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spreadsheetml.comments+xml" PartName="/xl/comments5.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ompany Information" sheetId="1" r:id="rId4"/>
    <sheet state="visible" name="2010 NTD Model" sheetId="2" r:id="rId5"/>
    <sheet state="visible" name="2013 NTD Model" sheetId="3" r:id="rId6"/>
    <sheet state="visible" name="2015 NTD model" sheetId="4" r:id="rId7"/>
    <sheet state="visible" name="2017 NTD model" sheetId="5" r:id="rId8"/>
    <sheet state="visible" name="NEW Onchocerciasis Efficacy" sheetId="6" r:id="rId9"/>
    <sheet state="visible" name="Schist Efficacy" sheetId="7" r:id="rId10"/>
    <sheet state="visible" name="New LF Efficacy" sheetId="8" r:id="rId11"/>
    <sheet state="visible" name="STH Efficacy" sheetId="9" r:id="rId12"/>
    <sheet state="visible" name="NEW 20102013 Onchocerciasis Eff" sheetId="10" r:id="rId13"/>
    <sheet state="visible" name="New 20102013 LF Efficacy" sheetId="11" r:id="rId14"/>
    <sheet state="visible" name="20102013 Schist Efficacy" sheetId="12" r:id="rId15"/>
    <sheet state="visible" name="20102013 STH Efficacy" sheetId="13" r:id="rId16"/>
  </sheets>
  <definedNames>
    <definedName hidden="1" localSheetId="5" name="_xlnm._FilterDatabase">'NEW Onchocerciasis Efficacy'!$A$1:$BQ$1000</definedName>
    <definedName hidden="1" localSheetId="7" name="_xlnm._FilterDatabase">'New LF Efficacy'!$A$1:$Y$136</definedName>
    <definedName hidden="1" localSheetId="8" name="_xlnm._FilterDatabase">'STH Efficacy'!$A$1:$AH$141</definedName>
    <definedName hidden="1" localSheetId="9" name="_xlnm._FilterDatabase">'NEW 20102013 Onchocerciasis Eff'!$A$1:$BP$1000</definedName>
    <definedName hidden="1" localSheetId="10" name="_xlnm._FilterDatabase">'New 20102013 LF Efficacy'!$A$1:$AQ$1001</definedName>
    <definedName hidden="1" localSheetId="11" name="_xlnm._FilterDatabase">'20102013 Schist Efficacy'!$A$1:$Z$1000</definedName>
    <definedName hidden="1" localSheetId="12" name="_xlnm._FilterDatabase">'20102013 STH Efficacy'!$BR$1:$CU$213</definedName>
    <definedName hidden="1" localSheetId="7" name="Z_848092C0_33EE_4CDB_8499_88018C8FB2F1_.wvu.FilterData">'New LF Efficacy'!$Q$149</definedName>
    <definedName hidden="1" localSheetId="7" name="Z_57167D26_1697_4D30_84FE_3E489974EE87_.wvu.FilterData">'New LF Efficacy'!$A$1:$Z$145</definedName>
    <definedName hidden="1" localSheetId="7" name="Z_0518F6DB_8F79_454D_A977_62822FF88CC1_.wvu.FilterData">'New LF Efficacy'!$A$1:$Z$145</definedName>
    <definedName hidden="1" localSheetId="7" name="Z_135D6B32_0874_4199_8D8C_B1CA9126395F_.wvu.FilterData">'New LF Efficacy'!$G$1:$G$1128</definedName>
    <definedName hidden="1" localSheetId="12" name="Z_135D6B32_0874_4199_8D8C_B1CA9126395F_.wvu.FilterData">'20102013 STH Efficacy'!$BR$1:$CU$213</definedName>
    <definedName hidden="1" localSheetId="7" name="Z_939A0E4C_59FF_48A1_AD57_CAEB9C91F444_.wvu.FilterData">'New LF Efficacy'!$A$1:$Z$145</definedName>
  </definedNames>
  <calcPr/>
  <customWorkbookViews>
    <customWorkbookView activeSheetId="0" maximized="1" windowHeight="0" windowWidth="0" guid="{939A0E4C-59FF-48A1-AD57-CAEB9C91F444}" name="Filter 4"/>
    <customWorkbookView activeSheetId="0" maximized="1" windowHeight="0" windowWidth="0" guid="{57167D26-1697-4D30-84FE-3E489974EE87}" name="Filter 5"/>
    <customWorkbookView activeSheetId="0" maximized="1" windowHeight="0" windowWidth="0" guid="{0518F6DB-8F79-454D-A977-62822FF88CC1}" name="Filter 2"/>
    <customWorkbookView activeSheetId="0" maximized="1" windowHeight="0" windowWidth="0" guid="{848092C0-33EE-4CDB-8499-88018C8FB2F1}" name="Filter 3"/>
    <customWorkbookView activeSheetId="0" maximized="1" windowHeight="0" windowWidth="0" guid="{135D6B32-0874-4199-8D8C-B1CA9126395F}" name="Filter 1"/>
  </customWorkbookViews>
</workbook>
</file>

<file path=xl/comments1.xml><?xml version="1.0" encoding="utf-8"?>
<comments xmlns:r="http://schemas.openxmlformats.org/officeDocument/2006/relationships" xmlns="http://schemas.openxmlformats.org/spreadsheetml/2006/main">
  <authors>
    <author/>
  </authors>
  <commentList>
    <comment authorId="0" ref="C1">
      <text>
        <t xml:space="preserve">The World Bank Group Databank
Database: World Development Indicators
Series: Population, total
http://databank.worldbank.org/data/reports.aspx?source=2&amp;series=SP.POP.TOTL&amp;country=
Found in google drive schist references titled "Population Data"
https://docs.google.com/spreadsheets/d/16Uzkr2iRxzClrHkk-tptjwETk9MKMa_trZa9J5c1YDw/edit#gid=0</t>
      </text>
    </comment>
    <comment authorId="0" ref="D1">
      <text>
        <t xml:space="preserve">Institute for Health Metrics and Evaluation (IHME). GBD Database. Seattle, WA: IHME, University of Washington, 2018. 
Web link:
http://ghdx.healthdata.org/</t>
      </text>
    </comment>
    <comment authorId="0" ref="E1">
      <text>
        <t xml:space="preserve">Institute for Health Metrics and Evaluation (IHME). GBD Database. Seattle, WA: IHME, University of Washington, 2018. 
Web link:
http://ghdx.healthdata.org/</t>
      </text>
    </comment>
    <comment authorId="0" ref="F1">
      <text>
        <t xml:space="preserve">Institute for Health Metrics and Evaluation (IHME). GBD Database. Seattle, WA: IHME, University of Washington, 2018. 
Web link:
http://ghdx.healthdata.org/
found under "trichuriasis" not "whipworm"
we do not have 15+ years b/c we don't have treatment coverage for that age group
Google link: https://docs.google.com/spreadsheets/d/17k9C3vGp90E6L5zqqo899WcKEMjE9TCaloz00Po4Kt0/edit#gid=1006803624</t>
      </text>
    </comment>
    <comment authorId="0" ref="I1">
      <text>
        <t xml:space="preserve">Institute for Health Metrics and Evaluation (IHME). GBD Database. Seattle, WA: IHME, University of Washington, 2018. 
Web link:
http://ghdx.healthdata.org/
we do not have 15+ years b/c we don't have treatment coverage for that age group</t>
      </text>
    </comment>
    <comment authorId="0" ref="L1">
      <text>
        <t xml:space="preserve">Institute for Health Metrics and Evaluation (IHME). GBD Database. Seattle, WA: IHME, University of Washington, 2018. 
Web link:
http://ghdx.healthdata.org/
found under "ascaris" not "roundworm"
we do not have 15+ years b/c we don't have treatment coverage for that age group</t>
      </text>
    </comment>
    <comment authorId="0" ref="AD1">
      <text>
        <t xml:space="preserve">Institute for Health Metrics and Evaluation (IHME). GBD Database. Seattle, WA: IHME, University of Washington, 2018. 
Web link:
http://ghdx.healthdata.org/</t>
      </text>
    </comment>
    <comment authorId="0" ref="AN1">
      <text>
        <t xml:space="preserve">Taken from ORS 2010 (Columns AI and AK): https://docs.google.com/spreadsheets/d/1IBfN_3f-dG65YbLWQbkXojUxs2PlQyo7l04Ubz9kLkU/edit#gid=1089461374</t>
      </text>
    </comment>
    <comment authorId="0" ref="AT1">
      <text>
        <t xml:space="preserve">Taken from ORS 2010 (Column W): https://docs.google.com/spreadsheets/d/1IBfN_3f-dG65YbLWQbkXojUxs2PlQyo7l04Ubz9kLkU/edit#gid=142218750</t>
      </text>
    </comment>
    <comment authorId="0" ref="AV1">
      <text>
        <t xml:space="preserve">Taken from ORS 2010 (Columns R:W): https://docs.google.com/spreadsheets/d/1IBfN_3f-dG65YbLWQbkXojUxs2PlQyo7l04Ubz9kLkU/edit#gid=915182930</t>
      </text>
    </comment>
    <comment authorId="0" ref="BB1">
      <text>
        <t xml:space="preserve">Taken from ORS 2010 (Columns N:Q): https://docs.google.com/spreadsheets/d/1IBfN_3f-dG65YbLWQbkXojUxs2PlQyo7l04Ubz9kLkU/edit#gid=915182930</t>
      </text>
    </comment>
    <comment authorId="0" ref="BF1">
      <text>
        <t xml:space="preserve">Taken from ORS 2010 (Columns X:AC): https://docs.google.com/spreadsheets/d/1IBfN_3f-dG65YbLWQbkXojUxs2PlQyo7l04Ubz9kLkU/edit#gid=915182930</t>
      </text>
    </comment>
    <comment authorId="0" ref="BN1">
      <text>
        <t xml:space="preserve">based off this
World Health Organization. “Preventive Chemotherapy in Human Helminthiasis: Coordinated Use of Anthelminthic Drugs in Control Interventions : A Manual for Health Professionals and Programme Managers.,” 2006. Page 16-17. http://apps.who.int/iris/bitstream/10665/43545/1/9241547103_eng.pdf
https://docs.google.com/document/d/12hzuotHTAhpBQ5NYBcNIn0DwxypnGRwVAcOqOeYAZvM/edit</t>
      </text>
    </comment>
    <comment authorId="0" ref="BW1">
      <text>
        <t xml:space="preserve">DEC only is not a possible treatment, so it is excluded from impact section</t>
      </text>
    </comment>
    <comment authorId="0" ref="BY1">
      <text>
        <t xml:space="preserve">if SAC prevalence &gt;50%, 1 treatment per year
if SAC prevalence &gt;10%, 1 treatment every 2 years
if SAC prevalence &gt;0%, 2 treatments during primary school years (on average one treatment every 7 years)
based off this
World Health Organization. “Preventive Chemotherapy in Human Helminthiasis: Coordinated Use of Anthelminthic Drugs in Control Interventions : A Manual for Health Professionals and Programme Managers.,” 2006. Page 41. http://apps.who.int/iris/bitstream/10665/43545/1/9241547103_eng.pdf
https://docs.google.com/document/d/12hzuotHTAhpBQ5NYBcNIn0DwxypnGRwVAcOqOeYAZvM/edit </t>
      </text>
    </comment>
    <comment authorId="0" ref="P2">
      <text>
        <t xml:space="preserve">taken from WHO PCT databank, found under "Reported number of people treated"
http://www.who.int/neglected_diseases/preventive_chemotherapy/lf/db/?units=minimal&amp;region=all&amp;country=all&amp;countries=all&amp;year=2010
titled "LymphaticFilariasis2010" in  LF references folder
https://drive.google.com/drive/folders/0B2xzOcMU-HU1QndSa21kMHRRQlU</t>
      </text>
    </comment>
    <comment authorId="0" ref="Q2">
      <text>
        <t xml:space="preserve">taken from WHO PCT databank, found under "Reported number of people treated"
http://www.who.int/neglected_diseases/preventive_chemotherapy/lf/db/?units=minimal&amp;region=all&amp;country=all&amp;countries=all&amp;year=2010
titled "LymphaticFilariasis2010" in  LF references folder
https://drive.google.com/drive/folders/0B2xzOcMU-HU1QndSa21kMHRRQlU</t>
      </text>
    </comment>
    <comment authorId="0" ref="R2">
      <text>
        <t xml:space="preserve">taken from WHO PCT databank, found under "National Coverage"
http://www.who.int/neglected_diseases/preventive_chemotherapy/lf/db/?units=minimal&amp;region=all&amp;country=all&amp;countries=all&amp;year=2010
titled "LymphaticFilariasis2010" in  LF references folder
https://drive.google.com/drive/folders/0B2xzOcMU-HU1QndSa21kMHRRQlU</t>
      </text>
    </comment>
    <comment authorId="0" ref="T2">
      <text>
        <t xml:space="preserve">taken from WHO PCT databank, found under "National Coverage"
http://www.who.int/neglected_diseases/preventive_chemotherapy/sch/en/
found in Schist references folder titled "Schistosomiasis 2010 WHO PCT data"
https://drive.google.com/drive/folders/0B2xzOcMU-HU1WU5rU1VULUVnMTQ</t>
      </text>
    </comment>
    <comment authorId="0" ref="V2">
      <text>
        <t xml:space="preserve">WHO PCT databank
http://www.who.int/neglected_diseases/preventive_chemotherapy/sth/en/
Found under "National coverage Pre-SAC"
https://drive.google.com/drive/u/0/folders/0B9mOOhMRwvv3fmpHdU1JN2NYQzgxNlFXVnBWSEhXdlRYbjM2dVFkTDJSOUlxVWtTcWl3VzA</t>
      </text>
    </comment>
    <comment authorId="0" ref="X2">
      <text>
        <t xml:space="preserve">WHO PCT databank
http://www.who.int/neglected_diseases/preventive_chemotherapy/sth/en/
Found under "National coverage SAC"
https://drive.google.com/drive/u/0/folders/0B9mOOhMRwvv3fmpHdU1JN2NYQzgxNlFXVnBWSEhXdlRYbjM2dVFkTDJSOUlxVWtTcWl3VzA</t>
      </text>
    </comment>
    <comment authorId="0" ref="AD2">
      <text>
        <t xml:space="preserve">Using GBD Results Tool
Year: 2010
Measure: Prevalence
Sex: Both
Cause: Lymphatic filariasis
Age: All
Context: Cause
Location: All</t>
      </text>
    </comment>
    <comment authorId="0" ref="AE2">
      <text>
        <t xml:space="preserve">https://docs.google.com/spreadsheets/d/1mbQ5D4vjmXFWK71BrPtax7h6pFVI5FE6Tkc_ECmJB0g/edit#gid=0</t>
      </text>
    </comment>
    <comment authorId="0" ref="AF2">
      <text>
        <t xml:space="preserve">https://drive.google.com/open?id=1LTqqig_rKSR2rJNvSnxSlmxruHkjAfBo</t>
      </text>
    </comment>
    <comment authorId="0" ref="AG2">
      <text>
        <t xml:space="preserve">Using GBD Results Tool
Year: 2010
Measure: Prevalence
Sex: Both
Cause: Trichuriasis
Age: 1-4
Context: Cause
Location: All</t>
      </text>
    </comment>
    <comment authorId="0" ref="AH2">
      <text>
        <t xml:space="preserve">Using GBD Results Tool
Year: 2010
Measure: Prevalence
Sex: Both
Cause: Trichuriasis
Age: 5 to 9, 10 to 14
Context: Cause
Location: All</t>
      </text>
    </comment>
    <comment authorId="0" ref="AI2">
      <text>
        <t xml:space="preserve">Using GBD Results Tool
Year: 2010
Measure: Prevalence
Sex: Both
Cause: Hookworm
Age: 1-4
Context: Cause
Location: All</t>
      </text>
    </comment>
    <comment authorId="0" ref="AJ2">
      <text>
        <t xml:space="preserve">Using GBD Results Tool
Year: 2010
Measure: Prevalence
Sex: Both
Cause: Hookworm
Age: 5 to 9, 10 to 14
Context: Cause
Location: All</t>
      </text>
    </comment>
    <comment authorId="0" ref="AK2">
      <text>
        <t xml:space="preserve">Using GBD Results Tool
Year: 2010
Measure: Prevalence
Sex: Both
Cause: Ascariasis
Age: 1-4
Context: Cause
Location: All</t>
      </text>
    </comment>
    <comment authorId="0" ref="AL2">
      <text>
        <t xml:space="preserve">Using GBD Results Tool
Year: 2010
Measure: Prevalence
Sex: Both
Cause: Ascariasis
Age: 5 to 9, 10 to 14
Context: Cause
Location: All</t>
      </text>
    </comment>
    <comment authorId="0" ref="BN2">
      <text>
        <t xml:space="preserve">WHO | PCT databank [Internet]. WHO. [cited 2018 Apr 9]. Available from: http://www.who.int/entity/neglected_diseases/preventive_chemotherapy/databank/en/index.html
determined to be endemic if  data exists in the database above for "population requiring LF"
</t>
      </text>
    </comment>
    <comment authorId="0" ref="BO2">
      <text>
        <t xml:space="preserve">WHO | PCT databank [Internet]. WHO. [cited 2018 Apr 9]. Available from: http://www.who.int/entity/neglected_diseases/preventive_chemotherapy/databank/en/index.html
determined to be endemic if labeled as endemic in the database above</t>
      </text>
    </comment>
    <comment authorId="0" ref="BP2">
      <text>
        <t xml:space="preserve">WHO | PCT databank [Internet]. WHO. [cited 2018 Apr 9]. Available from: http://www.who.int/entity/neglected_diseases/preventive_chemotherapy/databank/en/index.html
determined to be endemic if data exists for "SAC population requiring PC for SCH annually" in the database above
</t>
      </text>
    </comment>
    <comment authorId="0" ref="BQ2">
      <text>
        <t xml:space="preserve">formula based on table A2.1 
based off this
World Health Organization. “Preventive Chemotherapy in Human Helminthiasis: Coordinated Use of Anthelminthic Drugs in Control Interventions : A Manual for Health Professionals and Programme Managers.,” 2006. Page 41. http://apps.who.int/iris/bitstream/10665/43545/1/9241547103_eng.pdf
https://docs.google.com/document/d/12hzuotHTAhpBQ5NYBcNIn0DwxypnGRwVAcOqOeYAZvM/edit</t>
      </text>
    </comment>
    <comment authorId="0" ref="BV2">
      <text>
        <t xml:space="preserve">This formula references two lists below from BO222:BP230
in case those move they are titled "coding" and "mda type"</t>
      </text>
    </comment>
    <comment authorId="0" ref="BZ2">
      <text>
        <t xml:space="preserve">We divide by 2 if prevalence of SAC is above 50% due to the NTD guidelines (found on page 41)
World Health Organization. “Preventive Chemotherapy in Human Helminthiasis: Coordinated Use of Anthelminthic Drugs in Control Interventions : A Manual for Health Professionals and Programme Managers.,” 2006. Page 16-17. http://apps.who.int/iris/bitstream/10665/43545/1/9241547103_eng.pdf
https://docs.google.com/document/d/12hzuotHTAhpBQ5NYBcNIn0DwxypnGRwVAcOqOeYAZvM/edit</t>
      </text>
    </comment>
    <comment authorId="0" ref="CA2">
      <text>
        <t xml:space="preserve">We divide by 2 if prevalence of SAC is above 50% due to the NTD guidelines (found on page 41)
World Health Organization. “Preventive Chemotherapy in Human Helminthiasis: Coordinated Use of Anthelminthic Drugs in Control Interventions : A Manual for Health Professionals and Programme Managers.,” 2006. Page 16-17. http://apps.who.int/iris/bitstream/10665/43545/1/9241547103_eng.pdf
https://docs.google.com/document/d/12hzuotHTAhpBQ5NYBcNIn0DwxypnGRwVAcOqOeYAZvM/edit</t>
      </text>
    </comment>
    <comment authorId="0" ref="CB2">
      <text>
        <t xml:space="preserve">We divide by 2 if prevalence of SAC is above 50% due to the NTD guidelines (found on page 41)
World Health Organization. “Preventive Chemotherapy in Human Helminthiasis: Coordinated Use of Anthelminthic Drugs in Control Interventions : A Manual for Health Professionals and Programme Managers.,” 2006. Page 16-17. http://apps.who.int/iris/bitstream/10665/43545/1/9241547103_eng.pdf
https://docs.google.com/document/d/12hzuotHTAhpBQ5NYBcNIn0DwxypnGRwVAcOqOeYAZvM/edit</t>
      </text>
    </comment>
    <comment authorId="0" ref="CC2">
      <text>
        <t xml:space="preserve">We divide by 2 if prevalence of SAC is above 50% due to the NTD guidelines (found on page 41)
World Health Organization. “Preventive Chemotherapy in Human Helminthiasis: Coordinated Use of Anthelminthic Drugs in Control Interventions : A Manual for Health Professionals and Programme Managers.,” 2006. Page 16-17. http://apps.who.int/iris/bitstream/10665/43545/1/9241547103_eng.pdf
https://docs.google.com/document/d/12hzuotHTAhpBQ5NYBcNIn0DwxypnGRwVAcOqOeYAZvM/edit</t>
      </text>
    </comment>
    <comment authorId="0" ref="CD2">
      <text>
        <t xml:space="preserve">We divide by 2 if prevalence of SAC is above 50% due to the NTD guidelines (found on page 41)
World Health Organization. “Preventive Chemotherapy in Human Helminthiasis: Coordinated Use of Anthelminthic Drugs in Control Interventions : A Manual for Health Professionals and Programme Managers.,” 2006. Page 16-17. http://apps.who.int/iris/bitstream/10665/43545/1/9241547103_eng.pdf
https://docs.google.com/document/d/12hzuotHTAhpBQ5NYBcNIn0DwxypnGRwVAcOqOeYAZvM/edit</t>
      </text>
    </comment>
    <comment authorId="0" ref="CE2">
      <text>
        <t xml:space="preserve">We divide by 2 if prevalence of SAC is above 50% due to the NTD guidelines (found on page 41)
World Health Organization. “Preventive Chemotherapy in Human Helminthiasis: Coordinated Use of Anthelminthic Drugs in Control Interventions : A Manual for Health Professionals and Programme Managers.,” 2006. Page 16-17. http://apps.who.int/iris/bitstream/10665/43545/1/9241547103_eng.pdf
https://docs.google.com/document/d/12hzuotHTAhpBQ5NYBcNIn0DwxypnGRwVAcOqOeYAZvM/edit</t>
      </text>
    </comment>
    <comment authorId="0" ref="CF2">
      <text>
        <t xml:space="preserve">We divide by 2 if prevalence of SAC is above 50% due to the NTD guidelines (found on page 41)
World Health Organization. “Preventive Chemotherapy in Human Helminthiasis: Coordinated Use of Anthelminthic Drugs in Control Interventions : A Manual for Health Professionals and Programme Managers.,” 2006. Page 16-17. http://apps.who.int/iris/bitstream/10665/43545/1/9241547103_eng.pdf
https://docs.google.com/document/d/12hzuotHTAhpBQ5NYBcNIn0DwxypnGRwVAcOqOeYAZvM/edit</t>
      </text>
    </comment>
    <comment authorId="0" ref="CG2">
      <text>
        <t xml:space="preserve">We divide by 2 if prevalence of SAC is above 50% due to the NTD guidelines (found on page 41)
World Health Organization. “Preventive Chemotherapy in Human Helminthiasis: Coordinated Use of Anthelminthic Drugs in Control Interventions : A Manual for Health Professionals and Programme Managers.,” 2006. Page 16-17. http://apps.who.int/iris/bitstream/10665/43545/1/9241547103_eng.pdf
https://docs.google.com/document/d/12hzuotHTAhpBQ5NYBcNIn0DwxypnGRwVAcOqOeYAZvM/edit</t>
      </text>
    </comment>
    <comment authorId="0" ref="S3">
      <text>
        <t xml:space="preserve">Global Average</t>
      </text>
    </comment>
    <comment authorId="0" ref="U3">
      <text>
        <t xml:space="preserve">global average</t>
      </text>
    </comment>
    <comment authorId="0" ref="W3">
      <text>
        <t xml:space="preserve">global average</t>
      </text>
    </comment>
    <comment authorId="0" ref="Y3">
      <text>
        <t xml:space="preserve">Global Average</t>
      </text>
    </comment>
    <comment authorId="0" ref="BR221">
      <text>
        <t xml:space="preserve">this is used in the formula of column BV
in case it moves its titled "diseases targeted by MDA"
it lists the unique possibilities of columns BV so that you don't have to write a code as long as you would if you listed all possibilities
can check this data by using the "unique" formula. The coding and diseases targeted are based off:
World Health Organization. “Preventive Chemotherapy in Human Helminthiasis: Coordinated Use of Anthelminthic Drugs in Control Interventions : A Manual for Health Professionals and Programme Managers.,” 2006. Page 16-17. http://apps.who.int/iris/bitstream/10665/43545/1/9241547103_eng.pdf
https://docs.google.com/document/d/12hzuotHTAhpBQ5NYBcNIn0DwxypnGRwVAcOqOeYAZvM/edit</t>
      </text>
    </comment>
    <comment authorId="0" ref="BS221">
      <text>
        <t xml:space="preserve">this is used in the formula of column BV
in case it moves its titled "diseases targeted by MDA"
this lists the corresponding diseases that are endemic given the coding of 0s and 1s
The coding and diseases targeted are based off:
World Health Organization. “Preventive Chemotherapy in Human Helminthiasis: Coordinated Use of Anthelminthic Drugs in Control Interventions : A Manual for Health Professionals and Programme Managers.,” 2006. Page 16-17. http://apps.who.int/iris/bitstream/10665/43545/1/9241547103_eng.pdf
https://docs.google.com/document/d/12hzuotHTAhpBQ5NYBcNIn0DwxypnGRwVAcOqOeYAZvM/edit</t>
      </text>
    </comment>
  </commentList>
</comments>
</file>

<file path=xl/comments2.xml><?xml version="1.0" encoding="utf-8"?>
<comments xmlns:r="http://schemas.openxmlformats.org/officeDocument/2006/relationships" xmlns="http://schemas.openxmlformats.org/spreadsheetml/2006/main">
  <authors>
    <author/>
  </authors>
  <commentList>
    <comment authorId="0" ref="C1">
      <text>
        <t xml:space="preserve">The World Bank Group Databank
Database: World Development Indicators
Series: Population, total
http://databank.worldbank.org/data/reports.aspx?source=2&amp;series=SP.POP.TOTL&amp;country=
Found in google drive schist references titled "Population Data"
https://docs.google.com/spreadsheets/d/16Uzkr2iRxzClrHkk-tptjwETk9MKMa_trZa9J5c1YDw/edit#gid=0</t>
      </text>
    </comment>
    <comment authorId="0" ref="D1">
      <text>
        <t xml:space="preserve">Institute for Health Metrics and Evaluation (IHME). GBD Database. Seattle, WA: IHME, University of Washington, 2018. 
Web link:
http://ghdx.healthdata.org/</t>
      </text>
    </comment>
    <comment authorId="0" ref="E1">
      <text>
        <t xml:space="preserve">Institute for Health Metrics and Evaluation (IHME). GBD Database. Seattle, WA: IHME, University of Washington, 2018. 
Web link:
http://ghdx.healthdata.org/</t>
      </text>
    </comment>
    <comment authorId="0" ref="F1">
      <text>
        <t xml:space="preserve">Institute for Health Metrics and Evaluation (IHME). GBD Database. Seattle, WA: IHME, University of Washington, 2018. 
Web link:
http://ghdx.healthdata.org/
found under "trichuriasis" not "whipworm"
we do not have 15+ years b/c we don't have treatment coverage for that age group
Google link: https://docs.google.com/spreadsheets/d/17k9C3vGp90E6L5zqqo899WcKEMjE9TCaloz00Po4Kt0/edit#gid=1006803624</t>
      </text>
    </comment>
    <comment authorId="0" ref="I1">
      <text>
        <t xml:space="preserve">Institute for Health Metrics and Evaluation (IHME). GBD Database. Seattle, WA: IHME, University of Washington, 2018. 
Web link:
http://ghdx.healthdata.org/</t>
      </text>
    </comment>
    <comment authorId="0" ref="L1">
      <text>
        <t xml:space="preserve">Institute for Health Metrics and Evaluation (IHME). GBD Database. Seattle, WA: IHME, University of Washington, 2018. 
Web link:
http://ghdx.healthdata.org/
found under "ascariasis" not "roundworm"</t>
      </text>
    </comment>
    <comment authorId="0" ref="O1">
      <text>
        <t xml:space="preserve">Institute for Health Metrics and Evaluation (IHME). GBD Database. Seattle, WA: IHME, University of Washington, 2018. 
Web link:
http://ghdx.healthdata.org/
https://docs.google.com/spreadsheets/d/16_VMqOZ-xilr5JCzfMItOJ-EiVtAh3RyIYpCMUIm4gY/edit?ts=5a70d287#gid=0</t>
      </text>
    </comment>
    <comment authorId="0" ref="P1">
      <text>
        <t xml:space="preserve">prevalence is from GBD databank:
http://ghdx.healthdata.org/gbd-results-tool 
number treated is from WHO PCT databank:
http://www.who.int/neglected_diseases/preventive_chemotherapy/sch/en/</t>
      </text>
    </comment>
    <comment authorId="0" ref="T1">
      <text>
        <t xml:space="preserve">from WHO PCT databank:
http://www.who.int/neglected_diseases/preventive_chemotherapy/sch/en/</t>
      </text>
    </comment>
    <comment authorId="0" ref="V1">
      <text>
        <t xml:space="preserve">from WHO PCT databank:
http://www.who.int/neglected_diseases/preventive_chemotherapy/sch/en/</t>
      </text>
    </comment>
    <comment authorId="0" ref="Z1">
      <text>
        <t xml:space="preserve">from WHO PCT databank:
http://www.who.int/neglected_diseases/preventive_chemotherapy/sch/en/</t>
      </text>
    </comment>
    <comment authorId="0" ref="AD1">
      <text>
        <t xml:space="preserve">Source: Global Burden of Disease Study 2016 (GBD 2016) Results.
Seattle, United States: Institute for Health Metrics and Evaluation (IHME), 2017.
Available from http://ghdx.healthdata.org/gbd-results-tool. </t>
      </text>
    </comment>
    <comment authorId="0" ref="AN1">
      <text>
        <t xml:space="preserve">Taken from Efficacy/Treatment coverage tab in ORS 2010/2013:
https://docs.google.com/spreadsheets/d/1IBfN_3f-dG65YbLWQbkXojUxs2PlQyo7l04Ubz9kLkU/edit#gid=848272737</t>
      </text>
    </comment>
    <comment authorId="0" ref="AT1">
      <text>
        <t xml:space="preserve">Taken from Efficacy/Treatment coverage tab in ORS 2010/2013:
https://docs.google.com/spreadsheets/d/1IBfN_3f-dG65YbLWQbkXojUxs2PlQyo7l04Ubz9kLkU/edit#gid=848272737</t>
      </text>
    </comment>
    <comment authorId="0" ref="AV1">
      <text>
        <t xml:space="preserve">Taken from Efficacy/Treatment coverage tab in ORS 2010/2013:
https://docs.google.com/spreadsheets/d/1IBfN_3f-dG65YbLWQbkXojUxs2PlQyo7l04Ubz9kLkU/edit#gid=848272737</t>
      </text>
    </comment>
    <comment authorId="0" ref="BB1">
      <text>
        <t xml:space="preserve">Taken from Efficacy/Treatment coverage tab in ORS 2010/2013:
https://docs.google.com/spreadsheets/d/1IBfN_3f-dG65YbLWQbkXojUxs2PlQyo7l04Ubz9kLkU/edit#gid=848272737</t>
      </text>
    </comment>
    <comment authorId="0" ref="BF1">
      <text>
        <t xml:space="preserve">Taken from Efficacy/Treatment coverage tab in ORS 2010/2013:
https://docs.google.com/spreadsheets/d/1IBfN_3f-dG65YbLWQbkXojUxs2PlQyo7l04Ubz9kLkU/edit#gid=848272737</t>
      </text>
    </comment>
    <comment authorId="0" ref="BL1">
      <text>
        <t xml:space="preserve">Taken from Efficacy/Treatment coverage tab in ORS 2010/2013:
https://docs.google.com/spreadsheets/d/1IBfN_3f-dG65YbLWQbkXojUxs2PlQyo7l04Ubz9kLkU/edit#gid=848272737</t>
      </text>
    </comment>
    <comment authorId="0" ref="BN1">
      <text>
        <t xml:space="preserve">based off this
World Health Organization. “Preventive Chemotherapy in Human Helminthiasis: Coordinated Use of Anthelminthic Drugs in Control Interventions : A Manual for Health Professionals and Programme Managers.,” 2006. Page 16-17. http://apps.who.int/iris/bitstream/10665/43545/1/9241547103_eng.pdf
https://docs.google.com/document/d/12hzuotHTAhpBQ5NYBcNIn0DwxypnGRwVAcOqOeYAZvM/edit</t>
      </text>
    </comment>
    <comment authorId="0" ref="BW1">
      <text>
        <t xml:space="preserve">DEC only is not a possible treatment, so it is excluded from impact section</t>
      </text>
    </comment>
    <comment authorId="0" ref="BY1">
      <text>
        <t xml:space="preserve">if SAC prevalence &gt;50%, 1 treatment per year
if SAC prevalence &gt;10%, 1 treatment every 2 years
if SAC prevalence &gt;0%, 2 treatments during primary school years (on average one treatment every 7 years)
based off this
World Health Organization. “Preventive Chemotherapy in Human Helminthiasis: Coordinated Use of Anthelminthic Drugs in Control Interventions : A Manual for Health Professionals and Programme Managers.,” 2006. Page 41. http://apps.who.int/iris/bitstream/10665/43545/1/9241547103_eng.pdf
https://docs.google.com/document/d/12hzuotHTAhpBQ5NYBcNIn0DwxypnGRwVAcOqOeYAZvM/edit </t>
      </text>
    </comment>
    <comment authorId="0" ref="P2">
      <text>
        <t xml:space="preserve">taken from WHO PCT databank, found under "Population requiring PC for LF"
http://www.who.int/neglected_diseases/preventive_chemotherapy/lf/db/?units=minimal&amp;region=all&amp;country=all&amp;countries=all&amp;year=2013
titled "LymphaticFilariasis2013" in  LF references folder and data under "Population requiring PC for LF"
https://drive.google.com/drive/folders/0B2xzOcMU-HU1QndSa21kMHRRQlU</t>
      </text>
    </comment>
    <comment authorId="0" ref="Q2">
      <text>
        <t xml:space="preserve">taken from WHO PCT databank, found under "Reported number of people treated"
http://www.who.int/neglected_diseases/preventive_chemotherapy/lf/db/?units=minimal&amp;region=all&amp;country=all&amp;countries=all&amp;year=2013
found in google drive LF references folder titled "LymphaticFilariasis2013"
data under "Reported number of people treated"
https://drive.google.com/drive/folders/0B2xzOcMU-HU1QndSa21kMHRRQlU
</t>
      </text>
    </comment>
    <comment authorId="0" ref="R2">
      <text>
        <t xml:space="preserve">taken from WHO PCT databank, found under "National Coverage"
http://www.who.int/neglected_diseases/preventive_chemotherapy/lf/db/?units=minimal&amp;region=all&amp;country=all&amp;countries=all&amp;year=2013
found in google drive LF references folder titled "LymphaticFilariasis2013"
https://drive.google.com/drive/folders/0B2xzOcMU-HU1QndSa21kMHRRQlU
</t>
      </text>
    </comment>
    <comment authorId="0" ref="T2">
      <text>
        <t xml:space="preserve">taken from WHO PCT databank, found under "National coverage"
http://www.who.int/neglected_diseases/preventive_chemotherapy/sch/en/
found in Schist references folder titled "Schistosomiasis_prevalence2013"
https://drive.google.com/drive/folders/0B2xzOcMU-HU1WU5rU1VULUVnMTQ</t>
      </text>
    </comment>
    <comment authorId="0" ref="V2">
      <text>
        <t xml:space="preserve">WHO PCT databank
http://www.who.int/neglected_diseases/preventive_chemotherapy/sth/en/
Found under "National coverage Pre-SAC"
google drive: 
https://drive.google.com/drive/u/0/folders/0B9mOOhMRwvv3fmpHdU1JN2NYQzgxNlFXVnBWSEhXdlRYbjM2dVFkTDJSOUlxVWtTcWl3VzA</t>
      </text>
    </comment>
    <comment authorId="0" ref="X2">
      <text>
        <t xml:space="preserve">WHO PCT databank
http://www.who.int/neglected_diseases/preventive_chemotherapy/sth/en/
Found under "National coverage SAC"
google drive: 
https://drive.google.com/drive/u/0/folders/0B9mOOhMRwvv3fmpHdU1JN2NYQzgxNlFXVnBWSEhXdlRYbjM2dVFkTDJSOUlxVWtTcWl3VzA</t>
      </text>
    </comment>
    <comment authorId="0" ref="Z2">
      <text>
        <t xml:space="preserve">WHO Onchocerciasis-Estimated number of individuals in the country requiring preventive chemotherapy for onchocerciasis
http://apps.who.int/gho/data/node.main.NTDONCHEMO?lang=en
Found here in Onchocerciasis references folder titled "Prevalence 2013"
https://drive.google.com/drive/folders/0Bz8dSgHSE9XJVDZCUklQNHRtdnM</t>
      </text>
    </comment>
    <comment authorId="0" ref="AA2">
      <text>
        <t xml:space="preserve">WHO Onchocerciasis-Reported number of individuals treated, 2013
http://apps.who.int/neglected_diseases/ntddata/oncho/onchocerciasis.html
Found in Onch references folder titled "NumberTreated2013"
https://drive.google.com/drive/folders/0Bz8dSgHSE9XJVDZCUklQNHRtdnM</t>
      </text>
    </comment>
    <comment authorId="0" ref="AB2">
      <text>
        <t xml:space="preserve"># People Treated / # People Receiving Treatment</t>
      </text>
    </comment>
    <comment authorId="0" ref="AD2">
      <text>
        <t xml:space="preserve">Using GBD Results Tool
Year: 2013
Measure: Prevalence
Sex: Both
Cause: Lymphatic filariasis
Age: All
Context: Cause
Location: All</t>
      </text>
    </comment>
    <comment authorId="0" ref="AE2">
      <text>
        <t xml:space="preserve">https://docs.google.com/spreadsheets/d/1mbQ5D4vjmXFWK71BrPtax7h6pFVI5FE6Tkc_ECmJB0g/edit#gid=0</t>
      </text>
    </comment>
    <comment authorId="0" ref="AF2">
      <text>
        <t xml:space="preserve">https://drive.google.com/open?id=1eAHrT8Us-p24zLtycLtPk4cR5pZ5dMYY</t>
      </text>
    </comment>
    <comment authorId="0" ref="AG2">
      <text>
        <t xml:space="preserve">Using GBD Results Tool
Year: 2013
Measure: Prevalence
Sex: Both
Cause: Trichuriasis
Age: 1-4
Context: Cause
Location: All</t>
      </text>
    </comment>
    <comment authorId="0" ref="AH2">
      <text>
        <t xml:space="preserve">Using GBD Results Tool
Year: 2013
Measure: Prevalence
Sex: Both
Cause: Trichuriasis
Age: 5 to 9, 10 to 14
Context: Cause
Location: All</t>
      </text>
    </comment>
    <comment authorId="0" ref="AI2">
      <text>
        <t xml:space="preserve">Using GBD Results Tool
Year: 2013
Measure: Prevalence
Sex: Both
Cause: Hookworm
Age: 1-4
Context: Cause
Location: All</t>
      </text>
    </comment>
    <comment authorId="0" ref="AJ2">
      <text>
        <t xml:space="preserve">Using GBD Results Tool
Year: 2013
Measure: Prevalence
Sex: Both
Cause: Hookworm
Age: 5 to 9, 10 to 14
Context: Cause
Location: All</t>
      </text>
    </comment>
    <comment authorId="0" ref="AK2">
      <text>
        <t xml:space="preserve">Using GBD Results Tool
Year: 2013
Measure: Prevalence
Sex: Both
Cause: Ascariasis
Age: 1-4
Context: Cause
Location: All</t>
      </text>
    </comment>
    <comment authorId="0" ref="AL2">
      <text>
        <t xml:space="preserve">Using GBD Results Tool
Year: 2013
Measure: Prevalence
Sex: Both
Cause: Ascariasis
Age: 5 to 9, 10 to 14
Context: Cause
Location: All</t>
      </text>
    </comment>
    <comment authorId="0" ref="AM2">
      <text>
        <t xml:space="preserve">Using GBD Results Tool
Year: 2013
Measure: Prevalence
Sex: Both
Cause: Onchoceriasis
Age: All
Context: Cause
Location: All</t>
      </text>
    </comment>
    <comment authorId="0" ref="BN2">
      <text>
        <t xml:space="preserve">WHO | PCT databank [Internet]. WHO. [cited 2018 Apr 9]. Available from: http://www.who.int/entity/neglected_diseases/preventive_chemotherapy/databank/en/index.html
determined to be endemic if  data exists in the database above for "population requiring LF"
</t>
      </text>
    </comment>
    <comment authorId="0" ref="BO2">
      <text>
        <t xml:space="preserve">WHO | PCT databank [Internet]. WHO. [cited 2018 Apr 9]. Available from: http://www.who.int/entity/neglected_diseases/preventive_chemotherapy/databank/en/index.html
determined to be endemic if labeled as endemic in the database above</t>
      </text>
    </comment>
    <comment authorId="0" ref="BP2">
      <text>
        <t xml:space="preserve">WHO | PCT databank [Internet]. WHO. [cited 2018 Apr 9]. Available from: http://www.who.int/entity/neglected_diseases/preventive_chemotherapy/databank/en/index.html
determined to be endemic if data exists for "SAC population requiring PC for SCH annually" in the database above
</t>
      </text>
    </comment>
    <comment authorId="0" ref="BQ2">
      <text>
        <t xml:space="preserve">formula based on table A2.1 
based off this
World Health Organization. “Preventive Chemotherapy in Human Helminthiasis: Coordinated Use of Anthelminthic Drugs in Control Interventions : A Manual for Health Professionals and Programme Managers.,” 2006. Page 41. http://apps.who.int/iris/bitstream/10665/43545/1/9241547103_eng.pdf
https://docs.google.com/document/d/12hzuotHTAhpBQ5NYBcNIn0DwxypnGRwVAcOqOeYAZvM/edit</t>
      </text>
    </comment>
    <comment authorId="0" ref="BV2">
      <text>
        <t xml:space="preserve">This formula references two lists below from BV221:BW236
in case those move they are titled "coding" and "mda type"</t>
      </text>
    </comment>
    <comment authorId="0" ref="BW2">
      <text>
        <t xml:space="preserve">Divided by 5 due to recommended yearly dose being given for 5 years 
Tisch, Daniel J., Edwin Michael, and James W. Kazura. "Mass chemotherapy options to control lymphatic filariasis: a systematic review." The Lancet infectious diseases 5.8 (2005): 514-523.
http://www.sciencedirect.com/science/article/pii/S1473309905701924?via%3Dihub#bbib21
“The current global filariasis control effort advocates yearly mass administration of single dose albendazole plus ivermectin, albendazole plus diethylcarbamazine, or diethylcarbamazine alone for 4–6 years based on expected decreases in transmission and estimates of worm longevity.”</t>
      </text>
    </comment>
    <comment authorId="0" ref="BX2">
      <text>
        <t xml:space="preserve">Divided by 5 due to recommended yearly dose being given for 5 years 
Tisch, Daniel J., Edwin Michael, and James W. Kazura. "Mass chemotherapy options to control lymphatic filariasis: a systematic review." The Lancet infectious diseases 5.8 (2005): 514-523.
http://www.sciencedirect.com/science/article/pii/S1473309905701924?via%3Dihub#bbib21
“The current global filariasis control effort advocates yearly mass administration of single dose albendazole plus ivermectin, albendazole plus diethylcarbamazine, or diethylcarbamazine alone for 4–6 years based on expected decreases in transmission and estimates of worm longevity.”</t>
      </text>
    </comment>
    <comment authorId="0" ref="BZ2">
      <text>
        <t xml:space="preserve">We divide by 2 if prevalence of SAC is above 50% due to the NTD guidelines (found on page 41)
World Health Organization. “Preventive Chemotherapy in Human Helminthiasis: Coordinated Use of Anthelminthic Drugs in Control Interventions : A Manual for Health Professionals and Programme Managers.,” 2006. Page 16-17. http://apps.who.int/iris/bitstream/10665/43545/1/9241547103_eng.pdf
https://docs.google.com/document/d/12hzuotHTAhpBQ5NYBcNIn0DwxypnGRwVAcOqOeYAZvM/edit</t>
      </text>
    </comment>
    <comment authorId="0" ref="CA2">
      <text>
        <t xml:space="preserve">We divide by 2 if prevalence of SAC is above 50% due to the NTD guidelines (found on page 41)
World Health Organization. “Preventive Chemotherapy in Human Helminthiasis: Coordinated Use of Anthelminthic Drugs in Control Interventions : A Manual for Health Professionals and Programme Managers.,” 2006. Page 16-17. http://apps.who.int/iris/bitstream/10665/43545/1/9241547103_eng.pdf
https://docs.google.com/document/d/12hzuotHTAhpBQ5NYBcNIn0DwxypnGRwVAcOqOeYAZvM/edit</t>
      </text>
    </comment>
    <comment authorId="0" ref="CB2">
      <text>
        <t xml:space="preserve">We divide by 2 if prevalence of SAC is above 50% due to the NTD guidelines (found on page 41)
World Health Organization. “Preventive Chemotherapy in Human Helminthiasis: Coordinated Use of Anthelminthic Drugs in Control Interventions : A Manual for Health Professionals and Programme Managers.,” 2006. Page 16-17. http://apps.who.int/iris/bitstream/10665/43545/1/9241547103_eng.pdf
https://docs.google.com/document/d/12hzuotHTAhpBQ5NYBcNIn0DwxypnGRwVAcOqOeYAZvM/edit</t>
      </text>
    </comment>
    <comment authorId="0" ref="CC2">
      <text>
        <t xml:space="preserve">We divide by 2 if prevalence of SAC is above 50% due to the NTD guidelines (found on page 41)
World Health Organization. “Preventive Chemotherapy in Human Helminthiasis: Coordinated Use of Anthelminthic Drugs in Control Interventions : A Manual for Health Professionals and Programme Managers.,” 2006. Page 16-17. http://apps.who.int/iris/bitstream/10665/43545/1/9241547103_eng.pdf
https://docs.google.com/document/d/12hzuotHTAhpBQ5NYBcNIn0DwxypnGRwVAcOqOeYAZvM/edit</t>
      </text>
    </comment>
    <comment authorId="0" ref="CD2">
      <text>
        <t xml:space="preserve">We divide by 2 if prevalence of SAC is above 50% due to the NTD guidelines (found on page 41)
World Health Organization. “Preventive Chemotherapy in Human Helminthiasis: Coordinated Use of Anthelminthic Drugs in Control Interventions : A Manual for Health Professionals and Programme Managers.,” 2006. Page 16-17. http://apps.who.int/iris/bitstream/10665/43545/1/9241547103_eng.pdf
https://docs.google.com/document/d/12hzuotHTAhpBQ5NYBcNIn0DwxypnGRwVAcOqOeYAZvM/edit</t>
      </text>
    </comment>
    <comment authorId="0" ref="CE2">
      <text>
        <t xml:space="preserve">We divide by 2 if prevalence of SAC is above 50% due to the NTD guidelines (found on page 41)
World Health Organization. “Preventive Chemotherapy in Human Helminthiasis: Coordinated Use of Anthelminthic Drugs in Control Interventions : A Manual for Health Professionals and Programme Managers.,” 2006. Page 16-17. http://apps.who.int/iris/bitstream/10665/43545/1/9241547103_eng.pdf
https://docs.google.com/document/d/12hzuotHTAhpBQ5NYBcNIn0DwxypnGRwVAcOqOeYAZvM/edit</t>
      </text>
    </comment>
    <comment authorId="0" ref="CF2">
      <text>
        <t xml:space="preserve">We divide by 2 if prevalence of SAC is above 50% due to the NTD guidelines (found on page 41)
World Health Organization. “Preventive Chemotherapy in Human Helminthiasis: Coordinated Use of Anthelminthic Drugs in Control Interventions : A Manual for Health Professionals and Programme Managers.,” 2006. Page 16-17. http://apps.who.int/iris/bitstream/10665/43545/1/9241547103_eng.pdf
https://docs.google.com/document/d/12hzuotHTAhpBQ5NYBcNIn0DwxypnGRwVAcOqOeYAZvM/edit</t>
      </text>
    </comment>
    <comment authorId="0" ref="CG2">
      <text>
        <t xml:space="preserve">We divide by 2 if prevalence of SAC is above 50% due to the NTD guidelines (found on page 41)
World Health Organization. “Preventive Chemotherapy in Human Helminthiasis: Coordinated Use of Anthelminthic Drugs in Control Interventions : A Manual for Health Professionals and Programme Managers.,” 2006. Page 16-17. http://apps.who.int/iris/bitstream/10665/43545/1/9241547103_eng.pdf
https://docs.google.com/document/d/12hzuotHTAhpBQ5NYBcNIn0DwxypnGRwVAcOqOeYAZvM/edit</t>
      </text>
    </comment>
    <comment authorId="0" ref="CH2">
      <text>
        <t xml:space="preserve">Prevention C-C for DC and. CDC - Onchocerciasis [Internet]. 2017 [cited 2018 Jun 29]. Available from: https://www.cdc.gov/parasites/onchocerciasis/treatment.html
“The recommended treatment is ivermectin, which will need to be given every 6 months for the life span of the adult worms or for as long as the infected person has evidence of skin or eye infection.”
Average Lifespan of adult Onchocerciasis worms:
CDC - DPDx - Onchocerciasis [Internet]. 2017 [cited 2018 Jun 29]. Available from: https://www.cdc.gov/dpdx/onchocerciasis/index.html
“Adults can live in the nodules for approximately 15 years…. In the subcutaneous nodules, the female worms are capable of producing microfilariae for approximately 9 years. The microfilariae… have a life span that may reach 2 years.” 
https://docs.google.com/document/d/1ygRR_LvJzf0l8r3_2qqwFmGU4PTB0HBrRhqUQds9DT8/edit#
</t>
      </text>
    </comment>
    <comment authorId="0" ref="S3">
      <text>
        <t xml:space="preserve">Global Average</t>
      </text>
    </comment>
    <comment authorId="0" ref="U3">
      <text>
        <t xml:space="preserve">Global Average</t>
      </text>
    </comment>
    <comment authorId="0" ref="W3">
      <text>
        <t xml:space="preserve">Global Average</t>
      </text>
    </comment>
    <comment authorId="0" ref="Y3">
      <text>
        <t xml:space="preserve">Global Average</t>
      </text>
    </comment>
    <comment authorId="0" ref="AC3">
      <text>
        <t xml:space="preserve">Global Average</t>
      </text>
    </comment>
    <comment authorId="0" ref="BR221">
      <text>
        <t xml:space="preserve">this is used in the formula of column BV
in case it moves its titled "diseases targeted by MDA"
it lists the unique possibilities of columns BV so that you don't have to write a code as long as you would if you listed all possibilities
can check this data by using the "unique" formula. The coding and diseases targeted are based off:
World Health Organization. “Preventive Chemotherapy in Human Helminthiasis: Coordinated Use of Anthelminthic Drugs in Control Interventions : A Manual for Health Professionals and Programme Managers.,” 2006. Page 16-17. http://apps.who.int/iris/bitstream/10665/43545/1/9241547103_eng.pdf
https://docs.google.com/document/d/12hzuotHTAhpBQ5NYBcNIn0DwxypnGRwVAcOqOeYAZvM/edit</t>
      </text>
    </comment>
    <comment authorId="0" ref="BS221">
      <text>
        <t xml:space="preserve">this is used in the formula of column BV
in case it moves its titled "diseases targeted by MDA"
this lists the corresponding diseases that are endemic given the coding of 0s and 1s
The coding and diseases targeted are based off:
World Health Organization. “Preventive Chemotherapy in Human Helminthiasis: Coordinated Use of Anthelminthic Drugs in Control Interventions : A Manual for Health Professionals and Programme Managers.,” 2006. Page 16-17. http://apps.who.int/iris/bitstream/10665/43545/1/9241547103_eng.pdf
https://docs.google.com/document/d/12hzuotHTAhpBQ5NYBcNIn0DwxypnGRwVAcOqOeYAZvM/edit</t>
      </text>
    </comment>
  </commentList>
</comments>
</file>

<file path=xl/comments3.xml><?xml version="1.0" encoding="utf-8"?>
<comments xmlns:r="http://schemas.openxmlformats.org/officeDocument/2006/relationships" xmlns="http://schemas.openxmlformats.org/spreadsheetml/2006/main">
  <authors>
    <author/>
  </authors>
  <commentList>
    <comment authorId="0" ref="C1">
      <text>
        <t xml:space="preserve">[1] Reference:
The World Bank: DataBank [Internet]. Washington D.C: The World Bank Group; 2018- [cited Jul 14, 2018].
Source link:
Series: Population, total
http://databank.worldbank.org/data/reports.aspx?source=2&amp;series=SP.POP.TOTL&amp;country=
Drive link:
Found in google drive schist references titled "Population Data"
https://docs.google.com/spreadsheets/d/16Uzkr2iRxzClrHkk-tptjwETk9MKMa_trZa9J5c1YDw/edit#gid=0</t>
      </text>
    </comment>
    <comment authorId="0" ref="D1">
      <text>
        <t xml:space="preserve">[1] Reference:
Data found on the GBD Study Data Search Engine [Internet]. Seattle, WA: Institute for Health Metrics and Evaluation; 2018 - .[cited Jul 14, 2018].
Source link:
http://ghdx.healthdata.org/
Drive link:
https://docs.google.com/spreadsheets/d/17k9C3vGp90E6L5zqqo899WcKEMjE9TCaloz00Po4Kt0/edit#gid=1006803624</t>
      </text>
    </comment>
    <comment authorId="0" ref="E1">
      <text>
        <t xml:space="preserve">[1] Reference:
Data found on the GBD Study Data Search Engine [Internet]. Seattle, WA: Institute for Health Metrics and Evaluation; 2018 - .[cited Jul 14, 2018].
Source link:
http://ghdx.healthdata.org/
Drive link:
https://docs.google.com/spreadsheets/d/17k9C3vGp90E6L5zqqo899WcKEMjE9TCaloz00Po4Kt0/edit#gid=1006803624</t>
      </text>
    </comment>
    <comment authorId="0" ref="F1">
      <text>
        <t xml:space="preserve">[1] Reference:
Data found on the GBD Study Data Search Engine [Internet]. Seattle, WA: Institute for Health Metrics and Evaluation; 2018- .[cited Jul 14, 2018].
Source link:
http://ghdx.healthdata.org/
found under "trichuriasis" not "whipworm"
we do not have 15+ years b/c we don't have treatment coverage for that age group
Google link: https://docs.google.com/spreadsheets/d/17k9C3vGp90E6L5zqqo899WcKEMjE9TCaloz00Po4Kt0/edit#gid=1006803624</t>
      </text>
    </comment>
    <comment authorId="0" ref="I1">
      <text>
        <t xml:space="preserve">[1] Reference:
Data found on the GBD Study Data Search Engine [Internet]. Seattle, WA: Institute for Health Metrics and Evaluation; 2018 - .[cited Jul 14, 2018].
Source link:
http://ghdx.healthdata.org/
Drive link:
https://docs.google.com/spreadsheets/d/17k9C3vGp90E6L5zqqo899WcKEMjE9TCaloz00Po4Kt0/edit#gid=1006803624</t>
      </text>
    </comment>
    <comment authorId="0" ref="L1">
      <text>
        <t xml:space="preserve">[1] Reference:
Data found on the GBD Study Data Search Engine [Internet]. Seattle, WA: Institute for Health Metrics and Evaluation; 2018 - .[cited Jul 14, 2018].
Source link:
http://ghdx.healthdata.org/
found under "ascaris" not "roundworm"
Drive link:
https://docs.google.com/spreadsheets/d/17k9C3vGp90E6L5zqqo899WcKEMjE9TCaloz00Po4Kt0/edit#gid=1006803624</t>
      </text>
    </comment>
    <comment authorId="0" ref="O1">
      <text>
        <t xml:space="preserve">[1] Reference:
Data found on the GBD Study Data Search Engine [Internet]. Seattle, WA: Institute for Health Metrics and Evaluation; 2018 - .[cited Jul 14, 2018].
Source link:
http://ghdx.healthdata.org/
Drive link:
https://docs.google.com/spreadsheets/d/1E1nJlHsDd3lfBOgargNHVkfd1Tz1mfdMRFHYDRAHEb8/edit?ts=5a70d295#gid=0</t>
      </text>
    </comment>
    <comment authorId="0" ref="AD1">
      <text>
        <t xml:space="preserve">Source: Global Burden of Disease Study 2016 (GBD 2016) Results.
Seattle, United States: Institute for Health Metrics and Evaluation (IHME), 2017. [cited Jul 14, 2018].
Source link:
http://ghdx.healthdata.org/gbd-results-tool.</t>
      </text>
    </comment>
    <comment authorId="0" ref="AN1">
      <text>
        <t xml:space="preserve">Taken from Efficacy/Treatment coverage tab in ORS 2010/2013:
https://docs.google.com/spreadsheets/d/1IBfN_3f-dG65YbLWQbkXojUxs2PlQyo7l04Ubz9kLkU/edit#gid=848272737</t>
      </text>
    </comment>
    <comment authorId="0" ref="AT1">
      <text>
        <t xml:space="preserve">Taken from Efficacy/Treatment coverage tab in ORS 2010/2013:
https://docs.google.com/spreadsheets/d/1IBfN_3f-dG65YbLWQbkXojUxs2PlQyo7l04Ubz9kLkU/edit#gid=848272737</t>
      </text>
    </comment>
    <comment authorId="0" ref="AV1">
      <text>
        <t xml:space="preserve">Taken from Efficacy/Treatment coverage tab in ORS 2010/2013:
https://docs.google.com/spreadsheets/d/1IBfN_3f-dG65YbLWQbkXojUxs2PlQyo7l04Ubz9kLkU/edit#gid=848272737</t>
      </text>
    </comment>
    <comment authorId="0" ref="BB1">
      <text>
        <t xml:space="preserve">Taken from Efficacy/Treatment coverage tab in ORS 2010/2013:
https://docs.google.com/spreadsheets/d/1IBfN_3f-dG65YbLWQbkXojUxs2PlQyo7l04Ubz9kLkU/edit#gid=848272737</t>
      </text>
    </comment>
    <comment authorId="0" ref="BF1">
      <text>
        <t xml:space="preserve">Taken from Efficacy/Treatment coverage tab in ORS 2010/2013:
https://docs.google.com/spreadsheets/d/1IBfN_3f-dG65YbLWQbkXojUxs2PlQyo7l04Ubz9kLkU/edit#gid=848272737</t>
      </text>
    </comment>
    <comment authorId="0" ref="BL1">
      <text>
        <t xml:space="preserve">Taken from Efficacy/Treatment coverage tab in ORS 2010/2013:
https://docs.google.com/spreadsheets/d/1IBfN_3f-dG65YbLWQbkXojUxs2PlQyo7l04Ubz9kLkU/edit#gid=848272737</t>
      </text>
    </comment>
    <comment authorId="0" ref="BN1">
      <text>
        <t xml:space="preserve">[1] Reference:
Dr Marco Albonico, Dr Dirk Engels, Dr Albis Francesco  Gabrielli, Dr Francesco Rio, Dr Lorenzo and Professor Nilanthi de Silva. Preventive Chemotherapy in Human Helminthiasis: Coordinated Use of Anthelminthic Drugs in Control Interventions : A Manual for Health Professionals and Programme Managers. Geneva, Switzerland: World Health Organization; 2006. Page 16-17. 
Source link:
http://apps.who.int/iris/bitstream/10665/43545/1/9241547103_eng.pdf
Drive link:
https://docs.google.com/document/d/12hzuotHTAhpBQ5NYBcNIn0DwxypnGRwVAcOqOeYAZvM/edit</t>
      </text>
    </comment>
    <comment authorId="0" ref="BW1">
      <text>
        <t xml:space="preserve">DEC only is not a possible treatment, so it is excluded from impact section</t>
      </text>
    </comment>
    <comment authorId="0" ref="BY1">
      <text>
        <t xml:space="preserve">if SAC prevalence &gt;50%, 1 treatment per year
if SAC prevalence &gt;10%, 1 treatment every 2 years
if SAC prevalence &gt;0%, 2 treatments during primary school years (on average one treatment every 7 years)
[1] Reference:
World Health Organization. Preventive Chemotherapy in Human Helminthiasis: Coordinated Use of Anthelminthic Drugs in Control Interventions : A Manual for Health Professionals and Programme Managers.,” 2006. Page 41. http://apps.who.int/iris/bitstream/10665/43545/1/9241547103_eng.pdf
https://docs.google.com/document/d/12hzuotHTAhpBQ5NYBcNIn0DwxypnGRwVAcOqOeYAZvM/edit</t>
      </text>
    </comment>
    <comment authorId="0" ref="R2">
      <text>
        <t xml:space="preserve">[1] Reference:
PCT databank: Lymphatic filariasis [Internet]. Geneva, Switzerland: World Health Organization; 2017. cited - . [Jul 14, 2018]
Source link:
http://www.who.int/neglected_diseases/preventive_chemotherapy/lf/en/
Drive link:
https://drive.google.com/drive/folders/0B2xzOcMU-HU1WU5rU1VULUVnMTQ
====================
Previous citation:
taken from WHO PCT databank, found under "National Coverage"
http://www.who.int/neglected_diseases/preventive_chemotherapy/lf/en/</t>
      </text>
    </comment>
    <comment authorId="0" ref="S2">
      <text>
        <t xml:space="preserve">had to adjust the formula in col S as opposed to col S in 2010, 2013 NTD Models because EMR has no values above zero for treatment coverage; the formula should look like this to prevent "FALSE" from appearing: 
For row 5
=IFERROR(IF(AND(R5&lt;&gt;"",R5&gt;0),R5, IF(AVERAGEIFS($R$4:$R$220,$B$4:$B$220,$B5,$R$4:$R$220,"&lt;&gt;""")&gt;0,AVERAGEIFS($R$4:$R$220,$B$4:$B$220,$B5,$R$4:$R$220,"&lt;&gt;"""))),$S$3)</t>
      </text>
    </comment>
    <comment authorId="0" ref="T2">
      <text>
        <t xml:space="preserve">[1] Reference:
PCT databank: Schistosomiasis [Internet]. Geneva, Switzerland: World Health Organization; 2017. cited - . [Jul 14, 2018]
Source link:
http://www.who.int/neglected_diseases/preventive_chemotherapy/lf/en/
Drive link:
https://drive.google.com/drive/folders/0B2xzOcMU-HU1WU5rU1VULUVnMTQ</t>
      </text>
    </comment>
    <comment authorId="0" ref="V2">
      <text>
        <t xml:space="preserve">[1] Reference:
PCT databank: Pre-SAC [Internet]. Geneva, Switzerland: World Health Organization; 2017. cited - . [Jul 14, 2018]
Source link:
http://www.who.int/neglected_diseases/preventive_chemotherapy/lf/en/
Drive link:
https://drive.google.com/drive/u/0/folders/0B9mOOhMRwvv3fmpHdU1JN2NYQzgxNlFXVnBWSEhXdlRYbjM2dVFkTDJSOUlxVWtTcWl3VzA</t>
      </text>
    </comment>
    <comment authorId="0" ref="X2">
      <text>
        <t xml:space="preserve">[1] Reference:
PCT databank: SAC [Internet]. Geneva, Switzerland: World Health Organization; 2017. cited - . [Jul 14, 2018]
Source link:
http://www.who.int/neglected_diseases/preventive_chemotherapy/lf/en/
Drive link:
https://drive.google.com/drive/u/0/folders/0B9mOOhMRwvv3fmpHdU1JN2NYQzgxNlFXVnBWSEhXdlRYbjM2dVFkTDJSOUlxVWtTcWl3VzA</t>
      </text>
    </comment>
    <comment authorId="0" ref="Z2">
      <text>
        <t xml:space="preserve">World Health Organization. Onchocerciasis data [Internet]. Geneva, Switzerland: World Health Organization; 2016 - . [cited Jul 14, 2018].
Source link:
http://apps.who.int/neglected_diseases/ntddata/oncho/onchocerciasis.html
Drive link:
Prevalence data is taken as the metric "Estimated number of individuals in the country requiring preventive chemotherapy for onchocerciasis." This data appears in Column E of the following spreadsheet:
https://docs.google.com/spreadsheets/d/1BWhhiDN9dhaZzXotBHmEhjbCjW97VKpNnVdn-beF-kg/edit#gid=868628891</t>
      </text>
    </comment>
    <comment authorId="0" ref="AA2">
      <text>
        <t xml:space="preserve">World Health Organization. Onchocerciasis data [Internet]. Geneva, Switzerland: World Health Organization; 2016 - . [cited Jul 14, 2018].
Source link:
http://apps.who.int/neglected_diseases/ntddata/oncho/onchocerciasis.html
Drive link:
"Reported number of individuals treated," 2015.
This data appears in Column U of the following spreadsheet:
https://docs.google.com/spreadsheets/d/1BWhhiDN9dhaZzXotBHmEhjbCjW97VKpNnVdn-beF-kg/edit#gid=868628891</t>
      </text>
    </comment>
    <comment authorId="0" ref="AB2">
      <text>
        <t xml:space="preserve"># People Treated / # People Receiving Treatment</t>
      </text>
    </comment>
    <comment authorId="0" ref="AD2">
      <text>
        <t xml:space="preserve">[1] Reference:
Data found on the GBD Study Data Search Engine [Internet]. Seattle, WA: Institute for Health Metrics and Evaluation; 2018 - .[cited Jul 14, 2018].
Source link:
http://ghdx.healthdata.org/
Using GBD Results Tool
Year: 2015
Measure: Prevalence
Sex: Both
Cause: Lymphatic filariasis
Age: All
Context: Cause
Location: All</t>
      </text>
    </comment>
    <comment authorId="0" ref="AE2">
      <text>
        <t xml:space="preserve">[1] Reference:
PCT databank: Schistosomiasis [Internet]. Geneva, Switzerland: World Health Organization; 2017. cited - . [Jul 14, 2018]
Source link:
http://www.who.int/neglected_diseases/preventive_chemotherapy/lf/en/
Drive link:
https://docs.google.com/spreadsheets/d/1mbQ5D4vjmXFWK71BrPtax7h6pFVI5FE6Tkc_ECmJB0g/edit#gid=0</t>
      </text>
    </comment>
    <comment authorId="0" ref="AF2">
      <text>
        <t xml:space="preserve">[1] Reference:
PCT databank: Sac [Internet]. Geneva, Switzerland: World Health Organization; 2017. cited - . [Jul 14, 2018]
Source link:
http://www.who.int/neglected_diseases/preventive_chemotherapy/lf/en/
Drive link:
https://drive.google.com/open?id=14NX-zYOEInE1-V30G8wmFty_U9I5l2Yy</t>
      </text>
    </comment>
    <comment authorId="0" ref="AG2">
      <text>
        <t xml:space="preserve">[1] Reference:
Data found on the GBD Study Data Search Engine [Internet]. Seattle, WA: Institute for Health Metrics and Evaluation; 2018 - .[cited Jul 14, 2018].
Source link:
http://ghdx.healthdata.org/
Using GBD Results Tool
Year: 2015
Measure: Prevalence
Sex: Both
Cause: Trichuriasis
Age: 1-4
Context: Cause
Location: All</t>
      </text>
    </comment>
    <comment authorId="0" ref="AH2">
      <text>
        <t xml:space="preserve">[1] Reference:
Data found on the GBD Study Data Search Engine [Internet]. Seattle, WA: Institute for Health Metrics and Evaluation; 2018 - .[cited Jul 14, 2018].
Source link:
http://ghdx.healthdata.org/
Using GBD Results Tool
Year: 2015
Measure: Prevalence
Sex: Both
Cause: Trichuriasis
Age: 5 to 9, 10 to 14
Context: Cause
Location: All</t>
      </text>
    </comment>
    <comment authorId="0" ref="AI2">
      <text>
        <t xml:space="preserve">[1] Reference:
Data found on the GBD Study Data Search Engine [Internet]. Seattle, WA: Institute for Health Metrics and Evaluation; 2018 - .[cited Jul 14, 2018].
Source link:
http://ghdx.healthdata.org/
Using GBD Results Tool
Year: 2015
Measure: Prevalence
Sex: Both
Cause: Hookworm
Age: 1-4
Context: Cause
Location: All</t>
      </text>
    </comment>
    <comment authorId="0" ref="AJ2">
      <text>
        <t xml:space="preserve">[1] Reference:
Data found on the GBD Study Data Search Engine [Internet]. Seattle, WA: Institute for Health Metrics and Evaluation; 2018 - .[cited Jul 14, 2018].
Source link:
http://ghdx.healthdata.org/
Using GBD Results Tool
Year: 2015
Measure: Prevalence
Sex: Both
Cause: Hookworm
Age: 5 to 9, 10 to 14
Context: Cause
Location: All</t>
      </text>
    </comment>
    <comment authorId="0" ref="AK2">
      <text>
        <t xml:space="preserve">[1] Reference:
Data found on the GBD Study Data Search Engine [Internet]. Seattle, WA: Institute for Health Metrics and Evaluation; 2018 - .[cited Jul 14, 2018].
Source link:
http://ghdx.healthdata.org/
Using GBD Results Tool
Year: 2015
Measure: Prevalence
Sex: Both
Cause: Ascariasis
Age: 1-4
Context: Cause
Location: All</t>
      </text>
    </comment>
    <comment authorId="0" ref="AL2">
      <text>
        <t xml:space="preserve">[1] Reference:
Data found on the GBD Study Data Search Engine [Internet]. Seattle, WA: Institute for Health Metrics and Evaluation; 2018 - .[cited Jul 14, 2018].
Source link:
http://ghdx.healthdata.org/
Using GBD Results Tool
Year: 2015
Measure: Prevalence
Sex: Both
Cause: Ascariasis
Age: 5 to 9, 10 to 14
Context: Cause
Location: All</t>
      </text>
    </comment>
    <comment authorId="0" ref="AM2">
      <text>
        <t xml:space="preserve">[1] Reference:
Data found on the GBD Study Data Search Engine [Internet]. Seattle, WA: Institute for Health Metrics and Evaluation; 2018 - .[cited Jul 14, 2018].
Source link:
http://ghdx.healthdata.org/
Using GBD Results Tool
Year: 2015
Measure: Prevalence
Sex: Both
Cause: Onchoceriasis
Age: All
Context: Cause
Location: All</t>
      </text>
    </comment>
    <comment authorId="0" ref="BN2">
      <text>
        <t xml:space="preserve">[1] Reference:
PCT databank: Lymphatic filariasis [Internet]. Geneva, Switzerland: World Health Organization; 2017. cited - . [Jul 14, 2018]
Source link:
http://www.who.int/neglected_diseases/preventive_chemotherapy/lf/en/
determined to be endemic if  data exists in the database above for "population requiring LF"</t>
      </text>
    </comment>
    <comment authorId="0" ref="BO2">
      <text>
        <t xml:space="preserve">[1] Reference:
PCT databank: Onchocerciasis [Internet]. Geneva, Switzerland: World Health Organization; 2017. cited - . [Jul 14, 2018]
Source link:
http://www.who.int/neglected_diseases/preventive_chemotherapy/lf/en/
determined to be endemic if labeled as endemic in the database above</t>
      </text>
    </comment>
    <comment authorId="0" ref="BP2">
      <text>
        <t xml:space="preserve">[1] Reference:
PCT databank: Schistosomiasis [Internet]. Geneva, Switzerland: World Health Organization; 2017. cited - . [Jul 14, 2018]
Source link:
http://www.who.int/neglected_diseases/preventive_chemotherapy/lf/en/
determined to be endemic if data exists for "SAC population requiring PC for STH annually" in the database above</t>
      </text>
    </comment>
    <comment authorId="0" ref="BQ2">
      <text>
        <t xml:space="preserve">formula based on table A2.1 
based off this
World Health Organization. “Preventive Chemotherapy in Human Helminthiasis: Coordinated Use of Anthelminthic Drugs in Control Interventions : A Manual for Health Professionals and Programme Managers.,” 2006. Page 41. http://apps.who.int/iris/bitstream/10665/43545/1/9241547103_eng.pdf
https://docs.google.com/document/d/12hzuotHTAhpBQ5NYBcNIn0DwxypnGRwVAcOqOeYAZvM/edit</t>
      </text>
    </comment>
    <comment authorId="0" ref="BV2">
      <text>
        <t xml:space="preserve">This formula references two lists below from CB222:CC237
in case those move they are titled "coding" and "mda type"</t>
      </text>
    </comment>
    <comment authorId="0" ref="BW2">
      <text>
        <t xml:space="preserve">Divided by 5 due to recommended yearly dose being given for 5 years 
Tisch, Daniel J., Edwin Michael, and James W. Kazura. "Mass chemotherapy options to control lymphatic filariasis: a systematic review." The Lancet infectious diseases. 2015. 514-523.
Source link:
http://www.sciencedirect.com/science/article/pii/S1473309905701924?via%3Dihub#bbib21
“The current global filariasis control effort advocates yearly mass administration of single dose albendazole plus ivermectin, albendazole plus diethylcarbamazine, or diethylcarbamazine alone for 4–6 years based on expected decreases in transmission and estimates of worm longevity.”</t>
      </text>
    </comment>
    <comment authorId="0" ref="BX2">
      <text>
        <t xml:space="preserve">Divided by 5 due to recommended yearly dose being given for 5 years 
[1] Reference:
Tisch, Daniel J., Edwin Michael, and James W. Kazura. "Mass chemotherapy options to control lymphatic filariasis: a systematic review." The Lancet infectious diseases. 2015. 514-523.
Source link:
http://www.sciencedirect.com/science/article/pii/S1473309905701924?via%3Dihub#bbib21
“The current global filariasis control effort advocates yearly mass administration of single dose albendazole plus ivermectin, albendazole plus diethylcarbamazine, or diethylcarbamazine alone for 4–6 years based on expected decreases in transmission and estimates of worm longevity.”</t>
      </text>
    </comment>
    <comment authorId="0" ref="BZ2">
      <text>
        <t xml:space="preserve">We divide by 2 if prevalence of SAC is above 50% due to the NTD guidelines (found on page 41)
[1] Reference:
Dr Marco Albonico, Dr Dirk Engels, Dr Albis Francesco  Gabrielli, Dr Francesco Rio, Dr Lorenzo and Professor Nilanthi de Silva. Preventive Chemotherapy in Human Helminthiasis: Coordinated Use of Anthelminthic Drugs in Control Interventions : A Manual for Health Professionals and Programme Managers. Geneva, Switzerland: World Health Organization; 2006. Page 16-17.  
Source link:
http://apps.who.int/iris/bitstream/10665/43545/1/9241547103_eng.pdf
Drive link:
https://docs.google.com/document/d/12hzuotHTAhpBQ5NYBcNIn0DwxypnGRwVAcOqOeYAZvM/edit</t>
      </text>
    </comment>
    <comment authorId="0" ref="CA2">
      <text>
        <t xml:space="preserve">We divide by 2 if prevalence of SAC is above 50% due to the NTD guidelines (found on page 41)
[1] Reference:
Dr Marco Albonico, Dr Dirk Engels, Dr Albis Francesco  Gabrielli, Dr Francesco Rio, Dr Lorenzo and Professor Nilanthi de Silva. Preventive Chemotherapy in Human Helminthiasis: Coordinated Use of Anthelminthic Drugs in Control Interventions : A Manual for Health Professionals and Programme Managers. Geneva, Switzerland: World Health Organization; 2006. Page 16-17.  
Source link:
http://apps.who.int/iris/bitstream/10665/43545/1/9241547103_eng.pdf
Drive link:
https://docs.google.com/document/d/12hzuotHTAhpBQ5NYBcNIn0DwxypnGRwVAcOqOeYAZvM/edit</t>
      </text>
    </comment>
    <comment authorId="0" ref="CB2">
      <text>
        <t xml:space="preserve">We divide by 2 if prevalence of SAC is above 50% due to the NTD guidelines (found on page 41)
[1] Reference:
Dr Marco Albonico, Dr Dirk Engels, Dr Albis Francesco  Gabrielli, Dr Francesco Rio, Dr Lorenzo and Professor Nilanthi de Silva. Preventive Chemotherapy in Human Helminthiasis: Coordinated Use of Anthelminthic Drugs in Control Interventions : A Manual for Health Professionals and Programme Managers. Geneva, Switzerland: World Health Organization; 2006. Page 16-17.  
Source link:
http://apps.who.int/iris/bitstream/10665/43545/1/9241547103_eng.pdf
Drive link:
https://docs.google.com/document/d/12hzuotHTAhpBQ5NYBcNIn0DwxypnGRwVAcOqOeYAZvM/edit</t>
      </text>
    </comment>
    <comment authorId="0" ref="CC2">
      <text>
        <t xml:space="preserve">We divide by 2 if prevalence of SAC is above 50% due to the NTD guidelines (found on page 41)
[1] Reference:
Dr Marco Albonico, Dr Dirk Engels, Dr Albis Francesco  Gabrielli, Dr Francesco Rio, Dr Lorenzo and Professor Nilanthi de Silva. Preventive Chemotherapy in Human Helminthiasis: Coordinated Use of Anthelminthic Drugs in Control Interventions : A Manual for Health Professionals and Programme Managers. Geneva, Switzerland: World Health Organization; 2006. Page 16-17.  
Source link:
http://apps.who.int/iris/bitstream/10665/43545/1/9241547103_eng.pdf
Drive link:
https://docs.google.com/document/d/12hzuotHTAhpBQ5NYBcNIn0DwxypnGRwVAcOqOeYAZvM/edit</t>
      </text>
    </comment>
    <comment authorId="0" ref="CD2">
      <text>
        <t xml:space="preserve">We divide by 2 if prevalence of SAC is above 50% due to the NTD guidelines (found on page 41)
[1] Reference:
Dr Marco Albonico, Dr Dirk Engels, Dr Albis Francesco  Gabrielli, Dr Francesco Rio, Dr Lorenzo and Professor Nilanthi de Silva. Preventive Chemotherapy in Human Helminthiasis: Coordinated Use of Anthelminthic Drugs in Control Interventions : A Manual for Health Professionals and Programme Managers. Geneva, Switzerland: World Health Organization; 2006. Page 16-17.  
Source link:
http://apps.who.int/iris/bitstream/10665/43545/1/9241547103_eng.pdf
Drive link:
https://docs.google.com/document/d/12hzuotHTAhpBQ5NYBcNIn0DwxypnGRwVAcOqOeYAZvM/edit</t>
      </text>
    </comment>
    <comment authorId="0" ref="CE2">
      <text>
        <t xml:space="preserve">We divide by 2 if prevalence of SAC is above 50% due to the NTD guidelines (found on page 41)
[1] Reference:
Dr Marco Albonico, Dr Dirk Engels, Dr Albis Francesco  Gabrielli, Dr Francesco Rio, Dr Lorenzo and Professor Nilanthi de Silva. Preventive Chemotherapy in Human Helminthiasis: Coordinated Use of Anthelminthic Drugs in Control Interventions : A Manual for Health Professionals and Programme Managers. Geneva, Switzerland: World Health Organization; 2006. Page 16-17.  
Source link:
http://apps.who.int/iris/bitstream/10665/43545/1/9241547103_eng.pdf
Drive link:
https://docs.google.com/document/d/12hzuotHTAhpBQ5NYBcNIn0DwxypnGRwVAcOqOeYAZvM/edit</t>
      </text>
    </comment>
    <comment authorId="0" ref="CF2">
      <text>
        <t xml:space="preserve">We divide by 2 if prevalence of SAC is above 50% due to the NTD guidelines (found on page 41)
[1] Reference:
Dr Marco Albonico, Dr Dirk Engels, Dr Albis Francesco  Gabrielli, Dr Francesco Rio, Dr Lorenzo and Professor Nilanthi de Silva. Preventive Chemotherapy in Human Helminthiasis: Coordinated Use of Anthelminthic Drugs in Control Interventions : A Manual for Health Professionals and Programme Managers. Geneva, Switzerland: World Health Organization; 2006. Page 16-17.  
Source link:
http://apps.who.int/iris/bitstream/10665/43545/1/9241547103_eng.pdf
Drive link:
https://docs.google.com/document/d/12hzuotHTAhpBQ5NYBcNIn0DwxypnGRwVAcOqOeYAZvM/edit</t>
      </text>
    </comment>
    <comment authorId="0" ref="CG2">
      <text>
        <t xml:space="preserve">We divide by 2 if prevalence of SAC is above 50% due to the NTD guidelines (found on page 41)
[1] Reference:
Dr Marco Albonico, Dr Dirk Engels, Dr Albis Francesco  Gabrielli, Dr Francesco Rio, Dr Lorenzo and Professor Nilanthi de Silva. Preventive Chemotherapy in Human Helminthiasis: Coordinated Use of Anthelminthic Drugs in Control Interventions : A Manual for Health Professionals and Programme Managers. Geneva, Switzerland: World Health Organization; 2006. Page 16-17.  
Source link:
http://apps.who.int/iris/bitstream/10665/43545/1/9241547103_eng.pdf
Drive link:
https://docs.google.com/document/d/12hzuotHTAhpBQ5NYBcNIn0DwxypnGRwVAcOqOeYAZvM/edit</t>
      </text>
    </comment>
    <comment authorId="0" ref="CH2">
      <text>
        <t xml:space="preserve">[1] Reference:
Prevention C-C for DC and. CDC - Onchocerciasis [Internet]. 2017 [cited Jul 14, 2018]. 
Source link:
https://www.cdc.gov/parasites/onchocerciasis/treatment.html
“The recommended treatment is ivermectin, which will need to be given every 6 months for the life span of the adult worms or for as long as the infected person has evidence of skin or eye infection.”
[2] Reference:
Average Lifespan of adult Onchocerciasis worms:
CDC - DPDx - Onchocerciasis [Internet]. 2017. [Jul 14, 2018].
Source link:
https://www.cdc.gov/dpdx/onchocerciasis/index.html
“Adults can live in the nodules for approximately 15 years…. In the subcutaneous nodules, the female worms are capable of producing microfilariae for approximately 9 years. The microfilariae… have a life span that may reach 2 years.” 
Drive link:
https://docs.google.com/document/d/1ygRR_LvJzf0l8r3_2qqwFmGU4PTB0HBrRhqUQds9DT8/edit#</t>
      </text>
    </comment>
    <comment authorId="0" ref="S3">
      <text>
        <t xml:space="preserve">Global Average</t>
      </text>
    </comment>
    <comment authorId="0" ref="W3">
      <text>
        <t xml:space="preserve">global average</t>
      </text>
    </comment>
    <comment authorId="0" ref="Y3">
      <text>
        <t xml:space="preserve">Global Average</t>
      </text>
    </comment>
    <comment authorId="0" ref="BM3">
      <text>
        <t xml:space="preserve">important thing to note is that no data exists for any region other than AFR, making global average and AFR regional average the same for countries lacking country level data</t>
      </text>
    </comment>
    <comment authorId="0" ref="BN7">
      <text>
        <t xml:space="preserve">in the list, but "Surveillance"</t>
      </text>
    </comment>
    <comment authorId="0" ref="BN67">
      <text>
        <t xml:space="preserve">in the list, but "Surveillance"</t>
      </text>
    </comment>
    <comment authorId="0" ref="BN106">
      <text>
        <t xml:space="preserve">in the list, but "Surveillance"</t>
      </text>
    </comment>
    <comment authorId="0" ref="BN118">
      <text>
        <t xml:space="preserve">in the list, but "Surveillance"</t>
      </text>
    </comment>
    <comment authorId="0" ref="BN123">
      <text>
        <t xml:space="preserve">in the list, but "Surveillance"</t>
      </text>
    </comment>
    <comment authorId="0" ref="BN149">
      <text>
        <t xml:space="preserve">in the list, but "Surveillance"</t>
      </text>
    </comment>
    <comment authorId="0" ref="BN193">
      <text>
        <t xml:space="preserve">in the list, but "Surveillance"</t>
      </text>
    </comment>
    <comment authorId="0" ref="BN196">
      <text>
        <t xml:space="preserve">in the list, but "surveillance"</t>
      </text>
    </comment>
    <comment authorId="0" ref="BN198">
      <text>
        <t xml:space="preserve">in the list, but "Surveillance"</t>
      </text>
    </comment>
    <comment authorId="0" ref="BN215">
      <text>
        <t xml:space="preserve">in the list, but "Surveillance"</t>
      </text>
    </comment>
    <comment authorId="0" ref="BN216">
      <text>
        <t xml:space="preserve">in the list, but "Surveillance"</t>
      </text>
    </comment>
    <comment authorId="0" ref="BN218">
      <text>
        <t xml:space="preserve">in the list, but "Surveillance"</t>
      </text>
    </comment>
    <comment authorId="0" ref="BR221">
      <text>
        <t xml:space="preserve">this is used in the formula of column BV
in case it moves its titled "diseases targeted by MDA"
it lists the unique possibilities of columns BV so that you don't have to write a code as long as you would if you listed all possibilities
can check this data by using the "unique" formula. The coding and diseases targeted are based off:
World Health Organization. “Preventive Chemotherapy in Human Helminthiasis: Coordinated Use of Anthelminthic Drugs in Control Interventions : A Manual for Health Professionals and Programme Managers.,” 2006. Page 16-17. http://apps.who.int/iris/bitstream/10665/43545/1/9241547103_eng.pdf
https://docs.google.com/document/d/12hzuotHTAhpBQ5NYBcNIn0DwxypnGRwVAcOqOeYAZvM/edit</t>
      </text>
    </comment>
    <comment authorId="0" ref="BS221">
      <text>
        <t xml:space="preserve">this is used in the formula of column BV
in case it moves its titled "diseases targeted by MDA"
this lists the corresponding diseases that are endemic given the coding of 0s and 1s
The coding and diseases targeted are based off:
World Health Organization. “Preventive Chemotherapy in Human Helminthiasis: Coordinated Use of Anthelminthic Drugs in Control Interventions : A Manual for Health Professionals and Programme Managers.,” 2006. Page 16-17. http://apps.who.int/iris/bitstream/10665/43545/1/9241547103_eng.pdf
https://docs.google.com/document/d/12hzuotHTAhpBQ5NYBcNIn0DwxypnGRwVAcOqOeYAZvM/edit</t>
      </text>
    </comment>
  </commentList>
</comments>
</file>

<file path=xl/comments4.xml><?xml version="1.0" encoding="utf-8"?>
<comments xmlns:r="http://schemas.openxmlformats.org/officeDocument/2006/relationships" xmlns="http://schemas.openxmlformats.org/spreadsheetml/2006/main">
  <authors>
    <author/>
  </authors>
  <commentList>
    <comment authorId="0" ref="C1">
      <text>
        <t xml:space="preserve">[1] Reference:
The World Bank: DataBank [Internet]. Washington D.C: The World Bank Group; 2018- [cited Oct 31, 2020].
Source link:
Series: Population, total
http://databank.worldbank.org/data/reports.aspx?source=2&amp;series=SP.POP.TOTL&amp;country=
Drive link:
Found in google drive schist references titled "Population Data"
https://docs.google.com/spreadsheets/d/16Uzkr2iRxzClrHkk-tptjwETk9MKMa_trZa9J5c1YDw/edit#gid=0</t>
      </text>
    </comment>
    <comment authorId="0" ref="D1">
      <text>
        <t xml:space="preserve">[1] Reference:
Data found on the GBD Study Data Search Engine [Internet]. Seattle, WA: Institute for Health Metrics and Evaluation; 2017 - .[cited Oct 31, 2020].
Source link:
https://gbd2017.healthdata.org/gbd-search/
Drive link:
https://docs.google.com/spreadsheets/d/1v2fcUaHtfLNC4KF-Z-ZuHpeKAhASr7uxZFi1IB8xS3E/edit#gid=0</t>
      </text>
    </comment>
    <comment authorId="0" ref="E1">
      <text>
        <t xml:space="preserve">[1] Reference:
Data found on the GBD Study Data Search Engine [Internet]. Seattle, WA: Institute for Health Metrics and Evaluation; 2020 - .[cited Oct 31, 2020].
Source link:
https://gbd2017.healthdata.org/gbd-search/
Drive link:
https://docs.google.com/spreadsheets/d/1v2fcUaHtfLNC4KF-Z-ZuHpeKAhASr7uxZFi1IB8xS3E/edit#gid=0</t>
      </text>
    </comment>
    <comment authorId="0" ref="F1">
      <text>
        <t xml:space="preserve">[1] Reference:
Data found on the GBD Study Data Search Engine [Internet]. Seattle, WA: Institute for Health Metrics and Evaluation; 2020 - .[cited Oct 31, 2020].
Source link:
https://gbd2017.healthdata.org/gbd-search/
found under "trichuriasis" not "whipworm"
Drive link:
https://docs.google.com/spreadsheets/d/1v2fcUaHtfLNC4KF-Z-ZuHpeKAhASr7uxZFi1IB8xS3E/edit#gid=0</t>
      </text>
    </comment>
    <comment authorId="0" ref="I1">
      <text>
        <t xml:space="preserve">[1] Reference:
Data found on the GBD Study Data Search Engine [Internet]. Seattle, WA: Institute for Health Metrics and Evaluation; 2020 - .[cited Oct 31, 2020].
Source link:
https://gbd2017.healthdata.org/gbd-search/
Drive link:
https://docs.google.com/spreadsheets/d/1v2fcUaHtfLNC4KF-Z-ZuHpeKAhASr7uxZFi1IB8xS3E/edit#gid=0</t>
      </text>
    </comment>
    <comment authorId="0" ref="L1">
      <text>
        <t xml:space="preserve">[1] Reference:
[1] Reference:
Data found on the GBD Study Data Search Engine [Internet]. Seattle, WA: Institute for Health Metrics and Evaluation; 2020 - .[cited Oct 31, 2020].
Source link:
https://gbd2017.healthdata.org/gbd-search/
found under "ascaris" not "roundworm"
Drive link:
https://docs.google.com/spreadsheets/d/1v2fcUaHtfLNC4KF-Z-ZuHpeKAhASr7uxZFi1IB8xS3E/edit#gid=0</t>
      </text>
    </comment>
    <comment authorId="0" ref="O1">
      <text>
        <t xml:space="preserve">[1] Reference:
Data found on the GBD Study Data Search Engine [Internet]. Seattle, WA: Institute for Health Metrics and Evaluation; 2020 - .[cited Oct 31, 2020].
Source link:
https://gbd2017.healthdata.org/gbd-search/
Drive link:
https://docs.google.com/spreadsheets/d/1v2fcUaHtfLNC4KF-Z-ZuHpeKAhASr7uxZFi1IB8xS3E/edit#gid=0</t>
      </text>
    </comment>
    <comment authorId="0" ref="P1">
      <text>
        <t xml:space="preserve">Prevelance is found using the GBDx tool, Number Treated and Treatment coverage come from the PCT databank. If there are any mathematical errors (number treated divided by prevalence doesn't equal the treatment coverage shown) this is due to treatment coverage coming from a source rather than using formulas to find it as is done in other models.</t>
      </text>
    </comment>
    <comment authorId="0" ref="AD1">
      <text>
        <t xml:space="preserve">Source: Global Burden of Disease Study 2017 (GBD 2017) Results.
Seattle, United States: Institute for Health Metrics and Evaluation (IHME), 2020. [cited Oct 31, 2020].
Source link:
https://gbd2017.healthdata.org/gbd-search/</t>
      </text>
    </comment>
    <comment authorId="0" ref="BN1">
      <text>
        <t xml:space="preserve">[1] Reference:
Dr Marco Albonico, Dr Dirk Engels, Dr Albis Francesco  Gabrielli, Dr Francesco Rio, Dr Lorenzo and Professor Nilanthi de Silva. Preventive Chemotherapy in Human Helminthiasis: Coordinated Use of Anthelminthic Drugs in Control Interventions : A Manual for Health Professionals and Programme Managers. Geneva, Switzerland: World Health Organization; 2006. Page 16-17. 
Source link:
http://apps.who.int/iris/bitstream/10665/43545/1/9241547103_eng.pdf
Drive link:
https://docs.google.com/document/d/12hzuotHTAhpBQ5NYBcNIn0DwxypnGRwVAcOqOeYAZvM/edit</t>
      </text>
    </comment>
    <comment authorId="0" ref="BW1">
      <text>
        <t xml:space="preserve">DEC only is not a possible treatment, so it is excluded from impact section</t>
      </text>
    </comment>
    <comment authorId="0" ref="BY1">
      <text>
        <t xml:space="preserve">if SAC prevalence &gt;50%, 1 treatment per year
if SAC prevalence &gt;10%, 1 treatment every 2 years
if SAC prevalence &gt;0%, 2 treatments during primary school years (on average one treatment every 7 years)
[1] Reference:
World Health Organization. Preventive Chemotherapy in Human Helminthiasis: Coordinated Use of Anthelminthic Drugs in Control Interventions : A Manual for Health Professionals and Programme Managers.,” 2006. Page 41. http://apps.who.int/iris/bitstream/10665/43545/1/9241547103_eng.pdf
https://docs.google.com/document/d/12hzuotHTAhpBQ5NYBcNIn0DwxypnGRwVAcOqOeYAZvM/edit</t>
      </text>
    </comment>
    <comment authorId="0" ref="C2">
      <text>
        <t xml:space="preserve">Population</t>
      </text>
    </comment>
    <comment authorId="0" ref="P2">
      <text>
        <t xml:space="preserve">[1] Reference:
Data found on the GBD Study Data Search Engine [Internet]. Seattle, WA: Institute for Health Metrics and Evaluation; 2017 - .[cited Sep 31, 2020].
Source link:
https://gbd2017.healthdata.org/gbd-search/
Using GBD Results Tool
Year: 2017
Measure: Prevalence
Metric: Number
Sex: Both
Cause: Lymphatic filariasis
Age: All
Context: Cause
Location: All
Drive link:
https://docs.google.com/spreadsheets/d/18eqXMz81PTNazvXlh1PBfN-tkb2yZ1CfFTddan32dIA/edit#gid=1082997119</t>
      </text>
    </comment>
    <comment authorId="0" ref="Q2">
      <text>
        <t xml:space="preserve">[1] Reference:
PCT databank: Lymphatic filariasis [Internet]. Geneva, Switzerland: World Health Organization; 2017. cited - . [Oct 31, 2020]
Source link:
http://www.who.int/neglected_diseases/preventive_chemotherapy/lf/en/
Drive link:
https://docs.google.com/spreadsheets/d/1KGtReDQZkwDuDLYMSs8Cl0LMQ1-1WuyhRuvJ89m00sE/edit#gid=0</t>
      </text>
    </comment>
    <comment authorId="0" ref="R2">
      <text>
        <t xml:space="preserve">[1] Reference:
PCT databank: Lymphatic filariasis [Internet]. Geneva, Switzerland: World Health Organization; 2017. cited - . [Oct 31, 2020]
Source link:
http://www.who.int/neglected_diseases/preventive_chemotherapy/lf/en/
Drive link:
https://docs.google.com/spreadsheets/d/1KGtReDQZkwDuDLYMSs8Cl0LMQ1-1WuyhRuvJ89m00sE/edit#gid=0
====================
Previous citation:
taken from WHO PCT databank, found under "National Coverage"
http://www.who.int/neglected_diseases/preventive_chemotherapy/lf/en/</t>
      </text>
    </comment>
    <comment authorId="0" ref="T2">
      <text>
        <t xml:space="preserve">[1] Reference:
PCT databank: Schistosomiasis [Internet]. Geneva, Switzerland: World Health Organization; 2017. cited - . [Oct 31, 2020]
Source link:
http://www.who.int/neglected_diseases/preventive_chemotherapy/lf/en/
Drive link:
https://docs.google.com/spreadsheets/d/1KGtReDQZkwDuDLYMSs8Cl0LMQ1-1WuyhRuvJ89m00sE/edit#gid=0</t>
      </text>
    </comment>
    <comment authorId="0" ref="V2">
      <text>
        <t xml:space="preserve">[1] Reference:
PCT databank: Pre-SAC [Internet]. Geneva, Switzerland: World Health Organization; 2017. cited - . [Oct 31, 2020]
Source link:
http://www.who.int/neglected_diseases/preventive_chemotherapy/lf/en/
Drive link:
https://docs.google.com/spreadsheets/d/1KGtReDQZkwDuDLYMSs8Cl0LMQ1-1WuyhRuvJ89m00sE/edit#gid=0</t>
      </text>
    </comment>
    <comment authorId="0" ref="X2">
      <text>
        <t xml:space="preserve">[1] Reference:
PCT databank: SAC [Internet]. Geneva, Switzerland: World Health Organization; 2017. cited - . [Oct 31, 2020]
Source link:
http://www.who.int/neglected_diseases/preventive_chemotherapy/lf/en/
Drive link:
https://docs.google.com/spreadsheets/d/1KGtReDQZkwDuDLYMSs8Cl0LMQ1-1WuyhRuvJ89m00sE/edit#gid=0</t>
      </text>
    </comment>
    <comment authorId="0" ref="Z2">
      <text>
        <t xml:space="preserve">World Health Organization. Onchocerciasis data [Internet]. Geneva, Switzerland: World Health Organization; 2017 - . [cited Oct 31, 2020].
Source link:
http://apps.who.int/neglected_diseases/ntddata/oncho/onchocerciasis.html
Drive link:
Prevalence data is taken as the metric "Estimated number of individuals in the country requiring preventive chemotherapy for onchocerciasis." This data appears in Column E of the following spreadsheet:
https://docs.google.com/spreadsheets/d/1KGtReDQZkwDuDLYMSs8Cl0LMQ1-1WuyhRuvJ89m00sE/edit#gid=0</t>
      </text>
    </comment>
    <comment authorId="0" ref="AA2">
      <text>
        <t xml:space="preserve">World Health Organization. Onchocerciasis data [Internet]. Geneva, Switzerland: World Health Organization; 2017 - . [cited Oct 31, 2020].
Source link:
http://apps.who.int/neglected_diseases/ntddata/oncho/onchocerciasis.html
Drive link:
"Reported number of individuals treated," 2017.
This data appears in Column U of the following spreadsheet:
https://docs.google.com/spreadsheets/d/1KGtReDQZkwDuDLYMSs8Cl0LMQ1-1WuyhRuvJ89m00sE/edit#gid=0</t>
      </text>
    </comment>
    <comment authorId="0" ref="AB2">
      <text>
        <t xml:space="preserve"># People Treated / # People Receiving Treatment</t>
      </text>
    </comment>
    <comment authorId="0" ref="AD2">
      <text>
        <t xml:space="preserve">[1] Reference:
Data found on the GBD Study Data Search Engine [Internet]. Seattle, WA: Institute for Health Metrics and Evaluation; 2017 - .[cited Sep 31, 2020].
Source link:
https://gbd2017.healthdata.org/gbd-search/
Using GBD Results Tool
Year: 2017
Measure: Prevalence
Sex: Both
Cause: Lymphatic filariasis
Age: All
Context: Cause
Location: All
Drive link:
https://docs.google.com/spreadsheets/d/18eqXMz81PTNazvXlh1PBfN-tkb2yZ1CfFTddan32dIA/edit#gid=0</t>
      </text>
    </comment>
    <comment authorId="0" ref="AE2">
      <text>
        <t xml:space="preserve">[1] Reference:
Data found on the GBD Study Data Search Engine [Internet]. Seattle, WA: Institute for Health Metrics and Evaluation; 2017 - .[cited Sep 31, 2020].
Source link:
https://gbd2017.healthdata.org/gbd-search/
Using GBD Results Tool
Year: 2017
Measure: Prevalence
Sex: Both
Cause: Schistosomiasis
Age: All
Context: Cause
Location: All
Drive link:
https://docs.google.com/spreadsheets/d/18eqXMz81PTNazvXlh1PBfN-tkb2yZ1CfFTddan32dIA/edit#gid=0</t>
      </text>
    </comment>
    <comment authorId="0" ref="AF2">
      <text>
        <t xml:space="preserve">[1] Reference:
Data found on the GBD Study Data Search Engine [Internet]. Seattle, WA: Institute for Health Metrics and Evaluation; 2017 - .[cited Sep 31, 2020].
Source link:
https://gbd2017.healthdata.org/gbd-search/
Using GBD Results Tool
Year: 2017
Measure: Prevalence
Sex: Both
Cause: Schistosomiasis
Age: 5-14 years
Context: Cause
Location: All
Drive link:
https://docs.google.com/spreadsheets/d/18eqXMz81PTNazvXlh1PBfN-tkb2yZ1CfFTddan32dIA/edit#gid=0</t>
      </text>
    </comment>
    <comment authorId="0" ref="AG2">
      <text>
        <t xml:space="preserve">[1] Reference:
Data found on the GBD Study Data Search Engine [Internet]. Seattle, WA: Institute for Health Metrics and Evaluation; 2017 - .[cited Sep 31, 2020].
Source link:
https://gbd2017.healthdata.org/gbd-search/
Using GBD Results Tool
Year: 2017
Measure: Prevalence
Sex: Both
Cause: Whipworm
Age: 1-4 years
Context: Cause
Location: All
Drive link:
https://docs.google.com/spreadsheets/d/18eqXMz81PTNazvXlh1PBfN-tkb2yZ1CfFTddan32dIA/edit#gid=0</t>
      </text>
    </comment>
    <comment authorId="0" ref="AH2">
      <text>
        <t xml:space="preserve">[1] Reference:
Data found on the GBD Study Data Search Engine [Internet]. Seattle, WA: Institute for Health Metrics and Evaluation; 2017 - .[cited Sep 31, 2020].
Source link:
https://gbd2017.healthdata.org/gbd-search/
Using GBD Results Tool
Year: 2017
Measure: Prevalence
Sex: Both
Cause: Whipworm
Age: 5-14 years
Context: Cause
Location: All
Drive link:
https://docs.google.com/spreadsheets/d/18eqXMz81PTNazvXlh1PBfN-tkb2yZ1CfFTddan32dIA/edit#gid=0</t>
      </text>
    </comment>
    <comment authorId="0" ref="AI2">
      <text>
        <t xml:space="preserve">[1] Reference:
Data found on the GBD Study Data Search Engine [Internet]. Seattle, WA: Institute for Health Metrics and Evaluation; 2017 - .[cited Sep 31, 2020].
Source link:
https://gbd2017.healthdata.org/gbd-search/
Using GBD Results Tool
Year: 2017
Measure: Prevalence
Sex: Both
Cause: Hookworm
Age: 1-4 years
Context: Cause
Location: All
Drive link:
https://docs.google.com/spreadsheets/d/18eqXMz81PTNazvXlh1PBfN-tkb2yZ1CfFTddan32dIA/edit#gid=0</t>
      </text>
    </comment>
    <comment authorId="0" ref="AJ2">
      <text>
        <t xml:space="preserve">[1] Reference:
Data found on the GBD Study Data Search Engine [Internet]. Seattle, WA: Institute for Health Metrics and Evaluation; 2017 - .[cited Sep 31, 2020].
Source link:
https://gbd2017.healthdata.org/gbd-search/
Using GBD Results Tool
Year: 2017
Measure: Prevalence
Sex: Both
Cause: Hookworm
Age: 5-14 years
Context: Cause
Location: All
Drive link:
https://docs.google.com/spreadsheets/d/18eqXMz81PTNazvXlh1PBfN-tkb2yZ1CfFTddan32dIA/edit#gid=0</t>
      </text>
    </comment>
    <comment authorId="0" ref="AK2">
      <text>
        <t xml:space="preserve">[1] Reference:
Data found on the GBD Study Data Search Engine [Internet]. Seattle, WA: Institute for Health Metrics and Evaluation; 2017 - .[cited Sep 31, 2020].
Source link:
https://gbd2017.healthdata.org/gbd-search/
Using GBD Results Tool
Year: 2017
Measure: Prevalence
Sex: Both
Cause: Roundworm
Age: 1-4 years
Context: Cause
Location: All
Drive link:
https://docs.google.com/spreadsheets/d/18eqXMz81PTNazvXlh1PBfN-tkb2yZ1CfFTddan32dIA/edit#gid=0</t>
      </text>
    </comment>
    <comment authorId="0" ref="AL2">
      <text>
        <t xml:space="preserve">[1] Reference:
Data found on the GBD Study Data Search Engine [Internet]. Seattle, WA: Institute for Health Metrics and Evaluation; 2017 - .[cited Sep 31, 2020].
Source link:
https://gbd2017.healthdata.org/gbd-search/
Using GBD Results Tool
Year: 2017
Measure: Prevalence
Sex: Both
Cause: Roundworm
Age: 5-14 years
Context: Cause
Location: All
Drive link:
https://docs.google.com/spreadsheets/d/18eqXMz81PTNazvXlh1PBfN-tkb2yZ1CfFTddan32dIA/edit#gid=0</t>
      </text>
    </comment>
    <comment authorId="0" ref="AM2">
      <text>
        <t xml:space="preserve">[1] Reference:
Data found on the GBD Study Data Search Engine [Internet]. Seattle, WA: Institute for Health Metrics and Evaluation; 2017 - .[cited Sep 31, 2020].
Source link:
https://gbd2017.healthdata.org/gbd-search/
Using GBD Results Tool
Year: 2017
Measure: Prevalence
Sex: Both
Cause: Onchocerciasis
Age: All Ages
Context: Cause
Location: All
Drive link:
https://docs.google.com/spreadsheets/d/18eqXMz81PTNazvXlh1PBfN-tkb2yZ1CfFTddan32dIA/edit#gid=0</t>
      </text>
    </comment>
    <comment authorId="0" ref="BN2">
      <text>
        <t xml:space="preserve">[1] Reference:
PCT databank: Lymphatic filariasis [Internet]. Geneva, Switzerland: World Health Organization; 2017. cited - . [Oct 31, 2020]
Source link:
http://www.who.int/neglected_diseases/preventive_chemotherapy/lf/en/
determined to be endemic if  data exists in the database above for "population requiring LF"</t>
      </text>
    </comment>
    <comment authorId="0" ref="BO2">
      <text>
        <t xml:space="preserve">[1] Reference:
PCT databank: Onchocerciasis [Internet]. Geneva, Switzerland: World Health Organization; 2017. cited - . [Oct 31, 2020]
Source link:
http://www.who.int/neglected_diseases/preventive_chemotherapy/lf/en/
determined to be endemic if labeled as endemic in the database above</t>
      </text>
    </comment>
    <comment authorId="0" ref="BP2">
      <text>
        <t xml:space="preserve">[1] Reference:
PCT databank: Schistosomiasis [Internet]. Geneva, Switzerland: World Health Organization; 2017. cited - . [Oct 31, 2020]
Source link:
http://www.who.int/neglected_diseases/preventive_chemotherapy/lf/en/
determined to be endemic if data exists for "SAC population requiring PC for STH annually" in the database above</t>
      </text>
    </comment>
    <comment authorId="0" ref="BQ2">
      <text>
        <t xml:space="preserve">Need drive links
formula based on table A2.1 
based off this
World Health Organization. “Preventive Chemotherapy in Human Helminthiasis: Coordinated Use of Anthelminthic Drugs in Control Interventions : A Manual for Health Professionals and Programme Managers.,” 2006. Page 41. http://apps.who.int/iris/bitstream/10665/43545/1/9241547103_eng.pdf
https://docs.google.com/document/d/12hzuotHTAhpBQ5NYBcNIn0DwxypnGRwVAcOqOeYAZvM/edit</t>
      </text>
    </comment>
    <comment authorId="0" ref="BV2">
      <text>
        <t xml:space="preserve">This formula references two lists below from CB222:CC237
in case those move they are titled "coding" and "mda type"</t>
      </text>
    </comment>
    <comment authorId="0" ref="BW2">
      <text>
        <t xml:space="preserve">Divided by 5 due to recommended yearly dose being given for 5 years 
Tisch, Daniel J., Edwin Michael, and James W. Kazura. "Mass chemotherapy options to control lymphatic filariasis: a systematic review." The Lancet infectious diseases. 2015. 514-523.
Source link:
http://www.sciencedirect.com/science/article/pii/S1473309905701924?via%3Dihub#bbib21
“The current global filariasis control effort advocates yearly mass administration of single dose albendazole plus ivermectin, albendazole plus diethylcarbamazine, or diethylcarbamazine alone for 4–6 years based on expected decreases in transmission and estimates of worm longevity.”</t>
      </text>
    </comment>
    <comment authorId="0" ref="BX2">
      <text>
        <t xml:space="preserve">Divided by 5 due to recommended yearly dose being given for 5 years 
[1] Reference:
Tisch, Daniel J., Edwin Michael, and James W. Kazura. "Mass chemotherapy options to control lymphatic filariasis: a systematic review." The Lancet infectious diseases. 2015. 514-523.
Source link:
http://www.sciencedirect.com/science/article/pii/S1473309905701924?via%3Dihub#bbib21
“The current global filariasis control effort advocates yearly mass administration of single dose albendazole plus ivermectin, albendazole plus diethylcarbamazine, or diethylcarbamazine alone for 4–6 years based on expected decreases in transmission and estimates of worm longevity.”</t>
      </text>
    </comment>
    <comment authorId="0" ref="BZ2">
      <text>
        <t xml:space="preserve">We divide by 2 if prevalence of SAC is above 50% due to the NTD guidelines (found on page 41)
[1] Reference:
Dr Marco Albonico, Dr Dirk Engels, Dr Albis Francesco  Gabrielli, Dr Francesco Rio, Dr Lorenzo and Professor Nilanthi de Silva. Preventive Chemotherapy in Human Helminthiasis: Coordinated Use of Anthelminthic Drugs in Control Interventions : A Manual for Health Professionals and Programme Managers. Geneva, Switzerland: World Health Organization; 2006. Page 16-17.  
Source link:
http://apps.who.int/iris/bitstream/10665/43545/1/9241547103_eng.pdf
Drive link:
https://docs.google.com/document/d/12hzuotHTAhpBQ5NYBcNIn0DwxypnGRwVAcOqOeYAZvM/edit</t>
      </text>
    </comment>
    <comment authorId="0" ref="CA2">
      <text>
        <t xml:space="preserve">We divide by 2 if prevalence of SAC is above 50% due to the NTD guidelines (found on page 41)
[1] Reference:
Dr Marco Albonico, Dr Dirk Engels, Dr Albis Francesco  Gabrielli, Dr Francesco Rio, Dr Lorenzo and Professor Nilanthi de Silva. Preventive Chemotherapy in Human Helminthiasis: Coordinated Use of Anthelminthic Drugs in Control Interventions : A Manual for Health Professionals and Programme Managers. Geneva, Switzerland: World Health Organization; 2006. Page 16-17.  
Source link:
http://apps.who.int/iris/bitstream/10665/43545/1/9241547103_eng.pdf
Drive link:
https://docs.google.com/document/d/12hzuotHTAhpBQ5NYBcNIn0DwxypnGRwVAcOqOeYAZvM/edit</t>
      </text>
    </comment>
    <comment authorId="0" ref="CB2">
      <text>
        <t xml:space="preserve">We divide by 2 if prevalence of SAC is above 50% due to the NTD guidelines (found on page 41)
[1] Reference:
Dr Marco Albonico, Dr Dirk Engels, Dr Albis Francesco  Gabrielli, Dr Francesco Rio, Dr Lorenzo and Professor Nilanthi de Silva. Preventive Chemotherapy in Human Helminthiasis: Coordinated Use of Anthelminthic Drugs in Control Interventions : A Manual for Health Professionals and Programme Managers. Geneva, Switzerland: World Health Organization; 2006. Page 16-17.  
Source link:
http://apps.who.int/iris/bitstream/10665/43545/1/9241547103_eng.pdf
Drive link:
https://docs.google.com/document/d/12hzuotHTAhpBQ5NYBcNIn0DwxypnGRwVAcOqOeYAZvM/edit</t>
      </text>
    </comment>
    <comment authorId="0" ref="CC2">
      <text>
        <t xml:space="preserve">We divide by 2 if prevalence of SAC is above 50% due to the NTD guidelines (found on page 41)
[1] Reference:
Dr Marco Albonico, Dr Dirk Engels, Dr Albis Francesco  Gabrielli, Dr Francesco Rio, Dr Lorenzo and Professor Nilanthi de Silva. Preventive Chemotherapy in Human Helminthiasis: Coordinated Use of Anthelminthic Drugs in Control Interventions : A Manual for Health Professionals and Programme Managers. Geneva, Switzerland: World Health Organization; 2006. Page 16-17.  
Source link:
http://apps.who.int/iris/bitstream/10665/43545/1/9241547103_eng.pdf
Drive link:
https://docs.google.com/document/d/12hzuotHTAhpBQ5NYBcNIn0DwxypnGRwVAcOqOeYAZvM/edit</t>
      </text>
    </comment>
    <comment authorId="0" ref="CD2">
      <text>
        <t xml:space="preserve">We divide by 2 if prevalence of SAC is above 50% due to the NTD guidelines (found on page 41)
[1] Reference:
Dr Marco Albonico, Dr Dirk Engels, Dr Albis Francesco  Gabrielli, Dr Francesco Rio, Dr Lorenzo and Professor Nilanthi de Silva. Preventive Chemotherapy in Human Helminthiasis: Coordinated Use of Anthelminthic Drugs in Control Interventions : A Manual for Health Professionals and Programme Managers. Geneva, Switzerland: World Health Organization; 2006. Page 16-17.  
Source link:
http://apps.who.int/iris/bitstream/10665/43545/1/9241547103_eng.pdf
Drive link:
https://docs.google.com/document/d/12hzuotHTAhpBQ5NYBcNIn0DwxypnGRwVAcOqOeYAZvM/edit</t>
      </text>
    </comment>
    <comment authorId="0" ref="CE2">
      <text>
        <t xml:space="preserve">We divide by 2 if prevalence of SAC is above 50% due to the NTD guidelines (found on page 41)
[1] Reference:
Dr Marco Albonico, Dr Dirk Engels, Dr Albis Francesco  Gabrielli, Dr Francesco Rio, Dr Lorenzo and Professor Nilanthi de Silva. Preventive Chemotherapy in Human Helminthiasis: Coordinated Use of Anthelminthic Drugs in Control Interventions : A Manual for Health Professionals and Programme Managers. Geneva, Switzerland: World Health Organization; 2006. Page 16-17.  
Source link:
http://apps.who.int/iris/bitstream/10665/43545/1/9241547103_eng.pdf
Drive link:
https://docs.google.com/document/d/12hzuotHTAhpBQ5NYBcNIn0DwxypnGRwVAcOqOeYAZvM/edit</t>
      </text>
    </comment>
    <comment authorId="0" ref="CF2">
      <text>
        <t xml:space="preserve">We divide by 2 if prevalence of SAC is above 50% due to the NTD guidelines (found on page 41)
[1] Reference:
Dr Marco Albonico, Dr Dirk Engels, Dr Albis Francesco  Gabrielli, Dr Francesco Rio, Dr Lorenzo and Professor Nilanthi de Silva. Preventive Chemotherapy in Human Helminthiasis: Coordinated Use of Anthelminthic Drugs in Control Interventions : A Manual for Health Professionals and Programme Managers. Geneva, Switzerland: World Health Organization; 2006. Page 16-17.  
Source link:
http://apps.who.int/iris/bitstream/10665/43545/1/9241547103_eng.pdf
Drive link:
https://docs.google.com/document/d/12hzuotHTAhpBQ5NYBcNIn0DwxypnGRwVAcOqOeYAZvM/edit</t>
      </text>
    </comment>
    <comment authorId="0" ref="CG2">
      <text>
        <t xml:space="preserve">We divide by 2 if prevalence of SAC is above 50% due to the NTD guidelines (found on page 41)
[1] Reference:
Dr Marco Albonico, Dr Dirk Engels, Dr Albis Francesco  Gabrielli, Dr Francesco Rio, Dr Lorenzo and Professor Nilanthi de Silva. Preventive Chemotherapy in Human Helminthiasis: Coordinated Use of Anthelminthic Drugs in Control Interventions : A Manual for Health Professionals and Programme Managers. Geneva, Switzerland: World Health Organization; 2006. Page 16-17.  
Source link:
http://apps.who.int/iris/bitstream/10665/43545/1/9241547103_eng.pdf
Drive link:
https://docs.google.com/document/d/12hzuotHTAhpBQ5NYBcNIn0DwxypnGRwVAcOqOeYAZvM/edit</t>
      </text>
    </comment>
    <comment authorId="0" ref="CH2">
      <text>
        <t xml:space="preserve">[1] Reference:
Prevention C-C for DC and. CDC - Onchocerciasis [Internet]. 2017 [cited Jul 14, 2018]. 
Source link:
https://www.cdc.gov/parasites/onchocerciasis/treatment.html
“The recommended treatment is ivermectin, which will need to be given every 6 months for the life span of the adult worms or for as long as the infected person has evidence of skin or eye infection.”
[2] Reference:
Average Lifespan of adult Onchocerciasis worms:
CDC - DPDx - Onchocerciasis [Internet]. 2017. [Jul 14, 2018].
Source link:
https://www.cdc.gov/dpdx/onchocerciasis/index.html
“Adults can live in the nodules for approximately 15 years…. In the subcutaneous nodules, the female worms are capable of producing microfilariae for approximately 9 years. The microfilariae… have a life span that may reach 2 years.” 
Drive link:
https://docs.google.com/document/d/1ygRR_LvJzf0l8r3_2qqwFmGU4PTB0HBrRhqUQds9DT8/edit#</t>
      </text>
    </comment>
    <comment authorId="0" ref="S3">
      <text>
        <t xml:space="preserve">Global Average</t>
      </text>
    </comment>
    <comment authorId="0" ref="W3">
      <text>
        <t xml:space="preserve">global average</t>
      </text>
    </comment>
    <comment authorId="0" ref="Y3">
      <text>
        <t xml:space="preserve">Global Average</t>
      </text>
    </comment>
    <comment authorId="0" ref="BM3">
      <text>
        <t xml:space="preserve">important thing to note is that no data exists for any region other than AFR, making global average and AFR regional average the same for countries lacking country level data</t>
      </text>
    </comment>
    <comment authorId="0" ref="BN7">
      <text>
        <t xml:space="preserve">in the list, but "Surveillance"</t>
      </text>
    </comment>
    <comment authorId="0" ref="BN67">
      <text>
        <t xml:space="preserve">in the list, but "Surveillance"</t>
      </text>
    </comment>
    <comment authorId="0" ref="BN106">
      <text>
        <t xml:space="preserve">in the list, but "Surveillance"</t>
      </text>
    </comment>
    <comment authorId="0" ref="BN118">
      <text>
        <t xml:space="preserve">in the list, but "Surveillance"</t>
      </text>
    </comment>
    <comment authorId="0" ref="BN123">
      <text>
        <t xml:space="preserve">in the list, but "Surveillance"</t>
      </text>
    </comment>
    <comment authorId="0" ref="BN149">
      <text>
        <t xml:space="preserve">in the list, but "Surveillance"</t>
      </text>
    </comment>
    <comment authorId="0" ref="BN193">
      <text>
        <t xml:space="preserve">in the list, but "Surveillance"</t>
      </text>
    </comment>
    <comment authorId="0" ref="BN196">
      <text>
        <t xml:space="preserve">in the list, but "surveillance"</t>
      </text>
    </comment>
    <comment authorId="0" ref="BN198">
      <text>
        <t xml:space="preserve">in the list, but "Surveillance"</t>
      </text>
    </comment>
    <comment authorId="0" ref="BN215">
      <text>
        <t xml:space="preserve">in the list, but "Surveillance"</t>
      </text>
    </comment>
    <comment authorId="0" ref="BN216">
      <text>
        <t xml:space="preserve">in the list, but "Surveillance"</t>
      </text>
    </comment>
    <comment authorId="0" ref="BN218">
      <text>
        <t xml:space="preserve">in the list, but "Surveillance"</t>
      </text>
    </comment>
    <comment authorId="0" ref="BR221">
      <text>
        <t xml:space="preserve">this is used in the formula of column BV
in case it moves its titled "diseases targeted by MDA"
it lists the unique possibilities of columns BV so that you don't have to write a code as long as you would if you listed all possibilities
can check this data by using the "unique" formula. The coding and diseases targeted are based off:
World Health Organization. “Preventive Chemotherapy in Human Helminthiasis: Coordinated Use of Anthelminthic Drugs in Control Interventions : A Manual for Health Professionals and Programme Managers.,” 2006. Page 16-17. http://apps.who.int/iris/bitstream/10665/43545/1/9241547103_eng.pdf
https://docs.google.com/document/d/12hzuotHTAhpBQ5NYBcNIn0DwxypnGRwVAcOqOeYAZvM/edit</t>
      </text>
    </comment>
    <comment authorId="0" ref="BS221">
      <text>
        <t xml:space="preserve">this is used in the formula of column BV
in case it moves its titled "diseases targeted by MDA"
this lists the corresponding diseases that are endemic given the coding of 0s and 1s
The coding and diseases targeted are based off:
World Health Organization. “Preventive Chemotherapy in Human Helminthiasis: Coordinated Use of Anthelminthic Drugs in Control Interventions : A Manual for Health Professionals and Programme Managers.,” 2006. Page 16-17. http://apps.who.int/iris/bitstream/10665/43545/1/9241547103_eng.pdf
https://docs.google.com/document/d/12hzuotHTAhpBQ5NYBcNIn0DwxypnGRwVAcOqOeYAZvM/edit</t>
      </text>
    </comment>
  </commentList>
</comments>
</file>

<file path=xl/comments5.xml><?xml version="1.0" encoding="utf-8"?>
<comments xmlns:r="http://schemas.openxmlformats.org/officeDocument/2006/relationships" xmlns="http://schemas.openxmlformats.org/spreadsheetml/2006/main">
  <authors>
    <author/>
  </authors>
  <commentList>
    <comment authorId="0" ref="A1">
      <text>
        <t xml:space="preserve">&lt;30 sample size = yellow
Study type other than RCT (with or without blind) = red
Older than 2000 = Blue
Unusual patient group = Purple
</t>
      </text>
    </comment>
  </commentList>
</comments>
</file>

<file path=xl/sharedStrings.xml><?xml version="1.0" encoding="utf-8"?>
<sst xmlns="http://schemas.openxmlformats.org/spreadsheetml/2006/main" count="2852" uniqueCount="409">
  <si>
    <t>Pharmaceutical Company</t>
  </si>
  <si>
    <t>Merk</t>
  </si>
  <si>
    <t>Bayer Healthcare</t>
  </si>
  <si>
    <t xml:space="preserve">Pfizer Inc. </t>
  </si>
  <si>
    <t>GlaxoSmithKline</t>
  </si>
  <si>
    <t>Johnson and Johnson</t>
  </si>
  <si>
    <t>Company</t>
  </si>
  <si>
    <t>Company Impact Score</t>
  </si>
  <si>
    <t>Patent Date</t>
  </si>
  <si>
    <t>Drug</t>
  </si>
  <si>
    <t>Ivermectin (IVM)</t>
  </si>
  <si>
    <t>Praziquantel (PZQ)</t>
  </si>
  <si>
    <t>Diethylcarbamazine (DEC)</t>
  </si>
  <si>
    <t>Albendazole (ALB)</t>
  </si>
  <si>
    <t>Mebendazole (MBD)</t>
  </si>
  <si>
    <t>Roundworm</t>
  </si>
  <si>
    <t>Hookworm</t>
  </si>
  <si>
    <t>Whipworm</t>
  </si>
  <si>
    <t>Schistosomiasis</t>
  </si>
  <si>
    <t>Onchocersais</t>
  </si>
  <si>
    <t>LF</t>
  </si>
  <si>
    <t>Sum</t>
  </si>
  <si>
    <t>Country</t>
  </si>
  <si>
    <t>WHO Region</t>
  </si>
  <si>
    <t>Population</t>
  </si>
  <si>
    <t>LF DALYs</t>
  </si>
  <si>
    <t>Schist DALYs</t>
  </si>
  <si>
    <t>Whipworm DALYs</t>
  </si>
  <si>
    <t>Hookworm DALYs</t>
  </si>
  <si>
    <t>Roundworm DALYs</t>
  </si>
  <si>
    <t>LF Treatment Coverage</t>
  </si>
  <si>
    <t>SCHIST Treatment Coverage</t>
  </si>
  <si>
    <t>STH</t>
  </si>
  <si>
    <t>Prevalence (%)</t>
  </si>
  <si>
    <t>LF Efficacy</t>
  </si>
  <si>
    <t>SCHIST Efficacy</t>
  </si>
  <si>
    <t>Whipworm Efficacy</t>
  </si>
  <si>
    <t>Hookworm Efficacy</t>
  </si>
  <si>
    <t>Roundworm Efficacy</t>
  </si>
  <si>
    <t>Treatment Guidelines</t>
  </si>
  <si>
    <t>Impact of LF</t>
  </si>
  <si>
    <t>Impact of Schist</t>
  </si>
  <si>
    <t>Impact of Whipworm</t>
  </si>
  <si>
    <t>Impact of Hookworm</t>
  </si>
  <si>
    <t>Impact of Roundworm</t>
  </si>
  <si>
    <t>Total</t>
  </si>
  <si>
    <t>Total DALYs</t>
  </si>
  <si>
    <t>Under 5 Years</t>
  </si>
  <si>
    <t>5-14 Years</t>
  </si>
  <si>
    <t>Input to make model identical to 2013, 2015</t>
  </si>
  <si>
    <t>Prevalence</t>
  </si>
  <si>
    <t>Number Treated</t>
  </si>
  <si>
    <t>Estimated LF Treatment Coverage</t>
  </si>
  <si>
    <t>Estimated Schist Treatment Coverage</t>
  </si>
  <si>
    <t>STH Pre-SAC Treatment Coverage</t>
  </si>
  <si>
    <t>STH SAC Treatment Coverage</t>
  </si>
  <si>
    <t>SCHIST All Ages</t>
  </si>
  <si>
    <t>SCHIST SAC (5-14 years)</t>
  </si>
  <si>
    <t>Whipworm (5-14 years)</t>
  </si>
  <si>
    <t>Hookworm (5-14 years)</t>
  </si>
  <si>
    <t>Roundworm (5-14 years)</t>
  </si>
  <si>
    <t>This col was input to make placement of data identical to 2013, 2015 for SA</t>
  </si>
  <si>
    <t>Single Dose of DEC (6mg/kg)</t>
  </si>
  <si>
    <t>Estimated Efficacy</t>
  </si>
  <si>
    <t>Single dose of DEC (6mg/kg) + ALB(400mg)</t>
  </si>
  <si>
    <t>Combination of ALB (400mg) +IVM (400ug/kg)</t>
  </si>
  <si>
    <t>PZQ</t>
  </si>
  <si>
    <t>Alb</t>
  </si>
  <si>
    <t>Mbd</t>
  </si>
  <si>
    <t>Ivm+Alb</t>
  </si>
  <si>
    <t>ONCH</t>
  </si>
  <si>
    <t>SCHIST</t>
  </si>
  <si>
    <t>STH Level</t>
  </si>
  <si>
    <t>Coding</t>
  </si>
  <si>
    <t>MDA type</t>
  </si>
  <si>
    <t>Treatment Part 1</t>
  </si>
  <si>
    <t>Treatment Part 2</t>
  </si>
  <si>
    <t>Diseases targeted by the MDA</t>
  </si>
  <si>
    <t>DEC+ALB</t>
  </si>
  <si>
    <t>IVM+ALB</t>
  </si>
  <si>
    <t>ALB</t>
  </si>
  <si>
    <t>MBD</t>
  </si>
  <si>
    <t>total</t>
  </si>
  <si>
    <t>Global Average</t>
  </si>
  <si>
    <t>(5-14 years)</t>
  </si>
  <si>
    <t>1 if endemic</t>
  </si>
  <si>
    <t>2 if high, 1 if low</t>
  </si>
  <si>
    <t>Afghanistan</t>
  </si>
  <si>
    <t>EMR</t>
  </si>
  <si>
    <t>Albania</t>
  </si>
  <si>
    <t>EUR</t>
  </si>
  <si>
    <t>Algeria</t>
  </si>
  <si>
    <t>AFR</t>
  </si>
  <si>
    <t>American Samoa</t>
  </si>
  <si>
    <t>WPR</t>
  </si>
  <si>
    <t>Andorra</t>
  </si>
  <si>
    <t>Angola</t>
  </si>
  <si>
    <t>Anguilla</t>
  </si>
  <si>
    <t>AMR</t>
  </si>
  <si>
    <t>Antigua and Barbuda</t>
  </si>
  <si>
    <t>Argentina</t>
  </si>
  <si>
    <t>Armenia</t>
  </si>
  <si>
    <t>Aruba</t>
  </si>
  <si>
    <t>Australia</t>
  </si>
  <si>
    <t>Austria</t>
  </si>
  <si>
    <t>Azerbaijan</t>
  </si>
  <si>
    <t>Bahamas</t>
  </si>
  <si>
    <t>Bahrain</t>
  </si>
  <si>
    <t>Bangladesh</t>
  </si>
  <si>
    <t>SEA</t>
  </si>
  <si>
    <t>Barbados</t>
  </si>
  <si>
    <t>Belarus</t>
  </si>
  <si>
    <t>Belgium</t>
  </si>
  <si>
    <t>Belize</t>
  </si>
  <si>
    <t>Benin</t>
  </si>
  <si>
    <t>Bermuda</t>
  </si>
  <si>
    <t>Bhutan</t>
  </si>
  <si>
    <t>Bolivia</t>
  </si>
  <si>
    <t>Bonaire, Saint Eustatius and Saba</t>
  </si>
  <si>
    <t>Bosnia and Herzegovina</t>
  </si>
  <si>
    <t>Botswana</t>
  </si>
  <si>
    <t>Brazil</t>
  </si>
  <si>
    <t>British Virgin Islands</t>
  </si>
  <si>
    <t>Brunei Darussalam</t>
  </si>
  <si>
    <t>Bulgaria</t>
  </si>
  <si>
    <t>Burkina Faso</t>
  </si>
  <si>
    <t>Burundi</t>
  </si>
  <si>
    <t>Cambodia</t>
  </si>
  <si>
    <t>Cameroon</t>
  </si>
  <si>
    <t>Canada</t>
  </si>
  <si>
    <t>Cape Verde</t>
  </si>
  <si>
    <t>Cayman Islands</t>
  </si>
  <si>
    <t>Central African Republic</t>
  </si>
  <si>
    <t>Chad</t>
  </si>
  <si>
    <t>Chile</t>
  </si>
  <si>
    <t>China</t>
  </si>
  <si>
    <t>China, Hong Kong SAR</t>
  </si>
  <si>
    <t>China, Macao SAR</t>
  </si>
  <si>
    <t>Colombia</t>
  </si>
  <si>
    <t>Comoros</t>
  </si>
  <si>
    <t>Congo</t>
  </si>
  <si>
    <t>Cook Islands</t>
  </si>
  <si>
    <t>Costa Rica</t>
  </si>
  <si>
    <t>Cote d'Ivoire</t>
  </si>
  <si>
    <t>Croatia</t>
  </si>
  <si>
    <t>Cuba</t>
  </si>
  <si>
    <t>Curacao</t>
  </si>
  <si>
    <t>Cyprus</t>
  </si>
  <si>
    <t>Czech Republic</t>
  </si>
  <si>
    <t>Democratic People's Republic of Korea</t>
  </si>
  <si>
    <t>Democratic Republic of the Congo</t>
  </si>
  <si>
    <t>Denmark</t>
  </si>
  <si>
    <t>Djibouti</t>
  </si>
  <si>
    <t>Dominica</t>
  </si>
  <si>
    <t>Dominican Republic</t>
  </si>
  <si>
    <t>Ecuador</t>
  </si>
  <si>
    <t>Egypt</t>
  </si>
  <si>
    <t>El Salvador</t>
  </si>
  <si>
    <t>Equatorial Guinea</t>
  </si>
  <si>
    <t>Eritrea</t>
  </si>
  <si>
    <t>Estonia</t>
  </si>
  <si>
    <t>Ethiopia</t>
  </si>
  <si>
    <t>Fiji</t>
  </si>
  <si>
    <t>Finland</t>
  </si>
  <si>
    <t>France</t>
  </si>
  <si>
    <t>French Polynesia</t>
  </si>
  <si>
    <t>Gabon</t>
  </si>
  <si>
    <t>Gambia</t>
  </si>
  <si>
    <t>Georgia</t>
  </si>
  <si>
    <t>Germany</t>
  </si>
  <si>
    <t>Ghana</t>
  </si>
  <si>
    <t>Greece</t>
  </si>
  <si>
    <t>Greenland</t>
  </si>
  <si>
    <t>Grenada</t>
  </si>
  <si>
    <t>Guam</t>
  </si>
  <si>
    <t>Guatemala</t>
  </si>
  <si>
    <t>Guinea</t>
  </si>
  <si>
    <t>Guinea-Bissau</t>
  </si>
  <si>
    <t>Guyana</t>
  </si>
  <si>
    <t>Haiti</t>
  </si>
  <si>
    <t>Honduras</t>
  </si>
  <si>
    <t>Hungary</t>
  </si>
  <si>
    <t>Iceland</t>
  </si>
  <si>
    <t>India</t>
  </si>
  <si>
    <t>Indonesia</t>
  </si>
  <si>
    <t>Iran</t>
  </si>
  <si>
    <t>Iraq</t>
  </si>
  <si>
    <t>Ireland</t>
  </si>
  <si>
    <t>Israel</t>
  </si>
  <si>
    <t>Italy</t>
  </si>
  <si>
    <t>Jamaica</t>
  </si>
  <si>
    <t>Japan</t>
  </si>
  <si>
    <t>Jordan</t>
  </si>
  <si>
    <t>Kazakhstan</t>
  </si>
  <si>
    <t>Kenya</t>
  </si>
  <si>
    <t>Kiribati</t>
  </si>
  <si>
    <t>Kuwait</t>
  </si>
  <si>
    <t>Kyrgyzstan</t>
  </si>
  <si>
    <t>Lao People's Democratic Republic</t>
  </si>
  <si>
    <t>Latvia</t>
  </si>
  <si>
    <t>Lebanon</t>
  </si>
  <si>
    <t>Lesotho</t>
  </si>
  <si>
    <t>Liberia</t>
  </si>
  <si>
    <t>Libya</t>
  </si>
  <si>
    <t>Lithuania</t>
  </si>
  <si>
    <t>Luxembourg</t>
  </si>
  <si>
    <t>Madagascar</t>
  </si>
  <si>
    <t>Malawi</t>
  </si>
  <si>
    <t>Malaysia</t>
  </si>
  <si>
    <t>Maldives</t>
  </si>
  <si>
    <t>Mali</t>
  </si>
  <si>
    <t>Malta</t>
  </si>
  <si>
    <t>Marshall Islands</t>
  </si>
  <si>
    <t>Mauritania</t>
  </si>
  <si>
    <t>Mauritius</t>
  </si>
  <si>
    <t>Mexico</t>
  </si>
  <si>
    <t>Micronesia (Federated States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</si>
  <si>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</si>
  <si>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</si>
  <si>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</si>
  <si>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</si>
  <si>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</si>
  <si>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</si>
  <si>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</si>
  <si>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</si>
  <si>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</si>
  <si>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</si>
  <si>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</si>
  <si>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</si>
  <si>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</si>
  <si>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</si>
  <si>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</si>
  <si>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</si>
  <si>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</si>
  <si>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Northern Mariana Islands</t>
  </si>
  <si>
    <t>Norway</t>
  </si>
  <si>
    <t>Oman</t>
  </si>
  <si>
    <t>Pakistan</t>
  </si>
  <si>
    <t>Palau</t>
  </si>
  <si>
    <t>Panama</t>
  </si>
  <si>
    <t>Papua New Guinea</t>
  </si>
  <si>
    <t>Paraguay</t>
  </si>
  <si>
    <t>Peru</t>
  </si>
  <si>
    <t>Philippines</t>
  </si>
  <si>
    <t>Poland</t>
  </si>
  <si>
    <t>Portugal</t>
  </si>
  <si>
    <t>Puerto Rico</t>
  </si>
  <si>
    <t>Qatar</t>
  </si>
  <si>
    <t>Republic of Korea</t>
  </si>
  <si>
    <t>Republic of Moldova</t>
  </si>
  <si>
    <t>Romania</t>
  </si>
  <si>
    <t>Russia</t>
  </si>
  <si>
    <t>Rwanda</t>
  </si>
  <si>
    <t>Saint Kitts and Nevis</t>
  </si>
  <si>
    <t>Saint Lucia</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</si>
  <si>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</si>
  <si>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</si>
  <si>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</si>
  <si>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</si>
  <si>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</si>
  <si>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</si>
  <si>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</si>
  <si>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</si>
  <si>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</si>
  <si>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</si>
  <si>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</si>
  <si>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</si>
  <si>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</si>
  <si>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</si>
  <si>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</si>
  <si>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</si>
  <si>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Sudan</t>
  </si>
  <si>
    <t>Spain</t>
  </si>
  <si>
    <t>Sri Lanka</t>
  </si>
  <si>
    <t>Sudan</t>
  </si>
  <si>
    <t>Suriname</t>
  </si>
  <si>
    <t>Swaziland</t>
  </si>
  <si>
    <t>Sweden</t>
  </si>
  <si>
    <t>Switzerland</t>
  </si>
  <si>
    <t>Syrian Arab Republic</t>
  </si>
  <si>
    <t>Tajikistan</t>
  </si>
  <si>
    <t>Tanzania</t>
  </si>
  <si>
    <t>Thailand</t>
  </si>
  <si>
    <t>The former Yugoslav Republic of Macedonia</t>
  </si>
  <si>
    <t>Timor-Leste</t>
  </si>
  <si>
    <t>Togo</t>
  </si>
  <si>
    <t>Tokelau</t>
  </si>
  <si>
    <t>Tonga</t>
  </si>
  <si>
    <t>Trinidad and Tobago</t>
  </si>
  <si>
    <t>Tunisia</t>
  </si>
  <si>
    <t>Turkey</t>
  </si>
  <si>
    <t>Turkmenistan</t>
  </si>
  <si>
    <t>Turks and Caicos Islands</t>
  </si>
  <si>
    <t>Tuvalu</t>
  </si>
  <si>
    <t>Uganda</t>
  </si>
  <si>
    <t>Ukraine</t>
  </si>
  <si>
    <t>United Arab Emirates</t>
  </si>
  <si>
    <t>United Kingdom of Great Britain and Northern Ireland</t>
  </si>
  <si>
    <t>United States</t>
  </si>
  <si>
    <t>Uruguay</t>
  </si>
  <si>
    <t>US Virgin Islands</t>
  </si>
  <si>
    <t>Uzbekistan</t>
  </si>
  <si>
    <t>Vanuatu</t>
  </si>
  <si>
    <t>Venezuela</t>
  </si>
  <si>
    <t>Viet Nam</t>
  </si>
  <si>
    <t>Wallis and Futuna Islands</t>
  </si>
  <si>
    <t>West Bank and Gaza Strip</t>
  </si>
  <si>
    <t>Yemen</t>
  </si>
  <si>
    <t>Zambia</t>
  </si>
  <si>
    <t>Zimbabwe</t>
  </si>
  <si>
    <t xml:space="preserve"> =if(AN192&lt;&gt;"",AN192,max($AN$4:$AN$220)</t>
  </si>
  <si>
    <t>0001</t>
  </si>
  <si>
    <t>sth only</t>
  </si>
  <si>
    <t>0000</t>
  </si>
  <si>
    <t>none</t>
  </si>
  <si>
    <t>Score</t>
  </si>
  <si>
    <t>1111</t>
  </si>
  <si>
    <t>lf+onch+schist+sth</t>
  </si>
  <si>
    <t>company</t>
  </si>
  <si>
    <t>1001</t>
  </si>
  <si>
    <t>lf+sth</t>
  </si>
  <si>
    <t>Pfizer Inc.</t>
  </si>
  <si>
    <t>DEC</t>
  </si>
  <si>
    <t>Merck</t>
  </si>
  <si>
    <t>IVM</t>
  </si>
  <si>
    <t>MDB</t>
  </si>
  <si>
    <t>0110</t>
  </si>
  <si>
    <t>onch+schist</t>
  </si>
  <si>
    <t>1110</t>
  </si>
  <si>
    <t xml:space="preserve">lf+onch+schist </t>
  </si>
  <si>
    <t>1000</t>
  </si>
  <si>
    <t>lf only</t>
  </si>
  <si>
    <t>0111</t>
  </si>
  <si>
    <t>onch+schist+sth</t>
  </si>
  <si>
    <t>0101</t>
  </si>
  <si>
    <t>onch+sth</t>
  </si>
  <si>
    <t>1011</t>
  </si>
  <si>
    <t>lf+schist+sth</t>
  </si>
  <si>
    <t>Total Impact by Region</t>
  </si>
  <si>
    <t>LF Impact</t>
  </si>
  <si>
    <t>Schist Impact</t>
  </si>
  <si>
    <t>Whipworm Impact</t>
  </si>
  <si>
    <t>Hookworm Impact</t>
  </si>
  <si>
    <t>Roundworm Impact</t>
  </si>
  <si>
    <t>1100</t>
  </si>
  <si>
    <t>lf+onch</t>
  </si>
  <si>
    <t>0100</t>
  </si>
  <si>
    <t>onch only</t>
  </si>
  <si>
    <t>0010</t>
  </si>
  <si>
    <t>schist only</t>
  </si>
  <si>
    <t>1101</t>
  </si>
  <si>
    <t>lf+onch+sth</t>
  </si>
  <si>
    <t>0011</t>
  </si>
  <si>
    <t>schist+sth</t>
  </si>
  <si>
    <t>1010</t>
  </si>
  <si>
    <t xml:space="preserve">lf+schist </t>
  </si>
  <si>
    <t>SCHIST DALYs</t>
  </si>
  <si>
    <t>ONCH DALYs</t>
  </si>
  <si>
    <t>ONCH Treatment Coverage</t>
  </si>
  <si>
    <t>Schist Efficacy</t>
  </si>
  <si>
    <t>ONCH Efficacy</t>
  </si>
  <si>
    <t>Impact of  LF</t>
  </si>
  <si>
    <t>Impact of Onch</t>
  </si>
  <si>
    <t>Estimated STH Pre-SAC Treatment Coverage</t>
  </si>
  <si>
    <t>Estimated STH SAC Treatment Coverage</t>
  </si>
  <si>
    <t>Number of People Needing Treatment for ONCH</t>
  </si>
  <si>
    <t>Number of People Treated for ONCH</t>
  </si>
  <si>
    <t>Estimated ONCH Treatment Coverage</t>
  </si>
  <si>
    <t>Whipworm (All ages)</t>
  </si>
  <si>
    <t>Hookworm (All ages)</t>
  </si>
  <si>
    <t>Roundworm (All ages)</t>
  </si>
  <si>
    <t>Ivermectin</t>
  </si>
  <si>
    <t>No data</t>
  </si>
  <si>
    <t>No PC required</t>
  </si>
  <si>
    <t>drug</t>
  </si>
  <si>
    <t>score</t>
  </si>
  <si>
    <t>Onch</t>
  </si>
  <si>
    <t>Onch Impact</t>
  </si>
  <si>
    <t>Schist Efficay</t>
  </si>
  <si>
    <t>Whipworm (1-4 years)</t>
  </si>
  <si>
    <t>Hookworm (1-4 years)</t>
  </si>
  <si>
    <t>Roundworm (1-4 years)</t>
  </si>
  <si>
    <t>Roundworm (5-14years)</t>
  </si>
  <si>
    <t>*Single Dose of DEC (6mg/kg) (Updated)</t>
  </si>
  <si>
    <t>*Single dose of DEC (6mg/kg)+ALB(4a00mg) (Updated)</t>
  </si>
  <si>
    <t>*Combination of ALB(400mg)+IVM(400ug/kg) (Updated)</t>
  </si>
  <si>
    <t>Estimated Efficay</t>
  </si>
  <si>
    <t>Diseases Targeted by the MDA</t>
  </si>
  <si>
    <t>Original</t>
  </si>
  <si>
    <t>Elimination verified</t>
  </si>
  <si>
    <t>nonendemic</t>
  </si>
  <si>
    <t>pplied for verification</t>
  </si>
  <si>
    <t xml:space="preserve">                   </t>
  </si>
  <si>
    <t>2,638,16</t>
  </si>
  <si>
    <t>7,34</t>
  </si>
  <si>
    <t xml:space="preserve"> </t>
  </si>
  <si>
    <t>529,42</t>
  </si>
  <si>
    <t>398,27</t>
  </si>
  <si>
    <t>186,21</t>
  </si>
  <si>
    <t>22,62</t>
  </si>
  <si>
    <t>6,39</t>
  </si>
  <si>
    <t>62,99</t>
  </si>
  <si>
    <t>541,57</t>
  </si>
  <si>
    <t>3,72</t>
  </si>
  <si>
    <t>1,275,49</t>
  </si>
  <si>
    <t>3,37</t>
  </si>
  <si>
    <t>1,729,39</t>
  </si>
  <si>
    <t>1,56,912</t>
  </si>
  <si>
    <t>17,12</t>
  </si>
</sst>
</file>

<file path=xl/styles.xml><?xml version="1.0" encoding="utf-8"?>
<styleSheet xmlns="http://schemas.openxmlformats.org/spreadsheetml/2006/main" xmlns:x14ac="http://schemas.microsoft.com/office/spreadsheetml/2009/9/ac" xmlns:mc="http://schemas.openxmlformats.org/markup-compatibility/2006">
  <numFmts count="9">
    <numFmt numFmtId="164" formatCode="_-* #,##0.00_-;\-* #,##0.00_-;_-* &quot;-&quot;??_-;_-@"/>
    <numFmt numFmtId="165" formatCode="0.0"/>
    <numFmt numFmtId="166" formatCode="m, d"/>
    <numFmt numFmtId="167" formatCode="m-d"/>
    <numFmt numFmtId="168" formatCode="0.0%"/>
    <numFmt numFmtId="169" formatCode="#/#"/>
    <numFmt numFmtId="170" formatCode="h:m"/>
    <numFmt numFmtId="171" formatCode="[h]:mm"/>
    <numFmt numFmtId="172" formatCode="m/d"/>
  </numFmts>
  <fonts count="65">
    <font>
      <sz val="10.0"/>
      <color rgb="FF000000"/>
      <name val="Arial"/>
      <scheme val="minor"/>
    </font>
    <font>
      <color rgb="FFFFFFFF"/>
      <name val="Arial"/>
      <scheme val="minor"/>
    </font>
    <font>
      <b/>
      <color rgb="FF000000"/>
      <name val="Arial"/>
    </font>
    <font>
      <color theme="1"/>
      <name val="Arial"/>
      <scheme val="minor"/>
    </font>
    <font>
      <b/>
      <sz val="12.0"/>
      <color rgb="FF000000"/>
      <name val="Arial"/>
    </font>
    <font/>
    <font>
      <b/>
      <color theme="1"/>
      <name val="Arial"/>
    </font>
    <font>
      <b/>
      <sz val="9.0"/>
      <color rgb="FF000000"/>
      <name val="Open Sans"/>
    </font>
    <font>
      <b/>
      <sz val="9.0"/>
      <color theme="1"/>
      <name val="Open Sans"/>
    </font>
    <font>
      <color theme="1"/>
      <name val="Arial"/>
    </font>
    <font>
      <i/>
      <sz val="9.0"/>
      <color theme="1"/>
      <name val="Open Sans"/>
    </font>
    <font>
      <i/>
      <sz val="9.0"/>
      <color rgb="FF000000"/>
      <name val="Open Sans"/>
    </font>
    <font>
      <b/>
      <i/>
      <sz val="9.0"/>
      <color theme="1"/>
      <name val="Open Sans"/>
    </font>
    <font>
      <sz val="9.0"/>
      <color rgb="FF000000"/>
      <name val="Open Sans"/>
    </font>
    <font>
      <color rgb="FF000000"/>
      <name val="Arial"/>
    </font>
    <font>
      <sz val="9.0"/>
      <color rgb="FF000000"/>
      <name val="Arial"/>
    </font>
    <font>
      <sz val="9.0"/>
      <color rgb="FF000000"/>
      <name val="&quot;Open Sans&quot;"/>
    </font>
    <font>
      <color rgb="FF000000"/>
      <name val="Open Sans"/>
    </font>
    <font>
      <sz val="11.0"/>
      <color rgb="FF000000"/>
      <name val="Inconsolata"/>
    </font>
    <font>
      <b/>
      <color rgb="FF000000"/>
      <name val="Open Sans"/>
    </font>
    <font>
      <b/>
      <color theme="1"/>
      <name val="Arial"/>
      <scheme val="minor"/>
    </font>
    <font>
      <color theme="1"/>
      <name val="Open Sans"/>
    </font>
    <font>
      <b/>
      <color theme="1"/>
      <name val="Open Sans"/>
    </font>
    <font>
      <b/>
      <color rgb="FF000000"/>
      <name val="&quot;Open Sans&quot;"/>
    </font>
    <font>
      <b/>
      <color theme="1"/>
      <name val="&quot;Open Sans&quot;"/>
    </font>
    <font>
      <b/>
      <sz val="11.0"/>
      <color theme="1"/>
      <name val="&quot;Open Sans&quot;"/>
    </font>
    <font>
      <i/>
      <sz val="9.0"/>
      <color theme="1"/>
      <name val="&quot;Open Sans&quot;"/>
    </font>
    <font>
      <i/>
      <sz val="9.0"/>
      <color rgb="FF000000"/>
      <name val="&quot;Open Sans&quot;"/>
    </font>
    <font>
      <sz val="9.0"/>
      <color theme="1"/>
      <name val="&quot;Open Sans&quot;"/>
    </font>
    <font>
      <b/>
      <i/>
      <sz val="9.0"/>
      <color theme="1"/>
      <name val="&quot;Open Sans&quot;"/>
    </font>
    <font>
      <sz val="9.0"/>
      <color rgb="FF000000"/>
      <name val="Calibri"/>
    </font>
    <font>
      <color rgb="FF000000"/>
      <name val="Arial"/>
      <scheme val="minor"/>
    </font>
    <font>
      <b/>
      <sz val="9.0"/>
      <color rgb="FF000000"/>
      <name val="&quot;Open Sans&quot;"/>
    </font>
    <font>
      <sz val="12.0"/>
      <color rgb="FF000000"/>
      <name val="Calibri"/>
    </font>
    <font>
      <sz val="11.0"/>
      <color rgb="FF000000"/>
      <name val="Calibri"/>
    </font>
    <font>
      <b/>
      <sz val="9.0"/>
      <color theme="1"/>
      <name val="&quot;Open Sans&quot;"/>
    </font>
    <font>
      <sz val="8.0"/>
      <color rgb="FF000000"/>
      <name val="&quot;Helvetica Neue&quot;"/>
    </font>
    <font>
      <sz val="11.0"/>
      <color theme="1"/>
      <name val="Calibri"/>
    </font>
    <font>
      <sz val="8.0"/>
      <color rgb="FF000000"/>
      <name val="Arial"/>
    </font>
    <font>
      <color rgb="FF000000"/>
      <name val="&quot;Open Sans&quot;"/>
    </font>
    <font>
      <u/>
      <color rgb="FF0000FF"/>
    </font>
    <font>
      <b/>
      <sz val="9.0"/>
      <color theme="1"/>
      <name val="Arial"/>
    </font>
    <font>
      <b/>
      <sz val="9.0"/>
      <color rgb="FF000000"/>
      <name val="Arial"/>
    </font>
    <font>
      <b/>
      <sz val="9.0"/>
      <color rgb="FF9900FF"/>
      <name val="Arial"/>
    </font>
    <font>
      <sz val="9.0"/>
      <color theme="1"/>
      <name val="Arial"/>
    </font>
    <font>
      <i/>
      <sz val="9.0"/>
      <color theme="1"/>
      <name val="Arial"/>
    </font>
    <font>
      <sz val="9.0"/>
      <color rgb="FF9900FF"/>
      <name val="Arial"/>
    </font>
    <font>
      <u/>
      <sz val="9.0"/>
      <color rgb="FF1155CC"/>
      <name val="Arial"/>
    </font>
    <font>
      <u/>
      <color rgb="FF0000FF"/>
      <name val="Arial"/>
    </font>
    <font>
      <u/>
      <sz val="9.0"/>
      <color rgb="FF1155CC"/>
      <name val="Arial"/>
    </font>
    <font>
      <sz val="9.0"/>
      <color rgb="FF575757"/>
      <name val="Arial"/>
    </font>
    <font>
      <u/>
      <sz val="9.0"/>
      <color rgb="FF1155CC"/>
      <name val="Arial"/>
    </font>
    <font>
      <u/>
      <sz val="9.0"/>
      <color rgb="FF1155CC"/>
      <name val="Arial"/>
    </font>
    <font>
      <sz val="9.0"/>
      <color rgb="FF333300"/>
      <name val="Arial"/>
    </font>
    <font>
      <sz val="9.0"/>
      <color rgb="FF272425"/>
      <name val="Arial"/>
    </font>
    <font>
      <u/>
      <sz val="9.0"/>
      <color rgb="FF1155CC"/>
      <name val="Arial"/>
    </font>
    <font>
      <sz val="9.0"/>
      <color rgb="FF0B8043"/>
      <name val="Arial"/>
    </font>
    <font>
      <u/>
      <sz val="9.0"/>
      <color rgb="FF000000"/>
      <name val="Arial"/>
    </font>
    <font>
      <u/>
      <color rgb="FF0000FF"/>
    </font>
    <font>
      <u/>
      <color rgb="FF0000FF"/>
    </font>
    <font>
      <u/>
      <color rgb="FF0000FF"/>
    </font>
    <font>
      <u/>
      <color rgb="FF0000FF"/>
    </font>
    <font>
      <u/>
      <color rgb="FF0000FF"/>
    </font>
    <font>
      <u/>
      <color rgb="FF0000FF"/>
    </font>
    <font>
      <u/>
      <color rgb="FF0000FF"/>
    </font>
  </fonts>
  <fills count="30">
    <fill>
      <patternFill patternType="none"/>
    </fill>
    <fill>
      <patternFill patternType="lightGray"/>
    </fill>
    <fill>
      <patternFill patternType="solid">
        <fgColor rgb="FF980000"/>
        <bgColor rgb="FF980000"/>
      </patternFill>
    </fill>
    <fill>
      <patternFill patternType="solid">
        <fgColor rgb="FFFF0000"/>
        <bgColor rgb="FFFF0000"/>
      </patternFill>
    </fill>
    <fill>
      <patternFill patternType="solid">
        <fgColor rgb="FFFFFFFF"/>
        <bgColor rgb="FFFFFFFF"/>
      </patternFill>
    </fill>
    <fill>
      <patternFill patternType="solid">
        <fgColor rgb="FF660000"/>
        <bgColor rgb="FF660000"/>
      </patternFill>
    </fill>
    <fill>
      <patternFill patternType="solid">
        <fgColor rgb="FF783F04"/>
        <bgColor rgb="FF783F04"/>
      </patternFill>
    </fill>
    <fill>
      <patternFill patternType="solid">
        <fgColor rgb="FFF3F3F3"/>
        <bgColor rgb="FFF3F3F3"/>
      </patternFill>
    </fill>
    <fill>
      <patternFill patternType="solid">
        <fgColor rgb="FF00FF00"/>
        <bgColor rgb="FF00FF00"/>
      </patternFill>
    </fill>
    <fill>
      <patternFill patternType="solid">
        <fgColor rgb="FFD5A6BD"/>
        <bgColor rgb="FFD5A6BD"/>
      </patternFill>
    </fill>
    <fill>
      <patternFill patternType="solid">
        <fgColor rgb="FFEAD1DC"/>
        <bgColor rgb="FFEAD1DC"/>
      </patternFill>
    </fill>
    <fill>
      <patternFill patternType="solid">
        <fgColor rgb="FFE6B8AF"/>
        <bgColor rgb="FFE6B8AF"/>
      </patternFill>
    </fill>
    <fill>
      <patternFill patternType="solid">
        <fgColor rgb="FFFCE5CD"/>
        <bgColor rgb="FFFCE5CD"/>
      </patternFill>
    </fill>
    <fill>
      <patternFill patternType="solid">
        <fgColor rgb="FFD9EAD3"/>
        <bgColor rgb="FFD9EAD3"/>
      </patternFill>
    </fill>
    <fill>
      <patternFill patternType="solid">
        <fgColor rgb="FFC9DAF8"/>
        <bgColor rgb="FFC9DAF8"/>
      </patternFill>
    </fill>
    <fill>
      <patternFill patternType="solid">
        <fgColor rgb="FFD9D2E9"/>
        <bgColor rgb="FFD9D2E9"/>
      </patternFill>
    </fill>
    <fill>
      <patternFill patternType="solid">
        <fgColor rgb="FFFFE3FE"/>
        <bgColor rgb="FFFFE3FE"/>
      </patternFill>
    </fill>
    <fill>
      <patternFill patternType="solid">
        <fgColor rgb="FFF4CCCC"/>
        <bgColor rgb="FFF4CCCC"/>
      </patternFill>
    </fill>
    <fill>
      <patternFill patternType="solid">
        <fgColor rgb="FFD0E0E3"/>
        <bgColor rgb="FFD0E0E3"/>
      </patternFill>
    </fill>
    <fill>
      <patternFill patternType="solid">
        <fgColor rgb="FFF7981D"/>
        <bgColor rgb="FFF7981D"/>
      </patternFill>
    </fill>
    <fill>
      <patternFill patternType="solid">
        <fgColor rgb="FFFFFF00"/>
        <bgColor rgb="FFFFFF00"/>
      </patternFill>
    </fill>
    <fill>
      <patternFill patternType="solid">
        <fgColor rgb="FFFFF2CC"/>
        <bgColor rgb="FFFFF2CC"/>
      </patternFill>
    </fill>
    <fill>
      <patternFill patternType="solid">
        <fgColor rgb="FFEFEFEF"/>
        <bgColor rgb="FFEFEFEF"/>
      </patternFill>
    </fill>
    <fill>
      <patternFill patternType="solid">
        <fgColor rgb="FFCFE2F3"/>
        <bgColor rgb="FFCFE2F3"/>
      </patternFill>
    </fill>
    <fill>
      <patternFill patternType="solid">
        <fgColor rgb="FFF4C7C3"/>
        <bgColor rgb="FFF4C7C3"/>
      </patternFill>
    </fill>
    <fill>
      <patternFill patternType="solid">
        <fgColor rgb="FFB7E1CD"/>
        <bgColor rgb="FFB7E1CD"/>
      </patternFill>
    </fill>
    <fill>
      <patternFill patternType="solid">
        <fgColor rgb="FF4DD0E1"/>
        <bgColor rgb="FF4DD0E1"/>
      </patternFill>
    </fill>
    <fill>
      <patternFill patternType="solid">
        <fgColor rgb="FFC2D69B"/>
        <bgColor rgb="FFC2D69B"/>
      </patternFill>
    </fill>
    <fill>
      <patternFill patternType="solid">
        <fgColor rgb="FFE5B8B7"/>
        <bgColor rgb="FFE5B8B7"/>
      </patternFill>
    </fill>
    <fill>
      <patternFill patternType="solid">
        <fgColor rgb="FFDAEEF3"/>
        <bgColor rgb="FFDAEEF3"/>
      </patternFill>
    </fill>
  </fills>
  <borders count="13">
    <border/>
    <border>
      <left style="thin">
        <color rgb="FF000000"/>
      </left>
      <right style="thin">
        <color rgb="FF000000"/>
      </right>
      <bottom style="thin">
        <color rgb="FF000000"/>
      </bottom>
    </border>
    <border>
      <left style="thin">
        <color rgb="FF000000"/>
      </left>
      <right style="thin">
        <color rgb="FF000000"/>
      </right>
    </border>
    <border>
      <left style="thin">
        <color rgb="FF000000"/>
      </left>
      <bottom style="thin">
        <color rgb="FF000000"/>
      </bottom>
    </border>
    <border>
      <left style="thin">
        <color rgb="FF000000"/>
      </left>
      <bottom style="thick">
        <color rgb="FF000000"/>
      </bottom>
    </border>
    <border>
      <bottom style="thick">
        <color rgb="FF000000"/>
      </bottom>
    </border>
    <border>
      <top style="thick">
        <color rgb="FF000000"/>
      </top>
    </border>
    <border>
      <bottom style="thin">
        <color rgb="FF000000"/>
      </bottom>
    </border>
    <border>
      <right style="thin">
        <color rgb="FF000000"/>
      </right>
    </border>
    <border>
      <top style="thin">
        <color rgb="FF000000"/>
      </top>
    </border>
    <border>
      <right style="thin">
        <color rgb="FF000000"/>
      </right>
      <bottom style="thin">
        <color rgb="FF000000"/>
      </bottom>
    </border>
    <border>
      <left style="thin">
        <color rgb="FF000000"/>
      </left>
      <right style="thin">
        <color rgb="FF000000"/>
      </right>
      <top style="thin">
        <color rgb="FF000000"/>
      </top>
      <bottom style="thin">
        <color rgb="FF000000"/>
      </bottom>
    </border>
    <border>
      <left style="thin">
        <color rgb="FF000000"/>
      </left>
    </border>
  </borders>
  <cellStyleXfs count="1">
    <xf borderId="0" fillId="0" fontId="0" numFmtId="0" applyAlignment="1" applyFont="1"/>
  </cellStyleXfs>
  <cellXfs count="898">
    <xf borderId="0" fillId="0" fontId="0" numFmtId="0" xfId="0" applyAlignment="1" applyFont="1">
      <alignment readingOrder="0" shrinkToFit="0" vertical="bottom" wrapText="0"/>
    </xf>
    <xf borderId="0" fillId="2" fontId="1" numFmtId="0" xfId="0" applyAlignment="1" applyFill="1" applyFont="1">
      <alignment horizontal="center" readingOrder="0"/>
    </xf>
    <xf borderId="0" fillId="3" fontId="1" numFmtId="0" xfId="0" applyAlignment="1" applyFill="1" applyFont="1">
      <alignment horizontal="center" readingOrder="0"/>
    </xf>
    <xf borderId="1" fillId="4" fontId="2" numFmtId="4" xfId="0" applyAlignment="1" applyBorder="1" applyFill="1" applyFont="1" applyNumberFormat="1">
      <alignment shrinkToFit="0" vertical="bottom" wrapText="1"/>
    </xf>
    <xf borderId="0" fillId="5" fontId="1" numFmtId="0" xfId="0" applyAlignment="1" applyFill="1" applyFont="1">
      <alignment readingOrder="0" shrinkToFit="0" wrapText="1"/>
    </xf>
    <xf borderId="0" fillId="6" fontId="1" numFmtId="0" xfId="0" applyAlignment="1" applyFill="1" applyFont="1">
      <alignment readingOrder="0" shrinkToFit="0" wrapText="1"/>
    </xf>
    <xf borderId="0" fillId="0" fontId="3" numFmtId="0" xfId="0" applyAlignment="1" applyFont="1">
      <alignment shrinkToFit="0" wrapText="1"/>
    </xf>
    <xf borderId="0" fillId="7" fontId="3" numFmtId="0" xfId="0" applyAlignment="1" applyFill="1" applyFont="1">
      <alignment readingOrder="0" shrinkToFit="0" wrapText="1"/>
    </xf>
    <xf borderId="0" fillId="0" fontId="3" numFmtId="0" xfId="0" applyAlignment="1" applyFont="1">
      <alignment readingOrder="0" shrinkToFit="0" wrapText="1"/>
    </xf>
    <xf borderId="0" fillId="7" fontId="3" numFmtId="4" xfId="0" applyFont="1" applyNumberFormat="1"/>
    <xf borderId="0" fillId="0" fontId="3" numFmtId="4" xfId="0" applyFont="1" applyNumberFormat="1"/>
    <xf borderId="0" fillId="7" fontId="3" numFmtId="0" xfId="0" applyFont="1"/>
    <xf borderId="1" fillId="8" fontId="4" numFmtId="0" xfId="0" applyAlignment="1" applyBorder="1" applyFill="1" applyFont="1">
      <alignment horizontal="center" shrinkToFit="0" vertical="bottom" wrapText="1"/>
    </xf>
    <xf borderId="0" fillId="8" fontId="3" numFmtId="0" xfId="0" applyAlignment="1" applyFont="1">
      <alignment readingOrder="0"/>
    </xf>
    <xf borderId="2" fillId="4" fontId="2" numFmtId="4" xfId="0" applyAlignment="1" applyBorder="1" applyFont="1" applyNumberFormat="1">
      <alignment horizontal="right" shrinkToFit="0" vertical="bottom" wrapText="1"/>
    </xf>
    <xf borderId="2" fillId="0" fontId="5" numFmtId="0" xfId="0" applyBorder="1" applyFont="1"/>
    <xf borderId="0" fillId="9" fontId="3" numFmtId="4" xfId="0" applyFill="1" applyFont="1" applyNumberFormat="1"/>
    <xf borderId="0" fillId="10" fontId="3" numFmtId="4" xfId="0" applyFill="1" applyFont="1" applyNumberFormat="1"/>
    <xf borderId="1" fillId="0" fontId="6" numFmtId="4" xfId="0" applyAlignment="1" applyBorder="1" applyFont="1" applyNumberFormat="1">
      <alignment shrinkToFit="0" vertical="bottom" wrapText="1"/>
    </xf>
    <xf borderId="3" fillId="4" fontId="2" numFmtId="4" xfId="0" applyAlignment="1" applyBorder="1" applyFont="1" applyNumberFormat="1">
      <alignment shrinkToFit="0" vertical="bottom" wrapText="1"/>
    </xf>
    <xf borderId="0" fillId="0" fontId="2" numFmtId="4" xfId="0" applyAlignment="1" applyFont="1" applyNumberFormat="1">
      <alignment horizontal="right" vertical="bottom"/>
    </xf>
    <xf borderId="0" fillId="4" fontId="3" numFmtId="0" xfId="0" applyFont="1"/>
    <xf borderId="0" fillId="4" fontId="2" numFmtId="4" xfId="0" applyAlignment="1" applyFont="1" applyNumberFormat="1">
      <alignment shrinkToFit="0" vertical="bottom" wrapText="1"/>
    </xf>
    <xf borderId="0" fillId="4" fontId="4" numFmtId="0" xfId="0" applyAlignment="1" applyFont="1">
      <alignment horizontal="center" shrinkToFit="0" vertical="bottom" wrapText="1"/>
    </xf>
    <xf borderId="0" fillId="4" fontId="2" numFmtId="4" xfId="0" applyAlignment="1" applyFont="1" applyNumberFormat="1">
      <alignment horizontal="right" shrinkToFit="0" vertical="bottom" wrapText="1"/>
    </xf>
    <xf borderId="0" fillId="4" fontId="6" numFmtId="4" xfId="0" applyAlignment="1" applyFont="1" applyNumberFormat="1">
      <alignment shrinkToFit="0" vertical="bottom" wrapText="1"/>
    </xf>
    <xf borderId="0" fillId="4" fontId="2" numFmtId="4" xfId="0" applyAlignment="1" applyFont="1" applyNumberFormat="1">
      <alignment horizontal="right" vertical="bottom"/>
    </xf>
    <xf borderId="0" fillId="4" fontId="7" numFmtId="0" xfId="0" applyAlignment="1" applyFont="1">
      <alignment horizontal="center" vertical="bottom"/>
    </xf>
    <xf borderId="0" fillId="7" fontId="8" numFmtId="0" xfId="0" applyAlignment="1" applyFont="1">
      <alignment horizontal="center" vertical="bottom"/>
    </xf>
    <xf borderId="0" fillId="11" fontId="8" numFmtId="0" xfId="0" applyAlignment="1" applyFill="1" applyFont="1">
      <alignment horizontal="center" vertical="bottom"/>
    </xf>
    <xf borderId="0" fillId="12" fontId="8" numFmtId="0" xfId="0" applyAlignment="1" applyFill="1" applyFont="1">
      <alignment horizontal="center" vertical="bottom"/>
    </xf>
    <xf borderId="0" fillId="13" fontId="8" numFmtId="0" xfId="0" applyAlignment="1" applyFill="1" applyFont="1">
      <alignment horizontal="center" vertical="bottom"/>
    </xf>
    <xf borderId="0" fillId="14" fontId="8" numFmtId="0" xfId="0" applyAlignment="1" applyFill="1" applyFont="1">
      <alignment horizontal="center" vertical="bottom"/>
    </xf>
    <xf borderId="0" fillId="15" fontId="8" numFmtId="0" xfId="0" applyAlignment="1" applyFill="1" applyFont="1">
      <alignment horizontal="center" vertical="bottom"/>
    </xf>
    <xf borderId="0" fillId="15" fontId="9" numFmtId="0" xfId="0" applyAlignment="1" applyFont="1">
      <alignment vertical="bottom"/>
    </xf>
    <xf borderId="0" fillId="16" fontId="8" numFmtId="0" xfId="0" applyAlignment="1" applyFill="1" applyFont="1">
      <alignment horizontal="center" vertical="bottom"/>
    </xf>
    <xf borderId="0" fillId="7" fontId="9" numFmtId="0" xfId="0" applyAlignment="1" applyFont="1">
      <alignment vertical="bottom"/>
    </xf>
    <xf borderId="0" fillId="14" fontId="8" numFmtId="10" xfId="0" applyAlignment="1" applyFont="1" applyNumberFormat="1">
      <alignment horizontal="center" vertical="bottom"/>
    </xf>
    <xf borderId="0" fillId="12" fontId="8" numFmtId="0" xfId="0" applyAlignment="1" applyFont="1">
      <alignment horizontal="center" readingOrder="0" vertical="bottom"/>
    </xf>
    <xf borderId="0" fillId="13" fontId="7" numFmtId="0" xfId="0" applyAlignment="1" applyFont="1">
      <alignment horizontal="center" vertical="bottom"/>
    </xf>
    <xf borderId="0" fillId="0" fontId="9" numFmtId="0" xfId="0" applyAlignment="1" applyFont="1">
      <alignment vertical="bottom"/>
    </xf>
    <xf borderId="0" fillId="11" fontId="10" numFmtId="0" xfId="0" applyAlignment="1" applyFont="1">
      <alignment horizontal="center" shrinkToFit="0" vertical="bottom" wrapText="1"/>
    </xf>
    <xf borderId="0" fillId="12" fontId="10" numFmtId="0" xfId="0" applyAlignment="1" applyFont="1">
      <alignment horizontal="center" shrinkToFit="0" vertical="bottom" wrapText="1"/>
    </xf>
    <xf borderId="0" fillId="13" fontId="10" numFmtId="0" xfId="0" applyAlignment="1" applyFont="1">
      <alignment horizontal="center" shrinkToFit="0" vertical="bottom" wrapText="1"/>
    </xf>
    <xf borderId="0" fillId="14" fontId="10" numFmtId="0" xfId="0" applyAlignment="1" applyFont="1">
      <alignment horizontal="center" shrinkToFit="0" vertical="bottom" wrapText="1"/>
    </xf>
    <xf borderId="0" fillId="15" fontId="10" numFmtId="0" xfId="0" applyAlignment="1" applyFont="1">
      <alignment horizontal="center" shrinkToFit="0" vertical="bottom" wrapText="1"/>
    </xf>
    <xf borderId="0" fillId="15" fontId="10" numFmtId="0" xfId="0" applyAlignment="1" applyFont="1">
      <alignment horizontal="center" shrinkToFit="0" vertical="bottom" wrapText="1"/>
    </xf>
    <xf borderId="0" fillId="12" fontId="10" numFmtId="0" xfId="0" applyAlignment="1" applyFont="1">
      <alignment shrinkToFit="0" vertical="bottom" wrapText="1"/>
    </xf>
    <xf borderId="0" fillId="16" fontId="10" numFmtId="0" xfId="0" applyAlignment="1" applyFont="1">
      <alignment horizontal="center" shrinkToFit="0" vertical="bottom" wrapText="1"/>
    </xf>
    <xf borderId="0" fillId="16" fontId="10" numFmtId="10" xfId="0" applyAlignment="1" applyFont="1" applyNumberFormat="1">
      <alignment horizontal="center" shrinkToFit="0" vertical="bottom" wrapText="1"/>
    </xf>
    <xf borderId="0" fillId="12" fontId="10" numFmtId="0" xfId="0" applyAlignment="1" applyFont="1">
      <alignment readingOrder="0" shrinkToFit="0" vertical="bottom" wrapText="1"/>
    </xf>
    <xf borderId="0" fillId="13" fontId="10" numFmtId="0" xfId="0" applyAlignment="1" applyFont="1">
      <alignment horizontal="center" readingOrder="0" shrinkToFit="0" vertical="bottom" wrapText="1"/>
    </xf>
    <xf borderId="0" fillId="14" fontId="10" numFmtId="0" xfId="0" applyAlignment="1" applyFont="1">
      <alignment horizontal="center" readingOrder="0" shrinkToFit="0" vertical="bottom" wrapText="1"/>
    </xf>
    <xf borderId="0" fillId="15" fontId="10" numFmtId="0" xfId="0" applyAlignment="1" applyFont="1">
      <alignment horizontal="center" readingOrder="0" shrinkToFit="0" vertical="bottom" wrapText="1"/>
    </xf>
    <xf borderId="0" fillId="11" fontId="11" numFmtId="0" xfId="0" applyAlignment="1" applyFont="1">
      <alignment shrinkToFit="0" vertical="bottom" wrapText="1"/>
    </xf>
    <xf borderId="0" fillId="12" fontId="11" numFmtId="9" xfId="0" applyAlignment="1" applyFont="1" applyNumberFormat="1">
      <alignment horizontal="center" shrinkToFit="0" vertical="bottom" wrapText="1"/>
    </xf>
    <xf borderId="0" fillId="13" fontId="11" numFmtId="0" xfId="0" applyAlignment="1" applyFont="1">
      <alignment shrinkToFit="0" vertical="bottom" wrapText="1"/>
    </xf>
    <xf borderId="0" fillId="14" fontId="11" numFmtId="10" xfId="0" applyAlignment="1" applyFont="1" applyNumberFormat="1">
      <alignment shrinkToFit="0" vertical="bottom" wrapText="1"/>
    </xf>
    <xf borderId="0" fillId="14" fontId="11" numFmtId="0" xfId="0" applyAlignment="1" applyFont="1">
      <alignment shrinkToFit="0" vertical="bottom" wrapText="1"/>
    </xf>
    <xf borderId="0" fillId="15" fontId="11" numFmtId="0" xfId="0" applyAlignment="1" applyFont="1">
      <alignment shrinkToFit="0" vertical="bottom" wrapText="1"/>
    </xf>
    <xf borderId="0" fillId="17" fontId="10" numFmtId="0" xfId="0" applyAlignment="1" applyFill="1" applyFont="1">
      <alignment horizontal="center" readingOrder="0" shrinkToFit="0" vertical="bottom" wrapText="1"/>
    </xf>
    <xf borderId="0" fillId="18" fontId="10" numFmtId="0" xfId="0" applyAlignment="1" applyFill="1" applyFont="1">
      <alignment horizontal="center" shrinkToFit="0" vertical="bottom" wrapText="1"/>
    </xf>
    <xf borderId="0" fillId="7" fontId="10" numFmtId="0" xfId="0" applyAlignment="1" applyFont="1">
      <alignment horizontal="center" shrinkToFit="0" vertical="bottom" wrapText="1"/>
    </xf>
    <xf borderId="0" fillId="7" fontId="11" numFmtId="0" xfId="0" applyAlignment="1" applyFont="1">
      <alignment shrinkToFit="0" vertical="bottom" wrapText="1"/>
    </xf>
    <xf borderId="4" fillId="0" fontId="9" numFmtId="0" xfId="0" applyAlignment="1" applyBorder="1" applyFont="1">
      <alignment readingOrder="0" vertical="bottom"/>
    </xf>
    <xf borderId="5" fillId="7" fontId="9" numFmtId="0" xfId="0" applyAlignment="1" applyBorder="1" applyFont="1">
      <alignment vertical="bottom"/>
    </xf>
    <xf borderId="5" fillId="11" fontId="9" numFmtId="4" xfId="0" applyAlignment="1" applyBorder="1" applyFont="1" applyNumberFormat="1">
      <alignment vertical="bottom"/>
    </xf>
    <xf borderId="5" fillId="12" fontId="9" numFmtId="4" xfId="0" applyAlignment="1" applyBorder="1" applyFont="1" applyNumberFormat="1">
      <alignment vertical="bottom"/>
    </xf>
    <xf borderId="5" fillId="13" fontId="9" numFmtId="0" xfId="0" applyAlignment="1" applyBorder="1" applyFont="1">
      <alignment vertical="bottom"/>
    </xf>
    <xf borderId="5" fillId="14" fontId="9" numFmtId="0" xfId="0" applyAlignment="1" applyBorder="1" applyFont="1">
      <alignment vertical="bottom"/>
    </xf>
    <xf borderId="5" fillId="14" fontId="9" numFmtId="4" xfId="0" applyAlignment="1" applyBorder="1" applyFont="1" applyNumberFormat="1">
      <alignment vertical="bottom"/>
    </xf>
    <xf borderId="5" fillId="15" fontId="9" numFmtId="4" xfId="0" applyAlignment="1" applyBorder="1" applyFont="1" applyNumberFormat="1">
      <alignment vertical="bottom"/>
    </xf>
    <xf borderId="5" fillId="15" fontId="9" numFmtId="0" xfId="0" applyAlignment="1" applyBorder="1" applyFont="1">
      <alignment vertical="bottom"/>
    </xf>
    <xf borderId="5" fillId="11" fontId="9" numFmtId="0" xfId="0" applyAlignment="1" applyBorder="1" applyFont="1">
      <alignment vertical="bottom"/>
    </xf>
    <xf borderId="5" fillId="11" fontId="11" numFmtId="0" xfId="0" applyAlignment="1" applyBorder="1" applyFont="1">
      <alignment vertical="bottom"/>
    </xf>
    <xf borderId="5" fillId="11" fontId="11" numFmtId="10" xfId="0" applyAlignment="1" applyBorder="1" applyFont="1" applyNumberFormat="1">
      <alignment horizontal="right" vertical="bottom"/>
    </xf>
    <xf borderId="5" fillId="12" fontId="11" numFmtId="0" xfId="0" applyAlignment="1" applyBorder="1" applyFont="1">
      <alignment vertical="bottom"/>
    </xf>
    <xf borderId="5" fillId="12" fontId="11" numFmtId="10" xfId="0" applyAlignment="1" applyBorder="1" applyFont="1" applyNumberFormat="1">
      <alignment horizontal="right" vertical="bottom"/>
    </xf>
    <xf borderId="5" fillId="16" fontId="10" numFmtId="0" xfId="0" applyAlignment="1" applyBorder="1" applyFont="1">
      <alignment horizontal="center" vertical="bottom"/>
    </xf>
    <xf borderId="5" fillId="16" fontId="10" numFmtId="10" xfId="0" applyAlignment="1" applyBorder="1" applyFont="1" applyNumberFormat="1">
      <alignment horizontal="center" vertical="bottom"/>
    </xf>
    <xf borderId="5" fillId="16" fontId="10" numFmtId="0" xfId="0" applyAlignment="1" applyBorder="1" applyFont="1">
      <alignment vertical="bottom"/>
    </xf>
    <xf borderId="5" fillId="16" fontId="10" numFmtId="10" xfId="0" applyAlignment="1" applyBorder="1" applyFont="1" applyNumberFormat="1">
      <alignment horizontal="right" vertical="bottom"/>
    </xf>
    <xf borderId="5" fillId="11" fontId="9" numFmtId="10" xfId="0" applyAlignment="1" applyBorder="1" applyFont="1" applyNumberFormat="1">
      <alignment vertical="bottom"/>
    </xf>
    <xf borderId="5" fillId="12" fontId="9" numFmtId="0" xfId="0" applyAlignment="1" applyBorder="1" applyFont="1">
      <alignment vertical="bottom"/>
    </xf>
    <xf borderId="5" fillId="12" fontId="10" numFmtId="4" xfId="0" applyAlignment="1" applyBorder="1" applyFont="1" applyNumberFormat="1">
      <alignment horizontal="right" readingOrder="0" vertical="bottom"/>
    </xf>
    <xf borderId="5" fillId="13" fontId="11" numFmtId="10" xfId="0" applyAlignment="1" applyBorder="1" applyFont="1" applyNumberFormat="1">
      <alignment horizontal="center" shrinkToFit="0" vertical="bottom" wrapText="1"/>
    </xf>
    <xf borderId="5" fillId="14" fontId="11" numFmtId="10" xfId="0" applyAlignment="1" applyBorder="1" applyFont="1" applyNumberFormat="1">
      <alignment horizontal="center" shrinkToFit="0" vertical="bottom" wrapText="1"/>
    </xf>
    <xf borderId="5" fillId="15" fontId="11" numFmtId="10" xfId="0" applyAlignment="1" applyBorder="1" applyFont="1" applyNumberFormat="1">
      <alignment horizontal="center" shrinkToFit="0" vertical="bottom" wrapText="1"/>
    </xf>
    <xf borderId="5" fillId="11" fontId="9" numFmtId="10" xfId="0" applyAlignment="1" applyBorder="1" applyFont="1" applyNumberFormat="1">
      <alignment readingOrder="0" vertical="bottom"/>
    </xf>
    <xf borderId="5" fillId="12" fontId="9" numFmtId="9" xfId="0" applyAlignment="1" applyBorder="1" applyFont="1" applyNumberFormat="1">
      <alignment vertical="bottom"/>
    </xf>
    <xf borderId="0" fillId="13" fontId="11" numFmtId="10" xfId="0" applyAlignment="1" applyFont="1" applyNumberFormat="1">
      <alignment vertical="bottom"/>
    </xf>
    <xf borderId="5" fillId="14" fontId="11" numFmtId="10" xfId="0" applyAlignment="1" applyBorder="1" applyFont="1" applyNumberFormat="1">
      <alignment vertical="bottom"/>
    </xf>
    <xf borderId="5" fillId="15" fontId="11" numFmtId="10" xfId="0" applyAlignment="1" applyBorder="1" applyFont="1" applyNumberFormat="1">
      <alignment vertical="bottom"/>
    </xf>
    <xf borderId="5" fillId="17" fontId="9" numFmtId="0" xfId="0" applyAlignment="1" applyBorder="1" applyFont="1">
      <alignment vertical="bottom"/>
    </xf>
    <xf borderId="5" fillId="17" fontId="11" numFmtId="0" xfId="0" applyAlignment="1" applyBorder="1" applyFont="1">
      <alignment shrinkToFit="0" vertical="bottom" wrapText="1"/>
    </xf>
    <xf borderId="5" fillId="18" fontId="11" numFmtId="0" xfId="0" applyAlignment="1" applyBorder="1" applyFont="1">
      <alignment shrinkToFit="0" vertical="bottom" wrapText="1"/>
    </xf>
    <xf borderId="5" fillId="12" fontId="11" numFmtId="0" xfId="0" applyAlignment="1" applyBorder="1" applyFont="1">
      <alignment shrinkToFit="0" vertical="bottom" wrapText="1"/>
    </xf>
    <xf borderId="5" fillId="16" fontId="11" numFmtId="0" xfId="0" applyAlignment="1" applyBorder="1" applyFont="1">
      <alignment shrinkToFit="0" vertical="bottom" wrapText="1"/>
    </xf>
    <xf borderId="5" fillId="11" fontId="12" numFmtId="4" xfId="0" applyAlignment="1" applyBorder="1" applyFont="1" applyNumberFormat="1">
      <alignment horizontal="center" vertical="bottom"/>
    </xf>
    <xf borderId="5" fillId="12" fontId="12" numFmtId="4" xfId="0" applyAlignment="1" applyBorder="1" applyFont="1" applyNumberFormat="1">
      <alignment horizontal="center" vertical="bottom"/>
    </xf>
    <xf borderId="5" fillId="13" fontId="12" numFmtId="4" xfId="0" applyAlignment="1" applyBorder="1" applyFont="1" applyNumberFormat="1">
      <alignment horizontal="center" vertical="bottom"/>
    </xf>
    <xf borderId="5" fillId="14" fontId="12" numFmtId="4" xfId="0" applyAlignment="1" applyBorder="1" applyFont="1" applyNumberFormat="1">
      <alignment horizontal="center" vertical="bottom"/>
    </xf>
    <xf borderId="5" fillId="15" fontId="12" numFmtId="4" xfId="0" applyAlignment="1" applyBorder="1" applyFont="1" applyNumberFormat="1">
      <alignment horizontal="center" vertical="bottom"/>
    </xf>
    <xf borderId="0" fillId="0" fontId="7" numFmtId="0" xfId="0" applyAlignment="1" applyFont="1">
      <alignment shrinkToFit="0" vertical="bottom" wrapText="1"/>
    </xf>
    <xf borderId="0" fillId="7" fontId="13" numFmtId="0" xfId="0" applyAlignment="1" applyFont="1">
      <alignment horizontal="center" vertical="bottom"/>
    </xf>
    <xf borderId="0" fillId="7" fontId="13" numFmtId="3" xfId="0" applyAlignment="1" applyFont="1" applyNumberFormat="1">
      <alignment horizontal="right" vertical="bottom"/>
    </xf>
    <xf borderId="0" fillId="11" fontId="13" numFmtId="4" xfId="0" applyAlignment="1" applyFont="1" applyNumberFormat="1">
      <alignment horizontal="right" shrinkToFit="0" vertical="bottom" wrapText="1"/>
    </xf>
    <xf borderId="0" fillId="12" fontId="13" numFmtId="4" xfId="0" applyAlignment="1" applyFont="1" applyNumberFormat="1">
      <alignment horizontal="right" shrinkToFit="0" vertical="bottom" wrapText="1"/>
    </xf>
    <xf borderId="0" fillId="13" fontId="13" numFmtId="0" xfId="0" applyAlignment="1" applyFont="1">
      <alignment horizontal="right" vertical="bottom"/>
    </xf>
    <xf borderId="0" fillId="14" fontId="13" numFmtId="0" xfId="0" applyAlignment="1" applyFont="1">
      <alignment horizontal="right" vertical="bottom"/>
    </xf>
    <xf borderId="0" fillId="14" fontId="13" numFmtId="4" xfId="0" applyAlignment="1" applyFont="1" applyNumberFormat="1">
      <alignment horizontal="right" vertical="bottom"/>
    </xf>
    <xf borderId="0" fillId="15" fontId="13" numFmtId="4" xfId="0" applyAlignment="1" applyFont="1" applyNumberFormat="1">
      <alignment horizontal="right" vertical="bottom"/>
    </xf>
    <xf borderId="0" fillId="15" fontId="13" numFmtId="0" xfId="0" applyAlignment="1" applyFont="1">
      <alignment horizontal="right" vertical="bottom"/>
    </xf>
    <xf borderId="0" fillId="15" fontId="14" numFmtId="0" xfId="0" applyAlignment="1" applyFont="1">
      <alignment vertical="bottom"/>
    </xf>
    <xf borderId="0" fillId="11" fontId="14" numFmtId="0" xfId="0" applyAlignment="1" applyFont="1">
      <alignment vertical="bottom"/>
    </xf>
    <xf borderId="0" fillId="11" fontId="13" numFmtId="10" xfId="0" applyAlignment="1" applyFont="1" applyNumberFormat="1">
      <alignment horizontal="right" vertical="bottom"/>
    </xf>
    <xf borderId="0" fillId="11" fontId="15" numFmtId="10" xfId="0" applyAlignment="1" applyFont="1" applyNumberFormat="1">
      <alignment horizontal="right" vertical="bottom"/>
    </xf>
    <xf borderId="0" fillId="12" fontId="14" numFmtId="0" xfId="0" applyAlignment="1" applyFont="1">
      <alignment vertical="bottom"/>
    </xf>
    <xf borderId="0" fillId="12" fontId="13" numFmtId="10" xfId="0" applyAlignment="1" applyFont="1" applyNumberFormat="1">
      <alignment horizontal="right" vertical="bottom"/>
    </xf>
    <xf borderId="0" fillId="16" fontId="13" numFmtId="10" xfId="0" applyAlignment="1" applyFont="1" applyNumberFormat="1">
      <alignment horizontal="right" vertical="bottom"/>
    </xf>
    <xf borderId="0" fillId="16" fontId="13" numFmtId="10" xfId="0" applyAlignment="1" applyFont="1" applyNumberFormat="1">
      <alignment horizontal="center" vertical="bottom"/>
    </xf>
    <xf borderId="0" fillId="11" fontId="14" numFmtId="10" xfId="0" applyAlignment="1" applyFont="1" applyNumberFormat="1">
      <alignment vertical="bottom"/>
    </xf>
    <xf borderId="0" fillId="11" fontId="13" numFmtId="10" xfId="0" applyAlignment="1" applyFont="1" applyNumberFormat="1">
      <alignment horizontal="right" readingOrder="0" vertical="bottom"/>
    </xf>
    <xf borderId="0" fillId="12" fontId="13" numFmtId="10" xfId="0" applyAlignment="1" applyFont="1" applyNumberFormat="1">
      <alignment horizontal="right" readingOrder="0" vertical="bottom"/>
    </xf>
    <xf borderId="0" fillId="13" fontId="13" numFmtId="10" xfId="0" applyAlignment="1" applyFont="1" applyNumberFormat="1">
      <alignment horizontal="right" readingOrder="0" vertical="bottom"/>
    </xf>
    <xf borderId="0" fillId="14" fontId="13" numFmtId="10" xfId="0" applyAlignment="1" applyFont="1" applyNumberFormat="1">
      <alignment horizontal="right" readingOrder="0" vertical="bottom"/>
    </xf>
    <xf borderId="0" fillId="15" fontId="13" numFmtId="10" xfId="0" applyAlignment="1" applyFont="1" applyNumberFormat="1">
      <alignment horizontal="center" readingOrder="0" vertical="bottom"/>
    </xf>
    <xf borderId="0" fillId="15" fontId="13" numFmtId="10" xfId="0" applyAlignment="1" applyFont="1" applyNumberFormat="1">
      <alignment horizontal="right" readingOrder="0" vertical="bottom"/>
    </xf>
    <xf borderId="0" fillId="15" fontId="14" numFmtId="10" xfId="0" applyAlignment="1" applyFont="1" applyNumberFormat="1">
      <alignment vertical="bottom"/>
    </xf>
    <xf borderId="6" fillId="11" fontId="9" numFmtId="10" xfId="0" applyAlignment="1" applyBorder="1" applyFont="1" applyNumberFormat="1">
      <alignment vertical="bottom"/>
    </xf>
    <xf borderId="0" fillId="12" fontId="14" numFmtId="10" xfId="0" applyAlignment="1" applyFont="1" applyNumberFormat="1">
      <alignment vertical="bottom"/>
    </xf>
    <xf borderId="0" fillId="13" fontId="9" numFmtId="10" xfId="0" applyAlignment="1" applyFont="1" applyNumberFormat="1">
      <alignment vertical="bottom"/>
    </xf>
    <xf borderId="0" fillId="13" fontId="16" numFmtId="10" xfId="0" applyAlignment="1" applyFont="1" applyNumberFormat="1">
      <alignment horizontal="right" vertical="bottom"/>
    </xf>
    <xf borderId="0" fillId="13" fontId="14" numFmtId="10" xfId="0" applyAlignment="1" applyFont="1" applyNumberFormat="1">
      <alignment horizontal="right" vertical="bottom"/>
    </xf>
    <xf borderId="0" fillId="14" fontId="14" numFmtId="10" xfId="0" applyAlignment="1" applyFont="1" applyNumberFormat="1">
      <alignment vertical="bottom"/>
    </xf>
    <xf borderId="0" fillId="14" fontId="13" numFmtId="10" xfId="0" applyAlignment="1" applyFont="1" applyNumberFormat="1">
      <alignment horizontal="right" vertical="bottom"/>
    </xf>
    <xf borderId="0" fillId="15" fontId="13" numFmtId="10" xfId="0" applyAlignment="1" applyFont="1" applyNumberFormat="1">
      <alignment horizontal="right" vertical="bottom"/>
    </xf>
    <xf borderId="0" fillId="17" fontId="14" numFmtId="1" xfId="0" applyAlignment="1" applyFont="1" applyNumberFormat="1">
      <alignment vertical="bottom"/>
    </xf>
    <xf borderId="0" fillId="17" fontId="13" numFmtId="1" xfId="0" applyAlignment="1" applyFont="1" applyNumberFormat="1">
      <alignment horizontal="center" vertical="bottom"/>
    </xf>
    <xf borderId="0" fillId="18" fontId="13" numFmtId="0" xfId="0" applyAlignment="1" applyFont="1">
      <alignment horizontal="center" vertical="bottom"/>
    </xf>
    <xf borderId="0" fillId="12" fontId="13" numFmtId="0" xfId="0" applyAlignment="1" applyFont="1">
      <alignment horizontal="center" vertical="bottom"/>
    </xf>
    <xf borderId="0" fillId="16" fontId="13" numFmtId="0" xfId="0" applyAlignment="1" applyFont="1">
      <alignment horizontal="center" vertical="bottom"/>
    </xf>
    <xf borderId="0" fillId="7" fontId="13" numFmtId="0" xfId="0" applyAlignment="1" applyFont="1">
      <alignment vertical="bottom"/>
    </xf>
    <xf borderId="6" fillId="11" fontId="9" numFmtId="0" xfId="0" applyAlignment="1" applyBorder="1" applyFont="1">
      <alignment vertical="bottom"/>
    </xf>
    <xf borderId="6" fillId="12" fontId="9" numFmtId="0" xfId="0" applyAlignment="1" applyBorder="1" applyFont="1">
      <alignment vertical="bottom"/>
    </xf>
    <xf borderId="6" fillId="13" fontId="9" numFmtId="0" xfId="0" applyAlignment="1" applyBorder="1" applyFont="1">
      <alignment vertical="bottom"/>
    </xf>
    <xf borderId="6" fillId="14" fontId="9" numFmtId="0" xfId="0" applyAlignment="1" applyBorder="1" applyFont="1">
      <alignment vertical="bottom"/>
    </xf>
    <xf borderId="6" fillId="15" fontId="9" numFmtId="0" xfId="0" applyAlignment="1" applyBorder="1" applyFont="1">
      <alignment vertical="bottom"/>
    </xf>
    <xf borderId="0" fillId="16" fontId="13" numFmtId="0" xfId="0" applyAlignment="1" applyFont="1">
      <alignment vertical="bottom"/>
    </xf>
    <xf borderId="0" fillId="11" fontId="9" numFmtId="10" xfId="0" applyAlignment="1" applyFont="1" applyNumberFormat="1">
      <alignment vertical="bottom"/>
    </xf>
    <xf borderId="0" fillId="11" fontId="9" numFmtId="0" xfId="0" applyAlignment="1" applyFont="1">
      <alignment vertical="bottom"/>
    </xf>
    <xf borderId="0" fillId="12" fontId="9" numFmtId="0" xfId="0" applyAlignment="1" applyFont="1">
      <alignment vertical="bottom"/>
    </xf>
    <xf borderId="0" fillId="13" fontId="9" numFmtId="0" xfId="0" applyAlignment="1" applyFont="1">
      <alignment vertical="bottom"/>
    </xf>
    <xf borderId="0" fillId="14" fontId="9" numFmtId="0" xfId="0" applyAlignment="1" applyFont="1">
      <alignment vertical="bottom"/>
    </xf>
    <xf borderId="0" fillId="15" fontId="9" numFmtId="0" xfId="0" applyAlignment="1" applyFont="1">
      <alignment vertical="bottom"/>
    </xf>
    <xf borderId="0" fillId="0" fontId="8" numFmtId="0" xfId="0" applyAlignment="1" applyFont="1">
      <alignment shrinkToFit="0" vertical="bottom" wrapText="1"/>
    </xf>
    <xf borderId="0" fillId="11" fontId="13" numFmtId="0" xfId="0" applyAlignment="1" applyFont="1">
      <alignment vertical="bottom"/>
    </xf>
    <xf borderId="0" fillId="13" fontId="13" numFmtId="4" xfId="0" applyAlignment="1" applyFont="1" applyNumberFormat="1">
      <alignment horizontal="right" vertical="bottom"/>
    </xf>
    <xf borderId="0" fillId="15" fontId="13" numFmtId="3" xfId="0" applyAlignment="1" applyFont="1" applyNumberFormat="1">
      <alignment horizontal="right" vertical="bottom"/>
    </xf>
    <xf borderId="0" fillId="15" fontId="14" numFmtId="3" xfId="0" applyAlignment="1" applyFont="1" applyNumberFormat="1">
      <alignment vertical="bottom"/>
    </xf>
    <xf borderId="0" fillId="11" fontId="13" numFmtId="3" xfId="0" applyAlignment="1" applyFont="1" applyNumberFormat="1">
      <alignment horizontal="right" vertical="bottom"/>
    </xf>
    <xf borderId="0" fillId="11" fontId="13" numFmtId="0" xfId="0" applyAlignment="1" applyFont="1">
      <alignment horizontal="right" vertical="bottom"/>
    </xf>
    <xf borderId="0" fillId="12" fontId="14" numFmtId="0" xfId="0" applyAlignment="1" applyFont="1">
      <alignment horizontal="right" vertical="bottom"/>
    </xf>
    <xf borderId="0" fillId="13" fontId="14" numFmtId="0" xfId="0" applyAlignment="1" applyFont="1">
      <alignment vertical="bottom"/>
    </xf>
    <xf borderId="0" fillId="11" fontId="13" numFmtId="10" xfId="0" applyAlignment="1" applyFont="1" applyNumberFormat="1">
      <alignment readingOrder="0" vertical="bottom"/>
    </xf>
    <xf borderId="0" fillId="12" fontId="13" numFmtId="10" xfId="0" applyAlignment="1" applyFont="1" applyNumberFormat="1">
      <alignment readingOrder="0" vertical="bottom"/>
    </xf>
    <xf borderId="0" fillId="12" fontId="13" numFmtId="10" xfId="0" applyAlignment="1" applyFont="1" applyNumberFormat="1">
      <alignment horizontal="center" readingOrder="0" vertical="bottom"/>
    </xf>
    <xf borderId="0" fillId="13" fontId="13" numFmtId="10" xfId="0" applyAlignment="1" applyFont="1" applyNumberFormat="1">
      <alignment readingOrder="0" vertical="bottom"/>
    </xf>
    <xf borderId="0" fillId="14" fontId="13" numFmtId="10" xfId="0" applyAlignment="1" applyFont="1" applyNumberFormat="1">
      <alignment readingOrder="0" vertical="bottom"/>
    </xf>
    <xf borderId="0" fillId="15" fontId="13" numFmtId="10" xfId="0" applyAlignment="1" applyFont="1" applyNumberFormat="1">
      <alignment readingOrder="0" vertical="bottom"/>
    </xf>
    <xf borderId="0" fillId="14" fontId="15" numFmtId="0" xfId="0" applyAlignment="1" applyFont="1">
      <alignment horizontal="right" vertical="bottom"/>
    </xf>
    <xf borderId="0" fillId="7" fontId="14" numFmtId="0" xfId="0" applyAlignment="1" applyFont="1">
      <alignment vertical="bottom"/>
    </xf>
    <xf borderId="0" fillId="13" fontId="13" numFmtId="10" xfId="0" applyAlignment="1" applyFont="1" applyNumberFormat="1">
      <alignment horizontal="center" readingOrder="0" vertical="bottom"/>
    </xf>
    <xf borderId="0" fillId="14" fontId="13" numFmtId="10" xfId="0" applyAlignment="1" applyFont="1" applyNumberFormat="1">
      <alignment horizontal="center" readingOrder="0" vertical="bottom"/>
    </xf>
    <xf borderId="0" fillId="15" fontId="9" numFmtId="4" xfId="0" applyAlignment="1" applyFont="1" applyNumberFormat="1">
      <alignment vertical="bottom"/>
    </xf>
    <xf borderId="0" fillId="0" fontId="8" numFmtId="0" xfId="0" applyAlignment="1" applyFont="1">
      <alignment readingOrder="0" shrinkToFit="0" vertical="bottom" wrapText="1"/>
    </xf>
    <xf borderId="0" fillId="12" fontId="14" numFmtId="4" xfId="0" applyAlignment="1" applyFont="1" applyNumberFormat="1">
      <alignment horizontal="right" vertical="bottom"/>
    </xf>
    <xf borderId="0" fillId="13" fontId="14" numFmtId="4" xfId="0" applyAlignment="1" applyFont="1" applyNumberFormat="1">
      <alignment vertical="bottom"/>
    </xf>
    <xf borderId="0" fillId="15" fontId="14" numFmtId="4" xfId="0" applyAlignment="1" applyFont="1" applyNumberFormat="1">
      <alignment vertical="bottom"/>
    </xf>
    <xf borderId="0" fillId="13" fontId="13" numFmtId="11" xfId="0" applyAlignment="1" applyFont="1" applyNumberFormat="1">
      <alignment horizontal="right" vertical="bottom"/>
    </xf>
    <xf borderId="0" fillId="0" fontId="7" numFmtId="0" xfId="0" applyAlignment="1" applyFont="1">
      <alignment readingOrder="0" shrinkToFit="0" vertical="bottom" wrapText="1"/>
    </xf>
    <xf borderId="7" fillId="0" fontId="7" numFmtId="0" xfId="0" applyAlignment="1" applyBorder="1" applyFont="1">
      <alignment shrinkToFit="0" vertical="bottom" wrapText="1"/>
    </xf>
    <xf borderId="7" fillId="7" fontId="13" numFmtId="0" xfId="0" applyAlignment="1" applyBorder="1" applyFont="1">
      <alignment horizontal="center" vertical="bottom"/>
    </xf>
    <xf borderId="7" fillId="7" fontId="13" numFmtId="3" xfId="0" applyAlignment="1" applyBorder="1" applyFont="1" applyNumberFormat="1">
      <alignment horizontal="right" vertical="bottom"/>
    </xf>
    <xf borderId="7" fillId="11" fontId="13" numFmtId="4" xfId="0" applyAlignment="1" applyBorder="1" applyFont="1" applyNumberFormat="1">
      <alignment horizontal="right" shrinkToFit="0" vertical="bottom" wrapText="1"/>
    </xf>
    <xf borderId="7" fillId="12" fontId="13" numFmtId="4" xfId="0" applyAlignment="1" applyBorder="1" applyFont="1" applyNumberFormat="1">
      <alignment horizontal="right" shrinkToFit="0" vertical="bottom" wrapText="1"/>
    </xf>
    <xf borderId="7" fillId="13" fontId="13" numFmtId="0" xfId="0" applyAlignment="1" applyBorder="1" applyFont="1">
      <alignment horizontal="right" vertical="bottom"/>
    </xf>
    <xf borderId="7" fillId="13" fontId="13" numFmtId="4" xfId="0" applyAlignment="1" applyBorder="1" applyFont="1" applyNumberFormat="1">
      <alignment horizontal="right" vertical="bottom"/>
    </xf>
    <xf borderId="7" fillId="14" fontId="13" numFmtId="4" xfId="0" applyAlignment="1" applyBorder="1" applyFont="1" applyNumberFormat="1">
      <alignment horizontal="right" vertical="bottom"/>
    </xf>
    <xf borderId="7" fillId="14" fontId="13" numFmtId="0" xfId="0" applyAlignment="1" applyBorder="1" applyFont="1">
      <alignment horizontal="right" vertical="bottom"/>
    </xf>
    <xf borderId="7" fillId="15" fontId="13" numFmtId="0" xfId="0" applyAlignment="1" applyBorder="1" applyFont="1">
      <alignment horizontal="right" vertical="bottom"/>
    </xf>
    <xf borderId="7" fillId="15" fontId="13" numFmtId="3" xfId="0" applyAlignment="1" applyBorder="1" applyFont="1" applyNumberFormat="1">
      <alignment horizontal="right" vertical="bottom"/>
    </xf>
    <xf borderId="7" fillId="15" fontId="14" numFmtId="3" xfId="0" applyAlignment="1" applyBorder="1" applyFont="1" applyNumberFormat="1">
      <alignment vertical="bottom"/>
    </xf>
    <xf borderId="7" fillId="11" fontId="13" numFmtId="3" xfId="0" applyAlignment="1" applyBorder="1" applyFont="1" applyNumberFormat="1">
      <alignment horizontal="right" vertical="bottom"/>
    </xf>
    <xf borderId="7" fillId="11" fontId="13" numFmtId="0" xfId="0" applyAlignment="1" applyBorder="1" applyFont="1">
      <alignment vertical="bottom"/>
    </xf>
    <xf borderId="7" fillId="11" fontId="15" numFmtId="10" xfId="0" applyAlignment="1" applyBorder="1" applyFont="1" applyNumberFormat="1">
      <alignment horizontal="right" vertical="bottom"/>
    </xf>
    <xf borderId="7" fillId="12" fontId="13" numFmtId="10" xfId="0" applyAlignment="1" applyBorder="1" applyFont="1" applyNumberFormat="1">
      <alignment horizontal="right" vertical="bottom"/>
    </xf>
    <xf borderId="7" fillId="16" fontId="13" numFmtId="0" xfId="0" applyAlignment="1" applyBorder="1" applyFont="1">
      <alignment vertical="bottom"/>
    </xf>
    <xf borderId="7" fillId="16" fontId="13" numFmtId="10" xfId="0" applyAlignment="1" applyBorder="1" applyFont="1" applyNumberFormat="1">
      <alignment horizontal="center" vertical="bottom"/>
    </xf>
    <xf borderId="7" fillId="11" fontId="14" numFmtId="0" xfId="0" applyAlignment="1" applyBorder="1" applyFont="1">
      <alignment vertical="bottom"/>
    </xf>
    <xf borderId="7" fillId="11" fontId="13" numFmtId="10" xfId="0" applyAlignment="1" applyBorder="1" applyFont="1" applyNumberFormat="1">
      <alignment readingOrder="0" vertical="bottom"/>
    </xf>
    <xf borderId="7" fillId="12" fontId="13" numFmtId="10" xfId="0" applyAlignment="1" applyBorder="1" applyFont="1" applyNumberFormat="1">
      <alignment horizontal="right" readingOrder="0" vertical="bottom"/>
    </xf>
    <xf borderId="7" fillId="13" fontId="13" numFmtId="10" xfId="0" applyAlignment="1" applyBorder="1" applyFont="1" applyNumberFormat="1">
      <alignment horizontal="right" readingOrder="0" vertical="bottom"/>
    </xf>
    <xf borderId="7" fillId="14" fontId="13" numFmtId="10" xfId="0" applyAlignment="1" applyBorder="1" applyFont="1" applyNumberFormat="1">
      <alignment horizontal="right" readingOrder="0" vertical="bottom"/>
    </xf>
    <xf borderId="7" fillId="15" fontId="13" numFmtId="10" xfId="0" applyAlignment="1" applyBorder="1" applyFont="1" applyNumberFormat="1">
      <alignment horizontal="center" readingOrder="0" vertical="bottom"/>
    </xf>
    <xf borderId="7" fillId="15" fontId="13" numFmtId="10" xfId="0" applyAlignment="1" applyBorder="1" applyFont="1" applyNumberFormat="1">
      <alignment readingOrder="0" vertical="bottom"/>
    </xf>
    <xf borderId="7" fillId="15" fontId="14" numFmtId="10" xfId="0" applyAlignment="1" applyBorder="1" applyFont="1" applyNumberFormat="1">
      <alignment vertical="bottom"/>
    </xf>
    <xf borderId="7" fillId="17" fontId="14" numFmtId="1" xfId="0" applyAlignment="1" applyBorder="1" applyFont="1" applyNumberFormat="1">
      <alignment vertical="bottom"/>
    </xf>
    <xf borderId="7" fillId="17" fontId="13" numFmtId="1" xfId="0" applyAlignment="1" applyBorder="1" applyFont="1" applyNumberFormat="1">
      <alignment horizontal="center" vertical="bottom"/>
    </xf>
    <xf borderId="7" fillId="18" fontId="13" numFmtId="0" xfId="0" applyAlignment="1" applyBorder="1" applyFont="1">
      <alignment horizontal="center" vertical="bottom"/>
    </xf>
    <xf borderId="7" fillId="12" fontId="13" numFmtId="0" xfId="0" applyAlignment="1" applyBorder="1" applyFont="1">
      <alignment horizontal="center" vertical="bottom"/>
    </xf>
    <xf borderId="7" fillId="16" fontId="13" numFmtId="0" xfId="0" applyAlignment="1" applyBorder="1" applyFont="1">
      <alignment horizontal="center" vertical="bottom"/>
    </xf>
    <xf borderId="7" fillId="7" fontId="13" numFmtId="0" xfId="0" applyAlignment="1" applyBorder="1" applyFont="1">
      <alignment vertical="bottom"/>
    </xf>
    <xf borderId="7" fillId="12" fontId="14" numFmtId="0" xfId="0" applyAlignment="1" applyBorder="1" applyFont="1">
      <alignment horizontal="right" vertical="bottom"/>
    </xf>
    <xf borderId="0" fillId="0" fontId="9" numFmtId="4" xfId="0" applyAlignment="1" applyFont="1" applyNumberFormat="1">
      <alignment vertical="bottom"/>
    </xf>
    <xf borderId="0" fillId="0" fontId="14" numFmtId="10" xfId="0" applyAlignment="1" applyFont="1" applyNumberFormat="1">
      <alignment vertical="bottom"/>
    </xf>
    <xf borderId="0" fillId="0" fontId="9" numFmtId="10" xfId="0" applyAlignment="1" applyFont="1" applyNumberFormat="1">
      <alignment vertical="bottom"/>
    </xf>
    <xf borderId="0" fillId="0" fontId="9" numFmtId="164" xfId="0" applyAlignment="1" applyFont="1" applyNumberFormat="1">
      <alignment vertical="bottom"/>
    </xf>
    <xf borderId="0" fillId="0" fontId="9" numFmtId="0" xfId="0" applyAlignment="1" applyFont="1">
      <alignment readingOrder="0" vertical="bottom"/>
    </xf>
    <xf borderId="8" fillId="0" fontId="9" numFmtId="0" xfId="0" applyAlignment="1" applyBorder="1" applyFont="1">
      <alignment vertical="bottom"/>
    </xf>
    <xf borderId="0" fillId="0" fontId="17" numFmtId="0" xfId="0" applyAlignment="1" applyFont="1">
      <alignment horizontal="center" vertical="bottom"/>
    </xf>
    <xf borderId="8" fillId="0" fontId="17" numFmtId="0" xfId="0" applyAlignment="1" applyBorder="1" applyFont="1">
      <alignment horizontal="center" vertical="bottom"/>
    </xf>
    <xf borderId="9" fillId="0" fontId="14" numFmtId="0" xfId="0" applyAlignment="1" applyBorder="1" applyFont="1">
      <alignment vertical="bottom"/>
    </xf>
    <xf borderId="0" fillId="4" fontId="18" numFmtId="0" xfId="0" applyAlignment="1" applyFont="1">
      <alignment vertical="bottom"/>
    </xf>
    <xf borderId="0" fillId="0" fontId="14" numFmtId="0" xfId="0" applyAlignment="1" applyFont="1">
      <alignment vertical="bottom"/>
    </xf>
    <xf borderId="0" fillId="0" fontId="6" numFmtId="4" xfId="0" applyAlignment="1" applyFont="1" applyNumberFormat="1">
      <alignment readingOrder="0" vertical="bottom"/>
    </xf>
    <xf borderId="0" fillId="0" fontId="6" numFmtId="4" xfId="0" applyAlignment="1" applyFont="1" applyNumberFormat="1">
      <alignment vertical="bottom"/>
    </xf>
    <xf borderId="0" fillId="0" fontId="2" numFmtId="4" xfId="0" applyAlignment="1" applyFont="1" applyNumberFormat="1">
      <alignment readingOrder="0" vertical="bottom"/>
    </xf>
    <xf borderId="0" fillId="0" fontId="2" numFmtId="4" xfId="0" applyAlignment="1" applyFont="1" applyNumberFormat="1">
      <alignment vertical="bottom"/>
    </xf>
    <xf borderId="0" fillId="0" fontId="19" numFmtId="4" xfId="0" applyAlignment="1" applyFont="1" applyNumberFormat="1">
      <alignment horizontal="center" vertical="bottom"/>
    </xf>
    <xf borderId="0" fillId="0" fontId="14" numFmtId="4" xfId="0" applyAlignment="1" applyFont="1" applyNumberFormat="1">
      <alignment vertical="bottom"/>
    </xf>
    <xf borderId="0" fillId="0" fontId="14" numFmtId="4" xfId="0" applyAlignment="1" applyFont="1" applyNumberFormat="1">
      <alignment readingOrder="0" vertical="bottom"/>
    </xf>
    <xf borderId="0" fillId="0" fontId="9" numFmtId="4" xfId="0" applyAlignment="1" applyFont="1" applyNumberFormat="1">
      <alignment horizontal="right" vertical="bottom"/>
    </xf>
    <xf borderId="0" fillId="0" fontId="17" numFmtId="4" xfId="0" applyAlignment="1" applyFont="1" applyNumberFormat="1">
      <alignment horizontal="center" vertical="bottom"/>
    </xf>
    <xf borderId="0" fillId="0" fontId="9" numFmtId="4" xfId="0" applyAlignment="1" applyFont="1" applyNumberFormat="1">
      <alignment readingOrder="0" vertical="bottom"/>
    </xf>
    <xf borderId="0" fillId="0" fontId="20" numFmtId="0" xfId="0" applyAlignment="1" applyFont="1">
      <alignment readingOrder="0"/>
    </xf>
    <xf borderId="0" fillId="0" fontId="21" numFmtId="0" xfId="0" applyAlignment="1" applyFont="1">
      <alignment horizontal="center" vertical="bottom"/>
    </xf>
    <xf borderId="8" fillId="0" fontId="21" numFmtId="0" xfId="0" applyAlignment="1" applyBorder="1" applyFont="1">
      <alignment horizontal="center" vertical="bottom"/>
    </xf>
    <xf borderId="0" fillId="19" fontId="9" numFmtId="0" xfId="0" applyAlignment="1" applyFill="1" applyFont="1">
      <alignment vertical="bottom"/>
    </xf>
    <xf borderId="0" fillId="19" fontId="9" numFmtId="4" xfId="0" applyAlignment="1" applyFont="1" applyNumberFormat="1">
      <alignment horizontal="right" vertical="bottom"/>
    </xf>
    <xf borderId="0" fillId="0" fontId="18" numFmtId="4" xfId="0" applyAlignment="1" applyFont="1" applyNumberFormat="1">
      <alignment vertical="bottom"/>
    </xf>
    <xf borderId="0" fillId="19" fontId="18" numFmtId="4" xfId="0" applyAlignment="1" applyFont="1" applyNumberFormat="1">
      <alignment vertical="bottom"/>
    </xf>
    <xf borderId="0" fillId="0" fontId="18" numFmtId="0" xfId="0" applyAlignment="1" applyFont="1">
      <alignment vertical="bottom"/>
    </xf>
    <xf borderId="7" fillId="0" fontId="21" numFmtId="0" xfId="0" applyAlignment="1" applyBorder="1" applyFont="1">
      <alignment horizontal="center" vertical="bottom"/>
    </xf>
    <xf borderId="10" fillId="0" fontId="21" numFmtId="0" xfId="0" applyAlignment="1" applyBorder="1" applyFont="1">
      <alignment horizontal="center" vertical="bottom"/>
    </xf>
    <xf borderId="0" fillId="4" fontId="22" numFmtId="0" xfId="0" applyAlignment="1" applyFont="1">
      <alignment horizontal="center" shrinkToFit="0" vertical="bottom" wrapText="1"/>
    </xf>
    <xf borderId="0" fillId="7" fontId="22" numFmtId="0" xfId="0" applyAlignment="1" applyFont="1">
      <alignment horizontal="center" vertical="bottom"/>
    </xf>
    <xf borderId="0" fillId="11" fontId="22" numFmtId="0" xfId="0" applyAlignment="1" applyFont="1">
      <alignment horizontal="center" vertical="bottom"/>
    </xf>
    <xf borderId="0" fillId="12" fontId="22" numFmtId="0" xfId="0" applyAlignment="1" applyFont="1">
      <alignment horizontal="center" vertical="bottom"/>
    </xf>
    <xf borderId="0" fillId="13" fontId="22" numFmtId="0" xfId="0" applyAlignment="1" applyFont="1">
      <alignment horizontal="center" vertical="bottom"/>
    </xf>
    <xf borderId="0" fillId="14" fontId="22" numFmtId="0" xfId="0" applyAlignment="1" applyFont="1">
      <alignment horizontal="center" vertical="bottom"/>
    </xf>
    <xf borderId="0" fillId="15" fontId="22" numFmtId="0" xfId="0" applyAlignment="1" applyFont="1">
      <alignment horizontal="center" vertical="bottom"/>
    </xf>
    <xf borderId="0" fillId="18" fontId="22" numFmtId="0" xfId="0" applyAlignment="1" applyFont="1">
      <alignment horizontal="center" vertical="bottom"/>
    </xf>
    <xf borderId="0" fillId="12" fontId="6" numFmtId="0" xfId="0" applyAlignment="1" applyFont="1">
      <alignment horizontal="center" vertical="bottom"/>
    </xf>
    <xf borderId="0" fillId="16" fontId="22" numFmtId="0" xfId="0" applyAlignment="1" applyFont="1">
      <alignment horizontal="center" vertical="bottom"/>
    </xf>
    <xf borderId="0" fillId="18" fontId="22" numFmtId="10" xfId="0" applyAlignment="1" applyFont="1" applyNumberFormat="1">
      <alignment horizontal="center" vertical="bottom"/>
    </xf>
    <xf borderId="0" fillId="12" fontId="22" numFmtId="0" xfId="0" applyAlignment="1" applyFont="1">
      <alignment horizontal="center" readingOrder="0" vertical="bottom"/>
    </xf>
    <xf borderId="0" fillId="13" fontId="19" numFmtId="0" xfId="0" applyAlignment="1" applyFont="1">
      <alignment horizontal="center" vertical="bottom"/>
    </xf>
    <xf borderId="0" fillId="15" fontId="10" numFmtId="4" xfId="0" applyAlignment="1" applyFont="1" applyNumberFormat="1">
      <alignment horizontal="center" shrinkToFit="0" vertical="bottom" wrapText="1"/>
    </xf>
    <xf borderId="0" fillId="12" fontId="9" numFmtId="0" xfId="0" applyAlignment="1" applyFont="1">
      <alignment vertical="bottom"/>
    </xf>
    <xf borderId="0" fillId="12" fontId="10" numFmtId="0" xfId="0" applyAlignment="1" applyFont="1">
      <alignment horizontal="center" readingOrder="0" shrinkToFit="0" vertical="bottom" wrapText="1"/>
    </xf>
    <xf borderId="0" fillId="12" fontId="11" numFmtId="0" xfId="0" applyAlignment="1" applyFont="1">
      <alignment shrinkToFit="0" vertical="bottom" wrapText="1"/>
    </xf>
    <xf borderId="0" fillId="12" fontId="11" numFmtId="0" xfId="0" applyAlignment="1" applyFont="1">
      <alignment readingOrder="0" shrinkToFit="0" vertical="bottom" wrapText="1"/>
    </xf>
    <xf borderId="0" fillId="13" fontId="11" numFmtId="0" xfId="0" applyAlignment="1" applyFont="1">
      <alignment readingOrder="0" shrinkToFit="0" vertical="bottom" wrapText="1"/>
    </xf>
    <xf borderId="0" fillId="13" fontId="11" numFmtId="0" xfId="0" applyAlignment="1" applyFont="1">
      <alignment readingOrder="0" shrinkToFit="0" vertical="bottom" wrapText="1"/>
    </xf>
    <xf borderId="0" fillId="14" fontId="11" numFmtId="0" xfId="0" applyAlignment="1" applyFont="1">
      <alignment readingOrder="0" shrinkToFit="0" vertical="bottom" wrapText="1"/>
    </xf>
    <xf borderId="0" fillId="15" fontId="11" numFmtId="0" xfId="0" applyAlignment="1" applyFont="1">
      <alignment readingOrder="0" shrinkToFit="0" vertical="bottom" wrapText="1"/>
    </xf>
    <xf borderId="0" fillId="18" fontId="10" numFmtId="10" xfId="0" applyAlignment="1" applyFont="1" applyNumberFormat="1">
      <alignment horizontal="center" shrinkToFit="0" vertical="bottom" wrapText="1"/>
    </xf>
    <xf borderId="0" fillId="18" fontId="10" numFmtId="0" xfId="0" applyAlignment="1" applyFont="1">
      <alignment horizontal="center" readingOrder="0" shrinkToFit="0" vertical="bottom" wrapText="1"/>
    </xf>
    <xf borderId="0" fillId="18" fontId="10" numFmtId="0" xfId="0" applyAlignment="1" applyFont="1">
      <alignment horizontal="center" vertical="bottom"/>
    </xf>
    <xf borderId="5" fillId="0" fontId="9" numFmtId="0" xfId="0" applyAlignment="1" applyBorder="1" applyFont="1">
      <alignment readingOrder="0" vertical="bottom"/>
    </xf>
    <xf borderId="5" fillId="7" fontId="9" numFmtId="3" xfId="0" applyAlignment="1" applyBorder="1" applyFont="1" applyNumberFormat="1">
      <alignment vertical="bottom"/>
    </xf>
    <xf borderId="5" fillId="18" fontId="9" numFmtId="0" xfId="0" applyAlignment="1" applyBorder="1" applyFont="1">
      <alignment vertical="bottom"/>
    </xf>
    <xf borderId="5" fillId="12" fontId="10" numFmtId="10" xfId="0" applyAlignment="1" applyBorder="1" applyFont="1" applyNumberFormat="1">
      <alignment vertical="bottom"/>
    </xf>
    <xf borderId="5" fillId="16" fontId="10" numFmtId="10" xfId="0" applyAlignment="1" applyBorder="1" applyFont="1" applyNumberFormat="1">
      <alignment vertical="bottom"/>
    </xf>
    <xf borderId="5" fillId="18" fontId="9" numFmtId="10" xfId="0" applyAlignment="1" applyBorder="1" applyFont="1" applyNumberFormat="1">
      <alignment vertical="bottom"/>
    </xf>
    <xf borderId="5" fillId="18" fontId="10" numFmtId="10" xfId="0" applyAlignment="1" applyBorder="1" applyFont="1" applyNumberFormat="1">
      <alignment horizontal="right" vertical="bottom"/>
    </xf>
    <xf borderId="5" fillId="12" fontId="9" numFmtId="10" xfId="0" applyAlignment="1" applyBorder="1" applyFont="1" applyNumberFormat="1">
      <alignment vertical="bottom"/>
    </xf>
    <xf borderId="5" fillId="13" fontId="11" numFmtId="10" xfId="0" applyAlignment="1" applyBorder="1" applyFont="1" applyNumberFormat="1">
      <alignment shrinkToFit="0" vertical="bottom" wrapText="1"/>
    </xf>
    <xf borderId="5" fillId="14" fontId="11" numFmtId="10" xfId="0" applyAlignment="1" applyBorder="1" applyFont="1" applyNumberFormat="1">
      <alignment shrinkToFit="0" vertical="bottom" wrapText="1"/>
    </xf>
    <xf borderId="5" fillId="15" fontId="11" numFmtId="10" xfId="0" applyAlignment="1" applyBorder="1" applyFont="1" applyNumberFormat="1">
      <alignment shrinkToFit="0" vertical="bottom" wrapText="1"/>
    </xf>
    <xf borderId="5" fillId="18" fontId="9" numFmtId="4" xfId="0" applyAlignment="1" applyBorder="1" applyFont="1" applyNumberFormat="1">
      <alignment vertical="bottom"/>
    </xf>
    <xf borderId="0" fillId="11" fontId="3" numFmtId="10" xfId="0" applyFont="1" applyNumberFormat="1"/>
    <xf borderId="5" fillId="12" fontId="11" numFmtId="10" xfId="0" applyAlignment="1" applyBorder="1" applyFont="1" applyNumberFormat="1">
      <alignment shrinkToFit="0" vertical="bottom" wrapText="1"/>
    </xf>
    <xf borderId="5" fillId="12" fontId="11" numFmtId="10" xfId="0" applyAlignment="1" applyBorder="1" applyFont="1" applyNumberFormat="1">
      <alignment vertical="bottom"/>
    </xf>
    <xf borderId="0" fillId="13" fontId="11" numFmtId="10" xfId="0" applyAlignment="1" applyFont="1" applyNumberFormat="1">
      <alignment shrinkToFit="0" vertical="bottom" wrapText="1"/>
    </xf>
    <xf borderId="5" fillId="18" fontId="11" numFmtId="10" xfId="0" applyAlignment="1" applyBorder="1" applyFont="1" applyNumberFormat="1">
      <alignment shrinkToFit="0" vertical="bottom" wrapText="1"/>
    </xf>
    <xf borderId="0" fillId="11" fontId="12" numFmtId="4" xfId="0" applyAlignment="1" applyFont="1" applyNumberFormat="1">
      <alignment vertical="bottom"/>
    </xf>
    <xf borderId="5" fillId="12" fontId="12" numFmtId="4" xfId="0" applyAlignment="1" applyBorder="1" applyFont="1" applyNumberFormat="1">
      <alignment vertical="bottom"/>
    </xf>
    <xf borderId="0" fillId="13" fontId="12" numFmtId="4" xfId="0" applyAlignment="1" applyFont="1" applyNumberFormat="1">
      <alignment vertical="bottom"/>
    </xf>
    <xf borderId="0" fillId="14" fontId="12" numFmtId="4" xfId="0" applyAlignment="1" applyFont="1" applyNumberFormat="1">
      <alignment vertical="bottom"/>
    </xf>
    <xf borderId="0" fillId="15" fontId="12" numFmtId="4" xfId="0" applyAlignment="1" applyFont="1" applyNumberFormat="1">
      <alignment vertical="bottom"/>
    </xf>
    <xf borderId="0" fillId="18" fontId="12" numFmtId="4" xfId="0" applyAlignment="1" applyFont="1" applyNumberFormat="1">
      <alignment vertical="bottom"/>
    </xf>
    <xf borderId="0" fillId="11" fontId="13" numFmtId="4" xfId="0" applyAlignment="1" applyFont="1" applyNumberFormat="1">
      <alignment horizontal="right" vertical="bottom"/>
    </xf>
    <xf borderId="0" fillId="12" fontId="13" numFmtId="0" xfId="0" applyAlignment="1" applyFont="1">
      <alignment horizontal="right" vertical="bottom"/>
    </xf>
    <xf borderId="0" fillId="13" fontId="13" numFmtId="0" xfId="0" applyAlignment="1" applyFont="1">
      <alignment horizontal="right" readingOrder="0" vertical="bottom"/>
    </xf>
    <xf borderId="6" fillId="14" fontId="13" numFmtId="0" xfId="0" applyAlignment="1" applyBorder="1" applyFont="1">
      <alignment horizontal="right" vertical="bottom"/>
    </xf>
    <xf borderId="6" fillId="15" fontId="13" numFmtId="4" xfId="0" applyAlignment="1" applyBorder="1" applyFont="1" applyNumberFormat="1">
      <alignment horizontal="right" vertical="bottom"/>
    </xf>
    <xf borderId="0" fillId="18" fontId="13" numFmtId="0" xfId="0" applyAlignment="1" applyFont="1">
      <alignment horizontal="right" vertical="bottom"/>
    </xf>
    <xf borderId="0" fillId="18" fontId="14" numFmtId="0" xfId="0" applyAlignment="1" applyFont="1">
      <alignment vertical="bottom"/>
    </xf>
    <xf borderId="0" fillId="18" fontId="14" numFmtId="10" xfId="0" applyAlignment="1" applyFont="1" applyNumberFormat="1">
      <alignment vertical="bottom"/>
    </xf>
    <xf borderId="0" fillId="18" fontId="14" numFmtId="10" xfId="0" applyAlignment="1" applyFont="1" applyNumberFormat="1">
      <alignment horizontal="right" vertical="bottom"/>
    </xf>
    <xf borderId="0" fillId="18" fontId="13" numFmtId="10" xfId="0" applyAlignment="1" applyFont="1" applyNumberFormat="1">
      <alignment horizontal="right" readingOrder="0" vertical="bottom"/>
    </xf>
    <xf borderId="0" fillId="13" fontId="14" numFmtId="10" xfId="0" applyAlignment="1" applyFont="1" applyNumberFormat="1">
      <alignment horizontal="right" vertical="bottom"/>
    </xf>
    <xf borderId="0" fillId="18" fontId="13" numFmtId="10" xfId="0" applyAlignment="1" applyFont="1" applyNumberFormat="1">
      <alignment horizontal="center" vertical="bottom"/>
    </xf>
    <xf borderId="0" fillId="17" fontId="13" numFmtId="0" xfId="0" applyAlignment="1" applyFont="1">
      <alignment horizontal="center" vertical="bottom"/>
    </xf>
    <xf borderId="6" fillId="18" fontId="9" numFmtId="0" xfId="0" applyAlignment="1" applyBorder="1" applyFont="1">
      <alignment vertical="bottom"/>
    </xf>
    <xf borderId="0" fillId="13" fontId="14" numFmtId="0" xfId="0" applyAlignment="1" applyFont="1">
      <alignment readingOrder="0" vertical="bottom"/>
    </xf>
    <xf borderId="0" fillId="18" fontId="9" numFmtId="0" xfId="0" applyAlignment="1" applyFont="1">
      <alignment vertical="bottom"/>
    </xf>
    <xf borderId="0" fillId="13" fontId="13" numFmtId="0" xfId="0" applyAlignment="1" applyFont="1">
      <alignment readingOrder="0" vertical="bottom"/>
    </xf>
    <xf borderId="0" fillId="18" fontId="13" numFmtId="4" xfId="0" applyAlignment="1" applyFont="1" applyNumberFormat="1">
      <alignment horizontal="right" vertical="bottom"/>
    </xf>
    <xf borderId="0" fillId="18" fontId="13" numFmtId="0" xfId="0" applyAlignment="1" applyFont="1">
      <alignment vertical="bottom"/>
    </xf>
    <xf borderId="0" fillId="11" fontId="14" numFmtId="0" xfId="0" applyAlignment="1" applyFont="1">
      <alignment horizontal="right" vertical="bottom"/>
    </xf>
    <xf borderId="0" fillId="18" fontId="14" numFmtId="0" xfId="0" applyAlignment="1" applyFont="1">
      <alignment horizontal="right" vertical="bottom"/>
    </xf>
    <xf borderId="0" fillId="11" fontId="14" numFmtId="10" xfId="0" applyAlignment="1" applyFont="1" applyNumberFormat="1">
      <alignment readingOrder="0" vertical="bottom"/>
    </xf>
    <xf borderId="0" fillId="12" fontId="14" numFmtId="10" xfId="0" applyAlignment="1" applyFont="1" applyNumberFormat="1">
      <alignment readingOrder="0" vertical="bottom"/>
    </xf>
    <xf borderId="0" fillId="13" fontId="14" numFmtId="10" xfId="0" applyAlignment="1" applyFont="1" applyNumberFormat="1">
      <alignment readingOrder="0" vertical="bottom"/>
    </xf>
    <xf borderId="0" fillId="14" fontId="14" numFmtId="10" xfId="0" applyAlignment="1" applyFont="1" applyNumberFormat="1">
      <alignment readingOrder="0" vertical="bottom"/>
    </xf>
    <xf borderId="0" fillId="14" fontId="14" numFmtId="0" xfId="0" applyAlignment="1" applyFont="1">
      <alignment readingOrder="0" vertical="bottom"/>
    </xf>
    <xf borderId="0" fillId="15" fontId="14" numFmtId="10" xfId="0" applyAlignment="1" applyFont="1" applyNumberFormat="1">
      <alignment readingOrder="0" vertical="bottom"/>
    </xf>
    <xf borderId="0" fillId="18" fontId="14" numFmtId="10" xfId="0" applyAlignment="1" applyFont="1" applyNumberFormat="1">
      <alignment readingOrder="0" vertical="bottom"/>
    </xf>
    <xf borderId="0" fillId="12" fontId="13" numFmtId="4" xfId="0" applyAlignment="1" applyFont="1" applyNumberFormat="1">
      <alignment horizontal="right" vertical="bottom"/>
    </xf>
    <xf borderId="0" fillId="13" fontId="13" numFmtId="4" xfId="0" applyAlignment="1" applyFont="1" applyNumberFormat="1">
      <alignment horizontal="right" readingOrder="0" vertical="bottom"/>
    </xf>
    <xf borderId="0" fillId="14" fontId="14" numFmtId="0" xfId="0" applyAlignment="1" applyFont="1">
      <alignment horizontal="right" vertical="bottom"/>
    </xf>
    <xf borderId="0" fillId="18" fontId="13" numFmtId="11" xfId="0" applyAlignment="1" applyFont="1" applyNumberFormat="1">
      <alignment horizontal="right" vertical="bottom"/>
    </xf>
    <xf borderId="0" fillId="13" fontId="13" numFmtId="0" xfId="0" applyAlignment="1" applyFont="1">
      <alignment vertical="bottom"/>
    </xf>
    <xf borderId="0" fillId="13" fontId="14" numFmtId="11" xfId="0" applyAlignment="1" applyFont="1" applyNumberFormat="1">
      <alignment readingOrder="0" vertical="bottom"/>
    </xf>
    <xf borderId="0" fillId="14" fontId="13" numFmtId="0" xfId="0" applyAlignment="1" applyFont="1">
      <alignment horizontal="right" readingOrder="0" vertical="bottom"/>
    </xf>
    <xf borderId="0" fillId="13" fontId="13" numFmtId="11" xfId="0" applyAlignment="1" applyFont="1" applyNumberFormat="1">
      <alignment readingOrder="0" vertical="bottom"/>
    </xf>
    <xf borderId="7" fillId="11" fontId="13" numFmtId="4" xfId="0" applyAlignment="1" applyBorder="1" applyFont="1" applyNumberFormat="1">
      <alignment horizontal="right" vertical="bottom"/>
    </xf>
    <xf borderId="7" fillId="12" fontId="13" numFmtId="4" xfId="0" applyAlignment="1" applyBorder="1" applyFont="1" applyNumberFormat="1">
      <alignment horizontal="right" vertical="bottom"/>
    </xf>
    <xf borderId="7" fillId="13" fontId="13" numFmtId="4" xfId="0" applyAlignment="1" applyBorder="1" applyFont="1" applyNumberFormat="1">
      <alignment horizontal="right" readingOrder="0" vertical="bottom"/>
    </xf>
    <xf borderId="7" fillId="13" fontId="13" numFmtId="0" xfId="0" applyAlignment="1" applyBorder="1" applyFont="1">
      <alignment readingOrder="0" vertical="bottom"/>
    </xf>
    <xf borderId="7" fillId="15" fontId="13" numFmtId="4" xfId="0" applyAlignment="1" applyBorder="1" applyFont="1" applyNumberFormat="1">
      <alignment horizontal="right" vertical="bottom"/>
    </xf>
    <xf borderId="7" fillId="18" fontId="13" numFmtId="0" xfId="0" applyAlignment="1" applyBorder="1" applyFont="1">
      <alignment horizontal="right" vertical="bottom"/>
    </xf>
    <xf borderId="7" fillId="16" fontId="13" numFmtId="10" xfId="0" applyAlignment="1" applyBorder="1" applyFont="1" applyNumberFormat="1">
      <alignment horizontal="right" vertical="bottom"/>
    </xf>
    <xf borderId="7" fillId="18" fontId="14" numFmtId="0" xfId="0" applyAlignment="1" applyBorder="1" applyFont="1">
      <alignment vertical="bottom"/>
    </xf>
    <xf borderId="7" fillId="18" fontId="14" numFmtId="10" xfId="0" applyAlignment="1" applyBorder="1" applyFont="1" applyNumberFormat="1">
      <alignment horizontal="right" vertical="bottom"/>
    </xf>
    <xf borderId="7" fillId="11" fontId="13" numFmtId="10" xfId="0" applyAlignment="1" applyBorder="1" applyFont="1" applyNumberFormat="1">
      <alignment horizontal="right" readingOrder="0" vertical="bottom"/>
    </xf>
    <xf borderId="7" fillId="13" fontId="14" numFmtId="10" xfId="0" applyAlignment="1" applyBorder="1" applyFont="1" applyNumberFormat="1">
      <alignment readingOrder="0" vertical="bottom"/>
    </xf>
    <xf borderId="7" fillId="14" fontId="14" numFmtId="10" xfId="0" applyAlignment="1" applyBorder="1" applyFont="1" applyNumberFormat="1">
      <alignment readingOrder="0" vertical="bottom"/>
    </xf>
    <xf borderId="7" fillId="15" fontId="14" numFmtId="10" xfId="0" applyAlignment="1" applyBorder="1" applyFont="1" applyNumberFormat="1">
      <alignment readingOrder="0" vertical="bottom"/>
    </xf>
    <xf borderId="7" fillId="18" fontId="13" numFmtId="10" xfId="0" applyAlignment="1" applyBorder="1" applyFont="1" applyNumberFormat="1">
      <alignment horizontal="right" readingOrder="0" vertical="bottom"/>
    </xf>
    <xf borderId="7" fillId="17" fontId="13" numFmtId="0" xfId="0" applyAlignment="1" applyBorder="1" applyFont="1">
      <alignment horizontal="center" vertical="bottom"/>
    </xf>
    <xf borderId="8" fillId="0" fontId="14" numFmtId="0" xfId="0" applyAlignment="1" applyBorder="1" applyFont="1">
      <alignment vertical="bottom"/>
    </xf>
    <xf borderId="0" fillId="0" fontId="14" numFmtId="0" xfId="0" applyAlignment="1" applyFont="1">
      <alignment readingOrder="0" vertical="bottom"/>
    </xf>
    <xf borderId="0" fillId="0" fontId="14" numFmtId="4" xfId="0" applyAlignment="1" applyFont="1" applyNumberFormat="1">
      <alignment horizontal="right" vertical="bottom"/>
    </xf>
    <xf borderId="0" fillId="19" fontId="18" numFmtId="0" xfId="0" applyAlignment="1" applyFont="1">
      <alignment vertical="bottom"/>
    </xf>
    <xf borderId="0" fillId="4" fontId="23" numFmtId="0" xfId="0" applyAlignment="1" applyFont="1">
      <alignment horizontal="center" shrinkToFit="0" vertical="bottom" wrapText="1"/>
    </xf>
    <xf borderId="0" fillId="7" fontId="24" numFmtId="0" xfId="0" applyAlignment="1" applyFont="1">
      <alignment horizontal="center" vertical="bottom"/>
    </xf>
    <xf borderId="0" fillId="11" fontId="24" numFmtId="0" xfId="0" applyAlignment="1" applyFont="1">
      <alignment horizontal="center" vertical="bottom"/>
    </xf>
    <xf borderId="0" fillId="12" fontId="24" numFmtId="0" xfId="0" applyAlignment="1" applyFont="1">
      <alignment horizontal="center" vertical="bottom"/>
    </xf>
    <xf borderId="0" fillId="13" fontId="24" numFmtId="0" xfId="0" applyAlignment="1" applyFont="1">
      <alignment horizontal="center" vertical="bottom"/>
    </xf>
    <xf borderId="0" fillId="14" fontId="24" numFmtId="0" xfId="0" applyAlignment="1" applyFont="1">
      <alignment horizontal="center" vertical="bottom"/>
    </xf>
    <xf borderId="0" fillId="15" fontId="24" numFmtId="0" xfId="0" applyAlignment="1" applyFont="1">
      <alignment horizontal="center" vertical="bottom"/>
    </xf>
    <xf borderId="0" fillId="18" fontId="24" numFmtId="0" xfId="0" applyAlignment="1" applyFont="1">
      <alignment horizontal="center" vertical="bottom"/>
    </xf>
    <xf borderId="0" fillId="16" fontId="24" numFmtId="0" xfId="0" applyAlignment="1" applyFont="1">
      <alignment horizontal="center" vertical="bottom"/>
    </xf>
    <xf borderId="0" fillId="7" fontId="25" numFmtId="0" xfId="0" applyAlignment="1" applyFont="1">
      <alignment horizontal="center" vertical="bottom"/>
    </xf>
    <xf borderId="0" fillId="12" fontId="24" numFmtId="0" xfId="0" applyAlignment="1" applyFont="1">
      <alignment horizontal="center" vertical="bottom"/>
    </xf>
    <xf borderId="0" fillId="13" fontId="23" numFmtId="0" xfId="0" applyAlignment="1" applyFont="1">
      <alignment horizontal="center" vertical="bottom"/>
    </xf>
    <xf borderId="0" fillId="0" fontId="9" numFmtId="0" xfId="0" applyAlignment="1" applyFont="1">
      <alignment vertical="bottom"/>
    </xf>
    <xf borderId="0" fillId="7" fontId="9" numFmtId="0" xfId="0" applyAlignment="1" applyFont="1">
      <alignment vertical="bottom"/>
    </xf>
    <xf borderId="0" fillId="11" fontId="26" numFmtId="0" xfId="0" applyAlignment="1" applyFont="1">
      <alignment horizontal="center" shrinkToFit="0" vertical="bottom" wrapText="1"/>
    </xf>
    <xf borderId="0" fillId="12" fontId="26" numFmtId="0" xfId="0" applyAlignment="1" applyFont="1">
      <alignment horizontal="center" shrinkToFit="0" vertical="bottom" wrapText="1"/>
    </xf>
    <xf borderId="0" fillId="13" fontId="26" numFmtId="0" xfId="0" applyAlignment="1" applyFont="1">
      <alignment horizontal="center" shrinkToFit="0" vertical="bottom" wrapText="1"/>
    </xf>
    <xf borderId="0" fillId="14" fontId="26" numFmtId="0" xfId="0" applyAlignment="1" applyFont="1">
      <alignment horizontal="center" shrinkToFit="0" vertical="bottom" wrapText="1"/>
    </xf>
    <xf borderId="0" fillId="15" fontId="26" numFmtId="0" xfId="0" applyAlignment="1" applyFont="1">
      <alignment horizontal="center" shrinkToFit="0" vertical="bottom" wrapText="1"/>
    </xf>
    <xf borderId="0" fillId="18" fontId="26" numFmtId="0" xfId="0" applyAlignment="1" applyFont="1">
      <alignment horizontal="center" shrinkToFit="0" vertical="bottom" wrapText="1"/>
    </xf>
    <xf borderId="0" fillId="16" fontId="26" numFmtId="0" xfId="0" applyAlignment="1" applyFont="1">
      <alignment horizontal="center" shrinkToFit="0" vertical="bottom" wrapText="1"/>
    </xf>
    <xf borderId="0" fillId="18" fontId="26" numFmtId="0" xfId="0" applyAlignment="1" applyFont="1">
      <alignment horizontal="right" shrinkToFit="0" vertical="bottom" wrapText="1"/>
    </xf>
    <xf borderId="0" fillId="12" fontId="26" numFmtId="10" xfId="0" applyAlignment="1" applyFont="1" applyNumberFormat="1">
      <alignment horizontal="center" shrinkToFit="0" vertical="bottom" wrapText="1"/>
    </xf>
    <xf borderId="0" fillId="14" fontId="26" numFmtId="10" xfId="0" applyAlignment="1" applyFont="1" applyNumberFormat="1">
      <alignment horizontal="center" shrinkToFit="0" vertical="bottom" wrapText="1"/>
    </xf>
    <xf borderId="0" fillId="15" fontId="26" numFmtId="10" xfId="0" applyAlignment="1" applyFont="1" applyNumberFormat="1">
      <alignment horizontal="center" shrinkToFit="0" vertical="bottom" wrapText="1"/>
    </xf>
    <xf borderId="0" fillId="11" fontId="27" numFmtId="0" xfId="0" applyAlignment="1" applyFont="1">
      <alignment shrinkToFit="0" vertical="bottom" wrapText="1"/>
    </xf>
    <xf borderId="0" fillId="12" fontId="27" numFmtId="0" xfId="0" applyAlignment="1" applyFont="1">
      <alignment shrinkToFit="0" vertical="bottom" wrapText="1"/>
    </xf>
    <xf borderId="0" fillId="13" fontId="27" numFmtId="0" xfId="0" applyAlignment="1" applyFont="1">
      <alignment shrinkToFit="0" vertical="bottom" wrapText="1"/>
    </xf>
    <xf borderId="0" fillId="14" fontId="27" numFmtId="0" xfId="0" applyAlignment="1" applyFont="1">
      <alignment shrinkToFit="0" vertical="bottom" wrapText="1"/>
    </xf>
    <xf borderId="0" fillId="15" fontId="27" numFmtId="0" xfId="0" applyAlignment="1" applyFont="1">
      <alignment shrinkToFit="0" vertical="bottom" wrapText="1"/>
    </xf>
    <xf borderId="0" fillId="11" fontId="9" numFmtId="0" xfId="0" applyAlignment="1" applyFont="1">
      <alignment vertical="bottom"/>
    </xf>
    <xf borderId="0" fillId="7" fontId="26" numFmtId="0" xfId="0" applyAlignment="1" applyFont="1">
      <alignment horizontal="center" shrinkToFit="0" vertical="bottom" wrapText="1"/>
    </xf>
    <xf borderId="0" fillId="7" fontId="27" numFmtId="0" xfId="0" applyAlignment="1" applyFont="1">
      <alignment shrinkToFit="0" vertical="bottom" wrapText="1"/>
    </xf>
    <xf borderId="0" fillId="18" fontId="26" numFmtId="0" xfId="0" applyAlignment="1" applyFont="1">
      <alignment horizontal="center" vertical="bottom"/>
    </xf>
    <xf borderId="5" fillId="0" fontId="9" numFmtId="0" xfId="0" applyAlignment="1" applyBorder="1" applyFont="1">
      <alignment vertical="bottom"/>
    </xf>
    <xf borderId="5" fillId="7" fontId="9" numFmtId="0" xfId="0" applyAlignment="1" applyBorder="1" applyFont="1">
      <alignment vertical="bottom"/>
    </xf>
    <xf borderId="5" fillId="11" fontId="28" numFmtId="0" xfId="0" applyAlignment="1" applyBorder="1" applyFont="1">
      <alignment horizontal="right" vertical="bottom"/>
    </xf>
    <xf borderId="5" fillId="12" fontId="28" numFmtId="0" xfId="0" applyAlignment="1" applyBorder="1" applyFont="1">
      <alignment horizontal="right" vertical="bottom"/>
    </xf>
    <xf borderId="5" fillId="13" fontId="28" numFmtId="0" xfId="0" applyAlignment="1" applyBorder="1" applyFont="1">
      <alignment horizontal="right" vertical="bottom"/>
    </xf>
    <xf borderId="5" fillId="14" fontId="28" numFmtId="0" xfId="0" applyAlignment="1" applyBorder="1" applyFont="1">
      <alignment horizontal="right" vertical="bottom"/>
    </xf>
    <xf borderId="5" fillId="14" fontId="28" numFmtId="4" xfId="0" applyAlignment="1" applyBorder="1" applyFont="1" applyNumberFormat="1">
      <alignment horizontal="right" vertical="bottom"/>
    </xf>
    <xf borderId="5" fillId="15" fontId="28" numFmtId="4" xfId="0" applyAlignment="1" applyBorder="1" applyFont="1" applyNumberFormat="1">
      <alignment horizontal="right" vertical="bottom"/>
    </xf>
    <xf borderId="5" fillId="15" fontId="28" numFmtId="0" xfId="0" applyAlignment="1" applyBorder="1" applyFont="1">
      <alignment horizontal="right" vertical="bottom"/>
    </xf>
    <xf borderId="5" fillId="18" fontId="28" numFmtId="0" xfId="0" applyAlignment="1" applyBorder="1" applyFont="1">
      <alignment horizontal="right" vertical="bottom"/>
    </xf>
    <xf borderId="5" fillId="11" fontId="9" numFmtId="0" xfId="0" applyAlignment="1" applyBorder="1" applyFont="1">
      <alignment vertical="bottom"/>
    </xf>
    <xf borderId="5" fillId="11" fontId="28" numFmtId="10" xfId="0" applyAlignment="1" applyBorder="1" applyFont="1" applyNumberFormat="1">
      <alignment horizontal="right" vertical="bottom"/>
    </xf>
    <xf borderId="5" fillId="11" fontId="27" numFmtId="10" xfId="0" applyAlignment="1" applyBorder="1" applyFont="1" applyNumberFormat="1">
      <alignment horizontal="right" vertical="bottom"/>
    </xf>
    <xf borderId="5" fillId="12" fontId="28" numFmtId="0" xfId="0" applyAlignment="1" applyBorder="1" applyFont="1">
      <alignment vertical="bottom"/>
    </xf>
    <xf borderId="5" fillId="12" fontId="26" numFmtId="10" xfId="0" applyAlignment="1" applyBorder="1" applyFont="1" applyNumberFormat="1">
      <alignment horizontal="right" vertical="bottom"/>
    </xf>
    <xf borderId="5" fillId="16" fontId="26" numFmtId="0" xfId="0" applyAlignment="1" applyBorder="1" applyFont="1">
      <alignment horizontal="center" vertical="bottom"/>
    </xf>
    <xf borderId="5" fillId="16" fontId="26" numFmtId="10" xfId="0" applyAlignment="1" applyBorder="1" applyFont="1" applyNumberFormat="1">
      <alignment horizontal="center" vertical="bottom"/>
    </xf>
    <xf borderId="5" fillId="16" fontId="26" numFmtId="0" xfId="0" applyAlignment="1" applyBorder="1" applyFont="1">
      <alignment vertical="bottom"/>
    </xf>
    <xf borderId="5" fillId="16" fontId="26" numFmtId="10" xfId="0" applyAlignment="1" applyBorder="1" applyFont="1" applyNumberFormat="1">
      <alignment horizontal="right" vertical="bottom"/>
    </xf>
    <xf borderId="5" fillId="18" fontId="9" numFmtId="0" xfId="0" applyAlignment="1" applyBorder="1" applyFont="1">
      <alignment vertical="bottom"/>
    </xf>
    <xf borderId="5" fillId="18" fontId="26" numFmtId="0" xfId="0" applyAlignment="1" applyBorder="1" applyFont="1">
      <alignment horizontal="right" vertical="bottom"/>
    </xf>
    <xf borderId="5" fillId="18" fontId="26" numFmtId="10" xfId="0" applyAlignment="1" applyBorder="1" applyFont="1" applyNumberFormat="1">
      <alignment horizontal="right" vertical="bottom"/>
    </xf>
    <xf borderId="5" fillId="12" fontId="28" numFmtId="10" xfId="0" applyAlignment="1" applyBorder="1" applyFont="1" applyNumberFormat="1">
      <alignment horizontal="right" vertical="bottom"/>
    </xf>
    <xf borderId="5" fillId="13" fontId="27" numFmtId="10" xfId="0" applyAlignment="1" applyBorder="1" applyFont="1" applyNumberFormat="1">
      <alignment horizontal="right" shrinkToFit="0" vertical="bottom" wrapText="1"/>
    </xf>
    <xf borderId="5" fillId="14" fontId="27" numFmtId="10" xfId="0" applyAlignment="1" applyBorder="1" applyFont="1" applyNumberFormat="1">
      <alignment horizontal="right" shrinkToFit="0" vertical="bottom" wrapText="1"/>
    </xf>
    <xf borderId="5" fillId="15" fontId="27" numFmtId="10" xfId="0" applyAlignment="1" applyBorder="1" applyFont="1" applyNumberFormat="1">
      <alignment horizontal="right" shrinkToFit="0" vertical="bottom" wrapText="1"/>
    </xf>
    <xf borderId="5" fillId="18" fontId="28" numFmtId="10" xfId="0" applyAlignment="1" applyBorder="1" applyFont="1" applyNumberFormat="1">
      <alignment horizontal="right" vertical="bottom"/>
    </xf>
    <xf borderId="5" fillId="12" fontId="27" numFmtId="0" xfId="0" applyAlignment="1" applyBorder="1" applyFont="1">
      <alignment vertical="bottom"/>
    </xf>
    <xf borderId="5" fillId="12" fontId="27" numFmtId="10" xfId="0" applyAlignment="1" applyBorder="1" applyFont="1" applyNumberFormat="1">
      <alignment horizontal="right" vertical="bottom"/>
    </xf>
    <xf borderId="5" fillId="13" fontId="27" numFmtId="0" xfId="0" applyAlignment="1" applyBorder="1" applyFont="1">
      <alignment vertical="bottom"/>
    </xf>
    <xf borderId="5" fillId="13" fontId="27" numFmtId="10" xfId="0" applyAlignment="1" applyBorder="1" applyFont="1" applyNumberFormat="1">
      <alignment horizontal="right" vertical="bottom"/>
    </xf>
    <xf borderId="5" fillId="14" fontId="27" numFmtId="0" xfId="0" applyAlignment="1" applyBorder="1" applyFont="1">
      <alignment vertical="bottom"/>
    </xf>
    <xf borderId="5" fillId="14" fontId="27" numFmtId="10" xfId="0" applyAlignment="1" applyBorder="1" applyFont="1" applyNumberFormat="1">
      <alignment horizontal="right" vertical="bottom"/>
    </xf>
    <xf borderId="5" fillId="15" fontId="27" numFmtId="0" xfId="0" applyAlignment="1" applyBorder="1" applyFont="1">
      <alignment vertical="bottom"/>
    </xf>
    <xf borderId="5" fillId="15" fontId="27" numFmtId="10" xfId="0" applyAlignment="1" applyBorder="1" applyFont="1" applyNumberFormat="1">
      <alignment horizontal="right" vertical="bottom"/>
    </xf>
    <xf borderId="5" fillId="18" fontId="26" numFmtId="0" xfId="0" applyAlignment="1" applyBorder="1" applyFont="1">
      <alignment vertical="bottom"/>
    </xf>
    <xf borderId="5" fillId="11" fontId="27" numFmtId="0" xfId="0" applyAlignment="1" applyBorder="1" applyFont="1">
      <alignment shrinkToFit="0" vertical="bottom" wrapText="1"/>
    </xf>
    <xf borderId="5" fillId="18" fontId="27" numFmtId="0" xfId="0" applyAlignment="1" applyBorder="1" applyFont="1">
      <alignment shrinkToFit="0" vertical="bottom" wrapText="1"/>
    </xf>
    <xf borderId="5" fillId="12" fontId="27" numFmtId="0" xfId="0" applyAlignment="1" applyBorder="1" applyFont="1">
      <alignment shrinkToFit="0" vertical="bottom" wrapText="1"/>
    </xf>
    <xf borderId="5" fillId="16" fontId="27" numFmtId="0" xfId="0" applyAlignment="1" applyBorder="1" applyFont="1">
      <alignment shrinkToFit="0" vertical="bottom" wrapText="1"/>
    </xf>
    <xf borderId="5" fillId="11" fontId="29" numFmtId="4" xfId="0" applyAlignment="1" applyBorder="1" applyFont="1" applyNumberFormat="1">
      <alignment horizontal="right" vertical="bottom"/>
    </xf>
    <xf borderId="5" fillId="12" fontId="29" numFmtId="4" xfId="0" applyAlignment="1" applyBorder="1" applyFont="1" applyNumberFormat="1">
      <alignment horizontal="right" vertical="bottom"/>
    </xf>
    <xf borderId="5" fillId="13" fontId="29" numFmtId="4" xfId="0" applyAlignment="1" applyBorder="1" applyFont="1" applyNumberFormat="1">
      <alignment horizontal="right" vertical="bottom"/>
    </xf>
    <xf borderId="5" fillId="14" fontId="29" numFmtId="4" xfId="0" applyAlignment="1" applyBorder="1" applyFont="1" applyNumberFormat="1">
      <alignment horizontal="right" vertical="bottom"/>
    </xf>
    <xf borderId="5" fillId="15" fontId="29" numFmtId="4" xfId="0" applyAlignment="1" applyBorder="1" applyFont="1" applyNumberFormat="1">
      <alignment horizontal="right" vertical="bottom"/>
    </xf>
    <xf borderId="5" fillId="18" fontId="29" numFmtId="4" xfId="0" applyAlignment="1" applyBorder="1" applyFont="1" applyNumberFormat="1">
      <alignment horizontal="right" vertical="bottom"/>
    </xf>
    <xf borderId="0" fillId="7" fontId="13" numFmtId="3" xfId="0" applyAlignment="1" applyFont="1" applyNumberFormat="1">
      <alignment horizontal="right" shrinkToFit="0" vertical="bottom" wrapText="1"/>
    </xf>
    <xf borderId="6" fillId="18" fontId="9" numFmtId="0" xfId="0" applyAlignment="1" applyBorder="1" applyFont="1">
      <alignment vertical="bottom"/>
    </xf>
    <xf borderId="0" fillId="12" fontId="30" numFmtId="10" xfId="0" applyAlignment="1" applyFont="1" applyNumberFormat="1">
      <alignment horizontal="right" readingOrder="0" vertical="bottom"/>
    </xf>
    <xf borderId="6" fillId="11" fontId="13" numFmtId="10" xfId="0" applyAlignment="1" applyBorder="1" applyFont="1" applyNumberFormat="1">
      <alignment horizontal="right" vertical="bottom"/>
    </xf>
    <xf borderId="6" fillId="12" fontId="9" numFmtId="10" xfId="0" applyAlignment="1" applyBorder="1" applyFont="1" applyNumberFormat="1">
      <alignment vertical="bottom"/>
    </xf>
    <xf borderId="6" fillId="12" fontId="13" numFmtId="10" xfId="0" applyAlignment="1" applyBorder="1" applyFont="1" applyNumberFormat="1">
      <alignment horizontal="right" vertical="bottom"/>
    </xf>
    <xf borderId="6" fillId="14" fontId="9" numFmtId="10" xfId="0" applyAlignment="1" applyBorder="1" applyFont="1" applyNumberFormat="1">
      <alignment vertical="bottom"/>
    </xf>
    <xf borderId="6" fillId="14" fontId="13" numFmtId="10" xfId="0" applyAlignment="1" applyBorder="1" applyFont="1" applyNumberFormat="1">
      <alignment horizontal="right" vertical="bottom"/>
    </xf>
    <xf borderId="0" fillId="15" fontId="9" numFmtId="10" xfId="0" applyAlignment="1" applyFont="1" applyNumberFormat="1">
      <alignment vertical="bottom"/>
    </xf>
    <xf borderId="6" fillId="18" fontId="9" numFmtId="10" xfId="0" applyAlignment="1" applyBorder="1" applyFont="1" applyNumberFormat="1">
      <alignment vertical="bottom"/>
    </xf>
    <xf borderId="6" fillId="18" fontId="13" numFmtId="10" xfId="0" applyAlignment="1" applyBorder="1" applyFont="1" applyNumberFormat="1">
      <alignment horizontal="center" vertical="bottom"/>
    </xf>
    <xf borderId="0" fillId="11" fontId="13" numFmtId="0" xfId="0" applyAlignment="1" applyFont="1">
      <alignment horizontal="center" vertical="bottom"/>
    </xf>
    <xf borderId="6" fillId="16" fontId="13" numFmtId="0" xfId="0" applyAlignment="1" applyBorder="1" applyFont="1">
      <alignment horizontal="center" vertical="bottom"/>
    </xf>
    <xf borderId="0" fillId="18" fontId="9" numFmtId="0" xfId="0" applyAlignment="1" applyFont="1">
      <alignment vertical="bottom"/>
    </xf>
    <xf borderId="0" fillId="12" fontId="9" numFmtId="10" xfId="0" applyAlignment="1" applyFont="1" applyNumberFormat="1">
      <alignment vertical="bottom"/>
    </xf>
    <xf borderId="0" fillId="14" fontId="9" numFmtId="10" xfId="0" applyAlignment="1" applyFont="1" applyNumberFormat="1">
      <alignment vertical="bottom"/>
    </xf>
    <xf borderId="0" fillId="18" fontId="9" numFmtId="10" xfId="0" applyAlignment="1" applyFont="1" applyNumberFormat="1">
      <alignment vertical="bottom"/>
    </xf>
    <xf borderId="0" fillId="12" fontId="30" numFmtId="10" xfId="0" applyAlignment="1" applyFont="1" applyNumberFormat="1">
      <alignment horizontal="center" readingOrder="0" vertical="bottom"/>
    </xf>
    <xf borderId="0" fillId="15" fontId="14" numFmtId="0" xfId="0" applyAlignment="1" applyFont="1">
      <alignment readingOrder="0" vertical="bottom"/>
    </xf>
    <xf borderId="0" fillId="7" fontId="14" numFmtId="3" xfId="0" applyAlignment="1" applyFont="1" applyNumberFormat="1">
      <alignment vertical="bottom"/>
    </xf>
    <xf borderId="0" fillId="12" fontId="13" numFmtId="0" xfId="0" applyAlignment="1" applyFont="1">
      <alignment vertical="bottom"/>
    </xf>
    <xf borderId="0" fillId="12" fontId="13" numFmtId="10" xfId="0" applyAlignment="1" applyFont="1" applyNumberFormat="1">
      <alignment vertical="bottom"/>
    </xf>
    <xf borderId="0" fillId="18" fontId="13" numFmtId="0" xfId="0" applyAlignment="1" applyFont="1">
      <alignment horizontal="right" readingOrder="0" vertical="bottom"/>
    </xf>
    <xf borderId="0" fillId="20" fontId="7" numFmtId="0" xfId="0" applyAlignment="1" applyFill="1" applyFont="1">
      <alignment shrinkToFit="0" vertical="bottom" wrapText="1"/>
    </xf>
    <xf borderId="0" fillId="20" fontId="13" numFmtId="0" xfId="0" applyAlignment="1" applyFont="1">
      <alignment horizontal="center" vertical="bottom"/>
    </xf>
    <xf borderId="0" fillId="20" fontId="13" numFmtId="3" xfId="0" applyAlignment="1" applyFont="1" applyNumberFormat="1">
      <alignment horizontal="right" shrinkToFit="0" vertical="bottom" wrapText="1"/>
    </xf>
    <xf borderId="0" fillId="20" fontId="13" numFmtId="0" xfId="0" applyAlignment="1" applyFont="1">
      <alignment horizontal="right" vertical="bottom"/>
    </xf>
    <xf borderId="0" fillId="20" fontId="13" numFmtId="4" xfId="0" applyAlignment="1" applyFont="1" applyNumberFormat="1">
      <alignment horizontal="right" vertical="bottom"/>
    </xf>
    <xf borderId="0" fillId="20" fontId="13" numFmtId="0" xfId="0" applyAlignment="1" applyFont="1">
      <alignment horizontal="right" readingOrder="0" vertical="bottom"/>
    </xf>
    <xf borderId="0" fillId="20" fontId="13" numFmtId="4" xfId="0" applyAlignment="1" applyFont="1" applyNumberFormat="1">
      <alignment horizontal="right" readingOrder="0" vertical="bottom"/>
    </xf>
    <xf borderId="0" fillId="20" fontId="13" numFmtId="3" xfId="0" applyAlignment="1" applyFont="1" applyNumberFormat="1">
      <alignment horizontal="right" vertical="bottom"/>
    </xf>
    <xf borderId="0" fillId="20" fontId="14" numFmtId="10" xfId="0" applyAlignment="1" applyFont="1" applyNumberFormat="1">
      <alignment vertical="bottom"/>
    </xf>
    <xf borderId="0" fillId="20" fontId="15" numFmtId="10" xfId="0" applyAlignment="1" applyFont="1" applyNumberFormat="1">
      <alignment horizontal="right" vertical="bottom"/>
    </xf>
    <xf borderId="0" fillId="20" fontId="13" numFmtId="10" xfId="0" applyAlignment="1" applyFont="1" applyNumberFormat="1">
      <alignment horizontal="right" vertical="bottom"/>
    </xf>
    <xf borderId="0" fillId="20" fontId="13" numFmtId="10" xfId="0" applyAlignment="1" applyFont="1" applyNumberFormat="1">
      <alignment horizontal="center" vertical="bottom"/>
    </xf>
    <xf borderId="0" fillId="20" fontId="13" numFmtId="10" xfId="0" applyAlignment="1" applyFont="1" applyNumberFormat="1">
      <alignment horizontal="right" readingOrder="0" vertical="bottom"/>
    </xf>
    <xf borderId="0" fillId="20" fontId="30" numFmtId="10" xfId="0" applyAlignment="1" applyFont="1" applyNumberFormat="1">
      <alignment horizontal="right" readingOrder="0" vertical="bottom"/>
    </xf>
    <xf borderId="0" fillId="20" fontId="16" numFmtId="10" xfId="0" applyAlignment="1" applyFont="1" applyNumberFormat="1">
      <alignment horizontal="right" vertical="bottom"/>
    </xf>
    <xf borderId="0" fillId="20" fontId="14" numFmtId="10" xfId="0" applyAlignment="1" applyFont="1" applyNumberFormat="1">
      <alignment horizontal="right" vertical="bottom"/>
    </xf>
    <xf borderId="0" fillId="20" fontId="13" numFmtId="0" xfId="0" applyAlignment="1" applyFont="1">
      <alignment vertical="bottom"/>
    </xf>
    <xf borderId="0" fillId="7" fontId="13" numFmtId="0" xfId="0" applyAlignment="1" applyFont="1">
      <alignment horizontal="right" shrinkToFit="0" vertical="bottom" wrapText="1"/>
    </xf>
    <xf borderId="0" fillId="16" fontId="14" numFmtId="0" xfId="0" applyAlignment="1" applyFont="1">
      <alignment vertical="bottom"/>
    </xf>
    <xf borderId="0" fillId="13" fontId="13" numFmtId="11" xfId="0" applyAlignment="1" applyFont="1" applyNumberFormat="1">
      <alignment horizontal="right" readingOrder="0" vertical="bottom"/>
    </xf>
    <xf borderId="0" fillId="15" fontId="13" numFmtId="0" xfId="0" applyAlignment="1" applyFont="1">
      <alignment horizontal="right" readingOrder="0" vertical="bottom"/>
    </xf>
    <xf borderId="0" fillId="7" fontId="13" numFmtId="0" xfId="0" applyAlignment="1" applyFont="1">
      <alignment horizontal="right" vertical="bottom"/>
    </xf>
    <xf borderId="7" fillId="7" fontId="13" numFmtId="0" xfId="0" applyAlignment="1" applyBorder="1" applyFont="1">
      <alignment horizontal="right" shrinkToFit="0" vertical="bottom" wrapText="1"/>
    </xf>
    <xf borderId="7" fillId="11" fontId="13" numFmtId="0" xfId="0" applyAlignment="1" applyBorder="1" applyFont="1">
      <alignment horizontal="right" vertical="bottom"/>
    </xf>
    <xf borderId="7" fillId="12" fontId="13" numFmtId="0" xfId="0" applyAlignment="1" applyBorder="1" applyFont="1">
      <alignment horizontal="right" vertical="bottom"/>
    </xf>
    <xf borderId="7" fillId="13" fontId="13" numFmtId="0" xfId="0" applyAlignment="1" applyBorder="1" applyFont="1">
      <alignment horizontal="right" readingOrder="0" vertical="bottom"/>
    </xf>
    <xf borderId="7" fillId="18" fontId="9" numFmtId="0" xfId="0" applyAlignment="1" applyBorder="1" applyFont="1">
      <alignment vertical="bottom"/>
    </xf>
    <xf borderId="7" fillId="18" fontId="14" numFmtId="10" xfId="0" applyAlignment="1" applyBorder="1" applyFont="1" applyNumberFormat="1">
      <alignment vertical="bottom"/>
    </xf>
    <xf borderId="7" fillId="12" fontId="30" numFmtId="10" xfId="0" applyAlignment="1" applyBorder="1" applyFont="1" applyNumberFormat="1">
      <alignment horizontal="right" readingOrder="0" vertical="bottom"/>
    </xf>
    <xf borderId="7" fillId="11" fontId="13" numFmtId="0" xfId="0" applyAlignment="1" applyBorder="1" applyFont="1">
      <alignment horizontal="center" vertical="bottom"/>
    </xf>
    <xf borderId="0" fillId="4" fontId="18" numFmtId="0" xfId="0" applyAlignment="1" applyFont="1">
      <alignment horizontal="left"/>
    </xf>
    <xf borderId="0" fillId="0" fontId="14" numFmtId="0" xfId="0" applyAlignment="1" applyFont="1">
      <alignment horizontal="right" vertical="bottom"/>
    </xf>
    <xf borderId="0" fillId="19" fontId="18" numFmtId="4" xfId="0" applyAlignment="1" applyFont="1" applyNumberFormat="1">
      <alignment horizontal="left"/>
    </xf>
    <xf borderId="0" fillId="19" fontId="18" numFmtId="0" xfId="0" applyAlignment="1" applyFont="1">
      <alignment horizontal="left"/>
    </xf>
    <xf borderId="7" fillId="0" fontId="17" numFmtId="0" xfId="0" applyAlignment="1" applyBorder="1" applyFont="1">
      <alignment horizontal="center" vertical="bottom"/>
    </xf>
    <xf borderId="10" fillId="0" fontId="17" numFmtId="0" xfId="0" applyAlignment="1" applyBorder="1" applyFont="1">
      <alignment horizontal="center" vertical="bottom"/>
    </xf>
    <xf borderId="0" fillId="0" fontId="31" numFmtId="0" xfId="0" applyFont="1"/>
    <xf borderId="0" fillId="0" fontId="31" numFmtId="10" xfId="0" applyFont="1" applyNumberFormat="1"/>
    <xf borderId="0" fillId="4" fontId="23" numFmtId="0" xfId="0" applyAlignment="1" applyFont="1">
      <alignment horizontal="center" shrinkToFit="0" vertical="bottom" wrapText="1"/>
    </xf>
    <xf borderId="0" fillId="7" fontId="24" numFmtId="0" xfId="0" applyAlignment="1" applyFont="1">
      <alignment horizontal="center" vertical="bottom"/>
    </xf>
    <xf borderId="0" fillId="11" fontId="24" numFmtId="0" xfId="0" applyAlignment="1" applyFont="1">
      <alignment horizontal="center" vertical="bottom"/>
    </xf>
    <xf borderId="0" fillId="18" fontId="24" numFmtId="0" xfId="0" applyAlignment="1" applyFont="1">
      <alignment horizontal="center" vertical="bottom"/>
    </xf>
    <xf borderId="0" fillId="11" fontId="26" numFmtId="0" xfId="0" applyAlignment="1" applyFont="1">
      <alignment horizontal="center" shrinkToFit="0" vertical="bottom" wrapText="1"/>
    </xf>
    <xf borderId="0" fillId="12" fontId="26" numFmtId="0" xfId="0" applyAlignment="1" applyFont="1">
      <alignment horizontal="center" shrinkToFit="0" vertical="bottom" wrapText="1"/>
    </xf>
    <xf borderId="0" fillId="13" fontId="26" numFmtId="0" xfId="0" applyAlignment="1" applyFont="1">
      <alignment horizontal="center" shrinkToFit="0" vertical="bottom" wrapText="1"/>
    </xf>
    <xf borderId="0" fillId="14" fontId="26" numFmtId="0" xfId="0" applyAlignment="1" applyFont="1">
      <alignment horizontal="center" shrinkToFit="0" vertical="bottom" wrapText="1"/>
    </xf>
    <xf borderId="0" fillId="15" fontId="26" numFmtId="0" xfId="0" applyAlignment="1" applyFont="1">
      <alignment horizontal="center" shrinkToFit="0" vertical="bottom" wrapText="1"/>
    </xf>
    <xf borderId="0" fillId="18" fontId="26" numFmtId="0" xfId="0" applyAlignment="1" applyFont="1">
      <alignment horizontal="center" shrinkToFit="0" vertical="bottom" wrapText="1"/>
    </xf>
    <xf borderId="0" fillId="16" fontId="26" numFmtId="0" xfId="0" applyAlignment="1" applyFont="1">
      <alignment horizontal="center" shrinkToFit="0" vertical="bottom" wrapText="1"/>
    </xf>
    <xf borderId="0" fillId="18" fontId="26" numFmtId="0" xfId="0" applyAlignment="1" applyFont="1">
      <alignment horizontal="right" shrinkToFit="0" vertical="bottom" wrapText="1"/>
    </xf>
    <xf borderId="0" fillId="12" fontId="26" numFmtId="0" xfId="0" applyAlignment="1" applyFont="1">
      <alignment horizontal="center" readingOrder="0" shrinkToFit="0" vertical="bottom" wrapText="1"/>
    </xf>
    <xf borderId="0" fillId="13" fontId="26" numFmtId="0" xfId="0" applyAlignment="1" applyFont="1">
      <alignment horizontal="center" readingOrder="0" shrinkToFit="0" vertical="bottom" wrapText="1"/>
    </xf>
    <xf borderId="0" fillId="14" fontId="26" numFmtId="0" xfId="0" applyAlignment="1" applyFont="1">
      <alignment horizontal="center" readingOrder="0" shrinkToFit="0" vertical="bottom" wrapText="1"/>
    </xf>
    <xf borderId="0" fillId="15" fontId="26" numFmtId="0" xfId="0" applyAlignment="1" applyFont="1">
      <alignment horizontal="center" readingOrder="0" shrinkToFit="0" vertical="bottom" wrapText="1"/>
    </xf>
    <xf borderId="0" fillId="11" fontId="27" numFmtId="0" xfId="0" applyAlignment="1" applyFont="1">
      <alignment shrinkToFit="0" vertical="bottom" wrapText="1"/>
    </xf>
    <xf borderId="0" fillId="12" fontId="27" numFmtId="0" xfId="0" applyAlignment="1" applyFont="1">
      <alignment readingOrder="0" shrinkToFit="0" vertical="bottom" wrapText="1"/>
    </xf>
    <xf borderId="0" fillId="13" fontId="27" numFmtId="0" xfId="0" applyAlignment="1" applyFont="1">
      <alignment readingOrder="0" shrinkToFit="0" vertical="bottom" wrapText="1"/>
    </xf>
    <xf borderId="0" fillId="14" fontId="27" numFmtId="0" xfId="0" applyAlignment="1" applyFont="1">
      <alignment shrinkToFit="0" vertical="bottom" wrapText="1"/>
    </xf>
    <xf borderId="0" fillId="14" fontId="27" numFmtId="0" xfId="0" applyAlignment="1" applyFont="1">
      <alignment readingOrder="0" shrinkToFit="0" vertical="bottom" wrapText="1"/>
    </xf>
    <xf borderId="0" fillId="15" fontId="27" numFmtId="0" xfId="0" applyAlignment="1" applyFont="1">
      <alignment readingOrder="0" shrinkToFit="0" vertical="bottom" wrapText="1"/>
    </xf>
    <xf borderId="0" fillId="18" fontId="26" numFmtId="0" xfId="0" applyAlignment="1" applyFont="1">
      <alignment horizontal="center" readingOrder="0" shrinkToFit="0" vertical="bottom" wrapText="1"/>
    </xf>
    <xf borderId="0" fillId="7" fontId="26" numFmtId="0" xfId="0" applyAlignment="1" applyFont="1">
      <alignment horizontal="center" shrinkToFit="0" vertical="bottom" wrapText="1"/>
    </xf>
    <xf borderId="0" fillId="7" fontId="27" numFmtId="0" xfId="0" applyAlignment="1" applyFont="1">
      <alignment shrinkToFit="0" vertical="bottom" wrapText="1"/>
    </xf>
    <xf borderId="0" fillId="18" fontId="26" numFmtId="0" xfId="0" applyAlignment="1" applyFont="1">
      <alignment horizontal="center" vertical="bottom"/>
    </xf>
    <xf borderId="11" fillId="0" fontId="9" numFmtId="0" xfId="0" applyAlignment="1" applyBorder="1" applyFont="1">
      <alignment vertical="bottom"/>
    </xf>
    <xf borderId="11" fillId="7" fontId="9" numFmtId="0" xfId="0" applyAlignment="1" applyBorder="1" applyFont="1">
      <alignment vertical="bottom"/>
    </xf>
    <xf borderId="11" fillId="11" fontId="9" numFmtId="165" xfId="0" applyAlignment="1" applyBorder="1" applyFont="1" applyNumberFormat="1">
      <alignment vertical="bottom"/>
    </xf>
    <xf borderId="11" fillId="12" fontId="9" numFmtId="165" xfId="0" applyAlignment="1" applyBorder="1" applyFont="1" applyNumberFormat="1">
      <alignment vertical="bottom"/>
    </xf>
    <xf borderId="11" fillId="13" fontId="9" numFmtId="165" xfId="0" applyAlignment="1" applyBorder="1" applyFont="1" applyNumberFormat="1">
      <alignment vertical="bottom"/>
    </xf>
    <xf borderId="11" fillId="14" fontId="9" numFmtId="165" xfId="0" applyAlignment="1" applyBorder="1" applyFont="1" applyNumberFormat="1">
      <alignment vertical="bottom"/>
    </xf>
    <xf borderId="11" fillId="15" fontId="9" numFmtId="165" xfId="0" applyAlignment="1" applyBorder="1" applyFont="1" applyNumberFormat="1">
      <alignment vertical="bottom"/>
    </xf>
    <xf borderId="11" fillId="18" fontId="9" numFmtId="0" xfId="0" applyAlignment="1" applyBorder="1" applyFont="1">
      <alignment vertical="bottom"/>
    </xf>
    <xf borderId="11" fillId="11" fontId="9" numFmtId="0" xfId="0" applyAlignment="1" applyBorder="1" applyFont="1">
      <alignment vertical="bottom"/>
    </xf>
    <xf borderId="11" fillId="11" fontId="9" numFmtId="10" xfId="0" applyAlignment="1" applyBorder="1" applyFont="1" applyNumberFormat="1">
      <alignment horizontal="right" vertical="bottom"/>
    </xf>
    <xf borderId="11" fillId="11" fontId="27" numFmtId="10" xfId="0" applyAlignment="1" applyBorder="1" applyFont="1" applyNumberFormat="1">
      <alignment horizontal="right" vertical="bottom"/>
    </xf>
    <xf borderId="11" fillId="12" fontId="9" numFmtId="0" xfId="0" applyAlignment="1" applyBorder="1" applyFont="1">
      <alignment vertical="bottom"/>
    </xf>
    <xf borderId="11" fillId="12" fontId="26" numFmtId="10" xfId="0" applyAlignment="1" applyBorder="1" applyFont="1" applyNumberFormat="1">
      <alignment horizontal="right" vertical="bottom"/>
    </xf>
    <xf borderId="11" fillId="16" fontId="26" numFmtId="0" xfId="0" applyAlignment="1" applyBorder="1" applyFont="1">
      <alignment horizontal="center" vertical="bottom"/>
    </xf>
    <xf borderId="11" fillId="16" fontId="26" numFmtId="10" xfId="0" applyAlignment="1" applyBorder="1" applyFont="1" applyNumberFormat="1">
      <alignment horizontal="center" vertical="bottom"/>
    </xf>
    <xf borderId="11" fillId="16" fontId="26" numFmtId="0" xfId="0" applyAlignment="1" applyBorder="1" applyFont="1">
      <alignment vertical="bottom"/>
    </xf>
    <xf borderId="11" fillId="16" fontId="26" numFmtId="10" xfId="0" applyAlignment="1" applyBorder="1" applyFont="1" applyNumberFormat="1">
      <alignment horizontal="right" vertical="bottom"/>
    </xf>
    <xf borderId="11" fillId="18" fontId="26" numFmtId="0" xfId="0" applyAlignment="1" applyBorder="1" applyFont="1">
      <alignment horizontal="right" vertical="bottom"/>
    </xf>
    <xf borderId="11" fillId="18" fontId="26" numFmtId="10" xfId="0" applyAlignment="1" applyBorder="1" applyFont="1" applyNumberFormat="1">
      <alignment horizontal="right" vertical="bottom"/>
    </xf>
    <xf borderId="11" fillId="11" fontId="9" numFmtId="10" xfId="0" applyAlignment="1" applyBorder="1" applyFont="1" applyNumberFormat="1">
      <alignment vertical="bottom"/>
    </xf>
    <xf borderId="11" fillId="12" fontId="9" numFmtId="10" xfId="0" applyAlignment="1" applyBorder="1" applyFont="1" applyNumberFormat="1">
      <alignment vertical="bottom"/>
    </xf>
    <xf borderId="11" fillId="13" fontId="27" numFmtId="10" xfId="0" applyAlignment="1" applyBorder="1" applyFont="1" applyNumberFormat="1">
      <alignment shrinkToFit="0" vertical="bottom" wrapText="1"/>
    </xf>
    <xf borderId="11" fillId="14" fontId="27" numFmtId="10" xfId="0" applyAlignment="1" applyBorder="1" applyFont="1" applyNumberFormat="1">
      <alignment shrinkToFit="0" vertical="bottom" wrapText="1"/>
    </xf>
    <xf borderId="11" fillId="15" fontId="27" numFmtId="10" xfId="0" applyAlignment="1" applyBorder="1" applyFont="1" applyNumberFormat="1">
      <alignment shrinkToFit="0" vertical="bottom" wrapText="1"/>
    </xf>
    <xf borderId="11" fillId="18" fontId="9" numFmtId="10" xfId="0" applyAlignment="1" applyBorder="1" applyFont="1" applyNumberFormat="1">
      <alignment vertical="bottom"/>
    </xf>
    <xf borderId="11" fillId="12" fontId="27" numFmtId="0" xfId="0" applyAlignment="1" applyBorder="1" applyFont="1">
      <alignment vertical="bottom"/>
    </xf>
    <xf borderId="11" fillId="12" fontId="27" numFmtId="10" xfId="0" applyAlignment="1" applyBorder="1" applyFont="1" applyNumberFormat="1">
      <alignment horizontal="right" vertical="bottom"/>
    </xf>
    <xf borderId="11" fillId="13" fontId="27" numFmtId="0" xfId="0" applyAlignment="1" applyBorder="1" applyFont="1">
      <alignment vertical="bottom"/>
    </xf>
    <xf borderId="11" fillId="13" fontId="27" numFmtId="10" xfId="0" applyAlignment="1" applyBorder="1" applyFont="1" applyNumberFormat="1">
      <alignment horizontal="right" vertical="bottom"/>
    </xf>
    <xf borderId="11" fillId="14" fontId="27" numFmtId="0" xfId="0" applyAlignment="1" applyBorder="1" applyFont="1">
      <alignment vertical="bottom"/>
    </xf>
    <xf borderId="11" fillId="14" fontId="27" numFmtId="10" xfId="0" applyAlignment="1" applyBorder="1" applyFont="1" applyNumberFormat="1">
      <alignment horizontal="right" vertical="bottom"/>
    </xf>
    <xf borderId="11" fillId="15" fontId="27" numFmtId="0" xfId="0" applyAlignment="1" applyBorder="1" applyFont="1">
      <alignment vertical="bottom"/>
    </xf>
    <xf borderId="11" fillId="15" fontId="27" numFmtId="10" xfId="0" applyAlignment="1" applyBorder="1" applyFont="1" applyNumberFormat="1">
      <alignment horizontal="right" vertical="bottom"/>
    </xf>
    <xf borderId="11" fillId="18" fontId="26" numFmtId="0" xfId="0" applyAlignment="1" applyBorder="1" applyFont="1">
      <alignment vertical="bottom"/>
    </xf>
    <xf borderId="11" fillId="11" fontId="27" numFmtId="0" xfId="0" applyAlignment="1" applyBorder="1" applyFont="1">
      <alignment shrinkToFit="0" vertical="bottom" wrapText="1"/>
    </xf>
    <xf borderId="11" fillId="18" fontId="27" numFmtId="0" xfId="0" applyAlignment="1" applyBorder="1" applyFont="1">
      <alignment shrinkToFit="0" vertical="bottom" wrapText="1"/>
    </xf>
    <xf borderId="11" fillId="12" fontId="27" numFmtId="0" xfId="0" applyAlignment="1" applyBorder="1" applyFont="1">
      <alignment shrinkToFit="0" vertical="bottom" wrapText="1"/>
    </xf>
    <xf borderId="11" fillId="16" fontId="27" numFmtId="0" xfId="0" applyAlignment="1" applyBorder="1" applyFont="1">
      <alignment shrinkToFit="0" vertical="bottom" wrapText="1"/>
    </xf>
    <xf borderId="11" fillId="11" fontId="29" numFmtId="4" xfId="0" applyAlignment="1" applyBorder="1" applyFont="1" applyNumberFormat="1">
      <alignment horizontal="right" vertical="bottom"/>
    </xf>
    <xf borderId="11" fillId="12" fontId="29" numFmtId="4" xfId="0" applyAlignment="1" applyBorder="1" applyFont="1" applyNumberFormat="1">
      <alignment horizontal="right" vertical="bottom"/>
    </xf>
    <xf borderId="11" fillId="13" fontId="29" numFmtId="4" xfId="0" applyAlignment="1" applyBorder="1" applyFont="1" applyNumberFormat="1">
      <alignment horizontal="right" vertical="bottom"/>
    </xf>
    <xf borderId="11" fillId="14" fontId="29" numFmtId="4" xfId="0" applyAlignment="1" applyBorder="1" applyFont="1" applyNumberFormat="1">
      <alignment horizontal="right" vertical="bottom"/>
    </xf>
    <xf borderId="11" fillId="15" fontId="29" numFmtId="4" xfId="0" applyAlignment="1" applyBorder="1" applyFont="1" applyNumberFormat="1">
      <alignment horizontal="right" vertical="bottom"/>
    </xf>
    <xf borderId="11" fillId="18" fontId="29" numFmtId="4" xfId="0" applyAlignment="1" applyBorder="1" applyFont="1" applyNumberFormat="1">
      <alignment horizontal="right" vertical="bottom"/>
    </xf>
    <xf borderId="0" fillId="0" fontId="32" numFmtId="0" xfId="0" applyAlignment="1" applyFont="1">
      <alignment shrinkToFit="0" vertical="bottom" wrapText="1"/>
    </xf>
    <xf borderId="0" fillId="7" fontId="16" numFmtId="0" xfId="0" applyAlignment="1" applyFont="1">
      <alignment horizontal="center" vertical="bottom"/>
    </xf>
    <xf borderId="0" fillId="7" fontId="16" numFmtId="3" xfId="0" applyAlignment="1" applyFont="1" applyNumberFormat="1">
      <alignment horizontal="right" shrinkToFit="0" vertical="bottom" wrapText="1"/>
    </xf>
    <xf borderId="0" fillId="11" fontId="14" numFmtId="165" xfId="0" applyAlignment="1" applyFont="1" applyNumberFormat="1">
      <alignment horizontal="right" vertical="bottom"/>
    </xf>
    <xf borderId="0" fillId="21" fontId="9" numFmtId="165" xfId="0" applyAlignment="1" applyFill="1" applyFont="1" applyNumberFormat="1">
      <alignment horizontal="right" vertical="bottom"/>
    </xf>
    <xf borderId="0" fillId="13" fontId="14" numFmtId="165" xfId="0" applyAlignment="1" applyFont="1" applyNumberFormat="1">
      <alignment horizontal="right" vertical="bottom"/>
    </xf>
    <xf borderId="0" fillId="14" fontId="33" numFmtId="165" xfId="0" applyAlignment="1" applyFont="1" applyNumberFormat="1">
      <alignment horizontal="right" vertical="bottom"/>
    </xf>
    <xf borderId="0" fillId="14" fontId="14" numFmtId="165" xfId="0" applyAlignment="1" applyFont="1" applyNumberFormat="1">
      <alignment horizontal="right" vertical="bottom"/>
    </xf>
    <xf borderId="0" fillId="15" fontId="33" numFmtId="165" xfId="0" applyAlignment="1" applyFont="1" applyNumberFormat="1">
      <alignment horizontal="right" vertical="bottom"/>
    </xf>
    <xf borderId="0" fillId="15" fontId="9" numFmtId="165" xfId="0" applyAlignment="1" applyFont="1" applyNumberFormat="1">
      <alignment horizontal="right" vertical="bottom"/>
    </xf>
    <xf borderId="0" fillId="18" fontId="16" numFmtId="0" xfId="0" applyAlignment="1" applyFont="1">
      <alignment horizontal="right" vertical="bottom"/>
    </xf>
    <xf borderId="0" fillId="11" fontId="9" numFmtId="0" xfId="0" applyAlignment="1" applyFont="1">
      <alignment vertical="top"/>
    </xf>
    <xf borderId="0" fillId="11" fontId="9" numFmtId="10" xfId="0" applyAlignment="1" applyFont="1" applyNumberFormat="1">
      <alignment vertical="bottom"/>
    </xf>
    <xf borderId="0" fillId="12" fontId="16" numFmtId="10" xfId="0" applyAlignment="1" applyFont="1" applyNumberFormat="1">
      <alignment horizontal="right" vertical="bottom"/>
    </xf>
    <xf borderId="0" fillId="16" fontId="16" numFmtId="10" xfId="0" applyAlignment="1" applyFont="1" applyNumberFormat="1">
      <alignment horizontal="right" vertical="bottom"/>
    </xf>
    <xf borderId="0" fillId="16" fontId="16" numFmtId="10" xfId="0" applyAlignment="1" applyFont="1" applyNumberFormat="1">
      <alignment horizontal="center" vertical="bottom"/>
    </xf>
    <xf borderId="0" fillId="18" fontId="9" numFmtId="10" xfId="0" applyAlignment="1" applyFont="1" applyNumberFormat="1">
      <alignment vertical="bottom"/>
    </xf>
    <xf borderId="0" fillId="18" fontId="14" numFmtId="10" xfId="0" applyAlignment="1" applyFont="1" applyNumberFormat="1">
      <alignment horizontal="right" vertical="bottom"/>
    </xf>
    <xf borderId="0" fillId="11" fontId="34" numFmtId="10" xfId="0" applyAlignment="1" applyFont="1" applyNumberFormat="1">
      <alignment horizontal="right" vertical="top"/>
    </xf>
    <xf borderId="0" fillId="12" fontId="30" numFmtId="10" xfId="0" applyAlignment="1" applyFont="1" applyNumberFormat="1">
      <alignment horizontal="right" vertical="bottom"/>
    </xf>
    <xf borderId="0" fillId="14" fontId="16" numFmtId="10" xfId="0" applyAlignment="1" applyFont="1" applyNumberFormat="1">
      <alignment horizontal="right" vertical="bottom"/>
    </xf>
    <xf borderId="0" fillId="15" fontId="16" numFmtId="10" xfId="0" applyAlignment="1" applyFont="1" applyNumberFormat="1">
      <alignment horizontal="right" vertical="bottom"/>
    </xf>
    <xf borderId="0" fillId="18" fontId="16" numFmtId="10" xfId="0" applyAlignment="1" applyFont="1" applyNumberFormat="1">
      <alignment horizontal="right" vertical="bottom"/>
    </xf>
    <xf borderId="0" fillId="11" fontId="16" numFmtId="10" xfId="0" applyAlignment="1" applyFont="1" applyNumberFormat="1">
      <alignment horizontal="right" vertical="bottom"/>
    </xf>
    <xf borderId="0" fillId="12" fontId="9" numFmtId="10" xfId="0" applyAlignment="1" applyFont="1" applyNumberFormat="1">
      <alignment vertical="bottom"/>
    </xf>
    <xf borderId="0" fillId="14" fontId="9" numFmtId="10" xfId="0" applyAlignment="1" applyFont="1" applyNumberFormat="1">
      <alignment vertical="bottom"/>
    </xf>
    <xf borderId="0" fillId="15" fontId="9" numFmtId="10" xfId="0" applyAlignment="1" applyFont="1" applyNumberFormat="1">
      <alignment vertical="bottom"/>
    </xf>
    <xf borderId="0" fillId="18" fontId="16" numFmtId="10" xfId="0" applyAlignment="1" applyFont="1" applyNumberFormat="1">
      <alignment horizontal="center" vertical="bottom"/>
    </xf>
    <xf borderId="0" fillId="11" fontId="16" numFmtId="0" xfId="0" applyAlignment="1" applyFont="1">
      <alignment horizontal="center" vertical="bottom"/>
    </xf>
    <xf borderId="0" fillId="18" fontId="16" numFmtId="0" xfId="0" applyAlignment="1" applyFont="1">
      <alignment horizontal="center" vertical="bottom"/>
    </xf>
    <xf borderId="0" fillId="12" fontId="16" numFmtId="0" xfId="0" applyAlignment="1" applyFont="1">
      <alignment horizontal="center" vertical="bottom"/>
    </xf>
    <xf borderId="0" fillId="16" fontId="16" numFmtId="0" xfId="0" applyAlignment="1" applyFont="1">
      <alignment horizontal="center" vertical="bottom"/>
    </xf>
    <xf borderId="0" fillId="7" fontId="16" numFmtId="0" xfId="0" applyAlignment="1" applyFont="1">
      <alignment horizontal="center" vertical="bottom"/>
    </xf>
    <xf borderId="9" fillId="11" fontId="9" numFmtId="0" xfId="0" applyAlignment="1" applyBorder="1" applyFont="1">
      <alignment vertical="bottom"/>
    </xf>
    <xf borderId="9" fillId="12" fontId="9" numFmtId="0" xfId="0" applyAlignment="1" applyBorder="1" applyFont="1">
      <alignment vertical="bottom"/>
    </xf>
    <xf borderId="9" fillId="13" fontId="9" numFmtId="0" xfId="0" applyAlignment="1" applyBorder="1" applyFont="1">
      <alignment vertical="bottom"/>
    </xf>
    <xf borderId="9" fillId="14" fontId="9" numFmtId="0" xfId="0" applyAlignment="1" applyBorder="1" applyFont="1">
      <alignment vertical="bottom"/>
    </xf>
    <xf borderId="9" fillId="15" fontId="9" numFmtId="0" xfId="0" applyAlignment="1" applyBorder="1" applyFont="1">
      <alignment vertical="bottom"/>
    </xf>
    <xf borderId="9" fillId="18" fontId="9" numFmtId="0" xfId="0" applyAlignment="1" applyBorder="1" applyFont="1">
      <alignment vertical="bottom"/>
    </xf>
    <xf borderId="0" fillId="16" fontId="16" numFmtId="0" xfId="0" applyAlignment="1" applyFont="1">
      <alignment vertical="bottom"/>
    </xf>
    <xf borderId="0" fillId="0" fontId="35" numFmtId="0" xfId="0" applyAlignment="1" applyFont="1">
      <alignment shrinkToFit="0" vertical="bottom" wrapText="1"/>
    </xf>
    <xf borderId="0" fillId="11" fontId="9" numFmtId="0" xfId="0" applyAlignment="1" applyFont="1">
      <alignment vertical="top"/>
    </xf>
    <xf borderId="0" fillId="11" fontId="36" numFmtId="3" xfId="0" applyAlignment="1" applyFont="1" applyNumberFormat="1">
      <alignment horizontal="right" vertical="top"/>
    </xf>
    <xf borderId="0" fillId="11" fontId="14" numFmtId="0" xfId="0" applyAlignment="1" applyFont="1">
      <alignment horizontal="right" vertical="bottom"/>
    </xf>
    <xf borderId="0" fillId="11" fontId="14" numFmtId="10" xfId="0" applyAlignment="1" applyFont="1" applyNumberFormat="1">
      <alignment horizontal="right" vertical="bottom"/>
    </xf>
    <xf borderId="0" fillId="18" fontId="16" numFmtId="4" xfId="0" applyAlignment="1" applyFont="1" applyNumberFormat="1">
      <alignment horizontal="right" vertical="bottom"/>
    </xf>
    <xf borderId="0" fillId="18" fontId="16" numFmtId="3" xfId="0" applyAlignment="1" applyFont="1" applyNumberFormat="1">
      <alignment horizontal="right" vertical="bottom"/>
    </xf>
    <xf borderId="0" fillId="7" fontId="9" numFmtId="0" xfId="0" applyAlignment="1" applyFont="1">
      <alignment vertical="bottom"/>
    </xf>
    <xf borderId="0" fillId="11" fontId="9" numFmtId="0" xfId="0" applyAlignment="1" applyFont="1">
      <alignment horizontal="right" vertical="bottom"/>
    </xf>
    <xf borderId="0" fillId="12" fontId="9" numFmtId="0" xfId="0" applyAlignment="1" applyFont="1">
      <alignment horizontal="right" vertical="bottom"/>
    </xf>
    <xf borderId="0" fillId="18" fontId="9" numFmtId="0" xfId="0" applyAlignment="1" applyFont="1">
      <alignment horizontal="right" vertical="bottom"/>
    </xf>
    <xf borderId="0" fillId="21" fontId="9" numFmtId="165" xfId="0" applyAlignment="1" applyFont="1" applyNumberFormat="1">
      <alignment vertical="bottom"/>
    </xf>
    <xf borderId="0" fillId="13" fontId="9" numFmtId="165" xfId="0" applyAlignment="1" applyFont="1" applyNumberFormat="1">
      <alignment vertical="bottom"/>
    </xf>
    <xf borderId="0" fillId="15" fontId="9" numFmtId="165" xfId="0" applyAlignment="1" applyFont="1" applyNumberFormat="1">
      <alignment vertical="bottom"/>
    </xf>
    <xf borderId="0" fillId="16" fontId="16" numFmtId="0" xfId="0" applyAlignment="1" applyFont="1">
      <alignment horizontal="right" vertical="bottom"/>
    </xf>
    <xf borderId="0" fillId="11" fontId="37" numFmtId="10" xfId="0" applyAlignment="1" applyFont="1" applyNumberFormat="1">
      <alignment horizontal="right" vertical="bottom"/>
    </xf>
    <xf borderId="0" fillId="13" fontId="9" numFmtId="0" xfId="0" applyAlignment="1" applyFont="1">
      <alignment horizontal="right" vertical="bottom"/>
    </xf>
    <xf borderId="0" fillId="14" fontId="9" numFmtId="0" xfId="0" applyAlignment="1" applyFont="1">
      <alignment horizontal="right" vertical="bottom"/>
    </xf>
    <xf borderId="0" fillId="15" fontId="9" numFmtId="0" xfId="0" applyAlignment="1" applyFont="1">
      <alignment horizontal="right" vertical="bottom"/>
    </xf>
    <xf borderId="0" fillId="11" fontId="14" numFmtId="3" xfId="0" applyAlignment="1" applyFont="1" applyNumberFormat="1">
      <alignment horizontal="right" vertical="bottom"/>
    </xf>
    <xf borderId="0" fillId="7" fontId="9" numFmtId="3" xfId="0" applyAlignment="1" applyFont="1" applyNumberFormat="1">
      <alignment vertical="bottom"/>
    </xf>
    <xf borderId="0" fillId="12" fontId="16" numFmtId="0" xfId="0" applyAlignment="1" applyFont="1">
      <alignment vertical="bottom"/>
    </xf>
    <xf borderId="0" fillId="12" fontId="16" numFmtId="10" xfId="0" applyAlignment="1" applyFont="1" applyNumberFormat="1">
      <alignment vertical="bottom"/>
    </xf>
    <xf borderId="0" fillId="14" fontId="9" numFmtId="165" xfId="0" applyAlignment="1" applyFont="1" applyNumberFormat="1">
      <alignment vertical="bottom"/>
    </xf>
    <xf borderId="0" fillId="14" fontId="14" numFmtId="10" xfId="0" applyAlignment="1" applyFont="1" applyNumberFormat="1">
      <alignment horizontal="right" vertical="bottom"/>
    </xf>
    <xf borderId="0" fillId="15" fontId="14" numFmtId="10" xfId="0" applyAlignment="1" applyFont="1" applyNumberFormat="1">
      <alignment horizontal="right" vertical="bottom"/>
    </xf>
    <xf borderId="0" fillId="18" fontId="16" numFmtId="0" xfId="0" applyAlignment="1" applyFont="1">
      <alignment horizontal="right" vertical="bottom"/>
    </xf>
    <xf borderId="0" fillId="12" fontId="16" numFmtId="0" xfId="0" applyAlignment="1" applyFont="1">
      <alignment horizontal="right" vertical="bottom"/>
    </xf>
    <xf borderId="0" fillId="13" fontId="9" numFmtId="0" xfId="0" applyAlignment="1" applyFont="1">
      <alignment horizontal="right" vertical="bottom"/>
    </xf>
    <xf borderId="0" fillId="14" fontId="9" numFmtId="0" xfId="0" applyAlignment="1" applyFont="1">
      <alignment horizontal="right" vertical="bottom"/>
    </xf>
    <xf borderId="0" fillId="15" fontId="9" numFmtId="4" xfId="0" applyAlignment="1" applyFont="1" applyNumberFormat="1">
      <alignment horizontal="right" vertical="bottom"/>
    </xf>
    <xf borderId="0" fillId="14" fontId="9" numFmtId="165" xfId="0" applyAlignment="1" applyFont="1" applyNumberFormat="1">
      <alignment horizontal="right" vertical="bottom"/>
    </xf>
    <xf borderId="0" fillId="18" fontId="16" numFmtId="11" xfId="0" applyAlignment="1" applyFont="1" applyNumberFormat="1">
      <alignment horizontal="right" vertical="bottom"/>
    </xf>
    <xf borderId="0" fillId="11" fontId="36" numFmtId="0" xfId="0" applyAlignment="1" applyFont="1">
      <alignment horizontal="right" vertical="top"/>
    </xf>
    <xf borderId="0" fillId="11" fontId="38" numFmtId="3" xfId="0" applyAlignment="1" applyFont="1" applyNumberFormat="1">
      <alignment horizontal="right" vertical="top"/>
    </xf>
    <xf borderId="0" fillId="11" fontId="9" numFmtId="3" xfId="0" applyAlignment="1" applyFont="1" applyNumberFormat="1">
      <alignment vertical="bottom"/>
    </xf>
    <xf borderId="0" fillId="7" fontId="16" numFmtId="0" xfId="0" applyAlignment="1" applyFont="1">
      <alignment horizontal="right" shrinkToFit="0" vertical="bottom" wrapText="1"/>
    </xf>
    <xf borderId="0" fillId="16" fontId="9" numFmtId="0" xfId="0" applyAlignment="1" applyFont="1">
      <alignment vertical="bottom"/>
    </xf>
    <xf borderId="0" fillId="18" fontId="9" numFmtId="0" xfId="0" applyAlignment="1" applyFont="1">
      <alignment horizontal="right" vertical="bottom"/>
    </xf>
    <xf borderId="0" fillId="12" fontId="9" numFmtId="0" xfId="0" applyAlignment="1" applyFont="1">
      <alignment horizontal="right" vertical="bottom"/>
    </xf>
    <xf borderId="0" fillId="12" fontId="14" numFmtId="10" xfId="0" applyAlignment="1" applyFont="1" applyNumberFormat="1">
      <alignment horizontal="right" vertical="bottom"/>
    </xf>
    <xf borderId="0" fillId="11" fontId="9" numFmtId="10" xfId="0" applyAlignment="1" applyFont="1" applyNumberFormat="1">
      <alignment vertical="top"/>
    </xf>
    <xf borderId="0" fillId="7" fontId="16" numFmtId="0" xfId="0" applyAlignment="1" applyFont="1">
      <alignment horizontal="right" vertical="bottom"/>
    </xf>
    <xf borderId="0" fillId="18" fontId="14" numFmtId="3" xfId="0" applyAlignment="1" applyFont="1" applyNumberFormat="1">
      <alignment horizontal="right" vertical="bottom"/>
    </xf>
    <xf borderId="0" fillId="18" fontId="9" numFmtId="3" xfId="0" applyAlignment="1" applyFont="1" applyNumberFormat="1">
      <alignment horizontal="right" vertical="bottom"/>
    </xf>
    <xf borderId="0" fillId="16" fontId="14" numFmtId="10" xfId="0" applyAlignment="1" applyFont="1" applyNumberFormat="1">
      <alignment horizontal="right" vertical="bottom"/>
    </xf>
    <xf borderId="0" fillId="13" fontId="9" numFmtId="4" xfId="0" applyAlignment="1" applyFont="1" applyNumberFormat="1">
      <alignment vertical="bottom"/>
    </xf>
    <xf borderId="0" fillId="18" fontId="14" numFmtId="0" xfId="0" applyAlignment="1" applyFont="1">
      <alignment horizontal="right" vertical="bottom"/>
    </xf>
    <xf borderId="0" fillId="18" fontId="9" numFmtId="0" xfId="0" applyAlignment="1" applyFont="1">
      <alignment horizontal="right" vertical="bottom"/>
    </xf>
    <xf borderId="11" fillId="0" fontId="32" numFmtId="0" xfId="0" applyAlignment="1" applyBorder="1" applyFont="1">
      <alignment shrinkToFit="0" vertical="bottom" wrapText="1"/>
    </xf>
    <xf borderId="11" fillId="7" fontId="16" numFmtId="0" xfId="0" applyAlignment="1" applyBorder="1" applyFont="1">
      <alignment horizontal="center" vertical="bottom"/>
    </xf>
    <xf borderId="11" fillId="7" fontId="16" numFmtId="0" xfId="0" applyAlignment="1" applyBorder="1" applyFont="1">
      <alignment horizontal="right" shrinkToFit="0" vertical="bottom" wrapText="1"/>
    </xf>
    <xf borderId="11" fillId="13" fontId="9" numFmtId="0" xfId="0" applyAlignment="1" applyBorder="1" applyFont="1">
      <alignment vertical="bottom"/>
    </xf>
    <xf borderId="11" fillId="13" fontId="9" numFmtId="4" xfId="0" applyAlignment="1" applyBorder="1" applyFont="1" applyNumberFormat="1">
      <alignment vertical="bottom"/>
    </xf>
    <xf borderId="11" fillId="18" fontId="16" numFmtId="0" xfId="0" applyAlignment="1" applyBorder="1" applyFont="1">
      <alignment horizontal="right" vertical="bottom"/>
    </xf>
    <xf borderId="11" fillId="12" fontId="16" numFmtId="10" xfId="0" applyAlignment="1" applyBorder="1" applyFont="1" applyNumberFormat="1">
      <alignment horizontal="right" vertical="bottom"/>
    </xf>
    <xf borderId="11" fillId="16" fontId="16" numFmtId="10" xfId="0" applyAlignment="1" applyBorder="1" applyFont="1" applyNumberFormat="1">
      <alignment horizontal="right" vertical="bottom"/>
    </xf>
    <xf borderId="11" fillId="16" fontId="16" numFmtId="10" xfId="0" applyAlignment="1" applyBorder="1" applyFont="1" applyNumberFormat="1">
      <alignment horizontal="center" vertical="bottom"/>
    </xf>
    <xf borderId="11" fillId="18" fontId="14" numFmtId="0" xfId="0" applyAlignment="1" applyBorder="1" applyFont="1">
      <alignment horizontal="right" vertical="bottom"/>
    </xf>
    <xf borderId="11" fillId="18" fontId="9" numFmtId="0" xfId="0" applyAlignment="1" applyBorder="1" applyFont="1">
      <alignment horizontal="right" vertical="bottom"/>
    </xf>
    <xf borderId="11" fillId="18" fontId="14" numFmtId="10" xfId="0" applyAlignment="1" applyBorder="1" applyFont="1" applyNumberFormat="1">
      <alignment horizontal="right" vertical="bottom"/>
    </xf>
    <xf borderId="11" fillId="12" fontId="30" numFmtId="10" xfId="0" applyAlignment="1" applyBorder="1" applyFont="1" applyNumberFormat="1">
      <alignment horizontal="right" vertical="bottom"/>
    </xf>
    <xf borderId="11" fillId="13" fontId="14" numFmtId="10" xfId="0" applyAlignment="1" applyBorder="1" applyFont="1" applyNumberFormat="1">
      <alignment horizontal="right" vertical="bottom"/>
    </xf>
    <xf borderId="11" fillId="14" fontId="14" numFmtId="10" xfId="0" applyAlignment="1" applyBorder="1" applyFont="1" applyNumberFormat="1">
      <alignment horizontal="right" vertical="bottom"/>
    </xf>
    <xf borderId="11" fillId="15" fontId="14" numFmtId="10" xfId="0" applyAlignment="1" applyBorder="1" applyFont="1" applyNumberFormat="1">
      <alignment horizontal="right" vertical="bottom"/>
    </xf>
    <xf borderId="11" fillId="18" fontId="16" numFmtId="10" xfId="0" applyAlignment="1" applyBorder="1" applyFont="1" applyNumberFormat="1">
      <alignment horizontal="right" vertical="bottom"/>
    </xf>
    <xf borderId="11" fillId="11" fontId="16" numFmtId="0" xfId="0" applyAlignment="1" applyBorder="1" applyFont="1">
      <alignment horizontal="center" vertical="bottom"/>
    </xf>
    <xf borderId="11" fillId="18" fontId="16" numFmtId="0" xfId="0" applyAlignment="1" applyBorder="1" applyFont="1">
      <alignment horizontal="center" vertical="bottom"/>
    </xf>
    <xf borderId="11" fillId="12" fontId="16" numFmtId="0" xfId="0" applyAlignment="1" applyBorder="1" applyFont="1">
      <alignment horizontal="center" vertical="bottom"/>
    </xf>
    <xf borderId="11" fillId="7" fontId="16" numFmtId="0" xfId="0" applyAlignment="1" applyBorder="1" applyFont="1">
      <alignment vertical="bottom"/>
    </xf>
    <xf borderId="12" fillId="11" fontId="9" numFmtId="0" xfId="0" applyAlignment="1" applyBorder="1" applyFont="1">
      <alignment vertical="bottom"/>
    </xf>
    <xf borderId="0" fillId="0" fontId="14" numFmtId="165" xfId="0" applyAlignment="1" applyFont="1" applyNumberFormat="1">
      <alignment horizontal="right" vertical="bottom"/>
    </xf>
    <xf borderId="0" fillId="0" fontId="14" numFmtId="0" xfId="0" applyAlignment="1" applyFont="1">
      <alignment horizontal="right" vertical="bottom"/>
    </xf>
    <xf borderId="0" fillId="0" fontId="9" numFmtId="10" xfId="0" applyAlignment="1" applyFont="1" applyNumberFormat="1">
      <alignment vertical="bottom"/>
    </xf>
    <xf borderId="0" fillId="0" fontId="14" numFmtId="10" xfId="0" applyAlignment="1" applyFont="1" applyNumberFormat="1">
      <alignment horizontal="right" vertical="bottom"/>
    </xf>
    <xf borderId="0" fillId="0" fontId="39" numFmtId="0" xfId="0" applyAlignment="1" applyFont="1">
      <alignment horizontal="center" vertical="bottom"/>
    </xf>
    <xf borderId="11" fillId="0" fontId="39" numFmtId="0" xfId="0" applyAlignment="1" applyBorder="1" applyFont="1">
      <alignment horizontal="center" vertical="bottom"/>
    </xf>
    <xf borderId="0" fillId="0" fontId="9" numFmtId="0" xfId="0" applyAlignment="1" applyFont="1">
      <alignment vertical="bottom"/>
    </xf>
    <xf borderId="0" fillId="4" fontId="18" numFmtId="0" xfId="0" applyAlignment="1" applyFont="1">
      <alignment vertical="bottom"/>
    </xf>
    <xf borderId="0" fillId="4" fontId="18" numFmtId="0" xfId="0" applyAlignment="1" applyFont="1">
      <alignment horizontal="right" vertical="bottom"/>
    </xf>
    <xf borderId="11" fillId="0" fontId="39" numFmtId="0" xfId="0" applyAlignment="1" applyBorder="1" applyFont="1">
      <alignment horizontal="center" shrinkToFit="0" vertical="bottom" wrapText="0"/>
    </xf>
    <xf borderId="0" fillId="0" fontId="14" numFmtId="4" xfId="0" applyAlignment="1" applyFont="1" applyNumberFormat="1">
      <alignment horizontal="right" vertical="bottom"/>
    </xf>
    <xf borderId="0" fillId="4" fontId="18" numFmtId="4" xfId="0" applyAlignment="1" applyFont="1" applyNumberFormat="1">
      <alignment horizontal="right" vertical="bottom"/>
    </xf>
    <xf borderId="0" fillId="0" fontId="9" numFmtId="0" xfId="0" applyAlignment="1" applyFont="1">
      <alignment horizontal="right" vertical="bottom"/>
    </xf>
    <xf borderId="0" fillId="0" fontId="9" numFmtId="4" xfId="0" applyAlignment="1" applyFont="1" applyNumberFormat="1">
      <alignment vertical="bottom"/>
    </xf>
    <xf borderId="0" fillId="19" fontId="9" numFmtId="0" xfId="0" applyAlignment="1" applyFont="1">
      <alignment vertical="bottom"/>
    </xf>
    <xf borderId="0" fillId="19" fontId="9" numFmtId="4" xfId="0" applyAlignment="1" applyFont="1" applyNumberFormat="1">
      <alignment horizontal="right" vertical="bottom"/>
    </xf>
    <xf borderId="0" fillId="19" fontId="18" numFmtId="0" xfId="0" applyAlignment="1" applyFont="1">
      <alignment vertical="bottom"/>
    </xf>
    <xf borderId="0" fillId="22" fontId="3" numFmtId="0" xfId="0" applyFill="1" applyFont="1"/>
    <xf borderId="0" fillId="17" fontId="3" numFmtId="0" xfId="0" applyFont="1"/>
    <xf borderId="0" fillId="12" fontId="3" numFmtId="0" xfId="0" applyFont="1"/>
    <xf borderId="0" fillId="13" fontId="3" numFmtId="0" xfId="0" applyFont="1"/>
    <xf borderId="0" fillId="23" fontId="3" numFmtId="0" xfId="0" applyFill="1" applyFont="1"/>
    <xf borderId="0" fillId="15" fontId="3" numFmtId="0" xfId="0" applyFont="1"/>
    <xf borderId="0" fillId="18" fontId="3" numFmtId="0" xfId="0" applyFont="1"/>
    <xf borderId="0" fillId="9" fontId="3" numFmtId="0" xfId="0" applyFont="1"/>
    <xf borderId="0" fillId="14" fontId="3" numFmtId="0" xfId="0" applyFont="1"/>
    <xf borderId="0" fillId="4" fontId="18" numFmtId="0" xfId="0" applyFont="1"/>
    <xf borderId="0" fillId="0" fontId="3" numFmtId="0" xfId="0" applyFont="1"/>
    <xf borderId="0" fillId="0" fontId="3" numFmtId="10" xfId="0" applyFont="1" applyNumberFormat="1"/>
    <xf borderId="0" fillId="0" fontId="40" numFmtId="0" xfId="0" applyFont="1"/>
    <xf borderId="0" fillId="0" fontId="3" numFmtId="9" xfId="0" applyFont="1" applyNumberFormat="1"/>
    <xf borderId="0" fillId="0" fontId="3" numFmtId="0" xfId="0" applyAlignment="1" applyFont="1">
      <alignment horizontal="left"/>
    </xf>
    <xf borderId="0" fillId="0" fontId="3" numFmtId="3" xfId="0" applyFont="1" applyNumberFormat="1"/>
    <xf borderId="0" fillId="0" fontId="3" numFmtId="166" xfId="0" applyFont="1" applyNumberFormat="1"/>
    <xf borderId="0" fillId="0" fontId="3" numFmtId="167" xfId="0" applyFont="1" applyNumberFormat="1"/>
    <xf borderId="0" fillId="0" fontId="3" numFmtId="49" xfId="0" applyFont="1" applyNumberFormat="1"/>
    <xf borderId="0" fillId="0" fontId="3" numFmtId="168" xfId="0" applyFont="1" applyNumberFormat="1"/>
    <xf borderId="9" fillId="0" fontId="41" numFmtId="0" xfId="0" applyAlignment="1" applyBorder="1" applyFont="1">
      <alignment horizontal="left" shrinkToFit="0" wrapText="0"/>
    </xf>
    <xf borderId="9" fillId="0" fontId="41" numFmtId="168" xfId="0" applyAlignment="1" applyBorder="1" applyFont="1" applyNumberFormat="1">
      <alignment horizontal="left" shrinkToFit="0" wrapText="0"/>
    </xf>
    <xf borderId="9" fillId="0" fontId="41" numFmtId="4" xfId="0" applyAlignment="1" applyBorder="1" applyFont="1" applyNumberFormat="1">
      <alignment horizontal="left" shrinkToFit="0" wrapText="0"/>
    </xf>
    <xf borderId="9" fillId="0" fontId="41" numFmtId="169" xfId="0" applyAlignment="1" applyBorder="1" applyFont="1" applyNumberFormat="1">
      <alignment horizontal="left" shrinkToFit="0" wrapText="0"/>
    </xf>
    <xf borderId="9" fillId="0" fontId="42" numFmtId="0" xfId="0" applyAlignment="1" applyBorder="1" applyFont="1">
      <alignment horizontal="left" shrinkToFit="0" wrapText="0"/>
    </xf>
    <xf borderId="9" fillId="0" fontId="43" numFmtId="0" xfId="0" applyAlignment="1" applyBorder="1" applyFont="1">
      <alignment horizontal="left" shrinkToFit="0" wrapText="0"/>
    </xf>
    <xf borderId="9" fillId="0" fontId="41" numFmtId="0" xfId="0" applyAlignment="1" applyBorder="1" applyFont="1">
      <alignment horizontal="center" shrinkToFit="0" wrapText="0"/>
    </xf>
    <xf borderId="9" fillId="0" fontId="41" numFmtId="0" xfId="0" applyAlignment="1" applyBorder="1" applyFont="1">
      <alignment horizontal="center" shrinkToFit="0" wrapText="0"/>
    </xf>
    <xf borderId="9" fillId="0" fontId="44" numFmtId="0" xfId="0" applyAlignment="1" applyBorder="1" applyFont="1">
      <alignment horizontal="left" shrinkToFit="0" wrapText="0"/>
    </xf>
    <xf borderId="9" fillId="0" fontId="9" numFmtId="0" xfId="0" applyAlignment="1" applyBorder="1" applyFont="1">
      <alignment vertical="bottom"/>
    </xf>
    <xf borderId="12" fillId="0" fontId="44" numFmtId="0" xfId="0" applyAlignment="1" applyBorder="1" applyFont="1">
      <alignment horizontal="left" shrinkToFit="0" wrapText="0"/>
    </xf>
    <xf borderId="0" fillId="0" fontId="44" numFmtId="0" xfId="0" applyAlignment="1" applyFont="1">
      <alignment horizontal="left" shrinkToFit="0" wrapText="0"/>
    </xf>
    <xf borderId="0" fillId="0" fontId="45" numFmtId="0" xfId="0" applyAlignment="1" applyFont="1">
      <alignment horizontal="left" shrinkToFit="0" wrapText="0"/>
    </xf>
    <xf borderId="0" fillId="0" fontId="44" numFmtId="168" xfId="0" applyAlignment="1" applyFont="1" applyNumberFormat="1">
      <alignment horizontal="left" shrinkToFit="0" wrapText="0"/>
    </xf>
    <xf borderId="0" fillId="0" fontId="44" numFmtId="4" xfId="0" applyAlignment="1" applyFont="1" applyNumberFormat="1">
      <alignment horizontal="left" shrinkToFit="0" wrapText="0"/>
    </xf>
    <xf borderId="0" fillId="0" fontId="44" numFmtId="20" xfId="0" applyAlignment="1" applyFont="1" applyNumberFormat="1">
      <alignment horizontal="left" shrinkToFit="0" wrapText="0"/>
    </xf>
    <xf borderId="0" fillId="0" fontId="46" numFmtId="0" xfId="0" applyAlignment="1" applyFont="1">
      <alignment horizontal="left" shrinkToFit="0" wrapText="0"/>
    </xf>
    <xf borderId="0" fillId="0" fontId="44" numFmtId="0" xfId="0" applyAlignment="1" applyFont="1">
      <alignment horizontal="center" shrinkToFit="0" wrapText="0"/>
    </xf>
    <xf borderId="0" fillId="0" fontId="44" numFmtId="0" xfId="0" applyAlignment="1" applyFont="1">
      <alignment horizontal="left" shrinkToFit="0" wrapText="1"/>
    </xf>
    <xf borderId="0" fillId="0" fontId="47" numFmtId="0" xfId="0" applyAlignment="1" applyFont="1">
      <alignment horizontal="left" shrinkToFit="0" wrapText="0"/>
    </xf>
    <xf borderId="0" fillId="0" fontId="48" numFmtId="0" xfId="0" applyAlignment="1" applyFont="1">
      <alignment vertical="bottom"/>
    </xf>
    <xf borderId="12" fillId="0" fontId="44" numFmtId="0" xfId="0" applyAlignment="1" applyBorder="1" applyFont="1">
      <alignment vertical="bottom"/>
    </xf>
    <xf borderId="0" fillId="0" fontId="15" numFmtId="0" xfId="0" applyAlignment="1" applyFont="1">
      <alignment shrinkToFit="0" vertical="bottom" wrapText="0"/>
    </xf>
    <xf borderId="0" fillId="0" fontId="44" numFmtId="0" xfId="0" applyAlignment="1" applyFont="1">
      <alignment vertical="bottom"/>
    </xf>
    <xf borderId="0" fillId="0" fontId="45" numFmtId="0" xfId="0" applyAlignment="1" applyFont="1">
      <alignment vertical="top"/>
    </xf>
    <xf borderId="0" fillId="0" fontId="15" numFmtId="0" xfId="0" applyAlignment="1" applyFont="1">
      <alignment horizontal="left" vertical="bottom"/>
    </xf>
    <xf borderId="0" fillId="0" fontId="44" numFmtId="168" xfId="0" applyAlignment="1" applyFont="1" applyNumberFormat="1">
      <alignment horizontal="left" vertical="bottom"/>
    </xf>
    <xf borderId="0" fillId="0" fontId="44" numFmtId="0" xfId="0" applyAlignment="1" applyFont="1">
      <alignment horizontal="left" vertical="bottom"/>
    </xf>
    <xf borderId="0" fillId="0" fontId="44" numFmtId="49" xfId="0" applyAlignment="1" applyFont="1" applyNumberFormat="1">
      <alignment horizontal="left" vertical="bottom"/>
    </xf>
    <xf borderId="0" fillId="0" fontId="46" numFmtId="0" xfId="0" applyAlignment="1" applyFont="1">
      <alignment vertical="bottom"/>
    </xf>
    <xf borderId="0" fillId="0" fontId="44" numFmtId="0" xfId="0" applyAlignment="1" applyFont="1">
      <alignment horizontal="center" vertical="bottom"/>
    </xf>
    <xf borderId="0" fillId="0" fontId="49" numFmtId="0" xfId="0" applyAlignment="1" applyFont="1">
      <alignment vertical="bottom"/>
    </xf>
    <xf borderId="0" fillId="0" fontId="45" numFmtId="0" xfId="0" applyAlignment="1" applyFont="1">
      <alignment vertical="bottom"/>
    </xf>
    <xf borderId="0" fillId="0" fontId="44" numFmtId="0" xfId="0" applyAlignment="1" applyFont="1">
      <alignment horizontal="right" vertical="bottom"/>
    </xf>
    <xf borderId="0" fillId="0" fontId="9" numFmtId="168" xfId="0" applyAlignment="1" applyFont="1" applyNumberFormat="1">
      <alignment vertical="bottom"/>
    </xf>
    <xf borderId="0" fillId="0" fontId="44" numFmtId="168" xfId="0" applyAlignment="1" applyFont="1" applyNumberFormat="1">
      <alignment horizontal="right" vertical="bottom"/>
    </xf>
    <xf borderId="0" fillId="0" fontId="44" numFmtId="168" xfId="0" applyAlignment="1" applyFont="1" applyNumberFormat="1">
      <alignment horizontal="left" shrinkToFit="0" vertical="bottom" wrapText="0"/>
    </xf>
    <xf borderId="0" fillId="0" fontId="44" numFmtId="169" xfId="0" applyAlignment="1" applyFont="1" applyNumberFormat="1">
      <alignment horizontal="left" shrinkToFit="0" wrapText="0"/>
    </xf>
    <xf borderId="12" fillId="0" fontId="44" numFmtId="0" xfId="0" applyAlignment="1" applyBorder="1" applyFont="1">
      <alignment horizontal="left"/>
    </xf>
    <xf borderId="0" fillId="0" fontId="44" numFmtId="0" xfId="0" applyAlignment="1" applyFont="1">
      <alignment horizontal="left"/>
    </xf>
    <xf borderId="0" fillId="0" fontId="45" numFmtId="0" xfId="0" applyAlignment="1" applyFont="1">
      <alignment horizontal="left"/>
    </xf>
    <xf borderId="0" fillId="0" fontId="15" numFmtId="0" xfId="0" applyAlignment="1" applyFont="1">
      <alignment vertical="bottom"/>
    </xf>
    <xf borderId="0" fillId="0" fontId="44" numFmtId="168" xfId="0" applyAlignment="1" applyFont="1" applyNumberFormat="1">
      <alignment horizontal="left"/>
    </xf>
    <xf borderId="0" fillId="0" fontId="44" numFmtId="4" xfId="0" applyAlignment="1" applyFont="1" applyNumberFormat="1">
      <alignment horizontal="left"/>
    </xf>
    <xf borderId="0" fillId="0" fontId="15" numFmtId="0" xfId="0" applyAlignment="1" applyFont="1">
      <alignment horizontal="left"/>
    </xf>
    <xf borderId="0" fillId="0" fontId="44" numFmtId="0" xfId="0" applyAlignment="1" applyFont="1">
      <alignment horizontal="center"/>
    </xf>
    <xf borderId="0" fillId="0" fontId="44" numFmtId="0" xfId="0" applyAlignment="1" applyFont="1">
      <alignment horizontal="left"/>
    </xf>
    <xf borderId="0" fillId="0" fontId="44" numFmtId="4" xfId="0" applyAlignment="1" applyFont="1" applyNumberFormat="1">
      <alignment vertical="bottom"/>
    </xf>
    <xf borderId="0" fillId="0" fontId="44" numFmtId="0" xfId="0" applyAlignment="1" applyFont="1">
      <alignment vertical="bottom"/>
    </xf>
    <xf borderId="0" fillId="0" fontId="44" numFmtId="10" xfId="0" applyAlignment="1" applyFont="1" applyNumberFormat="1">
      <alignment horizontal="left" shrinkToFit="0" wrapText="0"/>
    </xf>
    <xf borderId="0" fillId="0" fontId="44" numFmtId="10" xfId="0" applyAlignment="1" applyFont="1" applyNumberFormat="1">
      <alignment horizontal="left"/>
    </xf>
    <xf borderId="0" fillId="0" fontId="44" numFmtId="169" xfId="0" applyAlignment="1" applyFont="1" applyNumberFormat="1">
      <alignment horizontal="left"/>
    </xf>
    <xf borderId="0" fillId="0" fontId="46" numFmtId="0" xfId="0" applyAlignment="1" applyFont="1">
      <alignment horizontal="left"/>
    </xf>
    <xf borderId="0" fillId="0" fontId="15" numFmtId="0" xfId="0" applyAlignment="1" applyFont="1">
      <alignment horizontal="center"/>
    </xf>
    <xf borderId="0" fillId="0" fontId="44" numFmtId="0" xfId="0" applyAlignment="1" applyFont="1">
      <alignment horizontal="left" shrinkToFit="0" wrapText="0"/>
    </xf>
    <xf borderId="0" fillId="0" fontId="15" numFmtId="0" xfId="0" applyAlignment="1" applyFont="1">
      <alignment horizontal="left" shrinkToFit="0" wrapText="0"/>
    </xf>
    <xf borderId="0" fillId="0" fontId="44" numFmtId="0" xfId="0" applyAlignment="1" applyFont="1">
      <alignment horizontal="center" shrinkToFit="0" vertical="top" wrapText="0"/>
    </xf>
    <xf borderId="0" fillId="0" fontId="44" numFmtId="20" xfId="0" applyAlignment="1" applyFont="1" applyNumberFormat="1">
      <alignment horizontal="left"/>
    </xf>
    <xf borderId="0" fillId="0" fontId="44" numFmtId="9" xfId="0" applyAlignment="1" applyFont="1" applyNumberFormat="1">
      <alignment horizontal="left"/>
    </xf>
    <xf borderId="0" fillId="0" fontId="44" numFmtId="170" xfId="0" applyAlignment="1" applyFont="1" applyNumberFormat="1">
      <alignment horizontal="left"/>
    </xf>
    <xf borderId="0" fillId="0" fontId="44" numFmtId="20" xfId="0" applyAlignment="1" applyFont="1" applyNumberFormat="1">
      <alignment horizontal="left" vertical="bottom"/>
    </xf>
    <xf borderId="0" fillId="0" fontId="9" numFmtId="0" xfId="0" applyAlignment="1" applyFont="1">
      <alignment horizontal="center" vertical="bottom"/>
    </xf>
    <xf borderId="0" fillId="0" fontId="15" numFmtId="0" xfId="0" applyAlignment="1" applyFont="1">
      <alignment horizontal="center" vertical="bottom"/>
    </xf>
    <xf borderId="0" fillId="0" fontId="44" numFmtId="3" xfId="0" applyAlignment="1" applyFont="1" applyNumberFormat="1">
      <alignment horizontal="left" shrinkToFit="0" wrapText="0"/>
    </xf>
    <xf borderId="0" fillId="0" fontId="44" numFmtId="9" xfId="0" applyAlignment="1" applyFont="1" applyNumberFormat="1">
      <alignment horizontal="left" shrinkToFit="0" wrapText="0"/>
    </xf>
    <xf borderId="0" fillId="0" fontId="44" numFmtId="170" xfId="0" applyAlignment="1" applyFont="1" applyNumberFormat="1">
      <alignment horizontal="left" shrinkToFit="0" wrapText="0"/>
    </xf>
    <xf borderId="0" fillId="0" fontId="44" numFmtId="10" xfId="0" applyAlignment="1" applyFont="1" applyNumberFormat="1">
      <alignment horizontal="right" vertical="bottom"/>
    </xf>
    <xf borderId="0" fillId="0" fontId="44" numFmtId="9" xfId="0" applyAlignment="1" applyFont="1" applyNumberFormat="1">
      <alignment horizontal="right" vertical="bottom"/>
    </xf>
    <xf borderId="0" fillId="0" fontId="15" numFmtId="169" xfId="0" applyAlignment="1" applyFont="1" applyNumberFormat="1">
      <alignment horizontal="left" shrinkToFit="0" wrapText="0"/>
    </xf>
    <xf borderId="0" fillId="0" fontId="44" numFmtId="49" xfId="0" applyAlignment="1" applyFont="1" applyNumberFormat="1">
      <alignment horizontal="left"/>
    </xf>
    <xf borderId="0" fillId="0" fontId="44" numFmtId="170" xfId="0" applyAlignment="1" applyFont="1" applyNumberFormat="1">
      <alignment horizontal="left" vertical="bottom"/>
    </xf>
    <xf borderId="0" fillId="0" fontId="44" numFmtId="169" xfId="0" applyAlignment="1" applyFont="1" applyNumberFormat="1">
      <alignment horizontal="left" vertical="bottom"/>
    </xf>
    <xf borderId="0" fillId="0" fontId="50" numFmtId="0" xfId="0" applyAlignment="1" applyFont="1">
      <alignment horizontal="left" shrinkToFit="0" vertical="bottom" wrapText="0"/>
    </xf>
    <xf borderId="0" fillId="0" fontId="44" numFmtId="49" xfId="0" applyAlignment="1" applyFont="1" applyNumberFormat="1">
      <alignment vertical="bottom"/>
    </xf>
    <xf borderId="0" fillId="0" fontId="44" numFmtId="170" xfId="0" applyAlignment="1" applyFont="1" applyNumberFormat="1">
      <alignment horizontal="left" vertical="bottom"/>
    </xf>
    <xf borderId="0" fillId="0" fontId="44" numFmtId="0" xfId="0" applyAlignment="1" applyFont="1">
      <alignment shrinkToFit="0" vertical="bottom" wrapText="0"/>
    </xf>
    <xf borderId="0" fillId="0" fontId="9" numFmtId="9" xfId="0" applyAlignment="1" applyFont="1" applyNumberFormat="1">
      <alignment vertical="bottom"/>
    </xf>
    <xf borderId="0" fillId="0" fontId="44" numFmtId="0" xfId="0" applyAlignment="1" applyFont="1">
      <alignment horizontal="left" readingOrder="0"/>
    </xf>
    <xf borderId="0" fillId="0" fontId="51" numFmtId="0" xfId="0" applyAlignment="1" applyFont="1">
      <alignment horizontal="left"/>
    </xf>
    <xf borderId="0" fillId="0" fontId="52" numFmtId="0" xfId="0" applyAlignment="1" applyFont="1">
      <alignment horizontal="left" vertical="bottom"/>
    </xf>
    <xf borderId="12" fillId="0" fontId="44" numFmtId="0" xfId="0" applyAlignment="1" applyBorder="1" applyFont="1">
      <alignment horizontal="left" vertical="top"/>
    </xf>
    <xf borderId="0" fillId="0" fontId="44" numFmtId="0" xfId="0" applyAlignment="1" applyFont="1">
      <alignment vertical="top"/>
    </xf>
    <xf borderId="0" fillId="0" fontId="15" numFmtId="169" xfId="0" applyAlignment="1" applyFont="1" applyNumberFormat="1">
      <alignment horizontal="left" shrinkToFit="0" vertical="bottom" wrapText="0"/>
    </xf>
    <xf borderId="0" fillId="0" fontId="53" numFmtId="0" xfId="0" applyAlignment="1" applyFont="1">
      <alignment horizontal="left" vertical="bottom"/>
    </xf>
    <xf borderId="0" fillId="0" fontId="44" numFmtId="10" xfId="0" applyAlignment="1" applyFont="1" applyNumberFormat="1">
      <alignment horizontal="left" vertical="bottom"/>
    </xf>
    <xf borderId="0" fillId="0" fontId="15" numFmtId="9" xfId="0" applyAlignment="1" applyFont="1" applyNumberFormat="1">
      <alignment shrinkToFit="0" vertical="bottom" wrapText="0"/>
    </xf>
    <xf borderId="12" fillId="0" fontId="44" numFmtId="0" xfId="0" applyAlignment="1" applyBorder="1" applyFont="1">
      <alignment vertical="top"/>
    </xf>
    <xf borderId="12" fillId="0" fontId="15" numFmtId="0" xfId="0" applyAlignment="1" applyBorder="1" applyFont="1">
      <alignment shrinkToFit="0" vertical="bottom" wrapText="0"/>
    </xf>
    <xf borderId="0" fillId="0" fontId="15" numFmtId="0" xfId="0" applyAlignment="1" applyFont="1">
      <alignment horizontal="right" shrinkToFit="0" vertical="bottom" wrapText="0"/>
    </xf>
    <xf borderId="0" fillId="0" fontId="15" numFmtId="168" xfId="0" applyAlignment="1" applyFont="1" applyNumberFormat="1">
      <alignment horizontal="left" shrinkToFit="0" vertical="bottom" wrapText="0"/>
    </xf>
    <xf borderId="0" fillId="0" fontId="15" numFmtId="0" xfId="0" applyAlignment="1" applyFont="1">
      <alignment horizontal="left" shrinkToFit="0" vertical="bottom" wrapText="0"/>
    </xf>
    <xf borderId="0" fillId="0" fontId="15" numFmtId="4" xfId="0" applyAlignment="1" applyFont="1" applyNumberFormat="1">
      <alignment shrinkToFit="0" vertical="bottom" wrapText="0"/>
    </xf>
    <xf borderId="0" fillId="0" fontId="15" numFmtId="20" xfId="0" applyAlignment="1" applyFont="1" applyNumberFormat="1">
      <alignment horizontal="left" shrinkToFit="0" vertical="bottom" wrapText="0"/>
    </xf>
    <xf borderId="0" fillId="0" fontId="46" numFmtId="0" xfId="0" applyAlignment="1" applyFont="1">
      <alignment shrinkToFit="0" vertical="bottom" wrapText="0"/>
    </xf>
    <xf borderId="0" fillId="0" fontId="15" numFmtId="0" xfId="0" applyAlignment="1" applyFont="1">
      <alignment horizontal="center" shrinkToFit="0" vertical="bottom" wrapText="0"/>
    </xf>
    <xf borderId="0" fillId="0" fontId="15" numFmtId="171" xfId="0" applyAlignment="1" applyFont="1" applyNumberFormat="1">
      <alignment horizontal="left" shrinkToFit="0" vertical="bottom" wrapText="0"/>
    </xf>
    <xf borderId="0" fillId="0" fontId="15" numFmtId="0" xfId="0" applyAlignment="1" applyFont="1">
      <alignment horizontal="left" vertical="bottom"/>
    </xf>
    <xf borderId="0" fillId="0" fontId="15" numFmtId="171" xfId="0" applyAlignment="1" applyFont="1" applyNumberFormat="1">
      <alignment horizontal="left" shrinkToFit="0" vertical="bottom" wrapText="0"/>
    </xf>
    <xf borderId="12" fillId="0" fontId="9" numFmtId="0" xfId="0" applyAlignment="1" applyBorder="1" applyFont="1">
      <alignment vertical="bottom"/>
    </xf>
    <xf borderId="0" fillId="0" fontId="9" numFmtId="169" xfId="0" applyAlignment="1" applyFont="1" applyNumberFormat="1">
      <alignment vertical="bottom"/>
    </xf>
    <xf borderId="0" fillId="0" fontId="9" numFmtId="0" xfId="0" applyAlignment="1" applyFont="1">
      <alignment vertical="bottom"/>
    </xf>
    <xf borderId="12" fillId="0" fontId="46" numFmtId="0" xfId="0" applyAlignment="1" applyBorder="1" applyFont="1">
      <alignment horizontal="left"/>
    </xf>
    <xf borderId="0" fillId="0" fontId="44" numFmtId="4" xfId="0" applyAlignment="1" applyFont="1" applyNumberFormat="1">
      <alignment horizontal="right"/>
    </xf>
    <xf borderId="0" fillId="0" fontId="44" numFmtId="170" xfId="0" applyAlignment="1" applyFont="1" applyNumberFormat="1">
      <alignment horizontal="left" shrinkToFit="0" wrapText="0"/>
    </xf>
    <xf borderId="0" fillId="0" fontId="44" numFmtId="9" xfId="0" applyAlignment="1" applyFont="1" applyNumberFormat="1">
      <alignment horizontal="left" vertical="bottom"/>
    </xf>
    <xf borderId="0" fillId="0" fontId="9" numFmtId="49" xfId="0" applyAlignment="1" applyFont="1" applyNumberFormat="1">
      <alignment vertical="bottom"/>
    </xf>
    <xf borderId="0" fillId="0" fontId="54" numFmtId="0" xfId="0" applyAlignment="1" applyFont="1">
      <alignment vertical="bottom"/>
    </xf>
    <xf borderId="0" fillId="0" fontId="44" numFmtId="0" xfId="0" applyFont="1"/>
    <xf borderId="12" fillId="0" fontId="44" numFmtId="0" xfId="0" applyBorder="1" applyFont="1"/>
    <xf borderId="0" fillId="0" fontId="44" numFmtId="4" xfId="0" applyFont="1" applyNumberFormat="1"/>
    <xf borderId="0" fillId="0" fontId="15" numFmtId="0" xfId="0" applyFont="1"/>
    <xf borderId="0" fillId="0" fontId="55" numFmtId="0" xfId="0" applyFont="1"/>
    <xf borderId="12" fillId="0" fontId="15" numFmtId="0" xfId="0" applyBorder="1" applyFont="1"/>
    <xf borderId="0" fillId="0" fontId="15" numFmtId="9" xfId="0" applyAlignment="1" applyFont="1" applyNumberFormat="1">
      <alignment horizontal="left" vertical="bottom"/>
    </xf>
    <xf borderId="0" fillId="0" fontId="56" numFmtId="49" xfId="0" applyAlignment="1" applyFont="1" applyNumberFormat="1">
      <alignment vertical="bottom"/>
    </xf>
    <xf borderId="0" fillId="0" fontId="57" numFmtId="0" xfId="0" applyFont="1"/>
    <xf borderId="0" fillId="0" fontId="44" numFmtId="167" xfId="0" applyAlignment="1" applyFont="1" applyNumberFormat="1">
      <alignment horizontal="right" vertical="bottom"/>
    </xf>
    <xf borderId="0" fillId="0" fontId="44" numFmtId="9" xfId="0" applyAlignment="1" applyFont="1" applyNumberFormat="1">
      <alignment vertical="bottom"/>
    </xf>
    <xf borderId="0" fillId="0" fontId="44" numFmtId="10" xfId="0" applyAlignment="1" applyFont="1" applyNumberFormat="1">
      <alignment vertical="bottom"/>
    </xf>
    <xf borderId="0" fillId="0" fontId="44" numFmtId="167" xfId="0" applyAlignment="1" applyFont="1" applyNumberFormat="1">
      <alignment vertical="bottom"/>
    </xf>
    <xf borderId="0" fillId="0" fontId="9" numFmtId="170" xfId="0" applyAlignment="1" applyFont="1" applyNumberFormat="1">
      <alignment vertical="bottom"/>
    </xf>
    <xf borderId="0" fillId="0" fontId="9" numFmtId="46" xfId="0" applyAlignment="1" applyFont="1" applyNumberFormat="1">
      <alignment vertical="bottom"/>
    </xf>
    <xf borderId="0" fillId="0" fontId="9" numFmtId="167" xfId="0" applyAlignment="1" applyFont="1" applyNumberFormat="1">
      <alignment vertical="bottom"/>
    </xf>
    <xf borderId="3" fillId="0" fontId="9" numFmtId="0" xfId="0" applyAlignment="1" applyBorder="1" applyFont="1">
      <alignment vertical="bottom"/>
    </xf>
    <xf borderId="7" fillId="0" fontId="9" numFmtId="0" xfId="0" applyAlignment="1" applyBorder="1" applyFont="1">
      <alignment vertical="bottom"/>
    </xf>
    <xf borderId="7" fillId="0" fontId="9" numFmtId="10" xfId="0" applyAlignment="1" applyBorder="1" applyFont="1" applyNumberFormat="1">
      <alignment vertical="bottom"/>
    </xf>
    <xf borderId="0" fillId="24" fontId="3" numFmtId="0" xfId="0" applyAlignment="1" applyFill="1" applyFont="1">
      <alignment readingOrder="0"/>
    </xf>
    <xf borderId="0" fillId="24" fontId="3" numFmtId="0" xfId="0" applyFont="1"/>
    <xf borderId="0" fillId="25" fontId="3" numFmtId="0" xfId="0" applyAlignment="1" applyFill="1" applyFont="1">
      <alignment readingOrder="0"/>
    </xf>
    <xf borderId="0" fillId="25" fontId="3" numFmtId="0" xfId="0" applyFont="1"/>
    <xf borderId="0" fillId="26" fontId="3" numFmtId="0" xfId="0" applyAlignment="1" applyFill="1" applyFont="1">
      <alignment readingOrder="0"/>
    </xf>
    <xf borderId="0" fillId="26" fontId="3" numFmtId="0" xfId="0" applyFont="1"/>
    <xf borderId="0" fillId="24" fontId="3" numFmtId="49" xfId="0" applyFont="1" applyNumberFormat="1"/>
    <xf borderId="0" fillId="24" fontId="3" numFmtId="10" xfId="0" applyFont="1" applyNumberFormat="1"/>
    <xf borderId="0" fillId="25" fontId="3" numFmtId="10" xfId="0" applyFont="1" applyNumberFormat="1"/>
    <xf borderId="0" fillId="24" fontId="58" numFmtId="0" xfId="0" applyFont="1"/>
    <xf borderId="0" fillId="25" fontId="59" numFmtId="0" xfId="0" applyFont="1"/>
    <xf borderId="0" fillId="26" fontId="60" numFmtId="0" xfId="0" applyFont="1"/>
    <xf borderId="0" fillId="26" fontId="3" numFmtId="167" xfId="0" applyFont="1" applyNumberFormat="1"/>
    <xf borderId="0" fillId="26" fontId="3" numFmtId="9" xfId="0" applyFont="1" applyNumberFormat="1"/>
    <xf borderId="0" fillId="26" fontId="3" numFmtId="10" xfId="0" applyFont="1" applyNumberFormat="1"/>
    <xf borderId="0" fillId="26" fontId="3" numFmtId="46" xfId="0" applyFont="1" applyNumberFormat="1"/>
    <xf borderId="0" fillId="24" fontId="3" numFmtId="167" xfId="0" applyFont="1" applyNumberFormat="1"/>
    <xf borderId="0" fillId="25" fontId="3" numFmtId="9" xfId="0" applyFont="1" applyNumberFormat="1"/>
    <xf borderId="0" fillId="24" fontId="3" numFmtId="20" xfId="0" applyFont="1" applyNumberFormat="1"/>
    <xf borderId="0" fillId="26" fontId="3" numFmtId="20" xfId="0" applyFont="1" applyNumberFormat="1"/>
    <xf borderId="0" fillId="24" fontId="3" numFmtId="9" xfId="0" applyFont="1" applyNumberFormat="1"/>
    <xf borderId="0" fillId="25" fontId="3" numFmtId="20" xfId="0" applyFont="1" applyNumberFormat="1"/>
    <xf borderId="0" fillId="25" fontId="3" numFmtId="49" xfId="0" applyFont="1" applyNumberFormat="1"/>
    <xf borderId="0" fillId="26" fontId="3" numFmtId="49" xfId="0" applyFont="1" applyNumberFormat="1"/>
    <xf borderId="0" fillId="26" fontId="3" numFmtId="3" xfId="0" applyFont="1" applyNumberFormat="1"/>
    <xf borderId="0" fillId="26" fontId="3" numFmtId="172" xfId="0" applyFont="1" applyNumberFormat="1"/>
    <xf borderId="0" fillId="27" fontId="3" numFmtId="0" xfId="0" applyAlignment="1" applyFill="1" applyFont="1">
      <alignment readingOrder="0"/>
    </xf>
    <xf borderId="0" fillId="27" fontId="3" numFmtId="0" xfId="0" applyFont="1"/>
    <xf borderId="0" fillId="27" fontId="18" numFmtId="0" xfId="0" applyFont="1"/>
    <xf borderId="0" fillId="0" fontId="3" numFmtId="169" xfId="0" applyFont="1" applyNumberFormat="1"/>
    <xf borderId="0" fillId="0" fontId="3" numFmtId="0" xfId="0" applyAlignment="1" applyFont="1">
      <alignment shrinkToFit="0" wrapText="0"/>
    </xf>
    <xf borderId="0" fillId="0" fontId="3" numFmtId="20" xfId="0" applyFont="1" applyNumberFormat="1"/>
    <xf borderId="0" fillId="0" fontId="61" numFmtId="0" xfId="0" applyAlignment="1" applyFont="1">
      <alignment shrinkToFit="0" wrapText="0"/>
    </xf>
    <xf borderId="0" fillId="0" fontId="3" numFmtId="170" xfId="0" applyFont="1" applyNumberFormat="1"/>
    <xf borderId="0" fillId="0" fontId="3" numFmtId="170" xfId="0" applyFont="1" applyNumberFormat="1"/>
    <xf borderId="0" fillId="0" fontId="3" numFmtId="171" xfId="0" applyFont="1" applyNumberFormat="1"/>
    <xf borderId="0" fillId="0" fontId="3" numFmtId="171" xfId="0" applyFont="1" applyNumberFormat="1"/>
    <xf borderId="0" fillId="0" fontId="3" numFmtId="46" xfId="0" applyFont="1" applyNumberFormat="1"/>
    <xf borderId="0" fillId="0" fontId="3" numFmtId="0" xfId="0" applyAlignment="1" applyFont="1">
      <alignment horizontal="right"/>
    </xf>
    <xf borderId="0" fillId="0" fontId="3" numFmtId="9" xfId="0" applyAlignment="1" applyFont="1" applyNumberFormat="1">
      <alignment horizontal="right"/>
    </xf>
    <xf borderId="0" fillId="0" fontId="3" numFmtId="10" xfId="0" applyAlignment="1" applyFont="1" applyNumberFormat="1">
      <alignment horizontal="right"/>
    </xf>
    <xf borderId="0" fillId="0" fontId="3" numFmtId="168" xfId="0" applyAlignment="1" applyFont="1" applyNumberFormat="1">
      <alignment horizontal="right"/>
    </xf>
    <xf borderId="0" fillId="28" fontId="3" numFmtId="0" xfId="0" applyAlignment="1" applyFill="1" applyFont="1">
      <alignment readingOrder="0" shrinkToFit="0" wrapText="0"/>
    </xf>
    <xf borderId="0" fillId="28" fontId="3" numFmtId="0" xfId="0" applyAlignment="1" applyFont="1">
      <alignment shrinkToFit="0" wrapText="0"/>
    </xf>
    <xf borderId="0" fillId="28" fontId="3" numFmtId="10" xfId="0" applyAlignment="1" applyFont="1" applyNumberFormat="1">
      <alignment shrinkToFit="0" wrapText="0"/>
    </xf>
    <xf borderId="0" fillId="4" fontId="3" numFmtId="0" xfId="0" applyAlignment="1" applyFont="1">
      <alignment shrinkToFit="0" wrapText="0"/>
    </xf>
    <xf borderId="0" fillId="29" fontId="3" numFmtId="0" xfId="0" applyAlignment="1" applyFill="1" applyFont="1">
      <alignment readingOrder="0" shrinkToFit="0" wrapText="0"/>
    </xf>
    <xf borderId="0" fillId="29" fontId="3" numFmtId="0" xfId="0" applyAlignment="1" applyFont="1">
      <alignment shrinkToFit="0" wrapText="0"/>
    </xf>
    <xf borderId="0" fillId="29" fontId="3" numFmtId="10" xfId="0" applyAlignment="1" applyFont="1" applyNumberFormat="1">
      <alignment shrinkToFit="0" wrapText="0"/>
    </xf>
    <xf borderId="0" fillId="27" fontId="3" numFmtId="0" xfId="0" applyAlignment="1" applyFont="1">
      <alignment readingOrder="0" shrinkToFit="0" wrapText="0"/>
    </xf>
    <xf borderId="0" fillId="27" fontId="3" numFmtId="0" xfId="0" applyAlignment="1" applyFont="1">
      <alignment shrinkToFit="0" wrapText="0"/>
    </xf>
    <xf borderId="0" fillId="27" fontId="3" numFmtId="10" xfId="0" applyAlignment="1" applyFont="1" applyNumberFormat="1">
      <alignment shrinkToFit="0" wrapText="0"/>
    </xf>
    <xf borderId="0" fillId="29" fontId="18" numFmtId="0" xfId="0" applyAlignment="1" applyFont="1">
      <alignment shrinkToFit="0" wrapText="0"/>
    </xf>
    <xf borderId="0" fillId="27" fontId="3" numFmtId="0" xfId="0" applyFont="1"/>
    <xf borderId="0" fillId="28" fontId="62" numFmtId="0" xfId="0" applyAlignment="1" applyFont="1">
      <alignment shrinkToFit="0" wrapText="0"/>
    </xf>
    <xf borderId="0" fillId="29" fontId="63" numFmtId="0" xfId="0" applyAlignment="1" applyFont="1">
      <alignment shrinkToFit="0" wrapText="0"/>
    </xf>
    <xf borderId="0" fillId="27" fontId="64" numFmtId="0" xfId="0" applyAlignment="1" applyFont="1">
      <alignment shrinkToFit="0" wrapText="0"/>
    </xf>
    <xf borderId="0" fillId="27" fontId="3" numFmtId="167" xfId="0" applyAlignment="1" applyFont="1" applyNumberFormat="1">
      <alignment shrinkToFit="0" wrapText="0"/>
    </xf>
    <xf borderId="0" fillId="27" fontId="3" numFmtId="9" xfId="0" applyAlignment="1" applyFont="1" applyNumberFormat="1">
      <alignment shrinkToFit="0" wrapText="0"/>
    </xf>
    <xf borderId="0" fillId="27" fontId="3" numFmtId="46" xfId="0" applyAlignment="1" applyFont="1" applyNumberFormat="1">
      <alignment shrinkToFit="0" wrapText="0"/>
    </xf>
    <xf borderId="0" fillId="27" fontId="3" numFmtId="20" xfId="0" applyAlignment="1" applyFont="1" applyNumberFormat="1">
      <alignment shrinkToFit="0" wrapText="0"/>
    </xf>
    <xf borderId="0" fillId="27" fontId="3" numFmtId="10" xfId="0" applyAlignment="1" applyFont="1" applyNumberFormat="1">
      <alignment readingOrder="0" shrinkToFit="0" wrapText="0"/>
    </xf>
    <xf borderId="0" fillId="27" fontId="3" numFmtId="49" xfId="0" applyAlignment="1" applyFont="1" applyNumberFormat="1">
      <alignment shrinkToFit="0" wrapText="0"/>
    </xf>
    <xf borderId="0" fillId="27" fontId="3" numFmtId="3" xfId="0" applyAlignment="1" applyFont="1" applyNumberFormat="1">
      <alignment shrinkToFit="0" wrapText="0"/>
    </xf>
    <xf borderId="0" fillId="27" fontId="3" numFmtId="172" xfId="0" applyAlignment="1" applyFont="1" applyNumberFormat="1">
      <alignment shrinkToFit="0" wrapText="0"/>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6" Type="http://schemas.openxmlformats.org/officeDocument/2006/relationships/worksheet" Target="worksheets/sheet13.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82" Type="http://schemas.openxmlformats.org/officeDocument/2006/relationships/drawing" Target="../drawings/drawing10.xml"/><Relationship Id="rId181" Type="http://schemas.openxmlformats.org/officeDocument/2006/relationships/hyperlink" Target="https://drive.google.com/file/d/0B5DG5WdEiYGENTVhaFRvQy1JTnc/view?usp=sharing" TargetMode="External"/><Relationship Id="rId180" Type="http://schemas.openxmlformats.org/officeDocument/2006/relationships/hyperlink" Target="https://drive.google.com/file/d/0B5DG5WdEiYGENTVhaFRvQy1JTnc/view?usp=sharing" TargetMode="External"/><Relationship Id="rId176" Type="http://schemas.openxmlformats.org/officeDocument/2006/relationships/hyperlink" Target="https://drive.google.com/file/d/0B5DG5WdEiYGEY1JOdXZPbzc2LUE/view?usp=sharing" TargetMode="External"/><Relationship Id="rId175" Type="http://schemas.openxmlformats.org/officeDocument/2006/relationships/hyperlink" Target="https://drive.google.com/file/d/0B5DG5WdEiYGEY1JOdXZPbzc2LUE/view?usp=sharing" TargetMode="External"/><Relationship Id="rId174" Type="http://schemas.openxmlformats.org/officeDocument/2006/relationships/hyperlink" Target="https://drive.google.com/file/d/0B5DG5WdEiYGEY1JOdXZPbzc2LUE/view?usp=sharing" TargetMode="External"/><Relationship Id="rId173" Type="http://schemas.openxmlformats.org/officeDocument/2006/relationships/hyperlink" Target="https://drive.google.com/file/d/0B5DG5WdEiYGEU0paV3BqeERPeXc/view?usp=sharing" TargetMode="External"/><Relationship Id="rId179" Type="http://schemas.openxmlformats.org/officeDocument/2006/relationships/hyperlink" Target="https://drive.google.com/file/d/0B5DG5WdEiYGENTVhaFRvQy1JTnc/view?usp=sharing" TargetMode="External"/><Relationship Id="rId178" Type="http://schemas.openxmlformats.org/officeDocument/2006/relationships/hyperlink" Target="https://drive.google.com/file/d/0B5DG5WdEiYGENTVhaFRvQy1JTnc/view?usp=sharing" TargetMode="External"/><Relationship Id="rId177" Type="http://schemas.openxmlformats.org/officeDocument/2006/relationships/hyperlink" Target="https://drive.google.com/file/d/0B5DG5WdEiYGEY1JOdXZPbzc2LUE/view?usp=sharing" TargetMode="External"/><Relationship Id="rId150" Type="http://schemas.openxmlformats.org/officeDocument/2006/relationships/hyperlink" Target="https://drive.google.com/a/binghamton.edu/file/d/0B2epb5A54jLUUkpIcGNWZldfQzQ/view" TargetMode="External"/><Relationship Id="rId1" Type="http://schemas.openxmlformats.org/officeDocument/2006/relationships/hyperlink" Target="https://drive.google.com/open?id=0Bz8dSgHSE9XJLXVLb2JMcllObDg" TargetMode="External"/><Relationship Id="rId2" Type="http://schemas.openxmlformats.org/officeDocument/2006/relationships/hyperlink" Target="https://drive.google.com/open?id=0Bz8dSgHSE9XJYVkzUHpfeTZxbGs" TargetMode="External"/><Relationship Id="rId3" Type="http://schemas.openxmlformats.org/officeDocument/2006/relationships/hyperlink" Target="https://drive.google.com/open?id=0Bz8dSgHSE9XJYUFtMFdkVVZYNm8" TargetMode="External"/><Relationship Id="rId149" Type="http://schemas.openxmlformats.org/officeDocument/2006/relationships/hyperlink" Target="https://drive.google.com/a/binghamton.edu/file/d/0B2epb5A54jLUUkpIcGNWZldfQzQ/view" TargetMode="External"/><Relationship Id="rId4" Type="http://schemas.openxmlformats.org/officeDocument/2006/relationships/hyperlink" Target="https://drive.google.com/open?id=0Bz8dSgHSE9XJUFQ1UHBfNC1RSjQ" TargetMode="External"/><Relationship Id="rId148" Type="http://schemas.openxmlformats.org/officeDocument/2006/relationships/hyperlink" Target="https://drive.google.com/a/binghamton.edu/file/d/0B2epb5A54jLUUkpIcGNWZldfQzQ/view" TargetMode="External"/><Relationship Id="rId9" Type="http://schemas.openxmlformats.org/officeDocument/2006/relationships/hyperlink" Target="https://drive.google.com/a/binghamton.edu/file/d/0B-BMeyhXwSzWcEpNbGJDbHZYaWs/view" TargetMode="External"/><Relationship Id="rId143" Type="http://schemas.openxmlformats.org/officeDocument/2006/relationships/hyperlink" Target="https://drive.google.com/a/binghamton.edu/file/d/0B-BMeyhXwSzWVk5uY29XQndaTFk/view" TargetMode="External"/><Relationship Id="rId142" Type="http://schemas.openxmlformats.org/officeDocument/2006/relationships/hyperlink" Target="https://drive.google.com/a/binghamton.edu/file/d/0B-BMeyhXwSzWVk5uY29XQndaTFk/view" TargetMode="External"/><Relationship Id="rId141" Type="http://schemas.openxmlformats.org/officeDocument/2006/relationships/hyperlink" Target="https://drive.google.com/a/binghamton.edu/file/d/0B-BMeyhXwSzWVk5uY29XQndaTFk/view" TargetMode="External"/><Relationship Id="rId140" Type="http://schemas.openxmlformats.org/officeDocument/2006/relationships/hyperlink" Target="https://drive.google.com/a/binghamton.edu/file/d/0B-BMeyhXwSzWVk5uY29XQndaTFk/view" TargetMode="External"/><Relationship Id="rId5" Type="http://schemas.openxmlformats.org/officeDocument/2006/relationships/hyperlink" Target="https://drive.google.com/open?id=0Bz8dSgHSE9XJUFQ1UHBfNC1RSjQ" TargetMode="External"/><Relationship Id="rId147" Type="http://schemas.openxmlformats.org/officeDocument/2006/relationships/hyperlink" Target="https://drive.google.com/a/binghamton.edu/file/d/0B2epb5A54jLUUkpIcGNWZldfQzQ/view" TargetMode="External"/><Relationship Id="rId6" Type="http://schemas.openxmlformats.org/officeDocument/2006/relationships/hyperlink" Target="https://drive.google.com/open?id=0Bz8dSgHSE9XJVk5MSi1nWlJxSWs" TargetMode="External"/><Relationship Id="rId146" Type="http://schemas.openxmlformats.org/officeDocument/2006/relationships/hyperlink" Target="https://drive.google.com/a/binghamton.edu/file/d/0B2epb5A54jLUUkpIcGNWZldfQzQ/view" TargetMode="External"/><Relationship Id="rId7" Type="http://schemas.openxmlformats.org/officeDocument/2006/relationships/hyperlink" Target="https://drive.google.com/open?id=0Bz8dSgHSE9XJVk5MSi1nWlJxSWs" TargetMode="External"/><Relationship Id="rId145" Type="http://schemas.openxmlformats.org/officeDocument/2006/relationships/hyperlink" Target="https://drive.google.com/a/binghamton.edu/file/d/0B2epb5A54jLUUkpIcGNWZldfQzQ/view" TargetMode="External"/><Relationship Id="rId8" Type="http://schemas.openxmlformats.org/officeDocument/2006/relationships/hyperlink" Target="https://drive.google.com/a/binghamton.edu/file/d/0B-BMeyhXwSzWcEpNbGJDbHZYaWs/view" TargetMode="External"/><Relationship Id="rId144" Type="http://schemas.openxmlformats.org/officeDocument/2006/relationships/hyperlink" Target="https://drive.google.com/a/binghamton.edu/file/d/0B-BMeyhXwSzWVk5uY29XQndaTFk/view" TargetMode="External"/><Relationship Id="rId139" Type="http://schemas.openxmlformats.org/officeDocument/2006/relationships/hyperlink" Target="https://drive.google.com/a/binghamton.edu/file/d/0B-BMeyhXwSzWSHkxRlpYekJyVjA/view" TargetMode="External"/><Relationship Id="rId138" Type="http://schemas.openxmlformats.org/officeDocument/2006/relationships/hyperlink" Target="https://drive.google.com/a/binghamton.edu/file/d/0B-BMeyhXwSzWSHkxRlpYekJyVjA/view" TargetMode="External"/><Relationship Id="rId137" Type="http://schemas.openxmlformats.org/officeDocument/2006/relationships/hyperlink" Target="https://drive.google.com/a/binghamton.edu/file/d/0B-BMeyhXwSzWLUlmdDFLajYtY1k/view" TargetMode="External"/><Relationship Id="rId132" Type="http://schemas.openxmlformats.org/officeDocument/2006/relationships/hyperlink" Target="https://drive.google.com/a/binghamton.edu/file/d/0B-BMeyhXwSzWZENJT3NKM2F1d1E/view" TargetMode="External"/><Relationship Id="rId131" Type="http://schemas.openxmlformats.org/officeDocument/2006/relationships/hyperlink" Target="https://drive.google.com/a/binghamton.edu/file/d/0B-BMeyhXwSzWZENJT3NKM2F1d1E/view" TargetMode="External"/><Relationship Id="rId130" Type="http://schemas.openxmlformats.org/officeDocument/2006/relationships/hyperlink" Target="https://drive.google.com/a/binghamton.edu/file/d/0B-BMeyhXwSzWZENJT3NKM2F1d1E/view" TargetMode="External"/><Relationship Id="rId136" Type="http://schemas.openxmlformats.org/officeDocument/2006/relationships/hyperlink" Target="https://drive.google.com/a/binghamton.edu/file/d/0B-BMeyhXwSzWLUlmdDFLajYtY1k/view" TargetMode="External"/><Relationship Id="rId135" Type="http://schemas.openxmlformats.org/officeDocument/2006/relationships/hyperlink" Target="https://drive.google.com/a/binghamton.edu/file/d/0B-BMeyhXwSzWLUlmdDFLajYtY1k/view" TargetMode="External"/><Relationship Id="rId134" Type="http://schemas.openxmlformats.org/officeDocument/2006/relationships/hyperlink" Target="https://drive.google.com/a/binghamton.edu/file/d/0B-BMeyhXwSzWSXpkZm1xYmFJS00/view" TargetMode="External"/><Relationship Id="rId133" Type="http://schemas.openxmlformats.org/officeDocument/2006/relationships/hyperlink" Target="https://drive.google.com/a/binghamton.edu/file/d/0B-BMeyhXwSzWSXpkZm1xYmFJS00/view" TargetMode="External"/><Relationship Id="rId172" Type="http://schemas.openxmlformats.org/officeDocument/2006/relationships/hyperlink" Target="https://drive.google.com/file/d/0B5DG5WdEiYGEU0paV3BqeERPeXc/view?usp=sharing" TargetMode="External"/><Relationship Id="rId171" Type="http://schemas.openxmlformats.org/officeDocument/2006/relationships/hyperlink" Target="https://drive.google.com/file/d/0B5DG5WdEiYGEU0paV3BqeERPeXc/view?usp=sharing" TargetMode="External"/><Relationship Id="rId170" Type="http://schemas.openxmlformats.org/officeDocument/2006/relationships/hyperlink" Target="https://drive.google.com/file/d/0B5DG5WdEiYGEU0paV3BqeERPeXc/view?usp=sharing" TargetMode="External"/><Relationship Id="rId165" Type="http://schemas.openxmlformats.org/officeDocument/2006/relationships/hyperlink" Target="https://drive.google.com/file/d/0B5DG5WdEiYGEU0paV3BqeERPeXc/view?usp=sharing" TargetMode="External"/><Relationship Id="rId164" Type="http://schemas.openxmlformats.org/officeDocument/2006/relationships/hyperlink" Target="https://drive.google.com/file/d/0B5DG5WdEiYGEU0paV3BqeERPeXc/view?usp=sharing" TargetMode="External"/><Relationship Id="rId163" Type="http://schemas.openxmlformats.org/officeDocument/2006/relationships/hyperlink" Target="https://drive.google.com/file/d/0B5DG5WdEiYGEU0paV3BqeERPeXc/view?usp=sharing" TargetMode="External"/><Relationship Id="rId162" Type="http://schemas.openxmlformats.org/officeDocument/2006/relationships/hyperlink" Target="https://drive.google.com/file/d/0B5DG5WdEiYGEU0paV3BqeERPeXc/view?usp=sharing" TargetMode="External"/><Relationship Id="rId169" Type="http://schemas.openxmlformats.org/officeDocument/2006/relationships/hyperlink" Target="https://drive.google.com/file/d/0B5DG5WdEiYGEU0paV3BqeERPeXc/view?usp=sharing" TargetMode="External"/><Relationship Id="rId168" Type="http://schemas.openxmlformats.org/officeDocument/2006/relationships/hyperlink" Target="https://drive.google.com/file/d/0B5DG5WdEiYGEU0paV3BqeERPeXc/view?usp=sharing" TargetMode="External"/><Relationship Id="rId167" Type="http://schemas.openxmlformats.org/officeDocument/2006/relationships/hyperlink" Target="https://drive.google.com/file/d/0B5DG5WdEiYGEU0paV3BqeERPeXc/view?usp=sharing" TargetMode="External"/><Relationship Id="rId166" Type="http://schemas.openxmlformats.org/officeDocument/2006/relationships/hyperlink" Target="https://drive.google.com/file/d/0B5DG5WdEiYGEU0paV3BqeERPeXc/view?usp=sharing" TargetMode="External"/><Relationship Id="rId161" Type="http://schemas.openxmlformats.org/officeDocument/2006/relationships/hyperlink" Target="https://drive.google.com/file/d/0B5DG5WdEiYGEdW1feHlGR0dnTzQ/view?usp=sharing" TargetMode="External"/><Relationship Id="rId160" Type="http://schemas.openxmlformats.org/officeDocument/2006/relationships/hyperlink" Target="https://drive.google.com/file/d/0B5DG5WdEiYGEdW1feHlGR0dnTzQ/view?usp=sharing" TargetMode="External"/><Relationship Id="rId159" Type="http://schemas.openxmlformats.org/officeDocument/2006/relationships/hyperlink" Target="https://drive.google.com/file/d/0B5DG5WdEiYGEdW1feHlGR0dnTzQ/view?usp=sharing" TargetMode="External"/><Relationship Id="rId154" Type="http://schemas.openxmlformats.org/officeDocument/2006/relationships/hyperlink" Target="https://drive.google.com/file/d/0B5DG5WdEiYGESkY5azlGOXhkWjg/view?usp=sharing" TargetMode="External"/><Relationship Id="rId153" Type="http://schemas.openxmlformats.org/officeDocument/2006/relationships/hyperlink" Target="https://drive.google.com/file/d/0B95WhYooraDeemdkRm13ZXZLSE0/view?usp=sharing%20," TargetMode="External"/><Relationship Id="rId152" Type="http://schemas.openxmlformats.org/officeDocument/2006/relationships/hyperlink" Target="https://drive.google.com/file/d/0B95WhYooraDeemdkRm13ZXZLSE0/view?usp=sharing%20," TargetMode="External"/><Relationship Id="rId151" Type="http://schemas.openxmlformats.org/officeDocument/2006/relationships/hyperlink" Target="https://drive.google.com/a/binghamton.edu/file/d/0B2epb5A54jLUUkpIcGNWZldfQzQ/view" TargetMode="External"/><Relationship Id="rId158" Type="http://schemas.openxmlformats.org/officeDocument/2006/relationships/hyperlink" Target="https://drive.google.com/file/d/0B5DG5WdEiYGEdW1feHlGR0dnTzQ/view?usp=sharing" TargetMode="External"/><Relationship Id="rId157" Type="http://schemas.openxmlformats.org/officeDocument/2006/relationships/hyperlink" Target="https://drive.google.com/file/d/0B5DG5WdEiYGESkY5azlGOXhkWjg/view?usp=sharing" TargetMode="External"/><Relationship Id="rId156" Type="http://schemas.openxmlformats.org/officeDocument/2006/relationships/hyperlink" Target="https://drive.google.com/file/d/0B5DG5WdEiYGESkY5azlGOXhkWjg/view?usp=sharing" TargetMode="External"/><Relationship Id="rId155" Type="http://schemas.openxmlformats.org/officeDocument/2006/relationships/hyperlink" Target="https://drive.google.com/file/d/0B5DG5WdEiYGESkY5azlGOXhkWjg/view?usp=sharing" TargetMode="External"/><Relationship Id="rId40" Type="http://schemas.openxmlformats.org/officeDocument/2006/relationships/hyperlink" Target="https://drive.google.com/a/binghamton.edu/file/d/0B-BMeyhXwSzWUzlTZzlVMXFwMWs/view" TargetMode="External"/><Relationship Id="rId42" Type="http://schemas.openxmlformats.org/officeDocument/2006/relationships/hyperlink" Target="https://drive.google.com/a/binghamton.edu/file/d/0B-BMeyhXwSzWUzlTZzlVMXFwMWs/view" TargetMode="External"/><Relationship Id="rId41" Type="http://schemas.openxmlformats.org/officeDocument/2006/relationships/hyperlink" Target="https://drive.google.com/a/binghamton.edu/file/d/0B-BMeyhXwSzWUzlTZzlVMXFwMWs/view" TargetMode="External"/><Relationship Id="rId44" Type="http://schemas.openxmlformats.org/officeDocument/2006/relationships/hyperlink" Target="https://drive.google.com/a/binghamton.edu/file/d/0Bz8dSgHSE9XJMWtNLThQZUM5dFk/view?usp=sharing" TargetMode="External"/><Relationship Id="rId43" Type="http://schemas.openxmlformats.org/officeDocument/2006/relationships/hyperlink" Target="https://drive.google.com/a/binghamton.edu/file/d/0Bz8dSgHSE9XJMWtNLThQZUM5dFk/view?usp=sharing" TargetMode="External"/><Relationship Id="rId46" Type="http://schemas.openxmlformats.org/officeDocument/2006/relationships/hyperlink" Target="https://drive.google.com/a/binghamton.edu/file/d/0Bz8dSgHSE9XJMWtNLThQZUM5dFk/view?usp=sharing" TargetMode="External"/><Relationship Id="rId45" Type="http://schemas.openxmlformats.org/officeDocument/2006/relationships/hyperlink" Target="https://drive.google.com/a/binghamton.edu/file/d/0Bz8dSgHSE9XJMWtNLThQZUM5dFk/view?usp=sharing" TargetMode="External"/><Relationship Id="rId48" Type="http://schemas.openxmlformats.org/officeDocument/2006/relationships/hyperlink" Target="https://drive.google.com/a/binghamton.edu/file/d/0Bz8dSgHSE9XJZ2NZaXRneEkwM1U/view?usp=sharing" TargetMode="External"/><Relationship Id="rId47" Type="http://schemas.openxmlformats.org/officeDocument/2006/relationships/hyperlink" Target="https://drive.google.com/a/binghamton.edu/file/d/0Bz8dSgHSE9XJZ2NZaXRneEkwM1U/view?usp=sharing" TargetMode="External"/><Relationship Id="rId49" Type="http://schemas.openxmlformats.org/officeDocument/2006/relationships/hyperlink" Target="https://drive.google.com/a/binghamton.edu/file/d/0B-BMeyhXwSzWWkFYeW1DQ3hwMmM/view" TargetMode="External"/><Relationship Id="rId31" Type="http://schemas.openxmlformats.org/officeDocument/2006/relationships/hyperlink" Target="https://drive.google.com/open?id=0Bz8dSgHSE9XJQU1RTzFCZWhpc0U" TargetMode="External"/><Relationship Id="rId30" Type="http://schemas.openxmlformats.org/officeDocument/2006/relationships/hyperlink" Target="https://drive.google.com/open?id=0Bz8dSgHSE9XJQU1RTzFCZWhpc0U" TargetMode="External"/><Relationship Id="rId33" Type="http://schemas.openxmlformats.org/officeDocument/2006/relationships/hyperlink" Target="https://drive.google.com/open?id=0Bz8dSgHSE9XJMjFOX0dBUlIxNWc" TargetMode="External"/><Relationship Id="rId32" Type="http://schemas.openxmlformats.org/officeDocument/2006/relationships/hyperlink" Target="https://drive.google.com/open?id=0Bz8dSgHSE9XJQU1RTzFCZWhpc0U" TargetMode="External"/><Relationship Id="rId35" Type="http://schemas.openxmlformats.org/officeDocument/2006/relationships/hyperlink" Target="https://drive.google.com/open?id=0Bz8dSgHSE9XJMjFOX0dBUlIxNWc" TargetMode="External"/><Relationship Id="rId34" Type="http://schemas.openxmlformats.org/officeDocument/2006/relationships/hyperlink" Target="https://drive.google.com/open?id=0Bz8dSgHSE9XJMjFOX0dBUlIxNWc" TargetMode="External"/><Relationship Id="rId37" Type="http://schemas.openxmlformats.org/officeDocument/2006/relationships/hyperlink" Target="https://drive.google.com/a/binghamton.edu/file/d/0Bz8dSgHSE9XJaGtUYzhmYmhaR3M/view" TargetMode="External"/><Relationship Id="rId36" Type="http://schemas.openxmlformats.org/officeDocument/2006/relationships/hyperlink" Target="https://drive.google.com/open?id=0Bz8dSgHSE9XJMjFOX0dBUlIxNWc" TargetMode="External"/><Relationship Id="rId39" Type="http://schemas.openxmlformats.org/officeDocument/2006/relationships/hyperlink" Target="https://drive.google.com/a/binghamton.edu/file/d/0B-BMeyhXwSzWUzlTZzlVMXFwMWs/view" TargetMode="External"/><Relationship Id="rId38" Type="http://schemas.openxmlformats.org/officeDocument/2006/relationships/hyperlink" Target="https://drive.google.com/open?id=0B-BMeyhXwSzWS1lvclk3ejh3bjA" TargetMode="External"/><Relationship Id="rId20" Type="http://schemas.openxmlformats.org/officeDocument/2006/relationships/hyperlink" Target="https://drive.google.com/open?id=0Bz8dSgHSE9XJc1BkVGRQUEIxNnM" TargetMode="External"/><Relationship Id="rId22" Type="http://schemas.openxmlformats.org/officeDocument/2006/relationships/hyperlink" Target="https://drive.google.com/open?id=0Bz8dSgHSE9XJc1BkVGRQUEIxNnM" TargetMode="External"/><Relationship Id="rId21" Type="http://schemas.openxmlformats.org/officeDocument/2006/relationships/hyperlink" Target="https://drive.google.com/open?id=0Bz8dSgHSE9XJc1BkVGRQUEIxNnM" TargetMode="External"/><Relationship Id="rId24" Type="http://schemas.openxmlformats.org/officeDocument/2006/relationships/hyperlink" Target="https://drive.google.com/open?id=0Bz8dSgHSE9XJb1hNWjJyelJZSUU" TargetMode="External"/><Relationship Id="rId23" Type="http://schemas.openxmlformats.org/officeDocument/2006/relationships/hyperlink" Target="https://drive.google.com/open?id=0Bz8dSgHSE9XJWUtkVHA0cHhpS2M" TargetMode="External"/><Relationship Id="rId26" Type="http://schemas.openxmlformats.org/officeDocument/2006/relationships/hyperlink" Target="https://drive.google.com/open?id=0Bz8dSgHSE9XJQU1RTzFCZWhpc0U" TargetMode="External"/><Relationship Id="rId25" Type="http://schemas.openxmlformats.org/officeDocument/2006/relationships/hyperlink" Target="https://drive.google.com/open?id=0Bz8dSgHSE9XJb1hNWjJyelJZSUU" TargetMode="External"/><Relationship Id="rId28" Type="http://schemas.openxmlformats.org/officeDocument/2006/relationships/hyperlink" Target="https://drive.google.com/open?id=0Bz8dSgHSE9XJQU1RTzFCZWhpc0U" TargetMode="External"/><Relationship Id="rId27" Type="http://schemas.openxmlformats.org/officeDocument/2006/relationships/hyperlink" Target="https://drive.google.com/open?id=0Bz8dSgHSE9XJQU1RTzFCZWhpc0U" TargetMode="External"/><Relationship Id="rId29" Type="http://schemas.openxmlformats.org/officeDocument/2006/relationships/hyperlink" Target="https://drive.google.com/open?id=0Bz8dSgHSE9XJQU1RTzFCZWhpc0U" TargetMode="External"/><Relationship Id="rId11" Type="http://schemas.openxmlformats.org/officeDocument/2006/relationships/hyperlink" Target="https://drive.google.com/open?id=0Bz8dSgHSE9XJUUNveUZfcUxMOGc" TargetMode="External"/><Relationship Id="rId10" Type="http://schemas.openxmlformats.org/officeDocument/2006/relationships/hyperlink" Target="https://drive.google.com/open?id=0Bz8dSgHSE9XJUUNveUZfcUxMOGc" TargetMode="External"/><Relationship Id="rId13" Type="http://schemas.openxmlformats.org/officeDocument/2006/relationships/hyperlink" Target="https://drive.google.com/a/binghamton.edu/file/d/0B-BMeyhXwSzWbDZwUEctVWZOOTg/view" TargetMode="External"/><Relationship Id="rId12" Type="http://schemas.openxmlformats.org/officeDocument/2006/relationships/hyperlink" Target="https://drive.google.com/open?id=0Bz8dSgHSE9XJUUNveUZfcUxMOGc" TargetMode="External"/><Relationship Id="rId15" Type="http://schemas.openxmlformats.org/officeDocument/2006/relationships/hyperlink" Target="https://drive.google.com/open?id=0Bz8dSgHSE9XJN2N2OTh6NmNhMEE" TargetMode="External"/><Relationship Id="rId14" Type="http://schemas.openxmlformats.org/officeDocument/2006/relationships/hyperlink" Target="https://drive.google.com/open?id=0Bz8dSgHSE9XJN2N2OTh6NmNhMEE" TargetMode="External"/><Relationship Id="rId17" Type="http://schemas.openxmlformats.org/officeDocument/2006/relationships/hyperlink" Target="https://drive.google.com/open?id=0Bz8dSgHSE9XJTUlMRU5jYTBqX1E" TargetMode="External"/><Relationship Id="rId16" Type="http://schemas.openxmlformats.org/officeDocument/2006/relationships/hyperlink" Target="https://drive.google.com/open?id=0Bz8dSgHSE9XJN2N2OTh6NmNhMEE" TargetMode="External"/><Relationship Id="rId19" Type="http://schemas.openxmlformats.org/officeDocument/2006/relationships/hyperlink" Target="https://drive.google.com/open?id=0Bz8dSgHSE9XJc1BkVGRQUEIxNnM" TargetMode="External"/><Relationship Id="rId18" Type="http://schemas.openxmlformats.org/officeDocument/2006/relationships/hyperlink" Target="https://drive.google.com/open?id=0Bz8dSgHSE9XJTnhxVi01NGljUFU" TargetMode="External"/><Relationship Id="rId84" Type="http://schemas.openxmlformats.org/officeDocument/2006/relationships/hyperlink" Target="https://drive.google.com/a/binghamton.edu/file/d/0B-BMeyhXwSzWYjdZSFZPX3dwX0k/view" TargetMode="External"/><Relationship Id="rId83" Type="http://schemas.openxmlformats.org/officeDocument/2006/relationships/hyperlink" Target="https://drive.google.com/a/binghamton.edu/file/d/0B-BMeyhXwSzWYjdZSFZPX3dwX0k/view" TargetMode="External"/><Relationship Id="rId86" Type="http://schemas.openxmlformats.org/officeDocument/2006/relationships/hyperlink" Target="https://drive.google.com/a/binghamton.edu/file/d/0B-BMeyhXwSzWelVGS2V4WjVQRTg/view" TargetMode="External"/><Relationship Id="rId85" Type="http://schemas.openxmlformats.org/officeDocument/2006/relationships/hyperlink" Target="https://drive.google.com/a/binghamton.edu/file/d/0B-BMeyhXwSzWYjdZSFZPX3dwX0k/view" TargetMode="External"/><Relationship Id="rId88" Type="http://schemas.openxmlformats.org/officeDocument/2006/relationships/hyperlink" Target="https://drive.google.com/a/binghamton.edu/file/d/0B-BMeyhXwSzWelVGS2V4WjVQRTg/view" TargetMode="External"/><Relationship Id="rId87" Type="http://schemas.openxmlformats.org/officeDocument/2006/relationships/hyperlink" Target="https://drive.google.com/a/binghamton.edu/file/d/0B-BMeyhXwSzWelVGS2V4WjVQRTg/view" TargetMode="External"/><Relationship Id="rId89" Type="http://schemas.openxmlformats.org/officeDocument/2006/relationships/hyperlink" Target="https://drive.google.com/a/binghamton.edu/file/d/0B-BMeyhXwSzWelVGS2V4WjVQRTg/view" TargetMode="External"/><Relationship Id="rId80" Type="http://schemas.openxmlformats.org/officeDocument/2006/relationships/hyperlink" Target="https://drive.google.com/a/binghamton.edu/file/d/0B-BMeyhXwSzWZkI5czBKUU5WRzQ/view" TargetMode="External"/><Relationship Id="rId82" Type="http://schemas.openxmlformats.org/officeDocument/2006/relationships/hyperlink" Target="https://drive.google.com/a/binghamton.edu/file/d/0B-BMeyhXwSzWZkI5czBKUU5WRzQ/view" TargetMode="External"/><Relationship Id="rId81" Type="http://schemas.openxmlformats.org/officeDocument/2006/relationships/hyperlink" Target="https://drive.google.com/a/binghamton.edu/file/d/0B-BMeyhXwSzWZkI5czBKUU5WRzQ/view" TargetMode="External"/><Relationship Id="rId73" Type="http://schemas.openxmlformats.org/officeDocument/2006/relationships/hyperlink" Target="https://drive.google.com/a/binghamton.edu/file/d/0B-BMeyhXwSzWcWNkLUNhZVZvSjg/view" TargetMode="External"/><Relationship Id="rId72" Type="http://schemas.openxmlformats.org/officeDocument/2006/relationships/hyperlink" Target="https://drive.google.com/a/binghamton.edu/file/d/0B-BMeyhXwSzWcWNkLUNhZVZvSjg/view" TargetMode="External"/><Relationship Id="rId75" Type="http://schemas.openxmlformats.org/officeDocument/2006/relationships/hyperlink" Target="https://drive.google.com/a/binghamton.edu/file/d/0B-BMeyhXwSzWcWNkLUNhZVZvSjg/view" TargetMode="External"/><Relationship Id="rId74" Type="http://schemas.openxmlformats.org/officeDocument/2006/relationships/hyperlink" Target="https://drive.google.com/a/binghamton.edu/file/d/0B-BMeyhXwSzWcWNkLUNhZVZvSjg/view" TargetMode="External"/><Relationship Id="rId77" Type="http://schemas.openxmlformats.org/officeDocument/2006/relationships/hyperlink" Target="https://drive.google.com/a/binghamton.edu/file/d/0B-BMeyhXwSzWNTdLbF90SVQ0MWM/view" TargetMode="External"/><Relationship Id="rId76" Type="http://schemas.openxmlformats.org/officeDocument/2006/relationships/hyperlink" Target="https://drive.google.com/a/binghamton.edu/file/d/0B-BMeyhXwSzWVERCWW9pUzROck0/view" TargetMode="External"/><Relationship Id="rId79" Type="http://schemas.openxmlformats.org/officeDocument/2006/relationships/hyperlink" Target="https://drive.google.com/a/binghamton.edu/file/d/0B-BMeyhXwSzWZkI5czBKUU5WRzQ/view" TargetMode="External"/><Relationship Id="rId78" Type="http://schemas.openxmlformats.org/officeDocument/2006/relationships/hyperlink" Target="https://drive.google.com/a/binghamton.edu/file/d/0B-BMeyhXwSzWZkI5czBKUU5WRzQ/view" TargetMode="External"/><Relationship Id="rId71" Type="http://schemas.openxmlformats.org/officeDocument/2006/relationships/hyperlink" Target="https://drive.google.com/a/binghamton.edu/file/d/0B-BMeyhXwSzWbHp6TDRvNjRwRjA/view" TargetMode="External"/><Relationship Id="rId70" Type="http://schemas.openxmlformats.org/officeDocument/2006/relationships/hyperlink" Target="https://drive.google.com/a/binghamton.edu/file/d/0B-BMeyhXwSzWbHp6TDRvNjRwRjA/view" TargetMode="External"/><Relationship Id="rId62" Type="http://schemas.openxmlformats.org/officeDocument/2006/relationships/hyperlink" Target="https://drive.google.com/a/binghamton.edu/file/d/0B-BMeyhXwSzWZ2lqTUhIVk5uMEU/view" TargetMode="External"/><Relationship Id="rId61" Type="http://schemas.openxmlformats.org/officeDocument/2006/relationships/hyperlink" Target="https://drive.google.com/a/binghamton.edu/file/d/0B-BMeyhXwSzWZ2lqTUhIVk5uMEU/view" TargetMode="External"/><Relationship Id="rId64" Type="http://schemas.openxmlformats.org/officeDocument/2006/relationships/hyperlink" Target="https://drive.google.com/a/binghamton.edu/file/d/0B-BMeyhXwSzWSjg5dVdHVjRoQVk/view" TargetMode="External"/><Relationship Id="rId63" Type="http://schemas.openxmlformats.org/officeDocument/2006/relationships/hyperlink" Target="https://drive.google.com/a/binghamton.edu/file/d/0B-BMeyhXwSzWSjg5dVdHVjRoQVk/view" TargetMode="External"/><Relationship Id="rId66" Type="http://schemas.openxmlformats.org/officeDocument/2006/relationships/hyperlink" Target="https://drive.google.com/a/binghamton.edu/file/d/0B-BMeyhXwSzWSjg5dVdHVjRoQVk/view" TargetMode="External"/><Relationship Id="rId65" Type="http://schemas.openxmlformats.org/officeDocument/2006/relationships/hyperlink" Target="https://drive.google.com/a/binghamton.edu/file/d/0B-BMeyhXwSzWSjg5dVdHVjRoQVk/view" TargetMode="External"/><Relationship Id="rId68" Type="http://schemas.openxmlformats.org/officeDocument/2006/relationships/hyperlink" Target="https://drive.google.com/a/binghamton.edu/file/d/0B-BMeyhXwSzWbHp6TDRvNjRwRjA/view" TargetMode="External"/><Relationship Id="rId67" Type="http://schemas.openxmlformats.org/officeDocument/2006/relationships/hyperlink" Target="https://drive.google.com/a/binghamton.edu/file/d/0B-BMeyhXwSzWSjg5dVdHVjRoQVk/view" TargetMode="External"/><Relationship Id="rId60" Type="http://schemas.openxmlformats.org/officeDocument/2006/relationships/hyperlink" Target="https://drive.google.com/a/binghamton.edu/file/d/0B-BMeyhXwSzWV3lKTjJKMllzZVE/view" TargetMode="External"/><Relationship Id="rId69" Type="http://schemas.openxmlformats.org/officeDocument/2006/relationships/hyperlink" Target="https://drive.google.com/a/binghamton.edu/file/d/0B-BMeyhXwSzWbHp6TDRvNjRwRjA/view" TargetMode="External"/><Relationship Id="rId51" Type="http://schemas.openxmlformats.org/officeDocument/2006/relationships/hyperlink" Target="https://drive.google.com/a/binghamton.edu/file/d/0B-BMeyhXwSzWWkFYeW1DQ3hwMmM/view" TargetMode="External"/><Relationship Id="rId50" Type="http://schemas.openxmlformats.org/officeDocument/2006/relationships/hyperlink" Target="https://drive.google.com/a/binghamton.edu/file/d/0B-BMeyhXwSzWWkFYeW1DQ3hwMmM/view" TargetMode="External"/><Relationship Id="rId53" Type="http://schemas.openxmlformats.org/officeDocument/2006/relationships/hyperlink" Target="https://drive.google.com/file/d/0B-BMeyhXwSzWMHk0elZxVEM2YTg/view?usp=sharing" TargetMode="External"/><Relationship Id="rId52" Type="http://schemas.openxmlformats.org/officeDocument/2006/relationships/hyperlink" Target="https://drive.google.com/file/d/0B-BMeyhXwSzWMHk0elZxVEM2YTg/view?usp=sharing" TargetMode="External"/><Relationship Id="rId55" Type="http://schemas.openxmlformats.org/officeDocument/2006/relationships/hyperlink" Target="https://drive.google.com/a/binghamton.edu/file/d/0B-BMeyhXwSzWS1picHZLRnZhZHc/view" TargetMode="External"/><Relationship Id="rId54" Type="http://schemas.openxmlformats.org/officeDocument/2006/relationships/hyperlink" Target="https://drive.google.com/file/d/0B-BMeyhXwSzWMHk0elZxVEM2YTg/view?usp=sharing" TargetMode="External"/><Relationship Id="rId57" Type="http://schemas.openxmlformats.org/officeDocument/2006/relationships/hyperlink" Target="https://drive.google.com/a/binghamton.edu/file/d/0B-BMeyhXwSzWOTdEdkI1S0t5ZGs/view" TargetMode="External"/><Relationship Id="rId56" Type="http://schemas.openxmlformats.org/officeDocument/2006/relationships/hyperlink" Target="https://drive.google.com/a/binghamton.edu/file/d/0B-BMeyhXwSzWS1picHZLRnZhZHc/view" TargetMode="External"/><Relationship Id="rId59" Type="http://schemas.openxmlformats.org/officeDocument/2006/relationships/hyperlink" Target="https://drive.google.com/a/binghamton.edu/file/d/0B-BMeyhXwSzWV3lKTjJKMllzZVE/view" TargetMode="External"/><Relationship Id="rId58" Type="http://schemas.openxmlformats.org/officeDocument/2006/relationships/hyperlink" Target="https://drive.google.com/a/binghamton.edu/file/d/0B-BMeyhXwSzWOTdEdkI1S0t5ZGs/view" TargetMode="External"/><Relationship Id="rId107" Type="http://schemas.openxmlformats.org/officeDocument/2006/relationships/hyperlink" Target="https://drive.google.com/a/binghamton.edu/file/d/0B-BMeyhXwSzWSWZibHduRUYwR00/view" TargetMode="External"/><Relationship Id="rId106" Type="http://schemas.openxmlformats.org/officeDocument/2006/relationships/hyperlink" Target="https://drive.google.com/a/binghamton.edu/file/d/0B-BMeyhXwSzWSWZibHduRUYwR00/view" TargetMode="External"/><Relationship Id="rId105" Type="http://schemas.openxmlformats.org/officeDocument/2006/relationships/hyperlink" Target="https://drive.google.com/a/binghamton.edu/file/d/0B-BMeyhXwSzWSWZibHduRUYwR00/view" TargetMode="External"/><Relationship Id="rId104" Type="http://schemas.openxmlformats.org/officeDocument/2006/relationships/hyperlink" Target="https://drive.google.com/a/binghamton.edu/file/d/0B-BMeyhXwSzWSWZibHduRUYwR00/view" TargetMode="External"/><Relationship Id="rId109" Type="http://schemas.openxmlformats.org/officeDocument/2006/relationships/hyperlink" Target="https://drive.google.com/a/binghamton.edu/file/d/0B-BMeyhXwSzWWlp0NzdvRnpzXzg/view" TargetMode="External"/><Relationship Id="rId108" Type="http://schemas.openxmlformats.org/officeDocument/2006/relationships/hyperlink" Target="https://drive.google.com/a/binghamton.edu/file/d/0B-BMeyhXwSzWWlp0NzdvRnpzXzg/view" TargetMode="External"/><Relationship Id="rId103" Type="http://schemas.openxmlformats.org/officeDocument/2006/relationships/hyperlink" Target="https://drive.google.com/a/binghamton.edu/file/d/0B-BMeyhXwSzWM0JLdnpMQzQtX0U/view" TargetMode="External"/><Relationship Id="rId102" Type="http://schemas.openxmlformats.org/officeDocument/2006/relationships/hyperlink" Target="https://drive.google.com/a/binghamton.edu/file/d/0B-BMeyhXwSzWM0JLdnpMQzQtX0U/view" TargetMode="External"/><Relationship Id="rId101" Type="http://schemas.openxmlformats.org/officeDocument/2006/relationships/hyperlink" Target="https://drive.google.com/a/binghamton.edu/file/d/0B-BMeyhXwSzWZExGUkFpN2VWUDA/view" TargetMode="External"/><Relationship Id="rId100" Type="http://schemas.openxmlformats.org/officeDocument/2006/relationships/hyperlink" Target="https://drive.google.com/a/binghamton.edu/file/d/0B-BMeyhXwSzWZExGUkFpN2VWUDA/view" TargetMode="External"/><Relationship Id="rId129" Type="http://schemas.openxmlformats.org/officeDocument/2006/relationships/hyperlink" Target="https://drive.google.com/a/binghamton.edu/file/d/0B-BMeyhXwSzWZENJT3NKM2F1d1E/view" TargetMode="External"/><Relationship Id="rId128" Type="http://schemas.openxmlformats.org/officeDocument/2006/relationships/hyperlink" Target="https://drive.google.com/a/binghamton.edu/file/d/0B-BMeyhXwSzWSDZEYVB4NDBZVHc/view" TargetMode="External"/><Relationship Id="rId127" Type="http://schemas.openxmlformats.org/officeDocument/2006/relationships/hyperlink" Target="https://drive.google.com/a/binghamton.edu/file/d/0B-BMeyhXwSzWSDZEYVB4NDBZVHc/view" TargetMode="External"/><Relationship Id="rId126" Type="http://schemas.openxmlformats.org/officeDocument/2006/relationships/hyperlink" Target="https://drive.google.com/a/binghamton.edu/file/d/0B-BMeyhXwSzWSDZEYVB4NDBZVHc/view" TargetMode="External"/><Relationship Id="rId121" Type="http://schemas.openxmlformats.org/officeDocument/2006/relationships/hyperlink" Target="https://drive.google.com/a/binghamton.edu/file/d/0B-BMeyhXwSzWTEs1NUZoOS1OREE/view" TargetMode="External"/><Relationship Id="rId120" Type="http://schemas.openxmlformats.org/officeDocument/2006/relationships/hyperlink" Target="https://drive.google.com/open?id=0B-BMeyhXwSzWaWk3dmU5YzA0LUE" TargetMode="External"/><Relationship Id="rId125" Type="http://schemas.openxmlformats.org/officeDocument/2006/relationships/hyperlink" Target="https://drive.google.com/a/binghamton.edu/file/d/0B-BMeyhXwSzWSDZEYVB4NDBZVHc/view" TargetMode="External"/><Relationship Id="rId124" Type="http://schemas.openxmlformats.org/officeDocument/2006/relationships/hyperlink" Target="https://drive.google.com/a/binghamton.edu/file/d/0B-BMeyhXwSzWSDZEYVB4NDBZVHc/view" TargetMode="External"/><Relationship Id="rId123" Type="http://schemas.openxmlformats.org/officeDocument/2006/relationships/hyperlink" Target="https://drive.google.com/a/binghamton.edu/file/d/0B-BMeyhXwSzWbHFidmxjSUNoQnM/view" TargetMode="External"/><Relationship Id="rId122" Type="http://schemas.openxmlformats.org/officeDocument/2006/relationships/hyperlink" Target="https://drive.google.com/a/binghamton.edu/file/d/0B-BMeyhXwSzWbDRDY1N4M3JwWGM/view" TargetMode="External"/><Relationship Id="rId95" Type="http://schemas.openxmlformats.org/officeDocument/2006/relationships/hyperlink" Target="https://drive.google.com/a/binghamton.edu/file/d/0B-BMeyhXwSzWc1FFek14S3V2Qnc/view" TargetMode="External"/><Relationship Id="rId94" Type="http://schemas.openxmlformats.org/officeDocument/2006/relationships/hyperlink" Target="https://drive.google.com/a/binghamton.edu/file/d/0B-BMeyhXwSzWc1FFek14S3V2Qnc/view" TargetMode="External"/><Relationship Id="rId97" Type="http://schemas.openxmlformats.org/officeDocument/2006/relationships/hyperlink" Target="https://drive.google.com/a/binghamton.edu/file/d/0B-BMeyhXwSzWVzA1dmQ5c0VrZUk/view" TargetMode="External"/><Relationship Id="rId96" Type="http://schemas.openxmlformats.org/officeDocument/2006/relationships/hyperlink" Target="https://drive.google.com/a/binghamton.edu/file/d/0B-BMeyhXwSzWVzA1dmQ5c0VrZUk/view" TargetMode="External"/><Relationship Id="rId99" Type="http://schemas.openxmlformats.org/officeDocument/2006/relationships/hyperlink" Target="https://drive.google.com/a/binghamton.edu/file/d/0B-BMeyhXwSzWZExGUkFpN2VWUDA/view" TargetMode="External"/><Relationship Id="rId98" Type="http://schemas.openxmlformats.org/officeDocument/2006/relationships/hyperlink" Target="https://drive.google.com/a/binghamton.edu/file/d/0B-BMeyhXwSzWVzA1dmQ5c0VrZUk/view" TargetMode="External"/><Relationship Id="rId91" Type="http://schemas.openxmlformats.org/officeDocument/2006/relationships/hyperlink" Target="https://drive.google.com/a/binghamton.edu/file/d/0B-BMeyhXwSzWc1FFek14S3V2Qnc/view" TargetMode="External"/><Relationship Id="rId90" Type="http://schemas.openxmlformats.org/officeDocument/2006/relationships/hyperlink" Target="https://drive.google.com/a/binghamton.edu/file/d/0B-BMeyhXwSzWc1FFek14S3V2Qnc/view" TargetMode="External"/><Relationship Id="rId93" Type="http://schemas.openxmlformats.org/officeDocument/2006/relationships/hyperlink" Target="https://drive.google.com/a/binghamton.edu/file/d/0B-BMeyhXwSzWc1FFek14S3V2Qnc/view" TargetMode="External"/><Relationship Id="rId92" Type="http://schemas.openxmlformats.org/officeDocument/2006/relationships/hyperlink" Target="https://drive.google.com/a/binghamton.edu/file/d/0B-BMeyhXwSzWc1FFek14S3V2Qnc/view" TargetMode="External"/><Relationship Id="rId118" Type="http://schemas.openxmlformats.org/officeDocument/2006/relationships/hyperlink" Target="https://drive.google.com/open?id=0B-BMeyhXwSzWaWk3dmU5YzA0LUE" TargetMode="External"/><Relationship Id="rId117" Type="http://schemas.openxmlformats.org/officeDocument/2006/relationships/hyperlink" Target="https://drive.google.com/open?id=0B-BMeyhXwSzWaWk3dmU5YzA0LUE" TargetMode="External"/><Relationship Id="rId116" Type="http://schemas.openxmlformats.org/officeDocument/2006/relationships/hyperlink" Target="https://drive.google.com/open?id=0B-BMeyhXwSzWaWk3dmU5YzA0LUE" TargetMode="External"/><Relationship Id="rId115" Type="http://schemas.openxmlformats.org/officeDocument/2006/relationships/hyperlink" Target="https://drive.google.com/a/binghamton.edu/file/d/0B-BMeyhXwSzWVFlkX2FhaERvODA/view" TargetMode="External"/><Relationship Id="rId119" Type="http://schemas.openxmlformats.org/officeDocument/2006/relationships/hyperlink" Target="https://drive.google.com/open?id=0B-BMeyhXwSzWaWk3dmU5YzA0LUE" TargetMode="External"/><Relationship Id="rId110" Type="http://schemas.openxmlformats.org/officeDocument/2006/relationships/hyperlink" Target="https://drive.google.com/a/binghamton.edu/file/d/0B-BMeyhXwSzWWlp0NzdvRnpzXzg/view" TargetMode="External"/><Relationship Id="rId114" Type="http://schemas.openxmlformats.org/officeDocument/2006/relationships/hyperlink" Target="https://drive.google.com/a/binghamton.edu/file/d/0B-BMeyhXwSzWVFlkX2FhaERvODA/view" TargetMode="External"/><Relationship Id="rId113" Type="http://schemas.openxmlformats.org/officeDocument/2006/relationships/hyperlink" Target="https://drive.google.com/a/binghamton.edu/file/d/0B-BMeyhXwSzWNU5rUGRnenFGc2s/view" TargetMode="External"/><Relationship Id="rId112" Type="http://schemas.openxmlformats.org/officeDocument/2006/relationships/hyperlink" Target="https://drive.google.com/a/binghamton.edu/file/d/0B-BMeyhXwSzWWlp0NzdvRnpzXzg/view" TargetMode="External"/><Relationship Id="rId111" Type="http://schemas.openxmlformats.org/officeDocument/2006/relationships/hyperlink" Target="https://drive.google.com/a/binghamton.edu/file/d/0B-BMeyhXwSzWWlp0NzdvRnpzXzg/view" TargetMode="External"/></Relationships>
</file>

<file path=xl/worksheets/_rels/sheet11.xml.rels><?xml version="1.0" encoding="UTF-8" standalone="yes"?><Relationships xmlns="http://schemas.openxmlformats.org/package/2006/relationships"><Relationship Id="rId190" Type="http://schemas.openxmlformats.org/officeDocument/2006/relationships/hyperlink" Target="https://drive.google.com/file/d/0B0qKRmtVkPtWMFByMGl4dnRaSm8/view?usp=sharing" TargetMode="External"/><Relationship Id="rId194" Type="http://schemas.openxmlformats.org/officeDocument/2006/relationships/hyperlink" Target="https://drive.google.com/file/d/0B0qKRmtVkPtWMFByMGl4dnRaSm8/view?usp=sharing" TargetMode="External"/><Relationship Id="rId193" Type="http://schemas.openxmlformats.org/officeDocument/2006/relationships/hyperlink" Target="http://dx.doi.org/10.1016/S0035-9203(97)90079-1" TargetMode="External"/><Relationship Id="rId192" Type="http://schemas.openxmlformats.org/officeDocument/2006/relationships/hyperlink" Target="https://drive.google.com/file/d/0B0qKRmtVkPtWMFByMGl4dnRaSm8/view?usp=sharing" TargetMode="External"/><Relationship Id="rId191" Type="http://schemas.openxmlformats.org/officeDocument/2006/relationships/hyperlink" Target="http://dx.doi.org/10.1016/S0035-9203(97)90079-1" TargetMode="External"/><Relationship Id="rId187" Type="http://schemas.openxmlformats.org/officeDocument/2006/relationships/hyperlink" Target="http://dx.doi.org/10.1016/S0035-9203(97)90079-1" TargetMode="External"/><Relationship Id="rId186" Type="http://schemas.openxmlformats.org/officeDocument/2006/relationships/hyperlink" Target="https://drive.google.com/file/d/0B0qKRmtVkPtWMFByMGl4dnRaSm8/view?usp=sharing" TargetMode="External"/><Relationship Id="rId185" Type="http://schemas.openxmlformats.org/officeDocument/2006/relationships/hyperlink" Target="http://dx.doi.org/10.1016/S0035-9203(97)90079-1" TargetMode="External"/><Relationship Id="rId184" Type="http://schemas.openxmlformats.org/officeDocument/2006/relationships/hyperlink" Target="https://drive.google.com/file/d/0B0qKRmtVkPtWMFByMGl4dnRaSm8/view?usp=sharing" TargetMode="External"/><Relationship Id="rId189" Type="http://schemas.openxmlformats.org/officeDocument/2006/relationships/hyperlink" Target="http://dx.doi.org/10.1016/S0035-9203(97)90079-1" TargetMode="External"/><Relationship Id="rId188" Type="http://schemas.openxmlformats.org/officeDocument/2006/relationships/hyperlink" Target="https://drive.google.com/file/d/0B0qKRmtVkPtWMFByMGl4dnRaSm8/view?usp=sharing" TargetMode="External"/><Relationship Id="rId183" Type="http://schemas.openxmlformats.org/officeDocument/2006/relationships/hyperlink" Target="http://dx.doi.org/10.1016/S0035-9203(97)90079-1" TargetMode="External"/><Relationship Id="rId182" Type="http://schemas.openxmlformats.org/officeDocument/2006/relationships/hyperlink" Target="https://drive.google.com/file/d/0B0qKRmtVkPtWMFByMGl4dnRaSm8/view?usp=sharing" TargetMode="External"/><Relationship Id="rId181" Type="http://schemas.openxmlformats.org/officeDocument/2006/relationships/hyperlink" Target="http://dx.doi.org/10.1016/S0035-9203(97)90079-1" TargetMode="External"/><Relationship Id="rId180" Type="http://schemas.openxmlformats.org/officeDocument/2006/relationships/hyperlink" Target="https://drive.google.com/file/d/0B0qKRmtVkPtWMFByMGl4dnRaSm8/view?usp=sharing" TargetMode="External"/><Relationship Id="rId176" Type="http://schemas.openxmlformats.org/officeDocument/2006/relationships/hyperlink" Target="https://drive.google.com/file/d/0B0qKRmtVkPtWUExEUDEzbEFLaGs/view?usp=sharing" TargetMode="External"/><Relationship Id="rId297" Type="http://schemas.openxmlformats.org/officeDocument/2006/relationships/hyperlink" Target="https://drive.google.com/file/d/0B0-pry4DSOm3NjJ3bmxCZ0E5cVE/view?usp=sharing" TargetMode="External"/><Relationship Id="rId175" Type="http://schemas.openxmlformats.org/officeDocument/2006/relationships/hyperlink" Target="https://drive.google.com/file/d/0B0qKRmtVkPtWUExEUDEzbEFLaGs/view?usp=sharing" TargetMode="External"/><Relationship Id="rId296" Type="http://schemas.openxmlformats.org/officeDocument/2006/relationships/hyperlink" Target="https://drive.google.com/file/d/0B0-pry4DSOm3NjJ3bmxCZ0E5cVE/view?usp=sharing" TargetMode="External"/><Relationship Id="rId174" Type="http://schemas.openxmlformats.org/officeDocument/2006/relationships/hyperlink" Target="https://drive.google.com/file/d/0B0qKRmtVkPtWUExEUDEzbEFLaGs/view?usp=sharing" TargetMode="External"/><Relationship Id="rId295" Type="http://schemas.openxmlformats.org/officeDocument/2006/relationships/hyperlink" Target="https://drive.google.com/file/d/0B0-pry4DSOm3NjJ3bmxCZ0E5cVE/view?usp=sharing" TargetMode="External"/><Relationship Id="rId173" Type="http://schemas.openxmlformats.org/officeDocument/2006/relationships/hyperlink" Target="https://drive.google.com/file/d/0B0qKRmtVkPtWUExEUDEzbEFLaGs/view?usp=sharing" TargetMode="External"/><Relationship Id="rId294" Type="http://schemas.openxmlformats.org/officeDocument/2006/relationships/hyperlink" Target="https://drive.google.com/file/d/0By3QPyQz621GX0FpYlRPREVhVjQ/view?usp=sharing" TargetMode="External"/><Relationship Id="rId179" Type="http://schemas.openxmlformats.org/officeDocument/2006/relationships/hyperlink" Target="http://dx.doi.org/10.1016/S0035-9203(97)90079-1" TargetMode="External"/><Relationship Id="rId178" Type="http://schemas.openxmlformats.org/officeDocument/2006/relationships/hyperlink" Target="https://drive.google.com/file/d/0B0qKRmtVkPtWMWNoVVhuQmVLMEU/view?usp=sharing" TargetMode="External"/><Relationship Id="rId299" Type="http://schemas.openxmlformats.org/officeDocument/2006/relationships/hyperlink" Target="https://drive.google.com/file/d/0B4sJPAkX0Jo3YjBxRFVPa3puLUU/view?usp=sharing" TargetMode="External"/><Relationship Id="rId177" Type="http://schemas.openxmlformats.org/officeDocument/2006/relationships/hyperlink" Target="https://drive.google.com/file/d/0B0qKRmtVkPtWMWNoVVhuQmVLMEU/view?usp=sharing" TargetMode="External"/><Relationship Id="rId298" Type="http://schemas.openxmlformats.org/officeDocument/2006/relationships/hyperlink" Target="https://drive.google.com/file/d/0B0-pry4DSOm3NjJ3bmxCZ0E5cVE/view?usp=sharing" TargetMode="External"/><Relationship Id="rId198" Type="http://schemas.openxmlformats.org/officeDocument/2006/relationships/hyperlink" Target="https://drive.google.com/file/d/0B0qKRmtVkPtWcjBJcDFwck9wMDg/view?usp=sharing" TargetMode="External"/><Relationship Id="rId197" Type="http://schemas.openxmlformats.org/officeDocument/2006/relationships/hyperlink" Target="https://drive.google.com/file/d/0B0qKRmtVkPtWcjBJcDFwck9wMDg/view?usp=sharing" TargetMode="External"/><Relationship Id="rId196" Type="http://schemas.openxmlformats.org/officeDocument/2006/relationships/hyperlink" Target="https://drive.google.com/file/d/0B0qKRmtVkPtWcjBJcDFwck9wMDg/view?usp=sharing" TargetMode="External"/><Relationship Id="rId195" Type="http://schemas.openxmlformats.org/officeDocument/2006/relationships/hyperlink" Target="https://drive.google.com/file/d/0B0qKRmtVkPtWcjBJcDFwck9wMDg/view?usp=sharing" TargetMode="External"/><Relationship Id="rId199" Type="http://schemas.openxmlformats.org/officeDocument/2006/relationships/hyperlink" Target="http://dx.doi.org/10.1080/00034983.1992.11812684" TargetMode="External"/><Relationship Id="rId150" Type="http://schemas.openxmlformats.org/officeDocument/2006/relationships/hyperlink" Target="http://dx.doi.org/10.1016/0035-9203(94)90241-2" TargetMode="External"/><Relationship Id="rId271" Type="http://schemas.openxmlformats.org/officeDocument/2006/relationships/hyperlink" Target="https://drive.google.com/file/d/0B9vYgR7NsKoYajB1aHBEckV5anM/view?usp=sharing" TargetMode="External"/><Relationship Id="rId270" Type="http://schemas.openxmlformats.org/officeDocument/2006/relationships/hyperlink" Target="https://drive.google.com/file/d/0B9vYgR7NsKoYajB1aHBEckV5anM/view?usp=sharing" TargetMode="External"/><Relationship Id="rId1" Type="http://schemas.openxmlformats.org/officeDocument/2006/relationships/hyperlink" Target="https://drive.google.com/file/d/0B9vYgR7NsKoYV3BYeWVzTDZvcGc/view?usp=sharing" TargetMode="External"/><Relationship Id="rId2" Type="http://schemas.openxmlformats.org/officeDocument/2006/relationships/hyperlink" Target="https://drive.google.com/file/d/0B9vYgR7NsKoYV3BYeWVzTDZvcGc/view?usp=sharing" TargetMode="External"/><Relationship Id="rId3" Type="http://schemas.openxmlformats.org/officeDocument/2006/relationships/hyperlink" Target="https://drive.google.com/file/d/0B9vYgR7NsKoYV3BYeWVzTDZvcGc/view?usp=sharing" TargetMode="External"/><Relationship Id="rId149" Type="http://schemas.openxmlformats.org/officeDocument/2006/relationships/hyperlink" Target="https://drive.google.com/file/d/0B0qKRmtVkPtWRV9FbnMyUXdCdEk/view?usp=sharing" TargetMode="External"/><Relationship Id="rId4" Type="http://schemas.openxmlformats.org/officeDocument/2006/relationships/hyperlink" Target="https://drive.google.com/file/d/0B9vYgR7NsKoYV3BYeWVzTDZvcGc/view?usp=sharing" TargetMode="External"/><Relationship Id="rId148" Type="http://schemas.openxmlformats.org/officeDocument/2006/relationships/hyperlink" Target="http://dx.doi.org/10.1016/0035-9203(94)90241-1" TargetMode="External"/><Relationship Id="rId269" Type="http://schemas.openxmlformats.org/officeDocument/2006/relationships/hyperlink" Target="https://drive.google.com/file/d/0B0-pry4DSOm3U0gtTGdiVzdPa3M/view?usp=sharing" TargetMode="External"/><Relationship Id="rId9" Type="http://schemas.openxmlformats.org/officeDocument/2006/relationships/hyperlink" Target="https://drive.google.com/file/d/0B0-pry4DSOm3cjF3NmdiQjFWNkE/view?usp=sharing" TargetMode="External"/><Relationship Id="rId143" Type="http://schemas.openxmlformats.org/officeDocument/2006/relationships/hyperlink" Target="https://drive.google.com/file/d/0B0qKRmtVkPtWMmszREhFbkloWm8/view?usp=sharing" TargetMode="External"/><Relationship Id="rId264" Type="http://schemas.openxmlformats.org/officeDocument/2006/relationships/hyperlink" Target="https://drive.google.com/file/d/0B0-pry4DSOm3QXJ6T0d2NDRsQnc/view?usp=sharing" TargetMode="External"/><Relationship Id="rId142" Type="http://schemas.openxmlformats.org/officeDocument/2006/relationships/hyperlink" Target="https://drive.google.com/file/d/0B0qKRmtVkPtWMmszREhFbkloWm8/view?usp=sharing" TargetMode="External"/><Relationship Id="rId263" Type="http://schemas.openxmlformats.org/officeDocument/2006/relationships/hyperlink" Target="https://drive.google.com/file/d/0B0-pry4DSOm3QXJNVENiZGFzVkU/view?usp=sharing" TargetMode="External"/><Relationship Id="rId141" Type="http://schemas.openxmlformats.org/officeDocument/2006/relationships/hyperlink" Target="https://drive.google.com/file/d/0B0qKRmtVkPtWMmszREhFbkloWm8/view?usp=sharing" TargetMode="External"/><Relationship Id="rId262" Type="http://schemas.openxmlformats.org/officeDocument/2006/relationships/hyperlink" Target="https://drive.google.com/file/d/0By3QPyQz621GaTFGc0FPVUYtMWM/view?usp=sharing" TargetMode="External"/><Relationship Id="rId140" Type="http://schemas.openxmlformats.org/officeDocument/2006/relationships/hyperlink" Target="https://drive.google.com/file/d/0B0qKRmtVkPtWMmszREhFbkloWm8/view?usp=sharing" TargetMode="External"/><Relationship Id="rId261" Type="http://schemas.openxmlformats.org/officeDocument/2006/relationships/hyperlink" Target="https://drive.google.com/file/d/0By3QPyQz621GaTFGc0FPVUYtMWM/view?usp=sharing" TargetMode="External"/><Relationship Id="rId5" Type="http://schemas.openxmlformats.org/officeDocument/2006/relationships/hyperlink" Target="https://drive.google.com/file/d/0B0-pry4DSOm3cjF3NmdiQjFWNkE/view?usp=sharing" TargetMode="External"/><Relationship Id="rId147" Type="http://schemas.openxmlformats.org/officeDocument/2006/relationships/hyperlink" Target="https://drive.google.com/file/d/0B0qKRmtVkPtWRV9FbnMyUXdCdEk/view?usp=sharing" TargetMode="External"/><Relationship Id="rId268" Type="http://schemas.openxmlformats.org/officeDocument/2006/relationships/hyperlink" Target="https://drive.google.com/file/d/0B0-pry4DSOm3U0gtTGdiVzdPa3M/view?usp=sharing" TargetMode="External"/><Relationship Id="rId6" Type="http://schemas.openxmlformats.org/officeDocument/2006/relationships/hyperlink" Target="https://drive.google.com/file/d/0B0-pry4DSOm3cjF3NmdiQjFWNkE/view?usp=sharing" TargetMode="External"/><Relationship Id="rId146" Type="http://schemas.openxmlformats.org/officeDocument/2006/relationships/hyperlink" Target="http://dx.doi.org/10.1016/0035-9203(94)90241-0" TargetMode="External"/><Relationship Id="rId267" Type="http://schemas.openxmlformats.org/officeDocument/2006/relationships/hyperlink" Target="https://drive.google.com/file/d/0By3QPyQz621GUENjZXhDc29zODQ/view?usp=sharing" TargetMode="External"/><Relationship Id="rId7" Type="http://schemas.openxmlformats.org/officeDocument/2006/relationships/hyperlink" Target="https://drive.google.com/file/d/0B0-pry4DSOm3cjF3NmdiQjFWNkE/view?usp=sharing" TargetMode="External"/><Relationship Id="rId145" Type="http://schemas.openxmlformats.org/officeDocument/2006/relationships/hyperlink" Target="https://drive.google.com/file/d/0B0qKRmtVkPtWMmszREhFbkloWm8/view?usp=sharing" TargetMode="External"/><Relationship Id="rId266" Type="http://schemas.openxmlformats.org/officeDocument/2006/relationships/hyperlink" Target="https://drive.google.com/file/d/0By3QPyQz621GUENjZXhDc29zODQ/view?usp=sharing" TargetMode="External"/><Relationship Id="rId8" Type="http://schemas.openxmlformats.org/officeDocument/2006/relationships/hyperlink" Target="https://drive.google.com/file/d/0B0-pry4DSOm3cjF3NmdiQjFWNkE/view?usp=sharing" TargetMode="External"/><Relationship Id="rId144" Type="http://schemas.openxmlformats.org/officeDocument/2006/relationships/hyperlink" Target="https://drive.google.com/file/d/0B0qKRmtVkPtWMmszREhFbkloWm8/view?usp=sharing" TargetMode="External"/><Relationship Id="rId265" Type="http://schemas.openxmlformats.org/officeDocument/2006/relationships/hyperlink" Target="https://drive.google.com/file/d/0By3QPyQz621GUENjZXhDc29zODQ/view?usp=sharing" TargetMode="External"/><Relationship Id="rId260" Type="http://schemas.openxmlformats.org/officeDocument/2006/relationships/hyperlink" Target="https://drive.google.com/file/d/0By3QPyQz621GaTFGc0FPVUYtMWM/view?usp=sharing" TargetMode="External"/><Relationship Id="rId139" Type="http://schemas.openxmlformats.org/officeDocument/2006/relationships/hyperlink" Target="https://drive.google.com/file/d/0B0qKRmtVkPtWc1N6aTFya1hsTjA/view?usp=sharing" TargetMode="External"/><Relationship Id="rId138" Type="http://schemas.openxmlformats.org/officeDocument/2006/relationships/hyperlink" Target="https://drive.google.com/file/d/0B0qKRmtVkPtWc1N6aTFya1hsTjA/view?usp=sharing" TargetMode="External"/><Relationship Id="rId259" Type="http://schemas.openxmlformats.org/officeDocument/2006/relationships/hyperlink" Target="https://drive.google.com/file/d/0B0qKRmtVkPtWMFJtNUt3TWtuNXM/view?usp=sharing" TargetMode="External"/><Relationship Id="rId137" Type="http://schemas.openxmlformats.org/officeDocument/2006/relationships/hyperlink" Target="https://drive.google.com/file/d/0B0qKRmtVkPtWc1N6aTFya1hsTjA/view?usp=sharing" TargetMode="External"/><Relationship Id="rId258" Type="http://schemas.openxmlformats.org/officeDocument/2006/relationships/hyperlink" Target="https://drive.google.com/file/d/0B0qKRmtVkPtWMFJtNUt3TWtuNXM/view?usp=sharing" TargetMode="External"/><Relationship Id="rId132" Type="http://schemas.openxmlformats.org/officeDocument/2006/relationships/hyperlink" Target="https://drive.google.com/file/d/0B9vYgR7NsKoYZVNmZmNDbjlTV3M/view?usp=sharing" TargetMode="External"/><Relationship Id="rId253" Type="http://schemas.openxmlformats.org/officeDocument/2006/relationships/hyperlink" Target="http://dx.doi.org/10.1016/0035-9203(92)90312-Z" TargetMode="External"/><Relationship Id="rId131" Type="http://schemas.openxmlformats.org/officeDocument/2006/relationships/hyperlink" Target="https://drive.google.com/file/d/0B9vYgR7NsKoYZVNmZmNDbjlTV3M/view?usp=sharing" TargetMode="External"/><Relationship Id="rId252" Type="http://schemas.openxmlformats.org/officeDocument/2006/relationships/hyperlink" Target="https://drive.google.com/file/d/0B0qKRmtVkPtWY2F3VzEyanB5Ykk/view?usp=sharing" TargetMode="External"/><Relationship Id="rId130" Type="http://schemas.openxmlformats.org/officeDocument/2006/relationships/hyperlink" Target="https://drive.google.com/file/d/0B0-pry4DSOm3SFE5OWVEQTJjMG8/view?usp=sharing" TargetMode="External"/><Relationship Id="rId251" Type="http://schemas.openxmlformats.org/officeDocument/2006/relationships/hyperlink" Target="http://dx.doi.org/10.1016/0035-9203(92)90312-Z" TargetMode="External"/><Relationship Id="rId250" Type="http://schemas.openxmlformats.org/officeDocument/2006/relationships/hyperlink" Target="https://drive.google.com/file/d/0B0qKRmtVkPtWY2F3VzEyanB5Ykk/view?usp=sharing" TargetMode="External"/><Relationship Id="rId136" Type="http://schemas.openxmlformats.org/officeDocument/2006/relationships/hyperlink" Target="https://drive.google.com/file/d/0B0qKRmtVkPtWc1N6aTFya1hsTjA/view?usp=sharing" TargetMode="External"/><Relationship Id="rId257" Type="http://schemas.openxmlformats.org/officeDocument/2006/relationships/hyperlink" Target="https://drive.google.com/file/d/0B0qKRmtVkPtWMFJtNUt3TWtuNXM/view?usp=sharing" TargetMode="External"/><Relationship Id="rId135" Type="http://schemas.openxmlformats.org/officeDocument/2006/relationships/hyperlink" Target="https://drive.google.com/file/d/0B-yoIBO7tf7FWU1LX1ZLbG9IcXM/view?usp=sharing" TargetMode="External"/><Relationship Id="rId256" Type="http://schemas.openxmlformats.org/officeDocument/2006/relationships/hyperlink" Target="https://drive.google.com/file/d/0B0qKRmtVkPtWMFJtNUt3TWtuNXM/view?usp=sharing" TargetMode="External"/><Relationship Id="rId134" Type="http://schemas.openxmlformats.org/officeDocument/2006/relationships/hyperlink" Target="https://drive.google.com/file/d/0B-yoIBO7tf7FWU1LX1ZLbG9IcXM/view?usp=sharing" TargetMode="External"/><Relationship Id="rId255" Type="http://schemas.openxmlformats.org/officeDocument/2006/relationships/hyperlink" Target="https://drive.google.com/file/d/0B0qKRmtVkPtWMFJtNUt3TWtuNXM/view?usp=sharing" TargetMode="External"/><Relationship Id="rId133" Type="http://schemas.openxmlformats.org/officeDocument/2006/relationships/hyperlink" Target="https://drive.google.com/open?id=0B6i9R3fSJzbMMUptNjdPSVdwTTQ" TargetMode="External"/><Relationship Id="rId254" Type="http://schemas.openxmlformats.org/officeDocument/2006/relationships/hyperlink" Target="https://drive.google.com/file/d/0B0qKRmtVkPtWY2F3VzEyanB5Ykk/view?usp=sharing" TargetMode="External"/><Relationship Id="rId172" Type="http://schemas.openxmlformats.org/officeDocument/2006/relationships/hyperlink" Target="https://drive.google.com/file/d/0B0qKRmtVkPtWUExEUDEzbEFLaGs/view?usp=sharing" TargetMode="External"/><Relationship Id="rId293" Type="http://schemas.openxmlformats.org/officeDocument/2006/relationships/hyperlink" Target="https://drive.google.com/file/d/0By3QPyQz621GX0FpYlRPREVhVjQ/view?usp=sharing" TargetMode="External"/><Relationship Id="rId171" Type="http://schemas.openxmlformats.org/officeDocument/2006/relationships/hyperlink" Target="https://drive.google.com/file/d/0B0qKRmtVkPtWUExEUDEzbEFLaGs/view?usp=sharing" TargetMode="External"/><Relationship Id="rId292" Type="http://schemas.openxmlformats.org/officeDocument/2006/relationships/hyperlink" Target="https://drive.google.com/file/d/0B0-pry4DSOm3Sk5VNWxOdzJiQkk/view?usp=sharing" TargetMode="External"/><Relationship Id="rId170" Type="http://schemas.openxmlformats.org/officeDocument/2006/relationships/hyperlink" Target="http://dx.doi.org/10.1016/S0035-9203(00)90133-0" TargetMode="External"/><Relationship Id="rId291" Type="http://schemas.openxmlformats.org/officeDocument/2006/relationships/hyperlink" Target="https://drive.google.com/file/d/0B0-pry4DSOm3Sk5VNWxOdzJiQkk/view?usp=sharing" TargetMode="External"/><Relationship Id="rId290" Type="http://schemas.openxmlformats.org/officeDocument/2006/relationships/hyperlink" Target="https://drive.google.com/file/d/0B0-pry4DSOm3Sk5VNWxOdzJiQkk/view?usp=sharing" TargetMode="External"/><Relationship Id="rId165" Type="http://schemas.openxmlformats.org/officeDocument/2006/relationships/hyperlink" Target="https://drive.google.com/file/d/0B0qKRmtVkPtWRV9FbnMyUXdCdEk/view?usp=sharing" TargetMode="External"/><Relationship Id="rId286" Type="http://schemas.openxmlformats.org/officeDocument/2006/relationships/hyperlink" Target="https://drive.google.com/file/d/0B4sJPAkX0Jo3cE94NDZ5VWZyNlE/view?usp=sharing" TargetMode="External"/><Relationship Id="rId164" Type="http://schemas.openxmlformats.org/officeDocument/2006/relationships/hyperlink" Target="http://dx.doi.org/10.1016/0035-9203(94)90241-9" TargetMode="External"/><Relationship Id="rId285" Type="http://schemas.openxmlformats.org/officeDocument/2006/relationships/hyperlink" Target="https://drive.google.com/file/d/0B4sJPAkX0Jo3cE94NDZ5VWZyNlE/view?usp=sharing" TargetMode="External"/><Relationship Id="rId163" Type="http://schemas.openxmlformats.org/officeDocument/2006/relationships/hyperlink" Target="https://drive.google.com/file/d/0B0qKRmtVkPtWRV9FbnMyUXdCdEk/view?usp=sharing" TargetMode="External"/><Relationship Id="rId284" Type="http://schemas.openxmlformats.org/officeDocument/2006/relationships/hyperlink" Target="https://drive.google.com/file/d/0B4sJPAkX0Jo3cE94NDZ5VWZyNlE/view?usp=sharing" TargetMode="External"/><Relationship Id="rId162" Type="http://schemas.openxmlformats.org/officeDocument/2006/relationships/hyperlink" Target="http://dx.doi.org/10.1016/0035-9203(94)90241-8" TargetMode="External"/><Relationship Id="rId283" Type="http://schemas.openxmlformats.org/officeDocument/2006/relationships/hyperlink" Target="https://drive.google.com/file/d/0B4sJPAkX0Jo3ZjFUd2VWQTgwUjA/view?usp=sharing" TargetMode="External"/><Relationship Id="rId169" Type="http://schemas.openxmlformats.org/officeDocument/2006/relationships/hyperlink" Target="https://drive.google.com/file/d/0B0qKRmtVkPtWRV9FbnMyUXdCdEk/view?usp=sharing" TargetMode="External"/><Relationship Id="rId168" Type="http://schemas.openxmlformats.org/officeDocument/2006/relationships/hyperlink" Target="http://dx.doi.org/10.1016/0035-9203(94)90241-11" TargetMode="External"/><Relationship Id="rId289" Type="http://schemas.openxmlformats.org/officeDocument/2006/relationships/hyperlink" Target="https://drive.google.com/file/d/0B0-pry4DSOm3Sk5VNWxOdzJiQkk/view?usp=sharing" TargetMode="External"/><Relationship Id="rId167" Type="http://schemas.openxmlformats.org/officeDocument/2006/relationships/hyperlink" Target="https://drive.google.com/file/d/0B0qKRmtVkPtWRV9FbnMyUXdCdEk/view?usp=sharing" TargetMode="External"/><Relationship Id="rId288" Type="http://schemas.openxmlformats.org/officeDocument/2006/relationships/hyperlink" Target="https://drive.google.com/file/d/0B0-pry4DSOm3UTFNenFnVzNicUE/view?usp=sharing" TargetMode="External"/><Relationship Id="rId166" Type="http://schemas.openxmlformats.org/officeDocument/2006/relationships/hyperlink" Target="http://dx.doi.org/10.1016/0035-9203(94)90241-10" TargetMode="External"/><Relationship Id="rId287" Type="http://schemas.openxmlformats.org/officeDocument/2006/relationships/hyperlink" Target="https://drive.google.com/file/d/0B0-pry4DSOm3UTFNenFnVzNicUE/view?usp=sharing" TargetMode="External"/><Relationship Id="rId161" Type="http://schemas.openxmlformats.org/officeDocument/2006/relationships/hyperlink" Target="https://drive.google.com/file/d/0B0qKRmtVkPtWRV9FbnMyUXdCdEk/view?usp=sharing" TargetMode="External"/><Relationship Id="rId282" Type="http://schemas.openxmlformats.org/officeDocument/2006/relationships/hyperlink" Target="https://drive.google.com/file/d/0B4sJPAkX0Jo3ZjFUd2VWQTgwUjA/view?usp=sharing" TargetMode="External"/><Relationship Id="rId160" Type="http://schemas.openxmlformats.org/officeDocument/2006/relationships/hyperlink" Target="http://dx.doi.org/10.1016/0035-9203(94)90241-7" TargetMode="External"/><Relationship Id="rId281" Type="http://schemas.openxmlformats.org/officeDocument/2006/relationships/hyperlink" Target="https://drive.google.com/file/d/0B4sJPAkX0Jo3WjNnLTB0NURNaWc/view?usp=sharing" TargetMode="External"/><Relationship Id="rId280" Type="http://schemas.openxmlformats.org/officeDocument/2006/relationships/hyperlink" Target="https://drive.google.com/file/d/0B4sJPAkX0Jo3WjNnLTB0NURNaWc/view?usp=sharing" TargetMode="External"/><Relationship Id="rId159" Type="http://schemas.openxmlformats.org/officeDocument/2006/relationships/hyperlink" Target="https://drive.google.com/file/d/0B0qKRmtVkPtWRV9FbnMyUXdCdEk/view?usp=sharing" TargetMode="External"/><Relationship Id="rId154" Type="http://schemas.openxmlformats.org/officeDocument/2006/relationships/hyperlink" Target="http://dx.doi.org/10.1016/0035-9203(94)90241-4" TargetMode="External"/><Relationship Id="rId275" Type="http://schemas.openxmlformats.org/officeDocument/2006/relationships/hyperlink" Target="https://drive.google.com/file/d/0B9vYgR7NsKoYTW8xYnlPcHhiRzQ/view?usp=sharing" TargetMode="External"/><Relationship Id="rId153" Type="http://schemas.openxmlformats.org/officeDocument/2006/relationships/hyperlink" Target="https://drive.google.com/file/d/0B0qKRmtVkPtWRV9FbnMyUXdCdEk/view?usp=sharing" TargetMode="External"/><Relationship Id="rId274" Type="http://schemas.openxmlformats.org/officeDocument/2006/relationships/hyperlink" Target="https://drive.google.com/file/d/0B9vYgR7NsKoYTW8xYnlPcHhiRzQ/view?usp=sharing" TargetMode="External"/><Relationship Id="rId152" Type="http://schemas.openxmlformats.org/officeDocument/2006/relationships/hyperlink" Target="http://dx.doi.org/10.1016/0035-9203(94)90241-3" TargetMode="External"/><Relationship Id="rId273" Type="http://schemas.openxmlformats.org/officeDocument/2006/relationships/hyperlink" Target="https://drive.google.com/file/d/0B4sJPAkX0Jo3REg5aXNxcUlGb3c/view?usp=sharing" TargetMode="External"/><Relationship Id="rId151" Type="http://schemas.openxmlformats.org/officeDocument/2006/relationships/hyperlink" Target="https://drive.google.com/file/d/0B0qKRmtVkPtWRV9FbnMyUXdCdEk/view?usp=sharing" TargetMode="External"/><Relationship Id="rId272" Type="http://schemas.openxmlformats.org/officeDocument/2006/relationships/hyperlink" Target="https://drive.google.com/file/d/0B9vYgR7NsKoYajB1aHBEckV5anM/view?usp=sharing" TargetMode="External"/><Relationship Id="rId158" Type="http://schemas.openxmlformats.org/officeDocument/2006/relationships/hyperlink" Target="http://dx.doi.org/10.1016/0035-9203(94)90241-6" TargetMode="External"/><Relationship Id="rId279" Type="http://schemas.openxmlformats.org/officeDocument/2006/relationships/hyperlink" Target="https://drive.google.com/file/d/0B4sJPAkX0Jo3RnZYWUFvTzBoeTg/view?usp=sharing" TargetMode="External"/><Relationship Id="rId157" Type="http://schemas.openxmlformats.org/officeDocument/2006/relationships/hyperlink" Target="https://drive.google.com/file/d/0B0qKRmtVkPtWRV9FbnMyUXdCdEk/view?usp=sharing" TargetMode="External"/><Relationship Id="rId278" Type="http://schemas.openxmlformats.org/officeDocument/2006/relationships/hyperlink" Target="https://drive.google.com/file/d/0B4sJPAkX0Jo3QzBkNWgzS2Ywems/view?usp=sharing" TargetMode="External"/><Relationship Id="rId156" Type="http://schemas.openxmlformats.org/officeDocument/2006/relationships/hyperlink" Target="http://dx.doi.org/10.1016/0035-9203(94)90241-5" TargetMode="External"/><Relationship Id="rId277" Type="http://schemas.openxmlformats.org/officeDocument/2006/relationships/hyperlink" Target="https://drive.google.com/file/d/0B4sJPAkX0Jo3TjN2T05rQVJMMDA/view?usp=sharing" TargetMode="External"/><Relationship Id="rId155" Type="http://schemas.openxmlformats.org/officeDocument/2006/relationships/hyperlink" Target="https://drive.google.com/file/d/0B0qKRmtVkPtWRV9FbnMyUXdCdEk/view?usp=sharing" TargetMode="External"/><Relationship Id="rId276" Type="http://schemas.openxmlformats.org/officeDocument/2006/relationships/hyperlink" Target="https://drive.google.com/file/d/0B4sJPAkX0Jo3TjN2T05rQVJMMDA/view?usp=sharing" TargetMode="External"/><Relationship Id="rId40" Type="http://schemas.openxmlformats.org/officeDocument/2006/relationships/hyperlink" Target="https://drive.google.com/file/d/0B4sJPAkX0Jo3QUU4eElPS0t4UTQ/view?usp=sharing" TargetMode="External"/><Relationship Id="rId42" Type="http://schemas.openxmlformats.org/officeDocument/2006/relationships/hyperlink" Target="https://drive.google.com/file/d/0B95WhYooraDeSHh2b2VXSlUxdzQ/view?usp=sharing" TargetMode="External"/><Relationship Id="rId41" Type="http://schemas.openxmlformats.org/officeDocument/2006/relationships/hyperlink" Target="https://drive.google.com/file/d/0B0-pry4DSOm3a3JIN0U1X0tOOTg/view?usp=sharing" TargetMode="External"/><Relationship Id="rId44" Type="http://schemas.openxmlformats.org/officeDocument/2006/relationships/hyperlink" Target="https://drive.google.com/file/d/0B4sJPAkX0Jo3QUU4eElPS0t4UTQ/view?usp=sharing" TargetMode="External"/><Relationship Id="rId43" Type="http://schemas.openxmlformats.org/officeDocument/2006/relationships/hyperlink" Target="https://drive.google.com/file/d/0B95WhYooraDeSHh2b2VXSlUxdzQ/view?usp=sharing" TargetMode="External"/><Relationship Id="rId46" Type="http://schemas.openxmlformats.org/officeDocument/2006/relationships/hyperlink" Target="https://drive.google.com/file/d/0B0-pry4DSOm3bkFHbUF2SHFTME0/view?usp=sharing" TargetMode="External"/><Relationship Id="rId45" Type="http://schemas.openxmlformats.org/officeDocument/2006/relationships/hyperlink" Target="https://drive.google.com/file/d/0B95WhYooraDeSHh2b2VXSlUxdzQ/view?usp=sharing" TargetMode="External"/><Relationship Id="rId48" Type="http://schemas.openxmlformats.org/officeDocument/2006/relationships/hyperlink" Target="https://drive.google.com/file/d/0B0-pry4DSOm3bkFHbUF2SHFTME0/view?usp=sharing" TargetMode="External"/><Relationship Id="rId47" Type="http://schemas.openxmlformats.org/officeDocument/2006/relationships/hyperlink" Target="https://drive.google.com/file/d/0B0-pry4DSOm3bkFHbUF2SHFTME0/view?usp=sharing" TargetMode="External"/><Relationship Id="rId49" Type="http://schemas.openxmlformats.org/officeDocument/2006/relationships/hyperlink" Target="https://drive.google.com/file/d/0B0-pry4DSOm3bkFHbUF2SHFTME0/view?usp=sharing" TargetMode="External"/><Relationship Id="rId31" Type="http://schemas.openxmlformats.org/officeDocument/2006/relationships/hyperlink" Target="https://drive.google.com/file/d/0B4sJPAkX0Jo3dlM4dXp1UTRPT2c/view?usp=sharing" TargetMode="External"/><Relationship Id="rId30" Type="http://schemas.openxmlformats.org/officeDocument/2006/relationships/hyperlink" Target="https://drive.google.com/file/d/0B4sJPAkX0Jo3dlM4dXp1UTRPT2c/view?usp=sharing" TargetMode="External"/><Relationship Id="rId33" Type="http://schemas.openxmlformats.org/officeDocument/2006/relationships/hyperlink" Target="https://drive.google.com/file/d/0B95WhYooraDebWRkSzRrdlV1cFk/view?usp=sharing" TargetMode="External"/><Relationship Id="rId32" Type="http://schemas.openxmlformats.org/officeDocument/2006/relationships/hyperlink" Target="https://drive.google.com/file/d/0B95WhYooraDebWRkSzRrdlV1cFk/view?usp=sharing" TargetMode="External"/><Relationship Id="rId35" Type="http://schemas.openxmlformats.org/officeDocument/2006/relationships/hyperlink" Target="https://drive.google.com/file/d/0B95WhYooraDebWRkSzRrdlV1cFk/view?usp=sharing" TargetMode="External"/><Relationship Id="rId34" Type="http://schemas.openxmlformats.org/officeDocument/2006/relationships/hyperlink" Target="https://drive.google.com/file/d/0B95WhYooraDebWRkSzRrdlV1cFk/view?usp=sharing" TargetMode="External"/><Relationship Id="rId37" Type="http://schemas.openxmlformats.org/officeDocument/2006/relationships/hyperlink" Target="https://drive.google.com/file/d/0B4sJPAkX0Jo3dGtKOUJRbFZCcHM/view?usp=sharing" TargetMode="External"/><Relationship Id="rId36" Type="http://schemas.openxmlformats.org/officeDocument/2006/relationships/hyperlink" Target="https://drive.google.com/file/d/0B4sJPAkX0Jo3dGtKOUJRbFZCcHM/view?usp=sharing" TargetMode="External"/><Relationship Id="rId39" Type="http://schemas.openxmlformats.org/officeDocument/2006/relationships/hyperlink" Target="https://drive.google.com/file/d/0B4sJPAkX0Jo3dGtKOUJRbFZCcHM/view?usp=sharing" TargetMode="External"/><Relationship Id="rId38" Type="http://schemas.openxmlformats.org/officeDocument/2006/relationships/hyperlink" Target="https://drive.google.com/file/d/0B4sJPAkX0Jo3dGtKOUJRbFZCcHM/view?usp=sharing" TargetMode="External"/><Relationship Id="rId20" Type="http://schemas.openxmlformats.org/officeDocument/2006/relationships/hyperlink" Target="https://drive.google.com/file/d/0B-yoIBO7tf7FSVlvZ0k4TURHV00/view?usp=sharing" TargetMode="External"/><Relationship Id="rId22" Type="http://schemas.openxmlformats.org/officeDocument/2006/relationships/hyperlink" Target="https://drive.google.com/file/d/0B9vYgR7NsKoYWjZFLWoycW5OX0U/view?usp=sharing" TargetMode="External"/><Relationship Id="rId21" Type="http://schemas.openxmlformats.org/officeDocument/2006/relationships/hyperlink" Target="https://drive.google.com/file/d/0B9vYgR7NsKoYWjZFLWoycW5OX0U/view?usp=sharing" TargetMode="External"/><Relationship Id="rId24" Type="http://schemas.openxmlformats.org/officeDocument/2006/relationships/hyperlink" Target="https://drive.google.com/file/d/0B0-pry4DSOm3SHNZVTZKQVY3SGs/view?usp=sharing" TargetMode="External"/><Relationship Id="rId23" Type="http://schemas.openxmlformats.org/officeDocument/2006/relationships/hyperlink" Target="https://drive.google.com/file/d/0B9vYgR7NsKoYWjZFLWoycW5OX0U/view?usp=sharing" TargetMode="External"/><Relationship Id="rId26" Type="http://schemas.openxmlformats.org/officeDocument/2006/relationships/hyperlink" Target="https://drive.google.com/file/d/0B0-pry4DSOm3SHNZVTZKQVY3SGs/view?usp=sharing" TargetMode="External"/><Relationship Id="rId25" Type="http://schemas.openxmlformats.org/officeDocument/2006/relationships/hyperlink" Target="https://drive.google.com/file/d/0B0-pry4DSOm3SHNZVTZKQVY3SGs/view?usp=sharing" TargetMode="External"/><Relationship Id="rId28" Type="http://schemas.openxmlformats.org/officeDocument/2006/relationships/hyperlink" Target="https://drive.google.com/file/d/0B0-pry4DSOm3SHNZVTZKQVY3SGs/view?usp=sharing" TargetMode="External"/><Relationship Id="rId27" Type="http://schemas.openxmlformats.org/officeDocument/2006/relationships/hyperlink" Target="https://drive.google.com/file/d/0B0-pry4DSOm3SHNZVTZKQVY3SGs/view?usp=sharing" TargetMode="External"/><Relationship Id="rId29" Type="http://schemas.openxmlformats.org/officeDocument/2006/relationships/hyperlink" Target="https://drive.google.com/file/d/0B0-pry4DSOm3SHNZVTZKQVY3SGs/view?usp=sharing" TargetMode="External"/><Relationship Id="rId11" Type="http://schemas.openxmlformats.org/officeDocument/2006/relationships/hyperlink" Target="https://drive.google.com/file/d/0B0-pry4DSOm3cXdWQjZPRGRpb1k/view?usp=sharing" TargetMode="External"/><Relationship Id="rId10" Type="http://schemas.openxmlformats.org/officeDocument/2006/relationships/hyperlink" Target="https://drive.google.com/file/d/0B0-pry4DSOm3cjF3NmdiQjFWNkE/view?usp=sharing" TargetMode="External"/><Relationship Id="rId13" Type="http://schemas.openxmlformats.org/officeDocument/2006/relationships/hyperlink" Target="https://drive.google.com/file/d/0B0-pry4DSOm3cXdWQjZPRGRpb1k/view?usp=sharing" TargetMode="External"/><Relationship Id="rId12" Type="http://schemas.openxmlformats.org/officeDocument/2006/relationships/hyperlink" Target="https://drive.google.com/file/d/0B0-pry4DSOm3cXdWQjZPRGRpb1k/view?usp=sharing" TargetMode="External"/><Relationship Id="rId15" Type="http://schemas.openxmlformats.org/officeDocument/2006/relationships/hyperlink" Target="https://drive.google.com/file/d/0B4sJPAkX0Jo3WE9Mdjc0THBVNkU/view?usp=sharing" TargetMode="External"/><Relationship Id="rId14" Type="http://schemas.openxmlformats.org/officeDocument/2006/relationships/hyperlink" Target="https://drive.google.com/file/d/0B4sJPAkX0Jo3WE9Mdjc0THBVNkU/view?usp=sharing" TargetMode="External"/><Relationship Id="rId17" Type="http://schemas.openxmlformats.org/officeDocument/2006/relationships/hyperlink" Target="https://drive.google.com/file/d/0B4sJPAkX0Jo3WE9Mdjc0THBVNkU/view?usp=sharing" TargetMode="External"/><Relationship Id="rId16" Type="http://schemas.openxmlformats.org/officeDocument/2006/relationships/hyperlink" Target="https://drive.google.com/file/d/0B4sJPAkX0Jo3WE9Mdjc0THBVNkU/view?usp=sharing" TargetMode="External"/><Relationship Id="rId19" Type="http://schemas.openxmlformats.org/officeDocument/2006/relationships/hyperlink" Target="https://drive.google.com/file/d/0B0-pry4DSOm3dFhweEtUZEdpTlE/view?usp=sharing" TargetMode="External"/><Relationship Id="rId18" Type="http://schemas.openxmlformats.org/officeDocument/2006/relationships/hyperlink" Target="https://drive.google.com/file/d/0B0-pry4DSOm3dFhweEtUZEdpTlE/view?usp=sharing" TargetMode="External"/><Relationship Id="rId84" Type="http://schemas.openxmlformats.org/officeDocument/2006/relationships/hyperlink" Target="https://drive.google.com/file/d/0B0-pry4DSOm3Y1BuZ0FSakRSQ1E/view?usp=sharing" TargetMode="External"/><Relationship Id="rId83" Type="http://schemas.openxmlformats.org/officeDocument/2006/relationships/hyperlink" Target="https://drive.google.com/file/d/0B9vYgR7NsKoYck1HOGdmSmgtdTg/view?usp=sharing" TargetMode="External"/><Relationship Id="rId86" Type="http://schemas.openxmlformats.org/officeDocument/2006/relationships/hyperlink" Target="https://drive.google.com/file/d/0B0-pry4DSOm3Y1BuZ0FSakRSQ1E/view?usp=sharing" TargetMode="External"/><Relationship Id="rId85" Type="http://schemas.openxmlformats.org/officeDocument/2006/relationships/hyperlink" Target="https://drive.google.com/file/d/0B0-pry4DSOm3Y1BuZ0FSakRSQ1E/view?usp=sharing" TargetMode="External"/><Relationship Id="rId88" Type="http://schemas.openxmlformats.org/officeDocument/2006/relationships/hyperlink" Target="https://drive.google.com/file/d/0B0-pry4DSOm3aTVCaFYzXzNfQWc/view?usp=sharing" TargetMode="External"/><Relationship Id="rId87" Type="http://schemas.openxmlformats.org/officeDocument/2006/relationships/hyperlink" Target="https://drive.google.com/file/d/0B0-pry4DSOm3eXhwdEpWLUlBRk0/view?usp=sharing" TargetMode="External"/><Relationship Id="rId89" Type="http://schemas.openxmlformats.org/officeDocument/2006/relationships/hyperlink" Target="https://drive.google.com/file/d/0B0-pry4DSOm3aTVCaFYzXzNfQWc/view?usp=sharing" TargetMode="External"/><Relationship Id="rId80" Type="http://schemas.openxmlformats.org/officeDocument/2006/relationships/hyperlink" Target="https://drive.google.com/file/d/0B4sJPAkX0Jo3ODU3Wk1YOW9nMnc/view?usp=sharing" TargetMode="External"/><Relationship Id="rId82" Type="http://schemas.openxmlformats.org/officeDocument/2006/relationships/hyperlink" Target="https://drive.google.com/file/d/0B9vYgR7NsKoYck1HOGdmSmgtdTg/view?usp=sharing" TargetMode="External"/><Relationship Id="rId81" Type="http://schemas.openxmlformats.org/officeDocument/2006/relationships/hyperlink" Target="https://drive.google.com/file/d/0B-yoIBO7tf7FLXNjbjVaa0NyeVU/view?usp=sharing" TargetMode="External"/><Relationship Id="rId73" Type="http://schemas.openxmlformats.org/officeDocument/2006/relationships/hyperlink" Target="https://drive.google.com/file/d/0B-yoIBO7tf7FN0xPa1Z6cmMtTTQ/view?usp=sharing" TargetMode="External"/><Relationship Id="rId72" Type="http://schemas.openxmlformats.org/officeDocument/2006/relationships/hyperlink" Target="https://drive.google.com/open?id=0B95WhYooraDeejhMN0paNXZneHc" TargetMode="External"/><Relationship Id="rId75" Type="http://schemas.openxmlformats.org/officeDocument/2006/relationships/hyperlink" Target="https://drive.google.com/file/d/0By3QPyQz621GU0V1Q3pwb09WZ28/view?usp=sharing" TargetMode="External"/><Relationship Id="rId74" Type="http://schemas.openxmlformats.org/officeDocument/2006/relationships/hyperlink" Target="https://drive.google.com/file/d/0B-yoIBO7tf7FN0xPa1Z6cmMtTTQ/view?usp=sharing" TargetMode="External"/><Relationship Id="rId77" Type="http://schemas.openxmlformats.org/officeDocument/2006/relationships/hyperlink" Target="https://drive.google.com/file/d/0By3QPyQz621GU0V1Q3pwb09WZ28/view?usp=sharing" TargetMode="External"/><Relationship Id="rId76" Type="http://schemas.openxmlformats.org/officeDocument/2006/relationships/hyperlink" Target="https://drive.google.com/file/d/0By3QPyQz621GU0V1Q3pwb09WZ28/view?usp=sharing" TargetMode="External"/><Relationship Id="rId79" Type="http://schemas.openxmlformats.org/officeDocument/2006/relationships/hyperlink" Target="https://drive.google.com/file/d/0By3QPyQz621GU0V1Q3pwb09WZ28/view?usp=sharing" TargetMode="External"/><Relationship Id="rId78" Type="http://schemas.openxmlformats.org/officeDocument/2006/relationships/hyperlink" Target="https://drive.google.com/file/d/0By3QPyQz621GU0V1Q3pwb09WZ28/view?usp=sharing" TargetMode="External"/><Relationship Id="rId71" Type="http://schemas.openxmlformats.org/officeDocument/2006/relationships/hyperlink" Target="https://drive.google.com/open?id=0B95WhYooraDeejhMN0paNXZneHc" TargetMode="External"/><Relationship Id="rId70" Type="http://schemas.openxmlformats.org/officeDocument/2006/relationships/hyperlink" Target="https://drive.google.com/open?id=0B95WhYooraDeejhMN0paNXZneHc" TargetMode="External"/><Relationship Id="rId62" Type="http://schemas.openxmlformats.org/officeDocument/2006/relationships/hyperlink" Target="https://drive.google.com/file/d/0B9vYgR7NsKoYdWFaYzMweGxhSG8/view?usp=sharing" TargetMode="External"/><Relationship Id="rId61" Type="http://schemas.openxmlformats.org/officeDocument/2006/relationships/hyperlink" Target="https://drive.google.com/file/d/0B9vYgR7NsKoYdWFaYzMweGxhSG8/view?usp=sharing" TargetMode="External"/><Relationship Id="rId64" Type="http://schemas.openxmlformats.org/officeDocument/2006/relationships/hyperlink" Target="https://drive.google.com/file/d/0B4sJPAkX0Jo3R0hyRzBTTUVjMjQ/view?usp=sharing" TargetMode="External"/><Relationship Id="rId63" Type="http://schemas.openxmlformats.org/officeDocument/2006/relationships/hyperlink" Target="https://drive.google.com/file/d/0B4sJPAkX0Jo3R0hyRzBTTUVjMjQ/view?usp=sharing" TargetMode="External"/><Relationship Id="rId66" Type="http://schemas.openxmlformats.org/officeDocument/2006/relationships/hyperlink" Target="https://drive.google.com/file/d/0B4sJPAkX0Jo3R0hyRzBTTUVjMjQ/view?usp=sharing" TargetMode="External"/><Relationship Id="rId65" Type="http://schemas.openxmlformats.org/officeDocument/2006/relationships/hyperlink" Target="https://drive.google.com/file/d/0B4sJPAkX0Jo3R0hyRzBTTUVjMjQ/view?usp=sharing" TargetMode="External"/><Relationship Id="rId68" Type="http://schemas.openxmlformats.org/officeDocument/2006/relationships/hyperlink" Target="https://drive.google.com/file/d/0B4sJPAkX0Jo3R0hyRzBTTUVjMjQ/view?usp=sharing" TargetMode="External"/><Relationship Id="rId67" Type="http://schemas.openxmlformats.org/officeDocument/2006/relationships/hyperlink" Target="https://drive.google.com/file/d/0B4sJPAkX0Jo3R0hyRzBTTUVjMjQ/view?usp=sharing" TargetMode="External"/><Relationship Id="rId60" Type="http://schemas.openxmlformats.org/officeDocument/2006/relationships/hyperlink" Target="https://drive.google.com/file/d/0B95WhYooraDeSHh2b2VXSlUxdzQ/view?usp=sharing" TargetMode="External"/><Relationship Id="rId69" Type="http://schemas.openxmlformats.org/officeDocument/2006/relationships/hyperlink" Target="https://drive.google.com/file/d/0B4sJPAkX0Jo3R0hyRzBTTUVjMjQ/view?usp=sharing" TargetMode="External"/><Relationship Id="rId51" Type="http://schemas.openxmlformats.org/officeDocument/2006/relationships/hyperlink" Target="https://drive.google.com/file/d/0B4sJPAkX0Jo3QWh4Nl9JSGRMVEk/view?usp=sharing" TargetMode="External"/><Relationship Id="rId50" Type="http://schemas.openxmlformats.org/officeDocument/2006/relationships/hyperlink" Target="https://drive.google.com/file/d/0B4sJPAkX0Jo3QWh4Nl9JSGRMVEk/view?usp=sharing" TargetMode="External"/><Relationship Id="rId53" Type="http://schemas.openxmlformats.org/officeDocument/2006/relationships/hyperlink" Target="https://drive.google.com/file/d/0B0-pry4DSOm3czVrYS0xRmJZakE/view?usp=sharing" TargetMode="External"/><Relationship Id="rId52" Type="http://schemas.openxmlformats.org/officeDocument/2006/relationships/hyperlink" Target="https://drive.google.com/file/d/0B0-pry4DSOm3czVrYS0xRmJZakE/view?usp=sharing" TargetMode="External"/><Relationship Id="rId55" Type="http://schemas.openxmlformats.org/officeDocument/2006/relationships/hyperlink" Target="https://drive.google.com/file/d/0B0-pry4DSOm3by04M2NKTm9sd1E/view?usp=sharing" TargetMode="External"/><Relationship Id="rId54" Type="http://schemas.openxmlformats.org/officeDocument/2006/relationships/hyperlink" Target="https://drive.google.com/file/d/0B0-pry4DSOm3by04M2NKTm9sd1E/view?usp=sharing" TargetMode="External"/><Relationship Id="rId57" Type="http://schemas.openxmlformats.org/officeDocument/2006/relationships/hyperlink" Target="https://drive.google.com/file/d/0B0-pry4DSOm3by04M2NKTm9sd1E/view?usp=sharing" TargetMode="External"/><Relationship Id="rId56" Type="http://schemas.openxmlformats.org/officeDocument/2006/relationships/hyperlink" Target="https://drive.google.com/file/d/0B0-pry4DSOm3by04M2NKTm9sd1E/view?usp=sharing" TargetMode="External"/><Relationship Id="rId59" Type="http://schemas.openxmlformats.org/officeDocument/2006/relationships/hyperlink" Target="https://drive.google.com/file/d/0B-yoIBO7tf7FLXNjbjVaa0NyeVU/view?usp=sharing" TargetMode="External"/><Relationship Id="rId58" Type="http://schemas.openxmlformats.org/officeDocument/2006/relationships/hyperlink" Target="https://drive.google.com/file/d/0B-yoIBO7tf7FLXNjbjVaa0NyeVU/view?usp=sharing" TargetMode="External"/><Relationship Id="rId107" Type="http://schemas.openxmlformats.org/officeDocument/2006/relationships/hyperlink" Target="https://drive.google.com/file/d/0B0-pry4DSOm3dVozeDVHZU92N2M/view?usp=sharing" TargetMode="External"/><Relationship Id="rId228" Type="http://schemas.openxmlformats.org/officeDocument/2006/relationships/hyperlink" Target="https://drive.google.com/file/d/0B0qKRmtVkPtWYzdXTi1SY0EtZHM/view?usp=sharing" TargetMode="External"/><Relationship Id="rId106" Type="http://schemas.openxmlformats.org/officeDocument/2006/relationships/hyperlink" Target="https://drive.google.com/file/d/0B0-pry4DSOm3dVozeDVHZU92N2M/view?usp=sharing" TargetMode="External"/><Relationship Id="rId227" Type="http://schemas.openxmlformats.org/officeDocument/2006/relationships/hyperlink" Target="http://dx.doi.org/10.1016/0035-9203(91)90375-13" TargetMode="External"/><Relationship Id="rId105" Type="http://schemas.openxmlformats.org/officeDocument/2006/relationships/hyperlink" Target="https://drive.google.com/file/d/0B9vYgR7NsKoYUC1NeHdLZlh6Y2s/view?usp=sharing" TargetMode="External"/><Relationship Id="rId226" Type="http://schemas.openxmlformats.org/officeDocument/2006/relationships/hyperlink" Target="https://drive.google.com/file/d/0B0qKRmtVkPtWYzdXTi1SY0EtZHM/view?usp=sharing" TargetMode="External"/><Relationship Id="rId104" Type="http://schemas.openxmlformats.org/officeDocument/2006/relationships/hyperlink" Target="https://drive.google.com/file/d/0B9vYgR7NsKoYVzA4c3BDaTlkT3M/view?usp=sharing" TargetMode="External"/><Relationship Id="rId225" Type="http://schemas.openxmlformats.org/officeDocument/2006/relationships/hyperlink" Target="http://dx.doi.org/10.1016/0035-9203(91)90375-12" TargetMode="External"/><Relationship Id="rId109" Type="http://schemas.openxmlformats.org/officeDocument/2006/relationships/hyperlink" Target="https://drive.google.com/file/d/0B9vYgR7NsKoYNFR2bkRZUDFQSUk/view?usp=sharing" TargetMode="External"/><Relationship Id="rId108" Type="http://schemas.openxmlformats.org/officeDocument/2006/relationships/hyperlink" Target="https://drive.google.com/file/d/0B0-pry4DSOm3dVozeDVHZU92N2M/view?usp=sharing" TargetMode="External"/><Relationship Id="rId229" Type="http://schemas.openxmlformats.org/officeDocument/2006/relationships/hyperlink" Target="http://dx.doi.org/10.1016/0035-9203(91)90375-14" TargetMode="External"/><Relationship Id="rId220" Type="http://schemas.openxmlformats.org/officeDocument/2006/relationships/hyperlink" Target="https://drive.google.com/file/d/0B0qKRmtVkPtWYzdXTi1SY0EtZHM/view?usp=sharing" TargetMode="External"/><Relationship Id="rId103" Type="http://schemas.openxmlformats.org/officeDocument/2006/relationships/hyperlink" Target="https://drive.google.com/file/d/0B9vYgR7NsKoYUC1NeHdLZlh6Y2s/view?usp=sharing" TargetMode="External"/><Relationship Id="rId224" Type="http://schemas.openxmlformats.org/officeDocument/2006/relationships/hyperlink" Target="https://drive.google.com/file/d/0B0qKRmtVkPtWYzdXTi1SY0EtZHM/view?usp=sharing" TargetMode="External"/><Relationship Id="rId102" Type="http://schemas.openxmlformats.org/officeDocument/2006/relationships/hyperlink" Target="https://drive.google.com/file/d/0B9vYgR7NsKoYUC1NeHdLZlh6Y2s/view?usp=sharing" TargetMode="External"/><Relationship Id="rId223" Type="http://schemas.openxmlformats.org/officeDocument/2006/relationships/hyperlink" Target="http://dx.doi.org/10.1016/0035-9203(91)90375-11" TargetMode="External"/><Relationship Id="rId101" Type="http://schemas.openxmlformats.org/officeDocument/2006/relationships/hyperlink" Target="https://drive.google.com/file/d/0B9vYgR7NsKoYUC1NeHdLZlh6Y2s/view?usp=sharing" TargetMode="External"/><Relationship Id="rId222" Type="http://schemas.openxmlformats.org/officeDocument/2006/relationships/hyperlink" Target="https://drive.google.com/file/d/0B0qKRmtVkPtWYzdXTi1SY0EtZHM/view?usp=sharing" TargetMode="External"/><Relationship Id="rId100" Type="http://schemas.openxmlformats.org/officeDocument/2006/relationships/hyperlink" Target="https://drive.google.com/file/d/0B0-pry4DSOm3d2UxcUlnUTZkemc/view?usp=sharing" TargetMode="External"/><Relationship Id="rId221" Type="http://schemas.openxmlformats.org/officeDocument/2006/relationships/hyperlink" Target="http://dx.doi.org/10.1016/0035-9203(91)90375-10" TargetMode="External"/><Relationship Id="rId217" Type="http://schemas.openxmlformats.org/officeDocument/2006/relationships/hyperlink" Target="http://dx.doi.org/10.1080/00034983.1992.11812693" TargetMode="External"/><Relationship Id="rId216" Type="http://schemas.openxmlformats.org/officeDocument/2006/relationships/hyperlink" Target="https://drive.google.com/file/d/0B0qKRmtVkPtWQnp0NEcxbWdfQ3c/view?usp=sharing" TargetMode="External"/><Relationship Id="rId337" Type="http://schemas.openxmlformats.org/officeDocument/2006/relationships/drawing" Target="../drawings/drawing11.xml"/><Relationship Id="rId215" Type="http://schemas.openxmlformats.org/officeDocument/2006/relationships/hyperlink" Target="http://dx.doi.org/10.1080/00034983.1992.11812692" TargetMode="External"/><Relationship Id="rId336" Type="http://schemas.openxmlformats.org/officeDocument/2006/relationships/hyperlink" Target="https://drive.google.com/file/d/0B0-pry4DSOm3UktBNksxalJidk0/view?usp=sharing" TargetMode="External"/><Relationship Id="rId214" Type="http://schemas.openxmlformats.org/officeDocument/2006/relationships/hyperlink" Target="https://drive.google.com/file/d/0B0qKRmtVkPtWQnp0NEcxbWdfQ3c/view?usp=sharing" TargetMode="External"/><Relationship Id="rId335" Type="http://schemas.openxmlformats.org/officeDocument/2006/relationships/hyperlink" Target="https://drive.google.com/file/d/0B0-pry4DSOm3UktBNksxalJidk0/view?usp=sharing" TargetMode="External"/><Relationship Id="rId219" Type="http://schemas.openxmlformats.org/officeDocument/2006/relationships/hyperlink" Target="http://dx.doi.org/10.1016/0035-9203(91)90375-9" TargetMode="External"/><Relationship Id="rId218" Type="http://schemas.openxmlformats.org/officeDocument/2006/relationships/hyperlink" Target="https://drive.google.com/file/d/0B0qKRmtVkPtWQnp0NEcxbWdfQ3c/view?usp=sharing" TargetMode="External"/><Relationship Id="rId330" Type="http://schemas.openxmlformats.org/officeDocument/2006/relationships/hyperlink" Target="https://drive.google.com/file/d/0B4sJPAkX0Jo3VEhYbXRMSEwwTG8/view?usp=sharing" TargetMode="External"/><Relationship Id="rId213" Type="http://schemas.openxmlformats.org/officeDocument/2006/relationships/hyperlink" Target="http://dx.doi.org/10.1080/00034983.1992.11812691" TargetMode="External"/><Relationship Id="rId334" Type="http://schemas.openxmlformats.org/officeDocument/2006/relationships/hyperlink" Target="https://drive.google.com/file/d/0By3QPyQz621GV2pGZUNia0FseTA/view?usp=sharing" TargetMode="External"/><Relationship Id="rId212" Type="http://schemas.openxmlformats.org/officeDocument/2006/relationships/hyperlink" Target="https://drive.google.com/file/d/0B0qKRmtVkPtWQnp0NEcxbWdfQ3c/view?usp=sharing" TargetMode="External"/><Relationship Id="rId333" Type="http://schemas.openxmlformats.org/officeDocument/2006/relationships/hyperlink" Target="https://drive.google.com/file/d/0B0-pry4DSOm3OW8zb20tbzJmams/view?usp=sharing" TargetMode="External"/><Relationship Id="rId211" Type="http://schemas.openxmlformats.org/officeDocument/2006/relationships/hyperlink" Target="http://dx.doi.org/10.1080/00034983.1992.11812690" TargetMode="External"/><Relationship Id="rId332" Type="http://schemas.openxmlformats.org/officeDocument/2006/relationships/hyperlink" Target="https://drive.google.com/file/d/0B4sJPAkX0Jo3VEhYbXRMSEwwTG8/view?usp=sharing" TargetMode="External"/><Relationship Id="rId210" Type="http://schemas.openxmlformats.org/officeDocument/2006/relationships/hyperlink" Target="https://drive.google.com/file/d/0B0qKRmtVkPtWQnp0NEcxbWdfQ3c/view?usp=sharing" TargetMode="External"/><Relationship Id="rId331" Type="http://schemas.openxmlformats.org/officeDocument/2006/relationships/hyperlink" Target="https://drive.google.com/file/d/0B4sJPAkX0Jo3VEhYbXRMSEwwTG8/view?usp=sharing" TargetMode="External"/><Relationship Id="rId129" Type="http://schemas.openxmlformats.org/officeDocument/2006/relationships/hyperlink" Target="https://drive.google.com/file/d/0B0-pry4DSOm3SFE5OWVEQTJjMG8/view?usp=sharing" TargetMode="External"/><Relationship Id="rId128" Type="http://schemas.openxmlformats.org/officeDocument/2006/relationships/hyperlink" Target="https://drive.google.com/file/d/0B0-pry4DSOm3SFE5OWVEQTJjMG8/view?usp=sharing" TargetMode="External"/><Relationship Id="rId249" Type="http://schemas.openxmlformats.org/officeDocument/2006/relationships/hyperlink" Target="http://dx.doi.org/10.1016/0035-9203(92)90312-Z" TargetMode="External"/><Relationship Id="rId127" Type="http://schemas.openxmlformats.org/officeDocument/2006/relationships/hyperlink" Target="https://drive.google.com/file/d/0B0-pry4DSOm3SFE5OWVEQTJjMG8/view?usp=sharing" TargetMode="External"/><Relationship Id="rId248" Type="http://schemas.openxmlformats.org/officeDocument/2006/relationships/hyperlink" Target="https://drive.google.com/file/d/0B0qKRmtVkPtWYzdXTi1SY0EtZHM/view?usp=sharing" TargetMode="External"/><Relationship Id="rId126" Type="http://schemas.openxmlformats.org/officeDocument/2006/relationships/hyperlink" Target="https://drive.google.com/file/d/0B0-pry4DSOm3ekRQdXRGdTItbkU/view?usp=sharing" TargetMode="External"/><Relationship Id="rId247" Type="http://schemas.openxmlformats.org/officeDocument/2006/relationships/hyperlink" Target="http://dx.doi.org/10.1016/0035-9203(91)90375-23" TargetMode="External"/><Relationship Id="rId121" Type="http://schemas.openxmlformats.org/officeDocument/2006/relationships/hyperlink" Target="https://drive.google.com/file/d/0B4sJPAkX0Jo3aUlhSlBQMmNxRzQ/view?usp=sharing" TargetMode="External"/><Relationship Id="rId242" Type="http://schemas.openxmlformats.org/officeDocument/2006/relationships/hyperlink" Target="https://drive.google.com/file/d/0B0qKRmtVkPtWYzdXTi1SY0EtZHM/view?usp=sharing" TargetMode="External"/><Relationship Id="rId120" Type="http://schemas.openxmlformats.org/officeDocument/2006/relationships/hyperlink" Target="https://drive.google.com/file/d/0B4sJPAkX0Jo3aUlhSlBQMmNxRzQ/view?usp=sharing" TargetMode="External"/><Relationship Id="rId241" Type="http://schemas.openxmlformats.org/officeDocument/2006/relationships/hyperlink" Target="http://dx.doi.org/10.1016/0035-9203(91)90375-20" TargetMode="External"/><Relationship Id="rId240" Type="http://schemas.openxmlformats.org/officeDocument/2006/relationships/hyperlink" Target="https://drive.google.com/file/d/0B0qKRmtVkPtWYzdXTi1SY0EtZHM/view?usp=sharing" TargetMode="External"/><Relationship Id="rId125" Type="http://schemas.openxmlformats.org/officeDocument/2006/relationships/hyperlink" Target="https://drive.google.com/file/d/0B0-pry4DSOm3ekRQdXRGdTItbkU/view?usp=sharing" TargetMode="External"/><Relationship Id="rId246" Type="http://schemas.openxmlformats.org/officeDocument/2006/relationships/hyperlink" Target="https://drive.google.com/file/d/0B0qKRmtVkPtWYzdXTi1SY0EtZHM/view?usp=sharing" TargetMode="External"/><Relationship Id="rId124" Type="http://schemas.openxmlformats.org/officeDocument/2006/relationships/hyperlink" Target="https://drive.google.com/file/d/0B9vYgR7NsKoYZVNmZmNDbjlTV3M/view?usp=sharing" TargetMode="External"/><Relationship Id="rId245" Type="http://schemas.openxmlformats.org/officeDocument/2006/relationships/hyperlink" Target="http://dx.doi.org/10.1016/0035-9203(91)90375-22" TargetMode="External"/><Relationship Id="rId123" Type="http://schemas.openxmlformats.org/officeDocument/2006/relationships/hyperlink" Target="https://drive.google.com/file/d/0B95WhYooraDecERrQVNGd1BNOVk/view?usp=sharing" TargetMode="External"/><Relationship Id="rId244" Type="http://schemas.openxmlformats.org/officeDocument/2006/relationships/hyperlink" Target="https://drive.google.com/file/d/0B0qKRmtVkPtWYzdXTi1SY0EtZHM/view?usp=sharing" TargetMode="External"/><Relationship Id="rId122" Type="http://schemas.openxmlformats.org/officeDocument/2006/relationships/hyperlink" Target="https://drive.google.com/file/d/0B4sJPAkX0Jo3aUlhSlBQMmNxRzQ/view?usp=sharing" TargetMode="External"/><Relationship Id="rId243" Type="http://schemas.openxmlformats.org/officeDocument/2006/relationships/hyperlink" Target="http://dx.doi.org/10.1016/0035-9203(91)90375-21" TargetMode="External"/><Relationship Id="rId95" Type="http://schemas.openxmlformats.org/officeDocument/2006/relationships/hyperlink" Target="https://drive.google.com/file/d/0B0-pry4DSOm3d2UxcUlnUTZkemc/view?usp=sharing" TargetMode="External"/><Relationship Id="rId94" Type="http://schemas.openxmlformats.org/officeDocument/2006/relationships/hyperlink" Target="https://drive.google.com/file/d/0B0-pry4DSOm3d2UxcUlnUTZkemc/view?usp=sharing" TargetMode="External"/><Relationship Id="rId97" Type="http://schemas.openxmlformats.org/officeDocument/2006/relationships/hyperlink" Target="https://drive.google.com/file/d/0By3QPyQz621GZXFGU2JFTENYZ2s/view?usp=sharing" TargetMode="External"/><Relationship Id="rId96" Type="http://schemas.openxmlformats.org/officeDocument/2006/relationships/hyperlink" Target="https://drive.google.com/file/d/0B4sJPAkX0Jo3ODU3Wk1YOW9nMnc/view?usp=sharing" TargetMode="External"/><Relationship Id="rId99" Type="http://schemas.openxmlformats.org/officeDocument/2006/relationships/hyperlink" Target="https://drive.google.com/file/d/0By3QPyQz621GZXFGU2JFTENYZ2s/view?usp=sharing" TargetMode="External"/><Relationship Id="rId98" Type="http://schemas.openxmlformats.org/officeDocument/2006/relationships/hyperlink" Target="https://drive.google.com/file/d/0By3QPyQz621GZXFGU2JFTENYZ2s/view?usp=sharing" TargetMode="External"/><Relationship Id="rId91" Type="http://schemas.openxmlformats.org/officeDocument/2006/relationships/hyperlink" Target="https://drive.google.com/open?id=0B-yoIBO7tf7FbE1XMXZCcmtDTmM" TargetMode="External"/><Relationship Id="rId90" Type="http://schemas.openxmlformats.org/officeDocument/2006/relationships/hyperlink" Target="https://drive.google.com/file/d/0B0-pry4DSOm3aTVCaFYzXzNfQWc/view?usp=sharing" TargetMode="External"/><Relationship Id="rId93" Type="http://schemas.openxmlformats.org/officeDocument/2006/relationships/hyperlink" Target="https://drive.google.com/open?id=0B-yoIBO7tf7FbE1XMXZCcmtDTmM" TargetMode="External"/><Relationship Id="rId92" Type="http://schemas.openxmlformats.org/officeDocument/2006/relationships/hyperlink" Target="https://drive.google.com/open?id=0B-yoIBO7tf7FbE1XMXZCcmtDTmM" TargetMode="External"/><Relationship Id="rId118" Type="http://schemas.openxmlformats.org/officeDocument/2006/relationships/hyperlink" Target="https://drive.google.com/file/d/0B4sJPAkX0Jo3TDVudWRoS1VKU2c/view?usp=sharing" TargetMode="External"/><Relationship Id="rId239" Type="http://schemas.openxmlformats.org/officeDocument/2006/relationships/hyperlink" Target="http://dx.doi.org/10.1016/0035-9203(91)90375-19" TargetMode="External"/><Relationship Id="rId117" Type="http://schemas.openxmlformats.org/officeDocument/2006/relationships/hyperlink" Target="https://drive.google.com/file/d/0B-yoIBO7tf7FbE1XMXZCcmtDTmM/view?usp=sharing" TargetMode="External"/><Relationship Id="rId238" Type="http://schemas.openxmlformats.org/officeDocument/2006/relationships/hyperlink" Target="https://drive.google.com/file/d/0B0qKRmtVkPtWYzdXTi1SY0EtZHM/view?usp=sharing" TargetMode="External"/><Relationship Id="rId116" Type="http://schemas.openxmlformats.org/officeDocument/2006/relationships/hyperlink" Target="https://drive.google.com/file/d/0B-yoIBO7tf7FbE1XMXZCcmtDTmM/view?usp=sharing" TargetMode="External"/><Relationship Id="rId237" Type="http://schemas.openxmlformats.org/officeDocument/2006/relationships/hyperlink" Target="http://dx.doi.org/10.1016/0035-9203(91)90375-18" TargetMode="External"/><Relationship Id="rId115" Type="http://schemas.openxmlformats.org/officeDocument/2006/relationships/hyperlink" Target="https://drive.google.com/file/d/0B4sJPAkX0Jo3aENXNnUtX1dCSG8/view?usp=sharing" TargetMode="External"/><Relationship Id="rId236" Type="http://schemas.openxmlformats.org/officeDocument/2006/relationships/hyperlink" Target="https://drive.google.com/file/d/0B0qKRmtVkPtWYzdXTi1SY0EtZHM/view?usp=sharing" TargetMode="External"/><Relationship Id="rId119" Type="http://schemas.openxmlformats.org/officeDocument/2006/relationships/hyperlink" Target="https://drive.google.com/file/d/0B4sJPAkX0Jo3TDVudWRoS1VKU2c/view?usp=sharing" TargetMode="External"/><Relationship Id="rId110" Type="http://schemas.openxmlformats.org/officeDocument/2006/relationships/hyperlink" Target="https://drive.google.com/file/d/0B9vYgR7NsKoYNFR2bkRZUDFQSUk/view?usp=sharing" TargetMode="External"/><Relationship Id="rId231" Type="http://schemas.openxmlformats.org/officeDocument/2006/relationships/hyperlink" Target="http://dx.doi.org/10.1016/0035-9203(91)90375-15" TargetMode="External"/><Relationship Id="rId230" Type="http://schemas.openxmlformats.org/officeDocument/2006/relationships/hyperlink" Target="https://drive.google.com/file/d/0B0qKRmtVkPtWYzdXTi1SY0EtZHM/view?usp=sharing" TargetMode="External"/><Relationship Id="rId114" Type="http://schemas.openxmlformats.org/officeDocument/2006/relationships/hyperlink" Target="https://drive.google.com/file/d/0B4sJPAkX0Jo3aENXNnUtX1dCSG8/view?usp=sharing" TargetMode="External"/><Relationship Id="rId235" Type="http://schemas.openxmlformats.org/officeDocument/2006/relationships/hyperlink" Target="http://dx.doi.org/10.1016/0035-9203(91)90375-17" TargetMode="External"/><Relationship Id="rId113" Type="http://schemas.openxmlformats.org/officeDocument/2006/relationships/hyperlink" Target="https://drive.google.com/file/d/0B9vYgR7NsKoYMGROVVhld2kzNkU/view?usp=sharing" TargetMode="External"/><Relationship Id="rId234" Type="http://schemas.openxmlformats.org/officeDocument/2006/relationships/hyperlink" Target="https://drive.google.com/file/d/0B0qKRmtVkPtWYzdXTi1SY0EtZHM/view?usp=sharing" TargetMode="External"/><Relationship Id="rId112" Type="http://schemas.openxmlformats.org/officeDocument/2006/relationships/hyperlink" Target="https://drive.google.com/file/d/0B95WhYooraDeS0F0OUwtWlFnR2M/view?usp=sharing" TargetMode="External"/><Relationship Id="rId233" Type="http://schemas.openxmlformats.org/officeDocument/2006/relationships/hyperlink" Target="http://dx.doi.org/10.1016/0035-9203(91)90375-16" TargetMode="External"/><Relationship Id="rId111" Type="http://schemas.openxmlformats.org/officeDocument/2006/relationships/hyperlink" Target="https://drive.google.com/file/d/0B9vYgR7NsKoYNFR2bkRZUDFQSUk/view?usp=sharing" TargetMode="External"/><Relationship Id="rId232" Type="http://schemas.openxmlformats.org/officeDocument/2006/relationships/hyperlink" Target="https://drive.google.com/file/d/0B0qKRmtVkPtWYzdXTi1SY0EtZHM/view?usp=sharing" TargetMode="External"/><Relationship Id="rId305" Type="http://schemas.openxmlformats.org/officeDocument/2006/relationships/hyperlink" Target="https://drive.google.com/file/d/0B9vYgR7NsKoYNURQU3lKMFBSU1U/view?usp=sharing" TargetMode="External"/><Relationship Id="rId304" Type="http://schemas.openxmlformats.org/officeDocument/2006/relationships/hyperlink" Target="https://drive.google.com/file/d/0B9vYgR7NsKoYcHNnaUpUZDM3Uzg/view?usp=sharing" TargetMode="External"/><Relationship Id="rId303" Type="http://schemas.openxmlformats.org/officeDocument/2006/relationships/hyperlink" Target="https://drive.google.com/file/d/0B9vYgR7NsKoYcHNnaUpUZDM3Uzg/view?usp=sharing" TargetMode="External"/><Relationship Id="rId302" Type="http://schemas.openxmlformats.org/officeDocument/2006/relationships/hyperlink" Target="https://drive.google.com/file/d/0B95WhYooraDecERrQVNGd1BNOVk/view?usp=sharing" TargetMode="External"/><Relationship Id="rId309" Type="http://schemas.openxmlformats.org/officeDocument/2006/relationships/hyperlink" Target="https://drive.google.com/file/d/0B4sJPAkX0Jo3REg5aXNxcUlGb3c/view?usp=sharing" TargetMode="External"/><Relationship Id="rId308" Type="http://schemas.openxmlformats.org/officeDocument/2006/relationships/hyperlink" Target="https://drive.google.com/file/d/0B4sJPAkX0Jo3REg5aXNxcUlGb3c/view?usp=sharing" TargetMode="External"/><Relationship Id="rId307" Type="http://schemas.openxmlformats.org/officeDocument/2006/relationships/hyperlink" Target="https://drive.google.com/file/d/0B0-pry4DSOm3NFJPRU4xMzUyX0k/view?usp=sharing" TargetMode="External"/><Relationship Id="rId306" Type="http://schemas.openxmlformats.org/officeDocument/2006/relationships/hyperlink" Target="https://drive.google.com/file/d/0B9vYgR7NsKoYNURQU3lKMFBSU1U/view?usp=sharing" TargetMode="External"/><Relationship Id="rId301" Type="http://schemas.openxmlformats.org/officeDocument/2006/relationships/hyperlink" Target="https://drive.google.com/open?id=0B6i9R3fSJzbMMUptNjdPSVdwTTQ" TargetMode="External"/><Relationship Id="rId300" Type="http://schemas.openxmlformats.org/officeDocument/2006/relationships/hyperlink" Target="https://drive.google.com/file/d/0By3QPyQz621GRDRGVG5yOVBsUlk/view?usp=sharing" TargetMode="External"/><Relationship Id="rId206" Type="http://schemas.openxmlformats.org/officeDocument/2006/relationships/hyperlink" Target="https://drive.google.com/file/d/0B0qKRmtVkPtWQnp0NEcxbWdfQ3c/view?usp=sharing" TargetMode="External"/><Relationship Id="rId327" Type="http://schemas.openxmlformats.org/officeDocument/2006/relationships/hyperlink" Target="https://drive.google.com/file/d/0B0-pry4DSOm3MERBWXlzX1hOVlE/view?usp=sharing" TargetMode="External"/><Relationship Id="rId205" Type="http://schemas.openxmlformats.org/officeDocument/2006/relationships/hyperlink" Target="http://dx.doi.org/10.1080/00034983.1992.11812687" TargetMode="External"/><Relationship Id="rId326" Type="http://schemas.openxmlformats.org/officeDocument/2006/relationships/hyperlink" Target="https://drive.google.com/file/d/0B0-pry4DSOm3MERBWXlzX1hOVlE/view?usp=sharing" TargetMode="External"/><Relationship Id="rId204" Type="http://schemas.openxmlformats.org/officeDocument/2006/relationships/hyperlink" Target="https://drive.google.com/file/d/0B0qKRmtVkPtWQnp0NEcxbWdfQ3c/view?usp=sharing" TargetMode="External"/><Relationship Id="rId325" Type="http://schemas.openxmlformats.org/officeDocument/2006/relationships/hyperlink" Target="https://drive.google.com/file/d/0B0-pry4DSOm3MERBWXlzX1hOVlE/view?usp=sharing" TargetMode="External"/><Relationship Id="rId203" Type="http://schemas.openxmlformats.org/officeDocument/2006/relationships/hyperlink" Target="http://dx.doi.org/10.1080/00034983.1992.11812686" TargetMode="External"/><Relationship Id="rId324" Type="http://schemas.openxmlformats.org/officeDocument/2006/relationships/hyperlink" Target="https://drive.google.com/file/d/0B0-pry4DSOm3MERBWXlzX1hOVlE/view?usp=sharing" TargetMode="External"/><Relationship Id="rId209" Type="http://schemas.openxmlformats.org/officeDocument/2006/relationships/hyperlink" Target="http://dx.doi.org/10.1080/00034983.1992.11812689" TargetMode="External"/><Relationship Id="rId208" Type="http://schemas.openxmlformats.org/officeDocument/2006/relationships/hyperlink" Target="https://drive.google.com/file/d/0B0qKRmtVkPtWQnp0NEcxbWdfQ3c/view?usp=sharing" TargetMode="External"/><Relationship Id="rId329" Type="http://schemas.openxmlformats.org/officeDocument/2006/relationships/hyperlink" Target="https://drive.google.com/file/d/0B9vYgR7NsKoYNFhhbW9lVkNBeTQ/view?usp=sharing" TargetMode="External"/><Relationship Id="rId207" Type="http://schemas.openxmlformats.org/officeDocument/2006/relationships/hyperlink" Target="http://dx.doi.org/10.1080/00034983.1992.11812688" TargetMode="External"/><Relationship Id="rId328" Type="http://schemas.openxmlformats.org/officeDocument/2006/relationships/hyperlink" Target="https://drive.google.com/file/d/0B0-pry4DSOm3c21aSGRUOUp4MTA/view?usp=sharing" TargetMode="External"/><Relationship Id="rId202" Type="http://schemas.openxmlformats.org/officeDocument/2006/relationships/hyperlink" Target="https://drive.google.com/file/d/0B0qKRmtVkPtWQnp0NEcxbWdfQ3c/view?usp=sharing" TargetMode="External"/><Relationship Id="rId323" Type="http://schemas.openxmlformats.org/officeDocument/2006/relationships/hyperlink" Target="https://drive.google.com/file/d/0B9vYgR7NsKoYdy1acU1pbExlcTQ/view?usp=sharing" TargetMode="External"/><Relationship Id="rId201" Type="http://schemas.openxmlformats.org/officeDocument/2006/relationships/hyperlink" Target="http://dx.doi.org/10.1080/00034983.1992.11812685" TargetMode="External"/><Relationship Id="rId322" Type="http://schemas.openxmlformats.org/officeDocument/2006/relationships/hyperlink" Target="https://drive.google.com/file/d/0B9vYgR7NsKoYZ2gtOGlkTUlUTEk/view?usp=sharing" TargetMode="External"/><Relationship Id="rId200" Type="http://schemas.openxmlformats.org/officeDocument/2006/relationships/hyperlink" Target="https://drive.google.com/file/d/0B0qKRmtVkPtWQnp0NEcxbWdfQ3c/view?usp=sharing" TargetMode="External"/><Relationship Id="rId321" Type="http://schemas.openxmlformats.org/officeDocument/2006/relationships/hyperlink" Target="https://drive.google.com/file/d/0B9vYgR7NsKoYZ2gtOGlkTUlUTEk/view?usp=sharing" TargetMode="External"/><Relationship Id="rId320" Type="http://schemas.openxmlformats.org/officeDocument/2006/relationships/hyperlink" Target="https://drive.google.com/file/d/0B9vYgR7NsKoYZ2gtOGlkTUlUTEk/view?usp=sharing" TargetMode="External"/><Relationship Id="rId316" Type="http://schemas.openxmlformats.org/officeDocument/2006/relationships/hyperlink" Target="https://drive.google.com/file/d/0By3QPyQz621Gd01FTFhrdUJ5U0E/view?usp=sharing" TargetMode="External"/><Relationship Id="rId315" Type="http://schemas.openxmlformats.org/officeDocument/2006/relationships/hyperlink" Target="https://drive.google.com/file/d/0By3QPyQz621Gd01FTFhrdUJ5U0E/view?usp=sharing" TargetMode="External"/><Relationship Id="rId314" Type="http://schemas.openxmlformats.org/officeDocument/2006/relationships/hyperlink" Target="https://drive.google.com/file/d/0B0-pry4DSOm3eExtN0ExYWRKTFU/view?usp=sharing" TargetMode="External"/><Relationship Id="rId313" Type="http://schemas.openxmlformats.org/officeDocument/2006/relationships/hyperlink" Target="https://drive.google.com/file/d/0B0-pry4DSOm3eExtN0ExYWRKTFU/view?usp=sharing" TargetMode="External"/><Relationship Id="rId319" Type="http://schemas.openxmlformats.org/officeDocument/2006/relationships/hyperlink" Target="https://drive.google.com/file/d/0B9vYgR7NsKoYZ2gtOGlkTUlUTEk/view?usp=sharing" TargetMode="External"/><Relationship Id="rId318" Type="http://schemas.openxmlformats.org/officeDocument/2006/relationships/hyperlink" Target="https://drive.google.com/file/d/0B4sJPAkX0Jo3QWw0aFllSV9tRXc/view?usp=sharing" TargetMode="External"/><Relationship Id="rId317" Type="http://schemas.openxmlformats.org/officeDocument/2006/relationships/hyperlink" Target="https://drive.google.com/file/d/0B9vYgR7NsKoYd1lBNlNKNUZkdDA/view?usp=sharing" TargetMode="External"/><Relationship Id="rId312" Type="http://schemas.openxmlformats.org/officeDocument/2006/relationships/hyperlink" Target="https://drive.google.com/file/d/0B0-pry4DSOm3eExtN0ExYWRKTFU/view?usp=sharing" TargetMode="External"/><Relationship Id="rId311" Type="http://schemas.openxmlformats.org/officeDocument/2006/relationships/hyperlink" Target="https://drive.google.com/file/d/0By3QPyQz621GeU9aN0RRSDc0VEU/view?usp=sharing" TargetMode="External"/><Relationship Id="rId310" Type="http://schemas.openxmlformats.org/officeDocument/2006/relationships/hyperlink" Target="https://drive.google.com/file/d/0B4sJPAkX0Jo3REg5aXNxcUlGb3c/view?usp=sharing" TargetMode="External"/></Relationships>
</file>

<file path=xl/worksheets/_rels/sheet12.xml.rels><?xml version="1.0" encoding="UTF-8" standalone="yes"?><Relationships xmlns="http://schemas.openxmlformats.org/package/2006/relationships"><Relationship Id="rId190" Type="http://schemas.openxmlformats.org/officeDocument/2006/relationships/hyperlink" Target="https://drive.google.com/file/d/0B-BMeyhXwSzWVkwtU2tycnJIVFk/view" TargetMode="External"/><Relationship Id="rId194" Type="http://schemas.openxmlformats.org/officeDocument/2006/relationships/hyperlink" Target="https://drive.google.com/file/d/0B9vYgR7NsKoYbU9rN0E1Zzh4aFk/view?usp=sharing" TargetMode="External"/><Relationship Id="rId193" Type="http://schemas.openxmlformats.org/officeDocument/2006/relationships/hyperlink" Target="https://drive.google.com/file/d/0B9vYgR7NsKoYbU9rN0E1Zzh4aFk/view?usp=sharing" TargetMode="External"/><Relationship Id="rId192" Type="http://schemas.openxmlformats.org/officeDocument/2006/relationships/hyperlink" Target="https://drive.google.com/file/d/0B-yoIBO7tf7FVFpIMmk5Q2xwMkU/view?usp=sharing" TargetMode="External"/><Relationship Id="rId191" Type="http://schemas.openxmlformats.org/officeDocument/2006/relationships/hyperlink" Target="https://drive.google.com/file/d/0B-yoIBO7tf7FLW9OaW9JUnduUE0/view?usp=sharing" TargetMode="External"/><Relationship Id="rId187" Type="http://schemas.openxmlformats.org/officeDocument/2006/relationships/hyperlink" Target="https://drive.google.com/file/d/0B-BMeyhXwSzWS1p2UmJiRVIwRHc/view" TargetMode="External"/><Relationship Id="rId186" Type="http://schemas.openxmlformats.org/officeDocument/2006/relationships/hyperlink" Target="https://drive.google.com/file/d/0B-BMeyhXwSzWS1p2UmJiRVIwRHc/view" TargetMode="External"/><Relationship Id="rId185" Type="http://schemas.openxmlformats.org/officeDocument/2006/relationships/hyperlink" Target="https://drive.google.com/file/d/0B-BMeyhXwSzWS1p2UmJiRVIwRHc/view" TargetMode="External"/><Relationship Id="rId184" Type="http://schemas.openxmlformats.org/officeDocument/2006/relationships/hyperlink" Target="https://drive.google.com/file/d/0B-BMeyhXwSzWS1p2UmJiRVIwRHc/view" TargetMode="External"/><Relationship Id="rId189" Type="http://schemas.openxmlformats.org/officeDocument/2006/relationships/hyperlink" Target="https://drive.google.com/file/d/0B-BMeyhXwSzWVkwtU2tycnJIVFk/view" TargetMode="External"/><Relationship Id="rId188" Type="http://schemas.openxmlformats.org/officeDocument/2006/relationships/hyperlink" Target="https://drive.google.com/file/d/0B-BMeyhXwSzWS1p2UmJiRVIwRHc/view" TargetMode="External"/><Relationship Id="rId183" Type="http://schemas.openxmlformats.org/officeDocument/2006/relationships/hyperlink" Target="https://drive.google.com/file/d/0B-BMeyhXwSzWS1p2UmJiRVIwRHc/view" TargetMode="External"/><Relationship Id="rId182" Type="http://schemas.openxmlformats.org/officeDocument/2006/relationships/hyperlink" Target="https://drive.google.com/file/d/0B-BMeyhXwSzWS1p2UmJiRVIwRHc/view" TargetMode="External"/><Relationship Id="rId181" Type="http://schemas.openxmlformats.org/officeDocument/2006/relationships/hyperlink" Target="https://drive.google.com/file/d/0B-BMeyhXwSzWS1p2UmJiRVIwRHc/view" TargetMode="External"/><Relationship Id="rId180" Type="http://schemas.openxmlformats.org/officeDocument/2006/relationships/hyperlink" Target="https://drive.google.com/file/d/0B-BMeyhXwSzWS1p2UmJiRVIwRHc/view" TargetMode="External"/><Relationship Id="rId176" Type="http://schemas.openxmlformats.org/officeDocument/2006/relationships/hyperlink" Target="https://drive.google.com/file/d/0B-BMeyhXwSzWdTdqb0Q5UVlVVkE/view" TargetMode="External"/><Relationship Id="rId297" Type="http://schemas.openxmlformats.org/officeDocument/2006/relationships/hyperlink" Target="https://drive.google.com/file/d/0B5DG5WdEiYGEbUx1d09KZ0pleWc/view?usp=sharing" TargetMode="External"/><Relationship Id="rId175" Type="http://schemas.openxmlformats.org/officeDocument/2006/relationships/hyperlink" Target="https://drive.google.com/file/d/0B-BMeyhXwSzWdTdqb0Q5UVlVVkE/view" TargetMode="External"/><Relationship Id="rId296" Type="http://schemas.openxmlformats.org/officeDocument/2006/relationships/hyperlink" Target="https://drive.google.com/file/d/0B5DG5WdEiYGEbUx1d09KZ0pleWc/view?usp=sharing" TargetMode="External"/><Relationship Id="rId174" Type="http://schemas.openxmlformats.org/officeDocument/2006/relationships/hyperlink" Target="https://drive.google.com/file/d/0B-BMeyhXwSzWYmJOanV5TUdPb2c/view" TargetMode="External"/><Relationship Id="rId295" Type="http://schemas.openxmlformats.org/officeDocument/2006/relationships/hyperlink" Target="https://drive.google.com/file/d/0B5DG5WdEiYGEbUx1d09KZ0pleWc/view?usp=sharing" TargetMode="External"/><Relationship Id="rId173" Type="http://schemas.openxmlformats.org/officeDocument/2006/relationships/hyperlink" Target="https://drive.google.com/file/d/0B-BMeyhXwSzWNHc5MkF4dmMwbWs/view" TargetMode="External"/><Relationship Id="rId294" Type="http://schemas.openxmlformats.org/officeDocument/2006/relationships/hyperlink" Target="https://drive.google.com/file/d/0B5DG5WdEiYGEbUx1d09KZ0pleWc/view?usp=sharing" TargetMode="External"/><Relationship Id="rId179" Type="http://schemas.openxmlformats.org/officeDocument/2006/relationships/hyperlink" Target="https://drive.google.com/file/d/0B-BMeyhXwSzWS1p2UmJiRVIwRHc/view" TargetMode="External"/><Relationship Id="rId178" Type="http://schemas.openxmlformats.org/officeDocument/2006/relationships/hyperlink" Target="https://drive.google.com/file/d/0B-BMeyhXwSzWbmg3U2ZBTFQ1OEE/view" TargetMode="External"/><Relationship Id="rId299" Type="http://schemas.openxmlformats.org/officeDocument/2006/relationships/hyperlink" Target="https://drive.google.com/file/d/0B5DG5WdEiYGEbUx1d09KZ0pleWc/view?usp=sharing" TargetMode="External"/><Relationship Id="rId177" Type="http://schemas.openxmlformats.org/officeDocument/2006/relationships/hyperlink" Target="https://drive.google.com/file/d/0B-BMeyhXwSzWbmg3U2ZBTFQ1OEE/view" TargetMode="External"/><Relationship Id="rId298" Type="http://schemas.openxmlformats.org/officeDocument/2006/relationships/hyperlink" Target="https://drive.google.com/file/d/0B5DG5WdEiYGEbUx1d09KZ0pleWc/view?usp=sharing" TargetMode="External"/><Relationship Id="rId198" Type="http://schemas.openxmlformats.org/officeDocument/2006/relationships/hyperlink" Target="https://drive.google.com/file/d/0B9vYgR7NsKoYQ3oxRUlWZFlwLWs/view?usp=sharing" TargetMode="External"/><Relationship Id="rId197" Type="http://schemas.openxmlformats.org/officeDocument/2006/relationships/hyperlink" Target="https://drive.google.com/file/d/0B9vYgR7NsKoYQ3oxRUlWZFlwLWs/view?usp=sharing" TargetMode="External"/><Relationship Id="rId196" Type="http://schemas.openxmlformats.org/officeDocument/2006/relationships/hyperlink" Target="https://drive.google.com/file/d/0B9vYgR7NsKoYQ3oxRUlWZFlwLWs/view?usp=sharing" TargetMode="External"/><Relationship Id="rId195" Type="http://schemas.openxmlformats.org/officeDocument/2006/relationships/hyperlink" Target="https://drive.google.com/file/d/0B9vYgR7NsKoYNFFqMzNKMU1aYTA/view?usp=sharing" TargetMode="External"/><Relationship Id="rId199" Type="http://schemas.openxmlformats.org/officeDocument/2006/relationships/hyperlink" Target="https://drive.google.com/file/d/0B9vYgR7NsKoYQ3oxRUlWZFlwLWs/view?usp=sharing" TargetMode="External"/><Relationship Id="rId150" Type="http://schemas.openxmlformats.org/officeDocument/2006/relationships/hyperlink" Target="https://drive.google.com/file/d/0BzjZoBQGkMymX2tndGpwRC16ZW8/view?usp=sharing" TargetMode="External"/><Relationship Id="rId271" Type="http://schemas.openxmlformats.org/officeDocument/2006/relationships/hyperlink" Target="https://drive.google.com/file/d/0B5DG5WdEiYGESjdUQTdCYm1qUFk/view?usp=sharing" TargetMode="External"/><Relationship Id="rId270" Type="http://schemas.openxmlformats.org/officeDocument/2006/relationships/hyperlink" Target="https://drive.google.com/file/d/0B5DG5WdEiYGESjdUQTdCYm1qUFk/view?usp=sharing" TargetMode="External"/><Relationship Id="rId1" Type="http://schemas.openxmlformats.org/officeDocument/2006/relationships/comments" Target="../comments5.xml"/><Relationship Id="rId2" Type="http://schemas.openxmlformats.org/officeDocument/2006/relationships/hyperlink" Target="https://drive.google.com/file/d/0B5UHL-NSys0eOHM1c3lPNW43U3M/view" TargetMode="External"/><Relationship Id="rId3" Type="http://schemas.openxmlformats.org/officeDocument/2006/relationships/hyperlink" Target="https://drive.google.com/file/d/0B5UHL-NSys0eOHM1c3lPNW43U3M/view" TargetMode="External"/><Relationship Id="rId149" Type="http://schemas.openxmlformats.org/officeDocument/2006/relationships/hyperlink" Target="https://drive.google.com/file/d/0B-yoIBO7tf7FSXBRb2swcU9GNDQ/view?usp=sharing" TargetMode="External"/><Relationship Id="rId4" Type="http://schemas.openxmlformats.org/officeDocument/2006/relationships/hyperlink" Target="https://drive.google.com/file/d/0B5UHL-NSys0eOHM1c3lPNW43U3M/view" TargetMode="External"/><Relationship Id="rId148" Type="http://schemas.openxmlformats.org/officeDocument/2006/relationships/hyperlink" Target="https://drive.google.com/file/d/0B-yoIBO7tf7FSXBRb2swcU9GNDQ/view?usp=sharing" TargetMode="External"/><Relationship Id="rId269" Type="http://schemas.openxmlformats.org/officeDocument/2006/relationships/hyperlink" Target="https://drive.google.com/file/d/0B5DG5WdEiYGESjdUQTdCYm1qUFk/view?usp=sharing" TargetMode="External"/><Relationship Id="rId9" Type="http://schemas.openxmlformats.org/officeDocument/2006/relationships/hyperlink" Target="https://drive.google.com/file/d/0B-yoIBO7tf7Fc19CNEFHZFlRa00/view?usp=sharing" TargetMode="External"/><Relationship Id="rId143" Type="http://schemas.openxmlformats.org/officeDocument/2006/relationships/hyperlink" Target="https://drive.google.com/file/d/0B5UHL-NSys0eNWtiRkF4dUtqelE/view?usp=sharing" TargetMode="External"/><Relationship Id="rId264" Type="http://schemas.openxmlformats.org/officeDocument/2006/relationships/hyperlink" Target="https://drive.google.com/file/d/0B5DG5WdEiYGENHdHcWU0UkhRT2c/view?usp=sharing" TargetMode="External"/><Relationship Id="rId142" Type="http://schemas.openxmlformats.org/officeDocument/2006/relationships/hyperlink" Target="https://drive.google.com/file/d/0B-yoIBO7tf7FbkZEMm9DeDQ4c3c/view?usp=sharing" TargetMode="External"/><Relationship Id="rId263" Type="http://schemas.openxmlformats.org/officeDocument/2006/relationships/hyperlink" Target="https://drive.google.com/file/d/0B5DG5WdEiYGENHdHcWU0UkhRT2c/view?usp=sharing" TargetMode="External"/><Relationship Id="rId141" Type="http://schemas.openxmlformats.org/officeDocument/2006/relationships/hyperlink" Target="https://drive.google.com/file/d/0B-yoIBO7tf7FbkZEMm9DeDQ4c3c/view?usp=sharing" TargetMode="External"/><Relationship Id="rId262" Type="http://schemas.openxmlformats.org/officeDocument/2006/relationships/hyperlink" Target="https://drive.google.com/file/d/0B5DG5WdEiYGENHdHcWU0UkhRT2c/view?usp=sharing" TargetMode="External"/><Relationship Id="rId140" Type="http://schemas.openxmlformats.org/officeDocument/2006/relationships/hyperlink" Target="https://drive.google.com/file/d/0BzjZoBQGkMymcWhLZ2xVUE9YSkk/view?usp=sharing" TargetMode="External"/><Relationship Id="rId261" Type="http://schemas.openxmlformats.org/officeDocument/2006/relationships/hyperlink" Target="https://drive.google.com/file/d/0B5DG5WdEiYGENHdHcWU0UkhRT2c/view?usp=sharing" TargetMode="External"/><Relationship Id="rId5" Type="http://schemas.openxmlformats.org/officeDocument/2006/relationships/hyperlink" Target="https://drive.google.com/file/d/0B5UHL-NSys0eOHM1c3lPNW43U3M/view" TargetMode="External"/><Relationship Id="rId147" Type="http://schemas.openxmlformats.org/officeDocument/2006/relationships/hyperlink" Target="https://drive.google.com/file/d/0B4sJPAkX0Jo3MEkzMTZYUExTUlU/view?usp=sharing" TargetMode="External"/><Relationship Id="rId268" Type="http://schemas.openxmlformats.org/officeDocument/2006/relationships/hyperlink" Target="https://drive.google.com/file/d/0B5DG5WdEiYGENHdHcWU0UkhRT2c/view?usp=sharing" TargetMode="External"/><Relationship Id="rId6" Type="http://schemas.openxmlformats.org/officeDocument/2006/relationships/hyperlink" Target="https://drive.google.com/file/d/0B5UHL-NSys0eOHM1c3lPNW43U3M/view" TargetMode="External"/><Relationship Id="rId146" Type="http://schemas.openxmlformats.org/officeDocument/2006/relationships/hyperlink" Target="https://drive.google.com/file/d/0BzjZoBQGkMyma2RKU0E0eWtrSUE/view?usp=sharing" TargetMode="External"/><Relationship Id="rId267" Type="http://schemas.openxmlformats.org/officeDocument/2006/relationships/hyperlink" Target="https://drive.google.com/file/d/0B5DG5WdEiYGENHdHcWU0UkhRT2c/view?usp=sharing" TargetMode="External"/><Relationship Id="rId7" Type="http://schemas.openxmlformats.org/officeDocument/2006/relationships/hyperlink" Target="https://drive.google.com/file/d/0B5UHL-NSys0eOHM1c3lPNW43U3M/view" TargetMode="External"/><Relationship Id="rId145" Type="http://schemas.openxmlformats.org/officeDocument/2006/relationships/hyperlink" Target="https://drive.google.com/file/d/0B-yoIBO7tf7FTXhfY2ZURVM0TTA/view?usp=sharing" TargetMode="External"/><Relationship Id="rId266" Type="http://schemas.openxmlformats.org/officeDocument/2006/relationships/hyperlink" Target="https://drive.google.com/file/d/0B5DG5WdEiYGENHdHcWU0UkhRT2c/view?usp=sharing" TargetMode="External"/><Relationship Id="rId8" Type="http://schemas.openxmlformats.org/officeDocument/2006/relationships/hyperlink" Target="https://drive.google.com/file/d/0B5UHL-NSys0eOHM1c3lPNW43U3M/view" TargetMode="External"/><Relationship Id="rId144" Type="http://schemas.openxmlformats.org/officeDocument/2006/relationships/hyperlink" Target="https://drive.google.com/file/d/0B-yoIBO7tf7FTXhfY2ZURVM0TTA/view?usp=sharing" TargetMode="External"/><Relationship Id="rId265" Type="http://schemas.openxmlformats.org/officeDocument/2006/relationships/hyperlink" Target="https://drive.google.com/file/d/0B5DG5WdEiYGENHdHcWU0UkhRT2c/view?usp=sharing" TargetMode="External"/><Relationship Id="rId260" Type="http://schemas.openxmlformats.org/officeDocument/2006/relationships/hyperlink" Target="https://drive.google.com/file/d/0B5DG5WdEiYGERk1nWXd0RTBSdEk/view?usp=sharing" TargetMode="External"/><Relationship Id="rId139" Type="http://schemas.openxmlformats.org/officeDocument/2006/relationships/hyperlink" Target="https://drive.google.com/file/d/0BzjZoBQGkMymcWhLZ2xVUE9YSkk/view?usp=sharing" TargetMode="External"/><Relationship Id="rId138" Type="http://schemas.openxmlformats.org/officeDocument/2006/relationships/hyperlink" Target="https://drive.google.com/file/d/0BzjZoBQGkMymcWhLZ2xVUE9YSkk/view?usp=sharing" TargetMode="External"/><Relationship Id="rId259" Type="http://schemas.openxmlformats.org/officeDocument/2006/relationships/hyperlink" Target="https://drive.google.com/file/d/0B5DG5WdEiYGERk1nWXd0RTBSdEk/view?usp=sharing" TargetMode="External"/><Relationship Id="rId137" Type="http://schemas.openxmlformats.org/officeDocument/2006/relationships/hyperlink" Target="https://drive.google.com/file/d/0BzjZoBQGkMymcWhLZ2xVUE9YSkk/view?usp=sharing" TargetMode="External"/><Relationship Id="rId258" Type="http://schemas.openxmlformats.org/officeDocument/2006/relationships/hyperlink" Target="https://drive.google.com/file/d/0B-BMeyhXwSzWWExab2I4akxGQjg/view" TargetMode="External"/><Relationship Id="rId132" Type="http://schemas.openxmlformats.org/officeDocument/2006/relationships/hyperlink" Target="https://drive.google.com/file/d/0B-yoIBO7tf7FbXU3SERzZWhxMW8/view?usp=sharing" TargetMode="External"/><Relationship Id="rId253" Type="http://schemas.openxmlformats.org/officeDocument/2006/relationships/hyperlink" Target="https://drive.google.com/file/d/0B-yoIBO7tf7FLU94a2Y4YUtvS2s/view?usp=sharing" TargetMode="External"/><Relationship Id="rId131" Type="http://schemas.openxmlformats.org/officeDocument/2006/relationships/hyperlink" Target="https://drive.google.com/file/d/0B-yoIBO7tf7FbXU3SERzZWhxMW8/view?usp=sharing" TargetMode="External"/><Relationship Id="rId252" Type="http://schemas.openxmlformats.org/officeDocument/2006/relationships/hyperlink" Target="https://drive.google.com/file/d/0B-yoIBO7tf7FLU94a2Y4YUtvS2s/view?usp=sharing" TargetMode="External"/><Relationship Id="rId130" Type="http://schemas.openxmlformats.org/officeDocument/2006/relationships/hyperlink" Target="https://drive.google.com/file/d/0B-yoIBO7tf7FbXU3SERzZWhxMW8/view?usp=sharing" TargetMode="External"/><Relationship Id="rId251" Type="http://schemas.openxmlformats.org/officeDocument/2006/relationships/hyperlink" Target="https://drive.google.com/file/d/0B-yoIBO7tf7FLU94a2Y4YUtvS2s/view?usp=sharing" TargetMode="External"/><Relationship Id="rId250" Type="http://schemas.openxmlformats.org/officeDocument/2006/relationships/hyperlink" Target="https://drive.google.com/file/d/0B-yoIBO7tf7FLU94a2Y4YUtvS2s/view?usp=sharing" TargetMode="External"/><Relationship Id="rId136" Type="http://schemas.openxmlformats.org/officeDocument/2006/relationships/hyperlink" Target="https://drive.google.com/file/d/0BzjZoBQGkMymcWhLZ2xVUE9YSkk/view?usp=sharing" TargetMode="External"/><Relationship Id="rId257" Type="http://schemas.openxmlformats.org/officeDocument/2006/relationships/hyperlink" Target="https://drive.google.com/file/d/0BzjZoBQGkMymVzdHRVl0WUg5Qk0/view?usp=sharing" TargetMode="External"/><Relationship Id="rId135" Type="http://schemas.openxmlformats.org/officeDocument/2006/relationships/hyperlink" Target="https://drive.google.com/file/d/0B-yoIBO7tf7FMUEwazJyRUhGTFk/view?usp=sharing" TargetMode="External"/><Relationship Id="rId256" Type="http://schemas.openxmlformats.org/officeDocument/2006/relationships/hyperlink" Target="https://drive.google.com/file/d/0B-BMeyhXwSzWVHJVaWRPWmxRZ1U/view" TargetMode="External"/><Relationship Id="rId134" Type="http://schemas.openxmlformats.org/officeDocument/2006/relationships/hyperlink" Target="https://drive.google.com/file/d/0B-yoIBO7tf7FY3JhazVrbXJxblU/view?usp=sharing" TargetMode="External"/><Relationship Id="rId255" Type="http://schemas.openxmlformats.org/officeDocument/2006/relationships/hyperlink" Target="https://drive.google.com/file/d/0B-yoIBO7tf7FLU94a2Y4YUtvS2s/view?usp=sharing" TargetMode="External"/><Relationship Id="rId133" Type="http://schemas.openxmlformats.org/officeDocument/2006/relationships/hyperlink" Target="https://drive.google.com/file/d/0B-yoIBO7tf7FY3JhazVrbXJxblU/view?usp=sharing" TargetMode="External"/><Relationship Id="rId254" Type="http://schemas.openxmlformats.org/officeDocument/2006/relationships/hyperlink" Target="https://drive.google.com/file/d/0B-yoIBO7tf7FLU94a2Y4YUtvS2s/view?usp=sharing" TargetMode="External"/><Relationship Id="rId172" Type="http://schemas.openxmlformats.org/officeDocument/2006/relationships/hyperlink" Target="https://drive.google.com/file/d/0B-BMeyhXwSzWNHc5MkF4dmMwbWs/view" TargetMode="External"/><Relationship Id="rId293" Type="http://schemas.openxmlformats.org/officeDocument/2006/relationships/hyperlink" Target="https://drive.google.com/file/d/0B5DG5WdEiYGEbUx1d09KZ0pleWc/view?usp=sharing" TargetMode="External"/><Relationship Id="rId171" Type="http://schemas.openxmlformats.org/officeDocument/2006/relationships/hyperlink" Target="https://drive.google.com/file/d/0B-BMeyhXwSzWNHc5MkF4dmMwbWs/view" TargetMode="External"/><Relationship Id="rId292" Type="http://schemas.openxmlformats.org/officeDocument/2006/relationships/hyperlink" Target="https://drive.google.com/file/d/0B5DG5WdEiYGEbUx1d09KZ0pleWc/view?usp=sharing" TargetMode="External"/><Relationship Id="rId170" Type="http://schemas.openxmlformats.org/officeDocument/2006/relationships/hyperlink" Target="https://drive.google.com/file/d/0B-BMeyhXwSzWNHc5MkF4dmMwbWs/view" TargetMode="External"/><Relationship Id="rId291" Type="http://schemas.openxmlformats.org/officeDocument/2006/relationships/hyperlink" Target="https://drive.google.com/file/d/0B5DG5WdEiYGEbUx1d09KZ0pleWc/view?usp=sharing" TargetMode="External"/><Relationship Id="rId290" Type="http://schemas.openxmlformats.org/officeDocument/2006/relationships/hyperlink" Target="https://drive.google.com/file/d/0B5DG5WdEiYGEbUx1d09KZ0pleWc/view?usp=sharing" TargetMode="External"/><Relationship Id="rId165" Type="http://schemas.openxmlformats.org/officeDocument/2006/relationships/hyperlink" Target="https://drive.google.com/file/d/0B-yoIBO7tf7FdGJfbUpBUmpvck0/view?usp=sharing" TargetMode="External"/><Relationship Id="rId286" Type="http://schemas.openxmlformats.org/officeDocument/2006/relationships/hyperlink" Target="https://drive.google.com/file/d/0B5DG5WdEiYGEbUx1d09KZ0pleWc/view?usp=sharing" TargetMode="External"/><Relationship Id="rId164" Type="http://schemas.openxmlformats.org/officeDocument/2006/relationships/hyperlink" Target="https://drive.google.com/file/d/0B-yoIBO7tf7FdGJfbUpBUmpvck0/view?usp=sharing" TargetMode="External"/><Relationship Id="rId285" Type="http://schemas.openxmlformats.org/officeDocument/2006/relationships/hyperlink" Target="https://drive.google.com/file/d/0B5DG5WdEiYGEbUx1d09KZ0pleWc/view?usp=sharing" TargetMode="External"/><Relationship Id="rId163" Type="http://schemas.openxmlformats.org/officeDocument/2006/relationships/hyperlink" Target="https://drive.google.com/file/d/0B5UHL-NSys0eUkFoNE5UaDRlZUE/view?usp=sharing" TargetMode="External"/><Relationship Id="rId284" Type="http://schemas.openxmlformats.org/officeDocument/2006/relationships/hyperlink" Target="https://drive.google.com/file/d/0B5DG5WdEiYGEbUx1d09KZ0pleWc/view?usp=sharing" TargetMode="External"/><Relationship Id="rId162" Type="http://schemas.openxmlformats.org/officeDocument/2006/relationships/hyperlink" Target="https://drive.google.com/file/d/0B5UHL-NSys0eUkFoNE5UaDRlZUE/view?usp=sharing" TargetMode="External"/><Relationship Id="rId283" Type="http://schemas.openxmlformats.org/officeDocument/2006/relationships/hyperlink" Target="https://drive.google.com/file/d/0B5DG5WdEiYGEbUx1d09KZ0pleWc/view?usp=sharing" TargetMode="External"/><Relationship Id="rId169" Type="http://schemas.openxmlformats.org/officeDocument/2006/relationships/hyperlink" Target="https://drive.google.com/file/d/0B-BMeyhXwSzWb3RhNzJocktCcnM/view" TargetMode="External"/><Relationship Id="rId168" Type="http://schemas.openxmlformats.org/officeDocument/2006/relationships/hyperlink" Target="https://drive.google.com/file/d/0B-BMeyhXwSzWb3RhNzJocktCcnM/view" TargetMode="External"/><Relationship Id="rId289" Type="http://schemas.openxmlformats.org/officeDocument/2006/relationships/hyperlink" Target="https://drive.google.com/file/d/0B5DG5WdEiYGEbUx1d09KZ0pleWc/view?usp=sharing" TargetMode="External"/><Relationship Id="rId167" Type="http://schemas.openxmlformats.org/officeDocument/2006/relationships/hyperlink" Target="https://drive.google.com/file/d/0B-BMeyhXwSzWMFY3R0VqTzdvVkk/view" TargetMode="External"/><Relationship Id="rId288" Type="http://schemas.openxmlformats.org/officeDocument/2006/relationships/hyperlink" Target="https://drive.google.com/file/d/0B5DG5WdEiYGEbUx1d09KZ0pleWc/view?usp=sharing" TargetMode="External"/><Relationship Id="rId166" Type="http://schemas.openxmlformats.org/officeDocument/2006/relationships/hyperlink" Target="https://drive.google.com/file/d/0B-yoIBO7tf7FdGJfbUpBUmpvck0/view?usp=sharing" TargetMode="External"/><Relationship Id="rId287" Type="http://schemas.openxmlformats.org/officeDocument/2006/relationships/hyperlink" Target="https://drive.google.com/file/d/0B5DG5WdEiYGEbUx1d09KZ0pleWc/view?usp=sharing" TargetMode="External"/><Relationship Id="rId161" Type="http://schemas.openxmlformats.org/officeDocument/2006/relationships/hyperlink" Target="https://drive.google.com/file/d/0B9vYgR7NsKoYSVJwZ2UyQ1VNbWc/view?usp=sharing" TargetMode="External"/><Relationship Id="rId282" Type="http://schemas.openxmlformats.org/officeDocument/2006/relationships/hyperlink" Target="https://drive.google.com/file/d/0B5DG5WdEiYGEOXdTc0htQVAwYms/view?usp=sharing" TargetMode="External"/><Relationship Id="rId160" Type="http://schemas.openxmlformats.org/officeDocument/2006/relationships/hyperlink" Target="https://drive.google.com/file/d/0B-yoIBO7tf7FWlBYQ25rX0ljUGc/view?usp=sharing" TargetMode="External"/><Relationship Id="rId281" Type="http://schemas.openxmlformats.org/officeDocument/2006/relationships/hyperlink" Target="https://drive.google.com/file/d/0B5DG5WdEiYGEOXdTc0htQVAwYms/view?usp=sharing" TargetMode="External"/><Relationship Id="rId280" Type="http://schemas.openxmlformats.org/officeDocument/2006/relationships/hyperlink" Target="https://drive.google.com/file/d/0B5DG5WdEiYGEOXdTc0htQVAwYms/view?usp=sharing" TargetMode="External"/><Relationship Id="rId159" Type="http://schemas.openxmlformats.org/officeDocument/2006/relationships/hyperlink" Target="https://drive.google.com/file/d/0B-yoIBO7tf7FUm5qb3dPYXVTRWs/view?usp=sharing" TargetMode="External"/><Relationship Id="rId154" Type="http://schemas.openxmlformats.org/officeDocument/2006/relationships/hyperlink" Target="https://drive.google.com/file/d/0B-yoIBO7tf7FZ1VZUXdaNWNLZ0U/view?usp=sharing" TargetMode="External"/><Relationship Id="rId275" Type="http://schemas.openxmlformats.org/officeDocument/2006/relationships/hyperlink" Target="https://drive.google.com/file/d/0B5DG5WdEiYGESjdUQTdCYm1qUFk/view?usp=sharing" TargetMode="External"/><Relationship Id="rId153" Type="http://schemas.openxmlformats.org/officeDocument/2006/relationships/hyperlink" Target="https://drive.google.com/file/d/0B9vYgR7NsKoYMG1WYi0xYjM5Z0U/view?usp=sharing" TargetMode="External"/><Relationship Id="rId274" Type="http://schemas.openxmlformats.org/officeDocument/2006/relationships/hyperlink" Target="https://drive.google.com/file/d/0B5DG5WdEiYGESjdUQTdCYm1qUFk/view?usp=sharing" TargetMode="External"/><Relationship Id="rId152" Type="http://schemas.openxmlformats.org/officeDocument/2006/relationships/hyperlink" Target="https://drive.google.com/file/d/0B9vYgR7NsKoYMG1WYi0xYjM5Z0U/view?usp=sharing" TargetMode="External"/><Relationship Id="rId273" Type="http://schemas.openxmlformats.org/officeDocument/2006/relationships/hyperlink" Target="https://drive.google.com/file/d/0B5DG5WdEiYGESjdUQTdCYm1qUFk/view?usp=sharing" TargetMode="External"/><Relationship Id="rId151" Type="http://schemas.openxmlformats.org/officeDocument/2006/relationships/hyperlink" Target="https://drive.google.com/file/d/0BzjZoBQGkMymX2tndGpwRC16ZW8/view?usp=sharing" TargetMode="External"/><Relationship Id="rId272" Type="http://schemas.openxmlformats.org/officeDocument/2006/relationships/hyperlink" Target="https://drive.google.com/file/d/0B5DG5WdEiYGESjdUQTdCYm1qUFk/view?usp=sharing" TargetMode="External"/><Relationship Id="rId158" Type="http://schemas.openxmlformats.org/officeDocument/2006/relationships/hyperlink" Target="https://drive.google.com/file/d/0B-yoIBO7tf7FUm5qb3dPYXVTRWs/view?usp=sharing" TargetMode="External"/><Relationship Id="rId279" Type="http://schemas.openxmlformats.org/officeDocument/2006/relationships/hyperlink" Target="https://drive.google.com/file/d/0B5DG5WdEiYGEOXdTc0htQVAwYms/view?usp=sharing" TargetMode="External"/><Relationship Id="rId157" Type="http://schemas.openxmlformats.org/officeDocument/2006/relationships/hyperlink" Target="https://drive.google.com/file/d/0B-yoIBO7tf7FUm5qb3dPYXVTRWs/view?usp=sharing" TargetMode="External"/><Relationship Id="rId278" Type="http://schemas.openxmlformats.org/officeDocument/2006/relationships/hyperlink" Target="https://drive.google.com/file/d/0B5DG5WdEiYGEaEVRRTJBUktFSUE/view?usp=sharing" TargetMode="External"/><Relationship Id="rId156" Type="http://schemas.openxmlformats.org/officeDocument/2006/relationships/hyperlink" Target="https://drive.google.com/file/d/0B-yoIBO7tf7FUm5qb3dPYXVTRWs/view?usp=sharing" TargetMode="External"/><Relationship Id="rId277" Type="http://schemas.openxmlformats.org/officeDocument/2006/relationships/hyperlink" Target="https://drive.google.com/file/d/0B5DG5WdEiYGEaEVRRTJBUktFSUE/view?usp=sharing" TargetMode="External"/><Relationship Id="rId155" Type="http://schemas.openxmlformats.org/officeDocument/2006/relationships/hyperlink" Target="https://drive.google.com/file/d/0B-yoIBO7tf7FZ1VZUXdaNWNLZ0U/view?usp=sharing" TargetMode="External"/><Relationship Id="rId276" Type="http://schemas.openxmlformats.org/officeDocument/2006/relationships/hyperlink" Target="https://drive.google.com/file/d/0B5DG5WdEiYGESjdUQTdCYm1qUFk/view?usp=sharing" TargetMode="External"/><Relationship Id="rId40" Type="http://schemas.openxmlformats.org/officeDocument/2006/relationships/hyperlink" Target="https://drive.google.com/file/d/0B-yoIBO7tf7FSDZBTGNjeGFsT2c/view?usp=sharing" TargetMode="External"/><Relationship Id="rId42" Type="http://schemas.openxmlformats.org/officeDocument/2006/relationships/hyperlink" Target="https://drive.google.com/file/d/0B-yoIBO7tf7FZERIN3N4TWUtWGc/view?usp=sharing" TargetMode="External"/><Relationship Id="rId41" Type="http://schemas.openxmlformats.org/officeDocument/2006/relationships/hyperlink" Target="https://drive.google.com/file/d/0B-yoIBO7tf7FZ21WRkRCU0RkMDA/view?usp=sharing" TargetMode="External"/><Relationship Id="rId44" Type="http://schemas.openxmlformats.org/officeDocument/2006/relationships/hyperlink" Target="https://drive.google.com/file/d/0B-yoIBO7tf7FZERIN3N4TWUtWGc/view?usp=sharing" TargetMode="External"/><Relationship Id="rId43" Type="http://schemas.openxmlformats.org/officeDocument/2006/relationships/hyperlink" Target="https://drive.google.com/file/d/0B-yoIBO7tf7FZERIN3N4TWUtWGc/view?usp=sharing" TargetMode="External"/><Relationship Id="rId46" Type="http://schemas.openxmlformats.org/officeDocument/2006/relationships/hyperlink" Target="https://drive.google.com/file/d/0B-yoIBO7tf7FVTVjWGg4VUJTdjQ/view?usp=sharing" TargetMode="External"/><Relationship Id="rId45" Type="http://schemas.openxmlformats.org/officeDocument/2006/relationships/hyperlink" Target="https://drive.google.com/file/d/0B-yoIBO7tf7FVTVjWGg4VUJTdjQ/view?usp=sharing" TargetMode="External"/><Relationship Id="rId48" Type="http://schemas.openxmlformats.org/officeDocument/2006/relationships/hyperlink" Target="https://drive.google.com/file/d/0B-gS7RLhwu-rdF9kQ0hpSjBVb2s/view?usp=sharing" TargetMode="External"/><Relationship Id="rId47" Type="http://schemas.openxmlformats.org/officeDocument/2006/relationships/hyperlink" Target="https://drive.google.com/file/d/0B-yoIBO7tf7FVTVjWGg4VUJTdjQ/view?usp=sharing" TargetMode="External"/><Relationship Id="rId49" Type="http://schemas.openxmlformats.org/officeDocument/2006/relationships/hyperlink" Target="https://drive.google.com/file/d/0B-gS7RLhwu-rdF9kQ0hpSjBVb2s/view?usp=sharing" TargetMode="External"/><Relationship Id="rId31" Type="http://schemas.openxmlformats.org/officeDocument/2006/relationships/hyperlink" Target="https://drive.google.com/file/d/0B-yoIBO7tf7FQ2RnS1NvSnVMUW8/view?usp=sharing" TargetMode="External"/><Relationship Id="rId30" Type="http://schemas.openxmlformats.org/officeDocument/2006/relationships/hyperlink" Target="https://drive.google.com/file/d/0B-yoIBO7tf7FQ2RnS1NvSnVMUW8/view?usp=sharing" TargetMode="External"/><Relationship Id="rId33" Type="http://schemas.openxmlformats.org/officeDocument/2006/relationships/hyperlink" Target="https://drive.google.com/file/d/0B9vYgR7NsKoYTjlyQ0JPSHQ2cXc/view?usp=sharing" TargetMode="External"/><Relationship Id="rId32" Type="http://schemas.openxmlformats.org/officeDocument/2006/relationships/hyperlink" Target="https://drive.google.com/file/d/0B-yoIBO7tf7FQ2RnS1NvSnVMUW8/view?usp=sharing" TargetMode="External"/><Relationship Id="rId35" Type="http://schemas.openxmlformats.org/officeDocument/2006/relationships/hyperlink" Target="https://drive.google.com/file/d/0B9vYgR7NsKoYTjlyQ0JPSHQ2cXc/view?usp=sharing" TargetMode="External"/><Relationship Id="rId34" Type="http://schemas.openxmlformats.org/officeDocument/2006/relationships/hyperlink" Target="https://drive.google.com/file/d/0B9vYgR7NsKoYTjlyQ0JPSHQ2cXc/view?usp=sharing" TargetMode="External"/><Relationship Id="rId37" Type="http://schemas.openxmlformats.org/officeDocument/2006/relationships/hyperlink" Target="https://drive.google.com/file/d/0B-yoIBO7tf7Fb1JvOURjeHkwVlU/view?usp=sharing" TargetMode="External"/><Relationship Id="rId36" Type="http://schemas.openxmlformats.org/officeDocument/2006/relationships/hyperlink" Target="https://drive.google.com/file/d/0B9vYgR7NsKoYTjlyQ0JPSHQ2cXc/view?usp=sharing" TargetMode="External"/><Relationship Id="rId39" Type="http://schemas.openxmlformats.org/officeDocument/2006/relationships/hyperlink" Target="https://drive.google.com/file/d/0B-yoIBO7tf7FSmRtUlRoRUdYUzg/view?usp=sharing" TargetMode="External"/><Relationship Id="rId38" Type="http://schemas.openxmlformats.org/officeDocument/2006/relationships/hyperlink" Target="https://drive.google.com/file/d/0B-yoIBO7tf7Fb1JvOURjeHkwVlU/view?usp=sharing" TargetMode="External"/><Relationship Id="rId20" Type="http://schemas.openxmlformats.org/officeDocument/2006/relationships/hyperlink" Target="https://drive.google.com/file/d/0B-yoIBO7tf7FeTZ4MkROZVk3R3M/view?usp=sharing" TargetMode="External"/><Relationship Id="rId22" Type="http://schemas.openxmlformats.org/officeDocument/2006/relationships/hyperlink" Target="https://drive.google.com/file/d/0B-yoIBO7tf7FM3dVYjBFV3E2aWs/view?usp=sharing" TargetMode="External"/><Relationship Id="rId21" Type="http://schemas.openxmlformats.org/officeDocument/2006/relationships/hyperlink" Target="https://drive.google.com/file/d/0B-yoIBO7tf7FM3dVYjBFV3E2aWs/view?usp=sharing" TargetMode="External"/><Relationship Id="rId24" Type="http://schemas.openxmlformats.org/officeDocument/2006/relationships/hyperlink" Target="https://drive.google.com/file/d/0B9vYgR7NsKoYYllVUGFxR2VzTGM/view?usp=sharing" TargetMode="External"/><Relationship Id="rId23" Type="http://schemas.openxmlformats.org/officeDocument/2006/relationships/hyperlink" Target="https://drive.google.com/file/d/0B9vYgR7NsKoYYllVUGFxR2VzTGM/view?usp=sharing" TargetMode="External"/><Relationship Id="rId26" Type="http://schemas.openxmlformats.org/officeDocument/2006/relationships/hyperlink" Target="https://drive.google.com/file/d/0B9vYgR7NsKoYYllVUGFxR2VzTGM/view?usp=sharing" TargetMode="External"/><Relationship Id="rId25" Type="http://schemas.openxmlformats.org/officeDocument/2006/relationships/hyperlink" Target="https://drive.google.com/file/d/0B9vYgR7NsKoYYllVUGFxR2VzTGM/view?usp=sharing" TargetMode="External"/><Relationship Id="rId28" Type="http://schemas.openxmlformats.org/officeDocument/2006/relationships/hyperlink" Target="https://drive.google.com/file/d/0B9vYgR7NsKoYYllVUGFxR2VzTGM/view?usp=sharing" TargetMode="External"/><Relationship Id="rId27" Type="http://schemas.openxmlformats.org/officeDocument/2006/relationships/hyperlink" Target="https://drive.google.com/file/d/0B9vYgR7NsKoYYllVUGFxR2VzTGM/view?usp=sharing" TargetMode="External"/><Relationship Id="rId29" Type="http://schemas.openxmlformats.org/officeDocument/2006/relationships/hyperlink" Target="https://drive.google.com/file/d/0B-yoIBO7tf7FWE9HZmpSNTZ1ZU0/view?usp=sharing" TargetMode="External"/><Relationship Id="rId11" Type="http://schemas.openxmlformats.org/officeDocument/2006/relationships/hyperlink" Target="https://drive.google.com/file/d/0B-yoIBO7tf7Fc19CNEFHZFlRa00/view?usp=sharing" TargetMode="External"/><Relationship Id="rId10" Type="http://schemas.openxmlformats.org/officeDocument/2006/relationships/hyperlink" Target="https://drive.google.com/file/d/0B-yoIBO7tf7Fc19CNEFHZFlRa00/view?usp=sharing" TargetMode="External"/><Relationship Id="rId13" Type="http://schemas.openxmlformats.org/officeDocument/2006/relationships/hyperlink" Target="https://drive.google.com/file/d/0B95WhYooraDeeUxzU3lydjRHYjQ/view" TargetMode="External"/><Relationship Id="rId12" Type="http://schemas.openxmlformats.org/officeDocument/2006/relationships/hyperlink" Target="https://drive.google.com/file/d/0B-yoIBO7tf7Fc19CNEFHZFlRa00/view?usp=sharing" TargetMode="External"/><Relationship Id="rId15" Type="http://schemas.openxmlformats.org/officeDocument/2006/relationships/hyperlink" Target="https://drive.google.com/file/d/0B4sJPAkX0Jo3ZEpybkUzb3dNOFk/view?usp=sharing" TargetMode="External"/><Relationship Id="rId14" Type="http://schemas.openxmlformats.org/officeDocument/2006/relationships/hyperlink" Target="https://drive.google.com/file/d/0B95WhYooraDeeUxzU3lydjRHYjQ/view" TargetMode="External"/><Relationship Id="rId17" Type="http://schemas.openxmlformats.org/officeDocument/2006/relationships/hyperlink" Target="https://drive.google.com/file/d/0B4sJPAkX0Jo3ZEpybkUzb3dNOFk/view?usp=sharing" TargetMode="External"/><Relationship Id="rId16" Type="http://schemas.openxmlformats.org/officeDocument/2006/relationships/hyperlink" Target="https://drive.google.com/file/d/0B4sJPAkX0Jo3ZEpybkUzb3dNOFk/view?usp=sharing" TargetMode="External"/><Relationship Id="rId19" Type="http://schemas.openxmlformats.org/officeDocument/2006/relationships/hyperlink" Target="https://drive.google.com/file/d/0B-yoIBO7tf7FeTZ4MkROZVk3R3M/view?usp=sharing" TargetMode="External"/><Relationship Id="rId18" Type="http://schemas.openxmlformats.org/officeDocument/2006/relationships/hyperlink" Target="https://drive.google.com/file/d/0B4sJPAkX0Jo3ZEpybkUzb3dNOFk/view?usp=sharing" TargetMode="External"/><Relationship Id="rId84" Type="http://schemas.openxmlformats.org/officeDocument/2006/relationships/hyperlink" Target="https://drive.google.com/file/d/0B-yoIBO7tf7FR3UtZUt1Skg5TUE/view?usp=sharing" TargetMode="External"/><Relationship Id="rId83" Type="http://schemas.openxmlformats.org/officeDocument/2006/relationships/hyperlink" Target="https://drive.google.com/file/d/0B-yoIBO7tf7FRkZ5Tlc5LTIwTTA/view?usp=sharing" TargetMode="External"/><Relationship Id="rId86" Type="http://schemas.openxmlformats.org/officeDocument/2006/relationships/hyperlink" Target="https://drive.google.com/file/d/0B-yoIBO7tf7FSFhkWi1YME9wNDg/view?usp=sharing" TargetMode="External"/><Relationship Id="rId85" Type="http://schemas.openxmlformats.org/officeDocument/2006/relationships/hyperlink" Target="https://drive.google.com/file/d/0B-yoIBO7tf7FSFhkWi1YME9wNDg/view?usp=sharing" TargetMode="External"/><Relationship Id="rId88" Type="http://schemas.openxmlformats.org/officeDocument/2006/relationships/hyperlink" Target="https://drive.google.com/file/d/0B-yoIBO7tf7FZHlnV1B1QTQwcDg/view?usp=sharing" TargetMode="External"/><Relationship Id="rId87" Type="http://schemas.openxmlformats.org/officeDocument/2006/relationships/hyperlink" Target="https://drive.google.com/file/d/0B-yoIBO7tf7FZHlnV1B1QTQwcDg/view?usp=sharing" TargetMode="External"/><Relationship Id="rId89" Type="http://schemas.openxmlformats.org/officeDocument/2006/relationships/hyperlink" Target="https://drive.google.com/file/d/0B-yoIBO7tf7FeDFKMUdsVjJmcUE/view?usp=sharing" TargetMode="External"/><Relationship Id="rId80" Type="http://schemas.openxmlformats.org/officeDocument/2006/relationships/hyperlink" Target="https://drive.google.com/file/d/0B-yoIBO7tf7FOHpzM1QzenROWE0/view?usp=sharing" TargetMode="External"/><Relationship Id="rId82" Type="http://schemas.openxmlformats.org/officeDocument/2006/relationships/hyperlink" Target="https://drive.google.com/file/d/0B-yoIBO7tf7FOHpzM1QzenROWE0/view?usp=sharing" TargetMode="External"/><Relationship Id="rId81" Type="http://schemas.openxmlformats.org/officeDocument/2006/relationships/hyperlink" Target="https://drive.google.com/file/d/0B-yoIBO7tf7FOHpzM1QzenROWE0/view?usp=sharing" TargetMode="External"/><Relationship Id="rId73" Type="http://schemas.openxmlformats.org/officeDocument/2006/relationships/hyperlink" Target="https://drive.google.com/file/d/0B5UHL-NSys0ebVU4ejVDZlAtWkk/view?usp=sharing" TargetMode="External"/><Relationship Id="rId72" Type="http://schemas.openxmlformats.org/officeDocument/2006/relationships/hyperlink" Target="https://drive.google.com/file/d/0B-yoIBO7tf7FaWVpckdUcllHWmc/view?usp=sharing" TargetMode="External"/><Relationship Id="rId75" Type="http://schemas.openxmlformats.org/officeDocument/2006/relationships/hyperlink" Target="https://drive.google.com/file/d/0B5UHL-NSys0ebVU4ejVDZlAtWkk/view?usp=sharing" TargetMode="External"/><Relationship Id="rId74" Type="http://schemas.openxmlformats.org/officeDocument/2006/relationships/hyperlink" Target="https://drive.google.com/file/d/0B5UHL-NSys0ebVU4ejVDZlAtWkk/view?usp=sharing" TargetMode="External"/><Relationship Id="rId77" Type="http://schemas.openxmlformats.org/officeDocument/2006/relationships/hyperlink" Target="https://drive.google.com/file/d/0B-yoIBO7tf7FbV9yNXFlRF9nc1U/view?usp=sharing" TargetMode="External"/><Relationship Id="rId76" Type="http://schemas.openxmlformats.org/officeDocument/2006/relationships/hyperlink" Target="https://drive.google.com/file/d/0B5UHL-NSys0ebVU4ejVDZlAtWkk/view?usp=sharing" TargetMode="External"/><Relationship Id="rId79" Type="http://schemas.openxmlformats.org/officeDocument/2006/relationships/hyperlink" Target="https://drive.google.com/file/d/0B-yoIBO7tf7FOHpzM1QzenROWE0/view?usp=sharing" TargetMode="External"/><Relationship Id="rId78" Type="http://schemas.openxmlformats.org/officeDocument/2006/relationships/hyperlink" Target="https://drive.google.com/file/d/0B-yoIBO7tf7FbV9yNXFlRF9nc1U/view?usp=sharing" TargetMode="External"/><Relationship Id="rId71" Type="http://schemas.openxmlformats.org/officeDocument/2006/relationships/hyperlink" Target="https://drive.google.com/file/d/0B-yoIBO7tf7FaWVpckdUcllHWmc/view?usp=sharing" TargetMode="External"/><Relationship Id="rId70" Type="http://schemas.openxmlformats.org/officeDocument/2006/relationships/hyperlink" Target="https://drive.google.com/file/d/0B-yoIBO7tf7FaWVpckdUcllHWmc/view?usp=sharing" TargetMode="External"/><Relationship Id="rId62" Type="http://schemas.openxmlformats.org/officeDocument/2006/relationships/hyperlink" Target="https://drive.google.com/file/d/0B5UHL-NSys0eODFXNDBVSlZIV1k/view?usp=sharing" TargetMode="External"/><Relationship Id="rId61" Type="http://schemas.openxmlformats.org/officeDocument/2006/relationships/hyperlink" Target="https://drive.google.com/file/d/0B-yoIBO7tf7FbVpLaWFMZ0NDRUE/view?usp=sharing" TargetMode="External"/><Relationship Id="rId64" Type="http://schemas.openxmlformats.org/officeDocument/2006/relationships/hyperlink" Target="https://drive.google.com/file/d/0B5UHL-NSys0eODFXNDBVSlZIV1k/view?usp=sharing" TargetMode="External"/><Relationship Id="rId63" Type="http://schemas.openxmlformats.org/officeDocument/2006/relationships/hyperlink" Target="https://drive.google.com/file/d/0B5UHL-NSys0eODFXNDBVSlZIV1k/view?usp=sharing" TargetMode="External"/><Relationship Id="rId66" Type="http://schemas.openxmlformats.org/officeDocument/2006/relationships/hyperlink" Target="https://drive.google.com/file/d/0B5UHL-NSys0eODFXNDBVSlZIV1k/view?usp=sharing" TargetMode="External"/><Relationship Id="rId65" Type="http://schemas.openxmlformats.org/officeDocument/2006/relationships/hyperlink" Target="https://drive.google.com/file/d/0B5UHL-NSys0eODFXNDBVSlZIV1k/view?usp=sharing" TargetMode="External"/><Relationship Id="rId68" Type="http://schemas.openxmlformats.org/officeDocument/2006/relationships/hyperlink" Target="https://drive.google.com/file/d/0B-yoIBO7tf7FU2JzbDdrSjMtWG8/view?usp=sharing" TargetMode="External"/><Relationship Id="rId67" Type="http://schemas.openxmlformats.org/officeDocument/2006/relationships/hyperlink" Target="https://drive.google.com/file/d/0B5UHL-NSys0eODFXNDBVSlZIV1k/view?usp=sharing" TargetMode="External"/><Relationship Id="rId60" Type="http://schemas.openxmlformats.org/officeDocument/2006/relationships/hyperlink" Target="https://drive.google.com/file/d/0B-yoIBO7tf7FbVpLaWFMZ0NDRUE/view?usp=sharing" TargetMode="External"/><Relationship Id="rId69" Type="http://schemas.openxmlformats.org/officeDocument/2006/relationships/hyperlink" Target="https://drive.google.com/file/d/0B-yoIBO7tf7FU2JzbDdrSjMtWG8/view?usp=sharing" TargetMode="External"/><Relationship Id="rId51" Type="http://schemas.openxmlformats.org/officeDocument/2006/relationships/hyperlink" Target="https://drive.google.com/open?id=0B9vYgR7NsKoYR2hzSmVxOE9TNkk" TargetMode="External"/><Relationship Id="rId50" Type="http://schemas.openxmlformats.org/officeDocument/2006/relationships/hyperlink" Target="https://drive.google.com/file/d/0B5UHL-NSys0eM1NVTlVrOG5VYU0/view?usp=sharing" TargetMode="External"/><Relationship Id="rId53" Type="http://schemas.openxmlformats.org/officeDocument/2006/relationships/hyperlink" Target="https://drive.google.com/file/d/0B-yoIBO7tf7FZ0x0Y3h3WmRaNXM/view?usp=sharing" TargetMode="External"/><Relationship Id="rId52" Type="http://schemas.openxmlformats.org/officeDocument/2006/relationships/hyperlink" Target="https://drive.google.com/file/d/0B-yoIBO7tf7FZ0x0Y3h3WmRaNXM/view?usp=sharing" TargetMode="External"/><Relationship Id="rId55" Type="http://schemas.openxmlformats.org/officeDocument/2006/relationships/hyperlink" Target="https://drive.google.com/file/d/0B-yoIBO7tf7FUTNyMXRZQVpXbFE/view?usp=sharing" TargetMode="External"/><Relationship Id="rId54" Type="http://schemas.openxmlformats.org/officeDocument/2006/relationships/hyperlink" Target="https://drive.google.com/file/d/0B-yoIBO7tf7FUTNyMXRZQVpXbFE/view?usp=sharing" TargetMode="External"/><Relationship Id="rId57" Type="http://schemas.openxmlformats.org/officeDocument/2006/relationships/hyperlink" Target="https://drive.google.com/file/d/0B-yoIBO7tf7FUTNyMXRZQVpXbFE/view?usp=sharing" TargetMode="External"/><Relationship Id="rId56" Type="http://schemas.openxmlformats.org/officeDocument/2006/relationships/hyperlink" Target="https://drive.google.com/file/d/0B-yoIBO7tf7FUTNyMXRZQVpXbFE/view?usp=sharing" TargetMode="External"/><Relationship Id="rId59" Type="http://schemas.openxmlformats.org/officeDocument/2006/relationships/hyperlink" Target="https://drive.google.com/file/d/0B-yoIBO7tf7FbVpLaWFMZ0NDRUE/view?usp=sharing" TargetMode="External"/><Relationship Id="rId58" Type="http://schemas.openxmlformats.org/officeDocument/2006/relationships/hyperlink" Target="https://drive.google.com/file/d/0B-yoIBO7tf7FbVpLaWFMZ0NDRUE/view?usp=sharing" TargetMode="External"/><Relationship Id="rId107" Type="http://schemas.openxmlformats.org/officeDocument/2006/relationships/hyperlink" Target="https://drive.google.com/open?id=0B9vYgR7NsKoYTF9TTzZMOHYyekk" TargetMode="External"/><Relationship Id="rId228" Type="http://schemas.openxmlformats.org/officeDocument/2006/relationships/hyperlink" Target="https://drive.google.com/open?id=0B5uKCExuj58mM1BHbU5mZWxROUE" TargetMode="External"/><Relationship Id="rId106" Type="http://schemas.openxmlformats.org/officeDocument/2006/relationships/hyperlink" Target="https://drive.google.com/file/d/0BzjZoBQGkMyma1kzblRMSmRXTEE/view?usp=sharing" TargetMode="External"/><Relationship Id="rId227" Type="http://schemas.openxmlformats.org/officeDocument/2006/relationships/hyperlink" Target="https://drive.google.com/open?id=0B5uKCExuj58mM1BHbU5mZWxROUE" TargetMode="External"/><Relationship Id="rId105" Type="http://schemas.openxmlformats.org/officeDocument/2006/relationships/hyperlink" Target="https://drive.google.com/file/d/0BzjZoBQGkMyma1kzblRMSmRXTEE/view?usp=sharing" TargetMode="External"/><Relationship Id="rId226" Type="http://schemas.openxmlformats.org/officeDocument/2006/relationships/hyperlink" Target="https://drive.google.com/open?id=0B5uKCExuj58mM1BHbU5mZWxROUE" TargetMode="External"/><Relationship Id="rId104" Type="http://schemas.openxmlformats.org/officeDocument/2006/relationships/hyperlink" Target="https://drive.google.com/file/d/0B5UHL-NSys0eM2ZVN3VCSmJfNGc/view?usp=sharing" TargetMode="External"/><Relationship Id="rId225" Type="http://schemas.openxmlformats.org/officeDocument/2006/relationships/hyperlink" Target="https://drive.google.com/open?id=0B5uKCExuj58mM1BHbU5mZWxROUE" TargetMode="External"/><Relationship Id="rId109" Type="http://schemas.openxmlformats.org/officeDocument/2006/relationships/hyperlink" Target="https://drive.google.com/open?id=0B9vYgR7NsKoYTF9TTzZMOHYyekk" TargetMode="External"/><Relationship Id="rId108" Type="http://schemas.openxmlformats.org/officeDocument/2006/relationships/hyperlink" Target="https://drive.google.com/open?id=0B9vYgR7NsKoYTF9TTzZMOHYyekk" TargetMode="External"/><Relationship Id="rId229" Type="http://schemas.openxmlformats.org/officeDocument/2006/relationships/hyperlink" Target="https://drive.google.com/open?id=0B5uKCExuj58mM1BHbU5mZWxROUE" TargetMode="External"/><Relationship Id="rId220" Type="http://schemas.openxmlformats.org/officeDocument/2006/relationships/hyperlink" Target="https://drive.google.com/open?id=0B5uKCExuj58mRjNxLXdva3ozdms" TargetMode="External"/><Relationship Id="rId103" Type="http://schemas.openxmlformats.org/officeDocument/2006/relationships/hyperlink" Target="https://drive.google.com/file/d/0B5UHL-NSys0eM2ZVN3VCSmJfNGc/view?usp=sharing" TargetMode="External"/><Relationship Id="rId224" Type="http://schemas.openxmlformats.org/officeDocument/2006/relationships/hyperlink" Target="https://drive.google.com/open?id=0B5uKCExuj58mM1BHbU5mZWxROUE" TargetMode="External"/><Relationship Id="rId102" Type="http://schemas.openxmlformats.org/officeDocument/2006/relationships/hyperlink" Target="https://drive.google.com/file/d/0B-yoIBO7tf7FYkJiQmVTQXpCMnM/view?usp=sharing" TargetMode="External"/><Relationship Id="rId223" Type="http://schemas.openxmlformats.org/officeDocument/2006/relationships/hyperlink" Target="https://drive.google.com/open?id=0B5uKCExuj58mcEt4V0FhREtkRDQ" TargetMode="External"/><Relationship Id="rId101" Type="http://schemas.openxmlformats.org/officeDocument/2006/relationships/hyperlink" Target="https://drive.google.com/file/d/0B-yoIBO7tf7FYkJiQmVTQXpCMnM/view?usp=sharing" TargetMode="External"/><Relationship Id="rId222" Type="http://schemas.openxmlformats.org/officeDocument/2006/relationships/hyperlink" Target="https://drive.google.com/open?id=0B5uKCExuj58mcEt4V0FhREtkRDQ" TargetMode="External"/><Relationship Id="rId100" Type="http://schemas.openxmlformats.org/officeDocument/2006/relationships/hyperlink" Target="https://drive.google.com/file/d/0B-yoIBO7tf7FYkJiQmVTQXpCMnM/view?usp=sharing" TargetMode="External"/><Relationship Id="rId221" Type="http://schemas.openxmlformats.org/officeDocument/2006/relationships/hyperlink" Target="https://drive.google.com/open?id=0B5uKCExuj58mRjNxLXdva3ozdms" TargetMode="External"/><Relationship Id="rId217" Type="http://schemas.openxmlformats.org/officeDocument/2006/relationships/hyperlink" Target="https://drive.google.com/open?id=0B5uKCExuj58mMHJiUmp0VUZKX2M" TargetMode="External"/><Relationship Id="rId216" Type="http://schemas.openxmlformats.org/officeDocument/2006/relationships/hyperlink" Target="http://www.who.int/bulletin/volumes/81/3/Ferrari0303.pdf" TargetMode="External"/><Relationship Id="rId215" Type="http://schemas.openxmlformats.org/officeDocument/2006/relationships/hyperlink" Target="https://drive.google.com/open?id=0B5uKCExuj58mbEI0SE9sUUxpTG8" TargetMode="External"/><Relationship Id="rId214" Type="http://schemas.openxmlformats.org/officeDocument/2006/relationships/hyperlink" Target="https://drive.google.com/open?id=0B5uKCExuj58mbEI0SE9sUUxpTG8" TargetMode="External"/><Relationship Id="rId219" Type="http://schemas.openxmlformats.org/officeDocument/2006/relationships/hyperlink" Target="https://drive.google.com/open?id=0B5uKCExuj58mRjNxLXdva3ozdms" TargetMode="External"/><Relationship Id="rId218" Type="http://schemas.openxmlformats.org/officeDocument/2006/relationships/hyperlink" Target="https://drive.google.com/open?id=0B5uKCExuj58mMHJiUmp0VUZKX2M" TargetMode="External"/><Relationship Id="rId213" Type="http://schemas.openxmlformats.org/officeDocument/2006/relationships/hyperlink" Target="https://drive.google.com/open?id=0B5uKCExuj58mbEI0SE9sUUxpTG8" TargetMode="External"/><Relationship Id="rId212" Type="http://schemas.openxmlformats.org/officeDocument/2006/relationships/hyperlink" Target="https://drive.google.com/open?id=0B5uKCExuj58mMWJtODJBbFJWWjQ" TargetMode="External"/><Relationship Id="rId211" Type="http://schemas.openxmlformats.org/officeDocument/2006/relationships/hyperlink" Target="https://drive.google.com/open?id=0B5uKCExuj58mMWJtODJBbFJWWjQ" TargetMode="External"/><Relationship Id="rId210" Type="http://schemas.openxmlformats.org/officeDocument/2006/relationships/hyperlink" Target="https://drive.google.com/open?id=0B5uKCExuj58mMWJtODJBbFJWWjQ" TargetMode="External"/><Relationship Id="rId129" Type="http://schemas.openxmlformats.org/officeDocument/2006/relationships/hyperlink" Target="https://drive.google.com/file/d/0B5UHL-NSys0eMEJ6WVprN3g1UVU/view?usp=sharing" TargetMode="External"/><Relationship Id="rId128" Type="http://schemas.openxmlformats.org/officeDocument/2006/relationships/hyperlink" Target="https://drive.google.com/file/d/0B5UHL-NSys0eMEJ6WVprN3g1UVU/view?usp=sharing" TargetMode="External"/><Relationship Id="rId249" Type="http://schemas.openxmlformats.org/officeDocument/2006/relationships/hyperlink" Target="https://drive.google.com/file/d/0B-yoIBO7tf7FLU94a2Y4YUtvS2s/view?usp=sharing" TargetMode="External"/><Relationship Id="rId127" Type="http://schemas.openxmlformats.org/officeDocument/2006/relationships/hyperlink" Target="https://drive.google.com/file/d/0B5UHL-NSys0eMEJ6WVprN3g1UVU/view?usp=sharing" TargetMode="External"/><Relationship Id="rId248" Type="http://schemas.openxmlformats.org/officeDocument/2006/relationships/hyperlink" Target="https://drive.google.com/file/d/0B-yoIBO7tf7FLU94a2Y4YUtvS2s/view?usp=sharing" TargetMode="External"/><Relationship Id="rId126" Type="http://schemas.openxmlformats.org/officeDocument/2006/relationships/hyperlink" Target="https://drive.google.com/file/d/0B5UHL-NSys0eMEJ6WVprN3g1UVU/view?usp=sharing" TargetMode="External"/><Relationship Id="rId247" Type="http://schemas.openxmlformats.org/officeDocument/2006/relationships/hyperlink" Target="https://drive.google.com/file/d/0B-yoIBO7tf7FLU94a2Y4YUtvS2s/view?usp=sharing" TargetMode="External"/><Relationship Id="rId121" Type="http://schemas.openxmlformats.org/officeDocument/2006/relationships/hyperlink" Target="https://drive.google.com/file/d/0BzjZoBQGkMymRng2WW9hN2lIdWM/view?usp=sharing" TargetMode="External"/><Relationship Id="rId242" Type="http://schemas.openxmlformats.org/officeDocument/2006/relationships/hyperlink" Target="https://drive.google.com/open?id=0B5uKCExuj58mQ3RWeXZwSFhSTVk" TargetMode="External"/><Relationship Id="rId120" Type="http://schemas.openxmlformats.org/officeDocument/2006/relationships/hyperlink" Target="https://drive.google.com/file/d/0BzjZoBQGkMymRng2WW9hN2lIdWM/view?usp=sharing" TargetMode="External"/><Relationship Id="rId241" Type="http://schemas.openxmlformats.org/officeDocument/2006/relationships/hyperlink" Target="https://drive.google.com/open?id=0B5uKCExuj58mQ3RWeXZwSFhSTVk" TargetMode="External"/><Relationship Id="rId240" Type="http://schemas.openxmlformats.org/officeDocument/2006/relationships/hyperlink" Target="https://drive.google.com/open?id=0B5uKCExuj58mQ3RWeXZwSFhSTVk" TargetMode="External"/><Relationship Id="rId125" Type="http://schemas.openxmlformats.org/officeDocument/2006/relationships/hyperlink" Target="https://drive.google.com/file/d/0B5UHL-NSys0eMEJ6WVprN3g1UVU/view?usp=sharing" TargetMode="External"/><Relationship Id="rId246" Type="http://schemas.openxmlformats.org/officeDocument/2006/relationships/hyperlink" Target="https://drive.google.com/file/d/0B-yoIBO7tf7FLU94a2Y4YUtvS2s/view?usp=sharing" TargetMode="External"/><Relationship Id="rId124" Type="http://schemas.openxmlformats.org/officeDocument/2006/relationships/hyperlink" Target="https://drive.google.com/file/d/0B5UHL-NSys0eMEJ6WVprN3g1UVU/view?usp=sharing" TargetMode="External"/><Relationship Id="rId245" Type="http://schemas.openxmlformats.org/officeDocument/2006/relationships/hyperlink" Target="https://drive.google.com/file/d/0B-yoIBO7tf7FLU94a2Y4YUtvS2s/view?usp=sharing" TargetMode="External"/><Relationship Id="rId123" Type="http://schemas.openxmlformats.org/officeDocument/2006/relationships/hyperlink" Target="https://drive.google.com/file/d/0B5UHL-NSys0eMEJ6WVprN3g1UVU/view?usp=sharing" TargetMode="External"/><Relationship Id="rId244" Type="http://schemas.openxmlformats.org/officeDocument/2006/relationships/hyperlink" Target="https://drive.google.com/file/d/0B-yoIBO7tf7FLU94a2Y4YUtvS2s/view?usp=sharing" TargetMode="External"/><Relationship Id="rId122" Type="http://schemas.openxmlformats.org/officeDocument/2006/relationships/hyperlink" Target="https://drive.google.com/file/d/0B5UHL-NSys0eMEJ6WVprN3g1UVU/view?usp=sharing" TargetMode="External"/><Relationship Id="rId243" Type="http://schemas.openxmlformats.org/officeDocument/2006/relationships/hyperlink" Target="https://drive.google.com/open?id=0B5uKCExuj58mQ3RWeXZwSFhSTVk" TargetMode="External"/><Relationship Id="rId95" Type="http://schemas.openxmlformats.org/officeDocument/2006/relationships/hyperlink" Target="https://drive.google.com/file/d/0B-yoIBO7tf7FR3UtZUt1Skg5TUE/view?usp=sharing" TargetMode="External"/><Relationship Id="rId94" Type="http://schemas.openxmlformats.org/officeDocument/2006/relationships/hyperlink" Target="https://drive.google.com/file/d/0B-yoIBO7tf7FR3UtZUt1Skg5TUE/view?usp=sharing" TargetMode="External"/><Relationship Id="rId97" Type="http://schemas.openxmlformats.org/officeDocument/2006/relationships/hyperlink" Target="https://drive.google.com/file/d/0B-yoIBO7tf7FMGExcHVoZVliM00/view?usp=sharing" TargetMode="External"/><Relationship Id="rId96" Type="http://schemas.openxmlformats.org/officeDocument/2006/relationships/hyperlink" Target="https://drive.google.com/file/d/0B-yoIBO7tf7FR3UtZUt1Skg5TUE/view?usp=sharing" TargetMode="External"/><Relationship Id="rId99" Type="http://schemas.openxmlformats.org/officeDocument/2006/relationships/hyperlink" Target="https://drive.google.com/file/d/0B-yoIBO7tf7FYkJiQmVTQXpCMnM/view?usp=sharing" TargetMode="External"/><Relationship Id="rId98" Type="http://schemas.openxmlformats.org/officeDocument/2006/relationships/hyperlink" Target="https://drive.google.com/file/d/0B-yoIBO7tf7FMGExcHVoZVliM00/view?usp=sharing" TargetMode="External"/><Relationship Id="rId91" Type="http://schemas.openxmlformats.org/officeDocument/2006/relationships/hyperlink" Target="https://drive.google.com/file/d/0B-yoIBO7tf7FeDFKMUdsVjJmcUE/view?usp=sharing" TargetMode="External"/><Relationship Id="rId90" Type="http://schemas.openxmlformats.org/officeDocument/2006/relationships/hyperlink" Target="https://drive.google.com/file/d/0B-yoIBO7tf7FeDFKMUdsVjJmcUE/view?usp=sharing" TargetMode="External"/><Relationship Id="rId93" Type="http://schemas.openxmlformats.org/officeDocument/2006/relationships/hyperlink" Target="https://drive.google.com/file/d/0B-yoIBO7tf7FR3UtZUt1Skg5TUE/view?usp=sharing" TargetMode="External"/><Relationship Id="rId92" Type="http://schemas.openxmlformats.org/officeDocument/2006/relationships/hyperlink" Target="https://drive.google.com/file/d/0B-yoIBO7tf7FR3UtZUt1Skg5TUE/view?usp=sharing" TargetMode="External"/><Relationship Id="rId118" Type="http://schemas.openxmlformats.org/officeDocument/2006/relationships/hyperlink" Target="https://drive.google.com/open?id=0B9vYgR7NsKoYTF9TTzZMOHYyekk" TargetMode="External"/><Relationship Id="rId239" Type="http://schemas.openxmlformats.org/officeDocument/2006/relationships/hyperlink" Target="https://drive.google.com/open?id=0B5uKCExuj58mUnNlT2xKQTN1bWM" TargetMode="External"/><Relationship Id="rId117" Type="http://schemas.openxmlformats.org/officeDocument/2006/relationships/hyperlink" Target="https://drive.google.com/open?id=0B9vYgR7NsKoYTF9TTzZMOHYyekk" TargetMode="External"/><Relationship Id="rId238" Type="http://schemas.openxmlformats.org/officeDocument/2006/relationships/hyperlink" Target="https://drive.google.com/open?id=0B5uKCExuj58mUnNlT2xKQTN1bWM" TargetMode="External"/><Relationship Id="rId116" Type="http://schemas.openxmlformats.org/officeDocument/2006/relationships/hyperlink" Target="https://drive.google.com/open?id=0B9vYgR7NsKoYTF9TTzZMOHYyekk" TargetMode="External"/><Relationship Id="rId237" Type="http://schemas.openxmlformats.org/officeDocument/2006/relationships/hyperlink" Target="https://drive.google.com/open?id=0B5uKCExuj58mUnNlT2xKQTN1bWM" TargetMode="External"/><Relationship Id="rId115" Type="http://schemas.openxmlformats.org/officeDocument/2006/relationships/hyperlink" Target="https://drive.google.com/open?id=0B9vYgR7NsKoYTF9TTzZMOHYyekk" TargetMode="External"/><Relationship Id="rId236" Type="http://schemas.openxmlformats.org/officeDocument/2006/relationships/hyperlink" Target="https://drive.google.com/open?id=0B5uKCExuj58mUnNlT2xKQTN1bWM" TargetMode="External"/><Relationship Id="rId119" Type="http://schemas.openxmlformats.org/officeDocument/2006/relationships/hyperlink" Target="https://drive.google.com/file/d/0B-yoIBO7tf7FVF9ObE5EWlNnVWM/view?usp=sharing" TargetMode="External"/><Relationship Id="rId110" Type="http://schemas.openxmlformats.org/officeDocument/2006/relationships/hyperlink" Target="https://drive.google.com/open?id=0B9vYgR7NsKoYTF9TTzZMOHYyekk" TargetMode="External"/><Relationship Id="rId231" Type="http://schemas.openxmlformats.org/officeDocument/2006/relationships/hyperlink" Target="https://drive.google.com/open?id=0B5uKCExuj58mRmFPN21UUGRFSFk" TargetMode="External"/><Relationship Id="rId230" Type="http://schemas.openxmlformats.org/officeDocument/2006/relationships/hyperlink" Target="https://drive.google.com/open?id=0B5uKCExuj58mRmFPN21UUGRFSFk" TargetMode="External"/><Relationship Id="rId114" Type="http://schemas.openxmlformats.org/officeDocument/2006/relationships/hyperlink" Target="https://drive.google.com/open?id=0B9vYgR7NsKoYTF9TTzZMOHYyekk" TargetMode="External"/><Relationship Id="rId235" Type="http://schemas.openxmlformats.org/officeDocument/2006/relationships/hyperlink" Target="https://drive.google.com/open?id=0B5uKCExuj58mbFVIeXBlYl9PeUk" TargetMode="External"/><Relationship Id="rId113" Type="http://schemas.openxmlformats.org/officeDocument/2006/relationships/hyperlink" Target="https://drive.google.com/open?id=0B9vYgR7NsKoYTF9TTzZMOHYyekk" TargetMode="External"/><Relationship Id="rId234" Type="http://schemas.openxmlformats.org/officeDocument/2006/relationships/hyperlink" Target="https://drive.google.com/open?id=0B5uKCExuj58mbFVIeXBlYl9PeUk" TargetMode="External"/><Relationship Id="rId112" Type="http://schemas.openxmlformats.org/officeDocument/2006/relationships/hyperlink" Target="https://drive.google.com/open?id=0B9vYgR7NsKoYTF9TTzZMOHYyekk" TargetMode="External"/><Relationship Id="rId233" Type="http://schemas.openxmlformats.org/officeDocument/2006/relationships/hyperlink" Target="https://drive.google.com/open?id=0B5uKCExuj58mbFVIeXBlYl9PeUk" TargetMode="External"/><Relationship Id="rId111" Type="http://schemas.openxmlformats.org/officeDocument/2006/relationships/hyperlink" Target="https://drive.google.com/open?id=0B9vYgR7NsKoYTF9TTzZMOHYyekk" TargetMode="External"/><Relationship Id="rId232" Type="http://schemas.openxmlformats.org/officeDocument/2006/relationships/hyperlink" Target="https://drive.google.com/open?id=0B5uKCExuj58mbFVIeXBlYl9PeUk" TargetMode="External"/><Relationship Id="rId305" Type="http://schemas.openxmlformats.org/officeDocument/2006/relationships/hyperlink" Target="https://www.ncbi.nlm.nih.gov/pmc/articles/PMC2572425/" TargetMode="External"/><Relationship Id="rId304" Type="http://schemas.openxmlformats.org/officeDocument/2006/relationships/hyperlink" Target="https://academic.oup.com/trstmh/article-abstract/103/10/1062/1927838/Artesunate-plus-sulfadoxine-pyrimethamine-versus?redirectedFrom=fulltext" TargetMode="External"/><Relationship Id="rId303" Type="http://schemas.openxmlformats.org/officeDocument/2006/relationships/hyperlink" Target="https://academic.oup.com/trstmh/article-abstract/103/10/1062/1927838/Artesunate-plus-sulfadoxine-pyrimethamine-versus?redirectedFrom=fulltext" TargetMode="External"/><Relationship Id="rId302" Type="http://schemas.openxmlformats.org/officeDocument/2006/relationships/hyperlink" Target="https://drive.google.com/file/d/0B5DG5WdEiYGEbUx1d09KZ0pleWc/view?usp=sharing" TargetMode="External"/><Relationship Id="rId309" Type="http://schemas.openxmlformats.org/officeDocument/2006/relationships/hyperlink" Target="https://www.ncbi.nlm.nih.gov/pmc/articles/PMC4444284/" TargetMode="External"/><Relationship Id="rId308" Type="http://schemas.openxmlformats.org/officeDocument/2006/relationships/hyperlink" Target="https://www.ncbi.nlm.nih.gov/pmc/articles/PMC4444284/" TargetMode="External"/><Relationship Id="rId307" Type="http://schemas.openxmlformats.org/officeDocument/2006/relationships/hyperlink" Target="https://www.ncbi.nlm.nih.gov/pmc/articles/PMC2572425/" TargetMode="External"/><Relationship Id="rId306" Type="http://schemas.openxmlformats.org/officeDocument/2006/relationships/hyperlink" Target="https://www.ncbi.nlm.nih.gov/pmc/articles/PMC2572425/" TargetMode="External"/><Relationship Id="rId301" Type="http://schemas.openxmlformats.org/officeDocument/2006/relationships/hyperlink" Target="https://drive.google.com/file/d/0B5DG5WdEiYGEbUx1d09KZ0pleWc/view?usp=sharing" TargetMode="External"/><Relationship Id="rId300" Type="http://schemas.openxmlformats.org/officeDocument/2006/relationships/hyperlink" Target="https://drive.google.com/file/d/0B5DG5WdEiYGEbUx1d09KZ0pleWc/view?usp=sharing" TargetMode="External"/><Relationship Id="rId206" Type="http://schemas.openxmlformats.org/officeDocument/2006/relationships/hyperlink" Target="https://drive.google.com/file/d/0B9vYgR7NsKoYbWxPdDNWODdHMFk/view?usp=sharing" TargetMode="External"/><Relationship Id="rId205" Type="http://schemas.openxmlformats.org/officeDocument/2006/relationships/hyperlink" Target="https://drive.google.com/file/d/0B9vYgR7NsKoYMS1vY3J3eWhVamM/view?usp=sharing" TargetMode="External"/><Relationship Id="rId204" Type="http://schemas.openxmlformats.org/officeDocument/2006/relationships/hyperlink" Target="https://drive.google.com/file/d/0B9vYgR7NsKoYMS1vY3J3eWhVamM/view?usp=sharing" TargetMode="External"/><Relationship Id="rId203" Type="http://schemas.openxmlformats.org/officeDocument/2006/relationships/hyperlink" Target="https://drive.google.com/a/binghamton.edu/file/d/0B-yoIBO7tf7Fem5IbmxER2pyRkE/view?usp=sharing" TargetMode="External"/><Relationship Id="rId209" Type="http://schemas.openxmlformats.org/officeDocument/2006/relationships/hyperlink" Target="https://drive.google.com/open?id=0B5uKCExuj58mcjRhNmJwTDdjclE" TargetMode="External"/><Relationship Id="rId208" Type="http://schemas.openxmlformats.org/officeDocument/2006/relationships/hyperlink" Target="https://drive.google.com/open?id=0B5uKCExuj58mcjRhNmJwTDdjclE" TargetMode="External"/><Relationship Id="rId207" Type="http://schemas.openxmlformats.org/officeDocument/2006/relationships/hyperlink" Target="https://drive.google.com/file/d/0B9vYgR7NsKoYTU5zX3BibmFRN2s/view?usp=sharing" TargetMode="External"/><Relationship Id="rId202" Type="http://schemas.openxmlformats.org/officeDocument/2006/relationships/hyperlink" Target="https://drive.google.com/file/d/0B9vYgR7NsKoYUE5hWmFwS05Sa0U/view?usp=sharing" TargetMode="External"/><Relationship Id="rId201" Type="http://schemas.openxmlformats.org/officeDocument/2006/relationships/hyperlink" Target="https://drive.google.com/file/d/0B9vYgR7NsKoYUE5hWmFwS05Sa0U/view?usp=sharing" TargetMode="External"/><Relationship Id="rId200" Type="http://schemas.openxmlformats.org/officeDocument/2006/relationships/hyperlink" Target="https://drive.google.com/file/d/0B9vYgR7NsKoYUE5hWmFwS05Sa0U/view?usp=sharing" TargetMode="External"/><Relationship Id="rId311" Type="http://schemas.openxmlformats.org/officeDocument/2006/relationships/vmlDrawing" Target="../drawings/vmlDrawing5.vml"/><Relationship Id="rId310"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90" Type="http://schemas.openxmlformats.org/officeDocument/2006/relationships/hyperlink" Target="https://drive.google.com/open?id=0B83NpKM_pV1sd0hOdEE2c2V6RWM" TargetMode="External"/><Relationship Id="rId194" Type="http://schemas.openxmlformats.org/officeDocument/2006/relationships/hyperlink" Target="https://drive.google.com/a/binghamton.edu/file/d/0B-BMeyhXwSzWWmNzVklwaWpJalE/view" TargetMode="External"/><Relationship Id="rId193" Type="http://schemas.openxmlformats.org/officeDocument/2006/relationships/hyperlink" Target="https://drive.google.com/open?id=0B83NpKM_pV1sd0hOdEE2c2V6RWM" TargetMode="External"/><Relationship Id="rId192" Type="http://schemas.openxmlformats.org/officeDocument/2006/relationships/hyperlink" Target="https://drive.google.com/a/binghamton.edu/file/d/0B_lCd4vI8wOKRm5ib2Z0TFdCVEE/view" TargetMode="External"/><Relationship Id="rId191" Type="http://schemas.openxmlformats.org/officeDocument/2006/relationships/hyperlink" Target="https://drive.google.com/a/binghamton.edu/file/d/0B-BMeyhXwSzWWmNzVklwaWpJalE/view" TargetMode="External"/><Relationship Id="rId187" Type="http://schemas.openxmlformats.org/officeDocument/2006/relationships/hyperlink" Target="https://drive.google.com/open?id=0B83NpKM_pV1sd0hOdEE2c2V6RWM" TargetMode="External"/><Relationship Id="rId186" Type="http://schemas.openxmlformats.org/officeDocument/2006/relationships/hyperlink" Target="https://drive.google.com/a/binghamton.edu/file/d/0B_lCd4vI8wOKRm5ib2Z0TFdCVEE/view" TargetMode="External"/><Relationship Id="rId185" Type="http://schemas.openxmlformats.org/officeDocument/2006/relationships/hyperlink" Target="https://drive.google.com/a/binghamton.edu/file/d/0B-BMeyhXwSzWWmNzVklwaWpJalE/view" TargetMode="External"/><Relationship Id="rId184" Type="http://schemas.openxmlformats.org/officeDocument/2006/relationships/hyperlink" Target="https://drive.google.com/open?id=0B83NpKM_pV1sd0hOdEE2c2V6RWM" TargetMode="External"/><Relationship Id="rId189" Type="http://schemas.openxmlformats.org/officeDocument/2006/relationships/hyperlink" Target="https://drive.google.com/a/binghamton.edu/file/d/0B_lCd4vI8wOKRm5ib2Z0TFdCVEE/view" TargetMode="External"/><Relationship Id="rId188" Type="http://schemas.openxmlformats.org/officeDocument/2006/relationships/hyperlink" Target="https://drive.google.com/a/binghamton.edu/file/d/0B-BMeyhXwSzWWmNzVklwaWpJalE/view" TargetMode="External"/><Relationship Id="rId183" Type="http://schemas.openxmlformats.org/officeDocument/2006/relationships/hyperlink" Target="https://drive.google.com/a/binghamton.edu/file/d/0B_lCd4vI8wOKRm5ib2Z0TFdCVEE/view" TargetMode="External"/><Relationship Id="rId182" Type="http://schemas.openxmlformats.org/officeDocument/2006/relationships/hyperlink" Target="https://drive.google.com/a/binghamton.edu/file/d/0B-BMeyhXwSzWWmNzVklwaWpJalE/view" TargetMode="External"/><Relationship Id="rId181" Type="http://schemas.openxmlformats.org/officeDocument/2006/relationships/hyperlink" Target="https://drive.google.com/open?id=0B83NpKM_pV1sd0hOdEE2c2V6RWM" TargetMode="External"/><Relationship Id="rId180" Type="http://schemas.openxmlformats.org/officeDocument/2006/relationships/hyperlink" Target="https://drive.google.com/file/d/0B_lCd4vI8wOKanoxcTRudTJtVnc/view?usp=sharing" TargetMode="External"/><Relationship Id="rId176" Type="http://schemas.openxmlformats.org/officeDocument/2006/relationships/hyperlink" Target="https://drive.google.com/a/binghamton.edu/file/d/0B-BMeyhXwSzWWmNzVklwaWpJalE/view" TargetMode="External"/><Relationship Id="rId297" Type="http://schemas.openxmlformats.org/officeDocument/2006/relationships/hyperlink" Target="https://drive.google.com/open?id=0B83NpKM_pV1sMkdkbzEzOE8yUlU" TargetMode="External"/><Relationship Id="rId175" Type="http://schemas.openxmlformats.org/officeDocument/2006/relationships/hyperlink" Target="https://drive.google.com/open?id=0B83NpKM_pV1sSThtUWxyZmFDV3M" TargetMode="External"/><Relationship Id="rId296" Type="http://schemas.openxmlformats.org/officeDocument/2006/relationships/hyperlink" Target="https://drive.google.com/a/binghamton.edu/file/d/0B_lCd4vI8wOKXzhNQzhWQU02bFk/view" TargetMode="External"/><Relationship Id="rId174" Type="http://schemas.openxmlformats.org/officeDocument/2006/relationships/hyperlink" Target="https://drive.google.com/file/d/0B_lCd4vI8wOKdnlDanJ3RGRhTUk/view?usp=sharing" TargetMode="External"/><Relationship Id="rId295" Type="http://schemas.openxmlformats.org/officeDocument/2006/relationships/hyperlink" Target="https://drive.google.com/a/binghamton.edu/file/d/0B-BMeyhXwSzWb0xpN3E0Q2ZrZGM/view" TargetMode="External"/><Relationship Id="rId173" Type="http://schemas.openxmlformats.org/officeDocument/2006/relationships/hyperlink" Target="https://drive.google.com/a/binghamton.edu/file/d/0B5uKCExuj58mVlZRcEw4cmhwOGc/view" TargetMode="External"/><Relationship Id="rId294" Type="http://schemas.openxmlformats.org/officeDocument/2006/relationships/hyperlink" Target="https://drive.google.com/open?id=0B83NpKM_pV1sMkdkbzEzOE8yUlU" TargetMode="External"/><Relationship Id="rId179" Type="http://schemas.openxmlformats.org/officeDocument/2006/relationships/hyperlink" Target="https://drive.google.com/a/binghamton.edu/file/d/0B-BMeyhXwSzWWmNzVklwaWpJalE/view" TargetMode="External"/><Relationship Id="rId178" Type="http://schemas.openxmlformats.org/officeDocument/2006/relationships/hyperlink" Target="https://drive.google.com/open?id=0B83NpKM_pV1sd0hOdEE2c2V6RWM" TargetMode="External"/><Relationship Id="rId299" Type="http://schemas.openxmlformats.org/officeDocument/2006/relationships/hyperlink" Target="https://drive.google.com/a/binghamton.edu/file/d/0B_lCd4vI8wOKXzhNQzhWQU02bFk/view" TargetMode="External"/><Relationship Id="rId177" Type="http://schemas.openxmlformats.org/officeDocument/2006/relationships/hyperlink" Target="https://drive.google.com/file/d/0B_lCd4vI8wOKdnlDanJ3RGRhTUk/view?usp=sharing" TargetMode="External"/><Relationship Id="rId298" Type="http://schemas.openxmlformats.org/officeDocument/2006/relationships/hyperlink" Target="https://drive.google.com/a/binghamton.edu/file/d/0B5uKCExuj58mSm9CUjA2VDR0czA/view" TargetMode="External"/><Relationship Id="rId198" Type="http://schemas.openxmlformats.org/officeDocument/2006/relationships/hyperlink" Target="https://drive.google.com/a/binghamton.edu/file/d/0B_lCd4vI8wOKRm5ib2Z0TFdCVEE/view" TargetMode="External"/><Relationship Id="rId197" Type="http://schemas.openxmlformats.org/officeDocument/2006/relationships/hyperlink" Target="https://drive.google.com/a/binghamton.edu/file/d/0BzjZoBQGkMymQ2JpeXBSOGhHbkE/view" TargetMode="External"/><Relationship Id="rId196" Type="http://schemas.openxmlformats.org/officeDocument/2006/relationships/hyperlink" Target="https://drive.google.com/open?id=0B83NpKM_pV1sd0hOdEE2c2V6RWM" TargetMode="External"/><Relationship Id="rId195" Type="http://schemas.openxmlformats.org/officeDocument/2006/relationships/hyperlink" Target="https://drive.google.com/a/binghamton.edu/file/d/0B_lCd4vI8wOKRm5ib2Z0TFdCVEE/view" TargetMode="External"/><Relationship Id="rId199" Type="http://schemas.openxmlformats.org/officeDocument/2006/relationships/hyperlink" Target="https://drive.google.com/open?id=0B83NpKM_pV1sYmUzV0QyZklqaGc" TargetMode="External"/><Relationship Id="rId150" Type="http://schemas.openxmlformats.org/officeDocument/2006/relationships/hyperlink" Target="https://drive.google.com/file/d/0B_lCd4vI8wOKWE41QnlVanRaSEk/view?usp=sharing" TargetMode="External"/><Relationship Id="rId271" Type="http://schemas.openxmlformats.org/officeDocument/2006/relationships/hyperlink" Target="https://drive.google.com/file/d/0B812JSakX9u5SlpVR1l0UEFVa1E/view?usp=sharing" TargetMode="External"/><Relationship Id="rId392" Type="http://schemas.openxmlformats.org/officeDocument/2006/relationships/hyperlink" Target="https://pubmed.ncbi.nlm.nih.gov/31110573/" TargetMode="External"/><Relationship Id="rId270" Type="http://schemas.openxmlformats.org/officeDocument/2006/relationships/hyperlink" Target="https://drive.google.com/file/d/0B_lCd4vI8wOKU0lnZVRtNk0xaDA/view?usp=sharing" TargetMode="External"/><Relationship Id="rId391" Type="http://schemas.openxmlformats.org/officeDocument/2006/relationships/hyperlink" Target="https://drive.google.com/file/d/0B_lCd4vI8wOKZkdxOUpaUTVrTEU/view?usp=sharing" TargetMode="External"/><Relationship Id="rId390" Type="http://schemas.openxmlformats.org/officeDocument/2006/relationships/hyperlink" Target="https://drive.google.com/a/binghamton.edu/file/d/0B-BMeyhXwSzWdko2dXRlZFVUM2s/view" TargetMode="External"/><Relationship Id="rId1" Type="http://schemas.openxmlformats.org/officeDocument/2006/relationships/hyperlink" Target="https://drive.google.com/file/d/0B_lCd4vI8wOKb2I1Sk1ZVEphbms/view?usp=sharing" TargetMode="External"/><Relationship Id="rId2" Type="http://schemas.openxmlformats.org/officeDocument/2006/relationships/hyperlink" Target="https://drive.google.com/file/d/0B83NpKM_pV1sZU8xOU5qWGRNTFU/view?usp=sharing" TargetMode="External"/><Relationship Id="rId3" Type="http://schemas.openxmlformats.org/officeDocument/2006/relationships/hyperlink" Target="https://drive.google.com/a/binghamton.edu/file/d/0B_lCd4vI8wOKQkpOcDlHbDhBYXM/view" TargetMode="External"/><Relationship Id="rId149" Type="http://schemas.openxmlformats.org/officeDocument/2006/relationships/hyperlink" Target="https://drive.google.com/a/binghamton.edu/file/d/0B-BMeyhXwSzWS1pHYmwzOTY4OTA/view" TargetMode="External"/><Relationship Id="rId4" Type="http://schemas.openxmlformats.org/officeDocument/2006/relationships/hyperlink" Target="https://drive.google.com/file/d/0B_lCd4vI8wOKb2I1Sk1ZVEphbms/view?usp=sharing" TargetMode="External"/><Relationship Id="rId148" Type="http://schemas.openxmlformats.org/officeDocument/2006/relationships/hyperlink" Target="https://drive.google.com/open?id=0B83NpKM_pV1sNEJ5VXJhY1VxVGs" TargetMode="External"/><Relationship Id="rId269" Type="http://schemas.openxmlformats.org/officeDocument/2006/relationships/hyperlink" Target="https://drive.google.com/a/binghamton.edu/file/d/0B5uKCExuj58mVnVaSHlVX2FOMjg/view" TargetMode="External"/><Relationship Id="rId9" Type="http://schemas.openxmlformats.org/officeDocument/2006/relationships/hyperlink" Target="https://drive.google.com/a/binghamton.edu/file/d/0B_lCd4vI8wOKQkpOcDlHbDhBYXM/view" TargetMode="External"/><Relationship Id="rId143" Type="http://schemas.openxmlformats.org/officeDocument/2006/relationships/hyperlink" Target="https://drive.google.com/a/binghamton.edu/file/d/0B-BMeyhXwSzWTkQtN0pVWkI2UWc/view" TargetMode="External"/><Relationship Id="rId264" Type="http://schemas.openxmlformats.org/officeDocument/2006/relationships/hyperlink" Target="https://drive.google.com/file/d/0B_lCd4vI8wOKOTBhdFlDRDBVQTg/view?usp=sharing" TargetMode="External"/><Relationship Id="rId385" Type="http://schemas.openxmlformats.org/officeDocument/2006/relationships/hyperlink" Target="https://drive.google.com/a/binghamton.edu/file/d/0B_lCd4vI8wOKU2VDYWFSYkloVE0/view" TargetMode="External"/><Relationship Id="rId142" Type="http://schemas.openxmlformats.org/officeDocument/2006/relationships/hyperlink" Target="https://drive.google.com/open?id=0B83NpKM_pV1sVDMxZzJreXFKek0" TargetMode="External"/><Relationship Id="rId263" Type="http://schemas.openxmlformats.org/officeDocument/2006/relationships/hyperlink" Target="https://drive.google.com/a/binghamton.edu/file/d/0B5uKCExuj58mVnVaSHlVX2FOMjg/view" TargetMode="External"/><Relationship Id="rId384" Type="http://schemas.openxmlformats.org/officeDocument/2006/relationships/hyperlink" Target="https://drive.google.com/a/binghamton.edu/file/d/0BzjZoBQGkMymaFVHNGN6X2paZm8/view?usp=drive_web" TargetMode="External"/><Relationship Id="rId141" Type="http://schemas.openxmlformats.org/officeDocument/2006/relationships/hyperlink" Target="https://drive.google.com/file/d/0B_lCd4vI8wOKZ0thSHlyajZYN3M/view?usp=sharing" TargetMode="External"/><Relationship Id="rId262" Type="http://schemas.openxmlformats.org/officeDocument/2006/relationships/hyperlink" Target="https://drive.google.com/open?id=0B83NpKM_pV1sTDdqY05OcjlnRFk" TargetMode="External"/><Relationship Id="rId383" Type="http://schemas.openxmlformats.org/officeDocument/2006/relationships/hyperlink" Target="https://www-sciencedirect-com.proxy.binghamton.edu/science/article/pii/S1473309918302330" TargetMode="External"/><Relationship Id="rId140" Type="http://schemas.openxmlformats.org/officeDocument/2006/relationships/hyperlink" Target="https://drive.google.com/a/binghamton.edu/file/d/0B-BMeyhXwSzWZzdnaEFqNmxXczQ/view" TargetMode="External"/><Relationship Id="rId261" Type="http://schemas.openxmlformats.org/officeDocument/2006/relationships/hyperlink" Target="https://drive.google.com/a/binghamton.edu/file/d/0B_lCd4vI8wOKTkNSbkp6cDhyNEk/view" TargetMode="External"/><Relationship Id="rId382" Type="http://schemas.openxmlformats.org/officeDocument/2006/relationships/hyperlink" Target="https://drive.google.com/a/binghamton.edu/file/d/0B_lCd4vI8wOKU2VDYWFSYkloVE0/view" TargetMode="External"/><Relationship Id="rId5" Type="http://schemas.openxmlformats.org/officeDocument/2006/relationships/hyperlink" Target="https://drive.google.com/file/d/0B83NpKM_pV1sZU8xOU5qWGRNTFU/view?usp=sharing" TargetMode="External"/><Relationship Id="rId147" Type="http://schemas.openxmlformats.org/officeDocument/2006/relationships/hyperlink" Target="https://drive.google.com/file/d/0B_lCd4vI8wOKblVLdTAxM0NobU0/view?usp=sharing" TargetMode="External"/><Relationship Id="rId268" Type="http://schemas.openxmlformats.org/officeDocument/2006/relationships/hyperlink" Target="https://drive.google.com/file/d/0B812JSakX9u5SlpVR1l0UEFVa1E/view?usp=sharing" TargetMode="External"/><Relationship Id="rId389" Type="http://schemas.openxmlformats.org/officeDocument/2006/relationships/hyperlink" Target="https://pubmed.ncbi.nlm.nih.gov/31110573/" TargetMode="External"/><Relationship Id="rId6" Type="http://schemas.openxmlformats.org/officeDocument/2006/relationships/hyperlink" Target="https://drive.google.com/a/binghamton.edu/file/d/0B_lCd4vI8wOKQkpOcDlHbDhBYXM/view" TargetMode="External"/><Relationship Id="rId146" Type="http://schemas.openxmlformats.org/officeDocument/2006/relationships/hyperlink" Target="https://drive.google.com/a/binghamton.edu/file/d/0B-BMeyhXwSzWTkQtN0pVWkI2UWc/view" TargetMode="External"/><Relationship Id="rId267" Type="http://schemas.openxmlformats.org/officeDocument/2006/relationships/hyperlink" Target="https://drive.google.com/file/d/0B_lCd4vI8wOKU0lnZVRtNk0xaDA/view?usp=sharing" TargetMode="External"/><Relationship Id="rId388" Type="http://schemas.openxmlformats.org/officeDocument/2006/relationships/hyperlink" Target="https://drive.google.com/a/binghamton.edu/file/d/0B_lCd4vI8wOKU2VDYWFSYkloVE0/view" TargetMode="External"/><Relationship Id="rId7" Type="http://schemas.openxmlformats.org/officeDocument/2006/relationships/hyperlink" Target="https://drive.google.com/file/d/0B_lCd4vI8wOKQ3VGQ2plM2hNTDg/view?usp=sharing" TargetMode="External"/><Relationship Id="rId145" Type="http://schemas.openxmlformats.org/officeDocument/2006/relationships/hyperlink" Target="https://drive.google.com/open?id=0B83NpKM_pV1sVDMxZzJreXFKek0" TargetMode="External"/><Relationship Id="rId266" Type="http://schemas.openxmlformats.org/officeDocument/2006/relationships/hyperlink" Target="https://drive.google.com/a/binghamton.edu/file/d/0B5uKCExuj58mVnVaSHlVX2FOMjg/view" TargetMode="External"/><Relationship Id="rId387" Type="http://schemas.openxmlformats.org/officeDocument/2006/relationships/hyperlink" Target="https://drive.google.com/a/binghamton.edu/file/d/0B-BMeyhXwSzWdko2dXRlZFVUM2s/view" TargetMode="External"/><Relationship Id="rId8" Type="http://schemas.openxmlformats.org/officeDocument/2006/relationships/hyperlink" Target="https://drive.google.com/file/d/0B83NpKM_pV1scmFSLXgtdjBfcGs/view?usp=sharing" TargetMode="External"/><Relationship Id="rId144" Type="http://schemas.openxmlformats.org/officeDocument/2006/relationships/hyperlink" Target="https://drive.google.com/file/d/0B_lCd4vI8wOKblVLdTAxM0NobU0/view?usp=sharing" TargetMode="External"/><Relationship Id="rId265" Type="http://schemas.openxmlformats.org/officeDocument/2006/relationships/hyperlink" Target="https://drive.google.com/file/d/0B812JSakX9u5SlpVR1l0UEFVa1E/view?usp=sharing" TargetMode="External"/><Relationship Id="rId386" Type="http://schemas.openxmlformats.org/officeDocument/2006/relationships/hyperlink" Target="https://www-sciencedirect-com.proxy.binghamton.edu/science/article/pii/S1473309918302330" TargetMode="External"/><Relationship Id="rId260" Type="http://schemas.openxmlformats.org/officeDocument/2006/relationships/hyperlink" Target="https://drive.google.com/a/binghamton.edu/file/d/0B5uKCExuj58mVnVaSHlVX2FOMjg/view" TargetMode="External"/><Relationship Id="rId381" Type="http://schemas.openxmlformats.org/officeDocument/2006/relationships/hyperlink" Target="https://drive.google.com/a/binghamton.edu/file/d/0BzjZoBQGkMymaFVHNGN6X2paZm8/view?usp=drive_web" TargetMode="External"/><Relationship Id="rId380" Type="http://schemas.openxmlformats.org/officeDocument/2006/relationships/hyperlink" Target="https://www-sciencedirect-com.proxy.binghamton.edu/science/article/pii/S1473309918302330" TargetMode="External"/><Relationship Id="rId139" Type="http://schemas.openxmlformats.org/officeDocument/2006/relationships/hyperlink" Target="https://drive.google.com/open?id=0B83NpKM_pV1sVDMxZzJreXFKek0" TargetMode="External"/><Relationship Id="rId138" Type="http://schemas.openxmlformats.org/officeDocument/2006/relationships/hyperlink" Target="https://drive.google.com/file/d/0B_lCd4vI8wOKYXg5SjNTNDl1R1U/view?usp=sharing" TargetMode="External"/><Relationship Id="rId259" Type="http://schemas.openxmlformats.org/officeDocument/2006/relationships/hyperlink" Target="https://drive.google.com/open?id=0B83NpKM_pV1sTDdqY05OcjlnRFk" TargetMode="External"/><Relationship Id="rId137" Type="http://schemas.openxmlformats.org/officeDocument/2006/relationships/hyperlink" Target="https://drive.google.com/a/binghamton.edu/file/d/0B-BMeyhXwSzWMlZTUXA3SGk2UTQ/view" TargetMode="External"/><Relationship Id="rId258" Type="http://schemas.openxmlformats.org/officeDocument/2006/relationships/hyperlink" Target="https://drive.google.com/a/binghamton.edu/file/d/0B_lCd4vI8wOKN2lVSkJRS3NwRm8/view" TargetMode="External"/><Relationship Id="rId379" Type="http://schemas.openxmlformats.org/officeDocument/2006/relationships/hyperlink" Target="https://drive.google.com/a/binghamton.edu/file/d/0B_lCd4vI8wOKU2VDYWFSYkloVE0/view" TargetMode="External"/><Relationship Id="rId132" Type="http://schemas.openxmlformats.org/officeDocument/2006/relationships/hyperlink" Target="https://drive.google.com/file/d/0B_lCd4vI8wOKYXg5SjNTNDl1R1U/view?usp=sharing" TargetMode="External"/><Relationship Id="rId253" Type="http://schemas.openxmlformats.org/officeDocument/2006/relationships/hyperlink" Target="https://drive.google.com/open?id=0B83NpKM_pV1sTDdqY05OcjlnRFk" TargetMode="External"/><Relationship Id="rId374" Type="http://schemas.openxmlformats.org/officeDocument/2006/relationships/hyperlink" Target="https://pubmed.ncbi.nlm.nih.gov/26935065/" TargetMode="External"/><Relationship Id="rId495" Type="http://schemas.openxmlformats.org/officeDocument/2006/relationships/hyperlink" Target="https://innovareacademics.in/journals/index.php/ijap/article/view/33559" TargetMode="External"/><Relationship Id="rId131" Type="http://schemas.openxmlformats.org/officeDocument/2006/relationships/hyperlink" Target="https://drive.google.com/a/binghamton.edu/file/d/0B-BMeyhXwSzWMlZTUXA3SGk2UTQ/view" TargetMode="External"/><Relationship Id="rId252" Type="http://schemas.openxmlformats.org/officeDocument/2006/relationships/hyperlink" Target="https://drive.google.com/a/binghamton.edu/file/d/0B_lCd4vI8wOKN2lVSkJRS3NwRm8/view" TargetMode="External"/><Relationship Id="rId373" Type="http://schemas.openxmlformats.org/officeDocument/2006/relationships/hyperlink" Target="https://drive.google.com/a/binghamton.edu/file/d/0B_lCd4vI8wOKU2VDYWFSYkloVE0/view" TargetMode="External"/><Relationship Id="rId494" Type="http://schemas.openxmlformats.org/officeDocument/2006/relationships/hyperlink" Target="https://drive.google.com/a/binghamton.edu/file/d/0B-BMeyhXwSzWb2JYNzFLSDgyVU0/view" TargetMode="External"/><Relationship Id="rId130" Type="http://schemas.openxmlformats.org/officeDocument/2006/relationships/hyperlink" Target="https://drive.google.com/open?id=0B83NpKM_pV1sRnFEalFJQk41V2s" TargetMode="External"/><Relationship Id="rId251" Type="http://schemas.openxmlformats.org/officeDocument/2006/relationships/hyperlink" Target="https://drive.google.com/a/binghamton.edu/file/d/0B-BMeyhXwSzWUUZIM0ZEbzc2dGs/view" TargetMode="External"/><Relationship Id="rId372" Type="http://schemas.openxmlformats.org/officeDocument/2006/relationships/hyperlink" Target="https://drive.google.com/a/binghamton.edu/file/d/0B-BMeyhXwSzWd19PVmthOHFCSDA/view" TargetMode="External"/><Relationship Id="rId493" Type="http://schemas.openxmlformats.org/officeDocument/2006/relationships/hyperlink" Target="https://www.ncbi.nlm.nih.gov/pmc/articles/PMC7337942/" TargetMode="External"/><Relationship Id="rId250" Type="http://schemas.openxmlformats.org/officeDocument/2006/relationships/hyperlink" Target="https://drive.google.com/a/binghamton.edu/file/d/0B_lCd4vI8wOKaEplNzdjR3ZLQzQ/view" TargetMode="External"/><Relationship Id="rId371" Type="http://schemas.openxmlformats.org/officeDocument/2006/relationships/hyperlink" Target="https://pubmed.ncbi.nlm.nih.gov/26935065/" TargetMode="External"/><Relationship Id="rId492" Type="http://schemas.openxmlformats.org/officeDocument/2006/relationships/hyperlink" Target="https://drive.google.com/a/binghamton.edu/file/d/0B-BMeyhXwSzWb2JYNzFLSDgyVU0/view" TargetMode="External"/><Relationship Id="rId136" Type="http://schemas.openxmlformats.org/officeDocument/2006/relationships/hyperlink" Target="https://drive.google.com/open?id=0B83NpKM_pV1sVDMxZzJreXFKek0" TargetMode="External"/><Relationship Id="rId257" Type="http://schemas.openxmlformats.org/officeDocument/2006/relationships/hyperlink" Target="https://drive.google.com/a/binghamton.edu/file/d/0B-BMeyhXwSzWUUZIM0ZEbzc2dGs/view" TargetMode="External"/><Relationship Id="rId378" Type="http://schemas.openxmlformats.org/officeDocument/2006/relationships/hyperlink" Target="https://drive.google.com/a/binghamton.edu/file/d/0BzjZoBQGkMymaFVHNGN6X2paZm8/view?usp=drive_web" TargetMode="External"/><Relationship Id="rId499" Type="http://schemas.openxmlformats.org/officeDocument/2006/relationships/hyperlink" Target="https://inabj.org/index.php/ibj/article/view/920" TargetMode="External"/><Relationship Id="rId135" Type="http://schemas.openxmlformats.org/officeDocument/2006/relationships/hyperlink" Target="https://drive.google.com/file/d/0B_lCd4vI8wOKYXg5SjNTNDl1R1U/view?usp=sharing" TargetMode="External"/><Relationship Id="rId256" Type="http://schemas.openxmlformats.org/officeDocument/2006/relationships/hyperlink" Target="https://drive.google.com/open?id=0B83NpKM_pV1sTDdqY05OcjlnRFk" TargetMode="External"/><Relationship Id="rId377" Type="http://schemas.openxmlformats.org/officeDocument/2006/relationships/hyperlink" Target="https://www-sciencedirect-com.proxy.binghamton.edu/science/article/pii/S1473309918302330" TargetMode="External"/><Relationship Id="rId498" Type="http://schemas.openxmlformats.org/officeDocument/2006/relationships/hyperlink" Target="https://drive.google.com/a/binghamton.edu/file/d/0B-BMeyhXwSzWNUljMmdjLUxSTWM/view" TargetMode="External"/><Relationship Id="rId134" Type="http://schemas.openxmlformats.org/officeDocument/2006/relationships/hyperlink" Target="https://drive.google.com/a/binghamton.edu/file/d/0B-BMeyhXwSzWMlZTUXA3SGk2UTQ/view" TargetMode="External"/><Relationship Id="rId255" Type="http://schemas.openxmlformats.org/officeDocument/2006/relationships/hyperlink" Target="https://drive.google.com/a/binghamton.edu/file/d/0B_lCd4vI8wOKN2lVSkJRS3NwRm8/view" TargetMode="External"/><Relationship Id="rId376" Type="http://schemas.openxmlformats.org/officeDocument/2006/relationships/hyperlink" Target="https://drive.google.com/a/binghamton.edu/file/d/0B_lCd4vI8wOKU2VDYWFSYkloVE0/view" TargetMode="External"/><Relationship Id="rId497" Type="http://schemas.openxmlformats.org/officeDocument/2006/relationships/hyperlink" Target="https://innovareacademics.in/journals/index.php/ijap/article/view/33559" TargetMode="External"/><Relationship Id="rId133" Type="http://schemas.openxmlformats.org/officeDocument/2006/relationships/hyperlink" Target="https://drive.google.com/open?id=0B83NpKM_pV1sRnFEalFJQk41V2s" TargetMode="External"/><Relationship Id="rId254" Type="http://schemas.openxmlformats.org/officeDocument/2006/relationships/hyperlink" Target="https://drive.google.com/a/binghamton.edu/file/d/0B-BMeyhXwSzWUUZIM0ZEbzc2dGs/view" TargetMode="External"/><Relationship Id="rId375" Type="http://schemas.openxmlformats.org/officeDocument/2006/relationships/hyperlink" Target="https://drive.google.com/a/binghamton.edu/file/d/0B5uKCExuj58mY29lSExIN3BLeU0/view" TargetMode="External"/><Relationship Id="rId496" Type="http://schemas.openxmlformats.org/officeDocument/2006/relationships/hyperlink" Target="https://drive.google.com/a/binghamton.edu/file/d/0B-BMeyhXwSzWNUljMmdjLUxSTWM/view" TargetMode="External"/><Relationship Id="rId172" Type="http://schemas.openxmlformats.org/officeDocument/2006/relationships/hyperlink" Target="https://drive.google.com/a/binghamton.edu/file/d/0B_lCd4vI8wOKZ0thSHlyajZYN3M/view" TargetMode="External"/><Relationship Id="rId293" Type="http://schemas.openxmlformats.org/officeDocument/2006/relationships/hyperlink" Target="https://drive.google.com/file/d/0B_lCd4vI8wOKNW9BY1JRbkdGQ2s/view?usp=sharing" TargetMode="External"/><Relationship Id="rId171" Type="http://schemas.openxmlformats.org/officeDocument/2006/relationships/hyperlink" Target="https://drive.google.com/file/d/0B_lCd4vI8wOKdnlDanJ3RGRhTUk/view?usp=sharing" TargetMode="External"/><Relationship Id="rId292" Type="http://schemas.openxmlformats.org/officeDocument/2006/relationships/hyperlink" Target="https://drive.google.com/a/binghamton.edu/file/d/0B-BMeyhXwSzWb0xpN3E0Q2ZrZGM/view" TargetMode="External"/><Relationship Id="rId170" Type="http://schemas.openxmlformats.org/officeDocument/2006/relationships/hyperlink" Target="https://drive.google.com/a/binghamton.edu/file/d/0BzjZoBQGkMymakl4d0JyYjdxUU0/view" TargetMode="External"/><Relationship Id="rId291" Type="http://schemas.openxmlformats.org/officeDocument/2006/relationships/hyperlink" Target="https://drive.google.com/open?id=0B83NpKM_pV1sMkdkbzEzOE8yUlU" TargetMode="External"/><Relationship Id="rId290" Type="http://schemas.openxmlformats.org/officeDocument/2006/relationships/hyperlink" Target="https://drive.google.com/file/d/0B_lCd4vI8wOKNW9BY1JRbkdGQ2s/view?usp=sharing" TargetMode="External"/><Relationship Id="rId165" Type="http://schemas.openxmlformats.org/officeDocument/2006/relationships/hyperlink" Target="https://drive.google.com/file/d/0B_lCd4vI8wOKY01XSW1wOGVmUHc/view?usp=sharing" TargetMode="External"/><Relationship Id="rId286" Type="http://schemas.openxmlformats.org/officeDocument/2006/relationships/hyperlink" Target="https://drive.google.com/a/binghamton.edu/file/d/0B5uKCExuj58mSF9fTGVVMlRzWjQ/view" TargetMode="External"/><Relationship Id="rId164" Type="http://schemas.openxmlformats.org/officeDocument/2006/relationships/hyperlink" Target="https://drive.google.com/a/binghamton.edu/file/d/0BzjZoBQGkMymakl4d0JyYjdxUU0/view" TargetMode="External"/><Relationship Id="rId285" Type="http://schemas.openxmlformats.org/officeDocument/2006/relationships/hyperlink" Target="https://drive.google.com/open?id=0B83NpKM_pV1sMkdkbzEzOE8yUlU" TargetMode="External"/><Relationship Id="rId163" Type="http://schemas.openxmlformats.org/officeDocument/2006/relationships/hyperlink" Target="https://drive.google.com/open?id=0B83NpKM_pV1sNEJ5VXJhY1VxVGs" TargetMode="External"/><Relationship Id="rId284" Type="http://schemas.openxmlformats.org/officeDocument/2006/relationships/hyperlink" Target="https://drive.google.com/file/d/0B_lCd4vI8wOKU0lnZVRtNk0xaDA/view?usp=sharing" TargetMode="External"/><Relationship Id="rId162" Type="http://schemas.openxmlformats.org/officeDocument/2006/relationships/hyperlink" Target="https://drive.google.com/file/d/0B_lCd4vI8wOKY01XSW1wOGVmUHc/view?usp=sharing" TargetMode="External"/><Relationship Id="rId283" Type="http://schemas.openxmlformats.org/officeDocument/2006/relationships/hyperlink" Target="https://drive.google.com/a/binghamton.edu/file/d/0B5uKCExuj58mSF9fTGVVMlRzWjQ/view" TargetMode="External"/><Relationship Id="rId169" Type="http://schemas.openxmlformats.org/officeDocument/2006/relationships/hyperlink" Target="https://drive.google.com/open?id=0B83NpKM_pV1sNEJ5VXJhY1VxVGs" TargetMode="External"/><Relationship Id="rId168" Type="http://schemas.openxmlformats.org/officeDocument/2006/relationships/hyperlink" Target="https://drive.google.com/file/d/0B_lCd4vI8wOKdnlDanJ3RGRhTUk/view?usp=sharing" TargetMode="External"/><Relationship Id="rId289" Type="http://schemas.openxmlformats.org/officeDocument/2006/relationships/hyperlink" Target="https://drive.google.com/a/binghamton.edu/file/d/0B-BMeyhXwSzWb0xpN3E0Q2ZrZGM/view" TargetMode="External"/><Relationship Id="rId167" Type="http://schemas.openxmlformats.org/officeDocument/2006/relationships/hyperlink" Target="https://drive.google.com/a/binghamton.edu/file/d/0BzjZoBQGkMymakl4d0JyYjdxUU0/view" TargetMode="External"/><Relationship Id="rId288" Type="http://schemas.openxmlformats.org/officeDocument/2006/relationships/hyperlink" Target="https://drive.google.com/open?id=0B83NpKM_pV1sMkdkbzEzOE8yUlU" TargetMode="External"/><Relationship Id="rId166" Type="http://schemas.openxmlformats.org/officeDocument/2006/relationships/hyperlink" Target="https://drive.google.com/open?id=0B83NpKM_pV1sNEJ5VXJhY1VxVGs" TargetMode="External"/><Relationship Id="rId287" Type="http://schemas.openxmlformats.org/officeDocument/2006/relationships/hyperlink" Target="https://drive.google.com/file/d/0B_lCd4vI8wOKU0lnZVRtNk0xaDA/view?usp=sharing" TargetMode="External"/><Relationship Id="rId161" Type="http://schemas.openxmlformats.org/officeDocument/2006/relationships/hyperlink" Target="https://drive.google.com/a/binghamton.edu/file/d/0BzjZoBQGkMymakl4d0JyYjdxUU0/view" TargetMode="External"/><Relationship Id="rId282" Type="http://schemas.openxmlformats.org/officeDocument/2006/relationships/hyperlink" Target="https://drive.google.com/open?id=0B83NpKM_pV1sMkdkbzEzOE8yUlU" TargetMode="External"/><Relationship Id="rId160" Type="http://schemas.openxmlformats.org/officeDocument/2006/relationships/hyperlink" Target="https://drive.google.com/open?id=0B83NpKM_pV1sNEJ5VXJhY1VxVGs" TargetMode="External"/><Relationship Id="rId281" Type="http://schemas.openxmlformats.org/officeDocument/2006/relationships/hyperlink" Target="https://drive.google.com/file/d/0B_lCd4vI8wOKU0lnZVRtNk0xaDA/view?usp=sharing" TargetMode="External"/><Relationship Id="rId280" Type="http://schemas.openxmlformats.org/officeDocument/2006/relationships/hyperlink" Target="https://drive.google.com/a/binghamton.edu/file/d/0B5uKCExuj58mSF9fTGVVMlRzWjQ/view" TargetMode="External"/><Relationship Id="rId159" Type="http://schemas.openxmlformats.org/officeDocument/2006/relationships/hyperlink" Target="https://drive.google.com/file/d/0B_lCd4vI8wOKY01XSW1wOGVmUHc/view?usp=sharing" TargetMode="External"/><Relationship Id="rId154" Type="http://schemas.openxmlformats.org/officeDocument/2006/relationships/hyperlink" Target="https://drive.google.com/open?id=0B83NpKM_pV1sNEJ5VXJhY1VxVGs" TargetMode="External"/><Relationship Id="rId275" Type="http://schemas.openxmlformats.org/officeDocument/2006/relationships/hyperlink" Target="https://drive.google.com/a/binghamton.edu/file/d/0B5uKCExuj58mY3ZqYkRFVG9YVUk/view" TargetMode="External"/><Relationship Id="rId396" Type="http://schemas.openxmlformats.org/officeDocument/2006/relationships/hyperlink" Target="https://drive.google.com/a/binghamton.edu/file/d/0B-BMeyhXwSzWdko2dXRlZFVUM2s/view" TargetMode="External"/><Relationship Id="rId153" Type="http://schemas.openxmlformats.org/officeDocument/2006/relationships/hyperlink" Target="https://drive.google.com/file/d/0B_lCd4vI8wOKY01XSW1wOGVmUHc/view?usp=sharing" TargetMode="External"/><Relationship Id="rId274" Type="http://schemas.openxmlformats.org/officeDocument/2006/relationships/hyperlink" Target="https://drive.google.com/file/d/0B812JSakX9u5MFVIaWNaejUtZGc/view?usp=sharing" TargetMode="External"/><Relationship Id="rId395" Type="http://schemas.openxmlformats.org/officeDocument/2006/relationships/hyperlink" Target="https://pubmed.ncbi.nlm.nih.gov/31110573/" TargetMode="External"/><Relationship Id="rId152" Type="http://schemas.openxmlformats.org/officeDocument/2006/relationships/hyperlink" Target="https://drive.google.com/a/binghamton.edu/file/d/0B-BMeyhXwSzWVnRNVWllbEJRUDA/view" TargetMode="External"/><Relationship Id="rId273" Type="http://schemas.openxmlformats.org/officeDocument/2006/relationships/hyperlink" Target="https://drive.google.com/file/d/0B_lCd4vI8wOKU0lnZVRtNk0xaDA/view?usp=sharing" TargetMode="External"/><Relationship Id="rId394" Type="http://schemas.openxmlformats.org/officeDocument/2006/relationships/hyperlink" Target="https://drive.google.com/file/d/0B_lCd4vI8wOKZkdxOUpaUTVrTEU/view?usp=sharing" TargetMode="External"/><Relationship Id="rId151" Type="http://schemas.openxmlformats.org/officeDocument/2006/relationships/hyperlink" Target="https://drive.google.com/open?id=0B83NpKM_pV1sNEJ5VXJhY1VxVGs" TargetMode="External"/><Relationship Id="rId272" Type="http://schemas.openxmlformats.org/officeDocument/2006/relationships/hyperlink" Target="https://drive.google.com/a/binghamton.edu/file/d/0B5uKCExuj58mY3ZqYkRFVG9YVUk/view" TargetMode="External"/><Relationship Id="rId393" Type="http://schemas.openxmlformats.org/officeDocument/2006/relationships/hyperlink" Target="https://drive.google.com/a/binghamton.edu/file/d/0B-BMeyhXwSzWdko2dXRlZFVUM2s/view" TargetMode="External"/><Relationship Id="rId158" Type="http://schemas.openxmlformats.org/officeDocument/2006/relationships/hyperlink" Target="https://drive.google.com/a/binghamton.edu/file/d/0B-BMeyhXwSzWVnRNVWllbEJRUDA/view" TargetMode="External"/><Relationship Id="rId279" Type="http://schemas.openxmlformats.org/officeDocument/2006/relationships/hyperlink" Target="https://drive.google.com/file/d/0B_lCd4vI8wOKU0lnZVRtNk0xaDA/view?usp=sharing" TargetMode="External"/><Relationship Id="rId157" Type="http://schemas.openxmlformats.org/officeDocument/2006/relationships/hyperlink" Target="https://drive.google.com/open?id=0B83NpKM_pV1sNEJ5VXJhY1VxVGs" TargetMode="External"/><Relationship Id="rId278" Type="http://schemas.openxmlformats.org/officeDocument/2006/relationships/hyperlink" Target="https://drive.google.com/a/binghamton.edu/file/d/0B5uKCExuj58mdmtsanVFMUtaLTQ/view" TargetMode="External"/><Relationship Id="rId399" Type="http://schemas.openxmlformats.org/officeDocument/2006/relationships/hyperlink" Target="https://drive.google.com/a/binghamton.edu/file/d/0B-BMeyhXwSzWdko2dXRlZFVUM2s/view" TargetMode="External"/><Relationship Id="rId156" Type="http://schemas.openxmlformats.org/officeDocument/2006/relationships/hyperlink" Target="https://drive.google.com/file/d/0B_lCd4vI8wOKY01XSW1wOGVmUHc/view?usp=sharing" TargetMode="External"/><Relationship Id="rId277" Type="http://schemas.openxmlformats.org/officeDocument/2006/relationships/hyperlink" Target="https://drive.google.com/file/d/0B812JSakX9u5MFVIaWNaejUtZGc/view?usp=sharing" TargetMode="External"/><Relationship Id="rId398" Type="http://schemas.openxmlformats.org/officeDocument/2006/relationships/hyperlink" Target="https://pubmed.ncbi.nlm.nih.gov/28864027/" TargetMode="External"/><Relationship Id="rId155" Type="http://schemas.openxmlformats.org/officeDocument/2006/relationships/hyperlink" Target="https://drive.google.com/a/binghamton.edu/file/d/0B-BMeyhXwSzWVnRNVWllbEJRUDA/view" TargetMode="External"/><Relationship Id="rId276" Type="http://schemas.openxmlformats.org/officeDocument/2006/relationships/hyperlink" Target="https://drive.google.com/file/d/0B_lCd4vI8wOKU0lnZVRtNk0xaDA/view?usp=sharing" TargetMode="External"/><Relationship Id="rId397" Type="http://schemas.openxmlformats.org/officeDocument/2006/relationships/hyperlink" Target="https://drive.google.com/a/binghamton.edu/file/d/0B-BMeyhXwSzWUjN6d2VDLWFWazA/view" TargetMode="External"/><Relationship Id="rId40" Type="http://schemas.openxmlformats.org/officeDocument/2006/relationships/hyperlink" Target="https://drive.google.com/file/d/0B_lCd4vI8wOKNnQxZU9uRzRFRUE/view?usp=sharing" TargetMode="External"/><Relationship Id="rId42" Type="http://schemas.openxmlformats.org/officeDocument/2006/relationships/hyperlink" Target="https://drive.google.com/a/binghamton.edu/file/d/0B_lCd4vI8wOKWVdEWGgtNWY5bUk/view" TargetMode="External"/><Relationship Id="rId41" Type="http://schemas.openxmlformats.org/officeDocument/2006/relationships/hyperlink" Target="https://drive.google.com/file/d/0B83NpKM_pV1scDRuUTRUMGFXaTg/view?usp=sharing" TargetMode="External"/><Relationship Id="rId44" Type="http://schemas.openxmlformats.org/officeDocument/2006/relationships/hyperlink" Target="https://drive.google.com/file/d/0B83NpKM_pV1scDRuUTRUMGFXaTg/view?usp=sharing" TargetMode="External"/><Relationship Id="rId43" Type="http://schemas.openxmlformats.org/officeDocument/2006/relationships/hyperlink" Target="https://drive.google.com/folderview?id=0B_lCd4vI8wOKQ0NsaTNkRVlQX2s&amp;usp=sharing" TargetMode="External"/><Relationship Id="rId46" Type="http://schemas.openxmlformats.org/officeDocument/2006/relationships/hyperlink" Target="https://drive.google.com/folderview?id=0B_lCd4vI8wOKQ0NsaTNkRVlQX2s&amp;usp=sharing" TargetMode="External"/><Relationship Id="rId45" Type="http://schemas.openxmlformats.org/officeDocument/2006/relationships/hyperlink" Target="https://drive.google.com/a/binghamton.edu/file/d/0B_lCd4vI8wOKR2ExUUtBeUtqdTg/view" TargetMode="External"/><Relationship Id="rId509" Type="http://schemas.openxmlformats.org/officeDocument/2006/relationships/hyperlink" Target="https://www-sciencedirect-com.proxy.binghamton.edu/science/article/pii/S1473309918302202" TargetMode="External"/><Relationship Id="rId508" Type="http://schemas.openxmlformats.org/officeDocument/2006/relationships/hyperlink" Target="https://drive.google.com/a/binghamton.edu/file/d/0B-BMeyhXwSzWeE80TDAzTThoSWc/view" TargetMode="External"/><Relationship Id="rId629" Type="http://schemas.openxmlformats.org/officeDocument/2006/relationships/hyperlink" Target="https://drive.google.com/open?id=0B-gS7RLhwu-rOWxaSEhQX2tneU0" TargetMode="External"/><Relationship Id="rId503" Type="http://schemas.openxmlformats.org/officeDocument/2006/relationships/hyperlink" Target="https://inabj.org/index.php/ibj/article/view/920" TargetMode="External"/><Relationship Id="rId624" Type="http://schemas.openxmlformats.org/officeDocument/2006/relationships/hyperlink" Target="https://drive.google.com/open?id=0B-gS7RLhwu-rYUJYeTJKS1VkRjA" TargetMode="External"/><Relationship Id="rId502" Type="http://schemas.openxmlformats.org/officeDocument/2006/relationships/hyperlink" Target="https://drive.google.com/a/binghamton.edu/file/d/0B-BMeyhXwSzWdE5wU3dOVEY2Q28/view" TargetMode="External"/><Relationship Id="rId623" Type="http://schemas.openxmlformats.org/officeDocument/2006/relationships/hyperlink" Target="https://drive.google.com/open?id=0B-gS7RLhwu-rYUJYeTJKS1VkRjA" TargetMode="External"/><Relationship Id="rId501" Type="http://schemas.openxmlformats.org/officeDocument/2006/relationships/hyperlink" Target="https://inabj.org/index.php/ibj/article/view/920" TargetMode="External"/><Relationship Id="rId622" Type="http://schemas.openxmlformats.org/officeDocument/2006/relationships/hyperlink" Target="https://drive.google.com/open?id=0B-gS7RLhwu-rYUJYeTJKS1VkRjA" TargetMode="External"/><Relationship Id="rId500" Type="http://schemas.openxmlformats.org/officeDocument/2006/relationships/hyperlink" Target="https://drive.google.com/a/binghamton.edu/file/d/0B-BMeyhXwSzWNUljMmdjLUxSTWM/view" TargetMode="External"/><Relationship Id="rId621" Type="http://schemas.openxmlformats.org/officeDocument/2006/relationships/hyperlink" Target="https://drive.google.com/open?id=0B-gS7RLhwu-rc2NHOHRaNnRHTm8" TargetMode="External"/><Relationship Id="rId507" Type="http://schemas.openxmlformats.org/officeDocument/2006/relationships/hyperlink" Target="https://www-sciencedirect-com.proxy.binghamton.edu/science/article/pii/S1473309918302202" TargetMode="External"/><Relationship Id="rId628" Type="http://schemas.openxmlformats.org/officeDocument/2006/relationships/hyperlink" Target="https://drive.google.com/open?id=0B-gS7RLhwu-reERLVkZ4R2pBUHM" TargetMode="External"/><Relationship Id="rId506" Type="http://schemas.openxmlformats.org/officeDocument/2006/relationships/hyperlink" Target="https://drive.google.com/a/binghamton.edu/file/d/0B-BMeyhXwSzWZXFWbzF4MmZmaWs/view" TargetMode="External"/><Relationship Id="rId627" Type="http://schemas.openxmlformats.org/officeDocument/2006/relationships/hyperlink" Target="https://drive.google.com/open?id=0B-gS7RLhwu-rTnBSVmRCbUlNTWM" TargetMode="External"/><Relationship Id="rId505" Type="http://schemas.openxmlformats.org/officeDocument/2006/relationships/hyperlink" Target="https://www-sciencedirect-com.proxy.binghamton.edu/science/article/pii/S1473309918302202" TargetMode="External"/><Relationship Id="rId626" Type="http://schemas.openxmlformats.org/officeDocument/2006/relationships/hyperlink" Target="https://drive.google.com/open?id=0B-gS7RLhwu-rYWMxbXJ2MmJmREk" TargetMode="External"/><Relationship Id="rId504" Type="http://schemas.openxmlformats.org/officeDocument/2006/relationships/hyperlink" Target="https://drive.google.com/a/binghamton.edu/file/d/0B-BMeyhXwSzWdE5wU3dOVEY2Q28/view" TargetMode="External"/><Relationship Id="rId625" Type="http://schemas.openxmlformats.org/officeDocument/2006/relationships/hyperlink" Target="https://drive.google.com/open?id=0B-gS7RLhwu-rc2o1UUhuZENvbEU" TargetMode="External"/><Relationship Id="rId48" Type="http://schemas.openxmlformats.org/officeDocument/2006/relationships/hyperlink" Target="https://drive.google.com/a/binghamton.edu/file/d/0B_lCd4vI8wOKR2ExUUtBeUtqdTg/view" TargetMode="External"/><Relationship Id="rId47" Type="http://schemas.openxmlformats.org/officeDocument/2006/relationships/hyperlink" Target="https://drive.google.com/file/d/0B83NpKM_pV1scDRuUTRUMGFXaTg/view?usp=sharing" TargetMode="External"/><Relationship Id="rId49" Type="http://schemas.openxmlformats.org/officeDocument/2006/relationships/hyperlink" Target="https://drive.google.com/file/d/0B_lCd4vI8wOKaEplNzdjR3ZLQzQ/view?usp=sharing" TargetMode="External"/><Relationship Id="rId620" Type="http://schemas.openxmlformats.org/officeDocument/2006/relationships/hyperlink" Target="https://drive.google.com/open?id=0B-gS7RLhwu-rc2NHOHRaNnRHTm8" TargetMode="External"/><Relationship Id="rId31" Type="http://schemas.openxmlformats.org/officeDocument/2006/relationships/hyperlink" Target="https://drive.google.com/file/d/0B_lCd4vI8wOKNnQxZU9uRzRFRUE/view?usp=sharing" TargetMode="External"/><Relationship Id="rId30" Type="http://schemas.openxmlformats.org/officeDocument/2006/relationships/hyperlink" Target="https://drive.google.com/file/d/0B-BMeyhXwSzWc3BYQk52eG5jODA/view?usp=sharing" TargetMode="External"/><Relationship Id="rId33" Type="http://schemas.openxmlformats.org/officeDocument/2006/relationships/hyperlink" Target="https://drive.google.com/a/binghamton.edu/file/d/0B_lCd4vI8wOKWVdEWGgtNWY5bUk/view" TargetMode="External"/><Relationship Id="rId32" Type="http://schemas.openxmlformats.org/officeDocument/2006/relationships/hyperlink" Target="https://drive.google.com/open?id=0B83NpKM_pV1sZ0U3UWZndUpmc0U" TargetMode="External"/><Relationship Id="rId35" Type="http://schemas.openxmlformats.org/officeDocument/2006/relationships/hyperlink" Target="https://drive.google.com/open?id=0B83NpKM_pV1sZ0U3UWZndUpmc0U" TargetMode="External"/><Relationship Id="rId34" Type="http://schemas.openxmlformats.org/officeDocument/2006/relationships/hyperlink" Target="https://drive.google.com/file/d/0B_lCd4vI8wOKNnQxZU9uRzRFRUE/view?usp=sharing" TargetMode="External"/><Relationship Id="rId619" Type="http://schemas.openxmlformats.org/officeDocument/2006/relationships/hyperlink" Target="https://drive.google.com/open?id=0B-gS7RLhwu-rc2NHOHRaNnRHTm8" TargetMode="External"/><Relationship Id="rId618" Type="http://schemas.openxmlformats.org/officeDocument/2006/relationships/hyperlink" Target="https://drive.google.com/open?id=0B-gS7RLhwu-rc2NHOHRaNnRHTm8" TargetMode="External"/><Relationship Id="rId613" Type="http://schemas.openxmlformats.org/officeDocument/2006/relationships/hyperlink" Target="https://drive.google.com/open?id=0B-gS7RLhwu-rZTkyUzNvN2pSLU0" TargetMode="External"/><Relationship Id="rId612" Type="http://schemas.openxmlformats.org/officeDocument/2006/relationships/hyperlink" Target="https://drive.google.com/open?id=0B-gS7RLhwu-rZTkyUzNvN2pSLU0" TargetMode="External"/><Relationship Id="rId611" Type="http://schemas.openxmlformats.org/officeDocument/2006/relationships/hyperlink" Target="https://drive.google.com/open?id=0B-gS7RLhwu-rZTkyUzNvN2pSLU0" TargetMode="External"/><Relationship Id="rId610" Type="http://schemas.openxmlformats.org/officeDocument/2006/relationships/hyperlink" Target="https://drive.google.com/open?id=0B-gS7RLhwu-rZTkyUzNvN2pSLU0" TargetMode="External"/><Relationship Id="rId617" Type="http://schemas.openxmlformats.org/officeDocument/2006/relationships/hyperlink" Target="https://drive.google.com/open?id=0B-gS7RLhwu-rWnB4WHlLdTZncTg" TargetMode="External"/><Relationship Id="rId616" Type="http://schemas.openxmlformats.org/officeDocument/2006/relationships/hyperlink" Target="https://drive.google.com/open?id=0B-gS7RLhwu-rMUdmQ3NqU1FjeDg" TargetMode="External"/><Relationship Id="rId615" Type="http://schemas.openxmlformats.org/officeDocument/2006/relationships/hyperlink" Target="https://drive.google.com/open?id=0B-gS7RLhwu-rOG5MUTI0RlFHaW8" TargetMode="External"/><Relationship Id="rId614" Type="http://schemas.openxmlformats.org/officeDocument/2006/relationships/hyperlink" Target="https://drive.google.com/open?id=0B-gS7RLhwu-rOG5MUTI0RlFHaW8" TargetMode="External"/><Relationship Id="rId37" Type="http://schemas.openxmlformats.org/officeDocument/2006/relationships/hyperlink" Target="https://drive.google.com/file/d/0B_lCd4vI8wOKNnQxZU9uRzRFRUE/view?usp=sharing" TargetMode="External"/><Relationship Id="rId36" Type="http://schemas.openxmlformats.org/officeDocument/2006/relationships/hyperlink" Target="https://drive.google.com/a/binghamton.edu/file/d/0B_lCd4vI8wOKWVdEWGgtNWY5bUk/view" TargetMode="External"/><Relationship Id="rId39" Type="http://schemas.openxmlformats.org/officeDocument/2006/relationships/hyperlink" Target="https://drive.google.com/a/binghamton.edu/file/d/0B_lCd4vI8wOKWVdEWGgtNWY5bUk/view" TargetMode="External"/><Relationship Id="rId38" Type="http://schemas.openxmlformats.org/officeDocument/2006/relationships/hyperlink" Target="https://drive.google.com/file/d/0B83NpKM_pV1scDRuUTRUMGFXaTg/view?usp=sharing" TargetMode="External"/><Relationship Id="rId20" Type="http://schemas.openxmlformats.org/officeDocument/2006/relationships/hyperlink" Target="https://drive.google.com/open?id=0B83NpKM_pV1seXUxSHVtYVZldzg" TargetMode="External"/><Relationship Id="rId22" Type="http://schemas.openxmlformats.org/officeDocument/2006/relationships/hyperlink" Target="https://drive.google.com/file/d/0B_lCd4vI8wOKZjk4dVZJNDFnbUU/view?usp=sharing" TargetMode="External"/><Relationship Id="rId21" Type="http://schemas.openxmlformats.org/officeDocument/2006/relationships/hyperlink" Target="https://drive.google.com/a/binghamton.edu/file/d/0B_lCd4vI8wOKX2FleUxuTnlFNms/view" TargetMode="External"/><Relationship Id="rId24" Type="http://schemas.openxmlformats.org/officeDocument/2006/relationships/hyperlink" Target="https://drive.google.com/a/binghamton.edu/file/d/0B_lCd4vI8wOKRGlnSTI4OWtHUGc/view" TargetMode="External"/><Relationship Id="rId23" Type="http://schemas.openxmlformats.org/officeDocument/2006/relationships/hyperlink" Target="https://drive.google.com/open?id=0B83NpKM_pV1sVTZsMmpiM3h3U0U" TargetMode="External"/><Relationship Id="rId409" Type="http://schemas.openxmlformats.org/officeDocument/2006/relationships/hyperlink" Target="https://pubmed.ncbi.nlm.nih.gov/28864027/" TargetMode="External"/><Relationship Id="rId404" Type="http://schemas.openxmlformats.org/officeDocument/2006/relationships/hyperlink" Target="https://pubmed.ncbi.nlm.nih.gov/28864027/" TargetMode="External"/><Relationship Id="rId525" Type="http://schemas.openxmlformats.org/officeDocument/2006/relationships/hyperlink" Target="https://journals.plos.org/plosntds/article?id=10.1371/journal.pntd.0003046" TargetMode="External"/><Relationship Id="rId646" Type="http://schemas.openxmlformats.org/officeDocument/2006/relationships/hyperlink" Target="https://drive.google.com/open?id=0B-gS7RLhwu-rRWxWZ1FsRVYxRzg" TargetMode="External"/><Relationship Id="rId403" Type="http://schemas.openxmlformats.org/officeDocument/2006/relationships/hyperlink" Target="https://drive.google.com/a/binghamton.edu/file/d/0B-BMeyhXwSzWQ1k4SHdQakFXa28/view" TargetMode="External"/><Relationship Id="rId524" Type="http://schemas.openxmlformats.org/officeDocument/2006/relationships/hyperlink" Target="https://drive.google.com/a/binghamton.edu/file/d/0B-BMeyhXwSzWS0ladWRYVERHU1U/view" TargetMode="External"/><Relationship Id="rId645" Type="http://schemas.openxmlformats.org/officeDocument/2006/relationships/hyperlink" Target="https://drive.google.com/open?id=0B-gS7RLhwu-reE1XY040QlduRmM" TargetMode="External"/><Relationship Id="rId402" Type="http://schemas.openxmlformats.org/officeDocument/2006/relationships/hyperlink" Target="https://drive.google.com/a/binghamton.edu/file/d/0B_lCd4vI8wOKRC1kSmo4Z0huYmc/view" TargetMode="External"/><Relationship Id="rId523" Type="http://schemas.openxmlformats.org/officeDocument/2006/relationships/hyperlink" Target="https://www.ajol.info//index.php/eamj/article/view/9142" TargetMode="External"/><Relationship Id="rId644" Type="http://schemas.openxmlformats.org/officeDocument/2006/relationships/hyperlink" Target="https://drive.google.com/open?id=0B-gS7RLhwu-rNEtyUEJ3eWtKTnM" TargetMode="External"/><Relationship Id="rId401" Type="http://schemas.openxmlformats.org/officeDocument/2006/relationships/hyperlink" Target="https://pubmed.ncbi.nlm.nih.gov/28864027/" TargetMode="External"/><Relationship Id="rId522" Type="http://schemas.openxmlformats.org/officeDocument/2006/relationships/hyperlink" Target="https://drive.google.com/a/binghamton.edu/file/d/0B-BMeyhXwSzWb2FDalVyNDBfcTQ/view" TargetMode="External"/><Relationship Id="rId643" Type="http://schemas.openxmlformats.org/officeDocument/2006/relationships/hyperlink" Target="https://drive.google.com/open?id=0B-gS7RLhwu-rcEhsV1l0cGwyUWM" TargetMode="External"/><Relationship Id="rId408" Type="http://schemas.openxmlformats.org/officeDocument/2006/relationships/hyperlink" Target="https://drive.google.com/a/binghamton.edu/file/d/0B_lCd4vI8wOKRC1kSmo4Z0huYmc/view" TargetMode="External"/><Relationship Id="rId529" Type="http://schemas.openxmlformats.org/officeDocument/2006/relationships/hyperlink" Target="https://drive.google.com/a/binghamton.edu/file/d/0B-BMeyhXwSzWdnFaX0ttclg1d2s/view" TargetMode="External"/><Relationship Id="rId407" Type="http://schemas.openxmlformats.org/officeDocument/2006/relationships/hyperlink" Target="https://pubmed.ncbi.nlm.nih.gov/28864027/" TargetMode="External"/><Relationship Id="rId528" Type="http://schemas.openxmlformats.org/officeDocument/2006/relationships/hyperlink" Target="https://drive.google.com/a/binghamton.edu/file/d/0B-BMeyhXwSzWdnFaX0ttclg1d2s/view" TargetMode="External"/><Relationship Id="rId649" Type="http://schemas.openxmlformats.org/officeDocument/2006/relationships/hyperlink" Target="https://drive.google.com/open?id=0B-gS7RLhwu-rZlRwZ3VOdDRqU0U" TargetMode="External"/><Relationship Id="rId406" Type="http://schemas.openxmlformats.org/officeDocument/2006/relationships/hyperlink" Target="https://drive.google.com/file/d/0B_lCd4vI8wOKUWlIZXNWSHQ0YWs/view?usp=sharing" TargetMode="External"/><Relationship Id="rId527" Type="http://schemas.openxmlformats.org/officeDocument/2006/relationships/hyperlink" Target="https://drive.google.com/a/binghamton.edu/file/d/0B-BMeyhXwSzWdnFaX0ttclg1d2s/view" TargetMode="External"/><Relationship Id="rId648" Type="http://schemas.openxmlformats.org/officeDocument/2006/relationships/hyperlink" Target="https://drive.google.com/open?id=0B-gS7RLhwu-rb0h4LXpxTkFhb1U" TargetMode="External"/><Relationship Id="rId405" Type="http://schemas.openxmlformats.org/officeDocument/2006/relationships/hyperlink" Target="https://drive.google.com/a/binghamton.edu/file/d/0B_lCd4vI8wOKRC1kSmo4Z0huYmc/view" TargetMode="External"/><Relationship Id="rId526" Type="http://schemas.openxmlformats.org/officeDocument/2006/relationships/hyperlink" Target="https://drive.google.com/a/binghamton.edu/file/d/0B-BMeyhXwSzWdnFaX0ttclg1d2s/view" TargetMode="External"/><Relationship Id="rId647" Type="http://schemas.openxmlformats.org/officeDocument/2006/relationships/hyperlink" Target="https://drive.google.com/open?id=0B-gS7RLhwu-raUIyMGhRcURlVmM" TargetMode="External"/><Relationship Id="rId26" Type="http://schemas.openxmlformats.org/officeDocument/2006/relationships/hyperlink" Target="https://drive.google.com/open?id=0B83NpKM_pV1sZ0U3UWZndUpmc0U" TargetMode="External"/><Relationship Id="rId25" Type="http://schemas.openxmlformats.org/officeDocument/2006/relationships/hyperlink" Target="https://drive.google.com/file/d/0B_lCd4vI8wOKRE5hejZGOGJRNjg/view?usp=sharing" TargetMode="External"/><Relationship Id="rId28" Type="http://schemas.openxmlformats.org/officeDocument/2006/relationships/hyperlink" Target="https://drive.google.com/file/d/0B_lCd4vI8wOKRE5hejZGOGJRNjg/view?usp=sharing" TargetMode="External"/><Relationship Id="rId27" Type="http://schemas.openxmlformats.org/officeDocument/2006/relationships/hyperlink" Target="https://drive.google.com/file/d/0B-BMeyhXwSzWc3BYQk52eG5jODA/view?usp=sharing" TargetMode="External"/><Relationship Id="rId400" Type="http://schemas.openxmlformats.org/officeDocument/2006/relationships/hyperlink" Target="https://drive.google.com/a/binghamton.edu/file/d/0B-BMeyhXwSzWUjN6d2VDLWFWazA/view" TargetMode="External"/><Relationship Id="rId521" Type="http://schemas.openxmlformats.org/officeDocument/2006/relationships/hyperlink" Target="https://www.ajol.info//index.php/eamj/article/view/9142" TargetMode="External"/><Relationship Id="rId642" Type="http://schemas.openxmlformats.org/officeDocument/2006/relationships/hyperlink" Target="https://drive.google.com/open?id=0B-gS7RLhwu-rcWkwR0hNYXpmT0E" TargetMode="External"/><Relationship Id="rId29" Type="http://schemas.openxmlformats.org/officeDocument/2006/relationships/hyperlink" Target="https://drive.google.com/open?id=0B83NpKM_pV1sZ0U3UWZndUpmc0U" TargetMode="External"/><Relationship Id="rId520" Type="http://schemas.openxmlformats.org/officeDocument/2006/relationships/hyperlink" Target="https://drive.google.com/a/binghamton.edu/file/d/0B-BMeyhXwSzWb2FDalVyNDBfcTQ/view" TargetMode="External"/><Relationship Id="rId641" Type="http://schemas.openxmlformats.org/officeDocument/2006/relationships/hyperlink" Target="https://drive.google.com/open?id=0B-gS7RLhwu-rdEcxU0c4bFk0RUU" TargetMode="External"/><Relationship Id="rId640" Type="http://schemas.openxmlformats.org/officeDocument/2006/relationships/hyperlink" Target="https://drive.google.com/open?id=0B-gS7RLhwu-rSkJ0WjBnSnFPdFU" TargetMode="External"/><Relationship Id="rId11" Type="http://schemas.openxmlformats.org/officeDocument/2006/relationships/hyperlink" Target="https://drive.google.com/file/d/0B83NpKM_pV1scmFSLXgtdjBfcGs/view?usp=sharing" TargetMode="External"/><Relationship Id="rId10" Type="http://schemas.openxmlformats.org/officeDocument/2006/relationships/hyperlink" Target="https://drive.google.com/file/d/0B_lCd4vI8wOKQ3VGQ2plM2hNTDg/view?usp=sharing" TargetMode="External"/><Relationship Id="rId13" Type="http://schemas.openxmlformats.org/officeDocument/2006/relationships/hyperlink" Target="https://drive.google.com/file/d/0B_lCd4vI8wOKQ3VGQ2plM2hNTDg/view?usp=sharing" TargetMode="External"/><Relationship Id="rId12" Type="http://schemas.openxmlformats.org/officeDocument/2006/relationships/hyperlink" Target="https://drive.google.com/a/binghamton.edu/file/d/0B_lCd4vI8wOKX2FleUxuTnlFNms/view" TargetMode="External"/><Relationship Id="rId519" Type="http://schemas.openxmlformats.org/officeDocument/2006/relationships/hyperlink" Target="https://www.ajol.info//index.php/eamj/article/view/9142" TargetMode="External"/><Relationship Id="rId514" Type="http://schemas.openxmlformats.org/officeDocument/2006/relationships/hyperlink" Target="https://drive.google.com/a/binghamton.edu/file/d/0B-BMeyhXwSzWMFdyU3l2eXJJZnM/view" TargetMode="External"/><Relationship Id="rId635" Type="http://schemas.openxmlformats.org/officeDocument/2006/relationships/hyperlink" Target="https://drive.google.com/open?id=0B-gS7RLhwu-rYktjWTFEeXB2RVk" TargetMode="External"/><Relationship Id="rId513" Type="http://schemas.openxmlformats.org/officeDocument/2006/relationships/hyperlink" Target="https://www.researchgate.net/publication/14266236_A_Comparative_Trial_of_a_Single-Dose_Ivermectin_Versus_Three_Days_of_Albendazole_for_Treatment_of_Strongyloides_Stercoralis_and_Other_Soil-Transmitted_Helminth_Infections_in_Children/link/5571af6a08ae49af4a95f304/download" TargetMode="External"/><Relationship Id="rId634" Type="http://schemas.openxmlformats.org/officeDocument/2006/relationships/hyperlink" Target="https://drive.google.com/open?id=0B-gS7RLhwu-rVzhDcFBCU29SVVU" TargetMode="External"/><Relationship Id="rId512" Type="http://schemas.openxmlformats.org/officeDocument/2006/relationships/hyperlink" Target="https://drive.google.com/a/binghamton.edu/file/d/0B-BMeyhXwSzWb0doSHl6eFR6MFk/view" TargetMode="External"/><Relationship Id="rId633" Type="http://schemas.openxmlformats.org/officeDocument/2006/relationships/hyperlink" Target="https://drive.google.com/open?id=0B-gS7RLhwu-rZFZqVmFFc0NFQ1E" TargetMode="External"/><Relationship Id="rId511" Type="http://schemas.openxmlformats.org/officeDocument/2006/relationships/hyperlink" Target="https://www-sciencedirect-com.proxy.binghamton.edu/science/article/pii/S1473309918302202" TargetMode="External"/><Relationship Id="rId632" Type="http://schemas.openxmlformats.org/officeDocument/2006/relationships/hyperlink" Target="https://drive.google.com/open?id=0B-gS7RLhwu-relk3OVhRN0ZQRlE" TargetMode="External"/><Relationship Id="rId518" Type="http://schemas.openxmlformats.org/officeDocument/2006/relationships/hyperlink" Target="https://drive.google.com/a/binghamton.edu/file/d/0B-BMeyhXwSzWMFdyU3l2eXJJZnM/view" TargetMode="External"/><Relationship Id="rId639" Type="http://schemas.openxmlformats.org/officeDocument/2006/relationships/hyperlink" Target="https://drive.google.com/open?id=0B-gS7RLhwu-rSkJ0WjBnSnFPdFU" TargetMode="External"/><Relationship Id="rId517" Type="http://schemas.openxmlformats.org/officeDocument/2006/relationships/hyperlink" Target="https://www.ajol.info//index.php/eamj/article/view/9142" TargetMode="External"/><Relationship Id="rId638" Type="http://schemas.openxmlformats.org/officeDocument/2006/relationships/hyperlink" Target="https://drive.google.com/open?id=0B-gS7RLhwu-rMTVmOGJjVDhBR28" TargetMode="External"/><Relationship Id="rId516" Type="http://schemas.openxmlformats.org/officeDocument/2006/relationships/hyperlink" Target="https://drive.google.com/a/binghamton.edu/file/d/0B-BMeyhXwSzWMFdyU3l2eXJJZnM/view" TargetMode="External"/><Relationship Id="rId637" Type="http://schemas.openxmlformats.org/officeDocument/2006/relationships/hyperlink" Target="https://drive.google.com/open?id=0B-gS7RLhwu-rdmlNWlpEZEFJX3c" TargetMode="External"/><Relationship Id="rId515" Type="http://schemas.openxmlformats.org/officeDocument/2006/relationships/hyperlink" Target="https://www.researchgate.net/publication/14266236_A_Comparative_Trial_of_a_Single-Dose_Ivermectin_Versus_Three_Days_of_Albendazole_for_Treatment_of_Strongyloides_Stercoralis_and_Other_Soil-Transmitted_Helminth_Infections_in_Children/link/5571af6a08ae49af4a95f304/download" TargetMode="External"/><Relationship Id="rId636" Type="http://schemas.openxmlformats.org/officeDocument/2006/relationships/hyperlink" Target="https://drive.google.com/open?id=0B-gS7RLhwu-rcEFnZVJQREVvSEk" TargetMode="External"/><Relationship Id="rId15" Type="http://schemas.openxmlformats.org/officeDocument/2006/relationships/hyperlink" Target="https://drive.google.com/a/binghamton.edu/file/d/0B_lCd4vI8wOKX2FleUxuTnlFNms/view" TargetMode="External"/><Relationship Id="rId14" Type="http://schemas.openxmlformats.org/officeDocument/2006/relationships/hyperlink" Target="https://drive.google.com/file/d/0B83NpKM_pV1scmFSLXgtdjBfcGs/view?usp=sharing" TargetMode="External"/><Relationship Id="rId17" Type="http://schemas.openxmlformats.org/officeDocument/2006/relationships/hyperlink" Target="https://drive.google.com/open?id=0B83NpKM_pV1seXUxSHVtYVZldzg" TargetMode="External"/><Relationship Id="rId16" Type="http://schemas.openxmlformats.org/officeDocument/2006/relationships/hyperlink" Target="https://drive.google.com/file/d/0B_lCd4vI8wOKZjk4dVZJNDFnbUU/view?usp=sharing" TargetMode="External"/><Relationship Id="rId19" Type="http://schemas.openxmlformats.org/officeDocument/2006/relationships/hyperlink" Target="https://drive.google.com/file/d/0B_lCd4vI8wOKZjk4dVZJNDFnbUU/view?usp=sharing" TargetMode="External"/><Relationship Id="rId510" Type="http://schemas.openxmlformats.org/officeDocument/2006/relationships/hyperlink" Target="https://drive.google.com/a/binghamton.edu/file/d/0B-BMeyhXwSzWeE80TDAzTThoSWc/view" TargetMode="External"/><Relationship Id="rId631" Type="http://schemas.openxmlformats.org/officeDocument/2006/relationships/hyperlink" Target="https://drive.google.com/open?id=0B-gS7RLhwu-rYkRMRG53eEVGems" TargetMode="External"/><Relationship Id="rId18" Type="http://schemas.openxmlformats.org/officeDocument/2006/relationships/hyperlink" Target="https://drive.google.com/a/binghamton.edu/file/d/0B_lCd4vI8wOKX2FleUxuTnlFNms/view" TargetMode="External"/><Relationship Id="rId630" Type="http://schemas.openxmlformats.org/officeDocument/2006/relationships/hyperlink" Target="https://drive.google.com/open?id=0B-gS7RLhwu-rOUNKNVA0U0ZSOXM" TargetMode="External"/><Relationship Id="rId84" Type="http://schemas.openxmlformats.org/officeDocument/2006/relationships/hyperlink" Target="https://drive.google.com/file/d/0B_lCd4vI8wOKT0RZOU1JQ3NqclE/view?usp=sharing" TargetMode="External"/><Relationship Id="rId83" Type="http://schemas.openxmlformats.org/officeDocument/2006/relationships/hyperlink" Target="https://drive.google.com/a/binghamton.edu/file/d/0B_lCd4vI8wOKZnN2WUR4QlJSZ1E/view" TargetMode="External"/><Relationship Id="rId86" Type="http://schemas.openxmlformats.org/officeDocument/2006/relationships/hyperlink" Target="https://drive.google.com/a/binghamton.edu/file/d/0B_lCd4vI8wOKZnN2WUR4QlJSZ1E/view" TargetMode="External"/><Relationship Id="rId85" Type="http://schemas.openxmlformats.org/officeDocument/2006/relationships/hyperlink" Target="https://drive.google.com/file/d/0B73nQHB85_VxOWxMQWEtT0FhbzQ/view?usp=sharing" TargetMode="External"/><Relationship Id="rId88" Type="http://schemas.openxmlformats.org/officeDocument/2006/relationships/hyperlink" Target="https://drive.google.com/file/d/0B73nQHB85_VxOWxMQWEtT0FhbzQ/view?usp=sharing" TargetMode="External"/><Relationship Id="rId87" Type="http://schemas.openxmlformats.org/officeDocument/2006/relationships/hyperlink" Target="https://drive.google.com/file/d/0B_lCd4vI8wOKT0RZOU1JQ3NqclE/view?usp=sharing" TargetMode="External"/><Relationship Id="rId89" Type="http://schemas.openxmlformats.org/officeDocument/2006/relationships/hyperlink" Target="https://drive.google.com/a/binghamton.edu/file/d/0B_lCd4vI8wOKZnN2WUR4QlJSZ1E/view" TargetMode="External"/><Relationship Id="rId80" Type="http://schemas.openxmlformats.org/officeDocument/2006/relationships/hyperlink" Target="https://drive.google.com/a/binghamton.edu/file/d/0B_lCd4vI8wOKZnN2WUR4QlJSZ1E/view" TargetMode="External"/><Relationship Id="rId82" Type="http://schemas.openxmlformats.org/officeDocument/2006/relationships/hyperlink" Target="https://drive.google.com/file/d/0B73nQHB85_VxOWxMQWEtT0FhbzQ/view?usp=sharing" TargetMode="External"/><Relationship Id="rId81" Type="http://schemas.openxmlformats.org/officeDocument/2006/relationships/hyperlink" Target="https://drive.google.com/file/d/0B_lCd4vI8wOKTTdzS0NSX25PcDg/view?usp=sharing" TargetMode="External"/><Relationship Id="rId73" Type="http://schemas.openxmlformats.org/officeDocument/2006/relationships/hyperlink" Target="https://drive.google.com/open?id=0B83NpKM_pV1sQkY3d0dvYlFSMEk" TargetMode="External"/><Relationship Id="rId72" Type="http://schemas.openxmlformats.org/officeDocument/2006/relationships/hyperlink" Target="https://drive.google.com/file/d/0B_lCd4vI8wOKXzhNQzhWQU02bFk/view?usp=sharing" TargetMode="External"/><Relationship Id="rId75" Type="http://schemas.openxmlformats.org/officeDocument/2006/relationships/hyperlink" Target="https://drive.google.com/file/d/0B_lCd4vI8wOKTTdzS0NSX25PcDg/view?usp=sharing" TargetMode="External"/><Relationship Id="rId74" Type="http://schemas.openxmlformats.org/officeDocument/2006/relationships/hyperlink" Target="https://drive.google.com/a/binghamton.edu/file/d/0B_lCd4vI8wOKaUxDOUFPLV9RQU0/view" TargetMode="External"/><Relationship Id="rId77" Type="http://schemas.openxmlformats.org/officeDocument/2006/relationships/hyperlink" Target="https://drive.google.com/a/binghamton.edu/file/d/0B_lCd4vI8wOKaUxDOUFPLV9RQU0/view" TargetMode="External"/><Relationship Id="rId76" Type="http://schemas.openxmlformats.org/officeDocument/2006/relationships/hyperlink" Target="https://drive.google.com/open?id=0B83NpKM_pV1sQkY3d0dvYlFSMEk" TargetMode="External"/><Relationship Id="rId79" Type="http://schemas.openxmlformats.org/officeDocument/2006/relationships/hyperlink" Target="https://drive.google.com/file/d/0B73nQHB85_VxOWxMQWEtT0FhbzQ/view?usp=sharing" TargetMode="External"/><Relationship Id="rId78" Type="http://schemas.openxmlformats.org/officeDocument/2006/relationships/hyperlink" Target="https://drive.google.com/file/d/0B_lCd4vI8wOKTTdzS0NSX25PcDg/view?usp=sharing" TargetMode="External"/><Relationship Id="rId71" Type="http://schemas.openxmlformats.org/officeDocument/2006/relationships/hyperlink" Target="https://drive.google.com/a/binghamton.edu/file/d/0B_lCd4vI8wOKaUxDOUFPLV9RQU0/view" TargetMode="External"/><Relationship Id="rId70" Type="http://schemas.openxmlformats.org/officeDocument/2006/relationships/hyperlink" Target="https://drive.google.com/open?id=0B83NpKM_pV1sSG56ZHo5TWRPNmM" TargetMode="External"/><Relationship Id="rId62" Type="http://schemas.openxmlformats.org/officeDocument/2006/relationships/hyperlink" Target="https://drive.google.com/a/binghamton.edu/file/d/0B_lCd4vI8wOKaUxDOUFPLV9RQU0/view" TargetMode="External"/><Relationship Id="rId61" Type="http://schemas.openxmlformats.org/officeDocument/2006/relationships/hyperlink" Target="https://drive.google.com/open?id=0B83NpKM_pV1seGJNYlo2UDdTVTQ" TargetMode="External"/><Relationship Id="rId64" Type="http://schemas.openxmlformats.org/officeDocument/2006/relationships/hyperlink" Target="https://drive.google.com/open?id=0B83NpKM_pV1seGJNYlo2UDdTVTQ" TargetMode="External"/><Relationship Id="rId63" Type="http://schemas.openxmlformats.org/officeDocument/2006/relationships/hyperlink" Target="https://drive.google.com/file/d/0B_lCd4vI8wOKRnA5ZFFHRC01dTQ/view?usp=sharing" TargetMode="External"/><Relationship Id="rId66" Type="http://schemas.openxmlformats.org/officeDocument/2006/relationships/hyperlink" Target="https://drive.google.com/file/d/0B_lCd4vI8wOKXzhNQzhWQU02bFk/view?usp=sharing" TargetMode="External"/><Relationship Id="rId65" Type="http://schemas.openxmlformats.org/officeDocument/2006/relationships/hyperlink" Target="https://drive.google.com/a/binghamton.edu/file/d/0B_lCd4vI8wOKaUxDOUFPLV9RQU0/view" TargetMode="External"/><Relationship Id="rId68" Type="http://schemas.openxmlformats.org/officeDocument/2006/relationships/hyperlink" Target="https://drive.google.com/a/binghamton.edu/file/d/0B_lCd4vI8wOKaUxDOUFPLV9RQU0/view" TargetMode="External"/><Relationship Id="rId67" Type="http://schemas.openxmlformats.org/officeDocument/2006/relationships/hyperlink" Target="https://drive.google.com/open?id=0B83NpKM_pV1seGJNYlo2UDdTVTQ" TargetMode="External"/><Relationship Id="rId609" Type="http://schemas.openxmlformats.org/officeDocument/2006/relationships/hyperlink" Target="https://tropmedhealth.biomedcentral.com/articles/10.1186/s41182-020-00282-z" TargetMode="External"/><Relationship Id="rId608" Type="http://schemas.openxmlformats.org/officeDocument/2006/relationships/hyperlink" Target="https://www.sciencedirect.com/science/article/pii/S1473309918302330?casa_token=ON1JzjyY5LkAAAAA:7KWbfQSsKRyOO0XljR_iYZqR0UOJTW3NhCtz_d8-0xgteWjpE0mp2XhYxNE9X_mNr7QoECu3YQ" TargetMode="External"/><Relationship Id="rId607" Type="http://schemas.openxmlformats.org/officeDocument/2006/relationships/hyperlink" Target="https://www.sciencedirect.com/science/article/pii/S1473309918302330?casa_token=ON1JzjyY5LkAAAAA:7KWbfQSsKRyOO0XljR_iYZqR0UOJTW3NhCtz_d8-0xgteWjpE0mp2XhYxNE9X_mNr7QoECu3YQ" TargetMode="External"/><Relationship Id="rId60" Type="http://schemas.openxmlformats.org/officeDocument/2006/relationships/hyperlink" Target="https://drive.google.com/file/d/0B_lCd4vI8wOKRnA5ZFFHRC01dTQ/view?usp=sharing" TargetMode="External"/><Relationship Id="rId602" Type="http://schemas.openxmlformats.org/officeDocument/2006/relationships/hyperlink" Target="https://www.sciencedirect.com/science/article/pii/S1473309917304875?casa_token=2XanoHNJDOkAAAAA:LdDbWptSw4Xshkv_8Y7O_IFHjI5-X8v2f9IJ2Vqyhn_WvVknCaJIcbR3BQF7JRdYpFuGa87mlg" TargetMode="External"/><Relationship Id="rId601" Type="http://schemas.openxmlformats.org/officeDocument/2006/relationships/hyperlink" Target="https://www.sciencedirect.com/science/article/pii/S1473309917304875?casa_token=2XanoHNJDOkAAAAA:LdDbWptSw4Xshkv_8Y7O_IFHjI5-X8v2f9IJ2Vqyhn_WvVknCaJIcbR3BQF7JRdYpFuGa87mlg" TargetMode="External"/><Relationship Id="rId600" Type="http://schemas.openxmlformats.org/officeDocument/2006/relationships/hyperlink" Target="https://www.sciencedirect.com/science/article/pii/S1473309917304875?casa_token=2XanoHNJDOkAAAAA:LdDbWptSw4Xshkv_8Y7O_IFHjI5-X8v2f9IJ2Vqyhn_WvVknCaJIcbR3BQF7JRdYpFuGa87mlg" TargetMode="External"/><Relationship Id="rId606" Type="http://schemas.openxmlformats.org/officeDocument/2006/relationships/hyperlink" Target="https://www.sciencedirect.com/science/article/pii/S1473309918302330?casa_token=ON1JzjyY5LkAAAAA:7KWbfQSsKRyOO0XljR_iYZqR0UOJTW3NhCtz_d8-0xgteWjpE0mp2XhYxNE9X_mNr7QoECu3YQ" TargetMode="External"/><Relationship Id="rId605" Type="http://schemas.openxmlformats.org/officeDocument/2006/relationships/hyperlink" Target="https://www.sciencedirect.com/science/article/pii/S1473309918302330?casa_token=ON1JzjyY5LkAAAAA:7KWbfQSsKRyOO0XljR_iYZqR0UOJTW3NhCtz_d8-0xgteWjpE0mp2XhYxNE9X_mNr7QoECu3YQ" TargetMode="External"/><Relationship Id="rId604" Type="http://schemas.openxmlformats.org/officeDocument/2006/relationships/hyperlink" Target="https://www.sciencedirect.com/science/article/pii/S1473309917304875?casa_token=2XanoHNJDOkAAAAA:LdDbWptSw4Xshkv_8Y7O_IFHjI5-X8v2f9IJ2Vqyhn_WvVknCaJIcbR3BQF7JRdYpFuGa87mlg" TargetMode="External"/><Relationship Id="rId603" Type="http://schemas.openxmlformats.org/officeDocument/2006/relationships/hyperlink" Target="https://www.sciencedirect.com/science/article/pii/S1473309917304875?casa_token=2XanoHNJDOkAAAAA:LdDbWptSw4Xshkv_8Y7O_IFHjI5-X8v2f9IJ2Vqyhn_WvVknCaJIcbR3BQF7JRdYpFuGa87mlg" TargetMode="External"/><Relationship Id="rId69" Type="http://schemas.openxmlformats.org/officeDocument/2006/relationships/hyperlink" Target="https://drive.google.com/file/d/0B_lCd4vI8wOKXzhNQzhWQU02bFk/view?usp=sharing" TargetMode="External"/><Relationship Id="rId51" Type="http://schemas.openxmlformats.org/officeDocument/2006/relationships/hyperlink" Target="https://drive.google.com/a/binghamton.edu/file/d/0B_lCd4vI8wOKaUxDOUFPLV9RQU0/view" TargetMode="External"/><Relationship Id="rId50" Type="http://schemas.openxmlformats.org/officeDocument/2006/relationships/hyperlink" Target="https://drive.google.com/file/d/0B83NpKM_pV1scDRuUTRUMGFXaTg/view?usp=sharing" TargetMode="External"/><Relationship Id="rId53" Type="http://schemas.openxmlformats.org/officeDocument/2006/relationships/hyperlink" Target="https://drive.google.com/open?id=0B83NpKM_pV1sM240QXhUVGtFQTQ" TargetMode="External"/><Relationship Id="rId52" Type="http://schemas.openxmlformats.org/officeDocument/2006/relationships/hyperlink" Target="https://drive.google.com/file/d/0B_lCd4vI8wOKaEplNzdjR3ZLQzQ/view?usp=sharing" TargetMode="External"/><Relationship Id="rId55" Type="http://schemas.openxmlformats.org/officeDocument/2006/relationships/hyperlink" Target="https://drive.google.com/open?id=0B83NpKM_pV1sM240QXhUVGtFQTQ" TargetMode="External"/><Relationship Id="rId54" Type="http://schemas.openxmlformats.org/officeDocument/2006/relationships/hyperlink" Target="https://drive.google.com/a/binghamton.edu/file/d/0B_lCd4vI8wOKaUxDOUFPLV9RQU0/view" TargetMode="External"/><Relationship Id="rId57" Type="http://schemas.openxmlformats.org/officeDocument/2006/relationships/hyperlink" Target="https://drive.google.com/file/d/0B_lCd4vI8wOKRnA5ZFFHRC01dTQ/view?usp=sharing" TargetMode="External"/><Relationship Id="rId56" Type="http://schemas.openxmlformats.org/officeDocument/2006/relationships/hyperlink" Target="https://drive.google.com/a/binghamton.edu/file/d/0B_lCd4vI8wOKaUxDOUFPLV9RQU0/view" TargetMode="External"/><Relationship Id="rId59" Type="http://schemas.openxmlformats.org/officeDocument/2006/relationships/hyperlink" Target="https://drive.google.com/a/binghamton.edu/file/d/0B_lCd4vI8wOKaUxDOUFPLV9RQU0/view" TargetMode="External"/><Relationship Id="rId58" Type="http://schemas.openxmlformats.org/officeDocument/2006/relationships/hyperlink" Target="https://drive.google.com/open?id=0B83NpKM_pV1sM240QXhUVGtFQTQ" TargetMode="External"/><Relationship Id="rId590" Type="http://schemas.openxmlformats.org/officeDocument/2006/relationships/hyperlink" Target="https://pubmed.ncbi.nlm.nih.gov/29617737/" TargetMode="External"/><Relationship Id="rId107" Type="http://schemas.openxmlformats.org/officeDocument/2006/relationships/hyperlink" Target="https://drive.google.com/a/binghamton.edu/file/d/0B_lCd4vI8wOKLVhQcnNWZV9iT3c/view" TargetMode="External"/><Relationship Id="rId228" Type="http://schemas.openxmlformats.org/officeDocument/2006/relationships/hyperlink" Target="https://drive.google.com/file/d/0B_lCd4vI8wOKUVhXaEtfamZwbUE/view?usp=sharing" TargetMode="External"/><Relationship Id="rId349" Type="http://schemas.openxmlformats.org/officeDocument/2006/relationships/hyperlink" Target="https://drive.google.com/a/binghamton.edu/file/d/0B-BMeyhXwSzWVDF2RGZlM2JSc2c/view" TargetMode="External"/><Relationship Id="rId106" Type="http://schemas.openxmlformats.org/officeDocument/2006/relationships/hyperlink" Target="https://drive.google.com/open?id=0B83NpKM_pV1sUV9CNnFvaDFjdVk" TargetMode="External"/><Relationship Id="rId227" Type="http://schemas.openxmlformats.org/officeDocument/2006/relationships/hyperlink" Target="https://drive.google.com/a/binghamton.edu/file/d/0B-BMeyhXwSzWSzhzaDFxU2ZDbVk/view" TargetMode="External"/><Relationship Id="rId348" Type="http://schemas.openxmlformats.org/officeDocument/2006/relationships/hyperlink" Target="https://drive.google.com/file/d/0B_lCd4vI8wOKVGxKVjNzaWs1S00/view?usp=sharing" TargetMode="External"/><Relationship Id="rId469" Type="http://schemas.openxmlformats.org/officeDocument/2006/relationships/hyperlink" Target="https://pubmed.ncbi.nlm.nih.gov/32405623/" TargetMode="External"/><Relationship Id="rId105" Type="http://schemas.openxmlformats.org/officeDocument/2006/relationships/hyperlink" Target="https://drive.google.com/file/d/0B_lCd4vI8wOKMC0ySzJnWEFYREE/view?usp=sharing" TargetMode="External"/><Relationship Id="rId226" Type="http://schemas.openxmlformats.org/officeDocument/2006/relationships/hyperlink" Target="https://drive.google.com/open?id=0B83NpKM_pV1sUGdLUTRubERjS0E" TargetMode="External"/><Relationship Id="rId347" Type="http://schemas.openxmlformats.org/officeDocument/2006/relationships/hyperlink" Target="https://drive.google.com/a/binghamton.edu/file/d/0B-BMeyhXwSzWbWE1V0Vydy1lbGs/view" TargetMode="External"/><Relationship Id="rId468" Type="http://schemas.openxmlformats.org/officeDocument/2006/relationships/hyperlink" Target="https://drive.google.com/open?id=0B83NpKM_pV1sd0hOdEE2c2V6RWM" TargetMode="External"/><Relationship Id="rId589" Type="http://schemas.openxmlformats.org/officeDocument/2006/relationships/hyperlink" Target="https://pubmed.ncbi.nlm.nih.gov/29617737/" TargetMode="External"/><Relationship Id="rId104" Type="http://schemas.openxmlformats.org/officeDocument/2006/relationships/hyperlink" Target="https://drive.google.com/a/binghamton.edu/file/d/0B_lCd4vI8wOKLVhQcnNWZV9iT3c/view" TargetMode="External"/><Relationship Id="rId225" Type="http://schemas.openxmlformats.org/officeDocument/2006/relationships/hyperlink" Target="https://drive.google.com/a/binghamton.edu/file/d/0B_lCd4vI8wOKZVh2UWFqazlmT1k/view" TargetMode="External"/><Relationship Id="rId346" Type="http://schemas.openxmlformats.org/officeDocument/2006/relationships/hyperlink" Target="https://drive.google.com/open?id=0B-gS7RLhwu-rYmJIUXhsTThMQ2M" TargetMode="External"/><Relationship Id="rId467" Type="http://schemas.openxmlformats.org/officeDocument/2006/relationships/hyperlink" Target="https://pubmed.ncbi.nlm.nih.gov/32405623/" TargetMode="External"/><Relationship Id="rId588" Type="http://schemas.openxmlformats.org/officeDocument/2006/relationships/hyperlink" Target="https://pubmed.ncbi.nlm.nih.gov/29617737/" TargetMode="External"/><Relationship Id="rId109" Type="http://schemas.openxmlformats.org/officeDocument/2006/relationships/hyperlink" Target="https://drive.google.com/open?id=0B83NpKM_pV1sTUxyWEVLdmxFTGs" TargetMode="External"/><Relationship Id="rId108" Type="http://schemas.openxmlformats.org/officeDocument/2006/relationships/hyperlink" Target="https://drive.google.com/file/d/0B_lCd4vI8wOKMC0ySzJnWEFYREE/view?usp=sharing" TargetMode="External"/><Relationship Id="rId229" Type="http://schemas.openxmlformats.org/officeDocument/2006/relationships/hyperlink" Target="https://drive.google.com/open?id=0B83NpKM_pV1sa2szOVNWaVNOV3M" TargetMode="External"/><Relationship Id="rId220" Type="http://schemas.openxmlformats.org/officeDocument/2006/relationships/hyperlink" Target="https://drive.google.com/open?id=0B83NpKM_pV1sUGdLUTRubERjS0E" TargetMode="External"/><Relationship Id="rId341" Type="http://schemas.openxmlformats.org/officeDocument/2006/relationships/hyperlink" Target="https://drive.google.com/a/binghamton.edu/file/d/0B-BMeyhXwSzWT3JtTkNtTzFPeFU/view" TargetMode="External"/><Relationship Id="rId462" Type="http://schemas.openxmlformats.org/officeDocument/2006/relationships/hyperlink" Target="https://drive.google.com/open?id=0B83NpKM_pV1sd0hOdEE2c2V6RWM" TargetMode="External"/><Relationship Id="rId583" Type="http://schemas.openxmlformats.org/officeDocument/2006/relationships/hyperlink" Target="https://pubmed.ncbi.nlm.nih.gov/31110573/" TargetMode="External"/><Relationship Id="rId340" Type="http://schemas.openxmlformats.org/officeDocument/2006/relationships/hyperlink" Target="https://drive.google.com/open?id=0B-gS7RLhwu-rUlJXRkhaSmluTkE" TargetMode="External"/><Relationship Id="rId461" Type="http://schemas.openxmlformats.org/officeDocument/2006/relationships/hyperlink" Target="https://pubmed.ncbi.nlm.nih.gov/31044235/" TargetMode="External"/><Relationship Id="rId582" Type="http://schemas.openxmlformats.org/officeDocument/2006/relationships/hyperlink" Target="https://pubmed.ncbi.nlm.nih.gov/31110573/" TargetMode="External"/><Relationship Id="rId460" Type="http://schemas.openxmlformats.org/officeDocument/2006/relationships/hyperlink" Target="https://drive.google.com/open?id=0B83NpKM_pV1sd0hOdEE2c2V6RWM" TargetMode="External"/><Relationship Id="rId581" Type="http://schemas.openxmlformats.org/officeDocument/2006/relationships/hyperlink" Target="https://pubmed.ncbi.nlm.nih.gov/31110573/" TargetMode="External"/><Relationship Id="rId580" Type="http://schemas.openxmlformats.org/officeDocument/2006/relationships/hyperlink" Target="https://www.researchgate.net/publication/284206245_Therapeutic_efficacy_of_different_brands_of_albendazole_against_soil_transmitted_helminths_among_students_of_Mendera_Elementary_School_Jimma_Southwest_Ethiopia" TargetMode="External"/><Relationship Id="rId103" Type="http://schemas.openxmlformats.org/officeDocument/2006/relationships/hyperlink" Target="https://drive.google.com/open?id=0B83NpKM_pV1sUV9CNnFvaDFjdVk" TargetMode="External"/><Relationship Id="rId224" Type="http://schemas.openxmlformats.org/officeDocument/2006/relationships/hyperlink" Target="https://drive.google.com/a/binghamton.edu/file/d/0B-BMeyhXwSzWSzhzaDFxU2ZDbVk/view" TargetMode="External"/><Relationship Id="rId345" Type="http://schemas.openxmlformats.org/officeDocument/2006/relationships/hyperlink" Target="https://drive.google.com/a/binghamton.edu/file/d/0B_lCd4vI8wOKdi1RT3BRbFdmUEk/view" TargetMode="External"/><Relationship Id="rId466" Type="http://schemas.openxmlformats.org/officeDocument/2006/relationships/hyperlink" Target="https://drive.google.com/open?id=0B83NpKM_pV1sd0hOdEE2c2V6RWM" TargetMode="External"/><Relationship Id="rId587" Type="http://schemas.openxmlformats.org/officeDocument/2006/relationships/hyperlink" Target="https://pubmed.ncbi.nlm.nih.gov/21062129/" TargetMode="External"/><Relationship Id="rId102" Type="http://schemas.openxmlformats.org/officeDocument/2006/relationships/hyperlink" Target="https://drive.google.com/file/d/0B_lCd4vI8wOKMC0ySzJnWEFYREE/view?usp=sharing" TargetMode="External"/><Relationship Id="rId223" Type="http://schemas.openxmlformats.org/officeDocument/2006/relationships/hyperlink" Target="https://drive.google.com/open?id=0B83NpKM_pV1sUGdLUTRubERjS0E" TargetMode="External"/><Relationship Id="rId344" Type="http://schemas.openxmlformats.org/officeDocument/2006/relationships/hyperlink" Target="https://drive.google.com/a/binghamton.edu/file/d/0B-BMeyhXwSzWbWE1V0Vydy1lbGs/view" TargetMode="External"/><Relationship Id="rId465" Type="http://schemas.openxmlformats.org/officeDocument/2006/relationships/hyperlink" Target="https://pubmed.ncbi.nlm.nih.gov/32405623/" TargetMode="External"/><Relationship Id="rId586" Type="http://schemas.openxmlformats.org/officeDocument/2006/relationships/hyperlink" Target="https://pubmed.ncbi.nlm.nih.gov/21062129/" TargetMode="External"/><Relationship Id="rId101" Type="http://schemas.openxmlformats.org/officeDocument/2006/relationships/hyperlink" Target="https://drive.google.com/a/binghamton.edu/file/d/0B_lCd4vI8wOKR25peHpNZmRadTQ/view" TargetMode="External"/><Relationship Id="rId222" Type="http://schemas.openxmlformats.org/officeDocument/2006/relationships/hyperlink" Target="https://drive.google.com/a/binghamton.edu/file/d/0B_lCd4vI8wOKZVh2UWFqazlmT1k/view" TargetMode="External"/><Relationship Id="rId343" Type="http://schemas.openxmlformats.org/officeDocument/2006/relationships/hyperlink" Target="https://drive.google.com/open?id=0B-gS7RLhwu-rUlJXRkhaSmluTkE" TargetMode="External"/><Relationship Id="rId464" Type="http://schemas.openxmlformats.org/officeDocument/2006/relationships/hyperlink" Target="https://drive.google.com/open?id=0B83NpKM_pV1sd0hOdEE2c2V6RWM" TargetMode="External"/><Relationship Id="rId585" Type="http://schemas.openxmlformats.org/officeDocument/2006/relationships/hyperlink" Target="https://pubmed.ncbi.nlm.nih.gov/21062129/" TargetMode="External"/><Relationship Id="rId100" Type="http://schemas.openxmlformats.org/officeDocument/2006/relationships/hyperlink" Target="https://drive.google.com/open?id=0B83NpKM_pV1sUV9CNnFvaDFjdVk" TargetMode="External"/><Relationship Id="rId221" Type="http://schemas.openxmlformats.org/officeDocument/2006/relationships/hyperlink" Target="https://drive.google.com/a/binghamton.edu/file/d/0B-BMeyhXwSzWZHl2cm95LVNMdE0/view" TargetMode="External"/><Relationship Id="rId342" Type="http://schemas.openxmlformats.org/officeDocument/2006/relationships/hyperlink" Target="https://drive.google.com/a/binghamton.edu/file/d/0B_lCd4vI8wOKdi1RT3BRbFdmUEk/view" TargetMode="External"/><Relationship Id="rId463" Type="http://schemas.openxmlformats.org/officeDocument/2006/relationships/hyperlink" Target="https://pubmed.ncbi.nlm.nih.gov/32405623/" TargetMode="External"/><Relationship Id="rId584" Type="http://schemas.openxmlformats.org/officeDocument/2006/relationships/hyperlink" Target="https://pubmed.ncbi.nlm.nih.gov/21062129/" TargetMode="External"/><Relationship Id="rId217" Type="http://schemas.openxmlformats.org/officeDocument/2006/relationships/hyperlink" Target="https://drive.google.com/open?id=0B83NpKM_pV1sUGdLUTRubERjS0E" TargetMode="External"/><Relationship Id="rId338" Type="http://schemas.openxmlformats.org/officeDocument/2006/relationships/hyperlink" Target="https://drive.google.com/a/binghamton.edu/file/d/0B-BMeyhXwSzWT3JtTkNtTzFPeFU/view" TargetMode="External"/><Relationship Id="rId459" Type="http://schemas.openxmlformats.org/officeDocument/2006/relationships/hyperlink" Target="https://pubmed.ncbi.nlm.nih.gov/31044235/" TargetMode="External"/><Relationship Id="rId216" Type="http://schemas.openxmlformats.org/officeDocument/2006/relationships/hyperlink" Target="https://drive.google.com/a/binghamton.edu/file/d/0B_lCd4vI8wOKRm5ib2Z0TFdCVEE/view" TargetMode="External"/><Relationship Id="rId337" Type="http://schemas.openxmlformats.org/officeDocument/2006/relationships/hyperlink" Target="https://drive.google.com/open?id=0B-gS7RLhwu-rUlJXRkhaSmluTkE" TargetMode="External"/><Relationship Id="rId458" Type="http://schemas.openxmlformats.org/officeDocument/2006/relationships/hyperlink" Target="https://drive.google.com/open?id=0B83NpKM_pV1sd0hOdEE2c2V6RWM" TargetMode="External"/><Relationship Id="rId579" Type="http://schemas.openxmlformats.org/officeDocument/2006/relationships/hyperlink" Target="https://www.researchgate.net/publication/284206245_Therapeutic_efficacy_of_different_brands_of_albendazole_against_soil_transmitted_helminths_among_students_of_Mendera_Elementary_School_Jimma_Southwest_Ethiopia" TargetMode="External"/><Relationship Id="rId215" Type="http://schemas.openxmlformats.org/officeDocument/2006/relationships/hyperlink" Target="https://drive.google.com/a/binghamton.edu/file/d/0BzjZoBQGkMymQ2JpeXBSOGhHbkE/view" TargetMode="External"/><Relationship Id="rId336" Type="http://schemas.openxmlformats.org/officeDocument/2006/relationships/hyperlink" Target="https://drive.google.com/a/binghamton.edu/file/d/0B_lCd4vI8wOKdi1RT3BRbFdmUEk/view" TargetMode="External"/><Relationship Id="rId457" Type="http://schemas.openxmlformats.org/officeDocument/2006/relationships/hyperlink" Target="https://pubmed.ncbi.nlm.nih.gov/31044235/" TargetMode="External"/><Relationship Id="rId578" Type="http://schemas.openxmlformats.org/officeDocument/2006/relationships/hyperlink" Target="https://www.researchgate.net/publication/284206245_Therapeutic_efficacy_of_different_brands_of_albendazole_against_soil_transmitted_helminths_among_students_of_Mendera_Elementary_School_Jimma_Southwest_Ethiopia" TargetMode="External"/><Relationship Id="rId214" Type="http://schemas.openxmlformats.org/officeDocument/2006/relationships/hyperlink" Target="https://drive.google.com/open?id=0B83NpKM_pV1sZS1aSllwQUQ1dUU" TargetMode="External"/><Relationship Id="rId335" Type="http://schemas.openxmlformats.org/officeDocument/2006/relationships/hyperlink" Target="https://drive.google.com/a/binghamton.edu/file/d/0B-BMeyhXwSzWQmxkRHZNbXJicmM/view" TargetMode="External"/><Relationship Id="rId456" Type="http://schemas.openxmlformats.org/officeDocument/2006/relationships/hyperlink" Target="https://drive.google.com/open?id=0B83NpKM_pV1sd0hOdEE2c2V6RWM" TargetMode="External"/><Relationship Id="rId577" Type="http://schemas.openxmlformats.org/officeDocument/2006/relationships/hyperlink" Target="https://journals.plos.org/plosntds/article?id=10.1371/journal.pntd.0004057" TargetMode="External"/><Relationship Id="rId219" Type="http://schemas.openxmlformats.org/officeDocument/2006/relationships/hyperlink" Target="https://drive.google.com/a/binghamton.edu/file/d/0B_lCd4vI8wOKdGhpZmVBZ1B6QmM/view" TargetMode="External"/><Relationship Id="rId218" Type="http://schemas.openxmlformats.org/officeDocument/2006/relationships/hyperlink" Target="https://drive.google.com/a/binghamton.edu/file/d/0B-BMeyhXwSzWZHl2cm95LVNMdE0/view" TargetMode="External"/><Relationship Id="rId339" Type="http://schemas.openxmlformats.org/officeDocument/2006/relationships/hyperlink" Target="https://drive.google.com/a/binghamton.edu/file/d/0B_lCd4vI8wOKdi1RT3BRbFdmUEk/view" TargetMode="External"/><Relationship Id="rId330" Type="http://schemas.openxmlformats.org/officeDocument/2006/relationships/hyperlink" Target="https://drive.google.com/a/binghamton.edu/file/d/0B-BMeyhXwSzWQmxkRHZNbXJicmM/view" TargetMode="External"/><Relationship Id="rId451" Type="http://schemas.openxmlformats.org/officeDocument/2006/relationships/hyperlink" Target="https://pubmed.ncbi.nlm.nih.gov/31044235/" TargetMode="External"/><Relationship Id="rId572" Type="http://schemas.openxmlformats.org/officeDocument/2006/relationships/hyperlink" Target="https://pubmed.ncbi.nlm.nih.gov/24521107/" TargetMode="External"/><Relationship Id="rId450" Type="http://schemas.openxmlformats.org/officeDocument/2006/relationships/hyperlink" Target="https://drive.google.com/file/d/0B83NpKM_pV1sZU8xOU5qWGRNTFU/view?usp=sharing" TargetMode="External"/><Relationship Id="rId571" Type="http://schemas.openxmlformats.org/officeDocument/2006/relationships/hyperlink" Target="https://pubmed.ncbi.nlm.nih.gov/24521107/" TargetMode="External"/><Relationship Id="rId570" Type="http://schemas.openxmlformats.org/officeDocument/2006/relationships/hyperlink" Target="https://pubmed.ncbi.nlm.nih.gov/24521107/" TargetMode="External"/><Relationship Id="rId213" Type="http://schemas.openxmlformats.org/officeDocument/2006/relationships/hyperlink" Target="https://drive.google.com/a/binghamton.edu/file/d/0B_lCd4vI8wOKRm5ib2Z0TFdCVEE/view" TargetMode="External"/><Relationship Id="rId334" Type="http://schemas.openxmlformats.org/officeDocument/2006/relationships/hyperlink" Target="https://drive.google.com/open?id=0B-gS7RLhwu-rUlJXRkhaSmluTkE" TargetMode="External"/><Relationship Id="rId455" Type="http://schemas.openxmlformats.org/officeDocument/2006/relationships/hyperlink" Target="https://pubmed.ncbi.nlm.nih.gov/31044235/" TargetMode="External"/><Relationship Id="rId576" Type="http://schemas.openxmlformats.org/officeDocument/2006/relationships/hyperlink" Target="https://journals.plos.org/plosntds/article?id=10.1371/journal.pntd.0004057" TargetMode="External"/><Relationship Id="rId212" Type="http://schemas.openxmlformats.org/officeDocument/2006/relationships/hyperlink" Target="https://drive.google.com/a/binghamton.edu/file/d/0BzjZoBQGkMymQ2JpeXBSOGhHbkE/view" TargetMode="External"/><Relationship Id="rId333" Type="http://schemas.openxmlformats.org/officeDocument/2006/relationships/hyperlink" Target="https://drive.google.com/a/binghamton.edu/file/d/0B_lCd4vI8wOKY1VzNUxEU2U4c1E/view" TargetMode="External"/><Relationship Id="rId454" Type="http://schemas.openxmlformats.org/officeDocument/2006/relationships/hyperlink" Target="https://drive.google.com/open?id=0B83NpKM_pV1seXUxSHVtYVZldzg" TargetMode="External"/><Relationship Id="rId575" Type="http://schemas.openxmlformats.org/officeDocument/2006/relationships/hyperlink" Target="https://pubmed.ncbi.nlm.nih.gov/28369530/" TargetMode="External"/><Relationship Id="rId211" Type="http://schemas.openxmlformats.org/officeDocument/2006/relationships/hyperlink" Target="https://drive.google.com/open?id=0B83NpKM_pV1sZS1aSllwQUQ1dUU" TargetMode="External"/><Relationship Id="rId332" Type="http://schemas.openxmlformats.org/officeDocument/2006/relationships/hyperlink" Target="https://drive.google.com/a/binghamton.edu/file/d/0B-BMeyhXwSzWQmxkRHZNbXJicmM/view" TargetMode="External"/><Relationship Id="rId453" Type="http://schemas.openxmlformats.org/officeDocument/2006/relationships/hyperlink" Target="https://pubmed.ncbi.nlm.nih.gov/31044235/" TargetMode="External"/><Relationship Id="rId574" Type="http://schemas.openxmlformats.org/officeDocument/2006/relationships/hyperlink" Target="https://pubmed.ncbi.nlm.nih.gov/28369530/" TargetMode="External"/><Relationship Id="rId210" Type="http://schemas.openxmlformats.org/officeDocument/2006/relationships/hyperlink" Target="https://drive.google.com/a/binghamton.edu/file/d/0B_lCd4vI8wOKRm5ib2Z0TFdCVEE/view" TargetMode="External"/><Relationship Id="rId331" Type="http://schemas.openxmlformats.org/officeDocument/2006/relationships/hyperlink" Target="https://drive.google.com/a/binghamton.edu/file/d/0B_lCd4vI8wOKY1VzNUxEU2U4c1E/view" TargetMode="External"/><Relationship Id="rId452" Type="http://schemas.openxmlformats.org/officeDocument/2006/relationships/hyperlink" Target="https://drive.google.com/open?id=0B83NpKM_pV1seXUxSHVtYVZldzg" TargetMode="External"/><Relationship Id="rId573" Type="http://schemas.openxmlformats.org/officeDocument/2006/relationships/hyperlink" Target="https://pubmed.ncbi.nlm.nih.gov/24521107/" TargetMode="External"/><Relationship Id="rId370" Type="http://schemas.openxmlformats.org/officeDocument/2006/relationships/hyperlink" Target="https://drive.google.com/a/binghamton.edu/file/d/0B_lCd4vI8wOKU2VDYWFSYkloVE0/view" TargetMode="External"/><Relationship Id="rId491" Type="http://schemas.openxmlformats.org/officeDocument/2006/relationships/hyperlink" Target="https://www.ncbi.nlm.nih.gov/pmc/articles/PMC7337942/" TargetMode="External"/><Relationship Id="rId490" Type="http://schemas.openxmlformats.org/officeDocument/2006/relationships/hyperlink" Target="https://drive.google.com/a/binghamton.edu/file/d/0B-BMeyhXwSzWb2JYNzFLSDgyVU0/view" TargetMode="External"/><Relationship Id="rId129" Type="http://schemas.openxmlformats.org/officeDocument/2006/relationships/hyperlink" Target="https://drive.google.com/file/d/0B_lCd4vI8wOKQW91RlBCd1NtaWs/view?usp=sharing" TargetMode="External"/><Relationship Id="rId128" Type="http://schemas.openxmlformats.org/officeDocument/2006/relationships/hyperlink" Target="https://drive.google.com/a/binghamton.edu/file/d/0B-BMeyhXwSzWS3dvcmJXVTdYbXM/view" TargetMode="External"/><Relationship Id="rId249" Type="http://schemas.openxmlformats.org/officeDocument/2006/relationships/hyperlink" Target="https://drive.google.com/a/binghamton.edu/file/d/0B_lCd4vI8wOKNUhQYVlHQy11c28/view" TargetMode="External"/><Relationship Id="rId127" Type="http://schemas.openxmlformats.org/officeDocument/2006/relationships/hyperlink" Target="https://drive.google.com/open?id=0B83NpKM_pV1sRnFEalFJQk41V2s" TargetMode="External"/><Relationship Id="rId248" Type="http://schemas.openxmlformats.org/officeDocument/2006/relationships/hyperlink" Target="https://drive.google.com/a/binghamton.edu/file/d/0B-BMeyhXwSzWUUZIM0ZEbzc2dGs/view" TargetMode="External"/><Relationship Id="rId369" Type="http://schemas.openxmlformats.org/officeDocument/2006/relationships/hyperlink" Target="https://drive.google.com/a/binghamton.edu/file/d/0B-BMeyhXwSzWd19PVmthOHFCSDA/view" TargetMode="External"/><Relationship Id="rId126" Type="http://schemas.openxmlformats.org/officeDocument/2006/relationships/hyperlink" Target="https://drive.google.com/file/d/0B_lCd4vI8wOKQW91RlBCd1NtaWs/view?usp=sharing" TargetMode="External"/><Relationship Id="rId247" Type="http://schemas.openxmlformats.org/officeDocument/2006/relationships/hyperlink" Target="https://drive.google.com/a/binghamton.edu/file/d/0B_lCd4vI8wOKaEplNzdjR3ZLQzQ/view" TargetMode="External"/><Relationship Id="rId368" Type="http://schemas.openxmlformats.org/officeDocument/2006/relationships/hyperlink" Target="https://pubmed.ncbi.nlm.nih.gov/26935065/" TargetMode="External"/><Relationship Id="rId489" Type="http://schemas.openxmlformats.org/officeDocument/2006/relationships/hyperlink" Target="https://www.id-press.eu/mjms/article/view/5110" TargetMode="External"/><Relationship Id="rId121" Type="http://schemas.openxmlformats.org/officeDocument/2006/relationships/hyperlink" Target="https://drive.google.com/open?id=0B83NpKM_pV1sTUxyWEVLdmxFTGs" TargetMode="External"/><Relationship Id="rId242" Type="http://schemas.openxmlformats.org/officeDocument/2006/relationships/hyperlink" Target="https://drive.google.com/a/binghamton.edu/file/d/0B-BMeyhXwSzWUUZIM0ZEbzc2dGs/view" TargetMode="External"/><Relationship Id="rId363" Type="http://schemas.openxmlformats.org/officeDocument/2006/relationships/hyperlink" Target="https://drive.google.com/a/binghamton.edu/file/d/0B-BMeyhXwSzWd19PVmthOHFCSDA/view" TargetMode="External"/><Relationship Id="rId484" Type="http://schemas.openxmlformats.org/officeDocument/2006/relationships/hyperlink" Target="https://drive.google.com/a/binghamton.edu/file/d/0B-BMeyhXwSzWbE9qb2NnbU5Ud28/view" TargetMode="External"/><Relationship Id="rId120" Type="http://schemas.openxmlformats.org/officeDocument/2006/relationships/hyperlink" Target="https://drive.google.com/file/d/0B_lCd4vI8wOKQW91RlBCd1NtaWs/view?usp=sharing" TargetMode="External"/><Relationship Id="rId241" Type="http://schemas.openxmlformats.org/officeDocument/2006/relationships/hyperlink" Target="https://drive.google.com/open?id=0B83NpKM_pV1sVERpMEFVTVU2SmM" TargetMode="External"/><Relationship Id="rId362" Type="http://schemas.openxmlformats.org/officeDocument/2006/relationships/hyperlink" Target="https://www.ncbi.nlm.nih.gov/pmc/articles/PMC5805036/" TargetMode="External"/><Relationship Id="rId483" Type="http://schemas.openxmlformats.org/officeDocument/2006/relationships/hyperlink" Target="https://www.ncbi.nlm.nih.gov/pmc/articles/PMC5679355/" TargetMode="External"/><Relationship Id="rId240" Type="http://schemas.openxmlformats.org/officeDocument/2006/relationships/hyperlink" Target="https://drive.google.com/a/binghamton.edu/file/d/0B_lCd4vI8wOKLTF1UDhDUXBkeEk/view" TargetMode="External"/><Relationship Id="rId361" Type="http://schemas.openxmlformats.org/officeDocument/2006/relationships/hyperlink" Target="https://drive.google.com/file/d/0B_lCd4vI8wOKSFhkR1lwV09JNW8/view?usp=sharing" TargetMode="External"/><Relationship Id="rId482" Type="http://schemas.openxmlformats.org/officeDocument/2006/relationships/hyperlink" Target="https://drive.google.com/a/binghamton.edu/file/d/0B-BMeyhXwSzWc21pdXlBdVdXVFE/view" TargetMode="External"/><Relationship Id="rId360" Type="http://schemas.openxmlformats.org/officeDocument/2006/relationships/hyperlink" Target="https://drive.google.com/a/binghamton.edu/file/d/0B-BMeyhXwSzWd19PVmthOHFCSDA/view" TargetMode="External"/><Relationship Id="rId481" Type="http://schemas.openxmlformats.org/officeDocument/2006/relationships/hyperlink" Target="https://www.ncbi.nlm.nih.gov/pmc/articles/PMC5679355/" TargetMode="External"/><Relationship Id="rId125" Type="http://schemas.openxmlformats.org/officeDocument/2006/relationships/hyperlink" Target="https://drive.google.com/a/binghamton.edu/file/d/0B-BMeyhXwSzWS3dvcmJXVTdYbXM/view" TargetMode="External"/><Relationship Id="rId246" Type="http://schemas.openxmlformats.org/officeDocument/2006/relationships/hyperlink" Target="https://drive.google.com/a/binghamton.edu/file/d/0B_lCd4vI8wOKNUhQYVlHQy11c28/view" TargetMode="External"/><Relationship Id="rId367" Type="http://schemas.openxmlformats.org/officeDocument/2006/relationships/hyperlink" Target="https://drive.google.com/file/d/0B_lCd4vI8wOKSFhkR1lwV09JNW8/view?usp=sharing" TargetMode="External"/><Relationship Id="rId488" Type="http://schemas.openxmlformats.org/officeDocument/2006/relationships/hyperlink" Target="https://drive.google.com/a/binghamton.edu/file/d/0B-BMeyhXwSzWbE9qb2NnbU5Ud28/view" TargetMode="External"/><Relationship Id="rId124" Type="http://schemas.openxmlformats.org/officeDocument/2006/relationships/hyperlink" Target="https://drive.google.com/open?id=0B83NpKM_pV1sRnFEalFJQk41V2s" TargetMode="External"/><Relationship Id="rId245" Type="http://schemas.openxmlformats.org/officeDocument/2006/relationships/hyperlink" Target="https://drive.google.com/a/binghamton.edu/file/d/0B-BMeyhXwSzWUUZIM0ZEbzc2dGs/view" TargetMode="External"/><Relationship Id="rId366" Type="http://schemas.openxmlformats.org/officeDocument/2006/relationships/hyperlink" Target="https://drive.google.com/a/binghamton.edu/file/d/0B-BMeyhXwSzWd19PVmthOHFCSDA/view" TargetMode="External"/><Relationship Id="rId487" Type="http://schemas.openxmlformats.org/officeDocument/2006/relationships/hyperlink" Target="https://www.id-press.eu/mjms/article/view/5110" TargetMode="External"/><Relationship Id="rId123" Type="http://schemas.openxmlformats.org/officeDocument/2006/relationships/hyperlink" Target="https://drive.google.com/file/d/0B_lCd4vI8wOKQW91RlBCd1NtaWs/view?usp=sharing" TargetMode="External"/><Relationship Id="rId244" Type="http://schemas.openxmlformats.org/officeDocument/2006/relationships/hyperlink" Target="https://drive.google.com/open?id=0B83NpKM_pV1sVERpMEFVTVU2SmM" TargetMode="External"/><Relationship Id="rId365" Type="http://schemas.openxmlformats.org/officeDocument/2006/relationships/hyperlink" Target="https://pubmed.ncbi.nlm.nih.gov/26935065/" TargetMode="External"/><Relationship Id="rId486" Type="http://schemas.openxmlformats.org/officeDocument/2006/relationships/hyperlink" Target="https://drive.google.com/a/binghamton.edu/file/d/0B-BMeyhXwSzWbE9qb2NnbU5Ud28/view" TargetMode="External"/><Relationship Id="rId122" Type="http://schemas.openxmlformats.org/officeDocument/2006/relationships/hyperlink" Target="https://drive.google.com/a/binghamton.edu/file/d/0B-BMeyhXwSzWS3dvcmJXVTdYbXM/view" TargetMode="External"/><Relationship Id="rId243" Type="http://schemas.openxmlformats.org/officeDocument/2006/relationships/hyperlink" Target="https://drive.google.com/a/binghamton.edu/file/d/0B_lCd4vI8wOKNUhQYVlHQy11c28/view" TargetMode="External"/><Relationship Id="rId364" Type="http://schemas.openxmlformats.org/officeDocument/2006/relationships/hyperlink" Target="https://drive.google.com/file/d/0B_lCd4vI8wOKSFhkR1lwV09JNW8/view?usp=sharing" TargetMode="External"/><Relationship Id="rId485" Type="http://schemas.openxmlformats.org/officeDocument/2006/relationships/hyperlink" Target="https://www.id-press.eu/mjms/article/view/5110" TargetMode="External"/><Relationship Id="rId95" Type="http://schemas.openxmlformats.org/officeDocument/2006/relationships/hyperlink" Target="https://drive.google.com/a/binghamton.edu/file/d/0B_lCd4vI8wOKR25peHpNZmRadTQ/view" TargetMode="External"/><Relationship Id="rId94" Type="http://schemas.openxmlformats.org/officeDocument/2006/relationships/hyperlink" Target="https://drive.google.com/open?id=0B83NpKM_pV1sVlp0Y25SY0pWZTg" TargetMode="External"/><Relationship Id="rId97" Type="http://schemas.openxmlformats.org/officeDocument/2006/relationships/hyperlink" Target="https://drive.google.com/open?id=0B83NpKM_pV1sUV9CNnFvaDFjdVk" TargetMode="External"/><Relationship Id="rId96" Type="http://schemas.openxmlformats.org/officeDocument/2006/relationships/hyperlink" Target="https://drive.google.com/file/d/0B_lCd4vI8wOKczNzN283bU41Mk0/view?usp=sharing" TargetMode="External"/><Relationship Id="rId99" Type="http://schemas.openxmlformats.org/officeDocument/2006/relationships/hyperlink" Target="https://drive.google.com/file/d/0B_lCd4vI8wOKczNzN283bU41Mk0/view?usp=sharing" TargetMode="External"/><Relationship Id="rId480" Type="http://schemas.openxmlformats.org/officeDocument/2006/relationships/hyperlink" Target="https://drive.google.com/file/d/0B_lCd4vI8wOKckdnSGVYV010Z0U/view?usp=sharing" TargetMode="External"/><Relationship Id="rId98" Type="http://schemas.openxmlformats.org/officeDocument/2006/relationships/hyperlink" Target="https://drive.google.com/a/binghamton.edu/file/d/0B_lCd4vI8wOKR25peHpNZmRadTQ/view" TargetMode="External"/><Relationship Id="rId91" Type="http://schemas.openxmlformats.org/officeDocument/2006/relationships/hyperlink" Target="https://drive.google.com/open?id=0B83NpKM_pV1sVlp0Y25SY0pWZTg" TargetMode="External"/><Relationship Id="rId90" Type="http://schemas.openxmlformats.org/officeDocument/2006/relationships/hyperlink" Target="https://drive.google.com/file/d/0B_lCd4vI8wOKT0RZOU1JQ3NqclE/view?usp=sharing" TargetMode="External"/><Relationship Id="rId93" Type="http://schemas.openxmlformats.org/officeDocument/2006/relationships/hyperlink" Target="https://drive.google.com/file/d/0B_lCd4vI8wOKczNzN283bU41Mk0/view?usp=sharing" TargetMode="External"/><Relationship Id="rId92" Type="http://schemas.openxmlformats.org/officeDocument/2006/relationships/hyperlink" Target="https://drive.google.com/a/binghamton.edu/file/d/0B_lCd4vI8wOKR25peHpNZmRadTQ/view" TargetMode="External"/><Relationship Id="rId118" Type="http://schemas.openxmlformats.org/officeDocument/2006/relationships/hyperlink" Target="https://drive.google.com/open?id=0B83NpKM_pV1sTUxyWEVLdmxFTGs" TargetMode="External"/><Relationship Id="rId239" Type="http://schemas.openxmlformats.org/officeDocument/2006/relationships/hyperlink" Target="https://drive.google.com/a/binghamton.edu/file/d/0B-BMeyhXwSzWUUZIM0ZEbzc2dGs/view" TargetMode="External"/><Relationship Id="rId117" Type="http://schemas.openxmlformats.org/officeDocument/2006/relationships/hyperlink" Target="https://drive.google.com/file/d/0B_lCd4vI8wOKMC0ySzJnWEFYREE/view?usp=sharing" TargetMode="External"/><Relationship Id="rId238" Type="http://schemas.openxmlformats.org/officeDocument/2006/relationships/hyperlink" Target="https://drive.google.com/open?id=0B83NpKM_pV1sa2szOVNWaVNOV3M" TargetMode="External"/><Relationship Id="rId359" Type="http://schemas.openxmlformats.org/officeDocument/2006/relationships/hyperlink" Target="https://www.ncbi.nlm.nih.gov/pmc/articles/PMC5805036/" TargetMode="External"/><Relationship Id="rId116" Type="http://schemas.openxmlformats.org/officeDocument/2006/relationships/hyperlink" Target="https://drive.google.com/a/binghamton.edu/file/d/0B-BMeyhXwSzWTVB5N0ZZME9IOEU/view" TargetMode="External"/><Relationship Id="rId237" Type="http://schemas.openxmlformats.org/officeDocument/2006/relationships/hyperlink" Target="https://drive.google.com/file/d/0B_lCd4vI8wOKUVhXaEtfamZwbUE/view?usp=sharing" TargetMode="External"/><Relationship Id="rId358" Type="http://schemas.openxmlformats.org/officeDocument/2006/relationships/hyperlink" Target="https://drive.google.com/a/binghamton.edu/file/d/0B-BMeyhXwSzWV05iRVE0YmJpd3c/view" TargetMode="External"/><Relationship Id="rId479" Type="http://schemas.openxmlformats.org/officeDocument/2006/relationships/hyperlink" Target="https://pubmed.ncbi.nlm.nih.gov/32405623/" TargetMode="External"/><Relationship Id="rId115" Type="http://schemas.openxmlformats.org/officeDocument/2006/relationships/hyperlink" Target="https://drive.google.com/open?id=0B83NpKM_pV1sTUxyWEVLdmxFTGs" TargetMode="External"/><Relationship Id="rId236" Type="http://schemas.openxmlformats.org/officeDocument/2006/relationships/hyperlink" Target="https://drive.google.com/a/binghamton.edu/file/d/0B-BMeyhXwSzWUUZIM0ZEbzc2dGs/view" TargetMode="External"/><Relationship Id="rId357" Type="http://schemas.openxmlformats.org/officeDocument/2006/relationships/hyperlink" Target="https://drive.google.com/a/binghamton.edu/file/d/0B-BMeyhXwSzWd19PVmthOHFCSDA/view" TargetMode="External"/><Relationship Id="rId478" Type="http://schemas.openxmlformats.org/officeDocument/2006/relationships/hyperlink" Target="https://drive.google.com/file/d/0B_lCd4vI8wOKckdnSGVYV010Z0U/view?usp=sharing" TargetMode="External"/><Relationship Id="rId599" Type="http://schemas.openxmlformats.org/officeDocument/2006/relationships/hyperlink" Target="https://www.sciencedirect.com/science/article/pii/S1473309917304875?casa_token=2XanoHNJDOkAAAAA:LdDbWptSw4Xshkv_8Y7O_IFHjI5-X8v2f9IJ2Vqyhn_WvVknCaJIcbR3BQF7JRdYpFuGa87mlg" TargetMode="External"/><Relationship Id="rId119" Type="http://schemas.openxmlformats.org/officeDocument/2006/relationships/hyperlink" Target="https://drive.google.com/a/binghamton.edu/file/d/0B-BMeyhXwSzWS3dvcmJXVTdYbXM/view" TargetMode="External"/><Relationship Id="rId110" Type="http://schemas.openxmlformats.org/officeDocument/2006/relationships/hyperlink" Target="https://drive.google.com/a/binghamton.edu/file/d/0B_lCd4vI8wOKLVhQcnNWZV9iT3c/view" TargetMode="External"/><Relationship Id="rId231" Type="http://schemas.openxmlformats.org/officeDocument/2006/relationships/hyperlink" Target="https://drive.google.com/file/d/0B_lCd4vI8wOKUVhXaEtfamZwbUE/view?usp=sharing" TargetMode="External"/><Relationship Id="rId352" Type="http://schemas.openxmlformats.org/officeDocument/2006/relationships/hyperlink" Target="https://drive.google.com/file/d/0B_lCd4vI8wOKVGxKVjNzaWs1S00/view?usp=sharing" TargetMode="External"/><Relationship Id="rId473" Type="http://schemas.openxmlformats.org/officeDocument/2006/relationships/hyperlink" Target="https://pubmed.ncbi.nlm.nih.gov/32405623/" TargetMode="External"/><Relationship Id="rId594" Type="http://schemas.openxmlformats.org/officeDocument/2006/relationships/hyperlink" Target="https://pubmed.ncbi.nlm.nih.gov/12625151/" TargetMode="External"/><Relationship Id="rId230" Type="http://schemas.openxmlformats.org/officeDocument/2006/relationships/hyperlink" Target="https://drive.google.com/a/binghamton.edu/file/d/0B-BMeyhXwSzWUUZIM0ZEbzc2dGs/view" TargetMode="External"/><Relationship Id="rId351" Type="http://schemas.openxmlformats.org/officeDocument/2006/relationships/hyperlink" Target="https://drive.google.com/a/binghamton.edu/file/d/0B-BMeyhXwSzWVDF2RGZlM2JSc2c/view" TargetMode="External"/><Relationship Id="rId472" Type="http://schemas.openxmlformats.org/officeDocument/2006/relationships/hyperlink" Target="https://drive.google.com/a/binghamton.edu/file/d/0B-BMeyhXwSzWUjN6d2VDLWFWazA/view" TargetMode="External"/><Relationship Id="rId593" Type="http://schemas.openxmlformats.org/officeDocument/2006/relationships/hyperlink" Target="https://pubmed.ncbi.nlm.nih.gov/12625151/" TargetMode="External"/><Relationship Id="rId350" Type="http://schemas.openxmlformats.org/officeDocument/2006/relationships/hyperlink" Target="https://drive.google.com/file/d/0B_lCd4vI8wOKVGxKVjNzaWs1S00/view?usp=sharing" TargetMode="External"/><Relationship Id="rId471" Type="http://schemas.openxmlformats.org/officeDocument/2006/relationships/hyperlink" Target="https://pubmed.ncbi.nlm.nih.gov/32405623/" TargetMode="External"/><Relationship Id="rId592" Type="http://schemas.openxmlformats.org/officeDocument/2006/relationships/hyperlink" Target="https://pubmed.ncbi.nlm.nih.gov/29617737/" TargetMode="External"/><Relationship Id="rId470" Type="http://schemas.openxmlformats.org/officeDocument/2006/relationships/hyperlink" Target="https://drive.google.com/a/binghamton.edu/file/d/0B_lCd4vI8wOKTkNSbkp6cDhyNEk/view" TargetMode="External"/><Relationship Id="rId591" Type="http://schemas.openxmlformats.org/officeDocument/2006/relationships/hyperlink" Target="https://pubmed.ncbi.nlm.nih.gov/29617737/" TargetMode="External"/><Relationship Id="rId114" Type="http://schemas.openxmlformats.org/officeDocument/2006/relationships/hyperlink" Target="https://drive.google.com/file/d/0B_lCd4vI8wOKMC0ySzJnWEFYREE/view?usp=sharing" TargetMode="External"/><Relationship Id="rId235" Type="http://schemas.openxmlformats.org/officeDocument/2006/relationships/hyperlink" Target="https://drive.google.com/open?id=0B83NpKM_pV1sa2szOVNWaVNOV3M" TargetMode="External"/><Relationship Id="rId356" Type="http://schemas.openxmlformats.org/officeDocument/2006/relationships/hyperlink" Target="https://drive.google.com/a/binghamton.edu/file/d/0B-BMeyhXwSzWV05iRVE0YmJpd3c/view" TargetMode="External"/><Relationship Id="rId477" Type="http://schemas.openxmlformats.org/officeDocument/2006/relationships/hyperlink" Target="https://pubmed.ncbi.nlm.nih.gov/32405623/" TargetMode="External"/><Relationship Id="rId598" Type="http://schemas.openxmlformats.org/officeDocument/2006/relationships/hyperlink" Target="https://www.sciencedirect.com/science/article/pii/S1473309917304875?casa_token=2XanoHNJDOkAAAAA:LdDbWptSw4Xshkv_8Y7O_IFHjI5-X8v2f9IJ2Vqyhn_WvVknCaJIcbR3BQF7JRdYpFuGa87mlg" TargetMode="External"/><Relationship Id="rId113" Type="http://schemas.openxmlformats.org/officeDocument/2006/relationships/hyperlink" Target="https://docs.google.com/document/d/1mHgft6CBEywVr_2NWSwAZPurBAUJU8Ag86HzQXPUVEE/edit" TargetMode="External"/><Relationship Id="rId234" Type="http://schemas.openxmlformats.org/officeDocument/2006/relationships/hyperlink" Target="https://drive.google.com/file/d/0B_lCd4vI8wOKUVhXaEtfamZwbUE/view?usp=sharing" TargetMode="External"/><Relationship Id="rId355" Type="http://schemas.openxmlformats.org/officeDocument/2006/relationships/hyperlink" Target="https://drive.google.com/a/binghamton.edu/file/d/0B-BMeyhXwSzWd19PVmthOHFCSDA/view" TargetMode="External"/><Relationship Id="rId476" Type="http://schemas.openxmlformats.org/officeDocument/2006/relationships/hyperlink" Target="https://drive.google.com/file/d/0B_lCd4vI8wOKckdnSGVYV010Z0U/view?usp=sharing" TargetMode="External"/><Relationship Id="rId597" Type="http://schemas.openxmlformats.org/officeDocument/2006/relationships/hyperlink" Target="https://www.sciencedirect.com/science/article/pii/S1473309917304875?casa_token=2XanoHNJDOkAAAAA:LdDbWptSw4Xshkv_8Y7O_IFHjI5-X8v2f9IJ2Vqyhn_WvVknCaJIcbR3BQF7JRdYpFuGa87mlg" TargetMode="External"/><Relationship Id="rId112" Type="http://schemas.openxmlformats.org/officeDocument/2006/relationships/hyperlink" Target="https://drive.google.com/open?id=0B83NpKM_pV1sTUxyWEVLdmxFTGs" TargetMode="External"/><Relationship Id="rId233" Type="http://schemas.openxmlformats.org/officeDocument/2006/relationships/hyperlink" Target="https://drive.google.com/a/binghamton.edu/file/d/0B-BMeyhXwSzWUUZIM0ZEbzc2dGs/view" TargetMode="External"/><Relationship Id="rId354" Type="http://schemas.openxmlformats.org/officeDocument/2006/relationships/hyperlink" Target="https://drive.google.com/file/d/0B_lCd4vI8wOKVGxKVjNzaWs1S00/view?usp=sharing" TargetMode="External"/><Relationship Id="rId475" Type="http://schemas.openxmlformats.org/officeDocument/2006/relationships/hyperlink" Target="https://pubmed.ncbi.nlm.nih.gov/32405623/" TargetMode="External"/><Relationship Id="rId596" Type="http://schemas.openxmlformats.org/officeDocument/2006/relationships/hyperlink" Target="https://www.researchgate.net/publication/14266236_A_Comparative_Trial_of_a_Single-Dose_Ivermectin_Versus_Three_Days_of_Albendazole_for_Treatment_of_Strongyloides_Stercoralis_and_Other_Soil-Transmitted_Helminth_Infections_in_Children/link/5571af6a08ae49af4a95f304/download" TargetMode="External"/><Relationship Id="rId111" Type="http://schemas.openxmlformats.org/officeDocument/2006/relationships/hyperlink" Target="https://drive.google.com/file/d/0B_lCd4vI8wOKMC0ySzJnWEFYREE/view?usp=sharing" TargetMode="External"/><Relationship Id="rId232" Type="http://schemas.openxmlformats.org/officeDocument/2006/relationships/hyperlink" Target="https://drive.google.com/open?id=0B83NpKM_pV1sa2szOVNWaVNOV3M" TargetMode="External"/><Relationship Id="rId353" Type="http://schemas.openxmlformats.org/officeDocument/2006/relationships/hyperlink" Target="https://drive.google.com/a/binghamton.edu/file/d/0B-BMeyhXwSzWd19PVmthOHFCSDA/view" TargetMode="External"/><Relationship Id="rId474" Type="http://schemas.openxmlformats.org/officeDocument/2006/relationships/hyperlink" Target="https://drive.google.com/a/binghamton.edu/file/d/0B-BMeyhXwSzWUjN6d2VDLWFWazA/view" TargetMode="External"/><Relationship Id="rId595" Type="http://schemas.openxmlformats.org/officeDocument/2006/relationships/hyperlink" Target="https://www.researchgate.net/publication/14266236_A_Comparative_Trial_of_a_Single-Dose_Ivermectin_Versus_Three_Days_of_Albendazole_for_Treatment_of_Strongyloides_Stercoralis_and_Other_Soil-Transmitted_Helminth_Infections_in_Children/link/5571af6a08ae49af4a95f304/download" TargetMode="External"/><Relationship Id="rId305" Type="http://schemas.openxmlformats.org/officeDocument/2006/relationships/hyperlink" Target="https://drive.google.com/open?id=0B83NpKM_pV1sU0dfcGlvZlFfOVU" TargetMode="External"/><Relationship Id="rId426" Type="http://schemas.openxmlformats.org/officeDocument/2006/relationships/hyperlink" Target="https://drive.google.com/a/binghamton.edu/file/d/0B812JSakX9u5ajlESUVHSGU0aGc/view" TargetMode="External"/><Relationship Id="rId547" Type="http://schemas.openxmlformats.org/officeDocument/2006/relationships/hyperlink" Target="https://pubmed.ncbi.nlm.nih.gov/31044235/" TargetMode="External"/><Relationship Id="rId304" Type="http://schemas.openxmlformats.org/officeDocument/2006/relationships/hyperlink" Target="https://drive.google.com/a/binghamton.edu/file/d/0B_lCd4vI8wOKXzhNQzhWQU02bFk/view" TargetMode="External"/><Relationship Id="rId425" Type="http://schemas.openxmlformats.org/officeDocument/2006/relationships/hyperlink" Target="https://pubmed.ncbi.nlm.nih.gov/26388169/" TargetMode="External"/><Relationship Id="rId546" Type="http://schemas.openxmlformats.org/officeDocument/2006/relationships/hyperlink" Target="https://pubmed.ncbi.nlm.nih.gov/31044235/" TargetMode="External"/><Relationship Id="rId303" Type="http://schemas.openxmlformats.org/officeDocument/2006/relationships/hyperlink" Target="https://drive.google.com/a/binghamton.edu/file/d/0B5uKCExuj58mZEFNdVFmWU9WRlk/view" TargetMode="External"/><Relationship Id="rId424" Type="http://schemas.openxmlformats.org/officeDocument/2006/relationships/hyperlink" Target="https://drive.google.com/a/binghamton.edu/file/d/0B812JSakX9u5ajlESUVHSGU0aGc/view" TargetMode="External"/><Relationship Id="rId545" Type="http://schemas.openxmlformats.org/officeDocument/2006/relationships/hyperlink" Target="https://pubmed.ncbi.nlm.nih.gov/12856052/" TargetMode="External"/><Relationship Id="rId302" Type="http://schemas.openxmlformats.org/officeDocument/2006/relationships/hyperlink" Target="https://drive.google.com/open?id=0B83NpKM_pV1sU0dfcGlvZlFfOVU" TargetMode="External"/><Relationship Id="rId423" Type="http://schemas.openxmlformats.org/officeDocument/2006/relationships/hyperlink" Target="https://pubmed.ncbi.nlm.nih.gov/26388169/" TargetMode="External"/><Relationship Id="rId544" Type="http://schemas.openxmlformats.org/officeDocument/2006/relationships/hyperlink" Target="https://pubmed.ncbi.nlm.nih.gov/12856052/" TargetMode="External"/><Relationship Id="rId665" Type="http://schemas.openxmlformats.org/officeDocument/2006/relationships/drawing" Target="../drawings/drawing13.xml"/><Relationship Id="rId309" Type="http://schemas.openxmlformats.org/officeDocument/2006/relationships/hyperlink" Target="https://drive.google.com/a/binghamton.edu/file/d/0B5uKCExuj58mZEFNdVFmWU9WRlk/view" TargetMode="External"/><Relationship Id="rId308" Type="http://schemas.openxmlformats.org/officeDocument/2006/relationships/hyperlink" Target="https://drive.google.com/open?id=0B83NpKM_pV1sU0dfcGlvZlFfOVU" TargetMode="External"/><Relationship Id="rId429" Type="http://schemas.openxmlformats.org/officeDocument/2006/relationships/hyperlink" Target="https://pubmed.ncbi.nlm.nih.gov/25589326/" TargetMode="External"/><Relationship Id="rId307" Type="http://schemas.openxmlformats.org/officeDocument/2006/relationships/hyperlink" Target="https://drive.google.com/a/binghamton.edu/file/d/0B_lCd4vI8wOKUHhfMFNiMjZJMnM/view" TargetMode="External"/><Relationship Id="rId428" Type="http://schemas.openxmlformats.org/officeDocument/2006/relationships/hyperlink" Target="https://drive.google.com/a/binghamton.edu/file/d/0B812JSakX9u5ajlESUVHSGU0aGc/view" TargetMode="External"/><Relationship Id="rId549" Type="http://schemas.openxmlformats.org/officeDocument/2006/relationships/hyperlink" Target="https://pubmed.ncbi.nlm.nih.gov/31044235/" TargetMode="External"/><Relationship Id="rId306" Type="http://schemas.openxmlformats.org/officeDocument/2006/relationships/hyperlink" Target="https://drive.google.com/a/binghamton.edu/file/d/0B5uKCExuj58mZEFNdVFmWU9WRlk/view" TargetMode="External"/><Relationship Id="rId427" Type="http://schemas.openxmlformats.org/officeDocument/2006/relationships/hyperlink" Target="https://pubmed.ncbi.nlm.nih.gov/26388169/" TargetMode="External"/><Relationship Id="rId548" Type="http://schemas.openxmlformats.org/officeDocument/2006/relationships/hyperlink" Target="https://pubmed.ncbi.nlm.nih.gov/31044235/" TargetMode="External"/><Relationship Id="rId660" Type="http://schemas.openxmlformats.org/officeDocument/2006/relationships/hyperlink" Target="https://drive.google.com/open?id=0B-gS7RLhwu-ra0hyZkN1OERORk0" TargetMode="External"/><Relationship Id="rId301" Type="http://schemas.openxmlformats.org/officeDocument/2006/relationships/hyperlink" Target="https://drive.google.com/a/binghamton.edu/file/d/0B_lCd4vI8wOKXzhNQzhWQU02bFk/view" TargetMode="External"/><Relationship Id="rId422" Type="http://schemas.openxmlformats.org/officeDocument/2006/relationships/hyperlink" Target="https://drive.google.com/a/binghamton.edu/file/d/0B-BMeyhXwSzWWDgydGRBOU95VkE/view" TargetMode="External"/><Relationship Id="rId543" Type="http://schemas.openxmlformats.org/officeDocument/2006/relationships/hyperlink" Target="https://pubmed.ncbi.nlm.nih.gov/12856052/" TargetMode="External"/><Relationship Id="rId664" Type="http://schemas.openxmlformats.org/officeDocument/2006/relationships/hyperlink" Target="https://drive.google.com/open?id=0B-gS7RLhwu-rWnhuRTY0eFlHWEU" TargetMode="External"/><Relationship Id="rId300" Type="http://schemas.openxmlformats.org/officeDocument/2006/relationships/hyperlink" Target="https://drive.google.com/a/binghamton.edu/file/d/0B5uKCExuj58mZEFNdVFmWU9WRlk/view" TargetMode="External"/><Relationship Id="rId421" Type="http://schemas.openxmlformats.org/officeDocument/2006/relationships/hyperlink" Target="https://pubmed.ncbi.nlm.nih.gov/26388169/" TargetMode="External"/><Relationship Id="rId542" Type="http://schemas.openxmlformats.org/officeDocument/2006/relationships/hyperlink" Target="https://pubmed.ncbi.nlm.nih.gov/31193620/" TargetMode="External"/><Relationship Id="rId663" Type="http://schemas.openxmlformats.org/officeDocument/2006/relationships/hyperlink" Target="https://drive.google.com/open?id=0B-gS7RLhwu-rWnhuRTY0eFlHWEU" TargetMode="External"/><Relationship Id="rId420" Type="http://schemas.openxmlformats.org/officeDocument/2006/relationships/hyperlink" Target="https://drive.google.com/a/binghamton.edu/file/d/0B-BMeyhXwSzWWDgydGRBOU95VkE/view" TargetMode="External"/><Relationship Id="rId541" Type="http://schemas.openxmlformats.org/officeDocument/2006/relationships/hyperlink" Target="https://pubmed.ncbi.nlm.nih.gov/31193620/" TargetMode="External"/><Relationship Id="rId662" Type="http://schemas.openxmlformats.org/officeDocument/2006/relationships/hyperlink" Target="https://drive.google.com/open?id=0B-gS7RLhwu-ra0hyZkN1OERORk0" TargetMode="External"/><Relationship Id="rId540" Type="http://schemas.openxmlformats.org/officeDocument/2006/relationships/hyperlink" Target="https://pubmed.ncbi.nlm.nih.gov/26935065/" TargetMode="External"/><Relationship Id="rId661" Type="http://schemas.openxmlformats.org/officeDocument/2006/relationships/hyperlink" Target="https://drive.google.com/open?id=0B-gS7RLhwu-ra0hyZkN1OERORk0" TargetMode="External"/><Relationship Id="rId415" Type="http://schemas.openxmlformats.org/officeDocument/2006/relationships/hyperlink" Target="https://pubmed.ncbi.nlm.nih.gov/28864027/" TargetMode="External"/><Relationship Id="rId536" Type="http://schemas.openxmlformats.org/officeDocument/2006/relationships/hyperlink" Target="https://www.ncbi.nlm.nih.gov/pmc/articles/PMC5805036/" TargetMode="External"/><Relationship Id="rId657" Type="http://schemas.openxmlformats.org/officeDocument/2006/relationships/hyperlink" Target="https://drive.google.com/open?id=0B-gS7RLhwu-rbmNoRXRjdnBKbkE" TargetMode="External"/><Relationship Id="rId414" Type="http://schemas.openxmlformats.org/officeDocument/2006/relationships/hyperlink" Target="https://drive.google.com/a/binghamton.edu/file/d/0B-BMeyhXwSzWWDgydGRBOU95VkE/view" TargetMode="External"/><Relationship Id="rId535" Type="http://schemas.openxmlformats.org/officeDocument/2006/relationships/hyperlink" Target="https://www.ncbi.nlm.nih.gov/pmc/articles/PMC5805036/" TargetMode="External"/><Relationship Id="rId656" Type="http://schemas.openxmlformats.org/officeDocument/2006/relationships/hyperlink" Target="https://drive.google.com/open?id=0B-gS7RLhwu-rZlFGdThIN1RFMUE" TargetMode="External"/><Relationship Id="rId413" Type="http://schemas.openxmlformats.org/officeDocument/2006/relationships/hyperlink" Target="https://pubmed.ncbi.nlm.nih.gov/28864027/" TargetMode="External"/><Relationship Id="rId534" Type="http://schemas.openxmlformats.org/officeDocument/2006/relationships/hyperlink" Target="https://drive.google.com/a/binghamton.edu/file/d/0B-BMeyhXwSzWNjZIWTJhdWVyN1E/view" TargetMode="External"/><Relationship Id="rId655" Type="http://schemas.openxmlformats.org/officeDocument/2006/relationships/hyperlink" Target="https://drive.google.com/open?id=0B-gS7RLhwu-rZlFGdThIN1RFMUE" TargetMode="External"/><Relationship Id="rId412" Type="http://schemas.openxmlformats.org/officeDocument/2006/relationships/hyperlink" Target="https://drive.google.com/a/binghamton.edu/file/d/0B_lCd4vI8wOKRC1kSmo4Z0huYmc/view" TargetMode="External"/><Relationship Id="rId533" Type="http://schemas.openxmlformats.org/officeDocument/2006/relationships/hyperlink" Target="https://drive.google.com/a/binghamton.edu/file/d/0B-BMeyhXwSzWNjZIWTJhdWVyN1E/view" TargetMode="External"/><Relationship Id="rId654" Type="http://schemas.openxmlformats.org/officeDocument/2006/relationships/hyperlink" Target="https://drive.google.com/open?id=0B-gS7RLhwu-rZjFNczR2eEpRc1k" TargetMode="External"/><Relationship Id="rId419" Type="http://schemas.openxmlformats.org/officeDocument/2006/relationships/hyperlink" Target="https://pubmed.ncbi.nlm.nih.gov/26388169/" TargetMode="External"/><Relationship Id="rId418" Type="http://schemas.openxmlformats.org/officeDocument/2006/relationships/hyperlink" Target="https://drive.google.com/a/binghamton.edu/file/d/0B-BMeyhXwSzWWDgydGRBOU95VkE/view" TargetMode="External"/><Relationship Id="rId539" Type="http://schemas.openxmlformats.org/officeDocument/2006/relationships/hyperlink" Target="https://pubmed.ncbi.nlm.nih.gov/26935065/" TargetMode="External"/><Relationship Id="rId417" Type="http://schemas.openxmlformats.org/officeDocument/2006/relationships/hyperlink" Target="https://pubmed.ncbi.nlm.nih.gov/26388169/" TargetMode="External"/><Relationship Id="rId538" Type="http://schemas.openxmlformats.org/officeDocument/2006/relationships/hyperlink" Target="https://pubmed.ncbi.nlm.nih.gov/26935065/" TargetMode="External"/><Relationship Id="rId659" Type="http://schemas.openxmlformats.org/officeDocument/2006/relationships/hyperlink" Target="https://drive.google.com/open?id=0B-gS7RLhwu-rbmNoRXRjdnBKbkE" TargetMode="External"/><Relationship Id="rId416" Type="http://schemas.openxmlformats.org/officeDocument/2006/relationships/hyperlink" Target="https://drive.google.com/a/binghamton.edu/file/d/0B-BMeyhXwSzWWDgydGRBOU95VkE/view" TargetMode="External"/><Relationship Id="rId537" Type="http://schemas.openxmlformats.org/officeDocument/2006/relationships/hyperlink" Target="https://pubmed.ncbi.nlm.nih.gov/26935065/" TargetMode="External"/><Relationship Id="rId658" Type="http://schemas.openxmlformats.org/officeDocument/2006/relationships/hyperlink" Target="https://drive.google.com/open?id=0B-gS7RLhwu-rbmNoRXRjdnBKbkE" TargetMode="External"/><Relationship Id="rId411" Type="http://schemas.openxmlformats.org/officeDocument/2006/relationships/hyperlink" Target="https://pubmed.ncbi.nlm.nih.gov/28864027/" TargetMode="External"/><Relationship Id="rId532" Type="http://schemas.openxmlformats.org/officeDocument/2006/relationships/hyperlink" Target="https://drive.google.com/a/binghamton.edu/file/d/0B-BMeyhXwSzWNjZIWTJhdWVyN1E/view" TargetMode="External"/><Relationship Id="rId653" Type="http://schemas.openxmlformats.org/officeDocument/2006/relationships/hyperlink" Target="https://drive.google.com/open?id=0B-gS7RLhwu-rbjd1cnBkbDRPWFE" TargetMode="External"/><Relationship Id="rId410" Type="http://schemas.openxmlformats.org/officeDocument/2006/relationships/hyperlink" Target="https://drive.google.com/a/binghamton.edu/file/d/0B_lCd4vI8wOKRC1kSmo4Z0huYmc/view" TargetMode="External"/><Relationship Id="rId531" Type="http://schemas.openxmlformats.org/officeDocument/2006/relationships/hyperlink" Target="https://drive.google.com/a/binghamton.edu/file/d/0B-BMeyhXwSzWNjZIWTJhdWVyN1E/view" TargetMode="External"/><Relationship Id="rId652" Type="http://schemas.openxmlformats.org/officeDocument/2006/relationships/hyperlink" Target="https://drive.google.com/open?id=0B-gS7RLhwu-rbjd1cnBkbDRPWFE" TargetMode="External"/><Relationship Id="rId530" Type="http://schemas.openxmlformats.org/officeDocument/2006/relationships/hyperlink" Target="https://drive.google.com/a/binghamton.edu/file/d/0B-BMeyhXwSzWYmtkdzFsU2xqZ28/view" TargetMode="External"/><Relationship Id="rId651" Type="http://schemas.openxmlformats.org/officeDocument/2006/relationships/hyperlink" Target="https://drive.google.com/open?id=0B-gS7RLhwu-rbjd1cnBkbDRPWFE" TargetMode="External"/><Relationship Id="rId650" Type="http://schemas.openxmlformats.org/officeDocument/2006/relationships/hyperlink" Target="https://drive.google.com/open?id=0B-gS7RLhwu-rOExwYVlaWnZUSEE" TargetMode="External"/><Relationship Id="rId206" Type="http://schemas.openxmlformats.org/officeDocument/2006/relationships/hyperlink" Target="https://drive.google.com/a/binghamton.edu/file/d/0BzjZoBQGkMymQ2JpeXBSOGhHbkE/view" TargetMode="External"/><Relationship Id="rId327" Type="http://schemas.openxmlformats.org/officeDocument/2006/relationships/hyperlink" Target="https://drive.google.com/a/binghamton.edu/file/d/0B-BMeyhXwSzWQU1ET2NlLXNiU1U/view" TargetMode="External"/><Relationship Id="rId448" Type="http://schemas.openxmlformats.org/officeDocument/2006/relationships/hyperlink" Target="https://drive.google.com/file/d/0B83NpKM_pV1sZU8xOU5qWGRNTFU/view?usp=sharing" TargetMode="External"/><Relationship Id="rId569" Type="http://schemas.openxmlformats.org/officeDocument/2006/relationships/hyperlink" Target="https://www-sciencedirect-com.proxy.binghamton.edu/science/article/pii/S1473309918302202" TargetMode="External"/><Relationship Id="rId205" Type="http://schemas.openxmlformats.org/officeDocument/2006/relationships/hyperlink" Target="https://drive.google.com/open?id=0B83NpKM_pV1sYmUzV0QyZklqaGc" TargetMode="External"/><Relationship Id="rId326" Type="http://schemas.openxmlformats.org/officeDocument/2006/relationships/hyperlink" Target="https://drive.google.com/open?id=0B83NpKM_pV1sUTZXbVdiaWNPWm8" TargetMode="External"/><Relationship Id="rId447" Type="http://schemas.openxmlformats.org/officeDocument/2006/relationships/hyperlink" Target="https://pubmed.ncbi.nlm.nih.gov/31193620/" TargetMode="External"/><Relationship Id="rId568" Type="http://schemas.openxmlformats.org/officeDocument/2006/relationships/hyperlink" Target="https://www-sciencedirect-com.proxy.binghamton.edu/science/article/pii/S1473309918302202" TargetMode="External"/><Relationship Id="rId204" Type="http://schemas.openxmlformats.org/officeDocument/2006/relationships/hyperlink" Target="https://drive.google.com/a/binghamton.edu/file/d/0B_lCd4vI8wOKRm5ib2Z0TFdCVEE/view" TargetMode="External"/><Relationship Id="rId325" Type="http://schemas.openxmlformats.org/officeDocument/2006/relationships/hyperlink" Target="https://drive.google.com/file/d/0B_lCd4vI8wOKR21UZ1lENDI0Smc/view?usp=sharing" TargetMode="External"/><Relationship Id="rId446" Type="http://schemas.openxmlformats.org/officeDocument/2006/relationships/hyperlink" Target="https://drive.google.com/a/binghamton.edu/file/d/0B_lCd4vI8wOKNUhQYVlHQy11c28/view" TargetMode="External"/><Relationship Id="rId567" Type="http://schemas.openxmlformats.org/officeDocument/2006/relationships/hyperlink" Target="https://www-sciencedirect-com.proxy.binghamton.edu/science/article/pii/S1473309918302202" TargetMode="External"/><Relationship Id="rId203" Type="http://schemas.openxmlformats.org/officeDocument/2006/relationships/hyperlink" Target="https://drive.google.com/a/binghamton.edu/file/d/0BzjZoBQGkMymQ2JpeXBSOGhHbkE/view" TargetMode="External"/><Relationship Id="rId324" Type="http://schemas.openxmlformats.org/officeDocument/2006/relationships/hyperlink" Target="https://drive.google.com/a/binghamton.edu/file/d/0B-BMeyhXwSzWdElVbDU1UHV1RUE/view" TargetMode="External"/><Relationship Id="rId445" Type="http://schemas.openxmlformats.org/officeDocument/2006/relationships/hyperlink" Target="https://pubmed.ncbi.nlm.nih.gov/29617737/" TargetMode="External"/><Relationship Id="rId566" Type="http://schemas.openxmlformats.org/officeDocument/2006/relationships/hyperlink" Target="https://www-sciencedirect-com.proxy.binghamton.edu/science/article/pii/S1473309918302202" TargetMode="External"/><Relationship Id="rId209" Type="http://schemas.openxmlformats.org/officeDocument/2006/relationships/hyperlink" Target="https://drive.google.com/a/binghamton.edu/file/d/0BzjZoBQGkMymQ2JpeXBSOGhHbkE/view" TargetMode="External"/><Relationship Id="rId208" Type="http://schemas.openxmlformats.org/officeDocument/2006/relationships/hyperlink" Target="https://drive.google.com/open?id=0B83NpKM_pV1sZS1aSllwQUQ1dUU" TargetMode="External"/><Relationship Id="rId329" Type="http://schemas.openxmlformats.org/officeDocument/2006/relationships/hyperlink" Target="https://drive.google.com/open?id=0B83NpKM_pV1sUTZXbVdiaWNPWm8" TargetMode="External"/><Relationship Id="rId207" Type="http://schemas.openxmlformats.org/officeDocument/2006/relationships/hyperlink" Target="https://drive.google.com/a/binghamton.edu/file/d/0B_lCd4vI8wOKRm5ib2Z0TFdCVEE/view" TargetMode="External"/><Relationship Id="rId328" Type="http://schemas.openxmlformats.org/officeDocument/2006/relationships/hyperlink" Target="https://drive.google.com/file/d/0B_lCd4vI8wOKR21UZ1lENDI0Smc/view?usp=sharing" TargetMode="External"/><Relationship Id="rId449" Type="http://schemas.openxmlformats.org/officeDocument/2006/relationships/hyperlink" Target="https://pubmed.ncbi.nlm.nih.gov/31193620/" TargetMode="External"/><Relationship Id="rId440" Type="http://schemas.openxmlformats.org/officeDocument/2006/relationships/hyperlink" Target="https://drive.google.com/a/binghamton.edu/file/d/0B_lCd4vI8wOKZVh2UWFqazlmT1k/view" TargetMode="External"/><Relationship Id="rId561" Type="http://schemas.openxmlformats.org/officeDocument/2006/relationships/hyperlink" Target="https://www.id-press.eu/mjms/article/view/5110" TargetMode="External"/><Relationship Id="rId560" Type="http://schemas.openxmlformats.org/officeDocument/2006/relationships/hyperlink" Target="https://www.id-press.eu/mjms/article/view/5110" TargetMode="External"/><Relationship Id="rId202" Type="http://schemas.openxmlformats.org/officeDocument/2006/relationships/hyperlink" Target="https://drive.google.com/open?id=0B83NpKM_pV1sYmUzV0QyZklqaGc" TargetMode="External"/><Relationship Id="rId323" Type="http://schemas.openxmlformats.org/officeDocument/2006/relationships/hyperlink" Target="https://drive.google.com/open?id=0B83NpKM_pV1sUTZXbVdiaWNPWm8" TargetMode="External"/><Relationship Id="rId444" Type="http://schemas.openxmlformats.org/officeDocument/2006/relationships/hyperlink" Target="https://drive.google.com/a/binghamton.edu/file/d/0B_lCd4vI8wOKNUhQYVlHQy11c28/view" TargetMode="External"/><Relationship Id="rId565" Type="http://schemas.openxmlformats.org/officeDocument/2006/relationships/hyperlink" Target="https://inabj.org/index.php/ibj/article/view/920" TargetMode="External"/><Relationship Id="rId201" Type="http://schemas.openxmlformats.org/officeDocument/2006/relationships/hyperlink" Target="https://drive.google.com/a/binghamton.edu/file/d/0B_lCd4vI8wOKRm5ib2Z0TFdCVEE/view" TargetMode="External"/><Relationship Id="rId322" Type="http://schemas.openxmlformats.org/officeDocument/2006/relationships/hyperlink" Target="https://drive.google.com/file/d/0B_lCd4vI8wOKR21UZ1lENDI0Smc/view?usp=sharing" TargetMode="External"/><Relationship Id="rId443" Type="http://schemas.openxmlformats.org/officeDocument/2006/relationships/hyperlink" Target="https://pubmed.ncbi.nlm.nih.gov/29617737/" TargetMode="External"/><Relationship Id="rId564" Type="http://schemas.openxmlformats.org/officeDocument/2006/relationships/hyperlink" Target="https://inabj.org/index.php/ibj/article/view/920" TargetMode="External"/><Relationship Id="rId200" Type="http://schemas.openxmlformats.org/officeDocument/2006/relationships/hyperlink" Target="https://drive.google.com/a/binghamton.edu/file/d/0BzjZoBQGkMymQ2JpeXBSOGhHbkE/view" TargetMode="External"/><Relationship Id="rId321" Type="http://schemas.openxmlformats.org/officeDocument/2006/relationships/hyperlink" Target="https://drive.google.com/a/binghamton.edu/file/d/0B-BMeyhXwSzWdElVbDU1UHV1RUE/view" TargetMode="External"/><Relationship Id="rId442" Type="http://schemas.openxmlformats.org/officeDocument/2006/relationships/hyperlink" Target="https://drive.google.com/a/binghamton.edu/file/d/0B_lCd4vI8wOKNUhQYVlHQy11c28/view" TargetMode="External"/><Relationship Id="rId563" Type="http://schemas.openxmlformats.org/officeDocument/2006/relationships/hyperlink" Target="https://inabj.org/index.php/ibj/article/view/920" TargetMode="External"/><Relationship Id="rId320" Type="http://schemas.openxmlformats.org/officeDocument/2006/relationships/hyperlink" Target="https://drive.google.com/open?id=0B83NpKM_pV1sUTZXbVdiaWNPWm8" TargetMode="External"/><Relationship Id="rId441" Type="http://schemas.openxmlformats.org/officeDocument/2006/relationships/hyperlink" Target="https://pubmed.ncbi.nlm.nih.gov/29617737/" TargetMode="External"/><Relationship Id="rId562" Type="http://schemas.openxmlformats.org/officeDocument/2006/relationships/hyperlink" Target="https://www.id-press.eu/mjms/article/view/5110" TargetMode="External"/><Relationship Id="rId316" Type="http://schemas.openxmlformats.org/officeDocument/2006/relationships/hyperlink" Target="https://drive.google.com/open?id=0B83NpKM_pV1sVlp0Y25SY0pWZTg" TargetMode="External"/><Relationship Id="rId437" Type="http://schemas.openxmlformats.org/officeDocument/2006/relationships/hyperlink" Target="https://pubmed.ncbi.nlm.nih.gov/29617737/" TargetMode="External"/><Relationship Id="rId558" Type="http://schemas.openxmlformats.org/officeDocument/2006/relationships/hyperlink" Target="https://pubmed.ncbi.nlm.nih.gov/32405623/" TargetMode="External"/><Relationship Id="rId315" Type="http://schemas.openxmlformats.org/officeDocument/2006/relationships/hyperlink" Target="https://drive.google.com/a/binghamton.edu/file/d/0B-BMeyhXwSzWdElVbDU1UHV1RUE/view" TargetMode="External"/><Relationship Id="rId436" Type="http://schemas.openxmlformats.org/officeDocument/2006/relationships/hyperlink" Target="https://drive.google.com/a/binghamton.edu/file/d/0B812JSakX9u5SVh3QWVBTXpWV2s/view" TargetMode="External"/><Relationship Id="rId557" Type="http://schemas.openxmlformats.org/officeDocument/2006/relationships/hyperlink" Target="https://pubmed.ncbi.nlm.nih.gov/32405623/" TargetMode="External"/><Relationship Id="rId314" Type="http://schemas.openxmlformats.org/officeDocument/2006/relationships/hyperlink" Target="https://drive.google.com/open?id=0B83NpKM_pV1sUTZXbVdiaWNPWm8" TargetMode="External"/><Relationship Id="rId435" Type="http://schemas.openxmlformats.org/officeDocument/2006/relationships/hyperlink" Target="https://pubmed.ncbi.nlm.nih.gov/25589326/" TargetMode="External"/><Relationship Id="rId556" Type="http://schemas.openxmlformats.org/officeDocument/2006/relationships/hyperlink" Target="https://pubmed.ncbi.nlm.nih.gov/32405623/" TargetMode="External"/><Relationship Id="rId313" Type="http://schemas.openxmlformats.org/officeDocument/2006/relationships/hyperlink" Target="https://drive.google.com/file/d/0B_lCd4vI8wOKVDhwTUYxY1l0NWs/view?usp=sharing" TargetMode="External"/><Relationship Id="rId434" Type="http://schemas.openxmlformats.org/officeDocument/2006/relationships/hyperlink" Target="https://drive.google.com/a/binghamton.edu/file/d/0B812JSakX9u5VUE3eFF4QXNFUkk/view" TargetMode="External"/><Relationship Id="rId555" Type="http://schemas.openxmlformats.org/officeDocument/2006/relationships/hyperlink" Target="https://pubmed.ncbi.nlm.nih.gov/32405623/" TargetMode="External"/><Relationship Id="rId319" Type="http://schemas.openxmlformats.org/officeDocument/2006/relationships/hyperlink" Target="https://drive.google.com/open?id=0B83NpKM_pV1sVlp0Y25SY0pWZTg" TargetMode="External"/><Relationship Id="rId318" Type="http://schemas.openxmlformats.org/officeDocument/2006/relationships/hyperlink" Target="https://drive.google.com/a/binghamton.edu/file/d/0B-BMeyhXwSzWdElVbDU1UHV1RUE/view" TargetMode="External"/><Relationship Id="rId439" Type="http://schemas.openxmlformats.org/officeDocument/2006/relationships/hyperlink" Target="https://pubmed.ncbi.nlm.nih.gov/29617737/" TargetMode="External"/><Relationship Id="rId317" Type="http://schemas.openxmlformats.org/officeDocument/2006/relationships/hyperlink" Target="https://drive.google.com/open?id=0B83NpKM_pV1sUTZXbVdiaWNPWm8" TargetMode="External"/><Relationship Id="rId438" Type="http://schemas.openxmlformats.org/officeDocument/2006/relationships/hyperlink" Target="https://drive.google.com/a/binghamton.edu/file/d/0B_lCd4vI8wOKZVh2UWFqazlmT1k/view" TargetMode="External"/><Relationship Id="rId559" Type="http://schemas.openxmlformats.org/officeDocument/2006/relationships/hyperlink" Target="https://pubmed.ncbi.nlm.nih.gov/32405623/" TargetMode="External"/><Relationship Id="rId550" Type="http://schemas.openxmlformats.org/officeDocument/2006/relationships/hyperlink" Target="https://pubmed.ncbi.nlm.nih.gov/31044235/" TargetMode="External"/><Relationship Id="rId312" Type="http://schemas.openxmlformats.org/officeDocument/2006/relationships/hyperlink" Target="https://drive.google.com/a/binghamton.edu/file/d/0B5uKCExuj58mZEFNdVFmWU9WRlk/view" TargetMode="External"/><Relationship Id="rId433" Type="http://schemas.openxmlformats.org/officeDocument/2006/relationships/hyperlink" Target="https://pubmed.ncbi.nlm.nih.gov/25589326/" TargetMode="External"/><Relationship Id="rId554" Type="http://schemas.openxmlformats.org/officeDocument/2006/relationships/hyperlink" Target="https://pubmed.ncbi.nlm.nih.gov/32405623/" TargetMode="External"/><Relationship Id="rId311" Type="http://schemas.openxmlformats.org/officeDocument/2006/relationships/hyperlink" Target="https://drive.google.com/open?id=0B83NpKM_pV1sU0dfcGlvZlFfOVU" TargetMode="External"/><Relationship Id="rId432" Type="http://schemas.openxmlformats.org/officeDocument/2006/relationships/hyperlink" Target="https://drive.google.com/a/binghamton.edu/file/d/0B812JSakX9u5VUE3eFF4QXNFUkk/view" TargetMode="External"/><Relationship Id="rId553" Type="http://schemas.openxmlformats.org/officeDocument/2006/relationships/hyperlink" Target="https://pubmed.ncbi.nlm.nih.gov/32405623/" TargetMode="External"/><Relationship Id="rId310" Type="http://schemas.openxmlformats.org/officeDocument/2006/relationships/hyperlink" Target="https://drive.google.com/a/binghamton.edu/file/d/0B_lCd4vI8wOKMHB0YnBiekdnX1U/view?usp=drive_web" TargetMode="External"/><Relationship Id="rId431" Type="http://schemas.openxmlformats.org/officeDocument/2006/relationships/hyperlink" Target="https://pubmed.ncbi.nlm.nih.gov/25589326/" TargetMode="External"/><Relationship Id="rId552" Type="http://schemas.openxmlformats.org/officeDocument/2006/relationships/hyperlink" Target="https://pubmed.ncbi.nlm.nih.gov/32405623/" TargetMode="External"/><Relationship Id="rId430" Type="http://schemas.openxmlformats.org/officeDocument/2006/relationships/hyperlink" Target="https://drive.google.com/a/binghamton.edu/file/d/0B812JSakX9u5VUE3eFF4QXNFUkk/view" TargetMode="External"/><Relationship Id="rId551" Type="http://schemas.openxmlformats.org/officeDocument/2006/relationships/hyperlink" Target="https://pubmed.ncbi.nlm.nih.gov/31044235/" TargetMode="Externa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3.xml"/><Relationship Id="rId3"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4.xml"/><Relationship Id="rId3"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5.xml"/><Relationship Id="rId3"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40" Type="http://schemas.openxmlformats.org/officeDocument/2006/relationships/hyperlink" Target="https://drive.google.com/a/binghamton.edu/file/d/0B-BMeyhXwSzWUzlTZzlVMXFwMWs/view" TargetMode="External"/><Relationship Id="rId42" Type="http://schemas.openxmlformats.org/officeDocument/2006/relationships/hyperlink" Target="https://drive.google.com/a/binghamton.edu/file/d/0B-BMeyhXwSzWUzlTZzlVMXFwMWs/view" TargetMode="External"/><Relationship Id="rId41" Type="http://schemas.openxmlformats.org/officeDocument/2006/relationships/hyperlink" Target="https://drive.google.com/a/binghamton.edu/file/d/0B-BMeyhXwSzWUzlTZzlVMXFwMWs/view" TargetMode="External"/><Relationship Id="rId44" Type="http://schemas.openxmlformats.org/officeDocument/2006/relationships/hyperlink" Target="https://drive.google.com/a/binghamton.edu/file/d/0Bz8dSgHSE9XJMWtNLThQZUM5dFk/view?usp=sharing" TargetMode="External"/><Relationship Id="rId43" Type="http://schemas.openxmlformats.org/officeDocument/2006/relationships/hyperlink" Target="https://drive.google.com/a/binghamton.edu/file/d/0Bz8dSgHSE9XJMWtNLThQZUM5dFk/view?usp=sharing" TargetMode="External"/><Relationship Id="rId46" Type="http://schemas.openxmlformats.org/officeDocument/2006/relationships/hyperlink" Target="https://drive.google.com/a/binghamton.edu/file/d/0Bz8dSgHSE9XJMWtNLThQZUM5dFk/view?usp=sharing" TargetMode="External"/><Relationship Id="rId45" Type="http://schemas.openxmlformats.org/officeDocument/2006/relationships/hyperlink" Target="https://drive.google.com/a/binghamton.edu/file/d/0Bz8dSgHSE9XJMWtNLThQZUM5dFk/view?usp=sharing" TargetMode="External"/><Relationship Id="rId107" Type="http://schemas.openxmlformats.org/officeDocument/2006/relationships/hyperlink" Target="https://drive.google.com/a/binghamton.edu/file/d/0B-BMeyhXwSzWSWZibHduRUYwR00/view" TargetMode="External"/><Relationship Id="rId106" Type="http://schemas.openxmlformats.org/officeDocument/2006/relationships/hyperlink" Target="https://drive.google.com/a/binghamton.edu/file/d/0B-BMeyhXwSzWSWZibHduRUYwR00/view" TargetMode="External"/><Relationship Id="rId105" Type="http://schemas.openxmlformats.org/officeDocument/2006/relationships/hyperlink" Target="https://drive.google.com/a/binghamton.edu/file/d/0B-BMeyhXwSzWSWZibHduRUYwR00/view" TargetMode="External"/><Relationship Id="rId104" Type="http://schemas.openxmlformats.org/officeDocument/2006/relationships/hyperlink" Target="https://drive.google.com/a/binghamton.edu/file/d/0B-BMeyhXwSzWSWZibHduRUYwR00/view" TargetMode="External"/><Relationship Id="rId109" Type="http://schemas.openxmlformats.org/officeDocument/2006/relationships/hyperlink" Target="https://drive.google.com/a/binghamton.edu/file/d/0B-BMeyhXwSzWWlp0NzdvRnpzXzg/view" TargetMode="External"/><Relationship Id="rId108" Type="http://schemas.openxmlformats.org/officeDocument/2006/relationships/hyperlink" Target="https://drive.google.com/a/binghamton.edu/file/d/0B-BMeyhXwSzWWlp0NzdvRnpzXzg/view" TargetMode="External"/><Relationship Id="rId48" Type="http://schemas.openxmlformats.org/officeDocument/2006/relationships/hyperlink" Target="https://drive.google.com/a/binghamton.edu/file/d/0Bz8dSgHSE9XJZ2NZaXRneEkwM1U/view?usp=sharing" TargetMode="External"/><Relationship Id="rId47" Type="http://schemas.openxmlformats.org/officeDocument/2006/relationships/hyperlink" Target="https://drive.google.com/a/binghamton.edu/file/d/0Bz8dSgHSE9XJZ2NZaXRneEkwM1U/view?usp=sharing" TargetMode="External"/><Relationship Id="rId49" Type="http://schemas.openxmlformats.org/officeDocument/2006/relationships/hyperlink" Target="https://drive.google.com/a/binghamton.edu/file/d/0B-BMeyhXwSzWWkFYeW1DQ3hwMmM/view" TargetMode="External"/><Relationship Id="rId103" Type="http://schemas.openxmlformats.org/officeDocument/2006/relationships/hyperlink" Target="https://drive.google.com/a/binghamton.edu/file/d/0B-BMeyhXwSzWM0JLdnpMQzQtX0U/view" TargetMode="External"/><Relationship Id="rId102" Type="http://schemas.openxmlformats.org/officeDocument/2006/relationships/hyperlink" Target="https://drive.google.com/a/binghamton.edu/file/d/0B-BMeyhXwSzWM0JLdnpMQzQtX0U/view" TargetMode="External"/><Relationship Id="rId101" Type="http://schemas.openxmlformats.org/officeDocument/2006/relationships/hyperlink" Target="https://drive.google.com/a/binghamton.edu/file/d/0B-BMeyhXwSzWZExGUkFpN2VWUDA/view" TargetMode="External"/><Relationship Id="rId100" Type="http://schemas.openxmlformats.org/officeDocument/2006/relationships/hyperlink" Target="https://drive.google.com/a/binghamton.edu/file/d/0B-BMeyhXwSzWZExGUkFpN2VWUDA/view" TargetMode="External"/><Relationship Id="rId31" Type="http://schemas.openxmlformats.org/officeDocument/2006/relationships/hyperlink" Target="https://drive.google.com/open?id=0Bz8dSgHSE9XJQU1RTzFCZWhpc0U" TargetMode="External"/><Relationship Id="rId30" Type="http://schemas.openxmlformats.org/officeDocument/2006/relationships/hyperlink" Target="https://drive.google.com/open?id=0Bz8dSgHSE9XJQU1RTzFCZWhpc0U" TargetMode="External"/><Relationship Id="rId33" Type="http://schemas.openxmlformats.org/officeDocument/2006/relationships/hyperlink" Target="https://drive.google.com/open?id=0Bz8dSgHSE9XJMjFOX0dBUlIxNWc" TargetMode="External"/><Relationship Id="rId32" Type="http://schemas.openxmlformats.org/officeDocument/2006/relationships/hyperlink" Target="https://drive.google.com/open?id=0Bz8dSgHSE9XJQU1RTzFCZWhpc0U" TargetMode="External"/><Relationship Id="rId182" Type="http://schemas.openxmlformats.org/officeDocument/2006/relationships/drawing" Target="../drawings/drawing6.xml"/><Relationship Id="rId35" Type="http://schemas.openxmlformats.org/officeDocument/2006/relationships/hyperlink" Target="https://drive.google.com/open?id=0Bz8dSgHSE9XJMjFOX0dBUlIxNWc" TargetMode="External"/><Relationship Id="rId181" Type="http://schemas.openxmlformats.org/officeDocument/2006/relationships/hyperlink" Target="https://drive.google.com/file/d/0B5DG5WdEiYGENTVhaFRvQy1JTnc/view?usp=sharing" TargetMode="External"/><Relationship Id="rId34" Type="http://schemas.openxmlformats.org/officeDocument/2006/relationships/hyperlink" Target="https://drive.google.com/open?id=0Bz8dSgHSE9XJMjFOX0dBUlIxNWc" TargetMode="External"/><Relationship Id="rId180" Type="http://schemas.openxmlformats.org/officeDocument/2006/relationships/hyperlink" Target="https://drive.google.com/file/d/0B5DG5WdEiYGENTVhaFRvQy1JTnc/view?usp=sharing" TargetMode="External"/><Relationship Id="rId37" Type="http://schemas.openxmlformats.org/officeDocument/2006/relationships/hyperlink" Target="https://drive.google.com/a/binghamton.edu/file/d/0Bz8dSgHSE9XJaGtUYzhmYmhaR3M/view" TargetMode="External"/><Relationship Id="rId176" Type="http://schemas.openxmlformats.org/officeDocument/2006/relationships/hyperlink" Target="https://drive.google.com/file/d/0B5DG5WdEiYGEY1JOdXZPbzc2LUE/view?usp=sharing" TargetMode="External"/><Relationship Id="rId36" Type="http://schemas.openxmlformats.org/officeDocument/2006/relationships/hyperlink" Target="https://drive.google.com/open?id=0Bz8dSgHSE9XJMjFOX0dBUlIxNWc" TargetMode="External"/><Relationship Id="rId175" Type="http://schemas.openxmlformats.org/officeDocument/2006/relationships/hyperlink" Target="https://drive.google.com/file/d/0B5DG5WdEiYGEY1JOdXZPbzc2LUE/view?usp=sharing" TargetMode="External"/><Relationship Id="rId39" Type="http://schemas.openxmlformats.org/officeDocument/2006/relationships/hyperlink" Target="https://drive.google.com/a/binghamton.edu/file/d/0B-BMeyhXwSzWUzlTZzlVMXFwMWs/view" TargetMode="External"/><Relationship Id="rId174" Type="http://schemas.openxmlformats.org/officeDocument/2006/relationships/hyperlink" Target="https://drive.google.com/file/d/0B5DG5WdEiYGEY1JOdXZPbzc2LUE/view?usp=sharing" TargetMode="External"/><Relationship Id="rId38" Type="http://schemas.openxmlformats.org/officeDocument/2006/relationships/hyperlink" Target="https://drive.google.com/open?id=0B-BMeyhXwSzWS1lvclk3ejh3bjA" TargetMode="External"/><Relationship Id="rId173" Type="http://schemas.openxmlformats.org/officeDocument/2006/relationships/hyperlink" Target="https://drive.google.com/file/d/0B5DG5WdEiYGEU0paV3BqeERPeXc/view?usp=sharing" TargetMode="External"/><Relationship Id="rId179" Type="http://schemas.openxmlformats.org/officeDocument/2006/relationships/hyperlink" Target="https://drive.google.com/file/d/0B5DG5WdEiYGENTVhaFRvQy1JTnc/view?usp=sharing" TargetMode="External"/><Relationship Id="rId178" Type="http://schemas.openxmlformats.org/officeDocument/2006/relationships/hyperlink" Target="https://drive.google.com/file/d/0B5DG5WdEiYGENTVhaFRvQy1JTnc/view?usp=sharing" TargetMode="External"/><Relationship Id="rId177" Type="http://schemas.openxmlformats.org/officeDocument/2006/relationships/hyperlink" Target="https://drive.google.com/file/d/0B5DG5WdEiYGEY1JOdXZPbzc2LUE/view?usp=sharing" TargetMode="External"/><Relationship Id="rId20" Type="http://schemas.openxmlformats.org/officeDocument/2006/relationships/hyperlink" Target="https://drive.google.com/open?id=0Bz8dSgHSE9XJc1BkVGRQUEIxNnM" TargetMode="External"/><Relationship Id="rId22" Type="http://schemas.openxmlformats.org/officeDocument/2006/relationships/hyperlink" Target="https://drive.google.com/open?id=0Bz8dSgHSE9XJc1BkVGRQUEIxNnM" TargetMode="External"/><Relationship Id="rId21" Type="http://schemas.openxmlformats.org/officeDocument/2006/relationships/hyperlink" Target="https://drive.google.com/open?id=0Bz8dSgHSE9XJc1BkVGRQUEIxNnM" TargetMode="External"/><Relationship Id="rId24" Type="http://schemas.openxmlformats.org/officeDocument/2006/relationships/hyperlink" Target="https://drive.google.com/open?id=0Bz8dSgHSE9XJb1hNWjJyelJZSUU" TargetMode="External"/><Relationship Id="rId23" Type="http://schemas.openxmlformats.org/officeDocument/2006/relationships/hyperlink" Target="https://drive.google.com/open?id=0Bz8dSgHSE9XJWUtkVHA0cHhpS2M" TargetMode="External"/><Relationship Id="rId129" Type="http://schemas.openxmlformats.org/officeDocument/2006/relationships/hyperlink" Target="https://drive.google.com/a/binghamton.edu/file/d/0B-BMeyhXwSzWZENJT3NKM2F1d1E/view" TargetMode="External"/><Relationship Id="rId128" Type="http://schemas.openxmlformats.org/officeDocument/2006/relationships/hyperlink" Target="https://drive.google.com/a/binghamton.edu/file/d/0B-BMeyhXwSzWSDZEYVB4NDBZVHc/view" TargetMode="External"/><Relationship Id="rId127" Type="http://schemas.openxmlformats.org/officeDocument/2006/relationships/hyperlink" Target="https://drive.google.com/a/binghamton.edu/file/d/0B-BMeyhXwSzWSDZEYVB4NDBZVHc/view" TargetMode="External"/><Relationship Id="rId126" Type="http://schemas.openxmlformats.org/officeDocument/2006/relationships/hyperlink" Target="https://drive.google.com/a/binghamton.edu/file/d/0B-BMeyhXwSzWSDZEYVB4NDBZVHc/view" TargetMode="External"/><Relationship Id="rId26" Type="http://schemas.openxmlformats.org/officeDocument/2006/relationships/hyperlink" Target="https://drive.google.com/open?id=0Bz8dSgHSE9XJQU1RTzFCZWhpc0U" TargetMode="External"/><Relationship Id="rId121" Type="http://schemas.openxmlformats.org/officeDocument/2006/relationships/hyperlink" Target="https://drive.google.com/a/binghamton.edu/file/d/0B-BMeyhXwSzWTEs1NUZoOS1OREE/view" TargetMode="External"/><Relationship Id="rId25" Type="http://schemas.openxmlformats.org/officeDocument/2006/relationships/hyperlink" Target="https://drive.google.com/open?id=0Bz8dSgHSE9XJb1hNWjJyelJZSUU" TargetMode="External"/><Relationship Id="rId120" Type="http://schemas.openxmlformats.org/officeDocument/2006/relationships/hyperlink" Target="https://drive.google.com/open?id=0B-BMeyhXwSzWaWk3dmU5YzA0LUE" TargetMode="External"/><Relationship Id="rId28" Type="http://schemas.openxmlformats.org/officeDocument/2006/relationships/hyperlink" Target="https://drive.google.com/open?id=0Bz8dSgHSE9XJQU1RTzFCZWhpc0U" TargetMode="External"/><Relationship Id="rId27" Type="http://schemas.openxmlformats.org/officeDocument/2006/relationships/hyperlink" Target="https://drive.google.com/open?id=0Bz8dSgHSE9XJQU1RTzFCZWhpc0U" TargetMode="External"/><Relationship Id="rId125" Type="http://schemas.openxmlformats.org/officeDocument/2006/relationships/hyperlink" Target="https://drive.google.com/a/binghamton.edu/file/d/0B-BMeyhXwSzWSDZEYVB4NDBZVHc/view" TargetMode="External"/><Relationship Id="rId29" Type="http://schemas.openxmlformats.org/officeDocument/2006/relationships/hyperlink" Target="https://drive.google.com/open?id=0Bz8dSgHSE9XJQU1RTzFCZWhpc0U" TargetMode="External"/><Relationship Id="rId124" Type="http://schemas.openxmlformats.org/officeDocument/2006/relationships/hyperlink" Target="https://drive.google.com/a/binghamton.edu/file/d/0B-BMeyhXwSzWSDZEYVB4NDBZVHc/view" TargetMode="External"/><Relationship Id="rId123" Type="http://schemas.openxmlformats.org/officeDocument/2006/relationships/hyperlink" Target="https://drive.google.com/a/binghamton.edu/file/d/0B-BMeyhXwSzWbHFidmxjSUNoQnM/view" TargetMode="External"/><Relationship Id="rId122" Type="http://schemas.openxmlformats.org/officeDocument/2006/relationships/hyperlink" Target="https://drive.google.com/a/binghamton.edu/file/d/0B-BMeyhXwSzWbDRDY1N4M3JwWGM/view" TargetMode="External"/><Relationship Id="rId95" Type="http://schemas.openxmlformats.org/officeDocument/2006/relationships/hyperlink" Target="https://drive.google.com/a/binghamton.edu/file/d/0B-BMeyhXwSzWc1FFek14S3V2Qnc/view" TargetMode="External"/><Relationship Id="rId94" Type="http://schemas.openxmlformats.org/officeDocument/2006/relationships/hyperlink" Target="https://drive.google.com/a/binghamton.edu/file/d/0B-BMeyhXwSzWc1FFek14S3V2Qnc/view" TargetMode="External"/><Relationship Id="rId97" Type="http://schemas.openxmlformats.org/officeDocument/2006/relationships/hyperlink" Target="https://drive.google.com/a/binghamton.edu/file/d/0B-BMeyhXwSzWVzA1dmQ5c0VrZUk/view" TargetMode="External"/><Relationship Id="rId96" Type="http://schemas.openxmlformats.org/officeDocument/2006/relationships/hyperlink" Target="https://drive.google.com/a/binghamton.edu/file/d/0B-BMeyhXwSzWVzA1dmQ5c0VrZUk/view" TargetMode="External"/><Relationship Id="rId11" Type="http://schemas.openxmlformats.org/officeDocument/2006/relationships/hyperlink" Target="https://drive.google.com/open?id=0Bz8dSgHSE9XJUUNveUZfcUxMOGc" TargetMode="External"/><Relationship Id="rId99" Type="http://schemas.openxmlformats.org/officeDocument/2006/relationships/hyperlink" Target="https://drive.google.com/a/binghamton.edu/file/d/0B-BMeyhXwSzWZExGUkFpN2VWUDA/view" TargetMode="External"/><Relationship Id="rId10" Type="http://schemas.openxmlformats.org/officeDocument/2006/relationships/hyperlink" Target="https://drive.google.com/open?id=0Bz8dSgHSE9XJUUNveUZfcUxMOGc" TargetMode="External"/><Relationship Id="rId98" Type="http://schemas.openxmlformats.org/officeDocument/2006/relationships/hyperlink" Target="https://drive.google.com/a/binghamton.edu/file/d/0B-BMeyhXwSzWVzA1dmQ5c0VrZUk/view" TargetMode="External"/><Relationship Id="rId13" Type="http://schemas.openxmlformats.org/officeDocument/2006/relationships/hyperlink" Target="https://drive.google.com/a/binghamton.edu/file/d/0B-BMeyhXwSzWbDZwUEctVWZOOTg/view" TargetMode="External"/><Relationship Id="rId12" Type="http://schemas.openxmlformats.org/officeDocument/2006/relationships/hyperlink" Target="https://drive.google.com/open?id=0Bz8dSgHSE9XJUUNveUZfcUxMOGc" TargetMode="External"/><Relationship Id="rId91" Type="http://schemas.openxmlformats.org/officeDocument/2006/relationships/hyperlink" Target="https://drive.google.com/a/binghamton.edu/file/d/0B-BMeyhXwSzWc1FFek14S3V2Qnc/view" TargetMode="External"/><Relationship Id="rId90" Type="http://schemas.openxmlformats.org/officeDocument/2006/relationships/hyperlink" Target="https://drive.google.com/a/binghamton.edu/file/d/0B-BMeyhXwSzWc1FFek14S3V2Qnc/view" TargetMode="External"/><Relationship Id="rId93" Type="http://schemas.openxmlformats.org/officeDocument/2006/relationships/hyperlink" Target="https://drive.google.com/a/binghamton.edu/file/d/0B-BMeyhXwSzWc1FFek14S3V2Qnc/view" TargetMode="External"/><Relationship Id="rId92" Type="http://schemas.openxmlformats.org/officeDocument/2006/relationships/hyperlink" Target="https://drive.google.com/a/binghamton.edu/file/d/0B-BMeyhXwSzWc1FFek14S3V2Qnc/view" TargetMode="External"/><Relationship Id="rId118" Type="http://schemas.openxmlformats.org/officeDocument/2006/relationships/hyperlink" Target="https://drive.google.com/open?id=0B-BMeyhXwSzWaWk3dmU5YzA0LUE" TargetMode="External"/><Relationship Id="rId117" Type="http://schemas.openxmlformats.org/officeDocument/2006/relationships/hyperlink" Target="https://drive.google.com/open?id=0B-BMeyhXwSzWaWk3dmU5YzA0LUE" TargetMode="External"/><Relationship Id="rId116" Type="http://schemas.openxmlformats.org/officeDocument/2006/relationships/hyperlink" Target="https://drive.google.com/open?id=0B-BMeyhXwSzWaWk3dmU5YzA0LUE" TargetMode="External"/><Relationship Id="rId115" Type="http://schemas.openxmlformats.org/officeDocument/2006/relationships/hyperlink" Target="https://drive.google.com/a/binghamton.edu/file/d/0B-BMeyhXwSzWVFlkX2FhaERvODA/view" TargetMode="External"/><Relationship Id="rId119" Type="http://schemas.openxmlformats.org/officeDocument/2006/relationships/hyperlink" Target="https://drive.google.com/open?id=0B-BMeyhXwSzWaWk3dmU5YzA0LUE" TargetMode="External"/><Relationship Id="rId15" Type="http://schemas.openxmlformats.org/officeDocument/2006/relationships/hyperlink" Target="https://drive.google.com/open?id=0Bz8dSgHSE9XJN2N2OTh6NmNhMEE" TargetMode="External"/><Relationship Id="rId110" Type="http://schemas.openxmlformats.org/officeDocument/2006/relationships/hyperlink" Target="https://drive.google.com/a/binghamton.edu/file/d/0B-BMeyhXwSzWWlp0NzdvRnpzXzg/view" TargetMode="External"/><Relationship Id="rId14" Type="http://schemas.openxmlformats.org/officeDocument/2006/relationships/hyperlink" Target="https://drive.google.com/open?id=0Bz8dSgHSE9XJN2N2OTh6NmNhMEE" TargetMode="External"/><Relationship Id="rId17" Type="http://schemas.openxmlformats.org/officeDocument/2006/relationships/hyperlink" Target="https://drive.google.com/open?id=0Bz8dSgHSE9XJTUlMRU5jYTBqX1E" TargetMode="External"/><Relationship Id="rId16" Type="http://schemas.openxmlformats.org/officeDocument/2006/relationships/hyperlink" Target="https://drive.google.com/open?id=0Bz8dSgHSE9XJN2N2OTh6NmNhMEE" TargetMode="External"/><Relationship Id="rId19" Type="http://schemas.openxmlformats.org/officeDocument/2006/relationships/hyperlink" Target="https://drive.google.com/open?id=0Bz8dSgHSE9XJc1BkVGRQUEIxNnM" TargetMode="External"/><Relationship Id="rId114" Type="http://schemas.openxmlformats.org/officeDocument/2006/relationships/hyperlink" Target="https://drive.google.com/a/binghamton.edu/file/d/0B-BMeyhXwSzWVFlkX2FhaERvODA/view" TargetMode="External"/><Relationship Id="rId18" Type="http://schemas.openxmlformats.org/officeDocument/2006/relationships/hyperlink" Target="https://drive.google.com/open?id=0Bz8dSgHSE9XJTnhxVi01NGljUFU" TargetMode="External"/><Relationship Id="rId113" Type="http://schemas.openxmlformats.org/officeDocument/2006/relationships/hyperlink" Target="https://drive.google.com/a/binghamton.edu/file/d/0B-BMeyhXwSzWNU5rUGRnenFGc2s/view" TargetMode="External"/><Relationship Id="rId112" Type="http://schemas.openxmlformats.org/officeDocument/2006/relationships/hyperlink" Target="https://drive.google.com/a/binghamton.edu/file/d/0B-BMeyhXwSzWWlp0NzdvRnpzXzg/view" TargetMode="External"/><Relationship Id="rId111" Type="http://schemas.openxmlformats.org/officeDocument/2006/relationships/hyperlink" Target="https://drive.google.com/a/binghamton.edu/file/d/0B-BMeyhXwSzWWlp0NzdvRnpzXzg/view" TargetMode="External"/><Relationship Id="rId84" Type="http://schemas.openxmlformats.org/officeDocument/2006/relationships/hyperlink" Target="https://drive.google.com/a/binghamton.edu/file/d/0B-BMeyhXwSzWYjdZSFZPX3dwX0k/view" TargetMode="External"/><Relationship Id="rId83" Type="http://schemas.openxmlformats.org/officeDocument/2006/relationships/hyperlink" Target="https://drive.google.com/a/binghamton.edu/file/d/0B-BMeyhXwSzWYjdZSFZPX3dwX0k/view" TargetMode="External"/><Relationship Id="rId86" Type="http://schemas.openxmlformats.org/officeDocument/2006/relationships/hyperlink" Target="https://drive.google.com/a/binghamton.edu/file/d/0B-BMeyhXwSzWelVGS2V4WjVQRTg/view" TargetMode="External"/><Relationship Id="rId85" Type="http://schemas.openxmlformats.org/officeDocument/2006/relationships/hyperlink" Target="https://drive.google.com/a/binghamton.edu/file/d/0B-BMeyhXwSzWYjdZSFZPX3dwX0k/view" TargetMode="External"/><Relationship Id="rId88" Type="http://schemas.openxmlformats.org/officeDocument/2006/relationships/hyperlink" Target="https://drive.google.com/a/binghamton.edu/file/d/0B-BMeyhXwSzWelVGS2V4WjVQRTg/view" TargetMode="External"/><Relationship Id="rId150" Type="http://schemas.openxmlformats.org/officeDocument/2006/relationships/hyperlink" Target="https://drive.google.com/a/binghamton.edu/file/d/0B2epb5A54jLUUkpIcGNWZldfQzQ/view" TargetMode="External"/><Relationship Id="rId87" Type="http://schemas.openxmlformats.org/officeDocument/2006/relationships/hyperlink" Target="https://drive.google.com/a/binghamton.edu/file/d/0B-BMeyhXwSzWelVGS2V4WjVQRTg/view" TargetMode="External"/><Relationship Id="rId89" Type="http://schemas.openxmlformats.org/officeDocument/2006/relationships/hyperlink" Target="https://drive.google.com/a/binghamton.edu/file/d/0B-BMeyhXwSzWelVGS2V4WjVQRTg/view" TargetMode="External"/><Relationship Id="rId80" Type="http://schemas.openxmlformats.org/officeDocument/2006/relationships/hyperlink" Target="https://drive.google.com/a/binghamton.edu/file/d/0B-BMeyhXwSzWZkI5czBKUU5WRzQ/view" TargetMode="External"/><Relationship Id="rId82" Type="http://schemas.openxmlformats.org/officeDocument/2006/relationships/hyperlink" Target="https://drive.google.com/a/binghamton.edu/file/d/0B-BMeyhXwSzWZkI5czBKUU5WRzQ/view" TargetMode="External"/><Relationship Id="rId81" Type="http://schemas.openxmlformats.org/officeDocument/2006/relationships/hyperlink" Target="https://drive.google.com/a/binghamton.edu/file/d/0B-BMeyhXwSzWZkI5czBKUU5WRzQ/view" TargetMode="External"/><Relationship Id="rId1" Type="http://schemas.openxmlformats.org/officeDocument/2006/relationships/hyperlink" Target="https://drive.google.com/open?id=0Bz8dSgHSE9XJLXVLb2JMcllObDg" TargetMode="External"/><Relationship Id="rId2" Type="http://schemas.openxmlformats.org/officeDocument/2006/relationships/hyperlink" Target="https://drive.google.com/open?id=0Bz8dSgHSE9XJYVkzUHpfeTZxbGs" TargetMode="External"/><Relationship Id="rId3" Type="http://schemas.openxmlformats.org/officeDocument/2006/relationships/hyperlink" Target="https://drive.google.com/open?id=0Bz8dSgHSE9XJYUFtMFdkVVZYNm8" TargetMode="External"/><Relationship Id="rId149" Type="http://schemas.openxmlformats.org/officeDocument/2006/relationships/hyperlink" Target="https://drive.google.com/a/binghamton.edu/file/d/0B2epb5A54jLUUkpIcGNWZldfQzQ/view" TargetMode="External"/><Relationship Id="rId4" Type="http://schemas.openxmlformats.org/officeDocument/2006/relationships/hyperlink" Target="https://drive.google.com/open?id=0Bz8dSgHSE9XJUFQ1UHBfNC1RSjQ" TargetMode="External"/><Relationship Id="rId148" Type="http://schemas.openxmlformats.org/officeDocument/2006/relationships/hyperlink" Target="https://drive.google.com/a/binghamton.edu/file/d/0B2epb5A54jLUUkpIcGNWZldfQzQ/view" TargetMode="External"/><Relationship Id="rId9" Type="http://schemas.openxmlformats.org/officeDocument/2006/relationships/hyperlink" Target="https://drive.google.com/a/binghamton.edu/file/d/0B-BMeyhXwSzWcEpNbGJDbHZYaWs/view" TargetMode="External"/><Relationship Id="rId143" Type="http://schemas.openxmlformats.org/officeDocument/2006/relationships/hyperlink" Target="https://drive.google.com/a/binghamton.edu/file/d/0B-BMeyhXwSzWVk5uY29XQndaTFk/view" TargetMode="External"/><Relationship Id="rId142" Type="http://schemas.openxmlformats.org/officeDocument/2006/relationships/hyperlink" Target="https://drive.google.com/a/binghamton.edu/file/d/0B-BMeyhXwSzWVk5uY29XQndaTFk/view" TargetMode="External"/><Relationship Id="rId141" Type="http://schemas.openxmlformats.org/officeDocument/2006/relationships/hyperlink" Target="https://drive.google.com/a/binghamton.edu/file/d/0B-BMeyhXwSzWVk5uY29XQndaTFk/view" TargetMode="External"/><Relationship Id="rId140" Type="http://schemas.openxmlformats.org/officeDocument/2006/relationships/hyperlink" Target="https://drive.google.com/a/binghamton.edu/file/d/0B-BMeyhXwSzWVk5uY29XQndaTFk/view" TargetMode="External"/><Relationship Id="rId5" Type="http://schemas.openxmlformats.org/officeDocument/2006/relationships/hyperlink" Target="https://drive.google.com/open?id=0Bz8dSgHSE9XJUFQ1UHBfNC1RSjQ" TargetMode="External"/><Relationship Id="rId147" Type="http://schemas.openxmlformats.org/officeDocument/2006/relationships/hyperlink" Target="https://drive.google.com/a/binghamton.edu/file/d/0B2epb5A54jLUUkpIcGNWZldfQzQ/view" TargetMode="External"/><Relationship Id="rId6" Type="http://schemas.openxmlformats.org/officeDocument/2006/relationships/hyperlink" Target="https://drive.google.com/open?id=0Bz8dSgHSE9XJVk5MSi1nWlJxSWs" TargetMode="External"/><Relationship Id="rId146" Type="http://schemas.openxmlformats.org/officeDocument/2006/relationships/hyperlink" Target="https://drive.google.com/a/binghamton.edu/file/d/0B2epb5A54jLUUkpIcGNWZldfQzQ/view" TargetMode="External"/><Relationship Id="rId7" Type="http://schemas.openxmlformats.org/officeDocument/2006/relationships/hyperlink" Target="https://drive.google.com/open?id=0Bz8dSgHSE9XJVk5MSi1nWlJxSWs" TargetMode="External"/><Relationship Id="rId145" Type="http://schemas.openxmlformats.org/officeDocument/2006/relationships/hyperlink" Target="https://drive.google.com/a/binghamton.edu/file/d/0B2epb5A54jLUUkpIcGNWZldfQzQ/view" TargetMode="External"/><Relationship Id="rId8" Type="http://schemas.openxmlformats.org/officeDocument/2006/relationships/hyperlink" Target="https://drive.google.com/a/binghamton.edu/file/d/0B-BMeyhXwSzWcEpNbGJDbHZYaWs/view" TargetMode="External"/><Relationship Id="rId144" Type="http://schemas.openxmlformats.org/officeDocument/2006/relationships/hyperlink" Target="https://drive.google.com/a/binghamton.edu/file/d/0B-BMeyhXwSzWVk5uY29XQndaTFk/view" TargetMode="External"/><Relationship Id="rId73" Type="http://schemas.openxmlformats.org/officeDocument/2006/relationships/hyperlink" Target="https://drive.google.com/a/binghamton.edu/file/d/0B-BMeyhXwSzWcWNkLUNhZVZvSjg/view" TargetMode="External"/><Relationship Id="rId72" Type="http://schemas.openxmlformats.org/officeDocument/2006/relationships/hyperlink" Target="https://drive.google.com/a/binghamton.edu/file/d/0B-BMeyhXwSzWcWNkLUNhZVZvSjg/view" TargetMode="External"/><Relationship Id="rId75" Type="http://schemas.openxmlformats.org/officeDocument/2006/relationships/hyperlink" Target="https://drive.google.com/a/binghamton.edu/file/d/0B-BMeyhXwSzWcWNkLUNhZVZvSjg/view" TargetMode="External"/><Relationship Id="rId74" Type="http://schemas.openxmlformats.org/officeDocument/2006/relationships/hyperlink" Target="https://drive.google.com/a/binghamton.edu/file/d/0B-BMeyhXwSzWcWNkLUNhZVZvSjg/view" TargetMode="External"/><Relationship Id="rId77" Type="http://schemas.openxmlformats.org/officeDocument/2006/relationships/hyperlink" Target="https://drive.google.com/a/binghamton.edu/file/d/0B-BMeyhXwSzWNTdLbF90SVQ0MWM/view" TargetMode="External"/><Relationship Id="rId76" Type="http://schemas.openxmlformats.org/officeDocument/2006/relationships/hyperlink" Target="https://drive.google.com/a/binghamton.edu/file/d/0B-BMeyhXwSzWVERCWW9pUzROck0/view" TargetMode="External"/><Relationship Id="rId79" Type="http://schemas.openxmlformats.org/officeDocument/2006/relationships/hyperlink" Target="https://drive.google.com/a/binghamton.edu/file/d/0B-BMeyhXwSzWZkI5czBKUU5WRzQ/view" TargetMode="External"/><Relationship Id="rId78" Type="http://schemas.openxmlformats.org/officeDocument/2006/relationships/hyperlink" Target="https://drive.google.com/a/binghamton.edu/file/d/0B-BMeyhXwSzWZkI5czBKUU5WRzQ/view" TargetMode="External"/><Relationship Id="rId71" Type="http://schemas.openxmlformats.org/officeDocument/2006/relationships/hyperlink" Target="https://drive.google.com/a/binghamton.edu/file/d/0B-BMeyhXwSzWbHp6TDRvNjRwRjA/view" TargetMode="External"/><Relationship Id="rId70" Type="http://schemas.openxmlformats.org/officeDocument/2006/relationships/hyperlink" Target="https://drive.google.com/a/binghamton.edu/file/d/0B-BMeyhXwSzWbHp6TDRvNjRwRjA/view" TargetMode="External"/><Relationship Id="rId139" Type="http://schemas.openxmlformats.org/officeDocument/2006/relationships/hyperlink" Target="https://drive.google.com/a/binghamton.edu/file/d/0B-BMeyhXwSzWSHkxRlpYekJyVjA/view" TargetMode="External"/><Relationship Id="rId138" Type="http://schemas.openxmlformats.org/officeDocument/2006/relationships/hyperlink" Target="https://drive.google.com/a/binghamton.edu/file/d/0B-BMeyhXwSzWSHkxRlpYekJyVjA/view" TargetMode="External"/><Relationship Id="rId137" Type="http://schemas.openxmlformats.org/officeDocument/2006/relationships/hyperlink" Target="https://drive.google.com/a/binghamton.edu/file/d/0B-BMeyhXwSzWLUlmdDFLajYtY1k/view" TargetMode="External"/><Relationship Id="rId132" Type="http://schemas.openxmlformats.org/officeDocument/2006/relationships/hyperlink" Target="https://drive.google.com/a/binghamton.edu/file/d/0B-BMeyhXwSzWZENJT3NKM2F1d1E/view" TargetMode="External"/><Relationship Id="rId131" Type="http://schemas.openxmlformats.org/officeDocument/2006/relationships/hyperlink" Target="https://drive.google.com/a/binghamton.edu/file/d/0B-BMeyhXwSzWZENJT3NKM2F1d1E/view" TargetMode="External"/><Relationship Id="rId130" Type="http://schemas.openxmlformats.org/officeDocument/2006/relationships/hyperlink" Target="https://drive.google.com/a/binghamton.edu/file/d/0B-BMeyhXwSzWZENJT3NKM2F1d1E/view" TargetMode="External"/><Relationship Id="rId136" Type="http://schemas.openxmlformats.org/officeDocument/2006/relationships/hyperlink" Target="https://drive.google.com/a/binghamton.edu/file/d/0B-BMeyhXwSzWLUlmdDFLajYtY1k/view" TargetMode="External"/><Relationship Id="rId135" Type="http://schemas.openxmlformats.org/officeDocument/2006/relationships/hyperlink" Target="https://drive.google.com/a/binghamton.edu/file/d/0B-BMeyhXwSzWLUlmdDFLajYtY1k/view" TargetMode="External"/><Relationship Id="rId134" Type="http://schemas.openxmlformats.org/officeDocument/2006/relationships/hyperlink" Target="https://drive.google.com/a/binghamton.edu/file/d/0B-BMeyhXwSzWSXpkZm1xYmFJS00/view" TargetMode="External"/><Relationship Id="rId133" Type="http://schemas.openxmlformats.org/officeDocument/2006/relationships/hyperlink" Target="https://drive.google.com/a/binghamton.edu/file/d/0B-BMeyhXwSzWSXpkZm1xYmFJS00/view" TargetMode="External"/><Relationship Id="rId62" Type="http://schemas.openxmlformats.org/officeDocument/2006/relationships/hyperlink" Target="https://drive.google.com/a/binghamton.edu/file/d/0B-BMeyhXwSzWZ2lqTUhIVk5uMEU/view" TargetMode="External"/><Relationship Id="rId61" Type="http://schemas.openxmlformats.org/officeDocument/2006/relationships/hyperlink" Target="https://drive.google.com/a/binghamton.edu/file/d/0B-BMeyhXwSzWZ2lqTUhIVk5uMEU/view" TargetMode="External"/><Relationship Id="rId64" Type="http://schemas.openxmlformats.org/officeDocument/2006/relationships/hyperlink" Target="https://drive.google.com/a/binghamton.edu/file/d/0B-BMeyhXwSzWSjg5dVdHVjRoQVk/view" TargetMode="External"/><Relationship Id="rId63" Type="http://schemas.openxmlformats.org/officeDocument/2006/relationships/hyperlink" Target="https://drive.google.com/a/binghamton.edu/file/d/0B-BMeyhXwSzWSjg5dVdHVjRoQVk/view" TargetMode="External"/><Relationship Id="rId66" Type="http://schemas.openxmlformats.org/officeDocument/2006/relationships/hyperlink" Target="https://drive.google.com/a/binghamton.edu/file/d/0B-BMeyhXwSzWSjg5dVdHVjRoQVk/view" TargetMode="External"/><Relationship Id="rId172" Type="http://schemas.openxmlformats.org/officeDocument/2006/relationships/hyperlink" Target="https://drive.google.com/file/d/0B5DG5WdEiYGEU0paV3BqeERPeXc/view?usp=sharing" TargetMode="External"/><Relationship Id="rId65" Type="http://schemas.openxmlformats.org/officeDocument/2006/relationships/hyperlink" Target="https://drive.google.com/a/binghamton.edu/file/d/0B-BMeyhXwSzWSjg5dVdHVjRoQVk/view" TargetMode="External"/><Relationship Id="rId171" Type="http://schemas.openxmlformats.org/officeDocument/2006/relationships/hyperlink" Target="https://drive.google.com/file/d/0B5DG5WdEiYGEU0paV3BqeERPeXc/view?usp=sharing" TargetMode="External"/><Relationship Id="rId68" Type="http://schemas.openxmlformats.org/officeDocument/2006/relationships/hyperlink" Target="https://drive.google.com/a/binghamton.edu/file/d/0B-BMeyhXwSzWbHp6TDRvNjRwRjA/view" TargetMode="External"/><Relationship Id="rId170" Type="http://schemas.openxmlformats.org/officeDocument/2006/relationships/hyperlink" Target="https://drive.google.com/file/d/0B5DG5WdEiYGEU0paV3BqeERPeXc/view?usp=sharing" TargetMode="External"/><Relationship Id="rId67" Type="http://schemas.openxmlformats.org/officeDocument/2006/relationships/hyperlink" Target="https://drive.google.com/a/binghamton.edu/file/d/0B-BMeyhXwSzWSjg5dVdHVjRoQVk/view" TargetMode="External"/><Relationship Id="rId60" Type="http://schemas.openxmlformats.org/officeDocument/2006/relationships/hyperlink" Target="https://drive.google.com/a/binghamton.edu/file/d/0B-BMeyhXwSzWV3lKTjJKMllzZVE/view" TargetMode="External"/><Relationship Id="rId165" Type="http://schemas.openxmlformats.org/officeDocument/2006/relationships/hyperlink" Target="https://drive.google.com/file/d/0B5DG5WdEiYGEU0paV3BqeERPeXc/view?usp=sharing" TargetMode="External"/><Relationship Id="rId69" Type="http://schemas.openxmlformats.org/officeDocument/2006/relationships/hyperlink" Target="https://drive.google.com/a/binghamton.edu/file/d/0B-BMeyhXwSzWbHp6TDRvNjRwRjA/view" TargetMode="External"/><Relationship Id="rId164" Type="http://schemas.openxmlformats.org/officeDocument/2006/relationships/hyperlink" Target="https://drive.google.com/file/d/0B5DG5WdEiYGEU0paV3BqeERPeXc/view?usp=sharing" TargetMode="External"/><Relationship Id="rId163" Type="http://schemas.openxmlformats.org/officeDocument/2006/relationships/hyperlink" Target="https://drive.google.com/file/d/0B5DG5WdEiYGEU0paV3BqeERPeXc/view?usp=sharing" TargetMode="External"/><Relationship Id="rId162" Type="http://schemas.openxmlformats.org/officeDocument/2006/relationships/hyperlink" Target="https://drive.google.com/file/d/0B5DG5WdEiYGEU0paV3BqeERPeXc/view?usp=sharing" TargetMode="External"/><Relationship Id="rId169" Type="http://schemas.openxmlformats.org/officeDocument/2006/relationships/hyperlink" Target="https://drive.google.com/file/d/0B5DG5WdEiYGEU0paV3BqeERPeXc/view?usp=sharing" TargetMode="External"/><Relationship Id="rId168" Type="http://schemas.openxmlformats.org/officeDocument/2006/relationships/hyperlink" Target="https://drive.google.com/file/d/0B5DG5WdEiYGEU0paV3BqeERPeXc/view?usp=sharing" TargetMode="External"/><Relationship Id="rId167" Type="http://schemas.openxmlformats.org/officeDocument/2006/relationships/hyperlink" Target="https://drive.google.com/file/d/0B5DG5WdEiYGEU0paV3BqeERPeXc/view?usp=sharing" TargetMode="External"/><Relationship Id="rId166" Type="http://schemas.openxmlformats.org/officeDocument/2006/relationships/hyperlink" Target="https://drive.google.com/file/d/0B5DG5WdEiYGEU0paV3BqeERPeXc/view?usp=sharing" TargetMode="External"/><Relationship Id="rId51" Type="http://schemas.openxmlformats.org/officeDocument/2006/relationships/hyperlink" Target="https://drive.google.com/a/binghamton.edu/file/d/0B-BMeyhXwSzWWkFYeW1DQ3hwMmM/view" TargetMode="External"/><Relationship Id="rId50" Type="http://schemas.openxmlformats.org/officeDocument/2006/relationships/hyperlink" Target="https://drive.google.com/a/binghamton.edu/file/d/0B-BMeyhXwSzWWkFYeW1DQ3hwMmM/view" TargetMode="External"/><Relationship Id="rId53" Type="http://schemas.openxmlformats.org/officeDocument/2006/relationships/hyperlink" Target="https://drive.google.com/file/d/0B-BMeyhXwSzWMHk0elZxVEM2YTg/view?usp=sharing" TargetMode="External"/><Relationship Id="rId52" Type="http://schemas.openxmlformats.org/officeDocument/2006/relationships/hyperlink" Target="https://drive.google.com/file/d/0B-BMeyhXwSzWMHk0elZxVEM2YTg/view?usp=sharing" TargetMode="External"/><Relationship Id="rId55" Type="http://schemas.openxmlformats.org/officeDocument/2006/relationships/hyperlink" Target="https://drive.google.com/a/binghamton.edu/file/d/0B-BMeyhXwSzWS1picHZLRnZhZHc/view" TargetMode="External"/><Relationship Id="rId161" Type="http://schemas.openxmlformats.org/officeDocument/2006/relationships/hyperlink" Target="https://drive.google.com/file/d/0B5DG5WdEiYGEdW1feHlGR0dnTzQ/view?usp=sharing" TargetMode="External"/><Relationship Id="rId54" Type="http://schemas.openxmlformats.org/officeDocument/2006/relationships/hyperlink" Target="https://drive.google.com/file/d/0B-BMeyhXwSzWMHk0elZxVEM2YTg/view?usp=sharing" TargetMode="External"/><Relationship Id="rId160" Type="http://schemas.openxmlformats.org/officeDocument/2006/relationships/hyperlink" Target="https://drive.google.com/file/d/0B5DG5WdEiYGEdW1feHlGR0dnTzQ/view?usp=sharing" TargetMode="External"/><Relationship Id="rId57" Type="http://schemas.openxmlformats.org/officeDocument/2006/relationships/hyperlink" Target="https://drive.google.com/a/binghamton.edu/file/d/0B-BMeyhXwSzWOTdEdkI1S0t5ZGs/view" TargetMode="External"/><Relationship Id="rId56" Type="http://schemas.openxmlformats.org/officeDocument/2006/relationships/hyperlink" Target="https://drive.google.com/a/binghamton.edu/file/d/0B-BMeyhXwSzWS1picHZLRnZhZHc/view" TargetMode="External"/><Relationship Id="rId159" Type="http://schemas.openxmlformats.org/officeDocument/2006/relationships/hyperlink" Target="https://drive.google.com/file/d/0B5DG5WdEiYGEdW1feHlGR0dnTzQ/view?usp=sharing" TargetMode="External"/><Relationship Id="rId59" Type="http://schemas.openxmlformats.org/officeDocument/2006/relationships/hyperlink" Target="https://drive.google.com/a/binghamton.edu/file/d/0B-BMeyhXwSzWV3lKTjJKMllzZVE/view" TargetMode="External"/><Relationship Id="rId154" Type="http://schemas.openxmlformats.org/officeDocument/2006/relationships/hyperlink" Target="https://drive.google.com/file/d/0B5DG5WdEiYGESkY5azlGOXhkWjg/view?usp=sharing" TargetMode="External"/><Relationship Id="rId58" Type="http://schemas.openxmlformats.org/officeDocument/2006/relationships/hyperlink" Target="https://drive.google.com/a/binghamton.edu/file/d/0B-BMeyhXwSzWOTdEdkI1S0t5ZGs/view" TargetMode="External"/><Relationship Id="rId153" Type="http://schemas.openxmlformats.org/officeDocument/2006/relationships/hyperlink" Target="https://drive.google.com/file/d/0B95WhYooraDeemdkRm13ZXZLSE0/view?usp=sharing%20," TargetMode="External"/><Relationship Id="rId152" Type="http://schemas.openxmlformats.org/officeDocument/2006/relationships/hyperlink" Target="https://drive.google.com/file/d/0B95WhYooraDeemdkRm13ZXZLSE0/view?usp=sharing%20," TargetMode="External"/><Relationship Id="rId151" Type="http://schemas.openxmlformats.org/officeDocument/2006/relationships/hyperlink" Target="https://drive.google.com/a/binghamton.edu/file/d/0B2epb5A54jLUUkpIcGNWZldfQzQ/view" TargetMode="External"/><Relationship Id="rId158" Type="http://schemas.openxmlformats.org/officeDocument/2006/relationships/hyperlink" Target="https://drive.google.com/file/d/0B5DG5WdEiYGEdW1feHlGR0dnTzQ/view?usp=sharing" TargetMode="External"/><Relationship Id="rId157" Type="http://schemas.openxmlformats.org/officeDocument/2006/relationships/hyperlink" Target="https://drive.google.com/file/d/0B5DG5WdEiYGESkY5azlGOXhkWjg/view?usp=sharing" TargetMode="External"/><Relationship Id="rId156" Type="http://schemas.openxmlformats.org/officeDocument/2006/relationships/hyperlink" Target="https://drive.google.com/file/d/0B5DG5WdEiYGESkY5azlGOXhkWjg/view?usp=sharing" TargetMode="External"/><Relationship Id="rId155" Type="http://schemas.openxmlformats.org/officeDocument/2006/relationships/hyperlink" Target="https://drive.google.com/file/d/0B5DG5WdEiYGESkY5azlGOXhkWjg/view?usp=sharing" TargetMode="External"/></Relationships>
</file>

<file path=xl/worksheets/_rels/sheet7.xml.rels><?xml version="1.0" encoding="UTF-8" standalone="yes"?><Relationships xmlns="http://schemas.openxmlformats.org/package/2006/relationships"><Relationship Id="rId40" Type="http://schemas.openxmlformats.org/officeDocument/2006/relationships/hyperlink" Target="https://drive.google.com/file/d/0B-yoIBO7tf7FZ21WRkRCU0RkMDA/view?usp=sharing" TargetMode="External"/><Relationship Id="rId190" Type="http://schemas.openxmlformats.org/officeDocument/2006/relationships/hyperlink" Target="https://drive.google.com/file/d/0B-yoIBO7tf7FLW9OaW9JUnduUE0/view?usp=sharing" TargetMode="External"/><Relationship Id="rId42" Type="http://schemas.openxmlformats.org/officeDocument/2006/relationships/hyperlink" Target="https://drive.google.com/file/d/0B-yoIBO7tf7FZERIN3N4TWUtWGc/view?usp=sharing" TargetMode="External"/><Relationship Id="rId41" Type="http://schemas.openxmlformats.org/officeDocument/2006/relationships/hyperlink" Target="https://drive.google.com/file/d/0B-yoIBO7tf7FZERIN3N4TWUtWGc/view?usp=sharing" TargetMode="External"/><Relationship Id="rId44" Type="http://schemas.openxmlformats.org/officeDocument/2006/relationships/hyperlink" Target="https://drive.google.com/file/d/0B-yoIBO7tf7FVTVjWGg4VUJTdjQ/view?usp=sharing" TargetMode="External"/><Relationship Id="rId194" Type="http://schemas.openxmlformats.org/officeDocument/2006/relationships/hyperlink" Target="https://drive.google.com/file/d/0B9vYgR7NsKoYNFFqMzNKMU1aYTA/view?usp=sharing" TargetMode="External"/><Relationship Id="rId43" Type="http://schemas.openxmlformats.org/officeDocument/2006/relationships/hyperlink" Target="https://drive.google.com/file/d/0B-yoIBO7tf7FZERIN3N4TWUtWGc/view?usp=sharing" TargetMode="External"/><Relationship Id="rId193" Type="http://schemas.openxmlformats.org/officeDocument/2006/relationships/hyperlink" Target="https://drive.google.com/file/d/0B9vYgR7NsKoYbU9rN0E1Zzh4aFk/view?usp=sharing" TargetMode="External"/><Relationship Id="rId46" Type="http://schemas.openxmlformats.org/officeDocument/2006/relationships/hyperlink" Target="https://drive.google.com/file/d/0B-yoIBO7tf7FVTVjWGg4VUJTdjQ/view?usp=sharing" TargetMode="External"/><Relationship Id="rId192" Type="http://schemas.openxmlformats.org/officeDocument/2006/relationships/hyperlink" Target="https://drive.google.com/file/d/0B9vYgR7NsKoYbU9rN0E1Zzh4aFk/view?usp=sharing" TargetMode="External"/><Relationship Id="rId45" Type="http://schemas.openxmlformats.org/officeDocument/2006/relationships/hyperlink" Target="https://drive.google.com/file/d/0B-yoIBO7tf7FVTVjWGg4VUJTdjQ/view?usp=sharing" TargetMode="External"/><Relationship Id="rId191" Type="http://schemas.openxmlformats.org/officeDocument/2006/relationships/hyperlink" Target="https://drive.google.com/file/d/0B-yoIBO7tf7FVFpIMmk5Q2xwMkU/view?usp=sharing" TargetMode="External"/><Relationship Id="rId48" Type="http://schemas.openxmlformats.org/officeDocument/2006/relationships/hyperlink" Target="https://drive.google.com/file/d/0B-gS7RLhwu-rdF9kQ0hpSjBVb2s/view?usp=sharing" TargetMode="External"/><Relationship Id="rId187" Type="http://schemas.openxmlformats.org/officeDocument/2006/relationships/hyperlink" Target="https://drive.google.com/file/d/0B-BMeyhXwSzWS1p2UmJiRVIwRHc/view" TargetMode="External"/><Relationship Id="rId47" Type="http://schemas.openxmlformats.org/officeDocument/2006/relationships/hyperlink" Target="https://drive.google.com/file/d/0B-gS7RLhwu-rdF9kQ0hpSjBVb2s/view?usp=sharing" TargetMode="External"/><Relationship Id="rId186" Type="http://schemas.openxmlformats.org/officeDocument/2006/relationships/hyperlink" Target="https://drive.google.com/file/d/0B-BMeyhXwSzWS1p2UmJiRVIwRHc/view" TargetMode="External"/><Relationship Id="rId185" Type="http://schemas.openxmlformats.org/officeDocument/2006/relationships/hyperlink" Target="https://drive.google.com/file/d/0B-BMeyhXwSzWS1p2UmJiRVIwRHc/view" TargetMode="External"/><Relationship Id="rId49" Type="http://schemas.openxmlformats.org/officeDocument/2006/relationships/hyperlink" Target="https://drive.google.com/file/d/0B5UHL-NSys0eM1NVTlVrOG5VYU0/view?usp=sharing" TargetMode="External"/><Relationship Id="rId184" Type="http://schemas.openxmlformats.org/officeDocument/2006/relationships/hyperlink" Target="https://drive.google.com/file/d/0B-BMeyhXwSzWS1p2UmJiRVIwRHc/view" TargetMode="External"/><Relationship Id="rId189" Type="http://schemas.openxmlformats.org/officeDocument/2006/relationships/hyperlink" Target="https://drive.google.com/file/d/0B-BMeyhXwSzWVkwtU2tycnJIVFk/view" TargetMode="External"/><Relationship Id="rId188" Type="http://schemas.openxmlformats.org/officeDocument/2006/relationships/hyperlink" Target="https://drive.google.com/file/d/0B-BMeyhXwSzWVkwtU2tycnJIVFk/view" TargetMode="External"/><Relationship Id="rId31" Type="http://schemas.openxmlformats.org/officeDocument/2006/relationships/hyperlink" Target="https://drive.google.com/file/d/0B-yoIBO7tf7FQ2RnS1NvSnVMUW8/view?usp=sharing" TargetMode="External"/><Relationship Id="rId30" Type="http://schemas.openxmlformats.org/officeDocument/2006/relationships/hyperlink" Target="https://drive.google.com/file/d/0B-yoIBO7tf7FQ2RnS1NvSnVMUW8/view?usp=sharing" TargetMode="External"/><Relationship Id="rId33" Type="http://schemas.openxmlformats.org/officeDocument/2006/relationships/hyperlink" Target="https://drive.google.com/file/d/0B9vYgR7NsKoYTjlyQ0JPSHQ2cXc/view?usp=sharing" TargetMode="External"/><Relationship Id="rId183" Type="http://schemas.openxmlformats.org/officeDocument/2006/relationships/hyperlink" Target="https://drive.google.com/file/d/0B-BMeyhXwSzWS1p2UmJiRVIwRHc/view" TargetMode="External"/><Relationship Id="rId32" Type="http://schemas.openxmlformats.org/officeDocument/2006/relationships/hyperlink" Target="https://drive.google.com/file/d/0B9vYgR7NsKoYTjlyQ0JPSHQ2cXc/view?usp=sharing" TargetMode="External"/><Relationship Id="rId182" Type="http://schemas.openxmlformats.org/officeDocument/2006/relationships/hyperlink" Target="https://drive.google.com/file/d/0B-BMeyhXwSzWS1p2UmJiRVIwRHc/view" TargetMode="External"/><Relationship Id="rId35" Type="http://schemas.openxmlformats.org/officeDocument/2006/relationships/hyperlink" Target="https://drive.google.com/file/d/0B9vYgR7NsKoYTjlyQ0JPSHQ2cXc/view?usp=sharing" TargetMode="External"/><Relationship Id="rId181" Type="http://schemas.openxmlformats.org/officeDocument/2006/relationships/hyperlink" Target="https://drive.google.com/file/d/0B-BMeyhXwSzWS1p2UmJiRVIwRHc/view" TargetMode="External"/><Relationship Id="rId34" Type="http://schemas.openxmlformats.org/officeDocument/2006/relationships/hyperlink" Target="https://drive.google.com/file/d/0B9vYgR7NsKoYTjlyQ0JPSHQ2cXc/view?usp=sharing" TargetMode="External"/><Relationship Id="rId180" Type="http://schemas.openxmlformats.org/officeDocument/2006/relationships/hyperlink" Target="https://drive.google.com/file/d/0B-BMeyhXwSzWS1p2UmJiRVIwRHc/view" TargetMode="External"/><Relationship Id="rId37" Type="http://schemas.openxmlformats.org/officeDocument/2006/relationships/hyperlink" Target="https://drive.google.com/file/d/0B-yoIBO7tf7Fb1JvOURjeHkwVlU/view?usp=sharing" TargetMode="External"/><Relationship Id="rId176" Type="http://schemas.openxmlformats.org/officeDocument/2006/relationships/hyperlink" Target="https://drive.google.com/file/d/0B-BMeyhXwSzWbmg3U2ZBTFQ1OEE/view" TargetMode="External"/><Relationship Id="rId297" Type="http://schemas.openxmlformats.org/officeDocument/2006/relationships/hyperlink" Target="https://drive.google.com/file/d/0B5DG5WdEiYGEbUx1d09KZ0pleWc/view?usp=sharing" TargetMode="External"/><Relationship Id="rId36" Type="http://schemas.openxmlformats.org/officeDocument/2006/relationships/hyperlink" Target="https://drive.google.com/file/d/0B-yoIBO7tf7Fb1JvOURjeHkwVlU/view?usp=sharing" TargetMode="External"/><Relationship Id="rId175" Type="http://schemas.openxmlformats.org/officeDocument/2006/relationships/hyperlink" Target="https://drive.google.com/file/d/0B-BMeyhXwSzWdTdqb0Q5UVlVVkE/view" TargetMode="External"/><Relationship Id="rId296" Type="http://schemas.openxmlformats.org/officeDocument/2006/relationships/hyperlink" Target="https://drive.google.com/file/d/0B5DG5WdEiYGEbUx1d09KZ0pleWc/view?usp=sharing" TargetMode="External"/><Relationship Id="rId39" Type="http://schemas.openxmlformats.org/officeDocument/2006/relationships/hyperlink" Target="https://drive.google.com/file/d/0B-yoIBO7tf7FSDZBTGNjeGFsT2c/view?usp=sharing" TargetMode="External"/><Relationship Id="rId174" Type="http://schemas.openxmlformats.org/officeDocument/2006/relationships/hyperlink" Target="https://drive.google.com/file/d/0B-BMeyhXwSzWdTdqb0Q5UVlVVkE/view" TargetMode="External"/><Relationship Id="rId295" Type="http://schemas.openxmlformats.org/officeDocument/2006/relationships/hyperlink" Target="https://drive.google.com/file/d/0B5DG5WdEiYGEbUx1d09KZ0pleWc/view?usp=sharing" TargetMode="External"/><Relationship Id="rId38" Type="http://schemas.openxmlformats.org/officeDocument/2006/relationships/hyperlink" Target="https://drive.google.com/file/d/0B-yoIBO7tf7FSmRtUlRoRUdYUzg/view?usp=sharing" TargetMode="External"/><Relationship Id="rId173" Type="http://schemas.openxmlformats.org/officeDocument/2006/relationships/hyperlink" Target="https://drive.google.com/file/d/0B-BMeyhXwSzWYmJOanV5TUdPb2c/view" TargetMode="External"/><Relationship Id="rId294" Type="http://schemas.openxmlformats.org/officeDocument/2006/relationships/hyperlink" Target="https://drive.google.com/file/d/0B5DG5WdEiYGEbUx1d09KZ0pleWc/view?usp=sharing" TargetMode="External"/><Relationship Id="rId179" Type="http://schemas.openxmlformats.org/officeDocument/2006/relationships/hyperlink" Target="https://drive.google.com/file/d/0B-BMeyhXwSzWS1p2UmJiRVIwRHc/view" TargetMode="External"/><Relationship Id="rId178" Type="http://schemas.openxmlformats.org/officeDocument/2006/relationships/hyperlink" Target="https://drive.google.com/file/d/0B-BMeyhXwSzWS1p2UmJiRVIwRHc/view" TargetMode="External"/><Relationship Id="rId299" Type="http://schemas.openxmlformats.org/officeDocument/2006/relationships/hyperlink" Target="https://drive.google.com/file/d/0B5DG5WdEiYGEbUx1d09KZ0pleWc/view?usp=sharing" TargetMode="External"/><Relationship Id="rId177" Type="http://schemas.openxmlformats.org/officeDocument/2006/relationships/hyperlink" Target="https://drive.google.com/file/d/0B-BMeyhXwSzWbmg3U2ZBTFQ1OEE/view" TargetMode="External"/><Relationship Id="rId298" Type="http://schemas.openxmlformats.org/officeDocument/2006/relationships/hyperlink" Target="https://drive.google.com/file/d/0B5DG5WdEiYGEbUx1d09KZ0pleWc/view?usp=sharing" TargetMode="External"/><Relationship Id="rId20" Type="http://schemas.openxmlformats.org/officeDocument/2006/relationships/hyperlink" Target="https://drive.google.com/file/d/0B-yoIBO7tf7FM3dVYjBFV3E2aWs/view?usp=sharing" TargetMode="External"/><Relationship Id="rId22" Type="http://schemas.openxmlformats.org/officeDocument/2006/relationships/hyperlink" Target="https://drive.google.com/file/d/0B9vYgR7NsKoYYllVUGFxR2VzTGM/view?usp=sharing" TargetMode="External"/><Relationship Id="rId21" Type="http://schemas.openxmlformats.org/officeDocument/2006/relationships/hyperlink" Target="https://drive.google.com/file/d/0B-yoIBO7tf7FM3dVYjBFV3E2aWs/view?usp=sharing" TargetMode="External"/><Relationship Id="rId24" Type="http://schemas.openxmlformats.org/officeDocument/2006/relationships/hyperlink" Target="https://drive.google.com/file/d/0B9vYgR7NsKoYYllVUGFxR2VzTGM/view?usp=sharing" TargetMode="External"/><Relationship Id="rId23" Type="http://schemas.openxmlformats.org/officeDocument/2006/relationships/hyperlink" Target="https://drive.google.com/file/d/0B9vYgR7NsKoYYllVUGFxR2VzTGM/view?usp=sharing" TargetMode="External"/><Relationship Id="rId26" Type="http://schemas.openxmlformats.org/officeDocument/2006/relationships/hyperlink" Target="https://drive.google.com/file/d/0B9vYgR7NsKoYYllVUGFxR2VzTGM/view?usp=sharing" TargetMode="External"/><Relationship Id="rId25" Type="http://schemas.openxmlformats.org/officeDocument/2006/relationships/hyperlink" Target="https://drive.google.com/file/d/0B9vYgR7NsKoYYllVUGFxR2VzTGM/view?usp=sharing" TargetMode="External"/><Relationship Id="rId28" Type="http://schemas.openxmlformats.org/officeDocument/2006/relationships/hyperlink" Target="https://drive.google.com/file/d/0B-yoIBO7tf7FWE9HZmpSNTZ1ZU0/view?usp=sharing" TargetMode="External"/><Relationship Id="rId27" Type="http://schemas.openxmlformats.org/officeDocument/2006/relationships/hyperlink" Target="https://drive.google.com/file/d/0B9vYgR7NsKoYYllVUGFxR2VzTGM/view?usp=sharing" TargetMode="External"/><Relationship Id="rId29" Type="http://schemas.openxmlformats.org/officeDocument/2006/relationships/hyperlink" Target="https://drive.google.com/file/d/0B-yoIBO7tf7FQ2RnS1NvSnVMUW8/view?usp=sharing" TargetMode="External"/><Relationship Id="rId11" Type="http://schemas.openxmlformats.org/officeDocument/2006/relationships/hyperlink" Target="https://drive.google.com/file/d/0B-yoIBO7tf7Fc19CNEFHZFlRa00/view?usp=sharing" TargetMode="External"/><Relationship Id="rId10" Type="http://schemas.openxmlformats.org/officeDocument/2006/relationships/hyperlink" Target="https://drive.google.com/file/d/0B-yoIBO7tf7Fc19CNEFHZFlRa00/view?usp=sharing" TargetMode="External"/><Relationship Id="rId13" Type="http://schemas.openxmlformats.org/officeDocument/2006/relationships/hyperlink" Target="https://drive.google.com/file/d/0B95WhYooraDeeUxzU3lydjRHYjQ/view" TargetMode="External"/><Relationship Id="rId12" Type="http://schemas.openxmlformats.org/officeDocument/2006/relationships/hyperlink" Target="https://drive.google.com/file/d/0B95WhYooraDeeUxzU3lydjRHYjQ/view" TargetMode="External"/><Relationship Id="rId15" Type="http://schemas.openxmlformats.org/officeDocument/2006/relationships/hyperlink" Target="https://drive.google.com/file/d/0B4sJPAkX0Jo3ZEpybkUzb3dNOFk/view?usp=sharing" TargetMode="External"/><Relationship Id="rId198" Type="http://schemas.openxmlformats.org/officeDocument/2006/relationships/hyperlink" Target="https://drive.google.com/file/d/0B9vYgR7NsKoYQ3oxRUlWZFlwLWs/view?usp=sharing" TargetMode="External"/><Relationship Id="rId14" Type="http://schemas.openxmlformats.org/officeDocument/2006/relationships/hyperlink" Target="https://drive.google.com/file/d/0B4sJPAkX0Jo3ZEpybkUzb3dNOFk/view?usp=sharing" TargetMode="External"/><Relationship Id="rId197" Type="http://schemas.openxmlformats.org/officeDocument/2006/relationships/hyperlink" Target="https://drive.google.com/file/d/0B9vYgR7NsKoYQ3oxRUlWZFlwLWs/view?usp=sharing" TargetMode="External"/><Relationship Id="rId17" Type="http://schemas.openxmlformats.org/officeDocument/2006/relationships/hyperlink" Target="https://drive.google.com/file/d/0B4sJPAkX0Jo3ZEpybkUzb3dNOFk/view?usp=sharing" TargetMode="External"/><Relationship Id="rId196" Type="http://schemas.openxmlformats.org/officeDocument/2006/relationships/hyperlink" Target="https://drive.google.com/file/d/0B9vYgR7NsKoYQ3oxRUlWZFlwLWs/view?usp=sharing" TargetMode="External"/><Relationship Id="rId16" Type="http://schemas.openxmlformats.org/officeDocument/2006/relationships/hyperlink" Target="https://drive.google.com/file/d/0B4sJPAkX0Jo3ZEpybkUzb3dNOFk/view?usp=sharing" TargetMode="External"/><Relationship Id="rId195" Type="http://schemas.openxmlformats.org/officeDocument/2006/relationships/hyperlink" Target="https://drive.google.com/file/d/0B9vYgR7NsKoYQ3oxRUlWZFlwLWs/view?usp=sharing" TargetMode="External"/><Relationship Id="rId19" Type="http://schemas.openxmlformats.org/officeDocument/2006/relationships/hyperlink" Target="https://drive.google.com/file/d/0B-yoIBO7tf7FeTZ4MkROZVk3R3M/view?usp=sharing" TargetMode="External"/><Relationship Id="rId18" Type="http://schemas.openxmlformats.org/officeDocument/2006/relationships/hyperlink" Target="https://drive.google.com/file/d/0B-yoIBO7tf7FeTZ4MkROZVk3R3M/view?usp=sharing" TargetMode="External"/><Relationship Id="rId199" Type="http://schemas.openxmlformats.org/officeDocument/2006/relationships/hyperlink" Target="https://drive.google.com/file/d/0B9vYgR7NsKoYUE5hWmFwS05Sa0U/view?usp=sharing" TargetMode="External"/><Relationship Id="rId84" Type="http://schemas.openxmlformats.org/officeDocument/2006/relationships/hyperlink" Target="https://drive.google.com/file/d/0B-yoIBO7tf7FSFhkWi1YME9wNDg/view?usp=sharing" TargetMode="External"/><Relationship Id="rId83" Type="http://schemas.openxmlformats.org/officeDocument/2006/relationships/hyperlink" Target="https://drive.google.com/file/d/0B-yoIBO7tf7FR3UtZUt1Skg5TUE/view?usp=sharing" TargetMode="External"/><Relationship Id="rId86" Type="http://schemas.openxmlformats.org/officeDocument/2006/relationships/hyperlink" Target="https://drive.google.com/file/d/0B-yoIBO7tf7FZHlnV1B1QTQwcDg/view?usp=sharing" TargetMode="External"/><Relationship Id="rId85" Type="http://schemas.openxmlformats.org/officeDocument/2006/relationships/hyperlink" Target="https://drive.google.com/file/d/0B-yoIBO7tf7FSFhkWi1YME9wNDg/view?usp=sharing" TargetMode="External"/><Relationship Id="rId88" Type="http://schemas.openxmlformats.org/officeDocument/2006/relationships/hyperlink" Target="https://drive.google.com/file/d/0B-yoIBO7tf7FeDFKMUdsVjJmcUE/view?usp=sharing" TargetMode="External"/><Relationship Id="rId150" Type="http://schemas.openxmlformats.org/officeDocument/2006/relationships/hyperlink" Target="https://drive.google.com/file/d/0BzjZoBQGkMymX2tndGpwRC16ZW8/view?usp=sharing" TargetMode="External"/><Relationship Id="rId271" Type="http://schemas.openxmlformats.org/officeDocument/2006/relationships/hyperlink" Target="https://drive.google.com/file/d/0B5DG5WdEiYGESjdUQTdCYm1qUFk/view?usp=sharing" TargetMode="External"/><Relationship Id="rId87" Type="http://schemas.openxmlformats.org/officeDocument/2006/relationships/hyperlink" Target="https://drive.google.com/file/d/0B-yoIBO7tf7FZHlnV1B1QTQwcDg/view?usp=sharing" TargetMode="External"/><Relationship Id="rId270" Type="http://schemas.openxmlformats.org/officeDocument/2006/relationships/hyperlink" Target="https://drive.google.com/file/d/0B5DG5WdEiYGESjdUQTdCYm1qUFk/view?usp=sharing" TargetMode="External"/><Relationship Id="rId89" Type="http://schemas.openxmlformats.org/officeDocument/2006/relationships/hyperlink" Target="https://drive.google.com/file/d/0B-yoIBO7tf7FeDFKMUdsVjJmcUE/view?usp=sharing" TargetMode="External"/><Relationship Id="rId80" Type="http://schemas.openxmlformats.org/officeDocument/2006/relationships/hyperlink" Target="https://drive.google.com/file/d/0B-yoIBO7tf7FOHpzM1QzenROWE0/view?usp=sharing" TargetMode="External"/><Relationship Id="rId82" Type="http://schemas.openxmlformats.org/officeDocument/2006/relationships/hyperlink" Target="https://drive.google.com/file/d/0B-yoIBO7tf7FRkZ5Tlc5LTIwTTA/view?usp=sharing" TargetMode="External"/><Relationship Id="rId81" Type="http://schemas.openxmlformats.org/officeDocument/2006/relationships/hyperlink" Target="https://drive.google.com/file/d/0B-yoIBO7tf7FOHpzM1QzenROWE0/view?usp=sharing" TargetMode="External"/><Relationship Id="rId1" Type="http://schemas.openxmlformats.org/officeDocument/2006/relationships/hyperlink" Target="https://drive.google.com/file/d/0B5UHL-NSys0eOHM1c3lPNW43U3M/view" TargetMode="External"/><Relationship Id="rId2" Type="http://schemas.openxmlformats.org/officeDocument/2006/relationships/hyperlink" Target="https://drive.google.com/file/d/0B5UHL-NSys0eOHM1c3lPNW43U3M/view" TargetMode="External"/><Relationship Id="rId3" Type="http://schemas.openxmlformats.org/officeDocument/2006/relationships/hyperlink" Target="https://drive.google.com/file/d/0B5UHL-NSys0eOHM1c3lPNW43U3M/view" TargetMode="External"/><Relationship Id="rId149" Type="http://schemas.openxmlformats.org/officeDocument/2006/relationships/hyperlink" Target="https://drive.google.com/file/d/0BzjZoBQGkMymX2tndGpwRC16ZW8/view?usp=sharing" TargetMode="External"/><Relationship Id="rId4" Type="http://schemas.openxmlformats.org/officeDocument/2006/relationships/hyperlink" Target="https://drive.google.com/file/d/0B5UHL-NSys0eOHM1c3lPNW43U3M/view" TargetMode="External"/><Relationship Id="rId148" Type="http://schemas.openxmlformats.org/officeDocument/2006/relationships/hyperlink" Target="https://drive.google.com/file/d/0B-yoIBO7tf7FSXBRb2swcU9GNDQ/view?usp=sharing" TargetMode="External"/><Relationship Id="rId269" Type="http://schemas.openxmlformats.org/officeDocument/2006/relationships/hyperlink" Target="https://drive.google.com/file/d/0B5DG5WdEiYGESjdUQTdCYm1qUFk/view?usp=sharing" TargetMode="External"/><Relationship Id="rId9" Type="http://schemas.openxmlformats.org/officeDocument/2006/relationships/hyperlink" Target="https://drive.google.com/file/d/0B-yoIBO7tf7Fc19CNEFHZFlRa00/view?usp=sharing" TargetMode="External"/><Relationship Id="rId143" Type="http://schemas.openxmlformats.org/officeDocument/2006/relationships/hyperlink" Target="https://drive.google.com/file/d/0B-yoIBO7tf7FTXhfY2ZURVM0TTA/view?usp=sharing" TargetMode="External"/><Relationship Id="rId264" Type="http://schemas.openxmlformats.org/officeDocument/2006/relationships/hyperlink" Target="https://drive.google.com/file/d/0B5DG5WdEiYGENHdHcWU0UkhRT2c/view?usp=sharing" TargetMode="External"/><Relationship Id="rId142" Type="http://schemas.openxmlformats.org/officeDocument/2006/relationships/hyperlink" Target="https://drive.google.com/file/d/0B5UHL-NSys0eNWtiRkF4dUtqelE/view?usp=sharing" TargetMode="External"/><Relationship Id="rId263" Type="http://schemas.openxmlformats.org/officeDocument/2006/relationships/hyperlink" Target="https://drive.google.com/file/d/0B5DG5WdEiYGENHdHcWU0UkhRT2c/view?usp=sharing" TargetMode="External"/><Relationship Id="rId141" Type="http://schemas.openxmlformats.org/officeDocument/2006/relationships/hyperlink" Target="https://drive.google.com/file/d/0B-yoIBO7tf7FbkZEMm9DeDQ4c3c/view?usp=sharing" TargetMode="External"/><Relationship Id="rId262" Type="http://schemas.openxmlformats.org/officeDocument/2006/relationships/hyperlink" Target="https://drive.google.com/file/d/0B5DG5WdEiYGENHdHcWU0UkhRT2c/view?usp=sharing" TargetMode="External"/><Relationship Id="rId140" Type="http://schemas.openxmlformats.org/officeDocument/2006/relationships/hyperlink" Target="https://drive.google.com/file/d/0B-yoIBO7tf7FbkZEMm9DeDQ4c3c/view?usp=sharing" TargetMode="External"/><Relationship Id="rId261" Type="http://schemas.openxmlformats.org/officeDocument/2006/relationships/hyperlink" Target="https://drive.google.com/file/d/0B5DG5WdEiYGENHdHcWU0UkhRT2c/view?usp=sharing" TargetMode="External"/><Relationship Id="rId5" Type="http://schemas.openxmlformats.org/officeDocument/2006/relationships/hyperlink" Target="https://drive.google.com/file/d/0B5UHL-NSys0eOHM1c3lPNW43U3M/view" TargetMode="External"/><Relationship Id="rId147" Type="http://schemas.openxmlformats.org/officeDocument/2006/relationships/hyperlink" Target="https://drive.google.com/file/d/0B-yoIBO7tf7FSXBRb2swcU9GNDQ/view?usp=sharing" TargetMode="External"/><Relationship Id="rId268" Type="http://schemas.openxmlformats.org/officeDocument/2006/relationships/hyperlink" Target="https://drive.google.com/file/d/0B5DG5WdEiYGESjdUQTdCYm1qUFk/view?usp=sharing" TargetMode="External"/><Relationship Id="rId6" Type="http://schemas.openxmlformats.org/officeDocument/2006/relationships/hyperlink" Target="https://drive.google.com/file/d/0B5UHL-NSys0eOHM1c3lPNW43U3M/view" TargetMode="External"/><Relationship Id="rId146" Type="http://schemas.openxmlformats.org/officeDocument/2006/relationships/hyperlink" Target="https://drive.google.com/file/d/0B4sJPAkX0Jo3MEkzMTZYUExTUlU/view?usp=sharing" TargetMode="External"/><Relationship Id="rId267" Type="http://schemas.openxmlformats.org/officeDocument/2006/relationships/hyperlink" Target="https://drive.google.com/file/d/0B5DG5WdEiYGENHdHcWU0UkhRT2c/view?usp=sharing" TargetMode="External"/><Relationship Id="rId7" Type="http://schemas.openxmlformats.org/officeDocument/2006/relationships/hyperlink" Target="https://drive.google.com/file/d/0B5UHL-NSys0eOHM1c3lPNW43U3M/view" TargetMode="External"/><Relationship Id="rId145" Type="http://schemas.openxmlformats.org/officeDocument/2006/relationships/hyperlink" Target="https://drive.google.com/file/d/0BzjZoBQGkMyma2RKU0E0eWtrSUE/view?usp=sharing" TargetMode="External"/><Relationship Id="rId266" Type="http://schemas.openxmlformats.org/officeDocument/2006/relationships/hyperlink" Target="https://drive.google.com/file/d/0B5DG5WdEiYGENHdHcWU0UkhRT2c/view?usp=sharing" TargetMode="External"/><Relationship Id="rId8" Type="http://schemas.openxmlformats.org/officeDocument/2006/relationships/hyperlink" Target="https://drive.google.com/file/d/0B-yoIBO7tf7Fc19CNEFHZFlRa00/view?usp=sharing" TargetMode="External"/><Relationship Id="rId144" Type="http://schemas.openxmlformats.org/officeDocument/2006/relationships/hyperlink" Target="https://drive.google.com/file/d/0B-yoIBO7tf7FTXhfY2ZURVM0TTA/view?usp=sharing" TargetMode="External"/><Relationship Id="rId265" Type="http://schemas.openxmlformats.org/officeDocument/2006/relationships/hyperlink" Target="https://drive.google.com/file/d/0B5DG5WdEiYGENHdHcWU0UkhRT2c/view?usp=sharing" TargetMode="External"/><Relationship Id="rId73" Type="http://schemas.openxmlformats.org/officeDocument/2006/relationships/hyperlink" Target="https://drive.google.com/file/d/0B5UHL-NSys0ebVU4ejVDZlAtWkk/view?usp=sharing" TargetMode="External"/><Relationship Id="rId72" Type="http://schemas.openxmlformats.org/officeDocument/2006/relationships/hyperlink" Target="https://drive.google.com/file/d/0B5UHL-NSys0ebVU4ejVDZlAtWkk/view?usp=sharing" TargetMode="External"/><Relationship Id="rId75" Type="http://schemas.openxmlformats.org/officeDocument/2006/relationships/hyperlink" Target="https://drive.google.com/file/d/0B5UHL-NSys0ebVU4ejVDZlAtWkk/view?usp=sharing" TargetMode="External"/><Relationship Id="rId74" Type="http://schemas.openxmlformats.org/officeDocument/2006/relationships/hyperlink" Target="https://drive.google.com/file/d/0B5UHL-NSys0ebVU4ejVDZlAtWkk/view?usp=sharing" TargetMode="External"/><Relationship Id="rId77" Type="http://schemas.openxmlformats.org/officeDocument/2006/relationships/hyperlink" Target="https://drive.google.com/file/d/0B-yoIBO7tf7FbV9yNXFlRF9nc1U/view?usp=sharing" TargetMode="External"/><Relationship Id="rId260" Type="http://schemas.openxmlformats.org/officeDocument/2006/relationships/hyperlink" Target="https://drive.google.com/file/d/0B5DG5WdEiYGENHdHcWU0UkhRT2c/view?usp=sharing" TargetMode="External"/><Relationship Id="rId76" Type="http://schemas.openxmlformats.org/officeDocument/2006/relationships/hyperlink" Target="https://drive.google.com/file/d/0B-yoIBO7tf7FbV9yNXFlRF9nc1U/view?usp=sharing" TargetMode="External"/><Relationship Id="rId79" Type="http://schemas.openxmlformats.org/officeDocument/2006/relationships/hyperlink" Target="https://drive.google.com/file/d/0B-yoIBO7tf7FOHpzM1QzenROWE0/view?usp=sharing" TargetMode="External"/><Relationship Id="rId78" Type="http://schemas.openxmlformats.org/officeDocument/2006/relationships/hyperlink" Target="https://drive.google.com/file/d/0B-yoIBO7tf7FOHpzM1QzenROWE0/view?usp=sharing" TargetMode="External"/><Relationship Id="rId71" Type="http://schemas.openxmlformats.org/officeDocument/2006/relationships/hyperlink" Target="https://drive.google.com/file/d/0B-yoIBO7tf7FaWVpckdUcllHWmc/view?usp=sharing" TargetMode="External"/><Relationship Id="rId70" Type="http://schemas.openxmlformats.org/officeDocument/2006/relationships/hyperlink" Target="https://drive.google.com/file/d/0B-yoIBO7tf7FaWVpckdUcllHWmc/view?usp=sharing" TargetMode="External"/><Relationship Id="rId139" Type="http://schemas.openxmlformats.org/officeDocument/2006/relationships/hyperlink" Target="https://drive.google.com/file/d/0BzjZoBQGkMymcWhLZ2xVUE9YSkk/view?usp=sharing" TargetMode="External"/><Relationship Id="rId138" Type="http://schemas.openxmlformats.org/officeDocument/2006/relationships/hyperlink" Target="https://drive.google.com/file/d/0BzjZoBQGkMymcWhLZ2xVUE9YSkk/view?usp=sharing" TargetMode="External"/><Relationship Id="rId259" Type="http://schemas.openxmlformats.org/officeDocument/2006/relationships/hyperlink" Target="https://drive.google.com/file/d/0B5DG5WdEiYGERk1nWXd0RTBSdEk/view?usp=sharing" TargetMode="External"/><Relationship Id="rId137" Type="http://schemas.openxmlformats.org/officeDocument/2006/relationships/hyperlink" Target="https://drive.google.com/file/d/0BzjZoBQGkMymcWhLZ2xVUE9YSkk/view?usp=sharing" TargetMode="External"/><Relationship Id="rId258" Type="http://schemas.openxmlformats.org/officeDocument/2006/relationships/hyperlink" Target="https://drive.google.com/file/d/0B5DG5WdEiYGERk1nWXd0RTBSdEk/view?usp=sharing" TargetMode="External"/><Relationship Id="rId132" Type="http://schemas.openxmlformats.org/officeDocument/2006/relationships/hyperlink" Target="https://drive.google.com/file/d/0B-yoIBO7tf7FY3JhazVrbXJxblU/view?usp=sharing" TargetMode="External"/><Relationship Id="rId253" Type="http://schemas.openxmlformats.org/officeDocument/2006/relationships/hyperlink" Target="https://drive.google.com/file/d/0B-yoIBO7tf7FLU94a2Y4YUtvS2s/view?usp=sharing" TargetMode="External"/><Relationship Id="rId131" Type="http://schemas.openxmlformats.org/officeDocument/2006/relationships/hyperlink" Target="https://drive.google.com/file/d/0B-yoIBO7tf7FbXU3SERzZWhxMW8/view?usp=sharing" TargetMode="External"/><Relationship Id="rId252" Type="http://schemas.openxmlformats.org/officeDocument/2006/relationships/hyperlink" Target="https://drive.google.com/file/d/0B-yoIBO7tf7FLU94a2Y4YUtvS2s/view?usp=sharing" TargetMode="External"/><Relationship Id="rId130" Type="http://schemas.openxmlformats.org/officeDocument/2006/relationships/hyperlink" Target="https://drive.google.com/file/d/0B-yoIBO7tf7FbXU3SERzZWhxMW8/view?usp=sharing" TargetMode="External"/><Relationship Id="rId251" Type="http://schemas.openxmlformats.org/officeDocument/2006/relationships/hyperlink" Target="https://drive.google.com/file/d/0B-yoIBO7tf7FLU94a2Y4YUtvS2s/view?usp=sharing" TargetMode="External"/><Relationship Id="rId250" Type="http://schemas.openxmlformats.org/officeDocument/2006/relationships/hyperlink" Target="https://drive.google.com/file/d/0B-yoIBO7tf7FLU94a2Y4YUtvS2s/view?usp=sharing" TargetMode="External"/><Relationship Id="rId136" Type="http://schemas.openxmlformats.org/officeDocument/2006/relationships/hyperlink" Target="https://drive.google.com/file/d/0BzjZoBQGkMymcWhLZ2xVUE9YSkk/view?usp=sharing" TargetMode="External"/><Relationship Id="rId257" Type="http://schemas.openxmlformats.org/officeDocument/2006/relationships/hyperlink" Target="https://drive.google.com/file/d/0B-BMeyhXwSzWWExab2I4akxGQjg/view" TargetMode="External"/><Relationship Id="rId135" Type="http://schemas.openxmlformats.org/officeDocument/2006/relationships/hyperlink" Target="https://drive.google.com/file/d/0BzjZoBQGkMymcWhLZ2xVUE9YSkk/view?usp=sharing" TargetMode="External"/><Relationship Id="rId256" Type="http://schemas.openxmlformats.org/officeDocument/2006/relationships/hyperlink" Target="https://drive.google.com/file/d/0BzjZoBQGkMymVzdHRVl0WUg5Qk0/view?usp=sharing" TargetMode="External"/><Relationship Id="rId134" Type="http://schemas.openxmlformats.org/officeDocument/2006/relationships/hyperlink" Target="https://drive.google.com/file/d/0B-yoIBO7tf7FMUEwazJyRUhGTFk/view?usp=sharing" TargetMode="External"/><Relationship Id="rId255" Type="http://schemas.openxmlformats.org/officeDocument/2006/relationships/hyperlink" Target="https://drive.google.com/file/d/0B-BMeyhXwSzWVHJVaWRPWmxRZ1U/view" TargetMode="External"/><Relationship Id="rId133" Type="http://schemas.openxmlformats.org/officeDocument/2006/relationships/hyperlink" Target="https://drive.google.com/file/d/0B-yoIBO7tf7FY3JhazVrbXJxblU/view?usp=sharing" TargetMode="External"/><Relationship Id="rId254" Type="http://schemas.openxmlformats.org/officeDocument/2006/relationships/hyperlink" Target="https://drive.google.com/file/d/0B-yoIBO7tf7FLU94a2Y4YUtvS2s/view?usp=sharing" TargetMode="External"/><Relationship Id="rId62" Type="http://schemas.openxmlformats.org/officeDocument/2006/relationships/hyperlink" Target="https://drive.google.com/file/d/0B5UHL-NSys0eODFXNDBVSlZIV1k/view?usp=sharing" TargetMode="External"/><Relationship Id="rId61" Type="http://schemas.openxmlformats.org/officeDocument/2006/relationships/hyperlink" Target="https://drive.google.com/file/d/0B5UHL-NSys0eODFXNDBVSlZIV1k/view?usp=sharing" TargetMode="External"/><Relationship Id="rId64" Type="http://schemas.openxmlformats.org/officeDocument/2006/relationships/hyperlink" Target="https://drive.google.com/file/d/0B5UHL-NSys0eODFXNDBVSlZIV1k/view?usp=sharing" TargetMode="External"/><Relationship Id="rId63" Type="http://schemas.openxmlformats.org/officeDocument/2006/relationships/hyperlink" Target="https://drive.google.com/file/d/0B5UHL-NSys0eODFXNDBVSlZIV1k/view?usp=sharing" TargetMode="External"/><Relationship Id="rId66" Type="http://schemas.openxmlformats.org/officeDocument/2006/relationships/hyperlink" Target="https://drive.google.com/file/d/0B5UHL-NSys0eODFXNDBVSlZIV1k/view?usp=sharing" TargetMode="External"/><Relationship Id="rId172" Type="http://schemas.openxmlformats.org/officeDocument/2006/relationships/hyperlink" Target="https://drive.google.com/file/d/0B-BMeyhXwSzWNHc5MkF4dmMwbWs/view" TargetMode="External"/><Relationship Id="rId293" Type="http://schemas.openxmlformats.org/officeDocument/2006/relationships/hyperlink" Target="https://drive.google.com/file/d/0B5DG5WdEiYGEbUx1d09KZ0pleWc/view?usp=sharing" TargetMode="External"/><Relationship Id="rId65" Type="http://schemas.openxmlformats.org/officeDocument/2006/relationships/hyperlink" Target="https://drive.google.com/file/d/0B5UHL-NSys0eODFXNDBVSlZIV1k/view?usp=sharing" TargetMode="External"/><Relationship Id="rId171" Type="http://schemas.openxmlformats.org/officeDocument/2006/relationships/hyperlink" Target="https://drive.google.com/file/d/0B-BMeyhXwSzWNHc5MkF4dmMwbWs/view" TargetMode="External"/><Relationship Id="rId292" Type="http://schemas.openxmlformats.org/officeDocument/2006/relationships/hyperlink" Target="https://drive.google.com/file/d/0B5DG5WdEiYGEbUx1d09KZ0pleWc/view?usp=sharing" TargetMode="External"/><Relationship Id="rId68" Type="http://schemas.openxmlformats.org/officeDocument/2006/relationships/hyperlink" Target="https://drive.google.com/file/d/0B-yoIBO7tf7FU2JzbDdrSjMtWG8/view?usp=sharing" TargetMode="External"/><Relationship Id="rId170" Type="http://schemas.openxmlformats.org/officeDocument/2006/relationships/hyperlink" Target="https://drive.google.com/file/d/0B-BMeyhXwSzWNHc5MkF4dmMwbWs/view" TargetMode="External"/><Relationship Id="rId291" Type="http://schemas.openxmlformats.org/officeDocument/2006/relationships/hyperlink" Target="https://drive.google.com/file/d/0B5DG5WdEiYGEbUx1d09KZ0pleWc/view?usp=sharing" TargetMode="External"/><Relationship Id="rId67" Type="http://schemas.openxmlformats.org/officeDocument/2006/relationships/hyperlink" Target="https://drive.google.com/file/d/0B-yoIBO7tf7FU2JzbDdrSjMtWG8/view?usp=sharing" TargetMode="External"/><Relationship Id="rId290" Type="http://schemas.openxmlformats.org/officeDocument/2006/relationships/hyperlink" Target="https://drive.google.com/file/d/0B5DG5WdEiYGEbUx1d09KZ0pleWc/view?usp=sharing" TargetMode="External"/><Relationship Id="rId60" Type="http://schemas.openxmlformats.org/officeDocument/2006/relationships/hyperlink" Target="https://drive.google.com/file/d/0B-yoIBO7tf7FbVpLaWFMZ0NDRUE/view?usp=sharing" TargetMode="External"/><Relationship Id="rId165" Type="http://schemas.openxmlformats.org/officeDocument/2006/relationships/hyperlink" Target="https://drive.google.com/file/d/0B-yoIBO7tf7FdGJfbUpBUmpvck0/view?usp=sharing" TargetMode="External"/><Relationship Id="rId286" Type="http://schemas.openxmlformats.org/officeDocument/2006/relationships/hyperlink" Target="https://drive.google.com/file/d/0B5DG5WdEiYGEbUx1d09KZ0pleWc/view?usp=sharing" TargetMode="External"/><Relationship Id="rId69" Type="http://schemas.openxmlformats.org/officeDocument/2006/relationships/hyperlink" Target="https://drive.google.com/file/d/0B-yoIBO7tf7FaWVpckdUcllHWmc/view?usp=sharing" TargetMode="External"/><Relationship Id="rId164" Type="http://schemas.openxmlformats.org/officeDocument/2006/relationships/hyperlink" Target="https://drive.google.com/file/d/0B-yoIBO7tf7FdGJfbUpBUmpvck0/view?usp=sharing" TargetMode="External"/><Relationship Id="rId285" Type="http://schemas.openxmlformats.org/officeDocument/2006/relationships/hyperlink" Target="https://drive.google.com/file/d/0B5DG5WdEiYGEbUx1d09KZ0pleWc/view?usp=sharing" TargetMode="External"/><Relationship Id="rId163" Type="http://schemas.openxmlformats.org/officeDocument/2006/relationships/hyperlink" Target="https://drive.google.com/file/d/0B-yoIBO7tf7FdGJfbUpBUmpvck0/view?usp=sharing" TargetMode="External"/><Relationship Id="rId284" Type="http://schemas.openxmlformats.org/officeDocument/2006/relationships/hyperlink" Target="https://drive.google.com/file/d/0B5DG5WdEiYGEbUx1d09KZ0pleWc/view?usp=sharing" TargetMode="External"/><Relationship Id="rId162" Type="http://schemas.openxmlformats.org/officeDocument/2006/relationships/hyperlink" Target="https://drive.google.com/file/d/0B5UHL-NSys0eUkFoNE5UaDRlZUE/view?usp=sharing" TargetMode="External"/><Relationship Id="rId283" Type="http://schemas.openxmlformats.org/officeDocument/2006/relationships/hyperlink" Target="https://drive.google.com/file/d/0B5DG5WdEiYGEbUx1d09KZ0pleWc/view?usp=sharing" TargetMode="External"/><Relationship Id="rId169" Type="http://schemas.openxmlformats.org/officeDocument/2006/relationships/hyperlink" Target="https://drive.google.com/file/d/0B-BMeyhXwSzWNHc5MkF4dmMwbWs/view" TargetMode="External"/><Relationship Id="rId168" Type="http://schemas.openxmlformats.org/officeDocument/2006/relationships/hyperlink" Target="https://drive.google.com/file/d/0B-BMeyhXwSzWb3RhNzJocktCcnM/view" TargetMode="External"/><Relationship Id="rId289" Type="http://schemas.openxmlformats.org/officeDocument/2006/relationships/hyperlink" Target="https://drive.google.com/file/d/0B5DG5WdEiYGEbUx1d09KZ0pleWc/view?usp=sharing" TargetMode="External"/><Relationship Id="rId167" Type="http://schemas.openxmlformats.org/officeDocument/2006/relationships/hyperlink" Target="https://drive.google.com/file/d/0B-BMeyhXwSzWb3RhNzJocktCcnM/view" TargetMode="External"/><Relationship Id="rId288" Type="http://schemas.openxmlformats.org/officeDocument/2006/relationships/hyperlink" Target="https://drive.google.com/file/d/0B5DG5WdEiYGEbUx1d09KZ0pleWc/view?usp=sharing" TargetMode="External"/><Relationship Id="rId166" Type="http://schemas.openxmlformats.org/officeDocument/2006/relationships/hyperlink" Target="https://drive.google.com/file/d/0B-BMeyhXwSzWMFY3R0VqTzdvVkk/view" TargetMode="External"/><Relationship Id="rId287" Type="http://schemas.openxmlformats.org/officeDocument/2006/relationships/hyperlink" Target="https://drive.google.com/file/d/0B5DG5WdEiYGEbUx1d09KZ0pleWc/view?usp=sharing" TargetMode="External"/><Relationship Id="rId51" Type="http://schemas.openxmlformats.org/officeDocument/2006/relationships/hyperlink" Target="https://drive.google.com/file/d/0B-yoIBO7tf7FZ0x0Y3h3WmRaNXM/view?usp=sharing" TargetMode="External"/><Relationship Id="rId50" Type="http://schemas.openxmlformats.org/officeDocument/2006/relationships/hyperlink" Target="https://drive.google.com/open?id=0B9vYgR7NsKoYR2hzSmVxOE9TNkk" TargetMode="External"/><Relationship Id="rId53" Type="http://schemas.openxmlformats.org/officeDocument/2006/relationships/hyperlink" Target="https://drive.google.com/file/d/0B-yoIBO7tf7FUTNyMXRZQVpXbFE/view?usp=sharing" TargetMode="External"/><Relationship Id="rId52" Type="http://schemas.openxmlformats.org/officeDocument/2006/relationships/hyperlink" Target="https://drive.google.com/file/d/0B-yoIBO7tf7FZ0x0Y3h3WmRaNXM/view?usp=sharing" TargetMode="External"/><Relationship Id="rId55" Type="http://schemas.openxmlformats.org/officeDocument/2006/relationships/hyperlink" Target="https://drive.google.com/file/d/0B-yoIBO7tf7FUTNyMXRZQVpXbFE/view?usp=sharing" TargetMode="External"/><Relationship Id="rId161" Type="http://schemas.openxmlformats.org/officeDocument/2006/relationships/hyperlink" Target="https://drive.google.com/file/d/0B5UHL-NSys0eUkFoNE5UaDRlZUE/view?usp=sharing" TargetMode="External"/><Relationship Id="rId282" Type="http://schemas.openxmlformats.org/officeDocument/2006/relationships/hyperlink" Target="https://drive.google.com/file/d/0B5DG5WdEiYGEbUx1d09KZ0pleWc/view?usp=sharing" TargetMode="External"/><Relationship Id="rId54" Type="http://schemas.openxmlformats.org/officeDocument/2006/relationships/hyperlink" Target="https://drive.google.com/file/d/0B-yoIBO7tf7FUTNyMXRZQVpXbFE/view?usp=sharing" TargetMode="External"/><Relationship Id="rId160" Type="http://schemas.openxmlformats.org/officeDocument/2006/relationships/hyperlink" Target="https://drive.google.com/file/d/0B9vYgR7NsKoYSVJwZ2UyQ1VNbWc/view?usp=sharing" TargetMode="External"/><Relationship Id="rId281" Type="http://schemas.openxmlformats.org/officeDocument/2006/relationships/hyperlink" Target="https://drive.google.com/file/d/0B5DG5WdEiYGEOXdTc0htQVAwYms/view?usp=sharing" TargetMode="External"/><Relationship Id="rId57" Type="http://schemas.openxmlformats.org/officeDocument/2006/relationships/hyperlink" Target="https://drive.google.com/file/d/0B-yoIBO7tf7FbVpLaWFMZ0NDRUE/view?usp=sharing" TargetMode="External"/><Relationship Id="rId280" Type="http://schemas.openxmlformats.org/officeDocument/2006/relationships/hyperlink" Target="https://drive.google.com/file/d/0B5DG5WdEiYGEOXdTc0htQVAwYms/view?usp=sharing" TargetMode="External"/><Relationship Id="rId56" Type="http://schemas.openxmlformats.org/officeDocument/2006/relationships/hyperlink" Target="https://drive.google.com/file/d/0B-yoIBO7tf7FUTNyMXRZQVpXbFE/view?usp=sharing" TargetMode="External"/><Relationship Id="rId159" Type="http://schemas.openxmlformats.org/officeDocument/2006/relationships/hyperlink" Target="https://drive.google.com/file/d/0B-yoIBO7tf7FWlBYQ25rX0ljUGc/view?usp=sharing" TargetMode="External"/><Relationship Id="rId59" Type="http://schemas.openxmlformats.org/officeDocument/2006/relationships/hyperlink" Target="https://drive.google.com/file/d/0B-yoIBO7tf7FbVpLaWFMZ0NDRUE/view?usp=sharing" TargetMode="External"/><Relationship Id="rId154" Type="http://schemas.openxmlformats.org/officeDocument/2006/relationships/hyperlink" Target="https://drive.google.com/file/d/0B-yoIBO7tf7FZ1VZUXdaNWNLZ0U/view?usp=sharing" TargetMode="External"/><Relationship Id="rId275" Type="http://schemas.openxmlformats.org/officeDocument/2006/relationships/hyperlink" Target="https://drive.google.com/file/d/0B5DG5WdEiYGESjdUQTdCYm1qUFk/view?usp=sharing" TargetMode="External"/><Relationship Id="rId58" Type="http://schemas.openxmlformats.org/officeDocument/2006/relationships/hyperlink" Target="https://drive.google.com/file/d/0B-yoIBO7tf7FbVpLaWFMZ0NDRUE/view?usp=sharing" TargetMode="External"/><Relationship Id="rId153" Type="http://schemas.openxmlformats.org/officeDocument/2006/relationships/hyperlink" Target="https://drive.google.com/file/d/0B-yoIBO7tf7FZ1VZUXdaNWNLZ0U/view?usp=sharing" TargetMode="External"/><Relationship Id="rId274" Type="http://schemas.openxmlformats.org/officeDocument/2006/relationships/hyperlink" Target="https://drive.google.com/file/d/0B5DG5WdEiYGESjdUQTdCYm1qUFk/view?usp=sharing" TargetMode="External"/><Relationship Id="rId152" Type="http://schemas.openxmlformats.org/officeDocument/2006/relationships/hyperlink" Target="https://drive.google.com/file/d/0B9vYgR7NsKoYMG1WYi0xYjM5Z0U/view?usp=sharing" TargetMode="External"/><Relationship Id="rId273" Type="http://schemas.openxmlformats.org/officeDocument/2006/relationships/hyperlink" Target="https://drive.google.com/file/d/0B5DG5WdEiYGESjdUQTdCYm1qUFk/view?usp=sharing" TargetMode="External"/><Relationship Id="rId151" Type="http://schemas.openxmlformats.org/officeDocument/2006/relationships/hyperlink" Target="https://drive.google.com/file/d/0B9vYgR7NsKoYMG1WYi0xYjM5Z0U/view?usp=sharing" TargetMode="External"/><Relationship Id="rId272" Type="http://schemas.openxmlformats.org/officeDocument/2006/relationships/hyperlink" Target="https://drive.google.com/file/d/0B5DG5WdEiYGESjdUQTdCYm1qUFk/view?usp=sharing" TargetMode="External"/><Relationship Id="rId158" Type="http://schemas.openxmlformats.org/officeDocument/2006/relationships/hyperlink" Target="https://drive.google.com/file/d/0B-yoIBO7tf7FUm5qb3dPYXVTRWs/view?usp=sharing" TargetMode="External"/><Relationship Id="rId279" Type="http://schemas.openxmlformats.org/officeDocument/2006/relationships/hyperlink" Target="https://drive.google.com/file/d/0B5DG5WdEiYGEOXdTc0htQVAwYms/view?usp=sharing" TargetMode="External"/><Relationship Id="rId157" Type="http://schemas.openxmlformats.org/officeDocument/2006/relationships/hyperlink" Target="https://drive.google.com/file/d/0B-yoIBO7tf7FUm5qb3dPYXVTRWs/view?usp=sharing" TargetMode="External"/><Relationship Id="rId278" Type="http://schemas.openxmlformats.org/officeDocument/2006/relationships/hyperlink" Target="https://drive.google.com/file/d/0B5DG5WdEiYGEOXdTc0htQVAwYms/view?usp=sharing" TargetMode="External"/><Relationship Id="rId156" Type="http://schemas.openxmlformats.org/officeDocument/2006/relationships/hyperlink" Target="https://drive.google.com/file/d/0B-yoIBO7tf7FUm5qb3dPYXVTRWs/view?usp=sharing" TargetMode="External"/><Relationship Id="rId277" Type="http://schemas.openxmlformats.org/officeDocument/2006/relationships/hyperlink" Target="https://drive.google.com/file/d/0B5DG5WdEiYGEaEVRRTJBUktFSUE/view?usp=sharing" TargetMode="External"/><Relationship Id="rId155" Type="http://schemas.openxmlformats.org/officeDocument/2006/relationships/hyperlink" Target="https://drive.google.com/file/d/0B-yoIBO7tf7FUm5qb3dPYXVTRWs/view?usp=sharing" TargetMode="External"/><Relationship Id="rId276" Type="http://schemas.openxmlformats.org/officeDocument/2006/relationships/hyperlink" Target="https://drive.google.com/file/d/0B5DG5WdEiYGEaEVRRTJBUktFSUE/view?usp=sharing" TargetMode="External"/><Relationship Id="rId107" Type="http://schemas.openxmlformats.org/officeDocument/2006/relationships/hyperlink" Target="https://drive.google.com/open?id=0B9vYgR7NsKoYTF9TTzZMOHYyekk" TargetMode="External"/><Relationship Id="rId228" Type="http://schemas.openxmlformats.org/officeDocument/2006/relationships/hyperlink" Target="https://drive.google.com/open?id=0B5uKCExuj58mM1BHbU5mZWxROUE" TargetMode="External"/><Relationship Id="rId106" Type="http://schemas.openxmlformats.org/officeDocument/2006/relationships/hyperlink" Target="https://drive.google.com/open?id=0B9vYgR7NsKoYTF9TTzZMOHYyekk" TargetMode="External"/><Relationship Id="rId227" Type="http://schemas.openxmlformats.org/officeDocument/2006/relationships/hyperlink" Target="https://drive.google.com/open?id=0B5uKCExuj58mM1BHbU5mZWxROUE" TargetMode="External"/><Relationship Id="rId105" Type="http://schemas.openxmlformats.org/officeDocument/2006/relationships/hyperlink" Target="https://drive.google.com/file/d/0BzjZoBQGkMyma1kzblRMSmRXTEE/view?usp=sharing" TargetMode="External"/><Relationship Id="rId226" Type="http://schemas.openxmlformats.org/officeDocument/2006/relationships/hyperlink" Target="https://drive.google.com/open?id=0B5uKCExuj58mM1BHbU5mZWxROUE" TargetMode="External"/><Relationship Id="rId104" Type="http://schemas.openxmlformats.org/officeDocument/2006/relationships/hyperlink" Target="https://drive.google.com/file/d/0BzjZoBQGkMyma1kzblRMSmRXTEE/view?usp=sharing" TargetMode="External"/><Relationship Id="rId225" Type="http://schemas.openxmlformats.org/officeDocument/2006/relationships/hyperlink" Target="https://drive.google.com/open?id=0B5uKCExuj58mM1BHbU5mZWxROUE" TargetMode="External"/><Relationship Id="rId109" Type="http://schemas.openxmlformats.org/officeDocument/2006/relationships/hyperlink" Target="https://drive.google.com/open?id=0B9vYgR7NsKoYTF9TTzZMOHYyekk" TargetMode="External"/><Relationship Id="rId108" Type="http://schemas.openxmlformats.org/officeDocument/2006/relationships/hyperlink" Target="https://drive.google.com/open?id=0B9vYgR7NsKoYTF9TTzZMOHYyekk" TargetMode="External"/><Relationship Id="rId229" Type="http://schemas.openxmlformats.org/officeDocument/2006/relationships/hyperlink" Target="https://drive.google.com/open?id=0B5uKCExuj58mRmFPN21UUGRFSFk" TargetMode="External"/><Relationship Id="rId220" Type="http://schemas.openxmlformats.org/officeDocument/2006/relationships/hyperlink" Target="https://drive.google.com/open?id=0B5uKCExuj58mRjNxLXdva3ozdms" TargetMode="External"/><Relationship Id="rId103" Type="http://schemas.openxmlformats.org/officeDocument/2006/relationships/hyperlink" Target="https://drive.google.com/file/d/0B5UHL-NSys0eM2ZVN3VCSmJfNGc/view?usp=sharing" TargetMode="External"/><Relationship Id="rId224" Type="http://schemas.openxmlformats.org/officeDocument/2006/relationships/hyperlink" Target="https://drive.google.com/open?id=0B5uKCExuj58mM1BHbU5mZWxROUE" TargetMode="External"/><Relationship Id="rId102" Type="http://schemas.openxmlformats.org/officeDocument/2006/relationships/hyperlink" Target="https://drive.google.com/file/d/0B5UHL-NSys0eM2ZVN3VCSmJfNGc/view?usp=sharing" TargetMode="External"/><Relationship Id="rId223" Type="http://schemas.openxmlformats.org/officeDocument/2006/relationships/hyperlink" Target="https://drive.google.com/open?id=0B5uKCExuj58mM1BHbU5mZWxROUE" TargetMode="External"/><Relationship Id="rId101" Type="http://schemas.openxmlformats.org/officeDocument/2006/relationships/hyperlink" Target="https://drive.google.com/file/d/0B-yoIBO7tf7FYkJiQmVTQXpCMnM/view?usp=sharing" TargetMode="External"/><Relationship Id="rId222" Type="http://schemas.openxmlformats.org/officeDocument/2006/relationships/hyperlink" Target="https://drive.google.com/open?id=0B5uKCExuj58mcEt4V0FhREtkRDQ" TargetMode="External"/><Relationship Id="rId100" Type="http://schemas.openxmlformats.org/officeDocument/2006/relationships/hyperlink" Target="https://drive.google.com/file/d/0B-yoIBO7tf7FYkJiQmVTQXpCMnM/view?usp=sharing" TargetMode="External"/><Relationship Id="rId221" Type="http://schemas.openxmlformats.org/officeDocument/2006/relationships/hyperlink" Target="https://drive.google.com/open?id=0B5uKCExuj58mcEt4V0FhREtkRDQ" TargetMode="External"/><Relationship Id="rId217" Type="http://schemas.openxmlformats.org/officeDocument/2006/relationships/hyperlink" Target="https://drive.google.com/open?id=0B5uKCExuj58mMHJiUmp0VUZKX2M" TargetMode="External"/><Relationship Id="rId216" Type="http://schemas.openxmlformats.org/officeDocument/2006/relationships/hyperlink" Target="https://drive.google.com/open?id=0B5uKCExuj58mMHJiUmp0VUZKX2M" TargetMode="External"/><Relationship Id="rId215" Type="http://schemas.openxmlformats.org/officeDocument/2006/relationships/hyperlink" Target="http://www.who.int/bulletin/volumes/81/3/Ferrari0303.pdf" TargetMode="External"/><Relationship Id="rId214" Type="http://schemas.openxmlformats.org/officeDocument/2006/relationships/hyperlink" Target="https://drive.google.com/open?id=0B5uKCExuj58mbEI0SE9sUUxpTG8" TargetMode="External"/><Relationship Id="rId219" Type="http://schemas.openxmlformats.org/officeDocument/2006/relationships/hyperlink" Target="https://drive.google.com/open?id=0B5uKCExuj58mRjNxLXdva3ozdms" TargetMode="External"/><Relationship Id="rId218" Type="http://schemas.openxmlformats.org/officeDocument/2006/relationships/hyperlink" Target="https://drive.google.com/open?id=0B5uKCExuj58mRjNxLXdva3ozdms" TargetMode="External"/><Relationship Id="rId213" Type="http://schemas.openxmlformats.org/officeDocument/2006/relationships/hyperlink" Target="https://drive.google.com/open?id=0B5uKCExuj58mbEI0SE9sUUxpTG8" TargetMode="External"/><Relationship Id="rId212" Type="http://schemas.openxmlformats.org/officeDocument/2006/relationships/hyperlink" Target="https://drive.google.com/open?id=0B5uKCExuj58mbEI0SE9sUUxpTG8" TargetMode="External"/><Relationship Id="rId211" Type="http://schemas.openxmlformats.org/officeDocument/2006/relationships/hyperlink" Target="https://drive.google.com/open?id=0B5uKCExuj58mMWJtODJBbFJWWjQ" TargetMode="External"/><Relationship Id="rId210" Type="http://schemas.openxmlformats.org/officeDocument/2006/relationships/hyperlink" Target="https://drive.google.com/open?id=0B5uKCExuj58mMWJtODJBbFJWWjQ" TargetMode="External"/><Relationship Id="rId129" Type="http://schemas.openxmlformats.org/officeDocument/2006/relationships/hyperlink" Target="https://drive.google.com/file/d/0B-yoIBO7tf7FbXU3SERzZWhxMW8/view?usp=sharing" TargetMode="External"/><Relationship Id="rId128" Type="http://schemas.openxmlformats.org/officeDocument/2006/relationships/hyperlink" Target="https://drive.google.com/file/d/0B5UHL-NSys0eMEJ6WVprN3g1UVU/view?usp=sharing" TargetMode="External"/><Relationship Id="rId249" Type="http://schemas.openxmlformats.org/officeDocument/2006/relationships/hyperlink" Target="https://drive.google.com/file/d/0B-yoIBO7tf7FLU94a2Y4YUtvS2s/view?usp=sharing" TargetMode="External"/><Relationship Id="rId127" Type="http://schemas.openxmlformats.org/officeDocument/2006/relationships/hyperlink" Target="https://drive.google.com/file/d/0B5UHL-NSys0eMEJ6WVprN3g1UVU/view?usp=sharing" TargetMode="External"/><Relationship Id="rId248" Type="http://schemas.openxmlformats.org/officeDocument/2006/relationships/hyperlink" Target="https://drive.google.com/file/d/0B-yoIBO7tf7FLU94a2Y4YUtvS2s/view?usp=sharing" TargetMode="External"/><Relationship Id="rId126" Type="http://schemas.openxmlformats.org/officeDocument/2006/relationships/hyperlink" Target="https://drive.google.com/file/d/0B5UHL-NSys0eMEJ6WVprN3g1UVU/view?usp=sharing" TargetMode="External"/><Relationship Id="rId247" Type="http://schemas.openxmlformats.org/officeDocument/2006/relationships/hyperlink" Target="https://drive.google.com/file/d/0B-yoIBO7tf7FLU94a2Y4YUtvS2s/view?usp=sharing" TargetMode="External"/><Relationship Id="rId121" Type="http://schemas.openxmlformats.org/officeDocument/2006/relationships/hyperlink" Target="https://drive.google.com/file/d/0B5UHL-NSys0eMEJ6WVprN3g1UVU/view?usp=sharing" TargetMode="External"/><Relationship Id="rId242" Type="http://schemas.openxmlformats.org/officeDocument/2006/relationships/hyperlink" Target="https://drive.google.com/open?id=0B5uKCExuj58mQ3RWeXZwSFhSTVk" TargetMode="External"/><Relationship Id="rId120" Type="http://schemas.openxmlformats.org/officeDocument/2006/relationships/hyperlink" Target="https://drive.google.com/file/d/0BzjZoBQGkMymRng2WW9hN2lIdWM/view?usp=sharing" TargetMode="External"/><Relationship Id="rId241" Type="http://schemas.openxmlformats.org/officeDocument/2006/relationships/hyperlink" Target="https://drive.google.com/open?id=0B5uKCExuj58mQ3RWeXZwSFhSTVk" TargetMode="External"/><Relationship Id="rId240" Type="http://schemas.openxmlformats.org/officeDocument/2006/relationships/hyperlink" Target="https://drive.google.com/open?id=0B5uKCExuj58mQ3RWeXZwSFhSTVk" TargetMode="External"/><Relationship Id="rId125" Type="http://schemas.openxmlformats.org/officeDocument/2006/relationships/hyperlink" Target="https://drive.google.com/file/d/0B5UHL-NSys0eMEJ6WVprN3g1UVU/view?usp=sharing" TargetMode="External"/><Relationship Id="rId246" Type="http://schemas.openxmlformats.org/officeDocument/2006/relationships/hyperlink" Target="https://drive.google.com/file/d/0B-yoIBO7tf7FLU94a2Y4YUtvS2s/view?usp=sharing" TargetMode="External"/><Relationship Id="rId124" Type="http://schemas.openxmlformats.org/officeDocument/2006/relationships/hyperlink" Target="https://drive.google.com/file/d/0B5UHL-NSys0eMEJ6WVprN3g1UVU/view?usp=sharing" TargetMode="External"/><Relationship Id="rId245" Type="http://schemas.openxmlformats.org/officeDocument/2006/relationships/hyperlink" Target="https://drive.google.com/file/d/0B-yoIBO7tf7FLU94a2Y4YUtvS2s/view?usp=sharing" TargetMode="External"/><Relationship Id="rId123" Type="http://schemas.openxmlformats.org/officeDocument/2006/relationships/hyperlink" Target="https://drive.google.com/file/d/0B5UHL-NSys0eMEJ6WVprN3g1UVU/view?usp=sharing" TargetMode="External"/><Relationship Id="rId244" Type="http://schemas.openxmlformats.org/officeDocument/2006/relationships/hyperlink" Target="https://drive.google.com/file/d/0B-yoIBO7tf7FLU94a2Y4YUtvS2s/view?usp=sharing" TargetMode="External"/><Relationship Id="rId122" Type="http://schemas.openxmlformats.org/officeDocument/2006/relationships/hyperlink" Target="https://drive.google.com/file/d/0B5UHL-NSys0eMEJ6WVprN3g1UVU/view?usp=sharing" TargetMode="External"/><Relationship Id="rId243" Type="http://schemas.openxmlformats.org/officeDocument/2006/relationships/hyperlink" Target="https://drive.google.com/file/d/0B-yoIBO7tf7FLU94a2Y4YUtvS2s/view?usp=sharing" TargetMode="External"/><Relationship Id="rId95" Type="http://schemas.openxmlformats.org/officeDocument/2006/relationships/hyperlink" Target="https://drive.google.com/file/d/0B-yoIBO7tf7FR3UtZUt1Skg5TUE/view?usp=sharing" TargetMode="External"/><Relationship Id="rId94" Type="http://schemas.openxmlformats.org/officeDocument/2006/relationships/hyperlink" Target="https://drive.google.com/file/d/0B-yoIBO7tf7FR3UtZUt1Skg5TUE/view?usp=sharing" TargetMode="External"/><Relationship Id="rId97" Type="http://schemas.openxmlformats.org/officeDocument/2006/relationships/hyperlink" Target="https://drive.google.com/file/d/0B-yoIBO7tf7FMGExcHVoZVliM00/view?usp=sharing" TargetMode="External"/><Relationship Id="rId96" Type="http://schemas.openxmlformats.org/officeDocument/2006/relationships/hyperlink" Target="https://drive.google.com/file/d/0B-yoIBO7tf7FMGExcHVoZVliM00/view?usp=sharing" TargetMode="External"/><Relationship Id="rId99" Type="http://schemas.openxmlformats.org/officeDocument/2006/relationships/hyperlink" Target="https://drive.google.com/file/d/0B-yoIBO7tf7FYkJiQmVTQXpCMnM/view?usp=sharing" TargetMode="External"/><Relationship Id="rId98" Type="http://schemas.openxmlformats.org/officeDocument/2006/relationships/hyperlink" Target="https://drive.google.com/file/d/0B-yoIBO7tf7FYkJiQmVTQXpCMnM/view?usp=sharing" TargetMode="External"/><Relationship Id="rId91" Type="http://schemas.openxmlformats.org/officeDocument/2006/relationships/hyperlink" Target="https://drive.google.com/file/d/0B-yoIBO7tf7FR3UtZUt1Skg5TUE/view?usp=sharing" TargetMode="External"/><Relationship Id="rId90" Type="http://schemas.openxmlformats.org/officeDocument/2006/relationships/hyperlink" Target="https://drive.google.com/file/d/0B-yoIBO7tf7FeDFKMUdsVjJmcUE/view?usp=sharing" TargetMode="External"/><Relationship Id="rId93" Type="http://schemas.openxmlformats.org/officeDocument/2006/relationships/hyperlink" Target="https://drive.google.com/file/d/0B-yoIBO7tf7FR3UtZUt1Skg5TUE/view?usp=sharing" TargetMode="External"/><Relationship Id="rId92" Type="http://schemas.openxmlformats.org/officeDocument/2006/relationships/hyperlink" Target="https://drive.google.com/file/d/0B-yoIBO7tf7FR3UtZUt1Skg5TUE/view?usp=sharing" TargetMode="External"/><Relationship Id="rId118" Type="http://schemas.openxmlformats.org/officeDocument/2006/relationships/hyperlink" Target="https://drive.google.com/file/d/0B-yoIBO7tf7FVF9ObE5EWlNnVWM/view?usp=sharing" TargetMode="External"/><Relationship Id="rId239" Type="http://schemas.openxmlformats.org/officeDocument/2006/relationships/hyperlink" Target="https://drive.google.com/open?id=0B5uKCExuj58mQ3RWeXZwSFhSTVk" TargetMode="External"/><Relationship Id="rId117" Type="http://schemas.openxmlformats.org/officeDocument/2006/relationships/hyperlink" Target="https://drive.google.com/open?id=0B9vYgR7NsKoYTF9TTzZMOHYyekk" TargetMode="External"/><Relationship Id="rId238" Type="http://schemas.openxmlformats.org/officeDocument/2006/relationships/hyperlink" Target="https://drive.google.com/open?id=0B5uKCExuj58mUnNlT2xKQTN1bWM" TargetMode="External"/><Relationship Id="rId116" Type="http://schemas.openxmlformats.org/officeDocument/2006/relationships/hyperlink" Target="https://drive.google.com/open?id=0B9vYgR7NsKoYTF9TTzZMOHYyekk" TargetMode="External"/><Relationship Id="rId237" Type="http://schemas.openxmlformats.org/officeDocument/2006/relationships/hyperlink" Target="https://drive.google.com/open?id=0B5uKCExuj58mUnNlT2xKQTN1bWM" TargetMode="External"/><Relationship Id="rId115" Type="http://schemas.openxmlformats.org/officeDocument/2006/relationships/hyperlink" Target="https://drive.google.com/open?id=0B9vYgR7NsKoYTF9TTzZMOHYyekk" TargetMode="External"/><Relationship Id="rId236" Type="http://schemas.openxmlformats.org/officeDocument/2006/relationships/hyperlink" Target="https://drive.google.com/open?id=0B5uKCExuj58mUnNlT2xKQTN1bWM" TargetMode="External"/><Relationship Id="rId119" Type="http://schemas.openxmlformats.org/officeDocument/2006/relationships/hyperlink" Target="https://drive.google.com/file/d/0BzjZoBQGkMymRng2WW9hN2lIdWM/view?usp=sharing" TargetMode="External"/><Relationship Id="rId110" Type="http://schemas.openxmlformats.org/officeDocument/2006/relationships/hyperlink" Target="https://drive.google.com/open?id=0B9vYgR7NsKoYTF9TTzZMOHYyekk" TargetMode="External"/><Relationship Id="rId231" Type="http://schemas.openxmlformats.org/officeDocument/2006/relationships/hyperlink" Target="https://drive.google.com/open?id=0B5uKCExuj58mbFVIeXBlYl9PeUk" TargetMode="External"/><Relationship Id="rId230" Type="http://schemas.openxmlformats.org/officeDocument/2006/relationships/hyperlink" Target="https://drive.google.com/open?id=0B5uKCExuj58mRmFPN21UUGRFSFk" TargetMode="External"/><Relationship Id="rId114" Type="http://schemas.openxmlformats.org/officeDocument/2006/relationships/hyperlink" Target="https://drive.google.com/open?id=0B9vYgR7NsKoYTF9TTzZMOHYyekk" TargetMode="External"/><Relationship Id="rId235" Type="http://schemas.openxmlformats.org/officeDocument/2006/relationships/hyperlink" Target="https://drive.google.com/open?id=0B5uKCExuj58mUnNlT2xKQTN1bWM" TargetMode="External"/><Relationship Id="rId113" Type="http://schemas.openxmlformats.org/officeDocument/2006/relationships/hyperlink" Target="https://drive.google.com/open?id=0B9vYgR7NsKoYTF9TTzZMOHYyekk" TargetMode="External"/><Relationship Id="rId234" Type="http://schemas.openxmlformats.org/officeDocument/2006/relationships/hyperlink" Target="https://drive.google.com/open?id=0B5uKCExuj58mbFVIeXBlYl9PeUk" TargetMode="External"/><Relationship Id="rId112" Type="http://schemas.openxmlformats.org/officeDocument/2006/relationships/hyperlink" Target="https://drive.google.com/open?id=0B9vYgR7NsKoYTF9TTzZMOHYyekk" TargetMode="External"/><Relationship Id="rId233" Type="http://schemas.openxmlformats.org/officeDocument/2006/relationships/hyperlink" Target="https://drive.google.com/open?id=0B5uKCExuj58mbFVIeXBlYl9PeUk" TargetMode="External"/><Relationship Id="rId111" Type="http://schemas.openxmlformats.org/officeDocument/2006/relationships/hyperlink" Target="https://drive.google.com/open?id=0B9vYgR7NsKoYTF9TTzZMOHYyekk" TargetMode="External"/><Relationship Id="rId232" Type="http://schemas.openxmlformats.org/officeDocument/2006/relationships/hyperlink" Target="https://drive.google.com/open?id=0B5uKCExuj58mbFVIeXBlYl9PeUk" TargetMode="External"/><Relationship Id="rId305" Type="http://schemas.openxmlformats.org/officeDocument/2006/relationships/hyperlink" Target="https://www.ncbi.nlm.nih.gov/pmc/articles/PMC2572425/" TargetMode="External"/><Relationship Id="rId304" Type="http://schemas.openxmlformats.org/officeDocument/2006/relationships/hyperlink" Target="https://www.ncbi.nlm.nih.gov/pmc/articles/PMC2572425/" TargetMode="External"/><Relationship Id="rId303" Type="http://schemas.openxmlformats.org/officeDocument/2006/relationships/hyperlink" Target="https://academic.oup.com/trstmh/article-abstract/103/10/1062/1927838/Artesunate-plus-sulfadoxine-pyrimethamine-versus?redirectedFrom=fulltext" TargetMode="External"/><Relationship Id="rId302" Type="http://schemas.openxmlformats.org/officeDocument/2006/relationships/hyperlink" Target="https://academic.oup.com/trstmh/article-abstract/103/10/1062/1927838/Artesunate-plus-sulfadoxine-pyrimethamine-versus?redirectedFrom=fulltext" TargetMode="External"/><Relationship Id="rId309" Type="http://schemas.openxmlformats.org/officeDocument/2006/relationships/drawing" Target="../drawings/drawing7.xml"/><Relationship Id="rId308" Type="http://schemas.openxmlformats.org/officeDocument/2006/relationships/hyperlink" Target="https://www.ncbi.nlm.nih.gov/pmc/articles/PMC4444284/" TargetMode="External"/><Relationship Id="rId307" Type="http://schemas.openxmlformats.org/officeDocument/2006/relationships/hyperlink" Target="https://www.ncbi.nlm.nih.gov/pmc/articles/PMC4444284/" TargetMode="External"/><Relationship Id="rId306" Type="http://schemas.openxmlformats.org/officeDocument/2006/relationships/hyperlink" Target="https://www.ncbi.nlm.nih.gov/pmc/articles/PMC2572425/" TargetMode="External"/><Relationship Id="rId301" Type="http://schemas.openxmlformats.org/officeDocument/2006/relationships/hyperlink" Target="https://drive.google.com/file/d/0B5DG5WdEiYGEbUx1d09KZ0pleWc/view?usp=sharing" TargetMode="External"/><Relationship Id="rId300" Type="http://schemas.openxmlformats.org/officeDocument/2006/relationships/hyperlink" Target="https://drive.google.com/file/d/0B5DG5WdEiYGEbUx1d09KZ0pleWc/view?usp=sharing" TargetMode="External"/><Relationship Id="rId206" Type="http://schemas.openxmlformats.org/officeDocument/2006/relationships/hyperlink" Target="https://drive.google.com/file/d/0B9vYgR7NsKoYTU5zX3BibmFRN2s/view?usp=sharing" TargetMode="External"/><Relationship Id="rId205" Type="http://schemas.openxmlformats.org/officeDocument/2006/relationships/hyperlink" Target="https://drive.google.com/file/d/0B9vYgR7NsKoYbWxPdDNWODdHMFk/view?usp=sharing" TargetMode="External"/><Relationship Id="rId204" Type="http://schemas.openxmlformats.org/officeDocument/2006/relationships/hyperlink" Target="https://drive.google.com/file/d/0B9vYgR7NsKoYMS1vY3J3eWhVamM/view?usp=sharing" TargetMode="External"/><Relationship Id="rId203" Type="http://schemas.openxmlformats.org/officeDocument/2006/relationships/hyperlink" Target="https://drive.google.com/file/d/0B9vYgR7NsKoYMS1vY3J3eWhVamM/view?usp=sharing" TargetMode="External"/><Relationship Id="rId209" Type="http://schemas.openxmlformats.org/officeDocument/2006/relationships/hyperlink" Target="https://drive.google.com/open?id=0B5uKCExuj58mMWJtODJBbFJWWjQ" TargetMode="External"/><Relationship Id="rId208" Type="http://schemas.openxmlformats.org/officeDocument/2006/relationships/hyperlink" Target="https://drive.google.com/open?id=0B5uKCExuj58mcjRhNmJwTDdjclE" TargetMode="External"/><Relationship Id="rId207" Type="http://schemas.openxmlformats.org/officeDocument/2006/relationships/hyperlink" Target="https://drive.google.com/open?id=0B5uKCExuj58mcjRhNmJwTDdjclE" TargetMode="External"/><Relationship Id="rId202" Type="http://schemas.openxmlformats.org/officeDocument/2006/relationships/hyperlink" Target="https://drive.google.com/a/binghamton.edu/file/d/0B-yoIBO7tf7Fem5IbmxER2pyRkE/view?usp=sharing" TargetMode="External"/><Relationship Id="rId201" Type="http://schemas.openxmlformats.org/officeDocument/2006/relationships/hyperlink" Target="https://drive.google.com/file/d/0B9vYgR7NsKoYUE5hWmFwS05Sa0U/view?usp=sharing" TargetMode="External"/><Relationship Id="rId200" Type="http://schemas.openxmlformats.org/officeDocument/2006/relationships/hyperlink" Target="https://drive.google.com/file/d/0B9vYgR7NsKoYUE5hWmFwS05Sa0U/view?usp=sharing" TargetMode="External"/></Relationships>
</file>

<file path=xl/worksheets/_rels/sheet8.xml.rels><?xml version="1.0" encoding="UTF-8" standalone="yes"?><Relationships xmlns="http://schemas.openxmlformats.org/package/2006/relationships"><Relationship Id="rId40" Type="http://schemas.openxmlformats.org/officeDocument/2006/relationships/hyperlink" Target="https://drive.google.com/file/d/0B4sJPAkX0Jo3QUU4eElPS0t4UTQ/view?usp=sharing" TargetMode="External"/><Relationship Id="rId190" Type="http://schemas.openxmlformats.org/officeDocument/2006/relationships/hyperlink" Target="https://drive.google.com/file/d/0B0qKRmtVkPtWcjBJcDFwck9wMDg/view?usp=sharing" TargetMode="External"/><Relationship Id="rId42" Type="http://schemas.openxmlformats.org/officeDocument/2006/relationships/hyperlink" Target="https://drive.google.com/file/d/0B95WhYooraDeSHh2b2VXSlUxdzQ/view?usp=sharing" TargetMode="External"/><Relationship Id="rId41" Type="http://schemas.openxmlformats.org/officeDocument/2006/relationships/hyperlink" Target="https://drive.google.com/file/d/0B0-pry4DSOm3a3JIN0U1X0tOOTg/view?usp=sharing" TargetMode="External"/><Relationship Id="rId44" Type="http://schemas.openxmlformats.org/officeDocument/2006/relationships/hyperlink" Target="https://drive.google.com/file/d/0B4sJPAkX0Jo3QUU4eElPS0t4UTQ/view?usp=sharing" TargetMode="External"/><Relationship Id="rId194" Type="http://schemas.openxmlformats.org/officeDocument/2006/relationships/hyperlink" Target="https://drive.google.com/file/d/0B0qKRmtVkPtWQnp0NEcxbWdfQ3c/view?usp=sharing" TargetMode="External"/><Relationship Id="rId43" Type="http://schemas.openxmlformats.org/officeDocument/2006/relationships/hyperlink" Target="https://drive.google.com/file/d/0B95WhYooraDeSHh2b2VXSlUxdzQ/view?usp=sharing" TargetMode="External"/><Relationship Id="rId193" Type="http://schemas.openxmlformats.org/officeDocument/2006/relationships/hyperlink" Target="http://dx.doi.org/10.1080/00034983.1992.11812684" TargetMode="External"/><Relationship Id="rId46" Type="http://schemas.openxmlformats.org/officeDocument/2006/relationships/hyperlink" Target="https://drive.google.com/file/d/0B0-pry4DSOm3bkFHbUF2SHFTME0/view?usp=sharing" TargetMode="External"/><Relationship Id="rId192" Type="http://schemas.openxmlformats.org/officeDocument/2006/relationships/hyperlink" Target="https://drive.google.com/file/d/0B0qKRmtVkPtWcjBJcDFwck9wMDg/view?usp=sharing" TargetMode="External"/><Relationship Id="rId45" Type="http://schemas.openxmlformats.org/officeDocument/2006/relationships/hyperlink" Target="https://drive.google.com/file/d/0B95WhYooraDeSHh2b2VXSlUxdzQ/view?usp=sharing" TargetMode="External"/><Relationship Id="rId191" Type="http://schemas.openxmlformats.org/officeDocument/2006/relationships/hyperlink" Target="https://drive.google.com/file/d/0B0qKRmtVkPtWcjBJcDFwck9wMDg/view?usp=sharing" TargetMode="External"/><Relationship Id="rId48" Type="http://schemas.openxmlformats.org/officeDocument/2006/relationships/hyperlink" Target="https://drive.google.com/file/d/0B0-pry4DSOm3bkFHbUF2SHFTME0/view?usp=sharing" TargetMode="External"/><Relationship Id="rId187" Type="http://schemas.openxmlformats.org/officeDocument/2006/relationships/hyperlink" Target="http://dx.doi.org/10.1016/S0035-9203(97)90079-1" TargetMode="External"/><Relationship Id="rId47" Type="http://schemas.openxmlformats.org/officeDocument/2006/relationships/hyperlink" Target="https://drive.google.com/file/d/0B0-pry4DSOm3bkFHbUF2SHFTME0/view?usp=sharing" TargetMode="External"/><Relationship Id="rId186" Type="http://schemas.openxmlformats.org/officeDocument/2006/relationships/hyperlink" Target="https://drive.google.com/file/d/0B0qKRmtVkPtWMFByMGl4dnRaSm8/view?usp=sharing" TargetMode="External"/><Relationship Id="rId185" Type="http://schemas.openxmlformats.org/officeDocument/2006/relationships/hyperlink" Target="http://dx.doi.org/10.1016/S0035-9203(97)90079-1" TargetMode="External"/><Relationship Id="rId49" Type="http://schemas.openxmlformats.org/officeDocument/2006/relationships/hyperlink" Target="https://drive.google.com/file/d/0B0-pry4DSOm3bkFHbUF2SHFTME0/view?usp=sharing" TargetMode="External"/><Relationship Id="rId184" Type="http://schemas.openxmlformats.org/officeDocument/2006/relationships/hyperlink" Target="https://drive.google.com/file/d/0B0qKRmtVkPtWMFByMGl4dnRaSm8/view?usp=sharing" TargetMode="External"/><Relationship Id="rId189" Type="http://schemas.openxmlformats.org/officeDocument/2006/relationships/hyperlink" Target="https://drive.google.com/file/d/0B0qKRmtVkPtWcjBJcDFwck9wMDg/view?usp=sharing" TargetMode="External"/><Relationship Id="rId188" Type="http://schemas.openxmlformats.org/officeDocument/2006/relationships/hyperlink" Target="https://drive.google.com/file/d/0B0qKRmtVkPtWMFByMGl4dnRaSm8/view?usp=sharing" TargetMode="External"/><Relationship Id="rId31" Type="http://schemas.openxmlformats.org/officeDocument/2006/relationships/hyperlink" Target="https://drive.google.com/file/d/0B4sJPAkX0Jo3dlM4dXp1UTRPT2c/view?usp=sharing" TargetMode="External"/><Relationship Id="rId30" Type="http://schemas.openxmlformats.org/officeDocument/2006/relationships/hyperlink" Target="https://drive.google.com/file/d/0B4sJPAkX0Jo3dlM4dXp1UTRPT2c/view?usp=sharing" TargetMode="External"/><Relationship Id="rId33" Type="http://schemas.openxmlformats.org/officeDocument/2006/relationships/hyperlink" Target="https://drive.google.com/file/d/0B95WhYooraDebWRkSzRrdlV1cFk/view?usp=sharing" TargetMode="External"/><Relationship Id="rId183" Type="http://schemas.openxmlformats.org/officeDocument/2006/relationships/hyperlink" Target="http://dx.doi.org/10.1016/S0035-9203(97)90079-1" TargetMode="External"/><Relationship Id="rId32" Type="http://schemas.openxmlformats.org/officeDocument/2006/relationships/hyperlink" Target="https://drive.google.com/file/d/0B95WhYooraDebWRkSzRrdlV1cFk/view?usp=sharing" TargetMode="External"/><Relationship Id="rId182" Type="http://schemas.openxmlformats.org/officeDocument/2006/relationships/hyperlink" Target="https://drive.google.com/file/d/0B0qKRmtVkPtWMFByMGl4dnRaSm8/view?usp=sharing" TargetMode="External"/><Relationship Id="rId35" Type="http://schemas.openxmlformats.org/officeDocument/2006/relationships/hyperlink" Target="https://drive.google.com/file/d/0B95WhYooraDebWRkSzRrdlV1cFk/view?usp=sharing" TargetMode="External"/><Relationship Id="rId181" Type="http://schemas.openxmlformats.org/officeDocument/2006/relationships/hyperlink" Target="http://dx.doi.org/10.1016/S0035-9203(97)90079-1" TargetMode="External"/><Relationship Id="rId34" Type="http://schemas.openxmlformats.org/officeDocument/2006/relationships/hyperlink" Target="https://drive.google.com/file/d/0B95WhYooraDebWRkSzRrdlV1cFk/view?usp=sharing" TargetMode="External"/><Relationship Id="rId180" Type="http://schemas.openxmlformats.org/officeDocument/2006/relationships/hyperlink" Target="https://drive.google.com/file/d/0B0qKRmtVkPtWMFByMGl4dnRaSm8/view?usp=sharing" TargetMode="External"/><Relationship Id="rId37" Type="http://schemas.openxmlformats.org/officeDocument/2006/relationships/hyperlink" Target="https://drive.google.com/file/d/0B4sJPAkX0Jo3dGtKOUJRbFZCcHM/view?usp=sharing" TargetMode="External"/><Relationship Id="rId176" Type="http://schemas.openxmlformats.org/officeDocument/2006/relationships/hyperlink" Target="https://drive.google.com/file/d/0B0qKRmtVkPtWMFByMGl4dnRaSm8/view?usp=sharing" TargetMode="External"/><Relationship Id="rId297" Type="http://schemas.openxmlformats.org/officeDocument/2006/relationships/hyperlink" Target="https://drive.google.com/file/d/0B9vYgR7NsKoYcHNnaUpUZDM3Uzg/view?usp=sharing" TargetMode="External"/><Relationship Id="rId36" Type="http://schemas.openxmlformats.org/officeDocument/2006/relationships/hyperlink" Target="https://drive.google.com/file/d/0B4sJPAkX0Jo3dGtKOUJRbFZCcHM/view?usp=sharing" TargetMode="External"/><Relationship Id="rId175" Type="http://schemas.openxmlformats.org/officeDocument/2006/relationships/hyperlink" Target="http://dx.doi.org/10.1016/S0035-9203(97)90079-1" TargetMode="External"/><Relationship Id="rId296" Type="http://schemas.openxmlformats.org/officeDocument/2006/relationships/hyperlink" Target="https://drive.google.com/file/d/0B95WhYooraDecERrQVNGd1BNOVk/view?usp=sharing" TargetMode="External"/><Relationship Id="rId39" Type="http://schemas.openxmlformats.org/officeDocument/2006/relationships/hyperlink" Target="https://drive.google.com/file/d/0B4sJPAkX0Jo3dGtKOUJRbFZCcHM/view?usp=sharing" TargetMode="External"/><Relationship Id="rId174" Type="http://schemas.openxmlformats.org/officeDocument/2006/relationships/hyperlink" Target="https://drive.google.com/file/d/0B0qKRmtVkPtWMFByMGl4dnRaSm8/view?usp=sharing" TargetMode="External"/><Relationship Id="rId295" Type="http://schemas.openxmlformats.org/officeDocument/2006/relationships/hyperlink" Target="https://drive.google.com/open?id=0B6i9R3fSJzbMMUptNjdPSVdwTTQ" TargetMode="External"/><Relationship Id="rId38" Type="http://schemas.openxmlformats.org/officeDocument/2006/relationships/hyperlink" Target="https://drive.google.com/file/d/0B4sJPAkX0Jo3dGtKOUJRbFZCcHM/view?usp=sharing" TargetMode="External"/><Relationship Id="rId173" Type="http://schemas.openxmlformats.org/officeDocument/2006/relationships/hyperlink" Target="http://dx.doi.org/10.1016/S0035-9203(97)90079-1" TargetMode="External"/><Relationship Id="rId294" Type="http://schemas.openxmlformats.org/officeDocument/2006/relationships/hyperlink" Target="https://drive.google.com/file/d/0By3QPyQz621GRDRGVG5yOVBsUlk/view?usp=sharing" TargetMode="External"/><Relationship Id="rId179" Type="http://schemas.openxmlformats.org/officeDocument/2006/relationships/hyperlink" Target="http://dx.doi.org/10.1016/S0035-9203(97)90079-1" TargetMode="External"/><Relationship Id="rId178" Type="http://schemas.openxmlformats.org/officeDocument/2006/relationships/hyperlink" Target="https://drive.google.com/file/d/0B0qKRmtVkPtWMFByMGl4dnRaSm8/view?usp=sharing" TargetMode="External"/><Relationship Id="rId299" Type="http://schemas.openxmlformats.org/officeDocument/2006/relationships/hyperlink" Target="https://drive.google.com/file/d/0B9vYgR7NsKoYNURQU3lKMFBSU1U/view?usp=sharing" TargetMode="External"/><Relationship Id="rId177" Type="http://schemas.openxmlformats.org/officeDocument/2006/relationships/hyperlink" Target="http://dx.doi.org/10.1016/S0035-9203(97)90079-1" TargetMode="External"/><Relationship Id="rId298" Type="http://schemas.openxmlformats.org/officeDocument/2006/relationships/hyperlink" Target="https://drive.google.com/file/d/0B9vYgR7NsKoYcHNnaUpUZDM3Uzg/view?usp=sharing" TargetMode="External"/><Relationship Id="rId20" Type="http://schemas.openxmlformats.org/officeDocument/2006/relationships/hyperlink" Target="https://drive.google.com/file/d/0B-yoIBO7tf7FSVlvZ0k4TURHV00/view?usp=sharing" TargetMode="External"/><Relationship Id="rId22" Type="http://schemas.openxmlformats.org/officeDocument/2006/relationships/hyperlink" Target="https://drive.google.com/file/d/0B9vYgR7NsKoYWjZFLWoycW5OX0U/view?usp=sharing" TargetMode="External"/><Relationship Id="rId21" Type="http://schemas.openxmlformats.org/officeDocument/2006/relationships/hyperlink" Target="https://drive.google.com/file/d/0B9vYgR7NsKoYWjZFLWoycW5OX0U/view?usp=sharing" TargetMode="External"/><Relationship Id="rId24" Type="http://schemas.openxmlformats.org/officeDocument/2006/relationships/hyperlink" Target="https://drive.google.com/file/d/0B0-pry4DSOm3SHNZVTZKQVY3SGs/view?usp=sharing" TargetMode="External"/><Relationship Id="rId23" Type="http://schemas.openxmlformats.org/officeDocument/2006/relationships/hyperlink" Target="https://drive.google.com/file/d/0B9vYgR7NsKoYWjZFLWoycW5OX0U/view?usp=sharing" TargetMode="External"/><Relationship Id="rId26" Type="http://schemas.openxmlformats.org/officeDocument/2006/relationships/hyperlink" Target="https://drive.google.com/file/d/0B0-pry4DSOm3SHNZVTZKQVY3SGs/view?usp=sharing" TargetMode="External"/><Relationship Id="rId25" Type="http://schemas.openxmlformats.org/officeDocument/2006/relationships/hyperlink" Target="https://drive.google.com/file/d/0B0-pry4DSOm3SHNZVTZKQVY3SGs/view?usp=sharing" TargetMode="External"/><Relationship Id="rId28" Type="http://schemas.openxmlformats.org/officeDocument/2006/relationships/hyperlink" Target="https://drive.google.com/file/d/0B0-pry4DSOm3SHNZVTZKQVY3SGs/view?usp=sharing" TargetMode="External"/><Relationship Id="rId27" Type="http://schemas.openxmlformats.org/officeDocument/2006/relationships/hyperlink" Target="https://drive.google.com/file/d/0B0-pry4DSOm3SHNZVTZKQVY3SGs/view?usp=sharing" TargetMode="External"/><Relationship Id="rId29" Type="http://schemas.openxmlformats.org/officeDocument/2006/relationships/hyperlink" Target="https://drive.google.com/file/d/0B0-pry4DSOm3SHNZVTZKQVY3SGs/view?usp=sharing" TargetMode="External"/><Relationship Id="rId11" Type="http://schemas.openxmlformats.org/officeDocument/2006/relationships/hyperlink" Target="https://drive.google.com/file/d/0B0-pry4DSOm3cXdWQjZPRGRpb1k/view?usp=sharing" TargetMode="External"/><Relationship Id="rId10" Type="http://schemas.openxmlformats.org/officeDocument/2006/relationships/hyperlink" Target="https://drive.google.com/file/d/0B0-pry4DSOm3cjF3NmdiQjFWNkE/view?usp=sharing" TargetMode="External"/><Relationship Id="rId13" Type="http://schemas.openxmlformats.org/officeDocument/2006/relationships/hyperlink" Target="https://drive.google.com/file/d/0B0-pry4DSOm3cXdWQjZPRGRpb1k/view?usp=sharing" TargetMode="External"/><Relationship Id="rId12" Type="http://schemas.openxmlformats.org/officeDocument/2006/relationships/hyperlink" Target="https://drive.google.com/file/d/0B0-pry4DSOm3cXdWQjZPRGRpb1k/view?usp=sharing" TargetMode="External"/><Relationship Id="rId15" Type="http://schemas.openxmlformats.org/officeDocument/2006/relationships/hyperlink" Target="https://drive.google.com/file/d/0B4sJPAkX0Jo3WE9Mdjc0THBVNkU/view?usp=sharing" TargetMode="External"/><Relationship Id="rId198" Type="http://schemas.openxmlformats.org/officeDocument/2006/relationships/hyperlink" Target="https://drive.google.com/file/d/0B0qKRmtVkPtWQnp0NEcxbWdfQ3c/view?usp=sharing" TargetMode="External"/><Relationship Id="rId14" Type="http://schemas.openxmlformats.org/officeDocument/2006/relationships/hyperlink" Target="https://drive.google.com/file/d/0B4sJPAkX0Jo3WE9Mdjc0THBVNkU/view?usp=sharing" TargetMode="External"/><Relationship Id="rId197" Type="http://schemas.openxmlformats.org/officeDocument/2006/relationships/hyperlink" Target="http://dx.doi.org/10.1080/00034983.1992.11812686" TargetMode="External"/><Relationship Id="rId17" Type="http://schemas.openxmlformats.org/officeDocument/2006/relationships/hyperlink" Target="https://drive.google.com/file/d/0B4sJPAkX0Jo3WE9Mdjc0THBVNkU/view?usp=sharing" TargetMode="External"/><Relationship Id="rId196" Type="http://schemas.openxmlformats.org/officeDocument/2006/relationships/hyperlink" Target="https://drive.google.com/file/d/0B0qKRmtVkPtWQnp0NEcxbWdfQ3c/view?usp=sharing" TargetMode="External"/><Relationship Id="rId16" Type="http://schemas.openxmlformats.org/officeDocument/2006/relationships/hyperlink" Target="https://drive.google.com/file/d/0B4sJPAkX0Jo3WE9Mdjc0THBVNkU/view?usp=sharing" TargetMode="External"/><Relationship Id="rId195" Type="http://schemas.openxmlformats.org/officeDocument/2006/relationships/hyperlink" Target="http://dx.doi.org/10.1080/00034983.1992.11812685" TargetMode="External"/><Relationship Id="rId19" Type="http://schemas.openxmlformats.org/officeDocument/2006/relationships/hyperlink" Target="https://drive.google.com/file/d/0B0-pry4DSOm3dFhweEtUZEdpTlE/view?usp=sharing" TargetMode="External"/><Relationship Id="rId18" Type="http://schemas.openxmlformats.org/officeDocument/2006/relationships/hyperlink" Target="https://drive.google.com/file/d/0B0-pry4DSOm3dFhweEtUZEdpTlE/view?usp=sharing" TargetMode="External"/><Relationship Id="rId199" Type="http://schemas.openxmlformats.org/officeDocument/2006/relationships/hyperlink" Target="http://dx.doi.org/10.1080/00034983.1992.11812687" TargetMode="External"/><Relationship Id="rId84" Type="http://schemas.openxmlformats.org/officeDocument/2006/relationships/hyperlink" Target="https://drive.google.com/file/d/0B0-pry4DSOm3Y1BuZ0FSakRSQ1E/view?usp=sharing" TargetMode="External"/><Relationship Id="rId83" Type="http://schemas.openxmlformats.org/officeDocument/2006/relationships/hyperlink" Target="https://drive.google.com/file/d/0B9vYgR7NsKoYck1HOGdmSmgtdTg/view?usp=sharing" TargetMode="External"/><Relationship Id="rId86" Type="http://schemas.openxmlformats.org/officeDocument/2006/relationships/hyperlink" Target="https://drive.google.com/file/d/0B0-pry4DSOm3Y1BuZ0FSakRSQ1E/view?usp=sharing" TargetMode="External"/><Relationship Id="rId85" Type="http://schemas.openxmlformats.org/officeDocument/2006/relationships/hyperlink" Target="https://drive.google.com/file/d/0B0-pry4DSOm3Y1BuZ0FSakRSQ1E/view?usp=sharing" TargetMode="External"/><Relationship Id="rId88" Type="http://schemas.openxmlformats.org/officeDocument/2006/relationships/hyperlink" Target="https://drive.google.com/file/d/0B0-pry4DSOm3aTVCaFYzXzNfQWc/view?usp=sharing" TargetMode="External"/><Relationship Id="rId150" Type="http://schemas.openxmlformats.org/officeDocument/2006/relationships/hyperlink" Target="http://dx.doi.org/10.1016/0035-9203(94)90241-2" TargetMode="External"/><Relationship Id="rId271" Type="http://schemas.openxmlformats.org/officeDocument/2006/relationships/hyperlink" Target="https://drive.google.com/file/d/0B4sJPAkX0Jo3TjN2T05rQVJMMDA/view?usp=sharing" TargetMode="External"/><Relationship Id="rId87" Type="http://schemas.openxmlformats.org/officeDocument/2006/relationships/hyperlink" Target="https://drive.google.com/file/d/0B0-pry4DSOm3eXhwdEpWLUlBRk0/view?usp=sharing" TargetMode="External"/><Relationship Id="rId270" Type="http://schemas.openxmlformats.org/officeDocument/2006/relationships/hyperlink" Target="https://drive.google.com/file/d/0B4sJPAkX0Jo3TjN2T05rQVJMMDA/view?usp=sharing" TargetMode="External"/><Relationship Id="rId89" Type="http://schemas.openxmlformats.org/officeDocument/2006/relationships/hyperlink" Target="https://drive.google.com/file/d/0B0-pry4DSOm3aTVCaFYzXzNfQWc/view?usp=sharing" TargetMode="External"/><Relationship Id="rId80" Type="http://schemas.openxmlformats.org/officeDocument/2006/relationships/hyperlink" Target="https://drive.google.com/file/d/0B4sJPAkX0Jo3ODU3Wk1YOW9nMnc/view?usp=sharing" TargetMode="External"/><Relationship Id="rId82" Type="http://schemas.openxmlformats.org/officeDocument/2006/relationships/hyperlink" Target="https://drive.google.com/file/d/0B9vYgR7NsKoYck1HOGdmSmgtdTg/view?usp=sharing" TargetMode="External"/><Relationship Id="rId81" Type="http://schemas.openxmlformats.org/officeDocument/2006/relationships/hyperlink" Target="https://drive.google.com/file/d/0B-yoIBO7tf7FLXNjbjVaa0NyeVU/view?usp=sharing" TargetMode="External"/><Relationship Id="rId1" Type="http://schemas.openxmlformats.org/officeDocument/2006/relationships/hyperlink" Target="https://drive.google.com/file/d/0B9vYgR7NsKoYV3BYeWVzTDZvcGc/view?usp=sharing" TargetMode="External"/><Relationship Id="rId2" Type="http://schemas.openxmlformats.org/officeDocument/2006/relationships/hyperlink" Target="https://drive.google.com/file/d/0B9vYgR7NsKoYV3BYeWVzTDZvcGc/view?usp=sharing" TargetMode="External"/><Relationship Id="rId3" Type="http://schemas.openxmlformats.org/officeDocument/2006/relationships/hyperlink" Target="https://drive.google.com/file/d/0B9vYgR7NsKoYV3BYeWVzTDZvcGc/view?usp=sharing" TargetMode="External"/><Relationship Id="rId149" Type="http://schemas.openxmlformats.org/officeDocument/2006/relationships/hyperlink" Target="https://drive.google.com/file/d/0B0qKRmtVkPtWRV9FbnMyUXdCdEk/view?usp=sharing" TargetMode="External"/><Relationship Id="rId4" Type="http://schemas.openxmlformats.org/officeDocument/2006/relationships/hyperlink" Target="https://drive.google.com/file/d/0B9vYgR7NsKoYV3BYeWVzTDZvcGc/view?usp=sharing" TargetMode="External"/><Relationship Id="rId148" Type="http://schemas.openxmlformats.org/officeDocument/2006/relationships/hyperlink" Target="http://dx.doi.org/10.1016/0035-9203(94)90241-1" TargetMode="External"/><Relationship Id="rId269" Type="http://schemas.openxmlformats.org/officeDocument/2006/relationships/hyperlink" Target="https://drive.google.com/file/d/0B9vYgR7NsKoYTW8xYnlPcHhiRzQ/view?usp=sharing" TargetMode="External"/><Relationship Id="rId9" Type="http://schemas.openxmlformats.org/officeDocument/2006/relationships/hyperlink" Target="https://drive.google.com/file/d/0B0-pry4DSOm3cjF3NmdiQjFWNkE/view?usp=sharing" TargetMode="External"/><Relationship Id="rId143" Type="http://schemas.openxmlformats.org/officeDocument/2006/relationships/hyperlink" Target="https://drive.google.com/file/d/0B0qKRmtVkPtWMmszREhFbkloWm8/view?usp=sharing" TargetMode="External"/><Relationship Id="rId264" Type="http://schemas.openxmlformats.org/officeDocument/2006/relationships/hyperlink" Target="https://drive.google.com/file/d/0B9vYgR7NsKoYajB1aHBEckV5anM/view?usp=sharing" TargetMode="External"/><Relationship Id="rId142" Type="http://schemas.openxmlformats.org/officeDocument/2006/relationships/hyperlink" Target="https://drive.google.com/file/d/0B0qKRmtVkPtWMmszREhFbkloWm8/view?usp=sharing" TargetMode="External"/><Relationship Id="rId263" Type="http://schemas.openxmlformats.org/officeDocument/2006/relationships/hyperlink" Target="https://drive.google.com/file/d/0B0-pry4DSOm3U0gtTGdiVzdPa3M/view?usp=sharing" TargetMode="External"/><Relationship Id="rId141" Type="http://schemas.openxmlformats.org/officeDocument/2006/relationships/hyperlink" Target="https://drive.google.com/file/d/0B0qKRmtVkPtWMmszREhFbkloWm8/view?usp=sharing" TargetMode="External"/><Relationship Id="rId262" Type="http://schemas.openxmlformats.org/officeDocument/2006/relationships/hyperlink" Target="https://drive.google.com/file/d/0B0-pry4DSOm3U0gtTGdiVzdPa3M/view?usp=sharing" TargetMode="External"/><Relationship Id="rId140" Type="http://schemas.openxmlformats.org/officeDocument/2006/relationships/hyperlink" Target="https://drive.google.com/file/d/0B0qKRmtVkPtWMmszREhFbkloWm8/view?usp=sharing" TargetMode="External"/><Relationship Id="rId261" Type="http://schemas.openxmlformats.org/officeDocument/2006/relationships/hyperlink" Target="https://drive.google.com/file/d/0By3QPyQz621GUENjZXhDc29zODQ/view?usp=sharing" TargetMode="External"/><Relationship Id="rId5" Type="http://schemas.openxmlformats.org/officeDocument/2006/relationships/hyperlink" Target="https://drive.google.com/file/d/0B0-pry4DSOm3cjF3NmdiQjFWNkE/view?usp=sharing" TargetMode="External"/><Relationship Id="rId147" Type="http://schemas.openxmlformats.org/officeDocument/2006/relationships/hyperlink" Target="https://drive.google.com/file/d/0B0qKRmtVkPtWRV9FbnMyUXdCdEk/view?usp=sharing" TargetMode="External"/><Relationship Id="rId268" Type="http://schemas.openxmlformats.org/officeDocument/2006/relationships/hyperlink" Target="https://drive.google.com/file/d/0B9vYgR7NsKoYTW8xYnlPcHhiRzQ/view?usp=sharing" TargetMode="External"/><Relationship Id="rId6" Type="http://schemas.openxmlformats.org/officeDocument/2006/relationships/hyperlink" Target="https://drive.google.com/file/d/0B0-pry4DSOm3cjF3NmdiQjFWNkE/view?usp=sharing" TargetMode="External"/><Relationship Id="rId146" Type="http://schemas.openxmlformats.org/officeDocument/2006/relationships/hyperlink" Target="http://dx.doi.org/10.1016/0035-9203(94)90241-0" TargetMode="External"/><Relationship Id="rId267" Type="http://schemas.openxmlformats.org/officeDocument/2006/relationships/hyperlink" Target="https://drive.google.com/file/d/0B4sJPAkX0Jo3REg5aXNxcUlGb3c/view?usp=sharing" TargetMode="External"/><Relationship Id="rId7" Type="http://schemas.openxmlformats.org/officeDocument/2006/relationships/hyperlink" Target="https://drive.google.com/file/d/0B0-pry4DSOm3cjF3NmdiQjFWNkE/view?usp=sharing" TargetMode="External"/><Relationship Id="rId145" Type="http://schemas.openxmlformats.org/officeDocument/2006/relationships/hyperlink" Target="https://drive.google.com/file/d/0B0qKRmtVkPtWMmszREhFbkloWm8/view?usp=sharing" TargetMode="External"/><Relationship Id="rId266" Type="http://schemas.openxmlformats.org/officeDocument/2006/relationships/hyperlink" Target="https://drive.google.com/file/d/0B9vYgR7NsKoYajB1aHBEckV5anM/view?usp=sharing" TargetMode="External"/><Relationship Id="rId8" Type="http://schemas.openxmlformats.org/officeDocument/2006/relationships/hyperlink" Target="https://drive.google.com/file/d/0B0-pry4DSOm3cjF3NmdiQjFWNkE/view?usp=sharing" TargetMode="External"/><Relationship Id="rId144" Type="http://schemas.openxmlformats.org/officeDocument/2006/relationships/hyperlink" Target="https://drive.google.com/file/d/0B0qKRmtVkPtWMmszREhFbkloWm8/view?usp=sharing" TargetMode="External"/><Relationship Id="rId265" Type="http://schemas.openxmlformats.org/officeDocument/2006/relationships/hyperlink" Target="https://drive.google.com/file/d/0B9vYgR7NsKoYajB1aHBEckV5anM/view?usp=sharing" TargetMode="External"/><Relationship Id="rId73" Type="http://schemas.openxmlformats.org/officeDocument/2006/relationships/hyperlink" Target="https://drive.google.com/file/d/0B-yoIBO7tf7FN0xPa1Z6cmMtTTQ/view?usp=sharing" TargetMode="External"/><Relationship Id="rId72" Type="http://schemas.openxmlformats.org/officeDocument/2006/relationships/hyperlink" Target="https://drive.google.com/open?id=0B95WhYooraDeejhMN0paNXZneHc" TargetMode="External"/><Relationship Id="rId75" Type="http://schemas.openxmlformats.org/officeDocument/2006/relationships/hyperlink" Target="https://drive.google.com/file/d/0By3QPyQz621GU0V1Q3pwb09WZ28/view?usp=sharing" TargetMode="External"/><Relationship Id="rId74" Type="http://schemas.openxmlformats.org/officeDocument/2006/relationships/hyperlink" Target="https://drive.google.com/file/d/0B-yoIBO7tf7FN0xPa1Z6cmMtTTQ/view?usp=sharing" TargetMode="External"/><Relationship Id="rId77" Type="http://schemas.openxmlformats.org/officeDocument/2006/relationships/hyperlink" Target="https://drive.google.com/file/d/0By3QPyQz621GU0V1Q3pwb09WZ28/view?usp=sharing" TargetMode="External"/><Relationship Id="rId260" Type="http://schemas.openxmlformats.org/officeDocument/2006/relationships/hyperlink" Target="https://drive.google.com/file/d/0By3QPyQz621GUENjZXhDc29zODQ/view?usp=sharing" TargetMode="External"/><Relationship Id="rId76" Type="http://schemas.openxmlformats.org/officeDocument/2006/relationships/hyperlink" Target="https://drive.google.com/file/d/0By3QPyQz621GU0V1Q3pwb09WZ28/view?usp=sharing" TargetMode="External"/><Relationship Id="rId79" Type="http://schemas.openxmlformats.org/officeDocument/2006/relationships/hyperlink" Target="https://drive.google.com/file/d/0By3QPyQz621GU0V1Q3pwb09WZ28/view?usp=sharing" TargetMode="External"/><Relationship Id="rId78" Type="http://schemas.openxmlformats.org/officeDocument/2006/relationships/hyperlink" Target="https://drive.google.com/file/d/0By3QPyQz621GU0V1Q3pwb09WZ28/view?usp=sharing" TargetMode="External"/><Relationship Id="rId71" Type="http://schemas.openxmlformats.org/officeDocument/2006/relationships/hyperlink" Target="https://drive.google.com/open?id=0B95WhYooraDeejhMN0paNXZneHc" TargetMode="External"/><Relationship Id="rId70" Type="http://schemas.openxmlformats.org/officeDocument/2006/relationships/hyperlink" Target="https://drive.google.com/open?id=0B95WhYooraDeejhMN0paNXZneHc" TargetMode="External"/><Relationship Id="rId139" Type="http://schemas.openxmlformats.org/officeDocument/2006/relationships/hyperlink" Target="https://drive.google.com/file/d/0B0qKRmtVkPtWc1N6aTFya1hsTjA/view?usp=sharing" TargetMode="External"/><Relationship Id="rId138" Type="http://schemas.openxmlformats.org/officeDocument/2006/relationships/hyperlink" Target="https://drive.google.com/file/d/0B0qKRmtVkPtWc1N6aTFya1hsTjA/view?usp=sharing" TargetMode="External"/><Relationship Id="rId259" Type="http://schemas.openxmlformats.org/officeDocument/2006/relationships/hyperlink" Target="https://drive.google.com/file/d/0By3QPyQz621GUENjZXhDc29zODQ/view?usp=sharing" TargetMode="External"/><Relationship Id="rId137" Type="http://schemas.openxmlformats.org/officeDocument/2006/relationships/hyperlink" Target="https://drive.google.com/file/d/0B0qKRmtVkPtWc1N6aTFya1hsTjA/view?usp=sharing" TargetMode="External"/><Relationship Id="rId258" Type="http://schemas.openxmlformats.org/officeDocument/2006/relationships/hyperlink" Target="https://drive.google.com/file/d/0B0-pry4DSOm3QXJ6T0d2NDRsQnc/view?usp=sharing" TargetMode="External"/><Relationship Id="rId132" Type="http://schemas.openxmlformats.org/officeDocument/2006/relationships/hyperlink" Target="https://drive.google.com/file/d/0B9vYgR7NsKoYZVNmZmNDbjlTV3M/view?usp=sharing" TargetMode="External"/><Relationship Id="rId253" Type="http://schemas.openxmlformats.org/officeDocument/2006/relationships/hyperlink" Target="https://drive.google.com/file/d/0B0qKRmtVkPtWMFJtNUt3TWtuNXM/view?usp=sharing" TargetMode="External"/><Relationship Id="rId131" Type="http://schemas.openxmlformats.org/officeDocument/2006/relationships/hyperlink" Target="https://drive.google.com/file/d/0B9vYgR7NsKoYZVNmZmNDbjlTV3M/view?usp=sharing" TargetMode="External"/><Relationship Id="rId252" Type="http://schemas.openxmlformats.org/officeDocument/2006/relationships/hyperlink" Target="https://drive.google.com/file/d/0B0qKRmtVkPtWMFJtNUt3TWtuNXM/view?usp=sharing" TargetMode="External"/><Relationship Id="rId130" Type="http://schemas.openxmlformats.org/officeDocument/2006/relationships/hyperlink" Target="https://drive.google.com/file/d/0B0-pry4DSOm3SFE5OWVEQTJjMG8/view?usp=sharing" TargetMode="External"/><Relationship Id="rId251" Type="http://schemas.openxmlformats.org/officeDocument/2006/relationships/hyperlink" Target="https://drive.google.com/file/d/0B0qKRmtVkPtWMFJtNUt3TWtuNXM/view?usp=sharing" TargetMode="External"/><Relationship Id="rId250" Type="http://schemas.openxmlformats.org/officeDocument/2006/relationships/hyperlink" Target="https://drive.google.com/file/d/0B0qKRmtVkPtWMFJtNUt3TWtuNXM/view?usp=sharing" TargetMode="External"/><Relationship Id="rId136" Type="http://schemas.openxmlformats.org/officeDocument/2006/relationships/hyperlink" Target="https://drive.google.com/file/d/0B0qKRmtVkPtWc1N6aTFya1hsTjA/view?usp=sharing" TargetMode="External"/><Relationship Id="rId257" Type="http://schemas.openxmlformats.org/officeDocument/2006/relationships/hyperlink" Target="https://drive.google.com/file/d/0B0-pry4DSOm3QXJNVENiZGFzVkU/view?usp=sharing" TargetMode="External"/><Relationship Id="rId135" Type="http://schemas.openxmlformats.org/officeDocument/2006/relationships/hyperlink" Target="https://drive.google.com/file/d/0B-yoIBO7tf7FWU1LX1ZLbG9IcXM/view?usp=sharing" TargetMode="External"/><Relationship Id="rId256" Type="http://schemas.openxmlformats.org/officeDocument/2006/relationships/hyperlink" Target="https://drive.google.com/file/d/0By3QPyQz621GaTFGc0FPVUYtMWM/view?usp=sharing" TargetMode="External"/><Relationship Id="rId134" Type="http://schemas.openxmlformats.org/officeDocument/2006/relationships/hyperlink" Target="https://drive.google.com/file/d/0B-yoIBO7tf7FWU1LX1ZLbG9IcXM/view?usp=sharing" TargetMode="External"/><Relationship Id="rId255" Type="http://schemas.openxmlformats.org/officeDocument/2006/relationships/hyperlink" Target="https://drive.google.com/file/d/0By3QPyQz621GaTFGc0FPVUYtMWM/view?usp=sharing" TargetMode="External"/><Relationship Id="rId133" Type="http://schemas.openxmlformats.org/officeDocument/2006/relationships/hyperlink" Target="https://drive.google.com/open?id=0B6i9R3fSJzbMMUptNjdPSVdwTTQ" TargetMode="External"/><Relationship Id="rId254" Type="http://schemas.openxmlformats.org/officeDocument/2006/relationships/hyperlink" Target="https://drive.google.com/file/d/0By3QPyQz621GaTFGc0FPVUYtMWM/view?usp=sharing" TargetMode="External"/><Relationship Id="rId62" Type="http://schemas.openxmlformats.org/officeDocument/2006/relationships/hyperlink" Target="https://drive.google.com/file/d/0B9vYgR7NsKoYdWFaYzMweGxhSG8/view?usp=sharing" TargetMode="External"/><Relationship Id="rId61" Type="http://schemas.openxmlformats.org/officeDocument/2006/relationships/hyperlink" Target="https://drive.google.com/file/d/0B9vYgR7NsKoYdWFaYzMweGxhSG8/view?usp=sharing" TargetMode="External"/><Relationship Id="rId64" Type="http://schemas.openxmlformats.org/officeDocument/2006/relationships/hyperlink" Target="https://drive.google.com/file/d/0B4sJPAkX0Jo3R0hyRzBTTUVjMjQ/view?usp=sharing" TargetMode="External"/><Relationship Id="rId63" Type="http://schemas.openxmlformats.org/officeDocument/2006/relationships/hyperlink" Target="https://drive.google.com/file/d/0B4sJPAkX0Jo3R0hyRzBTTUVjMjQ/view?usp=sharing" TargetMode="External"/><Relationship Id="rId66" Type="http://schemas.openxmlformats.org/officeDocument/2006/relationships/hyperlink" Target="https://drive.google.com/file/d/0B4sJPAkX0Jo3R0hyRzBTTUVjMjQ/view?usp=sharing" TargetMode="External"/><Relationship Id="rId172" Type="http://schemas.openxmlformats.org/officeDocument/2006/relationships/hyperlink" Target="https://drive.google.com/file/d/0B0qKRmtVkPtWMWNoVVhuQmVLMEU/view?usp=sharing" TargetMode="External"/><Relationship Id="rId293" Type="http://schemas.openxmlformats.org/officeDocument/2006/relationships/hyperlink" Target="https://drive.google.com/file/d/0B4sJPAkX0Jo3YjBxRFVPa3puLUU/view?usp=sharing" TargetMode="External"/><Relationship Id="rId65" Type="http://schemas.openxmlformats.org/officeDocument/2006/relationships/hyperlink" Target="https://drive.google.com/file/d/0B4sJPAkX0Jo3R0hyRzBTTUVjMjQ/view?usp=sharing" TargetMode="External"/><Relationship Id="rId171" Type="http://schemas.openxmlformats.org/officeDocument/2006/relationships/hyperlink" Target="https://drive.google.com/file/d/0B0qKRmtVkPtWUExEUDEzbEFLaGs/view?usp=sharing" TargetMode="External"/><Relationship Id="rId292" Type="http://schemas.openxmlformats.org/officeDocument/2006/relationships/hyperlink" Target="https://drive.google.com/file/d/0B0-pry4DSOm3NjJ3bmxCZ0E5cVE/view?usp=sharing" TargetMode="External"/><Relationship Id="rId68" Type="http://schemas.openxmlformats.org/officeDocument/2006/relationships/hyperlink" Target="https://drive.google.com/file/d/0B4sJPAkX0Jo3R0hyRzBTTUVjMjQ/view?usp=sharing" TargetMode="External"/><Relationship Id="rId170" Type="http://schemas.openxmlformats.org/officeDocument/2006/relationships/hyperlink" Target="https://drive.google.com/file/d/0B0qKRmtVkPtWUExEUDEzbEFLaGs/view?usp=sharing" TargetMode="External"/><Relationship Id="rId291" Type="http://schemas.openxmlformats.org/officeDocument/2006/relationships/hyperlink" Target="https://drive.google.com/file/d/0B0-pry4DSOm3NjJ3bmxCZ0E5cVE/view?usp=sharing" TargetMode="External"/><Relationship Id="rId67" Type="http://schemas.openxmlformats.org/officeDocument/2006/relationships/hyperlink" Target="https://drive.google.com/file/d/0B4sJPAkX0Jo3R0hyRzBTTUVjMjQ/view?usp=sharing" TargetMode="External"/><Relationship Id="rId290" Type="http://schemas.openxmlformats.org/officeDocument/2006/relationships/hyperlink" Target="https://drive.google.com/file/d/0B0-pry4DSOm3NjJ3bmxCZ0E5cVE/view?usp=sharing" TargetMode="External"/><Relationship Id="rId60" Type="http://schemas.openxmlformats.org/officeDocument/2006/relationships/hyperlink" Target="https://drive.google.com/file/d/0B95WhYooraDeSHh2b2VXSlUxdzQ/view?usp=sharing" TargetMode="External"/><Relationship Id="rId165" Type="http://schemas.openxmlformats.org/officeDocument/2006/relationships/hyperlink" Target="https://drive.google.com/file/d/0B0qKRmtVkPtWRV9FbnMyUXdCdEk/view?usp=sharing" TargetMode="External"/><Relationship Id="rId286" Type="http://schemas.openxmlformats.org/officeDocument/2006/relationships/hyperlink" Target="https://drive.google.com/file/d/0B0-pry4DSOm3Sk5VNWxOdzJiQkk/view?usp=sharing" TargetMode="External"/><Relationship Id="rId69" Type="http://schemas.openxmlformats.org/officeDocument/2006/relationships/hyperlink" Target="https://drive.google.com/file/d/0B4sJPAkX0Jo3R0hyRzBTTUVjMjQ/view?usp=sharing" TargetMode="External"/><Relationship Id="rId164" Type="http://schemas.openxmlformats.org/officeDocument/2006/relationships/hyperlink" Target="http://dx.doi.org/10.1016/0035-9203(94)90241-9" TargetMode="External"/><Relationship Id="rId285" Type="http://schemas.openxmlformats.org/officeDocument/2006/relationships/hyperlink" Target="https://drive.google.com/file/d/0B0-pry4DSOm3Sk5VNWxOdzJiQkk/view?usp=sharing" TargetMode="External"/><Relationship Id="rId163" Type="http://schemas.openxmlformats.org/officeDocument/2006/relationships/hyperlink" Target="https://drive.google.com/file/d/0B0qKRmtVkPtWRV9FbnMyUXdCdEk/view?usp=sharing" TargetMode="External"/><Relationship Id="rId284" Type="http://schemas.openxmlformats.org/officeDocument/2006/relationships/hyperlink" Target="https://drive.google.com/file/d/0B0-pry4DSOm3Sk5VNWxOdzJiQkk/view?usp=sharing" TargetMode="External"/><Relationship Id="rId162" Type="http://schemas.openxmlformats.org/officeDocument/2006/relationships/hyperlink" Target="http://dx.doi.org/10.1016/0035-9203(94)90241-8" TargetMode="External"/><Relationship Id="rId283" Type="http://schemas.openxmlformats.org/officeDocument/2006/relationships/hyperlink" Target="https://drive.google.com/file/d/0B0-pry4DSOm3Sk5VNWxOdzJiQkk/view?usp=sharing" TargetMode="External"/><Relationship Id="rId169" Type="http://schemas.openxmlformats.org/officeDocument/2006/relationships/hyperlink" Target="https://drive.google.com/file/d/0B0qKRmtVkPtWUExEUDEzbEFLaGs/view?usp=sharing" TargetMode="External"/><Relationship Id="rId168" Type="http://schemas.openxmlformats.org/officeDocument/2006/relationships/hyperlink" Target="https://drive.google.com/file/d/0B0qKRmtVkPtWUExEUDEzbEFLaGs/view?usp=sharing" TargetMode="External"/><Relationship Id="rId289" Type="http://schemas.openxmlformats.org/officeDocument/2006/relationships/hyperlink" Target="https://drive.google.com/file/d/0B0-pry4DSOm3NjJ3bmxCZ0E5cVE/view?usp=sharing" TargetMode="External"/><Relationship Id="rId167" Type="http://schemas.openxmlformats.org/officeDocument/2006/relationships/hyperlink" Target="https://drive.google.com/file/d/0B0qKRmtVkPtWRV9FbnMyUXdCdEk/view?usp=sharing" TargetMode="External"/><Relationship Id="rId288" Type="http://schemas.openxmlformats.org/officeDocument/2006/relationships/hyperlink" Target="https://drive.google.com/file/d/0By3QPyQz621GX0FpYlRPREVhVjQ/view?usp=sharing" TargetMode="External"/><Relationship Id="rId166" Type="http://schemas.openxmlformats.org/officeDocument/2006/relationships/hyperlink" Target="http://dx.doi.org/10.1016/0035-9203(94)90241-10" TargetMode="External"/><Relationship Id="rId287" Type="http://schemas.openxmlformats.org/officeDocument/2006/relationships/hyperlink" Target="https://drive.google.com/file/d/0By3QPyQz621GX0FpYlRPREVhVjQ/view?usp=sharing" TargetMode="External"/><Relationship Id="rId51" Type="http://schemas.openxmlformats.org/officeDocument/2006/relationships/hyperlink" Target="https://drive.google.com/file/d/0B4sJPAkX0Jo3QWh4Nl9JSGRMVEk/view?usp=sharing" TargetMode="External"/><Relationship Id="rId50" Type="http://schemas.openxmlformats.org/officeDocument/2006/relationships/hyperlink" Target="https://drive.google.com/file/d/0B4sJPAkX0Jo3QWh4Nl9JSGRMVEk/view?usp=sharing" TargetMode="External"/><Relationship Id="rId53" Type="http://schemas.openxmlformats.org/officeDocument/2006/relationships/hyperlink" Target="https://drive.google.com/file/d/0B0-pry4DSOm3czVrYS0xRmJZakE/view?usp=sharing" TargetMode="External"/><Relationship Id="rId52" Type="http://schemas.openxmlformats.org/officeDocument/2006/relationships/hyperlink" Target="https://drive.google.com/file/d/0B0-pry4DSOm3czVrYS0xRmJZakE/view?usp=sharing" TargetMode="External"/><Relationship Id="rId55" Type="http://schemas.openxmlformats.org/officeDocument/2006/relationships/hyperlink" Target="https://drive.google.com/file/d/0B0-pry4DSOm3by04M2NKTm9sd1E/view?usp=sharing" TargetMode="External"/><Relationship Id="rId161" Type="http://schemas.openxmlformats.org/officeDocument/2006/relationships/hyperlink" Target="https://drive.google.com/file/d/0B0qKRmtVkPtWRV9FbnMyUXdCdEk/view?usp=sharing" TargetMode="External"/><Relationship Id="rId282" Type="http://schemas.openxmlformats.org/officeDocument/2006/relationships/hyperlink" Target="https://drive.google.com/file/d/0B0-pry4DSOm3UTFNenFnVzNicUE/view?usp=sharing" TargetMode="External"/><Relationship Id="rId54" Type="http://schemas.openxmlformats.org/officeDocument/2006/relationships/hyperlink" Target="https://drive.google.com/file/d/0B0-pry4DSOm3by04M2NKTm9sd1E/view?usp=sharing" TargetMode="External"/><Relationship Id="rId160" Type="http://schemas.openxmlformats.org/officeDocument/2006/relationships/hyperlink" Target="http://dx.doi.org/10.1016/0035-9203(94)90241-7" TargetMode="External"/><Relationship Id="rId281" Type="http://schemas.openxmlformats.org/officeDocument/2006/relationships/hyperlink" Target="https://drive.google.com/file/d/0B0-pry4DSOm3UTFNenFnVzNicUE/view?usp=sharing" TargetMode="External"/><Relationship Id="rId57" Type="http://schemas.openxmlformats.org/officeDocument/2006/relationships/hyperlink" Target="https://drive.google.com/file/d/0B0-pry4DSOm3by04M2NKTm9sd1E/view?usp=sharing" TargetMode="External"/><Relationship Id="rId280" Type="http://schemas.openxmlformats.org/officeDocument/2006/relationships/hyperlink" Target="https://drive.google.com/file/d/0B4sJPAkX0Jo3cE94NDZ5VWZyNlE/view?usp=sharing" TargetMode="External"/><Relationship Id="rId56" Type="http://schemas.openxmlformats.org/officeDocument/2006/relationships/hyperlink" Target="https://drive.google.com/file/d/0B0-pry4DSOm3by04M2NKTm9sd1E/view?usp=sharing" TargetMode="External"/><Relationship Id="rId159" Type="http://schemas.openxmlformats.org/officeDocument/2006/relationships/hyperlink" Target="https://drive.google.com/file/d/0B0qKRmtVkPtWRV9FbnMyUXdCdEk/view?usp=sharing" TargetMode="External"/><Relationship Id="rId59" Type="http://schemas.openxmlformats.org/officeDocument/2006/relationships/hyperlink" Target="https://drive.google.com/file/d/0B-yoIBO7tf7FLXNjbjVaa0NyeVU/view?usp=sharing" TargetMode="External"/><Relationship Id="rId154" Type="http://schemas.openxmlformats.org/officeDocument/2006/relationships/hyperlink" Target="http://dx.doi.org/10.1016/0035-9203(94)90241-4" TargetMode="External"/><Relationship Id="rId275" Type="http://schemas.openxmlformats.org/officeDocument/2006/relationships/hyperlink" Target="https://drive.google.com/file/d/0B4sJPAkX0Jo3WjNnLTB0NURNaWc/view?usp=sharing" TargetMode="External"/><Relationship Id="rId58" Type="http://schemas.openxmlformats.org/officeDocument/2006/relationships/hyperlink" Target="https://drive.google.com/file/d/0B-yoIBO7tf7FLXNjbjVaa0NyeVU/view?usp=sharing" TargetMode="External"/><Relationship Id="rId153" Type="http://schemas.openxmlformats.org/officeDocument/2006/relationships/hyperlink" Target="https://drive.google.com/file/d/0B0qKRmtVkPtWRV9FbnMyUXdCdEk/view?usp=sharing" TargetMode="External"/><Relationship Id="rId274" Type="http://schemas.openxmlformats.org/officeDocument/2006/relationships/hyperlink" Target="https://drive.google.com/file/d/0B4sJPAkX0Jo3WjNnLTB0NURNaWc/view?usp=sharing" TargetMode="External"/><Relationship Id="rId152" Type="http://schemas.openxmlformats.org/officeDocument/2006/relationships/hyperlink" Target="http://dx.doi.org/10.1016/0035-9203(94)90241-3" TargetMode="External"/><Relationship Id="rId273" Type="http://schemas.openxmlformats.org/officeDocument/2006/relationships/hyperlink" Target="https://drive.google.com/file/d/0B4sJPAkX0Jo3RnZYWUFvTzBoeTg/view?usp=sharing" TargetMode="External"/><Relationship Id="rId151" Type="http://schemas.openxmlformats.org/officeDocument/2006/relationships/hyperlink" Target="https://drive.google.com/file/d/0B0qKRmtVkPtWRV9FbnMyUXdCdEk/view?usp=sharing" TargetMode="External"/><Relationship Id="rId272" Type="http://schemas.openxmlformats.org/officeDocument/2006/relationships/hyperlink" Target="https://drive.google.com/file/d/0B4sJPAkX0Jo3QzBkNWgzS2Ywems/view?usp=sharing" TargetMode="External"/><Relationship Id="rId158" Type="http://schemas.openxmlformats.org/officeDocument/2006/relationships/hyperlink" Target="http://dx.doi.org/10.1016/0035-9203(94)90241-6" TargetMode="External"/><Relationship Id="rId279" Type="http://schemas.openxmlformats.org/officeDocument/2006/relationships/hyperlink" Target="https://drive.google.com/file/d/0B4sJPAkX0Jo3cE94NDZ5VWZyNlE/view?usp=sharing" TargetMode="External"/><Relationship Id="rId157" Type="http://schemas.openxmlformats.org/officeDocument/2006/relationships/hyperlink" Target="https://drive.google.com/file/d/0B0qKRmtVkPtWRV9FbnMyUXdCdEk/view?usp=sharing" TargetMode="External"/><Relationship Id="rId278" Type="http://schemas.openxmlformats.org/officeDocument/2006/relationships/hyperlink" Target="https://drive.google.com/file/d/0B4sJPAkX0Jo3cE94NDZ5VWZyNlE/view?usp=sharing" TargetMode="External"/><Relationship Id="rId156" Type="http://schemas.openxmlformats.org/officeDocument/2006/relationships/hyperlink" Target="http://dx.doi.org/10.1016/0035-9203(94)90241-5" TargetMode="External"/><Relationship Id="rId277" Type="http://schemas.openxmlformats.org/officeDocument/2006/relationships/hyperlink" Target="https://drive.google.com/file/d/0B4sJPAkX0Jo3ZjFUd2VWQTgwUjA/view?usp=sharing" TargetMode="External"/><Relationship Id="rId155" Type="http://schemas.openxmlformats.org/officeDocument/2006/relationships/hyperlink" Target="https://drive.google.com/file/d/0B0qKRmtVkPtWRV9FbnMyUXdCdEk/view?usp=sharing" TargetMode="External"/><Relationship Id="rId276" Type="http://schemas.openxmlformats.org/officeDocument/2006/relationships/hyperlink" Target="https://drive.google.com/file/d/0B4sJPAkX0Jo3ZjFUd2VWQTgwUjA/view?usp=sharing" TargetMode="External"/><Relationship Id="rId107" Type="http://schemas.openxmlformats.org/officeDocument/2006/relationships/hyperlink" Target="https://drive.google.com/file/d/0B0-pry4DSOm3dVozeDVHZU92N2M/view?usp=sharing" TargetMode="External"/><Relationship Id="rId228" Type="http://schemas.openxmlformats.org/officeDocument/2006/relationships/hyperlink" Target="https://drive.google.com/file/d/0B0qKRmtVkPtWYzdXTi1SY0EtZHM/view?usp=sharing" TargetMode="External"/><Relationship Id="rId106" Type="http://schemas.openxmlformats.org/officeDocument/2006/relationships/hyperlink" Target="https://drive.google.com/file/d/0B0-pry4DSOm3dVozeDVHZU92N2M/view?usp=sharing" TargetMode="External"/><Relationship Id="rId227" Type="http://schemas.openxmlformats.org/officeDocument/2006/relationships/hyperlink" Target="http://dx.doi.org/10.1016/0035-9203(91)90375-16" TargetMode="External"/><Relationship Id="rId105" Type="http://schemas.openxmlformats.org/officeDocument/2006/relationships/hyperlink" Target="https://drive.google.com/file/d/0B9vYgR7NsKoYUC1NeHdLZlh6Y2s/view?usp=sharing" TargetMode="External"/><Relationship Id="rId226" Type="http://schemas.openxmlformats.org/officeDocument/2006/relationships/hyperlink" Target="https://drive.google.com/file/d/0B0qKRmtVkPtWYzdXTi1SY0EtZHM/view?usp=sharing" TargetMode="External"/><Relationship Id="rId104" Type="http://schemas.openxmlformats.org/officeDocument/2006/relationships/hyperlink" Target="https://drive.google.com/file/d/0B9vYgR7NsKoYVzA4c3BDaTlkT3M/view?usp=sharing" TargetMode="External"/><Relationship Id="rId225" Type="http://schemas.openxmlformats.org/officeDocument/2006/relationships/hyperlink" Target="http://dx.doi.org/10.1016/0035-9203(91)90375-15" TargetMode="External"/><Relationship Id="rId109" Type="http://schemas.openxmlformats.org/officeDocument/2006/relationships/hyperlink" Target="https://drive.google.com/file/d/0B9vYgR7NsKoYNFR2bkRZUDFQSUk/view?usp=sharing" TargetMode="External"/><Relationship Id="rId108" Type="http://schemas.openxmlformats.org/officeDocument/2006/relationships/hyperlink" Target="https://drive.google.com/file/d/0B0-pry4DSOm3dVozeDVHZU92N2M/view?usp=sharing" TargetMode="External"/><Relationship Id="rId229" Type="http://schemas.openxmlformats.org/officeDocument/2006/relationships/hyperlink" Target="http://dx.doi.org/10.1016/0035-9203(91)90375-17" TargetMode="External"/><Relationship Id="rId220" Type="http://schemas.openxmlformats.org/officeDocument/2006/relationships/hyperlink" Target="https://drive.google.com/file/d/0B0qKRmtVkPtWYzdXTi1SY0EtZHM/view?usp=sharing" TargetMode="External"/><Relationship Id="rId103" Type="http://schemas.openxmlformats.org/officeDocument/2006/relationships/hyperlink" Target="https://drive.google.com/file/d/0B9vYgR7NsKoYUC1NeHdLZlh6Y2s/view?usp=sharing" TargetMode="External"/><Relationship Id="rId224" Type="http://schemas.openxmlformats.org/officeDocument/2006/relationships/hyperlink" Target="https://drive.google.com/file/d/0B0qKRmtVkPtWYzdXTi1SY0EtZHM/view?usp=sharing" TargetMode="External"/><Relationship Id="rId102" Type="http://schemas.openxmlformats.org/officeDocument/2006/relationships/hyperlink" Target="https://drive.google.com/file/d/0B9vYgR7NsKoYUC1NeHdLZlh6Y2s/view?usp=sharing" TargetMode="External"/><Relationship Id="rId223" Type="http://schemas.openxmlformats.org/officeDocument/2006/relationships/hyperlink" Target="http://dx.doi.org/10.1016/0035-9203(91)90375-14" TargetMode="External"/><Relationship Id="rId101" Type="http://schemas.openxmlformats.org/officeDocument/2006/relationships/hyperlink" Target="https://drive.google.com/file/d/0B9vYgR7NsKoYUC1NeHdLZlh6Y2s/view?usp=sharing" TargetMode="External"/><Relationship Id="rId222" Type="http://schemas.openxmlformats.org/officeDocument/2006/relationships/hyperlink" Target="https://drive.google.com/file/d/0B0qKRmtVkPtWYzdXTi1SY0EtZHM/view?usp=sharing" TargetMode="External"/><Relationship Id="rId100" Type="http://schemas.openxmlformats.org/officeDocument/2006/relationships/hyperlink" Target="https://drive.google.com/file/d/0B0-pry4DSOm3d2UxcUlnUTZkemc/view?usp=sharing" TargetMode="External"/><Relationship Id="rId221" Type="http://schemas.openxmlformats.org/officeDocument/2006/relationships/hyperlink" Target="http://dx.doi.org/10.1016/0035-9203(91)90375-13" TargetMode="External"/><Relationship Id="rId217" Type="http://schemas.openxmlformats.org/officeDocument/2006/relationships/hyperlink" Target="http://dx.doi.org/10.1016/0035-9203(91)90375-11" TargetMode="External"/><Relationship Id="rId216" Type="http://schemas.openxmlformats.org/officeDocument/2006/relationships/hyperlink" Target="https://drive.google.com/file/d/0B0qKRmtVkPtWYzdXTi1SY0EtZHM/view?usp=sharing" TargetMode="External"/><Relationship Id="rId215" Type="http://schemas.openxmlformats.org/officeDocument/2006/relationships/hyperlink" Target="http://dx.doi.org/10.1016/0035-9203(91)90375-10" TargetMode="External"/><Relationship Id="rId214" Type="http://schemas.openxmlformats.org/officeDocument/2006/relationships/hyperlink" Target="https://drive.google.com/file/d/0B0qKRmtVkPtWYzdXTi1SY0EtZHM/view?usp=sharing" TargetMode="External"/><Relationship Id="rId219" Type="http://schemas.openxmlformats.org/officeDocument/2006/relationships/hyperlink" Target="http://dx.doi.org/10.1016/0035-9203(91)90375-12" TargetMode="External"/><Relationship Id="rId218" Type="http://schemas.openxmlformats.org/officeDocument/2006/relationships/hyperlink" Target="https://drive.google.com/file/d/0B0qKRmtVkPtWYzdXTi1SY0EtZHM/view?usp=sharing" TargetMode="External"/><Relationship Id="rId330" Type="http://schemas.openxmlformats.org/officeDocument/2006/relationships/hyperlink" Target="https://drive.google.com/file/d/0B0-pry4DSOm3UktBNksxalJidk0/view?usp=sharing" TargetMode="External"/><Relationship Id="rId213" Type="http://schemas.openxmlformats.org/officeDocument/2006/relationships/hyperlink" Target="http://dx.doi.org/10.1016/0035-9203(91)90375-9" TargetMode="External"/><Relationship Id="rId212" Type="http://schemas.openxmlformats.org/officeDocument/2006/relationships/hyperlink" Target="https://drive.google.com/file/d/0B0qKRmtVkPtWQnp0NEcxbWdfQ3c/view?usp=sharing" TargetMode="External"/><Relationship Id="rId211" Type="http://schemas.openxmlformats.org/officeDocument/2006/relationships/hyperlink" Target="http://dx.doi.org/10.1080/00034983.1992.11812693" TargetMode="External"/><Relationship Id="rId210" Type="http://schemas.openxmlformats.org/officeDocument/2006/relationships/hyperlink" Target="https://drive.google.com/file/d/0B0qKRmtVkPtWQnp0NEcxbWdfQ3c/view?usp=sharing" TargetMode="External"/><Relationship Id="rId331" Type="http://schemas.openxmlformats.org/officeDocument/2006/relationships/drawing" Target="../drawings/drawing8.xml"/><Relationship Id="rId129" Type="http://schemas.openxmlformats.org/officeDocument/2006/relationships/hyperlink" Target="https://drive.google.com/file/d/0B0-pry4DSOm3SFE5OWVEQTJjMG8/view?usp=sharing" TargetMode="External"/><Relationship Id="rId128" Type="http://schemas.openxmlformats.org/officeDocument/2006/relationships/hyperlink" Target="https://drive.google.com/file/d/0B0-pry4DSOm3SFE5OWVEQTJjMG8/view?usp=sharing" TargetMode="External"/><Relationship Id="rId249" Type="http://schemas.openxmlformats.org/officeDocument/2006/relationships/hyperlink" Target="https://drive.google.com/file/d/0B0qKRmtVkPtWMFJtNUt3TWtuNXM/view?usp=sharing" TargetMode="External"/><Relationship Id="rId127" Type="http://schemas.openxmlformats.org/officeDocument/2006/relationships/hyperlink" Target="https://drive.google.com/file/d/0B0-pry4DSOm3SFE5OWVEQTJjMG8/view?usp=sharing" TargetMode="External"/><Relationship Id="rId248" Type="http://schemas.openxmlformats.org/officeDocument/2006/relationships/hyperlink" Target="https://drive.google.com/file/d/0B0qKRmtVkPtWY2F3VzEyanB5Ykk/view?usp=sharing" TargetMode="External"/><Relationship Id="rId126" Type="http://schemas.openxmlformats.org/officeDocument/2006/relationships/hyperlink" Target="https://drive.google.com/file/d/0B0-pry4DSOm3ekRQdXRGdTItbkU/view?usp=sharing" TargetMode="External"/><Relationship Id="rId247" Type="http://schemas.openxmlformats.org/officeDocument/2006/relationships/hyperlink" Target="http://dx.doi.org/10.1016/0035-9203(92)90312-Z" TargetMode="External"/><Relationship Id="rId121" Type="http://schemas.openxmlformats.org/officeDocument/2006/relationships/hyperlink" Target="https://drive.google.com/file/d/0B4sJPAkX0Jo3aUlhSlBQMmNxRzQ/view?usp=sharing" TargetMode="External"/><Relationship Id="rId242" Type="http://schemas.openxmlformats.org/officeDocument/2006/relationships/hyperlink" Target="https://drive.google.com/file/d/0B0qKRmtVkPtWYzdXTi1SY0EtZHM/view?usp=sharing" TargetMode="External"/><Relationship Id="rId120" Type="http://schemas.openxmlformats.org/officeDocument/2006/relationships/hyperlink" Target="https://drive.google.com/file/d/0B4sJPAkX0Jo3aUlhSlBQMmNxRzQ/view?usp=sharing" TargetMode="External"/><Relationship Id="rId241" Type="http://schemas.openxmlformats.org/officeDocument/2006/relationships/hyperlink" Target="http://dx.doi.org/10.1016/0035-9203(91)90375-23" TargetMode="External"/><Relationship Id="rId240" Type="http://schemas.openxmlformats.org/officeDocument/2006/relationships/hyperlink" Target="https://drive.google.com/file/d/0B0qKRmtVkPtWYzdXTi1SY0EtZHM/view?usp=sharing" TargetMode="External"/><Relationship Id="rId125" Type="http://schemas.openxmlformats.org/officeDocument/2006/relationships/hyperlink" Target="https://drive.google.com/file/d/0B0-pry4DSOm3ekRQdXRGdTItbkU/view?usp=sharing" TargetMode="External"/><Relationship Id="rId246" Type="http://schemas.openxmlformats.org/officeDocument/2006/relationships/hyperlink" Target="https://drive.google.com/file/d/0B0qKRmtVkPtWY2F3VzEyanB5Ykk/view?usp=sharing" TargetMode="External"/><Relationship Id="rId124" Type="http://schemas.openxmlformats.org/officeDocument/2006/relationships/hyperlink" Target="https://drive.google.com/file/d/0B9vYgR7NsKoYZVNmZmNDbjlTV3M/view?usp=sharing" TargetMode="External"/><Relationship Id="rId245" Type="http://schemas.openxmlformats.org/officeDocument/2006/relationships/hyperlink" Target="http://dx.doi.org/10.1016/0035-9203(92)90312-Z" TargetMode="External"/><Relationship Id="rId123" Type="http://schemas.openxmlformats.org/officeDocument/2006/relationships/hyperlink" Target="https://drive.google.com/file/d/0B95WhYooraDecERrQVNGd1BNOVk/view?usp=sharing" TargetMode="External"/><Relationship Id="rId244" Type="http://schemas.openxmlformats.org/officeDocument/2006/relationships/hyperlink" Target="https://drive.google.com/file/d/0B0qKRmtVkPtWY2F3VzEyanB5Ykk/view?usp=sharing" TargetMode="External"/><Relationship Id="rId122" Type="http://schemas.openxmlformats.org/officeDocument/2006/relationships/hyperlink" Target="https://drive.google.com/file/d/0B4sJPAkX0Jo3aUlhSlBQMmNxRzQ/view?usp=sharing" TargetMode="External"/><Relationship Id="rId243" Type="http://schemas.openxmlformats.org/officeDocument/2006/relationships/hyperlink" Target="http://dx.doi.org/10.1016/0035-9203(92)90312-Z" TargetMode="External"/><Relationship Id="rId95" Type="http://schemas.openxmlformats.org/officeDocument/2006/relationships/hyperlink" Target="https://drive.google.com/file/d/0B0-pry4DSOm3d2UxcUlnUTZkemc/view?usp=sharing" TargetMode="External"/><Relationship Id="rId94" Type="http://schemas.openxmlformats.org/officeDocument/2006/relationships/hyperlink" Target="https://drive.google.com/file/d/0B0-pry4DSOm3d2UxcUlnUTZkemc/view?usp=sharing" TargetMode="External"/><Relationship Id="rId97" Type="http://schemas.openxmlformats.org/officeDocument/2006/relationships/hyperlink" Target="https://drive.google.com/file/d/0By3QPyQz621GZXFGU2JFTENYZ2s/view?usp=sharing" TargetMode="External"/><Relationship Id="rId96" Type="http://schemas.openxmlformats.org/officeDocument/2006/relationships/hyperlink" Target="https://drive.google.com/file/d/0B4sJPAkX0Jo3ODU3Wk1YOW9nMnc/view?usp=sharing" TargetMode="External"/><Relationship Id="rId99" Type="http://schemas.openxmlformats.org/officeDocument/2006/relationships/hyperlink" Target="https://drive.google.com/file/d/0By3QPyQz621GZXFGU2JFTENYZ2s/view?usp=sharing" TargetMode="External"/><Relationship Id="rId98" Type="http://schemas.openxmlformats.org/officeDocument/2006/relationships/hyperlink" Target="https://drive.google.com/file/d/0By3QPyQz621GZXFGU2JFTENYZ2s/view?usp=sharing" TargetMode="External"/><Relationship Id="rId91" Type="http://schemas.openxmlformats.org/officeDocument/2006/relationships/hyperlink" Target="https://drive.google.com/open?id=0B-yoIBO7tf7FbE1XMXZCcmtDTmM" TargetMode="External"/><Relationship Id="rId90" Type="http://schemas.openxmlformats.org/officeDocument/2006/relationships/hyperlink" Target="https://drive.google.com/file/d/0B0-pry4DSOm3aTVCaFYzXzNfQWc/view?usp=sharing" TargetMode="External"/><Relationship Id="rId93" Type="http://schemas.openxmlformats.org/officeDocument/2006/relationships/hyperlink" Target="https://drive.google.com/open?id=0B-yoIBO7tf7FbE1XMXZCcmtDTmM" TargetMode="External"/><Relationship Id="rId92" Type="http://schemas.openxmlformats.org/officeDocument/2006/relationships/hyperlink" Target="https://drive.google.com/open?id=0B-yoIBO7tf7FbE1XMXZCcmtDTmM" TargetMode="External"/><Relationship Id="rId118" Type="http://schemas.openxmlformats.org/officeDocument/2006/relationships/hyperlink" Target="https://drive.google.com/file/d/0B4sJPAkX0Jo3TDVudWRoS1VKU2c/view?usp=sharing" TargetMode="External"/><Relationship Id="rId239" Type="http://schemas.openxmlformats.org/officeDocument/2006/relationships/hyperlink" Target="http://dx.doi.org/10.1016/0035-9203(91)90375-22" TargetMode="External"/><Relationship Id="rId117" Type="http://schemas.openxmlformats.org/officeDocument/2006/relationships/hyperlink" Target="https://drive.google.com/file/d/0B-yoIBO7tf7FbE1XMXZCcmtDTmM/view?usp=sharing" TargetMode="External"/><Relationship Id="rId238" Type="http://schemas.openxmlformats.org/officeDocument/2006/relationships/hyperlink" Target="https://drive.google.com/file/d/0B0qKRmtVkPtWYzdXTi1SY0EtZHM/view?usp=sharing" TargetMode="External"/><Relationship Id="rId116" Type="http://schemas.openxmlformats.org/officeDocument/2006/relationships/hyperlink" Target="https://drive.google.com/file/d/0B-yoIBO7tf7FbE1XMXZCcmtDTmM/view?usp=sharing" TargetMode="External"/><Relationship Id="rId237" Type="http://schemas.openxmlformats.org/officeDocument/2006/relationships/hyperlink" Target="http://dx.doi.org/10.1016/0035-9203(91)90375-21" TargetMode="External"/><Relationship Id="rId115" Type="http://schemas.openxmlformats.org/officeDocument/2006/relationships/hyperlink" Target="https://drive.google.com/file/d/0B4sJPAkX0Jo3aENXNnUtX1dCSG8/view?usp=sharing" TargetMode="External"/><Relationship Id="rId236" Type="http://schemas.openxmlformats.org/officeDocument/2006/relationships/hyperlink" Target="https://drive.google.com/file/d/0B0qKRmtVkPtWYzdXTi1SY0EtZHM/view?usp=sharing" TargetMode="External"/><Relationship Id="rId119" Type="http://schemas.openxmlformats.org/officeDocument/2006/relationships/hyperlink" Target="https://drive.google.com/file/d/0B4sJPAkX0Jo3TDVudWRoS1VKU2c/view?usp=sharing" TargetMode="External"/><Relationship Id="rId110" Type="http://schemas.openxmlformats.org/officeDocument/2006/relationships/hyperlink" Target="https://drive.google.com/file/d/0B9vYgR7NsKoYNFR2bkRZUDFQSUk/view?usp=sharing" TargetMode="External"/><Relationship Id="rId231" Type="http://schemas.openxmlformats.org/officeDocument/2006/relationships/hyperlink" Target="http://dx.doi.org/10.1016/0035-9203(91)90375-18" TargetMode="External"/><Relationship Id="rId230" Type="http://schemas.openxmlformats.org/officeDocument/2006/relationships/hyperlink" Target="https://drive.google.com/file/d/0B0qKRmtVkPtWYzdXTi1SY0EtZHM/view?usp=sharing" TargetMode="External"/><Relationship Id="rId114" Type="http://schemas.openxmlformats.org/officeDocument/2006/relationships/hyperlink" Target="https://drive.google.com/file/d/0B4sJPAkX0Jo3aENXNnUtX1dCSG8/view?usp=sharing" TargetMode="External"/><Relationship Id="rId235" Type="http://schemas.openxmlformats.org/officeDocument/2006/relationships/hyperlink" Target="http://dx.doi.org/10.1016/0035-9203(91)90375-20" TargetMode="External"/><Relationship Id="rId113" Type="http://schemas.openxmlformats.org/officeDocument/2006/relationships/hyperlink" Target="https://drive.google.com/file/d/0B9vYgR7NsKoYMGROVVhld2kzNkU/view?usp=sharing" TargetMode="External"/><Relationship Id="rId234" Type="http://schemas.openxmlformats.org/officeDocument/2006/relationships/hyperlink" Target="https://drive.google.com/file/d/0B0qKRmtVkPtWYzdXTi1SY0EtZHM/view?usp=sharing" TargetMode="External"/><Relationship Id="rId112" Type="http://schemas.openxmlformats.org/officeDocument/2006/relationships/hyperlink" Target="https://drive.google.com/file/d/0B95WhYooraDeS0F0OUwtWlFnR2M/view?usp=sharing" TargetMode="External"/><Relationship Id="rId233" Type="http://schemas.openxmlformats.org/officeDocument/2006/relationships/hyperlink" Target="http://dx.doi.org/10.1016/0035-9203(91)90375-19" TargetMode="External"/><Relationship Id="rId111" Type="http://schemas.openxmlformats.org/officeDocument/2006/relationships/hyperlink" Target="https://drive.google.com/file/d/0B9vYgR7NsKoYNFR2bkRZUDFQSUk/view?usp=sharing" TargetMode="External"/><Relationship Id="rId232" Type="http://schemas.openxmlformats.org/officeDocument/2006/relationships/hyperlink" Target="https://drive.google.com/file/d/0B0qKRmtVkPtWYzdXTi1SY0EtZHM/view?usp=sharing" TargetMode="External"/><Relationship Id="rId305" Type="http://schemas.openxmlformats.org/officeDocument/2006/relationships/hyperlink" Target="https://drive.google.com/file/d/0By3QPyQz621GeU9aN0RRSDc0VEU/view?usp=sharing" TargetMode="External"/><Relationship Id="rId304" Type="http://schemas.openxmlformats.org/officeDocument/2006/relationships/hyperlink" Target="https://drive.google.com/file/d/0B4sJPAkX0Jo3REg5aXNxcUlGb3c/view?usp=sharing" TargetMode="External"/><Relationship Id="rId303" Type="http://schemas.openxmlformats.org/officeDocument/2006/relationships/hyperlink" Target="https://drive.google.com/file/d/0B4sJPAkX0Jo3REg5aXNxcUlGb3c/view?usp=sharing" TargetMode="External"/><Relationship Id="rId302" Type="http://schemas.openxmlformats.org/officeDocument/2006/relationships/hyperlink" Target="https://drive.google.com/file/d/0B4sJPAkX0Jo3REg5aXNxcUlGb3c/view?usp=sharing" TargetMode="External"/><Relationship Id="rId309" Type="http://schemas.openxmlformats.org/officeDocument/2006/relationships/hyperlink" Target="https://drive.google.com/file/d/0By3QPyQz621Gd01FTFhrdUJ5U0E/view?usp=sharing" TargetMode="External"/><Relationship Id="rId308" Type="http://schemas.openxmlformats.org/officeDocument/2006/relationships/hyperlink" Target="https://drive.google.com/file/d/0B0-pry4DSOm3eExtN0ExYWRKTFU/view?usp=sharing" TargetMode="External"/><Relationship Id="rId307" Type="http://schemas.openxmlformats.org/officeDocument/2006/relationships/hyperlink" Target="https://drive.google.com/file/d/0B0-pry4DSOm3eExtN0ExYWRKTFU/view?usp=sharing" TargetMode="External"/><Relationship Id="rId306" Type="http://schemas.openxmlformats.org/officeDocument/2006/relationships/hyperlink" Target="https://drive.google.com/file/d/0B0-pry4DSOm3eExtN0ExYWRKTFU/view?usp=sharing" TargetMode="External"/><Relationship Id="rId301" Type="http://schemas.openxmlformats.org/officeDocument/2006/relationships/hyperlink" Target="https://drive.google.com/file/d/0B0-pry4DSOm3NFJPRU4xMzUyX0k/view?usp=sharing" TargetMode="External"/><Relationship Id="rId300" Type="http://schemas.openxmlformats.org/officeDocument/2006/relationships/hyperlink" Target="https://drive.google.com/file/d/0B9vYgR7NsKoYNURQU3lKMFBSU1U/view?usp=sharing" TargetMode="External"/><Relationship Id="rId206" Type="http://schemas.openxmlformats.org/officeDocument/2006/relationships/hyperlink" Target="https://drive.google.com/file/d/0B0qKRmtVkPtWQnp0NEcxbWdfQ3c/view?usp=sharing" TargetMode="External"/><Relationship Id="rId327" Type="http://schemas.openxmlformats.org/officeDocument/2006/relationships/hyperlink" Target="https://drive.google.com/file/d/0B0-pry4DSOm3OW8zb20tbzJmams/view?usp=sharing" TargetMode="External"/><Relationship Id="rId205" Type="http://schemas.openxmlformats.org/officeDocument/2006/relationships/hyperlink" Target="http://dx.doi.org/10.1080/00034983.1992.11812690" TargetMode="External"/><Relationship Id="rId326" Type="http://schemas.openxmlformats.org/officeDocument/2006/relationships/hyperlink" Target="https://drive.google.com/file/d/0B4sJPAkX0Jo3VEhYbXRMSEwwTG8/view?usp=sharing" TargetMode="External"/><Relationship Id="rId204" Type="http://schemas.openxmlformats.org/officeDocument/2006/relationships/hyperlink" Target="https://drive.google.com/file/d/0B0qKRmtVkPtWQnp0NEcxbWdfQ3c/view?usp=sharing" TargetMode="External"/><Relationship Id="rId325" Type="http://schemas.openxmlformats.org/officeDocument/2006/relationships/hyperlink" Target="https://drive.google.com/file/d/0B4sJPAkX0Jo3VEhYbXRMSEwwTG8/view?usp=sharing" TargetMode="External"/><Relationship Id="rId203" Type="http://schemas.openxmlformats.org/officeDocument/2006/relationships/hyperlink" Target="http://dx.doi.org/10.1080/00034983.1992.11812689" TargetMode="External"/><Relationship Id="rId324" Type="http://schemas.openxmlformats.org/officeDocument/2006/relationships/hyperlink" Target="https://drive.google.com/file/d/0B4sJPAkX0Jo3VEhYbXRMSEwwTG8/view?usp=sharing" TargetMode="External"/><Relationship Id="rId209" Type="http://schemas.openxmlformats.org/officeDocument/2006/relationships/hyperlink" Target="http://dx.doi.org/10.1080/00034983.1992.11812692" TargetMode="External"/><Relationship Id="rId208" Type="http://schemas.openxmlformats.org/officeDocument/2006/relationships/hyperlink" Target="https://drive.google.com/file/d/0B0qKRmtVkPtWQnp0NEcxbWdfQ3c/view?usp=sharing" TargetMode="External"/><Relationship Id="rId329" Type="http://schemas.openxmlformats.org/officeDocument/2006/relationships/hyperlink" Target="https://drive.google.com/file/d/0B0-pry4DSOm3UktBNksxalJidk0/view?usp=sharing" TargetMode="External"/><Relationship Id="rId207" Type="http://schemas.openxmlformats.org/officeDocument/2006/relationships/hyperlink" Target="http://dx.doi.org/10.1080/00034983.1992.11812691" TargetMode="External"/><Relationship Id="rId328" Type="http://schemas.openxmlformats.org/officeDocument/2006/relationships/hyperlink" Target="https://drive.google.com/file/d/0By3QPyQz621GV2pGZUNia0FseTA/view?usp=sharing" TargetMode="External"/><Relationship Id="rId202" Type="http://schemas.openxmlformats.org/officeDocument/2006/relationships/hyperlink" Target="https://drive.google.com/file/d/0B0qKRmtVkPtWQnp0NEcxbWdfQ3c/view?usp=sharing" TargetMode="External"/><Relationship Id="rId323" Type="http://schemas.openxmlformats.org/officeDocument/2006/relationships/hyperlink" Target="https://drive.google.com/file/d/0B9vYgR7NsKoYNFhhbW9lVkNBeTQ/view?usp=sharing" TargetMode="External"/><Relationship Id="rId201" Type="http://schemas.openxmlformats.org/officeDocument/2006/relationships/hyperlink" Target="http://dx.doi.org/10.1080/00034983.1992.11812688" TargetMode="External"/><Relationship Id="rId322" Type="http://schemas.openxmlformats.org/officeDocument/2006/relationships/hyperlink" Target="https://drive.google.com/file/d/0B0-pry4DSOm3c21aSGRUOUp4MTA/view?usp=sharing" TargetMode="External"/><Relationship Id="rId200" Type="http://schemas.openxmlformats.org/officeDocument/2006/relationships/hyperlink" Target="https://drive.google.com/file/d/0B0qKRmtVkPtWQnp0NEcxbWdfQ3c/view?usp=sharing" TargetMode="External"/><Relationship Id="rId321" Type="http://schemas.openxmlformats.org/officeDocument/2006/relationships/hyperlink" Target="https://drive.google.com/file/d/0B0-pry4DSOm3MERBWXlzX1hOVlE/view?usp=sharing" TargetMode="External"/><Relationship Id="rId320" Type="http://schemas.openxmlformats.org/officeDocument/2006/relationships/hyperlink" Target="https://drive.google.com/file/d/0B0-pry4DSOm3MERBWXlzX1hOVlE/view?usp=sharing" TargetMode="External"/><Relationship Id="rId316" Type="http://schemas.openxmlformats.org/officeDocument/2006/relationships/hyperlink" Target="https://drive.google.com/file/d/0B9vYgR7NsKoYZ2gtOGlkTUlUTEk/view?usp=sharing" TargetMode="External"/><Relationship Id="rId315" Type="http://schemas.openxmlformats.org/officeDocument/2006/relationships/hyperlink" Target="https://drive.google.com/file/d/0B9vYgR7NsKoYZ2gtOGlkTUlUTEk/view?usp=sharing" TargetMode="External"/><Relationship Id="rId314" Type="http://schemas.openxmlformats.org/officeDocument/2006/relationships/hyperlink" Target="https://drive.google.com/file/d/0B9vYgR7NsKoYZ2gtOGlkTUlUTEk/view?usp=sharing" TargetMode="External"/><Relationship Id="rId313" Type="http://schemas.openxmlformats.org/officeDocument/2006/relationships/hyperlink" Target="https://drive.google.com/file/d/0B9vYgR7NsKoYZ2gtOGlkTUlUTEk/view?usp=sharing" TargetMode="External"/><Relationship Id="rId319" Type="http://schemas.openxmlformats.org/officeDocument/2006/relationships/hyperlink" Target="https://drive.google.com/file/d/0B0-pry4DSOm3MERBWXlzX1hOVlE/view?usp=sharing" TargetMode="External"/><Relationship Id="rId318" Type="http://schemas.openxmlformats.org/officeDocument/2006/relationships/hyperlink" Target="https://drive.google.com/file/d/0B0-pry4DSOm3MERBWXlzX1hOVlE/view?usp=sharing" TargetMode="External"/><Relationship Id="rId317" Type="http://schemas.openxmlformats.org/officeDocument/2006/relationships/hyperlink" Target="https://drive.google.com/file/d/0B9vYgR7NsKoYdy1acU1pbExlcTQ/view?usp=sharing" TargetMode="External"/><Relationship Id="rId312" Type="http://schemas.openxmlformats.org/officeDocument/2006/relationships/hyperlink" Target="https://drive.google.com/file/d/0B4sJPAkX0Jo3QWw0aFllSV9tRXc/view?usp=sharing" TargetMode="External"/><Relationship Id="rId311" Type="http://schemas.openxmlformats.org/officeDocument/2006/relationships/hyperlink" Target="https://drive.google.com/file/d/0B9vYgR7NsKoYd1lBNlNKNUZkdDA/view?usp=sharing" TargetMode="External"/><Relationship Id="rId310" Type="http://schemas.openxmlformats.org/officeDocument/2006/relationships/hyperlink" Target="https://drive.google.com/file/d/0By3QPyQz621Gd01FTFhrdUJ5U0E/view?usp=sharing" TargetMode="External"/></Relationships>
</file>

<file path=xl/worksheets/_rels/sheet9.xml.rels><?xml version="1.0" encoding="UTF-8" standalone="yes"?><Relationships xmlns="http://schemas.openxmlformats.org/package/2006/relationships"><Relationship Id="rId190" Type="http://schemas.openxmlformats.org/officeDocument/2006/relationships/hyperlink" Target="https://drive.google.com/open?id=0B83NpKM_pV1sd0hOdEE2c2V6RWM" TargetMode="External"/><Relationship Id="rId194" Type="http://schemas.openxmlformats.org/officeDocument/2006/relationships/hyperlink" Target="https://drive.google.com/a/binghamton.edu/file/d/0B-BMeyhXwSzWWmNzVklwaWpJalE/view" TargetMode="External"/><Relationship Id="rId193" Type="http://schemas.openxmlformats.org/officeDocument/2006/relationships/hyperlink" Target="https://drive.google.com/open?id=0B83NpKM_pV1sd0hOdEE2c2V6RWM" TargetMode="External"/><Relationship Id="rId192" Type="http://schemas.openxmlformats.org/officeDocument/2006/relationships/hyperlink" Target="https://drive.google.com/a/binghamton.edu/file/d/0B_lCd4vI8wOKRm5ib2Z0TFdCVEE/view" TargetMode="External"/><Relationship Id="rId191" Type="http://schemas.openxmlformats.org/officeDocument/2006/relationships/hyperlink" Target="https://drive.google.com/a/binghamton.edu/file/d/0B-BMeyhXwSzWWmNzVklwaWpJalE/view" TargetMode="External"/><Relationship Id="rId187" Type="http://schemas.openxmlformats.org/officeDocument/2006/relationships/hyperlink" Target="https://drive.google.com/open?id=0B83NpKM_pV1sd0hOdEE2c2V6RWM" TargetMode="External"/><Relationship Id="rId186" Type="http://schemas.openxmlformats.org/officeDocument/2006/relationships/hyperlink" Target="https://drive.google.com/a/binghamton.edu/file/d/0B_lCd4vI8wOKRm5ib2Z0TFdCVEE/view" TargetMode="External"/><Relationship Id="rId185" Type="http://schemas.openxmlformats.org/officeDocument/2006/relationships/hyperlink" Target="https://drive.google.com/a/binghamton.edu/file/d/0B-BMeyhXwSzWWmNzVklwaWpJalE/view" TargetMode="External"/><Relationship Id="rId184" Type="http://schemas.openxmlformats.org/officeDocument/2006/relationships/hyperlink" Target="https://drive.google.com/open?id=0B83NpKM_pV1sd0hOdEE2c2V6RWM" TargetMode="External"/><Relationship Id="rId189" Type="http://schemas.openxmlformats.org/officeDocument/2006/relationships/hyperlink" Target="https://drive.google.com/a/binghamton.edu/file/d/0B_lCd4vI8wOKRm5ib2Z0TFdCVEE/view" TargetMode="External"/><Relationship Id="rId188" Type="http://schemas.openxmlformats.org/officeDocument/2006/relationships/hyperlink" Target="https://drive.google.com/a/binghamton.edu/file/d/0B-BMeyhXwSzWWmNzVklwaWpJalE/view" TargetMode="External"/><Relationship Id="rId183" Type="http://schemas.openxmlformats.org/officeDocument/2006/relationships/hyperlink" Target="https://drive.google.com/a/binghamton.edu/file/d/0B_lCd4vI8wOKRm5ib2Z0TFdCVEE/view" TargetMode="External"/><Relationship Id="rId182" Type="http://schemas.openxmlformats.org/officeDocument/2006/relationships/hyperlink" Target="https://drive.google.com/a/binghamton.edu/file/d/0B-BMeyhXwSzWWmNzVklwaWpJalE/view" TargetMode="External"/><Relationship Id="rId181" Type="http://schemas.openxmlformats.org/officeDocument/2006/relationships/hyperlink" Target="https://drive.google.com/open?id=0B83NpKM_pV1sd0hOdEE2c2V6RWM" TargetMode="External"/><Relationship Id="rId180" Type="http://schemas.openxmlformats.org/officeDocument/2006/relationships/hyperlink" Target="https://drive.google.com/file/d/0B_lCd4vI8wOKanoxcTRudTJtVnc/view?usp=sharing" TargetMode="External"/><Relationship Id="rId176" Type="http://schemas.openxmlformats.org/officeDocument/2006/relationships/hyperlink" Target="https://drive.google.com/a/binghamton.edu/file/d/0B-BMeyhXwSzWWmNzVklwaWpJalE/view" TargetMode="External"/><Relationship Id="rId297" Type="http://schemas.openxmlformats.org/officeDocument/2006/relationships/hyperlink" Target="https://drive.google.com/open?id=0B83NpKM_pV1sMkdkbzEzOE8yUlU" TargetMode="External"/><Relationship Id="rId175" Type="http://schemas.openxmlformats.org/officeDocument/2006/relationships/hyperlink" Target="https://drive.google.com/open?id=0B83NpKM_pV1sSThtUWxyZmFDV3M" TargetMode="External"/><Relationship Id="rId296" Type="http://schemas.openxmlformats.org/officeDocument/2006/relationships/hyperlink" Target="https://drive.google.com/a/binghamton.edu/file/d/0B_lCd4vI8wOKXzhNQzhWQU02bFk/view" TargetMode="External"/><Relationship Id="rId174" Type="http://schemas.openxmlformats.org/officeDocument/2006/relationships/hyperlink" Target="https://drive.google.com/file/d/0B_lCd4vI8wOKdnlDanJ3RGRhTUk/view?usp=sharing" TargetMode="External"/><Relationship Id="rId295" Type="http://schemas.openxmlformats.org/officeDocument/2006/relationships/hyperlink" Target="https://drive.google.com/a/binghamton.edu/file/d/0B-BMeyhXwSzWb0xpN3E0Q2ZrZGM/view" TargetMode="External"/><Relationship Id="rId173" Type="http://schemas.openxmlformats.org/officeDocument/2006/relationships/hyperlink" Target="https://drive.google.com/a/binghamton.edu/file/d/0B5uKCExuj58mVlZRcEw4cmhwOGc/view" TargetMode="External"/><Relationship Id="rId294" Type="http://schemas.openxmlformats.org/officeDocument/2006/relationships/hyperlink" Target="https://drive.google.com/open?id=0B83NpKM_pV1sMkdkbzEzOE8yUlU" TargetMode="External"/><Relationship Id="rId179" Type="http://schemas.openxmlformats.org/officeDocument/2006/relationships/hyperlink" Target="https://drive.google.com/a/binghamton.edu/file/d/0B-BMeyhXwSzWWmNzVklwaWpJalE/view" TargetMode="External"/><Relationship Id="rId178" Type="http://schemas.openxmlformats.org/officeDocument/2006/relationships/hyperlink" Target="https://drive.google.com/open?id=0B83NpKM_pV1sd0hOdEE2c2V6RWM" TargetMode="External"/><Relationship Id="rId299" Type="http://schemas.openxmlformats.org/officeDocument/2006/relationships/hyperlink" Target="https://drive.google.com/a/binghamton.edu/file/d/0B_lCd4vI8wOKXzhNQzhWQU02bFk/view" TargetMode="External"/><Relationship Id="rId177" Type="http://schemas.openxmlformats.org/officeDocument/2006/relationships/hyperlink" Target="https://drive.google.com/file/d/0B_lCd4vI8wOKdnlDanJ3RGRhTUk/view?usp=sharing" TargetMode="External"/><Relationship Id="rId298" Type="http://schemas.openxmlformats.org/officeDocument/2006/relationships/hyperlink" Target="https://drive.google.com/a/binghamton.edu/file/d/0B5uKCExuj58mSm9CUjA2VDR0czA/view" TargetMode="External"/><Relationship Id="rId198" Type="http://schemas.openxmlformats.org/officeDocument/2006/relationships/hyperlink" Target="https://drive.google.com/a/binghamton.edu/file/d/0B_lCd4vI8wOKRm5ib2Z0TFdCVEE/view" TargetMode="External"/><Relationship Id="rId197" Type="http://schemas.openxmlformats.org/officeDocument/2006/relationships/hyperlink" Target="https://drive.google.com/a/binghamton.edu/file/d/0BzjZoBQGkMymQ2JpeXBSOGhHbkE/view" TargetMode="External"/><Relationship Id="rId196" Type="http://schemas.openxmlformats.org/officeDocument/2006/relationships/hyperlink" Target="https://drive.google.com/open?id=0B83NpKM_pV1sd0hOdEE2c2V6RWM" TargetMode="External"/><Relationship Id="rId195" Type="http://schemas.openxmlformats.org/officeDocument/2006/relationships/hyperlink" Target="https://drive.google.com/a/binghamton.edu/file/d/0B_lCd4vI8wOKRm5ib2Z0TFdCVEE/view" TargetMode="External"/><Relationship Id="rId199" Type="http://schemas.openxmlformats.org/officeDocument/2006/relationships/hyperlink" Target="https://drive.google.com/open?id=0B83NpKM_pV1sYmUzV0QyZklqaGc" TargetMode="External"/><Relationship Id="rId150" Type="http://schemas.openxmlformats.org/officeDocument/2006/relationships/hyperlink" Target="https://drive.google.com/file/d/0B_lCd4vI8wOKWE41QnlVanRaSEk/view?usp=sharing" TargetMode="External"/><Relationship Id="rId271" Type="http://schemas.openxmlformats.org/officeDocument/2006/relationships/hyperlink" Target="https://drive.google.com/file/d/0B812JSakX9u5SlpVR1l0UEFVa1E/view?usp=sharing" TargetMode="External"/><Relationship Id="rId392" Type="http://schemas.openxmlformats.org/officeDocument/2006/relationships/hyperlink" Target="https://pubmed.ncbi.nlm.nih.gov/31110573/" TargetMode="External"/><Relationship Id="rId270" Type="http://schemas.openxmlformats.org/officeDocument/2006/relationships/hyperlink" Target="https://drive.google.com/file/d/0B_lCd4vI8wOKU0lnZVRtNk0xaDA/view?usp=sharing" TargetMode="External"/><Relationship Id="rId391" Type="http://schemas.openxmlformats.org/officeDocument/2006/relationships/hyperlink" Target="https://drive.google.com/file/d/0B_lCd4vI8wOKZkdxOUpaUTVrTEU/view?usp=sharing" TargetMode="External"/><Relationship Id="rId390" Type="http://schemas.openxmlformats.org/officeDocument/2006/relationships/hyperlink" Target="https://drive.google.com/a/binghamton.edu/file/d/0B-BMeyhXwSzWdko2dXRlZFVUM2s/view" TargetMode="External"/><Relationship Id="rId1" Type="http://schemas.openxmlformats.org/officeDocument/2006/relationships/hyperlink" Target="https://drive.google.com/file/d/0B_lCd4vI8wOKb2I1Sk1ZVEphbms/view?usp=sharing" TargetMode="External"/><Relationship Id="rId2" Type="http://schemas.openxmlformats.org/officeDocument/2006/relationships/hyperlink" Target="https://drive.google.com/file/d/0B83NpKM_pV1sZU8xOU5qWGRNTFU/view?usp=sharing" TargetMode="External"/><Relationship Id="rId3" Type="http://schemas.openxmlformats.org/officeDocument/2006/relationships/hyperlink" Target="https://drive.google.com/a/binghamton.edu/file/d/0B_lCd4vI8wOKQkpOcDlHbDhBYXM/view" TargetMode="External"/><Relationship Id="rId149" Type="http://schemas.openxmlformats.org/officeDocument/2006/relationships/hyperlink" Target="https://drive.google.com/a/binghamton.edu/file/d/0B-BMeyhXwSzWS1pHYmwzOTY4OTA/view" TargetMode="External"/><Relationship Id="rId4" Type="http://schemas.openxmlformats.org/officeDocument/2006/relationships/hyperlink" Target="https://drive.google.com/file/d/0B_lCd4vI8wOKb2I1Sk1ZVEphbms/view?usp=sharing" TargetMode="External"/><Relationship Id="rId148" Type="http://schemas.openxmlformats.org/officeDocument/2006/relationships/hyperlink" Target="https://drive.google.com/open?id=0B83NpKM_pV1sNEJ5VXJhY1VxVGs" TargetMode="External"/><Relationship Id="rId269" Type="http://schemas.openxmlformats.org/officeDocument/2006/relationships/hyperlink" Target="https://drive.google.com/a/binghamton.edu/file/d/0B5uKCExuj58mVnVaSHlVX2FOMjg/view" TargetMode="External"/><Relationship Id="rId9" Type="http://schemas.openxmlformats.org/officeDocument/2006/relationships/hyperlink" Target="https://drive.google.com/a/binghamton.edu/file/d/0B_lCd4vI8wOKQkpOcDlHbDhBYXM/view" TargetMode="External"/><Relationship Id="rId143" Type="http://schemas.openxmlformats.org/officeDocument/2006/relationships/hyperlink" Target="https://drive.google.com/a/binghamton.edu/file/d/0B-BMeyhXwSzWTkQtN0pVWkI2UWc/view" TargetMode="External"/><Relationship Id="rId264" Type="http://schemas.openxmlformats.org/officeDocument/2006/relationships/hyperlink" Target="https://drive.google.com/file/d/0B_lCd4vI8wOKOTBhdFlDRDBVQTg/view?usp=sharing" TargetMode="External"/><Relationship Id="rId385" Type="http://schemas.openxmlformats.org/officeDocument/2006/relationships/hyperlink" Target="https://drive.google.com/a/binghamton.edu/file/d/0B_lCd4vI8wOKU2VDYWFSYkloVE0/view" TargetMode="External"/><Relationship Id="rId142" Type="http://schemas.openxmlformats.org/officeDocument/2006/relationships/hyperlink" Target="https://drive.google.com/open?id=0B83NpKM_pV1sVDMxZzJreXFKek0" TargetMode="External"/><Relationship Id="rId263" Type="http://schemas.openxmlformats.org/officeDocument/2006/relationships/hyperlink" Target="https://drive.google.com/a/binghamton.edu/file/d/0B5uKCExuj58mVnVaSHlVX2FOMjg/view" TargetMode="External"/><Relationship Id="rId384" Type="http://schemas.openxmlformats.org/officeDocument/2006/relationships/hyperlink" Target="https://drive.google.com/a/binghamton.edu/file/d/0BzjZoBQGkMymaFVHNGN6X2paZm8/view?usp=drive_web" TargetMode="External"/><Relationship Id="rId141" Type="http://schemas.openxmlformats.org/officeDocument/2006/relationships/hyperlink" Target="https://drive.google.com/file/d/0B_lCd4vI8wOKZ0thSHlyajZYN3M/view?usp=sharing" TargetMode="External"/><Relationship Id="rId262" Type="http://schemas.openxmlformats.org/officeDocument/2006/relationships/hyperlink" Target="https://drive.google.com/open?id=0B83NpKM_pV1sTDdqY05OcjlnRFk" TargetMode="External"/><Relationship Id="rId383" Type="http://schemas.openxmlformats.org/officeDocument/2006/relationships/hyperlink" Target="https://www-sciencedirect-com.proxy.binghamton.edu/science/article/pii/S1473309918302330" TargetMode="External"/><Relationship Id="rId140" Type="http://schemas.openxmlformats.org/officeDocument/2006/relationships/hyperlink" Target="https://drive.google.com/a/binghamton.edu/file/d/0B-BMeyhXwSzWZzdnaEFqNmxXczQ/view" TargetMode="External"/><Relationship Id="rId261" Type="http://schemas.openxmlformats.org/officeDocument/2006/relationships/hyperlink" Target="https://drive.google.com/a/binghamton.edu/file/d/0B_lCd4vI8wOKTkNSbkp6cDhyNEk/view" TargetMode="External"/><Relationship Id="rId382" Type="http://schemas.openxmlformats.org/officeDocument/2006/relationships/hyperlink" Target="https://drive.google.com/a/binghamton.edu/file/d/0B_lCd4vI8wOKU2VDYWFSYkloVE0/view" TargetMode="External"/><Relationship Id="rId5" Type="http://schemas.openxmlformats.org/officeDocument/2006/relationships/hyperlink" Target="https://drive.google.com/file/d/0B83NpKM_pV1sZU8xOU5qWGRNTFU/view?usp=sharing" TargetMode="External"/><Relationship Id="rId147" Type="http://schemas.openxmlformats.org/officeDocument/2006/relationships/hyperlink" Target="https://drive.google.com/file/d/0B_lCd4vI8wOKblVLdTAxM0NobU0/view?usp=sharing" TargetMode="External"/><Relationship Id="rId268" Type="http://schemas.openxmlformats.org/officeDocument/2006/relationships/hyperlink" Target="https://drive.google.com/file/d/0B812JSakX9u5SlpVR1l0UEFVa1E/view?usp=sharing" TargetMode="External"/><Relationship Id="rId389" Type="http://schemas.openxmlformats.org/officeDocument/2006/relationships/hyperlink" Target="https://pubmed.ncbi.nlm.nih.gov/31110573/" TargetMode="External"/><Relationship Id="rId6" Type="http://schemas.openxmlformats.org/officeDocument/2006/relationships/hyperlink" Target="https://drive.google.com/a/binghamton.edu/file/d/0B_lCd4vI8wOKQkpOcDlHbDhBYXM/view" TargetMode="External"/><Relationship Id="rId146" Type="http://schemas.openxmlformats.org/officeDocument/2006/relationships/hyperlink" Target="https://drive.google.com/a/binghamton.edu/file/d/0B-BMeyhXwSzWTkQtN0pVWkI2UWc/view" TargetMode="External"/><Relationship Id="rId267" Type="http://schemas.openxmlformats.org/officeDocument/2006/relationships/hyperlink" Target="https://drive.google.com/file/d/0B_lCd4vI8wOKU0lnZVRtNk0xaDA/view?usp=sharing" TargetMode="External"/><Relationship Id="rId388" Type="http://schemas.openxmlformats.org/officeDocument/2006/relationships/hyperlink" Target="https://drive.google.com/a/binghamton.edu/file/d/0B_lCd4vI8wOKU2VDYWFSYkloVE0/view" TargetMode="External"/><Relationship Id="rId7" Type="http://schemas.openxmlformats.org/officeDocument/2006/relationships/hyperlink" Target="https://drive.google.com/file/d/0B_lCd4vI8wOKQ3VGQ2plM2hNTDg/view?usp=sharing" TargetMode="External"/><Relationship Id="rId145" Type="http://schemas.openxmlformats.org/officeDocument/2006/relationships/hyperlink" Target="https://drive.google.com/open?id=0B83NpKM_pV1sVDMxZzJreXFKek0" TargetMode="External"/><Relationship Id="rId266" Type="http://schemas.openxmlformats.org/officeDocument/2006/relationships/hyperlink" Target="https://drive.google.com/a/binghamton.edu/file/d/0B5uKCExuj58mVnVaSHlVX2FOMjg/view" TargetMode="External"/><Relationship Id="rId387" Type="http://schemas.openxmlformats.org/officeDocument/2006/relationships/hyperlink" Target="https://drive.google.com/a/binghamton.edu/file/d/0B-BMeyhXwSzWdko2dXRlZFVUM2s/view" TargetMode="External"/><Relationship Id="rId8" Type="http://schemas.openxmlformats.org/officeDocument/2006/relationships/hyperlink" Target="https://drive.google.com/file/d/0B83NpKM_pV1scmFSLXgtdjBfcGs/view?usp=sharing" TargetMode="External"/><Relationship Id="rId144" Type="http://schemas.openxmlformats.org/officeDocument/2006/relationships/hyperlink" Target="https://drive.google.com/file/d/0B_lCd4vI8wOKblVLdTAxM0NobU0/view?usp=sharing" TargetMode="External"/><Relationship Id="rId265" Type="http://schemas.openxmlformats.org/officeDocument/2006/relationships/hyperlink" Target="https://drive.google.com/file/d/0B812JSakX9u5SlpVR1l0UEFVa1E/view?usp=sharing" TargetMode="External"/><Relationship Id="rId386" Type="http://schemas.openxmlformats.org/officeDocument/2006/relationships/hyperlink" Target="https://www-sciencedirect-com.proxy.binghamton.edu/science/article/pii/S1473309918302330" TargetMode="External"/><Relationship Id="rId260" Type="http://schemas.openxmlformats.org/officeDocument/2006/relationships/hyperlink" Target="https://drive.google.com/a/binghamton.edu/file/d/0B5uKCExuj58mVnVaSHlVX2FOMjg/view" TargetMode="External"/><Relationship Id="rId381" Type="http://schemas.openxmlformats.org/officeDocument/2006/relationships/hyperlink" Target="https://drive.google.com/a/binghamton.edu/file/d/0BzjZoBQGkMymaFVHNGN6X2paZm8/view?usp=drive_web" TargetMode="External"/><Relationship Id="rId380" Type="http://schemas.openxmlformats.org/officeDocument/2006/relationships/hyperlink" Target="https://www-sciencedirect-com.proxy.binghamton.edu/science/article/pii/S1473309918302330" TargetMode="External"/><Relationship Id="rId139" Type="http://schemas.openxmlformats.org/officeDocument/2006/relationships/hyperlink" Target="https://drive.google.com/open?id=0B83NpKM_pV1sVDMxZzJreXFKek0" TargetMode="External"/><Relationship Id="rId138" Type="http://schemas.openxmlformats.org/officeDocument/2006/relationships/hyperlink" Target="https://drive.google.com/file/d/0B_lCd4vI8wOKYXg5SjNTNDl1R1U/view?usp=sharing" TargetMode="External"/><Relationship Id="rId259" Type="http://schemas.openxmlformats.org/officeDocument/2006/relationships/hyperlink" Target="https://drive.google.com/open?id=0B83NpKM_pV1sTDdqY05OcjlnRFk" TargetMode="External"/><Relationship Id="rId137" Type="http://schemas.openxmlformats.org/officeDocument/2006/relationships/hyperlink" Target="https://drive.google.com/a/binghamton.edu/file/d/0B-BMeyhXwSzWMlZTUXA3SGk2UTQ/view" TargetMode="External"/><Relationship Id="rId258" Type="http://schemas.openxmlformats.org/officeDocument/2006/relationships/hyperlink" Target="https://drive.google.com/a/binghamton.edu/file/d/0B_lCd4vI8wOKN2lVSkJRS3NwRm8/view" TargetMode="External"/><Relationship Id="rId379" Type="http://schemas.openxmlformats.org/officeDocument/2006/relationships/hyperlink" Target="https://drive.google.com/a/binghamton.edu/file/d/0B_lCd4vI8wOKU2VDYWFSYkloVE0/view" TargetMode="External"/><Relationship Id="rId132" Type="http://schemas.openxmlformats.org/officeDocument/2006/relationships/hyperlink" Target="https://drive.google.com/file/d/0B_lCd4vI8wOKYXg5SjNTNDl1R1U/view?usp=sharing" TargetMode="External"/><Relationship Id="rId253" Type="http://schemas.openxmlformats.org/officeDocument/2006/relationships/hyperlink" Target="https://drive.google.com/open?id=0B83NpKM_pV1sTDdqY05OcjlnRFk" TargetMode="External"/><Relationship Id="rId374" Type="http://schemas.openxmlformats.org/officeDocument/2006/relationships/hyperlink" Target="https://pubmed.ncbi.nlm.nih.gov/26935065/" TargetMode="External"/><Relationship Id="rId495" Type="http://schemas.openxmlformats.org/officeDocument/2006/relationships/hyperlink" Target="https://innovareacademics.in/journals/index.php/ijap/article/view/33559" TargetMode="External"/><Relationship Id="rId131" Type="http://schemas.openxmlformats.org/officeDocument/2006/relationships/hyperlink" Target="https://drive.google.com/a/binghamton.edu/file/d/0B-BMeyhXwSzWMlZTUXA3SGk2UTQ/view" TargetMode="External"/><Relationship Id="rId252" Type="http://schemas.openxmlformats.org/officeDocument/2006/relationships/hyperlink" Target="https://drive.google.com/a/binghamton.edu/file/d/0B_lCd4vI8wOKN2lVSkJRS3NwRm8/view" TargetMode="External"/><Relationship Id="rId373" Type="http://schemas.openxmlformats.org/officeDocument/2006/relationships/hyperlink" Target="https://drive.google.com/a/binghamton.edu/file/d/0B_lCd4vI8wOKU2VDYWFSYkloVE0/view" TargetMode="External"/><Relationship Id="rId494" Type="http://schemas.openxmlformats.org/officeDocument/2006/relationships/hyperlink" Target="https://drive.google.com/a/binghamton.edu/file/d/0B-BMeyhXwSzWb2JYNzFLSDgyVU0/view" TargetMode="External"/><Relationship Id="rId130" Type="http://schemas.openxmlformats.org/officeDocument/2006/relationships/hyperlink" Target="https://drive.google.com/open?id=0B83NpKM_pV1sRnFEalFJQk41V2s" TargetMode="External"/><Relationship Id="rId251" Type="http://schemas.openxmlformats.org/officeDocument/2006/relationships/hyperlink" Target="https://drive.google.com/a/binghamton.edu/file/d/0B-BMeyhXwSzWUUZIM0ZEbzc2dGs/view" TargetMode="External"/><Relationship Id="rId372" Type="http://schemas.openxmlformats.org/officeDocument/2006/relationships/hyperlink" Target="https://drive.google.com/a/binghamton.edu/file/d/0B-BMeyhXwSzWd19PVmthOHFCSDA/view" TargetMode="External"/><Relationship Id="rId493" Type="http://schemas.openxmlformats.org/officeDocument/2006/relationships/hyperlink" Target="https://www.ncbi.nlm.nih.gov/pmc/articles/PMC7337942/" TargetMode="External"/><Relationship Id="rId250" Type="http://schemas.openxmlformats.org/officeDocument/2006/relationships/hyperlink" Target="https://drive.google.com/a/binghamton.edu/file/d/0B_lCd4vI8wOKaEplNzdjR3ZLQzQ/view" TargetMode="External"/><Relationship Id="rId371" Type="http://schemas.openxmlformats.org/officeDocument/2006/relationships/hyperlink" Target="https://pubmed.ncbi.nlm.nih.gov/26935065/" TargetMode="External"/><Relationship Id="rId492" Type="http://schemas.openxmlformats.org/officeDocument/2006/relationships/hyperlink" Target="https://drive.google.com/a/binghamton.edu/file/d/0B-BMeyhXwSzWb2JYNzFLSDgyVU0/view" TargetMode="External"/><Relationship Id="rId136" Type="http://schemas.openxmlformats.org/officeDocument/2006/relationships/hyperlink" Target="https://drive.google.com/open?id=0B83NpKM_pV1sVDMxZzJreXFKek0" TargetMode="External"/><Relationship Id="rId257" Type="http://schemas.openxmlformats.org/officeDocument/2006/relationships/hyperlink" Target="https://drive.google.com/a/binghamton.edu/file/d/0B-BMeyhXwSzWUUZIM0ZEbzc2dGs/view" TargetMode="External"/><Relationship Id="rId378" Type="http://schemas.openxmlformats.org/officeDocument/2006/relationships/hyperlink" Target="https://drive.google.com/a/binghamton.edu/file/d/0BzjZoBQGkMymaFVHNGN6X2paZm8/view?usp=drive_web" TargetMode="External"/><Relationship Id="rId499" Type="http://schemas.openxmlformats.org/officeDocument/2006/relationships/hyperlink" Target="https://inabj.org/index.php/ibj/article/view/920" TargetMode="External"/><Relationship Id="rId135" Type="http://schemas.openxmlformats.org/officeDocument/2006/relationships/hyperlink" Target="https://drive.google.com/file/d/0B_lCd4vI8wOKYXg5SjNTNDl1R1U/view?usp=sharing" TargetMode="External"/><Relationship Id="rId256" Type="http://schemas.openxmlformats.org/officeDocument/2006/relationships/hyperlink" Target="https://drive.google.com/open?id=0B83NpKM_pV1sTDdqY05OcjlnRFk" TargetMode="External"/><Relationship Id="rId377" Type="http://schemas.openxmlformats.org/officeDocument/2006/relationships/hyperlink" Target="https://www-sciencedirect-com.proxy.binghamton.edu/science/article/pii/S1473309918302330" TargetMode="External"/><Relationship Id="rId498" Type="http://schemas.openxmlformats.org/officeDocument/2006/relationships/hyperlink" Target="https://drive.google.com/a/binghamton.edu/file/d/0B-BMeyhXwSzWNUljMmdjLUxSTWM/view" TargetMode="External"/><Relationship Id="rId134" Type="http://schemas.openxmlformats.org/officeDocument/2006/relationships/hyperlink" Target="https://drive.google.com/a/binghamton.edu/file/d/0B-BMeyhXwSzWMlZTUXA3SGk2UTQ/view" TargetMode="External"/><Relationship Id="rId255" Type="http://schemas.openxmlformats.org/officeDocument/2006/relationships/hyperlink" Target="https://drive.google.com/a/binghamton.edu/file/d/0B_lCd4vI8wOKN2lVSkJRS3NwRm8/view" TargetMode="External"/><Relationship Id="rId376" Type="http://schemas.openxmlformats.org/officeDocument/2006/relationships/hyperlink" Target="https://drive.google.com/a/binghamton.edu/file/d/0B_lCd4vI8wOKU2VDYWFSYkloVE0/view" TargetMode="External"/><Relationship Id="rId497" Type="http://schemas.openxmlformats.org/officeDocument/2006/relationships/hyperlink" Target="https://innovareacademics.in/journals/index.php/ijap/article/view/33559" TargetMode="External"/><Relationship Id="rId133" Type="http://schemas.openxmlformats.org/officeDocument/2006/relationships/hyperlink" Target="https://drive.google.com/open?id=0B83NpKM_pV1sRnFEalFJQk41V2s" TargetMode="External"/><Relationship Id="rId254" Type="http://schemas.openxmlformats.org/officeDocument/2006/relationships/hyperlink" Target="https://drive.google.com/a/binghamton.edu/file/d/0B-BMeyhXwSzWUUZIM0ZEbzc2dGs/view" TargetMode="External"/><Relationship Id="rId375" Type="http://schemas.openxmlformats.org/officeDocument/2006/relationships/hyperlink" Target="https://drive.google.com/a/binghamton.edu/file/d/0B5uKCExuj58mY29lSExIN3BLeU0/view" TargetMode="External"/><Relationship Id="rId496" Type="http://schemas.openxmlformats.org/officeDocument/2006/relationships/hyperlink" Target="https://drive.google.com/a/binghamton.edu/file/d/0B-BMeyhXwSzWNUljMmdjLUxSTWM/view" TargetMode="External"/><Relationship Id="rId172" Type="http://schemas.openxmlformats.org/officeDocument/2006/relationships/hyperlink" Target="https://drive.google.com/a/binghamton.edu/file/d/0B_lCd4vI8wOKZ0thSHlyajZYN3M/view" TargetMode="External"/><Relationship Id="rId293" Type="http://schemas.openxmlformats.org/officeDocument/2006/relationships/hyperlink" Target="https://drive.google.com/file/d/0B_lCd4vI8wOKNW9BY1JRbkdGQ2s/view?usp=sharing" TargetMode="External"/><Relationship Id="rId171" Type="http://schemas.openxmlformats.org/officeDocument/2006/relationships/hyperlink" Target="https://drive.google.com/file/d/0B_lCd4vI8wOKdnlDanJ3RGRhTUk/view?usp=sharing" TargetMode="External"/><Relationship Id="rId292" Type="http://schemas.openxmlformats.org/officeDocument/2006/relationships/hyperlink" Target="https://drive.google.com/a/binghamton.edu/file/d/0B-BMeyhXwSzWb0xpN3E0Q2ZrZGM/view" TargetMode="External"/><Relationship Id="rId170" Type="http://schemas.openxmlformats.org/officeDocument/2006/relationships/hyperlink" Target="https://drive.google.com/a/binghamton.edu/file/d/0BzjZoBQGkMymakl4d0JyYjdxUU0/view" TargetMode="External"/><Relationship Id="rId291" Type="http://schemas.openxmlformats.org/officeDocument/2006/relationships/hyperlink" Target="https://drive.google.com/open?id=0B83NpKM_pV1sMkdkbzEzOE8yUlU" TargetMode="External"/><Relationship Id="rId290" Type="http://schemas.openxmlformats.org/officeDocument/2006/relationships/hyperlink" Target="https://drive.google.com/file/d/0B_lCd4vI8wOKNW9BY1JRbkdGQ2s/view?usp=sharing" TargetMode="External"/><Relationship Id="rId165" Type="http://schemas.openxmlformats.org/officeDocument/2006/relationships/hyperlink" Target="https://drive.google.com/file/d/0B_lCd4vI8wOKY01XSW1wOGVmUHc/view?usp=sharing" TargetMode="External"/><Relationship Id="rId286" Type="http://schemas.openxmlformats.org/officeDocument/2006/relationships/hyperlink" Target="https://drive.google.com/a/binghamton.edu/file/d/0B5uKCExuj58mSF9fTGVVMlRzWjQ/view" TargetMode="External"/><Relationship Id="rId164" Type="http://schemas.openxmlformats.org/officeDocument/2006/relationships/hyperlink" Target="https://drive.google.com/a/binghamton.edu/file/d/0BzjZoBQGkMymakl4d0JyYjdxUU0/view" TargetMode="External"/><Relationship Id="rId285" Type="http://schemas.openxmlformats.org/officeDocument/2006/relationships/hyperlink" Target="https://drive.google.com/open?id=0B83NpKM_pV1sMkdkbzEzOE8yUlU" TargetMode="External"/><Relationship Id="rId163" Type="http://schemas.openxmlformats.org/officeDocument/2006/relationships/hyperlink" Target="https://drive.google.com/open?id=0B83NpKM_pV1sNEJ5VXJhY1VxVGs" TargetMode="External"/><Relationship Id="rId284" Type="http://schemas.openxmlformats.org/officeDocument/2006/relationships/hyperlink" Target="https://drive.google.com/file/d/0B_lCd4vI8wOKU0lnZVRtNk0xaDA/view?usp=sharing" TargetMode="External"/><Relationship Id="rId162" Type="http://schemas.openxmlformats.org/officeDocument/2006/relationships/hyperlink" Target="https://drive.google.com/file/d/0B_lCd4vI8wOKY01XSW1wOGVmUHc/view?usp=sharing" TargetMode="External"/><Relationship Id="rId283" Type="http://schemas.openxmlformats.org/officeDocument/2006/relationships/hyperlink" Target="https://drive.google.com/a/binghamton.edu/file/d/0B5uKCExuj58mSF9fTGVVMlRzWjQ/view" TargetMode="External"/><Relationship Id="rId169" Type="http://schemas.openxmlformats.org/officeDocument/2006/relationships/hyperlink" Target="https://drive.google.com/open?id=0B83NpKM_pV1sNEJ5VXJhY1VxVGs" TargetMode="External"/><Relationship Id="rId168" Type="http://schemas.openxmlformats.org/officeDocument/2006/relationships/hyperlink" Target="https://drive.google.com/file/d/0B_lCd4vI8wOKdnlDanJ3RGRhTUk/view?usp=sharing" TargetMode="External"/><Relationship Id="rId289" Type="http://schemas.openxmlformats.org/officeDocument/2006/relationships/hyperlink" Target="https://drive.google.com/a/binghamton.edu/file/d/0B-BMeyhXwSzWb0xpN3E0Q2ZrZGM/view" TargetMode="External"/><Relationship Id="rId167" Type="http://schemas.openxmlformats.org/officeDocument/2006/relationships/hyperlink" Target="https://drive.google.com/a/binghamton.edu/file/d/0BzjZoBQGkMymakl4d0JyYjdxUU0/view" TargetMode="External"/><Relationship Id="rId288" Type="http://schemas.openxmlformats.org/officeDocument/2006/relationships/hyperlink" Target="https://drive.google.com/open?id=0B83NpKM_pV1sMkdkbzEzOE8yUlU" TargetMode="External"/><Relationship Id="rId166" Type="http://schemas.openxmlformats.org/officeDocument/2006/relationships/hyperlink" Target="https://drive.google.com/open?id=0B83NpKM_pV1sNEJ5VXJhY1VxVGs" TargetMode="External"/><Relationship Id="rId287" Type="http://schemas.openxmlformats.org/officeDocument/2006/relationships/hyperlink" Target="https://drive.google.com/file/d/0B_lCd4vI8wOKU0lnZVRtNk0xaDA/view?usp=sharing" TargetMode="External"/><Relationship Id="rId161" Type="http://schemas.openxmlformats.org/officeDocument/2006/relationships/hyperlink" Target="https://drive.google.com/a/binghamton.edu/file/d/0BzjZoBQGkMymakl4d0JyYjdxUU0/view" TargetMode="External"/><Relationship Id="rId282" Type="http://schemas.openxmlformats.org/officeDocument/2006/relationships/hyperlink" Target="https://drive.google.com/open?id=0B83NpKM_pV1sMkdkbzEzOE8yUlU" TargetMode="External"/><Relationship Id="rId160" Type="http://schemas.openxmlformats.org/officeDocument/2006/relationships/hyperlink" Target="https://drive.google.com/open?id=0B83NpKM_pV1sNEJ5VXJhY1VxVGs" TargetMode="External"/><Relationship Id="rId281" Type="http://schemas.openxmlformats.org/officeDocument/2006/relationships/hyperlink" Target="https://drive.google.com/file/d/0B_lCd4vI8wOKU0lnZVRtNk0xaDA/view?usp=sharing" TargetMode="External"/><Relationship Id="rId280" Type="http://schemas.openxmlformats.org/officeDocument/2006/relationships/hyperlink" Target="https://drive.google.com/a/binghamton.edu/file/d/0B5uKCExuj58mSF9fTGVVMlRzWjQ/view" TargetMode="External"/><Relationship Id="rId159" Type="http://schemas.openxmlformats.org/officeDocument/2006/relationships/hyperlink" Target="https://drive.google.com/file/d/0B_lCd4vI8wOKY01XSW1wOGVmUHc/view?usp=sharing" TargetMode="External"/><Relationship Id="rId154" Type="http://schemas.openxmlformats.org/officeDocument/2006/relationships/hyperlink" Target="https://drive.google.com/open?id=0B83NpKM_pV1sNEJ5VXJhY1VxVGs" TargetMode="External"/><Relationship Id="rId275" Type="http://schemas.openxmlformats.org/officeDocument/2006/relationships/hyperlink" Target="https://drive.google.com/a/binghamton.edu/file/d/0B5uKCExuj58mY3ZqYkRFVG9YVUk/view" TargetMode="External"/><Relationship Id="rId396" Type="http://schemas.openxmlformats.org/officeDocument/2006/relationships/hyperlink" Target="https://drive.google.com/a/binghamton.edu/file/d/0B-BMeyhXwSzWdko2dXRlZFVUM2s/view" TargetMode="External"/><Relationship Id="rId153" Type="http://schemas.openxmlformats.org/officeDocument/2006/relationships/hyperlink" Target="https://drive.google.com/file/d/0B_lCd4vI8wOKY01XSW1wOGVmUHc/view?usp=sharing" TargetMode="External"/><Relationship Id="rId274" Type="http://schemas.openxmlformats.org/officeDocument/2006/relationships/hyperlink" Target="https://drive.google.com/file/d/0B812JSakX9u5MFVIaWNaejUtZGc/view?usp=sharing" TargetMode="External"/><Relationship Id="rId395" Type="http://schemas.openxmlformats.org/officeDocument/2006/relationships/hyperlink" Target="https://pubmed.ncbi.nlm.nih.gov/31110573/" TargetMode="External"/><Relationship Id="rId152" Type="http://schemas.openxmlformats.org/officeDocument/2006/relationships/hyperlink" Target="https://drive.google.com/a/binghamton.edu/file/d/0B-BMeyhXwSzWVnRNVWllbEJRUDA/view" TargetMode="External"/><Relationship Id="rId273" Type="http://schemas.openxmlformats.org/officeDocument/2006/relationships/hyperlink" Target="https://drive.google.com/file/d/0B_lCd4vI8wOKU0lnZVRtNk0xaDA/view?usp=sharing" TargetMode="External"/><Relationship Id="rId394" Type="http://schemas.openxmlformats.org/officeDocument/2006/relationships/hyperlink" Target="https://drive.google.com/file/d/0B_lCd4vI8wOKZkdxOUpaUTVrTEU/view?usp=sharing" TargetMode="External"/><Relationship Id="rId151" Type="http://schemas.openxmlformats.org/officeDocument/2006/relationships/hyperlink" Target="https://drive.google.com/open?id=0B83NpKM_pV1sNEJ5VXJhY1VxVGs" TargetMode="External"/><Relationship Id="rId272" Type="http://schemas.openxmlformats.org/officeDocument/2006/relationships/hyperlink" Target="https://drive.google.com/a/binghamton.edu/file/d/0B5uKCExuj58mY3ZqYkRFVG9YVUk/view" TargetMode="External"/><Relationship Id="rId393" Type="http://schemas.openxmlformats.org/officeDocument/2006/relationships/hyperlink" Target="https://drive.google.com/a/binghamton.edu/file/d/0B-BMeyhXwSzWdko2dXRlZFVUM2s/view" TargetMode="External"/><Relationship Id="rId158" Type="http://schemas.openxmlformats.org/officeDocument/2006/relationships/hyperlink" Target="https://drive.google.com/a/binghamton.edu/file/d/0B-BMeyhXwSzWVnRNVWllbEJRUDA/view" TargetMode="External"/><Relationship Id="rId279" Type="http://schemas.openxmlformats.org/officeDocument/2006/relationships/hyperlink" Target="https://drive.google.com/file/d/0B_lCd4vI8wOKU0lnZVRtNk0xaDA/view?usp=sharing" TargetMode="External"/><Relationship Id="rId157" Type="http://schemas.openxmlformats.org/officeDocument/2006/relationships/hyperlink" Target="https://drive.google.com/open?id=0B83NpKM_pV1sNEJ5VXJhY1VxVGs" TargetMode="External"/><Relationship Id="rId278" Type="http://schemas.openxmlformats.org/officeDocument/2006/relationships/hyperlink" Target="https://drive.google.com/a/binghamton.edu/file/d/0B5uKCExuj58mdmtsanVFMUtaLTQ/view" TargetMode="External"/><Relationship Id="rId399" Type="http://schemas.openxmlformats.org/officeDocument/2006/relationships/hyperlink" Target="https://drive.google.com/a/binghamton.edu/file/d/0B-BMeyhXwSzWdko2dXRlZFVUM2s/view" TargetMode="External"/><Relationship Id="rId156" Type="http://schemas.openxmlformats.org/officeDocument/2006/relationships/hyperlink" Target="https://drive.google.com/file/d/0B_lCd4vI8wOKY01XSW1wOGVmUHc/view?usp=sharing" TargetMode="External"/><Relationship Id="rId277" Type="http://schemas.openxmlformats.org/officeDocument/2006/relationships/hyperlink" Target="https://drive.google.com/file/d/0B812JSakX9u5MFVIaWNaejUtZGc/view?usp=sharing" TargetMode="External"/><Relationship Id="rId398" Type="http://schemas.openxmlformats.org/officeDocument/2006/relationships/hyperlink" Target="https://pubmed.ncbi.nlm.nih.gov/28864027/" TargetMode="External"/><Relationship Id="rId155" Type="http://schemas.openxmlformats.org/officeDocument/2006/relationships/hyperlink" Target="https://drive.google.com/a/binghamton.edu/file/d/0B-BMeyhXwSzWVnRNVWllbEJRUDA/view" TargetMode="External"/><Relationship Id="rId276" Type="http://schemas.openxmlformats.org/officeDocument/2006/relationships/hyperlink" Target="https://drive.google.com/file/d/0B_lCd4vI8wOKU0lnZVRtNk0xaDA/view?usp=sharing" TargetMode="External"/><Relationship Id="rId397" Type="http://schemas.openxmlformats.org/officeDocument/2006/relationships/hyperlink" Target="https://drive.google.com/a/binghamton.edu/file/d/0B-BMeyhXwSzWUjN6d2VDLWFWazA/view" TargetMode="External"/><Relationship Id="rId40" Type="http://schemas.openxmlformats.org/officeDocument/2006/relationships/hyperlink" Target="https://drive.google.com/file/d/0B_lCd4vI8wOKNnQxZU9uRzRFRUE/view?usp=sharing" TargetMode="External"/><Relationship Id="rId42" Type="http://schemas.openxmlformats.org/officeDocument/2006/relationships/hyperlink" Target="https://drive.google.com/a/binghamton.edu/file/d/0B_lCd4vI8wOKWVdEWGgtNWY5bUk/view" TargetMode="External"/><Relationship Id="rId41" Type="http://schemas.openxmlformats.org/officeDocument/2006/relationships/hyperlink" Target="https://drive.google.com/file/d/0B83NpKM_pV1scDRuUTRUMGFXaTg/view?usp=sharing" TargetMode="External"/><Relationship Id="rId44" Type="http://schemas.openxmlformats.org/officeDocument/2006/relationships/hyperlink" Target="https://drive.google.com/file/d/0B83NpKM_pV1scDRuUTRUMGFXaTg/view?usp=sharing" TargetMode="External"/><Relationship Id="rId43" Type="http://schemas.openxmlformats.org/officeDocument/2006/relationships/hyperlink" Target="https://drive.google.com/folderview?id=0B_lCd4vI8wOKQ0NsaTNkRVlQX2s&amp;usp=sharing" TargetMode="External"/><Relationship Id="rId46" Type="http://schemas.openxmlformats.org/officeDocument/2006/relationships/hyperlink" Target="https://drive.google.com/folderview?id=0B_lCd4vI8wOKQ0NsaTNkRVlQX2s&amp;usp=sharing" TargetMode="External"/><Relationship Id="rId45" Type="http://schemas.openxmlformats.org/officeDocument/2006/relationships/hyperlink" Target="https://drive.google.com/a/binghamton.edu/file/d/0B_lCd4vI8wOKR2ExUUtBeUtqdTg/view" TargetMode="External"/><Relationship Id="rId509" Type="http://schemas.openxmlformats.org/officeDocument/2006/relationships/hyperlink" Target="https://www-sciencedirect-com.proxy.binghamton.edu/science/article/pii/S1473309918302202" TargetMode="External"/><Relationship Id="rId508" Type="http://schemas.openxmlformats.org/officeDocument/2006/relationships/hyperlink" Target="https://drive.google.com/a/binghamton.edu/file/d/0B-BMeyhXwSzWeE80TDAzTThoSWc/view" TargetMode="External"/><Relationship Id="rId629" Type="http://schemas.openxmlformats.org/officeDocument/2006/relationships/hyperlink" Target="https://drive.google.com/open?id=0B-gS7RLhwu-rOWxaSEhQX2tneU0" TargetMode="External"/><Relationship Id="rId503" Type="http://schemas.openxmlformats.org/officeDocument/2006/relationships/hyperlink" Target="https://inabj.org/index.php/ibj/article/view/920" TargetMode="External"/><Relationship Id="rId624" Type="http://schemas.openxmlformats.org/officeDocument/2006/relationships/hyperlink" Target="https://drive.google.com/open?id=0B-gS7RLhwu-rYUJYeTJKS1VkRjA" TargetMode="External"/><Relationship Id="rId502" Type="http://schemas.openxmlformats.org/officeDocument/2006/relationships/hyperlink" Target="https://drive.google.com/a/binghamton.edu/file/d/0B-BMeyhXwSzWdE5wU3dOVEY2Q28/view" TargetMode="External"/><Relationship Id="rId623" Type="http://schemas.openxmlformats.org/officeDocument/2006/relationships/hyperlink" Target="https://drive.google.com/open?id=0B-gS7RLhwu-rYUJYeTJKS1VkRjA" TargetMode="External"/><Relationship Id="rId501" Type="http://schemas.openxmlformats.org/officeDocument/2006/relationships/hyperlink" Target="https://inabj.org/index.php/ibj/article/view/920" TargetMode="External"/><Relationship Id="rId622" Type="http://schemas.openxmlformats.org/officeDocument/2006/relationships/hyperlink" Target="https://drive.google.com/open?id=0B-gS7RLhwu-rYUJYeTJKS1VkRjA" TargetMode="External"/><Relationship Id="rId500" Type="http://schemas.openxmlformats.org/officeDocument/2006/relationships/hyperlink" Target="https://drive.google.com/a/binghamton.edu/file/d/0B-BMeyhXwSzWNUljMmdjLUxSTWM/view" TargetMode="External"/><Relationship Id="rId621" Type="http://schemas.openxmlformats.org/officeDocument/2006/relationships/hyperlink" Target="https://drive.google.com/open?id=0B-gS7RLhwu-rc2NHOHRaNnRHTm8" TargetMode="External"/><Relationship Id="rId507" Type="http://schemas.openxmlformats.org/officeDocument/2006/relationships/hyperlink" Target="https://www-sciencedirect-com.proxy.binghamton.edu/science/article/pii/S1473309918302202" TargetMode="External"/><Relationship Id="rId628" Type="http://schemas.openxmlformats.org/officeDocument/2006/relationships/hyperlink" Target="https://drive.google.com/open?id=0B-gS7RLhwu-reERLVkZ4R2pBUHM" TargetMode="External"/><Relationship Id="rId506" Type="http://schemas.openxmlformats.org/officeDocument/2006/relationships/hyperlink" Target="https://drive.google.com/a/binghamton.edu/file/d/0B-BMeyhXwSzWZXFWbzF4MmZmaWs/view" TargetMode="External"/><Relationship Id="rId627" Type="http://schemas.openxmlformats.org/officeDocument/2006/relationships/hyperlink" Target="https://drive.google.com/open?id=0B-gS7RLhwu-rTnBSVmRCbUlNTWM" TargetMode="External"/><Relationship Id="rId505" Type="http://schemas.openxmlformats.org/officeDocument/2006/relationships/hyperlink" Target="https://www-sciencedirect-com.proxy.binghamton.edu/science/article/pii/S1473309918302202" TargetMode="External"/><Relationship Id="rId626" Type="http://schemas.openxmlformats.org/officeDocument/2006/relationships/hyperlink" Target="https://drive.google.com/open?id=0B-gS7RLhwu-rYWMxbXJ2MmJmREk" TargetMode="External"/><Relationship Id="rId504" Type="http://schemas.openxmlformats.org/officeDocument/2006/relationships/hyperlink" Target="https://drive.google.com/a/binghamton.edu/file/d/0B-BMeyhXwSzWdE5wU3dOVEY2Q28/view" TargetMode="External"/><Relationship Id="rId625" Type="http://schemas.openxmlformats.org/officeDocument/2006/relationships/hyperlink" Target="https://drive.google.com/open?id=0B-gS7RLhwu-rc2o1UUhuZENvbEU" TargetMode="External"/><Relationship Id="rId48" Type="http://schemas.openxmlformats.org/officeDocument/2006/relationships/hyperlink" Target="https://drive.google.com/a/binghamton.edu/file/d/0B_lCd4vI8wOKR2ExUUtBeUtqdTg/view" TargetMode="External"/><Relationship Id="rId47" Type="http://schemas.openxmlformats.org/officeDocument/2006/relationships/hyperlink" Target="https://drive.google.com/file/d/0B83NpKM_pV1scDRuUTRUMGFXaTg/view?usp=sharing" TargetMode="External"/><Relationship Id="rId49" Type="http://schemas.openxmlformats.org/officeDocument/2006/relationships/hyperlink" Target="https://drive.google.com/file/d/0B_lCd4vI8wOKaEplNzdjR3ZLQzQ/view?usp=sharing" TargetMode="External"/><Relationship Id="rId620" Type="http://schemas.openxmlformats.org/officeDocument/2006/relationships/hyperlink" Target="https://drive.google.com/open?id=0B-gS7RLhwu-rc2NHOHRaNnRHTm8" TargetMode="External"/><Relationship Id="rId31" Type="http://schemas.openxmlformats.org/officeDocument/2006/relationships/hyperlink" Target="https://drive.google.com/file/d/0B_lCd4vI8wOKNnQxZU9uRzRFRUE/view?usp=sharing" TargetMode="External"/><Relationship Id="rId30" Type="http://schemas.openxmlformats.org/officeDocument/2006/relationships/hyperlink" Target="https://drive.google.com/file/d/0B-BMeyhXwSzWc3BYQk52eG5jODA/view?usp=sharing" TargetMode="External"/><Relationship Id="rId33" Type="http://schemas.openxmlformats.org/officeDocument/2006/relationships/hyperlink" Target="https://drive.google.com/a/binghamton.edu/file/d/0B_lCd4vI8wOKWVdEWGgtNWY5bUk/view" TargetMode="External"/><Relationship Id="rId32" Type="http://schemas.openxmlformats.org/officeDocument/2006/relationships/hyperlink" Target="https://drive.google.com/open?id=0B83NpKM_pV1sZ0U3UWZndUpmc0U" TargetMode="External"/><Relationship Id="rId35" Type="http://schemas.openxmlformats.org/officeDocument/2006/relationships/hyperlink" Target="https://drive.google.com/open?id=0B83NpKM_pV1sZ0U3UWZndUpmc0U" TargetMode="External"/><Relationship Id="rId34" Type="http://schemas.openxmlformats.org/officeDocument/2006/relationships/hyperlink" Target="https://drive.google.com/file/d/0B_lCd4vI8wOKNnQxZU9uRzRFRUE/view?usp=sharing" TargetMode="External"/><Relationship Id="rId619" Type="http://schemas.openxmlformats.org/officeDocument/2006/relationships/hyperlink" Target="https://drive.google.com/open?id=0B-gS7RLhwu-rc2NHOHRaNnRHTm8" TargetMode="External"/><Relationship Id="rId618" Type="http://schemas.openxmlformats.org/officeDocument/2006/relationships/hyperlink" Target="https://drive.google.com/open?id=0B-gS7RLhwu-rc2NHOHRaNnRHTm8" TargetMode="External"/><Relationship Id="rId613" Type="http://schemas.openxmlformats.org/officeDocument/2006/relationships/hyperlink" Target="https://drive.google.com/open?id=0B-gS7RLhwu-rZTkyUzNvN2pSLU0" TargetMode="External"/><Relationship Id="rId612" Type="http://schemas.openxmlformats.org/officeDocument/2006/relationships/hyperlink" Target="https://drive.google.com/open?id=0B-gS7RLhwu-rZTkyUzNvN2pSLU0" TargetMode="External"/><Relationship Id="rId611" Type="http://schemas.openxmlformats.org/officeDocument/2006/relationships/hyperlink" Target="https://drive.google.com/open?id=0B-gS7RLhwu-rZTkyUzNvN2pSLU0" TargetMode="External"/><Relationship Id="rId610" Type="http://schemas.openxmlformats.org/officeDocument/2006/relationships/hyperlink" Target="https://drive.google.com/open?id=0B-gS7RLhwu-rZTkyUzNvN2pSLU0" TargetMode="External"/><Relationship Id="rId617" Type="http://schemas.openxmlformats.org/officeDocument/2006/relationships/hyperlink" Target="https://drive.google.com/open?id=0B-gS7RLhwu-rWnB4WHlLdTZncTg" TargetMode="External"/><Relationship Id="rId616" Type="http://schemas.openxmlformats.org/officeDocument/2006/relationships/hyperlink" Target="https://drive.google.com/open?id=0B-gS7RLhwu-rMUdmQ3NqU1FjeDg" TargetMode="External"/><Relationship Id="rId615" Type="http://schemas.openxmlformats.org/officeDocument/2006/relationships/hyperlink" Target="https://drive.google.com/open?id=0B-gS7RLhwu-rOG5MUTI0RlFHaW8" TargetMode="External"/><Relationship Id="rId614" Type="http://schemas.openxmlformats.org/officeDocument/2006/relationships/hyperlink" Target="https://drive.google.com/open?id=0B-gS7RLhwu-rOG5MUTI0RlFHaW8" TargetMode="External"/><Relationship Id="rId37" Type="http://schemas.openxmlformats.org/officeDocument/2006/relationships/hyperlink" Target="https://drive.google.com/file/d/0B_lCd4vI8wOKNnQxZU9uRzRFRUE/view?usp=sharing" TargetMode="External"/><Relationship Id="rId36" Type="http://schemas.openxmlformats.org/officeDocument/2006/relationships/hyperlink" Target="https://drive.google.com/a/binghamton.edu/file/d/0B_lCd4vI8wOKWVdEWGgtNWY5bUk/view" TargetMode="External"/><Relationship Id="rId39" Type="http://schemas.openxmlformats.org/officeDocument/2006/relationships/hyperlink" Target="https://drive.google.com/a/binghamton.edu/file/d/0B_lCd4vI8wOKWVdEWGgtNWY5bUk/view" TargetMode="External"/><Relationship Id="rId38" Type="http://schemas.openxmlformats.org/officeDocument/2006/relationships/hyperlink" Target="https://drive.google.com/file/d/0B83NpKM_pV1scDRuUTRUMGFXaTg/view?usp=sharing" TargetMode="External"/><Relationship Id="rId20" Type="http://schemas.openxmlformats.org/officeDocument/2006/relationships/hyperlink" Target="https://drive.google.com/open?id=0B83NpKM_pV1seXUxSHVtYVZldzg" TargetMode="External"/><Relationship Id="rId22" Type="http://schemas.openxmlformats.org/officeDocument/2006/relationships/hyperlink" Target="https://drive.google.com/file/d/0B_lCd4vI8wOKZjk4dVZJNDFnbUU/view?usp=sharing" TargetMode="External"/><Relationship Id="rId21" Type="http://schemas.openxmlformats.org/officeDocument/2006/relationships/hyperlink" Target="https://drive.google.com/a/binghamton.edu/file/d/0B_lCd4vI8wOKX2FleUxuTnlFNms/view" TargetMode="External"/><Relationship Id="rId24" Type="http://schemas.openxmlformats.org/officeDocument/2006/relationships/hyperlink" Target="https://drive.google.com/a/binghamton.edu/file/d/0B_lCd4vI8wOKRGlnSTI4OWtHUGc/view" TargetMode="External"/><Relationship Id="rId23" Type="http://schemas.openxmlformats.org/officeDocument/2006/relationships/hyperlink" Target="https://drive.google.com/open?id=0B83NpKM_pV1sVTZsMmpiM3h3U0U" TargetMode="External"/><Relationship Id="rId409" Type="http://schemas.openxmlformats.org/officeDocument/2006/relationships/hyperlink" Target="https://pubmed.ncbi.nlm.nih.gov/28864027/" TargetMode="External"/><Relationship Id="rId404" Type="http://schemas.openxmlformats.org/officeDocument/2006/relationships/hyperlink" Target="https://pubmed.ncbi.nlm.nih.gov/28864027/" TargetMode="External"/><Relationship Id="rId525" Type="http://schemas.openxmlformats.org/officeDocument/2006/relationships/hyperlink" Target="https://journals.plos.org/plosntds/article?id=10.1371/journal.pntd.0003046" TargetMode="External"/><Relationship Id="rId646" Type="http://schemas.openxmlformats.org/officeDocument/2006/relationships/hyperlink" Target="https://drive.google.com/open?id=0B-gS7RLhwu-rRWxWZ1FsRVYxRzg" TargetMode="External"/><Relationship Id="rId403" Type="http://schemas.openxmlformats.org/officeDocument/2006/relationships/hyperlink" Target="https://drive.google.com/a/binghamton.edu/file/d/0B-BMeyhXwSzWQ1k4SHdQakFXa28/view" TargetMode="External"/><Relationship Id="rId524" Type="http://schemas.openxmlformats.org/officeDocument/2006/relationships/hyperlink" Target="https://drive.google.com/a/binghamton.edu/file/d/0B-BMeyhXwSzWS0ladWRYVERHU1U/view" TargetMode="External"/><Relationship Id="rId645" Type="http://schemas.openxmlformats.org/officeDocument/2006/relationships/hyperlink" Target="https://drive.google.com/open?id=0B-gS7RLhwu-reE1XY040QlduRmM" TargetMode="External"/><Relationship Id="rId402" Type="http://schemas.openxmlformats.org/officeDocument/2006/relationships/hyperlink" Target="https://drive.google.com/a/binghamton.edu/file/d/0B_lCd4vI8wOKRC1kSmo4Z0huYmc/view" TargetMode="External"/><Relationship Id="rId523" Type="http://schemas.openxmlformats.org/officeDocument/2006/relationships/hyperlink" Target="https://www.ajol.info//index.php/eamj/article/view/9142" TargetMode="External"/><Relationship Id="rId644" Type="http://schemas.openxmlformats.org/officeDocument/2006/relationships/hyperlink" Target="https://drive.google.com/open?id=0B-gS7RLhwu-rNEtyUEJ3eWtKTnM" TargetMode="External"/><Relationship Id="rId401" Type="http://schemas.openxmlformats.org/officeDocument/2006/relationships/hyperlink" Target="https://pubmed.ncbi.nlm.nih.gov/28864027/" TargetMode="External"/><Relationship Id="rId522" Type="http://schemas.openxmlformats.org/officeDocument/2006/relationships/hyperlink" Target="https://drive.google.com/a/binghamton.edu/file/d/0B-BMeyhXwSzWb2FDalVyNDBfcTQ/view" TargetMode="External"/><Relationship Id="rId643" Type="http://schemas.openxmlformats.org/officeDocument/2006/relationships/hyperlink" Target="https://drive.google.com/open?id=0B-gS7RLhwu-rcEhsV1l0cGwyUWM" TargetMode="External"/><Relationship Id="rId408" Type="http://schemas.openxmlformats.org/officeDocument/2006/relationships/hyperlink" Target="https://drive.google.com/a/binghamton.edu/file/d/0B_lCd4vI8wOKRC1kSmo4Z0huYmc/view" TargetMode="External"/><Relationship Id="rId529" Type="http://schemas.openxmlformats.org/officeDocument/2006/relationships/hyperlink" Target="https://drive.google.com/a/binghamton.edu/file/d/0B-BMeyhXwSzWdnFaX0ttclg1d2s/view" TargetMode="External"/><Relationship Id="rId407" Type="http://schemas.openxmlformats.org/officeDocument/2006/relationships/hyperlink" Target="https://pubmed.ncbi.nlm.nih.gov/28864027/" TargetMode="External"/><Relationship Id="rId528" Type="http://schemas.openxmlformats.org/officeDocument/2006/relationships/hyperlink" Target="https://drive.google.com/a/binghamton.edu/file/d/0B-BMeyhXwSzWdnFaX0ttclg1d2s/view" TargetMode="External"/><Relationship Id="rId649" Type="http://schemas.openxmlformats.org/officeDocument/2006/relationships/hyperlink" Target="https://drive.google.com/open?id=0B-gS7RLhwu-rZlRwZ3VOdDRqU0U" TargetMode="External"/><Relationship Id="rId406" Type="http://schemas.openxmlformats.org/officeDocument/2006/relationships/hyperlink" Target="https://drive.google.com/file/d/0B_lCd4vI8wOKUWlIZXNWSHQ0YWs/view?usp=sharing" TargetMode="External"/><Relationship Id="rId527" Type="http://schemas.openxmlformats.org/officeDocument/2006/relationships/hyperlink" Target="https://drive.google.com/a/binghamton.edu/file/d/0B-BMeyhXwSzWdnFaX0ttclg1d2s/view" TargetMode="External"/><Relationship Id="rId648" Type="http://schemas.openxmlformats.org/officeDocument/2006/relationships/hyperlink" Target="https://drive.google.com/open?id=0B-gS7RLhwu-rb0h4LXpxTkFhb1U" TargetMode="External"/><Relationship Id="rId405" Type="http://schemas.openxmlformats.org/officeDocument/2006/relationships/hyperlink" Target="https://drive.google.com/a/binghamton.edu/file/d/0B_lCd4vI8wOKRC1kSmo4Z0huYmc/view" TargetMode="External"/><Relationship Id="rId526" Type="http://schemas.openxmlformats.org/officeDocument/2006/relationships/hyperlink" Target="https://drive.google.com/a/binghamton.edu/file/d/0B-BMeyhXwSzWdnFaX0ttclg1d2s/view" TargetMode="External"/><Relationship Id="rId647" Type="http://schemas.openxmlformats.org/officeDocument/2006/relationships/hyperlink" Target="https://drive.google.com/open?id=0B-gS7RLhwu-raUIyMGhRcURlVmM" TargetMode="External"/><Relationship Id="rId26" Type="http://schemas.openxmlformats.org/officeDocument/2006/relationships/hyperlink" Target="https://drive.google.com/open?id=0B83NpKM_pV1sZ0U3UWZndUpmc0U" TargetMode="External"/><Relationship Id="rId25" Type="http://schemas.openxmlformats.org/officeDocument/2006/relationships/hyperlink" Target="https://drive.google.com/file/d/0B_lCd4vI8wOKRE5hejZGOGJRNjg/view?usp=sharing" TargetMode="External"/><Relationship Id="rId28" Type="http://schemas.openxmlformats.org/officeDocument/2006/relationships/hyperlink" Target="https://drive.google.com/file/d/0B_lCd4vI8wOKRE5hejZGOGJRNjg/view?usp=sharing" TargetMode="External"/><Relationship Id="rId27" Type="http://schemas.openxmlformats.org/officeDocument/2006/relationships/hyperlink" Target="https://drive.google.com/file/d/0B-BMeyhXwSzWc3BYQk52eG5jODA/view?usp=sharing" TargetMode="External"/><Relationship Id="rId400" Type="http://schemas.openxmlformats.org/officeDocument/2006/relationships/hyperlink" Target="https://drive.google.com/a/binghamton.edu/file/d/0B-BMeyhXwSzWUjN6d2VDLWFWazA/view" TargetMode="External"/><Relationship Id="rId521" Type="http://schemas.openxmlformats.org/officeDocument/2006/relationships/hyperlink" Target="https://www.ajol.info//index.php/eamj/article/view/9142" TargetMode="External"/><Relationship Id="rId642" Type="http://schemas.openxmlformats.org/officeDocument/2006/relationships/hyperlink" Target="https://drive.google.com/open?id=0B-gS7RLhwu-rcWkwR0hNYXpmT0E" TargetMode="External"/><Relationship Id="rId29" Type="http://schemas.openxmlformats.org/officeDocument/2006/relationships/hyperlink" Target="https://drive.google.com/open?id=0B83NpKM_pV1sZ0U3UWZndUpmc0U" TargetMode="External"/><Relationship Id="rId520" Type="http://schemas.openxmlformats.org/officeDocument/2006/relationships/hyperlink" Target="https://drive.google.com/a/binghamton.edu/file/d/0B-BMeyhXwSzWb2FDalVyNDBfcTQ/view" TargetMode="External"/><Relationship Id="rId641" Type="http://schemas.openxmlformats.org/officeDocument/2006/relationships/hyperlink" Target="https://drive.google.com/open?id=0B-gS7RLhwu-rdEcxU0c4bFk0RUU" TargetMode="External"/><Relationship Id="rId640" Type="http://schemas.openxmlformats.org/officeDocument/2006/relationships/hyperlink" Target="https://drive.google.com/open?id=0B-gS7RLhwu-rSkJ0WjBnSnFPdFU" TargetMode="External"/><Relationship Id="rId11" Type="http://schemas.openxmlformats.org/officeDocument/2006/relationships/hyperlink" Target="https://drive.google.com/file/d/0B83NpKM_pV1scmFSLXgtdjBfcGs/view?usp=sharing" TargetMode="External"/><Relationship Id="rId10" Type="http://schemas.openxmlformats.org/officeDocument/2006/relationships/hyperlink" Target="https://drive.google.com/file/d/0B_lCd4vI8wOKQ3VGQ2plM2hNTDg/view?usp=sharing" TargetMode="External"/><Relationship Id="rId13" Type="http://schemas.openxmlformats.org/officeDocument/2006/relationships/hyperlink" Target="https://drive.google.com/file/d/0B_lCd4vI8wOKQ3VGQ2plM2hNTDg/view?usp=sharing" TargetMode="External"/><Relationship Id="rId12" Type="http://schemas.openxmlformats.org/officeDocument/2006/relationships/hyperlink" Target="https://drive.google.com/a/binghamton.edu/file/d/0B_lCd4vI8wOKX2FleUxuTnlFNms/view" TargetMode="External"/><Relationship Id="rId519" Type="http://schemas.openxmlformats.org/officeDocument/2006/relationships/hyperlink" Target="https://www.ajol.info//index.php/eamj/article/view/9142" TargetMode="External"/><Relationship Id="rId514" Type="http://schemas.openxmlformats.org/officeDocument/2006/relationships/hyperlink" Target="https://drive.google.com/a/binghamton.edu/file/d/0B-BMeyhXwSzWMFdyU3l2eXJJZnM/view" TargetMode="External"/><Relationship Id="rId635" Type="http://schemas.openxmlformats.org/officeDocument/2006/relationships/hyperlink" Target="https://drive.google.com/open?id=0B-gS7RLhwu-rYktjWTFEeXB2RVk" TargetMode="External"/><Relationship Id="rId513" Type="http://schemas.openxmlformats.org/officeDocument/2006/relationships/hyperlink" Target="https://www.researchgate.net/publication/14266236_A_Comparative_Trial_of_a_Single-Dose_Ivermectin_Versus_Three_Days_of_Albendazole_for_Treatment_of_Strongyloides_Stercoralis_and_Other_Soil-Transmitted_Helminth_Infections_in_Children/link/5571af6a08ae49af4a95f304/download" TargetMode="External"/><Relationship Id="rId634" Type="http://schemas.openxmlformats.org/officeDocument/2006/relationships/hyperlink" Target="https://drive.google.com/open?id=0B-gS7RLhwu-rVzhDcFBCU29SVVU" TargetMode="External"/><Relationship Id="rId512" Type="http://schemas.openxmlformats.org/officeDocument/2006/relationships/hyperlink" Target="https://drive.google.com/a/binghamton.edu/file/d/0B-BMeyhXwSzWb0doSHl6eFR6MFk/view" TargetMode="External"/><Relationship Id="rId633" Type="http://schemas.openxmlformats.org/officeDocument/2006/relationships/hyperlink" Target="https://drive.google.com/open?id=0B-gS7RLhwu-rZFZqVmFFc0NFQ1E" TargetMode="External"/><Relationship Id="rId511" Type="http://schemas.openxmlformats.org/officeDocument/2006/relationships/hyperlink" Target="https://www-sciencedirect-com.proxy.binghamton.edu/science/article/pii/S1473309918302202" TargetMode="External"/><Relationship Id="rId632" Type="http://schemas.openxmlformats.org/officeDocument/2006/relationships/hyperlink" Target="https://drive.google.com/open?id=0B-gS7RLhwu-relk3OVhRN0ZQRlE" TargetMode="External"/><Relationship Id="rId518" Type="http://schemas.openxmlformats.org/officeDocument/2006/relationships/hyperlink" Target="https://drive.google.com/a/binghamton.edu/file/d/0B-BMeyhXwSzWMFdyU3l2eXJJZnM/view" TargetMode="External"/><Relationship Id="rId639" Type="http://schemas.openxmlformats.org/officeDocument/2006/relationships/hyperlink" Target="https://drive.google.com/open?id=0B-gS7RLhwu-rSkJ0WjBnSnFPdFU" TargetMode="External"/><Relationship Id="rId517" Type="http://schemas.openxmlformats.org/officeDocument/2006/relationships/hyperlink" Target="https://www.ajol.info//index.php/eamj/article/view/9142" TargetMode="External"/><Relationship Id="rId638" Type="http://schemas.openxmlformats.org/officeDocument/2006/relationships/hyperlink" Target="https://drive.google.com/open?id=0B-gS7RLhwu-rMTVmOGJjVDhBR28" TargetMode="External"/><Relationship Id="rId516" Type="http://schemas.openxmlformats.org/officeDocument/2006/relationships/hyperlink" Target="https://drive.google.com/a/binghamton.edu/file/d/0B-BMeyhXwSzWMFdyU3l2eXJJZnM/view" TargetMode="External"/><Relationship Id="rId637" Type="http://schemas.openxmlformats.org/officeDocument/2006/relationships/hyperlink" Target="https://drive.google.com/open?id=0B-gS7RLhwu-rdmlNWlpEZEFJX3c" TargetMode="External"/><Relationship Id="rId515" Type="http://schemas.openxmlformats.org/officeDocument/2006/relationships/hyperlink" Target="https://www.researchgate.net/publication/14266236_A_Comparative_Trial_of_a_Single-Dose_Ivermectin_Versus_Three_Days_of_Albendazole_for_Treatment_of_Strongyloides_Stercoralis_and_Other_Soil-Transmitted_Helminth_Infections_in_Children/link/5571af6a08ae49af4a95f304/download" TargetMode="External"/><Relationship Id="rId636" Type="http://schemas.openxmlformats.org/officeDocument/2006/relationships/hyperlink" Target="https://drive.google.com/open?id=0B-gS7RLhwu-rcEFnZVJQREVvSEk" TargetMode="External"/><Relationship Id="rId15" Type="http://schemas.openxmlformats.org/officeDocument/2006/relationships/hyperlink" Target="https://drive.google.com/a/binghamton.edu/file/d/0B_lCd4vI8wOKX2FleUxuTnlFNms/view" TargetMode="External"/><Relationship Id="rId14" Type="http://schemas.openxmlformats.org/officeDocument/2006/relationships/hyperlink" Target="https://drive.google.com/file/d/0B83NpKM_pV1scmFSLXgtdjBfcGs/view?usp=sharing" TargetMode="External"/><Relationship Id="rId17" Type="http://schemas.openxmlformats.org/officeDocument/2006/relationships/hyperlink" Target="https://drive.google.com/open?id=0B83NpKM_pV1seXUxSHVtYVZldzg" TargetMode="External"/><Relationship Id="rId16" Type="http://schemas.openxmlformats.org/officeDocument/2006/relationships/hyperlink" Target="https://drive.google.com/file/d/0B_lCd4vI8wOKZjk4dVZJNDFnbUU/view?usp=sharing" TargetMode="External"/><Relationship Id="rId19" Type="http://schemas.openxmlformats.org/officeDocument/2006/relationships/hyperlink" Target="https://drive.google.com/file/d/0B_lCd4vI8wOKZjk4dVZJNDFnbUU/view?usp=sharing" TargetMode="External"/><Relationship Id="rId510" Type="http://schemas.openxmlformats.org/officeDocument/2006/relationships/hyperlink" Target="https://drive.google.com/a/binghamton.edu/file/d/0B-BMeyhXwSzWeE80TDAzTThoSWc/view" TargetMode="External"/><Relationship Id="rId631" Type="http://schemas.openxmlformats.org/officeDocument/2006/relationships/hyperlink" Target="https://drive.google.com/open?id=0B-gS7RLhwu-rYkRMRG53eEVGems" TargetMode="External"/><Relationship Id="rId18" Type="http://schemas.openxmlformats.org/officeDocument/2006/relationships/hyperlink" Target="https://drive.google.com/a/binghamton.edu/file/d/0B_lCd4vI8wOKX2FleUxuTnlFNms/view" TargetMode="External"/><Relationship Id="rId630" Type="http://schemas.openxmlformats.org/officeDocument/2006/relationships/hyperlink" Target="https://drive.google.com/open?id=0B-gS7RLhwu-rOUNKNVA0U0ZSOXM" TargetMode="External"/><Relationship Id="rId84" Type="http://schemas.openxmlformats.org/officeDocument/2006/relationships/hyperlink" Target="https://drive.google.com/file/d/0B_lCd4vI8wOKT0RZOU1JQ3NqclE/view?usp=sharing" TargetMode="External"/><Relationship Id="rId83" Type="http://schemas.openxmlformats.org/officeDocument/2006/relationships/hyperlink" Target="https://drive.google.com/a/binghamton.edu/file/d/0B_lCd4vI8wOKZnN2WUR4QlJSZ1E/view" TargetMode="External"/><Relationship Id="rId86" Type="http://schemas.openxmlformats.org/officeDocument/2006/relationships/hyperlink" Target="https://drive.google.com/a/binghamton.edu/file/d/0B_lCd4vI8wOKZnN2WUR4QlJSZ1E/view" TargetMode="External"/><Relationship Id="rId85" Type="http://schemas.openxmlformats.org/officeDocument/2006/relationships/hyperlink" Target="https://drive.google.com/file/d/0B73nQHB85_VxOWxMQWEtT0FhbzQ/view?usp=sharing" TargetMode="External"/><Relationship Id="rId88" Type="http://schemas.openxmlformats.org/officeDocument/2006/relationships/hyperlink" Target="https://drive.google.com/file/d/0B73nQHB85_VxOWxMQWEtT0FhbzQ/view?usp=sharing" TargetMode="External"/><Relationship Id="rId87" Type="http://schemas.openxmlformats.org/officeDocument/2006/relationships/hyperlink" Target="https://drive.google.com/file/d/0B_lCd4vI8wOKT0RZOU1JQ3NqclE/view?usp=sharing" TargetMode="External"/><Relationship Id="rId89" Type="http://schemas.openxmlformats.org/officeDocument/2006/relationships/hyperlink" Target="https://drive.google.com/a/binghamton.edu/file/d/0B_lCd4vI8wOKZnN2WUR4QlJSZ1E/view" TargetMode="External"/><Relationship Id="rId80" Type="http://schemas.openxmlformats.org/officeDocument/2006/relationships/hyperlink" Target="https://drive.google.com/a/binghamton.edu/file/d/0B_lCd4vI8wOKZnN2WUR4QlJSZ1E/view" TargetMode="External"/><Relationship Id="rId82" Type="http://schemas.openxmlformats.org/officeDocument/2006/relationships/hyperlink" Target="https://drive.google.com/file/d/0B73nQHB85_VxOWxMQWEtT0FhbzQ/view?usp=sharing" TargetMode="External"/><Relationship Id="rId81" Type="http://schemas.openxmlformats.org/officeDocument/2006/relationships/hyperlink" Target="https://drive.google.com/file/d/0B_lCd4vI8wOKTTdzS0NSX25PcDg/view?usp=sharing" TargetMode="External"/><Relationship Id="rId73" Type="http://schemas.openxmlformats.org/officeDocument/2006/relationships/hyperlink" Target="https://drive.google.com/open?id=0B83NpKM_pV1sQkY3d0dvYlFSMEk" TargetMode="External"/><Relationship Id="rId72" Type="http://schemas.openxmlformats.org/officeDocument/2006/relationships/hyperlink" Target="https://drive.google.com/file/d/0B_lCd4vI8wOKXzhNQzhWQU02bFk/view?usp=sharing" TargetMode="External"/><Relationship Id="rId75" Type="http://schemas.openxmlformats.org/officeDocument/2006/relationships/hyperlink" Target="https://drive.google.com/file/d/0B_lCd4vI8wOKTTdzS0NSX25PcDg/view?usp=sharing" TargetMode="External"/><Relationship Id="rId74" Type="http://schemas.openxmlformats.org/officeDocument/2006/relationships/hyperlink" Target="https://drive.google.com/a/binghamton.edu/file/d/0B_lCd4vI8wOKaUxDOUFPLV9RQU0/view" TargetMode="External"/><Relationship Id="rId77" Type="http://schemas.openxmlformats.org/officeDocument/2006/relationships/hyperlink" Target="https://drive.google.com/a/binghamton.edu/file/d/0B_lCd4vI8wOKaUxDOUFPLV9RQU0/view" TargetMode="External"/><Relationship Id="rId76" Type="http://schemas.openxmlformats.org/officeDocument/2006/relationships/hyperlink" Target="https://drive.google.com/open?id=0B83NpKM_pV1sQkY3d0dvYlFSMEk" TargetMode="External"/><Relationship Id="rId79" Type="http://schemas.openxmlformats.org/officeDocument/2006/relationships/hyperlink" Target="https://drive.google.com/file/d/0B73nQHB85_VxOWxMQWEtT0FhbzQ/view?usp=sharing" TargetMode="External"/><Relationship Id="rId78" Type="http://schemas.openxmlformats.org/officeDocument/2006/relationships/hyperlink" Target="https://drive.google.com/file/d/0B_lCd4vI8wOKTTdzS0NSX25PcDg/view?usp=sharing" TargetMode="External"/><Relationship Id="rId71" Type="http://schemas.openxmlformats.org/officeDocument/2006/relationships/hyperlink" Target="https://drive.google.com/a/binghamton.edu/file/d/0B_lCd4vI8wOKaUxDOUFPLV9RQU0/view" TargetMode="External"/><Relationship Id="rId70" Type="http://schemas.openxmlformats.org/officeDocument/2006/relationships/hyperlink" Target="https://drive.google.com/open?id=0B83NpKM_pV1sSG56ZHo5TWRPNmM" TargetMode="External"/><Relationship Id="rId62" Type="http://schemas.openxmlformats.org/officeDocument/2006/relationships/hyperlink" Target="https://drive.google.com/a/binghamton.edu/file/d/0B_lCd4vI8wOKaUxDOUFPLV9RQU0/view" TargetMode="External"/><Relationship Id="rId61" Type="http://schemas.openxmlformats.org/officeDocument/2006/relationships/hyperlink" Target="https://drive.google.com/open?id=0B83NpKM_pV1seGJNYlo2UDdTVTQ" TargetMode="External"/><Relationship Id="rId64" Type="http://schemas.openxmlformats.org/officeDocument/2006/relationships/hyperlink" Target="https://drive.google.com/open?id=0B83NpKM_pV1seGJNYlo2UDdTVTQ" TargetMode="External"/><Relationship Id="rId63" Type="http://schemas.openxmlformats.org/officeDocument/2006/relationships/hyperlink" Target="https://drive.google.com/file/d/0B_lCd4vI8wOKRnA5ZFFHRC01dTQ/view?usp=sharing" TargetMode="External"/><Relationship Id="rId66" Type="http://schemas.openxmlformats.org/officeDocument/2006/relationships/hyperlink" Target="https://drive.google.com/file/d/0B_lCd4vI8wOKXzhNQzhWQU02bFk/view?usp=sharing" TargetMode="External"/><Relationship Id="rId65" Type="http://schemas.openxmlformats.org/officeDocument/2006/relationships/hyperlink" Target="https://drive.google.com/a/binghamton.edu/file/d/0B_lCd4vI8wOKaUxDOUFPLV9RQU0/view" TargetMode="External"/><Relationship Id="rId68" Type="http://schemas.openxmlformats.org/officeDocument/2006/relationships/hyperlink" Target="https://drive.google.com/a/binghamton.edu/file/d/0B_lCd4vI8wOKaUxDOUFPLV9RQU0/view" TargetMode="External"/><Relationship Id="rId67" Type="http://schemas.openxmlformats.org/officeDocument/2006/relationships/hyperlink" Target="https://drive.google.com/open?id=0B83NpKM_pV1seGJNYlo2UDdTVTQ" TargetMode="External"/><Relationship Id="rId609" Type="http://schemas.openxmlformats.org/officeDocument/2006/relationships/hyperlink" Target="https://tropmedhealth.biomedcentral.com/articles/10.1186/s41182-020-00282-z" TargetMode="External"/><Relationship Id="rId608" Type="http://schemas.openxmlformats.org/officeDocument/2006/relationships/hyperlink" Target="https://www.sciencedirect.com/science/article/pii/S1473309918302330?casa_token=ON1JzjyY5LkAAAAA:7KWbfQSsKRyOO0XljR_iYZqR0UOJTW3NhCtz_d8-0xgteWjpE0mp2XhYxNE9X_mNr7QoECu3YQ" TargetMode="External"/><Relationship Id="rId607" Type="http://schemas.openxmlformats.org/officeDocument/2006/relationships/hyperlink" Target="https://www.sciencedirect.com/science/article/pii/S1473309918302330?casa_token=ON1JzjyY5LkAAAAA:7KWbfQSsKRyOO0XljR_iYZqR0UOJTW3NhCtz_d8-0xgteWjpE0mp2XhYxNE9X_mNr7QoECu3YQ" TargetMode="External"/><Relationship Id="rId60" Type="http://schemas.openxmlformats.org/officeDocument/2006/relationships/hyperlink" Target="https://drive.google.com/file/d/0B_lCd4vI8wOKRnA5ZFFHRC01dTQ/view?usp=sharing" TargetMode="External"/><Relationship Id="rId602" Type="http://schemas.openxmlformats.org/officeDocument/2006/relationships/hyperlink" Target="https://www.sciencedirect.com/science/article/pii/S1473309917304875?casa_token=2XanoHNJDOkAAAAA:LdDbWptSw4Xshkv_8Y7O_IFHjI5-X8v2f9IJ2Vqyhn_WvVknCaJIcbR3BQF7JRdYpFuGa87mlg" TargetMode="External"/><Relationship Id="rId601" Type="http://schemas.openxmlformats.org/officeDocument/2006/relationships/hyperlink" Target="https://www.sciencedirect.com/science/article/pii/S1473309917304875?casa_token=2XanoHNJDOkAAAAA:LdDbWptSw4Xshkv_8Y7O_IFHjI5-X8v2f9IJ2Vqyhn_WvVknCaJIcbR3BQF7JRdYpFuGa87mlg" TargetMode="External"/><Relationship Id="rId600" Type="http://schemas.openxmlformats.org/officeDocument/2006/relationships/hyperlink" Target="https://www.sciencedirect.com/science/article/pii/S1473309917304875?casa_token=2XanoHNJDOkAAAAA:LdDbWptSw4Xshkv_8Y7O_IFHjI5-X8v2f9IJ2Vqyhn_WvVknCaJIcbR3BQF7JRdYpFuGa87mlg" TargetMode="External"/><Relationship Id="rId606" Type="http://schemas.openxmlformats.org/officeDocument/2006/relationships/hyperlink" Target="https://www.sciencedirect.com/science/article/pii/S1473309918302330?casa_token=ON1JzjyY5LkAAAAA:7KWbfQSsKRyOO0XljR_iYZqR0UOJTW3NhCtz_d8-0xgteWjpE0mp2XhYxNE9X_mNr7QoECu3YQ" TargetMode="External"/><Relationship Id="rId605" Type="http://schemas.openxmlformats.org/officeDocument/2006/relationships/hyperlink" Target="https://www.sciencedirect.com/science/article/pii/S1473309918302330?casa_token=ON1JzjyY5LkAAAAA:7KWbfQSsKRyOO0XljR_iYZqR0UOJTW3NhCtz_d8-0xgteWjpE0mp2XhYxNE9X_mNr7QoECu3YQ" TargetMode="External"/><Relationship Id="rId604" Type="http://schemas.openxmlformats.org/officeDocument/2006/relationships/hyperlink" Target="https://www.sciencedirect.com/science/article/pii/S1473309917304875?casa_token=2XanoHNJDOkAAAAA:LdDbWptSw4Xshkv_8Y7O_IFHjI5-X8v2f9IJ2Vqyhn_WvVknCaJIcbR3BQF7JRdYpFuGa87mlg" TargetMode="External"/><Relationship Id="rId603" Type="http://schemas.openxmlformats.org/officeDocument/2006/relationships/hyperlink" Target="https://www.sciencedirect.com/science/article/pii/S1473309917304875?casa_token=2XanoHNJDOkAAAAA:LdDbWptSw4Xshkv_8Y7O_IFHjI5-X8v2f9IJ2Vqyhn_WvVknCaJIcbR3BQF7JRdYpFuGa87mlg" TargetMode="External"/><Relationship Id="rId69" Type="http://schemas.openxmlformats.org/officeDocument/2006/relationships/hyperlink" Target="https://drive.google.com/file/d/0B_lCd4vI8wOKXzhNQzhWQU02bFk/view?usp=sharing" TargetMode="External"/><Relationship Id="rId51" Type="http://schemas.openxmlformats.org/officeDocument/2006/relationships/hyperlink" Target="https://drive.google.com/a/binghamton.edu/file/d/0B_lCd4vI8wOKaUxDOUFPLV9RQU0/view" TargetMode="External"/><Relationship Id="rId50" Type="http://schemas.openxmlformats.org/officeDocument/2006/relationships/hyperlink" Target="https://drive.google.com/file/d/0B83NpKM_pV1scDRuUTRUMGFXaTg/view?usp=sharing" TargetMode="External"/><Relationship Id="rId53" Type="http://schemas.openxmlformats.org/officeDocument/2006/relationships/hyperlink" Target="https://drive.google.com/open?id=0B83NpKM_pV1sM240QXhUVGtFQTQ" TargetMode="External"/><Relationship Id="rId52" Type="http://schemas.openxmlformats.org/officeDocument/2006/relationships/hyperlink" Target="https://drive.google.com/file/d/0B_lCd4vI8wOKaEplNzdjR3ZLQzQ/view?usp=sharing" TargetMode="External"/><Relationship Id="rId55" Type="http://schemas.openxmlformats.org/officeDocument/2006/relationships/hyperlink" Target="https://drive.google.com/open?id=0B83NpKM_pV1sM240QXhUVGtFQTQ" TargetMode="External"/><Relationship Id="rId54" Type="http://schemas.openxmlformats.org/officeDocument/2006/relationships/hyperlink" Target="https://drive.google.com/a/binghamton.edu/file/d/0B_lCd4vI8wOKaUxDOUFPLV9RQU0/view" TargetMode="External"/><Relationship Id="rId57" Type="http://schemas.openxmlformats.org/officeDocument/2006/relationships/hyperlink" Target="https://drive.google.com/file/d/0B_lCd4vI8wOKRnA5ZFFHRC01dTQ/view?usp=sharing" TargetMode="External"/><Relationship Id="rId56" Type="http://schemas.openxmlformats.org/officeDocument/2006/relationships/hyperlink" Target="https://drive.google.com/a/binghamton.edu/file/d/0B_lCd4vI8wOKaUxDOUFPLV9RQU0/view" TargetMode="External"/><Relationship Id="rId59" Type="http://schemas.openxmlformats.org/officeDocument/2006/relationships/hyperlink" Target="https://drive.google.com/a/binghamton.edu/file/d/0B_lCd4vI8wOKaUxDOUFPLV9RQU0/view" TargetMode="External"/><Relationship Id="rId58" Type="http://schemas.openxmlformats.org/officeDocument/2006/relationships/hyperlink" Target="https://drive.google.com/open?id=0B83NpKM_pV1sM240QXhUVGtFQTQ" TargetMode="External"/><Relationship Id="rId590" Type="http://schemas.openxmlformats.org/officeDocument/2006/relationships/hyperlink" Target="https://pubmed.ncbi.nlm.nih.gov/29617737/" TargetMode="External"/><Relationship Id="rId107" Type="http://schemas.openxmlformats.org/officeDocument/2006/relationships/hyperlink" Target="https://drive.google.com/a/binghamton.edu/file/d/0B_lCd4vI8wOKLVhQcnNWZV9iT3c/view" TargetMode="External"/><Relationship Id="rId228" Type="http://schemas.openxmlformats.org/officeDocument/2006/relationships/hyperlink" Target="https://drive.google.com/file/d/0B_lCd4vI8wOKUVhXaEtfamZwbUE/view?usp=sharing" TargetMode="External"/><Relationship Id="rId349" Type="http://schemas.openxmlformats.org/officeDocument/2006/relationships/hyperlink" Target="https://drive.google.com/a/binghamton.edu/file/d/0B-BMeyhXwSzWVDF2RGZlM2JSc2c/view" TargetMode="External"/><Relationship Id="rId106" Type="http://schemas.openxmlformats.org/officeDocument/2006/relationships/hyperlink" Target="https://drive.google.com/open?id=0B83NpKM_pV1sUV9CNnFvaDFjdVk" TargetMode="External"/><Relationship Id="rId227" Type="http://schemas.openxmlformats.org/officeDocument/2006/relationships/hyperlink" Target="https://drive.google.com/a/binghamton.edu/file/d/0B-BMeyhXwSzWSzhzaDFxU2ZDbVk/view" TargetMode="External"/><Relationship Id="rId348" Type="http://schemas.openxmlformats.org/officeDocument/2006/relationships/hyperlink" Target="https://drive.google.com/file/d/0B_lCd4vI8wOKVGxKVjNzaWs1S00/view?usp=sharing" TargetMode="External"/><Relationship Id="rId469" Type="http://schemas.openxmlformats.org/officeDocument/2006/relationships/hyperlink" Target="https://pubmed.ncbi.nlm.nih.gov/32405623/" TargetMode="External"/><Relationship Id="rId105" Type="http://schemas.openxmlformats.org/officeDocument/2006/relationships/hyperlink" Target="https://drive.google.com/file/d/0B_lCd4vI8wOKMC0ySzJnWEFYREE/view?usp=sharing" TargetMode="External"/><Relationship Id="rId226" Type="http://schemas.openxmlformats.org/officeDocument/2006/relationships/hyperlink" Target="https://drive.google.com/open?id=0B83NpKM_pV1sUGdLUTRubERjS0E" TargetMode="External"/><Relationship Id="rId347" Type="http://schemas.openxmlformats.org/officeDocument/2006/relationships/hyperlink" Target="https://drive.google.com/a/binghamton.edu/file/d/0B-BMeyhXwSzWbWE1V0Vydy1lbGs/view" TargetMode="External"/><Relationship Id="rId468" Type="http://schemas.openxmlformats.org/officeDocument/2006/relationships/hyperlink" Target="https://drive.google.com/open?id=0B83NpKM_pV1sd0hOdEE2c2V6RWM" TargetMode="External"/><Relationship Id="rId589" Type="http://schemas.openxmlformats.org/officeDocument/2006/relationships/hyperlink" Target="https://pubmed.ncbi.nlm.nih.gov/29617737/" TargetMode="External"/><Relationship Id="rId104" Type="http://schemas.openxmlformats.org/officeDocument/2006/relationships/hyperlink" Target="https://drive.google.com/a/binghamton.edu/file/d/0B_lCd4vI8wOKLVhQcnNWZV9iT3c/view" TargetMode="External"/><Relationship Id="rId225" Type="http://schemas.openxmlformats.org/officeDocument/2006/relationships/hyperlink" Target="https://drive.google.com/a/binghamton.edu/file/d/0B_lCd4vI8wOKZVh2UWFqazlmT1k/view" TargetMode="External"/><Relationship Id="rId346" Type="http://schemas.openxmlformats.org/officeDocument/2006/relationships/hyperlink" Target="https://drive.google.com/open?id=0B-gS7RLhwu-rYmJIUXhsTThMQ2M" TargetMode="External"/><Relationship Id="rId467" Type="http://schemas.openxmlformats.org/officeDocument/2006/relationships/hyperlink" Target="https://pubmed.ncbi.nlm.nih.gov/32405623/" TargetMode="External"/><Relationship Id="rId588" Type="http://schemas.openxmlformats.org/officeDocument/2006/relationships/hyperlink" Target="https://pubmed.ncbi.nlm.nih.gov/29617737/" TargetMode="External"/><Relationship Id="rId109" Type="http://schemas.openxmlformats.org/officeDocument/2006/relationships/hyperlink" Target="https://drive.google.com/open?id=0B83NpKM_pV1sTUxyWEVLdmxFTGs" TargetMode="External"/><Relationship Id="rId108" Type="http://schemas.openxmlformats.org/officeDocument/2006/relationships/hyperlink" Target="https://drive.google.com/file/d/0B_lCd4vI8wOKMC0ySzJnWEFYREE/view?usp=sharing" TargetMode="External"/><Relationship Id="rId229" Type="http://schemas.openxmlformats.org/officeDocument/2006/relationships/hyperlink" Target="https://drive.google.com/open?id=0B83NpKM_pV1sa2szOVNWaVNOV3M" TargetMode="External"/><Relationship Id="rId220" Type="http://schemas.openxmlformats.org/officeDocument/2006/relationships/hyperlink" Target="https://drive.google.com/open?id=0B83NpKM_pV1sUGdLUTRubERjS0E" TargetMode="External"/><Relationship Id="rId341" Type="http://schemas.openxmlformats.org/officeDocument/2006/relationships/hyperlink" Target="https://drive.google.com/a/binghamton.edu/file/d/0B-BMeyhXwSzWT3JtTkNtTzFPeFU/view" TargetMode="External"/><Relationship Id="rId462" Type="http://schemas.openxmlformats.org/officeDocument/2006/relationships/hyperlink" Target="https://drive.google.com/open?id=0B83NpKM_pV1sd0hOdEE2c2V6RWM" TargetMode="External"/><Relationship Id="rId583" Type="http://schemas.openxmlformats.org/officeDocument/2006/relationships/hyperlink" Target="https://pubmed.ncbi.nlm.nih.gov/31110573/" TargetMode="External"/><Relationship Id="rId340" Type="http://schemas.openxmlformats.org/officeDocument/2006/relationships/hyperlink" Target="https://drive.google.com/open?id=0B-gS7RLhwu-rUlJXRkhaSmluTkE" TargetMode="External"/><Relationship Id="rId461" Type="http://schemas.openxmlformats.org/officeDocument/2006/relationships/hyperlink" Target="https://pubmed.ncbi.nlm.nih.gov/31044235/" TargetMode="External"/><Relationship Id="rId582" Type="http://schemas.openxmlformats.org/officeDocument/2006/relationships/hyperlink" Target="https://pubmed.ncbi.nlm.nih.gov/31110573/" TargetMode="External"/><Relationship Id="rId460" Type="http://schemas.openxmlformats.org/officeDocument/2006/relationships/hyperlink" Target="https://drive.google.com/open?id=0B83NpKM_pV1sd0hOdEE2c2V6RWM" TargetMode="External"/><Relationship Id="rId581" Type="http://schemas.openxmlformats.org/officeDocument/2006/relationships/hyperlink" Target="https://pubmed.ncbi.nlm.nih.gov/31110573/" TargetMode="External"/><Relationship Id="rId580" Type="http://schemas.openxmlformats.org/officeDocument/2006/relationships/hyperlink" Target="https://www.researchgate.net/publication/284206245_Therapeutic_efficacy_of_different_brands_of_albendazole_against_soil_transmitted_helminths_among_students_of_Mendera_Elementary_School_Jimma_Southwest_Ethiopia" TargetMode="External"/><Relationship Id="rId103" Type="http://schemas.openxmlformats.org/officeDocument/2006/relationships/hyperlink" Target="https://drive.google.com/open?id=0B83NpKM_pV1sUV9CNnFvaDFjdVk" TargetMode="External"/><Relationship Id="rId224" Type="http://schemas.openxmlformats.org/officeDocument/2006/relationships/hyperlink" Target="https://drive.google.com/a/binghamton.edu/file/d/0B-BMeyhXwSzWSzhzaDFxU2ZDbVk/view" TargetMode="External"/><Relationship Id="rId345" Type="http://schemas.openxmlformats.org/officeDocument/2006/relationships/hyperlink" Target="https://drive.google.com/a/binghamton.edu/file/d/0B_lCd4vI8wOKdi1RT3BRbFdmUEk/view" TargetMode="External"/><Relationship Id="rId466" Type="http://schemas.openxmlformats.org/officeDocument/2006/relationships/hyperlink" Target="https://drive.google.com/open?id=0B83NpKM_pV1sd0hOdEE2c2V6RWM" TargetMode="External"/><Relationship Id="rId587" Type="http://schemas.openxmlformats.org/officeDocument/2006/relationships/hyperlink" Target="https://pubmed.ncbi.nlm.nih.gov/21062129/" TargetMode="External"/><Relationship Id="rId102" Type="http://schemas.openxmlformats.org/officeDocument/2006/relationships/hyperlink" Target="https://drive.google.com/file/d/0B_lCd4vI8wOKMC0ySzJnWEFYREE/view?usp=sharing" TargetMode="External"/><Relationship Id="rId223" Type="http://schemas.openxmlformats.org/officeDocument/2006/relationships/hyperlink" Target="https://drive.google.com/open?id=0B83NpKM_pV1sUGdLUTRubERjS0E" TargetMode="External"/><Relationship Id="rId344" Type="http://schemas.openxmlformats.org/officeDocument/2006/relationships/hyperlink" Target="https://drive.google.com/a/binghamton.edu/file/d/0B-BMeyhXwSzWbWE1V0Vydy1lbGs/view" TargetMode="External"/><Relationship Id="rId465" Type="http://schemas.openxmlformats.org/officeDocument/2006/relationships/hyperlink" Target="https://pubmed.ncbi.nlm.nih.gov/32405623/" TargetMode="External"/><Relationship Id="rId586" Type="http://schemas.openxmlformats.org/officeDocument/2006/relationships/hyperlink" Target="https://pubmed.ncbi.nlm.nih.gov/21062129/" TargetMode="External"/><Relationship Id="rId101" Type="http://schemas.openxmlformats.org/officeDocument/2006/relationships/hyperlink" Target="https://drive.google.com/a/binghamton.edu/file/d/0B_lCd4vI8wOKR25peHpNZmRadTQ/view" TargetMode="External"/><Relationship Id="rId222" Type="http://schemas.openxmlformats.org/officeDocument/2006/relationships/hyperlink" Target="https://drive.google.com/a/binghamton.edu/file/d/0B_lCd4vI8wOKZVh2UWFqazlmT1k/view" TargetMode="External"/><Relationship Id="rId343" Type="http://schemas.openxmlformats.org/officeDocument/2006/relationships/hyperlink" Target="https://drive.google.com/open?id=0B-gS7RLhwu-rUlJXRkhaSmluTkE" TargetMode="External"/><Relationship Id="rId464" Type="http://schemas.openxmlformats.org/officeDocument/2006/relationships/hyperlink" Target="https://drive.google.com/open?id=0B83NpKM_pV1sd0hOdEE2c2V6RWM" TargetMode="External"/><Relationship Id="rId585" Type="http://schemas.openxmlformats.org/officeDocument/2006/relationships/hyperlink" Target="https://pubmed.ncbi.nlm.nih.gov/21062129/" TargetMode="External"/><Relationship Id="rId100" Type="http://schemas.openxmlformats.org/officeDocument/2006/relationships/hyperlink" Target="https://drive.google.com/open?id=0B83NpKM_pV1sUV9CNnFvaDFjdVk" TargetMode="External"/><Relationship Id="rId221" Type="http://schemas.openxmlformats.org/officeDocument/2006/relationships/hyperlink" Target="https://drive.google.com/a/binghamton.edu/file/d/0B-BMeyhXwSzWZHl2cm95LVNMdE0/view" TargetMode="External"/><Relationship Id="rId342" Type="http://schemas.openxmlformats.org/officeDocument/2006/relationships/hyperlink" Target="https://drive.google.com/a/binghamton.edu/file/d/0B_lCd4vI8wOKdi1RT3BRbFdmUEk/view" TargetMode="External"/><Relationship Id="rId463" Type="http://schemas.openxmlformats.org/officeDocument/2006/relationships/hyperlink" Target="https://pubmed.ncbi.nlm.nih.gov/32405623/" TargetMode="External"/><Relationship Id="rId584" Type="http://schemas.openxmlformats.org/officeDocument/2006/relationships/hyperlink" Target="https://pubmed.ncbi.nlm.nih.gov/21062129/" TargetMode="External"/><Relationship Id="rId217" Type="http://schemas.openxmlformats.org/officeDocument/2006/relationships/hyperlink" Target="https://drive.google.com/open?id=0B83NpKM_pV1sUGdLUTRubERjS0E" TargetMode="External"/><Relationship Id="rId338" Type="http://schemas.openxmlformats.org/officeDocument/2006/relationships/hyperlink" Target="https://drive.google.com/a/binghamton.edu/file/d/0B-BMeyhXwSzWT3JtTkNtTzFPeFU/view" TargetMode="External"/><Relationship Id="rId459" Type="http://schemas.openxmlformats.org/officeDocument/2006/relationships/hyperlink" Target="https://pubmed.ncbi.nlm.nih.gov/31044235/" TargetMode="External"/><Relationship Id="rId216" Type="http://schemas.openxmlformats.org/officeDocument/2006/relationships/hyperlink" Target="https://drive.google.com/a/binghamton.edu/file/d/0B_lCd4vI8wOKRm5ib2Z0TFdCVEE/view" TargetMode="External"/><Relationship Id="rId337" Type="http://schemas.openxmlformats.org/officeDocument/2006/relationships/hyperlink" Target="https://drive.google.com/open?id=0B-gS7RLhwu-rUlJXRkhaSmluTkE" TargetMode="External"/><Relationship Id="rId458" Type="http://schemas.openxmlformats.org/officeDocument/2006/relationships/hyperlink" Target="https://drive.google.com/open?id=0B83NpKM_pV1sd0hOdEE2c2V6RWM" TargetMode="External"/><Relationship Id="rId579" Type="http://schemas.openxmlformats.org/officeDocument/2006/relationships/hyperlink" Target="https://www.researchgate.net/publication/284206245_Therapeutic_efficacy_of_different_brands_of_albendazole_against_soil_transmitted_helminths_among_students_of_Mendera_Elementary_School_Jimma_Southwest_Ethiopia" TargetMode="External"/><Relationship Id="rId215" Type="http://schemas.openxmlformats.org/officeDocument/2006/relationships/hyperlink" Target="https://drive.google.com/a/binghamton.edu/file/d/0BzjZoBQGkMymQ2JpeXBSOGhHbkE/view" TargetMode="External"/><Relationship Id="rId336" Type="http://schemas.openxmlformats.org/officeDocument/2006/relationships/hyperlink" Target="https://drive.google.com/a/binghamton.edu/file/d/0B_lCd4vI8wOKdi1RT3BRbFdmUEk/view" TargetMode="External"/><Relationship Id="rId457" Type="http://schemas.openxmlformats.org/officeDocument/2006/relationships/hyperlink" Target="https://pubmed.ncbi.nlm.nih.gov/31044235/" TargetMode="External"/><Relationship Id="rId578" Type="http://schemas.openxmlformats.org/officeDocument/2006/relationships/hyperlink" Target="https://www.researchgate.net/publication/284206245_Therapeutic_efficacy_of_different_brands_of_albendazole_against_soil_transmitted_helminths_among_students_of_Mendera_Elementary_School_Jimma_Southwest_Ethiopia" TargetMode="External"/><Relationship Id="rId214" Type="http://schemas.openxmlformats.org/officeDocument/2006/relationships/hyperlink" Target="https://drive.google.com/open?id=0B83NpKM_pV1sZS1aSllwQUQ1dUU" TargetMode="External"/><Relationship Id="rId335" Type="http://schemas.openxmlformats.org/officeDocument/2006/relationships/hyperlink" Target="https://drive.google.com/a/binghamton.edu/file/d/0B-BMeyhXwSzWQmxkRHZNbXJicmM/view" TargetMode="External"/><Relationship Id="rId456" Type="http://schemas.openxmlformats.org/officeDocument/2006/relationships/hyperlink" Target="https://drive.google.com/open?id=0B83NpKM_pV1sd0hOdEE2c2V6RWM" TargetMode="External"/><Relationship Id="rId577" Type="http://schemas.openxmlformats.org/officeDocument/2006/relationships/hyperlink" Target="https://journals.plos.org/plosntds/article?id=10.1371/journal.pntd.0004057" TargetMode="External"/><Relationship Id="rId219" Type="http://schemas.openxmlformats.org/officeDocument/2006/relationships/hyperlink" Target="https://drive.google.com/a/binghamton.edu/file/d/0B_lCd4vI8wOKdGhpZmVBZ1B6QmM/view" TargetMode="External"/><Relationship Id="rId218" Type="http://schemas.openxmlformats.org/officeDocument/2006/relationships/hyperlink" Target="https://drive.google.com/a/binghamton.edu/file/d/0B-BMeyhXwSzWZHl2cm95LVNMdE0/view" TargetMode="External"/><Relationship Id="rId339" Type="http://schemas.openxmlformats.org/officeDocument/2006/relationships/hyperlink" Target="https://drive.google.com/a/binghamton.edu/file/d/0B_lCd4vI8wOKdi1RT3BRbFdmUEk/view" TargetMode="External"/><Relationship Id="rId330" Type="http://schemas.openxmlformats.org/officeDocument/2006/relationships/hyperlink" Target="https://drive.google.com/a/binghamton.edu/file/d/0B-BMeyhXwSzWQmxkRHZNbXJicmM/view" TargetMode="External"/><Relationship Id="rId451" Type="http://schemas.openxmlformats.org/officeDocument/2006/relationships/hyperlink" Target="https://pubmed.ncbi.nlm.nih.gov/31044235/" TargetMode="External"/><Relationship Id="rId572" Type="http://schemas.openxmlformats.org/officeDocument/2006/relationships/hyperlink" Target="https://pubmed.ncbi.nlm.nih.gov/24521107/" TargetMode="External"/><Relationship Id="rId450" Type="http://schemas.openxmlformats.org/officeDocument/2006/relationships/hyperlink" Target="https://drive.google.com/file/d/0B83NpKM_pV1sZU8xOU5qWGRNTFU/view?usp=sharing" TargetMode="External"/><Relationship Id="rId571" Type="http://schemas.openxmlformats.org/officeDocument/2006/relationships/hyperlink" Target="https://pubmed.ncbi.nlm.nih.gov/24521107/" TargetMode="External"/><Relationship Id="rId570" Type="http://schemas.openxmlformats.org/officeDocument/2006/relationships/hyperlink" Target="https://pubmed.ncbi.nlm.nih.gov/24521107/" TargetMode="External"/><Relationship Id="rId213" Type="http://schemas.openxmlformats.org/officeDocument/2006/relationships/hyperlink" Target="https://drive.google.com/a/binghamton.edu/file/d/0B_lCd4vI8wOKRm5ib2Z0TFdCVEE/view" TargetMode="External"/><Relationship Id="rId334" Type="http://schemas.openxmlformats.org/officeDocument/2006/relationships/hyperlink" Target="https://drive.google.com/open?id=0B-gS7RLhwu-rUlJXRkhaSmluTkE" TargetMode="External"/><Relationship Id="rId455" Type="http://schemas.openxmlformats.org/officeDocument/2006/relationships/hyperlink" Target="https://pubmed.ncbi.nlm.nih.gov/31044235/" TargetMode="External"/><Relationship Id="rId576" Type="http://schemas.openxmlformats.org/officeDocument/2006/relationships/hyperlink" Target="https://journals.plos.org/plosntds/article?id=10.1371/journal.pntd.0004057" TargetMode="External"/><Relationship Id="rId212" Type="http://schemas.openxmlformats.org/officeDocument/2006/relationships/hyperlink" Target="https://drive.google.com/a/binghamton.edu/file/d/0BzjZoBQGkMymQ2JpeXBSOGhHbkE/view" TargetMode="External"/><Relationship Id="rId333" Type="http://schemas.openxmlformats.org/officeDocument/2006/relationships/hyperlink" Target="https://drive.google.com/a/binghamton.edu/file/d/0B_lCd4vI8wOKY1VzNUxEU2U4c1E/view" TargetMode="External"/><Relationship Id="rId454" Type="http://schemas.openxmlformats.org/officeDocument/2006/relationships/hyperlink" Target="https://drive.google.com/open?id=0B83NpKM_pV1seXUxSHVtYVZldzg" TargetMode="External"/><Relationship Id="rId575" Type="http://schemas.openxmlformats.org/officeDocument/2006/relationships/hyperlink" Target="https://pubmed.ncbi.nlm.nih.gov/28369530/" TargetMode="External"/><Relationship Id="rId211" Type="http://schemas.openxmlformats.org/officeDocument/2006/relationships/hyperlink" Target="https://drive.google.com/open?id=0B83NpKM_pV1sZS1aSllwQUQ1dUU" TargetMode="External"/><Relationship Id="rId332" Type="http://schemas.openxmlformats.org/officeDocument/2006/relationships/hyperlink" Target="https://drive.google.com/a/binghamton.edu/file/d/0B-BMeyhXwSzWQmxkRHZNbXJicmM/view" TargetMode="External"/><Relationship Id="rId453" Type="http://schemas.openxmlformats.org/officeDocument/2006/relationships/hyperlink" Target="https://pubmed.ncbi.nlm.nih.gov/31044235/" TargetMode="External"/><Relationship Id="rId574" Type="http://schemas.openxmlformats.org/officeDocument/2006/relationships/hyperlink" Target="https://pubmed.ncbi.nlm.nih.gov/28369530/" TargetMode="External"/><Relationship Id="rId210" Type="http://schemas.openxmlformats.org/officeDocument/2006/relationships/hyperlink" Target="https://drive.google.com/a/binghamton.edu/file/d/0B_lCd4vI8wOKRm5ib2Z0TFdCVEE/view" TargetMode="External"/><Relationship Id="rId331" Type="http://schemas.openxmlformats.org/officeDocument/2006/relationships/hyperlink" Target="https://drive.google.com/a/binghamton.edu/file/d/0B_lCd4vI8wOKY1VzNUxEU2U4c1E/view" TargetMode="External"/><Relationship Id="rId452" Type="http://schemas.openxmlformats.org/officeDocument/2006/relationships/hyperlink" Target="https://drive.google.com/open?id=0B83NpKM_pV1seXUxSHVtYVZldzg" TargetMode="External"/><Relationship Id="rId573" Type="http://schemas.openxmlformats.org/officeDocument/2006/relationships/hyperlink" Target="https://pubmed.ncbi.nlm.nih.gov/24521107/" TargetMode="External"/><Relationship Id="rId370" Type="http://schemas.openxmlformats.org/officeDocument/2006/relationships/hyperlink" Target="https://drive.google.com/a/binghamton.edu/file/d/0B_lCd4vI8wOKU2VDYWFSYkloVE0/view" TargetMode="External"/><Relationship Id="rId491" Type="http://schemas.openxmlformats.org/officeDocument/2006/relationships/hyperlink" Target="https://www.ncbi.nlm.nih.gov/pmc/articles/PMC7337942/" TargetMode="External"/><Relationship Id="rId490" Type="http://schemas.openxmlformats.org/officeDocument/2006/relationships/hyperlink" Target="https://drive.google.com/a/binghamton.edu/file/d/0B-BMeyhXwSzWb2JYNzFLSDgyVU0/view" TargetMode="External"/><Relationship Id="rId129" Type="http://schemas.openxmlformats.org/officeDocument/2006/relationships/hyperlink" Target="https://drive.google.com/file/d/0B_lCd4vI8wOKQW91RlBCd1NtaWs/view?usp=sharing" TargetMode="External"/><Relationship Id="rId128" Type="http://schemas.openxmlformats.org/officeDocument/2006/relationships/hyperlink" Target="https://drive.google.com/a/binghamton.edu/file/d/0B-BMeyhXwSzWS3dvcmJXVTdYbXM/view" TargetMode="External"/><Relationship Id="rId249" Type="http://schemas.openxmlformats.org/officeDocument/2006/relationships/hyperlink" Target="https://drive.google.com/a/binghamton.edu/file/d/0B_lCd4vI8wOKNUhQYVlHQy11c28/view" TargetMode="External"/><Relationship Id="rId127" Type="http://schemas.openxmlformats.org/officeDocument/2006/relationships/hyperlink" Target="https://drive.google.com/open?id=0B83NpKM_pV1sRnFEalFJQk41V2s" TargetMode="External"/><Relationship Id="rId248" Type="http://schemas.openxmlformats.org/officeDocument/2006/relationships/hyperlink" Target="https://drive.google.com/a/binghamton.edu/file/d/0B-BMeyhXwSzWUUZIM0ZEbzc2dGs/view" TargetMode="External"/><Relationship Id="rId369" Type="http://schemas.openxmlformats.org/officeDocument/2006/relationships/hyperlink" Target="https://drive.google.com/a/binghamton.edu/file/d/0B-BMeyhXwSzWd19PVmthOHFCSDA/view" TargetMode="External"/><Relationship Id="rId126" Type="http://schemas.openxmlformats.org/officeDocument/2006/relationships/hyperlink" Target="https://drive.google.com/file/d/0B_lCd4vI8wOKQW91RlBCd1NtaWs/view?usp=sharing" TargetMode="External"/><Relationship Id="rId247" Type="http://schemas.openxmlformats.org/officeDocument/2006/relationships/hyperlink" Target="https://drive.google.com/a/binghamton.edu/file/d/0B_lCd4vI8wOKaEplNzdjR3ZLQzQ/view" TargetMode="External"/><Relationship Id="rId368" Type="http://schemas.openxmlformats.org/officeDocument/2006/relationships/hyperlink" Target="https://pubmed.ncbi.nlm.nih.gov/26935065/" TargetMode="External"/><Relationship Id="rId489" Type="http://schemas.openxmlformats.org/officeDocument/2006/relationships/hyperlink" Target="https://www.id-press.eu/mjms/article/view/5110" TargetMode="External"/><Relationship Id="rId121" Type="http://schemas.openxmlformats.org/officeDocument/2006/relationships/hyperlink" Target="https://drive.google.com/open?id=0B83NpKM_pV1sTUxyWEVLdmxFTGs" TargetMode="External"/><Relationship Id="rId242" Type="http://schemas.openxmlformats.org/officeDocument/2006/relationships/hyperlink" Target="https://drive.google.com/a/binghamton.edu/file/d/0B-BMeyhXwSzWUUZIM0ZEbzc2dGs/view" TargetMode="External"/><Relationship Id="rId363" Type="http://schemas.openxmlformats.org/officeDocument/2006/relationships/hyperlink" Target="https://drive.google.com/a/binghamton.edu/file/d/0B-BMeyhXwSzWd19PVmthOHFCSDA/view" TargetMode="External"/><Relationship Id="rId484" Type="http://schemas.openxmlformats.org/officeDocument/2006/relationships/hyperlink" Target="https://drive.google.com/a/binghamton.edu/file/d/0B-BMeyhXwSzWbE9qb2NnbU5Ud28/view" TargetMode="External"/><Relationship Id="rId120" Type="http://schemas.openxmlformats.org/officeDocument/2006/relationships/hyperlink" Target="https://drive.google.com/file/d/0B_lCd4vI8wOKQW91RlBCd1NtaWs/view?usp=sharing" TargetMode="External"/><Relationship Id="rId241" Type="http://schemas.openxmlformats.org/officeDocument/2006/relationships/hyperlink" Target="https://drive.google.com/open?id=0B83NpKM_pV1sVERpMEFVTVU2SmM" TargetMode="External"/><Relationship Id="rId362" Type="http://schemas.openxmlformats.org/officeDocument/2006/relationships/hyperlink" Target="https://www.ncbi.nlm.nih.gov/pmc/articles/PMC5805036/" TargetMode="External"/><Relationship Id="rId483" Type="http://schemas.openxmlformats.org/officeDocument/2006/relationships/hyperlink" Target="https://www.ncbi.nlm.nih.gov/pmc/articles/PMC5679355/" TargetMode="External"/><Relationship Id="rId240" Type="http://schemas.openxmlformats.org/officeDocument/2006/relationships/hyperlink" Target="https://drive.google.com/a/binghamton.edu/file/d/0B_lCd4vI8wOKLTF1UDhDUXBkeEk/view" TargetMode="External"/><Relationship Id="rId361" Type="http://schemas.openxmlformats.org/officeDocument/2006/relationships/hyperlink" Target="https://drive.google.com/file/d/0B_lCd4vI8wOKSFhkR1lwV09JNW8/view?usp=sharing" TargetMode="External"/><Relationship Id="rId482" Type="http://schemas.openxmlformats.org/officeDocument/2006/relationships/hyperlink" Target="https://drive.google.com/a/binghamton.edu/file/d/0B-BMeyhXwSzWc21pdXlBdVdXVFE/view" TargetMode="External"/><Relationship Id="rId360" Type="http://schemas.openxmlformats.org/officeDocument/2006/relationships/hyperlink" Target="https://drive.google.com/a/binghamton.edu/file/d/0B-BMeyhXwSzWd19PVmthOHFCSDA/view" TargetMode="External"/><Relationship Id="rId481" Type="http://schemas.openxmlformats.org/officeDocument/2006/relationships/hyperlink" Target="https://www.ncbi.nlm.nih.gov/pmc/articles/PMC5679355/" TargetMode="External"/><Relationship Id="rId125" Type="http://schemas.openxmlformats.org/officeDocument/2006/relationships/hyperlink" Target="https://drive.google.com/a/binghamton.edu/file/d/0B-BMeyhXwSzWS3dvcmJXVTdYbXM/view" TargetMode="External"/><Relationship Id="rId246" Type="http://schemas.openxmlformats.org/officeDocument/2006/relationships/hyperlink" Target="https://drive.google.com/a/binghamton.edu/file/d/0B_lCd4vI8wOKNUhQYVlHQy11c28/view" TargetMode="External"/><Relationship Id="rId367" Type="http://schemas.openxmlformats.org/officeDocument/2006/relationships/hyperlink" Target="https://drive.google.com/file/d/0B_lCd4vI8wOKSFhkR1lwV09JNW8/view?usp=sharing" TargetMode="External"/><Relationship Id="rId488" Type="http://schemas.openxmlformats.org/officeDocument/2006/relationships/hyperlink" Target="https://drive.google.com/a/binghamton.edu/file/d/0B-BMeyhXwSzWbE9qb2NnbU5Ud28/view" TargetMode="External"/><Relationship Id="rId124" Type="http://schemas.openxmlformats.org/officeDocument/2006/relationships/hyperlink" Target="https://drive.google.com/open?id=0B83NpKM_pV1sRnFEalFJQk41V2s" TargetMode="External"/><Relationship Id="rId245" Type="http://schemas.openxmlformats.org/officeDocument/2006/relationships/hyperlink" Target="https://drive.google.com/a/binghamton.edu/file/d/0B-BMeyhXwSzWUUZIM0ZEbzc2dGs/view" TargetMode="External"/><Relationship Id="rId366" Type="http://schemas.openxmlformats.org/officeDocument/2006/relationships/hyperlink" Target="https://drive.google.com/a/binghamton.edu/file/d/0B-BMeyhXwSzWd19PVmthOHFCSDA/view" TargetMode="External"/><Relationship Id="rId487" Type="http://schemas.openxmlformats.org/officeDocument/2006/relationships/hyperlink" Target="https://www.id-press.eu/mjms/article/view/5110" TargetMode="External"/><Relationship Id="rId123" Type="http://schemas.openxmlformats.org/officeDocument/2006/relationships/hyperlink" Target="https://drive.google.com/file/d/0B_lCd4vI8wOKQW91RlBCd1NtaWs/view?usp=sharing" TargetMode="External"/><Relationship Id="rId244" Type="http://schemas.openxmlformats.org/officeDocument/2006/relationships/hyperlink" Target="https://drive.google.com/open?id=0B83NpKM_pV1sVERpMEFVTVU2SmM" TargetMode="External"/><Relationship Id="rId365" Type="http://schemas.openxmlformats.org/officeDocument/2006/relationships/hyperlink" Target="https://pubmed.ncbi.nlm.nih.gov/26935065/" TargetMode="External"/><Relationship Id="rId486" Type="http://schemas.openxmlformats.org/officeDocument/2006/relationships/hyperlink" Target="https://drive.google.com/a/binghamton.edu/file/d/0B-BMeyhXwSzWbE9qb2NnbU5Ud28/view" TargetMode="External"/><Relationship Id="rId122" Type="http://schemas.openxmlformats.org/officeDocument/2006/relationships/hyperlink" Target="https://drive.google.com/a/binghamton.edu/file/d/0B-BMeyhXwSzWS3dvcmJXVTdYbXM/view" TargetMode="External"/><Relationship Id="rId243" Type="http://schemas.openxmlformats.org/officeDocument/2006/relationships/hyperlink" Target="https://drive.google.com/a/binghamton.edu/file/d/0B_lCd4vI8wOKNUhQYVlHQy11c28/view" TargetMode="External"/><Relationship Id="rId364" Type="http://schemas.openxmlformats.org/officeDocument/2006/relationships/hyperlink" Target="https://drive.google.com/file/d/0B_lCd4vI8wOKSFhkR1lwV09JNW8/view?usp=sharing" TargetMode="External"/><Relationship Id="rId485" Type="http://schemas.openxmlformats.org/officeDocument/2006/relationships/hyperlink" Target="https://www.id-press.eu/mjms/article/view/5110" TargetMode="External"/><Relationship Id="rId95" Type="http://schemas.openxmlformats.org/officeDocument/2006/relationships/hyperlink" Target="https://drive.google.com/a/binghamton.edu/file/d/0B_lCd4vI8wOKR25peHpNZmRadTQ/view" TargetMode="External"/><Relationship Id="rId94" Type="http://schemas.openxmlformats.org/officeDocument/2006/relationships/hyperlink" Target="https://drive.google.com/open?id=0B83NpKM_pV1sVlp0Y25SY0pWZTg" TargetMode="External"/><Relationship Id="rId97" Type="http://schemas.openxmlformats.org/officeDocument/2006/relationships/hyperlink" Target="https://drive.google.com/open?id=0B83NpKM_pV1sUV9CNnFvaDFjdVk" TargetMode="External"/><Relationship Id="rId96" Type="http://schemas.openxmlformats.org/officeDocument/2006/relationships/hyperlink" Target="https://drive.google.com/file/d/0B_lCd4vI8wOKczNzN283bU41Mk0/view?usp=sharing" TargetMode="External"/><Relationship Id="rId99" Type="http://schemas.openxmlformats.org/officeDocument/2006/relationships/hyperlink" Target="https://drive.google.com/file/d/0B_lCd4vI8wOKczNzN283bU41Mk0/view?usp=sharing" TargetMode="External"/><Relationship Id="rId480" Type="http://schemas.openxmlformats.org/officeDocument/2006/relationships/hyperlink" Target="https://drive.google.com/file/d/0B_lCd4vI8wOKckdnSGVYV010Z0U/view?usp=sharing" TargetMode="External"/><Relationship Id="rId98" Type="http://schemas.openxmlformats.org/officeDocument/2006/relationships/hyperlink" Target="https://drive.google.com/a/binghamton.edu/file/d/0B_lCd4vI8wOKR25peHpNZmRadTQ/view" TargetMode="External"/><Relationship Id="rId91" Type="http://schemas.openxmlformats.org/officeDocument/2006/relationships/hyperlink" Target="https://drive.google.com/open?id=0B83NpKM_pV1sVlp0Y25SY0pWZTg" TargetMode="External"/><Relationship Id="rId90" Type="http://schemas.openxmlformats.org/officeDocument/2006/relationships/hyperlink" Target="https://drive.google.com/file/d/0B_lCd4vI8wOKT0RZOU1JQ3NqclE/view?usp=sharing" TargetMode="External"/><Relationship Id="rId93" Type="http://schemas.openxmlformats.org/officeDocument/2006/relationships/hyperlink" Target="https://drive.google.com/file/d/0B_lCd4vI8wOKczNzN283bU41Mk0/view?usp=sharing" TargetMode="External"/><Relationship Id="rId92" Type="http://schemas.openxmlformats.org/officeDocument/2006/relationships/hyperlink" Target="https://drive.google.com/a/binghamton.edu/file/d/0B_lCd4vI8wOKR25peHpNZmRadTQ/view" TargetMode="External"/><Relationship Id="rId118" Type="http://schemas.openxmlformats.org/officeDocument/2006/relationships/hyperlink" Target="https://drive.google.com/open?id=0B83NpKM_pV1sTUxyWEVLdmxFTGs" TargetMode="External"/><Relationship Id="rId239" Type="http://schemas.openxmlformats.org/officeDocument/2006/relationships/hyperlink" Target="https://drive.google.com/a/binghamton.edu/file/d/0B-BMeyhXwSzWUUZIM0ZEbzc2dGs/view" TargetMode="External"/><Relationship Id="rId117" Type="http://schemas.openxmlformats.org/officeDocument/2006/relationships/hyperlink" Target="https://drive.google.com/file/d/0B_lCd4vI8wOKMC0ySzJnWEFYREE/view?usp=sharing" TargetMode="External"/><Relationship Id="rId238" Type="http://schemas.openxmlformats.org/officeDocument/2006/relationships/hyperlink" Target="https://drive.google.com/open?id=0B83NpKM_pV1sa2szOVNWaVNOV3M" TargetMode="External"/><Relationship Id="rId359" Type="http://schemas.openxmlformats.org/officeDocument/2006/relationships/hyperlink" Target="https://www.ncbi.nlm.nih.gov/pmc/articles/PMC5805036/" TargetMode="External"/><Relationship Id="rId116" Type="http://schemas.openxmlformats.org/officeDocument/2006/relationships/hyperlink" Target="https://drive.google.com/a/binghamton.edu/file/d/0B-BMeyhXwSzWTVB5N0ZZME9IOEU/view" TargetMode="External"/><Relationship Id="rId237" Type="http://schemas.openxmlformats.org/officeDocument/2006/relationships/hyperlink" Target="https://drive.google.com/file/d/0B_lCd4vI8wOKUVhXaEtfamZwbUE/view?usp=sharing" TargetMode="External"/><Relationship Id="rId358" Type="http://schemas.openxmlformats.org/officeDocument/2006/relationships/hyperlink" Target="https://drive.google.com/a/binghamton.edu/file/d/0B-BMeyhXwSzWV05iRVE0YmJpd3c/view" TargetMode="External"/><Relationship Id="rId479" Type="http://schemas.openxmlformats.org/officeDocument/2006/relationships/hyperlink" Target="https://pubmed.ncbi.nlm.nih.gov/32405623/" TargetMode="External"/><Relationship Id="rId115" Type="http://schemas.openxmlformats.org/officeDocument/2006/relationships/hyperlink" Target="https://drive.google.com/open?id=0B83NpKM_pV1sTUxyWEVLdmxFTGs" TargetMode="External"/><Relationship Id="rId236" Type="http://schemas.openxmlformats.org/officeDocument/2006/relationships/hyperlink" Target="https://drive.google.com/a/binghamton.edu/file/d/0B-BMeyhXwSzWUUZIM0ZEbzc2dGs/view" TargetMode="External"/><Relationship Id="rId357" Type="http://schemas.openxmlformats.org/officeDocument/2006/relationships/hyperlink" Target="https://drive.google.com/a/binghamton.edu/file/d/0B-BMeyhXwSzWd19PVmthOHFCSDA/view" TargetMode="External"/><Relationship Id="rId478" Type="http://schemas.openxmlformats.org/officeDocument/2006/relationships/hyperlink" Target="https://drive.google.com/file/d/0B_lCd4vI8wOKckdnSGVYV010Z0U/view?usp=sharing" TargetMode="External"/><Relationship Id="rId599" Type="http://schemas.openxmlformats.org/officeDocument/2006/relationships/hyperlink" Target="https://www.sciencedirect.com/science/article/pii/S1473309917304875?casa_token=2XanoHNJDOkAAAAA:LdDbWptSw4Xshkv_8Y7O_IFHjI5-X8v2f9IJ2Vqyhn_WvVknCaJIcbR3BQF7JRdYpFuGa87mlg" TargetMode="External"/><Relationship Id="rId119" Type="http://schemas.openxmlformats.org/officeDocument/2006/relationships/hyperlink" Target="https://drive.google.com/a/binghamton.edu/file/d/0B-BMeyhXwSzWS3dvcmJXVTdYbXM/view" TargetMode="External"/><Relationship Id="rId110" Type="http://schemas.openxmlformats.org/officeDocument/2006/relationships/hyperlink" Target="https://drive.google.com/a/binghamton.edu/file/d/0B_lCd4vI8wOKLVhQcnNWZV9iT3c/view" TargetMode="External"/><Relationship Id="rId231" Type="http://schemas.openxmlformats.org/officeDocument/2006/relationships/hyperlink" Target="https://drive.google.com/file/d/0B_lCd4vI8wOKUVhXaEtfamZwbUE/view?usp=sharing" TargetMode="External"/><Relationship Id="rId352" Type="http://schemas.openxmlformats.org/officeDocument/2006/relationships/hyperlink" Target="https://drive.google.com/file/d/0B_lCd4vI8wOKVGxKVjNzaWs1S00/view?usp=sharing" TargetMode="External"/><Relationship Id="rId473" Type="http://schemas.openxmlformats.org/officeDocument/2006/relationships/hyperlink" Target="https://pubmed.ncbi.nlm.nih.gov/32405623/" TargetMode="External"/><Relationship Id="rId594" Type="http://schemas.openxmlformats.org/officeDocument/2006/relationships/hyperlink" Target="https://pubmed.ncbi.nlm.nih.gov/12625151/" TargetMode="External"/><Relationship Id="rId230" Type="http://schemas.openxmlformats.org/officeDocument/2006/relationships/hyperlink" Target="https://drive.google.com/a/binghamton.edu/file/d/0B-BMeyhXwSzWUUZIM0ZEbzc2dGs/view" TargetMode="External"/><Relationship Id="rId351" Type="http://schemas.openxmlformats.org/officeDocument/2006/relationships/hyperlink" Target="https://drive.google.com/a/binghamton.edu/file/d/0B-BMeyhXwSzWVDF2RGZlM2JSc2c/view" TargetMode="External"/><Relationship Id="rId472" Type="http://schemas.openxmlformats.org/officeDocument/2006/relationships/hyperlink" Target="https://drive.google.com/a/binghamton.edu/file/d/0B-BMeyhXwSzWUjN6d2VDLWFWazA/view" TargetMode="External"/><Relationship Id="rId593" Type="http://schemas.openxmlformats.org/officeDocument/2006/relationships/hyperlink" Target="https://pubmed.ncbi.nlm.nih.gov/12625151/" TargetMode="External"/><Relationship Id="rId350" Type="http://schemas.openxmlformats.org/officeDocument/2006/relationships/hyperlink" Target="https://drive.google.com/file/d/0B_lCd4vI8wOKVGxKVjNzaWs1S00/view?usp=sharing" TargetMode="External"/><Relationship Id="rId471" Type="http://schemas.openxmlformats.org/officeDocument/2006/relationships/hyperlink" Target="https://pubmed.ncbi.nlm.nih.gov/32405623/" TargetMode="External"/><Relationship Id="rId592" Type="http://schemas.openxmlformats.org/officeDocument/2006/relationships/hyperlink" Target="https://pubmed.ncbi.nlm.nih.gov/29617737/" TargetMode="External"/><Relationship Id="rId470" Type="http://schemas.openxmlformats.org/officeDocument/2006/relationships/hyperlink" Target="https://drive.google.com/a/binghamton.edu/file/d/0B_lCd4vI8wOKTkNSbkp6cDhyNEk/view" TargetMode="External"/><Relationship Id="rId591" Type="http://schemas.openxmlformats.org/officeDocument/2006/relationships/hyperlink" Target="https://pubmed.ncbi.nlm.nih.gov/29617737/" TargetMode="External"/><Relationship Id="rId114" Type="http://schemas.openxmlformats.org/officeDocument/2006/relationships/hyperlink" Target="https://drive.google.com/file/d/0B_lCd4vI8wOKMC0ySzJnWEFYREE/view?usp=sharing" TargetMode="External"/><Relationship Id="rId235" Type="http://schemas.openxmlformats.org/officeDocument/2006/relationships/hyperlink" Target="https://drive.google.com/open?id=0B83NpKM_pV1sa2szOVNWaVNOV3M" TargetMode="External"/><Relationship Id="rId356" Type="http://schemas.openxmlformats.org/officeDocument/2006/relationships/hyperlink" Target="https://drive.google.com/a/binghamton.edu/file/d/0B-BMeyhXwSzWV05iRVE0YmJpd3c/view" TargetMode="External"/><Relationship Id="rId477" Type="http://schemas.openxmlformats.org/officeDocument/2006/relationships/hyperlink" Target="https://pubmed.ncbi.nlm.nih.gov/32405623/" TargetMode="External"/><Relationship Id="rId598" Type="http://schemas.openxmlformats.org/officeDocument/2006/relationships/hyperlink" Target="https://www.sciencedirect.com/science/article/pii/S1473309917304875?casa_token=2XanoHNJDOkAAAAA:LdDbWptSw4Xshkv_8Y7O_IFHjI5-X8v2f9IJ2Vqyhn_WvVknCaJIcbR3BQF7JRdYpFuGa87mlg" TargetMode="External"/><Relationship Id="rId113" Type="http://schemas.openxmlformats.org/officeDocument/2006/relationships/hyperlink" Target="https://docs.google.com/document/d/1mHgft6CBEywVr_2NWSwAZPurBAUJU8Ag86HzQXPUVEE/edit" TargetMode="External"/><Relationship Id="rId234" Type="http://schemas.openxmlformats.org/officeDocument/2006/relationships/hyperlink" Target="https://drive.google.com/file/d/0B_lCd4vI8wOKUVhXaEtfamZwbUE/view?usp=sharing" TargetMode="External"/><Relationship Id="rId355" Type="http://schemas.openxmlformats.org/officeDocument/2006/relationships/hyperlink" Target="https://drive.google.com/a/binghamton.edu/file/d/0B-BMeyhXwSzWd19PVmthOHFCSDA/view" TargetMode="External"/><Relationship Id="rId476" Type="http://schemas.openxmlformats.org/officeDocument/2006/relationships/hyperlink" Target="https://drive.google.com/file/d/0B_lCd4vI8wOKckdnSGVYV010Z0U/view?usp=sharing" TargetMode="External"/><Relationship Id="rId597" Type="http://schemas.openxmlformats.org/officeDocument/2006/relationships/hyperlink" Target="https://www.sciencedirect.com/science/article/pii/S1473309917304875?casa_token=2XanoHNJDOkAAAAA:LdDbWptSw4Xshkv_8Y7O_IFHjI5-X8v2f9IJ2Vqyhn_WvVknCaJIcbR3BQF7JRdYpFuGa87mlg" TargetMode="External"/><Relationship Id="rId112" Type="http://schemas.openxmlformats.org/officeDocument/2006/relationships/hyperlink" Target="https://drive.google.com/open?id=0B83NpKM_pV1sTUxyWEVLdmxFTGs" TargetMode="External"/><Relationship Id="rId233" Type="http://schemas.openxmlformats.org/officeDocument/2006/relationships/hyperlink" Target="https://drive.google.com/a/binghamton.edu/file/d/0B-BMeyhXwSzWUUZIM0ZEbzc2dGs/view" TargetMode="External"/><Relationship Id="rId354" Type="http://schemas.openxmlformats.org/officeDocument/2006/relationships/hyperlink" Target="https://drive.google.com/file/d/0B_lCd4vI8wOKVGxKVjNzaWs1S00/view?usp=sharing" TargetMode="External"/><Relationship Id="rId475" Type="http://schemas.openxmlformats.org/officeDocument/2006/relationships/hyperlink" Target="https://pubmed.ncbi.nlm.nih.gov/32405623/" TargetMode="External"/><Relationship Id="rId596" Type="http://schemas.openxmlformats.org/officeDocument/2006/relationships/hyperlink" Target="https://www.researchgate.net/publication/14266236_A_Comparative_Trial_of_a_Single-Dose_Ivermectin_Versus_Three_Days_of_Albendazole_for_Treatment_of_Strongyloides_Stercoralis_and_Other_Soil-Transmitted_Helminth_Infections_in_Children/link/5571af6a08ae49af4a95f304/download" TargetMode="External"/><Relationship Id="rId111" Type="http://schemas.openxmlformats.org/officeDocument/2006/relationships/hyperlink" Target="https://drive.google.com/file/d/0B_lCd4vI8wOKMC0ySzJnWEFYREE/view?usp=sharing" TargetMode="External"/><Relationship Id="rId232" Type="http://schemas.openxmlformats.org/officeDocument/2006/relationships/hyperlink" Target="https://drive.google.com/open?id=0B83NpKM_pV1sa2szOVNWaVNOV3M" TargetMode="External"/><Relationship Id="rId353" Type="http://schemas.openxmlformats.org/officeDocument/2006/relationships/hyperlink" Target="https://drive.google.com/a/binghamton.edu/file/d/0B-BMeyhXwSzWd19PVmthOHFCSDA/view" TargetMode="External"/><Relationship Id="rId474" Type="http://schemas.openxmlformats.org/officeDocument/2006/relationships/hyperlink" Target="https://drive.google.com/a/binghamton.edu/file/d/0B-BMeyhXwSzWUjN6d2VDLWFWazA/view" TargetMode="External"/><Relationship Id="rId595" Type="http://schemas.openxmlformats.org/officeDocument/2006/relationships/hyperlink" Target="https://www.researchgate.net/publication/14266236_A_Comparative_Trial_of_a_Single-Dose_Ivermectin_Versus_Three_Days_of_Albendazole_for_Treatment_of_Strongyloides_Stercoralis_and_Other_Soil-Transmitted_Helminth_Infections_in_Children/link/5571af6a08ae49af4a95f304/download" TargetMode="External"/><Relationship Id="rId305" Type="http://schemas.openxmlformats.org/officeDocument/2006/relationships/hyperlink" Target="https://drive.google.com/open?id=0B83NpKM_pV1sU0dfcGlvZlFfOVU" TargetMode="External"/><Relationship Id="rId426" Type="http://schemas.openxmlformats.org/officeDocument/2006/relationships/hyperlink" Target="https://drive.google.com/a/binghamton.edu/file/d/0B812JSakX9u5ajlESUVHSGU0aGc/view" TargetMode="External"/><Relationship Id="rId547" Type="http://schemas.openxmlformats.org/officeDocument/2006/relationships/hyperlink" Target="https://pubmed.ncbi.nlm.nih.gov/31044235/" TargetMode="External"/><Relationship Id="rId304" Type="http://schemas.openxmlformats.org/officeDocument/2006/relationships/hyperlink" Target="https://drive.google.com/a/binghamton.edu/file/d/0B_lCd4vI8wOKXzhNQzhWQU02bFk/view" TargetMode="External"/><Relationship Id="rId425" Type="http://schemas.openxmlformats.org/officeDocument/2006/relationships/hyperlink" Target="https://pubmed.ncbi.nlm.nih.gov/26388169/" TargetMode="External"/><Relationship Id="rId546" Type="http://schemas.openxmlformats.org/officeDocument/2006/relationships/hyperlink" Target="https://pubmed.ncbi.nlm.nih.gov/31044235/" TargetMode="External"/><Relationship Id="rId303" Type="http://schemas.openxmlformats.org/officeDocument/2006/relationships/hyperlink" Target="https://drive.google.com/a/binghamton.edu/file/d/0B5uKCExuj58mZEFNdVFmWU9WRlk/view" TargetMode="External"/><Relationship Id="rId424" Type="http://schemas.openxmlformats.org/officeDocument/2006/relationships/hyperlink" Target="https://drive.google.com/a/binghamton.edu/file/d/0B812JSakX9u5ajlESUVHSGU0aGc/view" TargetMode="External"/><Relationship Id="rId545" Type="http://schemas.openxmlformats.org/officeDocument/2006/relationships/hyperlink" Target="https://pubmed.ncbi.nlm.nih.gov/12856052/" TargetMode="External"/><Relationship Id="rId302" Type="http://schemas.openxmlformats.org/officeDocument/2006/relationships/hyperlink" Target="https://drive.google.com/open?id=0B83NpKM_pV1sU0dfcGlvZlFfOVU" TargetMode="External"/><Relationship Id="rId423" Type="http://schemas.openxmlformats.org/officeDocument/2006/relationships/hyperlink" Target="https://pubmed.ncbi.nlm.nih.gov/26388169/" TargetMode="External"/><Relationship Id="rId544" Type="http://schemas.openxmlformats.org/officeDocument/2006/relationships/hyperlink" Target="https://pubmed.ncbi.nlm.nih.gov/12856052/" TargetMode="External"/><Relationship Id="rId665" Type="http://schemas.openxmlformats.org/officeDocument/2006/relationships/drawing" Target="../drawings/drawing9.xml"/><Relationship Id="rId309" Type="http://schemas.openxmlformats.org/officeDocument/2006/relationships/hyperlink" Target="https://drive.google.com/a/binghamton.edu/file/d/0B5uKCExuj58mZEFNdVFmWU9WRlk/view" TargetMode="External"/><Relationship Id="rId308" Type="http://schemas.openxmlformats.org/officeDocument/2006/relationships/hyperlink" Target="https://drive.google.com/open?id=0B83NpKM_pV1sU0dfcGlvZlFfOVU" TargetMode="External"/><Relationship Id="rId429" Type="http://schemas.openxmlformats.org/officeDocument/2006/relationships/hyperlink" Target="https://pubmed.ncbi.nlm.nih.gov/25589326/" TargetMode="External"/><Relationship Id="rId307" Type="http://schemas.openxmlformats.org/officeDocument/2006/relationships/hyperlink" Target="https://drive.google.com/a/binghamton.edu/file/d/0B_lCd4vI8wOKUHhfMFNiMjZJMnM/view" TargetMode="External"/><Relationship Id="rId428" Type="http://schemas.openxmlformats.org/officeDocument/2006/relationships/hyperlink" Target="https://drive.google.com/a/binghamton.edu/file/d/0B812JSakX9u5ajlESUVHSGU0aGc/view" TargetMode="External"/><Relationship Id="rId549" Type="http://schemas.openxmlformats.org/officeDocument/2006/relationships/hyperlink" Target="https://pubmed.ncbi.nlm.nih.gov/31044235/" TargetMode="External"/><Relationship Id="rId306" Type="http://schemas.openxmlformats.org/officeDocument/2006/relationships/hyperlink" Target="https://drive.google.com/a/binghamton.edu/file/d/0B5uKCExuj58mZEFNdVFmWU9WRlk/view" TargetMode="External"/><Relationship Id="rId427" Type="http://schemas.openxmlformats.org/officeDocument/2006/relationships/hyperlink" Target="https://pubmed.ncbi.nlm.nih.gov/26388169/" TargetMode="External"/><Relationship Id="rId548" Type="http://schemas.openxmlformats.org/officeDocument/2006/relationships/hyperlink" Target="https://pubmed.ncbi.nlm.nih.gov/31044235/" TargetMode="External"/><Relationship Id="rId660" Type="http://schemas.openxmlformats.org/officeDocument/2006/relationships/hyperlink" Target="https://drive.google.com/open?id=0B-gS7RLhwu-ra0hyZkN1OERORk0" TargetMode="External"/><Relationship Id="rId301" Type="http://schemas.openxmlformats.org/officeDocument/2006/relationships/hyperlink" Target="https://drive.google.com/a/binghamton.edu/file/d/0B_lCd4vI8wOKXzhNQzhWQU02bFk/view" TargetMode="External"/><Relationship Id="rId422" Type="http://schemas.openxmlformats.org/officeDocument/2006/relationships/hyperlink" Target="https://drive.google.com/a/binghamton.edu/file/d/0B-BMeyhXwSzWWDgydGRBOU95VkE/view" TargetMode="External"/><Relationship Id="rId543" Type="http://schemas.openxmlformats.org/officeDocument/2006/relationships/hyperlink" Target="https://pubmed.ncbi.nlm.nih.gov/12856052/" TargetMode="External"/><Relationship Id="rId664" Type="http://schemas.openxmlformats.org/officeDocument/2006/relationships/hyperlink" Target="https://drive.google.com/open?id=0B-gS7RLhwu-rWnhuRTY0eFlHWEU" TargetMode="External"/><Relationship Id="rId300" Type="http://schemas.openxmlformats.org/officeDocument/2006/relationships/hyperlink" Target="https://drive.google.com/a/binghamton.edu/file/d/0B5uKCExuj58mZEFNdVFmWU9WRlk/view" TargetMode="External"/><Relationship Id="rId421" Type="http://schemas.openxmlformats.org/officeDocument/2006/relationships/hyperlink" Target="https://pubmed.ncbi.nlm.nih.gov/26388169/" TargetMode="External"/><Relationship Id="rId542" Type="http://schemas.openxmlformats.org/officeDocument/2006/relationships/hyperlink" Target="https://pubmed.ncbi.nlm.nih.gov/31193620/" TargetMode="External"/><Relationship Id="rId663" Type="http://schemas.openxmlformats.org/officeDocument/2006/relationships/hyperlink" Target="https://drive.google.com/open?id=0B-gS7RLhwu-rWnhuRTY0eFlHWEU" TargetMode="External"/><Relationship Id="rId420" Type="http://schemas.openxmlformats.org/officeDocument/2006/relationships/hyperlink" Target="https://drive.google.com/a/binghamton.edu/file/d/0B-BMeyhXwSzWWDgydGRBOU95VkE/view" TargetMode="External"/><Relationship Id="rId541" Type="http://schemas.openxmlformats.org/officeDocument/2006/relationships/hyperlink" Target="https://pubmed.ncbi.nlm.nih.gov/31193620/" TargetMode="External"/><Relationship Id="rId662" Type="http://schemas.openxmlformats.org/officeDocument/2006/relationships/hyperlink" Target="https://drive.google.com/open?id=0B-gS7RLhwu-ra0hyZkN1OERORk0" TargetMode="External"/><Relationship Id="rId540" Type="http://schemas.openxmlformats.org/officeDocument/2006/relationships/hyperlink" Target="https://pubmed.ncbi.nlm.nih.gov/26935065/" TargetMode="External"/><Relationship Id="rId661" Type="http://schemas.openxmlformats.org/officeDocument/2006/relationships/hyperlink" Target="https://drive.google.com/open?id=0B-gS7RLhwu-ra0hyZkN1OERORk0" TargetMode="External"/><Relationship Id="rId415" Type="http://schemas.openxmlformats.org/officeDocument/2006/relationships/hyperlink" Target="https://pubmed.ncbi.nlm.nih.gov/28864027/" TargetMode="External"/><Relationship Id="rId536" Type="http://schemas.openxmlformats.org/officeDocument/2006/relationships/hyperlink" Target="https://www.ncbi.nlm.nih.gov/pmc/articles/PMC5805036/" TargetMode="External"/><Relationship Id="rId657" Type="http://schemas.openxmlformats.org/officeDocument/2006/relationships/hyperlink" Target="https://drive.google.com/open?id=0B-gS7RLhwu-rbmNoRXRjdnBKbkE" TargetMode="External"/><Relationship Id="rId414" Type="http://schemas.openxmlformats.org/officeDocument/2006/relationships/hyperlink" Target="https://drive.google.com/a/binghamton.edu/file/d/0B-BMeyhXwSzWWDgydGRBOU95VkE/view" TargetMode="External"/><Relationship Id="rId535" Type="http://schemas.openxmlformats.org/officeDocument/2006/relationships/hyperlink" Target="https://www.ncbi.nlm.nih.gov/pmc/articles/PMC5805036/" TargetMode="External"/><Relationship Id="rId656" Type="http://schemas.openxmlformats.org/officeDocument/2006/relationships/hyperlink" Target="https://drive.google.com/open?id=0B-gS7RLhwu-rZlFGdThIN1RFMUE" TargetMode="External"/><Relationship Id="rId413" Type="http://schemas.openxmlformats.org/officeDocument/2006/relationships/hyperlink" Target="https://pubmed.ncbi.nlm.nih.gov/28864027/" TargetMode="External"/><Relationship Id="rId534" Type="http://schemas.openxmlformats.org/officeDocument/2006/relationships/hyperlink" Target="https://drive.google.com/a/binghamton.edu/file/d/0B-BMeyhXwSzWNjZIWTJhdWVyN1E/view" TargetMode="External"/><Relationship Id="rId655" Type="http://schemas.openxmlformats.org/officeDocument/2006/relationships/hyperlink" Target="https://drive.google.com/open?id=0B-gS7RLhwu-rZlFGdThIN1RFMUE" TargetMode="External"/><Relationship Id="rId412" Type="http://schemas.openxmlformats.org/officeDocument/2006/relationships/hyperlink" Target="https://drive.google.com/a/binghamton.edu/file/d/0B_lCd4vI8wOKRC1kSmo4Z0huYmc/view" TargetMode="External"/><Relationship Id="rId533" Type="http://schemas.openxmlformats.org/officeDocument/2006/relationships/hyperlink" Target="https://drive.google.com/a/binghamton.edu/file/d/0B-BMeyhXwSzWNjZIWTJhdWVyN1E/view" TargetMode="External"/><Relationship Id="rId654" Type="http://schemas.openxmlformats.org/officeDocument/2006/relationships/hyperlink" Target="https://drive.google.com/open?id=0B-gS7RLhwu-rZjFNczR2eEpRc1k" TargetMode="External"/><Relationship Id="rId419" Type="http://schemas.openxmlformats.org/officeDocument/2006/relationships/hyperlink" Target="https://pubmed.ncbi.nlm.nih.gov/26388169/" TargetMode="External"/><Relationship Id="rId418" Type="http://schemas.openxmlformats.org/officeDocument/2006/relationships/hyperlink" Target="https://drive.google.com/a/binghamton.edu/file/d/0B-BMeyhXwSzWWDgydGRBOU95VkE/view" TargetMode="External"/><Relationship Id="rId539" Type="http://schemas.openxmlformats.org/officeDocument/2006/relationships/hyperlink" Target="https://pubmed.ncbi.nlm.nih.gov/26935065/" TargetMode="External"/><Relationship Id="rId417" Type="http://schemas.openxmlformats.org/officeDocument/2006/relationships/hyperlink" Target="https://pubmed.ncbi.nlm.nih.gov/26388169/" TargetMode="External"/><Relationship Id="rId538" Type="http://schemas.openxmlformats.org/officeDocument/2006/relationships/hyperlink" Target="https://pubmed.ncbi.nlm.nih.gov/26935065/" TargetMode="External"/><Relationship Id="rId659" Type="http://schemas.openxmlformats.org/officeDocument/2006/relationships/hyperlink" Target="https://drive.google.com/open?id=0B-gS7RLhwu-rbmNoRXRjdnBKbkE" TargetMode="External"/><Relationship Id="rId416" Type="http://schemas.openxmlformats.org/officeDocument/2006/relationships/hyperlink" Target="https://drive.google.com/a/binghamton.edu/file/d/0B-BMeyhXwSzWWDgydGRBOU95VkE/view" TargetMode="External"/><Relationship Id="rId537" Type="http://schemas.openxmlformats.org/officeDocument/2006/relationships/hyperlink" Target="https://pubmed.ncbi.nlm.nih.gov/26935065/" TargetMode="External"/><Relationship Id="rId658" Type="http://schemas.openxmlformats.org/officeDocument/2006/relationships/hyperlink" Target="https://drive.google.com/open?id=0B-gS7RLhwu-rbmNoRXRjdnBKbkE" TargetMode="External"/><Relationship Id="rId411" Type="http://schemas.openxmlformats.org/officeDocument/2006/relationships/hyperlink" Target="https://pubmed.ncbi.nlm.nih.gov/28864027/" TargetMode="External"/><Relationship Id="rId532" Type="http://schemas.openxmlformats.org/officeDocument/2006/relationships/hyperlink" Target="https://drive.google.com/a/binghamton.edu/file/d/0B-BMeyhXwSzWNjZIWTJhdWVyN1E/view" TargetMode="External"/><Relationship Id="rId653" Type="http://schemas.openxmlformats.org/officeDocument/2006/relationships/hyperlink" Target="https://drive.google.com/open?id=0B-gS7RLhwu-rbjd1cnBkbDRPWFE" TargetMode="External"/><Relationship Id="rId410" Type="http://schemas.openxmlformats.org/officeDocument/2006/relationships/hyperlink" Target="https://drive.google.com/a/binghamton.edu/file/d/0B_lCd4vI8wOKRC1kSmo4Z0huYmc/view" TargetMode="External"/><Relationship Id="rId531" Type="http://schemas.openxmlformats.org/officeDocument/2006/relationships/hyperlink" Target="https://drive.google.com/a/binghamton.edu/file/d/0B-BMeyhXwSzWNjZIWTJhdWVyN1E/view" TargetMode="External"/><Relationship Id="rId652" Type="http://schemas.openxmlformats.org/officeDocument/2006/relationships/hyperlink" Target="https://drive.google.com/open?id=0B-gS7RLhwu-rbjd1cnBkbDRPWFE" TargetMode="External"/><Relationship Id="rId530" Type="http://schemas.openxmlformats.org/officeDocument/2006/relationships/hyperlink" Target="https://drive.google.com/a/binghamton.edu/file/d/0B-BMeyhXwSzWYmtkdzFsU2xqZ28/view" TargetMode="External"/><Relationship Id="rId651" Type="http://schemas.openxmlformats.org/officeDocument/2006/relationships/hyperlink" Target="https://drive.google.com/open?id=0B-gS7RLhwu-rbjd1cnBkbDRPWFE" TargetMode="External"/><Relationship Id="rId650" Type="http://schemas.openxmlformats.org/officeDocument/2006/relationships/hyperlink" Target="https://drive.google.com/open?id=0B-gS7RLhwu-rOExwYVlaWnZUSEE" TargetMode="External"/><Relationship Id="rId206" Type="http://schemas.openxmlformats.org/officeDocument/2006/relationships/hyperlink" Target="https://drive.google.com/a/binghamton.edu/file/d/0BzjZoBQGkMymQ2JpeXBSOGhHbkE/view" TargetMode="External"/><Relationship Id="rId327" Type="http://schemas.openxmlformats.org/officeDocument/2006/relationships/hyperlink" Target="https://drive.google.com/a/binghamton.edu/file/d/0B-BMeyhXwSzWQU1ET2NlLXNiU1U/view" TargetMode="External"/><Relationship Id="rId448" Type="http://schemas.openxmlformats.org/officeDocument/2006/relationships/hyperlink" Target="https://drive.google.com/file/d/0B83NpKM_pV1sZU8xOU5qWGRNTFU/view?usp=sharing" TargetMode="External"/><Relationship Id="rId569" Type="http://schemas.openxmlformats.org/officeDocument/2006/relationships/hyperlink" Target="https://www-sciencedirect-com.proxy.binghamton.edu/science/article/pii/S1473309918302202" TargetMode="External"/><Relationship Id="rId205" Type="http://schemas.openxmlformats.org/officeDocument/2006/relationships/hyperlink" Target="https://drive.google.com/open?id=0B83NpKM_pV1sYmUzV0QyZklqaGc" TargetMode="External"/><Relationship Id="rId326" Type="http://schemas.openxmlformats.org/officeDocument/2006/relationships/hyperlink" Target="https://drive.google.com/open?id=0B83NpKM_pV1sUTZXbVdiaWNPWm8" TargetMode="External"/><Relationship Id="rId447" Type="http://schemas.openxmlformats.org/officeDocument/2006/relationships/hyperlink" Target="https://pubmed.ncbi.nlm.nih.gov/31193620/" TargetMode="External"/><Relationship Id="rId568" Type="http://schemas.openxmlformats.org/officeDocument/2006/relationships/hyperlink" Target="https://www-sciencedirect-com.proxy.binghamton.edu/science/article/pii/S1473309918302202" TargetMode="External"/><Relationship Id="rId204" Type="http://schemas.openxmlformats.org/officeDocument/2006/relationships/hyperlink" Target="https://drive.google.com/a/binghamton.edu/file/d/0B_lCd4vI8wOKRm5ib2Z0TFdCVEE/view" TargetMode="External"/><Relationship Id="rId325" Type="http://schemas.openxmlformats.org/officeDocument/2006/relationships/hyperlink" Target="https://drive.google.com/file/d/0B_lCd4vI8wOKR21UZ1lENDI0Smc/view?usp=sharing" TargetMode="External"/><Relationship Id="rId446" Type="http://schemas.openxmlformats.org/officeDocument/2006/relationships/hyperlink" Target="https://drive.google.com/a/binghamton.edu/file/d/0B_lCd4vI8wOKNUhQYVlHQy11c28/view" TargetMode="External"/><Relationship Id="rId567" Type="http://schemas.openxmlformats.org/officeDocument/2006/relationships/hyperlink" Target="https://www-sciencedirect-com.proxy.binghamton.edu/science/article/pii/S1473309918302202" TargetMode="External"/><Relationship Id="rId203" Type="http://schemas.openxmlformats.org/officeDocument/2006/relationships/hyperlink" Target="https://drive.google.com/a/binghamton.edu/file/d/0BzjZoBQGkMymQ2JpeXBSOGhHbkE/view" TargetMode="External"/><Relationship Id="rId324" Type="http://schemas.openxmlformats.org/officeDocument/2006/relationships/hyperlink" Target="https://drive.google.com/a/binghamton.edu/file/d/0B-BMeyhXwSzWdElVbDU1UHV1RUE/view" TargetMode="External"/><Relationship Id="rId445" Type="http://schemas.openxmlformats.org/officeDocument/2006/relationships/hyperlink" Target="https://pubmed.ncbi.nlm.nih.gov/29617737/" TargetMode="External"/><Relationship Id="rId566" Type="http://schemas.openxmlformats.org/officeDocument/2006/relationships/hyperlink" Target="https://www-sciencedirect-com.proxy.binghamton.edu/science/article/pii/S1473309918302202" TargetMode="External"/><Relationship Id="rId209" Type="http://schemas.openxmlformats.org/officeDocument/2006/relationships/hyperlink" Target="https://drive.google.com/a/binghamton.edu/file/d/0BzjZoBQGkMymQ2JpeXBSOGhHbkE/view" TargetMode="External"/><Relationship Id="rId208" Type="http://schemas.openxmlformats.org/officeDocument/2006/relationships/hyperlink" Target="https://drive.google.com/open?id=0B83NpKM_pV1sZS1aSllwQUQ1dUU" TargetMode="External"/><Relationship Id="rId329" Type="http://schemas.openxmlformats.org/officeDocument/2006/relationships/hyperlink" Target="https://drive.google.com/open?id=0B83NpKM_pV1sUTZXbVdiaWNPWm8" TargetMode="External"/><Relationship Id="rId207" Type="http://schemas.openxmlformats.org/officeDocument/2006/relationships/hyperlink" Target="https://drive.google.com/a/binghamton.edu/file/d/0B_lCd4vI8wOKRm5ib2Z0TFdCVEE/view" TargetMode="External"/><Relationship Id="rId328" Type="http://schemas.openxmlformats.org/officeDocument/2006/relationships/hyperlink" Target="https://drive.google.com/file/d/0B_lCd4vI8wOKR21UZ1lENDI0Smc/view?usp=sharing" TargetMode="External"/><Relationship Id="rId449" Type="http://schemas.openxmlformats.org/officeDocument/2006/relationships/hyperlink" Target="https://pubmed.ncbi.nlm.nih.gov/31193620/" TargetMode="External"/><Relationship Id="rId440" Type="http://schemas.openxmlformats.org/officeDocument/2006/relationships/hyperlink" Target="https://drive.google.com/a/binghamton.edu/file/d/0B_lCd4vI8wOKZVh2UWFqazlmT1k/view" TargetMode="External"/><Relationship Id="rId561" Type="http://schemas.openxmlformats.org/officeDocument/2006/relationships/hyperlink" Target="https://www.id-press.eu/mjms/article/view/5110" TargetMode="External"/><Relationship Id="rId560" Type="http://schemas.openxmlformats.org/officeDocument/2006/relationships/hyperlink" Target="https://www.id-press.eu/mjms/article/view/5110" TargetMode="External"/><Relationship Id="rId202" Type="http://schemas.openxmlformats.org/officeDocument/2006/relationships/hyperlink" Target="https://drive.google.com/open?id=0B83NpKM_pV1sYmUzV0QyZklqaGc" TargetMode="External"/><Relationship Id="rId323" Type="http://schemas.openxmlformats.org/officeDocument/2006/relationships/hyperlink" Target="https://drive.google.com/open?id=0B83NpKM_pV1sUTZXbVdiaWNPWm8" TargetMode="External"/><Relationship Id="rId444" Type="http://schemas.openxmlformats.org/officeDocument/2006/relationships/hyperlink" Target="https://drive.google.com/a/binghamton.edu/file/d/0B_lCd4vI8wOKNUhQYVlHQy11c28/view" TargetMode="External"/><Relationship Id="rId565" Type="http://schemas.openxmlformats.org/officeDocument/2006/relationships/hyperlink" Target="https://inabj.org/index.php/ibj/article/view/920" TargetMode="External"/><Relationship Id="rId201" Type="http://schemas.openxmlformats.org/officeDocument/2006/relationships/hyperlink" Target="https://drive.google.com/a/binghamton.edu/file/d/0B_lCd4vI8wOKRm5ib2Z0TFdCVEE/view" TargetMode="External"/><Relationship Id="rId322" Type="http://schemas.openxmlformats.org/officeDocument/2006/relationships/hyperlink" Target="https://drive.google.com/file/d/0B_lCd4vI8wOKR21UZ1lENDI0Smc/view?usp=sharing" TargetMode="External"/><Relationship Id="rId443" Type="http://schemas.openxmlformats.org/officeDocument/2006/relationships/hyperlink" Target="https://pubmed.ncbi.nlm.nih.gov/29617737/" TargetMode="External"/><Relationship Id="rId564" Type="http://schemas.openxmlformats.org/officeDocument/2006/relationships/hyperlink" Target="https://inabj.org/index.php/ibj/article/view/920" TargetMode="External"/><Relationship Id="rId200" Type="http://schemas.openxmlformats.org/officeDocument/2006/relationships/hyperlink" Target="https://drive.google.com/a/binghamton.edu/file/d/0BzjZoBQGkMymQ2JpeXBSOGhHbkE/view" TargetMode="External"/><Relationship Id="rId321" Type="http://schemas.openxmlformats.org/officeDocument/2006/relationships/hyperlink" Target="https://drive.google.com/a/binghamton.edu/file/d/0B-BMeyhXwSzWdElVbDU1UHV1RUE/view" TargetMode="External"/><Relationship Id="rId442" Type="http://schemas.openxmlformats.org/officeDocument/2006/relationships/hyperlink" Target="https://drive.google.com/a/binghamton.edu/file/d/0B_lCd4vI8wOKNUhQYVlHQy11c28/view" TargetMode="External"/><Relationship Id="rId563" Type="http://schemas.openxmlformats.org/officeDocument/2006/relationships/hyperlink" Target="https://inabj.org/index.php/ibj/article/view/920" TargetMode="External"/><Relationship Id="rId320" Type="http://schemas.openxmlformats.org/officeDocument/2006/relationships/hyperlink" Target="https://drive.google.com/open?id=0B83NpKM_pV1sUTZXbVdiaWNPWm8" TargetMode="External"/><Relationship Id="rId441" Type="http://schemas.openxmlformats.org/officeDocument/2006/relationships/hyperlink" Target="https://pubmed.ncbi.nlm.nih.gov/29617737/" TargetMode="External"/><Relationship Id="rId562" Type="http://schemas.openxmlformats.org/officeDocument/2006/relationships/hyperlink" Target="https://www.id-press.eu/mjms/article/view/5110" TargetMode="External"/><Relationship Id="rId316" Type="http://schemas.openxmlformats.org/officeDocument/2006/relationships/hyperlink" Target="https://drive.google.com/open?id=0B83NpKM_pV1sVlp0Y25SY0pWZTg" TargetMode="External"/><Relationship Id="rId437" Type="http://schemas.openxmlformats.org/officeDocument/2006/relationships/hyperlink" Target="https://pubmed.ncbi.nlm.nih.gov/29617737/" TargetMode="External"/><Relationship Id="rId558" Type="http://schemas.openxmlformats.org/officeDocument/2006/relationships/hyperlink" Target="https://pubmed.ncbi.nlm.nih.gov/32405623/" TargetMode="External"/><Relationship Id="rId315" Type="http://schemas.openxmlformats.org/officeDocument/2006/relationships/hyperlink" Target="https://drive.google.com/a/binghamton.edu/file/d/0B-BMeyhXwSzWdElVbDU1UHV1RUE/view" TargetMode="External"/><Relationship Id="rId436" Type="http://schemas.openxmlformats.org/officeDocument/2006/relationships/hyperlink" Target="https://drive.google.com/a/binghamton.edu/file/d/0B812JSakX9u5SVh3QWVBTXpWV2s/view" TargetMode="External"/><Relationship Id="rId557" Type="http://schemas.openxmlformats.org/officeDocument/2006/relationships/hyperlink" Target="https://pubmed.ncbi.nlm.nih.gov/32405623/" TargetMode="External"/><Relationship Id="rId314" Type="http://schemas.openxmlformats.org/officeDocument/2006/relationships/hyperlink" Target="https://drive.google.com/open?id=0B83NpKM_pV1sUTZXbVdiaWNPWm8" TargetMode="External"/><Relationship Id="rId435" Type="http://schemas.openxmlformats.org/officeDocument/2006/relationships/hyperlink" Target="https://pubmed.ncbi.nlm.nih.gov/25589326/" TargetMode="External"/><Relationship Id="rId556" Type="http://schemas.openxmlformats.org/officeDocument/2006/relationships/hyperlink" Target="https://pubmed.ncbi.nlm.nih.gov/32405623/" TargetMode="External"/><Relationship Id="rId313" Type="http://schemas.openxmlformats.org/officeDocument/2006/relationships/hyperlink" Target="https://drive.google.com/file/d/0B_lCd4vI8wOKVDhwTUYxY1l0NWs/view?usp=sharing" TargetMode="External"/><Relationship Id="rId434" Type="http://schemas.openxmlformats.org/officeDocument/2006/relationships/hyperlink" Target="https://drive.google.com/a/binghamton.edu/file/d/0B812JSakX9u5VUE3eFF4QXNFUkk/view" TargetMode="External"/><Relationship Id="rId555" Type="http://schemas.openxmlformats.org/officeDocument/2006/relationships/hyperlink" Target="https://pubmed.ncbi.nlm.nih.gov/32405623/" TargetMode="External"/><Relationship Id="rId319" Type="http://schemas.openxmlformats.org/officeDocument/2006/relationships/hyperlink" Target="https://drive.google.com/open?id=0B83NpKM_pV1sVlp0Y25SY0pWZTg" TargetMode="External"/><Relationship Id="rId318" Type="http://schemas.openxmlformats.org/officeDocument/2006/relationships/hyperlink" Target="https://drive.google.com/a/binghamton.edu/file/d/0B-BMeyhXwSzWdElVbDU1UHV1RUE/view" TargetMode="External"/><Relationship Id="rId439" Type="http://schemas.openxmlformats.org/officeDocument/2006/relationships/hyperlink" Target="https://pubmed.ncbi.nlm.nih.gov/29617737/" TargetMode="External"/><Relationship Id="rId317" Type="http://schemas.openxmlformats.org/officeDocument/2006/relationships/hyperlink" Target="https://drive.google.com/open?id=0B83NpKM_pV1sUTZXbVdiaWNPWm8" TargetMode="External"/><Relationship Id="rId438" Type="http://schemas.openxmlformats.org/officeDocument/2006/relationships/hyperlink" Target="https://drive.google.com/a/binghamton.edu/file/d/0B_lCd4vI8wOKZVh2UWFqazlmT1k/view" TargetMode="External"/><Relationship Id="rId559" Type="http://schemas.openxmlformats.org/officeDocument/2006/relationships/hyperlink" Target="https://pubmed.ncbi.nlm.nih.gov/32405623/" TargetMode="External"/><Relationship Id="rId550" Type="http://schemas.openxmlformats.org/officeDocument/2006/relationships/hyperlink" Target="https://pubmed.ncbi.nlm.nih.gov/31044235/" TargetMode="External"/><Relationship Id="rId312" Type="http://schemas.openxmlformats.org/officeDocument/2006/relationships/hyperlink" Target="https://drive.google.com/a/binghamton.edu/file/d/0B5uKCExuj58mZEFNdVFmWU9WRlk/view" TargetMode="External"/><Relationship Id="rId433" Type="http://schemas.openxmlformats.org/officeDocument/2006/relationships/hyperlink" Target="https://pubmed.ncbi.nlm.nih.gov/25589326/" TargetMode="External"/><Relationship Id="rId554" Type="http://schemas.openxmlformats.org/officeDocument/2006/relationships/hyperlink" Target="https://pubmed.ncbi.nlm.nih.gov/32405623/" TargetMode="External"/><Relationship Id="rId311" Type="http://schemas.openxmlformats.org/officeDocument/2006/relationships/hyperlink" Target="https://drive.google.com/open?id=0B83NpKM_pV1sU0dfcGlvZlFfOVU" TargetMode="External"/><Relationship Id="rId432" Type="http://schemas.openxmlformats.org/officeDocument/2006/relationships/hyperlink" Target="https://drive.google.com/a/binghamton.edu/file/d/0B812JSakX9u5VUE3eFF4QXNFUkk/view" TargetMode="External"/><Relationship Id="rId553" Type="http://schemas.openxmlformats.org/officeDocument/2006/relationships/hyperlink" Target="https://pubmed.ncbi.nlm.nih.gov/32405623/" TargetMode="External"/><Relationship Id="rId310" Type="http://schemas.openxmlformats.org/officeDocument/2006/relationships/hyperlink" Target="https://drive.google.com/a/binghamton.edu/file/d/0B_lCd4vI8wOKMHB0YnBiekdnX1U/view?usp=drive_web" TargetMode="External"/><Relationship Id="rId431" Type="http://schemas.openxmlformats.org/officeDocument/2006/relationships/hyperlink" Target="https://pubmed.ncbi.nlm.nih.gov/25589326/" TargetMode="External"/><Relationship Id="rId552" Type="http://schemas.openxmlformats.org/officeDocument/2006/relationships/hyperlink" Target="https://pubmed.ncbi.nlm.nih.gov/32405623/" TargetMode="External"/><Relationship Id="rId430" Type="http://schemas.openxmlformats.org/officeDocument/2006/relationships/hyperlink" Target="https://drive.google.com/a/binghamton.edu/file/d/0B812JSakX9u5VUE3eFF4QXNFUkk/view" TargetMode="External"/><Relationship Id="rId551" Type="http://schemas.openxmlformats.org/officeDocument/2006/relationships/hyperlink" Target="https://pubmed.ncbi.nlm.nih.gov/31044235/"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topLeftCell="B1" activePane="topRight" state="frozen"/>
      <selection activeCell="C2" sqref="C2" pane="topRight"/>
    </sheetView>
  </sheetViews>
  <sheetFormatPr customHeight="1" defaultColWidth="12.63" defaultRowHeight="15.75"/>
  <cols>
    <col customWidth="1" min="1" max="1" width="14.63"/>
    <col customWidth="1" min="3" max="3" width="16.5"/>
    <col customWidth="1" min="5" max="5" width="15.63"/>
    <col customWidth="1" min="6" max="6" width="20.75"/>
    <col customWidth="1" min="8" max="8" width="16.13"/>
    <col customWidth="1" min="10" max="10" width="14.38"/>
    <col customWidth="1" min="11" max="11" width="17.38"/>
    <col customWidth="1" min="13" max="13" width="15.38"/>
    <col customWidth="1" min="15" max="15" width="15.38"/>
    <col customWidth="1" min="16" max="16" width="18.13"/>
    <col customWidth="1" min="18" max="18" width="16.0"/>
    <col customWidth="1" min="20" max="20" width="13.25"/>
    <col customWidth="1" min="21" max="21" width="18.5"/>
  </cols>
  <sheetData>
    <row r="1">
      <c r="B1" s="1">
        <v>2010.0</v>
      </c>
      <c r="G1" s="2">
        <v>2013.0</v>
      </c>
      <c r="L1" s="1">
        <v>2015.0</v>
      </c>
      <c r="Q1" s="2">
        <v>2017.0</v>
      </c>
    </row>
    <row r="2" ht="68.25" customHeight="1">
      <c r="A2" s="3" t="s">
        <v>0</v>
      </c>
      <c r="B2" s="4" t="s">
        <v>1</v>
      </c>
      <c r="C2" s="4" t="s">
        <v>2</v>
      </c>
      <c r="D2" s="4" t="s">
        <v>3</v>
      </c>
      <c r="E2" s="4" t="s">
        <v>4</v>
      </c>
      <c r="F2" s="4" t="s">
        <v>5</v>
      </c>
      <c r="G2" s="5" t="s">
        <v>1</v>
      </c>
      <c r="H2" s="5" t="s">
        <v>2</v>
      </c>
      <c r="I2" s="5" t="s">
        <v>3</v>
      </c>
      <c r="J2" s="5" t="s">
        <v>4</v>
      </c>
      <c r="K2" s="5" t="s">
        <v>5</v>
      </c>
      <c r="L2" s="4" t="s">
        <v>1</v>
      </c>
      <c r="M2" s="4" t="s">
        <v>2</v>
      </c>
      <c r="N2" s="4" t="s">
        <v>3</v>
      </c>
      <c r="O2" s="4" t="s">
        <v>4</v>
      </c>
      <c r="P2" s="4" t="s">
        <v>5</v>
      </c>
      <c r="Q2" s="5" t="s">
        <v>1</v>
      </c>
      <c r="R2" s="5" t="s">
        <v>2</v>
      </c>
      <c r="S2" s="5" t="s">
        <v>3</v>
      </c>
      <c r="T2" s="5" t="s">
        <v>4</v>
      </c>
      <c r="U2" s="5" t="s">
        <v>5</v>
      </c>
      <c r="V2" s="6"/>
      <c r="W2" s="6"/>
      <c r="X2" s="6"/>
      <c r="Y2" s="6"/>
      <c r="Z2" s="6"/>
    </row>
    <row r="3">
      <c r="A3" s="3" t="s">
        <v>6</v>
      </c>
      <c r="B3" s="7" t="s">
        <v>1</v>
      </c>
      <c r="C3" s="7" t="s">
        <v>2</v>
      </c>
      <c r="D3" s="7" t="s">
        <v>3</v>
      </c>
      <c r="E3" s="7" t="s">
        <v>4</v>
      </c>
      <c r="F3" s="7" t="s">
        <v>5</v>
      </c>
      <c r="G3" s="8" t="s">
        <v>1</v>
      </c>
      <c r="H3" s="8" t="s">
        <v>2</v>
      </c>
      <c r="I3" s="8" t="s">
        <v>3</v>
      </c>
      <c r="J3" s="8" t="s">
        <v>4</v>
      </c>
      <c r="K3" s="8" t="s">
        <v>5</v>
      </c>
      <c r="L3" s="7" t="s">
        <v>1</v>
      </c>
      <c r="M3" s="7" t="s">
        <v>2</v>
      </c>
      <c r="N3" s="7" t="s">
        <v>3</v>
      </c>
      <c r="O3" s="7" t="s">
        <v>4</v>
      </c>
      <c r="P3" s="7" t="s">
        <v>5</v>
      </c>
      <c r="Q3" s="8" t="s">
        <v>1</v>
      </c>
      <c r="R3" s="8" t="s">
        <v>2</v>
      </c>
      <c r="S3" s="8" t="s">
        <v>3</v>
      </c>
      <c r="T3" s="8" t="s">
        <v>4</v>
      </c>
      <c r="U3" s="8" t="s">
        <v>5</v>
      </c>
      <c r="V3" s="6"/>
      <c r="W3" s="6"/>
      <c r="X3" s="6"/>
      <c r="Y3" s="6"/>
      <c r="Z3" s="6"/>
    </row>
    <row r="4">
      <c r="A4" s="3" t="s">
        <v>7</v>
      </c>
      <c r="B4" s="9">
        <f t="shared" ref="B4:U4" si="1">B16</f>
        <v>368383.8254</v>
      </c>
      <c r="C4" s="9">
        <f t="shared" si="1"/>
        <v>1103593.445</v>
      </c>
      <c r="D4" s="9">
        <f t="shared" si="1"/>
        <v>94238.15887</v>
      </c>
      <c r="E4" s="9">
        <f t="shared" si="1"/>
        <v>1489282.006</v>
      </c>
      <c r="F4" s="9">
        <f t="shared" si="1"/>
        <v>6808.515486</v>
      </c>
      <c r="G4" s="10">
        <f t="shared" si="1"/>
        <v>63237.9503</v>
      </c>
      <c r="H4" s="10">
        <f t="shared" si="1"/>
        <v>794478.286</v>
      </c>
      <c r="I4" s="10">
        <f t="shared" si="1"/>
        <v>15102.6563</v>
      </c>
      <c r="J4" s="10">
        <f t="shared" si="1"/>
        <v>298007.7355</v>
      </c>
      <c r="K4" s="10">
        <f t="shared" si="1"/>
        <v>17691.08382</v>
      </c>
      <c r="L4" s="9">
        <f t="shared" si="1"/>
        <v>278114.0119</v>
      </c>
      <c r="M4" s="9">
        <f t="shared" si="1"/>
        <v>1116972.084</v>
      </c>
      <c r="N4" s="9">
        <f t="shared" si="1"/>
        <v>12524.48965</v>
      </c>
      <c r="O4" s="9">
        <f t="shared" si="1"/>
        <v>1314089.863</v>
      </c>
      <c r="P4" s="9">
        <f t="shared" si="1"/>
        <v>56431.3284</v>
      </c>
      <c r="Q4" s="10">
        <f t="shared" si="1"/>
        <v>344282.5051</v>
      </c>
      <c r="R4" s="10">
        <f t="shared" si="1"/>
        <v>1012603.39</v>
      </c>
      <c r="S4" s="10">
        <f t="shared" si="1"/>
        <v>11873.0538</v>
      </c>
      <c r="T4" s="10">
        <f t="shared" si="1"/>
        <v>736409.6707</v>
      </c>
      <c r="U4" s="10">
        <f t="shared" si="1"/>
        <v>2898.554838</v>
      </c>
    </row>
    <row r="5">
      <c r="A5" s="3"/>
      <c r="B5" s="11"/>
      <c r="C5" s="11"/>
      <c r="D5" s="11"/>
      <c r="E5" s="11"/>
      <c r="F5" s="11"/>
      <c r="L5" s="11"/>
      <c r="M5" s="11"/>
      <c r="N5" s="11"/>
      <c r="O5" s="11"/>
      <c r="P5" s="11"/>
    </row>
    <row r="6">
      <c r="A6" s="12" t="s">
        <v>8</v>
      </c>
      <c r="B6" s="13">
        <v>1988.0</v>
      </c>
      <c r="C6" s="13">
        <v>1996.0</v>
      </c>
      <c r="D6" s="13">
        <v>1949.0</v>
      </c>
      <c r="E6" s="13">
        <v>1975.0</v>
      </c>
      <c r="F6" s="13">
        <v>1972.0</v>
      </c>
      <c r="G6" s="13">
        <v>1988.0</v>
      </c>
      <c r="H6" s="13">
        <v>1996.0</v>
      </c>
      <c r="I6" s="13">
        <v>1949.0</v>
      </c>
      <c r="J6" s="13">
        <v>1975.0</v>
      </c>
      <c r="K6" s="13">
        <v>1972.0</v>
      </c>
      <c r="L6" s="13">
        <v>1988.0</v>
      </c>
      <c r="M6" s="13">
        <v>1996.0</v>
      </c>
      <c r="N6" s="13">
        <v>1949.0</v>
      </c>
      <c r="O6" s="13">
        <v>1975.0</v>
      </c>
      <c r="P6" s="13">
        <v>1972.0</v>
      </c>
      <c r="Q6" s="13">
        <v>1988.0</v>
      </c>
      <c r="R6" s="13">
        <v>1996.0</v>
      </c>
      <c r="S6" s="13">
        <v>1949.0</v>
      </c>
      <c r="T6" s="13">
        <v>1975.0</v>
      </c>
      <c r="U6" s="13">
        <v>1972.0</v>
      </c>
    </row>
    <row r="7">
      <c r="A7" s="14" t="s">
        <v>9</v>
      </c>
      <c r="B7" s="4" t="s">
        <v>10</v>
      </c>
      <c r="C7" s="4" t="s">
        <v>11</v>
      </c>
      <c r="D7" s="4" t="s">
        <v>12</v>
      </c>
      <c r="E7" s="4" t="s">
        <v>13</v>
      </c>
      <c r="F7" s="4" t="s">
        <v>14</v>
      </c>
      <c r="G7" s="5" t="s">
        <v>10</v>
      </c>
      <c r="H7" s="5" t="s">
        <v>11</v>
      </c>
      <c r="I7" s="5" t="s">
        <v>12</v>
      </c>
      <c r="J7" s="5" t="s">
        <v>13</v>
      </c>
      <c r="K7" s="5" t="s">
        <v>14</v>
      </c>
      <c r="L7" s="4" t="s">
        <v>10</v>
      </c>
      <c r="M7" s="4" t="s">
        <v>11</v>
      </c>
      <c r="N7" s="4" t="s">
        <v>12</v>
      </c>
      <c r="O7" s="4" t="s">
        <v>13</v>
      </c>
      <c r="P7" s="4" t="s">
        <v>14</v>
      </c>
      <c r="Q7" s="5" t="s">
        <v>10</v>
      </c>
      <c r="R7" s="5" t="s">
        <v>11</v>
      </c>
      <c r="S7" s="5" t="s">
        <v>12</v>
      </c>
      <c r="T7" s="5" t="s">
        <v>13</v>
      </c>
      <c r="U7" s="5" t="s">
        <v>14</v>
      </c>
      <c r="V7" s="6"/>
      <c r="W7" s="6"/>
      <c r="X7" s="6"/>
      <c r="Y7" s="6"/>
      <c r="Z7" s="6"/>
    </row>
    <row r="8">
      <c r="A8" s="15"/>
      <c r="V8" s="6"/>
      <c r="W8" s="6"/>
      <c r="X8" s="6"/>
      <c r="Y8" s="6"/>
      <c r="Z8" s="6"/>
    </row>
    <row r="9">
      <c r="A9" s="15"/>
      <c r="V9" s="6"/>
      <c r="W9" s="6"/>
      <c r="X9" s="6"/>
      <c r="Y9" s="6"/>
      <c r="Z9" s="6"/>
    </row>
    <row r="10">
      <c r="A10" s="3" t="s">
        <v>15</v>
      </c>
      <c r="B10" s="16">
        <f>'2010 NTD Model'!CG3/2</f>
        <v>320674.5325</v>
      </c>
      <c r="C10" s="16"/>
      <c r="D10" s="16"/>
      <c r="E10" s="16">
        <f>'2010 NTD Model'!CE3+'2010 NTD Model'!CG3/2</f>
        <v>1193761.797</v>
      </c>
      <c r="F10" s="16">
        <f>'2010 NTD Model'!CF3</f>
        <v>4522.133375</v>
      </c>
      <c r="G10" s="17">
        <f>'2013 NTD Model'!CG3/2</f>
        <v>9735.752707</v>
      </c>
      <c r="H10" s="17"/>
      <c r="I10" s="17"/>
      <c r="J10" s="17">
        <f>'2013 NTD Model'!CE3+'2013 NTD Model'!CG3/2</f>
        <v>171863.0915</v>
      </c>
      <c r="K10" s="17">
        <f>'2013 NTD Model'!CF3</f>
        <v>3827.02159</v>
      </c>
      <c r="L10" s="16">
        <f>'2015 NTD model'!CG3/2</f>
        <v>143463.9433</v>
      </c>
      <c r="M10" s="16"/>
      <c r="N10" s="16"/>
      <c r="O10" s="16">
        <f>'2015 NTD model'!CE3+'2015 NTD model'!CG3/2</f>
        <v>1006022.482</v>
      </c>
      <c r="P10" s="16">
        <f>'2015 NTD model'!CF3</f>
        <v>29266.80661</v>
      </c>
      <c r="Q10" s="17">
        <f>'2017 NTD model'!CG3/2</f>
        <v>148012.0121</v>
      </c>
      <c r="R10" s="17"/>
      <c r="S10" s="17"/>
      <c r="T10" s="17">
        <f>'2017 NTD model'!CE3+'2017 NTD model'!CG3/2</f>
        <v>527541.0264</v>
      </c>
      <c r="U10" s="17">
        <f>'2017 NTD model'!CF3</f>
        <v>2044.840147</v>
      </c>
      <c r="V10" s="10"/>
      <c r="W10" s="10"/>
      <c r="X10" s="10"/>
      <c r="Y10" s="10"/>
      <c r="Z10" s="10"/>
    </row>
    <row r="11">
      <c r="A11" s="3" t="s">
        <v>16</v>
      </c>
      <c r="B11" s="16"/>
      <c r="C11" s="16"/>
      <c r="D11" s="16"/>
      <c r="E11" s="16">
        <f>'2010 NTD Model'!CC3</f>
        <v>144404.908</v>
      </c>
      <c r="F11" s="16">
        <f>'2010 NTD Model'!CD3</f>
        <v>1026.209717</v>
      </c>
      <c r="G11" s="17"/>
      <c r="H11" s="17"/>
      <c r="I11" s="17"/>
      <c r="J11" s="17">
        <f>'2013 NTD Model'!CC3</f>
        <v>70583.89903</v>
      </c>
      <c r="K11" s="17">
        <f>'2013 NTD Model'!CD3</f>
        <v>9883.021391</v>
      </c>
      <c r="L11" s="16"/>
      <c r="M11" s="16"/>
      <c r="N11" s="16"/>
      <c r="O11" s="16">
        <f>'2015 NTD model'!CC3</f>
        <v>174148.653</v>
      </c>
      <c r="P11" s="16">
        <f>'2015 NTD model'!CD3</f>
        <v>20674.9489</v>
      </c>
      <c r="Q11" s="17"/>
      <c r="R11" s="17"/>
      <c r="S11" s="17"/>
      <c r="T11" s="17">
        <f>'2017 NTD model'!CC3</f>
        <v>46906.27412</v>
      </c>
      <c r="U11" s="17">
        <f>'2017 NTD model'!CD3</f>
        <v>14.68700392</v>
      </c>
      <c r="V11" s="10"/>
      <c r="W11" s="10"/>
      <c r="X11" s="10"/>
      <c r="Y11" s="10"/>
      <c r="Z11" s="10"/>
    </row>
    <row r="12">
      <c r="A12" s="18" t="s">
        <v>17</v>
      </c>
      <c r="B12" s="16">
        <f>'2010 NTD Model'!CB3/2</f>
        <v>9062.592914</v>
      </c>
      <c r="C12" s="16"/>
      <c r="D12" s="16"/>
      <c r="E12" s="16">
        <f>'2010 NTD Model'!BZ3+'2010 NTD Model'!CB3/2</f>
        <v>18230.44284</v>
      </c>
      <c r="F12" s="16">
        <f>'2010 NTD Model'!CA3</f>
        <v>1260.172394</v>
      </c>
      <c r="G12" s="17">
        <f>'2013 NTD Model'!CB3/2</f>
        <v>1345.46393</v>
      </c>
      <c r="H12" s="17"/>
      <c r="I12" s="17"/>
      <c r="J12" s="17">
        <f>'2013 NTD Model'!BZ3+'2013 NTD Model'!CB3/2</f>
        <v>10905.09382</v>
      </c>
      <c r="K12" s="17">
        <f>'2013 NTD Model'!CA3</f>
        <v>3981.040838</v>
      </c>
      <c r="L12" s="16">
        <f>'2015 NTD model'!CB3/2</f>
        <v>9404.611593</v>
      </c>
      <c r="M12" s="16"/>
      <c r="N12" s="16"/>
      <c r="O12" s="16">
        <f>'2015 NTD model'!BZ3+'2015 NTD model'!CB3/2</f>
        <v>28839.99318</v>
      </c>
      <c r="P12" s="16">
        <f>'2015 NTD model'!CA3</f>
        <v>6489.572889</v>
      </c>
      <c r="Q12" s="17">
        <f>'2017 NTD model'!CB3/2</f>
        <v>3782.742001</v>
      </c>
      <c r="R12" s="17"/>
      <c r="S12" s="17"/>
      <c r="T12" s="17">
        <f>'2017 NTD model'!BZ3+'2017 NTD model'!CB3/2</f>
        <v>10188.78211</v>
      </c>
      <c r="U12" s="17">
        <f>'2017 NTD model'!CA3</f>
        <v>839.0276863</v>
      </c>
      <c r="V12" s="10"/>
      <c r="W12" s="10"/>
      <c r="X12" s="10"/>
      <c r="Y12" s="10"/>
      <c r="Z12" s="10"/>
    </row>
    <row r="13">
      <c r="A13" s="3" t="s">
        <v>18</v>
      </c>
      <c r="B13" s="16"/>
      <c r="C13" s="16">
        <f>'2010 NTD Model'!BY3</f>
        <v>1103593.445</v>
      </c>
      <c r="D13" s="16"/>
      <c r="E13" s="16"/>
      <c r="F13" s="16"/>
      <c r="G13" s="17"/>
      <c r="H13" s="17">
        <f>'2013 NTD Model'!BY3</f>
        <v>794478.286</v>
      </c>
      <c r="I13" s="17"/>
      <c r="J13" s="17"/>
      <c r="K13" s="17"/>
      <c r="L13" s="16"/>
      <c r="M13" s="16">
        <f>'2015 NTD model'!BY3</f>
        <v>1116972.084</v>
      </c>
      <c r="N13" s="16"/>
      <c r="O13" s="16"/>
      <c r="P13" s="16"/>
      <c r="Q13" s="17"/>
      <c r="R13" s="17">
        <f>'2017 NTD model'!BY3</f>
        <v>1012603.39</v>
      </c>
      <c r="S13" s="17"/>
      <c r="T13" s="17"/>
      <c r="U13" s="17"/>
      <c r="V13" s="10"/>
      <c r="W13" s="10"/>
      <c r="X13" s="10"/>
      <c r="Y13" s="10"/>
      <c r="Z13" s="10"/>
    </row>
    <row r="14">
      <c r="A14" s="19" t="s">
        <v>19</v>
      </c>
      <c r="B14" s="16"/>
      <c r="C14" s="16"/>
      <c r="D14" s="16"/>
      <c r="E14" s="16"/>
      <c r="F14" s="16"/>
      <c r="G14" s="17">
        <f>'2013 NTD Model'!CH3</f>
        <v>22603.7388</v>
      </c>
      <c r="H14" s="17"/>
      <c r="I14" s="17"/>
      <c r="J14" s="17"/>
      <c r="K14" s="17"/>
      <c r="L14" s="16">
        <f>'2015 NTD model'!CH3</f>
        <v>32691.21203</v>
      </c>
      <c r="M14" s="16"/>
      <c r="N14" s="16"/>
      <c r="O14" s="16"/>
      <c r="P14" s="16"/>
      <c r="Q14" s="17">
        <f>'2017 NTD model'!CH3</f>
        <v>52587.21669</v>
      </c>
      <c r="R14" s="17"/>
      <c r="S14" s="17"/>
      <c r="T14" s="17"/>
      <c r="U14" s="17"/>
      <c r="V14" s="10"/>
      <c r="W14" s="10"/>
      <c r="X14" s="10"/>
      <c r="Y14" s="10"/>
      <c r="Z14" s="10"/>
    </row>
    <row r="15">
      <c r="A15" s="19" t="s">
        <v>20</v>
      </c>
      <c r="B15" s="16">
        <f>'2010 NTD Model'!BX3/2</f>
        <v>38646.69995</v>
      </c>
      <c r="C15" s="16"/>
      <c r="D15" s="16">
        <f>'2010 NTD Model'!BW3/2</f>
        <v>94238.15887</v>
      </c>
      <c r="E15" s="16">
        <f>('2010 NTD Model'!BX3/2)+'2010 NTD Model'!BW3/2</f>
        <v>132884.8588</v>
      </c>
      <c r="F15" s="16"/>
      <c r="G15" s="17">
        <f>'2013 NTD Model'!BX3/2</f>
        <v>29552.99487</v>
      </c>
      <c r="H15" s="17"/>
      <c r="I15" s="17">
        <f>'2013 NTD Model'!BW3/2</f>
        <v>15102.6563</v>
      </c>
      <c r="J15" s="17">
        <f>('2013 NTD Model'!BW3/2)+'2013 NTD Model'!BX3/2</f>
        <v>44655.65117</v>
      </c>
      <c r="K15" s="17"/>
      <c r="L15" s="16">
        <f>'2015 NTD model'!BX3/2</f>
        <v>92554.24504</v>
      </c>
      <c r="M15" s="16"/>
      <c r="N15" s="16">
        <f>'2015 NTD model'!BW3/2</f>
        <v>12524.48965</v>
      </c>
      <c r="O15" s="16">
        <f>('2015 NTD model'!BX3/2)+('2015 NTD model'!BW3/2)</f>
        <v>105078.7347</v>
      </c>
      <c r="P15" s="16"/>
      <c r="Q15" s="17">
        <f>'2017 NTD model'!BX3/2</f>
        <v>139900.5343</v>
      </c>
      <c r="R15" s="17"/>
      <c r="S15" s="17">
        <f>'2017 NTD model'!BW3/2</f>
        <v>11873.0538</v>
      </c>
      <c r="T15" s="17">
        <f>('2017 NTD model'!BX3/2)+('2017 NTD model'!BW3/2)</f>
        <v>151773.5881</v>
      </c>
      <c r="U15" s="17"/>
      <c r="V15" s="10"/>
      <c r="W15" s="10"/>
      <c r="X15" s="10"/>
      <c r="Y15" s="10"/>
      <c r="Z15" s="10"/>
    </row>
    <row r="16">
      <c r="A16" s="20" t="s">
        <v>21</v>
      </c>
      <c r="B16" s="10">
        <f t="shared" ref="B16:U16" si="2">SUM(B10:B15)</f>
        <v>368383.8254</v>
      </c>
      <c r="C16" s="10">
        <f t="shared" si="2"/>
        <v>1103593.445</v>
      </c>
      <c r="D16" s="10">
        <f t="shared" si="2"/>
        <v>94238.15887</v>
      </c>
      <c r="E16" s="10">
        <f t="shared" si="2"/>
        <v>1489282.006</v>
      </c>
      <c r="F16" s="10">
        <f t="shared" si="2"/>
        <v>6808.515486</v>
      </c>
      <c r="G16" s="10">
        <f t="shared" si="2"/>
        <v>63237.9503</v>
      </c>
      <c r="H16" s="10">
        <f t="shared" si="2"/>
        <v>794478.286</v>
      </c>
      <c r="I16" s="10">
        <f t="shared" si="2"/>
        <v>15102.6563</v>
      </c>
      <c r="J16" s="10">
        <f t="shared" si="2"/>
        <v>298007.7355</v>
      </c>
      <c r="K16" s="10">
        <f t="shared" si="2"/>
        <v>17691.08382</v>
      </c>
      <c r="L16" s="10">
        <f t="shared" si="2"/>
        <v>278114.0119</v>
      </c>
      <c r="M16" s="10">
        <f t="shared" si="2"/>
        <v>1116972.084</v>
      </c>
      <c r="N16" s="10">
        <f t="shared" si="2"/>
        <v>12524.48965</v>
      </c>
      <c r="O16" s="10">
        <f t="shared" si="2"/>
        <v>1314089.863</v>
      </c>
      <c r="P16" s="10">
        <f t="shared" si="2"/>
        <v>56431.3284</v>
      </c>
      <c r="Q16" s="10">
        <f t="shared" si="2"/>
        <v>344282.5051</v>
      </c>
      <c r="R16" s="10">
        <f t="shared" si="2"/>
        <v>1012603.39</v>
      </c>
      <c r="S16" s="10">
        <f t="shared" si="2"/>
        <v>11873.0538</v>
      </c>
      <c r="T16" s="10">
        <f t="shared" si="2"/>
        <v>736409.6707</v>
      </c>
      <c r="U16" s="10">
        <f t="shared" si="2"/>
        <v>2898.554838</v>
      </c>
      <c r="V16" s="10"/>
      <c r="W16" s="10"/>
      <c r="X16" s="10"/>
      <c r="Y16" s="10"/>
      <c r="Z16" s="10"/>
    </row>
    <row r="20">
      <c r="A20" s="21"/>
    </row>
    <row r="21">
      <c r="A21" s="22"/>
    </row>
    <row r="22">
      <c r="A22" s="22"/>
    </row>
    <row r="23">
      <c r="A23" s="22"/>
    </row>
    <row r="24">
      <c r="A24" s="22"/>
    </row>
    <row r="25">
      <c r="A25" s="23"/>
    </row>
    <row r="26">
      <c r="A26" s="24"/>
    </row>
    <row r="29">
      <c r="A29" s="22"/>
    </row>
    <row r="30">
      <c r="A30" s="22"/>
    </row>
    <row r="31">
      <c r="A31" s="25"/>
    </row>
    <row r="32">
      <c r="A32" s="22"/>
    </row>
    <row r="33">
      <c r="A33" s="22"/>
    </row>
    <row r="34">
      <c r="A34" s="22"/>
    </row>
    <row r="35">
      <c r="A35" s="26"/>
    </row>
    <row r="36">
      <c r="A36" s="21"/>
    </row>
    <row r="37">
      <c r="A37" s="21"/>
    </row>
    <row r="38">
      <c r="A38" s="21"/>
    </row>
  </sheetData>
  <mergeCells count="26">
    <mergeCell ref="R7:R9"/>
    <mergeCell ref="S7:S9"/>
    <mergeCell ref="T7:T9"/>
    <mergeCell ref="U7:U9"/>
    <mergeCell ref="B1:F1"/>
    <mergeCell ref="G1:K1"/>
    <mergeCell ref="L1:P1"/>
    <mergeCell ref="Q1:U1"/>
    <mergeCell ref="A7:A9"/>
    <mergeCell ref="B7:B9"/>
    <mergeCell ref="C7:C9"/>
    <mergeCell ref="D7:D9"/>
    <mergeCell ref="E7:E9"/>
    <mergeCell ref="A26:A28"/>
    <mergeCell ref="F7:F9"/>
    <mergeCell ref="G7:G9"/>
    <mergeCell ref="H7:H9"/>
    <mergeCell ref="I7:I9"/>
    <mergeCell ref="J7:J9"/>
    <mergeCell ref="K7:K9"/>
    <mergeCell ref="L7:L9"/>
    <mergeCell ref="M7:M9"/>
    <mergeCell ref="N7:N9"/>
    <mergeCell ref="O7:O9"/>
    <mergeCell ref="P7:P9"/>
    <mergeCell ref="Q7:Q9"/>
  </mergeCells>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4" max="4" width="28.63"/>
    <col hidden="1" min="8" max="39" width="12.63"/>
    <col customWidth="1" min="55" max="55" width="314.75"/>
    <col customWidth="1" min="56" max="56" width="457.75"/>
    <col customWidth="1" min="57" max="57" width="303.5"/>
  </cols>
  <sheetData>
    <row r="1">
      <c r="A1" s="697" t="str">
        <f>IFERROR(__xludf.DUMMYFUNCTION("IMPORTRANGE(""https://docs.google.com/spreadsheets/d/1Y3WN3FCvkhPxNz-x9K21_-tv2FZILeMzWwvuzc944Yk/edit#gid=0"",""Sheet1!A1:BG400"")"),"")</f>
        <v/>
      </c>
      <c r="B1" s="697"/>
      <c r="C1" s="697" t="str">
        <f>IFERROR(__xludf.DUMMYFUNCTION("""COMPUTED_VALUE"""),"Country")</f>
        <v>Country</v>
      </c>
      <c r="D1" s="697" t="str">
        <f>IFERROR(__xludf.DUMMYFUNCTION("""COMPUTED_VALUE"""),"Drug")</f>
        <v>Drug</v>
      </c>
      <c r="E1" s="697" t="str">
        <f>IFERROR(__xludf.DUMMYFUNCTION("""COMPUTED_VALUE"""),"Dosage Form")</f>
        <v>Dosage Form</v>
      </c>
      <c r="F1" s="697" t="str">
        <f>IFERROR(__xludf.DUMMYFUNCTION("""COMPUTED_VALUE"""),"Dosage Schedule")</f>
        <v>Dosage Schedule</v>
      </c>
      <c r="G1" s="697" t="str">
        <f>IFERROR(__xludf.DUMMYFUNCTION("""COMPUTED_VALUE"""),"Total Dose")</f>
        <v>Total Dose</v>
      </c>
      <c r="H1" s="697" t="str">
        <f>IFERROR(__xludf.DUMMYFUNCTION("""COMPUTED_VALUE"""),"1 day")</f>
        <v>1 day</v>
      </c>
      <c r="I1" s="697" t="str">
        <f>IFERROR(__xludf.DUMMYFUNCTION("""COMPUTED_VALUE"""),"2 days")</f>
        <v>2 days</v>
      </c>
      <c r="J1" s="697" t="str">
        <f>IFERROR(__xludf.DUMMYFUNCTION("""COMPUTED_VALUE"""),"3 days")</f>
        <v>3 days</v>
      </c>
      <c r="K1" s="697" t="str">
        <f>IFERROR(__xludf.DUMMYFUNCTION("""COMPUTED_VALUE"""),"4 days")</f>
        <v>4 days</v>
      </c>
      <c r="L1" s="697" t="str">
        <f>IFERROR(__xludf.DUMMYFUNCTION("""COMPUTED_VALUE""")," 7 Days ")</f>
        <v> 7 Days </v>
      </c>
      <c r="M1" s="697" t="str">
        <f>IFERROR(__xludf.DUMMYFUNCTION("""COMPUTED_VALUE"""),"9 days ")</f>
        <v>9 days </v>
      </c>
      <c r="N1" s="697" t="str">
        <f>IFERROR(__xludf.DUMMYFUNCTION("""COMPUTED_VALUE"""),"14 Days")</f>
        <v>14 Days</v>
      </c>
      <c r="O1" s="697" t="str">
        <f>IFERROR(__xludf.DUMMYFUNCTION("""COMPUTED_VALUE"""),"1 month ")</f>
        <v>1 month </v>
      </c>
      <c r="P1" s="697" t="str">
        <f>IFERROR(__xludf.DUMMYFUNCTION("""COMPUTED_VALUE"""),"2 months")</f>
        <v>2 months</v>
      </c>
      <c r="Q1" s="697" t="str">
        <f>IFERROR(__xludf.DUMMYFUNCTION("""COMPUTED_VALUE"""),"3 months ")</f>
        <v>3 months </v>
      </c>
      <c r="R1" s="697" t="str">
        <f>IFERROR(__xludf.DUMMYFUNCTION("""COMPUTED_VALUE"""),"4 months")</f>
        <v>4 months</v>
      </c>
      <c r="S1" s="697" t="str">
        <f>IFERROR(__xludf.DUMMYFUNCTION("""COMPUTED_VALUE"""),"6 months ")</f>
        <v>6 months </v>
      </c>
      <c r="T1" s="697" t="str">
        <f>IFERROR(__xludf.DUMMYFUNCTION("""COMPUTED_VALUE"""),"8 months")</f>
        <v>8 months</v>
      </c>
      <c r="U1" s="697" t="str">
        <f>IFERROR(__xludf.DUMMYFUNCTION("""COMPUTED_VALUE"""),"9 months")</f>
        <v>9 months</v>
      </c>
      <c r="V1" s="697" t="str">
        <f>IFERROR(__xludf.DUMMYFUNCTION("""COMPUTED_VALUE"""),"11 months")</f>
        <v>11 months</v>
      </c>
      <c r="W1" s="697" t="str">
        <f>IFERROR(__xludf.DUMMYFUNCTION("""COMPUTED_VALUE"""),"12 months")</f>
        <v>12 months</v>
      </c>
      <c r="X1" s="697" t="str">
        <f>IFERROR(__xludf.DUMMYFUNCTION("""COMPUTED_VALUE"""),"18 months")</f>
        <v>18 months</v>
      </c>
      <c r="Y1" s="697" t="str">
        <f>IFERROR(__xludf.DUMMYFUNCTION("""COMPUTED_VALUE"""),"21 months")</f>
        <v>21 months</v>
      </c>
      <c r="Z1" s="697" t="str">
        <f>IFERROR(__xludf.DUMMYFUNCTION("""COMPUTED_VALUE"""),"24 months")</f>
        <v>24 months</v>
      </c>
      <c r="AA1" s="697" t="str">
        <f>IFERROR(__xludf.DUMMYFUNCTION("""COMPUTED_VALUE"""),"25 months")</f>
        <v>25 months</v>
      </c>
      <c r="AB1" s="697" t="str">
        <f>IFERROR(__xludf.DUMMYFUNCTION("""COMPUTED_VALUE"""),"3 years")</f>
        <v>3 years</v>
      </c>
      <c r="AC1" s="697" t="str">
        <f>IFERROR(__xludf.DUMMYFUNCTION("""COMPUTED_VALUE"""),"4 years ")</f>
        <v>4 years </v>
      </c>
      <c r="AD1" s="697" t="str">
        <f>IFERROR(__xludf.DUMMYFUNCTION("""COMPUTED_VALUE"""),"5 years")</f>
        <v>5 years</v>
      </c>
      <c r="AE1" s="697" t="str">
        <f>IFERROR(__xludf.DUMMYFUNCTION("""COMPUTED_VALUE"""),"Egg Reduction Rate")</f>
        <v>Egg Reduction Rate</v>
      </c>
      <c r="AF1" s="697" t="str">
        <f>IFERROR(__xludf.DUMMYFUNCTION("""COMPUTED_VALUE"""),"1 month")</f>
        <v>1 month</v>
      </c>
      <c r="AG1" s="697" t="str">
        <f>IFERROR(__xludf.DUMMYFUNCTION("""COMPUTED_VALUE"""),"2 months")</f>
        <v>2 months</v>
      </c>
      <c r="AH1" s="697" t="str">
        <f>IFERROR(__xludf.DUMMYFUNCTION("""COMPUTED_VALUE"""),"6 months")</f>
        <v>6 months</v>
      </c>
      <c r="AI1" s="697" t="str">
        <f>IFERROR(__xludf.DUMMYFUNCTION("""COMPUTED_VALUE"""),"8 months")</f>
        <v>8 months</v>
      </c>
      <c r="AJ1" s="697" t="str">
        <f>IFERROR(__xludf.DUMMYFUNCTION("""COMPUTED_VALUE"""),"10 months")</f>
        <v>10 months</v>
      </c>
      <c r="AK1" s="697" t="str">
        <f>IFERROR(__xludf.DUMMYFUNCTION("""COMPUTED_VALUE"""),"Nodulectomy")</f>
        <v>Nodulectomy</v>
      </c>
      <c r="AL1" s="697" t="str">
        <f>IFERROR(__xludf.DUMMYFUNCTION("""COMPUTED_VALUE"""),"1 month")</f>
        <v>1 month</v>
      </c>
      <c r="AM1" s="697" t="str">
        <f>IFERROR(__xludf.DUMMYFUNCTION("""COMPUTED_VALUE"""),"6 months")</f>
        <v>6 months</v>
      </c>
      <c r="AN1" s="697" t="str">
        <f>IFERROR(__xludf.DUMMYFUNCTION("""COMPUTED_VALUE"""),"Cure rate")</f>
        <v>Cure rate</v>
      </c>
      <c r="AO1" s="698" t="str">
        <f>IFERROR(__xludf.DUMMYFUNCTION("""COMPUTED_VALUE"""),"Cleaned CR")</f>
        <v>Cleaned CR</v>
      </c>
      <c r="AP1" s="697" t="str">
        <f>IFERROR(__xludf.DUMMYFUNCTION("""COMPUTED_VALUE"""),"Endpoint ")</f>
        <v>Endpoint </v>
      </c>
      <c r="AQ1" s="697" t="str">
        <f>IFERROR(__xludf.DUMMYFUNCTION("""COMPUTED_VALUE"""),"Study Area")</f>
        <v>Study Area</v>
      </c>
      <c r="AR1" s="697" t="str">
        <f>IFERROR(__xludf.DUMMYFUNCTION("""COMPUTED_VALUE"""),"Year")</f>
        <v>Year</v>
      </c>
      <c r="AS1" s="697" t="str">
        <f>IFERROR(__xludf.DUMMYFUNCTION("""COMPUTED_VALUE"""),"Sample Size")</f>
        <v>Sample Size</v>
      </c>
      <c r="AT1" s="697" t="str">
        <f>IFERROR(__xludf.DUMMYFUNCTION("""COMPUTED_VALUE"""),"Duration of Study")</f>
        <v>Duration of Study</v>
      </c>
      <c r="AU1" s="697" t="str">
        <f>IFERROR(__xludf.DUMMYFUNCTION("""COMPUTED_VALUE"""),"References")</f>
        <v>References</v>
      </c>
      <c r="AV1" s="697" t="str">
        <f>IFERROR(__xludf.DUMMYFUNCTION("""COMPUTED_VALUE"""),"Sex")</f>
        <v>Sex</v>
      </c>
      <c r="AW1" s="697" t="str">
        <f>IFERROR(__xludf.DUMMYFUNCTION("""COMPUTED_VALUE"""),"Age")</f>
        <v>Age</v>
      </c>
      <c r="AX1" s="697" t="str">
        <f>IFERROR(__xludf.DUMMYFUNCTION("""COMPUTED_VALUE"""),"Inclusion criteria")</f>
        <v>Inclusion criteria</v>
      </c>
      <c r="AY1" s="697" t="str">
        <f>IFERROR(__xludf.DUMMYFUNCTION("""COMPUTED_VALUE"""),"Blind/Double Blind")</f>
        <v>Blind/Double Blind</v>
      </c>
      <c r="AZ1" s="697" t="str">
        <f>IFERROR(__xludf.DUMMYFUNCTION("""COMPUTED_VALUE"""),"Randomized?")</f>
        <v>Randomized?</v>
      </c>
      <c r="BA1" s="697" t="str">
        <f>IFERROR(__xludf.DUMMYFUNCTION("""COMPUTED_VALUE"""),"Endpoints (primary, secondary)")</f>
        <v>Endpoints (primary, secondary)</v>
      </c>
      <c r="BB1" s="697" t="str">
        <f>IFERROR(__xludf.DUMMYFUNCTION("""COMPUTED_VALUE"""),"Other")</f>
        <v>Other</v>
      </c>
      <c r="BC1" s="697" t="str">
        <f>IFERROR(__xludf.DUMMYFUNCTION("""COMPUTED_VALUE"""),"Efficacy/conclusion")</f>
        <v>Efficacy/conclusion</v>
      </c>
      <c r="BD1" s="697"/>
      <c r="BE1" s="697" t="str">
        <f>IFERROR(__xludf.DUMMYFUNCTION("""COMPUTED_VALUE"""),"Notes")</f>
        <v>Notes</v>
      </c>
      <c r="BF1" s="697" t="str">
        <f>IFERROR(__xludf.DUMMYFUNCTION("""COMPUTED_VALUE"""),"Any Missing Data?")</f>
        <v>Any Missing Data?</v>
      </c>
      <c r="BG1" s="697" t="str">
        <f>IFERROR(__xludf.DUMMYFUNCTION("""COMPUTED_VALUE"""),"x=exclusion")</f>
        <v>x=exclusion</v>
      </c>
    </row>
    <row r="2">
      <c r="A2" s="697"/>
      <c r="B2" s="697" t="str">
        <f>IFERROR(__xludf.DUMMYFUNCTION("""COMPUTED_VALUE"""),"Banilc, D. et al.")</f>
        <v>Banilc, D. et al.</v>
      </c>
      <c r="C2" s="697" t="str">
        <f>IFERROR(__xludf.DUMMYFUNCTION("""COMPUTED_VALUE"""),"Brazil")</f>
        <v>Brazil</v>
      </c>
      <c r="D2" s="697" t="str">
        <f>IFERROR(__xludf.DUMMYFUNCTION("""COMPUTED_VALUE"""),"Ivermectin")</f>
        <v>Ivermectin</v>
      </c>
      <c r="E2" s="697" t="str">
        <f>IFERROR(__xludf.DUMMYFUNCTION("""COMPUTED_VALUE"""),"150-200ug/kg")</f>
        <v>150-200ug/kg</v>
      </c>
      <c r="F2" s="697">
        <f>IFERROR(__xludf.DUMMYFUNCTION("""COMPUTED_VALUE"""),6.0)</f>
        <v>6</v>
      </c>
      <c r="G2" s="697" t="str">
        <f>IFERROR(__xludf.DUMMYFUNCTION("""COMPUTED_VALUE"""),"1200ug/kg")</f>
        <v>1200ug/kg</v>
      </c>
      <c r="H2" s="697"/>
      <c r="I2" s="697"/>
      <c r="J2" s="697"/>
      <c r="K2" s="697"/>
      <c r="L2" s="697"/>
      <c r="M2" s="697"/>
      <c r="N2" s="697"/>
      <c r="O2" s="697"/>
      <c r="P2" s="697"/>
      <c r="Q2" s="697"/>
      <c r="R2" s="697"/>
      <c r="S2" s="698">
        <f>IFERROR(__xludf.DUMMYFUNCTION("""COMPUTED_VALUE"""),0.239)</f>
        <v>0.239</v>
      </c>
      <c r="T2" s="697"/>
      <c r="U2" s="697"/>
      <c r="V2" s="697"/>
      <c r="W2" s="697"/>
      <c r="X2" s="698">
        <f>IFERROR(__xludf.DUMMYFUNCTION("""COMPUTED_VALUE"""),0.399)</f>
        <v>0.399</v>
      </c>
      <c r="Y2" s="697"/>
      <c r="Z2" s="698">
        <f>IFERROR(__xludf.DUMMYFUNCTION("""COMPUTED_VALUE"""),0.504)</f>
        <v>0.504</v>
      </c>
      <c r="AA2" s="697"/>
      <c r="AB2" s="698">
        <f>IFERROR(__xludf.DUMMYFUNCTION("""COMPUTED_VALUE"""),0.547)</f>
        <v>0.547</v>
      </c>
      <c r="AC2" s="697"/>
      <c r="AD2" s="697"/>
      <c r="AE2" s="697" t="str">
        <f>IFERROR(__xludf.DUMMYFUNCTION("""COMPUTED_VALUE"""),"n/a")</f>
        <v>n/a</v>
      </c>
      <c r="AF2" s="697"/>
      <c r="AG2" s="697"/>
      <c r="AH2" s="697"/>
      <c r="AI2" s="697"/>
      <c r="AJ2" s="697"/>
      <c r="AK2" s="697"/>
      <c r="AL2" s="697"/>
      <c r="AM2" s="697"/>
      <c r="AN2" s="698">
        <f>IFERROR(__xludf.DUMMYFUNCTION("""COMPUTED_VALUE"""),0.239)</f>
        <v>0.239</v>
      </c>
      <c r="AO2" s="698">
        <f>IFERROR(__xludf.DUMMYFUNCTION("""COMPUTED_VALUE"""),0.239)</f>
        <v>0.239</v>
      </c>
      <c r="AP2" s="697" t="str">
        <f>IFERROR(__xludf.DUMMYFUNCTION("""COMPUTED_VALUE"""),"Mf reduction")</f>
        <v>Mf reduction</v>
      </c>
      <c r="AQ2" s="697" t="str">
        <f>IFERROR(__xludf.DUMMYFUNCTION("""COMPUTED_VALUE"""),"Roraima State")</f>
        <v>Roraima State</v>
      </c>
      <c r="AR2" s="697">
        <f>IFERROR(__xludf.DUMMYFUNCTION("""COMPUTED_VALUE"""),2004.0)</f>
        <v>2004</v>
      </c>
      <c r="AS2" s="697">
        <f>IFERROR(__xludf.DUMMYFUNCTION("""COMPUTED_VALUE"""),113.0)</f>
        <v>113</v>
      </c>
      <c r="AT2" s="697" t="str">
        <f>IFERROR(__xludf.DUMMYFUNCTION("""COMPUTED_VALUE"""),"3 years")</f>
        <v>3 years</v>
      </c>
      <c r="AU2" s="699" t="str">
        <f>IFERROR(__xludf.DUMMYFUNCTION("""COMPUTED_VALUE"""),"Dalma M. Banic, Regina H.S. Calvão-Brito, Verônica Marchon-Silva, Joana C. Schuertez, Luís Renerys de Lima Pinheiro, Marilene da Costa Alves, Antônio Têva, Marilza Maia-Herzog, Impact of 3 years ivermectin treatment on onchocerciasis in Yanomami communiti"&amp;"es in the Brazilian Amazon, Acta Tropica, Volume 112, Issue 2, November 2009, Pages 125-130, ISSN 0001-706X")</f>
        <v>Dalma M. Banic, Regina H.S. Calvão-Brito, Verônica Marchon-Silva, Joana C. Schuertez, Luís Renerys de Lima Pinheiro, Marilene da Costa Alves, Antônio Têva, Marilza Maia-Herzog, Impact of 3 years ivermectin treatment on onchocerciasis in Yanomami communities in the Brazilian Amazon, Acta Tropica, Volume 112, Issue 2, November 2009, Pages 125-130, ISSN 0001-706X</v>
      </c>
      <c r="AV2" s="697" t="str">
        <f>IFERROR(__xludf.DUMMYFUNCTION("""COMPUTED_VALUE"""),"58 F, 55 M")</f>
        <v>58 F, 55 M</v>
      </c>
      <c r="AW2" s="697" t="str">
        <f>IFERROR(__xludf.DUMMYFUNCTION("""COMPUTED_VALUE"""),"5-60; 20 and older mf data")</f>
        <v>5-60; 20 and older mf data</v>
      </c>
      <c r="AX2" s="697" t="str">
        <f>IFERROR(__xludf.DUMMYFUNCTION("""COMPUTED_VALUE"""),"Inclusion Criteria: Individuals previously chosen for ivermectin treatment by national onchocerciasis control programs (National Foundation of Health, FUNASA); Exclusion criteria: Based upon usual exclusion criteria for ivermectin treatment: patients youn"&amp;"ger than 5 or weighed less than 15 kg, pregnant women, nursing mothers, history of neurological disorders")</f>
        <v>Inclusion Criteria: Individuals previously chosen for ivermectin treatment by national onchocerciasis control programs (National Foundation of Health, FUNASA); Exclusion criteria: Based upon usual exclusion criteria for ivermectin treatment: patients younger than 5 or weighed less than 15 kg, pregnant women, nursing mothers, history of neurological disorders</v>
      </c>
      <c r="AY2" s="697" t="str">
        <f>IFERROR(__xludf.DUMMYFUNCTION("""COMPUTED_VALUE"""),"No")</f>
        <v>No</v>
      </c>
      <c r="AZ2" s="697" t="str">
        <f>IFERROR(__xludf.DUMMYFUNCTION("""COMPUTED_VALUE"""),"No")</f>
        <v>No</v>
      </c>
      <c r="BA2" s="697"/>
      <c r="BB2" s="697"/>
      <c r="BC2" s="697"/>
      <c r="BD2" s="697"/>
      <c r="BE2" s="697"/>
      <c r="BF2" s="697"/>
      <c r="BG2" s="697" t="str">
        <f>IFERROR(__xludf.DUMMYFUNCTION("""COMPUTED_VALUE"""),"x")</f>
        <v>x</v>
      </c>
    </row>
    <row r="3">
      <c r="A3" s="697"/>
      <c r="B3" s="697" t="str">
        <f>IFERROR(__xludf.DUMMYFUNCTION("""COMPUTED_VALUE"""),"Pion, Sebastien et al.")</f>
        <v>Pion, Sebastien et al.</v>
      </c>
      <c r="C3" s="697" t="str">
        <f>IFERROR(__xludf.DUMMYFUNCTION("""COMPUTED_VALUE"""),"Cameroon")</f>
        <v>Cameroon</v>
      </c>
      <c r="D3" s="697" t="str">
        <f>IFERROR(__xludf.DUMMYFUNCTION("""COMPUTED_VALUE"""),"Ivermectin")</f>
        <v>Ivermectin</v>
      </c>
      <c r="E3" s="697" t="str">
        <f>IFERROR(__xludf.DUMMYFUNCTION("""COMPUTED_VALUE"""),"3000-12000ug")</f>
        <v>3000-12000ug</v>
      </c>
      <c r="F3" s="697">
        <f>IFERROR(__xludf.DUMMYFUNCTION("""COMPUTED_VALUE"""),1.0)</f>
        <v>1</v>
      </c>
      <c r="G3" s="697" t="str">
        <f>IFERROR(__xludf.DUMMYFUNCTION("""COMPUTED_VALUE"""),"
3000-12000ug")</f>
        <v>
3000-12000ug</v>
      </c>
      <c r="H3" s="697"/>
      <c r="I3" s="697"/>
      <c r="J3" s="697"/>
      <c r="K3" s="697"/>
      <c r="L3" s="697"/>
      <c r="M3" s="697"/>
      <c r="N3" s="697"/>
      <c r="O3" s="697"/>
      <c r="P3" s="697"/>
      <c r="Q3" s="697"/>
      <c r="R3" s="697"/>
      <c r="S3" s="698">
        <f>IFERROR(__xludf.DUMMYFUNCTION("""COMPUTED_VALUE"""),0.852)</f>
        <v>0.852</v>
      </c>
      <c r="T3" s="697"/>
      <c r="U3" s="697"/>
      <c r="V3" s="697"/>
      <c r="W3" s="697"/>
      <c r="X3" s="697"/>
      <c r="Y3" s="697"/>
      <c r="Z3" s="697"/>
      <c r="AA3" s="697"/>
      <c r="AB3" s="697"/>
      <c r="AC3" s="697"/>
      <c r="AD3" s="697"/>
      <c r="AE3" s="697"/>
      <c r="AF3" s="697"/>
      <c r="AG3" s="697"/>
      <c r="AH3" s="697"/>
      <c r="AI3" s="697"/>
      <c r="AJ3" s="697"/>
      <c r="AK3" s="697"/>
      <c r="AL3" s="697"/>
      <c r="AM3" s="697"/>
      <c r="AN3" s="698">
        <f>IFERROR(__xludf.DUMMYFUNCTION("""COMPUTED_VALUE"""),0.852)</f>
        <v>0.852</v>
      </c>
      <c r="AO3" s="698">
        <f>IFERROR(__xludf.DUMMYFUNCTION("""COMPUTED_VALUE"""),0.852)</f>
        <v>0.852</v>
      </c>
      <c r="AP3" s="697" t="str">
        <f>IFERROR(__xludf.DUMMYFUNCTION("""COMPUTED_VALUE"""),"Mf reduction")</f>
        <v>Mf reduction</v>
      </c>
      <c r="AQ3" s="697" t="str">
        <f>IFERROR(__xludf.DUMMYFUNCTION("""COMPUTED_VALUE"""),"Vina valley ")</f>
        <v>Vina valley </v>
      </c>
      <c r="AR3" s="697">
        <f>IFERROR(__xludf.DUMMYFUNCTION("""COMPUTED_VALUE"""),1989.0)</f>
        <v>1989</v>
      </c>
      <c r="AS3" s="697" t="str">
        <f>IFERROR(__xludf.DUMMYFUNCTION("""COMPUTED_VALUE"""),"965 individuals from Vina valley")</f>
        <v>965 individuals from Vina valley</v>
      </c>
      <c r="AT3" s="697" t="str">
        <f>IFERROR(__xludf.DUMMYFUNCTION("""COMPUTED_VALUE"""),"3 years ")</f>
        <v>3 years </v>
      </c>
      <c r="AU3" s="699" t="str">
        <f>IFERROR(__xludf.DUMMYFUNCTION("""COMPUTED_VALUE"""),"Pion,S.D.,Grout,L.,Kamgno,J.,Nana-Djeunga,H.,Boussinesq,M.,2011.IndividualhostfactorsassociatedwithOnchocercavolvulusmicrofilarialdensities15,80and180daysafterafirstdoseofivermectin.ActaTrop.   The diagnostics and control of neglected tropical helminth di"&amp;"seases Foreword. Available from: https://www.researchgate.net/publication/51059361_The_diagnostics_and_control_of_neglected_tropical_helminth_diseases_Foreword [accessed Feb 29, 2016].")</f>
        <v>Pion,S.D.,Grout,L.,Kamgno,J.,Nana-Djeunga,H.,Boussinesq,M.,2011.IndividualhostfactorsassociatedwithOnchocercavolvulusmicrofilarialdensities15,80and180daysafterafirstdoseofivermectin.ActaTrop.   The diagnostics and control of neglected tropical helminth diseases Foreword. Available from: https://www.researchgate.net/publication/51059361_The_diagnostics_and_control_of_neglected_tropical_helminth_diseases_Foreword [accessed Feb 29, 2016].</v>
      </c>
      <c r="AV3" s="697" t="str">
        <f>IFERROR(__xludf.DUMMYFUNCTION("""COMPUTED_VALUE"""),"M, F")</f>
        <v>M, F</v>
      </c>
      <c r="AW3" s="697" t="str">
        <f>IFERROR(__xludf.DUMMYFUNCTION("""COMPUTED_VALUE"""),"&gt;4 in Vina Valley")</f>
        <v>&gt;4 in Vina Valley</v>
      </c>
      <c r="AX3" s="697" t="str">
        <f>IFERROR(__xludf.DUMMYFUNCTION("""COMPUTED_VALUE"""),"Exclusion criteria (Vina Valley): Patients younger than 5 or weighed less than 15 kg, pregnant women, nursing mothers, those with serious illness; Exclusion criteria (Nkam Valley): Those who had been previously treated with ivermectin")</f>
        <v>Exclusion criteria (Vina Valley): Patients younger than 5 or weighed less than 15 kg, pregnant women, nursing mothers, those with serious illness; Exclusion criteria (Nkam Valley): Those who had been previously treated with ivermectin</v>
      </c>
      <c r="AY3" s="697" t="str">
        <f>IFERROR(__xludf.DUMMYFUNCTION("""COMPUTED_VALUE"""),"No")</f>
        <v>No</v>
      </c>
      <c r="AZ3" s="697" t="str">
        <f>IFERROR(__xludf.DUMMYFUNCTION("""COMPUTED_VALUE"""),"No")</f>
        <v>No</v>
      </c>
      <c r="BA3" s="697"/>
      <c r="BB3" s="697"/>
      <c r="BC3" s="697"/>
      <c r="BD3" s="697"/>
      <c r="BE3" s="697"/>
      <c r="BF3" s="697"/>
      <c r="BG3" s="697" t="str">
        <f>IFERROR(__xludf.DUMMYFUNCTION("""COMPUTED_VALUE"""),"x")</f>
        <v>x</v>
      </c>
    </row>
    <row r="4">
      <c r="A4" s="697"/>
      <c r="B4" s="697" t="str">
        <f>IFERROR(__xludf.DUMMYFUNCTION("""COMPUTED_VALUE"""),"Pion, Sebastien et al.")</f>
        <v>Pion, Sebastien et al.</v>
      </c>
      <c r="C4" s="697" t="str">
        <f>IFERROR(__xludf.DUMMYFUNCTION("""COMPUTED_VALUE"""),"Cameroon")</f>
        <v>Cameroon</v>
      </c>
      <c r="D4" s="697" t="str">
        <f>IFERROR(__xludf.DUMMYFUNCTION("""COMPUTED_VALUE"""),"Ivermectin")</f>
        <v>Ivermectin</v>
      </c>
      <c r="E4" s="697" t="str">
        <f>IFERROR(__xludf.DUMMYFUNCTION("""COMPUTED_VALUE"""),"12000ug")</f>
        <v>12000ug</v>
      </c>
      <c r="F4" s="697">
        <f>IFERROR(__xludf.DUMMYFUNCTION("""COMPUTED_VALUE"""),1.0)</f>
        <v>1</v>
      </c>
      <c r="G4" s="697" t="str">
        <f>IFERROR(__xludf.DUMMYFUNCTION("""COMPUTED_VALUE"""),"12000ug")</f>
        <v>12000ug</v>
      </c>
      <c r="H4" s="697"/>
      <c r="I4" s="697"/>
      <c r="J4" s="697"/>
      <c r="K4" s="697"/>
      <c r="L4" s="697"/>
      <c r="M4" s="697"/>
      <c r="N4" s="698">
        <f>IFERROR(__xludf.DUMMYFUNCTION("""COMPUTED_VALUE"""),0.977)</f>
        <v>0.977</v>
      </c>
      <c r="O4" s="697"/>
      <c r="P4" s="697"/>
      <c r="Q4" s="698">
        <f>IFERROR(__xludf.DUMMYFUNCTION("""COMPUTED_VALUE"""),0.979)</f>
        <v>0.979</v>
      </c>
      <c r="R4" s="697"/>
      <c r="S4" s="698">
        <f>IFERROR(__xludf.DUMMYFUNCTION("""COMPUTED_VALUE"""),0.837)</f>
        <v>0.837</v>
      </c>
      <c r="T4" s="697"/>
      <c r="U4" s="697"/>
      <c r="V4" s="697"/>
      <c r="W4" s="697"/>
      <c r="X4" s="697"/>
      <c r="Y4" s="697"/>
      <c r="Z4" s="697"/>
      <c r="AA4" s="697"/>
      <c r="AB4" s="697"/>
      <c r="AC4" s="697"/>
      <c r="AD4" s="697"/>
      <c r="AE4" s="697"/>
      <c r="AF4" s="697"/>
      <c r="AG4" s="697"/>
      <c r="AH4" s="697"/>
      <c r="AI4" s="697"/>
      <c r="AJ4" s="697"/>
      <c r="AK4" s="697"/>
      <c r="AL4" s="697"/>
      <c r="AM4" s="697"/>
      <c r="AN4" s="698">
        <f>IFERROR(__xludf.DUMMYFUNCTION("""COMPUTED_VALUE"""),0.837)</f>
        <v>0.837</v>
      </c>
      <c r="AO4" s="698">
        <f>IFERROR(__xludf.DUMMYFUNCTION("""COMPUTED_VALUE"""),0.837)</f>
        <v>0.837</v>
      </c>
      <c r="AP4" s="697"/>
      <c r="AQ4" s="697" t="str">
        <f>IFERROR(__xludf.DUMMYFUNCTION("""COMPUTED_VALUE"""),"Nkam valley")</f>
        <v>Nkam valley</v>
      </c>
      <c r="AR4" s="697">
        <f>IFERROR(__xludf.DUMMYFUNCTION("""COMPUTED_VALUE"""),2008.0)</f>
        <v>2008</v>
      </c>
      <c r="AS4" s="697"/>
      <c r="AT4" s="697" t="str">
        <f>IFERROR(__xludf.DUMMYFUNCTION("""COMPUTED_VALUE"""),"1 year")</f>
        <v>1 year</v>
      </c>
      <c r="AU4" s="697"/>
      <c r="AV4" s="697" t="str">
        <f>IFERROR(__xludf.DUMMYFUNCTION("""COMPUTED_VALUE"""),"M")</f>
        <v>M</v>
      </c>
      <c r="AW4" s="697" t="str">
        <f>IFERROR(__xludf.DUMMYFUNCTION("""COMPUTED_VALUE"""),"&gt;25 in Nkam Valley")</f>
        <v>&gt;25 in Nkam Valley</v>
      </c>
      <c r="AX4" s="697" t="str">
        <f>IFERROR(__xludf.DUMMYFUNCTION("""COMPUTED_VALUE"""),"individuals who had received the drug were excluded from the
analyses.")</f>
        <v>individuals who had received the drug were excluded from the
analyses.</v>
      </c>
      <c r="AY4" s="697" t="str">
        <f>IFERROR(__xludf.DUMMYFUNCTION("""COMPUTED_VALUE"""),"No")</f>
        <v>No</v>
      </c>
      <c r="AZ4" s="697" t="str">
        <f>IFERROR(__xludf.DUMMYFUNCTION("""COMPUTED_VALUE"""),"No")</f>
        <v>No</v>
      </c>
      <c r="BA4" s="697"/>
      <c r="BB4" s="697"/>
      <c r="BC4" s="697"/>
      <c r="BD4" s="697"/>
      <c r="BE4" s="697"/>
      <c r="BF4" s="697"/>
      <c r="BG4" s="697" t="str">
        <f>IFERROR(__xludf.DUMMYFUNCTION("""COMPUTED_VALUE"""),"x")</f>
        <v>x</v>
      </c>
    </row>
    <row r="5">
      <c r="A5" s="697"/>
      <c r="B5" s="697" t="str">
        <f>IFERROR(__xludf.DUMMYFUNCTION("""COMPUTED_VALUE"""),"Boussinesq, M. et al.")</f>
        <v>Boussinesq, M. et al.</v>
      </c>
      <c r="C5" s="697" t="str">
        <f>IFERROR(__xludf.DUMMYFUNCTION("""COMPUTED_VALUE"""),"Cameroon")</f>
        <v>Cameroon</v>
      </c>
      <c r="D5" s="697" t="str">
        <f>IFERROR(__xludf.DUMMYFUNCTION("""COMPUTED_VALUE"""),"Ivermectin")</f>
        <v>Ivermectin</v>
      </c>
      <c r="E5" s="697" t="str">
        <f>IFERROR(__xludf.DUMMYFUNCTION("""COMPUTED_VALUE"""),"150ug/kg")</f>
        <v>150ug/kg</v>
      </c>
      <c r="F5" s="697">
        <f>IFERROR(__xludf.DUMMYFUNCTION("""COMPUTED_VALUE"""),6.0)</f>
        <v>6</v>
      </c>
      <c r="G5" s="697" t="str">
        <f>IFERROR(__xludf.DUMMYFUNCTION("""COMPUTED_VALUE"""),"900ug/kg")</f>
        <v>900ug/kg</v>
      </c>
      <c r="H5" s="697"/>
      <c r="I5" s="697"/>
      <c r="J5" s="697"/>
      <c r="K5" s="697"/>
      <c r="L5" s="697"/>
      <c r="M5" s="697"/>
      <c r="N5" s="697"/>
      <c r="O5" s="697"/>
      <c r="P5" s="697"/>
      <c r="Q5" s="697"/>
      <c r="R5" s="697"/>
      <c r="S5" s="697"/>
      <c r="T5" s="697"/>
      <c r="U5" s="697"/>
      <c r="V5" s="697"/>
      <c r="W5" s="697"/>
      <c r="X5" s="697"/>
      <c r="Y5" s="697"/>
      <c r="Z5" s="697"/>
      <c r="AA5" s="697"/>
      <c r="AB5" s="697"/>
      <c r="AC5" s="700">
        <f>IFERROR(__xludf.DUMMYFUNCTION("""COMPUTED_VALUE"""),0.77)</f>
        <v>0.77</v>
      </c>
      <c r="AD5" s="697"/>
      <c r="AE5" s="697"/>
      <c r="AF5" s="697"/>
      <c r="AG5" s="697"/>
      <c r="AH5" s="697"/>
      <c r="AI5" s="697"/>
      <c r="AJ5" s="697"/>
      <c r="AK5" s="697"/>
      <c r="AL5" s="697"/>
      <c r="AM5" s="697"/>
      <c r="AN5" s="700">
        <f>IFERROR(__xludf.DUMMYFUNCTION("""COMPUTED_VALUE"""),0.77)</f>
        <v>0.77</v>
      </c>
      <c r="AO5" s="698">
        <f>IFERROR(__xludf.DUMMYFUNCTION("""COMPUTED_VALUE"""),0.77)</f>
        <v>0.77</v>
      </c>
      <c r="AP5" s="697" t="str">
        <f>IFERROR(__xludf.DUMMYFUNCTION("""COMPUTED_VALUE"""),"Mf reduction")</f>
        <v>Mf reduction</v>
      </c>
      <c r="AQ5" s="697" t="str">
        <f>IFERROR(__xludf.DUMMYFUNCTION("""COMPUTED_VALUE"""),"North Cameroon (Vina Valley)")</f>
        <v>North Cameroon (Vina Valley)</v>
      </c>
      <c r="AR5" s="697">
        <f>IFERROR(__xludf.DUMMYFUNCTION("""COMPUTED_VALUE"""),1992.0)</f>
        <v>1992</v>
      </c>
      <c r="AS5" s="697">
        <f>IFERROR(__xludf.DUMMYFUNCTION("""COMPUTED_VALUE"""),192.0)</f>
        <v>192</v>
      </c>
      <c r="AT5" s="697" t="str">
        <f>IFERROR(__xludf.DUMMYFUNCTION("""COMPUTED_VALUE"""),"3 years")</f>
        <v>3 years</v>
      </c>
      <c r="AU5" s="699" t="str">
        <f>IFERROR(__xludf.DUMMYFUNCTION("""COMPUTED_VALUE"""),"Boussinesq, M., JP Chippaux, and JC Ernould. ""Parasitological Efficacy of Repeated Treatments with Ivermectin in an Onchocerciasis Focus in North Cameroon."" Bull Soc Pathol Exot 86.2 (1993): 112-15. Web. 3 May 2015.")</f>
        <v>Boussinesq, M., JP Chippaux, and JC Ernould. "Parasitological Efficacy of Repeated Treatments with Ivermectin in an Onchocerciasis Focus in North Cameroon." Bull Soc Pathol Exot 86.2 (1993): 112-15. Web. 3 May 2015.</v>
      </c>
      <c r="AV5" s="697"/>
      <c r="AW5" s="697" t="str">
        <f>IFERROR(__xludf.DUMMYFUNCTION("""COMPUTED_VALUE"""),"&gt;4")</f>
        <v>&gt;4</v>
      </c>
      <c r="AX5" s="697" t="str">
        <f>IFERROR(__xludf.DUMMYFUNCTION("""COMPUTED_VALUE"""),"Inclusion Criteria: Individuals were chosen due to background information giving evidence of epidemicity levels; Exclusion Criteria: Children less than 5 years of age, weight less than 15 kg, pregnancy, first month of lactation, jaundice, central nervous "&amp;"system disease, severe clinical illness")</f>
        <v>Inclusion Criteria: Individuals were chosen due to background information giving evidence of epidemicity levels; Exclusion Criteria: Children less than 5 years of age, weight less than 15 kg, pregnancy, first month of lactation, jaundice, central nervous system disease, severe clinical illness</v>
      </c>
      <c r="AY5" s="697" t="str">
        <f>IFERROR(__xludf.DUMMYFUNCTION("""COMPUTED_VALUE"""),"No")</f>
        <v>No</v>
      </c>
      <c r="AZ5" s="697" t="str">
        <f>IFERROR(__xludf.DUMMYFUNCTION("""COMPUTED_VALUE"""),"No")</f>
        <v>No</v>
      </c>
      <c r="BA5" s="697"/>
      <c r="BB5" s="697"/>
      <c r="BC5" s="697"/>
      <c r="BD5" s="697"/>
      <c r="BE5" s="697"/>
      <c r="BF5" s="697"/>
      <c r="BG5" s="697" t="str">
        <f>IFERROR(__xludf.DUMMYFUNCTION("""COMPUTED_VALUE"""),"x")</f>
        <v>x</v>
      </c>
    </row>
    <row r="6">
      <c r="A6" s="697"/>
      <c r="B6" s="697" t="str">
        <f>IFERROR(__xludf.DUMMYFUNCTION("""COMPUTED_VALUE"""),"Turner et al. ")</f>
        <v>Turner et al. </v>
      </c>
      <c r="C6" s="697" t="str">
        <f>IFERROR(__xludf.DUMMYFUNCTION("""COMPUTED_VALUE"""),"Cameroon")</f>
        <v>Cameroon</v>
      </c>
      <c r="D6" s="697" t="str">
        <f>IFERROR(__xludf.DUMMYFUNCTION("""COMPUTED_VALUE"""),"Doxycycline &amp; Ivermectin")</f>
        <v>Doxycycline &amp; Ivermectin</v>
      </c>
      <c r="E6" s="697" t="str">
        <f>IFERROR(__xludf.DUMMYFUNCTION("""COMPUTED_VALUE"""),"200 mg; 150 ug/kg")</f>
        <v>200 mg; 150 ug/kg</v>
      </c>
      <c r="F6" s="697" t="str">
        <f>IFERROR(__xludf.DUMMYFUNCTION("""COMPUTED_VALUE"""),"42; 1")</f>
        <v>42; 1</v>
      </c>
      <c r="G6" s="697" t="str">
        <f>IFERROR(__xludf.DUMMYFUNCTION("""COMPUTED_VALUE"""),"8400 mg; 150 ug/kg")</f>
        <v>8400 mg; 150 ug/kg</v>
      </c>
      <c r="H6" s="697"/>
      <c r="I6" s="697"/>
      <c r="J6" s="697"/>
      <c r="K6" s="697"/>
      <c r="L6" s="697"/>
      <c r="M6" s="697"/>
      <c r="N6" s="697"/>
      <c r="O6" s="697"/>
      <c r="P6" s="697"/>
      <c r="Q6" s="697"/>
      <c r="R6" s="698">
        <f>IFERROR(__xludf.DUMMYFUNCTION("""COMPUTED_VALUE"""),0.13)</f>
        <v>0.13</v>
      </c>
      <c r="S6" s="697"/>
      <c r="T6" s="697"/>
      <c r="U6" s="697"/>
      <c r="V6" s="697"/>
      <c r="W6" s="698">
        <f>IFERROR(__xludf.DUMMYFUNCTION("""COMPUTED_VALUE"""),0.761)</f>
        <v>0.761</v>
      </c>
      <c r="X6" s="697"/>
      <c r="Y6" s="698">
        <f>IFERROR(__xludf.DUMMYFUNCTION("""COMPUTED_VALUE"""),0.891)</f>
        <v>0.891</v>
      </c>
      <c r="Z6" s="697"/>
      <c r="AA6" s="697"/>
      <c r="AB6" s="697"/>
      <c r="AC6" s="697"/>
      <c r="AD6" s="697"/>
      <c r="AE6" s="697"/>
      <c r="AF6" s="697"/>
      <c r="AG6" s="697"/>
      <c r="AH6" s="697"/>
      <c r="AI6" s="697"/>
      <c r="AJ6" s="697"/>
      <c r="AK6" s="697"/>
      <c r="AL6" s="697"/>
      <c r="AM6" s="697"/>
      <c r="AN6" s="698">
        <f>IFERROR(__xludf.DUMMYFUNCTION("""COMPUTED_VALUE"""),0.13)</f>
        <v>0.13</v>
      </c>
      <c r="AO6" s="698">
        <f>IFERROR(__xludf.DUMMYFUNCTION("""COMPUTED_VALUE"""),0.13)</f>
        <v>0.13</v>
      </c>
      <c r="AP6" s="697" t="str">
        <f>IFERROR(__xludf.DUMMYFUNCTION("""COMPUTED_VALUE"""),"Mf reduction; Nodulectomy: dead worms")</f>
        <v>Mf reduction; Nodulectomy: dead worms</v>
      </c>
      <c r="AQ6" s="697" t="str">
        <f>IFERROR(__xludf.DUMMYFUNCTION("""COMPUTED_VALUE"""),"Bifang, Ebendi, Eka, Ngalla, Dinku, Olurunti in the North West Province of Cameroon")</f>
        <v>Bifang, Ebendi, Eka, Ngalla, Dinku, Olurunti in the North West Province of Cameroon</v>
      </c>
      <c r="AR6" s="697">
        <f>IFERROR(__xludf.DUMMYFUNCTION("""COMPUTED_VALUE"""),2005.0)</f>
        <v>2005</v>
      </c>
      <c r="AS6" s="697" t="str">
        <f>IFERROR(__xludf.DUMMYFUNCTION("""COMPUTED_VALUE"""),"104/172")</f>
        <v>104/172</v>
      </c>
      <c r="AT6" s="697" t="str">
        <f>IFERROR(__xludf.DUMMYFUNCTION("""COMPUTED_VALUE"""),"21 months")</f>
        <v>21 months</v>
      </c>
      <c r="AU6" s="697"/>
      <c r="AV6" s="697" t="str">
        <f>IFERROR(__xludf.DUMMYFUNCTION("""COMPUTED_VALUE"""),"M, F")</f>
        <v>M, F</v>
      </c>
      <c r="AW6" s="697"/>
      <c r="AX6" s="697" t="str">
        <f>IFERROR(__xludf.DUMMYFUNCTION("""COMPUTED_VALUE"""),"Exclusion Criteria: O. volvulus microfilarial load &lt;10 mf/mg, L. loa microfilial load &gt;8000 mf/mL, gepatic and renal enzymes outside of normal range, creatinine, as well as pregnancy, lactation, intolerance to ivermectin, alcohol or drug abuse, or anti-fi"&amp;"larial therapy within the last 12 months ")</f>
        <v>Exclusion Criteria: O. volvulus microfilarial load &lt;10 mf/mg, L. loa microfilial load &gt;8000 mf/mL, gepatic and renal enzymes outside of normal range, creatinine, as well as pregnancy, lactation, intolerance to ivermectin, alcohol or drug abuse, or anti-filarial therapy within the last 12 months </v>
      </c>
      <c r="AY6" s="697" t="str">
        <f>IFERROR(__xludf.DUMMYFUNCTION("""COMPUTED_VALUE"""),"Yes")</f>
        <v>Yes</v>
      </c>
      <c r="AZ6" s="697" t="str">
        <f>IFERROR(__xludf.DUMMYFUNCTION("""COMPUTED_VALUE"""),"Yes")</f>
        <v>Yes</v>
      </c>
      <c r="BA6" s="697"/>
      <c r="BB6" s="697"/>
      <c r="BC6" s="697" t="str">
        <f>IFERROR(__xludf.DUMMYFUNCTION("""COMPUTED_VALUE"""),"A six-week course of doxycycline delivers macrofilaricidal and sterilizing activities, which is not dependent upon co-administration of ivermectin. Doxycycline is well tolerated in patients co-infected with moderate intensities of L. loa microfilariae.")</f>
        <v>A six-week course of doxycycline delivers macrofilaricidal and sterilizing activities, which is not dependent upon co-administration of ivermectin. Doxycycline is well tolerated in patients co-infected with moderate intensities of L. loa microfilariae.</v>
      </c>
      <c r="BD6" s="697" t="str">
        <f>IFERROR(__xludf.DUMMYFUNCTION("""COMPUTED_VALUE"""),"In total, 68 patients were lost to follow-up")</f>
        <v>In total, 68 patients were lost to follow-up</v>
      </c>
      <c r="BE6" s="697"/>
      <c r="BF6" s="697"/>
      <c r="BG6" s="697"/>
    </row>
    <row r="7">
      <c r="A7" s="697"/>
      <c r="B7" s="697" t="str">
        <f>IFERROR(__xludf.DUMMYFUNCTION("""COMPUTED_VALUE"""),"Turner et al. ")</f>
        <v>Turner et al. </v>
      </c>
      <c r="C7" s="697" t="str">
        <f>IFERROR(__xludf.DUMMYFUNCTION("""COMPUTED_VALUE"""),"Cameroon")</f>
        <v>Cameroon</v>
      </c>
      <c r="D7" s="697" t="str">
        <f>IFERROR(__xludf.DUMMYFUNCTION("""COMPUTED_VALUE"""),"Doxycycline")</f>
        <v>Doxycycline</v>
      </c>
      <c r="E7" s="697" t="str">
        <f>IFERROR(__xludf.DUMMYFUNCTION("""COMPUTED_VALUE"""),"200mg")</f>
        <v>200mg</v>
      </c>
      <c r="F7" s="697">
        <f>IFERROR(__xludf.DUMMYFUNCTION("""COMPUTED_VALUE"""),42.0)</f>
        <v>42</v>
      </c>
      <c r="G7" s="697" t="str">
        <f>IFERROR(__xludf.DUMMYFUNCTION("""COMPUTED_VALUE"""),"8400 mg")</f>
        <v>8400 mg</v>
      </c>
      <c r="H7" s="697"/>
      <c r="I7" s="697"/>
      <c r="J7" s="697"/>
      <c r="K7" s="697"/>
      <c r="L7" s="697"/>
      <c r="M7" s="697"/>
      <c r="N7" s="697"/>
      <c r="O7" s="697"/>
      <c r="P7" s="697"/>
      <c r="Q7" s="697"/>
      <c r="R7" s="698">
        <f>IFERROR(__xludf.DUMMYFUNCTION("""COMPUTED_VALUE"""),0.238)</f>
        <v>0.238</v>
      </c>
      <c r="S7" s="697"/>
      <c r="T7" s="697"/>
      <c r="U7" s="697"/>
      <c r="V7" s="697"/>
      <c r="W7" s="698">
        <f>IFERROR(__xludf.DUMMYFUNCTION("""COMPUTED_VALUE"""),0.381)</f>
        <v>0.381</v>
      </c>
      <c r="X7" s="697"/>
      <c r="Y7" s="698">
        <f>IFERROR(__xludf.DUMMYFUNCTION("""COMPUTED_VALUE"""),0.667)</f>
        <v>0.667</v>
      </c>
      <c r="Z7" s="697"/>
      <c r="AA7" s="697"/>
      <c r="AB7" s="697"/>
      <c r="AC7" s="697"/>
      <c r="AD7" s="697"/>
      <c r="AE7" s="697"/>
      <c r="AF7" s="697"/>
      <c r="AG7" s="697"/>
      <c r="AH7" s="697"/>
      <c r="AI7" s="697"/>
      <c r="AJ7" s="697"/>
      <c r="AK7" s="697"/>
      <c r="AL7" s="697"/>
      <c r="AM7" s="697"/>
      <c r="AN7" s="698">
        <f>IFERROR(__xludf.DUMMYFUNCTION("""COMPUTED_VALUE"""),0.238)</f>
        <v>0.238</v>
      </c>
      <c r="AO7" s="698">
        <f>IFERROR(__xludf.DUMMYFUNCTION("""COMPUTED_VALUE"""),0.238)</f>
        <v>0.238</v>
      </c>
      <c r="AP7" s="697" t="str">
        <f>IFERROR(__xludf.DUMMYFUNCTION("""COMPUTED_VALUE"""),"Mf reduction; Nodulectomy: dead worms")</f>
        <v>Mf reduction; Nodulectomy: dead worms</v>
      </c>
      <c r="AQ7" s="697" t="str">
        <f>IFERROR(__xludf.DUMMYFUNCTION("""COMPUTED_VALUE"""),"Bifang, Ebendi, Eka, Ngalla, Dinku, Olurunti in the North West Province of Cameroon")</f>
        <v>Bifang, Ebendi, Eka, Ngalla, Dinku, Olurunti in the North West Province of Cameroon</v>
      </c>
      <c r="AR7" s="697">
        <f>IFERROR(__xludf.DUMMYFUNCTION("""COMPUTED_VALUE"""),2005.0)</f>
        <v>2005</v>
      </c>
      <c r="AS7" s="697" t="str">
        <f>IFERROR(__xludf.DUMMYFUNCTION("""COMPUTED_VALUE"""),"104/172")</f>
        <v>104/172</v>
      </c>
      <c r="AT7" s="697" t="str">
        <f>IFERROR(__xludf.DUMMYFUNCTION("""COMPUTED_VALUE"""),"21 months")</f>
        <v>21 months</v>
      </c>
      <c r="AU7" s="699" t="str">
        <f>IFERROR(__xludf.DUMMYFUNCTION("""COMPUTED_VALUE"""),"Turner JD, Tendongfor N, Esum M, Johnston KL, Langley RS, Ford L, et al. Macrofilaricidal activity after doxycycline only treatment of Onchocerca volvulus in an area of Loa loa Co-Endemicity: a randomized controlled trial. PLoS Negl Trop Dis. 2010;4(4):e6"&amp;"60. doi: 10.1371/journal.pntd.0000660.")</f>
        <v>Turner JD, Tendongfor N, Esum M, Johnston KL, Langley RS, Ford L, et al. Macrofilaricidal activity after doxycycline only treatment of Onchocerca volvulus in an area of Loa loa Co-Endemicity: a randomized controlled trial. PLoS Negl Trop Dis. 2010;4(4):e660. doi: 10.1371/journal.pntd.0000660.</v>
      </c>
      <c r="AV7" s="697" t="str">
        <f>IFERROR(__xludf.DUMMYFUNCTION("""COMPUTED_VALUE"""),"M, F")</f>
        <v>M, F</v>
      </c>
      <c r="AW7" s="697"/>
      <c r="AX7" s="697" t="str">
        <f>IFERROR(__xludf.DUMMYFUNCTION("""COMPUTED_VALUE"""),"Exclusion Criteria: O. volvulus microfilarial load &lt;10 mf/mg, L. loa microfilial load &gt;8000 mf/mL, gepatic and renal enzymes outside of normal range, creatinine, as well as pregnancy, lactation, intolerance to ivermectin, alcohol or drug abuse, or anti-fi"&amp;"larial therapy within the last 12 months ")</f>
        <v>Exclusion Criteria: O. volvulus microfilarial load &lt;10 mf/mg, L. loa microfilial load &gt;8000 mf/mL, gepatic and renal enzymes outside of normal range, creatinine, as well as pregnancy, lactation, intolerance to ivermectin, alcohol or drug abuse, or anti-filarial therapy within the last 12 months </v>
      </c>
      <c r="AY7" s="697" t="str">
        <f>IFERROR(__xludf.DUMMYFUNCTION("""COMPUTED_VALUE"""),"Yes")</f>
        <v>Yes</v>
      </c>
      <c r="AZ7" s="697" t="str">
        <f>IFERROR(__xludf.DUMMYFUNCTION("""COMPUTED_VALUE"""),"Yes")</f>
        <v>Yes</v>
      </c>
      <c r="BA7" s="697"/>
      <c r="BB7" s="697"/>
      <c r="BC7" s="697" t="str">
        <f>IFERROR(__xludf.DUMMYFUNCTION("""COMPUTED_VALUE"""),"A six-week course of doxycycline delivers macrofilaricidal and sterilizing activities, which is not dependent upon co-administration of ivermectin. Doxycycline is well tolerated in patients co-infected with moderate intensities of L. loa microfilariae.")</f>
        <v>A six-week course of doxycycline delivers macrofilaricidal and sterilizing activities, which is not dependent upon co-administration of ivermectin. Doxycycline is well tolerated in patients co-infected with moderate intensities of L. loa microfilariae.</v>
      </c>
      <c r="BD7" s="697" t="str">
        <f>IFERROR(__xludf.DUMMYFUNCTION("""COMPUTED_VALUE"""),"In total, 68 patients were lost to follow-up")</f>
        <v>In total, 68 patients were lost to follow-up</v>
      </c>
      <c r="BE7" s="697" t="str">
        <f>IFERROR(__xludf.DUMMYFUNCTION("""COMPUTED_VALUE"""),"Nodulectomy: dead female worms 65.0%(13/20)")</f>
        <v>Nodulectomy: dead female worms 65.0%(13/20)</v>
      </c>
      <c r="BF7" s="697"/>
      <c r="BG7" s="697"/>
    </row>
    <row r="8">
      <c r="A8" s="697"/>
      <c r="B8" s="697" t="str">
        <f>IFERROR(__xludf.DUMMYFUNCTION("""COMPUTED_VALUE"""),"Turner et al. ")</f>
        <v>Turner et al. </v>
      </c>
      <c r="C8" s="697" t="str">
        <f>IFERROR(__xludf.DUMMYFUNCTION("""COMPUTED_VALUE"""),"Cameroon")</f>
        <v>Cameroon</v>
      </c>
      <c r="D8" s="697" t="str">
        <f>IFERROR(__xludf.DUMMYFUNCTION("""COMPUTED_VALUE"""),"Ivermectin")</f>
        <v>Ivermectin</v>
      </c>
      <c r="E8" s="697" t="str">
        <f>IFERROR(__xludf.DUMMYFUNCTION("""COMPUTED_VALUE"""),"150 ug/kg")</f>
        <v>150 ug/kg</v>
      </c>
      <c r="F8" s="697">
        <f>IFERROR(__xludf.DUMMYFUNCTION("""COMPUTED_VALUE"""),1.0)</f>
        <v>1</v>
      </c>
      <c r="G8" s="697" t="str">
        <f>IFERROR(__xludf.DUMMYFUNCTION("""COMPUTED_VALUE"""),"150 ug/kg")</f>
        <v>150 ug/kg</v>
      </c>
      <c r="H8" s="697"/>
      <c r="I8" s="697"/>
      <c r="J8" s="697"/>
      <c r="K8" s="697"/>
      <c r="L8" s="697"/>
      <c r="M8" s="697"/>
      <c r="N8" s="697"/>
      <c r="O8" s="697"/>
      <c r="P8" s="697"/>
      <c r="Q8" s="697"/>
      <c r="R8" s="698">
        <f>IFERROR(__xludf.DUMMYFUNCTION("""COMPUTED_VALUE"""),0.189)</f>
        <v>0.189</v>
      </c>
      <c r="S8" s="697"/>
      <c r="T8" s="697"/>
      <c r="U8" s="697"/>
      <c r="V8" s="697"/>
      <c r="W8" s="698">
        <f>IFERROR(__xludf.DUMMYFUNCTION("""COMPUTED_VALUE"""),0.216)</f>
        <v>0.216</v>
      </c>
      <c r="X8" s="697"/>
      <c r="Y8" s="698">
        <f>IFERROR(__xludf.DUMMYFUNCTION("""COMPUTED_VALUE"""),0.216)</f>
        <v>0.216</v>
      </c>
      <c r="Z8" s="697"/>
      <c r="AA8" s="697"/>
      <c r="AB8" s="697"/>
      <c r="AC8" s="697"/>
      <c r="AD8" s="697"/>
      <c r="AE8" s="697"/>
      <c r="AF8" s="697"/>
      <c r="AG8" s="697"/>
      <c r="AH8" s="697"/>
      <c r="AI8" s="697"/>
      <c r="AJ8" s="697"/>
      <c r="AK8" s="697"/>
      <c r="AL8" s="697"/>
      <c r="AM8" s="697"/>
      <c r="AN8" s="698">
        <f>IFERROR(__xludf.DUMMYFUNCTION("""COMPUTED_VALUE"""),0.189)</f>
        <v>0.189</v>
      </c>
      <c r="AO8" s="698">
        <f>IFERROR(__xludf.DUMMYFUNCTION("""COMPUTED_VALUE"""),0.189)</f>
        <v>0.189</v>
      </c>
      <c r="AP8" s="697" t="str">
        <f>IFERROR(__xludf.DUMMYFUNCTION("""COMPUTED_VALUE"""),"Mf reduction; Nodulectomy: dead worms")</f>
        <v>Mf reduction; Nodulectomy: dead worms</v>
      </c>
      <c r="AQ8" s="697" t="str">
        <f>IFERROR(__xludf.DUMMYFUNCTION("""COMPUTED_VALUE"""),"Bifang, Ebendi, Eka, Ngalla, Dinku, Olurunti in the North West Province of Cameroon")</f>
        <v>Bifang, Ebendi, Eka, Ngalla, Dinku, Olurunti in the North West Province of Cameroon</v>
      </c>
      <c r="AR8" s="697">
        <f>IFERROR(__xludf.DUMMYFUNCTION("""COMPUTED_VALUE"""),2005.0)</f>
        <v>2005</v>
      </c>
      <c r="AS8" s="697" t="str">
        <f>IFERROR(__xludf.DUMMYFUNCTION("""COMPUTED_VALUE"""),"104/172")</f>
        <v>104/172</v>
      </c>
      <c r="AT8" s="697" t="str">
        <f>IFERROR(__xludf.DUMMYFUNCTION("""COMPUTED_VALUE"""),"21 months")</f>
        <v>21 months</v>
      </c>
      <c r="AU8" s="699" t="str">
        <f>IFERROR(__xludf.DUMMYFUNCTION("""COMPUTED_VALUE"""),"Turner JD, Tendongfor N, Esum M, Johnston KL, Langley RS, Ford L, et al. Macrofilaricidal activity after doxycycline only treatment of Onchocerca volvulus in an area of Loa loa Co-Endemicity: a randomized controlled trial. PLoS Negl Trop Dis. 2010;4(4):e6"&amp;"60. doi: 10.1371/journal.pntd.0000660.")</f>
        <v>Turner JD, Tendongfor N, Esum M, Johnston KL, Langley RS, Ford L, et al. Macrofilaricidal activity after doxycycline only treatment of Onchocerca volvulus in an area of Loa loa Co-Endemicity: a randomized controlled trial. PLoS Negl Trop Dis. 2010;4(4):e660. doi: 10.1371/journal.pntd.0000660.</v>
      </c>
      <c r="AV8" s="697" t="str">
        <f>IFERROR(__xludf.DUMMYFUNCTION("""COMPUTED_VALUE"""),"M, F")</f>
        <v>M, F</v>
      </c>
      <c r="AW8" s="697"/>
      <c r="AX8" s="697" t="str">
        <f>IFERROR(__xludf.DUMMYFUNCTION("""COMPUTED_VALUE"""),"Exclusion Criteria: O. volvulus microfilarial load &lt;10 mf/mg, L. loa microfilial load &gt;8000 mf/mL, gepatic and renal enzymes outside of normal range, creatinine, as well as pregnancy, lactation, intolerance to ivermectin, alcohol or drug abuse, or anti-fi"&amp;"larial therapy within the last 12 months ")</f>
        <v>Exclusion Criteria: O. volvulus microfilarial load &lt;10 mf/mg, L. loa microfilial load &gt;8000 mf/mL, gepatic and renal enzymes outside of normal range, creatinine, as well as pregnancy, lactation, intolerance to ivermectin, alcohol or drug abuse, or anti-filarial therapy within the last 12 months </v>
      </c>
      <c r="AY8" s="697" t="str">
        <f>IFERROR(__xludf.DUMMYFUNCTION("""COMPUTED_VALUE"""),"Yes")</f>
        <v>Yes</v>
      </c>
      <c r="AZ8" s="697" t="str">
        <f>IFERROR(__xludf.DUMMYFUNCTION("""COMPUTED_VALUE"""),"Yes")</f>
        <v>Yes</v>
      </c>
      <c r="BA8" s="697"/>
      <c r="BB8" s="697"/>
      <c r="BC8" s="697" t="str">
        <f>IFERROR(__xludf.DUMMYFUNCTION("""COMPUTED_VALUE"""),"A six-week course of doxycycline delivers macrofilaricidal and sterilizing activities, which is not dependent upon co-administration of ivermectin. Doxycycline is well tolerated in patients co-infected with moderate intensities of L. loa microfilariae.")</f>
        <v>A six-week course of doxycycline delivers macrofilaricidal and sterilizing activities, which is not dependent upon co-administration of ivermectin. Doxycycline is well tolerated in patients co-infected with moderate intensities of L. loa microfilariae.</v>
      </c>
      <c r="BD8" s="697" t="str">
        <f>IFERROR(__xludf.DUMMYFUNCTION("""COMPUTED_VALUE"""),"In total, 68 patients were lost to follow-up")</f>
        <v>In total, 68 patients were lost to follow-up</v>
      </c>
      <c r="BE8" s="697" t="str">
        <f>IFERROR(__xludf.DUMMYFUNCTION("""COMPUTED_VALUE"""),"Nodulectomy: dead female worms 16.7%(9/54)")</f>
        <v>Nodulectomy: dead female worms 16.7%(9/54)</v>
      </c>
      <c r="BF8" s="697"/>
      <c r="BG8" s="697" t="str">
        <f>IFERROR(__xludf.DUMMYFUNCTION("""COMPUTED_VALUE"""),"x")</f>
        <v>x</v>
      </c>
    </row>
    <row r="9">
      <c r="A9" s="697"/>
      <c r="B9" s="697" t="str">
        <f>IFERROR(__xludf.DUMMYFUNCTION("""COMPUTED_VALUE"""),"Tamarozzi et al.")</f>
        <v>Tamarozzi et al.</v>
      </c>
      <c r="C9" s="697" t="str">
        <f>IFERROR(__xludf.DUMMYFUNCTION("""COMPUTED_VALUE"""),"Cameroon")</f>
        <v>Cameroon</v>
      </c>
      <c r="D9" s="697" t="str">
        <f>IFERROR(__xludf.DUMMYFUNCTION("""COMPUTED_VALUE"""),"Doxycycline &amp; Ivermectin")</f>
        <v>Doxycycline &amp; Ivermectin</v>
      </c>
      <c r="E9" s="697" t="str">
        <f>IFERROR(__xludf.DUMMYFUNCTION("""COMPUTED_VALUE"""),"200mg; 150ug/kg")</f>
        <v>200mg; 150ug/kg</v>
      </c>
      <c r="F9" s="697" t="str">
        <f>IFERROR(__xludf.DUMMYFUNCTION("""COMPUTED_VALUE"""),"42;1")</f>
        <v>42;1</v>
      </c>
      <c r="G9" s="697" t="str">
        <f>IFERROR(__xludf.DUMMYFUNCTION("""COMPUTED_VALUE"""),"8400 mg;150 ug/kg")</f>
        <v>8400 mg;150 ug/kg</v>
      </c>
      <c r="H9" s="697"/>
      <c r="I9" s="697"/>
      <c r="J9" s="697"/>
      <c r="K9" s="697"/>
      <c r="L9" s="697"/>
      <c r="M9" s="697"/>
      <c r="N9" s="697"/>
      <c r="O9" s="697"/>
      <c r="P9" s="697"/>
      <c r="Q9" s="697"/>
      <c r="R9" s="697"/>
      <c r="S9" s="697"/>
      <c r="T9" s="697"/>
      <c r="U9" s="697"/>
      <c r="V9" s="697"/>
      <c r="W9" s="697"/>
      <c r="X9" s="697"/>
      <c r="Y9" s="697"/>
      <c r="Z9" s="697"/>
      <c r="AA9" s="697"/>
      <c r="AB9" s="697"/>
      <c r="AC9" s="700">
        <f>IFERROR(__xludf.DUMMYFUNCTION("""COMPUTED_VALUE"""),1.0)</f>
        <v>1</v>
      </c>
      <c r="AD9" s="697"/>
      <c r="AE9" s="700">
        <f>IFERROR(__xludf.DUMMYFUNCTION("""COMPUTED_VALUE"""),0.83)</f>
        <v>0.83</v>
      </c>
      <c r="AF9" s="697"/>
      <c r="AG9" s="697"/>
      <c r="AH9" s="697"/>
      <c r="AI9" s="697"/>
      <c r="AJ9" s="697"/>
      <c r="AK9" s="697"/>
      <c r="AL9" s="697"/>
      <c r="AM9" s="697"/>
      <c r="AN9" s="700">
        <f>IFERROR(__xludf.DUMMYFUNCTION("""COMPUTED_VALUE"""),1.0)</f>
        <v>1</v>
      </c>
      <c r="AO9" s="698">
        <f>IFERROR(__xludf.DUMMYFUNCTION("""COMPUTED_VALUE"""),1.0)</f>
        <v>1</v>
      </c>
      <c r="AP9" s="697" t="str">
        <f>IFERROR(__xludf.DUMMYFUNCTION("""COMPUTED_VALUE"""),"Mf reduction")</f>
        <v>Mf reduction</v>
      </c>
      <c r="AQ9" s="697" t="str">
        <f>IFERROR(__xludf.DUMMYFUNCTION("""COMPUTED_VALUE"""),"Matouke, Mombo and Kotto")</f>
        <v>Matouke, Mombo and Kotto</v>
      </c>
      <c r="AR9" s="697">
        <f>IFERROR(__xludf.DUMMYFUNCTION("""COMPUTED_VALUE"""),2008.0)</f>
        <v>2008</v>
      </c>
      <c r="AS9" s="697" t="str">
        <f>IFERROR(__xludf.DUMMYFUNCTION("""COMPUTED_VALUE"""),"375/507 ")</f>
        <v>375/507 </v>
      </c>
      <c r="AT9" s="697" t="str">
        <f>IFERROR(__xludf.DUMMYFUNCTION("""COMPUTED_VALUE"""),"6 weeks")</f>
        <v>6 weeks</v>
      </c>
      <c r="AU9" s="699" t="str">
        <f>IFERROR(__xludf.DUMMYFUNCTION("""COMPUTED_VALUE"""),"Tamarozzi F, Tendongfor N, Enyong PA, Esum M, Faragher B, Wanji S, Taylor MJ. Long term impact of large scale community-directed delivery of doxycycline for the treatment of onchocerciasis. Parasit Vectors. 2012 Mar 20;5:53. doi: 10.1186/1756-3305-5-53")</f>
        <v>Tamarozzi F, Tendongfor N, Enyong PA, Esum M, Faragher B, Wanji S, Taylor MJ. Long term impact of large scale community-directed delivery of doxycycline for the treatment of onchocerciasis. Parasit Vectors. 2012 Mar 20;5:53. doi: 10.1186/1756-3305-5-53</v>
      </c>
      <c r="AV9" s="697" t="str">
        <f>IFERROR(__xludf.DUMMYFUNCTION("""COMPUTED_VALUE"""),"260 M, 247 F")</f>
        <v>260 M, 247 F</v>
      </c>
      <c r="AW9" s="697" t="str">
        <f>IFERROR(__xludf.DUMMYFUNCTION("""COMPUTED_VALUE"""),"Mean Age + Range: 43.16 (19-81)")</f>
        <v>Mean Age + Range: 43.16 (19-81)</v>
      </c>
      <c r="AX9" s="697" t="str">
        <f>IFERROR(__xludf.DUMMYFUNCTION("""COMPUTED_VALUE"""),"Those who completed the 6 week course of doxycycline MDA in 2007 and 2008, plus one or two annuall treatments of ivermectin MDA, and those who received ivermectin MDA alone.")</f>
        <v>Those who completed the 6 week course of doxycycline MDA in 2007 and 2008, plus one or two annuall treatments of ivermectin MDA, and those who received ivermectin MDA alone.</v>
      </c>
      <c r="AY9" s="697" t="str">
        <f>IFERROR(__xludf.DUMMYFUNCTION("""COMPUTED_VALUE"""),"Yes")</f>
        <v>Yes</v>
      </c>
      <c r="AZ9" s="697" t="str">
        <f>IFERROR(__xludf.DUMMYFUNCTION("""COMPUTED_VALUE"""),"Yes")</f>
        <v>Yes</v>
      </c>
      <c r="BA9" s="697" t="str">
        <f>IFERROR(__xludf.DUMMYFUNCTION("""COMPUTED_VALUE"""),"Microfilarial prevalence (primary) and load in the two treatment groups.")</f>
        <v>Microfilarial prevalence (primary) and load in the two treatment groups.</v>
      </c>
      <c r="BB9" s="697"/>
      <c r="BC9" s="697" t="str">
        <f>IFERROR(__xludf.DUMMYFUNCTION("""COMPUTED_VALUE"""),"The delivery of doxycycline with a community-directed approach is not only feasible, but also effective in reducing microfilariadermia prevalence and load in long-term efficacy.")</f>
        <v>The delivery of doxycycline with a community-directed approach is not only feasible, but also effective in reducing microfilariadermia prevalence and load in long-term efficacy.</v>
      </c>
      <c r="BD9" s="697"/>
      <c r="BE9" s="697"/>
      <c r="BF9" s="697"/>
      <c r="BG9" s="697" t="str">
        <f>IFERROR(__xludf.DUMMYFUNCTION("""COMPUTED_VALUE"""),"x")</f>
        <v>x</v>
      </c>
    </row>
    <row r="10">
      <c r="A10" s="697"/>
      <c r="B10" s="697" t="str">
        <f>IFERROR(__xludf.DUMMYFUNCTION("""COMPUTED_VALUE"""),"Tamarozzi et al.")</f>
        <v>Tamarozzi et al.</v>
      </c>
      <c r="C10" s="697" t="str">
        <f>IFERROR(__xludf.DUMMYFUNCTION("""COMPUTED_VALUE"""),"Cameroon")</f>
        <v>Cameroon</v>
      </c>
      <c r="D10" s="697" t="str">
        <f>IFERROR(__xludf.DUMMYFUNCTION("""COMPUTED_VALUE"""),"Ivermectin")</f>
        <v>Ivermectin</v>
      </c>
      <c r="E10" s="697" t="str">
        <f>IFERROR(__xludf.DUMMYFUNCTION("""COMPUTED_VALUE"""),"150ug/kg")</f>
        <v>150ug/kg</v>
      </c>
      <c r="F10" s="697">
        <f>IFERROR(__xludf.DUMMYFUNCTION("""COMPUTED_VALUE"""),1.0)</f>
        <v>1</v>
      </c>
      <c r="G10" s="697" t="str">
        <f>IFERROR(__xludf.DUMMYFUNCTION("""COMPUTED_VALUE"""),"150 ug/kg")</f>
        <v>150 ug/kg</v>
      </c>
      <c r="H10" s="697"/>
      <c r="I10" s="697"/>
      <c r="J10" s="697"/>
      <c r="K10" s="697"/>
      <c r="L10" s="697"/>
      <c r="M10" s="697"/>
      <c r="N10" s="697"/>
      <c r="O10" s="697"/>
      <c r="P10" s="697"/>
      <c r="Q10" s="697"/>
      <c r="R10" s="697"/>
      <c r="S10" s="697"/>
      <c r="T10" s="697"/>
      <c r="U10" s="697"/>
      <c r="V10" s="697"/>
      <c r="W10" s="697"/>
      <c r="X10" s="697"/>
      <c r="Y10" s="697"/>
      <c r="Z10" s="697"/>
      <c r="AA10" s="697"/>
      <c r="AB10" s="697"/>
      <c r="AC10" s="700">
        <f>IFERROR(__xludf.DUMMYFUNCTION("""COMPUTED_VALUE"""),1.0)</f>
        <v>1</v>
      </c>
      <c r="AD10" s="697"/>
      <c r="AE10" s="700">
        <f>IFERROR(__xludf.DUMMYFUNCTION("""COMPUTED_VALUE"""),0.73)</f>
        <v>0.73</v>
      </c>
      <c r="AF10" s="697"/>
      <c r="AG10" s="697"/>
      <c r="AH10" s="697"/>
      <c r="AI10" s="697"/>
      <c r="AJ10" s="697"/>
      <c r="AK10" s="697"/>
      <c r="AL10" s="697"/>
      <c r="AM10" s="697"/>
      <c r="AN10" s="700">
        <f>IFERROR(__xludf.DUMMYFUNCTION("""COMPUTED_VALUE"""),1.0)</f>
        <v>1</v>
      </c>
      <c r="AO10" s="698">
        <f>IFERROR(__xludf.DUMMYFUNCTION("""COMPUTED_VALUE"""),1.0)</f>
        <v>1</v>
      </c>
      <c r="AP10" s="697" t="str">
        <f>IFERROR(__xludf.DUMMYFUNCTION("""COMPUTED_VALUE"""),"Mf reduction")</f>
        <v>Mf reduction</v>
      </c>
      <c r="AQ10" s="697" t="str">
        <f>IFERROR(__xludf.DUMMYFUNCTION("""COMPUTED_VALUE"""),"Matouke, Mombo and Kotto")</f>
        <v>Matouke, Mombo and Kotto</v>
      </c>
      <c r="AR10" s="697">
        <f>IFERROR(__xludf.DUMMYFUNCTION("""COMPUTED_VALUE"""),2008.0)</f>
        <v>2008</v>
      </c>
      <c r="AS10" s="697" t="str">
        <f>IFERROR(__xludf.DUMMYFUNCTION("""COMPUTED_VALUE"""),"132/507")</f>
        <v>132/507</v>
      </c>
      <c r="AT10" s="697" t="str">
        <f>IFERROR(__xludf.DUMMYFUNCTION("""COMPUTED_VALUE"""),"6 weeks")</f>
        <v>6 weeks</v>
      </c>
      <c r="AU10" s="699" t="str">
        <f>IFERROR(__xludf.DUMMYFUNCTION("""COMPUTED_VALUE"""),"Tamarozzi F, Tendongfor N, Enyong PA, Esum M, Faragher B, Wanji S, Taylor MJ. Long term impact of large scale community-directed delivery of doxycycline for the treatment of onchocerciasis. Parasit Vectors. 2012 Mar 20;5:53. doi: 10.1186/1756-3305-5-53")</f>
        <v>Tamarozzi F, Tendongfor N, Enyong PA, Esum M, Faragher B, Wanji S, Taylor MJ. Long term impact of large scale community-directed delivery of doxycycline for the treatment of onchocerciasis. Parasit Vectors. 2012 Mar 20;5:53. doi: 10.1186/1756-3305-5-53</v>
      </c>
      <c r="AV10" s="697" t="str">
        <f>IFERROR(__xludf.DUMMYFUNCTION("""COMPUTED_VALUE"""),"261 M, 247 F")</f>
        <v>261 M, 247 F</v>
      </c>
      <c r="AW10" s="697" t="str">
        <f>IFERROR(__xludf.DUMMYFUNCTION("""COMPUTED_VALUE"""),"Mean Age + Range: 36.86(19-71)")</f>
        <v>Mean Age + Range: 36.86(19-71)</v>
      </c>
      <c r="AX10" s="697"/>
      <c r="AY10" s="697" t="str">
        <f>IFERROR(__xludf.DUMMYFUNCTION("""COMPUTED_VALUE"""),"Yes")</f>
        <v>Yes</v>
      </c>
      <c r="AZ10" s="697" t="str">
        <f>IFERROR(__xludf.DUMMYFUNCTION("""COMPUTED_VALUE"""),"Yes")</f>
        <v>Yes</v>
      </c>
      <c r="BA10" s="697"/>
      <c r="BB10" s="697"/>
      <c r="BC10" s="697" t="str">
        <f>IFERROR(__xludf.DUMMYFUNCTION("""COMPUTED_VALUE"""),"The delivery of doxycycline with a community-directed approach is not only feasible, but also effective in reducing microfilariadermia prevalence and load in long-term efficacy.")</f>
        <v>The delivery of doxycycline with a community-directed approach is not only feasible, but also effective in reducing microfilariadermia prevalence and load in long-term efficacy.</v>
      </c>
      <c r="BD10" s="697"/>
      <c r="BE10" s="697"/>
      <c r="BF10" s="697"/>
      <c r="BG10" s="697" t="str">
        <f>IFERROR(__xludf.DUMMYFUNCTION("""COMPUTED_VALUE"""),"x")</f>
        <v>x</v>
      </c>
    </row>
    <row r="11">
      <c r="A11" s="697"/>
      <c r="B11" s="697" t="str">
        <f>IFERROR(__xludf.DUMMYFUNCTION("""COMPUTED_VALUE"""),"Hoerauf et al.")</f>
        <v>Hoerauf et al.</v>
      </c>
      <c r="C11" s="697" t="str">
        <f>IFERROR(__xludf.DUMMYFUNCTION("""COMPUTED_VALUE"""),"Ghana")</f>
        <v>Ghana</v>
      </c>
      <c r="D11" s="697" t="str">
        <f>IFERROR(__xludf.DUMMYFUNCTION("""COMPUTED_VALUE"""),"Placebo, untreated")</f>
        <v>Placebo, untreated</v>
      </c>
      <c r="E11" s="697"/>
      <c r="F11" s="697"/>
      <c r="G11" s="697"/>
      <c r="H11" s="697"/>
      <c r="I11" s="697"/>
      <c r="J11" s="697"/>
      <c r="K11" s="697"/>
      <c r="L11" s="697"/>
      <c r="M11" s="697"/>
      <c r="N11" s="697"/>
      <c r="O11" s="697"/>
      <c r="P11" s="697"/>
      <c r="Q11" s="697"/>
      <c r="R11" s="697"/>
      <c r="S11" s="697"/>
      <c r="T11" s="697"/>
      <c r="U11" s="697"/>
      <c r="V11" s="697"/>
      <c r="W11" s="697"/>
      <c r="X11" s="697"/>
      <c r="Y11" s="697"/>
      <c r="Z11" s="700">
        <f>IFERROR(__xludf.DUMMYFUNCTION("""COMPUTED_VALUE"""),0.0)</f>
        <v>0</v>
      </c>
      <c r="AA11" s="697"/>
      <c r="AB11" s="697"/>
      <c r="AC11" s="697"/>
      <c r="AD11" s="697"/>
      <c r="AE11" s="697"/>
      <c r="AF11" s="697"/>
      <c r="AG11" s="697"/>
      <c r="AH11" s="697"/>
      <c r="AI11" s="697"/>
      <c r="AJ11" s="697"/>
      <c r="AK11" s="697"/>
      <c r="AL11" s="697"/>
      <c r="AM11" s="697"/>
      <c r="AN11" s="700">
        <f>IFERROR(__xludf.DUMMYFUNCTION("""COMPUTED_VALUE"""),0.0)</f>
        <v>0</v>
      </c>
      <c r="AO11" s="698">
        <f>IFERROR(__xludf.DUMMYFUNCTION("""COMPUTED_VALUE"""),0.0)</f>
        <v>0</v>
      </c>
      <c r="AP11" s="697" t="str">
        <f>IFERROR(__xludf.DUMMYFUNCTION("""COMPUTED_VALUE"""),"Mf reduction")</f>
        <v>Mf reduction</v>
      </c>
      <c r="AQ11" s="697" t="str">
        <f>IFERROR(__xludf.DUMMYFUNCTION("""COMPUTED_VALUE"""),"Assin district, Central Region of Ghana.")</f>
        <v>Assin district, Central Region of Ghana.</v>
      </c>
      <c r="AR11" s="697">
        <f>IFERROR(__xludf.DUMMYFUNCTION("""COMPUTED_VALUE"""),2006.0)</f>
        <v>2006</v>
      </c>
      <c r="AS11" s="697">
        <f>IFERROR(__xludf.DUMMYFUNCTION("""COMPUTED_VALUE"""),10.0)</f>
        <v>10</v>
      </c>
      <c r="AT11" s="697" t="str">
        <f>IFERROR(__xludf.DUMMYFUNCTION("""COMPUTED_VALUE"""),"27 months")</f>
        <v>27 months</v>
      </c>
      <c r="AU11" s="699" t="str">
        <f>IFERROR(__xludf.DUMMYFUNCTION("""COMPUTED_VALUE"""),"Hoerauf, A.; Specht, S.; Marfo-Debrekyei, Y.; Büttner, M; Debrah, Y.A.; Mand, S.; Batsa, L.; Brattig, N.; Konadu, P.; Bandi, C.; Fimmers, R.; Adjei, O.; Büttner, D.W. (2009) Efficacy of 5-week doxycycline treatment on adult Onchocerca volvulus. Parasitol "&amp;"Res 104: 437-447. doi: 10.1007/s00436-008-1217-8.")</f>
        <v>Hoerauf, A.; Specht, S.; Marfo-Debrekyei, Y.; Büttner, M; Debrah, Y.A.; Mand, S.; Batsa, L.; Brattig, N.; Konadu, P.; Bandi, C.; Fimmers, R.; Adjei, O.; Büttner, D.W. (2009) Efficacy of 5-week doxycycline treatment on adult Onchocerca volvulus. Parasitol Res 104: 437-447. doi: 10.1007/s00436-008-1217-8.</v>
      </c>
      <c r="AV11" s="697" t="str">
        <f>IFERROR(__xludf.DUMMYFUNCTION("""COMPUTED_VALUE"""),"5 M 5 F")</f>
        <v>5 M 5 F</v>
      </c>
      <c r="AW11" s="697" t="str">
        <f>IFERROR(__xludf.DUMMYFUNCTION("""COMPUTED_VALUE"""),"Mean Age + Range: 34(18-53)")</f>
        <v>Mean Age + Range: 34(18-53)</v>
      </c>
      <c r="AX11" s="697" t="str">
        <f>IFERROR(__xludf.DUMMYFUNCTION("""COMPUTED_VALUE"""),"Exclusion criteria encompassed a history of intolerance to doxycycline and of alcohol or drug abuse. Other exclusion criteria were assessed by dipstick chemistry; pregnancy (in case of wrong oral declaration of being post-menopausal), hepatic and renal en"&amp;"zymes above normal values (γ-GT [0–28 IU/L], ALT [0–45 IU/L], and creatinine [53–126 μmol/L]).")</f>
        <v>Exclusion criteria encompassed a history of intolerance to doxycycline and of alcohol or drug abuse. Other exclusion criteria were assessed by dipstick chemistry; pregnancy (in case of wrong oral declaration of being post-menopausal), hepatic and renal enzymes above normal values (γ-GT [0–28 IU/L], ALT [0–45 IU/L], and creatinine [53–126 μmol/L]).</v>
      </c>
      <c r="AY11" s="697" t="str">
        <f>IFERROR(__xludf.DUMMYFUNCTION("""COMPUTED_VALUE"""),"No")</f>
        <v>No</v>
      </c>
      <c r="AZ11" s="697" t="str">
        <f>IFERROR(__xludf.DUMMYFUNCTION("""COMPUTED_VALUE"""),"Yes")</f>
        <v>Yes</v>
      </c>
      <c r="BA11" s="697"/>
      <c r="BB11" s="697"/>
      <c r="BC11" s="697" t="str">
        <f>IFERROR(__xludf.DUMMYFUNCTION("""COMPUTED_VALUE"""),"Ivermectin remains the drug of choice for the areas which are currently covered by the African Programme for Onchocerciasis Control, because doxycycline would have to be frequently re-administered to people that have already beentreated in order to cure n"&amp;"ew infection.")</f>
        <v>Ivermectin remains the drug of choice for the areas which are currently covered by the African Programme for Onchocerciasis Control, because doxycycline would have to be frequently re-administered to people that have already beentreated in order to cure new infection.</v>
      </c>
      <c r="BD11" s="697" t="str">
        <f>IFERROR(__xludf.DUMMYFUNCTION("""COMPUTED_VALUE"""),"2 patiens out of the enrolled 24 were excluded because they were absent too often during treatment.")</f>
        <v>2 patiens out of the enrolled 24 were excluded because they were absent too often during treatment.</v>
      </c>
      <c r="BE11" s="697"/>
      <c r="BF11" s="697"/>
      <c r="BG11" s="697" t="str">
        <f>IFERROR(__xludf.DUMMYFUNCTION("""COMPUTED_VALUE"""),"x")</f>
        <v>x</v>
      </c>
    </row>
    <row r="12">
      <c r="A12" s="697"/>
      <c r="B12" s="697" t="str">
        <f>IFERROR(__xludf.DUMMYFUNCTION("""COMPUTED_VALUE"""),"Hoerauf et al.")</f>
        <v>Hoerauf et al.</v>
      </c>
      <c r="C12" s="697" t="str">
        <f>IFERROR(__xludf.DUMMYFUNCTION("""COMPUTED_VALUE"""),"Ghana")</f>
        <v>Ghana</v>
      </c>
      <c r="D12" s="697" t="str">
        <f>IFERROR(__xludf.DUMMYFUNCTION("""COMPUTED_VALUE"""),"Doxycycline")</f>
        <v>Doxycycline</v>
      </c>
      <c r="E12" s="697" t="str">
        <f>IFERROR(__xludf.DUMMYFUNCTION("""COMPUTED_VALUE"""),"100mg")</f>
        <v>100mg</v>
      </c>
      <c r="F12" s="697">
        <f>IFERROR(__xludf.DUMMYFUNCTION("""COMPUTED_VALUE"""),35.0)</f>
        <v>35</v>
      </c>
      <c r="G12" s="697" t="str">
        <f>IFERROR(__xludf.DUMMYFUNCTION("""COMPUTED_VALUE"""),"3500mg")</f>
        <v>3500mg</v>
      </c>
      <c r="H12" s="697"/>
      <c r="I12" s="697"/>
      <c r="J12" s="697"/>
      <c r="K12" s="697"/>
      <c r="L12" s="697"/>
      <c r="M12" s="697"/>
      <c r="N12" s="697"/>
      <c r="O12" s="697"/>
      <c r="P12" s="697"/>
      <c r="Q12" s="697"/>
      <c r="R12" s="697"/>
      <c r="S12" s="697"/>
      <c r="T12" s="697"/>
      <c r="U12" s="697"/>
      <c r="V12" s="697"/>
      <c r="W12" s="697"/>
      <c r="X12" s="697"/>
      <c r="Y12" s="697"/>
      <c r="Z12" s="698">
        <f>IFERROR(__xludf.DUMMYFUNCTION("""COMPUTED_VALUE"""),0.933)</f>
        <v>0.933</v>
      </c>
      <c r="AA12" s="697"/>
      <c r="AB12" s="697"/>
      <c r="AC12" s="697"/>
      <c r="AD12" s="697"/>
      <c r="AE12" s="697"/>
      <c r="AF12" s="697"/>
      <c r="AG12" s="697"/>
      <c r="AH12" s="697"/>
      <c r="AI12" s="697"/>
      <c r="AJ12" s="697"/>
      <c r="AK12" s="697"/>
      <c r="AL12" s="697"/>
      <c r="AM12" s="697"/>
      <c r="AN12" s="698">
        <f>IFERROR(__xludf.DUMMYFUNCTION("""COMPUTED_VALUE"""),0.933)</f>
        <v>0.933</v>
      </c>
      <c r="AO12" s="698">
        <f>IFERROR(__xludf.DUMMYFUNCTION("""COMPUTED_VALUE"""),0.933)</f>
        <v>0.933</v>
      </c>
      <c r="AP12" s="697" t="str">
        <f>IFERROR(__xludf.DUMMYFUNCTION("""COMPUTED_VALUE"""),"Mf reduction")</f>
        <v>Mf reduction</v>
      </c>
      <c r="AQ12" s="697" t="str">
        <f>IFERROR(__xludf.DUMMYFUNCTION("""COMPUTED_VALUE"""),"Assin district, Central Region of Ghana.")</f>
        <v>Assin district, Central Region of Ghana.</v>
      </c>
      <c r="AR12" s="697">
        <f>IFERROR(__xludf.DUMMYFUNCTION("""COMPUTED_VALUE"""),2006.0)</f>
        <v>2006</v>
      </c>
      <c r="AS12" s="697">
        <f>IFERROR(__xludf.DUMMYFUNCTION("""COMPUTED_VALUE"""),17.0)</f>
        <v>17</v>
      </c>
      <c r="AT12" s="697" t="str">
        <f>IFERROR(__xludf.DUMMYFUNCTION("""COMPUTED_VALUE"""),"27 months")</f>
        <v>27 months</v>
      </c>
      <c r="AU12" s="699" t="str">
        <f>IFERROR(__xludf.DUMMYFUNCTION("""COMPUTED_VALUE"""),"Hoerauf, A.; Specht, S.; Marfo-Debrekyei, Y.; Büttner, M; Debrah, Y.A.; Mand, S.; Batsa, L.; Brattig, N.; Konadu, P.; Bandi, C.; Fimmers, R.; Adjei, O.; Büttner, D.W. (2009) Efficacy of 5-week doxycycline treatment on adult Onchocerca volvulus. Parasitol "&amp;"Res 104: 437-447. doi: 10.1007/s00436-008-1217-8.")</f>
        <v>Hoerauf, A.; Specht, S.; Marfo-Debrekyei, Y.; Büttner, M; Debrah, Y.A.; Mand, S.; Batsa, L.; Brattig, N.; Konadu, P.; Bandi, C.; Fimmers, R.; Adjei, O.; Büttner, D.W. (2009) Efficacy of 5-week doxycycline treatment on adult Onchocerca volvulus. Parasitol Res 104: 437-447. doi: 10.1007/s00436-008-1217-8.</v>
      </c>
      <c r="AV12" s="697" t="str">
        <f>IFERROR(__xludf.DUMMYFUNCTION("""COMPUTED_VALUE"""),"11 M 6 F")</f>
        <v>11 M 6 F</v>
      </c>
      <c r="AW12" s="697" t="str">
        <f>IFERROR(__xludf.DUMMYFUNCTION("""COMPUTED_VALUE"""),"Mean Age + Range 35(25-49)")</f>
        <v>Mean Age + Range 35(25-49)</v>
      </c>
      <c r="AX12" s="697"/>
      <c r="AY12" s="697" t="str">
        <f>IFERROR(__xludf.DUMMYFUNCTION("""COMPUTED_VALUE"""),"No")</f>
        <v>No</v>
      </c>
      <c r="AZ12" s="697" t="str">
        <f>IFERROR(__xludf.DUMMYFUNCTION("""COMPUTED_VALUE"""),"Yes")</f>
        <v>Yes</v>
      </c>
      <c r="BA12" s="697"/>
      <c r="BB12" s="697"/>
      <c r="BC12" s="697" t="str">
        <f>IFERROR(__xludf.DUMMYFUNCTION("""COMPUTED_VALUE"""),"Ivermectin remains the drug of choice for the areas which are currently covered by the African Programme for Onchocerciasis Control, because doxycycline would have to be frequently re-administered to people that have already beentreated in order to cure n"&amp;"ew infection.")</f>
        <v>Ivermectin remains the drug of choice for the areas which are currently covered by the African Programme for Onchocerciasis Control, because doxycycline would have to be frequently re-administered to people that have already beentreated in order to cure new infection.</v>
      </c>
      <c r="BD12" s="697" t="str">
        <f>IFERROR(__xludf.DUMMYFUNCTION("""COMPUTED_VALUE"""),"2 patiens out of the enrolled 24 were excluded because they were absent too often during treatment.")</f>
        <v>2 patiens out of the enrolled 24 were excluded because they were absent too often during treatment.</v>
      </c>
      <c r="BE12" s="697"/>
      <c r="BF12" s="697"/>
      <c r="BG12" s="697" t="str">
        <f>IFERROR(__xludf.DUMMYFUNCTION("""COMPUTED_VALUE"""),"x")</f>
        <v>x</v>
      </c>
    </row>
    <row r="13">
      <c r="A13" s="697"/>
      <c r="B13" s="697" t="str">
        <f>IFERROR(__xludf.DUMMYFUNCTION("""COMPUTED_VALUE"""),"Specht et al. ")</f>
        <v>Specht et al. </v>
      </c>
      <c r="C13" s="697" t="str">
        <f>IFERROR(__xludf.DUMMYFUNCTION("""COMPUTED_VALUE"""),"Ghana")</f>
        <v>Ghana</v>
      </c>
      <c r="D13" s="697" t="str">
        <f>IFERROR(__xludf.DUMMYFUNCTION("""COMPUTED_VALUE"""),"Placebo, untreated")</f>
        <v>Placebo, untreated</v>
      </c>
      <c r="E13" s="697"/>
      <c r="F13" s="697"/>
      <c r="G13" s="697"/>
      <c r="H13" s="697"/>
      <c r="I13" s="697"/>
      <c r="J13" s="697"/>
      <c r="K13" s="697"/>
      <c r="L13" s="697"/>
      <c r="M13" s="697"/>
      <c r="N13" s="697"/>
      <c r="O13" s="697"/>
      <c r="P13" s="697"/>
      <c r="Q13" s="697"/>
      <c r="R13" s="697"/>
      <c r="S13" s="697"/>
      <c r="T13" s="697"/>
      <c r="U13" s="697"/>
      <c r="V13" s="697"/>
      <c r="W13" s="697"/>
      <c r="X13" s="697"/>
      <c r="Y13" s="697"/>
      <c r="Z13" s="697"/>
      <c r="AA13" s="697"/>
      <c r="AB13" s="697"/>
      <c r="AC13" s="697"/>
      <c r="AD13" s="697"/>
      <c r="AE13" s="697" t="str">
        <f>IFERROR(__xludf.DUMMYFUNCTION("""COMPUTED_VALUE"""),"n/a")</f>
        <v>n/a</v>
      </c>
      <c r="AF13" s="697"/>
      <c r="AG13" s="697"/>
      <c r="AH13" s="697"/>
      <c r="AI13" s="697"/>
      <c r="AJ13" s="697"/>
      <c r="AK13" s="697" t="str">
        <f>IFERROR(__xludf.DUMMYFUNCTION("""COMPUTED_VALUE"""),"Nodulectomy: Living females 89/109 82%; Living males 39/41 95%")</f>
        <v>Nodulectomy: Living females 89/109 82%; Living males 39/41 95%</v>
      </c>
      <c r="AL13" s="697"/>
      <c r="AM13" s="697"/>
      <c r="AN13" s="697">
        <f>IFERROR(__xludf.DUMMYFUNCTION("""COMPUTED_VALUE"""),0.0)</f>
        <v>0</v>
      </c>
      <c r="AO13" s="698">
        <f>IFERROR(__xludf.DUMMYFUNCTION("""COMPUTED_VALUE"""),0.0)</f>
        <v>0</v>
      </c>
      <c r="AP13" s="697" t="str">
        <f>IFERROR(__xludf.DUMMYFUNCTION("""COMPUTED_VALUE""")," Nodulectomy: dead worms")</f>
        <v> Nodulectomy: dead worms</v>
      </c>
      <c r="AQ13" s="697" t="str">
        <f>IFERROR(__xludf.DUMMYFUNCTION("""COMPUTED_VALUE"""),"Upper Denkyira district in the Central Region of Ghana")</f>
        <v>Upper Denkyira district in the Central Region of Ghana</v>
      </c>
      <c r="AR13" s="697">
        <f>IFERROR(__xludf.DUMMYFUNCTION("""COMPUTED_VALUE"""),2002.0)</f>
        <v>2002</v>
      </c>
      <c r="AS13" s="697">
        <f>IFERROR(__xludf.DUMMYFUNCTION("""COMPUTED_VALUE"""),9.0)</f>
        <v>9</v>
      </c>
      <c r="AT13" s="697" t="str">
        <f>IFERROR(__xludf.DUMMYFUNCTION("""COMPUTED_VALUE"""),"18 months")</f>
        <v>18 months</v>
      </c>
      <c r="AU13" s="699" t="str">
        <f>IFERROR(__xludf.DUMMYFUNCTION("""COMPUTED_VALUE"""),"Specht, S. et al. (2008). Efficacy of 2- and 4- week of Rifampicin treatment on the Wolbachia of Onchocerca volvulus")</f>
        <v>Specht, S. et al. (2008). Efficacy of 2- and 4- week of Rifampicin treatment on the Wolbachia of Onchocerca volvulus</v>
      </c>
      <c r="AV13" s="697" t="str">
        <f>IFERROR(__xludf.DUMMYFUNCTION("""COMPUTED_VALUE"""),"5 M/4 F")</f>
        <v>5 M/4 F</v>
      </c>
      <c r="AW13" s="697" t="str">
        <f>IFERROR(__xludf.DUMMYFUNCTION("""COMPUTED_VALUE"""),"Mean Age + Range: 40(25-50)")</f>
        <v>Mean Age + Range: 40(25-50)</v>
      </c>
      <c r="AX13" s="697" t="str">
        <f>IFERROR(__xludf.DUMMYFUNCTION("""COMPUTED_VALUE"""),"Individuals eligible for treatment were adult men and for untreated controls men and women, all aged 18–60 years. Participants with a body weight of at least 40 kg, in good health without any clinical condition requiring chronic medication, had to be nodu"&amp;"le (onchocercoma) carriers.")</f>
        <v>Individuals eligible for treatment were adult men and for untreated controls men and women, all aged 18–60 years. Participants with a body weight of at least 40 kg, in good health without any clinical condition requiring chronic medication, had to be nodule (onchocercoma) carriers.</v>
      </c>
      <c r="AY13" s="697" t="str">
        <f>IFERROR(__xludf.DUMMYFUNCTION("""COMPUTED_VALUE"""),"No")</f>
        <v>No</v>
      </c>
      <c r="AZ13" s="697" t="str">
        <f>IFERROR(__xludf.DUMMYFUNCTION("""COMPUTED_VALUE"""),"No")</f>
        <v>No</v>
      </c>
      <c r="BA13" s="697"/>
      <c r="BB13" s="697"/>
      <c r="BC13" s="697" t="str">
        <f>IFERROR(__xludf.DUMMYFUNCTION("""COMPUTED_VALUE"""),"The results from this preliminary study suggest that rifampicin does have the potential to be further developed as anti-filarial drug.")</f>
        <v>The results from this preliminary study suggest that rifampicin does have the potential to be further developed as anti-filarial drug.</v>
      </c>
      <c r="BD13" s="697" t="str">
        <f>IFERROR(__xludf.DUMMYFUNCTION("""COMPUTED_VALUE"""),"One patient dropped out after 7 days of treatment, one patient of the 4-week group showed increased liver enzymes after 2 weeks of treatment, so treatment was therefore stopped.")</f>
        <v>One patient dropped out after 7 days of treatment, one patient of the 4-week group showed increased liver enzymes after 2 weeks of treatment, so treatment was therefore stopped.</v>
      </c>
      <c r="BE13" s="697"/>
      <c r="BF13" s="697"/>
      <c r="BG13" s="697"/>
    </row>
    <row r="14">
      <c r="A14" s="697"/>
      <c r="B14" s="697" t="str">
        <f>IFERROR(__xludf.DUMMYFUNCTION("""COMPUTED_VALUE"""),"Specht et al. ")</f>
        <v>Specht et al. </v>
      </c>
      <c r="C14" s="697" t="str">
        <f>IFERROR(__xludf.DUMMYFUNCTION("""COMPUTED_VALUE"""),"Ghana")</f>
        <v>Ghana</v>
      </c>
      <c r="D14" s="697" t="str">
        <f>IFERROR(__xludf.DUMMYFUNCTION("""COMPUTED_VALUE"""),"Rifampicin")</f>
        <v>Rifampicin</v>
      </c>
      <c r="E14" s="697" t="str">
        <f>IFERROR(__xludf.DUMMYFUNCTION("""COMPUTED_VALUE"""),"10mg/kg")</f>
        <v>10mg/kg</v>
      </c>
      <c r="F14" s="697">
        <f>IFERROR(__xludf.DUMMYFUNCTION("""COMPUTED_VALUE"""),14.0)</f>
        <v>14</v>
      </c>
      <c r="G14" s="697" t="str">
        <f>IFERROR(__xludf.DUMMYFUNCTION("""COMPUTED_VALUE"""),"1400mg/kg")</f>
        <v>1400mg/kg</v>
      </c>
      <c r="H14" s="697"/>
      <c r="I14" s="697"/>
      <c r="J14" s="697"/>
      <c r="K14" s="697"/>
      <c r="L14" s="697"/>
      <c r="M14" s="697"/>
      <c r="N14" s="697"/>
      <c r="O14" s="700">
        <f>IFERROR(__xludf.DUMMYFUNCTION("""COMPUTED_VALUE"""),1.0)</f>
        <v>1</v>
      </c>
      <c r="P14" s="697"/>
      <c r="Q14" s="697"/>
      <c r="R14" s="697"/>
      <c r="S14" s="697"/>
      <c r="T14" s="697"/>
      <c r="U14" s="697"/>
      <c r="V14" s="697"/>
      <c r="W14" s="697"/>
      <c r="X14" s="700">
        <f>IFERROR(__xludf.DUMMYFUNCTION("""COMPUTED_VALUE"""),0.78)</f>
        <v>0.78</v>
      </c>
      <c r="Y14" s="697"/>
      <c r="Z14" s="697"/>
      <c r="AA14" s="697"/>
      <c r="AB14" s="697"/>
      <c r="AC14" s="697"/>
      <c r="AD14" s="697"/>
      <c r="AE14" s="697" t="str">
        <f>IFERROR(__xludf.DUMMYFUNCTION("""COMPUTED_VALUE"""),"n/a")</f>
        <v>n/a</v>
      </c>
      <c r="AF14" s="697"/>
      <c r="AG14" s="697"/>
      <c r="AH14" s="697"/>
      <c r="AI14" s="697"/>
      <c r="AJ14" s="697"/>
      <c r="AK14" s="697"/>
      <c r="AL14" s="697"/>
      <c r="AM14" s="697"/>
      <c r="AN14" s="700">
        <f>IFERROR(__xludf.DUMMYFUNCTION("""COMPUTED_VALUE"""),1.0)</f>
        <v>1</v>
      </c>
      <c r="AO14" s="698">
        <f>IFERROR(__xludf.DUMMYFUNCTION("""COMPUTED_VALUE"""),1.0)</f>
        <v>1</v>
      </c>
      <c r="AP14" s="697" t="str">
        <f>IFERROR(__xludf.DUMMYFUNCTION("""COMPUTED_VALUE""")," Nodulectomy: dead worms")</f>
        <v> Nodulectomy: dead worms</v>
      </c>
      <c r="AQ14" s="697" t="str">
        <f>IFERROR(__xludf.DUMMYFUNCTION("""COMPUTED_VALUE"""),"Upper Denkyira district in the Central Region of Ghana")</f>
        <v>Upper Denkyira district in the Central Region of Ghana</v>
      </c>
      <c r="AR14" s="697">
        <f>IFERROR(__xludf.DUMMYFUNCTION("""COMPUTED_VALUE"""),2002.0)</f>
        <v>2002</v>
      </c>
      <c r="AS14" s="697">
        <f>IFERROR(__xludf.DUMMYFUNCTION("""COMPUTED_VALUE"""),10.0)</f>
        <v>10</v>
      </c>
      <c r="AT14" s="697" t="str">
        <f>IFERROR(__xludf.DUMMYFUNCTION("""COMPUTED_VALUE"""),"18 months")</f>
        <v>18 months</v>
      </c>
      <c r="AU14" s="699" t="str">
        <f>IFERROR(__xludf.DUMMYFUNCTION("""COMPUTED_VALUE"""),"Specht, S. et al. (2008). Efficacy of 2- and 4- week of Rifampicin treatment on the Wolbachia of Onchocerca volvulus")</f>
        <v>Specht, S. et al. (2008). Efficacy of 2- and 4- week of Rifampicin treatment on the Wolbachia of Onchocerca volvulus</v>
      </c>
      <c r="AV14" s="697" t="str">
        <f>IFERROR(__xludf.DUMMYFUNCTION("""COMPUTED_VALUE"""),"10 M/0 F")</f>
        <v>10 M/0 F</v>
      </c>
      <c r="AW14" s="697" t="str">
        <f>IFERROR(__xludf.DUMMYFUNCTION("""COMPUTED_VALUE"""),"Mean Age + Range: 39(23-48)")</f>
        <v>Mean Age + Range: 39(23-48)</v>
      </c>
      <c r="AX14" s="697"/>
      <c r="AY14" s="697" t="str">
        <f>IFERROR(__xludf.DUMMYFUNCTION("""COMPUTED_VALUE"""),"No")</f>
        <v>No</v>
      </c>
      <c r="AZ14" s="697" t="str">
        <f>IFERROR(__xludf.DUMMYFUNCTION("""COMPUTED_VALUE"""),"No")</f>
        <v>No</v>
      </c>
      <c r="BA14" s="697"/>
      <c r="BB14" s="697"/>
      <c r="BC14" s="697" t="str">
        <f>IFERROR(__xludf.DUMMYFUNCTION("""COMPUTED_VALUE"""),"The results from this preliminary study suggest that rifampicin does have the potential to be further developed as anti-filarial drug.")</f>
        <v>The results from this preliminary study suggest that rifampicin does have the potential to be further developed as anti-filarial drug.</v>
      </c>
      <c r="BD14" s="697"/>
      <c r="BE14" s="697"/>
      <c r="BF14" s="697"/>
      <c r="BG14" s="697"/>
    </row>
    <row r="15">
      <c r="A15" s="697"/>
      <c r="B15" s="697" t="str">
        <f>IFERROR(__xludf.DUMMYFUNCTION("""COMPUTED_VALUE"""),"Specht et al. ")</f>
        <v>Specht et al. </v>
      </c>
      <c r="C15" s="697" t="str">
        <f>IFERROR(__xludf.DUMMYFUNCTION("""COMPUTED_VALUE"""),"Ghana")</f>
        <v>Ghana</v>
      </c>
      <c r="D15" s="697" t="str">
        <f>IFERROR(__xludf.DUMMYFUNCTION("""COMPUTED_VALUE"""),"Rifampicin")</f>
        <v>Rifampicin</v>
      </c>
      <c r="E15" s="697" t="str">
        <f>IFERROR(__xludf.DUMMYFUNCTION("""COMPUTED_VALUE"""),"10mg/kg")</f>
        <v>10mg/kg</v>
      </c>
      <c r="F15" s="697">
        <f>IFERROR(__xludf.DUMMYFUNCTION("""COMPUTED_VALUE"""),28.0)</f>
        <v>28</v>
      </c>
      <c r="G15" s="697" t="str">
        <f>IFERROR(__xludf.DUMMYFUNCTION("""COMPUTED_VALUE"""),"2800mg/kg")</f>
        <v>2800mg/kg</v>
      </c>
      <c r="H15" s="697"/>
      <c r="I15" s="697"/>
      <c r="J15" s="697"/>
      <c r="K15" s="697"/>
      <c r="L15" s="697"/>
      <c r="M15" s="697"/>
      <c r="N15" s="697"/>
      <c r="O15" s="697"/>
      <c r="P15" s="697"/>
      <c r="Q15" s="697"/>
      <c r="R15" s="697"/>
      <c r="S15" s="697"/>
      <c r="T15" s="697"/>
      <c r="U15" s="697"/>
      <c r="V15" s="697"/>
      <c r="W15" s="697"/>
      <c r="X15" s="697"/>
      <c r="Y15" s="697"/>
      <c r="Z15" s="697"/>
      <c r="AA15" s="697"/>
      <c r="AB15" s="697"/>
      <c r="AC15" s="697"/>
      <c r="AD15" s="697"/>
      <c r="AE15" s="697" t="str">
        <f>IFERROR(__xludf.DUMMYFUNCTION("""COMPUTED_VALUE"""),"n/a")</f>
        <v>n/a</v>
      </c>
      <c r="AF15" s="697"/>
      <c r="AG15" s="697"/>
      <c r="AH15" s="697"/>
      <c r="AI15" s="697"/>
      <c r="AJ15" s="697"/>
      <c r="AK15" s="697" t="str">
        <f>IFERROR(__xludf.DUMMYFUNCTION("""COMPUTED_VALUE"""),"Nodulectomy: Living females 96/113 85%; 11/16 69%")</f>
        <v>Nodulectomy: Living females 96/113 85%; 11/16 69%</v>
      </c>
      <c r="AL15" s="697"/>
      <c r="AM15" s="697"/>
      <c r="AN15" s="697">
        <f>IFERROR(__xludf.DUMMYFUNCTION("""COMPUTED_VALUE"""),0.0)</f>
        <v>0</v>
      </c>
      <c r="AO15" s="698">
        <f>IFERROR(__xludf.DUMMYFUNCTION("""COMPUTED_VALUE"""),0.0)</f>
        <v>0</v>
      </c>
      <c r="AP15" s="697" t="str">
        <f>IFERROR(__xludf.DUMMYFUNCTION("""COMPUTED_VALUE""")," Nodulectomy: dead worms")</f>
        <v> Nodulectomy: dead worms</v>
      </c>
      <c r="AQ15" s="697" t="str">
        <f>IFERROR(__xludf.DUMMYFUNCTION("""COMPUTED_VALUE"""),"Upper Denkyira district in the Central Region of Ghana")</f>
        <v>Upper Denkyira district in the Central Region of Ghana</v>
      </c>
      <c r="AR15" s="697">
        <f>IFERROR(__xludf.DUMMYFUNCTION("""COMPUTED_VALUE"""),2002.0)</f>
        <v>2002</v>
      </c>
      <c r="AS15" s="697">
        <f>IFERROR(__xludf.DUMMYFUNCTION("""COMPUTED_VALUE"""),7.0)</f>
        <v>7</v>
      </c>
      <c r="AT15" s="697" t="str">
        <f>IFERROR(__xludf.DUMMYFUNCTION("""COMPUTED_VALUE"""),"18 months")</f>
        <v>18 months</v>
      </c>
      <c r="AU15" s="699" t="str">
        <f>IFERROR(__xludf.DUMMYFUNCTION("""COMPUTED_VALUE"""),"Specht, S. et al. (2008). Efficacy of 2- and 4- week of Rifampicin treatment on the Wolbachia of Onchocerca volvulus")</f>
        <v>Specht, S. et al. (2008). Efficacy of 2- and 4- week of Rifampicin treatment on the Wolbachia of Onchocerca volvulus</v>
      </c>
      <c r="AV15" s="697" t="str">
        <f>IFERROR(__xludf.DUMMYFUNCTION("""COMPUTED_VALUE"""),"7 M/0 F")</f>
        <v>7 M/0 F</v>
      </c>
      <c r="AW15" s="697" t="str">
        <f>IFERROR(__xludf.DUMMYFUNCTION("""COMPUTED_VALUE"""),"Mean Age + Range 36(21-58)")</f>
        <v>Mean Age + Range 36(21-58)</v>
      </c>
      <c r="AX15" s="697"/>
      <c r="AY15" s="697" t="str">
        <f>IFERROR(__xludf.DUMMYFUNCTION("""COMPUTED_VALUE"""),"No")</f>
        <v>No</v>
      </c>
      <c r="AZ15" s="697" t="str">
        <f>IFERROR(__xludf.DUMMYFUNCTION("""COMPUTED_VALUE"""),"No")</f>
        <v>No</v>
      </c>
      <c r="BA15" s="697"/>
      <c r="BB15" s="697"/>
      <c r="BC15" s="697" t="str">
        <f>IFERROR(__xludf.DUMMYFUNCTION("""COMPUTED_VALUE"""),"The results from this preliminary study suggest that rifampicin does have the potential to be further developed as anti-filarial drug.")</f>
        <v>The results from this preliminary study suggest that rifampicin does have the potential to be further developed as anti-filarial drug.</v>
      </c>
      <c r="BD15" s="697"/>
      <c r="BE15" s="697"/>
      <c r="BF15" s="697"/>
      <c r="BG15" s="697"/>
    </row>
    <row r="16">
      <c r="A16" s="697"/>
      <c r="B16" s="697" t="str">
        <f>IFERROR(__xludf.DUMMYFUNCTION("""COMPUTED_VALUE"""),"Hoerauf et al.")</f>
        <v>Hoerauf et al.</v>
      </c>
      <c r="C16" s="697" t="str">
        <f>IFERROR(__xludf.DUMMYFUNCTION("""COMPUTED_VALUE"""),"Ghana")</f>
        <v>Ghana</v>
      </c>
      <c r="D16" s="697" t="str">
        <f>IFERROR(__xludf.DUMMYFUNCTION("""COMPUTED_VALUE"""),"Doxycycline &amp; Ivermectin")</f>
        <v>Doxycycline &amp; Ivermectin</v>
      </c>
      <c r="E16" s="697" t="str">
        <f>IFERROR(__xludf.DUMMYFUNCTION("""COMPUTED_VALUE"""),"100mg; 150ug/kg")</f>
        <v>100mg; 150ug/kg</v>
      </c>
      <c r="F16" s="697" t="str">
        <f>IFERROR(__xludf.DUMMYFUNCTION("""COMPUTED_VALUE"""),"42; 1")</f>
        <v>42; 1</v>
      </c>
      <c r="G16" s="697" t="str">
        <f>IFERROR(__xludf.DUMMYFUNCTION("""COMPUTED_VALUE"""),"4200mg; 150ug/kg")</f>
        <v>4200mg; 150ug/kg</v>
      </c>
      <c r="H16" s="697"/>
      <c r="I16" s="697"/>
      <c r="J16" s="697"/>
      <c r="K16" s="697"/>
      <c r="L16" s="697"/>
      <c r="M16" s="697"/>
      <c r="N16" s="697"/>
      <c r="O16" s="697"/>
      <c r="P16" s="697"/>
      <c r="Q16" s="697"/>
      <c r="R16" s="697"/>
      <c r="S16" s="700">
        <f>IFERROR(__xludf.DUMMYFUNCTION("""COMPUTED_VALUE"""),0.8)</f>
        <v>0.8</v>
      </c>
      <c r="T16" s="697"/>
      <c r="U16" s="697"/>
      <c r="V16" s="700">
        <f>IFERROR(__xludf.DUMMYFUNCTION("""COMPUTED_VALUE"""),0.81)</f>
        <v>0.81</v>
      </c>
      <c r="W16" s="697"/>
      <c r="X16" s="700">
        <f>IFERROR(__xludf.DUMMYFUNCTION("""COMPUTED_VALUE"""),0.69)</f>
        <v>0.69</v>
      </c>
      <c r="Y16" s="697"/>
      <c r="Z16" s="697"/>
      <c r="AA16" s="697"/>
      <c r="AB16" s="697"/>
      <c r="AC16" s="697"/>
      <c r="AD16" s="697"/>
      <c r="AE16" s="697" t="str">
        <f>IFERROR(__xludf.DUMMYFUNCTION("""COMPUTED_VALUE"""),"n/a")</f>
        <v>n/a</v>
      </c>
      <c r="AF16" s="697"/>
      <c r="AG16" s="697"/>
      <c r="AH16" s="697"/>
      <c r="AI16" s="697"/>
      <c r="AJ16" s="697"/>
      <c r="AK16" s="697"/>
      <c r="AL16" s="697"/>
      <c r="AM16" s="697"/>
      <c r="AN16" s="700">
        <f>IFERROR(__xludf.DUMMYFUNCTION("""COMPUTED_VALUE"""),0.8)</f>
        <v>0.8</v>
      </c>
      <c r="AO16" s="698">
        <f>IFERROR(__xludf.DUMMYFUNCTION("""COMPUTED_VALUE"""),0.8)</f>
        <v>0.8</v>
      </c>
      <c r="AP16" s="697" t="str">
        <f>IFERROR(__xludf.DUMMYFUNCTION("""COMPUTED_VALUE""")," Nodulectomy: dead worms")</f>
        <v> Nodulectomy: dead worms</v>
      </c>
      <c r="AQ16" s="697" t="str">
        <f>IFERROR(__xludf.DUMMYFUNCTION("""COMPUTED_VALUE"""),"Upper Denkyira district of the Central Region of Ghana")</f>
        <v>Upper Denkyira district of the Central Region of Ghana</v>
      </c>
      <c r="AR16" s="697">
        <f>IFERROR(__xludf.DUMMYFUNCTION("""COMPUTED_VALUE"""),2001.0)</f>
        <v>2001</v>
      </c>
      <c r="AS16" s="697" t="str">
        <f>IFERROR(__xludf.DUMMYFUNCTION("""COMPUTED_VALUE"""),"16; 13; 4")</f>
        <v>16; 13; 4</v>
      </c>
      <c r="AT16" s="697" t="str">
        <f>IFERROR(__xludf.DUMMYFUNCTION("""COMPUTED_VALUE"""),"18 months")</f>
        <v>18 months</v>
      </c>
      <c r="AU16" s="699" t="str">
        <f>IFERROR(__xludf.DUMMYFUNCTION("""COMPUTED_VALUE"""),"Hoeraauf, A.; Mand, S.; Volkmann, L.; Büttner, M.; Marfo-Debrekyei, Y.; Taylor, M.; Adjei, O.; Büttner, D.W. (2003) Doxycycline in the treatment of human onchocerciasis kinetics of Wolbachia endobacteria reduction and of inhibition of embryogenesis in fem"&amp;"ale Onchocerca worms. Microbes and Infection 5: 261-273.")</f>
        <v>Hoeraauf, A.; Mand, S.; Volkmann, L.; Büttner, M.; Marfo-Debrekyei, Y.; Taylor, M.; Adjei, O.; Büttner, D.W. (2003) Doxycycline in the treatment of human onchocerciasis kinetics of Wolbachia endobacteria reduction and of inhibition of embryogenesis in female Onchocerca worms. Microbes and Infection 5: 261-273.</v>
      </c>
      <c r="AV16" s="697"/>
      <c r="AW16" s="697"/>
      <c r="AX16" s="697"/>
      <c r="AY16" s="697" t="str">
        <f>IFERROR(__xludf.DUMMYFUNCTION("""COMPUTED_VALUE"""),"No")</f>
        <v>No</v>
      </c>
      <c r="AZ16" s="697" t="str">
        <f>IFERROR(__xludf.DUMMYFUNCTION("""COMPUTED_VALUE"""),"No")</f>
        <v>No</v>
      </c>
      <c r="BA16" s="697"/>
      <c r="BB16" s="697"/>
      <c r="BC16" s="697" t="str">
        <f>IFERROR(__xludf.DUMMYFUNCTION("""COMPUTED_VALUE"""),"Due to its long-lasting inhibition of embryogenesis, doxycycline presents an additional strategy for the treatment of onchocerciasis and control of Onchocerca microfilariae transmission. ")</f>
        <v>Due to its long-lasting inhibition of embryogenesis, doxycycline presents an additional strategy for the treatment of onchocerciasis and control of Onchocerca microfilariae transmission. </v>
      </c>
      <c r="BD16" s="697" t="str">
        <f>IFERROR(__xludf.DUMMYFUNCTION("""COMPUTED_VALUE"""),"In accordance with the exclusion criteria, six people with elevated values of liver enzymes and two people whose participation was irregular were excluded. ")</f>
        <v>In accordance with the exclusion criteria, six people with elevated values of liver enzymes and two people whose participation was irregular were excluded. </v>
      </c>
      <c r="BE16" s="697"/>
      <c r="BF16" s="697"/>
      <c r="BG16" s="697"/>
    </row>
    <row r="17">
      <c r="A17" s="697"/>
      <c r="B17" s="697" t="str">
        <f>IFERROR(__xludf.DUMMYFUNCTION("""COMPUTED_VALUE"""),"Awadzi et al")</f>
        <v>Awadzi et al</v>
      </c>
      <c r="C17" s="697" t="str">
        <f>IFERROR(__xludf.DUMMYFUNCTION("""COMPUTED_VALUE"""),"Ghana")</f>
        <v>Ghana</v>
      </c>
      <c r="D17" s="697" t="str">
        <f>IFERROR(__xludf.DUMMYFUNCTION("""COMPUTED_VALUE"""),"Ivermectin")</f>
        <v>Ivermectin</v>
      </c>
      <c r="E17" s="697" t="str">
        <f>IFERROR(__xludf.DUMMYFUNCTION("""COMPUTED_VALUE"""),"150ug/kg")</f>
        <v>150ug/kg</v>
      </c>
      <c r="F17" s="697">
        <f>IFERROR(__xludf.DUMMYFUNCTION("""COMPUTED_VALUE"""),1.0)</f>
        <v>1</v>
      </c>
      <c r="G17" s="697" t="str">
        <f>IFERROR(__xludf.DUMMYFUNCTION("""COMPUTED_VALUE"""),"150 ug/kg")</f>
        <v>150 ug/kg</v>
      </c>
      <c r="H17" s="697"/>
      <c r="I17" s="697"/>
      <c r="J17" s="697"/>
      <c r="K17" s="697"/>
      <c r="L17" s="697"/>
      <c r="M17" s="697"/>
      <c r="N17" s="697"/>
      <c r="O17" s="697"/>
      <c r="P17" s="697"/>
      <c r="Q17" s="697"/>
      <c r="R17" s="697"/>
      <c r="S17" s="697"/>
      <c r="T17" s="697"/>
      <c r="U17" s="697"/>
      <c r="V17" s="697"/>
      <c r="W17" s="700">
        <f>IFERROR(__xludf.DUMMYFUNCTION("""COMPUTED_VALUE"""),0.88)</f>
        <v>0.88</v>
      </c>
      <c r="X17" s="697"/>
      <c r="Y17" s="697"/>
      <c r="Z17" s="697"/>
      <c r="AA17" s="697"/>
      <c r="AB17" s="697"/>
      <c r="AC17" s="697"/>
      <c r="AD17" s="697"/>
      <c r="AE17" s="697" t="str">
        <f>IFERROR(__xludf.DUMMYFUNCTION("""COMPUTED_VALUE"""),"n/a")</f>
        <v>n/a</v>
      </c>
      <c r="AF17" s="697"/>
      <c r="AG17" s="697"/>
      <c r="AH17" s="697"/>
      <c r="AI17" s="697"/>
      <c r="AJ17" s="697"/>
      <c r="AK17" s="697"/>
      <c r="AL17" s="697"/>
      <c r="AM17" s="697"/>
      <c r="AN17" s="700">
        <f>IFERROR(__xludf.DUMMYFUNCTION("""COMPUTED_VALUE"""),0.88)</f>
        <v>0.88</v>
      </c>
      <c r="AO17" s="698">
        <f>IFERROR(__xludf.DUMMYFUNCTION("""COMPUTED_VALUE"""),0.88)</f>
        <v>0.88</v>
      </c>
      <c r="AP17" s="697" t="str">
        <f>IFERROR(__xludf.DUMMYFUNCTION("""COMPUTED_VALUE"""),"Mf reduction")</f>
        <v>Mf reduction</v>
      </c>
      <c r="AQ17" s="697" t="str">
        <f>IFERROR(__xludf.DUMMYFUNCTION("""COMPUTED_VALUE"""),"South-eastern Ghana")</f>
        <v>South-eastern Ghana</v>
      </c>
      <c r="AR17" s="697">
        <f>IFERROR(__xludf.DUMMYFUNCTION("""COMPUTED_VALUE"""),2008.0)</f>
        <v>2008</v>
      </c>
      <c r="AS17" s="697">
        <f>IFERROR(__xludf.DUMMYFUNCTION("""COMPUTED_VALUE"""),45.0)</f>
        <v>45</v>
      </c>
      <c r="AT17" s="697" t="str">
        <f>IFERROR(__xludf.DUMMYFUNCTION("""COMPUTED_VALUE"""),"18 months")</f>
        <v>18 months</v>
      </c>
      <c r="AU17" s="697"/>
      <c r="AV17" s="697" t="str">
        <f>IFERROR(__xludf.DUMMYFUNCTION("""COMPUTED_VALUE"""),"131 M/ 41 F")</f>
        <v>131 M/ 41 F</v>
      </c>
      <c r="AW17" s="697"/>
      <c r="AX17" s="697" t="str">
        <f>IFERROR(__xludf.DUMMYFUNCTION("""COMPUTED_VALUE"""),"""individuals meeting the intensity of infection criteria described above but otherwise regarded as healthy based on physical examination, electrocardiography, medical and medication history, serum biochemistry, haematology and semiquantitative urinalysis"&amp;"""; In the first cohort, participants had a skin mf density &lt;10 mf/mg skin and no ocular involvement (subsequently referred to as ‘mildly infected’). In the second cohort, participants had a skin mf density of 10 mf/mg to 20 mf/mg skin and the sum of micr"&amp;"ofilariae in both anterior chambers of the eye had to be &lt;10 (subsequently referred to as ‘moderately infected’). Participants of the third cohort had skin mf density &gt;20 mf/mg skin without or with any level of ocular involvement (subsequently referred to"&amp;" as ‘severely infected’)")</f>
        <v>"individuals meeting the intensity of infection criteria described above but otherwise regarded as healthy based on physical examination, electrocardiography, medical and medication history, serum biochemistry, haematology and semiquantitative urinalysis"; In the first cohort, participants had a skin mf density &lt;10 mf/mg skin and no ocular involvement (subsequently referred to as ‘mildly infected’). In the second cohort, participants had a skin mf density of 10 mf/mg to 20 mf/mg skin and the sum of microfilariae in both anterior chambers of the eye had to be &lt;10 (subsequently referred to as ‘moderately infected’). Participants of the third cohort had skin mf density &gt;20 mf/mg skin without or with any level of ocular involvement (subsequently referred to as ‘severely infected’)</v>
      </c>
      <c r="AY17" s="697" t="str">
        <f>IFERROR(__xludf.DUMMYFUNCTION("""COMPUTED_VALUE"""),"Yes")</f>
        <v>Yes</v>
      </c>
      <c r="AZ17" s="697" t="str">
        <f>IFERROR(__xludf.DUMMYFUNCTION("""COMPUTED_VALUE"""),"Yes")</f>
        <v>Yes</v>
      </c>
      <c r="BA17" s="697"/>
      <c r="BB17" s="697"/>
      <c r="BC17" s="697" t="str">
        <f>IFERROR(__xludf.DUMMYFUNCTION("""COMPUTED_VALUE"""),"8 mg moxidectin is safe enough to initiate the Phase 3 study which compares 8 mg moxidectin to ivermectin. The investigators agreed based on their blinded assessment that the safety profile in the study was not different from what they had seen in previou"&amp;"s studies with ivermectin using similarly close monitoring of participants for Mazzotti reactions.")</f>
        <v>8 mg moxidectin is safe enough to initiate the Phase 3 study which compares 8 mg moxidectin to ivermectin. The investigators agreed based on their blinded assessment that the safety profile in the study was not different from what they had seen in previous studies with ivermectin using similarly close monitoring of participants for Mazzotti reactions.</v>
      </c>
      <c r="BD17" s="697" t="str">
        <f>IFERROR(__xludf.DUMMYFUNCTION("""COMPUTED_VALUE"""),"6 dropped from study - 1 dead from snake bite, 1 withdrew, 4 lost in follow-up")</f>
        <v>6 dropped from study - 1 dead from snake bite, 1 withdrew, 4 lost in follow-up</v>
      </c>
      <c r="BE17" s="697" t="str">
        <f>IFERROR(__xludf.DUMMYFUNCTION("""COMPUTED_VALUE"""),"94.8% experienced Mazzotti Reactions")</f>
        <v>94.8% experienced Mazzotti Reactions</v>
      </c>
      <c r="BF17" s="697"/>
      <c r="BG17" s="697"/>
    </row>
    <row r="18">
      <c r="A18" s="697"/>
      <c r="B18" s="697" t="str">
        <f>IFERROR(__xludf.DUMMYFUNCTION("""COMPUTED_VALUE"""),"Awadzi et al")</f>
        <v>Awadzi et al</v>
      </c>
      <c r="C18" s="697" t="str">
        <f>IFERROR(__xludf.DUMMYFUNCTION("""COMPUTED_VALUE"""),"Ghana")</f>
        <v>Ghana</v>
      </c>
      <c r="D18" s="697" t="str">
        <f>IFERROR(__xludf.DUMMYFUNCTION("""COMPUTED_VALUE"""),"Moxiedectin")</f>
        <v>Moxiedectin</v>
      </c>
      <c r="E18" s="697" t="str">
        <f>IFERROR(__xludf.DUMMYFUNCTION("""COMPUTED_VALUE"""),"2mg/kg")</f>
        <v>2mg/kg</v>
      </c>
      <c r="F18" s="697">
        <f>IFERROR(__xludf.DUMMYFUNCTION("""COMPUTED_VALUE"""),1.0)</f>
        <v>1</v>
      </c>
      <c r="G18" s="697" t="str">
        <f>IFERROR(__xludf.DUMMYFUNCTION("""COMPUTED_VALUE"""),"2 mg/kg")</f>
        <v>2 mg/kg</v>
      </c>
      <c r="H18" s="697"/>
      <c r="I18" s="697"/>
      <c r="J18" s="697"/>
      <c r="K18" s="697"/>
      <c r="L18" s="697"/>
      <c r="M18" s="697"/>
      <c r="N18" s="697"/>
      <c r="O18" s="697"/>
      <c r="P18" s="697"/>
      <c r="Q18" s="697"/>
      <c r="R18" s="697"/>
      <c r="S18" s="697"/>
      <c r="T18" s="697"/>
      <c r="U18" s="697"/>
      <c r="V18" s="697"/>
      <c r="W18" s="700">
        <f>IFERROR(__xludf.DUMMYFUNCTION("""COMPUTED_VALUE"""),0.97)</f>
        <v>0.97</v>
      </c>
      <c r="X18" s="697"/>
      <c r="Y18" s="697"/>
      <c r="Z18" s="697"/>
      <c r="AA18" s="697"/>
      <c r="AB18" s="697"/>
      <c r="AC18" s="697"/>
      <c r="AD18" s="697"/>
      <c r="AE18" s="697" t="str">
        <f>IFERROR(__xludf.DUMMYFUNCTION("""COMPUTED_VALUE"""),"n/a")</f>
        <v>n/a</v>
      </c>
      <c r="AF18" s="697"/>
      <c r="AG18" s="697"/>
      <c r="AH18" s="697"/>
      <c r="AI18" s="697"/>
      <c r="AJ18" s="697"/>
      <c r="AK18" s="697"/>
      <c r="AL18" s="697"/>
      <c r="AM18" s="697"/>
      <c r="AN18" s="700">
        <f>IFERROR(__xludf.DUMMYFUNCTION("""COMPUTED_VALUE"""),0.97)</f>
        <v>0.97</v>
      </c>
      <c r="AO18" s="698">
        <f>IFERROR(__xludf.DUMMYFUNCTION("""COMPUTED_VALUE"""),0.97)</f>
        <v>0.97</v>
      </c>
      <c r="AP18" s="697" t="str">
        <f>IFERROR(__xludf.DUMMYFUNCTION("""COMPUTED_VALUE"""),"Mf reduction")</f>
        <v>Mf reduction</v>
      </c>
      <c r="AQ18" s="697" t="str">
        <f>IFERROR(__xludf.DUMMYFUNCTION("""COMPUTED_VALUE"""),"South-eastern Ghana")</f>
        <v>South-eastern Ghana</v>
      </c>
      <c r="AR18" s="697">
        <f>IFERROR(__xludf.DUMMYFUNCTION("""COMPUTED_VALUE"""),2008.0)</f>
        <v>2008</v>
      </c>
      <c r="AS18" s="697">
        <f>IFERROR(__xludf.DUMMYFUNCTION("""COMPUTED_VALUE"""),44.0)</f>
        <v>44</v>
      </c>
      <c r="AT18" s="697" t="str">
        <f>IFERROR(__xludf.DUMMYFUNCTION("""COMPUTED_VALUE"""),"18 months")</f>
        <v>18 months</v>
      </c>
      <c r="AU18" s="699" t="str">
        <f>IFERROR(__xludf.DUMMYFUNCTION("""COMPUTED_VALUE"""),"Awadzi K, Opoku NO, Attah SK, Lazdins-Helds J, Kuesel AC. A randomized, single-ascending-dose, ivermectin-controlled, double-blind study of moxidectin in Onchocerca volvulus infection. PLoS Negl Trop Dis. 2014 Jun 26;8(6):e2953. doi: 10.1371/journal.pntd."&amp;"0002953. eCollection 2014 Jun. ")</f>
        <v>Awadzi K, Opoku NO, Attah SK, Lazdins-Helds J, Kuesel AC. A randomized, single-ascending-dose, ivermectin-controlled, double-blind study of moxidectin in Onchocerca volvulus infection. PLoS Negl Trop Dis. 2014 Jun 26;8(6):e2953. doi: 10.1371/journal.pntd.0002953. eCollection 2014 Jun. </v>
      </c>
      <c r="AV18" s="697"/>
      <c r="AW18" s="697"/>
      <c r="AX18" s="697"/>
      <c r="AY18" s="697" t="str">
        <f>IFERROR(__xludf.DUMMYFUNCTION("""COMPUTED_VALUE"""),"Yes")</f>
        <v>Yes</v>
      </c>
      <c r="AZ18" s="697" t="str">
        <f>IFERROR(__xludf.DUMMYFUNCTION("""COMPUTED_VALUE"""),"Yes")</f>
        <v>Yes</v>
      </c>
      <c r="BA18" s="697"/>
      <c r="BB18" s="697"/>
      <c r="BC18" s="697" t="str">
        <f>IFERROR(__xludf.DUMMYFUNCTION("""COMPUTED_VALUE"""),"9 mg moxidectin is safe enough to initiate the Phase 3 study which compares 8 mg moxidectin to ivermectin. The investigators agreed based on their blinded assessment that the safety profile in the study was not different from what they had seen in previou"&amp;"s studies with ivermectin using similarly close monitoring of participants for Mazzotti reactions.")</f>
        <v>9 mg moxidectin is safe enough to initiate the Phase 3 study which compares 8 mg moxidectin to ivermectin. The investigators agreed based on their blinded assessment that the safety profile in the study was not different from what they had seen in previous studies with ivermectin using similarly close monitoring of participants for Mazzotti reactions.</v>
      </c>
      <c r="BD18" s="697" t="str">
        <f>IFERROR(__xludf.DUMMYFUNCTION("""COMPUTED_VALUE"""),"6 dropped from study - 1 dead from snake bite, 1 withdrew, 4 lost in follow-up")</f>
        <v>6 dropped from study - 1 dead from snake bite, 1 withdrew, 4 lost in follow-up</v>
      </c>
      <c r="BE18" s="697"/>
      <c r="BF18" s="697"/>
      <c r="BG18" s="697"/>
    </row>
    <row r="19">
      <c r="A19" s="697"/>
      <c r="B19" s="697" t="str">
        <f>IFERROR(__xludf.DUMMYFUNCTION("""COMPUTED_VALUE"""),"Awadzi et al")</f>
        <v>Awadzi et al</v>
      </c>
      <c r="C19" s="697" t="str">
        <f>IFERROR(__xludf.DUMMYFUNCTION("""COMPUTED_VALUE"""),"Ghana")</f>
        <v>Ghana</v>
      </c>
      <c r="D19" s="697" t="str">
        <f>IFERROR(__xludf.DUMMYFUNCTION("""COMPUTED_VALUE"""),"Moxiedectin")</f>
        <v>Moxiedectin</v>
      </c>
      <c r="E19" s="697" t="str">
        <f>IFERROR(__xludf.DUMMYFUNCTION("""COMPUTED_VALUE"""),"4mg/kg")</f>
        <v>4mg/kg</v>
      </c>
      <c r="F19" s="697">
        <f>IFERROR(__xludf.DUMMYFUNCTION("""COMPUTED_VALUE"""),1.0)</f>
        <v>1</v>
      </c>
      <c r="G19" s="697" t="str">
        <f>IFERROR(__xludf.DUMMYFUNCTION("""COMPUTED_VALUE"""),"4 mg/kg")</f>
        <v>4 mg/kg</v>
      </c>
      <c r="H19" s="697"/>
      <c r="I19" s="697"/>
      <c r="J19" s="697"/>
      <c r="K19" s="697"/>
      <c r="L19" s="697"/>
      <c r="M19" s="697"/>
      <c r="N19" s="697"/>
      <c r="O19" s="697"/>
      <c r="P19" s="697"/>
      <c r="Q19" s="697"/>
      <c r="R19" s="697"/>
      <c r="S19" s="697"/>
      <c r="T19" s="697"/>
      <c r="U19" s="697"/>
      <c r="V19" s="697"/>
      <c r="W19" s="700">
        <f>IFERROR(__xludf.DUMMYFUNCTION("""COMPUTED_VALUE"""),0.98)</f>
        <v>0.98</v>
      </c>
      <c r="X19" s="697"/>
      <c r="Y19" s="697"/>
      <c r="Z19" s="697"/>
      <c r="AA19" s="697"/>
      <c r="AB19" s="697"/>
      <c r="AC19" s="697"/>
      <c r="AD19" s="697"/>
      <c r="AE19" s="697" t="str">
        <f>IFERROR(__xludf.DUMMYFUNCTION("""COMPUTED_VALUE"""),"n/a")</f>
        <v>n/a</v>
      </c>
      <c r="AF19" s="697"/>
      <c r="AG19" s="697"/>
      <c r="AH19" s="697"/>
      <c r="AI19" s="697"/>
      <c r="AJ19" s="697"/>
      <c r="AK19" s="697"/>
      <c r="AL19" s="697"/>
      <c r="AM19" s="697"/>
      <c r="AN19" s="700">
        <f>IFERROR(__xludf.DUMMYFUNCTION("""COMPUTED_VALUE"""),0.98)</f>
        <v>0.98</v>
      </c>
      <c r="AO19" s="698">
        <f>IFERROR(__xludf.DUMMYFUNCTION("""COMPUTED_VALUE"""),0.98)</f>
        <v>0.98</v>
      </c>
      <c r="AP19" s="697" t="str">
        <f>IFERROR(__xludf.DUMMYFUNCTION("""COMPUTED_VALUE"""),"Mf reduction")</f>
        <v>Mf reduction</v>
      </c>
      <c r="AQ19" s="697" t="str">
        <f>IFERROR(__xludf.DUMMYFUNCTION("""COMPUTED_VALUE"""),"South-eastern Ghana")</f>
        <v>South-eastern Ghana</v>
      </c>
      <c r="AR19" s="697">
        <f>IFERROR(__xludf.DUMMYFUNCTION("""COMPUTED_VALUE"""),2008.0)</f>
        <v>2008</v>
      </c>
      <c r="AS19" s="697">
        <f>IFERROR(__xludf.DUMMYFUNCTION("""COMPUTED_VALUE"""),45.0)</f>
        <v>45</v>
      </c>
      <c r="AT19" s="697" t="str">
        <f>IFERROR(__xludf.DUMMYFUNCTION("""COMPUTED_VALUE"""),"18 months")</f>
        <v>18 months</v>
      </c>
      <c r="AU19" s="699" t="str">
        <f>IFERROR(__xludf.DUMMYFUNCTION("""COMPUTED_VALUE"""),"Awadzi K, Opoku NO, Attah SK, Lazdins-Helds J, Kuesel AC. A randomized, single-ascending-dose, ivermectin-controlled, double-blind study of moxidectin in Onchocerca volvulus infection. PLoS Negl Trop Dis. 2014 Jun 26;8(6):e2953. doi: 10.1371/journal.pntd."&amp;"0002953. eCollection 2014 Jun. ")</f>
        <v>Awadzi K, Opoku NO, Attah SK, Lazdins-Helds J, Kuesel AC. A randomized, single-ascending-dose, ivermectin-controlled, double-blind study of moxidectin in Onchocerca volvulus infection. PLoS Negl Trop Dis. 2014 Jun 26;8(6):e2953. doi: 10.1371/journal.pntd.0002953. eCollection 2014 Jun. </v>
      </c>
      <c r="AV19" s="697"/>
      <c r="AW19" s="697"/>
      <c r="AX19" s="697"/>
      <c r="AY19" s="697" t="str">
        <f>IFERROR(__xludf.DUMMYFUNCTION("""COMPUTED_VALUE"""),"Yes")</f>
        <v>Yes</v>
      </c>
      <c r="AZ19" s="697" t="str">
        <f>IFERROR(__xludf.DUMMYFUNCTION("""COMPUTED_VALUE"""),"Yes")</f>
        <v>Yes</v>
      </c>
      <c r="BA19" s="697"/>
      <c r="BB19" s="697"/>
      <c r="BC19" s="697" t="str">
        <f>IFERROR(__xludf.DUMMYFUNCTION("""COMPUTED_VALUE"""),"10 mg moxidectin is safe enough to initiate the Phase 3 study which compares 8 mg moxidectin to ivermectin. The investigators agreed based on their blinded assessment that the safety profile in the study was not different from what they had seen in previo"&amp;"us studies with ivermectin using similarly close monitoring of participants for Mazzotti reactions.")</f>
        <v>10 mg moxidectin is safe enough to initiate the Phase 3 study which compares 8 mg moxidectin to ivermectin. The investigators agreed based on their blinded assessment that the safety profile in the study was not different from what they had seen in previous studies with ivermectin using similarly close monitoring of participants for Mazzotti reactions.</v>
      </c>
      <c r="BD19" s="697" t="str">
        <f>IFERROR(__xludf.DUMMYFUNCTION("""COMPUTED_VALUE"""),"6 dropped from study - 1 dead from snake bite, 1 withdrew, 4 lost in follow-up")</f>
        <v>6 dropped from study - 1 dead from snake bite, 1 withdrew, 4 lost in follow-up</v>
      </c>
      <c r="BE19" s="697"/>
      <c r="BF19" s="697"/>
      <c r="BG19" s="697"/>
    </row>
    <row r="20">
      <c r="A20" s="697"/>
      <c r="B20" s="697" t="str">
        <f>IFERROR(__xludf.DUMMYFUNCTION("""COMPUTED_VALUE"""),"Awadzi et al")</f>
        <v>Awadzi et al</v>
      </c>
      <c r="C20" s="697" t="str">
        <f>IFERROR(__xludf.DUMMYFUNCTION("""COMPUTED_VALUE"""),"Ghana")</f>
        <v>Ghana</v>
      </c>
      <c r="D20" s="697" t="str">
        <f>IFERROR(__xludf.DUMMYFUNCTION("""COMPUTED_VALUE"""),"Moxiedectin")</f>
        <v>Moxiedectin</v>
      </c>
      <c r="E20" s="697" t="str">
        <f>IFERROR(__xludf.DUMMYFUNCTION("""COMPUTED_VALUE"""),"8m/kg")</f>
        <v>8m/kg</v>
      </c>
      <c r="F20" s="697">
        <f>IFERROR(__xludf.DUMMYFUNCTION("""COMPUTED_VALUE"""),1.0)</f>
        <v>1</v>
      </c>
      <c r="G20" s="697" t="str">
        <f>IFERROR(__xludf.DUMMYFUNCTION("""COMPUTED_VALUE"""),"8 mg/kg")</f>
        <v>8 mg/kg</v>
      </c>
      <c r="H20" s="697"/>
      <c r="I20" s="697"/>
      <c r="J20" s="697"/>
      <c r="K20" s="697"/>
      <c r="L20" s="697"/>
      <c r="M20" s="697"/>
      <c r="N20" s="697"/>
      <c r="O20" s="697"/>
      <c r="P20" s="697"/>
      <c r="Q20" s="697"/>
      <c r="R20" s="697"/>
      <c r="S20" s="697"/>
      <c r="T20" s="697"/>
      <c r="U20" s="697"/>
      <c r="V20" s="697"/>
      <c r="W20" s="700">
        <f>IFERROR(__xludf.DUMMYFUNCTION("""COMPUTED_VALUE"""),0.98)</f>
        <v>0.98</v>
      </c>
      <c r="X20" s="697"/>
      <c r="Y20" s="697"/>
      <c r="Z20" s="697"/>
      <c r="AA20" s="697"/>
      <c r="AB20" s="697"/>
      <c r="AC20" s="697"/>
      <c r="AD20" s="697"/>
      <c r="AE20" s="697" t="str">
        <f>IFERROR(__xludf.DUMMYFUNCTION("""COMPUTED_VALUE"""),"n/a")</f>
        <v>n/a</v>
      </c>
      <c r="AF20" s="697"/>
      <c r="AG20" s="697"/>
      <c r="AH20" s="697"/>
      <c r="AI20" s="697"/>
      <c r="AJ20" s="697"/>
      <c r="AK20" s="697"/>
      <c r="AL20" s="697"/>
      <c r="AM20" s="697"/>
      <c r="AN20" s="700">
        <f>IFERROR(__xludf.DUMMYFUNCTION("""COMPUTED_VALUE"""),0.98)</f>
        <v>0.98</v>
      </c>
      <c r="AO20" s="698">
        <f>IFERROR(__xludf.DUMMYFUNCTION("""COMPUTED_VALUE"""),0.98)</f>
        <v>0.98</v>
      </c>
      <c r="AP20" s="697" t="str">
        <f>IFERROR(__xludf.DUMMYFUNCTION("""COMPUTED_VALUE"""),"Mf reduction")</f>
        <v>Mf reduction</v>
      </c>
      <c r="AQ20" s="697" t="str">
        <f>IFERROR(__xludf.DUMMYFUNCTION("""COMPUTED_VALUE"""),"South-eastern Ghana")</f>
        <v>South-eastern Ghana</v>
      </c>
      <c r="AR20" s="697">
        <f>IFERROR(__xludf.DUMMYFUNCTION("""COMPUTED_VALUE"""),2008.0)</f>
        <v>2008</v>
      </c>
      <c r="AS20" s="697">
        <f>IFERROR(__xludf.DUMMYFUNCTION("""COMPUTED_VALUE"""),38.0)</f>
        <v>38</v>
      </c>
      <c r="AT20" s="697" t="str">
        <f>IFERROR(__xludf.DUMMYFUNCTION("""COMPUTED_VALUE"""),"18 months")</f>
        <v>18 months</v>
      </c>
      <c r="AU20" s="699" t="str">
        <f>IFERROR(__xludf.DUMMYFUNCTION("""COMPUTED_VALUE"""),"Awadzi K, Opoku NO, Attah SK, Lazdins-Helds J, Kuesel AC. A randomized, single-ascending-dose, ivermectin-controlled, double-blind study of moxidectin in Onchocerca volvulus infection. PLoS Negl Trop Dis. 2014 Jun 26;8(6):e2953. doi: 10.1371/journal.pntd."&amp;"0002953. eCollection 2014 Jun. ")</f>
        <v>Awadzi K, Opoku NO, Attah SK, Lazdins-Helds J, Kuesel AC. A randomized, single-ascending-dose, ivermectin-controlled, double-blind study of moxidectin in Onchocerca volvulus infection. PLoS Negl Trop Dis. 2014 Jun 26;8(6):e2953. doi: 10.1371/journal.pntd.0002953. eCollection 2014 Jun. </v>
      </c>
      <c r="AV20" s="697"/>
      <c r="AW20" s="697"/>
      <c r="AX20" s="697"/>
      <c r="AY20" s="697" t="str">
        <f>IFERROR(__xludf.DUMMYFUNCTION("""COMPUTED_VALUE"""),"Yes")</f>
        <v>Yes</v>
      </c>
      <c r="AZ20" s="697" t="str">
        <f>IFERROR(__xludf.DUMMYFUNCTION("""COMPUTED_VALUE"""),"Yes")</f>
        <v>Yes</v>
      </c>
      <c r="BA20" s="697"/>
      <c r="BB20" s="697"/>
      <c r="BC20" s="697" t="str">
        <f>IFERROR(__xludf.DUMMYFUNCTION("""COMPUTED_VALUE"""),"11 mg moxidectin is safe enough to initiate the Phase 3 study which compares 8 mg moxidectin to ivermectin. The investigators agreed based on their blinded assessment that the safety profile in the study was not different from what they had seen in previo"&amp;"us studies with ivermectin using similarly close monitoring of participants for Mazzotti reactions.")</f>
        <v>11 mg moxidectin is safe enough to initiate the Phase 3 study which compares 8 mg moxidectin to ivermectin. The investigators agreed based on their blinded assessment that the safety profile in the study was not different from what they had seen in previous studies with ivermectin using similarly close monitoring of participants for Mazzotti reactions.</v>
      </c>
      <c r="BD20" s="697" t="str">
        <f>IFERROR(__xludf.DUMMYFUNCTION("""COMPUTED_VALUE"""),"6 dropped from study - 1 dead from snake bite, 1 withdrew, 4 lost in follow-up")</f>
        <v>6 dropped from study - 1 dead from snake bite, 1 withdrew, 4 lost in follow-up</v>
      </c>
      <c r="BE20" s="697"/>
      <c r="BF20" s="697"/>
      <c r="BG20" s="697"/>
    </row>
    <row r="21">
      <c r="A21" s="697"/>
      <c r="B21" s="697" t="str">
        <f>IFERROR(__xludf.DUMMYFUNCTION("""COMPUTED_VALUE"""),"Steel et al")</f>
        <v>Steel et al</v>
      </c>
      <c r="C21" s="697" t="str">
        <f>IFERROR(__xludf.DUMMYFUNCTION("""COMPUTED_VALUE"""),"Guatemala")</f>
        <v>Guatemala</v>
      </c>
      <c r="D21" s="697" t="str">
        <f>IFERROR(__xludf.DUMMYFUNCTION("""COMPUTED_VALUE"""),"Ivermectin")</f>
        <v>Ivermectin</v>
      </c>
      <c r="E21" s="697" t="str">
        <f>IFERROR(__xludf.DUMMYFUNCTION("""COMPUTED_VALUE"""),"150ug/kg")</f>
        <v>150ug/kg</v>
      </c>
      <c r="F21" s="697">
        <f>IFERROR(__xludf.DUMMYFUNCTION("""COMPUTED_VALUE"""),4.0)</f>
        <v>4</v>
      </c>
      <c r="G21" s="697" t="str">
        <f>IFERROR(__xludf.DUMMYFUNCTION("""COMPUTED_VALUE"""),"600ug/kg")</f>
        <v>600ug/kg</v>
      </c>
      <c r="H21" s="697"/>
      <c r="I21" s="697"/>
      <c r="J21" s="697"/>
      <c r="K21" s="697"/>
      <c r="L21" s="697"/>
      <c r="M21" s="697"/>
      <c r="N21" s="697"/>
      <c r="O21" s="697"/>
      <c r="P21" s="697"/>
      <c r="Q21" s="697"/>
      <c r="R21" s="697"/>
      <c r="S21" s="700">
        <f>IFERROR(__xludf.DUMMYFUNCTION("""COMPUTED_VALUE"""),0.9)</f>
        <v>0.9</v>
      </c>
      <c r="T21" s="697"/>
      <c r="U21" s="697"/>
      <c r="V21" s="697"/>
      <c r="W21" s="697"/>
      <c r="X21" s="700">
        <f>IFERROR(__xludf.DUMMYFUNCTION("""COMPUTED_VALUE"""),0.95)</f>
        <v>0.95</v>
      </c>
      <c r="Y21" s="697"/>
      <c r="Z21" s="697"/>
      <c r="AA21" s="697"/>
      <c r="AB21" s="697"/>
      <c r="AC21" s="697"/>
      <c r="AD21" s="697"/>
      <c r="AE21" s="697"/>
      <c r="AF21" s="697"/>
      <c r="AG21" s="697"/>
      <c r="AH21" s="697"/>
      <c r="AI21" s="697"/>
      <c r="AJ21" s="697"/>
      <c r="AK21" s="697"/>
      <c r="AL21" s="697"/>
      <c r="AM21" s="697"/>
      <c r="AN21" s="700">
        <f>IFERROR(__xludf.DUMMYFUNCTION("""COMPUTED_VALUE"""),0.9)</f>
        <v>0.9</v>
      </c>
      <c r="AO21" s="698">
        <f>IFERROR(__xludf.DUMMYFUNCTION("""COMPUTED_VALUE"""),0.9)</f>
        <v>0.9</v>
      </c>
      <c r="AP21" s="697" t="str">
        <f>IFERROR(__xludf.DUMMYFUNCTION("""COMPUTED_VALUE"""),"Mf reduction")</f>
        <v>Mf reduction</v>
      </c>
      <c r="AQ21" s="697" t="str">
        <f>IFERROR(__xludf.DUMMYFUNCTION("""COMPUTED_VALUE"""),"Suchitepequez Department of Guatemala")</f>
        <v>Suchitepequez Department of Guatemala</v>
      </c>
      <c r="AR21" s="697">
        <f>IFERROR(__xludf.DUMMYFUNCTION("""COMPUTED_VALUE"""),1991.0)</f>
        <v>1991</v>
      </c>
      <c r="AS21" s="697" t="str">
        <f>IFERROR(__xludf.DUMMYFUNCTION("""COMPUTED_VALUE"""),"32 (27 afflicted, 5 normal)")</f>
        <v>32 (27 afflicted, 5 normal)</v>
      </c>
      <c r="AT21" s="697" t="str">
        <f>IFERROR(__xludf.DUMMYFUNCTION("""COMPUTED_VALUE"""),"2 years")</f>
        <v>2 years</v>
      </c>
      <c r="AU21" s="699" t="str">
        <f>IFERROR(__xludf.DUMMYFUNCTION("""COMPUTED_VALUE"""),"Steel, Cathy, Aracely Lujan-Trangay, Carlos Gonzalez-Peralta, Guillermo Zea-Flores, and Thomas B. Nutman. 1991. “Immunologic Responses to Repeated Ivermectin Treatment in Patients with Onchocerciasis”. The Journal of Infectious Diseases 164 (3). Oxford Un"&amp;"iversity Press: 581–87.")</f>
        <v>Steel, Cathy, Aracely Lujan-Trangay, Carlos Gonzalez-Peralta, Guillermo Zea-Flores, and Thomas B. Nutman. 1991. “Immunologic Responses to Repeated Ivermectin Treatment in Patients with Onchocerciasis”. The Journal of Infectious Diseases 164 (3). Oxford University Press: 581–87.</v>
      </c>
      <c r="AV21" s="697" t="str">
        <f>IFERROR(__xludf.DUMMYFUNCTION("""COMPUTED_VALUE"""),"27 M")</f>
        <v>27 M</v>
      </c>
      <c r="AW21" s="697" t="str">
        <f>IFERROR(__xludf.DUMMYFUNCTION("""COMPUTED_VALUE"""),"15-60(median-32)")</f>
        <v>15-60(median-32)</v>
      </c>
      <c r="AX21" s="697"/>
      <c r="AY21" s="697" t="str">
        <f>IFERROR(__xludf.DUMMYFUNCTION("""COMPUTED_VALUE"""),"No")</f>
        <v>No</v>
      </c>
      <c r="AZ21" s="697" t="str">
        <f>IFERROR(__xludf.DUMMYFUNCTION("""COMPUTED_VALUE"""),"No")</f>
        <v>No</v>
      </c>
      <c r="BA21" s="697"/>
      <c r="BB21" s="697"/>
      <c r="BC21" s="697" t="str">
        <f>IFERROR(__xludf.DUMMYFUNCTION("""COMPUTED_VALUE"""),"Minimal criteria established")</f>
        <v>Minimal criteria established</v>
      </c>
      <c r="BD21" s="697" t="str">
        <f>IFERROR(__xludf.DUMMYFUNCTION("""COMPUTED_VALUE"""),"Lost: 3 at six months, 7 at 12 months, 12 total at 18 months. Attributed to migration from area or illnesses.")</f>
        <v>Lost: 3 at six months, 7 at 12 months, 12 total at 18 months. Attributed to migration from area or illnesses.</v>
      </c>
      <c r="BE21" s="697"/>
      <c r="BF21" s="697"/>
      <c r="BG21" s="697"/>
    </row>
    <row r="22">
      <c r="A22" s="697"/>
      <c r="B22" s="697" t="str">
        <f>IFERROR(__xludf.DUMMYFUNCTION("""COMPUTED_VALUE"""),"Pacqué et al")</f>
        <v>Pacqué et al</v>
      </c>
      <c r="C22" s="697" t="str">
        <f>IFERROR(__xludf.DUMMYFUNCTION("""COMPUTED_VALUE"""),"Liberia")</f>
        <v>Liberia</v>
      </c>
      <c r="D22" s="697" t="str">
        <f>IFERROR(__xludf.DUMMYFUNCTION("""COMPUTED_VALUE"""),"Ivermectin")</f>
        <v>Ivermectin</v>
      </c>
      <c r="E22" s="697" t="str">
        <f>IFERROR(__xludf.DUMMYFUNCTION("""COMPUTED_VALUE"""),"150ug/kg")</f>
        <v>150ug/kg</v>
      </c>
      <c r="F22" s="697">
        <f>IFERROR(__xludf.DUMMYFUNCTION("""COMPUTED_VALUE"""),3.0)</f>
        <v>3</v>
      </c>
      <c r="G22" s="697" t="str">
        <f>IFERROR(__xludf.DUMMYFUNCTION("""COMPUTED_VALUE"""),"450ug/kg")</f>
        <v>450ug/kg</v>
      </c>
      <c r="H22" s="697"/>
      <c r="I22" s="697"/>
      <c r="J22" s="697"/>
      <c r="K22" s="697"/>
      <c r="L22" s="697"/>
      <c r="M22" s="697"/>
      <c r="N22" s="697"/>
      <c r="O22" s="697"/>
      <c r="P22" s="697"/>
      <c r="Q22" s="697"/>
      <c r="R22" s="697"/>
      <c r="S22" s="697"/>
      <c r="T22" s="697"/>
      <c r="U22" s="697"/>
      <c r="V22" s="697"/>
      <c r="W22" s="700">
        <f>IFERROR(__xludf.DUMMYFUNCTION("""COMPUTED_VALUE"""),0.75)</f>
        <v>0.75</v>
      </c>
      <c r="X22" s="697"/>
      <c r="Y22" s="697"/>
      <c r="Z22" s="700">
        <f>IFERROR(__xludf.DUMMYFUNCTION("""COMPUTED_VALUE"""),0.84)</f>
        <v>0.84</v>
      </c>
      <c r="AA22" s="697"/>
      <c r="AB22" s="697"/>
      <c r="AC22" s="697"/>
      <c r="AD22" s="697"/>
      <c r="AE22" s="697" t="str">
        <f>IFERROR(__xludf.DUMMYFUNCTION("""COMPUTED_VALUE"""),"n/a")</f>
        <v>n/a</v>
      </c>
      <c r="AF22" s="697"/>
      <c r="AG22" s="697"/>
      <c r="AH22" s="697"/>
      <c r="AI22" s="697"/>
      <c r="AJ22" s="697"/>
      <c r="AK22" s="697"/>
      <c r="AL22" s="697"/>
      <c r="AM22" s="697"/>
      <c r="AN22" s="700">
        <f>IFERROR(__xludf.DUMMYFUNCTION("""COMPUTED_VALUE"""),0.75)</f>
        <v>0.75</v>
      </c>
      <c r="AO22" s="698">
        <f>IFERROR(__xludf.DUMMYFUNCTION("""COMPUTED_VALUE"""),0.75)</f>
        <v>0.75</v>
      </c>
      <c r="AP22" s="697" t="str">
        <f>IFERROR(__xludf.DUMMYFUNCTION("""COMPUTED_VALUE"""),"Mf reduction")</f>
        <v>Mf reduction</v>
      </c>
      <c r="AQ22" s="697" t="str">
        <f>IFERROR(__xludf.DUMMYFUNCTION("""COMPUTED_VALUE"""),"Liberian Agricultural Company rubber plantation, Grand Bassa County")</f>
        <v>Liberian Agricultural Company rubber plantation, Grand Bassa County</v>
      </c>
      <c r="AR22" s="697">
        <f>IFERROR(__xludf.DUMMYFUNCTION("""COMPUTED_VALUE"""),1989.0)</f>
        <v>1989</v>
      </c>
      <c r="AS22" s="697" t="str">
        <f>IFERROR(__xludf.DUMMYFUNCTION("""COMPUTED_VALUE"""),"1987: 7699 treated, 1988: 8062 treated, 1989: 10018 treated")</f>
        <v>1987: 7699 treated, 1988: 8062 treated, 1989: 10018 treated</v>
      </c>
      <c r="AT22" s="697" t="str">
        <f>IFERROR(__xludf.DUMMYFUNCTION("""COMPUTED_VALUE"""),"2 years")</f>
        <v>2 years</v>
      </c>
      <c r="AU22" s="699" t="str">
        <f>IFERROR(__xludf.DUMMYFUNCTION("""COMPUTED_VALUE"""),"Pacqué, Michel, Beatriz Muňoz, Bruce M. Greene, and Hugh R. Taylor. 1991. “Community-based Treatment of Onchocerciasis with Ivermectin: Safety, Efficacy, and Acceptability of Yearly Treatment”. The Journal of Infectious Diseases 163 (2). Oxford University"&amp;" Press: 381–85.")</f>
        <v>Pacqué, Michel, Beatriz Muňoz, Bruce M. Greene, and Hugh R. Taylor. 1991. “Community-based Treatment of Onchocerciasis with Ivermectin: Safety, Efficacy, and Acceptability of Yearly Treatment”. The Journal of Infectious Diseases 163 (2). Oxford University Press: 381–85.</v>
      </c>
      <c r="AV22" s="697"/>
      <c r="AW22" s="697" t="str">
        <f>IFERROR(__xludf.DUMMYFUNCTION("""COMPUTED_VALUE"""),"&gt;5 years of age")</f>
        <v>&gt;5 years of age</v>
      </c>
      <c r="AX22" s="697" t="str">
        <f>IFERROR(__xludf.DUMMYFUNCTION("""COMPUTED_VALUE"""),"EXCLUSIONS: pregnant women (as determined by interview and examination), women breastfeeding a child &lt;3 months of age, people with illnesses or a history of neurologic disorders, and children aged 5-11 years in 1987 or 5-12 years in 1988 whose skin snips "&amp;"were found not to have microfiliae")</f>
        <v>EXCLUSIONS: pregnant women (as determined by interview and examination), women breastfeeding a child &lt;3 months of age, people with illnesses or a history of neurologic disorders, and children aged 5-11 years in 1987 or 5-12 years in 1988 whose skin snips were found not to have microfiliae</v>
      </c>
      <c r="AY22" s="697" t="str">
        <f>IFERROR(__xludf.DUMMYFUNCTION("""COMPUTED_VALUE"""),"No")</f>
        <v>No</v>
      </c>
      <c r="AZ22" s="697" t="str">
        <f>IFERROR(__xludf.DUMMYFUNCTION("""COMPUTED_VALUE"""),"No")</f>
        <v>No</v>
      </c>
      <c r="BA22" s="697"/>
      <c r="BB22" s="697"/>
      <c r="BC22" s="697" t="str">
        <f>IFERROR(__xludf.DUMMYFUNCTION("""COMPUTED_VALUE"""),"Minimal criteria established")</f>
        <v>Minimal criteria established</v>
      </c>
      <c r="BD22" s="697" t="str">
        <f>IFERROR(__xludf.DUMMYFUNCTION("""COMPUTED_VALUE"""),"Many lost/gained to to plantation turnover; 6659 present for all three administrations")</f>
        <v>Many lost/gained to to plantation turnover; 6659 present for all three administrations</v>
      </c>
      <c r="BE22" s="697"/>
      <c r="BF22" s="697"/>
      <c r="BG22" s="697" t="str">
        <f>IFERROR(__xludf.DUMMYFUNCTION("""COMPUTED_VALUE"""),"x")</f>
        <v>x</v>
      </c>
    </row>
    <row r="23">
      <c r="A23" s="697"/>
      <c r="B23" s="697" t="str">
        <f>IFERROR(__xludf.DUMMYFUNCTION("""COMPUTED_VALUE"""),"White et al")</f>
        <v>White et al</v>
      </c>
      <c r="C23" s="697" t="str">
        <f>IFERROR(__xludf.DUMMYFUNCTION("""COMPUTED_VALUE"""),"Liberia")</f>
        <v>Liberia</v>
      </c>
      <c r="D23" s="697" t="str">
        <f>IFERROR(__xludf.DUMMYFUNCTION("""COMPUTED_VALUE"""),"Placebo")</f>
        <v>Placebo</v>
      </c>
      <c r="E23" s="697"/>
      <c r="F23" s="697">
        <f>IFERROR(__xludf.DUMMYFUNCTION("""COMPUTED_VALUE"""),1.0)</f>
        <v>1</v>
      </c>
      <c r="G23" s="697" t="str">
        <f>IFERROR(__xludf.DUMMYFUNCTION("""COMPUTED_VALUE"""),"placebo")</f>
        <v>placebo</v>
      </c>
      <c r="H23" s="697"/>
      <c r="I23" s="697"/>
      <c r="J23" s="698">
        <f>IFERROR(__xludf.DUMMYFUNCTION("""COMPUTED_VALUE"""),0.1428)</f>
        <v>0.1428</v>
      </c>
      <c r="K23" s="697"/>
      <c r="L23" s="697"/>
      <c r="M23" s="697"/>
      <c r="N23" s="697"/>
      <c r="O23" s="697"/>
      <c r="P23" s="697"/>
      <c r="Q23" s="698">
        <f>IFERROR(__xludf.DUMMYFUNCTION("""COMPUTED_VALUE"""),0.2238)</f>
        <v>0.2238</v>
      </c>
      <c r="R23" s="697"/>
      <c r="S23" s="698">
        <f>IFERROR(__xludf.DUMMYFUNCTION("""COMPUTED_VALUE"""),0.2857)</f>
        <v>0.2857</v>
      </c>
      <c r="T23" s="697"/>
      <c r="U23" s="697"/>
      <c r="V23" s="697"/>
      <c r="W23" s="698">
        <f>IFERROR(__xludf.DUMMYFUNCTION("""COMPUTED_VALUE"""),0.319)</f>
        <v>0.319</v>
      </c>
      <c r="X23" s="697"/>
      <c r="Y23" s="697"/>
      <c r="Z23" s="697"/>
      <c r="AA23" s="697"/>
      <c r="AB23" s="697"/>
      <c r="AC23" s="697"/>
      <c r="AD23" s="697"/>
      <c r="AE23" s="697"/>
      <c r="AF23" s="697"/>
      <c r="AG23" s="697"/>
      <c r="AH23" s="697"/>
      <c r="AI23" s="697"/>
      <c r="AJ23" s="697"/>
      <c r="AK23" s="697"/>
      <c r="AL23" s="697"/>
      <c r="AM23" s="697"/>
      <c r="AN23" s="698">
        <f>IFERROR(__xludf.DUMMYFUNCTION("""COMPUTED_VALUE"""),0.2857)</f>
        <v>0.2857</v>
      </c>
      <c r="AO23" s="698">
        <f>IFERROR(__xludf.DUMMYFUNCTION("""COMPUTED_VALUE"""),0.2857)</f>
        <v>0.2857</v>
      </c>
      <c r="AP23" s="697" t="str">
        <f>IFERROR(__xludf.DUMMYFUNCTION("""COMPUTED_VALUE"""),"Mf reduction")</f>
        <v>Mf reduction</v>
      </c>
      <c r="AQ23" s="697" t="str">
        <f>IFERROR(__xludf.DUMMYFUNCTION("""COMPUTED_VALUE"""),"Liberian Agricultural Company employees in Grand Bassa County Liberia, West Africa")</f>
        <v>Liberian Agricultural Company employees in Grand Bassa County Liberia, West Africa</v>
      </c>
      <c r="AR23" s="697">
        <f>IFERROR(__xludf.DUMMYFUNCTION("""COMPUTED_VALUE"""),1987.0)</f>
        <v>1987</v>
      </c>
      <c r="AS23" s="697">
        <f>IFERROR(__xludf.DUMMYFUNCTION("""COMPUTED_VALUE"""),49.0)</f>
        <v>49</v>
      </c>
      <c r="AT23" s="697" t="str">
        <f>IFERROR(__xludf.DUMMYFUNCTION("""COMPUTED_VALUE"""),"1 year")</f>
        <v>1 year</v>
      </c>
      <c r="AU23" s="699" t="str">
        <f>IFERROR(__xludf.DUMMYFUNCTION("""COMPUTED_VALUE"""),"White, A. T., H. S. Newland, H. R. Taylor, K. D. Erttmann, E. Keyvan-Larijani, A. Nara, M. A. Aziz, S. A. D'Anna, P. N. Williams, and B. M. Greene. 1987. “Controlled Trial and Dose-finding Study of Ivermectin for Treatment of Onchocerciasis”. The Journal "&amp;"of Infectious Diseases 156 (3). Oxford University Press: 463–70.")</f>
        <v>White, A. T., H. S. Newland, H. R. Taylor, K. D. Erttmann, E. Keyvan-Larijani, A. Nara, M. A. Aziz, S. A. D'Anna, P. N. Williams, and B. M. Greene. 1987. “Controlled Trial and Dose-finding Study of Ivermectin for Treatment of Onchocerciasis”. The Journal of Infectious Diseases 156 (3). Oxford University Press: 463–70.</v>
      </c>
      <c r="AV23" s="697" t="str">
        <f>IFERROR(__xludf.DUMMYFUNCTION("""COMPUTED_VALUE"""),"MF")</f>
        <v>MF</v>
      </c>
      <c r="AW23" s="697" t="str">
        <f>IFERROR(__xludf.DUMMYFUNCTION("""COMPUTED_VALUE"""),"29.3 ± 13.6 years")</f>
        <v>29.3 ± 13.6 years</v>
      </c>
      <c r="AX23" s="697" t="str">
        <f>IFERROR(__xludf.DUMMYFUNCTION("""COMPUTED_VALUE"""),"Individuals screened with the highest skin microfilial count were chosen. Pregnant or lactating women, children less than 12 years of age, persons in poor general physical condition, and those who had received antifilarial drugs within the preceding 12 mo"&amp;"nths were excluded.")</f>
        <v>Individuals screened with the highest skin microfilial count were chosen. Pregnant or lactating women, children less than 12 years of age, persons in poor general physical condition, and those who had received antifilarial drugs within the preceding 12 months were excluded.</v>
      </c>
      <c r="AY23" s="697" t="str">
        <f>IFERROR(__xludf.DUMMYFUNCTION("""COMPUTED_VALUE"""),"No")</f>
        <v>No</v>
      </c>
      <c r="AZ23" s="697" t="str">
        <f>IFERROR(__xludf.DUMMYFUNCTION("""COMPUTED_VALUE"""),"Yes")</f>
        <v>Yes</v>
      </c>
      <c r="BA23" s="697"/>
      <c r="BB23" s="697"/>
      <c r="BC23" s="697" t="str">
        <f>IFERROR(__xludf.DUMMYFUNCTION("""COMPUTED_VALUE"""),"150 mcg/kg is the optimal dosage of ivermectin")</f>
        <v>150 mcg/kg is the optimal dosage of ivermectin</v>
      </c>
      <c r="BD23" s="697"/>
      <c r="BE23" s="697"/>
      <c r="BF23" s="697"/>
      <c r="BG23" s="697"/>
    </row>
    <row r="24">
      <c r="A24" s="697"/>
      <c r="B24" s="697" t="str">
        <f>IFERROR(__xludf.DUMMYFUNCTION("""COMPUTED_VALUE"""),"White et al")</f>
        <v>White et al</v>
      </c>
      <c r="C24" s="697" t="str">
        <f>IFERROR(__xludf.DUMMYFUNCTION("""COMPUTED_VALUE"""),"Liberia")</f>
        <v>Liberia</v>
      </c>
      <c r="D24" s="697" t="str">
        <f>IFERROR(__xludf.DUMMYFUNCTION("""COMPUTED_VALUE"""),"Ivermectin")</f>
        <v>Ivermectin</v>
      </c>
      <c r="E24" s="697" t="str">
        <f>IFERROR(__xludf.DUMMYFUNCTION("""COMPUTED_VALUE"""),"100ug/kg")</f>
        <v>100ug/kg</v>
      </c>
      <c r="F24" s="697">
        <f>IFERROR(__xludf.DUMMYFUNCTION("""COMPUTED_VALUE"""),1.0)</f>
        <v>1</v>
      </c>
      <c r="G24" s="697" t="str">
        <f>IFERROR(__xludf.DUMMYFUNCTION("""COMPUTED_VALUE"""),"100ug/kg")</f>
        <v>100ug/kg</v>
      </c>
      <c r="H24" s="697"/>
      <c r="I24" s="697"/>
      <c r="J24" s="698">
        <f>IFERROR(__xludf.DUMMYFUNCTION("""COMPUTED_VALUE"""),0.581)</f>
        <v>0.581</v>
      </c>
      <c r="K24" s="697"/>
      <c r="L24" s="697"/>
      <c r="M24" s="697"/>
      <c r="N24" s="697"/>
      <c r="O24" s="697"/>
      <c r="P24" s="697"/>
      <c r="Q24" s="698">
        <f>IFERROR(__xludf.DUMMYFUNCTION("""COMPUTED_VALUE"""),0.9441)</f>
        <v>0.9441</v>
      </c>
      <c r="R24" s="697"/>
      <c r="S24" s="698">
        <f>IFERROR(__xludf.DUMMYFUNCTION("""COMPUTED_VALUE"""),0.8882)</f>
        <v>0.8882</v>
      </c>
      <c r="T24" s="697"/>
      <c r="U24" s="697"/>
      <c r="V24" s="697"/>
      <c r="W24" s="698">
        <f>IFERROR(__xludf.DUMMYFUNCTION("""COMPUTED_VALUE"""),0.838)</f>
        <v>0.838</v>
      </c>
      <c r="X24" s="697"/>
      <c r="Y24" s="697"/>
      <c r="Z24" s="697"/>
      <c r="AA24" s="697"/>
      <c r="AB24" s="697"/>
      <c r="AC24" s="697"/>
      <c r="AD24" s="697"/>
      <c r="AE24" s="697"/>
      <c r="AF24" s="697"/>
      <c r="AG24" s="697"/>
      <c r="AH24" s="697"/>
      <c r="AI24" s="697"/>
      <c r="AJ24" s="697"/>
      <c r="AK24" s="697"/>
      <c r="AL24" s="697"/>
      <c r="AM24" s="697"/>
      <c r="AN24" s="698">
        <f>IFERROR(__xludf.DUMMYFUNCTION("""COMPUTED_VALUE"""),0.8882)</f>
        <v>0.8882</v>
      </c>
      <c r="AO24" s="698">
        <f>IFERROR(__xludf.DUMMYFUNCTION("""COMPUTED_VALUE"""),0.8882)</f>
        <v>0.8882</v>
      </c>
      <c r="AP24" s="697" t="str">
        <f>IFERROR(__xludf.DUMMYFUNCTION("""COMPUTED_VALUE"""),"Mf reduction")</f>
        <v>Mf reduction</v>
      </c>
      <c r="AQ24" s="697" t="str">
        <f>IFERROR(__xludf.DUMMYFUNCTION("""COMPUTED_VALUE"""),"Liberian Agricultural Company employees in Grand Bassa County Liberia, West Africa")</f>
        <v>Liberian Agricultural Company employees in Grand Bassa County Liberia, West Africa</v>
      </c>
      <c r="AR24" s="697">
        <f>IFERROR(__xludf.DUMMYFUNCTION("""COMPUTED_VALUE"""),1987.0)</f>
        <v>1987</v>
      </c>
      <c r="AS24" s="697">
        <f>IFERROR(__xludf.DUMMYFUNCTION("""COMPUTED_VALUE"""),52.0)</f>
        <v>52</v>
      </c>
      <c r="AT24" s="697" t="str">
        <f>IFERROR(__xludf.DUMMYFUNCTION("""COMPUTED_VALUE"""),"1 year")</f>
        <v>1 year</v>
      </c>
      <c r="AU24" s="699" t="str">
        <f>IFERROR(__xludf.DUMMYFUNCTION("""COMPUTED_VALUE"""),"White, A. T., H. S. Newland, H. R. Taylor, K. D. Erttmann, E. Keyvan-Larijani, A. Nara, M. A. Aziz, S. A. D'Anna, P. N. Williams, and B. M. Greene. 1987. “Controlled Trial and Dose-finding Study of Ivermectin for Treatment of Onchocerciasis”. The Journal "&amp;"of Infectious Diseases 156 (3). Oxford University Press: 463–70.")</f>
        <v>White, A. T., H. S. Newland, H. R. Taylor, K. D. Erttmann, E. Keyvan-Larijani, A. Nara, M. A. Aziz, S. A. D'Anna, P. N. Williams, and B. M. Greene. 1987. “Controlled Trial and Dose-finding Study of Ivermectin for Treatment of Onchocerciasis”. The Journal of Infectious Diseases 156 (3). Oxford University Press: 463–70.</v>
      </c>
      <c r="AV24" s="697"/>
      <c r="AW24" s="697" t="str">
        <f>IFERROR(__xludf.DUMMYFUNCTION("""COMPUTED_VALUE"""),"29.3 ± 10.7 years")</f>
        <v>29.3 ± 10.7 years</v>
      </c>
      <c r="AX24" s="697"/>
      <c r="AY24" s="697" t="str">
        <f>IFERROR(__xludf.DUMMYFUNCTION("""COMPUTED_VALUE"""),"No")</f>
        <v>No</v>
      </c>
      <c r="AZ24" s="697" t="str">
        <f>IFERROR(__xludf.DUMMYFUNCTION("""COMPUTED_VALUE"""),"Yes")</f>
        <v>Yes</v>
      </c>
      <c r="BA24" s="697"/>
      <c r="BB24" s="697"/>
      <c r="BC24" s="697" t="str">
        <f>IFERROR(__xludf.DUMMYFUNCTION("""COMPUTED_VALUE"""),"151 mcg/kg is the optimal dosage of ivermectin")</f>
        <v>151 mcg/kg is the optimal dosage of ivermectin</v>
      </c>
      <c r="BD24" s="697"/>
      <c r="BE24" s="697"/>
      <c r="BF24" s="697"/>
      <c r="BG24" s="697"/>
    </row>
    <row r="25">
      <c r="A25" s="697"/>
      <c r="B25" s="697" t="str">
        <f>IFERROR(__xludf.DUMMYFUNCTION("""COMPUTED_VALUE"""),"White et al")</f>
        <v>White et al</v>
      </c>
      <c r="C25" s="697" t="str">
        <f>IFERROR(__xludf.DUMMYFUNCTION("""COMPUTED_VALUE"""),"Liberia")</f>
        <v>Liberia</v>
      </c>
      <c r="D25" s="697" t="str">
        <f>IFERROR(__xludf.DUMMYFUNCTION("""COMPUTED_VALUE"""),"Ivermectin")</f>
        <v>Ivermectin</v>
      </c>
      <c r="E25" s="697" t="str">
        <f>IFERROR(__xludf.DUMMYFUNCTION("""COMPUTED_VALUE"""),"150ug/kg")</f>
        <v>150ug/kg</v>
      </c>
      <c r="F25" s="697">
        <f>IFERROR(__xludf.DUMMYFUNCTION("""COMPUTED_VALUE"""),1.0)</f>
        <v>1</v>
      </c>
      <c r="G25" s="697" t="str">
        <f>IFERROR(__xludf.DUMMYFUNCTION("""COMPUTED_VALUE"""),"150ug/kg")</f>
        <v>150ug/kg</v>
      </c>
      <c r="H25" s="697"/>
      <c r="I25" s="697"/>
      <c r="J25" s="697" t="str">
        <f>IFERROR(__xludf.DUMMYFUNCTION("""COMPUTED_VALUE"""),"71.22%%")</f>
        <v>71.22%%</v>
      </c>
      <c r="K25" s="697"/>
      <c r="L25" s="697"/>
      <c r="M25" s="697"/>
      <c r="N25" s="697"/>
      <c r="O25" s="697"/>
      <c r="P25" s="697"/>
      <c r="Q25" s="698">
        <f>IFERROR(__xludf.DUMMYFUNCTION("""COMPUTED_VALUE"""),0.9764)</f>
        <v>0.9764</v>
      </c>
      <c r="R25" s="697"/>
      <c r="S25" s="698">
        <f>IFERROR(__xludf.DUMMYFUNCTION("""COMPUTED_VALUE"""),0.9057)</f>
        <v>0.9057</v>
      </c>
      <c r="T25" s="697"/>
      <c r="U25" s="697"/>
      <c r="V25" s="697"/>
      <c r="W25" s="698">
        <f>IFERROR(__xludf.DUMMYFUNCTION("""COMPUTED_VALUE"""),0.8113)</f>
        <v>0.8113</v>
      </c>
      <c r="X25" s="697"/>
      <c r="Y25" s="697"/>
      <c r="Z25" s="697"/>
      <c r="AA25" s="697"/>
      <c r="AB25" s="697"/>
      <c r="AC25" s="697"/>
      <c r="AD25" s="697"/>
      <c r="AE25" s="697"/>
      <c r="AF25" s="697"/>
      <c r="AG25" s="697"/>
      <c r="AH25" s="697"/>
      <c r="AI25" s="697"/>
      <c r="AJ25" s="697"/>
      <c r="AK25" s="697"/>
      <c r="AL25" s="697"/>
      <c r="AM25" s="697"/>
      <c r="AN25" s="698">
        <f>IFERROR(__xludf.DUMMYFUNCTION("""COMPUTED_VALUE"""),0.9057)</f>
        <v>0.9057</v>
      </c>
      <c r="AO25" s="698">
        <f>IFERROR(__xludf.DUMMYFUNCTION("""COMPUTED_VALUE"""),0.9057)</f>
        <v>0.9057</v>
      </c>
      <c r="AP25" s="697" t="str">
        <f>IFERROR(__xludf.DUMMYFUNCTION("""COMPUTED_VALUE"""),"Mf reduction")</f>
        <v>Mf reduction</v>
      </c>
      <c r="AQ25" s="697" t="str">
        <f>IFERROR(__xludf.DUMMYFUNCTION("""COMPUTED_VALUE"""),"Liberian Agricultural Company employees in Grand Bassa County Liberia, West Africa")</f>
        <v>Liberian Agricultural Company employees in Grand Bassa County Liberia, West Africa</v>
      </c>
      <c r="AR25" s="697">
        <f>IFERROR(__xludf.DUMMYFUNCTION("""COMPUTED_VALUE"""),1987.0)</f>
        <v>1987</v>
      </c>
      <c r="AS25" s="697">
        <f>IFERROR(__xludf.DUMMYFUNCTION("""COMPUTED_VALUE"""),51.0)</f>
        <v>51</v>
      </c>
      <c r="AT25" s="697" t="str">
        <f>IFERROR(__xludf.DUMMYFUNCTION("""COMPUTED_VALUE"""),"1year")</f>
        <v>1year</v>
      </c>
      <c r="AU25" s="699" t="str">
        <f>IFERROR(__xludf.DUMMYFUNCTION("""COMPUTED_VALUE"""),"White, A. T., H. S. Newland, H. R. Taylor, K. D. Erttmann, E. Keyvan-Larijani, A. Nara, M. A. Aziz, S. A. D'Anna, P. N. Williams, and B. M. Greene. 1987. “Controlled Trial and Dose-finding Study of Ivermectin for Treatment of Onchocerciasis”. The Journal "&amp;"of Infectious Diseases 156 (3). Oxford University Press: 463–70.")</f>
        <v>White, A. T., H. S. Newland, H. R. Taylor, K. D. Erttmann, E. Keyvan-Larijani, A. Nara, M. A. Aziz, S. A. D'Anna, P. N. Williams, and B. M. Greene. 1987. “Controlled Trial and Dose-finding Study of Ivermectin for Treatment of Onchocerciasis”. The Journal of Infectious Diseases 156 (3). Oxford University Press: 463–70.</v>
      </c>
      <c r="AV25" s="697"/>
      <c r="AW25" s="697" t="str">
        <f>IFERROR(__xludf.DUMMYFUNCTION("""COMPUTED_VALUE"""),"30.3 ± 11.6 years")</f>
        <v>30.3 ± 11.6 years</v>
      </c>
      <c r="AX25" s="697"/>
      <c r="AY25" s="697" t="str">
        <f>IFERROR(__xludf.DUMMYFUNCTION("""COMPUTED_VALUE"""),"No")</f>
        <v>No</v>
      </c>
      <c r="AZ25" s="697" t="str">
        <f>IFERROR(__xludf.DUMMYFUNCTION("""COMPUTED_VALUE"""),"Yes")</f>
        <v>Yes</v>
      </c>
      <c r="BA25" s="697"/>
      <c r="BB25" s="697"/>
      <c r="BC25" s="697" t="str">
        <f>IFERROR(__xludf.DUMMYFUNCTION("""COMPUTED_VALUE"""),"152 mcg/kg is the optimal dosage of ivermectin")</f>
        <v>152 mcg/kg is the optimal dosage of ivermectin</v>
      </c>
      <c r="BD25" s="697"/>
      <c r="BE25" s="697"/>
      <c r="BF25" s="697"/>
      <c r="BG25" s="697"/>
    </row>
    <row r="26">
      <c r="A26" s="697"/>
      <c r="B26" s="697" t="str">
        <f>IFERROR(__xludf.DUMMYFUNCTION("""COMPUTED_VALUE"""),"White et al")</f>
        <v>White et al</v>
      </c>
      <c r="C26" s="697" t="str">
        <f>IFERROR(__xludf.DUMMYFUNCTION("""COMPUTED_VALUE"""),"Liberia")</f>
        <v>Liberia</v>
      </c>
      <c r="D26" s="697" t="str">
        <f>IFERROR(__xludf.DUMMYFUNCTION("""COMPUTED_VALUE"""),"Ivermectin")</f>
        <v>Ivermectin</v>
      </c>
      <c r="E26" s="697" t="str">
        <f>IFERROR(__xludf.DUMMYFUNCTION("""COMPUTED_VALUE"""),"200ug/kg")</f>
        <v>200ug/kg</v>
      </c>
      <c r="F26" s="697">
        <f>IFERROR(__xludf.DUMMYFUNCTION("""COMPUTED_VALUE"""),1.0)</f>
        <v>1</v>
      </c>
      <c r="G26" s="697" t="str">
        <f>IFERROR(__xludf.DUMMYFUNCTION("""COMPUTED_VALUE"""),"200ug/kg")</f>
        <v>200ug/kg</v>
      </c>
      <c r="H26" s="697"/>
      <c r="I26" s="697"/>
      <c r="J26" s="698">
        <f>IFERROR(__xludf.DUMMYFUNCTION("""COMPUTED_VALUE"""),0.7837)</f>
        <v>0.7837</v>
      </c>
      <c r="K26" s="697"/>
      <c r="L26" s="697"/>
      <c r="M26" s="697"/>
      <c r="N26" s="697"/>
      <c r="O26" s="697"/>
      <c r="P26" s="697"/>
      <c r="Q26" s="698">
        <f>IFERROR(__xludf.DUMMYFUNCTION("""COMPUTED_VALUE"""),0.9519)</f>
        <v>0.9519</v>
      </c>
      <c r="R26" s="697"/>
      <c r="S26" s="698">
        <f>IFERROR(__xludf.DUMMYFUNCTION("""COMPUTED_VALUE"""),0.9038)</f>
        <v>0.9038</v>
      </c>
      <c r="T26" s="697"/>
      <c r="U26" s="697"/>
      <c r="V26" s="697"/>
      <c r="W26" s="698">
        <f>IFERROR(__xludf.DUMMYFUNCTION("""COMPUTED_VALUE"""),0.851)</f>
        <v>0.851</v>
      </c>
      <c r="X26" s="697"/>
      <c r="Y26" s="697"/>
      <c r="Z26" s="697"/>
      <c r="AA26" s="697"/>
      <c r="AB26" s="697"/>
      <c r="AC26" s="697"/>
      <c r="AD26" s="697"/>
      <c r="AE26" s="697"/>
      <c r="AF26" s="697"/>
      <c r="AG26" s="697"/>
      <c r="AH26" s="697"/>
      <c r="AI26" s="697"/>
      <c r="AJ26" s="697"/>
      <c r="AK26" s="697"/>
      <c r="AL26" s="697"/>
      <c r="AM26" s="697"/>
      <c r="AN26" s="698">
        <f>IFERROR(__xludf.DUMMYFUNCTION("""COMPUTED_VALUE"""),0.9038)</f>
        <v>0.9038</v>
      </c>
      <c r="AO26" s="698">
        <f>IFERROR(__xludf.DUMMYFUNCTION("""COMPUTED_VALUE"""),0.9038)</f>
        <v>0.9038</v>
      </c>
      <c r="AP26" s="697" t="str">
        <f>IFERROR(__xludf.DUMMYFUNCTION("""COMPUTED_VALUE"""),"Mf reduction")</f>
        <v>Mf reduction</v>
      </c>
      <c r="AQ26" s="697" t="str">
        <f>IFERROR(__xludf.DUMMYFUNCTION("""COMPUTED_VALUE"""),"Liberian Agricultural Company employees in Grand Bassa County Liberia, West Africa")</f>
        <v>Liberian Agricultural Company employees in Grand Bassa County Liberia, West Africa</v>
      </c>
      <c r="AR26" s="697">
        <f>IFERROR(__xludf.DUMMYFUNCTION("""COMPUTED_VALUE"""),1987.0)</f>
        <v>1987</v>
      </c>
      <c r="AS26" s="697">
        <f>IFERROR(__xludf.DUMMYFUNCTION("""COMPUTED_VALUE"""),48.0)</f>
        <v>48</v>
      </c>
      <c r="AT26" s="697" t="str">
        <f>IFERROR(__xludf.DUMMYFUNCTION("""COMPUTED_VALUE"""),"1 year")</f>
        <v>1 year</v>
      </c>
      <c r="AU26" s="699" t="str">
        <f>IFERROR(__xludf.DUMMYFUNCTION("""COMPUTED_VALUE"""),"White, A. T., H. S. Newland, H. R. Taylor, K. D. Erttmann, E. Keyvan-Larijani, A. Nara, M. A. Aziz, S. A. D'Anna, P. N. Williams, and B. M. Greene. 1987. “Controlled Trial and Dose-finding Study of Ivermectin for Treatment of Onchocerciasis”. The Journal "&amp;"of Infectious Diseases 156 (3). Oxford University Press: 463–70.")</f>
        <v>White, A. T., H. S. Newland, H. R. Taylor, K. D. Erttmann, E. Keyvan-Larijani, A. Nara, M. A. Aziz, S. A. D'Anna, P. N. Williams, and B. M. Greene. 1987. “Controlled Trial and Dose-finding Study of Ivermectin for Treatment of Onchocerciasis”. The Journal of Infectious Diseases 156 (3). Oxford University Press: 463–70.</v>
      </c>
      <c r="AV26" s="697"/>
      <c r="AW26" s="697" t="str">
        <f>IFERROR(__xludf.DUMMYFUNCTION("""COMPUTED_VALUE"""),"30.5 ± 12.3 years")</f>
        <v>30.5 ± 12.3 years</v>
      </c>
      <c r="AX26" s="697"/>
      <c r="AY26" s="697" t="str">
        <f>IFERROR(__xludf.DUMMYFUNCTION("""COMPUTED_VALUE"""),"No")</f>
        <v>No</v>
      </c>
      <c r="AZ26" s="697" t="str">
        <f>IFERROR(__xludf.DUMMYFUNCTION("""COMPUTED_VALUE"""),"Yes")</f>
        <v>Yes</v>
      </c>
      <c r="BA26" s="697"/>
      <c r="BB26" s="697"/>
      <c r="BC26" s="697" t="str">
        <f>IFERROR(__xludf.DUMMYFUNCTION("""COMPUTED_VALUE"""),"153 mcg/kg is the optimal dosage of ivermectin")</f>
        <v>153 mcg/kg is the optimal dosage of ivermectin</v>
      </c>
      <c r="BD26" s="697"/>
      <c r="BE26" s="697"/>
      <c r="BF26" s="697"/>
      <c r="BG26" s="697"/>
    </row>
    <row r="27">
      <c r="A27" s="697"/>
      <c r="B27" s="697" t="str">
        <f>IFERROR(__xludf.DUMMYFUNCTION("""COMPUTED_VALUE"""),"Oyibo et al")</f>
        <v>Oyibo et al</v>
      </c>
      <c r="C27" s="697" t="str">
        <f>IFERROR(__xludf.DUMMYFUNCTION("""COMPUTED_VALUE"""),"Nigeria")</f>
        <v>Nigeria</v>
      </c>
      <c r="D27" s="697" t="str">
        <f>IFERROR(__xludf.DUMMYFUNCTION("""COMPUTED_VALUE"""),"Ivermectin")</f>
        <v>Ivermectin</v>
      </c>
      <c r="E27" s="697" t="str">
        <f>IFERROR(__xludf.DUMMYFUNCTION("""COMPUTED_VALUE"""),"150ug/kg")</f>
        <v>150ug/kg</v>
      </c>
      <c r="F27" s="697">
        <f>IFERROR(__xludf.DUMMYFUNCTION("""COMPUTED_VALUE"""),5.0)</f>
        <v>5</v>
      </c>
      <c r="G27" s="697" t="str">
        <f>IFERROR(__xludf.DUMMYFUNCTION("""COMPUTED_VALUE"""),"750ug/kg")</f>
        <v>750ug/kg</v>
      </c>
      <c r="H27" s="697"/>
      <c r="I27" s="697"/>
      <c r="J27" s="697"/>
      <c r="K27" s="697"/>
      <c r="L27" s="697"/>
      <c r="M27" s="697"/>
      <c r="N27" s="697"/>
      <c r="O27" s="697"/>
      <c r="P27" s="697"/>
      <c r="Q27" s="697"/>
      <c r="R27" s="697"/>
      <c r="S27" s="697"/>
      <c r="T27" s="697"/>
      <c r="U27" s="697"/>
      <c r="V27" s="697"/>
      <c r="W27" s="697"/>
      <c r="X27" s="697"/>
      <c r="Y27" s="697"/>
      <c r="Z27" s="697"/>
      <c r="AA27" s="697"/>
      <c r="AB27" s="697"/>
      <c r="AC27" s="698">
        <f>IFERROR(__xludf.DUMMYFUNCTION("""COMPUTED_VALUE"""),0.1592)</f>
        <v>0.1592</v>
      </c>
      <c r="AD27" s="698">
        <f>IFERROR(__xludf.DUMMYFUNCTION("""COMPUTED_VALUE"""),0.1908)</f>
        <v>0.1908</v>
      </c>
      <c r="AE27" s="697"/>
      <c r="AF27" s="697"/>
      <c r="AG27" s="697"/>
      <c r="AH27" s="697"/>
      <c r="AI27" s="697"/>
      <c r="AJ27" s="697"/>
      <c r="AK27" s="697"/>
      <c r="AL27" s="697"/>
      <c r="AM27" s="697"/>
      <c r="AN27" s="698">
        <f>IFERROR(__xludf.DUMMYFUNCTION("""COMPUTED_VALUE"""),0.1592)</f>
        <v>0.1592</v>
      </c>
      <c r="AO27" s="698">
        <f>IFERROR(__xludf.DUMMYFUNCTION("""COMPUTED_VALUE"""),0.1592)</f>
        <v>0.1592</v>
      </c>
      <c r="AP27" s="697" t="str">
        <f>IFERROR(__xludf.DUMMYFUNCTION("""COMPUTED_VALUE"""),"Mf reduction")</f>
        <v>Mf reduction</v>
      </c>
      <c r="AQ27" s="697" t="str">
        <f>IFERROR(__xludf.DUMMYFUNCTION("""COMPUTED_VALUE"""),"10 villages in Kwara State")</f>
        <v>10 villages in Kwara State</v>
      </c>
      <c r="AR27" s="697">
        <f>IFERROR(__xludf.DUMMYFUNCTION("""COMPUTED_VALUE"""),1997.0)</f>
        <v>1997</v>
      </c>
      <c r="AS27" s="697" t="str">
        <f>IFERROR(__xludf.DUMMYFUNCTION("""COMPUTED_VALUE"""),"330 subjects")</f>
        <v>330 subjects</v>
      </c>
      <c r="AT27" s="697" t="str">
        <f>IFERROR(__xludf.DUMMYFUNCTION("""COMPUTED_VALUE"""),"5 years 11 months")</f>
        <v>5 years 11 months</v>
      </c>
      <c r="AU27" s="699" t="str">
        <f>IFERROR(__xludf.DUMMYFUNCTION("""COMPUTED_VALUE"""),"Oyibo WA, Fagbenro-Beyioku AF.  Effect of repeated community-based ivermectin treatment on the intensity of onchocerciasis in Nigeria. Rural and Remote Health (Internet) 2003; 3: 211.")</f>
        <v>Oyibo WA, Fagbenro-Beyioku AF.  Effect of repeated community-based ivermectin treatment on the intensity of onchocerciasis in Nigeria. Rural and Remote Health (Internet) 2003; 3: 211.</v>
      </c>
      <c r="AV27" s="697" t="str">
        <f>IFERROR(__xludf.DUMMYFUNCTION("""COMPUTED_VALUE"""),"330 men")</f>
        <v>330 men</v>
      </c>
      <c r="AW27" s="697" t="str">
        <f>IFERROR(__xludf.DUMMYFUNCTION("""COMPUTED_VALUE"""),"&gt;5 years")</f>
        <v>&gt;5 years</v>
      </c>
      <c r="AX27" s="697"/>
      <c r="AY27" s="697" t="str">
        <f>IFERROR(__xludf.DUMMYFUNCTION("""COMPUTED_VALUE"""),"No")</f>
        <v>No</v>
      </c>
      <c r="AZ27" s="697" t="str">
        <f>IFERROR(__xludf.DUMMYFUNCTION("""COMPUTED_VALUE"""),"No")</f>
        <v>No</v>
      </c>
      <c r="BA27" s="697"/>
      <c r="BB27" s="697"/>
      <c r="BC27" s="697" t="str">
        <f>IFERROR(__xludf.DUMMYFUNCTION("""COMPUTED_VALUE"""),"Needs to be a flexible approach to distribution")</f>
        <v>Needs to be a flexible approach to distribution</v>
      </c>
      <c r="BD27" s="697"/>
      <c r="BE27" s="697"/>
      <c r="BF27" s="697"/>
      <c r="BG27" s="697" t="str">
        <f>IFERROR(__xludf.DUMMYFUNCTION("""COMPUTED_VALUE"""),"x")</f>
        <v>x</v>
      </c>
    </row>
    <row r="28">
      <c r="A28" s="697"/>
      <c r="B28" s="697" t="str">
        <f>IFERROR(__xludf.DUMMYFUNCTION("""COMPUTED_VALUE"""),"Klager et al.")</f>
        <v>Klager et al.</v>
      </c>
      <c r="C28" s="697" t="str">
        <f>IFERROR(__xludf.DUMMYFUNCTION("""COMPUTED_VALUE"""),"Sierra Leone")</f>
        <v>Sierra Leone</v>
      </c>
      <c r="D28" s="697" t="str">
        <f>IFERROR(__xludf.DUMMYFUNCTION("""COMPUTED_VALUE"""),"Ivermectin")</f>
        <v>Ivermectin</v>
      </c>
      <c r="E28" s="697"/>
      <c r="F28" s="697">
        <f>IFERROR(__xludf.DUMMYFUNCTION("""COMPUTED_VALUE"""),4.0)</f>
        <v>4</v>
      </c>
      <c r="G28" s="697"/>
      <c r="H28" s="697"/>
      <c r="I28" s="697"/>
      <c r="J28" s="697"/>
      <c r="K28" s="697"/>
      <c r="L28" s="697"/>
      <c r="M28" s="697"/>
      <c r="N28" s="697"/>
      <c r="O28" s="697"/>
      <c r="P28" s="697"/>
      <c r="Q28" s="697"/>
      <c r="R28" s="697"/>
      <c r="S28" s="697"/>
      <c r="T28" s="697"/>
      <c r="U28" s="698">
        <f>IFERROR(__xludf.DUMMYFUNCTION("""COMPUTED_VALUE"""),0.816)</f>
        <v>0.816</v>
      </c>
      <c r="V28" s="697"/>
      <c r="W28" s="697"/>
      <c r="X28" s="697"/>
      <c r="Y28" s="697"/>
      <c r="Z28" s="697"/>
      <c r="AA28" s="697"/>
      <c r="AB28" s="697"/>
      <c r="AC28" s="697"/>
      <c r="AD28" s="697"/>
      <c r="AE28" s="697" t="str">
        <f>IFERROR(__xludf.DUMMYFUNCTION("""COMPUTED_VALUE"""),"n/a")</f>
        <v>n/a</v>
      </c>
      <c r="AF28" s="697"/>
      <c r="AG28" s="697"/>
      <c r="AH28" s="697"/>
      <c r="AI28" s="697"/>
      <c r="AJ28" s="697"/>
      <c r="AK28" s="697"/>
      <c r="AL28" s="697"/>
      <c r="AM28" s="700">
        <f>IFERROR(__xludf.DUMMYFUNCTION("""COMPUTED_VALUE"""),0.9)</f>
        <v>0.9</v>
      </c>
      <c r="AN28" s="698">
        <f>IFERROR(__xludf.DUMMYFUNCTION("""COMPUTED_VALUE"""),0.816)</f>
        <v>0.816</v>
      </c>
      <c r="AO28" s="698">
        <f>IFERROR(__xludf.DUMMYFUNCTION("""COMPUTED_VALUE"""),0.816)</f>
        <v>0.816</v>
      </c>
      <c r="AP28" s="697" t="str">
        <f>IFERROR(__xludf.DUMMYFUNCTION("""COMPUTED_VALUE"""),"Mf reduction; Nodulectomy:worm reproductivity")</f>
        <v>Mf reduction; Nodulectomy:worm reproductivity</v>
      </c>
      <c r="AQ28" s="697" t="str">
        <f>IFERROR(__xludf.DUMMYFUNCTION("""COMPUTED_VALUE""")," ")</f>
        <v> </v>
      </c>
      <c r="AR28" s="697">
        <f>IFERROR(__xludf.DUMMYFUNCTION("""COMPUTED_VALUE"""),1994.0)</f>
        <v>1994</v>
      </c>
      <c r="AS28" s="697">
        <f>IFERROR(__xludf.DUMMYFUNCTION("""COMPUTED_VALUE"""),77.0)</f>
        <v>77</v>
      </c>
      <c r="AT28" s="697" t="str">
        <f>IFERROR(__xludf.DUMMYFUNCTION("""COMPUTED_VALUE"""),"6 years")</f>
        <v>6 years</v>
      </c>
      <c r="AU28" s="699" t="str">
        <f>IFERROR(__xludf.DUMMYFUNCTION("""COMPUTED_VALUE"""),"Klager, S.L.; Whitworth, J.A.G.; Downhad, M.D.; Viability and fertility of adult Onchocerca volvulus after 6 years of treatment with ivermectin; DOI: 10.1111/j.1365-3156.1996.tb00083 http://www.researchgate.net/profile/Sabine_Klaeger/publication/14296526_"&amp;"Viability_and_fertility_of_adult_Onchocerca_volvulus_after_6_years_of_treatment_with_ivermectin/links/542fe44c0cf277d58e924d97.pdf")</f>
        <v>Klager, S.L.; Whitworth, J.A.G.; Downhad, M.D.; Viability and fertility of adult Onchocerca volvulus after 6 years of treatment with ivermectin; DOI: 10.1111/j.1365-3156.1996.tb00083 http://www.researchgate.net/profile/Sabine_Klaeger/publication/14296526_Viability_and_fertility_of_adult_Onchocerca_volvulus_after_6_years_of_treatment_with_ivermectin/links/542fe44c0cf277d58e924d97.pdf</v>
      </c>
      <c r="AV28" s="697"/>
      <c r="AW28" s="697"/>
      <c r="AX28" s="697" t="str">
        <f>IFERROR(__xludf.DUMMYFUNCTION("""COMPUTED_VALUE"""),"Only specified ""volunteers""")</f>
        <v>Only specified "volunteers"</v>
      </c>
      <c r="AY28" s="697" t="str">
        <f>IFERROR(__xludf.DUMMYFUNCTION("""COMPUTED_VALUE"""),"No")</f>
        <v>No</v>
      </c>
      <c r="AZ28" s="697" t="str">
        <f>IFERROR(__xludf.DUMMYFUNCTION("""COMPUTED_VALUE"""),"Yes")</f>
        <v>Yes</v>
      </c>
      <c r="BA28" s="697"/>
      <c r="BB28" s="697"/>
      <c r="BC28" s="697" t="str">
        <f>IFERROR(__xludf.DUMMYFUNCTION("""COMPUTED_VALUE"""),"Needs to be a flexible approach to distribution")</f>
        <v>Needs to be a flexible approach to distribution</v>
      </c>
      <c r="BD28" s="697"/>
      <c r="BE28" s="697"/>
      <c r="BF28" s="697"/>
      <c r="BG28" s="697"/>
    </row>
    <row r="29">
      <c r="A29" s="697"/>
      <c r="B29" s="697" t="str">
        <f>IFERROR(__xludf.DUMMYFUNCTION("""COMPUTED_VALUE"""),"Klager et al.")</f>
        <v>Klager et al.</v>
      </c>
      <c r="C29" s="697" t="str">
        <f>IFERROR(__xludf.DUMMYFUNCTION("""COMPUTED_VALUE"""),"Sierra Leone")</f>
        <v>Sierra Leone</v>
      </c>
      <c r="D29" s="697" t="str">
        <f>IFERROR(__xludf.DUMMYFUNCTION("""COMPUTED_VALUE"""),"Ivermectin")</f>
        <v>Ivermectin</v>
      </c>
      <c r="E29" s="697"/>
      <c r="F29" s="697">
        <f>IFERROR(__xludf.DUMMYFUNCTION("""COMPUTED_VALUE"""),10.0)</f>
        <v>10</v>
      </c>
      <c r="G29" s="697"/>
      <c r="H29" s="697"/>
      <c r="I29" s="697"/>
      <c r="J29" s="697"/>
      <c r="K29" s="697"/>
      <c r="L29" s="697"/>
      <c r="M29" s="697"/>
      <c r="N29" s="697"/>
      <c r="O29" s="697"/>
      <c r="P29" s="697"/>
      <c r="Q29" s="697"/>
      <c r="R29" s="697"/>
      <c r="S29" s="697"/>
      <c r="T29" s="697"/>
      <c r="U29" s="698">
        <f>IFERROR(__xludf.DUMMYFUNCTION("""COMPUTED_VALUE"""),0.836)</f>
        <v>0.836</v>
      </c>
      <c r="V29" s="697"/>
      <c r="W29" s="697"/>
      <c r="X29" s="697"/>
      <c r="Y29" s="697"/>
      <c r="Z29" s="697"/>
      <c r="AA29" s="697"/>
      <c r="AB29" s="697"/>
      <c r="AC29" s="697"/>
      <c r="AD29" s="697"/>
      <c r="AE29" s="697"/>
      <c r="AF29" s="697"/>
      <c r="AG29" s="697"/>
      <c r="AH29" s="697"/>
      <c r="AI29" s="697"/>
      <c r="AJ29" s="697"/>
      <c r="AK29" s="697"/>
      <c r="AL29" s="697"/>
      <c r="AM29" s="700">
        <f>IFERROR(__xludf.DUMMYFUNCTION("""COMPUTED_VALUE"""),0.92)</f>
        <v>0.92</v>
      </c>
      <c r="AN29" s="698">
        <f>IFERROR(__xludf.DUMMYFUNCTION("""COMPUTED_VALUE"""),0.836)</f>
        <v>0.836</v>
      </c>
      <c r="AO29" s="698">
        <f>IFERROR(__xludf.DUMMYFUNCTION("""COMPUTED_VALUE"""),0.836)</f>
        <v>0.836</v>
      </c>
      <c r="AP29" s="697" t="str">
        <f>IFERROR(__xludf.DUMMYFUNCTION("""COMPUTED_VALUE"""),"Mf reduction; Nodulectomy:worm reproductivity")</f>
        <v>Mf reduction; Nodulectomy:worm reproductivity</v>
      </c>
      <c r="AQ29" s="697"/>
      <c r="AR29" s="697">
        <f>IFERROR(__xludf.DUMMYFUNCTION("""COMPUTED_VALUE"""),1994.0)</f>
        <v>1994</v>
      </c>
      <c r="AS29" s="697"/>
      <c r="AT29" s="697" t="str">
        <f>IFERROR(__xludf.DUMMYFUNCTION("""COMPUTED_VALUE"""),"6 years")</f>
        <v>6 years</v>
      </c>
      <c r="AU29" s="699" t="str">
        <f>IFERROR(__xludf.DUMMYFUNCTION("""COMPUTED_VALUE"""),"Klager, S.L.; Whitworth, J.A.G.; Downhad, M.D.; Viability and fertility of adult Onchocerca volvulus after 6 years of treatment with ivermectin; DOI: 10.1111/j.1365-3156.1996.tb00083 http://www.researchgate.net/profile/Sabine_Klaeger/publication/14296526_"&amp;"Viability_and_fertility_of_adult_Onchocerca_volvulus_after_6_years_of_treatment_with_ivermectin/links/542fe44c0cf277d58e924d97.pdf")</f>
        <v>Klager, S.L.; Whitworth, J.A.G.; Downhad, M.D.; Viability and fertility of adult Onchocerca volvulus after 6 years of treatment with ivermectin; DOI: 10.1111/j.1365-3156.1996.tb00083 http://www.researchgate.net/profile/Sabine_Klaeger/publication/14296526_Viability_and_fertility_of_adult_Onchocerca_volvulus_after_6_years_of_treatment_with_ivermectin/links/542fe44c0cf277d58e924d97.pdf</v>
      </c>
      <c r="AV29" s="697"/>
      <c r="AW29" s="697"/>
      <c r="AX29" s="697"/>
      <c r="AY29" s="697" t="str">
        <f>IFERROR(__xludf.DUMMYFUNCTION("""COMPUTED_VALUE"""),"No")</f>
        <v>No</v>
      </c>
      <c r="AZ29" s="697" t="str">
        <f>IFERROR(__xludf.DUMMYFUNCTION("""COMPUTED_VALUE"""),"Yes")</f>
        <v>Yes</v>
      </c>
      <c r="BA29" s="697"/>
      <c r="BB29" s="697"/>
      <c r="BC29" s="697" t="str">
        <f>IFERROR(__xludf.DUMMYFUNCTION("""COMPUTED_VALUE"""),"Needs to be a flexible approach to distribution")</f>
        <v>Needs to be a flexible approach to distribution</v>
      </c>
      <c r="BD29" s="697"/>
      <c r="BE29" s="697"/>
      <c r="BF29" s="697"/>
      <c r="BG29" s="697"/>
    </row>
    <row r="30">
      <c r="A30" s="697"/>
      <c r="B30" s="697" t="str">
        <f>IFERROR(__xludf.DUMMYFUNCTION("""COMPUTED_VALUE"""),"Debrah et al.")</f>
        <v>Debrah et al.</v>
      </c>
      <c r="C30" s="697" t="str">
        <f>IFERROR(__xludf.DUMMYFUNCTION("""COMPUTED_VALUE"""),"Ghana")</f>
        <v>Ghana</v>
      </c>
      <c r="D30" s="697" t="str">
        <f>IFERROR(__xludf.DUMMYFUNCTION("""COMPUTED_VALUE"""),"Doxycycline (2 week)")</f>
        <v>Doxycycline (2 week)</v>
      </c>
      <c r="E30" s="697" t="str">
        <f>IFERROR(__xludf.DUMMYFUNCTION("""COMPUTED_VALUE"""),"200mg")</f>
        <v>200mg</v>
      </c>
      <c r="F30" s="697">
        <f>IFERROR(__xludf.DUMMYFUNCTION("""COMPUTED_VALUE"""),14.0)</f>
        <v>14</v>
      </c>
      <c r="G30" s="697" t="str">
        <f>IFERROR(__xludf.DUMMYFUNCTION("""COMPUTED_VALUE"""),"2800mg")</f>
        <v>2800mg</v>
      </c>
      <c r="H30" s="697"/>
      <c r="I30" s="697"/>
      <c r="J30" s="697"/>
      <c r="K30" s="697"/>
      <c r="L30" s="697"/>
      <c r="M30" s="697"/>
      <c r="N30" s="697"/>
      <c r="O30" s="697"/>
      <c r="P30" s="697"/>
      <c r="Q30" s="697"/>
      <c r="R30" s="697"/>
      <c r="S30" s="697"/>
      <c r="T30" s="697"/>
      <c r="U30" s="697"/>
      <c r="V30" s="697"/>
      <c r="W30" s="697"/>
      <c r="X30" s="698">
        <f>IFERROR(__xludf.DUMMYFUNCTION("""COMPUTED_VALUE"""),0.648)</f>
        <v>0.648</v>
      </c>
      <c r="Y30" s="697"/>
      <c r="Z30" s="697"/>
      <c r="AA30" s="697"/>
      <c r="AB30" s="697"/>
      <c r="AC30" s="697"/>
      <c r="AD30" s="697"/>
      <c r="AE30" s="697"/>
      <c r="AF30" s="697"/>
      <c r="AG30" s="697"/>
      <c r="AH30" s="697"/>
      <c r="AI30" s="697"/>
      <c r="AJ30" s="697"/>
      <c r="AK30" s="697"/>
      <c r="AL30" s="697"/>
      <c r="AM30" s="697"/>
      <c r="AN30" s="698">
        <f>IFERROR(__xludf.DUMMYFUNCTION("""COMPUTED_VALUE"""),0.648)</f>
        <v>0.648</v>
      </c>
      <c r="AO30" s="698">
        <f>IFERROR(__xludf.DUMMYFUNCTION("""COMPUTED_VALUE"""),0.648)</f>
        <v>0.648</v>
      </c>
      <c r="AP30" s="697" t="str">
        <f>IFERROR(__xludf.DUMMYFUNCTION("""COMPUTED_VALUE"""),"Mf reduction")</f>
        <v>Mf reduction</v>
      </c>
      <c r="AQ30" s="697" t="str">
        <f>IFERROR(__xludf.DUMMYFUNCTION("""COMPUTED_VALUE"""),"Akropong, Buabinso, and Denkyira Fosu")</f>
        <v>Akropong, Buabinso, and Denkyira Fosu</v>
      </c>
      <c r="AR30" s="697">
        <f>IFERROR(__xludf.DUMMYFUNCTION("""COMPUTED_VALUE"""),2002.0)</f>
        <v>2002</v>
      </c>
      <c r="AS30" s="697" t="str">
        <f>IFERROR(__xludf.DUMMYFUNCTION("""COMPUTED_VALUE"""),"8/60")</f>
        <v>8/60</v>
      </c>
      <c r="AT30" s="697" t="str">
        <f>IFERROR(__xludf.DUMMYFUNCTION("""COMPUTED_VALUE"""),"2 years")</f>
        <v>2 years</v>
      </c>
      <c r="AU30" s="699" t="str">
        <f>IFERROR(__xludf.DUMMYFUNCTION("""COMPUTED_VALUE"""),"Debrah, Alexander Yaw; Mandi, Sabine; Marfo-Debrekyei, Yeboah;Larbi, John; Adjei, Ohene; Heorauf, Achim (2006) Assessment of microfilarial loads in the skin of onchocerciasis patients after treatment with different regimens of doxycycline plus ivermectin."&amp;" doi:10.1186/1475-2883-5-1 http://www.filariajournal.com/content/5/1/1")</f>
        <v>Debrah, Alexander Yaw; Mandi, Sabine; Marfo-Debrekyei, Yeboah;Larbi, John; Adjei, Ohene; Heorauf, Achim (2006) Assessment of microfilarial loads in the skin of onchocerciasis patients after treatment with different regimens of doxycycline plus ivermectin. doi:10.1186/1475-2883-5-1 http://www.filariajournal.com/content/5/1/1</v>
      </c>
      <c r="AV30" s="697" t="str">
        <f>IFERROR(__xludf.DUMMYFUNCTION("""COMPUTED_VALUE"""),"M")</f>
        <v>M</v>
      </c>
      <c r="AW30" s="697"/>
      <c r="AX30" s="697" t="str">
        <f>IFERROR(__xludf.DUMMYFUNCTION("""COMPUTED_VALUE"""),"Inclusion criteria included volunteer onchocerciasis patients aged 18–50 years, who were in good general health conditions, and had a mf density of 5 mf or more per skin snip. Exclusion criteria for the study included abnormal hepatic and renal profiles ("&amp;"alkaline phosphatase &gt;200 U/l, glutamate pyruvate transaminase &gt;50 U/l, gamma glutamyl transpeptidase &gt;28 U/l and creatinine &gt;1.2 mg/100 μl) (measured by stick-chemistry) (Reflotron®, Roche Diagnotics, Mannheim, Germany), regular intake of other drugs, kn"&amp;"own mental illness, or other acute or chronic diseases. Women were not selected for doxycycline treatment but were included as control patients and offered ivermectin treatment and nodulectomy.")</f>
        <v>Inclusion criteria included volunteer onchocerciasis patients aged 18–50 years, who were in good general health conditions, and had a mf density of 5 mf or more per skin snip. Exclusion criteria for the study included abnormal hepatic and renal profiles (alkaline phosphatase &gt;200 U/l, glutamate pyruvate transaminase &gt;50 U/l, gamma glutamyl transpeptidase &gt;28 U/l and creatinine &gt;1.2 mg/100 μl) (measured by stick-chemistry) (Reflotron®, Roche Diagnotics, Mannheim, Germany), regular intake of other drugs, known mental illness, or other acute or chronic diseases. Women were not selected for doxycycline treatment but were included as control patients and offered ivermectin treatment and nodulectomy.</v>
      </c>
      <c r="AY30" s="697" t="str">
        <f>IFERROR(__xludf.DUMMYFUNCTION("""COMPUTED_VALUE"""),"No")</f>
        <v>No</v>
      </c>
      <c r="AZ30" s="697" t="str">
        <f>IFERROR(__xludf.DUMMYFUNCTION("""COMPUTED_VALUE"""),"No")</f>
        <v>No</v>
      </c>
      <c r="BA30" s="697"/>
      <c r="BB30" s="697"/>
      <c r="BC30" s="697" t="str">
        <f>IFERROR(__xludf.DUMMYFUNCTION("""COMPUTED_VALUE"""),"For doxycycline treatments, skin mf loads declined in all treatment regiments. In doxycycline plus ivermectin, skin mf counts fell to zeroafter 2 months of drug administration. In conclusion, a 6 week treatment regimen is effective, but too long for effic"&amp;"ient mass treatment. The 2 week regimen was ineffective. However, the 4 week regiment yielded results similar to 6 weeks, but in a shorter time frame. ")</f>
        <v>For doxycycline treatments, skin mf loads declined in all treatment regiments. In doxycycline plus ivermectin, skin mf counts fell to zeroafter 2 months of drug administration. In conclusion, a 6 week treatment regimen is effective, but too long for efficient mass treatment. The 2 week regimen was ineffective. However, the 4 week regiment yielded results similar to 6 weeks, but in a shorter time frame. </v>
      </c>
      <c r="BD30" s="697"/>
      <c r="BE30" s="697"/>
      <c r="BF30" s="697"/>
      <c r="BG30" s="697"/>
    </row>
    <row r="31">
      <c r="A31" s="697"/>
      <c r="B31" s="697" t="str">
        <f>IFERROR(__xludf.DUMMYFUNCTION("""COMPUTED_VALUE"""),"Debrah et al.")</f>
        <v>Debrah et al.</v>
      </c>
      <c r="C31" s="697" t="str">
        <f>IFERROR(__xludf.DUMMYFUNCTION("""COMPUTED_VALUE"""),"Ghana")</f>
        <v>Ghana</v>
      </c>
      <c r="D31" s="697" t="str">
        <f>IFERROR(__xludf.DUMMYFUNCTION("""COMPUTED_VALUE"""),"Doxycycline (4 week)")</f>
        <v>Doxycycline (4 week)</v>
      </c>
      <c r="E31" s="697" t="str">
        <f>IFERROR(__xludf.DUMMYFUNCTION("""COMPUTED_VALUE"""),"200mg")</f>
        <v>200mg</v>
      </c>
      <c r="F31" s="697">
        <f>IFERROR(__xludf.DUMMYFUNCTION("""COMPUTED_VALUE"""),28.0)</f>
        <v>28</v>
      </c>
      <c r="G31" s="697" t="str">
        <f>IFERROR(__xludf.DUMMYFUNCTION("""COMPUTED_VALUE"""),"5600mg")</f>
        <v>5600mg</v>
      </c>
      <c r="H31" s="697"/>
      <c r="I31" s="697"/>
      <c r="J31" s="697"/>
      <c r="K31" s="697"/>
      <c r="L31" s="697"/>
      <c r="M31" s="697"/>
      <c r="N31" s="697"/>
      <c r="O31" s="697"/>
      <c r="P31" s="697"/>
      <c r="Q31" s="697"/>
      <c r="R31" s="697"/>
      <c r="S31" s="697"/>
      <c r="T31" s="697"/>
      <c r="U31" s="697"/>
      <c r="V31" s="697"/>
      <c r="W31" s="697"/>
      <c r="X31" s="698">
        <f>IFERROR(__xludf.DUMMYFUNCTION("""COMPUTED_VALUE"""),0.935)</f>
        <v>0.935</v>
      </c>
      <c r="Y31" s="697"/>
      <c r="Z31" s="697"/>
      <c r="AA31" s="697"/>
      <c r="AB31" s="697"/>
      <c r="AC31" s="697"/>
      <c r="AD31" s="697"/>
      <c r="AE31" s="697"/>
      <c r="AF31" s="697"/>
      <c r="AG31" s="697"/>
      <c r="AH31" s="697"/>
      <c r="AI31" s="697"/>
      <c r="AJ31" s="697"/>
      <c r="AK31" s="697"/>
      <c r="AL31" s="697"/>
      <c r="AM31" s="697"/>
      <c r="AN31" s="698">
        <f>IFERROR(__xludf.DUMMYFUNCTION("""COMPUTED_VALUE"""),0.935)</f>
        <v>0.935</v>
      </c>
      <c r="AO31" s="698">
        <f>IFERROR(__xludf.DUMMYFUNCTION("""COMPUTED_VALUE"""),0.935)</f>
        <v>0.935</v>
      </c>
      <c r="AP31" s="697" t="str">
        <f>IFERROR(__xludf.DUMMYFUNCTION("""COMPUTED_VALUE"""),"Mf reduction")</f>
        <v>Mf reduction</v>
      </c>
      <c r="AQ31" s="697" t="str">
        <f>IFERROR(__xludf.DUMMYFUNCTION("""COMPUTED_VALUE"""),"Akropong, Buabinso, and Denkyira Fosu")</f>
        <v>Akropong, Buabinso, and Denkyira Fosu</v>
      </c>
      <c r="AR31" s="697">
        <f>IFERROR(__xludf.DUMMYFUNCTION("""COMPUTED_VALUE"""),2002.0)</f>
        <v>2002</v>
      </c>
      <c r="AS31" s="697" t="str">
        <f>IFERROR(__xludf.DUMMYFUNCTION("""COMPUTED_VALUE"""),"13/60")</f>
        <v>13/60</v>
      </c>
      <c r="AT31" s="697" t="str">
        <f>IFERROR(__xludf.DUMMYFUNCTION("""COMPUTED_VALUE"""),"2 years")</f>
        <v>2 years</v>
      </c>
      <c r="AU31" s="699" t="str">
        <f>IFERROR(__xludf.DUMMYFUNCTION("""COMPUTED_VALUE"""),"Debrah, Alexander Yaw; Mandi, Sabine; Marfo-Debrekyei, Yeboah;Larbi, John; Adjei, Ohene; Heorauf, Achim (2006) Assessment of microfilarial loads in the skin of onchocerciasis patients after treatment with different regimens of doxycycline plus ivermectin."&amp;" doi:10.1186/1475-2883-5-1 http://www.filariajournal.com/content/5/1/1")</f>
        <v>Debrah, Alexander Yaw; Mandi, Sabine; Marfo-Debrekyei, Yeboah;Larbi, John; Adjei, Ohene; Heorauf, Achim (2006) Assessment of microfilarial loads in the skin of onchocerciasis patients after treatment with different regimens of doxycycline plus ivermectin. doi:10.1186/1475-2883-5-1 http://www.filariajournal.com/content/5/1/1</v>
      </c>
      <c r="AV31" s="697" t="str">
        <f>IFERROR(__xludf.DUMMYFUNCTION("""COMPUTED_VALUE"""),"M")</f>
        <v>M</v>
      </c>
      <c r="AW31" s="697"/>
      <c r="AX31" s="697"/>
      <c r="AY31" s="697" t="str">
        <f>IFERROR(__xludf.DUMMYFUNCTION("""COMPUTED_VALUE"""),"No")</f>
        <v>No</v>
      </c>
      <c r="AZ31" s="697" t="str">
        <f>IFERROR(__xludf.DUMMYFUNCTION("""COMPUTED_VALUE"""),"No")</f>
        <v>No</v>
      </c>
      <c r="BA31" s="697"/>
      <c r="BB31" s="697"/>
      <c r="BC31" s="697" t="str">
        <f>IFERROR(__xludf.DUMMYFUNCTION("""COMPUTED_VALUE"""),"For doxycycline treatments, skin mf loads declined in all treatment regiments. In doxycycline plus ivermectin, skin mf counts fell to zeroafter 2 months of drug administration. In conclusion, a 6 week treatment regimen is effective, but too long for effic"&amp;"ient mass treatment. The 2 week regimen was ineffective. However, the 4 week regiment yielded results similar to 6 weeks, but in a shorter time frame. ")</f>
        <v>For doxycycline treatments, skin mf loads declined in all treatment regiments. In doxycycline plus ivermectin, skin mf counts fell to zeroafter 2 months of drug administration. In conclusion, a 6 week treatment regimen is effective, but too long for efficient mass treatment. The 2 week regimen was ineffective. However, the 4 week regiment yielded results similar to 6 weeks, but in a shorter time frame. </v>
      </c>
      <c r="BD31" s="697"/>
      <c r="BE31" s="697"/>
      <c r="BF31" s="697"/>
      <c r="BG31" s="697"/>
    </row>
    <row r="32">
      <c r="A32" s="697"/>
      <c r="B32" s="697" t="str">
        <f>IFERROR(__xludf.DUMMYFUNCTION("""COMPUTED_VALUE"""),"Debrah et al.")</f>
        <v>Debrah et al.</v>
      </c>
      <c r="C32" s="697" t="str">
        <f>IFERROR(__xludf.DUMMYFUNCTION("""COMPUTED_VALUE"""),"Ghana")</f>
        <v>Ghana</v>
      </c>
      <c r="D32" s="697" t="str">
        <f>IFERROR(__xludf.DUMMYFUNCTION("""COMPUTED_VALUE"""),"Doxycycline (6 week)")</f>
        <v>Doxycycline (6 week)</v>
      </c>
      <c r="E32" s="697" t="str">
        <f>IFERROR(__xludf.DUMMYFUNCTION("""COMPUTED_VALUE"""),"200mg")</f>
        <v>200mg</v>
      </c>
      <c r="F32" s="697">
        <f>IFERROR(__xludf.DUMMYFUNCTION("""COMPUTED_VALUE"""),42.0)</f>
        <v>42</v>
      </c>
      <c r="G32" s="697" t="str">
        <f>IFERROR(__xludf.DUMMYFUNCTION("""COMPUTED_VALUE"""),"8400mg")</f>
        <v>8400mg</v>
      </c>
      <c r="H32" s="697"/>
      <c r="I32" s="697"/>
      <c r="J32" s="697"/>
      <c r="K32" s="697"/>
      <c r="L32" s="697"/>
      <c r="M32" s="697"/>
      <c r="N32" s="697"/>
      <c r="O32" s="697"/>
      <c r="P32" s="697"/>
      <c r="Q32" s="697"/>
      <c r="R32" s="697"/>
      <c r="S32" s="697"/>
      <c r="T32" s="697"/>
      <c r="U32" s="697"/>
      <c r="V32" s="697"/>
      <c r="W32" s="697"/>
      <c r="X32" s="698">
        <f>IFERROR(__xludf.DUMMYFUNCTION("""COMPUTED_VALUE"""),0.993)</f>
        <v>0.993</v>
      </c>
      <c r="Y32" s="697"/>
      <c r="Z32" s="697"/>
      <c r="AA32" s="697"/>
      <c r="AB32" s="697"/>
      <c r="AC32" s="697"/>
      <c r="AD32" s="697"/>
      <c r="AE32" s="697"/>
      <c r="AF32" s="697"/>
      <c r="AG32" s="697"/>
      <c r="AH32" s="697"/>
      <c r="AI32" s="697"/>
      <c r="AJ32" s="697"/>
      <c r="AK32" s="697"/>
      <c r="AL32" s="697"/>
      <c r="AM32" s="697"/>
      <c r="AN32" s="698">
        <f>IFERROR(__xludf.DUMMYFUNCTION("""COMPUTED_VALUE"""),0.993)</f>
        <v>0.993</v>
      </c>
      <c r="AO32" s="698">
        <f>IFERROR(__xludf.DUMMYFUNCTION("""COMPUTED_VALUE"""),0.993)</f>
        <v>0.993</v>
      </c>
      <c r="AP32" s="697" t="str">
        <f>IFERROR(__xludf.DUMMYFUNCTION("""COMPUTED_VALUE"""),"Mf reduction")</f>
        <v>Mf reduction</v>
      </c>
      <c r="AQ32" s="697" t="str">
        <f>IFERROR(__xludf.DUMMYFUNCTION("""COMPUTED_VALUE"""),"Akropong, Buabinso, and Denkyira Fosu")</f>
        <v>Akropong, Buabinso, and Denkyira Fosu</v>
      </c>
      <c r="AR32" s="697">
        <f>IFERROR(__xludf.DUMMYFUNCTION("""COMPUTED_VALUE"""),2002.0)</f>
        <v>2002</v>
      </c>
      <c r="AS32" s="697" t="str">
        <f>IFERROR(__xludf.DUMMYFUNCTION("""COMPUTED_VALUE"""),"3/60")</f>
        <v>3/60</v>
      </c>
      <c r="AT32" s="697" t="str">
        <f>IFERROR(__xludf.DUMMYFUNCTION("""COMPUTED_VALUE"""),"2 years")</f>
        <v>2 years</v>
      </c>
      <c r="AU32" s="699" t="str">
        <f>IFERROR(__xludf.DUMMYFUNCTION("""COMPUTED_VALUE"""),"Debrah, Alexander Yaw; Mandi, Sabine; Marfo-Debrekyei, Yeboah;Larbi, John; Adjei, Ohene; Heorauf, Achim (2006) Assessment of microfilarial loads in the skin of onchocerciasis patients after treatment with different regimens of doxycycline plus ivermectin."&amp;" doi:10.1186/1475-2883-5-1 http://www.filariajournal.com/content/5/1/1")</f>
        <v>Debrah, Alexander Yaw; Mandi, Sabine; Marfo-Debrekyei, Yeboah;Larbi, John; Adjei, Ohene; Heorauf, Achim (2006) Assessment of microfilarial loads in the skin of onchocerciasis patients after treatment with different regimens of doxycycline plus ivermectin. doi:10.1186/1475-2883-5-1 http://www.filariajournal.com/content/5/1/1</v>
      </c>
      <c r="AV32" s="697" t="str">
        <f>IFERROR(__xludf.DUMMYFUNCTION("""COMPUTED_VALUE"""),"M")</f>
        <v>M</v>
      </c>
      <c r="AW32" s="697"/>
      <c r="AX32" s="697"/>
      <c r="AY32" s="697" t="str">
        <f>IFERROR(__xludf.DUMMYFUNCTION("""COMPUTED_VALUE"""),"No")</f>
        <v>No</v>
      </c>
      <c r="AZ32" s="697" t="str">
        <f>IFERROR(__xludf.DUMMYFUNCTION("""COMPUTED_VALUE"""),"No")</f>
        <v>No</v>
      </c>
      <c r="BA32" s="697"/>
      <c r="BB32" s="697"/>
      <c r="BC32" s="697" t="str">
        <f>IFERROR(__xludf.DUMMYFUNCTION("""COMPUTED_VALUE"""),"For doxycycline treatments, skin mf loads declined in all treatment regiments. In doxycycline plus ivermectin, skin mf counts fell to zeroafter 2 months of drug administration. In conclusion, a 6 week treatment regimen is effective, but too long for effic"&amp;"ient mass treatment. The 2 week regimen was ineffective. However, the 4 week regiment yielded results similar to 6 weeks, but in a shorter time frame. ")</f>
        <v>For doxycycline treatments, skin mf loads declined in all treatment regiments. In doxycycline plus ivermectin, skin mf counts fell to zeroafter 2 months of drug administration. In conclusion, a 6 week treatment regimen is effective, but too long for efficient mass treatment. The 2 week regimen was ineffective. However, the 4 week regiment yielded results similar to 6 weeks, but in a shorter time frame. </v>
      </c>
      <c r="BD32" s="697"/>
      <c r="BE32" s="697"/>
      <c r="BF32" s="697"/>
      <c r="BG32" s="697"/>
    </row>
    <row r="33">
      <c r="A33" s="697"/>
      <c r="B33" s="697" t="str">
        <f>IFERROR(__xludf.DUMMYFUNCTION("""COMPUTED_VALUE"""),"Debrah et al.")</f>
        <v>Debrah et al.</v>
      </c>
      <c r="C33" s="697" t="str">
        <f>IFERROR(__xludf.DUMMYFUNCTION("""COMPUTED_VALUE"""),"Ghana")</f>
        <v>Ghana</v>
      </c>
      <c r="D33" s="697" t="str">
        <f>IFERROR(__xludf.DUMMYFUNCTION("""COMPUTED_VALUE"""),"Ivermectin")</f>
        <v>Ivermectin</v>
      </c>
      <c r="E33" s="697" t="str">
        <f>IFERROR(__xludf.DUMMYFUNCTION("""COMPUTED_VALUE"""),"150ug/kg")</f>
        <v>150ug/kg</v>
      </c>
      <c r="F33" s="697">
        <f>IFERROR(__xludf.DUMMYFUNCTION("""COMPUTED_VALUE"""),1.0)</f>
        <v>1</v>
      </c>
      <c r="G33" s="697" t="str">
        <f>IFERROR(__xludf.DUMMYFUNCTION("""COMPUTED_VALUE"""),"150ug/kg")</f>
        <v>150ug/kg</v>
      </c>
      <c r="H33" s="697"/>
      <c r="I33" s="697"/>
      <c r="J33" s="697"/>
      <c r="K33" s="697"/>
      <c r="L33" s="697"/>
      <c r="M33" s="697"/>
      <c r="N33" s="697"/>
      <c r="O33" s="700">
        <f>IFERROR(__xludf.DUMMYFUNCTION("""COMPUTED_VALUE"""),1.0)</f>
        <v>1</v>
      </c>
      <c r="P33" s="697"/>
      <c r="Q33" s="697"/>
      <c r="R33" s="697"/>
      <c r="S33" s="697"/>
      <c r="T33" s="697"/>
      <c r="U33" s="697"/>
      <c r="V33" s="697"/>
      <c r="W33" s="698">
        <f>IFERROR(__xludf.DUMMYFUNCTION("""COMPUTED_VALUE"""),0.8947)</f>
        <v>0.8947</v>
      </c>
      <c r="X33" s="697"/>
      <c r="Y33" s="697"/>
      <c r="Z33" s="697"/>
      <c r="AA33" s="697"/>
      <c r="AB33" s="697"/>
      <c r="AC33" s="697"/>
      <c r="AD33" s="697"/>
      <c r="AE33" s="697"/>
      <c r="AF33" s="697"/>
      <c r="AG33" s="697"/>
      <c r="AH33" s="697"/>
      <c r="AI33" s="697"/>
      <c r="AJ33" s="697"/>
      <c r="AK33" s="697"/>
      <c r="AL33" s="697"/>
      <c r="AM33" s="697"/>
      <c r="AN33" s="700">
        <f>IFERROR(__xludf.DUMMYFUNCTION("""COMPUTED_VALUE"""),1.0)</f>
        <v>1</v>
      </c>
      <c r="AO33" s="698">
        <f>IFERROR(__xludf.DUMMYFUNCTION("""COMPUTED_VALUE"""),1.0)</f>
        <v>1</v>
      </c>
      <c r="AP33" s="697" t="str">
        <f>IFERROR(__xludf.DUMMYFUNCTION("""COMPUTED_VALUE"""),"Mf reduction")</f>
        <v>Mf reduction</v>
      </c>
      <c r="AQ33" s="697" t="str">
        <f>IFERROR(__xludf.DUMMYFUNCTION("""COMPUTED_VALUE"""),"Akropong, Buabinso, and Denkyira Fosu")</f>
        <v>Akropong, Buabinso, and Denkyira Fosu</v>
      </c>
      <c r="AR33" s="697">
        <f>IFERROR(__xludf.DUMMYFUNCTION("""COMPUTED_VALUE"""),2002.0)</f>
        <v>2002</v>
      </c>
      <c r="AS33" s="697" t="str">
        <f>IFERROR(__xludf.DUMMYFUNCTION("""COMPUTED_VALUE"""),"11/60")</f>
        <v>11/60</v>
      </c>
      <c r="AT33" s="697" t="str">
        <f>IFERROR(__xludf.DUMMYFUNCTION("""COMPUTED_VALUE"""),"2 years")</f>
        <v>2 years</v>
      </c>
      <c r="AU33" s="699" t="str">
        <f>IFERROR(__xludf.DUMMYFUNCTION("""COMPUTED_VALUE"""),"Debrah, Alexander Yaw; Mandi, Sabine; Marfo-Debrekyei, Yeboah;Larbi, John; Adjei, Ohene; Heorauf, Achim (2006) Assessment of microfilarial loads in the skin of onchocerciasis patients after treatment with different regimens of doxycycline plus ivermectin."&amp;" doi:10.1186/1475-2883-5-1 http://www.filariajournal.com/content/5/1/1")</f>
        <v>Debrah, Alexander Yaw; Mandi, Sabine; Marfo-Debrekyei, Yeboah;Larbi, John; Adjei, Ohene; Heorauf, Achim (2006) Assessment of microfilarial loads in the skin of onchocerciasis patients after treatment with different regimens of doxycycline plus ivermectin. doi:10.1186/1475-2883-5-1 http://www.filariajournal.com/content/5/1/1</v>
      </c>
      <c r="AV33" s="697" t="str">
        <f>IFERROR(__xludf.DUMMYFUNCTION("""COMPUTED_VALUE"""),"FM")</f>
        <v>FM</v>
      </c>
      <c r="AW33" s="697"/>
      <c r="AX33" s="697"/>
      <c r="AY33" s="697" t="str">
        <f>IFERROR(__xludf.DUMMYFUNCTION("""COMPUTED_VALUE"""),"No")</f>
        <v>No</v>
      </c>
      <c r="AZ33" s="697" t="str">
        <f>IFERROR(__xludf.DUMMYFUNCTION("""COMPUTED_VALUE"""),"No")</f>
        <v>No</v>
      </c>
      <c r="BA33" s="697"/>
      <c r="BB33" s="697"/>
      <c r="BC33" s="697" t="str">
        <f>IFERROR(__xludf.DUMMYFUNCTION("""COMPUTED_VALUE"""),"For doxycycline treatments, skin mf loads declined in all treatment regiments. In doxycycline plus ivermectin, skin mf counts fell to zeroafter 2 months of drug administration. In conclusion, a 6 week treatment regimen is effective, but too long for effic"&amp;"ient mass treatment. The 2 week regimen was ineffective. However, the 4 week regiment yielded results similar to 6 weeks, but in a shorter time frame. ")</f>
        <v>For doxycycline treatments, skin mf loads declined in all treatment regiments. In doxycycline plus ivermectin, skin mf counts fell to zeroafter 2 months of drug administration. In conclusion, a 6 week treatment regimen is effective, but too long for efficient mass treatment. The 2 week regimen was ineffective. However, the 4 week regiment yielded results similar to 6 weeks, but in a shorter time frame. </v>
      </c>
      <c r="BD33" s="697"/>
      <c r="BE33" s="697"/>
      <c r="BF33" s="697"/>
      <c r="BG33" s="697"/>
    </row>
    <row r="34">
      <c r="A34" s="697"/>
      <c r="B34" s="697" t="str">
        <f>IFERROR(__xludf.DUMMYFUNCTION("""COMPUTED_VALUE"""),"Debrah et al.")</f>
        <v>Debrah et al.</v>
      </c>
      <c r="C34" s="697" t="str">
        <f>IFERROR(__xludf.DUMMYFUNCTION("""COMPUTED_VALUE"""),"Ghana")</f>
        <v>Ghana</v>
      </c>
      <c r="D34" s="697" t="str">
        <f>IFERROR(__xludf.DUMMYFUNCTION("""COMPUTED_VALUE"""),"Doxycycline &amp; Ivermectin (4 weeks)")</f>
        <v>Doxycycline &amp; Ivermectin (4 weeks)</v>
      </c>
      <c r="E34" s="697" t="str">
        <f>IFERROR(__xludf.DUMMYFUNCTION("""COMPUTED_VALUE"""),"200mg; 150ug/kg")</f>
        <v>200mg; 150ug/kg</v>
      </c>
      <c r="F34" s="697" t="str">
        <f>IFERROR(__xludf.DUMMYFUNCTION("""COMPUTED_VALUE"""),"28; 1")</f>
        <v>28; 1</v>
      </c>
      <c r="G34" s="697" t="str">
        <f>IFERROR(__xludf.DUMMYFUNCTION("""COMPUTED_VALUE"""),"5600mg; 150 ug/kg ")</f>
        <v>5600mg; 150 ug/kg </v>
      </c>
      <c r="H34" s="697"/>
      <c r="I34" s="697"/>
      <c r="J34" s="697"/>
      <c r="K34" s="697"/>
      <c r="L34" s="697"/>
      <c r="M34" s="697"/>
      <c r="N34" s="697"/>
      <c r="O34" s="697"/>
      <c r="P34" s="697"/>
      <c r="Q34" s="697"/>
      <c r="R34" s="697"/>
      <c r="S34" s="697"/>
      <c r="T34" s="697"/>
      <c r="U34" s="697"/>
      <c r="V34" s="697"/>
      <c r="W34" s="698">
        <f>IFERROR(__xludf.DUMMYFUNCTION("""COMPUTED_VALUE"""),0.9974)</f>
        <v>0.9974</v>
      </c>
      <c r="X34" s="697"/>
      <c r="Y34" s="697"/>
      <c r="Z34" s="697"/>
      <c r="AA34" s="697"/>
      <c r="AB34" s="697"/>
      <c r="AC34" s="697"/>
      <c r="AD34" s="697"/>
      <c r="AE34" s="697"/>
      <c r="AF34" s="697"/>
      <c r="AG34" s="697"/>
      <c r="AH34" s="697"/>
      <c r="AI34" s="697"/>
      <c r="AJ34" s="697"/>
      <c r="AK34" s="697"/>
      <c r="AL34" s="697"/>
      <c r="AM34" s="697"/>
      <c r="AN34" s="698">
        <f>IFERROR(__xludf.DUMMYFUNCTION("""COMPUTED_VALUE"""),0.9974)</f>
        <v>0.9974</v>
      </c>
      <c r="AO34" s="698">
        <f>IFERROR(__xludf.DUMMYFUNCTION("""COMPUTED_VALUE"""),0.9974)</f>
        <v>0.9974</v>
      </c>
      <c r="AP34" s="697" t="str">
        <f>IFERROR(__xludf.DUMMYFUNCTION("""COMPUTED_VALUE"""),"Mf reduction")</f>
        <v>Mf reduction</v>
      </c>
      <c r="AQ34" s="697" t="str">
        <f>IFERROR(__xludf.DUMMYFUNCTION("""COMPUTED_VALUE"""),"Akropong, Buabinso, and Denkyira Fosu")</f>
        <v>Akropong, Buabinso, and Denkyira Fosu</v>
      </c>
      <c r="AR34" s="697">
        <f>IFERROR(__xludf.DUMMYFUNCTION("""COMPUTED_VALUE"""),2002.0)</f>
        <v>2002</v>
      </c>
      <c r="AS34" s="697" t="str">
        <f>IFERROR(__xludf.DUMMYFUNCTION("""COMPUTED_VALUE"""),"7/60")</f>
        <v>7/60</v>
      </c>
      <c r="AT34" s="697" t="str">
        <f>IFERROR(__xludf.DUMMYFUNCTION("""COMPUTED_VALUE"""),"2 years")</f>
        <v>2 years</v>
      </c>
      <c r="AU34" s="699" t="str">
        <f>IFERROR(__xludf.DUMMYFUNCTION("""COMPUTED_VALUE"""),"Debrah, Alexander Yaw; Mandi, Sabine; Marfo-Debrekyei, Yeboah;Larbi, John; Adjei, Ohene; Heorauf, Achim (2006) Assessment of microfilarial loads in the skin of onchocerciasis patients after treatment with different regimens of doxycycline plus ivermectin."&amp;" doi:10.1186/1475-2883-5-1 http://www.filariajournal.com/content/5/1/1")</f>
        <v>Debrah, Alexander Yaw; Mandi, Sabine; Marfo-Debrekyei, Yeboah;Larbi, John; Adjei, Ohene; Heorauf, Achim (2006) Assessment of microfilarial loads in the skin of onchocerciasis patients after treatment with different regimens of doxycycline plus ivermectin. doi:10.1186/1475-2883-5-1 http://www.filariajournal.com/content/5/1/1</v>
      </c>
      <c r="AV34" s="697" t="str">
        <f>IFERROR(__xludf.DUMMYFUNCTION("""COMPUTED_VALUE"""),"FM")</f>
        <v>FM</v>
      </c>
      <c r="AW34" s="697"/>
      <c r="AX34" s="697"/>
      <c r="AY34" s="697" t="str">
        <f>IFERROR(__xludf.DUMMYFUNCTION("""COMPUTED_VALUE"""),"No")</f>
        <v>No</v>
      </c>
      <c r="AZ34" s="697" t="str">
        <f>IFERROR(__xludf.DUMMYFUNCTION("""COMPUTED_VALUE"""),"No")</f>
        <v>No</v>
      </c>
      <c r="BA34" s="697"/>
      <c r="BB34" s="697"/>
      <c r="BC34" s="697" t="str">
        <f>IFERROR(__xludf.DUMMYFUNCTION("""COMPUTED_VALUE"""),"For doxycycline treatments, skin mf loads declined in all treatment regiments. In doxycycline plus ivermectin, skin mf counts fell to zeroafter 2 months of drug administration. In conclusion, a 6 week treatment regimen is effective, but too long for effic"&amp;"ient mass treatment. The 2 week regimen was ineffective. However, the 4 week regiment yielded results similar to 6 weeks, but in a shorter time frame. ")</f>
        <v>For doxycycline treatments, skin mf loads declined in all treatment regiments. In doxycycline plus ivermectin, skin mf counts fell to zeroafter 2 months of drug administration. In conclusion, a 6 week treatment regimen is effective, but too long for efficient mass treatment. The 2 week regimen was ineffective. However, the 4 week regiment yielded results similar to 6 weeks, but in a shorter time frame. </v>
      </c>
      <c r="BD34" s="697"/>
      <c r="BE34" s="697"/>
      <c r="BF34" s="697"/>
      <c r="BG34" s="697"/>
    </row>
    <row r="35">
      <c r="A35" s="697"/>
      <c r="B35" s="697" t="str">
        <f>IFERROR(__xludf.DUMMYFUNCTION("""COMPUTED_VALUE"""),"Debrah et al.")</f>
        <v>Debrah et al.</v>
      </c>
      <c r="C35" s="697" t="str">
        <f>IFERROR(__xludf.DUMMYFUNCTION("""COMPUTED_VALUE"""),"Ghana")</f>
        <v>Ghana</v>
      </c>
      <c r="D35" s="697" t="str">
        <f>IFERROR(__xludf.DUMMYFUNCTION("""COMPUTED_VALUE"""),"Doxycycline &amp; Ivermectin (6 weeks)")</f>
        <v>Doxycycline &amp; Ivermectin (6 weeks)</v>
      </c>
      <c r="E35" s="697" t="str">
        <f>IFERROR(__xludf.DUMMYFUNCTION("""COMPUTED_VALUE"""),"200mg; 150 ug/kg")</f>
        <v>200mg; 150 ug/kg</v>
      </c>
      <c r="F35" s="697" t="str">
        <f>IFERROR(__xludf.DUMMYFUNCTION("""COMPUTED_VALUE"""),"42; 1")</f>
        <v>42; 1</v>
      </c>
      <c r="G35" s="697" t="str">
        <f>IFERROR(__xludf.DUMMYFUNCTION("""COMPUTED_VALUE"""),"8400mg; 150 ug/kg ")</f>
        <v>8400mg; 150 ug/kg </v>
      </c>
      <c r="H35" s="697"/>
      <c r="I35" s="697"/>
      <c r="J35" s="697"/>
      <c r="K35" s="697"/>
      <c r="L35" s="697"/>
      <c r="M35" s="697"/>
      <c r="N35" s="697"/>
      <c r="O35" s="697"/>
      <c r="P35" s="697"/>
      <c r="Q35" s="697"/>
      <c r="R35" s="697"/>
      <c r="S35" s="697"/>
      <c r="T35" s="697"/>
      <c r="U35" s="697"/>
      <c r="V35" s="697"/>
      <c r="W35" s="700">
        <f>IFERROR(__xludf.DUMMYFUNCTION("""COMPUTED_VALUE"""),1.0)</f>
        <v>1</v>
      </c>
      <c r="X35" s="697"/>
      <c r="Y35" s="697"/>
      <c r="Z35" s="697"/>
      <c r="AA35" s="697"/>
      <c r="AB35" s="697"/>
      <c r="AC35" s="697"/>
      <c r="AD35" s="697"/>
      <c r="AE35" s="697"/>
      <c r="AF35" s="697"/>
      <c r="AG35" s="697"/>
      <c r="AH35" s="697"/>
      <c r="AI35" s="697"/>
      <c r="AJ35" s="697"/>
      <c r="AK35" s="697"/>
      <c r="AL35" s="697"/>
      <c r="AM35" s="697"/>
      <c r="AN35" s="700">
        <f>IFERROR(__xludf.DUMMYFUNCTION("""COMPUTED_VALUE"""),1.0)</f>
        <v>1</v>
      </c>
      <c r="AO35" s="698">
        <f>IFERROR(__xludf.DUMMYFUNCTION("""COMPUTED_VALUE"""),1.0)</f>
        <v>1</v>
      </c>
      <c r="AP35" s="697" t="str">
        <f>IFERROR(__xludf.DUMMYFUNCTION("""COMPUTED_VALUE"""),"Mf reduction")</f>
        <v>Mf reduction</v>
      </c>
      <c r="AQ35" s="697" t="str">
        <f>IFERROR(__xludf.DUMMYFUNCTION("""COMPUTED_VALUE"""),"Akropong, Buabinso, and Denkyira Fosu")</f>
        <v>Akropong, Buabinso, and Denkyira Fosu</v>
      </c>
      <c r="AR35" s="697">
        <f>IFERROR(__xludf.DUMMYFUNCTION("""COMPUTED_VALUE"""),2002.0)</f>
        <v>2002</v>
      </c>
      <c r="AS35" s="697" t="str">
        <f>IFERROR(__xludf.DUMMYFUNCTION("""COMPUTED_VALUE"""),"4/60")</f>
        <v>4/60</v>
      </c>
      <c r="AT35" s="697" t="str">
        <f>IFERROR(__xludf.DUMMYFUNCTION("""COMPUTED_VALUE"""),"2 years")</f>
        <v>2 years</v>
      </c>
      <c r="AU35" s="699" t="str">
        <f>IFERROR(__xludf.DUMMYFUNCTION("""COMPUTED_VALUE"""),"Debrah, Alexander Yaw; Mandi, Sabine; Marfo-Debrekyei, Yeboah;Larbi, John; Adjei, Ohene; Heorauf, Achim (2006) Assessment of microfilarial loads in the skin of onchocerciasis patients after treatment with different regimens of doxycycline plus ivermectin."&amp;" doi:10.1186/1475-2883-5-1 http://www.filariajournal.com/content/5/1/1")</f>
        <v>Debrah, Alexander Yaw; Mandi, Sabine; Marfo-Debrekyei, Yeboah;Larbi, John; Adjei, Ohene; Heorauf, Achim (2006) Assessment of microfilarial loads in the skin of onchocerciasis patients after treatment with different regimens of doxycycline plus ivermectin. doi:10.1186/1475-2883-5-1 http://www.filariajournal.com/content/5/1/1</v>
      </c>
      <c r="AV35" s="697" t="str">
        <f>IFERROR(__xludf.DUMMYFUNCTION("""COMPUTED_VALUE"""),"FM")</f>
        <v>FM</v>
      </c>
      <c r="AW35" s="697"/>
      <c r="AX35" s="697"/>
      <c r="AY35" s="697" t="str">
        <f>IFERROR(__xludf.DUMMYFUNCTION("""COMPUTED_VALUE"""),"No")</f>
        <v>No</v>
      </c>
      <c r="AZ35" s="697" t="str">
        <f>IFERROR(__xludf.DUMMYFUNCTION("""COMPUTED_VALUE"""),"No")</f>
        <v>No</v>
      </c>
      <c r="BA35" s="697"/>
      <c r="BB35" s="697"/>
      <c r="BC35" s="697" t="str">
        <f>IFERROR(__xludf.DUMMYFUNCTION("""COMPUTED_VALUE"""),"For doxycycline treatments, skin mf loads declined in all treatment regiments. In doxycycline plus ivermectin, skin mf counts fell to zeroafter 2 months of drug administration. In conclusion, a 6 week treatment regimen is effective, but too long for effic"&amp;"ient mass treatment. The 2 week regimen was ineffective. However, the 4 week regiment yielded results similar to 6 weeks, but in a shorter time frame. ")</f>
        <v>For doxycycline treatments, skin mf loads declined in all treatment regiments. In doxycycline plus ivermectin, skin mf counts fell to zeroafter 2 months of drug administration. In conclusion, a 6 week treatment regimen is effective, but too long for efficient mass treatment. The 2 week regimen was ineffective. However, the 4 week regiment yielded results similar to 6 weeks, but in a shorter time frame. </v>
      </c>
      <c r="BD35" s="697"/>
      <c r="BE35" s="697"/>
      <c r="BF35" s="697"/>
      <c r="BG35" s="697"/>
    </row>
    <row r="36">
      <c r="A36" s="697"/>
      <c r="B36" s="697" t="str">
        <f>IFERROR(__xludf.DUMMYFUNCTION("""COMPUTED_VALUE"""),"Debrah et al.")</f>
        <v>Debrah et al.</v>
      </c>
      <c r="C36" s="697" t="str">
        <f>IFERROR(__xludf.DUMMYFUNCTION("""COMPUTED_VALUE"""),"Ghana")</f>
        <v>Ghana</v>
      </c>
      <c r="D36" s="697" t="str">
        <f>IFERROR(__xludf.DUMMYFUNCTION("""COMPUTED_VALUE"""),"Control")</f>
        <v>Control</v>
      </c>
      <c r="E36" s="697"/>
      <c r="F36" s="697"/>
      <c r="G36" s="697"/>
      <c r="H36" s="697"/>
      <c r="I36" s="697"/>
      <c r="J36" s="697"/>
      <c r="K36" s="697"/>
      <c r="L36" s="697"/>
      <c r="M36" s="697"/>
      <c r="N36" s="697"/>
      <c r="O36" s="697"/>
      <c r="P36" s="697"/>
      <c r="Q36" s="697"/>
      <c r="R36" s="697"/>
      <c r="S36" s="697"/>
      <c r="T36" s="697"/>
      <c r="U36" s="697"/>
      <c r="V36" s="697"/>
      <c r="W36" s="697"/>
      <c r="X36" s="698">
        <f>IFERROR(__xludf.DUMMYFUNCTION("""COMPUTED_VALUE"""),0.754)</f>
        <v>0.754</v>
      </c>
      <c r="Y36" s="697"/>
      <c r="Z36" s="697"/>
      <c r="AA36" s="697"/>
      <c r="AB36" s="697"/>
      <c r="AC36" s="697"/>
      <c r="AD36" s="697"/>
      <c r="AE36" s="697"/>
      <c r="AF36" s="697"/>
      <c r="AG36" s="697"/>
      <c r="AH36" s="697"/>
      <c r="AI36" s="697"/>
      <c r="AJ36" s="697"/>
      <c r="AK36" s="697"/>
      <c r="AL36" s="697"/>
      <c r="AM36" s="697"/>
      <c r="AN36" s="698">
        <f>IFERROR(__xludf.DUMMYFUNCTION("""COMPUTED_VALUE"""),0.754)</f>
        <v>0.754</v>
      </c>
      <c r="AO36" s="698">
        <f>IFERROR(__xludf.DUMMYFUNCTION("""COMPUTED_VALUE"""),0.754)</f>
        <v>0.754</v>
      </c>
      <c r="AP36" s="697" t="str">
        <f>IFERROR(__xludf.DUMMYFUNCTION("""COMPUTED_VALUE"""),"Mf reduction")</f>
        <v>Mf reduction</v>
      </c>
      <c r="AQ36" s="697" t="str">
        <f>IFERROR(__xludf.DUMMYFUNCTION("""COMPUTED_VALUE"""),"Akropong, Buabinso, and Denkyira Fosu")</f>
        <v>Akropong, Buabinso, and Denkyira Fosu</v>
      </c>
      <c r="AR36" s="697">
        <f>IFERROR(__xludf.DUMMYFUNCTION("""COMPUTED_VALUE"""),2002.0)</f>
        <v>2002</v>
      </c>
      <c r="AS36" s="697" t="str">
        <f>IFERROR(__xludf.DUMMYFUNCTION("""COMPUTED_VALUE"""),"14/60")</f>
        <v>14/60</v>
      </c>
      <c r="AT36" s="697" t="str">
        <f>IFERROR(__xludf.DUMMYFUNCTION("""COMPUTED_VALUE"""),"2 years")</f>
        <v>2 years</v>
      </c>
      <c r="AU36" s="699" t="str">
        <f>IFERROR(__xludf.DUMMYFUNCTION("""COMPUTED_VALUE"""),"Debrah, Alexander Yaw; Mandi, Sabine; Marfo-Debrekyei, Yeboah;Larbi, John; Adjei, Ohene; Heorauf, Achim (2006) Assessment of microfilarial loads in the skin of onchocerciasis patients after treatment with different regimens of doxycycline plus ivermectin."&amp;" doi:10.1186/1475-2883-5-1 http://www.filariajournal.com/content/5/1/1")</f>
        <v>Debrah, Alexander Yaw; Mandi, Sabine; Marfo-Debrekyei, Yeboah;Larbi, John; Adjei, Ohene; Heorauf, Achim (2006) Assessment of microfilarial loads in the skin of onchocerciasis patients after treatment with different regimens of doxycycline plus ivermectin. doi:10.1186/1475-2883-5-1 http://www.filariajournal.com/content/5/1/1</v>
      </c>
      <c r="AV36" s="697"/>
      <c r="AW36" s="697"/>
      <c r="AX36" s="697"/>
      <c r="AY36" s="697" t="str">
        <f>IFERROR(__xludf.DUMMYFUNCTION("""COMPUTED_VALUE"""),"No")</f>
        <v>No</v>
      </c>
      <c r="AZ36" s="697" t="str">
        <f>IFERROR(__xludf.DUMMYFUNCTION("""COMPUTED_VALUE"""),"No")</f>
        <v>No</v>
      </c>
      <c r="BA36" s="697"/>
      <c r="BB36" s="697"/>
      <c r="BC36" s="697" t="str">
        <f>IFERROR(__xludf.DUMMYFUNCTION("""COMPUTED_VALUE"""),"For doxycycline treatments, skin mf loads declined in all treatment regiments. In doxycycline plus ivermectin, skin mf counts fell to zeroafter 2 months of drug administration. In conclusion, a 6 week treatment regimen is effective, but too long for effic"&amp;"ient mass treatment. The 2 week regimen was ineffective. However, the 4 week regiment yielded results similar to 6 weeks, but in a shorter time frame. ")</f>
        <v>For doxycycline treatments, skin mf loads declined in all treatment regiments. In doxycycline plus ivermectin, skin mf counts fell to zeroafter 2 months of drug administration. In conclusion, a 6 week treatment regimen is effective, but too long for efficient mass treatment. The 2 week regimen was ineffective. However, the 4 week regiment yielded results similar to 6 weeks, but in a shorter time frame. </v>
      </c>
      <c r="BD36" s="697"/>
      <c r="BE36" s="697"/>
      <c r="BF36" s="697"/>
      <c r="BG36" s="697"/>
    </row>
    <row r="37">
      <c r="A37" s="697"/>
      <c r="B37" s="697" t="str">
        <f>IFERROR(__xludf.DUMMYFUNCTION("""COMPUTED_VALUE"""),"Walker et al.")</f>
        <v>Walker et al.</v>
      </c>
      <c r="C37" s="697"/>
      <c r="D37" s="697" t="str">
        <f>IFERROR(__xludf.DUMMYFUNCTION("""COMPUTED_VALUE"""),"Doxycycline (4 week)")</f>
        <v>Doxycycline (4 week)</v>
      </c>
      <c r="E37" s="697" t="str">
        <f>IFERROR(__xludf.DUMMYFUNCTION("""COMPUTED_VALUE"""),"200mg")</f>
        <v>200mg</v>
      </c>
      <c r="F37" s="697">
        <f>IFERROR(__xludf.DUMMYFUNCTION("""COMPUTED_VALUE"""),28.0)</f>
        <v>28</v>
      </c>
      <c r="G37" s="697" t="str">
        <f>IFERROR(__xludf.DUMMYFUNCTION("""COMPUTED_VALUE"""),"5600 mg")</f>
        <v>5600 mg</v>
      </c>
      <c r="H37" s="697"/>
      <c r="I37" s="697"/>
      <c r="J37" s="697"/>
      <c r="K37" s="697"/>
      <c r="L37" s="700">
        <f>IFERROR(__xludf.DUMMYFUNCTION("""COMPUTED_VALUE"""),0.93)</f>
        <v>0.93</v>
      </c>
      <c r="M37" s="697"/>
      <c r="N37" s="697"/>
      <c r="O37" s="697"/>
      <c r="P37" s="697"/>
      <c r="Q37" s="697"/>
      <c r="R37" s="697"/>
      <c r="S37" s="697"/>
      <c r="T37" s="697"/>
      <c r="U37" s="697"/>
      <c r="V37" s="697"/>
      <c r="W37" s="697"/>
      <c r="X37" s="697"/>
      <c r="Y37" s="697"/>
      <c r="Z37" s="697"/>
      <c r="AA37" s="697"/>
      <c r="AB37" s="697"/>
      <c r="AC37" s="697"/>
      <c r="AD37" s="697"/>
      <c r="AE37" s="697" t="str">
        <f>IFERROR(__xludf.DUMMYFUNCTION("""COMPUTED_VALUE"""),"n/a")</f>
        <v>n/a</v>
      </c>
      <c r="AF37" s="697"/>
      <c r="AG37" s="697"/>
      <c r="AH37" s="697"/>
      <c r="AI37" s="697"/>
      <c r="AJ37" s="697"/>
      <c r="AK37" s="697"/>
      <c r="AL37" s="697"/>
      <c r="AM37" s="697"/>
      <c r="AN37" s="700">
        <f>IFERROR(__xludf.DUMMYFUNCTION("""COMPUTED_VALUE"""),0.93)</f>
        <v>0.93</v>
      </c>
      <c r="AO37" s="698">
        <f>IFERROR(__xludf.DUMMYFUNCTION("""COMPUTED_VALUE"""),0.93)</f>
        <v>0.93</v>
      </c>
      <c r="AP37" s="697" t="str">
        <f>IFERROR(__xludf.DUMMYFUNCTION("""COMPUTED_VALUE"""),"Nodulectomy Mf reduction")</f>
        <v>Nodulectomy Mf reduction</v>
      </c>
      <c r="AQ37" s="697"/>
      <c r="AR37" s="697">
        <f>IFERROR(__xludf.DUMMYFUNCTION("""COMPUTED_VALUE"""),2015.0)</f>
        <v>2015</v>
      </c>
      <c r="AS37" s="697">
        <f>IFERROR(__xludf.DUMMYFUNCTION("""COMPUTED_VALUE"""),14.0)</f>
        <v>14</v>
      </c>
      <c r="AT37" s="697" t="str">
        <f>IFERROR(__xludf.DUMMYFUNCTION("""COMPUTED_VALUE"""),"9.5 Months")</f>
        <v>9.5 Months</v>
      </c>
      <c r="AU37" s="699" t="str">
        <f>IFERROR(__xludf.DUMMYFUNCTION("""COMPUTED_VALUE"""),"Walker, Martin;Specht, Sabine; Churcher, Thomas S.; Heorauf, Achim; Taylor, Mark J.; Basanex, Maria-Gloria (2014) Therapeutic Efficacy and Macrofilaricidal Activity of Doxycycline for the Treatment of River Blindness. doi: 10.1093/cid/ciu1152 http://cid.o"&amp;"xfordjournals.org/content/60/8/1199.full.pdf+html ")</f>
        <v>Walker, Martin;Specht, Sabine; Churcher, Thomas S.; Heorauf, Achim; Taylor, Mark J.; Basanex, Maria-Gloria (2014) Therapeutic Efficacy and Macrofilaricidal Activity of Doxycycline for the Treatment of River Blindness. doi: 10.1093/cid/ciu1152 http://cid.oxfordjournals.org/content/60/8/1199.full.pdf+html </v>
      </c>
      <c r="AV37" s="697"/>
      <c r="AW37" s="697"/>
      <c r="AX37" s="697"/>
      <c r="AY37" s="697" t="str">
        <f>IFERROR(__xludf.DUMMYFUNCTION("""COMPUTED_VALUE"""),"No")</f>
        <v>No</v>
      </c>
      <c r="AZ37" s="697" t="str">
        <f>IFERROR(__xludf.DUMMYFUNCTION("""COMPUTED_VALUE"""),"Yes")</f>
        <v>Yes</v>
      </c>
      <c r="BA37" s="697"/>
      <c r="BB37" s="697"/>
      <c r="BC37" s="697"/>
      <c r="BD37" s="697"/>
      <c r="BE37" s="697"/>
      <c r="BF37" s="697"/>
      <c r="BG37" s="697" t="str">
        <f>IFERROR(__xludf.DUMMYFUNCTION("""COMPUTED_VALUE"""),"x")</f>
        <v>x</v>
      </c>
    </row>
    <row r="38">
      <c r="A38" s="697"/>
      <c r="B38" s="697" t="str">
        <f>IFERROR(__xludf.DUMMYFUNCTION("""COMPUTED_VALUE"""),"Walker et al.")</f>
        <v>Walker et al.</v>
      </c>
      <c r="C38" s="697"/>
      <c r="D38" s="697" t="str">
        <f>IFERROR(__xludf.DUMMYFUNCTION("""COMPUTED_VALUE"""),"Doxycycline (5 week)")</f>
        <v>Doxycycline (5 week)</v>
      </c>
      <c r="E38" s="697" t="str">
        <f>IFERROR(__xludf.DUMMYFUNCTION("""COMPUTED_VALUE"""),"100mg")</f>
        <v>100mg</v>
      </c>
      <c r="F38" s="697">
        <f>IFERROR(__xludf.DUMMYFUNCTION("""COMPUTED_VALUE"""),35.0)</f>
        <v>35</v>
      </c>
      <c r="G38" s="697" t="str">
        <f>IFERROR(__xludf.DUMMYFUNCTION("""COMPUTED_VALUE"""),"3500 mg")</f>
        <v>3500 mg</v>
      </c>
      <c r="H38" s="697"/>
      <c r="I38" s="697"/>
      <c r="J38" s="697"/>
      <c r="K38" s="697"/>
      <c r="L38" s="700">
        <f>IFERROR(__xludf.DUMMYFUNCTION("""COMPUTED_VALUE"""),0.93)</f>
        <v>0.93</v>
      </c>
      <c r="M38" s="697"/>
      <c r="N38" s="697"/>
      <c r="O38" s="697"/>
      <c r="P38" s="697"/>
      <c r="Q38" s="697"/>
      <c r="R38" s="697"/>
      <c r="S38" s="697"/>
      <c r="T38" s="697"/>
      <c r="U38" s="697"/>
      <c r="V38" s="697"/>
      <c r="W38" s="697"/>
      <c r="X38" s="697"/>
      <c r="Y38" s="697"/>
      <c r="Z38" s="697"/>
      <c r="AA38" s="697"/>
      <c r="AB38" s="697"/>
      <c r="AC38" s="697"/>
      <c r="AD38" s="697"/>
      <c r="AE38" s="697" t="str">
        <f>IFERROR(__xludf.DUMMYFUNCTION("""COMPUTED_VALUE"""),"n/a")</f>
        <v>n/a</v>
      </c>
      <c r="AF38" s="697"/>
      <c r="AG38" s="697"/>
      <c r="AH38" s="697"/>
      <c r="AI38" s="697"/>
      <c r="AJ38" s="697"/>
      <c r="AK38" s="697"/>
      <c r="AL38" s="697"/>
      <c r="AM38" s="697"/>
      <c r="AN38" s="700">
        <f>IFERROR(__xludf.DUMMYFUNCTION("""COMPUTED_VALUE"""),0.93)</f>
        <v>0.93</v>
      </c>
      <c r="AO38" s="698">
        <f>IFERROR(__xludf.DUMMYFUNCTION("""COMPUTED_VALUE"""),0.93)</f>
        <v>0.93</v>
      </c>
      <c r="AP38" s="697" t="str">
        <f>IFERROR(__xludf.DUMMYFUNCTION("""COMPUTED_VALUE"""),"Nodulectomy Mf reduction")</f>
        <v>Nodulectomy Mf reduction</v>
      </c>
      <c r="AQ38" s="697"/>
      <c r="AR38" s="697">
        <f>IFERROR(__xludf.DUMMYFUNCTION("""COMPUTED_VALUE"""),2015.0)</f>
        <v>2015</v>
      </c>
      <c r="AS38" s="697">
        <f>IFERROR(__xludf.DUMMYFUNCTION("""COMPUTED_VALUE"""),20.0)</f>
        <v>20</v>
      </c>
      <c r="AT38" s="697" t="str">
        <f>IFERROR(__xludf.DUMMYFUNCTION("""COMPUTED_VALUE"""),"9.5 months")</f>
        <v>9.5 months</v>
      </c>
      <c r="AU38" s="699" t="str">
        <f>IFERROR(__xludf.DUMMYFUNCTION("""COMPUTED_VALUE"""),"Walker, Martin;Specht, Sabine; Churcher, Thomas S.; Heorauf, Achim; Taylor, Mark J.; Basanex, Maria-Gloria (2014) Therapeutic Efficacy and Macrofilaricidal Activity of Doxycycline for the Treatment of River Blindness. doi: 10.1093/cid/ciu1152 http://cid.o"&amp;"xfordjournals.org/content/60/8/1199.full.pdf+html ")</f>
        <v>Walker, Martin;Specht, Sabine; Churcher, Thomas S.; Heorauf, Achim; Taylor, Mark J.; Basanex, Maria-Gloria (2014) Therapeutic Efficacy and Macrofilaricidal Activity of Doxycycline for the Treatment of River Blindness. doi: 10.1093/cid/ciu1152 http://cid.oxfordjournals.org/content/60/8/1199.full.pdf+html </v>
      </c>
      <c r="AV38" s="697"/>
      <c r="AW38" s="697"/>
      <c r="AX38" s="697"/>
      <c r="AY38" s="697" t="str">
        <f>IFERROR(__xludf.DUMMYFUNCTION("""COMPUTED_VALUE"""),"No")</f>
        <v>No</v>
      </c>
      <c r="AZ38" s="697" t="str">
        <f>IFERROR(__xludf.DUMMYFUNCTION("""COMPUTED_VALUE"""),"Yes")</f>
        <v>Yes</v>
      </c>
      <c r="BA38" s="697"/>
      <c r="BB38" s="697"/>
      <c r="BC38" s="697"/>
      <c r="BD38" s="697"/>
      <c r="BE38" s="697"/>
      <c r="BF38" s="697"/>
      <c r="BG38" s="697" t="str">
        <f>IFERROR(__xludf.DUMMYFUNCTION("""COMPUTED_VALUE"""),"x")</f>
        <v>x</v>
      </c>
    </row>
    <row r="39">
      <c r="A39" s="697"/>
      <c r="B39" s="697" t="str">
        <f>IFERROR(__xludf.DUMMYFUNCTION("""COMPUTED_VALUE"""),"Walker et al.")</f>
        <v>Walker et al.</v>
      </c>
      <c r="C39" s="697"/>
      <c r="D39" s="697" t="str">
        <f>IFERROR(__xludf.DUMMYFUNCTION("""COMPUTED_VALUE"""),"Doxycycline (6 week)")</f>
        <v>Doxycycline (6 week)</v>
      </c>
      <c r="E39" s="697" t="str">
        <f>IFERROR(__xludf.DUMMYFUNCTION("""COMPUTED_VALUE"""),"100mg")</f>
        <v>100mg</v>
      </c>
      <c r="F39" s="697">
        <f>IFERROR(__xludf.DUMMYFUNCTION("""COMPUTED_VALUE"""),42.0)</f>
        <v>42</v>
      </c>
      <c r="G39" s="697" t="str">
        <f>IFERROR(__xludf.DUMMYFUNCTION("""COMPUTED_VALUE"""),"4200 mg")</f>
        <v>4200 mg</v>
      </c>
      <c r="H39" s="697"/>
      <c r="I39" s="697"/>
      <c r="J39" s="697"/>
      <c r="K39" s="697"/>
      <c r="L39" s="700">
        <f>IFERROR(__xludf.DUMMYFUNCTION("""COMPUTED_VALUE"""),0.93)</f>
        <v>0.93</v>
      </c>
      <c r="M39" s="697"/>
      <c r="N39" s="697"/>
      <c r="O39" s="697"/>
      <c r="P39" s="697"/>
      <c r="Q39" s="697"/>
      <c r="R39" s="697"/>
      <c r="S39" s="697"/>
      <c r="T39" s="697"/>
      <c r="U39" s="697"/>
      <c r="V39" s="697"/>
      <c r="W39" s="697"/>
      <c r="X39" s="697"/>
      <c r="Y39" s="697"/>
      <c r="Z39" s="697"/>
      <c r="AA39" s="697"/>
      <c r="AB39" s="697"/>
      <c r="AC39" s="697"/>
      <c r="AD39" s="697"/>
      <c r="AE39" s="697" t="str">
        <f>IFERROR(__xludf.DUMMYFUNCTION("""COMPUTED_VALUE"""),"n/a")</f>
        <v>n/a</v>
      </c>
      <c r="AF39" s="697"/>
      <c r="AG39" s="697"/>
      <c r="AH39" s="697"/>
      <c r="AI39" s="697"/>
      <c r="AJ39" s="697"/>
      <c r="AK39" s="697"/>
      <c r="AL39" s="697"/>
      <c r="AM39" s="697"/>
      <c r="AN39" s="700">
        <f>IFERROR(__xludf.DUMMYFUNCTION("""COMPUTED_VALUE"""),0.93)</f>
        <v>0.93</v>
      </c>
      <c r="AO39" s="698">
        <f>IFERROR(__xludf.DUMMYFUNCTION("""COMPUTED_VALUE"""),0.93)</f>
        <v>0.93</v>
      </c>
      <c r="AP39" s="697" t="str">
        <f>IFERROR(__xludf.DUMMYFUNCTION("""COMPUTED_VALUE"""),"Nodulectomy Mf reduction")</f>
        <v>Nodulectomy Mf reduction</v>
      </c>
      <c r="AQ39" s="697"/>
      <c r="AR39" s="697">
        <f>IFERROR(__xludf.DUMMYFUNCTION("""COMPUTED_VALUE"""),2015.0)</f>
        <v>2015</v>
      </c>
      <c r="AS39" s="697">
        <f>IFERROR(__xludf.DUMMYFUNCTION("""COMPUTED_VALUE"""),62.0)</f>
        <v>62</v>
      </c>
      <c r="AT39" s="697" t="str">
        <f>IFERROR(__xludf.DUMMYFUNCTION("""COMPUTED_VALUE"""),"9.5 months")</f>
        <v>9.5 months</v>
      </c>
      <c r="AU39" s="699" t="str">
        <f>IFERROR(__xludf.DUMMYFUNCTION("""COMPUTED_VALUE"""),"Walker, Martin;Specht, Sabine; Churcher, Thomas S.; Heorauf, Achim; Taylor, Mark J.; Basanex, Maria-Gloria (2014) Therapeutic Efficacy and Macrofilaricidal Activity of Doxycycline for the Treatment of River Blindness. doi: 10.1093/cid/ciu1152 http://cid.o"&amp;"xfordjournals.org/content/60/8/1199.full.pdf+html ")</f>
        <v>Walker, Martin;Specht, Sabine; Churcher, Thomas S.; Heorauf, Achim; Taylor, Mark J.; Basanex, Maria-Gloria (2014) Therapeutic Efficacy and Macrofilaricidal Activity of Doxycycline for the Treatment of River Blindness. doi: 10.1093/cid/ciu1152 http://cid.oxfordjournals.org/content/60/8/1199.full.pdf+html </v>
      </c>
      <c r="AV39" s="697"/>
      <c r="AW39" s="697"/>
      <c r="AX39" s="697"/>
      <c r="AY39" s="697" t="str">
        <f>IFERROR(__xludf.DUMMYFUNCTION("""COMPUTED_VALUE"""),"No")</f>
        <v>No</v>
      </c>
      <c r="AZ39" s="697" t="str">
        <f>IFERROR(__xludf.DUMMYFUNCTION("""COMPUTED_VALUE"""),"Yes")</f>
        <v>Yes</v>
      </c>
      <c r="BA39" s="697"/>
      <c r="BB39" s="697"/>
      <c r="BC39" s="697"/>
      <c r="BD39" s="697"/>
      <c r="BE39" s="697"/>
      <c r="BF39" s="697"/>
      <c r="BG39" s="697" t="str">
        <f>IFERROR(__xludf.DUMMYFUNCTION("""COMPUTED_VALUE"""),"x")</f>
        <v>x</v>
      </c>
    </row>
    <row r="40">
      <c r="A40" s="697"/>
      <c r="B40" s="697" t="str">
        <f>IFERROR(__xludf.DUMMYFUNCTION("""COMPUTED_VALUE"""),"Walker et al.")</f>
        <v>Walker et al.</v>
      </c>
      <c r="C40" s="697"/>
      <c r="D40" s="697" t="str">
        <f>IFERROR(__xludf.DUMMYFUNCTION("""COMPUTED_VALUE"""),"Doxycycline (6 week)")</f>
        <v>Doxycycline (6 week)</v>
      </c>
      <c r="E40" s="697" t="str">
        <f>IFERROR(__xludf.DUMMYFUNCTION("""COMPUTED_VALUE"""),"200mg")</f>
        <v>200mg</v>
      </c>
      <c r="F40" s="697">
        <f>IFERROR(__xludf.DUMMYFUNCTION("""COMPUTED_VALUE"""),42.0)</f>
        <v>42</v>
      </c>
      <c r="G40" s="697" t="str">
        <f>IFERROR(__xludf.DUMMYFUNCTION("""COMPUTED_VALUE"""),"8400 mg")</f>
        <v>8400 mg</v>
      </c>
      <c r="H40" s="697"/>
      <c r="I40" s="697"/>
      <c r="J40" s="697"/>
      <c r="K40" s="697"/>
      <c r="L40" s="700">
        <f>IFERROR(__xludf.DUMMYFUNCTION("""COMPUTED_VALUE"""),0.91)</f>
        <v>0.91</v>
      </c>
      <c r="M40" s="697"/>
      <c r="N40" s="697"/>
      <c r="O40" s="697"/>
      <c r="P40" s="697"/>
      <c r="Q40" s="697"/>
      <c r="R40" s="697"/>
      <c r="S40" s="697"/>
      <c r="T40" s="697"/>
      <c r="U40" s="697"/>
      <c r="V40" s="697"/>
      <c r="W40" s="697"/>
      <c r="X40" s="697"/>
      <c r="Y40" s="697"/>
      <c r="Z40" s="697"/>
      <c r="AA40" s="697"/>
      <c r="AB40" s="697"/>
      <c r="AC40" s="697"/>
      <c r="AD40" s="697"/>
      <c r="AE40" s="697" t="str">
        <f>IFERROR(__xludf.DUMMYFUNCTION("""COMPUTED_VALUE"""),"n/a")</f>
        <v>n/a</v>
      </c>
      <c r="AF40" s="697"/>
      <c r="AG40" s="697"/>
      <c r="AH40" s="697"/>
      <c r="AI40" s="697"/>
      <c r="AJ40" s="697"/>
      <c r="AK40" s="697"/>
      <c r="AL40" s="697"/>
      <c r="AM40" s="697"/>
      <c r="AN40" s="700">
        <f>IFERROR(__xludf.DUMMYFUNCTION("""COMPUTED_VALUE"""),0.91)</f>
        <v>0.91</v>
      </c>
      <c r="AO40" s="698">
        <f>IFERROR(__xludf.DUMMYFUNCTION("""COMPUTED_VALUE"""),0.91)</f>
        <v>0.91</v>
      </c>
      <c r="AP40" s="697" t="str">
        <f>IFERROR(__xludf.DUMMYFUNCTION("""COMPUTED_VALUE"""),"Nodulectomy Mf reduction")</f>
        <v>Nodulectomy Mf reduction</v>
      </c>
      <c r="AQ40" s="697"/>
      <c r="AR40" s="697">
        <f>IFERROR(__xludf.DUMMYFUNCTION("""COMPUTED_VALUE"""),2015.0)</f>
        <v>2015</v>
      </c>
      <c r="AS40" s="697">
        <f>IFERROR(__xludf.DUMMYFUNCTION("""COMPUTED_VALUE"""),18.0)</f>
        <v>18</v>
      </c>
      <c r="AT40" s="697" t="str">
        <f>IFERROR(__xludf.DUMMYFUNCTION("""COMPUTED_VALUE"""),"9.5 months")</f>
        <v>9.5 months</v>
      </c>
      <c r="AU40" s="699" t="str">
        <f>IFERROR(__xludf.DUMMYFUNCTION("""COMPUTED_VALUE"""),"Walker, Martin;Specht, Sabine; Churcher, Thomas S.; Heorauf, Achim; Taylor, Mark J.; Basanex, Maria-Gloria (2014) Therapeutic Efficacy and Macrofilaricidal Activity of Doxycycline for the Treatment of River Blindness. doi: 10.1093/cid/ciu1152 http://cid.o"&amp;"xfordjournals.org/content/60/8/1199.full.pdf+html ")</f>
        <v>Walker, Martin;Specht, Sabine; Churcher, Thomas S.; Heorauf, Achim; Taylor, Mark J.; Basanex, Maria-Gloria (2014) Therapeutic Efficacy and Macrofilaricidal Activity of Doxycycline for the Treatment of River Blindness. doi: 10.1093/cid/ciu1152 http://cid.oxfordjournals.org/content/60/8/1199.full.pdf+html </v>
      </c>
      <c r="AV40" s="697"/>
      <c r="AW40" s="697"/>
      <c r="AX40" s="697"/>
      <c r="AY40" s="697" t="str">
        <f>IFERROR(__xludf.DUMMYFUNCTION("""COMPUTED_VALUE"""),"No")</f>
        <v>No</v>
      </c>
      <c r="AZ40" s="697" t="str">
        <f>IFERROR(__xludf.DUMMYFUNCTION("""COMPUTED_VALUE"""),"Yes")</f>
        <v>Yes</v>
      </c>
      <c r="BA40" s="697"/>
      <c r="BB40" s="697"/>
      <c r="BC40" s="697"/>
      <c r="BD40" s="697"/>
      <c r="BE40" s="697"/>
      <c r="BF40" s="697"/>
      <c r="BG40" s="697" t="str">
        <f>IFERROR(__xludf.DUMMYFUNCTION("""COMPUTED_VALUE"""),"x")</f>
        <v>x</v>
      </c>
    </row>
    <row r="41">
      <c r="A41" s="697"/>
      <c r="B41" s="697" t="str">
        <f>IFERROR(__xludf.DUMMYFUNCTION("""COMPUTED_VALUE"""),"Plaiser et al.")</f>
        <v>Plaiser et al.</v>
      </c>
      <c r="C41" s="697" t="str">
        <f>IFERROR(__xludf.DUMMYFUNCTION("""COMPUTED_VALUE"""),"Ghana")</f>
        <v>Ghana</v>
      </c>
      <c r="D41" s="697" t="str">
        <f>IFERROR(__xludf.DUMMYFUNCTION("""COMPUTED_VALUE"""),"Ivermectin")</f>
        <v>Ivermectin</v>
      </c>
      <c r="E41" s="697" t="str">
        <f>IFERROR(__xludf.DUMMYFUNCTION("""COMPUTED_VALUE"""),"130ug/kg-200ug/kg")</f>
        <v>130ug/kg-200ug/kg</v>
      </c>
      <c r="F41" s="697">
        <f>IFERROR(__xludf.DUMMYFUNCTION("""COMPUTED_VALUE"""),5.0)</f>
        <v>5</v>
      </c>
      <c r="G41" s="697" t="str">
        <f>IFERROR(__xludf.DUMMYFUNCTION("""COMPUTED_VALUE"""),"650 ug/kg-1000ug/kg")</f>
        <v>650 ug/kg-1000ug/kg</v>
      </c>
      <c r="H41" s="697"/>
      <c r="I41" s="697"/>
      <c r="J41" s="697"/>
      <c r="K41" s="697"/>
      <c r="L41" s="697"/>
      <c r="M41" s="697"/>
      <c r="N41" s="697"/>
      <c r="O41" s="697"/>
      <c r="P41" s="697"/>
      <c r="Q41" s="697"/>
      <c r="R41" s="697"/>
      <c r="S41" s="697"/>
      <c r="T41" s="697"/>
      <c r="U41" s="697"/>
      <c r="V41" s="697"/>
      <c r="W41" s="700">
        <f>IFERROR(__xludf.DUMMYFUNCTION("""COMPUTED_VALUE"""),0.32)</f>
        <v>0.32</v>
      </c>
      <c r="X41" s="697"/>
      <c r="Y41" s="697"/>
      <c r="Z41" s="697"/>
      <c r="AA41" s="697"/>
      <c r="AB41" s="697"/>
      <c r="AC41" s="697"/>
      <c r="AD41" s="697"/>
      <c r="AE41" s="697" t="str">
        <f>IFERROR(__xludf.DUMMYFUNCTION("""COMPUTED_VALUE"""),"n/a")</f>
        <v>n/a</v>
      </c>
      <c r="AF41" s="697"/>
      <c r="AG41" s="697"/>
      <c r="AH41" s="697"/>
      <c r="AI41" s="697"/>
      <c r="AJ41" s="697"/>
      <c r="AK41" s="697"/>
      <c r="AL41" s="697"/>
      <c r="AM41" s="697"/>
      <c r="AN41" s="700">
        <f>IFERROR(__xludf.DUMMYFUNCTION("""COMPUTED_VALUE"""),0.32)</f>
        <v>0.32</v>
      </c>
      <c r="AO41" s="698">
        <f>IFERROR(__xludf.DUMMYFUNCTION("""COMPUTED_VALUE"""),0.32)</f>
        <v>0.32</v>
      </c>
      <c r="AP41" s="697" t="str">
        <f>IFERROR(__xludf.DUMMYFUNCTION("""COMPUTED_VALUE"""),"Mf reduction")</f>
        <v>Mf reduction</v>
      </c>
      <c r="AQ41" s="697" t="str">
        <f>IFERROR(__xludf.DUMMYFUNCTION("""COMPUTED_VALUE"""),"Asubende, Ghana")</f>
        <v>Asubende, Ghana</v>
      </c>
      <c r="AR41" s="697">
        <f>IFERROR(__xludf.DUMMYFUNCTION("""COMPUTED_VALUE"""),1991.0)</f>
        <v>1991</v>
      </c>
      <c r="AS41" s="697" t="str">
        <f>IFERROR(__xludf.DUMMYFUNCTION("""COMPUTED_VALUE"""),"78; 36")</f>
        <v>78; 36</v>
      </c>
      <c r="AT41" s="697" t="str">
        <f>IFERROR(__xludf.DUMMYFUNCTION("""COMPUTED_VALUE"""),"2 years")</f>
        <v>2 years</v>
      </c>
      <c r="AU41" s="699" t="str">
        <f>IFERROR(__xludf.DUMMYFUNCTION("""COMPUTED_VALUE"""),"Plaisier, A.P.; Alley, E.S.; Boatin, B.A.; Van Oortmarssen, G.J.; Remme, H.; de Vlas, S.J.; Bonneux, L.; Habbema, D.F. (1995) Irreversible Effects of Ivermectin on Adult Parasites in Onchocerciasis Patients in the Onchocerciasis Control Programme in West "&amp;"Africa. The Journal of Infectious Diseases 172(1): 204-210.")</f>
        <v>Plaisier, A.P.; Alley, E.S.; Boatin, B.A.; Van Oortmarssen, G.J.; Remme, H.; de Vlas, S.J.; Bonneux, L.; Habbema, D.F. (1995) Irreversible Effects of Ivermectin on Adult Parasites in Onchocerciasis Patients in the Onchocerciasis Control Programme in West Africa. The Journal of Infectious Diseases 172(1): 204-210.</v>
      </c>
      <c r="AV41" s="697"/>
      <c r="AW41" s="697" t="str">
        <f>IFERROR(__xludf.DUMMYFUNCTION("""COMPUTED_VALUE"""),"Adults only")</f>
        <v>Adults only</v>
      </c>
      <c r="AX41" s="697"/>
      <c r="AY41" s="697" t="str">
        <f>IFERROR(__xludf.DUMMYFUNCTION("""COMPUTED_VALUE"""),"No")</f>
        <v>No</v>
      </c>
      <c r="AZ41" s="697" t="str">
        <f>IFERROR(__xludf.DUMMYFUNCTION("""COMPUTED_VALUE"""),"Yes")</f>
        <v>Yes</v>
      </c>
      <c r="BA41" s="697"/>
      <c r="BB41" s="697"/>
      <c r="BC41" s="697" t="str">
        <f>IFERROR(__xludf.DUMMYFUNCTION("""COMPUTED_VALUE"""),"Our analysis of the results of five consecutive annual treatments provides strong evidence that apart from killing Mf, ivermectin reduces the viability of adult female parasites.")</f>
        <v>Our analysis of the results of five consecutive annual treatments provides strong evidence that apart from killing Mf, ivermectin reduces the viability of adult female parasites.</v>
      </c>
      <c r="BD41" s="697"/>
      <c r="BE41" s="697"/>
      <c r="BF41" s="697"/>
      <c r="BG41" s="697" t="str">
        <f>IFERROR(__xludf.DUMMYFUNCTION("""COMPUTED_VALUE"""),"x")</f>
        <v>x</v>
      </c>
    </row>
    <row r="42">
      <c r="A42" s="697"/>
      <c r="B42" s="697" t="str">
        <f>IFERROR(__xludf.DUMMYFUNCTION("""COMPUTED_VALUE"""),"Perez et al")</f>
        <v>Perez et al</v>
      </c>
      <c r="C42" s="697" t="str">
        <f>IFERROR(__xludf.DUMMYFUNCTION("""COMPUTED_VALUE"""),"Mexico")</f>
        <v>Mexico</v>
      </c>
      <c r="D42" s="697" t="str">
        <f>IFERROR(__xludf.DUMMYFUNCTION("""COMPUTED_VALUE"""),"Ivermectin")</f>
        <v>Ivermectin</v>
      </c>
      <c r="E42" s="697" t="str">
        <f>IFERROR(__xludf.DUMMYFUNCTION("""COMPUTED_VALUE"""),"150ug/kg-220ug/kg")</f>
        <v>150ug/kg-220ug/kg</v>
      </c>
      <c r="F42" s="697">
        <f>IFERROR(__xludf.DUMMYFUNCTION("""COMPUTED_VALUE"""),5.0)</f>
        <v>5</v>
      </c>
      <c r="G42" s="697" t="str">
        <f>IFERROR(__xludf.DUMMYFUNCTION("""COMPUTED_VALUE"""),"750ug/kg - 1100ug/kg")</f>
        <v>750ug/kg - 1100ug/kg</v>
      </c>
      <c r="H42" s="697"/>
      <c r="I42" s="697"/>
      <c r="J42" s="697"/>
      <c r="K42" s="697"/>
      <c r="L42" s="697"/>
      <c r="M42" s="697"/>
      <c r="N42" s="697"/>
      <c r="O42" s="697"/>
      <c r="P42" s="697"/>
      <c r="Q42" s="697"/>
      <c r="R42" s="697"/>
      <c r="S42" s="700">
        <f>IFERROR(__xludf.DUMMYFUNCTION("""COMPUTED_VALUE"""),0.52)</f>
        <v>0.52</v>
      </c>
      <c r="T42" s="697"/>
      <c r="U42" s="697"/>
      <c r="V42" s="697"/>
      <c r="W42" s="697"/>
      <c r="X42" s="697"/>
      <c r="Y42" s="697"/>
      <c r="Z42" s="700">
        <f>IFERROR(__xludf.DUMMYFUNCTION("""COMPUTED_VALUE"""),0.89)</f>
        <v>0.89</v>
      </c>
      <c r="AA42" s="697"/>
      <c r="AB42" s="697"/>
      <c r="AC42" s="697"/>
      <c r="AD42" s="697"/>
      <c r="AE42" s="697"/>
      <c r="AF42" s="697"/>
      <c r="AG42" s="697"/>
      <c r="AH42" s="697"/>
      <c r="AI42" s="697"/>
      <c r="AJ42" s="697"/>
      <c r="AK42" s="697"/>
      <c r="AL42" s="697"/>
      <c r="AM42" s="697"/>
      <c r="AN42" s="700">
        <f>IFERROR(__xludf.DUMMYFUNCTION("""COMPUTED_VALUE"""),0.52)</f>
        <v>0.52</v>
      </c>
      <c r="AO42" s="698">
        <f>IFERROR(__xludf.DUMMYFUNCTION("""COMPUTED_VALUE"""),0.52)</f>
        <v>0.52</v>
      </c>
      <c r="AP42" s="697" t="str">
        <f>IFERROR(__xludf.DUMMYFUNCTION("""COMPUTED_VALUE"""),"Mf reduction")</f>
        <v>Mf reduction</v>
      </c>
      <c r="AQ42" s="697" t="str">
        <f>IFERROR(__xludf.DUMMYFUNCTION("""COMPUTED_VALUE"""),"Los Golondrinas, Southern Chiapas")</f>
        <v>Los Golondrinas, Southern Chiapas</v>
      </c>
      <c r="AR42" s="697">
        <f>IFERROR(__xludf.DUMMYFUNCTION("""COMPUTED_VALUE"""),1993.0)</f>
        <v>1993</v>
      </c>
      <c r="AS42" s="697" t="str">
        <f>IFERROR(__xludf.DUMMYFUNCTION("""COMPUTED_VALUE"""),"279/325")</f>
        <v>279/325</v>
      </c>
      <c r="AT42" s="697" t="str">
        <f>IFERROR(__xludf.DUMMYFUNCTION("""COMPUTED_VALUE"""),"2 years")</f>
        <v>2 years</v>
      </c>
      <c r="AU42" s="699" t="str">
        <f>IFERROR(__xludf.DUMMYFUNCTION("""COMPUTED_VALUE"""),"Rodriguez-Perez, MA, MH Rodriguez, and HM Margeli-Perez. """"Effect of Semiannual Treatments of Ivermectin on the Prevalence and Intensity of Onchocerca Volvulus Skin Infection, Ocular Lesions, and Infectivity of Simulium Ochraceum Populations in Southern"&amp;" Mexico."""" American Journal of Tropical Medicine and Hygiene 52.5 (1995): 429-434. Web. 5 May 2015.")</f>
        <v>Rodriguez-Perez, MA, MH Rodriguez, and HM Margeli-Perez. ""Effect of Semiannual Treatments of Ivermectin on the Prevalence and Intensity of Onchocerca Volvulus Skin Infection, Ocular Lesions, and Infectivity of Simulium Ochraceum Populations in Southern Mexico."" American Journal of Tropical Medicine and Hygiene 52.5 (1995): 429-434. Web. 5 May 2015.</v>
      </c>
      <c r="AV42" s="697" t="str">
        <f>IFERROR(__xludf.DUMMYFUNCTION("""COMPUTED_VALUE"""),"M,F")</f>
        <v>M,F</v>
      </c>
      <c r="AW42" s="697" t="str">
        <f>IFERROR(__xludf.DUMMYFUNCTION("""COMPUTED_VALUE"""),"&gt;6")</f>
        <v>&gt;6</v>
      </c>
      <c r="AX42" s="697" t="str">
        <f>IFERROR(__xludf.DUMMYFUNCTION("""COMPUTED_VALUE"""),"Exclusions: Pregnancy, breast-feeding, history or symptom of neurological disorder")</f>
        <v>Exclusions: Pregnancy, breast-feeding, history or symptom of neurological disorder</v>
      </c>
      <c r="AY42" s="697" t="str">
        <f>IFERROR(__xludf.DUMMYFUNCTION("""COMPUTED_VALUE"""),"No")</f>
        <v>No</v>
      </c>
      <c r="AZ42" s="697" t="str">
        <f>IFERROR(__xludf.DUMMYFUNCTION("""COMPUTED_VALUE"""),"No")</f>
        <v>No</v>
      </c>
      <c r="BA42" s="697"/>
      <c r="BB42" s="697"/>
      <c r="BC42" s="697" t="str">
        <f>IFERROR(__xludf.DUMMYFUNCTION("""COMPUTED_VALUE"""),"Ivermectin mass treatment had a significant impact on the xCMPL and the prevalence of detectable 0. volvulus infections in the human population of Las Golondrinas.")</f>
        <v>Ivermectin mass treatment had a significant impact on the xCMPL and the prevalence of detectable 0. volvulus infections in the human population of Las Golondrinas.</v>
      </c>
      <c r="BD42" s="697" t="str">
        <f>IFERROR(__xludf.DUMMYFUNCTION("""COMPUTED_VALUE"""),"41 emigrated, 54 immigrated, 4 deaths")</f>
        <v>41 emigrated, 54 immigrated, 4 deaths</v>
      </c>
      <c r="BE42" s="697"/>
      <c r="BF42" s="697"/>
      <c r="BG42" s="697" t="str">
        <f>IFERROR(__xludf.DUMMYFUNCTION("""COMPUTED_VALUE"""),"x")</f>
        <v>x</v>
      </c>
    </row>
    <row r="43">
      <c r="A43" s="697"/>
      <c r="B43" s="697" t="str">
        <f>IFERROR(__xludf.DUMMYFUNCTION("""COMPUTED_VALUE"""),"Aziz et al")</f>
        <v>Aziz et al</v>
      </c>
      <c r="C43" s="697" t="str">
        <f>IFERROR(__xludf.DUMMYFUNCTION("""COMPUTED_VALUE"""),"Senegal")</f>
        <v>Senegal</v>
      </c>
      <c r="D43" s="697" t="str">
        <f>IFERROR(__xludf.DUMMYFUNCTION("""COMPUTED_VALUE"""),"Ivermectin")</f>
        <v>Ivermectin</v>
      </c>
      <c r="E43" s="697" t="str">
        <f>IFERROR(__xludf.DUMMYFUNCTION("""COMPUTED_VALUE"""),"5ug/kg")</f>
        <v>5ug/kg</v>
      </c>
      <c r="F43" s="697">
        <f>IFERROR(__xludf.DUMMYFUNCTION("""COMPUTED_VALUE"""),1.0)</f>
        <v>1</v>
      </c>
      <c r="G43" s="697" t="str">
        <f>IFERROR(__xludf.DUMMYFUNCTION("""COMPUTED_VALUE"""),"5 ug/kg ")</f>
        <v>5 ug/kg </v>
      </c>
      <c r="H43" s="697"/>
      <c r="I43" s="697" t="str">
        <f>IFERROR(__xludf.DUMMYFUNCTION("""COMPUTED_VALUE"""),"Increase of 37.14%")</f>
        <v>Increase of 37.14%</v>
      </c>
      <c r="J43" s="697"/>
      <c r="K43" s="697"/>
      <c r="L43" s="697"/>
      <c r="M43" s="697"/>
      <c r="N43" s="697" t="str">
        <f>IFERROR(__xludf.DUMMYFUNCTION("""COMPUTED_VALUE"""),"Increase of 57.14%")</f>
        <v>Increase of 57.14%</v>
      </c>
      <c r="O43" s="698">
        <f>IFERROR(__xludf.DUMMYFUNCTION("""COMPUTED_VALUE"""),0.4286)</f>
        <v>0.4286</v>
      </c>
      <c r="P43" s="697"/>
      <c r="Q43" s="697" t="str">
        <f>IFERROR(__xludf.DUMMYFUNCTION("""COMPUTED_VALUE"""),"Increase of 22.85%")</f>
        <v>Increase of 22.85%</v>
      </c>
      <c r="R43" s="697"/>
      <c r="S43" s="697"/>
      <c r="T43" s="697"/>
      <c r="U43" s="697"/>
      <c r="V43" s="697"/>
      <c r="W43" s="697"/>
      <c r="X43" s="697"/>
      <c r="Y43" s="697"/>
      <c r="Z43" s="697"/>
      <c r="AA43" s="697"/>
      <c r="AB43" s="697"/>
      <c r="AC43" s="697"/>
      <c r="AD43" s="697"/>
      <c r="AE43" s="697"/>
      <c r="AF43" s="697"/>
      <c r="AG43" s="697"/>
      <c r="AH43" s="697"/>
      <c r="AI43" s="697"/>
      <c r="AJ43" s="697"/>
      <c r="AK43" s="697"/>
      <c r="AL43" s="697"/>
      <c r="AM43" s="697"/>
      <c r="AN43" s="697" t="str">
        <f>IFERROR(__xludf.DUMMYFUNCTION("""COMPUTED_VALUE"""),"Increase of 22.85%")</f>
        <v>Increase of 22.85%</v>
      </c>
      <c r="AO43" s="698">
        <f>IFERROR(__xludf.DUMMYFUNCTION("""COMPUTED_VALUE"""),0.2285)</f>
        <v>0.2285</v>
      </c>
      <c r="AP43" s="697" t="str">
        <f>IFERROR(__xludf.DUMMYFUNCTION("""COMPUTED_VALUE"""),"Mf reduction")</f>
        <v>Mf reduction</v>
      </c>
      <c r="AQ43" s="697" t="str">
        <f>IFERROR(__xludf.DUMMYFUNCTION("""COMPUTED_VALUE"""),"University of Dakar Hospital, Senegal")</f>
        <v>University of Dakar Hospital, Senegal</v>
      </c>
      <c r="AR43" s="697">
        <f>IFERROR(__xludf.DUMMYFUNCTION("""COMPUTED_VALUE"""),1982.0)</f>
        <v>1982</v>
      </c>
      <c r="AS43" s="697">
        <f>IFERROR(__xludf.DUMMYFUNCTION("""COMPUTED_VALUE"""),8.0)</f>
        <v>8</v>
      </c>
      <c r="AT43" s="697" t="str">
        <f>IFERROR(__xludf.DUMMYFUNCTION("""COMPUTED_VALUE"""),"42 days")</f>
        <v>42 days</v>
      </c>
      <c r="AU43" s="699" t="str">
        <f>IFERROR(__xludf.DUMMYFUNCTION("""COMPUTED_VALUE"""),"Aziz, M. (1982). Efficacy and tolerance of ivermectin in human onchocerciasis. The Lancet, 320(8291), 171-173."")")</f>
        <v>Aziz, M. (1982). Efficacy and tolerance of ivermectin in human onchocerciasis. The Lancet, 320(8291), 171-173.")</v>
      </c>
      <c r="AV43" s="697" t="str">
        <f>IFERROR(__xludf.DUMMYFUNCTION("""COMPUTED_VALUE"""),"M")</f>
        <v>M</v>
      </c>
      <c r="AW43" s="697" t="str">
        <f>IFERROR(__xludf.DUMMYFUNCTION("""COMPUTED_VALUE"""),"20 - 40")</f>
        <v>20 - 40</v>
      </c>
      <c r="AX43" s="697"/>
      <c r="AY43" s="697" t="str">
        <f>IFERROR(__xludf.DUMMYFUNCTION("""COMPUTED_VALUE"""),"No")</f>
        <v>No</v>
      </c>
      <c r="AZ43" s="697" t="str">
        <f>IFERROR(__xludf.DUMMYFUNCTION("""COMPUTED_VALUE"""),"Yes")</f>
        <v>Yes</v>
      </c>
      <c r="BA43" s="697"/>
      <c r="BB43" s="697"/>
      <c r="BC43" s="697" t="str">
        <f>IFERROR(__xludf.DUMMYFUNCTION("""COMPUTED_VALUE"""),"This is a very old, very limited study with very little likely value to the project. Demonstrates that ivermectin has use in combating onchocerciasis.")</f>
        <v>This is a very old, very limited study with very little likely value to the project. Demonstrates that ivermectin has use in combating onchocerciasis.</v>
      </c>
      <c r="BD43" s="697"/>
      <c r="BE43" s="697"/>
      <c r="BF43" s="697"/>
      <c r="BG43" s="697"/>
    </row>
    <row r="44">
      <c r="A44" s="697"/>
      <c r="B44" s="697" t="str">
        <f>IFERROR(__xludf.DUMMYFUNCTION("""COMPUTED_VALUE"""),"Aziz et al")</f>
        <v>Aziz et al</v>
      </c>
      <c r="C44" s="697" t="str">
        <f>IFERROR(__xludf.DUMMYFUNCTION("""COMPUTED_VALUE"""),"Senegal")</f>
        <v>Senegal</v>
      </c>
      <c r="D44" s="697" t="str">
        <f>IFERROR(__xludf.DUMMYFUNCTION("""COMPUTED_VALUE"""),"Ivermectin")</f>
        <v>Ivermectin</v>
      </c>
      <c r="E44" s="697" t="str">
        <f>IFERROR(__xludf.DUMMYFUNCTION("""COMPUTED_VALUE"""),"10ug/kg")</f>
        <v>10ug/kg</v>
      </c>
      <c r="F44" s="697">
        <f>IFERROR(__xludf.DUMMYFUNCTION("""COMPUTED_VALUE"""),1.0)</f>
        <v>1</v>
      </c>
      <c r="G44" s="697" t="str">
        <f>IFERROR(__xludf.DUMMYFUNCTION("""COMPUTED_VALUE"""),"10 ug/kg Ivermectin")</f>
        <v>10 ug/kg Ivermectin</v>
      </c>
      <c r="H44" s="697"/>
      <c r="I44" s="697" t="str">
        <f>IFERROR(__xludf.DUMMYFUNCTION("""COMPUTED_VALUE"""),"Increase of 58.1%")</f>
        <v>Increase of 58.1%</v>
      </c>
      <c r="J44" s="697"/>
      <c r="K44" s="697"/>
      <c r="L44" s="697"/>
      <c r="M44" s="697"/>
      <c r="N44" s="697" t="str">
        <f>IFERROR(__xludf.DUMMYFUNCTION("""COMPUTED_VALUE"""),"Increase of 38.1%")</f>
        <v>Increase of 38.1%</v>
      </c>
      <c r="O44" s="698">
        <f>IFERROR(__xludf.DUMMYFUNCTION("""COMPUTED_VALUE"""),0.3047)</f>
        <v>0.3047</v>
      </c>
      <c r="P44" s="697"/>
      <c r="Q44" s="697" t="str">
        <f>IFERROR(__xludf.DUMMYFUNCTION("""COMPUTED_VALUE"""),"Increase of 28.57%")</f>
        <v>Increase of 28.57%</v>
      </c>
      <c r="R44" s="697"/>
      <c r="S44" s="697"/>
      <c r="T44" s="697"/>
      <c r="U44" s="697"/>
      <c r="V44" s="697"/>
      <c r="W44" s="697"/>
      <c r="X44" s="697"/>
      <c r="Y44" s="697"/>
      <c r="Z44" s="697"/>
      <c r="AA44" s="697"/>
      <c r="AB44" s="697"/>
      <c r="AC44" s="697"/>
      <c r="AD44" s="697"/>
      <c r="AE44" s="697"/>
      <c r="AF44" s="697"/>
      <c r="AG44" s="697"/>
      <c r="AH44" s="697"/>
      <c r="AI44" s="697"/>
      <c r="AJ44" s="697"/>
      <c r="AK44" s="697"/>
      <c r="AL44" s="697"/>
      <c r="AM44" s="697"/>
      <c r="AN44" s="697" t="str">
        <f>IFERROR(__xludf.DUMMYFUNCTION("""COMPUTED_VALUE"""),"Increase of 28.57%")</f>
        <v>Increase of 28.57%</v>
      </c>
      <c r="AO44" s="698">
        <f>IFERROR(__xludf.DUMMYFUNCTION("""COMPUTED_VALUE"""),0.2857)</f>
        <v>0.2857</v>
      </c>
      <c r="AP44" s="697" t="str">
        <f>IFERROR(__xludf.DUMMYFUNCTION("""COMPUTED_VALUE"""),"Mf reduction")</f>
        <v>Mf reduction</v>
      </c>
      <c r="AQ44" s="697" t="str">
        <f>IFERROR(__xludf.DUMMYFUNCTION("""COMPUTED_VALUE"""),"University of Dakar Hospital, Senegal")</f>
        <v>University of Dakar Hospital, Senegal</v>
      </c>
      <c r="AR44" s="697">
        <f>IFERROR(__xludf.DUMMYFUNCTION("""COMPUTED_VALUE"""),1982.0)</f>
        <v>1982</v>
      </c>
      <c r="AS44" s="697">
        <f>IFERROR(__xludf.DUMMYFUNCTION("""COMPUTED_VALUE"""),8.0)</f>
        <v>8</v>
      </c>
      <c r="AT44" s="697" t="str">
        <f>IFERROR(__xludf.DUMMYFUNCTION("""COMPUTED_VALUE"""),"42 days")</f>
        <v>42 days</v>
      </c>
      <c r="AU44" s="699" t="str">
        <f>IFERROR(__xludf.DUMMYFUNCTION("""COMPUTED_VALUE"""),"Aziz, M. (1982). Efficacy and tolerance of ivermectin in human onchocerciasis. The Lancet, 320(8291), 171-173."")")</f>
        <v>Aziz, M. (1982). Efficacy and tolerance of ivermectin in human onchocerciasis. The Lancet, 320(8291), 171-173.")</v>
      </c>
      <c r="AV44" s="697"/>
      <c r="AW44" s="697"/>
      <c r="AX44" s="697"/>
      <c r="AY44" s="697" t="str">
        <f>IFERROR(__xludf.DUMMYFUNCTION("""COMPUTED_VALUE"""),"No")</f>
        <v>No</v>
      </c>
      <c r="AZ44" s="697" t="str">
        <f>IFERROR(__xludf.DUMMYFUNCTION("""COMPUTED_VALUE"""),"Yes")</f>
        <v>Yes</v>
      </c>
      <c r="BA44" s="697"/>
      <c r="BB44" s="697"/>
      <c r="BC44" s="697" t="str">
        <f>IFERROR(__xludf.DUMMYFUNCTION("""COMPUTED_VALUE"""),"This is a very old, very limited study with very little likely value to the project. Demonstrates that ivermectin has use in combating onchocerciasis.")</f>
        <v>This is a very old, very limited study with very little likely value to the project. Demonstrates that ivermectin has use in combating onchocerciasis.</v>
      </c>
      <c r="BD44" s="697"/>
      <c r="BE44" s="697"/>
      <c r="BF44" s="697"/>
      <c r="BG44" s="697"/>
    </row>
    <row r="45">
      <c r="A45" s="697"/>
      <c r="B45" s="697" t="str">
        <f>IFERROR(__xludf.DUMMYFUNCTION("""COMPUTED_VALUE"""),"Aziz et al")</f>
        <v>Aziz et al</v>
      </c>
      <c r="C45" s="697" t="str">
        <f>IFERROR(__xludf.DUMMYFUNCTION("""COMPUTED_VALUE"""),"Senegal")</f>
        <v>Senegal</v>
      </c>
      <c r="D45" s="697" t="str">
        <f>IFERROR(__xludf.DUMMYFUNCTION("""COMPUTED_VALUE"""),"Ivermectin")</f>
        <v>Ivermectin</v>
      </c>
      <c r="E45" s="697" t="str">
        <f>IFERROR(__xludf.DUMMYFUNCTION("""COMPUTED_VALUE"""),"20ug/kg")</f>
        <v>20ug/kg</v>
      </c>
      <c r="F45" s="697">
        <f>IFERROR(__xludf.DUMMYFUNCTION("""COMPUTED_VALUE"""),1.0)</f>
        <v>1</v>
      </c>
      <c r="G45" s="697" t="str">
        <f>IFERROR(__xludf.DUMMYFUNCTION("""COMPUTED_VALUE"""),"30 ug/kg ")</f>
        <v>30 ug/kg </v>
      </c>
      <c r="H45" s="697"/>
      <c r="I45" s="698">
        <f>IFERROR(__xludf.DUMMYFUNCTION("""COMPUTED_VALUE"""),0.952)</f>
        <v>0.952</v>
      </c>
      <c r="J45" s="697"/>
      <c r="K45" s="697"/>
      <c r="L45" s="697"/>
      <c r="M45" s="697"/>
      <c r="N45" s="698">
        <f>IFERROR(__xludf.DUMMYFUNCTION("""COMPUTED_VALUE"""),0.792)</f>
        <v>0.792</v>
      </c>
      <c r="O45" s="698">
        <f>IFERROR(__xludf.DUMMYFUNCTION("""COMPUTED_VALUE"""),0.776)</f>
        <v>0.776</v>
      </c>
      <c r="P45" s="697"/>
      <c r="Q45" s="700">
        <f>IFERROR(__xludf.DUMMYFUNCTION("""COMPUTED_VALUE"""),0.88)</f>
        <v>0.88</v>
      </c>
      <c r="R45" s="697"/>
      <c r="S45" s="697"/>
      <c r="T45" s="697"/>
      <c r="U45" s="697"/>
      <c r="V45" s="697"/>
      <c r="W45" s="697"/>
      <c r="X45" s="697"/>
      <c r="Y45" s="697"/>
      <c r="Z45" s="697"/>
      <c r="AA45" s="697"/>
      <c r="AB45" s="697"/>
      <c r="AC45" s="697"/>
      <c r="AD45" s="697"/>
      <c r="AE45" s="697"/>
      <c r="AF45" s="697"/>
      <c r="AG45" s="697"/>
      <c r="AH45" s="697"/>
      <c r="AI45" s="697"/>
      <c r="AJ45" s="697"/>
      <c r="AK45" s="697"/>
      <c r="AL45" s="697"/>
      <c r="AM45" s="697"/>
      <c r="AN45" s="700">
        <f>IFERROR(__xludf.DUMMYFUNCTION("""COMPUTED_VALUE"""),0.88)</f>
        <v>0.88</v>
      </c>
      <c r="AO45" s="698">
        <f>IFERROR(__xludf.DUMMYFUNCTION("""COMPUTED_VALUE"""),0.88)</f>
        <v>0.88</v>
      </c>
      <c r="AP45" s="697" t="str">
        <f>IFERROR(__xludf.DUMMYFUNCTION("""COMPUTED_VALUE"""),"Mf reduction")</f>
        <v>Mf reduction</v>
      </c>
      <c r="AQ45" s="697" t="str">
        <f>IFERROR(__xludf.DUMMYFUNCTION("""COMPUTED_VALUE"""),"University of Dakar Hospital, Senegal")</f>
        <v>University of Dakar Hospital, Senegal</v>
      </c>
      <c r="AR45" s="697">
        <f>IFERROR(__xludf.DUMMYFUNCTION("""COMPUTED_VALUE"""),1982.0)</f>
        <v>1982</v>
      </c>
      <c r="AS45" s="697">
        <f>IFERROR(__xludf.DUMMYFUNCTION("""COMPUTED_VALUE"""),8.0)</f>
        <v>8</v>
      </c>
      <c r="AT45" s="697" t="str">
        <f>IFERROR(__xludf.DUMMYFUNCTION("""COMPUTED_VALUE"""),"42 days")</f>
        <v>42 days</v>
      </c>
      <c r="AU45" s="699" t="str">
        <f>IFERROR(__xludf.DUMMYFUNCTION("""COMPUTED_VALUE"""),"Aziz, M. (1982). Efficacy and tolerance of ivermectin in human onchocerciasis. The Lancet, 320(8291), 171-173."")")</f>
        <v>Aziz, M. (1982). Efficacy and tolerance of ivermectin in human onchocerciasis. The Lancet, 320(8291), 171-173.")</v>
      </c>
      <c r="AV45" s="697"/>
      <c r="AW45" s="697"/>
      <c r="AX45" s="697"/>
      <c r="AY45" s="697" t="str">
        <f>IFERROR(__xludf.DUMMYFUNCTION("""COMPUTED_VALUE"""),"No")</f>
        <v>No</v>
      </c>
      <c r="AZ45" s="697" t="str">
        <f>IFERROR(__xludf.DUMMYFUNCTION("""COMPUTED_VALUE"""),"Yes")</f>
        <v>Yes</v>
      </c>
      <c r="BA45" s="697"/>
      <c r="BB45" s="697"/>
      <c r="BC45" s="697" t="str">
        <f>IFERROR(__xludf.DUMMYFUNCTION("""COMPUTED_VALUE"""),"This is a very old, very limited study with very little likely value to the project. Demonstrates that ivermectin has use in combating onchocerciasis.")</f>
        <v>This is a very old, very limited study with very little likely value to the project. Demonstrates that ivermectin has use in combating onchocerciasis.</v>
      </c>
      <c r="BD45" s="697"/>
      <c r="BE45" s="697"/>
      <c r="BF45" s="697"/>
      <c r="BG45" s="697"/>
    </row>
    <row r="46">
      <c r="A46" s="697"/>
      <c r="B46" s="697" t="str">
        <f>IFERROR(__xludf.DUMMYFUNCTION("""COMPUTED_VALUE"""),"Aziz et al")</f>
        <v>Aziz et al</v>
      </c>
      <c r="C46" s="697" t="str">
        <f>IFERROR(__xludf.DUMMYFUNCTION("""COMPUTED_VALUE"""),"Senegal")</f>
        <v>Senegal</v>
      </c>
      <c r="D46" s="697" t="str">
        <f>IFERROR(__xludf.DUMMYFUNCTION("""COMPUTED_VALUE"""),"Ivermectin")</f>
        <v>Ivermectin</v>
      </c>
      <c r="E46" s="697" t="str">
        <f>IFERROR(__xludf.DUMMYFUNCTION("""COMPUTED_VALUE"""),"50ug/kg")</f>
        <v>50ug/kg</v>
      </c>
      <c r="F46" s="697">
        <f>IFERROR(__xludf.DUMMYFUNCTION("""COMPUTED_VALUE"""),1.0)</f>
        <v>1</v>
      </c>
      <c r="G46" s="697" t="str">
        <f>IFERROR(__xludf.DUMMYFUNCTION("""COMPUTED_VALUE"""),"50 ug/kg ")</f>
        <v>50 ug/kg </v>
      </c>
      <c r="H46" s="697"/>
      <c r="I46" s="697"/>
      <c r="J46" s="697"/>
      <c r="K46" s="697"/>
      <c r="L46" s="697"/>
      <c r="M46" s="697"/>
      <c r="N46" s="697"/>
      <c r="O46" s="698">
        <f>IFERROR(__xludf.DUMMYFUNCTION("""COMPUTED_VALUE"""),0.8684)</f>
        <v>0.8684</v>
      </c>
      <c r="P46" s="697"/>
      <c r="Q46" s="698">
        <f>IFERROR(__xludf.DUMMYFUNCTION("""COMPUTED_VALUE"""),0.9605)</f>
        <v>0.9605</v>
      </c>
      <c r="R46" s="697"/>
      <c r="S46" s="697"/>
      <c r="T46" s="697"/>
      <c r="U46" s="697"/>
      <c r="V46" s="697"/>
      <c r="W46" s="697"/>
      <c r="X46" s="697"/>
      <c r="Y46" s="697"/>
      <c r="Z46" s="697"/>
      <c r="AA46" s="697"/>
      <c r="AB46" s="697"/>
      <c r="AC46" s="697"/>
      <c r="AD46" s="697"/>
      <c r="AE46" s="697"/>
      <c r="AF46" s="697"/>
      <c r="AG46" s="697"/>
      <c r="AH46" s="697"/>
      <c r="AI46" s="697"/>
      <c r="AJ46" s="697"/>
      <c r="AK46" s="697"/>
      <c r="AL46" s="697"/>
      <c r="AM46" s="697"/>
      <c r="AN46" s="698">
        <f>IFERROR(__xludf.DUMMYFUNCTION("""COMPUTED_VALUE"""),0.9605)</f>
        <v>0.9605</v>
      </c>
      <c r="AO46" s="698">
        <f>IFERROR(__xludf.DUMMYFUNCTION("""COMPUTED_VALUE"""),0.9605)</f>
        <v>0.9605</v>
      </c>
      <c r="AP46" s="697" t="str">
        <f>IFERROR(__xludf.DUMMYFUNCTION("""COMPUTED_VALUE"""),"Mf reduction")</f>
        <v>Mf reduction</v>
      </c>
      <c r="AQ46" s="697" t="str">
        <f>IFERROR(__xludf.DUMMYFUNCTION("""COMPUTED_VALUE"""),"University of Dakar Hospital, Senegal")</f>
        <v>University of Dakar Hospital, Senegal</v>
      </c>
      <c r="AR46" s="697">
        <f>IFERROR(__xludf.DUMMYFUNCTION("""COMPUTED_VALUE"""),1982.0)</f>
        <v>1982</v>
      </c>
      <c r="AS46" s="697">
        <f>IFERROR(__xludf.DUMMYFUNCTION("""COMPUTED_VALUE"""),8.0)</f>
        <v>8</v>
      </c>
      <c r="AT46" s="697" t="str">
        <f>IFERROR(__xludf.DUMMYFUNCTION("""COMPUTED_VALUE"""),"42 days")</f>
        <v>42 days</v>
      </c>
      <c r="AU46" s="699" t="str">
        <f>IFERROR(__xludf.DUMMYFUNCTION("""COMPUTED_VALUE"""),"Aziz, M. (1982). Efficacy and tolerance of ivermectin in human onchocerciasis. The Lancet, 320(8291), 171-173."")")</f>
        <v>Aziz, M. (1982). Efficacy and tolerance of ivermectin in human onchocerciasis. The Lancet, 320(8291), 171-173.")</v>
      </c>
      <c r="AV46" s="697"/>
      <c r="AW46" s="697"/>
      <c r="AX46" s="697"/>
      <c r="AY46" s="697" t="str">
        <f>IFERROR(__xludf.DUMMYFUNCTION("""COMPUTED_VALUE"""),"No")</f>
        <v>No</v>
      </c>
      <c r="AZ46" s="697" t="str">
        <f>IFERROR(__xludf.DUMMYFUNCTION("""COMPUTED_VALUE"""),"Yes")</f>
        <v>Yes</v>
      </c>
      <c r="BA46" s="697"/>
      <c r="BB46" s="697"/>
      <c r="BC46" s="697" t="str">
        <f>IFERROR(__xludf.DUMMYFUNCTION("""COMPUTED_VALUE"""),"This is a very old, very limited study with very little likely value to the project. Demonstrates that ivermectin has use in combating onchocerciasis.")</f>
        <v>This is a very old, very limited study with very little likely value to the project. Demonstrates that ivermectin has use in combating onchocerciasis.</v>
      </c>
      <c r="BD46" s="697"/>
      <c r="BE46" s="697"/>
      <c r="BF46" s="697"/>
      <c r="BG46" s="697"/>
    </row>
    <row r="47">
      <c r="A47" s="697"/>
      <c r="B47" s="697" t="str">
        <f>IFERROR(__xludf.DUMMYFUNCTION("""COMPUTED_VALUE"""),"Fendt et al")</f>
        <v>Fendt et al</v>
      </c>
      <c r="C47" s="697" t="str">
        <f>IFERROR(__xludf.DUMMYFUNCTION("""COMPUTED_VALUE"""),"Togo")</f>
        <v>Togo</v>
      </c>
      <c r="D47" s="697" t="str">
        <f>IFERROR(__xludf.DUMMYFUNCTION("""COMPUTED_VALUE"""),"Placebo")</f>
        <v>Placebo</v>
      </c>
      <c r="E47" s="697"/>
      <c r="F47" s="697"/>
      <c r="G47" s="697"/>
      <c r="H47" s="697"/>
      <c r="I47" s="697"/>
      <c r="J47" s="700">
        <f>IFERROR(__xludf.DUMMYFUNCTION("""COMPUTED_VALUE"""),0.003)</f>
        <v>0.003</v>
      </c>
      <c r="K47" s="697"/>
      <c r="L47" s="697"/>
      <c r="M47" s="697"/>
      <c r="N47" s="697"/>
      <c r="O47" s="697"/>
      <c r="P47" s="697"/>
      <c r="Q47" s="697"/>
      <c r="R47" s="697"/>
      <c r="S47" s="697"/>
      <c r="T47" s="697"/>
      <c r="U47" s="697"/>
      <c r="V47" s="697"/>
      <c r="W47" s="698">
        <f>IFERROR(__xludf.DUMMYFUNCTION("""COMPUTED_VALUE"""),0.362)</f>
        <v>0.362</v>
      </c>
      <c r="X47" s="697"/>
      <c r="Y47" s="697"/>
      <c r="Z47" s="697"/>
      <c r="AA47" s="697"/>
      <c r="AB47" s="697"/>
      <c r="AC47" s="697"/>
      <c r="AD47" s="697"/>
      <c r="AE47" s="697" t="str">
        <f>IFERROR(__xludf.DUMMYFUNCTION("""COMPUTED_VALUE"""),"n/a")</f>
        <v>n/a</v>
      </c>
      <c r="AF47" s="697"/>
      <c r="AG47" s="697"/>
      <c r="AH47" s="697"/>
      <c r="AI47" s="697"/>
      <c r="AJ47" s="697"/>
      <c r="AK47" s="697"/>
      <c r="AL47" s="697"/>
      <c r="AM47" s="697"/>
      <c r="AN47" s="698">
        <f>IFERROR(__xludf.DUMMYFUNCTION("""COMPUTED_VALUE"""),0.362)</f>
        <v>0.362</v>
      </c>
      <c r="AO47" s="698">
        <f>IFERROR(__xludf.DUMMYFUNCTION("""COMPUTED_VALUE"""),0.362)</f>
        <v>0.362</v>
      </c>
      <c r="AP47" s="697" t="str">
        <f>IFERROR(__xludf.DUMMYFUNCTION("""COMPUTED_VALUE"""),"Mf reduction")</f>
        <v>Mf reduction</v>
      </c>
      <c r="AQ47" s="697" t="str">
        <f>IFERROR(__xludf.DUMMYFUNCTION("""COMPUTED_VALUE"""),"Kara region")</f>
        <v>Kara region</v>
      </c>
      <c r="AR47" s="697">
        <f>IFERROR(__xludf.DUMMYFUNCTION("""COMPUTED_VALUE"""),2005.0)</f>
        <v>2005</v>
      </c>
      <c r="AS47" s="697">
        <f>IFERROR(__xludf.DUMMYFUNCTION("""COMPUTED_VALUE"""),37.0)</f>
        <v>37</v>
      </c>
      <c r="AT47" s="697" t="str">
        <f>IFERROR(__xludf.DUMMYFUNCTION("""COMPUTED_VALUE"""),"1 year")</f>
        <v>1 year</v>
      </c>
      <c r="AU47" s="699" t="str">
        <f>IFERROR(__xludf.DUMMYFUNCTION("""COMPUTED_VALUE""")," Fendt J, Hamm DM, Banla M, Schulz-Key H, Wolf H, et al. (2005) Chemokines in onchocerciasis patients after a single dose of ivermectin. Clin Exp Immunol 142: 318–326")</f>
        <v> Fendt J, Hamm DM, Banla M, Schulz-Key H, Wolf H, et al. (2005) Chemokines in onchocerciasis patients after a single dose of ivermectin. Clin Exp Immunol 142: 318–326</v>
      </c>
      <c r="AV47" s="697" t="str">
        <f>IFERROR(__xludf.DUMMYFUNCTION("""COMPUTED_VALUE"""),"32M/5F")</f>
        <v>32M/5F</v>
      </c>
      <c r="AW47" s="697" t="str">
        <f>IFERROR(__xludf.DUMMYFUNCTION("""COMPUTED_VALUE"""),"Median age: 33; 15-60")</f>
        <v>Median age: 33; 15-60</v>
      </c>
      <c r="AX47" s="697" t="str">
        <f>IFERROR(__xludf.DUMMYFUNCTION("""COMPUTED_VALUE"""),"Inclusions: weighed over 30kg, without history of multiple allergies or drug intolerance Exclusions: pregnant, infected with Loa loa or Wucheria bancrofti, central nervous diseases, or meningitis. ")</f>
        <v>Inclusions: weighed over 30kg, without history of multiple allergies or drug intolerance Exclusions: pregnant, infected with Loa loa or Wucheria bancrofti, central nervous diseases, or meningitis. </v>
      </c>
      <c r="AY47" s="697" t="str">
        <f>IFERROR(__xludf.DUMMYFUNCTION("""COMPUTED_VALUE"""),"Yes")</f>
        <v>Yes</v>
      </c>
      <c r="AZ47" s="697" t="str">
        <f>IFERROR(__xludf.DUMMYFUNCTION("""COMPUTED_VALUE"""),"No")</f>
        <v>No</v>
      </c>
      <c r="BA47" s="697"/>
      <c r="BB47" s="697"/>
      <c r="BC47" s="697" t="str">
        <f>IFERROR(__xludf.DUMMYFUNCTION("""COMPUTED_VALUE"""),"Ivermectin treatment causes MF to dissapear from the skin within 2-3 days, but why this happens is still incompletely understood. ")</f>
        <v>Ivermectin treatment causes MF to dissapear from the skin within 2-3 days, but why this happens is still incompletely understood. </v>
      </c>
      <c r="BD47" s="697"/>
      <c r="BE47" s="697"/>
      <c r="BF47" s="697"/>
      <c r="BG47" s="697"/>
    </row>
    <row r="48">
      <c r="A48" s="697"/>
      <c r="B48" s="697" t="str">
        <f>IFERROR(__xludf.DUMMYFUNCTION("""COMPUTED_VALUE"""),"Fendt et al")</f>
        <v>Fendt et al</v>
      </c>
      <c r="C48" s="697" t="str">
        <f>IFERROR(__xludf.DUMMYFUNCTION("""COMPUTED_VALUE"""),"Togo")</f>
        <v>Togo</v>
      </c>
      <c r="D48" s="697" t="str">
        <f>IFERROR(__xludf.DUMMYFUNCTION("""COMPUTED_VALUE"""),"Ivermectin")</f>
        <v>Ivermectin</v>
      </c>
      <c r="E48" s="697" t="str">
        <f>IFERROR(__xludf.DUMMYFUNCTION("""COMPUTED_VALUE"""),"100ug/kg")</f>
        <v>100ug/kg</v>
      </c>
      <c r="F48" s="697">
        <f>IFERROR(__xludf.DUMMYFUNCTION("""COMPUTED_VALUE"""),1.0)</f>
        <v>1</v>
      </c>
      <c r="G48" s="697" t="str">
        <f>IFERROR(__xludf.DUMMYFUNCTION("""COMPUTED_VALUE"""),"100 ug/kg")</f>
        <v>100 ug/kg</v>
      </c>
      <c r="H48" s="697"/>
      <c r="I48" s="697"/>
      <c r="J48" s="700">
        <f>IFERROR(__xludf.DUMMYFUNCTION("""COMPUTED_VALUE"""),0.752)</f>
        <v>0.752</v>
      </c>
      <c r="K48" s="697"/>
      <c r="L48" s="697"/>
      <c r="M48" s="697"/>
      <c r="N48" s="697"/>
      <c r="O48" s="697"/>
      <c r="P48" s="697"/>
      <c r="Q48" s="700">
        <f>IFERROR(__xludf.DUMMYFUNCTION("""COMPUTED_VALUE"""),0.97)</f>
        <v>0.97</v>
      </c>
      <c r="R48" s="697"/>
      <c r="S48" s="700">
        <f>IFERROR(__xludf.DUMMYFUNCTION("""COMPUTED_VALUE"""),0.97)</f>
        <v>0.97</v>
      </c>
      <c r="T48" s="697"/>
      <c r="U48" s="697"/>
      <c r="V48" s="697"/>
      <c r="W48" s="700">
        <f>IFERROR(__xludf.DUMMYFUNCTION("""COMPUTED_VALUE"""),0.9)</f>
        <v>0.9</v>
      </c>
      <c r="X48" s="697"/>
      <c r="Y48" s="697"/>
      <c r="Z48" s="697"/>
      <c r="AA48" s="697"/>
      <c r="AB48" s="697"/>
      <c r="AC48" s="697"/>
      <c r="AD48" s="697"/>
      <c r="AE48" s="697" t="str">
        <f>IFERROR(__xludf.DUMMYFUNCTION("""COMPUTED_VALUE"""),"n/a")</f>
        <v>n/a</v>
      </c>
      <c r="AF48" s="697"/>
      <c r="AG48" s="697"/>
      <c r="AH48" s="697"/>
      <c r="AI48" s="697"/>
      <c r="AJ48" s="697"/>
      <c r="AK48" s="697"/>
      <c r="AL48" s="697"/>
      <c r="AM48" s="697"/>
      <c r="AN48" s="700">
        <f>IFERROR(__xludf.DUMMYFUNCTION("""COMPUTED_VALUE"""),0.97)</f>
        <v>0.97</v>
      </c>
      <c r="AO48" s="698">
        <f>IFERROR(__xludf.DUMMYFUNCTION("""COMPUTED_VALUE"""),0.97)</f>
        <v>0.97</v>
      </c>
      <c r="AP48" s="697" t="str">
        <f>IFERROR(__xludf.DUMMYFUNCTION("""COMPUTED_VALUE"""),"Mf reduction")</f>
        <v>Mf reduction</v>
      </c>
      <c r="AQ48" s="697" t="str">
        <f>IFERROR(__xludf.DUMMYFUNCTION("""COMPUTED_VALUE"""),"Kara Region")</f>
        <v>Kara Region</v>
      </c>
      <c r="AR48" s="697">
        <f>IFERROR(__xludf.DUMMYFUNCTION("""COMPUTED_VALUE"""),2005.0)</f>
        <v>2005</v>
      </c>
      <c r="AS48" s="697">
        <f>IFERROR(__xludf.DUMMYFUNCTION("""COMPUTED_VALUE"""),13.0)</f>
        <v>13</v>
      </c>
      <c r="AT48" s="697" t="str">
        <f>IFERROR(__xludf.DUMMYFUNCTION("""COMPUTED_VALUE"""),"1 year")</f>
        <v>1 year</v>
      </c>
      <c r="AU48" s="699" t="str">
        <f>IFERROR(__xludf.DUMMYFUNCTION("""COMPUTED_VALUE""")," Fendt J, Hamm DM, Banla M, Schulz-Key H, Wolf H, et al. (2005) Chemokines in onchocerciasis patients after a single dose of ivermectin. Clin Exp Immunol 142: 318–326")</f>
        <v> Fendt J, Hamm DM, Banla M, Schulz-Key H, Wolf H, et al. (2005) Chemokines in onchocerciasis patients after a single dose of ivermectin. Clin Exp Immunol 142: 318–326</v>
      </c>
      <c r="AV48" s="697" t="str">
        <f>IFERROR(__xludf.DUMMYFUNCTION("""COMPUTED_VALUE"""),"12M/1F")</f>
        <v>12M/1F</v>
      </c>
      <c r="AW48" s="697" t="str">
        <f>IFERROR(__xludf.DUMMYFUNCTION("""COMPUTED_VALUE"""),"Median age: 30; 12-46")</f>
        <v>Median age: 30; 12-46</v>
      </c>
      <c r="AX48" s="697"/>
      <c r="AY48" s="697" t="str">
        <f>IFERROR(__xludf.DUMMYFUNCTION("""COMPUTED_VALUE"""),"Yes")</f>
        <v>Yes</v>
      </c>
      <c r="AZ48" s="697" t="str">
        <f>IFERROR(__xludf.DUMMYFUNCTION("""COMPUTED_VALUE"""),"No")</f>
        <v>No</v>
      </c>
      <c r="BA48" s="697"/>
      <c r="BB48" s="697"/>
      <c r="BC48" s="697" t="str">
        <f>IFERROR(__xludf.DUMMYFUNCTION("""COMPUTED_VALUE"""),"Ivermectin treatment causes MF to dissapear from the skin within 2-3 days, but why this happens is still incompletely understood. ")</f>
        <v>Ivermectin treatment causes MF to dissapear from the skin within 2-3 days, but why this happens is still incompletely understood. </v>
      </c>
      <c r="BD48" s="697"/>
      <c r="BE48" s="697"/>
      <c r="BF48" s="697"/>
      <c r="BG48" s="697"/>
    </row>
    <row r="49">
      <c r="A49" s="697"/>
      <c r="B49" s="697" t="str">
        <f>IFERROR(__xludf.DUMMYFUNCTION("""COMPUTED_VALUE"""),"Fendt et al")</f>
        <v>Fendt et al</v>
      </c>
      <c r="C49" s="697" t="str">
        <f>IFERROR(__xludf.DUMMYFUNCTION("""COMPUTED_VALUE"""),"Togo")</f>
        <v>Togo</v>
      </c>
      <c r="D49" s="697" t="str">
        <f>IFERROR(__xludf.DUMMYFUNCTION("""COMPUTED_VALUE"""),"Ivermectin")</f>
        <v>Ivermectin</v>
      </c>
      <c r="E49" s="697" t="str">
        <f>IFERROR(__xludf.DUMMYFUNCTION("""COMPUTED_VALUE"""),"150ug/kg")</f>
        <v>150ug/kg</v>
      </c>
      <c r="F49" s="697">
        <f>IFERROR(__xludf.DUMMYFUNCTION("""COMPUTED_VALUE"""),1.0)</f>
        <v>1</v>
      </c>
      <c r="G49" s="697" t="str">
        <f>IFERROR(__xludf.DUMMYFUNCTION("""COMPUTED_VALUE"""),"150ug/kg")</f>
        <v>150ug/kg</v>
      </c>
      <c r="H49" s="697"/>
      <c r="I49" s="697"/>
      <c r="J49" s="700">
        <f>IFERROR(__xludf.DUMMYFUNCTION("""COMPUTED_VALUE"""),0.83)</f>
        <v>0.83</v>
      </c>
      <c r="K49" s="697"/>
      <c r="L49" s="697"/>
      <c r="M49" s="697"/>
      <c r="N49" s="697"/>
      <c r="O49" s="697"/>
      <c r="P49" s="697"/>
      <c r="Q49" s="700">
        <f>IFERROR(__xludf.DUMMYFUNCTION("""COMPUTED_VALUE"""),0.97)</f>
        <v>0.97</v>
      </c>
      <c r="R49" s="697"/>
      <c r="S49" s="700">
        <f>IFERROR(__xludf.DUMMYFUNCTION("""COMPUTED_VALUE"""),0.97)</f>
        <v>0.97</v>
      </c>
      <c r="T49" s="697"/>
      <c r="U49" s="697"/>
      <c r="V49" s="697"/>
      <c r="W49" s="700">
        <f>IFERROR(__xludf.DUMMYFUNCTION("""COMPUTED_VALUE"""),0.9)</f>
        <v>0.9</v>
      </c>
      <c r="X49" s="697"/>
      <c r="Y49" s="697"/>
      <c r="Z49" s="697"/>
      <c r="AA49" s="697"/>
      <c r="AB49" s="697"/>
      <c r="AC49" s="697"/>
      <c r="AD49" s="697"/>
      <c r="AE49" s="697" t="str">
        <f>IFERROR(__xludf.DUMMYFUNCTION("""COMPUTED_VALUE"""),"n/a")</f>
        <v>n/a</v>
      </c>
      <c r="AF49" s="697"/>
      <c r="AG49" s="697"/>
      <c r="AH49" s="697"/>
      <c r="AI49" s="697"/>
      <c r="AJ49" s="697"/>
      <c r="AK49" s="697"/>
      <c r="AL49" s="697"/>
      <c r="AM49" s="697"/>
      <c r="AN49" s="700">
        <f>IFERROR(__xludf.DUMMYFUNCTION("""COMPUTED_VALUE"""),0.97)</f>
        <v>0.97</v>
      </c>
      <c r="AO49" s="698">
        <f>IFERROR(__xludf.DUMMYFUNCTION("""COMPUTED_VALUE"""),0.97)</f>
        <v>0.97</v>
      </c>
      <c r="AP49" s="697" t="str">
        <f>IFERROR(__xludf.DUMMYFUNCTION("""COMPUTED_VALUE"""),"Mf reduction")</f>
        <v>Mf reduction</v>
      </c>
      <c r="AQ49" s="697" t="str">
        <f>IFERROR(__xludf.DUMMYFUNCTION("""COMPUTED_VALUE"""),"Kara Region")</f>
        <v>Kara Region</v>
      </c>
      <c r="AR49" s="697">
        <f>IFERROR(__xludf.DUMMYFUNCTION("""COMPUTED_VALUE"""),2005.0)</f>
        <v>2005</v>
      </c>
      <c r="AS49" s="697">
        <f>IFERROR(__xludf.DUMMYFUNCTION("""COMPUTED_VALUE"""),8.0)</f>
        <v>8</v>
      </c>
      <c r="AT49" s="697" t="str">
        <f>IFERROR(__xludf.DUMMYFUNCTION("""COMPUTED_VALUE"""),"1 year")</f>
        <v>1 year</v>
      </c>
      <c r="AU49" s="699" t="str">
        <f>IFERROR(__xludf.DUMMYFUNCTION("""COMPUTED_VALUE""")," Fendt J, Hamm DM, Banla M, Schulz-Key H, Wolf H, et al. (2005) Chemokines in onchocerciasis patients after a single dose of ivermectin. Clin Exp Immunol 142: 318–326")</f>
        <v> Fendt J, Hamm DM, Banla M, Schulz-Key H, Wolf H, et al. (2005) Chemokines in onchocerciasis patients after a single dose of ivermectin. Clin Exp Immunol 142: 318–326</v>
      </c>
      <c r="AV49" s="697" t="str">
        <f>IFERROR(__xludf.DUMMYFUNCTION("""COMPUTED_VALUE"""),"8M/0F")</f>
        <v>8M/0F</v>
      </c>
      <c r="AW49" s="697" t="str">
        <f>IFERROR(__xludf.DUMMYFUNCTION("""COMPUTED_VALUE"""),"Median age: 20; 15-37")</f>
        <v>Median age: 20; 15-37</v>
      </c>
      <c r="AX49" s="697"/>
      <c r="AY49" s="697" t="str">
        <f>IFERROR(__xludf.DUMMYFUNCTION("""COMPUTED_VALUE"""),"Yes")</f>
        <v>Yes</v>
      </c>
      <c r="AZ49" s="697" t="str">
        <f>IFERROR(__xludf.DUMMYFUNCTION("""COMPUTED_VALUE"""),"No")</f>
        <v>No</v>
      </c>
      <c r="BA49" s="697"/>
      <c r="BB49" s="697"/>
      <c r="BC49" s="697" t="str">
        <f>IFERROR(__xludf.DUMMYFUNCTION("""COMPUTED_VALUE"""),"Ivermectin treatment causes MF to dissapear from the skin within 2-3 days, but why this happens is still incompletely understood. ")</f>
        <v>Ivermectin treatment causes MF to dissapear from the skin within 2-3 days, but why this happens is still incompletely understood. </v>
      </c>
      <c r="BD49" s="697"/>
      <c r="BE49" s="697"/>
      <c r="BF49" s="697"/>
      <c r="BG49" s="697"/>
    </row>
    <row r="50">
      <c r="A50" s="697"/>
      <c r="B50" s="697" t="str">
        <f>IFERROR(__xludf.DUMMYFUNCTION("""COMPUTED_VALUE"""),"Fendt et al")</f>
        <v>Fendt et al</v>
      </c>
      <c r="C50" s="697" t="str">
        <f>IFERROR(__xludf.DUMMYFUNCTION("""COMPUTED_VALUE"""),"Togo")</f>
        <v>Togo</v>
      </c>
      <c r="D50" s="697" t="str">
        <f>IFERROR(__xludf.DUMMYFUNCTION("""COMPUTED_VALUE"""),"Ivermectin")</f>
        <v>Ivermectin</v>
      </c>
      <c r="E50" s="697" t="str">
        <f>IFERROR(__xludf.DUMMYFUNCTION("""COMPUTED_VALUE"""),"200ug/kg")</f>
        <v>200ug/kg</v>
      </c>
      <c r="F50" s="697">
        <f>IFERROR(__xludf.DUMMYFUNCTION("""COMPUTED_VALUE"""),1.0)</f>
        <v>1</v>
      </c>
      <c r="G50" s="697" t="str">
        <f>IFERROR(__xludf.DUMMYFUNCTION("""COMPUTED_VALUE"""),"200ug/kg")</f>
        <v>200ug/kg</v>
      </c>
      <c r="H50" s="697"/>
      <c r="I50" s="697"/>
      <c r="J50" s="700">
        <f>IFERROR(__xludf.DUMMYFUNCTION("""COMPUTED_VALUE"""),0.894)</f>
        <v>0.894</v>
      </c>
      <c r="K50" s="697"/>
      <c r="L50" s="697"/>
      <c r="M50" s="697"/>
      <c r="N50" s="697"/>
      <c r="O50" s="697"/>
      <c r="P50" s="697"/>
      <c r="Q50" s="700">
        <f>IFERROR(__xludf.DUMMYFUNCTION("""COMPUTED_VALUE"""),0.97)</f>
        <v>0.97</v>
      </c>
      <c r="R50" s="697"/>
      <c r="S50" s="700">
        <f>IFERROR(__xludf.DUMMYFUNCTION("""COMPUTED_VALUE"""),0.97)</f>
        <v>0.97</v>
      </c>
      <c r="T50" s="697"/>
      <c r="U50" s="697"/>
      <c r="V50" s="697"/>
      <c r="W50" s="700">
        <f>IFERROR(__xludf.DUMMYFUNCTION("""COMPUTED_VALUE"""),0.9)</f>
        <v>0.9</v>
      </c>
      <c r="X50" s="697"/>
      <c r="Y50" s="697"/>
      <c r="Z50" s="697"/>
      <c r="AA50" s="697"/>
      <c r="AB50" s="697"/>
      <c r="AC50" s="697"/>
      <c r="AD50" s="697"/>
      <c r="AE50" s="697" t="str">
        <f>IFERROR(__xludf.DUMMYFUNCTION("""COMPUTED_VALUE"""),"n/a")</f>
        <v>n/a</v>
      </c>
      <c r="AF50" s="697"/>
      <c r="AG50" s="697"/>
      <c r="AH50" s="697"/>
      <c r="AI50" s="697"/>
      <c r="AJ50" s="697"/>
      <c r="AK50" s="697"/>
      <c r="AL50" s="697"/>
      <c r="AM50" s="697"/>
      <c r="AN50" s="700">
        <f>IFERROR(__xludf.DUMMYFUNCTION("""COMPUTED_VALUE"""),0.97)</f>
        <v>0.97</v>
      </c>
      <c r="AO50" s="698">
        <f>IFERROR(__xludf.DUMMYFUNCTION("""COMPUTED_VALUE"""),0.97)</f>
        <v>0.97</v>
      </c>
      <c r="AP50" s="697" t="str">
        <f>IFERROR(__xludf.DUMMYFUNCTION("""COMPUTED_VALUE"""),"Mf reduction")</f>
        <v>Mf reduction</v>
      </c>
      <c r="AQ50" s="697" t="str">
        <f>IFERROR(__xludf.DUMMYFUNCTION("""COMPUTED_VALUE"""),"Kara Region")</f>
        <v>Kara Region</v>
      </c>
      <c r="AR50" s="697">
        <f>IFERROR(__xludf.DUMMYFUNCTION("""COMPUTED_VALUE"""),2005.0)</f>
        <v>2005</v>
      </c>
      <c r="AS50" s="697">
        <f>IFERROR(__xludf.DUMMYFUNCTION("""COMPUTED_VALUE"""),24.0)</f>
        <v>24</v>
      </c>
      <c r="AT50" s="697" t="str">
        <f>IFERROR(__xludf.DUMMYFUNCTION("""COMPUTED_VALUE"""),"1 year")</f>
        <v>1 year</v>
      </c>
      <c r="AU50" s="699" t="str">
        <f>IFERROR(__xludf.DUMMYFUNCTION("""COMPUTED_VALUE""")," Fendt J, Hamm DM, Banla M, Schulz-Key H, Wolf H, et al. (2005) Chemokines in onchocerciasis patients after a single dose of ivermectin. Clin Exp Immunol 142: 318–326")</f>
        <v> Fendt J, Hamm DM, Banla M, Schulz-Key H, Wolf H, et al. (2005) Chemokines in onchocerciasis patients after a single dose of ivermectin. Clin Exp Immunol 142: 318–326</v>
      </c>
      <c r="AV50" s="697" t="str">
        <f>IFERROR(__xludf.DUMMYFUNCTION("""COMPUTED_VALUE"""),"21M/3F")</f>
        <v>21M/3F</v>
      </c>
      <c r="AW50" s="697" t="str">
        <f>IFERROR(__xludf.DUMMYFUNCTION("""COMPUTED_VALUE"""),"Median age: 38; 12-52")</f>
        <v>Median age: 38; 12-52</v>
      </c>
      <c r="AX50" s="697"/>
      <c r="AY50" s="697" t="str">
        <f>IFERROR(__xludf.DUMMYFUNCTION("""COMPUTED_VALUE"""),"Yes")</f>
        <v>Yes</v>
      </c>
      <c r="AZ50" s="697" t="str">
        <f>IFERROR(__xludf.DUMMYFUNCTION("""COMPUTED_VALUE"""),"No")</f>
        <v>No</v>
      </c>
      <c r="BA50" s="697"/>
      <c r="BB50" s="697"/>
      <c r="BC50" s="697" t="str">
        <f>IFERROR(__xludf.DUMMYFUNCTION("""COMPUTED_VALUE"""),"Ivermectin treatment causes MF to dissapear from the skin within 2-3 days, but why this happens is still incompletely understood. ")</f>
        <v>Ivermectin treatment causes MF to dissapear from the skin within 2-3 days, but why this happens is still incompletely understood. </v>
      </c>
      <c r="BD50" s="697"/>
      <c r="BE50" s="697"/>
      <c r="BF50" s="697"/>
      <c r="BG50" s="697"/>
    </row>
    <row r="51">
      <c r="A51" s="697"/>
      <c r="B51" s="697" t="str">
        <f>IFERROR(__xludf.DUMMYFUNCTION("""COMPUTED_VALUE"""),"Ndyomugyenyi et al")</f>
        <v>Ndyomugyenyi et al</v>
      </c>
      <c r="C51" s="697" t="str">
        <f>IFERROR(__xludf.DUMMYFUNCTION("""COMPUTED_VALUE"""),"Uganda")</f>
        <v>Uganda</v>
      </c>
      <c r="D51" s="697" t="str">
        <f>IFERROR(__xludf.DUMMYFUNCTION("""COMPUTED_VALUE"""),"Ivermectin &amp; Simulium neavei elimination")</f>
        <v>Ivermectin &amp; Simulium neavei elimination</v>
      </c>
      <c r="E51" s="697" t="str">
        <f>IFERROR(__xludf.DUMMYFUNCTION("""COMPUTED_VALUE"""),"150ug/kg")</f>
        <v>150ug/kg</v>
      </c>
      <c r="F51" s="697">
        <f>IFERROR(__xludf.DUMMYFUNCTION("""COMPUTED_VALUE"""),1.0)</f>
        <v>1</v>
      </c>
      <c r="G51" s="697" t="str">
        <f>IFERROR(__xludf.DUMMYFUNCTION("""COMPUTED_VALUE"""),"150 ug/kg ")</f>
        <v>150 ug/kg </v>
      </c>
      <c r="H51" s="697"/>
      <c r="I51" s="697"/>
      <c r="J51" s="697"/>
      <c r="K51" s="697"/>
      <c r="L51" s="697"/>
      <c r="M51" s="697"/>
      <c r="N51" s="697"/>
      <c r="O51" s="697"/>
      <c r="P51" s="697"/>
      <c r="Q51" s="697"/>
      <c r="R51" s="697"/>
      <c r="S51" s="697"/>
      <c r="T51" s="697"/>
      <c r="U51" s="697"/>
      <c r="V51" s="697"/>
      <c r="W51" s="697"/>
      <c r="X51" s="697"/>
      <c r="Y51" s="697"/>
      <c r="Z51" s="697"/>
      <c r="AA51" s="697"/>
      <c r="AB51" s="697"/>
      <c r="AC51" s="697"/>
      <c r="AD51" s="698">
        <f>IFERROR(__xludf.DUMMYFUNCTION("""COMPUTED_VALUE"""),0.9162)</f>
        <v>0.9162</v>
      </c>
      <c r="AE51" s="697" t="str">
        <f>IFERROR(__xludf.DUMMYFUNCTION("""COMPUTED_VALUE"""),"n/a")</f>
        <v>n/a</v>
      </c>
      <c r="AF51" s="697"/>
      <c r="AG51" s="697"/>
      <c r="AH51" s="697"/>
      <c r="AI51" s="697"/>
      <c r="AJ51" s="697"/>
      <c r="AK51" s="697"/>
      <c r="AL51" s="697"/>
      <c r="AM51" s="697"/>
      <c r="AN51" s="698">
        <f>IFERROR(__xludf.DUMMYFUNCTION("""COMPUTED_VALUE"""),0.9162)</f>
        <v>0.9162</v>
      </c>
      <c r="AO51" s="698">
        <f>IFERROR(__xludf.DUMMYFUNCTION("""COMPUTED_VALUE"""),0.9162)</f>
        <v>0.9162</v>
      </c>
      <c r="AP51" s="697" t="str">
        <f>IFERROR(__xludf.DUMMYFUNCTION("""COMPUTED_VALUE"""),"Nodulectomy: mf reduction")</f>
        <v>Nodulectomy: mf reduction</v>
      </c>
      <c r="AQ51" s="697" t="str">
        <f>IFERROR(__xludf.DUMMYFUNCTION("""COMPUTED_VALUE"""),"Kyenjojo district")</f>
        <v>Kyenjojo district</v>
      </c>
      <c r="AR51" s="697">
        <f>IFERROR(__xludf.DUMMYFUNCTION("""COMPUTED_VALUE"""),2002.0)</f>
        <v>2002</v>
      </c>
      <c r="AS51" s="697" t="str">
        <f>IFERROR(__xludf.DUMMYFUNCTION("""COMPUTED_VALUE"""),"546 examined at start, 307 at end")</f>
        <v>546 examined at start, 307 at end</v>
      </c>
      <c r="AT51" s="697" t="str">
        <f>IFERROR(__xludf.DUMMYFUNCTION("""COMPUTED_VALUE"""),"11 years")</f>
        <v>11 years</v>
      </c>
      <c r="AU51" s="699" t="str">
        <f>IFERROR(__xludf.DUMMYFUNCTION("""COMPUTED_VALUE"""),"Ndyomugyenyi, R. (2004). ""The impact of ivermectin treatment alone and when in parallel with Simulium neavei elimination on onchocerciasis in Uganda."" Journal of Tropical Medicine and International Health 9(8): 882-6.")</f>
        <v>Ndyomugyenyi, R. (2004). "The impact of ivermectin treatment alone and when in parallel with Simulium neavei elimination on onchocerciasis in Uganda." Journal of Tropical Medicine and International Health 9(8): 882-6.</v>
      </c>
      <c r="AV51" s="697" t="str">
        <f>IFERROR(__xludf.DUMMYFUNCTION("""COMPUTED_VALUE"""),"m/f")</f>
        <v>m/f</v>
      </c>
      <c r="AW51" s="697" t="str">
        <f>IFERROR(__xludf.DUMMYFUNCTION("""COMPUTED_VALUE"""),"Age 3-87, but only 19 year olds studied")</f>
        <v>Age 3-87, but only 19 year olds studied</v>
      </c>
      <c r="AX51" s="697" t="str">
        <f>IFERROR(__xludf.DUMMYFUNCTION("""COMPUTED_VALUE"""),"Inclision: 19+, ")</f>
        <v>Inclision: 19+, </v>
      </c>
      <c r="AY51" s="697" t="str">
        <f>IFERROR(__xludf.DUMMYFUNCTION("""COMPUTED_VALUE"""),"No")</f>
        <v>No</v>
      </c>
      <c r="AZ51" s="697" t="str">
        <f>IFERROR(__xludf.DUMMYFUNCTION("""COMPUTED_VALUE"""),"No")</f>
        <v>No</v>
      </c>
      <c r="BA51" s="697"/>
      <c r="BB51" s="697"/>
      <c r="BC51" s="697" t="str">
        <f>IFERROR(__xludf.DUMMYFUNCTION("""COMPUTED_VALUE"""),"Ivermectin treatment in parallel with S. Neavei elimination significantly reduces onchocercal dermatitis, more than Ivermectin treatment alone. ")</f>
        <v>Ivermectin treatment in parallel with S. Neavei elimination significantly reduces onchocercal dermatitis, more than Ivermectin treatment alone. </v>
      </c>
      <c r="BD51" s="697"/>
      <c r="BE51" s="697"/>
      <c r="BF51" s="697"/>
      <c r="BG51" s="697" t="str">
        <f>IFERROR(__xludf.DUMMYFUNCTION("""COMPUTED_VALUE"""),"x")</f>
        <v>x</v>
      </c>
    </row>
    <row r="52">
      <c r="A52" s="697"/>
      <c r="B52" s="697" t="str">
        <f>IFERROR(__xludf.DUMMYFUNCTION("""COMPUTED_VALUE"""),"Ndyomugyenyi et al")</f>
        <v>Ndyomugyenyi et al</v>
      </c>
      <c r="C52" s="697" t="str">
        <f>IFERROR(__xludf.DUMMYFUNCTION("""COMPUTED_VALUE"""),"Uganda")</f>
        <v>Uganda</v>
      </c>
      <c r="D52" s="697" t="str">
        <f>IFERROR(__xludf.DUMMYFUNCTION("""COMPUTED_VALUE"""),"Ivermectin")</f>
        <v>Ivermectin</v>
      </c>
      <c r="E52" s="697" t="str">
        <f>IFERROR(__xludf.DUMMYFUNCTION("""COMPUTED_VALUE"""),"150ug/kg")</f>
        <v>150ug/kg</v>
      </c>
      <c r="F52" s="697">
        <f>IFERROR(__xludf.DUMMYFUNCTION("""COMPUTED_VALUE"""),1.0)</f>
        <v>1</v>
      </c>
      <c r="G52" s="697" t="str">
        <f>IFERROR(__xludf.DUMMYFUNCTION("""COMPUTED_VALUE"""),"150 ug/kg ")</f>
        <v>150 ug/kg </v>
      </c>
      <c r="H52" s="697"/>
      <c r="I52" s="697"/>
      <c r="J52" s="697"/>
      <c r="K52" s="697"/>
      <c r="L52" s="697"/>
      <c r="M52" s="697"/>
      <c r="N52" s="697"/>
      <c r="O52" s="697"/>
      <c r="P52" s="697"/>
      <c r="Q52" s="697"/>
      <c r="R52" s="697"/>
      <c r="S52" s="697"/>
      <c r="T52" s="697"/>
      <c r="U52" s="697"/>
      <c r="V52" s="697"/>
      <c r="W52" s="697"/>
      <c r="X52" s="697"/>
      <c r="Y52" s="697"/>
      <c r="Z52" s="697"/>
      <c r="AA52" s="697"/>
      <c r="AB52" s="697"/>
      <c r="AC52" s="697"/>
      <c r="AD52" s="698">
        <f>IFERROR(__xludf.DUMMYFUNCTION("""COMPUTED_VALUE"""),0.6589)</f>
        <v>0.6589</v>
      </c>
      <c r="AE52" s="697" t="str">
        <f>IFERROR(__xludf.DUMMYFUNCTION("""COMPUTED_VALUE"""),"n/a")</f>
        <v>n/a</v>
      </c>
      <c r="AF52" s="697"/>
      <c r="AG52" s="697"/>
      <c r="AH52" s="697"/>
      <c r="AI52" s="697"/>
      <c r="AJ52" s="697"/>
      <c r="AK52" s="697"/>
      <c r="AL52" s="697"/>
      <c r="AM52" s="697"/>
      <c r="AN52" s="698">
        <f>IFERROR(__xludf.DUMMYFUNCTION("""COMPUTED_VALUE"""),0.6589)</f>
        <v>0.6589</v>
      </c>
      <c r="AO52" s="698">
        <f>IFERROR(__xludf.DUMMYFUNCTION("""COMPUTED_VALUE"""),0.6589)</f>
        <v>0.6589</v>
      </c>
      <c r="AP52" s="697" t="str">
        <f>IFERROR(__xludf.DUMMYFUNCTION("""COMPUTED_VALUE"""),"Nodulectomy: mf reduction")</f>
        <v>Nodulectomy: mf reduction</v>
      </c>
      <c r="AQ52" s="697" t="str">
        <f>IFERROR(__xludf.DUMMYFUNCTION("""COMPUTED_VALUE"""),"Kyenjojo district")</f>
        <v>Kyenjojo district</v>
      </c>
      <c r="AR52" s="697">
        <f>IFERROR(__xludf.DUMMYFUNCTION("""COMPUTED_VALUE"""),2003.0)</f>
        <v>2003</v>
      </c>
      <c r="AS52" s="697" t="str">
        <f>IFERROR(__xludf.DUMMYFUNCTION("""COMPUTED_VALUE"""),"114 examined at start, 169 at end")</f>
        <v>114 examined at start, 169 at end</v>
      </c>
      <c r="AT52" s="697" t="str">
        <f>IFERROR(__xludf.DUMMYFUNCTION("""COMPUTED_VALUE"""),"12 years
")</f>
        <v>12 years
</v>
      </c>
      <c r="AU52" s="699" t="str">
        <f>IFERROR(__xludf.DUMMYFUNCTION("""COMPUTED_VALUE"""),"Ndyomugyenyi, R. (2004). ""The impact of ivermectin treatment alone and when in parallel with Simulium neavei elimination on onchocerciasis in Uganda."" Journal of Tropical Medicine and International Health 9(8): 882-6.")</f>
        <v>Ndyomugyenyi, R. (2004). "The impact of ivermectin treatment alone and when in parallel with Simulium neavei elimination on onchocerciasis in Uganda." Journal of Tropical Medicine and International Health 9(8): 882-6.</v>
      </c>
      <c r="AV52" s="697"/>
      <c r="AW52" s="697" t="str">
        <f>IFERROR(__xludf.DUMMYFUNCTION("""COMPUTED_VALUE"""),"Age 5-85. but only 19 year olds studied")</f>
        <v>Age 5-85. but only 19 year olds studied</v>
      </c>
      <c r="AX52" s="697"/>
      <c r="AY52" s="697" t="str">
        <f>IFERROR(__xludf.DUMMYFUNCTION("""COMPUTED_VALUE"""),"No")</f>
        <v>No</v>
      </c>
      <c r="AZ52" s="697" t="str">
        <f>IFERROR(__xludf.DUMMYFUNCTION("""COMPUTED_VALUE"""),"No")</f>
        <v>No</v>
      </c>
      <c r="BA52" s="697"/>
      <c r="BB52" s="697"/>
      <c r="BC52" s="697" t="str">
        <f>IFERROR(__xludf.DUMMYFUNCTION("""COMPUTED_VALUE"""),"Ivermectin treatment in parallel with S. Neavei elimination significantly reduces onchocercal dermatitis, more than Ivermectin treatment alone. ")</f>
        <v>Ivermectin treatment in parallel with S. Neavei elimination significantly reduces onchocercal dermatitis, more than Ivermectin treatment alone. </v>
      </c>
      <c r="BD52" s="697"/>
      <c r="BE52" s="697"/>
      <c r="BF52" s="697"/>
      <c r="BG52" s="697" t="str">
        <f>IFERROR(__xludf.DUMMYFUNCTION("""COMPUTED_VALUE"""),"x")</f>
        <v>x</v>
      </c>
    </row>
    <row r="53">
      <c r="A53" s="697"/>
      <c r="B53" s="697" t="str">
        <f>IFERROR(__xludf.DUMMYFUNCTION("""COMPUTED_VALUE"""),"Awadzi et al")</f>
        <v>Awadzi et al</v>
      </c>
      <c r="C53" s="697" t="str">
        <f>IFERROR(__xludf.DUMMYFUNCTION("""COMPUTED_VALUE"""),"Ghana")</f>
        <v>Ghana</v>
      </c>
      <c r="D53" s="697" t="str">
        <f>IFERROR(__xludf.DUMMYFUNCTION("""COMPUTED_VALUE"""),"Ivermectin &amp; Amocarzine")</f>
        <v>Ivermectin &amp; Amocarzine</v>
      </c>
      <c r="E53" s="697" t="str">
        <f>IFERROR(__xludf.DUMMYFUNCTION("""COMPUTED_VALUE"""),"150ug/kg; 3mg/kg")</f>
        <v>150ug/kg; 3mg/kg</v>
      </c>
      <c r="F53" s="697" t="str">
        <f>IFERROR(__xludf.DUMMYFUNCTION("""COMPUTED_VALUE"""),"1; 6")</f>
        <v>1; 6</v>
      </c>
      <c r="G53" s="697" t="str">
        <f>IFERROR(__xludf.DUMMYFUNCTION("""COMPUTED_VALUE"""),"150ug/kg; 18mg/kg")</f>
        <v>150ug/kg; 18mg/kg</v>
      </c>
      <c r="H53" s="697"/>
      <c r="I53" s="697"/>
      <c r="J53" s="697"/>
      <c r="K53" s="697"/>
      <c r="L53" s="698">
        <f>IFERROR(__xludf.DUMMYFUNCTION("""COMPUTED_VALUE"""),0.925)</f>
        <v>0.925</v>
      </c>
      <c r="M53" s="697"/>
      <c r="N53" s="697" t="str">
        <f>IFERROR(__xludf.DUMMYFUNCTION("""COMPUTED_VALUE"""),"92.5%%")</f>
        <v>92.5%%</v>
      </c>
      <c r="O53" s="697" t="str">
        <f>IFERROR(__xludf.DUMMYFUNCTION("""COMPUTED_VALUE"""),"99.4%%")</f>
        <v>99.4%%</v>
      </c>
      <c r="P53" s="697"/>
      <c r="Q53" s="697"/>
      <c r="R53" s="698">
        <f>IFERROR(__xludf.DUMMYFUNCTION("""COMPUTED_VALUE"""),0.983)</f>
        <v>0.983</v>
      </c>
      <c r="S53" s="697"/>
      <c r="T53" s="697"/>
      <c r="U53" s="697"/>
      <c r="V53" s="697"/>
      <c r="W53" s="697"/>
      <c r="X53" s="697"/>
      <c r="Y53" s="697"/>
      <c r="Z53" s="697"/>
      <c r="AA53" s="697"/>
      <c r="AB53" s="697"/>
      <c r="AC53" s="697"/>
      <c r="AD53" s="697"/>
      <c r="AE53" s="697"/>
      <c r="AF53" s="697"/>
      <c r="AG53" s="697"/>
      <c r="AH53" s="697"/>
      <c r="AI53" s="697"/>
      <c r="AJ53" s="697"/>
      <c r="AK53" s="697"/>
      <c r="AL53" s="697"/>
      <c r="AM53" s="697"/>
      <c r="AN53" s="698">
        <f>IFERROR(__xludf.DUMMYFUNCTION("""COMPUTED_VALUE"""),0.983)</f>
        <v>0.983</v>
      </c>
      <c r="AO53" s="698">
        <f>IFERROR(__xludf.DUMMYFUNCTION("""COMPUTED_VALUE"""),0.983)</f>
        <v>0.983</v>
      </c>
      <c r="AP53" s="697" t="str">
        <f>IFERROR(__xludf.DUMMYFUNCTION("""COMPUTED_VALUE"""),"Mf reduction")</f>
        <v>Mf reduction</v>
      </c>
      <c r="AQ53" s="697" t="str">
        <f>IFERROR(__xludf.DUMMYFUNCTION("""COMPUTED_VALUE"""),"Communities in the forest region of southern Ghana")</f>
        <v>Communities in the forest region of southern Ghana</v>
      </c>
      <c r="AR53" s="697">
        <f>IFERROR(__xludf.DUMMYFUNCTION("""COMPUTED_VALUE"""),1997.0)</f>
        <v>1997</v>
      </c>
      <c r="AS53" s="697">
        <f>IFERROR(__xludf.DUMMYFUNCTION("""COMPUTED_VALUE"""),34.0)</f>
        <v>34</v>
      </c>
      <c r="AT53" s="697" t="str">
        <f>IFERROR(__xludf.DUMMYFUNCTION("""COMPUTED_VALUE"""),"120 days")</f>
        <v>120 days</v>
      </c>
      <c r="AU53" s="699" t="str">
        <f>IFERROR(__xludf.DUMMYFUNCTION("""COMPUTED_VALUE"""),"Awadzi, K.; Opoku, N.O.; Attah, S.K.; Addy E.T. (1997) The safety and efficacy of amocarzine in African onchocerciasis and the influence of ivermectin on the clinical and parasitological response to treatment. Annals of Tropical Medicine &amp; Parasitology 91"&amp;"(3): 281-296.")</f>
        <v>Awadzi, K.; Opoku, N.O.; Attah, S.K.; Addy E.T. (1997) The safety and efficacy of amocarzine in African onchocerciasis and the influence of ivermectin on the clinical and parasitological response to treatment. Annals of Tropical Medicine &amp; Parasitology 91(3): 281-296.</v>
      </c>
      <c r="AV53" s="697" t="str">
        <f>IFERROR(__xludf.DUMMYFUNCTION("""COMPUTED_VALUE"""),"M")</f>
        <v>M</v>
      </c>
      <c r="AW53" s="697" t="str">
        <f>IFERROR(__xludf.DUMMYFUNCTION("""COMPUTED_VALUE"""),"Mean Age: 34; 18-56")</f>
        <v>Mean Age: 34; 18-56</v>
      </c>
      <c r="AX53" s="697" t="str">
        <f>IFERROR(__xludf.DUMMYFUNCTION("""COMPUTED_VALUE"""),"Volunteers with a history of central nervous system (CNS) disease or of antifilarial therapy within the previous 2 years were excluded. Other exclusion critereia were severe ocular onchocerciasis, a haemoglobin level &lt; 11 g/dl and abnormal results for lab"&amp;"oratory screening tests.")</f>
        <v>Volunteers with a history of central nervous system (CNS) disease or of antifilarial therapy within the previous 2 years were excluded. Other exclusion critereia were severe ocular onchocerciasis, a haemoglobin level &lt; 11 g/dl and abnormal results for laboratory screening tests.</v>
      </c>
      <c r="AY53" s="697" t="str">
        <f>IFERROR(__xludf.DUMMYFUNCTION("""COMPUTED_VALUE"""),"Yes")</f>
        <v>Yes</v>
      </c>
      <c r="AZ53" s="697" t="str">
        <f>IFERROR(__xludf.DUMMYFUNCTION("""COMPUTED_VALUE"""),"Yes")</f>
        <v>Yes</v>
      </c>
      <c r="BA53" s="697"/>
      <c r="BB53" s="697"/>
      <c r="BC53" s="697" t="str">
        <f>IFERROR(__xludf.DUMMYFUNCTION("""COMPUTED_VALUE"""),"Amocarzine is a less effective microfilaricide than ivermectin.")</f>
        <v>Amocarzine is a less effective microfilaricide than ivermectin.</v>
      </c>
      <c r="BD53" s="697" t="str">
        <f>IFERROR(__xludf.DUMMYFUNCTION("""COMPUTED_VALUE"""),"One patient did not attend on day 120 and was excluded from the study.")</f>
        <v>One patient did not attend on day 120 and was excluded from the study.</v>
      </c>
      <c r="BE53" s="697"/>
      <c r="BF53" s="697"/>
      <c r="BG53" s="697"/>
    </row>
    <row r="54">
      <c r="A54" s="697"/>
      <c r="B54" s="697" t="str">
        <f>IFERROR(__xludf.DUMMYFUNCTION("""COMPUTED_VALUE"""),"Awadzi et al")</f>
        <v>Awadzi et al</v>
      </c>
      <c r="C54" s="697" t="str">
        <f>IFERROR(__xludf.DUMMYFUNCTION("""COMPUTED_VALUE"""),"Ghana")</f>
        <v>Ghana</v>
      </c>
      <c r="D54" s="697" t="str">
        <f>IFERROR(__xludf.DUMMYFUNCTION("""COMPUTED_VALUE"""),"Ivermectin")</f>
        <v>Ivermectin</v>
      </c>
      <c r="E54" s="697" t="str">
        <f>IFERROR(__xludf.DUMMYFUNCTION("""COMPUTED_VALUE"""),"150ug/kg")</f>
        <v>150ug/kg</v>
      </c>
      <c r="F54" s="697">
        <f>IFERROR(__xludf.DUMMYFUNCTION("""COMPUTED_VALUE"""),1.0)</f>
        <v>1</v>
      </c>
      <c r="G54" s="697" t="str">
        <f>IFERROR(__xludf.DUMMYFUNCTION("""COMPUTED_VALUE"""),"150ug/kg")</f>
        <v>150ug/kg</v>
      </c>
      <c r="H54" s="697"/>
      <c r="I54" s="697"/>
      <c r="J54" s="697"/>
      <c r="K54" s="697"/>
      <c r="L54" s="698">
        <f>IFERROR(__xludf.DUMMYFUNCTION("""COMPUTED_VALUE"""),0.945)</f>
        <v>0.945</v>
      </c>
      <c r="M54" s="697"/>
      <c r="N54" s="698">
        <f>IFERROR(__xludf.DUMMYFUNCTION("""COMPUTED_VALUE"""),0.982)</f>
        <v>0.982</v>
      </c>
      <c r="O54" s="698">
        <f>IFERROR(__xludf.DUMMYFUNCTION("""COMPUTED_VALUE"""),0.995)</f>
        <v>0.995</v>
      </c>
      <c r="P54" s="697"/>
      <c r="Q54" s="697"/>
      <c r="R54" s="698">
        <f>IFERROR(__xludf.DUMMYFUNCTION("""COMPUTED_VALUE"""),0.982)</f>
        <v>0.982</v>
      </c>
      <c r="S54" s="697"/>
      <c r="T54" s="697"/>
      <c r="U54" s="697"/>
      <c r="V54" s="697"/>
      <c r="W54" s="697"/>
      <c r="X54" s="697"/>
      <c r="Y54" s="697"/>
      <c r="Z54" s="697"/>
      <c r="AA54" s="697"/>
      <c r="AB54" s="697"/>
      <c r="AC54" s="697"/>
      <c r="AD54" s="697"/>
      <c r="AE54" s="697"/>
      <c r="AF54" s="697"/>
      <c r="AG54" s="697"/>
      <c r="AH54" s="697"/>
      <c r="AI54" s="697"/>
      <c r="AJ54" s="697"/>
      <c r="AK54" s="697"/>
      <c r="AL54" s="697"/>
      <c r="AM54" s="697"/>
      <c r="AN54" s="698">
        <f>IFERROR(__xludf.DUMMYFUNCTION("""COMPUTED_VALUE"""),0.982)</f>
        <v>0.982</v>
      </c>
      <c r="AO54" s="698">
        <f>IFERROR(__xludf.DUMMYFUNCTION("""COMPUTED_VALUE"""),0.982)</f>
        <v>0.982</v>
      </c>
      <c r="AP54" s="697" t="str">
        <f>IFERROR(__xludf.DUMMYFUNCTION("""COMPUTED_VALUE"""),"Mf reduction")</f>
        <v>Mf reduction</v>
      </c>
      <c r="AQ54" s="697" t="str">
        <f>IFERROR(__xludf.DUMMYFUNCTION("""COMPUTED_VALUE"""),"Communities in the forest region of southern Ghana")</f>
        <v>Communities in the forest region of southern Ghana</v>
      </c>
      <c r="AR54" s="697">
        <f>IFERROR(__xludf.DUMMYFUNCTION("""COMPUTED_VALUE"""),1997.0)</f>
        <v>1997</v>
      </c>
      <c r="AS54" s="697">
        <f>IFERROR(__xludf.DUMMYFUNCTION("""COMPUTED_VALUE"""),32.0)</f>
        <v>32</v>
      </c>
      <c r="AT54" s="697" t="str">
        <f>IFERROR(__xludf.DUMMYFUNCTION("""COMPUTED_VALUE"""),"120 days")</f>
        <v>120 days</v>
      </c>
      <c r="AU54" s="699" t="str">
        <f>IFERROR(__xludf.DUMMYFUNCTION("""COMPUTED_VALUE"""),"Awadzi, K.; Opoku, N.O.; Attah, S.K.; Addy E.T. (1997) The safety and efficacy of amocarzine in African onchocerciasis and the influence of ivermectin on the clinical and parasitological response to treatment. Annals of Tropical Medicine &amp; Parasitology 91"&amp;"(3): 281-296.")</f>
        <v>Awadzi, K.; Opoku, N.O.; Attah, S.K.; Addy E.T. (1997) The safety and efficacy of amocarzine in African onchocerciasis and the influence of ivermectin on the clinical and parasitological response to treatment. Annals of Tropical Medicine &amp; Parasitology 91(3): 281-296.</v>
      </c>
      <c r="AV54" s="697" t="str">
        <f>IFERROR(__xludf.DUMMYFUNCTION("""COMPUTED_VALUE"""),"M")</f>
        <v>M</v>
      </c>
      <c r="AW54" s="697" t="str">
        <f>IFERROR(__xludf.DUMMYFUNCTION("""COMPUTED_VALUE"""),"Mean Age: 36; 18-56")</f>
        <v>Mean Age: 36; 18-56</v>
      </c>
      <c r="AX54" s="697"/>
      <c r="AY54" s="697" t="str">
        <f>IFERROR(__xludf.DUMMYFUNCTION("""COMPUTED_VALUE"""),"Yes")</f>
        <v>Yes</v>
      </c>
      <c r="AZ54" s="697" t="str">
        <f>IFERROR(__xludf.DUMMYFUNCTION("""COMPUTED_VALUE"""),"Yes")</f>
        <v>Yes</v>
      </c>
      <c r="BA54" s="697"/>
      <c r="BB54" s="697"/>
      <c r="BC54" s="697" t="str">
        <f>IFERROR(__xludf.DUMMYFUNCTION("""COMPUTED_VALUE"""),"Amocarzine is a less effective microfilaricide than ivermectin.")</f>
        <v>Amocarzine is a less effective microfilaricide than ivermectin.</v>
      </c>
      <c r="BD54" s="697" t="str">
        <f>IFERROR(__xludf.DUMMYFUNCTION("""COMPUTED_VALUE"""),"One patient did not attend on day 120 and was excluded from the study.")</f>
        <v>One patient did not attend on day 120 and was excluded from the study.</v>
      </c>
      <c r="BE54" s="697"/>
      <c r="BF54" s="697"/>
      <c r="BG54" s="697"/>
    </row>
    <row r="55">
      <c r="A55" s="697"/>
      <c r="B55" s="697" t="str">
        <f>IFERROR(__xludf.DUMMYFUNCTION("""COMPUTED_VALUE"""),"Awadzi et al")</f>
        <v>Awadzi et al</v>
      </c>
      <c r="C55" s="697" t="str">
        <f>IFERROR(__xludf.DUMMYFUNCTION("""COMPUTED_VALUE"""),"Ghana")</f>
        <v>Ghana</v>
      </c>
      <c r="D55" s="697" t="str">
        <f>IFERROR(__xludf.DUMMYFUNCTION("""COMPUTED_VALUE"""),"Amocarzine")</f>
        <v>Amocarzine</v>
      </c>
      <c r="E55" s="697" t="str">
        <f>IFERROR(__xludf.DUMMYFUNCTION("""COMPUTED_VALUE"""),"3mg/kg")</f>
        <v>3mg/kg</v>
      </c>
      <c r="F55" s="697">
        <f>IFERROR(__xludf.DUMMYFUNCTION("""COMPUTED_VALUE"""),6.0)</f>
        <v>6</v>
      </c>
      <c r="G55" s="697" t="str">
        <f>IFERROR(__xludf.DUMMYFUNCTION("""COMPUTED_VALUE"""),"18mg/kg")</f>
        <v>18mg/kg</v>
      </c>
      <c r="H55" s="697"/>
      <c r="I55" s="697"/>
      <c r="J55" s="697"/>
      <c r="K55" s="697"/>
      <c r="L55" s="697" t="str">
        <f>IFERROR(__xludf.DUMMYFUNCTION("""COMPUTED_VALUE"""),"Increase of 5.5%")</f>
        <v>Increase of 5.5%</v>
      </c>
      <c r="M55" s="697"/>
      <c r="N55" s="700">
        <f>IFERROR(__xludf.DUMMYFUNCTION("""COMPUTED_VALUE"""),0.86)</f>
        <v>0.86</v>
      </c>
      <c r="O55" s="698">
        <f>IFERROR(__xludf.DUMMYFUNCTION("""COMPUTED_VALUE"""),0.832)</f>
        <v>0.832</v>
      </c>
      <c r="P55" s="697"/>
      <c r="Q55" s="697"/>
      <c r="R55" s="698">
        <f>IFERROR(__xludf.DUMMYFUNCTION("""COMPUTED_VALUE"""),0.573)</f>
        <v>0.573</v>
      </c>
      <c r="S55" s="697"/>
      <c r="T55" s="697"/>
      <c r="U55" s="697"/>
      <c r="V55" s="697"/>
      <c r="W55" s="697"/>
      <c r="X55" s="697"/>
      <c r="Y55" s="697"/>
      <c r="Z55" s="697"/>
      <c r="AA55" s="697"/>
      <c r="AB55" s="697"/>
      <c r="AC55" s="697"/>
      <c r="AD55" s="697"/>
      <c r="AE55" s="697"/>
      <c r="AF55" s="697"/>
      <c r="AG55" s="697"/>
      <c r="AH55" s="697"/>
      <c r="AI55" s="697"/>
      <c r="AJ55" s="697"/>
      <c r="AK55" s="697"/>
      <c r="AL55" s="697"/>
      <c r="AM55" s="697"/>
      <c r="AN55" s="698">
        <f>IFERROR(__xludf.DUMMYFUNCTION("""COMPUTED_VALUE"""),0.573)</f>
        <v>0.573</v>
      </c>
      <c r="AO55" s="698">
        <f>IFERROR(__xludf.DUMMYFUNCTION("""COMPUTED_VALUE"""),0.573)</f>
        <v>0.573</v>
      </c>
      <c r="AP55" s="697" t="str">
        <f>IFERROR(__xludf.DUMMYFUNCTION("""COMPUTED_VALUE"""),"Mf reduction")</f>
        <v>Mf reduction</v>
      </c>
      <c r="AQ55" s="697" t="str">
        <f>IFERROR(__xludf.DUMMYFUNCTION("""COMPUTED_VALUE"""),"Communities in the forest region of southern Ghana")</f>
        <v>Communities in the forest region of southern Ghana</v>
      </c>
      <c r="AR55" s="697">
        <f>IFERROR(__xludf.DUMMYFUNCTION("""COMPUTED_VALUE"""),1997.0)</f>
        <v>1997</v>
      </c>
      <c r="AS55" s="697">
        <f>IFERROR(__xludf.DUMMYFUNCTION("""COMPUTED_VALUE"""),33.0)</f>
        <v>33</v>
      </c>
      <c r="AT55" s="697" t="str">
        <f>IFERROR(__xludf.DUMMYFUNCTION("""COMPUTED_VALUE"""),"120 days")</f>
        <v>120 days</v>
      </c>
      <c r="AU55" s="699" t="str">
        <f>IFERROR(__xludf.DUMMYFUNCTION("""COMPUTED_VALUE"""),"Awadzi, K.; Opoku, N.O.; Attah, S.K.; Addy E.T. (1997) The safety and efficacy of amocarzine in African onchocerciasis and the influence of ivermectin on the clinical and parasitological response to treatment. Annals of Tropical Medicine &amp; Parasitology 91"&amp;"(3): 281-296.")</f>
        <v>Awadzi, K.; Opoku, N.O.; Attah, S.K.; Addy E.T. (1997) The safety and efficacy of amocarzine in African onchocerciasis and the influence of ivermectin on the clinical and parasitological response to treatment. Annals of Tropical Medicine &amp; Parasitology 91(3): 281-296.</v>
      </c>
      <c r="AV55" s="697" t="str">
        <f>IFERROR(__xludf.DUMMYFUNCTION("""COMPUTED_VALUE"""),"M")</f>
        <v>M</v>
      </c>
      <c r="AW55" s="697" t="str">
        <f>IFERROR(__xludf.DUMMYFUNCTION("""COMPUTED_VALUE"""),"Mean Age: 35; 18-56")</f>
        <v>Mean Age: 35; 18-56</v>
      </c>
      <c r="AX55" s="697"/>
      <c r="AY55" s="697" t="str">
        <f>IFERROR(__xludf.DUMMYFUNCTION("""COMPUTED_VALUE"""),"Yes")</f>
        <v>Yes</v>
      </c>
      <c r="AZ55" s="697" t="str">
        <f>IFERROR(__xludf.DUMMYFUNCTION("""COMPUTED_VALUE"""),"Yes")</f>
        <v>Yes</v>
      </c>
      <c r="BA55" s="697"/>
      <c r="BB55" s="697"/>
      <c r="BC55" s="697" t="str">
        <f>IFERROR(__xludf.DUMMYFUNCTION("""COMPUTED_VALUE"""),"Amocarzine is a less effective microfilaricide than ivermectin.")</f>
        <v>Amocarzine is a less effective microfilaricide than ivermectin.</v>
      </c>
      <c r="BD55" s="697" t="str">
        <f>IFERROR(__xludf.DUMMYFUNCTION("""COMPUTED_VALUE"""),"One patient did not attend on day 120 and was excluded from the study.")</f>
        <v>One patient did not attend on day 120 and was excluded from the study.</v>
      </c>
      <c r="BE55" s="697"/>
      <c r="BF55" s="697"/>
      <c r="BG55" s="697"/>
    </row>
    <row r="56">
      <c r="A56" s="697"/>
      <c r="B56" s="697" t="str">
        <f>IFERROR(__xludf.DUMMYFUNCTION("""COMPUTED_VALUE"""),"Awadzi et al")</f>
        <v>Awadzi et al</v>
      </c>
      <c r="C56" s="697" t="str">
        <f>IFERROR(__xludf.DUMMYFUNCTION("""COMPUTED_VALUE"""),"Ghana")</f>
        <v>Ghana</v>
      </c>
      <c r="D56" s="697" t="str">
        <f>IFERROR(__xludf.DUMMYFUNCTION("""COMPUTED_VALUE"""),"Ivermectin")</f>
        <v>Ivermectin</v>
      </c>
      <c r="E56" s="697" t="str">
        <f>IFERROR(__xludf.DUMMYFUNCTION("""COMPUTED_VALUE"""),"200ug/kg")</f>
        <v>200ug/kg</v>
      </c>
      <c r="F56" s="697">
        <f>IFERROR(__xludf.DUMMYFUNCTION("""COMPUTED_VALUE"""),1.0)</f>
        <v>1</v>
      </c>
      <c r="G56" s="697" t="str">
        <f>IFERROR(__xludf.DUMMYFUNCTION("""COMPUTED_VALUE"""),"200 ug/kg")</f>
        <v>200 ug/kg</v>
      </c>
      <c r="H56" s="697"/>
      <c r="I56" s="697"/>
      <c r="J56" s="697"/>
      <c r="K56" s="697"/>
      <c r="L56" s="697"/>
      <c r="M56" s="697"/>
      <c r="N56" s="697"/>
      <c r="O56" s="697"/>
      <c r="P56" s="697"/>
      <c r="Q56" s="697"/>
      <c r="R56" s="697"/>
      <c r="S56" s="698">
        <f>IFERROR(__xludf.DUMMYFUNCTION("""COMPUTED_VALUE"""),0.1071)</f>
        <v>0.1071</v>
      </c>
      <c r="T56" s="697"/>
      <c r="U56" s="697"/>
      <c r="V56" s="697"/>
      <c r="W56" s="698">
        <f>IFERROR(__xludf.DUMMYFUNCTION("""COMPUTED_VALUE"""),0.934)</f>
        <v>0.934</v>
      </c>
      <c r="X56" s="697"/>
      <c r="Y56" s="697"/>
      <c r="Z56" s="697"/>
      <c r="AA56" s="697"/>
      <c r="AB56" s="697"/>
      <c r="AC56" s="697"/>
      <c r="AD56" s="697"/>
      <c r="AE56" s="697"/>
      <c r="AF56" s="697"/>
      <c r="AG56" s="697"/>
      <c r="AH56" s="697"/>
      <c r="AI56" s="697"/>
      <c r="AJ56" s="697"/>
      <c r="AK56" s="697"/>
      <c r="AL56" s="697"/>
      <c r="AM56" s="697"/>
      <c r="AN56" s="698">
        <f>IFERROR(__xludf.DUMMYFUNCTION("""COMPUTED_VALUE"""),0.1071)</f>
        <v>0.1071</v>
      </c>
      <c r="AO56" s="698">
        <f>IFERROR(__xludf.DUMMYFUNCTION("""COMPUTED_VALUE"""),0.1071)</f>
        <v>0.1071</v>
      </c>
      <c r="AP56" s="697" t="str">
        <f>IFERROR(__xludf.DUMMYFUNCTION("""COMPUTED_VALUE"""),"Mf reduction")</f>
        <v>Mf reduction</v>
      </c>
      <c r="AQ56" s="697" t="str">
        <f>IFERROR(__xludf.DUMMYFUNCTION("""COMPUTED_VALUE"""),"River Tordzi basin, south-eastern Ghana ")</f>
        <v>River Tordzi basin, south-eastern Ghana </v>
      </c>
      <c r="AR56" s="697">
        <f>IFERROR(__xludf.DUMMYFUNCTION("""COMPUTED_VALUE"""),1999.0)</f>
        <v>1999</v>
      </c>
      <c r="AS56" s="697">
        <f>IFERROR(__xludf.DUMMYFUNCTION("""COMPUTED_VALUE"""),14.0)</f>
        <v>14</v>
      </c>
      <c r="AT56" s="697" t="str">
        <f>IFERROR(__xludf.DUMMYFUNCTION("""COMPUTED_VALUE"""),"1 year")</f>
        <v>1 year</v>
      </c>
      <c r="AU56" s="699" t="str">
        <f>IFERROR(__xludf.DUMMYFUNCTION("""COMPUTED_VALUE"""),"Awadzi, K.; Edwards; G. Duke, B.O.L.; Opoku, N.O.; Attah, S.K.; Addy E.T.; Ardrey, A.E.; Quartey, B.T. (2003) The co-administration of ivermectin and albendazole-safety, pharmacokinetics, and efficacy against Onchocerca volvulus. ")</f>
        <v>Awadzi, K.; Edwards; G. Duke, B.O.L.; Opoku, N.O.; Attah, S.K.; Addy E.T.; Ardrey, A.E.; Quartey, B.T. (2003) The co-administration of ivermectin and albendazole-safety, pharmacokinetics, and efficacy against Onchocerca volvulus. </v>
      </c>
      <c r="AV56" s="697" t="str">
        <f>IFERROR(__xludf.DUMMYFUNCTION("""COMPUTED_VALUE"""),"M")</f>
        <v>M</v>
      </c>
      <c r="AW56" s="697" t="str">
        <f>IFERROR(__xludf.DUMMYFUNCTION("""COMPUTED_VALUE"""),"19-54 years old")</f>
        <v>19-54 years old</v>
      </c>
      <c r="AX56" s="697" t="str">
        <f>IFERROR(__xludf.DUMMYFUNCTION("""COMPUTED_VALUE"""),"Men were excluded because they had abnormal liver enzymes (10), fewer than 15 mV/mg skin (four) or cellulitis of the right leg (one), or refused to have their eyes examined (one)")</f>
        <v>Men were excluded because they had abnormal liver enzymes (10), fewer than 15 mV/mg skin (four) or cellulitis of the right leg (one), or refused to have their eyes examined (one)</v>
      </c>
      <c r="AY56" s="697" t="str">
        <f>IFERROR(__xludf.DUMMYFUNCTION("""COMPUTED_VALUE"""),"Yes")</f>
        <v>Yes</v>
      </c>
      <c r="AZ56" s="697" t="str">
        <f>IFERROR(__xludf.DUMMYFUNCTION("""COMPUTED_VALUE"""),"Yes")</f>
        <v>Yes</v>
      </c>
      <c r="BA56" s="697"/>
      <c r="BB56" s="697"/>
      <c r="BC56" s="697" t="str">
        <f>IFERROR(__xludf.DUMMYFUNCTION("""COMPUTED_VALUE"""),"Although the co-administration of ivermectin with albendazole appears safe, it offers no advantage over ivermectin alone in the control of onchocerciasis.")</f>
        <v>Although the co-administration of ivermectin with albendazole appears safe, it offers no advantage over ivermectin alone in the control of onchocerciasis.</v>
      </c>
      <c r="BD56" s="697"/>
      <c r="BE56" s="697"/>
      <c r="BF56" s="697"/>
      <c r="BG56" s="697"/>
    </row>
    <row r="57">
      <c r="A57" s="697"/>
      <c r="B57" s="697" t="str">
        <f>IFERROR(__xludf.DUMMYFUNCTION("""COMPUTED_VALUE"""),"Awadzi et al")</f>
        <v>Awadzi et al</v>
      </c>
      <c r="C57" s="697" t="str">
        <f>IFERROR(__xludf.DUMMYFUNCTION("""COMPUTED_VALUE"""),"Ghana")</f>
        <v>Ghana</v>
      </c>
      <c r="D57" s="697" t="str">
        <f>IFERROR(__xludf.DUMMYFUNCTION("""COMPUTED_VALUE"""),"Albendazole")</f>
        <v>Albendazole</v>
      </c>
      <c r="E57" s="697" t="str">
        <f>IFERROR(__xludf.DUMMYFUNCTION("""COMPUTED_VALUE"""),"400mg")</f>
        <v>400mg</v>
      </c>
      <c r="F57" s="697">
        <f>IFERROR(__xludf.DUMMYFUNCTION("""COMPUTED_VALUE"""),1.0)</f>
        <v>1</v>
      </c>
      <c r="G57" s="697" t="str">
        <f>IFERROR(__xludf.DUMMYFUNCTION("""COMPUTED_VALUE"""),"400 mg")</f>
        <v>400 mg</v>
      </c>
      <c r="H57" s="697"/>
      <c r="I57" s="697"/>
      <c r="J57" s="697"/>
      <c r="K57" s="698">
        <f>IFERROR(__xludf.DUMMYFUNCTION("""COMPUTED_VALUE"""),0.1938)</f>
        <v>0.1938</v>
      </c>
      <c r="L57" s="697"/>
      <c r="M57" s="697"/>
      <c r="N57" s="697"/>
      <c r="O57" s="698">
        <f>IFERROR(__xludf.DUMMYFUNCTION("""COMPUTED_VALUE"""),0.3196)</f>
        <v>0.3196</v>
      </c>
      <c r="P57" s="697"/>
      <c r="Q57" s="697"/>
      <c r="R57" s="697"/>
      <c r="S57" s="697"/>
      <c r="T57" s="697"/>
      <c r="U57" s="697"/>
      <c r="V57" s="697"/>
      <c r="W57" s="697"/>
      <c r="X57" s="697"/>
      <c r="Y57" s="697"/>
      <c r="Z57" s="697"/>
      <c r="AA57" s="697"/>
      <c r="AB57" s="697"/>
      <c r="AC57" s="697"/>
      <c r="AD57" s="697"/>
      <c r="AE57" s="697"/>
      <c r="AF57" s="697"/>
      <c r="AG57" s="697"/>
      <c r="AH57" s="697"/>
      <c r="AI57" s="697"/>
      <c r="AJ57" s="697"/>
      <c r="AK57" s="697"/>
      <c r="AL57" s="697"/>
      <c r="AM57" s="697"/>
      <c r="AN57" s="698">
        <f>IFERROR(__xludf.DUMMYFUNCTION("""COMPUTED_VALUE"""),0.3196)</f>
        <v>0.3196</v>
      </c>
      <c r="AO57" s="698">
        <f>IFERROR(__xludf.DUMMYFUNCTION("""COMPUTED_VALUE"""),0.3196)</f>
        <v>0.3196</v>
      </c>
      <c r="AP57" s="697" t="str">
        <f>IFERROR(__xludf.DUMMYFUNCTION("""COMPUTED_VALUE"""),"Mf reduction")</f>
        <v>Mf reduction</v>
      </c>
      <c r="AQ57" s="697" t="str">
        <f>IFERROR(__xludf.DUMMYFUNCTION("""COMPUTED_VALUE"""),"River Tordzi basin, south-eastern Ghana")</f>
        <v>River Tordzi basin, south-eastern Ghana</v>
      </c>
      <c r="AR57" s="697">
        <f>IFERROR(__xludf.DUMMYFUNCTION("""COMPUTED_VALUE"""),1999.0)</f>
        <v>1999</v>
      </c>
      <c r="AS57" s="697">
        <f>IFERROR(__xludf.DUMMYFUNCTION("""COMPUTED_VALUE"""),14.0)</f>
        <v>14</v>
      </c>
      <c r="AT57" s="697" t="str">
        <f>IFERROR(__xludf.DUMMYFUNCTION("""COMPUTED_VALUE"""),"1 year")</f>
        <v>1 year</v>
      </c>
      <c r="AU57" s="699" t="str">
        <f>IFERROR(__xludf.DUMMYFUNCTION("""COMPUTED_VALUE"""),"Awadzi, K.; Edwards; G. Duke, B.O.L.; Opoku, N.O.; Attah, S.K.; Addy E.T.; Ardrey, A.E.; Quartey, B.T. (2003) The co-administration of ivermectin and albendazole-safety, pharmacokinetics, and efficacy against Onchocerca volvulus. ")</f>
        <v>Awadzi, K.; Edwards; G. Duke, B.O.L.; Opoku, N.O.; Attah, S.K.; Addy E.T.; Ardrey, A.E.; Quartey, B.T. (2003) The co-administration of ivermectin and albendazole-safety, pharmacokinetics, and efficacy against Onchocerca volvulus. </v>
      </c>
      <c r="AV57" s="697" t="str">
        <f>IFERROR(__xludf.DUMMYFUNCTION("""COMPUTED_VALUE"""),"M")</f>
        <v>M</v>
      </c>
      <c r="AW57" s="697"/>
      <c r="AX57" s="697"/>
      <c r="AY57" s="697" t="str">
        <f>IFERROR(__xludf.DUMMYFUNCTION("""COMPUTED_VALUE"""),"Yes")</f>
        <v>Yes</v>
      </c>
      <c r="AZ57" s="697" t="str">
        <f>IFERROR(__xludf.DUMMYFUNCTION("""COMPUTED_VALUE"""),"Yes")</f>
        <v>Yes</v>
      </c>
      <c r="BA57" s="697"/>
      <c r="BB57" s="697"/>
      <c r="BC57" s="697" t="str">
        <f>IFERROR(__xludf.DUMMYFUNCTION("""COMPUTED_VALUE"""),"Although the co-administration of ivermectin with albendazole appears safe, it offers no advantage over ivermectin alone in the control of onchocerciasis.")</f>
        <v>Although the co-administration of ivermectin with albendazole appears safe, it offers no advantage over ivermectin alone in the control of onchocerciasis.</v>
      </c>
      <c r="BD57" s="697"/>
      <c r="BE57" s="697"/>
      <c r="BF57" s="697"/>
      <c r="BG57" s="697"/>
    </row>
    <row r="58">
      <c r="A58" s="697"/>
      <c r="B58" s="697" t="str">
        <f>IFERROR(__xludf.DUMMYFUNCTION("""COMPUTED_VALUE"""),"Awadzi et al")</f>
        <v>Awadzi et al</v>
      </c>
      <c r="C58" s="697" t="str">
        <f>IFERROR(__xludf.DUMMYFUNCTION("""COMPUTED_VALUE"""),"Ghana")</f>
        <v>Ghana</v>
      </c>
      <c r="D58" s="697" t="str">
        <f>IFERROR(__xludf.DUMMYFUNCTION("""COMPUTED_VALUE"""),"Ivermectin &amp; Albendazole")</f>
        <v>Ivermectin &amp; Albendazole</v>
      </c>
      <c r="E58" s="697" t="str">
        <f>IFERROR(__xludf.DUMMYFUNCTION("""COMPUTED_VALUE"""),"200ug/kg; 400mg")</f>
        <v>200ug/kg; 400mg</v>
      </c>
      <c r="F58" s="697">
        <f>IFERROR(__xludf.DUMMYFUNCTION("""COMPUTED_VALUE"""),1.0)</f>
        <v>1</v>
      </c>
      <c r="G58" s="697" t="str">
        <f>IFERROR(__xludf.DUMMYFUNCTION("""COMPUTED_VALUE"""),"200 ug/kg; 400 mg")</f>
        <v>200 ug/kg; 400 mg</v>
      </c>
      <c r="H58" s="697"/>
      <c r="I58" s="697"/>
      <c r="J58" s="697"/>
      <c r="K58" s="698">
        <f>IFERROR(__xludf.DUMMYFUNCTION("""COMPUTED_VALUE"""),0.822)</f>
        <v>0.822</v>
      </c>
      <c r="L58" s="697"/>
      <c r="M58" s="697"/>
      <c r="N58" s="697"/>
      <c r="O58" s="698">
        <f>IFERROR(__xludf.DUMMYFUNCTION("""COMPUTED_VALUE"""),0.9903)</f>
        <v>0.9903</v>
      </c>
      <c r="P58" s="697"/>
      <c r="Q58" s="697"/>
      <c r="R58" s="697"/>
      <c r="S58" s="698">
        <f>IFERROR(__xludf.DUMMYFUNCTION("""COMPUTED_VALUE"""),0.966)</f>
        <v>0.966</v>
      </c>
      <c r="T58" s="697"/>
      <c r="U58" s="697"/>
      <c r="V58" s="697"/>
      <c r="W58" s="698">
        <f>IFERROR(__xludf.DUMMYFUNCTION("""COMPUTED_VALUE"""),0.843)</f>
        <v>0.843</v>
      </c>
      <c r="X58" s="697"/>
      <c r="Y58" s="697"/>
      <c r="Z58" s="697"/>
      <c r="AA58" s="697"/>
      <c r="AB58" s="697"/>
      <c r="AC58" s="697"/>
      <c r="AD58" s="697"/>
      <c r="AE58" s="697"/>
      <c r="AF58" s="697"/>
      <c r="AG58" s="697"/>
      <c r="AH58" s="697"/>
      <c r="AI58" s="697"/>
      <c r="AJ58" s="697"/>
      <c r="AK58" s="697"/>
      <c r="AL58" s="697"/>
      <c r="AM58" s="697"/>
      <c r="AN58" s="698">
        <f>IFERROR(__xludf.DUMMYFUNCTION("""COMPUTED_VALUE"""),0.966)</f>
        <v>0.966</v>
      </c>
      <c r="AO58" s="698">
        <f>IFERROR(__xludf.DUMMYFUNCTION("""COMPUTED_VALUE"""),0.966)</f>
        <v>0.966</v>
      </c>
      <c r="AP58" s="697" t="str">
        <f>IFERROR(__xludf.DUMMYFUNCTION("""COMPUTED_VALUE"""),"Mf reduction")</f>
        <v>Mf reduction</v>
      </c>
      <c r="AQ58" s="697" t="str">
        <f>IFERROR(__xludf.DUMMYFUNCTION("""COMPUTED_VALUE"""),"River Tordzi basin, south-eastern Ghana")</f>
        <v>River Tordzi basin, south-eastern Ghana</v>
      </c>
      <c r="AR58" s="697">
        <f>IFERROR(__xludf.DUMMYFUNCTION("""COMPUTED_VALUE"""),1999.0)</f>
        <v>1999</v>
      </c>
      <c r="AS58" s="697">
        <f>IFERROR(__xludf.DUMMYFUNCTION("""COMPUTED_VALUE"""),14.0)</f>
        <v>14</v>
      </c>
      <c r="AT58" s="697" t="str">
        <f>IFERROR(__xludf.DUMMYFUNCTION("""COMPUTED_VALUE"""),"1 years")</f>
        <v>1 years</v>
      </c>
      <c r="AU58" s="699" t="str">
        <f>IFERROR(__xludf.DUMMYFUNCTION("""COMPUTED_VALUE"""),"Awadzi, K.; Edwards; G. Duke, B.O.L.; Opoku, N.O.; Attah, S.K.; Addy E.T.; Ardrey, A.E.; Quartey, B.T. (2003) The co-administration of ivermectin and albendazole-safety, pharmacokinetics, and efficacy against Onchocerca volvulus. ")</f>
        <v>Awadzi, K.; Edwards; G. Duke, B.O.L.; Opoku, N.O.; Attah, S.K.; Addy E.T.; Ardrey, A.E.; Quartey, B.T. (2003) The co-administration of ivermectin and albendazole-safety, pharmacokinetics, and efficacy against Onchocerca volvulus. </v>
      </c>
      <c r="AV58" s="697" t="str">
        <f>IFERROR(__xludf.DUMMYFUNCTION("""COMPUTED_VALUE"""),"M")</f>
        <v>M</v>
      </c>
      <c r="AW58" s="697"/>
      <c r="AX58" s="697"/>
      <c r="AY58" s="697" t="str">
        <f>IFERROR(__xludf.DUMMYFUNCTION("""COMPUTED_VALUE"""),"Yes")</f>
        <v>Yes</v>
      </c>
      <c r="AZ58" s="697" t="str">
        <f>IFERROR(__xludf.DUMMYFUNCTION("""COMPUTED_VALUE"""),"Yes")</f>
        <v>Yes</v>
      </c>
      <c r="BA58" s="697"/>
      <c r="BB58" s="697"/>
      <c r="BC58" s="697" t="str">
        <f>IFERROR(__xludf.DUMMYFUNCTION("""COMPUTED_VALUE"""),"Although the co-administration of ivermectin with albendazole appears safe, it offers no advantage over ivermectin alone in the control of onchocerciasis.")</f>
        <v>Although the co-administration of ivermectin with albendazole appears safe, it offers no advantage over ivermectin alone in the control of onchocerciasis.</v>
      </c>
      <c r="BD58" s="697"/>
      <c r="BE58" s="697"/>
      <c r="BF58" s="697"/>
      <c r="BG58" s="697"/>
    </row>
    <row r="59">
      <c r="A59" s="697"/>
      <c r="B59" s="697" t="str">
        <f>IFERROR(__xludf.DUMMYFUNCTION("""COMPUTED_VALUE"""),"Cline et al")</f>
        <v>Cline et al</v>
      </c>
      <c r="C59" s="697" t="str">
        <f>IFERROR(__xludf.DUMMYFUNCTION("""COMPUTED_VALUE"""),"Venezuela")</f>
        <v>Venezuela</v>
      </c>
      <c r="D59" s="697" t="str">
        <f>IFERROR(__xludf.DUMMYFUNCTION("""COMPUTED_VALUE"""),"Albendazole")</f>
        <v>Albendazole</v>
      </c>
      <c r="E59" s="697" t="str">
        <f>IFERROR(__xludf.DUMMYFUNCTION("""COMPUTED_VALUE"""),"400mg")</f>
        <v>400mg</v>
      </c>
      <c r="F59" s="697">
        <f>IFERROR(__xludf.DUMMYFUNCTION("""COMPUTED_VALUE"""),10.0)</f>
        <v>10</v>
      </c>
      <c r="G59" s="697" t="str">
        <f>IFERROR(__xludf.DUMMYFUNCTION("""COMPUTED_VALUE"""),"4000mg")</f>
        <v>4000mg</v>
      </c>
      <c r="H59" s="697"/>
      <c r="I59" s="697"/>
      <c r="J59" s="697"/>
      <c r="K59" s="697"/>
      <c r="L59" s="697"/>
      <c r="M59" s="697"/>
      <c r="N59" s="697"/>
      <c r="O59" s="697"/>
      <c r="P59" s="697"/>
      <c r="Q59" s="697"/>
      <c r="R59" s="697"/>
      <c r="S59" s="697" t="str">
        <f>IFERROR(__xludf.DUMMYFUNCTION("""COMPUTED_VALUE"""),"Increase of .5%")</f>
        <v>Increase of .5%</v>
      </c>
      <c r="T59" s="697"/>
      <c r="U59" s="697"/>
      <c r="V59" s="697"/>
      <c r="W59" s="698">
        <f>IFERROR(__xludf.DUMMYFUNCTION("""COMPUTED_VALUE"""),0.261)</f>
        <v>0.261</v>
      </c>
      <c r="X59" s="697"/>
      <c r="Y59" s="697"/>
      <c r="Z59" s="697"/>
      <c r="AA59" s="697"/>
      <c r="AB59" s="697"/>
      <c r="AC59" s="697"/>
      <c r="AD59" s="697"/>
      <c r="AE59" s="697"/>
      <c r="AF59" s="697"/>
      <c r="AG59" s="697"/>
      <c r="AH59" s="697"/>
      <c r="AI59" s="697"/>
      <c r="AJ59" s="697"/>
      <c r="AK59" s="697"/>
      <c r="AL59" s="697"/>
      <c r="AM59" s="697"/>
      <c r="AN59" s="697" t="str">
        <f>IFERROR(__xludf.DUMMYFUNCTION("""COMPUTED_VALUE"""),"Increase of .5%")</f>
        <v>Increase of .5%</v>
      </c>
      <c r="AO59" s="698">
        <f>IFERROR(__xludf.DUMMYFUNCTION("""COMPUTED_VALUE"""),0.005)</f>
        <v>0.005</v>
      </c>
      <c r="AP59" s="697" t="str">
        <f>IFERROR(__xludf.DUMMYFUNCTION("""COMPUTED_VALUE"""),"Mf reduction")</f>
        <v>Mf reduction</v>
      </c>
      <c r="AQ59" s="697" t="str">
        <f>IFERROR(__xludf.DUMMYFUNCTION("""COMPUTED_VALUE"""),"Monagas State")</f>
        <v>Monagas State</v>
      </c>
      <c r="AR59" s="697">
        <f>IFERROR(__xludf.DUMMYFUNCTION("""COMPUTED_VALUE"""),1984.0)</f>
        <v>1984</v>
      </c>
      <c r="AS59" s="697">
        <f>IFERROR(__xludf.DUMMYFUNCTION("""COMPUTED_VALUE"""),26.0)</f>
        <v>26</v>
      </c>
      <c r="AT59" s="697" t="str">
        <f>IFERROR(__xludf.DUMMYFUNCTION("""COMPUTED_VALUE"""),"1 year")</f>
        <v>1 year</v>
      </c>
      <c r="AU59" s="699" t="str">
        <f>IFERROR(__xludf.DUMMYFUNCTION("""COMPUTED_VALUE"""),"Cline, B.L.; Hernandez, J.L.; Mather, F.J.; Bartholomew, R.; Nunez de Maza, S.; Rodulfo, S.; Welborn, A.; Eberhard, M.L.; Convit, J. (1992) Albendazole in the Treatment of Onchocerciasis Double-Blind Clinical Trial in Venezuela. Am. J. Trop. Med. Hyg. 47("&amp;"4) 512-520")</f>
        <v>Cline, B.L.; Hernandez, J.L.; Mather, F.J.; Bartholomew, R.; Nunez de Maza, S.; Rodulfo, S.; Welborn, A.; Eberhard, M.L.; Convit, J. (1992) Albendazole in the Treatment of Onchocerciasis Double-Blind Clinical Trial in Venezuela. Am. J. Trop. Med. Hyg. 47(4) 512-520</v>
      </c>
      <c r="AV59" s="697" t="str">
        <f>IFERROR(__xludf.DUMMYFUNCTION("""COMPUTED_VALUE"""),"M")</f>
        <v>M</v>
      </c>
      <c r="AW59" s="697" t="str">
        <f>IFERROR(__xludf.DUMMYFUNCTION("""COMPUTED_VALUE"""),"32.5±12.9 years")</f>
        <v>32.5±12.9 years</v>
      </c>
      <c r="AX59" s="697" t="str">
        <f>IFERROR(__xludf.DUMMYFUNCTION("""COMPUTED_VALUE"""),"Exclusion criteria included severe ocular involvement with 0. vol vulus, significant acute or chronic disease, pro teinuria, microfilarial density &gt; 50 mf/mg, or receipt of any anthelmintic within 14 days; chronic heart failure.")</f>
        <v>Exclusion criteria included severe ocular involvement with 0. vol vulus, significant acute or chronic disease, pro teinuria, microfilarial density &gt; 50 mf/mg, or receipt of any anthelmintic within 14 days; chronic heart failure.</v>
      </c>
      <c r="AY59" s="697" t="str">
        <f>IFERROR(__xludf.DUMMYFUNCTION("""COMPUTED_VALUE"""),"Yes")</f>
        <v>Yes</v>
      </c>
      <c r="AZ59" s="697" t="str">
        <f>IFERROR(__xludf.DUMMYFUNCTION("""COMPUTED_VALUE"""),"Yes")</f>
        <v>Yes</v>
      </c>
      <c r="BA59" s="697"/>
      <c r="BB59" s="697"/>
      <c r="BC59" s="697" t="str">
        <f>IFERROR(__xludf.DUMMYFUNCTION("""COMPUTED_VALUE"""),"Consistent with the excellent tolerance observed, albendazole did not kill microfilariae. However, analysis of changes in microfilarial densities (mf/mg of skin) over one year showed that albendazole was active against 0. volvulus, presumably by interferi"&amp;"ng with embryogenesis. The nature, degree, and duration of this effect remain to be determined.")</f>
        <v>Consistent with the excellent tolerance observed, albendazole did not kill microfilariae. However, analysis of changes in microfilarial densities (mf/mg of skin) over one year showed that albendazole was active against 0. volvulus, presumably by interfering with embryogenesis. The nature, degree, and duration of this effect remain to be determined.</v>
      </c>
      <c r="BD59" s="697" t="str">
        <f>IFERROR(__xludf.DUMMYFUNCTION("""COMPUTED_VALUE"""),"Two men did not wish to participate because of objection to serial skin snipping, one moved out of the area.")</f>
        <v>Two men did not wish to participate because of objection to serial skin snipping, one moved out of the area.</v>
      </c>
      <c r="BE59" s="697"/>
      <c r="BF59" s="697"/>
      <c r="BG59" s="697"/>
    </row>
    <row r="60">
      <c r="A60" s="697"/>
      <c r="B60" s="697" t="str">
        <f>IFERROR(__xludf.DUMMYFUNCTION("""COMPUTED_VALUE"""),"Cline et al")</f>
        <v>Cline et al</v>
      </c>
      <c r="C60" s="697" t="str">
        <f>IFERROR(__xludf.DUMMYFUNCTION("""COMPUTED_VALUE"""),"Venezuela")</f>
        <v>Venezuela</v>
      </c>
      <c r="D60" s="697" t="str">
        <f>IFERROR(__xludf.DUMMYFUNCTION("""COMPUTED_VALUE"""),"Placebo")</f>
        <v>Placebo</v>
      </c>
      <c r="E60" s="697"/>
      <c r="F60" s="697"/>
      <c r="G60" s="697"/>
      <c r="H60" s="697"/>
      <c r="I60" s="697"/>
      <c r="J60" s="697"/>
      <c r="K60" s="697"/>
      <c r="L60" s="697"/>
      <c r="M60" s="697"/>
      <c r="N60" s="697"/>
      <c r="O60" s="697"/>
      <c r="P60" s="697"/>
      <c r="Q60" s="697"/>
      <c r="R60" s="697"/>
      <c r="S60" s="697" t="str">
        <f>IFERROR(__xludf.DUMMYFUNCTION("""COMPUTED_VALUE"""),"Increase of 19.9%")</f>
        <v>Increase of 19.9%</v>
      </c>
      <c r="T60" s="697"/>
      <c r="U60" s="697"/>
      <c r="V60" s="697"/>
      <c r="W60" s="698">
        <f>IFERROR(__xludf.DUMMYFUNCTION("""COMPUTED_VALUE"""),0.0176)</f>
        <v>0.0176</v>
      </c>
      <c r="X60" s="697"/>
      <c r="Y60" s="697"/>
      <c r="Z60" s="697"/>
      <c r="AA60" s="697"/>
      <c r="AB60" s="697"/>
      <c r="AC60" s="697"/>
      <c r="AD60" s="697"/>
      <c r="AE60" s="697"/>
      <c r="AF60" s="697"/>
      <c r="AG60" s="697"/>
      <c r="AH60" s="697"/>
      <c r="AI60" s="697"/>
      <c r="AJ60" s="697"/>
      <c r="AK60" s="697"/>
      <c r="AL60" s="697"/>
      <c r="AM60" s="697"/>
      <c r="AN60" s="697" t="str">
        <f>IFERROR(__xludf.DUMMYFUNCTION("""COMPUTED_VALUE"""),"Increase of 19.9%")</f>
        <v>Increase of 19.9%</v>
      </c>
      <c r="AO60" s="698">
        <f>IFERROR(__xludf.DUMMYFUNCTION("""COMPUTED_VALUE"""),0.199)</f>
        <v>0.199</v>
      </c>
      <c r="AP60" s="697" t="str">
        <f>IFERROR(__xludf.DUMMYFUNCTION("""COMPUTED_VALUE"""),"Mf reduction")</f>
        <v>Mf reduction</v>
      </c>
      <c r="AQ60" s="697" t="str">
        <f>IFERROR(__xludf.DUMMYFUNCTION("""COMPUTED_VALUE"""),"Monagas State")</f>
        <v>Monagas State</v>
      </c>
      <c r="AR60" s="697">
        <f>IFERROR(__xludf.DUMMYFUNCTION("""COMPUTED_VALUE"""),1984.0)</f>
        <v>1984</v>
      </c>
      <c r="AS60" s="697">
        <f>IFERROR(__xludf.DUMMYFUNCTION("""COMPUTED_VALUE"""),23.0)</f>
        <v>23</v>
      </c>
      <c r="AT60" s="697" t="str">
        <f>IFERROR(__xludf.DUMMYFUNCTION("""COMPUTED_VALUE"""),"1 year")</f>
        <v>1 year</v>
      </c>
      <c r="AU60" s="699" t="str">
        <f>IFERROR(__xludf.DUMMYFUNCTION("""COMPUTED_VALUE"""),"Cline, B.L.; Hernandez, J.L.; Mather, F.J.; Bartholomew, R.; Nunez de Maza, S.; Rodulfo, S.; Welborn, A.; Eberhard, M.L.; Convit, J. (1992) Albendazole in the Treatment of Onchocerciasis Double-Blind Clinical Trial in Venezuela. Am. J. Trop. Med. Hyg. 47("&amp;"4) 512-520")</f>
        <v>Cline, B.L.; Hernandez, J.L.; Mather, F.J.; Bartholomew, R.; Nunez de Maza, S.; Rodulfo, S.; Welborn, A.; Eberhard, M.L.; Convit, J. (1992) Albendazole in the Treatment of Onchocerciasis Double-Blind Clinical Trial in Venezuela. Am. J. Trop. Med. Hyg. 47(4) 512-520</v>
      </c>
      <c r="AV60" s="697" t="str">
        <f>IFERROR(__xludf.DUMMYFUNCTION("""COMPUTED_VALUE"""),"M")</f>
        <v>M</v>
      </c>
      <c r="AW60" s="697" t="str">
        <f>IFERROR(__xludf.DUMMYFUNCTION("""COMPUTED_VALUE"""),"38.8±13.3 years")</f>
        <v>38.8±13.3 years</v>
      </c>
      <c r="AX60" s="697"/>
      <c r="AY60" s="697" t="str">
        <f>IFERROR(__xludf.DUMMYFUNCTION("""COMPUTED_VALUE"""),"Yes")</f>
        <v>Yes</v>
      </c>
      <c r="AZ60" s="697" t="str">
        <f>IFERROR(__xludf.DUMMYFUNCTION("""COMPUTED_VALUE"""),"Yes")</f>
        <v>Yes</v>
      </c>
      <c r="BA60" s="697"/>
      <c r="BB60" s="697"/>
      <c r="BC60" s="697" t="str">
        <f>IFERROR(__xludf.DUMMYFUNCTION("""COMPUTED_VALUE"""),"Consistent with the excellent tolerance observed, albendazole did not kill microfilariae. However, analysis of changes in microfilarial densities (mf/mg of skin) over one year showed that albendazole was active against 0. volvulus, presumably by interferi"&amp;"ng with embryogenesis. The nature, degree, and duration of this effect remain to be determined.")</f>
        <v>Consistent with the excellent tolerance observed, albendazole did not kill microfilariae. However, analysis of changes in microfilarial densities (mf/mg of skin) over one year showed that albendazole was active against 0. volvulus, presumably by interfering with embryogenesis. The nature, degree, and duration of this effect remain to be determined.</v>
      </c>
      <c r="BD60" s="697" t="str">
        <f>IFERROR(__xludf.DUMMYFUNCTION("""COMPUTED_VALUE"""),"Two men did not wish to participate because of objection to serial skin snipping, one moved out of the area.")</f>
        <v>Two men did not wish to participate because of objection to serial skin snipping, one moved out of the area.</v>
      </c>
      <c r="BE60" s="697"/>
      <c r="BF60" s="697"/>
      <c r="BG60" s="697"/>
    </row>
    <row r="61">
      <c r="A61" s="697"/>
      <c r="B61" s="697" t="str">
        <f>IFERROR(__xludf.DUMMYFUNCTION("""COMPUTED_VALUE"""),"Taylor et al.")</f>
        <v>Taylor et al.</v>
      </c>
      <c r="C61" s="697" t="str">
        <f>IFERROR(__xludf.DUMMYFUNCTION("""COMPUTED_VALUE"""),"Guatemala")</f>
        <v>Guatemala</v>
      </c>
      <c r="D61" s="697" t="str">
        <f>IFERROR(__xludf.DUMMYFUNCTION("""COMPUTED_VALUE"""),"DEC lotion")</f>
        <v>DEC lotion</v>
      </c>
      <c r="E61" s="697" t="str">
        <f>IFERROR(__xludf.DUMMYFUNCTION("""COMPUTED_VALUE"""),"300mg")</f>
        <v>300mg</v>
      </c>
      <c r="F61" s="697">
        <f>IFERROR(__xludf.DUMMYFUNCTION("""COMPUTED_VALUE"""),14.0)</f>
        <v>14</v>
      </c>
      <c r="G61" s="697" t="str">
        <f>IFERROR(__xludf.DUMMYFUNCTION("""COMPUTED_VALUE"""),"4200mg")</f>
        <v>4200mg</v>
      </c>
      <c r="H61" s="697"/>
      <c r="I61" s="697"/>
      <c r="J61" s="697"/>
      <c r="K61" s="697"/>
      <c r="L61" s="697"/>
      <c r="M61" s="697"/>
      <c r="N61" s="697"/>
      <c r="O61" s="697"/>
      <c r="P61" s="697"/>
      <c r="Q61" s="698">
        <f>IFERROR(__xludf.DUMMYFUNCTION("""COMPUTED_VALUE"""),0.442)</f>
        <v>0.442</v>
      </c>
      <c r="R61" s="697"/>
      <c r="S61" s="697"/>
      <c r="T61" s="697"/>
      <c r="U61" s="697"/>
      <c r="V61" s="697"/>
      <c r="W61" s="697"/>
      <c r="X61" s="697"/>
      <c r="Y61" s="697"/>
      <c r="Z61" s="697"/>
      <c r="AA61" s="697"/>
      <c r="AB61" s="697"/>
      <c r="AC61" s="697"/>
      <c r="AD61" s="697"/>
      <c r="AE61" s="697"/>
      <c r="AF61" s="697"/>
      <c r="AG61" s="697"/>
      <c r="AH61" s="697"/>
      <c r="AI61" s="697"/>
      <c r="AJ61" s="697"/>
      <c r="AK61" s="697"/>
      <c r="AL61" s="697"/>
      <c r="AM61" s="697"/>
      <c r="AN61" s="698">
        <f>IFERROR(__xludf.DUMMYFUNCTION("""COMPUTED_VALUE"""),0.442)</f>
        <v>0.442</v>
      </c>
      <c r="AO61" s="698">
        <f>IFERROR(__xludf.DUMMYFUNCTION("""COMPUTED_VALUE"""),0.442)</f>
        <v>0.442</v>
      </c>
      <c r="AP61" s="697" t="str">
        <f>IFERROR(__xludf.DUMMYFUNCTION("""COMPUTED_VALUE"""),"Mf reduction")</f>
        <v>Mf reduction</v>
      </c>
      <c r="AQ61" s="697" t="str">
        <f>IFERROR(__xludf.DUMMYFUNCTION("""COMPUTED_VALUE"""),"Yepocapa area ")</f>
        <v>Yepocapa area </v>
      </c>
      <c r="AR61" s="697">
        <f>IFERROR(__xludf.DUMMYFUNCTION("""COMPUTED_VALUE"""),1980.0)</f>
        <v>1980</v>
      </c>
      <c r="AS61" s="697">
        <f>IFERROR(__xludf.DUMMYFUNCTION("""COMPUTED_VALUE"""),94.0)</f>
        <v>94</v>
      </c>
      <c r="AT61" s="697" t="str">
        <f>IFERROR(__xludf.DUMMYFUNCTION("""COMPUTED_VALUE"""),"8 weeks")</f>
        <v>8 weeks</v>
      </c>
      <c r="AU61" s="699" t="str">
        <f>IFERROR(__xludf.DUMMYFUNCTION("""COMPUTED_VALUE"""),"Taylor, H.R.; Langham, M.E.; de Stahl, E.M.; Figueroa, L.N.; Beltranena. (1980) Chemotherapy of Onchocerciasis: A Controlled Clinical Trial of Topical Diethylcarbamazine (DEC) in Guatamala. Tropenmed. Parasit. (31) 357-364")</f>
        <v>Taylor, H.R.; Langham, M.E.; de Stahl, E.M.; Figueroa, L.N.; Beltranena. (1980) Chemotherapy of Onchocerciasis: A Controlled Clinical Trial of Topical Diethylcarbamazine (DEC) in Guatamala. Tropenmed. Parasit. (31) 357-364</v>
      </c>
      <c r="AV61" s="697" t="str">
        <f>IFERROR(__xludf.DUMMYFUNCTION("""COMPUTED_VALUE"""),"63% M")</f>
        <v>63% M</v>
      </c>
      <c r="AW61" s="697" t="str">
        <f>IFERROR(__xludf.DUMMYFUNCTION("""COMPUTED_VALUE"""),"36±16 years")</f>
        <v>36±16 years</v>
      </c>
      <c r="AX61" s="697"/>
      <c r="AY61" s="697" t="str">
        <f>IFERROR(__xludf.DUMMYFUNCTION("""COMPUTED_VALUE"""),"Yes")</f>
        <v>Yes</v>
      </c>
      <c r="AZ61" s="697" t="str">
        <f>IFERROR(__xludf.DUMMYFUNCTION("""COMPUTED_VALUE"""),"Yes")</f>
        <v>Yes</v>
      </c>
      <c r="BA61" s="697"/>
      <c r="BB61" s="697"/>
      <c r="BC61" s="697" t="str">
        <f>IFERROR(__xludf.DUMMYFUNCTION("""COMPUTED_VALUE"""),"The decrease in mean microfilarial counts per skin snip was significantly greater in those receiving DEC lotion than those receiving placebo lotion. Although DEC lotion is effective in reducing mf counts as compared to placebo lotion, its use is associate"&amp;"d with significant side effects.")</f>
        <v>The decrease in mean microfilarial counts per skin snip was significantly greater in those receiving DEC lotion than those receiving placebo lotion. Although DEC lotion is effective in reducing mf counts as compared to placebo lotion, its use is associated with significant side effects.</v>
      </c>
      <c r="BD61" s="697"/>
      <c r="BE61" s="697"/>
      <c r="BF61" s="697"/>
      <c r="BG61" s="697"/>
    </row>
    <row r="62">
      <c r="A62" s="697"/>
      <c r="B62" s="697" t="str">
        <f>IFERROR(__xludf.DUMMYFUNCTION("""COMPUTED_VALUE"""),"Taylor et al.")</f>
        <v>Taylor et al.</v>
      </c>
      <c r="C62" s="697" t="str">
        <f>IFERROR(__xludf.DUMMYFUNCTION("""COMPUTED_VALUE"""),"Guatemala")</f>
        <v>Guatemala</v>
      </c>
      <c r="D62" s="697" t="str">
        <f>IFERROR(__xludf.DUMMYFUNCTION("""COMPUTED_VALUE"""),"Placebo lotion")</f>
        <v>Placebo lotion</v>
      </c>
      <c r="E62" s="697"/>
      <c r="F62" s="697"/>
      <c r="G62" s="697" t="str">
        <f>IFERROR(__xludf.DUMMYFUNCTION("""COMPUTED_VALUE"""),"Placebo")</f>
        <v>Placebo</v>
      </c>
      <c r="H62" s="697"/>
      <c r="I62" s="697"/>
      <c r="J62" s="697"/>
      <c r="K62" s="697"/>
      <c r="L62" s="697"/>
      <c r="M62" s="697"/>
      <c r="N62" s="697"/>
      <c r="O62" s="697"/>
      <c r="P62" s="697"/>
      <c r="Q62" s="698">
        <f>IFERROR(__xludf.DUMMYFUNCTION("""COMPUTED_VALUE"""),0.1278)</f>
        <v>0.1278</v>
      </c>
      <c r="R62" s="697"/>
      <c r="S62" s="697"/>
      <c r="T62" s="697"/>
      <c r="U62" s="697"/>
      <c r="V62" s="697"/>
      <c r="W62" s="697"/>
      <c r="X62" s="697"/>
      <c r="Y62" s="697"/>
      <c r="Z62" s="697"/>
      <c r="AA62" s="697"/>
      <c r="AB62" s="697"/>
      <c r="AC62" s="697"/>
      <c r="AD62" s="697"/>
      <c r="AE62" s="697"/>
      <c r="AF62" s="697"/>
      <c r="AG62" s="697"/>
      <c r="AH62" s="697"/>
      <c r="AI62" s="697"/>
      <c r="AJ62" s="697"/>
      <c r="AK62" s="697"/>
      <c r="AL62" s="697"/>
      <c r="AM62" s="697"/>
      <c r="AN62" s="698">
        <f>IFERROR(__xludf.DUMMYFUNCTION("""COMPUTED_VALUE"""),0.1278)</f>
        <v>0.1278</v>
      </c>
      <c r="AO62" s="698">
        <f>IFERROR(__xludf.DUMMYFUNCTION("""COMPUTED_VALUE"""),0.1278)</f>
        <v>0.1278</v>
      </c>
      <c r="AP62" s="697" t="str">
        <f>IFERROR(__xludf.DUMMYFUNCTION("""COMPUTED_VALUE"""),"Mf reduction")</f>
        <v>Mf reduction</v>
      </c>
      <c r="AQ62" s="697" t="str">
        <f>IFERROR(__xludf.DUMMYFUNCTION("""COMPUTED_VALUE"""),"Yepocapa area")</f>
        <v>Yepocapa area</v>
      </c>
      <c r="AR62" s="697">
        <f>IFERROR(__xludf.DUMMYFUNCTION("""COMPUTED_VALUE"""),1980.0)</f>
        <v>1980</v>
      </c>
      <c r="AS62" s="697">
        <f>IFERROR(__xludf.DUMMYFUNCTION("""COMPUTED_VALUE"""),93.0)</f>
        <v>93</v>
      </c>
      <c r="AT62" s="697" t="str">
        <f>IFERROR(__xludf.DUMMYFUNCTION("""COMPUTED_VALUE"""),"8 weeks")</f>
        <v>8 weeks</v>
      </c>
      <c r="AU62" s="699" t="str">
        <f>IFERROR(__xludf.DUMMYFUNCTION("""COMPUTED_VALUE"""),"Taylor, H.R.; Langham, M.E.; de Stahl, E.M.; Figueroa, L.N.; Beltranena. (1980) Chemotherapy of Onchocerciasis: A Controlled Clinical Trial of Topical Diethylcarbamazine (DEC) in Guatamala. Tropenmed. Parasit. (31) 357-364")</f>
        <v>Taylor, H.R.; Langham, M.E.; de Stahl, E.M.; Figueroa, L.N.; Beltranena. (1980) Chemotherapy of Onchocerciasis: A Controlled Clinical Trial of Topical Diethylcarbamazine (DEC) in Guatamala. Tropenmed. Parasit. (31) 357-364</v>
      </c>
      <c r="AV62" s="697" t="str">
        <f>IFERROR(__xludf.DUMMYFUNCTION("""COMPUTED_VALUE"""),"68% M")</f>
        <v>68% M</v>
      </c>
      <c r="AW62" s="697"/>
      <c r="AX62" s="697"/>
      <c r="AY62" s="697" t="str">
        <f>IFERROR(__xludf.DUMMYFUNCTION("""COMPUTED_VALUE"""),"Yes")</f>
        <v>Yes</v>
      </c>
      <c r="AZ62" s="697" t="str">
        <f>IFERROR(__xludf.DUMMYFUNCTION("""COMPUTED_VALUE"""),"Yes")</f>
        <v>Yes</v>
      </c>
      <c r="BA62" s="697"/>
      <c r="BB62" s="697"/>
      <c r="BC62" s="697" t="str">
        <f>IFERROR(__xludf.DUMMYFUNCTION("""COMPUTED_VALUE"""),"The decrease in mean microfilarial counts per skin snip was significantly greater in those receiving DEC lotion than those receiving placebo lotion. Although DEC lotion is effective in reducing mf counts as compared to placebo lotion, its use is associate"&amp;"d with significant side effects.")</f>
        <v>The decrease in mean microfilarial counts per skin snip was significantly greater in those receiving DEC lotion than those receiving placebo lotion. Although DEC lotion is effective in reducing mf counts as compared to placebo lotion, its use is associated with significant side effects.</v>
      </c>
      <c r="BD62" s="697"/>
      <c r="BE62" s="697"/>
      <c r="BF62" s="697"/>
      <c r="BG62" s="697"/>
    </row>
    <row r="63">
      <c r="A63" s="697"/>
      <c r="B63" s="697" t="str">
        <f>IFERROR(__xludf.DUMMYFUNCTION("""COMPUTED_VALUE"""),"Taylor, Greene, &amp; Langham")</f>
        <v>Taylor, Greene, &amp; Langham</v>
      </c>
      <c r="C63" s="697" t="str">
        <f>IFERROR(__xludf.DUMMYFUNCTION("""COMPUTED_VALUE"""),"Liberia")</f>
        <v>Liberia</v>
      </c>
      <c r="D63" s="697" t="str">
        <f>IFERROR(__xludf.DUMMYFUNCTION("""COMPUTED_VALUE"""),"DEC Oral")</f>
        <v>DEC Oral</v>
      </c>
      <c r="E63" s="697" t="str">
        <f>IFERROR(__xludf.DUMMYFUNCTION("""COMPUTED_VALUE"""),"50mg")</f>
        <v>50mg</v>
      </c>
      <c r="F63" s="697">
        <f>IFERROR(__xludf.DUMMYFUNCTION("""COMPUTED_VALUE"""),116.0)</f>
        <v>116</v>
      </c>
      <c r="G63" s="697" t="str">
        <f>IFERROR(__xludf.DUMMYFUNCTION("""COMPUTED_VALUE"""),"5800mg")</f>
        <v>5800mg</v>
      </c>
      <c r="H63" s="697"/>
      <c r="I63" s="697"/>
      <c r="J63" s="697"/>
      <c r="K63" s="697"/>
      <c r="L63" s="697"/>
      <c r="M63" s="697"/>
      <c r="N63" s="697"/>
      <c r="O63" s="697"/>
      <c r="P63" s="697"/>
      <c r="Q63" s="697"/>
      <c r="R63" s="697"/>
      <c r="S63" s="698">
        <f>IFERROR(__xludf.DUMMYFUNCTION("""COMPUTED_VALUE"""),0.957)</f>
        <v>0.957</v>
      </c>
      <c r="T63" s="697"/>
      <c r="U63" s="697"/>
      <c r="V63" s="697"/>
      <c r="W63" s="697"/>
      <c r="X63" s="697"/>
      <c r="Y63" s="697"/>
      <c r="Z63" s="697"/>
      <c r="AA63" s="697"/>
      <c r="AB63" s="697"/>
      <c r="AC63" s="697"/>
      <c r="AD63" s="697"/>
      <c r="AE63" s="697" t="str">
        <f>IFERROR(__xludf.DUMMYFUNCTION("""COMPUTED_VALUE"""),"n/a")</f>
        <v>n/a</v>
      </c>
      <c r="AF63" s="697"/>
      <c r="AG63" s="697"/>
      <c r="AH63" s="697"/>
      <c r="AI63" s="697"/>
      <c r="AJ63" s="697"/>
      <c r="AK63" s="697"/>
      <c r="AL63" s="697"/>
      <c r="AM63" s="697"/>
      <c r="AN63" s="698">
        <f>IFERROR(__xludf.DUMMYFUNCTION("""COMPUTED_VALUE"""),0.957)</f>
        <v>0.957</v>
      </c>
      <c r="AO63" s="698">
        <f>IFERROR(__xludf.DUMMYFUNCTION("""COMPUTED_VALUE"""),0.957)</f>
        <v>0.957</v>
      </c>
      <c r="AP63" s="697" t="str">
        <f>IFERROR(__xludf.DUMMYFUNCTION("""COMPUTED_VALUE"""),"Mf reduction")</f>
        <v>Mf reduction</v>
      </c>
      <c r="AQ63" s="697" t="str">
        <f>IFERROR(__xludf.DUMMYFUNCTION("""COMPUTED_VALUE"""),"Harbel, Liberia ")</f>
        <v>Harbel, Liberia </v>
      </c>
      <c r="AR63" s="697">
        <f>IFERROR(__xludf.DUMMYFUNCTION("""COMPUTED_VALUE"""),1980.0)</f>
        <v>1980</v>
      </c>
      <c r="AS63" s="697">
        <f>IFERROR(__xludf.DUMMYFUNCTION("""COMPUTED_VALUE"""),10.0)</f>
        <v>10</v>
      </c>
      <c r="AT63" s="697" t="str">
        <f>IFERROR(__xludf.DUMMYFUNCTION("""COMPUTED_VALUE"""),"6 months")</f>
        <v>6 months</v>
      </c>
      <c r="AU63" s="699" t="str">
        <f>IFERROR(__xludf.DUMMYFUNCTION("""COMPUTED_VALUE"""),"Taylor, H.R., Greene, B.M, Langham, M.E. (1980) Controlled Clinical Trial of Oral and Topical Diethylcarbamazine in Treatment of Onchocerciasis. The Lancet Ltd.")</f>
        <v>Taylor, H.R., Greene, B.M, Langham, M.E. (1980) Controlled Clinical Trial of Oral and Topical Diethylcarbamazine in Treatment of Onchocerciasis. The Lancet Ltd.</v>
      </c>
      <c r="AV63" s="697" t="str">
        <f>IFERROR(__xludf.DUMMYFUNCTION("""COMPUTED_VALUE"""),"M")</f>
        <v>M</v>
      </c>
      <c r="AW63" s="697" t="str">
        <f>IFERROR(__xludf.DUMMYFUNCTION("""COMPUTED_VALUE"""),"37±14 years")</f>
        <v>37±14 years</v>
      </c>
      <c r="AX63" s="697"/>
      <c r="AY63" s="697" t="str">
        <f>IFERROR(__xludf.DUMMYFUNCTION("""COMPUTED_VALUE"""),"Yes")</f>
        <v>Yes</v>
      </c>
      <c r="AZ63" s="697" t="str">
        <f>IFERROR(__xludf.DUMMYFUNCTION("""COMPUTED_VALUE"""),"Yes")</f>
        <v>Yes</v>
      </c>
      <c r="BA63" s="697"/>
      <c r="BB63" s="697"/>
      <c r="BC63" s="697" t="str">
        <f>IFERROR(__xludf.DUMMYFUNCTION("""COMPUTED_VALUE"""),"Mean microfilarial skin-snip counts fell in both groups during therapy (see accompanying figure). However, the count in the tablet group fell more rapidly and to a lower level.")</f>
        <v>Mean microfilarial skin-snip counts fell in both groups during therapy (see accompanying figure). However, the count in the tablet group fell more rapidly and to a lower level.</v>
      </c>
      <c r="BD63" s="697"/>
      <c r="BE63" s="697"/>
      <c r="BF63" s="697"/>
      <c r="BG63" s="697"/>
    </row>
    <row r="64">
      <c r="A64" s="697"/>
      <c r="B64" s="697" t="str">
        <f>IFERROR(__xludf.DUMMYFUNCTION("""COMPUTED_VALUE"""),"Taylor, Greene, &amp; Langham")</f>
        <v>Taylor, Greene, &amp; Langham</v>
      </c>
      <c r="C64" s="697" t="str">
        <f>IFERROR(__xludf.DUMMYFUNCTION("""COMPUTED_VALUE"""),"Liberia")</f>
        <v>Liberia</v>
      </c>
      <c r="D64" s="697" t="str">
        <f>IFERROR(__xludf.DUMMYFUNCTION("""COMPUTED_VALUE"""),"DEC Topical")</f>
        <v>DEC Topical</v>
      </c>
      <c r="E64" s="697" t="str">
        <f>IFERROR(__xludf.DUMMYFUNCTION("""COMPUTED_VALUE"""),"300mg")</f>
        <v>300mg</v>
      </c>
      <c r="F64" s="697">
        <f>IFERROR(__xludf.DUMMYFUNCTION("""COMPUTED_VALUE"""),24.0)</f>
        <v>24</v>
      </c>
      <c r="G64" s="697" t="str">
        <f>IFERROR(__xludf.DUMMYFUNCTION("""COMPUTED_VALUE"""),"7200mg")</f>
        <v>7200mg</v>
      </c>
      <c r="H64" s="697"/>
      <c r="I64" s="697"/>
      <c r="J64" s="697"/>
      <c r="K64" s="697"/>
      <c r="L64" s="697"/>
      <c r="M64" s="697"/>
      <c r="N64" s="697"/>
      <c r="O64" s="697"/>
      <c r="P64" s="697"/>
      <c r="Q64" s="697"/>
      <c r="R64" s="697"/>
      <c r="S64" s="698">
        <f>IFERROR(__xludf.DUMMYFUNCTION("""COMPUTED_VALUE"""),0.967)</f>
        <v>0.967</v>
      </c>
      <c r="T64" s="697"/>
      <c r="U64" s="697"/>
      <c r="V64" s="697"/>
      <c r="W64" s="697"/>
      <c r="X64" s="697"/>
      <c r="Y64" s="697"/>
      <c r="Z64" s="697"/>
      <c r="AA64" s="697"/>
      <c r="AB64" s="697"/>
      <c r="AC64" s="697"/>
      <c r="AD64" s="697"/>
      <c r="AE64" s="697" t="str">
        <f>IFERROR(__xludf.DUMMYFUNCTION("""COMPUTED_VALUE"""),"n/a")</f>
        <v>n/a</v>
      </c>
      <c r="AF64" s="697"/>
      <c r="AG64" s="697"/>
      <c r="AH64" s="697"/>
      <c r="AI64" s="697"/>
      <c r="AJ64" s="697"/>
      <c r="AK64" s="697"/>
      <c r="AL64" s="697"/>
      <c r="AM64" s="697"/>
      <c r="AN64" s="698">
        <f>IFERROR(__xludf.DUMMYFUNCTION("""COMPUTED_VALUE"""),0.967)</f>
        <v>0.967</v>
      </c>
      <c r="AO64" s="698">
        <f>IFERROR(__xludf.DUMMYFUNCTION("""COMPUTED_VALUE"""),0.967)</f>
        <v>0.967</v>
      </c>
      <c r="AP64" s="697" t="str">
        <f>IFERROR(__xludf.DUMMYFUNCTION("""COMPUTED_VALUE"""),"Mf reduction")</f>
        <v>Mf reduction</v>
      </c>
      <c r="AQ64" s="697" t="str">
        <f>IFERROR(__xludf.DUMMYFUNCTION("""COMPUTED_VALUE"""),"Harbel, Liberia ")</f>
        <v>Harbel, Liberia </v>
      </c>
      <c r="AR64" s="697">
        <f>IFERROR(__xludf.DUMMYFUNCTION("""COMPUTED_VALUE"""),1980.0)</f>
        <v>1980</v>
      </c>
      <c r="AS64" s="697">
        <f>IFERROR(__xludf.DUMMYFUNCTION("""COMPUTED_VALUE"""),10.0)</f>
        <v>10</v>
      </c>
      <c r="AT64" s="697" t="str">
        <f>IFERROR(__xludf.DUMMYFUNCTION("""COMPUTED_VALUE"""),"6 months")</f>
        <v>6 months</v>
      </c>
      <c r="AU64" s="699" t="str">
        <f>IFERROR(__xludf.DUMMYFUNCTION("""COMPUTED_VALUE"""),"Taylor, H.R., Greene, B.M, Langham, M.E. (1980) Controlled Clinical Trial of Oral and Topical Diethylcarbamazine in Treatment of Onchocerciasis. The Lancet Ltd.")</f>
        <v>Taylor, H.R., Greene, B.M, Langham, M.E. (1980) Controlled Clinical Trial of Oral and Topical Diethylcarbamazine in Treatment of Onchocerciasis. The Lancet Ltd.</v>
      </c>
      <c r="AV64" s="697" t="str">
        <f>IFERROR(__xludf.DUMMYFUNCTION("""COMPUTED_VALUE"""),"M")</f>
        <v>M</v>
      </c>
      <c r="AW64" s="697" t="str">
        <f>IFERROR(__xludf.DUMMYFUNCTION("""COMPUTED_VALUE"""),"40 ±11 years")</f>
        <v>40 ±11 years</v>
      </c>
      <c r="AX64" s="697"/>
      <c r="AY64" s="697" t="str">
        <f>IFERROR(__xludf.DUMMYFUNCTION("""COMPUTED_VALUE"""),"Yes")</f>
        <v>Yes</v>
      </c>
      <c r="AZ64" s="697" t="str">
        <f>IFERROR(__xludf.DUMMYFUNCTION("""COMPUTED_VALUE"""),"Yes")</f>
        <v>Yes</v>
      </c>
      <c r="BA64" s="697"/>
      <c r="BB64" s="697"/>
      <c r="BC64" s="697" t="str">
        <f>IFERROR(__xludf.DUMMYFUNCTION("""COMPUTED_VALUE"""),"Mean microfilarial skin-snip counts fell in both groups during therapy (see accompanying figure). However, the count in the tablet group fell more rapidly and to a lower level.")</f>
        <v>Mean microfilarial skin-snip counts fell in both groups during therapy (see accompanying figure). However, the count in the tablet group fell more rapidly and to a lower level.</v>
      </c>
      <c r="BD64" s="697"/>
      <c r="BE64" s="697"/>
      <c r="BF64" s="697"/>
      <c r="BG64" s="697"/>
    </row>
    <row r="65">
      <c r="A65" s="697"/>
      <c r="B65" s="697" t="str">
        <f>IFERROR(__xludf.DUMMYFUNCTION("""COMPUTED_VALUE"""),"Opoku et al.")</f>
        <v>Opoku et al.</v>
      </c>
      <c r="C65" s="697" t="str">
        <f>IFERROR(__xludf.DUMMYFUNCTION("""COMPUTED_VALUE"""),"Liberia, Ghana, and the Democratic Republic of the Congo")</f>
        <v>Liberia, Ghana, and the Democratic Republic of the Congo</v>
      </c>
      <c r="D65" s="697" t="str">
        <f>IFERROR(__xludf.DUMMYFUNCTION("""COMPUTED_VALUE"""),"Moxidectin")</f>
        <v>Moxidectin</v>
      </c>
      <c r="E65" s="697" t="str">
        <f>IFERROR(__xludf.DUMMYFUNCTION("""COMPUTED_VALUE"""),"8mg")</f>
        <v>8mg</v>
      </c>
      <c r="F65" s="697">
        <f>IFERROR(__xludf.DUMMYFUNCTION("""COMPUTED_VALUE"""),1.0)</f>
        <v>1</v>
      </c>
      <c r="G65" s="697" t="str">
        <f>IFERROR(__xludf.DUMMYFUNCTION("""COMPUTED_VALUE"""),"8 mg")</f>
        <v>8 mg</v>
      </c>
      <c r="H65" s="697"/>
      <c r="I65" s="697"/>
      <c r="J65" s="697"/>
      <c r="K65" s="697"/>
      <c r="L65" s="697"/>
      <c r="M65" s="697"/>
      <c r="N65" s="697"/>
      <c r="O65" s="698">
        <f>IFERROR(__xludf.DUMMYFUNCTION("""COMPUTED_VALUE"""),0.933)</f>
        <v>0.933</v>
      </c>
      <c r="P65" s="697"/>
      <c r="Q65" s="697"/>
      <c r="R65" s="697"/>
      <c r="S65" s="700">
        <f>IFERROR(__xludf.DUMMYFUNCTION("""COMPUTED_VALUE"""),0.95)</f>
        <v>0.95</v>
      </c>
      <c r="T65" s="697"/>
      <c r="U65" s="697"/>
      <c r="V65" s="697"/>
      <c r="W65" s="698">
        <f>IFERROR(__xludf.DUMMYFUNCTION("""COMPUTED_VALUE"""),0.647)</f>
        <v>0.647</v>
      </c>
      <c r="X65" s="698">
        <f>IFERROR(__xludf.DUMMYFUNCTION("""COMPUTED_VALUE"""),0.383)</f>
        <v>0.383</v>
      </c>
      <c r="Y65" s="697"/>
      <c r="Z65" s="697"/>
      <c r="AA65" s="697"/>
      <c r="AB65" s="697"/>
      <c r="AC65" s="697"/>
      <c r="AD65" s="697"/>
      <c r="AE65" s="697"/>
      <c r="AF65" s="697"/>
      <c r="AG65" s="697"/>
      <c r="AH65" s="697"/>
      <c r="AI65" s="697"/>
      <c r="AJ65" s="697"/>
      <c r="AK65" s="697"/>
      <c r="AL65" s="697"/>
      <c r="AM65" s="697"/>
      <c r="AN65" s="700">
        <f>IFERROR(__xludf.DUMMYFUNCTION("""COMPUTED_VALUE"""),0.95)</f>
        <v>0.95</v>
      </c>
      <c r="AO65" s="698">
        <f>IFERROR(__xludf.DUMMYFUNCTION("""COMPUTED_VALUE"""),0.95)</f>
        <v>0.95</v>
      </c>
      <c r="AP65" s="697" t="str">
        <f>IFERROR(__xludf.DUMMYFUNCTION("""COMPUTED_VALUE"""),"Mf reduction")</f>
        <v>Mf reduction</v>
      </c>
      <c r="AQ65" s="697" t="str">
        <f>IFERROR(__xludf.DUMMYFUNCTION("""COMPUTED_VALUE"""),"Onchocerciasis Chemotherapy Research Centre, Hohoe, Ghana;
")</f>
        <v>Onchocerciasis Chemotherapy Research Centre, Hohoe, Ghana;
</v>
      </c>
      <c r="AR65" s="697">
        <f>IFERROR(__xludf.DUMMYFUNCTION("""COMPUTED_VALUE"""),2013.0)</f>
        <v>2013</v>
      </c>
      <c r="AS65" s="702" t="str">
        <f>IFERROR(__xludf.DUMMYFUNCTION("""COMPUTED_VALUE"""),"1472; 96.6% ")</f>
        <v>1472; 96.6% </v>
      </c>
      <c r="AT65" s="697" t="str">
        <f>IFERROR(__xludf.DUMMYFUNCTION("""COMPUTED_VALUE"""),"18 months ")</f>
        <v>18 months </v>
      </c>
      <c r="AU65" s="699" t="str">
        <f>IFERROR(__xludf.DUMMYFUNCTION("""COMPUTED_VALUE"""),"Opoku, N.; Bakajika, D.; Kanza, E.; Howard, H.; Attah, S.K.; Tchatchu, J.P.L.; Kataliko, K.; Kpawor, M.; Vaillant, M.; Halleux, C.M.; Olliaro, P.L.; Kuesel, A.C. (2013) Efficacy of a single oral dose of 8 mg Moxidectin vs. 150 ug/kg ivermectin in ochocerc"&amp;"a volvulus infection: results of a randomized, double-blind single dose phase 3 study in areas without mass treatment with ivermectin in Liberia, Ghana and DRC. Tropical Medicine and International Health 18(1): 52-107")</f>
        <v>Opoku, N.; Bakajika, D.; Kanza, E.; Howard, H.; Attah, S.K.; Tchatchu, J.P.L.; Kataliko, K.; Kpawor, M.; Vaillant, M.; Halleux, C.M.; Olliaro, P.L.; Kuesel, A.C. (2013) Efficacy of a single oral dose of 8 mg Moxidectin vs. 150 ug/kg ivermectin in ochocerca volvulus infection: results of a randomized, double-blind single dose phase 3 study in areas without mass treatment with ivermectin in Liberia, Ghana and DRC. Tropical Medicine and International Health 18(1): 52-107</v>
      </c>
      <c r="AV65" s="697" t="str">
        <f>IFERROR(__xludf.DUMMYFUNCTION("""COMPUTED_VALUE"""),"978 Males and 494 Females ")</f>
        <v>978 Males and 494 Females </v>
      </c>
      <c r="AW65" s="697" t="str">
        <f>IFERROR(__xludf.DUMMYFUNCTION("""COMPUTED_VALUE"""),"≥12 years old")</f>
        <v>≥12 years old</v>
      </c>
      <c r="AX65" s="697" t="str">
        <f>IFERROR(__xludf.DUMMYFUNCTION("""COMPUTED_VALUE"""),"≥12 years with ≥10 microfilaria/mg skin (mf/mg)")</f>
        <v>≥12 years with ≥10 microfilaria/mg skin (mf/mg)</v>
      </c>
      <c r="AY65" s="697" t="str">
        <f>IFERROR(__xludf.DUMMYFUNCTION("""COMPUTED_VALUE"""),"Yes")</f>
        <v>Yes</v>
      </c>
      <c r="AZ65" s="697" t="str">
        <f>IFERROR(__xludf.DUMMYFUNCTION("""COMPUTED_VALUE"""),"Yes")</f>
        <v>Yes</v>
      </c>
      <c r="BA65" s="697"/>
      <c r="BB65" s="697"/>
      <c r="BC65" s="697" t="str">
        <f>IFERROR(__xludf.DUMMYFUNCTION("""COMPUTED_VALUE"""),"The average reduction in mf levels during 1 year post treatment (moxidectin 95.0 ± 1.9, ivermectin 84.4 ± 15.4, P &lt; 0.0001) evaluated relative to the transmission model by Duerr et al. suggests that the higher efficacy of moxidectin would increase the thr"&amp;"eshold biting rate and allow elimination of onchocerciasis with mass treatment alone in areas where the model suggests this is not possible with ivermectin.")</f>
        <v>The average reduction in mf levels during 1 year post treatment (moxidectin 95.0 ± 1.9, ivermectin 84.4 ± 15.4, P &lt; 0.0001) evaluated relative to the transmission model by Duerr et al. suggests that the higher efficacy of moxidectin would increase the threshold biting rate and allow elimination of onchocerciasis with mass treatment alone in areas where the model suggests this is not possible with ivermectin.</v>
      </c>
      <c r="BD65" s="697"/>
      <c r="BE65" s="697"/>
      <c r="BF65" s="697"/>
      <c r="BG65" s="697" t="str">
        <f>IFERROR(__xludf.DUMMYFUNCTION("""COMPUTED_VALUE"""),"x")</f>
        <v>x</v>
      </c>
    </row>
    <row r="66">
      <c r="A66" s="697"/>
      <c r="B66" s="697" t="str">
        <f>IFERROR(__xludf.DUMMYFUNCTION("""COMPUTED_VALUE"""),"Opoku et al.")</f>
        <v>Opoku et al.</v>
      </c>
      <c r="C66" s="697" t="str">
        <f>IFERROR(__xludf.DUMMYFUNCTION("""COMPUTED_VALUE"""),"Liberia, Ghana, and the Democratic Republic of the Congo")</f>
        <v>Liberia, Ghana, and the Democratic Republic of the Congo</v>
      </c>
      <c r="D66" s="697" t="str">
        <f>IFERROR(__xludf.DUMMYFUNCTION("""COMPUTED_VALUE"""),"Ivermectin")</f>
        <v>Ivermectin</v>
      </c>
      <c r="E66" s="697" t="str">
        <f>IFERROR(__xludf.DUMMYFUNCTION("""COMPUTED_VALUE"""),"150ug/kg")</f>
        <v>150ug/kg</v>
      </c>
      <c r="F66" s="697">
        <f>IFERROR(__xludf.DUMMYFUNCTION("""COMPUTED_VALUE"""),1.0)</f>
        <v>1</v>
      </c>
      <c r="G66" s="697" t="str">
        <f>IFERROR(__xludf.DUMMYFUNCTION("""COMPUTED_VALUE"""),"150 ug/kg ")</f>
        <v>150 ug/kg </v>
      </c>
      <c r="H66" s="697"/>
      <c r="I66" s="697"/>
      <c r="J66" s="697"/>
      <c r="K66" s="697"/>
      <c r="L66" s="697"/>
      <c r="M66" s="697"/>
      <c r="N66" s="697"/>
      <c r="O66" s="698">
        <f>IFERROR(__xludf.DUMMYFUNCTION("""COMPUTED_VALUE"""),0.483)</f>
        <v>0.483</v>
      </c>
      <c r="P66" s="697"/>
      <c r="Q66" s="697"/>
      <c r="R66" s="697"/>
      <c r="S66" s="698">
        <f>IFERROR(__xludf.DUMMYFUNCTION("""COMPUTED_VALUE"""),0.181)</f>
        <v>0.181</v>
      </c>
      <c r="T66" s="697"/>
      <c r="U66" s="697"/>
      <c r="V66" s="697"/>
      <c r="W66" s="698">
        <f>IFERROR(__xludf.DUMMYFUNCTION("""COMPUTED_VALUE"""),0.087)</f>
        <v>0.087</v>
      </c>
      <c r="X66" s="698">
        <f>IFERROR(__xludf.DUMMYFUNCTION("""COMPUTED_VALUE"""),0.034)</f>
        <v>0.034</v>
      </c>
      <c r="Y66" s="697"/>
      <c r="Z66" s="697"/>
      <c r="AA66" s="697"/>
      <c r="AB66" s="697"/>
      <c r="AC66" s="697"/>
      <c r="AD66" s="697"/>
      <c r="AE66" s="697"/>
      <c r="AF66" s="697"/>
      <c r="AG66" s="697"/>
      <c r="AH66" s="697"/>
      <c r="AI66" s="697"/>
      <c r="AJ66" s="697"/>
      <c r="AK66" s="697"/>
      <c r="AL66" s="697"/>
      <c r="AM66" s="697"/>
      <c r="AN66" s="698">
        <f>IFERROR(__xludf.DUMMYFUNCTION("""COMPUTED_VALUE"""),0.181)</f>
        <v>0.181</v>
      </c>
      <c r="AO66" s="698">
        <f>IFERROR(__xludf.DUMMYFUNCTION("""COMPUTED_VALUE"""),0.181)</f>
        <v>0.181</v>
      </c>
      <c r="AP66" s="697" t="str">
        <f>IFERROR(__xludf.DUMMYFUNCTION("""COMPUTED_VALUE"""),"Mf reduction")</f>
        <v>Mf reduction</v>
      </c>
      <c r="AQ66" s="697" t="str">
        <f>IFERROR(__xludf.DUMMYFUNCTION("""COMPUTED_VALUE"""),"Onchocerciasis Chemotherapy Research Centre, Hohoe, Ghana;
")</f>
        <v>Onchocerciasis Chemotherapy Research Centre, Hohoe, Ghana;
</v>
      </c>
      <c r="AR66" s="697">
        <f>IFERROR(__xludf.DUMMYFUNCTION("""COMPUTED_VALUE"""),2013.0)</f>
        <v>2013</v>
      </c>
      <c r="AS66" s="702" t="str">
        <f>IFERROR(__xludf.DUMMYFUNCTION("""COMPUTED_VALUE"""),"1472; 97.2% ")</f>
        <v>1472; 97.2% </v>
      </c>
      <c r="AT66" s="697" t="str">
        <f>IFERROR(__xludf.DUMMYFUNCTION("""COMPUTED_VALUE"""),"18 months")</f>
        <v>18 months</v>
      </c>
      <c r="AU66" s="699" t="str">
        <f>IFERROR(__xludf.DUMMYFUNCTION("""COMPUTED_VALUE"""),"Opoku, N.; Bakajika, D.; Kanza, E.; Howard, H.; Attah, S.K.; Tchatchu, J.P.L.; Kataliko, K.; Kpawor, M.; Vaillant, M.; Halleux, C.M.; Olliaro, P.L.; Kuesel, A.C. (2013) Efficacy of a single oral dose of 8 mg Moxidectin vs. 150 ug/kg ivermectin in ochocerc"&amp;"a volvulus infection: results of a randomized, double-blind single dose phase 3 study in areas without mass treatment with ivermectin in Liberia, Ghana and DRC. Tropical Medicine and International Health 18(1): 52-107")</f>
        <v>Opoku, N.; Bakajika, D.; Kanza, E.; Howard, H.; Attah, S.K.; Tchatchu, J.P.L.; Kataliko, K.; Kpawor, M.; Vaillant, M.; Halleux, C.M.; Olliaro, P.L.; Kuesel, A.C. (2013) Efficacy of a single oral dose of 8 mg Moxidectin vs. 150 ug/kg ivermectin in ochocerca volvulus infection: results of a randomized, double-blind single dose phase 3 study in areas without mass treatment with ivermectin in Liberia, Ghana and DRC. Tropical Medicine and International Health 18(1): 52-107</v>
      </c>
      <c r="AV66" s="697" t="str">
        <f>IFERROR(__xludf.DUMMYFUNCTION("""COMPUTED_VALUE"""),"978 Males and 494 Females")</f>
        <v>978 Males and 494 Females</v>
      </c>
      <c r="AW66" s="697" t="str">
        <f>IFERROR(__xludf.DUMMYFUNCTION("""COMPUTED_VALUE"""),"≥12 years old")</f>
        <v>≥12 years old</v>
      </c>
      <c r="AX66" s="697" t="str">
        <f>IFERROR(__xludf.DUMMYFUNCTION("""COMPUTED_VALUE"""),"≥12 years with ≥10 microfilaria/mg skin (mf/mg)")</f>
        <v>≥12 years with ≥10 microfilaria/mg skin (mf/mg)</v>
      </c>
      <c r="AY66" s="697" t="str">
        <f>IFERROR(__xludf.DUMMYFUNCTION("""COMPUTED_VALUE"""),"Yes")</f>
        <v>Yes</v>
      </c>
      <c r="AZ66" s="697" t="str">
        <f>IFERROR(__xludf.DUMMYFUNCTION("""COMPUTED_VALUE"""),"Yes")</f>
        <v>Yes</v>
      </c>
      <c r="BA66" s="697"/>
      <c r="BB66" s="697"/>
      <c r="BC66" s="697" t="str">
        <f>IFERROR(__xludf.DUMMYFUNCTION("""COMPUTED_VALUE"""),"The average reduction in mf levels during 1 year post treatment (moxidectin 95.0 ± 1.9, ivermectin 84.4 ± 15.4, P &lt; 0.0001) evaluated relative to the transmission model by Duerr et al. suggests that the higher efficacy of moxidectin would increase the thr"&amp;"eshold biting rate and allow elimination of onchocerciasis with mass treatment alone in areas where the model suggests this is not possible with ivermectin.")</f>
        <v>The average reduction in mf levels during 1 year post treatment (moxidectin 95.0 ± 1.9, ivermectin 84.4 ± 15.4, P &lt; 0.0001) evaluated relative to the transmission model by Duerr et al. suggests that the higher efficacy of moxidectin would increase the threshold biting rate and allow elimination of onchocerciasis with mass treatment alone in areas where the model suggests this is not possible with ivermectin.</v>
      </c>
      <c r="BD66" s="697"/>
      <c r="BE66" s="697"/>
      <c r="BF66" s="697"/>
      <c r="BG66" s="697" t="str">
        <f>IFERROR(__xludf.DUMMYFUNCTION("""COMPUTED_VALUE"""),"x")</f>
        <v>x</v>
      </c>
    </row>
    <row r="67">
      <c r="A67" s="697"/>
      <c r="B67" s="697" t="str">
        <f>IFERROR(__xludf.DUMMYFUNCTION("""COMPUTED_VALUE"""),"Awadzi et al.")</f>
        <v>Awadzi et al.</v>
      </c>
      <c r="C67" s="697" t="str">
        <f>IFERROR(__xludf.DUMMYFUNCTION("""COMPUTED_VALUE"""),"Ghana")</f>
        <v>Ghana</v>
      </c>
      <c r="D67" s="697" t="str">
        <f>IFERROR(__xludf.DUMMYFUNCTION("""COMPUTED_VALUE"""),"Ivermectin")</f>
        <v>Ivermectin</v>
      </c>
      <c r="E67" s="697" t="str">
        <f>IFERROR(__xludf.DUMMYFUNCTION("""COMPUTED_VALUE"""),"150ug/kg")</f>
        <v>150ug/kg</v>
      </c>
      <c r="F67" s="697">
        <f>IFERROR(__xludf.DUMMYFUNCTION("""COMPUTED_VALUE"""),1.0)</f>
        <v>1</v>
      </c>
      <c r="G67" s="697" t="str">
        <f>IFERROR(__xludf.DUMMYFUNCTION("""COMPUTED_VALUE"""),"150 ug/kg; control")</f>
        <v>150 ug/kg; control</v>
      </c>
      <c r="H67" s="697"/>
      <c r="I67" s="697"/>
      <c r="J67" s="697"/>
      <c r="K67" s="697"/>
      <c r="L67" s="697"/>
      <c r="M67" s="697"/>
      <c r="N67" s="697"/>
      <c r="O67" s="698">
        <f>IFERROR(__xludf.DUMMYFUNCTION("""COMPUTED_VALUE"""),0.997)</f>
        <v>0.997</v>
      </c>
      <c r="P67" s="697"/>
      <c r="Q67" s="698">
        <f>IFERROR(__xludf.DUMMYFUNCTION("""COMPUTED_VALUE"""),0.997)</f>
        <v>0.997</v>
      </c>
      <c r="R67" s="697"/>
      <c r="S67" s="698">
        <f>IFERROR(__xludf.DUMMYFUNCTION("""COMPUTED_VALUE"""),0.979)</f>
        <v>0.979</v>
      </c>
      <c r="T67" s="697"/>
      <c r="U67" s="697"/>
      <c r="V67" s="697"/>
      <c r="W67" s="698">
        <f>IFERROR(__xludf.DUMMYFUNCTION("""COMPUTED_VALUE"""),0.935)</f>
        <v>0.935</v>
      </c>
      <c r="X67" s="697"/>
      <c r="Y67" s="697"/>
      <c r="Z67" s="697"/>
      <c r="AA67" s="697"/>
      <c r="AB67" s="697"/>
      <c r="AC67" s="697"/>
      <c r="AD67" s="697"/>
      <c r="AE67" s="697"/>
      <c r="AF67" s="697"/>
      <c r="AG67" s="697"/>
      <c r="AH67" s="697"/>
      <c r="AI67" s="697"/>
      <c r="AJ67" s="697"/>
      <c r="AK67" s="697"/>
      <c r="AL67" s="697"/>
      <c r="AM67" s="697"/>
      <c r="AN67" s="698">
        <f>IFERROR(__xludf.DUMMYFUNCTION("""COMPUTED_VALUE"""),0.979)</f>
        <v>0.979</v>
      </c>
      <c r="AO67" s="698">
        <f>IFERROR(__xludf.DUMMYFUNCTION("""COMPUTED_VALUE"""),0.979)</f>
        <v>0.979</v>
      </c>
      <c r="AP67" s="697" t="str">
        <f>IFERROR(__xludf.DUMMYFUNCTION("""COMPUTED_VALUE"""),"Mf reduction")</f>
        <v>Mf reduction</v>
      </c>
      <c r="AQ67" s="697" t="str">
        <f>IFERROR(__xludf.DUMMYFUNCTION("""COMPUTED_VALUE"""),"Onchocerciasis Chemotherapy Research Center (OCRC) at Hohoe (Ghana)")</f>
        <v>Onchocerciasis Chemotherapy Research Center (OCRC) at Hohoe (Ghana)</v>
      </c>
      <c r="AR67" s="697">
        <f>IFERROR(__xludf.DUMMYFUNCTION("""COMPUTED_VALUE"""),1995.0)</f>
        <v>1995</v>
      </c>
      <c r="AS67" s="697">
        <f>IFERROR(__xludf.DUMMYFUNCTION("""COMPUTED_VALUE"""),15.0)</f>
        <v>15</v>
      </c>
      <c r="AT67" s="697" t="str">
        <f>IFERROR(__xludf.DUMMYFUNCTION("""COMPUTED_VALUE"""),"1 year")</f>
        <v>1 year</v>
      </c>
      <c r="AU67" s="699" t="str">
        <f>IFERROR(__xludf.DUMMYFUNCTION("""COMPUTED_VALUE"""),"Awadzi, K.; Attah, S.K.; Addy, E.T.; Opoku, N.O., Quartey, B.T. (1999) The effects of high-dose ivermectin on Onchocerca volvulus in onchocerciasis patients. Transactions of the Royal Society of Tropical Medicine and Hygiene 93: 189-194")</f>
        <v>Awadzi, K.; Attah, S.K.; Addy, E.T.; Opoku, N.O., Quartey, B.T. (1999) The effects of high-dose ivermectin on Onchocerca volvulus in onchocerciasis patients. Transactions of the Royal Society of Tropical Medicine and Hygiene 93: 189-194</v>
      </c>
      <c r="AV67" s="697" t="str">
        <f>IFERROR(__xludf.DUMMYFUNCTION("""COMPUTED_VALUE"""),"M")</f>
        <v>M</v>
      </c>
      <c r="AW67" s="697"/>
      <c r="AX67" s="697"/>
      <c r="AY67" s="697" t="str">
        <f>IFERROR(__xludf.DUMMYFUNCTION("""COMPUTED_VALUE"""),"Yes")</f>
        <v>Yes</v>
      </c>
      <c r="AZ67" s="697" t="str">
        <f>IFERROR(__xludf.DUMMYFUNCTION("""COMPUTED_VALUE"""),"Yes")</f>
        <v>Yes</v>
      </c>
      <c r="BA67" s="697"/>
      <c r="BB67" s="697"/>
      <c r="BC67" s="697" t="str">
        <f>IFERROR(__xludf.DUMMYFUNCTION("""COMPUTED_VALUE"""),"Total doses of ivermectin up to 1600 ug/kg were not significantly more effective than 150 ug/kg. Moreover, they did not produce the marked inhibitory effects of the repeat standard-dose regimens on embryogenesis, nor the modest effect on adult worm viabil"&amp;"ity, at comparable total doses. Repeated high-dose regimens are unlikely to be more effective than a similar number of 150 ug/kg doses.
")</f>
        <v>Total doses of ivermectin up to 1600 ug/kg were not significantly more effective than 150 ug/kg. Moreover, they did not produce the marked inhibitory effects of the repeat standard-dose regimens on embryogenesis, nor the modest effect on adult worm viability, at comparable total doses. Repeated high-dose regimens are unlikely to be more effective than a similar number of 150 ug/kg doses.
</v>
      </c>
      <c r="BD67" s="697" t="str">
        <f>IFERROR(__xludf.DUMMYFUNCTION("""COMPUTED_VALUE"""),"One patient could not be traced after the day 180 follow-up and was eliminated from the study.")</f>
        <v>One patient could not be traced after the day 180 follow-up and was eliminated from the study.</v>
      </c>
      <c r="BE67" s="697"/>
      <c r="BF67" s="697"/>
      <c r="BG67" s="697"/>
    </row>
    <row r="68">
      <c r="A68" s="697"/>
      <c r="B68" s="697" t="str">
        <f>IFERROR(__xludf.DUMMYFUNCTION("""COMPUTED_VALUE"""),"Awadzi et al.")</f>
        <v>Awadzi et al.</v>
      </c>
      <c r="C68" s="697" t="str">
        <f>IFERROR(__xludf.DUMMYFUNCTION("""COMPUTED_VALUE"""),"Ghana")</f>
        <v>Ghana</v>
      </c>
      <c r="D68" s="697" t="str">
        <f>IFERROR(__xludf.DUMMYFUNCTION("""COMPUTED_VALUE"""),"Ivermectin")</f>
        <v>Ivermectin</v>
      </c>
      <c r="E68" s="697" t="str">
        <f>IFERROR(__xludf.DUMMYFUNCTION("""COMPUTED_VALUE"""),"400ug/kg, 150ug/kg")</f>
        <v>400ug/kg, 150ug/kg</v>
      </c>
      <c r="F68" s="697" t="str">
        <f>IFERROR(__xludf.DUMMYFUNCTION("""COMPUTED_VALUE"""),"1,1")</f>
        <v>1,1</v>
      </c>
      <c r="G68" s="697" t="str">
        <f>IFERROR(__xludf.DUMMYFUNCTION("""COMPUTED_VALUE"""),"550ug/kg")</f>
        <v>550ug/kg</v>
      </c>
      <c r="H68" s="697"/>
      <c r="I68" s="697"/>
      <c r="J68" s="697"/>
      <c r="K68" s="697"/>
      <c r="L68" s="697"/>
      <c r="M68" s="697"/>
      <c r="N68" s="697"/>
      <c r="O68" s="698">
        <f>IFERROR(__xludf.DUMMYFUNCTION("""COMPUTED_VALUE"""),0.999)</f>
        <v>0.999</v>
      </c>
      <c r="P68" s="697"/>
      <c r="Q68" s="698">
        <f>IFERROR(__xludf.DUMMYFUNCTION("""COMPUTED_VALUE"""),0.999)</f>
        <v>0.999</v>
      </c>
      <c r="R68" s="697"/>
      <c r="S68" s="698">
        <f>IFERROR(__xludf.DUMMYFUNCTION("""COMPUTED_VALUE"""),0.985)</f>
        <v>0.985</v>
      </c>
      <c r="T68" s="697"/>
      <c r="U68" s="697"/>
      <c r="V68" s="697"/>
      <c r="W68" s="698">
        <f>IFERROR(__xludf.DUMMYFUNCTION("""COMPUTED_VALUE"""),0.964)</f>
        <v>0.964</v>
      </c>
      <c r="X68" s="697"/>
      <c r="Y68" s="697"/>
      <c r="Z68" s="697"/>
      <c r="AA68" s="697"/>
      <c r="AB68" s="697"/>
      <c r="AC68" s="697"/>
      <c r="AD68" s="697"/>
      <c r="AE68" s="697"/>
      <c r="AF68" s="697"/>
      <c r="AG68" s="697"/>
      <c r="AH68" s="697"/>
      <c r="AI68" s="697"/>
      <c r="AJ68" s="697"/>
      <c r="AK68" s="697"/>
      <c r="AL68" s="697"/>
      <c r="AM68" s="697"/>
      <c r="AN68" s="698">
        <f>IFERROR(__xludf.DUMMYFUNCTION("""COMPUTED_VALUE"""),0.985)</f>
        <v>0.985</v>
      </c>
      <c r="AO68" s="698">
        <f>IFERROR(__xludf.DUMMYFUNCTION("""COMPUTED_VALUE"""),0.985)</f>
        <v>0.985</v>
      </c>
      <c r="AP68" s="697" t="str">
        <f>IFERROR(__xludf.DUMMYFUNCTION("""COMPUTED_VALUE"""),"Mf reduction")</f>
        <v>Mf reduction</v>
      </c>
      <c r="AQ68" s="697" t="str">
        <f>IFERROR(__xludf.DUMMYFUNCTION("""COMPUTED_VALUE"""),"Onchocerciasis Chemotherapy Research Center (OCRC) at Hohoe (Ghana)")</f>
        <v>Onchocerciasis Chemotherapy Research Center (OCRC) at Hohoe (Ghana)</v>
      </c>
      <c r="AR68" s="697">
        <f>IFERROR(__xludf.DUMMYFUNCTION("""COMPUTED_VALUE"""),1995.0)</f>
        <v>1995</v>
      </c>
      <c r="AS68" s="697">
        <f>IFERROR(__xludf.DUMMYFUNCTION("""COMPUTED_VALUE"""),25.0)</f>
        <v>25</v>
      </c>
      <c r="AT68" s="697" t="str">
        <f>IFERROR(__xludf.DUMMYFUNCTION("""COMPUTED_VALUE"""),"1 year")</f>
        <v>1 year</v>
      </c>
      <c r="AU68" s="699" t="str">
        <f>IFERROR(__xludf.DUMMYFUNCTION("""COMPUTED_VALUE"""),"Awadzi, K.; Attah, S.K.; Addy, E.T.; Opoku, N.O., Quartey, B.T. (1999) The effects of high-dose ivermectin on Onchocerca volvulus in onchocerciasis patients. Transactions of the Royal Society of Tropical Medicine and Hygiene 93: 189-194")</f>
        <v>Awadzi, K.; Attah, S.K.; Addy, E.T.; Opoku, N.O., Quartey, B.T. (1999) The effects of high-dose ivermectin on Onchocerca volvulus in onchocerciasis patients. Transactions of the Royal Society of Tropical Medicine and Hygiene 93: 189-194</v>
      </c>
      <c r="AV68" s="697" t="str">
        <f>IFERROR(__xludf.DUMMYFUNCTION("""COMPUTED_VALUE"""),"M")</f>
        <v>M</v>
      </c>
      <c r="AW68" s="697"/>
      <c r="AX68" s="697"/>
      <c r="AY68" s="697" t="str">
        <f>IFERROR(__xludf.DUMMYFUNCTION("""COMPUTED_VALUE"""),"Yes")</f>
        <v>Yes</v>
      </c>
      <c r="AZ68" s="697" t="str">
        <f>IFERROR(__xludf.DUMMYFUNCTION("""COMPUTED_VALUE"""),"Yes")</f>
        <v>Yes</v>
      </c>
      <c r="BA68" s="697"/>
      <c r="BB68" s="697"/>
      <c r="BC68" s="697" t="str">
        <f>IFERROR(__xludf.DUMMYFUNCTION("""COMPUTED_VALUE"""),"Total doses of ivermectin up to 1600 ug/kg were not significantly more effective than 150 ug/kg. Moreover, they did not produce the marked inhibitory effects of the repeat standard-dose regimens on embryogenesis, nor the modest effect on adult worm viabil"&amp;"ity, at comparable total doses. Repeated high-dose regimens are unlikely to be more effective than a similar number of 150 ug/kg doses.
")</f>
        <v>Total doses of ivermectin up to 1600 ug/kg were not significantly more effective than 150 ug/kg. Moreover, they did not produce the marked inhibitory effects of the repeat standard-dose regimens on embryogenesis, nor the modest effect on adult worm viability, at comparable total doses. Repeated high-dose regimens are unlikely to be more effective than a similar number of 150 ug/kg doses.
</v>
      </c>
      <c r="BD68" s="697" t="str">
        <f>IFERROR(__xludf.DUMMYFUNCTION("""COMPUTED_VALUE"""),"One patient could not be traced after the day 180 follow-up and was eliminated from the study.")</f>
        <v>One patient could not be traced after the day 180 follow-up and was eliminated from the study.</v>
      </c>
      <c r="BE68" s="697"/>
      <c r="BF68" s="697"/>
      <c r="BG68" s="697"/>
    </row>
    <row r="69">
      <c r="A69" s="697"/>
      <c r="B69" s="697" t="str">
        <f>IFERROR(__xludf.DUMMYFUNCTION("""COMPUTED_VALUE"""),"Awadzi et al.")</f>
        <v>Awadzi et al.</v>
      </c>
      <c r="C69" s="697" t="str">
        <f>IFERROR(__xludf.DUMMYFUNCTION("""COMPUTED_VALUE"""),"Ghana")</f>
        <v>Ghana</v>
      </c>
      <c r="D69" s="697" t="str">
        <f>IFERROR(__xludf.DUMMYFUNCTION("""COMPUTED_VALUE"""),"Ivermectin")</f>
        <v>Ivermectin</v>
      </c>
      <c r="E69" s="697" t="str">
        <f>IFERROR(__xludf.DUMMYFUNCTION("""COMPUTED_VALUE"""),"600ug/kg, 150ug/kg")</f>
        <v>600ug/kg, 150ug/kg</v>
      </c>
      <c r="F69" s="697" t="str">
        <f>IFERROR(__xludf.DUMMYFUNCTION("""COMPUTED_VALUE"""),"1,1")</f>
        <v>1,1</v>
      </c>
      <c r="G69" s="697" t="str">
        <f>IFERROR(__xludf.DUMMYFUNCTION("""COMPUTED_VALUE"""),"750ug/kg")</f>
        <v>750ug/kg</v>
      </c>
      <c r="H69" s="697"/>
      <c r="I69" s="697"/>
      <c r="J69" s="697"/>
      <c r="K69" s="697"/>
      <c r="L69" s="697"/>
      <c r="M69" s="697"/>
      <c r="N69" s="697"/>
      <c r="O69" s="698">
        <f>IFERROR(__xludf.DUMMYFUNCTION("""COMPUTED_VALUE"""),0.999)</f>
        <v>0.999</v>
      </c>
      <c r="P69" s="697"/>
      <c r="Q69" s="698">
        <f>IFERROR(__xludf.DUMMYFUNCTION("""COMPUTED_VALUE"""),0.999)</f>
        <v>0.999</v>
      </c>
      <c r="R69" s="697"/>
      <c r="S69" s="698">
        <f>IFERROR(__xludf.DUMMYFUNCTION("""COMPUTED_VALUE"""),0.982)</f>
        <v>0.982</v>
      </c>
      <c r="T69" s="697"/>
      <c r="U69" s="697"/>
      <c r="V69" s="697"/>
      <c r="W69" s="698">
        <f>IFERROR(__xludf.DUMMYFUNCTION("""COMPUTED_VALUE"""),0.962)</f>
        <v>0.962</v>
      </c>
      <c r="X69" s="697"/>
      <c r="Y69" s="697"/>
      <c r="Z69" s="697"/>
      <c r="AA69" s="697"/>
      <c r="AB69" s="697"/>
      <c r="AC69" s="697"/>
      <c r="AD69" s="697"/>
      <c r="AE69" s="697"/>
      <c r="AF69" s="697"/>
      <c r="AG69" s="697"/>
      <c r="AH69" s="697"/>
      <c r="AI69" s="697"/>
      <c r="AJ69" s="697"/>
      <c r="AK69" s="697"/>
      <c r="AL69" s="697"/>
      <c r="AM69" s="697"/>
      <c r="AN69" s="698">
        <f>IFERROR(__xludf.DUMMYFUNCTION("""COMPUTED_VALUE"""),0.982)</f>
        <v>0.982</v>
      </c>
      <c r="AO69" s="698">
        <f>IFERROR(__xludf.DUMMYFUNCTION("""COMPUTED_VALUE"""),0.982)</f>
        <v>0.982</v>
      </c>
      <c r="AP69" s="697" t="str">
        <f>IFERROR(__xludf.DUMMYFUNCTION("""COMPUTED_VALUE"""),"Mf reduction")</f>
        <v>Mf reduction</v>
      </c>
      <c r="AQ69" s="697" t="str">
        <f>IFERROR(__xludf.DUMMYFUNCTION("""COMPUTED_VALUE"""),"Onchocerciasis Chemotherapy Research Center (OCRC) at Hohoe (Ghana)")</f>
        <v>Onchocerciasis Chemotherapy Research Center (OCRC) at Hohoe (Ghana)</v>
      </c>
      <c r="AR69" s="697">
        <f>IFERROR(__xludf.DUMMYFUNCTION("""COMPUTED_VALUE"""),1995.0)</f>
        <v>1995</v>
      </c>
      <c r="AS69" s="697">
        <f>IFERROR(__xludf.DUMMYFUNCTION("""COMPUTED_VALUE"""),23.0)</f>
        <v>23</v>
      </c>
      <c r="AT69" s="697" t="str">
        <f>IFERROR(__xludf.DUMMYFUNCTION("""COMPUTED_VALUE"""),"1 year")</f>
        <v>1 year</v>
      </c>
      <c r="AU69" s="699" t="str">
        <f>IFERROR(__xludf.DUMMYFUNCTION("""COMPUTED_VALUE"""),"Awadzi, K.; Attah, S.K.; Addy, E.T.; Opoku, N.O., Quartey, B.T. (1999) The effects of high-dose ivermectin on Onchocerca volvulus in onchocerciasis patients. Transactions of the Royal Society of Tropical Medicine and Hygiene 93: 189-194")</f>
        <v>Awadzi, K.; Attah, S.K.; Addy, E.T.; Opoku, N.O., Quartey, B.T. (1999) The effects of high-dose ivermectin on Onchocerca volvulus in onchocerciasis patients. Transactions of the Royal Society of Tropical Medicine and Hygiene 93: 189-194</v>
      </c>
      <c r="AV69" s="697" t="str">
        <f>IFERROR(__xludf.DUMMYFUNCTION("""COMPUTED_VALUE"""),"M")</f>
        <v>M</v>
      </c>
      <c r="AW69" s="697"/>
      <c r="AX69" s="697"/>
      <c r="AY69" s="697" t="str">
        <f>IFERROR(__xludf.DUMMYFUNCTION("""COMPUTED_VALUE"""),"Yes")</f>
        <v>Yes</v>
      </c>
      <c r="AZ69" s="697" t="str">
        <f>IFERROR(__xludf.DUMMYFUNCTION("""COMPUTED_VALUE"""),"Yes")</f>
        <v>Yes</v>
      </c>
      <c r="BA69" s="697"/>
      <c r="BB69" s="697"/>
      <c r="BC69" s="697" t="str">
        <f>IFERROR(__xludf.DUMMYFUNCTION("""COMPUTED_VALUE"""),"Total doses of ivermectin up to 1600 ug/kg were not significantly more effective than 150 ug/kg. Moreover, they did not produce the marked inhibitory effects of the repeat standard-dose regimens on embryogenesis, nor the modest effect on adult worm viabil"&amp;"ity, at comparable total doses. Repeated high-dose regimens are unlikely to be more effective than a similar number of 150 ug/kg doses.
")</f>
        <v>Total doses of ivermectin up to 1600 ug/kg were not significantly more effective than 150 ug/kg. Moreover, they did not produce the marked inhibitory effects of the repeat standard-dose regimens on embryogenesis, nor the modest effect on adult worm viability, at comparable total doses. Repeated high-dose regimens are unlikely to be more effective than a similar number of 150 ug/kg doses.
</v>
      </c>
      <c r="BD69" s="697" t="str">
        <f>IFERROR(__xludf.DUMMYFUNCTION("""COMPUTED_VALUE"""),"One patient could not be traced after the day 180 follow-up and was eliminated from the study.")</f>
        <v>One patient could not be traced after the day 180 follow-up and was eliminated from the study.</v>
      </c>
      <c r="BE69" s="697"/>
      <c r="BF69" s="697"/>
      <c r="BG69" s="697"/>
    </row>
    <row r="70">
      <c r="A70" s="697"/>
      <c r="B70" s="697" t="str">
        <f>IFERROR(__xludf.DUMMYFUNCTION("""COMPUTED_VALUE"""),"Awadzi et al.")</f>
        <v>Awadzi et al.</v>
      </c>
      <c r="C70" s="697" t="str">
        <f>IFERROR(__xludf.DUMMYFUNCTION("""COMPUTED_VALUE"""),"Ghana")</f>
        <v>Ghana</v>
      </c>
      <c r="D70" s="697" t="str">
        <f>IFERROR(__xludf.DUMMYFUNCTION("""COMPUTED_VALUE"""),"Ivermectin")</f>
        <v>Ivermectin</v>
      </c>
      <c r="E70" s="697" t="str">
        <f>IFERROR(__xludf.DUMMYFUNCTION("""COMPUTED_VALUE"""),"800ug/kg, 150ug/kg")</f>
        <v>800ug/kg, 150ug/kg</v>
      </c>
      <c r="F70" s="697" t="str">
        <f>IFERROR(__xludf.DUMMYFUNCTION("""COMPUTED_VALUE"""),"1,1")</f>
        <v>1,1</v>
      </c>
      <c r="G70" s="697" t="str">
        <f>IFERROR(__xludf.DUMMYFUNCTION("""COMPUTED_VALUE"""),"950ug/kg")</f>
        <v>950ug/kg</v>
      </c>
      <c r="H70" s="697"/>
      <c r="I70" s="697"/>
      <c r="J70" s="697"/>
      <c r="K70" s="697"/>
      <c r="L70" s="697"/>
      <c r="M70" s="697"/>
      <c r="N70" s="697"/>
      <c r="O70" s="698">
        <f>IFERROR(__xludf.DUMMYFUNCTION("""COMPUTED_VALUE"""),0.998)</f>
        <v>0.998</v>
      </c>
      <c r="P70" s="697"/>
      <c r="Q70" s="698">
        <f>IFERROR(__xludf.DUMMYFUNCTION("""COMPUTED_VALUE"""),0.999)</f>
        <v>0.999</v>
      </c>
      <c r="R70" s="697"/>
      <c r="S70" s="698">
        <f>IFERROR(__xludf.DUMMYFUNCTION("""COMPUTED_VALUE"""),0.993)</f>
        <v>0.993</v>
      </c>
      <c r="T70" s="697"/>
      <c r="U70" s="697"/>
      <c r="V70" s="697"/>
      <c r="W70" s="700">
        <f>IFERROR(__xludf.DUMMYFUNCTION("""COMPUTED_VALUE"""),0.97)</f>
        <v>0.97</v>
      </c>
      <c r="X70" s="697"/>
      <c r="Y70" s="697"/>
      <c r="Z70" s="697"/>
      <c r="AA70" s="697"/>
      <c r="AB70" s="697"/>
      <c r="AC70" s="697"/>
      <c r="AD70" s="697"/>
      <c r="AE70" s="697"/>
      <c r="AF70" s="697"/>
      <c r="AG70" s="697"/>
      <c r="AH70" s="697"/>
      <c r="AI70" s="697"/>
      <c r="AJ70" s="697"/>
      <c r="AK70" s="697"/>
      <c r="AL70" s="697"/>
      <c r="AM70" s="697"/>
      <c r="AN70" s="698">
        <f>IFERROR(__xludf.DUMMYFUNCTION("""COMPUTED_VALUE"""),0.993)</f>
        <v>0.993</v>
      </c>
      <c r="AO70" s="698">
        <f>IFERROR(__xludf.DUMMYFUNCTION("""COMPUTED_VALUE"""),0.993)</f>
        <v>0.993</v>
      </c>
      <c r="AP70" s="697" t="str">
        <f>IFERROR(__xludf.DUMMYFUNCTION("""COMPUTED_VALUE"""),"Mf reduction")</f>
        <v>Mf reduction</v>
      </c>
      <c r="AQ70" s="697" t="str">
        <f>IFERROR(__xludf.DUMMYFUNCTION("""COMPUTED_VALUE"""),"Onchocerciasis Chemotherapy Research Center (OCRC) at Hohoe (Ghana)")</f>
        <v>Onchocerciasis Chemotherapy Research Center (OCRC) at Hohoe (Ghana)</v>
      </c>
      <c r="AR70" s="697">
        <f>IFERROR(__xludf.DUMMYFUNCTION("""COMPUTED_VALUE"""),1995.0)</f>
        <v>1995</v>
      </c>
      <c r="AS70" s="697">
        <f>IFERROR(__xludf.DUMMYFUNCTION("""COMPUTED_VALUE"""),24.0)</f>
        <v>24</v>
      </c>
      <c r="AT70" s="697" t="str">
        <f>IFERROR(__xludf.DUMMYFUNCTION("""COMPUTED_VALUE"""),"1 year")</f>
        <v>1 year</v>
      </c>
      <c r="AU70" s="699" t="str">
        <f>IFERROR(__xludf.DUMMYFUNCTION("""COMPUTED_VALUE"""),"Awadzi, K.; Attah, S.K.; Addy, E.T.; Opoku, N.O., Quartey, B.T. (1999) The effects of high-dose ivermectin on Onchocerca volvulus in onchocerciasis patients. Transactions of the Royal Society of Tropical Medicine and Hygiene 93: 189-194")</f>
        <v>Awadzi, K.; Attah, S.K.; Addy, E.T.; Opoku, N.O., Quartey, B.T. (1999) The effects of high-dose ivermectin on Onchocerca volvulus in onchocerciasis patients. Transactions of the Royal Society of Tropical Medicine and Hygiene 93: 189-194</v>
      </c>
      <c r="AV70" s="697" t="str">
        <f>IFERROR(__xludf.DUMMYFUNCTION("""COMPUTED_VALUE"""),"M")</f>
        <v>M</v>
      </c>
      <c r="AW70" s="697"/>
      <c r="AX70" s="697"/>
      <c r="AY70" s="697" t="str">
        <f>IFERROR(__xludf.DUMMYFUNCTION("""COMPUTED_VALUE"""),"Yes")</f>
        <v>Yes</v>
      </c>
      <c r="AZ70" s="697" t="str">
        <f>IFERROR(__xludf.DUMMYFUNCTION("""COMPUTED_VALUE"""),"Yes")</f>
        <v>Yes</v>
      </c>
      <c r="BA70" s="697"/>
      <c r="BB70" s="697"/>
      <c r="BC70" s="697" t="str">
        <f>IFERROR(__xludf.DUMMYFUNCTION("""COMPUTED_VALUE"""),"Total doses of ivermectin up to 1600 ug/kg were not significantly more effective than 150 ug/kg. Moreover, they did not produce the marked inhibitory effects of the repeat standard-dose regimens on embryogenesis, nor the modest effect on adult worm viabil"&amp;"ity, at comparable total doses. Repeated high-dose regimens are unlikely to be more effective than a similar number of 150 ug/kg doses.
")</f>
        <v>Total doses of ivermectin up to 1600 ug/kg were not significantly more effective than 150 ug/kg. Moreover, they did not produce the marked inhibitory effects of the repeat standard-dose regimens on embryogenesis, nor the modest effect on adult worm viability, at comparable total doses. Repeated high-dose regimens are unlikely to be more effective than a similar number of 150 ug/kg doses.
</v>
      </c>
      <c r="BD70" s="697" t="str">
        <f>IFERROR(__xludf.DUMMYFUNCTION("""COMPUTED_VALUE"""),"One patient could not be traced after the day 180 follow-up and was eliminated from the study.")</f>
        <v>One patient could not be traced after the day 180 follow-up and was eliminated from the study.</v>
      </c>
      <c r="BE70" s="697"/>
      <c r="BF70" s="697"/>
      <c r="BG70" s="697"/>
    </row>
    <row r="71">
      <c r="A71" s="697"/>
      <c r="B71" s="697" t="str">
        <f>IFERROR(__xludf.DUMMYFUNCTION("""COMPUTED_VALUE"""),"Awadzi et al.")</f>
        <v>Awadzi et al.</v>
      </c>
      <c r="C71" s="697" t="str">
        <f>IFERROR(__xludf.DUMMYFUNCTION("""COMPUTED_VALUE"""),"Ghana")</f>
        <v>Ghana</v>
      </c>
      <c r="D71" s="697" t="str">
        <f>IFERROR(__xludf.DUMMYFUNCTION("""COMPUTED_VALUE"""),"Ivermectin")</f>
        <v>Ivermectin</v>
      </c>
      <c r="E71" s="697" t="str">
        <f>IFERROR(__xludf.DUMMYFUNCTION("""COMPUTED_VALUE"""),"800ug/kg, 800ug/kg")</f>
        <v>800ug/kg, 800ug/kg</v>
      </c>
      <c r="F71" s="697" t="str">
        <f>IFERROR(__xludf.DUMMYFUNCTION("""COMPUTED_VALUE"""),"1,1")</f>
        <v>1,1</v>
      </c>
      <c r="G71" s="697" t="str">
        <f>IFERROR(__xludf.DUMMYFUNCTION("""COMPUTED_VALUE"""),"1600ug/kg")</f>
        <v>1600ug/kg</v>
      </c>
      <c r="H71" s="697"/>
      <c r="I71" s="697"/>
      <c r="J71" s="697"/>
      <c r="K71" s="697"/>
      <c r="L71" s="697"/>
      <c r="M71" s="697"/>
      <c r="N71" s="697"/>
      <c r="O71" s="700">
        <f>IFERROR(__xludf.DUMMYFUNCTION("""COMPUTED_VALUE"""),1.0)</f>
        <v>1</v>
      </c>
      <c r="P71" s="697"/>
      <c r="Q71" s="700">
        <f>IFERROR(__xludf.DUMMYFUNCTION("""COMPUTED_VALUE"""),1.0)</f>
        <v>1</v>
      </c>
      <c r="R71" s="697"/>
      <c r="S71" s="698">
        <f>IFERROR(__xludf.DUMMYFUNCTION("""COMPUTED_VALUE"""),0.995)</f>
        <v>0.995</v>
      </c>
      <c r="T71" s="697"/>
      <c r="U71" s="697"/>
      <c r="V71" s="697"/>
      <c r="W71" s="698">
        <f>IFERROR(__xludf.DUMMYFUNCTION("""COMPUTED_VALUE"""),0.974)</f>
        <v>0.974</v>
      </c>
      <c r="X71" s="697"/>
      <c r="Y71" s="697"/>
      <c r="Z71" s="697"/>
      <c r="AA71" s="697"/>
      <c r="AB71" s="697"/>
      <c r="AC71" s="697"/>
      <c r="AD71" s="697"/>
      <c r="AE71" s="697"/>
      <c r="AF71" s="697"/>
      <c r="AG71" s="697"/>
      <c r="AH71" s="697"/>
      <c r="AI71" s="697"/>
      <c r="AJ71" s="697"/>
      <c r="AK71" s="697"/>
      <c r="AL71" s="697"/>
      <c r="AM71" s="697"/>
      <c r="AN71" s="698">
        <f>IFERROR(__xludf.DUMMYFUNCTION("""COMPUTED_VALUE"""),0.995)</f>
        <v>0.995</v>
      </c>
      <c r="AO71" s="698">
        <f>IFERROR(__xludf.DUMMYFUNCTION("""COMPUTED_VALUE"""),0.995)</f>
        <v>0.995</v>
      </c>
      <c r="AP71" s="697" t="str">
        <f>IFERROR(__xludf.DUMMYFUNCTION("""COMPUTED_VALUE"""),"Mf reduction")</f>
        <v>Mf reduction</v>
      </c>
      <c r="AQ71" s="697" t="str">
        <f>IFERROR(__xludf.DUMMYFUNCTION("""COMPUTED_VALUE"""),"Onchocerciasis Chemotherapy Research Center (OCRC) at Hohoe (Ghana)")</f>
        <v>Onchocerciasis Chemotherapy Research Center (OCRC) at Hohoe (Ghana)</v>
      </c>
      <c r="AR71" s="697">
        <f>IFERROR(__xludf.DUMMYFUNCTION("""COMPUTED_VALUE"""),1995.0)</f>
        <v>1995</v>
      </c>
      <c r="AS71" s="697">
        <f>IFERROR(__xludf.DUMMYFUNCTION("""COMPUTED_VALUE"""),12.0)</f>
        <v>12</v>
      </c>
      <c r="AT71" s="697" t="str">
        <f>IFERROR(__xludf.DUMMYFUNCTION("""COMPUTED_VALUE"""),"1 year")</f>
        <v>1 year</v>
      </c>
      <c r="AU71" s="699" t="str">
        <f>IFERROR(__xludf.DUMMYFUNCTION("""COMPUTED_VALUE"""),"Awadzi, K.; Attah, S.K.; Addy, E.T.; Opoku, N.O., Quartey, B.T. (1999) The effects of high-dose ivermectin on Onchocerca volvulus in onchocerciasis patients. Transactions of the Royal Society of Tropical Medicine and Hygiene 93: 189-194")</f>
        <v>Awadzi, K.; Attah, S.K.; Addy, E.T.; Opoku, N.O., Quartey, B.T. (1999) The effects of high-dose ivermectin on Onchocerca volvulus in onchocerciasis patients. Transactions of the Royal Society of Tropical Medicine and Hygiene 93: 189-194</v>
      </c>
      <c r="AV71" s="697" t="str">
        <f>IFERROR(__xludf.DUMMYFUNCTION("""COMPUTED_VALUE"""),"M")</f>
        <v>M</v>
      </c>
      <c r="AW71" s="697"/>
      <c r="AX71" s="697"/>
      <c r="AY71" s="697" t="str">
        <f>IFERROR(__xludf.DUMMYFUNCTION("""COMPUTED_VALUE"""),"Yes")</f>
        <v>Yes</v>
      </c>
      <c r="AZ71" s="697" t="str">
        <f>IFERROR(__xludf.DUMMYFUNCTION("""COMPUTED_VALUE"""),"Yes")</f>
        <v>Yes</v>
      </c>
      <c r="BA71" s="697"/>
      <c r="BB71" s="697"/>
      <c r="BC71" s="697" t="str">
        <f>IFERROR(__xludf.DUMMYFUNCTION("""COMPUTED_VALUE"""),"Total doses of ivermectin up to 1600 ug/kg were not significantly more effective than 150 ug/kg. Moreover, they did not produce the marked inhibitory effects of the repeat standard-dose regimens on embryogenesis, nor the modest effect on adult worm viabil"&amp;"ity, at comparable total doses. Repeated high-dose regimens are unlikely to be more effective than a similar number of 150 ug/kg doses.
")</f>
        <v>Total doses of ivermectin up to 1600 ug/kg were not significantly more effective than 150 ug/kg. Moreover, they did not produce the marked inhibitory effects of the repeat standard-dose regimens on embryogenesis, nor the modest effect on adult worm viability, at comparable total doses. Repeated high-dose regimens are unlikely to be more effective than a similar number of 150 ug/kg doses.
</v>
      </c>
      <c r="BD71" s="697" t="str">
        <f>IFERROR(__xludf.DUMMYFUNCTION("""COMPUTED_VALUE"""),"One patient could not be traced after the day 180 follow-up and was eliminated from the study.")</f>
        <v>One patient could not be traced after the day 180 follow-up and was eliminated from the study.</v>
      </c>
      <c r="BE71" s="697"/>
      <c r="BF71" s="697"/>
      <c r="BG71" s="697"/>
    </row>
    <row r="72">
      <c r="A72" s="697"/>
      <c r="B72" s="697" t="str">
        <f>IFERROR(__xludf.DUMMYFUNCTION("""COMPUTED_VALUE"""),"Newland et al.")</f>
        <v>Newland et al.</v>
      </c>
      <c r="C72" s="697" t="str">
        <f>IFERROR(__xludf.DUMMYFUNCTION("""COMPUTED_VALUE"""),"Liberia")</f>
        <v>Liberia</v>
      </c>
      <c r="D72" s="697" t="str">
        <f>IFERROR(__xludf.DUMMYFUNCTION("""COMPUTED_VALUE"""),"Placebo")</f>
        <v>Placebo</v>
      </c>
      <c r="E72" s="697"/>
      <c r="F72" s="697"/>
      <c r="G72" s="697" t="str">
        <f>IFERROR(__xludf.DUMMYFUNCTION("""COMPUTED_VALUE"""),"Placebo")</f>
        <v>Placebo</v>
      </c>
      <c r="H72" s="697"/>
      <c r="I72" s="697"/>
      <c r="J72" s="698">
        <f>IFERROR(__xludf.DUMMYFUNCTION("""COMPUTED_VALUE"""),0.1571)</f>
        <v>0.1571</v>
      </c>
      <c r="K72" s="697"/>
      <c r="L72" s="697"/>
      <c r="M72" s="697"/>
      <c r="N72" s="697"/>
      <c r="O72" s="697"/>
      <c r="P72" s="697"/>
      <c r="Q72" s="698">
        <f>IFERROR(__xludf.DUMMYFUNCTION("""COMPUTED_VALUE"""),0.2142)</f>
        <v>0.2142</v>
      </c>
      <c r="R72" s="697"/>
      <c r="S72" s="698">
        <f>IFERROR(__xludf.DUMMYFUNCTION("""COMPUTED_VALUE"""),0.2571)</f>
        <v>0.2571</v>
      </c>
      <c r="T72" s="697"/>
      <c r="U72" s="697"/>
      <c r="V72" s="697"/>
      <c r="W72" s="698">
        <f>IFERROR(__xludf.DUMMYFUNCTION("""COMPUTED_VALUE"""),0.3809)</f>
        <v>0.3809</v>
      </c>
      <c r="X72" s="697"/>
      <c r="Y72" s="697"/>
      <c r="Z72" s="697"/>
      <c r="AA72" s="697"/>
      <c r="AB72" s="697"/>
      <c r="AC72" s="697"/>
      <c r="AD72" s="697"/>
      <c r="AE72" s="697"/>
      <c r="AF72" s="697"/>
      <c r="AG72" s="697"/>
      <c r="AH72" s="697"/>
      <c r="AI72" s="697"/>
      <c r="AJ72" s="697"/>
      <c r="AK72" s="697"/>
      <c r="AL72" s="697"/>
      <c r="AM72" s="697"/>
      <c r="AN72" s="698">
        <f>IFERROR(__xludf.DUMMYFUNCTION("""COMPUTED_VALUE"""),0.2571)</f>
        <v>0.2571</v>
      </c>
      <c r="AO72" s="698">
        <f>IFERROR(__xludf.DUMMYFUNCTION("""COMPUTED_VALUE"""),0.2571)</f>
        <v>0.2571</v>
      </c>
      <c r="AP72" s="697" t="str">
        <f>IFERROR(__xludf.DUMMYFUNCTION("""COMPUTED_VALUE"""),"Mf reduction")</f>
        <v>Mf reduction</v>
      </c>
      <c r="AQ72" s="697" t="str">
        <f>IFERROR(__xludf.DUMMYFUNCTION("""COMPUTED_VALUE"""),"Grand Bassa County, Liberia ")</f>
        <v>Grand Bassa County, Liberia </v>
      </c>
      <c r="AR72" s="697">
        <f>IFERROR(__xludf.DUMMYFUNCTION("""COMPUTED_VALUE"""),1988.0)</f>
        <v>1988</v>
      </c>
      <c r="AS72" s="697">
        <f>IFERROR(__xludf.DUMMYFUNCTION("""COMPUTED_VALUE"""),48.0)</f>
        <v>48</v>
      </c>
      <c r="AT72" s="697" t="str">
        <f>IFERROR(__xludf.DUMMYFUNCTION("""COMPUTED_VALUE"""),"12 months")</f>
        <v>12 months</v>
      </c>
      <c r="AU72" s="699" t="str">
        <f>IFERROR(__xludf.DUMMYFUNCTION("""COMPUTED_VALUE"""),"Newland, H.S.; White, A.T.; Greene, B.M.; D’Anna, S.A.; Kayvan-Larijani, E.; Aziz, M.A.; Williams, N.P.; Taylor, H.R. (1988) British Journal of Ophthalmology (72): 561-569.")</f>
        <v>Newland, H.S.; White, A.T.; Greene, B.M.; D’Anna, S.A.; Kayvan-Larijani, E.; Aziz, M.A.; Williams, N.P.; Taylor, H.R. (1988) British Journal of Ophthalmology (72): 561-569.</v>
      </c>
      <c r="AV72" s="697" t="str">
        <f>IFERROR(__xludf.DUMMYFUNCTION("""COMPUTED_VALUE"""),"FM")</f>
        <v>FM</v>
      </c>
      <c r="AW72" s="697" t="str">
        <f>IFERROR(__xludf.DUMMYFUNCTION("""COMPUTED_VALUE"""),"12-60 years old; Mean Age 30.5 years")</f>
        <v>12-60 years old; Mean Age 30.5 years</v>
      </c>
      <c r="AX72" s="697" t="str">
        <f>IFERROR(__xludf.DUMMYFUNCTION("""COMPUTED_VALUE"""),"Patients with heaviest infection by microfilaria skin count who were otherwise apparently healthy and who had given consent were selected for inclusion in this study. All patients had screening skin-snip microfilaria counts of greater than 15 microfilaria"&amp;" per mg of skin. Pregnant and lactating females and any subject who had received an antifilaricidal within one year were excluded.'")</f>
        <v>Patients with heaviest infection by microfilaria skin count who were otherwise apparently healthy and who had given consent were selected for inclusion in this study. All patients had screening skin-snip microfilaria counts of greater than 15 microfilaria per mg of skin. Pregnant and lactating females and any subject who had received an antifilaricidal within one year were excluded.'</v>
      </c>
      <c r="AY72" s="697" t="str">
        <f>IFERROR(__xludf.DUMMYFUNCTION("""COMPUTED_VALUE"""),"No")</f>
        <v>No</v>
      </c>
      <c r="AZ72" s="697" t="str">
        <f>IFERROR(__xludf.DUMMYFUNCTION("""COMPUTED_VALUE"""),"Yes")</f>
        <v>Yes</v>
      </c>
      <c r="BA72" s="697"/>
      <c r="BB72" s="697"/>
      <c r="BC72" s="697" t="str">
        <f>IFERROR(__xludf.DUMMYFUNCTION("""COMPUTED_VALUE"""),"Each of these doses significantly reduced the ocular microfilaria load for at least 12 months when compared with either the placebo (p&lt;0.05) or pretreatment values (p&lt;0.001). However, the 100 and 150 ug/kg doses caused fewer minor side effects than the hi"&amp;"gher dose.Ivermectin in a single oral dose may be a safe and effective microfilaricidal drug for the treatment of onchocerciasis and it appears to be free of major ocular side effects.")</f>
        <v>Each of these doses significantly reduced the ocular microfilaria load for at least 12 months when compared with either the placebo (p&lt;0.05) or pretreatment values (p&lt;0.001). However, the 100 and 150 ug/kg doses caused fewer minor side effects than the higher dose.Ivermectin in a single oral dose may be a safe and effective microfilaricidal drug for the treatment of onchocerciasis and it appears to be free of major ocular side effects.</v>
      </c>
      <c r="BD72" s="697" t="str">
        <f>IFERROR(__xludf.DUMMYFUNCTION("""COMPUTED_VALUE"""),"The patients that missed one or more follow-up examinations included eight from the 100 ug/kg, 17 from the 150 ug/kg, 16 from the 200(ug/kg ivermectin groups, and 17 from the placebo group. There were 177 subjects present at three months, 162 at six month"&amp;"s, and 176 at 12 months. At 12 months all patients not examined were accounted for as follows: 14 had moved to the interior of the country; six had moved to urban areas and could not be found; the whereabouts of one was unknown; and two refused examinatio"&amp;"n. One patient in the 150 [ug/kg group died of undetermined causes between the six- and 12- month examination.")</f>
        <v>The patients that missed one or more follow-up examinations included eight from the 100 ug/kg, 17 from the 150 ug/kg, 16 from the 200(ug/kg ivermectin groups, and 17 from the placebo group. There were 177 subjects present at three months, 162 at six months, and 176 at 12 months. At 12 months all patients not examined were accounted for as follows: 14 had moved to the interior of the country; six had moved to urban areas and could not be found; the whereabouts of one was unknown; and two refused examination. One patient in the 150 [ug/kg group died of undetermined causes between the six- and 12- month examination.</v>
      </c>
      <c r="BE72" s="697"/>
      <c r="BF72" s="697"/>
      <c r="BG72" s="697"/>
    </row>
    <row r="73">
      <c r="A73" s="697"/>
      <c r="B73" s="697" t="str">
        <f>IFERROR(__xludf.DUMMYFUNCTION("""COMPUTED_VALUE"""),"Newland et al.")</f>
        <v>Newland et al.</v>
      </c>
      <c r="C73" s="697" t="str">
        <f>IFERROR(__xludf.DUMMYFUNCTION("""COMPUTED_VALUE"""),"Liberia")</f>
        <v>Liberia</v>
      </c>
      <c r="D73" s="697" t="str">
        <f>IFERROR(__xludf.DUMMYFUNCTION("""COMPUTED_VALUE"""),"Ivermectin")</f>
        <v>Ivermectin</v>
      </c>
      <c r="E73" s="697" t="str">
        <f>IFERROR(__xludf.DUMMYFUNCTION("""COMPUTED_VALUE"""),"100 ug/kg")</f>
        <v>100 ug/kg</v>
      </c>
      <c r="F73" s="697">
        <f>IFERROR(__xludf.DUMMYFUNCTION("""COMPUTED_VALUE"""),1.0)</f>
        <v>1</v>
      </c>
      <c r="G73" s="697" t="str">
        <f>IFERROR(__xludf.DUMMYFUNCTION("""COMPUTED_VALUE"""),"100 ug/kg")</f>
        <v>100 ug/kg</v>
      </c>
      <c r="H73" s="697"/>
      <c r="I73" s="697"/>
      <c r="J73" s="697">
        <f>IFERROR(__xludf.DUMMYFUNCTION("""COMPUTED_VALUE"""),60.89)</f>
        <v>60.89</v>
      </c>
      <c r="K73" s="697"/>
      <c r="L73" s="697"/>
      <c r="M73" s="697"/>
      <c r="N73" s="697"/>
      <c r="O73" s="697"/>
      <c r="P73" s="697"/>
      <c r="Q73" s="698">
        <f>IFERROR(__xludf.DUMMYFUNCTION("""COMPUTED_VALUE"""),0.948)</f>
        <v>0.948</v>
      </c>
      <c r="R73" s="697"/>
      <c r="S73" s="698">
        <f>IFERROR(__xludf.DUMMYFUNCTION("""COMPUTED_VALUE"""),0.8994)</f>
        <v>0.8994</v>
      </c>
      <c r="T73" s="697"/>
      <c r="U73" s="697"/>
      <c r="V73" s="697"/>
      <c r="W73" s="698">
        <f>IFERROR(__xludf.DUMMYFUNCTION("""COMPUTED_VALUE"""),0.8269)</f>
        <v>0.8269</v>
      </c>
      <c r="X73" s="697"/>
      <c r="Y73" s="697"/>
      <c r="Z73" s="697"/>
      <c r="AA73" s="697"/>
      <c r="AB73" s="697"/>
      <c r="AC73" s="697"/>
      <c r="AD73" s="697"/>
      <c r="AE73" s="697"/>
      <c r="AF73" s="697"/>
      <c r="AG73" s="697"/>
      <c r="AH73" s="697"/>
      <c r="AI73" s="697"/>
      <c r="AJ73" s="697"/>
      <c r="AK73" s="697"/>
      <c r="AL73" s="697"/>
      <c r="AM73" s="697"/>
      <c r="AN73" s="698">
        <f>IFERROR(__xludf.DUMMYFUNCTION("""COMPUTED_VALUE"""),0.8994)</f>
        <v>0.8994</v>
      </c>
      <c r="AO73" s="698">
        <f>IFERROR(__xludf.DUMMYFUNCTION("""COMPUTED_VALUE"""),0.8994)</f>
        <v>0.8994</v>
      </c>
      <c r="AP73" s="697" t="str">
        <f>IFERROR(__xludf.DUMMYFUNCTION("""COMPUTED_VALUE"""),"Mf reduction")</f>
        <v>Mf reduction</v>
      </c>
      <c r="AQ73" s="697" t="str">
        <f>IFERROR(__xludf.DUMMYFUNCTION("""COMPUTED_VALUE"""),"Grand Bassa County, Liberia ")</f>
        <v>Grand Bassa County, Liberia </v>
      </c>
      <c r="AR73" s="697">
        <f>IFERROR(__xludf.DUMMYFUNCTION("""COMPUTED_VALUE"""),1988.0)</f>
        <v>1988</v>
      </c>
      <c r="AS73" s="697">
        <f>IFERROR(__xludf.DUMMYFUNCTION("""COMPUTED_VALUE"""),49.0)</f>
        <v>49</v>
      </c>
      <c r="AT73" s="697" t="str">
        <f>IFERROR(__xludf.DUMMYFUNCTION("""COMPUTED_VALUE"""),"12 months")</f>
        <v>12 months</v>
      </c>
      <c r="AU73" s="699" t="str">
        <f>IFERROR(__xludf.DUMMYFUNCTION("""COMPUTED_VALUE"""),"Newland, H.S.; White, A.T.; Greene, B.M.; D’Anna, S.A.; Kayvan-Larijani, E.; Aziz, M.A.; Williams, N.P.; Taylor, H.R. (1988) British Journal of Ophthalmology (72): 561-569.")</f>
        <v>Newland, H.S.; White, A.T.; Greene, B.M.; D’Anna, S.A.; Kayvan-Larijani, E.; Aziz, M.A.; Williams, N.P.; Taylor, H.R. (1988) British Journal of Ophthalmology (72): 561-569.</v>
      </c>
      <c r="AV73" s="697" t="str">
        <f>IFERROR(__xludf.DUMMYFUNCTION("""COMPUTED_VALUE"""),"FM")</f>
        <v>FM</v>
      </c>
      <c r="AW73" s="697" t="str">
        <f>IFERROR(__xludf.DUMMYFUNCTION("""COMPUTED_VALUE"""),"12-60 years old; Mean Age 30.5 years")</f>
        <v>12-60 years old; Mean Age 30.5 years</v>
      </c>
      <c r="AX73" s="697" t="str">
        <f>IFERROR(__xludf.DUMMYFUNCTION("""COMPUTED_VALUE"""),"Patients with heaviest infection by microfilaria skin count who were otherwise apparently healthy and who had given consent were selected for inclusion in this study. All patients had screening skin-snip microfilaria counts of greater than 15 microfilaria"&amp;" per mg of skin. Pregnant and lactating females and any subject who had received an antifilaricidal within one year were excluded.'")</f>
        <v>Patients with heaviest infection by microfilaria skin count who were otherwise apparently healthy and who had given consent were selected for inclusion in this study. All patients had screening skin-snip microfilaria counts of greater than 15 microfilaria per mg of skin. Pregnant and lactating females and any subject who had received an antifilaricidal within one year were excluded.'</v>
      </c>
      <c r="AY73" s="697" t="str">
        <f>IFERROR(__xludf.DUMMYFUNCTION("""COMPUTED_VALUE"""),"No")</f>
        <v>No</v>
      </c>
      <c r="AZ73" s="697" t="str">
        <f>IFERROR(__xludf.DUMMYFUNCTION("""COMPUTED_VALUE"""),"Yes")</f>
        <v>Yes</v>
      </c>
      <c r="BA73" s="697"/>
      <c r="BB73" s="697"/>
      <c r="BC73" s="697" t="str">
        <f>IFERROR(__xludf.DUMMYFUNCTION("""COMPUTED_VALUE"""),"Each of these doses significantly reduced the ocular microfilaria load for at least 12 months when compared with either the placebo (p&lt;0.05) or pretreatment values (p&lt;0.001). However, the 100 and 150 ug/kg doses caused fewer minor side effects than the hi"&amp;"gher dose.Ivermectin in a single oral dose may be a safe and effective microfilaricidal drug for the treatment of onchocerciasis and it appears to be free of major ocular side effects.")</f>
        <v>Each of these doses significantly reduced the ocular microfilaria load for at least 12 months when compared with either the placebo (p&lt;0.05) or pretreatment values (p&lt;0.001). However, the 100 and 150 ug/kg doses caused fewer minor side effects than the higher dose.Ivermectin in a single oral dose may be a safe and effective microfilaricidal drug for the treatment of onchocerciasis and it appears to be free of major ocular side effects.</v>
      </c>
      <c r="BD73" s="697" t="str">
        <f>IFERROR(__xludf.DUMMYFUNCTION("""COMPUTED_VALUE"""),"The patients that missed one or more follow-up examinations included eight from the 100 ug/kg, 17 from the 150 ug/kg, 16 from the 200(ug/kg ivermectin groups, and 17 from the placebo group. There were 177 subjects present at three months, 162 at six month"&amp;"s, and 176 at 12 months. At 12 months all patients not examined were accounted for as follows: 14 had moved to the interior of the country; six had moved to urban areas and could not be found; the whereabouts of one was unknown; and two refused examinatio"&amp;"n. One patient in the 150 [ug/kg group died of undetermined causes between the six- and 12- month examination.")</f>
        <v>The patients that missed one or more follow-up examinations included eight from the 100 ug/kg, 17 from the 150 ug/kg, 16 from the 200(ug/kg ivermectin groups, and 17 from the placebo group. There were 177 subjects present at three months, 162 at six months, and 176 at 12 months. At 12 months all patients not examined were accounted for as follows: 14 had moved to the interior of the country; six had moved to urban areas and could not be found; the whereabouts of one was unknown; and two refused examination. One patient in the 150 [ug/kg group died of undetermined causes between the six- and 12- month examination.</v>
      </c>
      <c r="BE73" s="697"/>
      <c r="BF73" s="697"/>
      <c r="BG73" s="697"/>
    </row>
    <row r="74">
      <c r="A74" s="697"/>
      <c r="B74" s="697" t="str">
        <f>IFERROR(__xludf.DUMMYFUNCTION("""COMPUTED_VALUE"""),"Newland et al.")</f>
        <v>Newland et al.</v>
      </c>
      <c r="C74" s="697" t="str">
        <f>IFERROR(__xludf.DUMMYFUNCTION("""COMPUTED_VALUE"""),"Liberia")</f>
        <v>Liberia</v>
      </c>
      <c r="D74" s="697" t="str">
        <f>IFERROR(__xludf.DUMMYFUNCTION("""COMPUTED_VALUE"""),"Ivermectin")</f>
        <v>Ivermectin</v>
      </c>
      <c r="E74" s="697" t="str">
        <f>IFERROR(__xludf.DUMMYFUNCTION("""COMPUTED_VALUE"""),"150 ug/kg")</f>
        <v>150 ug/kg</v>
      </c>
      <c r="F74" s="697">
        <f>IFERROR(__xludf.DUMMYFUNCTION("""COMPUTED_VALUE"""),1.0)</f>
        <v>1</v>
      </c>
      <c r="G74" s="697" t="str">
        <f>IFERROR(__xludf.DUMMYFUNCTION("""COMPUTED_VALUE"""),"150 ug/kg")</f>
        <v>150 ug/kg</v>
      </c>
      <c r="H74" s="697"/>
      <c r="I74" s="697"/>
      <c r="J74" s="698">
        <f>IFERROR(__xludf.DUMMYFUNCTION("""COMPUTED_VALUE"""),0.9693)</f>
        <v>0.9693</v>
      </c>
      <c r="K74" s="697"/>
      <c r="L74" s="697"/>
      <c r="M74" s="697"/>
      <c r="N74" s="697"/>
      <c r="O74" s="697"/>
      <c r="P74" s="697"/>
      <c r="Q74" s="698">
        <f>IFERROR(__xludf.DUMMYFUNCTION("""COMPUTED_VALUE"""),0.9693)</f>
        <v>0.9693</v>
      </c>
      <c r="R74" s="697"/>
      <c r="S74" s="698">
        <f>IFERROR(__xludf.DUMMYFUNCTION("""COMPUTED_VALUE"""),0.9198)</f>
        <v>0.9198</v>
      </c>
      <c r="T74" s="697"/>
      <c r="U74" s="697"/>
      <c r="V74" s="697"/>
      <c r="W74" s="698">
        <f>IFERROR(__xludf.DUMMYFUNCTION("""COMPUTED_VALUE"""),0.8349)</f>
        <v>0.8349</v>
      </c>
      <c r="X74" s="697"/>
      <c r="Y74" s="697"/>
      <c r="Z74" s="697"/>
      <c r="AA74" s="697"/>
      <c r="AB74" s="697"/>
      <c r="AC74" s="697"/>
      <c r="AD74" s="697"/>
      <c r="AE74" s="697"/>
      <c r="AF74" s="697"/>
      <c r="AG74" s="697"/>
      <c r="AH74" s="697"/>
      <c r="AI74" s="697"/>
      <c r="AJ74" s="697"/>
      <c r="AK74" s="697"/>
      <c r="AL74" s="697"/>
      <c r="AM74" s="697"/>
      <c r="AN74" s="698">
        <f>IFERROR(__xludf.DUMMYFUNCTION("""COMPUTED_VALUE"""),0.9198)</f>
        <v>0.9198</v>
      </c>
      <c r="AO74" s="698">
        <f>IFERROR(__xludf.DUMMYFUNCTION("""COMPUTED_VALUE"""),0.9198)</f>
        <v>0.9198</v>
      </c>
      <c r="AP74" s="697" t="str">
        <f>IFERROR(__xludf.DUMMYFUNCTION("""COMPUTED_VALUE"""),"Mf reduction")</f>
        <v>Mf reduction</v>
      </c>
      <c r="AQ74" s="697" t="str">
        <f>IFERROR(__xludf.DUMMYFUNCTION("""COMPUTED_VALUE"""),"Grand Bassa County, Liberia ")</f>
        <v>Grand Bassa County, Liberia </v>
      </c>
      <c r="AR74" s="697">
        <f>IFERROR(__xludf.DUMMYFUNCTION("""COMPUTED_VALUE"""),1988.0)</f>
        <v>1988</v>
      </c>
      <c r="AS74" s="697">
        <f>IFERROR(__xludf.DUMMYFUNCTION("""COMPUTED_VALUE"""),52.0)</f>
        <v>52</v>
      </c>
      <c r="AT74" s="697" t="str">
        <f>IFERROR(__xludf.DUMMYFUNCTION("""COMPUTED_VALUE"""),"12 months")</f>
        <v>12 months</v>
      </c>
      <c r="AU74" s="699" t="str">
        <f>IFERROR(__xludf.DUMMYFUNCTION("""COMPUTED_VALUE"""),"Newland, H.S.; White, A.T.; Greene, B.M.; D’Anna, S.A.; Kayvan-Larijani, E.; Aziz, M.A.; Williams, N.P.; Taylor, H.R. (1988) British Journal of Ophthalmology (72): 561-569.")</f>
        <v>Newland, H.S.; White, A.T.; Greene, B.M.; D’Anna, S.A.; Kayvan-Larijani, E.; Aziz, M.A.; Williams, N.P.; Taylor, H.R. (1988) British Journal of Ophthalmology (72): 561-569.</v>
      </c>
      <c r="AV74" s="697" t="str">
        <f>IFERROR(__xludf.DUMMYFUNCTION("""COMPUTED_VALUE"""),"FM")</f>
        <v>FM</v>
      </c>
      <c r="AW74" s="697" t="str">
        <f>IFERROR(__xludf.DUMMYFUNCTION("""COMPUTED_VALUE"""),"12-60 years old; Mean Age 30.5 years")</f>
        <v>12-60 years old; Mean Age 30.5 years</v>
      </c>
      <c r="AX74" s="697" t="str">
        <f>IFERROR(__xludf.DUMMYFUNCTION("""COMPUTED_VALUE"""),"Patients with heaviest infection by microfilaria skin count who were otherwise apparently healthy and who had given consent were selected for inclusion in this study. All patients had screening skin-snip microfilaria counts of greater than 15 microfilaria"&amp;" per mg of skin. Pregnant and lactating females and any subject who had received an antifilaricidal within one year were excluded.'")</f>
        <v>Patients with heaviest infection by microfilaria skin count who were otherwise apparently healthy and who had given consent were selected for inclusion in this study. All patients had screening skin-snip microfilaria counts of greater than 15 microfilaria per mg of skin. Pregnant and lactating females and any subject who had received an antifilaricidal within one year were excluded.'</v>
      </c>
      <c r="AY74" s="697" t="str">
        <f>IFERROR(__xludf.DUMMYFUNCTION("""COMPUTED_VALUE"""),"No")</f>
        <v>No</v>
      </c>
      <c r="AZ74" s="697" t="str">
        <f>IFERROR(__xludf.DUMMYFUNCTION("""COMPUTED_VALUE"""),"Yes")</f>
        <v>Yes</v>
      </c>
      <c r="BA74" s="697"/>
      <c r="BB74" s="697"/>
      <c r="BC74" s="697" t="str">
        <f>IFERROR(__xludf.DUMMYFUNCTION("""COMPUTED_VALUE"""),"Each of these doses significantly reduced the ocular microfilaria load for at least 12 months when compared with either the placebo (p&lt;0.05) or pretreatment values (p&lt;0.001). However, the 100 and 150 ug/kg doses caused fewer minor side effects than the hi"&amp;"gher dose.Ivermectin in a single oral dose may be a safe and effective microfilaricidal drug for the treatment of onchocerciasis and it appears to be free of major ocular side effects.")</f>
        <v>Each of these doses significantly reduced the ocular microfilaria load for at least 12 months when compared with either the placebo (p&lt;0.05) or pretreatment values (p&lt;0.001). However, the 100 and 150 ug/kg doses caused fewer minor side effects than the higher dose.Ivermectin in a single oral dose may be a safe and effective microfilaricidal drug for the treatment of onchocerciasis and it appears to be free of major ocular side effects.</v>
      </c>
      <c r="BD74" s="697" t="str">
        <f>IFERROR(__xludf.DUMMYFUNCTION("""COMPUTED_VALUE"""),"The patients that missed one or more follow-up examinations included eight from the 100 ug/kg, 17 from the 150 ug/kg, 16 from the 200(ug/kg ivermectin groups, and 17 from the placebo group. There were 177 subjects present at three months, 162 at six month"&amp;"s, and 176 at 12 months. At 12 months all patients not examined were accounted for as follows: 14 had moved to the interior of the country; six had moved to urban areas and could not be found; the whereabouts of one was unknown; and two refused examinatio"&amp;"n. One patient in the 150 [ug/kg group died of undetermined causes between the six- and 12- month examination.")</f>
        <v>The patients that missed one or more follow-up examinations included eight from the 100 ug/kg, 17 from the 150 ug/kg, 16 from the 200(ug/kg ivermectin groups, and 17 from the placebo group. There were 177 subjects present at three months, 162 at six months, and 176 at 12 months. At 12 months all patients not examined were accounted for as follows: 14 had moved to the interior of the country; six had moved to urban areas and could not be found; the whereabouts of one was unknown; and two refused examination. One patient in the 150 [ug/kg group died of undetermined causes between the six- and 12- month examination.</v>
      </c>
      <c r="BE74" s="697"/>
      <c r="BF74" s="697"/>
      <c r="BG74" s="697"/>
    </row>
    <row r="75">
      <c r="A75" s="697"/>
      <c r="B75" s="697" t="str">
        <f>IFERROR(__xludf.DUMMYFUNCTION("""COMPUTED_VALUE"""),"Newland et al.")</f>
        <v>Newland et al.</v>
      </c>
      <c r="C75" s="697" t="str">
        <f>IFERROR(__xludf.DUMMYFUNCTION("""COMPUTED_VALUE"""),"Liberia")</f>
        <v>Liberia</v>
      </c>
      <c r="D75" s="697" t="str">
        <f>IFERROR(__xludf.DUMMYFUNCTION("""COMPUTED_VALUE"""),"Ivermectin")</f>
        <v>Ivermectin</v>
      </c>
      <c r="E75" s="697" t="str">
        <f>IFERROR(__xludf.DUMMYFUNCTION("""COMPUTED_VALUE"""),"200 ug/kg")</f>
        <v>200 ug/kg</v>
      </c>
      <c r="F75" s="697">
        <f>IFERROR(__xludf.DUMMYFUNCTION("""COMPUTED_VALUE"""),1.0)</f>
        <v>1</v>
      </c>
      <c r="G75" s="697" t="str">
        <f>IFERROR(__xludf.DUMMYFUNCTION("""COMPUTED_VALUE"""),"200 ug/kg")</f>
        <v>200 ug/kg</v>
      </c>
      <c r="H75" s="697"/>
      <c r="I75" s="697"/>
      <c r="J75" s="698">
        <f>IFERROR(__xludf.DUMMYFUNCTION("""COMPUTED_VALUE"""),0.7933)</f>
        <v>0.7933</v>
      </c>
      <c r="K75" s="697"/>
      <c r="L75" s="697"/>
      <c r="M75" s="697"/>
      <c r="N75" s="697"/>
      <c r="O75" s="697"/>
      <c r="P75" s="697"/>
      <c r="Q75" s="698">
        <f>IFERROR(__xludf.DUMMYFUNCTION("""COMPUTED_VALUE"""),0.9736)</f>
        <v>0.9736</v>
      </c>
      <c r="R75" s="697"/>
      <c r="S75" s="698">
        <f>IFERROR(__xludf.DUMMYFUNCTION("""COMPUTED_VALUE"""),0.9365)</f>
        <v>0.9365</v>
      </c>
      <c r="T75" s="697"/>
      <c r="U75" s="697"/>
      <c r="V75" s="697"/>
      <c r="W75" s="698">
        <f>IFERROR(__xludf.DUMMYFUNCTION("""COMPUTED_VALUE"""),0.8269)</f>
        <v>0.8269</v>
      </c>
      <c r="X75" s="697"/>
      <c r="Y75" s="697"/>
      <c r="Z75" s="697"/>
      <c r="AA75" s="697"/>
      <c r="AB75" s="697"/>
      <c r="AC75" s="697"/>
      <c r="AD75" s="697"/>
      <c r="AE75" s="697"/>
      <c r="AF75" s="697"/>
      <c r="AG75" s="697"/>
      <c r="AH75" s="697"/>
      <c r="AI75" s="697"/>
      <c r="AJ75" s="697"/>
      <c r="AK75" s="697"/>
      <c r="AL75" s="697"/>
      <c r="AM75" s="697"/>
      <c r="AN75" s="698">
        <f>IFERROR(__xludf.DUMMYFUNCTION("""COMPUTED_VALUE"""),0.9365)</f>
        <v>0.9365</v>
      </c>
      <c r="AO75" s="698">
        <f>IFERROR(__xludf.DUMMYFUNCTION("""COMPUTED_VALUE"""),0.9365)</f>
        <v>0.9365</v>
      </c>
      <c r="AP75" s="697" t="str">
        <f>IFERROR(__xludf.DUMMYFUNCTION("""COMPUTED_VALUE"""),"Mf reduction")</f>
        <v>Mf reduction</v>
      </c>
      <c r="AQ75" s="697" t="str">
        <f>IFERROR(__xludf.DUMMYFUNCTION("""COMPUTED_VALUE"""),"Grand Bassa County, Liberia ")</f>
        <v>Grand Bassa County, Liberia </v>
      </c>
      <c r="AR75" s="697">
        <f>IFERROR(__xludf.DUMMYFUNCTION("""COMPUTED_VALUE"""),1988.0)</f>
        <v>1988</v>
      </c>
      <c r="AS75" s="697">
        <f>IFERROR(__xludf.DUMMYFUNCTION("""COMPUTED_VALUE"""),51.0)</f>
        <v>51</v>
      </c>
      <c r="AT75" s="697" t="str">
        <f>IFERROR(__xludf.DUMMYFUNCTION("""COMPUTED_VALUE"""),"12 months")</f>
        <v>12 months</v>
      </c>
      <c r="AU75" s="699" t="str">
        <f>IFERROR(__xludf.DUMMYFUNCTION("""COMPUTED_VALUE"""),"Newland, H.S.; White, A.T.; Greene, B.M.; D’Anna, S.A.; Kayvan-Larijani, E.; Aziz, M.A.; Williams, N.P.; Taylor, H.R. (1988) British Journal of Ophthalmology (72): 561-569.")</f>
        <v>Newland, H.S.; White, A.T.; Greene, B.M.; D’Anna, S.A.; Kayvan-Larijani, E.; Aziz, M.A.; Williams, N.P.; Taylor, H.R. (1988) British Journal of Ophthalmology (72): 561-569.</v>
      </c>
      <c r="AV75" s="697" t="str">
        <f>IFERROR(__xludf.DUMMYFUNCTION("""COMPUTED_VALUE"""),"FM")</f>
        <v>FM</v>
      </c>
      <c r="AW75" s="697" t="str">
        <f>IFERROR(__xludf.DUMMYFUNCTION("""COMPUTED_VALUE"""),"12-60 years old; Mean Age 30.5 years")</f>
        <v>12-60 years old; Mean Age 30.5 years</v>
      </c>
      <c r="AX75" s="697" t="str">
        <f>IFERROR(__xludf.DUMMYFUNCTION("""COMPUTED_VALUE"""),"Patients with heaviest infection by microfilaria skin count who were otherwise apparently healthy and who had given consent were selected for inclusion in this study. All patients had screening skin-snip microfilaria counts of greater than 15 microfilaria"&amp;" per mg of skin. Pregnant and lactating females and any subject who had received an antifilaricidal within one year were excluded.'")</f>
        <v>Patients with heaviest infection by microfilaria skin count who were otherwise apparently healthy and who had given consent were selected for inclusion in this study. All patients had screening skin-snip microfilaria counts of greater than 15 microfilaria per mg of skin. Pregnant and lactating females and any subject who had received an antifilaricidal within one year were excluded.'</v>
      </c>
      <c r="AY75" s="697" t="str">
        <f>IFERROR(__xludf.DUMMYFUNCTION("""COMPUTED_VALUE"""),"No")</f>
        <v>No</v>
      </c>
      <c r="AZ75" s="697" t="str">
        <f>IFERROR(__xludf.DUMMYFUNCTION("""COMPUTED_VALUE"""),"Yes")</f>
        <v>Yes</v>
      </c>
      <c r="BA75" s="697"/>
      <c r="BB75" s="697"/>
      <c r="BC75" s="697" t="str">
        <f>IFERROR(__xludf.DUMMYFUNCTION("""COMPUTED_VALUE"""),"Each of these doses significantly reduced the ocular microfilaria load for at least 12 months when compared with either the placebo (p&lt;0.05) or pretreatment values (p&lt;0.001). However, the 100 and 150 ug/kg doses caused fewer minor side effects than the hi"&amp;"gher dose.Ivermectin in a single oral dose may be a safe and effective microfilaricidal drug for the treatment of onchocerciasis and it appears to be free of major ocular side effects.")</f>
        <v>Each of these doses significantly reduced the ocular microfilaria load for at least 12 months when compared with either the placebo (p&lt;0.05) or pretreatment values (p&lt;0.001). However, the 100 and 150 ug/kg doses caused fewer minor side effects than the higher dose.Ivermectin in a single oral dose may be a safe and effective microfilaricidal drug for the treatment of onchocerciasis and it appears to be free of major ocular side effects.</v>
      </c>
      <c r="BD75" s="697" t="str">
        <f>IFERROR(__xludf.DUMMYFUNCTION("""COMPUTED_VALUE"""),"The patients that missed one or more follow-up examinations included eight from the 100 ug/kg, 17 from the 150 ug/kg, 16 from the 200(ug/kg ivermectin groups, and 17 from the placebo group. There were 177 subjects present at three months, 162 at six month"&amp;"s, and 176 at 12 months. At 12 months all patients not examined were accounted for as follows: 14 had moved to the interior of the country; six had moved to urban areas and could not be found; the whereabouts of one was unknown; and two refused examinatio"&amp;"n. One patient in the 150 [ug/kg group died of undetermined causes between the six- and 12- month examination.")</f>
        <v>The patients that missed one or more follow-up examinations included eight from the 100 ug/kg, 17 from the 150 ug/kg, 16 from the 200(ug/kg ivermectin groups, and 17 from the placebo group. There were 177 subjects present at three months, 162 at six months, and 176 at 12 months. At 12 months all patients not examined were accounted for as follows: 14 had moved to the interior of the country; six had moved to urban areas and could not be found; the whereabouts of one was unknown; and two refused examination. One patient in the 150 [ug/kg group died of undetermined causes between the six- and 12- month examination.</v>
      </c>
      <c r="BE75" s="697"/>
      <c r="BF75" s="697"/>
      <c r="BG75" s="697"/>
    </row>
    <row r="76">
      <c r="A76" s="697"/>
      <c r="B76" s="697" t="str">
        <f>IFERROR(__xludf.DUMMYFUNCTION("""COMPUTED_VALUE"""),"Mössinger, Schulz-Key, &amp; Dietz")</f>
        <v>Mössinger, Schulz-Key, &amp; Dietz</v>
      </c>
      <c r="C76" s="697" t="str">
        <f>IFERROR(__xludf.DUMMYFUNCTION("""COMPUTED_VALUE"""),"Togo")</f>
        <v>Togo</v>
      </c>
      <c r="D76" s="697" t="str">
        <f>IFERROR(__xludf.DUMMYFUNCTION("""COMPUTED_VALUE"""),"Ivermectin")</f>
        <v>Ivermectin</v>
      </c>
      <c r="E76" s="697" t="str">
        <f>IFERROR(__xludf.DUMMYFUNCTION("""COMPUTED_VALUE"""),"100 ug/kg")</f>
        <v>100 ug/kg</v>
      </c>
      <c r="F76" s="697">
        <f>IFERROR(__xludf.DUMMYFUNCTION("""COMPUTED_VALUE"""),1.0)</f>
        <v>1</v>
      </c>
      <c r="G76" s="697" t="str">
        <f>IFERROR(__xludf.DUMMYFUNCTION("""COMPUTED_VALUE"""),"100 ug/kg")</f>
        <v>100 ug/kg</v>
      </c>
      <c r="H76" s="697"/>
      <c r="I76" s="697"/>
      <c r="J76" s="698">
        <f>IFERROR(__xludf.DUMMYFUNCTION("""COMPUTED_VALUE"""),0.723)</f>
        <v>0.723</v>
      </c>
      <c r="K76" s="697"/>
      <c r="L76" s="697"/>
      <c r="M76" s="697"/>
      <c r="N76" s="697"/>
      <c r="O76" s="697"/>
      <c r="P76" s="697"/>
      <c r="Q76" s="697"/>
      <c r="R76" s="697"/>
      <c r="S76" s="697"/>
      <c r="T76" s="697"/>
      <c r="U76" s="697"/>
      <c r="V76" s="697"/>
      <c r="W76" s="697"/>
      <c r="X76" s="697"/>
      <c r="Y76" s="697"/>
      <c r="Z76" s="697"/>
      <c r="AA76" s="697"/>
      <c r="AB76" s="697"/>
      <c r="AC76" s="697"/>
      <c r="AD76" s="697"/>
      <c r="AE76" s="697" t="str">
        <f>IFERROR(__xludf.DUMMYFUNCTION("""COMPUTED_VALUE"""),"n/a")</f>
        <v>n/a</v>
      </c>
      <c r="AF76" s="697"/>
      <c r="AG76" s="697"/>
      <c r="AH76" s="697"/>
      <c r="AI76" s="697"/>
      <c r="AJ76" s="697"/>
      <c r="AK76" s="697"/>
      <c r="AL76" s="697"/>
      <c r="AM76" s="697"/>
      <c r="AN76" s="698">
        <f>IFERROR(__xludf.DUMMYFUNCTION("""COMPUTED_VALUE"""),0.723)</f>
        <v>0.723</v>
      </c>
      <c r="AO76" s="698">
        <f>IFERROR(__xludf.DUMMYFUNCTION("""COMPUTED_VALUE"""),0.723)</f>
        <v>0.723</v>
      </c>
      <c r="AP76" s="697" t="str">
        <f>IFERROR(__xludf.DUMMYFUNCTION("""COMPUTED_VALUE"""),"Mf reduction")</f>
        <v>Mf reduction</v>
      </c>
      <c r="AQ76" s="697" t="str">
        <f>IFERROR(__xludf.DUMMYFUNCTION("""COMPUTED_VALUE"""),"Sokedo, Togo")</f>
        <v>Sokedo, Togo</v>
      </c>
      <c r="AR76" s="697">
        <f>IFERROR(__xludf.DUMMYFUNCTION("""COMPUTED_VALUE"""),1988.0)</f>
        <v>1988</v>
      </c>
      <c r="AS76" s="697">
        <f>IFERROR(__xludf.DUMMYFUNCTION("""COMPUTED_VALUE"""),23.0)</f>
        <v>23</v>
      </c>
      <c r="AT76" s="697" t="str">
        <f>IFERROR(__xludf.DUMMYFUNCTION("""COMPUTED_VALUE"""),"3 days")</f>
        <v>3 days</v>
      </c>
      <c r="AU76" s="699" t="str">
        <f>IFERROR(__xludf.DUMMYFUNCTION("""COMPUTED_VALUE"""),"Mössinger, J.; Schulz-Key, H.; Dietz, K. (1988) Emergency of Onchocerca volvulus microfilariae from skin snips before and after treatment of patients with ivermectin. Trop. Med. Parasit 39: 313-316.")</f>
        <v>Mössinger, J.; Schulz-Key, H.; Dietz, K. (1988) Emergency of Onchocerca volvulus microfilariae from skin snips before and after treatment of patients with ivermectin. Trop. Med. Parasit 39: 313-316.</v>
      </c>
      <c r="AV76" s="697" t="str">
        <f>IFERROR(__xludf.DUMMYFUNCTION("""COMPUTED_VALUE"""),"FM")</f>
        <v>FM</v>
      </c>
      <c r="AW76" s="697" t="str">
        <f>IFERROR(__xludf.DUMMYFUNCTION("""COMPUTED_VALUE"""),"9-60 years old")</f>
        <v>9-60 years old</v>
      </c>
      <c r="AX76" s="697"/>
      <c r="AY76" s="697" t="str">
        <f>IFERROR(__xludf.DUMMYFUNCTION("""COMPUTED_VALUE"""),"Yes")</f>
        <v>Yes</v>
      </c>
      <c r="AZ76" s="697" t="str">
        <f>IFERROR(__xludf.DUMMYFUNCTION("""COMPUTED_VALUE"""),"Yes")</f>
        <v>Yes</v>
      </c>
      <c r="BA76" s="697"/>
      <c r="BB76" s="697"/>
      <c r="BC76" s="697" t="str">
        <f>IFERROR(__xludf.DUMMYFUNCTION("""COMPUTED_VALUE"""),"Three days after treatment the microfilarial skin density had dropped to 83% (placebo), 28% (100 ug/kg ivermectin) 19% (150 ug/kg) and 14% (200 ug/kg) of the pretreatment values but the microfilarial emergence was not altered distinctly.
")</f>
        <v>Three days after treatment the microfilarial skin density had dropped to 83% (placebo), 28% (100 ug/kg ivermectin) 19% (150 ug/kg) and 14% (200 ug/kg) of the pretreatment values but the microfilarial emergence was not altered distinctly.
</v>
      </c>
      <c r="BD76" s="697"/>
      <c r="BE76" s="697"/>
      <c r="BF76" s="697"/>
      <c r="BG76" s="697"/>
    </row>
    <row r="77">
      <c r="A77" s="697"/>
      <c r="B77" s="697" t="str">
        <f>IFERROR(__xludf.DUMMYFUNCTION("""COMPUTED_VALUE"""),"Mössinger, Schulz-Key, &amp; Dietz")</f>
        <v>Mössinger, Schulz-Key, &amp; Dietz</v>
      </c>
      <c r="C77" s="697" t="str">
        <f>IFERROR(__xludf.DUMMYFUNCTION("""COMPUTED_VALUE"""),"Togo")</f>
        <v>Togo</v>
      </c>
      <c r="D77" s="697" t="str">
        <f>IFERROR(__xludf.DUMMYFUNCTION("""COMPUTED_VALUE"""),"Ivermectin")</f>
        <v>Ivermectin</v>
      </c>
      <c r="E77" s="697" t="str">
        <f>IFERROR(__xludf.DUMMYFUNCTION("""COMPUTED_VALUE"""),"150 ug/kg")</f>
        <v>150 ug/kg</v>
      </c>
      <c r="F77" s="697">
        <f>IFERROR(__xludf.DUMMYFUNCTION("""COMPUTED_VALUE"""),1.0)</f>
        <v>1</v>
      </c>
      <c r="G77" s="697" t="str">
        <f>IFERROR(__xludf.DUMMYFUNCTION("""COMPUTED_VALUE"""),"150 ug/kg")</f>
        <v>150 ug/kg</v>
      </c>
      <c r="H77" s="697"/>
      <c r="I77" s="697"/>
      <c r="J77" s="700">
        <f>IFERROR(__xludf.DUMMYFUNCTION("""COMPUTED_VALUE"""),0.81)</f>
        <v>0.81</v>
      </c>
      <c r="K77" s="697"/>
      <c r="L77" s="697"/>
      <c r="M77" s="697"/>
      <c r="N77" s="697"/>
      <c r="O77" s="697"/>
      <c r="P77" s="697"/>
      <c r="Q77" s="697"/>
      <c r="R77" s="697"/>
      <c r="S77" s="697"/>
      <c r="T77" s="697"/>
      <c r="U77" s="697"/>
      <c r="V77" s="697"/>
      <c r="W77" s="697"/>
      <c r="X77" s="697"/>
      <c r="Y77" s="697"/>
      <c r="Z77" s="697"/>
      <c r="AA77" s="697"/>
      <c r="AB77" s="697"/>
      <c r="AC77" s="697"/>
      <c r="AD77" s="697"/>
      <c r="AE77" s="697" t="str">
        <f>IFERROR(__xludf.DUMMYFUNCTION("""COMPUTED_VALUE"""),"n/a")</f>
        <v>n/a</v>
      </c>
      <c r="AF77" s="697"/>
      <c r="AG77" s="697"/>
      <c r="AH77" s="697"/>
      <c r="AI77" s="697"/>
      <c r="AJ77" s="697"/>
      <c r="AK77" s="697"/>
      <c r="AL77" s="697"/>
      <c r="AM77" s="697"/>
      <c r="AN77" s="700">
        <f>IFERROR(__xludf.DUMMYFUNCTION("""COMPUTED_VALUE"""),0.81)</f>
        <v>0.81</v>
      </c>
      <c r="AO77" s="698">
        <f>IFERROR(__xludf.DUMMYFUNCTION("""COMPUTED_VALUE"""),0.81)</f>
        <v>0.81</v>
      </c>
      <c r="AP77" s="697" t="str">
        <f>IFERROR(__xludf.DUMMYFUNCTION("""COMPUTED_VALUE"""),"Mf reduction")</f>
        <v>Mf reduction</v>
      </c>
      <c r="AQ77" s="697" t="str">
        <f>IFERROR(__xludf.DUMMYFUNCTION("""COMPUTED_VALUE"""),"Sokedo, Togo")</f>
        <v>Sokedo, Togo</v>
      </c>
      <c r="AR77" s="697">
        <f>IFERROR(__xludf.DUMMYFUNCTION("""COMPUTED_VALUE"""),1988.0)</f>
        <v>1988</v>
      </c>
      <c r="AS77" s="697">
        <f>IFERROR(__xludf.DUMMYFUNCTION("""COMPUTED_VALUE"""),26.0)</f>
        <v>26</v>
      </c>
      <c r="AT77" s="697" t="str">
        <f>IFERROR(__xludf.DUMMYFUNCTION("""COMPUTED_VALUE"""),"3 days")</f>
        <v>3 days</v>
      </c>
      <c r="AU77" s="699" t="str">
        <f>IFERROR(__xludf.DUMMYFUNCTION("""COMPUTED_VALUE"""),"Mössinger, J.; Schulz-Key, H.; Dietz, K. (1988) Emergency of Onchocerca volvulus microfilariae from skin snips before and after treatment of patients with ivermectin. Trop. Med. Parasit 39: 313-316.")</f>
        <v>Mössinger, J.; Schulz-Key, H.; Dietz, K. (1988) Emergency of Onchocerca volvulus microfilariae from skin snips before and after treatment of patients with ivermectin. Trop. Med. Parasit 39: 313-316.</v>
      </c>
      <c r="AV77" s="697" t="str">
        <f>IFERROR(__xludf.DUMMYFUNCTION("""COMPUTED_VALUE"""),"FM")</f>
        <v>FM</v>
      </c>
      <c r="AW77" s="697" t="str">
        <f>IFERROR(__xludf.DUMMYFUNCTION("""COMPUTED_VALUE"""),"9-60 years old")</f>
        <v>9-60 years old</v>
      </c>
      <c r="AX77" s="697"/>
      <c r="AY77" s="697" t="str">
        <f>IFERROR(__xludf.DUMMYFUNCTION("""COMPUTED_VALUE"""),"Yes")</f>
        <v>Yes</v>
      </c>
      <c r="AZ77" s="697" t="str">
        <f>IFERROR(__xludf.DUMMYFUNCTION("""COMPUTED_VALUE"""),"Yes")</f>
        <v>Yes</v>
      </c>
      <c r="BA77" s="697"/>
      <c r="BB77" s="697"/>
      <c r="BC77" s="697" t="str">
        <f>IFERROR(__xludf.DUMMYFUNCTION("""COMPUTED_VALUE"""),"Three days after treatment the microfilarial skin density had dropped to 83% (placebo), 28% (100 ug/kg ivermectin) 19% (150 ug/kg) and 14% (200 ug/kg) of the pretreatment values but the microfilarial emergence was not altered distinctly.
")</f>
        <v>Three days after treatment the microfilarial skin density had dropped to 83% (placebo), 28% (100 ug/kg ivermectin) 19% (150 ug/kg) and 14% (200 ug/kg) of the pretreatment values but the microfilarial emergence was not altered distinctly.
</v>
      </c>
      <c r="BD77" s="697"/>
      <c r="BE77" s="697"/>
      <c r="BF77" s="697"/>
      <c r="BG77" s="697"/>
    </row>
    <row r="78">
      <c r="A78" s="697"/>
      <c r="B78" s="697" t="str">
        <f>IFERROR(__xludf.DUMMYFUNCTION("""COMPUTED_VALUE"""),"Mössinger, Schulz-Key, &amp; Dietz")</f>
        <v>Mössinger, Schulz-Key, &amp; Dietz</v>
      </c>
      <c r="C78" s="697" t="str">
        <f>IFERROR(__xludf.DUMMYFUNCTION("""COMPUTED_VALUE"""),"Togo")</f>
        <v>Togo</v>
      </c>
      <c r="D78" s="697" t="str">
        <f>IFERROR(__xludf.DUMMYFUNCTION("""COMPUTED_VALUE"""),"Ivermectin")</f>
        <v>Ivermectin</v>
      </c>
      <c r="E78" s="697" t="str">
        <f>IFERROR(__xludf.DUMMYFUNCTION("""COMPUTED_VALUE"""),"200 ug/kg")</f>
        <v>200 ug/kg</v>
      </c>
      <c r="F78" s="697">
        <f>IFERROR(__xludf.DUMMYFUNCTION("""COMPUTED_VALUE"""),1.0)</f>
        <v>1</v>
      </c>
      <c r="G78" s="697" t="str">
        <f>IFERROR(__xludf.DUMMYFUNCTION("""COMPUTED_VALUE"""),"200 ug/kg")</f>
        <v>200 ug/kg</v>
      </c>
      <c r="H78" s="697"/>
      <c r="I78" s="697"/>
      <c r="J78" s="698">
        <f>IFERROR(__xludf.DUMMYFUNCTION("""COMPUTED_VALUE"""),0.856)</f>
        <v>0.856</v>
      </c>
      <c r="K78" s="697"/>
      <c r="L78" s="697"/>
      <c r="M78" s="697"/>
      <c r="N78" s="697"/>
      <c r="O78" s="697"/>
      <c r="P78" s="697"/>
      <c r="Q78" s="697"/>
      <c r="R78" s="697"/>
      <c r="S78" s="697"/>
      <c r="T78" s="697"/>
      <c r="U78" s="697"/>
      <c r="V78" s="697"/>
      <c r="W78" s="697"/>
      <c r="X78" s="697"/>
      <c r="Y78" s="697"/>
      <c r="Z78" s="697"/>
      <c r="AA78" s="697"/>
      <c r="AB78" s="697"/>
      <c r="AC78" s="697"/>
      <c r="AD78" s="697"/>
      <c r="AE78" s="697" t="str">
        <f>IFERROR(__xludf.DUMMYFUNCTION("""COMPUTED_VALUE"""),"n/a")</f>
        <v>n/a</v>
      </c>
      <c r="AF78" s="697"/>
      <c r="AG78" s="697"/>
      <c r="AH78" s="697"/>
      <c r="AI78" s="697"/>
      <c r="AJ78" s="697"/>
      <c r="AK78" s="697"/>
      <c r="AL78" s="697"/>
      <c r="AM78" s="697"/>
      <c r="AN78" s="698">
        <f>IFERROR(__xludf.DUMMYFUNCTION("""COMPUTED_VALUE"""),0.856)</f>
        <v>0.856</v>
      </c>
      <c r="AO78" s="698">
        <f>IFERROR(__xludf.DUMMYFUNCTION("""COMPUTED_VALUE"""),0.856)</f>
        <v>0.856</v>
      </c>
      <c r="AP78" s="697" t="str">
        <f>IFERROR(__xludf.DUMMYFUNCTION("""COMPUTED_VALUE"""),"Mf reduction")</f>
        <v>Mf reduction</v>
      </c>
      <c r="AQ78" s="697" t="str">
        <f>IFERROR(__xludf.DUMMYFUNCTION("""COMPUTED_VALUE"""),"Sokedo, Togo")</f>
        <v>Sokedo, Togo</v>
      </c>
      <c r="AR78" s="697">
        <f>IFERROR(__xludf.DUMMYFUNCTION("""COMPUTED_VALUE"""),1988.0)</f>
        <v>1988</v>
      </c>
      <c r="AS78" s="697">
        <f>IFERROR(__xludf.DUMMYFUNCTION("""COMPUTED_VALUE"""),25.0)</f>
        <v>25</v>
      </c>
      <c r="AT78" s="697" t="str">
        <f>IFERROR(__xludf.DUMMYFUNCTION("""COMPUTED_VALUE"""),"3 days")</f>
        <v>3 days</v>
      </c>
      <c r="AU78" s="699" t="str">
        <f>IFERROR(__xludf.DUMMYFUNCTION("""COMPUTED_VALUE"""),"Mössinger, J.; Schulz-Key, H.; Dietz, K. (1988) Emergency of Onchocerca volvulus microfilariae from skin snips before and after treatment of patients with ivermectin. Trop. Med. Parasit 39: 313-316.")</f>
        <v>Mössinger, J.; Schulz-Key, H.; Dietz, K. (1988) Emergency of Onchocerca volvulus microfilariae from skin snips before and after treatment of patients with ivermectin. Trop. Med. Parasit 39: 313-316.</v>
      </c>
      <c r="AV78" s="697" t="str">
        <f>IFERROR(__xludf.DUMMYFUNCTION("""COMPUTED_VALUE"""),"FM")</f>
        <v>FM</v>
      </c>
      <c r="AW78" s="697" t="str">
        <f>IFERROR(__xludf.DUMMYFUNCTION("""COMPUTED_VALUE"""),"9-60 years old")</f>
        <v>9-60 years old</v>
      </c>
      <c r="AX78" s="697"/>
      <c r="AY78" s="697" t="str">
        <f>IFERROR(__xludf.DUMMYFUNCTION("""COMPUTED_VALUE"""),"Yes")</f>
        <v>Yes</v>
      </c>
      <c r="AZ78" s="697" t="str">
        <f>IFERROR(__xludf.DUMMYFUNCTION("""COMPUTED_VALUE"""),"Yes")</f>
        <v>Yes</v>
      </c>
      <c r="BA78" s="697"/>
      <c r="BB78" s="697"/>
      <c r="BC78" s="697" t="str">
        <f>IFERROR(__xludf.DUMMYFUNCTION("""COMPUTED_VALUE"""),"Three days after treatment the microfilarial skin density had dropped to 83% (placebo), 28% (100 ug/kg ivermectin) 19% (150 ug/kg) and 14% (200 ug/kg) of the pretreatment values but the microfilarial emergence was not altered distinctly.
")</f>
        <v>Three days after treatment the microfilarial skin density had dropped to 83% (placebo), 28% (100 ug/kg ivermectin) 19% (150 ug/kg) and 14% (200 ug/kg) of the pretreatment values but the microfilarial emergence was not altered distinctly.
</v>
      </c>
      <c r="BD78" s="697"/>
      <c r="BE78" s="697"/>
      <c r="BF78" s="697"/>
      <c r="BG78" s="697"/>
    </row>
    <row r="79">
      <c r="A79" s="697"/>
      <c r="B79" s="697" t="str">
        <f>IFERROR(__xludf.DUMMYFUNCTION("""COMPUTED_VALUE"""),"Mössinger, Schulz-Key, &amp; Dietz")</f>
        <v>Mössinger, Schulz-Key, &amp; Dietz</v>
      </c>
      <c r="C79" s="697" t="str">
        <f>IFERROR(__xludf.DUMMYFUNCTION("""COMPUTED_VALUE"""),"Togo")</f>
        <v>Togo</v>
      </c>
      <c r="D79" s="697" t="str">
        <f>IFERROR(__xludf.DUMMYFUNCTION("""COMPUTED_VALUE"""),"Placebo")</f>
        <v>Placebo</v>
      </c>
      <c r="E79" s="697"/>
      <c r="F79" s="697"/>
      <c r="G79" s="697"/>
      <c r="H79" s="697"/>
      <c r="I79" s="697"/>
      <c r="J79" s="698">
        <f>IFERROR(__xludf.DUMMYFUNCTION("""COMPUTED_VALUE"""),0.167)</f>
        <v>0.167</v>
      </c>
      <c r="K79" s="697"/>
      <c r="L79" s="697"/>
      <c r="M79" s="697"/>
      <c r="N79" s="697"/>
      <c r="O79" s="697"/>
      <c r="P79" s="697"/>
      <c r="Q79" s="697"/>
      <c r="R79" s="697"/>
      <c r="S79" s="697"/>
      <c r="T79" s="697"/>
      <c r="U79" s="697"/>
      <c r="V79" s="697"/>
      <c r="W79" s="697"/>
      <c r="X79" s="697"/>
      <c r="Y79" s="697"/>
      <c r="Z79" s="697"/>
      <c r="AA79" s="697"/>
      <c r="AB79" s="697"/>
      <c r="AC79" s="697"/>
      <c r="AD79" s="697"/>
      <c r="AE79" s="697" t="str">
        <f>IFERROR(__xludf.DUMMYFUNCTION("""COMPUTED_VALUE"""),"n/a")</f>
        <v>n/a</v>
      </c>
      <c r="AF79" s="697"/>
      <c r="AG79" s="697"/>
      <c r="AH79" s="697"/>
      <c r="AI79" s="697"/>
      <c r="AJ79" s="697"/>
      <c r="AK79" s="697"/>
      <c r="AL79" s="697"/>
      <c r="AM79" s="697"/>
      <c r="AN79" s="698">
        <f>IFERROR(__xludf.DUMMYFUNCTION("""COMPUTED_VALUE"""),0.167)</f>
        <v>0.167</v>
      </c>
      <c r="AO79" s="698">
        <f>IFERROR(__xludf.DUMMYFUNCTION("""COMPUTED_VALUE"""),0.167)</f>
        <v>0.167</v>
      </c>
      <c r="AP79" s="697" t="str">
        <f>IFERROR(__xludf.DUMMYFUNCTION("""COMPUTED_VALUE"""),"Mf reduction")</f>
        <v>Mf reduction</v>
      </c>
      <c r="AQ79" s="697" t="str">
        <f>IFERROR(__xludf.DUMMYFUNCTION("""COMPUTED_VALUE"""),"Sokedo, Togo")</f>
        <v>Sokedo, Togo</v>
      </c>
      <c r="AR79" s="697">
        <f>IFERROR(__xludf.DUMMYFUNCTION("""COMPUTED_VALUE"""),1988.0)</f>
        <v>1988</v>
      </c>
      <c r="AS79" s="697">
        <f>IFERROR(__xludf.DUMMYFUNCTION("""COMPUTED_VALUE"""),16.0)</f>
        <v>16</v>
      </c>
      <c r="AT79" s="697" t="str">
        <f>IFERROR(__xludf.DUMMYFUNCTION("""COMPUTED_VALUE"""),"3 days")</f>
        <v>3 days</v>
      </c>
      <c r="AU79" s="699" t="str">
        <f>IFERROR(__xludf.DUMMYFUNCTION("""COMPUTED_VALUE"""),"Mössinger, J.; Schulz-Key, H.; Dietz, K. (1988) Emergency of Onchocerca volvulus microfilariae from skin snips before and after treatment of patients with ivermectin. Trop. Med. Parasit 39: 313-316.")</f>
        <v>Mössinger, J.; Schulz-Key, H.; Dietz, K. (1988) Emergency of Onchocerca volvulus microfilariae from skin snips before and after treatment of patients with ivermectin. Trop. Med. Parasit 39: 313-316.</v>
      </c>
      <c r="AV79" s="697" t="str">
        <f>IFERROR(__xludf.DUMMYFUNCTION("""COMPUTED_VALUE"""),"FM")</f>
        <v>FM</v>
      </c>
      <c r="AW79" s="697" t="str">
        <f>IFERROR(__xludf.DUMMYFUNCTION("""COMPUTED_VALUE"""),"9-60 years old")</f>
        <v>9-60 years old</v>
      </c>
      <c r="AX79" s="697"/>
      <c r="AY79" s="697" t="str">
        <f>IFERROR(__xludf.DUMMYFUNCTION("""COMPUTED_VALUE"""),"Yes")</f>
        <v>Yes</v>
      </c>
      <c r="AZ79" s="697" t="str">
        <f>IFERROR(__xludf.DUMMYFUNCTION("""COMPUTED_VALUE"""),"Yes")</f>
        <v>Yes</v>
      </c>
      <c r="BA79" s="697"/>
      <c r="BB79" s="697"/>
      <c r="BC79" s="697" t="str">
        <f>IFERROR(__xludf.DUMMYFUNCTION("""COMPUTED_VALUE"""),"Three days after treatment the microfilarial skin density had dropped to 83% (placebo), 28% (100 ug/kg ivermectin) 19% (150 ug/kg) and 14% (200 ug/kg) of the pretreatment values but the microfilarial emergence was not altered distinctly.
")</f>
        <v>Three days after treatment the microfilarial skin density had dropped to 83% (placebo), 28% (100 ug/kg ivermectin) 19% (150 ug/kg) and 14% (200 ug/kg) of the pretreatment values but the microfilarial emergence was not altered distinctly.
</v>
      </c>
      <c r="BD79" s="697"/>
      <c r="BE79" s="697"/>
      <c r="BF79" s="697"/>
      <c r="BG79" s="697"/>
    </row>
    <row r="80">
      <c r="A80" s="697"/>
      <c r="B80" s="697" t="str">
        <f>IFERROR(__xludf.DUMMYFUNCTION("""COMPUTED_VALUE"""),"Kebede et al.")</f>
        <v>Kebede et al.</v>
      </c>
      <c r="C80" s="697" t="str">
        <f>IFERROR(__xludf.DUMMYFUNCTION("""COMPUTED_VALUE"""),"Ethiopia")</f>
        <v>Ethiopia</v>
      </c>
      <c r="D80" s="697" t="str">
        <f>IFERROR(__xludf.DUMMYFUNCTION("""COMPUTED_VALUE"""),"Ivermectin")</f>
        <v>Ivermectin</v>
      </c>
      <c r="E80" s="697" t="str">
        <f>IFERROR(__xludf.DUMMYFUNCTION("""COMPUTED_VALUE"""),"150 ug/kg")</f>
        <v>150 ug/kg</v>
      </c>
      <c r="F80" s="697">
        <f>IFERROR(__xludf.DUMMYFUNCTION("""COMPUTED_VALUE"""),1.0)</f>
        <v>1</v>
      </c>
      <c r="G80" s="697" t="str">
        <f>IFERROR(__xludf.DUMMYFUNCTION("""COMPUTED_VALUE"""),"150 mcg/kg")</f>
        <v>150 mcg/kg</v>
      </c>
      <c r="H80" s="697"/>
      <c r="I80" s="697"/>
      <c r="J80" s="697"/>
      <c r="K80" s="697"/>
      <c r="L80" s="697"/>
      <c r="M80" s="697"/>
      <c r="N80" s="697"/>
      <c r="O80" s="697"/>
      <c r="P80" s="697"/>
      <c r="Q80" s="697"/>
      <c r="R80" s="700">
        <f>IFERROR(__xludf.DUMMYFUNCTION("""COMPUTED_VALUE"""),0.81)</f>
        <v>0.81</v>
      </c>
      <c r="S80" s="697"/>
      <c r="T80" s="700">
        <f>IFERROR(__xludf.DUMMYFUNCTION("""COMPUTED_VALUE"""),0.62)</f>
        <v>0.62</v>
      </c>
      <c r="U80" s="697"/>
      <c r="V80" s="697"/>
      <c r="W80" s="697"/>
      <c r="X80" s="697"/>
      <c r="Y80" s="697"/>
      <c r="Z80" s="697"/>
      <c r="AA80" s="697"/>
      <c r="AB80" s="697"/>
      <c r="AC80" s="697"/>
      <c r="AD80" s="697"/>
      <c r="AE80" s="697"/>
      <c r="AF80" s="697"/>
      <c r="AG80" s="697"/>
      <c r="AH80" s="697"/>
      <c r="AI80" s="697"/>
      <c r="AJ80" s="697"/>
      <c r="AK80" s="697"/>
      <c r="AL80" s="697"/>
      <c r="AM80" s="697"/>
      <c r="AN80" s="700">
        <f>IFERROR(__xludf.DUMMYFUNCTION("""COMPUTED_VALUE"""),0.81)</f>
        <v>0.81</v>
      </c>
      <c r="AO80" s="698">
        <f>IFERROR(__xludf.DUMMYFUNCTION("""COMPUTED_VALUE"""),0.81)</f>
        <v>0.81</v>
      </c>
      <c r="AP80" s="697" t="str">
        <f>IFERROR(__xludf.DUMMYFUNCTION("""COMPUTED_VALUE"""),"Nodulectomy: mf reduction")</f>
        <v>Nodulectomy: mf reduction</v>
      </c>
      <c r="AQ80" s="697" t="str">
        <f>IFERROR(__xludf.DUMMYFUNCTION("""COMPUTED_VALUE"""),"Bebeaka, Ethiopia")</f>
        <v>Bebeaka, Ethiopia</v>
      </c>
      <c r="AR80" s="697">
        <f>IFERROR(__xludf.DUMMYFUNCTION("""COMPUTED_VALUE"""),1990.0)</f>
        <v>1990</v>
      </c>
      <c r="AS80" s="697">
        <f>IFERROR(__xludf.DUMMYFUNCTION("""COMPUTED_VALUE"""),190.0)</f>
        <v>190</v>
      </c>
      <c r="AT80" s="697" t="str">
        <f>IFERROR(__xludf.DUMMYFUNCTION("""COMPUTED_VALUE"""),"8 months")</f>
        <v>8 months</v>
      </c>
      <c r="AU80" s="699" t="str">
        <f>IFERROR(__xludf.DUMMYFUNCTION("""COMPUTED_VALUE"""),"Kebede, A.; Taticheff, S.; Bulto, T.; Workneh, W.; Tilahun, D. (1993) Effect of Ivermectin Treatment on Microfilarial Load in Patients with Onchocerca Volvulus in Bebeka, Ethiopia. Ethiop Med 31(2): 127-135.")</f>
        <v>Kebede, A.; Taticheff, S.; Bulto, T.; Workneh, W.; Tilahun, D. (1993) Effect of Ivermectin Treatment on Microfilarial Load in Patients with Onchocerca Volvulus in Bebeka, Ethiopia. Ethiop Med 31(2): 127-135.</v>
      </c>
      <c r="AV80" s="697" t="str">
        <f>IFERROR(__xludf.DUMMYFUNCTION("""COMPUTED_VALUE"""),"159 M; 31 F")</f>
        <v>159 M; 31 F</v>
      </c>
      <c r="AW80" s="697" t="str">
        <f>IFERROR(__xludf.DUMMYFUNCTION("""COMPUTED_VALUE"""),"7-41+ years old; 7-18 years: 16; 19-30 years: 73; 31-40 years: 68; 41+ years 33")</f>
        <v>7-41+ years old; 7-18 years: 16; 19-30 years: 73; 31-40 years: 68; 41+ years 33</v>
      </c>
      <c r="AX80" s="697"/>
      <c r="AY80" s="697" t="str">
        <f>IFERROR(__xludf.DUMMYFUNCTION("""COMPUTED_VALUE"""),"No")</f>
        <v>No</v>
      </c>
      <c r="AZ80" s="697" t="str">
        <f>IFERROR(__xludf.DUMMYFUNCTION("""COMPUTED_VALUE"""),"No")</f>
        <v>No</v>
      </c>
      <c r="BA80" s="697"/>
      <c r="BB80" s="697"/>
      <c r="BC80" s="697" t="str">
        <f>IFERROR(__xludf.DUMMYFUNCTION("""COMPUTED_VALUE"""),"Significant difference in mean microfilarial load was observed throughout the eight months post-treatment period compared to that of the pre-treatment results for both sexes and all ages (p&lt; 0.05).")</f>
        <v>Significant difference in mean microfilarial load was observed throughout the eight months post-treatment period compared to that of the pre-treatment results for both sexes and all ages (p&lt; 0.05).</v>
      </c>
      <c r="BD80" s="697"/>
      <c r="BE80" s="697"/>
      <c r="BF80" s="697"/>
      <c r="BG80" s="697"/>
    </row>
    <row r="81">
      <c r="A81" s="697"/>
      <c r="B81" s="697" t="str">
        <f>IFERROR(__xludf.DUMMYFUNCTION("""COMPUTED_VALUE"""),"Richards, Flores, &amp; Duke")</f>
        <v>Richards, Flores, &amp; Duke</v>
      </c>
      <c r="C81" s="697" t="str">
        <f>IFERROR(__xludf.DUMMYFUNCTION("""COMPUTED_VALUE"""),"Guatemala")</f>
        <v>Guatemala</v>
      </c>
      <c r="D81" s="697" t="str">
        <f>IFERROR(__xludf.DUMMYFUNCTION("""COMPUTED_VALUE"""),"Ivermectin")</f>
        <v>Ivermectin</v>
      </c>
      <c r="E81" s="697" t="str">
        <f>IFERROR(__xludf.DUMMYFUNCTION("""COMPUTED_VALUE"""),"150 ug/kg")</f>
        <v>150 ug/kg</v>
      </c>
      <c r="F81" s="697">
        <f>IFERROR(__xludf.DUMMYFUNCTION("""COMPUTED_VALUE"""),1.0)</f>
        <v>1</v>
      </c>
      <c r="G81" s="697" t="str">
        <f>IFERROR(__xludf.DUMMYFUNCTION("""COMPUTED_VALUE"""),"150 ug/kg")</f>
        <v>150 ug/kg</v>
      </c>
      <c r="H81" s="698">
        <f>IFERROR(__xludf.DUMMYFUNCTION("""COMPUTED_VALUE"""),0.333)</f>
        <v>0.333</v>
      </c>
      <c r="I81" s="698">
        <f>IFERROR(__xludf.DUMMYFUNCTION("""COMPUTED_VALUE"""),0.869)</f>
        <v>0.869</v>
      </c>
      <c r="J81" s="698">
        <f>IFERROR(__xludf.DUMMYFUNCTION("""COMPUTED_VALUE"""),0.9)</f>
        <v>0.9</v>
      </c>
      <c r="K81" s="697"/>
      <c r="L81" s="697"/>
      <c r="M81" s="697"/>
      <c r="N81" s="697"/>
      <c r="O81" s="697"/>
      <c r="P81" s="697"/>
      <c r="Q81" s="697"/>
      <c r="R81" s="697"/>
      <c r="S81" s="698">
        <f>IFERROR(__xludf.DUMMYFUNCTION("""COMPUTED_VALUE"""),0.967)</f>
        <v>0.967</v>
      </c>
      <c r="T81" s="697"/>
      <c r="U81" s="697"/>
      <c r="V81" s="697"/>
      <c r="W81" s="697"/>
      <c r="X81" s="697"/>
      <c r="Y81" s="697"/>
      <c r="Z81" s="697"/>
      <c r="AA81" s="697"/>
      <c r="AB81" s="697"/>
      <c r="AC81" s="697"/>
      <c r="AD81" s="697"/>
      <c r="AE81" s="697" t="str">
        <f>IFERROR(__xludf.DUMMYFUNCTION("""COMPUTED_VALUE"""),"n/a")</f>
        <v>n/a</v>
      </c>
      <c r="AF81" s="697"/>
      <c r="AG81" s="697"/>
      <c r="AH81" s="697"/>
      <c r="AI81" s="697"/>
      <c r="AJ81" s="697"/>
      <c r="AK81" s="697"/>
      <c r="AL81" s="697"/>
      <c r="AM81" s="697"/>
      <c r="AN81" s="698">
        <f>IFERROR(__xludf.DUMMYFUNCTION("""COMPUTED_VALUE"""),0.967)</f>
        <v>0.967</v>
      </c>
      <c r="AO81" s="698">
        <f>IFERROR(__xludf.DUMMYFUNCTION("""COMPUTED_VALUE"""),0.967)</f>
        <v>0.967</v>
      </c>
      <c r="AP81" s="697" t="str">
        <f>IFERROR(__xludf.DUMMYFUNCTION("""COMPUTED_VALUE"""),"Mf reduction")</f>
        <v>Mf reduction</v>
      </c>
      <c r="AQ81" s="697" t="str">
        <f>IFERROR(__xludf.DUMMYFUNCTION("""COMPUTED_VALUE"""),"Finca Los Andes, Guatamala")</f>
        <v>Finca Los Andes, Guatamala</v>
      </c>
      <c r="AR81" s="697">
        <f>IFERROR(__xludf.DUMMYFUNCTION("""COMPUTED_VALUE"""),1988.0)</f>
        <v>1988</v>
      </c>
      <c r="AS81" s="697">
        <f>IFERROR(__xludf.DUMMYFUNCTION("""COMPUTED_VALUE"""),8.0)</f>
        <v>8</v>
      </c>
      <c r="AT81" s="697" t="str">
        <f>IFERROR(__xludf.DUMMYFUNCTION("""COMPUTED_VALUE"""),"6 Months")</f>
        <v>6 Months</v>
      </c>
      <c r="AU81" s="699" t="str">
        <f>IFERROR(__xludf.DUMMYFUNCTION("""COMPUTED_VALUE"""),"Richards, F.O Jr.; Flores, Z.R.; Duke, B.O.L. (1989) Dynamics of microfilariae of Onchocerca volvulus over the first 72 hours after treatment with ivermectin. Tropical medicine and parasitology 40(3): 299-303. ")</f>
        <v>Richards, F.O Jr.; Flores, Z.R.; Duke, B.O.L. (1989) Dynamics of microfilariae of Onchocerca volvulus over the first 72 hours after treatment with ivermectin. Tropical medicine and parasitology 40(3): 299-303. </v>
      </c>
      <c r="AV81" s="697" t="str">
        <f>IFERROR(__xludf.DUMMYFUNCTION("""COMPUTED_VALUE"""),"M")</f>
        <v>M</v>
      </c>
      <c r="AW81" s="697" t="str">
        <f>IFERROR(__xludf.DUMMYFUNCTION("""COMPUTED_VALUE"""),"Mean Age 28 yrs; Range: 22-35 yrs old")</f>
        <v>Mean Age 28 yrs; Range: 22-35 yrs old</v>
      </c>
      <c r="AX81" s="697"/>
      <c r="AY81" s="697" t="str">
        <f>IFERROR(__xludf.DUMMYFUNCTION("""COMPUTED_VALUE""")," No")</f>
        <v> No</v>
      </c>
      <c r="AZ81" s="697" t="str">
        <f>IFERROR(__xludf.DUMMYFUNCTION("""COMPUTED_VALUE"""),"No")</f>
        <v>No</v>
      </c>
      <c r="BA81" s="697"/>
      <c r="BB81" s="697"/>
      <c r="BC81" s="697" t="str">
        <f>IFERROR(__xludf.DUMMYFUNCTION("""COMPUTED_VALUE"""),"After an initial increase at 6 hours, the significance of which is not clear, mf densities in skin snips decreased rapidly to reach 13% of their pre-treatment level by 48 hours and then fell much more slowly over the next 2-hour period.")</f>
        <v>After an initial increase at 6 hours, the significance of which is not clear, mf densities in skin snips decreased rapidly to reach 13% of their pre-treatment level by 48 hours and then fell much more slowly over the next 2-hour period.</v>
      </c>
      <c r="BD81" s="697" t="str">
        <f>IFERROR(__xludf.DUMMYFUNCTION("""COMPUTED_VALUE"""),"1 patient lost to follow up; 7 patients examined at 6 months")</f>
        <v>1 patient lost to follow up; 7 patients examined at 6 months</v>
      </c>
      <c r="BE81" s="697"/>
      <c r="BF81" s="697"/>
      <c r="BG81" s="697"/>
    </row>
    <row r="82">
      <c r="A82" s="697"/>
      <c r="B82" s="697" t="str">
        <f>IFERROR(__xludf.DUMMYFUNCTION("""COMPUTED_VALUE"""),"Albiez et al.")</f>
        <v>Albiez et al.</v>
      </c>
      <c r="C82" s="697" t="str">
        <f>IFERROR(__xludf.DUMMYFUNCTION("""COMPUTED_VALUE"""),"Liberia")</f>
        <v>Liberia</v>
      </c>
      <c r="D82" s="697" t="str">
        <f>IFERROR(__xludf.DUMMYFUNCTION("""COMPUTED_VALUE"""),"DEC oral")</f>
        <v>DEC oral</v>
      </c>
      <c r="E82" s="697" t="str">
        <f>IFERROR(__xludf.DUMMYFUNCTION("""COMPUTED_VALUE"""),"1mg/kg, 2-4 mg/kg, 30mg/kg")</f>
        <v>1mg/kg, 2-4 mg/kg, 30mg/kg</v>
      </c>
      <c r="F82" s="697" t="str">
        <f>IFERROR(__xludf.DUMMYFUNCTION("""COMPUTED_VALUE"""),"1;4;7")</f>
        <v>1;4;7</v>
      </c>
      <c r="G82" s="697" t="str">
        <f>IFERROR(__xludf.DUMMYFUNCTION("""COMPUTED_VALUE"""),"219mg/kg- 228mg/kg")</f>
        <v>219mg/kg- 228mg/kg</v>
      </c>
      <c r="H82" s="697"/>
      <c r="I82" s="697"/>
      <c r="J82" s="700">
        <f>IFERROR(__xludf.DUMMYFUNCTION("""COMPUTED_VALUE"""),0.54)</f>
        <v>0.54</v>
      </c>
      <c r="K82" s="697"/>
      <c r="L82" s="698">
        <f>IFERROR(__xludf.DUMMYFUNCTION("""COMPUTED_VALUE"""),0.9048)</f>
        <v>0.9048</v>
      </c>
      <c r="M82" s="697"/>
      <c r="N82" s="698">
        <f>IFERROR(__xludf.DUMMYFUNCTION("""COMPUTED_VALUE"""),0.984)</f>
        <v>0.984</v>
      </c>
      <c r="O82" s="697"/>
      <c r="P82" s="697"/>
      <c r="Q82" s="698">
        <f>IFERROR(__xludf.DUMMYFUNCTION("""COMPUTED_VALUE"""),0.937)</f>
        <v>0.937</v>
      </c>
      <c r="R82" s="697"/>
      <c r="S82" s="697"/>
      <c r="T82" s="697"/>
      <c r="U82" s="697"/>
      <c r="V82" s="697"/>
      <c r="W82" s="698">
        <f>IFERROR(__xludf.DUMMYFUNCTION("""COMPUTED_VALUE"""),0.635)</f>
        <v>0.635</v>
      </c>
      <c r="X82" s="697"/>
      <c r="Y82" s="697"/>
      <c r="Z82" s="697"/>
      <c r="AA82" s="697"/>
      <c r="AB82" s="697"/>
      <c r="AC82" s="697"/>
      <c r="AD82" s="697"/>
      <c r="AE82" s="697"/>
      <c r="AF82" s="697"/>
      <c r="AG82" s="698">
        <f>IFERROR(__xludf.DUMMYFUNCTION("""COMPUTED_VALUE"""),0.937)</f>
        <v>0.937</v>
      </c>
      <c r="AH82" s="697"/>
      <c r="AI82" s="697"/>
      <c r="AJ82" s="698">
        <f>IFERROR(__xludf.DUMMYFUNCTION("""COMPUTED_VALUE"""),0.6349)</f>
        <v>0.6349</v>
      </c>
      <c r="AK82" s="697"/>
      <c r="AL82" s="697"/>
      <c r="AM82" s="697"/>
      <c r="AN82" s="698">
        <f>IFERROR(__xludf.DUMMYFUNCTION("""COMPUTED_VALUE"""),0.937)</f>
        <v>0.937</v>
      </c>
      <c r="AO82" s="698">
        <f>IFERROR(__xludf.DUMMYFUNCTION("""COMPUTED_VALUE"""),0.937)</f>
        <v>0.937</v>
      </c>
      <c r="AP82" s="697" t="str">
        <f>IFERROR(__xludf.DUMMYFUNCTION("""COMPUTED_VALUE"""),"Mf reduction")</f>
        <v>Mf reduction</v>
      </c>
      <c r="AQ82" s="697" t="str">
        <f>IFERROR(__xludf.DUMMYFUNCTION("""COMPUTED_VALUE"""),"Liberian rainforest")</f>
        <v>Liberian rainforest</v>
      </c>
      <c r="AR82" s="697">
        <f>IFERROR(__xludf.DUMMYFUNCTION("""COMPUTED_VALUE"""),1988.0)</f>
        <v>1988</v>
      </c>
      <c r="AS82" s="697">
        <f>IFERROR(__xludf.DUMMYFUNCTION("""COMPUTED_VALUE"""),11.0)</f>
        <v>11</v>
      </c>
      <c r="AT82" s="697" t="str">
        <f>IFERROR(__xludf.DUMMYFUNCTION("""COMPUTED_VALUE"""),"10 months")</f>
        <v>10 months</v>
      </c>
      <c r="AU82" s="699" t="str">
        <f>IFERROR(__xludf.DUMMYFUNCTION("""COMPUTED_VALUE"""),"Albiez, E.J.; Newland, H.S.; White, A.T.; Kaiser, A.; Greene B.M.; Taylor, H.R.; Büttner, D.W. (1988) Chemotherapy of onchocerciasis with high doses of diethylcarbamazine or a single dose of ivermectin: microfilaria levels and side effects. Trop Med Paras"&amp;"it 39: 19-24. ")</f>
        <v>Albiez, E.J.; Newland, H.S.; White, A.T.; Kaiser, A.; Greene B.M.; Taylor, H.R.; Büttner, D.W. (1988) Chemotherapy of onchocerciasis with high doses of diethylcarbamazine or a single dose of ivermectin: microfilaria levels and side effects. Trop Med Parasit 39: 19-24. </v>
      </c>
      <c r="AV82" s="697" t="str">
        <f>IFERROR(__xludf.DUMMYFUNCTION("""COMPUTED_VALUE"""),"M")</f>
        <v>M</v>
      </c>
      <c r="AW82" s="697" t="str">
        <f>IFERROR(__xludf.DUMMYFUNCTION("""COMPUTED_VALUE"""),"18-50 years")</f>
        <v>18-50 years</v>
      </c>
      <c r="AX82" s="697" t="str">
        <f>IFERROR(__xludf.DUMMYFUNCTION("""COMPUTED_VALUE"""),"Must be between 18-50 years with microfilarial densities of 15 mf/mg or more and a nodule load of three to seven onchocercomata. None of the patients could receive any filarial treatment within the previous two years. ")</f>
        <v>Must be between 18-50 years with microfilarial densities of 15 mf/mg or more and a nodule load of three to seven onchocercomata. None of the patients could receive any filarial treatment within the previous two years. </v>
      </c>
      <c r="AY82" s="697" t="str">
        <f>IFERROR(__xludf.DUMMYFUNCTION("""COMPUTED_VALUE"""),"Yes")</f>
        <v>Yes</v>
      </c>
      <c r="AZ82" s="697" t="str">
        <f>IFERROR(__xludf.DUMMYFUNCTION("""COMPUTED_VALUE"""),"No")</f>
        <v>No</v>
      </c>
      <c r="BA82" s="697"/>
      <c r="BB82" s="697"/>
      <c r="BC82" s="697" t="str">
        <f>IFERROR(__xludf.DUMMYFUNCTION("""COMPUTED_VALUE"""),"Ivermectin was much better tolerated than DEC and had a longer lasting effect on the microfilariae in the skin. Since high doses of DEC were less effective and caused more frequent and severe side effects, this approach cannot be recommended for treatment"&amp;" of onchocerciasis.")</f>
        <v>Ivermectin was much better tolerated than DEC and had a longer lasting effect on the microfilariae in the skin. Since high doses of DEC were less effective and caused more frequent and severe side effects, this approach cannot be recommended for treatment of onchocerciasis.</v>
      </c>
      <c r="BD82" s="697" t="str">
        <f>IFERROR(__xludf.DUMMYFUNCTION("""COMPUTED_VALUE"""),"Of all subjects of the study 90% were reexamined after ten months.")</f>
        <v>Of all subjects of the study 90% were reexamined after ten months.</v>
      </c>
      <c r="BE82" s="697"/>
      <c r="BF82" s="697"/>
      <c r="BG82" s="697"/>
    </row>
    <row r="83">
      <c r="A83" s="697"/>
      <c r="B83" s="697" t="str">
        <f>IFERROR(__xludf.DUMMYFUNCTION("""COMPUTED_VALUE"""),"Albiez et al.")</f>
        <v>Albiez et al.</v>
      </c>
      <c r="C83" s="697" t="str">
        <f>IFERROR(__xludf.DUMMYFUNCTION("""COMPUTED_VALUE"""),"Liberia")</f>
        <v>Liberia</v>
      </c>
      <c r="D83" s="697" t="str">
        <f>IFERROR(__xludf.DUMMYFUNCTION("""COMPUTED_VALUE"""),"DEC lotion I")</f>
        <v>DEC lotion I</v>
      </c>
      <c r="E83" s="697" t="str">
        <f>IFERROR(__xludf.DUMMYFUNCTION("""COMPUTED_VALUE"""),"30 mg/kg")</f>
        <v>30 mg/kg</v>
      </c>
      <c r="F83" s="697">
        <f>IFERROR(__xludf.DUMMYFUNCTION("""COMPUTED_VALUE"""),7.0)</f>
        <v>7</v>
      </c>
      <c r="G83" s="697" t="str">
        <f>IFERROR(__xludf.DUMMYFUNCTION("""COMPUTED_VALUE"""),"210 mg/kg")</f>
        <v>210 mg/kg</v>
      </c>
      <c r="H83" s="697"/>
      <c r="I83" s="697"/>
      <c r="J83" s="698">
        <f>IFERROR(__xludf.DUMMYFUNCTION("""COMPUTED_VALUE"""),0.466)</f>
        <v>0.466</v>
      </c>
      <c r="K83" s="697"/>
      <c r="L83" s="697">
        <f>IFERROR(__xludf.DUMMYFUNCTION("""COMPUTED_VALUE"""),93.1)</f>
        <v>93.1</v>
      </c>
      <c r="M83" s="697"/>
      <c r="N83" s="698">
        <f>IFERROR(__xludf.DUMMYFUNCTION("""COMPUTED_VALUE"""),0.9914)</f>
        <v>0.9914</v>
      </c>
      <c r="O83" s="697"/>
      <c r="P83" s="697"/>
      <c r="Q83" s="698">
        <f>IFERROR(__xludf.DUMMYFUNCTION("""COMPUTED_VALUE"""),0.9583)</f>
        <v>0.9583</v>
      </c>
      <c r="R83" s="697"/>
      <c r="S83" s="697"/>
      <c r="T83" s="697"/>
      <c r="U83" s="697"/>
      <c r="V83" s="697"/>
      <c r="W83" s="698">
        <f>IFERROR(__xludf.DUMMYFUNCTION("""COMPUTED_VALUE"""),0.7241)</f>
        <v>0.7241</v>
      </c>
      <c r="X83" s="697"/>
      <c r="Y83" s="697"/>
      <c r="Z83" s="697"/>
      <c r="AA83" s="697"/>
      <c r="AB83" s="697"/>
      <c r="AC83" s="697"/>
      <c r="AD83" s="697"/>
      <c r="AE83" s="697" t="str">
        <f>IFERROR(__xludf.DUMMYFUNCTION("""COMPUTED_VALUE"""),"n/a")</f>
        <v>n/a</v>
      </c>
      <c r="AF83" s="697"/>
      <c r="AG83" s="697"/>
      <c r="AH83" s="697"/>
      <c r="AI83" s="697"/>
      <c r="AJ83" s="697"/>
      <c r="AK83" s="697"/>
      <c r="AL83" s="697"/>
      <c r="AM83" s="697"/>
      <c r="AN83" s="698">
        <f>IFERROR(__xludf.DUMMYFUNCTION("""COMPUTED_VALUE"""),0.9583)</f>
        <v>0.9583</v>
      </c>
      <c r="AO83" s="698">
        <f>IFERROR(__xludf.DUMMYFUNCTION("""COMPUTED_VALUE"""),0.9583)</f>
        <v>0.9583</v>
      </c>
      <c r="AP83" s="697" t="str">
        <f>IFERROR(__xludf.DUMMYFUNCTION("""COMPUTED_VALUE"""),"Mf reduction")</f>
        <v>Mf reduction</v>
      </c>
      <c r="AQ83" s="697" t="str">
        <f>IFERROR(__xludf.DUMMYFUNCTION("""COMPUTED_VALUE"""),"Liberian rainforest")</f>
        <v>Liberian rainforest</v>
      </c>
      <c r="AR83" s="697">
        <f>IFERROR(__xludf.DUMMYFUNCTION("""COMPUTED_VALUE"""),1988.0)</f>
        <v>1988</v>
      </c>
      <c r="AS83" s="697">
        <f>IFERROR(__xludf.DUMMYFUNCTION("""COMPUTED_VALUE"""),11.0)</f>
        <v>11</v>
      </c>
      <c r="AT83" s="697" t="str">
        <f>IFERROR(__xludf.DUMMYFUNCTION("""COMPUTED_VALUE"""),"10 months")</f>
        <v>10 months</v>
      </c>
      <c r="AU83" s="699" t="str">
        <f>IFERROR(__xludf.DUMMYFUNCTION("""COMPUTED_VALUE"""),"Albiez, E.J.; Newland, H.S.; White, A.T.; Kaiser, A.; Greene B.M.; Taylor, H.R.; Büttner, D.W. (1988) Chemotherapy of onchocerciasis with high doses of diethylcarbamazine or a single dose of ivermectin: microfilaria levels and side effects. Trop Med Paras"&amp;"it 39: 19-24. ")</f>
        <v>Albiez, E.J.; Newland, H.S.; White, A.T.; Kaiser, A.; Greene B.M.; Taylor, H.R.; Büttner, D.W. (1988) Chemotherapy of onchocerciasis with high doses of diethylcarbamazine or a single dose of ivermectin: microfilaria levels and side effects. Trop Med Parasit 39: 19-24. </v>
      </c>
      <c r="AV83" s="697" t="str">
        <f>IFERROR(__xludf.DUMMYFUNCTION("""COMPUTED_VALUE"""),"M")</f>
        <v>M</v>
      </c>
      <c r="AW83" s="697" t="str">
        <f>IFERROR(__xludf.DUMMYFUNCTION("""COMPUTED_VALUE"""),"18-50 years")</f>
        <v>18-50 years</v>
      </c>
      <c r="AX83" s="697" t="str">
        <f>IFERROR(__xludf.DUMMYFUNCTION("""COMPUTED_VALUE"""),"Must be between 18-50 years with microfilarial densities of 15 mf/mg or more and a nodule load of three to seven onchocercomata. None of the patients could receive any filarial treatment within the previous two years. ")</f>
        <v>Must be between 18-50 years with microfilarial densities of 15 mf/mg or more and a nodule load of three to seven onchocercomata. None of the patients could receive any filarial treatment within the previous two years. </v>
      </c>
      <c r="AY83" s="697" t="str">
        <f>IFERROR(__xludf.DUMMYFUNCTION("""COMPUTED_VALUE"""),"Yes")</f>
        <v>Yes</v>
      </c>
      <c r="AZ83" s="697" t="str">
        <f>IFERROR(__xludf.DUMMYFUNCTION("""COMPUTED_VALUE"""),"No")</f>
        <v>No</v>
      </c>
      <c r="BA83" s="697"/>
      <c r="BB83" s="697"/>
      <c r="BC83" s="697" t="str">
        <f>IFERROR(__xludf.DUMMYFUNCTION("""COMPUTED_VALUE"""),"Ivermectin was much better tolerated than DEC and had a longer lasting effect on the microfilariae in the skin. Since high doses of DEC were less effective and caused more frequent and severe side effects, this approach cannot be recommended for treatment"&amp;" of onchocerciasis.")</f>
        <v>Ivermectin was much better tolerated than DEC and had a longer lasting effect on the microfilariae in the skin. Since high doses of DEC were less effective and caused more frequent and severe side effects, this approach cannot be recommended for treatment of onchocerciasis.</v>
      </c>
      <c r="BD83" s="697" t="str">
        <f>IFERROR(__xludf.DUMMYFUNCTION("""COMPUTED_VALUE"""),"Of all subjects of the study 90% were reexamined after ten months.")</f>
        <v>Of all subjects of the study 90% were reexamined after ten months.</v>
      </c>
      <c r="BE83" s="697"/>
      <c r="BF83" s="697"/>
      <c r="BG83" s="697"/>
    </row>
    <row r="84">
      <c r="A84" s="697"/>
      <c r="B84" s="697" t="str">
        <f>IFERROR(__xludf.DUMMYFUNCTION("""COMPUTED_VALUE"""),"Albiez et al.")</f>
        <v>Albiez et al.</v>
      </c>
      <c r="C84" s="697" t="str">
        <f>IFERROR(__xludf.DUMMYFUNCTION("""COMPUTED_VALUE"""),"Liberia")</f>
        <v>Liberia</v>
      </c>
      <c r="D84" s="697" t="str">
        <f>IFERROR(__xludf.DUMMYFUNCTION("""COMPUTED_VALUE"""),"DEC lotion II")</f>
        <v>DEC lotion II</v>
      </c>
      <c r="E84" s="697" t="str">
        <f>IFERROR(__xludf.DUMMYFUNCTION("""COMPUTED_VALUE"""),"30 mg/kg")</f>
        <v>30 mg/kg</v>
      </c>
      <c r="F84" s="697">
        <f>IFERROR(__xludf.DUMMYFUNCTION("""COMPUTED_VALUE"""),7.0)</f>
        <v>7</v>
      </c>
      <c r="G84" s="697" t="str">
        <f>IFERROR(__xludf.DUMMYFUNCTION("""COMPUTED_VALUE"""),"210 mg/kg ")</f>
        <v>210 mg/kg </v>
      </c>
      <c r="H84" s="697"/>
      <c r="I84" s="697"/>
      <c r="J84" s="697"/>
      <c r="K84" s="697"/>
      <c r="L84" s="698">
        <f>IFERROR(__xludf.DUMMYFUNCTION("""COMPUTED_VALUE"""),0.9375)</f>
        <v>0.9375</v>
      </c>
      <c r="M84" s="697"/>
      <c r="N84" s="698">
        <f>IFERROR(__xludf.DUMMYFUNCTION("""COMPUTED_VALUE"""),0.9896)</f>
        <v>0.9896</v>
      </c>
      <c r="O84" s="697"/>
      <c r="P84" s="697"/>
      <c r="Q84" s="698">
        <f>IFERROR(__xludf.DUMMYFUNCTION("""COMPUTED_VALUE"""),0.9583)</f>
        <v>0.9583</v>
      </c>
      <c r="R84" s="697"/>
      <c r="S84" s="697"/>
      <c r="T84" s="697"/>
      <c r="U84" s="697"/>
      <c r="V84" s="697"/>
      <c r="W84" s="698">
        <f>IFERROR(__xludf.DUMMYFUNCTION("""COMPUTED_VALUE"""),0.8125)</f>
        <v>0.8125</v>
      </c>
      <c r="X84" s="697"/>
      <c r="Y84" s="697"/>
      <c r="Z84" s="697"/>
      <c r="AA84" s="697"/>
      <c r="AB84" s="697"/>
      <c r="AC84" s="697"/>
      <c r="AD84" s="697"/>
      <c r="AE84" s="697" t="str">
        <f>IFERROR(__xludf.DUMMYFUNCTION("""COMPUTED_VALUE"""),"n/a")</f>
        <v>n/a</v>
      </c>
      <c r="AF84" s="697"/>
      <c r="AG84" s="697"/>
      <c r="AH84" s="697"/>
      <c r="AI84" s="697"/>
      <c r="AJ84" s="697"/>
      <c r="AK84" s="697"/>
      <c r="AL84" s="697"/>
      <c r="AM84" s="697"/>
      <c r="AN84" s="698">
        <f>IFERROR(__xludf.DUMMYFUNCTION("""COMPUTED_VALUE"""),0.9583)</f>
        <v>0.9583</v>
      </c>
      <c r="AO84" s="698">
        <f>IFERROR(__xludf.DUMMYFUNCTION("""COMPUTED_VALUE"""),0.9583)</f>
        <v>0.9583</v>
      </c>
      <c r="AP84" s="697" t="str">
        <f>IFERROR(__xludf.DUMMYFUNCTION("""COMPUTED_VALUE"""),"Mf reduction")</f>
        <v>Mf reduction</v>
      </c>
      <c r="AQ84" s="697" t="str">
        <f>IFERROR(__xludf.DUMMYFUNCTION("""COMPUTED_VALUE"""),"Liberian rainforest")</f>
        <v>Liberian rainforest</v>
      </c>
      <c r="AR84" s="697">
        <f>IFERROR(__xludf.DUMMYFUNCTION("""COMPUTED_VALUE"""),1988.0)</f>
        <v>1988</v>
      </c>
      <c r="AS84" s="697">
        <f>IFERROR(__xludf.DUMMYFUNCTION("""COMPUTED_VALUE"""),8.0)</f>
        <v>8</v>
      </c>
      <c r="AT84" s="697" t="str">
        <f>IFERROR(__xludf.DUMMYFUNCTION("""COMPUTED_VALUE"""),"10 months")</f>
        <v>10 months</v>
      </c>
      <c r="AU84" s="699" t="str">
        <f>IFERROR(__xludf.DUMMYFUNCTION("""COMPUTED_VALUE"""),"Albiez, E.J.; Newland, H.S.; White, A.T.; Kaiser, A.; Greene B.M.; Taylor, H.R.; Büttner, D.W. (1988) Chemotherapy of onchocerciasis with high doses of diethylcarbamazine or a single dose of ivermectin: microfilaria levels and side effects. Trop Med Paras"&amp;"it 39: 19-24. ")</f>
        <v>Albiez, E.J.; Newland, H.S.; White, A.T.; Kaiser, A.; Greene B.M.; Taylor, H.R.; Büttner, D.W. (1988) Chemotherapy of onchocerciasis with high doses of diethylcarbamazine or a single dose of ivermectin: microfilaria levels and side effects. Trop Med Parasit 39: 19-24. </v>
      </c>
      <c r="AV84" s="697" t="str">
        <f>IFERROR(__xludf.DUMMYFUNCTION("""COMPUTED_VALUE"""),"M")</f>
        <v>M</v>
      </c>
      <c r="AW84" s="697" t="str">
        <f>IFERROR(__xludf.DUMMYFUNCTION("""COMPUTED_VALUE"""),"18-50 years")</f>
        <v>18-50 years</v>
      </c>
      <c r="AX84" s="697" t="str">
        <f>IFERROR(__xludf.DUMMYFUNCTION("""COMPUTED_VALUE"""),"Must be between 18-50 years with microfilarial densities of 15 mf/mg or more and a nodule load of three to seven onchocercomata. None of the patients could receive any filarial treatment within the previous two years. ")</f>
        <v>Must be between 18-50 years with microfilarial densities of 15 mf/mg or more and a nodule load of three to seven onchocercomata. None of the patients could receive any filarial treatment within the previous two years. </v>
      </c>
      <c r="AY84" s="697" t="str">
        <f>IFERROR(__xludf.DUMMYFUNCTION("""COMPUTED_VALUE"""),"Yes")</f>
        <v>Yes</v>
      </c>
      <c r="AZ84" s="697" t="str">
        <f>IFERROR(__xludf.DUMMYFUNCTION("""COMPUTED_VALUE"""),"No")</f>
        <v>No</v>
      </c>
      <c r="BA84" s="697"/>
      <c r="BB84" s="697"/>
      <c r="BC84" s="697" t="str">
        <f>IFERROR(__xludf.DUMMYFUNCTION("""COMPUTED_VALUE"""),"Ivermectin was much better tolerated than DEC and had a longer lasting effect on the microfilariae in the skin. Since high doses of DEC were less effective and caused more frequent and severe side effects, this approach cannot be recommended for treatment"&amp;" of onchocerciasis.")</f>
        <v>Ivermectin was much better tolerated than DEC and had a longer lasting effect on the microfilariae in the skin. Since high doses of DEC were less effective and caused more frequent and severe side effects, this approach cannot be recommended for treatment of onchocerciasis.</v>
      </c>
      <c r="BD84" s="697" t="str">
        <f>IFERROR(__xludf.DUMMYFUNCTION("""COMPUTED_VALUE"""),"Of all subjects of the study 90% were reexamined after ten months.")</f>
        <v>Of all subjects of the study 90% were reexamined after ten months.</v>
      </c>
      <c r="BE84" s="697"/>
      <c r="BF84" s="697"/>
      <c r="BG84" s="697"/>
    </row>
    <row r="85">
      <c r="A85" s="697"/>
      <c r="B85" s="697" t="str">
        <f>IFERROR(__xludf.DUMMYFUNCTION("""COMPUTED_VALUE"""),"Albiez et al.")</f>
        <v>Albiez et al.</v>
      </c>
      <c r="C85" s="697" t="str">
        <f>IFERROR(__xludf.DUMMYFUNCTION("""COMPUTED_VALUE"""),"Liberia")</f>
        <v>Liberia</v>
      </c>
      <c r="D85" s="697" t="str">
        <f>IFERROR(__xludf.DUMMYFUNCTION("""COMPUTED_VALUE"""),"Ivermectin")</f>
        <v>Ivermectin</v>
      </c>
      <c r="E85" s="697" t="str">
        <f>IFERROR(__xludf.DUMMYFUNCTION("""COMPUTED_VALUE"""),"150 ug/kg")</f>
        <v>150 ug/kg</v>
      </c>
      <c r="F85" s="697">
        <f>IFERROR(__xludf.DUMMYFUNCTION("""COMPUTED_VALUE"""),1.0)</f>
        <v>1</v>
      </c>
      <c r="G85" s="697" t="str">
        <f>IFERROR(__xludf.DUMMYFUNCTION("""COMPUTED_VALUE"""),"150 ug/kg")</f>
        <v>150 ug/kg</v>
      </c>
      <c r="H85" s="697"/>
      <c r="I85" s="697"/>
      <c r="J85" s="700">
        <f>IFERROR(__xludf.DUMMYFUNCTION("""COMPUTED_VALUE"""),0.75)</f>
        <v>0.75</v>
      </c>
      <c r="K85" s="697"/>
      <c r="L85" s="697"/>
      <c r="M85" s="697"/>
      <c r="N85" s="698">
        <f>IFERROR(__xludf.DUMMYFUNCTION("""COMPUTED_VALUE"""),0.9886)</f>
        <v>0.9886</v>
      </c>
      <c r="O85" s="697"/>
      <c r="P85" s="697"/>
      <c r="Q85" s="698">
        <f>IFERROR(__xludf.DUMMYFUNCTION("""COMPUTED_VALUE"""),0.9886)</f>
        <v>0.9886</v>
      </c>
      <c r="R85" s="697"/>
      <c r="S85" s="697"/>
      <c r="T85" s="697"/>
      <c r="U85" s="697"/>
      <c r="V85" s="697"/>
      <c r="W85" s="698">
        <f>IFERROR(__xludf.DUMMYFUNCTION("""COMPUTED_VALUE"""),0.9318)</f>
        <v>0.9318</v>
      </c>
      <c r="X85" s="697"/>
      <c r="Y85" s="697"/>
      <c r="Z85" s="697"/>
      <c r="AA85" s="697"/>
      <c r="AB85" s="697"/>
      <c r="AC85" s="697"/>
      <c r="AD85" s="697"/>
      <c r="AE85" s="697" t="str">
        <f>IFERROR(__xludf.DUMMYFUNCTION("""COMPUTED_VALUE"""),"n/a")</f>
        <v>n/a</v>
      </c>
      <c r="AF85" s="697"/>
      <c r="AG85" s="697"/>
      <c r="AH85" s="697"/>
      <c r="AI85" s="697"/>
      <c r="AJ85" s="697"/>
      <c r="AK85" s="697"/>
      <c r="AL85" s="697"/>
      <c r="AM85" s="697"/>
      <c r="AN85" s="698">
        <f>IFERROR(__xludf.DUMMYFUNCTION("""COMPUTED_VALUE"""),0.9886)</f>
        <v>0.9886</v>
      </c>
      <c r="AO85" s="698">
        <f>IFERROR(__xludf.DUMMYFUNCTION("""COMPUTED_VALUE"""),0.9886)</f>
        <v>0.9886</v>
      </c>
      <c r="AP85" s="697" t="str">
        <f>IFERROR(__xludf.DUMMYFUNCTION("""COMPUTED_VALUE"""),"Mf reduction")</f>
        <v>Mf reduction</v>
      </c>
      <c r="AQ85" s="697" t="str">
        <f>IFERROR(__xludf.DUMMYFUNCTION("""COMPUTED_VALUE"""),"Liberian rainforest")</f>
        <v>Liberian rainforest</v>
      </c>
      <c r="AR85" s="697">
        <f>IFERROR(__xludf.DUMMYFUNCTION("""COMPUTED_VALUE"""),1988.0)</f>
        <v>1988</v>
      </c>
      <c r="AS85" s="697">
        <f>IFERROR(__xludf.DUMMYFUNCTION("""COMPUTED_VALUE"""),10.0)</f>
        <v>10</v>
      </c>
      <c r="AT85" s="697" t="str">
        <f>IFERROR(__xludf.DUMMYFUNCTION("""COMPUTED_VALUE"""),"10 months")</f>
        <v>10 months</v>
      </c>
      <c r="AU85" s="699" t="str">
        <f>IFERROR(__xludf.DUMMYFUNCTION("""COMPUTED_VALUE"""),"Albiez, E.J.; Newland, H.S.; White, A.T.; Kaiser, A.; Greene B.M.; Taylor, H.R.; Büttner, D.W. (1988) Chemotherapy of onchocerciasis with high doses of diethylcarbamazine or a single dose of ivermectin: microfilaria levels and side effects. Trop Med Paras"&amp;"it 39: 19-24. ")</f>
        <v>Albiez, E.J.; Newland, H.S.; White, A.T.; Kaiser, A.; Greene B.M.; Taylor, H.R.; Büttner, D.W. (1988) Chemotherapy of onchocerciasis with high doses of diethylcarbamazine or a single dose of ivermectin: microfilaria levels and side effects. Trop Med Parasit 39: 19-24. </v>
      </c>
      <c r="AV85" s="697" t="str">
        <f>IFERROR(__xludf.DUMMYFUNCTION("""COMPUTED_VALUE"""),"M")</f>
        <v>M</v>
      </c>
      <c r="AW85" s="697" t="str">
        <f>IFERROR(__xludf.DUMMYFUNCTION("""COMPUTED_VALUE"""),"18-50 years")</f>
        <v>18-50 years</v>
      </c>
      <c r="AX85" s="697" t="str">
        <f>IFERROR(__xludf.DUMMYFUNCTION("""COMPUTED_VALUE"""),"Must be between 18-50 years with microfilarial densities of 15 mf/mg or more and a nodule load of three to seven onchocercomata. None of the patients could receive any filarial treatment within the previous two years. ")</f>
        <v>Must be between 18-50 years with microfilarial densities of 15 mf/mg or more and a nodule load of three to seven onchocercomata. None of the patients could receive any filarial treatment within the previous two years. </v>
      </c>
      <c r="AY85" s="697" t="str">
        <f>IFERROR(__xludf.DUMMYFUNCTION("""COMPUTED_VALUE"""),"Yes")</f>
        <v>Yes</v>
      </c>
      <c r="AZ85" s="697" t="str">
        <f>IFERROR(__xludf.DUMMYFUNCTION("""COMPUTED_VALUE"""),"No")</f>
        <v>No</v>
      </c>
      <c r="BA85" s="697"/>
      <c r="BB85" s="697"/>
      <c r="BC85" s="697" t="str">
        <f>IFERROR(__xludf.DUMMYFUNCTION("""COMPUTED_VALUE"""),"Ivermectin was much better tolerated than DEC and had a longer lasting effect on the microfilariae in the skin. Since high doses of DEC were less effective and caused more frequent and severe side effects, this approach cannot be recommended for treatment"&amp;" of onchocerciasis.")</f>
        <v>Ivermectin was much better tolerated than DEC and had a longer lasting effect on the microfilariae in the skin. Since high doses of DEC were less effective and caused more frequent and severe side effects, this approach cannot be recommended for treatment of onchocerciasis.</v>
      </c>
      <c r="BD85" s="697" t="str">
        <f>IFERROR(__xludf.DUMMYFUNCTION("""COMPUTED_VALUE"""),"Of all subjects of the study 90% were reexamined after ten months.")</f>
        <v>Of all subjects of the study 90% were reexamined after ten months.</v>
      </c>
      <c r="BE85" s="697"/>
      <c r="BF85" s="697"/>
      <c r="BG85" s="697"/>
    </row>
    <row r="86">
      <c r="A86" s="697"/>
      <c r="B86" s="697" t="str">
        <f>IFERROR(__xludf.DUMMYFUNCTION("""COMPUTED_VALUE"""),"Albiez et al.")</f>
        <v>Albiez et al.</v>
      </c>
      <c r="C86" s="697" t="str">
        <f>IFERROR(__xludf.DUMMYFUNCTION("""COMPUTED_VALUE"""),"Liberia")</f>
        <v>Liberia</v>
      </c>
      <c r="D86" s="697" t="str">
        <f>IFERROR(__xludf.DUMMYFUNCTION("""COMPUTED_VALUE"""),"Placebo")</f>
        <v>Placebo</v>
      </c>
      <c r="E86" s="697"/>
      <c r="F86" s="697"/>
      <c r="G86" s="697"/>
      <c r="H86" s="697"/>
      <c r="I86" s="697"/>
      <c r="J86" s="697" t="str">
        <f>IFERROR(__xludf.DUMMYFUNCTION("""COMPUTED_VALUE"""),"Increase of 54.76%")</f>
        <v>Increase of 54.76%</v>
      </c>
      <c r="K86" s="697"/>
      <c r="L86" s="697"/>
      <c r="M86" s="697"/>
      <c r="N86" s="697"/>
      <c r="O86" s="697"/>
      <c r="P86" s="697"/>
      <c r="Q86" s="700">
        <f>IFERROR(__xludf.DUMMYFUNCTION("""COMPUTED_VALUE"""),0.31)</f>
        <v>0.31</v>
      </c>
      <c r="R86" s="697"/>
      <c r="S86" s="697"/>
      <c r="T86" s="697"/>
      <c r="U86" s="697"/>
      <c r="V86" s="697"/>
      <c r="W86" s="698">
        <f>IFERROR(__xludf.DUMMYFUNCTION("""COMPUTED_VALUE"""),0.5476)</f>
        <v>0.5476</v>
      </c>
      <c r="X86" s="697"/>
      <c r="Y86" s="697"/>
      <c r="Z86" s="697"/>
      <c r="AA86" s="697"/>
      <c r="AB86" s="697"/>
      <c r="AC86" s="697"/>
      <c r="AD86" s="697"/>
      <c r="AE86" s="697" t="str">
        <f>IFERROR(__xludf.DUMMYFUNCTION("""COMPUTED_VALUE"""),"n/a")</f>
        <v>n/a</v>
      </c>
      <c r="AF86" s="697"/>
      <c r="AG86" s="697"/>
      <c r="AH86" s="697"/>
      <c r="AI86" s="697"/>
      <c r="AJ86" s="697"/>
      <c r="AK86" s="697"/>
      <c r="AL86" s="697"/>
      <c r="AM86" s="697"/>
      <c r="AN86" s="700">
        <f>IFERROR(__xludf.DUMMYFUNCTION("""COMPUTED_VALUE"""),0.31)</f>
        <v>0.31</v>
      </c>
      <c r="AO86" s="698">
        <f>IFERROR(__xludf.DUMMYFUNCTION("""COMPUTED_VALUE"""),0.31)</f>
        <v>0.31</v>
      </c>
      <c r="AP86" s="697" t="str">
        <f>IFERROR(__xludf.DUMMYFUNCTION("""COMPUTED_VALUE"""),"Mf reduction")</f>
        <v>Mf reduction</v>
      </c>
      <c r="AQ86" s="697" t="str">
        <f>IFERROR(__xludf.DUMMYFUNCTION("""COMPUTED_VALUE"""),"Liberian rainforest")</f>
        <v>Liberian rainforest</v>
      </c>
      <c r="AR86" s="697">
        <f>IFERROR(__xludf.DUMMYFUNCTION("""COMPUTED_VALUE"""),1988.0)</f>
        <v>1988</v>
      </c>
      <c r="AS86" s="697">
        <f>IFERROR(__xludf.DUMMYFUNCTION("""COMPUTED_VALUE"""),10.0)</f>
        <v>10</v>
      </c>
      <c r="AT86" s="697" t="str">
        <f>IFERROR(__xludf.DUMMYFUNCTION("""COMPUTED_VALUE"""),"10 months")</f>
        <v>10 months</v>
      </c>
      <c r="AU86" s="699" t="str">
        <f>IFERROR(__xludf.DUMMYFUNCTION("""COMPUTED_VALUE"""),"Albiez, E.J.; Newland, H.S.; White, A.T.; Kaiser, A.; Greene B.M.; Taylor, H.R.; Büttner, D.W. (1988) Chemotherapy of onchocerciasis with high doses of diethylcarbamazine or a single dose of ivermectin: microfilaria levels and side effects. Trop Med Paras"&amp;"it 39: 19-24. ")</f>
        <v>Albiez, E.J.; Newland, H.S.; White, A.T.; Kaiser, A.; Greene B.M.; Taylor, H.R.; Büttner, D.W. (1988) Chemotherapy of onchocerciasis with high doses of diethylcarbamazine or a single dose of ivermectin: microfilaria levels and side effects. Trop Med Parasit 39: 19-24. </v>
      </c>
      <c r="AV86" s="697" t="str">
        <f>IFERROR(__xludf.DUMMYFUNCTION("""COMPUTED_VALUE"""),"M")</f>
        <v>M</v>
      </c>
      <c r="AW86" s="697" t="str">
        <f>IFERROR(__xludf.DUMMYFUNCTION("""COMPUTED_VALUE"""),"18-50 years")</f>
        <v>18-50 years</v>
      </c>
      <c r="AX86" s="697" t="str">
        <f>IFERROR(__xludf.DUMMYFUNCTION("""COMPUTED_VALUE"""),"Must be between 18-50 years with microfilarial densities of 15 mf/mg or more and a nodule load of three to seven onchocercomata. None of the patients could receive any filarial treatment within the previous two years. ")</f>
        <v>Must be between 18-50 years with microfilarial densities of 15 mf/mg or more and a nodule load of three to seven onchocercomata. None of the patients could receive any filarial treatment within the previous two years. </v>
      </c>
      <c r="AY86" s="697" t="str">
        <f>IFERROR(__xludf.DUMMYFUNCTION("""COMPUTED_VALUE"""),"Yes")</f>
        <v>Yes</v>
      </c>
      <c r="AZ86" s="697" t="str">
        <f>IFERROR(__xludf.DUMMYFUNCTION("""COMPUTED_VALUE"""),"No")</f>
        <v>No</v>
      </c>
      <c r="BA86" s="697"/>
      <c r="BB86" s="697"/>
      <c r="BC86" s="697" t="str">
        <f>IFERROR(__xludf.DUMMYFUNCTION("""COMPUTED_VALUE"""),"Ivermectin was much better tolerated than DEC and had a longer lasting effect on the microfilariae in the skin. Since high doses of DEC were less effective and caused more frequent and severe side effects, this approach cannot be recommended for treatment"&amp;" of onchocerciasis.")</f>
        <v>Ivermectin was much better tolerated than DEC and had a longer lasting effect on the microfilariae in the skin. Since high doses of DEC were less effective and caused more frequent and severe side effects, this approach cannot be recommended for treatment of onchocerciasis.</v>
      </c>
      <c r="BD86" s="697" t="str">
        <f>IFERROR(__xludf.DUMMYFUNCTION("""COMPUTED_VALUE"""),"Of all subjects of the study 90% were reexamined after ten months.")</f>
        <v>Of all subjects of the study 90% were reexamined after ten months.</v>
      </c>
      <c r="BE86" s="697"/>
      <c r="BF86" s="697"/>
      <c r="BG86" s="697"/>
    </row>
    <row r="87">
      <c r="A87" s="697"/>
      <c r="B87" s="697" t="str">
        <f>IFERROR(__xludf.DUMMYFUNCTION("""COMPUTED_VALUE"""),"Taylor et al. ")</f>
        <v>Taylor et al. </v>
      </c>
      <c r="C87" s="697" t="str">
        <f>IFERROR(__xludf.DUMMYFUNCTION("""COMPUTED_VALUE"""),"Liberia")</f>
        <v>Liberia</v>
      </c>
      <c r="D87" s="697" t="str">
        <f>IFERROR(__xludf.DUMMYFUNCTION("""COMPUTED_VALUE"""),"Ivermectin")</f>
        <v>Ivermectin</v>
      </c>
      <c r="E87" s="697" t="str">
        <f>IFERROR(__xludf.DUMMYFUNCTION("""COMPUTED_VALUE"""),"200 ug/kg")</f>
        <v>200 ug/kg</v>
      </c>
      <c r="F87" s="697">
        <f>IFERROR(__xludf.DUMMYFUNCTION("""COMPUTED_VALUE"""),1.0)</f>
        <v>1</v>
      </c>
      <c r="G87" s="697" t="str">
        <f>IFERROR(__xludf.DUMMYFUNCTION("""COMPUTED_VALUE"""),"200 ug/kg")</f>
        <v>200 ug/kg</v>
      </c>
      <c r="H87" s="697"/>
      <c r="I87" s="697"/>
      <c r="J87" s="697"/>
      <c r="K87" s="697"/>
      <c r="L87" s="697"/>
      <c r="M87" s="697"/>
      <c r="N87" s="698">
        <f>IFERROR(__xludf.DUMMYFUNCTION("""COMPUTED_VALUE"""),0.9776)</f>
        <v>0.9776</v>
      </c>
      <c r="O87" s="697"/>
      <c r="P87" s="697"/>
      <c r="Q87" s="698">
        <f>IFERROR(__xludf.DUMMYFUNCTION("""COMPUTED_VALUE"""),0.9664)</f>
        <v>0.9664</v>
      </c>
      <c r="R87" s="697"/>
      <c r="S87" s="698">
        <f>IFERROR(__xludf.DUMMYFUNCTION("""COMPUTED_VALUE"""),0.856)</f>
        <v>0.856</v>
      </c>
      <c r="T87" s="697"/>
      <c r="U87" s="697"/>
      <c r="V87" s="697"/>
      <c r="W87" s="698">
        <f>IFERROR(__xludf.DUMMYFUNCTION("""COMPUTED_VALUE"""),0.7776)</f>
        <v>0.7776</v>
      </c>
      <c r="X87" s="697"/>
      <c r="Y87" s="697"/>
      <c r="Z87" s="697"/>
      <c r="AA87" s="697"/>
      <c r="AB87" s="697"/>
      <c r="AC87" s="697"/>
      <c r="AD87" s="697"/>
      <c r="AE87" s="697" t="str">
        <f>IFERROR(__xludf.DUMMYFUNCTION("""COMPUTED_VALUE"""),"n/a")</f>
        <v>n/a</v>
      </c>
      <c r="AF87" s="697"/>
      <c r="AG87" s="697"/>
      <c r="AH87" s="697"/>
      <c r="AI87" s="697"/>
      <c r="AJ87" s="697"/>
      <c r="AK87" s="697"/>
      <c r="AL87" s="697"/>
      <c r="AM87" s="697"/>
      <c r="AN87" s="698">
        <f>IFERROR(__xludf.DUMMYFUNCTION("""COMPUTED_VALUE"""),0.856)</f>
        <v>0.856</v>
      </c>
      <c r="AO87" s="698">
        <f>IFERROR(__xludf.DUMMYFUNCTION("""COMPUTED_VALUE"""),0.856)</f>
        <v>0.856</v>
      </c>
      <c r="AP87" s="697" t="str">
        <f>IFERROR(__xludf.DUMMYFUNCTION("""COMPUTED_VALUE"""),"Mf reduction")</f>
        <v>Mf reduction</v>
      </c>
      <c r="AQ87" s="697" t="str">
        <f>IFERROR(__xludf.DUMMYFUNCTION("""COMPUTED_VALUE"""),"Rainforest ")</f>
        <v>Rainforest </v>
      </c>
      <c r="AR87" s="697">
        <f>IFERROR(__xludf.DUMMYFUNCTION("""COMPUTED_VALUE"""),1986.0)</f>
        <v>1986</v>
      </c>
      <c r="AS87" s="697">
        <f>IFERROR(__xludf.DUMMYFUNCTION("""COMPUTED_VALUE"""),6.0)</f>
        <v>6</v>
      </c>
      <c r="AT87" s="697" t="str">
        <f>IFERROR(__xludf.DUMMYFUNCTION("""COMPUTED_VALUE"""),"1 year")</f>
        <v>1 year</v>
      </c>
      <c r="AU87" s="699" t="str">
        <f>IFERROR(__xludf.DUMMYFUNCTION("""COMPUTED_VALUE"""),"Taylor, H.R.; Murphy, R.P.; Newland, H.S.; White, A.T.;Salvatore, A. D.; Kayvan-Larijani, E.; Aziz, M.A.; Cupp, E.W.; Greene, B.M. (1986) Treatment of Onchocerciasis: The Ocular Effects of Ivermectin and Diethylcarbamazine. Arch Opthalmol 104:863-870.")</f>
        <v>Taylor, H.R.; Murphy, R.P.; Newland, H.S.; White, A.T.;Salvatore, A. D.; Kayvan-Larijani, E.; Aziz, M.A.; Cupp, E.W.; Greene, B.M. (1986) Treatment of Onchocerciasis: The Ocular Effects of Ivermectin and Diethylcarbamazine. Arch Opthalmol 104:863-870.</v>
      </c>
      <c r="AV87" s="697" t="str">
        <f>IFERROR(__xludf.DUMMYFUNCTION("""COMPUTED_VALUE"""),"M")</f>
        <v>M</v>
      </c>
      <c r="AW87" s="697" t="str">
        <f>IFERROR(__xludf.DUMMYFUNCTION("""COMPUTED_VALUE"""),"19-45 yrs old.")</f>
        <v>19-45 yrs old.</v>
      </c>
      <c r="AX87" s="697" t="str">
        <f>IFERROR(__xludf.DUMMYFUNCTION("""COMPUTED_VALUE"""),"Males with moderate to high semiquantitative microfilaria counts, palpable nodules, and intraocular microfilariae.")</f>
        <v>Males with moderate to high semiquantitative microfilaria counts, palpable nodules, and intraocular microfilariae.</v>
      </c>
      <c r="AY87" s="697" t="str">
        <f>IFERROR(__xludf.DUMMYFUNCTION("""COMPUTED_VALUE"""),"Yes")</f>
        <v>Yes</v>
      </c>
      <c r="AZ87" s="697" t="str">
        <f>IFERROR(__xludf.DUMMYFUNCTION("""COMPUTED_VALUE"""),"Yes")</f>
        <v>Yes</v>
      </c>
      <c r="BA87" s="697"/>
      <c r="BB87" s="697"/>
      <c r="BC87" s="697" t="str">
        <f>IFERROR(__xludf.DUMMYFUNCTION("""COMPUTED_VALUE"""),"Ivermectin appears to be well tolerated and effective against O volvulus in humans, and its use is associated with few ocular changes and has less of a mobilizing effect than DEC.")</f>
        <v>Ivermectin appears to be well tolerated and effective against O volvulus in humans, and its use is associated with few ocular changes and has less of a mobilizing effect than DEC.</v>
      </c>
      <c r="BD87" s="697" t="str">
        <f>IFERROR(__xludf.DUMMYFUNCTION("""COMPUTED_VALUE"""),"At the three-month examination, 3 men in the placebo group and 2 men in the placebo group were absent; at the six-month examination, 3 men in the ivermectin group and one in the placebo group were absent.")</f>
        <v>At the three-month examination, 3 men in the placebo group and 2 men in the placebo group were absent; at the six-month examination, 3 men in the ivermectin group and one in the placebo group were absent.</v>
      </c>
      <c r="BE87" s="697"/>
      <c r="BF87" s="697"/>
      <c r="BG87" s="697"/>
    </row>
    <row r="88">
      <c r="A88" s="697"/>
      <c r="B88" s="697" t="str">
        <f>IFERROR(__xludf.DUMMYFUNCTION("""COMPUTED_VALUE"""),"Taylor et al. ")</f>
        <v>Taylor et al. </v>
      </c>
      <c r="C88" s="697" t="str">
        <f>IFERROR(__xludf.DUMMYFUNCTION("""COMPUTED_VALUE"""),"Liberia")</f>
        <v>Liberia</v>
      </c>
      <c r="D88" s="697" t="str">
        <f>IFERROR(__xludf.DUMMYFUNCTION("""COMPUTED_VALUE"""),"DEC")</f>
        <v>DEC</v>
      </c>
      <c r="E88" s="697" t="str">
        <f>IFERROR(__xludf.DUMMYFUNCTION("""COMPUTED_VALUE"""),"50mg, 100mg")</f>
        <v>50mg, 100mg</v>
      </c>
      <c r="F88" s="703">
        <f>IFERROR(__xludf.DUMMYFUNCTION("""COMPUTED_VALUE"""),42412.0)</f>
        <v>42412</v>
      </c>
      <c r="G88" s="697" t="str">
        <f>IFERROR(__xludf.DUMMYFUNCTION("""COMPUTED_VALUE"""),"1300mg")</f>
        <v>1300mg</v>
      </c>
      <c r="H88" s="697"/>
      <c r="I88" s="697"/>
      <c r="J88" s="697"/>
      <c r="K88" s="697"/>
      <c r="L88" s="697"/>
      <c r="M88" s="697"/>
      <c r="N88" s="698">
        <f>IFERROR(__xludf.DUMMYFUNCTION("""COMPUTED_VALUE"""),0.9383)</f>
        <v>0.9383</v>
      </c>
      <c r="O88" s="697"/>
      <c r="P88" s="697"/>
      <c r="Q88" s="698">
        <f>IFERROR(__xludf.DUMMYFUNCTION("""COMPUTED_VALUE"""),0.8052)</f>
        <v>0.8052</v>
      </c>
      <c r="R88" s="697"/>
      <c r="S88" s="698">
        <f>IFERROR(__xludf.DUMMYFUNCTION("""COMPUTED_VALUE"""),0.6071)</f>
        <v>0.6071</v>
      </c>
      <c r="T88" s="697"/>
      <c r="U88" s="697"/>
      <c r="V88" s="697"/>
      <c r="W88" s="698">
        <f>IFERROR(__xludf.DUMMYFUNCTION("""COMPUTED_VALUE"""),0.5909)</f>
        <v>0.5909</v>
      </c>
      <c r="X88" s="697"/>
      <c r="Y88" s="697"/>
      <c r="Z88" s="697"/>
      <c r="AA88" s="697"/>
      <c r="AB88" s="697"/>
      <c r="AC88" s="697"/>
      <c r="AD88" s="697"/>
      <c r="AE88" s="697" t="str">
        <f>IFERROR(__xludf.DUMMYFUNCTION("""COMPUTED_VALUE"""),"n/a")</f>
        <v>n/a</v>
      </c>
      <c r="AF88" s="697"/>
      <c r="AG88" s="697"/>
      <c r="AH88" s="697"/>
      <c r="AI88" s="697"/>
      <c r="AJ88" s="697"/>
      <c r="AK88" s="697"/>
      <c r="AL88" s="697"/>
      <c r="AM88" s="697"/>
      <c r="AN88" s="698">
        <f>IFERROR(__xludf.DUMMYFUNCTION("""COMPUTED_VALUE"""),0.6071)</f>
        <v>0.6071</v>
      </c>
      <c r="AO88" s="698">
        <f>IFERROR(__xludf.DUMMYFUNCTION("""COMPUTED_VALUE"""),0.6071)</f>
        <v>0.6071</v>
      </c>
      <c r="AP88" s="697" t="str">
        <f>IFERROR(__xludf.DUMMYFUNCTION("""COMPUTED_VALUE"""),"Mf reduction")</f>
        <v>Mf reduction</v>
      </c>
      <c r="AQ88" s="697" t="str">
        <f>IFERROR(__xludf.DUMMYFUNCTION("""COMPUTED_VALUE"""),"Rainforest ")</f>
        <v>Rainforest </v>
      </c>
      <c r="AR88" s="697">
        <f>IFERROR(__xludf.DUMMYFUNCTION("""COMPUTED_VALUE"""),1986.0)</f>
        <v>1986</v>
      </c>
      <c r="AS88" s="697">
        <f>IFERROR(__xludf.DUMMYFUNCTION("""COMPUTED_VALUE"""),7.0)</f>
        <v>7</v>
      </c>
      <c r="AT88" s="697" t="str">
        <f>IFERROR(__xludf.DUMMYFUNCTION("""COMPUTED_VALUE"""),"1 year")</f>
        <v>1 year</v>
      </c>
      <c r="AU88" s="699" t="str">
        <f>IFERROR(__xludf.DUMMYFUNCTION("""COMPUTED_VALUE"""),"Taylor, H.R.; Murphy, R.P.; Newland, H.S.; White, A.T.;Salvatore, A. D.; Kayvan-Larijani, E.; Aziz, M.A.; Cupp, E.W.; Greene, B.M. (1986) Treatment of Onchocerciasis: The Ocular Effects of Ivermectin and Diethylcarbamazine. Arch Opthalmol 104:863-870.")</f>
        <v>Taylor, H.R.; Murphy, R.P.; Newland, H.S.; White, A.T.;Salvatore, A. D.; Kayvan-Larijani, E.; Aziz, M.A.; Cupp, E.W.; Greene, B.M. (1986) Treatment of Onchocerciasis: The Ocular Effects of Ivermectin and Diethylcarbamazine. Arch Opthalmol 104:863-870.</v>
      </c>
      <c r="AV88" s="697" t="str">
        <f>IFERROR(__xludf.DUMMYFUNCTION("""COMPUTED_VALUE"""),"M")</f>
        <v>M</v>
      </c>
      <c r="AW88" s="697" t="str">
        <f>IFERROR(__xludf.DUMMYFUNCTION("""COMPUTED_VALUE"""),"19-45 yrs old.")</f>
        <v>19-45 yrs old.</v>
      </c>
      <c r="AX88" s="697" t="str">
        <f>IFERROR(__xludf.DUMMYFUNCTION("""COMPUTED_VALUE"""),"Males with moderate to high semiquantitative microfilaria counts, palpable nodules, and intraocular microfilariae.")</f>
        <v>Males with moderate to high semiquantitative microfilaria counts, palpable nodules, and intraocular microfilariae.</v>
      </c>
      <c r="AY88" s="697" t="str">
        <f>IFERROR(__xludf.DUMMYFUNCTION("""COMPUTED_VALUE"""),"Yes")</f>
        <v>Yes</v>
      </c>
      <c r="AZ88" s="697" t="str">
        <f>IFERROR(__xludf.DUMMYFUNCTION("""COMPUTED_VALUE"""),"Yes")</f>
        <v>Yes</v>
      </c>
      <c r="BA88" s="697"/>
      <c r="BB88" s="697"/>
      <c r="BC88" s="697" t="str">
        <f>IFERROR(__xludf.DUMMYFUNCTION("""COMPUTED_VALUE"""),"Ivermectin appears to be well tolerated and effective against O volvulus in humans, and its use is associated with few ocular changes and has less of a mobilizing effect than DEC.")</f>
        <v>Ivermectin appears to be well tolerated and effective against O volvulus in humans, and its use is associated with few ocular changes and has less of a mobilizing effect than DEC.</v>
      </c>
      <c r="BD88" s="697" t="str">
        <f>IFERROR(__xludf.DUMMYFUNCTION("""COMPUTED_VALUE"""),"At the three-month examination, 3 men in the placebo group and 2 men in the placebo group were absent; at the six-month examination, 3 men in the ivermectin group and one in the placebo group were absent.")</f>
        <v>At the three-month examination, 3 men in the placebo group and 2 men in the placebo group were absent; at the six-month examination, 3 men in the ivermectin group and one in the placebo group were absent.</v>
      </c>
      <c r="BE88" s="697"/>
      <c r="BF88" s="697"/>
      <c r="BG88" s="697"/>
    </row>
    <row r="89">
      <c r="A89" s="697"/>
      <c r="B89" s="697" t="str">
        <f>IFERROR(__xludf.DUMMYFUNCTION("""COMPUTED_VALUE"""),"Taylor et al. ")</f>
        <v>Taylor et al. </v>
      </c>
      <c r="C89" s="697" t="str">
        <f>IFERROR(__xludf.DUMMYFUNCTION("""COMPUTED_VALUE"""),"Liberia")</f>
        <v>Liberia</v>
      </c>
      <c r="D89" s="697" t="str">
        <f>IFERROR(__xludf.DUMMYFUNCTION("""COMPUTED_VALUE"""),"Placebo")</f>
        <v>Placebo</v>
      </c>
      <c r="E89" s="697"/>
      <c r="F89" s="697"/>
      <c r="G89" s="697"/>
      <c r="H89" s="697"/>
      <c r="I89" s="697"/>
      <c r="J89" s="697"/>
      <c r="K89" s="697"/>
      <c r="L89" s="697"/>
      <c r="M89" s="697"/>
      <c r="N89" s="698">
        <f>IFERROR(__xludf.DUMMYFUNCTION("""COMPUTED_VALUE"""),0.2601)</f>
        <v>0.2601</v>
      </c>
      <c r="O89" s="697"/>
      <c r="P89" s="697"/>
      <c r="Q89" s="698">
        <f>IFERROR(__xludf.DUMMYFUNCTION("""COMPUTED_VALUE"""),0.2673)</f>
        <v>0.2673</v>
      </c>
      <c r="R89" s="697"/>
      <c r="S89" s="698">
        <f>IFERROR(__xludf.DUMMYFUNCTION("""COMPUTED_VALUE"""),0.0215)</f>
        <v>0.0215</v>
      </c>
      <c r="T89" s="697"/>
      <c r="U89" s="697"/>
      <c r="V89" s="697"/>
      <c r="W89" s="698">
        <f>IFERROR(__xludf.DUMMYFUNCTION("""COMPUTED_VALUE"""),0.4081)</f>
        <v>0.4081</v>
      </c>
      <c r="X89" s="697"/>
      <c r="Y89" s="697"/>
      <c r="Z89" s="697"/>
      <c r="AA89" s="697"/>
      <c r="AB89" s="697"/>
      <c r="AC89" s="697"/>
      <c r="AD89" s="697"/>
      <c r="AE89" s="697" t="str">
        <f>IFERROR(__xludf.DUMMYFUNCTION("""COMPUTED_VALUE"""),"n/a")</f>
        <v>n/a</v>
      </c>
      <c r="AF89" s="697"/>
      <c r="AG89" s="697"/>
      <c r="AH89" s="697"/>
      <c r="AI89" s="697"/>
      <c r="AJ89" s="697"/>
      <c r="AK89" s="697"/>
      <c r="AL89" s="697"/>
      <c r="AM89" s="697"/>
      <c r="AN89" s="698">
        <f>IFERROR(__xludf.DUMMYFUNCTION("""COMPUTED_VALUE"""),0.0215)</f>
        <v>0.0215</v>
      </c>
      <c r="AO89" s="698">
        <f>IFERROR(__xludf.DUMMYFUNCTION("""COMPUTED_VALUE"""),0.0215)</f>
        <v>0.0215</v>
      </c>
      <c r="AP89" s="697" t="str">
        <f>IFERROR(__xludf.DUMMYFUNCTION("""COMPUTED_VALUE"""),"Mf reduction")</f>
        <v>Mf reduction</v>
      </c>
      <c r="AQ89" s="697" t="str">
        <f>IFERROR(__xludf.DUMMYFUNCTION("""COMPUTED_VALUE"""),"Rainforest ")</f>
        <v>Rainforest </v>
      </c>
      <c r="AR89" s="697">
        <f>IFERROR(__xludf.DUMMYFUNCTION("""COMPUTED_VALUE"""),1986.0)</f>
        <v>1986</v>
      </c>
      <c r="AS89" s="697">
        <f>IFERROR(__xludf.DUMMYFUNCTION("""COMPUTED_VALUE"""),8.0)</f>
        <v>8</v>
      </c>
      <c r="AT89" s="697" t="str">
        <f>IFERROR(__xludf.DUMMYFUNCTION("""COMPUTED_VALUE"""),"1 year")</f>
        <v>1 year</v>
      </c>
      <c r="AU89" s="699" t="str">
        <f>IFERROR(__xludf.DUMMYFUNCTION("""COMPUTED_VALUE"""),"Taylor, H.R.; Murphy, R.P.; Newland, H.S.; White, A.T.;Salvatore, A. D.; Kayvan-Larijani, E.; Aziz, M.A.; Cupp, E.W.; Greene, B.M. (1986) Treatment of Onchocerciasis: The Ocular Effects of Ivermectin and Diethylcarbamazine. Arch Opthalmol 104:863-870.")</f>
        <v>Taylor, H.R.; Murphy, R.P.; Newland, H.S.; White, A.T.;Salvatore, A. D.; Kayvan-Larijani, E.; Aziz, M.A.; Cupp, E.W.; Greene, B.M. (1986) Treatment of Onchocerciasis: The Ocular Effects of Ivermectin and Diethylcarbamazine. Arch Opthalmol 104:863-870.</v>
      </c>
      <c r="AV89" s="697" t="str">
        <f>IFERROR(__xludf.DUMMYFUNCTION("""COMPUTED_VALUE"""),"M")</f>
        <v>M</v>
      </c>
      <c r="AW89" s="697" t="str">
        <f>IFERROR(__xludf.DUMMYFUNCTION("""COMPUTED_VALUE"""),"19-45 yrs old.")</f>
        <v>19-45 yrs old.</v>
      </c>
      <c r="AX89" s="697" t="str">
        <f>IFERROR(__xludf.DUMMYFUNCTION("""COMPUTED_VALUE"""),"Males with moderate to high semiquantitative microfilaria counts, palpable nodules, and intraocular microfilariae.")</f>
        <v>Males with moderate to high semiquantitative microfilaria counts, palpable nodules, and intraocular microfilariae.</v>
      </c>
      <c r="AY89" s="697" t="str">
        <f>IFERROR(__xludf.DUMMYFUNCTION("""COMPUTED_VALUE"""),"Yes")</f>
        <v>Yes</v>
      </c>
      <c r="AZ89" s="697" t="str">
        <f>IFERROR(__xludf.DUMMYFUNCTION("""COMPUTED_VALUE"""),"Yes")</f>
        <v>Yes</v>
      </c>
      <c r="BA89" s="697"/>
      <c r="BB89" s="697"/>
      <c r="BC89" s="697" t="str">
        <f>IFERROR(__xludf.DUMMYFUNCTION("""COMPUTED_VALUE"""),"Ivermectin appears to be well tolerated and effective against O volvulus in humans, and its use is associated with few ocular changes and has less of a mobilizing effect than DEC.")</f>
        <v>Ivermectin appears to be well tolerated and effective against O volvulus in humans, and its use is associated with few ocular changes and has less of a mobilizing effect than DEC.</v>
      </c>
      <c r="BD89" s="697" t="str">
        <f>IFERROR(__xludf.DUMMYFUNCTION("""COMPUTED_VALUE"""),"At the three-month examination, 3 men in the placebo group and 2 men in the placebo group were absent; at the six-month examination, 3 men in the ivermectin group and one in the placebo group were absent.")</f>
        <v>At the three-month examination, 3 men in the placebo group and 2 men in the placebo group were absent; at the six-month examination, 3 men in the ivermectin group and one in the placebo group were absent.</v>
      </c>
      <c r="BE89" s="697"/>
      <c r="BF89" s="697"/>
      <c r="BG89" s="697"/>
    </row>
    <row r="90">
      <c r="A90" s="697"/>
      <c r="B90" s="697" t="str">
        <f>IFERROR(__xludf.DUMMYFUNCTION("""COMPUTED_VALUE"""),"Greene et al.")</f>
        <v>Greene et al.</v>
      </c>
      <c r="C90" s="697" t="str">
        <f>IFERROR(__xludf.DUMMYFUNCTION("""COMPUTED_VALUE"""),"Liberia")</f>
        <v>Liberia</v>
      </c>
      <c r="D90" s="697" t="str">
        <f>IFERROR(__xludf.DUMMYFUNCTION("""COMPUTED_VALUE"""),"Ivermectin")</f>
        <v>Ivermectin</v>
      </c>
      <c r="E90" s="697" t="str">
        <f>IFERROR(__xludf.DUMMYFUNCTION("""COMPUTED_VALUE"""),"100 ug/kg")</f>
        <v>100 ug/kg</v>
      </c>
      <c r="F90" s="697">
        <f>IFERROR(__xludf.DUMMYFUNCTION("""COMPUTED_VALUE"""),1.0)</f>
        <v>1</v>
      </c>
      <c r="G90" s="697" t="str">
        <f>IFERROR(__xludf.DUMMYFUNCTION("""COMPUTED_VALUE"""),"100 ug/kg")</f>
        <v>100 ug/kg</v>
      </c>
      <c r="H90" s="697"/>
      <c r="I90" s="697"/>
      <c r="J90" s="697"/>
      <c r="K90" s="697"/>
      <c r="L90" s="697"/>
      <c r="M90" s="697"/>
      <c r="N90" s="697"/>
      <c r="O90" s="697"/>
      <c r="P90" s="697"/>
      <c r="Q90" s="697"/>
      <c r="R90" s="697"/>
      <c r="S90" s="698">
        <f>IFERROR(__xludf.DUMMYFUNCTION("""COMPUTED_VALUE"""),0.9441)</f>
        <v>0.9441</v>
      </c>
      <c r="T90" s="698">
        <f>IFERROR(__xludf.DUMMYFUNCTION("""COMPUTED_VALUE"""),0.8994)</f>
        <v>0.8994</v>
      </c>
      <c r="U90" s="697"/>
      <c r="V90" s="697"/>
      <c r="W90" s="698">
        <f>IFERROR(__xludf.DUMMYFUNCTION("""COMPUTED_VALUE"""),0.8324)</f>
        <v>0.8324</v>
      </c>
      <c r="X90" s="697"/>
      <c r="Y90" s="697"/>
      <c r="Z90" s="697"/>
      <c r="AA90" s="697"/>
      <c r="AB90" s="697"/>
      <c r="AC90" s="697"/>
      <c r="AD90" s="697"/>
      <c r="AE90" s="697" t="str">
        <f>IFERROR(__xludf.DUMMYFUNCTION("""COMPUTED_VALUE"""),"n/a")</f>
        <v>n/a</v>
      </c>
      <c r="AF90" s="697"/>
      <c r="AG90" s="697"/>
      <c r="AH90" s="697"/>
      <c r="AI90" s="697"/>
      <c r="AJ90" s="697"/>
      <c r="AK90" s="697"/>
      <c r="AL90" s="697"/>
      <c r="AM90" s="697"/>
      <c r="AN90" s="698">
        <f>IFERROR(__xludf.DUMMYFUNCTION("""COMPUTED_VALUE"""),0.9441)</f>
        <v>0.9441</v>
      </c>
      <c r="AO90" s="698">
        <f>IFERROR(__xludf.DUMMYFUNCTION("""COMPUTED_VALUE"""),0.9441)</f>
        <v>0.9441</v>
      </c>
      <c r="AP90" s="697" t="str">
        <f>IFERROR(__xludf.DUMMYFUNCTION("""COMPUTED_VALUE"""),"Mf reduction")</f>
        <v>Mf reduction</v>
      </c>
      <c r="AQ90" s="697" t="str">
        <f>IFERROR(__xludf.DUMMYFUNCTION("""COMPUTED_VALUE"""),"Grand Bassa County, Liberia ")</f>
        <v>Grand Bassa County, Liberia </v>
      </c>
      <c r="AR90" s="697">
        <f>IFERROR(__xludf.DUMMYFUNCTION("""COMPUTED_VALUE"""),1991.0)</f>
        <v>1991</v>
      </c>
      <c r="AS90" s="697">
        <f>IFERROR(__xludf.DUMMYFUNCTION("""COMPUTED_VALUE"""),49.0)</f>
        <v>49</v>
      </c>
      <c r="AT90" s="697" t="str">
        <f>IFERROR(__xludf.DUMMYFUNCTION("""COMPUTED_VALUE"""),"3 years")</f>
        <v>3 years</v>
      </c>
      <c r="AU90" s="699" t="str">
        <f>IFERROR(__xludf.DUMMYFUNCTION("""COMPUTED_VALUE"""),"Greene, B.M.; Dukuly, Z.D.; Muñoz, B.; White, A.T.; Pacqué, M.; Taylor, H.R. (1991) A Comparison of 6-, 12-, and 24-Monthly Dosing with Ivermectin for Treatment of Onchocerciasis. The Journal of Infectious Diseases 163(2): 376-380.")</f>
        <v>Greene, B.M.; Dukuly, Z.D.; Muñoz, B.; White, A.T.; Pacqué, M.; Taylor, H.R. (1991) A Comparison of 6-, 12-, and 24-Monthly Dosing with Ivermectin for Treatment of Onchocerciasis. The Journal of Infectious Diseases 163(2): 376-380.</v>
      </c>
      <c r="AV90" s="697" t="str">
        <f>IFERROR(__xludf.DUMMYFUNCTION("""COMPUTED_VALUE"""),"FM")</f>
        <v>FM</v>
      </c>
      <c r="AW90" s="697" t="str">
        <f>IFERROR(__xludf.DUMMYFUNCTION("""COMPUTED_VALUE"""),"&gt;12 yrs old")</f>
        <v>&gt;12 yrs old</v>
      </c>
      <c r="AX90" s="697" t="str">
        <f>IFERROR(__xludf.DUMMYFUNCTION("""COMPUTED_VALUE"""),"Liberians with the highest microfilaria counts were selected from 800; all were employees or dependents of employees of the Liberian Agricultural Company. The exclusion criteria included pregnant or lactating women, children &lt;12 years old, persons in poor"&amp;" general physical condition, and persons who had received a course of antifilarial therapy within the previous year.")</f>
        <v>Liberians with the highest microfilaria counts were selected from 800; all were employees or dependents of employees of the Liberian Agricultural Company. The exclusion criteria included pregnant or lactating women, children &lt;12 years old, persons in poor general physical condition, and persons who had received a course of antifilarial therapy within the previous year.</v>
      </c>
      <c r="AY90" s="697" t="str">
        <f>IFERROR(__xludf.DUMMYFUNCTION("""COMPUTED_VALUE"""),"Yes")</f>
        <v>Yes</v>
      </c>
      <c r="AZ90" s="697" t="str">
        <f>IFERROR(__xludf.DUMMYFUNCTION("""COMPUTED_VALUE"""),"Yes")</f>
        <v>Yes</v>
      </c>
      <c r="BA90" s="697"/>
      <c r="BB90" s="697" t="str">
        <f>IFERROR(__xludf.DUMMYFUNCTION("""COMPUTED_VALUE"""),"12 months 3.3 and 2.8 (81.56% and 84.36% reduction); 24 months 3.0 and 5.7 (83.24% and 68.16% reduction); 36 months 1.7 and 0.8 (90.5% and 95.53% reduction)")</f>
        <v>12 months 3.3 and 2.8 (81.56% and 84.36% reduction); 24 months 3.0 and 5.7 (83.24% and 68.16% reduction); 36 months 1.7 and 0.8 (90.5% and 95.53% reduction)</v>
      </c>
      <c r="BC90" s="697" t="str">
        <f>IFERROR(__xludf.DUMMYFUNCTION("""COMPUTED_VALUE"""),"There was a decrease in Mf in the cornea in all groups over the 36-month period; this impressive amelioration of ocular manifestations is particularly important, as it implies that effective ocular disease control could result from periodic administration"&amp;", perhaps even at 2-year intervals, a point that must be further assessed with longitudinal studies using detailed ocular examinations.")</f>
        <v>There was a decrease in Mf in the cornea in all groups over the 36-month period; this impressive amelioration of ocular manifestations is particularly important, as it implies that effective ocular disease control could result from periodic administration, perhaps even at 2-year intervals, a point that must be further assessed with longitudinal studies using detailed ocular examinations.</v>
      </c>
      <c r="BD90" s="697" t="str">
        <f>IFERROR(__xludf.DUMMYFUNCTION("""COMPUTED_VALUE"""),"Of 32 persons not examined at 36 months, 30 had moved to other parts of the country and could not be located, and 2 treated persons had died of unknown causes.")</f>
        <v>Of 32 persons not examined at 36 months, 30 had moved to other parts of the country and could not be located, and 2 treated persons had died of unknown causes.</v>
      </c>
      <c r="BE90" s="697"/>
      <c r="BF90" s="697"/>
      <c r="BG90" s="697"/>
    </row>
    <row r="91">
      <c r="A91" s="697"/>
      <c r="B91" s="697" t="str">
        <f>IFERROR(__xludf.DUMMYFUNCTION("""COMPUTED_VALUE"""),"Greene et al.")</f>
        <v>Greene et al.</v>
      </c>
      <c r="C91" s="697" t="str">
        <f>IFERROR(__xludf.DUMMYFUNCTION("""COMPUTED_VALUE"""),"Liberia")</f>
        <v>Liberia</v>
      </c>
      <c r="D91" s="697" t="str">
        <f>IFERROR(__xludf.DUMMYFUNCTION("""COMPUTED_VALUE"""),"Ivermectin")</f>
        <v>Ivermectin</v>
      </c>
      <c r="E91" s="697" t="str">
        <f>IFERROR(__xludf.DUMMYFUNCTION("""COMPUTED_VALUE"""),"150 ug/kg")</f>
        <v>150 ug/kg</v>
      </c>
      <c r="F91" s="697">
        <f>IFERROR(__xludf.DUMMYFUNCTION("""COMPUTED_VALUE"""),1.0)</f>
        <v>1</v>
      </c>
      <c r="G91" s="697" t="str">
        <f>IFERROR(__xludf.DUMMYFUNCTION("""COMPUTED_VALUE"""),"150 ug/kg")</f>
        <v>150 ug/kg</v>
      </c>
      <c r="H91" s="697"/>
      <c r="I91" s="697"/>
      <c r="J91" s="697"/>
      <c r="K91" s="697"/>
      <c r="L91" s="697"/>
      <c r="M91" s="697"/>
      <c r="N91" s="697"/>
      <c r="O91" s="697"/>
      <c r="P91" s="697"/>
      <c r="Q91" s="697"/>
      <c r="R91" s="697"/>
      <c r="S91" s="698">
        <f>IFERROR(__xludf.DUMMYFUNCTION("""COMPUTED_VALUE"""),0.9716)</f>
        <v>0.9716</v>
      </c>
      <c r="T91" s="698">
        <f>IFERROR(__xludf.DUMMYFUNCTION("""COMPUTED_VALUE"""),0.9147)</f>
        <v>0.9147</v>
      </c>
      <c r="U91" s="697"/>
      <c r="V91" s="697"/>
      <c r="W91" s="698">
        <f>IFERROR(__xludf.DUMMYFUNCTION("""COMPUTED_VALUE"""),0.8294)</f>
        <v>0.8294</v>
      </c>
      <c r="X91" s="697"/>
      <c r="Y91" s="697"/>
      <c r="Z91" s="697"/>
      <c r="AA91" s="697"/>
      <c r="AB91" s="697"/>
      <c r="AC91" s="697"/>
      <c r="AD91" s="697"/>
      <c r="AE91" s="697" t="str">
        <f>IFERROR(__xludf.DUMMYFUNCTION("""COMPUTED_VALUE"""),"n/a")</f>
        <v>n/a</v>
      </c>
      <c r="AF91" s="697"/>
      <c r="AG91" s="697"/>
      <c r="AH91" s="697"/>
      <c r="AI91" s="697"/>
      <c r="AJ91" s="697"/>
      <c r="AK91" s="697"/>
      <c r="AL91" s="697"/>
      <c r="AM91" s="697"/>
      <c r="AN91" s="698">
        <f>IFERROR(__xludf.DUMMYFUNCTION("""COMPUTED_VALUE"""),0.9716)</f>
        <v>0.9716</v>
      </c>
      <c r="AO91" s="698">
        <f>IFERROR(__xludf.DUMMYFUNCTION("""COMPUTED_VALUE"""),0.9716)</f>
        <v>0.9716</v>
      </c>
      <c r="AP91" s="697" t="str">
        <f>IFERROR(__xludf.DUMMYFUNCTION("""COMPUTED_VALUE"""),"Mf reduction")</f>
        <v>Mf reduction</v>
      </c>
      <c r="AQ91" s="697" t="str">
        <f>IFERROR(__xludf.DUMMYFUNCTION("""COMPUTED_VALUE"""),"Grand Bassa County, Liberia ")</f>
        <v>Grand Bassa County, Liberia </v>
      </c>
      <c r="AR91" s="697">
        <f>IFERROR(__xludf.DUMMYFUNCTION("""COMPUTED_VALUE"""),1991.0)</f>
        <v>1991</v>
      </c>
      <c r="AS91" s="697">
        <f>IFERROR(__xludf.DUMMYFUNCTION("""COMPUTED_VALUE"""),52.0)</f>
        <v>52</v>
      </c>
      <c r="AT91" s="697" t="str">
        <f>IFERROR(__xludf.DUMMYFUNCTION("""COMPUTED_VALUE"""),"3 years")</f>
        <v>3 years</v>
      </c>
      <c r="AU91" s="699" t="str">
        <f>IFERROR(__xludf.DUMMYFUNCTION("""COMPUTED_VALUE"""),"Greene, B.M.; Dukuly, Z.D.; Muñoz, B.; White, A.T.; Pacqué, M.; Taylor, H.R. (1991) A Comparison of 6-, 12-, and 24-Monthly Dosing with Ivermectin for Treatment of Onchocerciasis. The Journal of Infectious Diseases 163(2): 376-380.")</f>
        <v>Greene, B.M.; Dukuly, Z.D.; Muñoz, B.; White, A.T.; Pacqué, M.; Taylor, H.R. (1991) A Comparison of 6-, 12-, and 24-Monthly Dosing with Ivermectin for Treatment of Onchocerciasis. The Journal of Infectious Diseases 163(2): 376-380.</v>
      </c>
      <c r="AV91" s="697" t="str">
        <f>IFERROR(__xludf.DUMMYFUNCTION("""COMPUTED_VALUE"""),"FM")</f>
        <v>FM</v>
      </c>
      <c r="AW91" s="697" t="str">
        <f>IFERROR(__xludf.DUMMYFUNCTION("""COMPUTED_VALUE"""),"&gt;12 yrs old")</f>
        <v>&gt;12 yrs old</v>
      </c>
      <c r="AX91" s="697" t="str">
        <f>IFERROR(__xludf.DUMMYFUNCTION("""COMPUTED_VALUE"""),"Liberians with the highest microfilaria counts were selected from 800; all were employees or dependents of employees of the Liberian Agricultural Company. The exclusion criteria included pregnant or lactating women, children &lt;12 years old, persons in poor"&amp;" general physical condition, and persons who had received a course of antifilarial therapy within the previous year.")</f>
        <v>Liberians with the highest microfilaria counts were selected from 800; all were employees or dependents of employees of the Liberian Agricultural Company. The exclusion criteria included pregnant or lactating women, children &lt;12 years old, persons in poor general physical condition, and persons who had received a course of antifilarial therapy within the previous year.</v>
      </c>
      <c r="AY91" s="697" t="str">
        <f>IFERROR(__xludf.DUMMYFUNCTION("""COMPUTED_VALUE"""),"Yes")</f>
        <v>Yes</v>
      </c>
      <c r="AZ91" s="697" t="str">
        <f>IFERROR(__xludf.DUMMYFUNCTION("""COMPUTED_VALUE"""),"Yes")</f>
        <v>Yes</v>
      </c>
      <c r="BA91" s="697"/>
      <c r="BB91" s="697" t="str">
        <f>IFERROR(__xludf.DUMMYFUNCTION("""COMPUTED_VALUE"""),"12 months 3.6 (82.94% reduction); 12 months 3.9 and 3.1 (81.52% and 85.31% reduction); 24 months 1.9 and 5.2 (91% and 75.36% reduction); 36 months 0.7 and 0.7 (96.68% and 96.68% reduction)")</f>
        <v>12 months 3.6 (82.94% reduction); 12 months 3.9 and 3.1 (81.52% and 85.31% reduction); 24 months 1.9 and 5.2 (91% and 75.36% reduction); 36 months 0.7 and 0.7 (96.68% and 96.68% reduction)</v>
      </c>
      <c r="BC91" s="697" t="str">
        <f>IFERROR(__xludf.DUMMYFUNCTION("""COMPUTED_VALUE"""),"There was a decrease in Mf in the cornea in all groups over the 36-month period; this impressive amelioration of ocular manifestations is particularly important, as it implies that effective ocular disease control could result from periodic administration"&amp;", perhaps even at 2-year intervals, a point that must be further assessed with longitudinal studies using detailed ocular examinations.")</f>
        <v>There was a decrease in Mf in the cornea in all groups over the 36-month period; this impressive amelioration of ocular manifestations is particularly important, as it implies that effective ocular disease control could result from periodic administration, perhaps even at 2-year intervals, a point that must be further assessed with longitudinal studies using detailed ocular examinations.</v>
      </c>
      <c r="BD91" s="697" t="str">
        <f>IFERROR(__xludf.DUMMYFUNCTION("""COMPUTED_VALUE"""),"Of 32 persons not examined at 36 months, 30 had moved to other parts of the country and could not be located, and 2 treated persons had died of unknown causes.")</f>
        <v>Of 32 persons not examined at 36 months, 30 had moved to other parts of the country and could not be located, and 2 treated persons had died of unknown causes.</v>
      </c>
      <c r="BE91" s="697"/>
      <c r="BF91" s="697"/>
      <c r="BG91" s="697"/>
    </row>
    <row r="92">
      <c r="A92" s="697"/>
      <c r="B92" s="697" t="str">
        <f>IFERROR(__xludf.DUMMYFUNCTION("""COMPUTED_VALUE"""),"Greene et al.")</f>
        <v>Greene et al.</v>
      </c>
      <c r="C92" s="697" t="str">
        <f>IFERROR(__xludf.DUMMYFUNCTION("""COMPUTED_VALUE"""),"Liberia")</f>
        <v>Liberia</v>
      </c>
      <c r="D92" s="697" t="str">
        <f>IFERROR(__xludf.DUMMYFUNCTION("""COMPUTED_VALUE"""),"Ivermectin")</f>
        <v>Ivermectin</v>
      </c>
      <c r="E92" s="697" t="str">
        <f>IFERROR(__xludf.DUMMYFUNCTION("""COMPUTED_VALUE"""),"200 ug/kg")</f>
        <v>200 ug/kg</v>
      </c>
      <c r="F92" s="697">
        <f>IFERROR(__xludf.DUMMYFUNCTION("""COMPUTED_VALUE"""),1.0)</f>
        <v>1</v>
      </c>
      <c r="G92" s="697" t="str">
        <f>IFERROR(__xludf.DUMMYFUNCTION("""COMPUTED_VALUE"""),"200 ug/kg")</f>
        <v>200 ug/kg</v>
      </c>
      <c r="H92" s="697"/>
      <c r="I92" s="697"/>
      <c r="J92" s="697"/>
      <c r="K92" s="697"/>
      <c r="L92" s="697"/>
      <c r="M92" s="697"/>
      <c r="N92" s="697"/>
      <c r="O92" s="697"/>
      <c r="P92" s="697"/>
      <c r="Q92" s="697"/>
      <c r="R92" s="697"/>
      <c r="S92" s="698">
        <f>IFERROR(__xludf.DUMMYFUNCTION("""COMPUTED_VALUE"""),0.971)</f>
        <v>0.971</v>
      </c>
      <c r="T92" s="698">
        <f>IFERROR(__xludf.DUMMYFUNCTION("""COMPUTED_VALUE"""),0.9372)</f>
        <v>0.9372</v>
      </c>
      <c r="U92" s="697"/>
      <c r="V92" s="697"/>
      <c r="W92" s="698">
        <f>IFERROR(__xludf.DUMMYFUNCTION("""COMPUTED_VALUE"""),0.836)</f>
        <v>0.836</v>
      </c>
      <c r="X92" s="697"/>
      <c r="Y92" s="697"/>
      <c r="Z92" s="697"/>
      <c r="AA92" s="697"/>
      <c r="AB92" s="697"/>
      <c r="AC92" s="697"/>
      <c r="AD92" s="697"/>
      <c r="AE92" s="697" t="str">
        <f>IFERROR(__xludf.DUMMYFUNCTION("""COMPUTED_VALUE"""),"n/a")</f>
        <v>n/a</v>
      </c>
      <c r="AF92" s="697"/>
      <c r="AG92" s="697"/>
      <c r="AH92" s="697"/>
      <c r="AI92" s="697"/>
      <c r="AJ92" s="697"/>
      <c r="AK92" s="697"/>
      <c r="AL92" s="697"/>
      <c r="AM92" s="697"/>
      <c r="AN92" s="698">
        <f>IFERROR(__xludf.DUMMYFUNCTION("""COMPUTED_VALUE"""),0.971)</f>
        <v>0.971</v>
      </c>
      <c r="AO92" s="698">
        <f>IFERROR(__xludf.DUMMYFUNCTION("""COMPUTED_VALUE"""),0.971)</f>
        <v>0.971</v>
      </c>
      <c r="AP92" s="697" t="str">
        <f>IFERROR(__xludf.DUMMYFUNCTION("""COMPUTED_VALUE"""),"Mf reduction")</f>
        <v>Mf reduction</v>
      </c>
      <c r="AQ92" s="697" t="str">
        <f>IFERROR(__xludf.DUMMYFUNCTION("""COMPUTED_VALUE"""),"Grand Bassa County, Liberia ")</f>
        <v>Grand Bassa County, Liberia </v>
      </c>
      <c r="AR92" s="697">
        <f>IFERROR(__xludf.DUMMYFUNCTION("""COMPUTED_VALUE"""),1991.0)</f>
        <v>1991</v>
      </c>
      <c r="AS92" s="697">
        <f>IFERROR(__xludf.DUMMYFUNCTION("""COMPUTED_VALUE"""),51.0)</f>
        <v>51</v>
      </c>
      <c r="AT92" s="697" t="str">
        <f>IFERROR(__xludf.DUMMYFUNCTION("""COMPUTED_VALUE"""),"3 years")</f>
        <v>3 years</v>
      </c>
      <c r="AU92" s="699" t="str">
        <f>IFERROR(__xludf.DUMMYFUNCTION("""COMPUTED_VALUE"""),"Greene, B.M.; Dukuly, Z.D.; Muñoz, B.; White, A.T.; Pacqué, M.; Taylor, H.R. (1991) A Comparison of 6-, 12-, and 24-Monthly Dosing with Ivermectin for Treatment of Onchocerciasis. The Journal of Infectious Diseases 163(2): 376-380.")</f>
        <v>Greene, B.M.; Dukuly, Z.D.; Muñoz, B.; White, A.T.; Pacqué, M.; Taylor, H.R. (1991) A Comparison of 6-, 12-, and 24-Monthly Dosing with Ivermectin for Treatment of Onchocerciasis. The Journal of Infectious Diseases 163(2): 376-380.</v>
      </c>
      <c r="AV92" s="697" t="str">
        <f>IFERROR(__xludf.DUMMYFUNCTION("""COMPUTED_VALUE"""),"FM")</f>
        <v>FM</v>
      </c>
      <c r="AW92" s="697" t="str">
        <f>IFERROR(__xludf.DUMMYFUNCTION("""COMPUTED_VALUE"""),"&gt;12 yrs old")</f>
        <v>&gt;12 yrs old</v>
      </c>
      <c r="AX92" s="697" t="str">
        <f>IFERROR(__xludf.DUMMYFUNCTION("""COMPUTED_VALUE"""),"Liberians with the highest microfilaria counts were selected from 800; all were employees or dependents of employees of the Liberian Agricultural Company. The exclusion criteria included pregnant or lactating women, children &lt;12 years old, persons in poor"&amp;" general physical condition, and persons who had received a course of antifilarial therapy within the previous year.")</f>
        <v>Liberians with the highest microfilaria counts were selected from 800; all were employees or dependents of employees of the Liberian Agricultural Company. The exclusion criteria included pregnant or lactating women, children &lt;12 years old, persons in poor general physical condition, and persons who had received a course of antifilarial therapy within the previous year.</v>
      </c>
      <c r="AY92" s="697" t="str">
        <f>IFERROR(__xludf.DUMMYFUNCTION("""COMPUTED_VALUE"""),"Yes")</f>
        <v>Yes</v>
      </c>
      <c r="AZ92" s="697" t="str">
        <f>IFERROR(__xludf.DUMMYFUNCTION("""COMPUTED_VALUE"""),"Yes")</f>
        <v>Yes</v>
      </c>
      <c r="BA92" s="697"/>
      <c r="BB92" s="697"/>
      <c r="BC92" s="697" t="str">
        <f>IFERROR(__xludf.DUMMYFUNCTION("""COMPUTED_VALUE"""),"There was a decrease in Mf in the cornea in all groups over the 36-month period; this impressive amelioration of ocular manifestations is particularly important, as it implies that effective ocular disease control could result from periodic administration"&amp;", perhaps even at 2-year intervals, a point that must be further assessed with longitudinal studies using detailed ocular examinations.")</f>
        <v>There was a decrease in Mf in the cornea in all groups over the 36-month period; this impressive amelioration of ocular manifestations is particularly important, as it implies that effective ocular disease control could result from periodic administration, perhaps even at 2-year intervals, a point that must be further assessed with longitudinal studies using detailed ocular examinations.</v>
      </c>
      <c r="BD92" s="697" t="str">
        <f>IFERROR(__xludf.DUMMYFUNCTION("""COMPUTED_VALUE"""),"Of 32 persons not examined at 36 months, 30 had moved to other parts of the country and could not be located, and 2 treated persons had died of unknown causes.")</f>
        <v>Of 32 persons not examined at 36 months, 30 had moved to other parts of the country and could not be located, and 2 treated persons had died of unknown causes.</v>
      </c>
      <c r="BE92" s="697"/>
      <c r="BF92" s="697"/>
      <c r="BG92" s="697"/>
    </row>
    <row r="93">
      <c r="A93" s="697"/>
      <c r="B93" s="697" t="str">
        <f>IFERROR(__xludf.DUMMYFUNCTION("""COMPUTED_VALUE"""),"Greene et al.")</f>
        <v>Greene et al.</v>
      </c>
      <c r="C93" s="697" t="str">
        <f>IFERROR(__xludf.DUMMYFUNCTION("""COMPUTED_VALUE"""),"Liberia")</f>
        <v>Liberia</v>
      </c>
      <c r="D93" s="697" t="str">
        <f>IFERROR(__xludf.DUMMYFUNCTION("""COMPUTED_VALUE"""),"Placebo &amp; Ivermectin")</f>
        <v>Placebo &amp; Ivermectin</v>
      </c>
      <c r="E93" s="697" t="str">
        <f>IFERROR(__xludf.DUMMYFUNCTION("""COMPUTED_VALUE"""),"Placebo; 150 ug/kg Ivermectin")</f>
        <v>Placebo; 150 ug/kg Ivermectin</v>
      </c>
      <c r="F93" s="697">
        <f>IFERROR(__xludf.DUMMYFUNCTION("""COMPUTED_VALUE"""),1.0)</f>
        <v>1</v>
      </c>
      <c r="G93" s="697" t="str">
        <f>IFERROR(__xludf.DUMMYFUNCTION("""COMPUTED_VALUE"""),"Placebo; 150 ug/kg Ivermectin")</f>
        <v>Placebo; 150 ug/kg Ivermectin</v>
      </c>
      <c r="H93" s="697"/>
      <c r="I93" s="697"/>
      <c r="J93" s="697"/>
      <c r="K93" s="697"/>
      <c r="L93" s="697"/>
      <c r="M93" s="697"/>
      <c r="N93" s="697"/>
      <c r="O93" s="697"/>
      <c r="P93" s="697"/>
      <c r="Q93" s="697"/>
      <c r="R93" s="697"/>
      <c r="S93" s="698">
        <f>IFERROR(__xludf.DUMMYFUNCTION("""COMPUTED_VALUE"""),0.161)</f>
        <v>0.161</v>
      </c>
      <c r="T93" s="698">
        <f>IFERROR(__xludf.DUMMYFUNCTION("""COMPUTED_VALUE"""),0.146)</f>
        <v>0.146</v>
      </c>
      <c r="U93" s="697"/>
      <c r="V93" s="697"/>
      <c r="W93" s="698">
        <f>IFERROR(__xludf.DUMMYFUNCTION("""COMPUTED_VALUE"""),0.145)</f>
        <v>0.145</v>
      </c>
      <c r="X93" s="697"/>
      <c r="Y93" s="697"/>
      <c r="Z93" s="698">
        <f>IFERROR(__xludf.DUMMYFUNCTION("""COMPUTED_VALUE"""),0.009)</f>
        <v>0.009</v>
      </c>
      <c r="AA93" s="697"/>
      <c r="AB93" s="698">
        <f>IFERROR(__xludf.DUMMYFUNCTION("""COMPUTED_VALUE"""),0.002)</f>
        <v>0.002</v>
      </c>
      <c r="AC93" s="697"/>
      <c r="AD93" s="697"/>
      <c r="AE93" s="697" t="str">
        <f>IFERROR(__xludf.DUMMYFUNCTION("""COMPUTED_VALUE"""),"n/a")</f>
        <v>n/a</v>
      </c>
      <c r="AF93" s="697"/>
      <c r="AG93" s="697"/>
      <c r="AH93" s="697"/>
      <c r="AI93" s="697"/>
      <c r="AJ93" s="697"/>
      <c r="AK93" s="697"/>
      <c r="AL93" s="697"/>
      <c r="AM93" s="697"/>
      <c r="AN93" s="698">
        <f>IFERROR(__xludf.DUMMYFUNCTION("""COMPUTED_VALUE"""),0.161)</f>
        <v>0.161</v>
      </c>
      <c r="AO93" s="698">
        <f>IFERROR(__xludf.DUMMYFUNCTION("""COMPUTED_VALUE"""),0.161)</f>
        <v>0.161</v>
      </c>
      <c r="AP93" s="697" t="str">
        <f>IFERROR(__xludf.DUMMYFUNCTION("""COMPUTED_VALUE"""),"Mf reduction")</f>
        <v>Mf reduction</v>
      </c>
      <c r="AQ93" s="697" t="str">
        <f>IFERROR(__xludf.DUMMYFUNCTION("""COMPUTED_VALUE"""),"Grand Bassa County, Liberia ")</f>
        <v>Grand Bassa County, Liberia </v>
      </c>
      <c r="AR93" s="697">
        <f>IFERROR(__xludf.DUMMYFUNCTION("""COMPUTED_VALUE"""),1991.0)</f>
        <v>1991</v>
      </c>
      <c r="AS93" s="697">
        <f>IFERROR(__xludf.DUMMYFUNCTION("""COMPUTED_VALUE"""),48.0)</f>
        <v>48</v>
      </c>
      <c r="AT93" s="697" t="str">
        <f>IFERROR(__xludf.DUMMYFUNCTION("""COMPUTED_VALUE"""),"3 years")</f>
        <v>3 years</v>
      </c>
      <c r="AU93" s="699" t="str">
        <f>IFERROR(__xludf.DUMMYFUNCTION("""COMPUTED_VALUE"""),"Greene, B.M.; Dukuly, Z.D.; Muñoz, B.; White, A.T.; Pacqué, M.; Taylor, H.R. (1991) A Comparison of 6-, 12-, and 24-Monthly Dosing with Ivermectin for Treatment of Onchocerciasis. The Journal of Infectious Diseases 163(2): 376-380.")</f>
        <v>Greene, B.M.; Dukuly, Z.D.; Muñoz, B.; White, A.T.; Pacqué, M.; Taylor, H.R. (1991) A Comparison of 6-, 12-, and 24-Monthly Dosing with Ivermectin for Treatment of Onchocerciasis. The Journal of Infectious Diseases 163(2): 376-380.</v>
      </c>
      <c r="AV93" s="697" t="str">
        <f>IFERROR(__xludf.DUMMYFUNCTION("""COMPUTED_VALUE"""),"FM")</f>
        <v>FM</v>
      </c>
      <c r="AW93" s="697" t="str">
        <f>IFERROR(__xludf.DUMMYFUNCTION("""COMPUTED_VALUE"""),"&gt;12 yrs old")</f>
        <v>&gt;12 yrs old</v>
      </c>
      <c r="AX93" s="697" t="str">
        <f>IFERROR(__xludf.DUMMYFUNCTION("""COMPUTED_VALUE"""),"Liberians with the highest microfilaria counts were selected from 800; all were employees or dependents of employees of the Liberian Agricultural Company. The exclusion criteria included pregnant or lactating women, children &lt;12 years old, persons in poor"&amp;" general physical condition, and persons who had received a course of antifilarial therapy within the previous year.")</f>
        <v>Liberians with the highest microfilaria counts were selected from 800; all were employees or dependents of employees of the Liberian Agricultural Company. The exclusion criteria included pregnant or lactating women, children &lt;12 years old, persons in poor general physical condition, and persons who had received a course of antifilarial therapy within the previous year.</v>
      </c>
      <c r="AY93" s="697" t="str">
        <f>IFERROR(__xludf.DUMMYFUNCTION("""COMPUTED_VALUE"""),"Yes")</f>
        <v>Yes</v>
      </c>
      <c r="AZ93" s="697" t="str">
        <f>IFERROR(__xludf.DUMMYFUNCTION("""COMPUTED_VALUE"""),"Yes")</f>
        <v>Yes</v>
      </c>
      <c r="BA93" s="697"/>
      <c r="BB93" s="697"/>
      <c r="BC93" s="697" t="str">
        <f>IFERROR(__xludf.DUMMYFUNCTION("""COMPUTED_VALUE"""),"There was a decrease in Mf in the cornea in all groups over the 36-month period; this impressive amelioration of ocular manifestations is particularly important, as it implies that effective ocular disease control could result from periodic administration"&amp;", perhaps even at 2-year intervals, a point that must be further assessed with longitudinal studies using detailed ocular examinations.")</f>
        <v>There was a decrease in Mf in the cornea in all groups over the 36-month period; this impressive amelioration of ocular manifestations is particularly important, as it implies that effective ocular disease control could result from periodic administration, perhaps even at 2-year intervals, a point that must be further assessed with longitudinal studies using detailed ocular examinations.</v>
      </c>
      <c r="BD93" s="697" t="str">
        <f>IFERROR(__xludf.DUMMYFUNCTION("""COMPUTED_VALUE"""),"Of 32 persons not examined at 36 months, 30 had moved to other parts of the country and could not be located, and 2 treated persons had died of unknown causes.")</f>
        <v>Of 32 persons not examined at 36 months, 30 had moved to other parts of the country and could not be located, and 2 treated persons had died of unknown causes.</v>
      </c>
      <c r="BE93" s="697"/>
      <c r="BF93" s="697"/>
      <c r="BG93" s="697"/>
    </row>
    <row r="94">
      <c r="A94" s="697"/>
      <c r="B94" s="697" t="str">
        <f>IFERROR(__xludf.DUMMYFUNCTION("""COMPUTED_VALUE"""),"Duke et al.")</f>
        <v>Duke et al.</v>
      </c>
      <c r="C94" s="697" t="str">
        <f>IFERROR(__xludf.DUMMYFUNCTION("""COMPUTED_VALUE"""),"Guatemala")</f>
        <v>Guatemala</v>
      </c>
      <c r="D94" s="697" t="str">
        <f>IFERROR(__xludf.DUMMYFUNCTION("""COMPUTED_VALUE"""),"Ivermectin")</f>
        <v>Ivermectin</v>
      </c>
      <c r="E94" s="697" t="str">
        <f>IFERROR(__xludf.DUMMYFUNCTION("""COMPUTED_VALUE"""),"150 ug/kg")</f>
        <v>150 ug/kg</v>
      </c>
      <c r="F94" s="697">
        <f>IFERROR(__xludf.DUMMYFUNCTION("""COMPUTED_VALUE"""),1.0)</f>
        <v>1</v>
      </c>
      <c r="G94" s="697" t="str">
        <f>IFERROR(__xludf.DUMMYFUNCTION("""COMPUTED_VALUE"""),"150 ug/kg")</f>
        <v>150 ug/kg</v>
      </c>
      <c r="H94" s="697"/>
      <c r="I94" s="697"/>
      <c r="J94" s="697"/>
      <c r="K94" s="697"/>
      <c r="L94" s="697"/>
      <c r="M94" s="697"/>
      <c r="N94" s="697"/>
      <c r="O94" s="697"/>
      <c r="P94" s="697"/>
      <c r="Q94" s="697"/>
      <c r="R94" s="697"/>
      <c r="S94" s="697"/>
      <c r="T94" s="697"/>
      <c r="U94" s="697"/>
      <c r="V94" s="697"/>
      <c r="W94" s="697"/>
      <c r="X94" s="697"/>
      <c r="Y94" s="697"/>
      <c r="Z94" s="697"/>
      <c r="AA94" s="697"/>
      <c r="AB94" s="697"/>
      <c r="AC94" s="697"/>
      <c r="AD94" s="697"/>
      <c r="AE94" s="697" t="str">
        <f>IFERROR(__xludf.DUMMYFUNCTION("""COMPUTED_VALUE"""),"n/a")</f>
        <v>n/a</v>
      </c>
      <c r="AF94" s="697"/>
      <c r="AG94" s="697"/>
      <c r="AH94" s="697"/>
      <c r="AI94" s="697"/>
      <c r="AJ94" s="697"/>
      <c r="AK94" s="697" t="str">
        <f>IFERROR(__xludf.DUMMYFUNCTION("""COMPUTED_VALUE"""),"No. females producing mfs 31 (38.8%)")</f>
        <v>No. females producing mfs 31 (38.8%)</v>
      </c>
      <c r="AL94" s="697"/>
      <c r="AM94" s="698">
        <f>IFERROR(__xludf.DUMMYFUNCTION("""COMPUTED_VALUE"""),0.388)</f>
        <v>0.388</v>
      </c>
      <c r="AN94" s="697">
        <f>IFERROR(__xludf.DUMMYFUNCTION("""COMPUTED_VALUE"""),0.0)</f>
        <v>0</v>
      </c>
      <c r="AO94" s="698">
        <f>IFERROR(__xludf.DUMMYFUNCTION("""COMPUTED_VALUE"""),0.0)</f>
        <v>0</v>
      </c>
      <c r="AP94" s="697" t="str">
        <f>IFERROR(__xludf.DUMMYFUNCTION("""COMPUTED_VALUE"""),"Nodulectomy: mf positive")</f>
        <v>Nodulectomy: mf positive</v>
      </c>
      <c r="AQ94" s="697" t="str">
        <f>IFERROR(__xludf.DUMMYFUNCTION("""COMPUTED_VALUE"""),"Los Tarrales, Santa Isabel, El Vesubio, Los Andes, and Santa Emilia in the District of Pochuta")</f>
        <v>Los Tarrales, Santa Isabel, El Vesubio, Los Andes, and Santa Emilia in the District of Pochuta</v>
      </c>
      <c r="AR94" s="697">
        <f>IFERROR(__xludf.DUMMYFUNCTION("""COMPUTED_VALUE"""),1990.0)</f>
        <v>1990</v>
      </c>
      <c r="AS94" s="697">
        <f>IFERROR(__xludf.DUMMYFUNCTION("""COMPUTED_VALUE"""),40.0)</f>
        <v>40</v>
      </c>
      <c r="AT94" s="697" t="str">
        <f>IFERROR(__xludf.DUMMYFUNCTION("""COMPUTED_VALUE"""),"29 months")</f>
        <v>29 months</v>
      </c>
      <c r="AU94" s="699" t="str">
        <f>IFERROR(__xludf.DUMMYFUNCTION("""COMPUTED_VALUE"""),"Duke, B.O.L.; Zea-Flores, G.; Castro, J.; Cupp, E.W.; Munoz, B. (1991) Comparison of the Effects of a Single Dose and of Four Six-Monthly Doses of Ivermectin on Adult Onchocerca VolvulusAm J Trop Med Hyg 45(1): 132-137.")</f>
        <v>Duke, B.O.L.; Zea-Flores, G.; Castro, J.; Cupp, E.W.; Munoz, B. (1991) Comparison of the Effects of a Single Dose and of Four Six-Monthly Doses of Ivermectin on Adult Onchocerca VolvulusAm J Trop Med Hyg 45(1): 132-137.</v>
      </c>
      <c r="AV94" s="697" t="str">
        <f>IFERROR(__xludf.DUMMYFUNCTION("""COMPUTED_VALUE"""),"FM")</f>
        <v>FM</v>
      </c>
      <c r="AW94" s="697"/>
      <c r="AX94" s="697" t="str">
        <f>IFERROR(__xludf.DUMMYFUNCTION("""COMPUTED_VALUE"""),"Exclusion criteria: pregnant women, women breast-feeding a child under three months of age, children under five years old, and persons with severe illness or a history of neurological disorder.")</f>
        <v>Exclusion criteria: pregnant women, women breast-feeding a child under three months of age, children under five years old, and persons with severe illness or a history of neurological disorder.</v>
      </c>
      <c r="AY94" s="697" t="str">
        <f>IFERROR(__xludf.DUMMYFUNCTION("""COMPUTED_VALUE"""),"Yes")</f>
        <v>Yes</v>
      </c>
      <c r="AZ94" s="697" t="str">
        <f>IFERROR(__xludf.DUMMYFUNCTION("""COMPUTED_VALUE"""),"Yes")</f>
        <v>Yes</v>
      </c>
      <c r="BA94" s="697"/>
      <c r="BB94" s="697"/>
      <c r="BC94" s="697" t="str">
        <f>IFERROR(__xludf.DUMMYFUNCTION("""COMPUTED_VALUE"""),"Six-monthly dosage with ivermectin, repeated four times, may gradually lead to a cumulative adverse effect on the total production of mfs by female worms.
")</f>
        <v>Six-monthly dosage with ivermectin, repeated four times, may gradually lead to a cumulative adverse effect on the total production of mfs by female worms.
</v>
      </c>
      <c r="BD94" s="697"/>
      <c r="BE94" s="697"/>
      <c r="BF94" s="697"/>
      <c r="BG94" s="697"/>
    </row>
    <row r="95">
      <c r="A95" s="697"/>
      <c r="B95" s="697" t="str">
        <f>IFERROR(__xludf.DUMMYFUNCTION("""COMPUTED_VALUE"""),"Duke et al.")</f>
        <v>Duke et al.</v>
      </c>
      <c r="C95" s="697" t="str">
        <f>IFERROR(__xludf.DUMMYFUNCTION("""COMPUTED_VALUE"""),"Guatemala")</f>
        <v>Guatemala</v>
      </c>
      <c r="D95" s="697" t="str">
        <f>IFERROR(__xludf.DUMMYFUNCTION("""COMPUTED_VALUE"""),"Untreated Controls")</f>
        <v>Untreated Controls</v>
      </c>
      <c r="E95" s="697"/>
      <c r="F95" s="697"/>
      <c r="G95" s="697"/>
      <c r="H95" s="697"/>
      <c r="I95" s="697"/>
      <c r="J95" s="697"/>
      <c r="K95" s="697"/>
      <c r="L95" s="697"/>
      <c r="M95" s="697"/>
      <c r="N95" s="697"/>
      <c r="O95" s="697"/>
      <c r="P95" s="697"/>
      <c r="Q95" s="697"/>
      <c r="R95" s="697"/>
      <c r="S95" s="697"/>
      <c r="T95" s="697"/>
      <c r="U95" s="697"/>
      <c r="V95" s="697"/>
      <c r="W95" s="697"/>
      <c r="X95" s="697"/>
      <c r="Y95" s="697"/>
      <c r="Z95" s="697"/>
      <c r="AA95" s="697"/>
      <c r="AB95" s="697"/>
      <c r="AC95" s="697"/>
      <c r="AD95" s="697"/>
      <c r="AE95" s="697" t="str">
        <f>IFERROR(__xludf.DUMMYFUNCTION("""COMPUTED_VALUE"""),"n/a")</f>
        <v>n/a</v>
      </c>
      <c r="AF95" s="697"/>
      <c r="AG95" s="697"/>
      <c r="AH95" s="697"/>
      <c r="AI95" s="697"/>
      <c r="AJ95" s="697"/>
      <c r="AK95" s="697" t="str">
        <f>IFERROR(__xludf.DUMMYFUNCTION("""COMPUTED_VALUE"""),"No. females producing mfs 40 (62.5%)")</f>
        <v>No. females producing mfs 40 (62.5%)</v>
      </c>
      <c r="AL95" s="697"/>
      <c r="AM95" s="698">
        <f>IFERROR(__xludf.DUMMYFUNCTION("""COMPUTED_VALUE"""),0.625)</f>
        <v>0.625</v>
      </c>
      <c r="AN95" s="697">
        <f>IFERROR(__xludf.DUMMYFUNCTION("""COMPUTED_VALUE"""),0.0)</f>
        <v>0</v>
      </c>
      <c r="AO95" s="698">
        <f>IFERROR(__xludf.DUMMYFUNCTION("""COMPUTED_VALUE"""),0.0)</f>
        <v>0</v>
      </c>
      <c r="AP95" s="697" t="str">
        <f>IFERROR(__xludf.DUMMYFUNCTION("""COMPUTED_VALUE"""),"Nodulectomy: mf positive")</f>
        <v>Nodulectomy: mf positive</v>
      </c>
      <c r="AQ95" s="697" t="str">
        <f>IFERROR(__xludf.DUMMYFUNCTION("""COMPUTED_VALUE"""),"Los Tarrales, Santa Isabel, El Vesubio, Los Andes, and Santa Emilia in the District of Pochuta")</f>
        <v>Los Tarrales, Santa Isabel, El Vesubio, Los Andes, and Santa Emilia in the District of Pochuta</v>
      </c>
      <c r="AR95" s="697">
        <f>IFERROR(__xludf.DUMMYFUNCTION("""COMPUTED_VALUE"""),1990.0)</f>
        <v>1990</v>
      </c>
      <c r="AS95" s="697">
        <f>IFERROR(__xludf.DUMMYFUNCTION("""COMPUTED_VALUE"""),22.0)</f>
        <v>22</v>
      </c>
      <c r="AT95" s="697" t="str">
        <f>IFERROR(__xludf.DUMMYFUNCTION("""COMPUTED_VALUE"""),"30 months")</f>
        <v>30 months</v>
      </c>
      <c r="AU95" s="699" t="str">
        <f>IFERROR(__xludf.DUMMYFUNCTION("""COMPUTED_VALUE"""),"Duke, B.O.L.; Zea-Flores, G.; Castro, J.; Cupp, E.W.; Munoz, B. (1991) Comparison of the Effects of a Single Dose and of Four Six-Monthly Doses of Ivermectin on Adult Onchocerca VolvulusAm J Trop Med Hyg 45(1): 132-137.")</f>
        <v>Duke, B.O.L.; Zea-Flores, G.; Castro, J.; Cupp, E.W.; Munoz, B. (1991) Comparison of the Effects of a Single Dose and of Four Six-Monthly Doses of Ivermectin on Adult Onchocerca VolvulusAm J Trop Med Hyg 45(1): 132-137.</v>
      </c>
      <c r="AV95" s="697" t="str">
        <f>IFERROR(__xludf.DUMMYFUNCTION("""COMPUTED_VALUE"""),"FM")</f>
        <v>FM</v>
      </c>
      <c r="AW95" s="697"/>
      <c r="AX95" s="697" t="str">
        <f>IFERROR(__xludf.DUMMYFUNCTION("""COMPUTED_VALUE"""),"Exclusion criteria: pregnant women, women breast-feeding a child under three months of age, children under five years old, and persons with severe illness or a history of neurological disorder.")</f>
        <v>Exclusion criteria: pregnant women, women breast-feeding a child under three months of age, children under five years old, and persons with severe illness or a history of neurological disorder.</v>
      </c>
      <c r="AY95" s="697" t="str">
        <f>IFERROR(__xludf.DUMMYFUNCTION("""COMPUTED_VALUE"""),"Yes")</f>
        <v>Yes</v>
      </c>
      <c r="AZ95" s="697" t="str">
        <f>IFERROR(__xludf.DUMMYFUNCTION("""COMPUTED_VALUE"""),"Yes")</f>
        <v>Yes</v>
      </c>
      <c r="BA95" s="697"/>
      <c r="BB95" s="697"/>
      <c r="BC95" s="697" t="str">
        <f>IFERROR(__xludf.DUMMYFUNCTION("""COMPUTED_VALUE"""),"Six-monthly dosage with ivermectin, repeated four times, may gradually lead to a cumulative adverse effect on the total production of mfs by female worms.
")</f>
        <v>Six-monthly dosage with ivermectin, repeated four times, may gradually lead to a cumulative adverse effect on the total production of mfs by female worms.
</v>
      </c>
      <c r="BD95" s="697"/>
      <c r="BE95" s="697"/>
      <c r="BF95" s="697"/>
      <c r="BG95" s="697"/>
    </row>
    <row r="96">
      <c r="A96" s="697"/>
      <c r="B96" s="697" t="str">
        <f>IFERROR(__xludf.DUMMYFUNCTION("""COMPUTED_VALUE"""),"Duke et al.")</f>
        <v>Duke et al.</v>
      </c>
      <c r="C96" s="697" t="str">
        <f>IFERROR(__xludf.DUMMYFUNCTION("""COMPUTED_VALUE"""),"Guatemala")</f>
        <v>Guatemala</v>
      </c>
      <c r="D96" s="697" t="str">
        <f>IFERROR(__xludf.DUMMYFUNCTION("""COMPUTED_VALUE"""),"Ivermectin")</f>
        <v>Ivermectin</v>
      </c>
      <c r="E96" s="697" t="str">
        <f>IFERROR(__xludf.DUMMYFUNCTION("""COMPUTED_VALUE"""),"120 ug/kg-200 ug/kg ")</f>
        <v>120 ug/kg-200 ug/kg </v>
      </c>
      <c r="F96" s="697">
        <f>IFERROR(__xludf.DUMMYFUNCTION("""COMPUTED_VALUE"""),4.0)</f>
        <v>4</v>
      </c>
      <c r="G96" s="697" t="str">
        <f>IFERROR(__xludf.DUMMYFUNCTION("""COMPUTED_VALUE"""),"480ug/kg-800ug/kg")</f>
        <v>480ug/kg-800ug/kg</v>
      </c>
      <c r="H96" s="697"/>
      <c r="I96" s="697"/>
      <c r="J96" s="697"/>
      <c r="K96" s="697"/>
      <c r="L96" s="697"/>
      <c r="M96" s="697"/>
      <c r="N96" s="697"/>
      <c r="O96" s="697"/>
      <c r="P96" s="697"/>
      <c r="Q96" s="697"/>
      <c r="R96" s="697"/>
      <c r="S96" s="697"/>
      <c r="T96" s="697"/>
      <c r="U96" s="697"/>
      <c r="V96" s="697"/>
      <c r="W96" s="697"/>
      <c r="X96" s="697"/>
      <c r="Y96" s="697"/>
      <c r="Z96" s="697"/>
      <c r="AA96" s="697"/>
      <c r="AB96" s="697"/>
      <c r="AC96" s="697"/>
      <c r="AD96" s="697"/>
      <c r="AE96" s="697" t="str">
        <f>IFERROR(__xludf.DUMMYFUNCTION("""COMPUTED_VALUE"""),"n/a")</f>
        <v>n/a</v>
      </c>
      <c r="AF96" s="697"/>
      <c r="AG96" s="697"/>
      <c r="AH96" s="697"/>
      <c r="AI96" s="697"/>
      <c r="AJ96" s="697"/>
      <c r="AK96" s="697" t="str">
        <f>IFERROR(__xludf.DUMMYFUNCTION("""COMPUTED_VALUE"""),"No. females producing mfs 4 (25.0%)")</f>
        <v>No. females producing mfs 4 (25.0%)</v>
      </c>
      <c r="AL96" s="697"/>
      <c r="AM96" s="698">
        <f>IFERROR(__xludf.DUMMYFUNCTION("""COMPUTED_VALUE"""),0.25)</f>
        <v>0.25</v>
      </c>
      <c r="AN96" s="697">
        <f>IFERROR(__xludf.DUMMYFUNCTION("""COMPUTED_VALUE"""),0.0)</f>
        <v>0</v>
      </c>
      <c r="AO96" s="698">
        <f>IFERROR(__xludf.DUMMYFUNCTION("""COMPUTED_VALUE"""),0.0)</f>
        <v>0</v>
      </c>
      <c r="AP96" s="697" t="str">
        <f>IFERROR(__xludf.DUMMYFUNCTION("""COMPUTED_VALUE"""),"Nodulectomy: mf positive")</f>
        <v>Nodulectomy: mf positive</v>
      </c>
      <c r="AQ96" s="697" t="str">
        <f>IFERROR(__xludf.DUMMYFUNCTION("""COMPUTED_VALUE"""),"Los Tarrales, Santa Isabel, El Vesubio, Los Andes, and Santa Emilia in the District of Pochuta")</f>
        <v>Los Tarrales, Santa Isabel, El Vesubio, Los Andes, and Santa Emilia in the District of Pochuta</v>
      </c>
      <c r="AR96" s="697">
        <f>IFERROR(__xludf.DUMMYFUNCTION("""COMPUTED_VALUE"""),1990.0)</f>
        <v>1990</v>
      </c>
      <c r="AS96" s="697">
        <f>IFERROR(__xludf.DUMMYFUNCTION("""COMPUTED_VALUE"""),9.0)</f>
        <v>9</v>
      </c>
      <c r="AT96" s="697" t="str">
        <f>IFERROR(__xludf.DUMMYFUNCTION("""COMPUTED_VALUE"""),"31 months")</f>
        <v>31 months</v>
      </c>
      <c r="AU96" s="699" t="str">
        <f>IFERROR(__xludf.DUMMYFUNCTION("""COMPUTED_VALUE"""),"Duke, B.O.L.; Zea-Flores, G.; Castro, J.; Cupp, E.W.; Munoz, B. (1991) Comparison of the Effects of a Single Dose and of Four Six-Monthly Doses of Ivermectin on Adult Onchocerca VolvulusAm J Trop Med Hyg 45(1): 132-137.")</f>
        <v>Duke, B.O.L.; Zea-Flores, G.; Castro, J.; Cupp, E.W.; Munoz, B. (1991) Comparison of the Effects of a Single Dose and of Four Six-Monthly Doses of Ivermectin on Adult Onchocerca VolvulusAm J Trop Med Hyg 45(1): 132-137.</v>
      </c>
      <c r="AV96" s="697" t="str">
        <f>IFERROR(__xludf.DUMMYFUNCTION("""COMPUTED_VALUE"""),"FM")</f>
        <v>FM</v>
      </c>
      <c r="AW96" s="697"/>
      <c r="AX96" s="697" t="str">
        <f>IFERROR(__xludf.DUMMYFUNCTION("""COMPUTED_VALUE"""),"Exclusion criteria: pregnant women, women breast-feeding a child under three months of age, children under five years old, and persons with severe illness or a history of neurological disorder.")</f>
        <v>Exclusion criteria: pregnant women, women breast-feeding a child under three months of age, children under five years old, and persons with severe illness or a history of neurological disorder.</v>
      </c>
      <c r="AY96" s="697" t="str">
        <f>IFERROR(__xludf.DUMMYFUNCTION("""COMPUTED_VALUE"""),"Yes")</f>
        <v>Yes</v>
      </c>
      <c r="AZ96" s="697" t="str">
        <f>IFERROR(__xludf.DUMMYFUNCTION("""COMPUTED_VALUE"""),"Yes")</f>
        <v>Yes</v>
      </c>
      <c r="BA96" s="697"/>
      <c r="BB96" s="697"/>
      <c r="BC96" s="697" t="str">
        <f>IFERROR(__xludf.DUMMYFUNCTION("""COMPUTED_VALUE"""),"Six-monthly dosage with ivermectin, repeated four times, may gradually lead to a cumulative adverse effect on the total production of mfs by female worms.
")</f>
        <v>Six-monthly dosage with ivermectin, repeated four times, may gradually lead to a cumulative adverse effect on the total production of mfs by female worms.
</v>
      </c>
      <c r="BD96" s="697"/>
      <c r="BE96" s="697"/>
      <c r="BF96" s="697"/>
      <c r="BG96" s="697"/>
    </row>
    <row r="97">
      <c r="A97" s="697"/>
      <c r="B97" s="697" t="str">
        <f>IFERROR(__xludf.DUMMYFUNCTION("""COMPUTED_VALUE"""),"Duke et al.")</f>
        <v>Duke et al.</v>
      </c>
      <c r="C97" s="697" t="str">
        <f>IFERROR(__xludf.DUMMYFUNCTION("""COMPUTED_VALUE"""),"Guatemala")</f>
        <v>Guatemala</v>
      </c>
      <c r="D97" s="697" t="str">
        <f>IFERROR(__xludf.DUMMYFUNCTION("""COMPUTED_VALUE"""),"Untreated Controls")</f>
        <v>Untreated Controls</v>
      </c>
      <c r="E97" s="697"/>
      <c r="F97" s="697"/>
      <c r="G97" s="697"/>
      <c r="H97" s="697"/>
      <c r="I97" s="697"/>
      <c r="J97" s="697"/>
      <c r="K97" s="697"/>
      <c r="L97" s="697"/>
      <c r="M97" s="697"/>
      <c r="N97" s="697"/>
      <c r="O97" s="697"/>
      <c r="P97" s="697"/>
      <c r="Q97" s="697"/>
      <c r="R97" s="697"/>
      <c r="S97" s="697"/>
      <c r="T97" s="697"/>
      <c r="U97" s="697"/>
      <c r="V97" s="697"/>
      <c r="W97" s="697"/>
      <c r="X97" s="697"/>
      <c r="Y97" s="697"/>
      <c r="Z97" s="697"/>
      <c r="AA97" s="697"/>
      <c r="AB97" s="697"/>
      <c r="AC97" s="697"/>
      <c r="AD97" s="697"/>
      <c r="AE97" s="697" t="str">
        <f>IFERROR(__xludf.DUMMYFUNCTION("""COMPUTED_VALUE"""),"n/a")</f>
        <v>n/a</v>
      </c>
      <c r="AF97" s="697"/>
      <c r="AG97" s="697"/>
      <c r="AH97" s="697"/>
      <c r="AI97" s="697"/>
      <c r="AJ97" s="697"/>
      <c r="AK97" s="697" t="str">
        <f>IFERROR(__xludf.DUMMYFUNCTION("""COMPUTED_VALUE"""),"No. females producing mfs 18 (72.0%)")</f>
        <v>No. females producing mfs 18 (72.0%)</v>
      </c>
      <c r="AL97" s="697"/>
      <c r="AM97" s="698">
        <f>IFERROR(__xludf.DUMMYFUNCTION("""COMPUTED_VALUE"""),0.72)</f>
        <v>0.72</v>
      </c>
      <c r="AN97" s="697">
        <f>IFERROR(__xludf.DUMMYFUNCTION("""COMPUTED_VALUE"""),0.0)</f>
        <v>0</v>
      </c>
      <c r="AO97" s="698">
        <f>IFERROR(__xludf.DUMMYFUNCTION("""COMPUTED_VALUE"""),0.0)</f>
        <v>0</v>
      </c>
      <c r="AP97" s="697" t="str">
        <f>IFERROR(__xludf.DUMMYFUNCTION("""COMPUTED_VALUE"""),"Nodulectomy: mf positive")</f>
        <v>Nodulectomy: mf positive</v>
      </c>
      <c r="AQ97" s="697" t="str">
        <f>IFERROR(__xludf.DUMMYFUNCTION("""COMPUTED_VALUE"""),"Los Tarrales, Santa Isabel, El Vesubio, Los Andes, and Santa Emilia in the District of Pochuta")</f>
        <v>Los Tarrales, Santa Isabel, El Vesubio, Los Andes, and Santa Emilia in the District of Pochuta</v>
      </c>
      <c r="AR97" s="697">
        <f>IFERROR(__xludf.DUMMYFUNCTION("""COMPUTED_VALUE"""),1990.0)</f>
        <v>1990</v>
      </c>
      <c r="AS97" s="697">
        <f>IFERROR(__xludf.DUMMYFUNCTION("""COMPUTED_VALUE"""),11.0)</f>
        <v>11</v>
      </c>
      <c r="AT97" s="697" t="str">
        <f>IFERROR(__xludf.DUMMYFUNCTION("""COMPUTED_VALUE"""),"32 months")</f>
        <v>32 months</v>
      </c>
      <c r="AU97" s="699" t="str">
        <f>IFERROR(__xludf.DUMMYFUNCTION("""COMPUTED_VALUE"""),"Duke, B.O.L.; Zea-Flores, G.; Castro, J.; Cupp, E.W.; Munoz, B. (1991) Comparison of the Effects of a Single Dose and of Four Six-Monthly Doses of Ivermectin on Adult Onchocerca VolvulusAm J Trop Med Hyg 45(1): 132-137.")</f>
        <v>Duke, B.O.L.; Zea-Flores, G.; Castro, J.; Cupp, E.W.; Munoz, B. (1991) Comparison of the Effects of a Single Dose and of Four Six-Monthly Doses of Ivermectin on Adult Onchocerca VolvulusAm J Trop Med Hyg 45(1): 132-137.</v>
      </c>
      <c r="AV97" s="697" t="str">
        <f>IFERROR(__xludf.DUMMYFUNCTION("""COMPUTED_VALUE"""),"FM")</f>
        <v>FM</v>
      </c>
      <c r="AW97" s="697"/>
      <c r="AX97" s="697" t="str">
        <f>IFERROR(__xludf.DUMMYFUNCTION("""COMPUTED_VALUE"""),"Exclusion criteria: pregnant women, women breast-feeding a child under three months of age, children under five years old, and persons with severe illness or a history of neurological disorder.")</f>
        <v>Exclusion criteria: pregnant women, women breast-feeding a child under three months of age, children under five years old, and persons with severe illness or a history of neurological disorder.</v>
      </c>
      <c r="AY97" s="697" t="str">
        <f>IFERROR(__xludf.DUMMYFUNCTION("""COMPUTED_VALUE"""),"Yes")</f>
        <v>Yes</v>
      </c>
      <c r="AZ97" s="697" t="str">
        <f>IFERROR(__xludf.DUMMYFUNCTION("""COMPUTED_VALUE"""),"Yes")</f>
        <v>Yes</v>
      </c>
      <c r="BA97" s="697"/>
      <c r="BB97" s="697"/>
      <c r="BC97" s="697" t="str">
        <f>IFERROR(__xludf.DUMMYFUNCTION("""COMPUTED_VALUE"""),"Six-monthly dosage with ivermectin, repeated four times, may gradually lead to a cumulative adverse effect on the total production of mfs by female worms.
")</f>
        <v>Six-monthly dosage with ivermectin, repeated four times, may gradually lead to a cumulative adverse effect on the total production of mfs by female worms.
</v>
      </c>
      <c r="BD97" s="697"/>
      <c r="BE97" s="697"/>
      <c r="BF97" s="697"/>
      <c r="BG97" s="697"/>
    </row>
    <row r="98">
      <c r="A98" s="697"/>
      <c r="B98" s="697" t="str">
        <f>IFERROR(__xludf.DUMMYFUNCTION("""COMPUTED_VALUE"""),"Duke et al.")</f>
        <v>Duke et al.</v>
      </c>
      <c r="C98" s="697" t="str">
        <f>IFERROR(__xludf.DUMMYFUNCTION("""COMPUTED_VALUE"""),"Guatemala")</f>
        <v>Guatemala</v>
      </c>
      <c r="D98" s="697" t="str">
        <f>IFERROR(__xludf.DUMMYFUNCTION("""COMPUTED_VALUE"""),"Ivermectin")</f>
        <v>Ivermectin</v>
      </c>
      <c r="E98" s="697" t="str">
        <f>IFERROR(__xludf.DUMMYFUNCTION("""COMPUTED_VALUE"""),"120 ug/kg-200 ug/kg ")</f>
        <v>120 ug/kg-200 ug/kg </v>
      </c>
      <c r="F98" s="697">
        <f>IFERROR(__xludf.DUMMYFUNCTION("""COMPUTED_VALUE"""),4.0)</f>
        <v>4</v>
      </c>
      <c r="G98" s="697" t="str">
        <f>IFERROR(__xludf.DUMMYFUNCTION("""COMPUTED_VALUE"""),"480ug/kg-800ug/kg")</f>
        <v>480ug/kg-800ug/kg</v>
      </c>
      <c r="H98" s="697"/>
      <c r="I98" s="697"/>
      <c r="J98" s="697"/>
      <c r="K98" s="697"/>
      <c r="L98" s="697"/>
      <c r="M98" s="697"/>
      <c r="N98" s="697"/>
      <c r="O98" s="697"/>
      <c r="P98" s="697"/>
      <c r="Q98" s="697"/>
      <c r="R98" s="697"/>
      <c r="S98" s="697"/>
      <c r="T98" s="697"/>
      <c r="U98" s="697"/>
      <c r="V98" s="697"/>
      <c r="W98" s="697"/>
      <c r="X98" s="697"/>
      <c r="Y98" s="697"/>
      <c r="Z98" s="697"/>
      <c r="AA98" s="697"/>
      <c r="AB98" s="697"/>
      <c r="AC98" s="697"/>
      <c r="AD98" s="697"/>
      <c r="AE98" s="697" t="str">
        <f>IFERROR(__xludf.DUMMYFUNCTION("""COMPUTED_VALUE"""),"n/a")</f>
        <v>n/a</v>
      </c>
      <c r="AF98" s="697"/>
      <c r="AG98" s="697"/>
      <c r="AH98" s="697"/>
      <c r="AI98" s="697"/>
      <c r="AJ98" s="697"/>
      <c r="AK98" s="697" t="str">
        <f>IFERROR(__xludf.DUMMYFUNCTION("""COMPUTED_VALUE"""),"No. females producing mfs 8 (16.7%)")</f>
        <v>No. females producing mfs 8 (16.7%)</v>
      </c>
      <c r="AL98" s="697"/>
      <c r="AM98" s="698">
        <f>IFERROR(__xludf.DUMMYFUNCTION("""COMPUTED_VALUE"""),0.167)</f>
        <v>0.167</v>
      </c>
      <c r="AN98" s="697">
        <f>IFERROR(__xludf.DUMMYFUNCTION("""COMPUTED_VALUE"""),0.0)</f>
        <v>0</v>
      </c>
      <c r="AO98" s="698">
        <f>IFERROR(__xludf.DUMMYFUNCTION("""COMPUTED_VALUE"""),0.0)</f>
        <v>0</v>
      </c>
      <c r="AP98" s="697" t="str">
        <f>IFERROR(__xludf.DUMMYFUNCTION("""COMPUTED_VALUE"""),"Nodulectomy: mf positive")</f>
        <v>Nodulectomy: mf positive</v>
      </c>
      <c r="AQ98" s="697" t="str">
        <f>IFERROR(__xludf.DUMMYFUNCTION("""COMPUTED_VALUE"""),"Los Tarrales, Santa Isabel, El Vesubio, Los Andes, and Santa Emilia in the District of Pochuta")</f>
        <v>Los Tarrales, Santa Isabel, El Vesubio, Los Andes, and Santa Emilia in the District of Pochuta</v>
      </c>
      <c r="AR98" s="697">
        <f>IFERROR(__xludf.DUMMYFUNCTION("""COMPUTED_VALUE"""),1990.0)</f>
        <v>1990</v>
      </c>
      <c r="AS98" s="697">
        <f>IFERROR(__xludf.DUMMYFUNCTION("""COMPUTED_VALUE"""),38.0)</f>
        <v>38</v>
      </c>
      <c r="AT98" s="697" t="str">
        <f>IFERROR(__xludf.DUMMYFUNCTION("""COMPUTED_VALUE"""),"33 months")</f>
        <v>33 months</v>
      </c>
      <c r="AU98" s="699" t="str">
        <f>IFERROR(__xludf.DUMMYFUNCTION("""COMPUTED_VALUE"""),"Duke, B.O.L.; Zea-Flores, G.; Castro, J.; Cupp, E.W.; Munoz, B. (1991) Comparison of the Effects of a Single Dose and of Four Six-Monthly Doses of Ivermectin on Adult Onchocerca VolvulusAm J Trop Med Hyg 45(1): 132-137.")</f>
        <v>Duke, B.O.L.; Zea-Flores, G.; Castro, J.; Cupp, E.W.; Munoz, B. (1991) Comparison of the Effects of a Single Dose and of Four Six-Monthly Doses of Ivermectin on Adult Onchocerca VolvulusAm J Trop Med Hyg 45(1): 132-137.</v>
      </c>
      <c r="AV98" s="697" t="str">
        <f>IFERROR(__xludf.DUMMYFUNCTION("""COMPUTED_VALUE"""),"FM")</f>
        <v>FM</v>
      </c>
      <c r="AW98" s="697"/>
      <c r="AX98" s="697" t="str">
        <f>IFERROR(__xludf.DUMMYFUNCTION("""COMPUTED_VALUE"""),"Exclusion criteria: pregnant women, women breast-feeding a child under three months of age, children under five years old, and persons with severe illness or a history of neurological disorder.")</f>
        <v>Exclusion criteria: pregnant women, women breast-feeding a child under three months of age, children under five years old, and persons with severe illness or a history of neurological disorder.</v>
      </c>
      <c r="AY98" s="697" t="str">
        <f>IFERROR(__xludf.DUMMYFUNCTION("""COMPUTED_VALUE"""),"Yes")</f>
        <v>Yes</v>
      </c>
      <c r="AZ98" s="697" t="str">
        <f>IFERROR(__xludf.DUMMYFUNCTION("""COMPUTED_VALUE"""),"Yes")</f>
        <v>Yes</v>
      </c>
      <c r="BA98" s="697"/>
      <c r="BB98" s="697"/>
      <c r="BC98" s="697" t="str">
        <f>IFERROR(__xludf.DUMMYFUNCTION("""COMPUTED_VALUE"""),"Six-monthly dosage with ivermectin, repeated four times, may gradually lead to a cumulative adverse effect on the total production of mfs by female worms.
")</f>
        <v>Six-monthly dosage with ivermectin, repeated four times, may gradually lead to a cumulative adverse effect on the total production of mfs by female worms.
</v>
      </c>
      <c r="BD98" s="697"/>
      <c r="BE98" s="697"/>
      <c r="BF98" s="697"/>
      <c r="BG98" s="697"/>
    </row>
    <row r="99">
      <c r="A99" s="697"/>
      <c r="B99" s="697" t="str">
        <f>IFERROR(__xludf.DUMMYFUNCTION("""COMPUTED_VALUE"""),"Duke et al.")</f>
        <v>Duke et al.</v>
      </c>
      <c r="C99" s="697" t="str">
        <f>IFERROR(__xludf.DUMMYFUNCTION("""COMPUTED_VALUE"""),"Guatemala")</f>
        <v>Guatemala</v>
      </c>
      <c r="D99" s="697" t="str">
        <f>IFERROR(__xludf.DUMMYFUNCTION("""COMPUTED_VALUE"""),"Untreated Controls")</f>
        <v>Untreated Controls</v>
      </c>
      <c r="E99" s="697"/>
      <c r="F99" s="697"/>
      <c r="G99" s="697"/>
      <c r="H99" s="697"/>
      <c r="I99" s="697"/>
      <c r="J99" s="697"/>
      <c r="K99" s="697"/>
      <c r="L99" s="697"/>
      <c r="M99" s="697"/>
      <c r="N99" s="697"/>
      <c r="O99" s="697"/>
      <c r="P99" s="697"/>
      <c r="Q99" s="697"/>
      <c r="R99" s="697"/>
      <c r="S99" s="697"/>
      <c r="T99" s="697"/>
      <c r="U99" s="697"/>
      <c r="V99" s="697"/>
      <c r="W99" s="697"/>
      <c r="X99" s="697"/>
      <c r="Y99" s="697"/>
      <c r="Z99" s="697"/>
      <c r="AA99" s="697"/>
      <c r="AB99" s="697"/>
      <c r="AC99" s="697"/>
      <c r="AD99" s="697"/>
      <c r="AE99" s="697" t="str">
        <f>IFERROR(__xludf.DUMMYFUNCTION("""COMPUTED_VALUE"""),"n/a")</f>
        <v>n/a</v>
      </c>
      <c r="AF99" s="697"/>
      <c r="AG99" s="697"/>
      <c r="AH99" s="697"/>
      <c r="AI99" s="697"/>
      <c r="AJ99" s="697"/>
      <c r="AK99" s="697" t="str">
        <f>IFERROR(__xludf.DUMMYFUNCTION("""COMPUTED_VALUE"""),"No. females producing mfs 24 (72.8%)")</f>
        <v>No. females producing mfs 24 (72.8%)</v>
      </c>
      <c r="AL99" s="697"/>
      <c r="AM99" s="698">
        <f>IFERROR(__xludf.DUMMYFUNCTION("""COMPUTED_VALUE"""),0.728)</f>
        <v>0.728</v>
      </c>
      <c r="AN99" s="697">
        <f>IFERROR(__xludf.DUMMYFUNCTION("""COMPUTED_VALUE"""),0.0)</f>
        <v>0</v>
      </c>
      <c r="AO99" s="698">
        <f>IFERROR(__xludf.DUMMYFUNCTION("""COMPUTED_VALUE"""),0.0)</f>
        <v>0</v>
      </c>
      <c r="AP99" s="697" t="str">
        <f>IFERROR(__xludf.DUMMYFUNCTION("""COMPUTED_VALUE"""),"Nodulectomy: mf positive")</f>
        <v>Nodulectomy: mf positive</v>
      </c>
      <c r="AQ99" s="697" t="str">
        <f>IFERROR(__xludf.DUMMYFUNCTION("""COMPUTED_VALUE"""),"Los Tarrales, Santa Isabel, El Vesubio, Los Andes, and Santa Emilia in the District of Pochuta")</f>
        <v>Los Tarrales, Santa Isabel, El Vesubio, Los Andes, and Santa Emilia in the District of Pochuta</v>
      </c>
      <c r="AR99" s="697">
        <f>IFERROR(__xludf.DUMMYFUNCTION("""COMPUTED_VALUE"""),1990.0)</f>
        <v>1990</v>
      </c>
      <c r="AS99" s="697">
        <f>IFERROR(__xludf.DUMMYFUNCTION("""COMPUTED_VALUE"""),15.0)</f>
        <v>15</v>
      </c>
      <c r="AT99" s="697" t="str">
        <f>IFERROR(__xludf.DUMMYFUNCTION("""COMPUTED_VALUE"""),"34 months")</f>
        <v>34 months</v>
      </c>
      <c r="AU99" s="699" t="str">
        <f>IFERROR(__xludf.DUMMYFUNCTION("""COMPUTED_VALUE"""),"Duke, B.O.L.; Zea-Flores, G.; Castro, J.; Cupp, E.W.; Munoz, B. (1991) Comparison of the Effects of a Single Dose and of Four Six-Monthly Doses of Ivermectin on Adult Onchocerca VolvulusAm J Trop Med Hyg 45(1): 132-137.")</f>
        <v>Duke, B.O.L.; Zea-Flores, G.; Castro, J.; Cupp, E.W.; Munoz, B. (1991) Comparison of the Effects of a Single Dose and of Four Six-Monthly Doses of Ivermectin on Adult Onchocerca VolvulusAm J Trop Med Hyg 45(1): 132-137.</v>
      </c>
      <c r="AV99" s="697" t="str">
        <f>IFERROR(__xludf.DUMMYFUNCTION("""COMPUTED_VALUE"""),"FM")</f>
        <v>FM</v>
      </c>
      <c r="AW99" s="697"/>
      <c r="AX99" s="697" t="str">
        <f>IFERROR(__xludf.DUMMYFUNCTION("""COMPUTED_VALUE"""),"Exclusion criteria: pregnant women, women breast-feeding a child under three months of age, children under five years old, and persons with severe illness or a history of neurological disorder.")</f>
        <v>Exclusion criteria: pregnant women, women breast-feeding a child under three months of age, children under five years old, and persons with severe illness or a history of neurological disorder.</v>
      </c>
      <c r="AY99" s="697" t="str">
        <f>IFERROR(__xludf.DUMMYFUNCTION("""COMPUTED_VALUE"""),"Yes")</f>
        <v>Yes</v>
      </c>
      <c r="AZ99" s="697" t="str">
        <f>IFERROR(__xludf.DUMMYFUNCTION("""COMPUTED_VALUE"""),"Yes")</f>
        <v>Yes</v>
      </c>
      <c r="BA99" s="697"/>
      <c r="BB99" s="697"/>
      <c r="BC99" s="697" t="str">
        <f>IFERROR(__xludf.DUMMYFUNCTION("""COMPUTED_VALUE"""),"Six-monthly dosage with ivermectin, repeated four times, may gradually lead to a cumulative adverse effect on the total production of mfs by female worms.
")</f>
        <v>Six-monthly dosage with ivermectin, repeated four times, may gradually lead to a cumulative adverse effect on the total production of mfs by female worms.
</v>
      </c>
      <c r="BD99" s="697"/>
      <c r="BE99" s="697"/>
      <c r="BF99" s="697"/>
      <c r="BG99" s="697"/>
    </row>
    <row r="100">
      <c r="A100" s="697"/>
      <c r="B100" s="697" t="str">
        <f>IFERROR(__xludf.DUMMYFUNCTION("""COMPUTED_VALUE"""),"Awadzi et al.")</f>
        <v>Awadzi et al.</v>
      </c>
      <c r="C100" s="697" t="str">
        <f>IFERROR(__xludf.DUMMYFUNCTION("""COMPUTED_VALUE"""),"Ghana")</f>
        <v>Ghana</v>
      </c>
      <c r="D100" s="697" t="str">
        <f>IFERROR(__xludf.DUMMYFUNCTION("""COMPUTED_VALUE"""),"Placebo")</f>
        <v>Placebo</v>
      </c>
      <c r="E100" s="697"/>
      <c r="F100" s="697"/>
      <c r="G100" s="697"/>
      <c r="H100" s="697"/>
      <c r="I100" s="697"/>
      <c r="J100" s="697"/>
      <c r="K100" s="697"/>
      <c r="L100" s="697"/>
      <c r="M100" s="697"/>
      <c r="N100" s="697"/>
      <c r="O100" s="697"/>
      <c r="P100" s="697"/>
      <c r="Q100" s="697"/>
      <c r="R100" s="697"/>
      <c r="S100" s="697"/>
      <c r="T100" s="697"/>
      <c r="U100" s="697"/>
      <c r="V100" s="697"/>
      <c r="W100" s="697"/>
      <c r="X100" s="697"/>
      <c r="Y100" s="697"/>
      <c r="Z100" s="697"/>
      <c r="AA100" s="697"/>
      <c r="AB100" s="697"/>
      <c r="AC100" s="697"/>
      <c r="AD100" s="697"/>
      <c r="AE100" s="697" t="str">
        <f>IFERROR(__xludf.DUMMYFUNCTION("""COMPUTED_VALUE"""),"n/a")</f>
        <v>n/a</v>
      </c>
      <c r="AF100" s="697"/>
      <c r="AG100" s="697"/>
      <c r="AH100" s="697"/>
      <c r="AI100" s="697"/>
      <c r="AJ100" s="697"/>
      <c r="AK100" s="697"/>
      <c r="AL100" s="697"/>
      <c r="AM100" s="697"/>
      <c r="AN100" s="697">
        <f>IFERROR(__xludf.DUMMYFUNCTION("""COMPUTED_VALUE"""),0.0)</f>
        <v>0</v>
      </c>
      <c r="AO100" s="698">
        <f>IFERROR(__xludf.DUMMYFUNCTION("""COMPUTED_VALUE"""),0.0)</f>
        <v>0</v>
      </c>
      <c r="AP100" s="697" t="str">
        <f>IFERROR(__xludf.DUMMYFUNCTION("""COMPUTED_VALUE"""),"Nodulectomy: mf positive")</f>
        <v>Nodulectomy: mf positive</v>
      </c>
      <c r="AQ100" s="697" t="str">
        <f>IFERROR(__xludf.DUMMYFUNCTION("""COMPUTED_VALUE"""),"Onchocerciasis Chemotherapeutic Research Centre at Tamale Hospital")</f>
        <v>Onchocerciasis Chemotherapeutic Research Centre at Tamale Hospital</v>
      </c>
      <c r="AR100" s="697">
        <f>IFERROR(__xludf.DUMMYFUNCTION("""COMPUTED_VALUE"""),1986.0)</f>
        <v>1986</v>
      </c>
      <c r="AS100" s="697">
        <f>IFERROR(__xludf.DUMMYFUNCTION("""COMPUTED_VALUE"""),17.0)</f>
        <v>17</v>
      </c>
      <c r="AT100" s="697" t="str">
        <f>IFERROR(__xludf.DUMMYFUNCTION("""COMPUTED_VALUE"""),"6 months")</f>
        <v>6 months</v>
      </c>
      <c r="AU100" s="699" t="str">
        <f>IFERROR(__xludf.DUMMYFUNCTION("""COMPUTED_VALUE"""),"Awadzi, K.; Dadzie, K.Y.; Schulz-Key, H.; Gilles, H.M.; Fulford, A.J.; Aziz, M.A. (1986) The Chemotherapy of Onchocerciasis XI A double-blind comparative study of ivermectin, diethylcarbamazine and placebo in human onchocerciasis in Northern Ghana. Annals"&amp;" of Tropical Medicine and Parasitology 80(4): 433-442.")</f>
        <v>Awadzi, K.; Dadzie, K.Y.; Schulz-Key, H.; Gilles, H.M.; Fulford, A.J.; Aziz, M.A. (1986) The Chemotherapy of Onchocerciasis XI A double-blind comparative study of ivermectin, diethylcarbamazine and placebo in human onchocerciasis in Northern Ghana. Annals of Tropical Medicine and Parasitology 80(4): 433-442.</v>
      </c>
      <c r="AV100" s="697" t="str">
        <f>IFERROR(__xludf.DUMMYFUNCTION("""COMPUTED_VALUE"""),"M")</f>
        <v>M</v>
      </c>
      <c r="AW100" s="697" t="str">
        <f>IFERROR(__xludf.DUMMYFUNCTION("""COMPUTED_VALUE"""),"Mean Age + Range: 33(18-45) yrs.")</f>
        <v>Mean Age + Range: 33(18-45) yrs.</v>
      </c>
      <c r="AX100" s="697"/>
      <c r="AY100" s="697" t="str">
        <f>IFERROR(__xludf.DUMMYFUNCTION("""COMPUTED_VALUE"""),"Yes")</f>
        <v>Yes</v>
      </c>
      <c r="AZ100" s="697" t="str">
        <f>IFERROR(__xludf.DUMMYFUNCTION("""COMPUTED_VALUE"""),"Yes")</f>
        <v>Yes</v>
      </c>
      <c r="BA100" s="697"/>
      <c r="BB100" s="697"/>
      <c r="BC100" s="697" t="str">
        <f>IFERROR(__xludf.DUMMYFUNCTION("""COMPUTED_VALUE"""),"Ivermectin proved superior to diethylcarbamazine in safety, tolerance, and efficacy, but further work is needed to assess fully its effects in patients with heavy intraocular microfilarial loads.")</f>
        <v>Ivermectin proved superior to diethylcarbamazine in safety, tolerance, and efficacy, but further work is needed to assess fully its effects in patients with heavy intraocular microfilarial loads.</v>
      </c>
      <c r="BD100" s="697" t="str">
        <f>IFERROR(__xludf.DUMMYFUNCTION("""COMPUTED_VALUE"""),"Two of the 20 patients entered in the ivermectin group and two of the 19 patients in the placebo group absconded on the second day of treatment for no apparent reason. Three of them returned a few days later but were not re-admitted to the study.")</f>
        <v>Two of the 20 patients entered in the ivermectin group and two of the 19 patients in the placebo group absconded on the second day of treatment for no apparent reason. Three of them returned a few days later but were not re-admitted to the study.</v>
      </c>
      <c r="BE100" s="697"/>
      <c r="BF100" s="697"/>
      <c r="BG100" s="697"/>
    </row>
    <row r="101">
      <c r="A101" s="697"/>
      <c r="B101" s="697" t="str">
        <f>IFERROR(__xludf.DUMMYFUNCTION("""COMPUTED_VALUE"""),"Awadzi et al.")</f>
        <v>Awadzi et al.</v>
      </c>
      <c r="C101" s="697" t="str">
        <f>IFERROR(__xludf.DUMMYFUNCTION("""COMPUTED_VALUE"""),"Ghana")</f>
        <v>Ghana</v>
      </c>
      <c r="D101" s="697" t="str">
        <f>IFERROR(__xludf.DUMMYFUNCTION("""COMPUTED_VALUE"""),"DEC")</f>
        <v>DEC</v>
      </c>
      <c r="E101" s="697" t="str">
        <f>IFERROR(__xludf.DUMMYFUNCTION("""COMPUTED_VALUE"""),"50mg, 100mg")</f>
        <v>50mg, 100mg</v>
      </c>
      <c r="F101" s="697" t="str">
        <f>IFERROR(__xludf.DUMMYFUNCTION("""COMPUTED_VALUE"""),"2,12")</f>
        <v>2,12</v>
      </c>
      <c r="G101" s="697" t="str">
        <f>IFERROR(__xludf.DUMMYFUNCTION("""COMPUTED_VALUE"""),"1300 mg/kg")</f>
        <v>1300 mg/kg</v>
      </c>
      <c r="H101" s="697"/>
      <c r="I101" s="697"/>
      <c r="J101" s="697"/>
      <c r="K101" s="697"/>
      <c r="L101" s="697"/>
      <c r="M101" s="697"/>
      <c r="N101" s="697"/>
      <c r="O101" s="697"/>
      <c r="P101" s="697"/>
      <c r="Q101" s="697"/>
      <c r="R101" s="697"/>
      <c r="S101" s="697"/>
      <c r="T101" s="697"/>
      <c r="U101" s="697"/>
      <c r="V101" s="697"/>
      <c r="W101" s="697"/>
      <c r="X101" s="697"/>
      <c r="Y101" s="697"/>
      <c r="Z101" s="697"/>
      <c r="AA101" s="697"/>
      <c r="AB101" s="697"/>
      <c r="AC101" s="697"/>
      <c r="AD101" s="697"/>
      <c r="AE101" s="697" t="str">
        <f>IFERROR(__xludf.DUMMYFUNCTION("""COMPUTED_VALUE"""),"n/a")</f>
        <v>n/a</v>
      </c>
      <c r="AF101" s="697"/>
      <c r="AG101" s="697"/>
      <c r="AH101" s="697"/>
      <c r="AI101" s="697"/>
      <c r="AJ101" s="697"/>
      <c r="AK101" s="697"/>
      <c r="AL101" s="698">
        <f>IFERROR(__xludf.DUMMYFUNCTION("""COMPUTED_VALUE"""),0.239)</f>
        <v>0.239</v>
      </c>
      <c r="AM101" s="698">
        <f>IFERROR(__xludf.DUMMYFUNCTION("""COMPUTED_VALUE"""),0.333)</f>
        <v>0.333</v>
      </c>
      <c r="AN101" s="697">
        <f>IFERROR(__xludf.DUMMYFUNCTION("""COMPUTED_VALUE"""),0.0)</f>
        <v>0</v>
      </c>
      <c r="AO101" s="698">
        <f>IFERROR(__xludf.DUMMYFUNCTION("""COMPUTED_VALUE"""),0.0)</f>
        <v>0</v>
      </c>
      <c r="AP101" s="697" t="str">
        <f>IFERROR(__xludf.DUMMYFUNCTION("""COMPUTED_VALUE"""),"Nodulectomy: mf positive")</f>
        <v>Nodulectomy: mf positive</v>
      </c>
      <c r="AQ101" s="697" t="str">
        <f>IFERROR(__xludf.DUMMYFUNCTION("""COMPUTED_VALUE"""),"Onchocerciasis Chemotherapeutic Research Centre at Tamale Hospital")</f>
        <v>Onchocerciasis Chemotherapeutic Research Centre at Tamale Hospital</v>
      </c>
      <c r="AR101" s="697">
        <f>IFERROR(__xludf.DUMMYFUNCTION("""COMPUTED_VALUE"""),1986.0)</f>
        <v>1986</v>
      </c>
      <c r="AS101" s="697">
        <f>IFERROR(__xludf.DUMMYFUNCTION("""COMPUTED_VALUE"""),19.0)</f>
        <v>19</v>
      </c>
      <c r="AT101" s="697" t="str">
        <f>IFERROR(__xludf.DUMMYFUNCTION("""COMPUTED_VALUE"""),"6 months")</f>
        <v>6 months</v>
      </c>
      <c r="AU101" s="699" t="str">
        <f>IFERROR(__xludf.DUMMYFUNCTION("""COMPUTED_VALUE"""),"Awadzi, K.; Dadzie, K.Y.; Schulz-Key, H.; Gilles, H.M.; Fulford, A.J.; Aziz, M.A. (1986) The Chemotherapy of Onchocerciasis XI A double-blind comparative study of ivermectin, diethylcarbamazine and placebo in human onchocerciasis in Northern Ghana. Annals"&amp;" of Tropical Medicine and Parasitology 80(4): 433-442.")</f>
        <v>Awadzi, K.; Dadzie, K.Y.; Schulz-Key, H.; Gilles, H.M.; Fulford, A.J.; Aziz, M.A. (1986) The Chemotherapy of Onchocerciasis XI A double-blind comparative study of ivermectin, diethylcarbamazine and placebo in human onchocerciasis in Northern Ghana. Annals of Tropical Medicine and Parasitology 80(4): 433-442.</v>
      </c>
      <c r="AV101" s="697" t="str">
        <f>IFERROR(__xludf.DUMMYFUNCTION("""COMPUTED_VALUE"""),"M")</f>
        <v>M</v>
      </c>
      <c r="AW101" s="697" t="str">
        <f>IFERROR(__xludf.DUMMYFUNCTION("""COMPUTED_VALUE"""),"Mean Age + Range: 31.2(17-50) yrs.")</f>
        <v>Mean Age + Range: 31.2(17-50) yrs.</v>
      </c>
      <c r="AX101" s="697"/>
      <c r="AY101" s="697" t="str">
        <f>IFERROR(__xludf.DUMMYFUNCTION("""COMPUTED_VALUE"""),"Yes")</f>
        <v>Yes</v>
      </c>
      <c r="AZ101" s="697" t="str">
        <f>IFERROR(__xludf.DUMMYFUNCTION("""COMPUTED_VALUE"""),"Yes")</f>
        <v>Yes</v>
      </c>
      <c r="BA101" s="697"/>
      <c r="BB101" s="697"/>
      <c r="BC101" s="697" t="str">
        <f>IFERROR(__xludf.DUMMYFUNCTION("""COMPUTED_VALUE"""),"Ivermectin proved superior to diethylcarbamazine in safety, tolerance, and efficacy, but further work is needed to assess fully its effects in patients with heavy intraocular microfilarial loads.")</f>
        <v>Ivermectin proved superior to diethylcarbamazine in safety, tolerance, and efficacy, but further work is needed to assess fully its effects in patients with heavy intraocular microfilarial loads.</v>
      </c>
      <c r="BD101" s="697" t="str">
        <f>IFERROR(__xludf.DUMMYFUNCTION("""COMPUTED_VALUE"""),"Two of the 20 patients entered in the ivermectin group and two of the 19 patients in the placebo group absconded on the second day of treatment for no apparent reason. Three of them returned a few days later but were not re-admitted to the study.")</f>
        <v>Two of the 20 patients entered in the ivermectin group and two of the 19 patients in the placebo group absconded on the second day of treatment for no apparent reason. Three of them returned a few days later but were not re-admitted to the study.</v>
      </c>
      <c r="BE101" s="697"/>
      <c r="BF101" s="697"/>
      <c r="BG101" s="697"/>
    </row>
    <row r="102">
      <c r="A102" s="697"/>
      <c r="B102" s="697" t="str">
        <f>IFERROR(__xludf.DUMMYFUNCTION("""COMPUTED_VALUE"""),"Awadzi et al.")</f>
        <v>Awadzi et al.</v>
      </c>
      <c r="C102" s="697" t="str">
        <f>IFERROR(__xludf.DUMMYFUNCTION("""COMPUTED_VALUE"""),"Ghana")</f>
        <v>Ghana</v>
      </c>
      <c r="D102" s="697" t="str">
        <f>IFERROR(__xludf.DUMMYFUNCTION("""COMPUTED_VALUE"""),"Ivermectin")</f>
        <v>Ivermectin</v>
      </c>
      <c r="E102" s="697" t="str">
        <f>IFERROR(__xludf.DUMMYFUNCTION("""COMPUTED_VALUE"""),"200ug/kg")</f>
        <v>200ug/kg</v>
      </c>
      <c r="F102" s="697">
        <f>IFERROR(__xludf.DUMMYFUNCTION("""COMPUTED_VALUE"""),1.0)</f>
        <v>1</v>
      </c>
      <c r="G102" s="697" t="str">
        <f>IFERROR(__xludf.DUMMYFUNCTION("""COMPUTED_VALUE"""),"200ug/kg")</f>
        <v>200ug/kg</v>
      </c>
      <c r="H102" s="697"/>
      <c r="I102" s="697"/>
      <c r="J102" s="697"/>
      <c r="K102" s="697"/>
      <c r="L102" s="697"/>
      <c r="M102" s="697"/>
      <c r="N102" s="697"/>
      <c r="O102" s="697"/>
      <c r="P102" s="697"/>
      <c r="Q102" s="697"/>
      <c r="R102" s="697"/>
      <c r="S102" s="697"/>
      <c r="T102" s="697"/>
      <c r="U102" s="697"/>
      <c r="V102" s="697"/>
      <c r="W102" s="697"/>
      <c r="X102" s="697"/>
      <c r="Y102" s="697"/>
      <c r="Z102" s="697"/>
      <c r="AA102" s="697"/>
      <c r="AB102" s="697"/>
      <c r="AC102" s="697"/>
      <c r="AD102" s="697"/>
      <c r="AE102" s="697" t="str">
        <f>IFERROR(__xludf.DUMMYFUNCTION("""COMPUTED_VALUE"""),"n/a")</f>
        <v>n/a</v>
      </c>
      <c r="AF102" s="697"/>
      <c r="AG102" s="697"/>
      <c r="AH102" s="697"/>
      <c r="AI102" s="697"/>
      <c r="AJ102" s="697"/>
      <c r="AK102" s="697"/>
      <c r="AL102" s="698">
        <f>IFERROR(__xludf.DUMMYFUNCTION("""COMPUTED_VALUE"""),0.191)</f>
        <v>0.191</v>
      </c>
      <c r="AM102" s="698">
        <f>IFERROR(__xludf.DUMMYFUNCTION("""COMPUTED_VALUE"""),0.141)</f>
        <v>0.141</v>
      </c>
      <c r="AN102" s="697">
        <f>IFERROR(__xludf.DUMMYFUNCTION("""COMPUTED_VALUE"""),0.0)</f>
        <v>0</v>
      </c>
      <c r="AO102" s="698">
        <f>IFERROR(__xludf.DUMMYFUNCTION("""COMPUTED_VALUE"""),0.0)</f>
        <v>0</v>
      </c>
      <c r="AP102" s="697" t="str">
        <f>IFERROR(__xludf.DUMMYFUNCTION("""COMPUTED_VALUE"""),"Nodulectomy: mf positive")</f>
        <v>Nodulectomy: mf positive</v>
      </c>
      <c r="AQ102" s="697" t="str">
        <f>IFERROR(__xludf.DUMMYFUNCTION("""COMPUTED_VALUE"""),"Onchocerciasis Chemotherapeutic Research Centre at Tamale Hospital")</f>
        <v>Onchocerciasis Chemotherapeutic Research Centre at Tamale Hospital</v>
      </c>
      <c r="AR102" s="697">
        <f>IFERROR(__xludf.DUMMYFUNCTION("""COMPUTED_VALUE"""),1986.0)</f>
        <v>1986</v>
      </c>
      <c r="AS102" s="697">
        <f>IFERROR(__xludf.DUMMYFUNCTION("""COMPUTED_VALUE"""),18.0)</f>
        <v>18</v>
      </c>
      <c r="AT102" s="697" t="str">
        <f>IFERROR(__xludf.DUMMYFUNCTION("""COMPUTED_VALUE"""),"6 months")</f>
        <v>6 months</v>
      </c>
      <c r="AU102" s="699" t="str">
        <f>IFERROR(__xludf.DUMMYFUNCTION("""COMPUTED_VALUE"""),"Awadzi, K.; Dadzie, K.Y.; Schulz-Key, H.; Gilles, H.M.; Fulford, A.J.; Aziz, M.A. (1986) The Chemotherapy of Onchocerciasis XI A double-blind comparative study of ivermectin, diethylcarbamazine and placebo in human onchocerciasis in Northern Ghana. Annals"&amp;" of Tropical Medicine and Parasitology 80(4): 433-442.")</f>
        <v>Awadzi, K.; Dadzie, K.Y.; Schulz-Key, H.; Gilles, H.M.; Fulford, A.J.; Aziz, M.A. (1986) The Chemotherapy of Onchocerciasis XI A double-blind comparative study of ivermectin, diethylcarbamazine and placebo in human onchocerciasis in Northern Ghana. Annals of Tropical Medicine and Parasitology 80(4): 433-442.</v>
      </c>
      <c r="AV102" s="697" t="str">
        <f>IFERROR(__xludf.DUMMYFUNCTION("""COMPUTED_VALUE"""),"M")</f>
        <v>M</v>
      </c>
      <c r="AW102" s="697" t="str">
        <f>IFERROR(__xludf.DUMMYFUNCTION("""COMPUTED_VALUE"""),"Mean Age + Range: 30.6(15-47) yrs.")</f>
        <v>Mean Age + Range: 30.6(15-47) yrs.</v>
      </c>
      <c r="AX102" s="697"/>
      <c r="AY102" s="697" t="str">
        <f>IFERROR(__xludf.DUMMYFUNCTION("""COMPUTED_VALUE"""),"Yes")</f>
        <v>Yes</v>
      </c>
      <c r="AZ102" s="697" t="str">
        <f>IFERROR(__xludf.DUMMYFUNCTION("""COMPUTED_VALUE"""),"Yes")</f>
        <v>Yes</v>
      </c>
      <c r="BA102" s="697"/>
      <c r="BB102" s="697"/>
      <c r="BC102" s="697" t="str">
        <f>IFERROR(__xludf.DUMMYFUNCTION("""COMPUTED_VALUE"""),"Ivermectin proved superior to diethylcarbamazine in safety, tolerance, and efficacy, but further work is needed to assess fully its effects in patients with heavy intraocular microfilarial loads.")</f>
        <v>Ivermectin proved superior to diethylcarbamazine in safety, tolerance, and efficacy, but further work is needed to assess fully its effects in patients with heavy intraocular microfilarial loads.</v>
      </c>
      <c r="BD102" s="697" t="str">
        <f>IFERROR(__xludf.DUMMYFUNCTION("""COMPUTED_VALUE"""),"Two of the 20 patients entered in the ivermectin group and two of the 19 patients in the placebo group absconded on the second day of treatment for no apparent reason. Three of them returned a few days later but were not re-admitted to the study.")</f>
        <v>Two of the 20 patients entered in the ivermectin group and two of the 19 patients in the placebo group absconded on the second day of treatment for no apparent reason. Three of them returned a few days later but were not re-admitted to the study.</v>
      </c>
      <c r="BE102" s="697"/>
      <c r="BF102" s="697"/>
      <c r="BG102" s="697"/>
    </row>
    <row r="103">
      <c r="A103" s="697"/>
      <c r="B103" s="697" t="str">
        <f>IFERROR(__xludf.DUMMYFUNCTION("""COMPUTED_VALUE"""),"Diallo et al.")</f>
        <v>Diallo et al.</v>
      </c>
      <c r="C103" s="697" t="str">
        <f>IFERROR(__xludf.DUMMYFUNCTION("""COMPUTED_VALUE"""),"Senegal")</f>
        <v>Senegal</v>
      </c>
      <c r="D103" s="697" t="str">
        <f>IFERROR(__xludf.DUMMYFUNCTION("""COMPUTED_VALUE"""),"Ivermectin")</f>
        <v>Ivermectin</v>
      </c>
      <c r="E103" s="697" t="str">
        <f>IFERROR(__xludf.DUMMYFUNCTION("""COMPUTED_VALUE"""),"200ug/kg")</f>
        <v>200ug/kg</v>
      </c>
      <c r="F103" s="697">
        <f>IFERROR(__xludf.DUMMYFUNCTION("""COMPUTED_VALUE"""),1.0)</f>
        <v>1</v>
      </c>
      <c r="G103" s="697" t="str">
        <f>IFERROR(__xludf.DUMMYFUNCTION("""COMPUTED_VALUE"""),"200ug/kg")</f>
        <v>200ug/kg</v>
      </c>
      <c r="H103" s="697"/>
      <c r="I103" s="700">
        <f>IFERROR(__xludf.DUMMYFUNCTION("""COMPUTED_VALUE"""),0.84)</f>
        <v>0.84</v>
      </c>
      <c r="J103" s="697"/>
      <c r="K103" s="700">
        <f>IFERROR(__xludf.DUMMYFUNCTION("""COMPUTED_VALUE"""),0.96)</f>
        <v>0.96</v>
      </c>
      <c r="L103" s="700">
        <f>IFERROR(__xludf.DUMMYFUNCTION("""COMPUTED_VALUE"""),0.98)</f>
        <v>0.98</v>
      </c>
      <c r="M103" s="697"/>
      <c r="N103" s="700">
        <f>IFERROR(__xludf.DUMMYFUNCTION("""COMPUTED_VALUE"""),0.98)</f>
        <v>0.98</v>
      </c>
      <c r="O103" s="700">
        <f>IFERROR(__xludf.DUMMYFUNCTION("""COMPUTED_VALUE"""),0.96)</f>
        <v>0.96</v>
      </c>
      <c r="P103" s="697"/>
      <c r="Q103" s="700">
        <f>IFERROR(__xludf.DUMMYFUNCTION("""COMPUTED_VALUE"""),0.97)</f>
        <v>0.97</v>
      </c>
      <c r="R103" s="697"/>
      <c r="S103" s="700">
        <f>IFERROR(__xludf.DUMMYFUNCTION("""COMPUTED_VALUE"""),0.97)</f>
        <v>0.97</v>
      </c>
      <c r="T103" s="697"/>
      <c r="U103" s="697"/>
      <c r="V103" s="697"/>
      <c r="W103" s="700">
        <f>IFERROR(__xludf.DUMMYFUNCTION("""COMPUTED_VALUE"""),0.96)</f>
        <v>0.96</v>
      </c>
      <c r="X103" s="697"/>
      <c r="Y103" s="697"/>
      <c r="Z103" s="697"/>
      <c r="AA103" s="697"/>
      <c r="AB103" s="697"/>
      <c r="AC103" s="697"/>
      <c r="AD103" s="697"/>
      <c r="AE103" s="697" t="str">
        <f>IFERROR(__xludf.DUMMYFUNCTION("""COMPUTED_VALUE"""),"n/a")</f>
        <v>n/a</v>
      </c>
      <c r="AF103" s="697"/>
      <c r="AG103" s="697"/>
      <c r="AH103" s="697"/>
      <c r="AI103" s="697"/>
      <c r="AJ103" s="697"/>
      <c r="AK103" s="697"/>
      <c r="AL103" s="697"/>
      <c r="AM103" s="697"/>
      <c r="AN103" s="700">
        <f>IFERROR(__xludf.DUMMYFUNCTION("""COMPUTED_VALUE"""),0.97)</f>
        <v>0.97</v>
      </c>
      <c r="AO103" s="698">
        <f>IFERROR(__xludf.DUMMYFUNCTION("""COMPUTED_VALUE"""),0.97)</f>
        <v>0.97</v>
      </c>
      <c r="AP103" s="697" t="str">
        <f>IFERROR(__xludf.DUMMYFUNCTION("""COMPUTED_VALUE"""),"Mf reduction")</f>
        <v>Mf reduction</v>
      </c>
      <c r="AQ103" s="697" t="str">
        <f>IFERROR(__xludf.DUMMYFUNCTION("""COMPUTED_VALUE"""),"Dakar, Senegal")</f>
        <v>Dakar, Senegal</v>
      </c>
      <c r="AR103" s="697">
        <f>IFERROR(__xludf.DUMMYFUNCTION("""COMPUTED_VALUE"""),1986.0)</f>
        <v>1986</v>
      </c>
      <c r="AS103" s="697">
        <f>IFERROR(__xludf.DUMMYFUNCTION("""COMPUTED_VALUE"""),10.0)</f>
        <v>10</v>
      </c>
      <c r="AT103" s="697" t="str">
        <f>IFERROR(__xludf.DUMMYFUNCTION("""COMPUTED_VALUE"""),"1 year")</f>
        <v>1 year</v>
      </c>
      <c r="AU103" s="699" t="str">
        <f>IFERROR(__xludf.DUMMYFUNCTION("""COMPUTED_VALUE"""),"Diallo, S.; Aziz, M.A.; Lariviere, M.; Diallo, J.S.; Diop-Mar, I.; N'Dir, O.; Badiane, S.; Pv H.; Schulz-Key, H.; Gaxotte, P.; Victorius, A. (1986) A double-blind comparison of the efficacy and safety of ivermectin and diethylcarbamazine in a placebo cont"&amp;"rolled study of Sengalese patients with onchocerciasis. Transactions of the Royal Society of Tropical Medicine and Hygiene 80: 927-934.")</f>
        <v>Diallo, S.; Aziz, M.A.; Lariviere, M.; Diallo, J.S.; Diop-Mar, I.; N'Dir, O.; Badiane, S.; Pv H.; Schulz-Key, H.; Gaxotte, P.; Victorius, A. (1986) A double-blind comparison of the efficacy and safety of ivermectin and diethylcarbamazine in a placebo controlled study of Sengalese patients with onchocerciasis. Transactions of the Royal Society of Tropical Medicine and Hygiene 80: 927-934.</v>
      </c>
      <c r="AV103" s="697" t="str">
        <f>IFERROR(__xludf.DUMMYFUNCTION("""COMPUTED_VALUE"""),"M")</f>
        <v>M</v>
      </c>
      <c r="AW103" s="697" t="str">
        <f>IFERROR(__xludf.DUMMYFUNCTION("""COMPUTED_VALUE"""),"Mean Age: 32.4")</f>
        <v>Mean Age: 32.4</v>
      </c>
      <c r="AX103" s="697" t="str">
        <f>IFERROR(__xludf.DUMMYFUNCTION("""COMPUTED_VALUE"""),"All patients have moderate or heavy infections.")</f>
        <v>All patients have moderate or heavy infections.</v>
      </c>
      <c r="AY103" s="697" t="str">
        <f>IFERROR(__xludf.DUMMYFUNCTION("""COMPUTED_VALUE"""),"Yes")</f>
        <v>Yes</v>
      </c>
      <c r="AZ103" s="697" t="str">
        <f>IFERROR(__xludf.DUMMYFUNCTION("""COMPUTED_VALUE"""),"Yes")</f>
        <v>Yes</v>
      </c>
      <c r="BA103" s="697"/>
      <c r="BB103" s="697"/>
      <c r="BC103" s="697" t="str">
        <f>IFERROR(__xludf.DUMMYFUNCTION("""COMPUTED_VALUE"""),"Ivermectin as a single oral dose appears to be a safer and more effective microfilaricidal drug in human onchocerciasis than DEC in the standard multi-dose regimen.")</f>
        <v>Ivermectin as a single oral dose appears to be a safer and more effective microfilaricidal drug in human onchocerciasis than DEC in the standard multi-dose regimen.</v>
      </c>
      <c r="BD103" s="697" t="str">
        <f>IFERROR(__xludf.DUMMYFUNCTION("""COMPUTED_VALUE"""),"Ten patients in each treatment group, except that only 9, 8, 9 and 9 DEC patients and 8, 9, 9 and 9 placebo patients returned to the hospital for the 3, 6, 9 and 12-month follow-up examinations.")</f>
        <v>Ten patients in each treatment group, except that only 9, 8, 9 and 9 DEC patients and 8, 9, 9 and 9 placebo patients returned to the hospital for the 3, 6, 9 and 12-month follow-up examinations.</v>
      </c>
      <c r="BE103" s="697"/>
      <c r="BF103" s="697"/>
      <c r="BG103" s="697"/>
    </row>
    <row r="104">
      <c r="A104" s="697"/>
      <c r="B104" s="697" t="str">
        <f>IFERROR(__xludf.DUMMYFUNCTION("""COMPUTED_VALUE"""),"Diallo et al.")</f>
        <v>Diallo et al.</v>
      </c>
      <c r="C104" s="697" t="str">
        <f>IFERROR(__xludf.DUMMYFUNCTION("""COMPUTED_VALUE"""),"Senegal")</f>
        <v>Senegal</v>
      </c>
      <c r="D104" s="697" t="str">
        <f>IFERROR(__xludf.DUMMYFUNCTION("""COMPUTED_VALUE"""),"DEC")</f>
        <v>DEC</v>
      </c>
      <c r="E104" s="697" t="str">
        <f>IFERROR(__xludf.DUMMYFUNCTION("""COMPUTED_VALUE"""),"50mg, 100mg")</f>
        <v>50mg, 100mg</v>
      </c>
      <c r="F104" s="703">
        <f>IFERROR(__xludf.DUMMYFUNCTION("""COMPUTED_VALUE"""),42412.0)</f>
        <v>42412</v>
      </c>
      <c r="G104" s="697" t="str">
        <f>IFERROR(__xludf.DUMMYFUNCTION("""COMPUTED_VALUE"""),"1300mg")</f>
        <v>1300mg</v>
      </c>
      <c r="H104" s="697"/>
      <c r="I104" s="700">
        <f>IFERROR(__xludf.DUMMYFUNCTION("""COMPUTED_VALUE"""),0.79)</f>
        <v>0.79</v>
      </c>
      <c r="J104" s="697"/>
      <c r="K104" s="700">
        <f>IFERROR(__xludf.DUMMYFUNCTION("""COMPUTED_VALUE"""),0.94)</f>
        <v>0.94</v>
      </c>
      <c r="L104" s="700">
        <f>IFERROR(__xludf.DUMMYFUNCTION("""COMPUTED_VALUE"""),0.99)</f>
        <v>0.99</v>
      </c>
      <c r="M104" s="697"/>
      <c r="N104" s="700">
        <f>IFERROR(__xludf.DUMMYFUNCTION("""COMPUTED_VALUE"""),0.96)</f>
        <v>0.96</v>
      </c>
      <c r="O104" s="700">
        <f>IFERROR(__xludf.DUMMYFUNCTION("""COMPUTED_VALUE"""),0.91)</f>
        <v>0.91</v>
      </c>
      <c r="P104" s="697"/>
      <c r="Q104" s="700">
        <f>IFERROR(__xludf.DUMMYFUNCTION("""COMPUTED_VALUE"""),0.85)</f>
        <v>0.85</v>
      </c>
      <c r="R104" s="697"/>
      <c r="S104" s="700">
        <f>IFERROR(__xludf.DUMMYFUNCTION("""COMPUTED_VALUE"""),0.78)</f>
        <v>0.78</v>
      </c>
      <c r="T104" s="697"/>
      <c r="U104" s="697"/>
      <c r="V104" s="697"/>
      <c r="W104" s="700">
        <f>IFERROR(__xludf.DUMMYFUNCTION("""COMPUTED_VALUE"""),0.82)</f>
        <v>0.82</v>
      </c>
      <c r="X104" s="697"/>
      <c r="Y104" s="697"/>
      <c r="Z104" s="697"/>
      <c r="AA104" s="697"/>
      <c r="AB104" s="697"/>
      <c r="AC104" s="697"/>
      <c r="AD104" s="697"/>
      <c r="AE104" s="697" t="str">
        <f>IFERROR(__xludf.DUMMYFUNCTION("""COMPUTED_VALUE"""),"n/a")</f>
        <v>n/a</v>
      </c>
      <c r="AF104" s="697"/>
      <c r="AG104" s="697"/>
      <c r="AH104" s="697"/>
      <c r="AI104" s="697"/>
      <c r="AJ104" s="697"/>
      <c r="AK104" s="697"/>
      <c r="AL104" s="697"/>
      <c r="AM104" s="697"/>
      <c r="AN104" s="700">
        <f>IFERROR(__xludf.DUMMYFUNCTION("""COMPUTED_VALUE"""),0.78)</f>
        <v>0.78</v>
      </c>
      <c r="AO104" s="698">
        <f>IFERROR(__xludf.DUMMYFUNCTION("""COMPUTED_VALUE"""),0.78)</f>
        <v>0.78</v>
      </c>
      <c r="AP104" s="697" t="str">
        <f>IFERROR(__xludf.DUMMYFUNCTION("""COMPUTED_VALUE"""),"Mf reduction")</f>
        <v>Mf reduction</v>
      </c>
      <c r="AQ104" s="697" t="str">
        <f>IFERROR(__xludf.DUMMYFUNCTION("""COMPUTED_VALUE"""),"Dakar, Senegal")</f>
        <v>Dakar, Senegal</v>
      </c>
      <c r="AR104" s="697">
        <f>IFERROR(__xludf.DUMMYFUNCTION("""COMPUTED_VALUE"""),1986.0)</f>
        <v>1986</v>
      </c>
      <c r="AS104" s="697">
        <f>IFERROR(__xludf.DUMMYFUNCTION("""COMPUTED_VALUE"""),10.0)</f>
        <v>10</v>
      </c>
      <c r="AT104" s="697" t="str">
        <f>IFERROR(__xludf.DUMMYFUNCTION("""COMPUTED_VALUE"""),"1 year")</f>
        <v>1 year</v>
      </c>
      <c r="AU104" s="699" t="str">
        <f>IFERROR(__xludf.DUMMYFUNCTION("""COMPUTED_VALUE"""),"Diallo, S.; Aziz, M.A.; Lariviere, M.; Diallo, J.S.; Diop-Mar, I.; N'Dir, O.; Badiane, S.; Pv H.; Schulz-Key, H.; Gaxotte, P.; Victorius, A. (1986) A double-blind comparison of the efficacy and safety of ivermectin and diethylcarbamazine in a placebo cont"&amp;"rolled study of Sengalese patients with onchocerciasis. Transactions of the Royal Society of Tropical Medicine and Hygiene 80: 927-934.")</f>
        <v>Diallo, S.; Aziz, M.A.; Lariviere, M.; Diallo, J.S.; Diop-Mar, I.; N'Dir, O.; Badiane, S.; Pv H.; Schulz-Key, H.; Gaxotte, P.; Victorius, A. (1986) A double-blind comparison of the efficacy and safety of ivermectin and diethylcarbamazine in a placebo controlled study of Sengalese patients with onchocerciasis. Transactions of the Royal Society of Tropical Medicine and Hygiene 80: 927-934.</v>
      </c>
      <c r="AV104" s="697"/>
      <c r="AW104" s="697" t="str">
        <f>IFERROR(__xludf.DUMMYFUNCTION("""COMPUTED_VALUE"""),"Mean Age: 33.5")</f>
        <v>Mean Age: 33.5</v>
      </c>
      <c r="AX104" s="697"/>
      <c r="AY104" s="697" t="str">
        <f>IFERROR(__xludf.DUMMYFUNCTION("""COMPUTED_VALUE"""),"Yes")</f>
        <v>Yes</v>
      </c>
      <c r="AZ104" s="697" t="str">
        <f>IFERROR(__xludf.DUMMYFUNCTION("""COMPUTED_VALUE"""),"Yes")</f>
        <v>Yes</v>
      </c>
      <c r="BA104" s="697"/>
      <c r="BB104" s="697"/>
      <c r="BC104" s="697" t="str">
        <f>IFERROR(__xludf.DUMMYFUNCTION("""COMPUTED_VALUE"""),"Ivermectin as a single oral dose appears to be a safer and more effective microfilaricidal drug in human onchocerciasis than DEC in the standard multi-dose regimen.")</f>
        <v>Ivermectin as a single oral dose appears to be a safer and more effective microfilaricidal drug in human onchocerciasis than DEC in the standard multi-dose regimen.</v>
      </c>
      <c r="BD104" s="697" t="str">
        <f>IFERROR(__xludf.DUMMYFUNCTION("""COMPUTED_VALUE"""),"Ten patients in each treatment group, except that only 9, 8, 9 and 9 DEC patients and 8, 9, 9 and 9 placebo patients returned to the hospital for the 3, 6, 9 and 12-month follow-up examinations.")</f>
        <v>Ten patients in each treatment group, except that only 9, 8, 9 and 9 DEC patients and 8, 9, 9 and 9 placebo patients returned to the hospital for the 3, 6, 9 and 12-month follow-up examinations.</v>
      </c>
      <c r="BE104" s="697"/>
      <c r="BF104" s="697"/>
      <c r="BG104" s="697"/>
    </row>
    <row r="105">
      <c r="A105" s="697"/>
      <c r="B105" s="697" t="str">
        <f>IFERROR(__xludf.DUMMYFUNCTION("""COMPUTED_VALUE"""),"Diallo et al.")</f>
        <v>Diallo et al.</v>
      </c>
      <c r="C105" s="697" t="str">
        <f>IFERROR(__xludf.DUMMYFUNCTION("""COMPUTED_VALUE"""),"Senegal")</f>
        <v>Senegal</v>
      </c>
      <c r="D105" s="697" t="str">
        <f>IFERROR(__xludf.DUMMYFUNCTION("""COMPUTED_VALUE"""),"Placebo")</f>
        <v>Placebo</v>
      </c>
      <c r="E105" s="697"/>
      <c r="F105" s="697"/>
      <c r="G105" s="697"/>
      <c r="H105" s="697"/>
      <c r="I105" s="697" t="str">
        <f>IFERROR(__xludf.DUMMYFUNCTION("""COMPUTED_VALUE"""),"Increase of 17%")</f>
        <v>Increase of 17%</v>
      </c>
      <c r="J105" s="697"/>
      <c r="K105" s="697" t="str">
        <f>IFERROR(__xludf.DUMMYFUNCTION("""COMPUTED_VALUE"""),"Increase of 34%")</f>
        <v>Increase of 34%</v>
      </c>
      <c r="L105" s="697"/>
      <c r="M105" s="697"/>
      <c r="N105" s="697" t="str">
        <f>IFERROR(__xludf.DUMMYFUNCTION("""COMPUTED_VALUE"""),"Increase of 35%")</f>
        <v>Increase of 35%</v>
      </c>
      <c r="O105" s="697" t="str">
        <f>IFERROR(__xludf.DUMMYFUNCTION("""COMPUTED_VALUE"""),"Increase of 56%")</f>
        <v>Increase of 56%</v>
      </c>
      <c r="P105" s="697"/>
      <c r="Q105" s="700">
        <f>IFERROR(__xludf.DUMMYFUNCTION("""COMPUTED_VALUE"""),0.05)</f>
        <v>0.05</v>
      </c>
      <c r="R105" s="697"/>
      <c r="S105" s="697" t="str">
        <f>IFERROR(__xludf.DUMMYFUNCTION("""COMPUTED_VALUE"""),"Increase of 45%")</f>
        <v>Increase of 45%</v>
      </c>
      <c r="T105" s="697"/>
      <c r="U105" s="697"/>
      <c r="V105" s="697"/>
      <c r="W105" s="700">
        <f>IFERROR(__xludf.DUMMYFUNCTION("""COMPUTED_VALUE"""),0.25)</f>
        <v>0.25</v>
      </c>
      <c r="X105" s="697"/>
      <c r="Y105" s="697"/>
      <c r="Z105" s="697"/>
      <c r="AA105" s="697"/>
      <c r="AB105" s="697"/>
      <c r="AC105" s="697"/>
      <c r="AD105" s="697"/>
      <c r="AE105" s="697" t="str">
        <f>IFERROR(__xludf.DUMMYFUNCTION("""COMPUTED_VALUE"""),"n/a")</f>
        <v>n/a</v>
      </c>
      <c r="AF105" s="697"/>
      <c r="AG105" s="697"/>
      <c r="AH105" s="697"/>
      <c r="AI105" s="697"/>
      <c r="AJ105" s="697"/>
      <c r="AK105" s="697"/>
      <c r="AL105" s="697"/>
      <c r="AM105" s="697"/>
      <c r="AN105" s="697" t="str">
        <f>IFERROR(__xludf.DUMMYFUNCTION("""COMPUTED_VALUE"""),"Increase of 45%")</f>
        <v>Increase of 45%</v>
      </c>
      <c r="AO105" s="698">
        <f>IFERROR(__xludf.DUMMYFUNCTION("""COMPUTED_VALUE"""),0.45)</f>
        <v>0.45</v>
      </c>
      <c r="AP105" s="697" t="str">
        <f>IFERROR(__xludf.DUMMYFUNCTION("""COMPUTED_VALUE"""),"Mf reduction")</f>
        <v>Mf reduction</v>
      </c>
      <c r="AQ105" s="697" t="str">
        <f>IFERROR(__xludf.DUMMYFUNCTION("""COMPUTED_VALUE"""),"Dakar, Senegal")</f>
        <v>Dakar, Senegal</v>
      </c>
      <c r="AR105" s="697">
        <f>IFERROR(__xludf.DUMMYFUNCTION("""COMPUTED_VALUE"""),1986.0)</f>
        <v>1986</v>
      </c>
      <c r="AS105" s="697">
        <f>IFERROR(__xludf.DUMMYFUNCTION("""COMPUTED_VALUE"""),10.0)</f>
        <v>10</v>
      </c>
      <c r="AT105" s="697" t="str">
        <f>IFERROR(__xludf.DUMMYFUNCTION("""COMPUTED_VALUE"""),"1 year")</f>
        <v>1 year</v>
      </c>
      <c r="AU105" s="699" t="str">
        <f>IFERROR(__xludf.DUMMYFUNCTION("""COMPUTED_VALUE"""),"Diallo, S.; Aziz, M.A.; Lariviere, M.; Diallo, J.S.; Diop-Mar, I.; N'Dir, O.; Badiane, S.; Pv H.; Schulz-Key, H.; Gaxotte, P.; Victorius, A. (1986) A double-blind comparison of the efficacy and safety of ivermectin and diethylcarbamazine in a placebo cont"&amp;"rolled study of Sengalese patients with onchocerciasis. Transactions of the Royal Society of Tropical Medicine and Hygiene 80: 927-934.")</f>
        <v>Diallo, S.; Aziz, M.A.; Lariviere, M.; Diallo, J.S.; Diop-Mar, I.; N'Dir, O.; Badiane, S.; Pv H.; Schulz-Key, H.; Gaxotte, P.; Victorius, A. (1986) A double-blind comparison of the efficacy and safety of ivermectin and diethylcarbamazine in a placebo controlled study of Sengalese patients with onchocerciasis. Transactions of the Royal Society of Tropical Medicine and Hygiene 80: 927-934.</v>
      </c>
      <c r="AV105" s="697"/>
      <c r="AW105" s="697" t="str">
        <f>IFERROR(__xludf.DUMMYFUNCTION("""COMPUTED_VALUE"""),"Mean Age: 31.4")</f>
        <v>Mean Age: 31.4</v>
      </c>
      <c r="AX105" s="697"/>
      <c r="AY105" s="697" t="str">
        <f>IFERROR(__xludf.DUMMYFUNCTION("""COMPUTED_VALUE"""),"Yes")</f>
        <v>Yes</v>
      </c>
      <c r="AZ105" s="697" t="str">
        <f>IFERROR(__xludf.DUMMYFUNCTION("""COMPUTED_VALUE"""),"Yes")</f>
        <v>Yes</v>
      </c>
      <c r="BA105" s="697"/>
      <c r="BB105" s="697"/>
      <c r="BC105" s="697" t="str">
        <f>IFERROR(__xludf.DUMMYFUNCTION("""COMPUTED_VALUE"""),"Ivermectin as a single oral dose appears to be a safer and more effective microfilaricidal drug in human onchocerciasis than DEC in the standard multi-dose regimen.")</f>
        <v>Ivermectin as a single oral dose appears to be a safer and more effective microfilaricidal drug in human onchocerciasis than DEC in the standard multi-dose regimen.</v>
      </c>
      <c r="BD105" s="697" t="str">
        <f>IFERROR(__xludf.DUMMYFUNCTION("""COMPUTED_VALUE"""),"Ten patients in each treatment group, except that only 9, 8, 9 and 9 DEC patients and 8, 9, 9 and 9 placebo patients returned to the hospital for the 3, 6, 9 and 12-month follow-up examinations.")</f>
        <v>Ten patients in each treatment group, except that only 9, 8, 9 and 9 DEC patients and 8, 9, 9 and 9 placebo patients returned to the hospital for the 3, 6, 9 and 12-month follow-up examinations.</v>
      </c>
      <c r="BE105" s="697"/>
      <c r="BF105" s="697"/>
      <c r="BG105" s="697"/>
    </row>
    <row r="106">
      <c r="A106" s="697"/>
      <c r="B106" s="697" t="str">
        <f>IFERROR(__xludf.DUMMYFUNCTION("""COMPUTED_VALUE"""),"Whitworth et al.")</f>
        <v>Whitworth et al.</v>
      </c>
      <c r="C106" s="697" t="str">
        <f>IFERROR(__xludf.DUMMYFUNCTION("""COMPUTED_VALUE"""),"Sierra Leone")</f>
        <v>Sierra Leone</v>
      </c>
      <c r="D106" s="697" t="str">
        <f>IFERROR(__xludf.DUMMYFUNCTION("""COMPUTED_VALUE"""),"Ivermectin")</f>
        <v>Ivermectin</v>
      </c>
      <c r="E106" s="697" t="str">
        <f>IFERROR(__xludf.DUMMYFUNCTION("""COMPUTED_VALUE"""),"150 ug/kg")</f>
        <v>150 ug/kg</v>
      </c>
      <c r="F106" s="697">
        <f>IFERROR(__xludf.DUMMYFUNCTION("""COMPUTED_VALUE"""),1.0)</f>
        <v>1</v>
      </c>
      <c r="G106" s="697" t="str">
        <f>IFERROR(__xludf.DUMMYFUNCTION("""COMPUTED_VALUE"""),"150ug/kg")</f>
        <v>150ug/kg</v>
      </c>
      <c r="H106" s="697"/>
      <c r="I106" s="697"/>
      <c r="J106" s="697"/>
      <c r="K106" s="697"/>
      <c r="L106" s="697"/>
      <c r="M106" s="697"/>
      <c r="N106" s="697"/>
      <c r="O106" s="697"/>
      <c r="P106" s="697"/>
      <c r="Q106" s="697"/>
      <c r="R106" s="697"/>
      <c r="S106" s="697" t="str">
        <f>IFERROR(__xludf.DUMMYFUNCTION("""COMPUTED_VALUE"""),"Increase of 58.6%")</f>
        <v>Increase of 58.6%</v>
      </c>
      <c r="T106" s="697"/>
      <c r="U106" s="697"/>
      <c r="V106" s="697"/>
      <c r="W106" s="697" t="str">
        <f>IFERROR(__xludf.DUMMYFUNCTION("""COMPUTED_VALUE"""),"Increase of 8.5%")</f>
        <v>Increase of 8.5%</v>
      </c>
      <c r="X106" s="698">
        <f>IFERROR(__xludf.DUMMYFUNCTION("""COMPUTED_VALUE"""),0.234)</f>
        <v>0.234</v>
      </c>
      <c r="Y106" s="697"/>
      <c r="Z106" s="698">
        <f>IFERROR(__xludf.DUMMYFUNCTION("""COMPUTED_VALUE"""),0.087)</f>
        <v>0.087</v>
      </c>
      <c r="AA106" s="697"/>
      <c r="AB106" s="698">
        <f>IFERROR(__xludf.DUMMYFUNCTION("""COMPUTED_VALUE"""),0.2722)</f>
        <v>0.2722</v>
      </c>
      <c r="AC106" s="697"/>
      <c r="AD106" s="697"/>
      <c r="AE106" s="697" t="str">
        <f>IFERROR(__xludf.DUMMYFUNCTION("""COMPUTED_VALUE"""),"n/a")</f>
        <v>n/a</v>
      </c>
      <c r="AF106" s="697"/>
      <c r="AG106" s="697"/>
      <c r="AH106" s="697"/>
      <c r="AI106" s="697"/>
      <c r="AJ106" s="697"/>
      <c r="AK106" s="697"/>
      <c r="AL106" s="697"/>
      <c r="AM106" s="697"/>
      <c r="AN106" s="697" t="str">
        <f>IFERROR(__xludf.DUMMYFUNCTION("""COMPUTED_VALUE"""),"Increase of 58.6%")</f>
        <v>Increase of 58.6%</v>
      </c>
      <c r="AO106" s="698">
        <f>IFERROR(__xludf.DUMMYFUNCTION("""COMPUTED_VALUE"""),0.586)</f>
        <v>0.586</v>
      </c>
      <c r="AP106" s="697" t="str">
        <f>IFERROR(__xludf.DUMMYFUNCTION("""COMPUTED_VALUE"""),"Mf reduction")</f>
        <v>Mf reduction</v>
      </c>
      <c r="AQ106" s="697" t="str">
        <f>IFERROR(__xludf.DUMMYFUNCTION("""COMPUTED_VALUE"""),"Bo, Sierra Leone")</f>
        <v>Bo, Sierra Leone</v>
      </c>
      <c r="AR106" s="697">
        <f>IFERROR(__xludf.DUMMYFUNCTION("""COMPUTED_VALUE"""),1987.0)</f>
        <v>1987</v>
      </c>
      <c r="AS106" s="697">
        <f>IFERROR(__xludf.DUMMYFUNCTION("""COMPUTED_VALUE"""),169.0)</f>
        <v>169</v>
      </c>
      <c r="AT106" s="697" t="str">
        <f>IFERROR(__xludf.DUMMYFUNCTION("""COMPUTED_VALUE"""),"3.5 years")</f>
        <v>3.5 years</v>
      </c>
      <c r="AU106" s="699" t="str">
        <f>IFERROR(__xludf.DUMMYFUNCTION("""COMPUTED_VALUE"""),"Whitworth, J.A.G.; Downham, M.D.; Lahai, G.; Maude, G.H. (1996) A community trial of ivermectin for onchocerciasis in Sierra Leone: compliance and parasitological profiles after three and a half years of intervention. Tropical Medicine and International H"&amp;"ealthy 1(1): 52-58.")</f>
        <v>Whitworth, J.A.G.; Downham, M.D.; Lahai, G.; Maude, G.H. (1996) A community trial of ivermectin for onchocerciasis in Sierra Leone: compliance and parasitological profiles after three and a half years of intervention. Tropical Medicine and International Healthy 1(1): 52-58.</v>
      </c>
      <c r="AV106" s="697" t="str">
        <f>IFERROR(__xludf.DUMMYFUNCTION("""COMPUTED_VALUE"""),"78 M, 91 F")</f>
        <v>78 M, 91 F</v>
      </c>
      <c r="AW106" s="697" t="str">
        <f>IFERROR(__xludf.DUMMYFUNCTION("""COMPUTED_VALUE"""),"5-40+years old")</f>
        <v>5-40+years old</v>
      </c>
      <c r="AX106" s="697"/>
      <c r="AY106" s="697" t="str">
        <f>IFERROR(__xludf.DUMMYFUNCTION("""COMPUTED_VALUE"""),"Yes")</f>
        <v>Yes</v>
      </c>
      <c r="AZ106" s="697" t="str">
        <f>IFERROR(__xludf.DUMMYFUNCTION("""COMPUTED_VALUE"""),"Yes")</f>
        <v>Yes</v>
      </c>
      <c r="BA106" s="697"/>
      <c r="BB106" s="697"/>
      <c r="BC106" s="697" t="str">
        <f>IFERROR(__xludf.DUMMYFUNCTION("""COMPUTED_VALUE"""),"Microfilarial repopulation was significantly slower over an 18-month period after multiple doses compared to a single dose.")</f>
        <v>Microfilarial repopulation was significantly slower over an 18-month period after multiple doses compared to a single dose.</v>
      </c>
      <c r="BD106" s="697" t="str">
        <f>IFERROR(__xludf.DUMMYFUNCTION("""COMPUTED_VALUE"""),"About 65% of those randomized to treatment at the outset of the study in the two villages surveyed attended the sixth survey.")</f>
        <v>About 65% of those randomized to treatment at the outset of the study in the two villages surveyed attended the sixth survey.</v>
      </c>
      <c r="BE106" s="697"/>
      <c r="BF106" s="697" t="str">
        <f>IFERROR(__xludf.DUMMYFUNCTION("""COMPUTED_VALUE"""),"Exact (g) of dosage")</f>
        <v>Exact (g) of dosage</v>
      </c>
      <c r="BG106" s="697"/>
    </row>
    <row r="107">
      <c r="A107" s="697"/>
      <c r="B107" s="697" t="str">
        <f>IFERROR(__xludf.DUMMYFUNCTION("""COMPUTED_VALUE"""),"Whitworth et al.")</f>
        <v>Whitworth et al.</v>
      </c>
      <c r="C107" s="697" t="str">
        <f>IFERROR(__xludf.DUMMYFUNCTION("""COMPUTED_VALUE"""),"Sierra Leone")</f>
        <v>Sierra Leone</v>
      </c>
      <c r="D107" s="697" t="str">
        <f>IFERROR(__xludf.DUMMYFUNCTION("""COMPUTED_VALUE"""),"Ivermectin")</f>
        <v>Ivermectin</v>
      </c>
      <c r="E107" s="697" t="str">
        <f>IFERROR(__xludf.DUMMYFUNCTION("""COMPUTED_VALUE"""),"150 ug/kg")</f>
        <v>150 ug/kg</v>
      </c>
      <c r="F107" s="704">
        <f>IFERROR(__xludf.DUMMYFUNCTION("""COMPUTED_VALUE"""),42405.0)</f>
        <v>42405</v>
      </c>
      <c r="G107" s="697" t="str">
        <f>IFERROR(__xludf.DUMMYFUNCTION("""COMPUTED_VALUE"""),"300ug/kg- 750 ug/kg")</f>
        <v>300ug/kg- 750 ug/kg</v>
      </c>
      <c r="H107" s="697"/>
      <c r="I107" s="697"/>
      <c r="J107" s="697"/>
      <c r="K107" s="697"/>
      <c r="L107" s="697"/>
      <c r="M107" s="697"/>
      <c r="N107" s="697"/>
      <c r="O107" s="697"/>
      <c r="P107" s="697"/>
      <c r="Q107" s="697"/>
      <c r="R107" s="697"/>
      <c r="S107" s="698">
        <f>IFERROR(__xludf.DUMMYFUNCTION("""COMPUTED_VALUE"""),0.776)</f>
        <v>0.776</v>
      </c>
      <c r="T107" s="697"/>
      <c r="U107" s="697"/>
      <c r="V107" s="697"/>
      <c r="W107" s="698">
        <f>IFERROR(__xludf.DUMMYFUNCTION("""COMPUTED_VALUE"""),0.894)</f>
        <v>0.894</v>
      </c>
      <c r="X107" s="698">
        <f>IFERROR(__xludf.DUMMYFUNCTION("""COMPUTED_VALUE"""),0.9667)</f>
        <v>0.9667</v>
      </c>
      <c r="Y107" s="697"/>
      <c r="Z107" s="698">
        <f>IFERROR(__xludf.DUMMYFUNCTION("""COMPUTED_VALUE"""),0.9537)</f>
        <v>0.9537</v>
      </c>
      <c r="AA107" s="697"/>
      <c r="AB107" s="698">
        <f>IFERROR(__xludf.DUMMYFUNCTION("""COMPUTED_VALUE"""),0.724)</f>
        <v>0.724</v>
      </c>
      <c r="AC107" s="697"/>
      <c r="AD107" s="697"/>
      <c r="AE107" s="697" t="str">
        <f>IFERROR(__xludf.DUMMYFUNCTION("""COMPUTED_VALUE"""),"n/a")</f>
        <v>n/a</v>
      </c>
      <c r="AF107" s="697"/>
      <c r="AG107" s="697"/>
      <c r="AH107" s="697"/>
      <c r="AI107" s="697"/>
      <c r="AJ107" s="697"/>
      <c r="AK107" s="697"/>
      <c r="AL107" s="697"/>
      <c r="AM107" s="697"/>
      <c r="AN107" s="698">
        <f>IFERROR(__xludf.DUMMYFUNCTION("""COMPUTED_VALUE"""),0.776)</f>
        <v>0.776</v>
      </c>
      <c r="AO107" s="698">
        <f>IFERROR(__xludf.DUMMYFUNCTION("""COMPUTED_VALUE"""),0.776)</f>
        <v>0.776</v>
      </c>
      <c r="AP107" s="697" t="str">
        <f>IFERROR(__xludf.DUMMYFUNCTION("""COMPUTED_VALUE"""),"Mf reduction")</f>
        <v>Mf reduction</v>
      </c>
      <c r="AQ107" s="697" t="str">
        <f>IFERROR(__xludf.DUMMYFUNCTION("""COMPUTED_VALUE"""),"Bo, Sierra Leone")</f>
        <v>Bo, Sierra Leone</v>
      </c>
      <c r="AR107" s="697">
        <f>IFERROR(__xludf.DUMMYFUNCTION("""COMPUTED_VALUE"""),1987.0)</f>
        <v>1987</v>
      </c>
      <c r="AS107" s="697">
        <f>IFERROR(__xludf.DUMMYFUNCTION("""COMPUTED_VALUE"""),166.0)</f>
        <v>166</v>
      </c>
      <c r="AT107" s="697" t="str">
        <f>IFERROR(__xludf.DUMMYFUNCTION("""COMPUTED_VALUE"""),"3.5 years")</f>
        <v>3.5 years</v>
      </c>
      <c r="AU107" s="699" t="str">
        <f>IFERROR(__xludf.DUMMYFUNCTION("""COMPUTED_VALUE"""),"Whitworth, J.A.G.; Downham, M.D.; Lahai, G.; Maude, G.H. (1996) A community trial of ivermectin for onchocerciasis in Sierra Leone: compliance and parasitological profiles after three and a half years of intervention. Tropical Medicine and International H"&amp;"ealthy 1(1): 52-58.")</f>
        <v>Whitworth, J.A.G.; Downham, M.D.; Lahai, G.; Maude, G.H. (1996) A community trial of ivermectin for onchocerciasis in Sierra Leone: compliance and parasitological profiles after three and a half years of intervention. Tropical Medicine and International Healthy 1(1): 52-58.</v>
      </c>
      <c r="AV107" s="697" t="str">
        <f>IFERROR(__xludf.DUMMYFUNCTION("""COMPUTED_VALUE"""),"72 M, 94 F")</f>
        <v>72 M, 94 F</v>
      </c>
      <c r="AW107" s="697" t="str">
        <f>IFERROR(__xludf.DUMMYFUNCTION("""COMPUTED_VALUE"""),"5-40+ years old")</f>
        <v>5-40+ years old</v>
      </c>
      <c r="AX107" s="697"/>
      <c r="AY107" s="697" t="str">
        <f>IFERROR(__xludf.DUMMYFUNCTION("""COMPUTED_VALUE"""),"Yes")</f>
        <v>Yes</v>
      </c>
      <c r="AZ107" s="697" t="str">
        <f>IFERROR(__xludf.DUMMYFUNCTION("""COMPUTED_VALUE"""),"Yes")</f>
        <v>Yes</v>
      </c>
      <c r="BA107" s="697"/>
      <c r="BB107" s="697"/>
      <c r="BC107" s="697" t="str">
        <f>IFERROR(__xludf.DUMMYFUNCTION("""COMPUTED_VALUE"""),"Microfilarial repopulation was significantly slower over an 18-month period after multiple doses compared to a single dose.")</f>
        <v>Microfilarial repopulation was significantly slower over an 18-month period after multiple doses compared to a single dose.</v>
      </c>
      <c r="BD107" s="697" t="str">
        <f>IFERROR(__xludf.DUMMYFUNCTION("""COMPUTED_VALUE"""),"About 65% of those randomized to treatment at the outset of the study in the two villages surveyed attended the sixth survey.")</f>
        <v>About 65% of those randomized to treatment at the outset of the study in the two villages surveyed attended the sixth survey.</v>
      </c>
      <c r="BE107" s="697"/>
      <c r="BF107" s="697"/>
      <c r="BG107" s="697"/>
    </row>
    <row r="108">
      <c r="A108" s="697"/>
      <c r="B108" s="697" t="str">
        <f>IFERROR(__xludf.DUMMYFUNCTION("""COMPUTED_VALUE"""),"Anderson &amp; Fugslang")</f>
        <v>Anderson &amp; Fugslang</v>
      </c>
      <c r="C108" s="697" t="str">
        <f>IFERROR(__xludf.DUMMYFUNCTION("""COMPUTED_VALUE"""),"Cameroon")</f>
        <v>Cameroon</v>
      </c>
      <c r="D108" s="697" t="str">
        <f>IFERROR(__xludf.DUMMYFUNCTION("""COMPUTED_VALUE"""),"Bethamethason &amp; DEC &amp; Suramin")</f>
        <v>Bethamethason &amp; DEC &amp; Suramin</v>
      </c>
      <c r="E108" s="697" t="str">
        <f>IFERROR(__xludf.DUMMYFUNCTION("""COMPUTED_VALUE"""),"1.5mg ;25 mg, 150-200 mg, 200mg;  4.5 g")</f>
        <v>1.5mg ;25 mg, 150-200 mg, 200mg;  4.5 g</v>
      </c>
      <c r="F108" s="697" t="str">
        <f>IFERROR(__xludf.DUMMYFUNCTION("""COMPUTED_VALUE"""),"1;1; 28;1")</f>
        <v>1;1; 28;1</v>
      </c>
      <c r="G108" s="697" t="str">
        <f>IFERROR(__xludf.DUMMYFUNCTION("""COMPUTED_VALUE"""),"6mg; 2450mg ;4.5g")</f>
        <v>6mg; 2450mg ;4.5g</v>
      </c>
      <c r="H108" s="697"/>
      <c r="I108" s="697"/>
      <c r="J108" s="697"/>
      <c r="K108" s="697"/>
      <c r="L108" s="697"/>
      <c r="M108" s="697"/>
      <c r="N108" s="697"/>
      <c r="O108" s="697"/>
      <c r="P108" s="697"/>
      <c r="Q108" s="697"/>
      <c r="R108" s="697"/>
      <c r="S108" s="697"/>
      <c r="T108" s="697"/>
      <c r="U108" s="697"/>
      <c r="V108" s="697"/>
      <c r="W108" s="700">
        <f>IFERROR(__xludf.DUMMYFUNCTION("""COMPUTED_VALUE"""),0.96)</f>
        <v>0.96</v>
      </c>
      <c r="X108" s="697"/>
      <c r="Y108" s="697"/>
      <c r="Z108" s="700">
        <f>IFERROR(__xludf.DUMMYFUNCTION("""COMPUTED_VALUE"""),0.95)</f>
        <v>0.95</v>
      </c>
      <c r="AA108" s="697"/>
      <c r="AB108" s="700">
        <f>IFERROR(__xludf.DUMMYFUNCTION("""COMPUTED_VALUE"""),0.94)</f>
        <v>0.94</v>
      </c>
      <c r="AC108" s="697"/>
      <c r="AD108" s="697"/>
      <c r="AE108" s="697" t="str">
        <f>IFERROR(__xludf.DUMMYFUNCTION("""COMPUTED_VALUE"""),"n/a")</f>
        <v>n/a</v>
      </c>
      <c r="AF108" s="697"/>
      <c r="AG108" s="697"/>
      <c r="AH108" s="697"/>
      <c r="AI108" s="697"/>
      <c r="AJ108" s="697"/>
      <c r="AK108" s="697"/>
      <c r="AL108" s="697"/>
      <c r="AM108" s="697"/>
      <c r="AN108" s="700">
        <f>IFERROR(__xludf.DUMMYFUNCTION("""COMPUTED_VALUE"""),0.96)</f>
        <v>0.96</v>
      </c>
      <c r="AO108" s="698">
        <f>IFERROR(__xludf.DUMMYFUNCTION("""COMPUTED_VALUE"""),0.96)</f>
        <v>0.96</v>
      </c>
      <c r="AP108" s="697" t="str">
        <f>IFERROR(__xludf.DUMMYFUNCTION("""COMPUTED_VALUE"""),"Mf reduction")</f>
        <v>Mf reduction</v>
      </c>
      <c r="AQ108" s="697" t="str">
        <f>IFERROR(__xludf.DUMMYFUNCTION("""COMPUTED_VALUE"""),"Touboro, Cameroon")</f>
        <v>Touboro, Cameroon</v>
      </c>
      <c r="AR108" s="697">
        <f>IFERROR(__xludf.DUMMYFUNCTION("""COMPUTED_VALUE"""),1978.0)</f>
        <v>1978</v>
      </c>
      <c r="AS108" s="697">
        <f>IFERROR(__xludf.DUMMYFUNCTION("""COMPUTED_VALUE"""),10.0)</f>
        <v>10</v>
      </c>
      <c r="AT108" s="697" t="str">
        <f>IFERROR(__xludf.DUMMYFUNCTION("""COMPUTED_VALUE"""),"4 years")</f>
        <v>4 years</v>
      </c>
      <c r="AU108" s="699" t="str">
        <f>IFERROR(__xludf.DUMMYFUNCTION("""COMPUTED_VALUE"""),"Anderson, J. &amp; Fuglsang, H. (1978) Further studies on the treatment of occular onchocerciasis with diethylcarbamazine and suramin. British Journal of Ophthalmology 62: 450-457.")</f>
        <v>Anderson, J. &amp; Fuglsang, H. (1978) Further studies on the treatment of occular onchocerciasis with diethylcarbamazine and suramin. British Journal of Ophthalmology 62: 450-457.</v>
      </c>
      <c r="AV108" s="697" t="str">
        <f>IFERROR(__xludf.DUMMYFUNCTION("""COMPUTED_VALUE"""),"Total: 45 M, 9 F")</f>
        <v>Total: 45 M, 9 F</v>
      </c>
      <c r="AW108" s="697" t="str">
        <f>IFERROR(__xludf.DUMMYFUNCTION("""COMPUTED_VALUE"""),"8-50 years old")</f>
        <v>8-50 years old</v>
      </c>
      <c r="AX108" s="697"/>
      <c r="AY108" s="697" t="str">
        <f>IFERROR(__xludf.DUMMYFUNCTION("""COMPUTED_VALUE"""),"No")</f>
        <v>No</v>
      </c>
      <c r="AZ108" s="697" t="str">
        <f>IFERROR(__xludf.DUMMYFUNCTION("""COMPUTED_VALUE"""),"No")</f>
        <v>No</v>
      </c>
      <c r="BA108" s="697"/>
      <c r="BB108" s="697"/>
      <c r="BC108" s="697" t="str">
        <f>IFERROR(__xludf.DUMMYFUNCTION("""COMPUTED_VALUE"""),"It was found possible to rid these heavily infected patients of most of their microfilariae without intolerable side effects with DEC and then Suramin, which was generally well accepted except in 1 case.")</f>
        <v>It was found possible to rid these heavily infected patients of most of their microfilariae without intolerable side effects with DEC and then Suramin, which was generally well accepted except in 1 case.</v>
      </c>
      <c r="BD108" s="697" t="str">
        <f>IFERROR(__xludf.DUMMYFUNCTION("""COMPUTED_VALUE"""),"5 of the group IV patients received 3 g of Suramin because of absenteeism.")</f>
        <v>5 of the group IV patients received 3 g of Suramin because of absenteeism.</v>
      </c>
      <c r="BE108" s="697" t="str">
        <f>IFERROR(__xludf.DUMMYFUNCTION("""COMPUTED_VALUE"""),"Patients under the age of 10 received half dosage. Ten patients (GroupI) also received 200 mg DEC per week for 12 weeks after the initial DEC course but before Suramin. An average adult received a ful gramme of suramin at each weekly injection,but young, "&amp;"small, or thin patients (less than 50kg) received an amount corresponding to weight. In Groups I and II the patients only received a half dose at the initial injection.")</f>
        <v>Patients under the age of 10 received half dosage. Ten patients (GroupI) also received 200 mg DEC per week for 12 weeks after the initial DEC course but before Suramin. An average adult received a ful gramme of suramin at each weekly injection,but young, small, or thin patients (less than 50kg) received an amount corresponding to weight. In Groups I and II the patients only received a half dose at the initial injection.</v>
      </c>
      <c r="BF108" s="697"/>
      <c r="BG108" s="697"/>
    </row>
    <row r="109">
      <c r="A109" s="697"/>
      <c r="B109" s="697" t="str">
        <f>IFERROR(__xludf.DUMMYFUNCTION("""COMPUTED_VALUE"""),"Anderson &amp; Fugslang")</f>
        <v>Anderson &amp; Fugslang</v>
      </c>
      <c r="C109" s="697" t="str">
        <f>IFERROR(__xludf.DUMMYFUNCTION("""COMPUTED_VALUE"""),"Cameroon")</f>
        <v>Cameroon</v>
      </c>
      <c r="D109" s="697" t="str">
        <f>IFERROR(__xludf.DUMMYFUNCTION("""COMPUTED_VALUE"""),"Bethamethason &amp; DEC &amp; Suramin")</f>
        <v>Bethamethason &amp; DEC &amp; Suramin</v>
      </c>
      <c r="E109" s="697" t="str">
        <f>IFERROR(__xludf.DUMMYFUNCTION("""COMPUTED_VALUE"""),"1.5 mg; 25 mg,150-200 mg; 4.5 g ")</f>
        <v>1.5 mg; 25 mg,150-200 mg; 4.5 g </v>
      </c>
      <c r="F109" s="697" t="str">
        <f>IFERROR(__xludf.DUMMYFUNCTION("""COMPUTED_VALUE"""),"1;1,28,1")</f>
        <v>1;1,28,1</v>
      </c>
      <c r="G109" s="697" t="str">
        <f>IFERROR(__xludf.DUMMYFUNCTION("""COMPUTED_VALUE"""),"6mg; 2250mg;4.5g")</f>
        <v>6mg; 2250mg;4.5g</v>
      </c>
      <c r="H109" s="697"/>
      <c r="I109" s="697"/>
      <c r="J109" s="697"/>
      <c r="K109" s="697"/>
      <c r="L109" s="697"/>
      <c r="M109" s="697"/>
      <c r="N109" s="697"/>
      <c r="O109" s="697"/>
      <c r="P109" s="697"/>
      <c r="Q109" s="697"/>
      <c r="R109" s="697"/>
      <c r="S109" s="697"/>
      <c r="T109" s="697"/>
      <c r="U109" s="697"/>
      <c r="V109" s="697"/>
      <c r="W109" s="700">
        <f>IFERROR(__xludf.DUMMYFUNCTION("""COMPUTED_VALUE"""),0.92)</f>
        <v>0.92</v>
      </c>
      <c r="X109" s="697"/>
      <c r="Y109" s="697"/>
      <c r="Z109" s="700">
        <f>IFERROR(__xludf.DUMMYFUNCTION("""COMPUTED_VALUE"""),0.87)</f>
        <v>0.87</v>
      </c>
      <c r="AA109" s="697"/>
      <c r="AB109" s="700">
        <f>IFERROR(__xludf.DUMMYFUNCTION("""COMPUTED_VALUE"""),0.92)</f>
        <v>0.92</v>
      </c>
      <c r="AC109" s="700">
        <f>IFERROR(__xludf.DUMMYFUNCTION("""COMPUTED_VALUE"""),0.9)</f>
        <v>0.9</v>
      </c>
      <c r="AD109" s="697"/>
      <c r="AE109" s="697" t="str">
        <f>IFERROR(__xludf.DUMMYFUNCTION("""COMPUTED_VALUE"""),"n/a")</f>
        <v>n/a</v>
      </c>
      <c r="AF109" s="697"/>
      <c r="AG109" s="697"/>
      <c r="AH109" s="697"/>
      <c r="AI109" s="697"/>
      <c r="AJ109" s="697"/>
      <c r="AK109" s="697"/>
      <c r="AL109" s="697"/>
      <c r="AM109" s="697"/>
      <c r="AN109" s="700">
        <f>IFERROR(__xludf.DUMMYFUNCTION("""COMPUTED_VALUE"""),0.92)</f>
        <v>0.92</v>
      </c>
      <c r="AO109" s="698">
        <f>IFERROR(__xludf.DUMMYFUNCTION("""COMPUTED_VALUE"""),0.92)</f>
        <v>0.92</v>
      </c>
      <c r="AP109" s="697" t="str">
        <f>IFERROR(__xludf.DUMMYFUNCTION("""COMPUTED_VALUE"""),"Mf reduction")</f>
        <v>Mf reduction</v>
      </c>
      <c r="AQ109" s="697" t="str">
        <f>IFERROR(__xludf.DUMMYFUNCTION("""COMPUTED_VALUE"""),"Touboro, Cameroon")</f>
        <v>Touboro, Cameroon</v>
      </c>
      <c r="AR109" s="697">
        <f>IFERROR(__xludf.DUMMYFUNCTION("""COMPUTED_VALUE"""),1978.0)</f>
        <v>1978</v>
      </c>
      <c r="AS109" s="697">
        <f>IFERROR(__xludf.DUMMYFUNCTION("""COMPUTED_VALUE"""),12.0)</f>
        <v>12</v>
      </c>
      <c r="AT109" s="697" t="str">
        <f>IFERROR(__xludf.DUMMYFUNCTION("""COMPUTED_VALUE"""),"4 years")</f>
        <v>4 years</v>
      </c>
      <c r="AU109" s="699" t="str">
        <f>IFERROR(__xludf.DUMMYFUNCTION("""COMPUTED_VALUE"""),"Anderson, J. &amp; Fuglsang, H. (1978) Further studies on the treatment of occular onchocerciasis with diethylcarbamazine and suramin. British Journal of Ophthalmology 62: 450-457.")</f>
        <v>Anderson, J. &amp; Fuglsang, H. (1978) Further studies on the treatment of occular onchocerciasis with diethylcarbamazine and suramin. British Journal of Ophthalmology 62: 450-457.</v>
      </c>
      <c r="AV109" s="697" t="str">
        <f>IFERROR(__xludf.DUMMYFUNCTION("""COMPUTED_VALUE"""),"Total: 45 M, 9 F")</f>
        <v>Total: 45 M, 9 F</v>
      </c>
      <c r="AW109" s="697" t="str">
        <f>IFERROR(__xludf.DUMMYFUNCTION("""COMPUTED_VALUE"""),"8-50 years old")</f>
        <v>8-50 years old</v>
      </c>
      <c r="AX109" s="697"/>
      <c r="AY109" s="697" t="str">
        <f>IFERROR(__xludf.DUMMYFUNCTION("""COMPUTED_VALUE"""),"No")</f>
        <v>No</v>
      </c>
      <c r="AZ109" s="697" t="str">
        <f>IFERROR(__xludf.DUMMYFUNCTION("""COMPUTED_VALUE"""),"No")</f>
        <v>No</v>
      </c>
      <c r="BA109" s="697"/>
      <c r="BB109" s="697"/>
      <c r="BC109" s="697" t="str">
        <f>IFERROR(__xludf.DUMMYFUNCTION("""COMPUTED_VALUE"""),"It was found possible to rid these heavily infected patients of most of their microfilariae without intolerable side effects with DEC and then Suramin, which was generally well accepted except in 1 case.")</f>
        <v>It was found possible to rid these heavily infected patients of most of their microfilariae without intolerable side effects with DEC and then Suramin, which was generally well accepted except in 1 case.</v>
      </c>
      <c r="BD109" s="697" t="str">
        <f>IFERROR(__xludf.DUMMYFUNCTION("""COMPUTED_VALUE"""),"6 of the group IV patients received 3 g of Suramin because of absenteeism.")</f>
        <v>6 of the group IV patients received 3 g of Suramin because of absenteeism.</v>
      </c>
      <c r="BE109" s="697" t="str">
        <f>IFERROR(__xludf.DUMMYFUNCTION("""COMPUTED_VALUE"""),"Patients under the age of 10 received half dosage. Ten patients (GroupI) also received 200 mg DEC per week for 12 weeks after the initial DEC course but before Suramin. An average adult received a ful gramme of suramin at each weekly injection,but young, "&amp;"small, or thin patients (less than 50kg) received an amount corresponding to weight. In Groups I and II the patients only received a half dose at the initial injection.")</f>
        <v>Patients under the age of 10 received half dosage. Ten patients (GroupI) also received 200 mg DEC per week for 12 weeks after the initial DEC course but before Suramin. An average adult received a ful gramme of suramin at each weekly injection,but young, small, or thin patients (less than 50kg) received an amount corresponding to weight. In Groups I and II the patients only received a half dose at the initial injection.</v>
      </c>
      <c r="BF109" s="697"/>
      <c r="BG109" s="697"/>
    </row>
    <row r="110">
      <c r="A110" s="697"/>
      <c r="B110" s="697" t="str">
        <f>IFERROR(__xludf.DUMMYFUNCTION("""COMPUTED_VALUE"""),"Anderson &amp; Fugslang")</f>
        <v>Anderson &amp; Fugslang</v>
      </c>
      <c r="C110" s="697" t="str">
        <f>IFERROR(__xludf.DUMMYFUNCTION("""COMPUTED_VALUE"""),"Cameroon")</f>
        <v>Cameroon</v>
      </c>
      <c r="D110" s="697" t="str">
        <f>IFERROR(__xludf.DUMMYFUNCTION("""COMPUTED_VALUE"""),"Bethamethason &amp; DEC &amp; Suramin")</f>
        <v>Bethamethason &amp; DEC &amp; Suramin</v>
      </c>
      <c r="E110" s="697" t="str">
        <f>IFERROR(__xludf.DUMMYFUNCTION("""COMPUTED_VALUE"""),"1.5mg ;25 mg, 150-200 mg; 4.0 g ")</f>
        <v>1.5mg ;25 mg, 150-200 mg; 4.0 g </v>
      </c>
      <c r="F110" s="697" t="str">
        <f>IFERROR(__xludf.DUMMYFUNCTION("""COMPUTED_VALUE"""),"1;1;28; 1")</f>
        <v>1;1;28; 1</v>
      </c>
      <c r="G110" s="697" t="str">
        <f>IFERROR(__xludf.DUMMYFUNCTION("""COMPUTED_VALUE"""),"6mg; 2250mg;4g")</f>
        <v>6mg; 2250mg;4g</v>
      </c>
      <c r="H110" s="697"/>
      <c r="I110" s="697"/>
      <c r="J110" s="697"/>
      <c r="K110" s="697"/>
      <c r="L110" s="697"/>
      <c r="M110" s="697"/>
      <c r="N110" s="697"/>
      <c r="O110" s="697"/>
      <c r="P110" s="697"/>
      <c r="Q110" s="697"/>
      <c r="R110" s="697"/>
      <c r="S110" s="697"/>
      <c r="T110" s="700">
        <f>IFERROR(__xludf.DUMMYFUNCTION("""COMPUTED_VALUE"""),0.91)</f>
        <v>0.91</v>
      </c>
      <c r="U110" s="697"/>
      <c r="V110" s="697"/>
      <c r="W110" s="697"/>
      <c r="X110" s="697"/>
      <c r="Y110" s="697"/>
      <c r="Z110" s="700">
        <f>IFERROR(__xludf.DUMMYFUNCTION("""COMPUTED_VALUE"""),0.95)</f>
        <v>0.95</v>
      </c>
      <c r="AA110" s="697"/>
      <c r="AB110" s="697"/>
      <c r="AC110" s="697"/>
      <c r="AD110" s="697"/>
      <c r="AE110" s="697" t="str">
        <f>IFERROR(__xludf.DUMMYFUNCTION("""COMPUTED_VALUE"""),"n/a")</f>
        <v>n/a</v>
      </c>
      <c r="AF110" s="697"/>
      <c r="AG110" s="697"/>
      <c r="AH110" s="697"/>
      <c r="AI110" s="697"/>
      <c r="AJ110" s="697"/>
      <c r="AK110" s="697"/>
      <c r="AL110" s="697"/>
      <c r="AM110" s="697"/>
      <c r="AN110" s="700">
        <f>IFERROR(__xludf.DUMMYFUNCTION("""COMPUTED_VALUE"""),0.91)</f>
        <v>0.91</v>
      </c>
      <c r="AO110" s="698">
        <f>IFERROR(__xludf.DUMMYFUNCTION("""COMPUTED_VALUE"""),0.91)</f>
        <v>0.91</v>
      </c>
      <c r="AP110" s="697" t="str">
        <f>IFERROR(__xludf.DUMMYFUNCTION("""COMPUTED_VALUE"""),"Mf reduction")</f>
        <v>Mf reduction</v>
      </c>
      <c r="AQ110" s="697" t="str">
        <f>IFERROR(__xludf.DUMMYFUNCTION("""COMPUTED_VALUE"""),"Touboro, Cameroon")</f>
        <v>Touboro, Cameroon</v>
      </c>
      <c r="AR110" s="697">
        <f>IFERROR(__xludf.DUMMYFUNCTION("""COMPUTED_VALUE"""),1978.0)</f>
        <v>1978</v>
      </c>
      <c r="AS110" s="697">
        <f>IFERROR(__xludf.DUMMYFUNCTION("""COMPUTED_VALUE"""),26.0)</f>
        <v>26</v>
      </c>
      <c r="AT110" s="697" t="str">
        <f>IFERROR(__xludf.DUMMYFUNCTION("""COMPUTED_VALUE"""),"4 years")</f>
        <v>4 years</v>
      </c>
      <c r="AU110" s="699" t="str">
        <f>IFERROR(__xludf.DUMMYFUNCTION("""COMPUTED_VALUE"""),"Anderson, J. &amp; Fuglsang, H. (1978) Further studies on the treatment of occular onchocerciasis with diethylcarbamazine and suramin. British Journal of Ophthalmology 62: 450-457.")</f>
        <v>Anderson, J. &amp; Fuglsang, H. (1978) Further studies on the treatment of occular onchocerciasis with diethylcarbamazine and suramin. British Journal of Ophthalmology 62: 450-457.</v>
      </c>
      <c r="AV110" s="697" t="str">
        <f>IFERROR(__xludf.DUMMYFUNCTION("""COMPUTED_VALUE"""),"Total: 45 M, 9 F")</f>
        <v>Total: 45 M, 9 F</v>
      </c>
      <c r="AW110" s="697" t="str">
        <f>IFERROR(__xludf.DUMMYFUNCTION("""COMPUTED_VALUE"""),"8-50 years old")</f>
        <v>8-50 years old</v>
      </c>
      <c r="AX110" s="697"/>
      <c r="AY110" s="697" t="str">
        <f>IFERROR(__xludf.DUMMYFUNCTION("""COMPUTED_VALUE"""),"No")</f>
        <v>No</v>
      </c>
      <c r="AZ110" s="697" t="str">
        <f>IFERROR(__xludf.DUMMYFUNCTION("""COMPUTED_VALUE"""),"No")</f>
        <v>No</v>
      </c>
      <c r="BA110" s="697"/>
      <c r="BB110" s="697"/>
      <c r="BC110" s="697" t="str">
        <f>IFERROR(__xludf.DUMMYFUNCTION("""COMPUTED_VALUE"""),"It was found possible to rid these heavily infected patients of most of their microfilariae without intolerable side effects with DEC and then Suramin, which was generally well accepted except in 1 case.")</f>
        <v>It was found possible to rid these heavily infected patients of most of their microfilariae without intolerable side effects with DEC and then Suramin, which was generally well accepted except in 1 case.</v>
      </c>
      <c r="BD110" s="697" t="str">
        <f>IFERROR(__xludf.DUMMYFUNCTION("""COMPUTED_VALUE"""),"7 of the group IV patients received 3 g of Suramin because of absenteeism.")</f>
        <v>7 of the group IV patients received 3 g of Suramin because of absenteeism.</v>
      </c>
      <c r="BE110" s="697" t="str">
        <f>IFERROR(__xludf.DUMMYFUNCTION("""COMPUTED_VALUE"""),"Patients under the age of 10 received half dosage. Ten patients (GroupI) also received 200 mg DEC per week for 12 weeks after the initial DEC course but before Suramin. An average adult received a ful gramme of suramin at each weekly injection,but young, "&amp;"small, or thin patients (less than 50kg) received an amount corresponding to weight. In Groups I and II the patients only received a half dose at the initial injection.")</f>
        <v>Patients under the age of 10 received half dosage. Ten patients (GroupI) also received 200 mg DEC per week for 12 weeks after the initial DEC course but before Suramin. An average adult received a ful gramme of suramin at each weekly injection,but young, small, or thin patients (less than 50kg) received an amount corresponding to weight. In Groups I and II the patients only received a half dose at the initial injection.</v>
      </c>
      <c r="BF110" s="697"/>
      <c r="BG110" s="697"/>
    </row>
    <row r="111">
      <c r="A111" s="697"/>
      <c r="B111" s="697" t="str">
        <f>IFERROR(__xludf.DUMMYFUNCTION("""COMPUTED_VALUE"""),"Anderson &amp; Fugslang")</f>
        <v>Anderson &amp; Fugslang</v>
      </c>
      <c r="C111" s="697" t="str">
        <f>IFERROR(__xludf.DUMMYFUNCTION("""COMPUTED_VALUE"""),"Cameroon")</f>
        <v>Cameroon</v>
      </c>
      <c r="D111" s="697" t="str">
        <f>IFERROR(__xludf.DUMMYFUNCTION("""COMPUTED_VALUE"""),"Bethamethason &amp; DEC &amp; Suramin")</f>
        <v>Bethamethason &amp; DEC &amp; Suramin</v>
      </c>
      <c r="E111" s="697" t="str">
        <f>IFERROR(__xludf.DUMMYFUNCTION("""COMPUTED_VALUE"""),"1.5 mg; 25 mg, 150-200 mg , 3.0 g ")</f>
        <v>1.5 mg; 25 mg, 150-200 mg , 3.0 g </v>
      </c>
      <c r="F111" s="697" t="str">
        <f>IFERROR(__xludf.DUMMYFUNCTION("""COMPUTED_VALUE"""),"1;1;28; 1")</f>
        <v>1;1;28; 1</v>
      </c>
      <c r="G111" s="697" t="str">
        <f>IFERROR(__xludf.DUMMYFUNCTION("""COMPUTED_VALUE"""),"6mg; 2250mg;3g")</f>
        <v>6mg; 2250mg;3g</v>
      </c>
      <c r="H111" s="697"/>
      <c r="I111" s="697"/>
      <c r="J111" s="697"/>
      <c r="K111" s="697"/>
      <c r="L111" s="697"/>
      <c r="M111" s="697"/>
      <c r="N111" s="697"/>
      <c r="O111" s="697"/>
      <c r="P111" s="697"/>
      <c r="Q111" s="697"/>
      <c r="R111" s="697"/>
      <c r="S111" s="697"/>
      <c r="T111" s="697"/>
      <c r="U111" s="697"/>
      <c r="V111" s="697"/>
      <c r="W111" s="700">
        <f>IFERROR(__xludf.DUMMYFUNCTION("""COMPUTED_VALUE"""),0.77)</f>
        <v>0.77</v>
      </c>
      <c r="X111" s="697"/>
      <c r="Y111" s="697"/>
      <c r="Z111" s="697"/>
      <c r="AA111" s="697"/>
      <c r="AB111" s="697"/>
      <c r="AC111" s="697"/>
      <c r="AD111" s="697"/>
      <c r="AE111" s="697" t="str">
        <f>IFERROR(__xludf.DUMMYFUNCTION("""COMPUTED_VALUE"""),"n/a")</f>
        <v>n/a</v>
      </c>
      <c r="AF111" s="697"/>
      <c r="AG111" s="697"/>
      <c r="AH111" s="697"/>
      <c r="AI111" s="697"/>
      <c r="AJ111" s="697"/>
      <c r="AK111" s="697"/>
      <c r="AL111" s="697"/>
      <c r="AM111" s="697"/>
      <c r="AN111" s="700">
        <f>IFERROR(__xludf.DUMMYFUNCTION("""COMPUTED_VALUE"""),0.77)</f>
        <v>0.77</v>
      </c>
      <c r="AO111" s="698">
        <f>IFERROR(__xludf.DUMMYFUNCTION("""COMPUTED_VALUE"""),0.77)</f>
        <v>0.77</v>
      </c>
      <c r="AP111" s="697" t="str">
        <f>IFERROR(__xludf.DUMMYFUNCTION("""COMPUTED_VALUE"""),"Mf reduction")</f>
        <v>Mf reduction</v>
      </c>
      <c r="AQ111" s="697" t="str">
        <f>IFERROR(__xludf.DUMMYFUNCTION("""COMPUTED_VALUE"""),"Touboro, Cameroon")</f>
        <v>Touboro, Cameroon</v>
      </c>
      <c r="AR111" s="697">
        <f>IFERROR(__xludf.DUMMYFUNCTION("""COMPUTED_VALUE"""),1978.0)</f>
        <v>1978</v>
      </c>
      <c r="AS111" s="697">
        <f>IFERROR(__xludf.DUMMYFUNCTION("""COMPUTED_VALUE"""),6.0)</f>
        <v>6</v>
      </c>
      <c r="AT111" s="697" t="str">
        <f>IFERROR(__xludf.DUMMYFUNCTION("""COMPUTED_VALUE"""),"4 years")</f>
        <v>4 years</v>
      </c>
      <c r="AU111" s="699" t="str">
        <f>IFERROR(__xludf.DUMMYFUNCTION("""COMPUTED_VALUE"""),"Anderson, J. &amp; Fuglsang, H. (1978) Further studies on the treatment of occular onchocerciasis with diethylcarbamazine and suramin. British Journal of Ophthalmology 62: 450-457.")</f>
        <v>Anderson, J. &amp; Fuglsang, H. (1978) Further studies on the treatment of occular onchocerciasis with diethylcarbamazine and suramin. British Journal of Ophthalmology 62: 450-457.</v>
      </c>
      <c r="AV111" s="697" t="str">
        <f>IFERROR(__xludf.DUMMYFUNCTION("""COMPUTED_VALUE"""),"Total: 45 M, 9 F")</f>
        <v>Total: 45 M, 9 F</v>
      </c>
      <c r="AW111" s="697" t="str">
        <f>IFERROR(__xludf.DUMMYFUNCTION("""COMPUTED_VALUE"""),"8-50 years old")</f>
        <v>8-50 years old</v>
      </c>
      <c r="AX111" s="697"/>
      <c r="AY111" s="697" t="str">
        <f>IFERROR(__xludf.DUMMYFUNCTION("""COMPUTED_VALUE"""),"No")</f>
        <v>No</v>
      </c>
      <c r="AZ111" s="697" t="str">
        <f>IFERROR(__xludf.DUMMYFUNCTION("""COMPUTED_VALUE"""),"No")</f>
        <v>No</v>
      </c>
      <c r="BA111" s="697"/>
      <c r="BB111" s="697"/>
      <c r="BC111" s="697" t="str">
        <f>IFERROR(__xludf.DUMMYFUNCTION("""COMPUTED_VALUE"""),"It was found possible to rid these heavily infected patients of most of their microfilariae without intolerable side effects with DEC and then Suramin, which was generally well accepted except in 1 case.")</f>
        <v>It was found possible to rid these heavily infected patients of most of their microfilariae without intolerable side effects with DEC and then Suramin, which was generally well accepted except in 1 case.</v>
      </c>
      <c r="BD111" s="697" t="str">
        <f>IFERROR(__xludf.DUMMYFUNCTION("""COMPUTED_VALUE"""),"8 of the group IV patients received 3 g of Suramin because of absenteeism.")</f>
        <v>8 of the group IV patients received 3 g of Suramin because of absenteeism.</v>
      </c>
      <c r="BE111" s="697" t="str">
        <f>IFERROR(__xludf.DUMMYFUNCTION("""COMPUTED_VALUE"""),"Patients under the age of 10 received half dosage. Ten patients (GroupI) also received 200 mg DEC per week for 12 weeks after the initial DEC course but before Suramin. An average adult received a ful gramme of suramin at each weekly injection,but young, "&amp;"small, or thin patients (less than 50kg) received an amount corresponding to weight. In Groups I and II the patients only received a half dose at the initial injection.")</f>
        <v>Patients under the age of 10 received half dosage. Ten patients (GroupI) also received 200 mg DEC per week for 12 weeks after the initial DEC course but before Suramin. An average adult received a ful gramme of suramin at each weekly injection,but young, small, or thin patients (less than 50kg) received an amount corresponding to weight. In Groups I and II the patients only received a half dose at the initial injection.</v>
      </c>
      <c r="BF111" s="697"/>
      <c r="BG111" s="697"/>
    </row>
    <row r="112">
      <c r="A112" s="697"/>
      <c r="B112" s="697" t="str">
        <f>IFERROR(__xludf.DUMMYFUNCTION("""COMPUTED_VALUE"""),"Awadzi et al.")</f>
        <v>Awadzi et al.</v>
      </c>
      <c r="C112" s="697" t="str">
        <f>IFERROR(__xludf.DUMMYFUNCTION("""COMPUTED_VALUE"""),"Ghana")</f>
        <v>Ghana</v>
      </c>
      <c r="D112" s="697" t="str">
        <f>IFERROR(__xludf.DUMMYFUNCTION("""COMPUTED_VALUE"""),"Ivermectin")</f>
        <v>Ivermectin</v>
      </c>
      <c r="E112" s="697" t="str">
        <f>IFERROR(__xludf.DUMMYFUNCTION("""COMPUTED_VALUE"""),"150 ug/kg")</f>
        <v>150 ug/kg</v>
      </c>
      <c r="F112" s="697">
        <f>IFERROR(__xludf.DUMMYFUNCTION("""COMPUTED_VALUE"""),1.0)</f>
        <v>1</v>
      </c>
      <c r="G112" s="697" t="str">
        <f>IFERROR(__xludf.DUMMYFUNCTION("""COMPUTED_VALUE"""),"150 ug/kg ")</f>
        <v>150 ug/kg </v>
      </c>
      <c r="H112" s="697"/>
      <c r="I112" s="697"/>
      <c r="J112" s="697"/>
      <c r="K112" s="697"/>
      <c r="L112" s="697"/>
      <c r="M112" s="697"/>
      <c r="N112" s="697"/>
      <c r="O112" s="698">
        <f>IFERROR(__xludf.DUMMYFUNCTION("""COMPUTED_VALUE"""),0.997)</f>
        <v>0.997</v>
      </c>
      <c r="P112" s="697"/>
      <c r="Q112" s="698">
        <f>IFERROR(__xludf.DUMMYFUNCTION("""COMPUTED_VALUE"""),0.997)</f>
        <v>0.997</v>
      </c>
      <c r="R112" s="697"/>
      <c r="S112" s="698">
        <f>IFERROR(__xludf.DUMMYFUNCTION("""COMPUTED_VALUE"""),0.979)</f>
        <v>0.979</v>
      </c>
      <c r="T112" s="697"/>
      <c r="U112" s="697"/>
      <c r="V112" s="697"/>
      <c r="W112" s="698">
        <f>IFERROR(__xludf.DUMMYFUNCTION("""COMPUTED_VALUE"""),0.935)</f>
        <v>0.935</v>
      </c>
      <c r="X112" s="697"/>
      <c r="Y112" s="697"/>
      <c r="Z112" s="697"/>
      <c r="AA112" s="697"/>
      <c r="AB112" s="697"/>
      <c r="AC112" s="697"/>
      <c r="AD112" s="697"/>
      <c r="AE112" s="697"/>
      <c r="AF112" s="697"/>
      <c r="AG112" s="697"/>
      <c r="AH112" s="697"/>
      <c r="AI112" s="697"/>
      <c r="AJ112" s="697"/>
      <c r="AK112" s="697"/>
      <c r="AL112" s="697"/>
      <c r="AM112" s="697"/>
      <c r="AN112" s="698">
        <f>IFERROR(__xludf.DUMMYFUNCTION("""COMPUTED_VALUE"""),0.979)</f>
        <v>0.979</v>
      </c>
      <c r="AO112" s="698">
        <f>IFERROR(__xludf.DUMMYFUNCTION("""COMPUTED_VALUE"""),0.979)</f>
        <v>0.979</v>
      </c>
      <c r="AP112" s="697" t="str">
        <f>IFERROR(__xludf.DUMMYFUNCTION("""COMPUTED_VALUE"""),"Mf reduction")</f>
        <v>Mf reduction</v>
      </c>
      <c r="AQ112" s="697" t="str">
        <f>IFERROR(__xludf.DUMMYFUNCTION("""COMPUTED_VALUE"""),"Onchocerciasis Chemotherapy Research Center in Hohoe, Ghana")</f>
        <v>Onchocerciasis Chemotherapy Research Center in Hohoe, Ghana</v>
      </c>
      <c r="AR112" s="697">
        <f>IFERROR(__xludf.DUMMYFUNCTION("""COMPUTED_VALUE"""),1995.0)</f>
        <v>1995</v>
      </c>
      <c r="AS112" s="697">
        <f>IFERROR(__xludf.DUMMYFUNCTION("""COMPUTED_VALUE"""),15.0)</f>
        <v>15</v>
      </c>
      <c r="AT112" s="697" t="str">
        <f>IFERROR(__xludf.DUMMYFUNCTION("""COMPUTED_VALUE"""),"21 Months")</f>
        <v>21 Months</v>
      </c>
      <c r="AU112" s="699" t="str">
        <f>IFERROR(__xludf.DUMMYFUNCTION("""COMPUTED_VALUE"""),"Awadzi, K.; Attah, S.K.; Addy, E.T.; Opoku, N.O.; Quartey, B.T. (1999) The effects of high-dose ivermectin regimens on Onchocerca volvulus in onchocerciasis patients. Transactions of the Royal Society of Tropical Medicine and Hygiene 93: 189-194.")</f>
        <v>Awadzi, K.; Attah, S.K.; Addy, E.T.; Opoku, N.O.; Quartey, B.T. (1999) The effects of high-dose ivermectin regimens on Onchocerca volvulus in onchocerciasis patients. Transactions of the Royal Society of Tropical Medicine and Hygiene 93: 189-194.</v>
      </c>
      <c r="AV112" s="697" t="str">
        <f>IFERROR(__xludf.DUMMYFUNCTION("""COMPUTED_VALUE"""),"M")</f>
        <v>M</v>
      </c>
      <c r="AW112" s="697"/>
      <c r="AX112" s="697"/>
      <c r="AY112" s="697" t="str">
        <f>IFERROR(__xludf.DUMMYFUNCTION("""COMPUTED_VALUE"""),"Yes")</f>
        <v>Yes</v>
      </c>
      <c r="AZ112" s="697" t="str">
        <f>IFERROR(__xludf.DUMMYFUNCTION("""COMPUTED_VALUE"""),"Yes")</f>
        <v>Yes</v>
      </c>
      <c r="BA112" s="697"/>
      <c r="BB112" s="697"/>
      <c r="BC112" s="697" t="str">
        <f>IFERROR(__xludf.DUMMYFUNCTION("""COMPUTED_VALUE"""),"The results may be a function of multiplicities of doages rathe than of the total dose; our findings also suggest that repeated high-dose regimens are unlikely to be more effective than a similar number of 150 ug/kg doses.")</f>
        <v>The results may be a function of multiplicities of doages rathe than of the total dose; our findings also suggest that repeated high-dose regimens are unlikely to be more effective than a similar number of 150 ug/kg doses.</v>
      </c>
      <c r="BD112" s="697" t="str">
        <f>IFERROR(__xludf.DUMMYFUNCTION("""COMPUTED_VALUE"""),"One patient could not be traced after the day 180 follow-up and was eliminated from the study. The data presented relate to the 99 patients who were available at all time points up to day 365.")</f>
        <v>One patient could not be traced after the day 180 follow-up and was eliminated from the study. The data presented relate to the 99 patients who were available at all time points up to day 365.</v>
      </c>
      <c r="BE112" s="697"/>
      <c r="BF112" s="697"/>
      <c r="BG112" s="697"/>
    </row>
    <row r="113">
      <c r="A113" s="697"/>
      <c r="B113" s="697" t="str">
        <f>IFERROR(__xludf.DUMMYFUNCTION("""COMPUTED_VALUE"""),"Awadzi et al.")</f>
        <v>Awadzi et al.</v>
      </c>
      <c r="C113" s="697" t="str">
        <f>IFERROR(__xludf.DUMMYFUNCTION("""COMPUTED_VALUE"""),"Ghana")</f>
        <v>Ghana</v>
      </c>
      <c r="D113" s="697" t="str">
        <f>IFERROR(__xludf.DUMMYFUNCTION("""COMPUTED_VALUE"""),"Ivermectin")</f>
        <v>Ivermectin</v>
      </c>
      <c r="E113" s="697" t="str">
        <f>IFERROR(__xludf.DUMMYFUNCTION("""COMPUTED_VALUE"""),"150 ug/kg ; 400 ug/kg")</f>
        <v>150 ug/kg ; 400 ug/kg</v>
      </c>
      <c r="F113" s="697" t="str">
        <f>IFERROR(__xludf.DUMMYFUNCTION("""COMPUTED_VALUE"""),"1; 1")</f>
        <v>1; 1</v>
      </c>
      <c r="G113" s="697" t="str">
        <f>IFERROR(__xludf.DUMMYFUNCTION("""COMPUTED_VALUE"""),"400-550 ug/kg")</f>
        <v>400-550 ug/kg</v>
      </c>
      <c r="H113" s="697"/>
      <c r="I113" s="697"/>
      <c r="J113" s="697"/>
      <c r="K113" s="697"/>
      <c r="L113" s="697"/>
      <c r="M113" s="697"/>
      <c r="N113" s="697"/>
      <c r="O113" s="698">
        <f>IFERROR(__xludf.DUMMYFUNCTION("""COMPUTED_VALUE"""),0.999)</f>
        <v>0.999</v>
      </c>
      <c r="P113" s="697"/>
      <c r="Q113" s="698">
        <f>IFERROR(__xludf.DUMMYFUNCTION("""COMPUTED_VALUE"""),0.999)</f>
        <v>0.999</v>
      </c>
      <c r="R113" s="697"/>
      <c r="S113" s="698">
        <f>IFERROR(__xludf.DUMMYFUNCTION("""COMPUTED_VALUE"""),0.985)</f>
        <v>0.985</v>
      </c>
      <c r="T113" s="697"/>
      <c r="U113" s="697"/>
      <c r="V113" s="697"/>
      <c r="W113" s="698">
        <f>IFERROR(__xludf.DUMMYFUNCTION("""COMPUTED_VALUE"""),0.964)</f>
        <v>0.964</v>
      </c>
      <c r="X113" s="697"/>
      <c r="Y113" s="697"/>
      <c r="Z113" s="697"/>
      <c r="AA113" s="697"/>
      <c r="AB113" s="697"/>
      <c r="AC113" s="697"/>
      <c r="AD113" s="697"/>
      <c r="AE113" s="697"/>
      <c r="AF113" s="697"/>
      <c r="AG113" s="697"/>
      <c r="AH113" s="697"/>
      <c r="AI113" s="697"/>
      <c r="AJ113" s="697"/>
      <c r="AK113" s="697"/>
      <c r="AL113" s="697"/>
      <c r="AM113" s="697"/>
      <c r="AN113" s="698">
        <f>IFERROR(__xludf.DUMMYFUNCTION("""COMPUTED_VALUE"""),0.985)</f>
        <v>0.985</v>
      </c>
      <c r="AO113" s="698">
        <f>IFERROR(__xludf.DUMMYFUNCTION("""COMPUTED_VALUE"""),0.985)</f>
        <v>0.985</v>
      </c>
      <c r="AP113" s="697" t="str">
        <f>IFERROR(__xludf.DUMMYFUNCTION("""COMPUTED_VALUE"""),"Mf reduction")</f>
        <v>Mf reduction</v>
      </c>
      <c r="AQ113" s="697" t="str">
        <f>IFERROR(__xludf.DUMMYFUNCTION("""COMPUTED_VALUE"""),"Onchocerciasis Chemotherapy Research Center in Hohoe, Ghana")</f>
        <v>Onchocerciasis Chemotherapy Research Center in Hohoe, Ghana</v>
      </c>
      <c r="AR113" s="697">
        <f>IFERROR(__xludf.DUMMYFUNCTION("""COMPUTED_VALUE"""),1995.0)</f>
        <v>1995</v>
      </c>
      <c r="AS113" s="697">
        <f>IFERROR(__xludf.DUMMYFUNCTION("""COMPUTED_VALUE"""),25.0)</f>
        <v>25</v>
      </c>
      <c r="AT113" s="697" t="str">
        <f>IFERROR(__xludf.DUMMYFUNCTION("""COMPUTED_VALUE"""),"21 Months")</f>
        <v>21 Months</v>
      </c>
      <c r="AU113" s="699" t="str">
        <f>IFERROR(__xludf.DUMMYFUNCTION("""COMPUTED_VALUE"""),"Awadzi, K.; Attah, S.K.; Addy, E.T.; Opoku, N.O.; Quartey, B.T. (1999) The effects of high-dose ivermectin regimens on Onchocerca volvulus in onchocerciasis patients. Transactions of the Royal Society of Tropical Medicine and Hygiene 93: 189-194.")</f>
        <v>Awadzi, K.; Attah, S.K.; Addy, E.T.; Opoku, N.O.; Quartey, B.T. (1999) The effects of high-dose ivermectin regimens on Onchocerca volvulus in onchocerciasis patients. Transactions of the Royal Society of Tropical Medicine and Hygiene 93: 189-194.</v>
      </c>
      <c r="AV113" s="697" t="str">
        <f>IFERROR(__xludf.DUMMYFUNCTION("""COMPUTED_VALUE"""),"M")</f>
        <v>M</v>
      </c>
      <c r="AW113" s="697"/>
      <c r="AX113" s="697"/>
      <c r="AY113" s="697" t="str">
        <f>IFERROR(__xludf.DUMMYFUNCTION("""COMPUTED_VALUE"""),"Yes")</f>
        <v>Yes</v>
      </c>
      <c r="AZ113" s="697" t="str">
        <f>IFERROR(__xludf.DUMMYFUNCTION("""COMPUTED_VALUE"""),"Yes")</f>
        <v>Yes</v>
      </c>
      <c r="BA113" s="697"/>
      <c r="BB113" s="697"/>
      <c r="BC113" s="697" t="str">
        <f>IFERROR(__xludf.DUMMYFUNCTION("""COMPUTED_VALUE"""),"The results may be a function of multiplicities of doages rathe than of the total dose; our findings also suggest that repeated high-dose regimens are unlikely to be more effective than a similar number of 150 ug/kg doses.")</f>
        <v>The results may be a function of multiplicities of doages rathe than of the total dose; our findings also suggest that repeated high-dose regimens are unlikely to be more effective than a similar number of 150 ug/kg doses.</v>
      </c>
      <c r="BD113" s="697" t="str">
        <f>IFERROR(__xludf.DUMMYFUNCTION("""COMPUTED_VALUE"""),"One patient could not be traced after the day 180 follow-up and was eliminated from the study. The data presented relate to the 99 patients who were available at all time points up to day 365.")</f>
        <v>One patient could not be traced after the day 180 follow-up and was eliminated from the study. The data presented relate to the 99 patients who were available at all time points up to day 365.</v>
      </c>
      <c r="BE113" s="697"/>
      <c r="BF113" s="697"/>
      <c r="BG113" s="697"/>
    </row>
    <row r="114">
      <c r="A114" s="697"/>
      <c r="B114" s="697" t="str">
        <f>IFERROR(__xludf.DUMMYFUNCTION("""COMPUTED_VALUE"""),"Awadzi et al.")</f>
        <v>Awadzi et al.</v>
      </c>
      <c r="C114" s="697" t="str">
        <f>IFERROR(__xludf.DUMMYFUNCTION("""COMPUTED_VALUE"""),"Ghana")</f>
        <v>Ghana</v>
      </c>
      <c r="D114" s="697" t="str">
        <f>IFERROR(__xludf.DUMMYFUNCTION("""COMPUTED_VALUE"""),"Ivermectin")</f>
        <v>Ivermectin</v>
      </c>
      <c r="E114" s="697" t="str">
        <f>IFERROR(__xludf.DUMMYFUNCTION("""COMPUTED_VALUE"""),"150 ug/kg; 600 ug/kg")</f>
        <v>150 ug/kg; 600 ug/kg</v>
      </c>
      <c r="F114" s="697" t="str">
        <f>IFERROR(__xludf.DUMMYFUNCTION("""COMPUTED_VALUE"""),"1 ;1 ")</f>
        <v>1 ;1 </v>
      </c>
      <c r="G114" s="697" t="str">
        <f>IFERROR(__xludf.DUMMYFUNCTION("""COMPUTED_VALUE"""),"600-750 ug/kg")</f>
        <v>600-750 ug/kg</v>
      </c>
      <c r="H114" s="697"/>
      <c r="I114" s="697"/>
      <c r="J114" s="697"/>
      <c r="K114" s="697"/>
      <c r="L114" s="697"/>
      <c r="M114" s="697"/>
      <c r="N114" s="697"/>
      <c r="O114" s="698">
        <f>IFERROR(__xludf.DUMMYFUNCTION("""COMPUTED_VALUE"""),0.999)</f>
        <v>0.999</v>
      </c>
      <c r="P114" s="697"/>
      <c r="Q114" s="698">
        <f>IFERROR(__xludf.DUMMYFUNCTION("""COMPUTED_VALUE"""),0.999)</f>
        <v>0.999</v>
      </c>
      <c r="R114" s="697"/>
      <c r="S114" s="698">
        <f>IFERROR(__xludf.DUMMYFUNCTION("""COMPUTED_VALUE"""),0.982)</f>
        <v>0.982</v>
      </c>
      <c r="T114" s="697"/>
      <c r="U114" s="697"/>
      <c r="V114" s="697"/>
      <c r="W114" s="698">
        <f>IFERROR(__xludf.DUMMYFUNCTION("""COMPUTED_VALUE"""),0.962)</f>
        <v>0.962</v>
      </c>
      <c r="X114" s="697"/>
      <c r="Y114" s="697"/>
      <c r="Z114" s="697"/>
      <c r="AA114" s="697"/>
      <c r="AB114" s="697"/>
      <c r="AC114" s="697"/>
      <c r="AD114" s="697"/>
      <c r="AE114" s="697"/>
      <c r="AF114" s="697"/>
      <c r="AG114" s="697"/>
      <c r="AH114" s="697"/>
      <c r="AI114" s="697"/>
      <c r="AJ114" s="697"/>
      <c r="AK114" s="697"/>
      <c r="AL114" s="697"/>
      <c r="AM114" s="697"/>
      <c r="AN114" s="698">
        <f>IFERROR(__xludf.DUMMYFUNCTION("""COMPUTED_VALUE"""),0.982)</f>
        <v>0.982</v>
      </c>
      <c r="AO114" s="698">
        <f>IFERROR(__xludf.DUMMYFUNCTION("""COMPUTED_VALUE"""),0.982)</f>
        <v>0.982</v>
      </c>
      <c r="AP114" s="697" t="str">
        <f>IFERROR(__xludf.DUMMYFUNCTION("""COMPUTED_VALUE"""),"Mf reduction")</f>
        <v>Mf reduction</v>
      </c>
      <c r="AQ114" s="697" t="str">
        <f>IFERROR(__xludf.DUMMYFUNCTION("""COMPUTED_VALUE"""),"Onchocerciasis Chemotherapy Research Center in Hohoe, Ghana")</f>
        <v>Onchocerciasis Chemotherapy Research Center in Hohoe, Ghana</v>
      </c>
      <c r="AR114" s="697">
        <f>IFERROR(__xludf.DUMMYFUNCTION("""COMPUTED_VALUE"""),1995.0)</f>
        <v>1995</v>
      </c>
      <c r="AS114" s="697">
        <f>IFERROR(__xludf.DUMMYFUNCTION("""COMPUTED_VALUE"""),23.0)</f>
        <v>23</v>
      </c>
      <c r="AT114" s="697" t="str">
        <f>IFERROR(__xludf.DUMMYFUNCTION("""COMPUTED_VALUE"""),"21 Months")</f>
        <v>21 Months</v>
      </c>
      <c r="AU114" s="699" t="str">
        <f>IFERROR(__xludf.DUMMYFUNCTION("""COMPUTED_VALUE"""),"Awadzi, K.; Attah, S.K.; Addy, E.T.; Opoku, N.O.; Quartey, B.T. (1999) The effects of high-dose ivermectin regimens on Onchocerca volvulus in onchocerciasis patients. Transactions of the Royal Society of Tropical Medicine and Hygiene 93: 189-194.")</f>
        <v>Awadzi, K.; Attah, S.K.; Addy, E.T.; Opoku, N.O.; Quartey, B.T. (1999) The effects of high-dose ivermectin regimens on Onchocerca volvulus in onchocerciasis patients. Transactions of the Royal Society of Tropical Medicine and Hygiene 93: 189-194.</v>
      </c>
      <c r="AV114" s="697" t="str">
        <f>IFERROR(__xludf.DUMMYFUNCTION("""COMPUTED_VALUE"""),"M")</f>
        <v>M</v>
      </c>
      <c r="AW114" s="697"/>
      <c r="AX114" s="697"/>
      <c r="AY114" s="697" t="str">
        <f>IFERROR(__xludf.DUMMYFUNCTION("""COMPUTED_VALUE"""),"Yes")</f>
        <v>Yes</v>
      </c>
      <c r="AZ114" s="697" t="str">
        <f>IFERROR(__xludf.DUMMYFUNCTION("""COMPUTED_VALUE"""),"Yes")</f>
        <v>Yes</v>
      </c>
      <c r="BA114" s="697"/>
      <c r="BB114" s="697"/>
      <c r="BC114" s="697" t="str">
        <f>IFERROR(__xludf.DUMMYFUNCTION("""COMPUTED_VALUE"""),"The results may be a function of multiplicities of doages rathe than of the total dose; our findings also suggest that repeated high-dose regimens are unlikely to be more effective than a similar number of 150 ug/kg doses.")</f>
        <v>The results may be a function of multiplicities of doages rathe than of the total dose; our findings also suggest that repeated high-dose regimens are unlikely to be more effective than a similar number of 150 ug/kg doses.</v>
      </c>
      <c r="BD114" s="697" t="str">
        <f>IFERROR(__xludf.DUMMYFUNCTION("""COMPUTED_VALUE"""),"One patient could not be traced after the day 180 follow-up and was eliminated from the study. The data presented relate to the 99 patients who were available at all time points up to day 365.")</f>
        <v>One patient could not be traced after the day 180 follow-up and was eliminated from the study. The data presented relate to the 99 patients who were available at all time points up to day 365.</v>
      </c>
      <c r="BE114" s="697"/>
      <c r="BF114" s="697"/>
      <c r="BG114" s="697"/>
    </row>
    <row r="115">
      <c r="A115" s="697"/>
      <c r="B115" s="697" t="str">
        <f>IFERROR(__xludf.DUMMYFUNCTION("""COMPUTED_VALUE"""),"Awadzi et al.")</f>
        <v>Awadzi et al.</v>
      </c>
      <c r="C115" s="697" t="str">
        <f>IFERROR(__xludf.DUMMYFUNCTION("""COMPUTED_VALUE"""),"Ghana")</f>
        <v>Ghana</v>
      </c>
      <c r="D115" s="697" t="str">
        <f>IFERROR(__xludf.DUMMYFUNCTION("""COMPUTED_VALUE"""),"Ivermectin")</f>
        <v>Ivermectin</v>
      </c>
      <c r="E115" s="697" t="str">
        <f>IFERROR(__xludf.DUMMYFUNCTION("""COMPUTED_VALUE"""),"150 ug/kg; 800 ug.kg")</f>
        <v>150 ug/kg; 800 ug.kg</v>
      </c>
      <c r="F115" s="697" t="str">
        <f>IFERROR(__xludf.DUMMYFUNCTION("""COMPUTED_VALUE"""),"1; 1")</f>
        <v>1; 1</v>
      </c>
      <c r="G115" s="697" t="str">
        <f>IFERROR(__xludf.DUMMYFUNCTION("""COMPUTED_VALUE"""),"800-950 ug/kg")</f>
        <v>800-950 ug/kg</v>
      </c>
      <c r="H115" s="697"/>
      <c r="I115" s="697"/>
      <c r="J115" s="697"/>
      <c r="K115" s="697"/>
      <c r="L115" s="697"/>
      <c r="M115" s="697"/>
      <c r="N115" s="697"/>
      <c r="O115" s="698">
        <f>IFERROR(__xludf.DUMMYFUNCTION("""COMPUTED_VALUE"""),0.998)</f>
        <v>0.998</v>
      </c>
      <c r="P115" s="697"/>
      <c r="Q115" s="698">
        <f>IFERROR(__xludf.DUMMYFUNCTION("""COMPUTED_VALUE"""),0.999)</f>
        <v>0.999</v>
      </c>
      <c r="R115" s="697"/>
      <c r="S115" s="698">
        <f>IFERROR(__xludf.DUMMYFUNCTION("""COMPUTED_VALUE"""),0.993)</f>
        <v>0.993</v>
      </c>
      <c r="T115" s="697"/>
      <c r="U115" s="697"/>
      <c r="V115" s="697"/>
      <c r="W115" s="700">
        <f>IFERROR(__xludf.DUMMYFUNCTION("""COMPUTED_VALUE"""),0.97)</f>
        <v>0.97</v>
      </c>
      <c r="X115" s="697"/>
      <c r="Y115" s="697"/>
      <c r="Z115" s="697"/>
      <c r="AA115" s="697"/>
      <c r="AB115" s="697"/>
      <c r="AC115" s="697"/>
      <c r="AD115" s="697"/>
      <c r="AE115" s="697"/>
      <c r="AF115" s="697"/>
      <c r="AG115" s="697"/>
      <c r="AH115" s="697"/>
      <c r="AI115" s="697"/>
      <c r="AJ115" s="697"/>
      <c r="AK115" s="697"/>
      <c r="AL115" s="697"/>
      <c r="AM115" s="697"/>
      <c r="AN115" s="698">
        <f>IFERROR(__xludf.DUMMYFUNCTION("""COMPUTED_VALUE"""),0.993)</f>
        <v>0.993</v>
      </c>
      <c r="AO115" s="698">
        <f>IFERROR(__xludf.DUMMYFUNCTION("""COMPUTED_VALUE"""),0.993)</f>
        <v>0.993</v>
      </c>
      <c r="AP115" s="697" t="str">
        <f>IFERROR(__xludf.DUMMYFUNCTION("""COMPUTED_VALUE"""),"Mf reduction")</f>
        <v>Mf reduction</v>
      </c>
      <c r="AQ115" s="697" t="str">
        <f>IFERROR(__xludf.DUMMYFUNCTION("""COMPUTED_VALUE"""),"Onchocerciasis Chemotherapy Research Center in Hohoe, Ghana")</f>
        <v>Onchocerciasis Chemotherapy Research Center in Hohoe, Ghana</v>
      </c>
      <c r="AR115" s="697">
        <f>IFERROR(__xludf.DUMMYFUNCTION("""COMPUTED_VALUE"""),1995.0)</f>
        <v>1995</v>
      </c>
      <c r="AS115" s="697">
        <f>IFERROR(__xludf.DUMMYFUNCTION("""COMPUTED_VALUE"""),24.0)</f>
        <v>24</v>
      </c>
      <c r="AT115" s="697" t="str">
        <f>IFERROR(__xludf.DUMMYFUNCTION("""COMPUTED_VALUE"""),"21 Months")</f>
        <v>21 Months</v>
      </c>
      <c r="AU115" s="699" t="str">
        <f>IFERROR(__xludf.DUMMYFUNCTION("""COMPUTED_VALUE"""),"Awadzi, K.; Attah, S.K.; Addy, E.T.; Opoku, N.O.; Quartey, B.T. (1999) The effects of high-dose ivermectin regimens on Onchocerca volvulus in onchocerciasis patients. Transactions of the Royal Society of Tropical Medicine and Hygiene 93: 189-194.")</f>
        <v>Awadzi, K.; Attah, S.K.; Addy, E.T.; Opoku, N.O.; Quartey, B.T. (1999) The effects of high-dose ivermectin regimens on Onchocerca volvulus in onchocerciasis patients. Transactions of the Royal Society of Tropical Medicine and Hygiene 93: 189-194.</v>
      </c>
      <c r="AV115" s="697" t="str">
        <f>IFERROR(__xludf.DUMMYFUNCTION("""COMPUTED_VALUE"""),"M")</f>
        <v>M</v>
      </c>
      <c r="AW115" s="697"/>
      <c r="AX115" s="697"/>
      <c r="AY115" s="697" t="str">
        <f>IFERROR(__xludf.DUMMYFUNCTION("""COMPUTED_VALUE"""),"Yes")</f>
        <v>Yes</v>
      </c>
      <c r="AZ115" s="697" t="str">
        <f>IFERROR(__xludf.DUMMYFUNCTION("""COMPUTED_VALUE"""),"Yes")</f>
        <v>Yes</v>
      </c>
      <c r="BA115" s="697"/>
      <c r="BB115" s="697"/>
      <c r="BC115" s="697" t="str">
        <f>IFERROR(__xludf.DUMMYFUNCTION("""COMPUTED_VALUE"""),"The results may be a function of multiplicities of doages rathe than of the total dose; our findings also suggest that repeated high-dose regimens are unlikely to be more effective than a similar number of 150 ug/kg doses.")</f>
        <v>The results may be a function of multiplicities of doages rathe than of the total dose; our findings also suggest that repeated high-dose regimens are unlikely to be more effective than a similar number of 150 ug/kg doses.</v>
      </c>
      <c r="BD115" s="697" t="str">
        <f>IFERROR(__xludf.DUMMYFUNCTION("""COMPUTED_VALUE"""),"One patient could not be traced after the day 180 follow-up and was eliminated from the study. The data presented relate to the 99 patients who were available at all time points up to day 365.")</f>
        <v>One patient could not be traced after the day 180 follow-up and was eliminated from the study. The data presented relate to the 99 patients who were available at all time points up to day 365.</v>
      </c>
      <c r="BE115" s="697"/>
      <c r="BF115" s="697"/>
      <c r="BG115" s="697"/>
    </row>
    <row r="116">
      <c r="A116" s="697"/>
      <c r="B116" s="697" t="str">
        <f>IFERROR(__xludf.DUMMYFUNCTION("""COMPUTED_VALUE"""),"Awadzi et al.")</f>
        <v>Awadzi et al.</v>
      </c>
      <c r="C116" s="697" t="str">
        <f>IFERROR(__xludf.DUMMYFUNCTION("""COMPUTED_VALUE"""),"Ghana")</f>
        <v>Ghana</v>
      </c>
      <c r="D116" s="697" t="str">
        <f>IFERROR(__xludf.DUMMYFUNCTION("""COMPUTED_VALUE"""),"Ivermectin")</f>
        <v>Ivermectin</v>
      </c>
      <c r="E116" s="697" t="str">
        <f>IFERROR(__xludf.DUMMYFUNCTION("""COMPUTED_VALUE"""),"800 ug/kg")</f>
        <v>800 ug/kg</v>
      </c>
      <c r="F116" s="697">
        <f>IFERROR(__xludf.DUMMYFUNCTION("""COMPUTED_VALUE"""),2.0)</f>
        <v>2</v>
      </c>
      <c r="G116" s="697" t="str">
        <f>IFERROR(__xludf.DUMMYFUNCTION("""COMPUTED_VALUE"""),"1600 ug/kg")</f>
        <v>1600 ug/kg</v>
      </c>
      <c r="H116" s="697"/>
      <c r="I116" s="697"/>
      <c r="J116" s="697"/>
      <c r="K116" s="697"/>
      <c r="L116" s="697"/>
      <c r="M116" s="697"/>
      <c r="N116" s="697"/>
      <c r="O116" s="700">
        <f>IFERROR(__xludf.DUMMYFUNCTION("""COMPUTED_VALUE"""),1.0)</f>
        <v>1</v>
      </c>
      <c r="P116" s="697"/>
      <c r="Q116" s="700">
        <f>IFERROR(__xludf.DUMMYFUNCTION("""COMPUTED_VALUE"""),1.0)</f>
        <v>1</v>
      </c>
      <c r="R116" s="697"/>
      <c r="S116" s="698">
        <f>IFERROR(__xludf.DUMMYFUNCTION("""COMPUTED_VALUE"""),0.995)</f>
        <v>0.995</v>
      </c>
      <c r="T116" s="697"/>
      <c r="U116" s="697"/>
      <c r="V116" s="697"/>
      <c r="W116" s="698">
        <f>IFERROR(__xludf.DUMMYFUNCTION("""COMPUTED_VALUE"""),0.974)</f>
        <v>0.974</v>
      </c>
      <c r="X116" s="697"/>
      <c r="Y116" s="697"/>
      <c r="Z116" s="697"/>
      <c r="AA116" s="697"/>
      <c r="AB116" s="697"/>
      <c r="AC116" s="697"/>
      <c r="AD116" s="697"/>
      <c r="AE116" s="697"/>
      <c r="AF116" s="697"/>
      <c r="AG116" s="697"/>
      <c r="AH116" s="697"/>
      <c r="AI116" s="697"/>
      <c r="AJ116" s="697"/>
      <c r="AK116" s="697"/>
      <c r="AL116" s="697"/>
      <c r="AM116" s="697"/>
      <c r="AN116" s="698">
        <f>IFERROR(__xludf.DUMMYFUNCTION("""COMPUTED_VALUE"""),0.995)</f>
        <v>0.995</v>
      </c>
      <c r="AO116" s="698">
        <f>IFERROR(__xludf.DUMMYFUNCTION("""COMPUTED_VALUE"""),0.995)</f>
        <v>0.995</v>
      </c>
      <c r="AP116" s="697" t="str">
        <f>IFERROR(__xludf.DUMMYFUNCTION("""COMPUTED_VALUE"""),"Mf reduction")</f>
        <v>Mf reduction</v>
      </c>
      <c r="AQ116" s="697" t="str">
        <f>IFERROR(__xludf.DUMMYFUNCTION("""COMPUTED_VALUE"""),"Onchocerciasis Chemotherapy Research Center in Hohoe, Ghana")</f>
        <v>Onchocerciasis Chemotherapy Research Center in Hohoe, Ghana</v>
      </c>
      <c r="AR116" s="697">
        <f>IFERROR(__xludf.DUMMYFUNCTION("""COMPUTED_VALUE"""),1995.0)</f>
        <v>1995</v>
      </c>
      <c r="AS116" s="697">
        <f>IFERROR(__xludf.DUMMYFUNCTION("""COMPUTED_VALUE"""),12.0)</f>
        <v>12</v>
      </c>
      <c r="AT116" s="697" t="str">
        <f>IFERROR(__xludf.DUMMYFUNCTION("""COMPUTED_VALUE"""),"21 Months")</f>
        <v>21 Months</v>
      </c>
      <c r="AU116" s="699" t="str">
        <f>IFERROR(__xludf.DUMMYFUNCTION("""COMPUTED_VALUE"""),"Awadzi, K.; Attah, S.K.; Addy, E.T.; Opoku, N.O.; Quartey, B.T. (1999) The effects of high-dose ivermectin regimens on Onchocerca volvulus in onchocerciasis patients. Transactions of the Royal Society of Tropical Medicine and Hygiene 93: 189-194.")</f>
        <v>Awadzi, K.; Attah, S.K.; Addy, E.T.; Opoku, N.O.; Quartey, B.T. (1999) The effects of high-dose ivermectin regimens on Onchocerca volvulus in onchocerciasis patients. Transactions of the Royal Society of Tropical Medicine and Hygiene 93: 189-194.</v>
      </c>
      <c r="AV116" s="697" t="str">
        <f>IFERROR(__xludf.DUMMYFUNCTION("""COMPUTED_VALUE"""),"M")</f>
        <v>M</v>
      </c>
      <c r="AW116" s="697"/>
      <c r="AX116" s="697"/>
      <c r="AY116" s="697" t="str">
        <f>IFERROR(__xludf.DUMMYFUNCTION("""COMPUTED_VALUE"""),"Yes")</f>
        <v>Yes</v>
      </c>
      <c r="AZ116" s="697" t="str">
        <f>IFERROR(__xludf.DUMMYFUNCTION("""COMPUTED_VALUE"""),"Yes")</f>
        <v>Yes</v>
      </c>
      <c r="BA116" s="697"/>
      <c r="BB116" s="697"/>
      <c r="BC116" s="697" t="str">
        <f>IFERROR(__xludf.DUMMYFUNCTION("""COMPUTED_VALUE"""),"The results may be a function of multiplicities of doages rathe than of the total dose; our findings also suggest that repeated high-dose regimens are unlikely to be more effective than a similar number of 150 ug/kg doses.")</f>
        <v>The results may be a function of multiplicities of doages rathe than of the total dose; our findings also suggest that repeated high-dose regimens are unlikely to be more effective than a similar number of 150 ug/kg doses.</v>
      </c>
      <c r="BD116" s="697" t="str">
        <f>IFERROR(__xludf.DUMMYFUNCTION("""COMPUTED_VALUE"""),"One patient could not be traced after the day 180 follow-up and was eliminated from the study. The data presented relate to the 99 patients who were available at all time points up to day 365.")</f>
        <v>One patient could not be traced after the day 180 follow-up and was eliminated from the study. The data presented relate to the 99 patients who were available at all time points up to day 365.</v>
      </c>
      <c r="BE116" s="697"/>
      <c r="BF116" s="697"/>
      <c r="BG116" s="697"/>
    </row>
    <row r="117">
      <c r="A117" s="697"/>
      <c r="B117" s="697" t="str">
        <f>IFERROR(__xludf.DUMMYFUNCTION("""COMPUTED_VALUE"""),"Awadzi et al.")</f>
        <v>Awadzi et al.</v>
      </c>
      <c r="C117" s="697" t="str">
        <f>IFERROR(__xludf.DUMMYFUNCTION("""COMPUTED_VALUE"""),"Ghana")</f>
        <v>Ghana</v>
      </c>
      <c r="D117" s="697" t="str">
        <f>IFERROR(__xludf.DUMMYFUNCTION("""COMPUTED_VALUE"""),"Suramin")</f>
        <v>Suramin</v>
      </c>
      <c r="E117" s="697" t="str">
        <f>IFERROR(__xludf.DUMMYFUNCTION("""COMPUTED_VALUE"""),".2g-1g")</f>
        <v>.2g-1g</v>
      </c>
      <c r="F117" s="697">
        <f>IFERROR(__xludf.DUMMYFUNCTION("""COMPUTED_VALUE"""),6.0)</f>
        <v>6</v>
      </c>
      <c r="G117" s="697" t="str">
        <f>IFERROR(__xludf.DUMMYFUNCTION("""COMPUTED_VALUE"""),"5g")</f>
        <v>5g</v>
      </c>
      <c r="H117" s="697"/>
      <c r="I117" s="697"/>
      <c r="J117" s="697"/>
      <c r="K117" s="697"/>
      <c r="L117" s="697" t="str">
        <f>IFERROR(__xludf.DUMMYFUNCTION("""COMPUTED_VALUE"""),"                                                                                                                                                                       ")</f>
        <v>                                                                                                                                                                       </v>
      </c>
      <c r="M117" s="697"/>
      <c r="N117" s="698">
        <f>IFERROR(__xludf.DUMMYFUNCTION("""COMPUTED_VALUE"""),0.2727)</f>
        <v>0.2727</v>
      </c>
      <c r="O117" s="698">
        <f>IFERROR(__xludf.DUMMYFUNCTION("""COMPUTED_VALUE"""),0.3377)</f>
        <v>0.3377</v>
      </c>
      <c r="P117" s="697"/>
      <c r="Q117" s="698">
        <f>IFERROR(__xludf.DUMMYFUNCTION("""COMPUTED_VALUE"""),0.9654)</f>
        <v>0.9654</v>
      </c>
      <c r="R117" s="697"/>
      <c r="S117" s="697"/>
      <c r="T117" s="697"/>
      <c r="U117" s="697"/>
      <c r="V117" s="697"/>
      <c r="W117" s="697"/>
      <c r="X117" s="697"/>
      <c r="Y117" s="697"/>
      <c r="Z117" s="698">
        <f>IFERROR(__xludf.DUMMYFUNCTION("""COMPUTED_VALUE"""),0.9827)</f>
        <v>0.9827</v>
      </c>
      <c r="AA117" s="697"/>
      <c r="AB117" s="697"/>
      <c r="AC117" s="697"/>
      <c r="AD117" s="697"/>
      <c r="AE117" s="697" t="str">
        <f>IFERROR(__xludf.DUMMYFUNCTION("""COMPUTED_VALUE"""),"n/a")</f>
        <v>n/a</v>
      </c>
      <c r="AF117" s="697"/>
      <c r="AG117" s="697"/>
      <c r="AH117" s="697"/>
      <c r="AI117" s="697"/>
      <c r="AJ117" s="697"/>
      <c r="AK117" s="697" t="str">
        <f>IFERROR(__xludf.DUMMYFUNCTION("""COMPUTED_VALUE"""),"nodules with mf 6 weeks 44%; 13 weeks 41%, 26 weeks 0%, 52 weeks 0%; % of dead/probably dead female worms 18%; 13 weeks 28%, 26 weeks 50%; 52 weeks 66%;")</f>
        <v>nodules with mf 6 weeks 44%; 13 weeks 41%, 26 weeks 0%, 52 weeks 0%; % of dead/probably dead female worms 18%; 13 weeks 28%, 26 weeks 50%; 52 weeks 66%;</v>
      </c>
      <c r="AL117" s="697"/>
      <c r="AM117" s="697"/>
      <c r="AN117" s="698">
        <f>IFERROR(__xludf.DUMMYFUNCTION("""COMPUTED_VALUE"""),0.9654)</f>
        <v>0.9654</v>
      </c>
      <c r="AO117" s="698">
        <f>IFERROR(__xludf.DUMMYFUNCTION("""COMPUTED_VALUE"""),0.9654)</f>
        <v>0.9654</v>
      </c>
      <c r="AP117" s="697" t="str">
        <f>IFERROR(__xludf.DUMMYFUNCTION("""COMPUTED_VALUE"""),"Mf reduction &amp; Nodulectomy: % mf &amp; Nodulectomy: dead")</f>
        <v>Mf reduction &amp; Nodulectomy: % mf &amp; Nodulectomy: dead</v>
      </c>
      <c r="AQ117" s="697" t="str">
        <f>IFERROR(__xludf.DUMMYFUNCTION("""COMPUTED_VALUE"""),"Kudzrah, Ghana")</f>
        <v>Kudzrah, Ghana</v>
      </c>
      <c r="AR117" s="697">
        <f>IFERROR(__xludf.DUMMYFUNCTION("""COMPUTED_VALUE"""),1995.0)</f>
        <v>1995</v>
      </c>
      <c r="AS117" s="697">
        <f>IFERROR(__xludf.DUMMYFUNCTION("""COMPUTED_VALUE"""),20.0)</f>
        <v>20</v>
      </c>
      <c r="AT117" s="697" t="str">
        <f>IFERROR(__xludf.DUMMYFUNCTION("""COMPUTED_VALUE"""),"52 weeks")</f>
        <v>52 weeks</v>
      </c>
      <c r="AU117" s="699" t="str">
        <f>IFERROR(__xludf.DUMMYFUNCTION("""COMPUTED_VALUE"""),"Awadzi, K.; Hero, M.; Opoku, N.O.; Addy, E.T.; Büttner, D.W.; Ginger, C.D. (1995)  The chemotherapy of onchocerciasis XVIII. Aspects of treatment with suramin. Tropical Medicine and Parasitology 46(1): 19-26.")</f>
        <v>Awadzi, K.; Hero, M.; Opoku, N.O.; Addy, E.T.; Büttner, D.W.; Ginger, C.D. (1995)  The chemotherapy of onchocerciasis XVIII. Aspects of treatment with suramin. Tropical Medicine and Parasitology 46(1): 19-26.</v>
      </c>
      <c r="AV117" s="697" t="str">
        <f>IFERROR(__xludf.DUMMYFUNCTION("""COMPUTED_VALUE"""),"M")</f>
        <v>M</v>
      </c>
      <c r="AW117" s="697" t="str">
        <f>IFERROR(__xludf.DUMMYFUNCTION("""COMPUTED_VALUE"""),"Mean Age + Range 29 (20-49)")</f>
        <v>Mean Age + Range 29 (20-49)</v>
      </c>
      <c r="AX117" s="697" t="str">
        <f>IFERROR(__xludf.DUMMYFUNCTION("""COMPUTED_VALUE"""),"Healthy adult males who had never received antifilarial drugs, with the exception of one patient treated with diethylcarbamazine (DEC) six years earlier.")</f>
        <v>Healthy adult males who had never received antifilarial drugs, with the exception of one patient treated with diethylcarbamazine (DEC) six years earlier.</v>
      </c>
      <c r="AY117" s="697" t="str">
        <f>IFERROR(__xludf.DUMMYFUNCTION("""COMPUTED_VALUE"""),"No")</f>
        <v>No</v>
      </c>
      <c r="AZ117" s="697" t="str">
        <f>IFERROR(__xludf.DUMMYFUNCTION("""COMPUTED_VALUE"""),"No")</f>
        <v>No</v>
      </c>
      <c r="BA117" s="697"/>
      <c r="BB117" s="697"/>
      <c r="BC117" s="697" t="str">
        <f>IFERROR(__xludf.DUMMYFUNCTION("""COMPUTED_VALUE"""),"The treatment of onchocerciasis with diethylcarbamazine (DEC) and suramin is recommended only for patients with sight threatening disease, severe onchodermatitis, or high skin microfilarial loads and is to be carried out under medical supervision.")</f>
        <v>The treatment of onchocerciasis with diethylcarbamazine (DEC) and suramin is recommended only for patients with sight threatening disease, severe onchodermatitis, or high skin microfilarial loads and is to be carried out under medical supervision.</v>
      </c>
      <c r="BD117" s="697"/>
      <c r="BE117" s="697"/>
      <c r="BF117" s="697"/>
      <c r="BG117" s="697"/>
    </row>
    <row r="118">
      <c r="A118" s="697"/>
      <c r="B118" s="697" t="str">
        <f>IFERROR(__xludf.DUMMYFUNCTION("""COMPUTED_VALUE"""),"Osei-Atweneboana et al.")</f>
        <v>Osei-Atweneboana et al.</v>
      </c>
      <c r="C118" s="697" t="str">
        <f>IFERROR(__xludf.DUMMYFUNCTION("""COMPUTED_VALUE"""),"Ghana")</f>
        <v>Ghana</v>
      </c>
      <c r="D118" s="697" t="str">
        <f>IFERROR(__xludf.DUMMYFUNCTION("""COMPUTED_VALUE"""),"Ivermectin")</f>
        <v>Ivermectin</v>
      </c>
      <c r="E118" s="697" t="str">
        <f>IFERROR(__xludf.DUMMYFUNCTION("""COMPUTED_VALUE"""),"150 ug/kg")</f>
        <v>150 ug/kg</v>
      </c>
      <c r="F118" s="697">
        <f>IFERROR(__xludf.DUMMYFUNCTION("""COMPUTED_VALUE"""),1.0)</f>
        <v>1</v>
      </c>
      <c r="G118" s="697" t="str">
        <f>IFERROR(__xludf.DUMMYFUNCTION("""COMPUTED_VALUE"""),"150 ug/kg ")</f>
        <v>150 ug/kg </v>
      </c>
      <c r="H118" s="697"/>
      <c r="I118" s="697"/>
      <c r="J118" s="697"/>
      <c r="K118" s="697"/>
      <c r="L118" s="698">
        <f>IFERROR(__xludf.DUMMYFUNCTION("""COMPUTED_VALUE"""),0.9973)</f>
        <v>0.9973</v>
      </c>
      <c r="M118" s="697"/>
      <c r="N118" s="697"/>
      <c r="O118" s="697"/>
      <c r="P118" s="697"/>
      <c r="Q118" s="697"/>
      <c r="R118" s="697"/>
      <c r="S118" s="697"/>
      <c r="T118" s="697"/>
      <c r="U118" s="697"/>
      <c r="V118" s="697"/>
      <c r="W118" s="697"/>
      <c r="X118" s="697"/>
      <c r="Y118" s="697"/>
      <c r="Z118" s="697"/>
      <c r="AA118" s="697"/>
      <c r="AB118" s="697"/>
      <c r="AC118" s="697"/>
      <c r="AD118" s="697"/>
      <c r="AE118" s="697"/>
      <c r="AF118" s="698">
        <f>IFERROR(__xludf.DUMMYFUNCTION("""COMPUTED_VALUE"""),0.796)</f>
        <v>0.796</v>
      </c>
      <c r="AG118" s="697"/>
      <c r="AH118" s="697"/>
      <c r="AI118" s="697"/>
      <c r="AJ118" s="697"/>
      <c r="AK118" s="697"/>
      <c r="AL118" s="697"/>
      <c r="AM118" s="697"/>
      <c r="AN118" s="698">
        <f>IFERROR(__xludf.DUMMYFUNCTION("""COMPUTED_VALUE"""),0.9973)</f>
        <v>0.9973</v>
      </c>
      <c r="AO118" s="698">
        <f>IFERROR(__xludf.DUMMYFUNCTION("""COMPUTED_VALUE"""),0.9973)</f>
        <v>0.9973</v>
      </c>
      <c r="AP118" s="697" t="str">
        <f>IFERROR(__xludf.DUMMYFUNCTION("""COMPUTED_VALUE"""),"Mf reduction")</f>
        <v>Mf reduction</v>
      </c>
      <c r="AQ118" s="697" t="str">
        <f>IFERROR(__xludf.DUMMYFUNCTION("""COMPUTED_VALUE"""),"19 endemic communities in the Atebubu District [Akrakuka (1), Asubende(2), Baaya(3), Beposo(4), Faoamang(5), Hiampe(6), Mantukwa(7), Mempeasem(8), Senyase(9)], Kintampo District [Dwere(10), Gomboi(11), Kyingakrom(12), New Longoro(13)], Nikoranza District "&amp;"[Ayerede(14), Nyemeberekyere(15)], and the East Gonja District [Bankaba(16), Chabon(17), Jagbenbendo(18), and WIae(19)]")</f>
        <v>19 endemic communities in the Atebubu District [Akrakuka (1), Asubende(2), Baaya(3), Beposo(4), Faoamang(5), Hiampe(6), Mantukwa(7), Mempeasem(8), Senyase(9)], Kintampo District [Dwere(10), Gomboi(11), Kyingakrom(12), New Longoro(13)], Nikoranza District [Ayerede(14), Nyemeberekyere(15)], and the East Gonja District [Bankaba(16), Chabon(17), Jagbenbendo(18), and WIae(19)]</v>
      </c>
      <c r="AR118" s="697">
        <f>IFERROR(__xludf.DUMMYFUNCTION("""COMPUTED_VALUE"""),2005.0)</f>
        <v>2005</v>
      </c>
      <c r="AS118" s="697">
        <f>IFERROR(__xludf.DUMMYFUNCTION("""COMPUTED_VALUE"""),2501.0)</f>
        <v>2501</v>
      </c>
      <c r="AT118" s="697" t="str">
        <f>IFERROR(__xludf.DUMMYFUNCTION("""COMPUTED_VALUE"""),"180 days")</f>
        <v>180 days</v>
      </c>
      <c r="AU118" s="699" t="str">
        <f>IFERROR(__xludf.DUMMYFUNCTION("""COMPUTED_VALUE"""),"Osei-Atweneboana, M.; Eng, J.K.L.; Boakye, D.A.; Gyapong, J.O.; Prichard, R.K. (2007) Prevalence and intensity of Onchocerca volvulus infection and efficacy of ivermectin in endemic communities in Ghana: a two-phase epidemiological study. Lancet 369: 2021"&amp;"-2029.")</f>
        <v>Osei-Atweneboana, M.; Eng, J.K.L.; Boakye, D.A.; Gyapong, J.O.; Prichard, R.K. (2007) Prevalence and intensity of Onchocerca volvulus infection and efficacy of ivermectin in endemic communities in Ghana: a two-phase epidemiological study. Lancet 369: 2021-2029.</v>
      </c>
      <c r="AV118" s="697"/>
      <c r="AW118" s="697"/>
      <c r="AX118" s="697"/>
      <c r="AY118" s="697" t="str">
        <f>IFERROR(__xludf.DUMMYFUNCTION("""COMPUTED_VALUE"""),"No")</f>
        <v>No</v>
      </c>
      <c r="AZ118" s="697" t="str">
        <f>IFERROR(__xludf.DUMMYFUNCTION("""COMPUTED_VALUE"""),"Yes")</f>
        <v>Yes</v>
      </c>
      <c r="BA118" s="697"/>
      <c r="BB118" s="697"/>
      <c r="BC118" s="697" t="str">
        <f>IFERROR(__xludf.DUMMYFUNCTION("""COMPUTED_VALUE"""),"Ivermectin remains a potent microfilaricide. However, our results suggest that resistant adult parasite populations, which are not responding as expected to ivermectin, are emerging.")</f>
        <v>Ivermectin remains a potent microfilaricide. However, our results suggest that resistant adult parasite populations, which are not responding as expected to ivermectin, are emerging.</v>
      </c>
      <c r="BD118" s="697"/>
      <c r="BE118" s="697"/>
      <c r="BF118" s="697"/>
      <c r="BG118" s="697" t="str">
        <f>IFERROR(__xludf.DUMMYFUNCTION("""COMPUTED_VALUE"""),"x")</f>
        <v>x</v>
      </c>
    </row>
    <row r="119">
      <c r="A119" s="697"/>
      <c r="B119" s="697" t="str">
        <f>IFERROR(__xludf.DUMMYFUNCTION("""COMPUTED_VALUE"""),"Osei-Atweneboana et al.")</f>
        <v>Osei-Atweneboana et al.</v>
      </c>
      <c r="C119" s="697" t="str">
        <f>IFERROR(__xludf.DUMMYFUNCTION("""COMPUTED_VALUE"""),"Ghana")</f>
        <v>Ghana</v>
      </c>
      <c r="D119" s="697" t="str">
        <f>IFERROR(__xludf.DUMMYFUNCTION("""COMPUTED_VALUE"""),"Ivermectin")</f>
        <v>Ivermectin</v>
      </c>
      <c r="E119" s="697" t="str">
        <f>IFERROR(__xludf.DUMMYFUNCTION("""COMPUTED_VALUE"""),"150 ug/kg")</f>
        <v>150 ug/kg</v>
      </c>
      <c r="F119" s="697">
        <f>IFERROR(__xludf.DUMMYFUNCTION("""COMPUTED_VALUE"""),1.0)</f>
        <v>1</v>
      </c>
      <c r="G119" s="697" t="str">
        <f>IFERROR(__xludf.DUMMYFUNCTION("""COMPUTED_VALUE"""),"150 ug/kg ")</f>
        <v>150 ug/kg </v>
      </c>
      <c r="H119" s="697"/>
      <c r="I119" s="697"/>
      <c r="J119" s="697"/>
      <c r="K119" s="697"/>
      <c r="L119" s="697"/>
      <c r="M119" s="697"/>
      <c r="N119" s="697"/>
      <c r="O119" s="698">
        <f>IFERROR(__xludf.DUMMYFUNCTION("""COMPUTED_VALUE"""),0.9969)</f>
        <v>0.9969</v>
      </c>
      <c r="P119" s="697"/>
      <c r="Q119" s="698">
        <f>IFERROR(__xludf.DUMMYFUNCTION("""COMPUTED_VALUE"""),0.91625)</f>
        <v>0.91625</v>
      </c>
      <c r="R119" s="697"/>
      <c r="S119" s="698">
        <f>IFERROR(__xludf.DUMMYFUNCTION("""COMPUTED_VALUE"""),0.7496)</f>
        <v>0.7496</v>
      </c>
      <c r="T119" s="697"/>
      <c r="U119" s="697"/>
      <c r="V119" s="697"/>
      <c r="W119" s="697"/>
      <c r="X119" s="697"/>
      <c r="Y119" s="697"/>
      <c r="Z119" s="697"/>
      <c r="AA119" s="697"/>
      <c r="AB119" s="697"/>
      <c r="AC119" s="697"/>
      <c r="AD119" s="697"/>
      <c r="AE119" s="697"/>
      <c r="AF119" s="698">
        <f>IFERROR(__xludf.DUMMYFUNCTION("""COMPUTED_VALUE"""),0.319)</f>
        <v>0.319</v>
      </c>
      <c r="AG119" s="697"/>
      <c r="AH119" s="697"/>
      <c r="AI119" s="697"/>
      <c r="AJ119" s="697"/>
      <c r="AK119" s="697"/>
      <c r="AL119" s="697"/>
      <c r="AM119" s="697"/>
      <c r="AN119" s="698">
        <f>IFERROR(__xludf.DUMMYFUNCTION("""COMPUTED_VALUE"""),0.7496)</f>
        <v>0.7496</v>
      </c>
      <c r="AO119" s="698">
        <f>IFERROR(__xludf.DUMMYFUNCTION("""COMPUTED_VALUE"""),0.7496)</f>
        <v>0.7496</v>
      </c>
      <c r="AP119" s="697" t="str">
        <f>IFERROR(__xludf.DUMMYFUNCTION("""COMPUTED_VALUE"""),"Mf reduction")</f>
        <v>Mf reduction</v>
      </c>
      <c r="AQ119" s="697" t="str">
        <f>IFERROR(__xludf.DUMMYFUNCTION("""COMPUTED_VALUE"""),"10 endemic communities Asubende (1), Baaya (2), Beposo(3), Hiampe(4), Senyase(5), Kyingakrom(6), New Longoro(7), Jagbenbendo(8), Wiae(9), and Begbomdo(10)")</f>
        <v>10 endemic communities Asubende (1), Baaya (2), Beposo(3), Hiampe(4), Senyase(5), Kyingakrom(6), New Longoro(7), Jagbenbendo(8), Wiae(9), and Begbomdo(10)</v>
      </c>
      <c r="AR119" s="697">
        <f>IFERROR(__xludf.DUMMYFUNCTION("""COMPUTED_VALUE"""),2005.0)</f>
        <v>2005</v>
      </c>
      <c r="AS119" s="697" t="str">
        <f>IFERROR(__xludf.DUMMYFUNCTION("""COMPUTED_VALUE"""),"301/342")</f>
        <v>301/342</v>
      </c>
      <c r="AT119" s="697" t="str">
        <f>IFERROR(__xludf.DUMMYFUNCTION("""COMPUTED_VALUE"""),"181 days")</f>
        <v>181 days</v>
      </c>
      <c r="AU119" s="699" t="str">
        <f>IFERROR(__xludf.DUMMYFUNCTION("""COMPUTED_VALUE"""),"Osei-Atweneboana, M.; Eng, J.K.L.; Boakye, D.A.; Gyapong, J.O.; Prichard, R.K. (2007) Prevalence and intensity of Onchocerca volvulus infection and efficacy of ivermectin in endemic communities in Ghana: a two-phase epidemiological study. Lancet 369: 2021"&amp;"-2029.")</f>
        <v>Osei-Atweneboana, M.; Eng, J.K.L.; Boakye, D.A.; Gyapong, J.O.; Prichard, R.K. (2007) Prevalence and intensity of Onchocerca volvulus infection and efficacy of ivermectin in endemic communities in Ghana: a two-phase epidemiological study. Lancet 369: 2021-2029.</v>
      </c>
      <c r="AV119" s="697"/>
      <c r="AW119" s="697"/>
      <c r="AX119" s="697"/>
      <c r="AY119" s="697" t="str">
        <f>IFERROR(__xludf.DUMMYFUNCTION("""COMPUTED_VALUE"""),"No")</f>
        <v>No</v>
      </c>
      <c r="AZ119" s="697" t="str">
        <f>IFERROR(__xludf.DUMMYFUNCTION("""COMPUTED_VALUE"""),"Yes")</f>
        <v>Yes</v>
      </c>
      <c r="BA119" s="697"/>
      <c r="BB119" s="697"/>
      <c r="BC119" s="697" t="str">
        <f>IFERROR(__xludf.DUMMYFUNCTION("""COMPUTED_VALUE"""),"Ivermectin remains a potent microfilaricide. However, our results suggest that resistant adult parasite populations, which are not responding as expected to ivermectin, are emerging.")</f>
        <v>Ivermectin remains a potent microfilaricide. However, our results suggest that resistant adult parasite populations, which are not responding as expected to ivermectin, are emerging.</v>
      </c>
      <c r="BD119" s="697"/>
      <c r="BE119" s="697"/>
      <c r="BF119" s="697"/>
      <c r="BG119" s="697" t="str">
        <f>IFERROR(__xludf.DUMMYFUNCTION("""COMPUTED_VALUE"""),"x")</f>
        <v>x</v>
      </c>
    </row>
    <row r="120">
      <c r="A120" s="697"/>
      <c r="B120" s="697" t="str">
        <f>IFERROR(__xludf.DUMMYFUNCTION("""COMPUTED_VALUE"""),"Burch &amp; Ashburn")</f>
        <v>Burch &amp; Ashburn</v>
      </c>
      <c r="C120" s="697" t="str">
        <f>IFERROR(__xludf.DUMMYFUNCTION("""COMPUTED_VALUE"""),"Guatemala")</f>
        <v>Guatemala</v>
      </c>
      <c r="D120" s="697" t="str">
        <f>IFERROR(__xludf.DUMMYFUNCTION("""COMPUTED_VALUE"""),"Suramin")</f>
        <v>Suramin</v>
      </c>
      <c r="E120" s="697" t="str">
        <f>IFERROR(__xludf.DUMMYFUNCTION("""COMPUTED_VALUE"""),".5g, 1g")</f>
        <v>.5g, 1g</v>
      </c>
      <c r="F120" s="704">
        <f>IFERROR(__xludf.DUMMYFUNCTION("""COMPUTED_VALUE"""),42529.0)</f>
        <v>42529</v>
      </c>
      <c r="G120" s="697" t="str">
        <f>IFERROR(__xludf.DUMMYFUNCTION("""COMPUTED_VALUE"""),"6.5g-8.5g")</f>
        <v>6.5g-8.5g</v>
      </c>
      <c r="H120" s="697"/>
      <c r="I120" s="697"/>
      <c r="J120" s="697"/>
      <c r="K120" s="697"/>
      <c r="L120" s="697"/>
      <c r="M120" s="697"/>
      <c r="N120" s="697"/>
      <c r="O120" s="697"/>
      <c r="P120" s="697"/>
      <c r="Q120" s="697"/>
      <c r="R120" s="697"/>
      <c r="S120" s="697"/>
      <c r="T120" s="697"/>
      <c r="U120" s="697"/>
      <c r="V120" s="697"/>
      <c r="W120" s="698">
        <f>IFERROR(__xludf.DUMMYFUNCTION("""COMPUTED_VALUE"""),0.8571)</f>
        <v>0.8571</v>
      </c>
      <c r="X120" s="697"/>
      <c r="Y120" s="697"/>
      <c r="Z120" s="698">
        <f>IFERROR(__xludf.DUMMYFUNCTION("""COMPUTED_VALUE"""),0.9534)</f>
        <v>0.9534</v>
      </c>
      <c r="AA120" s="697"/>
      <c r="AB120" s="697"/>
      <c r="AC120" s="697"/>
      <c r="AD120" s="697"/>
      <c r="AE120" s="697" t="str">
        <f>IFERROR(__xludf.DUMMYFUNCTION("""COMPUTED_VALUE"""),"n/a")</f>
        <v>n/a</v>
      </c>
      <c r="AF120" s="697"/>
      <c r="AG120" s="697"/>
      <c r="AH120" s="697"/>
      <c r="AI120" s="697"/>
      <c r="AJ120" s="697"/>
      <c r="AK120" s="697"/>
      <c r="AL120" s="697"/>
      <c r="AM120" s="697"/>
      <c r="AN120" s="698">
        <f>IFERROR(__xludf.DUMMYFUNCTION("""COMPUTED_VALUE"""),0.8571)</f>
        <v>0.8571</v>
      </c>
      <c r="AO120" s="698">
        <f>IFERROR(__xludf.DUMMYFUNCTION("""COMPUTED_VALUE"""),0.8571)</f>
        <v>0.8571</v>
      </c>
      <c r="AP120" s="697" t="str">
        <f>IFERROR(__xludf.DUMMYFUNCTION("""COMPUTED_VALUE"""),"Mf reduction")</f>
        <v>Mf reduction</v>
      </c>
      <c r="AQ120" s="697" t="str">
        <f>IFERROR(__xludf.DUMMYFUNCTION("""COMPUTED_VALUE"""),"Yepocapa, Chimaltenango, Guatemala ")</f>
        <v>Yepocapa, Chimaltenango, Guatemala </v>
      </c>
      <c r="AR120" s="697">
        <f>IFERROR(__xludf.DUMMYFUNCTION("""COMPUTED_VALUE"""),1951.0)</f>
        <v>1951</v>
      </c>
      <c r="AS120" s="697">
        <f>IFERROR(__xludf.DUMMYFUNCTION("""COMPUTED_VALUE"""),44.0)</f>
        <v>44</v>
      </c>
      <c r="AT120" s="697" t="str">
        <f>IFERROR(__xludf.DUMMYFUNCTION("""COMPUTED_VALUE"""),"3 years")</f>
        <v>3 years</v>
      </c>
      <c r="AU120" s="699" t="str">
        <f>IFERROR(__xludf.DUMMYFUNCTION("""COMPUTED_VALUE"""),"Burch, T.; Ashburn, L.L. ¬(1951) Experimental Therapy of Onchocerciasis with Suramin and Hetrazan; Results of a Three-Year Study. American Journal of Tropical Medicine 31(5): 617-623.")</f>
        <v>Burch, T.; Ashburn, L.L. ¬(1951) Experimental Therapy of Onchocerciasis with Suramin and Hetrazan; Results of a Three-Year Study. American Journal of Tropical Medicine 31(5): 617-623.</v>
      </c>
      <c r="AV120" s="697"/>
      <c r="AW120" s="697"/>
      <c r="AX120" s="697" t="str">
        <f>IFERROR(__xludf.DUMMYFUNCTION("""COMPUTED_VALUE"""),"All patients selected had demonstrable microfilariae and no evidence of other serious disease. ")</f>
        <v>All patients selected had demonstrable microfilariae and no evidence of other serious disease. </v>
      </c>
      <c r="AY120" s="697" t="str">
        <f>IFERROR(__xludf.DUMMYFUNCTION("""COMPUTED_VALUE"""),"No")</f>
        <v>No</v>
      </c>
      <c r="AZ120" s="697" t="str">
        <f>IFERROR(__xludf.DUMMYFUNCTION("""COMPUTED_VALUE"""),"Yes")</f>
        <v>Yes</v>
      </c>
      <c r="BA120" s="697"/>
      <c r="BB120" s="697"/>
      <c r="BC120" s="697" t="str">
        <f>IFERROR(__xludf.DUMMYFUNCTION("""COMPUTED_VALUE"""),"Hetrazan had a spectacular and immediate effect against the microfilariae of Onchocercia volvulus but since it did not destroy the adult worms the disappearance of microfilariae was only temporary. Intravenous suramin, on the other hand, caused a more gra"&amp;"dual disappearance of the microfilariae but since it also killed the worms, the disappearance was permanent in about 90 of the cases.")</f>
        <v>Hetrazan had a spectacular and immediate effect against the microfilariae of Onchocercia volvulus but since it did not destroy the adult worms the disappearance of microfilariae was only temporary. Intravenous suramin, on the other hand, caused a more gradual disappearance of the microfilariae but since it also killed the worms, the disappearance was permanent in about 90 of the cases.</v>
      </c>
      <c r="BD120" s="697" t="str">
        <f>IFERROR(__xludf.DUMMYFUNCTION("""COMPUTED_VALUE"""),"Suramin (intravenous) 1 year 2 LTF; 2 years 1 LTF; 3 years 3 LTF. Hetrazan (oral) 1 year 8 LTF; 2 years 43 LTF. Suramin (intravenous) + Hetrazan (oral) 2 years 2 LTF.")</f>
        <v>Suramin (intravenous) 1 year 2 LTF; 2 years 1 LTF; 3 years 3 LTF. Hetrazan (oral) 1 year 8 LTF; 2 years 43 LTF. Suramin (intravenous) + Hetrazan (oral) 2 years 2 LTF.</v>
      </c>
      <c r="BE120" s="697"/>
      <c r="BF120" s="697"/>
      <c r="BG120" s="697"/>
    </row>
    <row r="121">
      <c r="A121" s="697"/>
      <c r="B121" s="697" t="str">
        <f>IFERROR(__xludf.DUMMYFUNCTION("""COMPUTED_VALUE"""),"Burch &amp; Ashburn")</f>
        <v>Burch &amp; Ashburn</v>
      </c>
      <c r="C121" s="697" t="str">
        <f>IFERROR(__xludf.DUMMYFUNCTION("""COMPUTED_VALUE"""),"Guatemala")</f>
        <v>Guatemala</v>
      </c>
      <c r="D121" s="697" t="str">
        <f>IFERROR(__xludf.DUMMYFUNCTION("""COMPUTED_VALUE"""),"Suramin (oral)")</f>
        <v>Suramin (oral)</v>
      </c>
      <c r="E121" s="697"/>
      <c r="F121" s="697"/>
      <c r="G121" s="697" t="str">
        <f>IFERROR(__xludf.DUMMYFUNCTION("""COMPUTED_VALUE"""),"0.30-0.51 g/kg")</f>
        <v>0.30-0.51 g/kg</v>
      </c>
      <c r="H121" s="697"/>
      <c r="I121" s="697"/>
      <c r="J121" s="697"/>
      <c r="K121" s="697"/>
      <c r="L121" s="697"/>
      <c r="M121" s="697"/>
      <c r="N121" s="697"/>
      <c r="O121" s="697"/>
      <c r="P121" s="697"/>
      <c r="Q121" s="697"/>
      <c r="R121" s="697"/>
      <c r="S121" s="697"/>
      <c r="T121" s="697"/>
      <c r="U121" s="697"/>
      <c r="V121" s="697"/>
      <c r="W121" s="697"/>
      <c r="X121" s="697"/>
      <c r="Y121" s="697"/>
      <c r="Z121" s="697"/>
      <c r="AA121" s="697"/>
      <c r="AB121" s="697"/>
      <c r="AC121" s="697"/>
      <c r="AD121" s="697"/>
      <c r="AE121" s="697" t="str">
        <f>IFERROR(__xludf.DUMMYFUNCTION("""COMPUTED_VALUE"""),"n/a")</f>
        <v>n/a</v>
      </c>
      <c r="AF121" s="697"/>
      <c r="AG121" s="697"/>
      <c r="AH121" s="697"/>
      <c r="AI121" s="697"/>
      <c r="AJ121" s="697"/>
      <c r="AK121" s="697" t="str">
        <f>IFERROR(__xludf.DUMMYFUNCTION("""COMPUTED_VALUE"""),"Nodulectomy: Normal worms 36.36%(4/11); necrosis of embryos or larvae 36.36%(4/11); suppression of mf and developmental stages 27.27%(3/11); dead worms 0%(0/11)")</f>
        <v>Nodulectomy: Normal worms 36.36%(4/11); necrosis of embryos or larvae 36.36%(4/11); suppression of mf and developmental stages 27.27%(3/11); dead worms 0%(0/11)</v>
      </c>
      <c r="AL121" s="697"/>
      <c r="AM121" s="697"/>
      <c r="AN121" s="697">
        <f>IFERROR(__xludf.DUMMYFUNCTION("""COMPUTED_VALUE"""),0.0)</f>
        <v>0</v>
      </c>
      <c r="AO121" s="698">
        <f>IFERROR(__xludf.DUMMYFUNCTION("""COMPUTED_VALUE"""),0.0)</f>
        <v>0</v>
      </c>
      <c r="AP121" s="697" t="str">
        <f>IFERROR(__xludf.DUMMYFUNCTION("""COMPUTED_VALUE"""),"Nodulectomy: dead worms; mf ")</f>
        <v>Nodulectomy: dead worms; mf </v>
      </c>
      <c r="AQ121" s="697"/>
      <c r="AR121" s="697">
        <f>IFERROR(__xludf.DUMMYFUNCTION("""COMPUTED_VALUE"""),1951.0)</f>
        <v>1951</v>
      </c>
      <c r="AS121" s="697">
        <f>IFERROR(__xludf.DUMMYFUNCTION("""COMPUTED_VALUE"""),28.0)</f>
        <v>28</v>
      </c>
      <c r="AT121" s="697" t="str">
        <f>IFERROR(__xludf.DUMMYFUNCTION("""COMPUTED_VALUE"""),"3 years")</f>
        <v>3 years</v>
      </c>
      <c r="AU121" s="699" t="str">
        <f>IFERROR(__xludf.DUMMYFUNCTION("""COMPUTED_VALUE"""),"Burch, T.; Ashburn, L.L. ¬(1951) Experimental Therapy of Onchocerciasis with Suramin and Hetrazan; Results of a Three-Year Study. American Journal of Tropical Medicine 31(5): 617-623.")</f>
        <v>Burch, T.; Ashburn, L.L. ¬(1951) Experimental Therapy of Onchocerciasis with Suramin and Hetrazan; Results of a Three-Year Study. American Journal of Tropical Medicine 31(5): 617-623.</v>
      </c>
      <c r="AV121" s="697"/>
      <c r="AW121" s="697"/>
      <c r="AX121" s="697"/>
      <c r="AY121" s="697" t="str">
        <f>IFERROR(__xludf.DUMMYFUNCTION("""COMPUTED_VALUE"""),"No")</f>
        <v>No</v>
      </c>
      <c r="AZ121" s="697" t="str">
        <f>IFERROR(__xludf.DUMMYFUNCTION("""COMPUTED_VALUE"""),"Yes")</f>
        <v>Yes</v>
      </c>
      <c r="BA121" s="697"/>
      <c r="BB121" s="697"/>
      <c r="BC121" s="697" t="str">
        <f>IFERROR(__xludf.DUMMYFUNCTION("""COMPUTED_VALUE"""),"Hetrazan had a spectacular and immediate effect against the microfilariae of Onchocercia volvulus but since it did not destroy the adult worms the disappearance of microfilariae was only temporary. Intravenous suramin, on the other hand, caused a more gra"&amp;"dual disappearance of the microfilariae but since it also killed the worms, the disappearance was permanent in about 90 of the cases.")</f>
        <v>Hetrazan had a spectacular and immediate effect against the microfilariae of Onchocercia volvulus but since it did not destroy the adult worms the disappearance of microfilariae was only temporary. Intravenous suramin, on the other hand, caused a more gradual disappearance of the microfilariae but since it also killed the worms, the disappearance was permanent in about 90 of the cases.</v>
      </c>
      <c r="BD121" s="697" t="str">
        <f>IFERROR(__xludf.DUMMYFUNCTION("""COMPUTED_VALUE"""),"Suramin (intravenous) 1 year 2 LTF; 2 years 1 LTF; 3 years 3 LTF. Hetrazan (oral) 1 year 8 LTF; 2 years 43 LTF. Suramin (intravenous) + Hetrazan (oral) 2 years 2 LTF.")</f>
        <v>Suramin (intravenous) 1 year 2 LTF; 2 years 1 LTF; 3 years 3 LTF. Hetrazan (oral) 1 year 8 LTF; 2 years 43 LTF. Suramin (intravenous) + Hetrazan (oral) 2 years 2 LTF.</v>
      </c>
      <c r="BE121" s="697"/>
      <c r="BF121" s="697"/>
      <c r="BG121" s="697"/>
    </row>
    <row r="122">
      <c r="A122" s="697"/>
      <c r="B122" s="697" t="str">
        <f>IFERROR(__xludf.DUMMYFUNCTION("""COMPUTED_VALUE"""),"Burch &amp; Ashburn")</f>
        <v>Burch &amp; Ashburn</v>
      </c>
      <c r="C122" s="697" t="str">
        <f>IFERROR(__xludf.DUMMYFUNCTION("""COMPUTED_VALUE"""),"Guatemala")</f>
        <v>Guatemala</v>
      </c>
      <c r="D122" s="697" t="str">
        <f>IFERROR(__xludf.DUMMYFUNCTION("""COMPUTED_VALUE"""),"Hetrazan (oral)")</f>
        <v>Hetrazan (oral)</v>
      </c>
      <c r="E122" s="697"/>
      <c r="F122" s="697"/>
      <c r="G122" s="697" t="str">
        <f>IFERROR(__xludf.DUMMYFUNCTION("""COMPUTED_VALUE"""),"101-329mg/kg; 11-78mg/kg")</f>
        <v>101-329mg/kg; 11-78mg/kg</v>
      </c>
      <c r="H122" s="697"/>
      <c r="I122" s="697"/>
      <c r="J122" s="697"/>
      <c r="K122" s="697"/>
      <c r="L122" s="697"/>
      <c r="M122" s="697"/>
      <c r="N122" s="697"/>
      <c r="O122" s="698">
        <f>IFERROR(__xludf.DUMMYFUNCTION("""COMPUTED_VALUE"""),0.9259)</f>
        <v>0.9259</v>
      </c>
      <c r="P122" s="697"/>
      <c r="Q122" s="697"/>
      <c r="R122" s="697"/>
      <c r="S122" s="697"/>
      <c r="T122" s="697"/>
      <c r="U122" s="697"/>
      <c r="V122" s="697"/>
      <c r="W122" s="698">
        <f>IFERROR(__xludf.DUMMYFUNCTION("""COMPUTED_VALUE"""),0.3043)</f>
        <v>0.3043</v>
      </c>
      <c r="X122" s="697"/>
      <c r="Y122" s="697"/>
      <c r="Z122" s="698">
        <f>IFERROR(__xludf.DUMMYFUNCTION("""COMPUTED_VALUE"""),0.0909)</f>
        <v>0.0909</v>
      </c>
      <c r="AA122" s="697"/>
      <c r="AB122" s="697"/>
      <c r="AC122" s="697"/>
      <c r="AD122" s="697"/>
      <c r="AE122" s="697" t="str">
        <f>IFERROR(__xludf.DUMMYFUNCTION("""COMPUTED_VALUE"""),"n/a")</f>
        <v>n/a</v>
      </c>
      <c r="AF122" s="697"/>
      <c r="AG122" s="697"/>
      <c r="AH122" s="697"/>
      <c r="AI122" s="697"/>
      <c r="AJ122" s="697"/>
      <c r="AK122" s="697"/>
      <c r="AL122" s="697"/>
      <c r="AM122" s="697"/>
      <c r="AN122" s="698">
        <f>IFERROR(__xludf.DUMMYFUNCTION("""COMPUTED_VALUE"""),0.9259)</f>
        <v>0.9259</v>
      </c>
      <c r="AO122" s="698">
        <f>IFERROR(__xludf.DUMMYFUNCTION("""COMPUTED_VALUE"""),0.9259)</f>
        <v>0.9259</v>
      </c>
      <c r="AP122" s="697" t="str">
        <f>IFERROR(__xludf.DUMMYFUNCTION("""COMPUTED_VALUE"""),"Mf reduction")</f>
        <v>Mf reduction</v>
      </c>
      <c r="AQ122" s="697"/>
      <c r="AR122" s="697">
        <f>IFERROR(__xludf.DUMMYFUNCTION("""COMPUTED_VALUE"""),1951.0)</f>
        <v>1951</v>
      </c>
      <c r="AS122" s="697">
        <f>IFERROR(__xludf.DUMMYFUNCTION("""COMPUTED_VALUE"""),54.0)</f>
        <v>54</v>
      </c>
      <c r="AT122" s="697" t="str">
        <f>IFERROR(__xludf.DUMMYFUNCTION("""COMPUTED_VALUE"""),"3 years")</f>
        <v>3 years</v>
      </c>
      <c r="AU122" s="699" t="str">
        <f>IFERROR(__xludf.DUMMYFUNCTION("""COMPUTED_VALUE"""),"Burch, T.; Ashburn, L.L. ¬(1951) Experimental Therapy of Onchocerciasis with Suramin and Hetrazan; Results of a Three-Year Study. American Journal of Tropical Medicine 31(5): 617-623.")</f>
        <v>Burch, T.; Ashburn, L.L. ¬(1951) Experimental Therapy of Onchocerciasis with Suramin and Hetrazan; Results of a Three-Year Study. American Journal of Tropical Medicine 31(5): 617-623.</v>
      </c>
      <c r="AV122" s="697"/>
      <c r="AW122" s="697"/>
      <c r="AX122" s="697"/>
      <c r="AY122" s="697" t="str">
        <f>IFERROR(__xludf.DUMMYFUNCTION("""COMPUTED_VALUE"""),"No")</f>
        <v>No</v>
      </c>
      <c r="AZ122" s="697" t="str">
        <f>IFERROR(__xludf.DUMMYFUNCTION("""COMPUTED_VALUE"""),"Yes")</f>
        <v>Yes</v>
      </c>
      <c r="BA122" s="697"/>
      <c r="BB122" s="697"/>
      <c r="BC122" s="697" t="str">
        <f>IFERROR(__xludf.DUMMYFUNCTION("""COMPUTED_VALUE"""),"Hetrazan had a spectacular and immediate effect against the microfilariae of Onchocercia volvulus but since it did not destroy the adult worms the disappearance of microfilariae was only temporary. Intravenous suramin, on the other hand, caused a more gra"&amp;"dual disappearance of the microfilariae but since it also killed the worms, the disappearance was permanent in about 90 of the cases.")</f>
        <v>Hetrazan had a spectacular and immediate effect against the microfilariae of Onchocercia volvulus but since it did not destroy the adult worms the disappearance of microfilariae was only temporary. Intravenous suramin, on the other hand, caused a more gradual disappearance of the microfilariae but since it also killed the worms, the disappearance was permanent in about 90 of the cases.</v>
      </c>
      <c r="BD122" s="697" t="str">
        <f>IFERROR(__xludf.DUMMYFUNCTION("""COMPUTED_VALUE"""),"Suramin (intravenous) 1 year 2 LTF; 2 years 1 LTF; 3 years 3 LTF. Hetrazan (oral) 1 year 8 LTF; 2 years 43 LTF. Suramin (intravenous) + Hetrazan (oral) 2 years 2 LTF.")</f>
        <v>Suramin (intravenous) 1 year 2 LTF; 2 years 1 LTF; 3 years 3 LTF. Hetrazan (oral) 1 year 8 LTF; 2 years 43 LTF. Suramin (intravenous) + Hetrazan (oral) 2 years 2 LTF.</v>
      </c>
      <c r="BE122" s="697"/>
      <c r="BF122" s="697"/>
      <c r="BG122" s="697"/>
    </row>
    <row r="123">
      <c r="A123" s="697"/>
      <c r="B123" s="697" t="str">
        <f>IFERROR(__xludf.DUMMYFUNCTION("""COMPUTED_VALUE"""),"Burch &amp; Ashburn")</f>
        <v>Burch &amp; Ashburn</v>
      </c>
      <c r="C123" s="697" t="str">
        <f>IFERROR(__xludf.DUMMYFUNCTION("""COMPUTED_VALUE"""),"Guatemala")</f>
        <v>Guatemala</v>
      </c>
      <c r="D123" s="697" t="str">
        <f>IFERROR(__xludf.DUMMYFUNCTION("""COMPUTED_VALUE"""),"Suramin (intravenous) &amp; Hetrazan (oral)")</f>
        <v>Suramin (intravenous) &amp; Hetrazan (oral)</v>
      </c>
      <c r="E123" s="697"/>
      <c r="F123" s="697"/>
      <c r="G123" s="697" t="str">
        <f>IFERROR(__xludf.DUMMYFUNCTION("""COMPUTED_VALUE"""),"0.03-0.21g/kg; 11-78 mg/kg")</f>
        <v>0.03-0.21g/kg; 11-78 mg/kg</v>
      </c>
      <c r="H123" s="697"/>
      <c r="I123" s="697"/>
      <c r="J123" s="697"/>
      <c r="K123" s="697"/>
      <c r="L123" s="697"/>
      <c r="M123" s="697"/>
      <c r="N123" s="697"/>
      <c r="O123" s="697"/>
      <c r="P123" s="697"/>
      <c r="Q123" s="697"/>
      <c r="R123" s="697"/>
      <c r="S123" s="697"/>
      <c r="T123" s="697"/>
      <c r="U123" s="697"/>
      <c r="V123" s="697"/>
      <c r="W123" s="697"/>
      <c r="X123" s="697"/>
      <c r="Y123" s="697"/>
      <c r="Z123" s="697"/>
      <c r="AA123" s="698">
        <f>IFERROR(__xludf.DUMMYFUNCTION("""COMPUTED_VALUE"""),0.9259)</f>
        <v>0.9259</v>
      </c>
      <c r="AB123" s="697"/>
      <c r="AC123" s="697"/>
      <c r="AD123" s="697"/>
      <c r="AE123" s="697" t="str">
        <f>IFERROR(__xludf.DUMMYFUNCTION("""COMPUTED_VALUE"""),"n/a")</f>
        <v>n/a</v>
      </c>
      <c r="AF123" s="697"/>
      <c r="AG123" s="697"/>
      <c r="AH123" s="697"/>
      <c r="AI123" s="697"/>
      <c r="AJ123" s="697"/>
      <c r="AK123" s="697"/>
      <c r="AL123" s="697"/>
      <c r="AM123" s="697"/>
      <c r="AN123" s="698">
        <f>IFERROR(__xludf.DUMMYFUNCTION("""COMPUTED_VALUE"""),0.9259)</f>
        <v>0.9259</v>
      </c>
      <c r="AO123" s="698">
        <f>IFERROR(__xludf.DUMMYFUNCTION("""COMPUTED_VALUE"""),0.9259)</f>
        <v>0.9259</v>
      </c>
      <c r="AP123" s="697" t="str">
        <f>IFERROR(__xludf.DUMMYFUNCTION("""COMPUTED_VALUE"""),"Mf reduction; nodulectomy: mf positive")</f>
        <v>Mf reduction; nodulectomy: mf positive</v>
      </c>
      <c r="AQ123" s="697"/>
      <c r="AR123" s="697">
        <f>IFERROR(__xludf.DUMMYFUNCTION("""COMPUTED_VALUE"""),1951.0)</f>
        <v>1951</v>
      </c>
      <c r="AS123" s="697">
        <f>IFERROR(__xludf.DUMMYFUNCTION("""COMPUTED_VALUE"""),29.0)</f>
        <v>29</v>
      </c>
      <c r="AT123" s="697" t="str">
        <f>IFERROR(__xludf.DUMMYFUNCTION("""COMPUTED_VALUE"""),"3 years")</f>
        <v>3 years</v>
      </c>
      <c r="AU123" s="699" t="str">
        <f>IFERROR(__xludf.DUMMYFUNCTION("""COMPUTED_VALUE"""),"Burch, T.; Ashburn, L.L. ¬(1951) Experimental Therapy of Onchocerciasis with Suramin and Hetrazan; Results of a Three-Year Study. American Journal of Tropical Medicine 31(5): 617-623.")</f>
        <v>Burch, T.; Ashburn, L.L. ¬(1951) Experimental Therapy of Onchocerciasis with Suramin and Hetrazan; Results of a Three-Year Study. American Journal of Tropical Medicine 31(5): 617-623.</v>
      </c>
      <c r="AV123" s="697"/>
      <c r="AW123" s="697"/>
      <c r="AX123" s="697"/>
      <c r="AY123" s="697" t="str">
        <f>IFERROR(__xludf.DUMMYFUNCTION("""COMPUTED_VALUE"""),"No")</f>
        <v>No</v>
      </c>
      <c r="AZ123" s="697" t="str">
        <f>IFERROR(__xludf.DUMMYFUNCTION("""COMPUTED_VALUE"""),"Yes")</f>
        <v>Yes</v>
      </c>
      <c r="BA123" s="697"/>
      <c r="BB123" s="697"/>
      <c r="BC123" s="697" t="str">
        <f>IFERROR(__xludf.DUMMYFUNCTION("""COMPUTED_VALUE"""),"Hetrazan had a spectacular and immediate effect against the microfilariae of Onchocercia volvulus but since it did not destroy the adult worms the disappearance of microfilariae was only temporary. Intravenous suramin, on the other hand, caused a more gra"&amp;"dual disappearance of the microfilariae but since it also killed the worms, the disappearance was permanent in about 90 of the cases.")</f>
        <v>Hetrazan had a spectacular and immediate effect against the microfilariae of Onchocercia volvulus but since it did not destroy the adult worms the disappearance of microfilariae was only temporary. Intravenous suramin, on the other hand, caused a more gradual disappearance of the microfilariae but since it also killed the worms, the disappearance was permanent in about 90 of the cases.</v>
      </c>
      <c r="BD123" s="697" t="str">
        <f>IFERROR(__xludf.DUMMYFUNCTION("""COMPUTED_VALUE"""),"Suramin (intravenous) 1 year 2 LTF; 2 years 1 LTF; 3 years 3 LTF. Hetrazan (oral) 1 year 8 LTF; 2 years 43 LTF. Suramin (intravenous) + Hetrazan (oral) 2 years 2 LTF.")</f>
        <v>Suramin (intravenous) 1 year 2 LTF; 2 years 1 LTF; 3 years 3 LTF. Hetrazan (oral) 1 year 8 LTF; 2 years 43 LTF. Suramin (intravenous) + Hetrazan (oral) 2 years 2 LTF.</v>
      </c>
      <c r="BE123" s="697"/>
      <c r="BF123" s="697"/>
      <c r="BG123" s="697"/>
    </row>
    <row r="124">
      <c r="A124" s="697"/>
      <c r="B124" s="697" t="str">
        <f>IFERROR(__xludf.DUMMYFUNCTION("""COMPUTED_VALUE"""),"Burch &amp; Ashburn")</f>
        <v>Burch &amp; Ashburn</v>
      </c>
      <c r="C124" s="697" t="str">
        <f>IFERROR(__xludf.DUMMYFUNCTION("""COMPUTED_VALUE"""),"Guatemala")</f>
        <v>Guatemala</v>
      </c>
      <c r="D124" s="697" t="str">
        <f>IFERROR(__xludf.DUMMYFUNCTION("""COMPUTED_VALUE"""),"Untreated")</f>
        <v>Untreated</v>
      </c>
      <c r="E124" s="697"/>
      <c r="F124" s="697"/>
      <c r="G124" s="697"/>
      <c r="H124" s="697"/>
      <c r="I124" s="697"/>
      <c r="J124" s="697"/>
      <c r="K124" s="697"/>
      <c r="L124" s="697"/>
      <c r="M124" s="697"/>
      <c r="N124" s="697"/>
      <c r="O124" s="697"/>
      <c r="P124" s="697"/>
      <c r="Q124" s="697"/>
      <c r="R124" s="697"/>
      <c r="S124" s="697"/>
      <c r="T124" s="697"/>
      <c r="U124" s="697"/>
      <c r="V124" s="697"/>
      <c r="W124" s="697"/>
      <c r="X124" s="697"/>
      <c r="Y124" s="697"/>
      <c r="Z124" s="697"/>
      <c r="AA124" s="697"/>
      <c r="AB124" s="697"/>
      <c r="AC124" s="697"/>
      <c r="AD124" s="697"/>
      <c r="AE124" s="697" t="str">
        <f>IFERROR(__xludf.DUMMYFUNCTION("""COMPUTED_VALUE"""),"n/a")</f>
        <v>n/a</v>
      </c>
      <c r="AF124" s="697"/>
      <c r="AG124" s="697"/>
      <c r="AH124" s="697"/>
      <c r="AI124" s="697"/>
      <c r="AJ124" s="697"/>
      <c r="AK124" s="697" t="str">
        <f>IFERROR(__xludf.DUMMYFUNCTION("""COMPUTED_VALUE"""),"Nodulectomy: Normal worms 68.42%(13/19); necrosis of embryos or larvae 10.53%(2/19); suppression of mf and developmental stages 15.79%(3/19); dead worms 5.26%(1/19)")</f>
        <v>Nodulectomy: Normal worms 68.42%(13/19); necrosis of embryos or larvae 10.53%(2/19); suppression of mf and developmental stages 15.79%(3/19); dead worms 5.26%(1/19)</v>
      </c>
      <c r="AL124" s="697"/>
      <c r="AM124" s="697"/>
      <c r="AN124" s="697">
        <f>IFERROR(__xludf.DUMMYFUNCTION("""COMPUTED_VALUE"""),0.0)</f>
        <v>0</v>
      </c>
      <c r="AO124" s="698">
        <f>IFERROR(__xludf.DUMMYFUNCTION("""COMPUTED_VALUE"""),0.0)</f>
        <v>0</v>
      </c>
      <c r="AP124" s="697" t="str">
        <f>IFERROR(__xludf.DUMMYFUNCTION("""COMPUTED_VALUE"""),"Nodulectomy: dead worms, mf ")</f>
        <v>Nodulectomy: dead worms, mf </v>
      </c>
      <c r="AQ124" s="697"/>
      <c r="AR124" s="697">
        <f>IFERROR(__xludf.DUMMYFUNCTION("""COMPUTED_VALUE"""),1951.0)</f>
        <v>1951</v>
      </c>
      <c r="AS124" s="697">
        <f>IFERROR(__xludf.DUMMYFUNCTION("""COMPUTED_VALUE"""),19.0)</f>
        <v>19</v>
      </c>
      <c r="AT124" s="697" t="str">
        <f>IFERROR(__xludf.DUMMYFUNCTION("""COMPUTED_VALUE"""),"3 years")</f>
        <v>3 years</v>
      </c>
      <c r="AU124" s="699" t="str">
        <f>IFERROR(__xludf.DUMMYFUNCTION("""COMPUTED_VALUE"""),"Burch, T.; Ashburn, L.L. ¬(1951) Experimental Therapy of Onchocerciasis with Suramin and Hetrazan; Results of a Three-Year Study. American Journal of Tropical Medicine 31(5): 617-623.")</f>
        <v>Burch, T.; Ashburn, L.L. ¬(1951) Experimental Therapy of Onchocerciasis with Suramin and Hetrazan; Results of a Three-Year Study. American Journal of Tropical Medicine 31(5): 617-623.</v>
      </c>
      <c r="AV124" s="697"/>
      <c r="AW124" s="697"/>
      <c r="AX124" s="697"/>
      <c r="AY124" s="697" t="str">
        <f>IFERROR(__xludf.DUMMYFUNCTION("""COMPUTED_VALUE"""),"No")</f>
        <v>No</v>
      </c>
      <c r="AZ124" s="697" t="str">
        <f>IFERROR(__xludf.DUMMYFUNCTION("""COMPUTED_VALUE"""),"Yes")</f>
        <v>Yes</v>
      </c>
      <c r="BA124" s="697"/>
      <c r="BB124" s="697"/>
      <c r="BC124" s="697" t="str">
        <f>IFERROR(__xludf.DUMMYFUNCTION("""COMPUTED_VALUE"""),"Hetrazan had a spectacular and immediate effect against the microfilariae of Onchocercia volvulus but since it did not destroy the adult worms the disappearance of microfilariae was only temporary. Intravenous suramin, on the other hand, caused a more gra"&amp;"dual disappearance of the microfilariae but since it also killed the worms, the disappearance was permanent in about 90 of the cases.")</f>
        <v>Hetrazan had a spectacular and immediate effect against the microfilariae of Onchocercia volvulus but since it did not destroy the adult worms the disappearance of microfilariae was only temporary. Intravenous suramin, on the other hand, caused a more gradual disappearance of the microfilariae but since it also killed the worms, the disappearance was permanent in about 90 of the cases.</v>
      </c>
      <c r="BD124" s="697" t="str">
        <f>IFERROR(__xludf.DUMMYFUNCTION("""COMPUTED_VALUE"""),"Suramin (intravenous) 1 year 2 LTF; 2 years 1 LTF; 3 years 3 LTF. Hetrazan (oral) 1 year 8 LTF; 2 years 43 LTF. Suramin (intravenous) + Hetrazan (oral) 2 years 2 LTF.")</f>
        <v>Suramin (intravenous) 1 year 2 LTF; 2 years 1 LTF; 3 years 3 LTF. Hetrazan (oral) 1 year 8 LTF; 2 years 43 LTF. Suramin (intravenous) + Hetrazan (oral) 2 years 2 LTF.</v>
      </c>
      <c r="BE124" s="697"/>
      <c r="BF124" s="697"/>
      <c r="BG124" s="697"/>
    </row>
    <row r="125">
      <c r="A125" s="697"/>
      <c r="B125" s="697" t="str">
        <f>IFERROR(__xludf.DUMMYFUNCTION("""COMPUTED_VALUE"""),"Burch")</f>
        <v>Burch</v>
      </c>
      <c r="C125" s="697" t="str">
        <f>IFERROR(__xludf.DUMMYFUNCTION("""COMPUTED_VALUE"""),"Guatemala")</f>
        <v>Guatemala</v>
      </c>
      <c r="D125" s="697" t="str">
        <f>IFERROR(__xludf.DUMMYFUNCTION("""COMPUTED_VALUE"""),"Suramin")</f>
        <v>Suramin</v>
      </c>
      <c r="E125" s="697" t="str">
        <f>IFERROR(__xludf.DUMMYFUNCTION("""COMPUTED_VALUE"""),".02 g/kg-0.5 g/kg; 1g/kg")</f>
        <v>.02 g/kg-0.5 g/kg; 1g/kg</v>
      </c>
      <c r="F125" s="697" t="str">
        <f>IFERROR(__xludf.DUMMYFUNCTION("""COMPUTED_VALUE"""),"1, 5-7")</f>
        <v>1, 5-7</v>
      </c>
      <c r="G125" s="697" t="str">
        <f>IFERROR(__xludf.DUMMYFUNCTION("""COMPUTED_VALUE"""),"5.02g/kg-5.5g/kg")</f>
        <v>5.02g/kg-5.5g/kg</v>
      </c>
      <c r="H125" s="697"/>
      <c r="I125" s="697"/>
      <c r="J125" s="697"/>
      <c r="K125" s="697"/>
      <c r="L125" s="697"/>
      <c r="M125" s="697"/>
      <c r="N125" s="697"/>
      <c r="O125" s="697"/>
      <c r="P125" s="697"/>
      <c r="Q125" s="697"/>
      <c r="R125" s="697"/>
      <c r="S125" s="698">
        <f>IFERROR(__xludf.DUMMYFUNCTION("""COMPUTED_VALUE"""),0.7059)</f>
        <v>0.7059</v>
      </c>
      <c r="T125" s="698">
        <f>IFERROR(__xludf.DUMMYFUNCTION("""COMPUTED_VALUE"""),0.9167)</f>
        <v>0.9167</v>
      </c>
      <c r="U125" s="697"/>
      <c r="V125" s="697"/>
      <c r="W125" s="697"/>
      <c r="X125" s="697"/>
      <c r="Y125" s="697"/>
      <c r="Z125" s="697"/>
      <c r="AA125" s="697"/>
      <c r="AB125" s="697"/>
      <c r="AC125" s="697"/>
      <c r="AD125" s="697"/>
      <c r="AE125" s="697"/>
      <c r="AF125" s="697"/>
      <c r="AG125" s="697"/>
      <c r="AH125" s="698">
        <f>IFERROR(__xludf.DUMMYFUNCTION("""COMPUTED_VALUE"""),0.7059)</f>
        <v>0.7059</v>
      </c>
      <c r="AI125" s="698">
        <f>IFERROR(__xludf.DUMMYFUNCTION("""COMPUTED_VALUE"""),0.9167)</f>
        <v>0.9167</v>
      </c>
      <c r="AJ125" s="697"/>
      <c r="AK125" s="697"/>
      <c r="AL125" s="697"/>
      <c r="AM125" s="697"/>
      <c r="AN125" s="698">
        <f>IFERROR(__xludf.DUMMYFUNCTION("""COMPUTED_VALUE"""),0.7059)</f>
        <v>0.7059</v>
      </c>
      <c r="AO125" s="698">
        <f>IFERROR(__xludf.DUMMYFUNCTION("""COMPUTED_VALUE"""),0.7059)</f>
        <v>0.7059</v>
      </c>
      <c r="AP125" s="697" t="str">
        <f>IFERROR(__xludf.DUMMYFUNCTION("""COMPUTED_VALUE"""),"Mf reduction")</f>
        <v>Mf reduction</v>
      </c>
      <c r="AQ125" s="697"/>
      <c r="AR125" s="697">
        <f>IFERROR(__xludf.DUMMYFUNCTION("""COMPUTED_VALUE"""),1949.0)</f>
        <v>1949</v>
      </c>
      <c r="AS125" s="697">
        <f>IFERROR(__xludf.DUMMYFUNCTION("""COMPUTED_VALUE"""),56.0)</f>
        <v>56</v>
      </c>
      <c r="AT125" s="697" t="str">
        <f>IFERROR(__xludf.DUMMYFUNCTION("""COMPUTED_VALUE"""),"8 months")</f>
        <v>8 months</v>
      </c>
      <c r="AU125" s="699" t="str">
        <f>IFERROR(__xludf.DUMMYFUNCTION("""COMPUTED_VALUE"""),"Burch, T.A. Experimental Therapy of Onchocerciasis with Suramin and Hatrazan. (1949) Boletin de la Oficina Sanitaria Panamericana, Pan American Sanitary Bureau 28(3): 233-248.")</f>
        <v>Burch, T.A. Experimental Therapy of Onchocerciasis with Suramin and Hatrazan. (1949) Boletin de la Oficina Sanitaria Panamericana, Pan American Sanitary Bureau 28(3): 233-248.</v>
      </c>
      <c r="AV125" s="697"/>
      <c r="AW125" s="697"/>
      <c r="AX125" s="697"/>
      <c r="AY125" s="697" t="str">
        <f>IFERROR(__xludf.DUMMYFUNCTION("""COMPUTED_VALUE"""),"No")</f>
        <v>No</v>
      </c>
      <c r="AZ125" s="697" t="str">
        <f>IFERROR(__xludf.DUMMYFUNCTION("""COMPUTED_VALUE"""),"No")</f>
        <v>No</v>
      </c>
      <c r="BA125" s="697"/>
      <c r="BB125" s="697"/>
      <c r="BC125" s="697" t="str">
        <f>IFERROR(__xludf.DUMMYFUNCTION("""COMPUTED_VALUE"""),"The results of these studies show that the treatment with either suramin or Hetrazan will cause the disappearance of the microfilariae of Onchocerca volvulus. The immediate results with Hetrazan were spectacular.")</f>
        <v>The results of these studies show that the treatment with either suramin or Hetrazan will cause the disappearance of the microfilariae of Onchocerca volvulus. The immediate results with Hetrazan were spectacular.</v>
      </c>
      <c r="BD125" s="697" t="str">
        <f>IFERROR(__xludf.DUMMYFUNCTION("""COMPUTED_VALUE"""),"22 of the 56 patients refused to complete the full course of 8 injections of Suramin.")</f>
        <v>22 of the 56 patients refused to complete the full course of 8 injections of Suramin.</v>
      </c>
      <c r="BE125" s="697"/>
      <c r="BF125" s="697"/>
      <c r="BG125" s="697"/>
    </row>
    <row r="126">
      <c r="A126" s="697"/>
      <c r="B126" s="697" t="str">
        <f>IFERROR(__xludf.DUMMYFUNCTION("""COMPUTED_VALUE"""),"Chijoke et al.")</f>
        <v>Chijoke et al.</v>
      </c>
      <c r="C126" s="697" t="str">
        <f>IFERROR(__xludf.DUMMYFUNCTION("""COMPUTED_VALUE"""),"Nigeria")</f>
        <v>Nigeria</v>
      </c>
      <c r="D126" s="697" t="str">
        <f>IFERROR(__xludf.DUMMYFUNCTION("""COMPUTED_VALUE"""),"Suramin")</f>
        <v>Suramin</v>
      </c>
      <c r="E126" s="697" t="str">
        <f>IFERROR(__xludf.DUMMYFUNCTION("""COMPUTED_VALUE"""),".0067g/kg, .01g/kg, .0133g/kg, .0167g/kg ")</f>
        <v>.0067g/kg, .01g/kg, .0133g/kg, .0167g/kg </v>
      </c>
      <c r="F126" s="697" t="str">
        <f>IFERROR(__xludf.DUMMYFUNCTION("""COMPUTED_VALUE"""),"1,1, 1, 1, 1")</f>
        <v>1,1, 1, 1, 1</v>
      </c>
      <c r="G126" s="697" t="str">
        <f>IFERROR(__xludf.DUMMYFUNCTION("""COMPUTED_VALUE"""),".017g/kg")</f>
        <v>.017g/kg</v>
      </c>
      <c r="H126" s="697"/>
      <c r="I126" s="697"/>
      <c r="J126" s="697"/>
      <c r="K126" s="697"/>
      <c r="L126" s="697"/>
      <c r="M126" s="697"/>
      <c r="N126" s="697"/>
      <c r="O126" s="697"/>
      <c r="P126" s="697"/>
      <c r="Q126" s="697"/>
      <c r="R126" s="697"/>
      <c r="S126" s="700">
        <f>IFERROR(__xludf.DUMMYFUNCTION("""COMPUTED_VALUE"""),0.8)</f>
        <v>0.8</v>
      </c>
      <c r="T126" s="700">
        <f>IFERROR(__xludf.DUMMYFUNCTION("""COMPUTED_VALUE"""),0.8)</f>
        <v>0.8</v>
      </c>
      <c r="U126" s="697"/>
      <c r="V126" s="697"/>
      <c r="W126" s="700">
        <f>IFERROR(__xludf.DUMMYFUNCTION("""COMPUTED_VALUE"""),0.8)</f>
        <v>0.8</v>
      </c>
      <c r="X126" s="697"/>
      <c r="Y126" s="697"/>
      <c r="Z126" s="697"/>
      <c r="AA126" s="697"/>
      <c r="AB126" s="697"/>
      <c r="AC126" s="697"/>
      <c r="AD126" s="697"/>
      <c r="AE126" s="697"/>
      <c r="AF126" s="697"/>
      <c r="AG126" s="697"/>
      <c r="AH126" s="697"/>
      <c r="AI126" s="697"/>
      <c r="AJ126" s="697"/>
      <c r="AK126" s="697"/>
      <c r="AL126" s="697"/>
      <c r="AM126" s="697"/>
      <c r="AN126" s="700">
        <f>IFERROR(__xludf.DUMMYFUNCTION("""COMPUTED_VALUE"""),0.8)</f>
        <v>0.8</v>
      </c>
      <c r="AO126" s="698">
        <f>IFERROR(__xludf.DUMMYFUNCTION("""COMPUTED_VALUE"""),0.8)</f>
        <v>0.8</v>
      </c>
      <c r="AP126" s="697" t="str">
        <f>IFERROR(__xludf.DUMMYFUNCTION("""COMPUTED_VALUE"""),"Mf reduction")</f>
        <v>Mf reduction</v>
      </c>
      <c r="AQ126" s="697"/>
      <c r="AR126" s="697">
        <f>IFERROR(__xludf.DUMMYFUNCTION("""COMPUTED_VALUE"""),1998.0)</f>
        <v>1998</v>
      </c>
      <c r="AS126" s="697">
        <f>IFERROR(__xludf.DUMMYFUNCTION("""COMPUTED_VALUE"""),10.0)</f>
        <v>10</v>
      </c>
      <c r="AT126" s="697" t="str">
        <f>IFERROR(__xludf.DUMMYFUNCTION("""COMPUTED_VALUE"""),"12 months")</f>
        <v>12 months</v>
      </c>
      <c r="AU126" s="699" t="str">
        <f>IFERROR(__xludf.DUMMYFUNCTION("""COMPUTED_VALUE"""),"Chijoke, C.P.; Umeh, R.E.; Mbah, A.U.; Nwonu, P.; Fleckenstein, L.L.; Okonkwo, P.O. Clinical pharmacokinetics of suramin in patients with onchocerciasis. (1998) Eur J Clin Pharmacol 54: 249-251.")</f>
        <v>Chijoke, C.P.; Umeh, R.E.; Mbah, A.U.; Nwonu, P.; Fleckenstein, L.L.; Okonkwo, P.O. Clinical pharmacokinetics of suramin in patients with onchocerciasis. (1998) Eur J Clin Pharmacol 54: 249-251.</v>
      </c>
      <c r="AV126" s="697" t="str">
        <f>IFERROR(__xludf.DUMMYFUNCTION("""COMPUTED_VALUE"""),"M")</f>
        <v>M</v>
      </c>
      <c r="AW126" s="697" t="str">
        <f>IFERROR(__xludf.DUMMYFUNCTION("""COMPUTED_VALUE"""),"21-45 years")</f>
        <v>21-45 years</v>
      </c>
      <c r="AX126" s="697" t="str">
        <f>IFERROR(__xludf.DUMMYFUNCTION("""COMPUTED_VALUE"""),"Patients were excluded if they had evidence of a serious medical disorder, onchocercal eye disease, drug allergy/intolerance, other microfilarial infection, infection with Schistosoma haematobium, or if they had been administered an antifilarial drug with"&amp;"in the past 2 years.")</f>
        <v>Patients were excluded if they had evidence of a serious medical disorder, onchocercal eye disease, drug allergy/intolerance, other microfilarial infection, infection with Schistosoma haematobium, or if they had been administered an antifilarial drug within the past 2 years.</v>
      </c>
      <c r="AY126" s="697" t="str">
        <f>IFERROR(__xludf.DUMMYFUNCTION("""COMPUTED_VALUE"""),"No")</f>
        <v>No</v>
      </c>
      <c r="AZ126" s="697" t="str">
        <f>IFERROR(__xludf.DUMMYFUNCTION("""COMPUTED_VALUE"""),"No")</f>
        <v>No</v>
      </c>
      <c r="BA126" s="697"/>
      <c r="BB126" s="697"/>
      <c r="BC126" s="697" t="str">
        <f>IFERROR(__xludf.DUMMYFUNCTION("""COMPUTED_VALUE"""),"Elimination from patients with onchocerciasis was relatively slow; microfilariae were eliminated in eight out of ten patients.")</f>
        <v>Elimination from patients with onchocerciasis was relatively slow; microfilariae were eliminated in eight out of ten patients.</v>
      </c>
      <c r="BD126" s="697"/>
      <c r="BE126" s="697"/>
      <c r="BF126" s="697"/>
      <c r="BG126" s="697"/>
    </row>
    <row r="127">
      <c r="A127" s="697"/>
      <c r="B127" s="697" t="str">
        <f>IFERROR(__xludf.DUMMYFUNCTION("""COMPUTED_VALUE"""),"Rodger ")</f>
        <v>Rodger </v>
      </c>
      <c r="C127" s="697"/>
      <c r="D127" s="697" t="str">
        <f>IFERROR(__xludf.DUMMYFUNCTION("""COMPUTED_VALUE"""),"Suramin")</f>
        <v>Suramin</v>
      </c>
      <c r="E127" s="697" t="str">
        <f>IFERROR(__xludf.DUMMYFUNCTION("""COMPUTED_VALUE"""),"0.5g, .75g, 1g, 2g")</f>
        <v>0.5g, .75g, 1g, 2g</v>
      </c>
      <c r="F127" s="697" t="str">
        <f>IFERROR(__xludf.DUMMYFUNCTION("""COMPUTED_VALUE"""),"1, 2, 2, 4")</f>
        <v>1, 2, 2, 4</v>
      </c>
      <c r="G127" s="697" t="str">
        <f>IFERROR(__xludf.DUMMYFUNCTION("""COMPUTED_VALUE"""),"12 g")</f>
        <v>12 g</v>
      </c>
      <c r="H127" s="697"/>
      <c r="I127" s="697"/>
      <c r="J127" s="697"/>
      <c r="K127" s="697"/>
      <c r="L127" s="698">
        <f>IFERROR(__xludf.DUMMYFUNCTION("""COMPUTED_VALUE"""),0.836)</f>
        <v>0.836</v>
      </c>
      <c r="M127" s="697"/>
      <c r="N127" s="697"/>
      <c r="O127" s="697"/>
      <c r="P127" s="697"/>
      <c r="Q127" s="697"/>
      <c r="R127" s="697"/>
      <c r="S127" s="697"/>
      <c r="T127" s="697"/>
      <c r="U127" s="697"/>
      <c r="V127" s="697"/>
      <c r="W127" s="697"/>
      <c r="X127" s="697"/>
      <c r="Y127" s="697"/>
      <c r="Z127" s="697"/>
      <c r="AA127" s="697"/>
      <c r="AB127" s="697"/>
      <c r="AC127" s="697"/>
      <c r="AD127" s="697"/>
      <c r="AE127" s="697" t="str">
        <f>IFERROR(__xludf.DUMMYFUNCTION("""COMPUTED_VALUE"""),"n/a")</f>
        <v>n/a</v>
      </c>
      <c r="AF127" s="697"/>
      <c r="AG127" s="697"/>
      <c r="AH127" s="697"/>
      <c r="AI127" s="697"/>
      <c r="AJ127" s="697"/>
      <c r="AK127" s="697"/>
      <c r="AL127" s="697"/>
      <c r="AM127" s="697"/>
      <c r="AN127" s="698">
        <f>IFERROR(__xludf.DUMMYFUNCTION("""COMPUTED_VALUE"""),0.836)</f>
        <v>0.836</v>
      </c>
      <c r="AO127" s="698">
        <f>IFERROR(__xludf.DUMMYFUNCTION("""COMPUTED_VALUE"""),0.836)</f>
        <v>0.836</v>
      </c>
      <c r="AP127" s="697" t="str">
        <f>IFERROR(__xludf.DUMMYFUNCTION("""COMPUTED_VALUE"""),"Mf reduction")</f>
        <v>Mf reduction</v>
      </c>
      <c r="AQ127" s="697"/>
      <c r="AR127" s="697">
        <f>IFERROR(__xludf.DUMMYFUNCTION("""COMPUTED_VALUE"""),1958.0)</f>
        <v>1958</v>
      </c>
      <c r="AS127" s="697">
        <f>IFERROR(__xludf.DUMMYFUNCTION("""COMPUTED_VALUE"""),5.0)</f>
        <v>5</v>
      </c>
      <c r="AT127" s="697" t="str">
        <f>IFERROR(__xludf.DUMMYFUNCTION("""COMPUTED_VALUE"""),"18 days")</f>
        <v>18 days</v>
      </c>
      <c r="AU127" s="699" t="str">
        <f>IFERROR(__xludf.DUMMYFUNCTION("""COMPUTED_VALUE"""),"Rodger, F.C. Comparison of the Effect Upon Onchocerciasis of Five Drugs and Selection of the One Best Able to Prevent Ocular Complications. (1958) Transactions of the Royal Society of Tropical Medicine and Hygiene 52(5):462-467.")</f>
        <v>Rodger, F.C. Comparison of the Effect Upon Onchocerciasis of Five Drugs and Selection of the One Best Able to Prevent Ocular Complications. (1958) Transactions of the Royal Society of Tropical Medicine and Hygiene 52(5):462-467.</v>
      </c>
      <c r="AV127" s="697"/>
      <c r="AW127" s="697"/>
      <c r="AX127" s="697"/>
      <c r="AY127" s="697" t="str">
        <f>IFERROR(__xludf.DUMMYFUNCTION("""COMPUTED_VALUE"""),"No")</f>
        <v>No</v>
      </c>
      <c r="AZ127" s="697" t="str">
        <f>IFERROR(__xludf.DUMMYFUNCTION("""COMPUTED_VALUE"""),"No")</f>
        <v>No</v>
      </c>
      <c r="BA127" s="697"/>
      <c r="BB127" s="697"/>
      <c r="BC127" s="697" t="str">
        <f>IFERROR(__xludf.DUMMYFUNCTION("""COMPUTED_VALUE"""),"Cyanide, arsenamide, and antimony tartrate were unsuccessful in killing the microfilariae at the levels administered. Hetrazan and suramin, on the other hand, killed microfilariae-in the case of the former drug completely-so it seems 10grammes of hetrazan"&amp;" is an adequate dosage to achieve sterilization of the skin and eye. ")</f>
        <v>Cyanide, arsenamide, and antimony tartrate were unsuccessful in killing the microfilariae at the levels administered. Hetrazan and suramin, on the other hand, killed microfilariae-in the case of the former drug completely-so it seems 10grammes of hetrazan is an adequate dosage to achieve sterilization of the skin and eye. </v>
      </c>
      <c r="BD127" s="697"/>
      <c r="BE127" s="697"/>
      <c r="BF127" s="697"/>
      <c r="BG127" s="697" t="str">
        <f>IFERROR(__xludf.DUMMYFUNCTION("""COMPUTED_VALUE"""),"x")</f>
        <v>x</v>
      </c>
    </row>
    <row r="128">
      <c r="A128" s="697"/>
      <c r="B128" s="697" t="str">
        <f>IFERROR(__xludf.DUMMYFUNCTION("""COMPUTED_VALUE"""),"Anderson et al.")</f>
        <v>Anderson et al.</v>
      </c>
      <c r="C128" s="697" t="str">
        <f>IFERROR(__xludf.DUMMYFUNCTION("""COMPUTED_VALUE"""),"Cameroon")</f>
        <v>Cameroon</v>
      </c>
      <c r="D128" s="697" t="str">
        <f>IFERROR(__xludf.DUMMYFUNCTION("""COMPUTED_VALUE"""),"Suramin")</f>
        <v>Suramin</v>
      </c>
      <c r="E128" s="697" t="str">
        <f>IFERROR(__xludf.DUMMYFUNCTION("""COMPUTED_VALUE"""),"1g")</f>
        <v>1g</v>
      </c>
      <c r="F128" s="697">
        <f>IFERROR(__xludf.DUMMYFUNCTION("""COMPUTED_VALUE"""),4.0)</f>
        <v>4</v>
      </c>
      <c r="G128" s="697" t="str">
        <f>IFERROR(__xludf.DUMMYFUNCTION("""COMPUTED_VALUE"""),"4 g")</f>
        <v>4 g</v>
      </c>
      <c r="H128" s="697"/>
      <c r="I128" s="697"/>
      <c r="J128" s="697"/>
      <c r="K128" s="697"/>
      <c r="L128" s="697"/>
      <c r="M128" s="697"/>
      <c r="N128" s="698">
        <f>IFERROR(__xludf.DUMMYFUNCTION("""COMPUTED_VALUE"""),0.2295)</f>
        <v>0.2295</v>
      </c>
      <c r="O128" s="697"/>
      <c r="P128" s="697"/>
      <c r="Q128" s="698">
        <f>IFERROR(__xludf.DUMMYFUNCTION("""COMPUTED_VALUE"""),0.4918)</f>
        <v>0.4918</v>
      </c>
      <c r="R128" s="697"/>
      <c r="S128" s="697"/>
      <c r="T128" s="697"/>
      <c r="U128" s="697"/>
      <c r="V128" s="697"/>
      <c r="W128" s="698">
        <f>IFERROR(__xludf.DUMMYFUNCTION("""COMPUTED_VALUE"""),0.836)</f>
        <v>0.836</v>
      </c>
      <c r="X128" s="697"/>
      <c r="Y128" s="697"/>
      <c r="Z128" s="698">
        <f>IFERROR(__xludf.DUMMYFUNCTION("""COMPUTED_VALUE"""),0.9016)</f>
        <v>0.9016</v>
      </c>
      <c r="AA128" s="697"/>
      <c r="AB128" s="697"/>
      <c r="AC128" s="697"/>
      <c r="AD128" s="697"/>
      <c r="AE128" s="697" t="str">
        <f>IFERROR(__xludf.DUMMYFUNCTION("""COMPUTED_VALUE"""),"n/a")</f>
        <v>n/a</v>
      </c>
      <c r="AF128" s="697"/>
      <c r="AG128" s="697"/>
      <c r="AH128" s="697"/>
      <c r="AI128" s="697"/>
      <c r="AJ128" s="697"/>
      <c r="AK128" s="697"/>
      <c r="AL128" s="697"/>
      <c r="AM128" s="697"/>
      <c r="AN128" s="698">
        <f>IFERROR(__xludf.DUMMYFUNCTION("""COMPUTED_VALUE"""),0.4918)</f>
        <v>0.4918</v>
      </c>
      <c r="AO128" s="698">
        <f>IFERROR(__xludf.DUMMYFUNCTION("""COMPUTED_VALUE"""),0.4918)</f>
        <v>0.4918</v>
      </c>
      <c r="AP128" s="697" t="str">
        <f>IFERROR(__xludf.DUMMYFUNCTION("""COMPUTED_VALUE"""),"Mf reduction")</f>
        <v>Mf reduction</v>
      </c>
      <c r="AQ128" s="697" t="str">
        <f>IFERROR(__xludf.DUMMYFUNCTION("""COMPUTED_VALUE"""),"Sudan-savanna zone of north Cahmeroon")</f>
        <v>Sudan-savanna zone of north Cahmeroon</v>
      </c>
      <c r="AR128" s="697">
        <f>IFERROR(__xludf.DUMMYFUNCTION("""COMPUTED_VALUE"""),1976.0)</f>
        <v>1976</v>
      </c>
      <c r="AS128" s="697">
        <f>IFERROR(__xludf.DUMMYFUNCTION("""COMPUTED_VALUE"""),25.0)</f>
        <v>25</v>
      </c>
      <c r="AT128" s="697" t="str">
        <f>IFERROR(__xludf.DUMMYFUNCTION("""COMPUTED_VALUE"""),"2 years")</f>
        <v>2 years</v>
      </c>
      <c r="AU128" s="699" t="str">
        <f>IFERROR(__xludf.DUMMYFUNCTION("""COMPUTED_VALUE"""),"Anderson, J. Fugsang H. Effects of Suramin on Ocular Onchocerciasis (1976) Tropenmed. Parasit. 27: 279-296.")</f>
        <v>Anderson, J. Fugsang H. Effects of Suramin on Ocular Onchocerciasis (1976) Tropenmed. Parasit. 27: 279-296.</v>
      </c>
      <c r="AV128" s="697"/>
      <c r="AW128" s="697"/>
      <c r="AX128" s="697"/>
      <c r="AY128" s="697" t="str">
        <f>IFERROR(__xludf.DUMMYFUNCTION("""COMPUTED_VALUE"""),"No")</f>
        <v>No</v>
      </c>
      <c r="AZ128" s="697" t="str">
        <f>IFERROR(__xludf.DUMMYFUNCTION("""COMPUTED_VALUE"""),"Yes")</f>
        <v>Yes</v>
      </c>
      <c r="BA128" s="697"/>
      <c r="BB128" s="697"/>
      <c r="BC128" s="697" t="str">
        <f>IFERROR(__xludf.DUMMYFUNCTION("""COMPUTED_VALUE"""),"The 2 deaths and the many unpleasant and serious side effects such as stomatitis, exfoliative dermatitis, and iritis caused by Suramin in the study again underline the care with which this drug must be handled, and the urgency for a better understanding o"&amp;"f its toxicity.")</f>
        <v>The 2 deaths and the many unpleasant and serious side effects such as stomatitis, exfoliative dermatitis, and iritis caused by Suramin in the study again underline the care with which this drug must be handled, and the urgency for a better understanding of its toxicity.</v>
      </c>
      <c r="BD128" s="697" t="str">
        <f>IFERROR(__xludf.DUMMYFUNCTION("""COMPUTED_VALUE"""),"Of the original 120 patients, 16 did not complete the course for reasons including refusal, change of treatment, stomatitis, dermatitis, severe iritis, general malaise, moved away, death attributed to Suramin, and death from unknown causes.")</f>
        <v>Of the original 120 patients, 16 did not complete the course for reasons including refusal, change of treatment, stomatitis, dermatitis, severe iritis, general malaise, moved away, death attributed to Suramin, and death from unknown causes.</v>
      </c>
      <c r="BE128" s="697"/>
      <c r="BF128" s="697"/>
      <c r="BG128" s="697"/>
    </row>
    <row r="129">
      <c r="A129" s="697"/>
      <c r="B129" s="697" t="str">
        <f>IFERROR(__xludf.DUMMYFUNCTION("""COMPUTED_VALUE"""),"Anderson et al.")</f>
        <v>Anderson et al.</v>
      </c>
      <c r="C129" s="697" t="str">
        <f>IFERROR(__xludf.DUMMYFUNCTION("""COMPUTED_VALUE"""),"Cameroon")</f>
        <v>Cameroon</v>
      </c>
      <c r="D129" s="697" t="str">
        <f>IFERROR(__xludf.DUMMYFUNCTION("""COMPUTED_VALUE"""),"Suramin")</f>
        <v>Suramin</v>
      </c>
      <c r="E129" s="697" t="str">
        <f>IFERROR(__xludf.DUMMYFUNCTION("""COMPUTED_VALUE"""),"1g")</f>
        <v>1g</v>
      </c>
      <c r="F129" s="704">
        <f>IFERROR(__xludf.DUMMYFUNCTION("""COMPUTED_VALUE"""),42529.0)</f>
        <v>42529</v>
      </c>
      <c r="G129" s="697" t="str">
        <f>IFERROR(__xludf.DUMMYFUNCTION("""COMPUTED_VALUE"""),"5-6 g")</f>
        <v>5-6 g</v>
      </c>
      <c r="H129" s="697"/>
      <c r="I129" s="697"/>
      <c r="J129" s="697"/>
      <c r="K129" s="697"/>
      <c r="L129" s="697"/>
      <c r="M129" s="697"/>
      <c r="N129" s="698">
        <f>IFERROR(__xludf.DUMMYFUNCTION("""COMPUTED_VALUE"""),0.0238)</f>
        <v>0.0238</v>
      </c>
      <c r="O129" s="697"/>
      <c r="P129" s="697"/>
      <c r="Q129" s="698">
        <f>IFERROR(__xludf.DUMMYFUNCTION("""COMPUTED_VALUE"""),0.5953)</f>
        <v>0.5953</v>
      </c>
      <c r="R129" s="697"/>
      <c r="S129" s="697"/>
      <c r="T129" s="697"/>
      <c r="U129" s="697"/>
      <c r="V129" s="697"/>
      <c r="W129" s="698">
        <f>IFERROR(__xludf.DUMMYFUNCTION("""COMPUTED_VALUE"""),0.8571)</f>
        <v>0.8571</v>
      </c>
      <c r="X129" s="697"/>
      <c r="Y129" s="697"/>
      <c r="Z129" s="698">
        <f>IFERROR(__xludf.DUMMYFUNCTION("""COMPUTED_VALUE"""),0.881)</f>
        <v>0.881</v>
      </c>
      <c r="AA129" s="697"/>
      <c r="AB129" s="697"/>
      <c r="AC129" s="697"/>
      <c r="AD129" s="697"/>
      <c r="AE129" s="697" t="str">
        <f>IFERROR(__xludf.DUMMYFUNCTION("""COMPUTED_VALUE"""),"n/a")</f>
        <v>n/a</v>
      </c>
      <c r="AF129" s="697"/>
      <c r="AG129" s="697"/>
      <c r="AH129" s="697"/>
      <c r="AI129" s="697"/>
      <c r="AJ129" s="697"/>
      <c r="AK129" s="697"/>
      <c r="AL129" s="697"/>
      <c r="AM129" s="697"/>
      <c r="AN129" s="698">
        <f>IFERROR(__xludf.DUMMYFUNCTION("""COMPUTED_VALUE"""),0.5953)</f>
        <v>0.5953</v>
      </c>
      <c r="AO129" s="698">
        <f>IFERROR(__xludf.DUMMYFUNCTION("""COMPUTED_VALUE"""),0.5953)</f>
        <v>0.5953</v>
      </c>
      <c r="AP129" s="697" t="str">
        <f>IFERROR(__xludf.DUMMYFUNCTION("""COMPUTED_VALUE"""),"Mf reduction")</f>
        <v>Mf reduction</v>
      </c>
      <c r="AQ129" s="697" t="str">
        <f>IFERROR(__xludf.DUMMYFUNCTION("""COMPUTED_VALUE"""),"Sudan-savanna zone of north Cahmeroon")</f>
        <v>Sudan-savanna zone of north Cahmeroon</v>
      </c>
      <c r="AR129" s="697">
        <f>IFERROR(__xludf.DUMMYFUNCTION("""COMPUTED_VALUE"""),1976.0)</f>
        <v>1976</v>
      </c>
      <c r="AS129" s="697">
        <f>IFERROR(__xludf.DUMMYFUNCTION("""COMPUTED_VALUE"""),25.0)</f>
        <v>25</v>
      </c>
      <c r="AT129" s="697" t="str">
        <f>IFERROR(__xludf.DUMMYFUNCTION("""COMPUTED_VALUE"""),"2 years")</f>
        <v>2 years</v>
      </c>
      <c r="AU129" s="699" t="str">
        <f>IFERROR(__xludf.DUMMYFUNCTION("""COMPUTED_VALUE"""),"Anderson, J. Fugsang H. Effects of Suramin on Ocular Onchocerciasis (1976) Tropenmed. Parasit. 27: 279-296.")</f>
        <v>Anderson, J. Fugsang H. Effects of Suramin on Ocular Onchocerciasis (1976) Tropenmed. Parasit. 27: 279-296.</v>
      </c>
      <c r="AV129" s="697"/>
      <c r="AW129" s="697"/>
      <c r="AX129" s="697"/>
      <c r="AY129" s="697" t="str">
        <f>IFERROR(__xludf.DUMMYFUNCTION("""COMPUTED_VALUE"""),"No")</f>
        <v>No</v>
      </c>
      <c r="AZ129" s="697" t="str">
        <f>IFERROR(__xludf.DUMMYFUNCTION("""COMPUTED_VALUE"""),"Yes")</f>
        <v>Yes</v>
      </c>
      <c r="BA129" s="697"/>
      <c r="BB129" s="697"/>
      <c r="BC129" s="697" t="str">
        <f>IFERROR(__xludf.DUMMYFUNCTION("""COMPUTED_VALUE"""),"The 2 deaths and the many unpleasant and serious side effects such as stomatitis, exfoliative dermatitis, and iritis caused by Suramin in the study again underline the care with which this drug must be handled, and the urgency for a better understanding o"&amp;"f its toxicity.")</f>
        <v>The 2 deaths and the many unpleasant and serious side effects such as stomatitis, exfoliative dermatitis, and iritis caused by Suramin in the study again underline the care with which this drug must be handled, and the urgency for a better understanding of its toxicity.</v>
      </c>
      <c r="BD129" s="697" t="str">
        <f>IFERROR(__xludf.DUMMYFUNCTION("""COMPUTED_VALUE"""),"Of the original 120 patients, 16 did not complete the course for reasons including refusal, change of treatment, stomatitis, dermatitis, severe iritis, general malaise, moved away, death attributed to Suramin, and death from unknown causes.")</f>
        <v>Of the original 120 patients, 16 did not complete the course for reasons including refusal, change of treatment, stomatitis, dermatitis, severe iritis, general malaise, moved away, death attributed to Suramin, and death from unknown causes.</v>
      </c>
      <c r="BE129" s="697"/>
      <c r="BF129" s="697"/>
      <c r="BG129" s="697"/>
    </row>
    <row r="130">
      <c r="A130" s="697"/>
      <c r="B130" s="697" t="str">
        <f>IFERROR(__xludf.DUMMYFUNCTION("""COMPUTED_VALUE"""),"Anderson et al.")</f>
        <v>Anderson et al.</v>
      </c>
      <c r="C130" s="697" t="str">
        <f>IFERROR(__xludf.DUMMYFUNCTION("""COMPUTED_VALUE"""),"Cameroon")</f>
        <v>Cameroon</v>
      </c>
      <c r="D130" s="697" t="str">
        <f>IFERROR(__xludf.DUMMYFUNCTION("""COMPUTED_VALUE"""),"Betamethazone &amp; DEC &amp; Suramin")</f>
        <v>Betamethazone &amp; DEC &amp; Suramin</v>
      </c>
      <c r="E130" s="697" t="str">
        <f>IFERROR(__xludf.DUMMYFUNCTION("""COMPUTED_VALUE"""),"1-1.5mg; 25mg-200mg; .001g")</f>
        <v>1-1.5mg; 25mg-200mg; .001g</v>
      </c>
      <c r="F130" s="697" t="str">
        <f>IFERROR(__xludf.DUMMYFUNCTION("""COMPUTED_VALUE"""),"1; 12; 4; ")</f>
        <v>1; 12; 4; </v>
      </c>
      <c r="G130" s="697" t="str">
        <f>IFERROR(__xludf.DUMMYFUNCTION("""COMPUTED_VALUE"""),"1.0-1.5 mg; 1550mg; 4g; ")</f>
        <v>1.0-1.5 mg; 1550mg; 4g; </v>
      </c>
      <c r="H130" s="697"/>
      <c r="I130" s="697"/>
      <c r="J130" s="697"/>
      <c r="K130" s="697"/>
      <c r="L130" s="697"/>
      <c r="M130" s="697"/>
      <c r="N130" s="698">
        <f>IFERROR(__xludf.DUMMYFUNCTION("""COMPUTED_VALUE"""),0.2105)</f>
        <v>0.2105</v>
      </c>
      <c r="O130" s="697"/>
      <c r="P130" s="697"/>
      <c r="Q130" s="698">
        <f>IFERROR(__xludf.DUMMYFUNCTION("""COMPUTED_VALUE"""),0.8596)</f>
        <v>0.8596</v>
      </c>
      <c r="R130" s="697"/>
      <c r="S130" s="697"/>
      <c r="T130" s="697"/>
      <c r="U130" s="697"/>
      <c r="V130" s="697"/>
      <c r="W130" s="698">
        <f>IFERROR(__xludf.DUMMYFUNCTION("""COMPUTED_VALUE"""),0.9123)</f>
        <v>0.9123</v>
      </c>
      <c r="X130" s="697"/>
      <c r="Y130" s="697"/>
      <c r="Z130" s="698">
        <f>IFERROR(__xludf.DUMMYFUNCTION("""COMPUTED_VALUE"""),0.8772)</f>
        <v>0.8772</v>
      </c>
      <c r="AA130" s="697"/>
      <c r="AB130" s="697"/>
      <c r="AC130" s="697"/>
      <c r="AD130" s="697"/>
      <c r="AE130" s="697" t="str">
        <f>IFERROR(__xludf.DUMMYFUNCTION("""COMPUTED_VALUE"""),"n/a")</f>
        <v>n/a</v>
      </c>
      <c r="AF130" s="697"/>
      <c r="AG130" s="697"/>
      <c r="AH130" s="697"/>
      <c r="AI130" s="697"/>
      <c r="AJ130" s="697"/>
      <c r="AK130" s="697"/>
      <c r="AL130" s="697"/>
      <c r="AM130" s="697"/>
      <c r="AN130" s="698">
        <f>IFERROR(__xludf.DUMMYFUNCTION("""COMPUTED_VALUE"""),0.8596)</f>
        <v>0.8596</v>
      </c>
      <c r="AO130" s="698">
        <f>IFERROR(__xludf.DUMMYFUNCTION("""COMPUTED_VALUE"""),0.8596)</f>
        <v>0.8596</v>
      </c>
      <c r="AP130" s="697" t="str">
        <f>IFERROR(__xludf.DUMMYFUNCTION("""COMPUTED_VALUE"""),"Mf reduction")</f>
        <v>Mf reduction</v>
      </c>
      <c r="AQ130" s="697" t="str">
        <f>IFERROR(__xludf.DUMMYFUNCTION("""COMPUTED_VALUE"""),"Sudan-savanna zone of north Cahmeroon")</f>
        <v>Sudan-savanna zone of north Cahmeroon</v>
      </c>
      <c r="AR130" s="697">
        <f>IFERROR(__xludf.DUMMYFUNCTION("""COMPUTED_VALUE"""),1976.0)</f>
        <v>1976</v>
      </c>
      <c r="AS130" s="697">
        <f>IFERROR(__xludf.DUMMYFUNCTION("""COMPUTED_VALUE"""),25.0)</f>
        <v>25</v>
      </c>
      <c r="AT130" s="697" t="str">
        <f>IFERROR(__xludf.DUMMYFUNCTION("""COMPUTED_VALUE"""),"2 years")</f>
        <v>2 years</v>
      </c>
      <c r="AU130" s="699" t="str">
        <f>IFERROR(__xludf.DUMMYFUNCTION("""COMPUTED_VALUE"""),"Anderson, J. Fugsang H. Effects of Suramin on Ocular Onchocerciasis (1976) Tropenmed. Parasit. 27: 279-296.")</f>
        <v>Anderson, J. Fugsang H. Effects of Suramin on Ocular Onchocerciasis (1976) Tropenmed. Parasit. 27: 279-296.</v>
      </c>
      <c r="AV130" s="697"/>
      <c r="AW130" s="697"/>
      <c r="AX130" s="697"/>
      <c r="AY130" s="697" t="str">
        <f>IFERROR(__xludf.DUMMYFUNCTION("""COMPUTED_VALUE"""),"No")</f>
        <v>No</v>
      </c>
      <c r="AZ130" s="697" t="str">
        <f>IFERROR(__xludf.DUMMYFUNCTION("""COMPUTED_VALUE"""),"Yes")</f>
        <v>Yes</v>
      </c>
      <c r="BA130" s="697"/>
      <c r="BB130" s="697"/>
      <c r="BC130" s="697" t="str">
        <f>IFERROR(__xludf.DUMMYFUNCTION("""COMPUTED_VALUE"""),"The 2 deaths and the many unpleasant and serious side effects such as stomatitis, exfoliative dermatitis, and iritis caused by Suramin in the study again underline the care with which this drug must be handled, and the urgency for a better understanding o"&amp;"f its toxicity.")</f>
        <v>The 2 deaths and the many unpleasant and serious side effects such as stomatitis, exfoliative dermatitis, and iritis caused by Suramin in the study again underline the care with which this drug must be handled, and the urgency for a better understanding of its toxicity.</v>
      </c>
      <c r="BD130" s="697" t="str">
        <f>IFERROR(__xludf.DUMMYFUNCTION("""COMPUTED_VALUE"""),"Of the original 120 patients, 16 did not complete the course for reasons including refusal, change of treatment, stomatitis, dermatitis, severe iritis, general malaise, moved away, death attributed to Suramin, and death from unknown causes.")</f>
        <v>Of the original 120 patients, 16 did not complete the course for reasons including refusal, change of treatment, stomatitis, dermatitis, severe iritis, general malaise, moved away, death attributed to Suramin, and death from unknown causes.</v>
      </c>
      <c r="BE130" s="697"/>
      <c r="BF130" s="697"/>
      <c r="BG130" s="697"/>
    </row>
    <row r="131">
      <c r="A131" s="697"/>
      <c r="B131" s="697" t="str">
        <f>IFERROR(__xludf.DUMMYFUNCTION("""COMPUTED_VALUE"""),"Anderson et al.")</f>
        <v>Anderson et al.</v>
      </c>
      <c r="C131" s="697" t="str">
        <f>IFERROR(__xludf.DUMMYFUNCTION("""COMPUTED_VALUE"""),"Cameroon")</f>
        <v>Cameroon</v>
      </c>
      <c r="D131" s="697" t="str">
        <f>IFERROR(__xludf.DUMMYFUNCTION("""COMPUTED_VALUE"""),"Betamethazone &amp; DEC &amp; Suramin")</f>
        <v>Betamethazone &amp; DEC &amp; Suramin</v>
      </c>
      <c r="E131" s="697" t="str">
        <f>IFERROR(__xludf.DUMMYFUNCTION("""COMPUTED_VALUE"""),"1-1.5mg; 25mg-200mg; .001mg")</f>
        <v>1-1.5mg; 25mg-200mg; .001mg</v>
      </c>
      <c r="F131" s="697" t="str">
        <f>IFERROR(__xludf.DUMMYFUNCTION("""COMPUTED_VALUE"""),"1; 12; 4; ")</f>
        <v>1; 12; 4; </v>
      </c>
      <c r="G131" s="697" t="str">
        <f>IFERROR(__xludf.DUMMYFUNCTION("""COMPUTED_VALUE"""),"1.0-1.5 mg; 1550mg; 4g; ")</f>
        <v>1.0-1.5 mg; 1550mg; 4g; </v>
      </c>
      <c r="H131" s="697"/>
      <c r="I131" s="697"/>
      <c r="J131" s="697"/>
      <c r="K131" s="697"/>
      <c r="L131" s="697"/>
      <c r="M131" s="697"/>
      <c r="N131" s="698">
        <f>IFERROR(__xludf.DUMMYFUNCTION("""COMPUTED_VALUE"""),0.3214)</f>
        <v>0.3214</v>
      </c>
      <c r="O131" s="697"/>
      <c r="P131" s="697"/>
      <c r="Q131" s="698">
        <f>IFERROR(__xludf.DUMMYFUNCTION("""COMPUTED_VALUE"""),0.8393)</f>
        <v>0.8393</v>
      </c>
      <c r="R131" s="697"/>
      <c r="S131" s="697"/>
      <c r="T131" s="697"/>
      <c r="U131" s="697"/>
      <c r="V131" s="697"/>
      <c r="W131" s="698">
        <f>IFERROR(__xludf.DUMMYFUNCTION("""COMPUTED_VALUE"""),0.9286)</f>
        <v>0.9286</v>
      </c>
      <c r="X131" s="697"/>
      <c r="Y131" s="697"/>
      <c r="Z131" s="698">
        <f>IFERROR(__xludf.DUMMYFUNCTION("""COMPUTED_VALUE"""),0.9286)</f>
        <v>0.9286</v>
      </c>
      <c r="AA131" s="697"/>
      <c r="AB131" s="697"/>
      <c r="AC131" s="697"/>
      <c r="AD131" s="697"/>
      <c r="AE131" s="697" t="str">
        <f>IFERROR(__xludf.DUMMYFUNCTION("""COMPUTED_VALUE"""),"n/a")</f>
        <v>n/a</v>
      </c>
      <c r="AF131" s="697"/>
      <c r="AG131" s="697"/>
      <c r="AH131" s="697"/>
      <c r="AI131" s="697"/>
      <c r="AJ131" s="697"/>
      <c r="AK131" s="697"/>
      <c r="AL131" s="697"/>
      <c r="AM131" s="697"/>
      <c r="AN131" s="698">
        <f>IFERROR(__xludf.DUMMYFUNCTION("""COMPUTED_VALUE"""),0.8393)</f>
        <v>0.8393</v>
      </c>
      <c r="AO131" s="698">
        <f>IFERROR(__xludf.DUMMYFUNCTION("""COMPUTED_VALUE"""),0.8393)</f>
        <v>0.8393</v>
      </c>
      <c r="AP131" s="697" t="str">
        <f>IFERROR(__xludf.DUMMYFUNCTION("""COMPUTED_VALUE"""),"Mf reduction")</f>
        <v>Mf reduction</v>
      </c>
      <c r="AQ131" s="697" t="str">
        <f>IFERROR(__xludf.DUMMYFUNCTION("""COMPUTED_VALUE"""),"Sudan-savanna zone of north Cahmeroon")</f>
        <v>Sudan-savanna zone of north Cahmeroon</v>
      </c>
      <c r="AR131" s="697">
        <f>IFERROR(__xludf.DUMMYFUNCTION("""COMPUTED_VALUE"""),1976.0)</f>
        <v>1976</v>
      </c>
      <c r="AS131" s="697">
        <f>IFERROR(__xludf.DUMMYFUNCTION("""COMPUTED_VALUE"""),25.0)</f>
        <v>25</v>
      </c>
      <c r="AT131" s="697" t="str">
        <f>IFERROR(__xludf.DUMMYFUNCTION("""COMPUTED_VALUE"""),"2 years")</f>
        <v>2 years</v>
      </c>
      <c r="AU131" s="699" t="str">
        <f>IFERROR(__xludf.DUMMYFUNCTION("""COMPUTED_VALUE"""),"Anderson, J. Fugsang H. Effects of Suramin on Ocular Onchocerciasis (1976) Tropenmed. Parasit. 27: 279-296.")</f>
        <v>Anderson, J. Fugsang H. Effects of Suramin on Ocular Onchocerciasis (1976) Tropenmed. Parasit. 27: 279-296.</v>
      </c>
      <c r="AV131" s="697"/>
      <c r="AW131" s="697"/>
      <c r="AX131" s="697"/>
      <c r="AY131" s="697" t="str">
        <f>IFERROR(__xludf.DUMMYFUNCTION("""COMPUTED_VALUE"""),"No")</f>
        <v>No</v>
      </c>
      <c r="AZ131" s="697" t="str">
        <f>IFERROR(__xludf.DUMMYFUNCTION("""COMPUTED_VALUE"""),"Yes")</f>
        <v>Yes</v>
      </c>
      <c r="BA131" s="697"/>
      <c r="BB131" s="697"/>
      <c r="BC131" s="697" t="str">
        <f>IFERROR(__xludf.DUMMYFUNCTION("""COMPUTED_VALUE"""),"The 2 deaths and the many unpleasant and serious side effects such as stomatitis, exfoliative dermatitis, and iritis caused by Suramin in the study again underline the care with which this drug must be handled, and the urgency for a better understanding o"&amp;"f its toxicity.")</f>
        <v>The 2 deaths and the many unpleasant and serious side effects such as stomatitis, exfoliative dermatitis, and iritis caused by Suramin in the study again underline the care with which this drug must be handled, and the urgency for a better understanding of its toxicity.</v>
      </c>
      <c r="BD131" s="697" t="str">
        <f>IFERROR(__xludf.DUMMYFUNCTION("""COMPUTED_VALUE"""),"Of the original 120 patients, 16 did not complete the course for reasons including refusal, change of treatment, stomatitis, dermatitis, severe iritis, general malaise, moved away, death attributed to Suramin, and death from unknown causes.")</f>
        <v>Of the original 120 patients, 16 did not complete the course for reasons including refusal, change of treatment, stomatitis, dermatitis, severe iritis, general malaise, moved away, death attributed to Suramin, and death from unknown causes.</v>
      </c>
      <c r="BE131" s="697"/>
      <c r="BF131" s="697"/>
      <c r="BG131" s="697"/>
    </row>
    <row r="132">
      <c r="A132" s="697"/>
      <c r="B132" s="697" t="str">
        <f>IFERROR(__xludf.DUMMYFUNCTION("""COMPUTED_VALUE"""),"Anderson et al.")</f>
        <v>Anderson et al.</v>
      </c>
      <c r="C132" s="697" t="str">
        <f>IFERROR(__xludf.DUMMYFUNCTION("""COMPUTED_VALUE"""),"Cameroon")</f>
        <v>Cameroon</v>
      </c>
      <c r="D132" s="697" t="str">
        <f>IFERROR(__xludf.DUMMYFUNCTION("""COMPUTED_VALUE"""),"Placebo")</f>
        <v>Placebo</v>
      </c>
      <c r="E132" s="697" t="str">
        <f>IFERROR(__xludf.DUMMYFUNCTION("""COMPUTED_VALUE"""),"25mg")</f>
        <v>25mg</v>
      </c>
      <c r="F132" s="697">
        <f>IFERROR(__xludf.DUMMYFUNCTION("""COMPUTED_VALUE"""),4.0)</f>
        <v>4</v>
      </c>
      <c r="G132" s="697" t="str">
        <f>IFERROR(__xludf.DUMMYFUNCTION("""COMPUTED_VALUE"""),"100 mg")</f>
        <v>100 mg</v>
      </c>
      <c r="H132" s="697"/>
      <c r="I132" s="697"/>
      <c r="J132" s="697"/>
      <c r="K132" s="697"/>
      <c r="L132" s="697"/>
      <c r="M132" s="697"/>
      <c r="N132" s="700">
        <f>IFERROR(__xludf.DUMMYFUNCTION("""COMPUTED_VALUE"""),0.0)</f>
        <v>0</v>
      </c>
      <c r="O132" s="697"/>
      <c r="P132" s="697"/>
      <c r="Q132" s="697" t="str">
        <f>IFERROR(__xludf.DUMMYFUNCTION("""COMPUTED_VALUE"""),"increase of 71%")</f>
        <v>increase of 71%</v>
      </c>
      <c r="R132" s="697"/>
      <c r="S132" s="697"/>
      <c r="T132" s="697"/>
      <c r="U132" s="697"/>
      <c r="V132" s="697"/>
      <c r="W132" s="697" t="str">
        <f>IFERROR(__xludf.DUMMYFUNCTION("""COMPUTED_VALUE"""),"Increase of  10%")</f>
        <v>Increase of  10%</v>
      </c>
      <c r="X132" s="697"/>
      <c r="Y132" s="697"/>
      <c r="Z132" s="697" t="str">
        <f>IFERROR(__xludf.DUMMYFUNCTION("""COMPUTED_VALUE"""),"Increase of 39%")</f>
        <v>Increase of 39%</v>
      </c>
      <c r="AA132" s="697"/>
      <c r="AB132" s="697"/>
      <c r="AC132" s="697"/>
      <c r="AD132" s="697"/>
      <c r="AE132" s="697" t="str">
        <f>IFERROR(__xludf.DUMMYFUNCTION("""COMPUTED_VALUE"""),"n/a")</f>
        <v>n/a</v>
      </c>
      <c r="AF132" s="697"/>
      <c r="AG132" s="697"/>
      <c r="AH132" s="697"/>
      <c r="AI132" s="697"/>
      <c r="AJ132" s="697"/>
      <c r="AK132" s="697"/>
      <c r="AL132" s="697"/>
      <c r="AM132" s="697"/>
      <c r="AN132" s="697" t="str">
        <f>IFERROR(__xludf.DUMMYFUNCTION("""COMPUTED_VALUE"""),"increase of 71%")</f>
        <v>increase of 71%</v>
      </c>
      <c r="AO132" s="698">
        <f>IFERROR(__xludf.DUMMYFUNCTION("""COMPUTED_VALUE"""),0.71)</f>
        <v>0.71</v>
      </c>
      <c r="AP132" s="697" t="str">
        <f>IFERROR(__xludf.DUMMYFUNCTION("""COMPUTED_VALUE"""),"Mf reduction")</f>
        <v>Mf reduction</v>
      </c>
      <c r="AQ132" s="697" t="str">
        <f>IFERROR(__xludf.DUMMYFUNCTION("""COMPUTED_VALUE"""),"Sudan-savanna zone of north Cahmeroon")</f>
        <v>Sudan-savanna zone of north Cahmeroon</v>
      </c>
      <c r="AR132" s="697">
        <f>IFERROR(__xludf.DUMMYFUNCTION("""COMPUTED_VALUE"""),1976.0)</f>
        <v>1976</v>
      </c>
      <c r="AS132" s="697">
        <f>IFERROR(__xludf.DUMMYFUNCTION("""COMPUTED_VALUE"""),20.0)</f>
        <v>20</v>
      </c>
      <c r="AT132" s="697" t="str">
        <f>IFERROR(__xludf.DUMMYFUNCTION("""COMPUTED_VALUE"""),"2 years")</f>
        <v>2 years</v>
      </c>
      <c r="AU132" s="699" t="str">
        <f>IFERROR(__xludf.DUMMYFUNCTION("""COMPUTED_VALUE"""),"Anderson, J. Fugsang H. Effects of Suramin on Ocular Onchocerciasis (1976) Tropenmed. Parasit. 27: 279-296.")</f>
        <v>Anderson, J. Fugsang H. Effects of Suramin on Ocular Onchocerciasis (1976) Tropenmed. Parasit. 27: 279-296.</v>
      </c>
      <c r="AV132" s="697"/>
      <c r="AW132" s="697"/>
      <c r="AX132" s="697"/>
      <c r="AY132" s="697" t="str">
        <f>IFERROR(__xludf.DUMMYFUNCTION("""COMPUTED_VALUE"""),"No")</f>
        <v>No</v>
      </c>
      <c r="AZ132" s="697" t="str">
        <f>IFERROR(__xludf.DUMMYFUNCTION("""COMPUTED_VALUE"""),"Yes")</f>
        <v>Yes</v>
      </c>
      <c r="BA132" s="697"/>
      <c r="BB132" s="697"/>
      <c r="BC132" s="697" t="str">
        <f>IFERROR(__xludf.DUMMYFUNCTION("""COMPUTED_VALUE"""),"The 2 deaths and the many unpleasant and serious side effects such as stomatitis, exfoliative dermatitis, and iritis caused by Suramin in the study again underline the care with which this drug must be handled, and the urgency for a better understanding o"&amp;"f its toxicity.")</f>
        <v>The 2 deaths and the many unpleasant and serious side effects such as stomatitis, exfoliative dermatitis, and iritis caused by Suramin in the study again underline the care with which this drug must be handled, and the urgency for a better understanding of its toxicity.</v>
      </c>
      <c r="BD132" s="697" t="str">
        <f>IFERROR(__xludf.DUMMYFUNCTION("""COMPUTED_VALUE"""),"Of the original 120 patients, 16 did not complete the course for reasons including refusal, change of treatment, stomatitis, dermatitis, severe iritis, general malaise, moved away, death attributed to Suramin, and death from unknown causes.")</f>
        <v>Of the original 120 patients, 16 did not complete the course for reasons including refusal, change of treatment, stomatitis, dermatitis, severe iritis, general malaise, moved away, death attributed to Suramin, and death from unknown causes.</v>
      </c>
      <c r="BE132" s="697"/>
      <c r="BF132" s="697"/>
      <c r="BG132" s="697"/>
    </row>
    <row r="133">
      <c r="A133" s="697"/>
      <c r="B133" s="697" t="str">
        <f>IFERROR(__xludf.DUMMYFUNCTION("""COMPUTED_VALUE"""),"Wolf et al.")</f>
        <v>Wolf et al.</v>
      </c>
      <c r="C133" s="697" t="str">
        <f>IFERROR(__xludf.DUMMYFUNCTION("""COMPUTED_VALUE"""),"Liberia")</f>
        <v>Liberia</v>
      </c>
      <c r="D133" s="697" t="str">
        <f>IFERROR(__xludf.DUMMYFUNCTION("""COMPUTED_VALUE"""),"Suramin")</f>
        <v>Suramin</v>
      </c>
      <c r="E133" s="697" t="str">
        <f>IFERROR(__xludf.DUMMYFUNCTION("""COMPUTED_VALUE"""),".015-.020 g/kg ")</f>
        <v>.015-.020 g/kg </v>
      </c>
      <c r="F133" s="704">
        <f>IFERROR(__xludf.DUMMYFUNCTION("""COMPUTED_VALUE"""),42496.0)</f>
        <v>42496</v>
      </c>
      <c r="G133" s="697" t="str">
        <f>IFERROR(__xludf.DUMMYFUNCTION("""COMPUTED_VALUE"""),".075g/kg-.120gkg")</f>
        <v>.075g/kg-.120gkg</v>
      </c>
      <c r="H133" s="697"/>
      <c r="I133" s="697"/>
      <c r="J133" s="697"/>
      <c r="K133" s="697"/>
      <c r="L133" s="697"/>
      <c r="M133" s="697"/>
      <c r="N133" s="697"/>
      <c r="O133" s="700">
        <f>IFERROR(__xludf.DUMMYFUNCTION("""COMPUTED_VALUE"""),0.29)</f>
        <v>0.29</v>
      </c>
      <c r="P133" s="697"/>
      <c r="Q133" s="697"/>
      <c r="R133" s="697"/>
      <c r="S133" s="697"/>
      <c r="T133" s="697"/>
      <c r="U133" s="697"/>
      <c r="V133" s="697"/>
      <c r="W133" s="697"/>
      <c r="X133" s="697"/>
      <c r="Y133" s="697"/>
      <c r="Z133" s="697"/>
      <c r="AA133" s="697"/>
      <c r="AB133" s="697"/>
      <c r="AC133" s="697"/>
      <c r="AD133" s="697"/>
      <c r="AE133" s="697" t="str">
        <f>IFERROR(__xludf.DUMMYFUNCTION("""COMPUTED_VALUE"""),"n/a")</f>
        <v>n/a</v>
      </c>
      <c r="AF133" s="697"/>
      <c r="AG133" s="697"/>
      <c r="AH133" s="697"/>
      <c r="AI133" s="697"/>
      <c r="AJ133" s="697"/>
      <c r="AK133" s="700">
        <f>IFERROR(__xludf.DUMMYFUNCTION("""COMPUTED_VALUE"""),0.29)</f>
        <v>0.29</v>
      </c>
      <c r="AL133" s="697"/>
      <c r="AM133" s="697"/>
      <c r="AN133" s="700">
        <f>IFERROR(__xludf.DUMMYFUNCTION("""COMPUTED_VALUE"""),0.29)</f>
        <v>0.29</v>
      </c>
      <c r="AO133" s="698">
        <f>IFERROR(__xludf.DUMMYFUNCTION("""COMPUTED_VALUE"""),0.29)</f>
        <v>0.29</v>
      </c>
      <c r="AP133" s="697" t="str">
        <f>IFERROR(__xludf.DUMMYFUNCTION("""COMPUTED_VALUE"""),"Nodulectomy: dead male and female worms")</f>
        <v>Nodulectomy: dead male and female worms</v>
      </c>
      <c r="AQ133" s="697" t="str">
        <f>IFERROR(__xludf.DUMMYFUNCTION("""COMPUTED_VALUE"""),"Haindii")</f>
        <v>Haindii</v>
      </c>
      <c r="AR133" s="697">
        <f>IFERROR(__xludf.DUMMYFUNCTION("""COMPUTED_VALUE"""),1977.0)</f>
        <v>1977</v>
      </c>
      <c r="AS133" s="697">
        <f>IFERROR(__xludf.DUMMYFUNCTION("""COMPUTED_VALUE"""),14.0)</f>
        <v>14</v>
      </c>
      <c r="AT133" s="697" t="str">
        <f>IFERROR(__xludf.DUMMYFUNCTION("""COMPUTED_VALUE"""),"6 weeks")</f>
        <v>6 weeks</v>
      </c>
      <c r="AU133" s="699" t="str">
        <f>IFERROR(__xludf.DUMMYFUNCTION("""COMPUTED_VALUE"""),"Wolf, H.; Schulz-Key, H.; Albiez, E.J.; Geister, R.; Büttner, D.W. Analysis of Enzymatically Isolated Adults of Onchocerca volvulus after Treatment of Patients with Suramin or Metrifonate (1980) Tropenmed. Parasit. 31:143-148.")</f>
        <v>Wolf, H.; Schulz-Key, H.; Albiez, E.J.; Geister, R.; Büttner, D.W. Analysis of Enzymatically Isolated Adults of Onchocerca volvulus after Treatment of Patients with Suramin or Metrifonate (1980) Tropenmed. Parasit. 31:143-148.</v>
      </c>
      <c r="AV133" s="697"/>
      <c r="AW133" s="697"/>
      <c r="AX133" s="697"/>
      <c r="AY133" s="697" t="str">
        <f>IFERROR(__xludf.DUMMYFUNCTION("""COMPUTED_VALUE"""),"No")</f>
        <v>No</v>
      </c>
      <c r="AZ133" s="697" t="str">
        <f>IFERROR(__xludf.DUMMYFUNCTION("""COMPUTED_VALUE"""),"No")</f>
        <v>No</v>
      </c>
      <c r="BA133" s="697"/>
      <c r="BB133" s="697" t="str">
        <f>IFERROR(__xludf.DUMMYFUNCTION("""COMPUTED_VALUE"""),"Nodulectomy at 6 weeks: F worms with: eggs or mf 72%; dead 14%; Total F+M worms: dead 15% Mf 0.7; calcified 14%; alive Mf 2.3 (Proportion of dead worm increase 29%)")</f>
        <v>Nodulectomy at 6 weeks: F worms with: eggs or mf 72%; dead 14%; Total F+M worms: dead 15% Mf 0.7; calcified 14%; alive Mf 2.3 (Proportion of dead worm increase 29%)</v>
      </c>
      <c r="BC133" s="697" t="str">
        <f>IFERROR(__xludf.DUMMYFUNCTION("""COMPUTED_VALUE"""),"Six weeks after the last dose of Suramin the degenerative alterations could not be distinguished qualitatively from those in untreated worms, but a statistically significant Mf efficacy could be shown")</f>
        <v>Six weeks after the last dose of Suramin the degenerative alterations could not be distinguished qualitatively from those in untreated worms, but a statistically significant Mf efficacy could be shown</v>
      </c>
      <c r="BD133" s="697"/>
      <c r="BE133" s="697"/>
      <c r="BF133" s="697"/>
      <c r="BG133" s="697" t="str">
        <f>IFERROR(__xludf.DUMMYFUNCTION("""COMPUTED_VALUE"""),"x")</f>
        <v>x</v>
      </c>
    </row>
    <row r="134">
      <c r="A134" s="697"/>
      <c r="B134" s="697" t="str">
        <f>IFERROR(__xludf.DUMMYFUNCTION("""COMPUTED_VALUE"""),"Wolf et al.")</f>
        <v>Wolf et al.</v>
      </c>
      <c r="C134" s="697" t="str">
        <f>IFERROR(__xludf.DUMMYFUNCTION("""COMPUTED_VALUE"""),"Liberia")</f>
        <v>Liberia</v>
      </c>
      <c r="D134" s="697" t="str">
        <f>IFERROR(__xludf.DUMMYFUNCTION("""COMPUTED_VALUE"""),"Metrifonate")</f>
        <v>Metrifonate</v>
      </c>
      <c r="E134" s="697" t="str">
        <f>IFERROR(__xludf.DUMMYFUNCTION("""COMPUTED_VALUE"""),"10mg/kg")</f>
        <v>10mg/kg</v>
      </c>
      <c r="F134" s="697">
        <f>IFERROR(__xludf.DUMMYFUNCTION("""COMPUTED_VALUE"""),4.0)</f>
        <v>4</v>
      </c>
      <c r="G134" s="697" t="str">
        <f>IFERROR(__xludf.DUMMYFUNCTION("""COMPUTED_VALUE"""),"40 mg/kg ")</f>
        <v>40 mg/kg </v>
      </c>
      <c r="H134" s="697"/>
      <c r="I134" s="697"/>
      <c r="J134" s="697"/>
      <c r="K134" s="697"/>
      <c r="L134" s="697"/>
      <c r="M134" s="697"/>
      <c r="N134" s="697"/>
      <c r="O134" s="700">
        <f>IFERROR(__xludf.DUMMYFUNCTION("""COMPUTED_VALUE"""),0.09)</f>
        <v>0.09</v>
      </c>
      <c r="P134" s="697"/>
      <c r="Q134" s="697"/>
      <c r="R134" s="697"/>
      <c r="S134" s="697"/>
      <c r="T134" s="697"/>
      <c r="U134" s="697"/>
      <c r="V134" s="697"/>
      <c r="W134" s="697"/>
      <c r="X134" s="697"/>
      <c r="Y134" s="697"/>
      <c r="Z134" s="697"/>
      <c r="AA134" s="697"/>
      <c r="AB134" s="697"/>
      <c r="AC134" s="697"/>
      <c r="AD134" s="697"/>
      <c r="AE134" s="697" t="str">
        <f>IFERROR(__xludf.DUMMYFUNCTION("""COMPUTED_VALUE"""),"n/a")</f>
        <v>n/a</v>
      </c>
      <c r="AF134" s="697"/>
      <c r="AG134" s="697"/>
      <c r="AH134" s="697"/>
      <c r="AI134" s="697"/>
      <c r="AJ134" s="697"/>
      <c r="AK134" s="700">
        <f>IFERROR(__xludf.DUMMYFUNCTION("""COMPUTED_VALUE"""),0.09)</f>
        <v>0.09</v>
      </c>
      <c r="AL134" s="697"/>
      <c r="AM134" s="697"/>
      <c r="AN134" s="700">
        <f>IFERROR(__xludf.DUMMYFUNCTION("""COMPUTED_VALUE"""),0.09)</f>
        <v>0.09</v>
      </c>
      <c r="AO134" s="698">
        <f>IFERROR(__xludf.DUMMYFUNCTION("""COMPUTED_VALUE"""),0.09)</f>
        <v>0.09</v>
      </c>
      <c r="AP134" s="697" t="str">
        <f>IFERROR(__xludf.DUMMYFUNCTION("""COMPUTED_VALUE"""),"Nodulectomy: dead male and female worms")</f>
        <v>Nodulectomy: dead male and female worms</v>
      </c>
      <c r="AQ134" s="697" t="str">
        <f>IFERROR(__xludf.DUMMYFUNCTION("""COMPUTED_VALUE"""),"Haindii")</f>
        <v>Haindii</v>
      </c>
      <c r="AR134" s="697">
        <f>IFERROR(__xludf.DUMMYFUNCTION("""COMPUTED_VALUE"""),1977.0)</f>
        <v>1977</v>
      </c>
      <c r="AS134" s="697">
        <f>IFERROR(__xludf.DUMMYFUNCTION("""COMPUTED_VALUE"""),4.0)</f>
        <v>4</v>
      </c>
      <c r="AT134" s="697" t="str">
        <f>IFERROR(__xludf.DUMMYFUNCTION("""COMPUTED_VALUE"""),"6 weeks")</f>
        <v>6 weeks</v>
      </c>
      <c r="AU134" s="699" t="str">
        <f>IFERROR(__xludf.DUMMYFUNCTION("""COMPUTED_VALUE"""),"Wolf, H.; Schulz-Key, H.; Albiez, E.J.; Geister, R.; Büttner, D.W. Analysis of Enzymatically Isolated Adults of Onchocerca volvulus after Treatment of Patients with Suramin or Metrifonate (1980) Tropenmed. Parasit. 31:143-148.")</f>
        <v>Wolf, H.; Schulz-Key, H.; Albiez, E.J.; Geister, R.; Büttner, D.W. Analysis of Enzymatically Isolated Adults of Onchocerca volvulus after Treatment of Patients with Suramin or Metrifonate (1980) Tropenmed. Parasit. 31:143-148.</v>
      </c>
      <c r="AV134" s="697"/>
      <c r="AW134" s="697"/>
      <c r="AX134" s="697"/>
      <c r="AY134" s="697" t="str">
        <f>IFERROR(__xludf.DUMMYFUNCTION("""COMPUTED_VALUE"""),"No")</f>
        <v>No</v>
      </c>
      <c r="AZ134" s="697" t="str">
        <f>IFERROR(__xludf.DUMMYFUNCTION("""COMPUTED_VALUE"""),"No")</f>
        <v>No</v>
      </c>
      <c r="BA134" s="697"/>
      <c r="BB134" s="697"/>
      <c r="BC134" s="697" t="str">
        <f>IFERROR(__xludf.DUMMYFUNCTION("""COMPUTED_VALUE"""),"Metrifonate did not show any macrofilaricidal effect.")</f>
        <v>Metrifonate did not show any macrofilaricidal effect.</v>
      </c>
      <c r="BD134" s="697"/>
      <c r="BE134" s="697"/>
      <c r="BF134" s="697"/>
      <c r="BG134" s="697"/>
    </row>
    <row r="135">
      <c r="A135" s="697"/>
      <c r="B135" s="697" t="str">
        <f>IFERROR(__xludf.DUMMYFUNCTION("""COMPUTED_VALUE"""),"Wolf et al.")</f>
        <v>Wolf et al.</v>
      </c>
      <c r="C135" s="697" t="str">
        <f>IFERROR(__xludf.DUMMYFUNCTION("""COMPUTED_VALUE"""),"Liberia")</f>
        <v>Liberia</v>
      </c>
      <c r="D135" s="697" t="str">
        <f>IFERROR(__xludf.DUMMYFUNCTION("""COMPUTED_VALUE"""),"Control group")</f>
        <v>Control group</v>
      </c>
      <c r="E135" s="697"/>
      <c r="F135" s="697"/>
      <c r="G135" s="697"/>
      <c r="H135" s="697"/>
      <c r="I135" s="697"/>
      <c r="J135" s="697"/>
      <c r="K135" s="697"/>
      <c r="L135" s="697"/>
      <c r="M135" s="697"/>
      <c r="N135" s="697"/>
      <c r="O135" s="698">
        <f>IFERROR(__xludf.DUMMYFUNCTION("""COMPUTED_VALUE"""),0.034)</f>
        <v>0.034</v>
      </c>
      <c r="P135" s="697"/>
      <c r="Q135" s="697"/>
      <c r="R135" s="697"/>
      <c r="S135" s="697"/>
      <c r="T135" s="697"/>
      <c r="U135" s="697"/>
      <c r="V135" s="697"/>
      <c r="W135" s="697"/>
      <c r="X135" s="697"/>
      <c r="Y135" s="697"/>
      <c r="Z135" s="697"/>
      <c r="AA135" s="697"/>
      <c r="AB135" s="697"/>
      <c r="AC135" s="697"/>
      <c r="AD135" s="697"/>
      <c r="AE135" s="697" t="str">
        <f>IFERROR(__xludf.DUMMYFUNCTION("""COMPUTED_VALUE"""),"n/a")</f>
        <v>n/a</v>
      </c>
      <c r="AF135" s="697"/>
      <c r="AG135" s="697"/>
      <c r="AH135" s="697"/>
      <c r="AI135" s="697"/>
      <c r="AJ135" s="697"/>
      <c r="AK135" s="698">
        <f>IFERROR(__xludf.DUMMYFUNCTION("""COMPUTED_VALUE"""),0.034)</f>
        <v>0.034</v>
      </c>
      <c r="AL135" s="697"/>
      <c r="AM135" s="697"/>
      <c r="AN135" s="698">
        <f>IFERROR(__xludf.DUMMYFUNCTION("""COMPUTED_VALUE"""),0.034)</f>
        <v>0.034</v>
      </c>
      <c r="AO135" s="698">
        <f>IFERROR(__xludf.DUMMYFUNCTION("""COMPUTED_VALUE"""),0.034)</f>
        <v>0.034</v>
      </c>
      <c r="AP135" s="697" t="str">
        <f>IFERROR(__xludf.DUMMYFUNCTION("""COMPUTED_VALUE"""),"Nodulectomy: dead male and female worms")</f>
        <v>Nodulectomy: dead male and female worms</v>
      </c>
      <c r="AQ135" s="697" t="str">
        <f>IFERROR(__xludf.DUMMYFUNCTION("""COMPUTED_VALUE"""),"Mauwa")</f>
        <v>Mauwa</v>
      </c>
      <c r="AR135" s="697">
        <f>IFERROR(__xludf.DUMMYFUNCTION("""COMPUTED_VALUE"""),1977.0)</f>
        <v>1977</v>
      </c>
      <c r="AS135" s="697">
        <f>IFERROR(__xludf.DUMMYFUNCTION("""COMPUTED_VALUE"""),14.0)</f>
        <v>14</v>
      </c>
      <c r="AT135" s="697" t="str">
        <f>IFERROR(__xludf.DUMMYFUNCTION("""COMPUTED_VALUE"""),"6 weeks")</f>
        <v>6 weeks</v>
      </c>
      <c r="AU135" s="699" t="str">
        <f>IFERROR(__xludf.DUMMYFUNCTION("""COMPUTED_VALUE"""),"Wolf, H.; Schulz-Key, H.; Albiez, E.J.; Geister, R.; Büttner, D.W. Analysis of Enzymatically Isolated Adults of Onchocerca volvulus after Treatment of Patients with Suramin or Metrifonate (1980) Tropenmed. Parasit. 31:143-148.")</f>
        <v>Wolf, H.; Schulz-Key, H.; Albiez, E.J.; Geister, R.; Büttner, D.W. Analysis of Enzymatically Isolated Adults of Onchocerca volvulus after Treatment of Patients with Suramin or Metrifonate (1980) Tropenmed. Parasit. 31:143-148.</v>
      </c>
      <c r="AV135" s="697"/>
      <c r="AW135" s="697"/>
      <c r="AX135" s="697"/>
      <c r="AY135" s="697" t="str">
        <f>IFERROR(__xludf.DUMMYFUNCTION("""COMPUTED_VALUE"""),"No")</f>
        <v>No</v>
      </c>
      <c r="AZ135" s="697" t="str">
        <f>IFERROR(__xludf.DUMMYFUNCTION("""COMPUTED_VALUE"""),"No")</f>
        <v>No</v>
      </c>
      <c r="BA135" s="697"/>
      <c r="BB135" s="697" t="str">
        <f>IFERROR(__xludf.DUMMYFUNCTION("""COMPUTED_VALUE"""),"Nodulectomy at 6 weeks: F worms with: eggs or mf 91%; dead 1%; calcified 5%; Total F+M worms: dead 0.5% Mf 0.1; calcified 2.9%; alive Mf 3.7 (Proportion of dead worm increase 3.4%)")</f>
        <v>Nodulectomy at 6 weeks: F worms with: eggs or mf 91%; dead 1%; calcified 5%; Total F+M worms: dead 0.5% Mf 0.1; calcified 2.9%; alive Mf 3.7 (Proportion of dead worm increase 3.4%)</v>
      </c>
      <c r="BC135" s="697"/>
      <c r="BD135" s="697"/>
      <c r="BE135" s="697"/>
      <c r="BF135" s="697"/>
      <c r="BG135" s="697"/>
    </row>
    <row r="136">
      <c r="A136" s="697"/>
      <c r="B136" s="697" t="str">
        <f>IFERROR(__xludf.DUMMYFUNCTION("""COMPUTED_VALUE"""),"Wolf et al.")</f>
        <v>Wolf et al.</v>
      </c>
      <c r="C136" s="697" t="str">
        <f>IFERROR(__xludf.DUMMYFUNCTION("""COMPUTED_VALUE"""),"Liberia")</f>
        <v>Liberia</v>
      </c>
      <c r="D136" s="697" t="str">
        <f>IFERROR(__xludf.DUMMYFUNCTION("""COMPUTED_VALUE"""),"Control group")</f>
        <v>Control group</v>
      </c>
      <c r="E136" s="697"/>
      <c r="F136" s="697"/>
      <c r="G136" s="697"/>
      <c r="H136" s="697"/>
      <c r="I136" s="697"/>
      <c r="J136" s="697"/>
      <c r="K136" s="697"/>
      <c r="L136" s="697"/>
      <c r="M136" s="697"/>
      <c r="N136" s="697"/>
      <c r="O136" s="700">
        <f>IFERROR(__xludf.DUMMYFUNCTION("""COMPUTED_VALUE"""),0.08)</f>
        <v>0.08</v>
      </c>
      <c r="P136" s="697"/>
      <c r="Q136" s="697"/>
      <c r="R136" s="697"/>
      <c r="S136" s="697"/>
      <c r="T136" s="697"/>
      <c r="U136" s="697"/>
      <c r="V136" s="697"/>
      <c r="W136" s="697"/>
      <c r="X136" s="697"/>
      <c r="Y136" s="697"/>
      <c r="Z136" s="697"/>
      <c r="AA136" s="697"/>
      <c r="AB136" s="697"/>
      <c r="AC136" s="697"/>
      <c r="AD136" s="697"/>
      <c r="AE136" s="697" t="str">
        <f>IFERROR(__xludf.DUMMYFUNCTION("""COMPUTED_VALUE"""),"n/a")</f>
        <v>n/a</v>
      </c>
      <c r="AF136" s="697"/>
      <c r="AG136" s="697"/>
      <c r="AH136" s="697"/>
      <c r="AI136" s="697"/>
      <c r="AJ136" s="697"/>
      <c r="AK136" s="700">
        <f>IFERROR(__xludf.DUMMYFUNCTION("""COMPUTED_VALUE"""),0.08)</f>
        <v>0.08</v>
      </c>
      <c r="AL136" s="697"/>
      <c r="AM136" s="697"/>
      <c r="AN136" s="700">
        <f>IFERROR(__xludf.DUMMYFUNCTION("""COMPUTED_VALUE"""),0.08)</f>
        <v>0.08</v>
      </c>
      <c r="AO136" s="698">
        <f>IFERROR(__xludf.DUMMYFUNCTION("""COMPUTED_VALUE"""),0.08)</f>
        <v>0.08</v>
      </c>
      <c r="AP136" s="697" t="str">
        <f>IFERROR(__xludf.DUMMYFUNCTION("""COMPUTED_VALUE"""),"Nodulectomy: dead male and female worms")</f>
        <v>Nodulectomy: dead male and female worms</v>
      </c>
      <c r="AQ136" s="697" t="str">
        <f>IFERROR(__xludf.DUMMYFUNCTION("""COMPUTED_VALUE"""),"Mauwa")</f>
        <v>Mauwa</v>
      </c>
      <c r="AR136" s="697">
        <f>IFERROR(__xludf.DUMMYFUNCTION("""COMPUTED_VALUE"""),1977.0)</f>
        <v>1977</v>
      </c>
      <c r="AS136" s="697">
        <f>IFERROR(__xludf.DUMMYFUNCTION("""COMPUTED_VALUE"""),89.0)</f>
        <v>89</v>
      </c>
      <c r="AT136" s="697" t="str">
        <f>IFERROR(__xludf.DUMMYFUNCTION("""COMPUTED_VALUE"""),"6 weeks")</f>
        <v>6 weeks</v>
      </c>
      <c r="AU136" s="699" t="str">
        <f>IFERROR(__xludf.DUMMYFUNCTION("""COMPUTED_VALUE"""),"Wolf, H.; Schulz-Key, H.; Albiez, E.J.; Geister, R.; Büttner, D.W. Analysis of Enzymatically Isolated Adults of Onchocerca volvulus after Treatment of Patients with Suramin or Metrifonate (1980) Tropenmed. Parasit. 31:143-148.")</f>
        <v>Wolf, H.; Schulz-Key, H.; Albiez, E.J.; Geister, R.; Büttner, D.W. Analysis of Enzymatically Isolated Adults of Onchocerca volvulus after Treatment of Patients with Suramin or Metrifonate (1980) Tropenmed. Parasit. 31:143-148.</v>
      </c>
      <c r="AV136" s="697"/>
      <c r="AW136" s="697"/>
      <c r="AX136" s="697"/>
      <c r="AY136" s="697" t="str">
        <f>IFERROR(__xludf.DUMMYFUNCTION("""COMPUTED_VALUE"""),"No")</f>
        <v>No</v>
      </c>
      <c r="AZ136" s="697" t="str">
        <f>IFERROR(__xludf.DUMMYFUNCTION("""COMPUTED_VALUE"""),"No")</f>
        <v>No</v>
      </c>
      <c r="BA136" s="697"/>
      <c r="BB136" s="697" t="str">
        <f>IFERROR(__xludf.DUMMYFUNCTION("""COMPUTED_VALUE"""),"Nodulectomy at 6 weeks: F worms with: eggs or mf 93%; dead 4%; calcified 8%; Total F+M worms: dead 3% Mf 0.2; calcified 5%; Alive Mf 3.5 (Proportion of dead worm increase 8%)")</f>
        <v>Nodulectomy at 6 weeks: F worms with: eggs or mf 93%; dead 4%; calcified 8%; Total F+M worms: dead 3% Mf 0.2; calcified 5%; Alive Mf 3.5 (Proportion of dead worm increase 8%)</v>
      </c>
      <c r="BC136" s="697"/>
      <c r="BD136" s="697"/>
      <c r="BE136" s="697"/>
      <c r="BF136" s="697"/>
      <c r="BG136" s="697"/>
    </row>
    <row r="137">
      <c r="A137" s="697"/>
      <c r="B137" s="697" t="str">
        <f>IFERROR(__xludf.DUMMYFUNCTION("""COMPUTED_VALUE"""),"Duke, Moore, &amp; Vincelette")</f>
        <v>Duke, Moore, &amp; Vincelette</v>
      </c>
      <c r="C137" s="697" t="str">
        <f>IFERROR(__xludf.DUMMYFUNCTION("""COMPUTED_VALUE"""),"Cameroon")</f>
        <v>Cameroon</v>
      </c>
      <c r="D137" s="697" t="str">
        <f>IFERROR(__xludf.DUMMYFUNCTION("""COMPUTED_VALUE"""),"DEC &amp; Suramin")</f>
        <v>DEC &amp; Suramin</v>
      </c>
      <c r="E137" s="697" t="str">
        <f>IFERROR(__xludf.DUMMYFUNCTION("""COMPUTED_VALUE"""),"50mg,100mg; 1g/50kg")</f>
        <v>50mg,100mg; 1g/50kg</v>
      </c>
      <c r="F137" s="697" t="str">
        <f>IFERROR(__xludf.DUMMYFUNCTION("""COMPUTED_VALUE"""),"1,8; 5-7")</f>
        <v>1,8; 5-7</v>
      </c>
      <c r="G137" s="697" t="str">
        <f>IFERROR(__xludf.DUMMYFUNCTION("""COMPUTED_VALUE"""),"900mg-1000mg; 1.0 g/50 kg")</f>
        <v>900mg-1000mg; 1.0 g/50 kg</v>
      </c>
      <c r="H137" s="697"/>
      <c r="I137" s="697"/>
      <c r="J137" s="697"/>
      <c r="K137" s="697"/>
      <c r="L137" s="697"/>
      <c r="M137" s="697"/>
      <c r="N137" s="697"/>
      <c r="O137" s="697" t="str">
        <f>IFERROR(__xludf.DUMMYFUNCTION("""COMPUTED_VALUE"""),"Increase of 1.88%")</f>
        <v>Increase of 1.88%</v>
      </c>
      <c r="P137" s="697"/>
      <c r="Q137" s="698">
        <f>IFERROR(__xludf.DUMMYFUNCTION("""COMPUTED_VALUE"""),0.6285)</f>
        <v>0.6285</v>
      </c>
      <c r="R137" s="698">
        <f>IFERROR(__xludf.DUMMYFUNCTION("""COMPUTED_VALUE"""),0.9975)</f>
        <v>0.9975</v>
      </c>
      <c r="S137" s="697"/>
      <c r="T137" s="697"/>
      <c r="U137" s="697"/>
      <c r="V137" s="697"/>
      <c r="W137" s="697"/>
      <c r="X137" s="697"/>
      <c r="Y137" s="697"/>
      <c r="Z137" s="697"/>
      <c r="AA137" s="697"/>
      <c r="AB137" s="697"/>
      <c r="AC137" s="697"/>
      <c r="AD137" s="697"/>
      <c r="AE137" s="697" t="str">
        <f>IFERROR(__xludf.DUMMYFUNCTION("""COMPUTED_VALUE"""),"n/a")</f>
        <v>n/a</v>
      </c>
      <c r="AF137" s="697"/>
      <c r="AG137" s="697"/>
      <c r="AH137" s="697"/>
      <c r="AI137" s="697"/>
      <c r="AJ137" s="697"/>
      <c r="AK137" s="697"/>
      <c r="AL137" s="697"/>
      <c r="AM137" s="697"/>
      <c r="AN137" s="698">
        <f>IFERROR(__xludf.DUMMYFUNCTION("""COMPUTED_VALUE"""),0.9975)</f>
        <v>0.9975</v>
      </c>
      <c r="AO137" s="698">
        <f>IFERROR(__xludf.DUMMYFUNCTION("""COMPUTED_VALUE"""),0.9975)</f>
        <v>0.9975</v>
      </c>
      <c r="AP137" s="697" t="str">
        <f>IFERROR(__xludf.DUMMYFUNCTION("""COMPUTED_VALUE"""),"Mf reduction")</f>
        <v>Mf reduction</v>
      </c>
      <c r="AQ137" s="697"/>
      <c r="AR137" s="697">
        <f>IFERROR(__xludf.DUMMYFUNCTION("""COMPUTED_VALUE"""),1976.0)</f>
        <v>1976</v>
      </c>
      <c r="AS137" s="697">
        <f>IFERROR(__xludf.DUMMYFUNCTION("""COMPUTED_VALUE"""),5.0)</f>
        <v>5</v>
      </c>
      <c r="AT137" s="697" t="str">
        <f>IFERROR(__xludf.DUMMYFUNCTION("""COMPUTED_VALUE"""),"10-11 weeks")</f>
        <v>10-11 weeks</v>
      </c>
      <c r="AU137" s="699" t="str">
        <f>IFERROR(__xludf.DUMMYFUNCTION("""COMPUTED_VALUE"""),"Duke, B.O.L; Moore, P.J.; Vincelette, J. The Population Dynamics of Onchocerca volvulus Microfilariae During Treatment with Suramin and Diethylcarbamazine (1976) 27: 133-144.")</f>
        <v>Duke, B.O.L; Moore, P.J.; Vincelette, J. The Population Dynamics of Onchocerca volvulus Microfilariae During Treatment with Suramin and Diethylcarbamazine (1976) 27: 133-144.</v>
      </c>
      <c r="AV137" s="697"/>
      <c r="AW137" s="697"/>
      <c r="AX137" s="697"/>
      <c r="AY137" s="697" t="str">
        <f>IFERROR(__xludf.DUMMYFUNCTION("""COMPUTED_VALUE"""),"No")</f>
        <v>No</v>
      </c>
      <c r="AZ137" s="697" t="str">
        <f>IFERROR(__xludf.DUMMYFUNCTION("""COMPUTED_VALUE"""),"No")</f>
        <v>No</v>
      </c>
      <c r="BA137" s="697"/>
      <c r="BB137" s="697"/>
      <c r="BC137" s="697" t="str">
        <f>IFERROR(__xludf.DUMMYFUNCTION("""COMPUTED_VALUE"""),"After a course of 4-6 g Suramin the load of microfilariae in the skin usually falls, as a result of the direct action of the drug on the Mf. When our Suramin-trated patients received DEC, the load of Mf in the skin in four of them had fallen considerably.")</f>
        <v>After a course of 4-6 g Suramin the load of microfilariae in the skin usually falls, as a result of the direct action of the drug on the Mf. When our Suramin-trated patients received DEC, the load of Mf in the skin in four of them had fallen considerably.</v>
      </c>
      <c r="BD137" s="697" t="str">
        <f>IFERROR(__xludf.DUMMYFUNCTION("""COMPUTED_VALUE"""),"2 not included in data")</f>
        <v>2 not included in data</v>
      </c>
      <c r="BE137" s="697"/>
      <c r="BF137" s="697"/>
      <c r="BG137" s="697"/>
    </row>
    <row r="138">
      <c r="A138" s="697"/>
      <c r="B138" s="697" t="str">
        <f>IFERROR(__xludf.DUMMYFUNCTION("""COMPUTED_VALUE"""),"Duke, Moore, &amp; Vincelette")</f>
        <v>Duke, Moore, &amp; Vincelette</v>
      </c>
      <c r="C138" s="697" t="str">
        <f>IFERROR(__xludf.DUMMYFUNCTION("""COMPUTED_VALUE"""),"Cameroon")</f>
        <v>Cameroon</v>
      </c>
      <c r="D138" s="697" t="str">
        <f>IFERROR(__xludf.DUMMYFUNCTION("""COMPUTED_VALUE"""),"DEC")</f>
        <v>DEC</v>
      </c>
      <c r="E138" s="697" t="str">
        <f>IFERROR(__xludf.DUMMYFUNCTION("""COMPUTED_VALUE"""),"25mg, 50mg, 100mg, 200mg")</f>
        <v>25mg, 50mg, 100mg, 200mg</v>
      </c>
      <c r="F138" s="697" t="str">
        <f>IFERROR(__xludf.DUMMYFUNCTION("""COMPUTED_VALUE"""),"3, 3, 3, 2")</f>
        <v>3, 3, 3, 2</v>
      </c>
      <c r="G138" s="697" t="str">
        <f>IFERROR(__xludf.DUMMYFUNCTION("""COMPUTED_VALUE"""),"925mg")</f>
        <v>925mg</v>
      </c>
      <c r="H138" s="697"/>
      <c r="I138" s="697"/>
      <c r="J138" s="697"/>
      <c r="K138" s="697"/>
      <c r="L138" s="700">
        <f>IFERROR(__xludf.DUMMYFUNCTION("""COMPUTED_VALUE"""),0.33)</f>
        <v>0.33</v>
      </c>
      <c r="M138" s="697"/>
      <c r="N138" s="697"/>
      <c r="O138" s="697"/>
      <c r="P138" s="697"/>
      <c r="Q138" s="697"/>
      <c r="R138" s="697"/>
      <c r="S138" s="697"/>
      <c r="T138" s="697"/>
      <c r="U138" s="697"/>
      <c r="V138" s="697"/>
      <c r="W138" s="697"/>
      <c r="X138" s="697"/>
      <c r="Y138" s="697"/>
      <c r="Z138" s="697"/>
      <c r="AA138" s="697"/>
      <c r="AB138" s="697"/>
      <c r="AC138" s="697"/>
      <c r="AD138" s="697"/>
      <c r="AE138" s="697"/>
      <c r="AF138" s="697"/>
      <c r="AG138" s="697"/>
      <c r="AH138" s="697"/>
      <c r="AI138" s="697"/>
      <c r="AJ138" s="697"/>
      <c r="AK138" s="697"/>
      <c r="AL138" s="697"/>
      <c r="AM138" s="697"/>
      <c r="AN138" s="700">
        <f>IFERROR(__xludf.DUMMYFUNCTION("""COMPUTED_VALUE"""),0.33)</f>
        <v>0.33</v>
      </c>
      <c r="AO138" s="698">
        <f>IFERROR(__xludf.DUMMYFUNCTION("""COMPUTED_VALUE"""),0.33)</f>
        <v>0.33</v>
      </c>
      <c r="AP138" s="697" t="str">
        <f>IFERROR(__xludf.DUMMYFUNCTION("""COMPUTED_VALUE"""),"Mf reduction")</f>
        <v>Mf reduction</v>
      </c>
      <c r="AQ138" s="697"/>
      <c r="AR138" s="697">
        <f>IFERROR(__xludf.DUMMYFUNCTION("""COMPUTED_VALUE"""),1976.0)</f>
        <v>1976</v>
      </c>
      <c r="AS138" s="697"/>
      <c r="AT138" s="697" t="str">
        <f>IFERROR(__xludf.DUMMYFUNCTION("""COMPUTED_VALUE"""),"10-11 weeks")</f>
        <v>10-11 weeks</v>
      </c>
      <c r="AU138" s="699" t="str">
        <f>IFERROR(__xludf.DUMMYFUNCTION("""COMPUTED_VALUE"""),"Duke, B.O.L; Moore, P.J.; Vincelette, J. The Population Dynamics of Onchocerca volvulus Microfilariae During Treatment with Suramin and Diethylcarbamazine (1976) 27: 133-144.")</f>
        <v>Duke, B.O.L; Moore, P.J.; Vincelette, J. The Population Dynamics of Onchocerca volvulus Microfilariae During Treatment with Suramin and Diethylcarbamazine (1976) 27: 133-144.</v>
      </c>
      <c r="AV138" s="697"/>
      <c r="AW138" s="697"/>
      <c r="AX138" s="697"/>
      <c r="AY138" s="697" t="str">
        <f>IFERROR(__xludf.DUMMYFUNCTION("""COMPUTED_VALUE"""),"No")</f>
        <v>No</v>
      </c>
      <c r="AZ138" s="697" t="str">
        <f>IFERROR(__xludf.DUMMYFUNCTION("""COMPUTED_VALUE"""),"No")</f>
        <v>No</v>
      </c>
      <c r="BA138" s="697"/>
      <c r="BB138" s="697"/>
      <c r="BC138" s="697"/>
      <c r="BD138" s="697"/>
      <c r="BE138" s="697"/>
      <c r="BF138" s="697"/>
      <c r="BG138" s="697"/>
    </row>
    <row r="139">
      <c r="A139" s="697"/>
      <c r="B139" s="697" t="str">
        <f>IFERROR(__xludf.DUMMYFUNCTION("""COMPUTED_VALUE"""),"Lariviere et al.")</f>
        <v>Lariviere et al.</v>
      </c>
      <c r="C139" s="697" t="str">
        <f>IFERROR(__xludf.DUMMYFUNCTION("""COMPUTED_VALUE"""),"Mali")</f>
        <v>Mali</v>
      </c>
      <c r="D139" s="697" t="str">
        <f>IFERROR(__xludf.DUMMYFUNCTION("""COMPUTED_VALUE"""),"Ivermectin")</f>
        <v>Ivermectin</v>
      </c>
      <c r="E139" s="697" t="str">
        <f>IFERROR(__xludf.DUMMYFUNCTION("""COMPUTED_VALUE"""),"200ug")</f>
        <v>200ug</v>
      </c>
      <c r="F139" s="697">
        <f>IFERROR(__xludf.DUMMYFUNCTION("""COMPUTED_VALUE"""),1.0)</f>
        <v>1</v>
      </c>
      <c r="G139" s="697" t="str">
        <f>IFERROR(__xludf.DUMMYFUNCTION("""COMPUTED_VALUE"""),"200 ug/kg")</f>
        <v>200 ug/kg</v>
      </c>
      <c r="H139" s="697"/>
      <c r="I139" s="700">
        <f>IFERROR(__xludf.DUMMYFUNCTION("""COMPUTED_VALUE"""),0.7)</f>
        <v>0.7</v>
      </c>
      <c r="J139" s="697"/>
      <c r="K139" s="700">
        <f>IFERROR(__xludf.DUMMYFUNCTION("""COMPUTED_VALUE"""),0.89)</f>
        <v>0.89</v>
      </c>
      <c r="L139" s="697"/>
      <c r="M139" s="697"/>
      <c r="N139" s="700">
        <f>IFERROR(__xludf.DUMMYFUNCTION("""COMPUTED_VALUE"""),0.98)</f>
        <v>0.98</v>
      </c>
      <c r="O139" s="700">
        <f>IFERROR(__xludf.DUMMYFUNCTION("""COMPUTED_VALUE"""),0.99)</f>
        <v>0.99</v>
      </c>
      <c r="P139" s="697"/>
      <c r="Q139" s="700">
        <f>IFERROR(__xludf.DUMMYFUNCTION("""COMPUTED_VALUE"""),0.99)</f>
        <v>0.99</v>
      </c>
      <c r="R139" s="697"/>
      <c r="S139" s="700">
        <f>IFERROR(__xludf.DUMMYFUNCTION("""COMPUTED_VALUE"""),0.98)</f>
        <v>0.98</v>
      </c>
      <c r="T139" s="697"/>
      <c r="U139" s="697"/>
      <c r="V139" s="697"/>
      <c r="W139" s="700">
        <f>IFERROR(__xludf.DUMMYFUNCTION("""COMPUTED_VALUE"""),0.91)</f>
        <v>0.91</v>
      </c>
      <c r="X139" s="697"/>
      <c r="Y139" s="697"/>
      <c r="Z139" s="697"/>
      <c r="AA139" s="697"/>
      <c r="AB139" s="697"/>
      <c r="AC139" s="697"/>
      <c r="AD139" s="697"/>
      <c r="AE139" s="697" t="str">
        <f>IFERROR(__xludf.DUMMYFUNCTION("""COMPUTED_VALUE"""),"n/a")</f>
        <v>n/a</v>
      </c>
      <c r="AF139" s="697"/>
      <c r="AG139" s="697"/>
      <c r="AH139" s="697"/>
      <c r="AI139" s="697"/>
      <c r="AJ139" s="697"/>
      <c r="AK139" s="697"/>
      <c r="AL139" s="697"/>
      <c r="AM139" s="697"/>
      <c r="AN139" s="700">
        <f>IFERROR(__xludf.DUMMYFUNCTION("""COMPUTED_VALUE"""),0.98)</f>
        <v>0.98</v>
      </c>
      <c r="AO139" s="698">
        <f>IFERROR(__xludf.DUMMYFUNCTION("""COMPUTED_VALUE"""),0.98)</f>
        <v>0.98</v>
      </c>
      <c r="AP139" s="697" t="str">
        <f>IFERROR(__xludf.DUMMYFUNCTION("""COMPUTED_VALUE"""),"Mf reduction")</f>
        <v>Mf reduction</v>
      </c>
      <c r="AQ139" s="697" t="str">
        <f>IFERROR(__xludf.DUMMYFUNCTION("""COMPUTED_VALUE"""),"Bamako")</f>
        <v>Bamako</v>
      </c>
      <c r="AR139" s="697">
        <f>IFERROR(__xludf.DUMMYFUNCTION("""COMPUTED_VALUE"""),1985.0)</f>
        <v>1985</v>
      </c>
      <c r="AS139" s="697">
        <f>IFERROR(__xludf.DUMMYFUNCTION("""COMPUTED_VALUE"""),10.0)</f>
        <v>10</v>
      </c>
      <c r="AT139" s="697" t="str">
        <f>IFERROR(__xludf.DUMMYFUNCTION("""COMPUTED_VALUE"""),"1 year")</f>
        <v>1 year</v>
      </c>
      <c r="AU139" s="699" t="str">
        <f>IFERROR(__xludf.DUMMYFUNCTION("""COMPUTED_VALUE"""),"Lariviere, M.; Aziz, M.; Weimann, D.; Ginoux, J.; Gaxotte, P.; Vingtain, P.; Beauvais, B.; Derouin, F.; Schulz-Key, H.; Basset, D. Double-Blind Study of Ivermectin and Diethylcarbamazine in African Onchocerciasis Patients with Ocular Involvement (1985). T"&amp;"he Lancet 2(8448): 174-177.")</f>
        <v>Lariviere, M.; Aziz, M.; Weimann, D.; Ginoux, J.; Gaxotte, P.; Vingtain, P.; Beauvais, B.; Derouin, F.; Schulz-Key, H.; Basset, D. Double-Blind Study of Ivermectin and Diethylcarbamazine in African Onchocerciasis Patients with Ocular Involvement (1985). The Lancet 2(8448): 174-177.</v>
      </c>
      <c r="AV139" s="697" t="str">
        <f>IFERROR(__xludf.DUMMYFUNCTION("""COMPUTED_VALUE"""),"M")</f>
        <v>M</v>
      </c>
      <c r="AW139" s="697" t="str">
        <f>IFERROR(__xludf.DUMMYFUNCTION("""COMPUTED_VALUE"""),"18-50 years ")</f>
        <v>18-50 years </v>
      </c>
      <c r="AX139" s="697"/>
      <c r="AY139" s="697" t="str">
        <f>IFERROR(__xludf.DUMMYFUNCTION("""COMPUTED_VALUE"""),"Yes")</f>
        <v>Yes</v>
      </c>
      <c r="AZ139" s="697" t="str">
        <f>IFERROR(__xludf.DUMMYFUNCTION("""COMPUTED_VALUE"""),"Yes")</f>
        <v>Yes</v>
      </c>
      <c r="BA139" s="697"/>
      <c r="BB139" s="697"/>
      <c r="BC139" s="697" t="str">
        <f>IFERROR(__xludf.DUMMYFUNCTION("""COMPUTED_VALUE"""),"Both ivermectin and DEC caused a prompt decrease in mean skin mf density; density then increased in both groups over the twelve month observation period. Side effects were less frequent and less severe in ivermectin patients than in DEC patients. Ivermect"&amp;"in as a single oral dose appears to be a more effective mf drug than DEC in onchoerciasis.")</f>
        <v>Both ivermectin and DEC caused a prompt decrease in mean skin mf density; density then increased in both groups over the twelve month observation period. Side effects were less frequent and less severe in ivermectin patients than in DEC patients. Ivermectin as a single oral dose appears to be a more effective mf drug than DEC in onchoerciasis.</v>
      </c>
      <c r="BD139" s="697"/>
      <c r="BE139" s="697"/>
      <c r="BF139" s="697"/>
      <c r="BG139" s="697"/>
    </row>
    <row r="140">
      <c r="A140" s="697"/>
      <c r="B140" s="697" t="str">
        <f>IFERROR(__xludf.DUMMYFUNCTION("""COMPUTED_VALUE"""),"Lariviere et al.")</f>
        <v>Lariviere et al.</v>
      </c>
      <c r="C140" s="697" t="str">
        <f>IFERROR(__xludf.DUMMYFUNCTION("""COMPUTED_VALUE"""),"Mali")</f>
        <v>Mali</v>
      </c>
      <c r="D140" s="697" t="str">
        <f>IFERROR(__xludf.DUMMYFUNCTION("""COMPUTED_VALUE"""),"DEC")</f>
        <v>DEC</v>
      </c>
      <c r="E140" s="697" t="str">
        <f>IFERROR(__xludf.DUMMYFUNCTION("""COMPUTED_VALUE"""),"50mg;100mg")</f>
        <v>50mg;100mg</v>
      </c>
      <c r="F140" s="697" t="str">
        <f>IFERROR(__xludf.DUMMYFUNCTION("""COMPUTED_VALUE"""),"2;5")</f>
        <v>2;5</v>
      </c>
      <c r="G140" s="697" t="str">
        <f>IFERROR(__xludf.DUMMYFUNCTION("""COMPUTED_VALUE"""),"1300mg")</f>
        <v>1300mg</v>
      </c>
      <c r="H140" s="697"/>
      <c r="I140" s="700">
        <f>IFERROR(__xludf.DUMMYFUNCTION("""COMPUTED_VALUE"""),0.73)</f>
        <v>0.73</v>
      </c>
      <c r="J140" s="697"/>
      <c r="K140" s="700">
        <f>IFERROR(__xludf.DUMMYFUNCTION("""COMPUTED_VALUE"""),0.86)</f>
        <v>0.86</v>
      </c>
      <c r="L140" s="697"/>
      <c r="M140" s="697"/>
      <c r="N140" s="700">
        <f>IFERROR(__xludf.DUMMYFUNCTION("""COMPUTED_VALUE"""),0.93)</f>
        <v>0.93</v>
      </c>
      <c r="O140" s="700">
        <f>IFERROR(__xludf.DUMMYFUNCTION("""COMPUTED_VALUE"""),0.91)</f>
        <v>0.91</v>
      </c>
      <c r="P140" s="697"/>
      <c r="Q140" s="700">
        <f>IFERROR(__xludf.DUMMYFUNCTION("""COMPUTED_VALUE"""),0.82)</f>
        <v>0.82</v>
      </c>
      <c r="R140" s="697"/>
      <c r="S140" s="700">
        <f>IFERROR(__xludf.DUMMYFUNCTION("""COMPUTED_VALUE"""),0.78)</f>
        <v>0.78</v>
      </c>
      <c r="T140" s="697"/>
      <c r="U140" s="697"/>
      <c r="V140" s="697"/>
      <c r="W140" s="700">
        <f>IFERROR(__xludf.DUMMYFUNCTION("""COMPUTED_VALUE"""),0.55)</f>
        <v>0.55</v>
      </c>
      <c r="X140" s="697"/>
      <c r="Y140" s="697"/>
      <c r="Z140" s="697"/>
      <c r="AA140" s="697"/>
      <c r="AB140" s="697"/>
      <c r="AC140" s="697"/>
      <c r="AD140" s="697"/>
      <c r="AE140" s="697" t="str">
        <f>IFERROR(__xludf.DUMMYFUNCTION("""COMPUTED_VALUE"""),"n/a")</f>
        <v>n/a</v>
      </c>
      <c r="AF140" s="697"/>
      <c r="AG140" s="697"/>
      <c r="AH140" s="697"/>
      <c r="AI140" s="697"/>
      <c r="AJ140" s="697"/>
      <c r="AK140" s="697"/>
      <c r="AL140" s="697"/>
      <c r="AM140" s="697"/>
      <c r="AN140" s="700">
        <f>IFERROR(__xludf.DUMMYFUNCTION("""COMPUTED_VALUE"""),0.78)</f>
        <v>0.78</v>
      </c>
      <c r="AO140" s="698">
        <f>IFERROR(__xludf.DUMMYFUNCTION("""COMPUTED_VALUE"""),0.78)</f>
        <v>0.78</v>
      </c>
      <c r="AP140" s="697" t="str">
        <f>IFERROR(__xludf.DUMMYFUNCTION("""COMPUTED_VALUE"""),"Mf reduction")</f>
        <v>Mf reduction</v>
      </c>
      <c r="AQ140" s="697" t="str">
        <f>IFERROR(__xludf.DUMMYFUNCTION("""COMPUTED_VALUE"""),"Bamako")</f>
        <v>Bamako</v>
      </c>
      <c r="AR140" s="697">
        <f>IFERROR(__xludf.DUMMYFUNCTION("""COMPUTED_VALUE"""),1985.0)</f>
        <v>1985</v>
      </c>
      <c r="AS140" s="697">
        <f>IFERROR(__xludf.DUMMYFUNCTION("""COMPUTED_VALUE"""),10.0)</f>
        <v>10</v>
      </c>
      <c r="AT140" s="697" t="str">
        <f>IFERROR(__xludf.DUMMYFUNCTION("""COMPUTED_VALUE"""),"2 year")</f>
        <v>2 year</v>
      </c>
      <c r="AU140" s="699" t="str">
        <f>IFERROR(__xludf.DUMMYFUNCTION("""COMPUTED_VALUE"""),"Lariviere, M.; Aziz, M.; Weimann, D.; Ginoux, J.; Gaxotte, P.; Vingtain, P.; Beauvais, B.; Derouin, F.; Schulz-Key, H.; Basset, D. Double-Blind Study of Ivermectin and Diethylcarbamazine in African Onchocerciasis Patients with Ocular Involvement (1985). T"&amp;"he Lancet 2(8448): 174-177.")</f>
        <v>Lariviere, M.; Aziz, M.; Weimann, D.; Ginoux, J.; Gaxotte, P.; Vingtain, P.; Beauvais, B.; Derouin, F.; Schulz-Key, H.; Basset, D. Double-Blind Study of Ivermectin and Diethylcarbamazine in African Onchocerciasis Patients with Ocular Involvement (1985). The Lancet 2(8448): 174-177.</v>
      </c>
      <c r="AV140" s="697" t="str">
        <f>IFERROR(__xludf.DUMMYFUNCTION("""COMPUTED_VALUE"""),"M")</f>
        <v>M</v>
      </c>
      <c r="AW140" s="697" t="str">
        <f>IFERROR(__xludf.DUMMYFUNCTION("""COMPUTED_VALUE"""),"18-50 years ")</f>
        <v>18-50 years </v>
      </c>
      <c r="AX140" s="697"/>
      <c r="AY140" s="697" t="str">
        <f>IFERROR(__xludf.DUMMYFUNCTION("""COMPUTED_VALUE"""),"Yes")</f>
        <v>Yes</v>
      </c>
      <c r="AZ140" s="697" t="str">
        <f>IFERROR(__xludf.DUMMYFUNCTION("""COMPUTED_VALUE"""),"Yes")</f>
        <v>Yes</v>
      </c>
      <c r="BA140" s="697"/>
      <c r="BB140" s="697"/>
      <c r="BC140" s="697" t="str">
        <f>IFERROR(__xludf.DUMMYFUNCTION("""COMPUTED_VALUE"""),"Both ivermectin and DEC caused a prompt decrease in mean skin mf density; density then increased in both groups over the twelve month observation period. Side effects were less frequent and less severe in ivermectin patients than in DEC patients. Ivermect"&amp;"in as a single oral dose appears to be a more effective mf drug than DEC in onchoerciasis.")</f>
        <v>Both ivermectin and DEC caused a prompt decrease in mean skin mf density; density then increased in both groups over the twelve month observation period. Side effects were less frequent and less severe in ivermectin patients than in DEC patients. Ivermectin as a single oral dose appears to be a more effective mf drug than DEC in onchoerciasis.</v>
      </c>
      <c r="BD140" s="697"/>
      <c r="BE140" s="697"/>
      <c r="BF140" s="697"/>
      <c r="BG140" s="697"/>
    </row>
    <row r="141">
      <c r="A141" s="697"/>
      <c r="B141" s="697" t="str">
        <f>IFERROR(__xludf.DUMMYFUNCTION("""COMPUTED_VALUE"""),"Lariviere et al.")</f>
        <v>Lariviere et al.</v>
      </c>
      <c r="C141" s="697" t="str">
        <f>IFERROR(__xludf.DUMMYFUNCTION("""COMPUTED_VALUE"""),"Mali")</f>
        <v>Mali</v>
      </c>
      <c r="D141" s="697" t="str">
        <f>IFERROR(__xludf.DUMMYFUNCTION("""COMPUTED_VALUE"""),"Placebo")</f>
        <v>Placebo</v>
      </c>
      <c r="E141" s="697"/>
      <c r="F141" s="697"/>
      <c r="G141" s="697"/>
      <c r="H141" s="697"/>
      <c r="I141" s="697" t="str">
        <f>IFERROR(__xludf.DUMMYFUNCTION("""COMPUTED_VALUE"""),"Increase of 9.%")</f>
        <v>Increase of 9.%</v>
      </c>
      <c r="J141" s="697"/>
      <c r="K141" s="700">
        <f>IFERROR(__xludf.DUMMYFUNCTION("""COMPUTED_VALUE"""),0.0)</f>
        <v>0</v>
      </c>
      <c r="L141" s="697"/>
      <c r="M141" s="697"/>
      <c r="N141" s="700">
        <f>IFERROR(__xludf.DUMMYFUNCTION("""COMPUTED_VALUE"""),0.27)</f>
        <v>0.27</v>
      </c>
      <c r="O141" s="697" t="str">
        <f>IFERROR(__xludf.DUMMYFUNCTION("""COMPUTED_VALUE"""),"Increase of 3%")</f>
        <v>Increase of 3%</v>
      </c>
      <c r="P141" s="697"/>
      <c r="Q141" s="700">
        <f>IFERROR(__xludf.DUMMYFUNCTION("""COMPUTED_VALUE"""),0.15)</f>
        <v>0.15</v>
      </c>
      <c r="R141" s="697"/>
      <c r="S141" s="700">
        <f>IFERROR(__xludf.DUMMYFUNCTION("""COMPUTED_VALUE"""),0.34)</f>
        <v>0.34</v>
      </c>
      <c r="T141" s="697"/>
      <c r="U141" s="697"/>
      <c r="V141" s="697"/>
      <c r="W141" s="700">
        <f>IFERROR(__xludf.DUMMYFUNCTION("""COMPUTED_VALUE"""),0.06)</f>
        <v>0.06</v>
      </c>
      <c r="X141" s="697"/>
      <c r="Y141" s="697"/>
      <c r="Z141" s="697"/>
      <c r="AA141" s="697"/>
      <c r="AB141" s="697"/>
      <c r="AC141" s="697"/>
      <c r="AD141" s="697"/>
      <c r="AE141" s="697" t="str">
        <f>IFERROR(__xludf.DUMMYFUNCTION("""COMPUTED_VALUE"""),"n/a")</f>
        <v>n/a</v>
      </c>
      <c r="AF141" s="697"/>
      <c r="AG141" s="697"/>
      <c r="AH141" s="697"/>
      <c r="AI141" s="697"/>
      <c r="AJ141" s="697"/>
      <c r="AK141" s="697"/>
      <c r="AL141" s="697"/>
      <c r="AM141" s="697"/>
      <c r="AN141" s="700">
        <f>IFERROR(__xludf.DUMMYFUNCTION("""COMPUTED_VALUE"""),0.34)</f>
        <v>0.34</v>
      </c>
      <c r="AO141" s="698">
        <f>IFERROR(__xludf.DUMMYFUNCTION("""COMPUTED_VALUE"""),0.34)</f>
        <v>0.34</v>
      </c>
      <c r="AP141" s="697" t="str">
        <f>IFERROR(__xludf.DUMMYFUNCTION("""COMPUTED_VALUE"""),"Mf reduction")</f>
        <v>Mf reduction</v>
      </c>
      <c r="AQ141" s="697" t="str">
        <f>IFERROR(__xludf.DUMMYFUNCTION("""COMPUTED_VALUE"""),"Bamako")</f>
        <v>Bamako</v>
      </c>
      <c r="AR141" s="697">
        <f>IFERROR(__xludf.DUMMYFUNCTION("""COMPUTED_VALUE"""),1985.0)</f>
        <v>1985</v>
      </c>
      <c r="AS141" s="697">
        <f>IFERROR(__xludf.DUMMYFUNCTION("""COMPUTED_VALUE"""),10.0)</f>
        <v>10</v>
      </c>
      <c r="AT141" s="697" t="str">
        <f>IFERROR(__xludf.DUMMYFUNCTION("""COMPUTED_VALUE"""),"3 year")</f>
        <v>3 year</v>
      </c>
      <c r="AU141" s="699" t="str">
        <f>IFERROR(__xludf.DUMMYFUNCTION("""COMPUTED_VALUE"""),"Lariviere, M.; Aziz, M.; Weimann, D.; Ginoux, J.; Gaxotte, P.; Vingtain, P.; Beauvais, B.; Derouin, F.; Schulz-Key, H.; Basset, D. Double-Blind Study of Ivermectin and Diethylcarbamazine in African Onchocerciasis Patients with Ocular Involvement (1985). T"&amp;"he Lancet 2(8448): 174-177.")</f>
        <v>Lariviere, M.; Aziz, M.; Weimann, D.; Ginoux, J.; Gaxotte, P.; Vingtain, P.; Beauvais, B.; Derouin, F.; Schulz-Key, H.; Basset, D. Double-Blind Study of Ivermectin and Diethylcarbamazine in African Onchocerciasis Patients with Ocular Involvement (1985). The Lancet 2(8448): 174-177.</v>
      </c>
      <c r="AV141" s="697" t="str">
        <f>IFERROR(__xludf.DUMMYFUNCTION("""COMPUTED_VALUE"""),"M")</f>
        <v>M</v>
      </c>
      <c r="AW141" s="697" t="str">
        <f>IFERROR(__xludf.DUMMYFUNCTION("""COMPUTED_VALUE"""),"18-50 years ")</f>
        <v>18-50 years </v>
      </c>
      <c r="AX141" s="697"/>
      <c r="AY141" s="697" t="str">
        <f>IFERROR(__xludf.DUMMYFUNCTION("""COMPUTED_VALUE"""),"Yes")</f>
        <v>Yes</v>
      </c>
      <c r="AZ141" s="697" t="str">
        <f>IFERROR(__xludf.DUMMYFUNCTION("""COMPUTED_VALUE"""),"Yes")</f>
        <v>Yes</v>
      </c>
      <c r="BA141" s="697"/>
      <c r="BB141" s="697"/>
      <c r="BC141" s="697" t="str">
        <f>IFERROR(__xludf.DUMMYFUNCTION("""COMPUTED_VALUE"""),"Both ivermectin and DEC caused a prompt decrease in mean skin mf density; density then increased in both groups over the twelve month observation period. Side effects were less frequent and less severe in ivermectin patients than in DEC patients. Ivermect"&amp;"in as a single oral dose appears to be a more effective mf drug than DEC in onchoerciasis.")</f>
        <v>Both ivermectin and DEC caused a prompt decrease in mean skin mf density; density then increased in both groups over the twelve month observation period. Side effects were less frequent and less severe in ivermectin patients than in DEC patients. Ivermectin as a single oral dose appears to be a more effective mf drug than DEC in onchoerciasis.</v>
      </c>
      <c r="BD141" s="697"/>
      <c r="BE141" s="697"/>
      <c r="BF141" s="697"/>
      <c r="BG141" s="697"/>
    </row>
    <row r="142">
      <c r="A142" s="697"/>
      <c r="B142" s="697" t="str">
        <f>IFERROR(__xludf.DUMMYFUNCTION("""COMPUTED_VALUE"""),"Awadzi &amp; Gilles")</f>
        <v>Awadzi &amp; Gilles</v>
      </c>
      <c r="C142" s="697" t="str">
        <f>IFERROR(__xludf.DUMMYFUNCTION("""COMPUTED_VALUE"""),"Ghana")</f>
        <v>Ghana</v>
      </c>
      <c r="D142" s="697" t="str">
        <f>IFERROR(__xludf.DUMMYFUNCTION("""COMPUTED_VALUE"""),"DEC")</f>
        <v>DEC</v>
      </c>
      <c r="E142" s="697" t="str">
        <f>IFERROR(__xludf.DUMMYFUNCTION("""COMPUTED_VALUE"""),"50mg-200mg")</f>
        <v>50mg-200mg</v>
      </c>
      <c r="F142" s="697">
        <f>IFERROR(__xludf.DUMMYFUNCTION("""COMPUTED_VALUE"""),42.0)</f>
        <v>42</v>
      </c>
      <c r="G142" s="697" t="str">
        <f>IFERROR(__xludf.DUMMYFUNCTION("""COMPUTED_VALUE"""),"6.6 g")</f>
        <v>6.6 g</v>
      </c>
      <c r="H142" s="697"/>
      <c r="I142" s="697"/>
      <c r="J142" s="697"/>
      <c r="K142" s="697"/>
      <c r="L142" s="698">
        <f>IFERROR(__xludf.DUMMYFUNCTION("""COMPUTED_VALUE"""),0.989)</f>
        <v>0.989</v>
      </c>
      <c r="M142" s="697"/>
      <c r="N142" s="697"/>
      <c r="O142" s="697"/>
      <c r="P142" s="697"/>
      <c r="Q142" s="697"/>
      <c r="R142" s="697"/>
      <c r="S142" s="697"/>
      <c r="T142" s="697"/>
      <c r="U142" s="697"/>
      <c r="V142" s="697"/>
      <c r="W142" s="697"/>
      <c r="X142" s="697"/>
      <c r="Y142" s="697"/>
      <c r="Z142" s="697"/>
      <c r="AA142" s="697"/>
      <c r="AB142" s="697"/>
      <c r="AC142" s="697"/>
      <c r="AD142" s="697"/>
      <c r="AE142" s="697" t="str">
        <f>IFERROR(__xludf.DUMMYFUNCTION("""COMPUTED_VALUE"""),"N/A")</f>
        <v>N/A</v>
      </c>
      <c r="AF142" s="697"/>
      <c r="AG142" s="697"/>
      <c r="AH142" s="697"/>
      <c r="AI142" s="697"/>
      <c r="AJ142" s="697"/>
      <c r="AK142" s="697"/>
      <c r="AL142" s="697"/>
      <c r="AM142" s="697"/>
      <c r="AN142" s="698">
        <f>IFERROR(__xludf.DUMMYFUNCTION("""COMPUTED_VALUE"""),0.989)</f>
        <v>0.989</v>
      </c>
      <c r="AO142" s="698">
        <f>IFERROR(__xludf.DUMMYFUNCTION("""COMPUTED_VALUE"""),0.989)</f>
        <v>0.989</v>
      </c>
      <c r="AP142" s="697" t="str">
        <f>IFERROR(__xludf.DUMMYFUNCTION("""COMPUTED_VALUE"""),"Mf reduction")</f>
        <v>Mf reduction</v>
      </c>
      <c r="AQ142" s="697" t="str">
        <f>IFERROR(__xludf.DUMMYFUNCTION("""COMPUTED_VALUE"""),"Northern Ghana")</f>
        <v>Northern Ghana</v>
      </c>
      <c r="AR142" s="697">
        <f>IFERROR(__xludf.DUMMYFUNCTION("""COMPUTED_VALUE"""),1979.0)</f>
        <v>1979</v>
      </c>
      <c r="AS142" s="697">
        <f>IFERROR(__xludf.DUMMYFUNCTION("""COMPUTED_VALUE"""),20.0)</f>
        <v>20</v>
      </c>
      <c r="AT142" s="697" t="str">
        <f>IFERROR(__xludf.DUMMYFUNCTION("""COMPUTED_VALUE"""),"2 weeks")</f>
        <v>2 weeks</v>
      </c>
      <c r="AU142" s="699" t="str">
        <f>IFERROR(__xludf.DUMMYFUNCTION("""COMPUTED_VALUE"""),"Awadzi, K. &amp; Gilles, H.M. The chemotherapy of onchocerciasis III A comparative study of diethylcarbamazine (DEC) and metrifonate (1980). Annals of Tropical Medicine and Parasitology 74(2):199-210. ")</f>
        <v>Awadzi, K. &amp; Gilles, H.M. The chemotherapy of onchocerciasis III A comparative study of diethylcarbamazine (DEC) and metrifonate (1980). Annals of Tropical Medicine and Parasitology 74(2):199-210. </v>
      </c>
      <c r="AV142" s="697" t="str">
        <f>IFERROR(__xludf.DUMMYFUNCTION("""COMPUTED_VALUE"""),"M")</f>
        <v>M</v>
      </c>
      <c r="AW142" s="697" t="str">
        <f>IFERROR(__xludf.DUMMYFUNCTION("""COMPUTED_VALUE"""),"18-48 years, Mean Age 32")</f>
        <v>18-48 years, Mean Age 32</v>
      </c>
      <c r="AX142" s="697" t="str">
        <f>IFERROR(__xludf.DUMMYFUNCTION("""COMPUTED_VALUE"""),"18-48")</f>
        <v>18-48</v>
      </c>
      <c r="AY142" s="697" t="str">
        <f>IFERROR(__xludf.DUMMYFUNCTION("""COMPUTED_VALUE"""),"Yes")</f>
        <v>Yes</v>
      </c>
      <c r="AZ142" s="697" t="str">
        <f>IFERROR(__xludf.DUMMYFUNCTION("""COMPUTED_VALUE"""),"Yes")</f>
        <v>Yes</v>
      </c>
      <c r="BA142" s="697"/>
      <c r="BB142" s="697"/>
      <c r="BC142" s="697" t="str">
        <f>IFERROR(__xludf.DUMMYFUNCTION("""COMPUTED_VALUE"""),"DEC is more effective than metrifonate and remains the 'reference' microfilaricide although its effects are more severe than those of metrifonate")</f>
        <v>DEC is more effective than metrifonate and remains the 'reference' microfilaricide although its effects are more severe than those of metrifonate</v>
      </c>
      <c r="BD142" s="697" t="str">
        <f>IFERROR(__xludf.DUMMYFUNCTION("""COMPUTED_VALUE"""),"2 patients from the DEC group moved from the village and 1 patient from the metrifonate group did not attend.")</f>
        <v>2 patients from the DEC group moved from the village and 1 patient from the metrifonate group did not attend.</v>
      </c>
      <c r="BE142" s="697"/>
      <c r="BF142" s="697"/>
      <c r="BG142" s="697"/>
    </row>
    <row r="143">
      <c r="A143" s="697"/>
      <c r="B143" s="697" t="str">
        <f>IFERROR(__xludf.DUMMYFUNCTION("""COMPUTED_VALUE"""),"Awadzi &amp; Gilles")</f>
        <v>Awadzi &amp; Gilles</v>
      </c>
      <c r="C143" s="697" t="str">
        <f>IFERROR(__xludf.DUMMYFUNCTION("""COMPUTED_VALUE"""),"Ghana")</f>
        <v>Ghana</v>
      </c>
      <c r="D143" s="697" t="str">
        <f>IFERROR(__xludf.DUMMYFUNCTION("""COMPUTED_VALUE"""),"Metrifonate")</f>
        <v>Metrifonate</v>
      </c>
      <c r="E143" s="697" t="str">
        <f>IFERROR(__xludf.DUMMYFUNCTION("""COMPUTED_VALUE"""),"10mg/kg")</f>
        <v>10mg/kg</v>
      </c>
      <c r="F143" s="697">
        <f>IFERROR(__xludf.DUMMYFUNCTION("""COMPUTED_VALUE"""),3.0)</f>
        <v>3</v>
      </c>
      <c r="G143" s="697" t="str">
        <f>IFERROR(__xludf.DUMMYFUNCTION("""COMPUTED_VALUE"""),"30 mg/kg")</f>
        <v>30 mg/kg</v>
      </c>
      <c r="H143" s="697"/>
      <c r="I143" s="697"/>
      <c r="J143" s="697"/>
      <c r="K143" s="697"/>
      <c r="L143" s="698">
        <f>IFERROR(__xludf.DUMMYFUNCTION("""COMPUTED_VALUE"""),0.754)</f>
        <v>0.754</v>
      </c>
      <c r="M143" s="697"/>
      <c r="N143" s="697"/>
      <c r="O143" s="697"/>
      <c r="P143" s="697"/>
      <c r="Q143" s="697"/>
      <c r="R143" s="697"/>
      <c r="S143" s="697"/>
      <c r="T143" s="697"/>
      <c r="U143" s="697"/>
      <c r="V143" s="697"/>
      <c r="W143" s="697"/>
      <c r="X143" s="697"/>
      <c r="Y143" s="697"/>
      <c r="Z143" s="697"/>
      <c r="AA143" s="697"/>
      <c r="AB143" s="697"/>
      <c r="AC143" s="697"/>
      <c r="AD143" s="697"/>
      <c r="AE143" s="697" t="str">
        <f>IFERROR(__xludf.DUMMYFUNCTION("""COMPUTED_VALUE"""),"N/A")</f>
        <v>N/A</v>
      </c>
      <c r="AF143" s="697"/>
      <c r="AG143" s="697"/>
      <c r="AH143" s="697"/>
      <c r="AI143" s="697"/>
      <c r="AJ143" s="697"/>
      <c r="AK143" s="697"/>
      <c r="AL143" s="697"/>
      <c r="AM143" s="697"/>
      <c r="AN143" s="698">
        <f>IFERROR(__xludf.DUMMYFUNCTION("""COMPUTED_VALUE"""),0.754)</f>
        <v>0.754</v>
      </c>
      <c r="AO143" s="698">
        <f>IFERROR(__xludf.DUMMYFUNCTION("""COMPUTED_VALUE"""),0.754)</f>
        <v>0.754</v>
      </c>
      <c r="AP143" s="697" t="str">
        <f>IFERROR(__xludf.DUMMYFUNCTION("""COMPUTED_VALUE"""),"Mf reduction")</f>
        <v>Mf reduction</v>
      </c>
      <c r="AQ143" s="697" t="str">
        <f>IFERROR(__xludf.DUMMYFUNCTION("""COMPUTED_VALUE"""),"Northern Ghana")</f>
        <v>Northern Ghana</v>
      </c>
      <c r="AR143" s="697">
        <f>IFERROR(__xludf.DUMMYFUNCTION("""COMPUTED_VALUE"""),1979.0)</f>
        <v>1979</v>
      </c>
      <c r="AS143" s="697">
        <f>IFERROR(__xludf.DUMMYFUNCTION("""COMPUTED_VALUE"""),20.0)</f>
        <v>20</v>
      </c>
      <c r="AT143" s="697" t="str">
        <f>IFERROR(__xludf.DUMMYFUNCTION("""COMPUTED_VALUE"""),"30 days")</f>
        <v>30 days</v>
      </c>
      <c r="AU143" s="699" t="str">
        <f>IFERROR(__xludf.DUMMYFUNCTION("""COMPUTED_VALUE"""),"Awadzi, K. &amp; Gilles, H.M. The chemotherapy of onchocerciasis III A comparative study of diethylcarbamazine (DEC) and metrifonate (1980). Annals of Tropical Medicine and Parasitology 74(2):199-210. ")</f>
        <v>Awadzi, K. &amp; Gilles, H.M. The chemotherapy of onchocerciasis III A comparative study of diethylcarbamazine (DEC) and metrifonate (1980). Annals of Tropical Medicine and Parasitology 74(2):199-210. </v>
      </c>
      <c r="AV143" s="697" t="str">
        <f>IFERROR(__xludf.DUMMYFUNCTION("""COMPUTED_VALUE"""),"M")</f>
        <v>M</v>
      </c>
      <c r="AW143" s="697" t="str">
        <f>IFERROR(__xludf.DUMMYFUNCTION("""COMPUTED_VALUE"""),"20-40 years, Mean Age 31")</f>
        <v>20-40 years, Mean Age 31</v>
      </c>
      <c r="AX143" s="697" t="str">
        <f>IFERROR(__xludf.DUMMYFUNCTION("""COMPUTED_VALUE"""),"20-40")</f>
        <v>20-40</v>
      </c>
      <c r="AY143" s="697" t="str">
        <f>IFERROR(__xludf.DUMMYFUNCTION("""COMPUTED_VALUE"""),"Yes")</f>
        <v>Yes</v>
      </c>
      <c r="AZ143" s="697" t="str">
        <f>IFERROR(__xludf.DUMMYFUNCTION("""COMPUTED_VALUE"""),"Yes")</f>
        <v>Yes</v>
      </c>
      <c r="BA143" s="697"/>
      <c r="BB143" s="697"/>
      <c r="BC143" s="697" t="str">
        <f>IFERROR(__xludf.DUMMYFUNCTION("""COMPUTED_VALUE"""),"DEC is more effective than metrifonate and remains the 'reference' microfilaricide although its effects are more severe than those of metrifonate")</f>
        <v>DEC is more effective than metrifonate and remains the 'reference' microfilaricide although its effects are more severe than those of metrifonate</v>
      </c>
      <c r="BD143" s="697" t="str">
        <f>IFERROR(__xludf.DUMMYFUNCTION("""COMPUTED_VALUE"""),"2 patients from the DEC group moved from the village and 1 patient from the metrifonate group did not attend.")</f>
        <v>2 patients from the DEC group moved from the village and 1 patient from the metrifonate group did not attend.</v>
      </c>
      <c r="BE143" s="697"/>
      <c r="BF143" s="697"/>
      <c r="BG143" s="697"/>
    </row>
    <row r="144">
      <c r="A144" s="697"/>
      <c r="B144" s="697" t="str">
        <f>IFERROR(__xludf.DUMMYFUNCTION("""COMPUTED_VALUE"""),"Dadzie et al.")</f>
        <v>Dadzie et al.</v>
      </c>
      <c r="C144" s="697" t="str">
        <f>IFERROR(__xludf.DUMMYFUNCTION("""COMPUTED_VALUE"""),"Ghana")</f>
        <v>Ghana</v>
      </c>
      <c r="D144" s="697" t="str">
        <f>IFERROR(__xludf.DUMMYFUNCTION("""COMPUTED_VALUE"""),"Ivermectin")</f>
        <v>Ivermectin</v>
      </c>
      <c r="E144" s="697" t="str">
        <f>IFERROR(__xludf.DUMMYFUNCTION("""COMPUTED_VALUE"""),"150 ug/kg")</f>
        <v>150 ug/kg</v>
      </c>
      <c r="F144" s="697">
        <f>IFERROR(__xludf.DUMMYFUNCTION("""COMPUTED_VALUE"""),1.0)</f>
        <v>1</v>
      </c>
      <c r="G144" s="697" t="str">
        <f>IFERROR(__xludf.DUMMYFUNCTION("""COMPUTED_VALUE"""),"150 ug/kg")</f>
        <v>150 ug/kg</v>
      </c>
      <c r="H144" s="697"/>
      <c r="I144" s="697"/>
      <c r="J144" s="697"/>
      <c r="K144" s="697"/>
      <c r="L144" s="697"/>
      <c r="M144" s="697"/>
      <c r="N144" s="697"/>
      <c r="O144" s="697"/>
      <c r="P144" s="697"/>
      <c r="Q144" s="697"/>
      <c r="R144" s="698">
        <f>IFERROR(__xludf.DUMMYFUNCTION("""COMPUTED_VALUE"""),0.982)</f>
        <v>0.982</v>
      </c>
      <c r="S144" s="697"/>
      <c r="T144" s="697"/>
      <c r="U144" s="697"/>
      <c r="V144" s="697"/>
      <c r="W144" s="698">
        <f>IFERROR(__xludf.DUMMYFUNCTION("""COMPUTED_VALUE"""),0.922)</f>
        <v>0.922</v>
      </c>
      <c r="X144" s="697"/>
      <c r="Y144" s="697"/>
      <c r="Z144" s="697"/>
      <c r="AA144" s="697"/>
      <c r="AB144" s="697"/>
      <c r="AC144" s="697"/>
      <c r="AD144" s="697"/>
      <c r="AE144" s="697"/>
      <c r="AF144" s="697"/>
      <c r="AG144" s="697"/>
      <c r="AH144" s="697"/>
      <c r="AI144" s="697"/>
      <c r="AJ144" s="697"/>
      <c r="AK144" s="697"/>
      <c r="AL144" s="697"/>
      <c r="AM144" s="697"/>
      <c r="AN144" s="698">
        <f>IFERROR(__xludf.DUMMYFUNCTION("""COMPUTED_VALUE"""),0.982)</f>
        <v>0.982</v>
      </c>
      <c r="AO144" s="698">
        <f>IFERROR(__xludf.DUMMYFUNCTION("""COMPUTED_VALUE"""),0.982)</f>
        <v>0.982</v>
      </c>
      <c r="AP144" s="697" t="str">
        <f>IFERROR(__xludf.DUMMYFUNCTION("""COMPUTED_VALUE"""),"Mf reduction")</f>
        <v>Mf reduction</v>
      </c>
      <c r="AQ144" s="697"/>
      <c r="AR144" s="697">
        <f>IFERROR(__xludf.DUMMYFUNCTION("""COMPUTED_VALUE"""),1990.0)</f>
        <v>1990</v>
      </c>
      <c r="AS144" s="697">
        <f>IFERROR(__xludf.DUMMYFUNCTION("""COMPUTED_VALUE"""),167.0)</f>
        <v>167</v>
      </c>
      <c r="AT144" s="697" t="str">
        <f>IFERROR(__xludf.DUMMYFUNCTION("""COMPUTED_VALUE"""),"1 year")</f>
        <v>1 year</v>
      </c>
      <c r="AU144" s="699" t="str">
        <f>IFERROR(__xludf.DUMMYFUNCTION("""COMPUTED_VALUE"""),"Dadzie, K.Y.; Remme, J.; Alley, E.S.; de Sole, G. Changes in ocular onchocerciasis four and twelve months after community-based treatment with ivermectin in a holoendemic onchocerciasis focus. (1990) Transactions of the Royal Society of Tropical Medicine "&amp;"and Hygiene 84:103-108.")</f>
        <v>Dadzie, K.Y.; Remme, J.; Alley, E.S.; de Sole, G. Changes in ocular onchocerciasis four and twelve months after community-based treatment with ivermectin in a holoendemic onchocerciasis focus. (1990) Transactions of the Royal Society of Tropical Medicine and Hygiene 84:103-108.</v>
      </c>
      <c r="AV144" s="697"/>
      <c r="AW144" s="697" t="str">
        <f>IFERROR(__xludf.DUMMYFUNCTION("""COMPUTED_VALUE"""),"&gt;5 years")</f>
        <v>&gt;5 years</v>
      </c>
      <c r="AX144" s="697" t="str">
        <f>IFERROR(__xludf.DUMMYFUNCTION("""COMPUTED_VALUE"""),"Exclusion criteria: children under the age of 5 years or weighting less than 15 kg, women who were pregnant or breastfeeding a baby less than 1 month old, and people with jaundice, severe amnesia, a disease of the central nervous system, or other severe i"&amp;"llness.")</f>
        <v>Exclusion criteria: children under the age of 5 years or weighting less than 15 kg, women who were pregnant or breastfeeding a baby less than 1 month old, and people with jaundice, severe amnesia, a disease of the central nervous system, or other severe illness.</v>
      </c>
      <c r="AY144" s="697" t="str">
        <f>IFERROR(__xludf.DUMMYFUNCTION("""COMPUTED_VALUE"""),"No")</f>
        <v>No</v>
      </c>
      <c r="AZ144" s="697" t="str">
        <f>IFERROR(__xludf.DUMMYFUNCTION("""COMPUTED_VALUE"""),"No")</f>
        <v>No</v>
      </c>
      <c r="BA144" s="697"/>
      <c r="BB144" s="697"/>
      <c r="BC144" s="697" t="str">
        <f>IFERROR(__xludf.DUMMYFUNCTION("""COMPUTED_VALUE"""),"In view of the substantial increase of ocular mf loads after 12 months, 6-monthly treatment may be indicated in such highly endemic foci.")</f>
        <v>In view of the substantial increase of ocular mf loads after 12 months, 6-monthly treatment may be indicated in such highly endemic foci.</v>
      </c>
      <c r="BD144" s="697"/>
      <c r="BE144" s="697"/>
      <c r="BF144" s="697"/>
      <c r="BG144" s="697" t="str">
        <f>IFERROR(__xludf.DUMMYFUNCTION("""COMPUTED_VALUE"""),"x")</f>
        <v>x</v>
      </c>
    </row>
    <row r="145">
      <c r="A145" s="697"/>
      <c r="B145" s="697" t="str">
        <f>IFERROR(__xludf.DUMMYFUNCTION("""COMPUTED_VALUE"""),"Dadzie et al.")</f>
        <v>Dadzie et al.</v>
      </c>
      <c r="C145" s="697" t="str">
        <f>IFERROR(__xludf.DUMMYFUNCTION("""COMPUTED_VALUE"""),"Ghana")</f>
        <v>Ghana</v>
      </c>
      <c r="D145" s="697" t="str">
        <f>IFERROR(__xludf.DUMMYFUNCTION("""COMPUTED_VALUE"""),"Ivermectin")</f>
        <v>Ivermectin</v>
      </c>
      <c r="E145" s="697" t="str">
        <f>IFERROR(__xludf.DUMMYFUNCTION("""COMPUTED_VALUE"""),"150 ug/kg")</f>
        <v>150 ug/kg</v>
      </c>
      <c r="F145" s="697">
        <f>IFERROR(__xludf.DUMMYFUNCTION("""COMPUTED_VALUE"""),1.0)</f>
        <v>1</v>
      </c>
      <c r="G145" s="697" t="str">
        <f>IFERROR(__xludf.DUMMYFUNCTION("""COMPUTED_VALUE"""),"150 ug/kg")</f>
        <v>150 ug/kg</v>
      </c>
      <c r="H145" s="697"/>
      <c r="I145" s="697"/>
      <c r="J145" s="697"/>
      <c r="K145" s="697"/>
      <c r="L145" s="697"/>
      <c r="M145" s="697"/>
      <c r="N145" s="697"/>
      <c r="O145" s="697"/>
      <c r="P145" s="697"/>
      <c r="Q145" s="697"/>
      <c r="R145" s="698">
        <f>IFERROR(__xludf.DUMMYFUNCTION("""COMPUTED_VALUE"""),0.938)</f>
        <v>0.938</v>
      </c>
      <c r="S145" s="697"/>
      <c r="T145" s="697"/>
      <c r="U145" s="697"/>
      <c r="V145" s="697"/>
      <c r="W145" s="698">
        <f>IFERROR(__xludf.DUMMYFUNCTION("""COMPUTED_VALUE"""),0.667)</f>
        <v>0.667</v>
      </c>
      <c r="X145" s="697"/>
      <c r="Y145" s="697"/>
      <c r="Z145" s="697"/>
      <c r="AA145" s="697"/>
      <c r="AB145" s="697"/>
      <c r="AC145" s="697"/>
      <c r="AD145" s="697"/>
      <c r="AE145" s="697"/>
      <c r="AF145" s="697"/>
      <c r="AG145" s="697"/>
      <c r="AH145" s="697"/>
      <c r="AI145" s="697"/>
      <c r="AJ145" s="697"/>
      <c r="AK145" s="697"/>
      <c r="AL145" s="697"/>
      <c r="AM145" s="697"/>
      <c r="AN145" s="698">
        <f>IFERROR(__xludf.DUMMYFUNCTION("""COMPUTED_VALUE"""),0.938)</f>
        <v>0.938</v>
      </c>
      <c r="AO145" s="698">
        <f>IFERROR(__xludf.DUMMYFUNCTION("""COMPUTED_VALUE"""),0.938)</f>
        <v>0.938</v>
      </c>
      <c r="AP145" s="697" t="str">
        <f>IFERROR(__xludf.DUMMYFUNCTION("""COMPUTED_VALUE"""),"Mf reduction")</f>
        <v>Mf reduction</v>
      </c>
      <c r="AQ145" s="697"/>
      <c r="AR145" s="697">
        <f>IFERROR(__xludf.DUMMYFUNCTION("""COMPUTED_VALUE"""),1990.0)</f>
        <v>1990</v>
      </c>
      <c r="AS145" s="697">
        <f>IFERROR(__xludf.DUMMYFUNCTION("""COMPUTED_VALUE"""),48.0)</f>
        <v>48</v>
      </c>
      <c r="AT145" s="697" t="str">
        <f>IFERROR(__xludf.DUMMYFUNCTION("""COMPUTED_VALUE"""),"1 year")</f>
        <v>1 year</v>
      </c>
      <c r="AU145" s="699" t="str">
        <f>IFERROR(__xludf.DUMMYFUNCTION("""COMPUTED_VALUE"""),"Dadzie, K.Y.; Remme, J.; Alley, E.S.; de Sole, G. Changes in ocular onchocerciasis four and twelve months after community-based treatment with ivermectin in a holoendemic onchocerciasis focus. (1990) Transactions of the Royal Society of Tropical Medicine "&amp;"and Hygiene 84:103-108.")</f>
        <v>Dadzie, K.Y.; Remme, J.; Alley, E.S.; de Sole, G. Changes in ocular onchocerciasis four and twelve months after community-based treatment with ivermectin in a holoendemic onchocerciasis focus. (1990) Transactions of the Royal Society of Tropical Medicine and Hygiene 84:103-108.</v>
      </c>
      <c r="AV145" s="697"/>
      <c r="AW145" s="697" t="str">
        <f>IFERROR(__xludf.DUMMYFUNCTION("""COMPUTED_VALUE"""),"&gt;5 years")</f>
        <v>&gt;5 years</v>
      </c>
      <c r="AX145" s="697" t="str">
        <f>IFERROR(__xludf.DUMMYFUNCTION("""COMPUTED_VALUE"""),"Exclusion criteria: children under the age of 5 years or weighting less than 15 kg, women who were pregnant or breastfeeding a baby less than 1 month old, and people with jaundice, severe amnesia, a disease of the central nervous system, or other severe i"&amp;"llness.")</f>
        <v>Exclusion criteria: children under the age of 5 years or weighting less than 15 kg, women who were pregnant or breastfeeding a baby less than 1 month old, and people with jaundice, severe amnesia, a disease of the central nervous system, or other severe illness.</v>
      </c>
      <c r="AY145" s="697" t="str">
        <f>IFERROR(__xludf.DUMMYFUNCTION("""COMPUTED_VALUE"""),"No")</f>
        <v>No</v>
      </c>
      <c r="AZ145" s="697" t="str">
        <f>IFERROR(__xludf.DUMMYFUNCTION("""COMPUTED_VALUE"""),"No")</f>
        <v>No</v>
      </c>
      <c r="BA145" s="697"/>
      <c r="BB145" s="697"/>
      <c r="BC145" s="697" t="str">
        <f>IFERROR(__xludf.DUMMYFUNCTION("""COMPUTED_VALUE"""),"In view of the substantial increase of ocular mf loads after 12 months, 6-monthly treatment may be indicated in such highly endemic foci.")</f>
        <v>In view of the substantial increase of ocular mf loads after 12 months, 6-monthly treatment may be indicated in such highly endemic foci.</v>
      </c>
      <c r="BD145" s="697"/>
      <c r="BE145" s="697"/>
      <c r="BF145" s="697"/>
      <c r="BG145" s="697" t="str">
        <f>IFERROR(__xludf.DUMMYFUNCTION("""COMPUTED_VALUE"""),"x")</f>
        <v>x</v>
      </c>
    </row>
    <row r="146">
      <c r="A146" s="697"/>
      <c r="B146" s="697" t="str">
        <f>IFERROR(__xludf.DUMMYFUNCTION("""COMPUTED_VALUE"""),"Dadzie et al.")</f>
        <v>Dadzie et al.</v>
      </c>
      <c r="C146" s="697" t="str">
        <f>IFERROR(__xludf.DUMMYFUNCTION("""COMPUTED_VALUE"""),"Ghana")</f>
        <v>Ghana</v>
      </c>
      <c r="D146" s="697" t="str">
        <f>IFERROR(__xludf.DUMMYFUNCTION("""COMPUTED_VALUE"""),"Ivermectin")</f>
        <v>Ivermectin</v>
      </c>
      <c r="E146" s="697" t="str">
        <f>IFERROR(__xludf.DUMMYFUNCTION("""COMPUTED_VALUE"""),"150 ug/kg")</f>
        <v>150 ug/kg</v>
      </c>
      <c r="F146" s="697">
        <f>IFERROR(__xludf.DUMMYFUNCTION("""COMPUTED_VALUE"""),1.0)</f>
        <v>1</v>
      </c>
      <c r="G146" s="697" t="str">
        <f>IFERROR(__xludf.DUMMYFUNCTION("""COMPUTED_VALUE"""),"150 ug/kg")</f>
        <v>150 ug/kg</v>
      </c>
      <c r="H146" s="697"/>
      <c r="I146" s="697"/>
      <c r="J146" s="697"/>
      <c r="K146" s="697"/>
      <c r="L146" s="697"/>
      <c r="M146" s="697"/>
      <c r="N146" s="697"/>
      <c r="O146" s="697"/>
      <c r="P146" s="697"/>
      <c r="Q146" s="697"/>
      <c r="R146" s="698">
        <f>IFERROR(__xludf.DUMMYFUNCTION("""COMPUTED_VALUE"""),0.906)</f>
        <v>0.906</v>
      </c>
      <c r="S146" s="697"/>
      <c r="T146" s="697"/>
      <c r="U146" s="697"/>
      <c r="V146" s="697"/>
      <c r="W146" s="698">
        <f>IFERROR(__xludf.DUMMYFUNCTION("""COMPUTED_VALUE"""),0.469)</f>
        <v>0.469</v>
      </c>
      <c r="X146" s="697"/>
      <c r="Y146" s="697"/>
      <c r="Z146" s="697"/>
      <c r="AA146" s="697"/>
      <c r="AB146" s="697"/>
      <c r="AC146" s="697"/>
      <c r="AD146" s="697"/>
      <c r="AE146" s="697"/>
      <c r="AF146" s="697"/>
      <c r="AG146" s="697"/>
      <c r="AH146" s="697"/>
      <c r="AI146" s="697"/>
      <c r="AJ146" s="697"/>
      <c r="AK146" s="697"/>
      <c r="AL146" s="697"/>
      <c r="AM146" s="697"/>
      <c r="AN146" s="698">
        <f>IFERROR(__xludf.DUMMYFUNCTION("""COMPUTED_VALUE"""),0.906)</f>
        <v>0.906</v>
      </c>
      <c r="AO146" s="698">
        <f>IFERROR(__xludf.DUMMYFUNCTION("""COMPUTED_VALUE"""),0.906)</f>
        <v>0.906</v>
      </c>
      <c r="AP146" s="697" t="str">
        <f>IFERROR(__xludf.DUMMYFUNCTION("""COMPUTED_VALUE"""),"Mf reduction")</f>
        <v>Mf reduction</v>
      </c>
      <c r="AQ146" s="697"/>
      <c r="AR146" s="697">
        <f>IFERROR(__xludf.DUMMYFUNCTION("""COMPUTED_VALUE"""),1990.0)</f>
        <v>1990</v>
      </c>
      <c r="AS146" s="697">
        <f>IFERROR(__xludf.DUMMYFUNCTION("""COMPUTED_VALUE"""),32.0)</f>
        <v>32</v>
      </c>
      <c r="AT146" s="697" t="str">
        <f>IFERROR(__xludf.DUMMYFUNCTION("""COMPUTED_VALUE"""),"1 year")</f>
        <v>1 year</v>
      </c>
      <c r="AU146" s="699" t="str">
        <f>IFERROR(__xludf.DUMMYFUNCTION("""COMPUTED_VALUE"""),"Dadzie, K.Y.; Remme, J.; Alley, E.S.; de Sole, G. Changes in ocular onchocerciasis four and twelve months after community-based treatment with ivermectin in a holoendemic onchocerciasis focus. (1990) Transactions of the Royal Society of Tropical Medicine "&amp;"and Hygiene 84:103-108.")</f>
        <v>Dadzie, K.Y.; Remme, J.; Alley, E.S.; de Sole, G. Changes in ocular onchocerciasis four and twelve months after community-based treatment with ivermectin in a holoendemic onchocerciasis focus. (1990) Transactions of the Royal Society of Tropical Medicine and Hygiene 84:103-108.</v>
      </c>
      <c r="AV146" s="697"/>
      <c r="AW146" s="697" t="str">
        <f>IFERROR(__xludf.DUMMYFUNCTION("""COMPUTED_VALUE"""),"&gt;5 years")</f>
        <v>&gt;5 years</v>
      </c>
      <c r="AX146" s="697" t="str">
        <f>IFERROR(__xludf.DUMMYFUNCTION("""COMPUTED_VALUE"""),"Exclusion criteria: children under the age of 5 years or weighting less than 15 kg, women who were pregnant or breastfeeding a baby less than 1 month old, and people with jaundice, severe amnesia, a disease of the central nervous system, or other severe i"&amp;"llness.")</f>
        <v>Exclusion criteria: children under the age of 5 years or weighting less than 15 kg, women who were pregnant or breastfeeding a baby less than 1 month old, and people with jaundice, severe amnesia, a disease of the central nervous system, or other severe illness.</v>
      </c>
      <c r="AY146" s="697" t="str">
        <f>IFERROR(__xludf.DUMMYFUNCTION("""COMPUTED_VALUE"""),"No")</f>
        <v>No</v>
      </c>
      <c r="AZ146" s="697" t="str">
        <f>IFERROR(__xludf.DUMMYFUNCTION("""COMPUTED_VALUE"""),"No")</f>
        <v>No</v>
      </c>
      <c r="BA146" s="697"/>
      <c r="BB146" s="697"/>
      <c r="BC146" s="697" t="str">
        <f>IFERROR(__xludf.DUMMYFUNCTION("""COMPUTED_VALUE"""),"In view of the substantial increase of ocular mf loads after 12 months, 6-monthly treatment may be indicated in such highly endemic foci.")</f>
        <v>In view of the substantial increase of ocular mf loads after 12 months, 6-monthly treatment may be indicated in such highly endemic foci.</v>
      </c>
      <c r="BD146" s="697"/>
      <c r="BE146" s="697"/>
      <c r="BF146" s="697"/>
      <c r="BG146" s="697" t="str">
        <f>IFERROR(__xludf.DUMMYFUNCTION("""COMPUTED_VALUE"""),"x")</f>
        <v>x</v>
      </c>
    </row>
    <row r="147">
      <c r="A147" s="697"/>
      <c r="B147" s="697" t="str">
        <f>IFERROR(__xludf.DUMMYFUNCTION("""COMPUTED_VALUE"""),"Dadzie et al.")</f>
        <v>Dadzie et al.</v>
      </c>
      <c r="C147" s="697" t="str">
        <f>IFERROR(__xludf.DUMMYFUNCTION("""COMPUTED_VALUE"""),"Ghana")</f>
        <v>Ghana</v>
      </c>
      <c r="D147" s="697" t="str">
        <f>IFERROR(__xludf.DUMMYFUNCTION("""COMPUTED_VALUE"""),"Ivermectin")</f>
        <v>Ivermectin</v>
      </c>
      <c r="E147" s="697" t="str">
        <f>IFERROR(__xludf.DUMMYFUNCTION("""COMPUTED_VALUE"""),"150 ug/kg")</f>
        <v>150 ug/kg</v>
      </c>
      <c r="F147" s="697">
        <f>IFERROR(__xludf.DUMMYFUNCTION("""COMPUTED_VALUE"""),1.0)</f>
        <v>1</v>
      </c>
      <c r="G147" s="697" t="str">
        <f>IFERROR(__xludf.DUMMYFUNCTION("""COMPUTED_VALUE"""),"150 ug/kg")</f>
        <v>150 ug/kg</v>
      </c>
      <c r="H147" s="697"/>
      <c r="I147" s="697"/>
      <c r="J147" s="697"/>
      <c r="K147" s="697"/>
      <c r="L147" s="697"/>
      <c r="M147" s="697"/>
      <c r="N147" s="697"/>
      <c r="O147" s="697"/>
      <c r="P147" s="697"/>
      <c r="Q147" s="697"/>
      <c r="R147" s="698">
        <f>IFERROR(__xludf.DUMMYFUNCTION("""COMPUTED_VALUE"""),0.663)</f>
        <v>0.663</v>
      </c>
      <c r="S147" s="697"/>
      <c r="T147" s="697"/>
      <c r="U147" s="697"/>
      <c r="V147" s="697"/>
      <c r="W147" s="698">
        <f>IFERROR(__xludf.DUMMYFUNCTION("""COMPUTED_VALUE"""),0.326)</f>
        <v>0.326</v>
      </c>
      <c r="X147" s="697"/>
      <c r="Y147" s="697"/>
      <c r="Z147" s="697"/>
      <c r="AA147" s="697"/>
      <c r="AB147" s="697"/>
      <c r="AC147" s="697"/>
      <c r="AD147" s="697"/>
      <c r="AE147" s="697"/>
      <c r="AF147" s="697"/>
      <c r="AG147" s="697"/>
      <c r="AH147" s="697"/>
      <c r="AI147" s="697"/>
      <c r="AJ147" s="697"/>
      <c r="AK147" s="697"/>
      <c r="AL147" s="697"/>
      <c r="AM147" s="697"/>
      <c r="AN147" s="698">
        <f>IFERROR(__xludf.DUMMYFUNCTION("""COMPUTED_VALUE"""),0.663)</f>
        <v>0.663</v>
      </c>
      <c r="AO147" s="698">
        <f>IFERROR(__xludf.DUMMYFUNCTION("""COMPUTED_VALUE"""),0.663)</f>
        <v>0.663</v>
      </c>
      <c r="AP147" s="697" t="str">
        <f>IFERROR(__xludf.DUMMYFUNCTION("""COMPUTED_VALUE"""),"Mf reduction")</f>
        <v>Mf reduction</v>
      </c>
      <c r="AQ147" s="697"/>
      <c r="AR147" s="697">
        <f>IFERROR(__xludf.DUMMYFUNCTION("""COMPUTED_VALUE"""),1990.0)</f>
        <v>1990</v>
      </c>
      <c r="AS147" s="697">
        <f>IFERROR(__xludf.DUMMYFUNCTION("""COMPUTED_VALUE"""),92.0)</f>
        <v>92</v>
      </c>
      <c r="AT147" s="697" t="str">
        <f>IFERROR(__xludf.DUMMYFUNCTION("""COMPUTED_VALUE"""),"1 year")</f>
        <v>1 year</v>
      </c>
      <c r="AU147" s="699" t="str">
        <f>IFERROR(__xludf.DUMMYFUNCTION("""COMPUTED_VALUE"""),"Dadzie, K.Y.; Remme, J.; Alley, E.S.; de Sole, G. Changes in ocular onchocerciasis four and twelve months after community-based treatment with ivermectin in a holoendemic onchocerciasis focus. (1990) Transactions of the Royal Society of Tropical Medicine "&amp;"and Hygiene 84:103-108.")</f>
        <v>Dadzie, K.Y.; Remme, J.; Alley, E.S.; de Sole, G. Changes in ocular onchocerciasis four and twelve months after community-based treatment with ivermectin in a holoendemic onchocerciasis focus. (1990) Transactions of the Royal Society of Tropical Medicine and Hygiene 84:103-108.</v>
      </c>
      <c r="AV147" s="697"/>
      <c r="AW147" s="697" t="str">
        <f>IFERROR(__xludf.DUMMYFUNCTION("""COMPUTED_VALUE"""),"&gt;5 years")</f>
        <v>&gt;5 years</v>
      </c>
      <c r="AX147" s="697" t="str">
        <f>IFERROR(__xludf.DUMMYFUNCTION("""COMPUTED_VALUE"""),"Exclusion criteria: children under the age of 5 years or weighting less than 15 kg, women who were pregnant or breastfeeding a baby less than 1 month old, and people with jaundice, severe amnesia, a disease of the central nervous system, or other severe i"&amp;"llness.")</f>
        <v>Exclusion criteria: children under the age of 5 years or weighting less than 15 kg, women who were pregnant or breastfeeding a baby less than 1 month old, and people with jaundice, severe amnesia, a disease of the central nervous system, or other severe illness.</v>
      </c>
      <c r="AY147" s="697" t="str">
        <f>IFERROR(__xludf.DUMMYFUNCTION("""COMPUTED_VALUE"""),"No")</f>
        <v>No</v>
      </c>
      <c r="AZ147" s="697" t="str">
        <f>IFERROR(__xludf.DUMMYFUNCTION("""COMPUTED_VALUE"""),"No")</f>
        <v>No</v>
      </c>
      <c r="BA147" s="697"/>
      <c r="BB147" s="697"/>
      <c r="BC147" s="697" t="str">
        <f>IFERROR(__xludf.DUMMYFUNCTION("""COMPUTED_VALUE"""),"In view of the substantial increase of ocular mf loads after 12 months, 6-monthly treatment may be indicated in such highly endemic foci.")</f>
        <v>In view of the substantial increase of ocular mf loads after 12 months, 6-monthly treatment may be indicated in such highly endemic foci.</v>
      </c>
      <c r="BD147" s="697"/>
      <c r="BE147" s="697"/>
      <c r="BF147" s="697"/>
      <c r="BG147" s="697" t="str">
        <f>IFERROR(__xludf.DUMMYFUNCTION("""COMPUTED_VALUE"""),"x")</f>
        <v>x</v>
      </c>
    </row>
    <row r="148">
      <c r="A148" s="697"/>
      <c r="B148" s="697" t="str">
        <f>IFERROR(__xludf.DUMMYFUNCTION("""COMPUTED_VALUE"""),"Dadzie et al.")</f>
        <v>Dadzie et al.</v>
      </c>
      <c r="C148" s="697" t="str">
        <f>IFERROR(__xludf.DUMMYFUNCTION("""COMPUTED_VALUE"""),"Ghana")</f>
        <v>Ghana</v>
      </c>
      <c r="D148" s="697" t="str">
        <f>IFERROR(__xludf.DUMMYFUNCTION("""COMPUTED_VALUE"""),"Ivermectin")</f>
        <v>Ivermectin</v>
      </c>
      <c r="E148" s="697" t="str">
        <f>IFERROR(__xludf.DUMMYFUNCTION("""COMPUTED_VALUE"""),"150 ug/kg")</f>
        <v>150 ug/kg</v>
      </c>
      <c r="F148" s="697">
        <f>IFERROR(__xludf.DUMMYFUNCTION("""COMPUTED_VALUE"""),1.0)</f>
        <v>1</v>
      </c>
      <c r="G148" s="697" t="str">
        <f>IFERROR(__xludf.DUMMYFUNCTION("""COMPUTED_VALUE"""),"150 ug/kg")</f>
        <v>150 ug/kg</v>
      </c>
      <c r="H148" s="697"/>
      <c r="I148" s="697"/>
      <c r="J148" s="697"/>
      <c r="K148" s="697"/>
      <c r="L148" s="697"/>
      <c r="M148" s="697"/>
      <c r="N148" s="697"/>
      <c r="O148" s="697"/>
      <c r="P148" s="697"/>
      <c r="Q148" s="697"/>
      <c r="R148" s="698">
        <f>IFERROR(__xludf.DUMMYFUNCTION("""COMPUTED_VALUE"""),0.077)</f>
        <v>0.077</v>
      </c>
      <c r="S148" s="697"/>
      <c r="T148" s="697"/>
      <c r="U148" s="697"/>
      <c r="V148" s="697"/>
      <c r="W148" s="698">
        <f>IFERROR(__xludf.DUMMYFUNCTION("""COMPUTED_VALUE"""),0.0)</f>
        <v>0</v>
      </c>
      <c r="X148" s="697"/>
      <c r="Y148" s="697"/>
      <c r="Z148" s="697"/>
      <c r="AA148" s="697"/>
      <c r="AB148" s="697"/>
      <c r="AC148" s="697"/>
      <c r="AD148" s="697"/>
      <c r="AE148" s="697"/>
      <c r="AF148" s="697"/>
      <c r="AG148" s="697"/>
      <c r="AH148" s="697"/>
      <c r="AI148" s="697"/>
      <c r="AJ148" s="697"/>
      <c r="AK148" s="697"/>
      <c r="AL148" s="697"/>
      <c r="AM148" s="697"/>
      <c r="AN148" s="698">
        <f>IFERROR(__xludf.DUMMYFUNCTION("""COMPUTED_VALUE"""),0.077)</f>
        <v>0.077</v>
      </c>
      <c r="AO148" s="698">
        <f>IFERROR(__xludf.DUMMYFUNCTION("""COMPUTED_VALUE"""),0.077)</f>
        <v>0.077</v>
      </c>
      <c r="AP148" s="697" t="str">
        <f>IFERROR(__xludf.DUMMYFUNCTION("""COMPUTED_VALUE"""),"Mf reduction")</f>
        <v>Mf reduction</v>
      </c>
      <c r="AQ148" s="697"/>
      <c r="AR148" s="697">
        <f>IFERROR(__xludf.DUMMYFUNCTION("""COMPUTED_VALUE"""),1990.0)</f>
        <v>1990</v>
      </c>
      <c r="AS148" s="697">
        <f>IFERROR(__xludf.DUMMYFUNCTION("""COMPUTED_VALUE"""),26.0)</f>
        <v>26</v>
      </c>
      <c r="AT148" s="697" t="str">
        <f>IFERROR(__xludf.DUMMYFUNCTION("""COMPUTED_VALUE"""),"1 year")</f>
        <v>1 year</v>
      </c>
      <c r="AU148" s="699" t="str">
        <f>IFERROR(__xludf.DUMMYFUNCTION("""COMPUTED_VALUE"""),"Dadzie, K.Y.; Remme, J.; Alley, E.S.; de Sole, G. Changes in ocular onchocerciasis four and twelve months after community-based treatment with ivermectin in a holoendemic onchocerciasis focus. (1990) Transactions of the Royal Society of Tropical Medicine "&amp;"and Hygiene 84:103-108.")</f>
        <v>Dadzie, K.Y.; Remme, J.; Alley, E.S.; de Sole, G. Changes in ocular onchocerciasis four and twelve months after community-based treatment with ivermectin in a holoendemic onchocerciasis focus. (1990) Transactions of the Royal Society of Tropical Medicine and Hygiene 84:103-108.</v>
      </c>
      <c r="AV148" s="697"/>
      <c r="AW148" s="697" t="str">
        <f>IFERROR(__xludf.DUMMYFUNCTION("""COMPUTED_VALUE"""),"&gt;5 years")</f>
        <v>&gt;5 years</v>
      </c>
      <c r="AX148" s="697" t="str">
        <f>IFERROR(__xludf.DUMMYFUNCTION("""COMPUTED_VALUE"""),"Exclusion criteria: children under the age of 5 years or weighting less than 15 kg, women who were pregnant or breastfeeding a baby less than 1 month old, and people with jaundice, severe amnesia, a disease of the central nervous system, or other severe i"&amp;"llness.")</f>
        <v>Exclusion criteria: children under the age of 5 years or weighting less than 15 kg, women who were pregnant or breastfeeding a baby less than 1 month old, and people with jaundice, severe amnesia, a disease of the central nervous system, or other severe illness.</v>
      </c>
      <c r="AY148" s="697" t="str">
        <f>IFERROR(__xludf.DUMMYFUNCTION("""COMPUTED_VALUE"""),"No")</f>
        <v>No</v>
      </c>
      <c r="AZ148" s="697" t="str">
        <f>IFERROR(__xludf.DUMMYFUNCTION("""COMPUTED_VALUE"""),"No")</f>
        <v>No</v>
      </c>
      <c r="BA148" s="697"/>
      <c r="BB148" s="697"/>
      <c r="BC148" s="697" t="str">
        <f>IFERROR(__xludf.DUMMYFUNCTION("""COMPUTED_VALUE"""),"In view of the substantial increase of ocular mf loads after 12 months, 6-monthly treatment may be indicated in such highly endemic foci.")</f>
        <v>In view of the substantial increase of ocular mf loads after 12 months, 6-monthly treatment may be indicated in such highly endemic foci.</v>
      </c>
      <c r="BD148" s="697"/>
      <c r="BE148" s="697"/>
      <c r="BF148" s="697"/>
      <c r="BG148" s="697" t="str">
        <f>IFERROR(__xludf.DUMMYFUNCTION("""COMPUTED_VALUE"""),"x")</f>
        <v>x</v>
      </c>
    </row>
    <row r="149">
      <c r="A149" s="697"/>
      <c r="B149" s="697" t="str">
        <f>IFERROR(__xludf.DUMMYFUNCTION("""COMPUTED_VALUE"""),"Duke")</f>
        <v>Duke</v>
      </c>
      <c r="C149" s="697" t="str">
        <f>IFERROR(__xludf.DUMMYFUNCTION("""COMPUTED_VALUE"""),"Cameroon")</f>
        <v>Cameroon</v>
      </c>
      <c r="D149" s="697" t="str">
        <f>IFERROR(__xludf.DUMMYFUNCTION("""COMPUTED_VALUE"""),"Suramin")</f>
        <v>Suramin</v>
      </c>
      <c r="E149" s="697" t="str">
        <f>IFERROR(__xludf.DUMMYFUNCTION("""COMPUTED_VALUE"""),"1 g ")</f>
        <v>1 g </v>
      </c>
      <c r="F149" s="697">
        <f>IFERROR(__xludf.DUMMYFUNCTION("""COMPUTED_VALUE"""),9.5)</f>
        <v>9.5</v>
      </c>
      <c r="G149" s="697" t="str">
        <f>IFERROR(__xludf.DUMMYFUNCTION("""COMPUTED_VALUE"""),"9.5 g")</f>
        <v>9.5 g</v>
      </c>
      <c r="H149" s="697"/>
      <c r="I149" s="697"/>
      <c r="J149" s="697"/>
      <c r="K149" s="697"/>
      <c r="L149" s="697"/>
      <c r="M149" s="697"/>
      <c r="N149" s="698">
        <f>IFERROR(__xludf.DUMMYFUNCTION("""COMPUTED_VALUE"""),0.921)</f>
        <v>0.921</v>
      </c>
      <c r="O149" s="697"/>
      <c r="P149" s="697"/>
      <c r="Q149" s="697"/>
      <c r="R149" s="697"/>
      <c r="S149" s="697"/>
      <c r="T149" s="698">
        <f>IFERROR(__xludf.DUMMYFUNCTION("""COMPUTED_VALUE"""),0.991)</f>
        <v>0.991</v>
      </c>
      <c r="U149" s="697"/>
      <c r="V149" s="697"/>
      <c r="W149" s="697"/>
      <c r="X149" s="697"/>
      <c r="Y149" s="697"/>
      <c r="Z149" s="697"/>
      <c r="AA149" s="698">
        <f>IFERROR(__xludf.DUMMYFUNCTION("""COMPUTED_VALUE"""),0.996)</f>
        <v>0.996</v>
      </c>
      <c r="AB149" s="697"/>
      <c r="AC149" s="697"/>
      <c r="AD149" s="697"/>
      <c r="AE149" s="697" t="str">
        <f>IFERROR(__xludf.DUMMYFUNCTION("""COMPUTED_VALUE"""),"n/a")</f>
        <v>n/a</v>
      </c>
      <c r="AF149" s="697"/>
      <c r="AG149" s="697"/>
      <c r="AH149" s="697"/>
      <c r="AI149" s="697"/>
      <c r="AJ149" s="697"/>
      <c r="AK149" s="697"/>
      <c r="AL149" s="697"/>
      <c r="AM149" s="697"/>
      <c r="AN149" s="698">
        <f>IFERROR(__xludf.DUMMYFUNCTION("""COMPUTED_VALUE"""),0.991)</f>
        <v>0.991</v>
      </c>
      <c r="AO149" s="698">
        <f>IFERROR(__xludf.DUMMYFUNCTION("""COMPUTED_VALUE"""),0.991)</f>
        <v>0.991</v>
      </c>
      <c r="AP149" s="697" t="str">
        <f>IFERROR(__xludf.DUMMYFUNCTION("""COMPUTED_VALUE"""),"Mf reduction")</f>
        <v>Mf reduction</v>
      </c>
      <c r="AQ149" s="697" t="str">
        <f>IFERROR(__xludf.DUMMYFUNCTION("""COMPUTED_VALUE"""),"Bombe &amp; Bolo-Weme-Baduma village")</f>
        <v>Bombe &amp; Bolo-Weme-Baduma village</v>
      </c>
      <c r="AR149" s="697">
        <f>IFERROR(__xludf.DUMMYFUNCTION("""COMPUTED_VALUE"""),1968.0)</f>
        <v>1968</v>
      </c>
      <c r="AS149" s="697">
        <f>IFERROR(__xludf.DUMMYFUNCTION("""COMPUTED_VALUE"""),12.0)</f>
        <v>12</v>
      </c>
      <c r="AT149" s="697" t="str">
        <f>IFERROR(__xludf.DUMMYFUNCTION("""COMPUTED_VALUE"""),"2 years 1 month")</f>
        <v>2 years 1 month</v>
      </c>
      <c r="AU149" s="699" t="str">
        <f>IFERROR(__xludf.DUMMYFUNCTION("""COMPUTED_VALUE"""),"Duke, B.O.L. The effects of drugs on Onchocerca volvulus 3. Trials of Suramin at Different Dosages and a Comparison of the Brands Antrypol, Moranyl and Naganl. (1968) Bull Org. mond. Santé Bull Wld Hlth Org. 39: 157-167")</f>
        <v>Duke, B.O.L. The effects of drugs on Onchocerca volvulus 3. Trials of Suramin at Different Dosages and a Comparison of the Brands Antrypol, Moranyl and Naganl. (1968) Bull Org. mond. Santé Bull Wld Hlth Org. 39: 157-167</v>
      </c>
      <c r="AV149" s="697"/>
      <c r="AW149" s="697"/>
      <c r="AX149" s="697"/>
      <c r="AY149" s="697" t="str">
        <f>IFERROR(__xludf.DUMMYFUNCTION("""COMPUTED_VALUE"""),"No")</f>
        <v>No</v>
      </c>
      <c r="AZ149" s="697" t="str">
        <f>IFERROR(__xludf.DUMMYFUNCTION("""COMPUTED_VALUE"""),"No")</f>
        <v>No</v>
      </c>
      <c r="BA149" s="697"/>
      <c r="BB149" s="697"/>
      <c r="BC149" s="697" t="str">
        <f>IFERROR(__xludf.DUMMYFUNCTION("""COMPUTED_VALUE"""),"No significant differences between the brands of Suramin were recorded.")</f>
        <v>No significant differences between the brands of Suramin were recorded.</v>
      </c>
      <c r="BD149" s="697"/>
      <c r="BE149" s="697"/>
      <c r="BF149" s="697"/>
      <c r="BG149" s="697"/>
    </row>
    <row r="150">
      <c r="A150" s="697"/>
      <c r="B150" s="697" t="str">
        <f>IFERROR(__xludf.DUMMYFUNCTION("""COMPUTED_VALUE"""),"Duke")</f>
        <v>Duke</v>
      </c>
      <c r="C150" s="697" t="str">
        <f>IFERROR(__xludf.DUMMYFUNCTION("""COMPUTED_VALUE"""),"Cameroon")</f>
        <v>Cameroon</v>
      </c>
      <c r="D150" s="697" t="str">
        <f>IFERROR(__xludf.DUMMYFUNCTION("""COMPUTED_VALUE"""),"Suramin")</f>
        <v>Suramin</v>
      </c>
      <c r="E150" s="697" t="str">
        <f>IFERROR(__xludf.DUMMYFUNCTION("""COMPUTED_VALUE"""),"1 g")</f>
        <v>1 g</v>
      </c>
      <c r="F150" s="697">
        <f>IFERROR(__xludf.DUMMYFUNCTION("""COMPUTED_VALUE"""),8.5)</f>
        <v>8.5</v>
      </c>
      <c r="G150" s="697" t="str">
        <f>IFERROR(__xludf.DUMMYFUNCTION("""COMPUTED_VALUE"""),"8.5 g")</f>
        <v>8.5 g</v>
      </c>
      <c r="H150" s="697"/>
      <c r="I150" s="697"/>
      <c r="J150" s="697"/>
      <c r="K150" s="697"/>
      <c r="L150" s="697"/>
      <c r="M150" s="697"/>
      <c r="N150" s="697">
        <f>IFERROR(__xludf.DUMMYFUNCTION("""COMPUTED_VALUE"""),80.7)</f>
        <v>80.7</v>
      </c>
      <c r="O150" s="697"/>
      <c r="P150" s="697"/>
      <c r="Q150" s="697"/>
      <c r="R150" s="697"/>
      <c r="S150" s="697"/>
      <c r="T150" s="698">
        <f>IFERROR(__xludf.DUMMYFUNCTION("""COMPUTED_VALUE"""),0.994)</f>
        <v>0.994</v>
      </c>
      <c r="U150" s="697"/>
      <c r="V150" s="697"/>
      <c r="W150" s="697"/>
      <c r="X150" s="697"/>
      <c r="Y150" s="697"/>
      <c r="Z150" s="697"/>
      <c r="AA150" s="698">
        <f>IFERROR(__xludf.DUMMYFUNCTION("""COMPUTED_VALUE"""),0.9955)</f>
        <v>0.9955</v>
      </c>
      <c r="AB150" s="697"/>
      <c r="AC150" s="697"/>
      <c r="AD150" s="697"/>
      <c r="AE150" s="697" t="str">
        <f>IFERROR(__xludf.DUMMYFUNCTION("""COMPUTED_VALUE"""),"n/a")</f>
        <v>n/a</v>
      </c>
      <c r="AF150" s="697"/>
      <c r="AG150" s="697"/>
      <c r="AH150" s="697"/>
      <c r="AI150" s="697"/>
      <c r="AJ150" s="697"/>
      <c r="AK150" s="697"/>
      <c r="AL150" s="697"/>
      <c r="AM150" s="697"/>
      <c r="AN150" s="698">
        <f>IFERROR(__xludf.DUMMYFUNCTION("""COMPUTED_VALUE"""),0.994)</f>
        <v>0.994</v>
      </c>
      <c r="AO150" s="698">
        <f>IFERROR(__xludf.DUMMYFUNCTION("""COMPUTED_VALUE"""),0.994)</f>
        <v>0.994</v>
      </c>
      <c r="AP150" s="697" t="str">
        <f>IFERROR(__xludf.DUMMYFUNCTION("""COMPUTED_VALUE"""),"Mf reduction")</f>
        <v>Mf reduction</v>
      </c>
      <c r="AQ150" s="697" t="str">
        <f>IFERROR(__xludf.DUMMYFUNCTION("""COMPUTED_VALUE"""),"Bombe &amp; Bolo-Weme-Baduma village")</f>
        <v>Bombe &amp; Bolo-Weme-Baduma village</v>
      </c>
      <c r="AR150" s="697">
        <f>IFERROR(__xludf.DUMMYFUNCTION("""COMPUTED_VALUE"""),1968.0)</f>
        <v>1968</v>
      </c>
      <c r="AS150" s="697">
        <f>IFERROR(__xludf.DUMMYFUNCTION("""COMPUTED_VALUE"""),4.0)</f>
        <v>4</v>
      </c>
      <c r="AT150" s="697" t="str">
        <f>IFERROR(__xludf.DUMMYFUNCTION("""COMPUTED_VALUE"""),"3 years 1 month")</f>
        <v>3 years 1 month</v>
      </c>
      <c r="AU150" s="699" t="str">
        <f>IFERROR(__xludf.DUMMYFUNCTION("""COMPUTED_VALUE"""),"Duke, B.O.L. The effects of drugs on Onchocerca volvulus 3. Trials of Suramin at Different Dosages and a Comparison of the Brands Antrypol, Moranyl and Naganl. (1968) Bull Org. mond. Santé Bull Wld Hlth Org. 39: 157-167")</f>
        <v>Duke, B.O.L. The effects of drugs on Onchocerca volvulus 3. Trials of Suramin at Different Dosages and a Comparison of the Brands Antrypol, Moranyl and Naganl. (1968) Bull Org. mond. Santé Bull Wld Hlth Org. 39: 157-167</v>
      </c>
      <c r="AV150" s="697"/>
      <c r="AW150" s="697"/>
      <c r="AX150" s="697"/>
      <c r="AY150" s="697" t="str">
        <f>IFERROR(__xludf.DUMMYFUNCTION("""COMPUTED_VALUE"""),"No")</f>
        <v>No</v>
      </c>
      <c r="AZ150" s="697" t="str">
        <f>IFERROR(__xludf.DUMMYFUNCTION("""COMPUTED_VALUE"""),"No")</f>
        <v>No</v>
      </c>
      <c r="BA150" s="697"/>
      <c r="BB150" s="697"/>
      <c r="BC150" s="697" t="str">
        <f>IFERROR(__xludf.DUMMYFUNCTION("""COMPUTED_VALUE"""),"No significant differences between the brands of Suramin were recorded.")</f>
        <v>No significant differences between the brands of Suramin were recorded.</v>
      </c>
      <c r="BD150" s="697"/>
      <c r="BE150" s="697"/>
      <c r="BF150" s="697"/>
      <c r="BG150" s="697"/>
    </row>
    <row r="151">
      <c r="A151" s="697"/>
      <c r="B151" s="697" t="str">
        <f>IFERROR(__xludf.DUMMYFUNCTION("""COMPUTED_VALUE"""),"Duke")</f>
        <v>Duke</v>
      </c>
      <c r="C151" s="697" t="str">
        <f>IFERROR(__xludf.DUMMYFUNCTION("""COMPUTED_VALUE"""),"Cameroon")</f>
        <v>Cameroon</v>
      </c>
      <c r="D151" s="697" t="str">
        <f>IFERROR(__xludf.DUMMYFUNCTION("""COMPUTED_VALUE"""),"Suramin")</f>
        <v>Suramin</v>
      </c>
      <c r="E151" s="697" t="str">
        <f>IFERROR(__xludf.DUMMYFUNCTION("""COMPUTED_VALUE"""),"1 g")</f>
        <v>1 g</v>
      </c>
      <c r="F151" s="697">
        <f>IFERROR(__xludf.DUMMYFUNCTION("""COMPUTED_VALUE"""),7.5)</f>
        <v>7.5</v>
      </c>
      <c r="G151" s="697" t="str">
        <f>IFERROR(__xludf.DUMMYFUNCTION("""COMPUTED_VALUE"""),"7.5 g")</f>
        <v>7.5 g</v>
      </c>
      <c r="H151" s="697"/>
      <c r="I151" s="697"/>
      <c r="J151" s="697"/>
      <c r="K151" s="697"/>
      <c r="L151" s="697"/>
      <c r="M151" s="697"/>
      <c r="N151" s="698">
        <f>IFERROR(__xludf.DUMMYFUNCTION("""COMPUTED_VALUE"""),0.6762)</f>
        <v>0.6762</v>
      </c>
      <c r="O151" s="697"/>
      <c r="P151" s="697"/>
      <c r="Q151" s="697"/>
      <c r="R151" s="697"/>
      <c r="S151" s="697"/>
      <c r="T151" s="698">
        <f>IFERROR(__xludf.DUMMYFUNCTION("""COMPUTED_VALUE"""),0.9661)</f>
        <v>0.9661</v>
      </c>
      <c r="U151" s="697"/>
      <c r="V151" s="697"/>
      <c r="W151" s="697"/>
      <c r="X151" s="697"/>
      <c r="Y151" s="697"/>
      <c r="Z151" s="697"/>
      <c r="AA151" s="698">
        <f>IFERROR(__xludf.DUMMYFUNCTION("""COMPUTED_VALUE"""),0.9896)</f>
        <v>0.9896</v>
      </c>
      <c r="AB151" s="697"/>
      <c r="AC151" s="697"/>
      <c r="AD151" s="697"/>
      <c r="AE151" s="697" t="str">
        <f>IFERROR(__xludf.DUMMYFUNCTION("""COMPUTED_VALUE"""),"n/a")</f>
        <v>n/a</v>
      </c>
      <c r="AF151" s="697"/>
      <c r="AG151" s="697"/>
      <c r="AH151" s="697"/>
      <c r="AI151" s="697"/>
      <c r="AJ151" s="697"/>
      <c r="AK151" s="697"/>
      <c r="AL151" s="697"/>
      <c r="AM151" s="697"/>
      <c r="AN151" s="698">
        <f>IFERROR(__xludf.DUMMYFUNCTION("""COMPUTED_VALUE"""),0.9661)</f>
        <v>0.9661</v>
      </c>
      <c r="AO151" s="698">
        <f>IFERROR(__xludf.DUMMYFUNCTION("""COMPUTED_VALUE"""),0.9661)</f>
        <v>0.9661</v>
      </c>
      <c r="AP151" s="697" t="str">
        <f>IFERROR(__xludf.DUMMYFUNCTION("""COMPUTED_VALUE"""),"Mf reduction")</f>
        <v>Mf reduction</v>
      </c>
      <c r="AQ151" s="697" t="str">
        <f>IFERROR(__xludf.DUMMYFUNCTION("""COMPUTED_VALUE"""),"Bombe &amp; Bolo-Weme-Baduma village")</f>
        <v>Bombe &amp; Bolo-Weme-Baduma village</v>
      </c>
      <c r="AR151" s="697">
        <f>IFERROR(__xludf.DUMMYFUNCTION("""COMPUTED_VALUE"""),1968.0)</f>
        <v>1968</v>
      </c>
      <c r="AS151" s="697">
        <f>IFERROR(__xludf.DUMMYFUNCTION("""COMPUTED_VALUE"""),5.0)</f>
        <v>5</v>
      </c>
      <c r="AT151" s="697" t="str">
        <f>IFERROR(__xludf.DUMMYFUNCTION("""COMPUTED_VALUE"""),"4 years 1 month")</f>
        <v>4 years 1 month</v>
      </c>
      <c r="AU151" s="699" t="str">
        <f>IFERROR(__xludf.DUMMYFUNCTION("""COMPUTED_VALUE"""),"Duke, B.O.L. The effects of drugs on Onchocerca volvulus 3. Trials of Suramin at Different Dosages and a Comparison of the Brands Antrypol, Moranyl and Naganl. (1968) Bull Org. mond. Santé Bull Wld Hlth Org. 39: 157-167")</f>
        <v>Duke, B.O.L. The effects of drugs on Onchocerca volvulus 3. Trials of Suramin at Different Dosages and a Comparison of the Brands Antrypol, Moranyl and Naganl. (1968) Bull Org. mond. Santé Bull Wld Hlth Org. 39: 157-167</v>
      </c>
      <c r="AV151" s="697"/>
      <c r="AW151" s="697"/>
      <c r="AX151" s="697"/>
      <c r="AY151" s="697" t="str">
        <f>IFERROR(__xludf.DUMMYFUNCTION("""COMPUTED_VALUE"""),"No")</f>
        <v>No</v>
      </c>
      <c r="AZ151" s="697" t="str">
        <f>IFERROR(__xludf.DUMMYFUNCTION("""COMPUTED_VALUE"""),"No")</f>
        <v>No</v>
      </c>
      <c r="BA151" s="697"/>
      <c r="BB151" s="697"/>
      <c r="BC151" s="697" t="str">
        <f>IFERROR(__xludf.DUMMYFUNCTION("""COMPUTED_VALUE"""),"No significant differences between the brands of Suramin were recorded.")</f>
        <v>No significant differences between the brands of Suramin were recorded.</v>
      </c>
      <c r="BD151" s="697"/>
      <c r="BE151" s="697"/>
      <c r="BF151" s="697"/>
      <c r="BG151" s="697"/>
    </row>
    <row r="152">
      <c r="A152" s="697"/>
      <c r="B152" s="697" t="str">
        <f>IFERROR(__xludf.DUMMYFUNCTION("""COMPUTED_VALUE"""),"Duke")</f>
        <v>Duke</v>
      </c>
      <c r="C152" s="697" t="str">
        <f>IFERROR(__xludf.DUMMYFUNCTION("""COMPUTED_VALUE"""),"Cameroon")</f>
        <v>Cameroon</v>
      </c>
      <c r="D152" s="697" t="str">
        <f>IFERROR(__xludf.DUMMYFUNCTION("""COMPUTED_VALUE"""),"Suramin")</f>
        <v>Suramin</v>
      </c>
      <c r="E152" s="697" t="str">
        <f>IFERROR(__xludf.DUMMYFUNCTION("""COMPUTED_VALUE"""),"1 g")</f>
        <v>1 g</v>
      </c>
      <c r="F152" s="697">
        <f>IFERROR(__xludf.DUMMYFUNCTION("""COMPUTED_VALUE"""),4.5)</f>
        <v>4.5</v>
      </c>
      <c r="G152" s="697" t="str">
        <f>IFERROR(__xludf.DUMMYFUNCTION("""COMPUTED_VALUE"""),"4.5 g")</f>
        <v>4.5 g</v>
      </c>
      <c r="H152" s="697"/>
      <c r="I152" s="697"/>
      <c r="J152" s="697"/>
      <c r="K152" s="697"/>
      <c r="L152" s="697"/>
      <c r="M152" s="697"/>
      <c r="N152" s="697">
        <f>IFERROR(__xludf.DUMMYFUNCTION("""COMPUTED_VALUE"""),54.125)</f>
        <v>54.125</v>
      </c>
      <c r="O152" s="697"/>
      <c r="P152" s="697"/>
      <c r="Q152" s="697"/>
      <c r="R152" s="697"/>
      <c r="S152" s="697"/>
      <c r="T152" s="698">
        <f>IFERROR(__xludf.DUMMYFUNCTION("""COMPUTED_VALUE"""),0.8551)</f>
        <v>0.8551</v>
      </c>
      <c r="U152" s="697"/>
      <c r="V152" s="697"/>
      <c r="W152" s="697"/>
      <c r="X152" s="697"/>
      <c r="Y152" s="697"/>
      <c r="Z152" s="697"/>
      <c r="AA152" s="698">
        <f>IFERROR(__xludf.DUMMYFUNCTION("""COMPUTED_VALUE"""),0.9145)</f>
        <v>0.9145</v>
      </c>
      <c r="AB152" s="697"/>
      <c r="AC152" s="697"/>
      <c r="AD152" s="697"/>
      <c r="AE152" s="697" t="str">
        <f>IFERROR(__xludf.DUMMYFUNCTION("""COMPUTED_VALUE"""),"n/a")</f>
        <v>n/a</v>
      </c>
      <c r="AF152" s="697"/>
      <c r="AG152" s="697"/>
      <c r="AH152" s="697"/>
      <c r="AI152" s="697"/>
      <c r="AJ152" s="697"/>
      <c r="AK152" s="697"/>
      <c r="AL152" s="697"/>
      <c r="AM152" s="697"/>
      <c r="AN152" s="698">
        <f>IFERROR(__xludf.DUMMYFUNCTION("""COMPUTED_VALUE"""),0.8551)</f>
        <v>0.8551</v>
      </c>
      <c r="AO152" s="698">
        <f>IFERROR(__xludf.DUMMYFUNCTION("""COMPUTED_VALUE"""),0.8551)</f>
        <v>0.8551</v>
      </c>
      <c r="AP152" s="697" t="str">
        <f>IFERROR(__xludf.DUMMYFUNCTION("""COMPUTED_VALUE"""),"Mf reduction")</f>
        <v>Mf reduction</v>
      </c>
      <c r="AQ152" s="697" t="str">
        <f>IFERROR(__xludf.DUMMYFUNCTION("""COMPUTED_VALUE"""),"Bombe &amp; Bolo-Weme-Baduma village")</f>
        <v>Bombe &amp; Bolo-Weme-Baduma village</v>
      </c>
      <c r="AR152" s="697">
        <f>IFERROR(__xludf.DUMMYFUNCTION("""COMPUTED_VALUE"""),1968.0)</f>
        <v>1968</v>
      </c>
      <c r="AS152" s="697">
        <f>IFERROR(__xludf.DUMMYFUNCTION("""COMPUTED_VALUE"""),8.0)</f>
        <v>8</v>
      </c>
      <c r="AT152" s="697" t="str">
        <f>IFERROR(__xludf.DUMMYFUNCTION("""COMPUTED_VALUE"""),"5 years 1 month")</f>
        <v>5 years 1 month</v>
      </c>
      <c r="AU152" s="699" t="str">
        <f>IFERROR(__xludf.DUMMYFUNCTION("""COMPUTED_VALUE"""),"Duke, B.O.L. The effects of drugs on Onchocerca volvulus 3. Trials of Suramin at Different Dosages and a Comparison of the Brands Antrypol, Moranyl and Naganl. (1968) Bull Org. mond. Santé Bull Wld Hlth Org. 39: 157-167")</f>
        <v>Duke, B.O.L. The effects of drugs on Onchocerca volvulus 3. Trials of Suramin at Different Dosages and a Comparison of the Brands Antrypol, Moranyl and Naganl. (1968) Bull Org. mond. Santé Bull Wld Hlth Org. 39: 157-167</v>
      </c>
      <c r="AV152" s="697"/>
      <c r="AW152" s="697"/>
      <c r="AX152" s="697"/>
      <c r="AY152" s="697" t="str">
        <f>IFERROR(__xludf.DUMMYFUNCTION("""COMPUTED_VALUE"""),"No")</f>
        <v>No</v>
      </c>
      <c r="AZ152" s="697" t="str">
        <f>IFERROR(__xludf.DUMMYFUNCTION("""COMPUTED_VALUE"""),"No")</f>
        <v>No</v>
      </c>
      <c r="BA152" s="697"/>
      <c r="BB152" s="697"/>
      <c r="BC152" s="697" t="str">
        <f>IFERROR(__xludf.DUMMYFUNCTION("""COMPUTED_VALUE"""),"No significant differences between the brands of Suramin were recorded.")</f>
        <v>No significant differences between the brands of Suramin were recorded.</v>
      </c>
      <c r="BD152" s="697"/>
      <c r="BE152" s="697"/>
      <c r="BF152" s="697"/>
      <c r="BG152" s="697"/>
    </row>
    <row r="153">
      <c r="A153" s="697"/>
      <c r="B153" s="697" t="str">
        <f>IFERROR(__xludf.DUMMYFUNCTION("""COMPUTED_VALUE"""),"Duke")</f>
        <v>Duke</v>
      </c>
      <c r="C153" s="697" t="str">
        <f>IFERROR(__xludf.DUMMYFUNCTION("""COMPUTED_VALUE"""),"Cameroon")</f>
        <v>Cameroon</v>
      </c>
      <c r="D153" s="697" t="str">
        <f>IFERROR(__xludf.DUMMYFUNCTION("""COMPUTED_VALUE"""),"Suramin")</f>
        <v>Suramin</v>
      </c>
      <c r="E153" s="697" t="str">
        <f>IFERROR(__xludf.DUMMYFUNCTION("""COMPUTED_VALUE"""),"1 g")</f>
        <v>1 g</v>
      </c>
      <c r="F153" s="697">
        <f>IFERROR(__xludf.DUMMYFUNCTION("""COMPUTED_VALUE"""),4.1)</f>
        <v>4.1</v>
      </c>
      <c r="G153" s="697" t="str">
        <f>IFERROR(__xludf.DUMMYFUNCTION("""COMPUTED_VALUE"""),"4.1 g")</f>
        <v>4.1 g</v>
      </c>
      <c r="H153" s="697"/>
      <c r="I153" s="697"/>
      <c r="J153" s="697"/>
      <c r="K153" s="697"/>
      <c r="L153" s="697"/>
      <c r="M153" s="697"/>
      <c r="N153" s="697"/>
      <c r="O153" s="697"/>
      <c r="P153" s="697"/>
      <c r="Q153" s="697"/>
      <c r="R153" s="697"/>
      <c r="S153" s="697"/>
      <c r="T153" s="698">
        <f>IFERROR(__xludf.DUMMYFUNCTION("""COMPUTED_VALUE"""),0.628)</f>
        <v>0.628</v>
      </c>
      <c r="U153" s="697"/>
      <c r="V153" s="697"/>
      <c r="W153" s="697"/>
      <c r="X153" s="697"/>
      <c r="Y153" s="697"/>
      <c r="Z153" s="697"/>
      <c r="AA153" s="698">
        <f>IFERROR(__xludf.DUMMYFUNCTION("""COMPUTED_VALUE"""),0.348)</f>
        <v>0.348</v>
      </c>
      <c r="AB153" s="697"/>
      <c r="AC153" s="697"/>
      <c r="AD153" s="697"/>
      <c r="AE153" s="697" t="str">
        <f>IFERROR(__xludf.DUMMYFUNCTION("""COMPUTED_VALUE"""),"n/a")</f>
        <v>n/a</v>
      </c>
      <c r="AF153" s="697"/>
      <c r="AG153" s="697"/>
      <c r="AH153" s="697"/>
      <c r="AI153" s="697"/>
      <c r="AJ153" s="697"/>
      <c r="AK153" s="697"/>
      <c r="AL153" s="697"/>
      <c r="AM153" s="697"/>
      <c r="AN153" s="698">
        <f>IFERROR(__xludf.DUMMYFUNCTION("""COMPUTED_VALUE"""),0.628)</f>
        <v>0.628</v>
      </c>
      <c r="AO153" s="698">
        <f>IFERROR(__xludf.DUMMYFUNCTION("""COMPUTED_VALUE"""),0.628)</f>
        <v>0.628</v>
      </c>
      <c r="AP153" s="697" t="str">
        <f>IFERROR(__xludf.DUMMYFUNCTION("""COMPUTED_VALUE"""),"Mf reduction")</f>
        <v>Mf reduction</v>
      </c>
      <c r="AQ153" s="697" t="str">
        <f>IFERROR(__xludf.DUMMYFUNCTION("""COMPUTED_VALUE"""),"Bombe &amp; Bolo-Weme-Baduma village")</f>
        <v>Bombe &amp; Bolo-Weme-Baduma village</v>
      </c>
      <c r="AR153" s="697">
        <f>IFERROR(__xludf.DUMMYFUNCTION("""COMPUTED_VALUE"""),1968.0)</f>
        <v>1968</v>
      </c>
      <c r="AS153" s="697">
        <f>IFERROR(__xludf.DUMMYFUNCTION("""COMPUTED_VALUE"""),5.0)</f>
        <v>5</v>
      </c>
      <c r="AT153" s="697" t="str">
        <f>IFERROR(__xludf.DUMMYFUNCTION("""COMPUTED_VALUE"""),"6 years 1 month")</f>
        <v>6 years 1 month</v>
      </c>
      <c r="AU153" s="699" t="str">
        <f>IFERROR(__xludf.DUMMYFUNCTION("""COMPUTED_VALUE"""),"Duke, B.O.L. The effects of drugs on Onchocerca volvulus 3. Trials of Suramin at Different Dosages and a Comparison of the Brands Antrypol, Moranyl and Naganl. (1968) Bull Org. mond. Santé Bull Wld Hlth Org. 39: 157-167")</f>
        <v>Duke, B.O.L. The effects of drugs on Onchocerca volvulus 3. Trials of Suramin at Different Dosages and a Comparison of the Brands Antrypol, Moranyl and Naganl. (1968) Bull Org. mond. Santé Bull Wld Hlth Org. 39: 157-167</v>
      </c>
      <c r="AV153" s="697"/>
      <c r="AW153" s="697"/>
      <c r="AX153" s="697"/>
      <c r="AY153" s="697" t="str">
        <f>IFERROR(__xludf.DUMMYFUNCTION("""COMPUTED_VALUE"""),"No")</f>
        <v>No</v>
      </c>
      <c r="AZ153" s="697" t="str">
        <f>IFERROR(__xludf.DUMMYFUNCTION("""COMPUTED_VALUE"""),"No")</f>
        <v>No</v>
      </c>
      <c r="BA153" s="697"/>
      <c r="BB153" s="697"/>
      <c r="BC153" s="697" t="str">
        <f>IFERROR(__xludf.DUMMYFUNCTION("""COMPUTED_VALUE"""),"No significant differences between the brands of Suramin were recorded.")</f>
        <v>No significant differences between the brands of Suramin were recorded.</v>
      </c>
      <c r="BD153" s="697"/>
      <c r="BE153" s="697"/>
      <c r="BF153" s="697"/>
      <c r="BG153" s="697"/>
    </row>
    <row r="154">
      <c r="A154" s="697"/>
      <c r="B154" s="697" t="str">
        <f>IFERROR(__xludf.DUMMYFUNCTION("""COMPUTED_VALUE"""),"Duke")</f>
        <v>Duke</v>
      </c>
      <c r="C154" s="697" t="str">
        <f>IFERROR(__xludf.DUMMYFUNCTION("""COMPUTED_VALUE"""),"Cameroon")</f>
        <v>Cameroon</v>
      </c>
      <c r="D154" s="697" t="str">
        <f>IFERROR(__xludf.DUMMYFUNCTION("""COMPUTED_VALUE"""),"Suramin")</f>
        <v>Suramin</v>
      </c>
      <c r="E154" s="697" t="str">
        <f>IFERROR(__xludf.DUMMYFUNCTION("""COMPUTED_VALUE"""),"1 g")</f>
        <v>1 g</v>
      </c>
      <c r="F154" s="697" t="str">
        <f>IFERROR(__xludf.DUMMYFUNCTION("""COMPUTED_VALUE"""),"2.2-3.2")</f>
        <v>2.2-3.2</v>
      </c>
      <c r="G154" s="697" t="str">
        <f>IFERROR(__xludf.DUMMYFUNCTION("""COMPUTED_VALUE"""),"2.2-3.2 g")</f>
        <v>2.2-3.2 g</v>
      </c>
      <c r="H154" s="697"/>
      <c r="I154" s="697"/>
      <c r="J154" s="697"/>
      <c r="K154" s="697"/>
      <c r="L154" s="697"/>
      <c r="M154" s="697"/>
      <c r="N154" s="697">
        <f>IFERROR(__xludf.DUMMYFUNCTION("""COMPUTED_VALUE"""),28.86)</f>
        <v>28.86</v>
      </c>
      <c r="O154" s="697"/>
      <c r="P154" s="697"/>
      <c r="Q154" s="697"/>
      <c r="R154" s="697"/>
      <c r="S154" s="697"/>
      <c r="T154" s="698">
        <f>IFERROR(__xludf.DUMMYFUNCTION("""COMPUTED_VALUE"""),0.215)</f>
        <v>0.215</v>
      </c>
      <c r="U154" s="697"/>
      <c r="V154" s="697"/>
      <c r="W154" s="697"/>
      <c r="X154" s="697"/>
      <c r="Y154" s="697"/>
      <c r="Z154" s="697"/>
      <c r="AA154" s="697" t="str">
        <f>IFERROR(__xludf.DUMMYFUNCTION("""COMPUTED_VALUE"""),"Increase of 21.36%")</f>
        <v>Increase of 21.36%</v>
      </c>
      <c r="AB154" s="697"/>
      <c r="AC154" s="697"/>
      <c r="AD154" s="697"/>
      <c r="AE154" s="697" t="str">
        <f>IFERROR(__xludf.DUMMYFUNCTION("""COMPUTED_VALUE"""),"n/a")</f>
        <v>n/a</v>
      </c>
      <c r="AF154" s="697"/>
      <c r="AG154" s="697"/>
      <c r="AH154" s="697"/>
      <c r="AI154" s="697"/>
      <c r="AJ154" s="697"/>
      <c r="AK154" s="697"/>
      <c r="AL154" s="697"/>
      <c r="AM154" s="697"/>
      <c r="AN154" s="698">
        <f>IFERROR(__xludf.DUMMYFUNCTION("""COMPUTED_VALUE"""),0.215)</f>
        <v>0.215</v>
      </c>
      <c r="AO154" s="698">
        <f>IFERROR(__xludf.DUMMYFUNCTION("""COMPUTED_VALUE"""),0.215)</f>
        <v>0.215</v>
      </c>
      <c r="AP154" s="697" t="str">
        <f>IFERROR(__xludf.DUMMYFUNCTION("""COMPUTED_VALUE"""),"Mf reduction")</f>
        <v>Mf reduction</v>
      </c>
      <c r="AQ154" s="697" t="str">
        <f>IFERROR(__xludf.DUMMYFUNCTION("""COMPUTED_VALUE"""),"Bombe &amp; Bolo-Weme-Baduma village")</f>
        <v>Bombe &amp; Bolo-Weme-Baduma village</v>
      </c>
      <c r="AR154" s="697">
        <f>IFERROR(__xludf.DUMMYFUNCTION("""COMPUTED_VALUE"""),1968.0)</f>
        <v>1968</v>
      </c>
      <c r="AS154" s="697">
        <f>IFERROR(__xludf.DUMMYFUNCTION("""COMPUTED_VALUE"""),14.0)</f>
        <v>14</v>
      </c>
      <c r="AT154" s="697" t="str">
        <f>IFERROR(__xludf.DUMMYFUNCTION("""COMPUTED_VALUE"""),"7 years 1 month")</f>
        <v>7 years 1 month</v>
      </c>
      <c r="AU154" s="699" t="str">
        <f>IFERROR(__xludf.DUMMYFUNCTION("""COMPUTED_VALUE"""),"Duke, B.O.L. The effects of drugs on Onchocerca volvulus 3. Trials of Suramin at Different Dosages and a Comparison of the Brands Antrypol, Moranyl and Naganl. (1968) Bull Org. mond. Santé Bull Wld Hlth Org. 39: 157-167")</f>
        <v>Duke, B.O.L. The effects of drugs on Onchocerca volvulus 3. Trials of Suramin at Different Dosages and a Comparison of the Brands Antrypol, Moranyl and Naganl. (1968) Bull Org. mond. Santé Bull Wld Hlth Org. 39: 157-167</v>
      </c>
      <c r="AV154" s="697"/>
      <c r="AW154" s="697"/>
      <c r="AX154" s="697"/>
      <c r="AY154" s="697" t="str">
        <f>IFERROR(__xludf.DUMMYFUNCTION("""COMPUTED_VALUE"""),"No")</f>
        <v>No</v>
      </c>
      <c r="AZ154" s="697" t="str">
        <f>IFERROR(__xludf.DUMMYFUNCTION("""COMPUTED_VALUE"""),"No")</f>
        <v>No</v>
      </c>
      <c r="BA154" s="697"/>
      <c r="BB154" s="697"/>
      <c r="BC154" s="697" t="str">
        <f>IFERROR(__xludf.DUMMYFUNCTION("""COMPUTED_VALUE"""),"No significant differences between the brands of Suramin were recorded.")</f>
        <v>No significant differences between the brands of Suramin were recorded.</v>
      </c>
      <c r="BD154" s="697"/>
      <c r="BE154" s="697"/>
      <c r="BF154" s="697"/>
      <c r="BG154" s="697"/>
    </row>
    <row r="155">
      <c r="A155" s="697"/>
      <c r="B155" s="697" t="str">
        <f>IFERROR(__xludf.DUMMYFUNCTION("""COMPUTED_VALUE"""),"Duke")</f>
        <v>Duke</v>
      </c>
      <c r="C155" s="697" t="str">
        <f>IFERROR(__xludf.DUMMYFUNCTION("""COMPUTED_VALUE"""),"Cameroon")</f>
        <v>Cameroon</v>
      </c>
      <c r="D155" s="697" t="str">
        <f>IFERROR(__xludf.DUMMYFUNCTION("""COMPUTED_VALUE"""),"Suramin")</f>
        <v>Suramin</v>
      </c>
      <c r="E155" s="697" t="str">
        <f>IFERROR(__xludf.DUMMYFUNCTION("""COMPUTED_VALUE"""),".5g")</f>
        <v>.5g</v>
      </c>
      <c r="F155" s="704">
        <f>IFERROR(__xludf.DUMMYFUNCTION("""COMPUTED_VALUE"""),42559.0)</f>
        <v>42559</v>
      </c>
      <c r="G155" s="697" t="str">
        <f>IFERROR(__xludf.DUMMYFUNCTION("""COMPUTED_VALUE"""),"3.5g-4g")</f>
        <v>3.5g-4g</v>
      </c>
      <c r="H155" s="697"/>
      <c r="I155" s="697"/>
      <c r="J155" s="697"/>
      <c r="K155" s="697"/>
      <c r="L155" s="697"/>
      <c r="M155" s="697"/>
      <c r="N155" s="697"/>
      <c r="O155" s="697"/>
      <c r="P155" s="697"/>
      <c r="Q155" s="697"/>
      <c r="R155" s="697"/>
      <c r="S155" s="700">
        <f>IFERROR(__xludf.DUMMYFUNCTION("""COMPUTED_VALUE"""),0.65)</f>
        <v>0.65</v>
      </c>
      <c r="T155" s="697"/>
      <c r="U155" s="697"/>
      <c r="V155" s="697"/>
      <c r="W155" s="697"/>
      <c r="X155" s="697"/>
      <c r="Y155" s="697"/>
      <c r="Z155" s="697"/>
      <c r="AA155" s="697"/>
      <c r="AB155" s="697"/>
      <c r="AC155" s="697"/>
      <c r="AD155" s="697"/>
      <c r="AE155" s="697"/>
      <c r="AF155" s="697"/>
      <c r="AG155" s="697"/>
      <c r="AH155" s="697"/>
      <c r="AI155" s="697"/>
      <c r="AJ155" s="697"/>
      <c r="AK155" s="697"/>
      <c r="AL155" s="697"/>
      <c r="AM155" s="697"/>
      <c r="AN155" s="700">
        <f>IFERROR(__xludf.DUMMYFUNCTION("""COMPUTED_VALUE"""),0.65)</f>
        <v>0.65</v>
      </c>
      <c r="AO155" s="698">
        <f>IFERROR(__xludf.DUMMYFUNCTION("""COMPUTED_VALUE"""),0.65)</f>
        <v>0.65</v>
      </c>
      <c r="AP155" s="697" t="str">
        <f>IFERROR(__xludf.DUMMYFUNCTION("""COMPUTED_VALUE"""),"Mf reduction")</f>
        <v>Mf reduction</v>
      </c>
      <c r="AQ155" s="697"/>
      <c r="AR155" s="697">
        <f>IFERROR(__xludf.DUMMYFUNCTION("""COMPUTED_VALUE"""),1968.0)</f>
        <v>1968</v>
      </c>
      <c r="AS155" s="697">
        <f>IFERROR(__xludf.DUMMYFUNCTION("""COMPUTED_VALUE"""),25.0)</f>
        <v>25</v>
      </c>
      <c r="AT155" s="697"/>
      <c r="AU155" s="699" t="str">
        <f>IFERROR(__xludf.DUMMYFUNCTION("""COMPUTED_VALUE"""),"Duke, B.O.L. The effects of drugs on Onchocerca volvulus 3. Trials of Suramin at Different Dosages and a Comparison of the Brands Antrypol, Moranyl and Naganl. (1968) Bull Org. mond. Santé Bull Wld Hlth Org. 39: 157-167")</f>
        <v>Duke, B.O.L. The effects of drugs on Onchocerca volvulus 3. Trials of Suramin at Different Dosages and a Comparison of the Brands Antrypol, Moranyl and Naganl. (1968) Bull Org. mond. Santé Bull Wld Hlth Org. 39: 157-167</v>
      </c>
      <c r="AV155" s="697"/>
      <c r="AW155" s="697"/>
      <c r="AX155" s="697"/>
      <c r="AY155" s="697" t="str">
        <f>IFERROR(__xludf.DUMMYFUNCTION("""COMPUTED_VALUE"""),"No")</f>
        <v>No</v>
      </c>
      <c r="AZ155" s="697" t="str">
        <f>IFERROR(__xludf.DUMMYFUNCTION("""COMPUTED_VALUE"""),"No")</f>
        <v>No</v>
      </c>
      <c r="BA155" s="697"/>
      <c r="BB155" s="697"/>
      <c r="BC155" s="697" t="str">
        <f>IFERROR(__xludf.DUMMYFUNCTION("""COMPUTED_VALUE"""),"No significant differences between the brands of Suramin were recorded.")</f>
        <v>No significant differences between the brands of Suramin were recorded.</v>
      </c>
      <c r="BD155" s="697"/>
      <c r="BE155" s="697"/>
      <c r="BF155" s="697"/>
      <c r="BG155" s="697"/>
    </row>
    <row r="156">
      <c r="A156" s="697"/>
      <c r="B156" s="697" t="str">
        <f>IFERROR(__xludf.DUMMYFUNCTION("""COMPUTED_VALUE"""),"Hoerauf et al")</f>
        <v>Hoerauf et al</v>
      </c>
      <c r="C156" s="697" t="str">
        <f>IFERROR(__xludf.DUMMYFUNCTION("""COMPUTED_VALUE"""),"Ghana")</f>
        <v>Ghana</v>
      </c>
      <c r="D156" s="697" t="str">
        <f>IFERROR(__xludf.DUMMYFUNCTION("""COMPUTED_VALUE"""),"Doxycycline")</f>
        <v>Doxycycline</v>
      </c>
      <c r="E156" s="697" t="str">
        <f>IFERROR(__xludf.DUMMYFUNCTION("""COMPUTED_VALUE"""),"200mg ")</f>
        <v>200mg </v>
      </c>
      <c r="F156" s="697">
        <f>IFERROR(__xludf.DUMMYFUNCTION("""COMPUTED_VALUE"""),1.0)</f>
        <v>1</v>
      </c>
      <c r="G156" s="697" t="str">
        <f>IFERROR(__xludf.DUMMYFUNCTION("""COMPUTED_VALUE"""),"8400mg")</f>
        <v>8400mg</v>
      </c>
      <c r="H156" s="697"/>
      <c r="I156" s="697"/>
      <c r="J156" s="697"/>
      <c r="K156" s="697"/>
      <c r="L156" s="697"/>
      <c r="M156" s="697"/>
      <c r="N156" s="697"/>
      <c r="O156" s="697"/>
      <c r="P156" s="700">
        <f>IFERROR(__xludf.DUMMYFUNCTION("""COMPUTED_VALUE"""),0.85)</f>
        <v>0.85</v>
      </c>
      <c r="Q156" s="697"/>
      <c r="R156" s="697"/>
      <c r="S156" s="697"/>
      <c r="T156" s="697"/>
      <c r="U156" s="697"/>
      <c r="V156" s="697"/>
      <c r="W156" s="697"/>
      <c r="X156" s="697"/>
      <c r="Y156" s="697"/>
      <c r="Z156" s="697"/>
      <c r="AA156" s="697"/>
      <c r="AB156" s="697"/>
      <c r="AC156" s="697"/>
      <c r="AD156" s="697"/>
      <c r="AE156" s="697"/>
      <c r="AF156" s="697"/>
      <c r="AG156" s="697"/>
      <c r="AH156" s="697"/>
      <c r="AI156" s="697"/>
      <c r="AJ156" s="697"/>
      <c r="AK156" s="698">
        <f>IFERROR(__xludf.DUMMYFUNCTION("""COMPUTED_VALUE"""),0.545)</f>
        <v>0.545</v>
      </c>
      <c r="AL156" s="697"/>
      <c r="AM156" s="697"/>
      <c r="AN156" s="700">
        <f>IFERROR(__xludf.DUMMYFUNCTION("""COMPUTED_VALUE"""),0.85)</f>
        <v>0.85</v>
      </c>
      <c r="AO156" s="698">
        <f>IFERROR(__xludf.DUMMYFUNCTION("""COMPUTED_VALUE"""),0.85)</f>
        <v>0.85</v>
      </c>
      <c r="AP156" s="697" t="str">
        <f>IFERROR(__xludf.DUMMYFUNCTION("""COMPUTED_VALUE"""),"Mf reduction")</f>
        <v>Mf reduction</v>
      </c>
      <c r="AQ156" s="697" t="str">
        <f>IFERROR(__xludf.DUMMYFUNCTION("""COMPUTED_VALUE"""),"Ghana")</f>
        <v>Ghana</v>
      </c>
      <c r="AR156" s="697">
        <f>IFERROR(__xludf.DUMMYFUNCTION("""COMPUTED_VALUE"""),2008.0)</f>
        <v>2008</v>
      </c>
      <c r="AS156" s="697">
        <f>IFERROR(__xludf.DUMMYFUNCTION("""COMPUTED_VALUE"""),26.0)</f>
        <v>26</v>
      </c>
      <c r="AT156" s="697" t="str">
        <f>IFERROR(__xludf.DUMMYFUNCTION("""COMPUTED_VALUE"""),"27months")</f>
        <v>27months</v>
      </c>
      <c r="AU156" s="699" t="str">
        <f>IFERROR(__xludf.DUMMYFUNCTION("""COMPUTED_VALUE"""),"Achim, et al. ""Wolbachia endobacteria depletion by doxycycline as antifilarial therapy has macrofilaricidal activity in onchocerciasis: a randomized placebo-controlled study."" Medical microbiology and immunology 197.3 (2008): 295-311.")</f>
        <v>Achim, et al. "Wolbachia endobacteria depletion by doxycycline as antifilarial therapy has macrofilaricidal activity in onchocerciasis: a randomized placebo-controlled study." Medical microbiology and immunology 197.3 (2008): 295-311.</v>
      </c>
      <c r="AV156" s="697"/>
      <c r="AW156" s="697"/>
      <c r="AX156" s="697"/>
      <c r="AY156" s="697" t="str">
        <f>IFERROR(__xludf.DUMMYFUNCTION("""COMPUTED_VALUE"""),"Yes")</f>
        <v>Yes</v>
      </c>
      <c r="AZ156" s="697" t="str">
        <f>IFERROR(__xludf.DUMMYFUNCTION("""COMPUTED_VALUE"""),"Yes")</f>
        <v>Yes</v>
      </c>
      <c r="BA156" s="697"/>
      <c r="BB156" s="697"/>
      <c r="BC156" s="697"/>
      <c r="BD156" s="697"/>
      <c r="BE156" s="697"/>
      <c r="BF156" s="697"/>
      <c r="BG156" s="697"/>
    </row>
    <row r="157">
      <c r="A157" s="697"/>
      <c r="B157" s="697" t="str">
        <f>IFERROR(__xludf.DUMMYFUNCTION("""COMPUTED_VALUE"""),"Hoerauf et al")</f>
        <v>Hoerauf et al</v>
      </c>
      <c r="C157" s="697" t="str">
        <f>IFERROR(__xludf.DUMMYFUNCTION("""COMPUTED_VALUE"""),"Ghana")</f>
        <v>Ghana</v>
      </c>
      <c r="D157" s="697" t="str">
        <f>IFERROR(__xludf.DUMMYFUNCTION("""COMPUTED_VALUE"""),"Doxycycline")</f>
        <v>Doxycycline</v>
      </c>
      <c r="E157" s="697" t="str">
        <f>IFERROR(__xludf.DUMMYFUNCTION("""COMPUTED_VALUE"""),"200mg ")</f>
        <v>200mg </v>
      </c>
      <c r="F157" s="697">
        <f>IFERROR(__xludf.DUMMYFUNCTION("""COMPUTED_VALUE"""),1.0)</f>
        <v>1</v>
      </c>
      <c r="G157" s="697" t="str">
        <f>IFERROR(__xludf.DUMMYFUNCTION("""COMPUTED_VALUE"""),"5600mg")</f>
        <v>5600mg</v>
      </c>
      <c r="H157" s="697"/>
      <c r="I157" s="697"/>
      <c r="J157" s="697"/>
      <c r="K157" s="697"/>
      <c r="L157" s="697"/>
      <c r="M157" s="697"/>
      <c r="N157" s="697"/>
      <c r="O157" s="697"/>
      <c r="P157" s="700">
        <f>IFERROR(__xludf.DUMMYFUNCTION("""COMPUTED_VALUE"""),0.75)</f>
        <v>0.75</v>
      </c>
      <c r="Q157" s="697"/>
      <c r="R157" s="697"/>
      <c r="S157" s="697"/>
      <c r="T157" s="697"/>
      <c r="U157" s="697"/>
      <c r="V157" s="697"/>
      <c r="W157" s="697"/>
      <c r="X157" s="697"/>
      <c r="Y157" s="697"/>
      <c r="Z157" s="697"/>
      <c r="AA157" s="697"/>
      <c r="AB157" s="697"/>
      <c r="AC157" s="697"/>
      <c r="AD157" s="697"/>
      <c r="AE157" s="697"/>
      <c r="AF157" s="697"/>
      <c r="AG157" s="697"/>
      <c r="AH157" s="697"/>
      <c r="AI157" s="697"/>
      <c r="AJ157" s="697"/>
      <c r="AK157" s="698">
        <f>IFERROR(__xludf.DUMMYFUNCTION("""COMPUTED_VALUE"""),0.818)</f>
        <v>0.818</v>
      </c>
      <c r="AL157" s="697"/>
      <c r="AM157" s="697"/>
      <c r="AN157" s="700">
        <f>IFERROR(__xludf.DUMMYFUNCTION("""COMPUTED_VALUE"""),0.75)</f>
        <v>0.75</v>
      </c>
      <c r="AO157" s="698">
        <f>IFERROR(__xludf.DUMMYFUNCTION("""COMPUTED_VALUE"""),0.75)</f>
        <v>0.75</v>
      </c>
      <c r="AP157" s="697" t="str">
        <f>IFERROR(__xludf.DUMMYFUNCTION("""COMPUTED_VALUE"""),"Mf reduction")</f>
        <v>Mf reduction</v>
      </c>
      <c r="AQ157" s="697" t="str">
        <f>IFERROR(__xludf.DUMMYFUNCTION("""COMPUTED_VALUE"""),"Ghana")</f>
        <v>Ghana</v>
      </c>
      <c r="AR157" s="697">
        <f>IFERROR(__xludf.DUMMYFUNCTION("""COMPUTED_VALUE"""),2008.0)</f>
        <v>2008</v>
      </c>
      <c r="AS157" s="697">
        <f>IFERROR(__xludf.DUMMYFUNCTION("""COMPUTED_VALUE"""),25.0)</f>
        <v>25</v>
      </c>
      <c r="AT157" s="697" t="str">
        <f>IFERROR(__xludf.DUMMYFUNCTION("""COMPUTED_VALUE"""),"27 months")</f>
        <v>27 months</v>
      </c>
      <c r="AU157" s="699" t="str">
        <f>IFERROR(__xludf.DUMMYFUNCTION("""COMPUTED_VALUE"""),"Achim, et al. ""Wolbachia endobacteria depletion by doxycycline as antifilarial therapy has macrofilaricidal activity in onchocerciasis: a randomized placebo-controlled study."" Medical microbiology and immunology 197.3 (2008): 295-311.")</f>
        <v>Achim, et al. "Wolbachia endobacteria depletion by doxycycline as antifilarial therapy has macrofilaricidal activity in onchocerciasis: a randomized placebo-controlled study." Medical microbiology and immunology 197.3 (2008): 295-311.</v>
      </c>
      <c r="AV157" s="697"/>
      <c r="AW157" s="697"/>
      <c r="AX157" s="697"/>
      <c r="AY157" s="697" t="str">
        <f>IFERROR(__xludf.DUMMYFUNCTION("""COMPUTED_VALUE"""),"Yes")</f>
        <v>Yes</v>
      </c>
      <c r="AZ157" s="697" t="str">
        <f>IFERROR(__xludf.DUMMYFUNCTION("""COMPUTED_VALUE"""),"Yes")</f>
        <v>Yes</v>
      </c>
      <c r="BA157" s="697"/>
      <c r="BB157" s="697"/>
      <c r="BC157" s="697"/>
      <c r="BD157" s="697"/>
      <c r="BE157" s="697"/>
      <c r="BF157" s="697"/>
      <c r="BG157" s="697"/>
    </row>
    <row r="158">
      <c r="A158" s="697"/>
      <c r="B158" s="697" t="str">
        <f>IFERROR(__xludf.DUMMYFUNCTION("""COMPUTED_VALUE"""),"Schult-Key")</f>
        <v>Schult-Key</v>
      </c>
      <c r="C158" s="697" t="str">
        <f>IFERROR(__xludf.DUMMYFUNCTION("""COMPUTED_VALUE"""),"Burkina Faso")</f>
        <v>Burkina Faso</v>
      </c>
      <c r="D158" s="697" t="str">
        <f>IFERROR(__xludf.DUMMYFUNCTION("""COMPUTED_VALUE"""),"Suramin")</f>
        <v>Suramin</v>
      </c>
      <c r="E158" s="697" t="str">
        <f>IFERROR(__xludf.DUMMYFUNCTION("""COMPUTED_VALUE"""),"60mg")</f>
        <v>60mg</v>
      </c>
      <c r="F158" s="697">
        <f>IFERROR(__xludf.DUMMYFUNCTION("""COMPUTED_VALUE"""),1.0)</f>
        <v>1</v>
      </c>
      <c r="G158" s="697">
        <f>IFERROR(__xludf.DUMMYFUNCTION("""COMPUTED_VALUE"""),1260.0)</f>
        <v>1260</v>
      </c>
      <c r="H158" s="697"/>
      <c r="I158" s="697"/>
      <c r="J158" s="697"/>
      <c r="K158" s="697"/>
      <c r="L158" s="697"/>
      <c r="M158" s="697"/>
      <c r="N158" s="697"/>
      <c r="O158" s="697"/>
      <c r="P158" s="697"/>
      <c r="Q158" s="700">
        <f>IFERROR(__xludf.DUMMYFUNCTION("""COMPUTED_VALUE"""),1.0)</f>
        <v>1</v>
      </c>
      <c r="R158" s="697"/>
      <c r="S158" s="697"/>
      <c r="T158" s="697"/>
      <c r="U158" s="697"/>
      <c r="V158" s="697"/>
      <c r="W158" s="697"/>
      <c r="X158" s="697"/>
      <c r="Y158" s="697"/>
      <c r="Z158" s="697"/>
      <c r="AA158" s="697"/>
      <c r="AB158" s="697"/>
      <c r="AC158" s="697"/>
      <c r="AD158" s="697"/>
      <c r="AE158" s="697"/>
      <c r="AF158" s="697"/>
      <c r="AG158" s="697"/>
      <c r="AH158" s="697"/>
      <c r="AI158" s="697"/>
      <c r="AJ158" s="697"/>
      <c r="AK158" s="697"/>
      <c r="AL158" s="697"/>
      <c r="AM158" s="697"/>
      <c r="AN158" s="700">
        <f>IFERROR(__xludf.DUMMYFUNCTION("""COMPUTED_VALUE"""),1.0)</f>
        <v>1</v>
      </c>
      <c r="AO158" s="698">
        <f>IFERROR(__xludf.DUMMYFUNCTION("""COMPUTED_VALUE"""),1.0)</f>
        <v>1</v>
      </c>
      <c r="AP158" s="697" t="str">
        <f>IFERROR(__xludf.DUMMYFUNCTION("""COMPUTED_VALUE"""),"Mf reduction")</f>
        <v>Mf reduction</v>
      </c>
      <c r="AQ158" s="697" t="str">
        <f>IFERROR(__xludf.DUMMYFUNCTION("""COMPUTED_VALUE"""),"Burkina Faso")</f>
        <v>Burkina Faso</v>
      </c>
      <c r="AR158" s="697">
        <f>IFERROR(__xludf.DUMMYFUNCTION("""COMPUTED_VALUE"""),1985.0)</f>
        <v>1985</v>
      </c>
      <c r="AS158" s="697">
        <f>IFERROR(__xludf.DUMMYFUNCTION("""COMPUTED_VALUE"""),42.0)</f>
        <v>42</v>
      </c>
      <c r="AT158" s="697" t="str">
        <f>IFERROR(__xludf.DUMMYFUNCTION("""COMPUTED_VALUE"""),"4 years ")</f>
        <v>4 years </v>
      </c>
      <c r="AU158" s="697" t="str">
        <f>IFERROR(__xludf.DUMMYFUNCTION("""COMPUTED_VALUE"""),"Schulz-Key, H., M. Karam, and A. Prost. ""Suramin in the treatment of onchocerciasis: the efficacy of low doses on the parasite in an area with vector control."" Tropical medicine and parasitology: official organ of Deutsche Tropenmedizinische Gesellschaf"&amp;"t and of Deutsche Gesellschaft fur Technische Zusammenarbeit (GTZ) 36.4 (1985): 244-248.")</f>
        <v>Schulz-Key, H., M. Karam, and A. Prost. "Suramin in the treatment of onchocerciasis: the efficacy of low doses on the parasite in an area with vector control." Tropical medicine and parasitology: official organ of Deutsche Tropenmedizinische Gesellschaft and of Deutsche Gesellschaft fur Technische Zusammenarbeit (GTZ) 36.4 (1985): 244-248.</v>
      </c>
      <c r="AV158" s="697"/>
      <c r="AW158" s="697"/>
      <c r="AX158" s="697"/>
      <c r="AY158" s="697"/>
      <c r="AZ158" s="697"/>
      <c r="BA158" s="697"/>
      <c r="BB158" s="697"/>
      <c r="BC158" s="697"/>
      <c r="BD158" s="697"/>
      <c r="BE158" s="697"/>
      <c r="BF158" s="697"/>
      <c r="BG158" s="697"/>
    </row>
    <row r="159">
      <c r="A159" s="697"/>
      <c r="B159" s="699" t="str">
        <f>IFERROR(__xludf.DUMMYFUNCTION("""COMPUTED_VALUE"""),"Coulibaly")</f>
        <v>Coulibaly</v>
      </c>
      <c r="C159" s="697" t="str">
        <f>IFERROR(__xludf.DUMMYFUNCTION("""COMPUTED_VALUE"""),"Mali")</f>
        <v>Mali</v>
      </c>
      <c r="D159" s="697" t="str">
        <f>IFERROR(__xludf.DUMMYFUNCTION("""COMPUTED_VALUE"""),"Doxycycline")</f>
        <v>Doxycycline</v>
      </c>
      <c r="E159" s="697" t="str">
        <f>IFERROR(__xludf.DUMMYFUNCTION("""COMPUTED_VALUE"""),"200mg")</f>
        <v>200mg</v>
      </c>
      <c r="F159" s="697" t="str">
        <f>IFERROR(__xludf.DUMMYFUNCTION("""COMPUTED_VALUE"""),"1/day")</f>
        <v>1/day</v>
      </c>
      <c r="G159" s="697" t="str">
        <f>IFERROR(__xludf.DUMMYFUNCTION("""COMPUTED_VALUE"""),"8400mg")</f>
        <v>8400mg</v>
      </c>
      <c r="H159" s="697"/>
      <c r="I159" s="697"/>
      <c r="J159" s="697"/>
      <c r="K159" s="697"/>
      <c r="L159" s="697"/>
      <c r="M159" s="697"/>
      <c r="N159" s="697"/>
      <c r="O159" s="697"/>
      <c r="P159" s="697"/>
      <c r="Q159" s="697"/>
      <c r="R159" s="697"/>
      <c r="S159" s="697"/>
      <c r="T159" s="697"/>
      <c r="U159" s="697"/>
      <c r="V159" s="697"/>
      <c r="W159" s="697"/>
      <c r="X159" s="697"/>
      <c r="Y159" s="697"/>
      <c r="Z159" s="697"/>
      <c r="AA159" s="697"/>
      <c r="AB159" s="697"/>
      <c r="AC159" s="697"/>
      <c r="AD159" s="697"/>
      <c r="AE159" s="697" t="str">
        <f>IFERROR(__xludf.DUMMYFUNCTION("""COMPUTED_VALUE"""),"n/a")</f>
        <v>n/a</v>
      </c>
      <c r="AF159" s="697"/>
      <c r="AG159" s="697"/>
      <c r="AH159" s="697"/>
      <c r="AI159" s="697"/>
      <c r="AJ159" s="699" t="str">
        <f>IFERROR(__xludf.DUMMYFUNCTION("""COMPUTED_VALUE"""),"Coulibaly")</f>
        <v>Coulibaly</v>
      </c>
      <c r="AK159" s="697"/>
      <c r="AL159" s="697"/>
      <c r="AM159" s="697"/>
      <c r="AN159" s="697"/>
      <c r="AO159" s="697"/>
      <c r="AP159" s="697" t="str">
        <f>IFERROR(__xludf.DUMMYFUNCTION("""COMPUTED_VALUE"""),"Doxycycline treatment alone led to a dramatic decrease in levels of M. perstans microfilariae, with median levels decreasing to 23% of pretreatment levels at 6 months after treatment and to 0% of pretreatment levels at 12 months after treatment, as compar"&amp;"ed with median levels in the no- treatment group that were 38% and 50% of baseline levels at 6 months and 12 months, respectively")</f>
        <v>Doxycycline treatment alone led to a dramatic decrease in levels of M. perstans microfilariae, with median levels decreasing to 23% of pretreatment levels at 6 months after treatment and to 0% of pretreatment levels at 12 months after treatment, as compared with median levels in the no- treatment group that were 38% and 50% of baseline levels at 6 months and 12 months, respectively</v>
      </c>
      <c r="AQ159" s="697" t="str">
        <f>IFERROR(__xludf.DUMMYFUNCTION("""COMPUTED_VALUE"""),"80 km northwest of Bamako, Mali. ")</f>
        <v>80 km northwest of Bamako, Mali. </v>
      </c>
      <c r="AR159" s="697">
        <f>IFERROR(__xludf.DUMMYFUNCTION("""COMPUTED_VALUE"""),2009.0)</f>
        <v>2009</v>
      </c>
      <c r="AS159" s="697">
        <f>IFERROR(__xludf.DUMMYFUNCTION("""COMPUTED_VALUE"""),85.0)</f>
        <v>85</v>
      </c>
      <c r="AT159" s="697" t="str">
        <f>IFERROR(__xludf.DUMMYFUNCTION("""COMPUTED_VALUE"""),"12 months")</f>
        <v>12 months</v>
      </c>
      <c r="AU159" s="697" t="str">
        <f>IFERROR(__xludf.DUMMYFUNCTION("""COMPUTED_VALUE"""),"Coulibaly, YI, Dembele, B, Diallo, AA et al. A randomized trial of doxycycline for Mansonella perstans infection. N Engl J Med. 2009; 361: 1448–1458")</f>
        <v>Coulibaly, YI, Dembele, B, Diallo, AA et al. A randomized trial of doxycycline for Mansonella perstans infection. N Engl J Med. 2009; 361: 1448–1458</v>
      </c>
      <c r="AV159" s="697"/>
      <c r="AW159" s="697" t="str">
        <f>IFERROR(__xludf.DUMMYFUNCTION("""COMPUTED_VALUE"""),"14-65")</f>
        <v>14-65</v>
      </c>
      <c r="AX159" s="697" t="str">
        <f>IFERROR(__xludf.DUMMYFUNCTION("""COMPUTED_VALUE"""),"Subjects were excluded from the study if they were pregnant or breast-feeding; had a hemoglobin level of 10 g per deciliter or less, a creatinine level greater than 1.4 mg per deciliter (123.8 μmol per liter), an alanine aminotransferase level greater tha"&amp;"n 45 U per liter, or a bilirubin level greater than 1.5 mg per deciliter (25.6 μmol per liter); weighed less than 40 kg; were classified as a heavy user of alcohol (i.e., drank more than one alcohol-containing drink per day); had a temperature higher than"&amp;" 37.5°C; had a serious medical illness; had a history of allergy to doxycycline; or had a suspected immunodeficiency")</f>
        <v>Subjects were excluded from the study if they were pregnant or breast-feeding; had a hemoglobin level of 10 g per deciliter or less, a creatinine level greater than 1.4 mg per deciliter (123.8 μmol per liter), an alanine aminotransferase level greater than 45 U per liter, or a bilirubin level greater than 1.5 mg per deciliter (25.6 μmol per liter); weighed less than 40 kg; were classified as a heavy user of alcohol (i.e., drank more than one alcohol-containing drink per day); had a temperature higher than 37.5°C; had a serious medical illness; had a history of allergy to doxycycline; or had a suspected immunodeficiency</v>
      </c>
      <c r="AY159" s="697"/>
      <c r="AZ159" s="697" t="str">
        <f>IFERROR(__xludf.DUMMYFUNCTION("""COMPUTED_VALUE"""),"yes")</f>
        <v>yes</v>
      </c>
      <c r="BA159" s="697"/>
      <c r="BB159" s="697"/>
      <c r="BC159" s="697" t="str">
        <f>IFERROR(__xludf.DUMMYFUNCTION("""COMPUTED_VALUE"""),"Doxycycline treatment alone led to a dramatic decrease in levels of M. perstans microfilariae, with median levels decreasing to 23% of pretreatment levels at 6 months after treatment and to 0% of pretreatment levels at 12 months after treatment, as compar"&amp;"ed with median levels in the no- treatment group that were 38% and 50% of baseline levels at 6 months and 12 months, r")</f>
        <v>Doxycycline treatment alone led to a dramatic decrease in levels of M. perstans microfilariae, with median levels decreasing to 23% of pretreatment levels at 6 months after treatment and to 0% of pretreatment levels at 12 months after treatment, as compared with median levels in the no- treatment group that were 38% and 50% of baseline levels at 6 months and 12 months, r</v>
      </c>
      <c r="BD159" s="697"/>
      <c r="BE159" s="697"/>
      <c r="BF159" s="697"/>
      <c r="BG159" s="697"/>
    </row>
    <row r="160">
      <c r="A160" s="697"/>
      <c r="B160" s="699" t="str">
        <f>IFERROR(__xludf.DUMMYFUNCTION("""COMPUTED_VALUE"""),"Coulibaly")</f>
        <v>Coulibaly</v>
      </c>
      <c r="C160" s="697" t="str">
        <f>IFERROR(__xludf.DUMMYFUNCTION("""COMPUTED_VALUE"""),"Mali")</f>
        <v>Mali</v>
      </c>
      <c r="D160" s="697" t="str">
        <f>IFERROR(__xludf.DUMMYFUNCTION("""COMPUTED_VALUE"""),"Control")</f>
        <v>Control</v>
      </c>
      <c r="E160" s="697" t="str">
        <f>IFERROR(__xludf.DUMMYFUNCTION("""COMPUTED_VALUE"""),"no treatment")</f>
        <v>no treatment</v>
      </c>
      <c r="F160" s="697">
        <f>IFERROR(__xludf.DUMMYFUNCTION("""COMPUTED_VALUE"""),1.0)</f>
        <v>1</v>
      </c>
      <c r="G160" s="697" t="str">
        <f>IFERROR(__xludf.DUMMYFUNCTION("""COMPUTED_VALUE"""),"n/a")</f>
        <v>n/a</v>
      </c>
      <c r="H160" s="697"/>
      <c r="I160" s="697"/>
      <c r="J160" s="697"/>
      <c r="K160" s="697"/>
      <c r="L160" s="697"/>
      <c r="M160" s="697"/>
      <c r="N160" s="697"/>
      <c r="O160" s="697"/>
      <c r="P160" s="697"/>
      <c r="Q160" s="697"/>
      <c r="R160" s="697"/>
      <c r="S160" s="697"/>
      <c r="T160" s="697"/>
      <c r="U160" s="697"/>
      <c r="V160" s="697"/>
      <c r="W160" s="697"/>
      <c r="X160" s="697"/>
      <c r="Y160" s="697"/>
      <c r="Z160" s="697"/>
      <c r="AA160" s="697"/>
      <c r="AB160" s="697"/>
      <c r="AC160" s="697"/>
      <c r="AD160" s="697"/>
      <c r="AE160" s="697" t="str">
        <f>IFERROR(__xludf.DUMMYFUNCTION("""COMPUTED_VALUE"""),"n/a")</f>
        <v>n/a</v>
      </c>
      <c r="AF160" s="697"/>
      <c r="AG160" s="697"/>
      <c r="AH160" s="697"/>
      <c r="AI160" s="697"/>
      <c r="AJ160" s="699" t="str">
        <f>IFERROR(__xludf.DUMMYFUNCTION("""COMPUTED_VALUE"""),"Coulibaly")</f>
        <v>Coulibaly</v>
      </c>
      <c r="AK160" s="697"/>
      <c r="AL160" s="697"/>
      <c r="AM160" s="697"/>
      <c r="AN160" s="697"/>
      <c r="AO160" s="697"/>
      <c r="AP160" s="697" t="str">
        <f>IFERROR(__xludf.DUMMYFUNCTION("""COMPUTED_VALUE"""),"Doxycycline treatment alone led to a dramatic decrease in levels of M. perstans microfilariae, with median levels decreasing to 23% of pretreatment levels at 6 months after treatment and to 0% of pretreatment levels at 12 months after treatment, as compar"&amp;"ed with median levels in the no- treatment group that were 38% and 50% of baseline levels at 6 months and 12 months, respectively")</f>
        <v>Doxycycline treatment alone led to a dramatic decrease in levels of M. perstans microfilariae, with median levels decreasing to 23% of pretreatment levels at 6 months after treatment and to 0% of pretreatment levels at 12 months after treatment, as compared with median levels in the no- treatment group that were 38% and 50% of baseline levels at 6 months and 12 months, respectively</v>
      </c>
      <c r="AQ160" s="697" t="str">
        <f>IFERROR(__xludf.DUMMYFUNCTION("""COMPUTED_VALUE"""),"80 km northwest of Bamako, Mali. ")</f>
        <v>80 km northwest of Bamako, Mali. </v>
      </c>
      <c r="AR160" s="697">
        <f>IFERROR(__xludf.DUMMYFUNCTION("""COMPUTED_VALUE"""),2009.0)</f>
        <v>2009</v>
      </c>
      <c r="AS160" s="697">
        <f>IFERROR(__xludf.DUMMYFUNCTION("""COMPUTED_VALUE"""),131.0)</f>
        <v>131</v>
      </c>
      <c r="AT160" s="697" t="str">
        <f>IFERROR(__xludf.DUMMYFUNCTION("""COMPUTED_VALUE"""),"12 months")</f>
        <v>12 months</v>
      </c>
      <c r="AU160" s="697" t="str">
        <f>IFERROR(__xludf.DUMMYFUNCTION("""COMPUTED_VALUE"""),"Coulibaly, YI, Dembele, B, Diallo, AA et al. A randomized trial of doxycycline for Mansonella perstans infection. N Engl J Med. 2009; 361: 1448–1458")</f>
        <v>Coulibaly, YI, Dembele, B, Diallo, AA et al. A randomized trial of doxycycline for Mansonella perstans infection. N Engl J Med. 2009; 361: 1448–1458</v>
      </c>
      <c r="AV160" s="697"/>
      <c r="AW160" s="697" t="str">
        <f>IFERROR(__xludf.DUMMYFUNCTION("""COMPUTED_VALUE"""),"14-65")</f>
        <v>14-65</v>
      </c>
      <c r="AX160" s="697" t="str">
        <f>IFERROR(__xludf.DUMMYFUNCTION("""COMPUTED_VALUE"""),"Subjects were excluded from the study if they were pregnant or breast-feeding; had a hemoglobin level of 10 g per deciliter or less, a creatinine level greater than 1.4 mg per deciliter (123.8 μmol per liter), an alanine aminotransferase level greater tha"&amp;"n 45 U per liter, or a bilirubin level greater than 1.5 mg per deciliter (25.6 μmol per liter); weighed less than 40 kg; were classified as a heavy user of alcohol (i.e., drank more than one alcohol-containing drink per day); had a temperature higher than"&amp;" 37.5°C; had a serious medical illness; had a history of allergy to doxycycline; or had a suspected immunodeficiency")</f>
        <v>Subjects were excluded from the study if they were pregnant or breast-feeding; had a hemoglobin level of 10 g per deciliter or less, a creatinine level greater than 1.4 mg per deciliter (123.8 μmol per liter), an alanine aminotransferase level greater than 45 U per liter, or a bilirubin level greater than 1.5 mg per deciliter (25.6 μmol per liter); weighed less than 40 kg; were classified as a heavy user of alcohol (i.e., drank more than one alcohol-containing drink per day); had a temperature higher than 37.5°C; had a serious medical illness; had a history of allergy to doxycycline; or had a suspected immunodeficiency</v>
      </c>
      <c r="AY160" s="697"/>
      <c r="AZ160" s="697" t="str">
        <f>IFERROR(__xludf.DUMMYFUNCTION("""COMPUTED_VALUE"""),"yes")</f>
        <v>yes</v>
      </c>
      <c r="BA160" s="697"/>
      <c r="BB160" s="697"/>
      <c r="BC160" s="697" t="str">
        <f>IFERROR(__xludf.DUMMYFUNCTION("""COMPUTED_VALUE"""),"Doxycycline treatment alone led to a dramatic decrease in levels of M. perstans microfilariae, with median levels decreasing to 23% of pretreatment levels at 6 months after treatment and to 0% of pretreatment levels at 12 months after treatment, as compar"&amp;"ed with median levels in the no- treatment group that were 38% and 50% of baseline levels at 6 months and 12 months, r")</f>
        <v>Doxycycline treatment alone led to a dramatic decrease in levels of M. perstans microfilariae, with median levels decreasing to 23% of pretreatment levels at 6 months after treatment and to 0% of pretreatment levels at 12 months after treatment, as compared with median levels in the no- treatment group that were 38% and 50% of baseline levels at 6 months and 12 months, r</v>
      </c>
      <c r="BD160" s="697"/>
      <c r="BE160" s="697"/>
      <c r="BF160" s="697"/>
      <c r="BG160" s="697"/>
    </row>
    <row r="161">
      <c r="A161" s="697" t="str">
        <f>IFERROR(__xludf.DUMMYFUNCTION("""COMPUTED_VALUE"""),"*describes improvement in visual symptoms")</f>
        <v>*describes improvement in visual symptoms</v>
      </c>
      <c r="B161" s="699" t="str">
        <f>IFERROR(__xludf.DUMMYFUNCTION("""COMPUTED_VALUE"""),"Masud")</f>
        <v>Masud</v>
      </c>
      <c r="C161" s="697" t="str">
        <f>IFERROR(__xludf.DUMMYFUNCTION("""COMPUTED_VALUE"""),"Liberia")</f>
        <v>Liberia</v>
      </c>
      <c r="D161" s="697" t="str">
        <f>IFERROR(__xludf.DUMMYFUNCTION("""COMPUTED_VALUE"""),"Ivermectin")</f>
        <v>Ivermectin</v>
      </c>
      <c r="E161" s="697" t="str">
        <f>IFERROR(__xludf.DUMMYFUNCTION("""COMPUTED_VALUE"""),"150ug/kg")</f>
        <v>150ug/kg</v>
      </c>
      <c r="F161" s="697">
        <f>IFERROR(__xludf.DUMMYFUNCTION("""COMPUTED_VALUE"""),1.0)</f>
        <v>1</v>
      </c>
      <c r="G161" s="697" t="str">
        <f>IFERROR(__xludf.DUMMYFUNCTION("""COMPUTED_VALUE"""),"150 ug/kg")</f>
        <v>150 ug/kg</v>
      </c>
      <c r="H161" s="697"/>
      <c r="I161" s="697"/>
      <c r="J161" s="697"/>
      <c r="K161" s="697"/>
      <c r="L161" s="697"/>
      <c r="M161" s="697"/>
      <c r="N161" s="697"/>
      <c r="O161" s="697"/>
      <c r="P161" s="697"/>
      <c r="Q161" s="697"/>
      <c r="R161" s="697"/>
      <c r="S161" s="697"/>
      <c r="T161" s="697"/>
      <c r="U161" s="697"/>
      <c r="V161" s="697"/>
      <c r="W161" s="697"/>
      <c r="X161" s="697"/>
      <c r="Y161" s="697"/>
      <c r="Z161" s="697"/>
      <c r="AA161" s="697"/>
      <c r="AB161" s="697"/>
      <c r="AC161" s="697"/>
      <c r="AD161" s="697"/>
      <c r="AE161" s="697" t="str">
        <f>IFERROR(__xludf.DUMMYFUNCTION("""COMPUTED_VALUE"""),"n/a")</f>
        <v>n/a</v>
      </c>
      <c r="AF161" s="697"/>
      <c r="AG161" s="697"/>
      <c r="AH161" s="697"/>
      <c r="AI161" s="697"/>
      <c r="AJ161" s="699" t="str">
        <f>IFERROR(__xludf.DUMMYFUNCTION("""COMPUTED_VALUE"""),"Masud")</f>
        <v>Masud</v>
      </c>
      <c r="AK161" s="697" t="str">
        <f>IFERROR(__xludf.DUMMYFUNCTION("""COMPUTED_VALUE"""),"17% patients before treatment, 17% after")</f>
        <v>17% patients before treatment, 17% after</v>
      </c>
      <c r="AL161" s="697"/>
      <c r="AM161" s="697"/>
      <c r="AN161" s="697"/>
      <c r="AO161" s="697"/>
      <c r="AP161" s="697" t="str">
        <f>IFERROR(__xludf.DUMMYFUNCTION("""COMPUTED_VALUE"""),"There was a significantly greater relief in patients treated with a combination of doxycycline and ivermectin, with marked improvement in onchocerciasis clinical symptoms, as compared to those patients who were treated with ivermectin alone.")</f>
        <v>There was a significantly greater relief in patients treated with a combination of doxycycline and ivermectin, with marked improvement in onchocerciasis clinical symptoms, as compared to those patients who were treated with ivermectin alone.</v>
      </c>
      <c r="AQ161" s="697" t="str">
        <f>IFERROR(__xludf.DUMMYFUNCTION("""COMPUTED_VALUE"""),"Tubenburg (Bomy County) of Liberia")</f>
        <v>Tubenburg (Bomy County) of Liberia</v>
      </c>
      <c r="AR161" s="697">
        <f>IFERROR(__xludf.DUMMYFUNCTION("""COMPUTED_VALUE"""),2009.0)</f>
        <v>2009</v>
      </c>
      <c r="AS161" s="697">
        <f>IFERROR(__xludf.DUMMYFUNCTION("""COMPUTED_VALUE"""),120.0)</f>
        <v>120</v>
      </c>
      <c r="AT161" s="697" t="str">
        <f>IFERROR(__xludf.DUMMYFUNCTION("""COMPUTED_VALUE"""),"6 months")</f>
        <v>6 months</v>
      </c>
      <c r="AU161" s="697" t="str">
        <f>IFERROR(__xludf.DUMMYFUNCTION("""COMPUTED_VALUE"""),"Masud, H., Qureshi, T., &amp; Dukley, M. (2009). Effects of Ivermectin with and without Doxycycline on Clinical Symptoms of Onchocerciasis. Journal of the College of Physicians and Surgeons Pakistan , 19(1), 34-38.")</f>
        <v>Masud, H., Qureshi, T., &amp; Dukley, M. (2009). Effects of Ivermectin with and without Doxycycline on Clinical Symptoms of Onchocerciasis. Journal of the College of Physicians and Surgeons Pakistan , 19(1), 34-38.</v>
      </c>
      <c r="AV161" s="697" t="str">
        <f>IFERROR(__xludf.DUMMYFUNCTION("""COMPUTED_VALUE"""),"65.42%M")</f>
        <v>65.42%M</v>
      </c>
      <c r="AW161" s="697" t="str">
        <f>IFERROR(__xludf.DUMMYFUNCTION("""COMPUTED_VALUE"""),"mean=34")</f>
        <v>mean=34</v>
      </c>
      <c r="AX161" s="697" t="str">
        <f>IFERROR(__xludf.DUMMYFUNCTION("""COMPUTED_VALUE"""),"Patients with history of exposure to black fly in endemic area, symptoms of generalized and ocular itching, visual impairment associated with pannus/perilimbal pigmen- tation, punctuate/sclerosing keratitis, iridocyclitis, chorioretinitis and optic atroph"&amp;"y were included in the study. ")</f>
        <v>Patients with history of exposure to black fly in endemic area, symptoms of generalized and ocular itching, visual impairment associated with pannus/perilimbal pigmen- tation, punctuate/sclerosing keratitis, iridocyclitis, chorioretinitis and optic atrophy were included in the study. </v>
      </c>
      <c r="AY161" s="697"/>
      <c r="AZ161" s="697" t="str">
        <f>IFERROR(__xludf.DUMMYFUNCTION("""COMPUTED_VALUE"""),"yes")</f>
        <v>yes</v>
      </c>
      <c r="BA161" s="697"/>
      <c r="BB161" s="697"/>
      <c r="BC161" s="697" t="str">
        <f>IFERROR(__xludf.DUMMYFUNCTION("""COMPUTED_VALUE"""),"re was a significantly greater relief in patients of group II treated with a combination of doxycycline and ivermectin as compared to those patients who were treated with ivermectin alone. Eighty four patients (70%) of group I and 117 (98%) patients of gr"&amp;"oup II responded to treatment with improvement in clinical features. Vis")</f>
        <v>re was a significantly greater relief in patients of group II treated with a combination of doxycycline and ivermectin as compared to those patients who were treated with ivermectin alone. Eighty four patients (70%) of group I and 117 (98%) patients of group II responded to treatment with improvement in clinical features. Vis</v>
      </c>
      <c r="BD161" s="697"/>
      <c r="BE161" s="697"/>
      <c r="BF161" s="697"/>
      <c r="BG161" s="697"/>
    </row>
    <row r="162">
      <c r="A162" s="697"/>
      <c r="B162" s="699" t="str">
        <f>IFERROR(__xludf.DUMMYFUNCTION("""COMPUTED_VALUE"""),"Masud")</f>
        <v>Masud</v>
      </c>
      <c r="C162" s="697" t="str">
        <f>IFERROR(__xludf.DUMMYFUNCTION("""COMPUTED_VALUE"""),"Liberia")</f>
        <v>Liberia</v>
      </c>
      <c r="D162" s="697" t="str">
        <f>IFERROR(__xludf.DUMMYFUNCTION("""COMPUTED_VALUE"""),"Doxycycline &amp; Ivermectin")</f>
        <v>Doxycycline &amp; Ivermectin</v>
      </c>
      <c r="E162" s="697" t="str">
        <f>IFERROR(__xludf.DUMMYFUNCTION("""COMPUTED_VALUE"""),"100mg, 150 ug/kg")</f>
        <v>100mg, 150 ug/kg</v>
      </c>
      <c r="F162" s="697" t="str">
        <f>IFERROR(__xludf.DUMMYFUNCTION("""COMPUTED_VALUE"""),"1/day,1")</f>
        <v>1/day,1</v>
      </c>
      <c r="G162" s="697" t="str">
        <f>IFERROR(__xludf.DUMMYFUNCTION("""COMPUTED_VALUE"""),"4200mg, 150ug/kg")</f>
        <v>4200mg, 150ug/kg</v>
      </c>
      <c r="H162" s="697"/>
      <c r="I162" s="697"/>
      <c r="J162" s="697"/>
      <c r="K162" s="697"/>
      <c r="L162" s="697"/>
      <c r="M162" s="697"/>
      <c r="N162" s="697"/>
      <c r="O162" s="697"/>
      <c r="P162" s="697"/>
      <c r="Q162" s="697"/>
      <c r="R162" s="697"/>
      <c r="S162" s="697"/>
      <c r="T162" s="697"/>
      <c r="U162" s="697"/>
      <c r="V162" s="697"/>
      <c r="W162" s="697"/>
      <c r="X162" s="697"/>
      <c r="Y162" s="697"/>
      <c r="Z162" s="697"/>
      <c r="AA162" s="697"/>
      <c r="AB162" s="697"/>
      <c r="AC162" s="697"/>
      <c r="AD162" s="697"/>
      <c r="AE162" s="697" t="str">
        <f>IFERROR(__xludf.DUMMYFUNCTION("""COMPUTED_VALUE"""),"n/a")</f>
        <v>n/a</v>
      </c>
      <c r="AF162" s="697"/>
      <c r="AG162" s="697"/>
      <c r="AH162" s="697"/>
      <c r="AI162" s="697"/>
      <c r="AJ162" s="699" t="str">
        <f>IFERROR(__xludf.DUMMYFUNCTION("""COMPUTED_VALUE"""),"Masud")</f>
        <v>Masud</v>
      </c>
      <c r="AK162" s="697" t="str">
        <f>IFERROR(__xludf.DUMMYFUNCTION("""COMPUTED_VALUE"""),"11% patients before treatment, 8% after")</f>
        <v>11% patients before treatment, 8% after</v>
      </c>
      <c r="AL162" s="697"/>
      <c r="AM162" s="697"/>
      <c r="AN162" s="697"/>
      <c r="AO162" s="697"/>
      <c r="AP162" s="697" t="str">
        <f>IFERROR(__xludf.DUMMYFUNCTION("""COMPUTED_VALUE"""),"There was a significantly greater relief in patients treated with a combination of doxycycline and ivermectin, with marked improvement in onchocerciasis clinical symptoms, as compared to those patients who were treated with ivermectin alone.")</f>
        <v>There was a significantly greater relief in patients treated with a combination of doxycycline and ivermectin, with marked improvement in onchocerciasis clinical symptoms, as compared to those patients who were treated with ivermectin alone.</v>
      </c>
      <c r="AQ162" s="697" t="str">
        <f>IFERROR(__xludf.DUMMYFUNCTION("""COMPUTED_VALUE"""),"Tubenburg (Bomy County) of Liberia")</f>
        <v>Tubenburg (Bomy County) of Liberia</v>
      </c>
      <c r="AR162" s="697">
        <f>IFERROR(__xludf.DUMMYFUNCTION("""COMPUTED_VALUE"""),2009.0)</f>
        <v>2009</v>
      </c>
      <c r="AS162" s="697">
        <f>IFERROR(__xludf.DUMMYFUNCTION("""COMPUTED_VALUE"""),120.0)</f>
        <v>120</v>
      </c>
      <c r="AT162" s="697" t="str">
        <f>IFERROR(__xludf.DUMMYFUNCTION("""COMPUTED_VALUE"""),"6 months")</f>
        <v>6 months</v>
      </c>
      <c r="AU162" s="697" t="str">
        <f>IFERROR(__xludf.DUMMYFUNCTION("""COMPUTED_VALUE"""),"Masud, H., Qureshi, T., &amp; Dukley, M. (2009). Effects of Ivermectin with and without Doxycycline on Clinical Symptoms of Onchocerciasis. Journal of the College of Physicians and Surgeons Pakistan , 19(1), 34-38.")</f>
        <v>Masud, H., Qureshi, T., &amp; Dukley, M. (2009). Effects of Ivermectin with and without Doxycycline on Clinical Symptoms of Onchocerciasis. Journal of the College of Physicians and Surgeons Pakistan , 19(1), 34-38.</v>
      </c>
      <c r="AV162" s="697" t="str">
        <f>IFERROR(__xludf.DUMMYFUNCTION("""COMPUTED_VALUE"""),"65.42%M")</f>
        <v>65.42%M</v>
      </c>
      <c r="AW162" s="697" t="str">
        <f>IFERROR(__xludf.DUMMYFUNCTION("""COMPUTED_VALUE"""),"mean=34")</f>
        <v>mean=34</v>
      </c>
      <c r="AX162" s="697" t="str">
        <f>IFERROR(__xludf.DUMMYFUNCTION("""COMPUTED_VALUE"""),"Patients with history of exposure to black fly in endemic area, symptoms of generalized and ocular itching, visual impairment associated with pannus/perilimbal pigmen- tation, punctuate/sclerosing keratitis, iridocyclitis, chorioretinitis and optic atroph"&amp;"y were included in the study. ")</f>
        <v>Patients with history of exposure to black fly in endemic area, symptoms of generalized and ocular itching, visual impairment associated with pannus/perilimbal pigmen- tation, punctuate/sclerosing keratitis, iridocyclitis, chorioretinitis and optic atrophy were included in the study. </v>
      </c>
      <c r="AY162" s="697"/>
      <c r="AZ162" s="697" t="str">
        <f>IFERROR(__xludf.DUMMYFUNCTION("""COMPUTED_VALUE"""),"yes")</f>
        <v>yes</v>
      </c>
      <c r="BA162" s="697"/>
      <c r="BB162" s="697"/>
      <c r="BC162" s="697" t="str">
        <f>IFERROR(__xludf.DUMMYFUNCTION("""COMPUTED_VALUE"""),"re was a significantly greater relief in patients of group II treated with a combination of doxycycline and ivermectin as compared to those patients who were treated with ivermectin alone. Eighty four patients (70%) of group I and 117 (98%) patients of gr"&amp;"oup II responded to treatment with improvement in clinical features. Vis")</f>
        <v>re was a significantly greater relief in patients of group II treated with a combination of doxycycline and ivermectin as compared to those patients who were treated with ivermectin alone. Eighty four patients (70%) of group I and 117 (98%) patients of group II responded to treatment with improvement in clinical features. Vis</v>
      </c>
      <c r="BD162" s="697"/>
      <c r="BE162" s="697"/>
      <c r="BF162" s="697"/>
      <c r="BG162" s="697"/>
    </row>
    <row r="163">
      <c r="A163" s="697"/>
      <c r="B163" s="699" t="str">
        <f>IFERROR(__xludf.DUMMYFUNCTION("""COMPUTED_VALUE"""),"Richards")</f>
        <v>Richards</v>
      </c>
      <c r="C163" s="697" t="str">
        <f>IFERROR(__xludf.DUMMYFUNCTION("""COMPUTED_VALUE"""),"Guatemala")</f>
        <v>Guatemala</v>
      </c>
      <c r="D163" s="697" t="str">
        <f>IFERROR(__xludf.DUMMYFUNCTION("""COMPUTED_VALUE"""),"Control")</f>
        <v>Control</v>
      </c>
      <c r="E163" s="697" t="str">
        <f>IFERROR(__xludf.DUMMYFUNCTION("""COMPUTED_VALUE"""),"1 multivitamin")</f>
        <v>1 multivitamin</v>
      </c>
      <c r="F163" s="697">
        <f>IFERROR(__xludf.DUMMYFUNCTION("""COMPUTED_VALUE"""),1.0)</f>
        <v>1</v>
      </c>
      <c r="G163" s="697" t="str">
        <f>IFERROR(__xludf.DUMMYFUNCTION("""COMPUTED_VALUE"""),"daily")</f>
        <v>daily</v>
      </c>
      <c r="H163" s="697"/>
      <c r="I163" s="697"/>
      <c r="J163" s="697"/>
      <c r="K163" s="697"/>
      <c r="L163" s="697"/>
      <c r="M163" s="697"/>
      <c r="N163" s="697"/>
      <c r="O163" s="697"/>
      <c r="P163" s="697"/>
      <c r="Q163" s="697"/>
      <c r="R163" s="697"/>
      <c r="S163" s="697"/>
      <c r="T163" s="697"/>
      <c r="U163" s="697"/>
      <c r="V163" s="697"/>
      <c r="W163" s="697"/>
      <c r="X163" s="697"/>
      <c r="Y163" s="697"/>
      <c r="Z163" s="697"/>
      <c r="AA163" s="697"/>
      <c r="AB163" s="697"/>
      <c r="AC163" s="697"/>
      <c r="AD163" s="697"/>
      <c r="AE163" s="697" t="str">
        <f>IFERROR(__xludf.DUMMYFUNCTION("""COMPUTED_VALUE"""),"n/a")</f>
        <v>n/a</v>
      </c>
      <c r="AF163" s="697"/>
      <c r="AG163" s="697"/>
      <c r="AH163" s="697"/>
      <c r="AI163" s="697"/>
      <c r="AJ163" s="699" t="str">
        <f>IFERROR(__xludf.DUMMYFUNCTION("""COMPUTED_VALUE"""),"Richards")</f>
        <v>Richards</v>
      </c>
      <c r="AK163" s="697" t="str">
        <f>IFERROR(__xludf.DUMMYFUNCTION("""COMPUTED_VALUE"""),"26.1% of nodules contained only dead worms (range = 20–31.3%). Male worms were found in 27.6% of nodules (range = 21.9–40%); 97% of male worms were living, and 94% of those that could be assessed contained Wolbachia . Differences between groups were not s"&amp;"tatistically significant. As in the WSP analysis, we limited our analysis for reproductive activity to the subset of 87 nodules that contained only live female worm segments. Overall, 27.6% of female worms were fertile, ranging from 25% (RIF) to 33.3% (AZ"&amp;"T) and differences between groups were not statistically significant")</f>
        <v>26.1% of nodules contained only dead worms (range = 20–31.3%). Male worms were found in 27.6% of nodules (range = 21.9–40%); 97% of male worms were living, and 94% of those that could be assessed contained Wolbachia . Differences between groups were not statistically significant. As in the WSP analysis, we limited our analysis for reproductive activity to the subset of 87 nodules that contained only live female worm segments. Overall, 27.6% of female worms were fertile, ranging from 25% (RIF) to 33.3% (AZT) and differences between groups were not statistically significant</v>
      </c>
      <c r="AL163" s="697"/>
      <c r="AM163" s="697"/>
      <c r="AN163" s="697"/>
      <c r="AO163" s="697"/>
      <c r="AP163" s="697" t="str">
        <f>IFERROR(__xludf.DUMMYFUNCTION("""COMPUTED_VALUE"""),"Nodulectomy: mf positive")</f>
        <v>Nodulectomy: mf positive</v>
      </c>
      <c r="AQ163" s="697" t="str">
        <f>IFERROR(__xludf.DUMMYFUNCTION("""COMPUTED_VALUE"""),"Guatemala City")</f>
        <v>Guatemala City</v>
      </c>
      <c r="AR163" s="697">
        <f>IFERROR(__xludf.DUMMYFUNCTION("""COMPUTED_VALUE"""),2007.0)</f>
        <v>2007</v>
      </c>
      <c r="AS163" s="697">
        <f>IFERROR(__xludf.DUMMYFUNCTION("""COMPUTED_VALUE"""),16.0)</f>
        <v>16</v>
      </c>
      <c r="AT163" s="697" t="str">
        <f>IFERROR(__xludf.DUMMYFUNCTION("""COMPUTED_VALUE"""),"9 months")</f>
        <v>9 months</v>
      </c>
      <c r="AU163" s="699" t="str">
        <f>IFERROR(__xludf.DUMMYFUNCTION("""COMPUTED_VALUE"""),"Frank O. Richards Jr., Josef Amann, Byron Arana, George Punkosdy, Robert Klein, Carlos Blanco, Beatriz Lopez, Carlos Mendoza, Alfredo Domínguez, Jeannette Guarner, James H. Maguire, Mark Eberhard. No Depletion of Wolbachia from Onchocerca volvulus after a"&amp;" Short Course of Rifampin and/or Azithromycin, The American Journal of Tropical Medicine and Hygiene, 2007, 878-882,")</f>
        <v>Frank O. Richards Jr., Josef Amann, Byron Arana, George Punkosdy, Robert Klein, Carlos Blanco, Beatriz Lopez, Carlos Mendoza, Alfredo Domínguez, Jeannette Guarner, James H. Maguire, Mark Eberhard. No Depletion of Wolbachia from Onchocerca volvulus after a Short Course of Rifampin and/or Azithromycin, The American Journal of Tropical Medicine and Hygiene, 2007, 878-882,</v>
      </c>
      <c r="AV163" s="697" t="str">
        <f>IFERROR(__xludf.DUMMYFUNCTION("""COMPUTED_VALUE"""),"88%M")</f>
        <v>88%M</v>
      </c>
      <c r="AW163" s="697" t="str">
        <f>IFERROR(__xludf.DUMMYFUNCTION("""COMPUTED_VALUE"""),"5-60")</f>
        <v>5-60</v>
      </c>
      <c r="AX163" s="697" t="str">
        <f>IFERROR(__xludf.DUMMYFUNCTION("""COMPUTED_VALUE"""),"Children ≤ 10 years of age were randomized separately because they were likely to have younger O. volvulus worms exposed to less ivermectin treatment. ")</f>
        <v>Children ≤ 10 years of age were randomized separately because they were likely to have younger O. volvulus worms exposed to less ivermectin treatment. </v>
      </c>
      <c r="AY163" s="697" t="str">
        <f>IFERROR(__xludf.DUMMYFUNCTION("""COMPUTED_VALUE"""),"no")</f>
        <v>no</v>
      </c>
      <c r="AZ163" s="697" t="str">
        <f>IFERROR(__xludf.DUMMYFUNCTION("""COMPUTED_VALUE"""),"yes")</f>
        <v>yes</v>
      </c>
      <c r="BA163" s="697"/>
      <c r="BB163" s="697"/>
      <c r="BC163" s="697" t="str">
        <f>IFERROR(__xludf.DUMMYFUNCTION("""COMPUTED_VALUE"""),"Overall, 93.1% of living female worms contained WSP (Figure 1⇓), and less than 10% of positive samples were weakly staining (1+). Combined reproductive and lateral cord WSP results ranged from a low of 85.7% in the RIF group to 100% in the AZT and COMB gr"&amp;"oups, but these differences were not statistically significant when analyzed qualitatively and semiquantitatively")</f>
        <v>Overall, 93.1% of living female worms contained WSP (Figure 1⇓), and less than 10% of positive samples were weakly staining (1+). Combined reproductive and lateral cord WSP results ranged from a low of 85.7% in the RIF group to 100% in the AZT and COMB groups, but these differences were not statistically significant when analyzed qualitatively and semiquantitatively</v>
      </c>
      <c r="BD163" s="697"/>
      <c r="BE163" s="697"/>
      <c r="BF163" s="697"/>
      <c r="BG163" s="697"/>
    </row>
    <row r="164">
      <c r="A164" s="697"/>
      <c r="B164" s="699" t="str">
        <f>IFERROR(__xludf.DUMMYFUNCTION("""COMPUTED_VALUE"""),"Richards")</f>
        <v>Richards</v>
      </c>
      <c r="C164" s="697" t="str">
        <f>IFERROR(__xludf.DUMMYFUNCTION("""COMPUTED_VALUE"""),"Guatemala")</f>
        <v>Guatemala</v>
      </c>
      <c r="D164" s="697" t="str">
        <f>IFERROR(__xludf.DUMMYFUNCTION("""COMPUTED_VALUE"""),"Azithromycin")</f>
        <v>Azithromycin</v>
      </c>
      <c r="E164" s="697" t="str">
        <f>IFERROR(__xludf.DUMMYFUNCTION("""COMPUTED_VALUE"""),"12mg/kg")</f>
        <v>12mg/kg</v>
      </c>
      <c r="F164" s="697">
        <f>IFERROR(__xludf.DUMMYFUNCTION("""COMPUTED_VALUE"""),1.0)</f>
        <v>1</v>
      </c>
      <c r="G164" s="697" t="str">
        <f>IFERROR(__xludf.DUMMYFUNCTION("""COMPUTED_VALUE"""),"max: 500mg/day")</f>
        <v>max: 500mg/day</v>
      </c>
      <c r="H164" s="697"/>
      <c r="I164" s="697"/>
      <c r="J164" s="697"/>
      <c r="K164" s="697"/>
      <c r="L164" s="697"/>
      <c r="M164" s="697"/>
      <c r="N164" s="697"/>
      <c r="O164" s="697"/>
      <c r="P164" s="697"/>
      <c r="Q164" s="697"/>
      <c r="R164" s="697"/>
      <c r="S164" s="697"/>
      <c r="T164" s="697"/>
      <c r="U164" s="697"/>
      <c r="V164" s="697"/>
      <c r="W164" s="697"/>
      <c r="X164" s="697"/>
      <c r="Y164" s="697"/>
      <c r="Z164" s="697"/>
      <c r="AA164" s="697"/>
      <c r="AB164" s="697"/>
      <c r="AC164" s="697"/>
      <c r="AD164" s="697"/>
      <c r="AE164" s="697" t="str">
        <f>IFERROR(__xludf.DUMMYFUNCTION("""COMPUTED_VALUE"""),"n/a")</f>
        <v>n/a</v>
      </c>
      <c r="AF164" s="697"/>
      <c r="AG164" s="697"/>
      <c r="AH164" s="697"/>
      <c r="AI164" s="697"/>
      <c r="AJ164" s="699" t="str">
        <f>IFERROR(__xludf.DUMMYFUNCTION("""COMPUTED_VALUE"""),"Richards")</f>
        <v>Richards</v>
      </c>
      <c r="AK164" s="697" t="str">
        <f>IFERROR(__xludf.DUMMYFUNCTION("""COMPUTED_VALUE"""),"26.1% of nodules contained only dead worms (range = 20–31.3%). Male worms were found in 27.6% of nodules (range = 21.9–40%); 97% of male worms were living, and 94% of those that could be assessed contained Wolbachia . Differences between groups were not s"&amp;"tatistically significant. As in the WSP analysis, we limited our analysis for reproductive activity to the subset of 87 nodules that contained only live female worm segments. Overall, 27.6% of female worms were fertile, ranging from 25% (RIF) to 33.3% (AZ"&amp;"T) and differences between groups were not statistically significant")</f>
        <v>26.1% of nodules contained only dead worms (range = 20–31.3%). Male worms were found in 27.6% of nodules (range = 21.9–40%); 97% of male worms were living, and 94% of those that could be assessed contained Wolbachia . Differences between groups were not statistically significant. As in the WSP analysis, we limited our analysis for reproductive activity to the subset of 87 nodules that contained only live female worm segments. Overall, 27.6% of female worms were fertile, ranging from 25% (RIF) to 33.3% (AZT) and differences between groups were not statistically significant</v>
      </c>
      <c r="AL164" s="697"/>
      <c r="AM164" s="697"/>
      <c r="AN164" s="697"/>
      <c r="AO164" s="697"/>
      <c r="AP164" s="697" t="str">
        <f>IFERROR(__xludf.DUMMYFUNCTION("""COMPUTED_VALUE"""),"Nodulectomy: mf positive")</f>
        <v>Nodulectomy: mf positive</v>
      </c>
      <c r="AQ164" s="697" t="str">
        <f>IFERROR(__xludf.DUMMYFUNCTION("""COMPUTED_VALUE"""),"Guatemala City")</f>
        <v>Guatemala City</v>
      </c>
      <c r="AR164" s="697">
        <f>IFERROR(__xludf.DUMMYFUNCTION("""COMPUTED_VALUE"""),2007.0)</f>
        <v>2007</v>
      </c>
      <c r="AS164" s="697">
        <f>IFERROR(__xludf.DUMMYFUNCTION("""COMPUTED_VALUE"""),20.0)</f>
        <v>20</v>
      </c>
      <c r="AT164" s="697" t="str">
        <f>IFERROR(__xludf.DUMMYFUNCTION("""COMPUTED_VALUE"""),"9 months")</f>
        <v>9 months</v>
      </c>
      <c r="AU164" s="699" t="str">
        <f>IFERROR(__xludf.DUMMYFUNCTION("""COMPUTED_VALUE"""),"Frank O. Richards Jr., Josef Amann, Byron Arana, George Punkosdy, Robert Klein, Carlos Blanco, Beatriz Lopez, Carlos Mendoza, Alfredo Domínguez, Jeannette Guarner, James H. Maguire, Mark Eberhard. No Depletion of Wolbachia from Onchocerca volvulus after a"&amp;" Short Course of Rifampin and/or Azithromycin, The American Journal of Tropical Medicine and Hygiene, 2007, 878-882,")</f>
        <v>Frank O. Richards Jr., Josef Amann, Byron Arana, George Punkosdy, Robert Klein, Carlos Blanco, Beatriz Lopez, Carlos Mendoza, Alfredo Domínguez, Jeannette Guarner, James H. Maguire, Mark Eberhard. No Depletion of Wolbachia from Onchocerca volvulus after a Short Course of Rifampin and/or Azithromycin, The American Journal of Tropical Medicine and Hygiene, 2007, 878-882,</v>
      </c>
      <c r="AV164" s="697" t="str">
        <f>IFERROR(__xludf.DUMMYFUNCTION("""COMPUTED_VALUE"""),"80%M")</f>
        <v>80%M</v>
      </c>
      <c r="AW164" s="697" t="str">
        <f>IFERROR(__xludf.DUMMYFUNCTION("""COMPUTED_VALUE"""),"5-45")</f>
        <v>5-45</v>
      </c>
      <c r="AX164" s="697" t="str">
        <f>IFERROR(__xludf.DUMMYFUNCTION("""COMPUTED_VALUE"""),"Children ≤ 10 years of age were randomized separately because they were likely to have younger O. volvulus worms exposed to less ivermectin treatment. ")</f>
        <v>Children ≤ 10 years of age were randomized separately because they were likely to have younger O. volvulus worms exposed to less ivermectin treatment. </v>
      </c>
      <c r="AY164" s="697" t="str">
        <f>IFERROR(__xludf.DUMMYFUNCTION("""COMPUTED_VALUE"""),"no")</f>
        <v>no</v>
      </c>
      <c r="AZ164" s="697" t="str">
        <f>IFERROR(__xludf.DUMMYFUNCTION("""COMPUTED_VALUE"""),"yes")</f>
        <v>yes</v>
      </c>
      <c r="BA164" s="697"/>
      <c r="BB164" s="697"/>
      <c r="BC164" s="697" t="str">
        <f>IFERROR(__xludf.DUMMYFUNCTION("""COMPUTED_VALUE"""),"Overall, 93.1% of living female worms contained WSP (Figure 1⇓), and less than 10% of positive samples were weakly staining (1+). Combined reproductive and lateral cord WSP results ranged from a low of 85.7% in the RIF group to 100% in the AZT and COMB gr"&amp;"oups, but these differences were not statistically significant when analyzed qualitatively and semiquantitatively")</f>
        <v>Overall, 93.1% of living female worms contained WSP (Figure 1⇓), and less than 10% of positive samples were weakly staining (1+). Combined reproductive and lateral cord WSP results ranged from a low of 85.7% in the RIF group to 100% in the AZT and COMB groups, but these differences were not statistically significant when analyzed qualitatively and semiquantitatively</v>
      </c>
      <c r="BD164" s="697"/>
      <c r="BE164" s="697"/>
      <c r="BF164" s="697"/>
      <c r="BG164" s="697"/>
    </row>
    <row r="165">
      <c r="A165" s="697"/>
      <c r="B165" s="699" t="str">
        <f>IFERROR(__xludf.DUMMYFUNCTION("""COMPUTED_VALUE"""),"Richards")</f>
        <v>Richards</v>
      </c>
      <c r="C165" s="697" t="str">
        <f>IFERROR(__xludf.DUMMYFUNCTION("""COMPUTED_VALUE"""),"Guatemala")</f>
        <v>Guatemala</v>
      </c>
      <c r="D165" s="697" t="str">
        <f>IFERROR(__xludf.DUMMYFUNCTION("""COMPUTED_VALUE"""),"Rifampicin")</f>
        <v>Rifampicin</v>
      </c>
      <c r="E165" s="697" t="str">
        <f>IFERROR(__xludf.DUMMYFUNCTION("""COMPUTED_VALUE"""),"20mg/kg")</f>
        <v>20mg/kg</v>
      </c>
      <c r="F165" s="697">
        <f>IFERROR(__xludf.DUMMYFUNCTION("""COMPUTED_VALUE"""),1.0)</f>
        <v>1</v>
      </c>
      <c r="G165" s="697" t="str">
        <f>IFERROR(__xludf.DUMMYFUNCTION("""COMPUTED_VALUE"""),"max: 600mg/day")</f>
        <v>max: 600mg/day</v>
      </c>
      <c r="H165" s="697"/>
      <c r="I165" s="697"/>
      <c r="J165" s="697"/>
      <c r="K165" s="697"/>
      <c r="L165" s="697"/>
      <c r="M165" s="697"/>
      <c r="N165" s="697"/>
      <c r="O165" s="697"/>
      <c r="P165" s="697"/>
      <c r="Q165" s="697"/>
      <c r="R165" s="697"/>
      <c r="S165" s="697"/>
      <c r="T165" s="697"/>
      <c r="U165" s="697"/>
      <c r="V165" s="697"/>
      <c r="W165" s="697"/>
      <c r="X165" s="697"/>
      <c r="Y165" s="697"/>
      <c r="Z165" s="697"/>
      <c r="AA165" s="697"/>
      <c r="AB165" s="697"/>
      <c r="AC165" s="697"/>
      <c r="AD165" s="697"/>
      <c r="AE165" s="697" t="str">
        <f>IFERROR(__xludf.DUMMYFUNCTION("""COMPUTED_VALUE"""),"n/a")</f>
        <v>n/a</v>
      </c>
      <c r="AF165" s="697"/>
      <c r="AG165" s="697"/>
      <c r="AH165" s="697"/>
      <c r="AI165" s="697"/>
      <c r="AJ165" s="699" t="str">
        <f>IFERROR(__xludf.DUMMYFUNCTION("""COMPUTED_VALUE"""),"Richards")</f>
        <v>Richards</v>
      </c>
      <c r="AK165" s="697" t="str">
        <f>IFERROR(__xludf.DUMMYFUNCTION("""COMPUTED_VALUE"""),"26.1% of nodules contained only dead worms (range = 20–31.3%). Male worms were found in 27.6% of nodules (range = 21.9–40%); 97% of male worms were living, and 94% of those that could be assessed contained Wolbachia . Differences between groups were not s"&amp;"tatistically significant. As in the WSP analysis, we limited our analysis for reproductive activity to the subset of 87 nodules that contained only live female worm segments. Overall, 27.6% of female worms were fertile, ranging from 25% (RIF) to 33.3% (AZ"&amp;"T) and differences between groups were not statistically significant")</f>
        <v>26.1% of nodules contained only dead worms (range = 20–31.3%). Male worms were found in 27.6% of nodules (range = 21.9–40%); 97% of male worms were living, and 94% of those that could be assessed contained Wolbachia . Differences between groups were not statistically significant. As in the WSP analysis, we limited our analysis for reproductive activity to the subset of 87 nodules that contained only live female worm segments. Overall, 27.6% of female worms were fertile, ranging from 25% (RIF) to 33.3% (AZT) and differences between groups were not statistically significant</v>
      </c>
      <c r="AL165" s="697"/>
      <c r="AM165" s="697"/>
      <c r="AN165" s="697"/>
      <c r="AO165" s="697"/>
      <c r="AP165" s="697" t="str">
        <f>IFERROR(__xludf.DUMMYFUNCTION("""COMPUTED_VALUE"""),"Nodulectomy: mf positive")</f>
        <v>Nodulectomy: mf positive</v>
      </c>
      <c r="AQ165" s="697" t="str">
        <f>IFERROR(__xludf.DUMMYFUNCTION("""COMPUTED_VALUE"""),"Guatemala City")</f>
        <v>Guatemala City</v>
      </c>
      <c r="AR165" s="697">
        <f>IFERROR(__xludf.DUMMYFUNCTION("""COMPUTED_VALUE"""),2007.0)</f>
        <v>2007</v>
      </c>
      <c r="AS165" s="697">
        <f>IFERROR(__xludf.DUMMYFUNCTION("""COMPUTED_VALUE"""),17.0)</f>
        <v>17</v>
      </c>
      <c r="AT165" s="697" t="str">
        <f>IFERROR(__xludf.DUMMYFUNCTION("""COMPUTED_VALUE"""),"9 months")</f>
        <v>9 months</v>
      </c>
      <c r="AU165" s="699" t="str">
        <f>IFERROR(__xludf.DUMMYFUNCTION("""COMPUTED_VALUE"""),"Frank O. Richards Jr., Josef Amann, Byron Arana, George Punkosdy, Robert Klein, Carlos Blanco, Beatriz Lopez, Carlos Mendoza, Alfredo Domínguez, Jeannette Guarner, James H. Maguire, Mark Eberhard. No Depletion of Wolbachia from Onchocerca volvulus after a"&amp;" Short Course of Rifampin and/or Azithromycin, The American Journal of Tropical Medicine and Hygiene, 2007, 878-882,")</f>
        <v>Frank O. Richards Jr., Josef Amann, Byron Arana, George Punkosdy, Robert Klein, Carlos Blanco, Beatriz Lopez, Carlos Mendoza, Alfredo Domínguez, Jeannette Guarner, James H. Maguire, Mark Eberhard. No Depletion of Wolbachia from Onchocerca volvulus after a Short Course of Rifampin and/or Azithromycin, The American Journal of Tropical Medicine and Hygiene, 2007, 878-882,</v>
      </c>
      <c r="AV165" s="697" t="str">
        <f>IFERROR(__xludf.DUMMYFUNCTION("""COMPUTED_VALUE"""),"100%M")</f>
        <v>100%M</v>
      </c>
      <c r="AW165" s="697" t="str">
        <f>IFERROR(__xludf.DUMMYFUNCTION("""COMPUTED_VALUE"""),"5-61")</f>
        <v>5-61</v>
      </c>
      <c r="AX165" s="697" t="str">
        <f>IFERROR(__xludf.DUMMYFUNCTION("""COMPUTED_VALUE"""),"Children ≤ 10 years of age were randomized separately because they were likely to have younger O. volvulus worms exposed to less ivermectin treatment. ")</f>
        <v>Children ≤ 10 years of age were randomized separately because they were likely to have younger O. volvulus worms exposed to less ivermectin treatment. </v>
      </c>
      <c r="AY165" s="697" t="str">
        <f>IFERROR(__xludf.DUMMYFUNCTION("""COMPUTED_VALUE"""),"no")</f>
        <v>no</v>
      </c>
      <c r="AZ165" s="697" t="str">
        <f>IFERROR(__xludf.DUMMYFUNCTION("""COMPUTED_VALUE"""),"yes")</f>
        <v>yes</v>
      </c>
      <c r="BA165" s="697"/>
      <c r="BB165" s="697"/>
      <c r="BC165" s="697" t="str">
        <f>IFERROR(__xludf.DUMMYFUNCTION("""COMPUTED_VALUE"""),"Overall, 93.1% of living female worms contained WSP (Figure 1⇓), and less than 10% of positive samples were weakly staining (1+). Combined reproductive and lateral cord WSP results ranged from a low of 85.7% in the RIF group to 100% in the AZT and COMB gr"&amp;"oups, but these differences were not statistically significant when analyzed qualitatively and semiquantitatively")</f>
        <v>Overall, 93.1% of living female worms contained WSP (Figure 1⇓), and less than 10% of positive samples were weakly staining (1+). Combined reproductive and lateral cord WSP results ranged from a low of 85.7% in the RIF group to 100% in the AZT and COMB groups, but these differences were not statistically significant when analyzed qualitatively and semiquantitatively</v>
      </c>
      <c r="BD165" s="697"/>
      <c r="BE165" s="697"/>
      <c r="BF165" s="697"/>
      <c r="BG165" s="697"/>
    </row>
    <row r="166">
      <c r="A166" s="697"/>
      <c r="B166" s="699" t="str">
        <f>IFERROR(__xludf.DUMMYFUNCTION("""COMPUTED_VALUE"""),"Richards")</f>
        <v>Richards</v>
      </c>
      <c r="C166" s="697" t="str">
        <f>IFERROR(__xludf.DUMMYFUNCTION("""COMPUTED_VALUE"""),"Guatemala")</f>
        <v>Guatemala</v>
      </c>
      <c r="D166" s="697" t="str">
        <f>IFERROR(__xludf.DUMMYFUNCTION("""COMPUTED_VALUE"""),"Azithromycin &amp; rifampicin")</f>
        <v>Azithromycin &amp; rifampicin</v>
      </c>
      <c r="E166" s="697" t="str">
        <f>IFERROR(__xludf.DUMMYFUNCTION("""COMPUTED_VALUE"""),"12mg/kg, 20mg/kg")</f>
        <v>12mg/kg, 20mg/kg</v>
      </c>
      <c r="F166" s="697" t="str">
        <f>IFERROR(__xludf.DUMMYFUNCTION("""COMPUTED_VALUE"""),"1,1")</f>
        <v>1,1</v>
      </c>
      <c r="G166" s="697" t="str">
        <f>IFERROR(__xludf.DUMMYFUNCTION("""COMPUTED_VALUE"""),"max: 500, 600mg/day")</f>
        <v>max: 500, 600mg/day</v>
      </c>
      <c r="H166" s="697"/>
      <c r="I166" s="697"/>
      <c r="J166" s="697"/>
      <c r="K166" s="697"/>
      <c r="L166" s="697"/>
      <c r="M166" s="697"/>
      <c r="N166" s="697"/>
      <c r="O166" s="697"/>
      <c r="P166" s="697"/>
      <c r="Q166" s="697"/>
      <c r="R166" s="697"/>
      <c r="S166" s="697"/>
      <c r="T166" s="697"/>
      <c r="U166" s="697"/>
      <c r="V166" s="697"/>
      <c r="W166" s="697"/>
      <c r="X166" s="697"/>
      <c r="Y166" s="697"/>
      <c r="Z166" s="697"/>
      <c r="AA166" s="697"/>
      <c r="AB166" s="697"/>
      <c r="AC166" s="697"/>
      <c r="AD166" s="697"/>
      <c r="AE166" s="697" t="str">
        <f>IFERROR(__xludf.DUMMYFUNCTION("""COMPUTED_VALUE"""),"n/a")</f>
        <v>n/a</v>
      </c>
      <c r="AF166" s="697"/>
      <c r="AG166" s="697"/>
      <c r="AH166" s="697"/>
      <c r="AI166" s="697"/>
      <c r="AJ166" s="699" t="str">
        <f>IFERROR(__xludf.DUMMYFUNCTION("""COMPUTED_VALUE"""),"Richards")</f>
        <v>Richards</v>
      </c>
      <c r="AK166" s="697" t="str">
        <f>IFERROR(__xludf.DUMMYFUNCTION("""COMPUTED_VALUE"""),"26.1% of nodules contained only dead worms (range = 20–31.3%). Male worms were found in 27.6% of nodules (range = 21.9–40%); 97% of male worms were living, and 94% of those that could be assessed contained Wolbachia . Differences between groups were not s"&amp;"tatistically significant. As in the WSP analysis, we limited our analysis for reproductive activity to the subset of 87 nodules that contained only live female worm segments. Overall, 27.6% of female worms were fertile, ranging from 25% (RIF) to 33.3% (AZ"&amp;"T) and differences between groups were not statistically significant")</f>
        <v>26.1% of nodules contained only dead worms (range = 20–31.3%). Male worms were found in 27.6% of nodules (range = 21.9–40%); 97% of male worms were living, and 94% of those that could be assessed contained Wolbachia . Differences between groups were not statistically significant. As in the WSP analysis, we limited our analysis for reproductive activity to the subset of 87 nodules that contained only live female worm segments. Overall, 27.6% of female worms were fertile, ranging from 25% (RIF) to 33.3% (AZT) and differences between groups were not statistically significant</v>
      </c>
      <c r="AL166" s="697"/>
      <c r="AM166" s="697"/>
      <c r="AN166" s="697"/>
      <c r="AO166" s="697"/>
      <c r="AP166" s="697" t="str">
        <f>IFERROR(__xludf.DUMMYFUNCTION("""COMPUTED_VALUE"""),"Nodulectomy: mf positive")</f>
        <v>Nodulectomy: mf positive</v>
      </c>
      <c r="AQ166" s="697" t="str">
        <f>IFERROR(__xludf.DUMMYFUNCTION("""COMPUTED_VALUE"""),"Guatemala City")</f>
        <v>Guatemala City</v>
      </c>
      <c r="AR166" s="697">
        <f>IFERROR(__xludf.DUMMYFUNCTION("""COMPUTED_VALUE"""),2007.0)</f>
        <v>2007</v>
      </c>
      <c r="AS166" s="697">
        <f>IFERROR(__xludf.DUMMYFUNCTION("""COMPUTED_VALUE"""),20.0)</f>
        <v>20</v>
      </c>
      <c r="AT166" s="697" t="str">
        <f>IFERROR(__xludf.DUMMYFUNCTION("""COMPUTED_VALUE"""),"9 months")</f>
        <v>9 months</v>
      </c>
      <c r="AU166" s="699" t="str">
        <f>IFERROR(__xludf.DUMMYFUNCTION("""COMPUTED_VALUE"""),"Frank O. Richards Jr., Josef Amann, Byron Arana, George Punkosdy, Robert Klein, Carlos Blanco, Beatriz Lopez, Carlos Mendoza, Alfredo Domínguez, Jeannette Guarner, James H. Maguire, Mark Eberhard. No Depletion of Wolbachia from Onchocerca volvulus after a"&amp;" Short Course of Rifampin and/or Azithromycin, The American Journal of Tropical Medicine and Hygiene, 2007, 878-882,")</f>
        <v>Frank O. Richards Jr., Josef Amann, Byron Arana, George Punkosdy, Robert Klein, Carlos Blanco, Beatriz Lopez, Carlos Mendoza, Alfredo Domínguez, Jeannette Guarner, James H. Maguire, Mark Eberhard. No Depletion of Wolbachia from Onchocerca volvulus after a Short Course of Rifampin and/or Azithromycin, The American Journal of Tropical Medicine and Hygiene, 2007, 878-882,</v>
      </c>
      <c r="AV166" s="697" t="str">
        <f>IFERROR(__xludf.DUMMYFUNCTION("""COMPUTED_VALUE"""),"75%M")</f>
        <v>75%M</v>
      </c>
      <c r="AW166" s="697" t="str">
        <f>IFERROR(__xludf.DUMMYFUNCTION("""COMPUTED_VALUE"""),"7-61")</f>
        <v>7-61</v>
      </c>
      <c r="AX166" s="697" t="str">
        <f>IFERROR(__xludf.DUMMYFUNCTION("""COMPUTED_VALUE"""),"Children ≤ 10 years of age were randomized separately because they were likely to have younger O. volvulus worms exposed to less ivermectin treatment. ")</f>
        <v>Children ≤ 10 years of age were randomized separately because they were likely to have younger O. volvulus worms exposed to less ivermectin treatment. </v>
      </c>
      <c r="AY166" s="697" t="str">
        <f>IFERROR(__xludf.DUMMYFUNCTION("""COMPUTED_VALUE"""),"no")</f>
        <v>no</v>
      </c>
      <c r="AZ166" s="697" t="str">
        <f>IFERROR(__xludf.DUMMYFUNCTION("""COMPUTED_VALUE"""),"yes")</f>
        <v>yes</v>
      </c>
      <c r="BA166" s="697"/>
      <c r="BB166" s="697"/>
      <c r="BC166" s="697" t="str">
        <f>IFERROR(__xludf.DUMMYFUNCTION("""COMPUTED_VALUE"""),"Overall, 93.1% of living female worms contained WSP (Figure 1⇓), and less than 10% of positive samples were weakly staining (1+). Combined reproductive and lateral cord WSP results ranged from a low of 85.7% in the RIF group to 100% in the AZT and COMB gr"&amp;"oups, but these differences were not statistically significant when analyzed qualitatively and semiquantitatively")</f>
        <v>Overall, 93.1% of living female worms contained WSP (Figure 1⇓), and less than 10% of positive samples were weakly staining (1+). Combined reproductive and lateral cord WSP results ranged from a low of 85.7% in the RIF group to 100% in the AZT and COMB groups, but these differences were not statistically significant when analyzed qualitatively and semiquantitatively</v>
      </c>
      <c r="BD166" s="697"/>
      <c r="BE166" s="697"/>
      <c r="BF166" s="697"/>
      <c r="BG166" s="697"/>
    </row>
    <row r="167">
      <c r="A167" s="697" t="str">
        <f>IFERROR(__xludf.DUMMYFUNCTION("""COMPUTED_VALUE"""),"2 New Hoerauf's-&gt;")</f>
        <v>2 New Hoerauf's-&gt;</v>
      </c>
      <c r="B167" s="699" t="str">
        <f>IFERROR(__xludf.DUMMYFUNCTION("""COMPUTED_VALUE"""),"Hoerauf")</f>
        <v>Hoerauf</v>
      </c>
      <c r="C167" s="697" t="str">
        <f>IFERROR(__xludf.DUMMYFUNCTION("""COMPUTED_VALUE"""),"Ghana")</f>
        <v>Ghana</v>
      </c>
      <c r="D167" s="697" t="str">
        <f>IFERROR(__xludf.DUMMYFUNCTION("""COMPUTED_VALUE"""),"Azithromycin")</f>
        <v>Azithromycin</v>
      </c>
      <c r="E167" s="697" t="str">
        <f>IFERROR(__xludf.DUMMYFUNCTION("""COMPUTED_VALUE"""),"250mg")</f>
        <v>250mg</v>
      </c>
      <c r="F167" s="697" t="str">
        <f>IFERROR(__xludf.DUMMYFUNCTION("""COMPUTED_VALUE"""),"1/day")</f>
        <v>1/day</v>
      </c>
      <c r="G167" s="697" t="str">
        <f>IFERROR(__xludf.DUMMYFUNCTION("""COMPUTED_VALUE"""),"10,500mg")</f>
        <v>10,500mg</v>
      </c>
      <c r="H167" s="697"/>
      <c r="I167" s="697"/>
      <c r="J167" s="697"/>
      <c r="K167" s="697"/>
      <c r="L167" s="697"/>
      <c r="M167" s="697"/>
      <c r="N167" s="697"/>
      <c r="O167" s="697"/>
      <c r="P167" s="697"/>
      <c r="Q167" s="697"/>
      <c r="R167" s="697"/>
      <c r="S167" s="697"/>
      <c r="T167" s="697"/>
      <c r="U167" s="697"/>
      <c r="V167" s="697"/>
      <c r="W167" s="697"/>
      <c r="X167" s="697"/>
      <c r="Y167" s="697"/>
      <c r="Z167" s="697"/>
      <c r="AA167" s="697"/>
      <c r="AB167" s="697"/>
      <c r="AC167" s="697"/>
      <c r="AD167" s="697"/>
      <c r="AE167" s="697" t="str">
        <f>IFERROR(__xludf.DUMMYFUNCTION("""COMPUTED_VALUE"""),"n/a")</f>
        <v>n/a</v>
      </c>
      <c r="AF167" s="697"/>
      <c r="AG167" s="697"/>
      <c r="AH167" s="697"/>
      <c r="AI167" s="697"/>
      <c r="AJ167" s="699" t="str">
        <f>IFERROR(__xludf.DUMMYFUNCTION("""COMPUTED_VALUE"""),"Hoerauf")</f>
        <v>Hoerauf</v>
      </c>
      <c r="AK167" s="697" t="str">
        <f>IFERROR(__xludf.DUMMYFUNCTION("""COMPUTED_VALUE"""),"Fifty-three per cent of living female worms still displayed normal embryogenesis, a 68% of nodules from this group at 12 months had mf in the tissue of the nodule (Table 2). These proportions were similar to those of the untreated group and to the 6-month"&amp;" point of time and the 1,200-mg/week regimen. In contrast, in the earlier doxycycline study, only 1% of females showed normal mf production, and only 2% of the 45 nodules analysed contained mf 11 months after doxycyclin")</f>
        <v>Fifty-three per cent of living female worms still displayed normal embryogenesis, a 68% of nodules from this group at 12 months had mf in the tissue of the nodule (Table 2). These proportions were similar to those of the untreated group and to the 6-month point of time and the 1,200-mg/week regimen. In contrast, in the earlier doxycycline study, only 1% of females showed normal mf production, and only 2% of the 45 nodules analysed contained mf 11 months after doxycyclin</v>
      </c>
      <c r="AL167" s="697"/>
      <c r="AM167" s="697"/>
      <c r="AN167" s="697"/>
      <c r="AO167" s="697"/>
      <c r="AP167" s="697" t="str">
        <f>IFERROR(__xludf.DUMMYFUNCTION("""COMPUTED_VALUE"""),"Nodulectomy: mf positive")</f>
        <v>Nodulectomy: mf positive</v>
      </c>
      <c r="AQ167" s="697" t="str">
        <f>IFERROR(__xludf.DUMMYFUNCTION("""COMPUTED_VALUE"""),"Upper Denkyira district in the Central Region of Ghana")</f>
        <v>Upper Denkyira district in the Central Region of Ghana</v>
      </c>
      <c r="AR167" s="697">
        <f>IFERROR(__xludf.DUMMYFUNCTION("""COMPUTED_VALUE"""),2002.0)</f>
        <v>2002</v>
      </c>
      <c r="AS167" s="697">
        <f>IFERROR(__xludf.DUMMYFUNCTION("""COMPUTED_VALUE"""),23.0)</f>
        <v>23</v>
      </c>
      <c r="AT167" s="697" t="str">
        <f>IFERROR(__xludf.DUMMYFUNCTION("""COMPUTED_VALUE"""),"12 months")</f>
        <v>12 months</v>
      </c>
      <c r="AU167" s="697" t="str">
        <f>IFERROR(__xludf.DUMMYFUNCTION("""COMPUTED_VALUE"""),"Hoerauf, A., Marfo-Debrekyei, Y., Büttner, M., Debrah, A. Y., Konadu, P., Mand, S., . . . Büttner, D. W. (2008). Effects of 6-week azithromycin treatment on the Wolbachia endobacteria of Onchocerca volvulus. Parasitology Research, 103(2), 279-286. doi:10."&amp;"1007/s00436-008-0964-x")</f>
        <v>Hoerauf, A., Marfo-Debrekyei, Y., Büttner, M., Debrah, A. Y., Konadu, P., Mand, S., . . . Büttner, D. W. (2008). Effects of 6-week azithromycin treatment on the Wolbachia endobacteria of Onchocerca volvulus. Parasitology Research, 103(2), 279-286. doi:10.1007/s00436-008-0964-x</v>
      </c>
      <c r="AV167" s="697" t="str">
        <f>IFERROR(__xludf.DUMMYFUNCTION("""COMPUTED_VALUE"""),"100%M")</f>
        <v>100%M</v>
      </c>
      <c r="AW167" s="697" t="str">
        <f>IFERROR(__xludf.DUMMYFUNCTION("""COMPUTED_VALUE"""),"18-60")</f>
        <v>18-60</v>
      </c>
      <c r="AX167" s="697" t="str">
        <f>IFERROR(__xludf.DUMMYFUNCTION("""COMPUTED_VALUE"""),"Participants with a body weight of at least 40 kg, in good health without any clinical condition requiring chronic medication, had to have at least two palpable nodules (onchocercomas) at different sites of the body. Exclusion criteria encompassed a histo"&amp;"ry of intolerance to azithromycin or erythromycin, of alcohol or drug abuse, pregnancy and breastfeeding.")</f>
        <v>Participants with a body weight of at least 40 kg, in good health without any clinical condition requiring chronic medication, had to have at least two palpable nodules (onchocercomas) at different sites of the body. Exclusion criteria encompassed a history of intolerance to azithromycin or erythromycin, of alcohol or drug abuse, pregnancy and breastfeeding.</v>
      </c>
      <c r="AY167" s="697"/>
      <c r="AZ167" s="697" t="str">
        <f>IFERROR(__xludf.DUMMYFUNCTION("""COMPUTED_VALUE"""),"no")</f>
        <v>no</v>
      </c>
      <c r="BA167" s="697"/>
      <c r="BB167" s="697"/>
      <c r="BC167" s="697" t="str">
        <f>IFERROR(__xludf.DUMMYFUNCTION("""COMPUTED_VALUE"""),"The mf densities in the skin before azithromycin treatment are shown in Table 1. At the re-examination 12 months later, they had not significantly changed in either treatment group:")</f>
        <v>The mf densities in the skin before azithromycin treatment are shown in Table 1. At the re-examination 12 months later, they had not significantly changed in either treatment group:</v>
      </c>
      <c r="BD167" s="697"/>
      <c r="BE167" s="697"/>
      <c r="BF167" s="697"/>
      <c r="BG167" s="697"/>
    </row>
    <row r="168">
      <c r="A168" s="697"/>
      <c r="B168" s="699" t="str">
        <f>IFERROR(__xludf.DUMMYFUNCTION("""COMPUTED_VALUE"""),"Hoerauf")</f>
        <v>Hoerauf</v>
      </c>
      <c r="C168" s="697" t="str">
        <f>IFERROR(__xludf.DUMMYFUNCTION("""COMPUTED_VALUE"""),"Ghana")</f>
        <v>Ghana</v>
      </c>
      <c r="D168" s="697" t="str">
        <f>IFERROR(__xludf.DUMMYFUNCTION("""COMPUTED_VALUE"""),"Azithromycin")</f>
        <v>Azithromycin</v>
      </c>
      <c r="E168" s="697" t="str">
        <f>IFERROR(__xludf.DUMMYFUNCTION("""COMPUTED_VALUE"""),"1200mg")</f>
        <v>1200mg</v>
      </c>
      <c r="F168" s="697" t="str">
        <f>IFERROR(__xludf.DUMMYFUNCTION("""COMPUTED_VALUE"""),"1/wk")</f>
        <v>1/wk</v>
      </c>
      <c r="G168" s="697" t="str">
        <f>IFERROR(__xludf.DUMMYFUNCTION("""COMPUTED_VALUE"""),"7,200mg")</f>
        <v>7,200mg</v>
      </c>
      <c r="H168" s="697"/>
      <c r="I168" s="697"/>
      <c r="J168" s="697"/>
      <c r="K168" s="697"/>
      <c r="L168" s="697"/>
      <c r="M168" s="697"/>
      <c r="N168" s="697"/>
      <c r="O168" s="697"/>
      <c r="P168" s="697"/>
      <c r="Q168" s="697"/>
      <c r="R168" s="697"/>
      <c r="S168" s="697"/>
      <c r="T168" s="697"/>
      <c r="U168" s="697"/>
      <c r="V168" s="697"/>
      <c r="W168" s="697"/>
      <c r="X168" s="697"/>
      <c r="Y168" s="697"/>
      <c r="Z168" s="697"/>
      <c r="AA168" s="697"/>
      <c r="AB168" s="697"/>
      <c r="AC168" s="697"/>
      <c r="AD168" s="697"/>
      <c r="AE168" s="697" t="str">
        <f>IFERROR(__xludf.DUMMYFUNCTION("""COMPUTED_VALUE"""),"n/a")</f>
        <v>n/a</v>
      </c>
      <c r="AF168" s="697"/>
      <c r="AG168" s="697"/>
      <c r="AH168" s="697"/>
      <c r="AI168" s="697"/>
      <c r="AJ168" s="699" t="str">
        <f>IFERROR(__xludf.DUMMYFUNCTION("""COMPUTED_VALUE"""),"Hoerauf")</f>
        <v>Hoerauf</v>
      </c>
      <c r="AK168" s="697" t="str">
        <f>IFERROR(__xludf.DUMMYFUNCTION("""COMPUTED_VALUE"""),"Fifty-three per cent of living female worms still displayed normal embryogenesis, a 68% of nodules from this group at 12 months had mf in the tissue of the nodule (Table 2). These proportions were similar to those of the untreated group and to the 6-month"&amp;" point of time and the 1,200-mg/week regimen. In contrast, in the earlier doxycycline study, only 1% of females showed normal mf production, and only 2% of the 45 nodules analysed contained mf 11 months after doxycyclin")</f>
        <v>Fifty-three per cent of living female worms still displayed normal embryogenesis, a 68% of nodules from this group at 12 months had mf in the tissue of the nodule (Table 2). These proportions were similar to those of the untreated group and to the 6-month point of time and the 1,200-mg/week regimen. In contrast, in the earlier doxycycline study, only 1% of females showed normal mf production, and only 2% of the 45 nodules analysed contained mf 11 months after doxycyclin</v>
      </c>
      <c r="AL168" s="697"/>
      <c r="AM168" s="697"/>
      <c r="AN168" s="697"/>
      <c r="AO168" s="697"/>
      <c r="AP168" s="697" t="str">
        <f>IFERROR(__xludf.DUMMYFUNCTION("""COMPUTED_VALUE"""),"Nodulectomy: mf positive")</f>
        <v>Nodulectomy: mf positive</v>
      </c>
      <c r="AQ168" s="697" t="str">
        <f>IFERROR(__xludf.DUMMYFUNCTION("""COMPUTED_VALUE"""),"Upper Denkyira district in the Central Region of Ghana")</f>
        <v>Upper Denkyira district in the Central Region of Ghana</v>
      </c>
      <c r="AR168" s="697">
        <f>IFERROR(__xludf.DUMMYFUNCTION("""COMPUTED_VALUE"""),2002.0)</f>
        <v>2002</v>
      </c>
      <c r="AS168" s="697">
        <f>IFERROR(__xludf.DUMMYFUNCTION("""COMPUTED_VALUE"""),14.0)</f>
        <v>14</v>
      </c>
      <c r="AT168" s="697" t="str">
        <f>IFERROR(__xludf.DUMMYFUNCTION("""COMPUTED_VALUE"""),"12 months")</f>
        <v>12 months</v>
      </c>
      <c r="AU168" s="697" t="str">
        <f>IFERROR(__xludf.DUMMYFUNCTION("""COMPUTED_VALUE"""),"Hoerauf, A., Marfo-Debrekyei, Y., Büttner, M., Debrah, A. Y., Konadu, P., Mand, S., . . . Büttner, D. W. (2008). Effects of 6-week azithromycin treatment on the Wolbachia endobacteria of Onchocerca volvulus. Parasitology Research, 103(2), 279-286. doi:10."&amp;"1007/s00436-008-0964-x")</f>
        <v>Hoerauf, A., Marfo-Debrekyei, Y., Büttner, M., Debrah, A. Y., Konadu, P., Mand, S., . . . Büttner, D. W. (2008). Effects of 6-week azithromycin treatment on the Wolbachia endobacteria of Onchocerca volvulus. Parasitology Research, 103(2), 279-286. doi:10.1007/s00436-008-0964-x</v>
      </c>
      <c r="AV168" s="697" t="str">
        <f>IFERROR(__xludf.DUMMYFUNCTION("""COMPUTED_VALUE"""),"100%M")</f>
        <v>100%M</v>
      </c>
      <c r="AW168" s="697" t="str">
        <f>IFERROR(__xludf.DUMMYFUNCTION("""COMPUTED_VALUE"""),"18-60")</f>
        <v>18-60</v>
      </c>
      <c r="AX168" s="697" t="str">
        <f>IFERROR(__xludf.DUMMYFUNCTION("""COMPUTED_VALUE"""),"Participants with a body weight of at least 40 kg, in good health without any clinical condition requiring chronic medication, had to have at least two palpable nodules (onchocercomas) at different sites of the body. Exclusion criteria encompassed a histo"&amp;"ry of intolerance to azithromycin or erythromycin, of alcohol or drug abuse, pregnancy and breastfeeding.")</f>
        <v>Participants with a body weight of at least 40 kg, in good health without any clinical condition requiring chronic medication, had to have at least two palpable nodules (onchocercomas) at different sites of the body. Exclusion criteria encompassed a history of intolerance to azithromycin or erythromycin, of alcohol or drug abuse, pregnancy and breastfeeding.</v>
      </c>
      <c r="AY168" s="697"/>
      <c r="AZ168" s="697" t="str">
        <f>IFERROR(__xludf.DUMMYFUNCTION("""COMPUTED_VALUE"""),"no")</f>
        <v>no</v>
      </c>
      <c r="BA168" s="697"/>
      <c r="BB168" s="697"/>
      <c r="BC168" s="697" t="str">
        <f>IFERROR(__xludf.DUMMYFUNCTION("""COMPUTED_VALUE"""),"The mf densities in the skin before azithromycin treatment are shown in Table 1. At the re-examination 12 months later, they had not significantly changed in either treatment group:")</f>
        <v>The mf densities in the skin before azithromycin treatment are shown in Table 1. At the re-examination 12 months later, they had not significantly changed in either treatment group:</v>
      </c>
      <c r="BD168" s="697"/>
      <c r="BE168" s="697"/>
      <c r="BF168" s="697"/>
      <c r="BG168" s="697"/>
    </row>
    <row r="169">
      <c r="A169" s="697"/>
      <c r="B169" s="699" t="str">
        <f>IFERROR(__xludf.DUMMYFUNCTION("""COMPUTED_VALUE"""),"Hoerauf")</f>
        <v>Hoerauf</v>
      </c>
      <c r="C169" s="697" t="str">
        <f>IFERROR(__xludf.DUMMYFUNCTION("""COMPUTED_VALUE"""),"Ghana")</f>
        <v>Ghana</v>
      </c>
      <c r="D169" s="697" t="str">
        <f>IFERROR(__xludf.DUMMYFUNCTION("""COMPUTED_VALUE"""),"Doxycycline &amp; Ivermectin")</f>
        <v>Doxycycline &amp; Ivermectin</v>
      </c>
      <c r="E169" s="697" t="str">
        <f>IFERROR(__xludf.DUMMYFUNCTION("""COMPUTED_VALUE"""),"100mg, 150ug/kg")</f>
        <v>100mg, 150ug/kg</v>
      </c>
      <c r="F169" s="697" t="str">
        <f>IFERROR(__xludf.DUMMYFUNCTION("""COMPUTED_VALUE"""),"1/day, 1")</f>
        <v>1/day, 1</v>
      </c>
      <c r="G169" s="697" t="str">
        <f>IFERROR(__xludf.DUMMYFUNCTION("""COMPUTED_VALUE"""),"4200mg,150ug/kg")</f>
        <v>4200mg,150ug/kg</v>
      </c>
      <c r="H169" s="697"/>
      <c r="I169" s="697"/>
      <c r="J169" s="697"/>
      <c r="K169" s="697"/>
      <c r="L169" s="697"/>
      <c r="M169" s="697"/>
      <c r="N169" s="697"/>
      <c r="O169" s="697"/>
      <c r="P169" s="697"/>
      <c r="Q169" s="697"/>
      <c r="R169" s="697"/>
      <c r="S169" s="697"/>
      <c r="T169" s="697"/>
      <c r="U169" s="697"/>
      <c r="V169" s="697"/>
      <c r="W169" s="697"/>
      <c r="X169" s="697"/>
      <c r="Y169" s="697"/>
      <c r="Z169" s="697"/>
      <c r="AA169" s="697"/>
      <c r="AB169" s="697"/>
      <c r="AC169" s="697"/>
      <c r="AD169" s="697"/>
      <c r="AE169" s="697" t="str">
        <f>IFERROR(__xludf.DUMMYFUNCTION("""COMPUTED_VALUE"""),"n/a")</f>
        <v>n/a</v>
      </c>
      <c r="AF169" s="697"/>
      <c r="AG169" s="697"/>
      <c r="AH169" s="697"/>
      <c r="AI169" s="697"/>
      <c r="AJ169" s="699" t="str">
        <f>IFERROR(__xludf.DUMMYFUNCTION("""COMPUTED_VALUE"""),"Hoerauf")</f>
        <v>Hoerauf</v>
      </c>
      <c r="AK169" s="697" t="str">
        <f>IFERROR(__xludf.DUMMYFUNCTION("""COMPUTED_VALUE"""),"The number of skin nodules was equivalent in all groups (doxycycline plus ivermectin treated, subgroup A 4·8[2·9], subgroup B: 4·4[2·0]; ivermectin only treated, subgroup A 3·9[2·0], subgroup B 5·3[2·4]).")</f>
        <v>The number of skin nodules was equivalent in all groups (doxycycline plus ivermectin treated, subgroup A 4·8[2·9], subgroup B: 4·4[2·0]; ivermectin only treated, subgroup A 3·9[2·0], subgroup B 5·3[2·4]).</v>
      </c>
      <c r="AL169" s="697"/>
      <c r="AM169" s="697"/>
      <c r="AN169" s="697"/>
      <c r="AO169" s="697"/>
      <c r="AP169" s="697" t="str">
        <f>IFERROR(__xludf.DUMMYFUNCTION("""COMPUTED_VALUE"""),"mf levels in doxycycline plus ivermectin-treated patients remained very low and became significantly different from levels in patients on ivermectin only (figure 1). In addition, all patients in subgroup B who received doxycycline plus ivermectin and were"&amp;" examined at 19 months after study entry were mf-negative")</f>
        <v>mf levels in doxycycline plus ivermectin-treated patients remained very low and became significantly different from levels in patients on ivermectin only (figure 1). In addition, all patients in subgroup B who received doxycycline plus ivermectin and were examined at 19 months after study entry were mf-negative</v>
      </c>
      <c r="AQ169" s="697" t="str">
        <f>IFERROR(__xludf.DUMMYFUNCTION("""COMPUTED_VALUE"""),"Ghana")</f>
        <v>Ghana</v>
      </c>
      <c r="AR169" s="697">
        <f>IFERROR(__xludf.DUMMYFUNCTION("""COMPUTED_VALUE"""),2001.0)</f>
        <v>2001</v>
      </c>
      <c r="AS169" s="697">
        <f>IFERROR(__xludf.DUMMYFUNCTION("""COMPUTED_VALUE"""),55.0)</f>
        <v>55</v>
      </c>
      <c r="AT169" s="697" t="str">
        <f>IFERROR(__xludf.DUMMYFUNCTION("""COMPUTED_VALUE"""),"19 months")</f>
        <v>19 months</v>
      </c>
      <c r="AU169" s="697" t="str">
        <f>IFERROR(__xludf.DUMMYFUNCTION("""COMPUTED_VALUE"""),"Hoerauf, A, Mand, S, Adjei, O, Fleischer, B, and Buttner, DW. Depletion of Wolbachia endobacteria in Onchocerca volvulus by doxycycline and microfilaridermia after ivermectin treatment. Lancet. 2001; 357: 1415–1416")</f>
        <v>Hoerauf, A, Mand, S, Adjei, O, Fleischer, B, and Buttner, DW. Depletion of Wolbachia endobacteria in Onchocerca volvulus by doxycycline and microfilaridermia after ivermectin treatment. Lancet. 2001; 357: 1415–1416</v>
      </c>
      <c r="AV169" s="697"/>
      <c r="AW169" s="697"/>
      <c r="AX169" s="697" t="str">
        <f>IFERROR(__xludf.DUMMYFUNCTION("""COMPUTED_VALUE"""),"Subjects were excluded from the study if they were pregnant or breast-feeding; had a hemoglobin level of 10 g per deciliter or less, a creatinine level greater than 1.4 mg per deciliter (123.8 μmol per liter), an alanine aminotransferase level greater tha"&amp;"n 45 U per liter, or a bilirubin level greater than 1.5 mg per deciliter (25.6 μmol per liter); weighed less than 40 kg; were classified as a heavy user of alcohol (i.e., drank more than one alcohol-containing drink per day); had a temperature higher than"&amp;" 37.5°C; had a serious medical illness; had a history of allergy to doxycycline; or had a suspected immunodeficiency")</f>
        <v>Subjects were excluded from the study if they were pregnant or breast-feeding; had a hemoglobin level of 10 g per deciliter or less, a creatinine level greater than 1.4 mg per deciliter (123.8 μmol per liter), an alanine aminotransferase level greater than 45 U per liter, or a bilirubin level greater than 1.5 mg per deciliter (25.6 μmol per liter); weighed less than 40 kg; were classified as a heavy user of alcohol (i.e., drank more than one alcohol-containing drink per day); had a temperature higher than 37.5°C; had a serious medical illness; had a history of allergy to doxycycline; or had a suspected immunodeficiency</v>
      </c>
      <c r="AY169" s="697"/>
      <c r="AZ169" s="697" t="str">
        <f>IFERROR(__xludf.DUMMYFUNCTION("""COMPUTED_VALUE"""),"no")</f>
        <v>no</v>
      </c>
      <c r="BA169" s="697"/>
      <c r="BB169" s="697"/>
      <c r="BC169" s="697" t="str">
        <f>IFERROR(__xludf.DUMMYFUNCTION("""COMPUTED_VALUE"""),"Doxycycline treatment alone led to a dramatic decrease in levels of M. perstans microfilariae, with median levels decreasing to 23% of pretreatment levels at 6 months after treatment and to 0% of pretreatment levels at 12 months after treatment, as compar"&amp;"ed with median levels in the no- treatment group that were 38% and 50% of baseline levels at 6 months and 12 months, r")</f>
        <v>Doxycycline treatment alone led to a dramatic decrease in levels of M. perstans microfilariae, with median levels decreasing to 23% of pretreatment levels at 6 months after treatment and to 0% of pretreatment levels at 12 months after treatment, as compared with median levels in the no- treatment group that were 38% and 50% of baseline levels at 6 months and 12 months, r</v>
      </c>
      <c r="BD169" s="697"/>
      <c r="BE169" s="697"/>
      <c r="BF169" s="697"/>
      <c r="BG169" s="697"/>
    </row>
    <row r="170">
      <c r="A170" s="697"/>
      <c r="B170" s="699" t="str">
        <f>IFERROR(__xludf.DUMMYFUNCTION("""COMPUTED_VALUE"""),"Hoerauf")</f>
        <v>Hoerauf</v>
      </c>
      <c r="C170" s="697" t="str">
        <f>IFERROR(__xludf.DUMMYFUNCTION("""COMPUTED_VALUE"""),"Ghana")</f>
        <v>Ghana</v>
      </c>
      <c r="D170" s="697" t="str">
        <f>IFERROR(__xludf.DUMMYFUNCTION("""COMPUTED_VALUE"""),"Ivermectin")</f>
        <v>Ivermectin</v>
      </c>
      <c r="E170" s="702" t="str">
        <f>IFERROR(__xludf.DUMMYFUNCTION("""COMPUTED_VALUE"""),",150ug/kg")</f>
        <v>,150ug/kg</v>
      </c>
      <c r="F170" s="697">
        <f>IFERROR(__xludf.DUMMYFUNCTION("""COMPUTED_VALUE"""),1.0)</f>
        <v>1</v>
      </c>
      <c r="G170" s="697" t="str">
        <f>IFERROR(__xludf.DUMMYFUNCTION("""COMPUTED_VALUE"""),"150ug/kg")</f>
        <v>150ug/kg</v>
      </c>
      <c r="H170" s="697"/>
      <c r="I170" s="697"/>
      <c r="J170" s="697"/>
      <c r="K170" s="697"/>
      <c r="L170" s="697"/>
      <c r="M170" s="697"/>
      <c r="N170" s="697"/>
      <c r="O170" s="697"/>
      <c r="P170" s="697"/>
      <c r="Q170" s="697"/>
      <c r="R170" s="697"/>
      <c r="S170" s="697"/>
      <c r="T170" s="697"/>
      <c r="U170" s="697"/>
      <c r="V170" s="697"/>
      <c r="W170" s="697"/>
      <c r="X170" s="697"/>
      <c r="Y170" s="697"/>
      <c r="Z170" s="697"/>
      <c r="AA170" s="697"/>
      <c r="AB170" s="697"/>
      <c r="AC170" s="697"/>
      <c r="AD170" s="697"/>
      <c r="AE170" s="697" t="str">
        <f>IFERROR(__xludf.DUMMYFUNCTION("""COMPUTED_VALUE"""),"n/a")</f>
        <v>n/a</v>
      </c>
      <c r="AF170" s="697"/>
      <c r="AG170" s="697"/>
      <c r="AH170" s="697"/>
      <c r="AI170" s="697"/>
      <c r="AJ170" s="699" t="str">
        <f>IFERROR(__xludf.DUMMYFUNCTION("""COMPUTED_VALUE"""),"Hoerauf")</f>
        <v>Hoerauf</v>
      </c>
      <c r="AK170" s="697" t="str">
        <f>IFERROR(__xludf.DUMMYFUNCTION("""COMPUTED_VALUE"""),"The number of skin nodules was equivalent in all groups (doxycycline plus ivermectin treated, subgroup A 4·8[2·9], subgroup B: 4·4[2·0]; ivermectin only treated, subgroup A 3·9[2·0], subgroup B 5·3[2·4]).")</f>
        <v>The number of skin nodules was equivalent in all groups (doxycycline plus ivermectin treated, subgroup A 4·8[2·9], subgroup B: 4·4[2·0]; ivermectin only treated, subgroup A 3·9[2·0], subgroup B 5·3[2·4]).</v>
      </c>
      <c r="AL170" s="697"/>
      <c r="AM170" s="697"/>
      <c r="AN170" s="697"/>
      <c r="AO170" s="697"/>
      <c r="AP170" s="697" t="str">
        <f>IFERROR(__xludf.DUMMYFUNCTION("""COMPUTED_VALUE"""),"After ivermectin administration, mf skin levels at first declined, as shown previously.3 In subgroup A, at 6 months after study entry (3·5 months after ivermectin administration), mf levels in both doxycycline plus ivermectin treated and ivermectin-only t"&amp;"reated patients had dropped below 1 mf/mg skin (figure 1). However, at later time points mf levels rose again in the ivermectin-only treated patients")</f>
        <v>After ivermectin administration, mf skin levels at first declined, as shown previously.3 In subgroup A, at 6 months after study entry (3·5 months after ivermectin administration), mf levels in both doxycycline plus ivermectin treated and ivermectin-only treated patients had dropped below 1 mf/mg skin (figure 1). However, at later time points mf levels rose again in the ivermectin-only treated patients</v>
      </c>
      <c r="AQ170" s="697" t="str">
        <f>IFERROR(__xludf.DUMMYFUNCTION("""COMPUTED_VALUE"""),"Ghana")</f>
        <v>Ghana</v>
      </c>
      <c r="AR170" s="697">
        <f>IFERROR(__xludf.DUMMYFUNCTION("""COMPUTED_VALUE"""),2001.0)</f>
        <v>2001</v>
      </c>
      <c r="AS170" s="697">
        <f>IFERROR(__xludf.DUMMYFUNCTION("""COMPUTED_VALUE"""),33.0)</f>
        <v>33</v>
      </c>
      <c r="AT170" s="697" t="str">
        <f>IFERROR(__xludf.DUMMYFUNCTION("""COMPUTED_VALUE"""),"19 months")</f>
        <v>19 months</v>
      </c>
      <c r="AU170" s="697" t="str">
        <f>IFERROR(__xludf.DUMMYFUNCTION("""COMPUTED_VALUE"""),"Hoerauf, A, Mand, S, Adjei, O, Fleischer, B, and Buttner, DW. Depletion of Wolbachia endobacteria in Onchocerca volvulus by doxycycline and microfilaridermia after ivermectin treatment. Lancet. 2001; 357: 1415–1416")</f>
        <v>Hoerauf, A, Mand, S, Adjei, O, Fleischer, B, and Buttner, DW. Depletion of Wolbachia endobacteria in Onchocerca volvulus by doxycycline and microfilaridermia after ivermectin treatment. Lancet. 2001; 357: 1415–1416</v>
      </c>
      <c r="AV170" s="697"/>
      <c r="AW170" s="697"/>
      <c r="AX170" s="697" t="str">
        <f>IFERROR(__xludf.DUMMYFUNCTION("""COMPUTED_VALUE"""),"Subjects were excluded from the study if they were pregnant or breast-feeding; had a hemoglobin level of 10 g per deciliter or less, a creatinine level greater than 1.4 mg per deciliter (123.8 μmol per liter), an alanine aminotransferase level greater tha"&amp;"n 45 U per liter, or a bilirubin level greater than 1.5 mg per deciliter (25.6 μmol per liter); weighed less than 40 kg; were classified as a heavy user of alcohol (i.e., drank more than one alcohol-containing drink per day); had a temperature higher than"&amp;" 37.5°C; had a serious medical illness; had a history of allergy to doxycycline; or had a suspected immunodeficiency")</f>
        <v>Subjects were excluded from the study if they were pregnant or breast-feeding; had a hemoglobin level of 10 g per deciliter or less, a creatinine level greater than 1.4 mg per deciliter (123.8 μmol per liter), an alanine aminotransferase level greater than 45 U per liter, or a bilirubin level greater than 1.5 mg per deciliter (25.6 μmol per liter); weighed less than 40 kg; were classified as a heavy user of alcohol (i.e., drank more than one alcohol-containing drink per day); had a temperature higher than 37.5°C; had a serious medical illness; had a history of allergy to doxycycline; or had a suspected immunodeficiency</v>
      </c>
      <c r="AY170" s="697"/>
      <c r="AZ170" s="697" t="str">
        <f>IFERROR(__xludf.DUMMYFUNCTION("""COMPUTED_VALUE"""),"no")</f>
        <v>no</v>
      </c>
      <c r="BA170" s="697"/>
      <c r="BB170" s="697"/>
      <c r="BC170" s="697" t="str">
        <f>IFERROR(__xludf.DUMMYFUNCTION("""COMPUTED_VALUE"""),"Doxycycline treatment alone led to a dramatic decrease in levels of M. perstans microfilariae, with median levels decreasing to 23% of pretreatment levels at 6 months after treatment and to 0% of pretreatment levels at 12 months after treatment, as compar"&amp;"ed with median levels in the no- treatment group that were 38% and 50% of baseline levels at 6 months and 12 months, r")</f>
        <v>Doxycycline treatment alone led to a dramatic decrease in levels of M. perstans microfilariae, with median levels decreasing to 23% of pretreatment levels at 6 months after treatment and to 0% of pretreatment levels at 12 months after treatment, as compared with median levels in the no- treatment group that were 38% and 50% of baseline levels at 6 months and 12 months, r</v>
      </c>
      <c r="BD170" s="697"/>
      <c r="BE170" s="697"/>
      <c r="BF170" s="697"/>
      <c r="BG170" s="697"/>
    </row>
    <row r="171">
      <c r="A171" s="697"/>
      <c r="B171" s="697"/>
      <c r="C171" s="697"/>
      <c r="D171" s="697"/>
      <c r="E171" s="697"/>
      <c r="F171" s="697"/>
      <c r="G171" s="697"/>
      <c r="H171" s="697"/>
      <c r="I171" s="697"/>
      <c r="J171" s="697"/>
      <c r="K171" s="697"/>
      <c r="L171" s="697"/>
      <c r="M171" s="697"/>
      <c r="N171" s="697"/>
      <c r="O171" s="697"/>
      <c r="P171" s="697"/>
      <c r="Q171" s="697"/>
      <c r="R171" s="697"/>
      <c r="S171" s="697"/>
      <c r="T171" s="697"/>
      <c r="U171" s="697"/>
      <c r="V171" s="697"/>
      <c r="W171" s="697"/>
      <c r="X171" s="697"/>
      <c r="Y171" s="697"/>
      <c r="Z171" s="697"/>
      <c r="AA171" s="697"/>
      <c r="AB171" s="697"/>
      <c r="AC171" s="697"/>
      <c r="AD171" s="697"/>
      <c r="AE171" s="697"/>
      <c r="AF171" s="697"/>
      <c r="AG171" s="697"/>
      <c r="AH171" s="697"/>
      <c r="AI171" s="697"/>
      <c r="AJ171" s="697"/>
      <c r="AK171" s="697"/>
      <c r="AL171" s="697"/>
      <c r="AM171" s="697"/>
      <c r="AN171" s="697"/>
      <c r="AO171" s="697"/>
      <c r="AP171" s="697"/>
      <c r="AQ171" s="697"/>
      <c r="AR171" s="697"/>
      <c r="AS171" s="697"/>
      <c r="AT171" s="697"/>
      <c r="AU171" s="697"/>
      <c r="AV171" s="697"/>
      <c r="AW171" s="697"/>
      <c r="AX171" s="697"/>
      <c r="AY171" s="697"/>
      <c r="AZ171" s="697"/>
      <c r="BA171" s="697"/>
      <c r="BB171" s="697"/>
      <c r="BC171" s="697"/>
      <c r="BD171" s="697"/>
      <c r="BE171" s="697"/>
      <c r="BF171" s="697"/>
      <c r="BG171" s="697"/>
    </row>
    <row r="172">
      <c r="A172" s="697" t="str">
        <f>IFERROR(__xludf.DUMMYFUNCTION("""COMPUTED_VALUE"""),"needs link")</f>
        <v>needs link</v>
      </c>
      <c r="B172" s="697"/>
      <c r="C172" s="697"/>
      <c r="D172" s="697"/>
      <c r="E172" s="697"/>
      <c r="F172" s="697"/>
      <c r="G172" s="697"/>
      <c r="H172" s="697"/>
      <c r="I172" s="697"/>
      <c r="J172" s="697"/>
      <c r="K172" s="697"/>
      <c r="L172" s="697"/>
      <c r="M172" s="697"/>
      <c r="N172" s="697"/>
      <c r="O172" s="697"/>
      <c r="P172" s="697"/>
      <c r="Q172" s="697"/>
      <c r="R172" s="697"/>
      <c r="S172" s="697"/>
      <c r="T172" s="697"/>
      <c r="U172" s="697"/>
      <c r="V172" s="697"/>
      <c r="W172" s="697"/>
      <c r="X172" s="697"/>
      <c r="Y172" s="697"/>
      <c r="Z172" s="697"/>
      <c r="AA172" s="697"/>
      <c r="AB172" s="697"/>
      <c r="AC172" s="697"/>
      <c r="AD172" s="697"/>
      <c r="AE172" s="697"/>
      <c r="AF172" s="697"/>
      <c r="AG172" s="697"/>
      <c r="AH172" s="697"/>
      <c r="AI172" s="697"/>
      <c r="AJ172" s="697"/>
      <c r="AK172" s="697"/>
      <c r="AL172" s="697"/>
      <c r="AM172" s="697"/>
      <c r="AN172" s="697"/>
      <c r="AO172" s="697"/>
      <c r="AP172" s="697"/>
      <c r="AQ172" s="697"/>
      <c r="AR172" s="697"/>
      <c r="AS172" s="697"/>
      <c r="AT172" s="697"/>
      <c r="AU172" s="697"/>
      <c r="AV172" s="697"/>
      <c r="AW172" s="697"/>
      <c r="AX172" s="697"/>
      <c r="AY172" s="697"/>
      <c r="AZ172" s="697"/>
      <c r="BA172" s="697"/>
      <c r="BB172" s="697"/>
      <c r="BC172" s="697"/>
      <c r="BD172" s="697"/>
      <c r="BE172" s="697"/>
      <c r="BF172" s="697"/>
      <c r="BG172" s="697"/>
    </row>
    <row r="173">
      <c r="A173" s="697"/>
      <c r="B173" s="697"/>
      <c r="C173" s="697"/>
      <c r="D173" s="697"/>
      <c r="E173" s="697"/>
      <c r="F173" s="697"/>
      <c r="G173" s="697"/>
      <c r="H173" s="697"/>
      <c r="I173" s="697"/>
      <c r="J173" s="697"/>
      <c r="K173" s="697"/>
      <c r="L173" s="697"/>
      <c r="M173" s="697"/>
      <c r="N173" s="697"/>
      <c r="O173" s="697"/>
      <c r="P173" s="697"/>
      <c r="Q173" s="697"/>
      <c r="R173" s="697"/>
      <c r="S173" s="697"/>
      <c r="T173" s="697"/>
      <c r="U173" s="697"/>
      <c r="V173" s="697"/>
      <c r="W173" s="697"/>
      <c r="X173" s="697"/>
      <c r="Y173" s="697"/>
      <c r="Z173" s="697"/>
      <c r="AA173" s="697"/>
      <c r="AB173" s="697"/>
      <c r="AC173" s="697"/>
      <c r="AD173" s="697"/>
      <c r="AE173" s="697"/>
      <c r="AF173" s="697"/>
      <c r="AG173" s="697"/>
      <c r="AH173" s="697"/>
      <c r="AI173" s="697"/>
      <c r="AJ173" s="697"/>
      <c r="AK173" s="697"/>
      <c r="AL173" s="697"/>
      <c r="AM173" s="697"/>
      <c r="AN173" s="697"/>
      <c r="AO173" s="697"/>
      <c r="AP173" s="697"/>
      <c r="AQ173" s="697"/>
      <c r="AR173" s="697"/>
      <c r="AS173" s="697"/>
      <c r="AT173" s="697"/>
      <c r="AU173" s="697"/>
      <c r="AV173" s="697"/>
      <c r="AW173" s="697"/>
      <c r="AX173" s="697"/>
      <c r="AY173" s="697"/>
      <c r="AZ173" s="697"/>
      <c r="BA173" s="697"/>
      <c r="BB173" s="697"/>
      <c r="BC173" s="697"/>
      <c r="BD173" s="697"/>
      <c r="BE173" s="697"/>
      <c r="BF173" s="697"/>
      <c r="BG173" s="697"/>
    </row>
    <row r="174">
      <c r="A174" s="697"/>
      <c r="B174" s="697" t="str">
        <f>IFERROR(__xludf.DUMMYFUNCTION("""COMPUTED_VALUE"""),"Not checked")</f>
        <v>Not checked</v>
      </c>
      <c r="C174" s="697"/>
      <c r="D174" s="697"/>
      <c r="E174" s="697"/>
      <c r="F174" s="697"/>
      <c r="G174" s="697"/>
      <c r="H174" s="697"/>
      <c r="I174" s="697"/>
      <c r="J174" s="697"/>
      <c r="K174" s="697"/>
      <c r="L174" s="697"/>
      <c r="M174" s="697"/>
      <c r="N174" s="697"/>
      <c r="O174" s="697"/>
      <c r="P174" s="697"/>
      <c r="Q174" s="697"/>
      <c r="R174" s="697"/>
      <c r="S174" s="697"/>
      <c r="T174" s="697"/>
      <c r="U174" s="697"/>
      <c r="V174" s="697"/>
      <c r="W174" s="697"/>
      <c r="X174" s="697"/>
      <c r="Y174" s="697"/>
      <c r="Z174" s="697"/>
      <c r="AA174" s="697"/>
      <c r="AB174" s="697"/>
      <c r="AC174" s="697"/>
      <c r="AD174" s="697"/>
      <c r="AE174" s="697"/>
      <c r="AF174" s="697"/>
      <c r="AG174" s="697"/>
      <c r="AH174" s="697"/>
      <c r="AI174" s="697"/>
      <c r="AJ174" s="697"/>
      <c r="AK174" s="697"/>
      <c r="AL174" s="697"/>
      <c r="AM174" s="697"/>
      <c r="AN174" s="697"/>
      <c r="AO174" s="697"/>
      <c r="AP174" s="697"/>
      <c r="AQ174" s="697"/>
      <c r="AR174" s="697"/>
      <c r="AS174" s="697"/>
      <c r="AT174" s="697"/>
      <c r="AU174" s="697"/>
      <c r="AV174" s="697"/>
      <c r="AW174" s="697"/>
      <c r="AX174" s="697"/>
      <c r="AY174" s="697"/>
      <c r="AZ174" s="697"/>
      <c r="BA174" s="697"/>
      <c r="BB174" s="697"/>
      <c r="BC174" s="697"/>
      <c r="BD174" s="697"/>
      <c r="BE174" s="697"/>
      <c r="BF174" s="697"/>
      <c r="BG174" s="697"/>
    </row>
    <row r="175">
      <c r="A175" s="697"/>
      <c r="B175" s="697" t="str">
        <f>IFERROR(__xludf.DUMMYFUNCTION("""COMPUTED_VALUE"""),"Before 1990")</f>
        <v>Before 1990</v>
      </c>
      <c r="C175" s="697"/>
      <c r="D175" s="697"/>
      <c r="E175" s="697"/>
      <c r="F175" s="697"/>
      <c r="G175" s="697"/>
      <c r="H175" s="697"/>
      <c r="I175" s="697"/>
      <c r="J175" s="697"/>
      <c r="K175" s="697"/>
      <c r="L175" s="697"/>
      <c r="M175" s="697"/>
      <c r="N175" s="697"/>
      <c r="O175" s="697"/>
      <c r="P175" s="697"/>
      <c r="Q175" s="697"/>
      <c r="R175" s="697"/>
      <c r="S175" s="697"/>
      <c r="T175" s="697"/>
      <c r="U175" s="697"/>
      <c r="V175" s="697"/>
      <c r="W175" s="697"/>
      <c r="X175" s="697"/>
      <c r="Y175" s="697"/>
      <c r="Z175" s="697"/>
      <c r="AA175" s="697"/>
      <c r="AB175" s="697"/>
      <c r="AC175" s="697"/>
      <c r="AD175" s="697"/>
      <c r="AE175" s="697"/>
      <c r="AF175" s="697"/>
      <c r="AG175" s="697"/>
      <c r="AH175" s="697"/>
      <c r="AI175" s="697"/>
      <c r="AJ175" s="697"/>
      <c r="AK175" s="697"/>
      <c r="AL175" s="697"/>
      <c r="AM175" s="697"/>
      <c r="AN175" s="697"/>
      <c r="AO175" s="697"/>
      <c r="AP175" s="697"/>
      <c r="AQ175" s="697"/>
      <c r="AR175" s="697"/>
      <c r="AS175" s="697"/>
      <c r="AT175" s="697"/>
      <c r="AU175" s="697"/>
      <c r="AV175" s="697"/>
      <c r="AW175" s="697"/>
      <c r="AX175" s="697"/>
      <c r="AY175" s="697"/>
      <c r="AZ175" s="697"/>
      <c r="BA175" s="697"/>
      <c r="BB175" s="697"/>
      <c r="BC175" s="697"/>
      <c r="BD175" s="697"/>
      <c r="BE175" s="697"/>
      <c r="BF175" s="697"/>
      <c r="BG175" s="697"/>
    </row>
    <row r="176">
      <c r="A176" s="697"/>
      <c r="B176" s="697" t="str">
        <f>IFERROR(__xludf.DUMMYFUNCTION("""COMPUTED_VALUE"""),"1990-2000")</f>
        <v>1990-2000</v>
      </c>
      <c r="C176" s="697"/>
      <c r="D176" s="697"/>
      <c r="E176" s="697"/>
      <c r="F176" s="697"/>
      <c r="G176" s="697"/>
      <c r="H176" s="697"/>
      <c r="I176" s="697"/>
      <c r="J176" s="697"/>
      <c r="K176" s="697"/>
      <c r="L176" s="697"/>
      <c r="M176" s="697"/>
      <c r="N176" s="697"/>
      <c r="O176" s="697"/>
      <c r="P176" s="697"/>
      <c r="Q176" s="697"/>
      <c r="R176" s="697"/>
      <c r="S176" s="697"/>
      <c r="T176" s="697"/>
      <c r="U176" s="697"/>
      <c r="V176" s="697"/>
      <c r="W176" s="697"/>
      <c r="X176" s="697"/>
      <c r="Y176" s="697"/>
      <c r="Z176" s="697"/>
      <c r="AA176" s="697"/>
      <c r="AB176" s="697"/>
      <c r="AC176" s="697"/>
      <c r="AD176" s="697"/>
      <c r="AE176" s="697"/>
      <c r="AF176" s="697"/>
      <c r="AG176" s="697"/>
      <c r="AH176" s="697"/>
      <c r="AI176" s="697"/>
      <c r="AJ176" s="697"/>
      <c r="AK176" s="697"/>
      <c r="AL176" s="697"/>
      <c r="AM176" s="697"/>
      <c r="AN176" s="697"/>
      <c r="AO176" s="697"/>
      <c r="AP176" s="697"/>
      <c r="AQ176" s="697"/>
      <c r="AR176" s="697"/>
      <c r="AS176" s="697"/>
      <c r="AT176" s="697"/>
      <c r="AU176" s="697"/>
      <c r="AV176" s="697"/>
      <c r="AW176" s="697"/>
      <c r="AX176" s="697"/>
      <c r="AY176" s="697"/>
      <c r="AZ176" s="697"/>
      <c r="BA176" s="697"/>
      <c r="BB176" s="697"/>
      <c r="BC176" s="697"/>
      <c r="BD176" s="697"/>
      <c r="BE176" s="697"/>
      <c r="BF176" s="697"/>
      <c r="BG176" s="697"/>
    </row>
    <row r="177">
      <c r="A177" s="697"/>
      <c r="B177" s="697" t="str">
        <f>IFERROR(__xludf.DUMMYFUNCTION("""COMPUTED_VALUE"""),"2000-present")</f>
        <v>2000-present</v>
      </c>
      <c r="C177" s="697"/>
      <c r="D177" s="697"/>
      <c r="E177" s="697"/>
      <c r="F177" s="697"/>
      <c r="G177" s="697"/>
      <c r="H177" s="697"/>
      <c r="I177" s="697"/>
      <c r="J177" s="697"/>
      <c r="K177" s="697"/>
      <c r="L177" s="697"/>
      <c r="M177" s="697"/>
      <c r="N177" s="697"/>
      <c r="O177" s="697"/>
      <c r="P177" s="697"/>
      <c r="Q177" s="697"/>
      <c r="R177" s="697"/>
      <c r="S177" s="697"/>
      <c r="T177" s="697"/>
      <c r="U177" s="697"/>
      <c r="V177" s="697"/>
      <c r="W177" s="697"/>
      <c r="X177" s="697"/>
      <c r="Y177" s="697"/>
      <c r="Z177" s="697"/>
      <c r="AA177" s="697"/>
      <c r="AB177" s="697"/>
      <c r="AC177" s="697"/>
      <c r="AD177" s="697"/>
      <c r="AE177" s="697"/>
      <c r="AF177" s="697"/>
      <c r="AG177" s="697"/>
      <c r="AH177" s="697"/>
      <c r="AI177" s="697"/>
      <c r="AJ177" s="697"/>
      <c r="AK177" s="697"/>
      <c r="AL177" s="697"/>
      <c r="AM177" s="697"/>
      <c r="AN177" s="697"/>
      <c r="AO177" s="697"/>
      <c r="AP177" s="697"/>
      <c r="AQ177" s="697"/>
      <c r="AR177" s="697"/>
      <c r="AS177" s="697"/>
      <c r="AT177" s="697"/>
      <c r="AU177" s="697"/>
      <c r="AV177" s="697"/>
      <c r="AW177" s="697"/>
      <c r="AX177" s="697"/>
      <c r="AY177" s="697"/>
      <c r="AZ177" s="697"/>
      <c r="BA177" s="697"/>
      <c r="BB177" s="697"/>
      <c r="BC177" s="697"/>
      <c r="BD177" s="697"/>
      <c r="BE177" s="697"/>
      <c r="BF177" s="697"/>
      <c r="BG177" s="697"/>
    </row>
    <row r="178">
      <c r="A178" s="697"/>
      <c r="B178" s="697" t="str">
        <f>IFERROR(__xludf.DUMMYFUNCTION("""COMPUTED_VALUE"""),"Included Pregnant Women")</f>
        <v>Included Pregnant Women</v>
      </c>
      <c r="C178" s="697"/>
      <c r="D178" s="697"/>
      <c r="E178" s="697"/>
      <c r="F178" s="697"/>
      <c r="G178" s="697"/>
      <c r="H178" s="697"/>
      <c r="I178" s="697"/>
      <c r="J178" s="697"/>
      <c r="K178" s="697"/>
      <c r="L178" s="697"/>
      <c r="M178" s="697"/>
      <c r="N178" s="697"/>
      <c r="O178" s="697"/>
      <c r="P178" s="697"/>
      <c r="Q178" s="697"/>
      <c r="R178" s="697"/>
      <c r="S178" s="697"/>
      <c r="T178" s="697"/>
      <c r="U178" s="697"/>
      <c r="V178" s="697"/>
      <c r="W178" s="697"/>
      <c r="X178" s="697"/>
      <c r="Y178" s="697"/>
      <c r="Z178" s="697"/>
      <c r="AA178" s="697"/>
      <c r="AB178" s="697"/>
      <c r="AC178" s="697"/>
      <c r="AD178" s="697"/>
      <c r="AE178" s="697"/>
      <c r="AF178" s="697"/>
      <c r="AG178" s="697"/>
      <c r="AH178" s="697"/>
      <c r="AI178" s="697"/>
      <c r="AJ178" s="697"/>
      <c r="AK178" s="697"/>
      <c r="AL178" s="697"/>
      <c r="AM178" s="697"/>
      <c r="AN178" s="697"/>
      <c r="AO178" s="697"/>
      <c r="AP178" s="697"/>
      <c r="AQ178" s="697"/>
      <c r="AR178" s="697"/>
      <c r="AS178" s="697"/>
      <c r="AT178" s="697"/>
      <c r="AU178" s="697"/>
      <c r="AV178" s="697"/>
      <c r="AW178" s="697"/>
      <c r="AX178" s="697"/>
      <c r="AY178" s="697"/>
      <c r="AZ178" s="697"/>
      <c r="BA178" s="697"/>
      <c r="BB178" s="697"/>
      <c r="BC178" s="697"/>
      <c r="BD178" s="697"/>
      <c r="BE178" s="697"/>
      <c r="BF178" s="697"/>
      <c r="BG178" s="697"/>
    </row>
    <row r="179">
      <c r="A179" s="697"/>
      <c r="B179" s="697" t="str">
        <f>IFERROR(__xludf.DUMMYFUNCTION("""COMPUTED_VALUE"""),"only women")</f>
        <v>only women</v>
      </c>
      <c r="C179" s="697"/>
      <c r="D179" s="697"/>
      <c r="E179" s="697"/>
      <c r="F179" s="697"/>
      <c r="G179" s="697"/>
      <c r="H179" s="697"/>
      <c r="I179" s="697"/>
      <c r="J179" s="697"/>
      <c r="K179" s="697"/>
      <c r="L179" s="697"/>
      <c r="M179" s="697"/>
      <c r="N179" s="697"/>
      <c r="O179" s="697"/>
      <c r="P179" s="697"/>
      <c r="Q179" s="697"/>
      <c r="R179" s="697"/>
      <c r="S179" s="697"/>
      <c r="T179" s="697"/>
      <c r="U179" s="697"/>
      <c r="V179" s="697"/>
      <c r="W179" s="697"/>
      <c r="X179" s="697"/>
      <c r="Y179" s="697"/>
      <c r="Z179" s="697"/>
      <c r="AA179" s="697"/>
      <c r="AB179" s="697"/>
      <c r="AC179" s="697"/>
      <c r="AD179" s="697"/>
      <c r="AE179" s="697"/>
      <c r="AF179" s="697"/>
      <c r="AG179" s="697"/>
      <c r="AH179" s="697"/>
      <c r="AI179" s="697"/>
      <c r="AJ179" s="697"/>
      <c r="AK179" s="697"/>
      <c r="AL179" s="697"/>
      <c r="AM179" s="697"/>
      <c r="AN179" s="697"/>
      <c r="AO179" s="697"/>
      <c r="AP179" s="697"/>
      <c r="AQ179" s="697"/>
      <c r="AR179" s="697"/>
      <c r="AS179" s="697"/>
      <c r="AT179" s="697"/>
      <c r="AU179" s="697"/>
      <c r="AV179" s="697"/>
      <c r="AW179" s="697"/>
      <c r="AX179" s="697"/>
      <c r="AY179" s="697"/>
      <c r="AZ179" s="697"/>
      <c r="BA179" s="697"/>
      <c r="BB179" s="697"/>
      <c r="BC179" s="697"/>
      <c r="BD179" s="697"/>
      <c r="BE179" s="697"/>
      <c r="BF179" s="697"/>
      <c r="BG179" s="697"/>
    </row>
    <row r="180">
      <c r="A180" s="697"/>
      <c r="B180" s="697" t="str">
        <f>IFERROR(__xludf.DUMMYFUNCTION("""COMPUTED_VALUE"""),"only men")</f>
        <v>only men</v>
      </c>
      <c r="C180" s="697"/>
      <c r="D180" s="697"/>
      <c r="E180" s="697"/>
      <c r="F180" s="697"/>
      <c r="G180" s="697"/>
      <c r="H180" s="697"/>
      <c r="I180" s="697"/>
      <c r="J180" s="697"/>
      <c r="K180" s="697"/>
      <c r="L180" s="697"/>
      <c r="M180" s="697"/>
      <c r="N180" s="697"/>
      <c r="O180" s="697"/>
      <c r="P180" s="697"/>
      <c r="Q180" s="697"/>
      <c r="R180" s="697"/>
      <c r="S180" s="697"/>
      <c r="T180" s="697"/>
      <c r="U180" s="697"/>
      <c r="V180" s="697"/>
      <c r="W180" s="697"/>
      <c r="X180" s="697"/>
      <c r="Y180" s="697"/>
      <c r="Z180" s="697"/>
      <c r="AA180" s="697"/>
      <c r="AB180" s="697"/>
      <c r="AC180" s="697"/>
      <c r="AD180" s="697"/>
      <c r="AE180" s="697"/>
      <c r="AF180" s="697"/>
      <c r="AG180" s="697"/>
      <c r="AH180" s="697"/>
      <c r="AI180" s="697"/>
      <c r="AJ180" s="697"/>
      <c r="AK180" s="697"/>
      <c r="AL180" s="697"/>
      <c r="AM180" s="697"/>
      <c r="AN180" s="697"/>
      <c r="AO180" s="697"/>
      <c r="AP180" s="697"/>
      <c r="AQ180" s="697"/>
      <c r="AR180" s="697"/>
      <c r="AS180" s="697"/>
      <c r="AT180" s="697"/>
      <c r="AU180" s="697"/>
      <c r="AV180" s="697"/>
      <c r="AW180" s="697"/>
      <c r="AX180" s="697"/>
      <c r="AY180" s="697"/>
      <c r="AZ180" s="697"/>
      <c r="BA180" s="697"/>
      <c r="BB180" s="697"/>
      <c r="BC180" s="697"/>
      <c r="BD180" s="697"/>
      <c r="BE180" s="697"/>
      <c r="BF180" s="697"/>
      <c r="BG180" s="697"/>
    </row>
    <row r="181">
      <c r="A181" s="697"/>
      <c r="B181" s="697" t="str">
        <f>IFERROR(__xludf.DUMMYFUNCTION("""COMPUTED_VALUE"""),"double-blind study")</f>
        <v>double-blind study</v>
      </c>
      <c r="C181" s="697"/>
      <c r="D181" s="697"/>
      <c r="E181" s="697"/>
      <c r="F181" s="697"/>
      <c r="G181" s="697"/>
      <c r="H181" s="697"/>
      <c r="I181" s="697"/>
      <c r="J181" s="697"/>
      <c r="K181" s="697"/>
      <c r="L181" s="697"/>
      <c r="M181" s="697"/>
      <c r="N181" s="697"/>
      <c r="O181" s="697"/>
      <c r="P181" s="697"/>
      <c r="Q181" s="697"/>
      <c r="R181" s="697"/>
      <c r="S181" s="697"/>
      <c r="T181" s="697"/>
      <c r="U181" s="697"/>
      <c r="V181" s="697"/>
      <c r="W181" s="697"/>
      <c r="X181" s="697"/>
      <c r="Y181" s="697"/>
      <c r="Z181" s="697"/>
      <c r="AA181" s="697"/>
      <c r="AB181" s="697"/>
      <c r="AC181" s="697"/>
      <c r="AD181" s="697"/>
      <c r="AE181" s="697"/>
      <c r="AF181" s="697"/>
      <c r="AG181" s="697"/>
      <c r="AH181" s="697"/>
      <c r="AI181" s="697"/>
      <c r="AJ181" s="697"/>
      <c r="AK181" s="697"/>
      <c r="AL181" s="697"/>
      <c r="AM181" s="697"/>
      <c r="AN181" s="697"/>
      <c r="AO181" s="697"/>
      <c r="AP181" s="697"/>
      <c r="AQ181" s="697"/>
      <c r="AR181" s="697"/>
      <c r="AS181" s="697"/>
      <c r="AT181" s="697"/>
      <c r="AU181" s="697"/>
      <c r="AV181" s="697"/>
      <c r="AW181" s="697"/>
      <c r="AX181" s="697"/>
      <c r="AY181" s="697"/>
      <c r="AZ181" s="697"/>
      <c r="BA181" s="697"/>
      <c r="BB181" s="697"/>
      <c r="BC181" s="697"/>
      <c r="BD181" s="697"/>
      <c r="BE181" s="697"/>
      <c r="BF181" s="697"/>
      <c r="BG181" s="697"/>
    </row>
    <row r="182">
      <c r="A182" s="697"/>
      <c r="B182" s="697" t="str">
        <f>IFERROR(__xludf.DUMMYFUNCTION("""COMPUTED_VALUE"""),"random single blind")</f>
        <v>random single blind</v>
      </c>
      <c r="C182" s="697"/>
      <c r="D182" s="697"/>
      <c r="E182" s="697"/>
      <c r="F182" s="697"/>
      <c r="G182" s="697"/>
      <c r="H182" s="697"/>
      <c r="I182" s="697"/>
      <c r="J182" s="697"/>
      <c r="K182" s="697"/>
      <c r="L182" s="697"/>
      <c r="M182" s="697"/>
      <c r="N182" s="697"/>
      <c r="O182" s="697"/>
      <c r="P182" s="697"/>
      <c r="Q182" s="697"/>
      <c r="R182" s="697"/>
      <c r="S182" s="697"/>
      <c r="T182" s="697"/>
      <c r="U182" s="697"/>
      <c r="V182" s="697"/>
      <c r="W182" s="697"/>
      <c r="X182" s="697"/>
      <c r="Y182" s="697"/>
      <c r="Z182" s="697"/>
      <c r="AA182" s="697"/>
      <c r="AB182" s="697"/>
      <c r="AC182" s="697"/>
      <c r="AD182" s="697"/>
      <c r="AE182" s="697"/>
      <c r="AF182" s="697"/>
      <c r="AG182" s="697"/>
      <c r="AH182" s="697"/>
      <c r="AI182" s="697"/>
      <c r="AJ182" s="697"/>
      <c r="AK182" s="697"/>
      <c r="AL182" s="697"/>
      <c r="AM182" s="697"/>
      <c r="AN182" s="697"/>
      <c r="AO182" s="697"/>
      <c r="AP182" s="697"/>
      <c r="AQ182" s="697"/>
      <c r="AR182" s="697"/>
      <c r="AS182" s="697"/>
      <c r="AT182" s="697"/>
      <c r="AU182" s="697"/>
      <c r="AV182" s="697"/>
      <c r="AW182" s="697"/>
      <c r="AX182" s="697"/>
      <c r="AY182" s="697"/>
      <c r="AZ182" s="697"/>
      <c r="BA182" s="697"/>
      <c r="BB182" s="697"/>
      <c r="BC182" s="697"/>
      <c r="BD182" s="697"/>
      <c r="BE182" s="697"/>
      <c r="BF182" s="697"/>
      <c r="BG182" s="697"/>
    </row>
    <row r="183">
      <c r="A183" s="697"/>
      <c r="B183" s="697" t="str">
        <f>IFERROR(__xludf.DUMMYFUNCTION("""COMPUTED_VALUE"""),"Placebo")</f>
        <v>Placebo</v>
      </c>
      <c r="C183" s="697"/>
      <c r="D183" s="697"/>
      <c r="E183" s="697"/>
      <c r="F183" s="697"/>
      <c r="G183" s="697"/>
      <c r="H183" s="697"/>
      <c r="I183" s="697"/>
      <c r="J183" s="697"/>
      <c r="K183" s="697"/>
      <c r="L183" s="697"/>
      <c r="M183" s="697"/>
      <c r="N183" s="697"/>
      <c r="O183" s="697"/>
      <c r="P183" s="697"/>
      <c r="Q183" s="697"/>
      <c r="R183" s="697"/>
      <c r="S183" s="697"/>
      <c r="T183" s="697"/>
      <c r="U183" s="697"/>
      <c r="V183" s="697"/>
      <c r="W183" s="697"/>
      <c r="X183" s="697"/>
      <c r="Y183" s="697"/>
      <c r="Z183" s="697"/>
      <c r="AA183" s="697"/>
      <c r="AB183" s="697"/>
      <c r="AC183" s="697"/>
      <c r="AD183" s="697"/>
      <c r="AE183" s="697"/>
      <c r="AF183" s="697"/>
      <c r="AG183" s="697"/>
      <c r="AH183" s="697"/>
      <c r="AI183" s="697"/>
      <c r="AJ183" s="697"/>
      <c r="AK183" s="697"/>
      <c r="AL183" s="697"/>
      <c r="AM183" s="697"/>
      <c r="AN183" s="697"/>
      <c r="AO183" s="697"/>
      <c r="AP183" s="697"/>
      <c r="AQ183" s="697"/>
      <c r="AR183" s="697"/>
      <c r="AS183" s="697"/>
      <c r="AT183" s="697"/>
      <c r="AU183" s="697"/>
      <c r="AV183" s="697"/>
      <c r="AW183" s="697"/>
      <c r="AX183" s="697"/>
      <c r="AY183" s="697"/>
      <c r="AZ183" s="697"/>
      <c r="BA183" s="697"/>
      <c r="BB183" s="697"/>
      <c r="BC183" s="697"/>
      <c r="BD183" s="697"/>
      <c r="BE183" s="697"/>
      <c r="BF183" s="697"/>
      <c r="BG183" s="697"/>
    </row>
    <row r="184">
      <c r="A184" s="697"/>
      <c r="B184" s="697" t="str">
        <f>IFERROR(__xludf.DUMMYFUNCTION("""COMPUTED_VALUE"""),"20 or less")</f>
        <v>20 or less</v>
      </c>
      <c r="C184" s="697"/>
      <c r="D184" s="697"/>
      <c r="E184" s="697"/>
      <c r="F184" s="697"/>
      <c r="G184" s="697"/>
      <c r="H184" s="697"/>
      <c r="I184" s="697"/>
      <c r="J184" s="697"/>
      <c r="K184" s="697"/>
      <c r="L184" s="697"/>
      <c r="M184" s="697"/>
      <c r="N184" s="697"/>
      <c r="O184" s="697"/>
      <c r="P184" s="697"/>
      <c r="Q184" s="697"/>
      <c r="R184" s="697"/>
      <c r="S184" s="697"/>
      <c r="T184" s="697"/>
      <c r="U184" s="697"/>
      <c r="V184" s="697"/>
      <c r="W184" s="697"/>
      <c r="X184" s="697"/>
      <c r="Y184" s="697"/>
      <c r="Z184" s="697"/>
      <c r="AA184" s="697"/>
      <c r="AB184" s="697"/>
      <c r="AC184" s="697"/>
      <c r="AD184" s="697"/>
      <c r="AE184" s="697"/>
      <c r="AF184" s="697"/>
      <c r="AG184" s="697"/>
      <c r="AH184" s="697"/>
      <c r="AI184" s="697"/>
      <c r="AJ184" s="697"/>
      <c r="AK184" s="697"/>
      <c r="AL184" s="697"/>
      <c r="AM184" s="697"/>
      <c r="AN184" s="697"/>
      <c r="AO184" s="697"/>
      <c r="AP184" s="697"/>
      <c r="AQ184" s="697"/>
      <c r="AR184" s="697"/>
      <c r="AS184" s="697"/>
      <c r="AT184" s="697"/>
      <c r="AU184" s="697"/>
      <c r="AV184" s="697"/>
      <c r="AW184" s="697"/>
      <c r="AX184" s="697"/>
      <c r="AY184" s="697"/>
      <c r="AZ184" s="697"/>
      <c r="BA184" s="697"/>
      <c r="BB184" s="697"/>
      <c r="BC184" s="697"/>
      <c r="BD184" s="697"/>
      <c r="BE184" s="697"/>
      <c r="BF184" s="697"/>
      <c r="BG184" s="697"/>
    </row>
    <row r="185">
      <c r="A185" s="697"/>
      <c r="B185" s="697" t="str">
        <f>IFERROR(__xludf.DUMMYFUNCTION("""COMPUTED_VALUE"""),"Sample Size: 20-100")</f>
        <v>Sample Size: 20-100</v>
      </c>
      <c r="C185" s="697"/>
      <c r="D185" s="697"/>
      <c r="E185" s="697"/>
      <c r="F185" s="697"/>
      <c r="G185" s="697"/>
      <c r="H185" s="697"/>
      <c r="I185" s="697"/>
      <c r="J185" s="697"/>
      <c r="K185" s="697"/>
      <c r="L185" s="697"/>
      <c r="M185" s="697"/>
      <c r="N185" s="697"/>
      <c r="O185" s="697"/>
      <c r="P185" s="697"/>
      <c r="Q185" s="697"/>
      <c r="R185" s="697"/>
      <c r="S185" s="697"/>
      <c r="T185" s="697"/>
      <c r="U185" s="697"/>
      <c r="V185" s="697"/>
      <c r="W185" s="697"/>
      <c r="X185" s="697"/>
      <c r="Y185" s="697"/>
      <c r="Z185" s="697"/>
      <c r="AA185" s="697"/>
      <c r="AB185" s="697"/>
      <c r="AC185" s="697"/>
      <c r="AD185" s="697"/>
      <c r="AE185" s="697"/>
      <c r="AF185" s="697"/>
      <c r="AG185" s="697"/>
      <c r="AH185" s="697"/>
      <c r="AI185" s="697"/>
      <c r="AJ185" s="697"/>
      <c r="AK185" s="697"/>
      <c r="AL185" s="697"/>
      <c r="AM185" s="697"/>
      <c r="AN185" s="697"/>
      <c r="AO185" s="697"/>
      <c r="AP185" s="697"/>
      <c r="AQ185" s="697"/>
      <c r="AR185" s="697"/>
      <c r="AS185" s="697"/>
      <c r="AT185" s="697"/>
      <c r="AU185" s="697"/>
      <c r="AV185" s="697"/>
      <c r="AW185" s="697"/>
      <c r="AX185" s="697"/>
      <c r="AY185" s="697"/>
      <c r="AZ185" s="697"/>
      <c r="BA185" s="697"/>
      <c r="BB185" s="697"/>
      <c r="BC185" s="697"/>
      <c r="BD185" s="697"/>
      <c r="BE185" s="697"/>
      <c r="BF185" s="697"/>
      <c r="BG185" s="697"/>
    </row>
    <row r="186">
      <c r="A186" s="697"/>
      <c r="B186" s="697" t="str">
        <f>IFERROR(__xludf.DUMMYFUNCTION("""COMPUTED_VALUE"""),"Sample Size: 100-500")</f>
        <v>Sample Size: 100-500</v>
      </c>
      <c r="C186" s="697"/>
      <c r="D186" s="697"/>
      <c r="E186" s="697"/>
      <c r="F186" s="697"/>
      <c r="G186" s="697"/>
      <c r="H186" s="697"/>
      <c r="I186" s="697"/>
      <c r="J186" s="697"/>
      <c r="K186" s="697"/>
      <c r="L186" s="697"/>
      <c r="M186" s="697"/>
      <c r="N186" s="697"/>
      <c r="O186" s="697"/>
      <c r="P186" s="697"/>
      <c r="Q186" s="697"/>
      <c r="R186" s="697"/>
      <c r="S186" s="697"/>
      <c r="T186" s="697"/>
      <c r="U186" s="697"/>
      <c r="V186" s="697"/>
      <c r="W186" s="697"/>
      <c r="X186" s="697"/>
      <c r="Y186" s="697"/>
      <c r="Z186" s="697"/>
      <c r="AA186" s="697"/>
      <c r="AB186" s="697"/>
      <c r="AC186" s="697"/>
      <c r="AD186" s="697"/>
      <c r="AE186" s="697"/>
      <c r="AF186" s="697"/>
      <c r="AG186" s="697"/>
      <c r="AH186" s="697"/>
      <c r="AI186" s="697"/>
      <c r="AJ186" s="697"/>
      <c r="AK186" s="697"/>
      <c r="AL186" s="697"/>
      <c r="AM186" s="697"/>
      <c r="AN186" s="697"/>
      <c r="AO186" s="697"/>
      <c r="AP186" s="697"/>
      <c r="AQ186" s="697"/>
      <c r="AR186" s="697"/>
      <c r="AS186" s="697"/>
      <c r="AT186" s="697"/>
      <c r="AU186" s="697"/>
      <c r="AV186" s="697"/>
      <c r="AW186" s="697"/>
      <c r="AX186" s="697"/>
      <c r="AY186" s="697"/>
      <c r="AZ186" s="697"/>
      <c r="BA186" s="697"/>
      <c r="BB186" s="697"/>
      <c r="BC186" s="697"/>
      <c r="BD186" s="697"/>
      <c r="BE186" s="697"/>
      <c r="BF186" s="697"/>
      <c r="BG186" s="697"/>
    </row>
    <row r="187">
      <c r="A187" s="697"/>
      <c r="B187" s="697" t="str">
        <f>IFERROR(__xludf.DUMMYFUNCTION("""COMPUTED_VALUE"""),"Sample Size: 500+")</f>
        <v>Sample Size: 500+</v>
      </c>
      <c r="C187" s="697"/>
      <c r="D187" s="697"/>
      <c r="E187" s="697"/>
      <c r="F187" s="697"/>
      <c r="G187" s="697"/>
      <c r="H187" s="697"/>
      <c r="I187" s="697"/>
      <c r="J187" s="697"/>
      <c r="K187" s="697"/>
      <c r="L187" s="697"/>
      <c r="M187" s="697"/>
      <c r="N187" s="697"/>
      <c r="O187" s="697"/>
      <c r="P187" s="697"/>
      <c r="Q187" s="697"/>
      <c r="R187" s="697"/>
      <c r="S187" s="697"/>
      <c r="T187" s="697"/>
      <c r="U187" s="697"/>
      <c r="V187" s="697"/>
      <c r="W187" s="697"/>
      <c r="X187" s="697"/>
      <c r="Y187" s="697"/>
      <c r="Z187" s="697"/>
      <c r="AA187" s="697"/>
      <c r="AB187" s="697"/>
      <c r="AC187" s="697"/>
      <c r="AD187" s="697"/>
      <c r="AE187" s="697"/>
      <c r="AF187" s="697"/>
      <c r="AG187" s="697"/>
      <c r="AH187" s="697"/>
      <c r="AI187" s="697"/>
      <c r="AJ187" s="697"/>
      <c r="AK187" s="697"/>
      <c r="AL187" s="697"/>
      <c r="AM187" s="697"/>
      <c r="AN187" s="697"/>
      <c r="AO187" s="697"/>
      <c r="AP187" s="697"/>
      <c r="AQ187" s="697"/>
      <c r="AR187" s="697"/>
      <c r="AS187" s="697"/>
      <c r="AT187" s="697"/>
      <c r="AU187" s="697"/>
      <c r="AV187" s="697"/>
      <c r="AW187" s="697"/>
      <c r="AX187" s="697"/>
      <c r="AY187" s="697"/>
      <c r="AZ187" s="697"/>
      <c r="BA187" s="697"/>
      <c r="BB187" s="697"/>
      <c r="BC187" s="697"/>
      <c r="BD187" s="697"/>
      <c r="BE187" s="697"/>
      <c r="BF187" s="697"/>
      <c r="BG187" s="697"/>
    </row>
    <row r="188">
      <c r="A188" s="697"/>
      <c r="B188" s="697" t="str">
        <f>IFERROR(__xludf.DUMMYFUNCTION("""COMPUTED_VALUE"""),"Meta")</f>
        <v>Meta</v>
      </c>
      <c r="C188" s="697"/>
      <c r="D188" s="697"/>
      <c r="E188" s="697"/>
      <c r="F188" s="697"/>
      <c r="G188" s="697"/>
      <c r="H188" s="697"/>
      <c r="I188" s="697"/>
      <c r="J188" s="697"/>
      <c r="K188" s="697"/>
      <c r="L188" s="697"/>
      <c r="M188" s="697"/>
      <c r="N188" s="697"/>
      <c r="O188" s="697"/>
      <c r="P188" s="697"/>
      <c r="Q188" s="697"/>
      <c r="R188" s="697"/>
      <c r="S188" s="697"/>
      <c r="T188" s="697"/>
      <c r="U188" s="697"/>
      <c r="V188" s="697"/>
      <c r="W188" s="697"/>
      <c r="X188" s="697"/>
      <c r="Y188" s="697"/>
      <c r="Z188" s="697"/>
      <c r="AA188" s="697"/>
      <c r="AB188" s="697"/>
      <c r="AC188" s="697"/>
      <c r="AD188" s="697"/>
      <c r="AE188" s="697"/>
      <c r="AF188" s="697"/>
      <c r="AG188" s="697"/>
      <c r="AH188" s="697"/>
      <c r="AI188" s="697"/>
      <c r="AJ188" s="697"/>
      <c r="AK188" s="697"/>
      <c r="AL188" s="697"/>
      <c r="AM188" s="697"/>
      <c r="AN188" s="697"/>
      <c r="AO188" s="697"/>
      <c r="AP188" s="697"/>
      <c r="AQ188" s="697"/>
      <c r="AR188" s="697"/>
      <c r="AS188" s="697"/>
      <c r="AT188" s="697"/>
      <c r="AU188" s="697"/>
      <c r="AV188" s="697"/>
      <c r="AW188" s="697"/>
      <c r="AX188" s="697"/>
      <c r="AY188" s="697"/>
      <c r="AZ188" s="697"/>
      <c r="BA188" s="697"/>
      <c r="BB188" s="697"/>
      <c r="BC188" s="697"/>
      <c r="BD188" s="697"/>
      <c r="BE188" s="697"/>
      <c r="BF188" s="697"/>
      <c r="BG188" s="697"/>
    </row>
    <row r="189">
      <c r="A189" s="697"/>
      <c r="B189" s="697" t="str">
        <f>IFERROR(__xludf.DUMMYFUNCTION("""COMPUTED_VALUE"""),"Adult/older than 18")</f>
        <v>Adult/older than 18</v>
      </c>
      <c r="C189" s="697"/>
      <c r="D189" s="697"/>
      <c r="E189" s="697"/>
      <c r="F189" s="697"/>
      <c r="G189" s="697"/>
      <c r="H189" s="697"/>
      <c r="I189" s="697"/>
      <c r="J189" s="697"/>
      <c r="K189" s="697"/>
      <c r="L189" s="697"/>
      <c r="M189" s="697"/>
      <c r="N189" s="697"/>
      <c r="O189" s="697"/>
      <c r="P189" s="697"/>
      <c r="Q189" s="697"/>
      <c r="R189" s="697"/>
      <c r="S189" s="697"/>
      <c r="T189" s="697"/>
      <c r="U189" s="697"/>
      <c r="V189" s="697"/>
      <c r="W189" s="697"/>
      <c r="X189" s="697"/>
      <c r="Y189" s="697"/>
      <c r="Z189" s="697"/>
      <c r="AA189" s="697"/>
      <c r="AB189" s="697"/>
      <c r="AC189" s="697"/>
      <c r="AD189" s="697"/>
      <c r="AE189" s="697"/>
      <c r="AF189" s="697"/>
      <c r="AG189" s="697"/>
      <c r="AH189" s="697"/>
      <c r="AI189" s="697"/>
      <c r="AJ189" s="697"/>
      <c r="AK189" s="697"/>
      <c r="AL189" s="697"/>
      <c r="AM189" s="697"/>
      <c r="AN189" s="697"/>
      <c r="AO189" s="697"/>
      <c r="AP189" s="697"/>
      <c r="AQ189" s="697"/>
      <c r="AR189" s="697"/>
      <c r="AS189" s="697"/>
      <c r="AT189" s="697"/>
      <c r="AU189" s="697"/>
      <c r="AV189" s="697"/>
      <c r="AW189" s="697"/>
      <c r="AX189" s="697"/>
      <c r="AY189" s="697"/>
      <c r="AZ189" s="697"/>
      <c r="BA189" s="697"/>
      <c r="BB189" s="697"/>
      <c r="BC189" s="697"/>
      <c r="BD189" s="697"/>
      <c r="BE189" s="697"/>
      <c r="BF189" s="697"/>
      <c r="BG189" s="697"/>
    </row>
    <row r="190">
      <c r="A190" s="697"/>
      <c r="B190" s="697" t="str">
        <f>IFERROR(__xludf.DUMMYFUNCTION("""COMPUTED_VALUE"""),"School children and Adults")</f>
        <v>School children and Adults</v>
      </c>
      <c r="C190" s="697"/>
      <c r="D190" s="697"/>
      <c r="E190" s="697"/>
      <c r="F190" s="697"/>
      <c r="G190" s="697"/>
      <c r="H190" s="697"/>
      <c r="I190" s="697"/>
      <c r="J190" s="697"/>
      <c r="K190" s="697"/>
      <c r="L190" s="697"/>
      <c r="M190" s="697"/>
      <c r="N190" s="697"/>
      <c r="O190" s="697"/>
      <c r="P190" s="697"/>
      <c r="Q190" s="697"/>
      <c r="R190" s="697"/>
      <c r="S190" s="697"/>
      <c r="T190" s="697"/>
      <c r="U190" s="697"/>
      <c r="V190" s="697"/>
      <c r="W190" s="697"/>
      <c r="X190" s="697"/>
      <c r="Y190" s="697"/>
      <c r="Z190" s="697"/>
      <c r="AA190" s="697"/>
      <c r="AB190" s="697"/>
      <c r="AC190" s="697"/>
      <c r="AD190" s="697"/>
      <c r="AE190" s="697"/>
      <c r="AF190" s="697"/>
      <c r="AG190" s="697"/>
      <c r="AH190" s="697"/>
      <c r="AI190" s="697"/>
      <c r="AJ190" s="697"/>
      <c r="AK190" s="697"/>
      <c r="AL190" s="697"/>
      <c r="AM190" s="697"/>
      <c r="AN190" s="697"/>
      <c r="AO190" s="697"/>
      <c r="AP190" s="697"/>
      <c r="AQ190" s="697"/>
      <c r="AR190" s="697"/>
      <c r="AS190" s="697"/>
      <c r="AT190" s="697"/>
      <c r="AU190" s="697"/>
      <c r="AV190" s="697"/>
      <c r="AW190" s="697"/>
      <c r="AX190" s="697"/>
      <c r="AY190" s="697"/>
      <c r="AZ190" s="697"/>
      <c r="BA190" s="697"/>
      <c r="BB190" s="697"/>
      <c r="BC190" s="697"/>
      <c r="BD190" s="697"/>
      <c r="BE190" s="697"/>
      <c r="BF190" s="697"/>
      <c r="BG190" s="697"/>
    </row>
    <row r="191">
      <c r="A191" s="697"/>
      <c r="B191" s="697" t="str">
        <f>IFERROR(__xludf.DUMMYFUNCTION("""COMPUTED_VALUE"""),"School children under 18")</f>
        <v>School children under 18</v>
      </c>
      <c r="C191" s="697"/>
      <c r="D191" s="697"/>
      <c r="E191" s="697"/>
      <c r="F191" s="697"/>
      <c r="G191" s="697"/>
      <c r="H191" s="697"/>
      <c r="I191" s="697"/>
      <c r="J191" s="697"/>
      <c r="K191" s="697"/>
      <c r="L191" s="697"/>
      <c r="M191" s="697"/>
      <c r="N191" s="697"/>
      <c r="O191" s="697"/>
      <c r="P191" s="697"/>
      <c r="Q191" s="697"/>
      <c r="R191" s="697"/>
      <c r="S191" s="697"/>
      <c r="T191" s="697"/>
      <c r="U191" s="697"/>
      <c r="V191" s="697"/>
      <c r="W191" s="697"/>
      <c r="X191" s="697"/>
      <c r="Y191" s="697"/>
      <c r="Z191" s="697"/>
      <c r="AA191" s="697"/>
      <c r="AB191" s="697"/>
      <c r="AC191" s="697"/>
      <c r="AD191" s="697"/>
      <c r="AE191" s="697"/>
      <c r="AF191" s="697"/>
      <c r="AG191" s="697"/>
      <c r="AH191" s="697"/>
      <c r="AI191" s="697"/>
      <c r="AJ191" s="697"/>
      <c r="AK191" s="697"/>
      <c r="AL191" s="697"/>
      <c r="AM191" s="697"/>
      <c r="AN191" s="697"/>
      <c r="AO191" s="697"/>
      <c r="AP191" s="697"/>
      <c r="AQ191" s="697"/>
      <c r="AR191" s="697"/>
      <c r="AS191" s="697"/>
      <c r="AT191" s="697"/>
      <c r="AU191" s="697"/>
      <c r="AV191" s="697"/>
      <c r="AW191" s="697"/>
      <c r="AX191" s="697"/>
      <c r="AY191" s="697"/>
      <c r="AZ191" s="697"/>
      <c r="BA191" s="697"/>
      <c r="BB191" s="697"/>
      <c r="BC191" s="697"/>
      <c r="BD191" s="697"/>
      <c r="BE191" s="697"/>
      <c r="BF191" s="697"/>
      <c r="BG191" s="697"/>
    </row>
    <row r="192">
      <c r="A192" s="697"/>
      <c r="B192" s="697" t="str">
        <f>IFERROR(__xludf.DUMMYFUNCTION("""COMPUTED_VALUE"""),"GHI target drug/dosage")</f>
        <v>GHI target drug/dosage</v>
      </c>
      <c r="C192" s="697"/>
      <c r="D192" s="697"/>
      <c r="E192" s="697"/>
      <c r="F192" s="697"/>
      <c r="G192" s="697"/>
      <c r="H192" s="697"/>
      <c r="I192" s="697"/>
      <c r="J192" s="697"/>
      <c r="K192" s="697"/>
      <c r="L192" s="697"/>
      <c r="M192" s="697"/>
      <c r="N192" s="697"/>
      <c r="O192" s="697"/>
      <c r="P192" s="697"/>
      <c r="Q192" s="697"/>
      <c r="R192" s="697"/>
      <c r="S192" s="697"/>
      <c r="T192" s="697"/>
      <c r="U192" s="697"/>
      <c r="V192" s="697"/>
      <c r="W192" s="697"/>
      <c r="X192" s="697"/>
      <c r="Y192" s="697"/>
      <c r="Z192" s="697"/>
      <c r="AA192" s="697"/>
      <c r="AB192" s="697"/>
      <c r="AC192" s="697"/>
      <c r="AD192" s="697"/>
      <c r="AE192" s="697"/>
      <c r="AF192" s="697"/>
      <c r="AG192" s="697"/>
      <c r="AH192" s="697"/>
      <c r="AI192" s="697"/>
      <c r="AJ192" s="697"/>
      <c r="AK192" s="697"/>
      <c r="AL192" s="697"/>
      <c r="AM192" s="697"/>
      <c r="AN192" s="697"/>
      <c r="AO192" s="697"/>
      <c r="AP192" s="697"/>
      <c r="AQ192" s="697"/>
      <c r="AR192" s="697"/>
      <c r="AS192" s="697"/>
      <c r="AT192" s="697"/>
      <c r="AU192" s="697"/>
      <c r="AV192" s="697"/>
      <c r="AW192" s="697"/>
      <c r="AX192" s="697"/>
      <c r="AY192" s="697"/>
      <c r="AZ192" s="697"/>
      <c r="BA192" s="697"/>
      <c r="BB192" s="697"/>
      <c r="BC192" s="697"/>
      <c r="BD192" s="697"/>
      <c r="BE192" s="697"/>
      <c r="BF192" s="697"/>
      <c r="BG192" s="697"/>
    </row>
    <row r="193">
      <c r="A193" s="697"/>
      <c r="B193" s="697"/>
      <c r="C193" s="697"/>
      <c r="D193" s="697"/>
      <c r="E193" s="697"/>
      <c r="F193" s="697"/>
      <c r="G193" s="697"/>
      <c r="H193" s="697"/>
      <c r="I193" s="697"/>
      <c r="J193" s="697"/>
      <c r="K193" s="697"/>
      <c r="L193" s="697"/>
      <c r="M193" s="697"/>
      <c r="N193" s="697"/>
      <c r="O193" s="697"/>
      <c r="P193" s="697"/>
      <c r="Q193" s="697"/>
      <c r="R193" s="697"/>
      <c r="S193" s="697"/>
      <c r="T193" s="697"/>
      <c r="U193" s="697"/>
      <c r="V193" s="697"/>
      <c r="W193" s="697"/>
      <c r="X193" s="697"/>
      <c r="Y193" s="697"/>
      <c r="Z193" s="697"/>
      <c r="AA193" s="697"/>
      <c r="AB193" s="697"/>
      <c r="AC193" s="697"/>
      <c r="AD193" s="697"/>
      <c r="AE193" s="697"/>
      <c r="AF193" s="697"/>
      <c r="AG193" s="697"/>
      <c r="AH193" s="697"/>
      <c r="AI193" s="697"/>
      <c r="AJ193" s="697"/>
      <c r="AK193" s="697"/>
      <c r="AL193" s="697"/>
      <c r="AM193" s="697"/>
      <c r="AN193" s="697"/>
      <c r="AO193" s="697"/>
      <c r="AP193" s="697"/>
      <c r="AQ193" s="697"/>
      <c r="AR193" s="697"/>
      <c r="AS193" s="697"/>
      <c r="AT193" s="697"/>
      <c r="AU193" s="697"/>
      <c r="AV193" s="697"/>
      <c r="AW193" s="697"/>
      <c r="AX193" s="697"/>
      <c r="AY193" s="697"/>
      <c r="AZ193" s="697"/>
      <c r="BA193" s="697"/>
      <c r="BB193" s="697"/>
      <c r="BC193" s="697"/>
      <c r="BD193" s="697"/>
      <c r="BE193" s="697"/>
      <c r="BF193" s="697"/>
      <c r="BG193" s="697"/>
    </row>
    <row r="194">
      <c r="A194" s="697"/>
      <c r="B194" s="697" t="str">
        <f>IFERROR(__xludf.DUMMYFUNCTION("""COMPUTED_VALUE"""),"studies in red font not included in total in summary sheet due to wrong efficacy endpoints, also see note on line 57-study included in summary sheet for two time intervals")</f>
        <v>studies in red font not included in total in summary sheet due to wrong efficacy endpoints, also see note on line 57-study included in summary sheet for two time intervals</v>
      </c>
      <c r="C194" s="697"/>
      <c r="D194" s="697"/>
      <c r="E194" s="697"/>
      <c r="F194" s="697"/>
      <c r="G194" s="697"/>
      <c r="H194" s="697"/>
      <c r="I194" s="697"/>
      <c r="J194" s="697"/>
      <c r="K194" s="697"/>
      <c r="L194" s="697"/>
      <c r="M194" s="697"/>
      <c r="N194" s="697"/>
      <c r="O194" s="697"/>
      <c r="P194" s="697"/>
      <c r="Q194" s="697"/>
      <c r="R194" s="697"/>
      <c r="S194" s="697"/>
      <c r="T194" s="697"/>
      <c r="U194" s="697"/>
      <c r="V194" s="697"/>
      <c r="W194" s="697"/>
      <c r="X194" s="697"/>
      <c r="Y194" s="697"/>
      <c r="Z194" s="697"/>
      <c r="AA194" s="697"/>
      <c r="AB194" s="697"/>
      <c r="AC194" s="697"/>
      <c r="AD194" s="697"/>
      <c r="AE194" s="697"/>
      <c r="AF194" s="697"/>
      <c r="AG194" s="697"/>
      <c r="AH194" s="697"/>
      <c r="AI194" s="697"/>
      <c r="AJ194" s="697"/>
      <c r="AK194" s="697"/>
      <c r="AL194" s="697"/>
      <c r="AM194" s="697"/>
      <c r="AN194" s="697"/>
      <c r="AO194" s="697"/>
      <c r="AP194" s="697"/>
      <c r="AQ194" s="697"/>
      <c r="AR194" s="697"/>
      <c r="AS194" s="697"/>
      <c r="AT194" s="697"/>
      <c r="AU194" s="697"/>
      <c r="AV194" s="697"/>
      <c r="AW194" s="697"/>
      <c r="AX194" s="697"/>
      <c r="AY194" s="697"/>
      <c r="AZ194" s="697"/>
      <c r="BA194" s="697"/>
      <c r="BB194" s="697"/>
      <c r="BC194" s="697"/>
      <c r="BD194" s="697"/>
      <c r="BE194" s="697"/>
      <c r="BF194" s="697"/>
      <c r="BG194" s="697"/>
    </row>
  </sheetData>
  <autoFilter ref="$A$1:$BP$1000"/>
  <hyperlinks>
    <hyperlink r:id="rId1" ref="AU2"/>
    <hyperlink r:id="rId2" ref="AU3"/>
    <hyperlink r:id="rId3" ref="AU5"/>
    <hyperlink r:id="rId4" ref="AU7"/>
    <hyperlink r:id="rId5" ref="AU8"/>
    <hyperlink r:id="rId6" ref="AU9"/>
    <hyperlink r:id="rId7" ref="AU10"/>
    <hyperlink r:id="rId8" ref="AU11"/>
    <hyperlink r:id="rId9" ref="AU12"/>
    <hyperlink r:id="rId10" ref="AU13"/>
    <hyperlink r:id="rId11" ref="AU14"/>
    <hyperlink r:id="rId12" ref="AU15"/>
    <hyperlink r:id="rId13" ref="AU16"/>
    <hyperlink r:id="rId14" ref="AU18"/>
    <hyperlink r:id="rId15" ref="AU19"/>
    <hyperlink r:id="rId16" ref="AU20"/>
    <hyperlink r:id="rId17" ref="AU21"/>
    <hyperlink r:id="rId18" ref="AU22"/>
    <hyperlink r:id="rId19" ref="AU23"/>
    <hyperlink r:id="rId20" ref="AU24"/>
    <hyperlink r:id="rId21" ref="AU25"/>
    <hyperlink r:id="rId22" ref="AU26"/>
    <hyperlink r:id="rId23" ref="AU27"/>
    <hyperlink r:id="rId24" ref="AU28"/>
    <hyperlink r:id="rId25" ref="AU29"/>
    <hyperlink r:id="rId26" ref="AU30"/>
    <hyperlink r:id="rId27" ref="AU31"/>
    <hyperlink r:id="rId28" ref="AU32"/>
    <hyperlink r:id="rId29" ref="AU33"/>
    <hyperlink r:id="rId30" ref="AU34"/>
    <hyperlink r:id="rId31" ref="AU35"/>
    <hyperlink r:id="rId32" ref="AU36"/>
    <hyperlink r:id="rId33" ref="AU37"/>
    <hyperlink r:id="rId34" ref="AU38"/>
    <hyperlink r:id="rId35" ref="AU39"/>
    <hyperlink r:id="rId36" ref="AU40"/>
    <hyperlink r:id="rId37" ref="AU41"/>
    <hyperlink r:id="rId38" ref="AU42"/>
    <hyperlink r:id="rId39" ref="AU43"/>
    <hyperlink r:id="rId40" ref="AU44"/>
    <hyperlink r:id="rId41" ref="AU45"/>
    <hyperlink r:id="rId42" ref="AU46"/>
    <hyperlink r:id="rId43" ref="AU47"/>
    <hyperlink r:id="rId44" ref="AU48"/>
    <hyperlink r:id="rId45" ref="AU49"/>
    <hyperlink r:id="rId46" ref="AU50"/>
    <hyperlink r:id="rId47" ref="AU51"/>
    <hyperlink r:id="rId48" ref="AU52"/>
    <hyperlink r:id="rId49" ref="AU53"/>
    <hyperlink r:id="rId50" ref="AU54"/>
    <hyperlink r:id="rId51" ref="AU55"/>
    <hyperlink r:id="rId52" ref="AU56"/>
    <hyperlink r:id="rId53" ref="AU57"/>
    <hyperlink r:id="rId54" ref="AU58"/>
    <hyperlink r:id="rId55" ref="AU59"/>
    <hyperlink r:id="rId56" ref="AU60"/>
    <hyperlink r:id="rId57" ref="AU61"/>
    <hyperlink r:id="rId58" ref="AU62"/>
    <hyperlink r:id="rId59" ref="AU63"/>
    <hyperlink r:id="rId60" ref="AU64"/>
    <hyperlink r:id="rId61" ref="AU65"/>
    <hyperlink r:id="rId62" ref="AU66"/>
    <hyperlink r:id="rId63" ref="AU67"/>
    <hyperlink r:id="rId64" ref="AU68"/>
    <hyperlink r:id="rId65" ref="AU69"/>
    <hyperlink r:id="rId66" ref="AU70"/>
    <hyperlink r:id="rId67" ref="AU71"/>
    <hyperlink r:id="rId68" ref="AU72"/>
    <hyperlink r:id="rId69" ref="AU73"/>
    <hyperlink r:id="rId70" ref="AU74"/>
    <hyperlink r:id="rId71" ref="AU75"/>
    <hyperlink r:id="rId72" ref="AU76"/>
    <hyperlink r:id="rId73" ref="AU77"/>
    <hyperlink r:id="rId74" ref="AU78"/>
    <hyperlink r:id="rId75" ref="AU79"/>
    <hyperlink r:id="rId76" ref="AU80"/>
    <hyperlink r:id="rId77" ref="AU81"/>
    <hyperlink r:id="rId78" ref="AU82"/>
    <hyperlink r:id="rId79" ref="AU83"/>
    <hyperlink r:id="rId80" ref="AU84"/>
    <hyperlink r:id="rId81" ref="AU85"/>
    <hyperlink r:id="rId82" ref="AU86"/>
    <hyperlink r:id="rId83" ref="AU87"/>
    <hyperlink r:id="rId84" ref="AU88"/>
    <hyperlink r:id="rId85" ref="AU89"/>
    <hyperlink r:id="rId86" ref="AU90"/>
    <hyperlink r:id="rId87" ref="AU91"/>
    <hyperlink r:id="rId88" ref="AU92"/>
    <hyperlink r:id="rId89" ref="AU93"/>
    <hyperlink r:id="rId90" ref="AU94"/>
    <hyperlink r:id="rId91" ref="AU95"/>
    <hyperlink r:id="rId92" ref="AU96"/>
    <hyperlink r:id="rId93" ref="AU97"/>
    <hyperlink r:id="rId94" ref="AU98"/>
    <hyperlink r:id="rId95" ref="AU99"/>
    <hyperlink r:id="rId96" ref="AU100"/>
    <hyperlink r:id="rId97" ref="AU101"/>
    <hyperlink r:id="rId98" ref="AU102"/>
    <hyperlink r:id="rId99" ref="AU103"/>
    <hyperlink r:id="rId100" ref="AU104"/>
    <hyperlink r:id="rId101" ref="AU105"/>
    <hyperlink r:id="rId102" ref="AU106"/>
    <hyperlink r:id="rId103" ref="AU107"/>
    <hyperlink r:id="rId104" ref="AU108"/>
    <hyperlink r:id="rId105" ref="AU109"/>
    <hyperlink r:id="rId106" ref="AU110"/>
    <hyperlink r:id="rId107" ref="AU111"/>
    <hyperlink r:id="rId108" ref="AU112"/>
    <hyperlink r:id="rId109" ref="AU113"/>
    <hyperlink r:id="rId110" ref="AU114"/>
    <hyperlink r:id="rId111" ref="AU115"/>
    <hyperlink r:id="rId112" ref="AU116"/>
    <hyperlink r:id="rId113" ref="AU117"/>
    <hyperlink r:id="rId114" ref="AU118"/>
    <hyperlink r:id="rId115" ref="AU119"/>
    <hyperlink r:id="rId116" ref="AU120"/>
    <hyperlink r:id="rId117" ref="AU121"/>
    <hyperlink r:id="rId118" ref="AU122"/>
    <hyperlink r:id="rId119" ref="AU123"/>
    <hyperlink r:id="rId120" ref="AU124"/>
    <hyperlink r:id="rId121" ref="AU125"/>
    <hyperlink r:id="rId122" ref="AU126"/>
    <hyperlink r:id="rId123" ref="AU127"/>
    <hyperlink r:id="rId124" ref="AU128"/>
    <hyperlink r:id="rId125" ref="AU129"/>
    <hyperlink r:id="rId126" ref="AU130"/>
    <hyperlink r:id="rId127" ref="AU131"/>
    <hyperlink r:id="rId128" ref="AU132"/>
    <hyperlink r:id="rId129" ref="AU133"/>
    <hyperlink r:id="rId130" ref="AU134"/>
    <hyperlink r:id="rId131" ref="AU135"/>
    <hyperlink r:id="rId132" ref="AU136"/>
    <hyperlink r:id="rId133" ref="AU137"/>
    <hyperlink r:id="rId134" ref="AU138"/>
    <hyperlink r:id="rId135" ref="AU139"/>
    <hyperlink r:id="rId136" ref="AU140"/>
    <hyperlink r:id="rId137" ref="AU141"/>
    <hyperlink r:id="rId138" ref="AU142"/>
    <hyperlink r:id="rId139" ref="AU143"/>
    <hyperlink r:id="rId140" ref="AU144"/>
    <hyperlink r:id="rId141" ref="AU145"/>
    <hyperlink r:id="rId142" ref="AU146"/>
    <hyperlink r:id="rId143" ref="AU147"/>
    <hyperlink r:id="rId144" ref="AU148"/>
    <hyperlink r:id="rId145" ref="AU149"/>
    <hyperlink r:id="rId146" ref="AU150"/>
    <hyperlink r:id="rId147" ref="AU151"/>
    <hyperlink r:id="rId148" ref="AU152"/>
    <hyperlink r:id="rId149" ref="AU153"/>
    <hyperlink r:id="rId150" ref="AU154"/>
    <hyperlink r:id="rId151" ref="AU155"/>
    <hyperlink r:id="rId152" ref="AU156"/>
    <hyperlink r:id="rId153" ref="AU157"/>
    <hyperlink r:id="rId154" ref="B159"/>
    <hyperlink r:id="rId155" ref="AJ159"/>
    <hyperlink r:id="rId156" ref="B160"/>
    <hyperlink r:id="rId157" ref="AJ160"/>
    <hyperlink r:id="rId158" ref="B161"/>
    <hyperlink r:id="rId159" ref="AJ161"/>
    <hyperlink r:id="rId160" ref="B162"/>
    <hyperlink r:id="rId161" ref="AJ162"/>
    <hyperlink r:id="rId162" ref="B163"/>
    <hyperlink r:id="rId163" ref="AJ163"/>
    <hyperlink r:id="rId164" ref="AU163"/>
    <hyperlink r:id="rId165" ref="B164"/>
    <hyperlink r:id="rId166" ref="AJ164"/>
    <hyperlink r:id="rId167" ref="AU164"/>
    <hyperlink r:id="rId168" ref="B165"/>
    <hyperlink r:id="rId169" ref="AJ165"/>
    <hyperlink r:id="rId170" ref="AU165"/>
    <hyperlink r:id="rId171" ref="B166"/>
    <hyperlink r:id="rId172" ref="AJ166"/>
    <hyperlink r:id="rId173" ref="AU166"/>
    <hyperlink r:id="rId174" ref="B167"/>
    <hyperlink r:id="rId175" ref="AJ167"/>
    <hyperlink r:id="rId176" ref="B168"/>
    <hyperlink r:id="rId177" ref="AJ168"/>
    <hyperlink r:id="rId178" ref="B169"/>
    <hyperlink r:id="rId179" ref="AJ169"/>
    <hyperlink r:id="rId180" ref="B170"/>
    <hyperlink r:id="rId181" ref="AJ170"/>
  </hyperlinks>
  <drawing r:id="rId182"/>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hidden="1" min="19" max="21" width="12.63"/>
  </cols>
  <sheetData>
    <row r="1">
      <c r="A1" s="697" t="str">
        <f>IFERROR(__xludf.DUMMYFUNCTION("IMPORTRANGE(""https://docs.google.com/spreadsheets/d/1D9OgdTkluSwL5P5smIpS0uEabdw5uhBh8oEZuqf1Okk/edit#gid=0"",""All Data!A1:AA510"")"),"")</f>
        <v/>
      </c>
      <c r="B1" s="697" t="str">
        <f>IFERROR(__xludf.DUMMYFUNCTION("""COMPUTED_VALUE"""),"Added by")</f>
        <v>Added by</v>
      </c>
      <c r="C1" s="697" t="str">
        <f>IFERROR(__xludf.DUMMYFUNCTION("""COMPUTED_VALUE"""),"Checked by")</f>
        <v>Checked by</v>
      </c>
      <c r="D1" s="697" t="str">
        <f>IFERROR(__xludf.DUMMYFUNCTION("""COMPUTED_VALUE"""),"Country")</f>
        <v>Country</v>
      </c>
      <c r="E1" s="697" t="str">
        <f>IFERROR(__xludf.DUMMYFUNCTION("""COMPUTED_VALUE"""),"Type of LF")</f>
        <v>Type of LF</v>
      </c>
      <c r="F1" s="697" t="str">
        <f>IFERROR(__xludf.DUMMYFUNCTION("""COMPUTED_VALUE"""),"Drug")</f>
        <v>Drug</v>
      </c>
      <c r="G1" s="697" t="str">
        <f>IFERROR(__xludf.DUMMYFUNCTION("""COMPUTED_VALUE"""),"Single Dosage")</f>
        <v>Single Dosage</v>
      </c>
      <c r="H1" s="697" t="str">
        <f>IFERROR(__xludf.DUMMYFUNCTION("""COMPUTED_VALUE"""),"Number of Dosages (Days)")</f>
        <v>Number of Dosages (Days)</v>
      </c>
      <c r="I1" s="706" t="str">
        <f>IFERROR(__xludf.DUMMYFUNCTION("""COMPUTED_VALUE"""),"% Reduction in mf")</f>
        <v>% Reduction in mf</v>
      </c>
      <c r="J1" s="706" t="str">
        <f>IFERROR(__xludf.DUMMYFUNCTION("""COMPUTED_VALUE"""),"Cure rate")</f>
        <v>Cure rate</v>
      </c>
      <c r="K1" s="697" t="str">
        <f>IFERROR(__xludf.DUMMYFUNCTION("""COMPUTED_VALUE"""),"Egg Reduction Rate")</f>
        <v>Egg Reduction Rate</v>
      </c>
      <c r="L1" s="697" t="str">
        <f>IFERROR(__xludf.DUMMYFUNCTION("""COMPUTED_VALUE"""),"Sample Size")</f>
        <v>Sample Size</v>
      </c>
      <c r="M1" s="10" t="str">
        <f>IFERROR(__xludf.DUMMYFUNCTION("""COMPUTED_VALUE"""),"Age")</f>
        <v>Age</v>
      </c>
      <c r="N1" s="862" t="str">
        <f>IFERROR(__xludf.DUMMYFUNCTION("""COMPUTED_VALUE"""),"Sex (F:M)")</f>
        <v>Sex (F:M)</v>
      </c>
      <c r="O1" s="697" t="str">
        <f>IFERROR(__xludf.DUMMYFUNCTION("""COMPUTED_VALUE"""),"Inclusion Criteria")</f>
        <v>Inclusion Criteria</v>
      </c>
      <c r="P1" s="697" t="str">
        <f>IFERROR(__xludf.DUMMYFUNCTION("""COMPUTED_VALUE"""),"Study Type")</f>
        <v>Study Type</v>
      </c>
      <c r="Q1" s="697" t="str">
        <f>IFERROR(__xludf.DUMMYFUNCTION("""COMPUTED_VALUE"""),"Blind/Double Blind")</f>
        <v>Blind/Double Blind</v>
      </c>
      <c r="R1" s="697" t="str">
        <f>IFERROR(__xludf.DUMMYFUNCTION("""COMPUTED_VALUE"""),"Randomization")</f>
        <v>Randomization</v>
      </c>
      <c r="S1" s="697" t="str">
        <f>IFERROR(__xludf.DUMMYFUNCTION("""COMPUTED_VALUE"""),"Endpoint")</f>
        <v>Endpoint</v>
      </c>
      <c r="T1" s="697" t="str">
        <f>IFERROR(__xludf.DUMMYFUNCTION("""COMPUTED_VALUE"""),"Conclusion ")</f>
        <v>Conclusion </v>
      </c>
      <c r="U1" s="697" t="str">
        <f>IFERROR(__xludf.DUMMYFUNCTION("""COMPUTED_VALUE"""),"Notes")</f>
        <v>Notes</v>
      </c>
      <c r="V1" s="697" t="str">
        <f>IFERROR(__xludf.DUMMYFUNCTION("""COMPUTED_VALUE"""),"Year")</f>
        <v>Year</v>
      </c>
      <c r="W1" s="697" t="str">
        <f>IFERROR(__xludf.DUMMYFUNCTION("""COMPUTED_VALUE"""),"Endyear")</f>
        <v>Endyear</v>
      </c>
      <c r="X1" s="697" t="str">
        <f>IFERROR(__xludf.DUMMYFUNCTION("""COMPUTED_VALUE"""),"Reference")</f>
        <v>Reference</v>
      </c>
      <c r="Y1" s="697" t="str">
        <f>IFERROR(__xludf.DUMMYFUNCTION("""COMPUTED_VALUE"""),"DOI")</f>
        <v>DOI</v>
      </c>
      <c r="Z1" s="863" t="str">
        <f>IFERROR(__xludf.DUMMYFUNCTION("""COMPUTED_VALUE"""),"URL")</f>
        <v>URL</v>
      </c>
      <c r="AA1" s="697" t="str">
        <f>IFERROR(__xludf.DUMMYFUNCTION("""COMPUTED_VALUE"""),"x=exclusion")</f>
        <v>x=exclusion</v>
      </c>
    </row>
    <row r="2">
      <c r="A2" s="697" t="str">
        <f>IFERROR(__xludf.DUMMYFUNCTION("""COMPUTED_VALUE"""),"Addiss DG, 1997")</f>
        <v>Addiss DG, 1997</v>
      </c>
      <c r="B2" s="697"/>
      <c r="C2" s="697" t="str">
        <f>IFERROR(__xludf.DUMMYFUNCTION("""COMPUTED_VALUE"""),"Alex ")</f>
        <v>Alex </v>
      </c>
      <c r="D2" s="697" t="str">
        <f>IFERROR(__xludf.DUMMYFUNCTION("""COMPUTED_VALUE"""),"Haiti")</f>
        <v>Haiti</v>
      </c>
      <c r="E2" s="697" t="str">
        <f>IFERROR(__xludf.DUMMYFUNCTION("""COMPUTED_VALUE"""),"W. bancrofti")</f>
        <v>W. bancrofti</v>
      </c>
      <c r="F2" s="697" t="str">
        <f>IFERROR(__xludf.DUMMYFUNCTION("""COMPUTED_VALUE"""),"Placebo")</f>
        <v>Placebo</v>
      </c>
      <c r="G2" s="697" t="str">
        <f>IFERROR(__xludf.DUMMYFUNCTION("""COMPUTED_VALUE"""),"-")</f>
        <v>-</v>
      </c>
      <c r="H2" s="697"/>
      <c r="I2" s="706">
        <f>IFERROR(__xludf.DUMMYFUNCTION("""COMPUTED_VALUE"""),0.172)</f>
        <v>0.172</v>
      </c>
      <c r="J2" s="706">
        <f>IFERROR(__xludf.DUMMYFUNCTION("""COMPUTED_VALUE"""),0.31)</f>
        <v>0.31</v>
      </c>
      <c r="K2" s="697"/>
      <c r="L2" s="697">
        <f>IFERROR(__xludf.DUMMYFUNCTION("""COMPUTED_VALUE"""),29.0)</f>
        <v>29</v>
      </c>
      <c r="M2" s="10" t="str">
        <f>IFERROR(__xludf.DUMMYFUNCTION("""COMPUTED_VALUE"""),"5 to 11")</f>
        <v>5 to 11</v>
      </c>
      <c r="N2" s="864">
        <f>IFERROR(__xludf.DUMMYFUNCTION("""COMPUTED_VALUE"""),0.6347222222222222)</f>
        <v>0.6347222222</v>
      </c>
      <c r="O2" s="697" t="str">
        <f>IFERROR(__xludf.DUMMYFUNCTION("""COMPUTED_VALUE"""),"Children attending any of the 5 primary schools in Leogane with Wuchereria bancrofti filariasis")</f>
        <v>Children attending any of the 5 primary schools in Leogane with Wuchereria bancrofti filariasis</v>
      </c>
      <c r="P2" s="697" t="str">
        <f>IFERROR(__xludf.DUMMYFUNCTION("""COMPUTED_VALUE"""),"double-blind, RCT")</f>
        <v>double-blind, RCT</v>
      </c>
      <c r="Q2" s="697" t="str">
        <f>IFERROR(__xludf.DUMMYFUNCTION("""COMPUTED_VALUE"""),"Yes")</f>
        <v>Yes</v>
      </c>
      <c r="R2" s="697" t="str">
        <f>IFERROR(__xludf.DUMMYFUNCTION("""COMPUTED_VALUE"""),"Yes")</f>
        <v>Yes</v>
      </c>
      <c r="S2" s="697" t="str">
        <f>IFERROR(__xludf.DUMMYFUNCTION("""COMPUTED_VALUE"""),"4 months")</f>
        <v>4 months</v>
      </c>
      <c r="T2" s="697" t="str">
        <f>IFERROR(__xludf.DUMMYFUNCTION("""COMPUTED_VALUE"""),"combined treatment with ivermectin and albendazole was more effective than treatment with ivermectin only, with no measurable increase in severity of adverse reactions.")</f>
        <v>combined treatment with ivermectin and albendazole was more effective than treatment with ivermectin only, with no measurable increase in severity of adverse reactions.</v>
      </c>
      <c r="U2" s="697" t="str">
        <f>IFERROR(__xludf.DUMMYFUNCTION("""COMPUTED_VALUE"""),"geometric mean intensity values used. 3 lost to follow up, ""code [for allocation] was broken at the end of the second follow-up"" ""clinician who was unaware of treatment-group status... examined them for adverse reactions""")</f>
        <v>geometric mean intensity values used. 3 lost to follow up, "code [for allocation] was broken at the end of the second follow-up" "clinician who was unaware of treatment-group status... examined them for adverse reactions"</v>
      </c>
      <c r="V2" s="697">
        <f>IFERROR(__xludf.DUMMYFUNCTION("""COMPUTED_VALUE"""),1997.0)</f>
        <v>1997</v>
      </c>
      <c r="W2" s="697">
        <f>IFERROR(__xludf.DUMMYFUNCTION("""COMPUTED_VALUE"""),1997.0)</f>
        <v>1997</v>
      </c>
      <c r="X2" s="697" t="str">
        <f>IFERROR(__xludf.DUMMYFUNCTION("""COMPUTED_VALUE"""),"Addiss DG, Beach MJ, Streit TG, Lutwick S, LeConte FH, Lafontant JG, et al.Randomised placebo-controlled comparison of ivermectin and albendazole alone and in combination for Wuchereria bancrofti microfilaraemia in Haitian children. Lancet 1997;350(9076):"&amp;"480–4.")</f>
        <v>Addiss DG, Beach MJ, Streit TG, Lutwick S, LeConte FH, Lafontant JG, et al.Randomised placebo-controlled comparison of ivermectin and albendazole alone and in combination for Wuchereria bancrofti microfilaraemia in Haitian children. Lancet 1997;350(9076):480–4.</v>
      </c>
      <c r="Y2" s="697" t="str">
        <f>IFERROR(__xludf.DUMMYFUNCTION("""COMPUTED_VALUE"""),"10.1016/S0140-6736(97)02231-9")</f>
        <v>10.1016/S0140-6736(97)02231-9</v>
      </c>
      <c r="Z2" s="865" t="str">
        <f>IFERROR(__xludf.DUMMYFUNCTION("""COMPUTED_VALUE"""),"https://drive.google.com/file/d/0B9vYgR7NsKoYV3BYeWVzTDZvcGc/view?usp=sharing")</f>
        <v>https://drive.google.com/file/d/0B9vYgR7NsKoYV3BYeWVzTDZvcGc/view?usp=sharing</v>
      </c>
      <c r="AA2" s="697"/>
    </row>
    <row r="3">
      <c r="A3" s="697" t="str">
        <f>IFERROR(__xludf.DUMMYFUNCTION("""COMPUTED_VALUE"""),"Addiss DG, 1997")</f>
        <v>Addiss DG, 1997</v>
      </c>
      <c r="B3" s="697"/>
      <c r="C3" s="697" t="str">
        <f>IFERROR(__xludf.DUMMYFUNCTION("""COMPUTED_VALUE"""),"Alex ")</f>
        <v>Alex </v>
      </c>
      <c r="D3" s="697" t="str">
        <f>IFERROR(__xludf.DUMMYFUNCTION("""COMPUTED_VALUE"""),"Haiti")</f>
        <v>Haiti</v>
      </c>
      <c r="E3" s="697" t="str">
        <f>IFERROR(__xludf.DUMMYFUNCTION("""COMPUTED_VALUE"""),"W. bancrofti")</f>
        <v>W. bancrofti</v>
      </c>
      <c r="F3" s="697" t="str">
        <f>IFERROR(__xludf.DUMMYFUNCTION("""COMPUTED_VALUE"""),"Ivermectin")</f>
        <v>Ivermectin</v>
      </c>
      <c r="G3" s="697" t="str">
        <f>IFERROR(__xludf.DUMMYFUNCTION("""COMPUTED_VALUE"""),".2-.4mg/kg")</f>
        <v>.2-.4mg/kg</v>
      </c>
      <c r="H3" s="697">
        <f>IFERROR(__xludf.DUMMYFUNCTION("""COMPUTED_VALUE"""),1.0)</f>
        <v>1</v>
      </c>
      <c r="I3" s="706">
        <f>IFERROR(__xludf.DUMMYFUNCTION("""COMPUTED_VALUE"""),0.761)</f>
        <v>0.761</v>
      </c>
      <c r="J3" s="706">
        <f>IFERROR(__xludf.DUMMYFUNCTION("""COMPUTED_VALUE"""),0.392)</f>
        <v>0.392</v>
      </c>
      <c r="K3" s="697"/>
      <c r="L3" s="697">
        <f>IFERROR(__xludf.DUMMYFUNCTION("""COMPUTED_VALUE"""),28.0)</f>
        <v>28</v>
      </c>
      <c r="M3" s="10" t="str">
        <f>IFERROR(__xludf.DUMMYFUNCTION("""COMPUTED_VALUE"""),"6 to 11")</f>
        <v>6 to 11</v>
      </c>
      <c r="N3" s="864">
        <f>IFERROR(__xludf.DUMMYFUNCTION("""COMPUTED_VALUE"""),0.5930555555555556)</f>
        <v>0.5930555556</v>
      </c>
      <c r="O3" s="697" t="str">
        <f>IFERROR(__xludf.DUMMYFUNCTION("""COMPUTED_VALUE"""),"Children attending any of the 5 primary schools in Leogane with Wuchereria bancrofti filariasis")</f>
        <v>Children attending any of the 5 primary schools in Leogane with Wuchereria bancrofti filariasis</v>
      </c>
      <c r="P3" s="697" t="str">
        <f>IFERROR(__xludf.DUMMYFUNCTION("""COMPUTED_VALUE"""),"double-blind, RCT")</f>
        <v>double-blind, RCT</v>
      </c>
      <c r="Q3" s="697" t="str">
        <f>IFERROR(__xludf.DUMMYFUNCTION("""COMPUTED_VALUE"""),"Yes")</f>
        <v>Yes</v>
      </c>
      <c r="R3" s="697" t="str">
        <f>IFERROR(__xludf.DUMMYFUNCTION("""COMPUTED_VALUE"""),"Yes")</f>
        <v>Yes</v>
      </c>
      <c r="S3" s="697" t="str">
        <f>IFERROR(__xludf.DUMMYFUNCTION("""COMPUTED_VALUE"""),"4 months")</f>
        <v>4 months</v>
      </c>
      <c r="T3" s="697" t="str">
        <f>IFERROR(__xludf.DUMMYFUNCTION("""COMPUTED_VALUE"""),"combined treatment with ivermectin and albendazole was more effective than treatment with ivermectin only, with no measurable increase in severity of adverse reactions.")</f>
        <v>combined treatment with ivermectin and albendazole was more effective than treatment with ivermectin only, with no measurable increase in severity of adverse reactions.</v>
      </c>
      <c r="U3" s="697" t="str">
        <f>IFERROR(__xludf.DUMMYFUNCTION("""COMPUTED_VALUE"""),"geometric mean intensity values used. 3 lost to follow up, ""code [for allocation] was broken at the end of the second follow-up"" ""clinician who was unaware of treatment-group status... examined them for adverse reactions""")</f>
        <v>geometric mean intensity values used. 3 lost to follow up, "code [for allocation] was broken at the end of the second follow-up" "clinician who was unaware of treatment-group status... examined them for adverse reactions"</v>
      </c>
      <c r="V3" s="697">
        <f>IFERROR(__xludf.DUMMYFUNCTION("""COMPUTED_VALUE"""),1997.0)</f>
        <v>1997</v>
      </c>
      <c r="W3" s="697">
        <f>IFERROR(__xludf.DUMMYFUNCTION("""COMPUTED_VALUE"""),1997.0)</f>
        <v>1997</v>
      </c>
      <c r="X3" s="697" t="str">
        <f>IFERROR(__xludf.DUMMYFUNCTION("""COMPUTED_VALUE"""),"Addiss DG, Beach MJ, Streit TG, Lutwick S, LeConte FH, Lafontant JG, et al.Randomised placebo-controlled comparison of ivermectin and albendazole alone and in combination for Wuchereria bancrofti microfilaraemia in Haitian children. Lancet 1997;350(9076):"&amp;"480–4.")</f>
        <v>Addiss DG, Beach MJ, Streit TG, Lutwick S, LeConte FH, Lafontant JG, et al.Randomised placebo-controlled comparison of ivermectin and albendazole alone and in combination for Wuchereria bancrofti microfilaraemia in Haitian children. Lancet 1997;350(9076):480–4.</v>
      </c>
      <c r="Y3" s="697" t="str">
        <f>IFERROR(__xludf.DUMMYFUNCTION("""COMPUTED_VALUE"""),"10.1016/S0140-6736(97)02231-9")</f>
        <v>10.1016/S0140-6736(97)02231-9</v>
      </c>
      <c r="Z3" s="865" t="str">
        <f>IFERROR(__xludf.DUMMYFUNCTION("""COMPUTED_VALUE"""),"https://drive.google.com/file/d/0B9vYgR7NsKoYV3BYeWVzTDZvcGc/view?usp=sharing")</f>
        <v>https://drive.google.com/file/d/0B9vYgR7NsKoYV3BYeWVzTDZvcGc/view?usp=sharing</v>
      </c>
      <c r="AA3" s="697"/>
    </row>
    <row r="4">
      <c r="A4" s="697" t="str">
        <f>IFERROR(__xludf.DUMMYFUNCTION("""COMPUTED_VALUE"""),"Addiss DG, 1997")</f>
        <v>Addiss DG, 1997</v>
      </c>
      <c r="B4" s="697"/>
      <c r="C4" s="697" t="str">
        <f>IFERROR(__xludf.DUMMYFUNCTION("""COMPUTED_VALUE"""),"Alex ")</f>
        <v>Alex </v>
      </c>
      <c r="D4" s="697" t="str">
        <f>IFERROR(__xludf.DUMMYFUNCTION("""COMPUTED_VALUE"""),"Haiti")</f>
        <v>Haiti</v>
      </c>
      <c r="E4" s="697" t="str">
        <f>IFERROR(__xludf.DUMMYFUNCTION("""COMPUTED_VALUE"""),"W. bancrofti")</f>
        <v>W. bancrofti</v>
      </c>
      <c r="F4" s="697" t="str">
        <f>IFERROR(__xludf.DUMMYFUNCTION("""COMPUTED_VALUE"""),"Albendazole")</f>
        <v>Albendazole</v>
      </c>
      <c r="G4" s="697" t="str">
        <f>IFERROR(__xludf.DUMMYFUNCTION("""COMPUTED_VALUE"""),"400 mg/kg")</f>
        <v>400 mg/kg</v>
      </c>
      <c r="H4" s="697">
        <f>IFERROR(__xludf.DUMMYFUNCTION("""COMPUTED_VALUE"""),1.0)</f>
        <v>1</v>
      </c>
      <c r="I4" s="706">
        <f>IFERROR(__xludf.DUMMYFUNCTION("""COMPUTED_VALUE"""),0.287)</f>
        <v>0.287</v>
      </c>
      <c r="J4" s="706">
        <f>IFERROR(__xludf.DUMMYFUNCTION("""COMPUTED_VALUE"""),0.241)</f>
        <v>0.241</v>
      </c>
      <c r="K4" s="697"/>
      <c r="L4" s="697">
        <f>IFERROR(__xludf.DUMMYFUNCTION("""COMPUTED_VALUE"""),29.0)</f>
        <v>29</v>
      </c>
      <c r="M4" s="10" t="str">
        <f>IFERROR(__xludf.DUMMYFUNCTION("""COMPUTED_VALUE"""),"7 to 11")</f>
        <v>7 to 11</v>
      </c>
      <c r="N4" s="864">
        <f>IFERROR(__xludf.DUMMYFUNCTION("""COMPUTED_VALUE"""),0.4708333333333333)</f>
        <v>0.4708333333</v>
      </c>
      <c r="O4" s="697" t="str">
        <f>IFERROR(__xludf.DUMMYFUNCTION("""COMPUTED_VALUE"""),"Children attending any of the 5 primary schools in Leogane with Wuchereria bancrofti filariasis")</f>
        <v>Children attending any of the 5 primary schools in Leogane with Wuchereria bancrofti filariasis</v>
      </c>
      <c r="P4" s="697" t="str">
        <f>IFERROR(__xludf.DUMMYFUNCTION("""COMPUTED_VALUE"""),"double-blind, RCT")</f>
        <v>double-blind, RCT</v>
      </c>
      <c r="Q4" s="697" t="str">
        <f>IFERROR(__xludf.DUMMYFUNCTION("""COMPUTED_VALUE"""),"Yes")</f>
        <v>Yes</v>
      </c>
      <c r="R4" s="697" t="str">
        <f>IFERROR(__xludf.DUMMYFUNCTION("""COMPUTED_VALUE"""),"Yes")</f>
        <v>Yes</v>
      </c>
      <c r="S4" s="697" t="str">
        <f>IFERROR(__xludf.DUMMYFUNCTION("""COMPUTED_VALUE"""),"4 months")</f>
        <v>4 months</v>
      </c>
      <c r="T4" s="697" t="str">
        <f>IFERROR(__xludf.DUMMYFUNCTION("""COMPUTED_VALUE"""),"combined treatment with ivermectin and albendazole was more effective than treatment with ivermectin only, with no measurable increase in severity of adverse reactions.")</f>
        <v>combined treatment with ivermectin and albendazole was more effective than treatment with ivermectin only, with no measurable increase in severity of adverse reactions.</v>
      </c>
      <c r="U4" s="697" t="str">
        <f>IFERROR(__xludf.DUMMYFUNCTION("""COMPUTED_VALUE"""),"geometric mean intensity values used. 3 lost to follow up, ""code [for allocation] was broken at the end of the second follow-up"" ""clinician who was unaware of treatment-group status... examined them for adverse reactions""")</f>
        <v>geometric mean intensity values used. 3 lost to follow up, "code [for allocation] was broken at the end of the second follow-up" "clinician who was unaware of treatment-group status... examined them for adverse reactions"</v>
      </c>
      <c r="V4" s="697">
        <f>IFERROR(__xludf.DUMMYFUNCTION("""COMPUTED_VALUE"""),1997.0)</f>
        <v>1997</v>
      </c>
      <c r="W4" s="697">
        <f>IFERROR(__xludf.DUMMYFUNCTION("""COMPUTED_VALUE"""),1997.0)</f>
        <v>1997</v>
      </c>
      <c r="X4" s="697" t="str">
        <f>IFERROR(__xludf.DUMMYFUNCTION("""COMPUTED_VALUE"""),"Addiss DG, Beach MJ, Streit TG, Lutwick S, LeConte FH, Lafontant JG, et al.Randomised placebo-controlled comparison of ivermectin and albendazole alone and in combination for Wuchereria bancrofti microfilaraemia in Haitian children. Lancet 1997;350(9076):"&amp;"480–4.")</f>
        <v>Addiss DG, Beach MJ, Streit TG, Lutwick S, LeConte FH, Lafontant JG, et al.Randomised placebo-controlled comparison of ivermectin and albendazole alone and in combination for Wuchereria bancrofti microfilaraemia in Haitian children. Lancet 1997;350(9076):480–4.</v>
      </c>
      <c r="Y4" s="697" t="str">
        <f>IFERROR(__xludf.DUMMYFUNCTION("""COMPUTED_VALUE"""),"10.1016/S0140-6736(97)02231-9")</f>
        <v>10.1016/S0140-6736(97)02231-9</v>
      </c>
      <c r="Z4" s="865" t="str">
        <f>IFERROR(__xludf.DUMMYFUNCTION("""COMPUTED_VALUE"""),"https://drive.google.com/file/d/0B9vYgR7NsKoYV3BYeWVzTDZvcGc/view?usp=sharing")</f>
        <v>https://drive.google.com/file/d/0B9vYgR7NsKoYV3BYeWVzTDZvcGc/view?usp=sharing</v>
      </c>
      <c r="AA4" s="697"/>
    </row>
    <row r="5">
      <c r="A5" s="697" t="str">
        <f>IFERROR(__xludf.DUMMYFUNCTION("""COMPUTED_VALUE"""),"Addiss DG, 1997")</f>
        <v>Addiss DG, 1997</v>
      </c>
      <c r="B5" s="697"/>
      <c r="C5" s="697" t="str">
        <f>IFERROR(__xludf.DUMMYFUNCTION("""COMPUTED_VALUE"""),"Alex ")</f>
        <v>Alex </v>
      </c>
      <c r="D5" s="697" t="str">
        <f>IFERROR(__xludf.DUMMYFUNCTION("""COMPUTED_VALUE"""),"Haiti")</f>
        <v>Haiti</v>
      </c>
      <c r="E5" s="697" t="str">
        <f>IFERROR(__xludf.DUMMYFUNCTION("""COMPUTED_VALUE"""),"W. bancrofti")</f>
        <v>W. bancrofti</v>
      </c>
      <c r="F5" s="697" t="str">
        <f>IFERROR(__xludf.DUMMYFUNCTION("""COMPUTED_VALUE"""),"Albendazole &amp; Ivermectin")</f>
        <v>Albendazole &amp; Ivermectin</v>
      </c>
      <c r="G5" s="697" t="str">
        <f>IFERROR(__xludf.DUMMYFUNCTION("""COMPUTED_VALUE"""),"200 mg  + .15 mg/kg")</f>
        <v>200 mg  + .15 mg/kg</v>
      </c>
      <c r="H5" s="697">
        <f>IFERROR(__xludf.DUMMYFUNCTION("""COMPUTED_VALUE"""),1.0)</f>
        <v>1</v>
      </c>
      <c r="I5" s="706">
        <f>IFERROR(__xludf.DUMMYFUNCTION("""COMPUTED_VALUE"""),0.989)</f>
        <v>0.989</v>
      </c>
      <c r="J5" s="706">
        <f>IFERROR(__xludf.DUMMYFUNCTION("""COMPUTED_VALUE"""),0.833)</f>
        <v>0.833</v>
      </c>
      <c r="K5" s="697"/>
      <c r="L5" s="697">
        <f>IFERROR(__xludf.DUMMYFUNCTION("""COMPUTED_VALUE"""),24.0)</f>
        <v>24</v>
      </c>
      <c r="M5" s="10" t="str">
        <f>IFERROR(__xludf.DUMMYFUNCTION("""COMPUTED_VALUE"""),"8 to 11")</f>
        <v>8 to 11</v>
      </c>
      <c r="N5" s="864">
        <f>IFERROR(__xludf.DUMMYFUNCTION("""COMPUTED_VALUE"""),0.5083333333333333)</f>
        <v>0.5083333333</v>
      </c>
      <c r="O5" s="697" t="str">
        <f>IFERROR(__xludf.DUMMYFUNCTION("""COMPUTED_VALUE"""),"Children attending any of the 5 primary schools in Leogane with Wuchereria bancrofti filariasis")</f>
        <v>Children attending any of the 5 primary schools in Leogane with Wuchereria bancrofti filariasis</v>
      </c>
      <c r="P5" s="697" t="str">
        <f>IFERROR(__xludf.DUMMYFUNCTION("""COMPUTED_VALUE"""),"double-blind, RCT")</f>
        <v>double-blind, RCT</v>
      </c>
      <c r="Q5" s="697" t="str">
        <f>IFERROR(__xludf.DUMMYFUNCTION("""COMPUTED_VALUE"""),"Yes")</f>
        <v>Yes</v>
      </c>
      <c r="R5" s="697" t="str">
        <f>IFERROR(__xludf.DUMMYFUNCTION("""COMPUTED_VALUE"""),"Yes")</f>
        <v>Yes</v>
      </c>
      <c r="S5" s="697" t="str">
        <f>IFERROR(__xludf.DUMMYFUNCTION("""COMPUTED_VALUE"""),"4 months")</f>
        <v>4 months</v>
      </c>
      <c r="T5" s="697" t="str">
        <f>IFERROR(__xludf.DUMMYFUNCTION("""COMPUTED_VALUE"""),"combined treatment with ivermectin and albendazole was more effective than treatment with ivermectin only, with no measurable increase in severity of adverse reactions.")</f>
        <v>combined treatment with ivermectin and albendazole was more effective than treatment with ivermectin only, with no measurable increase in severity of adverse reactions.</v>
      </c>
      <c r="U5" s="697" t="str">
        <f>IFERROR(__xludf.DUMMYFUNCTION("""COMPUTED_VALUE"""),"geometric mean intensity values used. 3 lost to follow up, ""code [for allocation] was broken at the end of the second follow-up"" ""clinician who was unaware of treatment-group status... examined them for adverse reactions""")</f>
        <v>geometric mean intensity values used. 3 lost to follow up, "code [for allocation] was broken at the end of the second follow-up" "clinician who was unaware of treatment-group status... examined them for adverse reactions"</v>
      </c>
      <c r="V5" s="697">
        <f>IFERROR(__xludf.DUMMYFUNCTION("""COMPUTED_VALUE"""),1997.0)</f>
        <v>1997</v>
      </c>
      <c r="W5" s="697">
        <f>IFERROR(__xludf.DUMMYFUNCTION("""COMPUTED_VALUE"""),1997.0)</f>
        <v>1997</v>
      </c>
      <c r="X5" s="697" t="str">
        <f>IFERROR(__xludf.DUMMYFUNCTION("""COMPUTED_VALUE"""),"Addiss DG, Beach MJ, Streit TG, Lutwick S, LeConte FH, Lafontant JG, et al.Randomised placebo-controlled comparison of ivermectin and albendazole alone and in combination for Wuchereria bancrofti microfilaraemia in Haitian children. Lancet 1997;350(9076):"&amp;"480–4.")</f>
        <v>Addiss DG, Beach MJ, Streit TG, Lutwick S, LeConte FH, Lafontant JG, et al.Randomised placebo-controlled comparison of ivermectin and albendazole alone and in combination for Wuchereria bancrofti microfilaraemia in Haitian children. Lancet 1997;350(9076):480–4.</v>
      </c>
      <c r="Y5" s="697" t="str">
        <f>IFERROR(__xludf.DUMMYFUNCTION("""COMPUTED_VALUE"""),"10.1016/S0140-6736(97)02231-9")</f>
        <v>10.1016/S0140-6736(97)02231-9</v>
      </c>
      <c r="Z5" s="865" t="str">
        <f>IFERROR(__xludf.DUMMYFUNCTION("""COMPUTED_VALUE"""),"https://drive.google.com/file/d/0B9vYgR7NsKoYV3BYeWVzTDZvcGc/view?usp=sharing")</f>
        <v>https://drive.google.com/file/d/0B9vYgR7NsKoYV3BYeWVzTDZvcGc/view?usp=sharing</v>
      </c>
      <c r="AA5" s="697"/>
    </row>
    <row r="6">
      <c r="A6" s="697" t="str">
        <f>IFERROR(__xludf.DUMMYFUNCTION("""COMPUTED_VALUE"""),"Addiss 1993")</f>
        <v>Addiss 1993</v>
      </c>
      <c r="B6" s="697" t="str">
        <f>IFERROR(__xludf.DUMMYFUNCTION("""COMPUTED_VALUE"""),"Kirti")</f>
        <v>Kirti</v>
      </c>
      <c r="C6" s="697" t="str">
        <f>IFERROR(__xludf.DUMMYFUNCTION("""COMPUTED_VALUE"""),"Alex ")</f>
        <v>Alex </v>
      </c>
      <c r="D6" s="697" t="str">
        <f>IFERROR(__xludf.DUMMYFUNCTION("""COMPUTED_VALUE"""),"Haiti")</f>
        <v>Haiti</v>
      </c>
      <c r="E6" s="697" t="str">
        <f>IFERROR(__xludf.DUMMYFUNCTION("""COMPUTED_VALUE"""),"W. bancrofti")</f>
        <v>W. bancrofti</v>
      </c>
      <c r="F6" s="697" t="str">
        <f>IFERROR(__xludf.DUMMYFUNCTION("""COMPUTED_VALUE"""),"Ivermectin")</f>
        <v>Ivermectin</v>
      </c>
      <c r="G6" s="697" t="str">
        <f>IFERROR(__xludf.DUMMYFUNCTION("""COMPUTED_VALUE"""),".02 mg/kg  + .4 mg/kg ")</f>
        <v>.02 mg/kg  + .4 mg/kg </v>
      </c>
      <c r="H6" s="697">
        <f>IFERROR(__xludf.DUMMYFUNCTION("""COMPUTED_VALUE"""),1.0)</f>
        <v>1</v>
      </c>
      <c r="I6" s="706">
        <f>IFERROR(__xludf.DUMMYFUNCTION("""COMPUTED_VALUE"""),0.994)</f>
        <v>0.994</v>
      </c>
      <c r="J6" s="706">
        <f>IFERROR(__xludf.DUMMYFUNCTION("""COMPUTED_VALUE"""),0.5556)</f>
        <v>0.5556</v>
      </c>
      <c r="K6" s="697" t="str">
        <f>IFERROR(__xludf.DUMMYFUNCTION("""COMPUTED_VALUE"""),"not available")</f>
        <v>not available</v>
      </c>
      <c r="L6" s="697">
        <f>IFERROR(__xludf.DUMMYFUNCTION("""COMPUTED_VALUE"""),9.0)</f>
        <v>9</v>
      </c>
      <c r="M6" s="697" t="str">
        <f>IFERROR(__xludf.DUMMYFUNCTION("""COMPUTED_VALUE"""),"14-52")</f>
        <v>14-52</v>
      </c>
      <c r="N6" s="705" t="str">
        <f>IFERROR(__xludf.DUMMYFUNCTION("""COMPUTED_VALUE"""),"2:1")</f>
        <v>2:1</v>
      </c>
      <c r="O6" s="697" t="str">
        <f>IFERROR(__xludf.DUMMYFUNCTION("""COMPUTED_VALUE"""),"must be in good health, had received no Giemsastained thick blood smears during the week before the study began, and not pregnant or lactating. ")</f>
        <v>must be in good health, had received no Giemsastained thick blood smears during the week before the study began, and not pregnant or lactating. </v>
      </c>
      <c r="P6" s="697" t="str">
        <f>IFERROR(__xludf.DUMMYFUNCTION("""COMPUTED_VALUE"""),"double-blinded six arm clinical, randomized")</f>
        <v>double-blinded six arm clinical, randomized</v>
      </c>
      <c r="Q6" s="697" t="str">
        <f>IFERROR(__xludf.DUMMYFUNCTION("""COMPUTED_VALUE"""),"Yes")</f>
        <v>Yes</v>
      </c>
      <c r="R6" s="697" t="str">
        <f>IFERROR(__xludf.DUMMYFUNCTION("""COMPUTED_VALUE"""),"Yes")</f>
        <v>Yes</v>
      </c>
      <c r="S6" s="697" t="str">
        <f>IFERROR(__xludf.DUMMYFUNCTION("""COMPUTED_VALUE"""),"12 months")</f>
        <v>12 months</v>
      </c>
      <c r="T6" s="697" t="str">
        <f>IFERROR(__xludf.DUMMYFUNCTION("""COMPUTED_VALUE"""),"Two treatment regimens, 420 μg/kg Ivermectin and Ivermectin followed by DEC, were significantly more effective than other regimens in both reducing microfilarial densities and clearing microfilariae from the blood of infected patients for one year after t"&amp;"reatment.")</f>
        <v>Two treatment regimens, 420 μg/kg Ivermectin and Ivermectin followed by DEC, were significantly more effective than other regimens in both reducing microfilarial densities and clearing microfilariae from the blood of infected patients for one year after treatment.</v>
      </c>
      <c r="U6" s="697"/>
      <c r="V6" s="697">
        <f>IFERROR(__xludf.DUMMYFUNCTION("""COMPUTED_VALUE"""),1991.0)</f>
        <v>1991</v>
      </c>
      <c r="W6" s="697">
        <f>IFERROR(__xludf.DUMMYFUNCTION("""COMPUTED_VALUE"""),1991.0)</f>
        <v>1991</v>
      </c>
      <c r="X6" s="697" t="str">
        <f>IFERROR(__xludf.DUMMYFUNCTION("""COMPUTED_VALUE"""),"Addiss DG, Eberhard ML, Lammie PJ, McNeeley MB, Lee SH, McNeeley DF, et al. Comparative Efficacy of Clearing-Dose and Single High-Dose Ivermectin and Diethylcarbamazine against Wuchereria Bancrofti Microfilaremia. The American Journal of Tropical Medicine"&amp;" and Hygiene 1993; 48 (2): 178-185.")</f>
        <v>Addiss DG, Eberhard ML, Lammie PJ, McNeeley MB, Lee SH, McNeeley DF, et al. Comparative Efficacy of Clearing-Dose and Single High-Dose Ivermectin and Diethylcarbamazine against Wuchereria Bancrofti Microfilaremia. The American Journal of Tropical Medicine and Hygiene 1993; 48 (2): 178-185.</v>
      </c>
      <c r="Y6" s="697" t="str">
        <f>IFERROR(__xludf.DUMMYFUNCTION("""COMPUTED_VALUE"""),"10.1016/S0140-6736(97)02231-9")</f>
        <v>10.1016/S0140-6736(97)02231-9</v>
      </c>
      <c r="Z6" s="865" t="str">
        <f>IFERROR(__xludf.DUMMYFUNCTION("""COMPUTED_VALUE"""),"https://drive.google.com/file/d/0B0-pry4DSOm3cjF3NmdiQjFWNkE/view?usp=sharing")</f>
        <v>https://drive.google.com/file/d/0B0-pry4DSOm3cjF3NmdiQjFWNkE/view?usp=sharing</v>
      </c>
      <c r="AA6" s="697"/>
    </row>
    <row r="7">
      <c r="A7" s="697" t="str">
        <f>IFERROR(__xludf.DUMMYFUNCTION("""COMPUTED_VALUE"""),"Addiss 1993")</f>
        <v>Addiss 1993</v>
      </c>
      <c r="B7" s="697" t="str">
        <f>IFERROR(__xludf.DUMMYFUNCTION("""COMPUTED_VALUE"""),"Kirti")</f>
        <v>Kirti</v>
      </c>
      <c r="C7" s="697" t="str">
        <f>IFERROR(__xludf.DUMMYFUNCTION("""COMPUTED_VALUE"""),"Alex ")</f>
        <v>Alex </v>
      </c>
      <c r="D7" s="697" t="str">
        <f>IFERROR(__xludf.DUMMYFUNCTION("""COMPUTED_VALUE"""),"Haiti")</f>
        <v>Haiti</v>
      </c>
      <c r="E7" s="697" t="str">
        <f>IFERROR(__xludf.DUMMYFUNCTION("""COMPUTED_VALUE"""),"W. bancrofti")</f>
        <v>W. bancrofti</v>
      </c>
      <c r="F7" s="697" t="str">
        <f>IFERROR(__xludf.DUMMYFUNCTION("""COMPUTED_VALUE"""),"Ivermectin")</f>
        <v>Ivermectin</v>
      </c>
      <c r="G7" s="697" t="str">
        <f>IFERROR(__xludf.DUMMYFUNCTION("""COMPUTED_VALUE"""),".02 mg/kg + .200 mg/kg ")</f>
        <v>.02 mg/kg + .200 mg/kg </v>
      </c>
      <c r="H7" s="697">
        <f>IFERROR(__xludf.DUMMYFUNCTION("""COMPUTED_VALUE"""),1.0)</f>
        <v>1</v>
      </c>
      <c r="I7" s="706">
        <f>IFERROR(__xludf.DUMMYFUNCTION("""COMPUTED_VALUE"""),0.9598)</f>
        <v>0.9598</v>
      </c>
      <c r="J7" s="706">
        <f>IFERROR(__xludf.DUMMYFUNCTION("""COMPUTED_VALUE"""),0.1111)</f>
        <v>0.1111</v>
      </c>
      <c r="K7" s="697" t="str">
        <f>IFERROR(__xludf.DUMMYFUNCTION("""COMPUTED_VALUE"""),"not available")</f>
        <v>not available</v>
      </c>
      <c r="L7" s="697">
        <f>IFERROR(__xludf.DUMMYFUNCTION("""COMPUTED_VALUE"""),9.0)</f>
        <v>9</v>
      </c>
      <c r="M7" s="697" t="str">
        <f>IFERROR(__xludf.DUMMYFUNCTION("""COMPUTED_VALUE"""),"19-64")</f>
        <v>19-64</v>
      </c>
      <c r="N7" s="705" t="str">
        <f>IFERROR(__xludf.DUMMYFUNCTION("""COMPUTED_VALUE"""),"7:2")</f>
        <v>7:2</v>
      </c>
      <c r="O7" s="697" t="str">
        <f>IFERROR(__xludf.DUMMYFUNCTION("""COMPUTED_VALUE"""),"must be in good health, had received no Giemsastained thick blood smears during the week before the study began, and not pregnant or lactating. ")</f>
        <v>must be in good health, had received no Giemsastained thick blood smears during the week before the study began, and not pregnant or lactating. </v>
      </c>
      <c r="P7" s="697" t="str">
        <f>IFERROR(__xludf.DUMMYFUNCTION("""COMPUTED_VALUE"""),"double-blinded six arm clinical, randomized")</f>
        <v>double-blinded six arm clinical, randomized</v>
      </c>
      <c r="Q7" s="697" t="str">
        <f>IFERROR(__xludf.DUMMYFUNCTION("""COMPUTED_VALUE"""),"Yes")</f>
        <v>Yes</v>
      </c>
      <c r="R7" s="697" t="str">
        <f>IFERROR(__xludf.DUMMYFUNCTION("""COMPUTED_VALUE"""),"Yes")</f>
        <v>Yes</v>
      </c>
      <c r="S7" s="697" t="str">
        <f>IFERROR(__xludf.DUMMYFUNCTION("""COMPUTED_VALUE"""),"12 months")</f>
        <v>12 months</v>
      </c>
      <c r="T7" s="697" t="str">
        <f>IFERROR(__xludf.DUMMYFUNCTION("""COMPUTED_VALUE"""),"Two treatment regimens, 420 μg/kg Ivermectin and Ivermectin followed by DEC, were significantly more effective than other regimens in both reducing microfilarial densities and clearing microfilariae from the blood of infected patients for one year after t"&amp;"reatment.")</f>
        <v>Two treatment regimens, 420 μg/kg Ivermectin and Ivermectin followed by DEC, were significantly more effective than other regimens in both reducing microfilarial densities and clearing microfilariae from the blood of infected patients for one year after treatment.</v>
      </c>
      <c r="U7" s="697"/>
      <c r="V7" s="697">
        <f>IFERROR(__xludf.DUMMYFUNCTION("""COMPUTED_VALUE"""),1991.0)</f>
        <v>1991</v>
      </c>
      <c r="W7" s="697">
        <f>IFERROR(__xludf.DUMMYFUNCTION("""COMPUTED_VALUE"""),1991.0)</f>
        <v>1991</v>
      </c>
      <c r="X7" s="697" t="str">
        <f>IFERROR(__xludf.DUMMYFUNCTION("""COMPUTED_VALUE"""),"Addiss DG, Eberhard ML, Lammie PJ, McNeeley MB, Lee SH, McNeeley DF, et al. Comparative Efficacy of Clearing-Dose and Single High-Dose Ivermectin and Diethylcarbamazine against Wuchereria Bancrofti Microfilaremia. The American Journal of Tropical Medicine"&amp;" and Hygiene 1993; 48 (2): 178-185.")</f>
        <v>Addiss DG, Eberhard ML, Lammie PJ, McNeeley MB, Lee SH, McNeeley DF, et al. Comparative Efficacy of Clearing-Dose and Single High-Dose Ivermectin and Diethylcarbamazine against Wuchereria Bancrofti Microfilaremia. The American Journal of Tropical Medicine and Hygiene 1993; 48 (2): 178-185.</v>
      </c>
      <c r="Y7" s="697" t="str">
        <f>IFERROR(__xludf.DUMMYFUNCTION("""COMPUTED_VALUE"""),"10.1016/S0140-6736(97)02231-9")</f>
        <v>10.1016/S0140-6736(97)02231-9</v>
      </c>
      <c r="Z7" s="865" t="str">
        <f>IFERROR(__xludf.DUMMYFUNCTION("""COMPUTED_VALUE"""),"https://drive.google.com/file/d/0B0-pry4DSOm3cjF3NmdiQjFWNkE/view?usp=sharing")</f>
        <v>https://drive.google.com/file/d/0B0-pry4DSOm3cjF3NmdiQjFWNkE/view?usp=sharing</v>
      </c>
      <c r="AA7" s="697"/>
    </row>
    <row r="8">
      <c r="A8" s="697" t="str">
        <f>IFERROR(__xludf.DUMMYFUNCTION("""COMPUTED_VALUE"""),"Addiss 1993")</f>
        <v>Addiss 1993</v>
      </c>
      <c r="B8" s="697" t="str">
        <f>IFERROR(__xludf.DUMMYFUNCTION("""COMPUTED_VALUE"""),"Kirti")</f>
        <v>Kirti</v>
      </c>
      <c r="C8" s="697" t="str">
        <f>IFERROR(__xludf.DUMMYFUNCTION("""COMPUTED_VALUE"""),"Alex ")</f>
        <v>Alex </v>
      </c>
      <c r="D8" s="697" t="str">
        <f>IFERROR(__xludf.DUMMYFUNCTION("""COMPUTED_VALUE"""),"Haiti")</f>
        <v>Haiti</v>
      </c>
      <c r="E8" s="697" t="str">
        <f>IFERROR(__xludf.DUMMYFUNCTION("""COMPUTED_VALUE"""),"W. bancrofti")</f>
        <v>W. bancrofti</v>
      </c>
      <c r="F8" s="697" t="str">
        <f>IFERROR(__xludf.DUMMYFUNCTION("""COMPUTED_VALUE"""),"DEC &amp; Ivermectin")</f>
        <v>DEC &amp; Ivermectin</v>
      </c>
      <c r="G8" s="697" t="str">
        <f>IFERROR(__xludf.DUMMYFUNCTION("""COMPUTED_VALUE"""),".02 mg/kg+ 6 mg/kg ")</f>
        <v>.02 mg/kg+ 6 mg/kg </v>
      </c>
      <c r="H8" s="697">
        <f>IFERROR(__xludf.DUMMYFUNCTION("""COMPUTED_VALUE"""),1.0)</f>
        <v>1</v>
      </c>
      <c r="I8" s="706">
        <f>IFERROR(__xludf.DUMMYFUNCTION("""COMPUTED_VALUE"""),0.991)</f>
        <v>0.991</v>
      </c>
      <c r="J8" s="706">
        <f>IFERROR(__xludf.DUMMYFUNCTION("""COMPUTED_VALUE"""),0.4545)</f>
        <v>0.4545</v>
      </c>
      <c r="K8" s="697" t="str">
        <f>IFERROR(__xludf.DUMMYFUNCTION("""COMPUTED_VALUE"""),"not available")</f>
        <v>not available</v>
      </c>
      <c r="L8" s="697">
        <f>IFERROR(__xludf.DUMMYFUNCTION("""COMPUTED_VALUE"""),11.0)</f>
        <v>11</v>
      </c>
      <c r="M8" s="697" t="str">
        <f>IFERROR(__xludf.DUMMYFUNCTION("""COMPUTED_VALUE"""),"14-65")</f>
        <v>14-65</v>
      </c>
      <c r="N8" s="705" t="str">
        <f>IFERROR(__xludf.DUMMYFUNCTION("""COMPUTED_VALUE"""),"7:4")</f>
        <v>7:4</v>
      </c>
      <c r="O8" s="697" t="str">
        <f>IFERROR(__xludf.DUMMYFUNCTION("""COMPUTED_VALUE"""),"must be in good health, had received no Giemsastained thick blood smears during the week before the study began, and not pregnant or lactating. ")</f>
        <v>must be in good health, had received no Giemsastained thick blood smears during the week before the study began, and not pregnant or lactating. </v>
      </c>
      <c r="P8" s="697" t="str">
        <f>IFERROR(__xludf.DUMMYFUNCTION("""COMPUTED_VALUE"""),"double-blinded six arm clinical, randomized")</f>
        <v>double-blinded six arm clinical, randomized</v>
      </c>
      <c r="Q8" s="697" t="str">
        <f>IFERROR(__xludf.DUMMYFUNCTION("""COMPUTED_VALUE"""),"Yes")</f>
        <v>Yes</v>
      </c>
      <c r="R8" s="697" t="str">
        <f>IFERROR(__xludf.DUMMYFUNCTION("""COMPUTED_VALUE"""),"Yes")</f>
        <v>Yes</v>
      </c>
      <c r="S8" s="697" t="str">
        <f>IFERROR(__xludf.DUMMYFUNCTION("""COMPUTED_VALUE"""),"12 months")</f>
        <v>12 months</v>
      </c>
      <c r="T8" s="697" t="str">
        <f>IFERROR(__xludf.DUMMYFUNCTION("""COMPUTED_VALUE"""),"Two treatment regimens, 420 μg/kg Ivermectin and Ivermectin followed by DEC, were significantly more effective than other regimens in both reducing microfilarial densities and clearing microfilariae from the blood of infected patients for one year after t"&amp;"reatment.")</f>
        <v>Two treatment regimens, 420 μg/kg Ivermectin and Ivermectin followed by DEC, were significantly more effective than other regimens in both reducing microfilarial densities and clearing microfilariae from the blood of infected patients for one year after treatment.</v>
      </c>
      <c r="U8" s="697"/>
      <c r="V8" s="697">
        <f>IFERROR(__xludf.DUMMYFUNCTION("""COMPUTED_VALUE"""),1991.0)</f>
        <v>1991</v>
      </c>
      <c r="W8" s="697">
        <f>IFERROR(__xludf.DUMMYFUNCTION("""COMPUTED_VALUE"""),1991.0)</f>
        <v>1991</v>
      </c>
      <c r="X8" s="697" t="str">
        <f>IFERROR(__xludf.DUMMYFUNCTION("""COMPUTED_VALUE"""),"Addiss DG, Eberhard ML, Lammie PJ, McNeeley MB, Lee SH, McNeeley DF, et al. Comparative Efficacy of Clearing-Dose and Single High-Dose Ivermectin and Diethylcarbamazine against Wuchereria Bancrofti Microfilaremia. The American Journal of Tropical Medicine"&amp;" and Hygiene 1993; 48 (2): 178-185.")</f>
        <v>Addiss DG, Eberhard ML, Lammie PJ, McNeeley MB, Lee SH, McNeeley DF, et al. Comparative Efficacy of Clearing-Dose and Single High-Dose Ivermectin and Diethylcarbamazine against Wuchereria Bancrofti Microfilaremia. The American Journal of Tropical Medicine and Hygiene 1993; 48 (2): 178-185.</v>
      </c>
      <c r="Y8" s="697" t="str">
        <f>IFERROR(__xludf.DUMMYFUNCTION("""COMPUTED_VALUE"""),"10.1016/S0140-6736(97)02231-9")</f>
        <v>10.1016/S0140-6736(97)02231-9</v>
      </c>
      <c r="Z8" s="865" t="str">
        <f>IFERROR(__xludf.DUMMYFUNCTION("""COMPUTED_VALUE"""),"https://drive.google.com/file/d/0B0-pry4DSOm3cjF3NmdiQjFWNkE/view?usp=sharing")</f>
        <v>https://drive.google.com/file/d/0B0-pry4DSOm3cjF3NmdiQjFWNkE/view?usp=sharing</v>
      </c>
      <c r="AA8" s="697"/>
    </row>
    <row r="9">
      <c r="A9" s="697" t="str">
        <f>IFERROR(__xludf.DUMMYFUNCTION("""COMPUTED_VALUE"""),"Addiss 1993")</f>
        <v>Addiss 1993</v>
      </c>
      <c r="B9" s="697" t="str">
        <f>IFERROR(__xludf.DUMMYFUNCTION("""COMPUTED_VALUE"""),"Kirti")</f>
        <v>Kirti</v>
      </c>
      <c r="C9" s="697" t="str">
        <f>IFERROR(__xludf.DUMMYFUNCTION("""COMPUTED_VALUE"""),"Alex ")</f>
        <v>Alex </v>
      </c>
      <c r="D9" s="697" t="str">
        <f>IFERROR(__xludf.DUMMYFUNCTION("""COMPUTED_VALUE"""),"Haiti")</f>
        <v>Haiti</v>
      </c>
      <c r="E9" s="697" t="str">
        <f>IFERROR(__xludf.DUMMYFUNCTION("""COMPUTED_VALUE"""),"W. bancrofti")</f>
        <v>W. bancrofti</v>
      </c>
      <c r="F9" s="697" t="str">
        <f>IFERROR(__xludf.DUMMYFUNCTION("""COMPUTED_VALUE"""),"DEC")</f>
        <v>DEC</v>
      </c>
      <c r="G9" s="697" t="str">
        <f>IFERROR(__xludf.DUMMYFUNCTION("""COMPUTED_VALUE"""),"1 mg/kg  + 6 mg/kg ")</f>
        <v>1 mg/kg  + 6 mg/kg </v>
      </c>
      <c r="H9" s="697">
        <f>IFERROR(__xludf.DUMMYFUNCTION("""COMPUTED_VALUE"""),1.0)</f>
        <v>1</v>
      </c>
      <c r="I9" s="706">
        <f>IFERROR(__xludf.DUMMYFUNCTION("""COMPUTED_VALUE"""),0.8907)</f>
        <v>0.8907</v>
      </c>
      <c r="J9" s="706">
        <f>IFERROR(__xludf.DUMMYFUNCTION("""COMPUTED_VALUE"""),0.111)</f>
        <v>0.111</v>
      </c>
      <c r="K9" s="697" t="str">
        <f>IFERROR(__xludf.DUMMYFUNCTION("""COMPUTED_VALUE"""),"not available")</f>
        <v>not available</v>
      </c>
      <c r="L9" s="697">
        <f>IFERROR(__xludf.DUMMYFUNCTION("""COMPUTED_VALUE"""),9.0)</f>
        <v>9</v>
      </c>
      <c r="M9" s="697" t="str">
        <f>IFERROR(__xludf.DUMMYFUNCTION("""COMPUTED_VALUE"""),"17-54")</f>
        <v>17-54</v>
      </c>
      <c r="N9" s="705" t="str">
        <f>IFERROR(__xludf.DUMMYFUNCTION("""COMPUTED_VALUE"""),"5:4")</f>
        <v>5:4</v>
      </c>
      <c r="O9" s="697" t="str">
        <f>IFERROR(__xludf.DUMMYFUNCTION("""COMPUTED_VALUE"""),"must be in good health, had received no Giemsastained thick blood smears during the week before the study began, and not pregnant or lactating. ")</f>
        <v>must be in good health, had received no Giemsastained thick blood smears during the week before the study began, and not pregnant or lactating. </v>
      </c>
      <c r="P9" s="697" t="str">
        <f>IFERROR(__xludf.DUMMYFUNCTION("""COMPUTED_VALUE"""),"double-blinded six arm clinical, randomized")</f>
        <v>double-blinded six arm clinical, randomized</v>
      </c>
      <c r="Q9" s="697" t="str">
        <f>IFERROR(__xludf.DUMMYFUNCTION("""COMPUTED_VALUE"""),"Yes")</f>
        <v>Yes</v>
      </c>
      <c r="R9" s="697" t="str">
        <f>IFERROR(__xludf.DUMMYFUNCTION("""COMPUTED_VALUE"""),"Yes")</f>
        <v>Yes</v>
      </c>
      <c r="S9" s="697" t="str">
        <f>IFERROR(__xludf.DUMMYFUNCTION("""COMPUTED_VALUE"""),"12 months")</f>
        <v>12 months</v>
      </c>
      <c r="T9" s="697" t="str">
        <f>IFERROR(__xludf.DUMMYFUNCTION("""COMPUTED_VALUE"""),"Two treatment regimens, 420 μg/kg Ivermectin and Ivermectin followed by DEC, were significantly more effective than other regimens in both reducing microfilarial densities and clearing microfilariae from the blood of infected patients for one year after t"&amp;"reatment.")</f>
        <v>Two treatment regimens, 420 μg/kg Ivermectin and Ivermectin followed by DEC, were significantly more effective than other regimens in both reducing microfilarial densities and clearing microfilariae from the blood of infected patients for one year after treatment.</v>
      </c>
      <c r="U9" s="697"/>
      <c r="V9" s="697">
        <f>IFERROR(__xludf.DUMMYFUNCTION("""COMPUTED_VALUE"""),1991.0)</f>
        <v>1991</v>
      </c>
      <c r="W9" s="697">
        <f>IFERROR(__xludf.DUMMYFUNCTION("""COMPUTED_VALUE"""),1991.0)</f>
        <v>1991</v>
      </c>
      <c r="X9" s="697" t="str">
        <f>IFERROR(__xludf.DUMMYFUNCTION("""COMPUTED_VALUE"""),"Addiss DG, Eberhard ML, Lammie PJ, McNeeley MB, Lee SH, McNeeley DF, et al. Comparative Efficacy of Clearing-Dose and Single High-Dose Ivermectin and Diethylcarbamazine against Wuchereria Bancrofti Microfilaremia. The American Journal of Tropical Medicine"&amp;" and Hygiene 1993; 48 (2): 178-185.")</f>
        <v>Addiss DG, Eberhard ML, Lammie PJ, McNeeley MB, Lee SH, McNeeley DF, et al. Comparative Efficacy of Clearing-Dose and Single High-Dose Ivermectin and Diethylcarbamazine against Wuchereria Bancrofti Microfilaremia. The American Journal of Tropical Medicine and Hygiene 1993; 48 (2): 178-185.</v>
      </c>
      <c r="Y9" s="697" t="str">
        <f>IFERROR(__xludf.DUMMYFUNCTION("""COMPUTED_VALUE"""),"10.1016/S0140-6736(97)02231-9")</f>
        <v>10.1016/S0140-6736(97)02231-9</v>
      </c>
      <c r="Z9" s="865" t="str">
        <f>IFERROR(__xludf.DUMMYFUNCTION("""COMPUTED_VALUE"""),"https://drive.google.com/file/d/0B0-pry4DSOm3cjF3NmdiQjFWNkE/view?usp=sharing")</f>
        <v>https://drive.google.com/file/d/0B0-pry4DSOm3cjF3NmdiQjFWNkE/view?usp=sharing</v>
      </c>
      <c r="AA9" s="697"/>
    </row>
    <row r="10">
      <c r="A10" s="697" t="str">
        <f>IFERROR(__xludf.DUMMYFUNCTION("""COMPUTED_VALUE"""),"Addiss 1993")</f>
        <v>Addiss 1993</v>
      </c>
      <c r="B10" s="697" t="str">
        <f>IFERROR(__xludf.DUMMYFUNCTION("""COMPUTED_VALUE"""),"Kirti")</f>
        <v>Kirti</v>
      </c>
      <c r="C10" s="697" t="str">
        <f>IFERROR(__xludf.DUMMYFUNCTION("""COMPUTED_VALUE"""),"Alex ")</f>
        <v>Alex </v>
      </c>
      <c r="D10" s="697" t="str">
        <f>IFERROR(__xludf.DUMMYFUNCTION("""COMPUTED_VALUE"""),"Haiti")</f>
        <v>Haiti</v>
      </c>
      <c r="E10" s="697" t="str">
        <f>IFERROR(__xludf.DUMMYFUNCTION("""COMPUTED_VALUE"""),"W. bancrofti")</f>
        <v>W. bancrofti</v>
      </c>
      <c r="F10" s="697" t="str">
        <f>IFERROR(__xludf.DUMMYFUNCTION("""COMPUTED_VALUE"""),"Ivermectin")</f>
        <v>Ivermectin</v>
      </c>
      <c r="G10" s="697" t="str">
        <f>IFERROR(__xludf.DUMMYFUNCTION("""COMPUTED_VALUE"""),".220 mg/kg")</f>
        <v>.220 mg/kg</v>
      </c>
      <c r="H10" s="697">
        <f>IFERROR(__xludf.DUMMYFUNCTION("""COMPUTED_VALUE"""),1.0)</f>
        <v>1</v>
      </c>
      <c r="I10" s="706">
        <f>IFERROR(__xludf.DUMMYFUNCTION("""COMPUTED_VALUE"""),0.9616)</f>
        <v>0.9616</v>
      </c>
      <c r="J10" s="706">
        <f>IFERROR(__xludf.DUMMYFUNCTION("""COMPUTED_VALUE"""),0.1)</f>
        <v>0.1</v>
      </c>
      <c r="K10" s="697" t="str">
        <f>IFERROR(__xludf.DUMMYFUNCTION("""COMPUTED_VALUE"""),"not available")</f>
        <v>not available</v>
      </c>
      <c r="L10" s="697">
        <f>IFERROR(__xludf.DUMMYFUNCTION("""COMPUTED_VALUE"""),10.0)</f>
        <v>10</v>
      </c>
      <c r="M10" s="697" t="str">
        <f>IFERROR(__xludf.DUMMYFUNCTION("""COMPUTED_VALUE"""),"14-58")</f>
        <v>14-58</v>
      </c>
      <c r="N10" s="705" t="str">
        <f>IFERROR(__xludf.DUMMYFUNCTION("""COMPUTED_VALUE"""),"3:7")</f>
        <v>3:7</v>
      </c>
      <c r="O10" s="697" t="str">
        <f>IFERROR(__xludf.DUMMYFUNCTION("""COMPUTED_VALUE"""),"must be in good health, had received no Giemsastained thick blood smears during the week before the study began, and not pregnant or lactating. ")</f>
        <v>must be in good health, had received no Giemsastained thick blood smears during the week before the study began, and not pregnant or lactating. </v>
      </c>
      <c r="P10" s="697" t="str">
        <f>IFERROR(__xludf.DUMMYFUNCTION("""COMPUTED_VALUE"""),"double-blinded six arm clinical, randomized")</f>
        <v>double-blinded six arm clinical, randomized</v>
      </c>
      <c r="Q10" s="697" t="str">
        <f>IFERROR(__xludf.DUMMYFUNCTION("""COMPUTED_VALUE"""),"Yes")</f>
        <v>Yes</v>
      </c>
      <c r="R10" s="697" t="str">
        <f>IFERROR(__xludf.DUMMYFUNCTION("""COMPUTED_VALUE"""),"Yes")</f>
        <v>Yes</v>
      </c>
      <c r="S10" s="697" t="str">
        <f>IFERROR(__xludf.DUMMYFUNCTION("""COMPUTED_VALUE"""),"12 months")</f>
        <v>12 months</v>
      </c>
      <c r="T10" s="697" t="str">
        <f>IFERROR(__xludf.DUMMYFUNCTION("""COMPUTED_VALUE"""),"Two treatment regimens, 420 μg/kg Ivermectin and Ivermectin followed by DEC, were significantly more effective than other regimens in both reducing microfilarial densities and clearing microfilariae from the blood of infected patients for one year after t"&amp;"reatment.")</f>
        <v>Two treatment regimens, 420 μg/kg Ivermectin and Ivermectin followed by DEC, were significantly more effective than other regimens in both reducing microfilarial densities and clearing microfilariae from the blood of infected patients for one year after treatment.</v>
      </c>
      <c r="U10" s="697" t="str">
        <f>IFERROR(__xludf.DUMMYFUNCTION("""COMPUTED_VALUE"""),"Placebo (on day 1) + Ivermectin (on day 5)")</f>
        <v>Placebo (on day 1) + Ivermectin (on day 5)</v>
      </c>
      <c r="V10" s="697">
        <f>IFERROR(__xludf.DUMMYFUNCTION("""COMPUTED_VALUE"""),1991.0)</f>
        <v>1991</v>
      </c>
      <c r="W10" s="697">
        <f>IFERROR(__xludf.DUMMYFUNCTION("""COMPUTED_VALUE"""),1991.0)</f>
        <v>1991</v>
      </c>
      <c r="X10" s="697" t="str">
        <f>IFERROR(__xludf.DUMMYFUNCTION("""COMPUTED_VALUE"""),"Addiss DG, Eberhard ML, Lammie PJ, McNeeley MB, Lee SH, McNeeley DF, et al. Comparative Efficacy of Clearing-Dose and Single High-Dose Ivermectin and Diethylcarbamazine against Wuchereria Bancrofti Microfilaremia. The American Journal of Tropical Medicine"&amp;" and Hygiene 1993; 48 (2): 178-185.")</f>
        <v>Addiss DG, Eberhard ML, Lammie PJ, McNeeley MB, Lee SH, McNeeley DF, et al. Comparative Efficacy of Clearing-Dose and Single High-Dose Ivermectin and Diethylcarbamazine against Wuchereria Bancrofti Microfilaremia. The American Journal of Tropical Medicine and Hygiene 1993; 48 (2): 178-185.</v>
      </c>
      <c r="Y10" s="697" t="str">
        <f>IFERROR(__xludf.DUMMYFUNCTION("""COMPUTED_VALUE"""),"10.1016/S0140-6736(97)02231-9")</f>
        <v>10.1016/S0140-6736(97)02231-9</v>
      </c>
      <c r="Z10" s="865" t="str">
        <f>IFERROR(__xludf.DUMMYFUNCTION("""COMPUTED_VALUE"""),"https://drive.google.com/file/d/0B0-pry4DSOm3cjF3NmdiQjFWNkE/view?usp=sharing")</f>
        <v>https://drive.google.com/file/d/0B0-pry4DSOm3cjF3NmdiQjFWNkE/view?usp=sharing</v>
      </c>
      <c r="AA10" s="697"/>
    </row>
    <row r="11">
      <c r="A11" s="697" t="str">
        <f>IFERROR(__xludf.DUMMYFUNCTION("""COMPUTED_VALUE"""),"Addiss 1993")</f>
        <v>Addiss 1993</v>
      </c>
      <c r="B11" s="697" t="str">
        <f>IFERROR(__xludf.DUMMYFUNCTION("""COMPUTED_VALUE"""),"Kirti")</f>
        <v>Kirti</v>
      </c>
      <c r="C11" s="697" t="str">
        <f>IFERROR(__xludf.DUMMYFUNCTION("""COMPUTED_VALUE"""),"Alex ")</f>
        <v>Alex </v>
      </c>
      <c r="D11" s="697" t="str">
        <f>IFERROR(__xludf.DUMMYFUNCTION("""COMPUTED_VALUE"""),"Haiti")</f>
        <v>Haiti</v>
      </c>
      <c r="E11" s="697" t="str">
        <f>IFERROR(__xludf.DUMMYFUNCTION("""COMPUTED_VALUE"""),"W. bancrofti")</f>
        <v>W. bancrofti</v>
      </c>
      <c r="F11" s="697" t="str">
        <f>IFERROR(__xludf.DUMMYFUNCTION("""COMPUTED_VALUE"""),"DEC")</f>
        <v>DEC</v>
      </c>
      <c r="G11" s="697" t="str">
        <f>IFERROR(__xludf.DUMMYFUNCTION("""COMPUTED_VALUE"""),"6 mg/kg")</f>
        <v>6 mg/kg</v>
      </c>
      <c r="H11" s="697">
        <f>IFERROR(__xludf.DUMMYFUNCTION("""COMPUTED_VALUE"""),1.0)</f>
        <v>1</v>
      </c>
      <c r="I11" s="706">
        <f>IFERROR(__xludf.DUMMYFUNCTION("""COMPUTED_VALUE"""),0.9406)</f>
        <v>0.9406</v>
      </c>
      <c r="J11" s="706">
        <f>IFERROR(__xludf.DUMMYFUNCTION("""COMPUTED_VALUE"""),0.0909)</f>
        <v>0.0909</v>
      </c>
      <c r="K11" s="697" t="str">
        <f>IFERROR(__xludf.DUMMYFUNCTION("""COMPUTED_VALUE"""),"not available")</f>
        <v>not available</v>
      </c>
      <c r="L11" s="697">
        <f>IFERROR(__xludf.DUMMYFUNCTION("""COMPUTED_VALUE"""),11.0)</f>
        <v>11</v>
      </c>
      <c r="M11" s="697" t="str">
        <f>IFERROR(__xludf.DUMMYFUNCTION("""COMPUTED_VALUE"""),"17-63")</f>
        <v>17-63</v>
      </c>
      <c r="N11" s="705" t="str">
        <f>IFERROR(__xludf.DUMMYFUNCTION("""COMPUTED_VALUE"""),"6:5")</f>
        <v>6:5</v>
      </c>
      <c r="O11" s="697" t="str">
        <f>IFERROR(__xludf.DUMMYFUNCTION("""COMPUTED_VALUE"""),"must be in good health, had received no Giemsastained thick blood smears during the week before the study began, and not pregnant or lactating. ")</f>
        <v>must be in good health, had received no Giemsastained thick blood smears during the week before the study began, and not pregnant or lactating. </v>
      </c>
      <c r="P11" s="697" t="str">
        <f>IFERROR(__xludf.DUMMYFUNCTION("""COMPUTED_VALUE"""),"double-blinded six arm clinical, randomized")</f>
        <v>double-blinded six arm clinical, randomized</v>
      </c>
      <c r="Q11" s="697" t="str">
        <f>IFERROR(__xludf.DUMMYFUNCTION("""COMPUTED_VALUE"""),"Yes")</f>
        <v>Yes</v>
      </c>
      <c r="R11" s="697" t="str">
        <f>IFERROR(__xludf.DUMMYFUNCTION("""COMPUTED_VALUE"""),"Yes")</f>
        <v>Yes</v>
      </c>
      <c r="S11" s="697" t="str">
        <f>IFERROR(__xludf.DUMMYFUNCTION("""COMPUTED_VALUE"""),"12 months")</f>
        <v>12 months</v>
      </c>
      <c r="T11" s="697" t="str">
        <f>IFERROR(__xludf.DUMMYFUNCTION("""COMPUTED_VALUE"""),"Two treatment regimens, 420 μg/kg Ivermectin and Ivermectin followed by DEC, were significantly more effective than other regimens in both reducing microfilarial densities and clearing microfilariae from the blood of infected patients for one year after t"&amp;"reatment.")</f>
        <v>Two treatment regimens, 420 μg/kg Ivermectin and Ivermectin followed by DEC, were significantly more effective than other regimens in both reducing microfilarial densities and clearing microfilariae from the blood of infected patients for one year after treatment.</v>
      </c>
      <c r="U11" s="697" t="str">
        <f>IFERROR(__xludf.DUMMYFUNCTION("""COMPUTED_VALUE"""),"Placebo (on day 1) + DEC (on day 5)")</f>
        <v>Placebo (on day 1) + DEC (on day 5)</v>
      </c>
      <c r="V11" s="697">
        <f>IFERROR(__xludf.DUMMYFUNCTION("""COMPUTED_VALUE"""),1991.0)</f>
        <v>1991</v>
      </c>
      <c r="W11" s="697">
        <f>IFERROR(__xludf.DUMMYFUNCTION("""COMPUTED_VALUE"""),1991.0)</f>
        <v>1991</v>
      </c>
      <c r="X11" s="697" t="str">
        <f>IFERROR(__xludf.DUMMYFUNCTION("""COMPUTED_VALUE"""),"Addiss DG, Eberhard ML, Lammie PJ, McNeeley MB, Lee SH, McNeeley DF, et al. Comparative Efficacy of Clearing-Dose and Single High-Dose Ivermectin and Diethylcarbamazine against Wuchereria Bancrofti Microfilaremia. The American Journal of Tropical Medicine"&amp;" and Hygiene 1993; 48 (2): 178-185.")</f>
        <v>Addiss DG, Eberhard ML, Lammie PJ, McNeeley MB, Lee SH, McNeeley DF, et al. Comparative Efficacy of Clearing-Dose and Single High-Dose Ivermectin and Diethylcarbamazine against Wuchereria Bancrofti Microfilaremia. The American Journal of Tropical Medicine and Hygiene 1993; 48 (2): 178-185.</v>
      </c>
      <c r="Y11" s="697" t="str">
        <f>IFERROR(__xludf.DUMMYFUNCTION("""COMPUTED_VALUE"""),"10.1016/S0140-6736(97)02231-9")</f>
        <v>10.1016/S0140-6736(97)02231-9</v>
      </c>
      <c r="Z11" s="865" t="str">
        <f>IFERROR(__xludf.DUMMYFUNCTION("""COMPUTED_VALUE"""),"https://drive.google.com/file/d/0B0-pry4DSOm3cjF3NmdiQjFWNkE/view?usp=sharing")</f>
        <v>https://drive.google.com/file/d/0B0-pry4DSOm3cjF3NmdiQjFWNkE/view?usp=sharing</v>
      </c>
      <c r="AA11" s="697"/>
    </row>
    <row r="12">
      <c r="A12" s="697" t="str">
        <f>IFERROR(__xludf.DUMMYFUNCTION("""COMPUTED_VALUE"""),"Andrade, 1995")</f>
        <v>Andrade, 1995</v>
      </c>
      <c r="B12" s="697"/>
      <c r="C12" s="697" t="str">
        <f>IFERROR(__xludf.DUMMYFUNCTION("""COMPUTED_VALUE"""),"Alex ")</f>
        <v>Alex </v>
      </c>
      <c r="D12" s="697" t="str">
        <f>IFERROR(__xludf.DUMMYFUNCTION("""COMPUTED_VALUE"""),"Brazil")</f>
        <v>Brazil</v>
      </c>
      <c r="E12" s="697" t="str">
        <f>IFERROR(__xludf.DUMMYFUNCTION("""COMPUTED_VALUE"""),"W. bancrofti")</f>
        <v>W. bancrofti</v>
      </c>
      <c r="F12" s="697" t="str">
        <f>IFERROR(__xludf.DUMMYFUNCTION("""COMPUTED_VALUE"""),"DEC")</f>
        <v>DEC</v>
      </c>
      <c r="G12" s="697" t="str">
        <f>IFERROR(__xludf.DUMMYFUNCTION("""COMPUTED_VALUE"""),"6 mg/kg ")</f>
        <v>6 mg/kg </v>
      </c>
      <c r="H12" s="697">
        <f>IFERROR(__xludf.DUMMYFUNCTION("""COMPUTED_VALUE"""),12.0)</f>
        <v>12</v>
      </c>
      <c r="I12" s="697"/>
      <c r="J12" s="706">
        <f>IFERROR(__xludf.DUMMYFUNCTION("""COMPUTED_VALUE"""),0.41)</f>
        <v>0.41</v>
      </c>
      <c r="K12" s="697" t="str">
        <f>IFERROR(__xludf.DUMMYFUNCTION("""COMPUTED_VALUE"""),"not available")</f>
        <v>not available</v>
      </c>
      <c r="L12" s="697">
        <f>IFERROR(__xludf.DUMMYFUNCTION("""COMPUTED_VALUE"""),34.0)</f>
        <v>34</v>
      </c>
      <c r="M12" s="697" t="str">
        <f>IFERROR(__xludf.DUMMYFUNCTION("""COMPUTED_VALUE"""),"18-20")</f>
        <v>18-20</v>
      </c>
      <c r="N12" s="697" t="str">
        <f>IFERROR(__xludf.DUMMYFUNCTION("""COMPUTED_VALUE"""),"male")</f>
        <v>male</v>
      </c>
      <c r="O12" s="697" t="str">
        <f>IFERROR(__xludf.DUMMYFUNCTION("""COMPUTED_VALUE"""),"presence of microfilaraemia as determined by blood film 
examination or Nuclepore filtration of blood: permanent residence within Greater Recife where bancroftian filariasis is endemic; no prior treatment with DEC; the
 absence of medical problems related"&amp;" to lymphatic filariasis; and willingness to participate in the study.")</f>
        <v>presence of microfilaraemia as determined by blood film 
examination or Nuclepore filtration of blood: permanent residence within Greater Recife where bancroftian filariasis is endemic; no prior treatment with DEC; the
 absence of medical problems related to lymphatic filariasis; and willingness to participate in the study.</v>
      </c>
      <c r="P12" s="697" t="str">
        <f>IFERROR(__xludf.DUMMYFUNCTION("""COMPUTED_VALUE"""),"single blind randomized hospital-based therapeutic trial")</f>
        <v>single blind randomized hospital-based therapeutic trial</v>
      </c>
      <c r="Q12" s="697" t="str">
        <f>IFERROR(__xludf.DUMMYFUNCTION("""COMPUTED_VALUE"""),"Yes")</f>
        <v>Yes</v>
      </c>
      <c r="R12" s="697" t="str">
        <f>IFERROR(__xludf.DUMMYFUNCTION("""COMPUTED_VALUE"""),"Yes")</f>
        <v>Yes</v>
      </c>
      <c r="S12" s="697" t="str">
        <f>IFERROR(__xludf.DUMMYFUNCTION("""COMPUTED_VALUE"""),"12 months")</f>
        <v>12 months</v>
      </c>
      <c r="T12" s="697" t="str">
        <f>IFERROR(__xludf.DUMMYFUNCTION("""COMPUTED_VALUE"""),"A single dose of DEC was significantly less effective than the other 2 regimens during the 
6 months following treatment, but after 1 year its effect 
was virtually identical to that of the multidose treatments.")</f>
        <v>A single dose of DEC was significantly less effective than the other 2 regimens during the 
6 months following treatment, but after 1 year its effect 
was virtually identical to that of the multidose treatments.</v>
      </c>
      <c r="U12" s="697" t="str">
        <f>IFERROR(__xludf.DUMMYFUNCTION("""COMPUTED_VALUE"""),"6 mg/kg once daily for 12 days consecutively ")</f>
        <v>6 mg/kg once daily for 12 days consecutively </v>
      </c>
      <c r="V12" s="697">
        <f>IFERROR(__xludf.DUMMYFUNCTION("""COMPUTED_VALUE"""),1995.0)</f>
        <v>1995</v>
      </c>
      <c r="W12" s="697">
        <f>IFERROR(__xludf.DUMMYFUNCTION("""COMPUTED_VALUE"""),1995.0)</f>
        <v>1995</v>
      </c>
      <c r="X12" s="697" t="str">
        <f>IFERROR(__xludf.DUMMYFUNCTION("""COMPUTED_VALUE"""),"Andrade LD, Medeiros Z, Pires ML, Pimentel A, Rocha A, Figueredo-Silva J, Comparative efficacy of three different diethylcarbamazine regimens in
 lymphatic filariasis. TRANSACTIONS OF IHE ROY~I. SOCIETY OF TROPICAL MEDICINE AND HYGIENE (1995) 89, 319-321")</f>
        <v>Andrade LD, Medeiros Z, Pires ML, Pimentel A, Rocha A, Figueredo-Silva J, Comparative efficacy of three different diethylcarbamazine regimens in
 lymphatic filariasis. TRANSACTIONS OF IHE ROY~I. SOCIETY OF TROPICAL MEDICINE AND HYGIENE (1995) 89, 319-321</v>
      </c>
      <c r="Y12" s="697"/>
      <c r="Z12" s="865" t="str">
        <f>IFERROR(__xludf.DUMMYFUNCTION("""COMPUTED_VALUE"""),"https://drive.google.com/file/d/0B0-pry4DSOm3cXdWQjZPRGRpb1k/view?usp=sharing")</f>
        <v>https://drive.google.com/file/d/0B0-pry4DSOm3cXdWQjZPRGRpb1k/view?usp=sharing</v>
      </c>
      <c r="AA12" s="697"/>
    </row>
    <row r="13">
      <c r="A13" s="697" t="str">
        <f>IFERROR(__xludf.DUMMYFUNCTION("""COMPUTED_VALUE"""),"Andrade, 1995")</f>
        <v>Andrade, 1995</v>
      </c>
      <c r="B13" s="697"/>
      <c r="C13" s="697" t="str">
        <f>IFERROR(__xludf.DUMMYFUNCTION("""COMPUTED_VALUE"""),"Alex ")</f>
        <v>Alex </v>
      </c>
      <c r="D13" s="697" t="str">
        <f>IFERROR(__xludf.DUMMYFUNCTION("""COMPUTED_VALUE"""),"Brazil")</f>
        <v>Brazil</v>
      </c>
      <c r="E13" s="697" t="str">
        <f>IFERROR(__xludf.DUMMYFUNCTION("""COMPUTED_VALUE"""),"W. bancrofti")</f>
        <v>W. bancrofti</v>
      </c>
      <c r="F13" s="697" t="str">
        <f>IFERROR(__xludf.DUMMYFUNCTION("""COMPUTED_VALUE"""),"DEC")</f>
        <v>DEC</v>
      </c>
      <c r="G13" s="697" t="str">
        <f>IFERROR(__xludf.DUMMYFUNCTION("""COMPUTED_VALUE"""),"6 mg/kg ")</f>
        <v>6 mg/kg </v>
      </c>
      <c r="H13" s="697">
        <f>IFERROR(__xludf.DUMMYFUNCTION("""COMPUTED_VALUE"""),12.0)</f>
        <v>12</v>
      </c>
      <c r="I13" s="697"/>
      <c r="J13" s="706">
        <f>IFERROR(__xludf.DUMMYFUNCTION("""COMPUTED_VALUE"""),0.42)</f>
        <v>0.42</v>
      </c>
      <c r="K13" s="697" t="str">
        <f>IFERROR(__xludf.DUMMYFUNCTION("""COMPUTED_VALUE"""),"not available")</f>
        <v>not available</v>
      </c>
      <c r="L13" s="697">
        <f>IFERROR(__xludf.DUMMYFUNCTION("""COMPUTED_VALUE"""),38.0)</f>
        <v>38</v>
      </c>
      <c r="M13" s="697" t="str">
        <f>IFERROR(__xludf.DUMMYFUNCTION("""COMPUTED_VALUE"""),"18-20")</f>
        <v>18-20</v>
      </c>
      <c r="N13" s="697" t="str">
        <f>IFERROR(__xludf.DUMMYFUNCTION("""COMPUTED_VALUE"""),"male")</f>
        <v>male</v>
      </c>
      <c r="O13" s="697" t="str">
        <f>IFERROR(__xludf.DUMMYFUNCTION("""COMPUTED_VALUE"""),"presence of microfilaraemia as determined by blood film 
examination or Nuclepore filtration of blood: permanent residence within Greater Recife where bancroftian filariasis is endemic; no prior treatment with DEC; the
 absence of medical problems related"&amp;" to lymphatic filariasis; and willingness to participate in the study.")</f>
        <v>presence of microfilaraemia as determined by blood film 
examination or Nuclepore filtration of blood: permanent residence within Greater Recife where bancroftian filariasis is endemic; no prior treatment with DEC; the
 absence of medical problems related to lymphatic filariasis; and willingness to participate in the study.</v>
      </c>
      <c r="P13" s="697" t="str">
        <f>IFERROR(__xludf.DUMMYFUNCTION("""COMPUTED_VALUE"""),"single blind randomized hospital-based therapeutic trial")</f>
        <v>single blind randomized hospital-based therapeutic trial</v>
      </c>
      <c r="Q13" s="697" t="str">
        <f>IFERROR(__xludf.DUMMYFUNCTION("""COMPUTED_VALUE"""),"Yes")</f>
        <v>Yes</v>
      </c>
      <c r="R13" s="697" t="str">
        <f>IFERROR(__xludf.DUMMYFUNCTION("""COMPUTED_VALUE"""),"Yes")</f>
        <v>Yes</v>
      </c>
      <c r="S13" s="697" t="str">
        <f>IFERROR(__xludf.DUMMYFUNCTION("""COMPUTED_VALUE"""),"12 months")</f>
        <v>12 months</v>
      </c>
      <c r="T13" s="697" t="str">
        <f>IFERROR(__xludf.DUMMYFUNCTION("""COMPUTED_VALUE"""),"A single dose of DEC was significantly less effective than the other 2 regimens during the 
6 months following treatment, but after 1 year its effect 
was virtually identical to that of the multidose treatments.")</f>
        <v>A single dose of DEC was significantly less effective than the other 2 regimens during the 
6 months following treatment, but after 1 year its effect 
was virtually identical to that of the multidose treatments.</v>
      </c>
      <c r="U13" s="697"/>
      <c r="V13" s="697">
        <f>IFERROR(__xludf.DUMMYFUNCTION("""COMPUTED_VALUE"""),1995.0)</f>
        <v>1995</v>
      </c>
      <c r="W13" s="697">
        <f>IFERROR(__xludf.DUMMYFUNCTION("""COMPUTED_VALUE"""),1995.0)</f>
        <v>1995</v>
      </c>
      <c r="X13" s="697" t="str">
        <f>IFERROR(__xludf.DUMMYFUNCTION("""COMPUTED_VALUE"""),"Andrade LD, Medeiros Z, Pires ML, Pimentel A, Rocha A, Figueredo-Silva J, Comparative efficacy of three different diethylcarbamazine regimens in
 lymphatic filariasis. TRANSACTIONS OF IHE ROY~I. SOCIETY OF TROPICAL MEDICINE AND HYGIENE (1995) 89, 319-321")</f>
        <v>Andrade LD, Medeiros Z, Pires ML, Pimentel A, Rocha A, Figueredo-Silva J, Comparative efficacy of three different diethylcarbamazine regimens in
 lymphatic filariasis. TRANSACTIONS OF IHE ROY~I. SOCIETY OF TROPICAL MEDICINE AND HYGIENE (1995) 89, 319-321</v>
      </c>
      <c r="Y13" s="697"/>
      <c r="Z13" s="865" t="str">
        <f>IFERROR(__xludf.DUMMYFUNCTION("""COMPUTED_VALUE"""),"https://drive.google.com/file/d/0B0-pry4DSOm3cXdWQjZPRGRpb1k/view?usp=sharing")</f>
        <v>https://drive.google.com/file/d/0B0-pry4DSOm3cXdWQjZPRGRpb1k/view?usp=sharing</v>
      </c>
      <c r="AA13" s="697"/>
    </row>
    <row r="14">
      <c r="A14" s="697" t="str">
        <f>IFERROR(__xludf.DUMMYFUNCTION("""COMPUTED_VALUE"""),"Andrade, 1995")</f>
        <v>Andrade, 1995</v>
      </c>
      <c r="B14" s="697"/>
      <c r="C14" s="697" t="str">
        <f>IFERROR(__xludf.DUMMYFUNCTION("""COMPUTED_VALUE"""),"Alex ")</f>
        <v>Alex </v>
      </c>
      <c r="D14" s="697" t="str">
        <f>IFERROR(__xludf.DUMMYFUNCTION("""COMPUTED_VALUE"""),"Brazil")</f>
        <v>Brazil</v>
      </c>
      <c r="E14" s="697" t="str">
        <f>IFERROR(__xludf.DUMMYFUNCTION("""COMPUTED_VALUE"""),"W. bancrofti")</f>
        <v>W. bancrofti</v>
      </c>
      <c r="F14" s="697" t="str">
        <f>IFERROR(__xludf.DUMMYFUNCTION("""COMPUTED_VALUE"""),"DEC")</f>
        <v>DEC</v>
      </c>
      <c r="G14" s="697" t="str">
        <f>IFERROR(__xludf.DUMMYFUNCTION("""COMPUTED_VALUE"""),"6 mg/kg ")</f>
        <v>6 mg/kg </v>
      </c>
      <c r="H14" s="697">
        <f>IFERROR(__xludf.DUMMYFUNCTION("""COMPUTED_VALUE"""),1.0)</f>
        <v>1</v>
      </c>
      <c r="I14" s="697"/>
      <c r="J14" s="706">
        <f>IFERROR(__xludf.DUMMYFUNCTION("""COMPUTED_VALUE"""),0.4)</f>
        <v>0.4</v>
      </c>
      <c r="K14" s="697" t="str">
        <f>IFERROR(__xludf.DUMMYFUNCTION("""COMPUTED_VALUE"""),"not available")</f>
        <v>not available</v>
      </c>
      <c r="L14" s="697">
        <f>IFERROR(__xludf.DUMMYFUNCTION("""COMPUTED_VALUE"""),15.0)</f>
        <v>15</v>
      </c>
      <c r="M14" s="697" t="str">
        <f>IFERROR(__xludf.DUMMYFUNCTION("""COMPUTED_VALUE"""),"18-20")</f>
        <v>18-20</v>
      </c>
      <c r="N14" s="697" t="str">
        <f>IFERROR(__xludf.DUMMYFUNCTION("""COMPUTED_VALUE"""),"male")</f>
        <v>male</v>
      </c>
      <c r="O14" s="697" t="str">
        <f>IFERROR(__xludf.DUMMYFUNCTION("""COMPUTED_VALUE"""),"presence of microfilaraemia as determined by blood film 
examination or Nuclepore filtration of blood: permanent residence within Greater Recife where bancroftian filariasis is endemic; no prior treatment with DEC; the
 absence of medical problems related"&amp;" to lymphatic filariasis; and willingness to participate in the study.")</f>
        <v>presence of microfilaraemia as determined by blood film 
examination or Nuclepore filtration of blood: permanent residence within Greater Recife where bancroftian filariasis is endemic; no prior treatment with DEC; the
 absence of medical problems related to lymphatic filariasis; and willingness to participate in the study.</v>
      </c>
      <c r="P14" s="697" t="str">
        <f>IFERROR(__xludf.DUMMYFUNCTION("""COMPUTED_VALUE"""),"single blind randomized hospital-based therapeutic trial")</f>
        <v>single blind randomized hospital-based therapeutic trial</v>
      </c>
      <c r="Q14" s="697" t="str">
        <f>IFERROR(__xludf.DUMMYFUNCTION("""COMPUTED_VALUE"""),"Yes")</f>
        <v>Yes</v>
      </c>
      <c r="R14" s="697" t="str">
        <f>IFERROR(__xludf.DUMMYFUNCTION("""COMPUTED_VALUE"""),"Yes")</f>
        <v>Yes</v>
      </c>
      <c r="S14" s="697" t="str">
        <f>IFERROR(__xludf.DUMMYFUNCTION("""COMPUTED_VALUE"""),"12 months")</f>
        <v>12 months</v>
      </c>
      <c r="T14" s="697" t="str">
        <f>IFERROR(__xludf.DUMMYFUNCTION("""COMPUTED_VALUE"""),"A single dose of DEC was significantly less effective than the other 2 regimens during the 
6 months following treatment, but after 1 year its effect 
was virtually identical to that of the multidose treatments.")</f>
        <v>A single dose of DEC was significantly less effective than the other 2 regimens during the 
6 months following treatment, but after 1 year its effect 
was virtually identical to that of the multidose treatments.</v>
      </c>
      <c r="U14" s="697"/>
      <c r="V14" s="697">
        <f>IFERROR(__xludf.DUMMYFUNCTION("""COMPUTED_VALUE"""),1995.0)</f>
        <v>1995</v>
      </c>
      <c r="W14" s="697">
        <f>IFERROR(__xludf.DUMMYFUNCTION("""COMPUTED_VALUE"""),1995.0)</f>
        <v>1995</v>
      </c>
      <c r="X14" s="697" t="str">
        <f>IFERROR(__xludf.DUMMYFUNCTION("""COMPUTED_VALUE"""),"Andrade LD, Medeiros Z, Pires ML, Pimentel A, Rocha A, Figueredo-Silva J, Comparative efficacy of three different diethylcarbamazine regimens in
 lymphatic filariasis. TRANSACTIONS OF IHE ROY~I. SOCIETY OF TROPICAL MEDICINE AND HYGIENE (1995) 89, 319-321")</f>
        <v>Andrade LD, Medeiros Z, Pires ML, Pimentel A, Rocha A, Figueredo-Silva J, Comparative efficacy of three different diethylcarbamazine regimens in
 lymphatic filariasis. TRANSACTIONS OF IHE ROY~I. SOCIETY OF TROPICAL MEDICINE AND HYGIENE (1995) 89, 319-321</v>
      </c>
      <c r="Y14" s="697"/>
      <c r="Z14" s="865" t="str">
        <f>IFERROR(__xludf.DUMMYFUNCTION("""COMPUTED_VALUE"""),"https://drive.google.com/file/d/0B0-pry4DSOm3cXdWQjZPRGRpb1k/view?usp=sharing")</f>
        <v>https://drive.google.com/file/d/0B0-pry4DSOm3cXdWQjZPRGRpb1k/view?usp=sharing</v>
      </c>
      <c r="AA14" s="697"/>
    </row>
    <row r="15">
      <c r="A15" s="697" t="str">
        <f>IFERROR(__xludf.DUMMYFUNCTION("""COMPUTED_VALUE"""),"Beach MJ, 1999")</f>
        <v>Beach MJ, 1999</v>
      </c>
      <c r="B15" s="697"/>
      <c r="C15" s="697" t="str">
        <f>IFERROR(__xludf.DUMMYFUNCTION("""COMPUTED_VALUE"""),"Ally")</f>
        <v>Ally</v>
      </c>
      <c r="D15" s="697" t="str">
        <f>IFERROR(__xludf.DUMMYFUNCTION("""COMPUTED_VALUE"""),"Haiti")</f>
        <v>Haiti</v>
      </c>
      <c r="E15" s="697" t="str">
        <f>IFERROR(__xludf.DUMMYFUNCTION("""COMPUTED_VALUE"""),"W. bancrofti")</f>
        <v>W. bancrofti</v>
      </c>
      <c r="F15" s="697" t="str">
        <f>IFERROR(__xludf.DUMMYFUNCTION("""COMPUTED_VALUE"""),"Placebo")</f>
        <v>Placebo</v>
      </c>
      <c r="G15" s="697" t="str">
        <f>IFERROR(__xludf.DUMMYFUNCTION("""COMPUTED_VALUE"""),"(250 mg Vitamin C)")</f>
        <v>(250 mg Vitamin C)</v>
      </c>
      <c r="H15" s="697">
        <f>IFERROR(__xludf.DUMMYFUNCTION("""COMPUTED_VALUE"""),1.0)</f>
        <v>1</v>
      </c>
      <c r="I15" s="706">
        <f>IFERROR(__xludf.DUMMYFUNCTION("""COMPUTED_VALUE"""),0.143)</f>
        <v>0.143</v>
      </c>
      <c r="J15" s="706">
        <f>IFERROR(__xludf.DUMMYFUNCTION("""COMPUTED_VALUE"""),0.2)</f>
        <v>0.2</v>
      </c>
      <c r="K15" s="697" t="str">
        <f>IFERROR(__xludf.DUMMYFUNCTION("""COMPUTED_VALUE"""),"not available")</f>
        <v>not available</v>
      </c>
      <c r="L15" s="697">
        <f>IFERROR(__xludf.DUMMYFUNCTION("""COMPUTED_VALUE"""),25.0)</f>
        <v>25</v>
      </c>
      <c r="M15" s="697" t="str">
        <f>IFERROR(__xludf.DUMMYFUNCTION("""COMPUTED_VALUE"""),"5 to 11")</f>
        <v>5 to 11</v>
      </c>
      <c r="N15" s="862" t="str">
        <f>IFERROR(__xludf.DUMMYFUNCTION("""COMPUTED_VALUE"""),"407:558 (of full study population 996)")</f>
        <v>407:558 (of full study population 996)</v>
      </c>
      <c r="O15" s="697" t="str">
        <f>IFERROR(__xludf.DUMMYFUNCTION("""COMPUTED_VALUE"""),"Criteria for inclusion in the final study group included 1) age 5–11 years, 2) anthropometric measurements before and four months after treatment, 3) stool specimens before and 5 weeks after treatment, 4) random assignment to a treatment group and, 5) hei"&amp;"ght, weight, and age within limits of the anthropometric database Children with Wuchereria bancrofti filariasis and/or intestinal helminths")</f>
        <v>Criteria for inclusion in the final study group included 1) age 5–11 years, 2) anthropometric measurements before and four months after treatment, 3) stool specimens before and 5 weeks after treatment, 4) random assignment to a treatment group and, 5) height, weight, and age within limits of the anthropometric database Children with Wuchereria bancrofti filariasis and/or intestinal helminths</v>
      </c>
      <c r="P15" s="697" t="str">
        <f>IFERROR(__xludf.DUMMYFUNCTION("""COMPUTED_VALUE"""),"double-blind, RCT")</f>
        <v>double-blind, RCT</v>
      </c>
      <c r="Q15" s="697" t="str">
        <f>IFERROR(__xludf.DUMMYFUNCTION("""COMPUTED_VALUE"""),"Yes")</f>
        <v>Yes</v>
      </c>
      <c r="R15" s="697" t="str">
        <f>IFERROR(__xludf.DUMMYFUNCTION("""COMPUTED_VALUE"""),"Yes")</f>
        <v>Yes</v>
      </c>
      <c r="S15" s="697" t="str">
        <f>IFERROR(__xludf.DUMMYFUNCTION("""COMPUTED_VALUE"""),"4 months")</f>
        <v>4 months</v>
      </c>
      <c r="T15" s="697" t="str">
        <f>IFERROR(__xludf.DUMMYFUNCTION("""COMPUTED_VALUE"""),"""Our data suggest that an ivermectin/albendazole combination can simplify the delivery infrastructure and enhance efficacy against both intestinal helminths and W. bancrofti compared with either drug alone.""")</f>
        <v>"Our data suggest that an ivermectin/albendazole combination can simplify the delivery infrastructure and enhance efficacy against both intestinal helminths and W. bancrofti compared with either drug alone."</v>
      </c>
      <c r="U15" s="697"/>
      <c r="V15" s="697">
        <f>IFERROR(__xludf.DUMMYFUNCTION("""COMPUTED_VALUE"""),1999.0)</f>
        <v>1999</v>
      </c>
      <c r="W15" s="697">
        <f>IFERROR(__xludf.DUMMYFUNCTION("""COMPUTED_VALUE"""),1999.0)</f>
        <v>1999</v>
      </c>
      <c r="X15" s="697" t="str">
        <f>IFERROR(__xludf.DUMMYFUNCTION("""COMPUTED_VALUE"""),"Beach MJ, Streit TG, Addiss DG, Prospere R, Roberts JM, Lammie PJ. Assessment of combined ivermectin and albendazole for treatment of intestinal helminth and Wuchereria bancrofti infections in Haitian school children. American Journal of Tropical Medicine"&amp;" and Hygiene 1999;60 (3):479–86.")</f>
        <v>Beach MJ, Streit TG, Addiss DG, Prospere R, Roberts JM, Lammie PJ. Assessment of combined ivermectin and albendazole for treatment of intestinal helminth and Wuchereria bancrofti infections in Haitian school children. American Journal of Tropical Medicine and Hygiene 1999;60 (3):479–86.</v>
      </c>
      <c r="Y15" s="697"/>
      <c r="Z15" s="865" t="str">
        <f>IFERROR(__xludf.DUMMYFUNCTION("""COMPUTED_VALUE"""),"https://drive.google.com/file/d/0B4sJPAkX0Jo3WE9Mdjc0THBVNkU/view?usp=sharing")</f>
        <v>https://drive.google.com/file/d/0B4sJPAkX0Jo3WE9Mdjc0THBVNkU/view?usp=sharing</v>
      </c>
      <c r="AA15" s="697"/>
    </row>
    <row r="16">
      <c r="A16" s="697" t="str">
        <f>IFERROR(__xludf.DUMMYFUNCTION("""COMPUTED_VALUE"""),"Beach MJ, 1999")</f>
        <v>Beach MJ, 1999</v>
      </c>
      <c r="B16" s="697"/>
      <c r="C16" s="697" t="str">
        <f>IFERROR(__xludf.DUMMYFUNCTION("""COMPUTED_VALUE"""),"Ally")</f>
        <v>Ally</v>
      </c>
      <c r="D16" s="697" t="str">
        <f>IFERROR(__xludf.DUMMYFUNCTION("""COMPUTED_VALUE"""),"Haiti")</f>
        <v>Haiti</v>
      </c>
      <c r="E16" s="697" t="str">
        <f>IFERROR(__xludf.DUMMYFUNCTION("""COMPUTED_VALUE"""),"W. bancrofti")</f>
        <v>W. bancrofti</v>
      </c>
      <c r="F16" s="697" t="str">
        <f>IFERROR(__xludf.DUMMYFUNCTION("""COMPUTED_VALUE"""),"Ivermectin")</f>
        <v>Ivermectin</v>
      </c>
      <c r="G16" s="697" t="str">
        <f>IFERROR(__xludf.DUMMYFUNCTION("""COMPUTED_VALUE"""),".200 to .400 mg/kg")</f>
        <v>.200 to .400 mg/kg</v>
      </c>
      <c r="H16" s="697">
        <f>IFERROR(__xludf.DUMMYFUNCTION("""COMPUTED_VALUE"""),1.0)</f>
        <v>1</v>
      </c>
      <c r="I16" s="706">
        <f>IFERROR(__xludf.DUMMYFUNCTION("""COMPUTED_VALUE"""),0.736)</f>
        <v>0.736</v>
      </c>
      <c r="J16" s="706">
        <f>IFERROR(__xludf.DUMMYFUNCTION("""COMPUTED_VALUE"""),0.231)</f>
        <v>0.231</v>
      </c>
      <c r="K16" s="697" t="str">
        <f>IFERROR(__xludf.DUMMYFUNCTION("""COMPUTED_VALUE"""),"not available")</f>
        <v>not available</v>
      </c>
      <c r="L16" s="697">
        <f>IFERROR(__xludf.DUMMYFUNCTION("""COMPUTED_VALUE"""),26.0)</f>
        <v>26</v>
      </c>
      <c r="M16" s="697" t="str">
        <f>IFERROR(__xludf.DUMMYFUNCTION("""COMPUTED_VALUE"""),"5 to 11")</f>
        <v>5 to 11</v>
      </c>
      <c r="N16" s="862" t="str">
        <f>IFERROR(__xludf.DUMMYFUNCTION("""COMPUTED_VALUE"""),"407:558 (of full study population 996)")</f>
        <v>407:558 (of full study population 996)</v>
      </c>
      <c r="O16" s="697" t="str">
        <f>IFERROR(__xludf.DUMMYFUNCTION("""COMPUTED_VALUE"""),"Criteria for inclusion in the final study group included 1) age 5–11 years, 2) anthropometric measurements before and four months after treatment, 3) stool specimens before and 5 weeks after treatment, 4) random assignment to a treatment group and, 5) hei"&amp;"ght, weight, and age within limits of the anthropometric database Children with Wuchereria bancrofti filariasis and/or intestinal helminths")</f>
        <v>Criteria for inclusion in the final study group included 1) age 5–11 years, 2) anthropometric measurements before and four months after treatment, 3) stool specimens before and 5 weeks after treatment, 4) random assignment to a treatment group and, 5) height, weight, and age within limits of the anthropometric database Children with Wuchereria bancrofti filariasis and/or intestinal helminths</v>
      </c>
      <c r="P16" s="697" t="str">
        <f>IFERROR(__xludf.DUMMYFUNCTION("""COMPUTED_VALUE"""),"double-blind, RCT")</f>
        <v>double-blind, RCT</v>
      </c>
      <c r="Q16" s="697" t="str">
        <f>IFERROR(__xludf.DUMMYFUNCTION("""COMPUTED_VALUE"""),"Yes")</f>
        <v>Yes</v>
      </c>
      <c r="R16" s="697" t="str">
        <f>IFERROR(__xludf.DUMMYFUNCTION("""COMPUTED_VALUE"""),"Yes")</f>
        <v>Yes</v>
      </c>
      <c r="S16" s="697" t="str">
        <f>IFERROR(__xludf.DUMMYFUNCTION("""COMPUTED_VALUE"""),"4 months")</f>
        <v>4 months</v>
      </c>
      <c r="T16" s="697" t="str">
        <f>IFERROR(__xludf.DUMMYFUNCTION("""COMPUTED_VALUE"""),"""Our data suggest that an ivermectin/albendazole combination can simplify the delivery infrastructure and enhance efficacy against both intestinal helminths and W. bancrofti compared with either drug alone.""")</f>
        <v>"Our data suggest that an ivermectin/albendazole combination can simplify the delivery infrastructure and enhance efficacy against both intestinal helminths and W. bancrofti compared with either drug alone."</v>
      </c>
      <c r="U16" s="697"/>
      <c r="V16" s="697">
        <f>IFERROR(__xludf.DUMMYFUNCTION("""COMPUTED_VALUE"""),1999.0)</f>
        <v>1999</v>
      </c>
      <c r="W16" s="697">
        <f>IFERROR(__xludf.DUMMYFUNCTION("""COMPUTED_VALUE"""),1999.0)</f>
        <v>1999</v>
      </c>
      <c r="X16" s="697" t="str">
        <f>IFERROR(__xludf.DUMMYFUNCTION("""COMPUTED_VALUE"""),"Beach MJ, Streit TG, Addiss DG, Prospere R, Roberts JM, Lammie PJ. Assessment of combined ivermectin and albendazole for treatment of intestinal helminth and Wuchereria bancrofti infections in Haitian school children. American Journal of Tropical Medicine"&amp;" and Hygiene 1999;60 (3):479–86.")</f>
        <v>Beach MJ, Streit TG, Addiss DG, Prospere R, Roberts JM, Lammie PJ. Assessment of combined ivermectin and albendazole for treatment of intestinal helminth and Wuchereria bancrofti infections in Haitian school children. American Journal of Tropical Medicine and Hygiene 1999;60 (3):479–86.</v>
      </c>
      <c r="Y16" s="697"/>
      <c r="Z16" s="865" t="str">
        <f>IFERROR(__xludf.DUMMYFUNCTION("""COMPUTED_VALUE"""),"https://drive.google.com/file/d/0B4sJPAkX0Jo3WE9Mdjc0THBVNkU/view?usp=sharing")</f>
        <v>https://drive.google.com/file/d/0B4sJPAkX0Jo3WE9Mdjc0THBVNkU/view?usp=sharing</v>
      </c>
      <c r="AA16" s="697"/>
    </row>
    <row r="17">
      <c r="A17" s="697" t="str">
        <f>IFERROR(__xludf.DUMMYFUNCTION("""COMPUTED_VALUE"""),"Beach MJ, 1999")</f>
        <v>Beach MJ, 1999</v>
      </c>
      <c r="B17" s="697"/>
      <c r="C17" s="697" t="str">
        <f>IFERROR(__xludf.DUMMYFUNCTION("""COMPUTED_VALUE"""),"Ally")</f>
        <v>Ally</v>
      </c>
      <c r="D17" s="697" t="str">
        <f>IFERROR(__xludf.DUMMYFUNCTION("""COMPUTED_VALUE"""),"Haiti")</f>
        <v>Haiti</v>
      </c>
      <c r="E17" s="697" t="str">
        <f>IFERROR(__xludf.DUMMYFUNCTION("""COMPUTED_VALUE"""),"W. bancrofti")</f>
        <v>W. bancrofti</v>
      </c>
      <c r="F17" s="697" t="str">
        <f>IFERROR(__xludf.DUMMYFUNCTION("""COMPUTED_VALUE"""),"Albendazole")</f>
        <v>Albendazole</v>
      </c>
      <c r="G17" s="697" t="str">
        <f>IFERROR(__xludf.DUMMYFUNCTION("""COMPUTED_VALUE"""),"400 mg")</f>
        <v>400 mg</v>
      </c>
      <c r="H17" s="697">
        <f>IFERROR(__xludf.DUMMYFUNCTION("""COMPUTED_VALUE"""),1.0)</f>
        <v>1</v>
      </c>
      <c r="I17" s="697"/>
      <c r="J17" s="697"/>
      <c r="K17" s="697" t="str">
        <f>IFERROR(__xludf.DUMMYFUNCTION("""COMPUTED_VALUE"""),"not available")</f>
        <v>not available</v>
      </c>
      <c r="L17" s="697">
        <f>IFERROR(__xludf.DUMMYFUNCTION("""COMPUTED_VALUE"""),26.0)</f>
        <v>26</v>
      </c>
      <c r="M17" s="697" t="str">
        <f>IFERROR(__xludf.DUMMYFUNCTION("""COMPUTED_VALUE"""),"5 to 11")</f>
        <v>5 to 11</v>
      </c>
      <c r="N17" s="862" t="str">
        <f>IFERROR(__xludf.DUMMYFUNCTION("""COMPUTED_VALUE"""),"407:558 (of full study population 996)")</f>
        <v>407:558 (of full study population 996)</v>
      </c>
      <c r="O17" s="697" t="str">
        <f>IFERROR(__xludf.DUMMYFUNCTION("""COMPUTED_VALUE"""),"Criteria for inclusion in the final study group included 1) age 5–11 years, 2) anthropometric measurements before and four months after treatment, 3) stool specimens before and 5 weeks after treatment, 4) random assignment to a treatment group and, 5) hei"&amp;"ght, weight, and age within limits of the anthropometric database Children with Wuchereria bancrofti filariasis and/or intestinal helminths")</f>
        <v>Criteria for inclusion in the final study group included 1) age 5–11 years, 2) anthropometric measurements before and four months after treatment, 3) stool specimens before and 5 weeks after treatment, 4) random assignment to a treatment group and, 5) height, weight, and age within limits of the anthropometric database Children with Wuchereria bancrofti filariasis and/or intestinal helminths</v>
      </c>
      <c r="P17" s="697" t="str">
        <f>IFERROR(__xludf.DUMMYFUNCTION("""COMPUTED_VALUE"""),"double-blind, RCT")</f>
        <v>double-blind, RCT</v>
      </c>
      <c r="Q17" s="697" t="str">
        <f>IFERROR(__xludf.DUMMYFUNCTION("""COMPUTED_VALUE"""),"Yes")</f>
        <v>Yes</v>
      </c>
      <c r="R17" s="697" t="str">
        <f>IFERROR(__xludf.DUMMYFUNCTION("""COMPUTED_VALUE"""),"Yes")</f>
        <v>Yes</v>
      </c>
      <c r="S17" s="697" t="str">
        <f>IFERROR(__xludf.DUMMYFUNCTION("""COMPUTED_VALUE"""),"4 months")</f>
        <v>4 months</v>
      </c>
      <c r="T17" s="697" t="str">
        <f>IFERROR(__xludf.DUMMYFUNCTION("""COMPUTED_VALUE"""),"""Our data suggest that an ivermectin/albendazole combination can simplify the delivery infrastructure and enhance efficacy against both intestinal helminths and W. bancrofti compared with either drug alone.""")</f>
        <v>"Our data suggest that an ivermectin/albendazole combination can simplify the delivery infrastructure and enhance efficacy against both intestinal helminths and W. bancrofti compared with either drug alone."</v>
      </c>
      <c r="U17" s="697"/>
      <c r="V17" s="697">
        <f>IFERROR(__xludf.DUMMYFUNCTION("""COMPUTED_VALUE"""),1999.0)</f>
        <v>1999</v>
      </c>
      <c r="W17" s="697">
        <f>IFERROR(__xludf.DUMMYFUNCTION("""COMPUTED_VALUE"""),1999.0)</f>
        <v>1999</v>
      </c>
      <c r="X17" s="697" t="str">
        <f>IFERROR(__xludf.DUMMYFUNCTION("""COMPUTED_VALUE"""),"Beach MJ, Streit TG, Addiss DG, Prospere R, Roberts JM, Lammie PJ. Assessment of combined ivermectin and albendazole for treatment of intestinal helminth and Wuchereria bancrofti infections in Haitian school children. American Journal of Tropical Medicine"&amp;" and Hygiene 1999;60 (3):479–86.")</f>
        <v>Beach MJ, Streit TG, Addiss DG, Prospere R, Roberts JM, Lammie PJ. Assessment of combined ivermectin and albendazole for treatment of intestinal helminth and Wuchereria bancrofti infections in Haitian school children. American Journal of Tropical Medicine and Hygiene 1999;60 (3):479–86.</v>
      </c>
      <c r="Y17" s="697"/>
      <c r="Z17" s="865" t="str">
        <f>IFERROR(__xludf.DUMMYFUNCTION("""COMPUTED_VALUE"""),"https://drive.google.com/file/d/0B4sJPAkX0Jo3WE9Mdjc0THBVNkU/view?usp=sharing")</f>
        <v>https://drive.google.com/file/d/0B4sJPAkX0Jo3WE9Mdjc0THBVNkU/view?usp=sharing</v>
      </c>
      <c r="AA17" s="697"/>
    </row>
    <row r="18">
      <c r="A18" s="697" t="str">
        <f>IFERROR(__xludf.DUMMYFUNCTION("""COMPUTED_VALUE"""),"Beach MJ, 1999")</f>
        <v>Beach MJ, 1999</v>
      </c>
      <c r="B18" s="697"/>
      <c r="C18" s="697" t="str">
        <f>IFERROR(__xludf.DUMMYFUNCTION("""COMPUTED_VALUE"""),"Ally")</f>
        <v>Ally</v>
      </c>
      <c r="D18" s="697" t="str">
        <f>IFERROR(__xludf.DUMMYFUNCTION("""COMPUTED_VALUE"""),"Haiti")</f>
        <v>Haiti</v>
      </c>
      <c r="E18" s="697" t="str">
        <f>IFERROR(__xludf.DUMMYFUNCTION("""COMPUTED_VALUE"""),"W. bancrofti")</f>
        <v>W. bancrofti</v>
      </c>
      <c r="F18" s="697" t="str">
        <f>IFERROR(__xludf.DUMMYFUNCTION("""COMPUTED_VALUE"""),"Albendazole &amp; Ivermectin")</f>
        <v>Albendazole &amp; Ivermectin</v>
      </c>
      <c r="G18" s="697" t="str">
        <f>IFERROR(__xludf.DUMMYFUNCTION("""COMPUTED_VALUE"""),"400 mg + .200-.400 mg/kg")</f>
        <v>400 mg + .200-.400 mg/kg</v>
      </c>
      <c r="H18" s="697">
        <f>IFERROR(__xludf.DUMMYFUNCTION("""COMPUTED_VALUE"""),1.0)</f>
        <v>1</v>
      </c>
      <c r="I18" s="706">
        <f>IFERROR(__xludf.DUMMYFUNCTION("""COMPUTED_VALUE"""),0.987)</f>
        <v>0.987</v>
      </c>
      <c r="J18" s="706">
        <f>IFERROR(__xludf.DUMMYFUNCTION("""COMPUTED_VALUE"""),0.682)</f>
        <v>0.682</v>
      </c>
      <c r="K18" s="697" t="str">
        <f>IFERROR(__xludf.DUMMYFUNCTION("""COMPUTED_VALUE"""),"not available")</f>
        <v>not available</v>
      </c>
      <c r="L18" s="697">
        <f>IFERROR(__xludf.DUMMYFUNCTION("""COMPUTED_VALUE"""),19.0)</f>
        <v>19</v>
      </c>
      <c r="M18" s="697" t="str">
        <f>IFERROR(__xludf.DUMMYFUNCTION("""COMPUTED_VALUE"""),"5 to 11")</f>
        <v>5 to 11</v>
      </c>
      <c r="N18" s="862" t="str">
        <f>IFERROR(__xludf.DUMMYFUNCTION("""COMPUTED_VALUE"""),"407:558 (of full study population 996)")</f>
        <v>407:558 (of full study population 996)</v>
      </c>
      <c r="O18" s="697" t="str">
        <f>IFERROR(__xludf.DUMMYFUNCTION("""COMPUTED_VALUE"""),"Criteria for inclusion in the final study group included 1) age 5–11 years, 2) anthropometric measurements before and four months after treatment, 3) stool specimens before and 5 weeks after treatment, 4) random assignment to a treatment group and, 5) hei"&amp;"ght, weight, and age within limits of the anthropometric database Children with Wuchereria bancrofti filariasis and/or intestinal helminths")</f>
        <v>Criteria for inclusion in the final study group included 1) age 5–11 years, 2) anthropometric measurements before and four months after treatment, 3) stool specimens before and 5 weeks after treatment, 4) random assignment to a treatment group and, 5) height, weight, and age within limits of the anthropometric database Children with Wuchereria bancrofti filariasis and/or intestinal helminths</v>
      </c>
      <c r="P18" s="697" t="str">
        <f>IFERROR(__xludf.DUMMYFUNCTION("""COMPUTED_VALUE"""),"double-blind, RCT")</f>
        <v>double-blind, RCT</v>
      </c>
      <c r="Q18" s="697" t="str">
        <f>IFERROR(__xludf.DUMMYFUNCTION("""COMPUTED_VALUE"""),"Yes")</f>
        <v>Yes</v>
      </c>
      <c r="R18" s="697" t="str">
        <f>IFERROR(__xludf.DUMMYFUNCTION("""COMPUTED_VALUE"""),"Yes")</f>
        <v>Yes</v>
      </c>
      <c r="S18" s="697" t="str">
        <f>IFERROR(__xludf.DUMMYFUNCTION("""COMPUTED_VALUE"""),"4 months")</f>
        <v>4 months</v>
      </c>
      <c r="T18" s="697" t="str">
        <f>IFERROR(__xludf.DUMMYFUNCTION("""COMPUTED_VALUE"""),"""Our data suggest that an ivermectin/albendazole combination can simplify the delivery infrastructure and enhance efficacy against both intestinal helminths and W. bancrofti compared with either drug alone.""")</f>
        <v>"Our data suggest that an ivermectin/albendazole combination can simplify the delivery infrastructure and enhance efficacy against both intestinal helminths and W. bancrofti compared with either drug alone."</v>
      </c>
      <c r="U18" s="697"/>
      <c r="V18" s="697">
        <f>IFERROR(__xludf.DUMMYFUNCTION("""COMPUTED_VALUE"""),1999.0)</f>
        <v>1999</v>
      </c>
      <c r="W18" s="697">
        <f>IFERROR(__xludf.DUMMYFUNCTION("""COMPUTED_VALUE"""),1999.0)</f>
        <v>1999</v>
      </c>
      <c r="X18" s="697" t="str">
        <f>IFERROR(__xludf.DUMMYFUNCTION("""COMPUTED_VALUE"""),"Beach MJ, Streit TG, Addiss DG, Prospere R, Roberts JM, Lammie PJ. Assessment of combined ivermectin and albendazole for treatment of intestinal helminth and Wuchereria bancrofti infections in Haitian school children. American Journal of Tropical Medicine"&amp;" and Hygiene 1999;60 (3):479–86.")</f>
        <v>Beach MJ, Streit TG, Addiss DG, Prospere R, Roberts JM, Lammie PJ. Assessment of combined ivermectin and albendazole for treatment of intestinal helminth and Wuchereria bancrofti infections in Haitian school children. American Journal of Tropical Medicine and Hygiene 1999;60 (3):479–86.</v>
      </c>
      <c r="Y18" s="697"/>
      <c r="Z18" s="865" t="str">
        <f>IFERROR(__xludf.DUMMYFUNCTION("""COMPUTED_VALUE"""),"https://drive.google.com/file/d/0B4sJPAkX0Jo3WE9Mdjc0THBVNkU/view?usp=sharing")</f>
        <v>https://drive.google.com/file/d/0B4sJPAkX0Jo3WE9Mdjc0THBVNkU/view?usp=sharing</v>
      </c>
      <c r="AA18" s="697"/>
    </row>
    <row r="19">
      <c r="A19" s="697" t="str">
        <f>IFERROR(__xludf.DUMMYFUNCTION("""COMPUTED_VALUE"""),"Debrah, 2007")</f>
        <v>Debrah, 2007</v>
      </c>
      <c r="B19" s="697" t="str">
        <f>IFERROR(__xludf.DUMMYFUNCTION("""COMPUTED_VALUE"""),"Chungsoo")</f>
        <v>Chungsoo</v>
      </c>
      <c r="C19" s="697" t="str">
        <f>IFERROR(__xludf.DUMMYFUNCTION("""COMPUTED_VALUE"""),"Ross")</f>
        <v>Ross</v>
      </c>
      <c r="D19" s="697" t="str">
        <f>IFERROR(__xludf.DUMMYFUNCTION("""COMPUTED_VALUE"""),"Ghana")</f>
        <v>Ghana</v>
      </c>
      <c r="E19" s="697" t="str">
        <f>IFERROR(__xludf.DUMMYFUNCTION("""COMPUTED_VALUE"""),"W. bancrofti")</f>
        <v>W. bancrofti</v>
      </c>
      <c r="F19" s="697" t="str">
        <f>IFERROR(__xludf.DUMMYFUNCTION("""COMPUTED_VALUE"""),"Doxycycline &amp; Ivermectin")</f>
        <v>Doxycycline &amp; Ivermectin</v>
      </c>
      <c r="G19" s="697" t="str">
        <f>IFERROR(__xludf.DUMMYFUNCTION("""COMPUTED_VALUE"""),"200 mg  + .150 μg/kg")</f>
        <v>200 mg  + .150 μg/kg</v>
      </c>
      <c r="H19" s="697">
        <f>IFERROR(__xludf.DUMMYFUNCTION("""COMPUTED_VALUE"""),28.0)</f>
        <v>28</v>
      </c>
      <c r="I19" s="706">
        <f>IFERROR(__xludf.DUMMYFUNCTION("""COMPUTED_VALUE"""),0.8)</f>
        <v>0.8</v>
      </c>
      <c r="J19" s="697"/>
      <c r="K19" s="697"/>
      <c r="L19" s="697">
        <f>IFERROR(__xludf.DUMMYFUNCTION("""COMPUTED_VALUE"""),18.0)</f>
        <v>18</v>
      </c>
      <c r="M19" s="697" t="str">
        <f>IFERROR(__xludf.DUMMYFUNCTION("""COMPUTED_VALUE"""),"18-60")</f>
        <v>18-60</v>
      </c>
      <c r="N19" s="862" t="str">
        <f>IFERROR(__xludf.DUMMYFUNCTION("""COMPUTED_VALUE"""),"male")</f>
        <v>male</v>
      </c>
      <c r="O19" s="697" t="str">
        <f>IFERROR(__xludf.DUMMYFUNCTION("""COMPUTED_VALUE"""),"Excluded pregnant women, lactating mothers and children less than 9 years of age.")</f>
        <v>Excluded pregnant women, lactating mothers and children less than 9 years of age.</v>
      </c>
      <c r="P19" s="697" t="str">
        <f>IFERROR(__xludf.DUMMYFUNCTION("""COMPUTED_VALUE"""),"open trial")</f>
        <v>open trial</v>
      </c>
      <c r="Q19" s="697" t="str">
        <f>IFERROR(__xludf.DUMMYFUNCTION("""COMPUTED_VALUE"""),"No")</f>
        <v>No</v>
      </c>
      <c r="R19" s="697" t="str">
        <f>IFERROR(__xludf.DUMMYFUNCTION("""COMPUTED_VALUE"""),"No")</f>
        <v>No</v>
      </c>
      <c r="S19" s="697" t="str">
        <f>IFERROR(__xludf.DUMMYFUNCTION("""COMPUTED_VALUE"""),"24 months")</f>
        <v>24 months</v>
      </c>
      <c r="T19" s="697" t="str">
        <f>IFERROR(__xludf.DUMMYFUNCTION("""COMPUTED_VALUE"""),"A 4-week regimen of doxycycline seems sufficient to kill adult W. bancrofti and could be advantageous for the treatment of individual patients, e.g. in outpatient clinics.")</f>
        <v>A 4-week regimen of doxycycline seems sufficient to kill adult W. bancrofti and could be advantageous for the treatment of individual patients, e.g. in outpatient clinics.</v>
      </c>
      <c r="U19" s="697"/>
      <c r="V19" s="697">
        <f>IFERROR(__xludf.DUMMYFUNCTION("""COMPUTED_VALUE"""),2007.0)</f>
        <v>2007</v>
      </c>
      <c r="W19" s="697">
        <f>IFERROR(__xludf.DUMMYFUNCTION("""COMPUTED_VALUE"""),2007.0)</f>
        <v>2007</v>
      </c>
      <c r="X19" s="697" t="str">
        <f>IFERROR(__xludf.DUMMYFUNCTION("""COMPUTED_VALUE"""),"Debrah AY, Mand S, Marfo-Debrekyei Y, Batsa L, Pfarr K, Buttner M, et al. Macrofilaricidal effect of 4 weeks of treatment with doxycycline on Wuchereria bancrofti. Tropical Medicine &amp; International Health. Wiley-Blackwell; 2007 Dec 7;12(12):1433–41.")</f>
        <v>Debrah AY, Mand S, Marfo-Debrekyei Y, Batsa L, Pfarr K, Buttner M, et al. Macrofilaricidal effect of 4 weeks of treatment with doxycycline on Wuchereria bancrofti. Tropical Medicine &amp; International Health. Wiley-Blackwell; 2007 Dec 7;12(12):1433–41.</v>
      </c>
      <c r="Y19" s="697" t="str">
        <f>IFERROR(__xludf.DUMMYFUNCTION("""COMPUTED_VALUE"""),"10.1111/j.1365-3156.2007.01949.x")</f>
        <v>10.1111/j.1365-3156.2007.01949.x</v>
      </c>
      <c r="Z19" s="865" t="str">
        <f>IFERROR(__xludf.DUMMYFUNCTION("""COMPUTED_VALUE"""),"https://drive.google.com/file/d/0B0-pry4DSOm3dFhweEtUZEdpTlE/view?usp=sharing")</f>
        <v>https://drive.google.com/file/d/0B0-pry4DSOm3dFhweEtUZEdpTlE/view?usp=sharing</v>
      </c>
      <c r="AA19" s="697" t="str">
        <f>IFERROR(__xludf.DUMMYFUNCTION("""COMPUTED_VALUE"""),"x")</f>
        <v>x</v>
      </c>
    </row>
    <row r="20">
      <c r="A20" s="697" t="str">
        <f>IFERROR(__xludf.DUMMYFUNCTION("""COMPUTED_VALUE"""),"Debrah, 2007")</f>
        <v>Debrah, 2007</v>
      </c>
      <c r="B20" s="697" t="str">
        <f>IFERROR(__xludf.DUMMYFUNCTION("""COMPUTED_VALUE"""),"Chungsoo")</f>
        <v>Chungsoo</v>
      </c>
      <c r="C20" s="697" t="str">
        <f>IFERROR(__xludf.DUMMYFUNCTION("""COMPUTED_VALUE"""),"Ross")</f>
        <v>Ross</v>
      </c>
      <c r="D20" s="697" t="str">
        <f>IFERROR(__xludf.DUMMYFUNCTION("""COMPUTED_VALUE"""),"Ghana")</f>
        <v>Ghana</v>
      </c>
      <c r="E20" s="697" t="str">
        <f>IFERROR(__xludf.DUMMYFUNCTION("""COMPUTED_VALUE"""),"W. bancrofti")</f>
        <v>W. bancrofti</v>
      </c>
      <c r="F20" s="697" t="str">
        <f>IFERROR(__xludf.DUMMYFUNCTION("""COMPUTED_VALUE"""),"Ivermectin")</f>
        <v>Ivermectin</v>
      </c>
      <c r="G20" s="697" t="str">
        <f>IFERROR(__xludf.DUMMYFUNCTION("""COMPUTED_VALUE"""),".150 mg/kg ")</f>
        <v>.150 mg/kg </v>
      </c>
      <c r="H20" s="697">
        <f>IFERROR(__xludf.DUMMYFUNCTION("""COMPUTED_VALUE"""),1.0)</f>
        <v>1</v>
      </c>
      <c r="I20" s="706">
        <f>IFERROR(__xludf.DUMMYFUNCTION("""COMPUTED_VALUE"""),0.23)</f>
        <v>0.23</v>
      </c>
      <c r="J20" s="697"/>
      <c r="K20" s="697"/>
      <c r="L20" s="697">
        <f>IFERROR(__xludf.DUMMYFUNCTION("""COMPUTED_VALUE"""),7.0)</f>
        <v>7</v>
      </c>
      <c r="M20" s="697" t="str">
        <f>IFERROR(__xludf.DUMMYFUNCTION("""COMPUTED_VALUE"""),"18-60")</f>
        <v>18-60</v>
      </c>
      <c r="N20" s="862" t="str">
        <f>IFERROR(__xludf.DUMMYFUNCTION("""COMPUTED_VALUE"""),"male")</f>
        <v>male</v>
      </c>
      <c r="O20" s="697" t="str">
        <f>IFERROR(__xludf.DUMMYFUNCTION("""COMPUTED_VALUE"""),"Excluded pregnant women, lactating mothers and children less than 9 years of age.")</f>
        <v>Excluded pregnant women, lactating mothers and children less than 9 years of age.</v>
      </c>
      <c r="P20" s="697" t="str">
        <f>IFERROR(__xludf.DUMMYFUNCTION("""COMPUTED_VALUE"""),"open trial")</f>
        <v>open trial</v>
      </c>
      <c r="Q20" s="697" t="str">
        <f>IFERROR(__xludf.DUMMYFUNCTION("""COMPUTED_VALUE"""),"No")</f>
        <v>No</v>
      </c>
      <c r="R20" s="697" t="str">
        <f>IFERROR(__xludf.DUMMYFUNCTION("""COMPUTED_VALUE"""),"No")</f>
        <v>No</v>
      </c>
      <c r="S20" s="697" t="str">
        <f>IFERROR(__xludf.DUMMYFUNCTION("""COMPUTED_VALUE"""),"24 months")</f>
        <v>24 months</v>
      </c>
      <c r="T20" s="697" t="str">
        <f>IFERROR(__xludf.DUMMYFUNCTION("""COMPUTED_VALUE"""),"A 4-week regimen of doxycycline seems sufficient to kill adult W. bancrofti and could be advantageous for the treatment of individual patients, e.g. in outpatient clinics.")</f>
        <v>A 4-week regimen of doxycycline seems sufficient to kill adult W. bancrofti and could be advantageous for the treatment of individual patients, e.g. in outpatient clinics.</v>
      </c>
      <c r="U20" s="697"/>
      <c r="V20" s="697">
        <f>IFERROR(__xludf.DUMMYFUNCTION("""COMPUTED_VALUE"""),2007.0)</f>
        <v>2007</v>
      </c>
      <c r="W20" s="697">
        <f>IFERROR(__xludf.DUMMYFUNCTION("""COMPUTED_VALUE"""),2007.0)</f>
        <v>2007</v>
      </c>
      <c r="X20" s="697" t="str">
        <f>IFERROR(__xludf.DUMMYFUNCTION("""COMPUTED_VALUE"""),"Debrah AY, Mand S, Marfo-Debrekyei Y, Batsa L, Pfarr K, Buttner M, et al. Macrofilaricidal effect of 4 weeks of treatment with doxycycline on Wuchereria bancrofti. Tropical Medicine &amp; International Health. Wiley-Blackwell; 2007 Dec 7;12(12):1433–41.")</f>
        <v>Debrah AY, Mand S, Marfo-Debrekyei Y, Batsa L, Pfarr K, Buttner M, et al. Macrofilaricidal effect of 4 weeks of treatment with doxycycline on Wuchereria bancrofti. Tropical Medicine &amp; International Health. Wiley-Blackwell; 2007 Dec 7;12(12):1433–41.</v>
      </c>
      <c r="Y20" s="697" t="str">
        <f>IFERROR(__xludf.DUMMYFUNCTION("""COMPUTED_VALUE"""),"10.1111/j.1365-3156.2007.01949.x")</f>
        <v>10.1111/j.1365-3156.2007.01949.x</v>
      </c>
      <c r="Z20" s="865" t="str">
        <f>IFERROR(__xludf.DUMMYFUNCTION("""COMPUTED_VALUE"""),"https://drive.google.com/file/d/0B0-pry4DSOm3dFhweEtUZEdpTlE/view?usp=sharing")</f>
        <v>https://drive.google.com/file/d/0B0-pry4DSOm3dFhweEtUZEdpTlE/view?usp=sharing</v>
      </c>
      <c r="AA20" s="697" t="str">
        <f>IFERROR(__xludf.DUMMYFUNCTION("""COMPUTED_VALUE"""),"x")</f>
        <v>x</v>
      </c>
    </row>
    <row r="21">
      <c r="A21" s="697" t="str">
        <f>IFERROR(__xludf.DUMMYFUNCTION("""COMPUTED_VALUE"""),"Dreyer 1996")</f>
        <v>Dreyer 1996</v>
      </c>
      <c r="B21" s="697" t="str">
        <f>IFERROR(__xludf.DUMMYFUNCTION("""COMPUTED_VALUE"""),"Chungsoo")</f>
        <v>Chungsoo</v>
      </c>
      <c r="C21" s="697" t="str">
        <f>IFERROR(__xludf.DUMMYFUNCTION("""COMPUTED_VALUE"""),"Ross")</f>
        <v>Ross</v>
      </c>
      <c r="D21" s="697" t="str">
        <f>IFERROR(__xludf.DUMMYFUNCTION("""COMPUTED_VALUE"""),"Brazil")</f>
        <v>Brazil</v>
      </c>
      <c r="E21" s="697" t="str">
        <f>IFERROR(__xludf.DUMMYFUNCTION("""COMPUTED_VALUE"""),"W. bancrofti")</f>
        <v>W. bancrofti</v>
      </c>
      <c r="F21" s="697" t="str">
        <f>IFERROR(__xludf.DUMMYFUNCTION("""COMPUTED_VALUE"""),"Ivermectin")</f>
        <v>Ivermectin</v>
      </c>
      <c r="G21" s="697" t="str">
        <f>IFERROR(__xludf.DUMMYFUNCTION("""COMPUTED_VALUE"""),".400 mg/kg")</f>
        <v>.400 mg/kg</v>
      </c>
      <c r="H21" s="697">
        <f>IFERROR(__xludf.DUMMYFUNCTION("""COMPUTED_VALUE"""),12.0)</f>
        <v>12</v>
      </c>
      <c r="I21" s="706">
        <f>IFERROR(__xludf.DUMMYFUNCTION("""COMPUTED_VALUE"""),0.38)</f>
        <v>0.38</v>
      </c>
      <c r="J21" s="697"/>
      <c r="K21" s="697"/>
      <c r="L21" s="697">
        <f>IFERROR(__xludf.DUMMYFUNCTION("""COMPUTED_VALUE"""),15.0)</f>
        <v>15</v>
      </c>
      <c r="M21" s="10" t="str">
        <f>IFERROR(__xludf.DUMMYFUNCTION("""COMPUTED_VALUE"""),"20-49")</f>
        <v>20-49</v>
      </c>
      <c r="N21" s="862" t="str">
        <f>IFERROR(__xludf.DUMMYFUNCTION("""COMPUTED_VALUE"""),"male")</f>
        <v>male</v>
      </c>
      <c r="O21" s="697" t="str">
        <f>IFERROR(__xludf.DUMMYFUNCTION("""COMPUTED_VALUE"""),"Men who had been treated previously for filarial infection with DEC or ivermectin were excluded from the study, as were the participants of our previous study of single high-dose ivermectin")</f>
        <v>Men who had been treated previously for filarial infection with DEC or ivermectin were excluded from the study, as were the participants of our previous study of single high-dose ivermectin</v>
      </c>
      <c r="P21" s="697" t="str">
        <f>IFERROR(__xludf.DUMMYFUNCTION("""COMPUTED_VALUE"""),"single blind")</f>
        <v>single blind</v>
      </c>
      <c r="Q21" s="697" t="str">
        <f>IFERROR(__xludf.DUMMYFUNCTION("""COMPUTED_VALUE"""),"Yes")</f>
        <v>Yes</v>
      </c>
      <c r="R21" s="697" t="str">
        <f>IFERROR(__xludf.DUMMYFUNCTION("""COMPUTED_VALUE"""),"No")</f>
        <v>No</v>
      </c>
      <c r="S21" s="697" t="str">
        <f>IFERROR(__xludf.DUMMYFUNCTION("""COMPUTED_VALUE"""),"6 months")</f>
        <v>6 months</v>
      </c>
      <c r="T21" s="697" t="str">
        <f>IFERROR(__xludf.DUMMYFUNCTION("""COMPUTED_VALUE"""),"ivermectin appears to have no observable activity against adult W. bancrofti, although its ability to suppress microfilaraemia makes it potentially useful for the control of lymphatic filariasis.")</f>
        <v>ivermectin appears to have no observable activity against adult W. bancrofti, although its ability to suppress microfilaraemia makes it potentially useful for the control of lymphatic filariasis.</v>
      </c>
      <c r="U21" s="697" t="str">
        <f>IFERROR(__xludf.DUMMYFUNCTION("""COMPUTED_VALUE"""),"In all men, filaria dance signs were observed in the scrotal area; 9 were unilateral (5 on the right, 4 on the left); 6 bilateral.")</f>
        <v>In all men, filaria dance signs were observed in the scrotal area; 9 were unilateral (5 on the right, 4 on the left); 6 bilateral.</v>
      </c>
      <c r="V21" s="697">
        <f>IFERROR(__xludf.DUMMYFUNCTION("""COMPUTED_VALUE"""),1996.0)</f>
        <v>1996</v>
      </c>
      <c r="W21" s="697">
        <f>IFERROR(__xludf.DUMMYFUNCTION("""COMPUTED_VALUE"""),1996.0)</f>
        <v>1996</v>
      </c>
      <c r="X21" s="697" t="str">
        <f>IFERROR(__xludf.DUMMYFUNCTION("""COMPUTED_VALUE"""),"Dreyer G, Addiss D, Noroes J, Amaral F, Rocha A, Coutinho A. Ultrasonographic assessment of the adulticidal efficacy of repeat high-dose ivermectin in bancroftian filariasis. Tropical Medicine &amp; International Health. Wiley-Blackwell; 1996 Aug;1(4):427–32.")</f>
        <v>Dreyer G, Addiss D, Noroes J, Amaral F, Rocha A, Coutinho A. Ultrasonographic assessment of the adulticidal efficacy of repeat high-dose ivermectin in bancroftian filariasis. Tropical Medicine &amp; International Health. Wiley-Blackwell; 1996 Aug;1(4):427–32.</v>
      </c>
      <c r="Y21" s="697" t="str">
        <f>IFERROR(__xludf.DUMMYFUNCTION("""COMPUTED_VALUE"""),"10.1046/j.1365-3156.1996.d01-79.x")</f>
        <v>10.1046/j.1365-3156.1996.d01-79.x</v>
      </c>
      <c r="Z21" s="865" t="str">
        <f>IFERROR(__xludf.DUMMYFUNCTION("""COMPUTED_VALUE"""),"https://drive.google.com/file/d/0B-yoIBO7tf7FSVlvZ0k4TURHV00/view?usp=sharing")</f>
        <v>https://drive.google.com/file/d/0B-yoIBO7tf7FSVlvZ0k4TURHV00/view?usp=sharing</v>
      </c>
      <c r="AA21" s="697"/>
    </row>
    <row r="22">
      <c r="A22" s="697" t="str">
        <f>IFERROR(__xludf.DUMMYFUNCTION("""COMPUTED_VALUE"""),"Dreyer 1998")</f>
        <v>Dreyer 1998</v>
      </c>
      <c r="B22" s="697" t="str">
        <f>IFERROR(__xludf.DUMMYFUNCTION("""COMPUTED_VALUE"""),"Chungsoo")</f>
        <v>Chungsoo</v>
      </c>
      <c r="C22" s="697" t="str">
        <f>IFERROR(__xludf.DUMMYFUNCTION("""COMPUTED_VALUE"""),"Ross")</f>
        <v>Ross</v>
      </c>
      <c r="D22" s="697" t="str">
        <f>IFERROR(__xludf.DUMMYFUNCTION("""COMPUTED_VALUE"""),"Brazil")</f>
        <v>Brazil</v>
      </c>
      <c r="E22" s="697" t="str">
        <f>IFERROR(__xludf.DUMMYFUNCTION("""COMPUTED_VALUE"""),"W. bancrofti")</f>
        <v>W. bancrofti</v>
      </c>
      <c r="F22" s="697" t="str">
        <f>IFERROR(__xludf.DUMMYFUNCTION("""COMPUTED_VALUE"""),"DEC &amp; Ivermectin")</f>
        <v>DEC &amp; Ivermectin</v>
      </c>
      <c r="G22" s="697" t="str">
        <f>IFERROR(__xludf.DUMMYFUNCTION("""COMPUTED_VALUE"""),".400 mg/kg + 6 mg/kg")</f>
        <v>.400 mg/kg + 6 mg/kg</v>
      </c>
      <c r="H22" s="697">
        <f>IFERROR(__xludf.DUMMYFUNCTION("""COMPUTED_VALUE"""),1.0)</f>
        <v>1</v>
      </c>
      <c r="I22" s="706">
        <f>IFERROR(__xludf.DUMMYFUNCTION("""COMPUTED_VALUE"""),1.0)</f>
        <v>1</v>
      </c>
      <c r="J22" s="706">
        <f>IFERROR(__xludf.DUMMYFUNCTION("""COMPUTED_VALUE"""),0.8)</f>
        <v>0.8</v>
      </c>
      <c r="K22" s="697"/>
      <c r="L22" s="697">
        <f>IFERROR(__xludf.DUMMYFUNCTION("""COMPUTED_VALUE"""),10.0)</f>
        <v>10</v>
      </c>
      <c r="M22" s="10" t="str">
        <f>IFERROR(__xludf.DUMMYFUNCTION("""COMPUTED_VALUE"""),"18-26")</f>
        <v>18-26</v>
      </c>
      <c r="N22" s="862" t="str">
        <f>IFERROR(__xludf.DUMMYFUNCTION("""COMPUTED_VALUE"""),"male")</f>
        <v>male</v>
      </c>
      <c r="O22" s="697" t="str">
        <f>IFERROR(__xludf.DUMMYFUNCTION("""COMPUTED_VALUE"""),"Men who had symptoms of lvmnhatic filariasis. had evidence of hvdrocele or lymphbedema of the genitalia, had been treated previously with DEC or ivermectin, or had no living adult W. bancrofti detected in the were excluded from the study. ")</f>
        <v>Men who had symptoms of lvmnhatic filariasis. had evidence of hvdrocele or lymphbedema of the genitalia, had been treated previously with DEC or ivermectin, or had no living adult W. bancrofti detected in the were excluded from the study. </v>
      </c>
      <c r="P22" s="697" t="str">
        <f>IFERROR(__xludf.DUMMYFUNCTION("""COMPUTED_VALUE"""),"single blind")</f>
        <v>single blind</v>
      </c>
      <c r="Q22" s="697" t="str">
        <f>IFERROR(__xludf.DUMMYFUNCTION("""COMPUTED_VALUE"""),"Yes")</f>
        <v>Yes</v>
      </c>
      <c r="R22" s="697" t="str">
        <f>IFERROR(__xludf.DUMMYFUNCTION("""COMPUTED_VALUE"""),"Yes")</f>
        <v>Yes</v>
      </c>
      <c r="S22" s="697" t="str">
        <f>IFERROR(__xludf.DUMMYFUNCTION("""COMPUTED_VALUE"""),"12 months")</f>
        <v>12 months</v>
      </c>
      <c r="T22" s="697" t="str">
        <f>IFERROR(__xludf.DUMMYFUNCTION("""COMPUTED_VALUE"""),"Thus, co-administration of ivermectin with DEC seems to interfere with the macrofilaricidal action of DEC.")</f>
        <v>Thus, co-administration of ivermectin with DEC seems to interfere with the macrofilaricidal action of DEC.</v>
      </c>
      <c r="U22" s="697" t="str">
        <f>IFERROR(__xludf.DUMMYFUNCTION("""COMPUTED_VALUE"""),"The 3 treatment groups did not differ significantly in age(mean=215 years), number of adult worm nests(mean= 1*6), or pretreatment microfilarial density (geometric mean = 135/mL), although tended to be higher in group 2 (Table). ")</f>
        <v>The 3 treatment groups did not differ significantly in age(mean=215 years), number of adult worm nests(mean= 1*6), or pretreatment microfilarial density (geometric mean = 135/mL), although tended to be higher in group 2 (Table). </v>
      </c>
      <c r="V22" s="697">
        <f>IFERROR(__xludf.DUMMYFUNCTION("""COMPUTED_VALUE"""),1998.0)</f>
        <v>1998</v>
      </c>
      <c r="W22" s="697">
        <f>IFERROR(__xludf.DUMMYFUNCTION("""COMPUTED_VALUE"""),1998.0)</f>
        <v>1998</v>
      </c>
      <c r="X22" s="697" t="str">
        <f>IFERROR(__xludf.DUMMYFUNCTION("""COMPUTED_VALUE"""),"Dreyer G, Addiss D, Santos A, Figueredo-Silva J, Norões J. Direct assessment in vivo of the efficacy of combined single-dose ivermectin and diethylcarbamazine against adult Wuchereria bancrofti. Transactions of the Royal Society of Tropical Medicine and H"&amp;"ygiene. Oxford University Press (OUP); 1998 Mar;92(2):219–22. ")</f>
        <v>Dreyer G, Addiss D, Santos A, Figueredo-Silva J, Norões J. Direct assessment in vivo of the efficacy of combined single-dose ivermectin and diethylcarbamazine against adult Wuchereria bancrofti. Transactions of the Royal Society of Tropical Medicine and Hygiene. Oxford University Press (OUP); 1998 Mar;92(2):219–22. </v>
      </c>
      <c r="Y22" s="697" t="str">
        <f>IFERROR(__xludf.DUMMYFUNCTION("""COMPUTED_VALUE"""),"10.1016/S0035-9203(98)90754-4")</f>
        <v>10.1016/S0035-9203(98)90754-4</v>
      </c>
      <c r="Z22" s="865" t="str">
        <f>IFERROR(__xludf.DUMMYFUNCTION("""COMPUTED_VALUE"""),"https://drive.google.com/file/d/0B9vYgR7NsKoYWjZFLWoycW5OX0U/view?usp=sharing")</f>
        <v>https://drive.google.com/file/d/0B9vYgR7NsKoYWjZFLWoycW5OX0U/view?usp=sharing</v>
      </c>
      <c r="AA22" s="697"/>
    </row>
    <row r="23">
      <c r="A23" s="697" t="str">
        <f>IFERROR(__xludf.DUMMYFUNCTION("""COMPUTED_VALUE"""),"Dreyer 1998")</f>
        <v>Dreyer 1998</v>
      </c>
      <c r="B23" s="697" t="str">
        <f>IFERROR(__xludf.DUMMYFUNCTION("""COMPUTED_VALUE"""),"Chungsoo")</f>
        <v>Chungsoo</v>
      </c>
      <c r="C23" s="697" t="str">
        <f>IFERROR(__xludf.DUMMYFUNCTION("""COMPUTED_VALUE"""),"Ross")</f>
        <v>Ross</v>
      </c>
      <c r="D23" s="697" t="str">
        <f>IFERROR(__xludf.DUMMYFUNCTION("""COMPUTED_VALUE"""),"Brazil")</f>
        <v>Brazil</v>
      </c>
      <c r="E23" s="697" t="str">
        <f>IFERROR(__xludf.DUMMYFUNCTION("""COMPUTED_VALUE"""),"W. bancrofti")</f>
        <v>W. bancrofti</v>
      </c>
      <c r="F23" s="697" t="str">
        <f>IFERROR(__xludf.DUMMYFUNCTION("""COMPUTED_VALUE"""),"DEC &amp; Ivermectin")</f>
        <v>DEC &amp; Ivermectin</v>
      </c>
      <c r="G23" s="697" t="str">
        <f>IFERROR(__xludf.DUMMYFUNCTION("""COMPUTED_VALUE"""),".200 mg/kg + 6 mg/kg ")</f>
        <v>.200 mg/kg + 6 mg/kg </v>
      </c>
      <c r="H23" s="697">
        <f>IFERROR(__xludf.DUMMYFUNCTION("""COMPUTED_VALUE"""),1.0)</f>
        <v>1</v>
      </c>
      <c r="I23" s="706">
        <f>IFERROR(__xludf.DUMMYFUNCTION("""COMPUTED_VALUE"""),0.91)</f>
        <v>0.91</v>
      </c>
      <c r="J23" s="706">
        <f>IFERROR(__xludf.DUMMYFUNCTION("""COMPUTED_VALUE"""),0.73)</f>
        <v>0.73</v>
      </c>
      <c r="K23" s="697"/>
      <c r="L23" s="697">
        <f>IFERROR(__xludf.DUMMYFUNCTION("""COMPUTED_VALUE"""),11.0)</f>
        <v>11</v>
      </c>
      <c r="M23" s="10" t="str">
        <f>IFERROR(__xludf.DUMMYFUNCTION("""COMPUTED_VALUE"""),"19-33")</f>
        <v>19-33</v>
      </c>
      <c r="N23" s="862" t="str">
        <f>IFERROR(__xludf.DUMMYFUNCTION("""COMPUTED_VALUE"""),"male")</f>
        <v>male</v>
      </c>
      <c r="O23" s="697" t="str">
        <f>IFERROR(__xludf.DUMMYFUNCTION("""COMPUTED_VALUE"""),"Men who had symptoms of lvmnhatic filariasis. had evidence of hvdrocele or lymphbedema of the genitalia, had been treated previously with DEC or ivermectin, or had no living adult W. bancrofti detected in the were excluded from the study. ")</f>
        <v>Men who had symptoms of lvmnhatic filariasis. had evidence of hvdrocele or lymphbedema of the genitalia, had been treated previously with DEC or ivermectin, or had no living adult W. bancrofti detected in the were excluded from the study. </v>
      </c>
      <c r="P23" s="697" t="str">
        <f>IFERROR(__xludf.DUMMYFUNCTION("""COMPUTED_VALUE"""),"single blind")</f>
        <v>single blind</v>
      </c>
      <c r="Q23" s="697" t="str">
        <f>IFERROR(__xludf.DUMMYFUNCTION("""COMPUTED_VALUE"""),"Yes")</f>
        <v>Yes</v>
      </c>
      <c r="R23" s="697" t="str">
        <f>IFERROR(__xludf.DUMMYFUNCTION("""COMPUTED_VALUE"""),"Yes")</f>
        <v>Yes</v>
      </c>
      <c r="S23" s="697" t="str">
        <f>IFERROR(__xludf.DUMMYFUNCTION("""COMPUTED_VALUE"""),"12 months")</f>
        <v>12 months</v>
      </c>
      <c r="T23" s="697" t="str">
        <f>IFERROR(__xludf.DUMMYFUNCTION("""COMPUTED_VALUE"""),"Thus, co-administration of ivermectin with DEC seems to interfere with the macrofilaricidal action of DEC.")</f>
        <v>Thus, co-administration of ivermectin with DEC seems to interfere with the macrofilaricidal action of DEC.</v>
      </c>
      <c r="U23" s="697" t="str">
        <f>IFERROR(__xludf.DUMMYFUNCTION("""COMPUTED_VALUE"""),"The 3 treatment groups did not differ significantly in age(mean=215 years), number of adult worm nests(mean= 1*6), or pretreatment microfilarial density (geometric mean = 135/mL), although tended to be higher in group 2 (Table). ")</f>
        <v>The 3 treatment groups did not differ significantly in age(mean=215 years), number of adult worm nests(mean= 1*6), or pretreatment microfilarial density (geometric mean = 135/mL), although tended to be higher in group 2 (Table). </v>
      </c>
      <c r="V23" s="697">
        <f>IFERROR(__xludf.DUMMYFUNCTION("""COMPUTED_VALUE"""),1998.0)</f>
        <v>1998</v>
      </c>
      <c r="W23" s="697">
        <f>IFERROR(__xludf.DUMMYFUNCTION("""COMPUTED_VALUE"""),1998.0)</f>
        <v>1998</v>
      </c>
      <c r="X23" s="697" t="str">
        <f>IFERROR(__xludf.DUMMYFUNCTION("""COMPUTED_VALUE"""),"Dreyer G, Addiss D, Santos A, Figueredo-Silva J, Norões J. Direct assessment in vivo of the efficacy of combined single-dose ivermectin and diethylcarbamazine against adult Wuchereria bancrofti. Transactions of the Royal Society of Tropical Medicine and H"&amp;"ygiene. Oxford University Press (OUP); 1998 Mar;92(2):219–22. ")</f>
        <v>Dreyer G, Addiss D, Santos A, Figueredo-Silva J, Norões J. Direct assessment in vivo of the efficacy of combined single-dose ivermectin and diethylcarbamazine against adult Wuchereria bancrofti. Transactions of the Royal Society of Tropical Medicine and Hygiene. Oxford University Press (OUP); 1998 Mar;92(2):219–22. </v>
      </c>
      <c r="Y23" s="697" t="str">
        <f>IFERROR(__xludf.DUMMYFUNCTION("""COMPUTED_VALUE"""),"10.1016/S0035-9203(98)90754-4")</f>
        <v>10.1016/S0035-9203(98)90754-4</v>
      </c>
      <c r="Z23" s="865" t="str">
        <f>IFERROR(__xludf.DUMMYFUNCTION("""COMPUTED_VALUE"""),"https://drive.google.com/file/d/0B9vYgR7NsKoYWjZFLWoycW5OX0U/view?usp=sharing")</f>
        <v>https://drive.google.com/file/d/0B9vYgR7NsKoYWjZFLWoycW5OX0U/view?usp=sharing</v>
      </c>
      <c r="AA23" s="697"/>
    </row>
    <row r="24">
      <c r="A24" s="697" t="str">
        <f>IFERROR(__xludf.DUMMYFUNCTION("""COMPUTED_VALUE"""),"Dreyer 1998")</f>
        <v>Dreyer 1998</v>
      </c>
      <c r="B24" s="697" t="str">
        <f>IFERROR(__xludf.DUMMYFUNCTION("""COMPUTED_VALUE"""),"Chungsoo")</f>
        <v>Chungsoo</v>
      </c>
      <c r="C24" s="697" t="str">
        <f>IFERROR(__xludf.DUMMYFUNCTION("""COMPUTED_VALUE"""),"Ross")</f>
        <v>Ross</v>
      </c>
      <c r="D24" s="697" t="str">
        <f>IFERROR(__xludf.DUMMYFUNCTION("""COMPUTED_VALUE"""),"Brazil")</f>
        <v>Brazil</v>
      </c>
      <c r="E24" s="697" t="str">
        <f>IFERROR(__xludf.DUMMYFUNCTION("""COMPUTED_VALUE"""),"W. bancrofti")</f>
        <v>W. bancrofti</v>
      </c>
      <c r="F24" s="697" t="str">
        <f>IFERROR(__xludf.DUMMYFUNCTION("""COMPUTED_VALUE"""),"DEC &amp; Ivermectin")</f>
        <v>DEC &amp; Ivermectin</v>
      </c>
      <c r="G24" s="697" t="str">
        <f>IFERROR(__xludf.DUMMYFUNCTION("""COMPUTED_VALUE"""),".200 mg/kg  + 6 mg/kg ")</f>
        <v>.200 mg/kg  + 6 mg/kg </v>
      </c>
      <c r="H24" s="697">
        <f>IFERROR(__xludf.DUMMYFUNCTION("""COMPUTED_VALUE"""),1.0)</f>
        <v>1</v>
      </c>
      <c r="I24" s="706">
        <f>IFERROR(__xludf.DUMMYFUNCTION("""COMPUTED_VALUE"""),1.0)</f>
        <v>1</v>
      </c>
      <c r="J24" s="706">
        <f>IFERROR(__xludf.DUMMYFUNCTION("""COMPUTED_VALUE"""),0.2)</f>
        <v>0.2</v>
      </c>
      <c r="K24" s="697"/>
      <c r="L24" s="697">
        <f>IFERROR(__xludf.DUMMYFUNCTION("""COMPUTED_VALUE"""),10.0)</f>
        <v>10</v>
      </c>
      <c r="M24" s="10" t="str">
        <f>IFERROR(__xludf.DUMMYFUNCTION("""COMPUTED_VALUE"""),"18-23")</f>
        <v>18-23</v>
      </c>
      <c r="N24" s="862" t="str">
        <f>IFERROR(__xludf.DUMMYFUNCTION("""COMPUTED_VALUE"""),"male")</f>
        <v>male</v>
      </c>
      <c r="O24" s="697" t="str">
        <f>IFERROR(__xludf.DUMMYFUNCTION("""COMPUTED_VALUE"""),"Men who had symptoms of lvmnhatic filariasis. had evidence of hvdrocele or lymphbedema of the genitalia, had been treated previously with DEC or ivermectin, or had no living adult W. bancrofti detected in the were excluded from the study. ")</f>
        <v>Men who had symptoms of lvmnhatic filariasis. had evidence of hvdrocele or lymphbedema of the genitalia, had been treated previously with DEC or ivermectin, or had no living adult W. bancrofti detected in the were excluded from the study. </v>
      </c>
      <c r="P24" s="697" t="str">
        <f>IFERROR(__xludf.DUMMYFUNCTION("""COMPUTED_VALUE"""),"single blind")</f>
        <v>single blind</v>
      </c>
      <c r="Q24" s="697" t="str">
        <f>IFERROR(__xludf.DUMMYFUNCTION("""COMPUTED_VALUE"""),"Yes")</f>
        <v>Yes</v>
      </c>
      <c r="R24" s="697" t="str">
        <f>IFERROR(__xludf.DUMMYFUNCTION("""COMPUTED_VALUE"""),"Yes")</f>
        <v>Yes</v>
      </c>
      <c r="S24" s="697" t="str">
        <f>IFERROR(__xludf.DUMMYFUNCTION("""COMPUTED_VALUE"""),"12 months")</f>
        <v>12 months</v>
      </c>
      <c r="T24" s="697" t="str">
        <f>IFERROR(__xludf.DUMMYFUNCTION("""COMPUTED_VALUE"""),"Thus, co-administration of ivermectin with DEC seems to interfere with the macrofilaricidal action of DEC.")</f>
        <v>Thus, co-administration of ivermectin with DEC seems to interfere with the macrofilaricidal action of DEC.</v>
      </c>
      <c r="U24" s="697" t="str">
        <f>IFERROR(__xludf.DUMMYFUNCTION("""COMPUTED_VALUE"""),"The 3 treatment groups did not differ significantly in age(mean=215 years), number of adult worm nests(mean= 1*6), or pretreatment microfilarial density (geometric mean = 135/mL), although tended to be higher in group 2 (Table). ")</f>
        <v>The 3 treatment groups did not differ significantly in age(mean=215 years), number of adult worm nests(mean= 1*6), or pretreatment microfilarial density (geometric mean = 135/mL), although tended to be higher in group 2 (Table). </v>
      </c>
      <c r="V24" s="697">
        <f>IFERROR(__xludf.DUMMYFUNCTION("""COMPUTED_VALUE"""),1998.0)</f>
        <v>1998</v>
      </c>
      <c r="W24" s="697">
        <f>IFERROR(__xludf.DUMMYFUNCTION("""COMPUTED_VALUE"""),1998.0)</f>
        <v>1998</v>
      </c>
      <c r="X24" s="697" t="str">
        <f>IFERROR(__xludf.DUMMYFUNCTION("""COMPUTED_VALUE"""),"Dreyer G, Addiss D, Santos A, Figueredo-Silva J, Norões J. Direct assessment in vivo of the efficacy of combined single-dose ivermectin and diethylcarbamazine against adult Wuchereria bancrofti. Transactions of the Royal Society of Tropical Medicine and H"&amp;"ygiene. Oxford University Press (OUP); 1998 Mar;92(2):219–22. ")</f>
        <v>Dreyer G, Addiss D, Santos A, Figueredo-Silva J, Norões J. Direct assessment in vivo of the efficacy of combined single-dose ivermectin and diethylcarbamazine against adult Wuchereria bancrofti. Transactions of the Royal Society of Tropical Medicine and Hygiene. Oxford University Press (OUP); 1998 Mar;92(2):219–22. </v>
      </c>
      <c r="Y24" s="697" t="str">
        <f>IFERROR(__xludf.DUMMYFUNCTION("""COMPUTED_VALUE"""),"10.1016/S0035-9203(98)90754-4")</f>
        <v>10.1016/S0035-9203(98)90754-4</v>
      </c>
      <c r="Z24" s="865" t="str">
        <f>IFERROR(__xludf.DUMMYFUNCTION("""COMPUTED_VALUE"""),"https://drive.google.com/file/d/0B9vYgR7NsKoYWjZFLWoycW5OX0U/view?usp=sharing")</f>
        <v>https://drive.google.com/file/d/0B9vYgR7NsKoYWjZFLWoycW5OX0U/view?usp=sharing</v>
      </c>
      <c r="AA24" s="697"/>
    </row>
    <row r="25">
      <c r="A25" s="697" t="str">
        <f>IFERROR(__xludf.DUMMYFUNCTION("""COMPUTED_VALUE"""),"Dreyer, 1995")</f>
        <v>Dreyer, 1995</v>
      </c>
      <c r="B25" s="697" t="str">
        <f>IFERROR(__xludf.DUMMYFUNCTION("""COMPUTED_VALUE"""),"Chungsoo")</f>
        <v>Chungsoo</v>
      </c>
      <c r="C25" s="697" t="str">
        <f>IFERROR(__xludf.DUMMYFUNCTION("""COMPUTED_VALUE"""),"Ross")</f>
        <v>Ross</v>
      </c>
      <c r="D25" s="697" t="str">
        <f>IFERROR(__xludf.DUMMYFUNCTION("""COMPUTED_VALUE"""),"Brazil")</f>
        <v>Brazil</v>
      </c>
      <c r="E25" s="697" t="str">
        <f>IFERROR(__xludf.DUMMYFUNCTION("""COMPUTED_VALUE"""),"W. bancrofti")</f>
        <v>W. bancrofti</v>
      </c>
      <c r="F25" s="697" t="str">
        <f>IFERROR(__xludf.DUMMYFUNCTION("""COMPUTED_VALUE"""),"Ivermectin")</f>
        <v>Ivermectin</v>
      </c>
      <c r="G25" s="697" t="str">
        <f>IFERROR(__xludf.DUMMYFUNCTION("""COMPUTED_VALUE"""),".220 mg/kg")</f>
        <v>.220 mg/kg</v>
      </c>
      <c r="H25" s="697">
        <f>IFERROR(__xludf.DUMMYFUNCTION("""COMPUTED_VALUE"""),2.0)</f>
        <v>2</v>
      </c>
      <c r="I25" s="706">
        <f>IFERROR(__xludf.DUMMYFUNCTION("""COMPUTED_VALUE"""),0.734)</f>
        <v>0.734</v>
      </c>
      <c r="J25" s="697"/>
      <c r="K25" s="697"/>
      <c r="L25" s="697">
        <f>IFERROR(__xludf.DUMMYFUNCTION("""COMPUTED_VALUE"""),11.0)</f>
        <v>11</v>
      </c>
      <c r="M25" s="697" t="str">
        <f>IFERROR(__xludf.DUMMYFUNCTION("""COMPUTED_VALUE"""),"18-44")</f>
        <v>18-44</v>
      </c>
      <c r="N25" s="862" t="str">
        <f>IFERROR(__xludf.DUMMYFUNCTION("""COMPUTED_VALUE"""),"male")</f>
        <v>male</v>
      </c>
      <c r="O25" s="697" t="str">
        <f>IFERROR(__xludf.DUMMYFUNCTION("""COMPUTED_VALUE"""),"Patients taking the combination of ivermectin and were excluded from this analysis.")</f>
        <v>Patients taking the combination of ivermectin and were excluded from this analysis.</v>
      </c>
      <c r="P25" s="697" t="str">
        <f>IFERROR(__xludf.DUMMYFUNCTION("""COMPUTED_VALUE"""),"double-blind trial")</f>
        <v>double-blind trial</v>
      </c>
      <c r="Q25" s="697" t="str">
        <f>IFERROR(__xludf.DUMMYFUNCTION("""COMPUTED_VALUE"""),"Yes")</f>
        <v>Yes</v>
      </c>
      <c r="R25" s="697" t="str">
        <f>IFERROR(__xludf.DUMMYFUNCTION("""COMPUTED_VALUE"""),"Yes")</f>
        <v>Yes</v>
      </c>
      <c r="S25" s="697" t="str">
        <f>IFERROR(__xludf.DUMMYFUNCTION("""COMPUTED_VALUE"""),"2 years")</f>
        <v>2 years</v>
      </c>
      <c r="T25" s="697" t="str">
        <f>IFERROR(__xludf.DUMMYFUNCTION("""COMPUTED_VALUE"""),"Most effective was the combination of ivermectin (20 micrograms/kg) followed 4 d later by DEC (6 mg/kg), with reduction of microfilaraemia to 2.4% of pretreatment levels at 2 years.")</f>
        <v>Most effective was the combination of ivermectin (20 micrograms/kg) followed 4 d later by DEC (6 mg/kg), with reduction of microfilaraemia to 2.4% of pretreatment levels at 2 years.</v>
      </c>
      <c r="U25" s="697" t="str">
        <f>IFERROR(__xludf.DUMMYFUNCTION("""COMPUTED_VALUE"""),"Requires calculation of %reduction from %of pretreatment level data")</f>
        <v>Requires calculation of %reduction from %of pretreatment level data</v>
      </c>
      <c r="V25" s="697">
        <f>IFERROR(__xludf.DUMMYFUNCTION("""COMPUTED_VALUE"""),1995.0)</f>
        <v>1995</v>
      </c>
      <c r="W25" s="697">
        <f>IFERROR(__xludf.DUMMYFUNCTION("""COMPUTED_VALUE"""),1995.0)</f>
        <v>1995</v>
      </c>
      <c r="X25" s="697" t="str">
        <f>IFERROR(__xludf.DUMMYFUNCTION("""COMPUTED_VALUE"""),"Dreyer G, Coutinho A, Miranda D, Noroes J, Rizzo JA, Galdino E, et al. Treatment of bancroftian filariasis in Recife, Brazil: a two-year comparative study of the efficacy of single treatments with ivermectin or diethylcarbamazine. Transactions of the Roya"&amp;"l Society of Tropical Medicine and Hygiene. Oxford University Press (OUP); 1995 Jan;89(1):98–102.")</f>
        <v>Dreyer G, Coutinho A, Miranda D, Noroes J, Rizzo JA, Galdino E, et al. Treatment of bancroftian filariasis in Recife, Brazil: a two-year comparative study of the efficacy of single treatments with ivermectin or diethylcarbamazine. Transactions of the Royal Society of Tropical Medicine and Hygiene. Oxford University Press (OUP); 1995 Jan;89(1):98–102.</v>
      </c>
      <c r="Y25" s="697" t="str">
        <f>IFERROR(__xludf.DUMMYFUNCTION("""COMPUTED_VALUE"""),"10.1016/0035-9203(95)90674-6")</f>
        <v>10.1016/0035-9203(95)90674-6</v>
      </c>
      <c r="Z25" s="865" t="str">
        <f>IFERROR(__xludf.DUMMYFUNCTION("""COMPUTED_VALUE"""),"https://drive.google.com/file/d/0B0-pry4DSOm3SHNZVTZKQVY3SGs/view?usp=sharing")</f>
        <v>https://drive.google.com/file/d/0B0-pry4DSOm3SHNZVTZKQVY3SGs/view?usp=sharing</v>
      </c>
      <c r="AA25" s="697"/>
    </row>
    <row r="26">
      <c r="A26" s="697" t="str">
        <f>IFERROR(__xludf.DUMMYFUNCTION("""COMPUTED_VALUE"""),"Dreyer, 1995")</f>
        <v>Dreyer, 1995</v>
      </c>
      <c r="B26" s="697" t="str">
        <f>IFERROR(__xludf.DUMMYFUNCTION("""COMPUTED_VALUE"""),"Chungsoo")</f>
        <v>Chungsoo</v>
      </c>
      <c r="C26" s="697" t="str">
        <f>IFERROR(__xludf.DUMMYFUNCTION("""COMPUTED_VALUE"""),"Ross")</f>
        <v>Ross</v>
      </c>
      <c r="D26" s="697" t="str">
        <f>IFERROR(__xludf.DUMMYFUNCTION("""COMPUTED_VALUE"""),"Brazil")</f>
        <v>Brazil</v>
      </c>
      <c r="E26" s="697" t="str">
        <f>IFERROR(__xludf.DUMMYFUNCTION("""COMPUTED_VALUE"""),"W. bancrofti")</f>
        <v>W. bancrofti</v>
      </c>
      <c r="F26" s="697" t="str">
        <f>IFERROR(__xludf.DUMMYFUNCTION("""COMPUTED_VALUE"""),"DEC")</f>
        <v>DEC</v>
      </c>
      <c r="G26" s="697" t="str">
        <f>IFERROR(__xludf.DUMMYFUNCTION("""COMPUTED_VALUE"""),"6 mg/kg")</f>
        <v>6 mg/kg</v>
      </c>
      <c r="H26" s="697">
        <f>IFERROR(__xludf.DUMMYFUNCTION("""COMPUTED_VALUE"""),2.0)</f>
        <v>2</v>
      </c>
      <c r="I26" s="706">
        <f>IFERROR(__xludf.DUMMYFUNCTION("""COMPUTED_VALUE"""),0.918)</f>
        <v>0.918</v>
      </c>
      <c r="J26" s="697"/>
      <c r="K26" s="697"/>
      <c r="L26" s="697">
        <f>IFERROR(__xludf.DUMMYFUNCTION("""COMPUTED_VALUE"""),11.0)</f>
        <v>11</v>
      </c>
      <c r="M26" s="697" t="str">
        <f>IFERROR(__xludf.DUMMYFUNCTION("""COMPUTED_VALUE"""),"18-44")</f>
        <v>18-44</v>
      </c>
      <c r="N26" s="862" t="str">
        <f>IFERROR(__xludf.DUMMYFUNCTION("""COMPUTED_VALUE"""),"male")</f>
        <v>male</v>
      </c>
      <c r="O26" s="697" t="str">
        <f>IFERROR(__xludf.DUMMYFUNCTION("""COMPUTED_VALUE"""),"Patients taking the combination of ivermectin and were excluded from this analysis.")</f>
        <v>Patients taking the combination of ivermectin and were excluded from this analysis.</v>
      </c>
      <c r="P26" s="697" t="str">
        <f>IFERROR(__xludf.DUMMYFUNCTION("""COMPUTED_VALUE"""),"double-blind trial")</f>
        <v>double-blind trial</v>
      </c>
      <c r="Q26" s="697" t="str">
        <f>IFERROR(__xludf.DUMMYFUNCTION("""COMPUTED_VALUE"""),"Yes")</f>
        <v>Yes</v>
      </c>
      <c r="R26" s="697" t="str">
        <f>IFERROR(__xludf.DUMMYFUNCTION("""COMPUTED_VALUE"""),"Yes")</f>
        <v>Yes</v>
      </c>
      <c r="S26" s="697" t="str">
        <f>IFERROR(__xludf.DUMMYFUNCTION("""COMPUTED_VALUE"""),"2 years")</f>
        <v>2 years</v>
      </c>
      <c r="T26" s="697" t="str">
        <f>IFERROR(__xludf.DUMMYFUNCTION("""COMPUTED_VALUE"""),"Most effective was the combination of ivermectin (20 micrograms/kg) followed 4 d later by DEC (6 mg/kg), with reduction of microfilaraemia to 2.4% of pretreatment levels at 2 years.")</f>
        <v>Most effective was the combination of ivermectin (20 micrograms/kg) followed 4 d later by DEC (6 mg/kg), with reduction of microfilaraemia to 2.4% of pretreatment levels at 2 years.</v>
      </c>
      <c r="U26" s="697" t="str">
        <f>IFERROR(__xludf.DUMMYFUNCTION("""COMPUTED_VALUE"""),"Requires calculation of %reduction from %of pretreatment level data")</f>
        <v>Requires calculation of %reduction from %of pretreatment level data</v>
      </c>
      <c r="V26" s="697">
        <f>IFERROR(__xludf.DUMMYFUNCTION("""COMPUTED_VALUE"""),1995.0)</f>
        <v>1995</v>
      </c>
      <c r="W26" s="697">
        <f>IFERROR(__xludf.DUMMYFUNCTION("""COMPUTED_VALUE"""),1995.0)</f>
        <v>1995</v>
      </c>
      <c r="X26" s="697" t="str">
        <f>IFERROR(__xludf.DUMMYFUNCTION("""COMPUTED_VALUE"""),"Dreyer G, Coutinho A, Miranda D, Noroes J, Rizzo JA, Galdino E, et al. Treatment of bancroftian filariasis in Recife, Brazil: a two-year comparative study of the efficacy of single treatments with ivermectin or diethylcarbamazine. Transactions of the Roya"&amp;"l Society of Tropical Medicine and Hygiene. Oxford University Press (OUP); 1995 Jan;89(1):98–102.")</f>
        <v>Dreyer G, Coutinho A, Miranda D, Noroes J, Rizzo JA, Galdino E, et al. Treatment of bancroftian filariasis in Recife, Brazil: a two-year comparative study of the efficacy of single treatments with ivermectin or diethylcarbamazine. Transactions of the Royal Society of Tropical Medicine and Hygiene. Oxford University Press (OUP); 1995 Jan;89(1):98–102.</v>
      </c>
      <c r="Y26" s="697" t="str">
        <f>IFERROR(__xludf.DUMMYFUNCTION("""COMPUTED_VALUE"""),"10.1016/0035-9203(95)90674-6")</f>
        <v>10.1016/0035-9203(95)90674-6</v>
      </c>
      <c r="Z26" s="865" t="str">
        <f>IFERROR(__xludf.DUMMYFUNCTION("""COMPUTED_VALUE"""),"https://drive.google.com/file/d/0B0-pry4DSOm3SHNZVTZKQVY3SGs/view?usp=sharing")</f>
        <v>https://drive.google.com/file/d/0B0-pry4DSOm3SHNZVTZKQVY3SGs/view?usp=sharing</v>
      </c>
      <c r="AA26" s="697"/>
    </row>
    <row r="27">
      <c r="A27" s="697" t="str">
        <f>IFERROR(__xludf.DUMMYFUNCTION("""COMPUTED_VALUE"""),"Dreyer, 1995")</f>
        <v>Dreyer, 1995</v>
      </c>
      <c r="B27" s="697" t="str">
        <f>IFERROR(__xludf.DUMMYFUNCTION("""COMPUTED_VALUE"""),"Chungsoo")</f>
        <v>Chungsoo</v>
      </c>
      <c r="C27" s="697" t="str">
        <f>IFERROR(__xludf.DUMMYFUNCTION("""COMPUTED_VALUE"""),"Ross")</f>
        <v>Ross</v>
      </c>
      <c r="D27" s="697" t="str">
        <f>IFERROR(__xludf.DUMMYFUNCTION("""COMPUTED_VALUE"""),"Brazil")</f>
        <v>Brazil</v>
      </c>
      <c r="E27" s="697" t="str">
        <f>IFERROR(__xludf.DUMMYFUNCTION("""COMPUTED_VALUE"""),"W. bancrofti")</f>
        <v>W. bancrofti</v>
      </c>
      <c r="F27" s="697" t="str">
        <f>IFERROR(__xludf.DUMMYFUNCTION("""COMPUTED_VALUE"""),"DEC")</f>
        <v>DEC</v>
      </c>
      <c r="G27" s="697" t="str">
        <f>IFERROR(__xludf.DUMMYFUNCTION("""COMPUTED_VALUE"""),"1 mg/kg + DEC 6 mg/kg")</f>
        <v>1 mg/kg + DEC 6 mg/kg</v>
      </c>
      <c r="H27" s="697">
        <f>IFERROR(__xludf.DUMMYFUNCTION("""COMPUTED_VALUE"""),2.0)</f>
        <v>2</v>
      </c>
      <c r="I27" s="706">
        <f>IFERROR(__xludf.DUMMYFUNCTION("""COMPUTED_VALUE"""),0.943)</f>
        <v>0.943</v>
      </c>
      <c r="J27" s="697"/>
      <c r="K27" s="697"/>
      <c r="L27" s="697">
        <f>IFERROR(__xludf.DUMMYFUNCTION("""COMPUTED_VALUE"""),11.0)</f>
        <v>11</v>
      </c>
      <c r="M27" s="697" t="str">
        <f>IFERROR(__xludf.DUMMYFUNCTION("""COMPUTED_VALUE"""),"18-44")</f>
        <v>18-44</v>
      </c>
      <c r="N27" s="862" t="str">
        <f>IFERROR(__xludf.DUMMYFUNCTION("""COMPUTED_VALUE"""),"male")</f>
        <v>male</v>
      </c>
      <c r="O27" s="697" t="str">
        <f>IFERROR(__xludf.DUMMYFUNCTION("""COMPUTED_VALUE"""),"Patients taking the combination of ivermectin and were excluded from this analysis.")</f>
        <v>Patients taking the combination of ivermectin and were excluded from this analysis.</v>
      </c>
      <c r="P27" s="697" t="str">
        <f>IFERROR(__xludf.DUMMYFUNCTION("""COMPUTED_VALUE"""),"double-blind trial")</f>
        <v>double-blind trial</v>
      </c>
      <c r="Q27" s="697" t="str">
        <f>IFERROR(__xludf.DUMMYFUNCTION("""COMPUTED_VALUE"""),"Yes")</f>
        <v>Yes</v>
      </c>
      <c r="R27" s="697" t="str">
        <f>IFERROR(__xludf.DUMMYFUNCTION("""COMPUTED_VALUE"""),"Yes")</f>
        <v>Yes</v>
      </c>
      <c r="S27" s="697" t="str">
        <f>IFERROR(__xludf.DUMMYFUNCTION("""COMPUTED_VALUE"""),"2 years")</f>
        <v>2 years</v>
      </c>
      <c r="T27" s="697" t="str">
        <f>IFERROR(__xludf.DUMMYFUNCTION("""COMPUTED_VALUE"""),"Most effective was the combination of ivermectin (20 micrograms/kg) followed 4 d later by DEC (6 mg/kg), with reduction of microfilaraemia to 2.4% of pretreatment levels at 2 years.")</f>
        <v>Most effective was the combination of ivermectin (20 micrograms/kg) followed 4 d later by DEC (6 mg/kg), with reduction of microfilaraemia to 2.4% of pretreatment levels at 2 years.</v>
      </c>
      <c r="U27" s="697" t="str">
        <f>IFERROR(__xludf.DUMMYFUNCTION("""COMPUTED_VALUE"""),"Requires calculation of %reduction from %of pretreatment level data")</f>
        <v>Requires calculation of %reduction from %of pretreatment level data</v>
      </c>
      <c r="V27" s="697">
        <f>IFERROR(__xludf.DUMMYFUNCTION("""COMPUTED_VALUE"""),1995.0)</f>
        <v>1995</v>
      </c>
      <c r="W27" s="697">
        <f>IFERROR(__xludf.DUMMYFUNCTION("""COMPUTED_VALUE"""),1995.0)</f>
        <v>1995</v>
      </c>
      <c r="X27" s="697" t="str">
        <f>IFERROR(__xludf.DUMMYFUNCTION("""COMPUTED_VALUE"""),"Dreyer G, Coutinho A, Miranda D, Noroes J, Rizzo JA, Galdino E, et al. Treatment of bancroftian filariasis in Recife, Brazil: a two-year comparative study of the efficacy of single treatments with ivermectin or diethylcarbamazine. Transactions of the Roya"&amp;"l Society of Tropical Medicine and Hygiene. Oxford University Press (OUP); 1995 Jan;89(1):98–102.")</f>
        <v>Dreyer G, Coutinho A, Miranda D, Noroes J, Rizzo JA, Galdino E, et al. Treatment of bancroftian filariasis in Recife, Brazil: a two-year comparative study of the efficacy of single treatments with ivermectin or diethylcarbamazine. Transactions of the Royal Society of Tropical Medicine and Hygiene. Oxford University Press (OUP); 1995 Jan;89(1):98–102.</v>
      </c>
      <c r="Y27" s="697" t="str">
        <f>IFERROR(__xludf.DUMMYFUNCTION("""COMPUTED_VALUE"""),"10.1016/0035-9203(95)90674-6")</f>
        <v>10.1016/0035-9203(95)90674-6</v>
      </c>
      <c r="Z27" s="865" t="str">
        <f>IFERROR(__xludf.DUMMYFUNCTION("""COMPUTED_VALUE"""),"https://drive.google.com/file/d/0B0-pry4DSOm3SHNZVTZKQVY3SGs/view?usp=sharing")</f>
        <v>https://drive.google.com/file/d/0B0-pry4DSOm3SHNZVTZKQVY3SGs/view?usp=sharing</v>
      </c>
      <c r="AA27" s="697"/>
    </row>
    <row r="28">
      <c r="A28" s="697" t="str">
        <f>IFERROR(__xludf.DUMMYFUNCTION("""COMPUTED_VALUE"""),"Dreyer, 1995")</f>
        <v>Dreyer, 1995</v>
      </c>
      <c r="B28" s="697" t="str">
        <f>IFERROR(__xludf.DUMMYFUNCTION("""COMPUTED_VALUE"""),"Chungsoo")</f>
        <v>Chungsoo</v>
      </c>
      <c r="C28" s="697" t="str">
        <f>IFERROR(__xludf.DUMMYFUNCTION("""COMPUTED_VALUE"""),"Ross")</f>
        <v>Ross</v>
      </c>
      <c r="D28" s="697" t="str">
        <f>IFERROR(__xludf.DUMMYFUNCTION("""COMPUTED_VALUE"""),"Brazil")</f>
        <v>Brazil</v>
      </c>
      <c r="E28" s="697" t="str">
        <f>IFERROR(__xludf.DUMMYFUNCTION("""COMPUTED_VALUE"""),"W. bancrofti")</f>
        <v>W. bancrofti</v>
      </c>
      <c r="F28" s="697" t="str">
        <f>IFERROR(__xludf.DUMMYFUNCTION("""COMPUTED_VALUE"""),"Ivermectin")</f>
        <v>Ivermectin</v>
      </c>
      <c r="G28" s="697" t="str">
        <f>IFERROR(__xludf.DUMMYFUNCTION("""COMPUTED_VALUE"""),".02 mg/kg + .200 mg/kg")</f>
        <v>.02 mg/kg + .200 mg/kg</v>
      </c>
      <c r="H28" s="697">
        <f>IFERROR(__xludf.DUMMYFUNCTION("""COMPUTED_VALUE"""),2.0)</f>
        <v>2</v>
      </c>
      <c r="I28" s="706">
        <f>IFERROR(__xludf.DUMMYFUNCTION("""COMPUTED_VALUE"""),0.692)</f>
        <v>0.692</v>
      </c>
      <c r="J28" s="697"/>
      <c r="K28" s="697"/>
      <c r="L28" s="697">
        <f>IFERROR(__xludf.DUMMYFUNCTION("""COMPUTED_VALUE"""),11.0)</f>
        <v>11</v>
      </c>
      <c r="M28" s="697" t="str">
        <f>IFERROR(__xludf.DUMMYFUNCTION("""COMPUTED_VALUE"""),"18-44")</f>
        <v>18-44</v>
      </c>
      <c r="N28" s="862" t="str">
        <f>IFERROR(__xludf.DUMMYFUNCTION("""COMPUTED_VALUE"""),"male")</f>
        <v>male</v>
      </c>
      <c r="O28" s="697" t="str">
        <f>IFERROR(__xludf.DUMMYFUNCTION("""COMPUTED_VALUE"""),"Patients taking the combination of ivermectin and were excluded from this analysis.")</f>
        <v>Patients taking the combination of ivermectin and were excluded from this analysis.</v>
      </c>
      <c r="P28" s="697" t="str">
        <f>IFERROR(__xludf.DUMMYFUNCTION("""COMPUTED_VALUE"""),"double-blind trial")</f>
        <v>double-blind trial</v>
      </c>
      <c r="Q28" s="697" t="str">
        <f>IFERROR(__xludf.DUMMYFUNCTION("""COMPUTED_VALUE"""),"Yes")</f>
        <v>Yes</v>
      </c>
      <c r="R28" s="697" t="str">
        <f>IFERROR(__xludf.DUMMYFUNCTION("""COMPUTED_VALUE"""),"Yes")</f>
        <v>Yes</v>
      </c>
      <c r="S28" s="697" t="str">
        <f>IFERROR(__xludf.DUMMYFUNCTION("""COMPUTED_VALUE"""),"2 years")</f>
        <v>2 years</v>
      </c>
      <c r="T28" s="697" t="str">
        <f>IFERROR(__xludf.DUMMYFUNCTION("""COMPUTED_VALUE"""),"Most effective was the combination of ivermectin (20 micrograms/kg) followed 4 d later by DEC (6 mg/kg), with reduction of microfilaraemia to 2.4% of pretreatment levels at 2 years.")</f>
        <v>Most effective was the combination of ivermectin (20 micrograms/kg) followed 4 d later by DEC (6 mg/kg), with reduction of microfilaraemia to 2.4% of pretreatment levels at 2 years.</v>
      </c>
      <c r="U28" s="697" t="str">
        <f>IFERROR(__xludf.DUMMYFUNCTION("""COMPUTED_VALUE"""),"Requires calculation of %reduction from %of pretreatment level data")</f>
        <v>Requires calculation of %reduction from %of pretreatment level data</v>
      </c>
      <c r="V28" s="697">
        <f>IFERROR(__xludf.DUMMYFUNCTION("""COMPUTED_VALUE"""),1995.0)</f>
        <v>1995</v>
      </c>
      <c r="W28" s="697">
        <f>IFERROR(__xludf.DUMMYFUNCTION("""COMPUTED_VALUE"""),1995.0)</f>
        <v>1995</v>
      </c>
      <c r="X28" s="697" t="str">
        <f>IFERROR(__xludf.DUMMYFUNCTION("""COMPUTED_VALUE"""),"Dreyer G, Coutinho A, Miranda D, Noroes J, Rizzo JA, Galdino E, et al. Treatment of bancroftian filariasis in Recife, Brazil: a two-year comparative study of the efficacy of single treatments with ivermectin or diethylcarbamazine. Transactions of the Roya"&amp;"l Society of Tropical Medicine and Hygiene. Oxford University Press (OUP); 1995 Jan;89(1):98–102.")</f>
        <v>Dreyer G, Coutinho A, Miranda D, Noroes J, Rizzo JA, Galdino E, et al. Treatment of bancroftian filariasis in Recife, Brazil: a two-year comparative study of the efficacy of single treatments with ivermectin or diethylcarbamazine. Transactions of the Royal Society of Tropical Medicine and Hygiene. Oxford University Press (OUP); 1995 Jan;89(1):98–102.</v>
      </c>
      <c r="Y28" s="697" t="str">
        <f>IFERROR(__xludf.DUMMYFUNCTION("""COMPUTED_VALUE"""),"10.1016/0035-9203(95)90674-6")</f>
        <v>10.1016/0035-9203(95)90674-6</v>
      </c>
      <c r="Z28" s="865" t="str">
        <f>IFERROR(__xludf.DUMMYFUNCTION("""COMPUTED_VALUE"""),"https://drive.google.com/file/d/0B0-pry4DSOm3SHNZVTZKQVY3SGs/view?usp=sharing")</f>
        <v>https://drive.google.com/file/d/0B0-pry4DSOm3SHNZVTZKQVY3SGs/view?usp=sharing</v>
      </c>
      <c r="AA28" s="697"/>
    </row>
    <row r="29">
      <c r="A29" s="697" t="str">
        <f>IFERROR(__xludf.DUMMYFUNCTION("""COMPUTED_VALUE"""),"Dreyer, 1995")</f>
        <v>Dreyer, 1995</v>
      </c>
      <c r="B29" s="697" t="str">
        <f>IFERROR(__xludf.DUMMYFUNCTION("""COMPUTED_VALUE"""),"Chungsoo")</f>
        <v>Chungsoo</v>
      </c>
      <c r="C29" s="697" t="str">
        <f>IFERROR(__xludf.DUMMYFUNCTION("""COMPUTED_VALUE"""),"Ross")</f>
        <v>Ross</v>
      </c>
      <c r="D29" s="697" t="str">
        <f>IFERROR(__xludf.DUMMYFUNCTION("""COMPUTED_VALUE"""),"Brazil")</f>
        <v>Brazil</v>
      </c>
      <c r="E29" s="697" t="str">
        <f>IFERROR(__xludf.DUMMYFUNCTION("""COMPUTED_VALUE"""),"W. bancrofti")</f>
        <v>W. bancrofti</v>
      </c>
      <c r="F29" s="697" t="str">
        <f>IFERROR(__xludf.DUMMYFUNCTION("""COMPUTED_VALUE"""),"Ivermectin")</f>
        <v>Ivermectin</v>
      </c>
      <c r="G29" s="697" t="str">
        <f>IFERROR(__xludf.DUMMYFUNCTION("""COMPUTED_VALUE"""),".02 mg/kg + .400 mg/kg")</f>
        <v>.02 mg/kg + .400 mg/kg</v>
      </c>
      <c r="H29" s="697">
        <f>IFERROR(__xludf.DUMMYFUNCTION("""COMPUTED_VALUE"""),2.0)</f>
        <v>2</v>
      </c>
      <c r="I29" s="706">
        <f>IFERROR(__xludf.DUMMYFUNCTION("""COMPUTED_VALUE"""),0.863)</f>
        <v>0.863</v>
      </c>
      <c r="J29" s="697"/>
      <c r="K29" s="697"/>
      <c r="L29" s="697">
        <f>IFERROR(__xludf.DUMMYFUNCTION("""COMPUTED_VALUE"""),11.0)</f>
        <v>11</v>
      </c>
      <c r="M29" s="697" t="str">
        <f>IFERROR(__xludf.DUMMYFUNCTION("""COMPUTED_VALUE"""),"18-44")</f>
        <v>18-44</v>
      </c>
      <c r="N29" s="862" t="str">
        <f>IFERROR(__xludf.DUMMYFUNCTION("""COMPUTED_VALUE"""),"male")</f>
        <v>male</v>
      </c>
      <c r="O29" s="697" t="str">
        <f>IFERROR(__xludf.DUMMYFUNCTION("""COMPUTED_VALUE"""),"Patients taking the combination of ivermectin and were excluded from this analysis.")</f>
        <v>Patients taking the combination of ivermectin and were excluded from this analysis.</v>
      </c>
      <c r="P29" s="697" t="str">
        <f>IFERROR(__xludf.DUMMYFUNCTION("""COMPUTED_VALUE"""),"double-blind trial")</f>
        <v>double-blind trial</v>
      </c>
      <c r="Q29" s="697" t="str">
        <f>IFERROR(__xludf.DUMMYFUNCTION("""COMPUTED_VALUE"""),"Yes")</f>
        <v>Yes</v>
      </c>
      <c r="R29" s="697" t="str">
        <f>IFERROR(__xludf.DUMMYFUNCTION("""COMPUTED_VALUE"""),"Yes")</f>
        <v>Yes</v>
      </c>
      <c r="S29" s="697" t="str">
        <f>IFERROR(__xludf.DUMMYFUNCTION("""COMPUTED_VALUE"""),"2 years")</f>
        <v>2 years</v>
      </c>
      <c r="T29" s="697" t="str">
        <f>IFERROR(__xludf.DUMMYFUNCTION("""COMPUTED_VALUE"""),"Most effective was the combination of ivermectin (20 micrograms/kg) followed 4 d later by DEC (6 mg/kg), with reduction of microfilaraemia to 2.4% of pretreatment levels at 2 years.")</f>
        <v>Most effective was the combination of ivermectin (20 micrograms/kg) followed 4 d later by DEC (6 mg/kg), with reduction of microfilaraemia to 2.4% of pretreatment levels at 2 years.</v>
      </c>
      <c r="U29" s="697" t="str">
        <f>IFERROR(__xludf.DUMMYFUNCTION("""COMPUTED_VALUE"""),"Requires calculation of %reduction from %of pretreatment level data")</f>
        <v>Requires calculation of %reduction from %of pretreatment level data</v>
      </c>
      <c r="V29" s="697">
        <f>IFERROR(__xludf.DUMMYFUNCTION("""COMPUTED_VALUE"""),1995.0)</f>
        <v>1995</v>
      </c>
      <c r="W29" s="697">
        <f>IFERROR(__xludf.DUMMYFUNCTION("""COMPUTED_VALUE"""),1995.0)</f>
        <v>1995</v>
      </c>
      <c r="X29" s="697" t="str">
        <f>IFERROR(__xludf.DUMMYFUNCTION("""COMPUTED_VALUE"""),"Dreyer G, Coutinho A, Miranda D, Noroes J, Rizzo JA, Galdino E, et al. Treatment of bancroftian filariasis in Recife, Brazil: a two-year comparative study of the efficacy of single treatments with ivermectin or diethylcarbamazine. Transactions of the Roya"&amp;"l Society of Tropical Medicine and Hygiene. Oxford University Press (OUP); 1995 Jan;89(1):98–102.")</f>
        <v>Dreyer G, Coutinho A, Miranda D, Noroes J, Rizzo JA, Galdino E, et al. Treatment of bancroftian filariasis in Recife, Brazil: a two-year comparative study of the efficacy of single treatments with ivermectin or diethylcarbamazine. Transactions of the Royal Society of Tropical Medicine and Hygiene. Oxford University Press (OUP); 1995 Jan;89(1):98–102.</v>
      </c>
      <c r="Y29" s="697" t="str">
        <f>IFERROR(__xludf.DUMMYFUNCTION("""COMPUTED_VALUE"""),"10.1016/0035-9203(95)90674-6")</f>
        <v>10.1016/0035-9203(95)90674-6</v>
      </c>
      <c r="Z29" s="865" t="str">
        <f>IFERROR(__xludf.DUMMYFUNCTION("""COMPUTED_VALUE"""),"https://drive.google.com/file/d/0B0-pry4DSOm3SHNZVTZKQVY3SGs/view?usp=sharing")</f>
        <v>https://drive.google.com/file/d/0B0-pry4DSOm3SHNZVTZKQVY3SGs/view?usp=sharing</v>
      </c>
      <c r="AA29" s="697"/>
    </row>
    <row r="30">
      <c r="A30" s="697" t="str">
        <f>IFERROR(__xludf.DUMMYFUNCTION("""COMPUTED_VALUE"""),"Dreyer, 1995")</f>
        <v>Dreyer, 1995</v>
      </c>
      <c r="B30" s="697" t="str">
        <f>IFERROR(__xludf.DUMMYFUNCTION("""COMPUTED_VALUE"""),"Chungsoo")</f>
        <v>Chungsoo</v>
      </c>
      <c r="C30" s="697" t="str">
        <f>IFERROR(__xludf.DUMMYFUNCTION("""COMPUTED_VALUE"""),"Ross")</f>
        <v>Ross</v>
      </c>
      <c r="D30" s="697" t="str">
        <f>IFERROR(__xludf.DUMMYFUNCTION("""COMPUTED_VALUE"""),"Brazil")</f>
        <v>Brazil</v>
      </c>
      <c r="E30" s="697" t="str">
        <f>IFERROR(__xludf.DUMMYFUNCTION("""COMPUTED_VALUE"""),"W. bancrofti")</f>
        <v>W. bancrofti</v>
      </c>
      <c r="F30" s="697" t="str">
        <f>IFERROR(__xludf.DUMMYFUNCTION("""COMPUTED_VALUE"""),"DEC &amp; Ivermectin")</f>
        <v>DEC &amp; Ivermectin</v>
      </c>
      <c r="G30" s="697" t="str">
        <f>IFERROR(__xludf.DUMMYFUNCTION("""COMPUTED_VALUE"""),".02 mg/kg + 6 mg/kg")</f>
        <v>.02 mg/kg + 6 mg/kg</v>
      </c>
      <c r="H30" s="697">
        <f>IFERROR(__xludf.DUMMYFUNCTION("""COMPUTED_VALUE"""),2.0)</f>
        <v>2</v>
      </c>
      <c r="I30" s="706">
        <f>IFERROR(__xludf.DUMMYFUNCTION("""COMPUTED_VALUE"""),0.943)</f>
        <v>0.943</v>
      </c>
      <c r="J30" s="697"/>
      <c r="K30" s="697"/>
      <c r="L30" s="697">
        <f>IFERROR(__xludf.DUMMYFUNCTION("""COMPUTED_VALUE"""),12.0)</f>
        <v>12</v>
      </c>
      <c r="M30" s="697" t="str">
        <f>IFERROR(__xludf.DUMMYFUNCTION("""COMPUTED_VALUE"""),"18-44")</f>
        <v>18-44</v>
      </c>
      <c r="N30" s="862" t="str">
        <f>IFERROR(__xludf.DUMMYFUNCTION("""COMPUTED_VALUE"""),"male")</f>
        <v>male</v>
      </c>
      <c r="O30" s="697" t="str">
        <f>IFERROR(__xludf.DUMMYFUNCTION("""COMPUTED_VALUE"""),"Patients taking the combination of ivermectin and were excluded from this analysis.")</f>
        <v>Patients taking the combination of ivermectin and were excluded from this analysis.</v>
      </c>
      <c r="P30" s="697" t="str">
        <f>IFERROR(__xludf.DUMMYFUNCTION("""COMPUTED_VALUE"""),"double-blind trial")</f>
        <v>double-blind trial</v>
      </c>
      <c r="Q30" s="697" t="str">
        <f>IFERROR(__xludf.DUMMYFUNCTION("""COMPUTED_VALUE"""),"Yes")</f>
        <v>Yes</v>
      </c>
      <c r="R30" s="697" t="str">
        <f>IFERROR(__xludf.DUMMYFUNCTION("""COMPUTED_VALUE"""),"Yes")</f>
        <v>Yes</v>
      </c>
      <c r="S30" s="697" t="str">
        <f>IFERROR(__xludf.DUMMYFUNCTION("""COMPUTED_VALUE"""),"2 years")</f>
        <v>2 years</v>
      </c>
      <c r="T30" s="697" t="str">
        <f>IFERROR(__xludf.DUMMYFUNCTION("""COMPUTED_VALUE"""),"Most effective was the combination of ivermectin (20 micrograms/kg) followed 4 d later by DEC (6 mg/kg), with reduction of microfilaraemia to 2.4% of pretreatment levels at 2 years.")</f>
        <v>Most effective was the combination of ivermectin (20 micrograms/kg) followed 4 d later by DEC (6 mg/kg), with reduction of microfilaraemia to 2.4% of pretreatment levels at 2 years.</v>
      </c>
      <c r="U30" s="697" t="str">
        <f>IFERROR(__xludf.DUMMYFUNCTION("""COMPUTED_VALUE"""),"Requires calculation of %reduction from %of pretreatment level data")</f>
        <v>Requires calculation of %reduction from %of pretreatment level data</v>
      </c>
      <c r="V30" s="697">
        <f>IFERROR(__xludf.DUMMYFUNCTION("""COMPUTED_VALUE"""),1995.0)</f>
        <v>1995</v>
      </c>
      <c r="W30" s="697">
        <f>IFERROR(__xludf.DUMMYFUNCTION("""COMPUTED_VALUE"""),1995.0)</f>
        <v>1995</v>
      </c>
      <c r="X30" s="697" t="str">
        <f>IFERROR(__xludf.DUMMYFUNCTION("""COMPUTED_VALUE"""),"Dreyer G, Coutinho A, Miranda D, Noroes J, Rizzo JA, Galdino E, et al. Treatment of bancroftian filariasis in Recife, Brazil: a two-year comparative study of the efficacy of single treatments with ivermectin or diethylcarbamazine. Transactions of the Roya"&amp;"l Society of Tropical Medicine and Hygiene. Oxford University Press (OUP); 1995 Jan;89(1):98–102.")</f>
        <v>Dreyer G, Coutinho A, Miranda D, Noroes J, Rizzo JA, Galdino E, et al. Treatment of bancroftian filariasis in Recife, Brazil: a two-year comparative study of the efficacy of single treatments with ivermectin or diethylcarbamazine. Transactions of the Royal Society of Tropical Medicine and Hygiene. Oxford University Press (OUP); 1995 Jan;89(1):98–102.</v>
      </c>
      <c r="Y30" s="697" t="str">
        <f>IFERROR(__xludf.DUMMYFUNCTION("""COMPUTED_VALUE"""),"10.1016/0035-9203(95)90674-6")</f>
        <v>10.1016/0035-9203(95)90674-6</v>
      </c>
      <c r="Z30" s="865" t="str">
        <f>IFERROR(__xludf.DUMMYFUNCTION("""COMPUTED_VALUE"""),"https://drive.google.com/file/d/0B0-pry4DSOm3SHNZVTZKQVY3SGs/view?usp=sharing")</f>
        <v>https://drive.google.com/file/d/0B0-pry4DSOm3SHNZVTZKQVY3SGs/view?usp=sharing</v>
      </c>
      <c r="AA30" s="697"/>
    </row>
    <row r="31">
      <c r="A31" s="697" t="str">
        <f>IFERROR(__xludf.DUMMYFUNCTION("""COMPUTED_VALUE"""),"Dreyer, 2006")</f>
        <v>Dreyer, 2006</v>
      </c>
      <c r="B31" s="697"/>
      <c r="C31" s="697" t="str">
        <f>IFERROR(__xludf.DUMMYFUNCTION("""COMPUTED_VALUE"""),"Alex")</f>
        <v>Alex</v>
      </c>
      <c r="D31" s="697" t="str">
        <f>IFERROR(__xludf.DUMMYFUNCTION("""COMPUTED_VALUE"""),"Brazil")</f>
        <v>Brazil</v>
      </c>
      <c r="E31" s="697" t="str">
        <f>IFERROR(__xludf.DUMMYFUNCTION("""COMPUTED_VALUE"""),"w. bancrofti")</f>
        <v>w. bancrofti</v>
      </c>
      <c r="F31" s="697" t="str">
        <f>IFERROR(__xludf.DUMMYFUNCTION("""COMPUTED_VALUE"""),"DEC")</f>
        <v>DEC</v>
      </c>
      <c r="G31" s="697" t="str">
        <f>IFERROR(__xludf.DUMMYFUNCTION("""COMPUTED_VALUE"""),"6 mg/kg")</f>
        <v>6 mg/kg</v>
      </c>
      <c r="H31" s="697">
        <f>IFERROR(__xludf.DUMMYFUNCTION("""COMPUTED_VALUE"""),1.0)</f>
        <v>1</v>
      </c>
      <c r="I31" s="706">
        <f>IFERROR(__xludf.DUMMYFUNCTION("""COMPUTED_VALUE"""),0.853)</f>
        <v>0.853</v>
      </c>
      <c r="J31" s="698">
        <f>IFERROR(__xludf.DUMMYFUNCTION("""COMPUTED_VALUE"""),0.583)</f>
        <v>0.583</v>
      </c>
      <c r="K31" s="697"/>
      <c r="L31" s="697">
        <f>IFERROR(__xludf.DUMMYFUNCTION("""COMPUTED_VALUE"""),25.0)</f>
        <v>25</v>
      </c>
      <c r="M31" s="10" t="str">
        <f>IFERROR(__xludf.DUMMYFUNCTION("""COMPUTED_VALUE"""),"18+")</f>
        <v>18+</v>
      </c>
      <c r="N31" s="862" t="str">
        <f>IFERROR(__xludf.DUMMYFUNCTION("""COMPUTED_VALUE"""),"male")</f>
        <v>male</v>
      </c>
      <c r="O31" s="697" t="str">
        <f>IFERROR(__xludf.DUMMYFUNCTION("""COMPUTED_VALUE"""),"(1) were at least 18 years of age; (2) had reproducibility of the FDS confirmed by two independent investigators on three separate occasions (several days apart) before treatment; (3) had no hydro- cele or genital lymphoedema; (4) had never been treated f"&amp;"or filarial infection with DEC or ivermectin; (5) received no anthelminthic drugs during the follow-up period; and (6) adhered to the follow-up schedule for physical and ultra- sound examinations.")</f>
        <v>(1) were at least 18 years of age; (2) had reproducibility of the FDS confirmed by two independent investigators on three separate occasions (several days apart) before treatment; (3) had no hydro- cele or genital lymphoedema; (4) had never been treated for filarial infection with DEC or ivermectin; (5) received no anthelminthic drugs during the follow-up period; and (6) adhered to the follow-up schedule for physical and ultra- sound examinations.</v>
      </c>
      <c r="P31" s="697" t="str">
        <f>IFERROR(__xludf.DUMMYFUNCTION("""COMPUTED_VALUE"""),"blinded, randomised treatment groups")</f>
        <v>blinded, randomised treatment groups</v>
      </c>
      <c r="Q31" s="697" t="str">
        <f>IFERROR(__xludf.DUMMYFUNCTION("""COMPUTED_VALUE"""),"Yes")</f>
        <v>Yes</v>
      </c>
      <c r="R31" s="697" t="str">
        <f>IFERROR(__xludf.DUMMYFUNCTION("""COMPUTED_VALUE"""),"Yes")</f>
        <v>Yes</v>
      </c>
      <c r="S31" s="697" t="str">
        <f>IFERROR(__xludf.DUMMYFUNCTION("""COMPUTED_VALUE"""),"1 week, 1 month, 1 year")</f>
        <v>1 week, 1 month, 1 year</v>
      </c>
      <c r="T31" s="697" t="str">
        <f>IFERROR(__xludf.DUMMYFUNCTION("""COMPUTED_VALUE"""),"The results of this study do not indicate that coadministration of albendazole with DEC would be less effective than DEC alone in interrupting transmission. At the programme level, many factors other than macrofilaricidal efficacy, such as the depth and d"&amp;"uration of microfilarial suppression, the fecundity of the remaining adult worms, the mosquito vector species and the potential for greater acceptance and higher coverage of mass drug treatment resulting from drug effectiveness against intestinal worms, w"&amp;"ill likely play important roles")</f>
        <v>The results of this study do not indicate that coadministration of albendazole with DEC would be less effective than DEC alone in interrupting transmission. At the programme level, many factors other than macrofilaricidal efficacy, such as the depth and duration of microfilarial suppression, the fecundity of the remaining adult worms, the mosquito vector species and the potential for greater acceptance and higher coverage of mass drug treatment resulting from drug effectiveness against intestinal worms, will likely play important roles</v>
      </c>
      <c r="U31" s="697"/>
      <c r="V31" s="697">
        <f>IFERROR(__xludf.DUMMYFUNCTION("""COMPUTED_VALUE"""),2006.0)</f>
        <v>2006</v>
      </c>
      <c r="W31" s="697">
        <f>IFERROR(__xludf.DUMMYFUNCTION("""COMPUTED_VALUE"""),2006.0)</f>
        <v>2006</v>
      </c>
      <c r="X31" s="697" t="str">
        <f>IFERROR(__xludf.DUMMYFUNCTION("""COMPUTED_VALUE"""),"Gerusa Dreyer, David Addiss, John Williamson, Joaquim Nor ̃oes. Efficacy of co administered diethylcarbamazine and albendazole against adult Wuchereria bancrofti. Transactions of the Royal Society of Tropical Medicine and Hygiene (2006) 100, 111 —1125.")</f>
        <v>Gerusa Dreyer, David Addiss, John Williamson, Joaquim Nor ̃oes. Efficacy of co administered diethylcarbamazine and albendazole against adult Wuchereria bancrofti. Transactions of the Royal Society of Tropical Medicine and Hygiene (2006) 100, 111 —1125.</v>
      </c>
      <c r="Y31" s="697" t="str">
        <f>IFERROR(__xludf.DUMMYFUNCTION("""COMPUTED_VALUE"""),"doi:10.1016/j.trstmh.2006.04.006")</f>
        <v>doi:10.1016/j.trstmh.2006.04.006</v>
      </c>
      <c r="Z31" s="865" t="str">
        <f>IFERROR(__xludf.DUMMYFUNCTION("""COMPUTED_VALUE"""),"https://drive.google.com/file/d/0B4sJPAkX0Jo3dlM4dXp1UTRPT2c/view?usp=sharing")</f>
        <v>https://drive.google.com/file/d/0B4sJPAkX0Jo3dlM4dXp1UTRPT2c/view?usp=sharing</v>
      </c>
      <c r="AA31" s="697"/>
    </row>
    <row r="32">
      <c r="A32" s="697" t="str">
        <f>IFERROR(__xludf.DUMMYFUNCTION("""COMPUTED_VALUE"""),"Dreyer, 2006")</f>
        <v>Dreyer, 2006</v>
      </c>
      <c r="B32" s="697"/>
      <c r="C32" s="697" t="str">
        <f>IFERROR(__xludf.DUMMYFUNCTION("""COMPUTED_VALUE"""),"Alex")</f>
        <v>Alex</v>
      </c>
      <c r="D32" s="697" t="str">
        <f>IFERROR(__xludf.DUMMYFUNCTION("""COMPUTED_VALUE"""),"Brazil")</f>
        <v>Brazil</v>
      </c>
      <c r="E32" s="697" t="str">
        <f>IFERROR(__xludf.DUMMYFUNCTION("""COMPUTED_VALUE"""),"w. bancrofti")</f>
        <v>w. bancrofti</v>
      </c>
      <c r="F32" s="697" t="str">
        <f>IFERROR(__xludf.DUMMYFUNCTION("""COMPUTED_VALUE"""),"Albendazole &amp; DEC")</f>
        <v>Albendazole &amp; DEC</v>
      </c>
      <c r="G32" s="697" t="str">
        <f>IFERROR(__xludf.DUMMYFUNCTION("""COMPUTED_VALUE"""),"400 mg + 6 mg/kg")</f>
        <v>400 mg + 6 mg/kg</v>
      </c>
      <c r="H32" s="697">
        <f>IFERROR(__xludf.DUMMYFUNCTION("""COMPUTED_VALUE"""),1.0)</f>
        <v>1</v>
      </c>
      <c r="I32" s="706">
        <f>IFERROR(__xludf.DUMMYFUNCTION("""COMPUTED_VALUE"""),0.695)</f>
        <v>0.695</v>
      </c>
      <c r="J32" s="706">
        <f>IFERROR(__xludf.DUMMYFUNCTION("""COMPUTED_VALUE"""),0.579)</f>
        <v>0.579</v>
      </c>
      <c r="K32" s="697"/>
      <c r="L32" s="697">
        <f>IFERROR(__xludf.DUMMYFUNCTION("""COMPUTED_VALUE"""),22.0)</f>
        <v>22</v>
      </c>
      <c r="M32" s="10" t="str">
        <f>IFERROR(__xludf.DUMMYFUNCTION("""COMPUTED_VALUE"""),"18+")</f>
        <v>18+</v>
      </c>
      <c r="N32" s="862" t="str">
        <f>IFERROR(__xludf.DUMMYFUNCTION("""COMPUTED_VALUE"""),"male")</f>
        <v>male</v>
      </c>
      <c r="O32" s="697" t="str">
        <f>IFERROR(__xludf.DUMMYFUNCTION("""COMPUTED_VALUE"""),"(1) were at least 18 years of age; (2) had reproducibility of the FDS confirmed by two independent investigators on three separate occasions (several days apart) before treatment; (3) had no hydro- cele or genital lymphoedema; (4) had never been treated f"&amp;"or filarial infection with DEC or ivermectin; (5) received no anthelminthic drugs during the follow-up period; and (6) adhered to the follow-up schedule for physical and ultra- sound examinations.")</f>
        <v>(1) were at least 18 years of age; (2) had reproducibility of the FDS confirmed by two independent investigators on three separate occasions (several days apart) before treatment; (3) had no hydro- cele or genital lymphoedema; (4) had never been treated for filarial infection with DEC or ivermectin; (5) received no anthelminthic drugs during the follow-up period; and (6) adhered to the follow-up schedule for physical and ultra- sound examinations.</v>
      </c>
      <c r="P32" s="697" t="str">
        <f>IFERROR(__xludf.DUMMYFUNCTION("""COMPUTED_VALUE"""),"blinded, randomised treatment groups")</f>
        <v>blinded, randomised treatment groups</v>
      </c>
      <c r="Q32" s="697" t="str">
        <f>IFERROR(__xludf.DUMMYFUNCTION("""COMPUTED_VALUE"""),"Yes")</f>
        <v>Yes</v>
      </c>
      <c r="R32" s="697" t="str">
        <f>IFERROR(__xludf.DUMMYFUNCTION("""COMPUTED_VALUE"""),"Yes")</f>
        <v>Yes</v>
      </c>
      <c r="S32" s="697" t="str">
        <f>IFERROR(__xludf.DUMMYFUNCTION("""COMPUTED_VALUE"""),"2 week, 1 month, 1 year")</f>
        <v>2 week, 1 month, 1 year</v>
      </c>
      <c r="T32" s="697" t="str">
        <f>IFERROR(__xludf.DUMMYFUNCTION("""COMPUTED_VALUE"""),"The results of this study do not indicate that coadministration of albendazole with DEC would be less effective than DEC alone in interrupting transmission. At the programme level, many factors other than macrofilaricidal efficacy, such as the depth and d"&amp;"uration of microfilarial suppression, the fecundity of the remaining adult worms, the mosquito vector species and the potential for greater acceptance and higher coverage of mass drug treatment resulting from drug effectiveness against intestinal worms, w"&amp;"ill likely play important roles")</f>
        <v>The results of this study do not indicate that coadministration of albendazole with DEC would be less effective than DEC alone in interrupting transmission. At the programme level, many factors other than macrofilaricidal efficacy, such as the depth and duration of microfilarial suppression, the fecundity of the remaining adult worms, the mosquito vector species and the potential for greater acceptance and higher coverage of mass drug treatment resulting from drug effectiveness against intestinal worms, will likely play important roles</v>
      </c>
      <c r="U32" s="697"/>
      <c r="V32" s="697">
        <f>IFERROR(__xludf.DUMMYFUNCTION("""COMPUTED_VALUE"""),2006.0)</f>
        <v>2006</v>
      </c>
      <c r="W32" s="697">
        <f>IFERROR(__xludf.DUMMYFUNCTION("""COMPUTED_VALUE"""),2006.0)</f>
        <v>2006</v>
      </c>
      <c r="X32" s="697" t="str">
        <f>IFERROR(__xludf.DUMMYFUNCTION("""COMPUTED_VALUE"""),"Gerusa Dreyer, David Addiss, John Williamson, Joaquim Nor ̃oes. Efficacy of co administered diethylcarbamazine and albendazole against adult Wuchereria bancrofti. Transactions of the Royal Society of Tropical Medicine and Hygiene (2006) 100, 111 —1125.")</f>
        <v>Gerusa Dreyer, David Addiss, John Williamson, Joaquim Nor ̃oes. Efficacy of co administered diethylcarbamazine and albendazole against adult Wuchereria bancrofti. Transactions of the Royal Society of Tropical Medicine and Hygiene (2006) 100, 111 —1125.</v>
      </c>
      <c r="Y32" s="697" t="str">
        <f>IFERROR(__xludf.DUMMYFUNCTION("""COMPUTED_VALUE"""),"doi:10.1016/j.trstmh.2006.04.006")</f>
        <v>doi:10.1016/j.trstmh.2006.04.006</v>
      </c>
      <c r="Z32" s="865" t="str">
        <f>IFERROR(__xludf.DUMMYFUNCTION("""COMPUTED_VALUE"""),"https://drive.google.com/file/d/0B4sJPAkX0Jo3dlM4dXp1UTRPT2c/view?usp=sharing")</f>
        <v>https://drive.google.com/file/d/0B4sJPAkX0Jo3dlM4dXp1UTRPT2c/view?usp=sharing</v>
      </c>
      <c r="AA32" s="697"/>
    </row>
    <row r="33">
      <c r="A33" s="697" t="str">
        <f>IFERROR(__xludf.DUMMYFUNCTION("""COMPUTED_VALUE"""),"Dunyo S, 2000")</f>
        <v>Dunyo S, 2000</v>
      </c>
      <c r="B33" s="697"/>
      <c r="C33" s="697" t="str">
        <f>IFERROR(__xludf.DUMMYFUNCTION("""COMPUTED_VALUE"""),"Alex")</f>
        <v>Alex</v>
      </c>
      <c r="D33" s="697" t="str">
        <f>IFERROR(__xludf.DUMMYFUNCTION("""COMPUTED_VALUE"""),"Ghana")</f>
        <v>Ghana</v>
      </c>
      <c r="E33" s="697" t="str">
        <f>IFERROR(__xludf.DUMMYFUNCTION("""COMPUTED_VALUE"""),"W. bancrofti")</f>
        <v>W. bancrofti</v>
      </c>
      <c r="F33" s="697" t="str">
        <f>IFERROR(__xludf.DUMMYFUNCTION("""COMPUTED_VALUE"""),"Ivermectin")</f>
        <v>Ivermectin</v>
      </c>
      <c r="G33" s="697" t="str">
        <f>IFERROR(__xludf.DUMMYFUNCTION("""COMPUTED_VALUE"""),".150-.200 mg/ kg")</f>
        <v>.150-.200 mg/ kg</v>
      </c>
      <c r="H33" s="697">
        <f>IFERROR(__xludf.DUMMYFUNCTION("""COMPUTED_VALUE"""),1.0)</f>
        <v>1</v>
      </c>
      <c r="I33" s="706">
        <f>IFERROR(__xludf.DUMMYFUNCTION("""COMPUTED_VALUE"""),0.783)</f>
        <v>0.783</v>
      </c>
      <c r="J33" s="698">
        <f>IFERROR(__xludf.DUMMYFUNCTION("""COMPUTED_VALUE"""),0.127)</f>
        <v>0.127</v>
      </c>
      <c r="K33" s="697"/>
      <c r="L33" s="697">
        <f>IFERROR(__xludf.DUMMYFUNCTION("""COMPUTED_VALUE"""),55.0)</f>
        <v>55</v>
      </c>
      <c r="M33" s="697" t="str">
        <f>IFERROR(__xludf.DUMMYFUNCTION("""COMPUTED_VALUE"""),"6-87")</f>
        <v>6-87</v>
      </c>
      <c r="N33" s="862" t="str">
        <f>IFERROR(__xludf.DUMMYFUNCTION("""COMPUTED_VALUE"""),"19: 36")</f>
        <v>19: 36</v>
      </c>
      <c r="O33" s="697" t="str">
        <f>IFERROR(__xludf.DUMMYFUNCTION("""COMPUTED_VALUE"""),"Subjects microfilaria (mf)-positive before treatment, were randomized into 4 groups: albendazole alone: Subjects (350), ivermectin alone: Subjects (336) combination of albendazole and ivermectin: Subjects (370) or placebo: Subjects (350)")</f>
        <v>Subjects microfilaria (mf)-positive before treatment, were randomized into 4 groups: albendazole alone: Subjects (350), ivermectin alone: Subjects (336) combination of albendazole and ivermectin: Subjects (370) or placebo: Subjects (350)</v>
      </c>
      <c r="P33" s="697" t="str">
        <f>IFERROR(__xludf.DUMMYFUNCTION("""COMPUTED_VALUE"""),"double-blind, RCT")</f>
        <v>double-blind, RCT</v>
      </c>
      <c r="Q33" s="697" t="str">
        <f>IFERROR(__xludf.DUMMYFUNCTION("""COMPUTED_VALUE"""),"Yes")</f>
        <v>Yes</v>
      </c>
      <c r="R33" s="697" t="str">
        <f>IFERROR(__xludf.DUMMYFUNCTION("""COMPUTED_VALUE"""),"Yes")</f>
        <v>Yes</v>
      </c>
      <c r="S33" s="697" t="str">
        <f>IFERROR(__xludf.DUMMYFUNCTION("""COMPUTED_VALUE"""),"12 months")</f>
        <v>12 months</v>
      </c>
      <c r="T33" s="697" t="str">
        <f>IFERROR(__xludf.DUMMYFUNCTION("""COMPUTED_VALUE"""),"The different treatment regimens were well tolerated, and only few adverse reactions were observed. These were generally mild, transient and self-limiting (no severe reaction was recorded), and no statistically significant differences in frequency were ob"&amp;"served between the 4 treatment groups. Thus, as also seen in previous studies albendazole alone or its combination with ivermectin caused no increase in frequency or type of adverse reactions. However, reactions were more common in mf-positive than in mf-"&amp;"negative individuals in the ivermectin and the combination of ivermectin and albendazole groups.")</f>
        <v>The different treatment regimens were well tolerated, and only few adverse reactions were observed. These were generally mild, transient and self-limiting (no severe reaction was recorded), and no statistically significant differences in frequency were observed between the 4 treatment groups. Thus, as also seen in previous studies albendazole alone or its combination with ivermectin caused no increase in frequency or type of adverse reactions. However, reactions were more common in mf-positive than in mf-negative individuals in the ivermectin and the combination of ivermectin and albendazole groups.</v>
      </c>
      <c r="U33" s="697"/>
      <c r="V33" s="697">
        <f>IFERROR(__xludf.DUMMYFUNCTION("""COMPUTED_VALUE"""),1998.0)</f>
        <v>1998</v>
      </c>
      <c r="W33" s="697">
        <f>IFERROR(__xludf.DUMMYFUNCTION("""COMPUTED_VALUE"""),1998.0)</f>
        <v>1998</v>
      </c>
      <c r="X33" s="697" t="str">
        <f>IFERROR(__xludf.DUMMYFUNCTION("""COMPUTED_VALUE"""),"Dunyo SK, Nkrumah FK, Simonsen PE. A randomized double-blind placebo-controlled field trial of ivermectin and albendazole alone and in combination for the treatment of lymphatic filariasis in Ghana. Transactions of the Royal Society of Tropical Medicine a"&amp;"nd Hygiene. 2000;94(2):205–211.")</f>
        <v>Dunyo SK, Nkrumah FK, Simonsen PE. A randomized double-blind placebo-controlled field trial of ivermectin and albendazole alone and in combination for the treatment of lymphatic filariasis in Ghana. Transactions of the Royal Society of Tropical Medicine and Hygiene. 2000;94(2):205–211.</v>
      </c>
      <c r="Y33" s="697"/>
      <c r="Z33" s="865" t="str">
        <f>IFERROR(__xludf.DUMMYFUNCTION("""COMPUTED_VALUE"""),"https://drive.google.com/file/d/0B95WhYooraDebWRkSzRrdlV1cFk/view?usp=sharing")</f>
        <v>https://drive.google.com/file/d/0B95WhYooraDebWRkSzRrdlV1cFk/view?usp=sharing</v>
      </c>
      <c r="AA33" s="697"/>
    </row>
    <row r="34">
      <c r="A34" s="697" t="str">
        <f>IFERROR(__xludf.DUMMYFUNCTION("""COMPUTED_VALUE"""),"Dunyo S, 2000")</f>
        <v>Dunyo S, 2000</v>
      </c>
      <c r="B34" s="697"/>
      <c r="C34" s="697" t="str">
        <f>IFERROR(__xludf.DUMMYFUNCTION("""COMPUTED_VALUE"""),"Alex")</f>
        <v>Alex</v>
      </c>
      <c r="D34" s="697" t="str">
        <f>IFERROR(__xludf.DUMMYFUNCTION("""COMPUTED_VALUE"""),"Ghana")</f>
        <v>Ghana</v>
      </c>
      <c r="E34" s="697" t="str">
        <f>IFERROR(__xludf.DUMMYFUNCTION("""COMPUTED_VALUE"""),"W. bancrofti")</f>
        <v>W. bancrofti</v>
      </c>
      <c r="F34" s="697" t="str">
        <f>IFERROR(__xludf.DUMMYFUNCTION("""COMPUTED_VALUE"""),"Albendazole")</f>
        <v>Albendazole</v>
      </c>
      <c r="G34" s="697" t="str">
        <f>IFERROR(__xludf.DUMMYFUNCTION("""COMPUTED_VALUE"""),"400 mg")</f>
        <v>400 mg</v>
      </c>
      <c r="H34" s="697">
        <f>IFERROR(__xludf.DUMMYFUNCTION("""COMPUTED_VALUE"""),1.0)</f>
        <v>1</v>
      </c>
      <c r="I34" s="706">
        <f>IFERROR(__xludf.DUMMYFUNCTION("""COMPUTED_VALUE"""),0.683)</f>
        <v>0.683</v>
      </c>
      <c r="J34" s="698">
        <f>IFERROR(__xludf.DUMMYFUNCTION("""COMPUTED_VALUE"""),0.081)</f>
        <v>0.081</v>
      </c>
      <c r="K34" s="697"/>
      <c r="L34" s="697">
        <f>IFERROR(__xludf.DUMMYFUNCTION("""COMPUTED_VALUE"""),62.0)</f>
        <v>62</v>
      </c>
      <c r="M34" s="10" t="str">
        <f>IFERROR(__xludf.DUMMYFUNCTION("""COMPUTED_VALUE"""),"6-77")</f>
        <v>6-77</v>
      </c>
      <c r="N34" s="862" t="str">
        <f>IFERROR(__xludf.DUMMYFUNCTION("""COMPUTED_VALUE"""),"25: 37")</f>
        <v>25: 37</v>
      </c>
      <c r="O34" s="697" t="str">
        <f>IFERROR(__xludf.DUMMYFUNCTION("""COMPUTED_VALUE"""),"Subjects microfilaria (mf)-positive before treatment, were randomized into 4 groups: albendazole alone: Subjects (350), ivermectin alone: Subjects (336) combination of albendazole and ivermectin: Subjects (370) or placebo: Subjects (350)")</f>
        <v>Subjects microfilaria (mf)-positive before treatment, were randomized into 4 groups: albendazole alone: Subjects (350), ivermectin alone: Subjects (336) combination of albendazole and ivermectin: Subjects (370) or placebo: Subjects (350)</v>
      </c>
      <c r="P34" s="697" t="str">
        <f>IFERROR(__xludf.DUMMYFUNCTION("""COMPUTED_VALUE"""),"double-blind, RCT")</f>
        <v>double-blind, RCT</v>
      </c>
      <c r="Q34" s="697" t="str">
        <f>IFERROR(__xludf.DUMMYFUNCTION("""COMPUTED_VALUE"""),"Yes")</f>
        <v>Yes</v>
      </c>
      <c r="R34" s="697" t="str">
        <f>IFERROR(__xludf.DUMMYFUNCTION("""COMPUTED_VALUE"""),"Yes")</f>
        <v>Yes</v>
      </c>
      <c r="S34" s="697" t="str">
        <f>IFERROR(__xludf.DUMMYFUNCTION("""COMPUTED_VALUE"""),"12 months")</f>
        <v>12 months</v>
      </c>
      <c r="T34" s="697" t="str">
        <f>IFERROR(__xludf.DUMMYFUNCTION("""COMPUTED_VALUE"""),"The different treatment regimens were well tolerated, and only few adverse reactions were observed. These were generally mild, transient and self-limiting (no severe reaction was recorded), and no statistically significant differences in frequency were ob"&amp;"served between the 4 treatment groups. Thus, as also seen in previous studies albendazole alone or its combination with ivermectin caused no increase in frequency or type of adverse reactions. However, reactions were more common in mf-positive than in mf-"&amp;"negative individuals in the ivermectin and the combination of ivermectin and albendazole groups.")</f>
        <v>The different treatment regimens were well tolerated, and only few adverse reactions were observed. These were generally mild, transient and self-limiting (no severe reaction was recorded), and no statistically significant differences in frequency were observed between the 4 treatment groups. Thus, as also seen in previous studies albendazole alone or its combination with ivermectin caused no increase in frequency or type of adverse reactions. However, reactions were more common in mf-positive than in mf-negative individuals in the ivermectin and the combination of ivermectin and albendazole groups.</v>
      </c>
      <c r="U34" s="697"/>
      <c r="V34" s="697">
        <f>IFERROR(__xludf.DUMMYFUNCTION("""COMPUTED_VALUE"""),1998.0)</f>
        <v>1998</v>
      </c>
      <c r="W34" s="697">
        <f>IFERROR(__xludf.DUMMYFUNCTION("""COMPUTED_VALUE"""),1998.0)</f>
        <v>1998</v>
      </c>
      <c r="X34" s="697" t="str">
        <f>IFERROR(__xludf.DUMMYFUNCTION("""COMPUTED_VALUE"""),"Dunyo SK, Nkrumah FK, Simonsen PE. A randomized double-blind placebo-controlled field trial of ivermectin and albendazole alone and in combination for the treatment of lymphatic filariasis in Ghana. Transactions of the Royal Society of Tropical Medicine a"&amp;"nd Hygiene. 2000;94(2):205–211.")</f>
        <v>Dunyo SK, Nkrumah FK, Simonsen PE. A randomized double-blind placebo-controlled field trial of ivermectin and albendazole alone and in combination for the treatment of lymphatic filariasis in Ghana. Transactions of the Royal Society of Tropical Medicine and Hygiene. 2000;94(2):205–211.</v>
      </c>
      <c r="Y34" s="697"/>
      <c r="Z34" s="865" t="str">
        <f>IFERROR(__xludf.DUMMYFUNCTION("""COMPUTED_VALUE"""),"https://drive.google.com/file/d/0B95WhYooraDebWRkSzRrdlV1cFk/view?usp=sharing")</f>
        <v>https://drive.google.com/file/d/0B95WhYooraDebWRkSzRrdlV1cFk/view?usp=sharing</v>
      </c>
      <c r="AA34" s="697"/>
    </row>
    <row r="35">
      <c r="A35" s="697" t="str">
        <f>IFERROR(__xludf.DUMMYFUNCTION("""COMPUTED_VALUE"""),"Dunyo S, 2000")</f>
        <v>Dunyo S, 2000</v>
      </c>
      <c r="B35" s="697"/>
      <c r="C35" s="697" t="str">
        <f>IFERROR(__xludf.DUMMYFUNCTION("""COMPUTED_VALUE"""),"Alex")</f>
        <v>Alex</v>
      </c>
      <c r="D35" s="697" t="str">
        <f>IFERROR(__xludf.DUMMYFUNCTION("""COMPUTED_VALUE"""),"Ghana")</f>
        <v>Ghana</v>
      </c>
      <c r="E35" s="697" t="str">
        <f>IFERROR(__xludf.DUMMYFUNCTION("""COMPUTED_VALUE"""),"W. bancrofti")</f>
        <v>W. bancrofti</v>
      </c>
      <c r="F35" s="697" t="str">
        <f>IFERROR(__xludf.DUMMYFUNCTION("""COMPUTED_VALUE"""),"Albendazole &amp; Ivermectin")</f>
        <v>Albendazole &amp; Ivermectin</v>
      </c>
      <c r="G35" s="697" t="str">
        <f>IFERROR(__xludf.DUMMYFUNCTION("""COMPUTED_VALUE"""),"400 mg + .150-.200 mg/ kg ")</f>
        <v>400 mg + .150-.200 mg/ kg </v>
      </c>
      <c r="H35" s="697">
        <f>IFERROR(__xludf.DUMMYFUNCTION("""COMPUTED_VALUE"""),1.0)</f>
        <v>1</v>
      </c>
      <c r="I35" s="706">
        <f>IFERROR(__xludf.DUMMYFUNCTION("""COMPUTED_VALUE"""),0.886)</f>
        <v>0.886</v>
      </c>
      <c r="J35" s="698">
        <f>IFERROR(__xludf.DUMMYFUNCTION("""COMPUTED_VALUE"""),0.161)</f>
        <v>0.161</v>
      </c>
      <c r="K35" s="697"/>
      <c r="L35" s="697">
        <f>IFERROR(__xludf.DUMMYFUNCTION("""COMPUTED_VALUE"""),62.0)</f>
        <v>62</v>
      </c>
      <c r="M35" s="10" t="str">
        <f>IFERROR(__xludf.DUMMYFUNCTION("""COMPUTED_VALUE"""),"7-72")</f>
        <v>7-72</v>
      </c>
      <c r="N35" s="862" t="str">
        <f>IFERROR(__xludf.DUMMYFUNCTION("""COMPUTED_VALUE"""),"27: 35")</f>
        <v>27: 35</v>
      </c>
      <c r="O35" s="697" t="str">
        <f>IFERROR(__xludf.DUMMYFUNCTION("""COMPUTED_VALUE"""),"Subjects microfilaria (mf)-positive before treatment, were randomized into 4 groups: albendazole alone: Subjects (350), ivermectin alone: Subjects (336) combination of albendazole and ivermectin: Subjects (370) or placebo: Subjects (350)")</f>
        <v>Subjects microfilaria (mf)-positive before treatment, were randomized into 4 groups: albendazole alone: Subjects (350), ivermectin alone: Subjects (336) combination of albendazole and ivermectin: Subjects (370) or placebo: Subjects (350)</v>
      </c>
      <c r="P35" s="697" t="str">
        <f>IFERROR(__xludf.DUMMYFUNCTION("""COMPUTED_VALUE"""),"double-blind, RCT")</f>
        <v>double-blind, RCT</v>
      </c>
      <c r="Q35" s="697" t="str">
        <f>IFERROR(__xludf.DUMMYFUNCTION("""COMPUTED_VALUE"""),"Yes")</f>
        <v>Yes</v>
      </c>
      <c r="R35" s="697" t="str">
        <f>IFERROR(__xludf.DUMMYFUNCTION("""COMPUTED_VALUE"""),"Yes")</f>
        <v>Yes</v>
      </c>
      <c r="S35" s="697" t="str">
        <f>IFERROR(__xludf.DUMMYFUNCTION("""COMPUTED_VALUE"""),"12 months")</f>
        <v>12 months</v>
      </c>
      <c r="T35" s="697" t="str">
        <f>IFERROR(__xludf.DUMMYFUNCTION("""COMPUTED_VALUE"""),"The different treatment regimens were well tolerated, and only few adverse reactions were observed. These were generally mild, transient and self-limiting (no severe reaction was recorded), and no statistically significant differences in frequency were ob"&amp;"served between the 4 treatment groups. Thus, as also seen in previous studies albendazole alone or its combination with ivermectin caused no increase in frequency or type of adverse reactions. However, reactions were more common in mf-positive than in mf-"&amp;"negative individuals in the ivermectin and the combination of ivermectin and albendazole groups.")</f>
        <v>The different treatment regimens were well tolerated, and only few adverse reactions were observed. These were generally mild, transient and self-limiting (no severe reaction was recorded), and no statistically significant differences in frequency were observed between the 4 treatment groups. Thus, as also seen in previous studies albendazole alone or its combination with ivermectin caused no increase in frequency or type of adverse reactions. However, reactions were more common in mf-positive than in mf-negative individuals in the ivermectin and the combination of ivermectin and albendazole groups.</v>
      </c>
      <c r="U35" s="697"/>
      <c r="V35" s="697">
        <f>IFERROR(__xludf.DUMMYFUNCTION("""COMPUTED_VALUE"""),1998.0)</f>
        <v>1998</v>
      </c>
      <c r="W35" s="697">
        <f>IFERROR(__xludf.DUMMYFUNCTION("""COMPUTED_VALUE"""),1998.0)</f>
        <v>1998</v>
      </c>
      <c r="X35" s="697" t="str">
        <f>IFERROR(__xludf.DUMMYFUNCTION("""COMPUTED_VALUE"""),"Dunyo SK, Nkrumah FK, Simonsen PE. A randomized double-blind placebo-controlled field trial of ivermectin and albendazole alone and in combination for the treatment of lymphatic filariasis in Ghana. Transactions of the Royal Society of Tropical Medicine a"&amp;"nd Hygiene. 2000;94(2):205–211.")</f>
        <v>Dunyo SK, Nkrumah FK, Simonsen PE. A randomized double-blind placebo-controlled field trial of ivermectin and albendazole alone and in combination for the treatment of lymphatic filariasis in Ghana. Transactions of the Royal Society of Tropical Medicine and Hygiene. 2000;94(2):205–211.</v>
      </c>
      <c r="Y35" s="697"/>
      <c r="Z35" s="865" t="str">
        <f>IFERROR(__xludf.DUMMYFUNCTION("""COMPUTED_VALUE"""),"https://drive.google.com/file/d/0B95WhYooraDebWRkSzRrdlV1cFk/view?usp=sharing")</f>
        <v>https://drive.google.com/file/d/0B95WhYooraDebWRkSzRrdlV1cFk/view?usp=sharing</v>
      </c>
      <c r="AA35" s="697"/>
    </row>
    <row r="36">
      <c r="A36" s="697" t="str">
        <f>IFERROR(__xludf.DUMMYFUNCTION("""COMPUTED_VALUE"""),"Dunyo S, 2000")</f>
        <v>Dunyo S, 2000</v>
      </c>
      <c r="B36" s="697"/>
      <c r="C36" s="697" t="str">
        <f>IFERROR(__xludf.DUMMYFUNCTION("""COMPUTED_VALUE"""),"Alex")</f>
        <v>Alex</v>
      </c>
      <c r="D36" s="697" t="str">
        <f>IFERROR(__xludf.DUMMYFUNCTION("""COMPUTED_VALUE"""),"Ghana")</f>
        <v>Ghana</v>
      </c>
      <c r="E36" s="697" t="str">
        <f>IFERROR(__xludf.DUMMYFUNCTION("""COMPUTED_VALUE"""),"W. bancrofti")</f>
        <v>W. bancrofti</v>
      </c>
      <c r="F36" s="697" t="str">
        <f>IFERROR(__xludf.DUMMYFUNCTION("""COMPUTED_VALUE"""),"Placebo")</f>
        <v>Placebo</v>
      </c>
      <c r="G36" s="697" t="str">
        <f>IFERROR(__xludf.DUMMYFUNCTION("""COMPUTED_VALUE"""),".150-.200 mg/ kg + 400mg ")</f>
        <v>.150-.200 mg/ kg + 400mg </v>
      </c>
      <c r="H36" s="697">
        <f>IFERROR(__xludf.DUMMYFUNCTION("""COMPUTED_VALUE"""),1.0)</f>
        <v>1</v>
      </c>
      <c r="I36" s="706">
        <f>IFERROR(__xludf.DUMMYFUNCTION("""COMPUTED_VALUE"""),0.119)</f>
        <v>0.119</v>
      </c>
      <c r="J36" s="698">
        <f>IFERROR(__xludf.DUMMYFUNCTION("""COMPUTED_VALUE"""),0.081)</f>
        <v>0.081</v>
      </c>
      <c r="K36" s="697"/>
      <c r="L36" s="697">
        <f>IFERROR(__xludf.DUMMYFUNCTION("""COMPUTED_VALUE"""),57.0)</f>
        <v>57</v>
      </c>
      <c r="M36" s="10" t="str">
        <f>IFERROR(__xludf.DUMMYFUNCTION("""COMPUTED_VALUE"""),"8-86")</f>
        <v>8-86</v>
      </c>
      <c r="N36" s="862" t="str">
        <f>IFERROR(__xludf.DUMMYFUNCTION("""COMPUTED_VALUE"""),"24: 33")</f>
        <v>24: 33</v>
      </c>
      <c r="O36" s="697" t="str">
        <f>IFERROR(__xludf.DUMMYFUNCTION("""COMPUTED_VALUE"""),"Subjects microfilaria (mf)-positive before treatment, were randomized into 4 groups: albendazole alone: Subjects (350), ivermectin alone: Subjects (336) combination of albendazole and ivermectin: Subjects (370) or placebo: Subjects (350)")</f>
        <v>Subjects microfilaria (mf)-positive before treatment, were randomized into 4 groups: albendazole alone: Subjects (350), ivermectin alone: Subjects (336) combination of albendazole and ivermectin: Subjects (370) or placebo: Subjects (350)</v>
      </c>
      <c r="P36" s="697" t="str">
        <f>IFERROR(__xludf.DUMMYFUNCTION("""COMPUTED_VALUE"""),"double-blind, RCT")</f>
        <v>double-blind, RCT</v>
      </c>
      <c r="Q36" s="697" t="str">
        <f>IFERROR(__xludf.DUMMYFUNCTION("""COMPUTED_VALUE"""),"Yes")</f>
        <v>Yes</v>
      </c>
      <c r="R36" s="697" t="str">
        <f>IFERROR(__xludf.DUMMYFUNCTION("""COMPUTED_VALUE"""),"Yes")</f>
        <v>Yes</v>
      </c>
      <c r="S36" s="697" t="str">
        <f>IFERROR(__xludf.DUMMYFUNCTION("""COMPUTED_VALUE"""),"12 months")</f>
        <v>12 months</v>
      </c>
      <c r="T36" s="697" t="str">
        <f>IFERROR(__xludf.DUMMYFUNCTION("""COMPUTED_VALUE"""),"The different treatment regimens were well tolerated, and only few adverse reactions were observed. These were generally mild, transient and self-limiting (no severe reaction was recorded), and no statistically significant differences in frequency were ob"&amp;"served between the 4 treatment groups. Thus, as also seen in previous studies albendazole alone or its combination with ivermectin caused no increase in frequency or type of adverse reactions. However, reactions were more common in mf-positive than in mf-"&amp;"negative individuals in the ivermectin and the combination of ivermectin and albendazole groups.")</f>
        <v>The different treatment regimens were well tolerated, and only few adverse reactions were observed. These were generally mild, transient and self-limiting (no severe reaction was recorded), and no statistically significant differences in frequency were observed between the 4 treatment groups. Thus, as also seen in previous studies albendazole alone or its combination with ivermectin caused no increase in frequency or type of adverse reactions. However, reactions were more common in mf-positive than in mf-negative individuals in the ivermectin and the combination of ivermectin and albendazole groups.</v>
      </c>
      <c r="U36" s="697"/>
      <c r="V36" s="697">
        <f>IFERROR(__xludf.DUMMYFUNCTION("""COMPUTED_VALUE"""),1998.0)</f>
        <v>1998</v>
      </c>
      <c r="W36" s="697">
        <f>IFERROR(__xludf.DUMMYFUNCTION("""COMPUTED_VALUE"""),1998.0)</f>
        <v>1998</v>
      </c>
      <c r="X36" s="697" t="str">
        <f>IFERROR(__xludf.DUMMYFUNCTION("""COMPUTED_VALUE"""),"Dunyo SK, Nkrumah FK, Simonsen PE. A randomized double-blind placebo-controlled field trial of ivermectin and albendazole alone and in combination for the treatment of lymphatic filariasis in Ghana. Transactions of the Royal Society of Tropical Medicine a"&amp;"nd Hygiene. 2000;94(2):205–211.")</f>
        <v>Dunyo SK, Nkrumah FK, Simonsen PE. A randomized double-blind placebo-controlled field trial of ivermectin and albendazole alone and in combination for the treatment of lymphatic filariasis in Ghana. Transactions of the Royal Society of Tropical Medicine and Hygiene. 2000;94(2):205–211.</v>
      </c>
      <c r="Y36" s="697"/>
      <c r="Z36" s="865" t="str">
        <f>IFERROR(__xludf.DUMMYFUNCTION("""COMPUTED_VALUE"""),"https://drive.google.com/file/d/0B95WhYooraDebWRkSzRrdlV1cFk/view?usp=sharing")</f>
        <v>https://drive.google.com/file/d/0B95WhYooraDebWRkSzRrdlV1cFk/view?usp=sharing</v>
      </c>
      <c r="AA36" s="697"/>
    </row>
    <row r="37">
      <c r="A37" s="697" t="str">
        <f>IFERROR(__xludf.DUMMYFUNCTION("""COMPUTED_VALUE"""),"Dunyo SK, 2002")</f>
        <v>Dunyo SK, 2002</v>
      </c>
      <c r="B37" s="697"/>
      <c r="C37" s="697" t="str">
        <f>IFERROR(__xludf.DUMMYFUNCTION("""COMPUTED_VALUE"""),"Alex ")</f>
        <v>Alex </v>
      </c>
      <c r="D37" s="697" t="str">
        <f>IFERROR(__xludf.DUMMYFUNCTION("""COMPUTED_VALUE"""),"Ghana")</f>
        <v>Ghana</v>
      </c>
      <c r="E37" s="697" t="str">
        <f>IFERROR(__xludf.DUMMYFUNCTION("""COMPUTED_VALUE"""),"w. bancrofti")</f>
        <v>w. bancrofti</v>
      </c>
      <c r="F37" s="697" t="str">
        <f>IFERROR(__xludf.DUMMYFUNCTION("""COMPUTED_VALUE"""),"Placebo")</f>
        <v>Placebo</v>
      </c>
      <c r="G37" s="697" t="str">
        <f>IFERROR(__xludf.DUMMYFUNCTION("""COMPUTED_VALUE"""),"2 doses a year apart")</f>
        <v>2 doses a year apart</v>
      </c>
      <c r="H37" s="697">
        <f>IFERROR(__xludf.DUMMYFUNCTION("""COMPUTED_VALUE"""),2.0)</f>
        <v>2</v>
      </c>
      <c r="I37" s="706">
        <f>IFERROR(__xludf.DUMMYFUNCTION("""COMPUTED_VALUE"""),0.011)</f>
        <v>0.011</v>
      </c>
      <c r="J37" s="698">
        <f>IFERROR(__xludf.DUMMYFUNCTION("""COMPUTED_VALUE"""),0.079)</f>
        <v>0.079</v>
      </c>
      <c r="K37" s="697"/>
      <c r="L37" s="697">
        <f>IFERROR(__xludf.DUMMYFUNCTION("""COMPUTED_VALUE"""),38.0)</f>
        <v>38</v>
      </c>
      <c r="M37" s="10" t="str">
        <f>IFERROR(__xludf.DUMMYFUNCTION("""COMPUTED_VALUE"""),"8- 86")</f>
        <v>8- 86</v>
      </c>
      <c r="N37" s="864">
        <f>IFERROR(__xludf.DUMMYFUNCTION("""COMPUTED_VALUE"""),0.7229166666666667)</f>
        <v>0.7229166667</v>
      </c>
      <c r="O37" s="697" t="str">
        <f>IFERROR(__xludf.DUMMYFUNCTION("""COMPUTED_VALUE"""),"&gt;6 yers old, not pregnant individuals who were mf positive before the primary treatment, who received both primary treatment and re-treatment, and who were examined for mf both at 1 year and 2 years after start of treatment")</f>
        <v>&gt;6 yers old, not pregnant individuals who were mf positive before the primary treatment, who received both primary treatment and re-treatment, and who were examined for mf both at 1 year and 2 years after start of treatment</v>
      </c>
      <c r="P37" s="697" t="str">
        <f>IFERROR(__xludf.DUMMYFUNCTION("""COMPUTED_VALUE"""),"RCT")</f>
        <v>RCT</v>
      </c>
      <c r="Q37" s="697" t="str">
        <f>IFERROR(__xludf.DUMMYFUNCTION("""COMPUTED_VALUE"""),"Yes")</f>
        <v>Yes</v>
      </c>
      <c r="R37" s="697" t="str">
        <f>IFERROR(__xludf.DUMMYFUNCTION("""COMPUTED_VALUE"""),"Yes")</f>
        <v>Yes</v>
      </c>
      <c r="S37" s="697" t="str">
        <f>IFERROR(__xludf.DUMMYFUNCTION("""COMPUTED_VALUE"""),"1, 2 years")</f>
        <v>1, 2 years</v>
      </c>
      <c r="T37" s="697" t="str">
        <f>IFERROR(__xludf.DUMMYFUNCTION("""COMPUTED_VALUE"""),"An important issue when trying to predict the outcome of repeated mass treatment is whether the used drug or drug combination has the same efficacy in each subsequent treatment round (PLAISIER et al., 2000). The present re-treatment study gave the opportu"&amp;"nity to investigate this issue by comparing the reduction in the combmation group after primary and re-treatment. Although a more pronounced reduction was seen after the primary treatment than after the next, the difference was not statistically significa"&amp;"nt. Overall, the efficacy of the combination treatment therefore appeared to be largely independent of the type of primary treatment given, and multiplicative when used repeatedly.")</f>
        <v>An important issue when trying to predict the outcome of repeated mass treatment is whether the used drug or drug combination has the same efficacy in each subsequent treatment round (PLAISIER et al., 2000). The present re-treatment study gave the opportunity to investigate this issue by comparing the reduction in the combmation group after primary and re-treatment. Although a more pronounced reduction was seen after the primary treatment than after the next, the difference was not statistically significant. Overall, the efficacy of the combination treatment therefore appeared to be largely independent of the type of primary treatment given, and multiplicative when used repeatedly.</v>
      </c>
      <c r="U37" s="697"/>
      <c r="V37" s="697">
        <f>IFERROR(__xludf.DUMMYFUNCTION("""COMPUTED_VALUE"""),1999.0)</f>
        <v>1999</v>
      </c>
      <c r="W37" s="697">
        <f>IFERROR(__xludf.DUMMYFUNCTION("""COMPUTED_VALUE"""),1999.0)</f>
        <v>1999</v>
      </c>
      <c r="X37" s="697" t="str">
        <f>IFERROR(__xludf.DUMMYFUNCTION("""COMPUTED_VALUE"""),"Samuel K. Dunyo, Paul E. Simonsen. lvermectin and albendazole alone and in combination for the treatment of lymphatic filariasis in Ghana: follow-up after re-treatment with the combination.TRANSACTIONS OF THE ROYAL SOCIETY OFTROPICAL MEDICINE AND HYGIENE "&amp;"(2002)96,189-192.")</f>
        <v>Samuel K. Dunyo, Paul E. Simonsen. lvermectin and albendazole alone and in combination for the treatment of lymphatic filariasis in Ghana: follow-up after re-treatment with the combination.TRANSACTIONS OF THE ROYAL SOCIETY OFTROPICAL MEDICINE AND HYGIENE (2002)96,189-192.</v>
      </c>
      <c r="Y37" s="697"/>
      <c r="Z37" s="865" t="str">
        <f>IFERROR(__xludf.DUMMYFUNCTION("""COMPUTED_VALUE"""),"https://drive.google.com/file/d/0B4sJPAkX0Jo3dGtKOUJRbFZCcHM/view?usp=sharing")</f>
        <v>https://drive.google.com/file/d/0B4sJPAkX0Jo3dGtKOUJRbFZCcHM/view?usp=sharing</v>
      </c>
      <c r="AA37" s="697"/>
    </row>
    <row r="38">
      <c r="A38" s="697" t="str">
        <f>IFERROR(__xludf.DUMMYFUNCTION("""COMPUTED_VALUE"""),"Dunyo SK, 2002")</f>
        <v>Dunyo SK, 2002</v>
      </c>
      <c r="B38" s="697"/>
      <c r="C38" s="697" t="str">
        <f>IFERROR(__xludf.DUMMYFUNCTION("""COMPUTED_VALUE"""),"Alex ")</f>
        <v>Alex </v>
      </c>
      <c r="D38" s="697" t="str">
        <f>IFERROR(__xludf.DUMMYFUNCTION("""COMPUTED_VALUE"""),"Ghana")</f>
        <v>Ghana</v>
      </c>
      <c r="E38" s="697" t="str">
        <f>IFERROR(__xludf.DUMMYFUNCTION("""COMPUTED_VALUE"""),"w. bancrofti")</f>
        <v>w. bancrofti</v>
      </c>
      <c r="F38" s="697" t="str">
        <f>IFERROR(__xludf.DUMMYFUNCTION("""COMPUTED_VALUE"""),"Albendazole")</f>
        <v>Albendazole</v>
      </c>
      <c r="G38" s="697" t="str">
        <f>IFERROR(__xludf.DUMMYFUNCTION("""COMPUTED_VALUE""")," 400 mg ")</f>
        <v> 400 mg </v>
      </c>
      <c r="H38" s="697">
        <f>IFERROR(__xludf.DUMMYFUNCTION("""COMPUTED_VALUE"""),2.0)</f>
        <v>2</v>
      </c>
      <c r="I38" s="706">
        <f>IFERROR(__xludf.DUMMYFUNCTION("""COMPUTED_VALUE"""),0.591)</f>
        <v>0.591</v>
      </c>
      <c r="J38" s="698">
        <f>IFERROR(__xludf.DUMMYFUNCTION("""COMPUTED_VALUE"""),0.103)</f>
        <v>0.103</v>
      </c>
      <c r="K38" s="697"/>
      <c r="L38" s="697">
        <f>IFERROR(__xludf.DUMMYFUNCTION("""COMPUTED_VALUE"""),39.0)</f>
        <v>39</v>
      </c>
      <c r="M38" s="10" t="str">
        <f>IFERROR(__xludf.DUMMYFUNCTION("""COMPUTED_VALUE"""),"9- 77")</f>
        <v>9- 77</v>
      </c>
      <c r="N38" s="864">
        <f>IFERROR(__xludf.DUMMYFUNCTION("""COMPUTED_VALUE"""),0.6416666666666667)</f>
        <v>0.6416666667</v>
      </c>
      <c r="O38" s="697" t="str">
        <f>IFERROR(__xludf.DUMMYFUNCTION("""COMPUTED_VALUE"""),"&gt;6 yers old, not pregnant individuals who were mf positive before the primary treatment, who received both primary treatment and re-treatment, and who were examined for mf both at 1 year and 2 years after start of treatment")</f>
        <v>&gt;6 yers old, not pregnant individuals who were mf positive before the primary treatment, who received both primary treatment and re-treatment, and who were examined for mf both at 1 year and 2 years after start of treatment</v>
      </c>
      <c r="P38" s="697" t="str">
        <f>IFERROR(__xludf.DUMMYFUNCTION("""COMPUTED_VALUE"""),"RCT")</f>
        <v>RCT</v>
      </c>
      <c r="Q38" s="697" t="str">
        <f>IFERROR(__xludf.DUMMYFUNCTION("""COMPUTED_VALUE"""),"Yes")</f>
        <v>Yes</v>
      </c>
      <c r="R38" s="697" t="str">
        <f>IFERROR(__xludf.DUMMYFUNCTION("""COMPUTED_VALUE"""),"Yes")</f>
        <v>Yes</v>
      </c>
      <c r="S38" s="697" t="str">
        <f>IFERROR(__xludf.DUMMYFUNCTION("""COMPUTED_VALUE"""),"1, 2 years")</f>
        <v>1, 2 years</v>
      </c>
      <c r="T38" s="697" t="str">
        <f>IFERROR(__xludf.DUMMYFUNCTION("""COMPUTED_VALUE"""),"An important issue when trying to predict the outcome of repeated mass treatment is whether the used drug or drug combination has the same efficacy in each subsequent treatment round (PLAISIER et al., 2000). The present re-treatment study gave the opportu"&amp;"nity to investigate this issue by comparing the reduction in the combmation group after primary and re-treatment. Although a more pronounced reduction was seen after the primary treatment than after the next, the difference was not statistically significa"&amp;"nt. Overall, the efficacy of the combination treatment therefore appeared to be largely independent of the type of primary treatment given, and multiplicative when used repeatedly.")</f>
        <v>An important issue when trying to predict the outcome of repeated mass treatment is whether the used drug or drug combination has the same efficacy in each subsequent treatment round (PLAISIER et al., 2000). The present re-treatment study gave the opportunity to investigate this issue by comparing the reduction in the combmation group after primary and re-treatment. Although a more pronounced reduction was seen after the primary treatment than after the next, the difference was not statistically significant. Overall, the efficacy of the combination treatment therefore appeared to be largely independent of the type of primary treatment given, and multiplicative when used repeatedly.</v>
      </c>
      <c r="U38" s="697"/>
      <c r="V38" s="697">
        <f>IFERROR(__xludf.DUMMYFUNCTION("""COMPUTED_VALUE"""),1999.0)</f>
        <v>1999</v>
      </c>
      <c r="W38" s="697">
        <f>IFERROR(__xludf.DUMMYFUNCTION("""COMPUTED_VALUE"""),1999.0)</f>
        <v>1999</v>
      </c>
      <c r="X38" s="697" t="str">
        <f>IFERROR(__xludf.DUMMYFUNCTION("""COMPUTED_VALUE"""),"Samuel K. Dunyo, Paul E. Simonsen. lvermectin and albendazole alone and in combination for the treatment of lymphatic filariasis in Ghana: follow-up after re-treatment with the combination.TRANSACTIONS OF THE ROYAL SOCIETY OFTROPICAL MEDICINE AND HYGIENE "&amp;"(2002)96,189-192.")</f>
        <v>Samuel K. Dunyo, Paul E. Simonsen. lvermectin and albendazole alone and in combination for the treatment of lymphatic filariasis in Ghana: follow-up after re-treatment with the combination.TRANSACTIONS OF THE ROYAL SOCIETY OFTROPICAL MEDICINE AND HYGIENE (2002)96,189-192.</v>
      </c>
      <c r="Y38" s="697"/>
      <c r="Z38" s="865" t="str">
        <f>IFERROR(__xludf.DUMMYFUNCTION("""COMPUTED_VALUE"""),"https://drive.google.com/file/d/0B4sJPAkX0Jo3dGtKOUJRbFZCcHM/view?usp=sharing")</f>
        <v>https://drive.google.com/file/d/0B4sJPAkX0Jo3dGtKOUJRbFZCcHM/view?usp=sharing</v>
      </c>
      <c r="AA38" s="697"/>
    </row>
    <row r="39">
      <c r="A39" s="697" t="str">
        <f>IFERROR(__xludf.DUMMYFUNCTION("""COMPUTED_VALUE"""),"Dunyo SK, 2002")</f>
        <v>Dunyo SK, 2002</v>
      </c>
      <c r="B39" s="697"/>
      <c r="C39" s="697" t="str">
        <f>IFERROR(__xludf.DUMMYFUNCTION("""COMPUTED_VALUE"""),"Alex ")</f>
        <v>Alex </v>
      </c>
      <c r="D39" s="697" t="str">
        <f>IFERROR(__xludf.DUMMYFUNCTION("""COMPUTED_VALUE"""),"Ghana")</f>
        <v>Ghana</v>
      </c>
      <c r="E39" s="697" t="str">
        <f>IFERROR(__xludf.DUMMYFUNCTION("""COMPUTED_VALUE"""),"w. bancrofti")</f>
        <v>w. bancrofti</v>
      </c>
      <c r="F39" s="697" t="str">
        <f>IFERROR(__xludf.DUMMYFUNCTION("""COMPUTED_VALUE"""),"Ivermectin")</f>
        <v>Ivermectin</v>
      </c>
      <c r="G39" s="697" t="str">
        <f>IFERROR(__xludf.DUMMYFUNCTION("""COMPUTED_VALUE""")," .150- .200 mg/ kg ")</f>
        <v> .150- .200 mg/ kg </v>
      </c>
      <c r="H39" s="697">
        <f>IFERROR(__xludf.DUMMYFUNCTION("""COMPUTED_VALUE"""),2.0)</f>
        <v>2</v>
      </c>
      <c r="I39" s="706">
        <f>IFERROR(__xludf.DUMMYFUNCTION("""COMPUTED_VALUE"""),0.812)</f>
        <v>0.812</v>
      </c>
      <c r="J39" s="698">
        <f>IFERROR(__xludf.DUMMYFUNCTION("""COMPUTED_VALUE"""),0.265)</f>
        <v>0.265</v>
      </c>
      <c r="K39" s="697"/>
      <c r="L39" s="697">
        <f>IFERROR(__xludf.DUMMYFUNCTION("""COMPUTED_VALUE"""),34.0)</f>
        <v>34</v>
      </c>
      <c r="M39" s="10" t="str">
        <f>IFERROR(__xludf.DUMMYFUNCTION("""COMPUTED_VALUE"""),"8- 87")</f>
        <v>8- 87</v>
      </c>
      <c r="N39" s="864">
        <f>IFERROR(__xludf.DUMMYFUNCTION("""COMPUTED_VALUE"""),0.3104166666666667)</f>
        <v>0.3104166667</v>
      </c>
      <c r="O39" s="697" t="str">
        <f>IFERROR(__xludf.DUMMYFUNCTION("""COMPUTED_VALUE"""),"&gt;6 yers old, not pregnant individuals who were mf positive before the primary treatment, who received both primary treatment and re-treatment, and who were examined for mf both at 1 year and 2 years after start of treatment")</f>
        <v>&gt;6 yers old, not pregnant individuals who were mf positive before the primary treatment, who received both primary treatment and re-treatment, and who were examined for mf both at 1 year and 2 years after start of treatment</v>
      </c>
      <c r="P39" s="697" t="str">
        <f>IFERROR(__xludf.DUMMYFUNCTION("""COMPUTED_VALUE"""),"RCT")</f>
        <v>RCT</v>
      </c>
      <c r="Q39" s="697" t="str">
        <f>IFERROR(__xludf.DUMMYFUNCTION("""COMPUTED_VALUE"""),"Yes")</f>
        <v>Yes</v>
      </c>
      <c r="R39" s="697" t="str">
        <f>IFERROR(__xludf.DUMMYFUNCTION("""COMPUTED_VALUE"""),"Yes")</f>
        <v>Yes</v>
      </c>
      <c r="S39" s="697" t="str">
        <f>IFERROR(__xludf.DUMMYFUNCTION("""COMPUTED_VALUE"""),"1, 2 years")</f>
        <v>1, 2 years</v>
      </c>
      <c r="T39" s="697" t="str">
        <f>IFERROR(__xludf.DUMMYFUNCTION("""COMPUTED_VALUE"""),"An important issue when trying to predict the outcome of repeated mass treatment is whether the used drug or drug combination has the same efficacy in each subsequent treatment round (PLAISIER et al., 2000). The present re-treatment study gave the opportu"&amp;"nity to investigate this issue by comparing the reduction in the combmation group after primary and re-treatment. Although a more pronounced reduction was seen after the primary treatment than after the next, the difference was not statistically significa"&amp;"nt. Overall, the efficacy of the combination treatment therefore appeared to be largely independent of the type of primary treatment given, and multiplicative when used repeatedly.")</f>
        <v>An important issue when trying to predict the outcome of repeated mass treatment is whether the used drug or drug combination has the same efficacy in each subsequent treatment round (PLAISIER et al., 2000). The present re-treatment study gave the opportunity to investigate this issue by comparing the reduction in the combmation group after primary and re-treatment. Although a more pronounced reduction was seen after the primary treatment than after the next, the difference was not statistically significant. Overall, the efficacy of the combination treatment therefore appeared to be largely independent of the type of primary treatment given, and multiplicative when used repeatedly.</v>
      </c>
      <c r="U39" s="697"/>
      <c r="V39" s="697">
        <f>IFERROR(__xludf.DUMMYFUNCTION("""COMPUTED_VALUE"""),1999.0)</f>
        <v>1999</v>
      </c>
      <c r="W39" s="697">
        <f>IFERROR(__xludf.DUMMYFUNCTION("""COMPUTED_VALUE"""),1999.0)</f>
        <v>1999</v>
      </c>
      <c r="X39" s="697" t="str">
        <f>IFERROR(__xludf.DUMMYFUNCTION("""COMPUTED_VALUE"""),"Samuel K. Dunyo, Paul E. Simonsen. lvermectin and albendazole alone and in combination for the treatment of lymphatic filariasis in Ghana: follow-up after re-treatment with the combination.TRANSACTIONS OF THE ROYAL SOCIETY OFTROPICAL MEDICINE AND HYGIENE "&amp;"(2002)96,189-192.")</f>
        <v>Samuel K. Dunyo, Paul E. Simonsen. lvermectin and albendazole alone and in combination for the treatment of lymphatic filariasis in Ghana: follow-up after re-treatment with the combination.TRANSACTIONS OF THE ROYAL SOCIETY OFTROPICAL MEDICINE AND HYGIENE (2002)96,189-192.</v>
      </c>
      <c r="Y39" s="697"/>
      <c r="Z39" s="865" t="str">
        <f>IFERROR(__xludf.DUMMYFUNCTION("""COMPUTED_VALUE"""),"https://drive.google.com/file/d/0B4sJPAkX0Jo3dGtKOUJRbFZCcHM/view?usp=sharing")</f>
        <v>https://drive.google.com/file/d/0B4sJPAkX0Jo3dGtKOUJRbFZCcHM/view?usp=sharing</v>
      </c>
      <c r="AA39" s="697"/>
    </row>
    <row r="40">
      <c r="A40" s="697" t="str">
        <f>IFERROR(__xludf.DUMMYFUNCTION("""COMPUTED_VALUE"""),"Dunyo SK, 2002")</f>
        <v>Dunyo SK, 2002</v>
      </c>
      <c r="B40" s="697"/>
      <c r="C40" s="697" t="str">
        <f>IFERROR(__xludf.DUMMYFUNCTION("""COMPUTED_VALUE"""),"Alex ")</f>
        <v>Alex </v>
      </c>
      <c r="D40" s="697" t="str">
        <f>IFERROR(__xludf.DUMMYFUNCTION("""COMPUTED_VALUE"""),"Ghana")</f>
        <v>Ghana</v>
      </c>
      <c r="E40" s="697" t="str">
        <f>IFERROR(__xludf.DUMMYFUNCTION("""COMPUTED_VALUE"""),"w. bancrofti")</f>
        <v>w. bancrofti</v>
      </c>
      <c r="F40" s="697" t="str">
        <f>IFERROR(__xludf.DUMMYFUNCTION("""COMPUTED_VALUE"""),"Albendazole &amp; Ivermectin")</f>
        <v>Albendazole &amp; Ivermectin</v>
      </c>
      <c r="G40" s="697" t="str">
        <f>IFERROR(__xludf.DUMMYFUNCTION("""COMPUTED_VALUE"""),"400mg  + .150- .200 mg/ kg ")</f>
        <v>400mg  + .150- .200 mg/ kg </v>
      </c>
      <c r="H40" s="697">
        <f>IFERROR(__xludf.DUMMYFUNCTION("""COMPUTED_VALUE"""),2.0)</f>
        <v>2</v>
      </c>
      <c r="I40" s="706">
        <f>IFERROR(__xludf.DUMMYFUNCTION("""COMPUTED_VALUE"""),0.868)</f>
        <v>0.868</v>
      </c>
      <c r="J40" s="698">
        <f>IFERROR(__xludf.DUMMYFUNCTION("""COMPUTED_VALUE"""),0.238)</f>
        <v>0.238</v>
      </c>
      <c r="K40" s="697"/>
      <c r="L40" s="697">
        <f>IFERROR(__xludf.DUMMYFUNCTION("""COMPUTED_VALUE"""),42.0)</f>
        <v>42</v>
      </c>
      <c r="M40" s="10" t="str">
        <f>IFERROR(__xludf.DUMMYFUNCTION("""COMPUTED_VALUE"""),"7-70")</f>
        <v>7-70</v>
      </c>
      <c r="N40" s="864">
        <f>IFERROR(__xludf.DUMMYFUNCTION("""COMPUTED_VALUE"""),0.8076388888888889)</f>
        <v>0.8076388889</v>
      </c>
      <c r="O40" s="697" t="str">
        <f>IFERROR(__xludf.DUMMYFUNCTION("""COMPUTED_VALUE"""),"&gt;6 yers old, not pregnant individuals who were mf positive before the primary treatment, who received both primary treatment and re-treatment, and who were examined for mf both at 1 year and 2 years after start of treatment")</f>
        <v>&gt;6 yers old, not pregnant individuals who were mf positive before the primary treatment, who received both primary treatment and re-treatment, and who were examined for mf both at 1 year and 2 years after start of treatment</v>
      </c>
      <c r="P40" s="697" t="str">
        <f>IFERROR(__xludf.DUMMYFUNCTION("""COMPUTED_VALUE"""),"RCT")</f>
        <v>RCT</v>
      </c>
      <c r="Q40" s="697" t="str">
        <f>IFERROR(__xludf.DUMMYFUNCTION("""COMPUTED_VALUE"""),"Yes")</f>
        <v>Yes</v>
      </c>
      <c r="R40" s="697" t="str">
        <f>IFERROR(__xludf.DUMMYFUNCTION("""COMPUTED_VALUE"""),"Yes")</f>
        <v>Yes</v>
      </c>
      <c r="S40" s="697" t="str">
        <f>IFERROR(__xludf.DUMMYFUNCTION("""COMPUTED_VALUE"""),"1, 2 years")</f>
        <v>1, 2 years</v>
      </c>
      <c r="T40" s="697" t="str">
        <f>IFERROR(__xludf.DUMMYFUNCTION("""COMPUTED_VALUE"""),"An important issue when trying to predict the outcome of repeated mass treatment is whether the used drug or drug combination has the same efficacy in each subsequent treatment round (PLAISIER et al., 2000). The present re-treatment study gave the opportu"&amp;"nity to investigate this issue by comparing the reduction in the combmation group after primary and re-treatment. Although a more pronounced reduction was seen after the primary treatment than after the next, the difference was not statistically significa"&amp;"nt. Overall, the efficacy of the combination treatment therefore appeared to be largely independent of the type of primary treatment given, and multiplicative when used repeatedly.")</f>
        <v>An important issue when trying to predict the outcome of repeated mass treatment is whether the used drug or drug combination has the same efficacy in each subsequent treatment round (PLAISIER et al., 2000). The present re-treatment study gave the opportunity to investigate this issue by comparing the reduction in the combmation group after primary and re-treatment. Although a more pronounced reduction was seen after the primary treatment than after the next, the difference was not statistically significant. Overall, the efficacy of the combination treatment therefore appeared to be largely independent of the type of primary treatment given, and multiplicative when used repeatedly.</v>
      </c>
      <c r="U40" s="697"/>
      <c r="V40" s="697">
        <f>IFERROR(__xludf.DUMMYFUNCTION("""COMPUTED_VALUE"""),1999.0)</f>
        <v>1999</v>
      </c>
      <c r="W40" s="697">
        <f>IFERROR(__xludf.DUMMYFUNCTION("""COMPUTED_VALUE"""),1999.0)</f>
        <v>1999</v>
      </c>
      <c r="X40" s="697" t="str">
        <f>IFERROR(__xludf.DUMMYFUNCTION("""COMPUTED_VALUE"""),"Samuel K. Dunyo, Paul E. Simonsen. lvermectin and albendazole alone and in combination for the treatment of lymphatic filariasis in Ghana: follow-up after re-treatment with the combination.TRANSACTIONS OF THE ROYAL SOCIETY OFTROPICAL MEDICINE AND HYGIENE "&amp;"(2002)96,189-192.")</f>
        <v>Samuel K. Dunyo, Paul E. Simonsen. lvermectin and albendazole alone and in combination for the treatment of lymphatic filariasis in Ghana: follow-up after re-treatment with the combination.TRANSACTIONS OF THE ROYAL SOCIETY OFTROPICAL MEDICINE AND HYGIENE (2002)96,189-192.</v>
      </c>
      <c r="Y40" s="697"/>
      <c r="Z40" s="865" t="str">
        <f>IFERROR(__xludf.DUMMYFUNCTION("""COMPUTED_VALUE"""),"https://drive.google.com/file/d/0B4sJPAkX0Jo3dGtKOUJRbFZCcHM/view?usp=sharing")</f>
        <v>https://drive.google.com/file/d/0B4sJPAkX0Jo3dGtKOUJRbFZCcHM/view?usp=sharing</v>
      </c>
      <c r="AA40" s="697"/>
    </row>
    <row r="41">
      <c r="A41" s="697" t="str">
        <f>IFERROR(__xludf.DUMMYFUNCTION("""COMPUTED_VALUE"""),"Helmy, 2006")</f>
        <v>Helmy, 2006</v>
      </c>
      <c r="B41" s="697"/>
      <c r="C41" s="697" t="str">
        <f>IFERROR(__xludf.DUMMYFUNCTION("""COMPUTED_VALUE"""),"Ross")</f>
        <v>Ross</v>
      </c>
      <c r="D41" s="697" t="str">
        <f>IFERROR(__xludf.DUMMYFUNCTION("""COMPUTED_VALUE"""),"Egypt")</f>
        <v>Egypt</v>
      </c>
      <c r="E41" s="697" t="str">
        <f>IFERROR(__xludf.DUMMYFUNCTION("""COMPUTED_VALUE"""),"W. bancrofti")</f>
        <v>W. bancrofti</v>
      </c>
      <c r="F41" s="697" t="str">
        <f>IFERROR(__xludf.DUMMYFUNCTION("""COMPUTED_VALUE"""),"Albendazole &amp; DEC")</f>
        <v>Albendazole &amp; DEC</v>
      </c>
      <c r="G41" s="697" t="str">
        <f>IFERROR(__xludf.DUMMYFUNCTION("""COMPUTED_VALUE"""),"400 mg + 6 mg/kg")</f>
        <v>400 mg + 6 mg/kg</v>
      </c>
      <c r="H41" s="697"/>
      <c r="I41" s="706">
        <f>IFERROR(__xludf.DUMMYFUNCTION("""COMPUTED_VALUE"""),0.899)</f>
        <v>0.899</v>
      </c>
      <c r="J41" s="706">
        <f>IFERROR(__xludf.DUMMYFUNCTION("""COMPUTED_VALUE"""),0.777)</f>
        <v>0.777</v>
      </c>
      <c r="K41" s="697" t="str">
        <f>IFERROR(__xludf.DUMMYFUNCTION("""COMPUTED_VALUE"""),"not available")</f>
        <v>not available</v>
      </c>
      <c r="L41" s="697">
        <f>IFERROR(__xludf.DUMMYFUNCTION("""COMPUTED_VALUE"""),57.0)</f>
        <v>57</v>
      </c>
      <c r="M41" s="10" t="str">
        <f>IFERROR(__xludf.DUMMYFUNCTION("""COMPUTED_VALUE"""),"≥18")</f>
        <v>≥18</v>
      </c>
      <c r="N41" s="864">
        <f>IFERROR(__xludf.DUMMYFUNCTION("""COMPUTED_VALUE"""),0.9)</f>
        <v>0.9</v>
      </c>
      <c r="O41" s="697" t="str">
        <f>IFERROR(__xludf.DUMMYFUNCTION("""COMPUTED_VALUE"""),"Asymptomatic and clinically normal microfilaraemic men and women (≥18 years of age) with night blood counts &gt;80 mf/ml were invited to participate in the study.")</f>
        <v>Asymptomatic and clinically normal microfilaraemic men and women (≥18 years of age) with night blood counts &gt;80 mf/ml were invited to participate in the study.</v>
      </c>
      <c r="P41" s="697"/>
      <c r="Q41" s="697" t="str">
        <f>IFERROR(__xludf.DUMMYFUNCTION("""COMPUTED_VALUE"""),"No")</f>
        <v>No</v>
      </c>
      <c r="R41" s="697" t="str">
        <f>IFERROR(__xludf.DUMMYFUNCTION("""COMPUTED_VALUE"""),"No")</f>
        <v>No</v>
      </c>
      <c r="S41" s="697" t="str">
        <f>IFERROR(__xludf.DUMMYFUNCTION("""COMPUTED_VALUE"""),"48 months")</f>
        <v>48 months</v>
      </c>
      <c r="T41" s="697" t="str">
        <f>IFERROR(__xludf.DUMMYFUNCTION("""COMPUTED_VALUE"""),"Multidose DEC/ALB was more effective in the first treat- ment round than single-dose treatment for reducing and clearing microfilaraemia. The difference in favour of mul- tidose treatment persisted after several rounds of re- treatment with single doses o"&amp;"f DEC/ALB. Multidose treat- ment (especially in the first round of MDA) might decrease the number of cycles needed for elimination of filariasis.")</f>
        <v>Multidose DEC/ALB was more effective in the first treat- ment round than single-dose treatment for reducing and clearing microfilaraemia. The difference in favour of mul- tidose treatment persisted after several rounds of re- treatment with single doses of DEC/ALB. Multidose treat- ment (especially in the first round of MDA) might decrease the number of cycles needed for elimination of filariasis.</v>
      </c>
      <c r="U41" s="697" t="str">
        <f>IFERROR(__xludf.DUMMYFUNCTION("""COMPUTED_VALUE"""),"All subjects in the two groups were re-treated with a
 single dose of DEC/ALB 12, 24 and 36 months after the first
 treatment.")</f>
        <v>All subjects in the two groups were re-treated with a
 single dose of DEC/ALB 12, 24 and 36 months after the first
 treatment.</v>
      </c>
      <c r="V41" s="697">
        <f>IFERROR(__xludf.DUMMYFUNCTION("""COMPUTED_VALUE"""),2000.0)</f>
        <v>2000</v>
      </c>
      <c r="W41" s="697">
        <f>IFERROR(__xludf.DUMMYFUNCTION("""COMPUTED_VALUE"""),2000.0)</f>
        <v>2000</v>
      </c>
      <c r="X41" s="697"/>
      <c r="Y41" s="697" t="str">
        <f>IFERROR(__xludf.DUMMYFUNCTION("""COMPUTED_VALUE"""),"doi:10.1016/j.trstmh.2005.08.015")</f>
        <v>doi:10.1016/j.trstmh.2005.08.015</v>
      </c>
      <c r="Z41" s="865" t="str">
        <f>IFERROR(__xludf.DUMMYFUNCTION("""COMPUTED_VALUE"""),"https://drive.google.com/file/d/0B4sJPAkX0Jo3QUU4eElPS0t4UTQ/view?usp=sharing")</f>
        <v>https://drive.google.com/file/d/0B4sJPAkX0Jo3QUU4eElPS0t4UTQ/view?usp=sharing</v>
      </c>
      <c r="AA41" s="697"/>
    </row>
    <row r="42">
      <c r="A42" s="697" t="str">
        <f>IFERROR(__xludf.DUMMYFUNCTION("""COMPUTED_VALUE"""),"Fischer, 1999")</f>
        <v>Fischer, 1999</v>
      </c>
      <c r="B42" s="697" t="str">
        <f>IFERROR(__xludf.DUMMYFUNCTION("""COMPUTED_VALUE"""),"Chung Soo")</f>
        <v>Chung Soo</v>
      </c>
      <c r="C42" s="697" t="str">
        <f>IFERROR(__xludf.DUMMYFUNCTION("""COMPUTED_VALUE"""),"Ross")</f>
        <v>Ross</v>
      </c>
      <c r="D42" s="697" t="str">
        <f>IFERROR(__xludf.DUMMYFUNCTION("""COMPUTED_VALUE"""),"Uganda")</f>
        <v>Uganda</v>
      </c>
      <c r="E42" s="697" t="str">
        <f>IFERROR(__xludf.DUMMYFUNCTION("""COMPUTED_VALUE"""),"M. strepocerca")</f>
        <v>M. strepocerca</v>
      </c>
      <c r="F42" s="697" t="str">
        <f>IFERROR(__xludf.DUMMYFUNCTION("""COMPUTED_VALUE"""),"Ivermectin")</f>
        <v>Ivermectin</v>
      </c>
      <c r="G42" s="697" t="str">
        <f>IFERROR(__xludf.DUMMYFUNCTION("""COMPUTED_VALUE"""),".150 mg/kg")</f>
        <v>.150 mg/kg</v>
      </c>
      <c r="H42" s="697">
        <f>IFERROR(__xludf.DUMMYFUNCTION("""COMPUTED_VALUE"""),1.0)</f>
        <v>1</v>
      </c>
      <c r="I42" s="706">
        <f>IFERROR(__xludf.DUMMYFUNCTION("""COMPUTED_VALUE"""),0.462)</f>
        <v>0.462</v>
      </c>
      <c r="J42" s="697"/>
      <c r="K42" s="697"/>
      <c r="L42" s="697">
        <f>IFERROR(__xludf.DUMMYFUNCTION("""COMPUTED_VALUE"""),93.0)</f>
        <v>93</v>
      </c>
      <c r="M42" s="697" t="str">
        <f>IFERROR(__xludf.DUMMYFUNCTION("""COMPUTED_VALUE"""),"9-74")</f>
        <v>9-74</v>
      </c>
      <c r="N42" s="705" t="str">
        <f>IFERROR(__xludf.DUMMYFUNCTION("""COMPUTED_VALUE"""),"47:46")</f>
        <v>47:46</v>
      </c>
      <c r="O42" s="697" t="str">
        <f>IFERROR(__xludf.DUMMYFUNCTION("""COMPUTED_VALUE"""),"All study participants had live over 5 years in the endemic area")</f>
        <v>All study participants had live over 5 years in the endemic area</v>
      </c>
      <c r="P42" s="697" t="str">
        <f>IFERROR(__xludf.DUMMYFUNCTION("""COMPUTED_VALUE"""),"community survey with follow-up")</f>
        <v>community survey with follow-up</v>
      </c>
      <c r="Q42" s="697" t="str">
        <f>IFERROR(__xludf.DUMMYFUNCTION("""COMPUTED_VALUE"""),"No")</f>
        <v>No</v>
      </c>
      <c r="R42" s="697" t="str">
        <f>IFERROR(__xludf.DUMMYFUNCTION("""COMPUTED_VALUE"""),"No")</f>
        <v>No</v>
      </c>
      <c r="S42" s="697" t="str">
        <f>IFERROR(__xludf.DUMMYFUNCTION("""COMPUTED_VALUE"""),"12 months")</f>
        <v>12 months</v>
      </c>
      <c r="T42" s="697" t="str">
        <f>IFERROR(__xludf.DUMMYFUNCTION("""COMPUTED_VALUE"""),"Ivermectin is highly effective against M. streptocerca, and a single dose leads to a sustained suppression of microfilariae in skin.")</f>
        <v>Ivermectin is highly effective against M. streptocerca, and a single dose leads to a sustained suppression of microfilariae in skin.</v>
      </c>
      <c r="U42" s="697" t="str">
        <f>IFERROR(__xludf.DUMMYFUNCTION("""COMPUTED_VALUE"""),"Because these filarial parasites are often coendemic with M. streptocerca, the treated population may receive the additional benefit of suppression of M. streptocerca microfilariae.")</f>
        <v>Because these filarial parasites are often coendemic with M. streptocerca, the treated population may receive the additional benefit of suppression of M. streptocerca microfilariae.</v>
      </c>
      <c r="V42" s="697">
        <f>IFERROR(__xludf.DUMMYFUNCTION("""COMPUTED_VALUE"""),1999.0)</f>
        <v>1999</v>
      </c>
      <c r="W42" s="697">
        <f>IFERROR(__xludf.DUMMYFUNCTION("""COMPUTED_VALUE"""),1999.0)</f>
        <v>1999</v>
      </c>
      <c r="X42" s="697" t="str">
        <f>IFERROR(__xludf.DUMMYFUNCTION("""COMPUTED_VALUE"""),"Fischer P, Tukesiga E, Büttner DW.  Long‐Term Suppression of Mansonella streptocerca Microfilariae after Treatment with Ivermectin . J INFECT DIS. Oxford University Press (OUP); 1999 Oct;180(4):1403–5.")</f>
        <v>Fischer P, Tukesiga E, Büttner DW.  Long‐Term Suppression of Mansonella streptocerca Microfilariae after Treatment with Ivermectin . J INFECT DIS. Oxford University Press (OUP); 1999 Oct;180(4):1403–5.</v>
      </c>
      <c r="Y42" s="697" t="str">
        <f>IFERROR(__xludf.DUMMYFUNCTION("""COMPUTED_VALUE"""),"10.1086/315014")</f>
        <v>10.1086/315014</v>
      </c>
      <c r="Z42" s="865" t="str">
        <f>IFERROR(__xludf.DUMMYFUNCTION("""COMPUTED_VALUE"""),"https://drive.google.com/file/d/0B0-pry4DSOm3a3JIN0U1X0tOOTg/view?usp=sharing")</f>
        <v>https://drive.google.com/file/d/0B0-pry4DSOm3a3JIN0U1X0tOOTg/view?usp=sharing</v>
      </c>
      <c r="AA42" s="697"/>
    </row>
    <row r="43">
      <c r="A43" s="697" t="str">
        <f>IFERROR(__xludf.DUMMYFUNCTION("""COMPUTED_VALUE"""),"Fox LM, 2005")</f>
        <v>Fox LM, 2005</v>
      </c>
      <c r="B43" s="697"/>
      <c r="C43" s="697" t="str">
        <f>IFERROR(__xludf.DUMMYFUNCTION("""COMPUTED_VALUE"""),"Alex")</f>
        <v>Alex</v>
      </c>
      <c r="D43" s="697" t="str">
        <f>IFERROR(__xludf.DUMMYFUNCTION("""COMPUTED_VALUE"""),"Haiti")</f>
        <v>Haiti</v>
      </c>
      <c r="E43" s="697" t="str">
        <f>IFERROR(__xludf.DUMMYFUNCTION("""COMPUTED_VALUE"""),"W. bancrofti")</f>
        <v>W. bancrofti</v>
      </c>
      <c r="F43" s="697" t="str">
        <f>IFERROR(__xludf.DUMMYFUNCTION("""COMPUTED_VALUE"""),"Albendazole")</f>
        <v>Albendazole</v>
      </c>
      <c r="G43" s="697" t="str">
        <f>IFERROR(__xludf.DUMMYFUNCTION("""COMPUTED_VALUE"""),"400 mg")</f>
        <v>400 mg</v>
      </c>
      <c r="H43" s="697">
        <f>IFERROR(__xludf.DUMMYFUNCTION("""COMPUTED_VALUE"""),1.0)</f>
        <v>1</v>
      </c>
      <c r="I43" s="706">
        <f>IFERROR(__xludf.DUMMYFUNCTION("""COMPUTED_VALUE"""),0.347)</f>
        <v>0.347</v>
      </c>
      <c r="J43" s="698">
        <f>IFERROR(__xludf.DUMMYFUNCTION("""COMPUTED_VALUE"""),0.016)</f>
        <v>0.016</v>
      </c>
      <c r="K43" s="697" t="str">
        <f>IFERROR(__xludf.DUMMYFUNCTION("""COMPUTED_VALUE"""),"Not available")</f>
        <v>Not available</v>
      </c>
      <c r="L43" s="697">
        <f>IFERROR(__xludf.DUMMYFUNCTION("""COMPUTED_VALUE"""),256.0)</f>
        <v>256</v>
      </c>
      <c r="M43" s="697" t="str">
        <f>IFERROR(__xludf.DUMMYFUNCTION("""COMPUTED_VALUE"""),"5- 11")</f>
        <v>5- 11</v>
      </c>
      <c r="N43" s="697" t="str">
        <f>IFERROR(__xludf.DUMMYFUNCTION("""COMPUTED_VALUE"""),"1.28: 1")</f>
        <v>1.28: 1</v>
      </c>
      <c r="O43" s="697" t="str">
        <f>IFERROR(__xludf.DUMMYFUNCTION("""COMPUTED_VALUE"""),"Inclusion in final analysis group was depenedant on and age of 5 -11 years, anthropometric measurements havinf been performed before treatment and 6 months after, stool specimens collected before and 5 months after treatment, MF smears collected before an"&amp;"d 6 months after treatment, and rando assignment to a treatment group")</f>
        <v>Inclusion in final analysis group was depenedant on and age of 5 -11 years, anthropometric measurements havinf been performed before treatment and 6 months after, stool specimens collected before and 5 months after treatment, MF smears collected before and 6 months after treatment, and rando assignment to a treatment group</v>
      </c>
      <c r="P43" s="697" t="str">
        <f>IFERROR(__xludf.DUMMYFUNCTION("""COMPUTED_VALUE"""),"double-blind, RCT")</f>
        <v>double-blind, RCT</v>
      </c>
      <c r="Q43" s="697" t="str">
        <f>IFERROR(__xludf.DUMMYFUNCTION("""COMPUTED_VALUE"""),"Yes")</f>
        <v>Yes</v>
      </c>
      <c r="R43" s="697" t="str">
        <f>IFERROR(__xludf.DUMMYFUNCTION("""COMPUTED_VALUE"""),"Yes")</f>
        <v>Yes</v>
      </c>
      <c r="S43" s="697" t="str">
        <f>IFERROR(__xludf.DUMMYFUNCTION("""COMPUTED_VALUE""")," 6 months")</f>
        <v> 6 months</v>
      </c>
      <c r="T43" s="697"/>
      <c r="U43" s="697"/>
      <c r="V43" s="697">
        <f>IFERROR(__xludf.DUMMYFUNCTION("""COMPUTED_VALUE"""),2005.0)</f>
        <v>2005</v>
      </c>
      <c r="W43" s="697">
        <f>IFERROR(__xludf.DUMMYFUNCTION("""COMPUTED_VALUE"""),2005.0)</f>
        <v>2005</v>
      </c>
      <c r="X43" s="697" t="str">
        <f>IFERROR(__xludf.DUMMYFUNCTION("""COMPUTED_VALUE"""),"Fox LM, Furness BW, Haser JK, et al. Tolerance and efficacy of combined diethylcarbamazine and albendazole for treatment of Wuchereria bancrofti and intestinal helminth infections in Haitian children. American Journal of Tropical Medicine and Hygiene. 200"&amp;"5;73(1):115–121.")</f>
        <v>Fox LM, Furness BW, Haser JK, et al. Tolerance and efficacy of combined diethylcarbamazine and albendazole for treatment of Wuchereria bancrofti and intestinal helminth infections in Haitian children. American Journal of Tropical Medicine and Hygiene. 2005;73(1):115–121.</v>
      </c>
      <c r="Y43" s="697"/>
      <c r="Z43" s="865" t="str">
        <f>IFERROR(__xludf.DUMMYFUNCTION("""COMPUTED_VALUE"""),"https://drive.google.com/file/d/0B95WhYooraDeSHh2b2VXSlUxdzQ/view?usp=sharing")</f>
        <v>https://drive.google.com/file/d/0B95WhYooraDeSHh2b2VXSlUxdzQ/view?usp=sharing</v>
      </c>
      <c r="AA43" s="697"/>
    </row>
    <row r="44">
      <c r="A44" s="697" t="str">
        <f>IFERROR(__xludf.DUMMYFUNCTION("""COMPUTED_VALUE"""),"Fox LM, 2005")</f>
        <v>Fox LM, 2005</v>
      </c>
      <c r="B44" s="697"/>
      <c r="C44" s="697" t="str">
        <f>IFERROR(__xludf.DUMMYFUNCTION("""COMPUTED_VALUE"""),"Alex")</f>
        <v>Alex</v>
      </c>
      <c r="D44" s="697" t="str">
        <f>IFERROR(__xludf.DUMMYFUNCTION("""COMPUTED_VALUE"""),"Haiti")</f>
        <v>Haiti</v>
      </c>
      <c r="E44" s="697" t="str">
        <f>IFERROR(__xludf.DUMMYFUNCTION("""COMPUTED_VALUE"""),"W. bancrofti")</f>
        <v>W. bancrofti</v>
      </c>
      <c r="F44" s="697" t="str">
        <f>IFERROR(__xludf.DUMMYFUNCTION("""COMPUTED_VALUE"""),"DEC")</f>
        <v>DEC</v>
      </c>
      <c r="G44" s="697" t="str">
        <f>IFERROR(__xludf.DUMMYFUNCTION("""COMPUTED_VALUE"""),"6mg/kg ")</f>
        <v>6mg/kg </v>
      </c>
      <c r="H44" s="697">
        <f>IFERROR(__xludf.DUMMYFUNCTION("""COMPUTED_VALUE"""),1.0)</f>
        <v>1</v>
      </c>
      <c r="I44" s="706">
        <f>IFERROR(__xludf.DUMMYFUNCTION("""COMPUTED_VALUE"""),0.504)</f>
        <v>0.504</v>
      </c>
      <c r="J44" s="698">
        <f>IFERROR(__xludf.DUMMYFUNCTION("""COMPUTED_VALUE"""),0.074)</f>
        <v>0.074</v>
      </c>
      <c r="K44" s="697" t="str">
        <f>IFERROR(__xludf.DUMMYFUNCTION("""COMPUTED_VALUE"""),"Not available")</f>
        <v>Not available</v>
      </c>
      <c r="L44" s="697">
        <f>IFERROR(__xludf.DUMMYFUNCTION("""COMPUTED_VALUE"""),246.0)</f>
        <v>246</v>
      </c>
      <c r="M44" s="697" t="str">
        <f>IFERROR(__xludf.DUMMYFUNCTION("""COMPUTED_VALUE"""),"5- 11")</f>
        <v>5- 11</v>
      </c>
      <c r="N44" s="862" t="str">
        <f>IFERROR(__xludf.DUMMYFUNCTION("""COMPUTED_VALUE"""),"1.14: 1")</f>
        <v>1.14: 1</v>
      </c>
      <c r="O44" s="697" t="str">
        <f>IFERROR(__xludf.DUMMYFUNCTION("""COMPUTED_VALUE"""),"Inclusion in final analysis group was depenedant on and age of 5 -11 years, anthropometric measurements havinf been performed before treatment and 6 months after, stool specimens collected before and 5 months after treatment, MF smears collected before an"&amp;"d 6 months after treatment, and rando assignment to a treatment group")</f>
        <v>Inclusion in final analysis group was depenedant on and age of 5 -11 years, anthropometric measurements havinf been performed before treatment and 6 months after, stool specimens collected before and 5 months after treatment, MF smears collected before and 6 months after treatment, and rando assignment to a treatment group</v>
      </c>
      <c r="P44" s="697" t="str">
        <f>IFERROR(__xludf.DUMMYFUNCTION("""COMPUTED_VALUE"""),"double-blind, RCT")</f>
        <v>double-blind, RCT</v>
      </c>
      <c r="Q44" s="697" t="str">
        <f>IFERROR(__xludf.DUMMYFUNCTION("""COMPUTED_VALUE"""),"Yes")</f>
        <v>Yes</v>
      </c>
      <c r="R44" s="697" t="str">
        <f>IFERROR(__xludf.DUMMYFUNCTION("""COMPUTED_VALUE"""),"Yes")</f>
        <v>Yes</v>
      </c>
      <c r="S44" s="697" t="str">
        <f>IFERROR(__xludf.DUMMYFUNCTION("""COMPUTED_VALUE""")," 6 months")</f>
        <v> 6 months</v>
      </c>
      <c r="T44" s="697"/>
      <c r="U44" s="697"/>
      <c r="V44" s="697">
        <f>IFERROR(__xludf.DUMMYFUNCTION("""COMPUTED_VALUE"""),2005.0)</f>
        <v>2005</v>
      </c>
      <c r="W44" s="697">
        <f>IFERROR(__xludf.DUMMYFUNCTION("""COMPUTED_VALUE"""),2005.0)</f>
        <v>2005</v>
      </c>
      <c r="X44" s="697" t="str">
        <f>IFERROR(__xludf.DUMMYFUNCTION("""COMPUTED_VALUE"""),"Fox LM, Furness BW, Haser JK, et al. Tolerance and efficacy of combined diethylcarbamazine and albendazole for treatment of Wuchereria bancrofti and intestinal helminth infections in Haitian children. American Journal of Tropical Medicine and Hygiene. 200"&amp;"5;73(1):115–121.")</f>
        <v>Fox LM, Furness BW, Haser JK, et al. Tolerance and efficacy of combined diethylcarbamazine and albendazole for treatment of Wuchereria bancrofti and intestinal helminth infections in Haitian children. American Journal of Tropical Medicine and Hygiene. 2005;73(1):115–121.</v>
      </c>
      <c r="Y44" s="697"/>
      <c r="Z44" s="865" t="str">
        <f>IFERROR(__xludf.DUMMYFUNCTION("""COMPUTED_VALUE"""),"https://drive.google.com/file/d/0B95WhYooraDeSHh2b2VXSlUxdzQ/view?usp=sharing")</f>
        <v>https://drive.google.com/file/d/0B95WhYooraDeSHh2b2VXSlUxdzQ/view?usp=sharing</v>
      </c>
      <c r="AA44" s="697"/>
    </row>
    <row r="45">
      <c r="A45" s="697" t="str">
        <f>IFERROR(__xludf.DUMMYFUNCTION("""COMPUTED_VALUE"""),"Helmy, 2006")</f>
        <v>Helmy, 2006</v>
      </c>
      <c r="B45" s="697"/>
      <c r="C45" s="697" t="str">
        <f>IFERROR(__xludf.DUMMYFUNCTION("""COMPUTED_VALUE"""),"Ross")</f>
        <v>Ross</v>
      </c>
      <c r="D45" s="697" t="str">
        <f>IFERROR(__xludf.DUMMYFUNCTION("""COMPUTED_VALUE"""),"Egypt")</f>
        <v>Egypt</v>
      </c>
      <c r="E45" s="697" t="str">
        <f>IFERROR(__xludf.DUMMYFUNCTION("""COMPUTED_VALUE"""),"W. bancrofti")</f>
        <v>W. bancrofti</v>
      </c>
      <c r="F45" s="697" t="str">
        <f>IFERROR(__xludf.DUMMYFUNCTION("""COMPUTED_VALUE"""),"Albendazole &amp; DEC")</f>
        <v>Albendazole &amp; DEC</v>
      </c>
      <c r="G45" s="697" t="str">
        <f>IFERROR(__xludf.DUMMYFUNCTION("""COMPUTED_VALUE"""),"400 mg + 6 mg/kg, 7 days")</f>
        <v>400 mg + 6 mg/kg, 7 days</v>
      </c>
      <c r="H45" s="697"/>
      <c r="I45" s="706">
        <f>IFERROR(__xludf.DUMMYFUNCTION("""COMPUTED_VALUE"""),1.0)</f>
        <v>1</v>
      </c>
      <c r="J45" s="706">
        <f>IFERROR(__xludf.DUMMYFUNCTION("""COMPUTED_VALUE"""),0.81)</f>
        <v>0.81</v>
      </c>
      <c r="K45" s="697" t="str">
        <f>IFERROR(__xludf.DUMMYFUNCTION("""COMPUTED_VALUE"""),"not available")</f>
        <v>not available</v>
      </c>
      <c r="L45" s="697">
        <f>IFERROR(__xludf.DUMMYFUNCTION("""COMPUTED_VALUE"""),57.0)</f>
        <v>57</v>
      </c>
      <c r="M45" s="10" t="str">
        <f>IFERROR(__xludf.DUMMYFUNCTION("""COMPUTED_VALUE"""),"≥18")</f>
        <v>≥18</v>
      </c>
      <c r="N45" s="864">
        <f>IFERROR(__xludf.DUMMYFUNCTION("""COMPUTED_VALUE"""),0.9)</f>
        <v>0.9</v>
      </c>
      <c r="O45" s="697" t="str">
        <f>IFERROR(__xludf.DUMMYFUNCTION("""COMPUTED_VALUE"""),"Asymptomatic and clinically normal microfilaraemic men and women (≥18 years of age) with night blood counts &gt;80 mf/ml were invited to participate in the study.")</f>
        <v>Asymptomatic and clinically normal microfilaraemic men and women (≥18 years of age) with night blood counts &gt;80 mf/ml were invited to participate in the study.</v>
      </c>
      <c r="P45" s="697"/>
      <c r="Q45" s="697" t="str">
        <f>IFERROR(__xludf.DUMMYFUNCTION("""COMPUTED_VALUE"""),"No")</f>
        <v>No</v>
      </c>
      <c r="R45" s="697" t="str">
        <f>IFERROR(__xludf.DUMMYFUNCTION("""COMPUTED_VALUE"""),"No")</f>
        <v>No</v>
      </c>
      <c r="S45" s="697" t="str">
        <f>IFERROR(__xludf.DUMMYFUNCTION("""COMPUTED_VALUE"""),"48 months")</f>
        <v>48 months</v>
      </c>
      <c r="T45" s="697" t="str">
        <f>IFERROR(__xludf.DUMMYFUNCTION("""COMPUTED_VALUE"""),"Multidose DEC/ALB was more effective in the first treat- ment round than single-dose treatment for reducing and clearing microfilaraemia. The difference in favour of mul- tidose treatment persisted after several rounds of re- treatment with single doses o"&amp;"f DEC/ALB. Multidose treat- ment (especially in the first round of MDA) might decrease the number of cycles needed for elimination of filariasis.")</f>
        <v>Multidose DEC/ALB was more effective in the first treat- ment round than single-dose treatment for reducing and clearing microfilaraemia. The difference in favour of mul- tidose treatment persisted after several rounds of re- treatment with single doses of DEC/ALB. Multidose treat- ment (especially in the first round of MDA) might decrease the number of cycles needed for elimination of filariasis.</v>
      </c>
      <c r="U45" s="697" t="str">
        <f>IFERROR(__xludf.DUMMYFUNCTION("""COMPUTED_VALUE"""),"All subjects in the two groups were re-treated with a
 single dose of DEC/ALB 12, 24 and 36 months after the first
 treatment.")</f>
        <v>All subjects in the two groups were re-treated with a
 single dose of DEC/ALB 12, 24 and 36 months after the first
 treatment.</v>
      </c>
      <c r="V45" s="697">
        <f>IFERROR(__xludf.DUMMYFUNCTION("""COMPUTED_VALUE"""),2000.0)</f>
        <v>2000</v>
      </c>
      <c r="W45" s="697">
        <f>IFERROR(__xludf.DUMMYFUNCTION("""COMPUTED_VALUE"""),2000.0)</f>
        <v>2000</v>
      </c>
      <c r="X45" s="697"/>
      <c r="Y45" s="697" t="str">
        <f>IFERROR(__xludf.DUMMYFUNCTION("""COMPUTED_VALUE"""),"doi:10.1016/j.trstmh.2005.08.015")</f>
        <v>doi:10.1016/j.trstmh.2005.08.015</v>
      </c>
      <c r="Z45" s="865" t="str">
        <f>IFERROR(__xludf.DUMMYFUNCTION("""COMPUTED_VALUE"""),"https://drive.google.com/file/d/0B4sJPAkX0Jo3QUU4eElPS0t4UTQ/view?usp=sharing")</f>
        <v>https://drive.google.com/file/d/0B4sJPAkX0Jo3QUU4eElPS0t4UTQ/view?usp=sharing</v>
      </c>
      <c r="AA45" s="697"/>
    </row>
    <row r="46">
      <c r="A46" s="697" t="str">
        <f>IFERROR(__xludf.DUMMYFUNCTION("""COMPUTED_VALUE"""),"Fox LM, 2005")</f>
        <v>Fox LM, 2005</v>
      </c>
      <c r="B46" s="697"/>
      <c r="C46" s="697" t="str">
        <f>IFERROR(__xludf.DUMMYFUNCTION("""COMPUTED_VALUE"""),"Alex")</f>
        <v>Alex</v>
      </c>
      <c r="D46" s="697" t="str">
        <f>IFERROR(__xludf.DUMMYFUNCTION("""COMPUTED_VALUE"""),"Haiti")</f>
        <v>Haiti</v>
      </c>
      <c r="E46" s="697" t="str">
        <f>IFERROR(__xludf.DUMMYFUNCTION("""COMPUTED_VALUE"""),"W. bancrofti")</f>
        <v>W. bancrofti</v>
      </c>
      <c r="F46" s="697" t="str">
        <f>IFERROR(__xludf.DUMMYFUNCTION("""COMPUTED_VALUE"""),"Placebo")</f>
        <v>Placebo</v>
      </c>
      <c r="G46" s="697" t="str">
        <f>IFERROR(__xludf.DUMMYFUNCTION("""COMPUTED_VALUE"""),"250mg")</f>
        <v>250mg</v>
      </c>
      <c r="H46" s="697">
        <f>IFERROR(__xludf.DUMMYFUNCTION("""COMPUTED_VALUE"""),1.0)</f>
        <v>1</v>
      </c>
      <c r="I46" s="706">
        <f>IFERROR(__xludf.DUMMYFUNCTION("""COMPUTED_VALUE"""),0.103)</f>
        <v>0.103</v>
      </c>
      <c r="J46" s="700">
        <f>IFERROR(__xludf.DUMMYFUNCTION("""COMPUTED_VALUE"""),0.0)</f>
        <v>0</v>
      </c>
      <c r="K46" s="697" t="str">
        <f>IFERROR(__xludf.DUMMYFUNCTION("""COMPUTED_VALUE"""),"Not available")</f>
        <v>Not available</v>
      </c>
      <c r="L46" s="697">
        <f>IFERROR(__xludf.DUMMYFUNCTION("""COMPUTED_VALUE"""),243.0)</f>
        <v>243</v>
      </c>
      <c r="M46" s="697" t="str">
        <f>IFERROR(__xludf.DUMMYFUNCTION("""COMPUTED_VALUE"""),"5- 11")</f>
        <v>5- 11</v>
      </c>
      <c r="N46" s="862" t="str">
        <f>IFERROR(__xludf.DUMMYFUNCTION("""COMPUTED_VALUE"""),"1.19: 1")</f>
        <v>1.19: 1</v>
      </c>
      <c r="O46" s="697" t="str">
        <f>IFERROR(__xludf.DUMMYFUNCTION("""COMPUTED_VALUE"""),"Inclusion in final analysis group was depenedant on and age of 5 -11 years, anthropometric measurements havinf been performed before treatment and 6 months after, stool specimens collected before and 5 months after treatment, MF smears collected before an"&amp;"d 6 months after treatment, and rando assignment to a treatment group")</f>
        <v>Inclusion in final analysis group was depenedant on and age of 5 -11 years, anthropometric measurements havinf been performed before treatment and 6 months after, stool specimens collected before and 5 months after treatment, MF smears collected before and 6 months after treatment, and rando assignment to a treatment group</v>
      </c>
      <c r="P46" s="697" t="str">
        <f>IFERROR(__xludf.DUMMYFUNCTION("""COMPUTED_VALUE"""),"double-blind, RCT")</f>
        <v>double-blind, RCT</v>
      </c>
      <c r="Q46" s="697" t="str">
        <f>IFERROR(__xludf.DUMMYFUNCTION("""COMPUTED_VALUE"""),"Yes")</f>
        <v>Yes</v>
      </c>
      <c r="R46" s="697" t="str">
        <f>IFERROR(__xludf.DUMMYFUNCTION("""COMPUTED_VALUE"""),"Yes")</f>
        <v>Yes</v>
      </c>
      <c r="S46" s="697" t="str">
        <f>IFERROR(__xludf.DUMMYFUNCTION("""COMPUTED_VALUE"""),"6 months")</f>
        <v>6 months</v>
      </c>
      <c r="T46" s="697"/>
      <c r="U46" s="697"/>
      <c r="V46" s="697">
        <f>IFERROR(__xludf.DUMMYFUNCTION("""COMPUTED_VALUE"""),2005.0)</f>
        <v>2005</v>
      </c>
      <c r="W46" s="697">
        <f>IFERROR(__xludf.DUMMYFUNCTION("""COMPUTED_VALUE"""),2005.0)</f>
        <v>2005</v>
      </c>
      <c r="X46" s="697" t="str">
        <f>IFERROR(__xludf.DUMMYFUNCTION("""COMPUTED_VALUE"""),"Fox LM, Furness BW, Haser JK, et al. Tolerance and efficacy of combined diethylcarbamazine and albendazole for treatment of Wuchereria bancrofti and intestinal helminth infections in Haitian children. American Journal of Tropical Medicine and Hygiene. 200"&amp;"5;73(1):115–121.")</f>
        <v>Fox LM, Furness BW, Haser JK, et al. Tolerance and efficacy of combined diethylcarbamazine and albendazole for treatment of Wuchereria bancrofti and intestinal helminth infections in Haitian children. American Journal of Tropical Medicine and Hygiene. 2005;73(1):115–121.</v>
      </c>
      <c r="Y46" s="697"/>
      <c r="Z46" s="865" t="str">
        <f>IFERROR(__xludf.DUMMYFUNCTION("""COMPUTED_VALUE"""),"https://drive.google.com/file/d/0B95WhYooraDeSHh2b2VXSlUxdzQ/view?usp=sharing")</f>
        <v>https://drive.google.com/file/d/0B95WhYooraDeSHh2b2VXSlUxdzQ/view?usp=sharing</v>
      </c>
      <c r="AA46" s="697"/>
    </row>
    <row r="47">
      <c r="A47" s="697" t="str">
        <f>IFERROR(__xludf.DUMMYFUNCTION("""COMPUTED_VALUE"""),"Gayen 2013")</f>
        <v>Gayen 2013</v>
      </c>
      <c r="B47" s="697" t="str">
        <f>IFERROR(__xludf.DUMMYFUNCTION("""COMPUTED_VALUE"""),"Kirti")</f>
        <v>Kirti</v>
      </c>
      <c r="C47" s="697" t="str">
        <f>IFERROR(__xludf.DUMMYFUNCTION("""COMPUTED_VALUE"""),"Kirti")</f>
        <v>Kirti</v>
      </c>
      <c r="D47" s="697" t="str">
        <f>IFERROR(__xludf.DUMMYFUNCTION("""COMPUTED_VALUE"""),"India")</f>
        <v>India</v>
      </c>
      <c r="E47" s="697" t="str">
        <f>IFERROR(__xludf.DUMMYFUNCTION("""COMPUTED_VALUE"""),"W. bancrofti")</f>
        <v>W. bancrofti</v>
      </c>
      <c r="F47" s="697" t="str">
        <f>IFERROR(__xludf.DUMMYFUNCTION("""COMPUTED_VALUE"""),"Doxycycline")</f>
        <v>Doxycycline</v>
      </c>
      <c r="G47" s="697" t="str">
        <f>IFERROR(__xludf.DUMMYFUNCTION("""COMPUTED_VALUE"""),"200 mg")</f>
        <v>200 mg</v>
      </c>
      <c r="H47" s="697">
        <f>IFERROR(__xludf.DUMMYFUNCTION("""COMPUTED_VALUE"""),30.0)</f>
        <v>30</v>
      </c>
      <c r="I47" s="706">
        <f>IFERROR(__xludf.DUMMYFUNCTION("""COMPUTED_VALUE"""),0.69)</f>
        <v>0.69</v>
      </c>
      <c r="J47" s="706">
        <f>IFERROR(__xludf.DUMMYFUNCTION("""COMPUTED_VALUE"""),0.0)</f>
        <v>0</v>
      </c>
      <c r="K47" s="697" t="str">
        <f>IFERROR(__xludf.DUMMYFUNCTION("""COMPUTED_VALUE"""),"not available")</f>
        <v>not available</v>
      </c>
      <c r="L47" s="697">
        <f>IFERROR(__xludf.DUMMYFUNCTION("""COMPUTED_VALUE"""),17.0)</f>
        <v>17</v>
      </c>
      <c r="M47" s="10" t="str">
        <f>IFERROR(__xludf.DUMMYFUNCTION("""COMPUTED_VALUE"""),"18-65")</f>
        <v>18-65</v>
      </c>
      <c r="N47" s="866">
        <f>IFERROR(__xludf.DUMMYFUNCTION("""COMPUTED_VALUE"""),0.04236111111111111)</f>
        <v>0.04236111111</v>
      </c>
      <c r="O47" s="697" t="str">
        <f>IFERROR(__xludf.DUMMYFUNCTION("""COMPUTED_VALUE"""),"A minimum body weight of 40 kg and were in good health and females who were not pregnant and were not breast feeding. Exclusion criteria included abnormal hepatic and renal function (SGPT &gt; 60 I.U./L, SGOT &gt; 40 I.U./L, Creatinine &gt;1.4 mg/100 ml), intolera"&amp;"nce to doxycycline and ABZ and history of alcohol abuse.")</f>
        <v>A minimum body weight of 40 kg and were in good health and females who were not pregnant and were not breast feeding. Exclusion criteria included abnormal hepatic and renal function (SGPT &gt; 60 I.U./L, SGOT &gt; 40 I.U./L, Creatinine &gt;1.4 mg/100 ml), intolerance to doxycycline and ABZ and history of alcohol abuse.</v>
      </c>
      <c r="P47" s="697" t="str">
        <f>IFERROR(__xludf.DUMMYFUNCTION("""COMPUTED_VALUE"""),"double-blind, placebo controlled field trial")</f>
        <v>double-blind, placebo controlled field trial</v>
      </c>
      <c r="Q47" s="697" t="str">
        <f>IFERROR(__xludf.DUMMYFUNCTION("""COMPUTED_VALUE"""),"Yes")</f>
        <v>Yes</v>
      </c>
      <c r="R47" s="697" t="str">
        <f>IFERROR(__xludf.DUMMYFUNCTION("""COMPUTED_VALUE"""),"Yes")</f>
        <v>Yes</v>
      </c>
      <c r="S47" s="697" t="str">
        <f>IFERROR(__xludf.DUMMYFUNCTION("""COMPUTED_VALUE"""),"120 days, 365 days")</f>
        <v>120 days, 365 days</v>
      </c>
      <c r="T47" s="697" t="str">
        <f>IFERROR(__xludf.DUMMYFUNCTION("""COMPUTED_VALUE"""),"A 30-day course of doxycycline and ABZ in combination is a safe and well-tolerated treatment for lymphatic filariasis with significant activity against microfilaremia.")</f>
        <v>A 30-day course of doxycycline and ABZ in combination is a safe and well-tolerated treatment for lymphatic filariasis with significant activity against microfilaremia.</v>
      </c>
      <c r="U47" s="697" t="str">
        <f>IFERROR(__xludf.DUMMYFUNCTION("""COMPUTED_VALUE"""),"The ratio of Female to Male has been entered on the basis of the whole population invovlved in the study. All the groups were given DEC + Albendazole after 12 months of the treatment. ")</f>
        <v>The ratio of Female to Male has been entered on the basis of the whole population invovlved in the study. All the groups were given DEC + Albendazole after 12 months of the treatment. </v>
      </c>
      <c r="V47" s="697" t="str">
        <f>IFERROR(__xludf.DUMMYFUNCTION("""COMPUTED_VALUE"""),"2006-2008")</f>
        <v>2006-2008</v>
      </c>
      <c r="W47" s="697">
        <f>IFERROR(__xludf.DUMMYFUNCTION("""COMPUTED_VALUE"""),2008.0)</f>
        <v>2008</v>
      </c>
      <c r="X47" s="697" t="str">
        <f>IFERROR(__xludf.DUMMYFUNCTION("""COMPUTED_VALUE"""),"Gayen P, Nayak A, Saini P, Mukherjee N, Maitra S, et al. A double-blind controlled field trial of doxycycline and albendazole in combination for the treatment of bancroftian filariasis in India. Acta Tropica 2013; 125 (2): 150-156.")</f>
        <v>Gayen P, Nayak A, Saini P, Mukherjee N, Maitra S, et al. A double-blind controlled field trial of doxycycline and albendazole in combination for the treatment of bancroftian filariasis in India. Acta Tropica 2013; 125 (2): 150-156.</v>
      </c>
      <c r="Y47" s="697" t="str">
        <f>IFERROR(__xludf.DUMMYFUNCTION("""COMPUTED_VALUE"""),"doi: 10.1016/j.actatropica.2012.10.011")</f>
        <v>doi: 10.1016/j.actatropica.2012.10.011</v>
      </c>
      <c r="Z47" s="865" t="str">
        <f>IFERROR(__xludf.DUMMYFUNCTION("""COMPUTED_VALUE"""),"https://drive.google.com/file/d/0B0-pry4DSOm3bkFHbUF2SHFTME0/view?usp=sharing")</f>
        <v>https://drive.google.com/file/d/0B0-pry4DSOm3bkFHbUF2SHFTME0/view?usp=sharing</v>
      </c>
      <c r="AA47" s="697"/>
    </row>
    <row r="48">
      <c r="A48" s="697" t="str">
        <f>IFERROR(__xludf.DUMMYFUNCTION("""COMPUTED_VALUE"""),"Gayen 2013")</f>
        <v>Gayen 2013</v>
      </c>
      <c r="B48" s="697" t="str">
        <f>IFERROR(__xludf.DUMMYFUNCTION("""COMPUTED_VALUE"""),"Kirti")</f>
        <v>Kirti</v>
      </c>
      <c r="C48" s="697" t="str">
        <f>IFERROR(__xludf.DUMMYFUNCTION("""COMPUTED_VALUE"""),"Kirti")</f>
        <v>Kirti</v>
      </c>
      <c r="D48" s="697" t="str">
        <f>IFERROR(__xludf.DUMMYFUNCTION("""COMPUTED_VALUE"""),"India")</f>
        <v>India</v>
      </c>
      <c r="E48" s="697" t="str">
        <f>IFERROR(__xludf.DUMMYFUNCTION("""COMPUTED_VALUE"""),"W. bancrofti")</f>
        <v>W. bancrofti</v>
      </c>
      <c r="F48" s="697" t="str">
        <f>IFERROR(__xludf.DUMMYFUNCTION("""COMPUTED_VALUE"""),"Albendazole ")</f>
        <v>Albendazole </v>
      </c>
      <c r="G48" s="697" t="str">
        <f>IFERROR(__xludf.DUMMYFUNCTION("""COMPUTED_VALUE"""),"400 mg ")</f>
        <v>400 mg </v>
      </c>
      <c r="H48" s="697">
        <f>IFERROR(__xludf.DUMMYFUNCTION("""COMPUTED_VALUE"""),7.0)</f>
        <v>7</v>
      </c>
      <c r="I48" s="706">
        <f>IFERROR(__xludf.DUMMYFUNCTION("""COMPUTED_VALUE"""),0.89)</f>
        <v>0.89</v>
      </c>
      <c r="J48" s="706">
        <f>IFERROR(__xludf.DUMMYFUNCTION("""COMPUTED_VALUE"""),0.0)</f>
        <v>0</v>
      </c>
      <c r="K48" s="697" t="str">
        <f>IFERROR(__xludf.DUMMYFUNCTION("""COMPUTED_VALUE"""),"not available")</f>
        <v>not available</v>
      </c>
      <c r="L48" s="697">
        <f>IFERROR(__xludf.DUMMYFUNCTION("""COMPUTED_VALUE"""),17.0)</f>
        <v>17</v>
      </c>
      <c r="M48" s="10" t="str">
        <f>IFERROR(__xludf.DUMMYFUNCTION("""COMPUTED_VALUE"""),"18-65")</f>
        <v>18-65</v>
      </c>
      <c r="N48" s="866">
        <f>IFERROR(__xludf.DUMMYFUNCTION("""COMPUTED_VALUE"""),0.04236111111111111)</f>
        <v>0.04236111111</v>
      </c>
      <c r="O48" s="697" t="str">
        <f>IFERROR(__xludf.DUMMYFUNCTION("""COMPUTED_VALUE"""),"A minimum body weight of 40 kg and were in good health and females who were not pregnant and were not breast feeding. Exclusion criteria included abnormal hepatic and renal function (SGPT &gt; 60 I.U./L, SGOT &gt; 40 I.U./L, Creatinine &gt;1.4 mg/100 ml), intolera"&amp;"nce to doxycycline and ABZ and history of alcohol abuse.")</f>
        <v>A minimum body weight of 40 kg and were in good health and females who were not pregnant and were not breast feeding. Exclusion criteria included abnormal hepatic and renal function (SGPT &gt; 60 I.U./L, SGOT &gt; 40 I.U./L, Creatinine &gt;1.4 mg/100 ml), intolerance to doxycycline and ABZ and history of alcohol abuse.</v>
      </c>
      <c r="P48" s="697" t="str">
        <f>IFERROR(__xludf.DUMMYFUNCTION("""COMPUTED_VALUE"""),"double-blind, placebo controlled field trial")</f>
        <v>double-blind, placebo controlled field trial</v>
      </c>
      <c r="Q48" s="697" t="str">
        <f>IFERROR(__xludf.DUMMYFUNCTION("""COMPUTED_VALUE"""),"Yes")</f>
        <v>Yes</v>
      </c>
      <c r="R48" s="697" t="str">
        <f>IFERROR(__xludf.DUMMYFUNCTION("""COMPUTED_VALUE"""),"Yes")</f>
        <v>Yes</v>
      </c>
      <c r="S48" s="697" t="str">
        <f>IFERROR(__xludf.DUMMYFUNCTION("""COMPUTED_VALUE"""),"121 days, 365 days")</f>
        <v>121 days, 365 days</v>
      </c>
      <c r="T48" s="697" t="str">
        <f>IFERROR(__xludf.DUMMYFUNCTION("""COMPUTED_VALUE"""),"A 30-day course of doxycycline and ABZ in combination is a safe and well-tolerated treatment for lymphatic filariasis with significant activity against microfilaremia.")</f>
        <v>A 30-day course of doxycycline and ABZ in combination is a safe and well-tolerated treatment for lymphatic filariasis with significant activity against microfilaremia.</v>
      </c>
      <c r="U48" s="697" t="str">
        <f>IFERROR(__xludf.DUMMYFUNCTION("""COMPUTED_VALUE"""),"The ratio of Female to Male has been entered on the basis of the whole population invovlved in the study. All the groups were given DEC + Albendazole after 12 months of the treatment. ")</f>
        <v>The ratio of Female to Male has been entered on the basis of the whole population invovlved in the study. All the groups were given DEC + Albendazole after 12 months of the treatment. </v>
      </c>
      <c r="V48" s="697" t="str">
        <f>IFERROR(__xludf.DUMMYFUNCTION("""COMPUTED_VALUE"""),"2006-2008")</f>
        <v>2006-2008</v>
      </c>
      <c r="W48" s="697">
        <f>IFERROR(__xludf.DUMMYFUNCTION("""COMPUTED_VALUE"""),2008.0)</f>
        <v>2008</v>
      </c>
      <c r="X48" s="697" t="str">
        <f>IFERROR(__xludf.DUMMYFUNCTION("""COMPUTED_VALUE"""),"Gayen P, Nayak A, Saini P, Mukherjee N, Maitra S, et al. A double-blind controlled field trial of doxycycline and albendazole in combination for the treatment of bancroftian filariasis in India. Acta Tropica 2013; 125 (2): 150-156.")</f>
        <v>Gayen P, Nayak A, Saini P, Mukherjee N, Maitra S, et al. A double-blind controlled field trial of doxycycline and albendazole in combination for the treatment of bancroftian filariasis in India. Acta Tropica 2013; 125 (2): 150-156.</v>
      </c>
      <c r="Y48" s="697" t="str">
        <f>IFERROR(__xludf.DUMMYFUNCTION("""COMPUTED_VALUE"""),"doi: 10.1016/j.actatropica.2012.10.011")</f>
        <v>doi: 10.1016/j.actatropica.2012.10.011</v>
      </c>
      <c r="Z48" s="865" t="str">
        <f>IFERROR(__xludf.DUMMYFUNCTION("""COMPUTED_VALUE"""),"https://drive.google.com/file/d/0B0-pry4DSOm3bkFHbUF2SHFTME0/view?usp=sharing")</f>
        <v>https://drive.google.com/file/d/0B0-pry4DSOm3bkFHbUF2SHFTME0/view?usp=sharing</v>
      </c>
      <c r="AA48" s="697"/>
    </row>
    <row r="49">
      <c r="A49" s="697" t="str">
        <f>IFERROR(__xludf.DUMMYFUNCTION("""COMPUTED_VALUE"""),"Gayen 2013")</f>
        <v>Gayen 2013</v>
      </c>
      <c r="B49" s="697" t="str">
        <f>IFERROR(__xludf.DUMMYFUNCTION("""COMPUTED_VALUE"""),"Kirti")</f>
        <v>Kirti</v>
      </c>
      <c r="C49" s="697" t="str">
        <f>IFERROR(__xludf.DUMMYFUNCTION("""COMPUTED_VALUE"""),"Kirti")</f>
        <v>Kirti</v>
      </c>
      <c r="D49" s="697" t="str">
        <f>IFERROR(__xludf.DUMMYFUNCTION("""COMPUTED_VALUE"""),"India")</f>
        <v>India</v>
      </c>
      <c r="E49" s="697" t="str">
        <f>IFERROR(__xludf.DUMMYFUNCTION("""COMPUTED_VALUE"""),"W. bancrofti")</f>
        <v>W. bancrofti</v>
      </c>
      <c r="F49" s="697" t="str">
        <f>IFERROR(__xludf.DUMMYFUNCTION("""COMPUTED_VALUE"""),"Albendazole &amp; Doxycycline")</f>
        <v>Albendazole &amp; Doxycycline</v>
      </c>
      <c r="G49" s="697" t="str">
        <f>IFERROR(__xludf.DUMMYFUNCTION("""COMPUTED_VALUE"""),"400 mg + 200 mg ")</f>
        <v>400 mg + 200 mg </v>
      </c>
      <c r="H49" s="697">
        <f>IFERROR(__xludf.DUMMYFUNCTION("""COMPUTED_VALUE"""),30.0)</f>
        <v>30</v>
      </c>
      <c r="I49" s="706">
        <f>IFERROR(__xludf.DUMMYFUNCTION("""COMPUTED_VALUE"""),1.0)</f>
        <v>1</v>
      </c>
      <c r="J49" s="700">
        <f>IFERROR(__xludf.DUMMYFUNCTION("""COMPUTED_VALUE"""),0.42)</f>
        <v>0.42</v>
      </c>
      <c r="K49" s="697" t="str">
        <f>IFERROR(__xludf.DUMMYFUNCTION("""COMPUTED_VALUE"""),"not available")</f>
        <v>not available</v>
      </c>
      <c r="L49" s="697">
        <f>IFERROR(__xludf.DUMMYFUNCTION("""COMPUTED_VALUE"""),19.0)</f>
        <v>19</v>
      </c>
      <c r="M49" s="10" t="str">
        <f>IFERROR(__xludf.DUMMYFUNCTION("""COMPUTED_VALUE"""),"18-65")</f>
        <v>18-65</v>
      </c>
      <c r="N49" s="866">
        <f>IFERROR(__xludf.DUMMYFUNCTION("""COMPUTED_VALUE"""),0.04236111111111111)</f>
        <v>0.04236111111</v>
      </c>
      <c r="O49" s="697" t="str">
        <f>IFERROR(__xludf.DUMMYFUNCTION("""COMPUTED_VALUE"""),"A minimum body weight of 40 kg and were in good health and females who were not pregnant and were not breast feeding. Exclusion criteria included abnormal hepatic and renal function (SGPT &gt; 60 I.U./L, SGOT &gt; 40 I.U./L, Creatinine &gt;1.4 mg/100 ml), intolera"&amp;"nce to doxycycline and ABZ and history of alcohol abuse.")</f>
        <v>A minimum body weight of 40 kg and were in good health and females who were not pregnant and were not breast feeding. Exclusion criteria included abnormal hepatic and renal function (SGPT &gt; 60 I.U./L, SGOT &gt; 40 I.U./L, Creatinine &gt;1.4 mg/100 ml), intolerance to doxycycline and ABZ and history of alcohol abuse.</v>
      </c>
      <c r="P49" s="697" t="str">
        <f>IFERROR(__xludf.DUMMYFUNCTION("""COMPUTED_VALUE"""),"double-blind, placebo controlled field trial")</f>
        <v>double-blind, placebo controlled field trial</v>
      </c>
      <c r="Q49" s="697" t="str">
        <f>IFERROR(__xludf.DUMMYFUNCTION("""COMPUTED_VALUE"""),"Yes")</f>
        <v>Yes</v>
      </c>
      <c r="R49" s="697" t="str">
        <f>IFERROR(__xludf.DUMMYFUNCTION("""COMPUTED_VALUE"""),"Yes")</f>
        <v>Yes</v>
      </c>
      <c r="S49" s="697" t="str">
        <f>IFERROR(__xludf.DUMMYFUNCTION("""COMPUTED_VALUE"""),"122 days, 365 days")</f>
        <v>122 days, 365 days</v>
      </c>
      <c r="T49" s="697" t="str">
        <f>IFERROR(__xludf.DUMMYFUNCTION("""COMPUTED_VALUE"""),"A 30-day course of doxycycline and ABZ in combination is a safe and well-tolerated treatment for lymphatic filariasis with significant activity against microfilaremia.")</f>
        <v>A 30-day course of doxycycline and ABZ in combination is a safe and well-tolerated treatment for lymphatic filariasis with significant activity against microfilaremia.</v>
      </c>
      <c r="U49" s="697" t="str">
        <f>IFERROR(__xludf.DUMMYFUNCTION("""COMPUTED_VALUE"""),"The ratio of Female to Male has been entered on the basis of the whole population invovlved in the study. All the groups were given DEC + Albendazole after 12 months of the treatment. ")</f>
        <v>The ratio of Female to Male has been entered on the basis of the whole population invovlved in the study. All the groups were given DEC + Albendazole after 12 months of the treatment. </v>
      </c>
      <c r="V49" s="697" t="str">
        <f>IFERROR(__xludf.DUMMYFUNCTION("""COMPUTED_VALUE"""),"2006-2008")</f>
        <v>2006-2008</v>
      </c>
      <c r="W49" s="697">
        <f>IFERROR(__xludf.DUMMYFUNCTION("""COMPUTED_VALUE"""),2008.0)</f>
        <v>2008</v>
      </c>
      <c r="X49" s="697" t="str">
        <f>IFERROR(__xludf.DUMMYFUNCTION("""COMPUTED_VALUE"""),"Gayen P, Nayak A, Saini P, Mukherjee N, Maitra S, et al. A double-blind controlled field trial of doxycycline and albendazole in combination for the treatment of bancroftian filariasis in India. Acta Tropica 2013; 125 (2): 150-156.")</f>
        <v>Gayen P, Nayak A, Saini P, Mukherjee N, Maitra S, et al. A double-blind controlled field trial of doxycycline and albendazole in combination for the treatment of bancroftian filariasis in India. Acta Tropica 2013; 125 (2): 150-156.</v>
      </c>
      <c r="Y49" s="697" t="str">
        <f>IFERROR(__xludf.DUMMYFUNCTION("""COMPUTED_VALUE"""),"doi: 10.1016/j.actatropica.2012.10.011")</f>
        <v>doi: 10.1016/j.actatropica.2012.10.011</v>
      </c>
      <c r="Z49" s="865" t="str">
        <f>IFERROR(__xludf.DUMMYFUNCTION("""COMPUTED_VALUE"""),"https://drive.google.com/file/d/0B0-pry4DSOm3bkFHbUF2SHFTME0/view?usp=sharing")</f>
        <v>https://drive.google.com/file/d/0B0-pry4DSOm3bkFHbUF2SHFTME0/view?usp=sharing</v>
      </c>
      <c r="AA49" s="697"/>
    </row>
    <row r="50">
      <c r="A50" s="697" t="str">
        <f>IFERROR(__xludf.DUMMYFUNCTION("""COMPUTED_VALUE"""),"Gayen 2013")</f>
        <v>Gayen 2013</v>
      </c>
      <c r="B50" s="697" t="str">
        <f>IFERROR(__xludf.DUMMYFUNCTION("""COMPUTED_VALUE"""),"Kirti")</f>
        <v>Kirti</v>
      </c>
      <c r="C50" s="697" t="str">
        <f>IFERROR(__xludf.DUMMYFUNCTION("""COMPUTED_VALUE"""),"Kirti")</f>
        <v>Kirti</v>
      </c>
      <c r="D50" s="697" t="str">
        <f>IFERROR(__xludf.DUMMYFUNCTION("""COMPUTED_VALUE"""),"India")</f>
        <v>India</v>
      </c>
      <c r="E50" s="697" t="str">
        <f>IFERROR(__xludf.DUMMYFUNCTION("""COMPUTED_VALUE"""),"W. bancrofti")</f>
        <v>W. bancrofti</v>
      </c>
      <c r="F50" s="697" t="str">
        <f>IFERROR(__xludf.DUMMYFUNCTION("""COMPUTED_VALUE"""),"Placebo")</f>
        <v>Placebo</v>
      </c>
      <c r="G50" s="697"/>
      <c r="H50" s="697">
        <f>IFERROR(__xludf.DUMMYFUNCTION("""COMPUTED_VALUE"""),30.0)</f>
        <v>30</v>
      </c>
      <c r="I50" s="706">
        <f>IFERROR(__xludf.DUMMYFUNCTION("""COMPUTED_VALUE"""),0.048)</f>
        <v>0.048</v>
      </c>
      <c r="J50" s="706">
        <f>IFERROR(__xludf.DUMMYFUNCTION("""COMPUTED_VALUE"""),0.0)</f>
        <v>0</v>
      </c>
      <c r="K50" s="697" t="str">
        <f>IFERROR(__xludf.DUMMYFUNCTION("""COMPUTED_VALUE"""),"not available")</f>
        <v>not available</v>
      </c>
      <c r="L50" s="697">
        <f>IFERROR(__xludf.DUMMYFUNCTION("""COMPUTED_VALUE"""),15.0)</f>
        <v>15</v>
      </c>
      <c r="M50" s="10" t="str">
        <f>IFERROR(__xludf.DUMMYFUNCTION("""COMPUTED_VALUE"""),"18-65")</f>
        <v>18-65</v>
      </c>
      <c r="N50" s="866">
        <f>IFERROR(__xludf.DUMMYFUNCTION("""COMPUTED_VALUE"""),0.04236111111111111)</f>
        <v>0.04236111111</v>
      </c>
      <c r="O50" s="697" t="str">
        <f>IFERROR(__xludf.DUMMYFUNCTION("""COMPUTED_VALUE"""),"A minimum body weight of 40 kg and were in good health and females who were not pregnant and were not breast feeding. Exclusion criteria included abnormal hepatic and renal function (SGPT &gt; 60 I.U./L, SGOT &gt; 40 I.U./L, Creatinine &gt;1.4 mg/100 ml), intolera"&amp;"nce to doxycycline and ABZ and history of alcohol abuse.")</f>
        <v>A minimum body weight of 40 kg and were in good health and females who were not pregnant and were not breast feeding. Exclusion criteria included abnormal hepatic and renal function (SGPT &gt; 60 I.U./L, SGOT &gt; 40 I.U./L, Creatinine &gt;1.4 mg/100 ml), intolerance to doxycycline and ABZ and history of alcohol abuse.</v>
      </c>
      <c r="P50" s="697" t="str">
        <f>IFERROR(__xludf.DUMMYFUNCTION("""COMPUTED_VALUE"""),"double-blind, placebo controlled field trial")</f>
        <v>double-blind, placebo controlled field trial</v>
      </c>
      <c r="Q50" s="697" t="str">
        <f>IFERROR(__xludf.DUMMYFUNCTION("""COMPUTED_VALUE"""),"Yes")</f>
        <v>Yes</v>
      </c>
      <c r="R50" s="697" t="str">
        <f>IFERROR(__xludf.DUMMYFUNCTION("""COMPUTED_VALUE"""),"Yes")</f>
        <v>Yes</v>
      </c>
      <c r="S50" s="697" t="str">
        <f>IFERROR(__xludf.DUMMYFUNCTION("""COMPUTED_VALUE"""),"123 days, 365 days")</f>
        <v>123 days, 365 days</v>
      </c>
      <c r="T50" s="697" t="str">
        <f>IFERROR(__xludf.DUMMYFUNCTION("""COMPUTED_VALUE"""),"A 30-day course of doxycycline and ABZ in combination is a safe and well-tolerated treatment for lymphatic filariasis with significant activity against microfilaremia.")</f>
        <v>A 30-day course of doxycycline and ABZ in combination is a safe and well-tolerated treatment for lymphatic filariasis with significant activity against microfilaremia.</v>
      </c>
      <c r="U50" s="697" t="str">
        <f>IFERROR(__xludf.DUMMYFUNCTION("""COMPUTED_VALUE"""),"The ratio of Female to Male has been entered on the basis of the whole population invovlved in the study. All the groups were given DEC + Albendazole after 12 months of the treatment. ")</f>
        <v>The ratio of Female to Male has been entered on the basis of the whole population invovlved in the study. All the groups were given DEC + Albendazole after 12 months of the treatment. </v>
      </c>
      <c r="V50" s="697" t="str">
        <f>IFERROR(__xludf.DUMMYFUNCTION("""COMPUTED_VALUE"""),"2006-2008")</f>
        <v>2006-2008</v>
      </c>
      <c r="W50" s="697">
        <f>IFERROR(__xludf.DUMMYFUNCTION("""COMPUTED_VALUE"""),2008.0)</f>
        <v>2008</v>
      </c>
      <c r="X50" s="697" t="str">
        <f>IFERROR(__xludf.DUMMYFUNCTION("""COMPUTED_VALUE"""),"Gayen P, Nayak A, Saini P, Mukherjee N, Maitra S, et al. A double-blind controlled field trial of doxycycline and albendazole in combination for the treatment of bancroftian filariasis in India. Acta Tropica 2013; 125 (2): 150-156.")</f>
        <v>Gayen P, Nayak A, Saini P, Mukherjee N, Maitra S, et al. A double-blind controlled field trial of doxycycline and albendazole in combination for the treatment of bancroftian filariasis in India. Acta Tropica 2013; 125 (2): 150-156.</v>
      </c>
      <c r="Y50" s="697" t="str">
        <f>IFERROR(__xludf.DUMMYFUNCTION("""COMPUTED_VALUE"""),"doi: 10.1016/j.actatropica.2012.10.011")</f>
        <v>doi: 10.1016/j.actatropica.2012.10.011</v>
      </c>
      <c r="Z50" s="865" t="str">
        <f>IFERROR(__xludf.DUMMYFUNCTION("""COMPUTED_VALUE"""),"https://drive.google.com/file/d/0B0-pry4DSOm3bkFHbUF2SHFTME0/view?usp=sharing")</f>
        <v>https://drive.google.com/file/d/0B0-pry4DSOm3bkFHbUF2SHFTME0/view?usp=sharing</v>
      </c>
      <c r="AA50" s="697"/>
    </row>
    <row r="51">
      <c r="A51" s="697" t="str">
        <f>IFERROR(__xludf.DUMMYFUNCTION("""COMPUTED_VALUE"""),"Hanan H, 2006")</f>
        <v>Hanan H, 2006</v>
      </c>
      <c r="B51" s="697"/>
      <c r="C51" s="697" t="str">
        <f>IFERROR(__xludf.DUMMYFUNCTION("""COMPUTED_VALUE"""),"Alex")</f>
        <v>Alex</v>
      </c>
      <c r="D51" s="697" t="str">
        <f>IFERROR(__xludf.DUMMYFUNCTION("""COMPUTED_VALUE"""),"Egypt")</f>
        <v>Egypt</v>
      </c>
      <c r="E51" s="697" t="str">
        <f>IFERROR(__xludf.DUMMYFUNCTION("""COMPUTED_VALUE"""),"W. bancrofti")</f>
        <v>W. bancrofti</v>
      </c>
      <c r="F51" s="697" t="str">
        <f>IFERROR(__xludf.DUMMYFUNCTION("""COMPUTED_VALUE"""),"Albendazole &amp; DEC")</f>
        <v>Albendazole &amp; DEC</v>
      </c>
      <c r="G51" s="697" t="str">
        <f>IFERROR(__xludf.DUMMYFUNCTION("""COMPUTED_VALUE"""),"400 mg ALB + 6 mg/kg DEC")</f>
        <v>400 mg ALB + 6 mg/kg DEC</v>
      </c>
      <c r="H51" s="697">
        <f>IFERROR(__xludf.DUMMYFUNCTION("""COMPUTED_VALUE"""),4.0)</f>
        <v>4</v>
      </c>
      <c r="I51" s="697"/>
      <c r="J51" s="706">
        <f>IFERROR(__xludf.DUMMYFUNCTION("""COMPUTED_VALUE"""),0.31)</f>
        <v>0.31</v>
      </c>
      <c r="K51" s="697"/>
      <c r="L51" s="697">
        <f>IFERROR(__xludf.DUMMYFUNCTION("""COMPUTED_VALUE"""),27.0)</f>
        <v>27</v>
      </c>
      <c r="M51" s="10" t="str">
        <f>IFERROR(__xludf.DUMMYFUNCTION("""COMPUTED_VALUE"""),"≥18")</f>
        <v>≥18</v>
      </c>
      <c r="N51" s="862" t="str">
        <f>IFERROR(__xludf.DUMMYFUNCTION("""COMPUTED_VALUE"""),"Single dose: 9:18")</f>
        <v>Single dose: 9:18</v>
      </c>
      <c r="O51" s="697" t="str">
        <f>IFERROR(__xludf.DUMMYFUNCTION("""COMPUTED_VALUE"""),"Asymptomatic and clinically normal microfilaraemic men and women with night blood counts &gt;80 mf/ml")</f>
        <v>Asymptomatic and clinically normal microfilaraemic men and women with night blood counts &gt;80 mf/ml</v>
      </c>
      <c r="P51" s="697" t="str">
        <f>IFERROR(__xludf.DUMMYFUNCTION("""COMPUTED_VALUE"""),"subjects were assigned to treatment groups with block stratification for gender and blood mf count. The two groups were equivalent with respect to gender, age and infection intensity (Table 1). One group was treated with a single dose ; the other group wa"&amp;"s treated with the same medications daily for 7 successive days. All subjects in the two groups were re-treated with a single dose of DEC/ALB 12, 24 and 36 months after the first treatment.")</f>
        <v>subjects were assigned to treatment groups with block stratification for gender and blood mf count. The two groups were equivalent with respect to gender, age and infection intensity (Table 1). One group was treated with a single dose ; the other group was treated with the same medications daily for 7 successive days. All subjects in the two groups were re-treated with a single dose of DEC/ALB 12, 24 and 36 months after the first treatment.</v>
      </c>
      <c r="Q51" s="697" t="str">
        <f>IFERROR(__xludf.DUMMYFUNCTION("""COMPUTED_VALUE"""),"No")</f>
        <v>No</v>
      </c>
      <c r="R51" s="697" t="str">
        <f>IFERROR(__xludf.DUMMYFUNCTION("""COMPUTED_VALUE"""),"No")</f>
        <v>No</v>
      </c>
      <c r="S51" s="697" t="str">
        <f>IFERROR(__xludf.DUMMYFUNCTION("""COMPUTED_VALUE"""),"1, 3, 9, 12, 18, 24, 36, 48 months")</f>
        <v>1, 3, 9, 12, 18, 24, 36, 48 months</v>
      </c>
      <c r="T51" s="697" t="str">
        <f>IFERROR(__xludf.DUMMYFUNCTION("""COMPUTED_VALUE"""),"Multidose DEC/ALB was more effective in the first treatment round than single-dose treatment for reducing and clearing microfilaraemia")</f>
        <v>Multidose DEC/ALB was more effective in the first treatment round than single-dose treatment for reducing and clearing microfilaraemia</v>
      </c>
      <c r="U51" s="697" t="str">
        <f>IFERROR(__xludf.DUMMYFUNCTION("""COMPUTED_VALUE"""),"I'm reporting the % negative for both ELISA+mf status test results. Other measures were taken for all moonths tested")</f>
        <v>I'm reporting the % negative for both ELISA+mf status test results. Other measures were taken for all moonths tested</v>
      </c>
      <c r="V51" s="697">
        <f>IFERROR(__xludf.DUMMYFUNCTION("""COMPUTED_VALUE"""),2006.0)</f>
        <v>2006</v>
      </c>
      <c r="W51" s="697">
        <f>IFERROR(__xludf.DUMMYFUNCTION("""COMPUTED_VALUE"""),2006.0)</f>
        <v>2006</v>
      </c>
      <c r="X51" s="697" t="str">
        <f>IFERROR(__xludf.DUMMYFUNCTION("""COMPUTED_VALUE"""),"Hanan Helmy, Gary J. Weil, Abou Sree T. Ellethy, Ehab S. Ahmeda, Maged El Setouhya, Reda M.R. Ramzya. Bancroftian filariasis: effect of repeated treatment with diethylcarbamazine and albendazole on microfilaraemia, antigenaemia and antifilarial antibodies"&amp;". Transactions of the Royal Society of Tropical Medicine and Hygiene (2006) 100, 656—662")</f>
        <v>Hanan Helmy, Gary J. Weil, Abou Sree T. Ellethy, Ehab S. Ahmeda, Maged El Setouhya, Reda M.R. Ramzya. Bancroftian filariasis: effect of repeated treatment with diethylcarbamazine and albendazole on microfilaraemia, antigenaemia and antifilarial antibodies. Transactions of the Royal Society of Tropical Medicine and Hygiene (2006) 100, 656—662</v>
      </c>
      <c r="Y51" s="697" t="str">
        <f>IFERROR(__xludf.DUMMYFUNCTION("""COMPUTED_VALUE"""),"doi:10.1016/j.trstmh.2005.08.015")</f>
        <v>doi:10.1016/j.trstmh.2005.08.015</v>
      </c>
      <c r="Z51" s="865" t="str">
        <f>IFERROR(__xludf.DUMMYFUNCTION("""COMPUTED_VALUE"""),"https://drive.google.com/file/d/0B4sJPAkX0Jo3QWh4Nl9JSGRMVEk/view?usp=sharing")</f>
        <v>https://drive.google.com/file/d/0B4sJPAkX0Jo3QWh4Nl9JSGRMVEk/view?usp=sharing</v>
      </c>
      <c r="AA51" s="697" t="str">
        <f>IFERROR(__xludf.DUMMYFUNCTION("""COMPUTED_VALUE"""),"x")</f>
        <v>x</v>
      </c>
    </row>
    <row r="52">
      <c r="A52" s="697" t="str">
        <f>IFERROR(__xludf.DUMMYFUNCTION("""COMPUTED_VALUE"""),"Hanan H, 2006")</f>
        <v>Hanan H, 2006</v>
      </c>
      <c r="B52" s="697"/>
      <c r="C52" s="697" t="str">
        <f>IFERROR(__xludf.DUMMYFUNCTION("""COMPUTED_VALUE"""),"Alex")</f>
        <v>Alex</v>
      </c>
      <c r="D52" s="697" t="str">
        <f>IFERROR(__xludf.DUMMYFUNCTION("""COMPUTED_VALUE"""),"Egypt")</f>
        <v>Egypt</v>
      </c>
      <c r="E52" s="697" t="str">
        <f>IFERROR(__xludf.DUMMYFUNCTION("""COMPUTED_VALUE"""),"W. bancrofti")</f>
        <v>W. bancrofti</v>
      </c>
      <c r="F52" s="697" t="str">
        <f>IFERROR(__xludf.DUMMYFUNCTION("""COMPUTED_VALUE"""),"Albendazole &amp; DEC")</f>
        <v>Albendazole &amp; DEC</v>
      </c>
      <c r="G52" s="697" t="str">
        <f>IFERROR(__xludf.DUMMYFUNCTION("""COMPUTED_VALUE"""),"400 mg ALB + 6 mg/kg DEC")</f>
        <v>400 mg ALB + 6 mg/kg DEC</v>
      </c>
      <c r="H52" s="697">
        <f>IFERROR(__xludf.DUMMYFUNCTION("""COMPUTED_VALUE"""),10.0)</f>
        <v>10</v>
      </c>
      <c r="I52" s="697"/>
      <c r="J52" s="706">
        <f>IFERROR(__xludf.DUMMYFUNCTION("""COMPUTED_VALUE"""),0.29)</f>
        <v>0.29</v>
      </c>
      <c r="K52" s="697"/>
      <c r="L52" s="697">
        <f>IFERROR(__xludf.DUMMYFUNCTION("""COMPUTED_VALUE"""),30.0)</f>
        <v>30</v>
      </c>
      <c r="M52" s="10" t="str">
        <f>IFERROR(__xludf.DUMMYFUNCTION("""COMPUTED_VALUE"""),"≥18")</f>
        <v>≥18</v>
      </c>
      <c r="N52" s="862" t="str">
        <f>IFERROR(__xludf.DUMMYFUNCTION("""COMPUTED_VALUE"""),"Multidose: 12:18")</f>
        <v>Multidose: 12:18</v>
      </c>
      <c r="O52" s="697" t="str">
        <f>IFERROR(__xludf.DUMMYFUNCTION("""COMPUTED_VALUE"""),"Asymptomatic and clinically normal microfilaraemic men and women with night blood counts &gt;80 mf/ml")</f>
        <v>Asymptomatic and clinically normal microfilaraemic men and women with night blood counts &gt;80 mf/ml</v>
      </c>
      <c r="P52" s="697" t="str">
        <f>IFERROR(__xludf.DUMMYFUNCTION("""COMPUTED_VALUE"""),"subjects were assigned to treatment groups with block stratification for gender and blood mf count. The two groups were equivalent with respect to gender, age and infection intensity (Table 1). One group was treated with a single dose ; the other group wa"&amp;"s treated with the same medications daily for 7 successive days. All subjects in the two groups were re-treated with a single dose of DEC/ALB 12, 24 and 36 months after the first treatment.")</f>
        <v>subjects were assigned to treatment groups with block stratification for gender and blood mf count. The two groups were equivalent with respect to gender, age and infection intensity (Table 1). One group was treated with a single dose ; the other group was treated with the same medications daily for 7 successive days. All subjects in the two groups were re-treated with a single dose of DEC/ALB 12, 24 and 36 months after the first treatment.</v>
      </c>
      <c r="Q52" s="697" t="str">
        <f>IFERROR(__xludf.DUMMYFUNCTION("""COMPUTED_VALUE"""),"No")</f>
        <v>No</v>
      </c>
      <c r="R52" s="697" t="str">
        <f>IFERROR(__xludf.DUMMYFUNCTION("""COMPUTED_VALUE"""),"No")</f>
        <v>No</v>
      </c>
      <c r="S52" s="697" t="str">
        <f>IFERROR(__xludf.DUMMYFUNCTION("""COMPUTED_VALUE"""),"1, 3, 9, 12, 18, 24, 36, 48 months")</f>
        <v>1, 3, 9, 12, 18, 24, 36, 48 months</v>
      </c>
      <c r="T52" s="697" t="str">
        <f>IFERROR(__xludf.DUMMYFUNCTION("""COMPUTED_VALUE"""),"Multidose DEC/ALB was more effective in the first treatment round than single-dose treatment for reducing and clearing microfilaraemia")</f>
        <v>Multidose DEC/ALB was more effective in the first treatment round than single-dose treatment for reducing and clearing microfilaraemia</v>
      </c>
      <c r="U52" s="697" t="str">
        <f>IFERROR(__xludf.DUMMYFUNCTION("""COMPUTED_VALUE"""),"I'm reporting the % negative for both ELISA+mf status test results. Other measures were taken for all moonths tested")</f>
        <v>I'm reporting the % negative for both ELISA+mf status test results. Other measures were taken for all moonths tested</v>
      </c>
      <c r="V52" s="697">
        <f>IFERROR(__xludf.DUMMYFUNCTION("""COMPUTED_VALUE"""),2006.0)</f>
        <v>2006</v>
      </c>
      <c r="W52" s="697">
        <f>IFERROR(__xludf.DUMMYFUNCTION("""COMPUTED_VALUE"""),2006.0)</f>
        <v>2006</v>
      </c>
      <c r="X52" s="697" t="str">
        <f>IFERROR(__xludf.DUMMYFUNCTION("""COMPUTED_VALUE"""),"Hanan Helmy, Gary J. Weil, Abou Sree T. Ellethy, Ehab S. Ahmeda, Maged El Setouhya, Reda M.R. Ramzya. Bancroftian filariasis: effect of repeated treatment with diethylcarbamazine and albendazole on microfilaraemia, antigenaemia and antifilarial antibodies"&amp;". Transactions of the Royal Society of Tropical Medicine and Hygiene (2006) 100, 656—662")</f>
        <v>Hanan Helmy, Gary J. Weil, Abou Sree T. Ellethy, Ehab S. Ahmeda, Maged El Setouhya, Reda M.R. Ramzya. Bancroftian filariasis: effect of repeated treatment with diethylcarbamazine and albendazole on microfilaraemia, antigenaemia and antifilarial antibodies. Transactions of the Royal Society of Tropical Medicine and Hygiene (2006) 100, 656—662</v>
      </c>
      <c r="Y52" s="697" t="str">
        <f>IFERROR(__xludf.DUMMYFUNCTION("""COMPUTED_VALUE"""),"doi:10.1016/j.trstmh.2005.08.015")</f>
        <v>doi:10.1016/j.trstmh.2005.08.015</v>
      </c>
      <c r="Z52" s="865" t="str">
        <f>IFERROR(__xludf.DUMMYFUNCTION("""COMPUTED_VALUE"""),"https://drive.google.com/file/d/0B4sJPAkX0Jo3QWh4Nl9JSGRMVEk/view?usp=sharing")</f>
        <v>https://drive.google.com/file/d/0B4sJPAkX0Jo3QWh4Nl9JSGRMVEk/view?usp=sharing</v>
      </c>
      <c r="AA52" s="697" t="str">
        <f>IFERROR(__xludf.DUMMYFUNCTION("""COMPUTED_VALUE"""),"x")</f>
        <v>x</v>
      </c>
    </row>
    <row r="53">
      <c r="A53" s="697" t="str">
        <f>IFERROR(__xludf.DUMMYFUNCTION("""COMPUTED_VALUE"""),"Setouhy 2004")</f>
        <v>Setouhy 2004</v>
      </c>
      <c r="B53" s="697" t="str">
        <f>IFERROR(__xludf.DUMMYFUNCTION("""COMPUTED_VALUE"""),"Kirti")</f>
        <v>Kirti</v>
      </c>
      <c r="C53" s="697" t="str">
        <f>IFERROR(__xludf.DUMMYFUNCTION("""COMPUTED_VALUE"""),"luisa")</f>
        <v>luisa</v>
      </c>
      <c r="D53" s="697" t="str">
        <f>IFERROR(__xludf.DUMMYFUNCTION("""COMPUTED_VALUE"""),"Egypt")</f>
        <v>Egypt</v>
      </c>
      <c r="E53" s="697" t="str">
        <f>IFERROR(__xludf.DUMMYFUNCTION("""COMPUTED_VALUE"""),"W. bancrofti")</f>
        <v>W. bancrofti</v>
      </c>
      <c r="F53" s="697" t="str">
        <f>IFERROR(__xludf.DUMMYFUNCTION("""COMPUTED_VALUE"""),"Albendazole &amp; DEC")</f>
        <v>Albendazole &amp; DEC</v>
      </c>
      <c r="G53" s="697" t="str">
        <f>IFERROR(__xludf.DUMMYFUNCTION("""COMPUTED_VALUE"""),"600 mg ALB + 6 mg/ kg DEC ")</f>
        <v>600 mg ALB + 6 mg/ kg DEC </v>
      </c>
      <c r="H53" s="697">
        <f>IFERROR(__xludf.DUMMYFUNCTION("""COMPUTED_VALUE"""),7.0)</f>
        <v>7</v>
      </c>
      <c r="I53" s="706">
        <f>IFERROR(__xludf.DUMMYFUNCTION("""COMPUTED_VALUE"""),0.996)</f>
        <v>0.996</v>
      </c>
      <c r="J53" s="700">
        <f>IFERROR(__xludf.DUMMYFUNCTION("""COMPUTED_VALUE"""),0.75)</f>
        <v>0.75</v>
      </c>
      <c r="K53" s="697"/>
      <c r="L53" s="697">
        <f>IFERROR(__xludf.DUMMYFUNCTION("""COMPUTED_VALUE"""),30.0)</f>
        <v>30</v>
      </c>
      <c r="M53" s="705" t="str">
        <f>IFERROR(__xludf.DUMMYFUNCTION("""COMPUTED_VALUE"""),"&gt;=18")</f>
        <v>&gt;=18</v>
      </c>
      <c r="N53" s="867">
        <f>IFERROR(__xludf.DUMMYFUNCTION("""COMPUTED_VALUE"""),0.08541666666666667)</f>
        <v>0.08541666667</v>
      </c>
      <c r="O53" s="697" t="str">
        <f>IFERROR(__xludf.DUMMYFUNCTION("""COMPUTED_VALUE"""),"18 years of age or older, with night blood microfilaria counts &gt; 80 MF/mL,renal disease (creatinine&lt;2mg/dL), liver disease (serum bilirubin&lt;2mg/dL or alanine aminotransferase [ALT] &lt; 80 IU/L), not pregnant, or lactating.")</f>
        <v>18 years of age or older, with night blood microfilaria counts &gt; 80 MF/mL,renal disease (creatinine&lt;2mg/dL), liver disease (serum bilirubin&lt;2mg/dL or alanine aminotransferase [ALT] &lt; 80 IU/L), not pregnant, or lactating.</v>
      </c>
      <c r="P53" s="697" t="str">
        <f>IFERROR(__xludf.DUMMYFUNCTION("""COMPUTED_VALUE"""),"randomized clinical trail")</f>
        <v>randomized clinical trail</v>
      </c>
      <c r="Q53" s="697" t="str">
        <f>IFERROR(__xludf.DUMMYFUNCTION("""COMPUTED_VALUE"""),"No")</f>
        <v>No</v>
      </c>
      <c r="R53" s="697" t="str">
        <f>IFERROR(__xludf.DUMMYFUNCTION("""COMPUTED_VALUE"""),"Yes")</f>
        <v>Yes</v>
      </c>
      <c r="S53" s="697" t="str">
        <f>IFERROR(__xludf.DUMMYFUNCTION("""COMPUTED_VALUE"""),"12 months")</f>
        <v>12 months</v>
      </c>
      <c r="T53" s="697" t="str">
        <f>IFERROR(__xludf.DUMMYFUNCTION("""COMPUTED_VALUE"""),"Multi-dose DEC/Alb may be a useful option for filariasis elimination programs, especially in the first year (when enthusiasm for mass drug administration and coverage rates are high), to quickly reduce community MF loads and transmission rates.")</f>
        <v>Multi-dose DEC/Alb may be a useful option for filariasis elimination programs, especially in the first year (when enthusiasm for mass drug administration and coverage rates are high), to quickly reduce community MF loads and transmission rates.</v>
      </c>
      <c r="U53" s="697" t="str">
        <f>IFERROR(__xludf.DUMMYFUNCTION("""COMPUTED_VALUE"""),"2 patients failed to follow up.")</f>
        <v>2 patients failed to follow up.</v>
      </c>
      <c r="V53" s="697"/>
      <c r="W53" s="697"/>
      <c r="X53" s="697" t="str">
        <f>IFERROR(__xludf.DUMMYFUNCTION("""COMPUTED_VALUE"""),"Setouhy ME, Ramzy RMR, Ahmed ES, Kandil AM, Hussain O, Farid HA, et al. A Randomized Clinical Trial comparing Single- and Multi- Dose Combination Therapy with Diethylcarbamazine and Albendazole for Treatment of Bancroftian Filariasis. American Journal of "&amp;"Tropical Medicine and Hygiene 2004; 70(2): 191-196. ")</f>
        <v>Setouhy ME, Ramzy RMR, Ahmed ES, Kandil AM, Hussain O, Farid HA, et al. A Randomized Clinical Trial comparing Single- and Multi- Dose Combination Therapy with Diethylcarbamazine and Albendazole for Treatment of Bancroftian Filariasis. American Journal of Tropical Medicine and Hygiene 2004; 70(2): 191-196. </v>
      </c>
      <c r="Y53" s="697" t="str">
        <f>IFERROR(__xludf.DUMMYFUNCTION("""COMPUTED_VALUE"""),"PMID: 14993632")</f>
        <v>PMID: 14993632</v>
      </c>
      <c r="Z53" s="865" t="str">
        <f>IFERROR(__xludf.DUMMYFUNCTION("""COMPUTED_VALUE"""),"https://drive.google.com/file/d/0B0-pry4DSOm3czVrYS0xRmJZakE/view?usp=sharing")</f>
        <v>https://drive.google.com/file/d/0B0-pry4DSOm3czVrYS0xRmJZakE/view?usp=sharing</v>
      </c>
      <c r="AA53" s="697"/>
    </row>
    <row r="54">
      <c r="A54" s="697" t="str">
        <f>IFERROR(__xludf.DUMMYFUNCTION("""COMPUTED_VALUE"""),"Setouhy 2004")</f>
        <v>Setouhy 2004</v>
      </c>
      <c r="B54" s="697" t="str">
        <f>IFERROR(__xludf.DUMMYFUNCTION("""COMPUTED_VALUE"""),"Kirti")</f>
        <v>Kirti</v>
      </c>
      <c r="C54" s="697" t="str">
        <f>IFERROR(__xludf.DUMMYFUNCTION("""COMPUTED_VALUE"""),"luisa")</f>
        <v>luisa</v>
      </c>
      <c r="D54" s="697" t="str">
        <f>IFERROR(__xludf.DUMMYFUNCTION("""COMPUTED_VALUE"""),"Egypt")</f>
        <v>Egypt</v>
      </c>
      <c r="E54" s="697" t="str">
        <f>IFERROR(__xludf.DUMMYFUNCTION("""COMPUTED_VALUE"""),"W. bancrofti")</f>
        <v>W. bancrofti</v>
      </c>
      <c r="F54" s="697" t="str">
        <f>IFERROR(__xludf.DUMMYFUNCTION("""COMPUTED_VALUE"""),"Albendazole &amp; DEC")</f>
        <v>Albendazole &amp; DEC</v>
      </c>
      <c r="G54" s="697" t="str">
        <f>IFERROR(__xludf.DUMMYFUNCTION("""COMPUTED_VALUE"""),"600 mg ALB + 6 mg/ kg DEC")</f>
        <v>600 mg ALB + 6 mg/ kg DEC</v>
      </c>
      <c r="H54" s="697">
        <f>IFERROR(__xludf.DUMMYFUNCTION("""COMPUTED_VALUE"""),1.0)</f>
        <v>1</v>
      </c>
      <c r="I54" s="706">
        <f>IFERROR(__xludf.DUMMYFUNCTION("""COMPUTED_VALUE"""),0.857)</f>
        <v>0.857</v>
      </c>
      <c r="J54" s="706">
        <f>IFERROR(__xludf.DUMMYFUNCTION("""COMPUTED_VALUE"""),0.231)</f>
        <v>0.231</v>
      </c>
      <c r="K54" s="697"/>
      <c r="L54" s="697">
        <f>IFERROR(__xludf.DUMMYFUNCTION("""COMPUTED_VALUE"""),28.0)</f>
        <v>28</v>
      </c>
      <c r="M54" s="705" t="str">
        <f>IFERROR(__xludf.DUMMYFUNCTION("""COMPUTED_VALUE"""),"&gt;=18")</f>
        <v>&gt;=18</v>
      </c>
      <c r="N54" s="866">
        <f>IFERROR(__xludf.DUMMYFUNCTION("""COMPUTED_VALUE"""),0.21458333333333332)</f>
        <v>0.2145833333</v>
      </c>
      <c r="O54" s="697" t="str">
        <f>IFERROR(__xludf.DUMMYFUNCTION("""COMPUTED_VALUE"""),"18 years of age or older, with night blood microfilaria counts &gt; 80 MF/mL,renal disease (creatinine&lt;2mg/dL), liver disease (serum bilirubin&lt;2mg/dL or alanine aminotransferase [ALT] &lt; 80 IU/L), not pregnant, or lactating.")</f>
        <v>18 years of age or older, with night blood microfilaria counts &gt; 80 MF/mL,renal disease (creatinine&lt;2mg/dL), liver disease (serum bilirubin&lt;2mg/dL or alanine aminotransferase [ALT] &lt; 80 IU/L), not pregnant, or lactating.</v>
      </c>
      <c r="P54" s="697" t="str">
        <f>IFERROR(__xludf.DUMMYFUNCTION("""COMPUTED_VALUE"""),"randomized clinical trail")</f>
        <v>randomized clinical trail</v>
      </c>
      <c r="Q54" s="697" t="str">
        <f>IFERROR(__xludf.DUMMYFUNCTION("""COMPUTED_VALUE"""),"No")</f>
        <v>No</v>
      </c>
      <c r="R54" s="697" t="str">
        <f>IFERROR(__xludf.DUMMYFUNCTION("""COMPUTED_VALUE"""),"Yes")</f>
        <v>Yes</v>
      </c>
      <c r="S54" s="697" t="str">
        <f>IFERROR(__xludf.DUMMYFUNCTION("""COMPUTED_VALUE"""),"12 months")</f>
        <v>12 months</v>
      </c>
      <c r="T54" s="697" t="str">
        <f>IFERROR(__xludf.DUMMYFUNCTION("""COMPUTED_VALUE"""),"Multi-dose DEC/Alb may be a useful option for filariasis elimination programs, especially in the first year (when enthusiasm for mass drug administration and coverage rates are high), to quickly reduce community MF loads and transmission rates.")</f>
        <v>Multi-dose DEC/Alb may be a useful option for filariasis elimination programs, especially in the first year (when enthusiasm for mass drug administration and coverage rates are high), to quickly reduce community MF loads and transmission rates.</v>
      </c>
      <c r="U54" s="697" t="str">
        <f>IFERROR(__xludf.DUMMYFUNCTION("""COMPUTED_VALUE"""),"2 patients failed to follow up.")</f>
        <v>2 patients failed to follow up.</v>
      </c>
      <c r="V54" s="697"/>
      <c r="W54" s="697"/>
      <c r="X54" s="697" t="str">
        <f>IFERROR(__xludf.DUMMYFUNCTION("""COMPUTED_VALUE"""),"Setouhy ME, Ramzy RMR, Ahmed ES, Kandil AM, Hussain O, Farid HA, et al. A Randomized Clinical Trial comparing Single- and Multi- Dose Combination Therapy with Diethylcarbamazine and Albendazole for Treatment of Bancroftian Filariasis. American Journal of "&amp;"Tropical Medicine and Hygiene 2004; 70(2): 191-196. ")</f>
        <v>Setouhy ME, Ramzy RMR, Ahmed ES, Kandil AM, Hussain O, Farid HA, et al. A Randomized Clinical Trial comparing Single- and Multi- Dose Combination Therapy with Diethylcarbamazine and Albendazole for Treatment of Bancroftian Filariasis. American Journal of Tropical Medicine and Hygiene 2004; 70(2): 191-196. </v>
      </c>
      <c r="Y54" s="697" t="str">
        <f>IFERROR(__xludf.DUMMYFUNCTION("""COMPUTED_VALUE"""),"PMID: 14993632")</f>
        <v>PMID: 14993632</v>
      </c>
      <c r="Z54" s="865" t="str">
        <f>IFERROR(__xludf.DUMMYFUNCTION("""COMPUTED_VALUE"""),"https://drive.google.com/file/d/0B0-pry4DSOm3czVrYS0xRmJZakE/view?usp=sharing")</f>
        <v>https://drive.google.com/file/d/0B0-pry4DSOm3czVrYS0xRmJZakE/view?usp=sharing</v>
      </c>
      <c r="AA54" s="697"/>
    </row>
    <row r="55">
      <c r="A55" s="697" t="str">
        <f>IFERROR(__xludf.DUMMYFUNCTION("""COMPUTED_VALUE"""),"Hoerauf 2003")</f>
        <v>Hoerauf 2003</v>
      </c>
      <c r="B55" s="697" t="str">
        <f>IFERROR(__xludf.DUMMYFUNCTION("""COMPUTED_VALUE"""),"Kirti")</f>
        <v>Kirti</v>
      </c>
      <c r="C55" s="697" t="str">
        <f>IFERROR(__xludf.DUMMYFUNCTION("""COMPUTED_VALUE"""),"Ross")</f>
        <v>Ross</v>
      </c>
      <c r="D55" s="697" t="str">
        <f>IFERROR(__xludf.DUMMYFUNCTION("""COMPUTED_VALUE"""),"Ghana")</f>
        <v>Ghana</v>
      </c>
      <c r="E55" s="697" t="str">
        <f>IFERROR(__xludf.DUMMYFUNCTION("""COMPUTED_VALUE"""),"W. bancrofti")</f>
        <v>W. bancrofti</v>
      </c>
      <c r="F55" s="697" t="str">
        <f>IFERROR(__xludf.DUMMYFUNCTION("""COMPUTED_VALUE"""),"Doxycycline")</f>
        <v>Doxycycline</v>
      </c>
      <c r="G55" s="697" t="str">
        <f>IFERROR(__xludf.DUMMYFUNCTION("""COMPUTED_VALUE"""),"200 mg/kg for 6 weeks")</f>
        <v>200 mg/kg for 6 weeks</v>
      </c>
      <c r="H55" s="697">
        <f>IFERROR(__xludf.DUMMYFUNCTION("""COMPUTED_VALUE"""),42.0)</f>
        <v>42</v>
      </c>
      <c r="I55" s="706">
        <f>IFERROR(__xludf.DUMMYFUNCTION("""COMPUTED_VALUE"""),0.99)</f>
        <v>0.99</v>
      </c>
      <c r="J55" s="706">
        <f>IFERROR(__xludf.DUMMYFUNCTION("""COMPUTED_VALUE"""),0.696)</f>
        <v>0.696</v>
      </c>
      <c r="K55" s="697" t="str">
        <f>IFERROR(__xludf.DUMMYFUNCTION("""COMPUTED_VALUE"""),"not available")</f>
        <v>not available</v>
      </c>
      <c r="L55" s="697">
        <f>IFERROR(__xludf.DUMMYFUNCTION("""COMPUTED_VALUE"""),23.0)</f>
        <v>23</v>
      </c>
      <c r="M55" s="10" t="str">
        <f>IFERROR(__xludf.DUMMYFUNCTION("""COMPUTED_VALUE"""),"18-55")</f>
        <v>18-55</v>
      </c>
      <c r="N55" s="866">
        <f>IFERROR(__xludf.DUMMYFUNCTION("""COMPUTED_VALUE"""),0.2263888888888889)</f>
        <v>0.2263888889</v>
      </c>
      <c r="O55" s="697" t="str">
        <f>IFERROR(__xludf.DUMMYFUNCTION("""COMPUTED_VALUE"""),"A minimum microfilaremia of 40 mf/ml, normal hepatic and renal profiles (alanine aminotransferase &lt; 30 U/l; c-glutamyl-transpeptidase &gt;28 U/l; creatinine &lt; 1.2 mg/ 100 ml) measured by dip-stick chemistry (Reflotron, Roche Diag-nostics, Mannheim, Germany),"&amp;" body weight &gt; 40 kg, no alcohol or drug abuse, no chronic medication, no pregnancy or breast feeding in females, and must have the mental ability to understand the explanations of the study design.")</f>
        <v>A minimum microfilaremia of 40 mf/ml, normal hepatic and renal profiles (alanine aminotransferase &lt; 30 U/l; c-glutamyl-transpeptidase &gt;28 U/l; creatinine &lt; 1.2 mg/ 100 ml) measured by dip-stick chemistry (Reflotron, Roche Diag-nostics, Mannheim, Germany), body weight &gt; 40 kg, no alcohol or drug abuse, no chronic medication, no pregnancy or breast feeding in females, and must have the mental ability to understand the explanations of the study design.</v>
      </c>
      <c r="P55" s="697" t="str">
        <f>IFERROR(__xludf.DUMMYFUNCTION("""COMPUTED_VALUE"""),"4 test groups including control, subjects assigned to group sequentially (see note)")</f>
        <v>4 test groups including control, subjects assigned to group sequentially (see note)</v>
      </c>
      <c r="Q55" s="697" t="str">
        <f>IFERROR(__xludf.DUMMYFUNCTION("""COMPUTED_VALUE"""),"No")</f>
        <v>No</v>
      </c>
      <c r="R55" s="697" t="str">
        <f>IFERROR(__xludf.DUMMYFUNCTION("""COMPUTED_VALUE"""),"No")</f>
        <v>No</v>
      </c>
      <c r="S55" s="697" t="str">
        <f>IFERROR(__xludf.DUMMYFUNCTION("""COMPUTED_VALUE"""),"12 months")</f>
        <v>12 months</v>
      </c>
      <c r="T55" s="697" t="str">
        <f>IFERROR(__xludf.DUMMYFUNCTION("""COMPUTED_VALUE"""),"Doxycycline is effective in depleting Wolbachia from W. bancrofti.")</f>
        <v>Doxycycline is effective in depleting Wolbachia from W. bancrofti.</v>
      </c>
      <c r="U55" s="697" t="str">
        <f>IFERROR(__xludf.DUMMYFUNCTION("""COMPUTED_VALUE"""),"The ratio of Female to Male has been entered on the basis of the whole population invovlved in the study. The researcher did not provide with a specific ratio of sex in each group. randomization and blinding were not acceptable to village elders (as in [4"&amp;"]), three villages received regimen (1) and (4), and the other three received regimen (2) and (3), whereby in each village patients were sequentially assigned to either groups 1 and 4 or 2 and 3, respectively.")</f>
        <v>The ratio of Female to Male has been entered on the basis of the whole population invovlved in the study. The researcher did not provide with a specific ratio of sex in each group. randomization and blinding were not acceptable to village elders (as in [4]), three villages received regimen (1) and (4), and the other three received regimen (2) and (3), whereby in each village patients were sequentially assigned to either groups 1 and 4 or 2 and 3, respectively.</v>
      </c>
      <c r="V55" s="697">
        <f>IFERROR(__xludf.DUMMYFUNCTION("""COMPUTED_VALUE"""),2003.0)</f>
        <v>2003</v>
      </c>
      <c r="W55" s="697">
        <f>IFERROR(__xludf.DUMMYFUNCTION("""COMPUTED_VALUE"""),2003.0)</f>
        <v>2003</v>
      </c>
      <c r="X55" s="697" t="str">
        <f>IFERROR(__xludf.DUMMYFUNCTION("""COMPUTED_VALUE"""),"Hoerauf A, Mand S, Fischer K, Kruppa T, Marfo-Debrekyei Y, Debrah AY, et al. Doxycycline as a novel strategy against bancroftian filariasis—depletion of Wolbachia endosymbionts from Wuchereria bancrofti and stop of microfilaria production. Med Microbiol I"&amp;"mmunol 2003; 192 (4): 211-216. ")</f>
        <v>Hoerauf A, Mand S, Fischer K, Kruppa T, Marfo-Debrekyei Y, Debrah AY, et al. Doxycycline as a novel strategy against bancroftian filariasis—depletion of Wolbachia endosymbionts from Wuchereria bancrofti and stop of microfilaria production. Med Microbiol Immunol 2003; 192 (4): 211-216. </v>
      </c>
      <c r="Y55" s="697" t="str">
        <f>IFERROR(__xludf.DUMMYFUNCTION("""COMPUTED_VALUE"""),"DOI 10.1007/s00430-002-0174-6")</f>
        <v>DOI 10.1007/s00430-002-0174-6</v>
      </c>
      <c r="Z55" s="865" t="str">
        <f>IFERROR(__xludf.DUMMYFUNCTION("""COMPUTED_VALUE"""),"https://drive.google.com/file/d/0B0-pry4DSOm3by04M2NKTm9sd1E/view?usp=sharing")</f>
        <v>https://drive.google.com/file/d/0B0-pry4DSOm3by04M2NKTm9sd1E/view?usp=sharing</v>
      </c>
      <c r="AA55" s="697"/>
    </row>
    <row r="56">
      <c r="A56" s="697" t="str">
        <f>IFERROR(__xludf.DUMMYFUNCTION("""COMPUTED_VALUE"""),"Hoerauf 2003")</f>
        <v>Hoerauf 2003</v>
      </c>
      <c r="B56" s="697" t="str">
        <f>IFERROR(__xludf.DUMMYFUNCTION("""COMPUTED_VALUE"""),"Kirti")</f>
        <v>Kirti</v>
      </c>
      <c r="C56" s="697" t="str">
        <f>IFERROR(__xludf.DUMMYFUNCTION("""COMPUTED_VALUE"""),"Ross")</f>
        <v>Ross</v>
      </c>
      <c r="D56" s="697" t="str">
        <f>IFERROR(__xludf.DUMMYFUNCTION("""COMPUTED_VALUE"""),"Ghana")</f>
        <v>Ghana</v>
      </c>
      <c r="E56" s="697" t="str">
        <f>IFERROR(__xludf.DUMMYFUNCTION("""COMPUTED_VALUE"""),"W. bancrofti")</f>
        <v>W. bancrofti</v>
      </c>
      <c r="F56" s="697" t="str">
        <f>IFERROR(__xludf.DUMMYFUNCTION("""COMPUTED_VALUE"""),"Doxycycline &amp; Ivermectin")</f>
        <v>Doxycycline &amp; Ivermectin</v>
      </c>
      <c r="G56" s="697" t="str">
        <f>IFERROR(__xludf.DUMMYFUNCTION("""COMPUTED_VALUE"""),"200 mg/kg  + .150 mg/kg ")</f>
        <v>200 mg/kg  + .150 mg/kg </v>
      </c>
      <c r="H56" s="697">
        <f>IFERROR(__xludf.DUMMYFUNCTION("""COMPUTED_VALUE"""),42.0)</f>
        <v>42</v>
      </c>
      <c r="I56" s="706">
        <f>IFERROR(__xludf.DUMMYFUNCTION("""COMPUTED_VALUE"""),1.0)</f>
        <v>1</v>
      </c>
      <c r="J56" s="706">
        <f>IFERROR(__xludf.DUMMYFUNCTION("""COMPUTED_VALUE"""),1.0)</f>
        <v>1</v>
      </c>
      <c r="K56" s="697" t="str">
        <f>IFERROR(__xludf.DUMMYFUNCTION("""COMPUTED_VALUE"""),"not available")</f>
        <v>not available</v>
      </c>
      <c r="L56" s="697">
        <f>IFERROR(__xludf.DUMMYFUNCTION("""COMPUTED_VALUE"""),23.0)</f>
        <v>23</v>
      </c>
      <c r="M56" s="10" t="str">
        <f>IFERROR(__xludf.DUMMYFUNCTION("""COMPUTED_VALUE"""),"18-55")</f>
        <v>18-55</v>
      </c>
      <c r="N56" s="866">
        <f>IFERROR(__xludf.DUMMYFUNCTION("""COMPUTED_VALUE"""),0.2263888888888889)</f>
        <v>0.2263888889</v>
      </c>
      <c r="O56" s="697" t="str">
        <f>IFERROR(__xludf.DUMMYFUNCTION("""COMPUTED_VALUE"""),"A minimum microfilaremia of 40 mf/ml, normal hepatic and renal profiles (alanine aminotransferase &lt; 30 U/l; c-glutamyl-transpeptidase &gt;28 U/l; creatinine &lt; 1.2 mg/ 100 ml) measured by dip-stick chemistry (Reflotron, Roche Diag-nostics, Mannheim, Germany),"&amp;" body weight &gt; 40 kg, no alcohol or drug abuse, no chronic medication, no pregnancy or breast feeding in females, and must have the mental ability to understand the explanations of the study design.")</f>
        <v>A minimum microfilaremia of 40 mf/ml, normal hepatic and renal profiles (alanine aminotransferase &lt; 30 U/l; c-glutamyl-transpeptidase &gt;28 U/l; creatinine &lt; 1.2 mg/ 100 ml) measured by dip-stick chemistry (Reflotron, Roche Diag-nostics, Mannheim, Germany), body weight &gt; 40 kg, no alcohol or drug abuse, no chronic medication, no pregnancy or breast feeding in females, and must have the mental ability to understand the explanations of the study design.</v>
      </c>
      <c r="P56" s="697" t="str">
        <f>IFERROR(__xludf.DUMMYFUNCTION("""COMPUTED_VALUE"""),"4 test groups including control, subjects assigned to group sequentially (see note)")</f>
        <v>4 test groups including control, subjects assigned to group sequentially (see note)</v>
      </c>
      <c r="Q56" s="697" t="str">
        <f>IFERROR(__xludf.DUMMYFUNCTION("""COMPUTED_VALUE"""),"No")</f>
        <v>No</v>
      </c>
      <c r="R56" s="697" t="str">
        <f>IFERROR(__xludf.DUMMYFUNCTION("""COMPUTED_VALUE"""),"No")</f>
        <v>No</v>
      </c>
      <c r="S56" s="697" t="str">
        <f>IFERROR(__xludf.DUMMYFUNCTION("""COMPUTED_VALUE"""),"13 months")</f>
        <v>13 months</v>
      </c>
      <c r="T56" s="697" t="str">
        <f>IFERROR(__xludf.DUMMYFUNCTION("""COMPUTED_VALUE"""),"Doxycycline is effective in depleting Wolbachia from W. bancrofti.")</f>
        <v>Doxycycline is effective in depleting Wolbachia from W. bancrofti.</v>
      </c>
      <c r="U56" s="697" t="str">
        <f>IFERROR(__xludf.DUMMYFUNCTION("""COMPUTED_VALUE"""),"The ratio of Female to Male has been entered on the basis of the whole population invovlved in the study. The researcher did not provide with a specific ratio of sex in each group. randomization and blinding were not acceptable to village elders (as in [4"&amp;"]), three villages received regimen (1) and (4), and the other three received regimen (2) and (3), whereby in each village patients were sequentially assigned to either groups 1 and 4 or 2 and 3, respectively.")</f>
        <v>The ratio of Female to Male has been entered on the basis of the whole population invovlved in the study. The researcher did not provide with a specific ratio of sex in each group. randomization and blinding were not acceptable to village elders (as in [4]), three villages received regimen (1) and (4), and the other three received regimen (2) and (3), whereby in each village patients were sequentially assigned to either groups 1 and 4 or 2 and 3, respectively.</v>
      </c>
      <c r="V56" s="697">
        <f>IFERROR(__xludf.DUMMYFUNCTION("""COMPUTED_VALUE"""),2003.0)</f>
        <v>2003</v>
      </c>
      <c r="W56" s="697">
        <f>IFERROR(__xludf.DUMMYFUNCTION("""COMPUTED_VALUE"""),2003.0)</f>
        <v>2003</v>
      </c>
      <c r="X56" s="697" t="str">
        <f>IFERROR(__xludf.DUMMYFUNCTION("""COMPUTED_VALUE"""),"Hoerauf A, Mand S, Fischer K, Kruppa T, Marfo-Debrekyei Y, Debrah AY, et al. Doxycycline as a novel strategy against bancroftian filariasis—depletion of Wolbachia endosymbionts from Wuchereria bancrofti and stop of microfilaria production. Med Microbiol I"&amp;"mmunol 2003; 192 (4): 211-216. ")</f>
        <v>Hoerauf A, Mand S, Fischer K, Kruppa T, Marfo-Debrekyei Y, Debrah AY, et al. Doxycycline as a novel strategy against bancroftian filariasis—depletion of Wolbachia endosymbionts from Wuchereria bancrofti and stop of microfilaria production. Med Microbiol Immunol 2003; 192 (4): 211-216. </v>
      </c>
      <c r="Y56" s="697" t="str">
        <f>IFERROR(__xludf.DUMMYFUNCTION("""COMPUTED_VALUE"""),"DOI 10.1007/s00430-002-0174-6")</f>
        <v>DOI 10.1007/s00430-002-0174-6</v>
      </c>
      <c r="Z56" s="865" t="str">
        <f>IFERROR(__xludf.DUMMYFUNCTION("""COMPUTED_VALUE"""),"https://drive.google.com/file/d/0B0-pry4DSOm3by04M2NKTm9sd1E/view?usp=sharing")</f>
        <v>https://drive.google.com/file/d/0B0-pry4DSOm3by04M2NKTm9sd1E/view?usp=sharing</v>
      </c>
      <c r="AA56" s="697"/>
    </row>
    <row r="57">
      <c r="A57" s="697" t="str">
        <f>IFERROR(__xludf.DUMMYFUNCTION("""COMPUTED_VALUE"""),"Hoerauf 2003")</f>
        <v>Hoerauf 2003</v>
      </c>
      <c r="B57" s="697" t="str">
        <f>IFERROR(__xludf.DUMMYFUNCTION("""COMPUTED_VALUE"""),"Kirti")</f>
        <v>Kirti</v>
      </c>
      <c r="C57" s="697" t="str">
        <f>IFERROR(__xludf.DUMMYFUNCTION("""COMPUTED_VALUE"""),"Ross")</f>
        <v>Ross</v>
      </c>
      <c r="D57" s="697" t="str">
        <f>IFERROR(__xludf.DUMMYFUNCTION("""COMPUTED_VALUE"""),"Ghana")</f>
        <v>Ghana</v>
      </c>
      <c r="E57" s="697" t="str">
        <f>IFERROR(__xludf.DUMMYFUNCTION("""COMPUTED_VALUE"""),"W. bancrofti")</f>
        <v>W. bancrofti</v>
      </c>
      <c r="F57" s="697" t="str">
        <f>IFERROR(__xludf.DUMMYFUNCTION("""COMPUTED_VALUE"""),"Ivermectin")</f>
        <v>Ivermectin</v>
      </c>
      <c r="G57" s="697" t="str">
        <f>IFERROR(__xludf.DUMMYFUNCTION("""COMPUTED_VALUE"""),".150 mg/kg ")</f>
        <v>.150 mg/kg </v>
      </c>
      <c r="H57" s="697">
        <f>IFERROR(__xludf.DUMMYFUNCTION("""COMPUTED_VALUE"""),1.0)</f>
        <v>1</v>
      </c>
      <c r="I57" s="706">
        <f>IFERROR(__xludf.DUMMYFUNCTION("""COMPUTED_VALUE"""),0.91)</f>
        <v>0.91</v>
      </c>
      <c r="J57" s="706">
        <f>IFERROR(__xludf.DUMMYFUNCTION("""COMPUTED_VALUE"""),0.222)</f>
        <v>0.222</v>
      </c>
      <c r="K57" s="697" t="str">
        <f>IFERROR(__xludf.DUMMYFUNCTION("""COMPUTED_VALUE"""),"not available")</f>
        <v>not available</v>
      </c>
      <c r="L57" s="697">
        <f>IFERROR(__xludf.DUMMYFUNCTION("""COMPUTED_VALUE"""),9.0)</f>
        <v>9</v>
      </c>
      <c r="M57" s="10" t="str">
        <f>IFERROR(__xludf.DUMMYFUNCTION("""COMPUTED_VALUE"""),"18-55")</f>
        <v>18-55</v>
      </c>
      <c r="N57" s="866">
        <f>IFERROR(__xludf.DUMMYFUNCTION("""COMPUTED_VALUE"""),0.2263888888888889)</f>
        <v>0.2263888889</v>
      </c>
      <c r="O57" s="697" t="str">
        <f>IFERROR(__xludf.DUMMYFUNCTION("""COMPUTED_VALUE"""),"A minimum microfilaremia of 40 mf/ml, normal hepatic and renal profiles (alanine aminotransferase &lt; 30 U/l; c-glutamyl-transpeptidase &gt;28 U/l; creatinine &lt; 1.2 mg/ 100 ml) measured by dip-stick chemistry (Reflotron, Roche Diag-nostics, Mannheim, Germany),"&amp;" body weight &gt; 40 kg, no alcohol or drug abuse, no chronic medication, no pregnancy or breast feeding in females, and must have the mental ability to understand the explanations of the study design.")</f>
        <v>A minimum microfilaremia of 40 mf/ml, normal hepatic and renal profiles (alanine aminotransferase &lt; 30 U/l; c-glutamyl-transpeptidase &gt;28 U/l; creatinine &lt; 1.2 mg/ 100 ml) measured by dip-stick chemistry (Reflotron, Roche Diag-nostics, Mannheim, Germany), body weight &gt; 40 kg, no alcohol or drug abuse, no chronic medication, no pregnancy or breast feeding in females, and must have the mental ability to understand the explanations of the study design.</v>
      </c>
      <c r="P57" s="697" t="str">
        <f>IFERROR(__xludf.DUMMYFUNCTION("""COMPUTED_VALUE"""),"4 test groups including control, subjects assigned to group sequentially (see note)")</f>
        <v>4 test groups including control, subjects assigned to group sequentially (see note)</v>
      </c>
      <c r="Q57" s="697" t="str">
        <f>IFERROR(__xludf.DUMMYFUNCTION("""COMPUTED_VALUE"""),"No")</f>
        <v>No</v>
      </c>
      <c r="R57" s="697" t="str">
        <f>IFERROR(__xludf.DUMMYFUNCTION("""COMPUTED_VALUE"""),"No")</f>
        <v>No</v>
      </c>
      <c r="S57" s="697" t="str">
        <f>IFERROR(__xludf.DUMMYFUNCTION("""COMPUTED_VALUE"""),"14 months")</f>
        <v>14 months</v>
      </c>
      <c r="T57" s="697" t="str">
        <f>IFERROR(__xludf.DUMMYFUNCTION("""COMPUTED_VALUE"""),"Doxycycline is effective in depleting Wolbachia from W. bancrofti.")</f>
        <v>Doxycycline is effective in depleting Wolbachia from W. bancrofti.</v>
      </c>
      <c r="U57" s="697" t="str">
        <f>IFERROR(__xludf.DUMMYFUNCTION("""COMPUTED_VALUE"""),"The ratio of Female to Male has been entered on the basis of the whole population invovlved in the study. The researcher did not provide with a specific ratio of sex in each group. randomization and blinding were not acceptable to village elders (as in [4"&amp;"]), three villages received regimen (1) and (4), and the other three received regimen (2) and (3), whereby in each village patients were sequentially assigned to either groups 1 and 4 or 2 and 3, respectively.")</f>
        <v>The ratio of Female to Male has been entered on the basis of the whole population invovlved in the study. The researcher did not provide with a specific ratio of sex in each group. randomization and blinding were not acceptable to village elders (as in [4]), three villages received regimen (1) and (4), and the other three received regimen (2) and (3), whereby in each village patients were sequentially assigned to either groups 1 and 4 or 2 and 3, respectively.</v>
      </c>
      <c r="V57" s="697">
        <f>IFERROR(__xludf.DUMMYFUNCTION("""COMPUTED_VALUE"""),2003.0)</f>
        <v>2003</v>
      </c>
      <c r="W57" s="697">
        <f>IFERROR(__xludf.DUMMYFUNCTION("""COMPUTED_VALUE"""),2003.0)</f>
        <v>2003</v>
      </c>
      <c r="X57" s="697" t="str">
        <f>IFERROR(__xludf.DUMMYFUNCTION("""COMPUTED_VALUE"""),"Hoerauf A, Mand S, Fischer K, Kruppa T, Marfo-Debrekyei Y, Debrah AY, et al. Doxycycline as a novel strategy against bancroftian filariasis—depletion of Wolbachia endosymbionts from Wuchereria bancrofti and stop of microfilaria production. Med Microbiol I"&amp;"mmunol 2003; 192 (4): 211-216. ")</f>
        <v>Hoerauf A, Mand S, Fischer K, Kruppa T, Marfo-Debrekyei Y, Debrah AY, et al. Doxycycline as a novel strategy against bancroftian filariasis—depletion of Wolbachia endosymbionts from Wuchereria bancrofti and stop of microfilaria production. Med Microbiol Immunol 2003; 192 (4): 211-216. </v>
      </c>
      <c r="Y57" s="697" t="str">
        <f>IFERROR(__xludf.DUMMYFUNCTION("""COMPUTED_VALUE"""),"DOI 10.1007/s00430-002-0174-6")</f>
        <v>DOI 10.1007/s00430-002-0174-6</v>
      </c>
      <c r="Z57" s="865" t="str">
        <f>IFERROR(__xludf.DUMMYFUNCTION("""COMPUTED_VALUE"""),"https://drive.google.com/file/d/0B0-pry4DSOm3by04M2NKTm9sd1E/view?usp=sharing")</f>
        <v>https://drive.google.com/file/d/0B0-pry4DSOm3by04M2NKTm9sd1E/view?usp=sharing</v>
      </c>
      <c r="AA57" s="697"/>
    </row>
    <row r="58">
      <c r="A58" s="697" t="str">
        <f>IFERROR(__xludf.DUMMYFUNCTION("""COMPUTED_VALUE"""),"Hoerauf 2003")</f>
        <v>Hoerauf 2003</v>
      </c>
      <c r="B58" s="697" t="str">
        <f>IFERROR(__xludf.DUMMYFUNCTION("""COMPUTED_VALUE"""),"Kirti")</f>
        <v>Kirti</v>
      </c>
      <c r="C58" s="697" t="str">
        <f>IFERROR(__xludf.DUMMYFUNCTION("""COMPUTED_VALUE"""),"Ross")</f>
        <v>Ross</v>
      </c>
      <c r="D58" s="697" t="str">
        <f>IFERROR(__xludf.DUMMYFUNCTION("""COMPUTED_VALUE"""),"Ghana")</f>
        <v>Ghana</v>
      </c>
      <c r="E58" s="697" t="str">
        <f>IFERROR(__xludf.DUMMYFUNCTION("""COMPUTED_VALUE"""),"W. bancrofti")</f>
        <v>W. bancrofti</v>
      </c>
      <c r="F58" s="697" t="str">
        <f>IFERROR(__xludf.DUMMYFUNCTION("""COMPUTED_VALUE"""),"Placebo")</f>
        <v>Placebo</v>
      </c>
      <c r="G58" s="697" t="str">
        <f>IFERROR(__xludf.DUMMYFUNCTION("""COMPUTED_VALUE"""),"-")</f>
        <v>-</v>
      </c>
      <c r="H58" s="697">
        <f>IFERROR(__xludf.DUMMYFUNCTION("""COMPUTED_VALUE"""),42.0)</f>
        <v>42</v>
      </c>
      <c r="I58" s="706">
        <f>IFERROR(__xludf.DUMMYFUNCTION("""COMPUTED_VALUE"""),-0.08)</f>
        <v>-0.08</v>
      </c>
      <c r="J58" s="706">
        <f>IFERROR(__xludf.DUMMYFUNCTION("""COMPUTED_VALUE"""),0.0)</f>
        <v>0</v>
      </c>
      <c r="K58" s="697" t="str">
        <f>IFERROR(__xludf.DUMMYFUNCTION("""COMPUTED_VALUE"""),"not available")</f>
        <v>not available</v>
      </c>
      <c r="L58" s="697">
        <f>IFERROR(__xludf.DUMMYFUNCTION("""COMPUTED_VALUE"""),19.0)</f>
        <v>19</v>
      </c>
      <c r="M58" s="10" t="str">
        <f>IFERROR(__xludf.DUMMYFUNCTION("""COMPUTED_VALUE"""),"18-55")</f>
        <v>18-55</v>
      </c>
      <c r="N58" s="866">
        <f>IFERROR(__xludf.DUMMYFUNCTION("""COMPUTED_VALUE"""),0.2263888888888889)</f>
        <v>0.2263888889</v>
      </c>
      <c r="O58" s="697" t="str">
        <f>IFERROR(__xludf.DUMMYFUNCTION("""COMPUTED_VALUE"""),"A minimum microfilaremia of 40 mf/ml, normal hepatic and renal profiles (alanine aminotransferase &lt; 30 U/l; c-glutamyl-transpeptidase &gt;28 U/l; creatinine &lt; 1.2 mg/ 100 ml) measured by dip-stick chemistry (Reflotron, Roche Diag-nostics, Mannheim, Germany),"&amp;" body weight &gt; 40 kg, no alcohol or drug abuse, no chronic medication, no pregnancy or breast feeding in females, and must have the mental ability to understand the explanations of the study design.")</f>
        <v>A minimum microfilaremia of 40 mf/ml, normal hepatic and renal profiles (alanine aminotransferase &lt; 30 U/l; c-glutamyl-transpeptidase &gt;28 U/l; creatinine &lt; 1.2 mg/ 100 ml) measured by dip-stick chemistry (Reflotron, Roche Diag-nostics, Mannheim, Germany), body weight &gt; 40 kg, no alcohol or drug abuse, no chronic medication, no pregnancy or breast feeding in females, and must have the mental ability to understand the explanations of the study design.</v>
      </c>
      <c r="P58" s="697" t="str">
        <f>IFERROR(__xludf.DUMMYFUNCTION("""COMPUTED_VALUE"""),"4 test groups including control, subjects assigned to group sequentially (see note)")</f>
        <v>4 test groups including control, subjects assigned to group sequentially (see note)</v>
      </c>
      <c r="Q58" s="697" t="str">
        <f>IFERROR(__xludf.DUMMYFUNCTION("""COMPUTED_VALUE"""),"No")</f>
        <v>No</v>
      </c>
      <c r="R58" s="697" t="str">
        <f>IFERROR(__xludf.DUMMYFUNCTION("""COMPUTED_VALUE"""),"No")</f>
        <v>No</v>
      </c>
      <c r="S58" s="697" t="str">
        <f>IFERROR(__xludf.DUMMYFUNCTION("""COMPUTED_VALUE"""),"15 months")</f>
        <v>15 months</v>
      </c>
      <c r="T58" s="697" t="str">
        <f>IFERROR(__xludf.DUMMYFUNCTION("""COMPUTED_VALUE"""),"Doxycycline is effective in depleting Wolbachia from W. bancrofti.")</f>
        <v>Doxycycline is effective in depleting Wolbachia from W. bancrofti.</v>
      </c>
      <c r="U58" s="697" t="str">
        <f>IFERROR(__xludf.DUMMYFUNCTION("""COMPUTED_VALUE"""),"The ratio of Female to Male has been entered on the basis of the whole population invovlved in the study. The researcher did not provide with a specific ratio of sex in each group. randomization and blinding were not acceptable to village elders (as in [4"&amp;"]), three villages received regimen (1) and (4), and the other three received regimen (2) and (3), whereby in each village patients were sequentially assigned to either groups 1 and 4 or 2 and 3, respectively.")</f>
        <v>The ratio of Female to Male has been entered on the basis of the whole population invovlved in the study. The researcher did not provide with a specific ratio of sex in each group. randomization and blinding were not acceptable to village elders (as in [4]), three villages received regimen (1) and (4), and the other three received regimen (2) and (3), whereby in each village patients were sequentially assigned to either groups 1 and 4 or 2 and 3, respectively.</v>
      </c>
      <c r="V58" s="697">
        <f>IFERROR(__xludf.DUMMYFUNCTION("""COMPUTED_VALUE"""),2003.0)</f>
        <v>2003</v>
      </c>
      <c r="W58" s="697">
        <f>IFERROR(__xludf.DUMMYFUNCTION("""COMPUTED_VALUE"""),2003.0)</f>
        <v>2003</v>
      </c>
      <c r="X58" s="697" t="str">
        <f>IFERROR(__xludf.DUMMYFUNCTION("""COMPUTED_VALUE"""),"Hoerauf A, Mand S, Fischer K, Kruppa T, Marfo-Debrekyei Y, Debrah AY, et al. Doxycycline as a novel strategy against bancroftian filariasis—depletion of Wolbachia endosymbionts from Wuchereria bancrofti and stop of microfilaria production. Med Microbiol I"&amp;"mmunol 2003; 192 (4): 211-216. ")</f>
        <v>Hoerauf A, Mand S, Fischer K, Kruppa T, Marfo-Debrekyei Y, Debrah AY, et al. Doxycycline as a novel strategy against bancroftian filariasis—depletion of Wolbachia endosymbionts from Wuchereria bancrofti and stop of microfilaria production. Med Microbiol Immunol 2003; 192 (4): 211-216. </v>
      </c>
      <c r="Y58" s="697" t="str">
        <f>IFERROR(__xludf.DUMMYFUNCTION("""COMPUTED_VALUE"""),"DOI 10.1007/s00430-002-0174-6")</f>
        <v>DOI 10.1007/s00430-002-0174-6</v>
      </c>
      <c r="Z58" s="865" t="str">
        <f>IFERROR(__xludf.DUMMYFUNCTION("""COMPUTED_VALUE"""),"https://drive.google.com/file/d/0B0-pry4DSOm3by04M2NKTm9sd1E/view?usp=sharing")</f>
        <v>https://drive.google.com/file/d/0B0-pry4DSOm3by04M2NKTm9sd1E/view?usp=sharing</v>
      </c>
      <c r="AA58" s="697"/>
    </row>
    <row r="59">
      <c r="A59" s="697" t="str">
        <f>IFERROR(__xludf.DUMMYFUNCTION("""COMPUTED_VALUE"""),"Hoti, 2010")</f>
        <v>Hoti, 2010</v>
      </c>
      <c r="B59" s="697" t="str">
        <f>IFERROR(__xludf.DUMMYFUNCTION("""COMPUTED_VALUE"""),"Alex")</f>
        <v>Alex</v>
      </c>
      <c r="C59" s="697" t="str">
        <f>IFERROR(__xludf.DUMMYFUNCTION("""COMPUTED_VALUE"""),"Ross")</f>
        <v>Ross</v>
      </c>
      <c r="D59" s="697" t="str">
        <f>IFERROR(__xludf.DUMMYFUNCTION("""COMPUTED_VALUE"""),"India")</f>
        <v>India</v>
      </c>
      <c r="E59" s="697" t="str">
        <f>IFERROR(__xludf.DUMMYFUNCTION("""COMPUTED_VALUE"""),"w. bancrofti")</f>
        <v>w. bancrofti</v>
      </c>
      <c r="F59" s="697" t="str">
        <f>IFERROR(__xludf.DUMMYFUNCTION("""COMPUTED_VALUE"""),"DEC")</f>
        <v>DEC</v>
      </c>
      <c r="G59" s="697" t="str">
        <f>IFERROR(__xludf.DUMMYFUNCTION("""COMPUTED_VALUE"""),"6mg/kg")</f>
        <v>6mg/kg</v>
      </c>
      <c r="H59" s="697">
        <f>IFERROR(__xludf.DUMMYFUNCTION("""COMPUTED_VALUE"""),1.0)</f>
        <v>1</v>
      </c>
      <c r="I59" s="706">
        <f>IFERROR(__xludf.DUMMYFUNCTION("""COMPUTED_VALUE"""),0.176)</f>
        <v>0.176</v>
      </c>
      <c r="J59" s="697"/>
      <c r="K59" s="697" t="str">
        <f>IFERROR(__xludf.DUMMYFUNCTION("""COMPUTED_VALUE"""),"Not available")</f>
        <v>Not available</v>
      </c>
      <c r="L59" s="697">
        <f>IFERROR(__xludf.DUMMYFUNCTION("""COMPUTED_VALUE"""),17.0)</f>
        <v>17</v>
      </c>
      <c r="M59" s="10" t="str">
        <f>IFERROR(__xludf.DUMMYFUNCTION("""COMPUTED_VALUE"""),"10-57")</f>
        <v>10-57</v>
      </c>
      <c r="N59" s="697" t="str">
        <f>IFERROR(__xludf.DUMMYFUNCTION("""COMPUTED_VALUE"""),"10: 7")</f>
        <v>10: 7</v>
      </c>
      <c r="O59" s="697" t="str">
        <f>IFERROR(__xludf.DUMMYFUNCTION("""COMPUTED_VALUE"""),"symptomatic volunteers were screened for microfilaria (mf) by examining nocturnal thick blood smears. Those testing positive were randomly assigned to receive a single dose of DEC (6 mg/kg body weight) or albendazole 400 mg or both")</f>
        <v>symptomatic volunteers were screened for microfilaria (mf) by examining nocturnal thick blood smears. Those testing positive were randomly assigned to receive a single dose of DEC (6 mg/kg body weight) or albendazole 400 mg or both</v>
      </c>
      <c r="P59" s="697" t="str">
        <f>IFERROR(__xludf.DUMMYFUNCTION("""COMPUTED_VALUE"""),"blinded, randomised treatment groups")</f>
        <v>blinded, randomised treatment groups</v>
      </c>
      <c r="Q59" s="697" t="str">
        <f>IFERROR(__xludf.DUMMYFUNCTION("""COMPUTED_VALUE"""),"Yes")</f>
        <v>Yes</v>
      </c>
      <c r="R59" s="697" t="str">
        <f>IFERROR(__xludf.DUMMYFUNCTION("""COMPUTED_VALUE"""),"Yes")</f>
        <v>Yes</v>
      </c>
      <c r="S59" s="697" t="str">
        <f>IFERROR(__xludf.DUMMYFUNCTION("""COMPUTED_VALUE""")," 1 year, 2 years")</f>
        <v> 1 year, 2 years</v>
      </c>
      <c r="T59" s="697"/>
      <c r="U59" s="697"/>
      <c r="V59" s="697">
        <f>IFERROR(__xludf.DUMMYFUNCTION("""COMPUTED_VALUE"""),2010.0)</f>
        <v>2010</v>
      </c>
      <c r="W59" s="697">
        <f>IFERROR(__xludf.DUMMYFUNCTION("""COMPUTED_VALUE"""),2010.0)</f>
        <v>2010</v>
      </c>
      <c r="X59" s="697" t="str">
        <f>IFERROR(__xludf.DUMMYFUNCTION("""COMPUTED_VALUE"""),"Hoti, SL, SP Pani, P. Vanamail, Mary Athisaya, LK Das, and PK Das. ""Effect of a Single Dose of Diethylcarbamazine, Albendazole or Both on the Clearance of Wuchereria Bancrofti Microfilariae and Antigenaemia among Microfilaria Carriers: A Randomized Trial"&amp;"."" The National Medical Journal of India 23, no. 2 (2010): 72-76.")</f>
        <v>Hoti, SL, SP Pani, P. Vanamail, Mary Athisaya, LK Das, and PK Das. "Effect of a Single Dose of Diethylcarbamazine, Albendazole or Both on the Clearance of Wuchereria Bancrofti Microfilariae and Antigenaemia among Microfilaria Carriers: A Randomized Trial." The National Medical Journal of India 23, no. 2 (2010): 72-76.</v>
      </c>
      <c r="Y59" s="697"/>
      <c r="Z59" s="865" t="str">
        <f>IFERROR(__xludf.DUMMYFUNCTION("""COMPUTED_VALUE"""),"https://drive.google.com/file/d/0B-yoIBO7tf7FLXNjbjVaa0NyeVU/view?usp=sharing")</f>
        <v>https://drive.google.com/file/d/0B-yoIBO7tf7FLXNjbjVaa0NyeVU/view?usp=sharing</v>
      </c>
      <c r="AA59" s="697"/>
    </row>
    <row r="60">
      <c r="A60" s="697" t="str">
        <f>IFERROR(__xludf.DUMMYFUNCTION("""COMPUTED_VALUE"""),"Hoti, 2010")</f>
        <v>Hoti, 2010</v>
      </c>
      <c r="B60" s="697" t="str">
        <f>IFERROR(__xludf.DUMMYFUNCTION("""COMPUTED_VALUE"""),"Alex")</f>
        <v>Alex</v>
      </c>
      <c r="C60" s="697" t="str">
        <f>IFERROR(__xludf.DUMMYFUNCTION("""COMPUTED_VALUE"""),"Ross")</f>
        <v>Ross</v>
      </c>
      <c r="D60" s="697" t="str">
        <f>IFERROR(__xludf.DUMMYFUNCTION("""COMPUTED_VALUE"""),"India")</f>
        <v>India</v>
      </c>
      <c r="E60" s="697" t="str">
        <f>IFERROR(__xludf.DUMMYFUNCTION("""COMPUTED_VALUE"""),"w. bancrofti")</f>
        <v>w. bancrofti</v>
      </c>
      <c r="F60" s="697" t="str">
        <f>IFERROR(__xludf.DUMMYFUNCTION("""COMPUTED_VALUE"""),"Albendazole")</f>
        <v>Albendazole</v>
      </c>
      <c r="G60" s="697" t="str">
        <f>IFERROR(__xludf.DUMMYFUNCTION("""COMPUTED_VALUE"""),"400mg")</f>
        <v>400mg</v>
      </c>
      <c r="H60" s="697">
        <f>IFERROR(__xludf.DUMMYFUNCTION("""COMPUTED_VALUE"""),1.0)</f>
        <v>1</v>
      </c>
      <c r="I60" s="706">
        <f>IFERROR(__xludf.DUMMYFUNCTION("""COMPUTED_VALUE"""),0.263)</f>
        <v>0.263</v>
      </c>
      <c r="J60" s="697"/>
      <c r="K60" s="697" t="str">
        <f>IFERROR(__xludf.DUMMYFUNCTION("""COMPUTED_VALUE"""),"Not available")</f>
        <v>Not available</v>
      </c>
      <c r="L60" s="702">
        <f>IFERROR(__xludf.DUMMYFUNCTION("""COMPUTED_VALUE"""),19.0)</f>
        <v>19</v>
      </c>
      <c r="M60" s="10" t="str">
        <f>IFERROR(__xludf.DUMMYFUNCTION("""COMPUTED_VALUE"""),"10-57")</f>
        <v>10-57</v>
      </c>
      <c r="N60" s="697" t="str">
        <f>IFERROR(__xludf.DUMMYFUNCTION("""COMPUTED_VALUE"""),"10: 9")</f>
        <v>10: 9</v>
      </c>
      <c r="O60" s="697" t="str">
        <f>IFERROR(__xludf.DUMMYFUNCTION("""COMPUTED_VALUE"""),"symptomatic volunteers were screened for microfilaria (mf) by examining nocturnal thick blood smears. Those testing positive were randomly assigned to receive a single dose of DEC (6 mg/kg body weight) or albendazole 400 mg or both")</f>
        <v>symptomatic volunteers were screened for microfilaria (mf) by examining nocturnal thick blood smears. Those testing positive were randomly assigned to receive a single dose of DEC (6 mg/kg body weight) or albendazole 400 mg or both</v>
      </c>
      <c r="P60" s="697" t="str">
        <f>IFERROR(__xludf.DUMMYFUNCTION("""COMPUTED_VALUE"""),"blinded, randomised treatment groups")</f>
        <v>blinded, randomised treatment groups</v>
      </c>
      <c r="Q60" s="697" t="str">
        <f>IFERROR(__xludf.DUMMYFUNCTION("""COMPUTED_VALUE"""),"Yes")</f>
        <v>Yes</v>
      </c>
      <c r="R60" s="697" t="str">
        <f>IFERROR(__xludf.DUMMYFUNCTION("""COMPUTED_VALUE"""),"Yes")</f>
        <v>Yes</v>
      </c>
      <c r="S60" s="697" t="str">
        <f>IFERROR(__xludf.DUMMYFUNCTION("""COMPUTED_VALUE"""),"1 year,  2 years")</f>
        <v>1 year,  2 years</v>
      </c>
      <c r="T60" s="697"/>
      <c r="U60" s="697"/>
      <c r="V60" s="697">
        <f>IFERROR(__xludf.DUMMYFUNCTION("""COMPUTED_VALUE"""),2010.0)</f>
        <v>2010</v>
      </c>
      <c r="W60" s="697">
        <f>IFERROR(__xludf.DUMMYFUNCTION("""COMPUTED_VALUE"""),2010.0)</f>
        <v>2010</v>
      </c>
      <c r="X60" s="697" t="str">
        <f>IFERROR(__xludf.DUMMYFUNCTION("""COMPUTED_VALUE"""),"Hoti, SL, SP Pani, P. Vanamail, Mary Athisaya, LK Das, and PK Das. ""Effect of a Single Dose of Diethylcarbamazine, Albendazole or Both on the Clearance of Wuchereria Bancrofti Microfilariae and Antigenaemia among Microfilaria Carriers: A Randomized Trial"&amp;"."" The National Medical Journal of India 23, no. 2 (2010): 72-76.")</f>
        <v>Hoti, SL, SP Pani, P. Vanamail, Mary Athisaya, LK Das, and PK Das. "Effect of a Single Dose of Diethylcarbamazine, Albendazole or Both on the Clearance of Wuchereria Bancrofti Microfilariae and Antigenaemia among Microfilaria Carriers: A Randomized Trial." The National Medical Journal of India 23, no. 2 (2010): 72-76.</v>
      </c>
      <c r="Y60" s="697"/>
      <c r="Z60" s="865" t="str">
        <f>IFERROR(__xludf.DUMMYFUNCTION("""COMPUTED_VALUE"""),"https://drive.google.com/file/d/0B-yoIBO7tf7FLXNjbjVaa0NyeVU/view?usp=sharing")</f>
        <v>https://drive.google.com/file/d/0B-yoIBO7tf7FLXNjbjVaa0NyeVU/view?usp=sharing</v>
      </c>
      <c r="AA60" s="697"/>
    </row>
    <row r="61">
      <c r="A61" s="697" t="str">
        <f>IFERROR(__xludf.DUMMYFUNCTION("""COMPUTED_VALUE"""),"Fox LM, 2005")</f>
        <v>Fox LM, 2005</v>
      </c>
      <c r="B61" s="697"/>
      <c r="C61" s="697" t="str">
        <f>IFERROR(__xludf.DUMMYFUNCTION("""COMPUTED_VALUE"""),"Alex")</f>
        <v>Alex</v>
      </c>
      <c r="D61" s="697" t="str">
        <f>IFERROR(__xludf.DUMMYFUNCTION("""COMPUTED_VALUE"""),"Haiti")</f>
        <v>Haiti</v>
      </c>
      <c r="E61" s="697" t="str">
        <f>IFERROR(__xludf.DUMMYFUNCTION("""COMPUTED_VALUE"""),"W. bancrofti")</f>
        <v>W. bancrofti</v>
      </c>
      <c r="F61" s="697" t="str">
        <f>IFERROR(__xludf.DUMMYFUNCTION("""COMPUTED_VALUE"""),"Albendazole &amp; DEC")</f>
        <v>Albendazole &amp; DEC</v>
      </c>
      <c r="G61" s="697" t="str">
        <f>IFERROR(__xludf.DUMMYFUNCTION("""COMPUTED_VALUE"""),"400 mg + 6mg/kg")</f>
        <v>400 mg + 6mg/kg</v>
      </c>
      <c r="H61" s="697">
        <f>IFERROR(__xludf.DUMMYFUNCTION("""COMPUTED_VALUE"""),1.0)</f>
        <v>1</v>
      </c>
      <c r="I61" s="706">
        <f>IFERROR(__xludf.DUMMYFUNCTION("""COMPUTED_VALUE"""),0.804)</f>
        <v>0.804</v>
      </c>
      <c r="J61" s="698">
        <f>IFERROR(__xludf.DUMMYFUNCTION("""COMPUTED_VALUE"""),0.114)</f>
        <v>0.114</v>
      </c>
      <c r="K61" s="697" t="str">
        <f>IFERROR(__xludf.DUMMYFUNCTION("""COMPUTED_VALUE"""),"Not available")</f>
        <v>Not available</v>
      </c>
      <c r="L61" s="697">
        <f>IFERROR(__xludf.DUMMYFUNCTION("""COMPUTED_VALUE"""),245.0)</f>
        <v>245</v>
      </c>
      <c r="M61" s="697" t="str">
        <f>IFERROR(__xludf.DUMMYFUNCTION("""COMPUTED_VALUE"""),"5- 11")</f>
        <v>5- 11</v>
      </c>
      <c r="N61" s="862" t="str">
        <f>IFERROR(__xludf.DUMMYFUNCTION("""COMPUTED_VALUE"""),"1.06: 1")</f>
        <v>1.06: 1</v>
      </c>
      <c r="O61" s="697" t="str">
        <f>IFERROR(__xludf.DUMMYFUNCTION("""COMPUTED_VALUE"""),"Inclusion in final analysis group was depenedant on and age of 5 -11 years, anthropometric measurements havinf been performed before treatment and 6 months after, stool specimens collected before and 5 months after treatment, MF smears collected before an"&amp;"d 6 months after treatment, and rando assignment to a treatment group")</f>
        <v>Inclusion in final analysis group was depenedant on and age of 5 -11 years, anthropometric measurements havinf been performed before treatment and 6 months after, stool specimens collected before and 5 months after treatment, MF smears collected before and 6 months after treatment, and rando assignment to a treatment group</v>
      </c>
      <c r="P61" s="697" t="str">
        <f>IFERROR(__xludf.DUMMYFUNCTION("""COMPUTED_VALUE"""),"double-blind, RCT")</f>
        <v>double-blind, RCT</v>
      </c>
      <c r="Q61" s="697" t="str">
        <f>IFERROR(__xludf.DUMMYFUNCTION("""COMPUTED_VALUE"""),"Yes")</f>
        <v>Yes</v>
      </c>
      <c r="R61" s="697" t="str">
        <f>IFERROR(__xludf.DUMMYFUNCTION("""COMPUTED_VALUE"""),"Yes")</f>
        <v>Yes</v>
      </c>
      <c r="S61" s="697" t="str">
        <f>IFERROR(__xludf.DUMMYFUNCTION("""COMPUTED_VALUE""")," 6 months")</f>
        <v> 6 months</v>
      </c>
      <c r="T61" s="697"/>
      <c r="U61" s="697"/>
      <c r="V61" s="697">
        <f>IFERROR(__xludf.DUMMYFUNCTION("""COMPUTED_VALUE"""),2005.0)</f>
        <v>2005</v>
      </c>
      <c r="W61" s="697">
        <f>IFERROR(__xludf.DUMMYFUNCTION("""COMPUTED_VALUE"""),2005.0)</f>
        <v>2005</v>
      </c>
      <c r="X61" s="697" t="str">
        <f>IFERROR(__xludf.DUMMYFUNCTION("""COMPUTED_VALUE"""),"Fox LM, Furness BW, Haser JK, et al. Tolerance and efficacy of combined diethylcarbamazine and albendazole for treatment of Wuchereria bancrofti and intestinal helminth infections in Haitian children. American Journal of Tropical Medicine and Hygiene. 200"&amp;"5;73(1):115–121.")</f>
        <v>Fox LM, Furness BW, Haser JK, et al. Tolerance and efficacy of combined diethylcarbamazine and albendazole for treatment of Wuchereria bancrofti and intestinal helminth infections in Haitian children. American Journal of Tropical Medicine and Hygiene. 2005;73(1):115–121.</v>
      </c>
      <c r="Y61" s="697"/>
      <c r="Z61" s="865" t="str">
        <f>IFERROR(__xludf.DUMMYFUNCTION("""COMPUTED_VALUE"""),"https://drive.google.com/file/d/0B95WhYooraDeSHh2b2VXSlUxdzQ/view?usp=sharing")</f>
        <v>https://drive.google.com/file/d/0B95WhYooraDeSHh2b2VXSlUxdzQ/view?usp=sharing</v>
      </c>
      <c r="AA61" s="697"/>
    </row>
    <row r="62">
      <c r="A62" s="697" t="str">
        <f>IFERROR(__xludf.DUMMYFUNCTION("""COMPUTED_VALUE"""),"Huijun Z, 1991")</f>
        <v>Huijun Z, 1991</v>
      </c>
      <c r="B62" s="697" t="str">
        <f>IFERROR(__xludf.DUMMYFUNCTION("""COMPUTED_VALUE"""),"Ross")</f>
        <v>Ross</v>
      </c>
      <c r="C62" s="697" t="str">
        <f>IFERROR(__xludf.DUMMYFUNCTION("""COMPUTED_VALUE"""),"Ross")</f>
        <v>Ross</v>
      </c>
      <c r="D62" s="697" t="str">
        <f>IFERROR(__xludf.DUMMYFUNCTION("""COMPUTED_VALUE"""),"China")</f>
        <v>China</v>
      </c>
      <c r="E62" s="697" t="str">
        <f>IFERROR(__xludf.DUMMYFUNCTION("""COMPUTED_VALUE"""),"w. bancrofti")</f>
        <v>w. bancrofti</v>
      </c>
      <c r="F62" s="697" t="str">
        <f>IFERROR(__xludf.DUMMYFUNCTION("""COMPUTED_VALUE"""),"Ivermectin")</f>
        <v>Ivermectin</v>
      </c>
      <c r="G62" s="697" t="str">
        <f>IFERROR(__xludf.DUMMYFUNCTION("""COMPUTED_VALUE"""),".100 mg/kg")</f>
        <v>.100 mg/kg</v>
      </c>
      <c r="H62" s="697">
        <f>IFERROR(__xludf.DUMMYFUNCTION("""COMPUTED_VALUE"""),1.0)</f>
        <v>1</v>
      </c>
      <c r="I62" s="706">
        <f>IFERROR(__xludf.DUMMYFUNCTION("""COMPUTED_VALUE"""),0.78)</f>
        <v>0.78</v>
      </c>
      <c r="J62" s="697"/>
      <c r="K62" s="700">
        <f>IFERROR(__xludf.DUMMYFUNCTION("""COMPUTED_VALUE"""),0.92)</f>
        <v>0.92</v>
      </c>
      <c r="L62" s="697">
        <f>IFERROR(__xludf.DUMMYFUNCTION("""COMPUTED_VALUE"""),30.0)</f>
        <v>30</v>
      </c>
      <c r="M62" s="10" t="str">
        <f>IFERROR(__xludf.DUMMYFUNCTION("""COMPUTED_VALUE"""),"17-64")</f>
        <v>17-64</v>
      </c>
      <c r="N62" s="697" t="str">
        <f>IFERROR(__xludf.DUMMYFUNCTION("""COMPUTED_VALUE"""),"22:8")</f>
        <v>22:8</v>
      </c>
      <c r="O62" s="697" t="str">
        <f>IFERROR(__xludf.DUMMYFUNCTION("""COMPUTED_VALUE"""),"Sixty patients with bancroftian filariasis from Guizhou Province, People's Republic of China ")</f>
        <v>Sixty patients with bancroftian filariasis from Guizhou Province, People's Republic of China </v>
      </c>
      <c r="P62" s="697" t="str">
        <f>IFERROR(__xludf.DUMMYFUNCTION("""COMPUTED_VALUE"""),"double blind, randomized trial ")</f>
        <v>double blind, randomized trial </v>
      </c>
      <c r="Q62" s="697" t="str">
        <f>IFERROR(__xludf.DUMMYFUNCTION("""COMPUTED_VALUE"""),"Yes")</f>
        <v>Yes</v>
      </c>
      <c r="R62" s="697" t="str">
        <f>IFERROR(__xludf.DUMMYFUNCTION("""COMPUTED_VALUE"""),"Yes")</f>
        <v>Yes</v>
      </c>
      <c r="S62" s="697" t="str">
        <f>IFERROR(__xludf.DUMMYFUNCTION("""COMPUTED_VALUE"""),"2 years")</f>
        <v>2 years</v>
      </c>
      <c r="T62" s="697" t="str">
        <f>IFERROR(__xludf.DUMMYFUNCTION("""COMPUTED_VALUE"""),"In summary, ivermectin appears to be as effective as DEC for treatment of recurrent microfilaremia due to bancroftian filariasis. The drug can be given in a single dose, triggers fewer side effects than DEC, inhibits the development of filarial parasites "&amp;"in mosquitoes, and appears to reduce the life span and fertility of potential mos quito vectors.16-17 Thus, ivermectin should be strongly considered as an alternative to DEC for programs aimed at controlling bancroftian fila riasis based on mass chemother"&amp;"apy of infected populations.")</f>
        <v>In summary, ivermectin appears to be as effective as DEC for treatment of recurrent microfilaremia due to bancroftian filariasis. The drug can be given in a single dose, triggers fewer side effects than DEC, inhibits the development of filarial parasites in mosquitoes, and appears to reduce the life span and fertility of potential mos quito vectors.16-17 Thus, ivermectin should be strongly considered as an alternative to DEC for programs aimed at controlling bancroftian fila riasis based on mass chemotherapy of infected populations.</v>
      </c>
      <c r="U62" s="697"/>
      <c r="V62" s="697">
        <f>IFERROR(__xludf.DUMMYFUNCTION("""COMPUTED_VALUE"""),1991.0)</f>
        <v>1991</v>
      </c>
      <c r="W62" s="697">
        <f>IFERROR(__xludf.DUMMYFUNCTION("""COMPUTED_VALUE"""),1991.0)</f>
        <v>1991</v>
      </c>
      <c r="X62" s="697" t="str">
        <f>IFERROR(__xludf.DUMMYFUNCTION("""COMPUTED_VALUE"""),"Zheng HJ, Piessens WF, Tao ZH, Cheng WF, Wang SH, Cheng SZ, Ye YM, Luo LF, Chen XR, Gan GB, 1991. Efficacy of ivermectin for control of microfllaremia recurring after treatment with diethylcarbamazine. I. Clinical and parasitologic observations. Am J Trop"&amp;" Med Hyg 45:")</f>
        <v>Zheng HJ, Piessens WF, Tao ZH, Cheng WF, Wang SH, Cheng SZ, Ye YM, Luo LF, Chen XR, Gan GB, 1991. Efficacy of ivermectin for control of microfllaremia recurring after treatment with diethylcarbamazine. I. Clinical and parasitologic observations. Am J Trop Med Hyg 45:</v>
      </c>
      <c r="Y62" s="697"/>
      <c r="Z62" s="865" t="str">
        <f>IFERROR(__xludf.DUMMYFUNCTION("""COMPUTED_VALUE"""),"https://drive.google.com/file/d/0B9vYgR7NsKoYdWFaYzMweGxhSG8/view?usp=sharing")</f>
        <v>https://drive.google.com/file/d/0B9vYgR7NsKoYdWFaYzMweGxhSG8/view?usp=sharing</v>
      </c>
      <c r="AA62" s="697"/>
    </row>
    <row r="63">
      <c r="A63" s="697" t="str">
        <f>IFERROR(__xludf.DUMMYFUNCTION("""COMPUTED_VALUE"""),"Huijun Z, 1991")</f>
        <v>Huijun Z, 1991</v>
      </c>
      <c r="B63" s="697" t="str">
        <f>IFERROR(__xludf.DUMMYFUNCTION("""COMPUTED_VALUE"""),"Ross")</f>
        <v>Ross</v>
      </c>
      <c r="C63" s="697" t="str">
        <f>IFERROR(__xludf.DUMMYFUNCTION("""COMPUTED_VALUE"""),"Ross")</f>
        <v>Ross</v>
      </c>
      <c r="D63" s="697" t="str">
        <f>IFERROR(__xludf.DUMMYFUNCTION("""COMPUTED_VALUE"""),"China")</f>
        <v>China</v>
      </c>
      <c r="E63" s="697" t="str">
        <f>IFERROR(__xludf.DUMMYFUNCTION("""COMPUTED_VALUE"""),"w. bancrofti")</f>
        <v>w. bancrofti</v>
      </c>
      <c r="F63" s="697" t="str">
        <f>IFERROR(__xludf.DUMMYFUNCTION("""COMPUTED_VALUE"""),"DEC")</f>
        <v>DEC</v>
      </c>
      <c r="G63" s="697" t="str">
        <f>IFERROR(__xludf.DUMMYFUNCTION("""COMPUTED_VALUE"""),"75 mg/kg")</f>
        <v>75 mg/kg</v>
      </c>
      <c r="H63" s="697">
        <f>IFERROR(__xludf.DUMMYFUNCTION("""COMPUTED_VALUE"""),1.0)</f>
        <v>1</v>
      </c>
      <c r="I63" s="706">
        <f>IFERROR(__xludf.DUMMYFUNCTION("""COMPUTED_VALUE"""),0.81)</f>
        <v>0.81</v>
      </c>
      <c r="J63" s="697"/>
      <c r="K63" s="700">
        <f>IFERROR(__xludf.DUMMYFUNCTION("""COMPUTED_VALUE"""),0.58)</f>
        <v>0.58</v>
      </c>
      <c r="L63" s="697">
        <f>IFERROR(__xludf.DUMMYFUNCTION("""COMPUTED_VALUE"""),30.0)</f>
        <v>30</v>
      </c>
      <c r="M63" s="10" t="str">
        <f>IFERROR(__xludf.DUMMYFUNCTION("""COMPUTED_VALUE"""),"17-65")</f>
        <v>17-65</v>
      </c>
      <c r="N63" s="697" t="str">
        <f>IFERROR(__xludf.DUMMYFUNCTION("""COMPUTED_VALUE"""),"22:8")</f>
        <v>22:8</v>
      </c>
      <c r="O63" s="697" t="str">
        <f>IFERROR(__xludf.DUMMYFUNCTION("""COMPUTED_VALUE"""),"Sixty patients with bancroftian filariasis from Guizhou Province, People's Republic of China ")</f>
        <v>Sixty patients with bancroftian filariasis from Guizhou Province, People's Republic of China </v>
      </c>
      <c r="P63" s="697" t="str">
        <f>IFERROR(__xludf.DUMMYFUNCTION("""COMPUTED_VALUE"""),"double blind, randomized trial ")</f>
        <v>double blind, randomized trial </v>
      </c>
      <c r="Q63" s="697" t="str">
        <f>IFERROR(__xludf.DUMMYFUNCTION("""COMPUTED_VALUE"""),"Yes")</f>
        <v>Yes</v>
      </c>
      <c r="R63" s="697" t="str">
        <f>IFERROR(__xludf.DUMMYFUNCTION("""COMPUTED_VALUE"""),"Yes")</f>
        <v>Yes</v>
      </c>
      <c r="S63" s="697" t="str">
        <f>IFERROR(__xludf.DUMMYFUNCTION("""COMPUTED_VALUE"""),"2 years")</f>
        <v>2 years</v>
      </c>
      <c r="T63" s="697" t="str">
        <f>IFERROR(__xludf.DUMMYFUNCTION("""COMPUTED_VALUE"""),"In summary, ivermectin appears to be as effective as DEC for treatment of recurrent microfilaremia due to bancroftian filariasis. The drug can be given in a single dose, triggers fewer side effects than DEC, inhibits the development of filarial parasites "&amp;"in mosquitoes, and appears to reduce the life span and fertility of potential mos quito vectors.16-17 Thus, ivermectin should be strongly considered as an alternative to DEC for programs aimed at controlling bancroftian fila riasis based on mass chemother"&amp;"apy of infected populations.")</f>
        <v>In summary, ivermectin appears to be as effective as DEC for treatment of recurrent microfilaremia due to bancroftian filariasis. The drug can be given in a single dose, triggers fewer side effects than DEC, inhibits the development of filarial parasites in mosquitoes, and appears to reduce the life span and fertility of potential mos quito vectors.16-17 Thus, ivermectin should be strongly considered as an alternative to DEC for programs aimed at controlling bancroftian fila riasis based on mass chemotherapy of infected populations.</v>
      </c>
      <c r="U63" s="697"/>
      <c r="V63" s="697">
        <f>IFERROR(__xludf.DUMMYFUNCTION("""COMPUTED_VALUE"""),1991.0)</f>
        <v>1991</v>
      </c>
      <c r="W63" s="697">
        <f>IFERROR(__xludf.DUMMYFUNCTION("""COMPUTED_VALUE"""),1991.0)</f>
        <v>1991</v>
      </c>
      <c r="X63" s="697" t="str">
        <f>IFERROR(__xludf.DUMMYFUNCTION("""COMPUTED_VALUE"""),"Zheng HJ, Piessens WF, Tao ZH, Cheng WF, Wang SH, Cheng SZ, Ye YM, Luo LF, Chen XR, Gan GB, 1991. Efficacy of ivermectin for control of microfllaremia recurring after treatment with diethylcarbamazine. I. Clinical and parasitologic observations. Am J Trop"&amp;" Med Hyg 45:")</f>
        <v>Zheng HJ, Piessens WF, Tao ZH, Cheng WF, Wang SH, Cheng SZ, Ye YM, Luo LF, Chen XR, Gan GB, 1991. Efficacy of ivermectin for control of microfllaremia recurring after treatment with diethylcarbamazine. I. Clinical and parasitologic observations. Am J Trop Med Hyg 45:</v>
      </c>
      <c r="Y63" s="697"/>
      <c r="Z63" s="865" t="str">
        <f>IFERROR(__xludf.DUMMYFUNCTION("""COMPUTED_VALUE"""),"https://drive.google.com/file/d/0B9vYgR7NsKoYdWFaYzMweGxhSG8/view?usp=sharing")</f>
        <v>https://drive.google.com/file/d/0B9vYgR7NsKoYdWFaYzMweGxhSG8/view?usp=sharing</v>
      </c>
      <c r="AA63" s="697"/>
    </row>
    <row r="64">
      <c r="A64" s="697" t="str">
        <f>IFERROR(__xludf.DUMMYFUNCTION("""COMPUTED_VALUE"""),"Ismail MM, 1996")</f>
        <v>Ismail MM, 1996</v>
      </c>
      <c r="B64" s="697"/>
      <c r="C64" s="697" t="str">
        <f>IFERROR(__xludf.DUMMYFUNCTION("""COMPUTED_VALUE"""),"Alex ")</f>
        <v>Alex </v>
      </c>
      <c r="D64" s="697" t="str">
        <f>IFERROR(__xludf.DUMMYFUNCTION("""COMPUTED_VALUE"""),"Sri Lanka")</f>
        <v>Sri Lanka</v>
      </c>
      <c r="E64" s="697" t="str">
        <f>IFERROR(__xludf.DUMMYFUNCTION("""COMPUTED_VALUE"""),"w. bancrofti")</f>
        <v>w. bancrofti</v>
      </c>
      <c r="F64" s="697" t="str">
        <f>IFERROR(__xludf.DUMMYFUNCTION("""COMPUTED_VALUE"""),"Ivermectin")</f>
        <v>Ivermectin</v>
      </c>
      <c r="G64" s="697" t="str">
        <f>IFERROR(__xludf.DUMMYFUNCTION("""COMPUTED_VALUE""")," .02mg/kg + 12 (Day 1); .400 mg/kg (day 4 and every subsequent 2 weeks)")</f>
        <v> .02mg/kg + 12 (Day 1); .400 mg/kg (day 4 and every subsequent 2 weeks)</v>
      </c>
      <c r="H64" s="697"/>
      <c r="I64" s="697"/>
      <c r="J64" s="706">
        <f>IFERROR(__xludf.DUMMYFUNCTION("""COMPUTED_VALUE"""),0.9286)</f>
        <v>0.9286</v>
      </c>
      <c r="K64" s="697" t="str">
        <f>IFERROR(__xludf.DUMMYFUNCTION("""COMPUTED_VALUE"""),"not available")</f>
        <v>not available</v>
      </c>
      <c r="L64" s="697">
        <f>IFERROR(__xludf.DUMMYFUNCTION("""COMPUTED_VALUE"""),14.0)</f>
        <v>14</v>
      </c>
      <c r="M64" s="10" t="str">
        <f>IFERROR(__xludf.DUMMYFUNCTION("""COMPUTED_VALUE"""),"unknonwn")</f>
        <v>unknonwn</v>
      </c>
      <c r="N64" s="862" t="str">
        <f>IFERROR(__xludf.DUMMYFUNCTION("""COMPUTED_VALUE"""),"males")</f>
        <v>males</v>
      </c>
      <c r="O64" s="697" t="str">
        <f>IFERROR(__xludf.DUMMYFUNCTION("""COMPUTED_VALUE"""),"male asymptomatic microfilaraemic volunteers")</f>
        <v>male asymptomatic microfilaraemic volunteers</v>
      </c>
      <c r="P64" s="697" t="str">
        <f>IFERROR(__xludf.DUMMYFUNCTION("""COMPUTED_VALUE"""),"double blinded RCT")</f>
        <v>double blinded RCT</v>
      </c>
      <c r="Q64" s="697" t="str">
        <f>IFERROR(__xludf.DUMMYFUNCTION("""COMPUTED_VALUE"""),"Yes")</f>
        <v>Yes</v>
      </c>
      <c r="R64" s="697" t="str">
        <f>IFERROR(__xludf.DUMMYFUNCTION("""COMPUTED_VALUE"""),"Yes")</f>
        <v>Yes</v>
      </c>
      <c r="S64" s="697" t="str">
        <f>IFERROR(__xludf.DUMMYFUNCTION("""COMPUTED_VALUE"""),"129 weeks")</f>
        <v>129 weeks</v>
      </c>
      <c r="T64" s="697"/>
      <c r="U64" s="697"/>
      <c r="V64" s="697">
        <f>IFERROR(__xludf.DUMMYFUNCTION("""COMPUTED_VALUE"""),1996.0)</f>
        <v>1996</v>
      </c>
      <c r="W64" s="697">
        <f>IFERROR(__xludf.DUMMYFUNCTION("""COMPUTED_VALUE"""),1996.0)</f>
        <v>1996</v>
      </c>
      <c r="X64" s="697" t="str">
        <f>IFERROR(__xludf.DUMMYFUNCTION("""COMPUTED_VALUE"""),"M. M. Ismail, G. J. Wei, K. S. A. Jayasinghel, U. N. Premaratne, W. Abeyewickremel, H. N. Rajaratnam, M. H. Rezvi Sheriff’, C. Selvie Perera and A. S. Dissanaike.Prolonged clearance of microfilaraemia in patients with bancroftian filariasis after multiple"&amp;" high doses of ivermectin or diethylcarbamazine. TRANSACTIONS OF THE ROYAL SOCIETY OF TROPICAL MEDICINE AND HYGIENE(1996)90,684-688")</f>
        <v>M. M. Ismail, G. J. Wei, K. S. A. Jayasinghel, U. N. Premaratne, W. Abeyewickremel, H. N. Rajaratnam, M. H. Rezvi Sheriff’, C. Selvie Perera and A. S. Dissanaike.Prolonged clearance of microfilaraemia in patients with bancroftian filariasis after multiple high doses of ivermectin or diethylcarbamazine. TRANSACTIONS OF THE ROYAL SOCIETY OF TROPICAL MEDICINE AND HYGIENE(1996)90,684-688</v>
      </c>
      <c r="Y64" s="697"/>
      <c r="Z64" s="865" t="str">
        <f>IFERROR(__xludf.DUMMYFUNCTION("""COMPUTED_VALUE"""),"https://drive.google.com/file/d/0B4sJPAkX0Jo3R0hyRzBTTUVjMjQ/view?usp=sharing")</f>
        <v>https://drive.google.com/file/d/0B4sJPAkX0Jo3R0hyRzBTTUVjMjQ/view?usp=sharing</v>
      </c>
      <c r="AA64" s="697"/>
    </row>
    <row r="65">
      <c r="A65" s="697" t="str">
        <f>IFERROR(__xludf.DUMMYFUNCTION("""COMPUTED_VALUE"""),"Ismail MM, 1996")</f>
        <v>Ismail MM, 1996</v>
      </c>
      <c r="B65" s="697"/>
      <c r="C65" s="697" t="str">
        <f>IFERROR(__xludf.DUMMYFUNCTION("""COMPUTED_VALUE"""),"Alex ")</f>
        <v>Alex </v>
      </c>
      <c r="D65" s="697" t="str">
        <f>IFERROR(__xludf.DUMMYFUNCTION("""COMPUTED_VALUE"""),"Sri Lanka")</f>
        <v>Sri Lanka</v>
      </c>
      <c r="E65" s="697" t="str">
        <f>IFERROR(__xludf.DUMMYFUNCTION("""COMPUTED_VALUE"""),"w. bancrofti")</f>
        <v>w. bancrofti</v>
      </c>
      <c r="F65" s="697" t="str">
        <f>IFERROR(__xludf.DUMMYFUNCTION("""COMPUTED_VALUE"""),"DEC")</f>
        <v>DEC</v>
      </c>
      <c r="G65" s="697" t="str">
        <f>IFERROR(__xludf.DUMMYFUNCTION("""COMPUTED_VALUE"""),"3 mg/kg (on Day 1), .01 mg/kg (12 fortnightly doses starting day 4)")</f>
        <v>3 mg/kg (on Day 1), .01 mg/kg (12 fortnightly doses starting day 4)</v>
      </c>
      <c r="H65" s="697"/>
      <c r="I65" s="697"/>
      <c r="J65" s="706">
        <f>IFERROR(__xludf.DUMMYFUNCTION("""COMPUTED_VALUE"""),0.6667)</f>
        <v>0.6667</v>
      </c>
      <c r="K65" s="697" t="str">
        <f>IFERROR(__xludf.DUMMYFUNCTION("""COMPUTED_VALUE"""),"not available")</f>
        <v>not available</v>
      </c>
      <c r="L65" s="697">
        <f>IFERROR(__xludf.DUMMYFUNCTION("""COMPUTED_VALUE"""),12.0)</f>
        <v>12</v>
      </c>
      <c r="M65" s="10" t="str">
        <f>IFERROR(__xludf.DUMMYFUNCTION("""COMPUTED_VALUE"""),"unknonwn")</f>
        <v>unknonwn</v>
      </c>
      <c r="N65" s="862" t="str">
        <f>IFERROR(__xludf.DUMMYFUNCTION("""COMPUTED_VALUE"""),"males")</f>
        <v>males</v>
      </c>
      <c r="O65" s="697" t="str">
        <f>IFERROR(__xludf.DUMMYFUNCTION("""COMPUTED_VALUE"""),"male asymptomatic microfilaraemic volunteers")</f>
        <v>male asymptomatic microfilaraemic volunteers</v>
      </c>
      <c r="P65" s="697" t="str">
        <f>IFERROR(__xludf.DUMMYFUNCTION("""COMPUTED_VALUE"""),"double blinded RCT")</f>
        <v>double blinded RCT</v>
      </c>
      <c r="Q65" s="697" t="str">
        <f>IFERROR(__xludf.DUMMYFUNCTION("""COMPUTED_VALUE"""),"Yes")</f>
        <v>Yes</v>
      </c>
      <c r="R65" s="697" t="str">
        <f>IFERROR(__xludf.DUMMYFUNCTION("""COMPUTED_VALUE"""),"Yes")</f>
        <v>Yes</v>
      </c>
      <c r="S65" s="697" t="str">
        <f>IFERROR(__xludf.DUMMYFUNCTION("""COMPUTED_VALUE"""),"129 weeks")</f>
        <v>129 weeks</v>
      </c>
      <c r="T65" s="697"/>
      <c r="U65" s="697"/>
      <c r="V65" s="697">
        <f>IFERROR(__xludf.DUMMYFUNCTION("""COMPUTED_VALUE"""),1996.0)</f>
        <v>1996</v>
      </c>
      <c r="W65" s="697">
        <f>IFERROR(__xludf.DUMMYFUNCTION("""COMPUTED_VALUE"""),1996.0)</f>
        <v>1996</v>
      </c>
      <c r="X65" s="697" t="str">
        <f>IFERROR(__xludf.DUMMYFUNCTION("""COMPUTED_VALUE"""),"M. M. Ismail, G. J. Wei, K. S. A. Jayasinghel, U. N. Premaratne, W. Abeyewickremel, H. N. Rajaratnam, M. H. Rezvi Sheriff’, C. Selvie Perera and A. S. Dissanaike.Prolonged clearance of microfilaraemia in patients with bancroftian filariasis after multiple"&amp;" high doses of ivermectin or diethylcarbamazine. TRANSACTIONS OF THE ROYAL SOCIETY OF TROPICAL MEDICINE AND HYGIENE(1996)90,684-688")</f>
        <v>M. M. Ismail, G. J. Wei, K. S. A. Jayasinghel, U. N. Premaratne, W. Abeyewickremel, H. N. Rajaratnam, M. H. Rezvi Sheriff’, C. Selvie Perera and A. S. Dissanaike.Prolonged clearance of microfilaraemia in patients with bancroftian filariasis after multiple high doses of ivermectin or diethylcarbamazine. TRANSACTIONS OF THE ROYAL SOCIETY OF TROPICAL MEDICINE AND HYGIENE(1996)90,684-688</v>
      </c>
      <c r="Y65" s="697"/>
      <c r="Z65" s="865" t="str">
        <f>IFERROR(__xludf.DUMMYFUNCTION("""COMPUTED_VALUE"""),"https://drive.google.com/file/d/0B4sJPAkX0Jo3R0hyRzBTTUVjMjQ/view?usp=sharing")</f>
        <v>https://drive.google.com/file/d/0B4sJPAkX0Jo3R0hyRzBTTUVjMjQ/view?usp=sharing</v>
      </c>
      <c r="AA65" s="697"/>
    </row>
    <row r="66">
      <c r="A66" s="697" t="str">
        <f>IFERROR(__xludf.DUMMYFUNCTION("""COMPUTED_VALUE"""),"Ismail MM, 1996")</f>
        <v>Ismail MM, 1996</v>
      </c>
      <c r="B66" s="697"/>
      <c r="C66" s="697" t="str">
        <f>IFERROR(__xludf.DUMMYFUNCTION("""COMPUTED_VALUE"""),"Alex ")</f>
        <v>Alex </v>
      </c>
      <c r="D66" s="697" t="str">
        <f>IFERROR(__xludf.DUMMYFUNCTION("""COMPUTED_VALUE"""),"Sri Lanka")</f>
        <v>Sri Lanka</v>
      </c>
      <c r="E66" s="697" t="str">
        <f>IFERROR(__xludf.DUMMYFUNCTION("""COMPUTED_VALUE"""),"w. bancrofti")</f>
        <v>w. bancrofti</v>
      </c>
      <c r="F66" s="697" t="str">
        <f>IFERROR(__xludf.DUMMYFUNCTION("""COMPUTED_VALUE"""),"Placebo (IVM)")</f>
        <v>Placebo (IVM)</v>
      </c>
      <c r="G66" s="697" t="str">
        <f>IFERROR(__xludf.DUMMYFUNCTION("""COMPUTED_VALUE"""),"Ivermectin: 20ug/kg (Day 1),  12 fortnightly doses of placebo starting day 4 ")</f>
        <v>Ivermectin: 20ug/kg (Day 1),  12 fortnightly doses of placebo starting day 4 </v>
      </c>
      <c r="H66" s="697"/>
      <c r="I66" s="697"/>
      <c r="J66" s="706">
        <f>IFERROR(__xludf.DUMMYFUNCTION("""COMPUTED_VALUE"""),0.0)</f>
        <v>0</v>
      </c>
      <c r="K66" s="697" t="str">
        <f>IFERROR(__xludf.DUMMYFUNCTION("""COMPUTED_VALUE"""),"not available")</f>
        <v>not available</v>
      </c>
      <c r="L66" s="697">
        <f>IFERROR(__xludf.DUMMYFUNCTION("""COMPUTED_VALUE"""),11.0)</f>
        <v>11</v>
      </c>
      <c r="M66" s="10" t="str">
        <f>IFERROR(__xludf.DUMMYFUNCTION("""COMPUTED_VALUE"""),"unknonwn")</f>
        <v>unknonwn</v>
      </c>
      <c r="N66" s="862" t="str">
        <f>IFERROR(__xludf.DUMMYFUNCTION("""COMPUTED_VALUE"""),"males")</f>
        <v>males</v>
      </c>
      <c r="O66" s="697" t="str">
        <f>IFERROR(__xludf.DUMMYFUNCTION("""COMPUTED_VALUE"""),"male asymptomatic microfilaraemic volunteers")</f>
        <v>male asymptomatic microfilaraemic volunteers</v>
      </c>
      <c r="P66" s="697" t="str">
        <f>IFERROR(__xludf.DUMMYFUNCTION("""COMPUTED_VALUE"""),"double blinded RCT")</f>
        <v>double blinded RCT</v>
      </c>
      <c r="Q66" s="697" t="str">
        <f>IFERROR(__xludf.DUMMYFUNCTION("""COMPUTED_VALUE"""),"Yes")</f>
        <v>Yes</v>
      </c>
      <c r="R66" s="697" t="str">
        <f>IFERROR(__xludf.DUMMYFUNCTION("""COMPUTED_VALUE"""),"Yes")</f>
        <v>Yes</v>
      </c>
      <c r="S66" s="697" t="str">
        <f>IFERROR(__xludf.DUMMYFUNCTION("""COMPUTED_VALUE"""),"129 weeks")</f>
        <v>129 weeks</v>
      </c>
      <c r="T66" s="697"/>
      <c r="U66" s="697"/>
      <c r="V66" s="697">
        <f>IFERROR(__xludf.DUMMYFUNCTION("""COMPUTED_VALUE"""),1996.0)</f>
        <v>1996</v>
      </c>
      <c r="W66" s="697">
        <f>IFERROR(__xludf.DUMMYFUNCTION("""COMPUTED_VALUE"""),1996.0)</f>
        <v>1996</v>
      </c>
      <c r="X66" s="697" t="str">
        <f>IFERROR(__xludf.DUMMYFUNCTION("""COMPUTED_VALUE"""),"M. M. Ismail, G. J. Wei, K. S. A. Jayasinghel, U. N. Premaratne, W. Abeyewickremel, H. N. Rajaratnam, M. H. Rezvi Sheriff’, C. Selvie Perera and A. S. Dissanaike.Prolonged clearance of microfilaraemia in patients with bancroftian filariasis after multiple"&amp;" high doses of ivermectin or diethylcarbamazine. TRANSACTIONS OF THE ROYAL SOCIETY OF TROPICAL MEDICINE AND HYGIENE(1996)90,684-688")</f>
        <v>M. M. Ismail, G. J. Wei, K. S. A. Jayasinghel, U. N. Premaratne, W. Abeyewickremel, H. N. Rajaratnam, M. H. Rezvi Sheriff’, C. Selvie Perera and A. S. Dissanaike.Prolonged clearance of microfilaraemia in patients with bancroftian filariasis after multiple high doses of ivermectin or diethylcarbamazine. TRANSACTIONS OF THE ROYAL SOCIETY OF TROPICAL MEDICINE AND HYGIENE(1996)90,684-688</v>
      </c>
      <c r="Y66" s="697"/>
      <c r="Z66" s="865" t="str">
        <f>IFERROR(__xludf.DUMMYFUNCTION("""COMPUTED_VALUE"""),"https://drive.google.com/file/d/0B4sJPAkX0Jo3R0hyRzBTTUVjMjQ/view?usp=sharing")</f>
        <v>https://drive.google.com/file/d/0B4sJPAkX0Jo3R0hyRzBTTUVjMjQ/view?usp=sharing</v>
      </c>
      <c r="AA66" s="697"/>
    </row>
    <row r="67">
      <c r="A67" s="697" t="str">
        <f>IFERROR(__xludf.DUMMYFUNCTION("""COMPUTED_VALUE"""),"Ismail MM, 1998")</f>
        <v>Ismail MM, 1998</v>
      </c>
      <c r="B67" s="697"/>
      <c r="C67" s="697" t="str">
        <f>IFERROR(__xludf.DUMMYFUNCTION("""COMPUTED_VALUE"""),"Alex ")</f>
        <v>Alex </v>
      </c>
      <c r="D67" s="697" t="str">
        <f>IFERROR(__xludf.DUMMYFUNCTION("""COMPUTED_VALUE"""),"Sri Lanka")</f>
        <v>Sri Lanka</v>
      </c>
      <c r="E67" s="697" t="str">
        <f>IFERROR(__xludf.DUMMYFUNCTION("""COMPUTED_VALUE"""),"w. bancrofti")</f>
        <v>w. bancrofti</v>
      </c>
      <c r="F67" s="697" t="str">
        <f>IFERROR(__xludf.DUMMYFUNCTION("""COMPUTED_VALUE"""),"Albendazole")</f>
        <v>Albendazole</v>
      </c>
      <c r="G67" s="697" t="str">
        <f>IFERROR(__xludf.DUMMYFUNCTION("""COMPUTED_VALUE"""),"600 mg")</f>
        <v>600 mg</v>
      </c>
      <c r="H67" s="697">
        <f>IFERROR(__xludf.DUMMYFUNCTION("""COMPUTED_VALUE"""),1.0)</f>
        <v>1</v>
      </c>
      <c r="I67" s="706">
        <f>IFERROR(__xludf.DUMMYFUNCTION("""COMPUTED_VALUE"""),0.902)</f>
        <v>0.902</v>
      </c>
      <c r="J67" s="706">
        <f>IFERROR(__xludf.DUMMYFUNCTION("""COMPUTED_VALUE"""),0.083)</f>
        <v>0.083</v>
      </c>
      <c r="K67" s="697" t="str">
        <f>IFERROR(__xludf.DUMMYFUNCTION("""COMPUTED_VALUE"""),"not available")</f>
        <v>not available</v>
      </c>
      <c r="L67" s="697">
        <f>IFERROR(__xludf.DUMMYFUNCTION("""COMPUTED_VALUE"""),12.0)</f>
        <v>12</v>
      </c>
      <c r="M67" s="10" t="str">
        <f>IFERROR(__xludf.DUMMYFUNCTION("""COMPUTED_VALUE"""),"18- 58")</f>
        <v>18- 58</v>
      </c>
      <c r="N67" s="862" t="str">
        <f>IFERROR(__xludf.DUMMYFUNCTION("""COMPUTED_VALUE"""),"males")</f>
        <v>males</v>
      </c>
      <c r="O67" s="697" t="str">
        <f>IFERROR(__xludf.DUMMYFUNCTION("""COMPUTED_VALUE"""),"male asymptomatic microfilaraemic subjects (volunteers) with wuchereria bancrofti infectionadmitted to the National Hospital of Sri Lanka")</f>
        <v>male asymptomatic microfilaraemic subjects (volunteers) with wuchereria bancrofti infectionadmitted to the National Hospital of Sri Lanka</v>
      </c>
      <c r="P67" s="697" t="str">
        <f>IFERROR(__xludf.DUMMYFUNCTION("""COMPUTED_VALUE"""),"double blinded RCT")</f>
        <v>double blinded RCT</v>
      </c>
      <c r="Q67" s="697" t="str">
        <f>IFERROR(__xludf.DUMMYFUNCTION("""COMPUTED_VALUE"""),"Yes")</f>
        <v>Yes</v>
      </c>
      <c r="R67" s="697" t="str">
        <f>IFERROR(__xludf.DUMMYFUNCTION("""COMPUTED_VALUE"""),"Yes")</f>
        <v>Yes</v>
      </c>
      <c r="S67" s="697" t="str">
        <f>IFERROR(__xludf.DUMMYFUNCTION("""COMPUTED_VALUE"""),"15 months")</f>
        <v>15 months</v>
      </c>
      <c r="T67" s="697"/>
      <c r="U67" s="697"/>
      <c r="V67" s="697">
        <f>IFERROR(__xludf.DUMMYFUNCTION("""COMPUTED_VALUE"""),1994.0)</f>
        <v>1994</v>
      </c>
      <c r="W67" s="697">
        <f>IFERROR(__xludf.DUMMYFUNCTION("""COMPUTED_VALUE"""),1994.0)</f>
        <v>1994</v>
      </c>
      <c r="X67" s="697" t="str">
        <f>IFERROR(__xludf.DUMMYFUNCTION("""COMPUTED_VALUE"""),"M . M . Ismail, R. L. Jayakodyl, G. J. Weil, N. Nirmalanl, K. S. A. J ayasinghe’, W. Abeyewickrema , M. H. Rezvi Sheriff, H. N. Rajaratnams, N. Amarasekera, D. C. L. de Silva, M. L. Michalski and A. S. Dissanaike. Efficacy of single dose combinations of a"&amp;"lbendazole, ivermectin and diethylcarbamazine for the treatment of bancroftian filariasis. TRANSACTIONS OF THE ROYAL SOCIETY OF TROPICAL MEDICINE AND HYGIENE (1998)92,94-97.")</f>
        <v>M . M . Ismail, R. L. Jayakodyl, G. J. Weil, N. Nirmalanl, K. S. A. J ayasinghe’, W. Abeyewickrema , M. H. Rezvi Sheriff, H. N. Rajaratnams, N. Amarasekera, D. C. L. de Silva, M. L. Michalski and A. S. Dissanaike. Efficacy of single dose combinations of albendazole, ivermectin and diethylcarbamazine for the treatment of bancroftian filariasis. TRANSACTIONS OF THE ROYAL SOCIETY OF TROPICAL MEDICINE AND HYGIENE (1998)92,94-97.</v>
      </c>
      <c r="Y67" s="697"/>
      <c r="Z67" s="865" t="str">
        <f>IFERROR(__xludf.DUMMYFUNCTION("""COMPUTED_VALUE"""),"https://drive.google.com/file/d/0B4sJPAkX0Jo3R0hyRzBTTUVjMjQ/view?usp=sharing")</f>
        <v>https://drive.google.com/file/d/0B4sJPAkX0Jo3R0hyRzBTTUVjMjQ/view?usp=sharing</v>
      </c>
      <c r="AA67" s="697" t="str">
        <f>IFERROR(__xludf.DUMMYFUNCTION("""COMPUTED_VALUE"""),"x")</f>
        <v>x</v>
      </c>
    </row>
    <row r="68">
      <c r="A68" s="697" t="str">
        <f>IFERROR(__xludf.DUMMYFUNCTION("""COMPUTED_VALUE"""),"Ismail MM, 1998")</f>
        <v>Ismail MM, 1998</v>
      </c>
      <c r="B68" s="697"/>
      <c r="C68" s="697" t="str">
        <f>IFERROR(__xludf.DUMMYFUNCTION("""COMPUTED_VALUE"""),"Alex ")</f>
        <v>Alex </v>
      </c>
      <c r="D68" s="697" t="str">
        <f>IFERROR(__xludf.DUMMYFUNCTION("""COMPUTED_VALUE"""),"Sri Lanka")</f>
        <v>Sri Lanka</v>
      </c>
      <c r="E68" s="697" t="str">
        <f>IFERROR(__xludf.DUMMYFUNCTION("""COMPUTED_VALUE"""),"w. bancrofti")</f>
        <v>w. bancrofti</v>
      </c>
      <c r="F68" s="697" t="str">
        <f>IFERROR(__xludf.DUMMYFUNCTION("""COMPUTED_VALUE"""),"Albendazole &amp; DEC")</f>
        <v>Albendazole &amp; DEC</v>
      </c>
      <c r="G68" s="697" t="str">
        <f>IFERROR(__xludf.DUMMYFUNCTION("""COMPUTED_VALUE"""),"600 mg ALB + 6 mg/ kg DEC")</f>
        <v>600 mg ALB + 6 mg/ kg DEC</v>
      </c>
      <c r="H68" s="697">
        <f>IFERROR(__xludf.DUMMYFUNCTION("""COMPUTED_VALUE"""),1.0)</f>
        <v>1</v>
      </c>
      <c r="I68" s="706">
        <f>IFERROR(__xludf.DUMMYFUNCTION("""COMPUTED_VALUE"""),0.987)</f>
        <v>0.987</v>
      </c>
      <c r="J68" s="706">
        <f>IFERROR(__xludf.DUMMYFUNCTION("""COMPUTED_VALUE"""),0.273)</f>
        <v>0.273</v>
      </c>
      <c r="K68" s="697" t="str">
        <f>IFERROR(__xludf.DUMMYFUNCTION("""COMPUTED_VALUE"""),"not available")</f>
        <v>not available</v>
      </c>
      <c r="L68" s="697">
        <f>IFERROR(__xludf.DUMMYFUNCTION("""COMPUTED_VALUE"""),13.0)</f>
        <v>13</v>
      </c>
      <c r="M68" s="10" t="str">
        <f>IFERROR(__xludf.DUMMYFUNCTION("""COMPUTED_VALUE"""),"18- 58")</f>
        <v>18- 58</v>
      </c>
      <c r="N68" s="862" t="str">
        <f>IFERROR(__xludf.DUMMYFUNCTION("""COMPUTED_VALUE"""),"males")</f>
        <v>males</v>
      </c>
      <c r="O68" s="697" t="str">
        <f>IFERROR(__xludf.DUMMYFUNCTION("""COMPUTED_VALUE"""),"male asymptomatic microfilaraemic subjects (volunteers) with wuchereria bancrofti infectionadmitted to the National Hospital of Sri Lanka")</f>
        <v>male asymptomatic microfilaraemic subjects (volunteers) with wuchereria bancrofti infectionadmitted to the National Hospital of Sri Lanka</v>
      </c>
      <c r="P68" s="697" t="str">
        <f>IFERROR(__xludf.DUMMYFUNCTION("""COMPUTED_VALUE"""),"double blinded RCT")</f>
        <v>double blinded RCT</v>
      </c>
      <c r="Q68" s="697" t="str">
        <f>IFERROR(__xludf.DUMMYFUNCTION("""COMPUTED_VALUE"""),"Yes")</f>
        <v>Yes</v>
      </c>
      <c r="R68" s="697" t="str">
        <f>IFERROR(__xludf.DUMMYFUNCTION("""COMPUTED_VALUE"""),"Yes")</f>
        <v>Yes</v>
      </c>
      <c r="S68" s="697" t="str">
        <f>IFERROR(__xludf.DUMMYFUNCTION("""COMPUTED_VALUE"""),"15 months")</f>
        <v>15 months</v>
      </c>
      <c r="T68" s="697"/>
      <c r="U68" s="697"/>
      <c r="V68" s="697">
        <f>IFERROR(__xludf.DUMMYFUNCTION("""COMPUTED_VALUE"""),1994.0)</f>
        <v>1994</v>
      </c>
      <c r="W68" s="697">
        <f>IFERROR(__xludf.DUMMYFUNCTION("""COMPUTED_VALUE"""),1994.0)</f>
        <v>1994</v>
      </c>
      <c r="X68" s="697" t="str">
        <f>IFERROR(__xludf.DUMMYFUNCTION("""COMPUTED_VALUE"""),"M . M . Ismail, R. L. Jayakodyl, G. J. Weil, N. Nirmalanl, K. S. A. J ayasinghe’, W. Abeyewickrema , M. H. Rezvi Sheriff, H. N. Rajaratnams, N. Amarasekera, D. C. L. de Silva, M. L. Michalski and A. S. Dissanaike. Efficacy of single dose combinations of a"&amp;"lbendazole, ivermectin and diethylcarbamazine for the treatment of bancroftian filariasis. TRANSACTIONS OF THE ROYAL SOCIETY OF TROPICAL MEDICINE AND HYGIENE (1998)92,94-97.")</f>
        <v>M . M . Ismail, R. L. Jayakodyl, G. J. Weil, N. Nirmalanl, K. S. A. J ayasinghe’, W. Abeyewickrema , M. H. Rezvi Sheriff, H. N. Rajaratnams, N. Amarasekera, D. C. L. de Silva, M. L. Michalski and A. S. Dissanaike. Efficacy of single dose combinations of albendazole, ivermectin and diethylcarbamazine for the treatment of bancroftian filariasis. TRANSACTIONS OF THE ROYAL SOCIETY OF TROPICAL MEDICINE AND HYGIENE (1998)92,94-97.</v>
      </c>
      <c r="Y68" s="697"/>
      <c r="Z68" s="865" t="str">
        <f>IFERROR(__xludf.DUMMYFUNCTION("""COMPUTED_VALUE"""),"https://drive.google.com/file/d/0B4sJPAkX0Jo3R0hyRzBTTUVjMjQ/view?usp=sharing")</f>
        <v>https://drive.google.com/file/d/0B4sJPAkX0Jo3R0hyRzBTTUVjMjQ/view?usp=sharing</v>
      </c>
      <c r="AA68" s="697" t="str">
        <f>IFERROR(__xludf.DUMMYFUNCTION("""COMPUTED_VALUE"""),"x")</f>
        <v>x</v>
      </c>
    </row>
    <row r="69">
      <c r="A69" s="697" t="str">
        <f>IFERROR(__xludf.DUMMYFUNCTION("""COMPUTED_VALUE"""),"Ismail MM, 1998")</f>
        <v>Ismail MM, 1998</v>
      </c>
      <c r="B69" s="697"/>
      <c r="C69" s="697" t="str">
        <f>IFERROR(__xludf.DUMMYFUNCTION("""COMPUTED_VALUE"""),"Alex ")</f>
        <v>Alex </v>
      </c>
      <c r="D69" s="697" t="str">
        <f>IFERROR(__xludf.DUMMYFUNCTION("""COMPUTED_VALUE"""),"Sri Lanka")</f>
        <v>Sri Lanka</v>
      </c>
      <c r="E69" s="697" t="str">
        <f>IFERROR(__xludf.DUMMYFUNCTION("""COMPUTED_VALUE"""),"w. bancrofti")</f>
        <v>w. bancrofti</v>
      </c>
      <c r="F69" s="697" t="str">
        <f>IFERROR(__xludf.DUMMYFUNCTION("""COMPUTED_VALUE"""),"Albendazole &amp; Ivermectin")</f>
        <v>Albendazole &amp; Ivermectin</v>
      </c>
      <c r="G69" s="697" t="str">
        <f>IFERROR(__xludf.DUMMYFUNCTION("""COMPUTED_VALUE"""),"600 mg + .400 mg/ kg")</f>
        <v>600 mg + .400 mg/ kg</v>
      </c>
      <c r="H69" s="697">
        <f>IFERROR(__xludf.DUMMYFUNCTION("""COMPUTED_VALUE"""),1.0)</f>
        <v>1</v>
      </c>
      <c r="I69" s="706">
        <f>IFERROR(__xludf.DUMMYFUNCTION("""COMPUTED_VALUE"""),0.997)</f>
        <v>0.997</v>
      </c>
      <c r="J69" s="706">
        <f>IFERROR(__xludf.DUMMYFUNCTION("""COMPUTED_VALUE"""),0.692)</f>
        <v>0.692</v>
      </c>
      <c r="K69" s="697" t="str">
        <f>IFERROR(__xludf.DUMMYFUNCTION("""COMPUTED_VALUE"""),"not available")</f>
        <v>not available</v>
      </c>
      <c r="L69" s="697">
        <f>IFERROR(__xludf.DUMMYFUNCTION("""COMPUTED_VALUE"""),13.0)</f>
        <v>13</v>
      </c>
      <c r="M69" s="10" t="str">
        <f>IFERROR(__xludf.DUMMYFUNCTION("""COMPUTED_VALUE"""),"18- 58")</f>
        <v>18- 58</v>
      </c>
      <c r="N69" s="862" t="str">
        <f>IFERROR(__xludf.DUMMYFUNCTION("""COMPUTED_VALUE"""),"males")</f>
        <v>males</v>
      </c>
      <c r="O69" s="697" t="str">
        <f>IFERROR(__xludf.DUMMYFUNCTION("""COMPUTED_VALUE"""),"male asymptomatic microfilaraemic subjects (volunteers) with wuchereria bancrofti infectionadmitted to the National Hospital of Sri Lanka")</f>
        <v>male asymptomatic microfilaraemic subjects (volunteers) with wuchereria bancrofti infectionadmitted to the National Hospital of Sri Lanka</v>
      </c>
      <c r="P69" s="697" t="str">
        <f>IFERROR(__xludf.DUMMYFUNCTION("""COMPUTED_VALUE"""),"double blinded RCT")</f>
        <v>double blinded RCT</v>
      </c>
      <c r="Q69" s="697" t="str">
        <f>IFERROR(__xludf.DUMMYFUNCTION("""COMPUTED_VALUE"""),"Yes")</f>
        <v>Yes</v>
      </c>
      <c r="R69" s="697" t="str">
        <f>IFERROR(__xludf.DUMMYFUNCTION("""COMPUTED_VALUE"""),"Yes")</f>
        <v>Yes</v>
      </c>
      <c r="S69" s="697" t="str">
        <f>IFERROR(__xludf.DUMMYFUNCTION("""COMPUTED_VALUE"""),"15 months")</f>
        <v>15 months</v>
      </c>
      <c r="T69" s="697"/>
      <c r="U69" s="697"/>
      <c r="V69" s="697">
        <f>IFERROR(__xludf.DUMMYFUNCTION("""COMPUTED_VALUE"""),1994.0)</f>
        <v>1994</v>
      </c>
      <c r="W69" s="697">
        <f>IFERROR(__xludf.DUMMYFUNCTION("""COMPUTED_VALUE"""),1994.0)</f>
        <v>1994</v>
      </c>
      <c r="X69" s="697" t="str">
        <f>IFERROR(__xludf.DUMMYFUNCTION("""COMPUTED_VALUE"""),"M . M . Ismail, R. L. Jayakodyl, G. J. Weil, N. Nirmalanl, K. S. A. J ayasinghe’, W. Abeyewickrema , M. H. Rezvi Sheriff, H. N. Rajaratnams, N. Amarasekera, D. C. L. de Silva, M. L. Michalski and A. S. Dissanaike. Efficacy of single dose combinations of a"&amp;"lbendazole, ivermectin and diethylcarbamazine for the treatment of bancroftian filariasis. TRANSACTIONS OF THE ROYAL SOCIETY OF TROPICAL MEDICINE AND HYGIENE (1998)92,94-97.")</f>
        <v>M . M . Ismail, R. L. Jayakodyl, G. J. Weil, N. Nirmalanl, K. S. A. J ayasinghe’, W. Abeyewickrema , M. H. Rezvi Sheriff, H. N. Rajaratnams, N. Amarasekera, D. C. L. de Silva, M. L. Michalski and A. S. Dissanaike. Efficacy of single dose combinations of albendazole, ivermectin and diethylcarbamazine for the treatment of bancroftian filariasis. TRANSACTIONS OF THE ROYAL SOCIETY OF TROPICAL MEDICINE AND HYGIENE (1998)92,94-97.</v>
      </c>
      <c r="Y69" s="697"/>
      <c r="Z69" s="865" t="str">
        <f>IFERROR(__xludf.DUMMYFUNCTION("""COMPUTED_VALUE"""),"https://drive.google.com/file/d/0B4sJPAkX0Jo3R0hyRzBTTUVjMjQ/view?usp=sharing")</f>
        <v>https://drive.google.com/file/d/0B4sJPAkX0Jo3R0hyRzBTTUVjMjQ/view?usp=sharing</v>
      </c>
      <c r="AA69" s="697" t="str">
        <f>IFERROR(__xludf.DUMMYFUNCTION("""COMPUTED_VALUE"""),"x")</f>
        <v>x</v>
      </c>
    </row>
    <row r="70">
      <c r="A70" s="697" t="str">
        <f>IFERROR(__xludf.DUMMYFUNCTION("""COMPUTED_VALUE"""),"Ismail MM, 1998")</f>
        <v>Ismail MM, 1998</v>
      </c>
      <c r="B70" s="697"/>
      <c r="C70" s="697" t="str">
        <f>IFERROR(__xludf.DUMMYFUNCTION("""COMPUTED_VALUE"""),"Alex ")</f>
        <v>Alex </v>
      </c>
      <c r="D70" s="697" t="str">
        <f>IFERROR(__xludf.DUMMYFUNCTION("""COMPUTED_VALUE"""),"Sri Lanka")</f>
        <v>Sri Lanka</v>
      </c>
      <c r="E70" s="697" t="str">
        <f>IFERROR(__xludf.DUMMYFUNCTION("""COMPUTED_VALUE"""),"w. bancrofti")</f>
        <v>w. bancrofti</v>
      </c>
      <c r="F70" s="697" t="str">
        <f>IFERROR(__xludf.DUMMYFUNCTION("""COMPUTED_VALUE"""),"DEC &amp; Ivermectin")</f>
        <v>DEC &amp; Ivermectin</v>
      </c>
      <c r="G70" s="697" t="str">
        <f>IFERROR(__xludf.DUMMYFUNCTION("""COMPUTED_VALUE"""),"6 mg/kg DEC")</f>
        <v>6 mg/kg DEC</v>
      </c>
      <c r="H70" s="697">
        <f>IFERROR(__xludf.DUMMYFUNCTION("""COMPUTED_VALUE"""),1.0)</f>
        <v>1</v>
      </c>
      <c r="I70" s="706">
        <f>IFERROR(__xludf.DUMMYFUNCTION("""COMPUTED_VALUE"""),0.995)</f>
        <v>0.995</v>
      </c>
      <c r="J70" s="706">
        <f>IFERROR(__xludf.DUMMYFUNCTION("""COMPUTED_VALUE"""),0.3)</f>
        <v>0.3</v>
      </c>
      <c r="K70" s="697" t="str">
        <f>IFERROR(__xludf.DUMMYFUNCTION("""COMPUTED_VALUE"""),"not available")</f>
        <v>not available</v>
      </c>
      <c r="L70" s="697">
        <f>IFERROR(__xludf.DUMMYFUNCTION("""COMPUTED_VALUE"""),12.0)</f>
        <v>12</v>
      </c>
      <c r="M70" s="10" t="str">
        <f>IFERROR(__xludf.DUMMYFUNCTION("""COMPUTED_VALUE"""),"18- 58")</f>
        <v>18- 58</v>
      </c>
      <c r="N70" s="862" t="str">
        <f>IFERROR(__xludf.DUMMYFUNCTION("""COMPUTED_VALUE"""),"males")</f>
        <v>males</v>
      </c>
      <c r="O70" s="697" t="str">
        <f>IFERROR(__xludf.DUMMYFUNCTION("""COMPUTED_VALUE"""),"male asymptomatic microfilaraemic subjects (volunteers) with wuchereria bancrofti infectionadmitted to the National Hospital of Sri Lanka")</f>
        <v>male asymptomatic microfilaraemic subjects (volunteers) with wuchereria bancrofti infectionadmitted to the National Hospital of Sri Lanka</v>
      </c>
      <c r="P70" s="697" t="str">
        <f>IFERROR(__xludf.DUMMYFUNCTION("""COMPUTED_VALUE"""),"double blinded RCT")</f>
        <v>double blinded RCT</v>
      </c>
      <c r="Q70" s="697" t="str">
        <f>IFERROR(__xludf.DUMMYFUNCTION("""COMPUTED_VALUE"""),"Yes")</f>
        <v>Yes</v>
      </c>
      <c r="R70" s="697" t="str">
        <f>IFERROR(__xludf.DUMMYFUNCTION("""COMPUTED_VALUE"""),"Yes")</f>
        <v>Yes</v>
      </c>
      <c r="S70" s="697" t="str">
        <f>IFERROR(__xludf.DUMMYFUNCTION("""COMPUTED_VALUE"""),"15 months")</f>
        <v>15 months</v>
      </c>
      <c r="T70" s="697"/>
      <c r="U70" s="697"/>
      <c r="V70" s="697">
        <f>IFERROR(__xludf.DUMMYFUNCTION("""COMPUTED_VALUE"""),1994.0)</f>
        <v>1994</v>
      </c>
      <c r="W70" s="697">
        <f>IFERROR(__xludf.DUMMYFUNCTION("""COMPUTED_VALUE"""),1994.0)</f>
        <v>1994</v>
      </c>
      <c r="X70" s="697" t="str">
        <f>IFERROR(__xludf.DUMMYFUNCTION("""COMPUTED_VALUE"""),"M . M . Ismail, R. L. Jayakodyl, G. J. Weil, N. Nirmalanl, K. S. A. J ayasinghe’, W. Abeyewickrema , M. H. Rezvi Sheriff, H. N. Rajaratnams, N. Amarasekera, D. C. L. de Silva, M. L. Michalski and A. S. Dissanaike. Efficacy of single dose combinations of a"&amp;"lbendazole, ivermectin and diethylcarbamazine for the treatment of bancroftian filariasis. TRANSACTIONS OF THE ROYAL SOCIETY OF TROPICAL MEDICINE AND HYGIENE (1998)92,94-97.")</f>
        <v>M . M . Ismail, R. L. Jayakodyl, G. J. Weil, N. Nirmalanl, K. S. A. J ayasinghe’, W. Abeyewickrema , M. H. Rezvi Sheriff, H. N. Rajaratnams, N. Amarasekera, D. C. L. de Silva, M. L. Michalski and A. S. Dissanaike. Efficacy of single dose combinations of albendazole, ivermectin and diethylcarbamazine for the treatment of bancroftian filariasis. TRANSACTIONS OF THE ROYAL SOCIETY OF TROPICAL MEDICINE AND HYGIENE (1998)92,94-97.</v>
      </c>
      <c r="Y70" s="697"/>
      <c r="Z70" s="865" t="str">
        <f>IFERROR(__xludf.DUMMYFUNCTION("""COMPUTED_VALUE"""),"https://drive.google.com/file/d/0B4sJPAkX0Jo3R0hyRzBTTUVjMjQ/view?usp=sharing")</f>
        <v>https://drive.google.com/file/d/0B4sJPAkX0Jo3R0hyRzBTTUVjMjQ/view?usp=sharing</v>
      </c>
      <c r="AA70" s="697" t="str">
        <f>IFERROR(__xludf.DUMMYFUNCTION("""COMPUTED_VALUE"""),"x")</f>
        <v>x</v>
      </c>
    </row>
    <row r="71">
      <c r="A71" s="697" t="str">
        <f>IFERROR(__xludf.DUMMYFUNCTION("""COMPUTED_VALUE"""),"Ismail, 2001")</f>
        <v>Ismail, 2001</v>
      </c>
      <c r="B71" s="697" t="str">
        <f>IFERROR(__xludf.DUMMYFUNCTION("""COMPUTED_VALUE"""),"Ross")</f>
        <v>Ross</v>
      </c>
      <c r="C71" s="697" t="str">
        <f>IFERROR(__xludf.DUMMYFUNCTION("""COMPUTED_VALUE"""),"Ross")</f>
        <v>Ross</v>
      </c>
      <c r="D71" s="697" t="str">
        <f>IFERROR(__xludf.DUMMYFUNCTION("""COMPUTED_VALUE"""),"Sri Lanka")</f>
        <v>Sri Lanka</v>
      </c>
      <c r="E71" s="697" t="str">
        <f>IFERROR(__xludf.DUMMYFUNCTION("""COMPUTED_VALUE"""),"W. bancrofti")</f>
        <v>W. bancrofti</v>
      </c>
      <c r="F71" s="697" t="str">
        <f>IFERROR(__xludf.DUMMYFUNCTION("""COMPUTED_VALUE"""),"Albendazole &amp; Ivermectin")</f>
        <v>Albendazole &amp; Ivermectin</v>
      </c>
      <c r="G71" s="697" t="str">
        <f>IFERROR(__xludf.DUMMYFUNCTION("""COMPUTED_VALUE"""),"400mg + .200 mg/kg ")</f>
        <v>400mg + .200 mg/kg </v>
      </c>
      <c r="H71" s="697">
        <f>IFERROR(__xludf.DUMMYFUNCTION("""COMPUTED_VALUE"""),1.0)</f>
        <v>1</v>
      </c>
      <c r="I71" s="698">
        <f>IFERROR(__xludf.DUMMYFUNCTION("""COMPUTED_VALUE"""),0.9713)</f>
        <v>0.9713</v>
      </c>
      <c r="J71" s="700">
        <f>IFERROR(__xludf.DUMMYFUNCTION("""COMPUTED_VALUE"""),0.27)</f>
        <v>0.27</v>
      </c>
      <c r="K71" s="697" t="str">
        <f>IFERROR(__xludf.DUMMYFUNCTION("""COMPUTED_VALUE"""),"not available")</f>
        <v>not available</v>
      </c>
      <c r="L71" s="697">
        <f>IFERROR(__xludf.DUMMYFUNCTION("""COMPUTED_VALUE"""),16.0)</f>
        <v>16</v>
      </c>
      <c r="M71" s="697" t="str">
        <f>IFERROR(__xludf.DUMMYFUNCTION("""COMPUTED_VALUE"""),"18-58")</f>
        <v>18-58</v>
      </c>
      <c r="N71" s="862" t="str">
        <f>IFERROR(__xludf.DUMMYFUNCTION("""COMPUTED_VALUE"""),"males")</f>
        <v>males</v>
      </c>
      <c r="O71" s="697" t="str">
        <f>IFERROR(__xludf.DUMMYFUNCTION("""COMPUTED_VALUE"""),"aged 18–58 years, &gt;100 microfilaria /mL, asymptomatic, no prior antifilarial medications, or free from any acute or chronic illnesses")</f>
        <v>aged 18–58 years, &gt;100 microfilaria /mL, asymptomatic, no prior antifilarial medications, or free from any acute or chronic illnesses</v>
      </c>
      <c r="P71" s="697" t="str">
        <f>IFERROR(__xludf.DUMMYFUNCTION("""COMPUTED_VALUE"""),"double-blinded random")</f>
        <v>double-blinded random</v>
      </c>
      <c r="Q71" s="697" t="str">
        <f>IFERROR(__xludf.DUMMYFUNCTION("""COMPUTED_VALUE"""),"Yes")</f>
        <v>Yes</v>
      </c>
      <c r="R71" s="697" t="str">
        <f>IFERROR(__xludf.DUMMYFUNCTION("""COMPUTED_VALUE"""),"Yes")</f>
        <v>Yes</v>
      </c>
      <c r="S71" s="697" t="str">
        <f>IFERROR(__xludf.DUMMYFUNCTION("""COMPUTED_VALUE"""),"2 years")</f>
        <v>2 years</v>
      </c>
      <c r="T71" s="697" t="str">
        <f>IFERROR(__xludf.DUMMYFUNCTION("""COMPUTED_VALUE"""),"All 3 treatments reduced mf counts, with the ALB+DEC group showing the lowest mf levels at 18 and 24 months after treatment. All 3 treatment groups had significant activity against adult W. bancrofti (ALB+DEC) having greatest effect")</f>
        <v>All 3 treatments reduced mf counts, with the ALB+DEC group showing the lowest mf levels at 18 and 24 months after treatment. All 3 treatment groups had significant activity against adult W. bancrofti (ALB+DEC) having greatest effect</v>
      </c>
      <c r="U71" s="697" t="str">
        <f>IFERROR(__xludf.DUMMYFUNCTION("""COMPUTED_VALUE"""),"These results suggest that a single dose of albendazole 400 mg together with DEC 6 mg/kg is a safe and effective combination for suppression of microfilaraemia of bancroftian filariasis that could be considered for use in filariasis control programmes bas"&amp;"ed on mass treatment of endemic populations.")</f>
        <v>These results suggest that a single dose of albendazole 400 mg together with DEC 6 mg/kg is a safe and effective combination for suppression of microfilaraemia of bancroftian filariasis that could be considered for use in filariasis control programmes based on mass treatment of endemic populations.</v>
      </c>
      <c r="V71" s="697" t="str">
        <f>IFERROR(__xludf.DUMMYFUNCTION("""COMPUTED_VALUE"""),"1996-1998")</f>
        <v>1996-1998</v>
      </c>
      <c r="W71" s="697">
        <f>IFERROR(__xludf.DUMMYFUNCTION("""COMPUTED_VALUE"""),1998.0)</f>
        <v>1998</v>
      </c>
      <c r="X71" s="697" t="str">
        <f>IFERROR(__xludf.DUMMYFUNCTION("""COMPUTED_VALUE"""),"Ismail MM, Jayakody RL, Weil GJ, et al. Long-term efficacy of single-dose combinations of albendazole, ivermectin and diethylcarbamazine for the treatment of bancroftian filariasis. Transactions of the Royal Society of Tropical Medicine and Hygiene. 2001;"&amp;"95(3):332–335.")</f>
        <v>Ismail MM, Jayakody RL, Weil GJ, et al. Long-term efficacy of single-dose combinations of albendazole, ivermectin and diethylcarbamazine for the treatment of bancroftian filariasis. Transactions of the Royal Society of Tropical Medicine and Hygiene. 2001;95(3):332–335.</v>
      </c>
      <c r="Y71" s="697"/>
      <c r="Z71" s="865" t="str">
        <f>IFERROR(__xludf.DUMMYFUNCTION("""COMPUTED_VALUE"""),"https://drive.google.com/open?id=0B95WhYooraDeejhMN0paNXZneHc")</f>
        <v>https://drive.google.com/open?id=0B95WhYooraDeejhMN0paNXZneHc</v>
      </c>
      <c r="AA71" s="697" t="str">
        <f>IFERROR(__xludf.DUMMYFUNCTION("""COMPUTED_VALUE"""),"x")</f>
        <v>x</v>
      </c>
    </row>
    <row r="72">
      <c r="A72" s="697" t="str">
        <f>IFERROR(__xludf.DUMMYFUNCTION("""COMPUTED_VALUE"""),"Ismail, 2001")</f>
        <v>Ismail, 2001</v>
      </c>
      <c r="B72" s="697" t="str">
        <f>IFERROR(__xludf.DUMMYFUNCTION("""COMPUTED_VALUE"""),"Ross")</f>
        <v>Ross</v>
      </c>
      <c r="C72" s="697" t="str">
        <f>IFERROR(__xludf.DUMMYFUNCTION("""COMPUTED_VALUE"""),"Ross")</f>
        <v>Ross</v>
      </c>
      <c r="D72" s="697" t="str">
        <f>IFERROR(__xludf.DUMMYFUNCTION("""COMPUTED_VALUE"""),"Sri Lanka")</f>
        <v>Sri Lanka</v>
      </c>
      <c r="E72" s="697" t="str">
        <f>IFERROR(__xludf.DUMMYFUNCTION("""COMPUTED_VALUE"""),"W. bancrofti")</f>
        <v>W. bancrofti</v>
      </c>
      <c r="F72" s="697" t="str">
        <f>IFERROR(__xludf.DUMMYFUNCTION("""COMPUTED_VALUE"""),"Albendazole &amp; DEC")</f>
        <v>Albendazole &amp; DEC</v>
      </c>
      <c r="G72" s="697" t="str">
        <f>IFERROR(__xludf.DUMMYFUNCTION("""COMPUTED_VALUE"""),"600 mg + 6 mg/ kg")</f>
        <v>600 mg + 6 mg/ kg</v>
      </c>
      <c r="H72" s="697">
        <f>IFERROR(__xludf.DUMMYFUNCTION("""COMPUTED_VALUE"""),1.0)</f>
        <v>1</v>
      </c>
      <c r="I72" s="698">
        <f>IFERROR(__xludf.DUMMYFUNCTION("""COMPUTED_VALUE"""),0.9956)</f>
        <v>0.9956</v>
      </c>
      <c r="J72" s="700">
        <f>IFERROR(__xludf.DUMMYFUNCTION("""COMPUTED_VALUE"""),0.46)</f>
        <v>0.46</v>
      </c>
      <c r="K72" s="697" t="str">
        <f>IFERROR(__xludf.DUMMYFUNCTION("""COMPUTED_VALUE"""),"not available")</f>
        <v>not available</v>
      </c>
      <c r="L72" s="697">
        <f>IFERROR(__xludf.DUMMYFUNCTION("""COMPUTED_VALUE"""),16.0)</f>
        <v>16</v>
      </c>
      <c r="M72" s="697" t="str">
        <f>IFERROR(__xludf.DUMMYFUNCTION("""COMPUTED_VALUE"""),"18-59")</f>
        <v>18-59</v>
      </c>
      <c r="N72" s="862" t="str">
        <f>IFERROR(__xludf.DUMMYFUNCTION("""COMPUTED_VALUE"""),"males")</f>
        <v>males</v>
      </c>
      <c r="O72" s="697" t="str">
        <f>IFERROR(__xludf.DUMMYFUNCTION("""COMPUTED_VALUE"""),"aged 18–58 years, &gt;100 microfilaria /mL, asymptomatic, no prior antifilarial medications, or free from any acute or chronic illnesses")</f>
        <v>aged 18–58 years, &gt;100 microfilaria /mL, asymptomatic, no prior antifilarial medications, or free from any acute or chronic illnesses</v>
      </c>
      <c r="P72" s="697" t="str">
        <f>IFERROR(__xludf.DUMMYFUNCTION("""COMPUTED_VALUE"""),"double-blinded random")</f>
        <v>double-blinded random</v>
      </c>
      <c r="Q72" s="697" t="str">
        <f>IFERROR(__xludf.DUMMYFUNCTION("""COMPUTED_VALUE"""),"Yes")</f>
        <v>Yes</v>
      </c>
      <c r="R72" s="697" t="str">
        <f>IFERROR(__xludf.DUMMYFUNCTION("""COMPUTED_VALUE"""),"Yes")</f>
        <v>Yes</v>
      </c>
      <c r="S72" s="697" t="str">
        <f>IFERROR(__xludf.DUMMYFUNCTION("""COMPUTED_VALUE"""),"2 years")</f>
        <v>2 years</v>
      </c>
      <c r="T72" s="697" t="str">
        <f>IFERROR(__xludf.DUMMYFUNCTION("""COMPUTED_VALUE"""),"All 3 treatments reduced mf counts, with the ALB+DEC group showing the lowest mf levels at 18 and 24 months after treatment. All 3 treatment groups had significant activity against adult W. bancrofti (ALB+DEC) having greatest effect")</f>
        <v>All 3 treatments reduced mf counts, with the ALB+DEC group showing the lowest mf levels at 18 and 24 months after treatment. All 3 treatment groups had significant activity against adult W. bancrofti (ALB+DEC) having greatest effect</v>
      </c>
      <c r="U72" s="697" t="str">
        <f>IFERROR(__xludf.DUMMYFUNCTION("""COMPUTED_VALUE"""),"These results suggest that a single dose of albendazole 400 mg together with DEC 6 mg/kg is a safe and effective combination for suppression of microfilaraemia of bancroftian filariasis that could be considered for use in filariasis control programmes bas"&amp;"ed on mass treatment of endemic populations.")</f>
        <v>These results suggest that a single dose of albendazole 400 mg together with DEC 6 mg/kg is a safe and effective combination for suppression of microfilaraemia of bancroftian filariasis that could be considered for use in filariasis control programmes based on mass treatment of endemic populations.</v>
      </c>
      <c r="V72" s="697" t="str">
        <f>IFERROR(__xludf.DUMMYFUNCTION("""COMPUTED_VALUE"""),"1996-1998")</f>
        <v>1996-1998</v>
      </c>
      <c r="W72" s="697">
        <f>IFERROR(__xludf.DUMMYFUNCTION("""COMPUTED_VALUE"""),1998.0)</f>
        <v>1998</v>
      </c>
      <c r="X72" s="697" t="str">
        <f>IFERROR(__xludf.DUMMYFUNCTION("""COMPUTED_VALUE"""),"Ismail MM, Jayakody RL, Weil GJ, et al. Long-term efficacy of single-dose combinations of albendazole, ivermectin and diethylcarbamazine for the treatment of bancroftian filariasis. Transactions of the Royal Society of Tropical Medicine and Hygiene. 2001;"&amp;"95(3):332–335.")</f>
        <v>Ismail MM, Jayakody RL, Weil GJ, et al. Long-term efficacy of single-dose combinations of albendazole, ivermectin and diethylcarbamazine for the treatment of bancroftian filariasis. Transactions of the Royal Society of Tropical Medicine and Hygiene. 2001;95(3):332–335.</v>
      </c>
      <c r="Y72" s="697"/>
      <c r="Z72" s="865" t="str">
        <f>IFERROR(__xludf.DUMMYFUNCTION("""COMPUTED_VALUE"""),"https://drive.google.com/open?id=0B95WhYooraDeejhMN0paNXZneHc")</f>
        <v>https://drive.google.com/open?id=0B95WhYooraDeejhMN0paNXZneHc</v>
      </c>
      <c r="AA72" s="697" t="str">
        <f>IFERROR(__xludf.DUMMYFUNCTION("""COMPUTED_VALUE"""),"x")</f>
        <v>x</v>
      </c>
    </row>
    <row r="73">
      <c r="A73" s="697" t="str">
        <f>IFERROR(__xludf.DUMMYFUNCTION("""COMPUTED_VALUE"""),"Ismail, 2001")</f>
        <v>Ismail, 2001</v>
      </c>
      <c r="B73" s="697" t="str">
        <f>IFERROR(__xludf.DUMMYFUNCTION("""COMPUTED_VALUE"""),"Ross")</f>
        <v>Ross</v>
      </c>
      <c r="C73" s="697" t="str">
        <f>IFERROR(__xludf.DUMMYFUNCTION("""COMPUTED_VALUE"""),"Ross")</f>
        <v>Ross</v>
      </c>
      <c r="D73" s="697" t="str">
        <f>IFERROR(__xludf.DUMMYFUNCTION("""COMPUTED_VALUE"""),"Sri Lanka")</f>
        <v>Sri Lanka</v>
      </c>
      <c r="E73" s="697" t="str">
        <f>IFERROR(__xludf.DUMMYFUNCTION("""COMPUTED_VALUE"""),"W. bancrofti")</f>
        <v>W. bancrofti</v>
      </c>
      <c r="F73" s="697" t="str">
        <f>IFERROR(__xludf.DUMMYFUNCTION("""COMPUTED_VALUE"""),"Albendazole &amp; Ivermectin")</f>
        <v>Albendazole &amp; Ivermectin</v>
      </c>
      <c r="G73" s="697" t="str">
        <f>IFERROR(__xludf.DUMMYFUNCTION("""COMPUTED_VALUE"""),"600mg + .400 mg/kg")</f>
        <v>600mg + .400 mg/kg</v>
      </c>
      <c r="H73" s="697">
        <f>IFERROR(__xludf.DUMMYFUNCTION("""COMPUTED_VALUE"""),1.0)</f>
        <v>1</v>
      </c>
      <c r="I73" s="698">
        <f>IFERROR(__xludf.DUMMYFUNCTION("""COMPUTED_VALUE"""),0.9769)</f>
        <v>0.9769</v>
      </c>
      <c r="J73" s="700">
        <f>IFERROR(__xludf.DUMMYFUNCTION("""COMPUTED_VALUE"""),0.21)</f>
        <v>0.21</v>
      </c>
      <c r="K73" s="697" t="str">
        <f>IFERROR(__xludf.DUMMYFUNCTION("""COMPUTED_VALUE"""),"not available")</f>
        <v>not available</v>
      </c>
      <c r="L73" s="697">
        <f>IFERROR(__xludf.DUMMYFUNCTION("""COMPUTED_VALUE"""),15.0)</f>
        <v>15</v>
      </c>
      <c r="M73" s="697" t="str">
        <f>IFERROR(__xludf.DUMMYFUNCTION("""COMPUTED_VALUE"""),"18-60")</f>
        <v>18-60</v>
      </c>
      <c r="N73" s="862" t="str">
        <f>IFERROR(__xludf.DUMMYFUNCTION("""COMPUTED_VALUE"""),"males")</f>
        <v>males</v>
      </c>
      <c r="O73" s="697" t="str">
        <f>IFERROR(__xludf.DUMMYFUNCTION("""COMPUTED_VALUE"""),"aged 18–58 years, &gt;100 microfilaria /mL, asymptomatic, no prior antifilarial medications, or free from any acute or chronic illnesses")</f>
        <v>aged 18–58 years, &gt;100 microfilaria /mL, asymptomatic, no prior antifilarial medications, or free from any acute or chronic illnesses</v>
      </c>
      <c r="P73" s="697" t="str">
        <f>IFERROR(__xludf.DUMMYFUNCTION("""COMPUTED_VALUE"""),"double-blinded random")</f>
        <v>double-blinded random</v>
      </c>
      <c r="Q73" s="697" t="str">
        <f>IFERROR(__xludf.DUMMYFUNCTION("""COMPUTED_VALUE"""),"Yes")</f>
        <v>Yes</v>
      </c>
      <c r="R73" s="697" t="str">
        <f>IFERROR(__xludf.DUMMYFUNCTION("""COMPUTED_VALUE"""),"Yes")</f>
        <v>Yes</v>
      </c>
      <c r="S73" s="697" t="str">
        <f>IFERROR(__xludf.DUMMYFUNCTION("""COMPUTED_VALUE"""),"2 years")</f>
        <v>2 years</v>
      </c>
      <c r="T73" s="697" t="str">
        <f>IFERROR(__xludf.DUMMYFUNCTION("""COMPUTED_VALUE"""),"All 3 treatments reduced mf counts, with the ALB+DEC group showing the lowest mf levels at 18 and 24 months after treatment. All 3 treatment groups had significant activity against adult W. bancrofti (ALB+DEC) having greatest effect")</f>
        <v>All 3 treatments reduced mf counts, with the ALB+DEC group showing the lowest mf levels at 18 and 24 months after treatment. All 3 treatment groups had significant activity against adult W. bancrofti (ALB+DEC) having greatest effect</v>
      </c>
      <c r="U73" s="697" t="str">
        <f>IFERROR(__xludf.DUMMYFUNCTION("""COMPUTED_VALUE"""),"These results suggest that a single dose of albendazole 400 mg together with DEC 6 mg/kg is a safe and effective combination for suppression of microfilaraemia of bancroftian filariasis that could be considered for use in filariasis control programmes bas"&amp;"ed on mass treatment of endemic populations.")</f>
        <v>These results suggest that a single dose of albendazole 400 mg together with DEC 6 mg/kg is a safe and effective combination for suppression of microfilaraemia of bancroftian filariasis that could be considered for use in filariasis control programmes based on mass treatment of endemic populations.</v>
      </c>
      <c r="V73" s="697" t="str">
        <f>IFERROR(__xludf.DUMMYFUNCTION("""COMPUTED_VALUE"""),"1996-1998")</f>
        <v>1996-1998</v>
      </c>
      <c r="W73" s="697">
        <f>IFERROR(__xludf.DUMMYFUNCTION("""COMPUTED_VALUE"""),1998.0)</f>
        <v>1998</v>
      </c>
      <c r="X73" s="697" t="str">
        <f>IFERROR(__xludf.DUMMYFUNCTION("""COMPUTED_VALUE"""),"Ismail MM, Jayakody RL, Weil GJ, et al. Long-term efficacy of single-dose combinations of albendazole, ivermectin and diethylcarbamazine for the treatment of bancroftian filariasis. Transactions of the Royal Society of Tropical Medicine and Hygiene. 2001;"&amp;"95(3):332–335.")</f>
        <v>Ismail MM, Jayakody RL, Weil GJ, et al. Long-term efficacy of single-dose combinations of albendazole, ivermectin and diethylcarbamazine for the treatment of bancroftian filariasis. Transactions of the Royal Society of Tropical Medicine and Hygiene. 2001;95(3):332–335.</v>
      </c>
      <c r="Y73" s="697"/>
      <c r="Z73" s="865" t="str">
        <f>IFERROR(__xludf.DUMMYFUNCTION("""COMPUTED_VALUE"""),"https://drive.google.com/open?id=0B95WhYooraDeejhMN0paNXZneHc")</f>
        <v>https://drive.google.com/open?id=0B95WhYooraDeejhMN0paNXZneHc</v>
      </c>
      <c r="AA73" s="697" t="str">
        <f>IFERROR(__xludf.DUMMYFUNCTION("""COMPUTED_VALUE"""),"x")</f>
        <v>x</v>
      </c>
    </row>
    <row r="74">
      <c r="A74" s="697" t="str">
        <f>IFERROR(__xludf.DUMMYFUNCTION("""COMPUTED_VALUE"""),"Jayakody RL, 1993")</f>
        <v>Jayakody RL, 1993</v>
      </c>
      <c r="B74" s="697"/>
      <c r="C74" s="697" t="str">
        <f>IFERROR(__xludf.DUMMYFUNCTION("""COMPUTED_VALUE"""),"Kirti")</f>
        <v>Kirti</v>
      </c>
      <c r="D74" s="697" t="str">
        <f>IFERROR(__xludf.DUMMYFUNCTION("""COMPUTED_VALUE"""),"Sri Lanka")</f>
        <v>Sri Lanka</v>
      </c>
      <c r="E74" s="697" t="str">
        <f>IFERROR(__xludf.DUMMYFUNCTION("""COMPUTED_VALUE"""),"w. bancrofti")</f>
        <v>w. bancrofti</v>
      </c>
      <c r="F74" s="697" t="str">
        <f>IFERROR(__xludf.DUMMYFUNCTION("""COMPUTED_VALUE"""),"Albendazole")</f>
        <v>Albendazole</v>
      </c>
      <c r="G74" s="697" t="str">
        <f>IFERROR(__xludf.DUMMYFUNCTION("""COMPUTED_VALUE"""),"800 mg ")</f>
        <v>800 mg </v>
      </c>
      <c r="H74" s="697">
        <f>IFERROR(__xludf.DUMMYFUNCTION("""COMPUTED_VALUE"""),21.0)</f>
        <v>21</v>
      </c>
      <c r="I74" s="698">
        <f>IFERROR(__xludf.DUMMYFUNCTION("""COMPUTED_VALUE"""),0.986)</f>
        <v>0.986</v>
      </c>
      <c r="J74" s="706">
        <f>IFERROR(__xludf.DUMMYFUNCTION("""COMPUTED_VALUE"""),0.5)</f>
        <v>0.5</v>
      </c>
      <c r="K74" s="697" t="str">
        <f>IFERROR(__xludf.DUMMYFUNCTION("""COMPUTED_VALUE"""),"not available ")</f>
        <v>not available </v>
      </c>
      <c r="L74" s="697">
        <f>IFERROR(__xludf.DUMMYFUNCTION("""COMPUTED_VALUE"""),16.0)</f>
        <v>16</v>
      </c>
      <c r="M74" s="10" t="str">
        <f>IFERROR(__xludf.DUMMYFUNCTION("""COMPUTED_VALUE"""),"18 to 65")</f>
        <v>18 to 65</v>
      </c>
      <c r="N74" s="862" t="str">
        <f>IFERROR(__xludf.DUMMYFUNCTION("""COMPUTED_VALUE"""),"males")</f>
        <v>males</v>
      </c>
      <c r="O74" s="697" t="str">
        <f>IFERROR(__xludf.DUMMYFUNCTION("""COMPUTED_VALUE"""),"Asymptomatic men aged 18 to 65 with Wuchereria bancrofti mf Patients with mf density in night blood films &gt; 100 mf/mL at least once during previous week included")</f>
        <v>Asymptomatic men aged 18 to 65 with Wuchereria bancrofti mf Patients with mf density in night blood films &gt; 100 mf/mL at least once during previous week included</v>
      </c>
      <c r="P74" s="697"/>
      <c r="Q74" s="697" t="str">
        <f>IFERROR(__xludf.DUMMYFUNCTION("""COMPUTED_VALUE"""),"No")</f>
        <v>No</v>
      </c>
      <c r="R74" s="697" t="str">
        <f>IFERROR(__xludf.DUMMYFUNCTION("""COMPUTED_VALUE"""),"Yes")</f>
        <v>Yes</v>
      </c>
      <c r="S74" s="697" t="str">
        <f>IFERROR(__xludf.DUMMYFUNCTION("""COMPUTED_VALUE"""),"18 months ")</f>
        <v>18 months </v>
      </c>
      <c r="T74" s="697" t="str">
        <f>IFERROR(__xludf.DUMMYFUNCTION("""COMPUTED_VALUE"""),"Both drugs had effects on the adult filarial worms.")</f>
        <v>Both drugs had effects on the adult filarial worms.</v>
      </c>
      <c r="U74" s="697" t="str">
        <f>IFERROR(__xludf.DUMMYFUNCTION("""COMPUTED_VALUE"""),"Three patients from albendazole group, one due to absenteeism and two others who had the severe scrotal syndrome could not complete the 21 day treatment course. ")</f>
        <v>Three patients from albendazole group, one due to absenteeism and two others who had the severe scrotal syndrome could not complete the 21 day treatment course. </v>
      </c>
      <c r="V74" s="697">
        <f>IFERROR(__xludf.DUMMYFUNCTION("""COMPUTED_VALUE"""),1993.0)</f>
        <v>1993</v>
      </c>
      <c r="W74" s="697">
        <f>IFERROR(__xludf.DUMMYFUNCTION("""COMPUTED_VALUE"""),1993.0)</f>
        <v>1993</v>
      </c>
      <c r="X74" s="697" t="str">
        <f>IFERROR(__xludf.DUMMYFUNCTION("""COMPUTED_VALUE"""),"Jayakody RL, De Silva CS, Weerasinghe WM. Treatment of bancroftian filariasis with albendazole: evaluation of efficacy and adverse reactions. Tropical Biomedicine 1993;10:19–24.")</f>
        <v>Jayakody RL, De Silva CS, Weerasinghe WM. Treatment of bancroftian filariasis with albendazole: evaluation of efficacy and adverse reactions. Tropical Biomedicine 1993;10:19–24.</v>
      </c>
      <c r="Y74" s="697"/>
      <c r="Z74" s="865" t="str">
        <f>IFERROR(__xludf.DUMMYFUNCTION("""COMPUTED_VALUE"""),"https://drive.google.com/file/d/0B-yoIBO7tf7FN0xPa1Z6cmMtTTQ/view?usp=sharing")</f>
        <v>https://drive.google.com/file/d/0B-yoIBO7tf7FN0xPa1Z6cmMtTTQ/view?usp=sharing</v>
      </c>
      <c r="AA74" s="697"/>
    </row>
    <row r="75">
      <c r="A75" s="697" t="str">
        <f>IFERROR(__xludf.DUMMYFUNCTION("""COMPUTED_VALUE"""),"Jayakody RL, 1993")</f>
        <v>Jayakody RL, 1993</v>
      </c>
      <c r="B75" s="697"/>
      <c r="C75" s="697" t="str">
        <f>IFERROR(__xludf.DUMMYFUNCTION("""COMPUTED_VALUE"""),"Kirti")</f>
        <v>Kirti</v>
      </c>
      <c r="D75" s="697" t="str">
        <f>IFERROR(__xludf.DUMMYFUNCTION("""COMPUTED_VALUE"""),"Sri Lanka")</f>
        <v>Sri Lanka</v>
      </c>
      <c r="E75" s="697" t="str">
        <f>IFERROR(__xludf.DUMMYFUNCTION("""COMPUTED_VALUE"""),"w. bancrofti")</f>
        <v>w. bancrofti</v>
      </c>
      <c r="F75" s="697" t="str">
        <f>IFERROR(__xludf.DUMMYFUNCTION("""COMPUTED_VALUE"""),"DEC")</f>
        <v>DEC</v>
      </c>
      <c r="G75" s="697" t="str">
        <f>IFERROR(__xludf.DUMMYFUNCTION("""COMPUTED_VALUE"""),"12 mg/kg ")</f>
        <v>12 mg/kg </v>
      </c>
      <c r="H75" s="697">
        <f>IFERROR(__xludf.DUMMYFUNCTION("""COMPUTED_VALUE"""),21.0)</f>
        <v>21</v>
      </c>
      <c r="I75" s="698">
        <f>IFERROR(__xludf.DUMMYFUNCTION("""COMPUTED_VALUE"""),0.991)</f>
        <v>0.991</v>
      </c>
      <c r="J75" s="706">
        <f>IFERROR(__xludf.DUMMYFUNCTION("""COMPUTED_VALUE"""),0.5)</f>
        <v>0.5</v>
      </c>
      <c r="K75" s="697" t="str">
        <f>IFERROR(__xludf.DUMMYFUNCTION("""COMPUTED_VALUE"""),"not available ")</f>
        <v>not available </v>
      </c>
      <c r="L75" s="697">
        <f>IFERROR(__xludf.DUMMYFUNCTION("""COMPUTED_VALUE"""),13.0)</f>
        <v>13</v>
      </c>
      <c r="M75" s="10" t="str">
        <f>IFERROR(__xludf.DUMMYFUNCTION("""COMPUTED_VALUE"""),"18 to 65")</f>
        <v>18 to 65</v>
      </c>
      <c r="N75" s="862" t="str">
        <f>IFERROR(__xludf.DUMMYFUNCTION("""COMPUTED_VALUE"""),"males")</f>
        <v>males</v>
      </c>
      <c r="O75" s="697" t="str">
        <f>IFERROR(__xludf.DUMMYFUNCTION("""COMPUTED_VALUE"""),"Asymptomatic men aged 18 to 65 with Wuchereria bancrofti mf Patients with mf density in night blood films &gt; 100 mf/mL at least once during previous week included")</f>
        <v>Asymptomatic men aged 18 to 65 with Wuchereria bancrofti mf Patients with mf density in night blood films &gt; 100 mf/mL at least once during previous week included</v>
      </c>
      <c r="P75" s="697"/>
      <c r="Q75" s="697" t="str">
        <f>IFERROR(__xludf.DUMMYFUNCTION("""COMPUTED_VALUE"""),"No")</f>
        <v>No</v>
      </c>
      <c r="R75" s="697" t="str">
        <f>IFERROR(__xludf.DUMMYFUNCTION("""COMPUTED_VALUE"""),"Yes")</f>
        <v>Yes</v>
      </c>
      <c r="S75" s="697" t="str">
        <f>IFERROR(__xludf.DUMMYFUNCTION("""COMPUTED_VALUE"""),"18 months ")</f>
        <v>18 months </v>
      </c>
      <c r="T75" s="697" t="str">
        <f>IFERROR(__xludf.DUMMYFUNCTION("""COMPUTED_VALUE"""),"Both drugs had effects on the adult filarial worms.")</f>
        <v>Both drugs had effects on the adult filarial worms.</v>
      </c>
      <c r="U75" s="697" t="str">
        <f>IFERROR(__xludf.DUMMYFUNCTION("""COMPUTED_VALUE"""),"In DEC group one patient had fever, right hypochondrial pain and repeated vomiting and was off the study.")</f>
        <v>In DEC group one patient had fever, right hypochondrial pain and repeated vomiting and was off the study.</v>
      </c>
      <c r="V75" s="697">
        <f>IFERROR(__xludf.DUMMYFUNCTION("""COMPUTED_VALUE"""),1993.0)</f>
        <v>1993</v>
      </c>
      <c r="W75" s="697">
        <f>IFERROR(__xludf.DUMMYFUNCTION("""COMPUTED_VALUE"""),1993.0)</f>
        <v>1993</v>
      </c>
      <c r="X75" s="697" t="str">
        <f>IFERROR(__xludf.DUMMYFUNCTION("""COMPUTED_VALUE"""),"Jayakody RL, De Silva CS, Weerasinghe WM. Treatment of bancroftian filariasis with albendazole: evaluation of efficacy and adverse reactions. Tropical Biomedicine 1993;10:19–24.")</f>
        <v>Jayakody RL, De Silva CS, Weerasinghe WM. Treatment of bancroftian filariasis with albendazole: evaluation of efficacy and adverse reactions. Tropical Biomedicine 1993;10:19–24.</v>
      </c>
      <c r="Y75" s="697"/>
      <c r="Z75" s="865" t="str">
        <f>IFERROR(__xludf.DUMMYFUNCTION("""COMPUTED_VALUE"""),"https://drive.google.com/file/d/0B-yoIBO7tf7FN0xPa1Z6cmMtTTQ/view?usp=sharing")</f>
        <v>https://drive.google.com/file/d/0B-yoIBO7tf7FN0xPa1Z6cmMtTTQ/view?usp=sharing</v>
      </c>
      <c r="AA75" s="697"/>
    </row>
    <row r="76">
      <c r="A76" s="697" t="str">
        <f>IFERROR(__xludf.DUMMYFUNCTION("""COMPUTED_VALUE"""),"Kazura 1993")</f>
        <v>Kazura 1993</v>
      </c>
      <c r="B76" s="697" t="str">
        <f>IFERROR(__xludf.DUMMYFUNCTION("""COMPUTED_VALUE"""),"Kirti")</f>
        <v>Kirti</v>
      </c>
      <c r="C76" s="697" t="str">
        <f>IFERROR(__xludf.DUMMYFUNCTION("""COMPUTED_VALUE"""),"Ross")</f>
        <v>Ross</v>
      </c>
      <c r="D76" s="697" t="str">
        <f>IFERROR(__xludf.DUMMYFUNCTION("""COMPUTED_VALUE"""),"Papua New Guinea")</f>
        <v>Papua New Guinea</v>
      </c>
      <c r="E76" s="697" t="str">
        <f>IFERROR(__xludf.DUMMYFUNCTION("""COMPUTED_VALUE"""),"W. bancrofti")</f>
        <v>W. bancrofti</v>
      </c>
      <c r="F76" s="697" t="str">
        <f>IFERROR(__xludf.DUMMYFUNCTION("""COMPUTED_VALUE"""),"DEC")</f>
        <v>DEC</v>
      </c>
      <c r="G76" s="697" t="str">
        <f>IFERROR(__xludf.DUMMYFUNCTION("""COMPUTED_VALUE"""),"6 mg/kg ")</f>
        <v>6 mg/kg </v>
      </c>
      <c r="H76" s="697">
        <f>IFERROR(__xludf.DUMMYFUNCTION("""COMPUTED_VALUE"""),1.0)</f>
        <v>1</v>
      </c>
      <c r="I76" s="706">
        <f>IFERROR(__xludf.DUMMYFUNCTION("""COMPUTED_VALUE"""),0.905)</f>
        <v>0.905</v>
      </c>
      <c r="J76" s="697"/>
      <c r="K76" s="697"/>
      <c r="L76" s="697">
        <f>IFERROR(__xludf.DUMMYFUNCTION("""COMPUTED_VALUE"""),10.0)</f>
        <v>10</v>
      </c>
      <c r="M76" s="697" t="str">
        <f>IFERROR(__xludf.DUMMYFUNCTION("""COMPUTED_VALUE"""),"25-31")</f>
        <v>25-31</v>
      </c>
      <c r="N76" s="862" t="str">
        <f>IFERROR(__xludf.DUMMYFUNCTION("""COMPUTED_VALUE"""),"males")</f>
        <v>males</v>
      </c>
      <c r="O76" s="697" t="str">
        <f>IFERROR(__xludf.DUMMYFUNCTION("""COMPUTED_VALUE"""),"1) Parasitemia exceeding 100mf/ml blood. 2) Lack of symptoms attributable to acute manifestation of lymphatic filariasis, such as fever, lymph node pain, painful swelling of the scrota and extremities. 3) Liver function test results (glutamate oxaloacetat"&amp;"e transaminase, serum glutamate pyruvate transaminase, alkaline phosphatase, bilirubin), renal function test results (blood urea nitrogen, creatinine), and hematocrit ( &gt; 35%) within normal limits.")</f>
        <v>1) Parasitemia exceeding 100mf/ml blood. 2) Lack of symptoms attributable to acute manifestation of lymphatic filariasis, such as fever, lymph node pain, painful swelling of the scrota and extremities. 3) Liver function test results (glutamate oxaloacetate transaminase, serum glutamate pyruvate transaminase, alkaline phosphatase, bilirubin), renal function test results (blood urea nitrogen, creatinine), and hematocrit ( &gt; 35%) within normal limits.</v>
      </c>
      <c r="P76" s="697" t="str">
        <f>IFERROR(__xludf.DUMMYFUNCTION("""COMPUTED_VALUE"""),"double blind RCT")</f>
        <v>double blind RCT</v>
      </c>
      <c r="Q76" s="697" t="str">
        <f>IFERROR(__xludf.DUMMYFUNCTION("""COMPUTED_VALUE"""),"Yes")</f>
        <v>Yes</v>
      </c>
      <c r="R76" s="697" t="str">
        <f>IFERROR(__xludf.DUMMYFUNCTION("""COMPUTED_VALUE"""),"Yes")</f>
        <v>Yes</v>
      </c>
      <c r="S76" s="697" t="str">
        <f>IFERROR(__xludf.DUMMYFUNCTION("""COMPUTED_VALUE"""),"18 months")</f>
        <v>18 months</v>
      </c>
      <c r="T76" s="697" t="str">
        <f>IFERROR(__xludf.DUMMYFUNCTION("""COMPUTED_VALUE"""),"Single doses of DEC are superior to currently recommended doses of Ivermectin for induction of sustained reductions in microfilaremia. ")</f>
        <v>Single doses of DEC are superior to currently recommended doses of Ivermectin for induction of sustained reductions in microfilaremia. </v>
      </c>
      <c r="U76" s="697" t="str">
        <f>IFERROR(__xludf.DUMMYFUNCTION("""COMPUTED_VALUE"""),"The researcher provided the exact value for % reduction in  microfilaremia for DEC (6mg/kg) and Ivermectin (420 μg/kg). The rest of the data on % reduction of  microfilaremia were extimated by looking at the graph in Figure 2. ")</f>
        <v>The researcher provided the exact value for % reduction in  microfilaremia for DEC (6mg/kg) and Ivermectin (420 μg/kg). The rest of the data on % reduction of  microfilaremia were extimated by looking at the graph in Figure 2. </v>
      </c>
      <c r="V76" s="697">
        <f>IFERROR(__xludf.DUMMYFUNCTION("""COMPUTED_VALUE"""),1993.0)</f>
        <v>1993</v>
      </c>
      <c r="W76" s="697">
        <f>IFERROR(__xludf.DUMMYFUNCTION("""COMPUTED_VALUE"""),1993.0)</f>
        <v>1993</v>
      </c>
      <c r="X76" s="697" t="str">
        <f>IFERROR(__xludf.DUMMYFUNCTION("""COMPUTED_VALUE"""),"Kazura J, Greenberg J, Perry R, Weil G, Day K, Alpers M. Comparison of single-dose diethylcarbamazine and ivermectin for treatment of bancroftian filariasis in Papua New Guinea. The American Society of Tropical Medicine and Hygiene 1993; 49 (6): 804-811")</f>
        <v>Kazura J, Greenberg J, Perry R, Weil G, Day K, Alpers M. Comparison of single-dose diethylcarbamazine and ivermectin for treatment of bancroftian filariasis in Papua New Guinea. The American Society of Tropical Medicine and Hygiene 1993; 49 (6): 804-811</v>
      </c>
      <c r="Y76" s="697" t="str">
        <f>IFERROR(__xludf.DUMMYFUNCTION("""COMPUTED_VALUE"""),"PMID: 8279647")</f>
        <v>PMID: 8279647</v>
      </c>
      <c r="Z76" s="865" t="str">
        <f>IFERROR(__xludf.DUMMYFUNCTION("""COMPUTED_VALUE"""),"https://drive.google.com/file/d/0By3QPyQz621GU0V1Q3pwb09WZ28/view?usp=sharing")</f>
        <v>https://drive.google.com/file/d/0By3QPyQz621GU0V1Q3pwb09WZ28/view?usp=sharing</v>
      </c>
      <c r="AA76" s="697"/>
    </row>
    <row r="77">
      <c r="A77" s="697" t="str">
        <f>IFERROR(__xludf.DUMMYFUNCTION("""COMPUTED_VALUE"""),"Kazura 1993")</f>
        <v>Kazura 1993</v>
      </c>
      <c r="B77" s="697" t="str">
        <f>IFERROR(__xludf.DUMMYFUNCTION("""COMPUTED_VALUE"""),"Kirti")</f>
        <v>Kirti</v>
      </c>
      <c r="C77" s="697" t="str">
        <f>IFERROR(__xludf.DUMMYFUNCTION("""COMPUTED_VALUE"""),"Ross")</f>
        <v>Ross</v>
      </c>
      <c r="D77" s="697" t="str">
        <f>IFERROR(__xludf.DUMMYFUNCTION("""COMPUTED_VALUE"""),"Papua New Guinea")</f>
        <v>Papua New Guinea</v>
      </c>
      <c r="E77" s="697" t="str">
        <f>IFERROR(__xludf.DUMMYFUNCTION("""COMPUTED_VALUE"""),"W. bancrofti")</f>
        <v>W. bancrofti</v>
      </c>
      <c r="F77" s="697" t="str">
        <f>IFERROR(__xludf.DUMMYFUNCTION("""COMPUTED_VALUE"""),"DEC")</f>
        <v>DEC</v>
      </c>
      <c r="G77" s="697" t="str">
        <f>IFERROR(__xludf.DUMMYFUNCTION("""COMPUTED_VALUE"""),"1 mg/kg on day 1 + 6mg/kg 4 days later")</f>
        <v>1 mg/kg on day 1 + 6mg/kg 4 days later</v>
      </c>
      <c r="H77" s="697">
        <f>IFERROR(__xludf.DUMMYFUNCTION("""COMPUTED_VALUE"""),1.0)</f>
        <v>1</v>
      </c>
      <c r="I77" s="706">
        <f>IFERROR(__xludf.DUMMYFUNCTION("""COMPUTED_VALUE"""),0.83)</f>
        <v>0.83</v>
      </c>
      <c r="J77" s="697"/>
      <c r="K77" s="697"/>
      <c r="L77" s="697">
        <f>IFERROR(__xludf.DUMMYFUNCTION("""COMPUTED_VALUE"""),10.0)</f>
        <v>10</v>
      </c>
      <c r="M77" s="697" t="str">
        <f>IFERROR(__xludf.DUMMYFUNCTION("""COMPUTED_VALUE"""),"25-31")</f>
        <v>25-31</v>
      </c>
      <c r="N77" s="862" t="str">
        <f>IFERROR(__xludf.DUMMYFUNCTION("""COMPUTED_VALUE"""),"males")</f>
        <v>males</v>
      </c>
      <c r="O77" s="697" t="str">
        <f>IFERROR(__xludf.DUMMYFUNCTION("""COMPUTED_VALUE"""),"1) Parasitemia exceeding 100mf/ml blood. 2) Lack of symptoms attributable to acute manifestation of lymphatic filariasis, such as fever, lymph node pain, painful swelling of the scrota and extremities. 3) Liver function test results (glutamate oxaloacetat"&amp;"e transaminase, serum glutamate pyruvate transaminase, alkaline phosphatase, bilirubin), renal function test results (blood urea nitrogen, creatinine), and hematocrit ( &gt; 35%) within normal limits.")</f>
        <v>1) Parasitemia exceeding 100mf/ml blood. 2) Lack of symptoms attributable to acute manifestation of lymphatic filariasis, such as fever, lymph node pain, painful swelling of the scrota and extremities. 3) Liver function test results (glutamate oxaloacetate transaminase, serum glutamate pyruvate transaminase, alkaline phosphatase, bilirubin), renal function test results (blood urea nitrogen, creatinine), and hematocrit ( &gt; 35%) within normal limits.</v>
      </c>
      <c r="P77" s="697" t="str">
        <f>IFERROR(__xludf.DUMMYFUNCTION("""COMPUTED_VALUE"""),"double blind RCT")</f>
        <v>double blind RCT</v>
      </c>
      <c r="Q77" s="697" t="str">
        <f>IFERROR(__xludf.DUMMYFUNCTION("""COMPUTED_VALUE"""),"Yes")</f>
        <v>Yes</v>
      </c>
      <c r="R77" s="697" t="str">
        <f>IFERROR(__xludf.DUMMYFUNCTION("""COMPUTED_VALUE"""),"Yes")</f>
        <v>Yes</v>
      </c>
      <c r="S77" s="697" t="str">
        <f>IFERROR(__xludf.DUMMYFUNCTION("""COMPUTED_VALUE"""),"18 months")</f>
        <v>18 months</v>
      </c>
      <c r="T77" s="697" t="str">
        <f>IFERROR(__xludf.DUMMYFUNCTION("""COMPUTED_VALUE"""),"Single doses of DEC are superior to currently recommended doses of Ivermectin for induction of sustained reductions in microfilaremia. ")</f>
        <v>Single doses of DEC are superior to currently recommended doses of Ivermectin for induction of sustained reductions in microfilaremia. </v>
      </c>
      <c r="U77" s="697" t="str">
        <f>IFERROR(__xludf.DUMMYFUNCTION("""COMPUTED_VALUE"""),"The researcher provided the exact value for % reduction in  microfilaremia for DEC (6mg/kg) and Ivermectin (420 μg/kg). The rest of the data on % reduction of  microfilaremia were extimated by looking at the graph in Figure 2. ")</f>
        <v>The researcher provided the exact value for % reduction in  microfilaremia for DEC (6mg/kg) and Ivermectin (420 μg/kg). The rest of the data on % reduction of  microfilaremia were extimated by looking at the graph in Figure 2. </v>
      </c>
      <c r="V77" s="697">
        <f>IFERROR(__xludf.DUMMYFUNCTION("""COMPUTED_VALUE"""),1993.0)</f>
        <v>1993</v>
      </c>
      <c r="W77" s="697">
        <f>IFERROR(__xludf.DUMMYFUNCTION("""COMPUTED_VALUE"""),1993.0)</f>
        <v>1993</v>
      </c>
      <c r="X77" s="697" t="str">
        <f>IFERROR(__xludf.DUMMYFUNCTION("""COMPUTED_VALUE"""),"Kazura J, Greenberg J, Perry R, Weil G, Day K, Alpers M. Comparison of single-dose diethylcarbamazine and ivermectin for treatment of bancroftian filariasis in Papua New Guinea. The American Society of Tropical Medicine and Hygiene 1993; 49 (6): 804-811")</f>
        <v>Kazura J, Greenberg J, Perry R, Weil G, Day K, Alpers M. Comparison of single-dose diethylcarbamazine and ivermectin for treatment of bancroftian filariasis in Papua New Guinea. The American Society of Tropical Medicine and Hygiene 1993; 49 (6): 804-811</v>
      </c>
      <c r="Y77" s="697" t="str">
        <f>IFERROR(__xludf.DUMMYFUNCTION("""COMPUTED_VALUE"""),"PMID: 8279648")</f>
        <v>PMID: 8279648</v>
      </c>
      <c r="Z77" s="865" t="str">
        <f>IFERROR(__xludf.DUMMYFUNCTION("""COMPUTED_VALUE"""),"https://drive.google.com/file/d/0By3QPyQz621GU0V1Q3pwb09WZ28/view?usp=sharing")</f>
        <v>https://drive.google.com/file/d/0By3QPyQz621GU0V1Q3pwb09WZ28/view?usp=sharing</v>
      </c>
      <c r="AA77" s="697"/>
    </row>
    <row r="78">
      <c r="A78" s="697" t="str">
        <f>IFERROR(__xludf.DUMMYFUNCTION("""COMPUTED_VALUE"""),"Kazura 1993")</f>
        <v>Kazura 1993</v>
      </c>
      <c r="B78" s="697" t="str">
        <f>IFERROR(__xludf.DUMMYFUNCTION("""COMPUTED_VALUE"""),"Kirti")</f>
        <v>Kirti</v>
      </c>
      <c r="C78" s="697" t="str">
        <f>IFERROR(__xludf.DUMMYFUNCTION("""COMPUTED_VALUE"""),"Ross")</f>
        <v>Ross</v>
      </c>
      <c r="D78" s="697" t="str">
        <f>IFERROR(__xludf.DUMMYFUNCTION("""COMPUTED_VALUE"""),"Papua New Guinea")</f>
        <v>Papua New Guinea</v>
      </c>
      <c r="E78" s="697" t="str">
        <f>IFERROR(__xludf.DUMMYFUNCTION("""COMPUTED_VALUE"""),"W. bancrofti")</f>
        <v>W. bancrofti</v>
      </c>
      <c r="F78" s="697" t="str">
        <f>IFERROR(__xludf.DUMMYFUNCTION("""COMPUTED_VALUE"""),"Ivermectin")</f>
        <v>Ivermectin</v>
      </c>
      <c r="G78" s="697" t="str">
        <f>IFERROR(__xludf.DUMMYFUNCTION("""COMPUTED_VALUE"""),".220 mg/kg ")</f>
        <v>.220 mg/kg </v>
      </c>
      <c r="H78" s="697">
        <f>IFERROR(__xludf.DUMMYFUNCTION("""COMPUTED_VALUE"""),1.0)</f>
        <v>1</v>
      </c>
      <c r="I78" s="706">
        <f>IFERROR(__xludf.DUMMYFUNCTION("""COMPUTED_VALUE"""),0.58)</f>
        <v>0.58</v>
      </c>
      <c r="J78" s="697"/>
      <c r="K78" s="697"/>
      <c r="L78" s="697">
        <f>IFERROR(__xludf.DUMMYFUNCTION("""COMPUTED_VALUE"""),10.0)</f>
        <v>10</v>
      </c>
      <c r="M78" s="697" t="str">
        <f>IFERROR(__xludf.DUMMYFUNCTION("""COMPUTED_VALUE"""),"25-31")</f>
        <v>25-31</v>
      </c>
      <c r="N78" s="862" t="str">
        <f>IFERROR(__xludf.DUMMYFUNCTION("""COMPUTED_VALUE"""),"males")</f>
        <v>males</v>
      </c>
      <c r="O78" s="697" t="str">
        <f>IFERROR(__xludf.DUMMYFUNCTION("""COMPUTED_VALUE"""),"1) Parasitemia exceeding 100mf/ml blood. 2) Lack of symptoms attributable to acute manifestation of lymphatic filariasis, such as fever, lymph node pain, painful swelling of the scrota and extremities. 3) Liver function test results (glutamate oxaloacetat"&amp;"e transaminase, serum glutamate pyruvate transaminase, alkaline phosphatase, bilirubin), renal function test results (blood urea nitrogen, creatinine), and hematocrit ( &gt; 35%) within normal limits.")</f>
        <v>1) Parasitemia exceeding 100mf/ml blood. 2) Lack of symptoms attributable to acute manifestation of lymphatic filariasis, such as fever, lymph node pain, painful swelling of the scrota and extremities. 3) Liver function test results (glutamate oxaloacetate transaminase, serum glutamate pyruvate transaminase, alkaline phosphatase, bilirubin), renal function test results (blood urea nitrogen, creatinine), and hematocrit ( &gt; 35%) within normal limits.</v>
      </c>
      <c r="P78" s="697" t="str">
        <f>IFERROR(__xludf.DUMMYFUNCTION("""COMPUTED_VALUE"""),"double blind RCT")</f>
        <v>double blind RCT</v>
      </c>
      <c r="Q78" s="697" t="str">
        <f>IFERROR(__xludf.DUMMYFUNCTION("""COMPUTED_VALUE"""),"Yes")</f>
        <v>Yes</v>
      </c>
      <c r="R78" s="697" t="str">
        <f>IFERROR(__xludf.DUMMYFUNCTION("""COMPUTED_VALUE"""),"Yes")</f>
        <v>Yes</v>
      </c>
      <c r="S78" s="697" t="str">
        <f>IFERROR(__xludf.DUMMYFUNCTION("""COMPUTED_VALUE"""),"18 months")</f>
        <v>18 months</v>
      </c>
      <c r="T78" s="697" t="str">
        <f>IFERROR(__xludf.DUMMYFUNCTION("""COMPUTED_VALUE"""),"Single doses of DEC are superior to currently recommended doses of Ivermectin for induction of sustained reductions in microfilaremia. ")</f>
        <v>Single doses of DEC are superior to currently recommended doses of Ivermectin for induction of sustained reductions in microfilaremia. </v>
      </c>
      <c r="U78" s="697" t="str">
        <f>IFERROR(__xludf.DUMMYFUNCTION("""COMPUTED_VALUE"""),"The researcher provided the exact value for % reduction in  microfilaremia for DEC (6mg/kg) and Ivermectin (420 μg/kg). The rest of the data on % reduction of  microfilaremia were extimated by looking at the graph in Figure 2. ")</f>
        <v>The researcher provided the exact value for % reduction in  microfilaremia for DEC (6mg/kg) and Ivermectin (420 μg/kg). The rest of the data on % reduction of  microfilaremia were extimated by looking at the graph in Figure 2. </v>
      </c>
      <c r="V78" s="697">
        <f>IFERROR(__xludf.DUMMYFUNCTION("""COMPUTED_VALUE"""),1993.0)</f>
        <v>1993</v>
      </c>
      <c r="W78" s="697">
        <f>IFERROR(__xludf.DUMMYFUNCTION("""COMPUTED_VALUE"""),1993.0)</f>
        <v>1993</v>
      </c>
      <c r="X78" s="697" t="str">
        <f>IFERROR(__xludf.DUMMYFUNCTION("""COMPUTED_VALUE"""),"Kazura J, Greenberg J, Perry R, Weil G, Day K, Alpers M. Comparison of single-dose diethylcarbamazine and ivermectin for treatment of bancroftian filariasis in Papua New Guinea. The American Society of Tropical Medicine and Hygiene 1993; 49 (6): 804-811")</f>
        <v>Kazura J, Greenberg J, Perry R, Weil G, Day K, Alpers M. Comparison of single-dose diethylcarbamazine and ivermectin for treatment of bancroftian filariasis in Papua New Guinea. The American Society of Tropical Medicine and Hygiene 1993; 49 (6): 804-811</v>
      </c>
      <c r="Y78" s="697" t="str">
        <f>IFERROR(__xludf.DUMMYFUNCTION("""COMPUTED_VALUE"""),"PMID: 8279649")</f>
        <v>PMID: 8279649</v>
      </c>
      <c r="Z78" s="865" t="str">
        <f>IFERROR(__xludf.DUMMYFUNCTION("""COMPUTED_VALUE"""),"https://drive.google.com/file/d/0By3QPyQz621GU0V1Q3pwb09WZ28/view?usp=sharing")</f>
        <v>https://drive.google.com/file/d/0By3QPyQz621GU0V1Q3pwb09WZ28/view?usp=sharing</v>
      </c>
      <c r="AA78" s="697"/>
    </row>
    <row r="79">
      <c r="A79" s="697" t="str">
        <f>IFERROR(__xludf.DUMMYFUNCTION("""COMPUTED_VALUE"""),"Kazura 1993")</f>
        <v>Kazura 1993</v>
      </c>
      <c r="B79" s="697" t="str">
        <f>IFERROR(__xludf.DUMMYFUNCTION("""COMPUTED_VALUE"""),"Kirti")</f>
        <v>Kirti</v>
      </c>
      <c r="C79" s="697" t="str">
        <f>IFERROR(__xludf.DUMMYFUNCTION("""COMPUTED_VALUE"""),"Ross")</f>
        <v>Ross</v>
      </c>
      <c r="D79" s="697" t="str">
        <f>IFERROR(__xludf.DUMMYFUNCTION("""COMPUTED_VALUE"""),"Papua New Guinea")</f>
        <v>Papua New Guinea</v>
      </c>
      <c r="E79" s="697" t="str">
        <f>IFERROR(__xludf.DUMMYFUNCTION("""COMPUTED_VALUE"""),"W. bancrofti")</f>
        <v>W. bancrofti</v>
      </c>
      <c r="F79" s="697" t="str">
        <f>IFERROR(__xludf.DUMMYFUNCTION("""COMPUTED_VALUE"""),"Ivermectin")</f>
        <v>Ivermectin</v>
      </c>
      <c r="G79" s="697" t="str">
        <f>IFERROR(__xludf.DUMMYFUNCTION("""COMPUTED_VALUE"""),".02 mg/kg on day 1 + .2 mg/kg 4 days later")</f>
        <v>.02 mg/kg on day 1 + .2 mg/kg 4 days later</v>
      </c>
      <c r="H79" s="697">
        <f>IFERROR(__xludf.DUMMYFUNCTION("""COMPUTED_VALUE"""),1.0)</f>
        <v>1</v>
      </c>
      <c r="I79" s="706">
        <f>IFERROR(__xludf.DUMMYFUNCTION("""COMPUTED_VALUE"""),0.74)</f>
        <v>0.74</v>
      </c>
      <c r="J79" s="697"/>
      <c r="K79" s="697"/>
      <c r="L79" s="697">
        <f>IFERROR(__xludf.DUMMYFUNCTION("""COMPUTED_VALUE"""),10.0)</f>
        <v>10</v>
      </c>
      <c r="M79" s="697" t="str">
        <f>IFERROR(__xludf.DUMMYFUNCTION("""COMPUTED_VALUE"""),"25-31")</f>
        <v>25-31</v>
      </c>
      <c r="N79" s="862" t="str">
        <f>IFERROR(__xludf.DUMMYFUNCTION("""COMPUTED_VALUE"""),"males")</f>
        <v>males</v>
      </c>
      <c r="O79" s="697" t="str">
        <f>IFERROR(__xludf.DUMMYFUNCTION("""COMPUTED_VALUE"""),"1) Parasitemia exceeding 100mf/ml blood. 2) Lack of symptoms attributable to acute manifestation of lymphatic filariasis, such as fever, lymph node pain, painful swelling of the scrota and extremities. 3) Liver function test results (glutamate oxaloacetat"&amp;"e transaminase, serum glutamate pyruvate transaminase, alkaline phosphatase, bilirubin), renal function test results (blood urea nitrogen, creatinine), and hematocrit ( &gt; 35%) within normal limits.")</f>
        <v>1) Parasitemia exceeding 100mf/ml blood. 2) Lack of symptoms attributable to acute manifestation of lymphatic filariasis, such as fever, lymph node pain, painful swelling of the scrota and extremities. 3) Liver function test results (glutamate oxaloacetate transaminase, serum glutamate pyruvate transaminase, alkaline phosphatase, bilirubin), renal function test results (blood urea nitrogen, creatinine), and hematocrit ( &gt; 35%) within normal limits.</v>
      </c>
      <c r="P79" s="697" t="str">
        <f>IFERROR(__xludf.DUMMYFUNCTION("""COMPUTED_VALUE"""),"double blind RCT")</f>
        <v>double blind RCT</v>
      </c>
      <c r="Q79" s="697" t="str">
        <f>IFERROR(__xludf.DUMMYFUNCTION("""COMPUTED_VALUE"""),"Yes")</f>
        <v>Yes</v>
      </c>
      <c r="R79" s="697" t="str">
        <f>IFERROR(__xludf.DUMMYFUNCTION("""COMPUTED_VALUE"""),"Yes")</f>
        <v>Yes</v>
      </c>
      <c r="S79" s="697" t="str">
        <f>IFERROR(__xludf.DUMMYFUNCTION("""COMPUTED_VALUE"""),"18 months")</f>
        <v>18 months</v>
      </c>
      <c r="T79" s="697" t="str">
        <f>IFERROR(__xludf.DUMMYFUNCTION("""COMPUTED_VALUE"""),"Single doses of DEC are superior to currently recommended doses of Ivermectin for induction of sustained reductions in microfilaremia. ")</f>
        <v>Single doses of DEC are superior to currently recommended doses of Ivermectin for induction of sustained reductions in microfilaremia. </v>
      </c>
      <c r="U79" s="697" t="str">
        <f>IFERROR(__xludf.DUMMYFUNCTION("""COMPUTED_VALUE"""),"The researcher provided the exact value for % reduction in  microfilaremia for DEC (6mg/kg) and Ivermectin (420 μg/kg). The rest of the data on % reduction of  microfilaremia were extimated by looking at the graph in Figure 2. ")</f>
        <v>The researcher provided the exact value for % reduction in  microfilaremia for DEC (6mg/kg) and Ivermectin (420 μg/kg). The rest of the data on % reduction of  microfilaremia were extimated by looking at the graph in Figure 2. </v>
      </c>
      <c r="V79" s="697">
        <f>IFERROR(__xludf.DUMMYFUNCTION("""COMPUTED_VALUE"""),1993.0)</f>
        <v>1993</v>
      </c>
      <c r="W79" s="697">
        <f>IFERROR(__xludf.DUMMYFUNCTION("""COMPUTED_VALUE"""),1993.0)</f>
        <v>1993</v>
      </c>
      <c r="X79" s="697" t="str">
        <f>IFERROR(__xludf.DUMMYFUNCTION("""COMPUTED_VALUE"""),"Kazura J, Greenberg J, Perry R, Weil G, Day K, Alpers M. Comparison of single-dose diethylcarbamazine and ivermectin for treatment of bancroftian filariasis in Papua New Guinea. The American Society of Tropical Medicine and Hygiene 1993; 49 (6): 804-811")</f>
        <v>Kazura J, Greenberg J, Perry R, Weil G, Day K, Alpers M. Comparison of single-dose diethylcarbamazine and ivermectin for treatment of bancroftian filariasis in Papua New Guinea. The American Society of Tropical Medicine and Hygiene 1993; 49 (6): 804-811</v>
      </c>
      <c r="Y79" s="697" t="str">
        <f>IFERROR(__xludf.DUMMYFUNCTION("""COMPUTED_VALUE"""),"PMID: 8279650")</f>
        <v>PMID: 8279650</v>
      </c>
      <c r="Z79" s="865" t="str">
        <f>IFERROR(__xludf.DUMMYFUNCTION("""COMPUTED_VALUE"""),"https://drive.google.com/file/d/0By3QPyQz621GU0V1Q3pwb09WZ28/view?usp=sharing")</f>
        <v>https://drive.google.com/file/d/0By3QPyQz621GU0V1Q3pwb09WZ28/view?usp=sharing</v>
      </c>
      <c r="AA79" s="697"/>
    </row>
    <row r="80">
      <c r="A80" s="697" t="str">
        <f>IFERROR(__xludf.DUMMYFUNCTION("""COMPUTED_VALUE"""),"Kazura 1993")</f>
        <v>Kazura 1993</v>
      </c>
      <c r="B80" s="697" t="str">
        <f>IFERROR(__xludf.DUMMYFUNCTION("""COMPUTED_VALUE"""),"Kirti")</f>
        <v>Kirti</v>
      </c>
      <c r="C80" s="697" t="str">
        <f>IFERROR(__xludf.DUMMYFUNCTION("""COMPUTED_VALUE"""),"Ross")</f>
        <v>Ross</v>
      </c>
      <c r="D80" s="697" t="str">
        <f>IFERROR(__xludf.DUMMYFUNCTION("""COMPUTED_VALUE"""),"Papua New Guinea")</f>
        <v>Papua New Guinea</v>
      </c>
      <c r="E80" s="697" t="str">
        <f>IFERROR(__xludf.DUMMYFUNCTION("""COMPUTED_VALUE"""),"W. bancrofti")</f>
        <v>W. bancrofti</v>
      </c>
      <c r="F80" s="697" t="str">
        <f>IFERROR(__xludf.DUMMYFUNCTION("""COMPUTED_VALUE"""),"Ivermectin")</f>
        <v>Ivermectin</v>
      </c>
      <c r="G80" s="697" t="str">
        <f>IFERROR(__xludf.DUMMYFUNCTION("""COMPUTED_VALUE"""),".02 mg/kg on day 1 + .400 mg/kg 4 days later")</f>
        <v>.02 mg/kg on day 1 + .400 mg/kg 4 days later</v>
      </c>
      <c r="H80" s="697">
        <f>IFERROR(__xludf.DUMMYFUNCTION("""COMPUTED_VALUE"""),1.0)</f>
        <v>1</v>
      </c>
      <c r="I80" s="706">
        <f>IFERROR(__xludf.DUMMYFUNCTION("""COMPUTED_VALUE"""),0.863)</f>
        <v>0.863</v>
      </c>
      <c r="J80" s="697"/>
      <c r="K80" s="697"/>
      <c r="L80" s="697">
        <f>IFERROR(__xludf.DUMMYFUNCTION("""COMPUTED_VALUE"""),10.0)</f>
        <v>10</v>
      </c>
      <c r="M80" s="697" t="str">
        <f>IFERROR(__xludf.DUMMYFUNCTION("""COMPUTED_VALUE"""),"25-31")</f>
        <v>25-31</v>
      </c>
      <c r="N80" s="862" t="str">
        <f>IFERROR(__xludf.DUMMYFUNCTION("""COMPUTED_VALUE"""),"males")</f>
        <v>males</v>
      </c>
      <c r="O80" s="697" t="str">
        <f>IFERROR(__xludf.DUMMYFUNCTION("""COMPUTED_VALUE"""),"1) Parasitemia exceeding 100mf/ml blood. 2) Lack of symptoms attributable to acute manifestation of lymphatic filariasis, such as fever, lymph node pain, painful swelling of the scrota and extremities. 3) Liver function test results (glutamate oxaloacetat"&amp;"e transaminase, serum glutamate pyruvate transaminase, alkaline phosphatase, bilirubin), renal function test results (blood urea nitrogen, creatinine), and hematocrit ( &gt; 35%) within normal limits.")</f>
        <v>1) Parasitemia exceeding 100mf/ml blood. 2) Lack of symptoms attributable to acute manifestation of lymphatic filariasis, such as fever, lymph node pain, painful swelling of the scrota and extremities. 3) Liver function test results (glutamate oxaloacetate transaminase, serum glutamate pyruvate transaminase, alkaline phosphatase, bilirubin), renal function test results (blood urea nitrogen, creatinine), and hematocrit ( &gt; 35%) within normal limits.</v>
      </c>
      <c r="P80" s="697" t="str">
        <f>IFERROR(__xludf.DUMMYFUNCTION("""COMPUTED_VALUE"""),"double blind RCT")</f>
        <v>double blind RCT</v>
      </c>
      <c r="Q80" s="697" t="str">
        <f>IFERROR(__xludf.DUMMYFUNCTION("""COMPUTED_VALUE"""),"Yes")</f>
        <v>Yes</v>
      </c>
      <c r="R80" s="697" t="str">
        <f>IFERROR(__xludf.DUMMYFUNCTION("""COMPUTED_VALUE"""),"Yes")</f>
        <v>Yes</v>
      </c>
      <c r="S80" s="697" t="str">
        <f>IFERROR(__xludf.DUMMYFUNCTION("""COMPUTED_VALUE"""),"18 months")</f>
        <v>18 months</v>
      </c>
      <c r="T80" s="697" t="str">
        <f>IFERROR(__xludf.DUMMYFUNCTION("""COMPUTED_VALUE"""),"Single doses of DEC are superior to currently recommended doses of Ivermectin for induction of sustained reductions in microfilaremia. ")</f>
        <v>Single doses of DEC are superior to currently recommended doses of Ivermectin for induction of sustained reductions in microfilaremia. </v>
      </c>
      <c r="U80" s="697" t="str">
        <f>IFERROR(__xludf.DUMMYFUNCTION("""COMPUTED_VALUE"""),"The researcher provided the exact value for % reduction in  microfilaremia for DEC (6mg/kg) and Ivermectin (420 μg/kg). The rest of the data on % reduction of  microfilaremia were extimated by looking at the graph in Figure 2. ")</f>
        <v>The researcher provided the exact value for % reduction in  microfilaremia for DEC (6mg/kg) and Ivermectin (420 μg/kg). The rest of the data on % reduction of  microfilaremia were extimated by looking at the graph in Figure 2. </v>
      </c>
      <c r="V80" s="697">
        <f>IFERROR(__xludf.DUMMYFUNCTION("""COMPUTED_VALUE"""),1993.0)</f>
        <v>1993</v>
      </c>
      <c r="W80" s="697">
        <f>IFERROR(__xludf.DUMMYFUNCTION("""COMPUTED_VALUE"""),1993.0)</f>
        <v>1993</v>
      </c>
      <c r="X80" s="697" t="str">
        <f>IFERROR(__xludf.DUMMYFUNCTION("""COMPUTED_VALUE"""),"Kazura J, Greenberg J, Perry R, Weil G, Day K, Alpers M. Comparison of single-dose diethylcarbamazine and ivermectin for treatment of bancroftian filariasis in Papua New Guinea. The American Society of Tropical Medicine and Hygiene 1993; 49 (6): 804-811")</f>
        <v>Kazura J, Greenberg J, Perry R, Weil G, Day K, Alpers M. Comparison of single-dose diethylcarbamazine and ivermectin for treatment of bancroftian filariasis in Papua New Guinea. The American Society of Tropical Medicine and Hygiene 1993; 49 (6): 804-811</v>
      </c>
      <c r="Y80" s="697" t="str">
        <f>IFERROR(__xludf.DUMMYFUNCTION("""COMPUTED_VALUE"""),"PMID: 8279651")</f>
        <v>PMID: 8279651</v>
      </c>
      <c r="Z80" s="865" t="str">
        <f>IFERROR(__xludf.DUMMYFUNCTION("""COMPUTED_VALUE"""),"https://drive.google.com/file/d/0By3QPyQz621GU0V1Q3pwb09WZ28/view?usp=sharing")</f>
        <v>https://drive.google.com/file/d/0By3QPyQz621GU0V1Q3pwb09WZ28/view?usp=sharing</v>
      </c>
      <c r="AA80" s="697"/>
    </row>
    <row r="81">
      <c r="A81" s="697" t="str">
        <f>IFERROR(__xludf.DUMMYFUNCTION("""COMPUTED_VALUE"""),"Kshirsagar NA, 2004")</f>
        <v>Kshirsagar NA, 2004</v>
      </c>
      <c r="B81" s="697" t="str">
        <f>IFERROR(__xludf.DUMMYFUNCTION("""COMPUTED_VALUE"""),"Alex")</f>
        <v>Alex</v>
      </c>
      <c r="C81" s="697" t="str">
        <f>IFERROR(__xludf.DUMMYFUNCTION("""COMPUTED_VALUE"""),"Ross")</f>
        <v>Ross</v>
      </c>
      <c r="D81" s="697" t="str">
        <f>IFERROR(__xludf.DUMMYFUNCTION("""COMPUTED_VALUE"""),"India")</f>
        <v>India</v>
      </c>
      <c r="E81" s="697" t="str">
        <f>IFERROR(__xludf.DUMMYFUNCTION("""COMPUTED_VALUE"""),"W. bancrofti")</f>
        <v>W. bancrofti</v>
      </c>
      <c r="F81" s="697" t="str">
        <f>IFERROR(__xludf.DUMMYFUNCTION("""COMPUTED_VALUE"""),"Albendazole placebo &amp; Ivermectin")</f>
        <v>Albendazole placebo &amp; Ivermectin</v>
      </c>
      <c r="G81" s="697" t="str">
        <f>IFERROR(__xludf.DUMMYFUNCTION("""COMPUTED_VALUE"""),"6 mg/kg")</f>
        <v>6 mg/kg</v>
      </c>
      <c r="H81" s="697">
        <f>IFERROR(__xludf.DUMMYFUNCTION("""COMPUTED_VALUE"""),1.0)</f>
        <v>1</v>
      </c>
      <c r="I81" s="697"/>
      <c r="J81" s="698">
        <f>IFERROR(__xludf.DUMMYFUNCTION("""COMPUTED_VALUE"""),0.666)</f>
        <v>0.666</v>
      </c>
      <c r="K81" s="697" t="str">
        <f>IFERROR(__xludf.DUMMYFUNCTION("""COMPUTED_VALUE"""),"not available ")</f>
        <v>not available </v>
      </c>
      <c r="L81" s="697">
        <f>IFERROR(__xludf.DUMMYFUNCTION("""COMPUTED_VALUE"""),21.0)</f>
        <v>21</v>
      </c>
      <c r="M81" s="10" t="str">
        <f>IFERROR(__xludf.DUMMYFUNCTION("""COMPUTED_VALUE"""),"18-50")</f>
        <v>18-50</v>
      </c>
      <c r="N81" s="862" t="str">
        <f>IFERROR(__xludf.DUMMYFUNCTION("""COMPUTED_VALUE"""),"males")</f>
        <v>males</v>
      </c>
      <c r="O81" s="697" t="str">
        <f>IFERROR(__xludf.DUMMYFUNCTION("""COMPUTED_VALUE"""),"males aged 18 to 50 had blood collected via a finger prick which was used to determine if whether the patient was mf postive or negative. Those who were positive were assigned to either the control, DEC, group or the test group, the DEC +ALB, group.")</f>
        <v>males aged 18 to 50 had blood collected via a finger prick which was used to determine if whether the patient was mf postive or negative. Those who were positive were assigned to either the control, DEC, group or the test group, the DEC +ALB, group.</v>
      </c>
      <c r="P81" s="697" t="str">
        <f>IFERROR(__xludf.DUMMYFUNCTION("""COMPUTED_VALUE"""),"double blind RCT")</f>
        <v>double blind RCT</v>
      </c>
      <c r="Q81" s="697" t="str">
        <f>IFERROR(__xludf.DUMMYFUNCTION("""COMPUTED_VALUE"""),"Yes")</f>
        <v>Yes</v>
      </c>
      <c r="R81" s="697" t="str">
        <f>IFERROR(__xludf.DUMMYFUNCTION("""COMPUTED_VALUE"""),"Yes")</f>
        <v>Yes</v>
      </c>
      <c r="S81" s="697" t="str">
        <f>IFERROR(__xludf.DUMMYFUNCTION("""COMPUTED_VALUE"""),"3,6,12 months")</f>
        <v>3,6,12 months</v>
      </c>
      <c r="T81" s="697"/>
      <c r="U81" s="697" t="str">
        <f>IFERROR(__xludf.DUMMYFUNCTION("""COMPUTED_VALUE"""),"The efficacy data used is of those testing mf+ (study also includes safety data and efficacy data for clinical+ and asymptomatic)")</f>
        <v>The efficacy data used is of those testing mf+ (study also includes safety data and efficacy data for clinical+ and asymptomatic)</v>
      </c>
      <c r="V81" s="697">
        <f>IFERROR(__xludf.DUMMYFUNCTION("""COMPUTED_VALUE"""),2004.0)</f>
        <v>2004</v>
      </c>
      <c r="W81" s="697">
        <f>IFERROR(__xludf.DUMMYFUNCTION("""COMPUTED_VALUE"""),2004.0)</f>
        <v>2004</v>
      </c>
      <c r="X81" s="697" t="str">
        <f>IFERROR(__xludf.DUMMYFUNCTION("""COMPUTED_VALUE"""),"Kshirsagar NA, Gogtay NJ, Garg BS, Deshmukh PR, Rajgor DD, Kadam VS, et al.Safety, tolerability, efficacy and plasma concentrations of diethylcarbamazine and albendazole co-administration in a field study in an area endemic for lymphatic filariasis in Ind"&amp;"ia. Transactions of the Royal Society of Tropical Medicine and Hygiene 2004;98(4): 205–17.")</f>
        <v>Kshirsagar NA, Gogtay NJ, Garg BS, Deshmukh PR, Rajgor DD, Kadam VS, et al.Safety, tolerability, efficacy and plasma concentrations of diethylcarbamazine and albendazole co-administration in a field study in an area endemic for lymphatic filariasis in India. Transactions of the Royal Society of Tropical Medicine and Hygiene 2004;98(4): 205–17.</v>
      </c>
      <c r="Y81" s="697" t="str">
        <f>IFERROR(__xludf.DUMMYFUNCTION("""COMPUTED_VALUE"""),"doi:10.1016/S0035-9203(03)00044-0")</f>
        <v>doi:10.1016/S0035-9203(03)00044-0</v>
      </c>
      <c r="Z81" s="865" t="str">
        <f>IFERROR(__xludf.DUMMYFUNCTION("""COMPUTED_VALUE"""),"https://drive.google.com/file/d/0B4sJPAkX0Jo3ODU3Wk1YOW9nMnc/view?usp=sharing")</f>
        <v>https://drive.google.com/file/d/0B4sJPAkX0Jo3ODU3Wk1YOW9nMnc/view?usp=sharing</v>
      </c>
      <c r="AA81" s="697"/>
    </row>
    <row r="82">
      <c r="A82" s="697" t="str">
        <f>IFERROR(__xludf.DUMMYFUNCTION("""COMPUTED_VALUE"""),"Hoti, 2010")</f>
        <v>Hoti, 2010</v>
      </c>
      <c r="B82" s="697" t="str">
        <f>IFERROR(__xludf.DUMMYFUNCTION("""COMPUTED_VALUE"""),"Alex")</f>
        <v>Alex</v>
      </c>
      <c r="C82" s="697" t="str">
        <f>IFERROR(__xludf.DUMMYFUNCTION("""COMPUTED_VALUE"""),"Ross")</f>
        <v>Ross</v>
      </c>
      <c r="D82" s="697" t="str">
        <f>IFERROR(__xludf.DUMMYFUNCTION("""COMPUTED_VALUE"""),"India")</f>
        <v>India</v>
      </c>
      <c r="E82" s="697" t="str">
        <f>IFERROR(__xludf.DUMMYFUNCTION("""COMPUTED_VALUE"""),"w. bancrofti")</f>
        <v>w. bancrofti</v>
      </c>
      <c r="F82" s="697" t="str">
        <f>IFERROR(__xludf.DUMMYFUNCTION("""COMPUTED_VALUE"""),"Albendazole &amp; DEC")</f>
        <v>Albendazole &amp; DEC</v>
      </c>
      <c r="G82" s="697" t="str">
        <f>IFERROR(__xludf.DUMMYFUNCTION("""COMPUTED_VALUE"""),"400 mg + 6 mg/kg")</f>
        <v>400 mg + 6 mg/kg</v>
      </c>
      <c r="H82" s="697">
        <f>IFERROR(__xludf.DUMMYFUNCTION("""COMPUTED_VALUE"""),1.0)</f>
        <v>1</v>
      </c>
      <c r="I82" s="706">
        <f>IFERROR(__xludf.DUMMYFUNCTION("""COMPUTED_VALUE"""),0.278)</f>
        <v>0.278</v>
      </c>
      <c r="J82" s="697"/>
      <c r="K82" s="697" t="str">
        <f>IFERROR(__xludf.DUMMYFUNCTION("""COMPUTED_VALUE"""),"Not available")</f>
        <v>Not available</v>
      </c>
      <c r="L82" s="702">
        <f>IFERROR(__xludf.DUMMYFUNCTION("""COMPUTED_VALUE"""),18.0)</f>
        <v>18</v>
      </c>
      <c r="M82" s="10" t="str">
        <f>IFERROR(__xludf.DUMMYFUNCTION("""COMPUTED_VALUE"""),"10-57")</f>
        <v>10-57</v>
      </c>
      <c r="N82" s="862" t="str">
        <f>IFERROR(__xludf.DUMMYFUNCTION("""COMPUTED_VALUE"""),"8: 10")</f>
        <v>8: 10</v>
      </c>
      <c r="O82" s="697" t="str">
        <f>IFERROR(__xludf.DUMMYFUNCTION("""COMPUTED_VALUE"""),"symptomatic volunteers were screened for microfilaria (mf) by examining nocturnal thick blood smears. Those testing positive were randomly assigned to receive a single dose of DEC (6 mg/kg body weight) or albendazole 400 mg or both")</f>
        <v>symptomatic volunteers were screened for microfilaria (mf) by examining nocturnal thick blood smears. Those testing positive were randomly assigned to receive a single dose of DEC (6 mg/kg body weight) or albendazole 400 mg or both</v>
      </c>
      <c r="P82" s="697" t="str">
        <f>IFERROR(__xludf.DUMMYFUNCTION("""COMPUTED_VALUE"""),"blinded, randomised treatment groups")</f>
        <v>blinded, randomised treatment groups</v>
      </c>
      <c r="Q82" s="697" t="str">
        <f>IFERROR(__xludf.DUMMYFUNCTION("""COMPUTED_VALUE"""),"Yes")</f>
        <v>Yes</v>
      </c>
      <c r="R82" s="697" t="str">
        <f>IFERROR(__xludf.DUMMYFUNCTION("""COMPUTED_VALUE"""),"Yes")</f>
        <v>Yes</v>
      </c>
      <c r="S82" s="697" t="str">
        <f>IFERROR(__xludf.DUMMYFUNCTION("""COMPUTED_VALUE"""),"1 year, 2 years")</f>
        <v>1 year, 2 years</v>
      </c>
      <c r="T82" s="697"/>
      <c r="U82" s="697"/>
      <c r="V82" s="697">
        <f>IFERROR(__xludf.DUMMYFUNCTION("""COMPUTED_VALUE"""),2010.0)</f>
        <v>2010</v>
      </c>
      <c r="W82" s="697">
        <f>IFERROR(__xludf.DUMMYFUNCTION("""COMPUTED_VALUE"""),2010.0)</f>
        <v>2010</v>
      </c>
      <c r="X82" s="697" t="str">
        <f>IFERROR(__xludf.DUMMYFUNCTION("""COMPUTED_VALUE"""),"Hoti, SL, SP Pani, P. Vanamail, Mary Athisaya, LK Das, and PK Das. ""Effect of a Single Dose of Diethylcarbamazine, Albendazole or Both on the Clearance of Wuchereria Bancrofti Microfilariae and Antigenaemia among Microfilaria Carriers: A Randomized Trial"&amp;"."" The National Medical Journal of India 23, no. 2 (2010): 72-76.")</f>
        <v>Hoti, SL, SP Pani, P. Vanamail, Mary Athisaya, LK Das, and PK Das. "Effect of a Single Dose of Diethylcarbamazine, Albendazole or Both on the Clearance of Wuchereria Bancrofti Microfilariae and Antigenaemia among Microfilaria Carriers: A Randomized Trial." The National Medical Journal of India 23, no. 2 (2010): 72-76.</v>
      </c>
      <c r="Y82" s="697"/>
      <c r="Z82" s="865" t="str">
        <f>IFERROR(__xludf.DUMMYFUNCTION("""COMPUTED_VALUE"""),"https://drive.google.com/file/d/0B-yoIBO7tf7FLXNjbjVaa0NyeVU/view?usp=sharing")</f>
        <v>https://drive.google.com/file/d/0B-yoIBO7tf7FLXNjbjVaa0NyeVU/view?usp=sharing</v>
      </c>
      <c r="AA82" s="697"/>
    </row>
    <row r="83">
      <c r="A83" s="697" t="str">
        <f>IFERROR(__xludf.DUMMYFUNCTION("""COMPUTED_VALUE"""),"Kumar A, 2013")</f>
        <v>Kumar A, 2013</v>
      </c>
      <c r="B83" s="697" t="str">
        <f>IFERROR(__xludf.DUMMYFUNCTION("""COMPUTED_VALUE"""),"Ross")</f>
        <v>Ross</v>
      </c>
      <c r="C83" s="697" t="str">
        <f>IFERROR(__xludf.DUMMYFUNCTION("""COMPUTED_VALUE"""),"Ross")</f>
        <v>Ross</v>
      </c>
      <c r="D83" s="697" t="str">
        <f>IFERROR(__xludf.DUMMYFUNCTION("""COMPUTED_VALUE"""),"India")</f>
        <v>India</v>
      </c>
      <c r="E83" s="697" t="str">
        <f>IFERROR(__xludf.DUMMYFUNCTION("""COMPUTED_VALUE"""),"W. bancrofti")</f>
        <v>W. bancrofti</v>
      </c>
      <c r="F83" s="697" t="str">
        <f>IFERROR(__xludf.DUMMYFUNCTION("""COMPUTED_VALUE"""),"Albendazole &amp; DEC")</f>
        <v>Albendazole &amp; DEC</v>
      </c>
      <c r="G83" s="697" t="str">
        <f>IFERROR(__xludf.DUMMYFUNCTION("""COMPUTED_VALUE"""),"600 mg + 6 mg/ kg")</f>
        <v>600 mg + 6 mg/ kg</v>
      </c>
      <c r="H83" s="697">
        <f>IFERROR(__xludf.DUMMYFUNCTION("""COMPUTED_VALUE"""),1.0)</f>
        <v>1</v>
      </c>
      <c r="I83" s="706">
        <f>IFERROR(__xludf.DUMMYFUNCTION("""COMPUTED_VALUE"""),0.59)</f>
        <v>0.59</v>
      </c>
      <c r="J83" s="697"/>
      <c r="K83" s="697" t="str">
        <f>IFERROR(__xludf.DUMMYFUNCTION("""COMPUTED_VALUE"""),"not available ")</f>
        <v>not available </v>
      </c>
      <c r="L83" s="697">
        <f>IFERROR(__xludf.DUMMYFUNCTION("""COMPUTED_VALUE"""),705.0)</f>
        <v>705</v>
      </c>
      <c r="M83" s="10" t="str">
        <f>IFERROR(__xludf.DUMMYFUNCTION("""COMPUTED_VALUE"""),"5-87")</f>
        <v>5-87</v>
      </c>
      <c r="N83" s="10" t="str">
        <f>IFERROR(__xludf.DUMMYFUNCTION("""COMPUTED_VALUE"""),"327 : 378")</f>
        <v>327 : 378</v>
      </c>
      <c r="O83" s="697" t="str">
        <f>IFERROR(__xludf.DUMMYFUNCTION("""COMPUTED_VALUE"""),"Subjects had to be over the age of 5 and could not be pregnant")</f>
        <v>Subjects had to be over the age of 5 and could not be pregnant</v>
      </c>
      <c r="P83" s="697" t="str">
        <f>IFERROR(__xludf.DUMMYFUNCTION("""COMPUTED_VALUE"""),"double blind RCT")</f>
        <v>double blind RCT</v>
      </c>
      <c r="Q83" s="697" t="str">
        <f>IFERROR(__xludf.DUMMYFUNCTION("""COMPUTED_VALUE"""),"Yes")</f>
        <v>Yes</v>
      </c>
      <c r="R83" s="697" t="str">
        <f>IFERROR(__xludf.DUMMYFUNCTION("""COMPUTED_VALUE"""),"Yes")</f>
        <v>Yes</v>
      </c>
      <c r="S83" s="697" t="str">
        <f>IFERROR(__xludf.DUMMYFUNCTION("""COMPUTED_VALUE"""),"1 year")</f>
        <v>1 year</v>
      </c>
      <c r="T83" s="697" t="str">
        <f>IFERROR(__xludf.DUMMYFUNCTION("""COMPUTED_VALUE"""),"The present field study has shown the combination of DEC + ALB to be as safe as DEC alone at 12 months follow up.")</f>
        <v>The present field study has shown the combination of DEC + ALB to be as safe as DEC alone at 12 months follow up.</v>
      </c>
      <c r="U83" s="697"/>
      <c r="V83" s="697">
        <f>IFERROR(__xludf.DUMMYFUNCTION("""COMPUTED_VALUE"""),2013.0)</f>
        <v>2013</v>
      </c>
      <c r="W83" s="697">
        <f>IFERROR(__xludf.DUMMYFUNCTION("""COMPUTED_VALUE"""),2013.0)</f>
        <v>2013</v>
      </c>
      <c r="X83" s="697" t="str">
        <f>IFERROR(__xludf.DUMMYFUNCTION("""COMPUTED_VALUE"""),"Anil Kumar, and Pawan Sachan. Measuring impact on filarial infection status in a community study: Role of coverage of mass drug administration (MDA). Tropical Biomedicine 31(2): 225–229 (2014). ")</f>
        <v>Anil Kumar, and Pawan Sachan. Measuring impact on filarial infection status in a community study: Role of coverage of mass drug administration (MDA). Tropical Biomedicine 31(2): 225–229 (2014). </v>
      </c>
      <c r="Y83" s="697"/>
      <c r="Z83" s="865" t="str">
        <f>IFERROR(__xludf.DUMMYFUNCTION("""COMPUTED_VALUE"""),"https://drive.google.com/file/d/0B9vYgR7NsKoYck1HOGdmSmgtdTg/view?usp=sharing")</f>
        <v>https://drive.google.com/file/d/0B9vYgR7NsKoYck1HOGdmSmgtdTg/view?usp=sharing</v>
      </c>
      <c r="AA83" s="697" t="str">
        <f>IFERROR(__xludf.DUMMYFUNCTION("""COMPUTED_VALUE"""),"x")</f>
        <v>x</v>
      </c>
    </row>
    <row r="84">
      <c r="A84" s="697" t="str">
        <f>IFERROR(__xludf.DUMMYFUNCTION("""COMPUTED_VALUE"""),"Kumar A, 2014")</f>
        <v>Kumar A, 2014</v>
      </c>
      <c r="B84" s="697" t="str">
        <f>IFERROR(__xludf.DUMMYFUNCTION("""COMPUTED_VALUE"""),"Ross")</f>
        <v>Ross</v>
      </c>
      <c r="C84" s="697" t="str">
        <f>IFERROR(__xludf.DUMMYFUNCTION("""COMPUTED_VALUE"""),"Ross")</f>
        <v>Ross</v>
      </c>
      <c r="D84" s="697" t="str">
        <f>IFERROR(__xludf.DUMMYFUNCTION("""COMPUTED_VALUE"""),"India")</f>
        <v>India</v>
      </c>
      <c r="E84" s="697" t="str">
        <f>IFERROR(__xludf.DUMMYFUNCTION("""COMPUTED_VALUE"""),"W. bancrofti")</f>
        <v>W. bancrofti</v>
      </c>
      <c r="F84" s="697" t="str">
        <f>IFERROR(__xludf.DUMMYFUNCTION("""COMPUTED_VALUE"""),"DEC")</f>
        <v>DEC</v>
      </c>
      <c r="G84" s="697" t="str">
        <f>IFERROR(__xludf.DUMMYFUNCTION("""COMPUTED_VALUE"""),"6 mg/kg")</f>
        <v>6 mg/kg</v>
      </c>
      <c r="H84" s="697">
        <f>IFERROR(__xludf.DUMMYFUNCTION("""COMPUTED_VALUE"""),1.0)</f>
        <v>1</v>
      </c>
      <c r="I84" s="706">
        <f>IFERROR(__xludf.DUMMYFUNCTION("""COMPUTED_VALUE"""),0.67)</f>
        <v>0.67</v>
      </c>
      <c r="J84" s="697"/>
      <c r="K84" s="697" t="str">
        <f>IFERROR(__xludf.DUMMYFUNCTION("""COMPUTED_VALUE"""),"not available ")</f>
        <v>not available </v>
      </c>
      <c r="L84" s="697">
        <f>IFERROR(__xludf.DUMMYFUNCTION("""COMPUTED_VALUE"""),698.0)</f>
        <v>698</v>
      </c>
      <c r="M84" s="10" t="str">
        <f>IFERROR(__xludf.DUMMYFUNCTION("""COMPUTED_VALUE"""),"5-87")</f>
        <v>5-87</v>
      </c>
      <c r="N84" s="10" t="str">
        <f>IFERROR(__xludf.DUMMYFUNCTION("""COMPUTED_VALUE"""),"334 : 364")</f>
        <v>334 : 364</v>
      </c>
      <c r="O84" s="697" t="str">
        <f>IFERROR(__xludf.DUMMYFUNCTION("""COMPUTED_VALUE"""),"Subjects had to be over the age of 5 and could not be pregnant")</f>
        <v>Subjects had to be over the age of 5 and could not be pregnant</v>
      </c>
      <c r="P84" s="697" t="str">
        <f>IFERROR(__xludf.DUMMYFUNCTION("""COMPUTED_VALUE"""),"double blind RCT")</f>
        <v>double blind RCT</v>
      </c>
      <c r="Q84" s="697" t="str">
        <f>IFERROR(__xludf.DUMMYFUNCTION("""COMPUTED_VALUE"""),"Yes")</f>
        <v>Yes</v>
      </c>
      <c r="R84" s="697" t="str">
        <f>IFERROR(__xludf.DUMMYFUNCTION("""COMPUTED_VALUE"""),"Yes")</f>
        <v>Yes</v>
      </c>
      <c r="S84" s="697" t="str">
        <f>IFERROR(__xludf.DUMMYFUNCTION("""COMPUTED_VALUE"""),"1 year")</f>
        <v>1 year</v>
      </c>
      <c r="T84" s="697" t="str">
        <f>IFERROR(__xludf.DUMMYFUNCTION("""COMPUTED_VALUE"""),"The present field study has shown the combination of DEC + ALB to be as safe as DEC alone at 12 months follow up.")</f>
        <v>The present field study has shown the combination of DEC + ALB to be as safe as DEC alone at 12 months follow up.</v>
      </c>
      <c r="U84" s="697"/>
      <c r="V84" s="697">
        <f>IFERROR(__xludf.DUMMYFUNCTION("""COMPUTED_VALUE"""),2013.0)</f>
        <v>2013</v>
      </c>
      <c r="W84" s="697">
        <f>IFERROR(__xludf.DUMMYFUNCTION("""COMPUTED_VALUE"""),2013.0)</f>
        <v>2013</v>
      </c>
      <c r="X84" s="697" t="str">
        <f>IFERROR(__xludf.DUMMYFUNCTION("""COMPUTED_VALUE"""),"Anil Kumar, and Pawan Sachan. Measuring impact on filarial infection status in a community study: Role of coverage of mass drug administration (MDA). Tropical Biomedicine 31(2): 225–229 (2014). ")</f>
        <v>Anil Kumar, and Pawan Sachan. Measuring impact on filarial infection status in a community study: Role of coverage of mass drug administration (MDA). Tropical Biomedicine 31(2): 225–229 (2014). </v>
      </c>
      <c r="Y84" s="697"/>
      <c r="Z84" s="865" t="str">
        <f>IFERROR(__xludf.DUMMYFUNCTION("""COMPUTED_VALUE"""),"https://drive.google.com/file/d/0B9vYgR7NsKoYck1HOGdmSmgtdTg/view?usp=sharing")</f>
        <v>https://drive.google.com/file/d/0B9vYgR7NsKoYck1HOGdmSmgtdTg/view?usp=sharing</v>
      </c>
      <c r="AA84" s="697" t="str">
        <f>IFERROR(__xludf.DUMMYFUNCTION("""COMPUTED_VALUE"""),"x")</f>
        <v>x</v>
      </c>
    </row>
    <row r="85">
      <c r="A85" s="697" t="str">
        <f>IFERROR(__xludf.DUMMYFUNCTION("""COMPUTED_VALUE"""),"Makunde 2003")</f>
        <v>Makunde 2003</v>
      </c>
      <c r="B85" s="697" t="str">
        <f>IFERROR(__xludf.DUMMYFUNCTION("""COMPUTED_VALUE"""),"Chungsoo")</f>
        <v>Chungsoo</v>
      </c>
      <c r="C85" s="697" t="str">
        <f>IFERROR(__xludf.DUMMYFUNCTION("""COMPUTED_VALUE"""),"Kirti ")</f>
        <v>Kirti </v>
      </c>
      <c r="D85" s="697" t="str">
        <f>IFERROR(__xludf.DUMMYFUNCTION("""COMPUTED_VALUE"""),"Tanzania")</f>
        <v>Tanzania</v>
      </c>
      <c r="E85" s="697" t="str">
        <f>IFERROR(__xludf.DUMMYFUNCTION("""COMPUTED_VALUE"""),"W. bancrofti")</f>
        <v>W. bancrofti</v>
      </c>
      <c r="F85" s="697" t="str">
        <f>IFERROR(__xludf.DUMMYFUNCTION("""COMPUTED_VALUE"""),"Albendazole &amp; Ivermectin")</f>
        <v>Albendazole &amp; Ivermectin</v>
      </c>
      <c r="G85" s="697" t="str">
        <f>IFERROR(__xludf.DUMMYFUNCTION("""COMPUTED_VALUE"""),"400 mg+ .150 mg/kg")</f>
        <v>400 mg+ .150 mg/kg</v>
      </c>
      <c r="H85" s="697">
        <f>IFERROR(__xludf.DUMMYFUNCTION("""COMPUTED_VALUE"""),1.0)</f>
        <v>1</v>
      </c>
      <c r="I85" s="706">
        <f>IFERROR(__xludf.DUMMYFUNCTION("""COMPUTED_VALUE"""),0.67)</f>
        <v>0.67</v>
      </c>
      <c r="J85" s="697"/>
      <c r="K85" s="697" t="str">
        <f>IFERROR(__xludf.DUMMYFUNCTION("""COMPUTED_VALUE"""),"not available ")</f>
        <v>not available </v>
      </c>
      <c r="L85" s="697">
        <f>IFERROR(__xludf.DUMMYFUNCTION("""COMPUTED_VALUE"""),8.0)</f>
        <v>8</v>
      </c>
      <c r="M85" s="705" t="str">
        <f>IFERROR(__xludf.DUMMYFUNCTION("""COMPUTED_VALUE"""),"15-55")</f>
        <v>15-55</v>
      </c>
      <c r="N85" s="862" t="str">
        <f>IFERROR(__xludf.DUMMYFUNCTION("""COMPUTED_VALUE"""),"males")</f>
        <v>males</v>
      </c>
      <c r="O85" s="697" t="str">
        <f>IFERROR(__xludf.DUMMYFUNCTION("""COMPUTED_VALUE"""),"Women were excluded from the co-infection group due to the risk of inadvertent pregnancy and the potential effects of unforeseen adverse events on the foetus.")</f>
        <v>Women were excluded from the co-infection group due to the risk of inadvertent pregnancy and the potential effects of unforeseen adverse events on the foetus.</v>
      </c>
      <c r="P85" s="697" t="str">
        <f>IFERROR(__xludf.DUMMYFUNCTION("""COMPUTED_VALUE"""),"crossover, double blind")</f>
        <v>crossover, double blind</v>
      </c>
      <c r="Q85" s="697" t="str">
        <f>IFERROR(__xludf.DUMMYFUNCTION("""COMPUTED_VALUE"""),"Yes")</f>
        <v>Yes</v>
      </c>
      <c r="R85" s="697" t="str">
        <f>IFERROR(__xludf.DUMMYFUNCTION("""COMPUTED_VALUE"""),"Yes")</f>
        <v>Yes</v>
      </c>
      <c r="S85" s="697" t="str">
        <f>IFERROR(__xludf.DUMMYFUNCTION("""COMPUTED_VALUE"""),"1 year")</f>
        <v>1 year</v>
      </c>
      <c r="T85" s="697" t="str">
        <f>IFERROR(__xludf.DUMMYFUNCTION("""COMPUTED_VALUE"""),"ivermectin plus albendazole is a safe and tolerable treatment for co-infection of bancroftian filariasis and onchocerciasis.")</f>
        <v>ivermectin plus albendazole is a safe and tolerable treatment for co-infection of bancroftian filariasis and onchocerciasis.</v>
      </c>
      <c r="U85" s="697" t="str">
        <f>IFERROR(__xludf.DUMMYFUNCTION("""COMPUTED_VALUE"""),"This treatment (Group A) was given to patients with co-infection of bancroftian filariasis and onchocerciasis. In each sub-study individuals were randomly allocated to one of the treatment regimens.")</f>
        <v>This treatment (Group A) was given to patients with co-infection of bancroftian filariasis and onchocerciasis. In each sub-study individuals were randomly allocated to one of the treatment regimens.</v>
      </c>
      <c r="V85" s="697">
        <f>IFERROR(__xludf.DUMMYFUNCTION("""COMPUTED_VALUE"""),2003.0)</f>
        <v>2003</v>
      </c>
      <c r="W85" s="697">
        <f>IFERROR(__xludf.DUMMYFUNCTION("""COMPUTED_VALUE"""),2003.0)</f>
        <v>2003</v>
      </c>
      <c r="X85" s="697" t="str">
        <f>IFERROR(__xludf.DUMMYFUNCTION("""COMPUTED_VALUE"""),"Makunde WH, Kamugisha LM, Massaga JJ, et al. Treatment of co-infection with bancroftian filariasis and onchocerciasis: a safety and efficacy study of albendazole with ivermectin compared to treatment of single infection with bancroftian filariasis. Filari"&amp;"a Journal. 2003;2:15.")</f>
        <v>Makunde WH, Kamugisha LM, Massaga JJ, et al. Treatment of co-infection with bancroftian filariasis and onchocerciasis: a safety and efficacy study of albendazole with ivermectin compared to treatment of single infection with bancroftian filariasis. Filaria Journal. 2003;2:15.</v>
      </c>
      <c r="Y85" s="697" t="str">
        <f>IFERROR(__xludf.DUMMYFUNCTION("""COMPUTED_VALUE"""),"10.1186/1475-2883-2-15")</f>
        <v>10.1186/1475-2883-2-15</v>
      </c>
      <c r="Z85" s="865" t="str">
        <f>IFERROR(__xludf.DUMMYFUNCTION("""COMPUTED_VALUE"""),"https://drive.google.com/file/d/0B0-pry4DSOm3Y1BuZ0FSakRSQ1E/view?usp=sharing")</f>
        <v>https://drive.google.com/file/d/0B0-pry4DSOm3Y1BuZ0FSakRSQ1E/view?usp=sharing</v>
      </c>
      <c r="AA85" s="697" t="str">
        <f>IFERROR(__xludf.DUMMYFUNCTION("""COMPUTED_VALUE"""),"x")</f>
        <v>x</v>
      </c>
    </row>
    <row r="86">
      <c r="A86" s="697" t="str">
        <f>IFERROR(__xludf.DUMMYFUNCTION("""COMPUTED_VALUE"""),"Makunde 2003")</f>
        <v>Makunde 2003</v>
      </c>
      <c r="B86" s="697" t="str">
        <f>IFERROR(__xludf.DUMMYFUNCTION("""COMPUTED_VALUE"""),"Chungsoo")</f>
        <v>Chungsoo</v>
      </c>
      <c r="C86" s="697" t="str">
        <f>IFERROR(__xludf.DUMMYFUNCTION("""COMPUTED_VALUE"""),"Kirti")</f>
        <v>Kirti</v>
      </c>
      <c r="D86" s="697" t="str">
        <f>IFERROR(__xludf.DUMMYFUNCTION("""COMPUTED_VALUE"""),"Tanzania")</f>
        <v>Tanzania</v>
      </c>
      <c r="E86" s="697" t="str">
        <f>IFERROR(__xludf.DUMMYFUNCTION("""COMPUTED_VALUE"""),"W. bancrofti")</f>
        <v>W. bancrofti</v>
      </c>
      <c r="F86" s="697" t="str">
        <f>IFERROR(__xludf.DUMMYFUNCTION("""COMPUTED_VALUE"""),"Placebo (sachharine tablets)")</f>
        <v>Placebo (sachharine tablets)</v>
      </c>
      <c r="G86" s="697">
        <f>IFERROR(__xludf.DUMMYFUNCTION("""COMPUTED_VALUE"""),6.0)</f>
        <v>6</v>
      </c>
      <c r="H86" s="697">
        <f>IFERROR(__xludf.DUMMYFUNCTION("""COMPUTED_VALUE"""),1.0)</f>
        <v>1</v>
      </c>
      <c r="I86" s="697"/>
      <c r="J86" s="697"/>
      <c r="K86" s="697" t="str">
        <f>IFERROR(__xludf.DUMMYFUNCTION("""COMPUTED_VALUE"""),"not available ")</f>
        <v>not available </v>
      </c>
      <c r="L86" s="697">
        <f>IFERROR(__xludf.DUMMYFUNCTION("""COMPUTED_VALUE"""),7.0)</f>
        <v>7</v>
      </c>
      <c r="M86" s="705" t="str">
        <f>IFERROR(__xludf.DUMMYFUNCTION("""COMPUTED_VALUE"""),"15-55")</f>
        <v>15-55</v>
      </c>
      <c r="N86" s="862" t="str">
        <f>IFERROR(__xludf.DUMMYFUNCTION("""COMPUTED_VALUE"""),"males")</f>
        <v>males</v>
      </c>
      <c r="O86" s="697" t="str">
        <f>IFERROR(__xludf.DUMMYFUNCTION("""COMPUTED_VALUE"""),"Women were excluded from the co-infection group due to the risk of inadvertent pregnancy and the potential effects of unforeseen adverse events on the foetus.")</f>
        <v>Women were excluded from the co-infection group due to the risk of inadvertent pregnancy and the potential effects of unforeseen adverse events on the foetus.</v>
      </c>
      <c r="P86" s="697" t="str">
        <f>IFERROR(__xludf.DUMMYFUNCTION("""COMPUTED_VALUE"""),"crossover, double blind")</f>
        <v>crossover, double blind</v>
      </c>
      <c r="Q86" s="697" t="str">
        <f>IFERROR(__xludf.DUMMYFUNCTION("""COMPUTED_VALUE"""),"Yes")</f>
        <v>Yes</v>
      </c>
      <c r="R86" s="697" t="str">
        <f>IFERROR(__xludf.DUMMYFUNCTION("""COMPUTED_VALUE"""),"Yes")</f>
        <v>Yes</v>
      </c>
      <c r="S86" s="697" t="str">
        <f>IFERROR(__xludf.DUMMYFUNCTION("""COMPUTED_VALUE"""),"1 year")</f>
        <v>1 year</v>
      </c>
      <c r="T86" s="697" t="str">
        <f>IFERROR(__xludf.DUMMYFUNCTION("""COMPUTED_VALUE"""),"ivermectin plus albendazole is a safe and tolerable treatment for co-infection of bancroftian filariasis and onchocerciasis.")</f>
        <v>ivermectin plus albendazole is a safe and tolerable treatment for co-infection of bancroftian filariasis and onchocerciasis.</v>
      </c>
      <c r="U86" s="697" t="str">
        <f>IFERROR(__xludf.DUMMYFUNCTION("""COMPUTED_VALUE"""),"This treatment (Group B) was given to patients with co-infection of bancroftian filariasis and onchocerciasis. Five days later the treatment regime was reversed, with the Group A receiving placebo and Group B receiving treatment. In each sub-study individ"&amp;"uals were randomly allocated to one of the treatment regimens.")</f>
        <v>This treatment (Group B) was given to patients with co-infection of bancroftian filariasis and onchocerciasis. Five days later the treatment regime was reversed, with the Group A receiving placebo and Group B receiving treatment. In each sub-study individuals were randomly allocated to one of the treatment regimens.</v>
      </c>
      <c r="V86" s="697">
        <f>IFERROR(__xludf.DUMMYFUNCTION("""COMPUTED_VALUE"""),2003.0)</f>
        <v>2003</v>
      </c>
      <c r="W86" s="697">
        <f>IFERROR(__xludf.DUMMYFUNCTION("""COMPUTED_VALUE"""),2003.0)</f>
        <v>2003</v>
      </c>
      <c r="X86" s="697" t="str">
        <f>IFERROR(__xludf.DUMMYFUNCTION("""COMPUTED_VALUE"""),"Makunde WH, Kamugisha LM, Massaga JJ, et al. Treatment of co-infection with bancroftian filariasis and onchocerciasis: a safety and efficacy study of albendazole with ivermectin compared to treatment of single infection with bancroftian filariasis. Filari"&amp;"a Journal. 2003;2:15.")</f>
        <v>Makunde WH, Kamugisha LM, Massaga JJ, et al. Treatment of co-infection with bancroftian filariasis and onchocerciasis: a safety and efficacy study of albendazole with ivermectin compared to treatment of single infection with bancroftian filariasis. Filaria Journal. 2003;2:15.</v>
      </c>
      <c r="Y86" s="697" t="str">
        <f>IFERROR(__xludf.DUMMYFUNCTION("""COMPUTED_VALUE"""),"10.1186/1475-2883-2-15")</f>
        <v>10.1186/1475-2883-2-15</v>
      </c>
      <c r="Z86" s="865" t="str">
        <f>IFERROR(__xludf.DUMMYFUNCTION("""COMPUTED_VALUE"""),"https://drive.google.com/file/d/0B0-pry4DSOm3Y1BuZ0FSakRSQ1E/view?usp=sharing")</f>
        <v>https://drive.google.com/file/d/0B0-pry4DSOm3Y1BuZ0FSakRSQ1E/view?usp=sharing</v>
      </c>
      <c r="AA86" s="697" t="str">
        <f>IFERROR(__xludf.DUMMYFUNCTION("""COMPUTED_VALUE"""),"x")</f>
        <v>x</v>
      </c>
    </row>
    <row r="87">
      <c r="A87" s="697" t="str">
        <f>IFERROR(__xludf.DUMMYFUNCTION("""COMPUTED_VALUE"""),"Makunde 2003")</f>
        <v>Makunde 2003</v>
      </c>
      <c r="B87" s="697" t="str">
        <f>IFERROR(__xludf.DUMMYFUNCTION("""COMPUTED_VALUE"""),"Chungsoo")</f>
        <v>Chungsoo</v>
      </c>
      <c r="C87" s="697" t="str">
        <f>IFERROR(__xludf.DUMMYFUNCTION("""COMPUTED_VALUE"""),"Kirti")</f>
        <v>Kirti</v>
      </c>
      <c r="D87" s="697" t="str">
        <f>IFERROR(__xludf.DUMMYFUNCTION("""COMPUTED_VALUE"""),"Tanzania")</f>
        <v>Tanzania</v>
      </c>
      <c r="E87" s="697" t="str">
        <f>IFERROR(__xludf.DUMMYFUNCTION("""COMPUTED_VALUE"""),"W. bancrofti")</f>
        <v>W. bancrofti</v>
      </c>
      <c r="F87" s="697" t="str">
        <f>IFERROR(__xludf.DUMMYFUNCTION("""COMPUTED_VALUE"""),"Albendazole &amp; Ivermectin")</f>
        <v>Albendazole &amp; Ivermectin</v>
      </c>
      <c r="G87" s="697" t="str">
        <f>IFERROR(__xludf.DUMMYFUNCTION("""COMPUTED_VALUE"""),"400 mg+.150 mg/kg")</f>
        <v>400 mg+.150 mg/kg</v>
      </c>
      <c r="H87" s="697">
        <f>IFERROR(__xludf.DUMMYFUNCTION("""COMPUTED_VALUE"""),1.0)</f>
        <v>1</v>
      </c>
      <c r="I87" s="706">
        <f>IFERROR(__xludf.DUMMYFUNCTION("""COMPUTED_VALUE"""),0.8)</f>
        <v>0.8</v>
      </c>
      <c r="J87" s="697"/>
      <c r="K87" s="697" t="str">
        <f>IFERROR(__xludf.DUMMYFUNCTION("""COMPUTED_VALUE"""),"not available ")</f>
        <v>not available </v>
      </c>
      <c r="L87" s="697">
        <f>IFERROR(__xludf.DUMMYFUNCTION("""COMPUTED_VALUE"""),12.0)</f>
        <v>12</v>
      </c>
      <c r="M87" s="705" t="str">
        <f>IFERROR(__xludf.DUMMYFUNCTION("""COMPUTED_VALUE"""),"15-55")</f>
        <v>15-55</v>
      </c>
      <c r="N87" s="866">
        <f>IFERROR(__xludf.DUMMYFUNCTION("""COMPUTED_VALUE"""),0.5909722222222222)</f>
        <v>0.5909722222</v>
      </c>
      <c r="O87" s="697" t="str">
        <f>IFERROR(__xludf.DUMMYFUNCTION("""COMPUTED_VALUE"""),"Women were excluded from the co-infection group due to the risk of inadvertent pregnancy and the potential effects of unforeseen adverse events on the foetus.")</f>
        <v>Women were excluded from the co-infection group due to the risk of inadvertent pregnancy and the potential effects of unforeseen adverse events on the foetus.</v>
      </c>
      <c r="P87" s="697" t="str">
        <f>IFERROR(__xludf.DUMMYFUNCTION("""COMPUTED_VALUE"""),"open comparison")</f>
        <v>open comparison</v>
      </c>
      <c r="Q87" s="697" t="str">
        <f>IFERROR(__xludf.DUMMYFUNCTION("""COMPUTED_VALUE"""),"No")</f>
        <v>No</v>
      </c>
      <c r="R87" s="697" t="str">
        <f>IFERROR(__xludf.DUMMYFUNCTION("""COMPUTED_VALUE"""),"Yes")</f>
        <v>Yes</v>
      </c>
      <c r="S87" s="697" t="str">
        <f>IFERROR(__xludf.DUMMYFUNCTION("""COMPUTED_VALUE"""),"1 year")</f>
        <v>1 year</v>
      </c>
      <c r="T87" s="697" t="str">
        <f>IFERROR(__xludf.DUMMYFUNCTION("""COMPUTED_VALUE"""),"ivermectin plus albendazole is a safe and tolerable treatment for co-infection of bancroftian filariasis and onchocerciasis.")</f>
        <v>ivermectin plus albendazole is a safe and tolerable treatment for co-infection of bancroftian filariasis and onchocerciasis.</v>
      </c>
      <c r="U87" s="697" t="str">
        <f>IFERROR(__xludf.DUMMYFUNCTION("""COMPUTED_VALUE"""),"This treatment (Group C) was given to patients with single bancrofitan filariasis infection. In each sub-study individuals were randomly allocated to one of the treatment regimens.")</f>
        <v>This treatment (Group C) was given to patients with single bancrofitan filariasis infection. In each sub-study individuals were randomly allocated to one of the treatment regimens.</v>
      </c>
      <c r="V87" s="697">
        <f>IFERROR(__xludf.DUMMYFUNCTION("""COMPUTED_VALUE"""),2003.0)</f>
        <v>2003</v>
      </c>
      <c r="W87" s="697">
        <f>IFERROR(__xludf.DUMMYFUNCTION("""COMPUTED_VALUE"""),2003.0)</f>
        <v>2003</v>
      </c>
      <c r="X87" s="697" t="str">
        <f>IFERROR(__xludf.DUMMYFUNCTION("""COMPUTED_VALUE"""),"Makunde WH, Kamugisha LM, Massaga JJ, et al. Treatment of co-infection with bancroftian filariasis and onchocerciasis: a safety and efficacy study of albendazole with ivermectin compared to treatment of single infection with bancroftian filariasis. Filari"&amp;"a Journal. 2003;2:15.")</f>
        <v>Makunde WH, Kamugisha LM, Massaga JJ, et al. Treatment of co-infection with bancroftian filariasis and onchocerciasis: a safety and efficacy study of albendazole with ivermectin compared to treatment of single infection with bancroftian filariasis. Filaria Journal. 2003;2:15.</v>
      </c>
      <c r="Y87" s="697" t="str">
        <f>IFERROR(__xludf.DUMMYFUNCTION("""COMPUTED_VALUE"""),"10.1186/1475-2883-2-15")</f>
        <v>10.1186/1475-2883-2-15</v>
      </c>
      <c r="Z87" s="865" t="str">
        <f>IFERROR(__xludf.DUMMYFUNCTION("""COMPUTED_VALUE"""),"https://drive.google.com/file/d/0B0-pry4DSOm3Y1BuZ0FSakRSQ1E/view?usp=sharing")</f>
        <v>https://drive.google.com/file/d/0B0-pry4DSOm3Y1BuZ0FSakRSQ1E/view?usp=sharing</v>
      </c>
      <c r="AA87" s="697" t="str">
        <f>IFERROR(__xludf.DUMMYFUNCTION("""COMPUTED_VALUE"""),"x")</f>
        <v>x</v>
      </c>
    </row>
    <row r="88">
      <c r="A88" s="697" t="str">
        <f>IFERROR(__xludf.DUMMYFUNCTION("""COMPUTED_VALUE"""),"Moulia-Pelat 1993")</f>
        <v>Moulia-Pelat 1993</v>
      </c>
      <c r="B88" s="697" t="str">
        <f>IFERROR(__xludf.DUMMYFUNCTION("""COMPUTED_VALUE"""),"Chungsoo")</f>
        <v>Chungsoo</v>
      </c>
      <c r="C88" s="697" t="str">
        <f>IFERROR(__xludf.DUMMYFUNCTION("""COMPUTED_VALUE"""),"Ross")</f>
        <v>Ross</v>
      </c>
      <c r="D88" s="697" t="str">
        <f>IFERROR(__xludf.DUMMYFUNCTION("""COMPUTED_VALUE"""),"French Polynesia")</f>
        <v>French Polynesia</v>
      </c>
      <c r="E88" s="697" t="str">
        <f>IFERROR(__xludf.DUMMYFUNCTION("""COMPUTED_VALUE"""),"W. bancrofti")</f>
        <v>W. bancrofti</v>
      </c>
      <c r="F88" s="697" t="str">
        <f>IFERROR(__xludf.DUMMYFUNCTION("""COMPUTED_VALUE"""),"Ivermectin")</f>
        <v>Ivermectin</v>
      </c>
      <c r="G88" s="697" t="str">
        <f>IFERROR(__xludf.DUMMYFUNCTION("""COMPUTED_VALUE"""),".400 mg/kg")</f>
        <v>.400 mg/kg</v>
      </c>
      <c r="H88" s="697">
        <f>IFERROR(__xludf.DUMMYFUNCTION("""COMPUTED_VALUE"""),1.0)</f>
        <v>1</v>
      </c>
      <c r="I88" s="706">
        <f>IFERROR(__xludf.DUMMYFUNCTION("""COMPUTED_VALUE"""),0.865)</f>
        <v>0.865</v>
      </c>
      <c r="J88" s="697"/>
      <c r="K88" s="697" t="str">
        <f>IFERROR(__xludf.DUMMYFUNCTION("""COMPUTED_VALUE"""),"not available ")</f>
        <v>not available </v>
      </c>
      <c r="L88" s="697">
        <f>IFERROR(__xludf.DUMMYFUNCTION("""COMPUTED_VALUE"""),37.0)</f>
        <v>37</v>
      </c>
      <c r="M88" s="705" t="str">
        <f>IFERROR(__xludf.DUMMYFUNCTION("""COMPUTED_VALUE"""),"n/a")</f>
        <v>n/a</v>
      </c>
      <c r="N88" s="697" t="str">
        <f>IFERROR(__xludf.DUMMYFUNCTION("""COMPUTED_VALUE"""),"17 : 20")</f>
        <v>17 : 20</v>
      </c>
      <c r="O88" s="697" t="str">
        <f>IFERROR(__xludf.DUMMYFUNCTION("""COMPUTED_VALUE"""),"not available")</f>
        <v>not available</v>
      </c>
      <c r="P88" s="697" t="str">
        <f>IFERROR(__xludf.DUMMYFUNCTION("""COMPUTED_VALUE"""),"safety trial")</f>
        <v>safety trial</v>
      </c>
      <c r="Q88" s="697" t="str">
        <f>IFERROR(__xludf.DUMMYFUNCTION("""COMPUTED_VALUE"""),"No")</f>
        <v>No</v>
      </c>
      <c r="R88" s="697" t="str">
        <f>IFERROR(__xludf.DUMMYFUNCTION("""COMPUTED_VALUE"""),"No")</f>
        <v>No</v>
      </c>
      <c r="S88" s="697" t="str">
        <f>IFERROR(__xludf.DUMMYFUNCTION("""COMPUTED_VALUE"""),"12 months")</f>
        <v>12 months</v>
      </c>
      <c r="T88" s="697" t="str">
        <f>IFERROR(__xludf.DUMMYFUNCTION("""COMPUTED_VALUE"""),"As compared to results from other studies with diethylcarbamazine and IVER at different dosages and periodicities, the dosage of IVER 400 seems the most effective; but a yearly intake might not be sufficient.")</f>
        <v>As compared to results from other studies with diethylcarbamazine and IVER at different dosages and periodicities, the dosage of IVER 400 seems the most effective; but a yearly intake might not be sufficient.</v>
      </c>
      <c r="U88" s="697"/>
      <c r="V88" s="697">
        <f>IFERROR(__xludf.DUMMYFUNCTION("""COMPUTED_VALUE"""),1993.0)</f>
        <v>1993</v>
      </c>
      <c r="W88" s="697">
        <f>IFERROR(__xludf.DUMMYFUNCTION("""COMPUTED_VALUE"""),1993.0)</f>
        <v>1993</v>
      </c>
      <c r="X88" s="697" t="str">
        <f>IFERROR(__xludf.DUMMYFUNCTION("""COMPUTED_VALUE"""),"Moulia-Pelat JP1, Glaziou P, Nguyen LN, Chanteau S, Martin PM, Cartel JL. Long-term efficacy of single-dose treatment with 400 micrograms.kg-1 of ivermectin in bancroftian filariasis: results at one year. Trop Med Parasitol. 1993;44(4):333-4.")</f>
        <v>Moulia-Pelat JP1, Glaziou P, Nguyen LN, Chanteau S, Martin PM, Cartel JL. Long-term efficacy of single-dose treatment with 400 micrograms.kg-1 of ivermectin in bancroftian filariasis: results at one year. Trop Med Parasitol. 1993;44(4):333-4.</v>
      </c>
      <c r="Y88" s="697" t="str">
        <f>IFERROR(__xludf.DUMMYFUNCTION("""COMPUTED_VALUE"""),"PMID: 8134778")</f>
        <v>PMID: 8134778</v>
      </c>
      <c r="Z88" s="865" t="str">
        <f>IFERROR(__xludf.DUMMYFUNCTION("""COMPUTED_VALUE"""),"https://drive.google.com/file/d/0B0-pry4DSOm3eXhwdEpWLUlBRk0/view?usp=sharing")</f>
        <v>https://drive.google.com/file/d/0B0-pry4DSOm3eXhwdEpWLUlBRk0/view?usp=sharing</v>
      </c>
      <c r="AA88" s="697" t="str">
        <f>IFERROR(__xludf.DUMMYFUNCTION("""COMPUTED_VALUE"""),"x")</f>
        <v>x</v>
      </c>
    </row>
    <row r="89">
      <c r="A89" s="697" t="str">
        <f>IFERROR(__xludf.DUMMYFUNCTION("""COMPUTED_VALUE"""),"Noroes 1997")</f>
        <v>Noroes 1997</v>
      </c>
      <c r="B89" s="697" t="str">
        <f>IFERROR(__xludf.DUMMYFUNCTION("""COMPUTED_VALUE"""),"Kirti ")</f>
        <v>Kirti </v>
      </c>
      <c r="C89" s="697" t="str">
        <f>IFERROR(__xludf.DUMMYFUNCTION("""COMPUTED_VALUE"""),"Luisa")</f>
        <v>Luisa</v>
      </c>
      <c r="D89" s="697" t="str">
        <f>IFERROR(__xludf.DUMMYFUNCTION("""COMPUTED_VALUE"""),"Brazil")</f>
        <v>Brazil</v>
      </c>
      <c r="E89" s="697" t="str">
        <f>IFERROR(__xludf.DUMMYFUNCTION("""COMPUTED_VALUE"""),"W. bancrofti")</f>
        <v>W. bancrofti</v>
      </c>
      <c r="F89" s="697" t="str">
        <f>IFERROR(__xludf.DUMMYFUNCTION("""COMPUTED_VALUE"""),"DEC")</f>
        <v>DEC</v>
      </c>
      <c r="G89" s="697" t="str">
        <f>IFERROR(__xludf.DUMMYFUNCTION("""COMPUTED_VALUE"""),"1 mg/kg + 6mg/kg +6 mg/kg + 12mg/kg + 12mg/kg")</f>
        <v>1 mg/kg + 6mg/kg +6 mg/kg + 12mg/kg + 12mg/kg</v>
      </c>
      <c r="H89" s="697" t="str">
        <f>IFERROR(__xludf.DUMMYFUNCTION("""COMPUTED_VALUE"""),"1+1+12+12+30")</f>
        <v>1+1+12+12+30</v>
      </c>
      <c r="I89" s="697"/>
      <c r="J89" s="698">
        <f>IFERROR(__xludf.DUMMYFUNCTION("""COMPUTED_VALUE"""),0.143)</f>
        <v>0.143</v>
      </c>
      <c r="K89" s="697" t="str">
        <f>IFERROR(__xludf.DUMMYFUNCTION("""COMPUTED_VALUE"""),"not available ")</f>
        <v>not available </v>
      </c>
      <c r="L89" s="697">
        <f>IFERROR(__xludf.DUMMYFUNCTION("""COMPUTED_VALUE"""),7.0)</f>
        <v>7</v>
      </c>
      <c r="M89" s="10" t="str">
        <f>IFERROR(__xludf.DUMMYFUNCTION("""COMPUTED_VALUE"""),"21-38")</f>
        <v>21-38</v>
      </c>
      <c r="N89" s="866">
        <f>IFERROR(__xludf.DUMMYFUNCTION("""COMPUTED_VALUE"""),6.944444444444445E-4)</f>
        <v>0.0006944444444</v>
      </c>
      <c r="O89" s="697"/>
      <c r="P89" s="697" t="str">
        <f>IFERROR(__xludf.DUMMYFUNCTION("""COMPUTED_VALUE"""),"randomized clinical trail")</f>
        <v>randomized clinical trail</v>
      </c>
      <c r="Q89" s="697" t="str">
        <f>IFERROR(__xludf.DUMMYFUNCTION("""COMPUTED_VALUE"""),"No")</f>
        <v>No</v>
      </c>
      <c r="R89" s="697" t="str">
        <f>IFERROR(__xludf.DUMMYFUNCTION("""COMPUTED_VALUE"""),"Yes")</f>
        <v>Yes</v>
      </c>
      <c r="S89" s="697" t="str">
        <f>IFERROR(__xludf.DUMMYFUNCTION("""COMPUTED_VALUE"""),"3 months")</f>
        <v>3 months</v>
      </c>
      <c r="T89" s="697" t="str">
        <f>IFERROR(__xludf.DUMMYFUNCTION("""COMPUTED_VALUE"""),"Increasing the dose of DEC beyond 6mg/kg has no significant effect on the microfilaricidal. ")</f>
        <v>Increasing the dose of DEC beyond 6mg/kg has no significant effect on the microfilaricidal. </v>
      </c>
      <c r="U89" s="697"/>
      <c r="V89" s="697">
        <f>IFERROR(__xludf.DUMMYFUNCTION("""COMPUTED_VALUE"""),1997.0)</f>
        <v>1997</v>
      </c>
      <c r="W89" s="697">
        <f>IFERROR(__xludf.DUMMYFUNCTION("""COMPUTED_VALUE"""),1997.0)</f>
        <v>1997</v>
      </c>
      <c r="X89" s="697" t="str">
        <f>IFERROR(__xludf.DUMMYFUNCTION("""COMPUTED_VALUE"""),"Noroes J, Dreyer G, Santos A, Mendes VG, Medeiros Z, and Addiss D. Assessment of the efficacy of diethylcarbamazine on adult Wuchereria bancrofti in vivo. Transactions of the Royal Society of Tropical Medicine and Hygiene 1997; 91 (1): 78-81. ")</f>
        <v>Noroes J, Dreyer G, Santos A, Mendes VG, Medeiros Z, and Addiss D. Assessment of the efficacy of diethylcarbamazine on adult Wuchereria bancrofti in vivo. Transactions of the Royal Society of Tropical Medicine and Hygiene 1997; 91 (1): 78-81. </v>
      </c>
      <c r="Y89" s="697" t="str">
        <f>IFERROR(__xludf.DUMMYFUNCTION("""COMPUTED_VALUE"""),"PMID: 9093637")</f>
        <v>PMID: 9093637</v>
      </c>
      <c r="Z89" s="865" t="str">
        <f>IFERROR(__xludf.DUMMYFUNCTION("""COMPUTED_VALUE"""),"https://drive.google.com/file/d/0B0-pry4DSOm3aTVCaFYzXzNfQWc/view?usp=sharing")</f>
        <v>https://drive.google.com/file/d/0B0-pry4DSOm3aTVCaFYzXzNfQWc/view?usp=sharing</v>
      </c>
      <c r="AA89" s="697"/>
    </row>
    <row r="90">
      <c r="A90" s="697" t="str">
        <f>IFERROR(__xludf.DUMMYFUNCTION("""COMPUTED_VALUE"""),"Noroes 1997")</f>
        <v>Noroes 1997</v>
      </c>
      <c r="B90" s="697" t="str">
        <f>IFERROR(__xludf.DUMMYFUNCTION("""COMPUTED_VALUE"""),"Kirti ")</f>
        <v>Kirti </v>
      </c>
      <c r="C90" s="697" t="str">
        <f>IFERROR(__xludf.DUMMYFUNCTION("""COMPUTED_VALUE"""),"Luisa")</f>
        <v>Luisa</v>
      </c>
      <c r="D90" s="697" t="str">
        <f>IFERROR(__xludf.DUMMYFUNCTION("""COMPUTED_VALUE"""),"Brazil")</f>
        <v>Brazil</v>
      </c>
      <c r="E90" s="697" t="str">
        <f>IFERROR(__xludf.DUMMYFUNCTION("""COMPUTED_VALUE"""),"W. bancrofti")</f>
        <v>W. bancrofti</v>
      </c>
      <c r="F90" s="697" t="str">
        <f>IFERROR(__xludf.DUMMYFUNCTION("""COMPUTED_VALUE"""),"DEC")</f>
        <v>DEC</v>
      </c>
      <c r="G90" s="697" t="str">
        <f>IFERROR(__xludf.DUMMYFUNCTION("""COMPUTED_VALUE"""),"6 mg/kg +6mg/kg+ 12mg/kg + 12mg/kg")</f>
        <v>6 mg/kg +6mg/kg+ 12mg/kg + 12mg/kg</v>
      </c>
      <c r="H90" s="697" t="str">
        <f>IFERROR(__xludf.DUMMYFUNCTION("""COMPUTED_VALUE"""),"1+12 + 12 + 30")</f>
        <v>1+12 + 12 + 30</v>
      </c>
      <c r="I90" s="697"/>
      <c r="J90" s="698">
        <f>IFERROR(__xludf.DUMMYFUNCTION("""COMPUTED_VALUE"""),0.513)</f>
        <v>0.513</v>
      </c>
      <c r="K90" s="697" t="str">
        <f>IFERROR(__xludf.DUMMYFUNCTION("""COMPUTED_VALUE"""),"not available ")</f>
        <v>not available </v>
      </c>
      <c r="L90" s="697">
        <f>IFERROR(__xludf.DUMMYFUNCTION("""COMPUTED_VALUE"""),10.0)</f>
        <v>10</v>
      </c>
      <c r="M90" s="10" t="str">
        <f>IFERROR(__xludf.DUMMYFUNCTION("""COMPUTED_VALUE"""),"20-52")</f>
        <v>20-52</v>
      </c>
      <c r="N90" s="866">
        <f>IFERROR(__xludf.DUMMYFUNCTION("""COMPUTED_VALUE"""),6.944444444444445E-4)</f>
        <v>0.0006944444444</v>
      </c>
      <c r="O90" s="697"/>
      <c r="P90" s="697" t="str">
        <f>IFERROR(__xludf.DUMMYFUNCTION("""COMPUTED_VALUE"""),"randomized clinical trail")</f>
        <v>randomized clinical trail</v>
      </c>
      <c r="Q90" s="697" t="str">
        <f>IFERROR(__xludf.DUMMYFUNCTION("""COMPUTED_VALUE"""),"No")</f>
        <v>No</v>
      </c>
      <c r="R90" s="697" t="str">
        <f>IFERROR(__xludf.DUMMYFUNCTION("""COMPUTED_VALUE"""),"Yes")</f>
        <v>Yes</v>
      </c>
      <c r="S90" s="697" t="str">
        <f>IFERROR(__xludf.DUMMYFUNCTION("""COMPUTED_VALUE"""),"3 months")</f>
        <v>3 months</v>
      </c>
      <c r="T90" s="697" t="str">
        <f>IFERROR(__xludf.DUMMYFUNCTION("""COMPUTED_VALUE"""),"Increasing the dose of DEC beyond 6mg/kg has no significant effect on the microfilaricidal. ")</f>
        <v>Increasing the dose of DEC beyond 6mg/kg has no significant effect on the microfilaricidal. </v>
      </c>
      <c r="U90" s="697"/>
      <c r="V90" s="697">
        <f>IFERROR(__xludf.DUMMYFUNCTION("""COMPUTED_VALUE"""),1997.0)</f>
        <v>1997</v>
      </c>
      <c r="W90" s="697">
        <f>IFERROR(__xludf.DUMMYFUNCTION("""COMPUTED_VALUE"""),1997.0)</f>
        <v>1997</v>
      </c>
      <c r="X90" s="697" t="str">
        <f>IFERROR(__xludf.DUMMYFUNCTION("""COMPUTED_VALUE"""),"Noroes J, Dreyer G, Santos A, Mendes VG, Medeiros Z, and Addiss D. Assessment of the efficacy of diethylcarbamazine on adult Wuchereria bancrofti in vivo. Transactions of the Royal Society of Tropical Medicine and Hygiene 1997; 91 (1): 78-81. ")</f>
        <v>Noroes J, Dreyer G, Santos A, Mendes VG, Medeiros Z, and Addiss D. Assessment of the efficacy of diethylcarbamazine on adult Wuchereria bancrofti in vivo. Transactions of the Royal Society of Tropical Medicine and Hygiene 1997; 91 (1): 78-81. </v>
      </c>
      <c r="Y90" s="697" t="str">
        <f>IFERROR(__xludf.DUMMYFUNCTION("""COMPUTED_VALUE"""),"PMID: 9093637")</f>
        <v>PMID: 9093637</v>
      </c>
      <c r="Z90" s="865" t="str">
        <f>IFERROR(__xludf.DUMMYFUNCTION("""COMPUTED_VALUE"""),"https://drive.google.com/file/d/0B0-pry4DSOm3aTVCaFYzXzNfQWc/view?usp=sharing")</f>
        <v>https://drive.google.com/file/d/0B0-pry4DSOm3aTVCaFYzXzNfQWc/view?usp=sharing</v>
      </c>
      <c r="AA90" s="697"/>
    </row>
    <row r="91">
      <c r="A91" s="697" t="str">
        <f>IFERROR(__xludf.DUMMYFUNCTION("""COMPUTED_VALUE"""),"Noroes 1997")</f>
        <v>Noroes 1997</v>
      </c>
      <c r="B91" s="697" t="str">
        <f>IFERROR(__xludf.DUMMYFUNCTION("""COMPUTED_VALUE"""),"Kirti ")</f>
        <v>Kirti </v>
      </c>
      <c r="C91" s="697" t="str">
        <f>IFERROR(__xludf.DUMMYFUNCTION("""COMPUTED_VALUE"""),"Luisa")</f>
        <v>Luisa</v>
      </c>
      <c r="D91" s="697" t="str">
        <f>IFERROR(__xludf.DUMMYFUNCTION("""COMPUTED_VALUE"""),"Brazil")</f>
        <v>Brazil</v>
      </c>
      <c r="E91" s="697" t="str">
        <f>IFERROR(__xludf.DUMMYFUNCTION("""COMPUTED_VALUE"""),"W. bancrofti")</f>
        <v>W. bancrofti</v>
      </c>
      <c r="F91" s="697" t="str">
        <f>IFERROR(__xludf.DUMMYFUNCTION("""COMPUTED_VALUE"""),"DEC")</f>
        <v>DEC</v>
      </c>
      <c r="G91" s="697" t="str">
        <f>IFERROR(__xludf.DUMMYFUNCTION("""COMPUTED_VALUE"""),"12 mg/kg + 12mg/kg +12mg/kg")</f>
        <v>12 mg/kg + 12mg/kg +12mg/kg</v>
      </c>
      <c r="H91" s="697" t="str">
        <f>IFERROR(__xludf.DUMMYFUNCTION("""COMPUTED_VALUE"""),"1+ 12+ 30")</f>
        <v>1+ 12+ 30</v>
      </c>
      <c r="I91" s="697"/>
      <c r="J91" s="698">
        <f>IFERROR(__xludf.DUMMYFUNCTION("""COMPUTED_VALUE"""),0.513)</f>
        <v>0.513</v>
      </c>
      <c r="K91" s="697" t="str">
        <f>IFERROR(__xludf.DUMMYFUNCTION("""COMPUTED_VALUE"""),"not available ")</f>
        <v>not available </v>
      </c>
      <c r="L91" s="697">
        <f>IFERROR(__xludf.DUMMYFUNCTION("""COMPUTED_VALUE"""),14.0)</f>
        <v>14</v>
      </c>
      <c r="M91" s="10" t="str">
        <f>IFERROR(__xludf.DUMMYFUNCTION("""COMPUTED_VALUE"""),"19-37")</f>
        <v>19-37</v>
      </c>
      <c r="N91" s="866">
        <f>IFERROR(__xludf.DUMMYFUNCTION("""COMPUTED_VALUE"""),6.944444444444445E-4)</f>
        <v>0.0006944444444</v>
      </c>
      <c r="O91" s="697"/>
      <c r="P91" s="697" t="str">
        <f>IFERROR(__xludf.DUMMYFUNCTION("""COMPUTED_VALUE"""),"randomized clinical trail")</f>
        <v>randomized clinical trail</v>
      </c>
      <c r="Q91" s="697" t="str">
        <f>IFERROR(__xludf.DUMMYFUNCTION("""COMPUTED_VALUE"""),"No")</f>
        <v>No</v>
      </c>
      <c r="R91" s="697" t="str">
        <f>IFERROR(__xludf.DUMMYFUNCTION("""COMPUTED_VALUE"""),"Yes")</f>
        <v>Yes</v>
      </c>
      <c r="S91" s="697" t="str">
        <f>IFERROR(__xludf.DUMMYFUNCTION("""COMPUTED_VALUE"""),"3 months")</f>
        <v>3 months</v>
      </c>
      <c r="T91" s="697" t="str">
        <f>IFERROR(__xludf.DUMMYFUNCTION("""COMPUTED_VALUE"""),"Increasing the dose of DEC beyond 6mg/kg has no significant effect on the microfilaricidal. ")</f>
        <v>Increasing the dose of DEC beyond 6mg/kg has no significant effect on the microfilaricidal. </v>
      </c>
      <c r="U91" s="697"/>
      <c r="V91" s="697">
        <f>IFERROR(__xludf.DUMMYFUNCTION("""COMPUTED_VALUE"""),1997.0)</f>
        <v>1997</v>
      </c>
      <c r="W91" s="697">
        <f>IFERROR(__xludf.DUMMYFUNCTION("""COMPUTED_VALUE"""),1997.0)</f>
        <v>1997</v>
      </c>
      <c r="X91" s="697" t="str">
        <f>IFERROR(__xludf.DUMMYFUNCTION("""COMPUTED_VALUE"""),"Noroes J, Dreyer G, Santos A, Mendes VG, Medeiros Z, and Addiss D. Assessment of the efficacy of diethylcarbamazine on adult Wuchereria bancrofti in vivo. Transactions of the Royal Society of Tropical Medicine and Hygiene 1997; 91 (1): 78-81. ")</f>
        <v>Noroes J, Dreyer G, Santos A, Mendes VG, Medeiros Z, and Addiss D. Assessment of the efficacy of diethylcarbamazine on adult Wuchereria bancrofti in vivo. Transactions of the Royal Society of Tropical Medicine and Hygiene 1997; 91 (1): 78-81. </v>
      </c>
      <c r="Y91" s="697" t="str">
        <f>IFERROR(__xludf.DUMMYFUNCTION("""COMPUTED_VALUE"""),"PMID: 9093637")</f>
        <v>PMID: 9093637</v>
      </c>
      <c r="Z91" s="865" t="str">
        <f>IFERROR(__xludf.DUMMYFUNCTION("""COMPUTED_VALUE"""),"https://drive.google.com/file/d/0B0-pry4DSOm3aTVCaFYzXzNfQWc/view?usp=sharing")</f>
        <v>https://drive.google.com/file/d/0B0-pry4DSOm3aTVCaFYzXzNfQWc/view?usp=sharing</v>
      </c>
      <c r="AA91" s="697"/>
    </row>
    <row r="92">
      <c r="A92" s="697" t="str">
        <f>IFERROR(__xludf.DUMMYFUNCTION("""COMPUTED_VALUE"""),"Ottesen, 1990")</f>
        <v>Ottesen, 1990</v>
      </c>
      <c r="B92" s="697" t="str">
        <f>IFERROR(__xludf.DUMMYFUNCTION("""COMPUTED_VALUE"""),"Ross")</f>
        <v>Ross</v>
      </c>
      <c r="C92" s="697" t="str">
        <f>IFERROR(__xludf.DUMMYFUNCTION("""COMPUTED_VALUE"""),"Ross")</f>
        <v>Ross</v>
      </c>
      <c r="D92" s="697" t="str">
        <f>IFERROR(__xludf.DUMMYFUNCTION("""COMPUTED_VALUE"""),"India")</f>
        <v>India</v>
      </c>
      <c r="E92" s="697" t="str">
        <f>IFERROR(__xludf.DUMMYFUNCTION("""COMPUTED_VALUE"""),"W. bancrofti")</f>
        <v>W. bancrofti</v>
      </c>
      <c r="F92" s="697" t="str">
        <f>IFERROR(__xludf.DUMMYFUNCTION("""COMPUTED_VALUE"""),"Ivermectin")</f>
        <v>Ivermectin</v>
      </c>
      <c r="G92" s="697" t="str">
        <f>IFERROR(__xludf.DUMMYFUNCTION("""COMPUTED_VALUE"""),".0213mg/kg ")</f>
        <v>.0213mg/kg </v>
      </c>
      <c r="H92" s="697">
        <f>IFERROR(__xludf.DUMMYFUNCTION("""COMPUTED_VALUE"""),1.0)</f>
        <v>1</v>
      </c>
      <c r="I92" s="698">
        <f>IFERROR(__xludf.DUMMYFUNCTION("""COMPUTED_VALUE"""),0.805)</f>
        <v>0.805</v>
      </c>
      <c r="J92" s="697"/>
      <c r="K92" s="697"/>
      <c r="L92" s="697">
        <f>IFERROR(__xludf.DUMMYFUNCTION("""COMPUTED_VALUE"""),40.0)</f>
        <v>40</v>
      </c>
      <c r="M92" s="697" t="str">
        <f>IFERROR(__xludf.DUMMYFUNCTION("""COMPUTED_VALUE"""),"19-45")</f>
        <v>19-45</v>
      </c>
      <c r="N92" s="862" t="str">
        <f>IFERROR(__xludf.DUMMYFUNCTION("""COMPUTED_VALUE"""),"males")</f>
        <v>males</v>
      </c>
      <c r="O92" s="697" t="str">
        <f>IFERROR(__xludf.DUMMYFUNCTION("""COMPUTED_VALUE"""),"aged 19-45 years, 25-6000 microfilaria /mL, asymptomatic, no prior antifilarial medications, or free from any acute or chronic illnesses")</f>
        <v>aged 19-45 years, 25-6000 microfilaria /mL, asymptomatic, no prior antifilarial medications, or free from any acute or chronic illnesses</v>
      </c>
      <c r="P92" s="697" t="str">
        <f>IFERROR(__xludf.DUMMYFUNCTION("""COMPUTED_VALUE"""),"double-blinded random")</f>
        <v>double-blinded random</v>
      </c>
      <c r="Q92" s="697" t="str">
        <f>IFERROR(__xludf.DUMMYFUNCTION("""COMPUTED_VALUE"""),"Yes")</f>
        <v>Yes</v>
      </c>
      <c r="R92" s="697" t="str">
        <f>IFERROR(__xludf.DUMMYFUNCTION("""COMPUTED_VALUE"""),"No")</f>
        <v>No</v>
      </c>
      <c r="S92" s="697" t="str">
        <f>IFERROR(__xludf.DUMMYFUNCTION("""COMPUTED_VALUE"""),"6 months")</f>
        <v>6 months</v>
      </c>
      <c r="T92" s="697" t="str">
        <f>IFERROR(__xludf.DUMMYFUNCTION("""COMPUTED_VALUE"""),"The clinical response to a single dose of ivermectin compares favorably with that after the standard 12-day course of DEC. Given the practical advantages fo single-dose adminstration and less side effects, ivermectin should become a useful medication for "&amp;"the control of bancroftian filariasis")</f>
        <v>The clinical response to a single dose of ivermectin compares favorably with that after the standard 12-day course of DEC. Given the practical advantages fo single-dose adminstration and less side effects, ivermectin should become a useful medication for the control of bancroftian filariasis</v>
      </c>
      <c r="U92" s="697" t="str">
        <f>IFERROR(__xludf.DUMMYFUNCTION("""COMPUTED_VALUE"""),"Ivermectin cleared the microfilariae from the blood more rapidly than did DEC. It was as effective as DEC for up to 3 months after treatment, but by 6 months it did not sustain this decrease as well as diethylcarbamazine. Furthermore, the 1-mg dose proved"&amp;" to be as effective as the 6-mg dose. ")</f>
        <v>Ivermectin cleared the microfilariae from the blood more rapidly than did DEC. It was as effective as DEC for up to 3 months after treatment, but by 6 months it did not sustain this decrease as well as diethylcarbamazine. Furthermore, the 1-mg dose proved to be as effective as the 6-mg dose. </v>
      </c>
      <c r="V92" s="697">
        <f>IFERROR(__xludf.DUMMYFUNCTION("""COMPUTED_VALUE"""),1990.0)</f>
        <v>1990</v>
      </c>
      <c r="W92" s="697">
        <f>IFERROR(__xludf.DUMMYFUNCTION("""COMPUTED_VALUE"""),1990.0)</f>
        <v>1990</v>
      </c>
      <c r="X92" s="697" t="str">
        <f>IFERROR(__xludf.DUMMYFUNCTION("""COMPUTED_VALUE"""),"Ottesen, E. A., M.D., Vijayasekaran, V., M.D., &amp; Kumaraswami, V., M.D., et. al (1990, April 19). A Controlled Trial of Ivermectin and Diethylcarbamazine in Lymphatic Filariasis — NEJM. Retrieved March 20, 2016, from http://www.nejm.org/doi/full/10.1056/NE"&amp;"JM199004193221604#t=articleTop")</f>
        <v>Ottesen, E. A., M.D., Vijayasekaran, V., M.D., &amp; Kumaraswami, V., M.D., et. al (1990, April 19). A Controlled Trial of Ivermectin and Diethylcarbamazine in Lymphatic Filariasis — NEJM. Retrieved March 20, 2016, from http://www.nejm.org/doi/full/10.1056/NEJM199004193221604#t=articleTop</v>
      </c>
      <c r="Y92" s="697"/>
      <c r="Z92" s="865" t="str">
        <f>IFERROR(__xludf.DUMMYFUNCTION("""COMPUTED_VALUE"""),"https://drive.google.com/open?id=0B-yoIBO7tf7FbE1XMXZCcmtDTmM")</f>
        <v>https://drive.google.com/open?id=0B-yoIBO7tf7FbE1XMXZCcmtDTmM</v>
      </c>
      <c r="AA92" s="697"/>
    </row>
    <row r="93">
      <c r="A93" s="697" t="str">
        <f>IFERROR(__xludf.DUMMYFUNCTION("""COMPUTED_VALUE"""),"Ottesen, 1990")</f>
        <v>Ottesen, 1990</v>
      </c>
      <c r="B93" s="697" t="str">
        <f>IFERROR(__xludf.DUMMYFUNCTION("""COMPUTED_VALUE"""),"Ross")</f>
        <v>Ross</v>
      </c>
      <c r="C93" s="697" t="str">
        <f>IFERROR(__xludf.DUMMYFUNCTION("""COMPUTED_VALUE"""),"Ross")</f>
        <v>Ross</v>
      </c>
      <c r="D93" s="697" t="str">
        <f>IFERROR(__xludf.DUMMYFUNCTION("""COMPUTED_VALUE"""),"India")</f>
        <v>India</v>
      </c>
      <c r="E93" s="697" t="str">
        <f>IFERROR(__xludf.DUMMYFUNCTION("""COMPUTED_VALUE"""),"W. bancrofti")</f>
        <v>W. bancrofti</v>
      </c>
      <c r="F93" s="697" t="str">
        <f>IFERROR(__xludf.DUMMYFUNCTION("""COMPUTED_VALUE"""),"Ivermectin")</f>
        <v>Ivermectin</v>
      </c>
      <c r="G93" s="697" t="str">
        <f>IFERROR(__xludf.DUMMYFUNCTION("""COMPUTED_VALUE"""),".1262 mg/kg ")</f>
        <v>.1262 mg/kg </v>
      </c>
      <c r="H93" s="697">
        <f>IFERROR(__xludf.DUMMYFUNCTION("""COMPUTED_VALUE"""),1.0)</f>
        <v>1</v>
      </c>
      <c r="I93" s="698">
        <f>IFERROR(__xludf.DUMMYFUNCTION("""COMPUTED_VALUE"""),0.817)</f>
        <v>0.817</v>
      </c>
      <c r="J93" s="697"/>
      <c r="K93" s="697"/>
      <c r="L93" s="697">
        <f>IFERROR(__xludf.DUMMYFUNCTION("""COMPUTED_VALUE"""),40.0)</f>
        <v>40</v>
      </c>
      <c r="M93" s="697" t="str">
        <f>IFERROR(__xludf.DUMMYFUNCTION("""COMPUTED_VALUE"""),"19-45")</f>
        <v>19-45</v>
      </c>
      <c r="N93" s="862" t="str">
        <f>IFERROR(__xludf.DUMMYFUNCTION("""COMPUTED_VALUE"""),"males")</f>
        <v>males</v>
      </c>
      <c r="O93" s="697" t="str">
        <f>IFERROR(__xludf.DUMMYFUNCTION("""COMPUTED_VALUE"""),"aged 19-45 years, 25-6000 microfilaria /mL, asymptomatic, no prior antifilarial medications, or free from any acute or chronic illnesses")</f>
        <v>aged 19-45 years, 25-6000 microfilaria /mL, asymptomatic, no prior antifilarial medications, or free from any acute or chronic illnesses</v>
      </c>
      <c r="P93" s="697" t="str">
        <f>IFERROR(__xludf.DUMMYFUNCTION("""COMPUTED_VALUE"""),"double-blinded random")</f>
        <v>double-blinded random</v>
      </c>
      <c r="Q93" s="697" t="str">
        <f>IFERROR(__xludf.DUMMYFUNCTION("""COMPUTED_VALUE"""),"Yes")</f>
        <v>Yes</v>
      </c>
      <c r="R93" s="697" t="str">
        <f>IFERROR(__xludf.DUMMYFUNCTION("""COMPUTED_VALUE"""),"No")</f>
        <v>No</v>
      </c>
      <c r="S93" s="697" t="str">
        <f>IFERROR(__xludf.DUMMYFUNCTION("""COMPUTED_VALUE"""),"6 months")</f>
        <v>6 months</v>
      </c>
      <c r="T93" s="697" t="str">
        <f>IFERROR(__xludf.DUMMYFUNCTION("""COMPUTED_VALUE"""),"The clinical response to a single dose of ivermectin compares favorably with that after the standard 12-day course of DEC. Given the practical advantages fo single-dose adminstration and less side effects, ivermectin should become a useful medication for "&amp;"the control of bancroftian filariasis")</f>
        <v>The clinical response to a single dose of ivermectin compares favorably with that after the standard 12-day course of DEC. Given the practical advantages fo single-dose adminstration and less side effects, ivermectin should become a useful medication for the control of bancroftian filariasis</v>
      </c>
      <c r="U93" s="697" t="str">
        <f>IFERROR(__xludf.DUMMYFUNCTION("""COMPUTED_VALUE"""),"Ivermectin cleared the microfilariae from the blood more rapidly than did DEC. It was as effective as DEC for up to 3 months after treatment, but by 6 months it did not sustain this decrease as well as diethylcarbamazine. Furthermore, the 1-mg dose proved"&amp;" to be as effective as the 6-mg dose. ")</f>
        <v>Ivermectin cleared the microfilariae from the blood more rapidly than did DEC. It was as effective as DEC for up to 3 months after treatment, but by 6 months it did not sustain this decrease as well as diethylcarbamazine. Furthermore, the 1-mg dose proved to be as effective as the 6-mg dose. </v>
      </c>
      <c r="V93" s="697">
        <f>IFERROR(__xludf.DUMMYFUNCTION("""COMPUTED_VALUE"""),1990.0)</f>
        <v>1990</v>
      </c>
      <c r="W93" s="697">
        <f>IFERROR(__xludf.DUMMYFUNCTION("""COMPUTED_VALUE"""),1990.0)</f>
        <v>1990</v>
      </c>
      <c r="X93" s="697" t="str">
        <f>IFERROR(__xludf.DUMMYFUNCTION("""COMPUTED_VALUE"""),"Ottesen, E. A., M.D., Vijayasekaran, V., M.D., &amp; Kumaraswami, V., M.D., et. al (1990, April 19). A Controlled Trial of Ivermectin and Diethylcarbamazine in Lymphatic Filariasis — NEJM. Retrieved March 20, 2016, from http://www.nejm.org/doi/full/10.1056/NE"&amp;"JM199004193221604#t=articleTop")</f>
        <v>Ottesen, E. A., M.D., Vijayasekaran, V., M.D., &amp; Kumaraswami, V., M.D., et. al (1990, April 19). A Controlled Trial of Ivermectin and Diethylcarbamazine in Lymphatic Filariasis — NEJM. Retrieved March 20, 2016, from http://www.nejm.org/doi/full/10.1056/NEJM199004193221604#t=articleTop</v>
      </c>
      <c r="Y93" s="697"/>
      <c r="Z93" s="865" t="str">
        <f>IFERROR(__xludf.DUMMYFUNCTION("""COMPUTED_VALUE"""),"https://drive.google.com/open?id=0B-yoIBO7tf7FbE1XMXZCcmtDTmM")</f>
        <v>https://drive.google.com/open?id=0B-yoIBO7tf7FbE1XMXZCcmtDTmM</v>
      </c>
      <c r="AA93" s="697"/>
    </row>
    <row r="94">
      <c r="A94" s="697" t="str">
        <f>IFERROR(__xludf.DUMMYFUNCTION("""COMPUTED_VALUE"""),"Ottesen, 1990")</f>
        <v>Ottesen, 1990</v>
      </c>
      <c r="B94" s="697" t="str">
        <f>IFERROR(__xludf.DUMMYFUNCTION("""COMPUTED_VALUE"""),"Ross")</f>
        <v>Ross</v>
      </c>
      <c r="C94" s="697" t="str">
        <f>IFERROR(__xludf.DUMMYFUNCTION("""COMPUTED_VALUE"""),"Ross")</f>
        <v>Ross</v>
      </c>
      <c r="D94" s="697" t="str">
        <f>IFERROR(__xludf.DUMMYFUNCTION("""COMPUTED_VALUE"""),"India")</f>
        <v>India</v>
      </c>
      <c r="E94" s="697" t="str">
        <f>IFERROR(__xludf.DUMMYFUNCTION("""COMPUTED_VALUE"""),"W. bancrofti")</f>
        <v>W. bancrofti</v>
      </c>
      <c r="F94" s="697" t="str">
        <f>IFERROR(__xludf.DUMMYFUNCTION("""COMPUTED_VALUE"""),"DEC")</f>
        <v>DEC</v>
      </c>
      <c r="G94" s="697" t="str">
        <f>IFERROR(__xludf.DUMMYFUNCTION("""COMPUTED_VALUE"""),"3mg/kg + 6mg/kg ")</f>
        <v>3mg/kg + 6mg/kg </v>
      </c>
      <c r="H94" s="697" t="str">
        <f>IFERROR(__xludf.DUMMYFUNCTION("""COMPUTED_VALUE"""),"1+12")</f>
        <v>1+12</v>
      </c>
      <c r="I94" s="700">
        <f>IFERROR(__xludf.DUMMYFUNCTION("""COMPUTED_VALUE"""),0.94)</f>
        <v>0.94</v>
      </c>
      <c r="J94" s="697"/>
      <c r="K94" s="697"/>
      <c r="L94" s="697">
        <f>IFERROR(__xludf.DUMMYFUNCTION("""COMPUTED_VALUE"""),40.0)</f>
        <v>40</v>
      </c>
      <c r="M94" s="697" t="str">
        <f>IFERROR(__xludf.DUMMYFUNCTION("""COMPUTED_VALUE"""),"19-45")</f>
        <v>19-45</v>
      </c>
      <c r="N94" s="862" t="str">
        <f>IFERROR(__xludf.DUMMYFUNCTION("""COMPUTED_VALUE"""),"males")</f>
        <v>males</v>
      </c>
      <c r="O94" s="697" t="str">
        <f>IFERROR(__xludf.DUMMYFUNCTION("""COMPUTED_VALUE"""),"aged 19-45 years, 25-6000 microfilaria /mL, asymptomatic, no prior antifilarial medications, or free from any acute or chronic illnesses")</f>
        <v>aged 19-45 years, 25-6000 microfilaria /mL, asymptomatic, no prior antifilarial medications, or free from any acute or chronic illnesses</v>
      </c>
      <c r="P94" s="697" t="str">
        <f>IFERROR(__xludf.DUMMYFUNCTION("""COMPUTED_VALUE"""),"double-blinded random")</f>
        <v>double-blinded random</v>
      </c>
      <c r="Q94" s="697" t="str">
        <f>IFERROR(__xludf.DUMMYFUNCTION("""COMPUTED_VALUE"""),"Yes")</f>
        <v>Yes</v>
      </c>
      <c r="R94" s="697" t="str">
        <f>IFERROR(__xludf.DUMMYFUNCTION("""COMPUTED_VALUE"""),"No")</f>
        <v>No</v>
      </c>
      <c r="S94" s="697" t="str">
        <f>IFERROR(__xludf.DUMMYFUNCTION("""COMPUTED_VALUE"""),"6 months")</f>
        <v>6 months</v>
      </c>
      <c r="T94" s="697" t="str">
        <f>IFERROR(__xludf.DUMMYFUNCTION("""COMPUTED_VALUE"""),"The clinical response to a single dose of ivermectin compares favorably with that after the standard 12-day course of DEC. Given the practical advantages fo single-dose adminstration and less side effects, ivermectin should become a useful medication for "&amp;"the control of bancroftian filariasis")</f>
        <v>The clinical response to a single dose of ivermectin compares favorably with that after the standard 12-day course of DEC. Given the practical advantages fo single-dose adminstration and less side effects, ivermectin should become a useful medication for the control of bancroftian filariasis</v>
      </c>
      <c r="U94" s="697" t="str">
        <f>IFERROR(__xludf.DUMMYFUNCTION("""COMPUTED_VALUE"""),"Ivermectin cleared the microfilariae from the blood more rapidly than did DEC. It was as effective as DEC for up to 3 months after treatment, but by 6 months it did not sustain this decrease as well as diethylcarbamazine. Furthermore, the 1-mg dose proved"&amp;" to be as effective as the 6-mg dose. ")</f>
        <v>Ivermectin cleared the microfilariae from the blood more rapidly than did DEC. It was as effective as DEC for up to 3 months after treatment, but by 6 months it did not sustain this decrease as well as diethylcarbamazine. Furthermore, the 1-mg dose proved to be as effective as the 6-mg dose. </v>
      </c>
      <c r="V94" s="697">
        <f>IFERROR(__xludf.DUMMYFUNCTION("""COMPUTED_VALUE"""),1990.0)</f>
        <v>1990</v>
      </c>
      <c r="W94" s="697">
        <f>IFERROR(__xludf.DUMMYFUNCTION("""COMPUTED_VALUE"""),1990.0)</f>
        <v>1990</v>
      </c>
      <c r="X94" s="697" t="str">
        <f>IFERROR(__xludf.DUMMYFUNCTION("""COMPUTED_VALUE"""),"Ottesen, E. A., M.D., Vijayasekaran, V., M.D., &amp; Kumaraswami, V., M.D., et. al (1990, April 19). A Controlled Trial of Ivermectin and Diethylcarbamazine in Lymphatic Filariasis — NEJM. Retrieved March 20, 2016, from http://www.nejm.org/doi/full/10.1056/NE"&amp;"JM199004193221604#t=articleTop")</f>
        <v>Ottesen, E. A., M.D., Vijayasekaran, V., M.D., &amp; Kumaraswami, V., M.D., et. al (1990, April 19). A Controlled Trial of Ivermectin and Diethylcarbamazine in Lymphatic Filariasis — NEJM. Retrieved March 20, 2016, from http://www.nejm.org/doi/full/10.1056/NEJM199004193221604#t=articleTop</v>
      </c>
      <c r="Y94" s="697"/>
      <c r="Z94" s="865" t="str">
        <f>IFERROR(__xludf.DUMMYFUNCTION("""COMPUTED_VALUE"""),"https://drive.google.com/open?id=0B-yoIBO7tf7FbE1XMXZCcmtDTmM")</f>
        <v>https://drive.google.com/open?id=0B-yoIBO7tf7FbE1XMXZCcmtDTmM</v>
      </c>
      <c r="AA94" s="697"/>
    </row>
    <row r="95">
      <c r="A95" s="697" t="str">
        <f>IFERROR(__xludf.DUMMYFUNCTION("""COMPUTED_VALUE"""),"Pani, 2002")</f>
        <v>Pani, 2002</v>
      </c>
      <c r="B95" s="697"/>
      <c r="C95" s="697" t="str">
        <f>IFERROR(__xludf.DUMMYFUNCTION("""COMPUTED_VALUE"""),"Alex")</f>
        <v>Alex</v>
      </c>
      <c r="D95" s="697" t="str">
        <f>IFERROR(__xludf.DUMMYFUNCTION("""COMPUTED_VALUE"""),"India")</f>
        <v>India</v>
      </c>
      <c r="E95" s="697" t="str">
        <f>IFERROR(__xludf.DUMMYFUNCTION("""COMPUTED_VALUE"""),"W. bancrofti")</f>
        <v>W. bancrofti</v>
      </c>
      <c r="F95" s="697" t="str">
        <f>IFERROR(__xludf.DUMMYFUNCTION("""COMPUTED_VALUE"""),"Albendazole")</f>
        <v>Albendazole</v>
      </c>
      <c r="G95" s="697" t="str">
        <f>IFERROR(__xludf.DUMMYFUNCTION("""COMPUTED_VALUE"""),"400mg")</f>
        <v>400mg</v>
      </c>
      <c r="H95" s="697">
        <f>IFERROR(__xludf.DUMMYFUNCTION("""COMPUTED_VALUE"""),1.0)</f>
        <v>1</v>
      </c>
      <c r="I95" s="698">
        <f>IFERROR(__xludf.DUMMYFUNCTION("""COMPUTED_VALUE"""),0.947)</f>
        <v>0.947</v>
      </c>
      <c r="J95" s="698">
        <f>IFERROR(__xludf.DUMMYFUNCTION("""COMPUTED_VALUE"""),0.263)</f>
        <v>0.263</v>
      </c>
      <c r="K95" s="697" t="str">
        <f>IFERROR(__xludf.DUMMYFUNCTION("""COMPUTED_VALUE"""),"Not available ")</f>
        <v>Not available </v>
      </c>
      <c r="L95" s="697">
        <f>IFERROR(__xludf.DUMMYFUNCTION("""COMPUTED_VALUE"""),19.0)</f>
        <v>19</v>
      </c>
      <c r="M95" s="10" t="str">
        <f>IFERROR(__xludf.DUMMYFUNCTION("""COMPUTED_VALUE"""),"10-57")</f>
        <v>10-57</v>
      </c>
      <c r="N95" s="697" t="str">
        <f>IFERROR(__xludf.DUMMYFUNCTION("""COMPUTED_VALUE"""),"9: 10")</f>
        <v>9: 10</v>
      </c>
      <c r="O95" s="697" t="str">
        <f>IFERROR(__xludf.DUMMYFUNCTION("""COMPUTED_VALUE"""),"Healthy individuals with normal body weight with normal ECG, chest x-ray, lab results presenting with W. bancrofti microfilaraemia ")</f>
        <v>Healthy individuals with normal body weight with normal ECG, chest x-ray, lab results presenting with W. bancrofti microfilaraemia </v>
      </c>
      <c r="P95" s="697" t="str">
        <f>IFERROR(__xludf.DUMMYFUNCTION("""COMPUTED_VALUE"""),"double- blind, RCT")</f>
        <v>double- blind, RCT</v>
      </c>
      <c r="Q95" s="697" t="str">
        <f>IFERROR(__xludf.DUMMYFUNCTION("""COMPUTED_VALUE"""),"Yes")</f>
        <v>Yes</v>
      </c>
      <c r="R95" s="697" t="str">
        <f>IFERROR(__xludf.DUMMYFUNCTION("""COMPUTED_VALUE"""),"Yes")</f>
        <v>Yes</v>
      </c>
      <c r="S95" s="697" t="str">
        <f>IFERROR(__xludf.DUMMYFUNCTION("""COMPUTED_VALUE"""),"360 days")</f>
        <v>360 days</v>
      </c>
      <c r="T95" s="697"/>
      <c r="U95" s="697"/>
      <c r="V95" s="697">
        <f>IFERROR(__xludf.DUMMYFUNCTION("""COMPUTED_VALUE"""),2002.0)</f>
        <v>2002</v>
      </c>
      <c r="W95" s="697">
        <f>IFERROR(__xludf.DUMMYFUNCTION("""COMPUTED_VALUE"""),2002.0)</f>
        <v>2002</v>
      </c>
      <c r="X95" s="697" t="str">
        <f>IFERROR(__xludf.DUMMYFUNCTION("""COMPUTED_VALUE"""),"Pani SP, Subramanyam Reddy G, Das LK, et al. Tolerability and efficacy of single dose albendazole, diethylcarbamazine citrate (DEC) or co-administration of albendazole with DEC in the clearance of Wuchereria bancrofti in asymptomatic microfilaraemic volun"&amp;"teers in Pondicherry, South India: a hospital-based study. Filaria Journal. 2002;1")</f>
        <v>Pani SP, Subramanyam Reddy G, Das LK, et al. Tolerability and efficacy of single dose albendazole, diethylcarbamazine citrate (DEC) or co-administration of albendazole with DEC in the clearance of Wuchereria bancrofti in asymptomatic microfilaraemic volunteers in Pondicherry, South India: a hospital-based study. Filaria Journal. 2002;1</v>
      </c>
      <c r="Y95" s="697"/>
      <c r="Z95" s="865" t="str">
        <f>IFERROR(__xludf.DUMMYFUNCTION("""COMPUTED_VALUE"""),"https://drive.google.com/file/d/0B0-pry4DSOm3d2UxcUlnUTZkemc/view?usp=sharing")</f>
        <v>https://drive.google.com/file/d/0B0-pry4DSOm3d2UxcUlnUTZkemc/view?usp=sharing</v>
      </c>
      <c r="AA95" s="697"/>
    </row>
    <row r="96">
      <c r="A96" s="697" t="str">
        <f>IFERROR(__xludf.DUMMYFUNCTION("""COMPUTED_VALUE"""),"Pani, 2002")</f>
        <v>Pani, 2002</v>
      </c>
      <c r="B96" s="697"/>
      <c r="C96" s="697" t="str">
        <f>IFERROR(__xludf.DUMMYFUNCTION("""COMPUTED_VALUE"""),"Alex")</f>
        <v>Alex</v>
      </c>
      <c r="D96" s="697" t="str">
        <f>IFERROR(__xludf.DUMMYFUNCTION("""COMPUTED_VALUE"""),"India")</f>
        <v>India</v>
      </c>
      <c r="E96" s="697" t="str">
        <f>IFERROR(__xludf.DUMMYFUNCTION("""COMPUTED_VALUE"""),"W. bancrofti")</f>
        <v>W. bancrofti</v>
      </c>
      <c r="F96" s="697" t="str">
        <f>IFERROR(__xludf.DUMMYFUNCTION("""COMPUTED_VALUE"""),"DEC")</f>
        <v>DEC</v>
      </c>
      <c r="G96" s="697" t="str">
        <f>IFERROR(__xludf.DUMMYFUNCTION("""COMPUTED_VALUE"""),"6 mg/ kg")</f>
        <v>6 mg/ kg</v>
      </c>
      <c r="H96" s="697">
        <f>IFERROR(__xludf.DUMMYFUNCTION("""COMPUTED_VALUE"""),1.0)</f>
        <v>1</v>
      </c>
      <c r="I96" s="698">
        <f>IFERROR(__xludf.DUMMYFUNCTION("""COMPUTED_VALUE"""),0.896)</f>
        <v>0.896</v>
      </c>
      <c r="J96" s="698">
        <f>IFERROR(__xludf.DUMMYFUNCTION("""COMPUTED_VALUE"""),0.176)</f>
        <v>0.176</v>
      </c>
      <c r="K96" s="697" t="str">
        <f>IFERROR(__xludf.DUMMYFUNCTION("""COMPUTED_VALUE"""),"Not available ")</f>
        <v>Not available </v>
      </c>
      <c r="L96" s="697">
        <f>IFERROR(__xludf.DUMMYFUNCTION("""COMPUTED_VALUE"""),17.0)</f>
        <v>17</v>
      </c>
      <c r="M96" s="10" t="str">
        <f>IFERROR(__xludf.DUMMYFUNCTION("""COMPUTED_VALUE"""),"10-57")</f>
        <v>10-57</v>
      </c>
      <c r="N96" s="862" t="str">
        <f>IFERROR(__xludf.DUMMYFUNCTION("""COMPUTED_VALUE"""),"9: 8")</f>
        <v>9: 8</v>
      </c>
      <c r="O96" s="697" t="str">
        <f>IFERROR(__xludf.DUMMYFUNCTION("""COMPUTED_VALUE"""),"Healthy individuals with normal body weight with normal ECG, chest x-ray, lab results presenting with W. bancrofti microfilaraemia ")</f>
        <v>Healthy individuals with normal body weight with normal ECG, chest x-ray, lab results presenting with W. bancrofti microfilaraemia </v>
      </c>
      <c r="P96" s="697" t="str">
        <f>IFERROR(__xludf.DUMMYFUNCTION("""COMPUTED_VALUE"""),"double- blind, RCT")</f>
        <v>double- blind, RCT</v>
      </c>
      <c r="Q96" s="697" t="str">
        <f>IFERROR(__xludf.DUMMYFUNCTION("""COMPUTED_VALUE"""),"Yes")</f>
        <v>Yes</v>
      </c>
      <c r="R96" s="697" t="str">
        <f>IFERROR(__xludf.DUMMYFUNCTION("""COMPUTED_VALUE"""),"Yes")</f>
        <v>Yes</v>
      </c>
      <c r="S96" s="697" t="str">
        <f>IFERROR(__xludf.DUMMYFUNCTION("""COMPUTED_VALUE"""),"360 days")</f>
        <v>360 days</v>
      </c>
      <c r="T96" s="697"/>
      <c r="U96" s="697"/>
      <c r="V96" s="697">
        <f>IFERROR(__xludf.DUMMYFUNCTION("""COMPUTED_VALUE"""),2002.0)</f>
        <v>2002</v>
      </c>
      <c r="W96" s="697">
        <f>IFERROR(__xludf.DUMMYFUNCTION("""COMPUTED_VALUE"""),2002.0)</f>
        <v>2002</v>
      </c>
      <c r="X96" s="697" t="str">
        <f>IFERROR(__xludf.DUMMYFUNCTION("""COMPUTED_VALUE"""),"Pani SP, Subramanyam Reddy G, Das LK, et al. Tolerability and efficacy of single dose albendazole, diethylcarbamazine citrate (DEC) or co-administration of albendazole with DEC in the clearance of Wuchereria bancrofti in asymptomatic microfilaraemic volun"&amp;"teers in Pondicherry, South India: a hospital-based study. Filaria Journal. 2002;1")</f>
        <v>Pani SP, Subramanyam Reddy G, Das LK, et al. Tolerability and efficacy of single dose albendazole, diethylcarbamazine citrate (DEC) or co-administration of albendazole with DEC in the clearance of Wuchereria bancrofti in asymptomatic microfilaraemic volunteers in Pondicherry, South India: a hospital-based study. Filaria Journal. 2002;1</v>
      </c>
      <c r="Y96" s="697"/>
      <c r="Z96" s="865" t="str">
        <f>IFERROR(__xludf.DUMMYFUNCTION("""COMPUTED_VALUE"""),"https://drive.google.com/file/d/0B0-pry4DSOm3d2UxcUlnUTZkemc/view?usp=sharing")</f>
        <v>https://drive.google.com/file/d/0B0-pry4DSOm3d2UxcUlnUTZkemc/view?usp=sharing</v>
      </c>
      <c r="AA96" s="697"/>
    </row>
    <row r="97">
      <c r="A97" s="697" t="str">
        <f>IFERROR(__xludf.DUMMYFUNCTION("""COMPUTED_VALUE"""),"Kshirsagar NA, 2004")</f>
        <v>Kshirsagar NA, 2004</v>
      </c>
      <c r="B97" s="697" t="str">
        <f>IFERROR(__xludf.DUMMYFUNCTION("""COMPUTED_VALUE"""),"Alex")</f>
        <v>Alex</v>
      </c>
      <c r="C97" s="697" t="str">
        <f>IFERROR(__xludf.DUMMYFUNCTION("""COMPUTED_VALUE"""),"Ross")</f>
        <v>Ross</v>
      </c>
      <c r="D97" s="697" t="str">
        <f>IFERROR(__xludf.DUMMYFUNCTION("""COMPUTED_VALUE"""),"India")</f>
        <v>India</v>
      </c>
      <c r="E97" s="697" t="str">
        <f>IFERROR(__xludf.DUMMYFUNCTION("""COMPUTED_VALUE"""),"W. bancrofti")</f>
        <v>W. bancrofti</v>
      </c>
      <c r="F97" s="697" t="str">
        <f>IFERROR(__xludf.DUMMYFUNCTION("""COMPUTED_VALUE"""),"Albendazole &amp; DEC")</f>
        <v>Albendazole &amp; DEC</v>
      </c>
      <c r="G97" s="697" t="str">
        <f>IFERROR(__xludf.DUMMYFUNCTION("""COMPUTED_VALUE"""),"600 mg + 6 mg/ kg")</f>
        <v>600 mg + 6 mg/ kg</v>
      </c>
      <c r="H97" s="697">
        <f>IFERROR(__xludf.DUMMYFUNCTION("""COMPUTED_VALUE"""),1.0)</f>
        <v>1</v>
      </c>
      <c r="I97" s="697"/>
      <c r="J97" s="698">
        <f>IFERROR(__xludf.DUMMYFUNCTION("""COMPUTED_VALUE"""),0.591)</f>
        <v>0.591</v>
      </c>
      <c r="K97" s="697" t="str">
        <f>IFERROR(__xludf.DUMMYFUNCTION("""COMPUTED_VALUE"""),"not available ")</f>
        <v>not available </v>
      </c>
      <c r="L97" s="697">
        <f>IFERROR(__xludf.DUMMYFUNCTION("""COMPUTED_VALUE"""),22.0)</f>
        <v>22</v>
      </c>
      <c r="M97" s="10" t="str">
        <f>IFERROR(__xludf.DUMMYFUNCTION("""COMPUTED_VALUE"""),"18-50")</f>
        <v>18-50</v>
      </c>
      <c r="N97" s="862" t="str">
        <f>IFERROR(__xludf.DUMMYFUNCTION("""COMPUTED_VALUE"""),"males")</f>
        <v>males</v>
      </c>
      <c r="O97" s="697" t="str">
        <f>IFERROR(__xludf.DUMMYFUNCTION("""COMPUTED_VALUE"""),"males aged 18 to 50 had blood collected via a finger prick which was used to determine if whether the patient was mf postive or negative. Those who were positive were assigned to either the control, DEC, group or the test group, the DEC +ALB, group.")</f>
        <v>males aged 18 to 50 had blood collected via a finger prick which was used to determine if whether the patient was mf postive or negative. Those who were positive were assigned to either the control, DEC, group or the test group, the DEC +ALB, group.</v>
      </c>
      <c r="P97" s="697" t="str">
        <f>IFERROR(__xludf.DUMMYFUNCTION("""COMPUTED_VALUE"""),"double blind RCT")</f>
        <v>double blind RCT</v>
      </c>
      <c r="Q97" s="697" t="str">
        <f>IFERROR(__xludf.DUMMYFUNCTION("""COMPUTED_VALUE"""),"Yes")</f>
        <v>Yes</v>
      </c>
      <c r="R97" s="697" t="str">
        <f>IFERROR(__xludf.DUMMYFUNCTION("""COMPUTED_VALUE"""),"Yes")</f>
        <v>Yes</v>
      </c>
      <c r="S97" s="697" t="str">
        <f>IFERROR(__xludf.DUMMYFUNCTION("""COMPUTED_VALUE"""),"3,6,12 months")</f>
        <v>3,6,12 months</v>
      </c>
      <c r="T97" s="697"/>
      <c r="U97" s="697" t="str">
        <f>IFERROR(__xludf.DUMMYFUNCTION("""COMPUTED_VALUE"""),"I'm usng the efficacy data of those testing mf+ (study also includes safety data and efficacy data for clinical+ and asymptomatic)")</f>
        <v>I'm usng the efficacy data of those testing mf+ (study also includes safety data and efficacy data for clinical+ and asymptomatic)</v>
      </c>
      <c r="V97" s="697">
        <f>IFERROR(__xludf.DUMMYFUNCTION("""COMPUTED_VALUE"""),2004.0)</f>
        <v>2004</v>
      </c>
      <c r="W97" s="697">
        <f>IFERROR(__xludf.DUMMYFUNCTION("""COMPUTED_VALUE"""),2004.0)</f>
        <v>2004</v>
      </c>
      <c r="X97" s="697" t="str">
        <f>IFERROR(__xludf.DUMMYFUNCTION("""COMPUTED_VALUE"""),"Kshirsagar NA, Gogtay NJ, Garg BS, Deshmukh PR, Rajgor DD, Kadam VS, et al.Safety, tolerability, efficacy and plasma concentrations of diethylcarbamazine and albendazole co-administration in a field study in an area endemic for lymphatic filariasis in Ind"&amp;"ia. Transactions of the Royal Society of Tropical Medicine and Hygiene 2004;98(4): 205–17.")</f>
        <v>Kshirsagar NA, Gogtay NJ, Garg BS, Deshmukh PR, Rajgor DD, Kadam VS, et al.Safety, tolerability, efficacy and plasma concentrations of diethylcarbamazine and albendazole co-administration in a field study in an area endemic for lymphatic filariasis in India. Transactions of the Royal Society of Tropical Medicine and Hygiene 2004;98(4): 205–17.</v>
      </c>
      <c r="Y97" s="697" t="str">
        <f>IFERROR(__xludf.DUMMYFUNCTION("""COMPUTED_VALUE"""),"doi:10.1016/S0035-9203(03)00044-0")</f>
        <v>doi:10.1016/S0035-9203(03)00044-0</v>
      </c>
      <c r="Z97" s="865" t="str">
        <f>IFERROR(__xludf.DUMMYFUNCTION("""COMPUTED_VALUE"""),"https://drive.google.com/file/d/0B4sJPAkX0Jo3ODU3Wk1YOW9nMnc/view?usp=sharing")</f>
        <v>https://drive.google.com/file/d/0B4sJPAkX0Jo3ODU3Wk1YOW9nMnc/view?usp=sharing</v>
      </c>
      <c r="AA97" s="697"/>
    </row>
    <row r="98">
      <c r="A98" s="697" t="str">
        <f>IFERROR(__xludf.DUMMYFUNCTION("""COMPUTED_VALUE"""),"Richards, 1991")</f>
        <v>Richards, 1991</v>
      </c>
      <c r="B98" s="697" t="str">
        <f>IFERROR(__xludf.DUMMYFUNCTION("""COMPUTED_VALUE"""),"Kirti")</f>
        <v>Kirti</v>
      </c>
      <c r="C98" s="697" t="str">
        <f>IFERROR(__xludf.DUMMYFUNCTION("""COMPUTED_VALUE"""),"Chungsoo")</f>
        <v>Chungsoo</v>
      </c>
      <c r="D98" s="697" t="str">
        <f>IFERROR(__xludf.DUMMYFUNCTION("""COMPUTED_VALUE"""),"Haiti")</f>
        <v>Haiti</v>
      </c>
      <c r="E98" s="697" t="str">
        <f>IFERROR(__xludf.DUMMYFUNCTION("""COMPUTED_VALUE"""),"W. bancrofti")</f>
        <v>W. bancrofti</v>
      </c>
      <c r="F98" s="697" t="str">
        <f>IFERROR(__xludf.DUMMYFUNCTION("""COMPUTED_VALUE"""),"DEC &amp; Ivermectin")</f>
        <v>DEC &amp; Ivermectin</v>
      </c>
      <c r="G98" s="697" t="str">
        <f>IFERROR(__xludf.DUMMYFUNCTION("""COMPUTED_VALUE""")," 6mg/kg")</f>
        <v> 6mg/kg</v>
      </c>
      <c r="H98" s="697">
        <f>IFERROR(__xludf.DUMMYFUNCTION("""COMPUTED_VALUE"""),12.0)</f>
        <v>12</v>
      </c>
      <c r="I98" s="698">
        <f>IFERROR(__xludf.DUMMYFUNCTION("""COMPUTED_VALUE"""),0.991)</f>
        <v>0.991</v>
      </c>
      <c r="J98" s="700">
        <f>IFERROR(__xludf.DUMMYFUNCTION("""COMPUTED_VALUE"""),0.7)</f>
        <v>0.7</v>
      </c>
      <c r="K98" s="697"/>
      <c r="L98" s="697">
        <f>IFERROR(__xludf.DUMMYFUNCTION("""COMPUTED_VALUE"""),10.0)</f>
        <v>10</v>
      </c>
      <c r="M98" s="697" t="str">
        <f>IFERROR(__xludf.DUMMYFUNCTION("""COMPUTED_VALUE"""),"16-65")</f>
        <v>16-65</v>
      </c>
      <c r="N98" s="697" t="str">
        <f>IFERROR(__xludf.DUMMYFUNCTION("""COMPUTED_VALUE"""),"7:8 (overall)")</f>
        <v>7:8 (overall)</v>
      </c>
      <c r="O98" s="697" t="str">
        <f>IFERROR(__xludf.DUMMYFUNCTION("""COMPUTED_VALUE"""),"Microfilaremic men and women between the ages of 16 and 65, who were otherwise healthy. All were malaria free and had no anthelminthic therapy in the preceding six months. Women participants had negative urine pregnancy test results. ")</f>
        <v>Microfilaremic men and women between the ages of 16 and 65, who were otherwise healthy. All were malaria free and had no anthelminthic therapy in the preceding six months. Women participants had negative urine pregnancy test results. </v>
      </c>
      <c r="P98" s="697" t="str">
        <f>IFERROR(__xludf.DUMMYFUNCTION("""COMPUTED_VALUE"""),"double-blinded RCT")</f>
        <v>double-blinded RCT</v>
      </c>
      <c r="Q98" s="697" t="str">
        <f>IFERROR(__xludf.DUMMYFUNCTION("""COMPUTED_VALUE"""),"Yes")</f>
        <v>Yes</v>
      </c>
      <c r="R98" s="697" t="str">
        <f>IFERROR(__xludf.DUMMYFUNCTION("""COMPUTED_VALUE"""),"Yes")</f>
        <v>Yes</v>
      </c>
      <c r="S98" s="697" t="str">
        <f>IFERROR(__xludf.DUMMYFUNCTION("""COMPUTED_VALUE"""),"360 days")</f>
        <v>360 days</v>
      </c>
      <c r="T98" s="697" t="str">
        <f>IFERROR(__xludf.DUMMYFUNCTION("""COMPUTED_VALUE"""),"DEC causes more damage to the adult worms and greater reduction in microfilaria densities than ivermectin, but that high doses of ivermectin may suppress microillaremia in lymphatic filariasis for periods much longer than previously reported.")</f>
        <v>DEC causes more damage to the adult worms and greater reduction in microfilaria densities than ivermectin, but that high doses of ivermectin may suppress microillaremia in lymphatic filariasis for periods much longer than previously reported.</v>
      </c>
      <c r="U98" s="697" t="str">
        <f>IFERROR(__xludf.DUMMYFUNCTION("""COMPUTED_VALUE"""),"The study had 3 phases in total: phase 1 (15 days), phase 2 (Day 16), phase 3 (Day 360); each group was given a 1mg dose of ivermectin at the beginning of the study")</f>
        <v>The study had 3 phases in total: phase 1 (15 days), phase 2 (Day 16), phase 3 (Day 360); each group was given a 1mg dose of ivermectin at the beginning of the study</v>
      </c>
      <c r="V98" s="697">
        <f>IFERROR(__xludf.DUMMYFUNCTION("""COMPUTED_VALUE"""),1991.0)</f>
        <v>1991</v>
      </c>
      <c r="W98" s="697">
        <f>IFERROR(__xludf.DUMMYFUNCTION("""COMPUTED_VALUE"""),1991.0)</f>
        <v>1991</v>
      </c>
      <c r="X98" s="697" t="str">
        <f>IFERROR(__xludf.DUMMYFUNCTION("""COMPUTED_VALUE"""),"Richards FO Jr1, Eberhard ML, Bryan RT, McNeeley DF, Lammie PJ, McNeeley MB, et al. Comparison of high dose ivermectin and diethylcarbamazine for activity against bancroftian filariasis in Haiti. Am J Trop Med Hyg 1991; 44 (1): 3-10.")</f>
        <v>Richards FO Jr1, Eberhard ML, Bryan RT, McNeeley DF, Lammie PJ, McNeeley MB, et al. Comparison of high dose ivermectin and diethylcarbamazine for activity against bancroftian filariasis in Haiti. Am J Trop Med Hyg 1991; 44 (1): 3-10.</v>
      </c>
      <c r="Y98" s="697" t="str">
        <f>IFERROR(__xludf.DUMMYFUNCTION("""COMPUTED_VALUE"""),"PMID: 1996738")</f>
        <v>PMID: 1996738</v>
      </c>
      <c r="Z98" s="865" t="str">
        <f>IFERROR(__xludf.DUMMYFUNCTION("""COMPUTED_VALUE"""),"https://drive.google.com/file/d/0By3QPyQz621GZXFGU2JFTENYZ2s/view?usp=sharing")</f>
        <v>https://drive.google.com/file/d/0By3QPyQz621GZXFGU2JFTENYZ2s/view?usp=sharing</v>
      </c>
      <c r="AA98" s="697"/>
    </row>
    <row r="99">
      <c r="A99" s="697" t="str">
        <f>IFERROR(__xludf.DUMMYFUNCTION("""COMPUTED_VALUE"""),"Richards, 1991")</f>
        <v>Richards, 1991</v>
      </c>
      <c r="B99" s="697" t="str">
        <f>IFERROR(__xludf.DUMMYFUNCTION("""COMPUTED_VALUE"""),"Kirti ")</f>
        <v>Kirti </v>
      </c>
      <c r="C99" s="697" t="str">
        <f>IFERROR(__xludf.DUMMYFUNCTION("""COMPUTED_VALUE"""),"Chungsoo")</f>
        <v>Chungsoo</v>
      </c>
      <c r="D99" s="697" t="str">
        <f>IFERROR(__xludf.DUMMYFUNCTION("""COMPUTED_VALUE"""),"Haiti")</f>
        <v>Haiti</v>
      </c>
      <c r="E99" s="697" t="str">
        <f>IFERROR(__xludf.DUMMYFUNCTION("""COMPUTED_VALUE"""),"W. bancrofti")</f>
        <v>W. bancrofti</v>
      </c>
      <c r="F99" s="697" t="str">
        <f>IFERROR(__xludf.DUMMYFUNCTION("""COMPUTED_VALUE"""),"Ivermectin")</f>
        <v>Ivermectin</v>
      </c>
      <c r="G99" s="697" t="str">
        <f>IFERROR(__xludf.DUMMYFUNCTION("""COMPUTED_VALUE"""),".2 mg/kg")</f>
        <v>.2 mg/kg</v>
      </c>
      <c r="H99" s="697">
        <f>IFERROR(__xludf.DUMMYFUNCTION("""COMPUTED_VALUE"""),1.0)</f>
        <v>1</v>
      </c>
      <c r="I99" s="698">
        <f>IFERROR(__xludf.DUMMYFUNCTION("""COMPUTED_VALUE"""),0.918)</f>
        <v>0.918</v>
      </c>
      <c r="J99" s="700">
        <f>IFERROR(__xludf.DUMMYFUNCTION("""COMPUTED_VALUE"""),0.1)</f>
        <v>0.1</v>
      </c>
      <c r="K99" s="697"/>
      <c r="L99" s="697">
        <f>IFERROR(__xludf.DUMMYFUNCTION("""COMPUTED_VALUE"""),10.0)</f>
        <v>10</v>
      </c>
      <c r="M99" s="697" t="str">
        <f>IFERROR(__xludf.DUMMYFUNCTION("""COMPUTED_VALUE"""),"16-65")</f>
        <v>16-65</v>
      </c>
      <c r="N99" s="697" t="str">
        <f>IFERROR(__xludf.DUMMYFUNCTION("""COMPUTED_VALUE"""),"7:8 (overall)")</f>
        <v>7:8 (overall)</v>
      </c>
      <c r="O99" s="697" t="str">
        <f>IFERROR(__xludf.DUMMYFUNCTION("""COMPUTED_VALUE"""),"Microfilaremic men and women between the ages of 16 and 65, who were otherwise healthy. All were malaria free and had no anthelminthic therapy in the preceding six months. Women participants had negative urine pregnancy test results. ")</f>
        <v>Microfilaremic men and women between the ages of 16 and 65, who were otherwise healthy. All were malaria free and had no anthelminthic therapy in the preceding six months. Women participants had negative urine pregnancy test results. </v>
      </c>
      <c r="P99" s="697" t="str">
        <f>IFERROR(__xludf.DUMMYFUNCTION("""COMPUTED_VALUE"""),"double-blinded RCT")</f>
        <v>double-blinded RCT</v>
      </c>
      <c r="Q99" s="697" t="str">
        <f>IFERROR(__xludf.DUMMYFUNCTION("""COMPUTED_VALUE"""),"Yes")</f>
        <v>Yes</v>
      </c>
      <c r="R99" s="697" t="str">
        <f>IFERROR(__xludf.DUMMYFUNCTION("""COMPUTED_VALUE"""),"Yes")</f>
        <v>Yes</v>
      </c>
      <c r="S99" s="697" t="str">
        <f>IFERROR(__xludf.DUMMYFUNCTION("""COMPUTED_VALUE"""),"360 days")</f>
        <v>360 days</v>
      </c>
      <c r="T99" s="697" t="str">
        <f>IFERROR(__xludf.DUMMYFUNCTION("""COMPUTED_VALUE"""),"DEC causes more damage to the adult worms and greater reduction in microfilaria densities than ivermectin, but that high doses of ivermectin may suppress microillaremia in lymphatic filariasis for periods much longer than previously reported.")</f>
        <v>DEC causes more damage to the adult worms and greater reduction in microfilaria densities than ivermectin, but that high doses of ivermectin may suppress microillaremia in lymphatic filariasis for periods much longer than previously reported.</v>
      </c>
      <c r="U99" s="697" t="str">
        <f>IFERROR(__xludf.DUMMYFUNCTION("""COMPUTED_VALUE"""),"The study had 3 phases in total: phase 1 (15 days), phase 2 (Day 16), phase 3 (Day 360); each group was given a 1mg dose of ivermectin at the beginning of the study")</f>
        <v>The study had 3 phases in total: phase 1 (15 days), phase 2 (Day 16), phase 3 (Day 360); each group was given a 1mg dose of ivermectin at the beginning of the study</v>
      </c>
      <c r="V99" s="697">
        <f>IFERROR(__xludf.DUMMYFUNCTION("""COMPUTED_VALUE"""),1991.0)</f>
        <v>1991</v>
      </c>
      <c r="W99" s="697">
        <f>IFERROR(__xludf.DUMMYFUNCTION("""COMPUTED_VALUE"""),1991.0)</f>
        <v>1991</v>
      </c>
      <c r="X99" s="697" t="str">
        <f>IFERROR(__xludf.DUMMYFUNCTION("""COMPUTED_VALUE"""),"Richards FO Jr1, Eberhard ML, Bryan RT, McNeeley DF, Lammie PJ, McNeeley MB, et al. Comparison of high dose ivermectin and diethylcarbamazine for activity against bancroftian filariasis in Haiti. Am J Trop Med Hyg 1991; 44 (1): 3-10.")</f>
        <v>Richards FO Jr1, Eberhard ML, Bryan RT, McNeeley DF, Lammie PJ, McNeeley MB, et al. Comparison of high dose ivermectin and diethylcarbamazine for activity against bancroftian filariasis in Haiti. Am J Trop Med Hyg 1991; 44 (1): 3-10.</v>
      </c>
      <c r="Y99" s="697" t="str">
        <f>IFERROR(__xludf.DUMMYFUNCTION("""COMPUTED_VALUE"""),"PMID: 1996738")</f>
        <v>PMID: 1996738</v>
      </c>
      <c r="Z99" s="865" t="str">
        <f>IFERROR(__xludf.DUMMYFUNCTION("""COMPUTED_VALUE"""),"https://drive.google.com/file/d/0By3QPyQz621GZXFGU2JFTENYZ2s/view?usp=sharing")</f>
        <v>https://drive.google.com/file/d/0By3QPyQz621GZXFGU2JFTENYZ2s/view?usp=sharing</v>
      </c>
      <c r="AA99" s="697"/>
    </row>
    <row r="100">
      <c r="A100" s="697" t="str">
        <f>IFERROR(__xludf.DUMMYFUNCTION("""COMPUTED_VALUE"""),"Richards, 1991")</f>
        <v>Richards, 1991</v>
      </c>
      <c r="B100" s="697" t="str">
        <f>IFERROR(__xludf.DUMMYFUNCTION("""COMPUTED_VALUE"""),"Kirti")</f>
        <v>Kirti</v>
      </c>
      <c r="C100" s="697" t="str">
        <f>IFERROR(__xludf.DUMMYFUNCTION("""COMPUTED_VALUE"""),"Chungsoo")</f>
        <v>Chungsoo</v>
      </c>
      <c r="D100" s="697" t="str">
        <f>IFERROR(__xludf.DUMMYFUNCTION("""COMPUTED_VALUE"""),"Haiti")</f>
        <v>Haiti</v>
      </c>
      <c r="E100" s="697" t="str">
        <f>IFERROR(__xludf.DUMMYFUNCTION("""COMPUTED_VALUE"""),"W. bancrofti")</f>
        <v>W. bancrofti</v>
      </c>
      <c r="F100" s="697" t="str">
        <f>IFERROR(__xludf.DUMMYFUNCTION("""COMPUTED_VALUE"""),"Ivermectin")</f>
        <v>Ivermectin</v>
      </c>
      <c r="G100" s="697" t="str">
        <f>IFERROR(__xludf.DUMMYFUNCTION("""COMPUTED_VALUE""")," .2 mg/kg per day for 2 days")</f>
        <v> .2 mg/kg per day for 2 days</v>
      </c>
      <c r="H100" s="697">
        <f>IFERROR(__xludf.DUMMYFUNCTION("""COMPUTED_VALUE"""),2.0)</f>
        <v>2</v>
      </c>
      <c r="I100" s="698">
        <f>IFERROR(__xludf.DUMMYFUNCTION("""COMPUTED_VALUE"""),0.962)</f>
        <v>0.962</v>
      </c>
      <c r="J100" s="700">
        <f>IFERROR(__xludf.DUMMYFUNCTION("""COMPUTED_VALUE"""),0.33)</f>
        <v>0.33</v>
      </c>
      <c r="K100" s="697"/>
      <c r="L100" s="697">
        <f>IFERROR(__xludf.DUMMYFUNCTION("""COMPUTED_VALUE"""),10.0)</f>
        <v>10</v>
      </c>
      <c r="M100" s="697" t="str">
        <f>IFERROR(__xludf.DUMMYFUNCTION("""COMPUTED_VALUE"""),"16-65")</f>
        <v>16-65</v>
      </c>
      <c r="N100" s="697" t="str">
        <f>IFERROR(__xludf.DUMMYFUNCTION("""COMPUTED_VALUE"""),"7:8 (overall)")</f>
        <v>7:8 (overall)</v>
      </c>
      <c r="O100" s="697" t="str">
        <f>IFERROR(__xludf.DUMMYFUNCTION("""COMPUTED_VALUE"""),"Microfilaremic men and women between the ages of 16 and 65, who were otherwise healthy. All were malaria free and had no anthelminthic therapy in the preceding six months. Women participants had negative urine pregnancy test results. ")</f>
        <v>Microfilaremic men and women between the ages of 16 and 65, who were otherwise healthy. All were malaria free and had no anthelminthic therapy in the preceding six months. Women participants had negative urine pregnancy test results. </v>
      </c>
      <c r="P100" s="697" t="str">
        <f>IFERROR(__xludf.DUMMYFUNCTION("""COMPUTED_VALUE"""),"double-blinded RCT")</f>
        <v>double-blinded RCT</v>
      </c>
      <c r="Q100" s="697" t="str">
        <f>IFERROR(__xludf.DUMMYFUNCTION("""COMPUTED_VALUE"""),"Yes")</f>
        <v>Yes</v>
      </c>
      <c r="R100" s="697" t="str">
        <f>IFERROR(__xludf.DUMMYFUNCTION("""COMPUTED_VALUE"""),"Yes")</f>
        <v>Yes</v>
      </c>
      <c r="S100" s="697" t="str">
        <f>IFERROR(__xludf.DUMMYFUNCTION("""COMPUTED_VALUE"""),"360 days")</f>
        <v>360 days</v>
      </c>
      <c r="T100" s="697" t="str">
        <f>IFERROR(__xludf.DUMMYFUNCTION("""COMPUTED_VALUE"""),"DEC causes more damage to the adult worms and greater reduction in microfilaria densities than ivermectin, but that high doses of ivermectin may suppress microillaremia in lymphatic filariasis for periods much longer than previously reported.")</f>
        <v>DEC causes more damage to the adult worms and greater reduction in microfilaria densities than ivermectin, but that high doses of ivermectin may suppress microillaremia in lymphatic filariasis for periods much longer than previously reported.</v>
      </c>
      <c r="U100" s="697" t="str">
        <f>IFERROR(__xludf.DUMMYFUNCTION("""COMPUTED_VALUE"""),"The study had 3 phases in total: phase 1 (15 days), phase 2 (Day 16), phase 3 (Day 360); each group was given a 1mg dose of ivermectin at the beginning of the study")</f>
        <v>The study had 3 phases in total: phase 1 (15 days), phase 2 (Day 16), phase 3 (Day 360); each group was given a 1mg dose of ivermectin at the beginning of the study</v>
      </c>
      <c r="V100" s="697">
        <f>IFERROR(__xludf.DUMMYFUNCTION("""COMPUTED_VALUE"""),1991.0)</f>
        <v>1991</v>
      </c>
      <c r="W100" s="697">
        <f>IFERROR(__xludf.DUMMYFUNCTION("""COMPUTED_VALUE"""),1991.0)</f>
        <v>1991</v>
      </c>
      <c r="X100" s="697" t="str">
        <f>IFERROR(__xludf.DUMMYFUNCTION("""COMPUTED_VALUE"""),"Richards FO Jr1, Eberhard ML, Bryan RT, McNeeley DF, Lammie PJ, McNeeley MB, et al. Comparison of high dose ivermectin and diethylcarbamazine for activity against bancroftian filariasis in Haiti. Am J Trop Med Hyg 1991; 44 (1): 3-10.")</f>
        <v>Richards FO Jr1, Eberhard ML, Bryan RT, McNeeley DF, Lammie PJ, McNeeley MB, et al. Comparison of high dose ivermectin and diethylcarbamazine for activity against bancroftian filariasis in Haiti. Am J Trop Med Hyg 1991; 44 (1): 3-10.</v>
      </c>
      <c r="Y100" s="697" t="str">
        <f>IFERROR(__xludf.DUMMYFUNCTION("""COMPUTED_VALUE"""),"PMID: 1996738")</f>
        <v>PMID: 1996738</v>
      </c>
      <c r="Z100" s="865" t="str">
        <f>IFERROR(__xludf.DUMMYFUNCTION("""COMPUTED_VALUE"""),"https://drive.google.com/file/d/0By3QPyQz621GZXFGU2JFTENYZ2s/view?usp=sharing")</f>
        <v>https://drive.google.com/file/d/0By3QPyQz621GZXFGU2JFTENYZ2s/view?usp=sharing</v>
      </c>
      <c r="AA100" s="697"/>
    </row>
    <row r="101">
      <c r="A101" s="697" t="str">
        <f>IFERROR(__xludf.DUMMYFUNCTION("""COMPUTED_VALUE"""),"Pani, 2002")</f>
        <v>Pani, 2002</v>
      </c>
      <c r="B101" s="697"/>
      <c r="C101" s="697" t="str">
        <f>IFERROR(__xludf.DUMMYFUNCTION("""COMPUTED_VALUE"""),"Alex")</f>
        <v>Alex</v>
      </c>
      <c r="D101" s="697" t="str">
        <f>IFERROR(__xludf.DUMMYFUNCTION("""COMPUTED_VALUE"""),"India")</f>
        <v>India</v>
      </c>
      <c r="E101" s="697" t="str">
        <f>IFERROR(__xludf.DUMMYFUNCTION("""COMPUTED_VALUE"""),"W. bancrofti")</f>
        <v>W. bancrofti</v>
      </c>
      <c r="F101" s="697" t="str">
        <f>IFERROR(__xludf.DUMMYFUNCTION("""COMPUTED_VALUE"""),"Albendazole &amp; DEC")</f>
        <v>Albendazole &amp; DEC</v>
      </c>
      <c r="G101" s="697" t="str">
        <f>IFERROR(__xludf.DUMMYFUNCTION("""COMPUTED_VALUE"""),"400 mg + 6 mg/ kg")</f>
        <v>400 mg + 6 mg/ kg</v>
      </c>
      <c r="H101" s="697">
        <f>IFERROR(__xludf.DUMMYFUNCTION("""COMPUTED_VALUE"""),1.0)</f>
        <v>1</v>
      </c>
      <c r="I101" s="698">
        <f>IFERROR(__xludf.DUMMYFUNCTION("""COMPUTED_VALUE"""),0.954)</f>
        <v>0.954</v>
      </c>
      <c r="J101" s="698">
        <f>IFERROR(__xludf.DUMMYFUNCTION("""COMPUTED_VALUE"""),0.278)</f>
        <v>0.278</v>
      </c>
      <c r="K101" s="697" t="str">
        <f>IFERROR(__xludf.DUMMYFUNCTION("""COMPUTED_VALUE"""),"Not available ")</f>
        <v>Not available </v>
      </c>
      <c r="L101" s="697">
        <f>IFERROR(__xludf.DUMMYFUNCTION("""COMPUTED_VALUE"""),18.0)</f>
        <v>18</v>
      </c>
      <c r="M101" s="697" t="str">
        <f>IFERROR(__xludf.DUMMYFUNCTION("""COMPUTED_VALUE"""),"10- 57")</f>
        <v>10- 57</v>
      </c>
      <c r="N101" s="697" t="str">
        <f>IFERROR(__xludf.DUMMYFUNCTION("""COMPUTED_VALUE"""),"9: 9")</f>
        <v>9: 9</v>
      </c>
      <c r="O101" s="697" t="str">
        <f>IFERROR(__xludf.DUMMYFUNCTION("""COMPUTED_VALUE"""),"Healthy individuals with normal body weight with normal ECG, chest x-ray, lab results presenting with W. bancrofti microfilaraemia ")</f>
        <v>Healthy individuals with normal body weight with normal ECG, chest x-ray, lab results presenting with W. bancrofti microfilaraemia </v>
      </c>
      <c r="P101" s="697" t="str">
        <f>IFERROR(__xludf.DUMMYFUNCTION("""COMPUTED_VALUE"""),"double- blind, RCT")</f>
        <v>double- blind, RCT</v>
      </c>
      <c r="Q101" s="697" t="str">
        <f>IFERROR(__xludf.DUMMYFUNCTION("""COMPUTED_VALUE"""),"Yes")</f>
        <v>Yes</v>
      </c>
      <c r="R101" s="697" t="str">
        <f>IFERROR(__xludf.DUMMYFUNCTION("""COMPUTED_VALUE"""),"Yes")</f>
        <v>Yes</v>
      </c>
      <c r="S101" s="697" t="str">
        <f>IFERROR(__xludf.DUMMYFUNCTION("""COMPUTED_VALUE"""),"360 days")</f>
        <v>360 days</v>
      </c>
      <c r="T101" s="697"/>
      <c r="U101" s="697"/>
      <c r="V101" s="697">
        <f>IFERROR(__xludf.DUMMYFUNCTION("""COMPUTED_VALUE"""),2002.0)</f>
        <v>2002</v>
      </c>
      <c r="W101" s="697">
        <f>IFERROR(__xludf.DUMMYFUNCTION("""COMPUTED_VALUE"""),2002.0)</f>
        <v>2002</v>
      </c>
      <c r="X101" s="697" t="str">
        <f>IFERROR(__xludf.DUMMYFUNCTION("""COMPUTED_VALUE"""),"Pani SP, Subramanyam Reddy G, Das LK, et al. Tolerability and efficacy of single dose albendazole, diethylcarbamazine citrate (DEC) or co-administration of albendazole with DEC in the clearance of Wuchereria bancrofti in asymptomatic microfilaraemic volun"&amp;"teers in Pondicherry, South India: a hospital-based study. Filaria Journal. 2002;1")</f>
        <v>Pani SP, Subramanyam Reddy G, Das LK, et al. Tolerability and efficacy of single dose albendazole, diethylcarbamazine citrate (DEC) or co-administration of albendazole with DEC in the clearance of Wuchereria bancrofti in asymptomatic microfilaraemic volunteers in Pondicherry, South India: a hospital-based study. Filaria Journal. 2002;1</v>
      </c>
      <c r="Y101" s="697"/>
      <c r="Z101" s="865" t="str">
        <f>IFERROR(__xludf.DUMMYFUNCTION("""COMPUTED_VALUE"""),"https://drive.google.com/file/d/0B0-pry4DSOm3d2UxcUlnUTZkemc/view?usp=sharing")</f>
        <v>https://drive.google.com/file/d/0B0-pry4DSOm3d2UxcUlnUTZkemc/view?usp=sharing</v>
      </c>
      <c r="AA101" s="697"/>
    </row>
    <row r="102">
      <c r="A102" s="697" t="str">
        <f>IFERROR(__xludf.DUMMYFUNCTION("""COMPUTED_VALUE"""),"Shenoy 1999")</f>
        <v>Shenoy 1999</v>
      </c>
      <c r="B102" s="697" t="str">
        <f>IFERROR(__xludf.DUMMYFUNCTION("""COMPUTED_VALUE"""),"Kirti")</f>
        <v>Kirti</v>
      </c>
      <c r="C102" s="697" t="str">
        <f>IFERROR(__xludf.DUMMYFUNCTION("""COMPUTED_VALUE"""),"Alex ")</f>
        <v>Alex </v>
      </c>
      <c r="D102" s="697" t="str">
        <f>IFERROR(__xludf.DUMMYFUNCTION("""COMPUTED_VALUE"""),"India")</f>
        <v>India</v>
      </c>
      <c r="E102" s="697" t="str">
        <f>IFERROR(__xludf.DUMMYFUNCTION("""COMPUTED_VALUE"""),"Brugia malayi")</f>
        <v>Brugia malayi</v>
      </c>
      <c r="F102" s="697" t="str">
        <f>IFERROR(__xludf.DUMMYFUNCTION("""COMPUTED_VALUE"""),"Albendazole &amp; DEC")</f>
        <v>Albendazole &amp; DEC</v>
      </c>
      <c r="G102" s="697" t="str">
        <f>IFERROR(__xludf.DUMMYFUNCTION("""COMPUTED_VALUE"""),"400 mg + 6 mg/ kg")</f>
        <v>400 mg + 6 mg/ kg</v>
      </c>
      <c r="H102" s="697">
        <f>IFERROR(__xludf.DUMMYFUNCTION("""COMPUTED_VALUE"""),1.0)</f>
        <v>1</v>
      </c>
      <c r="I102" s="706">
        <f>IFERROR(__xludf.DUMMYFUNCTION("""COMPUTED_VALUE"""),0.985)</f>
        <v>0.985</v>
      </c>
      <c r="J102" s="706">
        <f>IFERROR(__xludf.DUMMYFUNCTION("""COMPUTED_VALUE"""),0.47)</f>
        <v>0.47</v>
      </c>
      <c r="K102" s="697" t="str">
        <f>IFERROR(__xludf.DUMMYFUNCTION("""COMPUTED_VALUE"""),"Not available")</f>
        <v>Not available</v>
      </c>
      <c r="L102" s="697">
        <f>IFERROR(__xludf.DUMMYFUNCTION("""COMPUTED_VALUE"""),16.0)</f>
        <v>16</v>
      </c>
      <c r="M102" s="10" t="str">
        <f>IFERROR(__xludf.DUMMYFUNCTION("""COMPUTED_VALUE"""),"15-65")</f>
        <v>15-65</v>
      </c>
      <c r="N102" s="866">
        <f>IFERROR(__xludf.DUMMYFUNCTION("""COMPUTED_VALUE"""),0.04652777777777778)</f>
        <v>0.04652777778</v>
      </c>
      <c r="O102" s="697" t="str">
        <f>IFERROR(__xludf.DUMMYFUNCTION("""COMPUTED_VALUE"""),"All individuals (including children) in the communities. Women (non-pregnant and non-lactating).")</f>
        <v>All individuals (including children) in the communities. Women (non-pregnant and non-lactating).</v>
      </c>
      <c r="P102" s="697" t="str">
        <f>IFERROR(__xludf.DUMMYFUNCTION("""COMPUTED_VALUE"""),"Random single blind ")</f>
        <v>Random single blind </v>
      </c>
      <c r="Q102" s="697" t="str">
        <f>IFERROR(__xludf.DUMMYFUNCTION("""COMPUTED_VALUE"""),"Yes")</f>
        <v>Yes</v>
      </c>
      <c r="R102" s="697" t="str">
        <f>IFERROR(__xludf.DUMMYFUNCTION("""COMPUTED_VALUE"""),"Yes")</f>
        <v>Yes</v>
      </c>
      <c r="S102" s="697" t="str">
        <f>IFERROR(__xludf.DUMMYFUNCTION("""COMPUTED_VALUE"""),"1 year")</f>
        <v>1 year</v>
      </c>
      <c r="T102" s="697" t="str">
        <f>IFERROR(__xludf.DUMMYFUNCTION("""COMPUTED_VALUE"""),"The combination of DEC and albendazole, both well tested drugs, offers a new option for countries such as India where there is no onchocerciasis or loiasis and where ivermectin may not be immediately available.")</f>
        <v>The combination of DEC and albendazole, both well tested drugs, offers a new option for countries such as India where there is no onchocerciasis or loiasis and where ivermectin may not be immediately available.</v>
      </c>
      <c r="U102" s="697" t="str">
        <f>IFERROR(__xludf.DUMMYFUNCTION("""COMPUTED_VALUE"""),"The level of mf % decreased dramatically after the 12 hours of treament and ramained similar throughout the 360 days period.")</f>
        <v>The level of mf % decreased dramatically after the 12 hours of treament and ramained similar throughout the 360 days period.</v>
      </c>
      <c r="V102" s="697">
        <f>IFERROR(__xludf.DUMMYFUNCTION("""COMPUTED_VALUE"""),1999.0)</f>
        <v>1999</v>
      </c>
      <c r="W102" s="697">
        <f>IFERROR(__xludf.DUMMYFUNCTION("""COMPUTED_VALUE"""),1999.0)</f>
        <v>1999</v>
      </c>
      <c r="X102" s="697" t="str">
        <f>IFERROR(__xludf.DUMMYFUNCTION("""COMPUTED_VALUE"""),"Shenoy RK, Dalia S, John A, Suma TK, and Kumaraswami V. Treatment of the microfilaraemia of asymptomatic brugian filariasis with single doses of ivermectin, diethylcarbamazine or albendazole, in various combinations. Annals of Tropical Medicine &amp; Parasito"&amp;"logy 1999; 93(6): 643-651.")</f>
        <v>Shenoy RK, Dalia S, John A, Suma TK, and Kumaraswami V. Treatment of the microfilaraemia of asymptomatic brugian filariasis with single doses of ivermectin, diethylcarbamazine or albendazole, in various combinations. Annals of Tropical Medicine &amp; Parasitology 1999; 93(6): 643-651.</v>
      </c>
      <c r="Y102" s="697" t="str">
        <f>IFERROR(__xludf.DUMMYFUNCTION("""COMPUTED_VALUE"""),"PMID: 10707109")</f>
        <v>PMID: 10707109</v>
      </c>
      <c r="Z102" s="865" t="str">
        <f>IFERROR(__xludf.DUMMYFUNCTION("""COMPUTED_VALUE"""),"https://drive.google.com/file/d/0B9vYgR7NsKoYUC1NeHdLZlh6Y2s/view?usp=sharing")</f>
        <v>https://drive.google.com/file/d/0B9vYgR7NsKoYUC1NeHdLZlh6Y2s/view?usp=sharing</v>
      </c>
      <c r="AA102" s="697"/>
    </row>
    <row r="103">
      <c r="A103" s="697" t="str">
        <f>IFERROR(__xludf.DUMMYFUNCTION("""COMPUTED_VALUE"""),"Shenoy 1999")</f>
        <v>Shenoy 1999</v>
      </c>
      <c r="B103" s="697" t="str">
        <f>IFERROR(__xludf.DUMMYFUNCTION("""COMPUTED_VALUE"""),"Kirti")</f>
        <v>Kirti</v>
      </c>
      <c r="C103" s="697" t="str">
        <f>IFERROR(__xludf.DUMMYFUNCTION("""COMPUTED_VALUE"""),"Alex ")</f>
        <v>Alex </v>
      </c>
      <c r="D103" s="697" t="str">
        <f>IFERROR(__xludf.DUMMYFUNCTION("""COMPUTED_VALUE"""),"India")</f>
        <v>India</v>
      </c>
      <c r="E103" s="697" t="str">
        <f>IFERROR(__xludf.DUMMYFUNCTION("""COMPUTED_VALUE"""),"Brugia malayi")</f>
        <v>Brugia malayi</v>
      </c>
      <c r="F103" s="697" t="str">
        <f>IFERROR(__xludf.DUMMYFUNCTION("""COMPUTED_VALUE"""),"DEC &amp; Ivermectin")</f>
        <v>DEC &amp; Ivermectin</v>
      </c>
      <c r="G103" s="697" t="str">
        <f>IFERROR(__xludf.DUMMYFUNCTION("""COMPUTED_VALUE"""),".200 mg/kg + 6 mg/kg")</f>
        <v>.200 mg/kg + 6 mg/kg</v>
      </c>
      <c r="H103" s="697">
        <f>IFERROR(__xludf.DUMMYFUNCTION("""COMPUTED_VALUE"""),1.0)</f>
        <v>1</v>
      </c>
      <c r="I103" s="706">
        <f>IFERROR(__xludf.DUMMYFUNCTION("""COMPUTED_VALUE"""),0.997)</f>
        <v>0.997</v>
      </c>
      <c r="J103" s="706">
        <f>IFERROR(__xludf.DUMMYFUNCTION("""COMPUTED_VALUE"""),0.64)</f>
        <v>0.64</v>
      </c>
      <c r="K103" s="697" t="str">
        <f>IFERROR(__xludf.DUMMYFUNCTION("""COMPUTED_VALUE"""),"Not available")</f>
        <v>Not available</v>
      </c>
      <c r="L103" s="697">
        <f>IFERROR(__xludf.DUMMYFUNCTION("""COMPUTED_VALUE"""),16.0)</f>
        <v>16</v>
      </c>
      <c r="M103" s="10" t="str">
        <f>IFERROR(__xludf.DUMMYFUNCTION("""COMPUTED_VALUE"""),"16-55")</f>
        <v>16-55</v>
      </c>
      <c r="N103" s="866">
        <f>IFERROR(__xludf.DUMMYFUNCTION("""COMPUTED_VALUE"""),0.13402777777777777)</f>
        <v>0.1340277778</v>
      </c>
      <c r="O103" s="697" t="str">
        <f>IFERROR(__xludf.DUMMYFUNCTION("""COMPUTED_VALUE"""),"All individuals (including children) in the communities. Women (non-pregnant and non-lactating).")</f>
        <v>All individuals (including children) in the communities. Women (non-pregnant and non-lactating).</v>
      </c>
      <c r="P103" s="697" t="str">
        <f>IFERROR(__xludf.DUMMYFUNCTION("""COMPUTED_VALUE"""),"Random single blind ")</f>
        <v>Random single blind </v>
      </c>
      <c r="Q103" s="697" t="str">
        <f>IFERROR(__xludf.DUMMYFUNCTION("""COMPUTED_VALUE"""),"Yes")</f>
        <v>Yes</v>
      </c>
      <c r="R103" s="697" t="str">
        <f>IFERROR(__xludf.DUMMYFUNCTION("""COMPUTED_VALUE"""),"Yes")</f>
        <v>Yes</v>
      </c>
      <c r="S103" s="697" t="str">
        <f>IFERROR(__xludf.DUMMYFUNCTION("""COMPUTED_VALUE"""),"1 year")</f>
        <v>1 year</v>
      </c>
      <c r="T103" s="697" t="str">
        <f>IFERROR(__xludf.DUMMYFUNCTION("""COMPUTED_VALUE"""),"The combination of DEC and albendazole, both well tested drugs, offers a new option for countries such as India where there is no onchocerciasis or loiasis and where ivermectin may not be immediately available.")</f>
        <v>The combination of DEC and albendazole, both well tested drugs, offers a new option for countries such as India where there is no onchocerciasis or loiasis and where ivermectin may not be immediately available.</v>
      </c>
      <c r="U103" s="697" t="str">
        <f>IFERROR(__xludf.DUMMYFUNCTION("""COMPUTED_VALUE"""),"The level of mf % decreased dramatically after the 12 hours of treament and ramained similar throughout the 360 days period. ")</f>
        <v>The level of mf % decreased dramatically after the 12 hours of treament and ramained similar throughout the 360 days period. </v>
      </c>
      <c r="V103" s="697">
        <f>IFERROR(__xludf.DUMMYFUNCTION("""COMPUTED_VALUE"""),1999.0)</f>
        <v>1999</v>
      </c>
      <c r="W103" s="697">
        <f>IFERROR(__xludf.DUMMYFUNCTION("""COMPUTED_VALUE"""),1999.0)</f>
        <v>1999</v>
      </c>
      <c r="X103" s="697" t="str">
        <f>IFERROR(__xludf.DUMMYFUNCTION("""COMPUTED_VALUE"""),"Shenoy RK, Dalia S, John A, Suma TK, and Kumaraswami V. Treatment of the microfilaraemia of asymptomatic brugian filariasis with single doses of ivermectin, diethylcarbamazine or albendazole, in various combinations. Annals of Tropical Medicine &amp; Parasito"&amp;"logy 1999; 93(6): 643-651.")</f>
        <v>Shenoy RK, Dalia S, John A, Suma TK, and Kumaraswami V. Treatment of the microfilaraemia of asymptomatic brugian filariasis with single doses of ivermectin, diethylcarbamazine or albendazole, in various combinations. Annals of Tropical Medicine &amp; Parasitology 1999; 93(6): 643-651.</v>
      </c>
      <c r="Y103" s="697" t="str">
        <f>IFERROR(__xludf.DUMMYFUNCTION("""COMPUTED_VALUE"""),"PMID: 10707109")</f>
        <v>PMID: 10707109</v>
      </c>
      <c r="Z103" s="865" t="str">
        <f>IFERROR(__xludf.DUMMYFUNCTION("""COMPUTED_VALUE"""),"https://drive.google.com/file/d/0B9vYgR7NsKoYUC1NeHdLZlh6Y2s/view?usp=sharing")</f>
        <v>https://drive.google.com/file/d/0B9vYgR7NsKoYUC1NeHdLZlh6Y2s/view?usp=sharing</v>
      </c>
      <c r="AA103" s="697"/>
    </row>
    <row r="104">
      <c r="A104" s="697" t="str">
        <f>IFERROR(__xludf.DUMMYFUNCTION("""COMPUTED_VALUE"""),"Shenoy 1999")</f>
        <v>Shenoy 1999</v>
      </c>
      <c r="B104" s="697" t="str">
        <f>IFERROR(__xludf.DUMMYFUNCTION("""COMPUTED_VALUE"""),"Kirti")</f>
        <v>Kirti</v>
      </c>
      <c r="C104" s="697" t="str">
        <f>IFERROR(__xludf.DUMMYFUNCTION("""COMPUTED_VALUE"""),"Alex ")</f>
        <v>Alex </v>
      </c>
      <c r="D104" s="697" t="str">
        <f>IFERROR(__xludf.DUMMYFUNCTION("""COMPUTED_VALUE"""),"India")</f>
        <v>India</v>
      </c>
      <c r="E104" s="697" t="str">
        <f>IFERROR(__xludf.DUMMYFUNCTION("""COMPUTED_VALUE"""),"Brugia malayi")</f>
        <v>Brugia malayi</v>
      </c>
      <c r="F104" s="697" t="str">
        <f>IFERROR(__xludf.DUMMYFUNCTION("""COMPUTED_VALUE"""),"Albendazole &amp; Ivermectin")</f>
        <v>Albendazole &amp; Ivermectin</v>
      </c>
      <c r="G104" s="697" t="str">
        <f>IFERROR(__xludf.DUMMYFUNCTION("""COMPUTED_VALUE"""),"400 mg + .2 mg/kg")</f>
        <v>400 mg + .2 mg/kg</v>
      </c>
      <c r="H104" s="697">
        <f>IFERROR(__xludf.DUMMYFUNCTION("""COMPUTED_VALUE"""),1.0)</f>
        <v>1</v>
      </c>
      <c r="I104" s="706">
        <f>IFERROR(__xludf.DUMMYFUNCTION("""COMPUTED_VALUE"""),0.9)</f>
        <v>0.9</v>
      </c>
      <c r="J104" s="706">
        <f>IFERROR(__xludf.DUMMYFUNCTION("""COMPUTED_VALUE"""),0.14)</f>
        <v>0.14</v>
      </c>
      <c r="K104" s="697" t="str">
        <f>IFERROR(__xludf.DUMMYFUNCTION("""COMPUTED_VALUE"""),"Not available")</f>
        <v>Not available</v>
      </c>
      <c r="L104" s="697">
        <f>IFERROR(__xludf.DUMMYFUNCTION("""COMPUTED_VALUE"""),16.0)</f>
        <v>16</v>
      </c>
      <c r="M104" s="862" t="str">
        <f>IFERROR(__xludf.DUMMYFUNCTION("""COMPUTED_VALUE"""),"14-70")</f>
        <v>14-70</v>
      </c>
      <c r="N104" s="866">
        <f>IFERROR(__xludf.DUMMYFUNCTION("""COMPUTED_VALUE"""),0.04652777777777778)</f>
        <v>0.04652777778</v>
      </c>
      <c r="O104" s="697" t="str">
        <f>IFERROR(__xludf.DUMMYFUNCTION("""COMPUTED_VALUE"""),"All individuals (including children) in the communities. Women (non-pregnant and non-lactating).")</f>
        <v>All individuals (including children) in the communities. Women (non-pregnant and non-lactating).</v>
      </c>
      <c r="P104" s="697" t="str">
        <f>IFERROR(__xludf.DUMMYFUNCTION("""COMPUTED_VALUE"""),"Random single blind ")</f>
        <v>Random single blind </v>
      </c>
      <c r="Q104" s="697" t="str">
        <f>IFERROR(__xludf.DUMMYFUNCTION("""COMPUTED_VALUE"""),"Yes")</f>
        <v>Yes</v>
      </c>
      <c r="R104" s="697" t="str">
        <f>IFERROR(__xludf.DUMMYFUNCTION("""COMPUTED_VALUE"""),"Yes")</f>
        <v>Yes</v>
      </c>
      <c r="S104" s="697" t="str">
        <f>IFERROR(__xludf.DUMMYFUNCTION("""COMPUTED_VALUE"""),"1 year")</f>
        <v>1 year</v>
      </c>
      <c r="T104" s="697" t="str">
        <f>IFERROR(__xludf.DUMMYFUNCTION("""COMPUTED_VALUE"""),"The combination of DEC and albendazole, both well tested drugs, offers a new option for countries such as India where there is no onchocerciasis or loiasis and where ivermectin may not be immediately available.")</f>
        <v>The combination of DEC and albendazole, both well tested drugs, offers a new option for countries such as India where there is no onchocerciasis or loiasis and where ivermectin may not be immediately available.</v>
      </c>
      <c r="U104" s="697" t="str">
        <f>IFERROR(__xludf.DUMMYFUNCTION("""COMPUTED_VALUE"""),"The exact % reduction in mf was not provided so I entered data based on the estimation on the graph provided. The level of mf % decreased dramatically after the 12 hours of treament and ramained similar throughout the 360 days period. ")</f>
        <v>The exact % reduction in mf was not provided so I entered data based on the estimation on the graph provided. The level of mf % decreased dramatically after the 12 hours of treament and ramained similar throughout the 360 days period. </v>
      </c>
      <c r="V104" s="697">
        <f>IFERROR(__xludf.DUMMYFUNCTION("""COMPUTED_VALUE"""),1999.0)</f>
        <v>1999</v>
      </c>
      <c r="W104" s="697">
        <f>IFERROR(__xludf.DUMMYFUNCTION("""COMPUTED_VALUE"""),1999.0)</f>
        <v>1999</v>
      </c>
      <c r="X104" s="697" t="str">
        <f>IFERROR(__xludf.DUMMYFUNCTION("""COMPUTED_VALUE"""),"Shenoy RK, Dalia S, John A, Suma TK, and Kumaraswami V. Treatment of the microfilaraemia of asymptomatic brugian filariasis with single doses of ivermectin, diethylcarbamazine or albendazole, in various combinations. Annals of Tropical Medicine &amp; Parasito"&amp;"logy 1999; 93(6): 643-651.")</f>
        <v>Shenoy RK, Dalia S, John A, Suma TK, and Kumaraswami V. Treatment of the microfilaraemia of asymptomatic brugian filariasis with single doses of ivermectin, diethylcarbamazine or albendazole, in various combinations. Annals of Tropical Medicine &amp; Parasitology 1999; 93(6): 643-651.</v>
      </c>
      <c r="Y104" s="697" t="str">
        <f>IFERROR(__xludf.DUMMYFUNCTION("""COMPUTED_VALUE"""),"PMID: 10707109")</f>
        <v>PMID: 10707109</v>
      </c>
      <c r="Z104" s="865" t="str">
        <f>IFERROR(__xludf.DUMMYFUNCTION("""COMPUTED_VALUE"""),"https://drive.google.com/file/d/0B9vYgR7NsKoYUC1NeHdLZlh6Y2s/view?usp=sharing")</f>
        <v>https://drive.google.com/file/d/0B9vYgR7NsKoYUC1NeHdLZlh6Y2s/view?usp=sharing</v>
      </c>
      <c r="AA104" s="697"/>
    </row>
    <row r="105">
      <c r="A105" s="697" t="str">
        <f>IFERROR(__xludf.DUMMYFUNCTION("""COMPUTED_VALUE"""),"Fischer P, 2003")</f>
        <v>Fischer P, 2003</v>
      </c>
      <c r="B105" s="697" t="str">
        <f>IFERROR(__xludf.DUMMYFUNCTION("""COMPUTED_VALUE"""),"Ross")</f>
        <v>Ross</v>
      </c>
      <c r="C105" s="697" t="str">
        <f>IFERROR(__xludf.DUMMYFUNCTION("""COMPUTED_VALUE"""),"Ross")</f>
        <v>Ross</v>
      </c>
      <c r="D105" s="697" t="str">
        <f>IFERROR(__xludf.DUMMYFUNCTION("""COMPUTED_VALUE"""),"Indonesia")</f>
        <v>Indonesia</v>
      </c>
      <c r="E105" s="697" t="str">
        <f>IFERROR(__xludf.DUMMYFUNCTION("""COMPUTED_VALUE"""),"Brugia malayi")</f>
        <v>Brugia malayi</v>
      </c>
      <c r="F105" s="697" t="str">
        <f>IFERROR(__xludf.DUMMYFUNCTION("""COMPUTED_VALUE"""),"Albendazole &amp; DEC")</f>
        <v>Albendazole &amp; DEC</v>
      </c>
      <c r="G105" s="697" t="str">
        <f>IFERROR(__xludf.DUMMYFUNCTION("""COMPUTED_VALUE"""),"400 mg + 6mg/kg")</f>
        <v>400 mg + 6mg/kg</v>
      </c>
      <c r="H105" s="697">
        <f>IFERROR(__xludf.DUMMYFUNCTION("""COMPUTED_VALUE"""),1.0)</f>
        <v>1</v>
      </c>
      <c r="I105" s="706">
        <f>IFERROR(__xludf.DUMMYFUNCTION("""COMPUTED_VALUE"""),0.98)</f>
        <v>0.98</v>
      </c>
      <c r="J105" s="706">
        <f>IFERROR(__xludf.DUMMYFUNCTION("""COMPUTED_VALUE"""),0.72)</f>
        <v>0.72</v>
      </c>
      <c r="K105" s="697"/>
      <c r="L105" s="697">
        <f>IFERROR(__xludf.DUMMYFUNCTION("""COMPUTED_VALUE"""),126.0)</f>
        <v>126</v>
      </c>
      <c r="M105" s="697" t="str">
        <f>IFERROR(__xludf.DUMMYFUNCTION("""COMPUTED_VALUE"""),"7-67")</f>
        <v>7-67</v>
      </c>
      <c r="N105" s="10" t="str">
        <f>IFERROR(__xludf.DUMMYFUNCTION("""COMPUTED_VALUE"""),"27:39
42:54")</f>
        <v>27:39
42:54</v>
      </c>
      <c r="O105" s="697" t="str">
        <f>IFERROR(__xludf.DUMMYFUNCTION("""COMPUTED_VALUE"""),"586 people were examined for
lymphatic fllariasis and 157 individuals positive for
B. timori mf were found. No other human filarial parasite
was found in the study area and none of the
individuals had received antifllarial therapy since 1990.")</f>
        <v>586 people were examined for
lymphatic fllariasis and 157 individuals positive for
B. timori mf were found. No other human filarial parasite
was found in the study area and none of the
individuals had received antifllarial therapy since 1990.</v>
      </c>
      <c r="P105" s="697" t="str">
        <f>IFERROR(__xludf.DUMMYFUNCTION("""COMPUTED_VALUE"""),"cross-sectional (?) study following up hospital treatments")</f>
        <v>cross-sectional (?) study following up hospital treatments</v>
      </c>
      <c r="Q105" s="697" t="str">
        <f>IFERROR(__xludf.DUMMYFUNCTION("""COMPUTED_VALUE"""),"No")</f>
        <v>No</v>
      </c>
      <c r="R105" s="697" t="str">
        <f>IFERROR(__xludf.DUMMYFUNCTION("""COMPUTED_VALUE"""),"No")</f>
        <v>No</v>
      </c>
      <c r="S105" s="697" t="str">
        <f>IFERROR(__xludf.DUMMYFUNCTION("""COMPUTED_VALUE"""),"6 months, 1 year")</f>
        <v>6 months, 1 year</v>
      </c>
      <c r="T105" s="697" t="str">
        <f>IFERROR(__xludf.DUMMYFUNCTION("""COMPUTED_VALUE"""),"It can be concluded that a single dose of DEC + ALB leads to a long-term and progressive suppression ofB. timori mffor at least 1 year. Therefore, DEC+ ALB can be recommended as an effective strategy to control B. timori infection in the framework of the "&amp;"Global Programme to Eliminate Lymphatic Filariasis.")</f>
        <v>It can be concluded that a single dose of DEC + ALB leads to a long-term and progressive suppression ofB. timori mffor at least 1 year. Therefore, DEC+ ALB can be recommended as an effective strategy to control B. timori infection in the framework of the Global Programme to Eliminate Lymphatic Filariasis.</v>
      </c>
      <c r="U105" s="697"/>
      <c r="V105" s="697">
        <f>IFERROR(__xludf.DUMMYFUNCTION("""COMPUTED_VALUE"""),2003.0)</f>
        <v>2003</v>
      </c>
      <c r="W105" s="697">
        <f>IFERROR(__xludf.DUMMYFUNCTION("""COMPUTED_VALUE"""),2003.0)</f>
        <v>2003</v>
      </c>
      <c r="X105" s="697" t="str">
        <f>IFERROR(__xludf.DUMMYFUNCTION("""COMPUTED_VALUE"""),"Peter Fischer, Yenny Djuardi, Is S. Ismid, Paul Riickert, Mark Bradley. Long-lasting reduction of Brugia timori mierofilariae following a single dose of
dieth¥1earbamazine combined with albendazole. TRANSACTIONS OF THE ROYAL SOCIETY OF TROPICAL MEDICINE A"&amp;"ND HYGIENE (2003) 97, 446-448   ")</f>
        <v>Peter Fischer, Yenny Djuardi, Is S. Ismid, Paul Riickert, Mark Bradley. Long-lasting reduction of Brugia timori mierofilariae following a single dose of
dieth¥1earbamazine combined with albendazole. TRANSACTIONS OF THE ROYAL SOCIETY OF TROPICAL MEDICINE AND HYGIENE (2003) 97, 446-448   </v>
      </c>
      <c r="Y105" s="697"/>
      <c r="Z105" s="865" t="str">
        <f>IFERROR(__xludf.DUMMYFUNCTION("""COMPUTED_VALUE"""),"https://drive.google.com/file/d/0B9vYgR7NsKoYVzA4c3BDaTlkT3M/view?usp=sharing")</f>
        <v>https://drive.google.com/file/d/0B9vYgR7NsKoYVzA4c3BDaTlkT3M/view?usp=sharing</v>
      </c>
      <c r="AA105" s="697"/>
    </row>
    <row r="106">
      <c r="A106" s="697" t="str">
        <f>IFERROR(__xludf.DUMMYFUNCTION("""COMPUTED_VALUE"""),"Shenoy 1999")</f>
        <v>Shenoy 1999</v>
      </c>
      <c r="B106" s="697" t="str">
        <f>IFERROR(__xludf.DUMMYFUNCTION("""COMPUTED_VALUE"""),"Kirti")</f>
        <v>Kirti</v>
      </c>
      <c r="C106" s="697" t="str">
        <f>IFERROR(__xludf.DUMMYFUNCTION("""COMPUTED_VALUE"""),"Alex ")</f>
        <v>Alex </v>
      </c>
      <c r="D106" s="697" t="str">
        <f>IFERROR(__xludf.DUMMYFUNCTION("""COMPUTED_VALUE"""),"India")</f>
        <v>India</v>
      </c>
      <c r="E106" s="697" t="str">
        <f>IFERROR(__xludf.DUMMYFUNCTION("""COMPUTED_VALUE"""),"Brugia malayi")</f>
        <v>Brugia malayi</v>
      </c>
      <c r="F106" s="697" t="str">
        <f>IFERROR(__xludf.DUMMYFUNCTION("""COMPUTED_VALUE"""),"Albendazole")</f>
        <v>Albendazole</v>
      </c>
      <c r="G106" s="697" t="str">
        <f>IFERROR(__xludf.DUMMYFUNCTION("""COMPUTED_VALUE"""),"400 mg")</f>
        <v>400 mg</v>
      </c>
      <c r="H106" s="697">
        <f>IFERROR(__xludf.DUMMYFUNCTION("""COMPUTED_VALUE"""),1.0)</f>
        <v>1</v>
      </c>
      <c r="I106" s="706">
        <f>IFERROR(__xludf.DUMMYFUNCTION("""COMPUTED_VALUE"""),0.0)</f>
        <v>0</v>
      </c>
      <c r="J106" s="706">
        <f>IFERROR(__xludf.DUMMYFUNCTION("""COMPUTED_VALUE"""),0.0)</f>
        <v>0</v>
      </c>
      <c r="K106" s="697" t="str">
        <f>IFERROR(__xludf.DUMMYFUNCTION("""COMPUTED_VALUE"""),"Not available")</f>
        <v>Not available</v>
      </c>
      <c r="L106" s="697">
        <f>IFERROR(__xludf.DUMMYFUNCTION("""COMPUTED_VALUE"""),3.0)</f>
        <v>3</v>
      </c>
      <c r="M106" s="10" t="str">
        <f>IFERROR(__xludf.DUMMYFUNCTION("""COMPUTED_VALUE"""),"46-48")</f>
        <v>46-48</v>
      </c>
      <c r="N106" s="862" t="str">
        <f>IFERROR(__xludf.DUMMYFUNCTION("""COMPUTED_VALUE"""),"males")</f>
        <v>males</v>
      </c>
      <c r="O106" s="697" t="str">
        <f>IFERROR(__xludf.DUMMYFUNCTION("""COMPUTED_VALUE"""),"All individuals (including children) in the communities. Women (non-pregnant and non-lactating).")</f>
        <v>All individuals (including children) in the communities. Women (non-pregnant and non-lactating).</v>
      </c>
      <c r="P106" s="697" t="str">
        <f>IFERROR(__xludf.DUMMYFUNCTION("""COMPUTED_VALUE"""),"Random single blind ")</f>
        <v>Random single blind </v>
      </c>
      <c r="Q106" s="697" t="str">
        <f>IFERROR(__xludf.DUMMYFUNCTION("""COMPUTED_VALUE"""),"Yes")</f>
        <v>Yes</v>
      </c>
      <c r="R106" s="697" t="str">
        <f>IFERROR(__xludf.DUMMYFUNCTION("""COMPUTED_VALUE"""),"Yes")</f>
        <v>Yes</v>
      </c>
      <c r="S106" s="697" t="str">
        <f>IFERROR(__xludf.DUMMYFUNCTION("""COMPUTED_VALUE"""),"1 year")</f>
        <v>1 year</v>
      </c>
      <c r="T106" s="697" t="str">
        <f>IFERROR(__xludf.DUMMYFUNCTION("""COMPUTED_VALUE"""),"The combination of DEC and albendazole, both well tested drugs, offers a new option for countries such as India where there is no onchocerciasis or loiasis and where ivermectin may not be immediately available.")</f>
        <v>The combination of DEC and albendazole, both well tested drugs, offers a new option for countries such as India where there is no onchocerciasis or loiasis and where ivermectin may not be immediately available.</v>
      </c>
      <c r="U106" s="697" t="str">
        <f>IFERROR(__xludf.DUMMYFUNCTION("""COMPUTED_VALUE"""),"The exact % reduction in mf was not provided so I entered data based on the estimation on the graph provided. The % of mf went beyong 140%.")</f>
        <v>The exact % reduction in mf was not provided so I entered data based on the estimation on the graph provided. The % of mf went beyong 140%.</v>
      </c>
      <c r="V106" s="697">
        <f>IFERROR(__xludf.DUMMYFUNCTION("""COMPUTED_VALUE"""),1999.0)</f>
        <v>1999</v>
      </c>
      <c r="W106" s="697">
        <f>IFERROR(__xludf.DUMMYFUNCTION("""COMPUTED_VALUE"""),1999.0)</f>
        <v>1999</v>
      </c>
      <c r="X106" s="697" t="str">
        <f>IFERROR(__xludf.DUMMYFUNCTION("""COMPUTED_VALUE"""),"Shenoy RK, Dalia S, John A, Suma TK, and Kumaraswami V. Treatment of the microfilaraemia of asymptomatic brugian filariasis with single doses of ivermectin, diethylcarbamazine or albendazole, in various combinations. Annals of Tropical Medicine &amp; Parasito"&amp;"logy 1999; 93(6): 643-651.")</f>
        <v>Shenoy RK, Dalia S, John A, Suma TK, and Kumaraswami V. Treatment of the microfilaraemia of asymptomatic brugian filariasis with single doses of ivermectin, diethylcarbamazine or albendazole, in various combinations. Annals of Tropical Medicine &amp; Parasitology 1999; 93(6): 643-651.</v>
      </c>
      <c r="Y106" s="697" t="str">
        <f>IFERROR(__xludf.DUMMYFUNCTION("""COMPUTED_VALUE"""),"PMID: 10707109")</f>
        <v>PMID: 10707109</v>
      </c>
      <c r="Z106" s="865" t="str">
        <f>IFERROR(__xludf.DUMMYFUNCTION("""COMPUTED_VALUE"""),"https://drive.google.com/file/d/0B9vYgR7NsKoYUC1NeHdLZlh6Y2s/view?usp=sharing")</f>
        <v>https://drive.google.com/file/d/0B9vYgR7NsKoYUC1NeHdLZlh6Y2s/view?usp=sharing</v>
      </c>
      <c r="AA106" s="697"/>
    </row>
    <row r="107">
      <c r="A107" s="697" t="str">
        <f>IFERROR(__xludf.DUMMYFUNCTION("""COMPUTED_VALUE"""),"Shenoy, 1998")</f>
        <v>Shenoy, 1998</v>
      </c>
      <c r="B107" s="697"/>
      <c r="C107" s="697" t="str">
        <f>IFERROR(__xludf.DUMMYFUNCTION("""COMPUTED_VALUE"""),"Alex")</f>
        <v>Alex</v>
      </c>
      <c r="D107" s="697" t="str">
        <f>IFERROR(__xludf.DUMMYFUNCTION("""COMPUTED_VALUE"""),"India")</f>
        <v>India</v>
      </c>
      <c r="E107" s="697" t="str">
        <f>IFERROR(__xludf.DUMMYFUNCTION("""COMPUTED_VALUE"""),"B. malayi")</f>
        <v>B. malayi</v>
      </c>
      <c r="F107" s="697" t="str">
        <f>IFERROR(__xludf.DUMMYFUNCTION("""COMPUTED_VALUE"""),"DEC &amp; Ivermectin")</f>
        <v>DEC &amp; Ivermectin</v>
      </c>
      <c r="G107" s="697" t="str">
        <f>IFERROR(__xludf.DUMMYFUNCTION("""COMPUTED_VALUE"""),".4 mg/kg + 6 mg/kg")</f>
        <v>.4 mg/kg + 6 mg/kg</v>
      </c>
      <c r="H107" s="697">
        <f>IFERROR(__xludf.DUMMYFUNCTION("""COMPUTED_VALUE"""),1.0)</f>
        <v>1</v>
      </c>
      <c r="I107" s="706">
        <f>IFERROR(__xludf.DUMMYFUNCTION("""COMPUTED_VALUE"""),0.985)</f>
        <v>0.985</v>
      </c>
      <c r="J107" s="698">
        <f>IFERROR(__xludf.DUMMYFUNCTION("""COMPUTED_VALUE"""),0.684)</f>
        <v>0.684</v>
      </c>
      <c r="K107" s="697" t="str">
        <f>IFERROR(__xludf.DUMMYFUNCTION("""COMPUTED_VALUE"""),"Not available ")</f>
        <v>Not available </v>
      </c>
      <c r="L107" s="697">
        <f>IFERROR(__xludf.DUMMYFUNCTION("""COMPUTED_VALUE"""),19.0)</f>
        <v>19</v>
      </c>
      <c r="M107" s="697" t="str">
        <f>IFERROR(__xludf.DUMMYFUNCTION("""COMPUTED_VALUE"""),"18-48")</f>
        <v>18-48</v>
      </c>
      <c r="N107" s="862" t="str">
        <f>IFERROR(__xludf.DUMMYFUNCTION("""COMPUTED_VALUE"""),"males")</f>
        <v>males</v>
      </c>
      <c r="O107" s="697" t="str">
        <f>IFERROR(__xludf.DUMMYFUNCTION("""COMPUTED_VALUE"""),"Males healthy aside from B. malayi  microfilaraemia; had given oral consent")</f>
        <v>Males healthy aside from B. malayi  microfilaraemia; had given oral consent</v>
      </c>
      <c r="P107" s="697" t="str">
        <f>IFERROR(__xludf.DUMMYFUNCTION("""COMPUTED_VALUE"""),"open study, nonrandomized")</f>
        <v>open study, nonrandomized</v>
      </c>
      <c r="Q107" s="697" t="str">
        <f>IFERROR(__xludf.DUMMYFUNCTION("""COMPUTED_VALUE"""),"No")</f>
        <v>No</v>
      </c>
      <c r="R107" s="697" t="str">
        <f>IFERROR(__xludf.DUMMYFUNCTION("""COMPUTED_VALUE"""),"No")</f>
        <v>No</v>
      </c>
      <c r="S107" s="697" t="str">
        <f>IFERROR(__xludf.DUMMYFUNCTION("""COMPUTED_VALUE"""),"360 days")</f>
        <v>360 days</v>
      </c>
      <c r="T107" s="697"/>
      <c r="U107" s="697"/>
      <c r="V107" s="697">
        <f>IFERROR(__xludf.DUMMYFUNCTION("""COMPUTED_VALUE"""),1997.0)</f>
        <v>1997</v>
      </c>
      <c r="W107" s="697">
        <f>IFERROR(__xludf.DUMMYFUNCTION("""COMPUTED_VALUE"""),1997.0)</f>
        <v>1997</v>
      </c>
      <c r="X107" s="697" t="str">
        <f>IFERROR(__xludf.DUMMYFUNCTION("""COMPUTED_VALUE"""),"Shenoy L. M. George A. John T. K, R. K., Suma, T. K., &amp; Kumaraswami, V. (1998). Treatment of microfilaraemia in asymptomatic brugian filariasis: The efficacy and safety of the combination of single doses of ivermectin and diethylcarbamazine. Annals of Tro"&amp;"pical Medicine And Parasitology, 92(5), 579-585.")</f>
        <v>Shenoy L. M. George A. John T. K, R. K., Suma, T. K., &amp; Kumaraswami, V. (1998). Treatment of microfilaraemia in asymptomatic brugian filariasis: The efficacy and safety of the combination of single doses of ivermectin and diethylcarbamazine. Annals of Tropical Medicine And Parasitology, 92(5), 579-585.</v>
      </c>
      <c r="Y107" s="697"/>
      <c r="Z107" s="865" t="str">
        <f>IFERROR(__xludf.DUMMYFUNCTION("""COMPUTED_VALUE"""),"https://drive.google.com/file/d/0B0-pry4DSOm3dVozeDVHZU92N2M/view?usp=sharing")</f>
        <v>https://drive.google.com/file/d/0B0-pry4DSOm3dVozeDVHZU92N2M/view?usp=sharing</v>
      </c>
      <c r="AA107" s="697"/>
    </row>
    <row r="108">
      <c r="A108" s="697" t="str">
        <f>IFERROR(__xludf.DUMMYFUNCTION("""COMPUTED_VALUE"""),"Shenoy, 1998")</f>
        <v>Shenoy, 1998</v>
      </c>
      <c r="B108" s="697"/>
      <c r="C108" s="697" t="str">
        <f>IFERROR(__xludf.DUMMYFUNCTION("""COMPUTED_VALUE"""),"Alex")</f>
        <v>Alex</v>
      </c>
      <c r="D108" s="697" t="str">
        <f>IFERROR(__xludf.DUMMYFUNCTION("""COMPUTED_VALUE"""),"India")</f>
        <v>India</v>
      </c>
      <c r="E108" s="697" t="str">
        <f>IFERROR(__xludf.DUMMYFUNCTION("""COMPUTED_VALUE"""),"B. malayi")</f>
        <v>B. malayi</v>
      </c>
      <c r="F108" s="697" t="str">
        <f>IFERROR(__xludf.DUMMYFUNCTION("""COMPUTED_VALUE"""),"Ivermectin")</f>
        <v>Ivermectin</v>
      </c>
      <c r="G108" s="697" t="str">
        <f>IFERROR(__xludf.DUMMYFUNCTION("""COMPUTED_VALUE"""),".42 mg/kg")</f>
        <v>.42 mg/kg</v>
      </c>
      <c r="H108" s="697">
        <f>IFERROR(__xludf.DUMMYFUNCTION("""COMPUTED_VALUE"""),1.0)</f>
        <v>1</v>
      </c>
      <c r="I108" s="698">
        <f>IFERROR(__xludf.DUMMYFUNCTION("""COMPUTED_VALUE"""),0.954)</f>
        <v>0.954</v>
      </c>
      <c r="J108" s="697"/>
      <c r="K108" s="697" t="str">
        <f>IFERROR(__xludf.DUMMYFUNCTION("""COMPUTED_VALUE"""),"Not available ")</f>
        <v>Not available </v>
      </c>
      <c r="L108" s="697">
        <f>IFERROR(__xludf.DUMMYFUNCTION("""COMPUTED_VALUE"""),11.0)</f>
        <v>11</v>
      </c>
      <c r="M108" s="697" t="str">
        <f>IFERROR(__xludf.DUMMYFUNCTION("""COMPUTED_VALUE"""),"18- 48")</f>
        <v>18- 48</v>
      </c>
      <c r="N108" s="862" t="str">
        <f>IFERROR(__xludf.DUMMYFUNCTION("""COMPUTED_VALUE"""),"males")</f>
        <v>males</v>
      </c>
      <c r="O108" s="697" t="str">
        <f>IFERROR(__xludf.DUMMYFUNCTION("""COMPUTED_VALUE"""),"Males healthy aside from B. malayi  microfilaraemia; had given oral consent")</f>
        <v>Males healthy aside from B. malayi  microfilaraemia; had given oral consent</v>
      </c>
      <c r="P108" s="697" t="str">
        <f>IFERROR(__xludf.DUMMYFUNCTION("""COMPUTED_VALUE"""),"open study, nonrandomized")</f>
        <v>open study, nonrandomized</v>
      </c>
      <c r="Q108" s="697" t="str">
        <f>IFERROR(__xludf.DUMMYFUNCTION("""COMPUTED_VALUE"""),"No")</f>
        <v>No</v>
      </c>
      <c r="R108" s="697" t="str">
        <f>IFERROR(__xludf.DUMMYFUNCTION("""COMPUTED_VALUE"""),"No")</f>
        <v>No</v>
      </c>
      <c r="S108" s="697" t="str">
        <f>IFERROR(__xludf.DUMMYFUNCTION("""COMPUTED_VALUE"""),"360 days")</f>
        <v>360 days</v>
      </c>
      <c r="T108" s="697"/>
      <c r="U108" s="697"/>
      <c r="V108" s="697">
        <f>IFERROR(__xludf.DUMMYFUNCTION("""COMPUTED_VALUE"""),1997.0)</f>
        <v>1997</v>
      </c>
      <c r="W108" s="697">
        <f>IFERROR(__xludf.DUMMYFUNCTION("""COMPUTED_VALUE"""),1997.0)</f>
        <v>1997</v>
      </c>
      <c r="X108" s="697" t="str">
        <f>IFERROR(__xludf.DUMMYFUNCTION("""COMPUTED_VALUE"""),"Shenoy L. M. George A. John T. K, R. K., Suma, T. K., &amp; Kumaraswami, V. (1998). Treatment of microfilaraemia in asymptomatic brugian filariasis: The efficacy and safety of the combination of single doses of ivermectin and diethylcarbamazine. Annals of Tro"&amp;"pical Medicine And Parasitology, 92(5), 579-585.")</f>
        <v>Shenoy L. M. George A. John T. K, R. K., Suma, T. K., &amp; Kumaraswami, V. (1998). Treatment of microfilaraemia in asymptomatic brugian filariasis: The efficacy and safety of the combination of single doses of ivermectin and diethylcarbamazine. Annals of Tropical Medicine And Parasitology, 92(5), 579-585.</v>
      </c>
      <c r="Y108" s="697"/>
      <c r="Z108" s="865" t="str">
        <f>IFERROR(__xludf.DUMMYFUNCTION("""COMPUTED_VALUE"""),"https://drive.google.com/file/d/0B0-pry4DSOm3dVozeDVHZU92N2M/view?usp=sharing")</f>
        <v>https://drive.google.com/file/d/0B0-pry4DSOm3dVozeDVHZU92N2M/view?usp=sharing</v>
      </c>
      <c r="AA108" s="697"/>
    </row>
    <row r="109">
      <c r="A109" s="697" t="str">
        <f>IFERROR(__xludf.DUMMYFUNCTION("""COMPUTED_VALUE"""),"Shenoy, 1998")</f>
        <v>Shenoy, 1998</v>
      </c>
      <c r="B109" s="697"/>
      <c r="C109" s="697" t="str">
        <f>IFERROR(__xludf.DUMMYFUNCTION("""COMPUTED_VALUE"""),"Alex")</f>
        <v>Alex</v>
      </c>
      <c r="D109" s="697" t="str">
        <f>IFERROR(__xludf.DUMMYFUNCTION("""COMPUTED_VALUE"""),"India")</f>
        <v>India</v>
      </c>
      <c r="E109" s="697" t="str">
        <f>IFERROR(__xludf.DUMMYFUNCTION("""COMPUTED_VALUE"""),"B. malayi")</f>
        <v>B. malayi</v>
      </c>
      <c r="F109" s="697" t="str">
        <f>IFERROR(__xludf.DUMMYFUNCTION("""COMPUTED_VALUE"""),"DEC")</f>
        <v>DEC</v>
      </c>
      <c r="G109" s="697" t="str">
        <f>IFERROR(__xludf.DUMMYFUNCTION("""COMPUTED_VALUE"""),"7 mg/ kg")</f>
        <v>7 mg/ kg</v>
      </c>
      <c r="H109" s="697">
        <f>IFERROR(__xludf.DUMMYFUNCTION("""COMPUTED_VALUE"""),1.0)</f>
        <v>1</v>
      </c>
      <c r="I109" s="706">
        <f>IFERROR(__xludf.DUMMYFUNCTION("""COMPUTED_VALUE"""),0.97)</f>
        <v>0.97</v>
      </c>
      <c r="J109" s="697"/>
      <c r="K109" s="697" t="str">
        <f>IFERROR(__xludf.DUMMYFUNCTION("""COMPUTED_VALUE"""),"Not available ")</f>
        <v>Not available </v>
      </c>
      <c r="L109" s="697">
        <f>IFERROR(__xludf.DUMMYFUNCTION("""COMPUTED_VALUE"""),9.0)</f>
        <v>9</v>
      </c>
      <c r="M109" s="697" t="str">
        <f>IFERROR(__xludf.DUMMYFUNCTION("""COMPUTED_VALUE"""),"18- 48")</f>
        <v>18- 48</v>
      </c>
      <c r="N109" s="862" t="str">
        <f>IFERROR(__xludf.DUMMYFUNCTION("""COMPUTED_VALUE"""),"males")</f>
        <v>males</v>
      </c>
      <c r="O109" s="697" t="str">
        <f>IFERROR(__xludf.DUMMYFUNCTION("""COMPUTED_VALUE"""),"Males healthy aside from B. malayi  microfilaraemia; had given oral consent")</f>
        <v>Males healthy aside from B. malayi  microfilaraemia; had given oral consent</v>
      </c>
      <c r="P109" s="697" t="str">
        <f>IFERROR(__xludf.DUMMYFUNCTION("""COMPUTED_VALUE"""),"open study, nonrandomized")</f>
        <v>open study, nonrandomized</v>
      </c>
      <c r="Q109" s="697" t="str">
        <f>IFERROR(__xludf.DUMMYFUNCTION("""COMPUTED_VALUE"""),"No")</f>
        <v>No</v>
      </c>
      <c r="R109" s="697" t="str">
        <f>IFERROR(__xludf.DUMMYFUNCTION("""COMPUTED_VALUE"""),"No")</f>
        <v>No</v>
      </c>
      <c r="S109" s="697" t="str">
        <f>IFERROR(__xludf.DUMMYFUNCTION("""COMPUTED_VALUE"""),"360 days")</f>
        <v>360 days</v>
      </c>
      <c r="T109" s="697"/>
      <c r="U109" s="697"/>
      <c r="V109" s="697">
        <f>IFERROR(__xludf.DUMMYFUNCTION("""COMPUTED_VALUE"""),1997.0)</f>
        <v>1997</v>
      </c>
      <c r="W109" s="697">
        <f>IFERROR(__xludf.DUMMYFUNCTION("""COMPUTED_VALUE"""),1997.0)</f>
        <v>1997</v>
      </c>
      <c r="X109" s="697" t="str">
        <f>IFERROR(__xludf.DUMMYFUNCTION("""COMPUTED_VALUE"""),"Shenoy L. M. George A. John T. K, R. K., Suma, T. K., &amp; Kumaraswami, V. (1998). Treatment of microfilaraemia in asymptomatic brugian filariasis: The efficacy and safety of the combination of single doses of ivermectin and diethylcarbamazine. Annals of Tro"&amp;"pical Medicine And Parasitology, 92(5), 579-585.")</f>
        <v>Shenoy L. M. George A. John T. K, R. K., Suma, T. K., &amp; Kumaraswami, V. (1998). Treatment of microfilaraemia in asymptomatic brugian filariasis: The efficacy and safety of the combination of single doses of ivermectin and diethylcarbamazine. Annals of Tropical Medicine And Parasitology, 92(5), 579-585.</v>
      </c>
      <c r="Y109" s="697"/>
      <c r="Z109" s="865" t="str">
        <f>IFERROR(__xludf.DUMMYFUNCTION("""COMPUTED_VALUE"""),"https://drive.google.com/file/d/0B0-pry4DSOm3dVozeDVHZU92N2M/view?usp=sharing")</f>
        <v>https://drive.google.com/file/d/0B0-pry4DSOm3dVozeDVHZU92N2M/view?usp=sharing</v>
      </c>
      <c r="AA109" s="697"/>
    </row>
    <row r="110">
      <c r="A110" s="697" t="str">
        <f>IFERROR(__xludf.DUMMYFUNCTION("""COMPUTED_VALUE"""),"Shenoy, 1998")</f>
        <v>Shenoy, 1998</v>
      </c>
      <c r="B110" s="697" t="str">
        <f>IFERROR(__xludf.DUMMYFUNCTION("""COMPUTED_VALUE"""),"Chungsoo")</f>
        <v>Chungsoo</v>
      </c>
      <c r="C110" s="697" t="str">
        <f>IFERROR(__xludf.DUMMYFUNCTION("""COMPUTED_VALUE"""),"Kirti")</f>
        <v>Kirti</v>
      </c>
      <c r="D110" s="697" t="str">
        <f>IFERROR(__xludf.DUMMYFUNCTION("""COMPUTED_VALUE"""),"India")</f>
        <v>India</v>
      </c>
      <c r="E110" s="697" t="str">
        <f>IFERROR(__xludf.DUMMYFUNCTION("""COMPUTED_VALUE"""),"W. bancrofti")</f>
        <v>W. bancrofti</v>
      </c>
      <c r="F110" s="697" t="str">
        <f>IFERROR(__xludf.DUMMYFUNCTION("""COMPUTED_VALUE"""),"Ivermectin")</f>
        <v>Ivermectin</v>
      </c>
      <c r="G110" s="697" t="str">
        <f>IFERROR(__xludf.DUMMYFUNCTION("""COMPUTED_VALUE"""),".4 mg/kg")</f>
        <v>.4 mg/kg</v>
      </c>
      <c r="H110" s="697">
        <f>IFERROR(__xludf.DUMMYFUNCTION("""COMPUTED_VALUE"""),1.0)</f>
        <v>1</v>
      </c>
      <c r="I110" s="706">
        <f>IFERROR(__xludf.DUMMYFUNCTION("""COMPUTED_VALUE"""),0.298)</f>
        <v>0.298</v>
      </c>
      <c r="J110" s="697"/>
      <c r="K110" s="697"/>
      <c r="L110" s="697">
        <f>IFERROR(__xludf.DUMMYFUNCTION("""COMPUTED_VALUE"""),37.0)</f>
        <v>37</v>
      </c>
      <c r="M110" s="705" t="str">
        <f>IFERROR(__xludf.DUMMYFUNCTION("""COMPUTED_VALUE"""),"18-65")</f>
        <v>18-65</v>
      </c>
      <c r="N110" s="866">
        <f>IFERROR(__xludf.DUMMYFUNCTION("""COMPUTED_VALUE"""),2.1729166666666666)</f>
        <v>2.172916667</v>
      </c>
      <c r="O110" s="697" t="str">
        <f>IFERROR(__xludf.DUMMYFUNCTION("""COMPUTED_VALUE"""),"Patients who had cellulitis due to an identiable cause (i.e. injuries or fungal infections) in the absence of an underlying lymphoedema, thrombophlebitis or a history or physical examination suggestive of sexually transmitted disease were excluded. Both m"&amp;"en and non- pregnant women were included in the study.")</f>
        <v>Patients who had cellulitis due to an identiable cause (i.e. injuries or fungal infections) in the absence of an underlying lymphoedema, thrombophlebitis or a history or physical examination suggestive of sexually transmitted disease were excluded. Both men and non- pregnant women were included in the study.</v>
      </c>
      <c r="P110" s="697" t="str">
        <f>IFERROR(__xludf.DUMMYFUNCTION("""COMPUTED_VALUE"""),"double-blind")</f>
        <v>double-blind</v>
      </c>
      <c r="Q110" s="697" t="str">
        <f>IFERROR(__xludf.DUMMYFUNCTION("""COMPUTED_VALUE"""),"Yes")</f>
        <v>Yes</v>
      </c>
      <c r="R110" s="697" t="str">
        <f>IFERROR(__xludf.DUMMYFUNCTION("""COMPUTED_VALUE"""),"No")</f>
        <v>No</v>
      </c>
      <c r="S110" s="697" t="str">
        <f>IFERROR(__xludf.DUMMYFUNCTION("""COMPUTED_VALUE"""),"12 months")</f>
        <v>12 months</v>
      </c>
      <c r="T110" s="697" t="str">
        <f>IFERROR(__xludf.DUMMYFUNCTION("""COMPUTED_VALUE"""),"There was a signi®cant reduction in the frequency of ADL attacks in each of the three groups during the 2-year study period (P , 0.001 for each comparison). Most importantly, there were no signi®cant differences in frequency of attacks between the three g"&amp;"roups.")</f>
        <v>There was a signi®cant reduction in the frequency of ADL attacks in each of the three groups during the 2-year study period (P , 0.001 for each comparison). Most importantly, there were no signi®cant differences in frequency of attacks between the three groups.</v>
      </c>
      <c r="U110" s="697"/>
      <c r="V110" s="697">
        <f>IFERROR(__xludf.DUMMYFUNCTION("""COMPUTED_VALUE"""),1998.0)</f>
        <v>1998</v>
      </c>
      <c r="W110" s="697">
        <f>IFERROR(__xludf.DUMMYFUNCTION("""COMPUTED_VALUE"""),1998.0)</f>
        <v>1998</v>
      </c>
      <c r="X110" s="697" t="str">
        <f>IFERROR(__xludf.DUMMYFUNCTION("""COMPUTED_VALUE""")," K. SHENOY T. K. SUMA K. RAJAN V. KU R. Prevention of acute adenolymphangitis in brugian filariasis: comparison of the efficacy of ivermectin and diethylcarbamazine, each combined with local treatment of the affected limb. Annals of Tropical Medicine And "&amp;"Parasitology. Informa UK Limited; 1998 Jul 1;92(5):587–94.")</f>
        <v> K. SHENOY T. K. SUMA K. RAJAN V. KU R. Prevention of acute adenolymphangitis in brugian filariasis: comparison of the efficacy of ivermectin and diethylcarbamazine, each combined with local treatment of the affected limb. Annals of Tropical Medicine And Parasitology. Informa UK Limited; 1998 Jul 1;92(5):587–94.</v>
      </c>
      <c r="Y110" s="697" t="str">
        <f>IFERROR(__xludf.DUMMYFUNCTION("""COMPUTED_VALUE"""),"10.1080/00034989859285")</f>
        <v>10.1080/00034989859285</v>
      </c>
      <c r="Z110" s="865" t="str">
        <f>IFERROR(__xludf.DUMMYFUNCTION("""COMPUTED_VALUE"""),"https://drive.google.com/file/d/0B9vYgR7NsKoYNFR2bkRZUDFQSUk/view?usp=sharing")</f>
        <v>https://drive.google.com/file/d/0B9vYgR7NsKoYNFR2bkRZUDFQSUk/view?usp=sharing</v>
      </c>
      <c r="AA110" s="697"/>
    </row>
    <row r="111">
      <c r="A111" s="697" t="str">
        <f>IFERROR(__xludf.DUMMYFUNCTION("""COMPUTED_VALUE"""),"Shenoy, 1998")</f>
        <v>Shenoy, 1998</v>
      </c>
      <c r="B111" s="697" t="str">
        <f>IFERROR(__xludf.DUMMYFUNCTION("""COMPUTED_VALUE"""),"Chungsoo")</f>
        <v>Chungsoo</v>
      </c>
      <c r="C111" s="697" t="str">
        <f>IFERROR(__xludf.DUMMYFUNCTION("""COMPUTED_VALUE"""),"Kirti")</f>
        <v>Kirti</v>
      </c>
      <c r="D111" s="697" t="str">
        <f>IFERROR(__xludf.DUMMYFUNCTION("""COMPUTED_VALUE"""),"India")</f>
        <v>India</v>
      </c>
      <c r="E111" s="697" t="str">
        <f>IFERROR(__xludf.DUMMYFUNCTION("""COMPUTED_VALUE"""),"W. bancrofti")</f>
        <v>W. bancrofti</v>
      </c>
      <c r="F111" s="697" t="str">
        <f>IFERROR(__xludf.DUMMYFUNCTION("""COMPUTED_VALUE"""),"DEC")</f>
        <v>DEC</v>
      </c>
      <c r="G111" s="697" t="str">
        <f>IFERROR(__xludf.DUMMYFUNCTION("""COMPUTED_VALUE"""),"10 mg/kg")</f>
        <v>10 mg/kg</v>
      </c>
      <c r="H111" s="697">
        <f>IFERROR(__xludf.DUMMYFUNCTION("""COMPUTED_VALUE"""),1.0)</f>
        <v>1</v>
      </c>
      <c r="I111" s="706">
        <f>IFERROR(__xludf.DUMMYFUNCTION("""COMPUTED_VALUE"""),0.243)</f>
        <v>0.243</v>
      </c>
      <c r="J111" s="697"/>
      <c r="K111" s="697"/>
      <c r="L111" s="697">
        <f>IFERROR(__xludf.DUMMYFUNCTION("""COMPUTED_VALUE"""),37.0)</f>
        <v>37</v>
      </c>
      <c r="M111" s="705" t="str">
        <f>IFERROR(__xludf.DUMMYFUNCTION("""COMPUTED_VALUE"""),"18-65")</f>
        <v>18-65</v>
      </c>
      <c r="N111" s="866">
        <f>IFERROR(__xludf.DUMMYFUNCTION("""COMPUTED_VALUE"""),2.1729166666666666)</f>
        <v>2.172916667</v>
      </c>
      <c r="O111" s="697" t="str">
        <f>IFERROR(__xludf.DUMMYFUNCTION("""COMPUTED_VALUE"""),"Patients who had cellulitis due to an identiable cause (i.e. injuries or fungal infections) in the absence of an underlying lymphoedema, thrombophlebitis or a history or physical examination suggestive of sexually transmitted disease were excluded. Both m"&amp;"en and non- pregnant women were included in the study.")</f>
        <v>Patients who had cellulitis due to an identiable cause (i.e. injuries or fungal infections) in the absence of an underlying lymphoedema, thrombophlebitis or a history or physical examination suggestive of sexually transmitted disease were excluded. Both men and non- pregnant women were included in the study.</v>
      </c>
      <c r="P111" s="697" t="str">
        <f>IFERROR(__xludf.DUMMYFUNCTION("""COMPUTED_VALUE"""),"double-blind")</f>
        <v>double-blind</v>
      </c>
      <c r="Q111" s="697" t="str">
        <f>IFERROR(__xludf.DUMMYFUNCTION("""COMPUTED_VALUE"""),"Yes")</f>
        <v>Yes</v>
      </c>
      <c r="R111" s="697" t="str">
        <f>IFERROR(__xludf.DUMMYFUNCTION("""COMPUTED_VALUE"""),"No")</f>
        <v>No</v>
      </c>
      <c r="S111" s="697" t="str">
        <f>IFERROR(__xludf.DUMMYFUNCTION("""COMPUTED_VALUE"""),"12 months")</f>
        <v>12 months</v>
      </c>
      <c r="T111" s="697" t="str">
        <f>IFERROR(__xludf.DUMMYFUNCTION("""COMPUTED_VALUE"""),"There was a signi®cant reduction in the frequency of ADL attacks in each of the three groups during the 2-year study period (P , 0.001 for each comparison). Most importantly, there were no signi®cant differences in frequency of attacks between the three g"&amp;"roups.")</f>
        <v>There was a signi®cant reduction in the frequency of ADL attacks in each of the three groups during the 2-year study period (P , 0.001 for each comparison). Most importantly, there were no signi®cant differences in frequency of attacks between the three groups.</v>
      </c>
      <c r="U111" s="697"/>
      <c r="V111" s="697">
        <f>IFERROR(__xludf.DUMMYFUNCTION("""COMPUTED_VALUE"""),1998.0)</f>
        <v>1998</v>
      </c>
      <c r="W111" s="697">
        <f>IFERROR(__xludf.DUMMYFUNCTION("""COMPUTED_VALUE"""),1998.0)</f>
        <v>1998</v>
      </c>
      <c r="X111" s="697" t="str">
        <f>IFERROR(__xludf.DUMMYFUNCTION("""COMPUTED_VALUE""")," K. SHENOY T. K. SUMA K. RAJAN V. KU R. Prevention of acute adenolymphangitis in brugian filariasis: comparison of the efficacy of ivermectin and diethylcarbamazine, each combined with local treatment of the affected limb. Annals of Tropical Medicine And "&amp;"Parasitology. Informa UK Limited; 1998 Jul 1;92(5):587–94.")</f>
        <v> K. SHENOY T. K. SUMA K. RAJAN V. KU R. Prevention of acute adenolymphangitis in brugian filariasis: comparison of the efficacy of ivermectin and diethylcarbamazine, each combined with local treatment of the affected limb. Annals of Tropical Medicine And Parasitology. Informa UK Limited; 1998 Jul 1;92(5):587–94.</v>
      </c>
      <c r="Y111" s="697" t="str">
        <f>IFERROR(__xludf.DUMMYFUNCTION("""COMPUTED_VALUE"""),"10.1080/00034989859285")</f>
        <v>10.1080/00034989859285</v>
      </c>
      <c r="Z111" s="865" t="str">
        <f>IFERROR(__xludf.DUMMYFUNCTION("""COMPUTED_VALUE"""),"https://drive.google.com/file/d/0B9vYgR7NsKoYNFR2bkRZUDFQSUk/view?usp=sharing")</f>
        <v>https://drive.google.com/file/d/0B9vYgR7NsKoYNFR2bkRZUDFQSUk/view?usp=sharing</v>
      </c>
      <c r="AA111" s="697"/>
    </row>
    <row r="112">
      <c r="A112" s="697" t="str">
        <f>IFERROR(__xludf.DUMMYFUNCTION("""COMPUTED_VALUE"""),"Shenoy, 1998")</f>
        <v>Shenoy, 1998</v>
      </c>
      <c r="B112" s="697" t="str">
        <f>IFERROR(__xludf.DUMMYFUNCTION("""COMPUTED_VALUE"""),"Chungsoo")</f>
        <v>Chungsoo</v>
      </c>
      <c r="C112" s="697" t="str">
        <f>IFERROR(__xludf.DUMMYFUNCTION("""COMPUTED_VALUE"""),"Kirti")</f>
        <v>Kirti</v>
      </c>
      <c r="D112" s="697" t="str">
        <f>IFERROR(__xludf.DUMMYFUNCTION("""COMPUTED_VALUE"""),"India")</f>
        <v>India</v>
      </c>
      <c r="E112" s="697" t="str">
        <f>IFERROR(__xludf.DUMMYFUNCTION("""COMPUTED_VALUE"""),"W. bancrofti")</f>
        <v>W. bancrofti</v>
      </c>
      <c r="F112" s="697" t="str">
        <f>IFERROR(__xludf.DUMMYFUNCTION("""COMPUTED_VALUE"""),"Placebo")</f>
        <v>Placebo</v>
      </c>
      <c r="G112" s="697" t="str">
        <f>IFERROR(__xludf.DUMMYFUNCTION("""COMPUTED_VALUE"""),"-")</f>
        <v>-</v>
      </c>
      <c r="H112" s="697"/>
      <c r="I112" s="706">
        <f>IFERROR(__xludf.DUMMYFUNCTION("""COMPUTED_VALUE"""),0.205)</f>
        <v>0.205</v>
      </c>
      <c r="J112" s="697"/>
      <c r="K112" s="697"/>
      <c r="L112" s="697">
        <f>IFERROR(__xludf.DUMMYFUNCTION("""COMPUTED_VALUE"""),39.0)</f>
        <v>39</v>
      </c>
      <c r="M112" s="705" t="str">
        <f>IFERROR(__xludf.DUMMYFUNCTION("""COMPUTED_VALUE"""),"18-65")</f>
        <v>18-65</v>
      </c>
      <c r="N112" s="866">
        <f>IFERROR(__xludf.DUMMYFUNCTION("""COMPUTED_VALUE"""),2.1729166666666666)</f>
        <v>2.172916667</v>
      </c>
      <c r="O112" s="697" t="str">
        <f>IFERROR(__xludf.DUMMYFUNCTION("""COMPUTED_VALUE"""),"Patients who had cellulitis due to an identiable cause (i.e. injuries or fungal infections) in the absence of an underlying lymphoedema, thrombophlebitis or a history or physical examination suggestive of sexually transmitted disease were excluded. Both m"&amp;"en and non- pregnant women were included in the study.")</f>
        <v>Patients who had cellulitis due to an identiable cause (i.e. injuries or fungal infections) in the absence of an underlying lymphoedema, thrombophlebitis or a history or physical examination suggestive of sexually transmitted disease were excluded. Both men and non- pregnant women were included in the study.</v>
      </c>
      <c r="P112" s="697" t="str">
        <f>IFERROR(__xludf.DUMMYFUNCTION("""COMPUTED_VALUE"""),"double-blind")</f>
        <v>double-blind</v>
      </c>
      <c r="Q112" s="697" t="str">
        <f>IFERROR(__xludf.DUMMYFUNCTION("""COMPUTED_VALUE"""),"Yes")</f>
        <v>Yes</v>
      </c>
      <c r="R112" s="697" t="str">
        <f>IFERROR(__xludf.DUMMYFUNCTION("""COMPUTED_VALUE"""),"No")</f>
        <v>No</v>
      </c>
      <c r="S112" s="697" t="str">
        <f>IFERROR(__xludf.DUMMYFUNCTION("""COMPUTED_VALUE"""),"12 months")</f>
        <v>12 months</v>
      </c>
      <c r="T112" s="697" t="str">
        <f>IFERROR(__xludf.DUMMYFUNCTION("""COMPUTED_VALUE"""),"There was a signi®cant reduction in the frequency of ADL attacks in each of the three groups during the 2-year study period (P , 0.001 for each comparison). Most importantly, there were no signi®cant differences in frequency of attacks between the three g"&amp;"roups.")</f>
        <v>There was a signi®cant reduction in the frequency of ADL attacks in each of the three groups during the 2-year study period (P , 0.001 for each comparison). Most importantly, there were no signi®cant differences in frequency of attacks between the three groups.</v>
      </c>
      <c r="U112" s="697"/>
      <c r="V112" s="697">
        <f>IFERROR(__xludf.DUMMYFUNCTION("""COMPUTED_VALUE"""),1998.0)</f>
        <v>1998</v>
      </c>
      <c r="W112" s="697">
        <f>IFERROR(__xludf.DUMMYFUNCTION("""COMPUTED_VALUE"""),1998.0)</f>
        <v>1998</v>
      </c>
      <c r="X112" s="697" t="str">
        <f>IFERROR(__xludf.DUMMYFUNCTION("""COMPUTED_VALUE""")," K. SHENOY T. K. SUMA K. RAJAN V. KU R. Prevention of acute adenolymphangitis in brugian filariasis: comparison of the efficacy of ivermectin and diethylcarbamazine, each combined with local treatment of the affected limb. Annals of Tropical Medicine And "&amp;"Parasitology. Informa UK Limited; 1998 Jul 1;92(5):587–94.")</f>
        <v> K. SHENOY T. K. SUMA K. RAJAN V. KU R. Prevention of acute adenolymphangitis in brugian filariasis: comparison of the efficacy of ivermectin and diethylcarbamazine, each combined with local treatment of the affected limb. Annals of Tropical Medicine And Parasitology. Informa UK Limited; 1998 Jul 1;92(5):587–94.</v>
      </c>
      <c r="Y112" s="697" t="str">
        <f>IFERROR(__xludf.DUMMYFUNCTION("""COMPUTED_VALUE"""),"10.1080/00034989859285")</f>
        <v>10.1080/00034989859285</v>
      </c>
      <c r="Z112" s="865" t="str">
        <f>IFERROR(__xludf.DUMMYFUNCTION("""COMPUTED_VALUE"""),"https://drive.google.com/file/d/0B9vYgR7NsKoYNFR2bkRZUDFQSUk/view?usp=sharing")</f>
        <v>https://drive.google.com/file/d/0B9vYgR7NsKoYNFR2bkRZUDFQSUk/view?usp=sharing</v>
      </c>
      <c r="AA112" s="697"/>
    </row>
    <row r="113">
      <c r="A113" s="697" t="str">
        <f>IFERROR(__xludf.DUMMYFUNCTION("""COMPUTED_VALUE"""),"Simonsen 2005")</f>
        <v>Simonsen 2005</v>
      </c>
      <c r="B113" s="697" t="str">
        <f>IFERROR(__xludf.DUMMYFUNCTION("""COMPUTED_VALUE"""),"Kirti")</f>
        <v>Kirti</v>
      </c>
      <c r="C113" s="697" t="str">
        <f>IFERROR(__xludf.DUMMYFUNCTION("""COMPUTED_VALUE"""),"Ross")</f>
        <v>Ross</v>
      </c>
      <c r="D113" s="697" t="str">
        <f>IFERROR(__xludf.DUMMYFUNCTION("""COMPUTED_VALUE"""),"Tanzania")</f>
        <v>Tanzania</v>
      </c>
      <c r="E113" s="697" t="str">
        <f>IFERROR(__xludf.DUMMYFUNCTION("""COMPUTED_VALUE"""),"W. bancrofti")</f>
        <v>W. bancrofti</v>
      </c>
      <c r="F113" s="697" t="str">
        <f>IFERROR(__xludf.DUMMYFUNCTION("""COMPUTED_VALUE"""),"DEC")</f>
        <v>DEC</v>
      </c>
      <c r="G113" s="697" t="str">
        <f>IFERROR(__xludf.DUMMYFUNCTION("""COMPUTED_VALUE"""),"6mg/kg")</f>
        <v>6mg/kg</v>
      </c>
      <c r="H113" s="697" t="str">
        <f>IFERROR(__xludf.DUMMYFUNCTION("""COMPUTED_VALUE"""),"8 (half yearly)")</f>
        <v>8 (half yearly)</v>
      </c>
      <c r="I113" s="698">
        <f>IFERROR(__xludf.DUMMYFUNCTION("""COMPUTED_VALUE"""),0.595)</f>
        <v>0.595</v>
      </c>
      <c r="J113" s="698">
        <f>IFERROR(__xludf.DUMMYFUNCTION("""COMPUTED_VALUE"""),0.054)</f>
        <v>0.054</v>
      </c>
      <c r="K113" s="697" t="str">
        <f>IFERROR(__xludf.DUMMYFUNCTION("""COMPUTED_VALUE"""),"not avaiable")</f>
        <v>not avaiable</v>
      </c>
      <c r="L113" s="697">
        <f>IFERROR(__xludf.DUMMYFUNCTION("""COMPUTED_VALUE"""),79.0)</f>
        <v>79</v>
      </c>
      <c r="M113" s="10" t="str">
        <f>IFERROR(__xludf.DUMMYFUNCTION("""COMPUTED_VALUE"""),"5-81")</f>
        <v>5-81</v>
      </c>
      <c r="N113" s="705" t="str">
        <f>IFERROR(__xludf.DUMMYFUNCTION("""COMPUTED_VALUE"""),"39:40")</f>
        <v>39:40</v>
      </c>
      <c r="O113" s="697" t="str">
        <f>IFERROR(__xludf.DUMMYFUNCTION("""COMPUTED_VALUE"""),"Had been infection (CFA)-positive before the start of treatment in July 1999, and who had either received all eight treatments or who had missed only one of the last three treatments")</f>
        <v>Had been infection (CFA)-positive before the start of treatment in July 1999, and who had either received all eight treatments or who had missed only one of the last three treatments</v>
      </c>
      <c r="P113" s="697"/>
      <c r="Q113" s="697" t="str">
        <f>IFERROR(__xludf.DUMMYFUNCTION("""COMPUTED_VALUE"""),"No")</f>
        <v>No</v>
      </c>
      <c r="R113" s="697" t="str">
        <f>IFERROR(__xludf.DUMMYFUNCTION("""COMPUTED_VALUE"""),"No")</f>
        <v>No</v>
      </c>
      <c r="S113" s="697" t="str">
        <f>IFERROR(__xludf.DUMMYFUNCTION("""COMPUTED_VALUE"""),"1 year, 2 years, 3 years")</f>
        <v>1 year, 2 years, 3 years</v>
      </c>
      <c r="T113" s="697" t="str">
        <f>IFERROR(__xludf.DUMMYFUNCTION("""COMPUTED_VALUE"""),"Repeated DEC treatment has a profound effect on adult worm viability")</f>
        <v>Repeated DEC treatment has a profound effect on adult worm viability</v>
      </c>
      <c r="U113" s="697" t="str">
        <f>IFERROR(__xludf.DUMMYFUNCTION("""COMPUTED_VALUE"""),"The number of mf-positive patients prior to the experiment was 37. The total sample size (79) was all the patients who were found to have circulating filarial antigen (CFA)")</f>
        <v>The number of mf-positive patients prior to the experiment was 37. The total sample size (79) was all the patients who were found to have circulating filarial antigen (CFA)</v>
      </c>
      <c r="V113" s="697" t="str">
        <f>IFERROR(__xludf.DUMMYFUNCTION("""COMPUTED_VALUE"""),"1999-2003")</f>
        <v>1999-2003</v>
      </c>
      <c r="W113" s="697">
        <f>IFERROR(__xludf.DUMMYFUNCTION("""COMPUTED_VALUE"""),2003.0)</f>
        <v>2003</v>
      </c>
      <c r="X113" s="697" t="str">
        <f>IFERROR(__xludf.DUMMYFUNCTION("""COMPUTED_VALUE"""),"Simonsen PE, Magesa SM, Meyrowitsch DW, Malecela-Lazaro MN, Rwegoshora RT, Jaoko WG, et al. The effect of eight half-yearly single-dose treatments with DEC on Wuchereria bancrofti circulating antigenaemia. Transactions of the Royal Society of Tropical Med"&amp;"icine and Hygiene 2005; 99 (7): 541-547. ")</f>
        <v>Simonsen PE, Magesa SM, Meyrowitsch DW, Malecela-Lazaro MN, Rwegoshora RT, Jaoko WG, et al. The effect of eight half-yearly single-dose treatments with DEC on Wuchereria bancrofti circulating antigenaemia. Transactions of the Royal Society of Tropical Medicine and Hygiene 2005; 99 (7): 541-547. </v>
      </c>
      <c r="Y113" s="697" t="str">
        <f>IFERROR(__xludf.DUMMYFUNCTION("""COMPUTED_VALUE"""),"doi: 10.1016/j.trstmh.2004.11.016")</f>
        <v>doi: 10.1016/j.trstmh.2004.11.016</v>
      </c>
      <c r="Z113" s="865" t="str">
        <f>IFERROR(__xludf.DUMMYFUNCTION("""COMPUTED_VALUE"""),"https://drive.google.com/file/d/0B95WhYooraDeS0F0OUwtWlFnR2M/view?usp=sharing")</f>
        <v>https://drive.google.com/file/d/0B95WhYooraDeS0F0OUwtWlFnR2M/view?usp=sharing</v>
      </c>
      <c r="AA113" s="697" t="str">
        <f>IFERROR(__xludf.DUMMYFUNCTION("""COMPUTED_VALUE"""),"x")</f>
        <v>x</v>
      </c>
    </row>
    <row r="114">
      <c r="A114" s="697" t="str">
        <f>IFERROR(__xludf.DUMMYFUNCTION("""COMPUTED_VALUE"""),"Siriaut 2005")</f>
        <v>Siriaut 2005</v>
      </c>
      <c r="B114" s="697" t="str">
        <f>IFERROR(__xludf.DUMMYFUNCTION("""COMPUTED_VALUE"""),"Kirti")</f>
        <v>Kirti</v>
      </c>
      <c r="C114" s="697" t="str">
        <f>IFERROR(__xludf.DUMMYFUNCTION("""COMPUTED_VALUE"""),"luisa")</f>
        <v>luisa</v>
      </c>
      <c r="D114" s="697" t="str">
        <f>IFERROR(__xludf.DUMMYFUNCTION("""COMPUTED_VALUE"""),"Thailand")</f>
        <v>Thailand</v>
      </c>
      <c r="E114" s="697" t="str">
        <f>IFERROR(__xludf.DUMMYFUNCTION("""COMPUTED_VALUE"""),"W. bancrofti")</f>
        <v>W. bancrofti</v>
      </c>
      <c r="F114" s="697" t="str">
        <f>IFERROR(__xludf.DUMMYFUNCTION("""COMPUTED_VALUE"""),"DEC")</f>
        <v>DEC</v>
      </c>
      <c r="G114" s="697" t="str">
        <f>IFERROR(__xludf.DUMMYFUNCTION("""COMPUTED_VALUE"""),"300 mg ")</f>
        <v>300 mg </v>
      </c>
      <c r="H114" s="697">
        <f>IFERROR(__xludf.DUMMYFUNCTION("""COMPUTED_VALUE"""),1.0)</f>
        <v>1</v>
      </c>
      <c r="I114" s="698">
        <f>IFERROR(__xludf.DUMMYFUNCTION("""COMPUTED_VALUE"""),-0.038)</f>
        <v>-0.038</v>
      </c>
      <c r="J114" s="697"/>
      <c r="K114" s="697" t="str">
        <f>IFERROR(__xludf.DUMMYFUNCTION("""COMPUTED_VALUE"""),"not avaiable")</f>
        <v>not avaiable</v>
      </c>
      <c r="L114" s="697">
        <f>IFERROR(__xludf.DUMMYFUNCTION("""COMPUTED_VALUE"""),7.0)</f>
        <v>7</v>
      </c>
      <c r="M114" s="10" t="str">
        <f>IFERROR(__xludf.DUMMYFUNCTION("""COMPUTED_VALUE"""),"18-26")</f>
        <v>18-26</v>
      </c>
      <c r="N114" s="862" t="str">
        <f>IFERROR(__xludf.DUMMYFUNCTION("""COMPUTED_VALUE"""),"not available")</f>
        <v>not available</v>
      </c>
      <c r="O114" s="697" t="str">
        <f>IFERROR(__xludf.DUMMYFUNCTION("""COMPUTED_VALUE"""),"Selected from cross-border Myanmar migrants aged ≥10 years.")</f>
        <v>Selected from cross-border Myanmar migrants aged ≥10 years.</v>
      </c>
      <c r="P114" s="697" t="str">
        <f>IFERROR(__xludf.DUMMYFUNCTION("""COMPUTED_VALUE"""),"case finding surveys")</f>
        <v>case finding surveys</v>
      </c>
      <c r="Q114" s="697" t="str">
        <f>IFERROR(__xludf.DUMMYFUNCTION("""COMPUTED_VALUE"""),"No")</f>
        <v>No</v>
      </c>
      <c r="R114" s="697" t="str">
        <f>IFERROR(__xludf.DUMMYFUNCTION("""COMPUTED_VALUE"""),"No")</f>
        <v>No</v>
      </c>
      <c r="S114" s="697" t="str">
        <f>IFERROR(__xludf.DUMMYFUNCTION("""COMPUTED_VALUE"""),"1 week, 2 weeks, 4 weeks, 8 weeks, 12 weeks")</f>
        <v>1 week, 2 weeks, 4 weeks, 8 weeks, 12 weeks</v>
      </c>
      <c r="T114" s="697" t="str">
        <f>IFERROR(__xludf.DUMMYFUNCTION("""COMPUTED_VALUE"""),"Without an adequate DEC treatment dose, recrudescence can occur.")</f>
        <v>Without an adequate DEC treatment dose, recrudescence can occur.</v>
      </c>
      <c r="U114" s="697"/>
      <c r="V114" s="697">
        <f>IFERROR(__xludf.DUMMYFUNCTION("""COMPUTED_VALUE"""),2003.0)</f>
        <v>2003</v>
      </c>
      <c r="W114" s="697">
        <f>IFERROR(__xludf.DUMMYFUNCTION("""COMPUTED_VALUE"""),2003.0)</f>
        <v>2003</v>
      </c>
      <c r="X114" s="697" t="str">
        <f>IFERROR(__xludf.DUMMYFUNCTION("""COMPUTED_VALUE"""),"Siriaut C, Bhumiratana A, Koyadun S, Anurat K, Satitvipawee P, et al. Short-term Effects of Treatment with 300 mg oral-dose Diethylcarbamazine on Nocturnally Periodic Wuchereria Bancrofti Microfilaremia and Antigenemia. Southeast Asian J Trop Med Pblic He"&amp;"alth 2005; 36(4): 832-840. ")</f>
        <v>Siriaut C, Bhumiratana A, Koyadun S, Anurat K, Satitvipawee P, et al. Short-term Effects of Treatment with 300 mg oral-dose Diethylcarbamazine on Nocturnally Periodic Wuchereria Bancrofti Microfilaremia and Antigenemia. Southeast Asian J Trop Med Pblic Health 2005; 36(4): 832-840. </v>
      </c>
      <c r="Y114" s="697" t="str">
        <f>IFERROR(__xludf.DUMMYFUNCTION("""COMPUTED_VALUE"""),"PMID: 16295533")</f>
        <v>PMID: 16295533</v>
      </c>
      <c r="Z114" s="865" t="str">
        <f>IFERROR(__xludf.DUMMYFUNCTION("""COMPUTED_VALUE"""),"https://drive.google.com/file/d/0B9vYgR7NsKoYMGROVVhld2kzNkU/view?usp=sharing")</f>
        <v>https://drive.google.com/file/d/0B9vYgR7NsKoYMGROVVhld2kzNkU/view?usp=sharing</v>
      </c>
      <c r="AA114" s="697" t="str">
        <f>IFERROR(__xludf.DUMMYFUNCTION("""COMPUTED_VALUE"""),"x")</f>
        <v>x</v>
      </c>
    </row>
    <row r="115">
      <c r="A115" s="697" t="str">
        <f>IFERROR(__xludf.DUMMYFUNCTION("""COMPUTED_VALUE"""),"Stolk WA, 2005")</f>
        <v>Stolk WA, 2005</v>
      </c>
      <c r="B115" s="697"/>
      <c r="C115" s="697" t="str">
        <f>IFERROR(__xludf.DUMMYFUNCTION("""COMPUTED_VALUE"""),"Kirti")</f>
        <v>Kirti</v>
      </c>
      <c r="D115" s="697" t="str">
        <f>IFERROR(__xludf.DUMMYFUNCTION("""COMPUTED_VALUE"""),"India")</f>
        <v>India</v>
      </c>
      <c r="E115" s="697" t="str">
        <f>IFERROR(__xludf.DUMMYFUNCTION("""COMPUTED_VALUE"""),"W. bancrofti")</f>
        <v>W. bancrofti</v>
      </c>
      <c r="F115" s="697" t="str">
        <f>IFERROR(__xludf.DUMMYFUNCTION("""COMPUTED_VALUE"""),"Ivermectin")</f>
        <v>Ivermectin</v>
      </c>
      <c r="G115" s="697" t="str">
        <f>IFERROR(__xludf.DUMMYFUNCTION("""COMPUTED_VALUE"""),".4 mg/kg")</f>
        <v>.4 mg/kg</v>
      </c>
      <c r="H115" s="697">
        <f>IFERROR(__xludf.DUMMYFUNCTION("""COMPUTED_VALUE"""),1.0)</f>
        <v>1</v>
      </c>
      <c r="I115" s="706">
        <f>IFERROR(__xludf.DUMMYFUNCTION("""COMPUTED_VALUE"""),0.96)</f>
        <v>0.96</v>
      </c>
      <c r="J115" s="706">
        <f>IFERROR(__xludf.DUMMYFUNCTION("""COMPUTED_VALUE"""),0.3)</f>
        <v>0.3</v>
      </c>
      <c r="K115" s="700">
        <f>IFERROR(__xludf.DUMMYFUNCTION("""COMPUTED_VALUE"""),0.82)</f>
        <v>0.82</v>
      </c>
      <c r="L115" s="697">
        <f>IFERROR(__xludf.DUMMYFUNCTION("""COMPUTED_VALUE"""),23.0)</f>
        <v>23</v>
      </c>
      <c r="M115" s="10" t="str">
        <f>IFERROR(__xludf.DUMMYFUNCTION("""COMPUTED_VALUE"""),"mean= 20")</f>
        <v>mean= 20</v>
      </c>
      <c r="N115" s="862" t="str">
        <f>IFERROR(__xludf.DUMMYFUNCTION("""COMPUTED_VALUE"""),"9 : 14")</f>
        <v>9 : 14</v>
      </c>
      <c r="O115" s="697" t="str">
        <f>IFERROR(__xludf.DUMMYFUNCTION("""COMPUTED_VALUE"""),"individuals with complete followup")</f>
        <v>individuals with complete followup</v>
      </c>
      <c r="P115" s="697" t="str">
        <f>IFERROR(__xludf.DUMMYFUNCTION("""COMPUTED_VALUE""")," double-blind, randomized, hospital-based trial ")</f>
        <v> double-blind, randomized, hospital-based trial </v>
      </c>
      <c r="Q115" s="697" t="str">
        <f>IFERROR(__xludf.DUMMYFUNCTION("""COMPUTED_VALUE"""),"Yes")</f>
        <v>Yes</v>
      </c>
      <c r="R115" s="697" t="str">
        <f>IFERROR(__xludf.DUMMYFUNCTION("""COMPUTED_VALUE"""),"Yes")</f>
        <v>Yes</v>
      </c>
      <c r="S115" s="697" t="str">
        <f>IFERROR(__xludf.DUMMYFUNCTION("""COMPUTED_VALUE"""),"1 year")</f>
        <v>1 year</v>
      </c>
      <c r="T115" s="697" t="str">
        <f>IFERROR(__xludf.DUMMYFUNCTION("""COMPUTED_VALUE"""),"The average effects of DEC and ivermectin treatment are high, which triggers optimism about the potential impact of mass treatment.")</f>
        <v>The average effects of DEC and ivermectin treatment are high, which triggers optimism about the potential impact of mass treatment.</v>
      </c>
      <c r="U115" s="697" t="str">
        <f>IFERROR(__xludf.DUMMYFUNCTION("""COMPUTED_VALUE"""),"The strong reduction in overall Mf production is good news for control of lymphatic filariasis, but the prospects of elimination will be diminished if part of the population systematically responds poorly to treatment.")</f>
        <v>The strong reduction in overall Mf production is good news for control of lymphatic filariasis, but the prospects of elimination will be diminished if part of the population systematically responds poorly to treatment.</v>
      </c>
      <c r="V115" s="697">
        <f>IFERROR(__xludf.DUMMYFUNCTION("""COMPUTED_VALUE"""),2005.0)</f>
        <v>2005</v>
      </c>
      <c r="W115" s="697">
        <f>IFERROR(__xludf.DUMMYFUNCTION("""COMPUTED_VALUE"""),2005.0)</f>
        <v>2005</v>
      </c>
      <c r="X115" s="697" t="str">
        <f>IFERROR(__xludf.DUMMYFUNCTION("""COMPUTED_VALUE"""),"WILMA A. STOLK,* GERRIT J. VAN OORTMARSSEN, S. P. PANI, SAKE J. DE VLAS, S. SUBRAMANIAN, P. K. DAS, AND J. DIK F. HABBEMA. EFFECTS OF IVERMECTIN AND DIETHYLCARBAMAZINE ON MICROFILARIAE AND OVERALL MICROFILARIA PRODUCTION IN BANCROFTIAN FILARIASIS. Am. J. "&amp;"Trop. Med. Hyg., 73(5), 2005, pp. 881–887")</f>
        <v>WILMA A. STOLK,* GERRIT J. VAN OORTMARSSEN, S. P. PANI, SAKE J. DE VLAS, S. SUBRAMANIAN, P. K. DAS, AND J. DIK F. HABBEMA. EFFECTS OF IVERMECTIN AND DIETHYLCARBAMAZINE ON MICROFILARIAE AND OVERALL MICROFILARIA PRODUCTION IN BANCROFTIAN FILARIASIS. Am. J. Trop. Med. Hyg., 73(5), 2005, pp. 881–887</v>
      </c>
      <c r="Y115" s="697"/>
      <c r="Z115" s="865" t="str">
        <f>IFERROR(__xludf.DUMMYFUNCTION("""COMPUTED_VALUE"""),"https://drive.google.com/file/d/0B4sJPAkX0Jo3aENXNnUtX1dCSG8/view?usp=sharing")</f>
        <v>https://drive.google.com/file/d/0B4sJPAkX0Jo3aENXNnUtX1dCSG8/view?usp=sharing</v>
      </c>
      <c r="AA115" s="697" t="str">
        <f>IFERROR(__xludf.DUMMYFUNCTION("""COMPUTED_VALUE"""),"x")</f>
        <v>x</v>
      </c>
    </row>
    <row r="116">
      <c r="A116" s="697" t="str">
        <f>IFERROR(__xludf.DUMMYFUNCTION("""COMPUTED_VALUE"""),"Stolk WA, 2005")</f>
        <v>Stolk WA, 2005</v>
      </c>
      <c r="B116" s="697"/>
      <c r="C116" s="697" t="str">
        <f>IFERROR(__xludf.DUMMYFUNCTION("""COMPUTED_VALUE"""),"Kirti")</f>
        <v>Kirti</v>
      </c>
      <c r="D116" s="697" t="str">
        <f>IFERROR(__xludf.DUMMYFUNCTION("""COMPUTED_VALUE"""),"India")</f>
        <v>India</v>
      </c>
      <c r="E116" s="697" t="str">
        <f>IFERROR(__xludf.DUMMYFUNCTION("""COMPUTED_VALUE"""),"W. bancrofti")</f>
        <v>W. bancrofti</v>
      </c>
      <c r="F116" s="697" t="str">
        <f>IFERROR(__xludf.DUMMYFUNCTION("""COMPUTED_VALUE"""),"DEC")</f>
        <v>DEC</v>
      </c>
      <c r="G116" s="697" t="str">
        <f>IFERROR(__xludf.DUMMYFUNCTION("""COMPUTED_VALUE"""),"6 mg/kg")</f>
        <v>6 mg/kg</v>
      </c>
      <c r="H116" s="697">
        <f>IFERROR(__xludf.DUMMYFUNCTION("""COMPUTED_VALUE"""),1.0)</f>
        <v>1</v>
      </c>
      <c r="I116" s="706">
        <f>IFERROR(__xludf.DUMMYFUNCTION("""COMPUTED_VALUE"""),0.57)</f>
        <v>0.57</v>
      </c>
      <c r="J116" s="706">
        <f>IFERROR(__xludf.DUMMYFUNCTION("""COMPUTED_VALUE"""),0.22)</f>
        <v>0.22</v>
      </c>
      <c r="K116" s="700">
        <f>IFERROR(__xludf.DUMMYFUNCTION("""COMPUTED_VALUE"""),0.67)</f>
        <v>0.67</v>
      </c>
      <c r="L116" s="697">
        <f>IFERROR(__xludf.DUMMYFUNCTION("""COMPUTED_VALUE"""),23.0)</f>
        <v>23</v>
      </c>
      <c r="M116" s="10" t="str">
        <f>IFERROR(__xludf.DUMMYFUNCTION("""COMPUTED_VALUE"""),"mean= 22")</f>
        <v>mean= 22</v>
      </c>
      <c r="N116" s="862" t="str">
        <f>IFERROR(__xludf.DUMMYFUNCTION("""COMPUTED_VALUE"""),"11 : 12")</f>
        <v>11 : 12</v>
      </c>
      <c r="O116" s="697" t="str">
        <f>IFERROR(__xludf.DUMMYFUNCTION("""COMPUTED_VALUE"""),"individuals with complete followup")</f>
        <v>individuals with complete followup</v>
      </c>
      <c r="P116" s="697" t="str">
        <f>IFERROR(__xludf.DUMMYFUNCTION("""COMPUTED_VALUE""")," double-blind, randomized, hospital-based trial ")</f>
        <v> double-blind, randomized, hospital-based trial </v>
      </c>
      <c r="Q116" s="697" t="str">
        <f>IFERROR(__xludf.DUMMYFUNCTION("""COMPUTED_VALUE"""),"Yes")</f>
        <v>Yes</v>
      </c>
      <c r="R116" s="697" t="str">
        <f>IFERROR(__xludf.DUMMYFUNCTION("""COMPUTED_VALUE"""),"Yes")</f>
        <v>Yes</v>
      </c>
      <c r="S116" s="697" t="str">
        <f>IFERROR(__xludf.DUMMYFUNCTION("""COMPUTED_VALUE"""),"1 year")</f>
        <v>1 year</v>
      </c>
      <c r="T116" s="697" t="str">
        <f>IFERROR(__xludf.DUMMYFUNCTION("""COMPUTED_VALUE"""),"The average effects of DEC and ivermectin treatment are high, which triggers optimism about the potential impact of mass treatment.")</f>
        <v>The average effects of DEC and ivermectin treatment are high, which triggers optimism about the potential impact of mass treatment.</v>
      </c>
      <c r="U116" s="697" t="str">
        <f>IFERROR(__xludf.DUMMYFUNCTION("""COMPUTED_VALUE"""),"The strong reduction in overall Mf production is good news for control of lymphatic filariasis, but the prospects of elimination will be diminished if part of the population systematically responds poorly to treatment.")</f>
        <v>The strong reduction in overall Mf production is good news for control of lymphatic filariasis, but the prospects of elimination will be diminished if part of the population systematically responds poorly to treatment.</v>
      </c>
      <c r="V116" s="697">
        <f>IFERROR(__xludf.DUMMYFUNCTION("""COMPUTED_VALUE"""),2005.0)</f>
        <v>2005</v>
      </c>
      <c r="W116" s="697">
        <f>IFERROR(__xludf.DUMMYFUNCTION("""COMPUTED_VALUE"""),2005.0)</f>
        <v>2005</v>
      </c>
      <c r="X116" s="697" t="str">
        <f>IFERROR(__xludf.DUMMYFUNCTION("""COMPUTED_VALUE"""),"WILMA A. STOLK,* GERRIT J. VAN OORTMARSSEN, S. P. PANI, SAKE J. DE VLAS, S. SUBRAMANIAN, P. K. DAS, AND J. DIK F. HABBEMA. EFFECTS OF IVERMECTIN AND DIETHYLCARBAMAZINE ON MICROFILARIAE AND OVERALL MICROFILARIA PRODUCTION IN BANCROFTIAN FILARIASIS. Am. J. "&amp;"Trop. Med. Hyg., 73(5), 2005, pp. 881–887")</f>
        <v>WILMA A. STOLK,* GERRIT J. VAN OORTMARSSEN, S. P. PANI, SAKE J. DE VLAS, S. SUBRAMANIAN, P. K. DAS, AND J. DIK F. HABBEMA. EFFECTS OF IVERMECTIN AND DIETHYLCARBAMAZINE ON MICROFILARIAE AND OVERALL MICROFILARIA PRODUCTION IN BANCROFTIAN FILARIASIS. Am. J. Trop. Med. Hyg., 73(5), 2005, pp. 881–887</v>
      </c>
      <c r="Y116" s="697"/>
      <c r="Z116" s="865" t="str">
        <f>IFERROR(__xludf.DUMMYFUNCTION("""COMPUTED_VALUE"""),"https://drive.google.com/file/d/0B4sJPAkX0Jo3aENXNnUtX1dCSG8/view?usp=sharing")</f>
        <v>https://drive.google.com/file/d/0B4sJPAkX0Jo3aENXNnUtX1dCSG8/view?usp=sharing</v>
      </c>
      <c r="AA116" s="697" t="str">
        <f>IFERROR(__xludf.DUMMYFUNCTION("""COMPUTED_VALUE"""),"x")</f>
        <v>x</v>
      </c>
    </row>
    <row r="117">
      <c r="A117" s="697" t="str">
        <f>IFERROR(__xludf.DUMMYFUNCTION("""COMPUTED_VALUE"""),"Subramanyam 2000")</f>
        <v>Subramanyam 2000</v>
      </c>
      <c r="B117" s="697" t="str">
        <f>IFERROR(__xludf.DUMMYFUNCTION("""COMPUTED_VALUE"""),"Kirti")</f>
        <v>Kirti</v>
      </c>
      <c r="C117" s="697" t="str">
        <f>IFERROR(__xludf.DUMMYFUNCTION("""COMPUTED_VALUE"""),"luisa")</f>
        <v>luisa</v>
      </c>
      <c r="D117" s="697" t="str">
        <f>IFERROR(__xludf.DUMMYFUNCTION("""COMPUTED_VALUE"""),"India")</f>
        <v>India</v>
      </c>
      <c r="E117" s="697" t="str">
        <f>IFERROR(__xludf.DUMMYFUNCTION("""COMPUTED_VALUE"""),"W. bancrofti")</f>
        <v>W. bancrofti</v>
      </c>
      <c r="F117" s="697" t="str">
        <f>IFERROR(__xludf.DUMMYFUNCTION("""COMPUTED_VALUE"""),"DEC")</f>
        <v>DEC</v>
      </c>
      <c r="G117" s="697" t="str">
        <f>IFERROR(__xludf.DUMMYFUNCTION("""COMPUTED_VALUE"""),"6 mg/kg")</f>
        <v>6 mg/kg</v>
      </c>
      <c r="H117" s="697"/>
      <c r="I117" s="700">
        <f>IFERROR(__xludf.DUMMYFUNCTION("""COMPUTED_VALUE"""),0.83)</f>
        <v>0.83</v>
      </c>
      <c r="J117" s="698">
        <f>IFERROR(__xludf.DUMMYFUNCTION("""COMPUTED_VALUE"""),0.083)</f>
        <v>0.083</v>
      </c>
      <c r="K117" s="697"/>
      <c r="L117" s="697">
        <f>IFERROR(__xludf.DUMMYFUNCTION("""COMPUTED_VALUE"""),30.0)</f>
        <v>30</v>
      </c>
      <c r="M117" s="10" t="str">
        <f>IFERROR(__xludf.DUMMYFUNCTION("""COMPUTED_VALUE"""),"&gt;20 (14), &lt;20 (15)")</f>
        <v>&gt;20 (14), &lt;20 (15)</v>
      </c>
      <c r="N117" s="864">
        <f>IFERROR(__xludf.DUMMYFUNCTION("""COMPUTED_VALUE"""),0.59375)</f>
        <v>0.59375</v>
      </c>
      <c r="O117" s="697" t="str">
        <f>IFERROR(__xludf.DUMMYFUNCTION("""COMPUTED_VALUE"""),"Apparently healthy individuals of normal body weight for age with normal physical examination, normal ECG, normal chest X-ray, normal routine stool and urine tests, and normal results in a battery of laboratory tests for haematological and biochemical par"&amp;"ameters (Table 3), with W. bancrofti microfilaraemia of  100 mf/ml of night venous blood (collected between 8.30 and 9.30 p.m.) by membrane filtration technique.")</f>
        <v>Apparently healthy individuals of normal body weight for age with normal physical examination, normal ECG, normal chest X-ray, normal routine stool and urine tests, and normal results in a battery of laboratory tests for haematological and biochemical parameters (Table 3), with W. bancrofti microfilaraemia of  100 mf/ml of night venous blood (collected between 8.30 and 9.30 p.m.) by membrane filtration technique.</v>
      </c>
      <c r="P117" s="697" t="str">
        <f>IFERROR(__xludf.DUMMYFUNCTION("""COMPUTED_VALUE"""),"Double-blind")</f>
        <v>Double-blind</v>
      </c>
      <c r="Q117" s="697" t="str">
        <f>IFERROR(__xludf.DUMMYFUNCTION("""COMPUTED_VALUE"""),"Yes")</f>
        <v>Yes</v>
      </c>
      <c r="R117" s="697" t="str">
        <f>IFERROR(__xludf.DUMMYFUNCTION("""COMPUTED_VALUE"""),"Yes")</f>
        <v>Yes</v>
      </c>
      <c r="S117" s="697" t="str">
        <f>IFERROR(__xludf.DUMMYFUNCTION("""COMPUTED_VALUE"""),"6 days, 1 year, 2 years")</f>
        <v>6 days, 1 year, 2 years</v>
      </c>
      <c r="T117" s="697" t="str">
        <f>IFERROR(__xludf.DUMMYFUNCTION("""COMPUTED_VALUE"""),"The tolerability and efficacy of the two drugs were not significantly different between gender, age and weight classes of patients.")</f>
        <v>The tolerability and efficacy of the two drugs were not significantly different between gender, age and weight classes of patients.</v>
      </c>
      <c r="U117" s="697"/>
      <c r="V117" s="697">
        <f>IFERROR(__xludf.DUMMYFUNCTION("""COMPUTED_VALUE"""),2000.0)</f>
        <v>2000</v>
      </c>
      <c r="W117" s="697">
        <f>IFERROR(__xludf.DUMMYFUNCTION("""COMPUTED_VALUE"""),2000.0)</f>
        <v>2000</v>
      </c>
      <c r="X117" s="697" t="str">
        <f>IFERROR(__xludf.DUMMYFUNCTION("""COMPUTED_VALUE"""),"Reddy GS, Vengatesvarlou N, Das PK, Vanamail P, Vijayan P, Kala S, et el. Tolerability and efficacy of single-dose diethyl carbamazine (DEC) or ivermectin in the clearance of Wuchereria bancrofti microfilaraemia in Pondicherry, South India. Tropical Medic"&amp;"ine and International Health 2000; 5 (11): 779–785.")</f>
        <v>Reddy GS, Vengatesvarlou N, Das PK, Vanamail P, Vijayan P, Kala S, et el. Tolerability and efficacy of single-dose diethyl carbamazine (DEC) or ivermectin in the clearance of Wuchereria bancrofti microfilaraemia in Pondicherry, South India. Tropical Medicine and International Health 2000; 5 (11): 779–785.</v>
      </c>
      <c r="Y117" s="697" t="str">
        <f>IFERROR(__xludf.DUMMYFUNCTION("""COMPUTED_VALUE"""),"DOI: 10.1046/j.1365-3156.2000.00644.x")</f>
        <v>DOI: 10.1046/j.1365-3156.2000.00644.x</v>
      </c>
      <c r="Z117" s="865" t="str">
        <f>IFERROR(__xludf.DUMMYFUNCTION("""COMPUTED_VALUE"""),"https://drive.google.com/file/d/0B-yoIBO7tf7FbE1XMXZCcmtDTmM/view?usp=sharing")</f>
        <v>https://drive.google.com/file/d/0B-yoIBO7tf7FbE1XMXZCcmtDTmM/view?usp=sharing</v>
      </c>
      <c r="AA117" s="697"/>
    </row>
    <row r="118">
      <c r="A118" s="697" t="str">
        <f>IFERROR(__xludf.DUMMYFUNCTION("""COMPUTED_VALUE"""),"Subramanyam 2000")</f>
        <v>Subramanyam 2000</v>
      </c>
      <c r="B118" s="697" t="str">
        <f>IFERROR(__xludf.DUMMYFUNCTION("""COMPUTED_VALUE"""),"Kirti")</f>
        <v>Kirti</v>
      </c>
      <c r="C118" s="697" t="str">
        <f>IFERROR(__xludf.DUMMYFUNCTION("""COMPUTED_VALUE"""),"luisa")</f>
        <v>luisa</v>
      </c>
      <c r="D118" s="697" t="str">
        <f>IFERROR(__xludf.DUMMYFUNCTION("""COMPUTED_VALUE"""),"India")</f>
        <v>India</v>
      </c>
      <c r="E118" s="697" t="str">
        <f>IFERROR(__xludf.DUMMYFUNCTION("""COMPUTED_VALUE"""),"W. bancrofti")</f>
        <v>W. bancrofti</v>
      </c>
      <c r="F118" s="697" t="str">
        <f>IFERROR(__xludf.DUMMYFUNCTION("""COMPUTED_VALUE"""),"Ivermectin")</f>
        <v>Ivermectin</v>
      </c>
      <c r="G118" s="697" t="str">
        <f>IFERROR(__xludf.DUMMYFUNCTION("""COMPUTED_VALUE"""),".4 mg/kg")</f>
        <v>.4 mg/kg</v>
      </c>
      <c r="H118" s="697"/>
      <c r="I118" s="700">
        <f>IFERROR(__xludf.DUMMYFUNCTION("""COMPUTED_VALUE"""),0.97)</f>
        <v>0.97</v>
      </c>
      <c r="J118" s="698">
        <f>IFERROR(__xludf.DUMMYFUNCTION("""COMPUTED_VALUE"""),0.348)</f>
        <v>0.348</v>
      </c>
      <c r="K118" s="697"/>
      <c r="L118" s="697">
        <f>IFERROR(__xludf.DUMMYFUNCTION("""COMPUTED_VALUE"""),30.0)</f>
        <v>30</v>
      </c>
      <c r="M118" s="10" t="str">
        <f>IFERROR(__xludf.DUMMYFUNCTION("""COMPUTED_VALUE"""),"&gt;20 (14), &lt;20 (16) ")</f>
        <v>&gt;20 (14), &lt;20 (16) </v>
      </c>
      <c r="N118" s="866">
        <f>IFERROR(__xludf.DUMMYFUNCTION("""COMPUTED_VALUE"""),0.2972222222222222)</f>
        <v>0.2972222222</v>
      </c>
      <c r="O118" s="697" t="str">
        <f>IFERROR(__xludf.DUMMYFUNCTION("""COMPUTED_VALUE"""),"Apparently healthy individuals of normal body weight for age with normal physical examination, normal ECG, normal chest X-ray, normal routine stool and urine tests, and normal results in a battery of laboratory tests for haematological and biochemical par"&amp;"ameters (Table 3), with W. bancrofti microfilaraemia of  100 mf/ml of night venous blood (collected between 8.30 and 9.30 p.m.) by membrane filtration technique.")</f>
        <v>Apparently healthy individuals of normal body weight for age with normal physical examination, normal ECG, normal chest X-ray, normal routine stool and urine tests, and normal results in a battery of laboratory tests for haematological and biochemical parameters (Table 3), with W. bancrofti microfilaraemia of  100 mf/ml of night venous blood (collected between 8.30 and 9.30 p.m.) by membrane filtration technique.</v>
      </c>
      <c r="P118" s="697" t="str">
        <f>IFERROR(__xludf.DUMMYFUNCTION("""COMPUTED_VALUE"""),"Double-blind")</f>
        <v>Double-blind</v>
      </c>
      <c r="Q118" s="697" t="str">
        <f>IFERROR(__xludf.DUMMYFUNCTION("""COMPUTED_VALUE"""),"Yes")</f>
        <v>Yes</v>
      </c>
      <c r="R118" s="697" t="str">
        <f>IFERROR(__xludf.DUMMYFUNCTION("""COMPUTED_VALUE"""),"Yes")</f>
        <v>Yes</v>
      </c>
      <c r="S118" s="697" t="str">
        <f>IFERROR(__xludf.DUMMYFUNCTION("""COMPUTED_VALUE"""),"6 days, 1 year, 2 years")</f>
        <v>6 days, 1 year, 2 years</v>
      </c>
      <c r="T118" s="697" t="str">
        <f>IFERROR(__xludf.DUMMYFUNCTION("""COMPUTED_VALUE"""),"The tolerability and efficacy of the two drugs were not significantly different between gender, age and weight classes of patients.")</f>
        <v>The tolerability and efficacy of the two drugs were not significantly different between gender, age and weight classes of patients.</v>
      </c>
      <c r="U118" s="697"/>
      <c r="V118" s="697">
        <f>IFERROR(__xludf.DUMMYFUNCTION("""COMPUTED_VALUE"""),2000.0)</f>
        <v>2000</v>
      </c>
      <c r="W118" s="697">
        <f>IFERROR(__xludf.DUMMYFUNCTION("""COMPUTED_VALUE"""),2000.0)</f>
        <v>2000</v>
      </c>
      <c r="X118" s="697" t="str">
        <f>IFERROR(__xludf.DUMMYFUNCTION("""COMPUTED_VALUE"""),"Reddy GS, Vengatesvarlou N, Das PK, Vanamail P, Vijayan P, Kala S, et el. Tolerability and efficacy of single-dose diethyl carbamazine (DEC) or ivermectin in the clearance of Wuchereria bancrofti microfilaraemia in Pondicherry, South India. Tropical Medic"&amp;"ine and International Health 2000; 5 (11): 779–785.")</f>
        <v>Reddy GS, Vengatesvarlou N, Das PK, Vanamail P, Vijayan P, Kala S, et el. Tolerability and efficacy of single-dose diethyl carbamazine (DEC) or ivermectin in the clearance of Wuchereria bancrofti microfilaraemia in Pondicherry, South India. Tropical Medicine and International Health 2000; 5 (11): 779–785.</v>
      </c>
      <c r="Y118" s="697" t="str">
        <f>IFERROR(__xludf.DUMMYFUNCTION("""COMPUTED_VALUE"""),"DOI: 10.1046/j.1365-3156.2000.00644.x")</f>
        <v>DOI: 10.1046/j.1365-3156.2000.00644.x</v>
      </c>
      <c r="Z118" s="865" t="str">
        <f>IFERROR(__xludf.DUMMYFUNCTION("""COMPUTED_VALUE"""),"https://drive.google.com/file/d/0B-yoIBO7tf7FbE1XMXZCcmtDTmM/view?usp=sharing")</f>
        <v>https://drive.google.com/file/d/0B-yoIBO7tf7FbE1XMXZCcmtDTmM/view?usp=sharing</v>
      </c>
      <c r="AA118" s="697"/>
    </row>
    <row r="119">
      <c r="A119" s="697" t="str">
        <f>IFERROR(__xludf.DUMMYFUNCTION("""COMPUTED_VALUE"""),"Supali T, 2002")</f>
        <v>Supali T, 2002</v>
      </c>
      <c r="B119" s="697"/>
      <c r="C119" s="697" t="str">
        <f>IFERROR(__xludf.DUMMYFUNCTION("""COMPUTED_VALUE"""),"luisa/AR")</f>
        <v>luisa/AR</v>
      </c>
      <c r="D119" s="697" t="str">
        <f>IFERROR(__xludf.DUMMYFUNCTION("""COMPUTED_VALUE"""),"Indonesia")</f>
        <v>Indonesia</v>
      </c>
      <c r="E119" s="697" t="str">
        <f>IFERROR(__xludf.DUMMYFUNCTION("""COMPUTED_VALUE"""),"W. bancrofti")</f>
        <v>W. bancrofti</v>
      </c>
      <c r="F119" s="697" t="str">
        <f>IFERROR(__xludf.DUMMYFUNCTION("""COMPUTED_VALUE"""),"DEC")</f>
        <v>DEC</v>
      </c>
      <c r="G119" s="697" t="str">
        <f>IFERROR(__xludf.DUMMYFUNCTION("""COMPUTED_VALUE"""),"6mg/kg")</f>
        <v>6mg/kg</v>
      </c>
      <c r="H119" s="697">
        <f>IFERROR(__xludf.DUMMYFUNCTION("""COMPUTED_VALUE"""),1.0)</f>
        <v>1</v>
      </c>
      <c r="I119" s="706">
        <f>IFERROR(__xludf.DUMMYFUNCTION("""COMPUTED_VALUE"""),0.98)</f>
        <v>0.98</v>
      </c>
      <c r="J119" s="706">
        <f>IFERROR(__xludf.DUMMYFUNCTION("""COMPUTED_VALUE"""),0.14285714285714285)</f>
        <v>0.1428571429</v>
      </c>
      <c r="K119" s="697"/>
      <c r="L119" s="697">
        <f>IFERROR(__xludf.DUMMYFUNCTION("""COMPUTED_VALUE"""),14.0)</f>
        <v>14</v>
      </c>
      <c r="M119" s="10" t="str">
        <f>IFERROR(__xludf.DUMMYFUNCTION("""COMPUTED_VALUE"""),"11-63")</f>
        <v>11-63</v>
      </c>
      <c r="N119" s="862" t="str">
        <f>IFERROR(__xludf.DUMMYFUNCTION("""COMPUTED_VALUE"""),"12 : 45 ")</f>
        <v>12 : 45 </v>
      </c>
      <c r="O119" s="697" t="str">
        <f>IFERROR(__xludf.DUMMYFUNCTION("""COMPUTED_VALUE"""),"As no experience in single dose DEC or DEC–Alb treatment existed for B. timori, only men were selected for the hospital-based trial. However, two non-pregnant women aged 15 and 20 years insisted to be treated and were therefore included in the study.  For"&amp;" comparison, 27 individuals infected with W. bancrofti were included in the study. This group included 10 non-pregnant women. Three more microﬁlaremic women had been selected for treat- ment, but were excluded because of pregnancy")</f>
        <v>As no experience in single dose DEC or DEC–Alb treatment existed for B. timori, only men were selected for the hospital-based trial. However, two non-pregnant women aged 15 and 20 years insisted to be treated and were therefore included in the study.  For comparison, 27 individuals infected with W. bancrofti were included in the study. This group included 10 non-pregnant women. Three more microﬁlaremic women had been selected for treat- ment, but were excluded because of pregnancy</v>
      </c>
      <c r="P119" s="697" t="str">
        <f>IFERROR(__xludf.DUMMYFUNCTION("""COMPUTED_VALUE"""),"hospital based RCT")</f>
        <v>hospital based RCT</v>
      </c>
      <c r="Q119" s="697" t="str">
        <f>IFERROR(__xludf.DUMMYFUNCTION("""COMPUTED_VALUE"""),"No")</f>
        <v>No</v>
      </c>
      <c r="R119" s="697" t="str">
        <f>IFERROR(__xludf.DUMMYFUNCTION("""COMPUTED_VALUE"""),"Yes")</f>
        <v>Yes</v>
      </c>
      <c r="S119" s="697" t="str">
        <f>IFERROR(__xludf.DUMMYFUNCTION("""COMPUTED_VALUE"""),"7 days")</f>
        <v>7 days</v>
      </c>
      <c r="T119" s="697" t="str">
        <f>IFERROR(__xludf.DUMMYFUNCTION("""COMPUTED_VALUE"""),"Very strange paper... women demanding to be treated and a side community study")</f>
        <v>Very strange paper... women demanding to be treated and a side community study</v>
      </c>
      <c r="U119" s="697" t="str">
        <f>IFERROR(__xludf.DUMMYFUNCTION("""COMPUTED_VALUE"""),"Each group consisted of 15 individuals infected with B. timori and 14 or 13 persons infected with W. bancrofti")</f>
        <v>Each group consisted of 15 individuals infected with B. timori and 14 or 13 persons infected with W. bancrofti</v>
      </c>
      <c r="V119" s="697">
        <f>IFERROR(__xludf.DUMMYFUNCTION("""COMPUTED_VALUE"""),2002.0)</f>
        <v>2002</v>
      </c>
      <c r="W119" s="697">
        <f>IFERROR(__xludf.DUMMYFUNCTION("""COMPUTED_VALUE"""),2002.0)</f>
        <v>2002</v>
      </c>
      <c r="X119" s="697" t="str">
        <f>IFERROR(__xludf.DUMMYFUNCTION("""COMPUTED_VALUE"""),"Taniawati Supali1, Is Suhariah Ismid1, Paul Ru ¨ckert2 and Peter Fischer3
. Treatment of Brugia timori and Wuchereria bancrofti infections in Indonesia using DEC or a combination of DEC and albendazole: adverse reactions and short-term effects on microﬁla"&amp;"riae
. Tropical Medicine and International Health. volume 7 no 10 pp 894–901 october 2002.")</f>
        <v>Taniawati Supali1, Is Suhariah Ismid1, Paul Ru ¨ckert2 and Peter Fischer3
. Treatment of Brugia timori and Wuchereria bancrofti infections in Indonesia using DEC or a combination of DEC and albendazole: adverse reactions and short-term effects on microﬁlariae
. Tropical Medicine and International Health. volume 7 no 10 pp 894–901 october 2002.</v>
      </c>
      <c r="Y119" s="697"/>
      <c r="Z119" s="865" t="str">
        <f>IFERROR(__xludf.DUMMYFUNCTION("""COMPUTED_VALUE"""),"https://drive.google.com/file/d/0B4sJPAkX0Jo3TDVudWRoS1VKU2c/view?usp=sharing")</f>
        <v>https://drive.google.com/file/d/0B4sJPAkX0Jo3TDVudWRoS1VKU2c/view?usp=sharing</v>
      </c>
      <c r="AA119" s="697" t="str">
        <f>IFERROR(__xludf.DUMMYFUNCTION("""COMPUTED_VALUE"""),"x")</f>
        <v>x</v>
      </c>
    </row>
    <row r="120">
      <c r="A120" s="697" t="str">
        <f>IFERROR(__xludf.DUMMYFUNCTION("""COMPUTED_VALUE"""),"Supali T, 2002")</f>
        <v>Supali T, 2002</v>
      </c>
      <c r="B120" s="697"/>
      <c r="C120" s="697" t="str">
        <f>IFERROR(__xludf.DUMMYFUNCTION("""COMPUTED_VALUE"""),"luisa/AR")</f>
        <v>luisa/AR</v>
      </c>
      <c r="D120" s="697" t="str">
        <f>IFERROR(__xludf.DUMMYFUNCTION("""COMPUTED_VALUE"""),"Indonesia")</f>
        <v>Indonesia</v>
      </c>
      <c r="E120" s="697" t="str">
        <f>IFERROR(__xludf.DUMMYFUNCTION("""COMPUTED_VALUE"""),"W. bancrofti")</f>
        <v>W. bancrofti</v>
      </c>
      <c r="F120" s="697" t="str">
        <f>IFERROR(__xludf.DUMMYFUNCTION("""COMPUTED_VALUE"""),"Albendazole &amp; DEC")</f>
        <v>Albendazole &amp; DEC</v>
      </c>
      <c r="G120" s="697" t="str">
        <f>IFERROR(__xludf.DUMMYFUNCTION("""COMPUTED_VALUE"""),"400 mg + 6 mg/kg")</f>
        <v>400 mg + 6 mg/kg</v>
      </c>
      <c r="H120" s="697">
        <f>IFERROR(__xludf.DUMMYFUNCTION("""COMPUTED_VALUE"""),1.0)</f>
        <v>1</v>
      </c>
      <c r="I120" s="706">
        <f>IFERROR(__xludf.DUMMYFUNCTION("""COMPUTED_VALUE"""),0.95)</f>
        <v>0.95</v>
      </c>
      <c r="J120" s="706">
        <f>IFERROR(__xludf.DUMMYFUNCTION("""COMPUTED_VALUE"""),0.07692307692307693)</f>
        <v>0.07692307692</v>
      </c>
      <c r="K120" s="697"/>
      <c r="L120" s="697">
        <f>IFERROR(__xludf.DUMMYFUNCTION("""COMPUTED_VALUE"""),13.0)</f>
        <v>13</v>
      </c>
      <c r="M120" s="10" t="str">
        <f>IFERROR(__xludf.DUMMYFUNCTION("""COMPUTED_VALUE"""),"11-63")</f>
        <v>11-63</v>
      </c>
      <c r="N120" s="862" t="str">
        <f>IFERROR(__xludf.DUMMYFUNCTION("""COMPUTED_VALUE"""),"12 : 45 ")</f>
        <v>12 : 45 </v>
      </c>
      <c r="O120" s="697" t="str">
        <f>IFERROR(__xludf.DUMMYFUNCTION("""COMPUTED_VALUE"""),"As no experience in single dose DEC or DEC–Alb treatment existed for B. timori, only men were selected for the hospital-based trial. However, two non-pregnant women aged 15 and 20 years insisted to be treated and were therefore included in the study.  For"&amp;" comparison, 27 individuals infected with W. bancrofti were included in the study. This group included 10 non-pregnant women. Three more microﬁlaremic women had been selected for treat- ment, but were excluded because of pregnancy")</f>
        <v>As no experience in single dose DEC or DEC–Alb treatment existed for B. timori, only men were selected for the hospital-based trial. However, two non-pregnant women aged 15 and 20 years insisted to be treated and were therefore included in the study.  For comparison, 27 individuals infected with W. bancrofti were included in the study. This group included 10 non-pregnant women. Three more microﬁlaremic women had been selected for treat- ment, but were excluded because of pregnancy</v>
      </c>
      <c r="P120" s="697" t="str">
        <f>IFERROR(__xludf.DUMMYFUNCTION("""COMPUTED_VALUE"""),"hospital based RCT")</f>
        <v>hospital based RCT</v>
      </c>
      <c r="Q120" s="697" t="str">
        <f>IFERROR(__xludf.DUMMYFUNCTION("""COMPUTED_VALUE"""),"No")</f>
        <v>No</v>
      </c>
      <c r="R120" s="697" t="str">
        <f>IFERROR(__xludf.DUMMYFUNCTION("""COMPUTED_VALUE"""),"Yes")</f>
        <v>Yes</v>
      </c>
      <c r="S120" s="697" t="str">
        <f>IFERROR(__xludf.DUMMYFUNCTION("""COMPUTED_VALUE"""),"7 days")</f>
        <v>7 days</v>
      </c>
      <c r="T120" s="697" t="str">
        <f>IFERROR(__xludf.DUMMYFUNCTION("""COMPUTED_VALUE"""),"Very strange paper... women demanding to be treated and a side community study")</f>
        <v>Very strange paper... women demanding to be treated and a side community study</v>
      </c>
      <c r="U120" s="697" t="str">
        <f>IFERROR(__xludf.DUMMYFUNCTION("""COMPUTED_VALUE"""),"Each group consisted of 15 individuals infected with B. timori and 14 or 13 persons infected with W. bancrofti")</f>
        <v>Each group consisted of 15 individuals infected with B. timori and 14 or 13 persons infected with W. bancrofti</v>
      </c>
      <c r="V120" s="697">
        <f>IFERROR(__xludf.DUMMYFUNCTION("""COMPUTED_VALUE"""),2002.0)</f>
        <v>2002</v>
      </c>
      <c r="W120" s="697">
        <f>IFERROR(__xludf.DUMMYFUNCTION("""COMPUTED_VALUE"""),2002.0)</f>
        <v>2002</v>
      </c>
      <c r="X120" s="697" t="str">
        <f>IFERROR(__xludf.DUMMYFUNCTION("""COMPUTED_VALUE"""),"Taniawati Supali1, Is Suhariah Ismid1, Paul Ru ¨ckert2 and Peter Fischer3
. Treatment of Brugia timori and Wuchereria bancrofti infections in Indonesia using DEC or a combination of DEC and albendazole: adverse reactions and short-term effects on microﬁla"&amp;"riae
. Tropical Medicine and International Health. volume 7 no 10 pp 894–901 october 2002.")</f>
        <v>Taniawati Supali1, Is Suhariah Ismid1, Paul Ru ¨ckert2 and Peter Fischer3
. Treatment of Brugia timori and Wuchereria bancrofti infections in Indonesia using DEC or a combination of DEC and albendazole: adverse reactions and short-term effects on microﬁlariae
. Tropical Medicine and International Health. volume 7 no 10 pp 894–901 october 2002.</v>
      </c>
      <c r="Y120" s="697"/>
      <c r="Z120" s="865" t="str">
        <f>IFERROR(__xludf.DUMMYFUNCTION("""COMPUTED_VALUE"""),"https://drive.google.com/file/d/0B4sJPAkX0Jo3TDVudWRoS1VKU2c/view?usp=sharing")</f>
        <v>https://drive.google.com/file/d/0B4sJPAkX0Jo3TDVudWRoS1VKU2c/view?usp=sharing</v>
      </c>
      <c r="AA120" s="697" t="str">
        <f>IFERROR(__xludf.DUMMYFUNCTION("""COMPUTED_VALUE"""),"x")</f>
        <v>x</v>
      </c>
    </row>
    <row r="121">
      <c r="A121" s="697" t="str">
        <f>IFERROR(__xludf.DUMMYFUNCTION("""COMPUTED_VALUE"""),"Supali T, 2008")</f>
        <v>Supali T, 2008</v>
      </c>
      <c r="B121" s="697" t="str">
        <f>IFERROR(__xludf.DUMMYFUNCTION("""COMPUTED_VALUE"""),"luisa")</f>
        <v>luisa</v>
      </c>
      <c r="C121" s="697" t="str">
        <f>IFERROR(__xludf.DUMMYFUNCTION("""COMPUTED_VALUE"""),"luisa/AR")</f>
        <v>luisa/AR</v>
      </c>
      <c r="D121" s="697" t="str">
        <f>IFERROR(__xludf.DUMMYFUNCTION("""COMPUTED_VALUE"""),"Indonesia")</f>
        <v>Indonesia</v>
      </c>
      <c r="E121" s="697" t="str">
        <f>IFERROR(__xludf.DUMMYFUNCTION("""COMPUTED_VALUE"""),"Brugia malayi")</f>
        <v>Brugia malayi</v>
      </c>
      <c r="F121" s="697" t="str">
        <f>IFERROR(__xludf.DUMMYFUNCTION("""COMPUTED_VALUE"""),"Albendazole &amp; DEC &amp; Doxycycline ")</f>
        <v>Albendazole &amp; DEC &amp; Doxycycline </v>
      </c>
      <c r="G121" s="697" t="str">
        <f>IFERROR(__xludf.DUMMYFUNCTION("""COMPUTED_VALUE"""),"400 mg + 6mg/kg + 100 mg")</f>
        <v>400 mg + 6mg/kg + 100 mg</v>
      </c>
      <c r="H121" s="697">
        <f>IFERROR(__xludf.DUMMYFUNCTION("""COMPUTED_VALUE"""),42.0)</f>
        <v>42</v>
      </c>
      <c r="I121" s="697"/>
      <c r="J121" s="706">
        <f>IFERROR(__xludf.DUMMYFUNCTION("""COMPUTED_VALUE"""),0.875)</f>
        <v>0.875</v>
      </c>
      <c r="K121" s="700">
        <f>IFERROR(__xludf.DUMMYFUNCTION("""COMPUTED_VALUE"""),0.98)</f>
        <v>0.98</v>
      </c>
      <c r="L121" s="697">
        <f>IFERROR(__xludf.DUMMYFUNCTION("""COMPUTED_VALUE"""),57.0)</f>
        <v>57</v>
      </c>
      <c r="M121" s="10" t="str">
        <f>IFERROR(__xludf.DUMMYFUNCTION("""COMPUTED_VALUE"""),"12 to 76")</f>
        <v>12 to 76</v>
      </c>
      <c r="N121" s="862" t="str">
        <f>IFERROR(__xludf.DUMMYFUNCTION("""COMPUTED_VALUE"""),"not available")</f>
        <v>not available</v>
      </c>
      <c r="O121" s="697" t="str">
        <f>IFERROR(__xludf.DUMMYFUNCTION("""COMPUTED_VALUE"""),"range, 12–76 years; body weight, 40 kg; microfilari load, 15 microfilaria/mL and good health without any clinical condition requiring long-term use of medications.")</f>
        <v>range, 12–76 years; body weight, 40 kg; microfilari load, 15 microfilaria/mL and good health without any clinical condition requiring long-term use of medications.</v>
      </c>
      <c r="P121" s="697" t="str">
        <f>IFERROR(__xludf.DUMMYFUNCTION("""COMPUTED_VALUE"""),"double-blind, randomized, placebo-controlled 6-week field trial")</f>
        <v>double-blind, randomized, placebo-controlled 6-week field trial</v>
      </c>
      <c r="Q121" s="697" t="str">
        <f>IFERROR(__xludf.DUMMYFUNCTION("""COMPUTED_VALUE"""),"Yes")</f>
        <v>Yes</v>
      </c>
      <c r="R121" s="697" t="str">
        <f>IFERROR(__xludf.DUMMYFUNCTION("""COMPUTED_VALUE"""),"Yes")</f>
        <v>Yes</v>
      </c>
      <c r="S121" s="697" t="str">
        <f>IFERROR(__xludf.DUMMYFUNCTION("""COMPUTED_VALUE"""),"1 year")</f>
        <v>1 year</v>
      </c>
      <c r="T121" s="697" t="str">
        <f>IFERROR(__xludf.DUMMYFUNCTION("""COMPUTED_VALUE"""),"In conclusion, finding reported here support the notion that doxycycline, either alone or in combination with antifilaria therapy, strongly reduced Wolbachia levels in B. malayi–infected persons and, either alone or in combination with antifilaria therapy"&amp;", led to a decrease in microfila emia that was sustained for at least 1 year after treatment. Second, doxycycline treatment reduced adverse reactions following diethylcarbamazine-albendazole treatment; this may be particularly important for patients with "&amp;"very high microfilari loads, because they are known to most frequently experience adverse reactions to diethylcarbamazine.")</f>
        <v>In conclusion, finding reported here support the notion that doxycycline, either alone or in combination with antifilaria therapy, strongly reduced Wolbachia levels in B. malayi–infected persons and, either alone or in combination with antifilaria therapy, led to a decrease in microfila emia that was sustained for at least 1 year after treatment. Second, doxycycline treatment reduced adverse reactions following diethylcarbamazine-albendazole treatment; this may be particularly important for patients with very high microfilari loads, because they are known to most frequently experience adverse reactions to diethylcarbamazine.</v>
      </c>
      <c r="U121" s="697" t="str">
        <f>IFERROR(__xludf.DUMMYFUNCTION("""COMPUTED_VALUE"""),"Four months after receiving doxycycline (np 119) or placebo (np42), participants received diethylcarbamazine (6 mg/kg) plus albendazole (400 mg) or a matching placebo")</f>
        <v>Four months after receiving doxycycline (np 119) or placebo (np42), participants received diethylcarbamazine (6 mg/kg) plus albendazole (400 mg) or a matching placebo</v>
      </c>
      <c r="V121" s="697">
        <f>IFERROR(__xludf.DUMMYFUNCTION("""COMPUTED_VALUE"""),2008.0)</f>
        <v>2008</v>
      </c>
      <c r="W121" s="697">
        <f>IFERROR(__xludf.DUMMYFUNCTION("""COMPUTED_VALUE"""),2008.0)</f>
        <v>2008</v>
      </c>
      <c r="X121" s="697" t="str">
        <f>IFERROR(__xludf.DUMMYFUNCTION("""COMPUTED_VALUE"""),"Taniawati Supali,1 Yenny Djuardi,1 Kenneth M. Pfarr,4 Heri Wibowo,1 Mark J. Taylor,5 Achim Hoerauf,4 Jeanine J. Houwing-Duistermaat,3 M. Yazdanbakhsh,2 and Erliyani Sartono2. Doxycycline Treatment of Brugia malayi–Infected Persons Reduces Microfila emia a"&amp;"nd Adverse Reactions after Diethylcarbamazine and Albendazole Treatment. CID 2008:46 (1 May). ")</f>
        <v>Taniawati Supali,1 Yenny Djuardi,1 Kenneth M. Pfarr,4 Heri Wibowo,1 Mark J. Taylor,5 Achim Hoerauf,4 Jeanine J. Houwing-Duistermaat,3 M. Yazdanbakhsh,2 and Erliyani Sartono2. Doxycycline Treatment of Brugia malayi–Infected Persons Reduces Microfila emia and Adverse Reactions after Diethylcarbamazine and Albendazole Treatment. CID 2008:46 (1 May). </v>
      </c>
      <c r="Y121" s="697" t="str">
        <f>IFERROR(__xludf.DUMMYFUNCTION("""COMPUTED_VALUE"""),"DOI: 10.1086/586753")</f>
        <v>DOI: 10.1086/586753</v>
      </c>
      <c r="Z121" s="865" t="str">
        <f>IFERROR(__xludf.DUMMYFUNCTION("""COMPUTED_VALUE"""),"https://drive.google.com/file/d/0B4sJPAkX0Jo3aUlhSlBQMmNxRzQ/view?usp=sharing")</f>
        <v>https://drive.google.com/file/d/0B4sJPAkX0Jo3aUlhSlBQMmNxRzQ/view?usp=sharing</v>
      </c>
      <c r="AA121" s="697"/>
    </row>
    <row r="122">
      <c r="A122" s="697" t="str">
        <f>IFERROR(__xludf.DUMMYFUNCTION("""COMPUTED_VALUE"""),"Supali T, 2008")</f>
        <v>Supali T, 2008</v>
      </c>
      <c r="B122" s="697" t="str">
        <f>IFERROR(__xludf.DUMMYFUNCTION("""COMPUTED_VALUE"""),"luisa")</f>
        <v>luisa</v>
      </c>
      <c r="C122" s="697" t="str">
        <f>IFERROR(__xludf.DUMMYFUNCTION("""COMPUTED_VALUE"""),"luisa/AR")</f>
        <v>luisa/AR</v>
      </c>
      <c r="D122" s="697" t="str">
        <f>IFERROR(__xludf.DUMMYFUNCTION("""COMPUTED_VALUE"""),"Indonesia")</f>
        <v>Indonesia</v>
      </c>
      <c r="E122" s="697" t="str">
        <f>IFERROR(__xludf.DUMMYFUNCTION("""COMPUTED_VALUE"""),"Brugia malayi")</f>
        <v>Brugia malayi</v>
      </c>
      <c r="F122" s="697" t="str">
        <f>IFERROR(__xludf.DUMMYFUNCTION("""COMPUTED_VALUE"""),"Doxycycline + Placebo")</f>
        <v>Doxycycline + Placebo</v>
      </c>
      <c r="G122" s="697" t="str">
        <f>IFERROR(__xludf.DUMMYFUNCTION("""COMPUTED_VALUE"""),"100 mg")</f>
        <v>100 mg</v>
      </c>
      <c r="H122" s="697">
        <f>IFERROR(__xludf.DUMMYFUNCTION("""COMPUTED_VALUE"""),42.0)</f>
        <v>42</v>
      </c>
      <c r="I122" s="697"/>
      <c r="J122" s="706">
        <f>IFERROR(__xludf.DUMMYFUNCTION("""COMPUTED_VALUE"""),0.77)</f>
        <v>0.77</v>
      </c>
      <c r="K122" s="700">
        <f>IFERROR(__xludf.DUMMYFUNCTION("""COMPUTED_VALUE"""),0.98)</f>
        <v>0.98</v>
      </c>
      <c r="L122" s="697">
        <f>IFERROR(__xludf.DUMMYFUNCTION("""COMPUTED_VALUE"""),54.0)</f>
        <v>54</v>
      </c>
      <c r="M122" s="10" t="str">
        <f>IFERROR(__xludf.DUMMYFUNCTION("""COMPUTED_VALUE"""),"12 to 76")</f>
        <v>12 to 76</v>
      </c>
      <c r="N122" s="862" t="str">
        <f>IFERROR(__xludf.DUMMYFUNCTION("""COMPUTED_VALUE"""),"not available")</f>
        <v>not available</v>
      </c>
      <c r="O122" s="697" t="str">
        <f>IFERROR(__xludf.DUMMYFUNCTION("""COMPUTED_VALUE"""),"range, 12–76 years; body weight, 40 kg; microfilari load, 15 microfilaria/mL and good health without any clinical condition requiring long-term use of medications.")</f>
        <v>range, 12–76 years; body weight, 40 kg; microfilari load, 15 microfilaria/mL and good health without any clinical condition requiring long-term use of medications.</v>
      </c>
      <c r="P122" s="697" t="str">
        <f>IFERROR(__xludf.DUMMYFUNCTION("""COMPUTED_VALUE"""),"double-blind, randomized, placebo-controlled 6-week field trial")</f>
        <v>double-blind, randomized, placebo-controlled 6-week field trial</v>
      </c>
      <c r="Q122" s="697" t="str">
        <f>IFERROR(__xludf.DUMMYFUNCTION("""COMPUTED_VALUE"""),"Yes")</f>
        <v>Yes</v>
      </c>
      <c r="R122" s="697" t="str">
        <f>IFERROR(__xludf.DUMMYFUNCTION("""COMPUTED_VALUE"""),"Yes")</f>
        <v>Yes</v>
      </c>
      <c r="S122" s="697" t="str">
        <f>IFERROR(__xludf.DUMMYFUNCTION("""COMPUTED_VALUE"""),"1 year")</f>
        <v>1 year</v>
      </c>
      <c r="T122" s="697" t="str">
        <f>IFERROR(__xludf.DUMMYFUNCTION("""COMPUTED_VALUE"""),"In conclusion, finding reported here support the notion that doxycycline, either alone or in combination with antifilaria therapy, strongly reduced Wolbachia levels in B. malayi–infected persons and, either alone or in combination with antifilaria therapy"&amp;", led to a decrease in microfila emia that was sustained for at least 1 year after treatment. Second, doxycycline treatment reduced adverse reactions following diethylcarbamazine-albendazole treatment; this may be particularly important for patients with "&amp;"very high microfilari loads, because they are known to most frequently experience adverse reactions to diethylcarbamazine.")</f>
        <v>In conclusion, finding reported here support the notion that doxycycline, either alone or in combination with antifilaria therapy, strongly reduced Wolbachia levels in B. malayi–infected persons and, either alone or in combination with antifilaria therapy, led to a decrease in microfila emia that was sustained for at least 1 year after treatment. Second, doxycycline treatment reduced adverse reactions following diethylcarbamazine-albendazole treatment; this may be particularly important for patients with very high microfilari loads, because they are known to most frequently experience adverse reactions to diethylcarbamazine.</v>
      </c>
      <c r="U122" s="697" t="str">
        <f>IFERROR(__xludf.DUMMYFUNCTION("""COMPUTED_VALUE"""),"Four months after receiving doxycycline (np 119) or placebo (np42), participants received diethylcarbamazine (6 mg/kg) plus albendazole (400 mg) or a matching placebo")</f>
        <v>Four months after receiving doxycycline (np 119) or placebo (np42), participants received diethylcarbamazine (6 mg/kg) plus albendazole (400 mg) or a matching placebo</v>
      </c>
      <c r="V122" s="697">
        <f>IFERROR(__xludf.DUMMYFUNCTION("""COMPUTED_VALUE"""),2008.0)</f>
        <v>2008</v>
      </c>
      <c r="W122" s="697">
        <f>IFERROR(__xludf.DUMMYFUNCTION("""COMPUTED_VALUE"""),2008.0)</f>
        <v>2008</v>
      </c>
      <c r="X122" s="697" t="str">
        <f>IFERROR(__xludf.DUMMYFUNCTION("""COMPUTED_VALUE"""),"Taniawati Supali,1 Yenny Djuardi,1 Kenneth M. Pfarr,4 Heri Wibowo,1 Mark J. Taylor,5 Achim Hoerauf,4 Jeanine J. Houwing-Duistermaat,3 M. Yazdanbakhsh,2 and Erliyani Sartono2. Doxycycline Treatment of Brugia malayi–Infected Persons Reduces Microfila emia a"&amp;"nd Adverse Reactions after Diethylcarbamazine and Albendazole Treatment. CID 2008:46 (1 May). ")</f>
        <v>Taniawati Supali,1 Yenny Djuardi,1 Kenneth M. Pfarr,4 Heri Wibowo,1 Mark J. Taylor,5 Achim Hoerauf,4 Jeanine J. Houwing-Duistermaat,3 M. Yazdanbakhsh,2 and Erliyani Sartono2. Doxycycline Treatment of Brugia malayi–Infected Persons Reduces Microfila emia and Adverse Reactions after Diethylcarbamazine and Albendazole Treatment. CID 2008:46 (1 May). </v>
      </c>
      <c r="Y122" s="697" t="str">
        <f>IFERROR(__xludf.DUMMYFUNCTION("""COMPUTED_VALUE"""),"DOI: 10.1086/586753")</f>
        <v>DOI: 10.1086/586753</v>
      </c>
      <c r="Z122" s="865" t="str">
        <f>IFERROR(__xludf.DUMMYFUNCTION("""COMPUTED_VALUE"""),"https://drive.google.com/file/d/0B4sJPAkX0Jo3aUlhSlBQMmNxRzQ/view?usp=sharing")</f>
        <v>https://drive.google.com/file/d/0B4sJPAkX0Jo3aUlhSlBQMmNxRzQ/view?usp=sharing</v>
      </c>
      <c r="AA122" s="697"/>
    </row>
    <row r="123">
      <c r="A123" s="697" t="str">
        <f>IFERROR(__xludf.DUMMYFUNCTION("""COMPUTED_VALUE"""),"Supali T, 2008")</f>
        <v>Supali T, 2008</v>
      </c>
      <c r="B123" s="697" t="str">
        <f>IFERROR(__xludf.DUMMYFUNCTION("""COMPUTED_VALUE"""),"luisa")</f>
        <v>luisa</v>
      </c>
      <c r="C123" s="697" t="str">
        <f>IFERROR(__xludf.DUMMYFUNCTION("""COMPUTED_VALUE"""),"luisa/AR")</f>
        <v>luisa/AR</v>
      </c>
      <c r="D123" s="697" t="str">
        <f>IFERROR(__xludf.DUMMYFUNCTION("""COMPUTED_VALUE"""),"Indonesia")</f>
        <v>Indonesia</v>
      </c>
      <c r="E123" s="697" t="str">
        <f>IFERROR(__xludf.DUMMYFUNCTION("""COMPUTED_VALUE"""),"Brugia malayi")</f>
        <v>Brugia malayi</v>
      </c>
      <c r="F123" s="697" t="str">
        <f>IFERROR(__xludf.DUMMYFUNCTION("""COMPUTED_VALUE"""),"Albendazole &amp; DEC &amp; Placebo")</f>
        <v>Albendazole &amp; DEC &amp; Placebo</v>
      </c>
      <c r="G123" s="697" t="str">
        <f>IFERROR(__xludf.DUMMYFUNCTION("""COMPUTED_VALUE"""),"400 mg + 6mg/kg ")</f>
        <v>400 mg + 6mg/kg </v>
      </c>
      <c r="H123" s="697">
        <f>IFERROR(__xludf.DUMMYFUNCTION("""COMPUTED_VALUE"""),42.0)</f>
        <v>42</v>
      </c>
      <c r="I123" s="697"/>
      <c r="J123" s="706">
        <f>IFERROR(__xludf.DUMMYFUNCTION("""COMPUTED_VALUE"""),0.267)</f>
        <v>0.267</v>
      </c>
      <c r="K123" s="697"/>
      <c r="L123" s="697">
        <f>IFERROR(__xludf.DUMMYFUNCTION("""COMPUTED_VALUE"""),42.0)</f>
        <v>42</v>
      </c>
      <c r="M123" s="10" t="str">
        <f>IFERROR(__xludf.DUMMYFUNCTION("""COMPUTED_VALUE"""),"12 to 76")</f>
        <v>12 to 76</v>
      </c>
      <c r="N123" s="862" t="str">
        <f>IFERROR(__xludf.DUMMYFUNCTION("""COMPUTED_VALUE"""),"not available")</f>
        <v>not available</v>
      </c>
      <c r="O123" s="697" t="str">
        <f>IFERROR(__xludf.DUMMYFUNCTION("""COMPUTED_VALUE"""),"range, 12–76 years; body weight, 40 kg; microfilari load, 15 microfilaria/mL and good health without any clinical condition requiring long-term use of medications.")</f>
        <v>range, 12–76 years; body weight, 40 kg; microfilari load, 15 microfilaria/mL and good health without any clinical condition requiring long-term use of medications.</v>
      </c>
      <c r="P123" s="697" t="str">
        <f>IFERROR(__xludf.DUMMYFUNCTION("""COMPUTED_VALUE"""),"double-blind, randomized, placebo-controlled 6-week field trial")</f>
        <v>double-blind, randomized, placebo-controlled 6-week field trial</v>
      </c>
      <c r="Q123" s="697" t="str">
        <f>IFERROR(__xludf.DUMMYFUNCTION("""COMPUTED_VALUE"""),"Yes")</f>
        <v>Yes</v>
      </c>
      <c r="R123" s="697" t="str">
        <f>IFERROR(__xludf.DUMMYFUNCTION("""COMPUTED_VALUE"""),"Yes")</f>
        <v>Yes</v>
      </c>
      <c r="S123" s="697" t="str">
        <f>IFERROR(__xludf.DUMMYFUNCTION("""COMPUTED_VALUE"""),"1 year")</f>
        <v>1 year</v>
      </c>
      <c r="T123" s="697" t="str">
        <f>IFERROR(__xludf.DUMMYFUNCTION("""COMPUTED_VALUE"""),"In conclusion, finding reported here support the notion that doxycycline, either alone or in combination with antifilaria therapy, strongly reduced Wolbachia levels in B. malayi–infected persons and, either alone or in combination with antifilaria therapy"&amp;", led to a decrease in microfila emia that was sustained for at least 1 year after treatment. Second, doxycycline treatment reduced adverse reactions following diethylcarbamazine-albendazole treatment; this may be particularly important for patients with "&amp;"very high microfilari loads, because they are known to most frequently experience adverse reactions to diethylcarbamazine.")</f>
        <v>In conclusion, finding reported here support the notion that doxycycline, either alone or in combination with antifilaria therapy, strongly reduced Wolbachia levels in B. malayi–infected persons and, either alone or in combination with antifilaria therapy, led to a decrease in microfila emia that was sustained for at least 1 year after treatment. Second, doxycycline treatment reduced adverse reactions following diethylcarbamazine-albendazole treatment; this may be particularly important for patients with very high microfilari loads, because they are known to most frequently experience adverse reactions to diethylcarbamazine.</v>
      </c>
      <c r="U123" s="697" t="str">
        <f>IFERROR(__xludf.DUMMYFUNCTION("""COMPUTED_VALUE"""),"Four months after receiving doxycycline (np 119) or placebo (np42), participants received diethylcarbamazine (6 mg/kg) plus albendazole (400 mg) or a matching placebo")</f>
        <v>Four months after receiving doxycycline (np 119) or placebo (np42), participants received diethylcarbamazine (6 mg/kg) plus albendazole (400 mg) or a matching placebo</v>
      </c>
      <c r="V123" s="697">
        <f>IFERROR(__xludf.DUMMYFUNCTION("""COMPUTED_VALUE"""),2008.0)</f>
        <v>2008</v>
      </c>
      <c r="W123" s="697">
        <f>IFERROR(__xludf.DUMMYFUNCTION("""COMPUTED_VALUE"""),2008.0)</f>
        <v>2008</v>
      </c>
      <c r="X123" s="697" t="str">
        <f>IFERROR(__xludf.DUMMYFUNCTION("""COMPUTED_VALUE"""),"Taniawati Supali,1 Yenny Djuardi,1 Kenneth M. Pfarr,4 Heri Wibowo,1 Mark J. Taylor,5 Achim Hoerauf,4 Jeanine J. Houwing-Duistermaat,3 M. Yazdanbakhsh,2 and Erliyani Sartono2. Doxycycline Treatment of Brugia malayi–Infected Persons Reduces Microfila emia a"&amp;"nd Adverse Reactions after Diethylcarbamazine and Albendazole Treatment. CID 2008:46 (1 May). ")</f>
        <v>Taniawati Supali,1 Yenny Djuardi,1 Kenneth M. Pfarr,4 Heri Wibowo,1 Mark J. Taylor,5 Achim Hoerauf,4 Jeanine J. Houwing-Duistermaat,3 M. Yazdanbakhsh,2 and Erliyani Sartono2. Doxycycline Treatment of Brugia malayi–Infected Persons Reduces Microfila emia and Adverse Reactions after Diethylcarbamazine and Albendazole Treatment. CID 2008:46 (1 May). </v>
      </c>
      <c r="Y123" s="697" t="str">
        <f>IFERROR(__xludf.DUMMYFUNCTION("""COMPUTED_VALUE"""),"DOI: 10.1086/586753")</f>
        <v>DOI: 10.1086/586753</v>
      </c>
      <c r="Z123" s="865" t="str">
        <f>IFERROR(__xludf.DUMMYFUNCTION("""COMPUTED_VALUE"""),"https://drive.google.com/file/d/0B4sJPAkX0Jo3aUlhSlBQMmNxRzQ/view?usp=sharing")</f>
        <v>https://drive.google.com/file/d/0B4sJPAkX0Jo3aUlhSlBQMmNxRzQ/view?usp=sharing</v>
      </c>
      <c r="AA123" s="697"/>
    </row>
    <row r="124">
      <c r="A124" s="697" t="str">
        <f>IFERROR(__xludf.DUMMYFUNCTION("""COMPUTED_VALUE"""),"Taylor, 2005")</f>
        <v>Taylor, 2005</v>
      </c>
      <c r="B124" s="697"/>
      <c r="C124" s="697" t="str">
        <f>IFERROR(__xludf.DUMMYFUNCTION("""COMPUTED_VALUE"""),"Alex/AR")</f>
        <v>Alex/AR</v>
      </c>
      <c r="D124" s="697" t="str">
        <f>IFERROR(__xludf.DUMMYFUNCTION("""COMPUTED_VALUE"""),"Tanzania")</f>
        <v>Tanzania</v>
      </c>
      <c r="E124" s="697" t="str">
        <f>IFERROR(__xludf.DUMMYFUNCTION("""COMPUTED_VALUE"""),"W. bancrofti")</f>
        <v>W. bancrofti</v>
      </c>
      <c r="F124" s="697" t="str">
        <f>IFERROR(__xludf.DUMMYFUNCTION("""COMPUTED_VALUE"""),"Doxycycline")</f>
        <v>Doxycycline</v>
      </c>
      <c r="G124" s="697" t="str">
        <f>IFERROR(__xludf.DUMMYFUNCTION("""COMPUTED_VALUE"""),"200 mg/ day")</f>
        <v>200 mg/ day</v>
      </c>
      <c r="H124" s="697">
        <f>IFERROR(__xludf.DUMMYFUNCTION("""COMPUTED_VALUE"""),56.0)</f>
        <v>56</v>
      </c>
      <c r="I124" s="706">
        <f>IFERROR(__xludf.DUMMYFUNCTION("""COMPUTED_VALUE"""),0.206)</f>
        <v>0.206</v>
      </c>
      <c r="J124" s="698">
        <f>IFERROR(__xludf.DUMMYFUNCTION("""COMPUTED_VALUE"""),0.875)</f>
        <v>0.875</v>
      </c>
      <c r="K124" s="697" t="str">
        <f>IFERROR(__xludf.DUMMYFUNCTION("""COMPUTED_VALUE"""),"not available ")</f>
        <v>not available </v>
      </c>
      <c r="L124" s="697">
        <f>IFERROR(__xludf.DUMMYFUNCTION("""COMPUTED_VALUE"""),34.0)</f>
        <v>34</v>
      </c>
      <c r="M124" s="10" t="str">
        <f>IFERROR(__xludf.DUMMYFUNCTION("""COMPUTED_VALUE"""),"15- 68")</f>
        <v>15- 68</v>
      </c>
      <c r="N124" s="862" t="str">
        <f>IFERROR(__xludf.DUMMYFUNCTION("""COMPUTED_VALUE"""),"males")</f>
        <v>males</v>
      </c>
      <c r="O124" s="697" t="str">
        <f>IFERROR(__xludf.DUMMYFUNCTION("""COMPUTED_VALUE"""),"Male (ultrasonographic techniques were ineffective on females), must be between 15 and 68 years old, had microfilaremia count of at least 100 MF/mL")</f>
        <v>Male (ultrasonographic techniques were ineffective on females), must be between 15 and 68 years old, had microfilaremia count of at least 100 MF/mL</v>
      </c>
      <c r="P124" s="697" t="str">
        <f>IFERROR(__xludf.DUMMYFUNCTION("""COMPUTED_VALUE"""),"double- blind, RCT")</f>
        <v>double- blind, RCT</v>
      </c>
      <c r="Q124" s="697" t="str">
        <f>IFERROR(__xludf.DUMMYFUNCTION("""COMPUTED_VALUE"""),"Yes")</f>
        <v>Yes</v>
      </c>
      <c r="R124" s="697" t="str">
        <f>IFERROR(__xludf.DUMMYFUNCTION("""COMPUTED_VALUE"""),"Yes")</f>
        <v>Yes</v>
      </c>
      <c r="S124" s="697" t="str">
        <f>IFERROR(__xludf.DUMMYFUNCTION("""COMPUTED_VALUE"""),"14 months ")</f>
        <v>14 months </v>
      </c>
      <c r="T124" s="697"/>
      <c r="U124" s="697"/>
      <c r="V124" s="697">
        <f>IFERROR(__xludf.DUMMYFUNCTION("""COMPUTED_VALUE"""),2005.0)</f>
        <v>2005</v>
      </c>
      <c r="W124" s="697">
        <f>IFERROR(__xludf.DUMMYFUNCTION("""COMPUTED_VALUE"""),2005.0)</f>
        <v>2005</v>
      </c>
      <c r="X124" s="697" t="str">
        <f>IFERROR(__xludf.DUMMYFUNCTION("""COMPUTED_VALUE"""),"Taylor MJ, Makunde WH, McGarry HF, Turner JD, Mand S, Hoerauf A. Macrofilaricidal activity after doxycycline treatment of Wuchereria bancrofti: a double-blind, randomised placebo-controlled trial. Lancet. 2005;365(9477):2116–2121.")</f>
        <v>Taylor MJ, Makunde WH, McGarry HF, Turner JD, Mand S, Hoerauf A. Macrofilaricidal activity after doxycycline treatment of Wuchereria bancrofti: a double-blind, randomised placebo-controlled trial. Lancet. 2005;365(9477):2116–2121.</v>
      </c>
      <c r="Y124" s="697"/>
      <c r="Z124" s="865" t="str">
        <f>IFERROR(__xludf.DUMMYFUNCTION("""COMPUTED_VALUE"""),"https://drive.google.com/file/d/0B95WhYooraDecERrQVNGd1BNOVk/view?usp=sharing")</f>
        <v>https://drive.google.com/file/d/0B95WhYooraDecERrQVNGd1BNOVk/view?usp=sharing</v>
      </c>
      <c r="AA124" s="697"/>
    </row>
    <row r="125">
      <c r="A125" s="697" t="str">
        <f>IFERROR(__xludf.DUMMYFUNCTION("""COMPUTED_VALUE"""),"Wamae, 2011")</f>
        <v>Wamae, 2011</v>
      </c>
      <c r="B125" s="697" t="str">
        <f>IFERROR(__xludf.DUMMYFUNCTION("""COMPUTED_VALUE"""),"Kirti")</f>
        <v>Kirti</v>
      </c>
      <c r="C125" s="697" t="str">
        <f>IFERROR(__xludf.DUMMYFUNCTION("""COMPUTED_VALUE"""),"Ross/AR")</f>
        <v>Ross/AR</v>
      </c>
      <c r="D125" s="697" t="str">
        <f>IFERROR(__xludf.DUMMYFUNCTION("""COMPUTED_VALUE"""),"Kenya")</f>
        <v>Kenya</v>
      </c>
      <c r="E125" s="697" t="str">
        <f>IFERROR(__xludf.DUMMYFUNCTION("""COMPUTED_VALUE"""),"W. bancrofti")</f>
        <v>W. bancrofti</v>
      </c>
      <c r="F125" s="697" t="str">
        <f>IFERROR(__xludf.DUMMYFUNCTION("""COMPUTED_VALUE"""),"Albendazole &amp; DEC")</f>
        <v>Albendazole &amp; DEC</v>
      </c>
      <c r="G125" s="697" t="str">
        <f>IFERROR(__xludf.DUMMYFUNCTION("""COMPUTED_VALUE"""),"400 mg + 6 mg/kg")</f>
        <v>400 mg + 6 mg/kg</v>
      </c>
      <c r="H125" s="697">
        <f>IFERROR(__xludf.DUMMYFUNCTION("""COMPUTED_VALUE"""),3.0)</f>
        <v>3</v>
      </c>
      <c r="I125" s="706">
        <f>IFERROR(__xludf.DUMMYFUNCTION("""COMPUTED_VALUE"""),1.0)</f>
        <v>1</v>
      </c>
      <c r="J125" s="706">
        <f>IFERROR(__xludf.DUMMYFUNCTION("""COMPUTED_VALUE"""),0.537)</f>
        <v>0.537</v>
      </c>
      <c r="K125" s="697" t="str">
        <f>IFERROR(__xludf.DUMMYFUNCTION("""COMPUTED_VALUE"""),"not available")</f>
        <v>not available</v>
      </c>
      <c r="L125" s="697">
        <f>IFERROR(__xludf.DUMMYFUNCTION("""COMPUTED_VALUE"""),54.0)</f>
        <v>54</v>
      </c>
      <c r="M125" s="697" t="str">
        <f>IFERROR(__xludf.DUMMYFUNCTION("""COMPUTED_VALUE"""),"&gt;=5")</f>
        <v>&gt;=5</v>
      </c>
      <c r="N125" s="868">
        <f>IFERROR(__xludf.DUMMYFUNCTION("""COMPUTED_VALUE"""),0.1701388888888889)</f>
        <v>0.1701388889</v>
      </c>
      <c r="O125" s="697" t="str">
        <f>IFERROR(__xludf.DUMMYFUNCTION("""COMPUTED_VALUE"""),"(age 5 years or more and not severely ill or pregnant)")</f>
        <v>(age 5 years or more and not severely ill or pregnant)</v>
      </c>
      <c r="P125" s="697" t="str">
        <f>IFERROR(__xludf.DUMMYFUNCTION("""COMPUTED_VALUE"""),"randomized-controlled")</f>
        <v>randomized-controlled</v>
      </c>
      <c r="Q125" s="697" t="str">
        <f>IFERROR(__xludf.DUMMYFUNCTION("""COMPUTED_VALUE"""),"No")</f>
        <v>No</v>
      </c>
      <c r="R125" s="697" t="str">
        <f>IFERROR(__xludf.DUMMYFUNCTION("""COMPUTED_VALUE"""),"Yes")</f>
        <v>Yes</v>
      </c>
      <c r="S125" s="697" t="str">
        <f>IFERROR(__xludf.DUMMYFUNCTION("""COMPUTED_VALUE"""),"24 months")</f>
        <v>24 months</v>
      </c>
      <c r="T125" s="697" t="str">
        <f>IFERROR(__xludf.DUMMYFUNCTION("""COMPUTED_VALUE"""),"Mass administration of a combination of DEC and albendazole will enhance the interruption of transmission of W. Bancrofti.")</f>
        <v>Mass administration of a combination of DEC and albendazole will enhance the interruption of transmission of W. Bancrofti.</v>
      </c>
      <c r="U125" s="697" t="str">
        <f>IFERROR(__xludf.DUMMYFUNCTION("""COMPUTED_VALUE"""),"Three rounds of annual treatment were administered in 1998, 1999, and 2000 ")</f>
        <v>Three rounds of annual treatment were administered in 1998, 1999, and 2000 </v>
      </c>
      <c r="V125" s="697" t="str">
        <f>IFERROR(__xludf.DUMMYFUNCTION("""COMPUTED_VALUE"""),"1998-2000")</f>
        <v>1998-2000</v>
      </c>
      <c r="W125" s="697">
        <f>IFERROR(__xludf.DUMMYFUNCTION("""COMPUTED_VALUE"""),2000.0)</f>
        <v>2000</v>
      </c>
      <c r="X125" s="697" t="str">
        <f>IFERROR(__xludf.DUMMYFUNCTION("""COMPUTED_VALUE"""),"Wamae CN, Njenga SM, Ngugi BM, Mbui J, Njaanake HK. Evaluation of effectiveness of diethylcarbamazine/albendazole combination in
reduction of Wuchereria bancrofti infection using multiple infection parameters. Acta Tropica 2011; 120 (S1): S33-S38. ")</f>
        <v>Wamae CN, Njenga SM, Ngugi BM, Mbui J, Njaanake HK. Evaluation of effectiveness of diethylcarbamazine/albendazole combination in
reduction of Wuchereria bancrofti infection using multiple infection parameters. Acta Tropica 2011; 120 (S1): S33-S38. </v>
      </c>
      <c r="Y125" s="697" t="str">
        <f>IFERROR(__xludf.DUMMYFUNCTION("""COMPUTED_VALUE"""),"doi: 10.1016/j.actatropica.2010.09.009")</f>
        <v>doi: 10.1016/j.actatropica.2010.09.009</v>
      </c>
      <c r="Z125" s="865" t="str">
        <f>IFERROR(__xludf.DUMMYFUNCTION("""COMPUTED_VALUE"""),"https://drive.google.com/file/d/0B9vYgR7NsKoYZVNmZmNDbjlTV3M/view?usp=sharing")</f>
        <v>https://drive.google.com/file/d/0B9vYgR7NsKoYZVNmZmNDbjlTV3M/view?usp=sharing</v>
      </c>
      <c r="AA125" s="697"/>
    </row>
    <row r="126">
      <c r="A126" s="697" t="str">
        <f>IFERROR(__xludf.DUMMYFUNCTION("""COMPUTED_VALUE"""),"Thomsen 2015")</f>
        <v>Thomsen 2015</v>
      </c>
      <c r="B126" s="697" t="str">
        <f>IFERROR(__xludf.DUMMYFUNCTION("""COMPUTED_VALUE"""),"Kirti")</f>
        <v>Kirti</v>
      </c>
      <c r="C126" s="697" t="str">
        <f>IFERROR(__xludf.DUMMYFUNCTION("""COMPUTED_VALUE"""),"luisa/AR")</f>
        <v>luisa/AR</v>
      </c>
      <c r="D126" s="697" t="str">
        <f>IFERROR(__xludf.DUMMYFUNCTION("""COMPUTED_VALUE"""),"Papua New Guinea")</f>
        <v>Papua New Guinea</v>
      </c>
      <c r="E126" s="697" t="str">
        <f>IFERROR(__xludf.DUMMYFUNCTION("""COMPUTED_VALUE"""),"W. bancrofti")</f>
        <v>W. bancrofti</v>
      </c>
      <c r="F126" s="697" t="str">
        <f>IFERROR(__xludf.DUMMYFUNCTION("""COMPUTED_VALUE"""),"Albendazole &amp; DEC")</f>
        <v>Albendazole &amp; DEC</v>
      </c>
      <c r="G126" s="697" t="str">
        <f>IFERROR(__xludf.DUMMYFUNCTION("""COMPUTED_VALUE"""),"400 mg + 6 mg/kg")</f>
        <v>400 mg + 6 mg/kg</v>
      </c>
      <c r="H126" s="697">
        <f>IFERROR(__xludf.DUMMYFUNCTION("""COMPUTED_VALUE"""),1.0)</f>
        <v>1</v>
      </c>
      <c r="I126" s="706">
        <f>IFERROR(__xludf.DUMMYFUNCTION("""COMPUTED_VALUE"""),0.9898)</f>
        <v>0.9898</v>
      </c>
      <c r="J126" s="706">
        <f>IFERROR(__xludf.DUMMYFUNCTION("""COMPUTED_VALUE"""),0.667)</f>
        <v>0.667</v>
      </c>
      <c r="K126" s="697" t="str">
        <f>IFERROR(__xludf.DUMMYFUNCTION("""COMPUTED_VALUE"""),"not available")</f>
        <v>not available</v>
      </c>
      <c r="L126" s="697">
        <f>IFERROR(__xludf.DUMMYFUNCTION("""COMPUTED_VALUE"""),12.0)</f>
        <v>12</v>
      </c>
      <c r="M126" s="697" t="str">
        <f>IFERROR(__xludf.DUMMYFUNCTION("""COMPUTED_VALUE"""),"19-50")</f>
        <v>19-50</v>
      </c>
      <c r="N126" s="697" t="str">
        <f>IFERROR(__xludf.DUMMYFUNCTION("""COMPUTED_VALUE"""),"1:1 (pre-treatment)")</f>
        <v>1:1 (pre-treatment)</v>
      </c>
      <c r="O126" s="697" t="str">
        <f>IFERROR(__xludf.DUMMYFUNCTION("""COMPUTED_VALUE"""),"aged 18–60 years, &gt;100 microfilaria /mL, no prior antifilarial medications, or free from any acute or chronic illnesses")</f>
        <v>aged 18–60 years, &gt;100 microfilaria /mL, no prior antifilarial medications, or free from any acute or chronic illnesses</v>
      </c>
      <c r="P126" s="697" t="str">
        <f>IFERROR(__xludf.DUMMYFUNCTION("""COMPUTED_VALUE"""),"single blind ranomised study")</f>
        <v>single blind ranomised study</v>
      </c>
      <c r="Q126" s="697" t="str">
        <f>IFERROR(__xludf.DUMMYFUNCTION("""COMPUTED_VALUE"""),"Yes")</f>
        <v>Yes</v>
      </c>
      <c r="R126" s="697" t="str">
        <f>IFERROR(__xludf.DUMMYFUNCTION("""COMPUTED_VALUE"""),"Yes")</f>
        <v>Yes</v>
      </c>
      <c r="S126" s="697" t="str">
        <f>IFERROR(__xludf.DUMMYFUNCTION("""COMPUTED_VALUE"""),"2 years")</f>
        <v>2 years</v>
      </c>
      <c r="T126" s="697" t="str">
        <f>IFERROR(__xludf.DUMMYFUNCTION("""COMPUTED_VALUE"""),"Triple-drug therapy is safe and more effective than DEC + ALB for Bancroftian filariasis and has the potential to accelerate elimination of lymphatic filariasis.")</f>
        <v>Triple-drug therapy is safe and more effective than DEC + ALB for Bancroftian filariasis and has the potential to accelerate elimination of lymphatic filariasis.</v>
      </c>
      <c r="U126" s="697" t="str">
        <f>IFERROR(__xludf.DUMMYFUNCTION("""COMPUTED_VALUE"""),"12 patients failed to follow up after 2 years. By chance, each treatment group had 6 patients left. The ratio of F:M was not provided for the remaining patients. ")</f>
        <v>12 patients failed to follow up after 2 years. By chance, each treatment group had 6 patients left. The ratio of F:M was not provided for the remaining patients. </v>
      </c>
      <c r="V126" s="697">
        <f>IFERROR(__xludf.DUMMYFUNCTION("""COMPUTED_VALUE"""),2015.0)</f>
        <v>2015</v>
      </c>
      <c r="W126" s="697">
        <f>IFERROR(__xludf.DUMMYFUNCTION("""COMPUTED_VALUE"""),2015.0)</f>
        <v>2015</v>
      </c>
      <c r="X126" s="697" t="str">
        <f>IFERROR(__xludf.DUMMYFUNCTION("""COMPUTED_VALUE"""),"Thomsen EK, Sanuku N, Baea M, Satofan S, Maki E, Lombore B, et al. Efficacy, Safety, and Pharmacokinetics of Coadministered Diethylcarbamazine, Albendazole, and Ivermectin for Treatment of Bancroftian Filariasis. Clinical Infectious Diseases 2016; 62(3): "&amp;"334-341.")</f>
        <v>Thomsen EK, Sanuku N, Baea M, Satofan S, Maki E, Lombore B, et al. Efficacy, Safety, and Pharmacokinetics of Coadministered Diethylcarbamazine, Albendazole, and Ivermectin for Treatment of Bancroftian Filariasis. Clinical Infectious Diseases 2016; 62(3): 334-341.</v>
      </c>
      <c r="Y126" s="697" t="str">
        <f>IFERROR(__xludf.DUMMYFUNCTION("""COMPUTED_VALUE"""),"doi: 10.1093/cid/civ882")</f>
        <v>doi: 10.1093/cid/civ882</v>
      </c>
      <c r="Z126" s="865" t="str">
        <f>IFERROR(__xludf.DUMMYFUNCTION("""COMPUTED_VALUE"""),"https://drive.google.com/file/d/0B0-pry4DSOm3ekRQdXRGdTItbkU/view?usp=sharing")</f>
        <v>https://drive.google.com/file/d/0B0-pry4DSOm3ekRQdXRGdTItbkU/view?usp=sharing</v>
      </c>
      <c r="AA126" s="697"/>
    </row>
    <row r="127">
      <c r="A127" s="697" t="str">
        <f>IFERROR(__xludf.DUMMYFUNCTION("""COMPUTED_VALUE"""),"Thomsen 2015")</f>
        <v>Thomsen 2015</v>
      </c>
      <c r="B127" s="697" t="str">
        <f>IFERROR(__xludf.DUMMYFUNCTION("""COMPUTED_VALUE"""),"Kirti")</f>
        <v>Kirti</v>
      </c>
      <c r="C127" s="697" t="str">
        <f>IFERROR(__xludf.DUMMYFUNCTION("""COMPUTED_VALUE"""),"luisa/AR")</f>
        <v>luisa/AR</v>
      </c>
      <c r="D127" s="697" t="str">
        <f>IFERROR(__xludf.DUMMYFUNCTION("""COMPUTED_VALUE"""),"Papua New Guinea")</f>
        <v>Papua New Guinea</v>
      </c>
      <c r="E127" s="697" t="str">
        <f>IFERROR(__xludf.DUMMYFUNCTION("""COMPUTED_VALUE"""),"W. bancrofti")</f>
        <v>W. bancrofti</v>
      </c>
      <c r="F127" s="697" t="str">
        <f>IFERROR(__xludf.DUMMYFUNCTION("""COMPUTED_VALUE"""),"Albendazole &amp; DEC &amp; Ivermectin")</f>
        <v>Albendazole &amp; DEC &amp; Ivermectin</v>
      </c>
      <c r="G127" s="697" t="str">
        <f>IFERROR(__xludf.DUMMYFUNCTION("""COMPUTED_VALUE"""),"400 mg + 6 mg/kg + .2 mg/kg")</f>
        <v>400 mg + 6 mg/kg + .2 mg/kg</v>
      </c>
      <c r="H127" s="697">
        <f>IFERROR(__xludf.DUMMYFUNCTION("""COMPUTED_VALUE"""),1.0)</f>
        <v>1</v>
      </c>
      <c r="I127" s="706">
        <f>IFERROR(__xludf.DUMMYFUNCTION("""COMPUTED_VALUE"""),1.0)</f>
        <v>1</v>
      </c>
      <c r="J127" s="706">
        <f>IFERROR(__xludf.DUMMYFUNCTION("""COMPUTED_VALUE"""),1.0)</f>
        <v>1</v>
      </c>
      <c r="K127" s="697" t="str">
        <f>IFERROR(__xludf.DUMMYFUNCTION("""COMPUTED_VALUE"""),"not available")</f>
        <v>not available</v>
      </c>
      <c r="L127" s="697">
        <f>IFERROR(__xludf.DUMMYFUNCTION("""COMPUTED_VALUE"""),12.0)</f>
        <v>12</v>
      </c>
      <c r="M127" s="697" t="str">
        <f>IFERROR(__xludf.DUMMYFUNCTION("""COMPUTED_VALUE"""),"19-59")</f>
        <v>19-59</v>
      </c>
      <c r="N127" s="697" t="str">
        <f>IFERROR(__xludf.DUMMYFUNCTION("""COMPUTED_VALUE"""),"1:1 (pre-treament)")</f>
        <v>1:1 (pre-treament)</v>
      </c>
      <c r="O127" s="697" t="str">
        <f>IFERROR(__xludf.DUMMYFUNCTION("""COMPUTED_VALUE"""),"aged 18–60 years, &gt;100 microfilaria /mL, no prior antifilarial medications, or free from any acute or chronic illnesses")</f>
        <v>aged 18–60 years, &gt;100 microfilaria /mL, no prior antifilarial medications, or free from any acute or chronic illnesses</v>
      </c>
      <c r="P127" s="697" t="str">
        <f>IFERROR(__xludf.DUMMYFUNCTION("""COMPUTED_VALUE"""),"single blind ranomised study")</f>
        <v>single blind ranomised study</v>
      </c>
      <c r="Q127" s="697" t="str">
        <f>IFERROR(__xludf.DUMMYFUNCTION("""COMPUTED_VALUE"""),"Yes")</f>
        <v>Yes</v>
      </c>
      <c r="R127" s="697" t="str">
        <f>IFERROR(__xludf.DUMMYFUNCTION("""COMPUTED_VALUE"""),"Yes")</f>
        <v>Yes</v>
      </c>
      <c r="S127" s="697" t="str">
        <f>IFERROR(__xludf.DUMMYFUNCTION("""COMPUTED_VALUE"""),"2 years")</f>
        <v>2 years</v>
      </c>
      <c r="T127" s="697" t="str">
        <f>IFERROR(__xludf.DUMMYFUNCTION("""COMPUTED_VALUE"""),"Triple-drug therapy is safe and more effective than DEC + ALB for Bancroftian filariasis and has the potential to accelerate elimination of lymphatic filariasis.")</f>
        <v>Triple-drug therapy is safe and more effective than DEC + ALB for Bancroftian filariasis and has the potential to accelerate elimination of lymphatic filariasis.</v>
      </c>
      <c r="U127" s="697" t="str">
        <f>IFERROR(__xludf.DUMMYFUNCTION("""COMPUTED_VALUE"""),"12 patients failed to follow up after 2 years. By chance, each treatment group had 6 patients left. The ratio of F:M was not provided for the remaining patients. ")</f>
        <v>12 patients failed to follow up after 2 years. By chance, each treatment group had 6 patients left. The ratio of F:M was not provided for the remaining patients. </v>
      </c>
      <c r="V127" s="697">
        <f>IFERROR(__xludf.DUMMYFUNCTION("""COMPUTED_VALUE"""),2015.0)</f>
        <v>2015</v>
      </c>
      <c r="W127" s="697">
        <f>IFERROR(__xludf.DUMMYFUNCTION("""COMPUTED_VALUE"""),2015.0)</f>
        <v>2015</v>
      </c>
      <c r="X127" s="697" t="str">
        <f>IFERROR(__xludf.DUMMYFUNCTION("""COMPUTED_VALUE"""),"Thomsen EK, Sanuku N, Baea M, Satofan S, Maki E, Lombore B, et al. Efficacy, Safety, and Pharmacokinetics of Coadministered Diethylcarbamazine, Albendazole, and Ivermectin for Treatment of Bancroftian Filariasis. Clinical Infectious Diseases 2016; 62(3): "&amp;"334-341.")</f>
        <v>Thomsen EK, Sanuku N, Baea M, Satofan S, Maki E, Lombore B, et al. Efficacy, Safety, and Pharmacokinetics of Coadministered Diethylcarbamazine, Albendazole, and Ivermectin for Treatment of Bancroftian Filariasis. Clinical Infectious Diseases 2016; 62(3): 334-341.</v>
      </c>
      <c r="Y127" s="697" t="str">
        <f>IFERROR(__xludf.DUMMYFUNCTION("""COMPUTED_VALUE"""),"doi: 10.1093/cid/civ882")</f>
        <v>doi: 10.1093/cid/civ882</v>
      </c>
      <c r="Z127" s="865" t="str">
        <f>IFERROR(__xludf.DUMMYFUNCTION("""COMPUTED_VALUE"""),"https://drive.google.com/file/d/0B0-pry4DSOm3ekRQdXRGdTItbkU/view?usp=sharing")</f>
        <v>https://drive.google.com/file/d/0B0-pry4DSOm3ekRQdXRGdTItbkU/view?usp=sharing</v>
      </c>
      <c r="AA127" s="697"/>
    </row>
    <row r="128">
      <c r="A128" s="697" t="str">
        <f>IFERROR(__xludf.DUMMYFUNCTION("""COMPUTED_VALUE"""),"Turner 2006")</f>
        <v>Turner 2006</v>
      </c>
      <c r="B128" s="697" t="str">
        <f>IFERROR(__xludf.DUMMYFUNCTION("""COMPUTED_VALUE"""),"Kirti")</f>
        <v>Kirti</v>
      </c>
      <c r="C128" s="697" t="str">
        <f>IFERROR(__xludf.DUMMYFUNCTION("""COMPUTED_VALUE"""),"luisa/AR")</f>
        <v>luisa/AR</v>
      </c>
      <c r="D128" s="697" t="str">
        <f>IFERROR(__xludf.DUMMYFUNCTION("""COMPUTED_VALUE"""),"Ghana")</f>
        <v>Ghana</v>
      </c>
      <c r="E128" s="697" t="str">
        <f>IFERROR(__xludf.DUMMYFUNCTION("""COMPUTED_VALUE"""),"W. bancrofti")</f>
        <v>W. bancrofti</v>
      </c>
      <c r="F128" s="697" t="str">
        <f>IFERROR(__xludf.DUMMYFUNCTION("""COMPUTED_VALUE"""),"Doxycycline")</f>
        <v>Doxycycline</v>
      </c>
      <c r="G128" s="697" t="str">
        <f>IFERROR(__xludf.DUMMYFUNCTION("""COMPUTED_VALUE"""),"200 mg/day for 3 weeks")</f>
        <v>200 mg/day for 3 weeks</v>
      </c>
      <c r="H128" s="697">
        <f>IFERROR(__xludf.DUMMYFUNCTION("""COMPUTED_VALUE"""),21.0)</f>
        <v>21</v>
      </c>
      <c r="I128" s="706">
        <f>IFERROR(__xludf.DUMMYFUNCTION("""COMPUTED_VALUE"""),0.601)</f>
        <v>0.601</v>
      </c>
      <c r="J128" s="706">
        <f>IFERROR(__xludf.DUMMYFUNCTION("""COMPUTED_VALUE"""),0.0625)</f>
        <v>0.0625</v>
      </c>
      <c r="K128" s="697" t="str">
        <f>IFERROR(__xludf.DUMMYFUNCTION("""COMPUTED_VALUE"""),"not available")</f>
        <v>not available</v>
      </c>
      <c r="L128" s="697">
        <f>IFERROR(__xludf.DUMMYFUNCTION("""COMPUTED_VALUE"""),16.0)</f>
        <v>16</v>
      </c>
      <c r="M128" s="697" t="str">
        <f>IFERROR(__xludf.DUMMYFUNCTION("""COMPUTED_VALUE"""),"18-60")</f>
        <v>18-60</v>
      </c>
      <c r="N128" s="697" t="str">
        <f>IFERROR(__xludf.DUMMYFUNCTION("""COMPUTED_VALUE"""),"not available")</f>
        <v>not available</v>
      </c>
      <c r="O128" s="697" t="str">
        <f>IFERROR(__xludf.DUMMYFUNCTION("""COMPUTED_VALUE"""),"minimum body weight &gt;=40 kg and in good health, without any clinical condition requiring long-term use of medications, and microfilaraemia load &gt;50 mg/ml")</f>
        <v>minimum body weight &gt;=40 kg and in good health, without any clinical condition requiring long-term use of medications, and microfilaraemia load &gt;50 mg/ml</v>
      </c>
      <c r="P128" s="697" t="str">
        <f>IFERROR(__xludf.DUMMYFUNCTION("""COMPUTED_VALUE"""),"double-blinded RCT")</f>
        <v>double-blinded RCT</v>
      </c>
      <c r="Q128" s="697" t="str">
        <f>IFERROR(__xludf.DUMMYFUNCTION("""COMPUTED_VALUE"""),"Yes")</f>
        <v>Yes</v>
      </c>
      <c r="R128" s="697" t="str">
        <f>IFERROR(__xludf.DUMMYFUNCTION("""COMPUTED_VALUE"""),"Yes")</f>
        <v>Yes</v>
      </c>
      <c r="S128" s="697" t="str">
        <f>IFERROR(__xludf.DUMMYFUNCTION("""COMPUTED_VALUE"""),"4 months")</f>
        <v>4 months</v>
      </c>
      <c r="T128" s="697" t="str">
        <f>IFERROR(__xludf.DUMMYFUNCTION("""COMPUTED_VALUE"""),"Treatment with doxycycline for 3 weeks is more effective in inducing a long-termamicrofilaremia than is standard treatment alone, but it is ineffective at inducing curative effects.")</f>
        <v>Treatment with doxycycline for 3 weeks is more effective in inducing a long-termamicrofilaremia than is standard treatment alone, but it is ineffective at inducing curative effects.</v>
      </c>
      <c r="U128" s="697" t="str">
        <f>IFERROR(__xludf.DUMMYFUNCTION("""COMPUTED_VALUE"""),"The patients were given Doxycycline for three weeks and at 4th month, they were given Albendezole and Ivermectin. 4 patients failed to follow up after 4 months.")</f>
        <v>The patients were given Doxycycline for three weeks and at 4th month, they were given Albendezole and Ivermectin. 4 patients failed to follow up after 4 months.</v>
      </c>
      <c r="V128" s="697">
        <f>IFERROR(__xludf.DUMMYFUNCTION("""COMPUTED_VALUE"""),2003.0)</f>
        <v>2003</v>
      </c>
      <c r="W128" s="697">
        <f>IFERROR(__xludf.DUMMYFUNCTION("""COMPUTED_VALUE"""),2003.0)</f>
        <v>2003</v>
      </c>
      <c r="X128" s="697" t="str">
        <f>IFERROR(__xludf.DUMMYFUNCTION("""COMPUTED_VALUE"""),"Turner JD, Mand S, Debrah AW, Muehlfeld J, Pfarr K, McGarry HF, et al. A Randomized, Double-Blind Clinical Trial of a 3-Week Course of Doxycycline plus Albendazole and Ivermectin for the Treatment of Wuchereria bancrofti Infection. Clinical Infectious Dis"&amp;"eases 2006; 42: 1081-1089.")</f>
        <v>Turner JD, Mand S, Debrah AW, Muehlfeld J, Pfarr K, McGarry HF, et al. A Randomized, Double-Blind Clinical Trial of a 3-Week Course of Doxycycline plus Albendazole and Ivermectin for the Treatment of Wuchereria bancrofti Infection. Clinical Infectious Diseases 2006; 42: 1081-1089.</v>
      </c>
      <c r="Y128" s="697" t="str">
        <f>IFERROR(__xludf.DUMMYFUNCTION("""COMPUTED_VALUE"""),"doi: 10.1086/501351")</f>
        <v>doi: 10.1086/501351</v>
      </c>
      <c r="Z128" s="865" t="str">
        <f>IFERROR(__xludf.DUMMYFUNCTION("""COMPUTED_VALUE"""),"https://drive.google.com/file/d/0B0-pry4DSOm3SFE5OWVEQTJjMG8/view?usp=sharing")</f>
        <v>https://drive.google.com/file/d/0B0-pry4DSOm3SFE5OWVEQTJjMG8/view?usp=sharing</v>
      </c>
      <c r="AA128" s="697"/>
    </row>
    <row r="129">
      <c r="A129" s="697" t="str">
        <f>IFERROR(__xludf.DUMMYFUNCTION("""COMPUTED_VALUE"""),"Turner 2006")</f>
        <v>Turner 2006</v>
      </c>
      <c r="B129" s="697" t="str">
        <f>IFERROR(__xludf.DUMMYFUNCTION("""COMPUTED_VALUE"""),"Kirti")</f>
        <v>Kirti</v>
      </c>
      <c r="C129" s="697" t="str">
        <f>IFERROR(__xludf.DUMMYFUNCTION("""COMPUTED_VALUE"""),"luisa/AR")</f>
        <v>luisa/AR</v>
      </c>
      <c r="D129" s="697" t="str">
        <f>IFERROR(__xludf.DUMMYFUNCTION("""COMPUTED_VALUE"""),"Ghana")</f>
        <v>Ghana</v>
      </c>
      <c r="E129" s="697" t="str">
        <f>IFERROR(__xludf.DUMMYFUNCTION("""COMPUTED_VALUE"""),"W. bancrofti")</f>
        <v>W. bancrofti</v>
      </c>
      <c r="F129" s="697" t="str">
        <f>IFERROR(__xludf.DUMMYFUNCTION("""COMPUTED_VALUE"""),"Albendazole &amp; Ivermectin")</f>
        <v>Albendazole &amp; Ivermectin</v>
      </c>
      <c r="G129" s="697" t="str">
        <f>IFERROR(__xludf.DUMMYFUNCTION("""COMPUTED_VALUE"""),"400 mg + .15-.2 mg/kg ")</f>
        <v>400 mg + .15-.2 mg/kg </v>
      </c>
      <c r="H129" s="697">
        <f>IFERROR(__xludf.DUMMYFUNCTION("""COMPUTED_VALUE"""),1.0)</f>
        <v>1</v>
      </c>
      <c r="I129" s="706">
        <f>IFERROR(__xludf.DUMMYFUNCTION("""COMPUTED_VALUE"""),1.0)</f>
        <v>1</v>
      </c>
      <c r="J129" s="698">
        <f>IFERROR(__xludf.DUMMYFUNCTION("""COMPUTED_VALUE"""),0.867)</f>
        <v>0.867</v>
      </c>
      <c r="K129" s="697" t="str">
        <f>IFERROR(__xludf.DUMMYFUNCTION("""COMPUTED_VALUE"""),"not available")</f>
        <v>not available</v>
      </c>
      <c r="L129" s="697" t="str">
        <f>IFERROR(__xludf.DUMMYFUNCTION("""COMPUTED_VALUE"""),"15 (12 months) 10 (24 months)")</f>
        <v>15 (12 months) 10 (24 months)</v>
      </c>
      <c r="M129" s="697" t="str">
        <f>IFERROR(__xludf.DUMMYFUNCTION("""COMPUTED_VALUE"""),"18-60")</f>
        <v>18-60</v>
      </c>
      <c r="N129" s="697" t="str">
        <f>IFERROR(__xludf.DUMMYFUNCTION("""COMPUTED_VALUE"""),"not available")</f>
        <v>not available</v>
      </c>
      <c r="O129" s="697" t="str">
        <f>IFERROR(__xludf.DUMMYFUNCTION("""COMPUTED_VALUE"""),"minimum body weight &gt;=40 kg and in good health, without any clinical condition requiring long-term use of medications, and microfilaraemia load &gt;50 mg/ml")</f>
        <v>minimum body weight &gt;=40 kg and in good health, without any clinical condition requiring long-term use of medications, and microfilaraemia load &gt;50 mg/ml</v>
      </c>
      <c r="P129" s="697" t="str">
        <f>IFERROR(__xludf.DUMMYFUNCTION("""COMPUTED_VALUE"""),"double-blinded RCT")</f>
        <v>double-blinded RCT</v>
      </c>
      <c r="Q129" s="697" t="str">
        <f>IFERROR(__xludf.DUMMYFUNCTION("""COMPUTED_VALUE"""),"Yes")</f>
        <v>Yes</v>
      </c>
      <c r="R129" s="697" t="str">
        <f>IFERROR(__xludf.DUMMYFUNCTION("""COMPUTED_VALUE"""),"Yes")</f>
        <v>Yes</v>
      </c>
      <c r="S129" s="697" t="str">
        <f>IFERROR(__xludf.DUMMYFUNCTION("""COMPUTED_VALUE"""),"12, 24 months")</f>
        <v>12, 24 months</v>
      </c>
      <c r="T129" s="697" t="str">
        <f>IFERROR(__xludf.DUMMYFUNCTION("""COMPUTED_VALUE"""),"Treatment with doxycycline for 3 weeks is more effective in inducing a long-termamicrofilaremia than is standard treatment alone, but it is ineffective at inducing curative effects.")</f>
        <v>Treatment with doxycycline for 3 weeks is more effective in inducing a long-termamicrofilaremia than is standard treatment alone, but it is ineffective at inducing curative effects.</v>
      </c>
      <c r="U129" s="697" t="str">
        <f>IFERROR(__xludf.DUMMYFUNCTION("""COMPUTED_VALUE"""),"1 patient failed to follow up after 12 months and 5 patients failed to follow up after 24 months.")</f>
        <v>1 patient failed to follow up after 12 months and 5 patients failed to follow up after 24 months.</v>
      </c>
      <c r="V129" s="697">
        <f>IFERROR(__xludf.DUMMYFUNCTION("""COMPUTED_VALUE"""),2003.0)</f>
        <v>2003</v>
      </c>
      <c r="W129" s="697">
        <f>IFERROR(__xludf.DUMMYFUNCTION("""COMPUTED_VALUE"""),2003.0)</f>
        <v>2003</v>
      </c>
      <c r="X129" s="697" t="str">
        <f>IFERROR(__xludf.DUMMYFUNCTION("""COMPUTED_VALUE"""),"Turner JD, Mand S, Debrah AW, Muehlfeld J, Pfarr K, McGarry HF, et al. A Randomized, Double-Blind Clinical Trial of a 3-Week Course of Doxycycline plus Albendazole and Ivermectin for the Treatment of Wuchereria bancrofti Infection. Clinical Infectious Dis"&amp;"eases 2006; 42: 1081-1089.")</f>
        <v>Turner JD, Mand S, Debrah AW, Muehlfeld J, Pfarr K, McGarry HF, et al. A Randomized, Double-Blind Clinical Trial of a 3-Week Course of Doxycycline plus Albendazole and Ivermectin for the Treatment of Wuchereria bancrofti Infection. Clinical Infectious Diseases 2006; 42: 1081-1089.</v>
      </c>
      <c r="Y129" s="697" t="str">
        <f>IFERROR(__xludf.DUMMYFUNCTION("""COMPUTED_VALUE"""),"doi: 10.1086/501351")</f>
        <v>doi: 10.1086/501351</v>
      </c>
      <c r="Z129" s="865" t="str">
        <f>IFERROR(__xludf.DUMMYFUNCTION("""COMPUTED_VALUE"""),"https://drive.google.com/file/d/0B0-pry4DSOm3SFE5OWVEQTJjMG8/view?usp=sharing")</f>
        <v>https://drive.google.com/file/d/0B0-pry4DSOm3SFE5OWVEQTJjMG8/view?usp=sharing</v>
      </c>
      <c r="AA129" s="697"/>
    </row>
    <row r="130">
      <c r="A130" s="697" t="str">
        <f>IFERROR(__xludf.DUMMYFUNCTION("""COMPUTED_VALUE"""),"Turner 2006")</f>
        <v>Turner 2006</v>
      </c>
      <c r="B130" s="697" t="str">
        <f>IFERROR(__xludf.DUMMYFUNCTION("""COMPUTED_VALUE"""),"Kirti")</f>
        <v>Kirti</v>
      </c>
      <c r="C130" s="697" t="str">
        <f>IFERROR(__xludf.DUMMYFUNCTION("""COMPUTED_VALUE"""),"luisa/AR")</f>
        <v>luisa/AR</v>
      </c>
      <c r="D130" s="697" t="str">
        <f>IFERROR(__xludf.DUMMYFUNCTION("""COMPUTED_VALUE"""),"Ghana")</f>
        <v>Ghana</v>
      </c>
      <c r="E130" s="697" t="str">
        <f>IFERROR(__xludf.DUMMYFUNCTION("""COMPUTED_VALUE"""),"W. bancrofti")</f>
        <v>W. bancrofti</v>
      </c>
      <c r="F130" s="697" t="str">
        <f>IFERROR(__xludf.DUMMYFUNCTION("""COMPUTED_VALUE"""),"Placebo")</f>
        <v>Placebo</v>
      </c>
      <c r="G130" s="697" t="str">
        <f>IFERROR(__xludf.DUMMYFUNCTION("""COMPUTED_VALUE"""),"daily for 3 weeks")</f>
        <v>daily for 3 weeks</v>
      </c>
      <c r="H130" s="697"/>
      <c r="I130" s="706">
        <f>IFERROR(__xludf.DUMMYFUNCTION("""COMPUTED_VALUE"""),-0.53)</f>
        <v>-0.53</v>
      </c>
      <c r="J130" s="706">
        <f>IFERROR(__xludf.DUMMYFUNCTION("""COMPUTED_VALUE"""),0.0)</f>
        <v>0</v>
      </c>
      <c r="K130" s="697" t="str">
        <f>IFERROR(__xludf.DUMMYFUNCTION("""COMPUTED_VALUE"""),"not available")</f>
        <v>not available</v>
      </c>
      <c r="L130" s="697">
        <f>IFERROR(__xludf.DUMMYFUNCTION("""COMPUTED_VALUE"""),22.0)</f>
        <v>22</v>
      </c>
      <c r="M130" s="697" t="str">
        <f>IFERROR(__xludf.DUMMYFUNCTION("""COMPUTED_VALUE"""),"18-60")</f>
        <v>18-60</v>
      </c>
      <c r="N130" s="697" t="str">
        <f>IFERROR(__xludf.DUMMYFUNCTION("""COMPUTED_VALUE"""),"not available")</f>
        <v>not available</v>
      </c>
      <c r="O130" s="697" t="str">
        <f>IFERROR(__xludf.DUMMYFUNCTION("""COMPUTED_VALUE"""),"minimum body weight &gt;=40 kg and in good health, without any clinical condition requiring long-term use of medications, and microfilaraemia load &gt;50 mg/ml")</f>
        <v>minimum body weight &gt;=40 kg and in good health, without any clinical condition requiring long-term use of medications, and microfilaraemia load &gt;50 mg/ml</v>
      </c>
      <c r="P130" s="697" t="str">
        <f>IFERROR(__xludf.DUMMYFUNCTION("""COMPUTED_VALUE"""),"double-blinded RCT")</f>
        <v>double-blinded RCT</v>
      </c>
      <c r="Q130" s="697" t="str">
        <f>IFERROR(__xludf.DUMMYFUNCTION("""COMPUTED_VALUE"""),"Yes")</f>
        <v>Yes</v>
      </c>
      <c r="R130" s="697" t="str">
        <f>IFERROR(__xludf.DUMMYFUNCTION("""COMPUTED_VALUE"""),"Yes")</f>
        <v>Yes</v>
      </c>
      <c r="S130" s="697" t="str">
        <f>IFERROR(__xludf.DUMMYFUNCTION("""COMPUTED_VALUE"""),"4 months")</f>
        <v>4 months</v>
      </c>
      <c r="T130" s="697" t="str">
        <f>IFERROR(__xludf.DUMMYFUNCTION("""COMPUTED_VALUE"""),"Treatment with doxycycline for 3 weeks is more effective in inducing a long-termamicrofilaremia than is standard treatment alone, but it is ineffective at inducing curative effects.")</f>
        <v>Treatment with doxycycline for 3 weeks is more effective in inducing a long-termamicrofilaremia than is standard treatment alone, but it is ineffective at inducing curative effects.</v>
      </c>
      <c r="U130" s="697" t="str">
        <f>IFERROR(__xludf.DUMMYFUNCTION("""COMPUTED_VALUE"""),"The patients were given Placebo for three weeks and at 4th month, they were given Albendezole and Ivermectin. 2 patients failed to follow up after 4 months. ")</f>
        <v>The patients were given Placebo for three weeks and at 4th month, they were given Albendezole and Ivermectin. 2 patients failed to follow up after 4 months. </v>
      </c>
      <c r="V130" s="697">
        <f>IFERROR(__xludf.DUMMYFUNCTION("""COMPUTED_VALUE"""),2003.0)</f>
        <v>2003</v>
      </c>
      <c r="W130" s="697">
        <f>IFERROR(__xludf.DUMMYFUNCTION("""COMPUTED_VALUE"""),2003.0)</f>
        <v>2003</v>
      </c>
      <c r="X130" s="697" t="str">
        <f>IFERROR(__xludf.DUMMYFUNCTION("""COMPUTED_VALUE"""),"Turner JD, Mand S, Debrah AW, Muehlfeld J, Pfarr K, McGarry HF, et al. A Randomized, Double-Blind Clinical Trial of a 3-Week Course of Doxycycline plus Albendazole and Ivermectin for the Treatment of Wuchereria bancrofti Infection. Clinical Infectious Dis"&amp;"eases 2006; 42: 1081-1089.")</f>
        <v>Turner JD, Mand S, Debrah AW, Muehlfeld J, Pfarr K, McGarry HF, et al. A Randomized, Double-Blind Clinical Trial of a 3-Week Course of Doxycycline plus Albendazole and Ivermectin for the Treatment of Wuchereria bancrofti Infection. Clinical Infectious Diseases 2006; 42: 1081-1089.</v>
      </c>
      <c r="Y130" s="697" t="str">
        <f>IFERROR(__xludf.DUMMYFUNCTION("""COMPUTED_VALUE"""),"doi: 10.1086/501351")</f>
        <v>doi: 10.1086/501351</v>
      </c>
      <c r="Z130" s="865" t="str">
        <f>IFERROR(__xludf.DUMMYFUNCTION("""COMPUTED_VALUE"""),"https://drive.google.com/file/d/0B0-pry4DSOm3SFE5OWVEQTJjMG8/view?usp=sharing")</f>
        <v>https://drive.google.com/file/d/0B0-pry4DSOm3SFE5OWVEQTJjMG8/view?usp=sharing</v>
      </c>
      <c r="AA130" s="697"/>
    </row>
    <row r="131">
      <c r="A131" s="697" t="str">
        <f>IFERROR(__xludf.DUMMYFUNCTION("""COMPUTED_VALUE"""),"Turner 2006")</f>
        <v>Turner 2006</v>
      </c>
      <c r="B131" s="697" t="str">
        <f>IFERROR(__xludf.DUMMYFUNCTION("""COMPUTED_VALUE"""),"Kirti")</f>
        <v>Kirti</v>
      </c>
      <c r="C131" s="697" t="str">
        <f>IFERROR(__xludf.DUMMYFUNCTION("""COMPUTED_VALUE"""),"luisa/AR")</f>
        <v>luisa/AR</v>
      </c>
      <c r="D131" s="697" t="str">
        <f>IFERROR(__xludf.DUMMYFUNCTION("""COMPUTED_VALUE"""),"Ghana")</f>
        <v>Ghana</v>
      </c>
      <c r="E131" s="697" t="str">
        <f>IFERROR(__xludf.DUMMYFUNCTION("""COMPUTED_VALUE"""),"W. bancrofti")</f>
        <v>W. bancrofti</v>
      </c>
      <c r="F131" s="697" t="str">
        <f>IFERROR(__xludf.DUMMYFUNCTION("""COMPUTED_VALUE"""),"Albendazole &amp; Ivermectin")</f>
        <v>Albendazole &amp; Ivermectin</v>
      </c>
      <c r="G131" s="697" t="str">
        <f>IFERROR(__xludf.DUMMYFUNCTION("""COMPUTED_VALUE"""),"400 mg + .15-.2 mg/kg ")</f>
        <v>400 mg + .15-.2 mg/kg </v>
      </c>
      <c r="H131" s="697">
        <f>IFERROR(__xludf.DUMMYFUNCTION("""COMPUTED_VALUE"""),1.0)</f>
        <v>1</v>
      </c>
      <c r="I131" s="706">
        <f>IFERROR(__xludf.DUMMYFUNCTION("""COMPUTED_VALUE"""),0.148)</f>
        <v>0.148</v>
      </c>
      <c r="J131" s="698">
        <f>IFERROR(__xludf.DUMMYFUNCTION("""COMPUTED_VALUE"""),0.3125)</f>
        <v>0.3125</v>
      </c>
      <c r="K131" s="697" t="str">
        <f>IFERROR(__xludf.DUMMYFUNCTION("""COMPUTED_VALUE"""),"not available")</f>
        <v>not available</v>
      </c>
      <c r="L131" s="697" t="str">
        <f>IFERROR(__xludf.DUMMYFUNCTION("""COMPUTED_VALUE"""),"16 (12 months) 14 (24 months)")</f>
        <v>16 (12 months) 14 (24 months)</v>
      </c>
      <c r="M131" s="697" t="str">
        <f>IFERROR(__xludf.DUMMYFUNCTION("""COMPUTED_VALUE"""),"18-60")</f>
        <v>18-60</v>
      </c>
      <c r="N131" s="697" t="str">
        <f>IFERROR(__xludf.DUMMYFUNCTION("""COMPUTED_VALUE"""),"not available")</f>
        <v>not available</v>
      </c>
      <c r="O131" s="697" t="str">
        <f>IFERROR(__xludf.DUMMYFUNCTION("""COMPUTED_VALUE"""),"minimum body weight &gt;=40 kg and in good health, without any clinical condition requiring long-term use of medications, and microfilaraemia load &gt;50 mg/ml")</f>
        <v>minimum body weight &gt;=40 kg and in good health, without any clinical condition requiring long-term use of medications, and microfilaraemia load &gt;50 mg/ml</v>
      </c>
      <c r="P131" s="697" t="str">
        <f>IFERROR(__xludf.DUMMYFUNCTION("""COMPUTED_VALUE"""),"double-blinded RCT")</f>
        <v>double-blinded RCT</v>
      </c>
      <c r="Q131" s="697" t="str">
        <f>IFERROR(__xludf.DUMMYFUNCTION("""COMPUTED_VALUE"""),"Yes")</f>
        <v>Yes</v>
      </c>
      <c r="R131" s="697" t="str">
        <f>IFERROR(__xludf.DUMMYFUNCTION("""COMPUTED_VALUE"""),"Yes")</f>
        <v>Yes</v>
      </c>
      <c r="S131" s="697" t="str">
        <f>IFERROR(__xludf.DUMMYFUNCTION("""COMPUTED_VALUE"""),"12, 24 months")</f>
        <v>12, 24 months</v>
      </c>
      <c r="T131" s="697" t="str">
        <f>IFERROR(__xludf.DUMMYFUNCTION("""COMPUTED_VALUE"""),"Treatment with doxycycline for 3 weeks is more effective in inducing a long-termamicrofilaremia than is standard treatment alone, but it is ineffective at inducing curative effects.")</f>
        <v>Treatment with doxycycline for 3 weeks is more effective in inducing a long-termamicrofilaremia than is standard treatment alone, but it is ineffective at inducing curative effects.</v>
      </c>
      <c r="U131" s="697" t="str">
        <f>IFERROR(__xludf.DUMMYFUNCTION("""COMPUTED_VALUE"""),"6 patients failed to follow up after 12 months and 2 patients failed to follow up after 24 months. ")</f>
        <v>6 patients failed to follow up after 12 months and 2 patients failed to follow up after 24 months. </v>
      </c>
      <c r="V131" s="697">
        <f>IFERROR(__xludf.DUMMYFUNCTION("""COMPUTED_VALUE"""),2003.0)</f>
        <v>2003</v>
      </c>
      <c r="W131" s="697">
        <f>IFERROR(__xludf.DUMMYFUNCTION("""COMPUTED_VALUE"""),2003.0)</f>
        <v>2003</v>
      </c>
      <c r="X131" s="697" t="str">
        <f>IFERROR(__xludf.DUMMYFUNCTION("""COMPUTED_VALUE"""),"Turner JD, Mand S, Debrah AW, Muehlfeld J, Pfarr K, McGarry HF, et al. A Randomized, Double-Blind Clinical Trial of a 3-Week Course of Doxycycline plus Albendazole and Ivermectin for the Treatment of Wuchereria bancrofti Infection. Clinical Infectious Dis"&amp;"eases 2006; 42: 1081-1089.")</f>
        <v>Turner JD, Mand S, Debrah AW, Muehlfeld J, Pfarr K, McGarry HF, et al. A Randomized, Double-Blind Clinical Trial of a 3-Week Course of Doxycycline plus Albendazole and Ivermectin for the Treatment of Wuchereria bancrofti Infection. Clinical Infectious Diseases 2006; 42: 1081-1089.</v>
      </c>
      <c r="Y131" s="697" t="str">
        <f>IFERROR(__xludf.DUMMYFUNCTION("""COMPUTED_VALUE"""),"doi: 10.1086/501351")</f>
        <v>doi: 10.1086/501351</v>
      </c>
      <c r="Z131" s="865" t="str">
        <f>IFERROR(__xludf.DUMMYFUNCTION("""COMPUTED_VALUE"""),"https://drive.google.com/file/d/0B0-pry4DSOm3SFE5OWVEQTJjMG8/view?usp=sharing")</f>
        <v>https://drive.google.com/file/d/0B0-pry4DSOm3SFE5OWVEQTJjMG8/view?usp=sharing</v>
      </c>
      <c r="AA131" s="697"/>
    </row>
    <row r="132">
      <c r="A132" s="697" t="str">
        <f>IFERROR(__xludf.DUMMYFUNCTION("""COMPUTED_VALUE"""),"Wamae, 2011")</f>
        <v>Wamae, 2011</v>
      </c>
      <c r="B132" s="697" t="str">
        <f>IFERROR(__xludf.DUMMYFUNCTION("""COMPUTED_VALUE"""),"Kirti")</f>
        <v>Kirti</v>
      </c>
      <c r="C132" s="697" t="str">
        <f>IFERROR(__xludf.DUMMYFUNCTION("""COMPUTED_VALUE"""),"Ross/AR")</f>
        <v>Ross/AR</v>
      </c>
      <c r="D132" s="697" t="str">
        <f>IFERROR(__xludf.DUMMYFUNCTION("""COMPUTED_VALUE"""),"Kenya")</f>
        <v>Kenya</v>
      </c>
      <c r="E132" s="697" t="str">
        <f>IFERROR(__xludf.DUMMYFUNCTION("""COMPUTED_VALUE"""),"W. bancrofti")</f>
        <v>W. bancrofti</v>
      </c>
      <c r="F132" s="697" t="str">
        <f>IFERROR(__xludf.DUMMYFUNCTION("""COMPUTED_VALUE"""),"DEC")</f>
        <v>DEC</v>
      </c>
      <c r="G132" s="697" t="str">
        <f>IFERROR(__xludf.DUMMYFUNCTION("""COMPUTED_VALUE"""),"6 mg/kg")</f>
        <v>6 mg/kg</v>
      </c>
      <c r="H132" s="697">
        <f>IFERROR(__xludf.DUMMYFUNCTION("""COMPUTED_VALUE"""),3.0)</f>
        <v>3</v>
      </c>
      <c r="I132" s="706">
        <f>IFERROR(__xludf.DUMMYFUNCTION("""COMPUTED_VALUE"""),0.99)</f>
        <v>0.99</v>
      </c>
      <c r="J132" s="706">
        <f>IFERROR(__xludf.DUMMYFUNCTION("""COMPUTED_VALUE"""),0.5185)</f>
        <v>0.5185</v>
      </c>
      <c r="K132" s="697" t="str">
        <f>IFERROR(__xludf.DUMMYFUNCTION("""COMPUTED_VALUE"""),"not available")</f>
        <v>not available</v>
      </c>
      <c r="L132" s="697">
        <f>IFERROR(__xludf.DUMMYFUNCTION("""COMPUTED_VALUE"""),54.0)</f>
        <v>54</v>
      </c>
      <c r="M132" s="697" t="str">
        <f>IFERROR(__xludf.DUMMYFUNCTION("""COMPUTED_VALUE"""),"&gt;=5")</f>
        <v>&gt;=5</v>
      </c>
      <c r="N132" s="864">
        <f>IFERROR(__xludf.DUMMYFUNCTION("""COMPUTED_VALUE"""),0.9798611111111111)</f>
        <v>0.9798611111</v>
      </c>
      <c r="O132" s="697" t="str">
        <f>IFERROR(__xludf.DUMMYFUNCTION("""COMPUTED_VALUE"""),"(age 5 years or more and not severely ill or pregnant)")</f>
        <v>(age 5 years or more and not severely ill or pregnant)</v>
      </c>
      <c r="P132" s="697" t="str">
        <f>IFERROR(__xludf.DUMMYFUNCTION("""COMPUTED_VALUE"""),"randomized-controlled")</f>
        <v>randomized-controlled</v>
      </c>
      <c r="Q132" s="697" t="str">
        <f>IFERROR(__xludf.DUMMYFUNCTION("""COMPUTED_VALUE"""),"No")</f>
        <v>No</v>
      </c>
      <c r="R132" s="697" t="str">
        <f>IFERROR(__xludf.DUMMYFUNCTION("""COMPUTED_VALUE"""),"Yes")</f>
        <v>Yes</v>
      </c>
      <c r="S132" s="697" t="str">
        <f>IFERROR(__xludf.DUMMYFUNCTION("""COMPUTED_VALUE"""),"24 months")</f>
        <v>24 months</v>
      </c>
      <c r="T132" s="697" t="str">
        <f>IFERROR(__xludf.DUMMYFUNCTION("""COMPUTED_VALUE"""),"Mass administration of a combination of DEC and albendazole will enhance the interruption of transmission of W. Bancrofti.")</f>
        <v>Mass administration of a combination of DEC and albendazole will enhance the interruption of transmission of W. Bancrofti.</v>
      </c>
      <c r="U132" s="697" t="str">
        <f>IFERROR(__xludf.DUMMYFUNCTION("""COMPUTED_VALUE"""),"Three rounds of annual treatment were administered in 1998, 1999, and 2000 ")</f>
        <v>Three rounds of annual treatment were administered in 1998, 1999, and 2000 </v>
      </c>
      <c r="V132" s="697" t="str">
        <f>IFERROR(__xludf.DUMMYFUNCTION("""COMPUTED_VALUE"""),"1998-2000")</f>
        <v>1998-2000</v>
      </c>
      <c r="W132" s="697">
        <f>IFERROR(__xludf.DUMMYFUNCTION("""COMPUTED_VALUE"""),2000.0)</f>
        <v>2000</v>
      </c>
      <c r="X132" s="697" t="str">
        <f>IFERROR(__xludf.DUMMYFUNCTION("""COMPUTED_VALUE"""),"Wamae CN, Njenga SM, Ngugi BM, Mbui J, Njaanake HK. Evaluation of effectiveness of diethylcarbamazine/albendazole combination in
reduction of Wuchereria bancrofti infection using multiple infection parameters. Acta Tropica 2011; 120 (S1): S33-S38. ")</f>
        <v>Wamae CN, Njenga SM, Ngugi BM, Mbui J, Njaanake HK. Evaluation of effectiveness of diethylcarbamazine/albendazole combination in
reduction of Wuchereria bancrofti infection using multiple infection parameters. Acta Tropica 2011; 120 (S1): S33-S38. </v>
      </c>
      <c r="Y132" s="697" t="str">
        <f>IFERROR(__xludf.DUMMYFUNCTION("""COMPUTED_VALUE"""),"doi: 10.1016/j.actatropica.2010.09.009")</f>
        <v>doi: 10.1016/j.actatropica.2010.09.009</v>
      </c>
      <c r="Z132" s="865" t="str">
        <f>IFERROR(__xludf.DUMMYFUNCTION("""COMPUTED_VALUE"""),"https://drive.google.com/file/d/0B9vYgR7NsKoYZVNmZmNDbjlTV3M/view?usp=sharing")</f>
        <v>https://drive.google.com/file/d/0B9vYgR7NsKoYZVNmZmNDbjlTV3M/view?usp=sharing</v>
      </c>
      <c r="AA132" s="697"/>
    </row>
    <row r="133">
      <c r="A133" s="697" t="str">
        <f>IFERROR(__xludf.DUMMYFUNCTION("""COMPUTED_VALUE"""),"Wamae, 2011")</f>
        <v>Wamae, 2011</v>
      </c>
      <c r="B133" s="697" t="str">
        <f>IFERROR(__xludf.DUMMYFUNCTION("""COMPUTED_VALUE"""),"Kirti")</f>
        <v>Kirti</v>
      </c>
      <c r="C133" s="697" t="str">
        <f>IFERROR(__xludf.DUMMYFUNCTION("""COMPUTED_VALUE"""),"Ross/AR")</f>
        <v>Ross/AR</v>
      </c>
      <c r="D133" s="697" t="str">
        <f>IFERROR(__xludf.DUMMYFUNCTION("""COMPUTED_VALUE"""),"Kenya")</f>
        <v>Kenya</v>
      </c>
      <c r="E133" s="697" t="str">
        <f>IFERROR(__xludf.DUMMYFUNCTION("""COMPUTED_VALUE"""),"W. bancrofti")</f>
        <v>W. bancrofti</v>
      </c>
      <c r="F133" s="697" t="str">
        <f>IFERROR(__xludf.DUMMYFUNCTION("""COMPUTED_VALUE"""),"Albendazole")</f>
        <v>Albendazole</v>
      </c>
      <c r="G133" s="697" t="str">
        <f>IFERROR(__xludf.DUMMYFUNCTION("""COMPUTED_VALUE"""),"400 mg ")</f>
        <v>400 mg </v>
      </c>
      <c r="H133" s="697">
        <f>IFERROR(__xludf.DUMMYFUNCTION("""COMPUTED_VALUE"""),3.0)</f>
        <v>3</v>
      </c>
      <c r="I133" s="706">
        <f>IFERROR(__xludf.DUMMYFUNCTION("""COMPUTED_VALUE"""),0.98)</f>
        <v>0.98</v>
      </c>
      <c r="J133" s="706">
        <f>IFERROR(__xludf.DUMMYFUNCTION("""COMPUTED_VALUE"""),0.5161)</f>
        <v>0.5161</v>
      </c>
      <c r="K133" s="697" t="str">
        <f>IFERROR(__xludf.DUMMYFUNCTION("""COMPUTED_VALUE"""),"not available")</f>
        <v>not available</v>
      </c>
      <c r="L133" s="697">
        <f>IFERROR(__xludf.DUMMYFUNCTION("""COMPUTED_VALUE"""),62.0)</f>
        <v>62</v>
      </c>
      <c r="M133" s="697" t="str">
        <f>IFERROR(__xludf.DUMMYFUNCTION("""COMPUTED_VALUE"""),"&gt;=5")</f>
        <v>&gt;=5</v>
      </c>
      <c r="N133" s="869">
        <f>IFERROR(__xludf.DUMMYFUNCTION("""COMPUTED_VALUE"""),1.23125)</f>
        <v>1.23125</v>
      </c>
      <c r="O133" s="697" t="str">
        <f>IFERROR(__xludf.DUMMYFUNCTION("""COMPUTED_VALUE"""),"(age 5 years or more and not severely ill or pregnant)")</f>
        <v>(age 5 years or more and not severely ill or pregnant)</v>
      </c>
      <c r="P133" s="697" t="str">
        <f>IFERROR(__xludf.DUMMYFUNCTION("""COMPUTED_VALUE"""),"randomized-controlled")</f>
        <v>randomized-controlled</v>
      </c>
      <c r="Q133" s="697" t="str">
        <f>IFERROR(__xludf.DUMMYFUNCTION("""COMPUTED_VALUE"""),"No")</f>
        <v>No</v>
      </c>
      <c r="R133" s="697" t="str">
        <f>IFERROR(__xludf.DUMMYFUNCTION("""COMPUTED_VALUE"""),"Yes")</f>
        <v>Yes</v>
      </c>
      <c r="S133" s="697" t="str">
        <f>IFERROR(__xludf.DUMMYFUNCTION("""COMPUTED_VALUE"""),"24 months")</f>
        <v>24 months</v>
      </c>
      <c r="T133" s="697" t="str">
        <f>IFERROR(__xludf.DUMMYFUNCTION("""COMPUTED_VALUE"""),"Mass administration of a combination of DEC and albendazole will enhance the interruption of transmission of W. Bancrofti.")</f>
        <v>Mass administration of a combination of DEC and albendazole will enhance the interruption of transmission of W. Bancrofti.</v>
      </c>
      <c r="U133" s="697" t="str">
        <f>IFERROR(__xludf.DUMMYFUNCTION("""COMPUTED_VALUE"""),"Three rounds of annual treatment were administered in 1998, 1999, and 2000 ")</f>
        <v>Three rounds of annual treatment were administered in 1998, 1999, and 2000 </v>
      </c>
      <c r="V133" s="697" t="str">
        <f>IFERROR(__xludf.DUMMYFUNCTION("""COMPUTED_VALUE"""),"1998-2000")</f>
        <v>1998-2000</v>
      </c>
      <c r="W133" s="697">
        <f>IFERROR(__xludf.DUMMYFUNCTION("""COMPUTED_VALUE"""),2000.0)</f>
        <v>2000</v>
      </c>
      <c r="X133" s="697" t="str">
        <f>IFERROR(__xludf.DUMMYFUNCTION("""COMPUTED_VALUE"""),"Wamae CN, Njenga SM, Ngugi BM, Mbui J, Njaanake HK. Evaluation of effectiveness of diethylcarbamazine/albendazole combination in
reduction of Wuchereria bancrofti infection using multiple infection parameters. Acta Tropica 2011; 120 (S1): S33-S38. ")</f>
        <v>Wamae CN, Njenga SM, Ngugi BM, Mbui J, Njaanake HK. Evaluation of effectiveness of diethylcarbamazine/albendazole combination in
reduction of Wuchereria bancrofti infection using multiple infection parameters. Acta Tropica 2011; 120 (S1): S33-S38. </v>
      </c>
      <c r="Y133" s="697" t="str">
        <f>IFERROR(__xludf.DUMMYFUNCTION("""COMPUTED_VALUE"""),"doi: 10.1016/j.actatropica.2010.09.009")</f>
        <v>doi: 10.1016/j.actatropica.2010.09.009</v>
      </c>
      <c r="Z133" s="865" t="str">
        <f>IFERROR(__xludf.DUMMYFUNCTION("""COMPUTED_VALUE"""),"https://drive.google.com/file/d/0B9vYgR7NsKoYZVNmZmNDbjlTV3M/view?usp=sharing")</f>
        <v>https://drive.google.com/file/d/0B9vYgR7NsKoYZVNmZmNDbjlTV3M/view?usp=sharing</v>
      </c>
      <c r="AA133" s="697"/>
    </row>
    <row r="134">
      <c r="A134" s="697" t="str">
        <f>IFERROR(__xludf.DUMMYFUNCTION("""COMPUTED_VALUE"""),"Bockarie, 2007")</f>
        <v>Bockarie, 2007</v>
      </c>
      <c r="B134" s="697" t="str">
        <f>IFERROR(__xludf.DUMMYFUNCTION("""COMPUTED_VALUE"""),"Ross")</f>
        <v>Ross</v>
      </c>
      <c r="C134" s="697" t="str">
        <f>IFERROR(__xludf.DUMMYFUNCTION("""COMPUTED_VALUE"""),"Mahvish")</f>
        <v>Mahvish</v>
      </c>
      <c r="D134" s="697" t="str">
        <f>IFERROR(__xludf.DUMMYFUNCTION("""COMPUTED_VALUE"""),"Papua New Guinea")</f>
        <v>Papua New Guinea</v>
      </c>
      <c r="E134" s="697" t="str">
        <f>IFERROR(__xludf.DUMMYFUNCTION("""COMPUTED_VALUE"""),"W. bancrofti")</f>
        <v>W. bancrofti</v>
      </c>
      <c r="F134" s="697" t="str">
        <f>IFERROR(__xludf.DUMMYFUNCTION("""COMPUTED_VALUE"""),"Albendazole &amp; DEC")</f>
        <v>Albendazole &amp; DEC</v>
      </c>
      <c r="G134" s="697" t="str">
        <f>IFERROR(__xludf.DUMMYFUNCTION("""COMPUTED_VALUE"""),"6mg/kg + 400mg")</f>
        <v>6mg/kg + 400mg</v>
      </c>
      <c r="H134" s="697" t="str">
        <f>IFERROR(__xludf.DUMMYFUNCTION("""COMPUTED_VALUE"""),"6mg/kg DEC + 400 mg ALB given as a single dose regardless of body weight).")</f>
        <v>6mg/kg DEC + 400 mg ALB given as a single dose regardless of body weight).</v>
      </c>
      <c r="I134" s="698">
        <f>IFERROR(__xludf.DUMMYFUNCTION("""COMPUTED_VALUE"""),0.837)</f>
        <v>0.837</v>
      </c>
      <c r="J134" s="698">
        <f>IFERROR(__xludf.DUMMYFUNCTION("""COMPUTED_VALUE"""),0.657)</f>
        <v>0.657</v>
      </c>
      <c r="K134" s="697"/>
      <c r="L134" s="697">
        <f>IFERROR(__xludf.DUMMYFUNCTION("""COMPUTED_VALUE"""),1007.0)</f>
        <v>1007</v>
      </c>
      <c r="M134" s="697" t="str">
        <f>IFERROR(__xludf.DUMMYFUNCTION("""COMPUTED_VALUE"""),"&gt;2")</f>
        <v>&gt;2</v>
      </c>
      <c r="N134" s="697" t="str">
        <f>IFERROR(__xludf.DUMMYFUNCTION("""COMPUTED_VALUE"""),"242 : 268")</f>
        <v>242 : 268</v>
      </c>
      <c r="O134" s="697" t="str">
        <f>IFERROR(__xludf.DUMMYFUNCTION("""COMPUTED_VALUE"""),"all inhabitants of the island were included in the treatment greater than or equal to 2 years old except for the pregnant women.")</f>
        <v>all inhabitants of the island were included in the treatment greater than or equal to 2 years old except for the pregnant women.</v>
      </c>
      <c r="P134" s="697" t="str">
        <f>IFERROR(__xludf.DUMMYFUNCTION("""COMPUTED_VALUE"""),"mass treatment")</f>
        <v>mass treatment</v>
      </c>
      <c r="Q134" s="697"/>
      <c r="R134" s="697"/>
      <c r="S134" s="697" t="str">
        <f>IFERROR(__xludf.DUMMYFUNCTION("""COMPUTED_VALUE"""),"24 months")</f>
        <v>24 months</v>
      </c>
      <c r="T134" s="697" t="str">
        <f>IFERROR(__xludf.DUMMYFUNCTION("""COMPUTED_VALUE"""),"These data showed no statistically significant difference in the efficacy of the two drug regimens in lowering the microfilaria reservoir, but they support the use of diethylcar- bamazine combined with albendazole in mass treatment programs on the basis o"&amp;"f greater activity against adult worms.")</f>
        <v>These data showed no statistically significant difference in the efficacy of the two drug regimens in lowering the microfilaria reservoir, but they support the use of diethylcar- bamazine combined with albendazole in mass treatment programs on the basis of greater activity against adult worms.</v>
      </c>
      <c r="U134" s="697" t="str">
        <f>IFERROR(__xludf.DUMMYFUNCTION("""COMPUTED_VALUE"""),"There was no statistically significant difference between the two drug regimens in decreasing the microfilaria positive rate at 12 and 24 months after a single-dose treatment with either regimen, e.g., 50.0% clearance of microfilaria at 24 months for diet"&amp;"hylcarbamazine alone versus 65.7% clearance of microfilaria for diethylcarbamazine plus albendazole (P &gt; 0.05). In contrast, diethyl- carbamazine plus albendazole resulted in a significant decrease in Og4C3 antigen prevalence (17%; P  0.003) at 24 months "&amp;"whereas diethylcarbamazine did not (10%; P  0.564).")</f>
        <v>There was no statistically significant difference between the two drug regimens in decreasing the microfilaria positive rate at 12 and 24 months after a single-dose treatment with either regimen, e.g., 50.0% clearance of microfilaria at 24 months for diethylcarbamazine alone versus 65.7% clearance of microfilaria for diethylcarbamazine plus albendazole (P &gt; 0.05). In contrast, diethyl- carbamazine plus albendazole resulted in a significant decrease in Og4C3 antigen prevalence (17%; P  0.003) at 24 months whereas diethylcarbamazine did not (10%; P  0.564).</v>
      </c>
      <c r="V134" s="697" t="str">
        <f>IFERROR(__xludf.DUMMYFUNCTION("""COMPUTED_VALUE"""),"1999-2001")</f>
        <v>1999-2001</v>
      </c>
      <c r="W134" s="697">
        <f>IFERROR(__xludf.DUMMYFUNCTION("""COMPUTED_VALUE"""),2001.0)</f>
        <v>2001</v>
      </c>
      <c r="X134" s="697" t="str">
        <f>IFERROR(__xludf.DUMMYFUNCTION("""COMPUTED_VALUE"""),"Ismail MM, Jayakody RL, Weil GJ, et al. Long-term efficacy of single-dose combinations of albendazole, ivermectin and diethylcarbamazine for the treatment of bancroftian filariasis. Transactions of the Royal Society of Tropical Medicine and Hygiene. 2001;"&amp;"95(3):332–335.")</f>
        <v>Ismail MM, Jayakody RL, Weil GJ, et al. Long-term efficacy of single-dose combinations of albendazole, ivermectin and diethylcarbamazine for the treatment of bancroftian filariasis. Transactions of the Royal Society of Tropical Medicine and Hygiene. 2001;95(3):332–335.</v>
      </c>
      <c r="Y134" s="697"/>
      <c r="Z134" s="865" t="str">
        <f>IFERROR(__xludf.DUMMYFUNCTION("""COMPUTED_VALUE"""),"https://drive.google.com/open?id=0B6i9R3fSJzbMMUptNjdPSVdwTTQ")</f>
        <v>https://drive.google.com/open?id=0B6i9R3fSJzbMMUptNjdPSVdwTTQ</v>
      </c>
      <c r="AA134" s="697"/>
    </row>
    <row r="135">
      <c r="A135" s="697" t="str">
        <f>IFERROR(__xludf.DUMMYFUNCTION("""COMPUTED_VALUE"""),"Weil 1991")</f>
        <v>Weil 1991</v>
      </c>
      <c r="B135" s="697" t="str">
        <f>IFERROR(__xludf.DUMMYFUNCTION("""COMPUTED_VALUE"""),"Kirti ")</f>
        <v>Kirti </v>
      </c>
      <c r="C135" s="697" t="str">
        <f>IFERROR(__xludf.DUMMYFUNCTION("""COMPUTED_VALUE"""),"Ross/AR")</f>
        <v>Ross/AR</v>
      </c>
      <c r="D135" s="697" t="str">
        <f>IFERROR(__xludf.DUMMYFUNCTION("""COMPUTED_VALUE"""),"Haiti")</f>
        <v>Haiti</v>
      </c>
      <c r="E135" s="697" t="str">
        <f>IFERROR(__xludf.DUMMYFUNCTION("""COMPUTED_VALUE"""),"W. bancrofti")</f>
        <v>W. bancrofti</v>
      </c>
      <c r="F135" s="697" t="str">
        <f>IFERROR(__xludf.DUMMYFUNCTION("""COMPUTED_VALUE"""),"Ivermectin")</f>
        <v>Ivermectin</v>
      </c>
      <c r="G135" s="697" t="str">
        <f>IFERROR(__xludf.DUMMYFUNCTION("""COMPUTED_VALUE"""),"200 mg")</f>
        <v>200 mg</v>
      </c>
      <c r="H135" s="697">
        <f>IFERROR(__xludf.DUMMYFUNCTION("""COMPUTED_VALUE"""),2.0)</f>
        <v>2</v>
      </c>
      <c r="I135" s="706">
        <f>IFERROR(__xludf.DUMMYFUNCTION("""COMPUTED_VALUE"""),0.336)</f>
        <v>0.336</v>
      </c>
      <c r="J135" s="697"/>
      <c r="K135" s="697" t="str">
        <f>IFERROR(__xludf.DUMMYFUNCTION("""COMPUTED_VALUE"""),"not available")</f>
        <v>not available</v>
      </c>
      <c r="L135" s="697">
        <f>IFERROR(__xludf.DUMMYFUNCTION("""COMPUTED_VALUE"""),10.0)</f>
        <v>10</v>
      </c>
      <c r="M135" s="705" t="str">
        <f>IFERROR(__xludf.DUMMYFUNCTION("""COMPUTED_VALUE"""),"not available")</f>
        <v>not available</v>
      </c>
      <c r="N135" s="705" t="str">
        <f>IFERROR(__xludf.DUMMYFUNCTION("""COMPUTED_VALUE"""),"not available")</f>
        <v>not available</v>
      </c>
      <c r="O135" s="697" t="str">
        <f>IFERROR(__xludf.DUMMYFUNCTION("""COMPUTED_VALUE"""),"Adult Haitian subjects with W. bancrofti microfilaremia.")</f>
        <v>Adult Haitian subjects with W. bancrofti microfilaremia.</v>
      </c>
      <c r="P135" s="697" t="str">
        <f>IFERROR(__xludf.DUMMYFUNCTION("""COMPUTED_VALUE"""),"double-blind")</f>
        <v>double-blind</v>
      </c>
      <c r="Q135" s="697" t="str">
        <f>IFERROR(__xludf.DUMMYFUNCTION("""COMPUTED_VALUE"""),"Yes")</f>
        <v>Yes</v>
      </c>
      <c r="R135" s="697" t="str">
        <f>IFERROR(__xludf.DUMMYFUNCTION("""COMPUTED_VALUE"""),"Yes")</f>
        <v>Yes</v>
      </c>
      <c r="S135" s="697" t="str">
        <f>IFERROR(__xludf.DUMMYFUNCTION("""COMPUTED_VALUE"""),"1 year")</f>
        <v>1 year</v>
      </c>
      <c r="T135" s="697" t="str">
        <f>IFERROR(__xludf.DUMMYFUNCTION("""COMPUTED_VALUE"""),"low-dose ivermectin treatment followed by a standard course of DEC is a more effective macrofilaricidal regimen for W. bancrofti than either of the multidose ivermectin regimens used in this study.")</f>
        <v>low-dose ivermectin treatment followed by a standard course of DEC is a more effective macrofilaricidal regimen for W. bancrofti than either of the multidose ivermectin regimens used in this study.</v>
      </c>
      <c r="U135" s="697" t="str">
        <f>IFERROR(__xludf.DUMMYFUNCTION("""COMPUTED_VALUE"""),"5 days before diving the 30 individuals into three groups, all of them were given 1 mg of Ivermectin on day 1. Does not give the specific number of individuals in each group.")</f>
        <v>5 days before diving the 30 individuals into three groups, all of them were given 1 mg of Ivermectin on day 1. Does not give the specific number of individuals in each group.</v>
      </c>
      <c r="V135" s="697">
        <f>IFERROR(__xludf.DUMMYFUNCTION("""COMPUTED_VALUE"""),1991.0)</f>
        <v>1991</v>
      </c>
      <c r="W135" s="697">
        <f>IFERROR(__xludf.DUMMYFUNCTION("""COMPUTED_VALUE"""),1991.0)</f>
        <v>1991</v>
      </c>
      <c r="X135" s="697" t="str">
        <f>IFERROR(__xludf.DUMMYFUNCTION("""COMPUTED_VALUE"""),"Weil GJ, Lammie PJ, Richards FO, and Eberhard ML. Changes in Circulating Parasite Antigen Levels after Treatment of Bancroftian
 Filariasis with Diethylcarbamazine and Ivermectin. The Journal of Infectious Diseases 1991; 164(4): 814-816.")</f>
        <v>Weil GJ, Lammie PJ, Richards FO, and Eberhard ML. Changes in Circulating Parasite Antigen Levels after Treatment of Bancroftian
 Filariasis with Diethylcarbamazine and Ivermectin. The Journal of Infectious Diseases 1991; 164(4): 814-816.</v>
      </c>
      <c r="Y135" s="697"/>
      <c r="Z135" s="865" t="str">
        <f>IFERROR(__xludf.DUMMYFUNCTION("""COMPUTED_VALUE"""),"https://drive.google.com/file/d/0B-yoIBO7tf7FWU1LX1ZLbG9IcXM/view?usp=sharing")</f>
        <v>https://drive.google.com/file/d/0B-yoIBO7tf7FWU1LX1ZLbG9IcXM/view?usp=sharing</v>
      </c>
      <c r="AA135" s="697" t="str">
        <f>IFERROR(__xludf.DUMMYFUNCTION("""COMPUTED_VALUE"""),"x")</f>
        <v>x</v>
      </c>
    </row>
    <row r="136">
      <c r="A136" s="697" t="str">
        <f>IFERROR(__xludf.DUMMYFUNCTION("""COMPUTED_VALUE"""),"Weil 1991")</f>
        <v>Weil 1991</v>
      </c>
      <c r="B136" s="697" t="str">
        <f>IFERROR(__xludf.DUMMYFUNCTION("""COMPUTED_VALUE"""),"Kirti ")</f>
        <v>Kirti </v>
      </c>
      <c r="C136" s="697" t="str">
        <f>IFERROR(__xludf.DUMMYFUNCTION("""COMPUTED_VALUE"""),"Ross/AR")</f>
        <v>Ross/AR</v>
      </c>
      <c r="D136" s="697" t="str">
        <f>IFERROR(__xludf.DUMMYFUNCTION("""COMPUTED_VALUE"""),"Haiti")</f>
        <v>Haiti</v>
      </c>
      <c r="E136" s="697" t="str">
        <f>IFERROR(__xludf.DUMMYFUNCTION("""COMPUTED_VALUE"""),"W. bancrofti")</f>
        <v>W. bancrofti</v>
      </c>
      <c r="F136" s="697" t="str">
        <f>IFERROR(__xludf.DUMMYFUNCTION("""COMPUTED_VALUE"""),"DEC")</f>
        <v>DEC</v>
      </c>
      <c r="G136" s="697" t="str">
        <f>IFERROR(__xludf.DUMMYFUNCTION("""COMPUTED_VALUE"""),"6 mg/kg")</f>
        <v>6 mg/kg</v>
      </c>
      <c r="H136" s="697">
        <f>IFERROR(__xludf.DUMMYFUNCTION("""COMPUTED_VALUE"""),12.0)</f>
        <v>12</v>
      </c>
      <c r="I136" s="706">
        <f>IFERROR(__xludf.DUMMYFUNCTION("""COMPUTED_VALUE"""),0.75)</f>
        <v>0.75</v>
      </c>
      <c r="J136" s="697"/>
      <c r="K136" s="697" t="str">
        <f>IFERROR(__xludf.DUMMYFUNCTION("""COMPUTED_VALUE"""),"not available")</f>
        <v>not available</v>
      </c>
      <c r="L136" s="697">
        <f>IFERROR(__xludf.DUMMYFUNCTION("""COMPUTED_VALUE"""),10.0)</f>
        <v>10</v>
      </c>
      <c r="M136" s="705" t="str">
        <f>IFERROR(__xludf.DUMMYFUNCTION("""COMPUTED_VALUE"""),"not available")</f>
        <v>not available</v>
      </c>
      <c r="N136" s="705" t="str">
        <f>IFERROR(__xludf.DUMMYFUNCTION("""COMPUTED_VALUE"""),"not available")</f>
        <v>not available</v>
      </c>
      <c r="O136" s="697" t="str">
        <f>IFERROR(__xludf.DUMMYFUNCTION("""COMPUTED_VALUE"""),"Adult Haitian subjects with W. bancrofti microfilaremia.")</f>
        <v>Adult Haitian subjects with W. bancrofti microfilaremia.</v>
      </c>
      <c r="P136" s="697" t="str">
        <f>IFERROR(__xludf.DUMMYFUNCTION("""COMPUTED_VALUE"""),"double-blind")</f>
        <v>double-blind</v>
      </c>
      <c r="Q136" s="697" t="str">
        <f>IFERROR(__xludf.DUMMYFUNCTION("""COMPUTED_VALUE"""),"Yes")</f>
        <v>Yes</v>
      </c>
      <c r="R136" s="697" t="str">
        <f>IFERROR(__xludf.DUMMYFUNCTION("""COMPUTED_VALUE"""),"Yes")</f>
        <v>Yes</v>
      </c>
      <c r="S136" s="697" t="str">
        <f>IFERROR(__xludf.DUMMYFUNCTION("""COMPUTED_VALUE"""),"1 year")</f>
        <v>1 year</v>
      </c>
      <c r="T136" s="697" t="str">
        <f>IFERROR(__xludf.DUMMYFUNCTION("""COMPUTED_VALUE"""),"low-dose ivermectin treatment followed by a standard course of DEC is a more effective macrofilaricidal regimen for W. bancrofti than either of the multidose ivermectin regimens used in this study.")</f>
        <v>low-dose ivermectin treatment followed by a standard course of DEC is a more effective macrofilaricidal regimen for W. bancrofti than either of the multidose ivermectin regimens used in this study.</v>
      </c>
      <c r="U136" s="697" t="str">
        <f>IFERROR(__xludf.DUMMYFUNCTION("""COMPUTED_VALUE"""),"5 days before diving the 30 individuals into three groups, all of them were given 1 mg of Ivermectin on day 1. Does not give the specific number of individuals in each group.")</f>
        <v>5 days before diving the 30 individuals into three groups, all of them were given 1 mg of Ivermectin on day 1. Does not give the specific number of individuals in each group.</v>
      </c>
      <c r="V136" s="697">
        <f>IFERROR(__xludf.DUMMYFUNCTION("""COMPUTED_VALUE"""),1991.0)</f>
        <v>1991</v>
      </c>
      <c r="W136" s="697">
        <f>IFERROR(__xludf.DUMMYFUNCTION("""COMPUTED_VALUE"""),1991.0)</f>
        <v>1991</v>
      </c>
      <c r="X136" s="697" t="str">
        <f>IFERROR(__xludf.DUMMYFUNCTION("""COMPUTED_VALUE"""),"Weil GJ, Lammie PJ, Richards FO, and Eberhard ML. Changes in Circulating Parasite Antigen Levels after Treatment of Bancroftian
 Filariasis with Diethylcarbamazine and Ivermectin. The Journal of Infectious Diseases 1991; 164(4): 814-816.")</f>
        <v>Weil GJ, Lammie PJ, Richards FO, and Eberhard ML. Changes in Circulating Parasite Antigen Levels after Treatment of Bancroftian
 Filariasis with Diethylcarbamazine and Ivermectin. The Journal of Infectious Diseases 1991; 164(4): 814-816.</v>
      </c>
      <c r="Y136" s="697"/>
      <c r="Z136" s="865" t="str">
        <f>IFERROR(__xludf.DUMMYFUNCTION("""COMPUTED_VALUE"""),"https://drive.google.com/file/d/0B-yoIBO7tf7FWU1LX1ZLbG9IcXM/view?usp=sharing")</f>
        <v>https://drive.google.com/file/d/0B-yoIBO7tf7FWU1LX1ZLbG9IcXM/view?usp=sharing</v>
      </c>
      <c r="AA136" s="697" t="str">
        <f>IFERROR(__xludf.DUMMYFUNCTION("""COMPUTED_VALUE"""),"x")</f>
        <v>x</v>
      </c>
    </row>
    <row r="137">
      <c r="A137" s="697"/>
      <c r="B137" s="697"/>
      <c r="C137" s="697"/>
      <c r="D137" s="697"/>
      <c r="E137" s="697"/>
      <c r="F137" s="697"/>
      <c r="G137" s="697"/>
      <c r="H137" s="697"/>
      <c r="I137" s="697"/>
      <c r="J137" s="697"/>
      <c r="K137" s="697"/>
      <c r="L137" s="697"/>
      <c r="M137" s="697"/>
      <c r="N137" s="697"/>
      <c r="O137" s="697"/>
      <c r="P137" s="697"/>
      <c r="Q137" s="697"/>
      <c r="R137" s="697"/>
      <c r="S137" s="697"/>
      <c r="T137" s="697"/>
      <c r="U137" s="697"/>
      <c r="V137" s="697"/>
      <c r="W137" s="697">
        <f>IFERROR(__xludf.DUMMYFUNCTION("""COMPUTED_VALUE"""),0.0)</f>
        <v>0</v>
      </c>
      <c r="X137" s="697"/>
      <c r="Y137" s="697"/>
      <c r="Z137" s="863"/>
      <c r="AA137" s="697"/>
    </row>
    <row r="138">
      <c r="A138" s="697"/>
      <c r="B138" s="697"/>
      <c r="C138" s="697"/>
      <c r="D138" s="697"/>
      <c r="E138" s="697"/>
      <c r="F138" s="697"/>
      <c r="G138" s="697"/>
      <c r="H138" s="697"/>
      <c r="I138" s="697"/>
      <c r="J138" s="697"/>
      <c r="K138" s="697"/>
      <c r="L138" s="697"/>
      <c r="M138" s="697"/>
      <c r="N138" s="697"/>
      <c r="O138" s="697"/>
      <c r="P138" s="697"/>
      <c r="Q138" s="697"/>
      <c r="R138" s="697"/>
      <c r="S138" s="697"/>
      <c r="T138" s="697"/>
      <c r="U138" s="697"/>
      <c r="V138" s="697"/>
      <c r="W138" s="697">
        <f>IFERROR(__xludf.DUMMYFUNCTION("""COMPUTED_VALUE"""),0.0)</f>
        <v>0</v>
      </c>
      <c r="X138" s="697"/>
      <c r="Y138" s="697"/>
      <c r="Z138" s="863"/>
      <c r="AA138" s="697"/>
    </row>
    <row r="139">
      <c r="A139" s="697" t="str">
        <f>IFERROR(__xludf.DUMMYFUNCTION("""COMPUTED_VALUE"""),"New data")</f>
        <v>New data</v>
      </c>
      <c r="B139" s="697"/>
      <c r="C139" s="697"/>
      <c r="D139" s="697"/>
      <c r="E139" s="697"/>
      <c r="F139" s="697"/>
      <c r="G139" s="697"/>
      <c r="H139" s="697"/>
      <c r="I139" s="697"/>
      <c r="J139" s="697"/>
      <c r="K139" s="697"/>
      <c r="L139" s="697"/>
      <c r="M139" s="697"/>
      <c r="N139" s="697"/>
      <c r="O139" s="697"/>
      <c r="P139" s="697"/>
      <c r="Q139" s="697"/>
      <c r="R139" s="697"/>
      <c r="S139" s="697"/>
      <c r="T139" s="697"/>
      <c r="U139" s="697"/>
      <c r="V139" s="697"/>
      <c r="W139" s="697">
        <f>IFERROR(__xludf.DUMMYFUNCTION("""COMPUTED_VALUE"""),0.0)</f>
        <v>0</v>
      </c>
      <c r="X139" s="697"/>
      <c r="Y139" s="697"/>
      <c r="Z139" s="863"/>
      <c r="AA139" s="697"/>
    </row>
    <row r="140">
      <c r="A140" s="697" t="str">
        <f>IFERROR(__xludf.DUMMYFUNCTION("""COMPUTED_VALUE"""),"Reddy 2000")</f>
        <v>Reddy 2000</v>
      </c>
      <c r="B140" s="697" t="str">
        <f>IFERROR(__xludf.DUMMYFUNCTION("""COMPUTED_VALUE"""),"Mike")</f>
        <v>Mike</v>
      </c>
      <c r="C140" s="697" t="str">
        <f>IFERROR(__xludf.DUMMYFUNCTION("""COMPUTED_VALUE"""),"Alex")</f>
        <v>Alex</v>
      </c>
      <c r="D140" s="697" t="str">
        <f>IFERROR(__xludf.DUMMYFUNCTION("""COMPUTED_VALUE"""),"India")</f>
        <v>India</v>
      </c>
      <c r="E140" s="697" t="str">
        <f>IFERROR(__xludf.DUMMYFUNCTION("""COMPUTED_VALUE"""),"w. bancrofti")</f>
        <v>w. bancrofti</v>
      </c>
      <c r="F140" s="697" t="str">
        <f>IFERROR(__xludf.DUMMYFUNCTION("""COMPUTED_VALUE"""),"DEC")</f>
        <v>DEC</v>
      </c>
      <c r="G140" s="697" t="str">
        <f>IFERROR(__xludf.DUMMYFUNCTION("""COMPUTED_VALUE"""),"6mg/kg")</f>
        <v>6mg/kg</v>
      </c>
      <c r="H140" s="697">
        <f>IFERROR(__xludf.DUMMYFUNCTION("""COMPUTED_VALUE"""),1.0)</f>
        <v>1</v>
      </c>
      <c r="I140" s="698">
        <f>IFERROR(__xludf.DUMMYFUNCTION("""COMPUTED_VALUE"""),0.838)</f>
        <v>0.838</v>
      </c>
      <c r="J140" s="697">
        <f>IFERROR(__xludf.DUMMYFUNCTION("""COMPUTED_VALUE"""),8.3)</f>
        <v>8.3</v>
      </c>
      <c r="K140" s="697" t="str">
        <f>IFERROR(__xludf.DUMMYFUNCTION("""COMPUTED_VALUE"""),"not available")</f>
        <v>not available</v>
      </c>
      <c r="L140" s="697">
        <f>IFERROR(__xludf.DUMMYFUNCTION("""COMPUTED_VALUE"""),29.0)</f>
        <v>29</v>
      </c>
      <c r="M140" s="697" t="str">
        <f>IFERROR(__xludf.DUMMYFUNCTION("""COMPUTED_VALUE"""),"not available")</f>
        <v>not available</v>
      </c>
      <c r="N140" s="697" t="str">
        <f>IFERROR(__xludf.DUMMYFUNCTION("""COMPUTED_VALUE"""),"not available")</f>
        <v>not available</v>
      </c>
      <c r="O140" s="697" t="str">
        <f>IFERROR(__xludf.DUMMYFUNCTION("""COMPUTED_VALUE"""),"Apparently healthy individuals of normal body weight for age with normal physical examination, normal ECG, normal chest X-ray, normal routine stool and urine tests, and normal results in a battery of laboratory tests for haematological and biochemical par"&amp;"ameters (Table 3), with W. bancrofti microfilaraemia of 100 mf/ml of night venous blood")</f>
        <v>Apparently healthy individuals of normal body weight for age with normal physical examination, normal ECG, normal chest X-ray, normal routine stool and urine tests, and normal results in a battery of laboratory tests for haematological and biochemical parameters (Table 3), with W. bancrofti microfilaraemia of 100 mf/ml of night venous blood</v>
      </c>
      <c r="P140" s="697" t="str">
        <f>IFERROR(__xludf.DUMMYFUNCTION("""COMPUTED_VALUE"""),"double-blind")</f>
        <v>double-blind</v>
      </c>
      <c r="Q140" s="697" t="str">
        <f>IFERROR(__xludf.DUMMYFUNCTION("""COMPUTED_VALUE"""),"yes")</f>
        <v>yes</v>
      </c>
      <c r="R140" s="697" t="str">
        <f>IFERROR(__xludf.DUMMYFUNCTION("""COMPUTED_VALUE"""),"yes")</f>
        <v>yes</v>
      </c>
      <c r="S140" s="697" t="str">
        <f>IFERROR(__xludf.DUMMYFUNCTION("""COMPUTED_VALUE"""),"1 year")</f>
        <v>1 year</v>
      </c>
      <c r="T140" s="697" t="str">
        <f>IFERROR(__xludf.DUMMYFUNCTION("""COMPUTED_VALUE"""),"The proportion of cases that cleared mf on the 6th day after therapy was significantly higher (P  0.05) in the ivermectin group (80%) than in the DEC group (17.2%; Figure 3). On day 30, 51.7% and 10.3% of parasite carriers who received ivermectin and DEC"&amp;", respectively, showed clearance of mf in their blood. After one year, the clearance rate was 34.8% in the ivermectin group and 8.3% in the DEC group. These figures were 73.7% and 47.8%, respectively, at the end of the second year (P 0.05).")</f>
        <v>The proportion of cases that cleared mf on the 6th day after therapy was significantly higher (P _x0004_ 0.05) in the ivermectin group (80%) than in the DEC group (17.2%; Figure 3). On day 30, 51.7% and 10.3% of parasite carriers who received ivermectin and DEC, respectively, showed clearance of mf in their blood. After one year, the clearance rate was 34.8% in the ivermectin group and 8.3% in the DEC group. These figures were 73.7% and 47.8%, respectively, at the end of the second year (P 0.05).</v>
      </c>
      <c r="U140" s="697"/>
      <c r="V140" s="697">
        <f>IFERROR(__xludf.DUMMYFUNCTION("""COMPUTED_VALUE"""),2000.0)</f>
        <v>2000</v>
      </c>
      <c r="W140" s="697">
        <f>IFERROR(__xludf.DUMMYFUNCTION("""COMPUTED_VALUE"""),2000.0)</f>
        <v>2000</v>
      </c>
      <c r="X140" s="697" t="str">
        <f>IFERROR(__xludf.DUMMYFUNCTION("""COMPUTED_VALUE"""),"Reddy, G., et al. ""Tolerability and efficacy of single‐dose diethyl carbamazine (DEC) or ivermectin in the clearance of Wuchereria bancrofti microfilaraemia in Pondicherry, south India."" Tropical Medicine &amp; International Health 5.11 (2000): 779-785.")</f>
        <v>Reddy, G., et al. "Tolerability and efficacy of single‐dose diethyl carbamazine (DEC) or ivermectin in the clearance of Wuchereria bancrofti microfilaraemia in Pondicherry, south India." Tropical Medicine &amp; International Health 5.11 (2000): 779-785.</v>
      </c>
      <c r="Y140" s="697" t="str">
        <f>IFERROR(__xludf.DUMMYFUNCTION("""COMPUTED_VALUE"""),"10.1046/j.1365-3156.2000.00644.x")</f>
        <v>10.1046/j.1365-3156.2000.00644.x</v>
      </c>
      <c r="Z140" s="865" t="str">
        <f>IFERROR(__xludf.DUMMYFUNCTION("""COMPUTED_VALUE"""),"https://drive.google.com/file/d/0B0qKRmtVkPtWc1N6aTFya1hsTjA/view?usp=sharing")</f>
        <v>https://drive.google.com/file/d/0B0qKRmtVkPtWc1N6aTFya1hsTjA/view?usp=sharing</v>
      </c>
      <c r="AA140" s="697" t="str">
        <f>IFERROR(__xludf.DUMMYFUNCTION("""COMPUTED_VALUE"""),"x")</f>
        <v>x</v>
      </c>
    </row>
    <row r="141">
      <c r="A141" s="697" t="str">
        <f>IFERROR(__xludf.DUMMYFUNCTION("""COMPUTED_VALUE"""),"Reddy 2000")</f>
        <v>Reddy 2000</v>
      </c>
      <c r="B141" s="697" t="str">
        <f>IFERROR(__xludf.DUMMYFUNCTION("""COMPUTED_VALUE"""),"Mike")</f>
        <v>Mike</v>
      </c>
      <c r="C141" s="697" t="str">
        <f>IFERROR(__xludf.DUMMYFUNCTION("""COMPUTED_VALUE"""),"Alex")</f>
        <v>Alex</v>
      </c>
      <c r="D141" s="697" t="str">
        <f>IFERROR(__xludf.DUMMYFUNCTION("""COMPUTED_VALUE"""),"India")</f>
        <v>India</v>
      </c>
      <c r="E141" s="697" t="str">
        <f>IFERROR(__xludf.DUMMYFUNCTION("""COMPUTED_VALUE"""),"w. bancrofti")</f>
        <v>w. bancrofti</v>
      </c>
      <c r="F141" s="697" t="str">
        <f>IFERROR(__xludf.DUMMYFUNCTION("""COMPUTED_VALUE"""),"DEC")</f>
        <v>DEC</v>
      </c>
      <c r="G141" s="697" t="str">
        <f>IFERROR(__xludf.DUMMYFUNCTION("""COMPUTED_VALUE"""),"6mg/kg")</f>
        <v>6mg/kg</v>
      </c>
      <c r="H141" s="697">
        <f>IFERROR(__xludf.DUMMYFUNCTION("""COMPUTED_VALUE"""),1.0)</f>
        <v>1</v>
      </c>
      <c r="I141" s="698">
        <f>IFERROR(__xludf.DUMMYFUNCTION("""COMPUTED_VALUE"""),0.989)</f>
        <v>0.989</v>
      </c>
      <c r="J141" s="697">
        <f>IFERROR(__xludf.DUMMYFUNCTION("""COMPUTED_VALUE"""),47.8)</f>
        <v>47.8</v>
      </c>
      <c r="K141" s="697" t="str">
        <f>IFERROR(__xludf.DUMMYFUNCTION("""COMPUTED_VALUE"""),"not available")</f>
        <v>not available</v>
      </c>
      <c r="L141" s="697">
        <f>IFERROR(__xludf.DUMMYFUNCTION("""COMPUTED_VALUE"""),29.0)</f>
        <v>29</v>
      </c>
      <c r="M141" s="697" t="str">
        <f>IFERROR(__xludf.DUMMYFUNCTION("""COMPUTED_VALUE"""),"not available")</f>
        <v>not available</v>
      </c>
      <c r="N141" s="697" t="str">
        <f>IFERROR(__xludf.DUMMYFUNCTION("""COMPUTED_VALUE"""),"not available")</f>
        <v>not available</v>
      </c>
      <c r="O141" s="697" t="str">
        <f>IFERROR(__xludf.DUMMYFUNCTION("""COMPUTED_VALUE"""),"Apparently healthy individuals of normal body weight for age with normal physical examination, normal ECG, normal chest X-ray, normal routine stool and urine tests, and normal results in a battery of laboratory tests for haematological and biochemical par"&amp;"ameters (Table 3), with W. bancrofti microfilaraemia of 100 mf/ml of night venous blood")</f>
        <v>Apparently healthy individuals of normal body weight for age with normal physical examination, normal ECG, normal chest X-ray, normal routine stool and urine tests, and normal results in a battery of laboratory tests for haematological and biochemical parameters (Table 3), with W. bancrofti microfilaraemia of 100 mf/ml of night venous blood</v>
      </c>
      <c r="P141" s="697" t="str">
        <f>IFERROR(__xludf.DUMMYFUNCTION("""COMPUTED_VALUE"""),"double-blind")</f>
        <v>double-blind</v>
      </c>
      <c r="Q141" s="697" t="str">
        <f>IFERROR(__xludf.DUMMYFUNCTION("""COMPUTED_VALUE"""),"yes")</f>
        <v>yes</v>
      </c>
      <c r="R141" s="697" t="str">
        <f>IFERROR(__xludf.DUMMYFUNCTION("""COMPUTED_VALUE"""),"yes")</f>
        <v>yes</v>
      </c>
      <c r="S141" s="697" t="str">
        <f>IFERROR(__xludf.DUMMYFUNCTION("""COMPUTED_VALUE"""),"2 years")</f>
        <v>2 years</v>
      </c>
      <c r="T141" s="697" t="str">
        <f>IFERROR(__xludf.DUMMYFUNCTION("""COMPUTED_VALUE"""),"The proportion of cases that cleared mf on the 6th day after therapy was significantly higher (P  0.05) in the ivermectin group (80%) than in the DEC group (17.2%; Figure 3). On day 30, 51.7% and 10.3% of parasite carriers who received ivermectin and DEC"&amp;", respectively, showed clearance of mf in their blood. After one year, the clearance rate was 34.8% in the ivermectin group and 8.3% in the DEC group. These figures were 73.7% and 47.8%, respectively, at the end of the second year (P 0.05).")</f>
        <v>The proportion of cases that cleared mf on the 6th day after therapy was significantly higher (P _x0004_ 0.05) in the ivermectin group (80%) than in the DEC group (17.2%; Figure 3). On day 30, 51.7% and 10.3% of parasite carriers who received ivermectin and DEC, respectively, showed clearance of mf in their blood. After one year, the clearance rate was 34.8% in the ivermectin group and 8.3% in the DEC group. These figures were 73.7% and 47.8%, respectively, at the end of the second year (P 0.05).</v>
      </c>
      <c r="U141" s="697"/>
      <c r="V141" s="697">
        <f>IFERROR(__xludf.DUMMYFUNCTION("""COMPUTED_VALUE"""),2000.0)</f>
        <v>2000</v>
      </c>
      <c r="W141" s="697">
        <f>IFERROR(__xludf.DUMMYFUNCTION("""COMPUTED_VALUE"""),2000.0)</f>
        <v>2000</v>
      </c>
      <c r="X141" s="697" t="str">
        <f>IFERROR(__xludf.DUMMYFUNCTION("""COMPUTED_VALUE"""),"Reddy, G., et al. ""Tolerability and efficacy of single‐dose diethyl carbamazine (DEC) or ivermectin in the clearance of Wuchereria bancrofti microfilaraemia in Pondicherry, south India."" Tropical Medicine &amp; International Health 5.11 (2000): 779-785.")</f>
        <v>Reddy, G., et al. "Tolerability and efficacy of single‐dose diethyl carbamazine (DEC) or ivermectin in the clearance of Wuchereria bancrofti microfilaraemia in Pondicherry, south India." Tropical Medicine &amp; International Health 5.11 (2000): 779-785.</v>
      </c>
      <c r="Y141" s="697" t="str">
        <f>IFERROR(__xludf.DUMMYFUNCTION("""COMPUTED_VALUE"""),"10.1046/j.1365-3156.2000.00644.x")</f>
        <v>10.1046/j.1365-3156.2000.00644.x</v>
      </c>
      <c r="Z141" s="865" t="str">
        <f>IFERROR(__xludf.DUMMYFUNCTION("""COMPUTED_VALUE"""),"https://drive.google.com/file/d/0B0qKRmtVkPtWc1N6aTFya1hsTjA/view?usp=sharing")</f>
        <v>https://drive.google.com/file/d/0B0qKRmtVkPtWc1N6aTFya1hsTjA/view?usp=sharing</v>
      </c>
      <c r="AA141" s="697" t="str">
        <f>IFERROR(__xludf.DUMMYFUNCTION("""COMPUTED_VALUE"""),"x")</f>
        <v>x</v>
      </c>
    </row>
    <row r="142">
      <c r="A142" s="697" t="str">
        <f>IFERROR(__xludf.DUMMYFUNCTION("""COMPUTED_VALUE"""),"Reddy 2000")</f>
        <v>Reddy 2000</v>
      </c>
      <c r="B142" s="697" t="str">
        <f>IFERROR(__xludf.DUMMYFUNCTION("""COMPUTED_VALUE"""),"Mike")</f>
        <v>Mike</v>
      </c>
      <c r="C142" s="697" t="str">
        <f>IFERROR(__xludf.DUMMYFUNCTION("""COMPUTED_VALUE"""),"Alex")</f>
        <v>Alex</v>
      </c>
      <c r="D142" s="697" t="str">
        <f>IFERROR(__xludf.DUMMYFUNCTION("""COMPUTED_VALUE"""),"India")</f>
        <v>India</v>
      </c>
      <c r="E142" s="697" t="str">
        <f>IFERROR(__xludf.DUMMYFUNCTION("""COMPUTED_VALUE"""),"w. bancrofti")</f>
        <v>w. bancrofti</v>
      </c>
      <c r="F142" s="697" t="str">
        <f>IFERROR(__xludf.DUMMYFUNCTION("""COMPUTED_VALUE"""),"Ivermectin")</f>
        <v>Ivermectin</v>
      </c>
      <c r="G142" s="697" t="str">
        <f>IFERROR(__xludf.DUMMYFUNCTION("""COMPUTED_VALUE"""),".400 mg/kg")</f>
        <v>.400 mg/kg</v>
      </c>
      <c r="H142" s="697">
        <f>IFERROR(__xludf.DUMMYFUNCTION("""COMPUTED_VALUE"""),1.0)</f>
        <v>1</v>
      </c>
      <c r="I142" s="698">
        <f>IFERROR(__xludf.DUMMYFUNCTION("""COMPUTED_VALUE"""),0.97)</f>
        <v>0.97</v>
      </c>
      <c r="J142" s="697">
        <f>IFERROR(__xludf.DUMMYFUNCTION("""COMPUTED_VALUE"""),34.8)</f>
        <v>34.8</v>
      </c>
      <c r="K142" s="697" t="str">
        <f>IFERROR(__xludf.DUMMYFUNCTION("""COMPUTED_VALUE"""),"not available")</f>
        <v>not available</v>
      </c>
      <c r="L142" s="697">
        <f>IFERROR(__xludf.DUMMYFUNCTION("""COMPUTED_VALUE"""),30.0)</f>
        <v>30</v>
      </c>
      <c r="M142" s="697" t="str">
        <f>IFERROR(__xludf.DUMMYFUNCTION("""COMPUTED_VALUE"""),"not available")</f>
        <v>not available</v>
      </c>
      <c r="N142" s="697" t="str">
        <f>IFERROR(__xludf.DUMMYFUNCTION("""COMPUTED_VALUE"""),"not available")</f>
        <v>not available</v>
      </c>
      <c r="O142" s="697" t="str">
        <f>IFERROR(__xludf.DUMMYFUNCTION("""COMPUTED_VALUE"""),"Apparently healthy individuals of normal body weight for age with normal physical examination, normal ECG, normal chest X-ray, normal routine stool and urine tests, and normal results in a battery of laboratory tests for haematological and biochemical par"&amp;"ameters (Table 3), with W. bancrofti microfilaraemia of 100 mf/ml of night venous blood")</f>
        <v>Apparently healthy individuals of normal body weight for age with normal physical examination, normal ECG, normal chest X-ray, normal routine stool and urine tests, and normal results in a battery of laboratory tests for haematological and biochemical parameters (Table 3), with W. bancrofti microfilaraemia of 100 mf/ml of night venous blood</v>
      </c>
      <c r="P142" s="697" t="str">
        <f>IFERROR(__xludf.DUMMYFUNCTION("""COMPUTED_VALUE"""),"double-blind")</f>
        <v>double-blind</v>
      </c>
      <c r="Q142" s="697" t="str">
        <f>IFERROR(__xludf.DUMMYFUNCTION("""COMPUTED_VALUE"""),"yes")</f>
        <v>yes</v>
      </c>
      <c r="R142" s="697" t="str">
        <f>IFERROR(__xludf.DUMMYFUNCTION("""COMPUTED_VALUE"""),"yes")</f>
        <v>yes</v>
      </c>
      <c r="S142" s="697" t="str">
        <f>IFERROR(__xludf.DUMMYFUNCTION("""COMPUTED_VALUE"""),"1 year")</f>
        <v>1 year</v>
      </c>
      <c r="T142" s="697" t="str">
        <f>IFERROR(__xludf.DUMMYFUNCTION("""COMPUTED_VALUE"""),"The proportion of cases that cleared mf on the 6th day after therapy was significantly higher (P  0.05) in the ivermectin group (80%) than in the DEC group (17.2%; Figure 3). On day 30, 51.7% and 10.3% of parasite carriers who received ivermectin and DEC"&amp;", respectively, showed clearance of mf in their blood. After one year, the clearance rate was 34.8% in the ivermectin group and 8.3% in the DEC group. These figures were 73.7% and 47.8%, respectively, at the end of the second year (P 0.05).")</f>
        <v>The proportion of cases that cleared mf on the 6th day after therapy was significantly higher (P _x0004_ 0.05) in the ivermectin group (80%) than in the DEC group (17.2%; Figure 3). On day 30, 51.7% and 10.3% of parasite carriers who received ivermectin and DEC, respectively, showed clearance of mf in their blood. After one year, the clearance rate was 34.8% in the ivermectin group and 8.3% in the DEC group. These figures were 73.7% and 47.8%, respectively, at the end of the second year (P 0.05).</v>
      </c>
      <c r="U142" s="697"/>
      <c r="V142" s="697">
        <f>IFERROR(__xludf.DUMMYFUNCTION("""COMPUTED_VALUE"""),2000.0)</f>
        <v>2000</v>
      </c>
      <c r="W142" s="697">
        <f>IFERROR(__xludf.DUMMYFUNCTION("""COMPUTED_VALUE"""),2000.0)</f>
        <v>2000</v>
      </c>
      <c r="X142" s="697" t="str">
        <f>IFERROR(__xludf.DUMMYFUNCTION("""COMPUTED_VALUE"""),"Reddy, G., et al. ""Tolerability and efficacy of single‐dose diethyl carbamazine (DEC) or ivermectin in the clearance of Wuchereria bancrofti microfilaraemia in Pondicherry, south India."" Tropical Medicine &amp; International Health 5.11 (2000): 779-785.")</f>
        <v>Reddy, G., et al. "Tolerability and efficacy of single‐dose diethyl carbamazine (DEC) or ivermectin in the clearance of Wuchereria bancrofti microfilaraemia in Pondicherry, south India." Tropical Medicine &amp; International Health 5.11 (2000): 779-785.</v>
      </c>
      <c r="Y142" s="697" t="str">
        <f>IFERROR(__xludf.DUMMYFUNCTION("""COMPUTED_VALUE"""),"10.1046/j.1365-3156.2000.00644.x")</f>
        <v>10.1046/j.1365-3156.2000.00644.x</v>
      </c>
      <c r="Z142" s="865" t="str">
        <f>IFERROR(__xludf.DUMMYFUNCTION("""COMPUTED_VALUE"""),"https://drive.google.com/file/d/0B0qKRmtVkPtWc1N6aTFya1hsTjA/view?usp=sharing")</f>
        <v>https://drive.google.com/file/d/0B0qKRmtVkPtWc1N6aTFya1hsTjA/view?usp=sharing</v>
      </c>
      <c r="AA142" s="697" t="str">
        <f>IFERROR(__xludf.DUMMYFUNCTION("""COMPUTED_VALUE"""),"x")</f>
        <v>x</v>
      </c>
    </row>
    <row r="143">
      <c r="A143" s="697" t="str">
        <f>IFERROR(__xludf.DUMMYFUNCTION("""COMPUTED_VALUE"""),"Reddy 2000")</f>
        <v>Reddy 2000</v>
      </c>
      <c r="B143" s="697" t="str">
        <f>IFERROR(__xludf.DUMMYFUNCTION("""COMPUTED_VALUE"""),"Mike")</f>
        <v>Mike</v>
      </c>
      <c r="C143" s="697" t="str">
        <f>IFERROR(__xludf.DUMMYFUNCTION("""COMPUTED_VALUE"""),"Alex")</f>
        <v>Alex</v>
      </c>
      <c r="D143" s="697" t="str">
        <f>IFERROR(__xludf.DUMMYFUNCTION("""COMPUTED_VALUE"""),"India")</f>
        <v>India</v>
      </c>
      <c r="E143" s="697" t="str">
        <f>IFERROR(__xludf.DUMMYFUNCTION("""COMPUTED_VALUE"""),"w. bancrofti")</f>
        <v>w. bancrofti</v>
      </c>
      <c r="F143" s="697" t="str">
        <f>IFERROR(__xludf.DUMMYFUNCTION("""COMPUTED_VALUE"""),"Ivermectin")</f>
        <v>Ivermectin</v>
      </c>
      <c r="G143" s="697" t="str">
        <f>IFERROR(__xludf.DUMMYFUNCTION("""COMPUTED_VALUE"""),".400 mg/kg")</f>
        <v>.400 mg/kg</v>
      </c>
      <c r="H143" s="697">
        <f>IFERROR(__xludf.DUMMYFUNCTION("""COMPUTED_VALUE"""),1.0)</f>
        <v>1</v>
      </c>
      <c r="I143" s="698">
        <f>IFERROR(__xludf.DUMMYFUNCTION("""COMPUTED_VALUE"""),0.995)</f>
        <v>0.995</v>
      </c>
      <c r="J143" s="697">
        <f>IFERROR(__xludf.DUMMYFUNCTION("""COMPUTED_VALUE"""),73.7)</f>
        <v>73.7</v>
      </c>
      <c r="K143" s="697" t="str">
        <f>IFERROR(__xludf.DUMMYFUNCTION("""COMPUTED_VALUE"""),"not available")</f>
        <v>not available</v>
      </c>
      <c r="L143" s="697">
        <f>IFERROR(__xludf.DUMMYFUNCTION("""COMPUTED_VALUE"""),30.0)</f>
        <v>30</v>
      </c>
      <c r="M143" s="697" t="str">
        <f>IFERROR(__xludf.DUMMYFUNCTION("""COMPUTED_VALUE"""),"not available")</f>
        <v>not available</v>
      </c>
      <c r="N143" s="697" t="str">
        <f>IFERROR(__xludf.DUMMYFUNCTION("""COMPUTED_VALUE"""),"not available")</f>
        <v>not available</v>
      </c>
      <c r="O143" s="697" t="str">
        <f>IFERROR(__xludf.DUMMYFUNCTION("""COMPUTED_VALUE"""),"Apparently healthy individuals of normal body weight for age with normal physical examination, normal ECG, normal chest X-ray, normal routine stool and urine tests, and normal results in a battery of laboratory tests for haematological and biochemical par"&amp;"ameters (Table 3), with W. bancrofti microfilaraemia of 100 mf/ml of night venous blood")</f>
        <v>Apparently healthy individuals of normal body weight for age with normal physical examination, normal ECG, normal chest X-ray, normal routine stool and urine tests, and normal results in a battery of laboratory tests for haematological and biochemical parameters (Table 3), with W. bancrofti microfilaraemia of 100 mf/ml of night venous blood</v>
      </c>
      <c r="P143" s="697" t="str">
        <f>IFERROR(__xludf.DUMMYFUNCTION("""COMPUTED_VALUE"""),"double-blind")</f>
        <v>double-blind</v>
      </c>
      <c r="Q143" s="697" t="str">
        <f>IFERROR(__xludf.DUMMYFUNCTION("""COMPUTED_VALUE"""),"yes")</f>
        <v>yes</v>
      </c>
      <c r="R143" s="697" t="str">
        <f>IFERROR(__xludf.DUMMYFUNCTION("""COMPUTED_VALUE"""),"yes")</f>
        <v>yes</v>
      </c>
      <c r="S143" s="697" t="str">
        <f>IFERROR(__xludf.DUMMYFUNCTION("""COMPUTED_VALUE"""),"2 years")</f>
        <v>2 years</v>
      </c>
      <c r="T143" s="697" t="str">
        <f>IFERROR(__xludf.DUMMYFUNCTION("""COMPUTED_VALUE"""),"The proportion of cases that cleared mf on the 6th day after therapy was significantly higher (P  0.05) in the ivermectin group (80%) than in the DEC group (17.2%; Figure 3). On day 30, 51.7% and 10.3% of parasite carriers who received ivermectin and DEC"&amp;", respectively, showed clearance of mf in their blood. After one year, the clearance rate was 34.8% in the ivermectin group and 8.3% in the DEC group. These figures were 73.7% and 47.8%, respectively, at the end of the second year (P 0.05).")</f>
        <v>The proportion of cases that cleared mf on the 6th day after therapy was significantly higher (P _x0004_ 0.05) in the ivermectin group (80%) than in the DEC group (17.2%; Figure 3). On day 30, 51.7% and 10.3% of parasite carriers who received ivermectin and DEC, respectively, showed clearance of mf in their blood. After one year, the clearance rate was 34.8% in the ivermectin group and 8.3% in the DEC group. These figures were 73.7% and 47.8%, respectively, at the end of the second year (P 0.05).</v>
      </c>
      <c r="U143" s="697"/>
      <c r="V143" s="697">
        <f>IFERROR(__xludf.DUMMYFUNCTION("""COMPUTED_VALUE"""),2000.0)</f>
        <v>2000</v>
      </c>
      <c r="W143" s="697">
        <f>IFERROR(__xludf.DUMMYFUNCTION("""COMPUTED_VALUE"""),2000.0)</f>
        <v>2000</v>
      </c>
      <c r="X143" s="697" t="str">
        <f>IFERROR(__xludf.DUMMYFUNCTION("""COMPUTED_VALUE"""),"Reddy, G., et al. ""Tolerability and efficacy of single‐dose diethyl carbamazine (DEC) or ivermectin in the clearance of Wuchereria bancrofti microfilaraemia in Pondicherry, south India."" Tropical Medicine &amp; International Health 5.11 (2000): 779-785.")</f>
        <v>Reddy, G., et al. "Tolerability and efficacy of single‐dose diethyl carbamazine (DEC) or ivermectin in the clearance of Wuchereria bancrofti microfilaraemia in Pondicherry, south India." Tropical Medicine &amp; International Health 5.11 (2000): 779-785.</v>
      </c>
      <c r="Y143" s="697" t="str">
        <f>IFERROR(__xludf.DUMMYFUNCTION("""COMPUTED_VALUE"""),"10.1046/j.1365-3156.2000.00644.x")</f>
        <v>10.1046/j.1365-3156.2000.00644.x</v>
      </c>
      <c r="Z143" s="865" t="str">
        <f>IFERROR(__xludf.DUMMYFUNCTION("""COMPUTED_VALUE"""),"https://drive.google.com/file/d/0B0qKRmtVkPtWc1N6aTFya1hsTjA/view?usp=sharing")</f>
        <v>https://drive.google.com/file/d/0B0qKRmtVkPtWc1N6aTFya1hsTjA/view?usp=sharing</v>
      </c>
      <c r="AA143" s="697" t="str">
        <f>IFERROR(__xludf.DUMMYFUNCTION("""COMPUTED_VALUE"""),"x")</f>
        <v>x</v>
      </c>
    </row>
    <row r="144">
      <c r="A144" s="697" t="str">
        <f>IFERROR(__xludf.DUMMYFUNCTION("""COMPUTED_VALUE"""),"Moulia-Pelat 1994")</f>
        <v>Moulia-Pelat 1994</v>
      </c>
      <c r="B144" s="697" t="str">
        <f>IFERROR(__xludf.DUMMYFUNCTION("""COMPUTED_VALUE"""),"Mike")</f>
        <v>Mike</v>
      </c>
      <c r="C144" s="697" t="str">
        <f>IFERROR(__xludf.DUMMYFUNCTION("""COMPUTED_VALUE"""),"Alex")</f>
        <v>Alex</v>
      </c>
      <c r="D144" s="697" t="str">
        <f>IFERROR(__xludf.DUMMYFUNCTION("""COMPUTED_VALUE"""),"French Polynesia")</f>
        <v>French Polynesia</v>
      </c>
      <c r="E144" s="697" t="str">
        <f>IFERROR(__xludf.DUMMYFUNCTION("""COMPUTED_VALUE"""),"W. bancrofti")</f>
        <v>W. bancrofti</v>
      </c>
      <c r="F144" s="697" t="str">
        <f>IFERROR(__xludf.DUMMYFUNCTION("""COMPUTED_VALUE"""),"DEC &amp; Ivermectin")</f>
        <v>DEC &amp; Ivermectin</v>
      </c>
      <c r="G144" s="697" t="str">
        <f>IFERROR(__xludf.DUMMYFUNCTION("""COMPUTED_VALUE"""),"1mg/kg + 400 μg/kg ")</f>
        <v>1mg/kg + 400 μg/kg </v>
      </c>
      <c r="H144" s="697">
        <f>IFERROR(__xludf.DUMMYFUNCTION("""COMPUTED_VALUE"""),1.0)</f>
        <v>1</v>
      </c>
      <c r="I144" s="706">
        <f>IFERROR(__xludf.DUMMYFUNCTION("""COMPUTED_VALUE"""),1.0)</f>
        <v>1</v>
      </c>
      <c r="J144" s="697" t="str">
        <f>IFERROR(__xludf.DUMMYFUNCTION("""COMPUTED_VALUE"""),"not available")</f>
        <v>not available</v>
      </c>
      <c r="K144" s="697" t="str">
        <f>IFERROR(__xludf.DUMMYFUNCTION("""COMPUTED_VALUE"""),"not available")</f>
        <v>not available</v>
      </c>
      <c r="L144" s="697">
        <f>IFERROR(__xludf.DUMMYFUNCTION("""COMPUTED_VALUE"""),5.0)</f>
        <v>5</v>
      </c>
      <c r="M144" s="697" t="str">
        <f>IFERROR(__xludf.DUMMYFUNCTION("""COMPUTED_VALUE"""),"not mentioned")</f>
        <v>not mentioned</v>
      </c>
      <c r="N144" s="862" t="str">
        <f>IFERROR(__xludf.DUMMYFUNCTION("""COMPUTED_VALUE"""),"0:5")</f>
        <v>0:5</v>
      </c>
      <c r="O144" s="697" t="str">
        <f>IFERROR(__xludf.DUMMYFUNCTION("""COMPUTED_VALUE"""),"male carriers")</f>
        <v>male carriers</v>
      </c>
      <c r="P144" s="697" t="str">
        <f>IFERROR(__xludf.DUMMYFUNCTION("""COMPUTED_VALUE"""),"randomized")</f>
        <v>randomized</v>
      </c>
      <c r="Q144" s="697" t="str">
        <f>IFERROR(__xludf.DUMMYFUNCTION("""COMPUTED_VALUE"""),"No")</f>
        <v>No</v>
      </c>
      <c r="R144" s="697" t="str">
        <f>IFERROR(__xludf.DUMMYFUNCTION("""COMPUTED_VALUE"""),"Yes")</f>
        <v>Yes</v>
      </c>
      <c r="S144" s="697" t="str">
        <f>IFERROR(__xludf.DUMMYFUNCTION("""COMPUTED_VALUE"""),"96 hours")</f>
        <v>96 hours</v>
      </c>
      <c r="T144" s="697" t="str">
        <f>IFERROR(__xludf.DUMMYFUNCTION("""COMPUTED_VALUE"""),"The results showed that 1) DEC alone or combined with ivermectin induced a rapid clearance of mf after drug intake; at H 1/2, the number of circulating microfilariae was reduced to 16%, 8%, 28%, and 31%, respectively, of pretreatment values in the groups "&amp;"receiving ivermectin plus DEC (400 p.g/kg plus 1 mg/kg, 400 p.g/kg plus 3 mg/kg, and 400 p.g/kg plus 6 mg/kg) and DEC (6 mg/kg) alone; 2) ivermectim alone induced a rapid increase of mf densities during the first 2 hr, followed by a sharp decrease from H4"&amp;" to H96; and 3) between H8 and H96, mf clearance was almost complete with the combination of ivermectim and DEC")</f>
        <v>The results showed that 1) DEC alone or combined with ivermectin induced a rapid clearance of mf after drug intake; at H 1/2, the number of circulating microfilariae was reduced to 16%, 8%, 28%, and 31%, respectively, of pretreatment values in the groups receiving ivermectin plus DEC (400 p.g/kg plus 1 mg/kg, 400 p.g/kg plus 3 mg/kg, and 400 p.g/kg plus 6 mg/kg) and DEC (6 mg/kg) alone; 2) ivermectim alone induced a rapid increase of mf densities during the first 2 hr, followed by a sharp decrease from H4 to H96; and 3) between H8 and H96, mf clearance was almost complete with the combination of ivermectim and DEC</v>
      </c>
      <c r="U144" s="697"/>
      <c r="V144" s="697">
        <f>IFERROR(__xludf.DUMMYFUNCTION("""COMPUTED_VALUE"""),1994.0)</f>
        <v>1994</v>
      </c>
      <c r="W144" s="697">
        <f>IFERROR(__xludf.DUMMYFUNCTION("""COMPUTED_VALUE"""),1994.0)</f>
        <v>1994</v>
      </c>
      <c r="X144" s="697" t="str">
        <f>IFERROR(__xludf.DUMMYFUNCTION("""COMPUTED_VALUE"""),"Moulia-Pelat, Jean-Paul, et al. ""Ivermectin plus diethylcarbamazine: an additive effect on early microfilarial clearance."" The American journal of tropical medicine and hygiene 50.2 (1994): 206-209.")</f>
        <v>Moulia-Pelat, Jean-Paul, et al. "Ivermectin plus diethylcarbamazine: an additive effect on early microfilarial clearance." The American journal of tropical medicine and hygiene 50.2 (1994): 206-209.</v>
      </c>
      <c r="Y144" s="697" t="str">
        <f>IFERROR(__xludf.DUMMYFUNCTION("""COMPUTED_VALUE"""),"10.1016/j.actatropica.2010.09.009.")</f>
        <v>10.1016/j.actatropica.2010.09.009.</v>
      </c>
      <c r="Z144" s="865" t="str">
        <f>IFERROR(__xludf.DUMMYFUNCTION("""COMPUTED_VALUE"""),"https://drive.google.com/file/d/0B0qKRmtVkPtWMmszREhFbkloWm8/view?usp=sharing")</f>
        <v>https://drive.google.com/file/d/0B0qKRmtVkPtWMmszREhFbkloWm8/view?usp=sharing</v>
      </c>
      <c r="AA144" s="697" t="str">
        <f>IFERROR(__xludf.DUMMYFUNCTION("""COMPUTED_VALUE"""),"x")</f>
        <v>x</v>
      </c>
    </row>
    <row r="145">
      <c r="A145" s="697" t="str">
        <f>IFERROR(__xludf.DUMMYFUNCTION("""COMPUTED_VALUE"""),"Moulia-Pelat 1994")</f>
        <v>Moulia-Pelat 1994</v>
      </c>
      <c r="B145" s="697" t="str">
        <f>IFERROR(__xludf.DUMMYFUNCTION("""COMPUTED_VALUE"""),"Mike")</f>
        <v>Mike</v>
      </c>
      <c r="C145" s="697" t="str">
        <f>IFERROR(__xludf.DUMMYFUNCTION("""COMPUTED_VALUE"""),"Alex")</f>
        <v>Alex</v>
      </c>
      <c r="D145" s="697" t="str">
        <f>IFERROR(__xludf.DUMMYFUNCTION("""COMPUTED_VALUE"""),"French Polynesia")</f>
        <v>French Polynesia</v>
      </c>
      <c r="E145" s="697" t="str">
        <f>IFERROR(__xludf.DUMMYFUNCTION("""COMPUTED_VALUE"""),"W. bancrofti")</f>
        <v>W. bancrofti</v>
      </c>
      <c r="F145" s="697" t="str">
        <f>IFERROR(__xludf.DUMMYFUNCTION("""COMPUTED_VALUE"""),"DEC &amp; Ivermectin")</f>
        <v>DEC &amp; Ivermectin</v>
      </c>
      <c r="G145" s="697" t="str">
        <f>IFERROR(__xludf.DUMMYFUNCTION("""COMPUTED_VALUE"""),"3 mg/kg + 400 μg/kg")</f>
        <v>3 mg/kg + 400 μg/kg</v>
      </c>
      <c r="H145" s="697">
        <f>IFERROR(__xludf.DUMMYFUNCTION("""COMPUTED_VALUE"""),1.0)</f>
        <v>1</v>
      </c>
      <c r="I145" s="706">
        <f>IFERROR(__xludf.DUMMYFUNCTION("""COMPUTED_VALUE"""),0.99998)</f>
        <v>0.99998</v>
      </c>
      <c r="J145" s="697" t="str">
        <f>IFERROR(__xludf.DUMMYFUNCTION("""COMPUTED_VALUE"""),"not available")</f>
        <v>not available</v>
      </c>
      <c r="K145" s="697" t="str">
        <f>IFERROR(__xludf.DUMMYFUNCTION("""COMPUTED_VALUE"""),"not available")</f>
        <v>not available</v>
      </c>
      <c r="L145" s="697">
        <f>IFERROR(__xludf.DUMMYFUNCTION("""COMPUTED_VALUE"""),5.0)</f>
        <v>5</v>
      </c>
      <c r="M145" s="697" t="str">
        <f>IFERROR(__xludf.DUMMYFUNCTION("""COMPUTED_VALUE"""),"not mentioned")</f>
        <v>not mentioned</v>
      </c>
      <c r="N145" s="862" t="str">
        <f>IFERROR(__xludf.DUMMYFUNCTION("""COMPUTED_VALUE"""),"0:5")</f>
        <v>0:5</v>
      </c>
      <c r="O145" s="697" t="str">
        <f>IFERROR(__xludf.DUMMYFUNCTION("""COMPUTED_VALUE"""),"male carriers")</f>
        <v>male carriers</v>
      </c>
      <c r="P145" s="697" t="str">
        <f>IFERROR(__xludf.DUMMYFUNCTION("""COMPUTED_VALUE"""),"randomized")</f>
        <v>randomized</v>
      </c>
      <c r="Q145" s="697" t="str">
        <f>IFERROR(__xludf.DUMMYFUNCTION("""COMPUTED_VALUE"""),"No")</f>
        <v>No</v>
      </c>
      <c r="R145" s="697" t="str">
        <f>IFERROR(__xludf.DUMMYFUNCTION("""COMPUTED_VALUE"""),"Yes")</f>
        <v>Yes</v>
      </c>
      <c r="S145" s="697" t="str">
        <f>IFERROR(__xludf.DUMMYFUNCTION("""COMPUTED_VALUE"""),"96 hours")</f>
        <v>96 hours</v>
      </c>
      <c r="T145" s="697" t="str">
        <f>IFERROR(__xludf.DUMMYFUNCTION("""COMPUTED_VALUE"""),"The results showed that 1) DEC alone or combined with ivermectin induced a rapid clearance of mf after drug intake; at H 1/2, the number of circulating microfilariae was reduced to 16%, 8%, 28%, and 31%, respectively, of pretreatment values in the groups "&amp;"receiving ivermectin plus DEC (400 p.g/kg plus 1 mg/kg, 400 p.g/kg plus 3 mg/kg, and 400 p.g/kg plus 6 mg/kg) and DEC (6 mg/kg) alone; 2) ivermectim alone induced a rapid increase of mf densities during the first 2 hr, followed by a sharp decrease from H4"&amp;" to H96; and 3) between H8 and H96, mf clearance was almost complete with the combination of ivermectim and DEC")</f>
        <v>The results showed that 1) DEC alone or combined with ivermectin induced a rapid clearance of mf after drug intake; at H 1/2, the number of circulating microfilariae was reduced to 16%, 8%, 28%, and 31%, respectively, of pretreatment values in the groups receiving ivermectin plus DEC (400 p.g/kg plus 1 mg/kg, 400 p.g/kg plus 3 mg/kg, and 400 p.g/kg plus 6 mg/kg) and DEC (6 mg/kg) alone; 2) ivermectim alone induced a rapid increase of mf densities during the first 2 hr, followed by a sharp decrease from H4 to H96; and 3) between H8 and H96, mf clearance was almost complete with the combination of ivermectim and DEC</v>
      </c>
      <c r="U145" s="697"/>
      <c r="V145" s="697">
        <f>IFERROR(__xludf.DUMMYFUNCTION("""COMPUTED_VALUE"""),1994.0)</f>
        <v>1994</v>
      </c>
      <c r="W145" s="697">
        <f>IFERROR(__xludf.DUMMYFUNCTION("""COMPUTED_VALUE"""),1994.0)</f>
        <v>1994</v>
      </c>
      <c r="X145" s="697" t="str">
        <f>IFERROR(__xludf.DUMMYFUNCTION("""COMPUTED_VALUE"""),"Moulia-Pelat, Jean-Paul, et al. ""Ivermectin plus diethylcarbamazine: an additive effect on early microfilarial clearance."" The American journal of tropical medicine and hygiene 50.2 (1994): 206-209.")</f>
        <v>Moulia-Pelat, Jean-Paul, et al. "Ivermectin plus diethylcarbamazine: an additive effect on early microfilarial clearance." The American journal of tropical medicine and hygiene 50.2 (1994): 206-209.</v>
      </c>
      <c r="Y145" s="697" t="str">
        <f>IFERROR(__xludf.DUMMYFUNCTION("""COMPUTED_VALUE"""),"10.1016/j.actatropica.2010.09.009.")</f>
        <v>10.1016/j.actatropica.2010.09.009.</v>
      </c>
      <c r="Z145" s="865" t="str">
        <f>IFERROR(__xludf.DUMMYFUNCTION("""COMPUTED_VALUE"""),"https://drive.google.com/file/d/0B0qKRmtVkPtWMmszREhFbkloWm8/view?usp=sharing")</f>
        <v>https://drive.google.com/file/d/0B0qKRmtVkPtWMmszREhFbkloWm8/view?usp=sharing</v>
      </c>
      <c r="AA145" s="697" t="str">
        <f>IFERROR(__xludf.DUMMYFUNCTION("""COMPUTED_VALUE"""),"x")</f>
        <v>x</v>
      </c>
    </row>
    <row r="146">
      <c r="A146" s="697" t="str">
        <f>IFERROR(__xludf.DUMMYFUNCTION("""COMPUTED_VALUE"""),"Moulia-Pelat 1994")</f>
        <v>Moulia-Pelat 1994</v>
      </c>
      <c r="B146" s="697" t="str">
        <f>IFERROR(__xludf.DUMMYFUNCTION("""COMPUTED_VALUE"""),"Mike")</f>
        <v>Mike</v>
      </c>
      <c r="C146" s="697" t="str">
        <f>IFERROR(__xludf.DUMMYFUNCTION("""COMPUTED_VALUE"""),"Alex")</f>
        <v>Alex</v>
      </c>
      <c r="D146" s="697" t="str">
        <f>IFERROR(__xludf.DUMMYFUNCTION("""COMPUTED_VALUE"""),"French Polynesia")</f>
        <v>French Polynesia</v>
      </c>
      <c r="E146" s="697" t="str">
        <f>IFERROR(__xludf.DUMMYFUNCTION("""COMPUTED_VALUE"""),"W. bancrofti")</f>
        <v>W. bancrofti</v>
      </c>
      <c r="F146" s="697" t="str">
        <f>IFERROR(__xludf.DUMMYFUNCTION("""COMPUTED_VALUE"""),"DEC &amp; Ivermectin")</f>
        <v>DEC &amp; Ivermectin</v>
      </c>
      <c r="G146" s="697" t="str">
        <f>IFERROR(__xludf.DUMMYFUNCTION("""COMPUTED_VALUE"""),"6 mg/kg + 400 μg/kg")</f>
        <v>6 mg/kg + 400 μg/kg</v>
      </c>
      <c r="H146" s="697">
        <f>IFERROR(__xludf.DUMMYFUNCTION("""COMPUTED_VALUE"""),1.0)</f>
        <v>1</v>
      </c>
      <c r="I146" s="706">
        <f>IFERROR(__xludf.DUMMYFUNCTION("""COMPUTED_VALUE"""),0.99997)</f>
        <v>0.99997</v>
      </c>
      <c r="J146" s="697" t="str">
        <f>IFERROR(__xludf.DUMMYFUNCTION("""COMPUTED_VALUE"""),"not available")</f>
        <v>not available</v>
      </c>
      <c r="K146" s="697" t="str">
        <f>IFERROR(__xludf.DUMMYFUNCTION("""COMPUTED_VALUE"""),"not available")</f>
        <v>not available</v>
      </c>
      <c r="L146" s="697">
        <f>IFERROR(__xludf.DUMMYFUNCTION("""COMPUTED_VALUE"""),5.0)</f>
        <v>5</v>
      </c>
      <c r="M146" s="697" t="str">
        <f>IFERROR(__xludf.DUMMYFUNCTION("""COMPUTED_VALUE"""),"not mentioned")</f>
        <v>not mentioned</v>
      </c>
      <c r="N146" s="862" t="str">
        <f>IFERROR(__xludf.DUMMYFUNCTION("""COMPUTED_VALUE"""),"0:5")</f>
        <v>0:5</v>
      </c>
      <c r="O146" s="697" t="str">
        <f>IFERROR(__xludf.DUMMYFUNCTION("""COMPUTED_VALUE"""),"male carriers")</f>
        <v>male carriers</v>
      </c>
      <c r="P146" s="697" t="str">
        <f>IFERROR(__xludf.DUMMYFUNCTION("""COMPUTED_VALUE"""),"randomized")</f>
        <v>randomized</v>
      </c>
      <c r="Q146" s="697" t="str">
        <f>IFERROR(__xludf.DUMMYFUNCTION("""COMPUTED_VALUE"""),"No")</f>
        <v>No</v>
      </c>
      <c r="R146" s="697" t="str">
        <f>IFERROR(__xludf.DUMMYFUNCTION("""COMPUTED_VALUE"""),"Yes")</f>
        <v>Yes</v>
      </c>
      <c r="S146" s="697" t="str">
        <f>IFERROR(__xludf.DUMMYFUNCTION("""COMPUTED_VALUE"""),"96 hours")</f>
        <v>96 hours</v>
      </c>
      <c r="T146" s="697" t="str">
        <f>IFERROR(__xludf.DUMMYFUNCTION("""COMPUTED_VALUE"""),"The results showed that 1) DEC alone or combined with ivermectin induced a rapid clearance of mf after drug intake; at H 1/2, the number of circulating microfilariae was reduced to 16%, 8%, 28%, and 31%, respectively, of pretreatment values in the groups "&amp;"receiving ivermectin plus DEC (400 p.g/kg plus 1 mg/kg, 400 p.g/kg plus 3 mg/kg, and 400 p.g/kg plus 6 mg/kg) and DEC (6 mg/kg) alone; 2) ivermectim alone induced a rapid increase of mf densities during the first 2 hr, followed by a sharp decrease from H4"&amp;" to H96; and 3) between H8 and H96, mf clearance was almost complete with the combination of ivermectim and DEC")</f>
        <v>The results showed that 1) DEC alone or combined with ivermectin induced a rapid clearance of mf after drug intake; at H 1/2, the number of circulating microfilariae was reduced to 16%, 8%, 28%, and 31%, respectively, of pretreatment values in the groups receiving ivermectin plus DEC (400 p.g/kg plus 1 mg/kg, 400 p.g/kg plus 3 mg/kg, and 400 p.g/kg plus 6 mg/kg) and DEC (6 mg/kg) alone; 2) ivermectim alone induced a rapid increase of mf densities during the first 2 hr, followed by a sharp decrease from H4 to H96; and 3) between H8 and H96, mf clearance was almost complete with the combination of ivermectim and DEC</v>
      </c>
      <c r="U146" s="697"/>
      <c r="V146" s="697">
        <f>IFERROR(__xludf.DUMMYFUNCTION("""COMPUTED_VALUE"""),1994.0)</f>
        <v>1994</v>
      </c>
      <c r="W146" s="697">
        <f>IFERROR(__xludf.DUMMYFUNCTION("""COMPUTED_VALUE"""),1994.0)</f>
        <v>1994</v>
      </c>
      <c r="X146" s="697" t="str">
        <f>IFERROR(__xludf.DUMMYFUNCTION("""COMPUTED_VALUE"""),"Moulia-Pelat, Jean-Paul, et al. ""Ivermectin plus diethylcarbamazine: an additive effect on early microfilarial clearance."" The American journal of tropical medicine and hygiene 50.2 (1994): 206-209.")</f>
        <v>Moulia-Pelat, Jean-Paul, et al. "Ivermectin plus diethylcarbamazine: an additive effect on early microfilarial clearance." The American journal of tropical medicine and hygiene 50.2 (1994): 206-209.</v>
      </c>
      <c r="Y146" s="697" t="str">
        <f>IFERROR(__xludf.DUMMYFUNCTION("""COMPUTED_VALUE"""),"10.1016/j.actatropica.2010.09.009.")</f>
        <v>10.1016/j.actatropica.2010.09.009.</v>
      </c>
      <c r="Z146" s="865" t="str">
        <f>IFERROR(__xludf.DUMMYFUNCTION("""COMPUTED_VALUE"""),"https://drive.google.com/file/d/0B0qKRmtVkPtWMmszREhFbkloWm8/view?usp=sharing")</f>
        <v>https://drive.google.com/file/d/0B0qKRmtVkPtWMmszREhFbkloWm8/view?usp=sharing</v>
      </c>
      <c r="AA146" s="697" t="str">
        <f>IFERROR(__xludf.DUMMYFUNCTION("""COMPUTED_VALUE"""),"x")</f>
        <v>x</v>
      </c>
    </row>
    <row r="147">
      <c r="A147" s="697" t="str">
        <f>IFERROR(__xludf.DUMMYFUNCTION("""COMPUTED_VALUE"""),"Moulia-Pelat 1994")</f>
        <v>Moulia-Pelat 1994</v>
      </c>
      <c r="B147" s="697" t="str">
        <f>IFERROR(__xludf.DUMMYFUNCTION("""COMPUTED_VALUE"""),"Mike")</f>
        <v>Mike</v>
      </c>
      <c r="C147" s="697" t="str">
        <f>IFERROR(__xludf.DUMMYFUNCTION("""COMPUTED_VALUE"""),"Alex")</f>
        <v>Alex</v>
      </c>
      <c r="D147" s="697" t="str">
        <f>IFERROR(__xludf.DUMMYFUNCTION("""COMPUTED_VALUE"""),"French Polynesia")</f>
        <v>French Polynesia</v>
      </c>
      <c r="E147" s="697" t="str">
        <f>IFERROR(__xludf.DUMMYFUNCTION("""COMPUTED_VALUE"""),"W. bancrofti")</f>
        <v>W. bancrofti</v>
      </c>
      <c r="F147" s="697" t="str">
        <f>IFERROR(__xludf.DUMMYFUNCTION("""COMPUTED_VALUE"""),"DEC")</f>
        <v>DEC</v>
      </c>
      <c r="G147" s="697" t="str">
        <f>IFERROR(__xludf.DUMMYFUNCTION("""COMPUTED_VALUE"""),"6mg/kg")</f>
        <v>6mg/kg</v>
      </c>
      <c r="H147" s="697">
        <f>IFERROR(__xludf.DUMMYFUNCTION("""COMPUTED_VALUE"""),1.0)</f>
        <v>1</v>
      </c>
      <c r="I147" s="706">
        <f>IFERROR(__xludf.DUMMYFUNCTION("""COMPUTED_VALUE"""),0.79)</f>
        <v>0.79</v>
      </c>
      <c r="J147" s="697" t="str">
        <f>IFERROR(__xludf.DUMMYFUNCTION("""COMPUTED_VALUE"""),"not available")</f>
        <v>not available</v>
      </c>
      <c r="K147" s="697" t="str">
        <f>IFERROR(__xludf.DUMMYFUNCTION("""COMPUTED_VALUE"""),"not available")</f>
        <v>not available</v>
      </c>
      <c r="L147" s="697">
        <f>IFERROR(__xludf.DUMMYFUNCTION("""COMPUTED_VALUE"""),5.0)</f>
        <v>5</v>
      </c>
      <c r="M147" s="697" t="str">
        <f>IFERROR(__xludf.DUMMYFUNCTION("""COMPUTED_VALUE"""),"not mentioned")</f>
        <v>not mentioned</v>
      </c>
      <c r="N147" s="862" t="str">
        <f>IFERROR(__xludf.DUMMYFUNCTION("""COMPUTED_VALUE"""),"0:5")</f>
        <v>0:5</v>
      </c>
      <c r="O147" s="697" t="str">
        <f>IFERROR(__xludf.DUMMYFUNCTION("""COMPUTED_VALUE"""),"male carriers")</f>
        <v>male carriers</v>
      </c>
      <c r="P147" s="697" t="str">
        <f>IFERROR(__xludf.DUMMYFUNCTION("""COMPUTED_VALUE"""),"randomized")</f>
        <v>randomized</v>
      </c>
      <c r="Q147" s="697" t="str">
        <f>IFERROR(__xludf.DUMMYFUNCTION("""COMPUTED_VALUE"""),"No")</f>
        <v>No</v>
      </c>
      <c r="R147" s="697" t="str">
        <f>IFERROR(__xludf.DUMMYFUNCTION("""COMPUTED_VALUE"""),"Yes")</f>
        <v>Yes</v>
      </c>
      <c r="S147" s="697" t="str">
        <f>IFERROR(__xludf.DUMMYFUNCTION("""COMPUTED_VALUE"""),"96 hours")</f>
        <v>96 hours</v>
      </c>
      <c r="T147" s="697" t="str">
        <f>IFERROR(__xludf.DUMMYFUNCTION("""COMPUTED_VALUE"""),"The results showed that 1) DEC alone or combined with ivermectin induced a rapid clearance of mf after drug intake; at H 1/2, the number of circulating microfilariae was reduced to 16%, 8%, 28%, and 31%, respectively, of pretreatment values in the groups "&amp;"receiving ivermectin plus DEC (400 p.g/kg plus 1 mg/kg, 400 p.g/kg plus 3 mg/kg, and 400 p.g/kg plus 6 mg/kg) and DEC (6 mg/kg) alone; 2) ivermectim alone induced a rapid increase of mf densities during the first 2 hr, followed by a sharp decrease from H4"&amp;" to H96; and 3) between H8 and H96, mf clearance was almost complete with the combination of ivermectim and DEC")</f>
        <v>The results showed that 1) DEC alone or combined with ivermectin induced a rapid clearance of mf after drug intake; at H 1/2, the number of circulating microfilariae was reduced to 16%, 8%, 28%, and 31%, respectively, of pretreatment values in the groups receiving ivermectin plus DEC (400 p.g/kg plus 1 mg/kg, 400 p.g/kg plus 3 mg/kg, and 400 p.g/kg plus 6 mg/kg) and DEC (6 mg/kg) alone; 2) ivermectim alone induced a rapid increase of mf densities during the first 2 hr, followed by a sharp decrease from H4 to H96; and 3) between H8 and H96, mf clearance was almost complete with the combination of ivermectim and DEC</v>
      </c>
      <c r="U147" s="697"/>
      <c r="V147" s="697">
        <f>IFERROR(__xludf.DUMMYFUNCTION("""COMPUTED_VALUE"""),1994.0)</f>
        <v>1994</v>
      </c>
      <c r="W147" s="697">
        <f>IFERROR(__xludf.DUMMYFUNCTION("""COMPUTED_VALUE"""),1994.0)</f>
        <v>1994</v>
      </c>
      <c r="X147" s="697" t="str">
        <f>IFERROR(__xludf.DUMMYFUNCTION("""COMPUTED_VALUE"""),"Moulia-Pelat, Jean-Paul, et al. ""Ivermectin plus diethylcarbamazine: an additive effect on early microfilarial clearance."" The American journal of tropical medicine and hygiene 50.2 (1994): 206-209.")</f>
        <v>Moulia-Pelat, Jean-Paul, et al. "Ivermectin plus diethylcarbamazine: an additive effect on early microfilarial clearance." The American journal of tropical medicine and hygiene 50.2 (1994): 206-209.</v>
      </c>
      <c r="Y147" s="697" t="str">
        <f>IFERROR(__xludf.DUMMYFUNCTION("""COMPUTED_VALUE"""),"10.1016/j.actatropica.2010.09.009.")</f>
        <v>10.1016/j.actatropica.2010.09.009.</v>
      </c>
      <c r="Z147" s="865" t="str">
        <f>IFERROR(__xludf.DUMMYFUNCTION("""COMPUTED_VALUE"""),"https://drive.google.com/file/d/0B0qKRmtVkPtWMmszREhFbkloWm8/view?usp=sharing")</f>
        <v>https://drive.google.com/file/d/0B0qKRmtVkPtWMmszREhFbkloWm8/view?usp=sharing</v>
      </c>
      <c r="AA147" s="697" t="str">
        <f>IFERROR(__xludf.DUMMYFUNCTION("""COMPUTED_VALUE"""),"x")</f>
        <v>x</v>
      </c>
    </row>
    <row r="148">
      <c r="A148" s="697" t="str">
        <f>IFERROR(__xludf.DUMMYFUNCTION("""COMPUTED_VALUE"""),"Moulia-Pelat 1994")</f>
        <v>Moulia-Pelat 1994</v>
      </c>
      <c r="B148" s="697" t="str">
        <f>IFERROR(__xludf.DUMMYFUNCTION("""COMPUTED_VALUE"""),"Mike")</f>
        <v>Mike</v>
      </c>
      <c r="C148" s="697" t="str">
        <f>IFERROR(__xludf.DUMMYFUNCTION("""COMPUTED_VALUE"""),"Alex")</f>
        <v>Alex</v>
      </c>
      <c r="D148" s="697" t="str">
        <f>IFERROR(__xludf.DUMMYFUNCTION("""COMPUTED_VALUE"""),"French Polynesia")</f>
        <v>French Polynesia</v>
      </c>
      <c r="E148" s="697" t="str">
        <f>IFERROR(__xludf.DUMMYFUNCTION("""COMPUTED_VALUE"""),"W. bancrofti")</f>
        <v>W. bancrofti</v>
      </c>
      <c r="F148" s="697" t="str">
        <f>IFERROR(__xludf.DUMMYFUNCTION("""COMPUTED_VALUE"""),"Ivermectin")</f>
        <v>Ivermectin</v>
      </c>
      <c r="G148" s="697" t="str">
        <f>IFERROR(__xludf.DUMMYFUNCTION("""COMPUTED_VALUE"""),".400 mg/kg")</f>
        <v>.400 mg/kg</v>
      </c>
      <c r="H148" s="697">
        <f>IFERROR(__xludf.DUMMYFUNCTION("""COMPUTED_VALUE"""),1.0)</f>
        <v>1</v>
      </c>
      <c r="I148" s="706">
        <f>IFERROR(__xludf.DUMMYFUNCTION("""COMPUTED_VALUE"""),0.98)</f>
        <v>0.98</v>
      </c>
      <c r="J148" s="697" t="str">
        <f>IFERROR(__xludf.DUMMYFUNCTION("""COMPUTED_VALUE"""),"not available")</f>
        <v>not available</v>
      </c>
      <c r="K148" s="697" t="str">
        <f>IFERROR(__xludf.DUMMYFUNCTION("""COMPUTED_VALUE"""),"not available")</f>
        <v>not available</v>
      </c>
      <c r="L148" s="697">
        <f>IFERROR(__xludf.DUMMYFUNCTION("""COMPUTED_VALUE"""),5.0)</f>
        <v>5</v>
      </c>
      <c r="M148" s="697" t="str">
        <f>IFERROR(__xludf.DUMMYFUNCTION("""COMPUTED_VALUE"""),"not mentioned")</f>
        <v>not mentioned</v>
      </c>
      <c r="N148" s="862" t="str">
        <f>IFERROR(__xludf.DUMMYFUNCTION("""COMPUTED_VALUE"""),"0:5")</f>
        <v>0:5</v>
      </c>
      <c r="O148" s="697" t="str">
        <f>IFERROR(__xludf.DUMMYFUNCTION("""COMPUTED_VALUE"""),"male carriers")</f>
        <v>male carriers</v>
      </c>
      <c r="P148" s="697" t="str">
        <f>IFERROR(__xludf.DUMMYFUNCTION("""COMPUTED_VALUE"""),"randomized")</f>
        <v>randomized</v>
      </c>
      <c r="Q148" s="697" t="str">
        <f>IFERROR(__xludf.DUMMYFUNCTION("""COMPUTED_VALUE"""),"No")</f>
        <v>No</v>
      </c>
      <c r="R148" s="697" t="str">
        <f>IFERROR(__xludf.DUMMYFUNCTION("""COMPUTED_VALUE"""),"Yes")</f>
        <v>Yes</v>
      </c>
      <c r="S148" s="697" t="str">
        <f>IFERROR(__xludf.DUMMYFUNCTION("""COMPUTED_VALUE"""),"96 hours")</f>
        <v>96 hours</v>
      </c>
      <c r="T148" s="697" t="str">
        <f>IFERROR(__xludf.DUMMYFUNCTION("""COMPUTED_VALUE"""),"The results showed that 1) DEC alone or combined with ivermectin induced a rapid clearance of mf after drug intake; at H 1/2, the number of circulating microfilariae was reduced to 16%, 8%, 28%, and 31%, respectively, of pretreatment values in the groups "&amp;"receiving ivermectin plus DEC (400 p.g/kg plus 1 mg/kg, 400 p.g/kg plus 3 mg/kg, and 400 p.g/kg plus 6 mg/kg) and DEC (6 mg/kg) alone; 2) ivermectim alone induced a rapid increase of mf densities during the first 2 hr, followed by a sharp decrease from H4"&amp;" to H96; and 3) between H8 and H96, mf clearance was almost complete with the combination of ivermectim and DEC")</f>
        <v>The results showed that 1) DEC alone or combined with ivermectin induced a rapid clearance of mf after drug intake; at H 1/2, the number of circulating microfilariae was reduced to 16%, 8%, 28%, and 31%, respectively, of pretreatment values in the groups receiving ivermectin plus DEC (400 p.g/kg plus 1 mg/kg, 400 p.g/kg plus 3 mg/kg, and 400 p.g/kg plus 6 mg/kg) and DEC (6 mg/kg) alone; 2) ivermectim alone induced a rapid increase of mf densities during the first 2 hr, followed by a sharp decrease from H4 to H96; and 3) between H8 and H96, mf clearance was almost complete with the combination of ivermectim and DEC</v>
      </c>
      <c r="U148" s="697"/>
      <c r="V148" s="697">
        <f>IFERROR(__xludf.DUMMYFUNCTION("""COMPUTED_VALUE"""),1994.0)</f>
        <v>1994</v>
      </c>
      <c r="W148" s="697">
        <f>IFERROR(__xludf.DUMMYFUNCTION("""COMPUTED_VALUE"""),1994.0)</f>
        <v>1994</v>
      </c>
      <c r="X148" s="697" t="str">
        <f>IFERROR(__xludf.DUMMYFUNCTION("""COMPUTED_VALUE"""),"Moulia-Pelat, Jean-Paul, et al. ""Ivermectin plus diethylcarbamazine: an additive effect on early microfilarial clearance."" The American journal of tropical medicine and hygiene 50.2 (1994): 206-209.")</f>
        <v>Moulia-Pelat, Jean-Paul, et al. "Ivermectin plus diethylcarbamazine: an additive effect on early microfilarial clearance." The American journal of tropical medicine and hygiene 50.2 (1994): 206-209.</v>
      </c>
      <c r="Y148" s="697" t="str">
        <f>IFERROR(__xludf.DUMMYFUNCTION("""COMPUTED_VALUE"""),"10.1016/j.actatropica.2010.09.009.")</f>
        <v>10.1016/j.actatropica.2010.09.009.</v>
      </c>
      <c r="Z148" s="865" t="str">
        <f>IFERROR(__xludf.DUMMYFUNCTION("""COMPUTED_VALUE"""),"https://drive.google.com/file/d/0B0qKRmtVkPtWMmszREhFbkloWm8/view?usp=sharing")</f>
        <v>https://drive.google.com/file/d/0B0qKRmtVkPtWMmszREhFbkloWm8/view?usp=sharing</v>
      </c>
      <c r="AA148" s="697" t="str">
        <f>IFERROR(__xludf.DUMMYFUNCTION("""COMPUTED_VALUE"""),"x")</f>
        <v>x</v>
      </c>
    </row>
    <row r="149">
      <c r="A149" s="697" t="str">
        <f>IFERROR(__xludf.DUMMYFUNCTION("""COMPUTED_VALUE"""),"Moulia-Pelat 1994")</f>
        <v>Moulia-Pelat 1994</v>
      </c>
      <c r="B149" s="697" t="str">
        <f>IFERROR(__xludf.DUMMYFUNCTION("""COMPUTED_VALUE"""),"Mike")</f>
        <v>Mike</v>
      </c>
      <c r="C149" s="697" t="str">
        <f>IFERROR(__xludf.DUMMYFUNCTION("""COMPUTED_VALUE"""),"Alex")</f>
        <v>Alex</v>
      </c>
      <c r="D149" s="697" t="str">
        <f>IFERROR(__xludf.DUMMYFUNCTION("""COMPUTED_VALUE"""),"French Polynesia")</f>
        <v>French Polynesia</v>
      </c>
      <c r="E149" s="697" t="str">
        <f>IFERROR(__xludf.DUMMYFUNCTION("""COMPUTED_VALUE"""),"W. bancrofti")</f>
        <v>W. bancrofti</v>
      </c>
      <c r="F149" s="697" t="str">
        <f>IFERROR(__xludf.DUMMYFUNCTION("""COMPUTED_VALUE"""),"Ivermectin")</f>
        <v>Ivermectin</v>
      </c>
      <c r="G149" s="697" t="str">
        <f>IFERROR(__xludf.DUMMYFUNCTION("""COMPUTED_VALUE"""),".100 mg/kg")</f>
        <v>.100 mg/kg</v>
      </c>
      <c r="H149" s="697">
        <f>IFERROR(__xludf.DUMMYFUNCTION("""COMPUTED_VALUE"""),1.0)</f>
        <v>1</v>
      </c>
      <c r="I149" s="706">
        <f>IFERROR(__xludf.DUMMYFUNCTION("""COMPUTED_VALUE"""),0.99)</f>
        <v>0.99</v>
      </c>
      <c r="J149" s="697" t="str">
        <f>IFERROR(__xludf.DUMMYFUNCTION("""COMPUTED_VALUE"""),"not available")</f>
        <v>not available</v>
      </c>
      <c r="K149" s="697" t="str">
        <f>IFERROR(__xludf.DUMMYFUNCTION("""COMPUTED_VALUE"""),"not available")</f>
        <v>not available</v>
      </c>
      <c r="L149" s="697">
        <f>IFERROR(__xludf.DUMMYFUNCTION("""COMPUTED_VALUE"""),5.0)</f>
        <v>5</v>
      </c>
      <c r="M149" s="697" t="str">
        <f>IFERROR(__xludf.DUMMYFUNCTION("""COMPUTED_VALUE"""),"not mentioned")</f>
        <v>not mentioned</v>
      </c>
      <c r="N149" s="862" t="str">
        <f>IFERROR(__xludf.DUMMYFUNCTION("""COMPUTED_VALUE"""),"0:5")</f>
        <v>0:5</v>
      </c>
      <c r="O149" s="697" t="str">
        <f>IFERROR(__xludf.DUMMYFUNCTION("""COMPUTED_VALUE"""),"male carriers")</f>
        <v>male carriers</v>
      </c>
      <c r="P149" s="697" t="str">
        <f>IFERROR(__xludf.DUMMYFUNCTION("""COMPUTED_VALUE"""),"randomized")</f>
        <v>randomized</v>
      </c>
      <c r="Q149" s="697" t="str">
        <f>IFERROR(__xludf.DUMMYFUNCTION("""COMPUTED_VALUE"""),"No")</f>
        <v>No</v>
      </c>
      <c r="R149" s="697" t="str">
        <f>IFERROR(__xludf.DUMMYFUNCTION("""COMPUTED_VALUE"""),"Yes")</f>
        <v>Yes</v>
      </c>
      <c r="S149" s="697" t="str">
        <f>IFERROR(__xludf.DUMMYFUNCTION("""COMPUTED_VALUE"""),"96 hours")</f>
        <v>96 hours</v>
      </c>
      <c r="T149" s="697" t="str">
        <f>IFERROR(__xludf.DUMMYFUNCTION("""COMPUTED_VALUE"""),"The results showed that 1) DEC alone or combined with ivermectin induced a rapid clearance of mf after drug intake; at H 1/2, the number of circulating microfilariae was reduced to 16%, 8%, 28%, and 31%, respectively, of pretreatment values in the groups "&amp;"receiving ivermectin plus DEC (400 p.g/kg plus 1 mg/kg, 400 p.g/kg plus 3 mg/kg, and 400 p.g/kg plus 6 mg/kg) and DEC (6 mg/kg) alone; 2) ivermectim alone induced a rapid increase of mf densities during the first 2 hr, followed by a sharp decrease from H4"&amp;" to H96; and 3) between H8 and H96, mf clearance was almost complete with the combination of ivermectim and DEC")</f>
        <v>The results showed that 1) DEC alone or combined with ivermectin induced a rapid clearance of mf after drug intake; at H 1/2, the number of circulating microfilariae was reduced to 16%, 8%, 28%, and 31%, respectively, of pretreatment values in the groups receiving ivermectin plus DEC (400 p.g/kg plus 1 mg/kg, 400 p.g/kg plus 3 mg/kg, and 400 p.g/kg plus 6 mg/kg) and DEC (6 mg/kg) alone; 2) ivermectim alone induced a rapid increase of mf densities during the first 2 hr, followed by a sharp decrease from H4 to H96; and 3) between H8 and H96, mf clearance was almost complete with the combination of ivermectim and DEC</v>
      </c>
      <c r="U149" s="697"/>
      <c r="V149" s="697">
        <f>IFERROR(__xludf.DUMMYFUNCTION("""COMPUTED_VALUE"""),1994.0)</f>
        <v>1994</v>
      </c>
      <c r="W149" s="697">
        <f>IFERROR(__xludf.DUMMYFUNCTION("""COMPUTED_VALUE"""),1994.0)</f>
        <v>1994</v>
      </c>
      <c r="X149" s="697" t="str">
        <f>IFERROR(__xludf.DUMMYFUNCTION("""COMPUTED_VALUE"""),"Moulia-Pelat, Jean-Paul, et al. ""Ivermectin plus diethylcarbamazine: an additive effect on early microfilarial clearance."" The American journal of tropical medicine and hygiene 50.2 (1994): 206-209.")</f>
        <v>Moulia-Pelat, Jean-Paul, et al. "Ivermectin plus diethylcarbamazine: an additive effect on early microfilarial clearance." The American journal of tropical medicine and hygiene 50.2 (1994): 206-209.</v>
      </c>
      <c r="Y149" s="697" t="str">
        <f>IFERROR(__xludf.DUMMYFUNCTION("""COMPUTED_VALUE"""),"10.1016/j.actatropica.2010.09.009.")</f>
        <v>10.1016/j.actatropica.2010.09.009.</v>
      </c>
      <c r="Z149" s="865" t="str">
        <f>IFERROR(__xludf.DUMMYFUNCTION("""COMPUTED_VALUE"""),"https://drive.google.com/file/d/0B0qKRmtVkPtWMmszREhFbkloWm8/view?usp=sharing")</f>
        <v>https://drive.google.com/file/d/0B0qKRmtVkPtWMmszREhFbkloWm8/view?usp=sharing</v>
      </c>
      <c r="AA149" s="697" t="str">
        <f>IFERROR(__xludf.DUMMYFUNCTION("""COMPUTED_VALUE"""),"x")</f>
        <v>x</v>
      </c>
    </row>
    <row r="150">
      <c r="A150" s="697" t="str">
        <f>IFERROR(__xludf.DUMMYFUNCTION("""COMPUTED_VALUE"""),"Glaziou 1994")</f>
        <v>Glaziou 1994</v>
      </c>
      <c r="B150" s="697" t="str">
        <f>IFERROR(__xludf.DUMMYFUNCTION("""COMPUTED_VALUE"""),"Mike")</f>
        <v>Mike</v>
      </c>
      <c r="C150" s="697" t="str">
        <f>IFERROR(__xludf.DUMMYFUNCTION("""COMPUTED_VALUE"""),"Alex")</f>
        <v>Alex</v>
      </c>
      <c r="D150" s="697" t="str">
        <f>IFERROR(__xludf.DUMMYFUNCTION("""COMPUTED_VALUE"""),"French Polynesia")</f>
        <v>French Polynesia</v>
      </c>
      <c r="E150" s="697" t="str">
        <f>IFERROR(__xludf.DUMMYFUNCTION("""COMPUTED_VALUE"""),"W. bancrofti")</f>
        <v>W. bancrofti</v>
      </c>
      <c r="F150" s="697" t="str">
        <f>IFERROR(__xludf.DUMMYFUNCTION("""COMPUTED_VALUE"""),"DEC &amp; Ivermectin")</f>
        <v>DEC &amp; Ivermectin</v>
      </c>
      <c r="G150" s="697" t="str">
        <f>IFERROR(__xludf.DUMMYFUNCTION("""COMPUTED_VALUE"""),"6mg/kg + 400µg/kg")</f>
        <v>6mg/kg + 400µg/kg</v>
      </c>
      <c r="H150" s="697">
        <f>IFERROR(__xludf.DUMMYFUNCTION("""COMPUTED_VALUE"""),1.0)</f>
        <v>1</v>
      </c>
      <c r="I150" s="706">
        <f>IFERROR(__xludf.DUMMYFUNCTION("""COMPUTED_VALUE"""),0.993)</f>
        <v>0.993</v>
      </c>
      <c r="J150" s="697" t="str">
        <f>IFERROR(__xludf.DUMMYFUNCTION("""COMPUTED_VALUE"""),"not available")</f>
        <v>not available</v>
      </c>
      <c r="K150" s="697" t="str">
        <f>IFERROR(__xludf.DUMMYFUNCTION("""COMPUTED_VALUE"""),"not available")</f>
        <v>not available</v>
      </c>
      <c r="L150" s="697">
        <f>IFERROR(__xludf.DUMMYFUNCTION("""COMPUTED_VALUE"""),19.0)</f>
        <v>19</v>
      </c>
      <c r="M150" s="10" t="str">
        <f>IFERROR(__xludf.DUMMYFUNCTION("""COMPUTED_VALUE"""),"19-69")</f>
        <v>19-69</v>
      </c>
      <c r="N150" s="862" t="str">
        <f>IFERROR(__xludf.DUMMYFUNCTION("""COMPUTED_VALUE"""),"0 : 19")</f>
        <v>0 : 19</v>
      </c>
      <c r="O150" s="697" t="str">
        <f>IFERROR(__xludf.DUMMYFUNCTION("""COMPUTED_VALUE"""),"The main criteria for exclusion were allergies or drug intolerance, renal or hepatic diseases, and intake of antililarial drugs during the preceding 2 years.")</f>
        <v>The main criteria for exclusion were allergies or drug intolerance, renal or hepatic diseases, and intake of antililarial drugs during the preceding 2 years.</v>
      </c>
      <c r="P150" s="697" t="str">
        <f>IFERROR(__xludf.DUMMYFUNCTION("""COMPUTED_VALUE"""),"double-blinded RCT")</f>
        <v>double-blinded RCT</v>
      </c>
      <c r="Q150" s="697" t="str">
        <f>IFERROR(__xludf.DUMMYFUNCTION("""COMPUTED_VALUE"""),"yes")</f>
        <v>yes</v>
      </c>
      <c r="R150" s="697" t="str">
        <f>IFERROR(__xludf.DUMMYFUNCTION("""COMPUTED_VALUE"""),"yes")</f>
        <v>yes</v>
      </c>
      <c r="S150" s="697" t="str">
        <f>IFERROR(__xludf.DUMMYFUNCTION("""COMPUTED_VALUE"""),"1 day")</f>
        <v>1 day</v>
      </c>
      <c r="T150" s="697" t="str">
        <f>IFERROR(__xludf.DUMMYFUNCTION("""COMPUTED_VALUE"""),"respectively, significantly lower in the IVR+DEC group than in both the IVR and DEC comparison groups. The combination IVR+DEC showed promise in term of sustained mf decrease, and could be an effective alternative for lymphatic filariasis control programm"&amp;"e")</f>
        <v>respectively, significantly lower in the IVR+DEC group than in both the IVR and DEC comparison groups. The combination IVR+DEC showed promise in term of sustained mf decrease, and could be an effective alternative for lymphatic filariasis control programme</v>
      </c>
      <c r="U150" s="697" t="str">
        <f>IFERROR(__xludf.DUMMYFUNCTION("""COMPUTED_VALUE"""),"noted cure rates were recorded 6 months after")</f>
        <v>noted cure rates were recorded 6 months after</v>
      </c>
      <c r="V150" s="697">
        <f>IFERROR(__xludf.DUMMYFUNCTION("""COMPUTED_VALUE"""),1994.0)</f>
        <v>1994</v>
      </c>
      <c r="W150" s="697">
        <f>IFERROR(__xludf.DUMMYFUNCTION("""COMPUTED_VALUE"""),1994.0)</f>
        <v>1994</v>
      </c>
      <c r="X150" s="697" t="str">
        <f>IFERROR(__xludf.DUMMYFUNCTION("""COMPUTED_VALUE"""),"Glaziou, P., et al. ""Double-blind controlled trial of a single dose of the combination ivermectin 400 μg/kg plus diethylcarbamazine 6 mg/kg for the treatment of bancroftian filariasis: results at six months."" Transactions of the Royal Society of Tropica"&amp;"l Medicine and Hygiene 88.6 (1994): 707-708.")</f>
        <v>Glaziou, P., et al. "Double-blind controlled trial of a single dose of the combination ivermectin 400 μg/kg plus diethylcarbamazine 6 mg/kg for the treatment of bancroftian filariasis: results at six months." Transactions of the Royal Society of Tropical Medicine and Hygiene 88.6 (1994): 707-708.</v>
      </c>
      <c r="Y150" s="699" t="str">
        <f>IFERROR(__xludf.DUMMYFUNCTION("""COMPUTED_VALUE"""),"http://dx.doi.org/10.1016/0035-9203(94)90241-0")</f>
        <v>http://dx.doi.org/10.1016/0035-9203(94)90241-0</v>
      </c>
      <c r="Z150" s="865" t="str">
        <f>IFERROR(__xludf.DUMMYFUNCTION("""COMPUTED_VALUE"""),"https://drive.google.com/file/d/0B0qKRmtVkPtWRV9FbnMyUXdCdEk/view?usp=sharing")</f>
        <v>https://drive.google.com/file/d/0B0qKRmtVkPtWRV9FbnMyUXdCdEk/view?usp=sharing</v>
      </c>
      <c r="AA150" s="697"/>
    </row>
    <row r="151">
      <c r="A151" s="697" t="str">
        <f>IFERROR(__xludf.DUMMYFUNCTION("""COMPUTED_VALUE"""),"Glaziou 1994")</f>
        <v>Glaziou 1994</v>
      </c>
      <c r="B151" s="697" t="str">
        <f>IFERROR(__xludf.DUMMYFUNCTION("""COMPUTED_VALUE"""),"Mike")</f>
        <v>Mike</v>
      </c>
      <c r="C151" s="697" t="str">
        <f>IFERROR(__xludf.DUMMYFUNCTION("""COMPUTED_VALUE"""),"Alex")</f>
        <v>Alex</v>
      </c>
      <c r="D151" s="697" t="str">
        <f>IFERROR(__xludf.DUMMYFUNCTION("""COMPUTED_VALUE"""),"French Polynesia")</f>
        <v>French Polynesia</v>
      </c>
      <c r="E151" s="697" t="str">
        <f>IFERROR(__xludf.DUMMYFUNCTION("""COMPUTED_VALUE"""),"W. bancrofti")</f>
        <v>W. bancrofti</v>
      </c>
      <c r="F151" s="697" t="str">
        <f>IFERROR(__xludf.DUMMYFUNCTION("""COMPUTED_VALUE"""),"DEC &amp; Ivermectin")</f>
        <v>DEC &amp; Ivermectin</v>
      </c>
      <c r="G151" s="697" t="str">
        <f>IFERROR(__xludf.DUMMYFUNCTION("""COMPUTED_VALUE"""),"6mg/kg + 400µg/kg")</f>
        <v>6mg/kg + 400µg/kg</v>
      </c>
      <c r="H151" s="697">
        <f>IFERROR(__xludf.DUMMYFUNCTION("""COMPUTED_VALUE"""),1.0)</f>
        <v>1</v>
      </c>
      <c r="I151" s="706">
        <f>IFERROR(__xludf.DUMMYFUNCTION("""COMPUTED_VALUE"""),0.992)</f>
        <v>0.992</v>
      </c>
      <c r="J151" s="697" t="str">
        <f>IFERROR(__xludf.DUMMYFUNCTION("""COMPUTED_VALUE"""),"not available")</f>
        <v>not available</v>
      </c>
      <c r="K151" s="697" t="str">
        <f>IFERROR(__xludf.DUMMYFUNCTION("""COMPUTED_VALUE"""),"not available")</f>
        <v>not available</v>
      </c>
      <c r="L151" s="697">
        <f>IFERROR(__xludf.DUMMYFUNCTION("""COMPUTED_VALUE"""),19.0)</f>
        <v>19</v>
      </c>
      <c r="M151" s="10" t="str">
        <f>IFERROR(__xludf.DUMMYFUNCTION("""COMPUTED_VALUE"""),"19-69")</f>
        <v>19-69</v>
      </c>
      <c r="N151" s="862" t="str">
        <f>IFERROR(__xludf.DUMMYFUNCTION("""COMPUTED_VALUE"""),"0 : 19")</f>
        <v>0 : 19</v>
      </c>
      <c r="O151" s="697" t="str">
        <f>IFERROR(__xludf.DUMMYFUNCTION("""COMPUTED_VALUE"""),"The main criteria for exclusion were allergies or drug intolerance, renal or hepatic diseases, and intake of antililarial drugs during the preceding 2 years.")</f>
        <v>The main criteria for exclusion were allergies or drug intolerance, renal or hepatic diseases, and intake of antililarial drugs during the preceding 2 years.</v>
      </c>
      <c r="P151" s="697" t="str">
        <f>IFERROR(__xludf.DUMMYFUNCTION("""COMPUTED_VALUE"""),"double-blinded RCT")</f>
        <v>double-blinded RCT</v>
      </c>
      <c r="Q151" s="697" t="str">
        <f>IFERROR(__xludf.DUMMYFUNCTION("""COMPUTED_VALUE"""),"yes")</f>
        <v>yes</v>
      </c>
      <c r="R151" s="697" t="str">
        <f>IFERROR(__xludf.DUMMYFUNCTION("""COMPUTED_VALUE"""),"yes")</f>
        <v>yes</v>
      </c>
      <c r="S151" s="697" t="str">
        <f>IFERROR(__xludf.DUMMYFUNCTION("""COMPUTED_VALUE"""),"30 days")</f>
        <v>30 days</v>
      </c>
      <c r="T151" s="697" t="str">
        <f>IFERROR(__xludf.DUMMYFUNCTION("""COMPUTED_VALUE"""),"respectively, significantly lower in the IVR+DEC group than in both the IVR and DEC comparison groups. The combination IVR+DEC showed promise in term of sustained mf decrease, and could be an effective alternative for lymphatic filariasis control programm"&amp;"e")</f>
        <v>respectively, significantly lower in the IVR+DEC group than in both the IVR and DEC comparison groups. The combination IVR+DEC showed promise in term of sustained mf decrease, and could be an effective alternative for lymphatic filariasis control programme</v>
      </c>
      <c r="U151" s="697" t="str">
        <f>IFERROR(__xludf.DUMMYFUNCTION("""COMPUTED_VALUE"""),"noted cure rates were recorded 6 months after")</f>
        <v>noted cure rates were recorded 6 months after</v>
      </c>
      <c r="V151" s="697">
        <f>IFERROR(__xludf.DUMMYFUNCTION("""COMPUTED_VALUE"""),1994.0)</f>
        <v>1994</v>
      </c>
      <c r="W151" s="697">
        <f>IFERROR(__xludf.DUMMYFUNCTION("""COMPUTED_VALUE"""),1994.0)</f>
        <v>1994</v>
      </c>
      <c r="X151" s="697" t="str">
        <f>IFERROR(__xludf.DUMMYFUNCTION("""COMPUTED_VALUE"""),"Glaziou, P., et al. ""Double-blind controlled trial of a single dose of the combination ivermectin 400 μg/kg plus diethylcarbamazine 6 mg/kg for the treatment of bancroftian filariasis: results at six months."" Transactions of the Royal Society of Tropica"&amp;"l Medicine and Hygiene 88.6 (1994): 707-708.")</f>
        <v>Glaziou, P., et al. "Double-blind controlled trial of a single dose of the combination ivermectin 400 μg/kg plus diethylcarbamazine 6 mg/kg for the treatment of bancroftian filariasis: results at six months." Transactions of the Royal Society of Tropical Medicine and Hygiene 88.6 (1994): 707-708.</v>
      </c>
      <c r="Y151" s="699" t="str">
        <f>IFERROR(__xludf.DUMMYFUNCTION("""COMPUTED_VALUE"""),"http://dx.doi.org/10.1016/0035-9203(94)90241-1")</f>
        <v>http://dx.doi.org/10.1016/0035-9203(94)90241-1</v>
      </c>
      <c r="Z151" s="865" t="str">
        <f>IFERROR(__xludf.DUMMYFUNCTION("""COMPUTED_VALUE"""),"https://drive.google.com/file/d/0B0qKRmtVkPtWRV9FbnMyUXdCdEk/view?usp=sharing")</f>
        <v>https://drive.google.com/file/d/0B0qKRmtVkPtWRV9FbnMyUXdCdEk/view?usp=sharing</v>
      </c>
      <c r="AA151" s="697"/>
    </row>
    <row r="152">
      <c r="A152" s="697" t="str">
        <f>IFERROR(__xludf.DUMMYFUNCTION("""COMPUTED_VALUE"""),"Glaziou 1994")</f>
        <v>Glaziou 1994</v>
      </c>
      <c r="B152" s="697" t="str">
        <f>IFERROR(__xludf.DUMMYFUNCTION("""COMPUTED_VALUE"""),"Mike")</f>
        <v>Mike</v>
      </c>
      <c r="C152" s="697" t="str">
        <f>IFERROR(__xludf.DUMMYFUNCTION("""COMPUTED_VALUE"""),"Alex")</f>
        <v>Alex</v>
      </c>
      <c r="D152" s="697" t="str">
        <f>IFERROR(__xludf.DUMMYFUNCTION("""COMPUTED_VALUE"""),"French Polynesia")</f>
        <v>French Polynesia</v>
      </c>
      <c r="E152" s="697" t="str">
        <f>IFERROR(__xludf.DUMMYFUNCTION("""COMPUTED_VALUE"""),"W. bancrofti")</f>
        <v>W. bancrofti</v>
      </c>
      <c r="F152" s="697" t="str">
        <f>IFERROR(__xludf.DUMMYFUNCTION("""COMPUTED_VALUE"""),"DEC &amp; Ivermectin")</f>
        <v>DEC &amp; Ivermectin</v>
      </c>
      <c r="G152" s="697" t="str">
        <f>IFERROR(__xludf.DUMMYFUNCTION("""COMPUTED_VALUE"""),"6mg/kg + 400µg/kg")</f>
        <v>6mg/kg + 400µg/kg</v>
      </c>
      <c r="H152" s="697">
        <f>IFERROR(__xludf.DUMMYFUNCTION("""COMPUTED_VALUE"""),1.0)</f>
        <v>1</v>
      </c>
      <c r="I152" s="706">
        <f>IFERROR(__xludf.DUMMYFUNCTION("""COMPUTED_VALUE"""),0.987)</f>
        <v>0.987</v>
      </c>
      <c r="J152" s="697" t="str">
        <f>IFERROR(__xludf.DUMMYFUNCTION("""COMPUTED_VALUE"""),"not available")</f>
        <v>not available</v>
      </c>
      <c r="K152" s="697" t="str">
        <f>IFERROR(__xludf.DUMMYFUNCTION("""COMPUTED_VALUE"""),"not available")</f>
        <v>not available</v>
      </c>
      <c r="L152" s="697">
        <f>IFERROR(__xludf.DUMMYFUNCTION("""COMPUTED_VALUE"""),19.0)</f>
        <v>19</v>
      </c>
      <c r="M152" s="10" t="str">
        <f>IFERROR(__xludf.DUMMYFUNCTION("""COMPUTED_VALUE"""),"19-69")</f>
        <v>19-69</v>
      </c>
      <c r="N152" s="862" t="str">
        <f>IFERROR(__xludf.DUMMYFUNCTION("""COMPUTED_VALUE"""),"0 : 19")</f>
        <v>0 : 19</v>
      </c>
      <c r="O152" s="697" t="str">
        <f>IFERROR(__xludf.DUMMYFUNCTION("""COMPUTED_VALUE"""),"The main criteria for exclusion were allergies or drug intolerance, renal or hepatic diseases, and intake of antililarial drugs during the preceding 2 years.")</f>
        <v>The main criteria for exclusion were allergies or drug intolerance, renal or hepatic diseases, and intake of antililarial drugs during the preceding 2 years.</v>
      </c>
      <c r="P152" s="697" t="str">
        <f>IFERROR(__xludf.DUMMYFUNCTION("""COMPUTED_VALUE"""),"double-blinded RCT")</f>
        <v>double-blinded RCT</v>
      </c>
      <c r="Q152" s="697" t="str">
        <f>IFERROR(__xludf.DUMMYFUNCTION("""COMPUTED_VALUE"""),"yes")</f>
        <v>yes</v>
      </c>
      <c r="R152" s="697" t="str">
        <f>IFERROR(__xludf.DUMMYFUNCTION("""COMPUTED_VALUE"""),"yes")</f>
        <v>yes</v>
      </c>
      <c r="S152" s="697" t="str">
        <f>IFERROR(__xludf.DUMMYFUNCTION("""COMPUTED_VALUE"""),"90 days")</f>
        <v>90 days</v>
      </c>
      <c r="T152" s="697" t="str">
        <f>IFERROR(__xludf.DUMMYFUNCTION("""COMPUTED_VALUE"""),"respectively, significantly lower in the IVR+DEC group than in both the IVR and DEC comparison groups. The combination IVR+DEC showed promise in term of sustained mf decrease, and could be an effective alternative for lymphatic filariasis control programm"&amp;"e")</f>
        <v>respectively, significantly lower in the IVR+DEC group than in both the IVR and DEC comparison groups. The combination IVR+DEC showed promise in term of sustained mf decrease, and could be an effective alternative for lymphatic filariasis control programme</v>
      </c>
      <c r="U152" s="697" t="str">
        <f>IFERROR(__xludf.DUMMYFUNCTION("""COMPUTED_VALUE"""),"noted cure rates were recorded 6 months after")</f>
        <v>noted cure rates were recorded 6 months after</v>
      </c>
      <c r="V152" s="697">
        <f>IFERROR(__xludf.DUMMYFUNCTION("""COMPUTED_VALUE"""),1994.0)</f>
        <v>1994</v>
      </c>
      <c r="W152" s="697">
        <f>IFERROR(__xludf.DUMMYFUNCTION("""COMPUTED_VALUE"""),1994.0)</f>
        <v>1994</v>
      </c>
      <c r="X152" s="697" t="str">
        <f>IFERROR(__xludf.DUMMYFUNCTION("""COMPUTED_VALUE"""),"Glaziou, P., et al. ""Double-blind controlled trial of a single dose of the combination ivermectin 400 μg/kg plus diethylcarbamazine 6 mg/kg for the treatment of bancroftian filariasis: results at six months."" Transactions of the Royal Society of Tropica"&amp;"l Medicine and Hygiene 88.6 (1994): 707-708.")</f>
        <v>Glaziou, P., et al. "Double-blind controlled trial of a single dose of the combination ivermectin 400 μg/kg plus diethylcarbamazine 6 mg/kg for the treatment of bancroftian filariasis: results at six months." Transactions of the Royal Society of Tropical Medicine and Hygiene 88.6 (1994): 707-708.</v>
      </c>
      <c r="Y152" s="699" t="str">
        <f>IFERROR(__xludf.DUMMYFUNCTION("""COMPUTED_VALUE"""),"http://dx.doi.org/10.1016/0035-9203(94)90241-2")</f>
        <v>http://dx.doi.org/10.1016/0035-9203(94)90241-2</v>
      </c>
      <c r="Z152" s="865" t="str">
        <f>IFERROR(__xludf.DUMMYFUNCTION("""COMPUTED_VALUE"""),"https://drive.google.com/file/d/0B0qKRmtVkPtWRV9FbnMyUXdCdEk/view?usp=sharing")</f>
        <v>https://drive.google.com/file/d/0B0qKRmtVkPtWRV9FbnMyUXdCdEk/view?usp=sharing</v>
      </c>
      <c r="AA152" s="697"/>
    </row>
    <row r="153">
      <c r="A153" s="697" t="str">
        <f>IFERROR(__xludf.DUMMYFUNCTION("""COMPUTED_VALUE"""),"Glaziou 1994")</f>
        <v>Glaziou 1994</v>
      </c>
      <c r="B153" s="697" t="str">
        <f>IFERROR(__xludf.DUMMYFUNCTION("""COMPUTED_VALUE"""),"Mike")</f>
        <v>Mike</v>
      </c>
      <c r="C153" s="697" t="str">
        <f>IFERROR(__xludf.DUMMYFUNCTION("""COMPUTED_VALUE"""),"Alex")</f>
        <v>Alex</v>
      </c>
      <c r="D153" s="697" t="str">
        <f>IFERROR(__xludf.DUMMYFUNCTION("""COMPUTED_VALUE"""),"French Polynesia")</f>
        <v>French Polynesia</v>
      </c>
      <c r="E153" s="697" t="str">
        <f>IFERROR(__xludf.DUMMYFUNCTION("""COMPUTED_VALUE"""),"W. bancrofti")</f>
        <v>W. bancrofti</v>
      </c>
      <c r="F153" s="697" t="str">
        <f>IFERROR(__xludf.DUMMYFUNCTION("""COMPUTED_VALUE"""),"DEC &amp; Ivermectin")</f>
        <v>DEC &amp; Ivermectin</v>
      </c>
      <c r="G153" s="697" t="str">
        <f>IFERROR(__xludf.DUMMYFUNCTION("""COMPUTED_VALUE"""),"6mg/kg + 400µg/kg")</f>
        <v>6mg/kg + 400µg/kg</v>
      </c>
      <c r="H153" s="697">
        <f>IFERROR(__xludf.DUMMYFUNCTION("""COMPUTED_VALUE"""),1.0)</f>
        <v>1</v>
      </c>
      <c r="I153" s="706">
        <f>IFERROR(__xludf.DUMMYFUNCTION("""COMPUTED_VALUE"""),0.99)</f>
        <v>0.99</v>
      </c>
      <c r="J153" s="706">
        <f>IFERROR(__xludf.DUMMYFUNCTION("""COMPUTED_VALUE"""),0.53)</f>
        <v>0.53</v>
      </c>
      <c r="K153" s="697" t="str">
        <f>IFERROR(__xludf.DUMMYFUNCTION("""COMPUTED_VALUE"""),"not available")</f>
        <v>not available</v>
      </c>
      <c r="L153" s="697">
        <f>IFERROR(__xludf.DUMMYFUNCTION("""COMPUTED_VALUE"""),19.0)</f>
        <v>19</v>
      </c>
      <c r="M153" s="10" t="str">
        <f>IFERROR(__xludf.DUMMYFUNCTION("""COMPUTED_VALUE"""),"19-69")</f>
        <v>19-69</v>
      </c>
      <c r="N153" s="862" t="str">
        <f>IFERROR(__xludf.DUMMYFUNCTION("""COMPUTED_VALUE"""),"0 : 19")</f>
        <v>0 : 19</v>
      </c>
      <c r="O153" s="697" t="str">
        <f>IFERROR(__xludf.DUMMYFUNCTION("""COMPUTED_VALUE"""),"The main criteria for exclusion were allergies or drug intolerance, renal or hepatic diseases, and intake of antililarial drugs during the preceding 2 years.")</f>
        <v>The main criteria for exclusion were allergies or drug intolerance, renal or hepatic diseases, and intake of antililarial drugs during the preceding 2 years.</v>
      </c>
      <c r="P153" s="697" t="str">
        <f>IFERROR(__xludf.DUMMYFUNCTION("""COMPUTED_VALUE"""),"double-blinded RCT")</f>
        <v>double-blinded RCT</v>
      </c>
      <c r="Q153" s="697" t="str">
        <f>IFERROR(__xludf.DUMMYFUNCTION("""COMPUTED_VALUE"""),"yes")</f>
        <v>yes</v>
      </c>
      <c r="R153" s="697" t="str">
        <f>IFERROR(__xludf.DUMMYFUNCTION("""COMPUTED_VALUE"""),"yes")</f>
        <v>yes</v>
      </c>
      <c r="S153" s="697" t="str">
        <f>IFERROR(__xludf.DUMMYFUNCTION("""COMPUTED_VALUE"""),"180 days")</f>
        <v>180 days</v>
      </c>
      <c r="T153" s="697" t="str">
        <f>IFERROR(__xludf.DUMMYFUNCTION("""COMPUTED_VALUE"""),"respectively, significantly lower in the IVR+DEC group than in both the IVR and DEC comparison groups. The combination IVR+DEC showed promise in term of sustained mf decrease, and could be an effective alternative for lymphatic filariasis control programm"&amp;"e")</f>
        <v>respectively, significantly lower in the IVR+DEC group than in both the IVR and DEC comparison groups. The combination IVR+DEC showed promise in term of sustained mf decrease, and could be an effective alternative for lymphatic filariasis control programme</v>
      </c>
      <c r="U153" s="697" t="str">
        <f>IFERROR(__xludf.DUMMYFUNCTION("""COMPUTED_VALUE"""),"noted cure rates were recorded 6 months after")</f>
        <v>noted cure rates were recorded 6 months after</v>
      </c>
      <c r="V153" s="697">
        <f>IFERROR(__xludf.DUMMYFUNCTION("""COMPUTED_VALUE"""),1994.0)</f>
        <v>1994</v>
      </c>
      <c r="W153" s="697">
        <f>IFERROR(__xludf.DUMMYFUNCTION("""COMPUTED_VALUE"""),1994.0)</f>
        <v>1994</v>
      </c>
      <c r="X153" s="697" t="str">
        <f>IFERROR(__xludf.DUMMYFUNCTION("""COMPUTED_VALUE"""),"Glaziou, P., et al. ""Double-blind controlled trial of a single dose of the combination ivermectin 400 μg/kg plus diethylcarbamazine 6 mg/kg for the treatment of bancroftian filariasis: results at six months."" Transactions of the Royal Society of Tropica"&amp;"l Medicine and Hygiene 88.6 (1994): 707-708.")</f>
        <v>Glaziou, P., et al. "Double-blind controlled trial of a single dose of the combination ivermectin 400 μg/kg plus diethylcarbamazine 6 mg/kg for the treatment of bancroftian filariasis: results at six months." Transactions of the Royal Society of Tropical Medicine and Hygiene 88.6 (1994): 707-708.</v>
      </c>
      <c r="Y153" s="699" t="str">
        <f>IFERROR(__xludf.DUMMYFUNCTION("""COMPUTED_VALUE"""),"http://dx.doi.org/10.1016/0035-9203(94)90241-3")</f>
        <v>http://dx.doi.org/10.1016/0035-9203(94)90241-3</v>
      </c>
      <c r="Z153" s="865" t="str">
        <f>IFERROR(__xludf.DUMMYFUNCTION("""COMPUTED_VALUE"""),"https://drive.google.com/file/d/0B0qKRmtVkPtWRV9FbnMyUXdCdEk/view?usp=sharing")</f>
        <v>https://drive.google.com/file/d/0B0qKRmtVkPtWRV9FbnMyUXdCdEk/view?usp=sharing</v>
      </c>
      <c r="AA153" s="697"/>
    </row>
    <row r="154">
      <c r="A154" s="697" t="str">
        <f>IFERROR(__xludf.DUMMYFUNCTION("""COMPUTED_VALUE"""),"Glaziou 1994")</f>
        <v>Glaziou 1994</v>
      </c>
      <c r="B154" s="697" t="str">
        <f>IFERROR(__xludf.DUMMYFUNCTION("""COMPUTED_VALUE"""),"Mike")</f>
        <v>Mike</v>
      </c>
      <c r="C154" s="697" t="str">
        <f>IFERROR(__xludf.DUMMYFUNCTION("""COMPUTED_VALUE"""),"Alex")</f>
        <v>Alex</v>
      </c>
      <c r="D154" s="697" t="str">
        <f>IFERROR(__xludf.DUMMYFUNCTION("""COMPUTED_VALUE"""),"French Polynesia")</f>
        <v>French Polynesia</v>
      </c>
      <c r="E154" s="697" t="str">
        <f>IFERROR(__xludf.DUMMYFUNCTION("""COMPUTED_VALUE"""),"W. bancrofti")</f>
        <v>W. bancrofti</v>
      </c>
      <c r="F154" s="697" t="str">
        <f>IFERROR(__xludf.DUMMYFUNCTION("""COMPUTED_VALUE"""),"Ivermectin")</f>
        <v>Ivermectin</v>
      </c>
      <c r="G154" s="697" t="str">
        <f>IFERROR(__xludf.DUMMYFUNCTION("""COMPUTED_VALUE"""),".400mg/kg")</f>
        <v>.400mg/kg</v>
      </c>
      <c r="H154" s="697">
        <f>IFERROR(__xludf.DUMMYFUNCTION("""COMPUTED_VALUE"""),1.0)</f>
        <v>1</v>
      </c>
      <c r="I154" s="706">
        <f>IFERROR(__xludf.DUMMYFUNCTION("""COMPUTED_VALUE"""),0.988)</f>
        <v>0.988</v>
      </c>
      <c r="J154" s="697" t="str">
        <f>IFERROR(__xludf.DUMMYFUNCTION("""COMPUTED_VALUE"""),"not available")</f>
        <v>not available</v>
      </c>
      <c r="K154" s="697" t="str">
        <f>IFERROR(__xludf.DUMMYFUNCTION("""COMPUTED_VALUE"""),"not available")</f>
        <v>not available</v>
      </c>
      <c r="L154" s="697">
        <f>IFERROR(__xludf.DUMMYFUNCTION("""COMPUTED_VALUE"""),19.0)</f>
        <v>19</v>
      </c>
      <c r="M154" s="10" t="str">
        <f>IFERROR(__xludf.DUMMYFUNCTION("""COMPUTED_VALUE"""),"19-69")</f>
        <v>19-69</v>
      </c>
      <c r="N154" s="862" t="str">
        <f>IFERROR(__xludf.DUMMYFUNCTION("""COMPUTED_VALUE"""),"0 : 19")</f>
        <v>0 : 19</v>
      </c>
      <c r="O154" s="697" t="str">
        <f>IFERROR(__xludf.DUMMYFUNCTION("""COMPUTED_VALUE"""),"The main criteria for exclusion were allergies or drug intolerance, renal or hepatic diseases, and intake of antililarial drugs during the preceding 2 years.")</f>
        <v>The main criteria for exclusion were allergies or drug intolerance, renal or hepatic diseases, and intake of antililarial drugs during the preceding 2 years.</v>
      </c>
      <c r="P154" s="697" t="str">
        <f>IFERROR(__xludf.DUMMYFUNCTION("""COMPUTED_VALUE"""),"double-blinded RCT")</f>
        <v>double-blinded RCT</v>
      </c>
      <c r="Q154" s="697" t="str">
        <f>IFERROR(__xludf.DUMMYFUNCTION("""COMPUTED_VALUE"""),"yes")</f>
        <v>yes</v>
      </c>
      <c r="R154" s="697" t="str">
        <f>IFERROR(__xludf.DUMMYFUNCTION("""COMPUTED_VALUE"""),"yes")</f>
        <v>yes</v>
      </c>
      <c r="S154" s="697" t="str">
        <f>IFERROR(__xludf.DUMMYFUNCTION("""COMPUTED_VALUE"""),"1 day")</f>
        <v>1 day</v>
      </c>
      <c r="T154" s="697" t="str">
        <f>IFERROR(__xludf.DUMMYFUNCTION("""COMPUTED_VALUE"""),"respectively, significantly lower in the IVR+DEC group than in both the IVR and DEC comparison groups. The combination IVR+DEC showed promise in term of sustained mf decrease, and could be an effective alternative for lymphatic filariasis control programm"&amp;"e")</f>
        <v>respectively, significantly lower in the IVR+DEC group than in both the IVR and DEC comparison groups. The combination IVR+DEC showed promise in term of sustained mf decrease, and could be an effective alternative for lymphatic filariasis control programme</v>
      </c>
      <c r="U154" s="697" t="str">
        <f>IFERROR(__xludf.DUMMYFUNCTION("""COMPUTED_VALUE"""),"noted cure rates were recorded 6 months after")</f>
        <v>noted cure rates were recorded 6 months after</v>
      </c>
      <c r="V154" s="697">
        <f>IFERROR(__xludf.DUMMYFUNCTION("""COMPUTED_VALUE"""),1994.0)</f>
        <v>1994</v>
      </c>
      <c r="W154" s="697">
        <f>IFERROR(__xludf.DUMMYFUNCTION("""COMPUTED_VALUE"""),1994.0)</f>
        <v>1994</v>
      </c>
      <c r="X154" s="697" t="str">
        <f>IFERROR(__xludf.DUMMYFUNCTION("""COMPUTED_VALUE"""),"Glaziou, P., et al. ""Double-blind controlled trial of a single dose of the combination ivermectin 400 μg/kg plus diethylcarbamazine 6 mg/kg for the treatment of bancroftian filariasis: results at six months."" Transactions of the Royal Society of Tropica"&amp;"l Medicine and Hygiene 88.6 (1994): 707-708.")</f>
        <v>Glaziou, P., et al. "Double-blind controlled trial of a single dose of the combination ivermectin 400 μg/kg plus diethylcarbamazine 6 mg/kg for the treatment of bancroftian filariasis: results at six months." Transactions of the Royal Society of Tropical Medicine and Hygiene 88.6 (1994): 707-708.</v>
      </c>
      <c r="Y154" s="699" t="str">
        <f>IFERROR(__xludf.DUMMYFUNCTION("""COMPUTED_VALUE"""),"http://dx.doi.org/10.1016/0035-9203(94)90241-4")</f>
        <v>http://dx.doi.org/10.1016/0035-9203(94)90241-4</v>
      </c>
      <c r="Z154" s="865" t="str">
        <f>IFERROR(__xludf.DUMMYFUNCTION("""COMPUTED_VALUE"""),"https://drive.google.com/file/d/0B0qKRmtVkPtWRV9FbnMyUXdCdEk/view?usp=sharing")</f>
        <v>https://drive.google.com/file/d/0B0qKRmtVkPtWRV9FbnMyUXdCdEk/view?usp=sharing</v>
      </c>
      <c r="AA154" s="697"/>
    </row>
    <row r="155">
      <c r="A155" s="697" t="str">
        <f>IFERROR(__xludf.DUMMYFUNCTION("""COMPUTED_VALUE"""),"Glaziou 1994")</f>
        <v>Glaziou 1994</v>
      </c>
      <c r="B155" s="697" t="str">
        <f>IFERROR(__xludf.DUMMYFUNCTION("""COMPUTED_VALUE"""),"Mike")</f>
        <v>Mike</v>
      </c>
      <c r="C155" s="697" t="str">
        <f>IFERROR(__xludf.DUMMYFUNCTION("""COMPUTED_VALUE"""),"Alex")</f>
        <v>Alex</v>
      </c>
      <c r="D155" s="697" t="str">
        <f>IFERROR(__xludf.DUMMYFUNCTION("""COMPUTED_VALUE"""),"French Polynesia")</f>
        <v>French Polynesia</v>
      </c>
      <c r="E155" s="697" t="str">
        <f>IFERROR(__xludf.DUMMYFUNCTION("""COMPUTED_VALUE"""),"W. bancrofti")</f>
        <v>W. bancrofti</v>
      </c>
      <c r="F155" s="697" t="str">
        <f>IFERROR(__xludf.DUMMYFUNCTION("""COMPUTED_VALUE"""),"Ivermectin")</f>
        <v>Ivermectin</v>
      </c>
      <c r="G155" s="697" t="str">
        <f>IFERROR(__xludf.DUMMYFUNCTION("""COMPUTED_VALUE"""),".400mg/kg")</f>
        <v>.400mg/kg</v>
      </c>
      <c r="H155" s="697">
        <f>IFERROR(__xludf.DUMMYFUNCTION("""COMPUTED_VALUE"""),1.0)</f>
        <v>1</v>
      </c>
      <c r="I155" s="706">
        <f>IFERROR(__xludf.DUMMYFUNCTION("""COMPUTED_VALUE"""),0.994)</f>
        <v>0.994</v>
      </c>
      <c r="J155" s="697" t="str">
        <f>IFERROR(__xludf.DUMMYFUNCTION("""COMPUTED_VALUE"""),"not available")</f>
        <v>not available</v>
      </c>
      <c r="K155" s="697" t="str">
        <f>IFERROR(__xludf.DUMMYFUNCTION("""COMPUTED_VALUE"""),"not available")</f>
        <v>not available</v>
      </c>
      <c r="L155" s="697">
        <f>IFERROR(__xludf.DUMMYFUNCTION("""COMPUTED_VALUE"""),19.0)</f>
        <v>19</v>
      </c>
      <c r="M155" s="10" t="str">
        <f>IFERROR(__xludf.DUMMYFUNCTION("""COMPUTED_VALUE"""),"19-69")</f>
        <v>19-69</v>
      </c>
      <c r="N155" s="862" t="str">
        <f>IFERROR(__xludf.DUMMYFUNCTION("""COMPUTED_VALUE"""),"0 : 19")</f>
        <v>0 : 19</v>
      </c>
      <c r="O155" s="697" t="str">
        <f>IFERROR(__xludf.DUMMYFUNCTION("""COMPUTED_VALUE"""),"The main criteria for exclusion were allergies or drug intolerance, renal or hepatic diseases, and intake of antililarial drugs during the preceding 2 years.")</f>
        <v>The main criteria for exclusion were allergies or drug intolerance, renal or hepatic diseases, and intake of antililarial drugs during the preceding 2 years.</v>
      </c>
      <c r="P155" s="697" t="str">
        <f>IFERROR(__xludf.DUMMYFUNCTION("""COMPUTED_VALUE"""),"double-blinded RCT")</f>
        <v>double-blinded RCT</v>
      </c>
      <c r="Q155" s="697" t="str">
        <f>IFERROR(__xludf.DUMMYFUNCTION("""COMPUTED_VALUE"""),"yes")</f>
        <v>yes</v>
      </c>
      <c r="R155" s="697" t="str">
        <f>IFERROR(__xludf.DUMMYFUNCTION("""COMPUTED_VALUE"""),"yes")</f>
        <v>yes</v>
      </c>
      <c r="S155" s="697" t="str">
        <f>IFERROR(__xludf.DUMMYFUNCTION("""COMPUTED_VALUE"""),"30 days")</f>
        <v>30 days</v>
      </c>
      <c r="T155" s="697" t="str">
        <f>IFERROR(__xludf.DUMMYFUNCTION("""COMPUTED_VALUE"""),"respectively, significantly lower in the IVR+DEC group than in both the IVR and DEC comparison groups. The combination IVR+DEC showed promise in term of sustained mf decrease, and could be an effective alternative for lymphatic filariasis control programm"&amp;"e")</f>
        <v>respectively, significantly lower in the IVR+DEC group than in both the IVR and DEC comparison groups. The combination IVR+DEC showed promise in term of sustained mf decrease, and could be an effective alternative for lymphatic filariasis control programme</v>
      </c>
      <c r="U155" s="697" t="str">
        <f>IFERROR(__xludf.DUMMYFUNCTION("""COMPUTED_VALUE"""),"noted cure rates were recorded 6 months after")</f>
        <v>noted cure rates were recorded 6 months after</v>
      </c>
      <c r="V155" s="697">
        <f>IFERROR(__xludf.DUMMYFUNCTION("""COMPUTED_VALUE"""),1994.0)</f>
        <v>1994</v>
      </c>
      <c r="W155" s="697">
        <f>IFERROR(__xludf.DUMMYFUNCTION("""COMPUTED_VALUE"""),1994.0)</f>
        <v>1994</v>
      </c>
      <c r="X155" s="697" t="str">
        <f>IFERROR(__xludf.DUMMYFUNCTION("""COMPUTED_VALUE"""),"Glaziou, P., et al. ""Double-blind controlled trial of a single dose of the combination ivermectin 400 μg/kg plus diethylcarbamazine 6 mg/kg for the treatment of bancroftian filariasis: results at six months."" Transactions of the Royal Society of Tropica"&amp;"l Medicine and Hygiene 88.6 (1994): 707-708.")</f>
        <v>Glaziou, P., et al. "Double-blind controlled trial of a single dose of the combination ivermectin 400 μg/kg plus diethylcarbamazine 6 mg/kg for the treatment of bancroftian filariasis: results at six months." Transactions of the Royal Society of Tropical Medicine and Hygiene 88.6 (1994): 707-708.</v>
      </c>
      <c r="Y155" s="699" t="str">
        <f>IFERROR(__xludf.DUMMYFUNCTION("""COMPUTED_VALUE"""),"http://dx.doi.org/10.1016/0035-9203(94)90241-5")</f>
        <v>http://dx.doi.org/10.1016/0035-9203(94)90241-5</v>
      </c>
      <c r="Z155" s="865" t="str">
        <f>IFERROR(__xludf.DUMMYFUNCTION("""COMPUTED_VALUE"""),"https://drive.google.com/file/d/0B0qKRmtVkPtWRV9FbnMyUXdCdEk/view?usp=sharing")</f>
        <v>https://drive.google.com/file/d/0B0qKRmtVkPtWRV9FbnMyUXdCdEk/view?usp=sharing</v>
      </c>
      <c r="AA155" s="697"/>
    </row>
    <row r="156">
      <c r="A156" s="697" t="str">
        <f>IFERROR(__xludf.DUMMYFUNCTION("""COMPUTED_VALUE"""),"Glaziou 1994")</f>
        <v>Glaziou 1994</v>
      </c>
      <c r="B156" s="697" t="str">
        <f>IFERROR(__xludf.DUMMYFUNCTION("""COMPUTED_VALUE"""),"Mike")</f>
        <v>Mike</v>
      </c>
      <c r="C156" s="697" t="str">
        <f>IFERROR(__xludf.DUMMYFUNCTION("""COMPUTED_VALUE"""),"Alex")</f>
        <v>Alex</v>
      </c>
      <c r="D156" s="697" t="str">
        <f>IFERROR(__xludf.DUMMYFUNCTION("""COMPUTED_VALUE"""),"French Polynesia")</f>
        <v>French Polynesia</v>
      </c>
      <c r="E156" s="697" t="str">
        <f>IFERROR(__xludf.DUMMYFUNCTION("""COMPUTED_VALUE"""),"W. bancrofti")</f>
        <v>W. bancrofti</v>
      </c>
      <c r="F156" s="697" t="str">
        <f>IFERROR(__xludf.DUMMYFUNCTION("""COMPUTED_VALUE"""),"Ivermectin")</f>
        <v>Ivermectin</v>
      </c>
      <c r="G156" s="697" t="str">
        <f>IFERROR(__xludf.DUMMYFUNCTION("""COMPUTED_VALUE"""),".400mg/kg")</f>
        <v>.400mg/kg</v>
      </c>
      <c r="H156" s="697">
        <f>IFERROR(__xludf.DUMMYFUNCTION("""COMPUTED_VALUE"""),1.0)</f>
        <v>1</v>
      </c>
      <c r="I156" s="706">
        <f>IFERROR(__xludf.DUMMYFUNCTION("""COMPUTED_VALUE"""),0.977)</f>
        <v>0.977</v>
      </c>
      <c r="J156" s="697" t="str">
        <f>IFERROR(__xludf.DUMMYFUNCTION("""COMPUTED_VALUE"""),"not available")</f>
        <v>not available</v>
      </c>
      <c r="K156" s="697" t="str">
        <f>IFERROR(__xludf.DUMMYFUNCTION("""COMPUTED_VALUE"""),"not available")</f>
        <v>not available</v>
      </c>
      <c r="L156" s="697">
        <f>IFERROR(__xludf.DUMMYFUNCTION("""COMPUTED_VALUE"""),19.0)</f>
        <v>19</v>
      </c>
      <c r="M156" s="10" t="str">
        <f>IFERROR(__xludf.DUMMYFUNCTION("""COMPUTED_VALUE"""),"19-69")</f>
        <v>19-69</v>
      </c>
      <c r="N156" s="862" t="str">
        <f>IFERROR(__xludf.DUMMYFUNCTION("""COMPUTED_VALUE"""),"0 : 19")</f>
        <v>0 : 19</v>
      </c>
      <c r="O156" s="697" t="str">
        <f>IFERROR(__xludf.DUMMYFUNCTION("""COMPUTED_VALUE"""),"The main criteria for exclusion were allergies or drug intolerance, renal or hepatic diseases, and intake of antililarial drugs during the preceding 2 years.")</f>
        <v>The main criteria for exclusion were allergies or drug intolerance, renal or hepatic diseases, and intake of antililarial drugs during the preceding 2 years.</v>
      </c>
      <c r="P156" s="697" t="str">
        <f>IFERROR(__xludf.DUMMYFUNCTION("""COMPUTED_VALUE"""),"double-blinded RCT")</f>
        <v>double-blinded RCT</v>
      </c>
      <c r="Q156" s="697" t="str">
        <f>IFERROR(__xludf.DUMMYFUNCTION("""COMPUTED_VALUE"""),"yes")</f>
        <v>yes</v>
      </c>
      <c r="R156" s="697" t="str">
        <f>IFERROR(__xludf.DUMMYFUNCTION("""COMPUTED_VALUE"""),"yes")</f>
        <v>yes</v>
      </c>
      <c r="S156" s="697" t="str">
        <f>IFERROR(__xludf.DUMMYFUNCTION("""COMPUTED_VALUE"""),"90 days")</f>
        <v>90 days</v>
      </c>
      <c r="T156" s="697" t="str">
        <f>IFERROR(__xludf.DUMMYFUNCTION("""COMPUTED_VALUE"""),"respectively, significantly lower in the IVR+DEC group than in both the IVR and DEC comparison groups. The combination IVR+DEC showed promise in term of sustained mf decrease, and could be an effective alternative for lymphatic filariasis control programm"&amp;"e")</f>
        <v>respectively, significantly lower in the IVR+DEC group than in both the IVR and DEC comparison groups. The combination IVR+DEC showed promise in term of sustained mf decrease, and could be an effective alternative for lymphatic filariasis control programme</v>
      </c>
      <c r="U156" s="697" t="str">
        <f>IFERROR(__xludf.DUMMYFUNCTION("""COMPUTED_VALUE"""),"noted cure rates were recorded 6 months after")</f>
        <v>noted cure rates were recorded 6 months after</v>
      </c>
      <c r="V156" s="697">
        <f>IFERROR(__xludf.DUMMYFUNCTION("""COMPUTED_VALUE"""),1994.0)</f>
        <v>1994</v>
      </c>
      <c r="W156" s="697">
        <f>IFERROR(__xludf.DUMMYFUNCTION("""COMPUTED_VALUE"""),1994.0)</f>
        <v>1994</v>
      </c>
      <c r="X156" s="697" t="str">
        <f>IFERROR(__xludf.DUMMYFUNCTION("""COMPUTED_VALUE"""),"Glaziou, P., et al. ""Double-blind controlled trial of a single dose of the combination ivermectin 400 μg/kg plus diethylcarbamazine 6 mg/kg for the treatment of bancroftian filariasis: results at six months."" Transactions of the Royal Society of Tropica"&amp;"l Medicine and Hygiene 88.6 (1994): 707-708.")</f>
        <v>Glaziou, P., et al. "Double-blind controlled trial of a single dose of the combination ivermectin 400 μg/kg plus diethylcarbamazine 6 mg/kg for the treatment of bancroftian filariasis: results at six months." Transactions of the Royal Society of Tropical Medicine and Hygiene 88.6 (1994): 707-708.</v>
      </c>
      <c r="Y156" s="699" t="str">
        <f>IFERROR(__xludf.DUMMYFUNCTION("""COMPUTED_VALUE"""),"http://dx.doi.org/10.1016/0035-9203(94)90241-6")</f>
        <v>http://dx.doi.org/10.1016/0035-9203(94)90241-6</v>
      </c>
      <c r="Z156" s="865" t="str">
        <f>IFERROR(__xludf.DUMMYFUNCTION("""COMPUTED_VALUE"""),"https://drive.google.com/file/d/0B0qKRmtVkPtWRV9FbnMyUXdCdEk/view?usp=sharing")</f>
        <v>https://drive.google.com/file/d/0B0qKRmtVkPtWRV9FbnMyUXdCdEk/view?usp=sharing</v>
      </c>
      <c r="AA156" s="697"/>
    </row>
    <row r="157">
      <c r="A157" s="697" t="str">
        <f>IFERROR(__xludf.DUMMYFUNCTION("""COMPUTED_VALUE"""),"Glaziou 1994")</f>
        <v>Glaziou 1994</v>
      </c>
      <c r="B157" s="697" t="str">
        <f>IFERROR(__xludf.DUMMYFUNCTION("""COMPUTED_VALUE"""),"Mike")</f>
        <v>Mike</v>
      </c>
      <c r="C157" s="697" t="str">
        <f>IFERROR(__xludf.DUMMYFUNCTION("""COMPUTED_VALUE"""),"Alex")</f>
        <v>Alex</v>
      </c>
      <c r="D157" s="697" t="str">
        <f>IFERROR(__xludf.DUMMYFUNCTION("""COMPUTED_VALUE"""),"French Polynesia")</f>
        <v>French Polynesia</v>
      </c>
      <c r="E157" s="697" t="str">
        <f>IFERROR(__xludf.DUMMYFUNCTION("""COMPUTED_VALUE"""),"W. bancrofti")</f>
        <v>W. bancrofti</v>
      </c>
      <c r="F157" s="697" t="str">
        <f>IFERROR(__xludf.DUMMYFUNCTION("""COMPUTED_VALUE"""),"Ivermectin")</f>
        <v>Ivermectin</v>
      </c>
      <c r="G157" s="697" t="str">
        <f>IFERROR(__xludf.DUMMYFUNCTION("""COMPUTED_VALUE"""),".400mg/kg")</f>
        <v>.400mg/kg</v>
      </c>
      <c r="H157" s="697">
        <f>IFERROR(__xludf.DUMMYFUNCTION("""COMPUTED_VALUE"""),1.0)</f>
        <v>1</v>
      </c>
      <c r="I157" s="706">
        <f>IFERROR(__xludf.DUMMYFUNCTION("""COMPUTED_VALUE"""),0.969)</f>
        <v>0.969</v>
      </c>
      <c r="J157" s="706">
        <f>IFERROR(__xludf.DUMMYFUNCTION("""COMPUTED_VALUE"""),0.32)</f>
        <v>0.32</v>
      </c>
      <c r="K157" s="697" t="str">
        <f>IFERROR(__xludf.DUMMYFUNCTION("""COMPUTED_VALUE"""),"not available")</f>
        <v>not available</v>
      </c>
      <c r="L157" s="697">
        <f>IFERROR(__xludf.DUMMYFUNCTION("""COMPUTED_VALUE"""),19.0)</f>
        <v>19</v>
      </c>
      <c r="M157" s="10" t="str">
        <f>IFERROR(__xludf.DUMMYFUNCTION("""COMPUTED_VALUE"""),"19-69")</f>
        <v>19-69</v>
      </c>
      <c r="N157" s="862" t="str">
        <f>IFERROR(__xludf.DUMMYFUNCTION("""COMPUTED_VALUE"""),"0 : 19")</f>
        <v>0 : 19</v>
      </c>
      <c r="O157" s="697" t="str">
        <f>IFERROR(__xludf.DUMMYFUNCTION("""COMPUTED_VALUE"""),"The main criteria for exclusion were allergies or drug intolerance, renal or hepatic diseases, and intake of antililarial drugs during the preceding 2 years.")</f>
        <v>The main criteria for exclusion were allergies or drug intolerance, renal or hepatic diseases, and intake of antililarial drugs during the preceding 2 years.</v>
      </c>
      <c r="P157" s="697" t="str">
        <f>IFERROR(__xludf.DUMMYFUNCTION("""COMPUTED_VALUE"""),"double-blinded RCT")</f>
        <v>double-blinded RCT</v>
      </c>
      <c r="Q157" s="697" t="str">
        <f>IFERROR(__xludf.DUMMYFUNCTION("""COMPUTED_VALUE"""),"yes")</f>
        <v>yes</v>
      </c>
      <c r="R157" s="697" t="str">
        <f>IFERROR(__xludf.DUMMYFUNCTION("""COMPUTED_VALUE"""),"yes")</f>
        <v>yes</v>
      </c>
      <c r="S157" s="697" t="str">
        <f>IFERROR(__xludf.DUMMYFUNCTION("""COMPUTED_VALUE"""),"180 days")</f>
        <v>180 days</v>
      </c>
      <c r="T157" s="697" t="str">
        <f>IFERROR(__xludf.DUMMYFUNCTION("""COMPUTED_VALUE"""),"respectively, significantly lower in the IVR+DEC group than in both the IVR and DEC comparison groups. The combination IVR+DEC showed promise in term of sustained mf decrease, and could be an effective alternative for lymphatic filariasis control programm"&amp;"e")</f>
        <v>respectively, significantly lower in the IVR+DEC group than in both the IVR and DEC comparison groups. The combination IVR+DEC showed promise in term of sustained mf decrease, and could be an effective alternative for lymphatic filariasis control programme</v>
      </c>
      <c r="U157" s="697" t="str">
        <f>IFERROR(__xludf.DUMMYFUNCTION("""COMPUTED_VALUE"""),"noted cure rates were recorded 6 months after")</f>
        <v>noted cure rates were recorded 6 months after</v>
      </c>
      <c r="V157" s="697">
        <f>IFERROR(__xludf.DUMMYFUNCTION("""COMPUTED_VALUE"""),1994.0)</f>
        <v>1994</v>
      </c>
      <c r="W157" s="697">
        <f>IFERROR(__xludf.DUMMYFUNCTION("""COMPUTED_VALUE"""),1994.0)</f>
        <v>1994</v>
      </c>
      <c r="X157" s="697" t="str">
        <f>IFERROR(__xludf.DUMMYFUNCTION("""COMPUTED_VALUE"""),"Glaziou, P., et al. ""Double-blind controlled trial of a single dose of the combination ivermectin 400 μg/kg plus diethylcarbamazine 6 mg/kg for the treatment of bancroftian filariasis: results at six months."" Transactions of the Royal Society of Tropica"&amp;"l Medicine and Hygiene 88.6 (1994): 707-708.")</f>
        <v>Glaziou, P., et al. "Double-blind controlled trial of a single dose of the combination ivermectin 400 μg/kg plus diethylcarbamazine 6 mg/kg for the treatment of bancroftian filariasis: results at six months." Transactions of the Royal Society of Tropical Medicine and Hygiene 88.6 (1994): 707-708.</v>
      </c>
      <c r="Y157" s="699" t="str">
        <f>IFERROR(__xludf.DUMMYFUNCTION("""COMPUTED_VALUE"""),"http://dx.doi.org/10.1016/0035-9203(94)90241-7")</f>
        <v>http://dx.doi.org/10.1016/0035-9203(94)90241-7</v>
      </c>
      <c r="Z157" s="865" t="str">
        <f>IFERROR(__xludf.DUMMYFUNCTION("""COMPUTED_VALUE"""),"https://drive.google.com/file/d/0B0qKRmtVkPtWRV9FbnMyUXdCdEk/view?usp=sharing")</f>
        <v>https://drive.google.com/file/d/0B0qKRmtVkPtWRV9FbnMyUXdCdEk/view?usp=sharing</v>
      </c>
      <c r="AA157" s="697"/>
    </row>
    <row r="158">
      <c r="A158" s="697" t="str">
        <f>IFERROR(__xludf.DUMMYFUNCTION("""COMPUTED_VALUE"""),"Glaziou 1994")</f>
        <v>Glaziou 1994</v>
      </c>
      <c r="B158" s="697" t="str">
        <f>IFERROR(__xludf.DUMMYFUNCTION("""COMPUTED_VALUE"""),"Mike")</f>
        <v>Mike</v>
      </c>
      <c r="C158" s="697" t="str">
        <f>IFERROR(__xludf.DUMMYFUNCTION("""COMPUTED_VALUE"""),"Alex")</f>
        <v>Alex</v>
      </c>
      <c r="D158" s="697" t="str">
        <f>IFERROR(__xludf.DUMMYFUNCTION("""COMPUTED_VALUE"""),"French Polynesia")</f>
        <v>French Polynesia</v>
      </c>
      <c r="E158" s="697" t="str">
        <f>IFERROR(__xludf.DUMMYFUNCTION("""COMPUTED_VALUE"""),"W. bancrofti")</f>
        <v>W. bancrofti</v>
      </c>
      <c r="F158" s="697" t="str">
        <f>IFERROR(__xludf.DUMMYFUNCTION("""COMPUTED_VALUE"""),"DEC")</f>
        <v>DEC</v>
      </c>
      <c r="G158" s="697" t="str">
        <f>IFERROR(__xludf.DUMMYFUNCTION("""COMPUTED_VALUE"""),"6mg/kg")</f>
        <v>6mg/kg</v>
      </c>
      <c r="H158" s="697">
        <f>IFERROR(__xludf.DUMMYFUNCTION("""COMPUTED_VALUE"""),1.0)</f>
        <v>1</v>
      </c>
      <c r="I158" s="706">
        <f>IFERROR(__xludf.DUMMYFUNCTION("""COMPUTED_VALUE"""),0.936)</f>
        <v>0.936</v>
      </c>
      <c r="J158" s="697" t="str">
        <f>IFERROR(__xludf.DUMMYFUNCTION("""COMPUTED_VALUE"""),"not available")</f>
        <v>not available</v>
      </c>
      <c r="K158" s="697" t="str">
        <f>IFERROR(__xludf.DUMMYFUNCTION("""COMPUTED_VALUE"""),"not available")</f>
        <v>not available</v>
      </c>
      <c r="L158" s="697">
        <f>IFERROR(__xludf.DUMMYFUNCTION("""COMPUTED_VALUE"""),19.0)</f>
        <v>19</v>
      </c>
      <c r="M158" s="10" t="str">
        <f>IFERROR(__xludf.DUMMYFUNCTION("""COMPUTED_VALUE"""),"19-69")</f>
        <v>19-69</v>
      </c>
      <c r="N158" s="862" t="str">
        <f>IFERROR(__xludf.DUMMYFUNCTION("""COMPUTED_VALUE"""),"0 : 19")</f>
        <v>0 : 19</v>
      </c>
      <c r="O158" s="697" t="str">
        <f>IFERROR(__xludf.DUMMYFUNCTION("""COMPUTED_VALUE"""),"The main criteria for exclusion were allergies or drug intolerance, renal or hepatic diseases, and intake of antililarial drugs during the preceding 2 years.")</f>
        <v>The main criteria for exclusion were allergies or drug intolerance, renal or hepatic diseases, and intake of antililarial drugs during the preceding 2 years.</v>
      </c>
      <c r="P158" s="697" t="str">
        <f>IFERROR(__xludf.DUMMYFUNCTION("""COMPUTED_VALUE"""),"double-blinded RCT")</f>
        <v>double-blinded RCT</v>
      </c>
      <c r="Q158" s="697" t="str">
        <f>IFERROR(__xludf.DUMMYFUNCTION("""COMPUTED_VALUE"""),"yes")</f>
        <v>yes</v>
      </c>
      <c r="R158" s="697" t="str">
        <f>IFERROR(__xludf.DUMMYFUNCTION("""COMPUTED_VALUE"""),"yes")</f>
        <v>yes</v>
      </c>
      <c r="S158" s="697" t="str">
        <f>IFERROR(__xludf.DUMMYFUNCTION("""COMPUTED_VALUE"""),"1 day")</f>
        <v>1 day</v>
      </c>
      <c r="T158" s="697" t="str">
        <f>IFERROR(__xludf.DUMMYFUNCTION("""COMPUTED_VALUE"""),"respectively, significantly lower in the IVR+DEC group than in both the IVR and DEC comparison groups. The combination IVR+DEC showed promise in term of sustained mf decrease, and could be an effective alternative for lymphatic filariasis control programm"&amp;"e")</f>
        <v>respectively, significantly lower in the IVR+DEC group than in both the IVR and DEC comparison groups. The combination IVR+DEC showed promise in term of sustained mf decrease, and could be an effective alternative for lymphatic filariasis control programme</v>
      </c>
      <c r="U158" s="697" t="str">
        <f>IFERROR(__xludf.DUMMYFUNCTION("""COMPUTED_VALUE"""),"noted cure rates were recorded 6 months after")</f>
        <v>noted cure rates were recorded 6 months after</v>
      </c>
      <c r="V158" s="697">
        <f>IFERROR(__xludf.DUMMYFUNCTION("""COMPUTED_VALUE"""),1994.0)</f>
        <v>1994</v>
      </c>
      <c r="W158" s="697">
        <f>IFERROR(__xludf.DUMMYFUNCTION("""COMPUTED_VALUE"""),1994.0)</f>
        <v>1994</v>
      </c>
      <c r="X158" s="697" t="str">
        <f>IFERROR(__xludf.DUMMYFUNCTION("""COMPUTED_VALUE"""),"Glaziou, P., et al. ""Double-blind controlled trial of a single dose of the combination ivermectin 400 μg/kg plus diethylcarbamazine 6 mg/kg for the treatment of bancroftian filariasis: results at six months."" Transactions of the Royal Society of Tropica"&amp;"l Medicine and Hygiene 88.6 (1994): 707-708.")</f>
        <v>Glaziou, P., et al. "Double-blind controlled trial of a single dose of the combination ivermectin 400 μg/kg plus diethylcarbamazine 6 mg/kg for the treatment of bancroftian filariasis: results at six months." Transactions of the Royal Society of Tropical Medicine and Hygiene 88.6 (1994): 707-708.</v>
      </c>
      <c r="Y158" s="699" t="str">
        <f>IFERROR(__xludf.DUMMYFUNCTION("""COMPUTED_VALUE"""),"http://dx.doi.org/10.1016/0035-9203(94)90241-8")</f>
        <v>http://dx.doi.org/10.1016/0035-9203(94)90241-8</v>
      </c>
      <c r="Z158" s="865" t="str">
        <f>IFERROR(__xludf.DUMMYFUNCTION("""COMPUTED_VALUE"""),"https://drive.google.com/file/d/0B0qKRmtVkPtWRV9FbnMyUXdCdEk/view?usp=sharing")</f>
        <v>https://drive.google.com/file/d/0B0qKRmtVkPtWRV9FbnMyUXdCdEk/view?usp=sharing</v>
      </c>
      <c r="AA158" s="697"/>
    </row>
    <row r="159">
      <c r="A159" s="697" t="str">
        <f>IFERROR(__xludf.DUMMYFUNCTION("""COMPUTED_VALUE"""),"Glaziou 1994")</f>
        <v>Glaziou 1994</v>
      </c>
      <c r="B159" s="697" t="str">
        <f>IFERROR(__xludf.DUMMYFUNCTION("""COMPUTED_VALUE"""),"Mike")</f>
        <v>Mike</v>
      </c>
      <c r="C159" s="697" t="str">
        <f>IFERROR(__xludf.DUMMYFUNCTION("""COMPUTED_VALUE"""),"Alex")</f>
        <v>Alex</v>
      </c>
      <c r="D159" s="697" t="str">
        <f>IFERROR(__xludf.DUMMYFUNCTION("""COMPUTED_VALUE"""),"French Polynesia")</f>
        <v>French Polynesia</v>
      </c>
      <c r="E159" s="697" t="str">
        <f>IFERROR(__xludf.DUMMYFUNCTION("""COMPUTED_VALUE"""),"W. bancrofti")</f>
        <v>W. bancrofti</v>
      </c>
      <c r="F159" s="697" t="str">
        <f>IFERROR(__xludf.DUMMYFUNCTION("""COMPUTED_VALUE"""),"DEC")</f>
        <v>DEC</v>
      </c>
      <c r="G159" s="697" t="str">
        <f>IFERROR(__xludf.DUMMYFUNCTION("""COMPUTED_VALUE"""),"6mg/kg")</f>
        <v>6mg/kg</v>
      </c>
      <c r="H159" s="697">
        <f>IFERROR(__xludf.DUMMYFUNCTION("""COMPUTED_VALUE"""),1.0)</f>
        <v>1</v>
      </c>
      <c r="I159" s="706">
        <f>IFERROR(__xludf.DUMMYFUNCTION("""COMPUTED_VALUE"""),0.886)</f>
        <v>0.886</v>
      </c>
      <c r="J159" s="697" t="str">
        <f>IFERROR(__xludf.DUMMYFUNCTION("""COMPUTED_VALUE"""),"not available")</f>
        <v>not available</v>
      </c>
      <c r="K159" s="697" t="str">
        <f>IFERROR(__xludf.DUMMYFUNCTION("""COMPUTED_VALUE"""),"not available")</f>
        <v>not available</v>
      </c>
      <c r="L159" s="697">
        <f>IFERROR(__xludf.DUMMYFUNCTION("""COMPUTED_VALUE"""),19.0)</f>
        <v>19</v>
      </c>
      <c r="M159" s="10" t="str">
        <f>IFERROR(__xludf.DUMMYFUNCTION("""COMPUTED_VALUE"""),"19-69")</f>
        <v>19-69</v>
      </c>
      <c r="N159" s="862" t="str">
        <f>IFERROR(__xludf.DUMMYFUNCTION("""COMPUTED_VALUE"""),"0 : 19")</f>
        <v>0 : 19</v>
      </c>
      <c r="O159" s="697" t="str">
        <f>IFERROR(__xludf.DUMMYFUNCTION("""COMPUTED_VALUE"""),"The main criteria for exclusion were allergies or drug intolerance, renal or hepatic diseases, and intake of antililarial drugs during the preceding 2 years.")</f>
        <v>The main criteria for exclusion were allergies or drug intolerance, renal or hepatic diseases, and intake of antililarial drugs during the preceding 2 years.</v>
      </c>
      <c r="P159" s="697" t="str">
        <f>IFERROR(__xludf.DUMMYFUNCTION("""COMPUTED_VALUE"""),"double-blinded RCT")</f>
        <v>double-blinded RCT</v>
      </c>
      <c r="Q159" s="697" t="str">
        <f>IFERROR(__xludf.DUMMYFUNCTION("""COMPUTED_VALUE"""),"yes")</f>
        <v>yes</v>
      </c>
      <c r="R159" s="697" t="str">
        <f>IFERROR(__xludf.DUMMYFUNCTION("""COMPUTED_VALUE"""),"yes")</f>
        <v>yes</v>
      </c>
      <c r="S159" s="697" t="str">
        <f>IFERROR(__xludf.DUMMYFUNCTION("""COMPUTED_VALUE"""),"30 days")</f>
        <v>30 days</v>
      </c>
      <c r="T159" s="697" t="str">
        <f>IFERROR(__xludf.DUMMYFUNCTION("""COMPUTED_VALUE"""),"respectively, significantly lower in the IVR+DEC group than in both the IVR and DEC comparison groups. The combination IVR+DEC showed promise in term of sustained mf decrease, and could be an effective alternative for lymphatic filariasis control programm"&amp;"e")</f>
        <v>respectively, significantly lower in the IVR+DEC group than in both the IVR and DEC comparison groups. The combination IVR+DEC showed promise in term of sustained mf decrease, and could be an effective alternative for lymphatic filariasis control programme</v>
      </c>
      <c r="U159" s="697" t="str">
        <f>IFERROR(__xludf.DUMMYFUNCTION("""COMPUTED_VALUE"""),"noted cure rates were recorded 6 months after")</f>
        <v>noted cure rates were recorded 6 months after</v>
      </c>
      <c r="V159" s="697">
        <f>IFERROR(__xludf.DUMMYFUNCTION("""COMPUTED_VALUE"""),1994.0)</f>
        <v>1994</v>
      </c>
      <c r="W159" s="697">
        <f>IFERROR(__xludf.DUMMYFUNCTION("""COMPUTED_VALUE"""),1994.0)</f>
        <v>1994</v>
      </c>
      <c r="X159" s="697" t="str">
        <f>IFERROR(__xludf.DUMMYFUNCTION("""COMPUTED_VALUE"""),"Glaziou, P., et al. ""Double-blind controlled trial of a single dose of the combination ivermectin 400 μg/kg plus diethylcarbamazine 6 mg/kg for the treatment of bancroftian filariasis: results at six months."" Transactions of the Royal Society of Tropica"&amp;"l Medicine and Hygiene 88.6 (1994): 707-708.")</f>
        <v>Glaziou, P., et al. "Double-blind controlled trial of a single dose of the combination ivermectin 400 μg/kg plus diethylcarbamazine 6 mg/kg for the treatment of bancroftian filariasis: results at six months." Transactions of the Royal Society of Tropical Medicine and Hygiene 88.6 (1994): 707-708.</v>
      </c>
      <c r="Y159" s="699" t="str">
        <f>IFERROR(__xludf.DUMMYFUNCTION("""COMPUTED_VALUE"""),"http://dx.doi.org/10.1016/0035-9203(94)90241-9")</f>
        <v>http://dx.doi.org/10.1016/0035-9203(94)90241-9</v>
      </c>
      <c r="Z159" s="865" t="str">
        <f>IFERROR(__xludf.DUMMYFUNCTION("""COMPUTED_VALUE"""),"https://drive.google.com/file/d/0B0qKRmtVkPtWRV9FbnMyUXdCdEk/view?usp=sharing")</f>
        <v>https://drive.google.com/file/d/0B0qKRmtVkPtWRV9FbnMyUXdCdEk/view?usp=sharing</v>
      </c>
      <c r="AA159" s="697"/>
    </row>
    <row r="160">
      <c r="A160" s="697" t="str">
        <f>IFERROR(__xludf.DUMMYFUNCTION("""COMPUTED_VALUE"""),"Glaziou 1994")</f>
        <v>Glaziou 1994</v>
      </c>
      <c r="B160" s="697" t="str">
        <f>IFERROR(__xludf.DUMMYFUNCTION("""COMPUTED_VALUE"""),"Mike")</f>
        <v>Mike</v>
      </c>
      <c r="C160" s="697" t="str">
        <f>IFERROR(__xludf.DUMMYFUNCTION("""COMPUTED_VALUE"""),"Alex")</f>
        <v>Alex</v>
      </c>
      <c r="D160" s="697" t="str">
        <f>IFERROR(__xludf.DUMMYFUNCTION("""COMPUTED_VALUE"""),"French Polynesia")</f>
        <v>French Polynesia</v>
      </c>
      <c r="E160" s="697" t="str">
        <f>IFERROR(__xludf.DUMMYFUNCTION("""COMPUTED_VALUE"""),"W. bancrofti")</f>
        <v>W. bancrofti</v>
      </c>
      <c r="F160" s="697" t="str">
        <f>IFERROR(__xludf.DUMMYFUNCTION("""COMPUTED_VALUE"""),"DEC")</f>
        <v>DEC</v>
      </c>
      <c r="G160" s="697" t="str">
        <f>IFERROR(__xludf.DUMMYFUNCTION("""COMPUTED_VALUE"""),"6mg/kg")</f>
        <v>6mg/kg</v>
      </c>
      <c r="H160" s="697">
        <f>IFERROR(__xludf.DUMMYFUNCTION("""COMPUTED_VALUE"""),1.0)</f>
        <v>1</v>
      </c>
      <c r="I160" s="706">
        <f>IFERROR(__xludf.DUMMYFUNCTION("""COMPUTED_VALUE"""),0.875)</f>
        <v>0.875</v>
      </c>
      <c r="J160" s="697" t="str">
        <f>IFERROR(__xludf.DUMMYFUNCTION("""COMPUTED_VALUE"""),"not available")</f>
        <v>not available</v>
      </c>
      <c r="K160" s="697" t="str">
        <f>IFERROR(__xludf.DUMMYFUNCTION("""COMPUTED_VALUE"""),"not available")</f>
        <v>not available</v>
      </c>
      <c r="L160" s="697">
        <f>IFERROR(__xludf.DUMMYFUNCTION("""COMPUTED_VALUE"""),19.0)</f>
        <v>19</v>
      </c>
      <c r="M160" s="10" t="str">
        <f>IFERROR(__xludf.DUMMYFUNCTION("""COMPUTED_VALUE"""),"19-69")</f>
        <v>19-69</v>
      </c>
      <c r="N160" s="862" t="str">
        <f>IFERROR(__xludf.DUMMYFUNCTION("""COMPUTED_VALUE"""),"0 : 19")</f>
        <v>0 : 19</v>
      </c>
      <c r="O160" s="697" t="str">
        <f>IFERROR(__xludf.DUMMYFUNCTION("""COMPUTED_VALUE"""),"The main criteria for exclusion were allergies or drug intolerance, renal or hepatic diseases, and intake of antililarial drugs during the preceding 2 years.")</f>
        <v>The main criteria for exclusion were allergies or drug intolerance, renal or hepatic diseases, and intake of antililarial drugs during the preceding 2 years.</v>
      </c>
      <c r="P160" s="697" t="str">
        <f>IFERROR(__xludf.DUMMYFUNCTION("""COMPUTED_VALUE"""),"double-blinded RCT")</f>
        <v>double-blinded RCT</v>
      </c>
      <c r="Q160" s="697" t="str">
        <f>IFERROR(__xludf.DUMMYFUNCTION("""COMPUTED_VALUE"""),"yes")</f>
        <v>yes</v>
      </c>
      <c r="R160" s="697" t="str">
        <f>IFERROR(__xludf.DUMMYFUNCTION("""COMPUTED_VALUE"""),"yes")</f>
        <v>yes</v>
      </c>
      <c r="S160" s="697" t="str">
        <f>IFERROR(__xludf.DUMMYFUNCTION("""COMPUTED_VALUE"""),"90 days")</f>
        <v>90 days</v>
      </c>
      <c r="T160" s="697" t="str">
        <f>IFERROR(__xludf.DUMMYFUNCTION("""COMPUTED_VALUE"""),"respectively, significantly lower in the IVR+DEC group than in both the IVR and DEC comparison groups. The combination IVR+DEC showed promise in term of sustained mf decrease, and could be an effective alternative for lymphatic filariasis control programm"&amp;"e")</f>
        <v>respectively, significantly lower in the IVR+DEC group than in both the IVR and DEC comparison groups. The combination IVR+DEC showed promise in term of sustained mf decrease, and could be an effective alternative for lymphatic filariasis control programme</v>
      </c>
      <c r="U160" s="697" t="str">
        <f>IFERROR(__xludf.DUMMYFUNCTION("""COMPUTED_VALUE"""),"noted cure rates were recorded 6 months after")</f>
        <v>noted cure rates were recorded 6 months after</v>
      </c>
      <c r="V160" s="697">
        <f>IFERROR(__xludf.DUMMYFUNCTION("""COMPUTED_VALUE"""),1994.0)</f>
        <v>1994</v>
      </c>
      <c r="W160" s="697">
        <f>IFERROR(__xludf.DUMMYFUNCTION("""COMPUTED_VALUE"""),1994.0)</f>
        <v>1994</v>
      </c>
      <c r="X160" s="697" t="str">
        <f>IFERROR(__xludf.DUMMYFUNCTION("""COMPUTED_VALUE"""),"Glaziou, P., et al. ""Double-blind controlled trial of a single dose of the combination ivermectin 400 μg/kg plus diethylcarbamazine 6 mg/kg for the treatment of bancroftian filariasis: results at six months."" Transactions of the Royal Society of Tropica"&amp;"l Medicine and Hygiene 88.6 (1994): 707-708.")</f>
        <v>Glaziou, P., et al. "Double-blind controlled trial of a single dose of the combination ivermectin 400 μg/kg plus diethylcarbamazine 6 mg/kg for the treatment of bancroftian filariasis: results at six months." Transactions of the Royal Society of Tropical Medicine and Hygiene 88.6 (1994): 707-708.</v>
      </c>
      <c r="Y160" s="699" t="str">
        <f>IFERROR(__xludf.DUMMYFUNCTION("""COMPUTED_VALUE"""),"http://dx.doi.org/10.1016/0035-9203(94)90241-10")</f>
        <v>http://dx.doi.org/10.1016/0035-9203(94)90241-10</v>
      </c>
      <c r="Z160" s="865" t="str">
        <f>IFERROR(__xludf.DUMMYFUNCTION("""COMPUTED_VALUE"""),"https://drive.google.com/file/d/0B0qKRmtVkPtWRV9FbnMyUXdCdEk/view?usp=sharing")</f>
        <v>https://drive.google.com/file/d/0B0qKRmtVkPtWRV9FbnMyUXdCdEk/view?usp=sharing</v>
      </c>
      <c r="AA160" s="697"/>
    </row>
    <row r="161">
      <c r="A161" s="697" t="str">
        <f>IFERROR(__xludf.DUMMYFUNCTION("""COMPUTED_VALUE"""),"Glaziou 1994")</f>
        <v>Glaziou 1994</v>
      </c>
      <c r="B161" s="697" t="str">
        <f>IFERROR(__xludf.DUMMYFUNCTION("""COMPUTED_VALUE"""),"Mike")</f>
        <v>Mike</v>
      </c>
      <c r="C161" s="697" t="str">
        <f>IFERROR(__xludf.DUMMYFUNCTION("""COMPUTED_VALUE"""),"Alex")</f>
        <v>Alex</v>
      </c>
      <c r="D161" s="697" t="str">
        <f>IFERROR(__xludf.DUMMYFUNCTION("""COMPUTED_VALUE"""),"French Polynesia")</f>
        <v>French Polynesia</v>
      </c>
      <c r="E161" s="697" t="str">
        <f>IFERROR(__xludf.DUMMYFUNCTION("""COMPUTED_VALUE"""),"W. bancrofti")</f>
        <v>W. bancrofti</v>
      </c>
      <c r="F161" s="697" t="str">
        <f>IFERROR(__xludf.DUMMYFUNCTION("""COMPUTED_VALUE"""),"DEC")</f>
        <v>DEC</v>
      </c>
      <c r="G161" s="697" t="str">
        <f>IFERROR(__xludf.DUMMYFUNCTION("""COMPUTED_VALUE"""),"6mg/kg")</f>
        <v>6mg/kg</v>
      </c>
      <c r="H161" s="697">
        <f>IFERROR(__xludf.DUMMYFUNCTION("""COMPUTED_VALUE"""),1.0)</f>
        <v>1</v>
      </c>
      <c r="I161" s="706">
        <f>IFERROR(__xludf.DUMMYFUNCTION("""COMPUTED_VALUE"""),0.937)</f>
        <v>0.937</v>
      </c>
      <c r="J161" s="706">
        <f>IFERROR(__xludf.DUMMYFUNCTION("""COMPUTED_VALUE"""),0.26)</f>
        <v>0.26</v>
      </c>
      <c r="K161" s="697" t="str">
        <f>IFERROR(__xludf.DUMMYFUNCTION("""COMPUTED_VALUE"""),"not available")</f>
        <v>not available</v>
      </c>
      <c r="L161" s="697">
        <f>IFERROR(__xludf.DUMMYFUNCTION("""COMPUTED_VALUE"""),19.0)</f>
        <v>19</v>
      </c>
      <c r="M161" s="10" t="str">
        <f>IFERROR(__xludf.DUMMYFUNCTION("""COMPUTED_VALUE"""),"19-69")</f>
        <v>19-69</v>
      </c>
      <c r="N161" s="862" t="str">
        <f>IFERROR(__xludf.DUMMYFUNCTION("""COMPUTED_VALUE"""),"0 : 19")</f>
        <v>0 : 19</v>
      </c>
      <c r="O161" s="697" t="str">
        <f>IFERROR(__xludf.DUMMYFUNCTION("""COMPUTED_VALUE"""),"The main criteria for exclusion were allergies or drug intolerance, renal or hepatic diseases, and intake of antililarial drugs during the preceding 2 years.")</f>
        <v>The main criteria for exclusion were allergies or drug intolerance, renal or hepatic diseases, and intake of antililarial drugs during the preceding 2 years.</v>
      </c>
      <c r="P161" s="697" t="str">
        <f>IFERROR(__xludf.DUMMYFUNCTION("""COMPUTED_VALUE"""),"double-blinded RCT")</f>
        <v>double-blinded RCT</v>
      </c>
      <c r="Q161" s="697" t="str">
        <f>IFERROR(__xludf.DUMMYFUNCTION("""COMPUTED_VALUE"""),"yes")</f>
        <v>yes</v>
      </c>
      <c r="R161" s="697" t="str">
        <f>IFERROR(__xludf.DUMMYFUNCTION("""COMPUTED_VALUE"""),"yes")</f>
        <v>yes</v>
      </c>
      <c r="S161" s="697" t="str">
        <f>IFERROR(__xludf.DUMMYFUNCTION("""COMPUTED_VALUE"""),"180 days")</f>
        <v>180 days</v>
      </c>
      <c r="T161" s="697" t="str">
        <f>IFERROR(__xludf.DUMMYFUNCTION("""COMPUTED_VALUE"""),"respectively, significantly lower in the IVR+DEC group than in both the IVR and DEC comparison groups. The combination IVR+DEC showed promise in term of sustained mf decrease, and could be an effective alternative for lymphatic filariasis control programm"&amp;"e")</f>
        <v>respectively, significantly lower in the IVR+DEC group than in both the IVR and DEC comparison groups. The combination IVR+DEC showed promise in term of sustained mf decrease, and could be an effective alternative for lymphatic filariasis control programme</v>
      </c>
      <c r="U161" s="697" t="str">
        <f>IFERROR(__xludf.DUMMYFUNCTION("""COMPUTED_VALUE"""),"noted cure rates were recorded 6 months after")</f>
        <v>noted cure rates were recorded 6 months after</v>
      </c>
      <c r="V161" s="697">
        <f>IFERROR(__xludf.DUMMYFUNCTION("""COMPUTED_VALUE"""),1994.0)</f>
        <v>1994</v>
      </c>
      <c r="W161" s="697">
        <f>IFERROR(__xludf.DUMMYFUNCTION("""COMPUTED_VALUE"""),1994.0)</f>
        <v>1994</v>
      </c>
      <c r="X161" s="697" t="str">
        <f>IFERROR(__xludf.DUMMYFUNCTION("""COMPUTED_VALUE"""),"Glaziou, P., et al. ""Double-blind controlled trial of a single dose of the combination ivermectin 400 μg/kg plus diethylcarbamazine 6 mg/kg for the treatment of bancroftian filariasis: results at six months."" Transactions of the Royal Society of Tropica"&amp;"l Medicine and Hygiene 88.6 (1994): 707-708.")</f>
        <v>Glaziou, P., et al. "Double-blind controlled trial of a single dose of the combination ivermectin 400 μg/kg plus diethylcarbamazine 6 mg/kg for the treatment of bancroftian filariasis: results at six months." Transactions of the Royal Society of Tropical Medicine and Hygiene 88.6 (1994): 707-708.</v>
      </c>
      <c r="Y161" s="699" t="str">
        <f>IFERROR(__xludf.DUMMYFUNCTION("""COMPUTED_VALUE"""),"http://dx.doi.org/10.1016/0035-9203(94)90241-11")</f>
        <v>http://dx.doi.org/10.1016/0035-9203(94)90241-11</v>
      </c>
      <c r="Z161" s="865" t="str">
        <f>IFERROR(__xludf.DUMMYFUNCTION("""COMPUTED_VALUE"""),"https://drive.google.com/file/d/0B0qKRmtVkPtWRV9FbnMyUXdCdEk/view?usp=sharing")</f>
        <v>https://drive.google.com/file/d/0B0qKRmtVkPtWRV9FbnMyUXdCdEk/view?usp=sharing</v>
      </c>
      <c r="AA161" s="697"/>
    </row>
    <row r="162">
      <c r="A162" s="697" t="str">
        <f>IFERROR(__xludf.DUMMYFUNCTION("""COMPUTED_VALUE"""),"Gyapong 2000")</f>
        <v>Gyapong 2000</v>
      </c>
      <c r="B162" s="697" t="str">
        <f>IFERROR(__xludf.DUMMYFUNCTION("""COMPUTED_VALUE"""),"Mike")</f>
        <v>Mike</v>
      </c>
      <c r="C162" s="697" t="str">
        <f>IFERROR(__xludf.DUMMYFUNCTION("""COMPUTED_VALUE"""),"Alex")</f>
        <v>Alex</v>
      </c>
      <c r="D162" s="697" t="str">
        <f>IFERROR(__xludf.DUMMYFUNCTION("""COMPUTED_VALUE"""),"Ghana")</f>
        <v>Ghana</v>
      </c>
      <c r="E162" s="697" t="str">
        <f>IFERROR(__xludf.DUMMYFUNCTION("""COMPUTED_VALUE"""),"W. bancrofti")</f>
        <v>W. bancrofti</v>
      </c>
      <c r="F162" s="697" t="str">
        <f>IFERROR(__xludf.DUMMYFUNCTION("""COMPUTED_VALUE"""),"Ivermectin")</f>
        <v>Ivermectin</v>
      </c>
      <c r="G162" s="697" t="str">
        <f>IFERROR(__xludf.DUMMYFUNCTION("""COMPUTED_VALUE"""),".200mg/kg")</f>
        <v>.200mg/kg</v>
      </c>
      <c r="H162" s="697">
        <f>IFERROR(__xludf.DUMMYFUNCTION("""COMPUTED_VALUE"""),1.0)</f>
        <v>1</v>
      </c>
      <c r="I162" s="706">
        <f>IFERROR(__xludf.DUMMYFUNCTION("""COMPUTED_VALUE"""),0.255)</f>
        <v>0.255</v>
      </c>
      <c r="J162" s="697" t="str">
        <f>IFERROR(__xludf.DUMMYFUNCTION("""COMPUTED_VALUE"""),"""reduction in intensity of disease"" : 39.5%")</f>
        <v>"reduction in intensity of disease" : 39.5%</v>
      </c>
      <c r="K162" s="697" t="str">
        <f>IFERROR(__xludf.DUMMYFUNCTION("""COMPUTED_VALUE"""),"not available")</f>
        <v>not available</v>
      </c>
      <c r="L162" s="697">
        <f>IFERROR(__xludf.DUMMYFUNCTION("""COMPUTED_VALUE"""),100.0)</f>
        <v>100</v>
      </c>
      <c r="M162" s="10" t="str">
        <f>IFERROR(__xludf.DUMMYFUNCTION("""COMPUTED_VALUE"""),"""all ages""")</f>
        <v>"all ages"</v>
      </c>
      <c r="N162" s="697" t="str">
        <f>IFERROR(__xludf.DUMMYFUNCTION("""COMPUTED_VALUE"""),"49 : 51")</f>
        <v>49 : 51</v>
      </c>
      <c r="O162" s="697" t="str">
        <f>IFERROR(__xludf.DUMMYFUNCTION("""COMPUTED_VALUE"""),"excluded pregnant women and severely ill persons")</f>
        <v>excluded pregnant women and severely ill persons</v>
      </c>
      <c r="P162" s="697"/>
      <c r="Q162" s="697" t="str">
        <f>IFERROR(__xludf.DUMMYFUNCTION("""COMPUTED_VALUE"""),"not metioned")</f>
        <v>not metioned</v>
      </c>
      <c r="R162" s="697" t="str">
        <f>IFERROR(__xludf.DUMMYFUNCTION("""COMPUTED_VALUE"""),"no")</f>
        <v>no</v>
      </c>
      <c r="S162" s="697" t="str">
        <f>IFERROR(__xludf.DUMMYFUNCTION("""COMPUTED_VALUE"""),"2 years")</f>
        <v>2 years</v>
      </c>
      <c r="T162" s="697" t="str">
        <f>IFERROR(__xludf.DUMMYFUNCTION("""COMPUTED_VALUE"""),"even though there is some reduction in prevalence and intensity of infection in all the communities 2 years after a single-dose treatment with ivermectin, the reduction is not as good as what has been documented for 1 year after treatment. ")</f>
        <v>even though there is some reduction in prevalence and intensity of infection in all the communities 2 years after a single-dose treatment with ivermectin, the reduction is not as good as what has been documented for 1 year after treatment. </v>
      </c>
      <c r="U162" s="697"/>
      <c r="V162" s="697">
        <f>IFERROR(__xludf.DUMMYFUNCTION("""COMPUTED_VALUE"""),1999.0)</f>
        <v>1999</v>
      </c>
      <c r="W162" s="697">
        <f>IFERROR(__xludf.DUMMYFUNCTION("""COMPUTED_VALUE"""),1999.0)</f>
        <v>1999</v>
      </c>
      <c r="X162" s="697" t="str">
        <f>IFERROR(__xludf.DUMMYFUNCTION("""COMPUTED_VALUE"""),"Gyapong, John O. ""Impact of single-dose ivermectin on community microfilaria load in bancroftian filariasis infection: two years post treatment."" Transactions of the Royal Society of Tropical Medicine and Hygiene 94.4 (2000): 434-436.")</f>
        <v>Gyapong, John O. "Impact of single-dose ivermectin on community microfilaria load in bancroftian filariasis infection: two years post treatment." Transactions of the Royal Society of Tropical Medicine and Hygiene 94.4 (2000): 434-436.</v>
      </c>
      <c r="Y162" s="699" t="str">
        <f>IFERROR(__xludf.DUMMYFUNCTION("""COMPUTED_VALUE"""),"http://dx.doi.org/10.1016/S0035-9203(00)90133-0")</f>
        <v>http://dx.doi.org/10.1016/S0035-9203(00)90133-0</v>
      </c>
      <c r="Z162" s="863"/>
      <c r="AA162" s="697" t="str">
        <f>IFERROR(__xludf.DUMMYFUNCTION("""COMPUTED_VALUE"""),"x")</f>
        <v>x</v>
      </c>
    </row>
    <row r="163">
      <c r="A163" s="697" t="str">
        <f>IFERROR(__xludf.DUMMYFUNCTION("""COMPUTED_VALUE"""),"Kimura 1985")</f>
        <v>Kimura 1985</v>
      </c>
      <c r="B163" s="697" t="str">
        <f>IFERROR(__xludf.DUMMYFUNCTION("""COMPUTED_VALUE"""),"Mike")</f>
        <v>Mike</v>
      </c>
      <c r="C163" s="697" t="str">
        <f>IFERROR(__xludf.DUMMYFUNCTION("""COMPUTED_VALUE"""),"Alex")</f>
        <v>Alex</v>
      </c>
      <c r="D163" s="697" t="str">
        <f>IFERROR(__xludf.DUMMYFUNCTION("""COMPUTED_VALUE"""),"Samoa")</f>
        <v>Samoa</v>
      </c>
      <c r="E163" s="697" t="str">
        <f>IFERROR(__xludf.DUMMYFUNCTION("""COMPUTED_VALUE"""),"W. bancrofti")</f>
        <v>W. bancrofti</v>
      </c>
      <c r="F163" s="697" t="str">
        <f>IFERROR(__xludf.DUMMYFUNCTION("""COMPUTED_VALUE"""),"DEC")</f>
        <v>DEC</v>
      </c>
      <c r="G163" s="697" t="str">
        <f>IFERROR(__xludf.DUMMYFUNCTION("""COMPUTED_VALUE"""),"4mg/kg")</f>
        <v>4mg/kg</v>
      </c>
      <c r="H163" s="697">
        <f>IFERROR(__xludf.DUMMYFUNCTION("""COMPUTED_VALUE"""),1.0)</f>
        <v>1</v>
      </c>
      <c r="I163" s="706">
        <f>IFERROR(__xludf.DUMMYFUNCTION("""COMPUTED_VALUE"""),0.901)</f>
        <v>0.901</v>
      </c>
      <c r="J163" s="706">
        <f>IFERROR(__xludf.DUMMYFUNCTION("""COMPUTED_VALUE"""),0.277)</f>
        <v>0.277</v>
      </c>
      <c r="K163" s="697" t="str">
        <f>IFERROR(__xludf.DUMMYFUNCTION("""COMPUTED_VALUE"""),"not available")</f>
        <v>not available</v>
      </c>
      <c r="L163" s="697">
        <f>IFERROR(__xludf.DUMMYFUNCTION("""COMPUTED_VALUE"""),97.0)</f>
        <v>97</v>
      </c>
      <c r="M163" s="10" t="str">
        <f>IFERROR(__xludf.DUMMYFUNCTION("""COMPUTED_VALUE"""),"&gt; 3 ")</f>
        <v>&gt; 3 </v>
      </c>
      <c r="N163" s="862" t="str">
        <f>IFERROR(__xludf.DUMMYFUNCTION("""COMPUTED_VALUE"""),"not available")</f>
        <v>not available</v>
      </c>
      <c r="O163" s="697" t="str">
        <f>IFERROR(__xludf.DUMMYFUNCTION("""COMPUTED_VALUE"""),"excuded infants &lt; 3 years old")</f>
        <v>excuded infants &lt; 3 years old</v>
      </c>
      <c r="P163" s="697" t="str">
        <f>IFERROR(__xludf.DUMMYFUNCTION("""COMPUTED_VALUE"""),"unknown")</f>
        <v>unknown</v>
      </c>
      <c r="Q163" s="697" t="str">
        <f>IFERROR(__xludf.DUMMYFUNCTION("""COMPUTED_VALUE"""),"no")</f>
        <v>no</v>
      </c>
      <c r="R163" s="697" t="str">
        <f>IFERROR(__xludf.DUMMYFUNCTION("""COMPUTED_VALUE"""),"no")</f>
        <v>no</v>
      </c>
      <c r="S163" s="697" t="str">
        <f>IFERROR(__xludf.DUMMYFUNCTION("""COMPUTED_VALUE"""),"6 months")</f>
        <v>6 months</v>
      </c>
      <c r="T163" s="697" t="str">
        <f>IFERROR(__xludf.DUMMYFUNCTION("""COMPUTED_VALUE"""),"When the different dosage regimens (4 mg/kg, 6 mg/kg and 8 mg/kg) were compared at 6 and 12 months after treatment, the 6 mg/kg regimen wasfound to be more effective than the 4 mg/kg regimen in reducing the microfilarial count, and it producedfewer advers"&amp;"e reactions than the 8 mg/kg regimen.")</f>
        <v>When the different dosage regimens (4 mg/kg, 6 mg/kg and 8 mg/kg) were compared at 6 and 12 months after treatment, the 6 mg/kg regimen wasfound to be more effective than the 4 mg/kg regimen in reducing the microfilarial count, and it producedfewer adverse reactions than the 8 mg/kg regimen.</v>
      </c>
      <c r="U163" s="697"/>
      <c r="V163" s="697">
        <f>IFERROR(__xludf.DUMMYFUNCTION("""COMPUTED_VALUE"""),1985.0)</f>
        <v>1985</v>
      </c>
      <c r="W163" s="697">
        <f>IFERROR(__xludf.DUMMYFUNCTION("""COMPUTED_VALUE"""),1985.0)</f>
        <v>1985</v>
      </c>
      <c r="X163" s="697" t="str">
        <f>IFERROR(__xludf.DUMMYFUNCTION("""COMPUTED_VALUE"""),"Kimura, E., L. Penaia, and G. F. S. Spears. ""The efficacy of annual single-dose treatment with diethylcarbamazine citrate against diurnally subperiodic bancroftian filariasis in Samoa."" Bulletin of the World Health Organization 63.6 (1985): 1097.")</f>
        <v>Kimura, E., L. Penaia, and G. F. S. Spears. "The efficacy of annual single-dose treatment with diethylcarbamazine citrate against diurnally subperiodic bancroftian filariasis in Samoa." Bulletin of the World Health Organization 63.6 (1985): 1097.</v>
      </c>
      <c r="Y163" s="697" t="str">
        <f>IFERROR(__xludf.DUMMYFUNCTION("""COMPUTED_VALUE"""),"cannot find")</f>
        <v>cannot find</v>
      </c>
      <c r="Z163" s="865" t="str">
        <f>IFERROR(__xludf.DUMMYFUNCTION("""COMPUTED_VALUE"""),"https://drive.google.com/file/d/0B0qKRmtVkPtWUExEUDEzbEFLaGs/view?usp=sharing")</f>
        <v>https://drive.google.com/file/d/0B0qKRmtVkPtWUExEUDEzbEFLaGs/view?usp=sharing</v>
      </c>
      <c r="AA163" s="697" t="str">
        <f>IFERROR(__xludf.DUMMYFUNCTION("""COMPUTED_VALUE"""),"x")</f>
        <v>x</v>
      </c>
    </row>
    <row r="164">
      <c r="A164" s="697" t="str">
        <f>IFERROR(__xludf.DUMMYFUNCTION("""COMPUTED_VALUE"""),"Kimura 1985")</f>
        <v>Kimura 1985</v>
      </c>
      <c r="B164" s="697" t="str">
        <f>IFERROR(__xludf.DUMMYFUNCTION("""COMPUTED_VALUE"""),"Mike")</f>
        <v>Mike</v>
      </c>
      <c r="C164" s="697" t="str">
        <f>IFERROR(__xludf.DUMMYFUNCTION("""COMPUTED_VALUE"""),"Alex")</f>
        <v>Alex</v>
      </c>
      <c r="D164" s="697" t="str">
        <f>IFERROR(__xludf.DUMMYFUNCTION("""COMPUTED_VALUE"""),"Samoa")</f>
        <v>Samoa</v>
      </c>
      <c r="E164" s="697" t="str">
        <f>IFERROR(__xludf.DUMMYFUNCTION("""COMPUTED_VALUE"""),"W. bancrofti")</f>
        <v>W. bancrofti</v>
      </c>
      <c r="F164" s="697" t="str">
        <f>IFERROR(__xludf.DUMMYFUNCTION("""COMPUTED_VALUE"""),"DEC")</f>
        <v>DEC</v>
      </c>
      <c r="G164" s="697" t="str">
        <f>IFERROR(__xludf.DUMMYFUNCTION("""COMPUTED_VALUE"""),"4mg/kg")</f>
        <v>4mg/kg</v>
      </c>
      <c r="H164" s="697">
        <f>IFERROR(__xludf.DUMMYFUNCTION("""COMPUTED_VALUE"""),2.0)</f>
        <v>2</v>
      </c>
      <c r="I164" s="706">
        <f>IFERROR(__xludf.DUMMYFUNCTION("""COMPUTED_VALUE"""),0.815)</f>
        <v>0.815</v>
      </c>
      <c r="J164" s="706">
        <f>IFERROR(__xludf.DUMMYFUNCTION("""COMPUTED_VALUE"""),0.294)</f>
        <v>0.294</v>
      </c>
      <c r="K164" s="697" t="str">
        <f>IFERROR(__xludf.DUMMYFUNCTION("""COMPUTED_VALUE"""),"not available")</f>
        <v>not available</v>
      </c>
      <c r="L164" s="697">
        <f>IFERROR(__xludf.DUMMYFUNCTION("""COMPUTED_VALUE"""),96.0)</f>
        <v>96</v>
      </c>
      <c r="M164" s="10" t="str">
        <f>IFERROR(__xludf.DUMMYFUNCTION("""COMPUTED_VALUE"""),"&gt; 3 ")</f>
        <v>&gt; 3 </v>
      </c>
      <c r="N164" s="862" t="str">
        <f>IFERROR(__xludf.DUMMYFUNCTION("""COMPUTED_VALUE"""),"not available")</f>
        <v>not available</v>
      </c>
      <c r="O164" s="697" t="str">
        <f>IFERROR(__xludf.DUMMYFUNCTION("""COMPUTED_VALUE"""),"excuded infants &lt; 3 years old")</f>
        <v>excuded infants &lt; 3 years old</v>
      </c>
      <c r="P164" s="697" t="str">
        <f>IFERROR(__xludf.DUMMYFUNCTION("""COMPUTED_VALUE"""),"unknown")</f>
        <v>unknown</v>
      </c>
      <c r="Q164" s="697" t="str">
        <f>IFERROR(__xludf.DUMMYFUNCTION("""COMPUTED_VALUE"""),"no")</f>
        <v>no</v>
      </c>
      <c r="R164" s="697" t="str">
        <f>IFERROR(__xludf.DUMMYFUNCTION("""COMPUTED_VALUE"""),"no")</f>
        <v>no</v>
      </c>
      <c r="S164" s="697" t="str">
        <f>IFERROR(__xludf.DUMMYFUNCTION("""COMPUTED_VALUE"""),"1 year")</f>
        <v>1 year</v>
      </c>
      <c r="T164" s="697" t="str">
        <f>IFERROR(__xludf.DUMMYFUNCTION("""COMPUTED_VALUE"""),"When the different dosage regimens (4 mg/kg, 6 mg/kg and 8 mg/kg) were compared at 6 and 12 months after treatment, the 6 mg/kg regimen wasfound to be more effective than the 4 mg/kg regimen in reducing the microfilarial count, and it producedfewer advers"&amp;"e reactions than the 8 mg/kg regimen.")</f>
        <v>When the different dosage regimens (4 mg/kg, 6 mg/kg and 8 mg/kg) were compared at 6 and 12 months after treatment, the 6 mg/kg regimen wasfound to be more effective than the 4 mg/kg regimen in reducing the microfilarial count, and it producedfewer adverse reactions than the 8 mg/kg regimen.</v>
      </c>
      <c r="U164" s="697"/>
      <c r="V164" s="697">
        <f>IFERROR(__xludf.DUMMYFUNCTION("""COMPUTED_VALUE"""),1985.0)</f>
        <v>1985</v>
      </c>
      <c r="W164" s="697">
        <f>IFERROR(__xludf.DUMMYFUNCTION("""COMPUTED_VALUE"""),1985.0)</f>
        <v>1985</v>
      </c>
      <c r="X164" s="697" t="str">
        <f>IFERROR(__xludf.DUMMYFUNCTION("""COMPUTED_VALUE"""),"Kimura, E., L. Penaia, and G. F. S. Spears. ""The efficacy of annual single-dose treatment with diethylcarbamazine citrate against diurnally subperiodic bancroftian filariasis in Samoa."" Bulletin of the World Health Organization 63.6 (1985): 1097.")</f>
        <v>Kimura, E., L. Penaia, and G. F. S. Spears. "The efficacy of annual single-dose treatment with diethylcarbamazine citrate against diurnally subperiodic bancroftian filariasis in Samoa." Bulletin of the World Health Organization 63.6 (1985): 1097.</v>
      </c>
      <c r="Y164" s="697" t="str">
        <f>IFERROR(__xludf.DUMMYFUNCTION("""COMPUTED_VALUE"""),"cannot find")</f>
        <v>cannot find</v>
      </c>
      <c r="Z164" s="865" t="str">
        <f>IFERROR(__xludf.DUMMYFUNCTION("""COMPUTED_VALUE"""),"https://drive.google.com/file/d/0B0qKRmtVkPtWUExEUDEzbEFLaGs/view?usp=sharing")</f>
        <v>https://drive.google.com/file/d/0B0qKRmtVkPtWUExEUDEzbEFLaGs/view?usp=sharing</v>
      </c>
      <c r="AA164" s="697" t="str">
        <f>IFERROR(__xludf.DUMMYFUNCTION("""COMPUTED_VALUE"""),"x")</f>
        <v>x</v>
      </c>
    </row>
    <row r="165">
      <c r="A165" s="697" t="str">
        <f>IFERROR(__xludf.DUMMYFUNCTION("""COMPUTED_VALUE"""),"Kimura 1985")</f>
        <v>Kimura 1985</v>
      </c>
      <c r="B165" s="697" t="str">
        <f>IFERROR(__xludf.DUMMYFUNCTION("""COMPUTED_VALUE"""),"Mike")</f>
        <v>Mike</v>
      </c>
      <c r="C165" s="697" t="str">
        <f>IFERROR(__xludf.DUMMYFUNCTION("""COMPUTED_VALUE"""),"Alex")</f>
        <v>Alex</v>
      </c>
      <c r="D165" s="697" t="str">
        <f>IFERROR(__xludf.DUMMYFUNCTION("""COMPUTED_VALUE"""),"Samoa")</f>
        <v>Samoa</v>
      </c>
      <c r="E165" s="697" t="str">
        <f>IFERROR(__xludf.DUMMYFUNCTION("""COMPUTED_VALUE"""),"W. bancrofti")</f>
        <v>W. bancrofti</v>
      </c>
      <c r="F165" s="697" t="str">
        <f>IFERROR(__xludf.DUMMYFUNCTION("""COMPUTED_VALUE"""),"DEC")</f>
        <v>DEC</v>
      </c>
      <c r="G165" s="697" t="str">
        <f>IFERROR(__xludf.DUMMYFUNCTION("""COMPUTED_VALUE"""),"6mg/kg")</f>
        <v>6mg/kg</v>
      </c>
      <c r="H165" s="697">
        <f>IFERROR(__xludf.DUMMYFUNCTION("""COMPUTED_VALUE"""),1.0)</f>
        <v>1</v>
      </c>
      <c r="I165" s="706">
        <f>IFERROR(__xludf.DUMMYFUNCTION("""COMPUTED_VALUE"""),0.893)</f>
        <v>0.893</v>
      </c>
      <c r="J165" s="706">
        <f>IFERROR(__xludf.DUMMYFUNCTION("""COMPUTED_VALUE"""),0.321)</f>
        <v>0.321</v>
      </c>
      <c r="K165" s="697" t="str">
        <f>IFERROR(__xludf.DUMMYFUNCTION("""COMPUTED_VALUE"""),"not available")</f>
        <v>not available</v>
      </c>
      <c r="L165" s="697">
        <f>IFERROR(__xludf.DUMMYFUNCTION("""COMPUTED_VALUE"""),112.0)</f>
        <v>112</v>
      </c>
      <c r="M165" s="10" t="str">
        <f>IFERROR(__xludf.DUMMYFUNCTION("""COMPUTED_VALUE"""),"&gt; 3 ")</f>
        <v>&gt; 3 </v>
      </c>
      <c r="N165" s="862" t="str">
        <f>IFERROR(__xludf.DUMMYFUNCTION("""COMPUTED_VALUE"""),"not available")</f>
        <v>not available</v>
      </c>
      <c r="O165" s="697" t="str">
        <f>IFERROR(__xludf.DUMMYFUNCTION("""COMPUTED_VALUE"""),"excuded infants &lt; 3 years old")</f>
        <v>excuded infants &lt; 3 years old</v>
      </c>
      <c r="P165" s="697" t="str">
        <f>IFERROR(__xludf.DUMMYFUNCTION("""COMPUTED_VALUE"""),"unknown")</f>
        <v>unknown</v>
      </c>
      <c r="Q165" s="697" t="str">
        <f>IFERROR(__xludf.DUMMYFUNCTION("""COMPUTED_VALUE"""),"no")</f>
        <v>no</v>
      </c>
      <c r="R165" s="697" t="str">
        <f>IFERROR(__xludf.DUMMYFUNCTION("""COMPUTED_VALUE"""),"no")</f>
        <v>no</v>
      </c>
      <c r="S165" s="697" t="str">
        <f>IFERROR(__xludf.DUMMYFUNCTION("""COMPUTED_VALUE"""),"6 months")</f>
        <v>6 months</v>
      </c>
      <c r="T165" s="697" t="str">
        <f>IFERROR(__xludf.DUMMYFUNCTION("""COMPUTED_VALUE"""),"When the different dosage regimens (4 mg/kg, 6 mg/kg and 8 mg/kg) were compared at 6 and 12 months after treatment, the 6 mg/kg regimen wasfound to be more effective than the 4 mg/kg regimen in reducing the microfilarial count, and it producedfewer advers"&amp;"e reactions than the 8 mg/kg regimen.")</f>
        <v>When the different dosage regimens (4 mg/kg, 6 mg/kg and 8 mg/kg) were compared at 6 and 12 months after treatment, the 6 mg/kg regimen wasfound to be more effective than the 4 mg/kg regimen in reducing the microfilarial count, and it producedfewer adverse reactions than the 8 mg/kg regimen.</v>
      </c>
      <c r="U165" s="697"/>
      <c r="V165" s="697">
        <f>IFERROR(__xludf.DUMMYFUNCTION("""COMPUTED_VALUE"""),1985.0)</f>
        <v>1985</v>
      </c>
      <c r="W165" s="697">
        <f>IFERROR(__xludf.DUMMYFUNCTION("""COMPUTED_VALUE"""),1985.0)</f>
        <v>1985</v>
      </c>
      <c r="X165" s="697" t="str">
        <f>IFERROR(__xludf.DUMMYFUNCTION("""COMPUTED_VALUE"""),"Kimura, E., L. Penaia, and G. F. S. Spears. ""The efficacy of annual single-dose treatment with diethylcarbamazine citrate against diurnally subperiodic bancroftian filariasis in Samoa."" Bulletin of the World Health Organization 63.6 (1985): 1097.")</f>
        <v>Kimura, E., L. Penaia, and G. F. S. Spears. "The efficacy of annual single-dose treatment with diethylcarbamazine citrate against diurnally subperiodic bancroftian filariasis in Samoa." Bulletin of the World Health Organization 63.6 (1985): 1097.</v>
      </c>
      <c r="Y165" s="697" t="str">
        <f>IFERROR(__xludf.DUMMYFUNCTION("""COMPUTED_VALUE"""),"cannot find")</f>
        <v>cannot find</v>
      </c>
      <c r="Z165" s="865" t="str">
        <f>IFERROR(__xludf.DUMMYFUNCTION("""COMPUTED_VALUE"""),"https://drive.google.com/file/d/0B0qKRmtVkPtWUExEUDEzbEFLaGs/view?usp=sharing")</f>
        <v>https://drive.google.com/file/d/0B0qKRmtVkPtWUExEUDEzbEFLaGs/view?usp=sharing</v>
      </c>
      <c r="AA165" s="697" t="str">
        <f>IFERROR(__xludf.DUMMYFUNCTION("""COMPUTED_VALUE"""),"x")</f>
        <v>x</v>
      </c>
    </row>
    <row r="166">
      <c r="A166" s="697" t="str">
        <f>IFERROR(__xludf.DUMMYFUNCTION("""COMPUTED_VALUE"""),"Kimura 1985")</f>
        <v>Kimura 1985</v>
      </c>
      <c r="B166" s="697" t="str">
        <f>IFERROR(__xludf.DUMMYFUNCTION("""COMPUTED_VALUE"""),"Mike")</f>
        <v>Mike</v>
      </c>
      <c r="C166" s="697" t="str">
        <f>IFERROR(__xludf.DUMMYFUNCTION("""COMPUTED_VALUE"""),"Alex")</f>
        <v>Alex</v>
      </c>
      <c r="D166" s="697" t="str">
        <f>IFERROR(__xludf.DUMMYFUNCTION("""COMPUTED_VALUE"""),"Samoa")</f>
        <v>Samoa</v>
      </c>
      <c r="E166" s="697" t="str">
        <f>IFERROR(__xludf.DUMMYFUNCTION("""COMPUTED_VALUE"""),"W. bancrofti")</f>
        <v>W. bancrofti</v>
      </c>
      <c r="F166" s="697" t="str">
        <f>IFERROR(__xludf.DUMMYFUNCTION("""COMPUTED_VALUE"""),"DEC")</f>
        <v>DEC</v>
      </c>
      <c r="G166" s="697" t="str">
        <f>IFERROR(__xludf.DUMMYFUNCTION("""COMPUTED_VALUE"""),"6mg/kg")</f>
        <v>6mg/kg</v>
      </c>
      <c r="H166" s="697">
        <f>IFERROR(__xludf.DUMMYFUNCTION("""COMPUTED_VALUE"""),2.0)</f>
        <v>2</v>
      </c>
      <c r="I166" s="706">
        <f>IFERROR(__xludf.DUMMYFUNCTION("""COMPUTED_VALUE"""),0.944)</f>
        <v>0.944</v>
      </c>
      <c r="J166" s="706">
        <f>IFERROR(__xludf.DUMMYFUNCTION("""COMPUTED_VALUE"""),0.537)</f>
        <v>0.537</v>
      </c>
      <c r="K166" s="697" t="str">
        <f>IFERROR(__xludf.DUMMYFUNCTION("""COMPUTED_VALUE"""),"not available")</f>
        <v>not available</v>
      </c>
      <c r="L166" s="697">
        <f>IFERROR(__xludf.DUMMYFUNCTION("""COMPUTED_VALUE"""),68.0)</f>
        <v>68</v>
      </c>
      <c r="M166" s="10" t="str">
        <f>IFERROR(__xludf.DUMMYFUNCTION("""COMPUTED_VALUE"""),"&gt; 3 ")</f>
        <v>&gt; 3 </v>
      </c>
      <c r="N166" s="862" t="str">
        <f>IFERROR(__xludf.DUMMYFUNCTION("""COMPUTED_VALUE"""),"not available")</f>
        <v>not available</v>
      </c>
      <c r="O166" s="697" t="str">
        <f>IFERROR(__xludf.DUMMYFUNCTION("""COMPUTED_VALUE"""),"excuded infants &lt; 3 years old")</f>
        <v>excuded infants &lt; 3 years old</v>
      </c>
      <c r="P166" s="697" t="str">
        <f>IFERROR(__xludf.DUMMYFUNCTION("""COMPUTED_VALUE"""),"unknown")</f>
        <v>unknown</v>
      </c>
      <c r="Q166" s="697" t="str">
        <f>IFERROR(__xludf.DUMMYFUNCTION("""COMPUTED_VALUE"""),"no")</f>
        <v>no</v>
      </c>
      <c r="R166" s="697" t="str">
        <f>IFERROR(__xludf.DUMMYFUNCTION("""COMPUTED_VALUE"""),"no")</f>
        <v>no</v>
      </c>
      <c r="S166" s="697" t="str">
        <f>IFERROR(__xludf.DUMMYFUNCTION("""COMPUTED_VALUE"""),"1 year")</f>
        <v>1 year</v>
      </c>
      <c r="T166" s="697" t="str">
        <f>IFERROR(__xludf.DUMMYFUNCTION("""COMPUTED_VALUE"""),"When the different dosage regimens (4 mg/kg, 6 mg/kg and 8 mg/kg) were compared at 6 and 12 months after treatment, the 6 mg/kg regimen wasfound to be more effective than the 4 mg/kg regimen in reducing the microfilarial count, and it producedfewer advers"&amp;"e reactions than the 8 mg/kg regimen.")</f>
        <v>When the different dosage regimens (4 mg/kg, 6 mg/kg and 8 mg/kg) were compared at 6 and 12 months after treatment, the 6 mg/kg regimen wasfound to be more effective than the 4 mg/kg regimen in reducing the microfilarial count, and it producedfewer adverse reactions than the 8 mg/kg regimen.</v>
      </c>
      <c r="U166" s="697"/>
      <c r="V166" s="697">
        <f>IFERROR(__xludf.DUMMYFUNCTION("""COMPUTED_VALUE"""),1985.0)</f>
        <v>1985</v>
      </c>
      <c r="W166" s="697">
        <f>IFERROR(__xludf.DUMMYFUNCTION("""COMPUTED_VALUE"""),1985.0)</f>
        <v>1985</v>
      </c>
      <c r="X166" s="697" t="str">
        <f>IFERROR(__xludf.DUMMYFUNCTION("""COMPUTED_VALUE"""),"Kimura, E., L. Penaia, and G. F. S. Spears. ""The efficacy of annual single-dose treatment with diethylcarbamazine citrate against diurnally subperiodic bancroftian filariasis in Samoa."" Bulletin of the World Health Organization 63.6 (1985): 1097.")</f>
        <v>Kimura, E., L. Penaia, and G. F. S. Spears. "The efficacy of annual single-dose treatment with diethylcarbamazine citrate against diurnally subperiodic bancroftian filariasis in Samoa." Bulletin of the World Health Organization 63.6 (1985): 1097.</v>
      </c>
      <c r="Y166" s="697" t="str">
        <f>IFERROR(__xludf.DUMMYFUNCTION("""COMPUTED_VALUE"""),"cannot find")</f>
        <v>cannot find</v>
      </c>
      <c r="Z166" s="865" t="str">
        <f>IFERROR(__xludf.DUMMYFUNCTION("""COMPUTED_VALUE"""),"https://drive.google.com/file/d/0B0qKRmtVkPtWUExEUDEzbEFLaGs/view?usp=sharing")</f>
        <v>https://drive.google.com/file/d/0B0qKRmtVkPtWUExEUDEzbEFLaGs/view?usp=sharing</v>
      </c>
      <c r="AA166" s="697" t="str">
        <f>IFERROR(__xludf.DUMMYFUNCTION("""COMPUTED_VALUE"""),"x")</f>
        <v>x</v>
      </c>
    </row>
    <row r="167">
      <c r="A167" s="697" t="str">
        <f>IFERROR(__xludf.DUMMYFUNCTION("""COMPUTED_VALUE"""),"Kimura 1985")</f>
        <v>Kimura 1985</v>
      </c>
      <c r="B167" s="697" t="str">
        <f>IFERROR(__xludf.DUMMYFUNCTION("""COMPUTED_VALUE"""),"Mike")</f>
        <v>Mike</v>
      </c>
      <c r="C167" s="697" t="str">
        <f>IFERROR(__xludf.DUMMYFUNCTION("""COMPUTED_VALUE"""),"Alex")</f>
        <v>Alex</v>
      </c>
      <c r="D167" s="697" t="str">
        <f>IFERROR(__xludf.DUMMYFUNCTION("""COMPUTED_VALUE"""),"Samoa")</f>
        <v>Samoa</v>
      </c>
      <c r="E167" s="697" t="str">
        <f>IFERROR(__xludf.DUMMYFUNCTION("""COMPUTED_VALUE"""),"W. bancrofti")</f>
        <v>W. bancrofti</v>
      </c>
      <c r="F167" s="697" t="str">
        <f>IFERROR(__xludf.DUMMYFUNCTION("""COMPUTED_VALUE"""),"DEC")</f>
        <v>DEC</v>
      </c>
      <c r="G167" s="697" t="str">
        <f>IFERROR(__xludf.DUMMYFUNCTION("""COMPUTED_VALUE"""),"8mg/kg")</f>
        <v>8mg/kg</v>
      </c>
      <c r="H167" s="697">
        <f>IFERROR(__xludf.DUMMYFUNCTION("""COMPUTED_VALUE"""),1.0)</f>
        <v>1</v>
      </c>
      <c r="I167" s="706">
        <f>IFERROR(__xludf.DUMMYFUNCTION("""COMPUTED_VALUE"""),0.956)</f>
        <v>0.956</v>
      </c>
      <c r="J167" s="706">
        <f>IFERROR(__xludf.DUMMYFUNCTION("""COMPUTED_VALUE"""),0.44)</f>
        <v>0.44</v>
      </c>
      <c r="K167" s="697" t="str">
        <f>IFERROR(__xludf.DUMMYFUNCTION("""COMPUTED_VALUE"""),"not available")</f>
        <v>not available</v>
      </c>
      <c r="L167" s="697">
        <f>IFERROR(__xludf.DUMMYFUNCTION("""COMPUTED_VALUE"""),97.0)</f>
        <v>97</v>
      </c>
      <c r="M167" s="10" t="str">
        <f>IFERROR(__xludf.DUMMYFUNCTION("""COMPUTED_VALUE"""),"&gt; 3 ")</f>
        <v>&gt; 3 </v>
      </c>
      <c r="N167" s="862" t="str">
        <f>IFERROR(__xludf.DUMMYFUNCTION("""COMPUTED_VALUE"""),"not available")</f>
        <v>not available</v>
      </c>
      <c r="O167" s="697" t="str">
        <f>IFERROR(__xludf.DUMMYFUNCTION("""COMPUTED_VALUE"""),"excuded infants &lt; 3 years old")</f>
        <v>excuded infants &lt; 3 years old</v>
      </c>
      <c r="P167" s="697" t="str">
        <f>IFERROR(__xludf.DUMMYFUNCTION("""COMPUTED_VALUE"""),"unknown")</f>
        <v>unknown</v>
      </c>
      <c r="Q167" s="697" t="str">
        <f>IFERROR(__xludf.DUMMYFUNCTION("""COMPUTED_VALUE"""),"no")</f>
        <v>no</v>
      </c>
      <c r="R167" s="697" t="str">
        <f>IFERROR(__xludf.DUMMYFUNCTION("""COMPUTED_VALUE"""),"no")</f>
        <v>no</v>
      </c>
      <c r="S167" s="697" t="str">
        <f>IFERROR(__xludf.DUMMYFUNCTION("""COMPUTED_VALUE"""),"6 months")</f>
        <v>6 months</v>
      </c>
      <c r="T167" s="697" t="str">
        <f>IFERROR(__xludf.DUMMYFUNCTION("""COMPUTED_VALUE"""),"When the different dosage regimens (4 mg/kg, 6 mg/kg and 8 mg/kg) were compared at 6 and 12 months after treatment, the 6 mg/kg regimen wasfound to be more effective than the 4 mg/kg regimen in reducing the microfilarial count, and it producedfewer advers"&amp;"e reactions than the 8 mg/kg regimen.")</f>
        <v>When the different dosage regimens (4 mg/kg, 6 mg/kg and 8 mg/kg) were compared at 6 and 12 months after treatment, the 6 mg/kg regimen wasfound to be more effective than the 4 mg/kg regimen in reducing the microfilarial count, and it producedfewer adverse reactions than the 8 mg/kg regimen.</v>
      </c>
      <c r="U167" s="697"/>
      <c r="V167" s="697">
        <f>IFERROR(__xludf.DUMMYFUNCTION("""COMPUTED_VALUE"""),1985.0)</f>
        <v>1985</v>
      </c>
      <c r="W167" s="697">
        <f>IFERROR(__xludf.DUMMYFUNCTION("""COMPUTED_VALUE"""),1985.0)</f>
        <v>1985</v>
      </c>
      <c r="X167" s="697" t="str">
        <f>IFERROR(__xludf.DUMMYFUNCTION("""COMPUTED_VALUE"""),"Kimura, E., L. Penaia, and G. F. S. Spears. ""The efficacy of annual single-dose treatment with diethylcarbamazine citrate against diurnally subperiodic bancroftian filariasis in Samoa."" Bulletin of the World Health Organization 63.6 (1985): 1097.")</f>
        <v>Kimura, E., L. Penaia, and G. F. S. Spears. "The efficacy of annual single-dose treatment with diethylcarbamazine citrate against diurnally subperiodic bancroftian filariasis in Samoa." Bulletin of the World Health Organization 63.6 (1985): 1097.</v>
      </c>
      <c r="Y167" s="697" t="str">
        <f>IFERROR(__xludf.DUMMYFUNCTION("""COMPUTED_VALUE"""),"cannot find")</f>
        <v>cannot find</v>
      </c>
      <c r="Z167" s="865" t="str">
        <f>IFERROR(__xludf.DUMMYFUNCTION("""COMPUTED_VALUE"""),"https://drive.google.com/file/d/0B0qKRmtVkPtWUExEUDEzbEFLaGs/view?usp=sharing")</f>
        <v>https://drive.google.com/file/d/0B0qKRmtVkPtWUExEUDEzbEFLaGs/view?usp=sharing</v>
      </c>
      <c r="AA167" s="697" t="str">
        <f>IFERROR(__xludf.DUMMYFUNCTION("""COMPUTED_VALUE"""),"x")</f>
        <v>x</v>
      </c>
    </row>
    <row r="168">
      <c r="A168" s="697" t="str">
        <f>IFERROR(__xludf.DUMMYFUNCTION("""COMPUTED_VALUE"""),"Kimura 1985")</f>
        <v>Kimura 1985</v>
      </c>
      <c r="B168" s="697" t="str">
        <f>IFERROR(__xludf.DUMMYFUNCTION("""COMPUTED_VALUE"""),"Mike")</f>
        <v>Mike</v>
      </c>
      <c r="C168" s="697" t="str">
        <f>IFERROR(__xludf.DUMMYFUNCTION("""COMPUTED_VALUE"""),"Alex")</f>
        <v>Alex</v>
      </c>
      <c r="D168" s="697" t="str">
        <f>IFERROR(__xludf.DUMMYFUNCTION("""COMPUTED_VALUE"""),"Samoa")</f>
        <v>Samoa</v>
      </c>
      <c r="E168" s="697" t="str">
        <f>IFERROR(__xludf.DUMMYFUNCTION("""COMPUTED_VALUE"""),"W. bancrofti")</f>
        <v>W. bancrofti</v>
      </c>
      <c r="F168" s="697" t="str">
        <f>IFERROR(__xludf.DUMMYFUNCTION("""COMPUTED_VALUE"""),"DEC")</f>
        <v>DEC</v>
      </c>
      <c r="G168" s="697" t="str">
        <f>IFERROR(__xludf.DUMMYFUNCTION("""COMPUTED_VALUE"""),"8mg/kg")</f>
        <v>8mg/kg</v>
      </c>
      <c r="H168" s="697">
        <f>IFERROR(__xludf.DUMMYFUNCTION("""COMPUTED_VALUE"""),2.0)</f>
        <v>2</v>
      </c>
      <c r="I168" s="706">
        <f>IFERROR(__xludf.DUMMYFUNCTION("""COMPUTED_VALUE"""),0.935)</f>
        <v>0.935</v>
      </c>
      <c r="J168" s="706">
        <f>IFERROR(__xludf.DUMMYFUNCTION("""COMPUTED_VALUE"""),0.4)</f>
        <v>0.4</v>
      </c>
      <c r="K168" s="697" t="str">
        <f>IFERROR(__xludf.DUMMYFUNCTION("""COMPUTED_VALUE"""),"not available")</f>
        <v>not available</v>
      </c>
      <c r="L168" s="697">
        <f>IFERROR(__xludf.DUMMYFUNCTION("""COMPUTED_VALUE"""),96.0)</f>
        <v>96</v>
      </c>
      <c r="M168" s="10" t="str">
        <f>IFERROR(__xludf.DUMMYFUNCTION("""COMPUTED_VALUE"""),"&gt; 3 ")</f>
        <v>&gt; 3 </v>
      </c>
      <c r="N168" s="862" t="str">
        <f>IFERROR(__xludf.DUMMYFUNCTION("""COMPUTED_VALUE"""),"not available")</f>
        <v>not available</v>
      </c>
      <c r="O168" s="697" t="str">
        <f>IFERROR(__xludf.DUMMYFUNCTION("""COMPUTED_VALUE"""),"excuded infants &lt; 3 years old")</f>
        <v>excuded infants &lt; 3 years old</v>
      </c>
      <c r="P168" s="697" t="str">
        <f>IFERROR(__xludf.DUMMYFUNCTION("""COMPUTED_VALUE"""),"unknown")</f>
        <v>unknown</v>
      </c>
      <c r="Q168" s="697" t="str">
        <f>IFERROR(__xludf.DUMMYFUNCTION("""COMPUTED_VALUE"""),"no")</f>
        <v>no</v>
      </c>
      <c r="R168" s="697" t="str">
        <f>IFERROR(__xludf.DUMMYFUNCTION("""COMPUTED_VALUE"""),"no")</f>
        <v>no</v>
      </c>
      <c r="S168" s="697" t="str">
        <f>IFERROR(__xludf.DUMMYFUNCTION("""COMPUTED_VALUE"""),"1 year")</f>
        <v>1 year</v>
      </c>
      <c r="T168" s="697" t="str">
        <f>IFERROR(__xludf.DUMMYFUNCTION("""COMPUTED_VALUE"""),"When the different dosage regimens (4 mg/kg, 6 mg/kg and 8 mg/kg) were compared at 6 and 12 months after treatment, the 6 mg/kg regimen wasfound to be more effective than the 4 mg/kg regimen in reducing the microfilarial count, and it producedfewer advers"&amp;"e reactions than the 8 mg/kg regimen.")</f>
        <v>When the different dosage regimens (4 mg/kg, 6 mg/kg and 8 mg/kg) were compared at 6 and 12 months after treatment, the 6 mg/kg regimen wasfound to be more effective than the 4 mg/kg regimen in reducing the microfilarial count, and it producedfewer adverse reactions than the 8 mg/kg regimen.</v>
      </c>
      <c r="U168" s="697"/>
      <c r="V168" s="697">
        <f>IFERROR(__xludf.DUMMYFUNCTION("""COMPUTED_VALUE"""),1985.0)</f>
        <v>1985</v>
      </c>
      <c r="W168" s="697">
        <f>IFERROR(__xludf.DUMMYFUNCTION("""COMPUTED_VALUE"""),1985.0)</f>
        <v>1985</v>
      </c>
      <c r="X168" s="697" t="str">
        <f>IFERROR(__xludf.DUMMYFUNCTION("""COMPUTED_VALUE"""),"Kimura, E., L. Penaia, and G. F. S. Spears. ""The efficacy of annual single-dose treatment with diethylcarbamazine citrate against diurnally subperiodic bancroftian filariasis in Samoa."" Bulletin of the World Health Organization 63.6 (1985): 1097.")</f>
        <v>Kimura, E., L. Penaia, and G. F. S. Spears. "The efficacy of annual single-dose treatment with diethylcarbamazine citrate against diurnally subperiodic bancroftian filariasis in Samoa." Bulletin of the World Health Organization 63.6 (1985): 1097.</v>
      </c>
      <c r="Y168" s="697" t="str">
        <f>IFERROR(__xludf.DUMMYFUNCTION("""COMPUTED_VALUE"""),"cannot find")</f>
        <v>cannot find</v>
      </c>
      <c r="Z168" s="865" t="str">
        <f>IFERROR(__xludf.DUMMYFUNCTION("""COMPUTED_VALUE"""),"https://drive.google.com/file/d/0B0qKRmtVkPtWUExEUDEzbEFLaGs/view?usp=sharing")</f>
        <v>https://drive.google.com/file/d/0B0qKRmtVkPtWUExEUDEzbEFLaGs/view?usp=sharing</v>
      </c>
      <c r="AA168" s="697" t="str">
        <f>IFERROR(__xludf.DUMMYFUNCTION("""COMPUTED_VALUE"""),"x")</f>
        <v>x</v>
      </c>
    </row>
    <row r="169">
      <c r="A169" s="697" t="str">
        <f>IFERROR(__xludf.DUMMYFUNCTION("""COMPUTED_VALUE"""),"El Setouhy 2004")</f>
        <v>El Setouhy 2004</v>
      </c>
      <c r="B169" s="697" t="str">
        <f>IFERROR(__xludf.DUMMYFUNCTION("""COMPUTED_VALUE"""),"Mike")</f>
        <v>Mike</v>
      </c>
      <c r="C169" s="697" t="str">
        <f>IFERROR(__xludf.DUMMYFUNCTION("""COMPUTED_VALUE"""),"Alex")</f>
        <v>Alex</v>
      </c>
      <c r="D169" s="697" t="str">
        <f>IFERROR(__xludf.DUMMYFUNCTION("""COMPUTED_VALUE"""),"Egypt")</f>
        <v>Egypt</v>
      </c>
      <c r="E169" s="697" t="str">
        <f>IFERROR(__xludf.DUMMYFUNCTION("""COMPUTED_VALUE"""),"w. bancrofti")</f>
        <v>w. bancrofti</v>
      </c>
      <c r="F169" s="697" t="str">
        <f>IFERROR(__xludf.DUMMYFUNCTION("""COMPUTED_VALUE"""),"Albendazole &amp; DEC")</f>
        <v>Albendazole &amp; DEC</v>
      </c>
      <c r="G169" s="697" t="str">
        <f>IFERROR(__xludf.DUMMYFUNCTION("""COMPUTED_VALUE"""),"6mg/kg + 400mg")</f>
        <v>6mg/kg + 400mg</v>
      </c>
      <c r="H169" s="697">
        <f>IFERROR(__xludf.DUMMYFUNCTION("""COMPUTED_VALUE"""),7.0)</f>
        <v>7</v>
      </c>
      <c r="I169" s="706">
        <f>IFERROR(__xludf.DUMMYFUNCTION("""COMPUTED_VALUE"""),0.996)</f>
        <v>0.996</v>
      </c>
      <c r="J169" s="700">
        <f>IFERROR(__xludf.DUMMYFUNCTION("""COMPUTED_VALUE"""),0.75)</f>
        <v>0.75</v>
      </c>
      <c r="K169" s="697" t="str">
        <f>IFERROR(__xludf.DUMMYFUNCTION("""COMPUTED_VALUE"""),"not available")</f>
        <v>not available</v>
      </c>
      <c r="L169" s="697">
        <f>IFERROR(__xludf.DUMMYFUNCTION("""COMPUTED_VALUE"""),58.0)</f>
        <v>58</v>
      </c>
      <c r="M169" s="10" t="str">
        <f>IFERROR(__xludf.DUMMYFUNCTION("""COMPUTED_VALUE"""),"&gt;=18")</f>
        <v>&gt;=18</v>
      </c>
      <c r="N169" s="862" t="str">
        <f>IFERROR(__xludf.DUMMYFUNCTION("""COMPUTED_VALUE"""),"10 : 18")</f>
        <v>10 : 18</v>
      </c>
      <c r="O169" s="697" t="str">
        <f>IFERROR(__xludf.DUMMYFUNCTION("""COMPUTED_VALUE"""),"night blood microfilaria counts &gt; 80 MF/mL)")</f>
        <v>night blood microfilaria counts &gt; 80 MF/mL)</v>
      </c>
      <c r="P169" s="697" t="str">
        <f>IFERROR(__xludf.DUMMYFUNCTION("""COMPUTED_VALUE"""),"not blinded")</f>
        <v>not blinded</v>
      </c>
      <c r="Q169" s="697" t="str">
        <f>IFERROR(__xludf.DUMMYFUNCTION("""COMPUTED_VALUE"""),"no")</f>
        <v>no</v>
      </c>
      <c r="R169" s="697" t="str">
        <f>IFERROR(__xludf.DUMMYFUNCTION("""COMPUTED_VALUE"""),"yes")</f>
        <v>yes</v>
      </c>
      <c r="S169" s="697" t="str">
        <f>IFERROR(__xludf.DUMMYFUNCTION("""COMPUTED_VALUE"""),"2 years")</f>
        <v>2 years</v>
      </c>
      <c r="T169" s="697" t="str">
        <f>IFERROR(__xludf.DUMMYFUNCTION("""COMPUTED_VALUE"""),"Multi-dose DEC/Alb therapy was much more effective than single-dose treatment for reducing and clearing MF.")</f>
        <v>Multi-dose DEC/Alb therapy was much more effective than single-dose treatment for reducing and clearing MF.</v>
      </c>
      <c r="U169" s="697"/>
      <c r="V169" s="697">
        <f>IFERROR(__xludf.DUMMYFUNCTION("""COMPUTED_VALUE"""),2000.0)</f>
        <v>2000</v>
      </c>
      <c r="W169" s="697">
        <f>IFERROR(__xludf.DUMMYFUNCTION("""COMPUTED_VALUE"""),2000.0)</f>
        <v>2000</v>
      </c>
      <c r="X169" s="697" t="str">
        <f>IFERROR(__xludf.DUMMYFUNCTION("""COMPUTED_VALUE"""),"El Setouhy, Maged, et al. ""A randomized clinical trial comparing single-and multi-dose combination therapy with diethylcarbamazine and albendazole for treatment of bancroftian filariasis."" The American journal of tropical medicine and hygiene 70.2 (2004"&amp;"): 191-196.")</f>
        <v>El Setouhy, Maged, et al. "A randomized clinical trial comparing single-and multi-dose combination therapy with diethylcarbamazine and albendazole for treatment of bancroftian filariasis." The American journal of tropical medicine and hygiene 70.2 (2004): 191-196.</v>
      </c>
      <c r="Y169" s="697" t="str">
        <f>IFERROR(__xludf.DUMMYFUNCTION("""COMPUTED_VALUE"""),"10.1093/cid/civ882")</f>
        <v>10.1093/cid/civ882</v>
      </c>
      <c r="Z169" s="865" t="str">
        <f>IFERROR(__xludf.DUMMYFUNCTION("""COMPUTED_VALUE"""),"https://drive.google.com/file/d/0B0qKRmtVkPtWMWNoVVhuQmVLMEU/view?usp=sharing")</f>
        <v>https://drive.google.com/file/d/0B0qKRmtVkPtWMWNoVVhuQmVLMEU/view?usp=sharing</v>
      </c>
      <c r="AA169" s="697" t="str">
        <f>IFERROR(__xludf.DUMMYFUNCTION("""COMPUTED_VALUE"""),"x")</f>
        <v>x</v>
      </c>
    </row>
    <row r="170">
      <c r="A170" s="697" t="str">
        <f>IFERROR(__xludf.DUMMYFUNCTION("""COMPUTED_VALUE"""),"El Setouhy 2004")</f>
        <v>El Setouhy 2004</v>
      </c>
      <c r="B170" s="697" t="str">
        <f>IFERROR(__xludf.DUMMYFUNCTION("""COMPUTED_VALUE"""),"Mike")</f>
        <v>Mike</v>
      </c>
      <c r="C170" s="697" t="str">
        <f>IFERROR(__xludf.DUMMYFUNCTION("""COMPUTED_VALUE"""),"Alex")</f>
        <v>Alex</v>
      </c>
      <c r="D170" s="697" t="str">
        <f>IFERROR(__xludf.DUMMYFUNCTION("""COMPUTED_VALUE"""),"Egypt")</f>
        <v>Egypt</v>
      </c>
      <c r="E170" s="697" t="str">
        <f>IFERROR(__xludf.DUMMYFUNCTION("""COMPUTED_VALUE"""),"w. bancrofti")</f>
        <v>w. bancrofti</v>
      </c>
      <c r="F170" s="697" t="str">
        <f>IFERROR(__xludf.DUMMYFUNCTION("""COMPUTED_VALUE"""),"Albendazole &amp; DEC")</f>
        <v>Albendazole &amp; DEC</v>
      </c>
      <c r="G170" s="697" t="str">
        <f>IFERROR(__xludf.DUMMYFUNCTION("""COMPUTED_VALUE"""),"6mg/kg + 400mg")</f>
        <v>6mg/kg + 400mg</v>
      </c>
      <c r="H170" s="697">
        <f>IFERROR(__xludf.DUMMYFUNCTION("""COMPUTED_VALUE"""),1.0)</f>
        <v>1</v>
      </c>
      <c r="I170" s="706">
        <f>IFERROR(__xludf.DUMMYFUNCTION("""COMPUTED_VALUE"""),0.857)</f>
        <v>0.857</v>
      </c>
      <c r="J170" s="706">
        <f>IFERROR(__xludf.DUMMYFUNCTION("""COMPUTED_VALUE"""),0.231)</f>
        <v>0.231</v>
      </c>
      <c r="K170" s="697" t="str">
        <f>IFERROR(__xludf.DUMMYFUNCTION("""COMPUTED_VALUE"""),"not available")</f>
        <v>not available</v>
      </c>
      <c r="L170" s="697">
        <f>IFERROR(__xludf.DUMMYFUNCTION("""COMPUTED_VALUE"""),58.0)</f>
        <v>58</v>
      </c>
      <c r="M170" s="10" t="str">
        <f>IFERROR(__xludf.DUMMYFUNCTION("""COMPUTED_VALUE"""),"&gt;=18")</f>
        <v>&gt;=18</v>
      </c>
      <c r="N170" s="862" t="str">
        <f>IFERROR(__xludf.DUMMYFUNCTION("""COMPUTED_VALUE"""),"12 : 18")</f>
        <v>12 : 18</v>
      </c>
      <c r="O170" s="697" t="str">
        <f>IFERROR(__xludf.DUMMYFUNCTION("""COMPUTED_VALUE"""),"night blood microfilaria counts &gt; 80 MF/mL)")</f>
        <v>night blood microfilaria counts &gt; 80 MF/mL)</v>
      </c>
      <c r="P170" s="697" t="str">
        <f>IFERROR(__xludf.DUMMYFUNCTION("""COMPUTED_VALUE"""),"not blinded")</f>
        <v>not blinded</v>
      </c>
      <c r="Q170" s="697" t="str">
        <f>IFERROR(__xludf.DUMMYFUNCTION("""COMPUTED_VALUE"""),"no")</f>
        <v>no</v>
      </c>
      <c r="R170" s="697" t="str">
        <f>IFERROR(__xludf.DUMMYFUNCTION("""COMPUTED_VALUE"""),"yes")</f>
        <v>yes</v>
      </c>
      <c r="S170" s="697" t="str">
        <f>IFERROR(__xludf.DUMMYFUNCTION("""COMPUTED_VALUE"""),"2 years")</f>
        <v>2 years</v>
      </c>
      <c r="T170" s="697" t="str">
        <f>IFERROR(__xludf.DUMMYFUNCTION("""COMPUTED_VALUE"""),"Multi-dose DEC/Alb therapy was much more effective than single-dose treatment for reducing and clearing MF.")</f>
        <v>Multi-dose DEC/Alb therapy was much more effective than single-dose treatment for reducing and clearing MF.</v>
      </c>
      <c r="U170" s="697"/>
      <c r="V170" s="697">
        <f>IFERROR(__xludf.DUMMYFUNCTION("""COMPUTED_VALUE"""),2000.0)</f>
        <v>2000</v>
      </c>
      <c r="W170" s="697">
        <f>IFERROR(__xludf.DUMMYFUNCTION("""COMPUTED_VALUE"""),2000.0)</f>
        <v>2000</v>
      </c>
      <c r="X170" s="697" t="str">
        <f>IFERROR(__xludf.DUMMYFUNCTION("""COMPUTED_VALUE"""),"El Setouhy, Maged, et al. ""A randomized clinical trial comparing single-and multi-dose combination therapy with diethylcarbamazine and albendazole for treatment of bancroftian filariasis."" The American journal of tropical medicine and hygiene 70.2 (2004"&amp;"): 191-196.")</f>
        <v>El Setouhy, Maged, et al. "A randomized clinical trial comparing single-and multi-dose combination therapy with diethylcarbamazine and albendazole for treatment of bancroftian filariasis." The American journal of tropical medicine and hygiene 70.2 (2004): 191-196.</v>
      </c>
      <c r="Y170" s="697" t="str">
        <f>IFERROR(__xludf.DUMMYFUNCTION("""COMPUTED_VALUE"""),"10.1093/cid/civ882")</f>
        <v>10.1093/cid/civ882</v>
      </c>
      <c r="Z170" s="865" t="str">
        <f>IFERROR(__xludf.DUMMYFUNCTION("""COMPUTED_VALUE"""),"https://drive.google.com/file/d/0B0qKRmtVkPtWMWNoVVhuQmVLMEU/view?usp=sharing")</f>
        <v>https://drive.google.com/file/d/0B0qKRmtVkPtWMWNoVVhuQmVLMEU/view?usp=sharing</v>
      </c>
      <c r="AA170" s="697" t="str">
        <f>IFERROR(__xludf.DUMMYFUNCTION("""COMPUTED_VALUE"""),"x")</f>
        <v>x</v>
      </c>
    </row>
    <row r="171">
      <c r="A171" s="697" t="str">
        <f>IFERROR(__xludf.DUMMYFUNCTION("""COMPUTED_VALUE"""),"Simonsen 1997")</f>
        <v>Simonsen 1997</v>
      </c>
      <c r="B171" s="697" t="str">
        <f>IFERROR(__xludf.DUMMYFUNCTION("""COMPUTED_VALUE"""),"Mike")</f>
        <v>Mike</v>
      </c>
      <c r="C171" s="697" t="str">
        <f>IFERROR(__xludf.DUMMYFUNCTION("""COMPUTED_VALUE"""),"Alex ")</f>
        <v>Alex </v>
      </c>
      <c r="D171" s="697" t="str">
        <f>IFERROR(__xludf.DUMMYFUNCTION("""COMPUTED_VALUE"""),"Tanzania")</f>
        <v>Tanzania</v>
      </c>
      <c r="E171" s="697" t="str">
        <f>IFERROR(__xludf.DUMMYFUNCTION("""COMPUTED_VALUE"""),"w. bancrofti")</f>
        <v>w. bancrofti</v>
      </c>
      <c r="F171" s="697" t="str">
        <f>IFERROR(__xludf.DUMMYFUNCTION("""COMPUTED_VALUE"""),"DEC")</f>
        <v>DEC</v>
      </c>
      <c r="G171" s="697" t="str">
        <f>IFERROR(__xludf.DUMMYFUNCTION("""COMPUTED_VALUE"""),"100mg")</f>
        <v>100mg</v>
      </c>
      <c r="H171" s="697">
        <f>IFERROR(__xludf.DUMMYFUNCTION("""COMPUTED_VALUE"""),1.0)</f>
        <v>1</v>
      </c>
      <c r="I171" s="697">
        <f>IFERROR(__xludf.DUMMYFUNCTION("""COMPUTED_VALUE"""),43.4)</f>
        <v>43.4</v>
      </c>
      <c r="J171" s="697"/>
      <c r="K171" s="697" t="str">
        <f>IFERROR(__xludf.DUMMYFUNCTION("""COMPUTED_VALUE"""),"not available")</f>
        <v>not available</v>
      </c>
      <c r="L171" s="697">
        <f>IFERROR(__xludf.DUMMYFUNCTION("""COMPUTED_VALUE"""),51.0)</f>
        <v>51</v>
      </c>
      <c r="M171" s="10" t="str">
        <f>IFERROR(__xludf.DUMMYFUNCTION("""COMPUTED_VALUE"""),"7 to 78")</f>
        <v>7 to 78</v>
      </c>
      <c r="N171" s="697" t="str">
        <f>IFERROR(__xludf.DUMMYFUNCTION("""COMPUTED_VALUE"""),"30 : 21")</f>
        <v>30 : 21</v>
      </c>
      <c r="O171" s="697" t="str">
        <f>IFERROR(__xludf.DUMMYFUNCTION("""COMPUTED_VALUE"""),"pre-treatment mf intensities greater than 100mf/mL")</f>
        <v>pre-treatment mf intensities greater than 100mf/mL</v>
      </c>
      <c r="P171" s="697" t="str">
        <f>IFERROR(__xludf.DUMMYFUNCTION("""COMPUTED_VALUE"""),"placebo-controlled, double-blind")</f>
        <v>placebo-controlled, double-blind</v>
      </c>
      <c r="Q171" s="697" t="str">
        <f>IFERROR(__xludf.DUMMYFUNCTION("""COMPUTED_VALUE"""),"yes")</f>
        <v>yes</v>
      </c>
      <c r="R171" s="697" t="str">
        <f>IFERROR(__xludf.DUMMYFUNCTION("""COMPUTED_VALUE"""),"no")</f>
        <v>no</v>
      </c>
      <c r="S171" s="697" t="str">
        <f>IFERROR(__xludf.DUMMYFUNCTION("""COMPUTED_VALUE"""),"20 days")</f>
        <v>20 days</v>
      </c>
      <c r="T171" s="697" t="str">
        <f>IFERROR(__xludf.DUMMYFUNCTION("""COMPUTED_VALUE"""),"The study showed that a single dose of 100 mg DEC per person (corresponding to approximately 2-4 mg DEC/kg body weight, equal to the dose usually used for the DEC provocative day test) had a significant long term effect on microfilaraemia. T")</f>
        <v>The study showed that a single dose of 100 mg DEC per person (corresponding to approximately 2-4 mg DEC/kg body weight, equal to the dose usually used for the DEC provocative day test) had a significant long term effect on microfilaraemia. T</v>
      </c>
      <c r="U171" s="697"/>
      <c r="V171" s="697">
        <f>IFERROR(__xludf.DUMMYFUNCTION("""COMPUTED_VALUE"""),1997.0)</f>
        <v>1997</v>
      </c>
      <c r="W171" s="697">
        <f>IFERROR(__xludf.DUMMYFUNCTION("""COMPUTED_VALUE"""),1997.0)</f>
        <v>1997</v>
      </c>
      <c r="X171" s="697" t="str">
        <f>IFERROR(__xludf.DUMMYFUNCTION("""COMPUTED_VALUE"""),"Simonsen, Poul Erik, Dan Wolf Meyrowitsch, and W. H. Makunde. ""Bancroftian filariasis: long-term effect of the DEC provocative day test on microfilaraemia."" Transactions of the Royal Society of Tropical Medicine and Hygiene 91.3 (1997): 290-293.")</f>
        <v>Simonsen, Poul Erik, Dan Wolf Meyrowitsch, and W. H. Makunde. "Bancroftian filariasis: long-term effect of the DEC provocative day test on microfilaraemia." Transactions of the Royal Society of Tropical Medicine and Hygiene 91.3 (1997): 290-293.</v>
      </c>
      <c r="Y171" s="699" t="str">
        <f>IFERROR(__xludf.DUMMYFUNCTION("""COMPUTED_VALUE"""),"http://dx.doi.org/10.1016/S0035-9203(97)90079-1")</f>
        <v>http://dx.doi.org/10.1016/S0035-9203(97)90079-1</v>
      </c>
      <c r="Z171" s="865" t="str">
        <f>IFERROR(__xludf.DUMMYFUNCTION("""COMPUTED_VALUE"""),"https://drive.google.com/file/d/0B0qKRmtVkPtWMFByMGl4dnRaSm8/view?usp=sharing")</f>
        <v>https://drive.google.com/file/d/0B0qKRmtVkPtWMFByMGl4dnRaSm8/view?usp=sharing</v>
      </c>
      <c r="AA171" s="697"/>
    </row>
    <row r="172">
      <c r="A172" s="697" t="str">
        <f>IFERROR(__xludf.DUMMYFUNCTION("""COMPUTED_VALUE"""),"Simonsen 1997")</f>
        <v>Simonsen 1997</v>
      </c>
      <c r="B172" s="697" t="str">
        <f>IFERROR(__xludf.DUMMYFUNCTION("""COMPUTED_VALUE"""),"Mike")</f>
        <v>Mike</v>
      </c>
      <c r="C172" s="697" t="str">
        <f>IFERROR(__xludf.DUMMYFUNCTION("""COMPUTED_VALUE"""),"Alex ")</f>
        <v>Alex </v>
      </c>
      <c r="D172" s="697" t="str">
        <f>IFERROR(__xludf.DUMMYFUNCTION("""COMPUTED_VALUE"""),"Tanzania")</f>
        <v>Tanzania</v>
      </c>
      <c r="E172" s="697" t="str">
        <f>IFERROR(__xludf.DUMMYFUNCTION("""COMPUTED_VALUE"""),"w. bancrofti")</f>
        <v>w. bancrofti</v>
      </c>
      <c r="F172" s="697" t="str">
        <f>IFERROR(__xludf.DUMMYFUNCTION("""COMPUTED_VALUE"""),"Placebo")</f>
        <v>Placebo</v>
      </c>
      <c r="G172" s="697" t="str">
        <f>IFERROR(__xludf.DUMMYFUNCTION("""COMPUTED_VALUE"""),"-")</f>
        <v>-</v>
      </c>
      <c r="H172" s="697">
        <f>IFERROR(__xludf.DUMMYFUNCTION("""COMPUTED_VALUE"""),1.0)</f>
        <v>1</v>
      </c>
      <c r="I172" s="697">
        <f>IFERROR(__xludf.DUMMYFUNCTION("""COMPUTED_VALUE"""),0.9)</f>
        <v>0.9</v>
      </c>
      <c r="J172" s="697" t="str">
        <f>IFERROR(__xludf.DUMMYFUNCTION("""COMPUTED_VALUE"""),"not available")</f>
        <v>not available</v>
      </c>
      <c r="K172" s="697" t="str">
        <f>IFERROR(__xludf.DUMMYFUNCTION("""COMPUTED_VALUE"""),"not available")</f>
        <v>not available</v>
      </c>
      <c r="L172" s="697">
        <f>IFERROR(__xludf.DUMMYFUNCTION("""COMPUTED_VALUE"""),20.0)</f>
        <v>20</v>
      </c>
      <c r="M172" s="10" t="str">
        <f>IFERROR(__xludf.DUMMYFUNCTION("""COMPUTED_VALUE"""),"10 to 60")</f>
        <v>10 to 60</v>
      </c>
      <c r="N172" s="862" t="str">
        <f>IFERROR(__xludf.DUMMYFUNCTION("""COMPUTED_VALUE"""),"12 : 8")</f>
        <v>12 : 8</v>
      </c>
      <c r="O172" s="697" t="str">
        <f>IFERROR(__xludf.DUMMYFUNCTION("""COMPUTED_VALUE"""),"pre-treatment mf intensities greater than 100mf/mL")</f>
        <v>pre-treatment mf intensities greater than 100mf/mL</v>
      </c>
      <c r="P172" s="697" t="str">
        <f>IFERROR(__xludf.DUMMYFUNCTION("""COMPUTED_VALUE"""),"placebo-controlled, double-blind")</f>
        <v>placebo-controlled, double-blind</v>
      </c>
      <c r="Q172" s="697" t="str">
        <f>IFERROR(__xludf.DUMMYFUNCTION("""COMPUTED_VALUE"""),"yes")</f>
        <v>yes</v>
      </c>
      <c r="R172" s="697" t="str">
        <f>IFERROR(__xludf.DUMMYFUNCTION("""COMPUTED_VALUE"""),"no")</f>
        <v>no</v>
      </c>
      <c r="S172" s="697" t="str">
        <f>IFERROR(__xludf.DUMMYFUNCTION("""COMPUTED_VALUE"""),"20 days")</f>
        <v>20 days</v>
      </c>
      <c r="T172" s="697" t="str">
        <f>IFERROR(__xludf.DUMMYFUNCTION("""COMPUTED_VALUE"""),"The study showed that a single dose of 100 mg DEC per person (corresponding to approximately 2-4 mg DEC/kg body weight, equal to the dose usually used for the DEC provocative day test) had a significant long term effect on microfilaraemia. T")</f>
        <v>The study showed that a single dose of 100 mg DEC per person (corresponding to approximately 2-4 mg DEC/kg body weight, equal to the dose usually used for the DEC provocative day test) had a significant long term effect on microfilaraemia. T</v>
      </c>
      <c r="U172" s="697"/>
      <c r="V172" s="697">
        <f>IFERROR(__xludf.DUMMYFUNCTION("""COMPUTED_VALUE"""),1997.0)</f>
        <v>1997</v>
      </c>
      <c r="W172" s="697">
        <f>IFERROR(__xludf.DUMMYFUNCTION("""COMPUTED_VALUE"""),1997.0)</f>
        <v>1997</v>
      </c>
      <c r="X172" s="697" t="str">
        <f>IFERROR(__xludf.DUMMYFUNCTION("""COMPUTED_VALUE"""),"Simonsen, Poul Erik, Dan Wolf Meyrowitsch, and W. H. Makunde. ""Bancroftian filariasis: long-term effect of the DEC provocative day test on microfilaraemia."" Transactions of the Royal Society of Tropical Medicine and Hygiene 91.3 (1997): 290-293.")</f>
        <v>Simonsen, Poul Erik, Dan Wolf Meyrowitsch, and W. H. Makunde. "Bancroftian filariasis: long-term effect of the DEC provocative day test on microfilaraemia." Transactions of the Royal Society of Tropical Medicine and Hygiene 91.3 (1997): 290-293.</v>
      </c>
      <c r="Y172" s="699" t="str">
        <f>IFERROR(__xludf.DUMMYFUNCTION("""COMPUTED_VALUE"""),"http://dx.doi.org/10.1016/S0035-9203(97)90079-1")</f>
        <v>http://dx.doi.org/10.1016/S0035-9203(97)90079-1</v>
      </c>
      <c r="Z172" s="865" t="str">
        <f>IFERROR(__xludf.DUMMYFUNCTION("""COMPUTED_VALUE"""),"https://drive.google.com/file/d/0B0qKRmtVkPtWMFByMGl4dnRaSm8/view?usp=sharing")</f>
        <v>https://drive.google.com/file/d/0B0qKRmtVkPtWMFByMGl4dnRaSm8/view?usp=sharing</v>
      </c>
      <c r="AA172" s="697"/>
    </row>
    <row r="173">
      <c r="A173" s="697" t="str">
        <f>IFERROR(__xludf.DUMMYFUNCTION("""COMPUTED_VALUE"""),"Simonsen 1997")</f>
        <v>Simonsen 1997</v>
      </c>
      <c r="B173" s="697" t="str">
        <f>IFERROR(__xludf.DUMMYFUNCTION("""COMPUTED_VALUE"""),"Mike")</f>
        <v>Mike</v>
      </c>
      <c r="C173" s="697" t="str">
        <f>IFERROR(__xludf.DUMMYFUNCTION("""COMPUTED_VALUE"""),"Alex ")</f>
        <v>Alex </v>
      </c>
      <c r="D173" s="697" t="str">
        <f>IFERROR(__xludf.DUMMYFUNCTION("""COMPUTED_VALUE"""),"Tanzania")</f>
        <v>Tanzania</v>
      </c>
      <c r="E173" s="697" t="str">
        <f>IFERROR(__xludf.DUMMYFUNCTION("""COMPUTED_VALUE"""),"w. bancrofti")</f>
        <v>w. bancrofti</v>
      </c>
      <c r="F173" s="697" t="str">
        <f>IFERROR(__xludf.DUMMYFUNCTION("""COMPUTED_VALUE"""),"DEC")</f>
        <v>DEC</v>
      </c>
      <c r="G173" s="697" t="str">
        <f>IFERROR(__xludf.DUMMYFUNCTION("""COMPUTED_VALUE"""),"100mg")</f>
        <v>100mg</v>
      </c>
      <c r="H173" s="697">
        <f>IFERROR(__xludf.DUMMYFUNCTION("""COMPUTED_VALUE"""),1.0)</f>
        <v>1</v>
      </c>
      <c r="I173" s="697">
        <f>IFERROR(__xludf.DUMMYFUNCTION("""COMPUTED_VALUE"""),64.2)</f>
        <v>64.2</v>
      </c>
      <c r="J173" s="697"/>
      <c r="K173" s="697" t="str">
        <f>IFERROR(__xludf.DUMMYFUNCTION("""COMPUTED_VALUE"""),"not available")</f>
        <v>not available</v>
      </c>
      <c r="L173" s="697">
        <f>IFERROR(__xludf.DUMMYFUNCTION("""COMPUTED_VALUE"""),51.0)</f>
        <v>51</v>
      </c>
      <c r="M173" s="10" t="str">
        <f>IFERROR(__xludf.DUMMYFUNCTION("""COMPUTED_VALUE"""),"7 to 78")</f>
        <v>7 to 78</v>
      </c>
      <c r="N173" s="697" t="str">
        <f>IFERROR(__xludf.DUMMYFUNCTION("""COMPUTED_VALUE"""),"30 : 21")</f>
        <v>30 : 21</v>
      </c>
      <c r="O173" s="697" t="str">
        <f>IFERROR(__xludf.DUMMYFUNCTION("""COMPUTED_VALUE"""),"pre-treatment mf intensities greater than 100mf/mL")</f>
        <v>pre-treatment mf intensities greater than 100mf/mL</v>
      </c>
      <c r="P173" s="697" t="str">
        <f>IFERROR(__xludf.DUMMYFUNCTION("""COMPUTED_VALUE"""),"placebo-controlled, double-blind")</f>
        <v>placebo-controlled, double-blind</v>
      </c>
      <c r="Q173" s="697" t="str">
        <f>IFERROR(__xludf.DUMMYFUNCTION("""COMPUTED_VALUE"""),"yes")</f>
        <v>yes</v>
      </c>
      <c r="R173" s="697" t="str">
        <f>IFERROR(__xludf.DUMMYFUNCTION("""COMPUTED_VALUE"""),"no")</f>
        <v>no</v>
      </c>
      <c r="S173" s="697" t="str">
        <f>IFERROR(__xludf.DUMMYFUNCTION("""COMPUTED_VALUE"""),"3 months")</f>
        <v>3 months</v>
      </c>
      <c r="T173" s="697" t="str">
        <f>IFERROR(__xludf.DUMMYFUNCTION("""COMPUTED_VALUE"""),"The study showed that a single dose of 100 mg DEC per person (corresponding to approximately 2-4 mg DEC/kg body weight, equal to the dose usually used for the DEC provocative day test) had a significant long term effect on microfilaraemia. T")</f>
        <v>The study showed that a single dose of 100 mg DEC per person (corresponding to approximately 2-4 mg DEC/kg body weight, equal to the dose usually used for the DEC provocative day test) had a significant long term effect on microfilaraemia. T</v>
      </c>
      <c r="U173" s="697"/>
      <c r="V173" s="697">
        <f>IFERROR(__xludf.DUMMYFUNCTION("""COMPUTED_VALUE"""),1997.0)</f>
        <v>1997</v>
      </c>
      <c r="W173" s="697">
        <f>IFERROR(__xludf.DUMMYFUNCTION("""COMPUTED_VALUE"""),1997.0)</f>
        <v>1997</v>
      </c>
      <c r="X173" s="697" t="str">
        <f>IFERROR(__xludf.DUMMYFUNCTION("""COMPUTED_VALUE"""),"Simonsen, Poul Erik, Dan Wolf Meyrowitsch, and W. H. Makunde. ""Bancroftian filariasis: long-term effect of the DEC provocative day test on microfilaraemia."" Transactions of the Royal Society of Tropical Medicine and Hygiene 91.3 (1997): 290-293.")</f>
        <v>Simonsen, Poul Erik, Dan Wolf Meyrowitsch, and W. H. Makunde. "Bancroftian filariasis: long-term effect of the DEC provocative day test on microfilaraemia." Transactions of the Royal Society of Tropical Medicine and Hygiene 91.3 (1997): 290-293.</v>
      </c>
      <c r="Y173" s="699" t="str">
        <f>IFERROR(__xludf.DUMMYFUNCTION("""COMPUTED_VALUE"""),"http://dx.doi.org/10.1016/S0035-9203(97)90079-1")</f>
        <v>http://dx.doi.org/10.1016/S0035-9203(97)90079-1</v>
      </c>
      <c r="Z173" s="865" t="str">
        <f>IFERROR(__xludf.DUMMYFUNCTION("""COMPUTED_VALUE"""),"https://drive.google.com/file/d/0B0qKRmtVkPtWMFByMGl4dnRaSm8/view?usp=sharing")</f>
        <v>https://drive.google.com/file/d/0B0qKRmtVkPtWMFByMGl4dnRaSm8/view?usp=sharing</v>
      </c>
      <c r="AA173" s="697"/>
    </row>
    <row r="174">
      <c r="A174" s="697" t="str">
        <f>IFERROR(__xludf.DUMMYFUNCTION("""COMPUTED_VALUE"""),"Simonsen 1997")</f>
        <v>Simonsen 1997</v>
      </c>
      <c r="B174" s="697" t="str">
        <f>IFERROR(__xludf.DUMMYFUNCTION("""COMPUTED_VALUE"""),"Mike")</f>
        <v>Mike</v>
      </c>
      <c r="C174" s="697" t="str">
        <f>IFERROR(__xludf.DUMMYFUNCTION("""COMPUTED_VALUE"""),"Alex ")</f>
        <v>Alex </v>
      </c>
      <c r="D174" s="697" t="str">
        <f>IFERROR(__xludf.DUMMYFUNCTION("""COMPUTED_VALUE"""),"Tanzania")</f>
        <v>Tanzania</v>
      </c>
      <c r="E174" s="697" t="str">
        <f>IFERROR(__xludf.DUMMYFUNCTION("""COMPUTED_VALUE"""),"w. bancrofti")</f>
        <v>w. bancrofti</v>
      </c>
      <c r="F174" s="697" t="str">
        <f>IFERROR(__xludf.DUMMYFUNCTION("""COMPUTED_VALUE"""),"Placebo")</f>
        <v>Placebo</v>
      </c>
      <c r="G174" s="697" t="str">
        <f>IFERROR(__xludf.DUMMYFUNCTION("""COMPUTED_VALUE"""),"-")</f>
        <v>-</v>
      </c>
      <c r="H174" s="697">
        <f>IFERROR(__xludf.DUMMYFUNCTION("""COMPUTED_VALUE"""),1.0)</f>
        <v>1</v>
      </c>
      <c r="I174" s="706">
        <f>IFERROR(__xludf.DUMMYFUNCTION("""COMPUTED_VALUE"""),0.01)</f>
        <v>0.01</v>
      </c>
      <c r="J174" s="697" t="str">
        <f>IFERROR(__xludf.DUMMYFUNCTION("""COMPUTED_VALUE"""),"not available")</f>
        <v>not available</v>
      </c>
      <c r="K174" s="697" t="str">
        <f>IFERROR(__xludf.DUMMYFUNCTION("""COMPUTED_VALUE"""),"not available")</f>
        <v>not available</v>
      </c>
      <c r="L174" s="697">
        <f>IFERROR(__xludf.DUMMYFUNCTION("""COMPUTED_VALUE"""),20.0)</f>
        <v>20</v>
      </c>
      <c r="M174" s="10" t="str">
        <f>IFERROR(__xludf.DUMMYFUNCTION("""COMPUTED_VALUE"""),"10 to 60")</f>
        <v>10 to 60</v>
      </c>
      <c r="N174" s="862" t="str">
        <f>IFERROR(__xludf.DUMMYFUNCTION("""COMPUTED_VALUE"""),"12 : 8")</f>
        <v>12 : 8</v>
      </c>
      <c r="O174" s="697" t="str">
        <f>IFERROR(__xludf.DUMMYFUNCTION("""COMPUTED_VALUE"""),"pre-treatment mf intensities greater than 100mf/mL")</f>
        <v>pre-treatment mf intensities greater than 100mf/mL</v>
      </c>
      <c r="P174" s="697" t="str">
        <f>IFERROR(__xludf.DUMMYFUNCTION("""COMPUTED_VALUE"""),"placebo-controlled, double-blind")</f>
        <v>placebo-controlled, double-blind</v>
      </c>
      <c r="Q174" s="697" t="str">
        <f>IFERROR(__xludf.DUMMYFUNCTION("""COMPUTED_VALUE"""),"yes")</f>
        <v>yes</v>
      </c>
      <c r="R174" s="697" t="str">
        <f>IFERROR(__xludf.DUMMYFUNCTION("""COMPUTED_VALUE"""),"no")</f>
        <v>no</v>
      </c>
      <c r="S174" s="697" t="str">
        <f>IFERROR(__xludf.DUMMYFUNCTION("""COMPUTED_VALUE"""),"3 months")</f>
        <v>3 months</v>
      </c>
      <c r="T174" s="697" t="str">
        <f>IFERROR(__xludf.DUMMYFUNCTION("""COMPUTED_VALUE"""),"The study showed that a single dose of 100 mg DEC per person (corresponding to approximately 2-4 mg DEC/kg body weight, equal to the dose usually used for the DEC provocative day test) had a significant long term effect on microfilaraemia. T")</f>
        <v>The study showed that a single dose of 100 mg DEC per person (corresponding to approximately 2-4 mg DEC/kg body weight, equal to the dose usually used for the DEC provocative day test) had a significant long term effect on microfilaraemia. T</v>
      </c>
      <c r="U174" s="697"/>
      <c r="V174" s="697">
        <f>IFERROR(__xludf.DUMMYFUNCTION("""COMPUTED_VALUE"""),1997.0)</f>
        <v>1997</v>
      </c>
      <c r="W174" s="697">
        <f>IFERROR(__xludf.DUMMYFUNCTION("""COMPUTED_VALUE"""),1997.0)</f>
        <v>1997</v>
      </c>
      <c r="X174" s="697" t="str">
        <f>IFERROR(__xludf.DUMMYFUNCTION("""COMPUTED_VALUE"""),"Simonsen, Poul Erik, Dan Wolf Meyrowitsch, and W. H. Makunde. ""Bancroftian filariasis: long-term effect of the DEC provocative day test on microfilaraemia."" Transactions of the Royal Society of Tropical Medicine and Hygiene 91.3 (1997): 290-293.")</f>
        <v>Simonsen, Poul Erik, Dan Wolf Meyrowitsch, and W. H. Makunde. "Bancroftian filariasis: long-term effect of the DEC provocative day test on microfilaraemia." Transactions of the Royal Society of Tropical Medicine and Hygiene 91.3 (1997): 290-293.</v>
      </c>
      <c r="Y174" s="699" t="str">
        <f>IFERROR(__xludf.DUMMYFUNCTION("""COMPUTED_VALUE"""),"http://dx.doi.org/10.1016/S0035-9203(97)90079-1")</f>
        <v>http://dx.doi.org/10.1016/S0035-9203(97)90079-1</v>
      </c>
      <c r="Z174" s="865" t="str">
        <f>IFERROR(__xludf.DUMMYFUNCTION("""COMPUTED_VALUE"""),"https://drive.google.com/file/d/0B0qKRmtVkPtWMFByMGl4dnRaSm8/view?usp=sharing")</f>
        <v>https://drive.google.com/file/d/0B0qKRmtVkPtWMFByMGl4dnRaSm8/view?usp=sharing</v>
      </c>
      <c r="AA174" s="697"/>
    </row>
    <row r="175">
      <c r="A175" s="697" t="str">
        <f>IFERROR(__xludf.DUMMYFUNCTION("""COMPUTED_VALUE"""),"Simonsen 1997")</f>
        <v>Simonsen 1997</v>
      </c>
      <c r="B175" s="697" t="str">
        <f>IFERROR(__xludf.DUMMYFUNCTION("""COMPUTED_VALUE"""),"Mike")</f>
        <v>Mike</v>
      </c>
      <c r="C175" s="697" t="str">
        <f>IFERROR(__xludf.DUMMYFUNCTION("""COMPUTED_VALUE"""),"Alex ")</f>
        <v>Alex </v>
      </c>
      <c r="D175" s="697" t="str">
        <f>IFERROR(__xludf.DUMMYFUNCTION("""COMPUTED_VALUE"""),"Tanzania")</f>
        <v>Tanzania</v>
      </c>
      <c r="E175" s="697" t="str">
        <f>IFERROR(__xludf.DUMMYFUNCTION("""COMPUTED_VALUE"""),"w. bancrofti")</f>
        <v>w. bancrofti</v>
      </c>
      <c r="F175" s="697" t="str">
        <f>IFERROR(__xludf.DUMMYFUNCTION("""COMPUTED_VALUE"""),"DEC")</f>
        <v>DEC</v>
      </c>
      <c r="G175" s="697" t="str">
        <f>IFERROR(__xludf.DUMMYFUNCTION("""COMPUTED_VALUE"""),"100mg")</f>
        <v>100mg</v>
      </c>
      <c r="H175" s="697">
        <f>IFERROR(__xludf.DUMMYFUNCTION("""COMPUTED_VALUE"""),1.0)</f>
        <v>1</v>
      </c>
      <c r="I175" s="706">
        <f>IFERROR(__xludf.DUMMYFUNCTION("""COMPUTED_VALUE"""),0.809)</f>
        <v>0.809</v>
      </c>
      <c r="J175" s="697"/>
      <c r="K175" s="697" t="str">
        <f>IFERROR(__xludf.DUMMYFUNCTION("""COMPUTED_VALUE"""),"not available")</f>
        <v>not available</v>
      </c>
      <c r="L175" s="697">
        <f>IFERROR(__xludf.DUMMYFUNCTION("""COMPUTED_VALUE"""),51.0)</f>
        <v>51</v>
      </c>
      <c r="M175" s="10" t="str">
        <f>IFERROR(__xludf.DUMMYFUNCTION("""COMPUTED_VALUE"""),"7 to 78")</f>
        <v>7 to 78</v>
      </c>
      <c r="N175" s="697" t="str">
        <f>IFERROR(__xludf.DUMMYFUNCTION("""COMPUTED_VALUE"""),"30 : 21")</f>
        <v>30 : 21</v>
      </c>
      <c r="O175" s="697" t="str">
        <f>IFERROR(__xludf.DUMMYFUNCTION("""COMPUTED_VALUE"""),"pre-treatment mf intensities greater than 100mf/mL")</f>
        <v>pre-treatment mf intensities greater than 100mf/mL</v>
      </c>
      <c r="P175" s="697" t="str">
        <f>IFERROR(__xludf.DUMMYFUNCTION("""COMPUTED_VALUE"""),"placebo-controlled, double-blind")</f>
        <v>placebo-controlled, double-blind</v>
      </c>
      <c r="Q175" s="697" t="str">
        <f>IFERROR(__xludf.DUMMYFUNCTION("""COMPUTED_VALUE"""),"yes")</f>
        <v>yes</v>
      </c>
      <c r="R175" s="697" t="str">
        <f>IFERROR(__xludf.DUMMYFUNCTION("""COMPUTED_VALUE"""),"no")</f>
        <v>no</v>
      </c>
      <c r="S175" s="697" t="str">
        <f>IFERROR(__xludf.DUMMYFUNCTION("""COMPUTED_VALUE"""),"6 months")</f>
        <v>6 months</v>
      </c>
      <c r="T175" s="697" t="str">
        <f>IFERROR(__xludf.DUMMYFUNCTION("""COMPUTED_VALUE"""),"The study showed that a single dose of 100 mg DEC per person (corresponding to approximately 2-4 mg DEC/kg body weight, equal to the dose usually used for the DEC provocative day test) had a significant long term effect on microfilaraemia. T")</f>
        <v>The study showed that a single dose of 100 mg DEC per person (corresponding to approximately 2-4 mg DEC/kg body weight, equal to the dose usually used for the DEC provocative day test) had a significant long term effect on microfilaraemia. T</v>
      </c>
      <c r="U175" s="697"/>
      <c r="V175" s="697">
        <f>IFERROR(__xludf.DUMMYFUNCTION("""COMPUTED_VALUE"""),1997.0)</f>
        <v>1997</v>
      </c>
      <c r="W175" s="697">
        <f>IFERROR(__xludf.DUMMYFUNCTION("""COMPUTED_VALUE"""),1997.0)</f>
        <v>1997</v>
      </c>
      <c r="X175" s="697" t="str">
        <f>IFERROR(__xludf.DUMMYFUNCTION("""COMPUTED_VALUE"""),"Simonsen, Poul Erik, Dan Wolf Meyrowitsch, and W. H. Makunde. ""Bancroftian filariasis: long-term effect of the DEC provocative day test on microfilaraemia."" Transactions of the Royal Society of Tropical Medicine and Hygiene 91.3 (1997): 290-293.")</f>
        <v>Simonsen, Poul Erik, Dan Wolf Meyrowitsch, and W. H. Makunde. "Bancroftian filariasis: long-term effect of the DEC provocative day test on microfilaraemia." Transactions of the Royal Society of Tropical Medicine and Hygiene 91.3 (1997): 290-293.</v>
      </c>
      <c r="Y175" s="699" t="str">
        <f>IFERROR(__xludf.DUMMYFUNCTION("""COMPUTED_VALUE"""),"http://dx.doi.org/10.1016/S0035-9203(97)90079-1")</f>
        <v>http://dx.doi.org/10.1016/S0035-9203(97)90079-1</v>
      </c>
      <c r="Z175" s="865" t="str">
        <f>IFERROR(__xludf.DUMMYFUNCTION("""COMPUTED_VALUE"""),"https://drive.google.com/file/d/0B0qKRmtVkPtWMFByMGl4dnRaSm8/view?usp=sharing")</f>
        <v>https://drive.google.com/file/d/0B0qKRmtVkPtWMFByMGl4dnRaSm8/view?usp=sharing</v>
      </c>
      <c r="AA175" s="697"/>
    </row>
    <row r="176">
      <c r="A176" s="697" t="str">
        <f>IFERROR(__xludf.DUMMYFUNCTION("""COMPUTED_VALUE"""),"Simonsen 1997")</f>
        <v>Simonsen 1997</v>
      </c>
      <c r="B176" s="697" t="str">
        <f>IFERROR(__xludf.DUMMYFUNCTION("""COMPUTED_VALUE"""),"Mike")</f>
        <v>Mike</v>
      </c>
      <c r="C176" s="697" t="str">
        <f>IFERROR(__xludf.DUMMYFUNCTION("""COMPUTED_VALUE"""),"Alex ")</f>
        <v>Alex </v>
      </c>
      <c r="D176" s="697" t="str">
        <f>IFERROR(__xludf.DUMMYFUNCTION("""COMPUTED_VALUE"""),"Tanzania")</f>
        <v>Tanzania</v>
      </c>
      <c r="E176" s="697" t="str">
        <f>IFERROR(__xludf.DUMMYFUNCTION("""COMPUTED_VALUE"""),"w. bancrofti")</f>
        <v>w. bancrofti</v>
      </c>
      <c r="F176" s="697" t="str">
        <f>IFERROR(__xludf.DUMMYFUNCTION("""COMPUTED_VALUE"""),"Placebo")</f>
        <v>Placebo</v>
      </c>
      <c r="G176" s="697" t="str">
        <f>IFERROR(__xludf.DUMMYFUNCTION("""COMPUTED_VALUE"""),"-")</f>
        <v>-</v>
      </c>
      <c r="H176" s="697">
        <f>IFERROR(__xludf.DUMMYFUNCTION("""COMPUTED_VALUE"""),1.0)</f>
        <v>1</v>
      </c>
      <c r="I176" s="706">
        <f>IFERROR(__xludf.DUMMYFUNCTION("""COMPUTED_VALUE"""),0.083)</f>
        <v>0.083</v>
      </c>
      <c r="J176" s="697" t="str">
        <f>IFERROR(__xludf.DUMMYFUNCTION("""COMPUTED_VALUE"""),"not available")</f>
        <v>not available</v>
      </c>
      <c r="K176" s="697" t="str">
        <f>IFERROR(__xludf.DUMMYFUNCTION("""COMPUTED_VALUE"""),"not available")</f>
        <v>not available</v>
      </c>
      <c r="L176" s="697">
        <f>IFERROR(__xludf.DUMMYFUNCTION("""COMPUTED_VALUE"""),20.0)</f>
        <v>20</v>
      </c>
      <c r="M176" s="10" t="str">
        <f>IFERROR(__xludf.DUMMYFUNCTION("""COMPUTED_VALUE"""),"10 to 60")</f>
        <v>10 to 60</v>
      </c>
      <c r="N176" s="862" t="str">
        <f>IFERROR(__xludf.DUMMYFUNCTION("""COMPUTED_VALUE"""),"12 : 8")</f>
        <v>12 : 8</v>
      </c>
      <c r="O176" s="697" t="str">
        <f>IFERROR(__xludf.DUMMYFUNCTION("""COMPUTED_VALUE"""),"pre-treatment mf intensities greater than 100mf/mL")</f>
        <v>pre-treatment mf intensities greater than 100mf/mL</v>
      </c>
      <c r="P176" s="697" t="str">
        <f>IFERROR(__xludf.DUMMYFUNCTION("""COMPUTED_VALUE"""),"placebo-controlled, double-blind")</f>
        <v>placebo-controlled, double-blind</v>
      </c>
      <c r="Q176" s="697" t="str">
        <f>IFERROR(__xludf.DUMMYFUNCTION("""COMPUTED_VALUE"""),"yes")</f>
        <v>yes</v>
      </c>
      <c r="R176" s="697" t="str">
        <f>IFERROR(__xludf.DUMMYFUNCTION("""COMPUTED_VALUE"""),"no")</f>
        <v>no</v>
      </c>
      <c r="S176" s="697" t="str">
        <f>IFERROR(__xludf.DUMMYFUNCTION("""COMPUTED_VALUE"""),"6 months")</f>
        <v>6 months</v>
      </c>
      <c r="T176" s="697" t="str">
        <f>IFERROR(__xludf.DUMMYFUNCTION("""COMPUTED_VALUE"""),"The study showed that a single dose of 100 mg DEC per person (corresponding to approximately 2-4 mg DEC/kg body weight, equal to the dose usually used for the DEC provocative day test) had a significant long term effect on microfilaraemia. T")</f>
        <v>The study showed that a single dose of 100 mg DEC per person (corresponding to approximately 2-4 mg DEC/kg body weight, equal to the dose usually used for the DEC provocative day test) had a significant long term effect on microfilaraemia. T</v>
      </c>
      <c r="U176" s="697"/>
      <c r="V176" s="697">
        <f>IFERROR(__xludf.DUMMYFUNCTION("""COMPUTED_VALUE"""),1997.0)</f>
        <v>1997</v>
      </c>
      <c r="W176" s="697">
        <f>IFERROR(__xludf.DUMMYFUNCTION("""COMPUTED_VALUE"""),1997.0)</f>
        <v>1997</v>
      </c>
      <c r="X176" s="697" t="str">
        <f>IFERROR(__xludf.DUMMYFUNCTION("""COMPUTED_VALUE"""),"Simonsen, Poul Erik, Dan Wolf Meyrowitsch, and W. H. Makunde. ""Bancroftian filariasis: long-term effect of the DEC provocative day test on microfilaraemia."" Transactions of the Royal Society of Tropical Medicine and Hygiene 91.3 (1997): 290-293.")</f>
        <v>Simonsen, Poul Erik, Dan Wolf Meyrowitsch, and W. H. Makunde. "Bancroftian filariasis: long-term effect of the DEC provocative day test on microfilaraemia." Transactions of the Royal Society of Tropical Medicine and Hygiene 91.3 (1997): 290-293.</v>
      </c>
      <c r="Y176" s="699" t="str">
        <f>IFERROR(__xludf.DUMMYFUNCTION("""COMPUTED_VALUE"""),"http://dx.doi.org/10.1016/S0035-9203(97)90079-1")</f>
        <v>http://dx.doi.org/10.1016/S0035-9203(97)90079-1</v>
      </c>
      <c r="Z176" s="865" t="str">
        <f>IFERROR(__xludf.DUMMYFUNCTION("""COMPUTED_VALUE"""),"https://drive.google.com/file/d/0B0qKRmtVkPtWMFByMGl4dnRaSm8/view?usp=sharing")</f>
        <v>https://drive.google.com/file/d/0B0qKRmtVkPtWMFByMGl4dnRaSm8/view?usp=sharing</v>
      </c>
      <c r="AA176" s="697"/>
    </row>
    <row r="177">
      <c r="A177" s="697" t="str">
        <f>IFERROR(__xludf.DUMMYFUNCTION("""COMPUTED_VALUE"""),"Simonsen 1997")</f>
        <v>Simonsen 1997</v>
      </c>
      <c r="B177" s="697" t="str">
        <f>IFERROR(__xludf.DUMMYFUNCTION("""COMPUTED_VALUE"""),"Mike")</f>
        <v>Mike</v>
      </c>
      <c r="C177" s="697" t="str">
        <f>IFERROR(__xludf.DUMMYFUNCTION("""COMPUTED_VALUE"""),"Alex ")</f>
        <v>Alex </v>
      </c>
      <c r="D177" s="697" t="str">
        <f>IFERROR(__xludf.DUMMYFUNCTION("""COMPUTED_VALUE"""),"Tanzania")</f>
        <v>Tanzania</v>
      </c>
      <c r="E177" s="697" t="str">
        <f>IFERROR(__xludf.DUMMYFUNCTION("""COMPUTED_VALUE"""),"w. bancrofti")</f>
        <v>w. bancrofti</v>
      </c>
      <c r="F177" s="697" t="str">
        <f>IFERROR(__xludf.DUMMYFUNCTION("""COMPUTED_VALUE"""),"DEC")</f>
        <v>DEC</v>
      </c>
      <c r="G177" s="697" t="str">
        <f>IFERROR(__xludf.DUMMYFUNCTION("""COMPUTED_VALUE"""),"100mg")</f>
        <v>100mg</v>
      </c>
      <c r="H177" s="697">
        <f>IFERROR(__xludf.DUMMYFUNCTION("""COMPUTED_VALUE"""),1.0)</f>
        <v>1</v>
      </c>
      <c r="I177" s="706">
        <f>IFERROR(__xludf.DUMMYFUNCTION("""COMPUTED_VALUE"""),0.861)</f>
        <v>0.861</v>
      </c>
      <c r="J177" s="698">
        <f>IFERROR(__xludf.DUMMYFUNCTION("""COMPUTED_VALUE"""),0.106)</f>
        <v>0.106</v>
      </c>
      <c r="K177" s="697" t="str">
        <f>IFERROR(__xludf.DUMMYFUNCTION("""COMPUTED_VALUE"""),"not available")</f>
        <v>not available</v>
      </c>
      <c r="L177" s="697">
        <f>IFERROR(__xludf.DUMMYFUNCTION("""COMPUTED_VALUE"""),51.0)</f>
        <v>51</v>
      </c>
      <c r="M177" s="10" t="str">
        <f>IFERROR(__xludf.DUMMYFUNCTION("""COMPUTED_VALUE"""),"7 to 78")</f>
        <v>7 to 78</v>
      </c>
      <c r="N177" s="697" t="str">
        <f>IFERROR(__xludf.DUMMYFUNCTION("""COMPUTED_VALUE"""),"30 : 21")</f>
        <v>30 : 21</v>
      </c>
      <c r="O177" s="697" t="str">
        <f>IFERROR(__xludf.DUMMYFUNCTION("""COMPUTED_VALUE"""),"pre-treatment mf intensities greater than 100mf/mL")</f>
        <v>pre-treatment mf intensities greater than 100mf/mL</v>
      </c>
      <c r="P177" s="697" t="str">
        <f>IFERROR(__xludf.DUMMYFUNCTION("""COMPUTED_VALUE"""),"placebo-controlled, double-blind")</f>
        <v>placebo-controlled, double-blind</v>
      </c>
      <c r="Q177" s="697" t="str">
        <f>IFERROR(__xludf.DUMMYFUNCTION("""COMPUTED_VALUE"""),"yes")</f>
        <v>yes</v>
      </c>
      <c r="R177" s="697" t="str">
        <f>IFERROR(__xludf.DUMMYFUNCTION("""COMPUTED_VALUE"""),"no")</f>
        <v>no</v>
      </c>
      <c r="S177" s="697" t="str">
        <f>IFERROR(__xludf.DUMMYFUNCTION("""COMPUTED_VALUE"""),"12 months")</f>
        <v>12 months</v>
      </c>
      <c r="T177" s="697" t="str">
        <f>IFERROR(__xludf.DUMMYFUNCTION("""COMPUTED_VALUE"""),"The study showed that a single dose of 100 mg DEC per person (corresponding to approximately 2-4 mg DEC/kg body weight, equal to the dose usually used for the DEC provocative day test) had a significant long term effect on microfilaraemia. T")</f>
        <v>The study showed that a single dose of 100 mg DEC per person (corresponding to approximately 2-4 mg DEC/kg body weight, equal to the dose usually used for the DEC provocative day test) had a significant long term effect on microfilaraemia. T</v>
      </c>
      <c r="U177" s="697"/>
      <c r="V177" s="697">
        <f>IFERROR(__xludf.DUMMYFUNCTION("""COMPUTED_VALUE"""),1997.0)</f>
        <v>1997</v>
      </c>
      <c r="W177" s="697">
        <f>IFERROR(__xludf.DUMMYFUNCTION("""COMPUTED_VALUE"""),1997.0)</f>
        <v>1997</v>
      </c>
      <c r="X177" s="697" t="str">
        <f>IFERROR(__xludf.DUMMYFUNCTION("""COMPUTED_VALUE"""),"Simonsen, Poul Erik, Dan Wolf Meyrowitsch, and W. H. Makunde. ""Bancroftian filariasis: long-term effect of the DEC provocative day test on microfilaraemia."" Transactions of the Royal Society of Tropical Medicine and Hygiene 91.3 (1997): 290-293.")</f>
        <v>Simonsen, Poul Erik, Dan Wolf Meyrowitsch, and W. H. Makunde. "Bancroftian filariasis: long-term effect of the DEC provocative day test on microfilaraemia." Transactions of the Royal Society of Tropical Medicine and Hygiene 91.3 (1997): 290-293.</v>
      </c>
      <c r="Y177" s="699" t="str">
        <f>IFERROR(__xludf.DUMMYFUNCTION("""COMPUTED_VALUE"""),"http://dx.doi.org/10.1016/S0035-9203(97)90079-1")</f>
        <v>http://dx.doi.org/10.1016/S0035-9203(97)90079-1</v>
      </c>
      <c r="Z177" s="865" t="str">
        <f>IFERROR(__xludf.DUMMYFUNCTION("""COMPUTED_VALUE"""),"https://drive.google.com/file/d/0B0qKRmtVkPtWMFByMGl4dnRaSm8/view?usp=sharing")</f>
        <v>https://drive.google.com/file/d/0B0qKRmtVkPtWMFByMGl4dnRaSm8/view?usp=sharing</v>
      </c>
      <c r="AA177" s="697"/>
    </row>
    <row r="178">
      <c r="A178" s="697" t="str">
        <f>IFERROR(__xludf.DUMMYFUNCTION("""COMPUTED_VALUE"""),"Simonsen 1997")</f>
        <v>Simonsen 1997</v>
      </c>
      <c r="B178" s="697" t="str">
        <f>IFERROR(__xludf.DUMMYFUNCTION("""COMPUTED_VALUE"""),"Mike")</f>
        <v>Mike</v>
      </c>
      <c r="C178" s="697" t="str">
        <f>IFERROR(__xludf.DUMMYFUNCTION("""COMPUTED_VALUE"""),"Alex ")</f>
        <v>Alex </v>
      </c>
      <c r="D178" s="697" t="str">
        <f>IFERROR(__xludf.DUMMYFUNCTION("""COMPUTED_VALUE"""),"Tanzania")</f>
        <v>Tanzania</v>
      </c>
      <c r="E178" s="697" t="str">
        <f>IFERROR(__xludf.DUMMYFUNCTION("""COMPUTED_VALUE"""),"w. bancrofti")</f>
        <v>w. bancrofti</v>
      </c>
      <c r="F178" s="697" t="str">
        <f>IFERROR(__xludf.DUMMYFUNCTION("""COMPUTED_VALUE"""),"Placebo")</f>
        <v>Placebo</v>
      </c>
      <c r="G178" s="697" t="str">
        <f>IFERROR(__xludf.DUMMYFUNCTION("""COMPUTED_VALUE"""),"-")</f>
        <v>-</v>
      </c>
      <c r="H178" s="697">
        <f>IFERROR(__xludf.DUMMYFUNCTION("""COMPUTED_VALUE"""),1.0)</f>
        <v>1</v>
      </c>
      <c r="I178" s="706">
        <f>IFERROR(__xludf.DUMMYFUNCTION("""COMPUTED_VALUE"""),0.144)</f>
        <v>0.144</v>
      </c>
      <c r="J178" s="697" t="str">
        <f>IFERROR(__xludf.DUMMYFUNCTION("""COMPUTED_VALUE"""),"not available")</f>
        <v>not available</v>
      </c>
      <c r="K178" s="697" t="str">
        <f>IFERROR(__xludf.DUMMYFUNCTION("""COMPUTED_VALUE"""),"not available")</f>
        <v>not available</v>
      </c>
      <c r="L178" s="697">
        <f>IFERROR(__xludf.DUMMYFUNCTION("""COMPUTED_VALUE"""),20.0)</f>
        <v>20</v>
      </c>
      <c r="M178" s="10" t="str">
        <f>IFERROR(__xludf.DUMMYFUNCTION("""COMPUTED_VALUE"""),"10 to 60")</f>
        <v>10 to 60</v>
      </c>
      <c r="N178" s="862" t="str">
        <f>IFERROR(__xludf.DUMMYFUNCTION("""COMPUTED_VALUE"""),"12 : 8")</f>
        <v>12 : 8</v>
      </c>
      <c r="O178" s="697" t="str">
        <f>IFERROR(__xludf.DUMMYFUNCTION("""COMPUTED_VALUE"""),"pre-treatment mf intensities greater than 100mf/mL")</f>
        <v>pre-treatment mf intensities greater than 100mf/mL</v>
      </c>
      <c r="P178" s="697" t="str">
        <f>IFERROR(__xludf.DUMMYFUNCTION("""COMPUTED_VALUE"""),"placebo-controlled, double-blind")</f>
        <v>placebo-controlled, double-blind</v>
      </c>
      <c r="Q178" s="697" t="str">
        <f>IFERROR(__xludf.DUMMYFUNCTION("""COMPUTED_VALUE"""),"yes")</f>
        <v>yes</v>
      </c>
      <c r="R178" s="697" t="str">
        <f>IFERROR(__xludf.DUMMYFUNCTION("""COMPUTED_VALUE"""),"no")</f>
        <v>no</v>
      </c>
      <c r="S178" s="697" t="str">
        <f>IFERROR(__xludf.DUMMYFUNCTION("""COMPUTED_VALUE"""),"12 months")</f>
        <v>12 months</v>
      </c>
      <c r="T178" s="697" t="str">
        <f>IFERROR(__xludf.DUMMYFUNCTION("""COMPUTED_VALUE"""),"The study showed that a single dose of 100 mg DEC per person (corresponding to approximately 2-4 mg DEC/kg body weight, equal to the dose usually used for the DEC provocative day test) had a significant long term effect on microfilaraemia. T")</f>
        <v>The study showed that a single dose of 100 mg DEC per person (corresponding to approximately 2-4 mg DEC/kg body weight, equal to the dose usually used for the DEC provocative day test) had a significant long term effect on microfilaraemia. T</v>
      </c>
      <c r="U178" s="697"/>
      <c r="V178" s="697">
        <f>IFERROR(__xludf.DUMMYFUNCTION("""COMPUTED_VALUE"""),1997.0)</f>
        <v>1997</v>
      </c>
      <c r="W178" s="697">
        <f>IFERROR(__xludf.DUMMYFUNCTION("""COMPUTED_VALUE"""),1997.0)</f>
        <v>1997</v>
      </c>
      <c r="X178" s="697" t="str">
        <f>IFERROR(__xludf.DUMMYFUNCTION("""COMPUTED_VALUE"""),"Simonsen, Poul Erik, Dan Wolf Meyrowitsch, and W. H. Makunde. ""Bancroftian filariasis: long-term effect of the DEC provocative day test on microfilaraemia."" Transactions of the Royal Society of Tropical Medicine and Hygiene 91.3 (1997): 290-293.")</f>
        <v>Simonsen, Poul Erik, Dan Wolf Meyrowitsch, and W. H. Makunde. "Bancroftian filariasis: long-term effect of the DEC provocative day test on microfilaraemia." Transactions of the Royal Society of Tropical Medicine and Hygiene 91.3 (1997): 290-293.</v>
      </c>
      <c r="Y178" s="699" t="str">
        <f>IFERROR(__xludf.DUMMYFUNCTION("""COMPUTED_VALUE"""),"http://dx.doi.org/10.1016/S0035-9203(97)90079-1")</f>
        <v>http://dx.doi.org/10.1016/S0035-9203(97)90079-1</v>
      </c>
      <c r="Z178" s="865" t="str">
        <f>IFERROR(__xludf.DUMMYFUNCTION("""COMPUTED_VALUE"""),"https://drive.google.com/file/d/0B0qKRmtVkPtWMFByMGl4dnRaSm8/view?usp=sharing")</f>
        <v>https://drive.google.com/file/d/0B0qKRmtVkPtWMFByMGl4dnRaSm8/view?usp=sharing</v>
      </c>
      <c r="AA178" s="697"/>
    </row>
    <row r="179">
      <c r="A179" s="697" t="str">
        <f>IFERROR(__xludf.DUMMYFUNCTION("""COMPUTED_VALUE"""),"Narasimham 1979")</f>
        <v>Narasimham 1979</v>
      </c>
      <c r="B179" s="697" t="str">
        <f>IFERROR(__xludf.DUMMYFUNCTION("""COMPUTED_VALUE"""),"Mike")</f>
        <v>Mike</v>
      </c>
      <c r="C179" s="697" t="str">
        <f>IFERROR(__xludf.DUMMYFUNCTION("""COMPUTED_VALUE"""),"Alex ")</f>
        <v>Alex </v>
      </c>
      <c r="D179" s="697" t="str">
        <f>IFERROR(__xludf.DUMMYFUNCTION("""COMPUTED_VALUE"""),"India")</f>
        <v>India</v>
      </c>
      <c r="E179" s="697" t="str">
        <f>IFERROR(__xludf.DUMMYFUNCTION("""COMPUTED_VALUE"""),"w. bancrofti")</f>
        <v>w. bancrofti</v>
      </c>
      <c r="F179" s="697" t="str">
        <f>IFERROR(__xludf.DUMMYFUNCTION("""COMPUTED_VALUE"""),"DEC")</f>
        <v>DEC</v>
      </c>
      <c r="G179" s="697" t="str">
        <f>IFERROR(__xludf.DUMMYFUNCTION("""COMPUTED_VALUE"""),"12.5gm")</f>
        <v>12.5gm</v>
      </c>
      <c r="H179" s="697" t="str">
        <f>IFERROR(__xludf.DUMMYFUNCTION("""COMPUTED_VALUE"""),"~210 (daily for 7 months)")</f>
        <v>~210 (daily for 7 months)</v>
      </c>
      <c r="I179" s="706">
        <f>IFERROR(__xludf.DUMMYFUNCTION("""COMPUTED_VALUE"""),0.697)</f>
        <v>0.697</v>
      </c>
      <c r="J179" s="697" t="str">
        <f>IFERROR(__xludf.DUMMYFUNCTION("""COMPUTED_VALUE"""),"not available")</f>
        <v>not available</v>
      </c>
      <c r="K179" s="697" t="str">
        <f>IFERROR(__xludf.DUMMYFUNCTION("""COMPUTED_VALUE"""),"not available")</f>
        <v>not available</v>
      </c>
      <c r="L179" s="697">
        <f>IFERROR(__xludf.DUMMYFUNCTION("""COMPUTED_VALUE"""),339.0)</f>
        <v>339</v>
      </c>
      <c r="M179" s="10" t="str">
        <f>IFERROR(__xludf.DUMMYFUNCTION("""COMPUTED_VALUE"""),"not available")</f>
        <v>not available</v>
      </c>
      <c r="N179" s="10" t="str">
        <f>IFERROR(__xludf.DUMMYFUNCTION("""COMPUTED_VALUE"""),"not available")</f>
        <v>not available</v>
      </c>
      <c r="O179" s="697" t="str">
        <f>IFERROR(__xludf.DUMMYFUNCTION("""COMPUTED_VALUE"""),"household with at least one bancroftian mf carrier")</f>
        <v>household with at least one bancroftian mf carrier</v>
      </c>
      <c r="P179" s="697" t="str">
        <f>IFERROR(__xludf.DUMMYFUNCTION("""COMPUTED_VALUE"""),"randomized, single-blind")</f>
        <v>randomized, single-blind</v>
      </c>
      <c r="Q179" s="697" t="str">
        <f>IFERROR(__xludf.DUMMYFUNCTION("""COMPUTED_VALUE"""),"yes")</f>
        <v>yes</v>
      </c>
      <c r="R179" s="697" t="str">
        <f>IFERROR(__xludf.DUMMYFUNCTION("""COMPUTED_VALUE"""),"yes")</f>
        <v>yes</v>
      </c>
      <c r="S179" s="697" t="str">
        <f>IFERROR(__xludf.DUMMYFUNCTION("""COMPUTED_VALUE"""),"8 months")</f>
        <v>8 months</v>
      </c>
      <c r="T179" s="697" t="str">
        <f>IFERROR(__xludf.DUMMYFUNCTION("""COMPUTED_VALUE"""),"DEC at the dosage used has not prevented microffilaraemia for four months after DEC treatment ")</f>
        <v>DEC at the dosage used has not prevented microffilaraemia for four months after DEC treatment </v>
      </c>
      <c r="U179" s="697"/>
      <c r="V179" s="697">
        <f>IFERROR(__xludf.DUMMYFUNCTION("""COMPUTED_VALUE"""),1988.0)</f>
        <v>1988</v>
      </c>
      <c r="W179" s="697">
        <f>IFERROR(__xludf.DUMMYFUNCTION("""COMPUTED_VALUE"""),1988.0)</f>
        <v>1988</v>
      </c>
      <c r="X179" s="697" t="str">
        <f>IFERROR(__xludf.DUMMYFUNCTION("""COMPUTED_VALUE"""),"Narasimham, M. V. V. L., et al. ""Role of diethylcarbamazine mixed common salt in prophylaxis against bancroftian filariasis."" J Commun Dis 11 (1979): 137-140.")</f>
        <v>Narasimham, M. V. V. L., et al. "Role of diethylcarbamazine mixed common salt in prophylaxis against bancroftian filariasis." J Commun Dis 11 (1979): 137-140.</v>
      </c>
      <c r="Y179" s="697" t="str">
        <f>IFERROR(__xludf.DUMMYFUNCTION("""COMPUTED_VALUE"""),"DOI: 10.1002/14651858.CD003758.pub2")</f>
        <v>DOI: 10.1002/14651858.CD003758.pub2</v>
      </c>
      <c r="Z179" s="865" t="str">
        <f>IFERROR(__xludf.DUMMYFUNCTION("""COMPUTED_VALUE"""),"https://drive.google.com/file/d/0B0qKRmtVkPtWcjBJcDFwck9wMDg/view?usp=sharing")</f>
        <v>https://drive.google.com/file/d/0B0qKRmtVkPtWcjBJcDFwck9wMDg/view?usp=sharing</v>
      </c>
      <c r="AA179" s="697" t="str">
        <f>IFERROR(__xludf.DUMMYFUNCTION("""COMPUTED_VALUE"""),"x")</f>
        <v>x</v>
      </c>
    </row>
    <row r="180">
      <c r="A180" s="697" t="str">
        <f>IFERROR(__xludf.DUMMYFUNCTION("""COMPUTED_VALUE"""),"Narasimham 1979")</f>
        <v>Narasimham 1979</v>
      </c>
      <c r="B180" s="697" t="str">
        <f>IFERROR(__xludf.DUMMYFUNCTION("""COMPUTED_VALUE"""),"Mike")</f>
        <v>Mike</v>
      </c>
      <c r="C180" s="697" t="str">
        <f>IFERROR(__xludf.DUMMYFUNCTION("""COMPUTED_VALUE"""),"Alex ")</f>
        <v>Alex </v>
      </c>
      <c r="D180" s="697" t="str">
        <f>IFERROR(__xludf.DUMMYFUNCTION("""COMPUTED_VALUE"""),"India")</f>
        <v>India</v>
      </c>
      <c r="E180" s="697" t="str">
        <f>IFERROR(__xludf.DUMMYFUNCTION("""COMPUTED_VALUE"""),"w. bancrofti")</f>
        <v>w. bancrofti</v>
      </c>
      <c r="F180" s="697" t="str">
        <f>IFERROR(__xludf.DUMMYFUNCTION("""COMPUTED_VALUE"""),"DEC")</f>
        <v>DEC</v>
      </c>
      <c r="G180" s="697" t="str">
        <f>IFERROR(__xludf.DUMMYFUNCTION("""COMPUTED_VALUE"""),"12.5gm")</f>
        <v>12.5gm</v>
      </c>
      <c r="H180" s="697" t="str">
        <f>IFERROR(__xludf.DUMMYFUNCTION("""COMPUTED_VALUE"""),"~210 (daily for 7 months)")</f>
        <v>~210 (daily for 7 months)</v>
      </c>
      <c r="I180" s="706">
        <f>IFERROR(__xludf.DUMMYFUNCTION("""COMPUTED_VALUE"""),0.6387)</f>
        <v>0.6387</v>
      </c>
      <c r="J180" s="697" t="str">
        <f>IFERROR(__xludf.DUMMYFUNCTION("""COMPUTED_VALUE"""),"not available")</f>
        <v>not available</v>
      </c>
      <c r="K180" s="697" t="str">
        <f>IFERROR(__xludf.DUMMYFUNCTION("""COMPUTED_VALUE"""),"not available")</f>
        <v>not available</v>
      </c>
      <c r="L180" s="697">
        <f>IFERROR(__xludf.DUMMYFUNCTION("""COMPUTED_VALUE"""),339.0)</f>
        <v>339</v>
      </c>
      <c r="M180" s="10" t="str">
        <f>IFERROR(__xludf.DUMMYFUNCTION("""COMPUTED_VALUE"""),"not available")</f>
        <v>not available</v>
      </c>
      <c r="N180" s="10" t="str">
        <f>IFERROR(__xludf.DUMMYFUNCTION("""COMPUTED_VALUE"""),"not available")</f>
        <v>not available</v>
      </c>
      <c r="O180" s="697" t="str">
        <f>IFERROR(__xludf.DUMMYFUNCTION("""COMPUTED_VALUE"""),"household with at least one bancroftian mf carrier")</f>
        <v>household with at least one bancroftian mf carrier</v>
      </c>
      <c r="P180" s="697" t="str">
        <f>IFERROR(__xludf.DUMMYFUNCTION("""COMPUTED_VALUE"""),"randomized, single-blind")</f>
        <v>randomized, single-blind</v>
      </c>
      <c r="Q180" s="697" t="str">
        <f>IFERROR(__xludf.DUMMYFUNCTION("""COMPUTED_VALUE"""),"yes")</f>
        <v>yes</v>
      </c>
      <c r="R180" s="697" t="str">
        <f>IFERROR(__xludf.DUMMYFUNCTION("""COMPUTED_VALUE"""),"yes")</f>
        <v>yes</v>
      </c>
      <c r="S180" s="697" t="str">
        <f>IFERROR(__xludf.DUMMYFUNCTION("""COMPUTED_VALUE"""),"12 months")</f>
        <v>12 months</v>
      </c>
      <c r="T180" s="697" t="str">
        <f>IFERROR(__xludf.DUMMYFUNCTION("""COMPUTED_VALUE"""),"DEC at the dosage used has not prevented microffilaraemia for four months after DEC treatment ")</f>
        <v>DEC at the dosage used has not prevented microffilaraemia for four months after DEC treatment </v>
      </c>
      <c r="U180" s="697"/>
      <c r="V180" s="697">
        <f>IFERROR(__xludf.DUMMYFUNCTION("""COMPUTED_VALUE"""),1988.0)</f>
        <v>1988</v>
      </c>
      <c r="W180" s="697">
        <f>IFERROR(__xludf.DUMMYFUNCTION("""COMPUTED_VALUE"""),1988.0)</f>
        <v>1988</v>
      </c>
      <c r="X180" s="697" t="str">
        <f>IFERROR(__xludf.DUMMYFUNCTION("""COMPUTED_VALUE"""),"Narasimham, M. V. V. L., et al. ""Role of diethylcarbamazine mixed common salt in prophylaxis against bancroftian filariasis."" J Commun Dis 11 (1979): 137-140.")</f>
        <v>Narasimham, M. V. V. L., et al. "Role of diethylcarbamazine mixed common salt in prophylaxis against bancroftian filariasis." J Commun Dis 11 (1979): 137-140.</v>
      </c>
      <c r="Y180" s="697" t="str">
        <f>IFERROR(__xludf.DUMMYFUNCTION("""COMPUTED_VALUE"""),"DOI: 10.1002/14651858.CD003758.pub2")</f>
        <v>DOI: 10.1002/14651858.CD003758.pub2</v>
      </c>
      <c r="Z180" s="865" t="str">
        <f>IFERROR(__xludf.DUMMYFUNCTION("""COMPUTED_VALUE"""),"https://drive.google.com/file/d/0B0qKRmtVkPtWcjBJcDFwck9wMDg/view?usp=sharing")</f>
        <v>https://drive.google.com/file/d/0B0qKRmtVkPtWcjBJcDFwck9wMDg/view?usp=sharing</v>
      </c>
      <c r="AA180" s="697" t="str">
        <f>IFERROR(__xludf.DUMMYFUNCTION("""COMPUTED_VALUE"""),"x")</f>
        <v>x</v>
      </c>
    </row>
    <row r="181">
      <c r="A181" s="697" t="str">
        <f>IFERROR(__xludf.DUMMYFUNCTION("""COMPUTED_VALUE"""),"Narasimham 1979")</f>
        <v>Narasimham 1979</v>
      </c>
      <c r="B181" s="697" t="str">
        <f>IFERROR(__xludf.DUMMYFUNCTION("""COMPUTED_VALUE"""),"Mike")</f>
        <v>Mike</v>
      </c>
      <c r="C181" s="697" t="str">
        <f>IFERROR(__xludf.DUMMYFUNCTION("""COMPUTED_VALUE"""),"Alex ")</f>
        <v>Alex </v>
      </c>
      <c r="D181" s="697" t="str">
        <f>IFERROR(__xludf.DUMMYFUNCTION("""COMPUTED_VALUE"""),"India")</f>
        <v>India</v>
      </c>
      <c r="E181" s="697" t="str">
        <f>IFERROR(__xludf.DUMMYFUNCTION("""COMPUTED_VALUE"""),"w. bancrofti")</f>
        <v>w. bancrofti</v>
      </c>
      <c r="F181" s="697" t="str">
        <f>IFERROR(__xludf.DUMMYFUNCTION("""COMPUTED_VALUE"""),"Placebo")</f>
        <v>Placebo</v>
      </c>
      <c r="G181" s="697" t="str">
        <f>IFERROR(__xludf.DUMMYFUNCTION("""COMPUTED_VALUE"""),"-")</f>
        <v>-</v>
      </c>
      <c r="H181" s="697" t="str">
        <f>IFERROR(__xludf.DUMMYFUNCTION("""COMPUTED_VALUE"""),"~210 (daily for 7 months)")</f>
        <v>~210 (daily for 7 months)</v>
      </c>
      <c r="I181" s="706">
        <f>IFERROR(__xludf.DUMMYFUNCTION("""COMPUTED_VALUE"""),-0.589)</f>
        <v>-0.589</v>
      </c>
      <c r="J181" s="697" t="str">
        <f>IFERROR(__xludf.DUMMYFUNCTION("""COMPUTED_VALUE"""),"not available")</f>
        <v>not available</v>
      </c>
      <c r="K181" s="697" t="str">
        <f>IFERROR(__xludf.DUMMYFUNCTION("""COMPUTED_VALUE"""),"not available")</f>
        <v>not available</v>
      </c>
      <c r="L181" s="697">
        <f>IFERROR(__xludf.DUMMYFUNCTION("""COMPUTED_VALUE"""),430.0)</f>
        <v>430</v>
      </c>
      <c r="M181" s="10" t="str">
        <f>IFERROR(__xludf.DUMMYFUNCTION("""COMPUTED_VALUE"""),"not available")</f>
        <v>not available</v>
      </c>
      <c r="N181" s="10" t="str">
        <f>IFERROR(__xludf.DUMMYFUNCTION("""COMPUTED_VALUE"""),"not available")</f>
        <v>not available</v>
      </c>
      <c r="O181" s="697" t="str">
        <f>IFERROR(__xludf.DUMMYFUNCTION("""COMPUTED_VALUE"""),"household with at least one bancroftian mf carrier")</f>
        <v>household with at least one bancroftian mf carrier</v>
      </c>
      <c r="P181" s="697" t="str">
        <f>IFERROR(__xludf.DUMMYFUNCTION("""COMPUTED_VALUE"""),"randomized, single-blind")</f>
        <v>randomized, single-blind</v>
      </c>
      <c r="Q181" s="697" t="str">
        <f>IFERROR(__xludf.DUMMYFUNCTION("""COMPUTED_VALUE"""),"yes")</f>
        <v>yes</v>
      </c>
      <c r="R181" s="697" t="str">
        <f>IFERROR(__xludf.DUMMYFUNCTION("""COMPUTED_VALUE"""),"yes")</f>
        <v>yes</v>
      </c>
      <c r="S181" s="697" t="str">
        <f>IFERROR(__xludf.DUMMYFUNCTION("""COMPUTED_VALUE"""),"8 months")</f>
        <v>8 months</v>
      </c>
      <c r="T181" s="697" t="str">
        <f>IFERROR(__xludf.DUMMYFUNCTION("""COMPUTED_VALUE"""),"DEC at the dosage used has not prevented microffilaraemia for four months after DEC treatment ")</f>
        <v>DEC at the dosage used has not prevented microffilaraemia for four months after DEC treatment </v>
      </c>
      <c r="U181" s="697"/>
      <c r="V181" s="697">
        <f>IFERROR(__xludf.DUMMYFUNCTION("""COMPUTED_VALUE"""),1988.0)</f>
        <v>1988</v>
      </c>
      <c r="W181" s="697">
        <f>IFERROR(__xludf.DUMMYFUNCTION("""COMPUTED_VALUE"""),1988.0)</f>
        <v>1988</v>
      </c>
      <c r="X181" s="697" t="str">
        <f>IFERROR(__xludf.DUMMYFUNCTION("""COMPUTED_VALUE"""),"Narasimham, M. V. V. L., et al. ""Role of diethylcarbamazine mixed common salt in prophylaxis against bancroftian filariasis."" J Commun Dis 11 (1979): 137-140.")</f>
        <v>Narasimham, M. V. V. L., et al. "Role of diethylcarbamazine mixed common salt in prophylaxis against bancroftian filariasis." J Commun Dis 11 (1979): 137-140.</v>
      </c>
      <c r="Y181" s="697" t="str">
        <f>IFERROR(__xludf.DUMMYFUNCTION("""COMPUTED_VALUE"""),"DOI: 10.1002/14651858.CD003758.pub2")</f>
        <v>DOI: 10.1002/14651858.CD003758.pub2</v>
      </c>
      <c r="Z181" s="865" t="str">
        <f>IFERROR(__xludf.DUMMYFUNCTION("""COMPUTED_VALUE"""),"https://drive.google.com/file/d/0B0qKRmtVkPtWcjBJcDFwck9wMDg/view?usp=sharing")</f>
        <v>https://drive.google.com/file/d/0B0qKRmtVkPtWcjBJcDFwck9wMDg/view?usp=sharing</v>
      </c>
      <c r="AA181" s="697" t="str">
        <f>IFERROR(__xludf.DUMMYFUNCTION("""COMPUTED_VALUE"""),"x")</f>
        <v>x</v>
      </c>
    </row>
    <row r="182">
      <c r="A182" s="697" t="str">
        <f>IFERROR(__xludf.DUMMYFUNCTION("""COMPUTED_VALUE"""),"Narasimham 1979")</f>
        <v>Narasimham 1979</v>
      </c>
      <c r="B182" s="697" t="str">
        <f>IFERROR(__xludf.DUMMYFUNCTION("""COMPUTED_VALUE"""),"Mike")</f>
        <v>Mike</v>
      </c>
      <c r="C182" s="697" t="str">
        <f>IFERROR(__xludf.DUMMYFUNCTION("""COMPUTED_VALUE"""),"Alex ")</f>
        <v>Alex </v>
      </c>
      <c r="D182" s="697" t="str">
        <f>IFERROR(__xludf.DUMMYFUNCTION("""COMPUTED_VALUE"""),"India")</f>
        <v>India</v>
      </c>
      <c r="E182" s="697" t="str">
        <f>IFERROR(__xludf.DUMMYFUNCTION("""COMPUTED_VALUE"""),"w. bancrofti")</f>
        <v>w. bancrofti</v>
      </c>
      <c r="F182" s="697" t="str">
        <f>IFERROR(__xludf.DUMMYFUNCTION("""COMPUTED_VALUE"""),"Placebo")</f>
        <v>Placebo</v>
      </c>
      <c r="G182" s="697" t="str">
        <f>IFERROR(__xludf.DUMMYFUNCTION("""COMPUTED_VALUE"""),"-")</f>
        <v>-</v>
      </c>
      <c r="H182" s="697" t="str">
        <f>IFERROR(__xludf.DUMMYFUNCTION("""COMPUTED_VALUE"""),"~210 (daily for 7 months)")</f>
        <v>~210 (daily for 7 months)</v>
      </c>
      <c r="I182" s="706">
        <f>IFERROR(__xludf.DUMMYFUNCTION("""COMPUTED_VALUE"""),-0.438)</f>
        <v>-0.438</v>
      </c>
      <c r="J182" s="697" t="str">
        <f>IFERROR(__xludf.DUMMYFUNCTION("""COMPUTED_VALUE"""),"not available")</f>
        <v>not available</v>
      </c>
      <c r="K182" s="697" t="str">
        <f>IFERROR(__xludf.DUMMYFUNCTION("""COMPUTED_VALUE"""),"not available")</f>
        <v>not available</v>
      </c>
      <c r="L182" s="697">
        <f>IFERROR(__xludf.DUMMYFUNCTION("""COMPUTED_VALUE"""),430.0)</f>
        <v>430</v>
      </c>
      <c r="M182" s="10" t="str">
        <f>IFERROR(__xludf.DUMMYFUNCTION("""COMPUTED_VALUE"""),"not available")</f>
        <v>not available</v>
      </c>
      <c r="N182" s="10" t="str">
        <f>IFERROR(__xludf.DUMMYFUNCTION("""COMPUTED_VALUE"""),"not available")</f>
        <v>not available</v>
      </c>
      <c r="O182" s="697" t="str">
        <f>IFERROR(__xludf.DUMMYFUNCTION("""COMPUTED_VALUE"""),"household with at least one bancroftian mf carrier")</f>
        <v>household with at least one bancroftian mf carrier</v>
      </c>
      <c r="P182" s="697" t="str">
        <f>IFERROR(__xludf.DUMMYFUNCTION("""COMPUTED_VALUE"""),"randomized, single-blind")</f>
        <v>randomized, single-blind</v>
      </c>
      <c r="Q182" s="697" t="str">
        <f>IFERROR(__xludf.DUMMYFUNCTION("""COMPUTED_VALUE"""),"yes")</f>
        <v>yes</v>
      </c>
      <c r="R182" s="697" t="str">
        <f>IFERROR(__xludf.DUMMYFUNCTION("""COMPUTED_VALUE"""),"yes")</f>
        <v>yes</v>
      </c>
      <c r="S182" s="697" t="str">
        <f>IFERROR(__xludf.DUMMYFUNCTION("""COMPUTED_VALUE"""),"12 months")</f>
        <v>12 months</v>
      </c>
      <c r="T182" s="697" t="str">
        <f>IFERROR(__xludf.DUMMYFUNCTION("""COMPUTED_VALUE"""),"DEC at the dosage used has not prevented microffilaraemia for four months after DEC treatment ")</f>
        <v>DEC at the dosage used has not prevented microffilaraemia for four months after DEC treatment </v>
      </c>
      <c r="U182" s="697"/>
      <c r="V182" s="697">
        <f>IFERROR(__xludf.DUMMYFUNCTION("""COMPUTED_VALUE"""),1988.0)</f>
        <v>1988</v>
      </c>
      <c r="W182" s="697">
        <f>IFERROR(__xludf.DUMMYFUNCTION("""COMPUTED_VALUE"""),1988.0)</f>
        <v>1988</v>
      </c>
      <c r="X182" s="697" t="str">
        <f>IFERROR(__xludf.DUMMYFUNCTION("""COMPUTED_VALUE"""),"Narasimham, M. V. V. L., et al. ""Role of diethylcarbamazine mixed common salt in prophylaxis against bancroftian filariasis."" J Commun Dis 11 (1979): 137-140.")</f>
        <v>Narasimham, M. V. V. L., et al. "Role of diethylcarbamazine mixed common salt in prophylaxis against bancroftian filariasis." J Commun Dis 11 (1979): 137-140.</v>
      </c>
      <c r="Y182" s="697" t="str">
        <f>IFERROR(__xludf.DUMMYFUNCTION("""COMPUTED_VALUE"""),"DOI: 10.1002/14651858.CD003758.pub2")</f>
        <v>DOI: 10.1002/14651858.CD003758.pub2</v>
      </c>
      <c r="Z182" s="865" t="str">
        <f>IFERROR(__xludf.DUMMYFUNCTION("""COMPUTED_VALUE"""),"https://drive.google.com/file/d/0B0qKRmtVkPtWcjBJcDFwck9wMDg/view?usp=sharing")</f>
        <v>https://drive.google.com/file/d/0B0qKRmtVkPtWcjBJcDFwck9wMDg/view?usp=sharing</v>
      </c>
      <c r="AA182" s="697" t="str">
        <f>IFERROR(__xludf.DUMMYFUNCTION("""COMPUTED_VALUE"""),"x")</f>
        <v>x</v>
      </c>
    </row>
    <row r="183">
      <c r="A183" s="697" t="str">
        <f>IFERROR(__xludf.DUMMYFUNCTION("""COMPUTED_VALUE"""),"Fan 1991")</f>
        <v>Fan 1991</v>
      </c>
      <c r="B183" s="697" t="str">
        <f>IFERROR(__xludf.DUMMYFUNCTION("""COMPUTED_VALUE"""),"Mike")</f>
        <v>Mike</v>
      </c>
      <c r="C183" s="697" t="str">
        <f>IFERROR(__xludf.DUMMYFUNCTION("""COMPUTED_VALUE"""),"Alex ")</f>
        <v>Alex </v>
      </c>
      <c r="D183" s="697" t="str">
        <f>IFERROR(__xludf.DUMMYFUNCTION("""COMPUTED_VALUE"""),"Taiwan")</f>
        <v>Taiwan</v>
      </c>
      <c r="E183" s="697" t="str">
        <f>IFERROR(__xludf.DUMMYFUNCTION("""COMPUTED_VALUE"""),"w. bancrofti")</f>
        <v>w. bancrofti</v>
      </c>
      <c r="F183" s="697" t="str">
        <f>IFERROR(__xludf.DUMMYFUNCTION("""COMPUTED_VALUE"""),"DEC")</f>
        <v>DEC</v>
      </c>
      <c r="G183" s="697" t="str">
        <f>IFERROR(__xludf.DUMMYFUNCTION("""COMPUTED_VALUE"""),"6mg/kg")</f>
        <v>6mg/kg</v>
      </c>
      <c r="H183" s="697">
        <f>IFERROR(__xludf.DUMMYFUNCTION("""COMPUTED_VALUE"""),7.0)</f>
        <v>7</v>
      </c>
      <c r="I183" s="697" t="str">
        <f>IFERROR(__xludf.DUMMYFUNCTION("""COMPUTED_VALUE"""),"not available")</f>
        <v>not available</v>
      </c>
      <c r="J183" s="697">
        <f>IFERROR(__xludf.DUMMYFUNCTION("""COMPUTED_VALUE"""),73.0)</f>
        <v>73</v>
      </c>
      <c r="K183" s="697" t="str">
        <f>IFERROR(__xludf.DUMMYFUNCTION("""COMPUTED_VALUE"""),"not available")</f>
        <v>not available</v>
      </c>
      <c r="L183" s="697">
        <f>IFERROR(__xludf.DUMMYFUNCTION("""COMPUTED_VALUE"""),22.0)</f>
        <v>22</v>
      </c>
      <c r="M183" s="10" t="str">
        <f>IFERROR(__xludf.DUMMYFUNCTION("""COMPUTED_VALUE"""),"not available")</f>
        <v>not available</v>
      </c>
      <c r="N183" s="10" t="str">
        <f>IFERROR(__xludf.DUMMYFUNCTION("""COMPUTED_VALUE"""),"not available")</f>
        <v>not available</v>
      </c>
      <c r="O183" s="697" t="str">
        <f>IFERROR(__xludf.DUMMYFUNCTION("""COMPUTED_VALUE"""),"mf carrier identified from previous study")</f>
        <v>mf carrier identified from previous study</v>
      </c>
      <c r="P183" s="697" t="str">
        <f>IFERROR(__xludf.DUMMYFUNCTION("""COMPUTED_VALUE"""),"randomized")</f>
        <v>randomized</v>
      </c>
      <c r="Q183" s="697" t="str">
        <f>IFERROR(__xludf.DUMMYFUNCTION("""COMPUTED_VALUE"""),"no")</f>
        <v>no</v>
      </c>
      <c r="R183" s="697" t="str">
        <f>IFERROR(__xludf.DUMMYFUNCTION("""COMPUTED_VALUE"""),"yes")</f>
        <v>yes</v>
      </c>
      <c r="S183" s="697" t="str">
        <f>IFERROR(__xludf.DUMMYFUNCTION("""COMPUTED_VALUE"""),"1 week")</f>
        <v>1 week</v>
      </c>
      <c r="T183" s="697" t="str">
        <f>IFERROR(__xludf.DUMMYFUNCTION("""COMPUTED_VALUE"""),"The cure rate is higher in patients infected with B. malayi and mixed infections than in those with W. bancrofti, but the side effects were more serious in the former group than in the latter. Carriers with higher microfilaraemia have more severe side eff"&amp;"ects. ")</f>
        <v>The cure rate is higher in patients infected with B. malayi and mixed infections than in those with W. bancrofti, but the side effects were more serious in the former group than in the latter. Carriers with higher microfilaraemia have more severe side effects. </v>
      </c>
      <c r="U183" s="697"/>
      <c r="V183" s="697">
        <f>IFERROR(__xludf.DUMMYFUNCTION("""COMPUTED_VALUE"""),1991.0)</f>
        <v>1991</v>
      </c>
      <c r="W183" s="697">
        <f>IFERROR(__xludf.DUMMYFUNCTION("""COMPUTED_VALUE"""),1991.0)</f>
        <v>1991</v>
      </c>
      <c r="X183" s="697" t="str">
        <f>IFERROR(__xludf.DUMMYFUNCTION("""COMPUTED_VALUE"""),"Fan, P. C. ""Diethylcarbamazine treatment of bancroftian and malayan filariasis with emphasis on side effects."" Annals of Tropical Medicine &amp; Parasitology 86.4 (1992): 399-405.")</f>
        <v>Fan, P. C. "Diethylcarbamazine treatment of bancroftian and malayan filariasis with emphasis on side effects." Annals of Tropical Medicine &amp; Parasitology 86.4 (1992): 399-405.</v>
      </c>
      <c r="Y183" s="699" t="str">
        <f>IFERROR(__xludf.DUMMYFUNCTION("""COMPUTED_VALUE"""),"http://dx.doi.org/10.1080/00034983.1992.11812684")</f>
        <v>http://dx.doi.org/10.1080/00034983.1992.11812684</v>
      </c>
      <c r="Z183" s="865" t="str">
        <f>IFERROR(__xludf.DUMMYFUNCTION("""COMPUTED_VALUE"""),"https://drive.google.com/file/d/0B0qKRmtVkPtWQnp0NEcxbWdfQ3c/view?usp=sharing")</f>
        <v>https://drive.google.com/file/d/0B0qKRmtVkPtWQnp0NEcxbWdfQ3c/view?usp=sharing</v>
      </c>
      <c r="AA183" s="697"/>
    </row>
    <row r="184">
      <c r="A184" s="697" t="str">
        <f>IFERROR(__xludf.DUMMYFUNCTION("""COMPUTED_VALUE"""),"Fan 1991")</f>
        <v>Fan 1991</v>
      </c>
      <c r="B184" s="697" t="str">
        <f>IFERROR(__xludf.DUMMYFUNCTION("""COMPUTED_VALUE"""),"Mike")</f>
        <v>Mike</v>
      </c>
      <c r="C184" s="697" t="str">
        <f>IFERROR(__xludf.DUMMYFUNCTION("""COMPUTED_VALUE"""),"Alex")</f>
        <v>Alex</v>
      </c>
      <c r="D184" s="697" t="str">
        <f>IFERROR(__xludf.DUMMYFUNCTION("""COMPUTED_VALUE"""),"Taiwan")</f>
        <v>Taiwan</v>
      </c>
      <c r="E184" s="697" t="str">
        <f>IFERROR(__xludf.DUMMYFUNCTION("""COMPUTED_VALUE"""),"Brugia malayi")</f>
        <v>Brugia malayi</v>
      </c>
      <c r="F184" s="697" t="str">
        <f>IFERROR(__xludf.DUMMYFUNCTION("""COMPUTED_VALUE"""),"DEC")</f>
        <v>DEC</v>
      </c>
      <c r="G184" s="697" t="str">
        <f>IFERROR(__xludf.DUMMYFUNCTION("""COMPUTED_VALUE"""),"6mg/kg")</f>
        <v>6mg/kg</v>
      </c>
      <c r="H184" s="697">
        <f>IFERROR(__xludf.DUMMYFUNCTION("""COMPUTED_VALUE"""),7.0)</f>
        <v>7</v>
      </c>
      <c r="I184" s="697" t="str">
        <f>IFERROR(__xludf.DUMMYFUNCTION("""COMPUTED_VALUE"""),"not available")</f>
        <v>not available</v>
      </c>
      <c r="J184" s="697">
        <f>IFERROR(__xludf.DUMMYFUNCTION("""COMPUTED_VALUE"""),81.0)</f>
        <v>81</v>
      </c>
      <c r="K184" s="697" t="str">
        <f>IFERROR(__xludf.DUMMYFUNCTION("""COMPUTED_VALUE"""),"not available")</f>
        <v>not available</v>
      </c>
      <c r="L184" s="697">
        <f>IFERROR(__xludf.DUMMYFUNCTION("""COMPUTED_VALUE"""),16.0)</f>
        <v>16</v>
      </c>
      <c r="M184" s="10" t="str">
        <f>IFERROR(__xludf.DUMMYFUNCTION("""COMPUTED_VALUE"""),"not available")</f>
        <v>not available</v>
      </c>
      <c r="N184" s="10" t="str">
        <f>IFERROR(__xludf.DUMMYFUNCTION("""COMPUTED_VALUE"""),"not available")</f>
        <v>not available</v>
      </c>
      <c r="O184" s="697" t="str">
        <f>IFERROR(__xludf.DUMMYFUNCTION("""COMPUTED_VALUE"""),"mf carrier identified from previous study")</f>
        <v>mf carrier identified from previous study</v>
      </c>
      <c r="P184" s="697" t="str">
        <f>IFERROR(__xludf.DUMMYFUNCTION("""COMPUTED_VALUE"""),"randomized")</f>
        <v>randomized</v>
      </c>
      <c r="Q184" s="697" t="str">
        <f>IFERROR(__xludf.DUMMYFUNCTION("""COMPUTED_VALUE"""),"no")</f>
        <v>no</v>
      </c>
      <c r="R184" s="697" t="str">
        <f>IFERROR(__xludf.DUMMYFUNCTION("""COMPUTED_VALUE"""),"yes")</f>
        <v>yes</v>
      </c>
      <c r="S184" s="697" t="str">
        <f>IFERROR(__xludf.DUMMYFUNCTION("""COMPUTED_VALUE"""),"1 week")</f>
        <v>1 week</v>
      </c>
      <c r="T184" s="697" t="str">
        <f>IFERROR(__xludf.DUMMYFUNCTION("""COMPUTED_VALUE"""),"The cure rate is higher in patients infected with B. malayi and mixed infections than in those with W. bancrofti, but the side effects were more serious in the former group than in the latter. Carriers with higher microfilaraemia have more severe side eff"&amp;"ects. ")</f>
        <v>The cure rate is higher in patients infected with B. malayi and mixed infections than in those with W. bancrofti, but the side effects were more serious in the former group than in the latter. Carriers with higher microfilaraemia have more severe side effects. </v>
      </c>
      <c r="U184" s="697"/>
      <c r="V184" s="697">
        <f>IFERROR(__xludf.DUMMYFUNCTION("""COMPUTED_VALUE"""),1991.0)</f>
        <v>1991</v>
      </c>
      <c r="W184" s="697">
        <f>IFERROR(__xludf.DUMMYFUNCTION("""COMPUTED_VALUE"""),1991.0)</f>
        <v>1991</v>
      </c>
      <c r="X184" s="697" t="str">
        <f>IFERROR(__xludf.DUMMYFUNCTION("""COMPUTED_VALUE"""),"Fan, P. C. ""Diethylcarbamazine treatment of bancroftian and malayan filariasis with emphasis on side effects."" Annals of Tropical Medicine &amp; Parasitology 86.4 (1992): 399-405.")</f>
        <v>Fan, P. C. "Diethylcarbamazine treatment of bancroftian and malayan filariasis with emphasis on side effects." Annals of Tropical Medicine &amp; Parasitology 86.4 (1992): 399-405.</v>
      </c>
      <c r="Y184" s="699" t="str">
        <f>IFERROR(__xludf.DUMMYFUNCTION("""COMPUTED_VALUE"""),"http://dx.doi.org/10.1080/00034983.1992.11812685")</f>
        <v>http://dx.doi.org/10.1080/00034983.1992.11812685</v>
      </c>
      <c r="Z184" s="865" t="str">
        <f>IFERROR(__xludf.DUMMYFUNCTION("""COMPUTED_VALUE"""),"https://drive.google.com/file/d/0B0qKRmtVkPtWQnp0NEcxbWdfQ3c/view?usp=sharing")</f>
        <v>https://drive.google.com/file/d/0B0qKRmtVkPtWQnp0NEcxbWdfQ3c/view?usp=sharing</v>
      </c>
      <c r="AA184" s="697"/>
    </row>
    <row r="185">
      <c r="A185" s="697" t="str">
        <f>IFERROR(__xludf.DUMMYFUNCTION("""COMPUTED_VALUE"""),"Fan 1991")</f>
        <v>Fan 1991</v>
      </c>
      <c r="B185" s="697" t="str">
        <f>IFERROR(__xludf.DUMMYFUNCTION("""COMPUTED_VALUE"""),"Mike")</f>
        <v>Mike</v>
      </c>
      <c r="C185" s="697" t="str">
        <f>IFERROR(__xludf.DUMMYFUNCTION("""COMPUTED_VALUE"""),"Alex")</f>
        <v>Alex</v>
      </c>
      <c r="D185" s="697" t="str">
        <f>IFERROR(__xludf.DUMMYFUNCTION("""COMPUTED_VALUE"""),"Taiwan")</f>
        <v>Taiwan</v>
      </c>
      <c r="E185" s="697" t="str">
        <f>IFERROR(__xludf.DUMMYFUNCTION("""COMPUTED_VALUE"""),"w. bancrofti")</f>
        <v>w. bancrofti</v>
      </c>
      <c r="F185" s="697" t="str">
        <f>IFERROR(__xludf.DUMMYFUNCTION("""COMPUTED_VALUE"""),"DEC")</f>
        <v>DEC</v>
      </c>
      <c r="G185" s="697" t="str">
        <f>IFERROR(__xludf.DUMMYFUNCTION("""COMPUTED_VALUE"""),"7mg/kg")</f>
        <v>7mg/kg</v>
      </c>
      <c r="H185" s="697">
        <f>IFERROR(__xludf.DUMMYFUNCTION("""COMPUTED_VALUE"""),7.0)</f>
        <v>7</v>
      </c>
      <c r="I185" s="697" t="str">
        <f>IFERROR(__xludf.DUMMYFUNCTION("""COMPUTED_VALUE"""),"not available")</f>
        <v>not available</v>
      </c>
      <c r="J185" s="697">
        <f>IFERROR(__xludf.DUMMYFUNCTION("""COMPUTED_VALUE"""),80.0)</f>
        <v>80</v>
      </c>
      <c r="K185" s="697" t="str">
        <f>IFERROR(__xludf.DUMMYFUNCTION("""COMPUTED_VALUE"""),"not available")</f>
        <v>not available</v>
      </c>
      <c r="L185" s="697">
        <f>IFERROR(__xludf.DUMMYFUNCTION("""COMPUTED_VALUE"""),61.0)</f>
        <v>61</v>
      </c>
      <c r="M185" s="10" t="str">
        <f>IFERROR(__xludf.DUMMYFUNCTION("""COMPUTED_VALUE"""),"not available")</f>
        <v>not available</v>
      </c>
      <c r="N185" s="10" t="str">
        <f>IFERROR(__xludf.DUMMYFUNCTION("""COMPUTED_VALUE"""),"not available")</f>
        <v>not available</v>
      </c>
      <c r="O185" s="697" t="str">
        <f>IFERROR(__xludf.DUMMYFUNCTION("""COMPUTED_VALUE"""),"mf carrier identified from previous study")</f>
        <v>mf carrier identified from previous study</v>
      </c>
      <c r="P185" s="697" t="str">
        <f>IFERROR(__xludf.DUMMYFUNCTION("""COMPUTED_VALUE"""),"randomized")</f>
        <v>randomized</v>
      </c>
      <c r="Q185" s="697" t="str">
        <f>IFERROR(__xludf.DUMMYFUNCTION("""COMPUTED_VALUE"""),"no")</f>
        <v>no</v>
      </c>
      <c r="R185" s="697" t="str">
        <f>IFERROR(__xludf.DUMMYFUNCTION("""COMPUTED_VALUE"""),"yes")</f>
        <v>yes</v>
      </c>
      <c r="S185" s="697" t="str">
        <f>IFERROR(__xludf.DUMMYFUNCTION("""COMPUTED_VALUE"""),"1 week")</f>
        <v>1 week</v>
      </c>
      <c r="T185" s="697" t="str">
        <f>IFERROR(__xludf.DUMMYFUNCTION("""COMPUTED_VALUE"""),"The cure rate is higher in patients infected with B. malayi and mixed infections than in those with W. bancrofti, but the side effects were more serious in the former group than in the latter. Carriers with higher microfilaraemia have more severe side eff"&amp;"ects. ")</f>
        <v>The cure rate is higher in patients infected with B. malayi and mixed infections than in those with W. bancrofti, but the side effects were more serious in the former group than in the latter. Carriers with higher microfilaraemia have more severe side effects. </v>
      </c>
      <c r="U185" s="697"/>
      <c r="V185" s="697">
        <f>IFERROR(__xludf.DUMMYFUNCTION("""COMPUTED_VALUE"""),1991.0)</f>
        <v>1991</v>
      </c>
      <c r="W185" s="697">
        <f>IFERROR(__xludf.DUMMYFUNCTION("""COMPUTED_VALUE"""),1991.0)</f>
        <v>1991</v>
      </c>
      <c r="X185" s="697" t="str">
        <f>IFERROR(__xludf.DUMMYFUNCTION("""COMPUTED_VALUE"""),"Fan, P. C. ""Diethylcarbamazine treatment of bancroftian and malayan filariasis with emphasis on side effects."" Annals of Tropical Medicine &amp; Parasitology 86.4 (1992): 399-405.")</f>
        <v>Fan, P. C. "Diethylcarbamazine treatment of bancroftian and malayan filariasis with emphasis on side effects." Annals of Tropical Medicine &amp; Parasitology 86.4 (1992): 399-405.</v>
      </c>
      <c r="Y185" s="699" t="str">
        <f>IFERROR(__xludf.DUMMYFUNCTION("""COMPUTED_VALUE"""),"http://dx.doi.org/10.1080/00034983.1992.11812686")</f>
        <v>http://dx.doi.org/10.1080/00034983.1992.11812686</v>
      </c>
      <c r="Z185" s="865" t="str">
        <f>IFERROR(__xludf.DUMMYFUNCTION("""COMPUTED_VALUE"""),"https://drive.google.com/file/d/0B0qKRmtVkPtWQnp0NEcxbWdfQ3c/view?usp=sharing")</f>
        <v>https://drive.google.com/file/d/0B0qKRmtVkPtWQnp0NEcxbWdfQ3c/view?usp=sharing</v>
      </c>
      <c r="AA185" s="697"/>
    </row>
    <row r="186">
      <c r="A186" s="697" t="str">
        <f>IFERROR(__xludf.DUMMYFUNCTION("""COMPUTED_VALUE"""),"Fan 1991")</f>
        <v>Fan 1991</v>
      </c>
      <c r="B186" s="697" t="str">
        <f>IFERROR(__xludf.DUMMYFUNCTION("""COMPUTED_VALUE"""),"Mike")</f>
        <v>Mike</v>
      </c>
      <c r="C186" s="697" t="str">
        <f>IFERROR(__xludf.DUMMYFUNCTION("""COMPUTED_VALUE"""),"Alex")</f>
        <v>Alex</v>
      </c>
      <c r="D186" s="697" t="str">
        <f>IFERROR(__xludf.DUMMYFUNCTION("""COMPUTED_VALUE"""),"Taiwan")</f>
        <v>Taiwan</v>
      </c>
      <c r="E186" s="697" t="str">
        <f>IFERROR(__xludf.DUMMYFUNCTION("""COMPUTED_VALUE"""),"Brugia malayi")</f>
        <v>Brugia malayi</v>
      </c>
      <c r="F186" s="697" t="str">
        <f>IFERROR(__xludf.DUMMYFUNCTION("""COMPUTED_VALUE"""),"DEC")</f>
        <v>DEC</v>
      </c>
      <c r="G186" s="697" t="str">
        <f>IFERROR(__xludf.DUMMYFUNCTION("""COMPUTED_VALUE"""),"7mg/kg")</f>
        <v>7mg/kg</v>
      </c>
      <c r="H186" s="697">
        <f>IFERROR(__xludf.DUMMYFUNCTION("""COMPUTED_VALUE"""),7.0)</f>
        <v>7</v>
      </c>
      <c r="I186" s="697" t="str">
        <f>IFERROR(__xludf.DUMMYFUNCTION("""COMPUTED_VALUE"""),"not available")</f>
        <v>not available</v>
      </c>
      <c r="J186" s="697">
        <f>IFERROR(__xludf.DUMMYFUNCTION("""COMPUTED_VALUE"""),94.0)</f>
        <v>94</v>
      </c>
      <c r="K186" s="697" t="str">
        <f>IFERROR(__xludf.DUMMYFUNCTION("""COMPUTED_VALUE"""),"not available")</f>
        <v>not available</v>
      </c>
      <c r="L186" s="697">
        <f>IFERROR(__xludf.DUMMYFUNCTION("""COMPUTED_VALUE"""),17.0)</f>
        <v>17</v>
      </c>
      <c r="M186" s="10" t="str">
        <f>IFERROR(__xludf.DUMMYFUNCTION("""COMPUTED_VALUE"""),"not available")</f>
        <v>not available</v>
      </c>
      <c r="N186" s="10" t="str">
        <f>IFERROR(__xludf.DUMMYFUNCTION("""COMPUTED_VALUE"""),"not available")</f>
        <v>not available</v>
      </c>
      <c r="O186" s="697" t="str">
        <f>IFERROR(__xludf.DUMMYFUNCTION("""COMPUTED_VALUE"""),"mf carrier identified from previous study")</f>
        <v>mf carrier identified from previous study</v>
      </c>
      <c r="P186" s="697" t="str">
        <f>IFERROR(__xludf.DUMMYFUNCTION("""COMPUTED_VALUE"""),"randomized")</f>
        <v>randomized</v>
      </c>
      <c r="Q186" s="697" t="str">
        <f>IFERROR(__xludf.DUMMYFUNCTION("""COMPUTED_VALUE"""),"no")</f>
        <v>no</v>
      </c>
      <c r="R186" s="697" t="str">
        <f>IFERROR(__xludf.DUMMYFUNCTION("""COMPUTED_VALUE"""),"yes")</f>
        <v>yes</v>
      </c>
      <c r="S186" s="697" t="str">
        <f>IFERROR(__xludf.DUMMYFUNCTION("""COMPUTED_VALUE"""),"1 week")</f>
        <v>1 week</v>
      </c>
      <c r="T186" s="697" t="str">
        <f>IFERROR(__xludf.DUMMYFUNCTION("""COMPUTED_VALUE"""),"The cure rate is higher in patients infected with B. malayi and mixed infections than in those with W. bancrofti, but the side effects were more serious in the former group than in the latter. Carriers with higher microfilaraemia have more severe side eff"&amp;"ects. ")</f>
        <v>The cure rate is higher in patients infected with B. malayi and mixed infections than in those with W. bancrofti, but the side effects were more serious in the former group than in the latter. Carriers with higher microfilaraemia have more severe side effects. </v>
      </c>
      <c r="U186" s="697"/>
      <c r="V186" s="697">
        <f>IFERROR(__xludf.DUMMYFUNCTION("""COMPUTED_VALUE"""),1991.0)</f>
        <v>1991</v>
      </c>
      <c r="W186" s="697">
        <f>IFERROR(__xludf.DUMMYFUNCTION("""COMPUTED_VALUE"""),1991.0)</f>
        <v>1991</v>
      </c>
      <c r="X186" s="697" t="str">
        <f>IFERROR(__xludf.DUMMYFUNCTION("""COMPUTED_VALUE"""),"Fan, P. C. ""Diethylcarbamazine treatment of bancroftian and malayan filariasis with emphasis on side effects."" Annals of Tropical Medicine &amp; Parasitology 86.4 (1992): 399-405.")</f>
        <v>Fan, P. C. "Diethylcarbamazine treatment of bancroftian and malayan filariasis with emphasis on side effects." Annals of Tropical Medicine &amp; Parasitology 86.4 (1992): 399-405.</v>
      </c>
      <c r="Y186" s="699" t="str">
        <f>IFERROR(__xludf.DUMMYFUNCTION("""COMPUTED_VALUE"""),"http://dx.doi.org/10.1080/00034983.1992.11812687")</f>
        <v>http://dx.doi.org/10.1080/00034983.1992.11812687</v>
      </c>
      <c r="Z186" s="865" t="str">
        <f>IFERROR(__xludf.DUMMYFUNCTION("""COMPUTED_VALUE"""),"https://drive.google.com/file/d/0B0qKRmtVkPtWQnp0NEcxbWdfQ3c/view?usp=sharing")</f>
        <v>https://drive.google.com/file/d/0B0qKRmtVkPtWQnp0NEcxbWdfQ3c/view?usp=sharing</v>
      </c>
      <c r="AA186" s="697"/>
    </row>
    <row r="187">
      <c r="A187" s="697" t="str">
        <f>IFERROR(__xludf.DUMMYFUNCTION("""COMPUTED_VALUE"""),"Fan 1991")</f>
        <v>Fan 1991</v>
      </c>
      <c r="B187" s="697" t="str">
        <f>IFERROR(__xludf.DUMMYFUNCTION("""COMPUTED_VALUE"""),"Mike")</f>
        <v>Mike</v>
      </c>
      <c r="C187" s="697" t="str">
        <f>IFERROR(__xludf.DUMMYFUNCTION("""COMPUTED_VALUE"""),"Alex")</f>
        <v>Alex</v>
      </c>
      <c r="D187" s="697" t="str">
        <f>IFERROR(__xludf.DUMMYFUNCTION("""COMPUTED_VALUE"""),"Taiwan")</f>
        <v>Taiwan</v>
      </c>
      <c r="E187" s="697" t="str">
        <f>IFERROR(__xludf.DUMMYFUNCTION("""COMPUTED_VALUE"""),"w. bancrofti")</f>
        <v>w. bancrofti</v>
      </c>
      <c r="F187" s="697" t="str">
        <f>IFERROR(__xludf.DUMMYFUNCTION("""COMPUTED_VALUE"""),"DEC")</f>
        <v>DEC</v>
      </c>
      <c r="G187" s="697" t="str">
        <f>IFERROR(__xludf.DUMMYFUNCTION("""COMPUTED_VALUE"""),"8mg/kg")</f>
        <v>8mg/kg</v>
      </c>
      <c r="H187" s="697">
        <f>IFERROR(__xludf.DUMMYFUNCTION("""COMPUTED_VALUE"""),7.0)</f>
        <v>7</v>
      </c>
      <c r="I187" s="697" t="str">
        <f>IFERROR(__xludf.DUMMYFUNCTION("""COMPUTED_VALUE"""),"not available")</f>
        <v>not available</v>
      </c>
      <c r="J187" s="697">
        <f>IFERROR(__xludf.DUMMYFUNCTION("""COMPUTED_VALUE"""),79.0)</f>
        <v>79</v>
      </c>
      <c r="K187" s="697" t="str">
        <f>IFERROR(__xludf.DUMMYFUNCTION("""COMPUTED_VALUE"""),"not available")</f>
        <v>not available</v>
      </c>
      <c r="L187" s="697">
        <f>IFERROR(__xludf.DUMMYFUNCTION("""COMPUTED_VALUE"""),43.0)</f>
        <v>43</v>
      </c>
      <c r="M187" s="10" t="str">
        <f>IFERROR(__xludf.DUMMYFUNCTION("""COMPUTED_VALUE"""),"not available")</f>
        <v>not available</v>
      </c>
      <c r="N187" s="10" t="str">
        <f>IFERROR(__xludf.DUMMYFUNCTION("""COMPUTED_VALUE"""),"not available")</f>
        <v>not available</v>
      </c>
      <c r="O187" s="697" t="str">
        <f>IFERROR(__xludf.DUMMYFUNCTION("""COMPUTED_VALUE"""),"mf carrier identified from previous study")</f>
        <v>mf carrier identified from previous study</v>
      </c>
      <c r="P187" s="697" t="str">
        <f>IFERROR(__xludf.DUMMYFUNCTION("""COMPUTED_VALUE"""),"randomized")</f>
        <v>randomized</v>
      </c>
      <c r="Q187" s="697" t="str">
        <f>IFERROR(__xludf.DUMMYFUNCTION("""COMPUTED_VALUE"""),"no")</f>
        <v>no</v>
      </c>
      <c r="R187" s="697" t="str">
        <f>IFERROR(__xludf.DUMMYFUNCTION("""COMPUTED_VALUE"""),"yes")</f>
        <v>yes</v>
      </c>
      <c r="S187" s="697" t="str">
        <f>IFERROR(__xludf.DUMMYFUNCTION("""COMPUTED_VALUE"""),"1 week")</f>
        <v>1 week</v>
      </c>
      <c r="T187" s="697" t="str">
        <f>IFERROR(__xludf.DUMMYFUNCTION("""COMPUTED_VALUE"""),"The cure rate is higher in patients infected with B. malayi and mixed infections than in those with W. bancrofti, but the side effects were more serious in the former group than in the latter. Carriers with higher microfilaraemia have more severe side eff"&amp;"ects. ")</f>
        <v>The cure rate is higher in patients infected with B. malayi and mixed infections than in those with W. bancrofti, but the side effects were more serious in the former group than in the latter. Carriers with higher microfilaraemia have more severe side effects. </v>
      </c>
      <c r="U187" s="697"/>
      <c r="V187" s="697">
        <f>IFERROR(__xludf.DUMMYFUNCTION("""COMPUTED_VALUE"""),1991.0)</f>
        <v>1991</v>
      </c>
      <c r="W187" s="697">
        <f>IFERROR(__xludf.DUMMYFUNCTION("""COMPUTED_VALUE"""),1991.0)</f>
        <v>1991</v>
      </c>
      <c r="X187" s="697" t="str">
        <f>IFERROR(__xludf.DUMMYFUNCTION("""COMPUTED_VALUE"""),"Fan, P. C. ""Diethylcarbamazine treatment of bancroftian and malayan filariasis with emphasis on side effects."" Annals of Tropical Medicine &amp; Parasitology 86.4 (1992): 399-405.")</f>
        <v>Fan, P. C. "Diethylcarbamazine treatment of bancroftian and malayan filariasis with emphasis on side effects." Annals of Tropical Medicine &amp; Parasitology 86.4 (1992): 399-405.</v>
      </c>
      <c r="Y187" s="699" t="str">
        <f>IFERROR(__xludf.DUMMYFUNCTION("""COMPUTED_VALUE"""),"http://dx.doi.org/10.1080/00034983.1992.11812688")</f>
        <v>http://dx.doi.org/10.1080/00034983.1992.11812688</v>
      </c>
      <c r="Z187" s="865" t="str">
        <f>IFERROR(__xludf.DUMMYFUNCTION("""COMPUTED_VALUE"""),"https://drive.google.com/file/d/0B0qKRmtVkPtWQnp0NEcxbWdfQ3c/view?usp=sharing")</f>
        <v>https://drive.google.com/file/d/0B0qKRmtVkPtWQnp0NEcxbWdfQ3c/view?usp=sharing</v>
      </c>
      <c r="AA187" s="697"/>
    </row>
    <row r="188">
      <c r="A188" s="697" t="str">
        <f>IFERROR(__xludf.DUMMYFUNCTION("""COMPUTED_VALUE"""),"Fan 1991")</f>
        <v>Fan 1991</v>
      </c>
      <c r="B188" s="697" t="str">
        <f>IFERROR(__xludf.DUMMYFUNCTION("""COMPUTED_VALUE"""),"Mike")</f>
        <v>Mike</v>
      </c>
      <c r="C188" s="697" t="str">
        <f>IFERROR(__xludf.DUMMYFUNCTION("""COMPUTED_VALUE"""),"Alex")</f>
        <v>Alex</v>
      </c>
      <c r="D188" s="697" t="str">
        <f>IFERROR(__xludf.DUMMYFUNCTION("""COMPUTED_VALUE"""),"Taiwan")</f>
        <v>Taiwan</v>
      </c>
      <c r="E188" s="697" t="str">
        <f>IFERROR(__xludf.DUMMYFUNCTION("""COMPUTED_VALUE"""),"Brugia malayi")</f>
        <v>Brugia malayi</v>
      </c>
      <c r="F188" s="697" t="str">
        <f>IFERROR(__xludf.DUMMYFUNCTION("""COMPUTED_VALUE"""),"DEC")</f>
        <v>DEC</v>
      </c>
      <c r="G188" s="697" t="str">
        <f>IFERROR(__xludf.DUMMYFUNCTION("""COMPUTED_VALUE"""),"8mg/kg")</f>
        <v>8mg/kg</v>
      </c>
      <c r="H188" s="697">
        <f>IFERROR(__xludf.DUMMYFUNCTION("""COMPUTED_VALUE"""),7.0)</f>
        <v>7</v>
      </c>
      <c r="I188" s="697" t="str">
        <f>IFERROR(__xludf.DUMMYFUNCTION("""COMPUTED_VALUE"""),"not available")</f>
        <v>not available</v>
      </c>
      <c r="J188" s="697">
        <f>IFERROR(__xludf.DUMMYFUNCTION("""COMPUTED_VALUE"""),88.0)</f>
        <v>88</v>
      </c>
      <c r="K188" s="697" t="str">
        <f>IFERROR(__xludf.DUMMYFUNCTION("""COMPUTED_VALUE"""),"not available")</f>
        <v>not available</v>
      </c>
      <c r="L188" s="697">
        <f>IFERROR(__xludf.DUMMYFUNCTION("""COMPUTED_VALUE"""),25.0)</f>
        <v>25</v>
      </c>
      <c r="M188" s="10" t="str">
        <f>IFERROR(__xludf.DUMMYFUNCTION("""COMPUTED_VALUE"""),"not available")</f>
        <v>not available</v>
      </c>
      <c r="N188" s="10" t="str">
        <f>IFERROR(__xludf.DUMMYFUNCTION("""COMPUTED_VALUE"""),"not available")</f>
        <v>not available</v>
      </c>
      <c r="O188" s="697" t="str">
        <f>IFERROR(__xludf.DUMMYFUNCTION("""COMPUTED_VALUE"""),"mf carrier identified from previous study")</f>
        <v>mf carrier identified from previous study</v>
      </c>
      <c r="P188" s="697" t="str">
        <f>IFERROR(__xludf.DUMMYFUNCTION("""COMPUTED_VALUE"""),"randomized")</f>
        <v>randomized</v>
      </c>
      <c r="Q188" s="697" t="str">
        <f>IFERROR(__xludf.DUMMYFUNCTION("""COMPUTED_VALUE"""),"no")</f>
        <v>no</v>
      </c>
      <c r="R188" s="697" t="str">
        <f>IFERROR(__xludf.DUMMYFUNCTION("""COMPUTED_VALUE"""),"yes")</f>
        <v>yes</v>
      </c>
      <c r="S188" s="697" t="str">
        <f>IFERROR(__xludf.DUMMYFUNCTION("""COMPUTED_VALUE"""),"1 week")</f>
        <v>1 week</v>
      </c>
      <c r="T188" s="697" t="str">
        <f>IFERROR(__xludf.DUMMYFUNCTION("""COMPUTED_VALUE"""),"The cure rate is higher in patients infected with B. malayi and mixed infections than in those with W. bancrofti, but the side effects were more serious in the former group than in the latter. Carriers with higher microfilaraemia have more severe side eff"&amp;"ects. ")</f>
        <v>The cure rate is higher in patients infected with B. malayi and mixed infections than in those with W. bancrofti, but the side effects were more serious in the former group than in the latter. Carriers with higher microfilaraemia have more severe side effects. </v>
      </c>
      <c r="U188" s="697"/>
      <c r="V188" s="697">
        <f>IFERROR(__xludf.DUMMYFUNCTION("""COMPUTED_VALUE"""),1991.0)</f>
        <v>1991</v>
      </c>
      <c r="W188" s="697">
        <f>IFERROR(__xludf.DUMMYFUNCTION("""COMPUTED_VALUE"""),1991.0)</f>
        <v>1991</v>
      </c>
      <c r="X188" s="697" t="str">
        <f>IFERROR(__xludf.DUMMYFUNCTION("""COMPUTED_VALUE"""),"Fan, P. C. ""Diethylcarbamazine treatment of bancroftian and malayan filariasis with emphasis on side effects."" Annals of Tropical Medicine &amp; Parasitology 86.4 (1992): 399-405.")</f>
        <v>Fan, P. C. "Diethylcarbamazine treatment of bancroftian and malayan filariasis with emphasis on side effects." Annals of Tropical Medicine &amp; Parasitology 86.4 (1992): 399-405.</v>
      </c>
      <c r="Y188" s="699" t="str">
        <f>IFERROR(__xludf.DUMMYFUNCTION("""COMPUTED_VALUE"""),"http://dx.doi.org/10.1080/00034983.1992.11812689")</f>
        <v>http://dx.doi.org/10.1080/00034983.1992.11812689</v>
      </c>
      <c r="Z188" s="865" t="str">
        <f>IFERROR(__xludf.DUMMYFUNCTION("""COMPUTED_VALUE"""),"https://drive.google.com/file/d/0B0qKRmtVkPtWQnp0NEcxbWdfQ3c/view?usp=sharing")</f>
        <v>https://drive.google.com/file/d/0B0qKRmtVkPtWQnp0NEcxbWdfQ3c/view?usp=sharing</v>
      </c>
      <c r="AA188" s="697"/>
    </row>
    <row r="189">
      <c r="A189" s="697" t="str">
        <f>IFERROR(__xludf.DUMMYFUNCTION("""COMPUTED_VALUE"""),"Fan 1991")</f>
        <v>Fan 1991</v>
      </c>
      <c r="B189" s="697" t="str">
        <f>IFERROR(__xludf.DUMMYFUNCTION("""COMPUTED_VALUE"""),"Mike")</f>
        <v>Mike</v>
      </c>
      <c r="C189" s="697" t="str">
        <f>IFERROR(__xludf.DUMMYFUNCTION("""COMPUTED_VALUE"""),"Alex")</f>
        <v>Alex</v>
      </c>
      <c r="D189" s="697" t="str">
        <f>IFERROR(__xludf.DUMMYFUNCTION("""COMPUTED_VALUE"""),"Taiwan")</f>
        <v>Taiwan</v>
      </c>
      <c r="E189" s="697" t="str">
        <f>IFERROR(__xludf.DUMMYFUNCTION("""COMPUTED_VALUE"""),"w. bancrofti")</f>
        <v>w. bancrofti</v>
      </c>
      <c r="F189" s="697" t="str">
        <f>IFERROR(__xludf.DUMMYFUNCTION("""COMPUTED_VALUE"""),"DEC")</f>
        <v>DEC</v>
      </c>
      <c r="G189" s="697" t="str">
        <f>IFERROR(__xludf.DUMMYFUNCTION("""COMPUTED_VALUE"""),"9mg/kg")</f>
        <v>9mg/kg</v>
      </c>
      <c r="H189" s="697">
        <f>IFERROR(__xludf.DUMMYFUNCTION("""COMPUTED_VALUE"""),7.0)</f>
        <v>7</v>
      </c>
      <c r="I189" s="697" t="str">
        <f>IFERROR(__xludf.DUMMYFUNCTION("""COMPUTED_VALUE"""),"not available")</f>
        <v>not available</v>
      </c>
      <c r="J189" s="697">
        <f>IFERROR(__xludf.DUMMYFUNCTION("""COMPUTED_VALUE"""),80.0)</f>
        <v>80</v>
      </c>
      <c r="K189" s="697" t="str">
        <f>IFERROR(__xludf.DUMMYFUNCTION("""COMPUTED_VALUE"""),"not available")</f>
        <v>not available</v>
      </c>
      <c r="L189" s="697">
        <f>IFERROR(__xludf.DUMMYFUNCTION("""COMPUTED_VALUE"""),15.0)</f>
        <v>15</v>
      </c>
      <c r="M189" s="10" t="str">
        <f>IFERROR(__xludf.DUMMYFUNCTION("""COMPUTED_VALUE"""),"not available")</f>
        <v>not available</v>
      </c>
      <c r="N189" s="10" t="str">
        <f>IFERROR(__xludf.DUMMYFUNCTION("""COMPUTED_VALUE"""),"not available")</f>
        <v>not available</v>
      </c>
      <c r="O189" s="697" t="str">
        <f>IFERROR(__xludf.DUMMYFUNCTION("""COMPUTED_VALUE"""),"mf carrier identified from previous study")</f>
        <v>mf carrier identified from previous study</v>
      </c>
      <c r="P189" s="697" t="str">
        <f>IFERROR(__xludf.DUMMYFUNCTION("""COMPUTED_VALUE"""),"randomized")</f>
        <v>randomized</v>
      </c>
      <c r="Q189" s="697" t="str">
        <f>IFERROR(__xludf.DUMMYFUNCTION("""COMPUTED_VALUE"""),"no")</f>
        <v>no</v>
      </c>
      <c r="R189" s="697" t="str">
        <f>IFERROR(__xludf.DUMMYFUNCTION("""COMPUTED_VALUE"""),"yes")</f>
        <v>yes</v>
      </c>
      <c r="S189" s="697" t="str">
        <f>IFERROR(__xludf.DUMMYFUNCTION("""COMPUTED_VALUE"""),"1 week")</f>
        <v>1 week</v>
      </c>
      <c r="T189" s="697" t="str">
        <f>IFERROR(__xludf.DUMMYFUNCTION("""COMPUTED_VALUE"""),"The cure rate is higher in patients infected with B. malayi and mixed infections than in those with W. bancrofti, but the side effects were more serious in the former group than in the latter. Carriers with higher microfilaraemia have more severe side eff"&amp;"ects. ")</f>
        <v>The cure rate is higher in patients infected with B. malayi and mixed infections than in those with W. bancrofti, but the side effects were more serious in the former group than in the latter. Carriers with higher microfilaraemia have more severe side effects. </v>
      </c>
      <c r="U189" s="697"/>
      <c r="V189" s="697">
        <f>IFERROR(__xludf.DUMMYFUNCTION("""COMPUTED_VALUE"""),1991.0)</f>
        <v>1991</v>
      </c>
      <c r="W189" s="697">
        <f>IFERROR(__xludf.DUMMYFUNCTION("""COMPUTED_VALUE"""),1991.0)</f>
        <v>1991</v>
      </c>
      <c r="X189" s="697" t="str">
        <f>IFERROR(__xludf.DUMMYFUNCTION("""COMPUTED_VALUE"""),"Fan, P. C. ""Diethylcarbamazine treatment of bancroftian and malayan filariasis with emphasis on side effects."" Annals of Tropical Medicine &amp; Parasitology 86.4 (1992): 399-405.")</f>
        <v>Fan, P. C. "Diethylcarbamazine treatment of bancroftian and malayan filariasis with emphasis on side effects." Annals of Tropical Medicine &amp; Parasitology 86.4 (1992): 399-405.</v>
      </c>
      <c r="Y189" s="699" t="str">
        <f>IFERROR(__xludf.DUMMYFUNCTION("""COMPUTED_VALUE"""),"http://dx.doi.org/10.1080/00034983.1992.11812690")</f>
        <v>http://dx.doi.org/10.1080/00034983.1992.11812690</v>
      </c>
      <c r="Z189" s="865" t="str">
        <f>IFERROR(__xludf.DUMMYFUNCTION("""COMPUTED_VALUE"""),"https://drive.google.com/file/d/0B0qKRmtVkPtWQnp0NEcxbWdfQ3c/view?usp=sharing")</f>
        <v>https://drive.google.com/file/d/0B0qKRmtVkPtWQnp0NEcxbWdfQ3c/view?usp=sharing</v>
      </c>
      <c r="AA189" s="697"/>
    </row>
    <row r="190">
      <c r="A190" s="697" t="str">
        <f>IFERROR(__xludf.DUMMYFUNCTION("""COMPUTED_VALUE"""),"Fan 1991")</f>
        <v>Fan 1991</v>
      </c>
      <c r="B190" s="697" t="str">
        <f>IFERROR(__xludf.DUMMYFUNCTION("""COMPUTED_VALUE"""),"Mike")</f>
        <v>Mike</v>
      </c>
      <c r="C190" s="697" t="str">
        <f>IFERROR(__xludf.DUMMYFUNCTION("""COMPUTED_VALUE"""),"Alex")</f>
        <v>Alex</v>
      </c>
      <c r="D190" s="697" t="str">
        <f>IFERROR(__xludf.DUMMYFUNCTION("""COMPUTED_VALUE"""),"Taiwan")</f>
        <v>Taiwan</v>
      </c>
      <c r="E190" s="697" t="str">
        <f>IFERROR(__xludf.DUMMYFUNCTION("""COMPUTED_VALUE"""),"Brugia malayi")</f>
        <v>Brugia malayi</v>
      </c>
      <c r="F190" s="697" t="str">
        <f>IFERROR(__xludf.DUMMYFUNCTION("""COMPUTED_VALUE"""),"DEC")</f>
        <v>DEC</v>
      </c>
      <c r="G190" s="697" t="str">
        <f>IFERROR(__xludf.DUMMYFUNCTION("""COMPUTED_VALUE"""),"9mg/kg")</f>
        <v>9mg/kg</v>
      </c>
      <c r="H190" s="697">
        <f>IFERROR(__xludf.DUMMYFUNCTION("""COMPUTED_VALUE"""),7.0)</f>
        <v>7</v>
      </c>
      <c r="I190" s="697" t="str">
        <f>IFERROR(__xludf.DUMMYFUNCTION("""COMPUTED_VALUE"""),"not available")</f>
        <v>not available</v>
      </c>
      <c r="J190" s="697">
        <f>IFERROR(__xludf.DUMMYFUNCTION("""COMPUTED_VALUE"""),89.0)</f>
        <v>89</v>
      </c>
      <c r="K190" s="697" t="str">
        <f>IFERROR(__xludf.DUMMYFUNCTION("""COMPUTED_VALUE"""),"not available")</f>
        <v>not available</v>
      </c>
      <c r="L190" s="697">
        <f>IFERROR(__xludf.DUMMYFUNCTION("""COMPUTED_VALUE"""),18.0)</f>
        <v>18</v>
      </c>
      <c r="M190" s="10" t="str">
        <f>IFERROR(__xludf.DUMMYFUNCTION("""COMPUTED_VALUE"""),"not available")</f>
        <v>not available</v>
      </c>
      <c r="N190" s="10" t="str">
        <f>IFERROR(__xludf.DUMMYFUNCTION("""COMPUTED_VALUE"""),"not available")</f>
        <v>not available</v>
      </c>
      <c r="O190" s="697" t="str">
        <f>IFERROR(__xludf.DUMMYFUNCTION("""COMPUTED_VALUE"""),"mf carrier identified from previous study")</f>
        <v>mf carrier identified from previous study</v>
      </c>
      <c r="P190" s="697" t="str">
        <f>IFERROR(__xludf.DUMMYFUNCTION("""COMPUTED_VALUE"""),"randomized")</f>
        <v>randomized</v>
      </c>
      <c r="Q190" s="697" t="str">
        <f>IFERROR(__xludf.DUMMYFUNCTION("""COMPUTED_VALUE"""),"no")</f>
        <v>no</v>
      </c>
      <c r="R190" s="697" t="str">
        <f>IFERROR(__xludf.DUMMYFUNCTION("""COMPUTED_VALUE"""),"yes")</f>
        <v>yes</v>
      </c>
      <c r="S190" s="697" t="str">
        <f>IFERROR(__xludf.DUMMYFUNCTION("""COMPUTED_VALUE"""),"1 week")</f>
        <v>1 week</v>
      </c>
      <c r="T190" s="697" t="str">
        <f>IFERROR(__xludf.DUMMYFUNCTION("""COMPUTED_VALUE"""),"The cure rate is higher in patients infected with B. malayi and mixed infections than in those with W. bancrofti, but the side effects were more serious in the former group than in the latter. Carriers with higher microfilaraemia have more severe side eff"&amp;"ects. ")</f>
        <v>The cure rate is higher in patients infected with B. malayi and mixed infections than in those with W. bancrofti, but the side effects were more serious in the former group than in the latter. Carriers with higher microfilaraemia have more severe side effects. </v>
      </c>
      <c r="U190" s="697"/>
      <c r="V190" s="697">
        <f>IFERROR(__xludf.DUMMYFUNCTION("""COMPUTED_VALUE"""),1991.0)</f>
        <v>1991</v>
      </c>
      <c r="W190" s="697">
        <f>IFERROR(__xludf.DUMMYFUNCTION("""COMPUTED_VALUE"""),1991.0)</f>
        <v>1991</v>
      </c>
      <c r="X190" s="697" t="str">
        <f>IFERROR(__xludf.DUMMYFUNCTION("""COMPUTED_VALUE"""),"Fan, P. C. ""Diethylcarbamazine treatment of bancroftian and malayan filariasis with emphasis on side effects."" Annals of Tropical Medicine &amp; Parasitology 86.4 (1992): 399-405.")</f>
        <v>Fan, P. C. "Diethylcarbamazine treatment of bancroftian and malayan filariasis with emphasis on side effects." Annals of Tropical Medicine &amp; Parasitology 86.4 (1992): 399-405.</v>
      </c>
      <c r="Y190" s="699" t="str">
        <f>IFERROR(__xludf.DUMMYFUNCTION("""COMPUTED_VALUE"""),"http://dx.doi.org/10.1080/00034983.1992.11812691")</f>
        <v>http://dx.doi.org/10.1080/00034983.1992.11812691</v>
      </c>
      <c r="Z190" s="865" t="str">
        <f>IFERROR(__xludf.DUMMYFUNCTION("""COMPUTED_VALUE"""),"https://drive.google.com/file/d/0B0qKRmtVkPtWQnp0NEcxbWdfQ3c/view?usp=sharing")</f>
        <v>https://drive.google.com/file/d/0B0qKRmtVkPtWQnp0NEcxbWdfQ3c/view?usp=sharing</v>
      </c>
      <c r="AA190" s="697"/>
    </row>
    <row r="191">
      <c r="A191" s="697" t="str">
        <f>IFERROR(__xludf.DUMMYFUNCTION("""COMPUTED_VALUE"""),"Fan 1991")</f>
        <v>Fan 1991</v>
      </c>
      <c r="B191" s="697" t="str">
        <f>IFERROR(__xludf.DUMMYFUNCTION("""COMPUTED_VALUE"""),"Mike")</f>
        <v>Mike</v>
      </c>
      <c r="C191" s="697" t="str">
        <f>IFERROR(__xludf.DUMMYFUNCTION("""COMPUTED_VALUE"""),"Alex")</f>
        <v>Alex</v>
      </c>
      <c r="D191" s="697" t="str">
        <f>IFERROR(__xludf.DUMMYFUNCTION("""COMPUTED_VALUE"""),"Taiwan")</f>
        <v>Taiwan</v>
      </c>
      <c r="E191" s="697" t="str">
        <f>IFERROR(__xludf.DUMMYFUNCTION("""COMPUTED_VALUE"""),"w. bancrofti")</f>
        <v>w. bancrofti</v>
      </c>
      <c r="F191" s="697" t="str">
        <f>IFERROR(__xludf.DUMMYFUNCTION("""COMPUTED_VALUE"""),"DEC")</f>
        <v>DEC</v>
      </c>
      <c r="G191" s="697" t="str">
        <f>IFERROR(__xludf.DUMMYFUNCTION("""COMPUTED_VALUE"""),"10mg/kg")</f>
        <v>10mg/kg</v>
      </c>
      <c r="H191" s="697">
        <f>IFERROR(__xludf.DUMMYFUNCTION("""COMPUTED_VALUE"""),7.0)</f>
        <v>7</v>
      </c>
      <c r="I191" s="697" t="str">
        <f>IFERROR(__xludf.DUMMYFUNCTION("""COMPUTED_VALUE"""),"not available")</f>
        <v>not available</v>
      </c>
      <c r="J191" s="697">
        <f>IFERROR(__xludf.DUMMYFUNCTION("""COMPUTED_VALUE"""),83.0)</f>
        <v>83</v>
      </c>
      <c r="K191" s="697" t="str">
        <f>IFERROR(__xludf.DUMMYFUNCTION("""COMPUTED_VALUE"""),"not available")</f>
        <v>not available</v>
      </c>
      <c r="L191" s="697">
        <f>IFERROR(__xludf.DUMMYFUNCTION("""COMPUTED_VALUE"""),327.0)</f>
        <v>327</v>
      </c>
      <c r="M191" s="10" t="str">
        <f>IFERROR(__xludf.DUMMYFUNCTION("""COMPUTED_VALUE"""),"not available")</f>
        <v>not available</v>
      </c>
      <c r="N191" s="10" t="str">
        <f>IFERROR(__xludf.DUMMYFUNCTION("""COMPUTED_VALUE"""),"not available")</f>
        <v>not available</v>
      </c>
      <c r="O191" s="697" t="str">
        <f>IFERROR(__xludf.DUMMYFUNCTION("""COMPUTED_VALUE"""),"mf carrier identified from previous study")</f>
        <v>mf carrier identified from previous study</v>
      </c>
      <c r="P191" s="697" t="str">
        <f>IFERROR(__xludf.DUMMYFUNCTION("""COMPUTED_VALUE"""),"randomized")</f>
        <v>randomized</v>
      </c>
      <c r="Q191" s="697" t="str">
        <f>IFERROR(__xludf.DUMMYFUNCTION("""COMPUTED_VALUE"""),"no")</f>
        <v>no</v>
      </c>
      <c r="R191" s="697" t="str">
        <f>IFERROR(__xludf.DUMMYFUNCTION("""COMPUTED_VALUE"""),"yes")</f>
        <v>yes</v>
      </c>
      <c r="S191" s="697" t="str">
        <f>IFERROR(__xludf.DUMMYFUNCTION("""COMPUTED_VALUE"""),"1 week")</f>
        <v>1 week</v>
      </c>
      <c r="T191" s="697" t="str">
        <f>IFERROR(__xludf.DUMMYFUNCTION("""COMPUTED_VALUE"""),"The cure rate is higher in patients infected with B. malayi and mixed infections than in those with W. bancrofti, but the side effects were more serious in the former group than in the latter. Carriers with higher microfilaraemia have more severe side eff"&amp;"ects. ")</f>
        <v>The cure rate is higher in patients infected with B. malayi and mixed infections than in those with W. bancrofti, but the side effects were more serious in the former group than in the latter. Carriers with higher microfilaraemia have more severe side effects. </v>
      </c>
      <c r="U191" s="697"/>
      <c r="V191" s="697">
        <f>IFERROR(__xludf.DUMMYFUNCTION("""COMPUTED_VALUE"""),1991.0)</f>
        <v>1991</v>
      </c>
      <c r="W191" s="697">
        <f>IFERROR(__xludf.DUMMYFUNCTION("""COMPUTED_VALUE"""),1991.0)</f>
        <v>1991</v>
      </c>
      <c r="X191" s="697" t="str">
        <f>IFERROR(__xludf.DUMMYFUNCTION("""COMPUTED_VALUE"""),"Fan, P. C. ""Diethylcarbamazine treatment of bancroftian and malayan filariasis with emphasis on side effects."" Annals of Tropical Medicine &amp; Parasitology 86.4 (1992): 399-405.")</f>
        <v>Fan, P. C. "Diethylcarbamazine treatment of bancroftian and malayan filariasis with emphasis on side effects." Annals of Tropical Medicine &amp; Parasitology 86.4 (1992): 399-405.</v>
      </c>
      <c r="Y191" s="699" t="str">
        <f>IFERROR(__xludf.DUMMYFUNCTION("""COMPUTED_VALUE"""),"http://dx.doi.org/10.1080/00034983.1992.11812692")</f>
        <v>http://dx.doi.org/10.1080/00034983.1992.11812692</v>
      </c>
      <c r="Z191" s="865" t="str">
        <f>IFERROR(__xludf.DUMMYFUNCTION("""COMPUTED_VALUE"""),"https://drive.google.com/file/d/0B0qKRmtVkPtWQnp0NEcxbWdfQ3c/view?usp=sharing")</f>
        <v>https://drive.google.com/file/d/0B0qKRmtVkPtWQnp0NEcxbWdfQ3c/view?usp=sharing</v>
      </c>
      <c r="AA191" s="697"/>
    </row>
    <row r="192">
      <c r="A192" s="697" t="str">
        <f>IFERROR(__xludf.DUMMYFUNCTION("""COMPUTED_VALUE"""),"Fan 1991")</f>
        <v>Fan 1991</v>
      </c>
      <c r="B192" s="697" t="str">
        <f>IFERROR(__xludf.DUMMYFUNCTION("""COMPUTED_VALUE"""),"Mike")</f>
        <v>Mike</v>
      </c>
      <c r="C192" s="697" t="str">
        <f>IFERROR(__xludf.DUMMYFUNCTION("""COMPUTED_VALUE"""),"Alex")</f>
        <v>Alex</v>
      </c>
      <c r="D192" s="697" t="str">
        <f>IFERROR(__xludf.DUMMYFUNCTION("""COMPUTED_VALUE"""),"Taiwan")</f>
        <v>Taiwan</v>
      </c>
      <c r="E192" s="697" t="str">
        <f>IFERROR(__xludf.DUMMYFUNCTION("""COMPUTED_VALUE"""),"Brugia malayi")</f>
        <v>Brugia malayi</v>
      </c>
      <c r="F192" s="697" t="str">
        <f>IFERROR(__xludf.DUMMYFUNCTION("""COMPUTED_VALUE"""),"DEC")</f>
        <v>DEC</v>
      </c>
      <c r="G192" s="697" t="str">
        <f>IFERROR(__xludf.DUMMYFUNCTION("""COMPUTED_VALUE"""),"10mg/kg")</f>
        <v>10mg/kg</v>
      </c>
      <c r="H192" s="697">
        <f>IFERROR(__xludf.DUMMYFUNCTION("""COMPUTED_VALUE"""),7.0)</f>
        <v>7</v>
      </c>
      <c r="I192" s="697" t="str">
        <f>IFERROR(__xludf.DUMMYFUNCTION("""COMPUTED_VALUE"""),"not available")</f>
        <v>not available</v>
      </c>
      <c r="J192" s="697">
        <f>IFERROR(__xludf.DUMMYFUNCTION("""COMPUTED_VALUE"""),96.0)</f>
        <v>96</v>
      </c>
      <c r="K192" s="697" t="str">
        <f>IFERROR(__xludf.DUMMYFUNCTION("""COMPUTED_VALUE"""),"not available")</f>
        <v>not available</v>
      </c>
      <c r="L192" s="697">
        <f>IFERROR(__xludf.DUMMYFUNCTION("""COMPUTED_VALUE"""),97.0)</f>
        <v>97</v>
      </c>
      <c r="M192" s="10" t="str">
        <f>IFERROR(__xludf.DUMMYFUNCTION("""COMPUTED_VALUE"""),"not available")</f>
        <v>not available</v>
      </c>
      <c r="N192" s="10" t="str">
        <f>IFERROR(__xludf.DUMMYFUNCTION("""COMPUTED_VALUE"""),"not available")</f>
        <v>not available</v>
      </c>
      <c r="O192" s="697" t="str">
        <f>IFERROR(__xludf.DUMMYFUNCTION("""COMPUTED_VALUE"""),"mf carrier identified from previous study")</f>
        <v>mf carrier identified from previous study</v>
      </c>
      <c r="P192" s="697" t="str">
        <f>IFERROR(__xludf.DUMMYFUNCTION("""COMPUTED_VALUE"""),"randomized")</f>
        <v>randomized</v>
      </c>
      <c r="Q192" s="697" t="str">
        <f>IFERROR(__xludf.DUMMYFUNCTION("""COMPUTED_VALUE"""),"no")</f>
        <v>no</v>
      </c>
      <c r="R192" s="697" t="str">
        <f>IFERROR(__xludf.DUMMYFUNCTION("""COMPUTED_VALUE"""),"yes")</f>
        <v>yes</v>
      </c>
      <c r="S192" s="697" t="str">
        <f>IFERROR(__xludf.DUMMYFUNCTION("""COMPUTED_VALUE"""),"1 week")</f>
        <v>1 week</v>
      </c>
      <c r="T192" s="697" t="str">
        <f>IFERROR(__xludf.DUMMYFUNCTION("""COMPUTED_VALUE"""),"The cure rate is higher in patients infected with B. malayi and mixed infections than in those with W. bancrofti, but the side effects were more serious in the former group than in the latter. Carriers with higher microfilaraemia have more severe side eff"&amp;"ects. ")</f>
        <v>The cure rate is higher in patients infected with B. malayi and mixed infections than in those with W. bancrofti, but the side effects were more serious in the former group than in the latter. Carriers with higher microfilaraemia have more severe side effects. </v>
      </c>
      <c r="U192" s="697"/>
      <c r="V192" s="697">
        <f>IFERROR(__xludf.DUMMYFUNCTION("""COMPUTED_VALUE"""),1991.0)</f>
        <v>1991</v>
      </c>
      <c r="W192" s="697">
        <f>IFERROR(__xludf.DUMMYFUNCTION("""COMPUTED_VALUE"""),1991.0)</f>
        <v>1991</v>
      </c>
      <c r="X192" s="697" t="str">
        <f>IFERROR(__xludf.DUMMYFUNCTION("""COMPUTED_VALUE"""),"Fan, P. C. ""Diethylcarbamazine treatment of bancroftian and malayan filariasis with emphasis on side effects."" Annals of Tropical Medicine &amp; Parasitology 86.4 (1992): 399-405.")</f>
        <v>Fan, P. C. "Diethylcarbamazine treatment of bancroftian and malayan filariasis with emphasis on side effects." Annals of Tropical Medicine &amp; Parasitology 86.4 (1992): 399-405.</v>
      </c>
      <c r="Y192" s="699" t="str">
        <f>IFERROR(__xludf.DUMMYFUNCTION("""COMPUTED_VALUE"""),"http://dx.doi.org/10.1080/00034983.1992.11812693")</f>
        <v>http://dx.doi.org/10.1080/00034983.1992.11812693</v>
      </c>
      <c r="Z192" s="865" t="str">
        <f>IFERROR(__xludf.DUMMYFUNCTION("""COMPUTED_VALUE"""),"https://drive.google.com/file/d/0B0qKRmtVkPtWQnp0NEcxbWdfQ3c/view?usp=sharing")</f>
        <v>https://drive.google.com/file/d/0B0qKRmtVkPtWQnp0NEcxbWdfQ3c/view?usp=sharing</v>
      </c>
      <c r="AA192" s="697"/>
    </row>
    <row r="193">
      <c r="A193" s="697" t="str">
        <f>IFERROR(__xludf.DUMMYFUNCTION("""COMPUTED_VALUE"""),"Sabry 1991")</f>
        <v>Sabry 1991</v>
      </c>
      <c r="B193" s="697" t="str">
        <f>IFERROR(__xludf.DUMMYFUNCTION("""COMPUTED_VALUE"""),"Mike")</f>
        <v>Mike</v>
      </c>
      <c r="C193" s="697" t="str">
        <f>IFERROR(__xludf.DUMMYFUNCTION("""COMPUTED_VALUE"""),"Alex ")</f>
        <v>Alex </v>
      </c>
      <c r="D193" s="697" t="str">
        <f>IFERROR(__xludf.DUMMYFUNCTION("""COMPUTED_VALUE"""),"Egypt")</f>
        <v>Egypt</v>
      </c>
      <c r="E193" s="697" t="str">
        <f>IFERROR(__xludf.DUMMYFUNCTION("""COMPUTED_VALUE"""),"w. bancrofti")</f>
        <v>w. bancrofti</v>
      </c>
      <c r="F193" s="697" t="str">
        <f>IFERROR(__xludf.DUMMYFUNCTION("""COMPUTED_VALUE"""),"Ivermectin + Placebo")</f>
        <v>Ivermectin + Placebo</v>
      </c>
      <c r="G193" s="697" t="str">
        <f>IFERROR(__xludf.DUMMYFUNCTION("""COMPUTED_VALUE"""),".100mg/kg")</f>
        <v>.100mg/kg</v>
      </c>
      <c r="H193" s="697" t="str">
        <f>IFERROR(__xludf.DUMMYFUNCTION("""COMPUTED_VALUE"""),"1 dose")</f>
        <v>1 dose</v>
      </c>
      <c r="I193" s="698">
        <f>IFERROR(__xludf.DUMMYFUNCTION("""COMPUTED_VALUE"""),0.9851)</f>
        <v>0.9851</v>
      </c>
      <c r="J193" s="697" t="str">
        <f>IFERROR(__xludf.DUMMYFUNCTION("""COMPUTED_VALUE"""),"not available")</f>
        <v>not available</v>
      </c>
      <c r="K193" s="697" t="str">
        <f>IFERROR(__xludf.DUMMYFUNCTION("""COMPUTED_VALUE"""),"not available")</f>
        <v>not available</v>
      </c>
      <c r="L193" s="697">
        <f>IFERROR(__xludf.DUMMYFUNCTION("""COMPUTED_VALUE"""),41.0)</f>
        <v>41</v>
      </c>
      <c r="M193" s="10" t="str">
        <f>IFERROR(__xludf.DUMMYFUNCTION("""COMPUTED_VALUE"""),"15-55")</f>
        <v>15-55</v>
      </c>
      <c r="N193" s="862" t="str">
        <f>IFERROR(__xludf.DUMMYFUNCTION("""COMPUTED_VALUE"""),"0 : 41")</f>
        <v>0 : 41</v>
      </c>
      <c r="O193" s="697" t="str">
        <f>IFERROR(__xludf.DUMMYFUNCTION("""COMPUTED_VALUE"""),"&gt;= 100mf/ml of venous blood")</f>
        <v>&gt;= 100mf/ml of venous blood</v>
      </c>
      <c r="P193" s="697" t="str">
        <f>IFERROR(__xludf.DUMMYFUNCTION("""COMPUTED_VALUE"""),"randomized, double-blind")</f>
        <v>randomized, double-blind</v>
      </c>
      <c r="Q193" s="697" t="str">
        <f>IFERROR(__xludf.DUMMYFUNCTION("""COMPUTED_VALUE"""),"yes")</f>
        <v>yes</v>
      </c>
      <c r="R193" s="697" t="str">
        <f>IFERROR(__xludf.DUMMYFUNCTION("""COMPUTED_VALUE"""),"yes")</f>
        <v>yes</v>
      </c>
      <c r="S193" s="697" t="str">
        <f>IFERROR(__xludf.DUMMYFUNCTION("""COMPUTED_VALUE"""),"1 day")</f>
        <v>1 day</v>
      </c>
      <c r="T193" s="697" t="str">
        <f>IFERROR(__xludf.DUMMYFUNCTION("""COMPUTED_VALUE"""),"Ivermectin appears to be the only antifilarial drug to consider for widespread general use")</f>
        <v>Ivermectin appears to be the only antifilarial drug to consider for widespread general use</v>
      </c>
      <c r="U193" s="697"/>
      <c r="V193" s="697">
        <f>IFERROR(__xludf.DUMMYFUNCTION("""COMPUTED_VALUE"""),1991.0)</f>
        <v>1991</v>
      </c>
      <c r="W193" s="697">
        <f>IFERROR(__xludf.DUMMYFUNCTION("""COMPUTED_VALUE"""),1991.0)</f>
        <v>1991</v>
      </c>
      <c r="X193" s="697" t="str">
        <f>IFERROR(__xludf.DUMMYFUNCTION("""COMPUTED_VALUE"""),"Sabry, M., et al. ""A placebo-controlled double-blind trial for the treatment of bancroftian filariasis with ivermectin or diethylcarbamazine."" Transactions of the Royal Society of Tropical Medicine and Hygiene 85.5 (1991): 640-643.")</f>
        <v>Sabry, M., et al. "A placebo-controlled double-blind trial for the treatment of bancroftian filariasis with ivermectin or diethylcarbamazine." Transactions of the Royal Society of Tropical Medicine and Hygiene 85.5 (1991): 640-643.</v>
      </c>
      <c r="Y193" s="699" t="str">
        <f>IFERROR(__xludf.DUMMYFUNCTION("""COMPUTED_VALUE"""),"http://dx.doi.org/10.1016/0035-9203(91)90375-9")</f>
        <v>http://dx.doi.org/10.1016/0035-9203(91)90375-9</v>
      </c>
      <c r="Z193" s="865" t="str">
        <f>IFERROR(__xludf.DUMMYFUNCTION("""COMPUTED_VALUE"""),"https://drive.google.com/file/d/0B0qKRmtVkPtWYzdXTi1SY0EtZHM/view?usp=sharing")</f>
        <v>https://drive.google.com/file/d/0B0qKRmtVkPtWYzdXTi1SY0EtZHM/view?usp=sharing</v>
      </c>
      <c r="AA193" s="697"/>
    </row>
    <row r="194">
      <c r="A194" s="697" t="str">
        <f>IFERROR(__xludf.DUMMYFUNCTION("""COMPUTED_VALUE"""),"Sabry 1991")</f>
        <v>Sabry 1991</v>
      </c>
      <c r="B194" s="697" t="str">
        <f>IFERROR(__xludf.DUMMYFUNCTION("""COMPUTED_VALUE"""),"Mike")</f>
        <v>Mike</v>
      </c>
      <c r="C194" s="697" t="str">
        <f>IFERROR(__xludf.DUMMYFUNCTION("""COMPUTED_VALUE"""),"Alex ")</f>
        <v>Alex </v>
      </c>
      <c r="D194" s="697" t="str">
        <f>IFERROR(__xludf.DUMMYFUNCTION("""COMPUTED_VALUE"""),"Egypt")</f>
        <v>Egypt</v>
      </c>
      <c r="E194" s="697" t="str">
        <f>IFERROR(__xludf.DUMMYFUNCTION("""COMPUTED_VALUE"""),"w. bancrofti")</f>
        <v>w. bancrofti</v>
      </c>
      <c r="F194" s="697" t="str">
        <f>IFERROR(__xludf.DUMMYFUNCTION("""COMPUTED_VALUE"""),"Ivermectin + Placebo")</f>
        <v>Ivermectin + Placebo</v>
      </c>
      <c r="G194" s="697" t="str">
        <f>IFERROR(__xludf.DUMMYFUNCTION("""COMPUTED_VALUE"""),".100mg/kg")</f>
        <v>.100mg/kg</v>
      </c>
      <c r="H194" s="697" t="str">
        <f>IFERROR(__xludf.DUMMYFUNCTION("""COMPUTED_VALUE"""),"1 dose followed by 1 placebo doses")</f>
        <v>1 dose followed by 1 placebo doses</v>
      </c>
      <c r="I194" s="697">
        <f>IFERROR(__xludf.DUMMYFUNCTION("""COMPUTED_VALUE"""),99.84)</f>
        <v>99.84</v>
      </c>
      <c r="J194" s="697" t="str">
        <f>IFERROR(__xludf.DUMMYFUNCTION("""COMPUTED_VALUE"""),"not available")</f>
        <v>not available</v>
      </c>
      <c r="K194" s="697" t="str">
        <f>IFERROR(__xludf.DUMMYFUNCTION("""COMPUTED_VALUE"""),"not available")</f>
        <v>not available</v>
      </c>
      <c r="L194" s="697">
        <f>IFERROR(__xludf.DUMMYFUNCTION("""COMPUTED_VALUE"""),41.0)</f>
        <v>41</v>
      </c>
      <c r="M194" s="10" t="str">
        <f>IFERROR(__xludf.DUMMYFUNCTION("""COMPUTED_VALUE"""),"15-55")</f>
        <v>15-55</v>
      </c>
      <c r="N194" s="862" t="str">
        <f>IFERROR(__xludf.DUMMYFUNCTION("""COMPUTED_VALUE"""),"0 : 41")</f>
        <v>0 : 41</v>
      </c>
      <c r="O194" s="697" t="str">
        <f>IFERROR(__xludf.DUMMYFUNCTION("""COMPUTED_VALUE"""),"&gt;= 100mf/ml of venous blood")</f>
        <v>&gt;= 100mf/ml of venous blood</v>
      </c>
      <c r="P194" s="697" t="str">
        <f>IFERROR(__xludf.DUMMYFUNCTION("""COMPUTED_VALUE"""),"randomized, double-blind")</f>
        <v>randomized, double-blind</v>
      </c>
      <c r="Q194" s="697" t="str">
        <f>IFERROR(__xludf.DUMMYFUNCTION("""COMPUTED_VALUE"""),"yes")</f>
        <v>yes</v>
      </c>
      <c r="R194" s="697" t="str">
        <f>IFERROR(__xludf.DUMMYFUNCTION("""COMPUTED_VALUE"""),"yes")</f>
        <v>yes</v>
      </c>
      <c r="S194" s="697" t="str">
        <f>IFERROR(__xludf.DUMMYFUNCTION("""COMPUTED_VALUE"""),"2 days")</f>
        <v>2 days</v>
      </c>
      <c r="T194" s="697" t="str">
        <f>IFERROR(__xludf.DUMMYFUNCTION("""COMPUTED_VALUE"""),"Ivermectin appears to be the only antifilarial drug to consider for widespread general use")</f>
        <v>Ivermectin appears to be the only antifilarial drug to consider for widespread general use</v>
      </c>
      <c r="U194" s="697"/>
      <c r="V194" s="697">
        <f>IFERROR(__xludf.DUMMYFUNCTION("""COMPUTED_VALUE"""),1991.0)</f>
        <v>1991</v>
      </c>
      <c r="W194" s="697">
        <f>IFERROR(__xludf.DUMMYFUNCTION("""COMPUTED_VALUE"""),1991.0)</f>
        <v>1991</v>
      </c>
      <c r="X194" s="697" t="str">
        <f>IFERROR(__xludf.DUMMYFUNCTION("""COMPUTED_VALUE"""),"Sabry, M., et al. ""A placebo-controlled double-blind trial for the treatment of bancroftian filariasis with ivermectin or diethylcarbamazine."" Transactions of the Royal Society of Tropical Medicine and Hygiene 85.5 (1991): 640-643.")</f>
        <v>Sabry, M., et al. "A placebo-controlled double-blind trial for the treatment of bancroftian filariasis with ivermectin or diethylcarbamazine." Transactions of the Royal Society of Tropical Medicine and Hygiene 85.5 (1991): 640-643.</v>
      </c>
      <c r="Y194" s="699" t="str">
        <f>IFERROR(__xludf.DUMMYFUNCTION("""COMPUTED_VALUE"""),"http://dx.doi.org/10.1016/0035-9203(91)90375-10")</f>
        <v>http://dx.doi.org/10.1016/0035-9203(91)90375-10</v>
      </c>
      <c r="Z194" s="865" t="str">
        <f>IFERROR(__xludf.DUMMYFUNCTION("""COMPUTED_VALUE"""),"https://drive.google.com/file/d/0B0qKRmtVkPtWYzdXTi1SY0EtZHM/view?usp=sharing")</f>
        <v>https://drive.google.com/file/d/0B0qKRmtVkPtWYzdXTi1SY0EtZHM/view?usp=sharing</v>
      </c>
      <c r="AA194" s="697"/>
    </row>
    <row r="195">
      <c r="A195" s="697" t="str">
        <f>IFERROR(__xludf.DUMMYFUNCTION("""COMPUTED_VALUE"""),"Sabry 1991")</f>
        <v>Sabry 1991</v>
      </c>
      <c r="B195" s="697" t="str">
        <f>IFERROR(__xludf.DUMMYFUNCTION("""COMPUTED_VALUE"""),"Mike")</f>
        <v>Mike</v>
      </c>
      <c r="C195" s="697" t="str">
        <f>IFERROR(__xludf.DUMMYFUNCTION("""COMPUTED_VALUE"""),"Alex ")</f>
        <v>Alex </v>
      </c>
      <c r="D195" s="697" t="str">
        <f>IFERROR(__xludf.DUMMYFUNCTION("""COMPUTED_VALUE"""),"Egypt")</f>
        <v>Egypt</v>
      </c>
      <c r="E195" s="697" t="str">
        <f>IFERROR(__xludf.DUMMYFUNCTION("""COMPUTED_VALUE"""),"w. bancrofti")</f>
        <v>w. bancrofti</v>
      </c>
      <c r="F195" s="697" t="str">
        <f>IFERROR(__xludf.DUMMYFUNCTION("""COMPUTED_VALUE"""),"Ivermectin + Placebo")</f>
        <v>Ivermectin + Placebo</v>
      </c>
      <c r="G195" s="697" t="str">
        <f>IFERROR(__xludf.DUMMYFUNCTION("""COMPUTED_VALUE"""),".100mg/kg")</f>
        <v>.100mg/kg</v>
      </c>
      <c r="H195" s="697" t="str">
        <f>IFERROR(__xludf.DUMMYFUNCTION("""COMPUTED_VALUE"""),"1 dose followed by 7 placebo doses")</f>
        <v>1 dose followed by 7 placebo doses</v>
      </c>
      <c r="I195" s="698">
        <f>IFERROR(__xludf.DUMMYFUNCTION("""COMPUTED_VALUE"""),0.999)</f>
        <v>0.999</v>
      </c>
      <c r="J195" s="697" t="str">
        <f>IFERROR(__xludf.DUMMYFUNCTION("""COMPUTED_VALUE"""),"not available")</f>
        <v>not available</v>
      </c>
      <c r="K195" s="697" t="str">
        <f>IFERROR(__xludf.DUMMYFUNCTION("""COMPUTED_VALUE"""),"not available")</f>
        <v>not available</v>
      </c>
      <c r="L195" s="697">
        <f>IFERROR(__xludf.DUMMYFUNCTION("""COMPUTED_VALUE"""),41.0)</f>
        <v>41</v>
      </c>
      <c r="M195" s="10" t="str">
        <f>IFERROR(__xludf.DUMMYFUNCTION("""COMPUTED_VALUE"""),"15-55")</f>
        <v>15-55</v>
      </c>
      <c r="N195" s="862" t="str">
        <f>IFERROR(__xludf.DUMMYFUNCTION("""COMPUTED_VALUE"""),"0 : 41")</f>
        <v>0 : 41</v>
      </c>
      <c r="O195" s="697" t="str">
        <f>IFERROR(__xludf.DUMMYFUNCTION("""COMPUTED_VALUE"""),"&gt;= 100mf/ml of venous blood")</f>
        <v>&gt;= 100mf/ml of venous blood</v>
      </c>
      <c r="P195" s="697" t="str">
        <f>IFERROR(__xludf.DUMMYFUNCTION("""COMPUTED_VALUE"""),"randomized, double-blind")</f>
        <v>randomized, double-blind</v>
      </c>
      <c r="Q195" s="697" t="str">
        <f>IFERROR(__xludf.DUMMYFUNCTION("""COMPUTED_VALUE"""),"yes")</f>
        <v>yes</v>
      </c>
      <c r="R195" s="697" t="str">
        <f>IFERROR(__xludf.DUMMYFUNCTION("""COMPUTED_VALUE"""),"yes")</f>
        <v>yes</v>
      </c>
      <c r="S195" s="697" t="str">
        <f>IFERROR(__xludf.DUMMYFUNCTION("""COMPUTED_VALUE"""),"8 days")</f>
        <v>8 days</v>
      </c>
      <c r="T195" s="697" t="str">
        <f>IFERROR(__xludf.DUMMYFUNCTION("""COMPUTED_VALUE"""),"Ivermectin appears to be the only antifilarial drug to consider for widespread general use")</f>
        <v>Ivermectin appears to be the only antifilarial drug to consider for widespread general use</v>
      </c>
      <c r="U195" s="697"/>
      <c r="V195" s="697">
        <f>IFERROR(__xludf.DUMMYFUNCTION("""COMPUTED_VALUE"""),1991.0)</f>
        <v>1991</v>
      </c>
      <c r="W195" s="697">
        <f>IFERROR(__xludf.DUMMYFUNCTION("""COMPUTED_VALUE"""),1991.0)</f>
        <v>1991</v>
      </c>
      <c r="X195" s="697" t="str">
        <f>IFERROR(__xludf.DUMMYFUNCTION("""COMPUTED_VALUE"""),"Sabry, M., et al. ""A placebo-controlled double-blind trial for the treatment of bancroftian filariasis with ivermectin or diethylcarbamazine."" Transactions of the Royal Society of Tropical Medicine and Hygiene 85.5 (1991): 640-643.")</f>
        <v>Sabry, M., et al. "A placebo-controlled double-blind trial for the treatment of bancroftian filariasis with ivermectin or diethylcarbamazine." Transactions of the Royal Society of Tropical Medicine and Hygiene 85.5 (1991): 640-643.</v>
      </c>
      <c r="Y195" s="699" t="str">
        <f>IFERROR(__xludf.DUMMYFUNCTION("""COMPUTED_VALUE"""),"http://dx.doi.org/10.1016/0035-9203(91)90375-11")</f>
        <v>http://dx.doi.org/10.1016/0035-9203(91)90375-11</v>
      </c>
      <c r="Z195" s="865" t="str">
        <f>IFERROR(__xludf.DUMMYFUNCTION("""COMPUTED_VALUE"""),"https://drive.google.com/file/d/0B0qKRmtVkPtWYzdXTi1SY0EtZHM/view?usp=sharing")</f>
        <v>https://drive.google.com/file/d/0B0qKRmtVkPtWYzdXTi1SY0EtZHM/view?usp=sharing</v>
      </c>
      <c r="AA195" s="697"/>
    </row>
    <row r="196">
      <c r="A196" s="697" t="str">
        <f>IFERROR(__xludf.DUMMYFUNCTION("""COMPUTED_VALUE"""),"Sabry 1991")</f>
        <v>Sabry 1991</v>
      </c>
      <c r="B196" s="697" t="str">
        <f>IFERROR(__xludf.DUMMYFUNCTION("""COMPUTED_VALUE"""),"Mike")</f>
        <v>Mike</v>
      </c>
      <c r="C196" s="697" t="str">
        <f>IFERROR(__xludf.DUMMYFUNCTION("""COMPUTED_VALUE"""),"Alex ")</f>
        <v>Alex </v>
      </c>
      <c r="D196" s="697" t="str">
        <f>IFERROR(__xludf.DUMMYFUNCTION("""COMPUTED_VALUE"""),"Egypt")</f>
        <v>Egypt</v>
      </c>
      <c r="E196" s="697" t="str">
        <f>IFERROR(__xludf.DUMMYFUNCTION("""COMPUTED_VALUE"""),"w. bancrofti")</f>
        <v>w. bancrofti</v>
      </c>
      <c r="F196" s="697" t="str">
        <f>IFERROR(__xludf.DUMMYFUNCTION("""COMPUTED_VALUE"""),"Ivermectin + Placebo")</f>
        <v>Ivermectin + Placebo</v>
      </c>
      <c r="G196" s="697" t="str">
        <f>IFERROR(__xludf.DUMMYFUNCTION("""COMPUTED_VALUE"""),".100mg/kg")</f>
        <v>.100mg/kg</v>
      </c>
      <c r="H196" s="697" t="str">
        <f>IFERROR(__xludf.DUMMYFUNCTION("""COMPUTED_VALUE"""),"1 dose followed by 12 placebo doses")</f>
        <v>1 dose followed by 12 placebo doses</v>
      </c>
      <c r="I196" s="698">
        <f>IFERROR(__xludf.DUMMYFUNCTION("""COMPUTED_VALUE"""),0.9994)</f>
        <v>0.9994</v>
      </c>
      <c r="J196" s="697" t="str">
        <f>IFERROR(__xludf.DUMMYFUNCTION("""COMPUTED_VALUE"""),"not available")</f>
        <v>not available</v>
      </c>
      <c r="K196" s="697" t="str">
        <f>IFERROR(__xludf.DUMMYFUNCTION("""COMPUTED_VALUE"""),"not available")</f>
        <v>not available</v>
      </c>
      <c r="L196" s="697">
        <f>IFERROR(__xludf.DUMMYFUNCTION("""COMPUTED_VALUE"""),41.0)</f>
        <v>41</v>
      </c>
      <c r="M196" s="10" t="str">
        <f>IFERROR(__xludf.DUMMYFUNCTION("""COMPUTED_VALUE"""),"15-55")</f>
        <v>15-55</v>
      </c>
      <c r="N196" s="862" t="str">
        <f>IFERROR(__xludf.DUMMYFUNCTION("""COMPUTED_VALUE"""),"0 : 41")</f>
        <v>0 : 41</v>
      </c>
      <c r="O196" s="697" t="str">
        <f>IFERROR(__xludf.DUMMYFUNCTION("""COMPUTED_VALUE"""),"&gt;= 100mf/ml of venous blood")</f>
        <v>&gt;= 100mf/ml of venous blood</v>
      </c>
      <c r="P196" s="697" t="str">
        <f>IFERROR(__xludf.DUMMYFUNCTION("""COMPUTED_VALUE"""),"randomized, double-blind")</f>
        <v>randomized, double-blind</v>
      </c>
      <c r="Q196" s="697" t="str">
        <f>IFERROR(__xludf.DUMMYFUNCTION("""COMPUTED_VALUE"""),"yes")</f>
        <v>yes</v>
      </c>
      <c r="R196" s="697" t="str">
        <f>IFERROR(__xludf.DUMMYFUNCTION("""COMPUTED_VALUE"""),"yes")</f>
        <v>yes</v>
      </c>
      <c r="S196" s="697" t="str">
        <f>IFERROR(__xludf.DUMMYFUNCTION("""COMPUTED_VALUE"""),"14 days")</f>
        <v>14 days</v>
      </c>
      <c r="T196" s="697" t="str">
        <f>IFERROR(__xludf.DUMMYFUNCTION("""COMPUTED_VALUE"""),"Ivermectin appears to be the only antifilarial drug to consider for widespread general use")</f>
        <v>Ivermectin appears to be the only antifilarial drug to consider for widespread general use</v>
      </c>
      <c r="U196" s="697"/>
      <c r="V196" s="697">
        <f>IFERROR(__xludf.DUMMYFUNCTION("""COMPUTED_VALUE"""),1991.0)</f>
        <v>1991</v>
      </c>
      <c r="W196" s="697">
        <f>IFERROR(__xludf.DUMMYFUNCTION("""COMPUTED_VALUE"""),1991.0)</f>
        <v>1991</v>
      </c>
      <c r="X196" s="697" t="str">
        <f>IFERROR(__xludf.DUMMYFUNCTION("""COMPUTED_VALUE"""),"Sabry, M., et al. ""A placebo-controlled double-blind trial for the treatment of bancroftian filariasis with ivermectin or diethylcarbamazine."" Transactions of the Royal Society of Tropical Medicine and Hygiene 85.5 (1991): 640-643.")</f>
        <v>Sabry, M., et al. "A placebo-controlled double-blind trial for the treatment of bancroftian filariasis with ivermectin or diethylcarbamazine." Transactions of the Royal Society of Tropical Medicine and Hygiene 85.5 (1991): 640-643.</v>
      </c>
      <c r="Y196" s="699" t="str">
        <f>IFERROR(__xludf.DUMMYFUNCTION("""COMPUTED_VALUE"""),"http://dx.doi.org/10.1016/0035-9203(91)90375-12")</f>
        <v>http://dx.doi.org/10.1016/0035-9203(91)90375-12</v>
      </c>
      <c r="Z196" s="865" t="str">
        <f>IFERROR(__xludf.DUMMYFUNCTION("""COMPUTED_VALUE"""),"https://drive.google.com/file/d/0B0qKRmtVkPtWYzdXTi1SY0EtZHM/view?usp=sharing")</f>
        <v>https://drive.google.com/file/d/0B0qKRmtVkPtWYzdXTi1SY0EtZHM/view?usp=sharing</v>
      </c>
      <c r="AA196" s="697"/>
    </row>
    <row r="197">
      <c r="A197" s="697" t="str">
        <f>IFERROR(__xludf.DUMMYFUNCTION("""COMPUTED_VALUE"""),"Sabry 1991")</f>
        <v>Sabry 1991</v>
      </c>
      <c r="B197" s="697" t="str">
        <f>IFERROR(__xludf.DUMMYFUNCTION("""COMPUTED_VALUE"""),"Mike")</f>
        <v>Mike</v>
      </c>
      <c r="C197" s="697" t="str">
        <f>IFERROR(__xludf.DUMMYFUNCTION("""COMPUTED_VALUE"""),"Alex ")</f>
        <v>Alex </v>
      </c>
      <c r="D197" s="697" t="str">
        <f>IFERROR(__xludf.DUMMYFUNCTION("""COMPUTED_VALUE"""),"Egypt")</f>
        <v>Egypt</v>
      </c>
      <c r="E197" s="697" t="str">
        <f>IFERROR(__xludf.DUMMYFUNCTION("""COMPUTED_VALUE"""),"w. bancrofti")</f>
        <v>w. bancrofti</v>
      </c>
      <c r="F197" s="697" t="str">
        <f>IFERROR(__xludf.DUMMYFUNCTION("""COMPUTED_VALUE"""),"Ivermectin + Placebo")</f>
        <v>Ivermectin + Placebo</v>
      </c>
      <c r="G197" s="697" t="str">
        <f>IFERROR(__xludf.DUMMYFUNCTION("""COMPUTED_VALUE"""),".100mg/kg")</f>
        <v>.100mg/kg</v>
      </c>
      <c r="H197" s="697" t="str">
        <f>IFERROR(__xludf.DUMMYFUNCTION("""COMPUTED_VALUE"""),"1 dose followed by 12 placebo doses")</f>
        <v>1 dose followed by 12 placebo doses</v>
      </c>
      <c r="I197" s="698">
        <f>IFERROR(__xludf.DUMMYFUNCTION("""COMPUTED_VALUE"""),0.9828)</f>
        <v>0.9828</v>
      </c>
      <c r="J197" s="697" t="str">
        <f>IFERROR(__xludf.DUMMYFUNCTION("""COMPUTED_VALUE"""),"not available")</f>
        <v>not available</v>
      </c>
      <c r="K197" s="697" t="str">
        <f>IFERROR(__xludf.DUMMYFUNCTION("""COMPUTED_VALUE"""),"not available")</f>
        <v>not available</v>
      </c>
      <c r="L197" s="697">
        <f>IFERROR(__xludf.DUMMYFUNCTION("""COMPUTED_VALUE"""),41.0)</f>
        <v>41</v>
      </c>
      <c r="M197" s="10" t="str">
        <f>IFERROR(__xludf.DUMMYFUNCTION("""COMPUTED_VALUE"""),"15-55")</f>
        <v>15-55</v>
      </c>
      <c r="N197" s="862" t="str">
        <f>IFERROR(__xludf.DUMMYFUNCTION("""COMPUTED_VALUE"""),"0 : 41")</f>
        <v>0 : 41</v>
      </c>
      <c r="O197" s="697" t="str">
        <f>IFERROR(__xludf.DUMMYFUNCTION("""COMPUTED_VALUE"""),"&gt;= 100mf/ml of venous blood")</f>
        <v>&gt;= 100mf/ml of venous blood</v>
      </c>
      <c r="P197" s="697" t="str">
        <f>IFERROR(__xludf.DUMMYFUNCTION("""COMPUTED_VALUE"""),"randomized, double-blind")</f>
        <v>randomized, double-blind</v>
      </c>
      <c r="Q197" s="697" t="str">
        <f>IFERROR(__xludf.DUMMYFUNCTION("""COMPUTED_VALUE"""),"yes")</f>
        <v>yes</v>
      </c>
      <c r="R197" s="697" t="str">
        <f>IFERROR(__xludf.DUMMYFUNCTION("""COMPUTED_VALUE"""),"yes")</f>
        <v>yes</v>
      </c>
      <c r="S197" s="697" t="str">
        <f>IFERROR(__xludf.DUMMYFUNCTION("""COMPUTED_VALUE"""),"1 month")</f>
        <v>1 month</v>
      </c>
      <c r="T197" s="697" t="str">
        <f>IFERROR(__xludf.DUMMYFUNCTION("""COMPUTED_VALUE"""),"Ivermectin appears to be the only antifilarial drug to consider for widespread general use")</f>
        <v>Ivermectin appears to be the only antifilarial drug to consider for widespread general use</v>
      </c>
      <c r="U197" s="697"/>
      <c r="V197" s="697">
        <f>IFERROR(__xludf.DUMMYFUNCTION("""COMPUTED_VALUE"""),1991.0)</f>
        <v>1991</v>
      </c>
      <c r="W197" s="697">
        <f>IFERROR(__xludf.DUMMYFUNCTION("""COMPUTED_VALUE"""),1991.0)</f>
        <v>1991</v>
      </c>
      <c r="X197" s="697" t="str">
        <f>IFERROR(__xludf.DUMMYFUNCTION("""COMPUTED_VALUE"""),"Sabry, M., et al. ""A placebo-controlled double-blind trial for the treatment of bancroftian filariasis with ivermectin or diethylcarbamazine."" Transactions of the Royal Society of Tropical Medicine and Hygiene 85.5 (1991): 640-643.")</f>
        <v>Sabry, M., et al. "A placebo-controlled double-blind trial for the treatment of bancroftian filariasis with ivermectin or diethylcarbamazine." Transactions of the Royal Society of Tropical Medicine and Hygiene 85.5 (1991): 640-643.</v>
      </c>
      <c r="Y197" s="699" t="str">
        <f>IFERROR(__xludf.DUMMYFUNCTION("""COMPUTED_VALUE"""),"http://dx.doi.org/10.1016/0035-9203(91)90375-13")</f>
        <v>http://dx.doi.org/10.1016/0035-9203(91)90375-13</v>
      </c>
      <c r="Z197" s="865" t="str">
        <f>IFERROR(__xludf.DUMMYFUNCTION("""COMPUTED_VALUE"""),"https://drive.google.com/file/d/0B0qKRmtVkPtWYzdXTi1SY0EtZHM/view?usp=sharing")</f>
        <v>https://drive.google.com/file/d/0B0qKRmtVkPtWYzdXTi1SY0EtZHM/view?usp=sharing</v>
      </c>
      <c r="AA197" s="697"/>
    </row>
    <row r="198">
      <c r="A198" s="697" t="str">
        <f>IFERROR(__xludf.DUMMYFUNCTION("""COMPUTED_VALUE"""),"Sabry 1991")</f>
        <v>Sabry 1991</v>
      </c>
      <c r="B198" s="697" t="str">
        <f>IFERROR(__xludf.DUMMYFUNCTION("""COMPUTED_VALUE"""),"Mike")</f>
        <v>Mike</v>
      </c>
      <c r="C198" s="697" t="str">
        <f>IFERROR(__xludf.DUMMYFUNCTION("""COMPUTED_VALUE"""),"Alex ")</f>
        <v>Alex </v>
      </c>
      <c r="D198" s="697" t="str">
        <f>IFERROR(__xludf.DUMMYFUNCTION("""COMPUTED_VALUE"""),"Egypt")</f>
        <v>Egypt</v>
      </c>
      <c r="E198" s="697" t="str">
        <f>IFERROR(__xludf.DUMMYFUNCTION("""COMPUTED_VALUE"""),"w. bancrofti")</f>
        <v>w. bancrofti</v>
      </c>
      <c r="F198" s="697" t="str">
        <f>IFERROR(__xludf.DUMMYFUNCTION("""COMPUTED_VALUE"""),"Ivermectin + Placebo")</f>
        <v>Ivermectin + Placebo</v>
      </c>
      <c r="G198" s="697" t="str">
        <f>IFERROR(__xludf.DUMMYFUNCTION("""COMPUTED_VALUE"""),".100mg/kg")</f>
        <v>.100mg/kg</v>
      </c>
      <c r="H198" s="697" t="str">
        <f>IFERROR(__xludf.DUMMYFUNCTION("""COMPUTED_VALUE"""),"1 dose followed by 12 placebo doses")</f>
        <v>1 dose followed by 12 placebo doses</v>
      </c>
      <c r="I198" s="697">
        <f>IFERROR(__xludf.DUMMYFUNCTION("""COMPUTED_VALUE"""),91.85)</f>
        <v>91.85</v>
      </c>
      <c r="J198" s="697" t="str">
        <f>IFERROR(__xludf.DUMMYFUNCTION("""COMPUTED_VALUE"""),"not available")</f>
        <v>not available</v>
      </c>
      <c r="K198" s="697" t="str">
        <f>IFERROR(__xludf.DUMMYFUNCTION("""COMPUTED_VALUE"""),"not available")</f>
        <v>not available</v>
      </c>
      <c r="L198" s="697">
        <f>IFERROR(__xludf.DUMMYFUNCTION("""COMPUTED_VALUE"""),41.0)</f>
        <v>41</v>
      </c>
      <c r="M198" s="10" t="str">
        <f>IFERROR(__xludf.DUMMYFUNCTION("""COMPUTED_VALUE"""),"15-55")</f>
        <v>15-55</v>
      </c>
      <c r="N198" s="862" t="str">
        <f>IFERROR(__xludf.DUMMYFUNCTION("""COMPUTED_VALUE"""),"0 : 41")</f>
        <v>0 : 41</v>
      </c>
      <c r="O198" s="697" t="str">
        <f>IFERROR(__xludf.DUMMYFUNCTION("""COMPUTED_VALUE"""),"&gt;= 100mf/ml of venous blood")</f>
        <v>&gt;= 100mf/ml of venous blood</v>
      </c>
      <c r="P198" s="697" t="str">
        <f>IFERROR(__xludf.DUMMYFUNCTION("""COMPUTED_VALUE"""),"randomized, double-blind")</f>
        <v>randomized, double-blind</v>
      </c>
      <c r="Q198" s="697" t="str">
        <f>IFERROR(__xludf.DUMMYFUNCTION("""COMPUTED_VALUE"""),"yes")</f>
        <v>yes</v>
      </c>
      <c r="R198" s="697" t="str">
        <f>IFERROR(__xludf.DUMMYFUNCTION("""COMPUTED_VALUE"""),"yes")</f>
        <v>yes</v>
      </c>
      <c r="S198" s="697" t="str">
        <f>IFERROR(__xludf.DUMMYFUNCTION("""COMPUTED_VALUE"""),"3 months")</f>
        <v>3 months</v>
      </c>
      <c r="T198" s="697" t="str">
        <f>IFERROR(__xludf.DUMMYFUNCTION("""COMPUTED_VALUE"""),"Ivermectin appears to be the only antifilarial drug to consider for widespread general use")</f>
        <v>Ivermectin appears to be the only antifilarial drug to consider for widespread general use</v>
      </c>
      <c r="U198" s="697"/>
      <c r="V198" s="697">
        <f>IFERROR(__xludf.DUMMYFUNCTION("""COMPUTED_VALUE"""),1991.0)</f>
        <v>1991</v>
      </c>
      <c r="W198" s="697">
        <f>IFERROR(__xludf.DUMMYFUNCTION("""COMPUTED_VALUE"""),1991.0)</f>
        <v>1991</v>
      </c>
      <c r="X198" s="697" t="str">
        <f>IFERROR(__xludf.DUMMYFUNCTION("""COMPUTED_VALUE"""),"Sabry, M., et al. ""A placebo-controlled double-blind trial for the treatment of bancroftian filariasis with ivermectin or diethylcarbamazine."" Transactions of the Royal Society of Tropical Medicine and Hygiene 85.5 (1991): 640-643.")</f>
        <v>Sabry, M., et al. "A placebo-controlled double-blind trial for the treatment of bancroftian filariasis with ivermectin or diethylcarbamazine." Transactions of the Royal Society of Tropical Medicine and Hygiene 85.5 (1991): 640-643.</v>
      </c>
      <c r="Y198" s="699" t="str">
        <f>IFERROR(__xludf.DUMMYFUNCTION("""COMPUTED_VALUE"""),"http://dx.doi.org/10.1016/0035-9203(91)90375-14")</f>
        <v>http://dx.doi.org/10.1016/0035-9203(91)90375-14</v>
      </c>
      <c r="Z198" s="865" t="str">
        <f>IFERROR(__xludf.DUMMYFUNCTION("""COMPUTED_VALUE"""),"https://drive.google.com/file/d/0B0qKRmtVkPtWYzdXTi1SY0EtZHM/view?usp=sharing")</f>
        <v>https://drive.google.com/file/d/0B0qKRmtVkPtWYzdXTi1SY0EtZHM/view?usp=sharing</v>
      </c>
      <c r="AA198" s="697"/>
    </row>
    <row r="199">
      <c r="A199" s="697" t="str">
        <f>IFERROR(__xludf.DUMMYFUNCTION("""COMPUTED_VALUE"""),"Sabry 1991")</f>
        <v>Sabry 1991</v>
      </c>
      <c r="B199" s="697" t="str">
        <f>IFERROR(__xludf.DUMMYFUNCTION("""COMPUTED_VALUE"""),"Mike")</f>
        <v>Mike</v>
      </c>
      <c r="C199" s="697" t="str">
        <f>IFERROR(__xludf.DUMMYFUNCTION("""COMPUTED_VALUE"""),"Alex ")</f>
        <v>Alex </v>
      </c>
      <c r="D199" s="697" t="str">
        <f>IFERROR(__xludf.DUMMYFUNCTION("""COMPUTED_VALUE"""),"Egypt")</f>
        <v>Egypt</v>
      </c>
      <c r="E199" s="697" t="str">
        <f>IFERROR(__xludf.DUMMYFUNCTION("""COMPUTED_VALUE"""),"w. bancrofti")</f>
        <v>w. bancrofti</v>
      </c>
      <c r="F199" s="697" t="str">
        <f>IFERROR(__xludf.DUMMYFUNCTION("""COMPUTED_VALUE"""),"DEC")</f>
        <v>DEC</v>
      </c>
      <c r="G199" s="697" t="str">
        <f>IFERROR(__xludf.DUMMYFUNCTION("""COMPUTED_VALUE"""),"3mg/kg on day 1; 6mg/kg on days 2-13")</f>
        <v>3mg/kg on day 1; 6mg/kg on days 2-13</v>
      </c>
      <c r="H199" s="697">
        <f>IFERROR(__xludf.DUMMYFUNCTION("""COMPUTED_VALUE"""),1.0)</f>
        <v>1</v>
      </c>
      <c r="I199" s="698">
        <f>IFERROR(__xludf.DUMMYFUNCTION("""COMPUTED_VALUE"""),0.8243)</f>
        <v>0.8243</v>
      </c>
      <c r="J199" s="697" t="str">
        <f>IFERROR(__xludf.DUMMYFUNCTION("""COMPUTED_VALUE"""),"not available")</f>
        <v>not available</v>
      </c>
      <c r="K199" s="697" t="str">
        <f>IFERROR(__xludf.DUMMYFUNCTION("""COMPUTED_VALUE"""),"not available")</f>
        <v>not available</v>
      </c>
      <c r="L199" s="697">
        <f>IFERROR(__xludf.DUMMYFUNCTION("""COMPUTED_VALUE"""),30.0)</f>
        <v>30</v>
      </c>
      <c r="M199" s="10" t="str">
        <f>IFERROR(__xludf.DUMMYFUNCTION("""COMPUTED_VALUE"""),"15-55")</f>
        <v>15-55</v>
      </c>
      <c r="N199" s="862" t="str">
        <f>IFERROR(__xludf.DUMMYFUNCTION("""COMPUTED_VALUE"""),"0 : 30")</f>
        <v>0 : 30</v>
      </c>
      <c r="O199" s="697" t="str">
        <f>IFERROR(__xludf.DUMMYFUNCTION("""COMPUTED_VALUE"""),"&gt;= 100mf/ml of venous blood")</f>
        <v>&gt;= 100mf/ml of venous blood</v>
      </c>
      <c r="P199" s="697" t="str">
        <f>IFERROR(__xludf.DUMMYFUNCTION("""COMPUTED_VALUE"""),"randomized, double-blind")</f>
        <v>randomized, double-blind</v>
      </c>
      <c r="Q199" s="697" t="str">
        <f>IFERROR(__xludf.DUMMYFUNCTION("""COMPUTED_VALUE"""),"yes")</f>
        <v>yes</v>
      </c>
      <c r="R199" s="697" t="str">
        <f>IFERROR(__xludf.DUMMYFUNCTION("""COMPUTED_VALUE"""),"yes")</f>
        <v>yes</v>
      </c>
      <c r="S199" s="697" t="str">
        <f>IFERROR(__xludf.DUMMYFUNCTION("""COMPUTED_VALUE"""),"1 day")</f>
        <v>1 day</v>
      </c>
      <c r="T199" s="697" t="str">
        <f>IFERROR(__xludf.DUMMYFUNCTION("""COMPUTED_VALUE"""),"Ivermectin appears to be the only antifilarial drug to consider for widespread general use")</f>
        <v>Ivermectin appears to be the only antifilarial drug to consider for widespread general use</v>
      </c>
      <c r="U199" s="697"/>
      <c r="V199" s="697">
        <f>IFERROR(__xludf.DUMMYFUNCTION("""COMPUTED_VALUE"""),1991.0)</f>
        <v>1991</v>
      </c>
      <c r="W199" s="697">
        <f>IFERROR(__xludf.DUMMYFUNCTION("""COMPUTED_VALUE"""),1991.0)</f>
        <v>1991</v>
      </c>
      <c r="X199" s="697" t="str">
        <f>IFERROR(__xludf.DUMMYFUNCTION("""COMPUTED_VALUE"""),"Sabry, M., et al. ""A placebo-controlled double-blind trial for the treatment of bancroftian filariasis with ivermectin or diethylcarbamazine."" Transactions of the Royal Society of Tropical Medicine and Hygiene 85.5 (1991): 640-643.")</f>
        <v>Sabry, M., et al. "A placebo-controlled double-blind trial for the treatment of bancroftian filariasis with ivermectin or diethylcarbamazine." Transactions of the Royal Society of Tropical Medicine and Hygiene 85.5 (1991): 640-643.</v>
      </c>
      <c r="Y199" s="699" t="str">
        <f>IFERROR(__xludf.DUMMYFUNCTION("""COMPUTED_VALUE"""),"http://dx.doi.org/10.1016/0035-9203(91)90375-15")</f>
        <v>http://dx.doi.org/10.1016/0035-9203(91)90375-15</v>
      </c>
      <c r="Z199" s="865" t="str">
        <f>IFERROR(__xludf.DUMMYFUNCTION("""COMPUTED_VALUE"""),"https://drive.google.com/file/d/0B0qKRmtVkPtWYzdXTi1SY0EtZHM/view?usp=sharing")</f>
        <v>https://drive.google.com/file/d/0B0qKRmtVkPtWYzdXTi1SY0EtZHM/view?usp=sharing</v>
      </c>
      <c r="AA199" s="697"/>
    </row>
    <row r="200">
      <c r="A200" s="697" t="str">
        <f>IFERROR(__xludf.DUMMYFUNCTION("""COMPUTED_VALUE"""),"Sabry 1991")</f>
        <v>Sabry 1991</v>
      </c>
      <c r="B200" s="697" t="str">
        <f>IFERROR(__xludf.DUMMYFUNCTION("""COMPUTED_VALUE"""),"Mike")</f>
        <v>Mike</v>
      </c>
      <c r="C200" s="697" t="str">
        <f>IFERROR(__xludf.DUMMYFUNCTION("""COMPUTED_VALUE"""),"Alex ")</f>
        <v>Alex </v>
      </c>
      <c r="D200" s="697" t="str">
        <f>IFERROR(__xludf.DUMMYFUNCTION("""COMPUTED_VALUE"""),"Egypt")</f>
        <v>Egypt</v>
      </c>
      <c r="E200" s="697" t="str">
        <f>IFERROR(__xludf.DUMMYFUNCTION("""COMPUTED_VALUE"""),"w. bancrofti")</f>
        <v>w. bancrofti</v>
      </c>
      <c r="F200" s="697" t="str">
        <f>IFERROR(__xludf.DUMMYFUNCTION("""COMPUTED_VALUE"""),"DEC")</f>
        <v>DEC</v>
      </c>
      <c r="G200" s="697" t="str">
        <f>IFERROR(__xludf.DUMMYFUNCTION("""COMPUTED_VALUE"""),"3mg/kg on day 1; 6mg/kg on days 2-13")</f>
        <v>3mg/kg on day 1; 6mg/kg on days 2-13</v>
      </c>
      <c r="H200" s="697">
        <f>IFERROR(__xludf.DUMMYFUNCTION("""COMPUTED_VALUE"""),2.0)</f>
        <v>2</v>
      </c>
      <c r="I200" s="698">
        <f>IFERROR(__xludf.DUMMYFUNCTION("""COMPUTED_VALUE"""),0.9443)</f>
        <v>0.9443</v>
      </c>
      <c r="J200" s="697" t="str">
        <f>IFERROR(__xludf.DUMMYFUNCTION("""COMPUTED_VALUE"""),"not available")</f>
        <v>not available</v>
      </c>
      <c r="K200" s="697" t="str">
        <f>IFERROR(__xludf.DUMMYFUNCTION("""COMPUTED_VALUE"""),"not available")</f>
        <v>not available</v>
      </c>
      <c r="L200" s="697">
        <f>IFERROR(__xludf.DUMMYFUNCTION("""COMPUTED_VALUE"""),30.0)</f>
        <v>30</v>
      </c>
      <c r="M200" s="10" t="str">
        <f>IFERROR(__xludf.DUMMYFUNCTION("""COMPUTED_VALUE"""),"15-55")</f>
        <v>15-55</v>
      </c>
      <c r="N200" s="862" t="str">
        <f>IFERROR(__xludf.DUMMYFUNCTION("""COMPUTED_VALUE"""),"0 : 30")</f>
        <v>0 : 30</v>
      </c>
      <c r="O200" s="697" t="str">
        <f>IFERROR(__xludf.DUMMYFUNCTION("""COMPUTED_VALUE"""),"&gt;= 100mf/ml of venous blood")</f>
        <v>&gt;= 100mf/ml of venous blood</v>
      </c>
      <c r="P200" s="697" t="str">
        <f>IFERROR(__xludf.DUMMYFUNCTION("""COMPUTED_VALUE"""),"randomized, double-blind")</f>
        <v>randomized, double-blind</v>
      </c>
      <c r="Q200" s="697" t="str">
        <f>IFERROR(__xludf.DUMMYFUNCTION("""COMPUTED_VALUE"""),"yes")</f>
        <v>yes</v>
      </c>
      <c r="R200" s="697" t="str">
        <f>IFERROR(__xludf.DUMMYFUNCTION("""COMPUTED_VALUE"""),"yes")</f>
        <v>yes</v>
      </c>
      <c r="S200" s="697" t="str">
        <f>IFERROR(__xludf.DUMMYFUNCTION("""COMPUTED_VALUE"""),"2 days")</f>
        <v>2 days</v>
      </c>
      <c r="T200" s="697" t="str">
        <f>IFERROR(__xludf.DUMMYFUNCTION("""COMPUTED_VALUE"""),"Ivermectin appears to be the only antifilarial drug to consider for widespread general use")</f>
        <v>Ivermectin appears to be the only antifilarial drug to consider for widespread general use</v>
      </c>
      <c r="U200" s="697"/>
      <c r="V200" s="697">
        <f>IFERROR(__xludf.DUMMYFUNCTION("""COMPUTED_VALUE"""),1991.0)</f>
        <v>1991</v>
      </c>
      <c r="W200" s="697">
        <f>IFERROR(__xludf.DUMMYFUNCTION("""COMPUTED_VALUE"""),1991.0)</f>
        <v>1991</v>
      </c>
      <c r="X200" s="697" t="str">
        <f>IFERROR(__xludf.DUMMYFUNCTION("""COMPUTED_VALUE"""),"Sabry, M., et al. ""A placebo-controlled double-blind trial for the treatment of bancroftian filariasis with ivermectin or diethylcarbamazine."" Transactions of the Royal Society of Tropical Medicine and Hygiene 85.5 (1991): 640-643.")</f>
        <v>Sabry, M., et al. "A placebo-controlled double-blind trial for the treatment of bancroftian filariasis with ivermectin or diethylcarbamazine." Transactions of the Royal Society of Tropical Medicine and Hygiene 85.5 (1991): 640-643.</v>
      </c>
      <c r="Y200" s="699" t="str">
        <f>IFERROR(__xludf.DUMMYFUNCTION("""COMPUTED_VALUE"""),"http://dx.doi.org/10.1016/0035-9203(91)90375-16")</f>
        <v>http://dx.doi.org/10.1016/0035-9203(91)90375-16</v>
      </c>
      <c r="Z200" s="865" t="str">
        <f>IFERROR(__xludf.DUMMYFUNCTION("""COMPUTED_VALUE"""),"https://drive.google.com/file/d/0B0qKRmtVkPtWYzdXTi1SY0EtZHM/view?usp=sharing")</f>
        <v>https://drive.google.com/file/d/0B0qKRmtVkPtWYzdXTi1SY0EtZHM/view?usp=sharing</v>
      </c>
      <c r="AA200" s="697"/>
    </row>
    <row r="201">
      <c r="A201" s="697" t="str">
        <f>IFERROR(__xludf.DUMMYFUNCTION("""COMPUTED_VALUE"""),"Sabry 1991")</f>
        <v>Sabry 1991</v>
      </c>
      <c r="B201" s="697" t="str">
        <f>IFERROR(__xludf.DUMMYFUNCTION("""COMPUTED_VALUE"""),"Mike")</f>
        <v>Mike</v>
      </c>
      <c r="C201" s="697" t="str">
        <f>IFERROR(__xludf.DUMMYFUNCTION("""COMPUTED_VALUE"""),"Alex ")</f>
        <v>Alex </v>
      </c>
      <c r="D201" s="697" t="str">
        <f>IFERROR(__xludf.DUMMYFUNCTION("""COMPUTED_VALUE"""),"Egypt")</f>
        <v>Egypt</v>
      </c>
      <c r="E201" s="697" t="str">
        <f>IFERROR(__xludf.DUMMYFUNCTION("""COMPUTED_VALUE"""),"w. bancrofti")</f>
        <v>w. bancrofti</v>
      </c>
      <c r="F201" s="697" t="str">
        <f>IFERROR(__xludf.DUMMYFUNCTION("""COMPUTED_VALUE"""),"DEC")</f>
        <v>DEC</v>
      </c>
      <c r="G201" s="697" t="str">
        <f>IFERROR(__xludf.DUMMYFUNCTION("""COMPUTED_VALUE"""),"3mg/kg on day 1; 6mg/kg on days 2-13")</f>
        <v>3mg/kg on day 1; 6mg/kg on days 2-13</v>
      </c>
      <c r="H201" s="697">
        <f>IFERROR(__xludf.DUMMYFUNCTION("""COMPUTED_VALUE"""),8.0)</f>
        <v>8</v>
      </c>
      <c r="I201" s="698">
        <f>IFERROR(__xludf.DUMMYFUNCTION("""COMPUTED_VALUE"""),0.9868)</f>
        <v>0.9868</v>
      </c>
      <c r="J201" s="697" t="str">
        <f>IFERROR(__xludf.DUMMYFUNCTION("""COMPUTED_VALUE"""),"not available")</f>
        <v>not available</v>
      </c>
      <c r="K201" s="697" t="str">
        <f>IFERROR(__xludf.DUMMYFUNCTION("""COMPUTED_VALUE"""),"not available")</f>
        <v>not available</v>
      </c>
      <c r="L201" s="697">
        <f>IFERROR(__xludf.DUMMYFUNCTION("""COMPUTED_VALUE"""),30.0)</f>
        <v>30</v>
      </c>
      <c r="M201" s="10" t="str">
        <f>IFERROR(__xludf.DUMMYFUNCTION("""COMPUTED_VALUE"""),"15-55")</f>
        <v>15-55</v>
      </c>
      <c r="N201" s="862" t="str">
        <f>IFERROR(__xludf.DUMMYFUNCTION("""COMPUTED_VALUE"""),"0 : 30")</f>
        <v>0 : 30</v>
      </c>
      <c r="O201" s="697" t="str">
        <f>IFERROR(__xludf.DUMMYFUNCTION("""COMPUTED_VALUE"""),"&gt;= 100mf/ml of venous blood")</f>
        <v>&gt;= 100mf/ml of venous blood</v>
      </c>
      <c r="P201" s="697" t="str">
        <f>IFERROR(__xludf.DUMMYFUNCTION("""COMPUTED_VALUE"""),"randomized, double-blind")</f>
        <v>randomized, double-blind</v>
      </c>
      <c r="Q201" s="697" t="str">
        <f>IFERROR(__xludf.DUMMYFUNCTION("""COMPUTED_VALUE"""),"yes")</f>
        <v>yes</v>
      </c>
      <c r="R201" s="697" t="str">
        <f>IFERROR(__xludf.DUMMYFUNCTION("""COMPUTED_VALUE"""),"yes")</f>
        <v>yes</v>
      </c>
      <c r="S201" s="697" t="str">
        <f>IFERROR(__xludf.DUMMYFUNCTION("""COMPUTED_VALUE"""),"8 days")</f>
        <v>8 days</v>
      </c>
      <c r="T201" s="697" t="str">
        <f>IFERROR(__xludf.DUMMYFUNCTION("""COMPUTED_VALUE"""),"Ivermectin appears to be the only antifilarial drug to consider for widespread general use")</f>
        <v>Ivermectin appears to be the only antifilarial drug to consider for widespread general use</v>
      </c>
      <c r="U201" s="697"/>
      <c r="V201" s="697">
        <f>IFERROR(__xludf.DUMMYFUNCTION("""COMPUTED_VALUE"""),1991.0)</f>
        <v>1991</v>
      </c>
      <c r="W201" s="697">
        <f>IFERROR(__xludf.DUMMYFUNCTION("""COMPUTED_VALUE"""),1991.0)</f>
        <v>1991</v>
      </c>
      <c r="X201" s="697" t="str">
        <f>IFERROR(__xludf.DUMMYFUNCTION("""COMPUTED_VALUE"""),"Sabry, M., et al. ""A placebo-controlled double-blind trial for the treatment of bancroftian filariasis with ivermectin or diethylcarbamazine."" Transactions of the Royal Society of Tropical Medicine and Hygiene 85.5 (1991): 640-643.")</f>
        <v>Sabry, M., et al. "A placebo-controlled double-blind trial for the treatment of bancroftian filariasis with ivermectin or diethylcarbamazine." Transactions of the Royal Society of Tropical Medicine and Hygiene 85.5 (1991): 640-643.</v>
      </c>
      <c r="Y201" s="699" t="str">
        <f>IFERROR(__xludf.DUMMYFUNCTION("""COMPUTED_VALUE"""),"http://dx.doi.org/10.1016/0035-9203(91)90375-17")</f>
        <v>http://dx.doi.org/10.1016/0035-9203(91)90375-17</v>
      </c>
      <c r="Z201" s="865" t="str">
        <f>IFERROR(__xludf.DUMMYFUNCTION("""COMPUTED_VALUE"""),"https://drive.google.com/file/d/0B0qKRmtVkPtWYzdXTi1SY0EtZHM/view?usp=sharing")</f>
        <v>https://drive.google.com/file/d/0B0qKRmtVkPtWYzdXTi1SY0EtZHM/view?usp=sharing</v>
      </c>
      <c r="AA201" s="697"/>
    </row>
    <row r="202">
      <c r="A202" s="697" t="str">
        <f>IFERROR(__xludf.DUMMYFUNCTION("""COMPUTED_VALUE"""),"Sabry 1991")</f>
        <v>Sabry 1991</v>
      </c>
      <c r="B202" s="697" t="str">
        <f>IFERROR(__xludf.DUMMYFUNCTION("""COMPUTED_VALUE"""),"Mike")</f>
        <v>Mike</v>
      </c>
      <c r="C202" s="697" t="str">
        <f>IFERROR(__xludf.DUMMYFUNCTION("""COMPUTED_VALUE"""),"Alex ")</f>
        <v>Alex </v>
      </c>
      <c r="D202" s="697" t="str">
        <f>IFERROR(__xludf.DUMMYFUNCTION("""COMPUTED_VALUE"""),"Egypt")</f>
        <v>Egypt</v>
      </c>
      <c r="E202" s="697" t="str">
        <f>IFERROR(__xludf.DUMMYFUNCTION("""COMPUTED_VALUE"""),"w. bancrofti")</f>
        <v>w. bancrofti</v>
      </c>
      <c r="F202" s="697" t="str">
        <f>IFERROR(__xludf.DUMMYFUNCTION("""COMPUTED_VALUE"""),"DEC")</f>
        <v>DEC</v>
      </c>
      <c r="G202" s="697" t="str">
        <f>IFERROR(__xludf.DUMMYFUNCTION("""COMPUTED_VALUE"""),"3mg/kg on day 1; 6mg/kg on days 2-13")</f>
        <v>3mg/kg on day 1; 6mg/kg on days 2-13</v>
      </c>
      <c r="H202" s="697">
        <f>IFERROR(__xludf.DUMMYFUNCTION("""COMPUTED_VALUE"""),13.0)</f>
        <v>13</v>
      </c>
      <c r="I202" s="698">
        <f>IFERROR(__xludf.DUMMYFUNCTION("""COMPUTED_VALUE"""),0.9896)</f>
        <v>0.9896</v>
      </c>
      <c r="J202" s="697" t="str">
        <f>IFERROR(__xludf.DUMMYFUNCTION("""COMPUTED_VALUE"""),"not available")</f>
        <v>not available</v>
      </c>
      <c r="K202" s="697" t="str">
        <f>IFERROR(__xludf.DUMMYFUNCTION("""COMPUTED_VALUE"""),"not available")</f>
        <v>not available</v>
      </c>
      <c r="L202" s="697">
        <f>IFERROR(__xludf.DUMMYFUNCTION("""COMPUTED_VALUE"""),30.0)</f>
        <v>30</v>
      </c>
      <c r="M202" s="10" t="str">
        <f>IFERROR(__xludf.DUMMYFUNCTION("""COMPUTED_VALUE"""),"15-55")</f>
        <v>15-55</v>
      </c>
      <c r="N202" s="862" t="str">
        <f>IFERROR(__xludf.DUMMYFUNCTION("""COMPUTED_VALUE"""),"0 : 30")</f>
        <v>0 : 30</v>
      </c>
      <c r="O202" s="697" t="str">
        <f>IFERROR(__xludf.DUMMYFUNCTION("""COMPUTED_VALUE"""),"&gt;= 100mf/ml of venous blood")</f>
        <v>&gt;= 100mf/ml of venous blood</v>
      </c>
      <c r="P202" s="697" t="str">
        <f>IFERROR(__xludf.DUMMYFUNCTION("""COMPUTED_VALUE"""),"randomized, double-blind")</f>
        <v>randomized, double-blind</v>
      </c>
      <c r="Q202" s="697" t="str">
        <f>IFERROR(__xludf.DUMMYFUNCTION("""COMPUTED_VALUE"""),"yes")</f>
        <v>yes</v>
      </c>
      <c r="R202" s="697" t="str">
        <f>IFERROR(__xludf.DUMMYFUNCTION("""COMPUTED_VALUE"""),"yes")</f>
        <v>yes</v>
      </c>
      <c r="S202" s="697" t="str">
        <f>IFERROR(__xludf.DUMMYFUNCTION("""COMPUTED_VALUE"""),"14 days")</f>
        <v>14 days</v>
      </c>
      <c r="T202" s="697" t="str">
        <f>IFERROR(__xludf.DUMMYFUNCTION("""COMPUTED_VALUE"""),"Ivermectin appears to be the only antifilarial drug to consider for widespread general use")</f>
        <v>Ivermectin appears to be the only antifilarial drug to consider for widespread general use</v>
      </c>
      <c r="U202" s="697"/>
      <c r="V202" s="697">
        <f>IFERROR(__xludf.DUMMYFUNCTION("""COMPUTED_VALUE"""),1991.0)</f>
        <v>1991</v>
      </c>
      <c r="W202" s="697">
        <f>IFERROR(__xludf.DUMMYFUNCTION("""COMPUTED_VALUE"""),1991.0)</f>
        <v>1991</v>
      </c>
      <c r="X202" s="697" t="str">
        <f>IFERROR(__xludf.DUMMYFUNCTION("""COMPUTED_VALUE"""),"Sabry, M., et al. ""A placebo-controlled double-blind trial for the treatment of bancroftian filariasis with ivermectin or diethylcarbamazine."" Transactions of the Royal Society of Tropical Medicine and Hygiene 85.5 (1991): 640-643.")</f>
        <v>Sabry, M., et al. "A placebo-controlled double-blind trial for the treatment of bancroftian filariasis with ivermectin or diethylcarbamazine." Transactions of the Royal Society of Tropical Medicine and Hygiene 85.5 (1991): 640-643.</v>
      </c>
      <c r="Y202" s="699" t="str">
        <f>IFERROR(__xludf.DUMMYFUNCTION("""COMPUTED_VALUE"""),"http://dx.doi.org/10.1016/0035-9203(91)90375-18")</f>
        <v>http://dx.doi.org/10.1016/0035-9203(91)90375-18</v>
      </c>
      <c r="Z202" s="865" t="str">
        <f>IFERROR(__xludf.DUMMYFUNCTION("""COMPUTED_VALUE"""),"https://drive.google.com/file/d/0B0qKRmtVkPtWYzdXTi1SY0EtZHM/view?usp=sharing")</f>
        <v>https://drive.google.com/file/d/0B0qKRmtVkPtWYzdXTi1SY0EtZHM/view?usp=sharing</v>
      </c>
      <c r="AA202" s="697"/>
    </row>
    <row r="203">
      <c r="A203" s="697" t="str">
        <f>IFERROR(__xludf.DUMMYFUNCTION("""COMPUTED_VALUE"""),"Sabry 1991")</f>
        <v>Sabry 1991</v>
      </c>
      <c r="B203" s="697" t="str">
        <f>IFERROR(__xludf.DUMMYFUNCTION("""COMPUTED_VALUE"""),"Mike")</f>
        <v>Mike</v>
      </c>
      <c r="C203" s="697" t="str">
        <f>IFERROR(__xludf.DUMMYFUNCTION("""COMPUTED_VALUE"""),"Alex ")</f>
        <v>Alex </v>
      </c>
      <c r="D203" s="697" t="str">
        <f>IFERROR(__xludf.DUMMYFUNCTION("""COMPUTED_VALUE"""),"Egypt")</f>
        <v>Egypt</v>
      </c>
      <c r="E203" s="697" t="str">
        <f>IFERROR(__xludf.DUMMYFUNCTION("""COMPUTED_VALUE"""),"w. bancrofti")</f>
        <v>w. bancrofti</v>
      </c>
      <c r="F203" s="697" t="str">
        <f>IFERROR(__xludf.DUMMYFUNCTION("""COMPUTED_VALUE"""),"DEC")</f>
        <v>DEC</v>
      </c>
      <c r="G203" s="697" t="str">
        <f>IFERROR(__xludf.DUMMYFUNCTION("""COMPUTED_VALUE"""),"3mg/kg on day 1; 6mg/kg on days 2-13")</f>
        <v>3mg/kg on day 1; 6mg/kg on days 2-13</v>
      </c>
      <c r="H203" s="697">
        <f>IFERROR(__xludf.DUMMYFUNCTION("""COMPUTED_VALUE"""),13.0)</f>
        <v>13</v>
      </c>
      <c r="I203" s="698">
        <f>IFERROR(__xludf.DUMMYFUNCTION("""COMPUTED_VALUE"""),0.9768)</f>
        <v>0.9768</v>
      </c>
      <c r="J203" s="697" t="str">
        <f>IFERROR(__xludf.DUMMYFUNCTION("""COMPUTED_VALUE"""),"not available")</f>
        <v>not available</v>
      </c>
      <c r="K203" s="697" t="str">
        <f>IFERROR(__xludf.DUMMYFUNCTION("""COMPUTED_VALUE"""),"not available")</f>
        <v>not available</v>
      </c>
      <c r="L203" s="697">
        <f>IFERROR(__xludf.DUMMYFUNCTION("""COMPUTED_VALUE"""),30.0)</f>
        <v>30</v>
      </c>
      <c r="M203" s="10" t="str">
        <f>IFERROR(__xludf.DUMMYFUNCTION("""COMPUTED_VALUE"""),"15-55")</f>
        <v>15-55</v>
      </c>
      <c r="N203" s="862" t="str">
        <f>IFERROR(__xludf.DUMMYFUNCTION("""COMPUTED_VALUE"""),"0 : 30")</f>
        <v>0 : 30</v>
      </c>
      <c r="O203" s="697" t="str">
        <f>IFERROR(__xludf.DUMMYFUNCTION("""COMPUTED_VALUE"""),"&gt;= 100mf/ml of venous blood")</f>
        <v>&gt;= 100mf/ml of venous blood</v>
      </c>
      <c r="P203" s="697" t="str">
        <f>IFERROR(__xludf.DUMMYFUNCTION("""COMPUTED_VALUE"""),"randomized, double-blind")</f>
        <v>randomized, double-blind</v>
      </c>
      <c r="Q203" s="697" t="str">
        <f>IFERROR(__xludf.DUMMYFUNCTION("""COMPUTED_VALUE"""),"yes")</f>
        <v>yes</v>
      </c>
      <c r="R203" s="697" t="str">
        <f>IFERROR(__xludf.DUMMYFUNCTION("""COMPUTED_VALUE"""),"yes")</f>
        <v>yes</v>
      </c>
      <c r="S203" s="697" t="str">
        <f>IFERROR(__xludf.DUMMYFUNCTION("""COMPUTED_VALUE"""),"1 month")</f>
        <v>1 month</v>
      </c>
      <c r="T203" s="697" t="str">
        <f>IFERROR(__xludf.DUMMYFUNCTION("""COMPUTED_VALUE"""),"Ivermectin appears to be the only antifilarial drug to consider for widespread general use")</f>
        <v>Ivermectin appears to be the only antifilarial drug to consider for widespread general use</v>
      </c>
      <c r="U203" s="697"/>
      <c r="V203" s="697">
        <f>IFERROR(__xludf.DUMMYFUNCTION("""COMPUTED_VALUE"""),1991.0)</f>
        <v>1991</v>
      </c>
      <c r="W203" s="697">
        <f>IFERROR(__xludf.DUMMYFUNCTION("""COMPUTED_VALUE"""),1991.0)</f>
        <v>1991</v>
      </c>
      <c r="X203" s="697" t="str">
        <f>IFERROR(__xludf.DUMMYFUNCTION("""COMPUTED_VALUE"""),"Sabry, M., et al. ""A placebo-controlled double-blind trial for the treatment of bancroftian filariasis with ivermectin or diethylcarbamazine."" Transactions of the Royal Society of Tropical Medicine and Hygiene 85.5 (1991): 640-643.")</f>
        <v>Sabry, M., et al. "A placebo-controlled double-blind trial for the treatment of bancroftian filariasis with ivermectin or diethylcarbamazine." Transactions of the Royal Society of Tropical Medicine and Hygiene 85.5 (1991): 640-643.</v>
      </c>
      <c r="Y203" s="699" t="str">
        <f>IFERROR(__xludf.DUMMYFUNCTION("""COMPUTED_VALUE"""),"http://dx.doi.org/10.1016/0035-9203(91)90375-19")</f>
        <v>http://dx.doi.org/10.1016/0035-9203(91)90375-19</v>
      </c>
      <c r="Z203" s="865" t="str">
        <f>IFERROR(__xludf.DUMMYFUNCTION("""COMPUTED_VALUE"""),"https://drive.google.com/file/d/0B0qKRmtVkPtWYzdXTi1SY0EtZHM/view?usp=sharing")</f>
        <v>https://drive.google.com/file/d/0B0qKRmtVkPtWYzdXTi1SY0EtZHM/view?usp=sharing</v>
      </c>
      <c r="AA203" s="697"/>
    </row>
    <row r="204">
      <c r="A204" s="697" t="str">
        <f>IFERROR(__xludf.DUMMYFUNCTION("""COMPUTED_VALUE"""),"Sabry 1991")</f>
        <v>Sabry 1991</v>
      </c>
      <c r="B204" s="697" t="str">
        <f>IFERROR(__xludf.DUMMYFUNCTION("""COMPUTED_VALUE"""),"Mike")</f>
        <v>Mike</v>
      </c>
      <c r="C204" s="697" t="str">
        <f>IFERROR(__xludf.DUMMYFUNCTION("""COMPUTED_VALUE"""),"Alex ")</f>
        <v>Alex </v>
      </c>
      <c r="D204" s="697" t="str">
        <f>IFERROR(__xludf.DUMMYFUNCTION("""COMPUTED_VALUE"""),"Egypt")</f>
        <v>Egypt</v>
      </c>
      <c r="E204" s="697" t="str">
        <f>IFERROR(__xludf.DUMMYFUNCTION("""COMPUTED_VALUE"""),"w. bancrofti")</f>
        <v>w. bancrofti</v>
      </c>
      <c r="F204" s="697" t="str">
        <f>IFERROR(__xludf.DUMMYFUNCTION("""COMPUTED_VALUE"""),"DEC")</f>
        <v>DEC</v>
      </c>
      <c r="G204" s="697" t="str">
        <f>IFERROR(__xludf.DUMMYFUNCTION("""COMPUTED_VALUE"""),"3mg/kg on day 1; 6mg/kg on days 2-13")</f>
        <v>3mg/kg on day 1; 6mg/kg on days 2-13</v>
      </c>
      <c r="H204" s="697">
        <f>IFERROR(__xludf.DUMMYFUNCTION("""COMPUTED_VALUE"""),13.0)</f>
        <v>13</v>
      </c>
      <c r="I204" s="698">
        <f>IFERROR(__xludf.DUMMYFUNCTION("""COMPUTED_VALUE"""),0.9772)</f>
        <v>0.9772</v>
      </c>
      <c r="J204" s="697" t="str">
        <f>IFERROR(__xludf.DUMMYFUNCTION("""COMPUTED_VALUE"""),"not available")</f>
        <v>not available</v>
      </c>
      <c r="K204" s="697" t="str">
        <f>IFERROR(__xludf.DUMMYFUNCTION("""COMPUTED_VALUE"""),"not available")</f>
        <v>not available</v>
      </c>
      <c r="L204" s="697">
        <f>IFERROR(__xludf.DUMMYFUNCTION("""COMPUTED_VALUE"""),30.0)</f>
        <v>30</v>
      </c>
      <c r="M204" s="10" t="str">
        <f>IFERROR(__xludf.DUMMYFUNCTION("""COMPUTED_VALUE"""),"15-55")</f>
        <v>15-55</v>
      </c>
      <c r="N204" s="862" t="str">
        <f>IFERROR(__xludf.DUMMYFUNCTION("""COMPUTED_VALUE"""),"0 : 30")</f>
        <v>0 : 30</v>
      </c>
      <c r="O204" s="697" t="str">
        <f>IFERROR(__xludf.DUMMYFUNCTION("""COMPUTED_VALUE"""),"&gt;= 100mf/ml of venous blood")</f>
        <v>&gt;= 100mf/ml of venous blood</v>
      </c>
      <c r="P204" s="697" t="str">
        <f>IFERROR(__xludf.DUMMYFUNCTION("""COMPUTED_VALUE"""),"randomized, double-blind")</f>
        <v>randomized, double-blind</v>
      </c>
      <c r="Q204" s="697" t="str">
        <f>IFERROR(__xludf.DUMMYFUNCTION("""COMPUTED_VALUE"""),"yes")</f>
        <v>yes</v>
      </c>
      <c r="R204" s="697" t="str">
        <f>IFERROR(__xludf.DUMMYFUNCTION("""COMPUTED_VALUE"""),"yes")</f>
        <v>yes</v>
      </c>
      <c r="S204" s="697" t="str">
        <f>IFERROR(__xludf.DUMMYFUNCTION("""COMPUTED_VALUE"""),"3 months")</f>
        <v>3 months</v>
      </c>
      <c r="T204" s="697" t="str">
        <f>IFERROR(__xludf.DUMMYFUNCTION("""COMPUTED_VALUE"""),"Ivermectin appears to be the only antifilarial drug to consider for widespread general use")</f>
        <v>Ivermectin appears to be the only antifilarial drug to consider for widespread general use</v>
      </c>
      <c r="U204" s="697"/>
      <c r="V204" s="697">
        <f>IFERROR(__xludf.DUMMYFUNCTION("""COMPUTED_VALUE"""),1991.0)</f>
        <v>1991</v>
      </c>
      <c r="W204" s="697">
        <f>IFERROR(__xludf.DUMMYFUNCTION("""COMPUTED_VALUE"""),1991.0)</f>
        <v>1991</v>
      </c>
      <c r="X204" s="697" t="str">
        <f>IFERROR(__xludf.DUMMYFUNCTION("""COMPUTED_VALUE"""),"Sabry, M., et al. ""A placebo-controlled double-blind trial for the treatment of bancroftian filariasis with ivermectin or diethylcarbamazine."" Transactions of the Royal Society of Tropical Medicine and Hygiene 85.5 (1991): 640-643.")</f>
        <v>Sabry, M., et al. "A placebo-controlled double-blind trial for the treatment of bancroftian filariasis with ivermectin or diethylcarbamazine." Transactions of the Royal Society of Tropical Medicine and Hygiene 85.5 (1991): 640-643.</v>
      </c>
      <c r="Y204" s="699" t="str">
        <f>IFERROR(__xludf.DUMMYFUNCTION("""COMPUTED_VALUE"""),"http://dx.doi.org/10.1016/0035-9203(91)90375-20")</f>
        <v>http://dx.doi.org/10.1016/0035-9203(91)90375-20</v>
      </c>
      <c r="Z204" s="865" t="str">
        <f>IFERROR(__xludf.DUMMYFUNCTION("""COMPUTED_VALUE"""),"https://drive.google.com/file/d/0B0qKRmtVkPtWYzdXTi1SY0EtZHM/view?usp=sharing")</f>
        <v>https://drive.google.com/file/d/0B0qKRmtVkPtWYzdXTi1SY0EtZHM/view?usp=sharing</v>
      </c>
      <c r="AA204" s="697"/>
    </row>
    <row r="205">
      <c r="A205" s="697" t="str">
        <f>IFERROR(__xludf.DUMMYFUNCTION("""COMPUTED_VALUE"""),"Sabry 1991")</f>
        <v>Sabry 1991</v>
      </c>
      <c r="B205" s="697" t="str">
        <f>IFERROR(__xludf.DUMMYFUNCTION("""COMPUTED_VALUE"""),"Mike")</f>
        <v>Mike</v>
      </c>
      <c r="C205" s="697" t="str">
        <f>IFERROR(__xludf.DUMMYFUNCTION("""COMPUTED_VALUE"""),"Alex ")</f>
        <v>Alex </v>
      </c>
      <c r="D205" s="697" t="str">
        <f>IFERROR(__xludf.DUMMYFUNCTION("""COMPUTED_VALUE"""),"Egypt")</f>
        <v>Egypt</v>
      </c>
      <c r="E205" s="697" t="str">
        <f>IFERROR(__xludf.DUMMYFUNCTION("""COMPUTED_VALUE"""),"w. bancrofti")</f>
        <v>w. bancrofti</v>
      </c>
      <c r="F205" s="697" t="str">
        <f>IFERROR(__xludf.DUMMYFUNCTION("""COMPUTED_VALUE"""),"Placebo")</f>
        <v>Placebo</v>
      </c>
      <c r="G205" s="697" t="str">
        <f>IFERROR(__xludf.DUMMYFUNCTION("""COMPUTED_VALUE"""),"-")</f>
        <v>-</v>
      </c>
      <c r="H205" s="697">
        <f>IFERROR(__xludf.DUMMYFUNCTION("""COMPUTED_VALUE"""),1.0)</f>
        <v>1</v>
      </c>
      <c r="I205" s="706">
        <f>IFERROR(__xludf.DUMMYFUNCTION("""COMPUTED_VALUE"""),-0.052)</f>
        <v>-0.052</v>
      </c>
      <c r="J205" s="697" t="str">
        <f>IFERROR(__xludf.DUMMYFUNCTION("""COMPUTED_VALUE"""),"not available")</f>
        <v>not available</v>
      </c>
      <c r="K205" s="697" t="str">
        <f>IFERROR(__xludf.DUMMYFUNCTION("""COMPUTED_VALUE"""),"not available")</f>
        <v>not available</v>
      </c>
      <c r="L205" s="697">
        <f>IFERROR(__xludf.DUMMYFUNCTION("""COMPUTED_VALUE"""),22.0)</f>
        <v>22</v>
      </c>
      <c r="M205" s="10" t="str">
        <f>IFERROR(__xludf.DUMMYFUNCTION("""COMPUTED_VALUE"""),"15-55")</f>
        <v>15-55</v>
      </c>
      <c r="N205" s="862" t="str">
        <f>IFERROR(__xludf.DUMMYFUNCTION("""COMPUTED_VALUE"""),"0 : 22")</f>
        <v>0 : 22</v>
      </c>
      <c r="O205" s="697" t="str">
        <f>IFERROR(__xludf.DUMMYFUNCTION("""COMPUTED_VALUE"""),"&gt;= 100mf/ml of venous blood")</f>
        <v>&gt;= 100mf/ml of venous blood</v>
      </c>
      <c r="P205" s="697" t="str">
        <f>IFERROR(__xludf.DUMMYFUNCTION("""COMPUTED_VALUE"""),"randomized, double-blind")</f>
        <v>randomized, double-blind</v>
      </c>
      <c r="Q205" s="697" t="str">
        <f>IFERROR(__xludf.DUMMYFUNCTION("""COMPUTED_VALUE"""),"yes")</f>
        <v>yes</v>
      </c>
      <c r="R205" s="697" t="str">
        <f>IFERROR(__xludf.DUMMYFUNCTION("""COMPUTED_VALUE"""),"yes")</f>
        <v>yes</v>
      </c>
      <c r="S205" s="697" t="str">
        <f>IFERROR(__xludf.DUMMYFUNCTION("""COMPUTED_VALUE"""),"1 day")</f>
        <v>1 day</v>
      </c>
      <c r="T205" s="697" t="str">
        <f>IFERROR(__xludf.DUMMYFUNCTION("""COMPUTED_VALUE"""),"Ivermectin appears to be the only antifilarial drug to consider for widespread general use")</f>
        <v>Ivermectin appears to be the only antifilarial drug to consider for widespread general use</v>
      </c>
      <c r="U205" s="697"/>
      <c r="V205" s="697">
        <f>IFERROR(__xludf.DUMMYFUNCTION("""COMPUTED_VALUE"""),1991.0)</f>
        <v>1991</v>
      </c>
      <c r="W205" s="697">
        <f>IFERROR(__xludf.DUMMYFUNCTION("""COMPUTED_VALUE"""),1991.0)</f>
        <v>1991</v>
      </c>
      <c r="X205" s="697" t="str">
        <f>IFERROR(__xludf.DUMMYFUNCTION("""COMPUTED_VALUE"""),"Sabry, M., et al. ""A placebo-controlled double-blind trial for the treatment of bancroftian filariasis with ivermectin or diethylcarbamazine."" Transactions of the Royal Society of Tropical Medicine and Hygiene 85.5 (1991): 640-643.")</f>
        <v>Sabry, M., et al. "A placebo-controlled double-blind trial for the treatment of bancroftian filariasis with ivermectin or diethylcarbamazine." Transactions of the Royal Society of Tropical Medicine and Hygiene 85.5 (1991): 640-643.</v>
      </c>
      <c r="Y205" s="699" t="str">
        <f>IFERROR(__xludf.DUMMYFUNCTION("""COMPUTED_VALUE"""),"http://dx.doi.org/10.1016/0035-9203(91)90375-21")</f>
        <v>http://dx.doi.org/10.1016/0035-9203(91)90375-21</v>
      </c>
      <c r="Z205" s="865" t="str">
        <f>IFERROR(__xludf.DUMMYFUNCTION("""COMPUTED_VALUE"""),"https://drive.google.com/file/d/0B0qKRmtVkPtWYzdXTi1SY0EtZHM/view?usp=sharing")</f>
        <v>https://drive.google.com/file/d/0B0qKRmtVkPtWYzdXTi1SY0EtZHM/view?usp=sharing</v>
      </c>
      <c r="AA205" s="697"/>
    </row>
    <row r="206">
      <c r="A206" s="697" t="str">
        <f>IFERROR(__xludf.DUMMYFUNCTION("""COMPUTED_VALUE"""),"Sabry 1991")</f>
        <v>Sabry 1991</v>
      </c>
      <c r="B206" s="697" t="str">
        <f>IFERROR(__xludf.DUMMYFUNCTION("""COMPUTED_VALUE"""),"Mike")</f>
        <v>Mike</v>
      </c>
      <c r="C206" s="697" t="str">
        <f>IFERROR(__xludf.DUMMYFUNCTION("""COMPUTED_VALUE"""),"Alex ")</f>
        <v>Alex </v>
      </c>
      <c r="D206" s="697" t="str">
        <f>IFERROR(__xludf.DUMMYFUNCTION("""COMPUTED_VALUE"""),"Egypt")</f>
        <v>Egypt</v>
      </c>
      <c r="E206" s="697" t="str">
        <f>IFERROR(__xludf.DUMMYFUNCTION("""COMPUTED_VALUE"""),"w. bancrofti")</f>
        <v>w. bancrofti</v>
      </c>
      <c r="F206" s="697" t="str">
        <f>IFERROR(__xludf.DUMMYFUNCTION("""COMPUTED_VALUE"""),"Placebo")</f>
        <v>Placebo</v>
      </c>
      <c r="G206" s="697" t="str">
        <f>IFERROR(__xludf.DUMMYFUNCTION("""COMPUTED_VALUE"""),"-")</f>
        <v>-</v>
      </c>
      <c r="H206" s="697">
        <f>IFERROR(__xludf.DUMMYFUNCTION("""COMPUTED_VALUE"""),2.0)</f>
        <v>2</v>
      </c>
      <c r="I206" s="706">
        <f>IFERROR(__xludf.DUMMYFUNCTION("""COMPUTED_VALUE"""),0.085)</f>
        <v>0.085</v>
      </c>
      <c r="J206" s="697" t="str">
        <f>IFERROR(__xludf.DUMMYFUNCTION("""COMPUTED_VALUE"""),"not available")</f>
        <v>not available</v>
      </c>
      <c r="K206" s="697" t="str">
        <f>IFERROR(__xludf.DUMMYFUNCTION("""COMPUTED_VALUE"""),"not available")</f>
        <v>not available</v>
      </c>
      <c r="L206" s="697">
        <f>IFERROR(__xludf.DUMMYFUNCTION("""COMPUTED_VALUE"""),22.0)</f>
        <v>22</v>
      </c>
      <c r="M206" s="10" t="str">
        <f>IFERROR(__xludf.DUMMYFUNCTION("""COMPUTED_VALUE"""),"15-55")</f>
        <v>15-55</v>
      </c>
      <c r="N206" s="862" t="str">
        <f>IFERROR(__xludf.DUMMYFUNCTION("""COMPUTED_VALUE"""),"0 : 22")</f>
        <v>0 : 22</v>
      </c>
      <c r="O206" s="697" t="str">
        <f>IFERROR(__xludf.DUMMYFUNCTION("""COMPUTED_VALUE"""),"&gt;= 100mf/ml of venous blood")</f>
        <v>&gt;= 100mf/ml of venous blood</v>
      </c>
      <c r="P206" s="697" t="str">
        <f>IFERROR(__xludf.DUMMYFUNCTION("""COMPUTED_VALUE"""),"randomized, double-blind")</f>
        <v>randomized, double-blind</v>
      </c>
      <c r="Q206" s="697" t="str">
        <f>IFERROR(__xludf.DUMMYFUNCTION("""COMPUTED_VALUE"""),"yes")</f>
        <v>yes</v>
      </c>
      <c r="R206" s="697" t="str">
        <f>IFERROR(__xludf.DUMMYFUNCTION("""COMPUTED_VALUE"""),"yes")</f>
        <v>yes</v>
      </c>
      <c r="S206" s="697" t="str">
        <f>IFERROR(__xludf.DUMMYFUNCTION("""COMPUTED_VALUE"""),"2 days")</f>
        <v>2 days</v>
      </c>
      <c r="T206" s="697" t="str">
        <f>IFERROR(__xludf.DUMMYFUNCTION("""COMPUTED_VALUE"""),"Ivermectin appears to be the only antifilarial drug to consider for widespread general use")</f>
        <v>Ivermectin appears to be the only antifilarial drug to consider for widespread general use</v>
      </c>
      <c r="U206" s="697"/>
      <c r="V206" s="697">
        <f>IFERROR(__xludf.DUMMYFUNCTION("""COMPUTED_VALUE"""),1991.0)</f>
        <v>1991</v>
      </c>
      <c r="W206" s="697">
        <f>IFERROR(__xludf.DUMMYFUNCTION("""COMPUTED_VALUE"""),1991.0)</f>
        <v>1991</v>
      </c>
      <c r="X206" s="697" t="str">
        <f>IFERROR(__xludf.DUMMYFUNCTION("""COMPUTED_VALUE"""),"Sabry, M., et al. ""A placebo-controlled double-blind trial for the treatment of bancroftian filariasis with ivermectin or diethylcarbamazine."" Transactions of the Royal Society of Tropical Medicine and Hygiene 85.5 (1991): 640-643.")</f>
        <v>Sabry, M., et al. "A placebo-controlled double-blind trial for the treatment of bancroftian filariasis with ivermectin or diethylcarbamazine." Transactions of the Royal Society of Tropical Medicine and Hygiene 85.5 (1991): 640-643.</v>
      </c>
      <c r="Y206" s="699" t="str">
        <f>IFERROR(__xludf.DUMMYFUNCTION("""COMPUTED_VALUE"""),"http://dx.doi.org/10.1016/0035-9203(91)90375-22")</f>
        <v>http://dx.doi.org/10.1016/0035-9203(91)90375-22</v>
      </c>
      <c r="Z206" s="865" t="str">
        <f>IFERROR(__xludf.DUMMYFUNCTION("""COMPUTED_VALUE"""),"https://drive.google.com/file/d/0B0qKRmtVkPtWYzdXTi1SY0EtZHM/view?usp=sharing")</f>
        <v>https://drive.google.com/file/d/0B0qKRmtVkPtWYzdXTi1SY0EtZHM/view?usp=sharing</v>
      </c>
      <c r="AA206" s="697"/>
    </row>
    <row r="207">
      <c r="A207" s="697" t="str">
        <f>IFERROR(__xludf.DUMMYFUNCTION("""COMPUTED_VALUE"""),"Sabry 1991")</f>
        <v>Sabry 1991</v>
      </c>
      <c r="B207" s="697" t="str">
        <f>IFERROR(__xludf.DUMMYFUNCTION("""COMPUTED_VALUE"""),"Mike")</f>
        <v>Mike</v>
      </c>
      <c r="C207" s="697" t="str">
        <f>IFERROR(__xludf.DUMMYFUNCTION("""COMPUTED_VALUE"""),"Alex ")</f>
        <v>Alex </v>
      </c>
      <c r="D207" s="697" t="str">
        <f>IFERROR(__xludf.DUMMYFUNCTION("""COMPUTED_VALUE"""),"Egypt")</f>
        <v>Egypt</v>
      </c>
      <c r="E207" s="697" t="str">
        <f>IFERROR(__xludf.DUMMYFUNCTION("""COMPUTED_VALUE"""),"w. bancrofti")</f>
        <v>w. bancrofti</v>
      </c>
      <c r="F207" s="697" t="str">
        <f>IFERROR(__xludf.DUMMYFUNCTION("""COMPUTED_VALUE"""),"Placebo")</f>
        <v>Placebo</v>
      </c>
      <c r="G207" s="697" t="str">
        <f>IFERROR(__xludf.DUMMYFUNCTION("""COMPUTED_VALUE"""),"-")</f>
        <v>-</v>
      </c>
      <c r="H207" s="697">
        <f>IFERROR(__xludf.DUMMYFUNCTION("""COMPUTED_VALUE"""),8.0)</f>
        <v>8</v>
      </c>
      <c r="I207" s="698">
        <f>IFERROR(__xludf.DUMMYFUNCTION("""COMPUTED_VALUE"""),-0.0046)</f>
        <v>-0.0046</v>
      </c>
      <c r="J207" s="697" t="str">
        <f>IFERROR(__xludf.DUMMYFUNCTION("""COMPUTED_VALUE"""),"not available")</f>
        <v>not available</v>
      </c>
      <c r="K207" s="697" t="str">
        <f>IFERROR(__xludf.DUMMYFUNCTION("""COMPUTED_VALUE"""),"not available")</f>
        <v>not available</v>
      </c>
      <c r="L207" s="697">
        <f>IFERROR(__xludf.DUMMYFUNCTION("""COMPUTED_VALUE"""),22.0)</f>
        <v>22</v>
      </c>
      <c r="M207" s="10" t="str">
        <f>IFERROR(__xludf.DUMMYFUNCTION("""COMPUTED_VALUE"""),"15-55")</f>
        <v>15-55</v>
      </c>
      <c r="N207" s="862" t="str">
        <f>IFERROR(__xludf.DUMMYFUNCTION("""COMPUTED_VALUE"""),"0 : 22")</f>
        <v>0 : 22</v>
      </c>
      <c r="O207" s="697" t="str">
        <f>IFERROR(__xludf.DUMMYFUNCTION("""COMPUTED_VALUE"""),"&gt;= 100mf/ml of venous blood")</f>
        <v>&gt;= 100mf/ml of venous blood</v>
      </c>
      <c r="P207" s="697" t="str">
        <f>IFERROR(__xludf.DUMMYFUNCTION("""COMPUTED_VALUE"""),"randomized, double-blind")</f>
        <v>randomized, double-blind</v>
      </c>
      <c r="Q207" s="697" t="str">
        <f>IFERROR(__xludf.DUMMYFUNCTION("""COMPUTED_VALUE"""),"yes")</f>
        <v>yes</v>
      </c>
      <c r="R207" s="697" t="str">
        <f>IFERROR(__xludf.DUMMYFUNCTION("""COMPUTED_VALUE"""),"yes")</f>
        <v>yes</v>
      </c>
      <c r="S207" s="697" t="str">
        <f>IFERROR(__xludf.DUMMYFUNCTION("""COMPUTED_VALUE"""),"8 days")</f>
        <v>8 days</v>
      </c>
      <c r="T207" s="697" t="str">
        <f>IFERROR(__xludf.DUMMYFUNCTION("""COMPUTED_VALUE"""),"Ivermectin appears to be the only antifilarial drug to consider for widespread general use")</f>
        <v>Ivermectin appears to be the only antifilarial drug to consider for widespread general use</v>
      </c>
      <c r="U207" s="697"/>
      <c r="V207" s="697">
        <f>IFERROR(__xludf.DUMMYFUNCTION("""COMPUTED_VALUE"""),1991.0)</f>
        <v>1991</v>
      </c>
      <c r="W207" s="697">
        <f>IFERROR(__xludf.DUMMYFUNCTION("""COMPUTED_VALUE"""),1991.0)</f>
        <v>1991</v>
      </c>
      <c r="X207" s="697" t="str">
        <f>IFERROR(__xludf.DUMMYFUNCTION("""COMPUTED_VALUE"""),"Sabry, M., et al. ""A placebo-controlled double-blind trial for the treatment of bancroftian filariasis with ivermectin or diethylcarbamazine."" Transactions of the Royal Society of Tropical Medicine and Hygiene 85.5 (1991): 640-643.")</f>
        <v>Sabry, M., et al. "A placebo-controlled double-blind trial for the treatment of bancroftian filariasis with ivermectin or diethylcarbamazine." Transactions of the Royal Society of Tropical Medicine and Hygiene 85.5 (1991): 640-643.</v>
      </c>
      <c r="Y207" s="699" t="str">
        <f>IFERROR(__xludf.DUMMYFUNCTION("""COMPUTED_VALUE"""),"http://dx.doi.org/10.1016/0035-9203(91)90375-23")</f>
        <v>http://dx.doi.org/10.1016/0035-9203(91)90375-23</v>
      </c>
      <c r="Z207" s="865" t="str">
        <f>IFERROR(__xludf.DUMMYFUNCTION("""COMPUTED_VALUE"""),"https://drive.google.com/file/d/0B0qKRmtVkPtWYzdXTi1SY0EtZHM/view?usp=sharing")</f>
        <v>https://drive.google.com/file/d/0B0qKRmtVkPtWYzdXTi1SY0EtZHM/view?usp=sharing</v>
      </c>
      <c r="AA207" s="697"/>
    </row>
    <row r="208">
      <c r="A208" s="697" t="str">
        <f>IFERROR(__xludf.DUMMYFUNCTION("""COMPUTED_VALUE"""),"Eberhard 1992")</f>
        <v>Eberhard 1992</v>
      </c>
      <c r="B208" s="697" t="str">
        <f>IFERROR(__xludf.DUMMYFUNCTION("""COMPUTED_VALUE"""),"Mike")</f>
        <v>Mike</v>
      </c>
      <c r="C208" s="697" t="str">
        <f>IFERROR(__xludf.DUMMYFUNCTION("""COMPUTED_VALUE"""),"Alex ")</f>
        <v>Alex </v>
      </c>
      <c r="D208" s="697" t="str">
        <f>IFERROR(__xludf.DUMMYFUNCTION("""COMPUTED_VALUE"""),"Haiti")</f>
        <v>Haiti</v>
      </c>
      <c r="E208" s="697" t="str">
        <f>IFERROR(__xludf.DUMMYFUNCTION("""COMPUTED_VALUE"""),"w. bancrofti")</f>
        <v>w. bancrofti</v>
      </c>
      <c r="F208" s="697" t="str">
        <f>IFERROR(__xludf.DUMMYFUNCTION("""COMPUTED_VALUE"""),"DEC")</f>
        <v>DEC</v>
      </c>
      <c r="G208" s="697" t="str">
        <f>IFERROR(__xludf.DUMMYFUNCTION("""COMPUTED_VALUE"""),"6mg/kg ")</f>
        <v>6mg/kg </v>
      </c>
      <c r="H208" s="697">
        <f>IFERROR(__xludf.DUMMYFUNCTION("""COMPUTED_VALUE"""),12.0)</f>
        <v>12</v>
      </c>
      <c r="I208" s="706">
        <f>IFERROR(__xludf.DUMMYFUNCTION("""COMPUTED_VALUE"""),0.9983)</f>
        <v>0.9983</v>
      </c>
      <c r="J208" s="706">
        <f>IFERROR(__xludf.DUMMYFUNCTION("""COMPUTED_VALUE"""),0.66)</f>
        <v>0.66</v>
      </c>
      <c r="K208" s="697" t="str">
        <f>IFERROR(__xludf.DUMMYFUNCTION("""COMPUTED_VALUE"""),"not available")</f>
        <v>not available</v>
      </c>
      <c r="L208" s="697">
        <f>IFERROR(__xludf.DUMMYFUNCTION("""COMPUTED_VALUE"""),9.0)</f>
        <v>9</v>
      </c>
      <c r="M208" s="10" t="str">
        <f>IFERROR(__xludf.DUMMYFUNCTION("""COMPUTED_VALUE"""),"16-65")</f>
        <v>16-65</v>
      </c>
      <c r="N208" s="862" t="str">
        <f>IFERROR(__xludf.DUMMYFUNCTION("""COMPUTED_VALUE"""),"not available")</f>
        <v>not available</v>
      </c>
      <c r="O208" s="697" t="str">
        <f>IFERROR(__xludf.DUMMYFUNCTION("""COMPUTED_VALUE"""),"microfilaria-positive Haitian volunteers between the ages of 16 and 65 years")</f>
        <v>microfilaria-positive Haitian volunteers between the ages of 16 and 65 years</v>
      </c>
      <c r="P208" s="697"/>
      <c r="Q208" s="697" t="str">
        <f>IFERROR(__xludf.DUMMYFUNCTION("""COMPUTED_VALUE"""),"yes")</f>
        <v>yes</v>
      </c>
      <c r="R208" s="697" t="str">
        <f>IFERROR(__xludf.DUMMYFUNCTION("""COMPUTED_VALUE"""),"yes")</f>
        <v>yes</v>
      </c>
      <c r="S208" s="697" t="str">
        <f>IFERROR(__xludf.DUMMYFUNCTION("""COMPUTED_VALUE"""),"2 years")</f>
        <v>2 years</v>
      </c>
      <c r="T208" s="697" t="str">
        <f>IFERROR(__xludf.DUMMYFUNCTION("""COMPUTED_VALUE"""),"Our findings suggest that a single dose of ivermectin can reduce transmission of lymphatic lilariasis for extended periods of time, thus eliminating the need for costly biannual treatment.")</f>
        <v>Our findings suggest that a single dose of ivermectin can reduce transmission of lymphatic lilariasis for extended periods of time, thus eliminating the need for costly biannual treatment.</v>
      </c>
      <c r="U208" s="697" t="str">
        <f>IFERROR(__xludf.DUMMYFUNCTION("""COMPUTED_VALUE"""),"All patients received a clearing dose of ivermectin (1mg) 5 days before receiving their treatment")</f>
        <v>All patients received a clearing dose of ivermectin (1mg) 5 days before receiving their treatment</v>
      </c>
      <c r="V208" s="697">
        <f>IFERROR(__xludf.DUMMYFUNCTION("""COMPUTED_VALUE"""),1992.0)</f>
        <v>1992</v>
      </c>
      <c r="W208" s="697">
        <f>IFERROR(__xludf.DUMMYFUNCTION("""COMPUTED_VALUE"""),1992.0)</f>
        <v>1992</v>
      </c>
      <c r="X208" s="697" t="str">
        <f>IFERROR(__xludf.DUMMYFUNCTION("""COMPUTED_VALUE"""),"Eberhard, Mark L., et al. ""Long-term suppression of microfilaraemia following ivermectin treatment."" Transactions of the Royal Society of Tropical Medicine and Hygiene 86.3 (1992): 287-288.")</f>
        <v>Eberhard, Mark L., et al. "Long-term suppression of microfilaraemia following ivermectin treatment." Transactions of the Royal Society of Tropical Medicine and Hygiene 86.3 (1992): 287-288.</v>
      </c>
      <c r="Y208" s="699" t="str">
        <f>IFERROR(__xludf.DUMMYFUNCTION("""COMPUTED_VALUE"""),"http://dx.doi.org/10.1016/0035-9203(92)90312-Z")</f>
        <v>http://dx.doi.org/10.1016/0035-9203(92)90312-Z</v>
      </c>
      <c r="Z208" s="865" t="str">
        <f>IFERROR(__xludf.DUMMYFUNCTION("""COMPUTED_VALUE"""),"https://drive.google.com/file/d/0B0qKRmtVkPtWY2F3VzEyanB5Ykk/view?usp=sharing")</f>
        <v>https://drive.google.com/file/d/0B0qKRmtVkPtWY2F3VzEyanB5Ykk/view?usp=sharing</v>
      </c>
      <c r="AA208" s="697" t="str">
        <f>IFERROR(__xludf.DUMMYFUNCTION("""COMPUTED_VALUE"""),"x")</f>
        <v>x</v>
      </c>
    </row>
    <row r="209">
      <c r="A209" s="697" t="str">
        <f>IFERROR(__xludf.DUMMYFUNCTION("""COMPUTED_VALUE"""),"Eberhard 1992")</f>
        <v>Eberhard 1992</v>
      </c>
      <c r="B209" s="697" t="str">
        <f>IFERROR(__xludf.DUMMYFUNCTION("""COMPUTED_VALUE"""),"Mike")</f>
        <v>Mike</v>
      </c>
      <c r="C209" s="697" t="str">
        <f>IFERROR(__xludf.DUMMYFUNCTION("""COMPUTED_VALUE"""),"Alex ")</f>
        <v>Alex </v>
      </c>
      <c r="D209" s="697" t="str">
        <f>IFERROR(__xludf.DUMMYFUNCTION("""COMPUTED_VALUE"""),"Haiti")</f>
        <v>Haiti</v>
      </c>
      <c r="E209" s="697" t="str">
        <f>IFERROR(__xludf.DUMMYFUNCTION("""COMPUTED_VALUE"""),"w. bancrofti")</f>
        <v>w. bancrofti</v>
      </c>
      <c r="F209" s="697" t="str">
        <f>IFERROR(__xludf.DUMMYFUNCTION("""COMPUTED_VALUE"""),"Ivermectin + placebo")</f>
        <v>Ivermectin + placebo</v>
      </c>
      <c r="G209" s="697" t="str">
        <f>IFERROR(__xludf.DUMMYFUNCTION("""COMPUTED_VALUE"""),".200mg/kg (day 1) + - (days 2-12)")</f>
        <v>.200mg/kg (day 1) + - (days 2-12)</v>
      </c>
      <c r="H209" s="697">
        <f>IFERROR(__xludf.DUMMYFUNCTION("""COMPUTED_VALUE"""),12.0)</f>
        <v>12</v>
      </c>
      <c r="I209" s="706">
        <f>IFERROR(__xludf.DUMMYFUNCTION("""COMPUTED_VALUE"""),0.9371)</f>
        <v>0.9371</v>
      </c>
      <c r="J209" s="706">
        <f>IFERROR(__xludf.DUMMYFUNCTION("""COMPUTED_VALUE"""),0.11)</f>
        <v>0.11</v>
      </c>
      <c r="K209" s="697" t="str">
        <f>IFERROR(__xludf.DUMMYFUNCTION("""COMPUTED_VALUE"""),"not available")</f>
        <v>not available</v>
      </c>
      <c r="L209" s="697">
        <f>IFERROR(__xludf.DUMMYFUNCTION("""COMPUTED_VALUE"""),9.0)</f>
        <v>9</v>
      </c>
      <c r="M209" s="10" t="str">
        <f>IFERROR(__xludf.DUMMYFUNCTION("""COMPUTED_VALUE"""),"16-65")</f>
        <v>16-65</v>
      </c>
      <c r="N209" s="862" t="str">
        <f>IFERROR(__xludf.DUMMYFUNCTION("""COMPUTED_VALUE"""),"not available")</f>
        <v>not available</v>
      </c>
      <c r="O209" s="697" t="str">
        <f>IFERROR(__xludf.DUMMYFUNCTION("""COMPUTED_VALUE"""),"microfilaria-positive Haitian volunteers between the ages of 16 and 65 years")</f>
        <v>microfilaria-positive Haitian volunteers between the ages of 16 and 65 years</v>
      </c>
      <c r="P209" s="697"/>
      <c r="Q209" s="697" t="str">
        <f>IFERROR(__xludf.DUMMYFUNCTION("""COMPUTED_VALUE"""),"yes")</f>
        <v>yes</v>
      </c>
      <c r="R209" s="697" t="str">
        <f>IFERROR(__xludf.DUMMYFUNCTION("""COMPUTED_VALUE"""),"yes")</f>
        <v>yes</v>
      </c>
      <c r="S209" s="697" t="str">
        <f>IFERROR(__xludf.DUMMYFUNCTION("""COMPUTED_VALUE"""),"2 years")</f>
        <v>2 years</v>
      </c>
      <c r="T209" s="697" t="str">
        <f>IFERROR(__xludf.DUMMYFUNCTION("""COMPUTED_VALUE"""),"Our findings suggest that a single dose of ivermectin can reduce transmission of lymphatic lilariasis for extended periods of time, thus eliminating the need for costly biannual treatment.")</f>
        <v>Our findings suggest that a single dose of ivermectin can reduce transmission of lymphatic lilariasis for extended periods of time, thus eliminating the need for costly biannual treatment.</v>
      </c>
      <c r="U209" s="697" t="str">
        <f>IFERROR(__xludf.DUMMYFUNCTION("""COMPUTED_VALUE"""),"All patients received a clearing dose of ivermectin (1mg) 5 days before receiving their treatment")</f>
        <v>All patients received a clearing dose of ivermectin (1mg) 5 days before receiving their treatment</v>
      </c>
      <c r="V209" s="697">
        <f>IFERROR(__xludf.DUMMYFUNCTION("""COMPUTED_VALUE"""),1992.0)</f>
        <v>1992</v>
      </c>
      <c r="W209" s="697">
        <f>IFERROR(__xludf.DUMMYFUNCTION("""COMPUTED_VALUE"""),1992.0)</f>
        <v>1992</v>
      </c>
      <c r="X209" s="697" t="str">
        <f>IFERROR(__xludf.DUMMYFUNCTION("""COMPUTED_VALUE"""),"Eberhard, Mark L., et al. ""Long-term suppression of microfilaraemia following ivermectin treatment."" Transactions of the Royal Society of Tropical Medicine and Hygiene 86.3 (1992): 287-288.")</f>
        <v>Eberhard, Mark L., et al. "Long-term suppression of microfilaraemia following ivermectin treatment." Transactions of the Royal Society of Tropical Medicine and Hygiene 86.3 (1992): 287-288.</v>
      </c>
      <c r="Y209" s="699" t="str">
        <f>IFERROR(__xludf.DUMMYFUNCTION("""COMPUTED_VALUE"""),"http://dx.doi.org/10.1016/0035-9203(92)90312-Z")</f>
        <v>http://dx.doi.org/10.1016/0035-9203(92)90312-Z</v>
      </c>
      <c r="Z209" s="865" t="str">
        <f>IFERROR(__xludf.DUMMYFUNCTION("""COMPUTED_VALUE"""),"https://drive.google.com/file/d/0B0qKRmtVkPtWY2F3VzEyanB5Ykk/view?usp=sharing")</f>
        <v>https://drive.google.com/file/d/0B0qKRmtVkPtWY2F3VzEyanB5Ykk/view?usp=sharing</v>
      </c>
      <c r="AA209" s="697" t="str">
        <f>IFERROR(__xludf.DUMMYFUNCTION("""COMPUTED_VALUE"""),"x")</f>
        <v>x</v>
      </c>
    </row>
    <row r="210">
      <c r="A210" s="697" t="str">
        <f>IFERROR(__xludf.DUMMYFUNCTION("""COMPUTED_VALUE"""),"Eberhard 1992")</f>
        <v>Eberhard 1992</v>
      </c>
      <c r="B210" s="697" t="str">
        <f>IFERROR(__xludf.DUMMYFUNCTION("""COMPUTED_VALUE"""),"Mike")</f>
        <v>Mike</v>
      </c>
      <c r="C210" s="697" t="str">
        <f>IFERROR(__xludf.DUMMYFUNCTION("""COMPUTED_VALUE"""),"Alex ")</f>
        <v>Alex </v>
      </c>
      <c r="D210" s="697" t="str">
        <f>IFERROR(__xludf.DUMMYFUNCTION("""COMPUTED_VALUE"""),"Haiti")</f>
        <v>Haiti</v>
      </c>
      <c r="E210" s="697" t="str">
        <f>IFERROR(__xludf.DUMMYFUNCTION("""COMPUTED_VALUE"""),"w. bancrofti")</f>
        <v>w. bancrofti</v>
      </c>
      <c r="F210" s="697" t="str">
        <f>IFERROR(__xludf.DUMMYFUNCTION("""COMPUTED_VALUE"""),"Ivermectin + placebo")</f>
        <v>Ivermectin + placebo</v>
      </c>
      <c r="G210" s="697" t="str">
        <f>IFERROR(__xludf.DUMMYFUNCTION("""COMPUTED_VALUE"""),".200mg/kg (days 1 &amp; 2) + - (days 3-12)")</f>
        <v>.200mg/kg (days 1 &amp; 2) + - (days 3-12)</v>
      </c>
      <c r="H210" s="697">
        <f>IFERROR(__xludf.DUMMYFUNCTION("""COMPUTED_VALUE"""),12.0)</f>
        <v>12</v>
      </c>
      <c r="I210" s="706">
        <f>IFERROR(__xludf.DUMMYFUNCTION("""COMPUTED_VALUE"""),0.9373)</f>
        <v>0.9373</v>
      </c>
      <c r="J210" s="706">
        <f>IFERROR(__xludf.DUMMYFUNCTION("""COMPUTED_VALUE"""),0.125)</f>
        <v>0.125</v>
      </c>
      <c r="K210" s="697" t="str">
        <f>IFERROR(__xludf.DUMMYFUNCTION("""COMPUTED_VALUE"""),"not available")</f>
        <v>not available</v>
      </c>
      <c r="L210" s="697">
        <f>IFERROR(__xludf.DUMMYFUNCTION("""COMPUTED_VALUE"""),8.0)</f>
        <v>8</v>
      </c>
      <c r="M210" s="10" t="str">
        <f>IFERROR(__xludf.DUMMYFUNCTION("""COMPUTED_VALUE"""),"16-65")</f>
        <v>16-65</v>
      </c>
      <c r="N210" s="862" t="str">
        <f>IFERROR(__xludf.DUMMYFUNCTION("""COMPUTED_VALUE"""),"not available")</f>
        <v>not available</v>
      </c>
      <c r="O210" s="697" t="str">
        <f>IFERROR(__xludf.DUMMYFUNCTION("""COMPUTED_VALUE"""),"microfilaria-positive Haitian volunteers between the ages of 16 and 65 years")</f>
        <v>microfilaria-positive Haitian volunteers between the ages of 16 and 65 years</v>
      </c>
      <c r="P210" s="697"/>
      <c r="Q210" s="697" t="str">
        <f>IFERROR(__xludf.DUMMYFUNCTION("""COMPUTED_VALUE"""),"yes")</f>
        <v>yes</v>
      </c>
      <c r="R210" s="697" t="str">
        <f>IFERROR(__xludf.DUMMYFUNCTION("""COMPUTED_VALUE"""),"yes")</f>
        <v>yes</v>
      </c>
      <c r="S210" s="697" t="str">
        <f>IFERROR(__xludf.DUMMYFUNCTION("""COMPUTED_VALUE"""),"2 years")</f>
        <v>2 years</v>
      </c>
      <c r="T210" s="697" t="str">
        <f>IFERROR(__xludf.DUMMYFUNCTION("""COMPUTED_VALUE"""),"Our findings suggest that a single dose of ivermectin can reduce transmission of lymphatic lilariasis for extended periods of time, thus eliminating the need for costly biannual treatment.")</f>
        <v>Our findings suggest that a single dose of ivermectin can reduce transmission of lymphatic lilariasis for extended periods of time, thus eliminating the need for costly biannual treatment.</v>
      </c>
      <c r="U210" s="697" t="str">
        <f>IFERROR(__xludf.DUMMYFUNCTION("""COMPUTED_VALUE"""),"All patients received a clearing dose of ivermectin (1mg) 5 days before receiving their treatment")</f>
        <v>All patients received a clearing dose of ivermectin (1mg) 5 days before receiving their treatment</v>
      </c>
      <c r="V210" s="697">
        <f>IFERROR(__xludf.DUMMYFUNCTION("""COMPUTED_VALUE"""),1992.0)</f>
        <v>1992</v>
      </c>
      <c r="W210" s="697">
        <f>IFERROR(__xludf.DUMMYFUNCTION("""COMPUTED_VALUE"""),1992.0)</f>
        <v>1992</v>
      </c>
      <c r="X210" s="697" t="str">
        <f>IFERROR(__xludf.DUMMYFUNCTION("""COMPUTED_VALUE"""),"Eberhard, Mark L., et al. ""Long-term suppression of microfilaraemia following ivermectin treatment."" Transactions of the Royal Society of Tropical Medicine and Hygiene 86.3 (1992): 287-288.")</f>
        <v>Eberhard, Mark L., et al. "Long-term suppression of microfilaraemia following ivermectin treatment." Transactions of the Royal Society of Tropical Medicine and Hygiene 86.3 (1992): 287-288.</v>
      </c>
      <c r="Y210" s="699" t="str">
        <f>IFERROR(__xludf.DUMMYFUNCTION("""COMPUTED_VALUE"""),"http://dx.doi.org/10.1016/0035-9203(92)90312-Z")</f>
        <v>http://dx.doi.org/10.1016/0035-9203(92)90312-Z</v>
      </c>
      <c r="Z210" s="865" t="str">
        <f>IFERROR(__xludf.DUMMYFUNCTION("""COMPUTED_VALUE"""),"https://drive.google.com/file/d/0B0qKRmtVkPtWY2F3VzEyanB5Ykk/view?usp=sharing")</f>
        <v>https://drive.google.com/file/d/0B0qKRmtVkPtWY2F3VzEyanB5Ykk/view?usp=sharing</v>
      </c>
      <c r="AA210" s="697" t="str">
        <f>IFERROR(__xludf.DUMMYFUNCTION("""COMPUTED_VALUE"""),"x")</f>
        <v>x</v>
      </c>
    </row>
    <row r="211">
      <c r="A211" s="697" t="str">
        <f>IFERROR(__xludf.DUMMYFUNCTION("""COMPUTED_VALUE"""),"Jain 1988")</f>
        <v>Jain 1988</v>
      </c>
      <c r="B211" s="697" t="str">
        <f>IFERROR(__xludf.DUMMYFUNCTION("""COMPUTED_VALUE"""),"Mike")</f>
        <v>Mike</v>
      </c>
      <c r="C211" s="697" t="str">
        <f>IFERROR(__xludf.DUMMYFUNCTION("""COMPUTED_VALUE"""),"Alex ")</f>
        <v>Alex </v>
      </c>
      <c r="D211" s="697" t="str">
        <f>IFERROR(__xludf.DUMMYFUNCTION("""COMPUTED_VALUE"""),"India")</f>
        <v>India</v>
      </c>
      <c r="E211" s="697" t="str">
        <f>IFERROR(__xludf.DUMMYFUNCTION("""COMPUTED_VALUE"""),"w. bancrofti")</f>
        <v>w. bancrofti</v>
      </c>
      <c r="F211" s="697" t="str">
        <f>IFERROR(__xludf.DUMMYFUNCTION("""COMPUTED_VALUE"""),"DEC")</f>
        <v>DEC</v>
      </c>
      <c r="G211" s="697" t="str">
        <f>IFERROR(__xludf.DUMMYFUNCTION("""COMPUTED_VALUE"""),"9mg/kg")</f>
        <v>9mg/kg</v>
      </c>
      <c r="H211" s="697">
        <f>IFERROR(__xludf.DUMMYFUNCTION("""COMPUTED_VALUE"""),12.0)</f>
        <v>12</v>
      </c>
      <c r="I211" s="706">
        <f>IFERROR(__xludf.DUMMYFUNCTION("""COMPUTED_VALUE"""),0.4625)</f>
        <v>0.4625</v>
      </c>
      <c r="J211" s="706">
        <f>IFERROR(__xludf.DUMMYFUNCTION("""COMPUTED_VALUE"""),0.1957)</f>
        <v>0.1957</v>
      </c>
      <c r="K211" s="697" t="str">
        <f>IFERROR(__xludf.DUMMYFUNCTION("""COMPUTED_VALUE"""),"not available")</f>
        <v>not available</v>
      </c>
      <c r="L211" s="697">
        <f>IFERROR(__xludf.DUMMYFUNCTION("""COMPUTED_VALUE"""),858.0)</f>
        <v>858</v>
      </c>
      <c r="M211" s="697" t="str">
        <f>IFERROR(__xludf.DUMMYFUNCTION("""COMPUTED_VALUE"""),"not available")</f>
        <v>not available</v>
      </c>
      <c r="N211" s="697" t="str">
        <f>IFERROR(__xludf.DUMMYFUNCTION("""COMPUTED_VALUE"""),"not available")</f>
        <v>not available</v>
      </c>
      <c r="O211" s="697" t="str">
        <f>IFERROR(__xludf.DUMMYFUNCTION("""COMPUTED_VALUE"""),"lives in one of five selected areas around Calicut")</f>
        <v>lives in one of five selected areas around Calicut</v>
      </c>
      <c r="P211" s="697" t="str">
        <f>IFERROR(__xludf.DUMMYFUNCTION("""COMPUTED_VALUE"""),"clinical trial")</f>
        <v>clinical trial</v>
      </c>
      <c r="Q211" s="697" t="str">
        <f>IFERROR(__xludf.DUMMYFUNCTION("""COMPUTED_VALUE"""),"no")</f>
        <v>no</v>
      </c>
      <c r="R211" s="697" t="str">
        <f>IFERROR(__xludf.DUMMYFUNCTION("""COMPUTED_VALUE"""),"no")</f>
        <v>no</v>
      </c>
      <c r="S211" s="697" t="str">
        <f>IFERROR(__xludf.DUMMYFUNCTION("""COMPUTED_VALUE"""),"13 months")</f>
        <v>13 months</v>
      </c>
      <c r="T211" s="697" t="str">
        <f>IFERROR(__xludf.DUMMYFUNCTION("""COMPUTED_VALUE"""),"The reduction in the infection/infectivity rates as a result of therapy was significant, but no significant differences was seen between the arease where different doses were tried.")</f>
        <v>The reduction in the infection/infectivity rates as a result of therapy was significant, but no significant differences was seen between the arease where different doses were tried.</v>
      </c>
      <c r="U211" s="697"/>
      <c r="V211" s="697">
        <f>IFERROR(__xludf.DUMMYFUNCTION("""COMPUTED_VALUE"""),1988.0)</f>
        <v>1988</v>
      </c>
      <c r="W211" s="697">
        <f>IFERROR(__xludf.DUMMYFUNCTION("""COMPUTED_VALUE"""),1988.0)</f>
        <v>1988</v>
      </c>
      <c r="X211" s="697" t="str">
        <f>IFERROR(__xludf.DUMMYFUNCTION("""COMPUTED_VALUE"""),"Practical and effective dose schedule of diethylcarbamazine (DEC) against bancroftian filariasis for mass therapy campaigns")</f>
        <v>Practical and effective dose schedule of diethylcarbamazine (DEC) against bancroftian filariasis for mass therapy campaigns</v>
      </c>
      <c r="Y211" s="697" t="str">
        <f>IFERROR(__xludf.DUMMYFUNCTION("""COMPUTED_VALUE"""),"not available")</f>
        <v>not available</v>
      </c>
      <c r="Z211" s="865" t="str">
        <f>IFERROR(__xludf.DUMMYFUNCTION("""COMPUTED_VALUE"""),"https://drive.google.com/file/d/0B0qKRmtVkPtWMFJtNUt3TWtuNXM/view?usp=sharing")</f>
        <v>https://drive.google.com/file/d/0B0qKRmtVkPtWMFJtNUt3TWtuNXM/view?usp=sharing</v>
      </c>
      <c r="AA211" s="697" t="str">
        <f>IFERROR(__xludf.DUMMYFUNCTION("""COMPUTED_VALUE"""),"x")</f>
        <v>x</v>
      </c>
    </row>
    <row r="212">
      <c r="A212" s="697" t="str">
        <f>IFERROR(__xludf.DUMMYFUNCTION("""COMPUTED_VALUE"""),"Jain 1988")</f>
        <v>Jain 1988</v>
      </c>
      <c r="B212" s="697" t="str">
        <f>IFERROR(__xludf.DUMMYFUNCTION("""COMPUTED_VALUE"""),"Mike")</f>
        <v>Mike</v>
      </c>
      <c r="C212" s="697" t="str">
        <f>IFERROR(__xludf.DUMMYFUNCTION("""COMPUTED_VALUE"""),"Alex")</f>
        <v>Alex</v>
      </c>
      <c r="D212" s="697" t="str">
        <f>IFERROR(__xludf.DUMMYFUNCTION("""COMPUTED_VALUE"""),"India")</f>
        <v>India</v>
      </c>
      <c r="E212" s="697" t="str">
        <f>IFERROR(__xludf.DUMMYFUNCTION("""COMPUTED_VALUE"""),"w. bancrofti")</f>
        <v>w. bancrofti</v>
      </c>
      <c r="F212" s="697" t="str">
        <f>IFERROR(__xludf.DUMMYFUNCTION("""COMPUTED_VALUE"""),"DEC")</f>
        <v>DEC</v>
      </c>
      <c r="G212" s="697" t="str">
        <f>IFERROR(__xludf.DUMMYFUNCTION("""COMPUTED_VALUE"""),"9mg/kg")</f>
        <v>9mg/kg</v>
      </c>
      <c r="H212" s="697">
        <f>IFERROR(__xludf.DUMMYFUNCTION("""COMPUTED_VALUE"""),8.0)</f>
        <v>8</v>
      </c>
      <c r="I212" s="706">
        <f>IFERROR(__xludf.DUMMYFUNCTION("""COMPUTED_VALUE"""),0.3472)</f>
        <v>0.3472</v>
      </c>
      <c r="J212" s="706">
        <f>IFERROR(__xludf.DUMMYFUNCTION("""COMPUTED_VALUE"""),-0.2)</f>
        <v>-0.2</v>
      </c>
      <c r="K212" s="697" t="str">
        <f>IFERROR(__xludf.DUMMYFUNCTION("""COMPUTED_VALUE"""),"not available")</f>
        <v>not available</v>
      </c>
      <c r="L212" s="697">
        <f>IFERROR(__xludf.DUMMYFUNCTION("""COMPUTED_VALUE"""),882.0)</f>
        <v>882</v>
      </c>
      <c r="M212" s="697" t="str">
        <f>IFERROR(__xludf.DUMMYFUNCTION("""COMPUTED_VALUE"""),"not available")</f>
        <v>not available</v>
      </c>
      <c r="N212" s="697" t="str">
        <f>IFERROR(__xludf.DUMMYFUNCTION("""COMPUTED_VALUE"""),"not available")</f>
        <v>not available</v>
      </c>
      <c r="O212" s="697" t="str">
        <f>IFERROR(__xludf.DUMMYFUNCTION("""COMPUTED_VALUE"""),"not specified")</f>
        <v>not specified</v>
      </c>
      <c r="P212" s="697" t="str">
        <f>IFERROR(__xludf.DUMMYFUNCTION("""COMPUTED_VALUE"""),"clinical trial")</f>
        <v>clinical trial</v>
      </c>
      <c r="Q212" s="697" t="str">
        <f>IFERROR(__xludf.DUMMYFUNCTION("""COMPUTED_VALUE"""),"no")</f>
        <v>no</v>
      </c>
      <c r="R212" s="697" t="str">
        <f>IFERROR(__xludf.DUMMYFUNCTION("""COMPUTED_VALUE"""),"no")</f>
        <v>no</v>
      </c>
      <c r="S212" s="697" t="str">
        <f>IFERROR(__xludf.DUMMYFUNCTION("""COMPUTED_VALUE"""),"13 months")</f>
        <v>13 months</v>
      </c>
      <c r="T212" s="697" t="str">
        <f>IFERROR(__xludf.DUMMYFUNCTION("""COMPUTED_VALUE"""),"The reduction in the infection/infectivity rates as a result of therapy was significant, but no significant differences was seen between the arease where different doses were tried.")</f>
        <v>The reduction in the infection/infectivity rates as a result of therapy was significant, but no significant differences was seen between the arease where different doses were tried.</v>
      </c>
      <c r="U212" s="697"/>
      <c r="V212" s="697">
        <f>IFERROR(__xludf.DUMMYFUNCTION("""COMPUTED_VALUE"""),1988.0)</f>
        <v>1988</v>
      </c>
      <c r="W212" s="697">
        <f>IFERROR(__xludf.DUMMYFUNCTION("""COMPUTED_VALUE"""),1988.0)</f>
        <v>1988</v>
      </c>
      <c r="X212" s="697" t="str">
        <f>IFERROR(__xludf.DUMMYFUNCTION("""COMPUTED_VALUE"""),"Practical and effective dose schedule of diethylcarbamazine (DEC) against bancroftian filariasis for mass therapy campaigns")</f>
        <v>Practical and effective dose schedule of diethylcarbamazine (DEC) against bancroftian filariasis for mass therapy campaigns</v>
      </c>
      <c r="Y212" s="697" t="str">
        <f>IFERROR(__xludf.DUMMYFUNCTION("""COMPUTED_VALUE"""),"not available")</f>
        <v>not available</v>
      </c>
      <c r="Z212" s="865" t="str">
        <f>IFERROR(__xludf.DUMMYFUNCTION("""COMPUTED_VALUE"""),"https://drive.google.com/file/d/0B0qKRmtVkPtWMFJtNUt3TWtuNXM/view?usp=sharing")</f>
        <v>https://drive.google.com/file/d/0B0qKRmtVkPtWMFJtNUt3TWtuNXM/view?usp=sharing</v>
      </c>
      <c r="AA212" s="697" t="str">
        <f>IFERROR(__xludf.DUMMYFUNCTION("""COMPUTED_VALUE"""),"x")</f>
        <v>x</v>
      </c>
    </row>
    <row r="213">
      <c r="A213" s="697" t="str">
        <f>IFERROR(__xludf.DUMMYFUNCTION("""COMPUTED_VALUE"""),"Jain 1988")</f>
        <v>Jain 1988</v>
      </c>
      <c r="B213" s="697" t="str">
        <f>IFERROR(__xludf.DUMMYFUNCTION("""COMPUTED_VALUE"""),"Mike")</f>
        <v>Mike</v>
      </c>
      <c r="C213" s="697" t="str">
        <f>IFERROR(__xludf.DUMMYFUNCTION("""COMPUTED_VALUE"""),"Alex")</f>
        <v>Alex</v>
      </c>
      <c r="D213" s="697" t="str">
        <f>IFERROR(__xludf.DUMMYFUNCTION("""COMPUTED_VALUE"""),"India")</f>
        <v>India</v>
      </c>
      <c r="E213" s="697" t="str">
        <f>IFERROR(__xludf.DUMMYFUNCTION("""COMPUTED_VALUE"""),"w. bancrofti")</f>
        <v>w. bancrofti</v>
      </c>
      <c r="F213" s="697" t="str">
        <f>IFERROR(__xludf.DUMMYFUNCTION("""COMPUTED_VALUE"""),"DEC")</f>
        <v>DEC</v>
      </c>
      <c r="G213" s="697" t="str">
        <f>IFERROR(__xludf.DUMMYFUNCTION("""COMPUTED_VALUE"""),"9mg/kg")</f>
        <v>9mg/kg</v>
      </c>
      <c r="H213" s="697">
        <f>IFERROR(__xludf.DUMMYFUNCTION("""COMPUTED_VALUE"""),6.0)</f>
        <v>6</v>
      </c>
      <c r="I213" s="706">
        <f>IFERROR(__xludf.DUMMYFUNCTION("""COMPUTED_VALUE"""),0.378)</f>
        <v>0.378</v>
      </c>
      <c r="J213" s="706">
        <f>IFERROR(__xludf.DUMMYFUNCTION("""COMPUTED_VALUE"""),0.2)</f>
        <v>0.2</v>
      </c>
      <c r="K213" s="697" t="str">
        <f>IFERROR(__xludf.DUMMYFUNCTION("""COMPUTED_VALUE"""),"not available")</f>
        <v>not available</v>
      </c>
      <c r="L213" s="697">
        <f>IFERROR(__xludf.DUMMYFUNCTION("""COMPUTED_VALUE"""),840.0)</f>
        <v>840</v>
      </c>
      <c r="M213" s="697" t="str">
        <f>IFERROR(__xludf.DUMMYFUNCTION("""COMPUTED_VALUE"""),"not available")</f>
        <v>not available</v>
      </c>
      <c r="N213" s="697" t="str">
        <f>IFERROR(__xludf.DUMMYFUNCTION("""COMPUTED_VALUE"""),"not available")</f>
        <v>not available</v>
      </c>
      <c r="O213" s="697" t="str">
        <f>IFERROR(__xludf.DUMMYFUNCTION("""COMPUTED_VALUE"""),"not specified")</f>
        <v>not specified</v>
      </c>
      <c r="P213" s="697" t="str">
        <f>IFERROR(__xludf.DUMMYFUNCTION("""COMPUTED_VALUE"""),"clinical trial")</f>
        <v>clinical trial</v>
      </c>
      <c r="Q213" s="697" t="str">
        <f>IFERROR(__xludf.DUMMYFUNCTION("""COMPUTED_VALUE"""),"no")</f>
        <v>no</v>
      </c>
      <c r="R213" s="697" t="str">
        <f>IFERROR(__xludf.DUMMYFUNCTION("""COMPUTED_VALUE"""),"no")</f>
        <v>no</v>
      </c>
      <c r="S213" s="697" t="str">
        <f>IFERROR(__xludf.DUMMYFUNCTION("""COMPUTED_VALUE"""),"13 months")</f>
        <v>13 months</v>
      </c>
      <c r="T213" s="697" t="str">
        <f>IFERROR(__xludf.DUMMYFUNCTION("""COMPUTED_VALUE"""),"The reduction in the infection/infectivity rates as a result of therapy was significant, but no significant differences was seen between the arease where different doses were tried.")</f>
        <v>The reduction in the infection/infectivity rates as a result of therapy was significant, but no significant differences was seen between the arease where different doses were tried.</v>
      </c>
      <c r="U213" s="697"/>
      <c r="V213" s="697">
        <f>IFERROR(__xludf.DUMMYFUNCTION("""COMPUTED_VALUE"""),1988.0)</f>
        <v>1988</v>
      </c>
      <c r="W213" s="697">
        <f>IFERROR(__xludf.DUMMYFUNCTION("""COMPUTED_VALUE"""),1988.0)</f>
        <v>1988</v>
      </c>
      <c r="X213" s="697" t="str">
        <f>IFERROR(__xludf.DUMMYFUNCTION("""COMPUTED_VALUE"""),"Practical and effective dose schedule of diethylcarbamazine (DEC) against bancroftian filariasis for mass therapy campaigns")</f>
        <v>Practical and effective dose schedule of diethylcarbamazine (DEC) against bancroftian filariasis for mass therapy campaigns</v>
      </c>
      <c r="Y213" s="697" t="str">
        <f>IFERROR(__xludf.DUMMYFUNCTION("""COMPUTED_VALUE"""),"not available")</f>
        <v>not available</v>
      </c>
      <c r="Z213" s="865" t="str">
        <f>IFERROR(__xludf.DUMMYFUNCTION("""COMPUTED_VALUE"""),"https://drive.google.com/file/d/0B0qKRmtVkPtWMFJtNUt3TWtuNXM/view?usp=sharing")</f>
        <v>https://drive.google.com/file/d/0B0qKRmtVkPtWMFJtNUt3TWtuNXM/view?usp=sharing</v>
      </c>
      <c r="AA213" s="697" t="str">
        <f>IFERROR(__xludf.DUMMYFUNCTION("""COMPUTED_VALUE"""),"x")</f>
        <v>x</v>
      </c>
    </row>
    <row r="214">
      <c r="A214" s="697" t="str">
        <f>IFERROR(__xludf.DUMMYFUNCTION("""COMPUTED_VALUE"""),"Jain 1988")</f>
        <v>Jain 1988</v>
      </c>
      <c r="B214" s="697" t="str">
        <f>IFERROR(__xludf.DUMMYFUNCTION("""COMPUTED_VALUE"""),"Mike")</f>
        <v>Mike</v>
      </c>
      <c r="C214" s="697" t="str">
        <f>IFERROR(__xludf.DUMMYFUNCTION("""COMPUTED_VALUE"""),"Alex")</f>
        <v>Alex</v>
      </c>
      <c r="D214" s="697" t="str">
        <f>IFERROR(__xludf.DUMMYFUNCTION("""COMPUTED_VALUE"""),"India")</f>
        <v>India</v>
      </c>
      <c r="E214" s="697" t="str">
        <f>IFERROR(__xludf.DUMMYFUNCTION("""COMPUTED_VALUE"""),"w. bancrofti")</f>
        <v>w. bancrofti</v>
      </c>
      <c r="F214" s="697" t="str">
        <f>IFERROR(__xludf.DUMMYFUNCTION("""COMPUTED_VALUE"""),"DEC")</f>
        <v>DEC</v>
      </c>
      <c r="G214" s="697" t="str">
        <f>IFERROR(__xludf.DUMMYFUNCTION("""COMPUTED_VALUE"""),"9mg/kg")</f>
        <v>9mg/kg</v>
      </c>
      <c r="H214" s="697">
        <f>IFERROR(__xludf.DUMMYFUNCTION("""COMPUTED_VALUE"""),4.0)</f>
        <v>4</v>
      </c>
      <c r="I214" s="706">
        <f>IFERROR(__xludf.DUMMYFUNCTION("""COMPUTED_VALUE"""),0.4375)</f>
        <v>0.4375</v>
      </c>
      <c r="J214" s="706">
        <f>IFERROR(__xludf.DUMMYFUNCTION("""COMPUTED_VALUE"""),-0.3333)</f>
        <v>-0.3333</v>
      </c>
      <c r="K214" s="697" t="str">
        <f>IFERROR(__xludf.DUMMYFUNCTION("""COMPUTED_VALUE"""),"not available")</f>
        <v>not available</v>
      </c>
      <c r="L214" s="697">
        <f>IFERROR(__xludf.DUMMYFUNCTION("""COMPUTED_VALUE"""),970.0)</f>
        <v>970</v>
      </c>
      <c r="M214" s="697" t="str">
        <f>IFERROR(__xludf.DUMMYFUNCTION("""COMPUTED_VALUE"""),"not available")</f>
        <v>not available</v>
      </c>
      <c r="N214" s="697" t="str">
        <f>IFERROR(__xludf.DUMMYFUNCTION("""COMPUTED_VALUE"""),"not available")</f>
        <v>not available</v>
      </c>
      <c r="O214" s="697" t="str">
        <f>IFERROR(__xludf.DUMMYFUNCTION("""COMPUTED_VALUE"""),"not specified")</f>
        <v>not specified</v>
      </c>
      <c r="P214" s="697" t="str">
        <f>IFERROR(__xludf.DUMMYFUNCTION("""COMPUTED_VALUE"""),"clinical trial")</f>
        <v>clinical trial</v>
      </c>
      <c r="Q214" s="697" t="str">
        <f>IFERROR(__xludf.DUMMYFUNCTION("""COMPUTED_VALUE"""),"no")</f>
        <v>no</v>
      </c>
      <c r="R214" s="697" t="str">
        <f>IFERROR(__xludf.DUMMYFUNCTION("""COMPUTED_VALUE"""),"no")</f>
        <v>no</v>
      </c>
      <c r="S214" s="697" t="str">
        <f>IFERROR(__xludf.DUMMYFUNCTION("""COMPUTED_VALUE"""),"13 months")</f>
        <v>13 months</v>
      </c>
      <c r="T214" s="697" t="str">
        <f>IFERROR(__xludf.DUMMYFUNCTION("""COMPUTED_VALUE"""),"The reduction in the infection/infectivity rates as a result of therapy was significant, but no significant differences was seen between the arease where different doses were tried.")</f>
        <v>The reduction in the infection/infectivity rates as a result of therapy was significant, but no significant differences was seen between the arease where different doses were tried.</v>
      </c>
      <c r="U214" s="697"/>
      <c r="V214" s="697">
        <f>IFERROR(__xludf.DUMMYFUNCTION("""COMPUTED_VALUE"""),1988.0)</f>
        <v>1988</v>
      </c>
      <c r="W214" s="697">
        <f>IFERROR(__xludf.DUMMYFUNCTION("""COMPUTED_VALUE"""),1988.0)</f>
        <v>1988</v>
      </c>
      <c r="X214" s="697" t="str">
        <f>IFERROR(__xludf.DUMMYFUNCTION("""COMPUTED_VALUE"""),"Practical and effective dose schedule of diethylcarbamazine (DEC) against bancroftian filariasis for mass therapy campaigns")</f>
        <v>Practical and effective dose schedule of diethylcarbamazine (DEC) against bancroftian filariasis for mass therapy campaigns</v>
      </c>
      <c r="Y214" s="697" t="str">
        <f>IFERROR(__xludf.DUMMYFUNCTION("""COMPUTED_VALUE"""),"not available")</f>
        <v>not available</v>
      </c>
      <c r="Z214" s="865" t="str">
        <f>IFERROR(__xludf.DUMMYFUNCTION("""COMPUTED_VALUE"""),"https://drive.google.com/file/d/0B0qKRmtVkPtWMFJtNUt3TWtuNXM/view?usp=sharing")</f>
        <v>https://drive.google.com/file/d/0B0qKRmtVkPtWMFJtNUt3TWtuNXM/view?usp=sharing</v>
      </c>
      <c r="AA214" s="697" t="str">
        <f>IFERROR(__xludf.DUMMYFUNCTION("""COMPUTED_VALUE"""),"x")</f>
        <v>x</v>
      </c>
    </row>
    <row r="215">
      <c r="A215" s="697" t="str">
        <f>IFERROR(__xludf.DUMMYFUNCTION("""COMPUTED_VALUE"""),"Jain 1988")</f>
        <v>Jain 1988</v>
      </c>
      <c r="B215" s="697" t="str">
        <f>IFERROR(__xludf.DUMMYFUNCTION("""COMPUTED_VALUE"""),"Mike")</f>
        <v>Mike</v>
      </c>
      <c r="C215" s="697" t="str">
        <f>IFERROR(__xludf.DUMMYFUNCTION("""COMPUTED_VALUE"""),"Alex")</f>
        <v>Alex</v>
      </c>
      <c r="D215" s="697" t="str">
        <f>IFERROR(__xludf.DUMMYFUNCTION("""COMPUTED_VALUE"""),"India")</f>
        <v>India</v>
      </c>
      <c r="E215" s="697" t="str">
        <f>IFERROR(__xludf.DUMMYFUNCTION("""COMPUTED_VALUE"""),"w. bancrofti")</f>
        <v>w. bancrofti</v>
      </c>
      <c r="F215" s="697" t="str">
        <f>IFERROR(__xludf.DUMMYFUNCTION("""COMPUTED_VALUE"""),"DEC")</f>
        <v>DEC</v>
      </c>
      <c r="G215" s="697" t="str">
        <f>IFERROR(__xludf.DUMMYFUNCTION("""COMPUTED_VALUE"""),"6mg/kg")</f>
        <v>6mg/kg</v>
      </c>
      <c r="H215" s="697">
        <f>IFERROR(__xludf.DUMMYFUNCTION("""COMPUTED_VALUE"""),12.0)</f>
        <v>12</v>
      </c>
      <c r="I215" s="706">
        <f>IFERROR(__xludf.DUMMYFUNCTION("""COMPUTED_VALUE"""),0.4142)</f>
        <v>0.4142</v>
      </c>
      <c r="J215" s="706">
        <f>IFERROR(__xludf.DUMMYFUNCTION("""COMPUTED_VALUE"""),0.2683)</f>
        <v>0.2683</v>
      </c>
      <c r="K215" s="697" t="str">
        <f>IFERROR(__xludf.DUMMYFUNCTION("""COMPUTED_VALUE"""),"not available")</f>
        <v>not available</v>
      </c>
      <c r="L215" s="697">
        <f>IFERROR(__xludf.DUMMYFUNCTION("""COMPUTED_VALUE"""),627.0)</f>
        <v>627</v>
      </c>
      <c r="M215" s="697" t="str">
        <f>IFERROR(__xludf.DUMMYFUNCTION("""COMPUTED_VALUE"""),"not available")</f>
        <v>not available</v>
      </c>
      <c r="N215" s="697" t="str">
        <f>IFERROR(__xludf.DUMMYFUNCTION("""COMPUTED_VALUE"""),"not available")</f>
        <v>not available</v>
      </c>
      <c r="O215" s="697" t="str">
        <f>IFERROR(__xludf.DUMMYFUNCTION("""COMPUTED_VALUE"""),"not specified")</f>
        <v>not specified</v>
      </c>
      <c r="P215" s="697" t="str">
        <f>IFERROR(__xludf.DUMMYFUNCTION("""COMPUTED_VALUE"""),"clinical trial")</f>
        <v>clinical trial</v>
      </c>
      <c r="Q215" s="697" t="str">
        <f>IFERROR(__xludf.DUMMYFUNCTION("""COMPUTED_VALUE"""),"no")</f>
        <v>no</v>
      </c>
      <c r="R215" s="697" t="str">
        <f>IFERROR(__xludf.DUMMYFUNCTION("""COMPUTED_VALUE"""),"no")</f>
        <v>no</v>
      </c>
      <c r="S215" s="697" t="str">
        <f>IFERROR(__xludf.DUMMYFUNCTION("""COMPUTED_VALUE"""),"13 months")</f>
        <v>13 months</v>
      </c>
      <c r="T215" s="697" t="str">
        <f>IFERROR(__xludf.DUMMYFUNCTION("""COMPUTED_VALUE"""),"The reduction in the infection/infectivity rates as a result of therapy was significant, but no significant differences was seen between the arease where different doses were tried.")</f>
        <v>The reduction in the infection/infectivity rates as a result of therapy was significant, but no significant differences was seen between the arease where different doses were tried.</v>
      </c>
      <c r="U215" s="697"/>
      <c r="V215" s="697">
        <f>IFERROR(__xludf.DUMMYFUNCTION("""COMPUTED_VALUE"""),1988.0)</f>
        <v>1988</v>
      </c>
      <c r="W215" s="697">
        <f>IFERROR(__xludf.DUMMYFUNCTION("""COMPUTED_VALUE"""),1988.0)</f>
        <v>1988</v>
      </c>
      <c r="X215" s="697" t="str">
        <f>IFERROR(__xludf.DUMMYFUNCTION("""COMPUTED_VALUE"""),"Practical and effective dose schedule of diethylcarbamazine (DEC) against bancroftian filariasis for mass therapy campaigns")</f>
        <v>Practical and effective dose schedule of diethylcarbamazine (DEC) against bancroftian filariasis for mass therapy campaigns</v>
      </c>
      <c r="Y215" s="697" t="str">
        <f>IFERROR(__xludf.DUMMYFUNCTION("""COMPUTED_VALUE"""),"not available")</f>
        <v>not available</v>
      </c>
      <c r="Z215" s="865" t="str">
        <f>IFERROR(__xludf.DUMMYFUNCTION("""COMPUTED_VALUE"""),"https://drive.google.com/file/d/0B0qKRmtVkPtWMFJtNUt3TWtuNXM/view?usp=sharing")</f>
        <v>https://drive.google.com/file/d/0B0qKRmtVkPtWMFJtNUt3TWtuNXM/view?usp=sharing</v>
      </c>
      <c r="AA215" s="697" t="str">
        <f>IFERROR(__xludf.DUMMYFUNCTION("""COMPUTED_VALUE"""),"x")</f>
        <v>x</v>
      </c>
    </row>
    <row r="216">
      <c r="A216" s="697"/>
      <c r="B216" s="697"/>
      <c r="C216" s="697"/>
      <c r="D216" s="697"/>
      <c r="E216" s="697"/>
      <c r="F216" s="697"/>
      <c r="G216" s="697"/>
      <c r="H216" s="697"/>
      <c r="I216" s="697"/>
      <c r="J216" s="697"/>
      <c r="K216" s="697"/>
      <c r="L216" s="697"/>
      <c r="M216" s="697"/>
      <c r="N216" s="697"/>
      <c r="O216" s="697"/>
      <c r="P216" s="697"/>
      <c r="Q216" s="697"/>
      <c r="R216" s="697"/>
      <c r="S216" s="697"/>
      <c r="T216" s="697"/>
      <c r="U216" s="697"/>
      <c r="V216" s="697"/>
      <c r="W216" s="697"/>
      <c r="X216" s="697"/>
      <c r="Y216" s="697"/>
      <c r="Z216" s="863"/>
      <c r="AA216" s="697"/>
    </row>
    <row r="217">
      <c r="A217" s="697"/>
      <c r="B217" s="697"/>
      <c r="C217" s="697"/>
      <c r="D217" s="697"/>
      <c r="E217" s="697"/>
      <c r="F217" s="697"/>
      <c r="G217" s="697"/>
      <c r="H217" s="697"/>
      <c r="I217" s="697"/>
      <c r="J217" s="697"/>
      <c r="K217" s="697"/>
      <c r="L217" s="697"/>
      <c r="M217" s="697"/>
      <c r="N217" s="697"/>
      <c r="O217" s="697"/>
      <c r="P217" s="697"/>
      <c r="Q217" s="697"/>
      <c r="R217" s="697"/>
      <c r="S217" s="697"/>
      <c r="T217" s="697"/>
      <c r="U217" s="697"/>
      <c r="V217" s="697"/>
      <c r="W217" s="697"/>
      <c r="X217" s="697"/>
      <c r="Y217" s="697"/>
      <c r="Z217" s="863"/>
      <c r="AA217" s="697"/>
    </row>
    <row r="218">
      <c r="A218" s="697"/>
      <c r="B218" s="697"/>
      <c r="C218" s="697"/>
      <c r="D218" s="697"/>
      <c r="E218" s="697"/>
      <c r="F218" s="697"/>
      <c r="G218" s="697"/>
      <c r="H218" s="697"/>
      <c r="I218" s="697"/>
      <c r="J218" s="697"/>
      <c r="K218" s="697"/>
      <c r="L218" s="697"/>
      <c r="M218" s="697"/>
      <c r="N218" s="697"/>
      <c r="O218" s="697"/>
      <c r="P218" s="697"/>
      <c r="Q218" s="697"/>
      <c r="R218" s="697"/>
      <c r="S218" s="697"/>
      <c r="T218" s="697"/>
      <c r="U218" s="697"/>
      <c r="V218" s="697"/>
      <c r="W218" s="697"/>
      <c r="X218" s="697"/>
      <c r="Y218" s="697"/>
      <c r="Z218" s="863"/>
      <c r="AA218" s="697"/>
    </row>
    <row r="219">
      <c r="A219" s="697"/>
      <c r="B219" s="697"/>
      <c r="C219" s="697"/>
      <c r="D219" s="697"/>
      <c r="E219" s="697"/>
      <c r="F219" s="697"/>
      <c r="G219" s="697"/>
      <c r="H219" s="697"/>
      <c r="I219" s="697"/>
      <c r="J219" s="697"/>
      <c r="K219" s="697"/>
      <c r="L219" s="697"/>
      <c r="M219" s="697"/>
      <c r="N219" s="697"/>
      <c r="O219" s="697"/>
      <c r="P219" s="697"/>
      <c r="Q219" s="697"/>
      <c r="R219" s="697"/>
      <c r="S219" s="697"/>
      <c r="T219" s="697"/>
      <c r="U219" s="697"/>
      <c r="V219" s="697"/>
      <c r="W219" s="697"/>
      <c r="X219" s="697"/>
      <c r="Y219" s="697"/>
      <c r="Z219" s="863"/>
      <c r="AA219" s="697"/>
    </row>
    <row r="220">
      <c r="A220" s="697"/>
      <c r="B220" s="697"/>
      <c r="C220" s="697"/>
      <c r="D220" s="697"/>
      <c r="E220" s="697"/>
      <c r="F220" s="697"/>
      <c r="G220" s="697"/>
      <c r="H220" s="697"/>
      <c r="I220" s="697"/>
      <c r="J220" s="697"/>
      <c r="K220" s="697"/>
      <c r="L220" s="697"/>
      <c r="M220" s="697"/>
      <c r="N220" s="697"/>
      <c r="O220" s="697"/>
      <c r="P220" s="697"/>
      <c r="Q220" s="697"/>
      <c r="R220" s="697"/>
      <c r="S220" s="697"/>
      <c r="T220" s="697"/>
      <c r="U220" s="697"/>
      <c r="V220" s="697"/>
      <c r="W220" s="697"/>
      <c r="X220" s="697"/>
      <c r="Y220" s="697"/>
      <c r="Z220" s="863"/>
      <c r="AA220" s="697"/>
    </row>
    <row r="221">
      <c r="A221" s="697"/>
      <c r="B221" s="697"/>
      <c r="C221" s="697"/>
      <c r="D221" s="697"/>
      <c r="E221" s="697"/>
      <c r="F221" s="697"/>
      <c r="G221" s="697"/>
      <c r="H221" s="697"/>
      <c r="I221" s="697"/>
      <c r="J221" s="697"/>
      <c r="K221" s="697"/>
      <c r="L221" s="697"/>
      <c r="M221" s="697"/>
      <c r="N221" s="697"/>
      <c r="O221" s="697"/>
      <c r="P221" s="697"/>
      <c r="Q221" s="697"/>
      <c r="R221" s="697"/>
      <c r="S221" s="697"/>
      <c r="T221" s="697"/>
      <c r="U221" s="697"/>
      <c r="V221" s="697"/>
      <c r="W221" s="697"/>
      <c r="X221" s="697"/>
      <c r="Y221" s="697"/>
      <c r="Z221" s="863"/>
      <c r="AA221" s="697"/>
    </row>
    <row r="222">
      <c r="A222" s="697"/>
      <c r="B222" s="697"/>
      <c r="C222" s="697"/>
      <c r="D222" s="697"/>
      <c r="E222" s="697"/>
      <c r="F222" s="697"/>
      <c r="G222" s="697"/>
      <c r="H222" s="697"/>
      <c r="I222" s="697"/>
      <c r="J222" s="697"/>
      <c r="K222" s="697"/>
      <c r="L222" s="697"/>
      <c r="M222" s="697"/>
      <c r="N222" s="697"/>
      <c r="O222" s="697"/>
      <c r="P222" s="697"/>
      <c r="Q222" s="697"/>
      <c r="R222" s="697"/>
      <c r="S222" s="697"/>
      <c r="T222" s="697"/>
      <c r="U222" s="697"/>
      <c r="V222" s="697"/>
      <c r="W222" s="697"/>
      <c r="X222" s="697"/>
      <c r="Y222" s="697"/>
      <c r="Z222" s="863"/>
      <c r="AA222" s="697"/>
    </row>
    <row r="223">
      <c r="A223" s="697"/>
      <c r="B223" s="697"/>
      <c r="C223" s="697"/>
      <c r="D223" s="697"/>
      <c r="E223" s="697"/>
      <c r="F223" s="697"/>
      <c r="G223" s="697"/>
      <c r="H223" s="697"/>
      <c r="I223" s="697"/>
      <c r="J223" s="697"/>
      <c r="K223" s="697"/>
      <c r="L223" s="697"/>
      <c r="M223" s="697"/>
      <c r="N223" s="697"/>
      <c r="O223" s="697"/>
      <c r="P223" s="697"/>
      <c r="Q223" s="697"/>
      <c r="R223" s="697"/>
      <c r="S223" s="697"/>
      <c r="T223" s="697"/>
      <c r="U223" s="697"/>
      <c r="V223" s="697"/>
      <c r="W223" s="697"/>
      <c r="X223" s="697"/>
      <c r="Y223" s="697"/>
      <c r="Z223" s="863"/>
      <c r="AA223" s="697"/>
    </row>
    <row r="224">
      <c r="A224" s="697" t="str">
        <f>IFERROR(__xludf.DUMMYFUNCTION("""COMPUTED_VALUE"""),"Not checked")</f>
        <v>Not checked</v>
      </c>
      <c r="B224" s="697"/>
      <c r="C224" s="697"/>
      <c r="D224" s="697"/>
      <c r="E224" s="697"/>
      <c r="F224" s="697"/>
      <c r="G224" s="697"/>
      <c r="H224" s="697"/>
      <c r="I224" s="697"/>
      <c r="J224" s="697"/>
      <c r="K224" s="697"/>
      <c r="L224" s="697"/>
      <c r="M224" s="697"/>
      <c r="N224" s="697"/>
      <c r="O224" s="697"/>
      <c r="P224" s="697"/>
      <c r="Q224" s="697"/>
      <c r="R224" s="697"/>
      <c r="S224" s="697"/>
      <c r="T224" s="697"/>
      <c r="U224" s="697"/>
      <c r="V224" s="697"/>
      <c r="W224" s="697"/>
      <c r="X224" s="697"/>
      <c r="Y224" s="697"/>
      <c r="Z224" s="863"/>
      <c r="AA224" s="697"/>
    </row>
    <row r="225">
      <c r="A225" s="697" t="str">
        <f>IFERROR(__xludf.DUMMYFUNCTION("""COMPUTED_VALUE"""),"Before 1990")</f>
        <v>Before 1990</v>
      </c>
      <c r="B225" s="697"/>
      <c r="C225" s="697"/>
      <c r="D225" s="697"/>
      <c r="E225" s="697"/>
      <c r="F225" s="697"/>
      <c r="G225" s="697"/>
      <c r="H225" s="697"/>
      <c r="I225" s="697"/>
      <c r="J225" s="697"/>
      <c r="K225" s="697"/>
      <c r="L225" s="697"/>
      <c r="M225" s="697"/>
      <c r="N225" s="697"/>
      <c r="O225" s="697"/>
      <c r="P225" s="697"/>
      <c r="Q225" s="697"/>
      <c r="R225" s="697"/>
      <c r="S225" s="697"/>
      <c r="T225" s="697"/>
      <c r="U225" s="697"/>
      <c r="V225" s="697"/>
      <c r="W225" s="697"/>
      <c r="X225" s="697"/>
      <c r="Y225" s="697"/>
      <c r="Z225" s="863"/>
      <c r="AA225" s="697"/>
    </row>
    <row r="226">
      <c r="A226" s="697" t="str">
        <f>IFERROR(__xludf.DUMMYFUNCTION("""COMPUTED_VALUE"""),"1990-2000")</f>
        <v>1990-2000</v>
      </c>
      <c r="B226" s="697"/>
      <c r="C226" s="697"/>
      <c r="D226" s="697"/>
      <c r="E226" s="697"/>
      <c r="F226" s="697"/>
      <c r="G226" s="697"/>
      <c r="H226" s="697"/>
      <c r="I226" s="697"/>
      <c r="J226" s="697"/>
      <c r="K226" s="697"/>
      <c r="L226" s="697"/>
      <c r="M226" s="697"/>
      <c r="N226" s="697"/>
      <c r="O226" s="697"/>
      <c r="P226" s="697"/>
      <c r="Q226" s="697"/>
      <c r="R226" s="697"/>
      <c r="S226" s="697"/>
      <c r="T226" s="697"/>
      <c r="U226" s="697"/>
      <c r="V226" s="697"/>
      <c r="W226" s="697"/>
      <c r="X226" s="697"/>
      <c r="Y226" s="697"/>
      <c r="Z226" s="863"/>
      <c r="AA226" s="697"/>
    </row>
    <row r="227">
      <c r="A227" s="697" t="str">
        <f>IFERROR(__xludf.DUMMYFUNCTION("""COMPUTED_VALUE"""),"2000-present")</f>
        <v>2000-present</v>
      </c>
      <c r="B227" s="697"/>
      <c r="C227" s="697"/>
      <c r="D227" s="697"/>
      <c r="E227" s="697"/>
      <c r="F227" s="697"/>
      <c r="G227" s="697"/>
      <c r="H227" s="697"/>
      <c r="I227" s="697"/>
      <c r="J227" s="697"/>
      <c r="K227" s="697"/>
      <c r="L227" s="697"/>
      <c r="M227" s="697"/>
      <c r="N227" s="697"/>
      <c r="O227" s="697"/>
      <c r="P227" s="697"/>
      <c r="Q227" s="697"/>
      <c r="R227" s="697"/>
      <c r="S227" s="697"/>
      <c r="T227" s="697"/>
      <c r="U227" s="697"/>
      <c r="V227" s="697"/>
      <c r="W227" s="697"/>
      <c r="X227" s="697"/>
      <c r="Y227" s="697"/>
      <c r="Z227" s="863"/>
      <c r="AA227" s="697"/>
    </row>
    <row r="228">
      <c r="A228" s="697" t="str">
        <f>IFERROR(__xludf.DUMMYFUNCTION("""COMPUTED_VALUE"""),"Included Pregnant Women")</f>
        <v>Included Pregnant Women</v>
      </c>
      <c r="B228" s="697"/>
      <c r="C228" s="697"/>
      <c r="D228" s="697"/>
      <c r="E228" s="697"/>
      <c r="F228" s="697"/>
      <c r="G228" s="697"/>
      <c r="H228" s="697"/>
      <c r="I228" s="697"/>
      <c r="J228" s="697"/>
      <c r="K228" s="697"/>
      <c r="L228" s="697"/>
      <c r="M228" s="697"/>
      <c r="N228" s="697"/>
      <c r="O228" s="697"/>
      <c r="P228" s="697"/>
      <c r="Q228" s="697"/>
      <c r="R228" s="697"/>
      <c r="S228" s="697"/>
      <c r="T228" s="697"/>
      <c r="U228" s="697"/>
      <c r="V228" s="697"/>
      <c r="W228" s="697"/>
      <c r="X228" s="697"/>
      <c r="Y228" s="697"/>
      <c r="Z228" s="863"/>
      <c r="AA228" s="697"/>
    </row>
    <row r="229">
      <c r="A229" s="697" t="str">
        <f>IFERROR(__xludf.DUMMYFUNCTION("""COMPUTED_VALUE"""),"only woman ")</f>
        <v>only woman </v>
      </c>
      <c r="B229" s="697"/>
      <c r="C229" s="697"/>
      <c r="D229" s="697"/>
      <c r="E229" s="697"/>
      <c r="F229" s="697"/>
      <c r="G229" s="697"/>
      <c r="H229" s="697"/>
      <c r="I229" s="697"/>
      <c r="J229" s="697"/>
      <c r="K229" s="697"/>
      <c r="L229" s="697"/>
      <c r="M229" s="697"/>
      <c r="N229" s="697"/>
      <c r="O229" s="697"/>
      <c r="P229" s="697"/>
      <c r="Q229" s="697"/>
      <c r="R229" s="697"/>
      <c r="S229" s="697"/>
      <c r="T229" s="697"/>
      <c r="U229" s="697"/>
      <c r="V229" s="697"/>
      <c r="W229" s="697"/>
      <c r="X229" s="697"/>
      <c r="Y229" s="697"/>
      <c r="Z229" s="863"/>
      <c r="AA229" s="697"/>
    </row>
    <row r="230">
      <c r="A230" s="697" t="str">
        <f>IFERROR(__xludf.DUMMYFUNCTION("""COMPUTED_VALUE"""),"only men")</f>
        <v>only men</v>
      </c>
      <c r="B230" s="697"/>
      <c r="C230" s="697"/>
      <c r="D230" s="697"/>
      <c r="E230" s="697"/>
      <c r="F230" s="697"/>
      <c r="G230" s="697"/>
      <c r="H230" s="697"/>
      <c r="I230" s="697"/>
      <c r="J230" s="697"/>
      <c r="K230" s="697"/>
      <c r="L230" s="697"/>
      <c r="M230" s="697"/>
      <c r="N230" s="697"/>
      <c r="O230" s="697"/>
      <c r="P230" s="697"/>
      <c r="Q230" s="697"/>
      <c r="R230" s="697"/>
      <c r="S230" s="697"/>
      <c r="T230" s="697"/>
      <c r="U230" s="697"/>
      <c r="V230" s="697"/>
      <c r="W230" s="697"/>
      <c r="X230" s="697"/>
      <c r="Y230" s="697"/>
      <c r="Z230" s="863"/>
      <c r="AA230" s="697"/>
    </row>
    <row r="231">
      <c r="A231" s="697" t="str">
        <f>IFERROR(__xludf.DUMMYFUNCTION("""COMPUTED_VALUE"""),"Randomised")</f>
        <v>Randomised</v>
      </c>
      <c r="B231" s="697"/>
      <c r="C231" s="697"/>
      <c r="D231" s="697"/>
      <c r="E231" s="697"/>
      <c r="F231" s="697"/>
      <c r="G231" s="697"/>
      <c r="H231" s="697"/>
      <c r="I231" s="697"/>
      <c r="J231" s="697"/>
      <c r="K231" s="697"/>
      <c r="L231" s="697"/>
      <c r="M231" s="697"/>
      <c r="N231" s="697"/>
      <c r="O231" s="697"/>
      <c r="P231" s="697"/>
      <c r="Q231" s="697"/>
      <c r="R231" s="697"/>
      <c r="S231" s="697"/>
      <c r="T231" s="697"/>
      <c r="U231" s="697"/>
      <c r="V231" s="697"/>
      <c r="W231" s="697"/>
      <c r="X231" s="697"/>
      <c r="Y231" s="697"/>
      <c r="Z231" s="863"/>
      <c r="AA231" s="697"/>
    </row>
    <row r="232">
      <c r="A232" s="697" t="str">
        <f>IFERROR(__xludf.DUMMYFUNCTION("""COMPUTED_VALUE"""),"double-blind study")</f>
        <v>double-blind study</v>
      </c>
      <c r="B232" s="697"/>
      <c r="C232" s="697"/>
      <c r="D232" s="697"/>
      <c r="E232" s="697"/>
      <c r="F232" s="697"/>
      <c r="G232" s="697"/>
      <c r="H232" s="697"/>
      <c r="I232" s="697"/>
      <c r="J232" s="697"/>
      <c r="K232" s="697"/>
      <c r="L232" s="697"/>
      <c r="M232" s="697"/>
      <c r="N232" s="697"/>
      <c r="O232" s="697"/>
      <c r="P232" s="697"/>
      <c r="Q232" s="697"/>
      <c r="R232" s="697"/>
      <c r="S232" s="697"/>
      <c r="T232" s="697"/>
      <c r="U232" s="697"/>
      <c r="V232" s="697"/>
      <c r="W232" s="697"/>
      <c r="X232" s="697"/>
      <c r="Y232" s="697"/>
      <c r="Z232" s="863"/>
      <c r="AA232" s="697"/>
    </row>
    <row r="233">
      <c r="A233" s="697" t="str">
        <f>IFERROR(__xludf.DUMMYFUNCTION("""COMPUTED_VALUE"""),"single blind/assessor blind")</f>
        <v>single blind/assessor blind</v>
      </c>
      <c r="B233" s="697"/>
      <c r="C233" s="697"/>
      <c r="D233" s="697"/>
      <c r="E233" s="697"/>
      <c r="F233" s="697"/>
      <c r="G233" s="697"/>
      <c r="H233" s="697"/>
      <c r="I233" s="697"/>
      <c r="J233" s="697"/>
      <c r="K233" s="697"/>
      <c r="L233" s="697"/>
      <c r="M233" s="697"/>
      <c r="N233" s="697"/>
      <c r="O233" s="697"/>
      <c r="P233" s="697"/>
      <c r="Q233" s="697"/>
      <c r="R233" s="697"/>
      <c r="S233" s="697"/>
      <c r="T233" s="697"/>
      <c r="U233" s="697"/>
      <c r="V233" s="697"/>
      <c r="W233" s="697"/>
      <c r="X233" s="697"/>
      <c r="Y233" s="697"/>
      <c r="Z233" s="863"/>
      <c r="AA233" s="697"/>
    </row>
    <row r="234">
      <c r="A234" s="697" t="str">
        <f>IFERROR(__xludf.DUMMYFUNCTION("""COMPUTED_VALUE"""),"Placebo ")</f>
        <v>Placebo </v>
      </c>
      <c r="B234" s="697"/>
      <c r="C234" s="697"/>
      <c r="D234" s="697"/>
      <c r="E234" s="697"/>
      <c r="F234" s="697"/>
      <c r="G234" s="697"/>
      <c r="H234" s="697"/>
      <c r="I234" s="697"/>
      <c r="J234" s="697"/>
      <c r="K234" s="697"/>
      <c r="L234" s="697"/>
      <c r="M234" s="697"/>
      <c r="N234" s="697"/>
      <c r="O234" s="697"/>
      <c r="P234" s="697"/>
      <c r="Q234" s="697"/>
      <c r="R234" s="697"/>
      <c r="S234" s="697"/>
      <c r="T234" s="697"/>
      <c r="U234" s="697"/>
      <c r="V234" s="697"/>
      <c r="W234" s="697"/>
      <c r="X234" s="697"/>
      <c r="Y234" s="697"/>
      <c r="Z234" s="863"/>
      <c r="AA234" s="697"/>
    </row>
    <row r="235">
      <c r="A235" s="697" t="str">
        <f>IFERROR(__xludf.DUMMYFUNCTION("""COMPUTED_VALUE"""),"Sample Size: 0-100")</f>
        <v>Sample Size: 0-100</v>
      </c>
      <c r="B235" s="697"/>
      <c r="C235" s="697"/>
      <c r="D235" s="697"/>
      <c r="E235" s="697"/>
      <c r="F235" s="697"/>
      <c r="G235" s="697"/>
      <c r="H235" s="697"/>
      <c r="I235" s="697"/>
      <c r="J235" s="697"/>
      <c r="K235" s="697"/>
      <c r="L235" s="697"/>
      <c r="M235" s="697"/>
      <c r="N235" s="697"/>
      <c r="O235" s="697"/>
      <c r="P235" s="697"/>
      <c r="Q235" s="697"/>
      <c r="R235" s="697"/>
      <c r="S235" s="697"/>
      <c r="T235" s="697"/>
      <c r="U235" s="697"/>
      <c r="V235" s="697"/>
      <c r="W235" s="697"/>
      <c r="X235" s="697"/>
      <c r="Y235" s="697"/>
      <c r="Z235" s="863"/>
      <c r="AA235" s="697"/>
    </row>
    <row r="236">
      <c r="A236" s="697" t="str">
        <f>IFERROR(__xludf.DUMMYFUNCTION("""COMPUTED_VALUE"""),"Sample Size: 100-500")</f>
        <v>Sample Size: 100-500</v>
      </c>
      <c r="B236" s="697"/>
      <c r="C236" s="697"/>
      <c r="D236" s="697"/>
      <c r="E236" s="697"/>
      <c r="F236" s="697"/>
      <c r="G236" s="697"/>
      <c r="H236" s="697"/>
      <c r="I236" s="697"/>
      <c r="J236" s="697"/>
      <c r="K236" s="697"/>
      <c r="L236" s="697"/>
      <c r="M236" s="697"/>
      <c r="N236" s="697"/>
      <c r="O236" s="697"/>
      <c r="P236" s="697"/>
      <c r="Q236" s="697"/>
      <c r="R236" s="697"/>
      <c r="S236" s="697"/>
      <c r="T236" s="697"/>
      <c r="U236" s="697"/>
      <c r="V236" s="697"/>
      <c r="W236" s="697"/>
      <c r="X236" s="697"/>
      <c r="Y236" s="697"/>
      <c r="Z236" s="863"/>
      <c r="AA236" s="697"/>
    </row>
    <row r="237">
      <c r="A237" s="697" t="str">
        <f>IFERROR(__xludf.DUMMYFUNCTION("""COMPUTED_VALUE"""),"Sample Size: 500- and up")</f>
        <v>Sample Size: 500- and up</v>
      </c>
      <c r="B237" s="697"/>
      <c r="C237" s="697"/>
      <c r="D237" s="697"/>
      <c r="E237" s="697"/>
      <c r="F237" s="697"/>
      <c r="G237" s="697"/>
      <c r="H237" s="697"/>
      <c r="I237" s="697"/>
      <c r="J237" s="697"/>
      <c r="K237" s="697"/>
      <c r="L237" s="697"/>
      <c r="M237" s="697"/>
      <c r="N237" s="697"/>
      <c r="O237" s="697"/>
      <c r="P237" s="697"/>
      <c r="Q237" s="697"/>
      <c r="R237" s="697"/>
      <c r="S237" s="697"/>
      <c r="T237" s="697"/>
      <c r="U237" s="697"/>
      <c r="V237" s="697"/>
      <c r="W237" s="697"/>
      <c r="X237" s="697"/>
      <c r="Y237" s="697"/>
      <c r="Z237" s="863"/>
      <c r="AA237" s="697"/>
    </row>
    <row r="238">
      <c r="A238" s="697" t="str">
        <f>IFERROR(__xludf.DUMMYFUNCTION("""COMPUTED_VALUE"""),"Meta ")</f>
        <v>Meta </v>
      </c>
      <c r="B238" s="697"/>
      <c r="C238" s="697"/>
      <c r="D238" s="697"/>
      <c r="E238" s="697"/>
      <c r="F238" s="697"/>
      <c r="G238" s="697"/>
      <c r="H238" s="697"/>
      <c r="I238" s="697"/>
      <c r="J238" s="697"/>
      <c r="K238" s="697"/>
      <c r="L238" s="697"/>
      <c r="M238" s="697"/>
      <c r="N238" s="697"/>
      <c r="O238" s="697"/>
      <c r="P238" s="697"/>
      <c r="Q238" s="697"/>
      <c r="R238" s="697"/>
      <c r="S238" s="697"/>
      <c r="T238" s="697"/>
      <c r="U238" s="697"/>
      <c r="V238" s="697"/>
      <c r="W238" s="697"/>
      <c r="X238" s="697"/>
      <c r="Y238" s="697"/>
      <c r="Z238" s="863"/>
      <c r="AA238" s="697"/>
    </row>
    <row r="239">
      <c r="A239" s="697" t="str">
        <f>IFERROR(__xludf.DUMMYFUNCTION("""COMPUTED_VALUE"""),"Adults(older than 18) ")</f>
        <v>Adults(older than 18) </v>
      </c>
      <c r="B239" s="697"/>
      <c r="C239" s="697"/>
      <c r="D239" s="697"/>
      <c r="E239" s="697"/>
      <c r="F239" s="697"/>
      <c r="G239" s="697"/>
      <c r="H239" s="697"/>
      <c r="I239" s="697"/>
      <c r="J239" s="697"/>
      <c r="K239" s="697"/>
      <c r="L239" s="697"/>
      <c r="M239" s="697"/>
      <c r="N239" s="697"/>
      <c r="O239" s="697"/>
      <c r="P239" s="697"/>
      <c r="Q239" s="697"/>
      <c r="R239" s="697"/>
      <c r="S239" s="697"/>
      <c r="T239" s="697"/>
      <c r="U239" s="697"/>
      <c r="V239" s="697"/>
      <c r="W239" s="697"/>
      <c r="X239" s="697"/>
      <c r="Y239" s="697"/>
      <c r="Z239" s="863"/>
      <c r="AA239" s="697"/>
    </row>
    <row r="240">
      <c r="A240" s="697" t="str">
        <f>IFERROR(__xludf.DUMMYFUNCTION("""COMPUTED_VALUE"""),"School Children and Adults")</f>
        <v>School Children and Adults</v>
      </c>
      <c r="B240" s="697"/>
      <c r="C240" s="697"/>
      <c r="D240" s="697"/>
      <c r="E240" s="697"/>
      <c r="F240" s="697"/>
      <c r="G240" s="697"/>
      <c r="H240" s="697"/>
      <c r="I240" s="697"/>
      <c r="J240" s="697"/>
      <c r="K240" s="697"/>
      <c r="L240" s="697"/>
      <c r="M240" s="697"/>
      <c r="N240" s="697"/>
      <c r="O240" s="697"/>
      <c r="P240" s="697"/>
      <c r="Q240" s="697"/>
      <c r="R240" s="697"/>
      <c r="S240" s="697"/>
      <c r="T240" s="697"/>
      <c r="U240" s="697"/>
      <c r="V240" s="697"/>
      <c r="W240" s="697"/>
      <c r="X240" s="697"/>
      <c r="Y240" s="697"/>
      <c r="Z240" s="863"/>
      <c r="AA240" s="697"/>
    </row>
    <row r="241">
      <c r="A241" s="697" t="str">
        <f>IFERROR(__xludf.DUMMYFUNCTION("""COMPUTED_VALUE"""),"School Children(under 18)")</f>
        <v>School Children(under 18)</v>
      </c>
      <c r="B241" s="697"/>
      <c r="C241" s="697"/>
      <c r="D241" s="697"/>
      <c r="E241" s="697"/>
      <c r="F241" s="697"/>
      <c r="G241" s="697"/>
      <c r="H241" s="697"/>
      <c r="I241" s="697"/>
      <c r="J241" s="697"/>
      <c r="K241" s="697"/>
      <c r="L241" s="697"/>
      <c r="M241" s="697"/>
      <c r="N241" s="697"/>
      <c r="O241" s="697"/>
      <c r="P241" s="697"/>
      <c r="Q241" s="697"/>
      <c r="R241" s="697"/>
      <c r="S241" s="697"/>
      <c r="T241" s="697"/>
      <c r="U241" s="697"/>
      <c r="V241" s="697"/>
      <c r="W241" s="697"/>
      <c r="X241" s="697"/>
      <c r="Y241" s="697"/>
      <c r="Z241" s="863"/>
      <c r="AA241" s="697"/>
    </row>
    <row r="242">
      <c r="A242" s="697"/>
      <c r="B242" s="697"/>
      <c r="C242" s="697"/>
      <c r="D242" s="697"/>
      <c r="E242" s="697"/>
      <c r="F242" s="697"/>
      <c r="G242" s="697"/>
      <c r="H242" s="697"/>
      <c r="I242" s="697"/>
      <c r="J242" s="697"/>
      <c r="K242" s="697"/>
      <c r="L242" s="697"/>
      <c r="M242" s="697"/>
      <c r="N242" s="697"/>
      <c r="O242" s="697"/>
      <c r="P242" s="697"/>
      <c r="Q242" s="697"/>
      <c r="R242" s="697"/>
      <c r="S242" s="697"/>
      <c r="T242" s="697"/>
      <c r="U242" s="697"/>
      <c r="V242" s="697"/>
      <c r="W242" s="697"/>
      <c r="X242" s="697"/>
      <c r="Y242" s="697"/>
      <c r="Z242" s="863"/>
      <c r="AA242" s="697"/>
    </row>
    <row r="243">
      <c r="A243" s="697"/>
      <c r="B243" s="697"/>
      <c r="C243" s="697"/>
      <c r="D243" s="697"/>
      <c r="E243" s="697"/>
      <c r="F243" s="697"/>
      <c r="G243" s="697"/>
      <c r="H243" s="697"/>
      <c r="I243" s="697"/>
      <c r="J243" s="697"/>
      <c r="K243" s="697"/>
      <c r="L243" s="697"/>
      <c r="M243" s="697"/>
      <c r="N243" s="697"/>
      <c r="O243" s="697"/>
      <c r="P243" s="697"/>
      <c r="Q243" s="697"/>
      <c r="R243" s="697"/>
      <c r="S243" s="697"/>
      <c r="T243" s="697"/>
      <c r="U243" s="697"/>
      <c r="V243" s="697"/>
      <c r="W243" s="697"/>
      <c r="X243" s="697"/>
      <c r="Y243" s="697"/>
      <c r="Z243" s="863"/>
      <c r="AA243" s="697"/>
    </row>
    <row r="244">
      <c r="A244" s="697"/>
      <c r="B244" s="697"/>
      <c r="C244" s="697"/>
      <c r="D244" s="697"/>
      <c r="E244" s="697"/>
      <c r="F244" s="697"/>
      <c r="G244" s="697"/>
      <c r="H244" s="697"/>
      <c r="I244" s="697"/>
      <c r="J244" s="697"/>
      <c r="K244" s="697"/>
      <c r="L244" s="697"/>
      <c r="M244" s="697"/>
      <c r="N244" s="697"/>
      <c r="O244" s="697"/>
      <c r="P244" s="697"/>
      <c r="Q244" s="697"/>
      <c r="R244" s="697"/>
      <c r="S244" s="697"/>
      <c r="T244" s="697"/>
      <c r="U244" s="697"/>
      <c r="V244" s="697"/>
      <c r="W244" s="697"/>
      <c r="X244" s="697"/>
      <c r="Y244" s="697"/>
      <c r="Z244" s="863"/>
      <c r="AA244" s="697"/>
    </row>
    <row r="245">
      <c r="A245" s="697"/>
      <c r="B245" s="697"/>
      <c r="C245" s="697"/>
      <c r="D245" s="697"/>
      <c r="E245" s="697"/>
      <c r="F245" s="697"/>
      <c r="G245" s="697"/>
      <c r="H245" s="697"/>
      <c r="I245" s="697"/>
      <c r="J245" s="697"/>
      <c r="K245" s="697"/>
      <c r="L245" s="697"/>
      <c r="M245" s="697"/>
      <c r="N245" s="697"/>
      <c r="O245" s="697"/>
      <c r="P245" s="697"/>
      <c r="Q245" s="697"/>
      <c r="R245" s="697"/>
      <c r="S245" s="697"/>
      <c r="T245" s="697"/>
      <c r="U245" s="697"/>
      <c r="V245" s="697"/>
      <c r="W245" s="697"/>
      <c r="X245" s="697"/>
      <c r="Y245" s="697"/>
      <c r="Z245" s="863"/>
      <c r="AA245" s="697"/>
    </row>
    <row r="246">
      <c r="A246" s="697" t="str">
        <f>IFERROR(__xludf.DUMMYFUNCTION("""COMPUTED_VALUE"""),"MDA's below reviewed by Karenbeth + clasified as RCT: Das, Dembele, Simonsen, Bockarie MJ 1998, Ramaiah KD 2002, Dunyo, Bockarie 2007, Reddy 2000 (I believe this was a duplicate, Moulia-Pelat 1994, Glaziou 1994, Setouhy 2004, Simonsen")</f>
        <v>MDA's below reviewed by Karenbeth + clasified as RCT: Das, Dembele, Simonsen, Bockarie MJ 1998, Ramaiah KD 2002, Dunyo, Bockarie 2007, Reddy 2000 (I believe this was a duplicate, Moulia-Pelat 1994, Glaziou 1994, Setouhy 2004, Simonsen</v>
      </c>
      <c r="B246" s="697"/>
      <c r="C246" s="697"/>
      <c r="D246" s="697"/>
      <c r="E246" s="697"/>
      <c r="F246" s="697"/>
      <c r="G246" s="697"/>
      <c r="H246" s="697"/>
      <c r="I246" s="697"/>
      <c r="J246" s="697"/>
      <c r="K246" s="697"/>
      <c r="L246" s="697"/>
      <c r="M246" s="697"/>
      <c r="N246" s="697"/>
      <c r="O246" s="697"/>
      <c r="P246" s="697"/>
      <c r="Q246" s="697"/>
      <c r="R246" s="697"/>
      <c r="S246" s="697"/>
      <c r="T246" s="697"/>
      <c r="U246" s="697"/>
      <c r="V246" s="697"/>
      <c r="W246" s="697"/>
      <c r="X246" s="697"/>
      <c r="Y246" s="697"/>
      <c r="Z246" s="863"/>
      <c r="AA246" s="697"/>
    </row>
    <row r="247">
      <c r="A247" s="697"/>
      <c r="B247" s="697"/>
      <c r="C247" s="697"/>
      <c r="D247" s="697"/>
      <c r="E247" s="697"/>
      <c r="F247" s="697"/>
      <c r="G247" s="697"/>
      <c r="H247" s="697"/>
      <c r="I247" s="697"/>
      <c r="J247" s="697"/>
      <c r="K247" s="697"/>
      <c r="L247" s="697"/>
      <c r="M247" s="697"/>
      <c r="N247" s="697"/>
      <c r="O247" s="697"/>
      <c r="P247" s="697"/>
      <c r="Q247" s="697"/>
      <c r="R247" s="697"/>
      <c r="S247" s="697"/>
      <c r="T247" s="697"/>
      <c r="U247" s="697"/>
      <c r="V247" s="697"/>
      <c r="W247" s="697"/>
      <c r="X247" s="697"/>
      <c r="Y247" s="697"/>
      <c r="Z247" s="863"/>
      <c r="AA247" s="697"/>
    </row>
    <row r="248">
      <c r="A248" s="697"/>
      <c r="B248" s="697"/>
      <c r="C248" s="697"/>
      <c r="D248" s="697"/>
      <c r="E248" s="697"/>
      <c r="F248" s="697"/>
      <c r="G248" s="697"/>
      <c r="H248" s="697"/>
      <c r="I248" s="697"/>
      <c r="J248" s="697"/>
      <c r="K248" s="697"/>
      <c r="L248" s="697"/>
      <c r="M248" s="697"/>
      <c r="N248" s="697"/>
      <c r="O248" s="697"/>
      <c r="P248" s="697"/>
      <c r="Q248" s="697"/>
      <c r="R248" s="697"/>
      <c r="S248" s="697"/>
      <c r="T248" s="697"/>
      <c r="U248" s="697"/>
      <c r="V248" s="697"/>
      <c r="W248" s="697"/>
      <c r="X248" s="697"/>
      <c r="Y248" s="697"/>
      <c r="Z248" s="863"/>
      <c r="AA248" s="697"/>
    </row>
    <row r="249">
      <c r="A249" s="697"/>
      <c r="B249" s="697"/>
      <c r="C249" s="697"/>
      <c r="D249" s="697"/>
      <c r="E249" s="697"/>
      <c r="F249" s="697"/>
      <c r="G249" s="697"/>
      <c r="H249" s="697"/>
      <c r="I249" s="697"/>
      <c r="J249" s="697"/>
      <c r="K249" s="697"/>
      <c r="L249" s="697"/>
      <c r="M249" s="697"/>
      <c r="N249" s="697"/>
      <c r="O249" s="697"/>
      <c r="P249" s="697"/>
      <c r="Q249" s="697"/>
      <c r="R249" s="697"/>
      <c r="S249" s="697"/>
      <c r="T249" s="697"/>
      <c r="U249" s="697"/>
      <c r="V249" s="697"/>
      <c r="W249" s="697"/>
      <c r="X249" s="697"/>
      <c r="Y249" s="697"/>
      <c r="Z249" s="863"/>
      <c r="AA249" s="697"/>
    </row>
    <row r="250">
      <c r="A250" s="697"/>
      <c r="B250" s="697"/>
      <c r="C250" s="697"/>
      <c r="D250" s="697"/>
      <c r="E250" s="697"/>
      <c r="F250" s="697"/>
      <c r="G250" s="697"/>
      <c r="H250" s="697"/>
      <c r="I250" s="697"/>
      <c r="J250" s="697"/>
      <c r="K250" s="697"/>
      <c r="L250" s="697"/>
      <c r="M250" s="697"/>
      <c r="N250" s="697"/>
      <c r="O250" s="697"/>
      <c r="P250" s="697"/>
      <c r="Q250" s="697"/>
      <c r="R250" s="697"/>
      <c r="S250" s="697"/>
      <c r="T250" s="697"/>
      <c r="U250" s="697"/>
      <c r="V250" s="697"/>
      <c r="W250" s="697"/>
      <c r="X250" s="697"/>
      <c r="Y250" s="697"/>
      <c r="Z250" s="863"/>
      <c r="AA250" s="697"/>
    </row>
    <row r="251">
      <c r="A251" s="697"/>
      <c r="B251" s="697"/>
      <c r="C251" s="697"/>
      <c r="D251" s="697"/>
      <c r="E251" s="697"/>
      <c r="F251" s="697"/>
      <c r="G251" s="697"/>
      <c r="H251" s="697"/>
      <c r="I251" s="697"/>
      <c r="J251" s="697"/>
      <c r="K251" s="697"/>
      <c r="L251" s="697"/>
      <c r="M251" s="697"/>
      <c r="N251" s="697"/>
      <c r="O251" s="697"/>
      <c r="P251" s="697"/>
      <c r="Q251" s="697"/>
      <c r="R251" s="697"/>
      <c r="S251" s="697"/>
      <c r="T251" s="697"/>
      <c r="U251" s="697"/>
      <c r="V251" s="697"/>
      <c r="W251" s="697"/>
      <c r="X251" s="697"/>
      <c r="Y251" s="697"/>
      <c r="Z251" s="863"/>
      <c r="AA251" s="697"/>
    </row>
    <row r="252">
      <c r="A252" s="697"/>
      <c r="B252" s="697"/>
      <c r="C252" s="697"/>
      <c r="D252" s="697"/>
      <c r="E252" s="697"/>
      <c r="F252" s="697"/>
      <c r="G252" s="697"/>
      <c r="H252" s="697"/>
      <c r="I252" s="697"/>
      <c r="J252" s="697"/>
      <c r="K252" s="697"/>
      <c r="L252" s="697"/>
      <c r="M252" s="697"/>
      <c r="N252" s="697"/>
      <c r="O252" s="697"/>
      <c r="P252" s="697"/>
      <c r="Q252" s="697"/>
      <c r="R252" s="697"/>
      <c r="S252" s="697"/>
      <c r="T252" s="697"/>
      <c r="U252" s="697"/>
      <c r="V252" s="697"/>
      <c r="W252" s="697"/>
      <c r="X252" s="697"/>
      <c r="Y252" s="697"/>
      <c r="Z252" s="863"/>
      <c r="AA252" s="697"/>
    </row>
    <row r="253">
      <c r="A253" s="697"/>
      <c r="B253" s="697"/>
      <c r="C253" s="697"/>
      <c r="D253" s="697"/>
      <c r="E253" s="697"/>
      <c r="F253" s="697"/>
      <c r="G253" s="697"/>
      <c r="H253" s="697"/>
      <c r="I253" s="697"/>
      <c r="J253" s="697"/>
      <c r="K253" s="697"/>
      <c r="L253" s="697"/>
      <c r="M253" s="697"/>
      <c r="N253" s="697"/>
      <c r="O253" s="697"/>
      <c r="P253" s="697"/>
      <c r="Q253" s="697"/>
      <c r="R253" s="697"/>
      <c r="S253" s="697"/>
      <c r="T253" s="697"/>
      <c r="U253" s="697"/>
      <c r="V253" s="697"/>
      <c r="W253" s="697"/>
      <c r="X253" s="697"/>
      <c r="Y253" s="697"/>
      <c r="Z253" s="863"/>
      <c r="AA253" s="697"/>
    </row>
    <row r="254">
      <c r="A254" s="697"/>
      <c r="B254" s="697"/>
      <c r="C254" s="697"/>
      <c r="D254" s="697"/>
      <c r="E254" s="697"/>
      <c r="F254" s="697"/>
      <c r="G254" s="697"/>
      <c r="H254" s="697"/>
      <c r="I254" s="697"/>
      <c r="J254" s="697"/>
      <c r="K254" s="697"/>
      <c r="L254" s="697"/>
      <c r="M254" s="697"/>
      <c r="N254" s="697"/>
      <c r="O254" s="697"/>
      <c r="P254" s="697"/>
      <c r="Q254" s="697"/>
      <c r="R254" s="697"/>
      <c r="S254" s="697"/>
      <c r="T254" s="697"/>
      <c r="U254" s="697"/>
      <c r="V254" s="697"/>
      <c r="W254" s="697"/>
      <c r="X254" s="697"/>
      <c r="Y254" s="697"/>
      <c r="Z254" s="863"/>
      <c r="AA254" s="697"/>
    </row>
    <row r="255">
      <c r="A255" s="697"/>
      <c r="B255" s="697"/>
      <c r="C255" s="697"/>
      <c r="D255" s="697"/>
      <c r="E255" s="697"/>
      <c r="F255" s="697"/>
      <c r="G255" s="697"/>
      <c r="H255" s="697"/>
      <c r="I255" s="697"/>
      <c r="J255" s="697"/>
      <c r="K255" s="697"/>
      <c r="L255" s="697"/>
      <c r="M255" s="697"/>
      <c r="N255" s="697"/>
      <c r="O255" s="697"/>
      <c r="P255" s="697"/>
      <c r="Q255" s="697"/>
      <c r="R255" s="697"/>
      <c r="S255" s="697"/>
      <c r="T255" s="697"/>
      <c r="U255" s="697"/>
      <c r="V255" s="697"/>
      <c r="W255" s="697"/>
      <c r="X255" s="697"/>
      <c r="Y255" s="697"/>
      <c r="Z255" s="863"/>
      <c r="AA255" s="697"/>
    </row>
    <row r="256">
      <c r="A256" s="697"/>
      <c r="B256" s="697"/>
      <c r="C256" s="697"/>
      <c r="D256" s="697"/>
      <c r="E256" s="697"/>
      <c r="F256" s="697"/>
      <c r="G256" s="697"/>
      <c r="H256" s="697"/>
      <c r="I256" s="697"/>
      <c r="J256" s="697"/>
      <c r="K256" s="697"/>
      <c r="L256" s="697"/>
      <c r="M256" s="697"/>
      <c r="N256" s="697"/>
      <c r="O256" s="697"/>
      <c r="P256" s="697"/>
      <c r="Q256" s="697"/>
      <c r="R256" s="697"/>
      <c r="S256" s="697"/>
      <c r="T256" s="697"/>
      <c r="U256" s="697"/>
      <c r="V256" s="697"/>
      <c r="W256" s="697"/>
      <c r="X256" s="697"/>
      <c r="Y256" s="697"/>
      <c r="Z256" s="863"/>
      <c r="AA256" s="697"/>
    </row>
    <row r="257">
      <c r="A257" s="697" t="str">
        <f>IFERROR(__xludf.DUMMYFUNCTION("""COMPUTED_VALUE"""),"MDA studies")</f>
        <v>MDA studies</v>
      </c>
      <c r="B257" s="697"/>
      <c r="C257" s="697"/>
      <c r="D257" s="697"/>
      <c r="E257" s="697"/>
      <c r="F257" s="697"/>
      <c r="G257" s="697"/>
      <c r="H257" s="697"/>
      <c r="I257" s="697"/>
      <c r="J257" s="697"/>
      <c r="K257" s="697"/>
      <c r="L257" s="697"/>
      <c r="M257" s="697"/>
      <c r="N257" s="697"/>
      <c r="O257" s="697"/>
      <c r="P257" s="697"/>
      <c r="Q257" s="697"/>
      <c r="R257" s="697"/>
      <c r="S257" s="697"/>
      <c r="T257" s="697"/>
      <c r="U257" s="697"/>
      <c r="V257" s="697"/>
      <c r="W257" s="697"/>
      <c r="X257" s="697"/>
      <c r="Y257" s="697"/>
      <c r="Z257" s="863"/>
      <c r="AA257" s="697"/>
    </row>
    <row r="258">
      <c r="A258" s="697" t="str">
        <f>IFERROR(__xludf.DUMMYFUNCTION("""COMPUTED_VALUE"""),"Bhumiratana, 2004")</f>
        <v>Bhumiratana, 2004</v>
      </c>
      <c r="B258" s="697" t="str">
        <f>IFERROR(__xludf.DUMMYFUNCTION("""COMPUTED_VALUE"""),"Chung Soo")</f>
        <v>Chung Soo</v>
      </c>
      <c r="C258" s="697" t="str">
        <f>IFERROR(__xludf.DUMMYFUNCTION("""COMPUTED_VALUE"""),"Mahvish")</f>
        <v>Mahvish</v>
      </c>
      <c r="D258" s="697" t="str">
        <f>IFERROR(__xludf.DUMMYFUNCTION("""COMPUTED_VALUE"""),"Thailand")</f>
        <v>Thailand</v>
      </c>
      <c r="E258" s="697" t="str">
        <f>IFERROR(__xludf.DUMMYFUNCTION("""COMPUTED_VALUE"""),"W. bancrofti")</f>
        <v>W. bancrofti</v>
      </c>
      <c r="F258" s="697" t="str">
        <f>IFERROR(__xludf.DUMMYFUNCTION("""COMPUTED_VALUE"""),"DEC")</f>
        <v>DEC</v>
      </c>
      <c r="G258" s="697" t="str">
        <f>IFERROR(__xludf.DUMMYFUNCTION("""COMPUTED_VALUE"""),"300mg")</f>
        <v>300mg</v>
      </c>
      <c r="H258" s="697" t="str">
        <f>IFERROR(__xludf.DUMMYFUNCTION("""COMPUTED_VALUE"""),"single dose")</f>
        <v>single dose</v>
      </c>
      <c r="I258" s="697"/>
      <c r="J258" s="697"/>
      <c r="K258" s="697"/>
      <c r="L258" s="697">
        <f>IFERROR(__xludf.DUMMYFUNCTION("""COMPUTED_VALUE"""),87.0)</f>
        <v>87</v>
      </c>
      <c r="M258" s="697" t="str">
        <f>IFERROR(__xludf.DUMMYFUNCTION("""COMPUTED_VALUE"""),"not available")</f>
        <v>not available</v>
      </c>
      <c r="N258" s="697" t="str">
        <f>IFERROR(__xludf.DUMMYFUNCTION("""COMPUTED_VALUE"""),"not available")</f>
        <v>not available</v>
      </c>
      <c r="O258" s="697" t="str">
        <f>IFERROR(__xludf.DUMMYFUNCTION("""COMPUTED_VALUE"""),"A total of 860 adults of both sexes: 435(Southern), 338 (Central), and 87 (Northern) were given an oral dose of DEC, 300 mg FILADEC tablet (Pond’s Chemical Thailand ROP, Bangkok,Thailand).")</f>
        <v>A total of 860 adults of both sexes: 435(Southern), 338 (Central), and 87 (Northern) were given an oral dose of DEC, 300 mg FILADEC tablet (Pond’s Chemical Thailand ROP, Bangkok,Thailand).</v>
      </c>
      <c r="P258" s="697"/>
      <c r="Q258" s="697"/>
      <c r="R258" s="697"/>
      <c r="S258" s="697" t="str">
        <f>IFERROR(__xludf.DUMMYFUNCTION("""COMPUTED_VALUE"""),"2 months")</f>
        <v>2 months</v>
      </c>
      <c r="T258" s="697" t="str">
        <f>IFERROR(__xludf.DUMMYFUNCTION("""COMPUTED_VALUE"""),"unlike the CFA assays, the DEC-provocative day test is unsuitable for the diagnosis of active W. bancrofti infection in the population tested, and for gauging current infection prevalence. The treatment would likely be beneficial to reduce microfilaremia "&amp;"and antigenemia.")</f>
        <v>unlike the CFA assays, the DEC-provocative day test is unsuitable for the diagnosis of active W. bancrofti infection in the population tested, and for gauging current infection prevalence. The treatment would likely be beneficial to reduce microfilaremia and antigenemia.</v>
      </c>
      <c r="U258" s="697"/>
      <c r="V258" s="697">
        <f>IFERROR(__xludf.DUMMYFUNCTION("""COMPUTED_VALUE"""),2004.0)</f>
        <v>2004</v>
      </c>
      <c r="W258" s="697">
        <f>IFERROR(__xludf.DUMMYFUNCTION("""COMPUTED_VALUE"""),2004.0)</f>
        <v>2004</v>
      </c>
      <c r="X258" s="697"/>
      <c r="Y258" s="697"/>
      <c r="Z258" s="865" t="str">
        <f>IFERROR(__xludf.DUMMYFUNCTION("""COMPUTED_VALUE"""),"https://drive.google.com/file/d/0By3QPyQz621GaTFGc0FPVUYtMWM/view?usp=sharing")</f>
        <v>https://drive.google.com/file/d/0By3QPyQz621GaTFGc0FPVUYtMWM/view?usp=sharing</v>
      </c>
      <c r="AA258" s="697" t="str">
        <f>IFERROR(__xludf.DUMMYFUNCTION("""COMPUTED_VALUE"""),"x")</f>
        <v>x</v>
      </c>
    </row>
    <row r="259">
      <c r="A259" s="697" t="str">
        <f>IFERROR(__xludf.DUMMYFUNCTION("""COMPUTED_VALUE"""),"Bhumiratana, 2004")</f>
        <v>Bhumiratana, 2004</v>
      </c>
      <c r="B259" s="697" t="str">
        <f>IFERROR(__xludf.DUMMYFUNCTION("""COMPUTED_VALUE"""),"Chung Soo")</f>
        <v>Chung Soo</v>
      </c>
      <c r="C259" s="697" t="str">
        <f>IFERROR(__xludf.DUMMYFUNCTION("""COMPUTED_VALUE"""),"Mahvish")</f>
        <v>Mahvish</v>
      </c>
      <c r="D259" s="697" t="str">
        <f>IFERROR(__xludf.DUMMYFUNCTION("""COMPUTED_VALUE"""),"Thailand")</f>
        <v>Thailand</v>
      </c>
      <c r="E259" s="697" t="str">
        <f>IFERROR(__xludf.DUMMYFUNCTION("""COMPUTED_VALUE"""),"W. bancrofti")</f>
        <v>W. bancrofti</v>
      </c>
      <c r="F259" s="697" t="str">
        <f>IFERROR(__xludf.DUMMYFUNCTION("""COMPUTED_VALUE"""),"DEC")</f>
        <v>DEC</v>
      </c>
      <c r="G259" s="697" t="str">
        <f>IFERROR(__xludf.DUMMYFUNCTION("""COMPUTED_VALUE"""),"300mg")</f>
        <v>300mg</v>
      </c>
      <c r="H259" s="697" t="str">
        <f>IFERROR(__xludf.DUMMYFUNCTION("""COMPUTED_VALUE"""),"single dose")</f>
        <v>single dose</v>
      </c>
      <c r="I259" s="697"/>
      <c r="J259" s="697"/>
      <c r="K259" s="697"/>
      <c r="L259" s="697">
        <f>IFERROR(__xludf.DUMMYFUNCTION("""COMPUTED_VALUE"""),338.0)</f>
        <v>338</v>
      </c>
      <c r="M259" s="697" t="str">
        <f>IFERROR(__xludf.DUMMYFUNCTION("""COMPUTED_VALUE"""),"not available")</f>
        <v>not available</v>
      </c>
      <c r="N259" s="697" t="str">
        <f>IFERROR(__xludf.DUMMYFUNCTION("""COMPUTED_VALUE"""),"not available")</f>
        <v>not available</v>
      </c>
      <c r="O259" s="697" t="str">
        <f>IFERROR(__xludf.DUMMYFUNCTION("""COMPUTED_VALUE"""),"A total of 860 adults of both sexes: 435(Southern), 338 (Central), and 87 (Northern) were given an oral dose of DEC, 300 mg FILADEC tablet (Pond’s Chemical Thailand ROP, Bangkok,Thailand).")</f>
        <v>A total of 860 adults of both sexes: 435(Southern), 338 (Central), and 87 (Northern) were given an oral dose of DEC, 300 mg FILADEC tablet (Pond’s Chemical Thailand ROP, Bangkok,Thailand).</v>
      </c>
      <c r="P259" s="697"/>
      <c r="Q259" s="697"/>
      <c r="R259" s="697"/>
      <c r="S259" s="697" t="str">
        <f>IFERROR(__xludf.DUMMYFUNCTION("""COMPUTED_VALUE"""),"2 months")</f>
        <v>2 months</v>
      </c>
      <c r="T259" s="697" t="str">
        <f>IFERROR(__xludf.DUMMYFUNCTION("""COMPUTED_VALUE"""),"unlike the CFA assays, the DEC-provocative day test is unsuitable for the diagnosis of active W. bancrofti infection in the population tested, and for gauging current infection prevalence. The treatment would likely be beneficial to reduce microfilaremia "&amp;"and antigenemia.")</f>
        <v>unlike the CFA assays, the DEC-provocative day test is unsuitable for the diagnosis of active W. bancrofti infection in the population tested, and for gauging current infection prevalence. The treatment would likely be beneficial to reduce microfilaremia and antigenemia.</v>
      </c>
      <c r="U259" s="697"/>
      <c r="V259" s="697">
        <f>IFERROR(__xludf.DUMMYFUNCTION("""COMPUTED_VALUE"""),2004.0)</f>
        <v>2004</v>
      </c>
      <c r="W259" s="697">
        <f>IFERROR(__xludf.DUMMYFUNCTION("""COMPUTED_VALUE"""),2004.0)</f>
        <v>2004</v>
      </c>
      <c r="X259" s="697"/>
      <c r="Y259" s="697"/>
      <c r="Z259" s="865" t="str">
        <f>IFERROR(__xludf.DUMMYFUNCTION("""COMPUTED_VALUE"""),"https://drive.google.com/file/d/0By3QPyQz621GaTFGc0FPVUYtMWM/view?usp=sharing")</f>
        <v>https://drive.google.com/file/d/0By3QPyQz621GaTFGc0FPVUYtMWM/view?usp=sharing</v>
      </c>
      <c r="AA259" s="697" t="str">
        <f>IFERROR(__xludf.DUMMYFUNCTION("""COMPUTED_VALUE"""),"x")</f>
        <v>x</v>
      </c>
    </row>
    <row r="260">
      <c r="A260" s="697" t="str">
        <f>IFERROR(__xludf.DUMMYFUNCTION("""COMPUTED_VALUE"""),"Bhumiratana, 2004")</f>
        <v>Bhumiratana, 2004</v>
      </c>
      <c r="B260" s="697" t="str">
        <f>IFERROR(__xludf.DUMMYFUNCTION("""COMPUTED_VALUE"""),"Chung Soo")</f>
        <v>Chung Soo</v>
      </c>
      <c r="C260" s="697" t="str">
        <f>IFERROR(__xludf.DUMMYFUNCTION("""COMPUTED_VALUE"""),"Mahvish")</f>
        <v>Mahvish</v>
      </c>
      <c r="D260" s="697" t="str">
        <f>IFERROR(__xludf.DUMMYFUNCTION("""COMPUTED_VALUE"""),"Thailand")</f>
        <v>Thailand</v>
      </c>
      <c r="E260" s="697" t="str">
        <f>IFERROR(__xludf.DUMMYFUNCTION("""COMPUTED_VALUE"""),"W. bancrofti")</f>
        <v>W. bancrofti</v>
      </c>
      <c r="F260" s="697" t="str">
        <f>IFERROR(__xludf.DUMMYFUNCTION("""COMPUTED_VALUE"""),"DEC")</f>
        <v>DEC</v>
      </c>
      <c r="G260" s="697" t="str">
        <f>IFERROR(__xludf.DUMMYFUNCTION("""COMPUTED_VALUE"""),"300mg")</f>
        <v>300mg</v>
      </c>
      <c r="H260" s="697" t="str">
        <f>IFERROR(__xludf.DUMMYFUNCTION("""COMPUTED_VALUE"""),"single dose")</f>
        <v>single dose</v>
      </c>
      <c r="I260" s="697"/>
      <c r="J260" s="697"/>
      <c r="K260" s="697"/>
      <c r="L260" s="697">
        <f>IFERROR(__xludf.DUMMYFUNCTION("""COMPUTED_VALUE"""),435.0)</f>
        <v>435</v>
      </c>
      <c r="M260" s="697" t="str">
        <f>IFERROR(__xludf.DUMMYFUNCTION("""COMPUTED_VALUE"""),"not available")</f>
        <v>not available</v>
      </c>
      <c r="N260" s="697" t="str">
        <f>IFERROR(__xludf.DUMMYFUNCTION("""COMPUTED_VALUE"""),"not available")</f>
        <v>not available</v>
      </c>
      <c r="O260" s="697" t="str">
        <f>IFERROR(__xludf.DUMMYFUNCTION("""COMPUTED_VALUE"""),"A total of 860 adults of both sexes: 435(Southern), 338 (Central), and 87 (Northern) were given an oral dose of DEC, 300 mg FILADEC tablet (Pond’s Chemical Thailand ROP, Bangkok,Thailand).")</f>
        <v>A total of 860 adults of both sexes: 435(Southern), 338 (Central), and 87 (Northern) were given an oral dose of DEC, 300 mg FILADEC tablet (Pond’s Chemical Thailand ROP, Bangkok,Thailand).</v>
      </c>
      <c r="P260" s="697"/>
      <c r="Q260" s="697"/>
      <c r="R260" s="697"/>
      <c r="S260" s="697" t="str">
        <f>IFERROR(__xludf.DUMMYFUNCTION("""COMPUTED_VALUE"""),"2 months")</f>
        <v>2 months</v>
      </c>
      <c r="T260" s="697" t="str">
        <f>IFERROR(__xludf.DUMMYFUNCTION("""COMPUTED_VALUE"""),"unlike the CFA assays, the DEC-provocative day test is unsuitable for the diagnosis of active W. bancrofti infection in the population tested, and for gauging current infection prevalence. The treatment would likely be beneficial to reduce microfilaremia "&amp;"and antigenemia.")</f>
        <v>unlike the CFA assays, the DEC-provocative day test is unsuitable for the diagnosis of active W. bancrofti infection in the population tested, and for gauging current infection prevalence. The treatment would likely be beneficial to reduce microfilaremia and antigenemia.</v>
      </c>
      <c r="U260" s="697"/>
      <c r="V260" s="697">
        <f>IFERROR(__xludf.DUMMYFUNCTION("""COMPUTED_VALUE"""),2004.0)</f>
        <v>2004</v>
      </c>
      <c r="W260" s="697">
        <f>IFERROR(__xludf.DUMMYFUNCTION("""COMPUTED_VALUE"""),2004.0)</f>
        <v>2004</v>
      </c>
      <c r="X260" s="697"/>
      <c r="Y260" s="697"/>
      <c r="Z260" s="865" t="str">
        <f>IFERROR(__xludf.DUMMYFUNCTION("""COMPUTED_VALUE"""),"https://drive.google.com/file/d/0By3QPyQz621GaTFGc0FPVUYtMWM/view?usp=sharing")</f>
        <v>https://drive.google.com/file/d/0By3QPyQz621GaTFGc0FPVUYtMWM/view?usp=sharing</v>
      </c>
      <c r="AA260" s="697" t="str">
        <f>IFERROR(__xludf.DUMMYFUNCTION("""COMPUTED_VALUE"""),"x")</f>
        <v>x</v>
      </c>
    </row>
    <row r="261">
      <c r="A261" s="697" t="str">
        <f>IFERROR(__xludf.DUMMYFUNCTION("""COMPUTED_VALUE"""),"Cartel, 1992")</f>
        <v>Cartel, 1992</v>
      </c>
      <c r="B261" s="697" t="str">
        <f>IFERROR(__xludf.DUMMYFUNCTION("""COMPUTED_VALUE"""),"Chung Soo")</f>
        <v>Chung Soo</v>
      </c>
      <c r="C261" s="697" t="str">
        <f>IFERROR(__xludf.DUMMYFUNCTION("""COMPUTED_VALUE"""),"Mahvish")</f>
        <v>Mahvish</v>
      </c>
      <c r="D261" s="697" t="str">
        <f>IFERROR(__xludf.DUMMYFUNCTION("""COMPUTED_VALUE"""),"French Polynesia")</f>
        <v>French Polynesia</v>
      </c>
      <c r="E261" s="697" t="str">
        <f>IFERROR(__xludf.DUMMYFUNCTION("""COMPUTED_VALUE"""),"W. bancrofti")</f>
        <v>W. bancrofti</v>
      </c>
      <c r="F261" s="697" t="str">
        <f>IFERROR(__xludf.DUMMYFUNCTION("""COMPUTED_VALUE"""),"Ivermectin")</f>
        <v>Ivermectin</v>
      </c>
      <c r="G261" s="697" t="str">
        <f>IFERROR(__xludf.DUMMYFUNCTION("""COMPUTED_VALUE"""),"100microgram/kg")</f>
        <v>100microgram/kg</v>
      </c>
      <c r="H261" s="697" t="str">
        <f>IFERROR(__xludf.DUMMYFUNCTION("""COMPUTED_VALUE"""),"single dose")</f>
        <v>single dose</v>
      </c>
      <c r="I261" s="697"/>
      <c r="J261" s="697"/>
      <c r="K261" s="697"/>
      <c r="L261" s="697">
        <f>IFERROR(__xludf.DUMMYFUNCTION("""COMPUTED_VALUE"""),864.0)</f>
        <v>864</v>
      </c>
      <c r="M261" s="697"/>
      <c r="N261" s="697"/>
      <c r="O261" s="697"/>
      <c r="P261" s="697"/>
      <c r="Q261" s="697"/>
      <c r="R261" s="697"/>
      <c r="S261" s="697" t="str">
        <f>IFERROR(__xludf.DUMMYFUNCTION("""COMPUTED_VALUE"""),"6 months")</f>
        <v>6 months</v>
      </c>
      <c r="T261" s="697" t="str">
        <f>IFERROR(__xludf.DUMMYFUNCTION("""COMPUTED_VALUE"""),"comparison of their GMM counts before and 6 months after mass treatment indicated that treatment with a single dose of 100 ug/kg ivermectin resulted in a reduction of microfilaraemia by 69%.")</f>
        <v>comparison of their GMM counts before and 6 months after mass treatment indicated that treatment with a single dose of 100 ug/kg ivermectin resulted in a reduction of microfilaraemia by 69%.</v>
      </c>
      <c r="U261" s="697"/>
      <c r="V261" s="697"/>
      <c r="W261" s="697">
        <f>IFERROR(__xludf.DUMMYFUNCTION("""COMPUTED_VALUE"""),0.0)</f>
        <v>0</v>
      </c>
      <c r="X261" s="697" t="str">
        <f>IFERROR(__xludf.DUMMYFUNCTION("""COMPUTED_VALUE"""),"Cartel J-L, Nguyen NL, Moulia-Pelat J-P, Plichart R, Martin PMV, Spiegel A. Mass chemoprophylaxis of lymphatic filariasis with a single dose of ivermectin in a Polynesian community with a high Wuchereria bancrofti infection rate. Transactions of the Royal"&amp;" Society of Tropical Medicine and Hygiene. Oxford University Press (OUP); 1992 Sep;86(5):537–40.")</f>
        <v>Cartel J-L, Nguyen NL, Moulia-Pelat J-P, Plichart R, Martin PMV, Spiegel A. Mass chemoprophylaxis of lymphatic filariasis with a single dose of ivermectin in a Polynesian community with a high Wuchereria bancrofti infection rate. Transactions of the Royal Society of Tropical Medicine and Hygiene. Oxford University Press (OUP); 1992 Sep;86(5):537–40.</v>
      </c>
      <c r="Y261" s="697" t="str">
        <f>IFERROR(__xludf.DUMMYFUNCTION("""COMPUTED_VALUE"""),"10.1016/0035-9203(92)90098-W")</f>
        <v>10.1016/0035-9203(92)90098-W</v>
      </c>
      <c r="Z261" s="865" t="str">
        <f>IFERROR(__xludf.DUMMYFUNCTION("""COMPUTED_VALUE"""),"https://drive.google.com/file/d/0B0-pry4DSOm3QXJNVENiZGFzVkU/view?usp=sharing")</f>
        <v>https://drive.google.com/file/d/0B0-pry4DSOm3QXJNVENiZGFzVkU/view?usp=sharing</v>
      </c>
      <c r="AA261" s="697" t="str">
        <f>IFERROR(__xludf.DUMMYFUNCTION("""COMPUTED_VALUE"""),"x")</f>
        <v>x</v>
      </c>
    </row>
    <row r="262">
      <c r="A262" s="697" t="str">
        <f>IFERROR(__xludf.DUMMYFUNCTION("""COMPUTED_VALUE"""),"Chlebowsky, 1980")</f>
        <v>Chlebowsky, 1980</v>
      </c>
      <c r="B262" s="697" t="str">
        <f>IFERROR(__xludf.DUMMYFUNCTION("""COMPUTED_VALUE"""),"Chung Soo")</f>
        <v>Chung Soo</v>
      </c>
      <c r="C262" s="697" t="str">
        <f>IFERROR(__xludf.DUMMYFUNCTION("""COMPUTED_VALUE"""),"Mahvish")</f>
        <v>Mahvish</v>
      </c>
      <c r="D262" s="697" t="str">
        <f>IFERROR(__xludf.DUMMYFUNCTION("""COMPUTED_VALUE"""),"Brazil, Haiti, India, Papau New Guinea, Kenya")</f>
        <v>Brazil, Haiti, India, Papau New Guinea, Kenya</v>
      </c>
      <c r="E262" s="697" t="str">
        <f>IFERROR(__xludf.DUMMYFUNCTION("""COMPUTED_VALUE"""),"W. bancrofti")</f>
        <v>W. bancrofti</v>
      </c>
      <c r="F262" s="697" t="str">
        <f>IFERROR(__xludf.DUMMYFUNCTION("""COMPUTED_VALUE"""),"DEC &amp; Ivermectin")</f>
        <v>DEC &amp; Ivermectin</v>
      </c>
      <c r="G262" s="697"/>
      <c r="H262" s="697"/>
      <c r="I262" s="697"/>
      <c r="J262" s="697"/>
      <c r="K262" s="697"/>
      <c r="L262" s="697"/>
      <c r="M262" s="697"/>
      <c r="N262" s="697"/>
      <c r="O262" s="697"/>
      <c r="P262" s="697"/>
      <c r="Q262" s="697"/>
      <c r="R262" s="697"/>
      <c r="S262" s="697" t="str">
        <f>IFERROR(__xludf.DUMMYFUNCTION("""COMPUTED_VALUE"""),"6 months")</f>
        <v>6 months</v>
      </c>
      <c r="T262" s="697"/>
      <c r="U262" s="697"/>
      <c r="V262" s="697"/>
      <c r="W262" s="697">
        <f>IFERROR(__xludf.DUMMYFUNCTION("""COMPUTED_VALUE"""),0.0)</f>
        <v>0</v>
      </c>
      <c r="X262" s="697" t="str">
        <f>IFERROR(__xludf.DUMMYFUNCTION("""COMPUTED_VALUE"""),"Chodakewitz, J. “Ivermectin and Lymphatic Filariasis: A Clinical Update.” Parasitology Today 11.6 (1995): 233–235.")</f>
        <v>Chodakewitz, J. “Ivermectin and Lymphatic Filariasis: A Clinical Update.” Parasitology Today 11.6 (1995): 233–235.</v>
      </c>
      <c r="Y262" s="697" t="str">
        <f>IFERROR(__xludf.DUMMYFUNCTION("""COMPUTED_VALUE"""),"10.1016/0169-4758(95)80087-5")</f>
        <v>10.1016/0169-4758(95)80087-5</v>
      </c>
      <c r="Z262" s="865" t="str">
        <f>IFERROR(__xludf.DUMMYFUNCTION("""COMPUTED_VALUE"""),"https://drive.google.com/file/d/0B0-pry4DSOm3QXJ6T0d2NDRsQnc/view?usp=sharing")</f>
        <v>https://drive.google.com/file/d/0B0-pry4DSOm3QXJ6T0d2NDRsQnc/view?usp=sharing</v>
      </c>
      <c r="AA262" s="697" t="str">
        <f>IFERROR(__xludf.DUMMYFUNCTION("""COMPUTED_VALUE"""),"x")</f>
        <v>x</v>
      </c>
    </row>
    <row r="263">
      <c r="A263" s="697" t="str">
        <f>IFERROR(__xludf.DUMMYFUNCTION("""COMPUTED_VALUE"""),"Das, 2001")</f>
        <v>Das, 2001</v>
      </c>
      <c r="B263" s="697" t="str">
        <f>IFERROR(__xludf.DUMMYFUNCTION("""COMPUTED_VALUE"""),"Chung Soo")</f>
        <v>Chung Soo</v>
      </c>
      <c r="C263" s="697" t="str">
        <f>IFERROR(__xludf.DUMMYFUNCTION("""COMPUTED_VALUE"""),"Mahvish")</f>
        <v>Mahvish</v>
      </c>
      <c r="D263" s="697" t="str">
        <f>IFERROR(__xludf.DUMMYFUNCTION("""COMPUTED_VALUE"""),"India")</f>
        <v>India</v>
      </c>
      <c r="E263" s="697" t="str">
        <f>IFERROR(__xludf.DUMMYFUNCTION("""COMPUTED_VALUE"""),"W. bancrofti")</f>
        <v>W. bancrofti</v>
      </c>
      <c r="F263" s="697" t="str">
        <f>IFERROR(__xludf.DUMMYFUNCTION("""COMPUTED_VALUE"""),"DEC")</f>
        <v>DEC</v>
      </c>
      <c r="G263" s="697" t="str">
        <f>IFERROR(__xludf.DUMMYFUNCTION("""COMPUTED_VALUE"""),"6 mg/kg")</f>
        <v>6 mg/kg</v>
      </c>
      <c r="H263" s="697" t="str">
        <f>IFERROR(__xludf.DUMMYFUNCTION("""COMPUTED_VALUE"""),"4 cycles of single dose")</f>
        <v>4 cycles of single dose</v>
      </c>
      <c r="I263" s="697"/>
      <c r="J263" s="697"/>
      <c r="K263" s="697"/>
      <c r="L263" s="697"/>
      <c r="M263" s="697"/>
      <c r="N263" s="697"/>
      <c r="O263" s="697"/>
      <c r="P263" s="697" t="str">
        <f>IFERROR(__xludf.DUMMYFUNCTION("""COMPUTED_VALUE"""),"a randomized, double-blind and placebo-controlled")</f>
        <v>a randomized, double-blind and placebo-controlled</v>
      </c>
      <c r="Q263" s="697" t="str">
        <f>IFERROR(__xludf.DUMMYFUNCTION("""COMPUTED_VALUE"""),"Yes")</f>
        <v>Yes</v>
      </c>
      <c r="R263" s="697" t="str">
        <f>IFERROR(__xludf.DUMMYFUNCTION("""COMPUTED_VALUE"""),"Yes")</f>
        <v>Yes</v>
      </c>
      <c r="S263" s="697" t="str">
        <f>IFERROR(__xludf.DUMMYFUNCTION("""COMPUTED_VALUE"""),"3 years")</f>
        <v>3 years</v>
      </c>
      <c r="T263" s="697" t="str">
        <f>IFERROR(__xludf.DUMMYFUNCTION("""COMPUTED_VALUE"""),"repeated community-wide treatment with single-dose ivermectin or DEC can reduce levels of IV. bancrofti microfilaraemia and, most importantly, reduce the infectivity of culicine vectors and presumably transmission.")</f>
        <v>repeated community-wide treatment with single-dose ivermectin or DEC can reduce levels of IV. bancrofti microfilaraemia and, most importantly, reduce the infectivity of culicine vectors and presumably transmission.</v>
      </c>
      <c r="U263" s="697"/>
      <c r="V263" s="697" t="str">
        <f>IFERROR(__xludf.DUMMYFUNCTION("""COMPUTED_VALUE"""),"1994-1998")</f>
        <v>1994-1998</v>
      </c>
      <c r="W263" s="697">
        <f>IFERROR(__xludf.DUMMYFUNCTION("""COMPUTED_VALUE"""),1998.0)</f>
        <v>1998</v>
      </c>
      <c r="X263" s="697" t="str">
        <f>IFERROR(__xludf.DUMMYFUNCTION("""COMPUTED_VALUE"""),"Das PK, Ramaiah KD, Vanamail P, Pani SP, Yuvaraj J, Balarajan K, et al. Placebo-controlled community trial of four cycles of single-dose diethylcarbamazine or ivermectin against Wuchereria bancrofti infection and transmission in India. Transactions of the"&amp;" Royal Society of Tropical Medicine and Hygiene. Oxford University Press (OUP); 2001 May;95(3):336–41.:")</f>
        <v>Das PK, Ramaiah KD, Vanamail P, Pani SP, Yuvaraj J, Balarajan K, et al. Placebo-controlled community trial of four cycles of single-dose diethylcarbamazine or ivermectin against Wuchereria bancrofti infection and transmission in India. Transactions of the Royal Society of Tropical Medicine and Hygiene. Oxford University Press (OUP); 2001 May;95(3):336–41.:</v>
      </c>
      <c r="Y263" s="697" t="str">
        <f>IFERROR(__xludf.DUMMYFUNCTION("""COMPUTED_VALUE"""),"10.1016/S0035-9203(01)90260-3")</f>
        <v>10.1016/S0035-9203(01)90260-3</v>
      </c>
      <c r="Z263" s="865" t="str">
        <f>IFERROR(__xludf.DUMMYFUNCTION("""COMPUTED_VALUE"""),"https://drive.google.com/file/d/0By3QPyQz621GUENjZXhDc29zODQ/view?usp=sharing")</f>
        <v>https://drive.google.com/file/d/0By3QPyQz621GUENjZXhDc29zODQ/view?usp=sharing</v>
      </c>
      <c r="AA263" s="697"/>
    </row>
    <row r="264">
      <c r="A264" s="697" t="str">
        <f>IFERROR(__xludf.DUMMYFUNCTION("""COMPUTED_VALUE"""),"Das, 2001")</f>
        <v>Das, 2001</v>
      </c>
      <c r="B264" s="697" t="str">
        <f>IFERROR(__xludf.DUMMYFUNCTION("""COMPUTED_VALUE"""),"Chung Soo")</f>
        <v>Chung Soo</v>
      </c>
      <c r="C264" s="697" t="str">
        <f>IFERROR(__xludf.DUMMYFUNCTION("""COMPUTED_VALUE"""),"Mahvish")</f>
        <v>Mahvish</v>
      </c>
      <c r="D264" s="697" t="str">
        <f>IFERROR(__xludf.DUMMYFUNCTION("""COMPUTED_VALUE"""),"India")</f>
        <v>India</v>
      </c>
      <c r="E264" s="697" t="str">
        <f>IFERROR(__xludf.DUMMYFUNCTION("""COMPUTED_VALUE"""),"W. bancrofti")</f>
        <v>W. bancrofti</v>
      </c>
      <c r="F264" s="697" t="str">
        <f>IFERROR(__xludf.DUMMYFUNCTION("""COMPUTED_VALUE"""),"Ivermectin")</f>
        <v>Ivermectin</v>
      </c>
      <c r="G264" s="697" t="str">
        <f>IFERROR(__xludf.DUMMYFUNCTION("""COMPUTED_VALUE"""),"400µg/kg")</f>
        <v>400µg/kg</v>
      </c>
      <c r="H264" s="697" t="str">
        <f>IFERROR(__xludf.DUMMYFUNCTION("""COMPUTED_VALUE"""),"4 cycles of single dose")</f>
        <v>4 cycles of single dose</v>
      </c>
      <c r="I264" s="697"/>
      <c r="J264" s="697"/>
      <c r="K264" s="697"/>
      <c r="L264" s="697"/>
      <c r="M264" s="697"/>
      <c r="N264" s="697"/>
      <c r="O264" s="697"/>
      <c r="P264" s="697" t="str">
        <f>IFERROR(__xludf.DUMMYFUNCTION("""COMPUTED_VALUE"""),"a randomized, double-blind and placebo-controlled")</f>
        <v>a randomized, double-blind and placebo-controlled</v>
      </c>
      <c r="Q264" s="697" t="str">
        <f>IFERROR(__xludf.DUMMYFUNCTION("""COMPUTED_VALUE"""),"Yes")</f>
        <v>Yes</v>
      </c>
      <c r="R264" s="697" t="str">
        <f>IFERROR(__xludf.DUMMYFUNCTION("""COMPUTED_VALUE"""),"Yes")</f>
        <v>Yes</v>
      </c>
      <c r="S264" s="697" t="str">
        <f>IFERROR(__xludf.DUMMYFUNCTION("""COMPUTED_VALUE"""),"3 years")</f>
        <v>3 years</v>
      </c>
      <c r="T264" s="697" t="str">
        <f>IFERROR(__xludf.DUMMYFUNCTION("""COMPUTED_VALUE"""),"repeated community-wide treatment with single-dose ivermectin or DEC can reduce levels of IV. bancrofti microfilaraemia and, most importantly, reduce the infectivity of culicine vectors and presumably transmission.")</f>
        <v>repeated community-wide treatment with single-dose ivermectin or DEC can reduce levels of IV. bancrofti microfilaraemia and, most importantly, reduce the infectivity of culicine vectors and presumably transmission.</v>
      </c>
      <c r="U264" s="697"/>
      <c r="V264" s="697" t="str">
        <f>IFERROR(__xludf.DUMMYFUNCTION("""COMPUTED_VALUE"""),"1994-1998")</f>
        <v>1994-1998</v>
      </c>
      <c r="W264" s="697">
        <f>IFERROR(__xludf.DUMMYFUNCTION("""COMPUTED_VALUE"""),1998.0)</f>
        <v>1998</v>
      </c>
      <c r="X264" s="697" t="str">
        <f>IFERROR(__xludf.DUMMYFUNCTION("""COMPUTED_VALUE"""),"Das PK, Ramaiah KD, Vanamail P, Pani SP, Yuvaraj J, Balarajan K, et al. Placebo-controlled community trial of four cycles of single-dose diethylcarbamazine or ivermectin against Wuchereria bancrofti infection and transmission in India. Transactions of the"&amp;" Royal Society of Tropical Medicine and Hygiene. Oxford University Press (OUP); 2001 May;95(3):336–41.:")</f>
        <v>Das PK, Ramaiah KD, Vanamail P, Pani SP, Yuvaraj J, Balarajan K, et al. Placebo-controlled community trial of four cycles of single-dose diethylcarbamazine or ivermectin against Wuchereria bancrofti infection and transmission in India. Transactions of the Royal Society of Tropical Medicine and Hygiene. Oxford University Press (OUP); 2001 May;95(3):336–41.:</v>
      </c>
      <c r="Y264" s="697" t="str">
        <f>IFERROR(__xludf.DUMMYFUNCTION("""COMPUTED_VALUE"""),"10.1016/S0035-9203(01)90260-3")</f>
        <v>10.1016/S0035-9203(01)90260-3</v>
      </c>
      <c r="Z264" s="865" t="str">
        <f>IFERROR(__xludf.DUMMYFUNCTION("""COMPUTED_VALUE"""),"https://drive.google.com/file/d/0By3QPyQz621GUENjZXhDc29zODQ/view?usp=sharing")</f>
        <v>https://drive.google.com/file/d/0By3QPyQz621GUENjZXhDc29zODQ/view?usp=sharing</v>
      </c>
      <c r="AA264" s="697"/>
    </row>
    <row r="265">
      <c r="A265" s="697" t="str">
        <f>IFERROR(__xludf.DUMMYFUNCTION("""COMPUTED_VALUE"""),"Das, 2001")</f>
        <v>Das, 2001</v>
      </c>
      <c r="B265" s="697" t="str">
        <f>IFERROR(__xludf.DUMMYFUNCTION("""COMPUTED_VALUE"""),"Chung Soo")</f>
        <v>Chung Soo</v>
      </c>
      <c r="C265" s="697" t="str">
        <f>IFERROR(__xludf.DUMMYFUNCTION("""COMPUTED_VALUE"""),"Mahvish")</f>
        <v>Mahvish</v>
      </c>
      <c r="D265" s="697" t="str">
        <f>IFERROR(__xludf.DUMMYFUNCTION("""COMPUTED_VALUE"""),"India")</f>
        <v>India</v>
      </c>
      <c r="E265" s="697" t="str">
        <f>IFERROR(__xludf.DUMMYFUNCTION("""COMPUTED_VALUE"""),"W. bancrofti")</f>
        <v>W. bancrofti</v>
      </c>
      <c r="F265" s="697" t="str">
        <f>IFERROR(__xludf.DUMMYFUNCTION("""COMPUTED_VALUE"""),"Placebo")</f>
        <v>Placebo</v>
      </c>
      <c r="G265" s="697" t="str">
        <f>IFERROR(__xludf.DUMMYFUNCTION("""COMPUTED_VALUE"""),"casein placebo")</f>
        <v>casein placebo</v>
      </c>
      <c r="H265" s="697" t="str">
        <f>IFERROR(__xludf.DUMMYFUNCTION("""COMPUTED_VALUE"""),"4 cycles of single dose")</f>
        <v>4 cycles of single dose</v>
      </c>
      <c r="I265" s="697"/>
      <c r="J265" s="697"/>
      <c r="K265" s="697"/>
      <c r="L265" s="697"/>
      <c r="M265" s="697"/>
      <c r="N265" s="697"/>
      <c r="O265" s="697"/>
      <c r="P265" s="697" t="str">
        <f>IFERROR(__xludf.DUMMYFUNCTION("""COMPUTED_VALUE"""),"a randomized, double-blind and placebo-controlled")</f>
        <v>a randomized, double-blind and placebo-controlled</v>
      </c>
      <c r="Q265" s="697" t="str">
        <f>IFERROR(__xludf.DUMMYFUNCTION("""COMPUTED_VALUE"""),"Yes")</f>
        <v>Yes</v>
      </c>
      <c r="R265" s="697" t="str">
        <f>IFERROR(__xludf.DUMMYFUNCTION("""COMPUTED_VALUE"""),"Yes")</f>
        <v>Yes</v>
      </c>
      <c r="S265" s="697" t="str">
        <f>IFERROR(__xludf.DUMMYFUNCTION("""COMPUTED_VALUE"""),"3 years")</f>
        <v>3 years</v>
      </c>
      <c r="T265" s="697" t="str">
        <f>IFERROR(__xludf.DUMMYFUNCTION("""COMPUTED_VALUE"""),"repeated community-wide treatment with single-dose ivermectin or DEC can reduce levels of IV. bancrofti microfilaraemia and, most importantly, reduce the infectivity of culicine vectors and presumably transmission.")</f>
        <v>repeated community-wide treatment with single-dose ivermectin or DEC can reduce levels of IV. bancrofti microfilaraemia and, most importantly, reduce the infectivity of culicine vectors and presumably transmission.</v>
      </c>
      <c r="U265" s="697"/>
      <c r="V265" s="697" t="str">
        <f>IFERROR(__xludf.DUMMYFUNCTION("""COMPUTED_VALUE"""),"1994-1998")</f>
        <v>1994-1998</v>
      </c>
      <c r="W265" s="697">
        <f>IFERROR(__xludf.DUMMYFUNCTION("""COMPUTED_VALUE"""),1998.0)</f>
        <v>1998</v>
      </c>
      <c r="X265" s="697" t="str">
        <f>IFERROR(__xludf.DUMMYFUNCTION("""COMPUTED_VALUE"""),"Das PK, Ramaiah KD, Vanamail P, Pani SP, Yuvaraj J, Balarajan K, et al. Placebo-controlled community trial of four cycles of single-dose diethylcarbamazine or ivermectin against Wuchereria bancrofti infection and transmission in India. Transactions of the"&amp;" Royal Society of Tropical Medicine and Hygiene. Oxford University Press (OUP); 2001 May;95(3):336–41.:")</f>
        <v>Das PK, Ramaiah KD, Vanamail P, Pani SP, Yuvaraj J, Balarajan K, et al. Placebo-controlled community trial of four cycles of single-dose diethylcarbamazine or ivermectin against Wuchereria bancrofti infection and transmission in India. Transactions of the Royal Society of Tropical Medicine and Hygiene. Oxford University Press (OUP); 2001 May;95(3):336–41.:</v>
      </c>
      <c r="Y265" s="697" t="str">
        <f>IFERROR(__xludf.DUMMYFUNCTION("""COMPUTED_VALUE"""),"10.1016/S0035-9203(01)90260-3")</f>
        <v>10.1016/S0035-9203(01)90260-3</v>
      </c>
      <c r="Z265" s="865" t="str">
        <f>IFERROR(__xludf.DUMMYFUNCTION("""COMPUTED_VALUE"""),"https://drive.google.com/file/d/0By3QPyQz621GUENjZXhDc29zODQ/view?usp=sharing")</f>
        <v>https://drive.google.com/file/d/0By3QPyQz621GUENjZXhDc29zODQ/view?usp=sharing</v>
      </c>
      <c r="AA265" s="697"/>
    </row>
    <row r="266">
      <c r="A266" s="697" t="str">
        <f>IFERROR(__xludf.DUMMYFUNCTION("""COMPUTED_VALUE"""),"Dembele, 2010")</f>
        <v>Dembele, 2010</v>
      </c>
      <c r="B266" s="697" t="str">
        <f>IFERROR(__xludf.DUMMYFUNCTION("""COMPUTED_VALUE"""),"Chung Soo")</f>
        <v>Chung Soo</v>
      </c>
      <c r="C266" s="697" t="str">
        <f>IFERROR(__xludf.DUMMYFUNCTION("""COMPUTED_VALUE"""),"Mahvish")</f>
        <v>Mahvish</v>
      </c>
      <c r="D266" s="697" t="str">
        <f>IFERROR(__xludf.DUMMYFUNCTION("""COMPUTED_VALUE"""),"Mali")</f>
        <v>Mali</v>
      </c>
      <c r="E266" s="697" t="str">
        <f>IFERROR(__xludf.DUMMYFUNCTION("""COMPUTED_VALUE"""),"W. bancrofti")</f>
        <v>W. bancrofti</v>
      </c>
      <c r="F266" s="697" t="str">
        <f>IFERROR(__xludf.DUMMYFUNCTION("""COMPUTED_VALUE"""),"Albendazole &amp; Ivermectin")</f>
        <v>Albendazole &amp; Ivermectin</v>
      </c>
      <c r="G266" s="697" t="str">
        <f>IFERROR(__xludf.DUMMYFUNCTION("""COMPUTED_VALUE"""),"400 mg and 150 µg/kg")</f>
        <v>400 mg and 150 µg/kg</v>
      </c>
      <c r="H266" s="697" t="str">
        <f>IFERROR(__xludf.DUMMYFUNCTION("""COMPUTED_VALUE"""),"twice yearly")</f>
        <v>twice yearly</v>
      </c>
      <c r="I266" s="706">
        <f>IFERROR(__xludf.DUMMYFUNCTION("""COMPUTED_VALUE"""),1.0)</f>
        <v>1</v>
      </c>
      <c r="J266" s="697"/>
      <c r="K266" s="697"/>
      <c r="L266" s="697">
        <f>IFERROR(__xludf.DUMMYFUNCTION("""COMPUTED_VALUE"""),26.0)</f>
        <v>26</v>
      </c>
      <c r="M266" s="697" t="str">
        <f>IFERROR(__xludf.DUMMYFUNCTION("""COMPUTED_VALUE"""),"18-62")</f>
        <v>18-62</v>
      </c>
      <c r="N266" s="867">
        <f>IFERROR(__xludf.DUMMYFUNCTION("""COMPUTED_VALUE"""),0.3020833333333333)</f>
        <v>0.3020833333</v>
      </c>
      <c r="O266" s="697" t="str">
        <f>IFERROR(__xludf.DUMMYFUNCTION("""COMPUTED_VALUE"""),"all enrolled patients had W. bancrofti microfilarial levels of 150 microfilariae/mL detected at the screening visit.")</f>
        <v>all enrolled patients had W. bancrofti microfilarial levels of 150 microfilariae/mL detected at the screening visit.</v>
      </c>
      <c r="P266" s="697" t="str">
        <f>IFERROR(__xludf.DUMMYFUNCTION("""COMPUTED_VALUE"""),"randomized")</f>
        <v>randomized</v>
      </c>
      <c r="Q266" s="697"/>
      <c r="R266" s="697"/>
      <c r="S266" s="697" t="str">
        <f>IFERROR(__xludf.DUMMYFUNCTION("""COMPUTED_VALUE"""),"24 months")</f>
        <v>24 months</v>
      </c>
      <c r="T266" s="697" t="str">
        <f>IFERROR(__xludf.DUMMYFUNCTION("""COMPUTED_VALUE"""),"increasing the dosage and frequency of albendazole-ivermectin treatment enhances suppression of microfilariae but that this effect may not be attributable to improved adulticidal activity.")</f>
        <v>increasing the dosage and frequency of albendazole-ivermectin treatment enhances suppression of microfilariae but that this effect may not be attributable to improved adulticidal activity.</v>
      </c>
      <c r="U266" s="697"/>
      <c r="V266" s="697">
        <f>IFERROR(__xludf.DUMMYFUNCTION("""COMPUTED_VALUE"""),2010.0)</f>
        <v>2010</v>
      </c>
      <c r="W266" s="697">
        <f>IFERROR(__xludf.DUMMYFUNCTION("""COMPUTED_VALUE"""),2010.0)</f>
        <v>2010</v>
      </c>
      <c r="X266" s="697" t="str">
        <f>IFERROR(__xludf.DUMMYFUNCTION("""COMPUTED_VALUE"""),"Dembele B, Coulibaly YI, Dolo H, Konate S, Coulibaly SY, Sanogo D, et al.  Use of High‐Dose, Twice‐Yearly Albendazole and Ivermectin to Suppress Wuchereria bancrofti Microfilarial Levels . CLIN INFECT DIS. Oxford University Press (OUP); 2010 Dec;51(11):12"&amp;"29–35.")</f>
        <v>Dembele B, Coulibaly YI, Dolo H, Konate S, Coulibaly SY, Sanogo D, et al.  Use of High‐Dose, Twice‐Yearly Albendazole and Ivermectin to Suppress Wuchereria bancrofti Microfilarial Levels . CLIN INFECT DIS. Oxford University Press (OUP); 2010 Dec;51(11):1229–35.</v>
      </c>
      <c r="Y266" s="697" t="str">
        <f>IFERROR(__xludf.DUMMYFUNCTION("""COMPUTED_VALUE"""),"10.1086/657063")</f>
        <v>10.1086/657063</v>
      </c>
      <c r="Z266" s="865" t="str">
        <f>IFERROR(__xludf.DUMMYFUNCTION("""COMPUTED_VALUE"""),"https://drive.google.com/file/d/0B0-pry4DSOm3U0gtTGdiVzdPa3M/view?usp=sharing")</f>
        <v>https://drive.google.com/file/d/0B0-pry4DSOm3U0gtTGdiVzdPa3M/view?usp=sharing</v>
      </c>
      <c r="AA266" s="697"/>
    </row>
    <row r="267">
      <c r="A267" s="697" t="str">
        <f>IFERROR(__xludf.DUMMYFUNCTION("""COMPUTED_VALUE"""),"Dembele, 2010")</f>
        <v>Dembele, 2010</v>
      </c>
      <c r="B267" s="697" t="str">
        <f>IFERROR(__xludf.DUMMYFUNCTION("""COMPUTED_VALUE"""),"Chung Soo")</f>
        <v>Chung Soo</v>
      </c>
      <c r="C267" s="697" t="str">
        <f>IFERROR(__xludf.DUMMYFUNCTION("""COMPUTED_VALUE"""),"Mahvish")</f>
        <v>Mahvish</v>
      </c>
      <c r="D267" s="697" t="str">
        <f>IFERROR(__xludf.DUMMYFUNCTION("""COMPUTED_VALUE"""),"Mali")</f>
        <v>Mali</v>
      </c>
      <c r="E267" s="697" t="str">
        <f>IFERROR(__xludf.DUMMYFUNCTION("""COMPUTED_VALUE"""),"W. bancrofti")</f>
        <v>W. bancrofti</v>
      </c>
      <c r="F267" s="697" t="str">
        <f>IFERROR(__xludf.DUMMYFUNCTION("""COMPUTED_VALUE"""),"Albendazole &amp; Ivermectin")</f>
        <v>Albendazole &amp; Ivermectin</v>
      </c>
      <c r="G267" s="697" t="str">
        <f>IFERROR(__xludf.DUMMYFUNCTION("""COMPUTED_VALUE"""),"800 mg and 400 µg/kg")</f>
        <v>800 mg and 400 µg/kg</v>
      </c>
      <c r="H267" s="697" t="str">
        <f>IFERROR(__xludf.DUMMYFUNCTION("""COMPUTED_VALUE"""),"twice yearly")</f>
        <v>twice yearly</v>
      </c>
      <c r="I267" s="706">
        <f>IFERROR(__xludf.DUMMYFUNCTION("""COMPUTED_VALUE"""),0.72)</f>
        <v>0.72</v>
      </c>
      <c r="J267" s="697"/>
      <c r="K267" s="697"/>
      <c r="L267" s="697">
        <f>IFERROR(__xludf.DUMMYFUNCTION("""COMPUTED_VALUE"""),25.0)</f>
        <v>25</v>
      </c>
      <c r="M267" s="697" t="str">
        <f>IFERROR(__xludf.DUMMYFUNCTION("""COMPUTED_VALUE"""),"21-59")</f>
        <v>21-59</v>
      </c>
      <c r="N267" s="867">
        <f>IFERROR(__xludf.DUMMYFUNCTION("""COMPUTED_VALUE"""),0.21875)</f>
        <v>0.21875</v>
      </c>
      <c r="O267" s="697" t="str">
        <f>IFERROR(__xludf.DUMMYFUNCTION("""COMPUTED_VALUE"""),"all enrolled patients had W. bancrofti microfilarial levels of 150 microfilariae/mL detected at the screening visit.")</f>
        <v>all enrolled patients had W. bancrofti microfilarial levels of 150 microfilariae/mL detected at the screening visit.</v>
      </c>
      <c r="P267" s="697" t="str">
        <f>IFERROR(__xludf.DUMMYFUNCTION("""COMPUTED_VALUE"""),"randomized")</f>
        <v>randomized</v>
      </c>
      <c r="Q267" s="697"/>
      <c r="R267" s="697"/>
      <c r="S267" s="697" t="str">
        <f>IFERROR(__xludf.DUMMYFUNCTION("""COMPUTED_VALUE"""),"24 months")</f>
        <v>24 months</v>
      </c>
      <c r="T267" s="697" t="str">
        <f>IFERROR(__xludf.DUMMYFUNCTION("""COMPUTED_VALUE"""),"increasing the dosage and frequency of albendazole-ivermectin treatment enhances suppression of microfilariae but that this effect may not be attributable to improved adulticidal activity.")</f>
        <v>increasing the dosage and frequency of albendazole-ivermectin treatment enhances suppression of microfilariae but that this effect may not be attributable to improved adulticidal activity.</v>
      </c>
      <c r="U267" s="697"/>
      <c r="V267" s="697">
        <f>IFERROR(__xludf.DUMMYFUNCTION("""COMPUTED_VALUE"""),2010.0)</f>
        <v>2010</v>
      </c>
      <c r="W267" s="697">
        <f>IFERROR(__xludf.DUMMYFUNCTION("""COMPUTED_VALUE"""),2010.0)</f>
        <v>2010</v>
      </c>
      <c r="X267" s="697" t="str">
        <f>IFERROR(__xludf.DUMMYFUNCTION("""COMPUTED_VALUE"""),"Dembele B, Coulibaly YI, Dolo H, Konate S, Coulibaly SY, Sanogo D, et al.  Use of High‐Dose, Twice‐Yearly Albendazole and Ivermectin to Suppress Wuchereria bancrofti Microfilarial Levels . CLIN INFECT DIS. Oxford University Press (OUP); 2010 Dec;51(11):12"&amp;"29–35.")</f>
        <v>Dembele B, Coulibaly YI, Dolo H, Konate S, Coulibaly SY, Sanogo D, et al.  Use of High‐Dose, Twice‐Yearly Albendazole and Ivermectin to Suppress Wuchereria bancrofti Microfilarial Levels . CLIN INFECT DIS. Oxford University Press (OUP); 2010 Dec;51(11):1229–35.</v>
      </c>
      <c r="Y267" s="697" t="str">
        <f>IFERROR(__xludf.DUMMYFUNCTION("""COMPUTED_VALUE"""),"10.1086/657063")</f>
        <v>10.1086/657063</v>
      </c>
      <c r="Z267" s="865" t="str">
        <f>IFERROR(__xludf.DUMMYFUNCTION("""COMPUTED_VALUE"""),"https://drive.google.com/file/d/0B0-pry4DSOm3U0gtTGdiVzdPa3M/view?usp=sharing")</f>
        <v>https://drive.google.com/file/d/0B0-pry4DSOm3U0gtTGdiVzdPa3M/view?usp=sharing</v>
      </c>
      <c r="AA267" s="697"/>
    </row>
    <row r="268">
      <c r="A268" s="697" t="str">
        <f>IFERROR(__xludf.DUMMYFUNCTION("""COMPUTED_VALUE"""),"Simonsen PE, 2004")</f>
        <v>Simonsen PE, 2004</v>
      </c>
      <c r="B268" s="697"/>
      <c r="C268" s="697" t="str">
        <f>IFERROR(__xludf.DUMMYFUNCTION("""COMPUTED_VALUE"""),"Alex")</f>
        <v>Alex</v>
      </c>
      <c r="D268" s="697" t="str">
        <f>IFERROR(__xludf.DUMMYFUNCTION("""COMPUTED_VALUE"""),"Tanzania")</f>
        <v>Tanzania</v>
      </c>
      <c r="E268" s="697" t="str">
        <f>IFERROR(__xludf.DUMMYFUNCTION("""COMPUTED_VALUE"""),"W. bancrofti")</f>
        <v>W. bancrofti</v>
      </c>
      <c r="F268" s="697" t="str">
        <f>IFERROR(__xludf.DUMMYFUNCTION("""COMPUTED_VALUE"""),"Albendazole &amp; Ivermectin")</f>
        <v>Albendazole &amp; Ivermectin</v>
      </c>
      <c r="G268" s="697" t="str">
        <f>IFERROR(__xludf.DUMMYFUNCTION("""COMPUTED_VALUE"""),"400 mg albendazole, 150 to 200 μg/kg ivermectin")</f>
        <v>400 mg albendazole, 150 to 200 μg/kg ivermectin</v>
      </c>
      <c r="H268" s="697" t="str">
        <f>IFERROR(__xludf.DUMMYFUNCTION("""COMPUTED_VALUE"""),"6 months")</f>
        <v>6 months</v>
      </c>
      <c r="I268" s="706">
        <f>IFERROR(__xludf.DUMMYFUNCTION("""COMPUTED_VALUE"""),0.804)</f>
        <v>0.804</v>
      </c>
      <c r="J268" s="698">
        <f>IFERROR(__xludf.DUMMYFUNCTION("""COMPUTED_VALUE"""),0.133)</f>
        <v>0.133</v>
      </c>
      <c r="K268" s="697" t="str">
        <f>IFERROR(__xludf.DUMMYFUNCTION("""COMPUTED_VALUE"""),"not available ")</f>
        <v>not available </v>
      </c>
      <c r="L268" s="697">
        <f>IFERROR(__xludf.DUMMYFUNCTION("""COMPUTED_VALUE"""),203.0)</f>
        <v>203</v>
      </c>
      <c r="M268" s="10" t="str">
        <f>IFERROR(__xludf.DUMMYFUNCTION("""COMPUTED_VALUE"""),"6 to 18")</f>
        <v>6 to 18</v>
      </c>
      <c r="N268" s="697" t="str">
        <f>IFERROR(__xludf.DUMMYFUNCTION("""COMPUTED_VALUE"""),"55: 50")</f>
        <v>55: 50</v>
      </c>
      <c r="O268" s="697" t="str">
        <f>IFERROR(__xludf.DUMMYFUNCTION("""COMPUTED_VALUE"""),"School children aged 6 to 18 years with or without Wuchereria bancrofti")</f>
        <v>School children aged 6 to 18 years with or without Wuchereria bancrofti</v>
      </c>
      <c r="P268" s="697" t="str">
        <f>IFERROR(__xludf.DUMMYFUNCTION("""COMPUTED_VALUE"""),"randomized double-blind field trial")</f>
        <v>randomized double-blind field trial</v>
      </c>
      <c r="Q268" s="697" t="str">
        <f>IFERROR(__xludf.DUMMYFUNCTION("""COMPUTED_VALUE"""),"Yes")</f>
        <v>Yes</v>
      </c>
      <c r="R268" s="697" t="str">
        <f>IFERROR(__xludf.DUMMYFUNCTION("""COMPUTED_VALUE"""),"Yes")</f>
        <v>Yes</v>
      </c>
      <c r="S268" s="697" t="str">
        <f>IFERROR(__xludf.DUMMYFUNCTION("""COMPUTED_VALUE"""),"12 months ")</f>
        <v>12 months </v>
      </c>
      <c r="T268" s="697"/>
      <c r="U268" s="697" t="str">
        <f>IFERROR(__xludf.DUMMYFUNCTION("""COMPUTED_VALUE"""),"1829, of which 1221 (67%) followed up; 103 had mf")</f>
        <v>1829, of which 1221 (67%) followed up; 103 had mf</v>
      </c>
      <c r="V268" s="697">
        <f>IFERROR(__xludf.DUMMYFUNCTION("""COMPUTED_VALUE"""),2004.0)</f>
        <v>2004</v>
      </c>
      <c r="W268" s="697">
        <f>IFERROR(__xludf.DUMMYFUNCTION("""COMPUTED_VALUE"""),2004.0)</f>
        <v>2004</v>
      </c>
      <c r="X268" s="697" t="str">
        <f>IFERROR(__xludf.DUMMYFUNCTION("""COMPUTED_VALUE"""),"Simonsen PE, Magesa SM, Dunyo SK, Malecela-Lazaro MN, Michael E. The effect of single dose ivermectin alone or in combination with albendazole on Wuchereria bancrofti infection in primary school children in Tanzania. Transactions of the Royal Soceity of T"&amp;"ropical Medicine and Hygiene 2004;98(8):462–72.")</f>
        <v>Simonsen PE, Magesa SM, Dunyo SK, Malecela-Lazaro MN, Michael E. The effect of single dose ivermectin alone or in combination with albendazole on Wuchereria bancrofti infection in primary school children in Tanzania. Transactions of the Royal Soceity of Tropical Medicine and Hygiene 2004;98(8):462–72.</v>
      </c>
      <c r="Y268" s="697"/>
      <c r="Z268" s="865" t="str">
        <f>IFERROR(__xludf.DUMMYFUNCTION("""COMPUTED_VALUE"""),"https://drive.google.com/file/d/0B9vYgR7NsKoYajB1aHBEckV5anM/view?usp=sharing")</f>
        <v>https://drive.google.com/file/d/0B9vYgR7NsKoYajB1aHBEckV5anM/view?usp=sharing</v>
      </c>
      <c r="AA268" s="697"/>
    </row>
    <row r="269">
      <c r="A269" s="697" t="str">
        <f>IFERROR(__xludf.DUMMYFUNCTION("""COMPUTED_VALUE"""),"Simonsen PE, 2005")</f>
        <v>Simonsen PE, 2005</v>
      </c>
      <c r="B269" s="697"/>
      <c r="C269" s="697" t="str">
        <f>IFERROR(__xludf.DUMMYFUNCTION("""COMPUTED_VALUE"""),"Alex")</f>
        <v>Alex</v>
      </c>
      <c r="D269" s="697" t="str">
        <f>IFERROR(__xludf.DUMMYFUNCTION("""COMPUTED_VALUE"""),"Tanzania")</f>
        <v>Tanzania</v>
      </c>
      <c r="E269" s="697" t="str">
        <f>IFERROR(__xludf.DUMMYFUNCTION("""COMPUTED_VALUE"""),"W. bancrofti")</f>
        <v>W. bancrofti</v>
      </c>
      <c r="F269" s="697" t="str">
        <f>IFERROR(__xludf.DUMMYFUNCTION("""COMPUTED_VALUE"""),"Albendazole &amp; Ivermectin")</f>
        <v>Albendazole &amp; Ivermectin</v>
      </c>
      <c r="G269" s="697" t="str">
        <f>IFERROR(__xludf.DUMMYFUNCTION("""COMPUTED_VALUE"""),"401 mg albendazole, 150 to 200 μg/kg ivermectin")</f>
        <v>401 mg albendazole, 150 to 200 μg/kg ivermectin</v>
      </c>
      <c r="H269" s="697" t="str">
        <f>IFERROR(__xludf.DUMMYFUNCTION("""COMPUTED_VALUE"""),"12 months")</f>
        <v>12 months</v>
      </c>
      <c r="I269" s="697" t="str">
        <f>IFERROR(__xludf.DUMMYFUNCTION("""COMPUTED_VALUE"""),"83.6%%")</f>
        <v>83.6%%</v>
      </c>
      <c r="J269" s="698">
        <f>IFERROR(__xludf.DUMMYFUNCTION("""COMPUTED_VALUE"""),0.255)</f>
        <v>0.255</v>
      </c>
      <c r="K269" s="697" t="str">
        <f>IFERROR(__xludf.DUMMYFUNCTION("""COMPUTED_VALUE"""),"not available ")</f>
        <v>not available </v>
      </c>
      <c r="L269" s="697">
        <f>IFERROR(__xludf.DUMMYFUNCTION("""COMPUTED_VALUE"""),203.0)</f>
        <v>203</v>
      </c>
      <c r="M269" s="10" t="str">
        <f>IFERROR(__xludf.DUMMYFUNCTION("""COMPUTED_VALUE"""),"6 to 18")</f>
        <v>6 to 18</v>
      </c>
      <c r="N269" s="870">
        <f>IFERROR(__xludf.DUMMYFUNCTION("""COMPUTED_VALUE"""),2.326388888888889)</f>
        <v>2.326388889</v>
      </c>
      <c r="O269" s="697" t="str">
        <f>IFERROR(__xludf.DUMMYFUNCTION("""COMPUTED_VALUE"""),"School children aged 6 to 18 years with or without Wuchereria bancrofti")</f>
        <v>School children aged 6 to 18 years with or without Wuchereria bancrofti</v>
      </c>
      <c r="P269" s="697" t="str">
        <f>IFERROR(__xludf.DUMMYFUNCTION("""COMPUTED_VALUE"""),"randomized double-blind field trial")</f>
        <v>randomized double-blind field trial</v>
      </c>
      <c r="Q269" s="697" t="str">
        <f>IFERROR(__xludf.DUMMYFUNCTION("""COMPUTED_VALUE"""),"Yes")</f>
        <v>Yes</v>
      </c>
      <c r="R269" s="697" t="str">
        <f>IFERROR(__xludf.DUMMYFUNCTION("""COMPUTED_VALUE"""),"Yes")</f>
        <v>Yes</v>
      </c>
      <c r="S269" s="697" t="str">
        <f>IFERROR(__xludf.DUMMYFUNCTION("""COMPUTED_VALUE"""),"12 months")</f>
        <v>12 months</v>
      </c>
      <c r="T269" s="697"/>
      <c r="U269" s="697" t="str">
        <f>IFERROR(__xludf.DUMMYFUNCTION("""COMPUTED_VALUE"""),"1829, of which 1221 (67%) followed up; 103 had mf")</f>
        <v>1829, of which 1221 (67%) followed up; 103 had mf</v>
      </c>
      <c r="V269" s="697">
        <f>IFERROR(__xludf.DUMMYFUNCTION("""COMPUTED_VALUE"""),2004.0)</f>
        <v>2004</v>
      </c>
      <c r="W269" s="697">
        <f>IFERROR(__xludf.DUMMYFUNCTION("""COMPUTED_VALUE"""),2004.0)</f>
        <v>2004</v>
      </c>
      <c r="X269" s="697" t="str">
        <f>IFERROR(__xludf.DUMMYFUNCTION("""COMPUTED_VALUE"""),"Simonsen PE, Magesa SM, Dunyo SK, Malecela-Lazaro MN, Michael E. The effect of single dose ivermectin alone or in combination with albendazole on Wuchereria bancrofti infection in primary school children in Tanzania. Transactions of the Royal Soceity of T"&amp;"ropical Medicine and Hygiene 2004;98(8):462–72.")</f>
        <v>Simonsen PE, Magesa SM, Dunyo SK, Malecela-Lazaro MN, Michael E. The effect of single dose ivermectin alone or in combination with albendazole on Wuchereria bancrofti infection in primary school children in Tanzania. Transactions of the Royal Soceity of Tropical Medicine and Hygiene 2004;98(8):462–72.</v>
      </c>
      <c r="Y269" s="697"/>
      <c r="Z269" s="865" t="str">
        <f>IFERROR(__xludf.DUMMYFUNCTION("""COMPUTED_VALUE"""),"https://drive.google.com/file/d/0B9vYgR7NsKoYajB1aHBEckV5anM/view?usp=sharing")</f>
        <v>https://drive.google.com/file/d/0B9vYgR7NsKoYajB1aHBEckV5anM/view?usp=sharing</v>
      </c>
      <c r="AA269" s="697"/>
    </row>
    <row r="270">
      <c r="A270" s="697" t="str">
        <f>IFERROR(__xludf.DUMMYFUNCTION("""COMPUTED_VALUE"""),"Simonsen PE, 2004")</f>
        <v>Simonsen PE, 2004</v>
      </c>
      <c r="B270" s="697"/>
      <c r="C270" s="697" t="str">
        <f>IFERROR(__xludf.DUMMYFUNCTION("""COMPUTED_VALUE"""),"Alex")</f>
        <v>Alex</v>
      </c>
      <c r="D270" s="697" t="str">
        <f>IFERROR(__xludf.DUMMYFUNCTION("""COMPUTED_VALUE"""),"Tanzania")</f>
        <v>Tanzania</v>
      </c>
      <c r="E270" s="697" t="str">
        <f>IFERROR(__xludf.DUMMYFUNCTION("""COMPUTED_VALUE"""),"W. bancrofti")</f>
        <v>W. bancrofti</v>
      </c>
      <c r="F270" s="697" t="str">
        <f>IFERROR(__xludf.DUMMYFUNCTION("""COMPUTED_VALUE"""),"Ivermectin")</f>
        <v>Ivermectin</v>
      </c>
      <c r="G270" s="697" t="str">
        <f>IFERROR(__xludf.DUMMYFUNCTION("""COMPUTED_VALUE"""),"150 to 200 μg/kg")</f>
        <v>150 to 200 μg/kg</v>
      </c>
      <c r="H270" s="697"/>
      <c r="I270" s="706" t="str">
        <f>IFERROR(__xludf.DUMMYFUNCTION("""COMPUTED_VALUE""")," 96.3% (6 months)
92.7% (12 months)")</f>
        <v> 96.3% (6 months)
92.7% (12 months)</v>
      </c>
      <c r="J270" s="697" t="str">
        <f>IFERROR(__xludf.DUMMYFUNCTION("""COMPUTED_VALUE""")," 36.2% (6 months)
 28.6% (12 months)")</f>
        <v> 36.2% (6 months)
 28.6% (12 months)</v>
      </c>
      <c r="K270" s="697" t="str">
        <f>IFERROR(__xludf.DUMMYFUNCTION("""COMPUTED_VALUE"""),"not available ")</f>
        <v>not available </v>
      </c>
      <c r="L270" s="697">
        <f>IFERROR(__xludf.DUMMYFUNCTION("""COMPUTED_VALUE"""),203.0)</f>
        <v>203</v>
      </c>
      <c r="M270" s="10" t="str">
        <f>IFERROR(__xludf.DUMMYFUNCTION("""COMPUTED_VALUE"""),"6 to 18")</f>
        <v>6 to 18</v>
      </c>
      <c r="N270" s="697" t="str">
        <f>IFERROR(__xludf.DUMMYFUNCTION("""COMPUTED_VALUE"""),"53: 45")</f>
        <v>53: 45</v>
      </c>
      <c r="O270" s="697" t="str">
        <f>IFERROR(__xludf.DUMMYFUNCTION("""COMPUTED_VALUE"""),"School children aged 6 to 18 years with or without Wuchereria bancrofti")</f>
        <v>School children aged 6 to 18 years with or without Wuchereria bancrofti</v>
      </c>
      <c r="P270" s="697" t="str">
        <f>IFERROR(__xludf.DUMMYFUNCTION("""COMPUTED_VALUE"""),"randomized double-blind field trial")</f>
        <v>randomized double-blind field trial</v>
      </c>
      <c r="Q270" s="697" t="str">
        <f>IFERROR(__xludf.DUMMYFUNCTION("""COMPUTED_VALUE"""),"Yes")</f>
        <v>Yes</v>
      </c>
      <c r="R270" s="697" t="str">
        <f>IFERROR(__xludf.DUMMYFUNCTION("""COMPUTED_VALUE"""),"Yes")</f>
        <v>Yes</v>
      </c>
      <c r="S270" s="697" t="str">
        <f>IFERROR(__xludf.DUMMYFUNCTION("""COMPUTED_VALUE"""),"12 months")</f>
        <v>12 months</v>
      </c>
      <c r="T270" s="697"/>
      <c r="U270" s="697" t="str">
        <f>IFERROR(__xludf.DUMMYFUNCTION("""COMPUTED_VALUE"""),"1829, of which 1221 (67%) followed up; 103 had mf")</f>
        <v>1829, of which 1221 (67%) followed up; 103 had mf</v>
      </c>
      <c r="V270" s="697">
        <f>IFERROR(__xludf.DUMMYFUNCTION("""COMPUTED_VALUE"""),2004.0)</f>
        <v>2004</v>
      </c>
      <c r="W270" s="697">
        <f>IFERROR(__xludf.DUMMYFUNCTION("""COMPUTED_VALUE"""),2004.0)</f>
        <v>2004</v>
      </c>
      <c r="X270" s="697" t="str">
        <f>IFERROR(__xludf.DUMMYFUNCTION("""COMPUTED_VALUE"""),"Simonsen PE, Magesa SM, Dunyo SK, Malecela-Lazaro MN, Michael E. The effect of single dose ivermectin alone or in combination with albendazole on Wuchereria bancrofti infection in primary school children in Tanzania. Transactions of the Royal Soceity of T"&amp;"ropical Medicine and Hygiene 2004;98(8):462–72.")</f>
        <v>Simonsen PE, Magesa SM, Dunyo SK, Malecela-Lazaro MN, Michael E. The effect of single dose ivermectin alone or in combination with albendazole on Wuchereria bancrofti infection in primary school children in Tanzania. Transactions of the Royal Soceity of Tropical Medicine and Hygiene 2004;98(8):462–72.</v>
      </c>
      <c r="Y270" s="697"/>
      <c r="Z270" s="865" t="str">
        <f>IFERROR(__xludf.DUMMYFUNCTION("""COMPUTED_VALUE"""),"https://drive.google.com/file/d/0B9vYgR7NsKoYajB1aHBEckV5anM/view?usp=sharing")</f>
        <v>https://drive.google.com/file/d/0B9vYgR7NsKoYajB1aHBEckV5anM/view?usp=sharing</v>
      </c>
      <c r="AA270" s="697"/>
    </row>
    <row r="271">
      <c r="A271" s="697" t="str">
        <f>IFERROR(__xludf.DUMMYFUNCTION("""COMPUTED_VALUE"""),"Reda MR, 2006")</f>
        <v>Reda MR, 2006</v>
      </c>
      <c r="B271" s="697"/>
      <c r="C271" s="697" t="str">
        <f>IFERROR(__xludf.DUMMYFUNCTION("""COMPUTED_VALUE"""),"Chungsoo")</f>
        <v>Chungsoo</v>
      </c>
      <c r="D271" s="697" t="str">
        <f>IFERROR(__xludf.DUMMYFUNCTION("""COMPUTED_VALUE"""),"Egypt")</f>
        <v>Egypt</v>
      </c>
      <c r="E271" s="697" t="str">
        <f>IFERROR(__xludf.DUMMYFUNCTION("""COMPUTED_VALUE"""),"W. bancrofti")</f>
        <v>W. bancrofti</v>
      </c>
      <c r="F271" s="697" t="str">
        <f>IFERROR(__xludf.DUMMYFUNCTION("""COMPUTED_VALUE"""),"Albendazole &amp; DEC")</f>
        <v>Albendazole &amp; DEC</v>
      </c>
      <c r="G271" s="697" t="str">
        <f>IFERROR(__xludf.DUMMYFUNCTION("""COMPUTED_VALUE"""),"6 mg/kg + fixed dose of 400 mg")</f>
        <v>6 mg/kg + fixed dose of 400 mg</v>
      </c>
      <c r="H271" s="697"/>
      <c r="I271" s="697" t="str">
        <f>IFERROR(__xludf.DUMMYFUNCTION("""COMPUTED_VALUE"""),"Giza: Round 1: 61%
2: 77%
3: 89%
4: 97%
5: 90%
Qalublya: Round 1: 45%
2: 81%
3: 100%
4: 94%
5: 100%")</f>
        <v>Giza: Round 1: 61%
2: 77%
3: 89%
4: 97%
5: 90%
Qalublya: Round 1: 45%
2: 81%
3: 100%
4: 94%
5: 100%</v>
      </c>
      <c r="J271" s="697"/>
      <c r="K271" s="697"/>
      <c r="L271" s="697" t="str">
        <f>IFERROR(__xludf.DUMMYFUNCTION("""COMPUTED_VALUE"""),"1010-1116 in Giza area
764-810 in Qalubllya area
")</f>
        <v>1010-1116 in Giza area
764-810 in Qalubllya area
</v>
      </c>
      <c r="M271" s="10" t="str">
        <f>IFERROR(__xludf.DUMMYFUNCTION("""COMPUTED_VALUE"""),"&gt;4")</f>
        <v>&gt;4</v>
      </c>
      <c r="N271" s="862" t="str">
        <f>IFERROR(__xludf.DUMMYFUNCTION("""COMPUTED_VALUE"""),"identified by household not gender in analysis")</f>
        <v>identified by household not gender in analysis</v>
      </c>
      <c r="O271" s="697" t="str">
        <f>IFERROR(__xludf.DUMMYFUNCTION("""COMPUTED_VALUE"""),"People older than 4 years old from randomly sampled households")</f>
        <v>People older than 4 years old from randomly sampled households</v>
      </c>
      <c r="P271" s="697" t="str">
        <f>IFERROR(__xludf.DUMMYFUNCTION("""COMPUTED_VALUE"""),"cross-sectional survey")</f>
        <v>cross-sectional survey</v>
      </c>
      <c r="Q271" s="697"/>
      <c r="R271" s="697"/>
      <c r="S271" s="697" t="str">
        <f>IFERROR(__xludf.DUMMYFUNCTION("""COMPUTED_VALUE"""),"7-10 months after 5 yearly doses")</f>
        <v>7-10 months after 5 yearly doses</v>
      </c>
      <c r="T271" s="697"/>
      <c r="U271" s="697" t="str">
        <f>IFERROR(__xludf.DUMMYFUNCTION("""COMPUTED_VALUE"""),"rounds of mass drug administration (MDA) with diethylcarbamazine and albendazole (reduction calculated from mf prevalence rate)note: qalyublya started with much lower prevalence")</f>
        <v>rounds of mass drug administration (MDA) with diethylcarbamazine and albendazole (reduction calculated from mf prevalence rate)note: qalyublya started with much lower prevalence</v>
      </c>
      <c r="V271" s="697">
        <f>IFERROR(__xludf.DUMMYFUNCTION("""COMPUTED_VALUE"""),2006.0)</f>
        <v>2006</v>
      </c>
      <c r="W271" s="697">
        <f>IFERROR(__xludf.DUMMYFUNCTION("""COMPUTED_VALUE"""),2006.0)</f>
        <v>2006</v>
      </c>
      <c r="X271" s="697" t="str">
        <f>IFERROR(__xludf.DUMMYFUNCTION("""COMPUTED_VALUE"""),"Reda M R Ramzy, Maged El Setouhy, Hanan Helmy, Ehab S Ahmed, Khaled M Abd Elaziz, Hoda A Farid, William D Shannon, Gary J Weil. Effect of yearly mass drug administration with diethylcarbamazine and albendazole on bancroftian filariasis in Egypt: a compreh"&amp;"ensive assessment. Lancet 2006; 367: 992–99.")</f>
        <v>Reda M R Ramzy, Maged El Setouhy, Hanan Helmy, Ehab S Ahmed, Khaled M Abd Elaziz, Hoda A Farid, William D Shannon, Gary J Weil. Effect of yearly mass drug administration with diethylcarbamazine and albendazole on bancroftian filariasis in Egypt: a comprehensive assessment. Lancet 2006; 367: 992–99.</v>
      </c>
      <c r="Y271" s="697"/>
      <c r="Z271" s="865" t="str">
        <f>IFERROR(__xludf.DUMMYFUNCTION("""COMPUTED_VALUE"""),"https://drive.google.com/file/d/0B4sJPAkX0Jo3REg5aXNxcUlGb3c/view?usp=sharing")</f>
        <v>https://drive.google.com/file/d/0B4sJPAkX0Jo3REg5aXNxcUlGb3c/view?usp=sharing</v>
      </c>
      <c r="AA271" s="697" t="str">
        <f>IFERROR(__xludf.DUMMYFUNCTION("""COMPUTED_VALUE"""),"x")</f>
        <v>x</v>
      </c>
    </row>
    <row r="272">
      <c r="A272" s="697" t="str">
        <f>IFERROR(__xludf.DUMMYFUNCTION("""COMPUTED_VALUE"""),"Bockarie MJ, 1998")</f>
        <v>Bockarie MJ, 1998</v>
      </c>
      <c r="B272" s="697"/>
      <c r="C272" s="697" t="str">
        <f>IFERROR(__xludf.DUMMYFUNCTION("""COMPUTED_VALUE"""),"Chungsoo")</f>
        <v>Chungsoo</v>
      </c>
      <c r="D272" s="697" t="str">
        <f>IFERROR(__xludf.DUMMYFUNCTION("""COMPUTED_VALUE"""),"Papua New Guinea")</f>
        <v>Papua New Guinea</v>
      </c>
      <c r="E272" s="697" t="str">
        <f>IFERROR(__xludf.DUMMYFUNCTION("""COMPUTED_VALUE"""),"W. bancrofti")</f>
        <v>W. bancrofti</v>
      </c>
      <c r="F272" s="697" t="str">
        <f>IFERROR(__xludf.DUMMYFUNCTION("""COMPUTED_VALUE"""),"DEC")</f>
        <v>DEC</v>
      </c>
      <c r="G272" s="697" t="str">
        <f>IFERROR(__xludf.DUMMYFUNCTION("""COMPUTED_VALUE"""),"6mg/kg")</f>
        <v>6mg/kg</v>
      </c>
      <c r="H272" s="697"/>
      <c r="I272" s="706" t="str">
        <f>IFERROR(__xludf.DUMMYFUNCTION("""COMPUTED_VALUE"""),"high transmission zone:
1. 85.0%
2. 68.3%
3. 74.5%
low transmission zone
4. 79.8%
5. 69.5%
6. 47.1%
7. 69.1%")</f>
        <v>high transmission zone:
1. 85.0%
2. 68.3%
3. 74.5%
low transmission zone
4. 79.8%
5. 69.5%
6. 47.1%
7. 69.1%</v>
      </c>
      <c r="J272" s="706" t="str">
        <f>IFERROR(__xludf.DUMMYFUNCTION("""COMPUTED_VALUE"""),"high transmission zone:
1. 45.9%
2. 28.4%
3. 26.8%
low transmission zone
4. 37.9%
5. 31.0%
6. 20.6%
7. 23.5%")</f>
        <v>high transmission zone:
1. 45.9%
2. 28.4%
3. 26.8%
low transmission zone
4. 37.9%
5. 31.0%
6. 20.6%
7. 23.5%</v>
      </c>
      <c r="K272" s="697"/>
      <c r="L272" s="697" t="str">
        <f>IFERROR(__xludf.DUMMYFUNCTION("""COMPUTED_VALUE"""),"14 communities; 2219 of 2534 eligible received treatment")</f>
        <v>14 communities; 2219 of 2534 eligible received treatment</v>
      </c>
      <c r="M272" s="10" t="str">
        <f>IFERROR(__xludf.DUMMYFUNCTION("""COMPUTED_VALUE"""),"&gt;=5")</f>
        <v>&gt;=5</v>
      </c>
      <c r="N272" s="697"/>
      <c r="O272" s="697" t="str">
        <f>IFERROR(__xludf.DUMMYFUNCTION("""COMPUTED_VALUE"""),"non-pregnant individuals aged 5 years +")</f>
        <v>non-pregnant individuals aged _x0001_5 years +</v>
      </c>
      <c r="P272" s="697" t="str">
        <f>IFERROR(__xludf.DUMMYFUNCTION("""COMPUTED_VALUE"""),"randomised community based trial, matched for geographical variation")</f>
        <v>randomised community based trial, matched for geographical variation</v>
      </c>
      <c r="Q272" s="697"/>
      <c r="R272" s="697"/>
      <c r="S272" s="697" t="str">
        <f>IFERROR(__xludf.DUMMYFUNCTION("""COMPUTED_VALUE""")," 1 year")</f>
        <v> 1 year</v>
      </c>
      <c r="T272" s="697" t="str">
        <f>IFERROR(__xludf.DUMMYFUNCTION("""COMPUTED_VALUE"""),"The overall percentage of people with microfilaraemia decreased by between 43·0% and 66·8% (mean reduction 57·5%) in the treatment units given combined treatment and by between 20·6% and 45·9% (mean reduction 30·6%) in communities where diethylcarbamazine"&amp;" alone was given. The intensity of microfilaraemia was reduced by between 80·5% and 95·7% (mean reduction 91·1%) in the combined-treatment units, and by between 47·1% and 85·0% (mean reduction 69·8%) in the diethylcarbamazine units.")</f>
        <v>The overall percentage of people with microfilaraemia decreased by between 43·0% and 66·8% (mean reduction 57·5%) in the treatment units given combined treatment and by between 20·6% and 45·9% (mean reduction 30·6%) in communities where diethylcarbamazine alone was given. The intensity of microfilaraemia was reduced by between 80·5% and 95·7% (mean reduction 91·1%) in the combined-treatment units, and by between 47·1% and 85·0% (mean reduction 69·8%) in the diethylcarbamazine units.</v>
      </c>
      <c r="U272" s="697"/>
      <c r="V272" s="697">
        <f>IFERROR(__xludf.DUMMYFUNCTION("""COMPUTED_VALUE"""),1998.0)</f>
        <v>1998</v>
      </c>
      <c r="W272" s="697">
        <f>IFERROR(__xludf.DUMMYFUNCTION("""COMPUTED_VALUE"""),1998.0)</f>
        <v>1998</v>
      </c>
      <c r="X272" s="697" t="str">
        <f>IFERROR(__xludf.DUMMYFUNCTION("""COMPUTED_VALUE"""),"Moses J Bockarie, Neal D E Alexander, Philip Hyun, Zachary Dimber, Florence Bockarie, Ervin Ibam, Michael P Alpers, James W Kazura. Randomised community based trial of annual single-dose diethylcarbamazine with or without ivermectin against Wuchereria ban"&amp;"crofti infection in human beings and mosquitoes. THE LANCET • Vol 351 • January 17, 1998 ")</f>
        <v>Moses J Bockarie, Neal D E Alexander, Philip Hyun, Zachary Dimber, Florence Bockarie, Ervin Ibam, Michael P Alpers, James W Kazura. Randomised community based trial of annual single-dose diethylcarbamazine with or without ivermectin against Wuchereria bancrofti infection in human beings and mosquitoes. THE LANCET • Vol 351 • January 17, 1998 </v>
      </c>
      <c r="Y272" s="697"/>
      <c r="Z272" s="865" t="str">
        <f>IFERROR(__xludf.DUMMYFUNCTION("""COMPUTED_VALUE"""),"https://drive.google.com/file/d/0B9vYgR7NsKoYTW8xYnlPcHhiRzQ/view?usp=sharing")</f>
        <v>https://drive.google.com/file/d/0B9vYgR7NsKoYTW8xYnlPcHhiRzQ/view?usp=sharing</v>
      </c>
      <c r="AA272" s="697"/>
    </row>
    <row r="273">
      <c r="A273" s="697" t="str">
        <f>IFERROR(__xludf.DUMMYFUNCTION("""COMPUTED_VALUE"""),"Bockarie MJ, 1998")</f>
        <v>Bockarie MJ, 1998</v>
      </c>
      <c r="B273" s="697"/>
      <c r="C273" s="697" t="str">
        <f>IFERROR(__xludf.DUMMYFUNCTION("""COMPUTED_VALUE"""),"Chungsoo")</f>
        <v>Chungsoo</v>
      </c>
      <c r="D273" s="697" t="str">
        <f>IFERROR(__xludf.DUMMYFUNCTION("""COMPUTED_VALUE"""),"Papua New Guinea")</f>
        <v>Papua New Guinea</v>
      </c>
      <c r="E273" s="697" t="str">
        <f>IFERROR(__xludf.DUMMYFUNCTION("""COMPUTED_VALUE"""),"W. bancrofti")</f>
        <v>W. bancrofti</v>
      </c>
      <c r="F273" s="697" t="str">
        <f>IFERROR(__xludf.DUMMYFUNCTION("""COMPUTED_VALUE"""),"DEC &amp; Ivermectin")</f>
        <v>DEC &amp; Ivermectin</v>
      </c>
      <c r="G273" s="697" t="str">
        <f>IFERROR(__xludf.DUMMYFUNCTION("""COMPUTED_VALUE"""),"6mg/kg + 400ug/kg")</f>
        <v>6mg/kg + 400ug/kg</v>
      </c>
      <c r="H273" s="697"/>
      <c r="I273" s="697" t="str">
        <f>IFERROR(__xludf.DUMMYFUNCTION("""COMPUTED_VALUE"""),"high transmission zone:
1. 95.3%
2. 80.5%
3. 95.7%
low transmission zone
4. 86.6%
5. 94.7%
6. 93.3%
7. 91.5%")</f>
        <v>high transmission zone:
1. 95.3%
2. 80.5%
3. 95.7%
low transmission zone
4. 86.6%
5. 94.7%
6. 93.3%
7. 91.5%</v>
      </c>
      <c r="J273" s="706" t="str">
        <f>IFERROR(__xludf.DUMMYFUNCTION("""COMPUTED_VALUE"""),"high transmission zone:
1. 66.8%
2. 48.6%
3. 58.2%
low transmission zone
4. 43.0%
5. 64.6%
6. 54.4%
7. 67.0%")</f>
        <v>high transmission zone:
1. 66.8%
2. 48.6%
3. 58.2%
low transmission zone
4. 43.0%
5. 64.6%
6. 54.4%
7. 67.0%</v>
      </c>
      <c r="K273" s="697"/>
      <c r="L273" s="697" t="str">
        <f>IFERROR(__xludf.DUMMYFUNCTION("""COMPUTED_VALUE"""),"14 communities; 2219 of 2534 eligible received treatment")</f>
        <v>14 communities; 2219 of 2534 eligible received treatment</v>
      </c>
      <c r="M273" s="10" t="str">
        <f>IFERROR(__xludf.DUMMYFUNCTION("""COMPUTED_VALUE"""),"&gt;=5")</f>
        <v>&gt;=5</v>
      </c>
      <c r="N273" s="697"/>
      <c r="O273" s="697" t="str">
        <f>IFERROR(__xludf.DUMMYFUNCTION("""COMPUTED_VALUE"""),"non-pregnant individuals aged 5 years +")</f>
        <v>non-pregnant individuals aged _x0001_5 years +</v>
      </c>
      <c r="P273" s="697" t="str">
        <f>IFERROR(__xludf.DUMMYFUNCTION("""COMPUTED_VALUE"""),"randomised community based trial, matched for geographical variation")</f>
        <v>randomised community based trial, matched for geographical variation</v>
      </c>
      <c r="Q273" s="697"/>
      <c r="R273" s="697"/>
      <c r="S273" s="697" t="str">
        <f>IFERROR(__xludf.DUMMYFUNCTION("""COMPUTED_VALUE""")," 1 year")</f>
        <v> 1 year</v>
      </c>
      <c r="T273" s="697" t="str">
        <f>IFERROR(__xludf.DUMMYFUNCTION("""COMPUTED_VALUE"""),"The overall percentage of people with microfilaraemia decreased by between 43·0% and 66·8% (mean reduction 57·5%) in the treatment units given combined treatment and by between 20·6% and 45·9% (mean reduction 30·6%) in communities where diethylcarbamazine"&amp;" alone was given. The intensity of microfilaraemia was reduced by between 80·5% and 95·7% (mean reduction 91·1%) in the combined-treatment units, and by between 47·1% and 85·0% (mean reduction 69·8%) in the diethylcarbamazine units.")</f>
        <v>The overall percentage of people with microfilaraemia decreased by between 43·0% and 66·8% (mean reduction 57·5%) in the treatment units given combined treatment and by between 20·6% and 45·9% (mean reduction 30·6%) in communities where diethylcarbamazine alone was given. The intensity of microfilaraemia was reduced by between 80·5% and 95·7% (mean reduction 91·1%) in the combined-treatment units, and by between 47·1% and 85·0% (mean reduction 69·8%) in the diethylcarbamazine units.</v>
      </c>
      <c r="U273" s="697"/>
      <c r="V273" s="697">
        <f>IFERROR(__xludf.DUMMYFUNCTION("""COMPUTED_VALUE"""),1998.0)</f>
        <v>1998</v>
      </c>
      <c r="W273" s="697">
        <f>IFERROR(__xludf.DUMMYFUNCTION("""COMPUTED_VALUE"""),1998.0)</f>
        <v>1998</v>
      </c>
      <c r="X273" s="697" t="str">
        <f>IFERROR(__xludf.DUMMYFUNCTION("""COMPUTED_VALUE"""),"Moses J Bockarie, Neal D E Alexander, Philip Hyun, Zachary Dimber, Florence Bockarie, Ervin Ibam, Michael P Alpers, James W Kazura. Randomised community based trial of annual single-dose diethylcarbamazine with or without ivermectin against Wuchereria ban"&amp;"crofti infection in human beings and mosquitoes. THE LANCET • Vol 351 • January 17, 1998 ")</f>
        <v>Moses J Bockarie, Neal D E Alexander, Philip Hyun, Zachary Dimber, Florence Bockarie, Ervin Ibam, Michael P Alpers, James W Kazura. Randomised community based trial of annual single-dose diethylcarbamazine with or without ivermectin against Wuchereria bancrofti infection in human beings and mosquitoes. THE LANCET • Vol 351 • January 17, 1998 </v>
      </c>
      <c r="Y273" s="697"/>
      <c r="Z273" s="865" t="str">
        <f>IFERROR(__xludf.DUMMYFUNCTION("""COMPUTED_VALUE"""),"https://drive.google.com/file/d/0B9vYgR7NsKoYTW8xYnlPcHhiRzQ/view?usp=sharing")</f>
        <v>https://drive.google.com/file/d/0B9vYgR7NsKoYTW8xYnlPcHhiRzQ/view?usp=sharing</v>
      </c>
      <c r="AA273" s="697"/>
    </row>
    <row r="274">
      <c r="A274" s="697" t="str">
        <f>IFERROR(__xludf.DUMMYFUNCTION("""COMPUTED_VALUE"""),"Ramaiah KD, 2007")</f>
        <v>Ramaiah KD, 2007</v>
      </c>
      <c r="B274" s="697"/>
      <c r="C274" s="697" t="str">
        <f>IFERROR(__xludf.DUMMYFUNCTION("""COMPUTED_VALUE"""),"Chungsoo")</f>
        <v>Chungsoo</v>
      </c>
      <c r="D274" s="697" t="str">
        <f>IFERROR(__xludf.DUMMYFUNCTION("""COMPUTED_VALUE"""),"India")</f>
        <v>India</v>
      </c>
      <c r="E274" s="697"/>
      <c r="F274" s="697" t="str">
        <f>IFERROR(__xludf.DUMMYFUNCTION("""COMPUTED_VALUE"""),"DEC")</f>
        <v>DEC</v>
      </c>
      <c r="G274" s="697"/>
      <c r="H274" s="697"/>
      <c r="I274" s="706">
        <f>IFERROR(__xludf.DUMMYFUNCTION("""COMPUTED_VALUE"""),0.93)</f>
        <v>0.93</v>
      </c>
      <c r="J274" s="697"/>
      <c r="K274" s="697"/>
      <c r="L274" s="697">
        <f>IFERROR(__xludf.DUMMYFUNCTION("""COMPUTED_VALUE"""),9889.0)</f>
        <v>9889</v>
      </c>
      <c r="M274" s="697"/>
      <c r="N274" s="697"/>
      <c r="O274" s="697" t="str">
        <f>IFERROR(__xludf.DUMMYFUNCTION("""COMPUTED_VALUE"""),"ten villages in Villupuram district in the state of Tamil Nadu in south India. Children &lt;15 kg in body weight, pregnant women, lactatingmothers and people with serious illnesses were excludedfrom drug administration")</f>
        <v>ten villages in Villupuram district in the state of Tamil Nadu in south India. Children &lt;15 kg in body weight, pregnant women, lactatingmothers and people with serious illnesses were excludedfrom drug administration</v>
      </c>
      <c r="P274" s="697" t="str">
        <f>IFERROR(__xludf.DUMMYFUNCTION("""COMPUTED_VALUE"""),"Initially, the study was a double-blind placebo-controlledtrial, consisting of three arms of five villages each. The three
arms were randomly allocated to three treatment groups:placebo, DEC and ivermectin. The placebo arm was discontinuedafter two rounds"&amp;" of treatment")</f>
        <v>Initially, the study was a double-blind placebo-controlledtrial, consisting of three arms of five villages each. The three
arms were randomly allocated to three treatment groups:placebo, DEC and ivermectin. The placebo arm was discontinuedafter two rounds of treatment</v>
      </c>
      <c r="Q274" s="697"/>
      <c r="R274" s="697"/>
      <c r="S274" s="697" t="str">
        <f>IFERROR(__xludf.DUMMYFUNCTION("""COMPUTED_VALUE"""),"10 years")</f>
        <v>10 years</v>
      </c>
      <c r="T274" s="697"/>
      <c r="U274" s="697" t="str">
        <f>IFERROR(__xludf.DUMMYFUNCTION("""COMPUTED_VALUE"""),"MDA")</f>
        <v>MDA</v>
      </c>
      <c r="V274" s="697">
        <f>IFERROR(__xludf.DUMMYFUNCTION("""COMPUTED_VALUE"""),2007.0)</f>
        <v>2007</v>
      </c>
      <c r="W274" s="697">
        <f>IFERROR(__xludf.DUMMYFUNCTION("""COMPUTED_VALUE"""),2007.0)</f>
        <v>2007</v>
      </c>
      <c r="X274" s="697" t="str">
        <f>IFERROR(__xludf.DUMMYFUNCTION("""COMPUTED_VALUE"""),"K.D. Ramaiah∗, P.K. Das, P. Vanamail, S.P. Pani. Impact of 10 years of diethylcarbamazine and ivermectin mass administration on infection and transmission of lymphatic filariasis. Transactions of the Royal Society of Tropical Medicine and Hygiene (2007) 1"&amp;"01, 555—563.")</f>
        <v>K.D. Ramaiah∗, P.K. Das, P. Vanamail, S.P. Pani. Impact of 10 years of diethylcarbamazine and ivermectin mass administration on infection and transmission of lymphatic filariasis. Transactions of the Royal Society of Tropical Medicine and Hygiene (2007) 101, 555—563.</v>
      </c>
      <c r="Y274" s="697" t="str">
        <f>IFERROR(__xludf.DUMMYFUNCTION("""COMPUTED_VALUE"""),"doi:10.1016/j.trstmh.2006.12.004")</f>
        <v>doi:10.1016/j.trstmh.2006.12.004</v>
      </c>
      <c r="Z274" s="865" t="str">
        <f>IFERROR(__xludf.DUMMYFUNCTION("""COMPUTED_VALUE"""),"https://drive.google.com/file/d/0B4sJPAkX0Jo3TjN2T05rQVJMMDA/view?usp=sharing")</f>
        <v>https://drive.google.com/file/d/0B4sJPAkX0Jo3TjN2T05rQVJMMDA/view?usp=sharing</v>
      </c>
      <c r="AA274" s="697" t="str">
        <f>IFERROR(__xludf.DUMMYFUNCTION("""COMPUTED_VALUE"""),"x")</f>
        <v>x</v>
      </c>
    </row>
    <row r="275">
      <c r="A275" s="697" t="str">
        <f>IFERROR(__xludf.DUMMYFUNCTION("""COMPUTED_VALUE"""),"Ramaiah KD, 2007")</f>
        <v>Ramaiah KD, 2007</v>
      </c>
      <c r="B275" s="697"/>
      <c r="C275" s="697" t="str">
        <f>IFERROR(__xludf.DUMMYFUNCTION("""COMPUTED_VALUE"""),"Chungsoo")</f>
        <v>Chungsoo</v>
      </c>
      <c r="D275" s="697" t="str">
        <f>IFERROR(__xludf.DUMMYFUNCTION("""COMPUTED_VALUE"""),"India")</f>
        <v>India</v>
      </c>
      <c r="E275" s="697"/>
      <c r="F275" s="697" t="str">
        <f>IFERROR(__xludf.DUMMYFUNCTION("""COMPUTED_VALUE"""),"Ivermectin")</f>
        <v>Ivermectin</v>
      </c>
      <c r="G275" s="697"/>
      <c r="H275" s="697"/>
      <c r="I275" s="706">
        <f>IFERROR(__xludf.DUMMYFUNCTION("""COMPUTED_VALUE"""),0.83)</f>
        <v>0.83</v>
      </c>
      <c r="J275" s="697"/>
      <c r="K275" s="697"/>
      <c r="L275" s="697">
        <f>IFERROR(__xludf.DUMMYFUNCTION("""COMPUTED_VALUE"""),8526.0)</f>
        <v>8526</v>
      </c>
      <c r="M275" s="697"/>
      <c r="N275" s="697"/>
      <c r="O275" s="697" t="str">
        <f>IFERROR(__xludf.DUMMYFUNCTION("""COMPUTED_VALUE"""),"ten villages in Villupuram district in the state of Tamil Nadu in south India. Children &lt;15 kg in body weight, pregnant women, lactatingmothers and people with serious illnesses were excludedfrom drug administration")</f>
        <v>ten villages in Villupuram district in the state of Tamil Nadu in south India. Children &lt;15 kg in body weight, pregnant women, lactatingmothers and people with serious illnesses were excludedfrom drug administration</v>
      </c>
      <c r="P275" s="697" t="str">
        <f>IFERROR(__xludf.DUMMYFUNCTION("""COMPUTED_VALUE"""),"Initially, the study was a double-blind placebo-controlledtrial, consisting of three arms of five villages each. The three
arms were randomly allocated to three treatment groups:placebo, DEC and ivermectin. The placebo arm was discontinuedafter two rounds"&amp;" of treatment")</f>
        <v>Initially, the study was a double-blind placebo-controlledtrial, consisting of three arms of five villages each. The three
arms were randomly allocated to three treatment groups:placebo, DEC and ivermectin. The placebo arm was discontinuedafter two rounds of treatment</v>
      </c>
      <c r="Q275" s="697"/>
      <c r="R275" s="697"/>
      <c r="S275" s="697" t="str">
        <f>IFERROR(__xludf.DUMMYFUNCTION("""COMPUTED_VALUE"""),"10 years")</f>
        <v>10 years</v>
      </c>
      <c r="T275" s="697"/>
      <c r="U275" s="697"/>
      <c r="V275" s="697">
        <f>IFERROR(__xludf.DUMMYFUNCTION("""COMPUTED_VALUE"""),2007.0)</f>
        <v>2007</v>
      </c>
      <c r="W275" s="697">
        <f>IFERROR(__xludf.DUMMYFUNCTION("""COMPUTED_VALUE"""),2007.0)</f>
        <v>2007</v>
      </c>
      <c r="X275" s="697" t="str">
        <f>IFERROR(__xludf.DUMMYFUNCTION("""COMPUTED_VALUE"""),"K.D. Ramaiah∗, P.K. Das, P. Vanamail, S.P. Pani. Impact of 10 years of diethylcarbamazine and ivermectin mass administration on infection and transmission of lymphatic filariasis. Transactions of the Royal Society of Tropical Medicine and Hygiene (2007) 1"&amp;"01, 555—563.")</f>
        <v>K.D. Ramaiah∗, P.K. Das, P. Vanamail, S.P. Pani. Impact of 10 years of diethylcarbamazine and ivermectin mass administration on infection and transmission of lymphatic filariasis. Transactions of the Royal Society of Tropical Medicine and Hygiene (2007) 101, 555—563.</v>
      </c>
      <c r="Y275" s="697" t="str">
        <f>IFERROR(__xludf.DUMMYFUNCTION("""COMPUTED_VALUE"""),"doi:10.1016/j.trstmh.2006.12.004")</f>
        <v>doi:10.1016/j.trstmh.2006.12.004</v>
      </c>
      <c r="Z275" s="865" t="str">
        <f>IFERROR(__xludf.DUMMYFUNCTION("""COMPUTED_VALUE"""),"https://drive.google.com/file/d/0B4sJPAkX0Jo3TjN2T05rQVJMMDA/view?usp=sharing")</f>
        <v>https://drive.google.com/file/d/0B4sJPAkX0Jo3TjN2T05rQVJMMDA/view?usp=sharing</v>
      </c>
      <c r="AA275" s="697" t="str">
        <f>IFERROR(__xludf.DUMMYFUNCTION("""COMPUTED_VALUE"""),"x")</f>
        <v>x</v>
      </c>
    </row>
    <row r="276">
      <c r="A276" s="697" t="str">
        <f>IFERROR(__xludf.DUMMYFUNCTION("""COMPUTED_VALUE"""),"Weil GJ, 2008")</f>
        <v>Weil GJ, 2008</v>
      </c>
      <c r="B276" s="697"/>
      <c r="C276" s="697" t="str">
        <f>IFERROR(__xludf.DUMMYFUNCTION("""COMPUTED_VALUE"""),"Chungsoo")</f>
        <v>Chungsoo</v>
      </c>
      <c r="D276" s="697" t="str">
        <f>IFERROR(__xludf.DUMMYFUNCTION("""COMPUTED_VALUE"""),"Papua New Guinea")</f>
        <v>Papua New Guinea</v>
      </c>
      <c r="E276" s="697" t="str">
        <f>IFERROR(__xludf.DUMMYFUNCTION("""COMPUTED_VALUE"""),"W. bancrofti")</f>
        <v>W. bancrofti</v>
      </c>
      <c r="F276" s="697" t="str">
        <f>IFERROR(__xludf.DUMMYFUNCTION("""COMPUTED_VALUE"""),"Albendazole &amp; DEC")</f>
        <v>Albendazole &amp; DEC</v>
      </c>
      <c r="G276" s="697" t="str">
        <f>IFERROR(__xludf.DUMMYFUNCTION("""COMPUTED_VALUE"""),"6mg/kg + 400mg")</f>
        <v>6mg/kg + 400mg</v>
      </c>
      <c r="H276" s="697"/>
      <c r="I276" s="706">
        <f>IFERROR(__xludf.DUMMYFUNCTION("""COMPUTED_VALUE"""),0.9301)</f>
        <v>0.9301</v>
      </c>
      <c r="J276" s="706" t="str">
        <f>IFERROR(__xludf.DUMMYFUNCTION("""COMPUTED_VALUE"""),"1 round: 71%, 
2 rounds: 90.7%, 
3 rounds: 98.1% ")</f>
        <v>1 round: 71%, 
2 rounds: 90.7%, 
3 rounds: 98.1% </v>
      </c>
      <c r="K276" s="697"/>
      <c r="L276" s="697">
        <f>IFERROR(__xludf.DUMMYFUNCTION("""COMPUTED_VALUE"""),571.0)</f>
        <v>571</v>
      </c>
      <c r="M276" s="10" t="str">
        <f>IFERROR(__xludf.DUMMYFUNCTION("""COMPUTED_VALUE"""),"6+")</f>
        <v>6+</v>
      </c>
      <c r="N276" s="697" t="str">
        <f>IFERROR(__xludf.DUMMYFUNCTION("""COMPUTED_VALUE"""),"271 : 300")</f>
        <v>271 : 300</v>
      </c>
      <c r="O276" s="697" t="str">
        <f>IFERROR(__xludf.DUMMYFUNCTION("""COMPUTED_VALUE"""),"4 villages. Children ,2 years of age, children who
weighed ,10 kg, pregnant women, and people with severe
chronic illness or acute illness with fever were excluded from the
study")</f>
        <v>4 villages. Children ,2 years of age, children who
weighed ,10 kg, pregnant women, and people with severe
chronic illness or acute illness with fever were excluded from the
study</v>
      </c>
      <c r="P276" s="697" t="str">
        <f>IFERROR(__xludf.DUMMYFUNCTION("""COMPUTED_VALUE"""),"community study")</f>
        <v>community study</v>
      </c>
      <c r="Q276" s="697"/>
      <c r="R276" s="697"/>
      <c r="S276" s="697"/>
      <c r="T276" s="697"/>
      <c r="U276" s="697"/>
      <c r="V276" s="697">
        <f>IFERROR(__xludf.DUMMYFUNCTION("""COMPUTED_VALUE"""),2008.0)</f>
        <v>2008</v>
      </c>
      <c r="W276" s="697">
        <f>IFERROR(__xludf.DUMMYFUNCTION("""COMPUTED_VALUE"""),2008.0)</f>
        <v>2008</v>
      </c>
      <c r="X276" s="697" t="str">
        <f>IFERROR(__xludf.DUMMYFUNCTION("""COMPUTED_VALUE"""),"Gary J. Weil1*, Will Kastens2, Melinda Susapu3, Sandra J. Laney4, Steven A. Williams4, Christopher L. King2, James W. Kazura2, Moses J. Bockarie. The Impact of Repeated Rounds of Mass Drug Administration with Diethylcarbamazine Plus Albendazole on Bancrof"&amp;"tian Filariasis in Papua New Guinea. PLoS Neglected tropical diseases. December 2008 | Volume 2 | Issue 12 | e344.  ")</f>
        <v>Gary J. Weil1*, Will Kastens2, Melinda Susapu3, Sandra J. Laney4, Steven A. Williams4, Christopher L. King2, James W. Kazura2, Moses J. Bockarie. The Impact of Repeated Rounds of Mass Drug Administration with Diethylcarbamazine Plus Albendazole on Bancroftian Filariasis in Papua New Guinea. PLoS Neglected tropical diseases. December 2008 | Volume 2 | Issue 12 | e344.  </v>
      </c>
      <c r="Y276" s="697"/>
      <c r="Z276" s="865" t="str">
        <f>IFERROR(__xludf.DUMMYFUNCTION("""COMPUTED_VALUE"""),"https://drive.google.com/file/d/0B4sJPAkX0Jo3QzBkNWgzS2Ywems/view?usp=sharing")</f>
        <v>https://drive.google.com/file/d/0B4sJPAkX0Jo3QzBkNWgzS2Ywems/view?usp=sharing</v>
      </c>
      <c r="AA276" s="697" t="str">
        <f>IFERROR(__xludf.DUMMYFUNCTION("""COMPUTED_VALUE"""),"x")</f>
        <v>x</v>
      </c>
    </row>
    <row r="277">
      <c r="A277" s="697" t="str">
        <f>IFERROR(__xludf.DUMMYFUNCTION("""COMPUTED_VALUE"""),"Ramaiah KD, 2011")</f>
        <v>Ramaiah KD, 2011</v>
      </c>
      <c r="B277" s="697"/>
      <c r="C277" s="697" t="str">
        <f>IFERROR(__xludf.DUMMYFUNCTION("""COMPUTED_VALUE"""),"Chungsoo")</f>
        <v>Chungsoo</v>
      </c>
      <c r="D277" s="697" t="str">
        <f>IFERROR(__xludf.DUMMYFUNCTION("""COMPUTED_VALUE"""),"India")</f>
        <v>India</v>
      </c>
      <c r="E277" s="697" t="str">
        <f>IFERROR(__xludf.DUMMYFUNCTION("""COMPUTED_VALUE"""),"W. bancrofti")</f>
        <v>W. bancrofti</v>
      </c>
      <c r="F277" s="697" t="str">
        <f>IFERROR(__xludf.DUMMYFUNCTION("""COMPUTED_VALUE"""),"Albendazole &amp; DEC")</f>
        <v>Albendazole &amp; DEC</v>
      </c>
      <c r="G277" s="697" t="str">
        <f>IFERROR(__xludf.DUMMYFUNCTION("""COMPUTED_VALUE"""),"6mg/kg + 400mg")</f>
        <v>6mg/kg + 400mg</v>
      </c>
      <c r="H277" s="697"/>
      <c r="I277" s="706">
        <f>IFERROR(__xludf.DUMMYFUNCTION("""COMPUTED_VALUE"""),0.9354)</f>
        <v>0.9354</v>
      </c>
      <c r="J277" s="706">
        <f>IFERROR(__xludf.DUMMYFUNCTION("""COMPUTED_VALUE"""),0.8753)</f>
        <v>0.8753</v>
      </c>
      <c r="K277" s="697"/>
      <c r="L277" s="697" t="str">
        <f>IFERROR(__xludf.DUMMYFUNCTION("""COMPUTED_VALUE"""),"5 villages, population 517 to 2609")</f>
        <v>5 villages, population 517 to 2609</v>
      </c>
      <c r="M277" s="697"/>
      <c r="N277" s="697"/>
      <c r="O277" s="697" t="str">
        <f>IFERROR(__xludf.DUMMYFUNCTION("""COMPUTED_VALUE"""),"Every household in 5 identified villages. Children below 15 kg body weight, pregnant women
and lactating mothers were excluded from treatment, as
followed in earlier studies.8,9 Elderly people suffering from
serious illnesses were also excluded")</f>
        <v>Every household in 5 identified villages. Children below 15 kg body weight, pregnant women
and lactating mothers were excluded from treatment, as
followed in earlier studies.8,9 Elderly people suffering from
serious illnesses were also excluded</v>
      </c>
      <c r="P277" s="697" t="str">
        <f>IFERROR(__xludf.DUMMYFUNCTION("""COMPUTED_VALUE"""),"MDA survey")</f>
        <v>MDA survey</v>
      </c>
      <c r="Q277" s="697"/>
      <c r="R277" s="697"/>
      <c r="S277" s="697" t="str">
        <f>IFERROR(__xludf.DUMMYFUNCTION("""COMPUTED_VALUE"""),"6 rounds of MDA")</f>
        <v>6 rounds of MDA</v>
      </c>
      <c r="T277" s="697"/>
      <c r="U277" s="697"/>
      <c r="V277" s="697">
        <f>IFERROR(__xludf.DUMMYFUNCTION("""COMPUTED_VALUE"""),2011.0)</f>
        <v>2011</v>
      </c>
      <c r="W277" s="697">
        <f>IFERROR(__xludf.DUMMYFUNCTION("""COMPUTED_VALUE"""),2011.0)</f>
        <v>2011</v>
      </c>
      <c r="X277" s="697" t="str">
        <f>IFERROR(__xludf.DUMMYFUNCTION("""COMPUTED_VALUE"""),"K.D. Ramaiaha,∗, P. Vanamaila, J. Yuvarajb, P.K. Dasa. Effect of annual mass administration of diethylcarbamazine and albendazole on bancroftian filariasis in five villages in south India. Transactions of the Royal Society of Tropical Medicine and Hygiene"&amp;" 105 (2011) 431– 437.  ")</f>
        <v>K.D. Ramaiaha,∗, P. Vanamaila, J. Yuvarajb, P.K. Dasa. Effect of annual mass administration of diethylcarbamazine and albendazole on bancroftian filariasis in five villages in south India. Transactions of the Royal Society of Tropical Medicine and Hygiene 105 (2011) 431– 437.  </v>
      </c>
      <c r="Y277" s="697" t="str">
        <f>IFERROR(__xludf.DUMMYFUNCTION("""COMPUTED_VALUE"""),"doi:10.1016/j.trstmh.2011.04.006")</f>
        <v>doi:10.1016/j.trstmh.2011.04.006</v>
      </c>
      <c r="Z277" s="865" t="str">
        <f>IFERROR(__xludf.DUMMYFUNCTION("""COMPUTED_VALUE"""),"https://drive.google.com/file/d/0B4sJPAkX0Jo3RnZYWUFvTzBoeTg/view?usp=sharing")</f>
        <v>https://drive.google.com/file/d/0B4sJPAkX0Jo3RnZYWUFvTzBoeTg/view?usp=sharing</v>
      </c>
      <c r="AA277" s="697" t="str">
        <f>IFERROR(__xludf.DUMMYFUNCTION("""COMPUTED_VALUE"""),"x")</f>
        <v>x</v>
      </c>
    </row>
    <row r="278">
      <c r="A278" s="697" t="str">
        <f>IFERROR(__xludf.DUMMYFUNCTION("""COMPUTED_VALUE"""),"Sunish IP, 2008")</f>
        <v>Sunish IP, 2008</v>
      </c>
      <c r="B278" s="697"/>
      <c r="C278" s="697" t="str">
        <f>IFERROR(__xludf.DUMMYFUNCTION("""COMPUTED_VALUE"""),"Chungsoo")</f>
        <v>Chungsoo</v>
      </c>
      <c r="D278" s="697" t="str">
        <f>IFERROR(__xludf.DUMMYFUNCTION("""COMPUTED_VALUE"""),"India")</f>
        <v>India</v>
      </c>
      <c r="E278" s="697" t="str">
        <f>IFERROR(__xludf.DUMMYFUNCTION("""COMPUTED_VALUE"""),"W. bancrofti")</f>
        <v>W. bancrofti</v>
      </c>
      <c r="F278" s="697" t="str">
        <f>IFERROR(__xludf.DUMMYFUNCTION("""COMPUTED_VALUE"""),"DEC")</f>
        <v>DEC</v>
      </c>
      <c r="G278" s="697"/>
      <c r="H278" s="697"/>
      <c r="I278" s="697"/>
      <c r="J278" s="706">
        <f>IFERROR(__xludf.DUMMYFUNCTION("""COMPUTED_VALUE"""),0.5795)</f>
        <v>0.5795</v>
      </c>
      <c r="K278" s="697"/>
      <c r="L278" s="697" t="str">
        <f>IFERROR(__xludf.DUMMYFUNCTION("""COMPUTED_VALUE"""),"~100000 total")</f>
        <v>~100000 total</v>
      </c>
      <c r="M278" s="697" t="str">
        <f>IFERROR(__xludf.DUMMYFUNCTION("""COMPUTED_VALUE"""),"2 to 9")</f>
        <v>2 to 9</v>
      </c>
      <c r="N278" s="697"/>
      <c r="O278" s="697" t="str">
        <f>IFERROR(__xludf.DUMMYFUNCTION("""COMPUTED_VALUE"""),"???")</f>
        <v>???</v>
      </c>
      <c r="P278" s="697" t="str">
        <f>IFERROR(__xludf.DUMMYFUNCTION("""COMPUTED_VALUE"""),"MDA survey")</f>
        <v>MDA survey</v>
      </c>
      <c r="Q278" s="697"/>
      <c r="R278" s="697"/>
      <c r="S278" s="697" t="str">
        <f>IFERROR(__xludf.DUMMYFUNCTION("""COMPUTED_VALUE"""),"6 annual rounds")</f>
        <v>6 annual rounds</v>
      </c>
      <c r="T278" s="697"/>
      <c r="U278" s="697"/>
      <c r="V278" s="697">
        <f>IFERROR(__xludf.DUMMYFUNCTION("""COMPUTED_VALUE"""),2014.0)</f>
        <v>2014</v>
      </c>
      <c r="W278" s="697">
        <f>IFERROR(__xludf.DUMMYFUNCTION("""COMPUTED_VALUE"""),2014.0)</f>
        <v>2014</v>
      </c>
      <c r="X278" s="697" t="str">
        <f>IFERROR(__xludf.DUMMYFUNCTION("""COMPUTED_VALUE"""),"I. P. Sunish, A. Munirathinam, M. Kalimuthu, V. Ashok Kumar, and B. K. Tyagi. Persistence of Lymphatic Filarial Infection in the Paediatric Population of Rural Community, after Six Rounds of Annual Mass Drug Administrations. JOURNAL OF TROPICAL PEDIATRICS"&amp;", VOL. 60, NO. 3, 2014.  ")</f>
        <v>I. P. Sunish, A. Munirathinam, M. Kalimuthu, V. Ashok Kumar, and B. K. Tyagi. Persistence of Lymphatic Filarial Infection in the Paediatric Population of Rural Community, after Six Rounds of Annual Mass Drug Administrations. JOURNAL OF TROPICAL PEDIATRICS, VOL. 60, NO. 3, 2014.  </v>
      </c>
      <c r="Y278" s="697" t="str">
        <f>IFERROR(__xludf.DUMMYFUNCTION("""COMPUTED_VALUE"""),"doi:10.1093/tropej/fmt101")</f>
        <v>doi:10.1093/tropej/fmt101</v>
      </c>
      <c r="Z278" s="865" t="str">
        <f>IFERROR(__xludf.DUMMYFUNCTION("""COMPUTED_VALUE"""),"https://drive.google.com/file/d/0B4sJPAkX0Jo3WjNnLTB0NURNaWc/view?usp=sharing")</f>
        <v>https://drive.google.com/file/d/0B4sJPAkX0Jo3WjNnLTB0NURNaWc/view?usp=sharing</v>
      </c>
      <c r="AA278" s="697" t="str">
        <f>IFERROR(__xludf.DUMMYFUNCTION("""COMPUTED_VALUE"""),"x")</f>
        <v>x</v>
      </c>
    </row>
    <row r="279">
      <c r="A279" s="697" t="str">
        <f>IFERROR(__xludf.DUMMYFUNCTION("""COMPUTED_VALUE"""),"Sunish IP, 2008")</f>
        <v>Sunish IP, 2008</v>
      </c>
      <c r="B279" s="697"/>
      <c r="C279" s="697" t="str">
        <f>IFERROR(__xludf.DUMMYFUNCTION("""COMPUTED_VALUE"""),"Chungsoo")</f>
        <v>Chungsoo</v>
      </c>
      <c r="D279" s="697" t="str">
        <f>IFERROR(__xludf.DUMMYFUNCTION("""COMPUTED_VALUE"""),"India")</f>
        <v>India</v>
      </c>
      <c r="E279" s="697" t="str">
        <f>IFERROR(__xludf.DUMMYFUNCTION("""COMPUTED_VALUE"""),"W. bancrofti")</f>
        <v>W. bancrofti</v>
      </c>
      <c r="F279" s="697" t="str">
        <f>IFERROR(__xludf.DUMMYFUNCTION("""COMPUTED_VALUE"""),"Albendazole &amp; DEC")</f>
        <v>Albendazole &amp; DEC</v>
      </c>
      <c r="G279" s="697"/>
      <c r="H279" s="697"/>
      <c r="I279" s="697"/>
      <c r="J279" s="706">
        <f>IFERROR(__xludf.DUMMYFUNCTION("""COMPUTED_VALUE"""),0.8467)</f>
        <v>0.8467</v>
      </c>
      <c r="K279" s="697"/>
      <c r="L279" s="697" t="str">
        <f>IFERROR(__xludf.DUMMYFUNCTION("""COMPUTED_VALUE"""),"~100000 total")</f>
        <v>~100000 total</v>
      </c>
      <c r="M279" s="697" t="str">
        <f>IFERROR(__xludf.DUMMYFUNCTION("""COMPUTED_VALUE"""),"2 to 9")</f>
        <v>2 to 9</v>
      </c>
      <c r="N279" s="697"/>
      <c r="O279" s="697" t="str">
        <f>IFERROR(__xludf.DUMMYFUNCTION("""COMPUTED_VALUE"""),"???")</f>
        <v>???</v>
      </c>
      <c r="P279" s="697" t="str">
        <f>IFERROR(__xludf.DUMMYFUNCTION("""COMPUTED_VALUE"""),"MDA survey")</f>
        <v>MDA survey</v>
      </c>
      <c r="Q279" s="697"/>
      <c r="R279" s="697"/>
      <c r="S279" s="697" t="str">
        <f>IFERROR(__xludf.DUMMYFUNCTION("""COMPUTED_VALUE"""),"6 annual rounds")</f>
        <v>6 annual rounds</v>
      </c>
      <c r="T279" s="697"/>
      <c r="U279" s="697"/>
      <c r="V279" s="697">
        <f>IFERROR(__xludf.DUMMYFUNCTION("""COMPUTED_VALUE"""),2014.0)</f>
        <v>2014</v>
      </c>
      <c r="W279" s="697">
        <f>IFERROR(__xludf.DUMMYFUNCTION("""COMPUTED_VALUE"""),2014.0)</f>
        <v>2014</v>
      </c>
      <c r="X279" s="697" t="str">
        <f>IFERROR(__xludf.DUMMYFUNCTION("""COMPUTED_VALUE"""),"I. P. Sunish, A. Munirathinam, M. Kalimuthu, V. Ashok Kumar, and B. K. Tyagi. Persistence of Lymphatic Filarial Infection in the Paediatric Population of Rural Community, after Six Rounds of Annual Mass Drug Administrations. JOURNAL OF TROPICAL PEDIATRICS"&amp;", VOL. 60, NO. 3, 2014.  ")</f>
        <v>I. P. Sunish, A. Munirathinam, M. Kalimuthu, V. Ashok Kumar, and B. K. Tyagi. Persistence of Lymphatic Filarial Infection in the Paediatric Population of Rural Community, after Six Rounds of Annual Mass Drug Administrations. JOURNAL OF TROPICAL PEDIATRICS, VOL. 60, NO. 3, 2014.  </v>
      </c>
      <c r="Y279" s="697" t="str">
        <f>IFERROR(__xludf.DUMMYFUNCTION("""COMPUTED_VALUE"""),"doi:10.1093/tropej/fmt101")</f>
        <v>doi:10.1093/tropej/fmt101</v>
      </c>
      <c r="Z279" s="865" t="str">
        <f>IFERROR(__xludf.DUMMYFUNCTION("""COMPUTED_VALUE"""),"https://drive.google.com/file/d/0B4sJPAkX0Jo3WjNnLTB0NURNaWc/view?usp=sharing")</f>
        <v>https://drive.google.com/file/d/0B4sJPAkX0Jo3WjNnLTB0NURNaWc/view?usp=sharing</v>
      </c>
      <c r="AA279" s="697" t="str">
        <f>IFERROR(__xludf.DUMMYFUNCTION("""COMPUTED_VALUE"""),"x")</f>
        <v>x</v>
      </c>
    </row>
    <row r="280">
      <c r="A280" s="697" t="str">
        <f>IFERROR(__xludf.DUMMYFUNCTION("""COMPUTED_VALUE"""),"Rajendran R, 2006")</f>
        <v>Rajendran R, 2006</v>
      </c>
      <c r="B280" s="697"/>
      <c r="C280" s="697" t="str">
        <f>IFERROR(__xludf.DUMMYFUNCTION("""COMPUTED_VALUE"""),"Chungsoo")</f>
        <v>Chungsoo</v>
      </c>
      <c r="D280" s="697" t="str">
        <f>IFERROR(__xludf.DUMMYFUNCTION("""COMPUTED_VALUE"""),"India")</f>
        <v>India</v>
      </c>
      <c r="E280" s="697" t="str">
        <f>IFERROR(__xludf.DUMMYFUNCTION("""COMPUTED_VALUE"""),"W. bancrofti")</f>
        <v>W. bancrofti</v>
      </c>
      <c r="F280" s="697" t="str">
        <f>IFERROR(__xludf.DUMMYFUNCTION("""COMPUTED_VALUE"""),"DEC")</f>
        <v>DEC</v>
      </c>
      <c r="G280" s="697" t="str">
        <f>IFERROR(__xludf.DUMMYFUNCTION("""COMPUTED_VALUE"""),"6mg/kg")</f>
        <v>6mg/kg</v>
      </c>
      <c r="H280" s="697"/>
      <c r="I280" s="706">
        <f>IFERROR(__xludf.DUMMYFUNCTION("""COMPUTED_VALUE"""),0.485)</f>
        <v>0.485</v>
      </c>
      <c r="J280" s="706">
        <f>IFERROR(__xludf.DUMMYFUNCTION("""COMPUTED_VALUE"""),0.51)</f>
        <v>0.51</v>
      </c>
      <c r="K280" s="697"/>
      <c r="L280" s="697"/>
      <c r="M280" s="697"/>
      <c r="N280" s="697"/>
      <c r="O280" s="697" t="str">
        <f>IFERROR(__xludf.DUMMYFUNCTION("""COMPUTED_VALUE""")," all the available inhabitants of the study area (except &lt;2-year-old children and pregnant women) were targete")</f>
        <v> all the available inhabitants of the study area (except &lt;2-year-old children and pregnant women) were targete</v>
      </c>
      <c r="P280" s="697" t="str">
        <f>IFERROR(__xludf.DUMMYFUNCTION("""COMPUTED_VALUE""")," all the available inhabitants of the study area (except &lt;2-year-old children and pregnant women) were targete")</f>
        <v> all the available inhabitants of the study area (except &lt;2-year-old children and pregnant women) were targete</v>
      </c>
      <c r="Q280" s="697"/>
      <c r="R280" s="697"/>
      <c r="S280" s="697" t="str">
        <f>IFERROR(__xludf.DUMMYFUNCTION("""COMPUTED_VALUE"""),"3 annual doses MDA")</f>
        <v>3 annual doses MDA</v>
      </c>
      <c r="T280" s="697"/>
      <c r="U280" s="697"/>
      <c r="V280" s="697">
        <f>IFERROR(__xludf.DUMMYFUNCTION("""COMPUTED_VALUE"""),2006.0)</f>
        <v>2006</v>
      </c>
      <c r="W280" s="697">
        <f>IFERROR(__xludf.DUMMYFUNCTION("""COMPUTED_VALUE"""),2006.0)</f>
        <v>2006</v>
      </c>
      <c r="X280" s="697" t="str">
        <f>IFERROR(__xludf.DUMMYFUNCTION("""COMPUTED_VALUE"""),"R. Rajendran1, I. P. Sunish1, T. R. Mani1, A. Munirathinam1, N. Arunachalam1, K. Satyanarayana2 and A. P. Dash3. Community-based study to assess the efﬁcacy of DEC plus ALB against DEC alone on bancroftian ﬁlarial infection in endemic areas in Tamil Nadu,"&amp;" south India. Tropical Medicine and International Health. volume 11 no 6 pp 851–861 june 2006
")</f>
        <v>R. Rajendran1, I. P. Sunish1, T. R. Mani1, A. Munirathinam1, N. Arunachalam1, K. Satyanarayana2 and A. P. Dash3. Community-based study to assess the efﬁcacy of DEC plus ALB against DEC alone on bancroftian ﬁlarial infection in endemic areas in Tamil Nadu, south India. Tropical Medicine and International Health. volume 11 no 6 pp 851–861 june 2006
</v>
      </c>
      <c r="Y280" s="697"/>
      <c r="Z280" s="865" t="str">
        <f>IFERROR(__xludf.DUMMYFUNCTION("""COMPUTED_VALUE"""),"https://drive.google.com/file/d/0B4sJPAkX0Jo3ZjFUd2VWQTgwUjA/view?usp=sharing")</f>
        <v>https://drive.google.com/file/d/0B4sJPAkX0Jo3ZjFUd2VWQTgwUjA/view?usp=sharing</v>
      </c>
      <c r="AA280" s="697" t="str">
        <f>IFERROR(__xludf.DUMMYFUNCTION("""COMPUTED_VALUE"""),"x")</f>
        <v>x</v>
      </c>
    </row>
    <row r="281">
      <c r="A281" s="697" t="str">
        <f>IFERROR(__xludf.DUMMYFUNCTION("""COMPUTED_VALUE"""),"Rajendran R, 2006")</f>
        <v>Rajendran R, 2006</v>
      </c>
      <c r="B281" s="697"/>
      <c r="C281" s="697" t="str">
        <f>IFERROR(__xludf.DUMMYFUNCTION("""COMPUTED_VALUE"""),"Chungsoo")</f>
        <v>Chungsoo</v>
      </c>
      <c r="D281" s="697" t="str">
        <f>IFERROR(__xludf.DUMMYFUNCTION("""COMPUTED_VALUE"""),"India")</f>
        <v>India</v>
      </c>
      <c r="E281" s="697" t="str">
        <f>IFERROR(__xludf.DUMMYFUNCTION("""COMPUTED_VALUE"""),"W. bancrofti")</f>
        <v>W. bancrofti</v>
      </c>
      <c r="F281" s="697" t="str">
        <f>IFERROR(__xludf.DUMMYFUNCTION("""COMPUTED_VALUE"""),"Albendazole &amp; DEC")</f>
        <v>Albendazole &amp; DEC</v>
      </c>
      <c r="G281" s="697" t="str">
        <f>IFERROR(__xludf.DUMMYFUNCTION("""COMPUTED_VALUE"""),"6mg/kg")</f>
        <v>6mg/kg</v>
      </c>
      <c r="H281" s="697"/>
      <c r="I281" s="706">
        <f>IFERROR(__xludf.DUMMYFUNCTION("""COMPUTED_VALUE"""),0.814)</f>
        <v>0.814</v>
      </c>
      <c r="J281" s="706">
        <f>IFERROR(__xludf.DUMMYFUNCTION("""COMPUTED_VALUE"""),0.72)</f>
        <v>0.72</v>
      </c>
      <c r="K281" s="697"/>
      <c r="L281" s="697"/>
      <c r="M281" s="697"/>
      <c r="N281" s="697"/>
      <c r="O281" s="697" t="str">
        <f>IFERROR(__xludf.DUMMYFUNCTION("""COMPUTED_VALUE""")," all the available inhabitants of the study area (except &lt;2-year-old children and pregnant women) were targete")</f>
        <v> all the available inhabitants of the study area (except &lt;2-year-old children and pregnant women) were targete</v>
      </c>
      <c r="P281" s="697" t="str">
        <f>IFERROR(__xludf.DUMMYFUNCTION("""COMPUTED_VALUE""")," all the available inhabitants of the study area (except &lt;2-year-old children and pregnant women) were targete")</f>
        <v> all the available inhabitants of the study area (except &lt;2-year-old children and pregnant women) were targete</v>
      </c>
      <c r="Q281" s="697"/>
      <c r="R281" s="697"/>
      <c r="S281" s="697" t="str">
        <f>IFERROR(__xludf.DUMMYFUNCTION("""COMPUTED_VALUE"""),"3 annual doses MDA")</f>
        <v>3 annual doses MDA</v>
      </c>
      <c r="T281" s="697"/>
      <c r="U281" s="697"/>
      <c r="V281" s="697">
        <f>IFERROR(__xludf.DUMMYFUNCTION("""COMPUTED_VALUE"""),2006.0)</f>
        <v>2006</v>
      </c>
      <c r="W281" s="697">
        <f>IFERROR(__xludf.DUMMYFUNCTION("""COMPUTED_VALUE"""),2006.0)</f>
        <v>2006</v>
      </c>
      <c r="X281" s="697" t="str">
        <f>IFERROR(__xludf.DUMMYFUNCTION("""COMPUTED_VALUE"""),"R. Rajendran1, I. P. Sunish1, T. R. Mani1, A. Munirathinam1, N. Arunachalam1, K. Satyanarayana2 and A. P. Dash3. Community-based study to assess the efﬁcacy of DEC plus ALB against DEC alone on bancroftian ﬁlarial infection in endemic areas in Tamil Nadu,"&amp;" south India. Tropical Medicine and International Health. volume 11 no 6 pp 851–861 june 2006
")</f>
        <v>R. Rajendran1, I. P. Sunish1, T. R. Mani1, A. Munirathinam1, N. Arunachalam1, K. Satyanarayana2 and A. P. Dash3. Community-based study to assess the efﬁcacy of DEC plus ALB against DEC alone on bancroftian ﬁlarial infection in endemic areas in Tamil Nadu, south India. Tropical Medicine and International Health. volume 11 no 6 pp 851–861 june 2006
</v>
      </c>
      <c r="Y281" s="697"/>
      <c r="Z281" s="865" t="str">
        <f>IFERROR(__xludf.DUMMYFUNCTION("""COMPUTED_VALUE"""),"https://drive.google.com/file/d/0B4sJPAkX0Jo3ZjFUd2VWQTgwUjA/view?usp=sharing")</f>
        <v>https://drive.google.com/file/d/0B4sJPAkX0Jo3ZjFUd2VWQTgwUjA/view?usp=sharing</v>
      </c>
      <c r="AA281" s="697" t="str">
        <f>IFERROR(__xludf.DUMMYFUNCTION("""COMPUTED_VALUE"""),"x")</f>
        <v>x</v>
      </c>
    </row>
    <row r="282">
      <c r="A282" s="697" t="str">
        <f>IFERROR(__xludf.DUMMYFUNCTION("""COMPUTED_VALUE"""),"Ramaiah KD, 2002")</f>
        <v>Ramaiah KD, 2002</v>
      </c>
      <c r="B282" s="697"/>
      <c r="C282" s="697" t="str">
        <f>IFERROR(__xludf.DUMMYFUNCTION("""COMPUTED_VALUE"""),"Chungsoo")</f>
        <v>Chungsoo</v>
      </c>
      <c r="D282" s="697" t="str">
        <f>IFERROR(__xludf.DUMMYFUNCTION("""COMPUTED_VALUE"""),"India")</f>
        <v>India</v>
      </c>
      <c r="E282" s="697" t="str">
        <f>IFERROR(__xludf.DUMMYFUNCTION("""COMPUTED_VALUE"""),"W. bancrofti")</f>
        <v>W. bancrofti</v>
      </c>
      <c r="F282" s="697" t="str">
        <f>IFERROR(__xludf.DUMMYFUNCTION("""COMPUTED_VALUE"""),"DEC")</f>
        <v>DEC</v>
      </c>
      <c r="G282" s="697" t="str">
        <f>IFERROR(__xludf.DUMMYFUNCTION("""COMPUTED_VALUE"""),"6mg/kg")</f>
        <v>6mg/kg</v>
      </c>
      <c r="H282" s="697"/>
      <c r="I282" s="706">
        <f>IFERROR(__xludf.DUMMYFUNCTION("""COMPUTED_VALUE"""),0.909)</f>
        <v>0.909</v>
      </c>
      <c r="J282" s="706">
        <f>IFERROR(__xludf.DUMMYFUNCTION("""COMPUTED_VALUE"""),0.86)</f>
        <v>0.86</v>
      </c>
      <c r="K282" s="697"/>
      <c r="L282" s="697" t="str">
        <f>IFERROR(__xludf.DUMMYFUNCTION("""COMPUTED_VALUE"""),"15 villages, population  517 to 3321")</f>
        <v>15 villages, population  517 to 3321</v>
      </c>
      <c r="M282" s="697"/>
      <c r="N282" s="697"/>
      <c r="O282" s="697" t="str">
        <f>IFERROR(__xludf.DUMMYFUNCTION("""COMPUTED_VALUE"""),"excluded: children &lt;15kg, pregnant and lactating mothers, terminally ill people")</f>
        <v>excluded: children &lt;15kg, pregnant and lactating mothers, terminally ill people</v>
      </c>
      <c r="P282" s="697" t="str">
        <f>IFERROR(__xludf.DUMMYFUNCTION("""COMPUTED_VALUE"""),"double-blind, placebo-controlled and con- sisted of three arms (Das et al. 2001) and six rounds of mass treatment, single blind after first round")</f>
        <v>double-blind, placebo-controlled and con- sisted of three arms (Das et al. 2001) and six rounds of mass treatment, single blind after first round</v>
      </c>
      <c r="Q282" s="697"/>
      <c r="R282" s="697"/>
      <c r="S282" s="697"/>
      <c r="T282" s="697"/>
      <c r="U282" s="697" t="str">
        <f>IFERROR(__xludf.DUMMYFUNCTION("""COMPUTED_VALUE""")," initial two rounds were given at a 6-month interval and the subsequent four rounds at 12–15- month intervals. ")</f>
        <v> initial two rounds were given at a 6-month interval and the subsequent four rounds at 12–15- month intervals. </v>
      </c>
      <c r="V282" s="697">
        <f>IFERROR(__xludf.DUMMYFUNCTION("""COMPUTED_VALUE"""),2002.0)</f>
        <v>2002</v>
      </c>
      <c r="W282" s="697">
        <f>IFERROR(__xludf.DUMMYFUNCTION("""COMPUTED_VALUE"""),2002.0)</f>
        <v>2002</v>
      </c>
      <c r="X282" s="697" t="str">
        <f>IFERROR(__xludf.DUMMYFUNCTION("""COMPUTED_VALUE"""),"K. D. Ramaiah, P. Vanamail, S. P. Pani, J. Yuvaraj and P. K. Das
. The effect of six rounds of single dose mass treatment with diethylcarbamazine or ivermectin on Wuchereria bancrofti infection and its implications for lymphatic ﬁlariasis elimination
. Tr"&amp;"opical Medicine and International Health
. volume 7 no 9 pp 767–774 september 2002
")</f>
        <v>K. D. Ramaiah, P. Vanamail, S. P. Pani, J. Yuvaraj and P. K. Das
. The effect of six rounds of single dose mass treatment with diethylcarbamazine or ivermectin on Wuchereria bancrofti infection and its implications for lymphatic ﬁlariasis elimination
. Tropical Medicine and International Health
. volume 7 no 9 pp 767–774 september 2002
</v>
      </c>
      <c r="Y282" s="697"/>
      <c r="Z282" s="865" t="str">
        <f>IFERROR(__xludf.DUMMYFUNCTION("""COMPUTED_VALUE"""),"https://drive.google.com/file/d/0B4sJPAkX0Jo3cE94NDZ5VWZyNlE/view?usp=sharing")</f>
        <v>https://drive.google.com/file/d/0B4sJPAkX0Jo3cE94NDZ5VWZyNlE/view?usp=sharing</v>
      </c>
      <c r="AA282" s="697"/>
    </row>
    <row r="283">
      <c r="A283" s="697" t="str">
        <f>IFERROR(__xludf.DUMMYFUNCTION("""COMPUTED_VALUE"""),"Ramaiah KD, 2002")</f>
        <v>Ramaiah KD, 2002</v>
      </c>
      <c r="B283" s="697"/>
      <c r="C283" s="697" t="str">
        <f>IFERROR(__xludf.DUMMYFUNCTION("""COMPUTED_VALUE"""),"Chungsoo")</f>
        <v>Chungsoo</v>
      </c>
      <c r="D283" s="697" t="str">
        <f>IFERROR(__xludf.DUMMYFUNCTION("""COMPUTED_VALUE"""),"India")</f>
        <v>India</v>
      </c>
      <c r="E283" s="697" t="str">
        <f>IFERROR(__xludf.DUMMYFUNCTION("""COMPUTED_VALUE"""),"W. bancrofti")</f>
        <v>W. bancrofti</v>
      </c>
      <c r="F283" s="697" t="str">
        <f>IFERROR(__xludf.DUMMYFUNCTION("""COMPUTED_VALUE"""),"Ivermectin")</f>
        <v>Ivermectin</v>
      </c>
      <c r="G283" s="697" t="str">
        <f>IFERROR(__xludf.DUMMYFUNCTION("""COMPUTED_VALUE"""),"400 ug/kg")</f>
        <v>400 ug/kg</v>
      </c>
      <c r="H283" s="697"/>
      <c r="I283" s="706">
        <f>IFERROR(__xludf.DUMMYFUNCTION("""COMPUTED_VALUE"""),0.838)</f>
        <v>0.838</v>
      </c>
      <c r="J283" s="706">
        <f>IFERROR(__xludf.DUMMYFUNCTION("""COMPUTED_VALUE"""),0.72)</f>
        <v>0.72</v>
      </c>
      <c r="K283" s="697"/>
      <c r="L283" s="697" t="str">
        <f>IFERROR(__xludf.DUMMYFUNCTION("""COMPUTED_VALUE"""),"15 villages, population  517 to 3321")</f>
        <v>15 villages, population  517 to 3321</v>
      </c>
      <c r="M283" s="697"/>
      <c r="N283" s="697"/>
      <c r="O283" s="697" t="str">
        <f>IFERROR(__xludf.DUMMYFUNCTION("""COMPUTED_VALUE"""),"excluded: children &lt;15kg, pregnant and lactating mothers, terminally ill people")</f>
        <v>excluded: children &lt;15kg, pregnant and lactating mothers, terminally ill people</v>
      </c>
      <c r="P283" s="697" t="str">
        <f>IFERROR(__xludf.DUMMYFUNCTION("""COMPUTED_VALUE"""),"double-blind, placebo-controlled and con- sisted of three arms (Das et al. 2001) and six rounds of mass treatment, single blind after first round")</f>
        <v>double-blind, placebo-controlled and con- sisted of three arms (Das et al. 2001) and six rounds of mass treatment, single blind after first round</v>
      </c>
      <c r="Q283" s="697"/>
      <c r="R283" s="697"/>
      <c r="S283" s="697"/>
      <c r="T283" s="697"/>
      <c r="U283" s="697" t="str">
        <f>IFERROR(__xludf.DUMMYFUNCTION("""COMPUTED_VALUE""")," initial two rounds were given at a 6-month interval and the subsequent four rounds at 12–15- month intervals. ")</f>
        <v> initial two rounds were given at a 6-month interval and the subsequent four rounds at 12–15- month intervals. </v>
      </c>
      <c r="V283" s="697">
        <f>IFERROR(__xludf.DUMMYFUNCTION("""COMPUTED_VALUE"""),2002.0)</f>
        <v>2002</v>
      </c>
      <c r="W283" s="697">
        <f>IFERROR(__xludf.DUMMYFUNCTION("""COMPUTED_VALUE"""),2002.0)</f>
        <v>2002</v>
      </c>
      <c r="X283" s="697" t="str">
        <f>IFERROR(__xludf.DUMMYFUNCTION("""COMPUTED_VALUE"""),"K. D. Ramaiah, P. Vanamail, S. P. Pani, J. Yuvaraj and P. K. Das
. The effect of six rounds of single dose mass treatment with diethylcarbamazine or ivermectin on Wuchereria bancrofti infection and its implications for lymphatic ﬁlariasis elimination
. Tr"&amp;"opical Medicine and International Health
. volume 7 no 9 pp 767–774 september 2002
")</f>
        <v>K. D. Ramaiah, P. Vanamail, S. P. Pani, J. Yuvaraj and P. K. Das
. The effect of six rounds of single dose mass treatment with diethylcarbamazine or ivermectin on Wuchereria bancrofti infection and its implications for lymphatic ﬁlariasis elimination
. Tropical Medicine and International Health
. volume 7 no 9 pp 767–774 september 2002
</v>
      </c>
      <c r="Y283" s="697"/>
      <c r="Z283" s="865" t="str">
        <f>IFERROR(__xludf.DUMMYFUNCTION("""COMPUTED_VALUE"""),"https://drive.google.com/file/d/0B4sJPAkX0Jo3cE94NDZ5VWZyNlE/view?usp=sharing")</f>
        <v>https://drive.google.com/file/d/0B4sJPAkX0Jo3cE94NDZ5VWZyNlE/view?usp=sharing</v>
      </c>
      <c r="AA283" s="697"/>
    </row>
    <row r="284">
      <c r="A284" s="697" t="str">
        <f>IFERROR(__xludf.DUMMYFUNCTION("""COMPUTED_VALUE"""),"Ramaiah KD, 2002")</f>
        <v>Ramaiah KD, 2002</v>
      </c>
      <c r="B284" s="697"/>
      <c r="C284" s="697" t="str">
        <f>IFERROR(__xludf.DUMMYFUNCTION("""COMPUTED_VALUE"""),"Chungsoo")</f>
        <v>Chungsoo</v>
      </c>
      <c r="D284" s="697" t="str">
        <f>IFERROR(__xludf.DUMMYFUNCTION("""COMPUTED_VALUE"""),"India")</f>
        <v>India</v>
      </c>
      <c r="E284" s="697" t="str">
        <f>IFERROR(__xludf.DUMMYFUNCTION("""COMPUTED_VALUE"""),"W. bancrofti")</f>
        <v>W. bancrofti</v>
      </c>
      <c r="F284" s="697" t="str">
        <f>IFERROR(__xludf.DUMMYFUNCTION("""COMPUTED_VALUE"""),"placebo")</f>
        <v>placebo</v>
      </c>
      <c r="G284" s="697" t="str">
        <f>IFERROR(__xludf.DUMMYFUNCTION("""COMPUTED_VALUE"""),"--")</f>
        <v>--</v>
      </c>
      <c r="H284" s="697"/>
      <c r="I284" s="706">
        <f>IFERROR(__xludf.DUMMYFUNCTION("""COMPUTED_VALUE"""),0.466)</f>
        <v>0.466</v>
      </c>
      <c r="J284" s="697"/>
      <c r="K284" s="697"/>
      <c r="L284" s="697" t="str">
        <f>IFERROR(__xludf.DUMMYFUNCTION("""COMPUTED_VALUE"""),"15 villages, population  517 to 3321")</f>
        <v>15 villages, population  517 to 3321</v>
      </c>
      <c r="M284" s="697"/>
      <c r="N284" s="697"/>
      <c r="O284" s="697" t="str">
        <f>IFERROR(__xludf.DUMMYFUNCTION("""COMPUTED_VALUE"""),"excluded: children &lt;15kg, pregnant and lactating mothers, terminally ill people")</f>
        <v>excluded: children &lt;15kg, pregnant and lactating mothers, terminally ill people</v>
      </c>
      <c r="P284" s="697" t="str">
        <f>IFERROR(__xludf.DUMMYFUNCTION("""COMPUTED_VALUE"""),"double-blind, placebo-controlled and con- sisted of three arms (Das et al. 2001) and six rounds of mass treatment, single blind after first round")</f>
        <v>double-blind, placebo-controlled and con- sisted of three arms (Das et al. 2001) and six rounds of mass treatment, single blind after first round</v>
      </c>
      <c r="Q284" s="697"/>
      <c r="R284" s="697"/>
      <c r="S284" s="697" t="str">
        <f>IFERROR(__xludf.DUMMYFUNCTION("""COMPUTED_VALUE""")," ")</f>
        <v> </v>
      </c>
      <c r="T284" s="697"/>
      <c r="U284" s="697" t="str">
        <f>IFERROR(__xludf.DUMMYFUNCTION("""COMPUTED_VALUE""")," initial two rounds were given at a 6-month interval and the subsequent four rounds at 12–15- month intervals. ")</f>
        <v> initial two rounds were given at a 6-month interval and the subsequent four rounds at 12–15- month intervals. </v>
      </c>
      <c r="V284" s="697">
        <f>IFERROR(__xludf.DUMMYFUNCTION("""COMPUTED_VALUE"""),2002.0)</f>
        <v>2002</v>
      </c>
      <c r="W284" s="697">
        <f>IFERROR(__xludf.DUMMYFUNCTION("""COMPUTED_VALUE"""),2002.0)</f>
        <v>2002</v>
      </c>
      <c r="X284" s="697" t="str">
        <f>IFERROR(__xludf.DUMMYFUNCTION("""COMPUTED_VALUE"""),"K. D. Ramaiah, P. Vanamail, S. P. Pani, J. Yuvaraj and P. K. Das
. The effect of six rounds of single dose mass treatment with diethylcarbamazine or ivermectin on Wuchereria bancrofti infection and its implications for lymphatic ﬁlariasis elimination
. Tr"&amp;"opical Medicine and International Health
. volume 7 no 9 pp 767–774 september 2002
")</f>
        <v>K. D. Ramaiah, P. Vanamail, S. P. Pani, J. Yuvaraj and P. K. Das
. The effect of six rounds of single dose mass treatment with diethylcarbamazine or ivermectin on Wuchereria bancrofti infection and its implications for lymphatic ﬁlariasis elimination
. Tropical Medicine and International Health
. volume 7 no 9 pp 767–774 september 2002
</v>
      </c>
      <c r="Y284" s="697"/>
      <c r="Z284" s="865" t="str">
        <f>IFERROR(__xludf.DUMMYFUNCTION("""COMPUTED_VALUE"""),"https://drive.google.com/file/d/0B4sJPAkX0Jo3cE94NDZ5VWZyNlE/view?usp=sharing")</f>
        <v>https://drive.google.com/file/d/0B4sJPAkX0Jo3cE94NDZ5VWZyNlE/view?usp=sharing</v>
      </c>
      <c r="AA284" s="697"/>
    </row>
    <row r="285">
      <c r="A285" s="697" t="str">
        <f>IFERROR(__xludf.DUMMYFUNCTION("""COMPUTED_VALUE"""),"Reuben 2001")</f>
        <v>Reuben 2001</v>
      </c>
      <c r="B285" s="697" t="str">
        <f>IFERROR(__xludf.DUMMYFUNCTION("""COMPUTED_VALUE"""),"Kirti")</f>
        <v>Kirti</v>
      </c>
      <c r="C285" s="697" t="str">
        <f>IFERROR(__xludf.DUMMYFUNCTION("""COMPUTED_VALUE"""),"Chungsoo")</f>
        <v>Chungsoo</v>
      </c>
      <c r="D285" s="697" t="str">
        <f>IFERROR(__xludf.DUMMYFUNCTION("""COMPUTED_VALUE"""),"India")</f>
        <v>India</v>
      </c>
      <c r="E285" s="697" t="str">
        <f>IFERROR(__xludf.DUMMYFUNCTION("""COMPUTED_VALUE"""),"W. bancrofti")</f>
        <v>W. bancrofti</v>
      </c>
      <c r="F285" s="697" t="str">
        <f>IFERROR(__xludf.DUMMYFUNCTION("""COMPUTED_VALUE"""),"DEC &amp; Ivermectin")</f>
        <v>DEC &amp; Ivermectin</v>
      </c>
      <c r="G285" s="697" t="str">
        <f>IFERROR(__xludf.DUMMYFUNCTION("""COMPUTED_VALUE"""),"6 mg/kg body weight + 400 μg/kg 1 year apart")</f>
        <v>6 mg/kg body weight + 400 μg/kg 1 year apart</v>
      </c>
      <c r="H285" s="697"/>
      <c r="I285" s="706">
        <f>IFERROR(__xludf.DUMMYFUNCTION("""COMPUTED_VALUE"""),0.902)</f>
        <v>0.902</v>
      </c>
      <c r="J285" s="698">
        <f>IFERROR(__xludf.DUMMYFUNCTION("""COMPUTED_VALUE"""),0.8993)</f>
        <v>0.8993</v>
      </c>
      <c r="K285" s="697"/>
      <c r="L285" s="697">
        <f>IFERROR(__xludf.DUMMYFUNCTION("""COMPUTED_VALUE"""),776.0)</f>
        <v>776</v>
      </c>
      <c r="M285" s="697" t="str">
        <f>IFERROR(__xludf.DUMMYFUNCTION("""COMPUTED_VALUE"""),"5-59")</f>
        <v>5-59</v>
      </c>
      <c r="N285" s="705" t="str">
        <f>IFERROR(__xludf.DUMMYFUNCTION("""COMPUTED_VALUE"""),"445:331")</f>
        <v>445:331</v>
      </c>
      <c r="O285" s="697" t="str">
        <f>IFERROR(__xludf.DUMMYFUNCTION("""COMPUTED_VALUE"""),"not pregnant, lactating or seriously ill")</f>
        <v>not pregnant, lactating or seriously ill</v>
      </c>
      <c r="P285" s="697" t="str">
        <f>IFERROR(__xludf.DUMMYFUNCTION("""COMPUTED_VALUE"""),"mass treatment ")</f>
        <v>mass treatment </v>
      </c>
      <c r="Q285" s="697"/>
      <c r="R285" s="697"/>
      <c r="S285" s="697" t="str">
        <f>IFERROR(__xludf.DUMMYFUNCTION("""COMPUTED_VALUE"""),"3 years")</f>
        <v>3 years</v>
      </c>
      <c r="T285" s="697" t="str">
        <f>IFERROR(__xludf.DUMMYFUNCTION("""COMPUTED_VALUE"""),"Repeated, annual, mass treatments with single doses of DEC or IVR are safe, acceptable, cheap and effective for sustained reduction of microfilaraemia in the community.")</f>
        <v>Repeated, annual, mass treatments with single doses of DEC or IVR are safe, acceptable, cheap and effective for sustained reduction of microfilaraemia in the community.</v>
      </c>
      <c r="U285" s="697" t="str">
        <f>IFERROR(__xludf.DUMMYFUNCTION("""COMPUTED_VALUE"""),"Annual rounds of chemotherapy were carried out in the first 2 years of the study period. The data for group A (treatment) and group B (treatment +vector control) was combined. ")</f>
        <v>Annual rounds of chemotherapy were carried out in the first 2 years of the study period. The data for group A (treatment) and group B (treatment +vector control) was combined. </v>
      </c>
      <c r="V285" s="697" t="str">
        <f>IFERROR(__xludf.DUMMYFUNCTION("""COMPUTED_VALUE"""),"1994-1997")</f>
        <v>1994-1997</v>
      </c>
      <c r="W285" s="697">
        <f>IFERROR(__xludf.DUMMYFUNCTION("""COMPUTED_VALUE"""),1997.0)</f>
        <v>1997</v>
      </c>
      <c r="X285" s="697" t="str">
        <f>IFERROR(__xludf.DUMMYFUNCTION("""COMPUTED_VALUE"""),"Reuben BR, Rajendran R, Sunish IP, Mani TR, Tewari SC, Hiriyan J, et al. Annual single-dose diethylcarbamazine plus ivermectin for control of bancroftian filariasis: comparative efficacy with and without vector control. Annals of Tropical Medicine &amp; Para"&amp;"sitology 2001; 95 (4): 361-378. ")</f>
        <v>Reuben BR, Rajendran R, Sunish IP, Mani TR, Tewari SC, Hiriyan J, et al. Annual single-dose diethylcarbamazine plus ivermectin for control of bancroftian filariasis: comparative ef_x008e_ficacy with and without vector control. Annals of Tropical Medicine &amp; Parasitology 2001; 95 (4): 361-378. </v>
      </c>
      <c r="Y285" s="697" t="str">
        <f>IFERROR(__xludf.DUMMYFUNCTION("""COMPUTED_VALUE"""),"doi: 1080/00034980120065796")</f>
        <v>doi: 1080/00034980120065796</v>
      </c>
      <c r="Z285" s="865" t="str">
        <f>IFERROR(__xludf.DUMMYFUNCTION("""COMPUTED_VALUE"""),"https://drive.google.com/file/d/0B0-pry4DSOm3UTFNenFnVzNicUE/view?usp=sharing")</f>
        <v>https://drive.google.com/file/d/0B0-pry4DSOm3UTFNenFnVzNicUE/view?usp=sharing</v>
      </c>
      <c r="AA285" s="697" t="str">
        <f>IFERROR(__xludf.DUMMYFUNCTION("""COMPUTED_VALUE"""),"x")</f>
        <v>x</v>
      </c>
    </row>
    <row r="286">
      <c r="A286" s="697" t="str">
        <f>IFERROR(__xludf.DUMMYFUNCTION("""COMPUTED_VALUE"""),"Reuben 2001")</f>
        <v>Reuben 2001</v>
      </c>
      <c r="B286" s="697" t="str">
        <f>IFERROR(__xludf.DUMMYFUNCTION("""COMPUTED_VALUE"""),"Kirti")</f>
        <v>Kirti</v>
      </c>
      <c r="C286" s="697" t="str">
        <f>IFERROR(__xludf.DUMMYFUNCTION("""COMPUTED_VALUE"""),"Chungsoo")</f>
        <v>Chungsoo</v>
      </c>
      <c r="D286" s="697" t="str">
        <f>IFERROR(__xludf.DUMMYFUNCTION("""COMPUTED_VALUE"""),"India")</f>
        <v>India</v>
      </c>
      <c r="E286" s="697" t="str">
        <f>IFERROR(__xludf.DUMMYFUNCTION("""COMPUTED_VALUE"""),"W. bancrofti")</f>
        <v>W. bancrofti</v>
      </c>
      <c r="F286" s="697" t="str">
        <f>IFERROR(__xludf.DUMMYFUNCTION("""COMPUTED_VALUE"""),"Placebo (Vitamin C)")</f>
        <v>Placebo (Vitamin C)</v>
      </c>
      <c r="G286" s="697" t="str">
        <f>IFERROR(__xludf.DUMMYFUNCTION("""COMPUTED_VALUE"""),"--")</f>
        <v>--</v>
      </c>
      <c r="H286" s="697"/>
      <c r="I286" s="706">
        <f>IFERROR(__xludf.DUMMYFUNCTION("""COMPUTED_VALUE"""),0.204)</f>
        <v>0.204</v>
      </c>
      <c r="J286" s="700">
        <f>IFERROR(__xludf.DUMMYFUNCTION("""COMPUTED_VALUE"""),0.27)</f>
        <v>0.27</v>
      </c>
      <c r="K286" s="697"/>
      <c r="L286" s="697">
        <f>IFERROR(__xludf.DUMMYFUNCTION("""COMPUTED_VALUE"""),562.0)</f>
        <v>562</v>
      </c>
      <c r="M286" s="697" t="str">
        <f>IFERROR(__xludf.DUMMYFUNCTION("""COMPUTED_VALUE"""),"5-59")</f>
        <v>5-59</v>
      </c>
      <c r="N286" s="705" t="str">
        <f>IFERROR(__xludf.DUMMYFUNCTION("""COMPUTED_VALUE"""),"357:205")</f>
        <v>357:205</v>
      </c>
      <c r="O286" s="697" t="str">
        <f>IFERROR(__xludf.DUMMYFUNCTION("""COMPUTED_VALUE"""),"not pregnant, lactating or seriously ill")</f>
        <v>not pregnant, lactating or seriously ill</v>
      </c>
      <c r="P286" s="697" t="str">
        <f>IFERROR(__xludf.DUMMYFUNCTION("""COMPUTED_VALUE"""),"mass treatment ")</f>
        <v>mass treatment </v>
      </c>
      <c r="Q286" s="697"/>
      <c r="R286" s="697"/>
      <c r="S286" s="697" t="str">
        <f>IFERROR(__xludf.DUMMYFUNCTION("""COMPUTED_VALUE"""),"3 years")</f>
        <v>3 years</v>
      </c>
      <c r="T286" s="697" t="str">
        <f>IFERROR(__xludf.DUMMYFUNCTION("""COMPUTED_VALUE"""),"Repeated, annual, mass treatments with single doses of DEC or IVR are safe, acceptable, cheap and effective for sustained reduction of microfilaraemia in the community.")</f>
        <v>Repeated, annual, mass treatments with single doses of DEC or IVR are safe, acceptable, cheap and effective for sustained reduction of microfilaraemia in the community.</v>
      </c>
      <c r="U286" s="697" t="str">
        <f>IFERROR(__xludf.DUMMYFUNCTION("""COMPUTED_VALUE"""),"No intervention of any kind. ")</f>
        <v>No intervention of any kind. </v>
      </c>
      <c r="V286" s="697" t="str">
        <f>IFERROR(__xludf.DUMMYFUNCTION("""COMPUTED_VALUE"""),"1994-1997")</f>
        <v>1994-1997</v>
      </c>
      <c r="W286" s="697">
        <f>IFERROR(__xludf.DUMMYFUNCTION("""COMPUTED_VALUE"""),1997.0)</f>
        <v>1997</v>
      </c>
      <c r="X286" s="697" t="str">
        <f>IFERROR(__xludf.DUMMYFUNCTION("""COMPUTED_VALUE"""),"Reuben BR, Rajendran R, Sunish IP, Mani TR, Tewari SC, Hiriyan J, et al. Annual single-dose diethylcarbamazine plus ivermectin for control of bancroftian filariasis: comparative efficacy with and without vector control. Annals of Tropical Medicine &amp; Para"&amp;"sitology 2001; 95 (4): 361-378. ")</f>
        <v>Reuben BR, Rajendran R, Sunish IP, Mani TR, Tewari SC, Hiriyan J, et al. Annual single-dose diethylcarbamazine plus ivermectin for control of bancroftian filariasis: comparative ef_x008e_ficacy with and without vector control. Annals of Tropical Medicine &amp; Parasitology 2001; 95 (4): 361-378. </v>
      </c>
      <c r="Y286" s="697" t="str">
        <f>IFERROR(__xludf.DUMMYFUNCTION("""COMPUTED_VALUE"""),"doi: 1080/00034980120065796")</f>
        <v>doi: 1080/00034980120065796</v>
      </c>
      <c r="Z286" s="865" t="str">
        <f>IFERROR(__xludf.DUMMYFUNCTION("""COMPUTED_VALUE"""),"https://drive.google.com/file/d/0B0-pry4DSOm3UTFNenFnVzNicUE/view?usp=sharing")</f>
        <v>https://drive.google.com/file/d/0B0-pry4DSOm3UTFNenFnVzNicUE/view?usp=sharing</v>
      </c>
      <c r="AA286" s="697" t="str">
        <f>IFERROR(__xludf.DUMMYFUNCTION("""COMPUTED_VALUE"""),"x")</f>
        <v>x</v>
      </c>
    </row>
    <row r="287">
      <c r="A287" s="697" t="str">
        <f>IFERROR(__xludf.DUMMYFUNCTION("""COMPUTED_VALUE"""),"Dunyo, 2000(2)")</f>
        <v>Dunyo, 2000(2)</v>
      </c>
      <c r="B287" s="697" t="str">
        <f>IFERROR(__xludf.DUMMYFUNCTION("""COMPUTED_VALUE"""),"Chungsoo")</f>
        <v>Chungsoo</v>
      </c>
      <c r="C287" s="697" t="str">
        <f>IFERROR(__xludf.DUMMYFUNCTION("""COMPUTED_VALUE"""),"Mahvish")</f>
        <v>Mahvish</v>
      </c>
      <c r="D287" s="697" t="str">
        <f>IFERROR(__xludf.DUMMYFUNCTION("""COMPUTED_VALUE"""),"Ghana")</f>
        <v>Ghana</v>
      </c>
      <c r="E287" s="697" t="str">
        <f>IFERROR(__xludf.DUMMYFUNCTION("""COMPUTED_VALUE"""),"W. bancrofti")</f>
        <v>W. bancrofti</v>
      </c>
      <c r="F287" s="697" t="str">
        <f>IFERROR(__xludf.DUMMYFUNCTION("""COMPUTED_VALUE"""),"Ivermectin")</f>
        <v>Ivermectin</v>
      </c>
      <c r="G287" s="697" t="str">
        <f>IFERROR(__xludf.DUMMYFUNCTION("""COMPUTED_VALUE"""),"150-200µg/kg bodyweight. 
The dosages given were actually 12 mg IVR and 200 mg DEC for those weighing less than 30 kg, 18 mg IVR and 300 mg DEC for those of 30-50 kg, and 24 mg IVR and 400 mg DEC for those subjects weighing more than 50 kg. ")</f>
        <v>150-200µg/kg bodyweight. 
The dosages given were actually 12 mg IVR and 200 mg DEC for those weighing less than 30 kg, 18 mg IVR and 300 mg DEC for those of 30-50 kg, and 24 mg IVR and 400 mg DEC for those subjects weighing more than 50 kg. </v>
      </c>
      <c r="H287" s="697" t="str">
        <f>IFERROR(__xludf.DUMMYFUNCTION("""COMPUTED_VALUE"""),"In each treatment round, treatment in each village extended over 3 days")</f>
        <v>In each treatment round, treatment in each village extended over 3 days</v>
      </c>
      <c r="I287" s="697"/>
      <c r="J287" s="697"/>
      <c r="K287" s="697"/>
      <c r="L287" s="697">
        <f>IFERROR(__xludf.DUMMYFUNCTION("""COMPUTED_VALUE"""),336.0)</f>
        <v>336</v>
      </c>
      <c r="M287" s="697" t="str">
        <f>IFERROR(__xludf.DUMMYFUNCTION("""COMPUTED_VALUE"""),"6-91, Mean = 26.8")</f>
        <v>6-91, Mean = 26.8</v>
      </c>
      <c r="N287" s="705" t="str">
        <f>IFERROR(__xludf.DUMMYFUNCTION("""COMPUTED_VALUE"""),"161:175")</f>
        <v>161:175</v>
      </c>
      <c r="O287" s="697" t="str">
        <f>IFERROR(__xludf.DUMMYFUNCTION("""COMPUTED_VALUE"""),"Participants were randomized except for the pregnant women and children aged less than 6 years")</f>
        <v>Participants were randomized except for the pregnant women and children aged less than 6 years</v>
      </c>
      <c r="P287" s="697" t="str">
        <f>IFERROR(__xludf.DUMMYFUNCTION("""COMPUTED_VALUE"""),"double-blind placebo-controlled")</f>
        <v>double-blind placebo-controlled</v>
      </c>
      <c r="Q287" s="697"/>
      <c r="R287" s="697"/>
      <c r="S287" s="697" t="str">
        <f>IFERROR(__xludf.DUMMYFUNCTION("""COMPUTED_VALUE"""),"12 months")</f>
        <v>12 months</v>
      </c>
      <c r="T287" s="697" t="str">
        <f>IFERROR(__xludf.DUMMYFUNCTION("""COMPUTED_VALUE"""),"Both ivermectin and combination treatment thus appeared effective for control of W. bancrofn’infections, but the difference in efficacy between the 2 treatments after 12 months appeared to be minimal.")</f>
        <v>Both ivermectin and combination treatment thus appeared effective for control of W. bancrofn’infections, but the difference in efficacy between the 2 treatments after 12 months appeared to be minimal.</v>
      </c>
      <c r="U287" s="697" t="str">
        <f>IFERROR(__xludf.DUMMYFUNCTION("""COMPUTED_VALUE"""),"Requires calculation of cure rate")</f>
        <v>Requires calculation of cure rate</v>
      </c>
      <c r="V287" s="697" t="str">
        <f>IFERROR(__xludf.DUMMYFUNCTION("""COMPUTED_VALUE"""),"1996-1998")</f>
        <v>1996-1998</v>
      </c>
      <c r="W287" s="697">
        <f>IFERROR(__xludf.DUMMYFUNCTION("""COMPUTED_VALUE"""),1998.0)</f>
        <v>1998</v>
      </c>
      <c r="X287" s="697" t="str">
        <f>IFERROR(__xludf.DUMMYFUNCTION("""COMPUTED_VALUE"""),"Dunyo SK, Nkrumah FK, Simonsen PE. Single-dose treatment of Wuchereria bancrofti infections with ivermectin and albendazole alone or in combination: evaluation of the potential for control at 12 months after treatment. Transactions of the Royal Society of"&amp;" Tropical Medicine and Hygiene. Oxford University Press (OUP); 2000 Jul;94(4):437–43.")</f>
        <v>Dunyo SK, Nkrumah FK, Simonsen PE. Single-dose treatment of Wuchereria bancrofti infections with ivermectin and albendazole alone or in combination: evaluation of the potential for control at 12 months after treatment. Transactions of the Royal Society of Tropical Medicine and Hygiene. Oxford University Press (OUP); 2000 Jul;94(4):437–43.</v>
      </c>
      <c r="Y287" s="697" t="str">
        <f>IFERROR(__xludf.DUMMYFUNCTION("""COMPUTED_VALUE"""),"10.1016/S0035-9203(00)90135-4")</f>
        <v>10.1016/S0035-9203(00)90135-4</v>
      </c>
      <c r="Z287" s="865" t="str">
        <f>IFERROR(__xludf.DUMMYFUNCTION("""COMPUTED_VALUE"""),"https://drive.google.com/file/d/0B0-pry4DSOm3Sk5VNWxOdzJiQkk/view?usp=sharing")</f>
        <v>https://drive.google.com/file/d/0B0-pry4DSOm3Sk5VNWxOdzJiQkk/view?usp=sharing</v>
      </c>
      <c r="AA287" s="697"/>
    </row>
    <row r="288">
      <c r="A288" s="697" t="str">
        <f>IFERROR(__xludf.DUMMYFUNCTION("""COMPUTED_VALUE"""),"Dunyo, 2000(2)")</f>
        <v>Dunyo, 2000(2)</v>
      </c>
      <c r="B288" s="697" t="str">
        <f>IFERROR(__xludf.DUMMYFUNCTION("""COMPUTED_VALUE"""),"Chungsoo")</f>
        <v>Chungsoo</v>
      </c>
      <c r="C288" s="697" t="str">
        <f>IFERROR(__xludf.DUMMYFUNCTION("""COMPUTED_VALUE"""),"Mahvish")</f>
        <v>Mahvish</v>
      </c>
      <c r="D288" s="697" t="str">
        <f>IFERROR(__xludf.DUMMYFUNCTION("""COMPUTED_VALUE"""),"Ghana")</f>
        <v>Ghana</v>
      </c>
      <c r="E288" s="697" t="str">
        <f>IFERROR(__xludf.DUMMYFUNCTION("""COMPUTED_VALUE"""),"W. bancrofti")</f>
        <v>W. bancrofti</v>
      </c>
      <c r="F288" s="697" t="str">
        <f>IFERROR(__xludf.DUMMYFUNCTION("""COMPUTED_VALUE"""),"Albendazole")</f>
        <v>Albendazole</v>
      </c>
      <c r="G288" s="697" t="str">
        <f>IFERROR(__xludf.DUMMYFUNCTION("""COMPUTED_VALUE"""),"400mg. The dosages given were actually 12 mg IVR and 200 mg DEC for those weighing less than 30 kg, 18 mg IVR and 300 mg DEC for those of 30-50 kg, and 24 mg IVR and 400 mg DEC for those subjects weighing more than 50 kg. ")</f>
        <v>400mg. The dosages given were actually 12 mg IVR and 200 mg DEC for those weighing less than 30 kg, 18 mg IVR and 300 mg DEC for those of 30-50 kg, and 24 mg IVR and 400 mg DEC for those subjects weighing more than 50 kg. </v>
      </c>
      <c r="H288" s="697" t="str">
        <f>IFERROR(__xludf.DUMMYFUNCTION("""COMPUTED_VALUE"""),"In each treatment round, treatment in each village extended over 3 days")</f>
        <v>In each treatment round, treatment in each village extended over 3 days</v>
      </c>
      <c r="I288" s="697"/>
      <c r="J288" s="697"/>
      <c r="K288" s="697"/>
      <c r="L288" s="697">
        <f>IFERROR(__xludf.DUMMYFUNCTION("""COMPUTED_VALUE"""),369.0)</f>
        <v>369</v>
      </c>
      <c r="M288" s="697" t="str">
        <f>IFERROR(__xludf.DUMMYFUNCTION("""COMPUTED_VALUE"""),"6-89, Mean = 25.6")</f>
        <v>6-89, Mean = 25.6</v>
      </c>
      <c r="N288" s="705" t="str">
        <f>IFERROR(__xludf.DUMMYFUNCTION("""COMPUTED_VALUE"""),"194:175")</f>
        <v>194:175</v>
      </c>
      <c r="O288" s="697" t="str">
        <f>IFERROR(__xludf.DUMMYFUNCTION("""COMPUTED_VALUE"""),"Participants were randomized except for the pregnant women and children aged less than 6 years")</f>
        <v>Participants were randomized except for the pregnant women and children aged less than 6 years</v>
      </c>
      <c r="P288" s="697" t="str">
        <f>IFERROR(__xludf.DUMMYFUNCTION("""COMPUTED_VALUE"""),"double-blind placebo-controlled")</f>
        <v>double-blind placebo-controlled</v>
      </c>
      <c r="Q288" s="697"/>
      <c r="R288" s="697"/>
      <c r="S288" s="697" t="str">
        <f>IFERROR(__xludf.DUMMYFUNCTION("""COMPUTED_VALUE"""),"12 months")</f>
        <v>12 months</v>
      </c>
      <c r="T288" s="697" t="str">
        <f>IFERROR(__xludf.DUMMYFUNCTION("""COMPUTED_VALUE"""),"Both ivermectin and combination treatment thus appeared effective for control of W. bancrofn’infections, but the difference in efficacy between the 2 treatments after 12 months appeared to be minimal.")</f>
        <v>Both ivermectin and combination treatment thus appeared effective for control of W. bancrofn’infections, but the difference in efficacy between the 2 treatments after 12 months appeared to be minimal.</v>
      </c>
      <c r="U288" s="697" t="str">
        <f>IFERROR(__xludf.DUMMYFUNCTION("""COMPUTED_VALUE"""),"Requires calculation of cure rate")</f>
        <v>Requires calculation of cure rate</v>
      </c>
      <c r="V288" s="697" t="str">
        <f>IFERROR(__xludf.DUMMYFUNCTION("""COMPUTED_VALUE"""),"1996-1998")</f>
        <v>1996-1998</v>
      </c>
      <c r="W288" s="697">
        <f>IFERROR(__xludf.DUMMYFUNCTION("""COMPUTED_VALUE"""),1998.0)</f>
        <v>1998</v>
      </c>
      <c r="X288" s="697" t="str">
        <f>IFERROR(__xludf.DUMMYFUNCTION("""COMPUTED_VALUE"""),"Dunyo SK, Nkrumah FK, Simonsen PE. Single-dose treatment of Wuchereria bancrofti infections with ivermectin and albendazole alone or in combination: evaluation of the potential for control at 12 months after treatment. Transactions of the Royal Society of"&amp;" Tropical Medicine and Hygiene. Oxford University Press (OUP); 2000 Jul;94(4):437–43.")</f>
        <v>Dunyo SK, Nkrumah FK, Simonsen PE. Single-dose treatment of Wuchereria bancrofti infections with ivermectin and albendazole alone or in combination: evaluation of the potential for control at 12 months after treatment. Transactions of the Royal Society of Tropical Medicine and Hygiene. Oxford University Press (OUP); 2000 Jul;94(4):437–43.</v>
      </c>
      <c r="Y288" s="697" t="str">
        <f>IFERROR(__xludf.DUMMYFUNCTION("""COMPUTED_VALUE"""),"10.1016/S0035-9203(00)90135-4")</f>
        <v>10.1016/S0035-9203(00)90135-4</v>
      </c>
      <c r="Z288" s="865" t="str">
        <f>IFERROR(__xludf.DUMMYFUNCTION("""COMPUTED_VALUE"""),"https://drive.google.com/file/d/0B0-pry4DSOm3Sk5VNWxOdzJiQkk/view?usp=sharing")</f>
        <v>https://drive.google.com/file/d/0B0-pry4DSOm3Sk5VNWxOdzJiQkk/view?usp=sharing</v>
      </c>
      <c r="AA288" s="697"/>
    </row>
    <row r="289">
      <c r="A289" s="697" t="str">
        <f>IFERROR(__xludf.DUMMYFUNCTION("""COMPUTED_VALUE"""),"Dunyo, 2000(2)")</f>
        <v>Dunyo, 2000(2)</v>
      </c>
      <c r="B289" s="697" t="str">
        <f>IFERROR(__xludf.DUMMYFUNCTION("""COMPUTED_VALUE"""),"Chungsoo")</f>
        <v>Chungsoo</v>
      </c>
      <c r="C289" s="697" t="str">
        <f>IFERROR(__xludf.DUMMYFUNCTION("""COMPUTED_VALUE"""),"Mahvish")</f>
        <v>Mahvish</v>
      </c>
      <c r="D289" s="697" t="str">
        <f>IFERROR(__xludf.DUMMYFUNCTION("""COMPUTED_VALUE"""),"Ghana")</f>
        <v>Ghana</v>
      </c>
      <c r="E289" s="697" t="str">
        <f>IFERROR(__xludf.DUMMYFUNCTION("""COMPUTED_VALUE"""),"W. bancrofti")</f>
        <v>W. bancrofti</v>
      </c>
      <c r="F289" s="697" t="str">
        <f>IFERROR(__xludf.DUMMYFUNCTION("""COMPUTED_VALUE"""),"Albendazole &amp; Ivermectin")</f>
        <v>Albendazole &amp; Ivermectin</v>
      </c>
      <c r="G289" s="697" t="str">
        <f>IFERROR(__xludf.DUMMYFUNCTION("""COMPUTED_VALUE"""),"150-200µg/kg+400mg. The dosages given were actually 12 mg IVR and 200 mg DEC for those weighing less than 30 kg, 18 mg IVR and 300 mg DEC for those of 30-50 kg, and 24 mg IVR and 400 mg DEC for those subjects weighing more than 50 kg. ")</f>
        <v>150-200µg/kg+400mg. The dosages given were actually 12 mg IVR and 200 mg DEC for those weighing less than 30 kg, 18 mg IVR and 300 mg DEC for those of 30-50 kg, and 24 mg IVR and 400 mg DEC for those subjects weighing more than 50 kg. </v>
      </c>
      <c r="H289" s="697" t="str">
        <f>IFERROR(__xludf.DUMMYFUNCTION("""COMPUTED_VALUE"""),"In each treatment round, treatment in each village extended over 3 days")</f>
        <v>In each treatment round, treatment in each village extended over 3 days</v>
      </c>
      <c r="I289" s="697"/>
      <c r="J289" s="697"/>
      <c r="K289" s="697"/>
      <c r="L289" s="697">
        <f>IFERROR(__xludf.DUMMYFUNCTION("""COMPUTED_VALUE"""),370.0)</f>
        <v>370</v>
      </c>
      <c r="M289" s="697" t="str">
        <f>IFERROR(__xludf.DUMMYFUNCTION("""COMPUTED_VALUE"""),"6-84, Mean = 26.9")</f>
        <v>6-84, Mean = 26.9</v>
      </c>
      <c r="N289" s="705" t="str">
        <f>IFERROR(__xludf.DUMMYFUNCTION("""COMPUTED_VALUE"""),"177:193")</f>
        <v>177:193</v>
      </c>
      <c r="O289" s="697" t="str">
        <f>IFERROR(__xludf.DUMMYFUNCTION("""COMPUTED_VALUE"""),"Participants were randomized except for the pregnant women and children aged less than 6 years")</f>
        <v>Participants were randomized except for the pregnant women and children aged less than 6 years</v>
      </c>
      <c r="P289" s="697" t="str">
        <f>IFERROR(__xludf.DUMMYFUNCTION("""COMPUTED_VALUE"""),"double-blind placebo-controlled")</f>
        <v>double-blind placebo-controlled</v>
      </c>
      <c r="Q289" s="697"/>
      <c r="R289" s="697"/>
      <c r="S289" s="697" t="str">
        <f>IFERROR(__xludf.DUMMYFUNCTION("""COMPUTED_VALUE"""),"12 months")</f>
        <v>12 months</v>
      </c>
      <c r="T289" s="697" t="str">
        <f>IFERROR(__xludf.DUMMYFUNCTION("""COMPUTED_VALUE"""),"Both ivermectin and combination treatment thus appeared effective for control of W. bancrofn’infections, but the difference in efficacy between the 2 treatments after 12 months appeared to be minimal.")</f>
        <v>Both ivermectin and combination treatment thus appeared effective for control of W. bancrofn’infections, but the difference in efficacy between the 2 treatments after 12 months appeared to be minimal.</v>
      </c>
      <c r="U289" s="697" t="str">
        <f>IFERROR(__xludf.DUMMYFUNCTION("""COMPUTED_VALUE"""),"Requires calculation of cure rate")</f>
        <v>Requires calculation of cure rate</v>
      </c>
      <c r="V289" s="697" t="str">
        <f>IFERROR(__xludf.DUMMYFUNCTION("""COMPUTED_VALUE"""),"1996-1998")</f>
        <v>1996-1998</v>
      </c>
      <c r="W289" s="697">
        <f>IFERROR(__xludf.DUMMYFUNCTION("""COMPUTED_VALUE"""),1998.0)</f>
        <v>1998</v>
      </c>
      <c r="X289" s="697" t="str">
        <f>IFERROR(__xludf.DUMMYFUNCTION("""COMPUTED_VALUE"""),"Dunyo SK, Nkrumah FK, Simonsen PE. Single-dose treatment of Wuchereria bancrofti infections with ivermectin and albendazole alone or in combination: evaluation of the potential for control at 12 months after treatment. Transactions of the Royal Society of"&amp;" Tropical Medicine and Hygiene. Oxford University Press (OUP); 2000 Jul;94(4):437–43.")</f>
        <v>Dunyo SK, Nkrumah FK, Simonsen PE. Single-dose treatment of Wuchereria bancrofti infections with ivermectin and albendazole alone or in combination: evaluation of the potential for control at 12 months after treatment. Transactions of the Royal Society of Tropical Medicine and Hygiene. Oxford University Press (OUP); 2000 Jul;94(4):437–43.</v>
      </c>
      <c r="Y289" s="697" t="str">
        <f>IFERROR(__xludf.DUMMYFUNCTION("""COMPUTED_VALUE"""),"10.1016/S0035-9203(00)90135-4")</f>
        <v>10.1016/S0035-9203(00)90135-4</v>
      </c>
      <c r="Z289" s="865" t="str">
        <f>IFERROR(__xludf.DUMMYFUNCTION("""COMPUTED_VALUE"""),"https://drive.google.com/file/d/0B0-pry4DSOm3Sk5VNWxOdzJiQkk/view?usp=sharing")</f>
        <v>https://drive.google.com/file/d/0B0-pry4DSOm3Sk5VNWxOdzJiQkk/view?usp=sharing</v>
      </c>
      <c r="AA289" s="697"/>
    </row>
    <row r="290">
      <c r="A290" s="697" t="str">
        <f>IFERROR(__xludf.DUMMYFUNCTION("""COMPUTED_VALUE"""),"Dunyo, 2000(2)")</f>
        <v>Dunyo, 2000(2)</v>
      </c>
      <c r="B290" s="697" t="str">
        <f>IFERROR(__xludf.DUMMYFUNCTION("""COMPUTED_VALUE"""),"Chungsoo")</f>
        <v>Chungsoo</v>
      </c>
      <c r="C290" s="697" t="str">
        <f>IFERROR(__xludf.DUMMYFUNCTION("""COMPUTED_VALUE"""),"Mahvish")</f>
        <v>Mahvish</v>
      </c>
      <c r="D290" s="697" t="str">
        <f>IFERROR(__xludf.DUMMYFUNCTION("""COMPUTED_VALUE"""),"Ghana")</f>
        <v>Ghana</v>
      </c>
      <c r="E290" s="697" t="str">
        <f>IFERROR(__xludf.DUMMYFUNCTION("""COMPUTED_VALUE"""),"W. bancrofti")</f>
        <v>W. bancrofti</v>
      </c>
      <c r="F290" s="697" t="str">
        <f>IFERROR(__xludf.DUMMYFUNCTION("""COMPUTED_VALUE"""),"Placebo")</f>
        <v>Placebo</v>
      </c>
      <c r="G290" s="697" t="str">
        <f>IFERROR(__xludf.DUMMYFUNCTION("""COMPUTED_VALUE"""),"Villagers in the group-C villages received the equivalent numbers of placebo (vitamin-C) tablets. ")</f>
        <v>Villagers in the group-C villages received the equivalent numbers of placebo (vitamin-C) tablets. </v>
      </c>
      <c r="H290" s="697" t="str">
        <f>IFERROR(__xludf.DUMMYFUNCTION("""COMPUTED_VALUE"""),"In each treatment round, treatment in each village extended over 3 days")</f>
        <v>In each treatment round, treatment in each village extended over 3 days</v>
      </c>
      <c r="I290" s="697"/>
      <c r="J290" s="697"/>
      <c r="K290" s="697"/>
      <c r="L290" s="697">
        <f>IFERROR(__xludf.DUMMYFUNCTION("""COMPUTED_VALUE"""),350.0)</f>
        <v>350</v>
      </c>
      <c r="M290" s="697" t="str">
        <f>IFERROR(__xludf.DUMMYFUNCTION("""COMPUTED_VALUE"""),"6-98, Mean = 26.3")</f>
        <v>6-98, Mean = 26.3</v>
      </c>
      <c r="N290" s="705" t="str">
        <f>IFERROR(__xludf.DUMMYFUNCTION("""COMPUTED_VALUE"""),"191:159")</f>
        <v>191:159</v>
      </c>
      <c r="O290" s="697" t="str">
        <f>IFERROR(__xludf.DUMMYFUNCTION("""COMPUTED_VALUE"""),"Participants were randomized except for the pregnant women and children aged less than 6 years")</f>
        <v>Participants were randomized except for the pregnant women and children aged less than 6 years</v>
      </c>
      <c r="P290" s="697" t="str">
        <f>IFERROR(__xludf.DUMMYFUNCTION("""COMPUTED_VALUE"""),"double-blind placebo-controlled")</f>
        <v>double-blind placebo-controlled</v>
      </c>
      <c r="Q290" s="697"/>
      <c r="R290" s="697"/>
      <c r="S290" s="697" t="str">
        <f>IFERROR(__xludf.DUMMYFUNCTION("""COMPUTED_VALUE"""),"12 months")</f>
        <v>12 months</v>
      </c>
      <c r="T290" s="697" t="str">
        <f>IFERROR(__xludf.DUMMYFUNCTION("""COMPUTED_VALUE"""),"Both ivermectin and combination treatment thus appeared effective for control of W. bancrofn’infections, but the difference in efficacy between the 2 treatments after 12 months appeared to be minimal.")</f>
        <v>Both ivermectin and combination treatment thus appeared effective for control of W. bancrofn’infections, but the difference in efficacy between the 2 treatments after 12 months appeared to be minimal.</v>
      </c>
      <c r="U290" s="697" t="str">
        <f>IFERROR(__xludf.DUMMYFUNCTION("""COMPUTED_VALUE"""),"Requires calculation of cure rate")</f>
        <v>Requires calculation of cure rate</v>
      </c>
      <c r="V290" s="697" t="str">
        <f>IFERROR(__xludf.DUMMYFUNCTION("""COMPUTED_VALUE"""),"1996-1998")</f>
        <v>1996-1998</v>
      </c>
      <c r="W290" s="697">
        <f>IFERROR(__xludf.DUMMYFUNCTION("""COMPUTED_VALUE"""),1998.0)</f>
        <v>1998</v>
      </c>
      <c r="X290" s="697" t="str">
        <f>IFERROR(__xludf.DUMMYFUNCTION("""COMPUTED_VALUE"""),"Dunyo SK, Nkrumah FK, Simonsen PE. Single-dose treatment of Wuchereria bancrofti infections with ivermectin and albendazole alone or in combination: evaluation of the potential for control at 12 months after treatment. Transactions of the Royal Society of"&amp;" Tropical Medicine and Hygiene. Oxford University Press (OUP); 2000 Jul;94(4):437–43.")</f>
        <v>Dunyo SK, Nkrumah FK, Simonsen PE. Single-dose treatment of Wuchereria bancrofti infections with ivermectin and albendazole alone or in combination: evaluation of the potential for control at 12 months after treatment. Transactions of the Royal Society of Tropical Medicine and Hygiene. Oxford University Press (OUP); 2000 Jul;94(4):437–43.</v>
      </c>
      <c r="Y290" s="697" t="str">
        <f>IFERROR(__xludf.DUMMYFUNCTION("""COMPUTED_VALUE"""),"10.1016/S0035-9203(00)90135-4")</f>
        <v>10.1016/S0035-9203(00)90135-4</v>
      </c>
      <c r="Z290" s="865" t="str">
        <f>IFERROR(__xludf.DUMMYFUNCTION("""COMPUTED_VALUE"""),"https://drive.google.com/file/d/0B0-pry4DSOm3Sk5VNWxOdzJiQkk/view?usp=sharing")</f>
        <v>https://drive.google.com/file/d/0B0-pry4DSOm3Sk5VNWxOdzJiQkk/view?usp=sharing</v>
      </c>
      <c r="AA290" s="697"/>
    </row>
    <row r="291">
      <c r="A291" s="697" t="str">
        <f>IFERROR(__xludf.DUMMYFUNCTION("""COMPUTED_VALUE"""),"Hakim, 1995")</f>
        <v>Hakim, 1995</v>
      </c>
      <c r="B291" s="697" t="str">
        <f>IFERROR(__xludf.DUMMYFUNCTION("""COMPUTED_VALUE"""),"Chungsoo")</f>
        <v>Chungsoo</v>
      </c>
      <c r="C291" s="697" t="str">
        <f>IFERROR(__xludf.DUMMYFUNCTION("""COMPUTED_VALUE"""),"Mahvish")</f>
        <v>Mahvish</v>
      </c>
      <c r="D291" s="697" t="str">
        <f>IFERROR(__xludf.DUMMYFUNCTION("""COMPUTED_VALUE"""),"Malaysia")</f>
        <v>Malaysia</v>
      </c>
      <c r="E291" s="697" t="str">
        <f>IFERROR(__xludf.DUMMYFUNCTION("""COMPUTED_VALUE"""),"W. bancrofti")</f>
        <v>W. bancrofti</v>
      </c>
      <c r="F291" s="697" t="str">
        <f>IFERROR(__xludf.DUMMYFUNCTION("""COMPUTED_VALUE"""),"DEC")</f>
        <v>DEC</v>
      </c>
      <c r="G291" s="697" t="str">
        <f>IFERROR(__xludf.DUMMYFUNCTION("""COMPUTED_VALUE"""),"a single dose of DEC(6mg/kg) ")</f>
        <v>a single dose of DEC(6mg/kg) </v>
      </c>
      <c r="H291" s="697" t="str">
        <f>IFERROR(__xludf.DUMMYFUNCTION("""COMPUTED_VALUE"""),"single dose, 1 day")</f>
        <v>single dose, 1 day</v>
      </c>
      <c r="I291" s="706">
        <f>IFERROR(__xludf.DUMMYFUNCTION("""COMPUTED_VALUE"""),0.591)</f>
        <v>0.591</v>
      </c>
      <c r="J291" s="706">
        <f>IFERROR(__xludf.DUMMYFUNCTION("""COMPUTED_VALUE"""),0.641)</f>
        <v>0.641</v>
      </c>
      <c r="K291" s="697"/>
      <c r="L291" s="697" t="str">
        <f>IFERROR(__xludf.DUMMYFUNCTION("""COMPUTED_VALUE"""),"245 given single dose")</f>
        <v>245 given single dose</v>
      </c>
      <c r="M291" s="697" t="str">
        <f>IFERROR(__xludf.DUMMYFUNCTION("""COMPUTED_VALUE"""),"n/a, over 6 months of age")</f>
        <v>n/a, over 6 months of age</v>
      </c>
      <c r="N291" s="697" t="str">
        <f>IFERROR(__xludf.DUMMYFUNCTION("""COMPUTED_VALUE"""),"n/a")</f>
        <v>n/a</v>
      </c>
      <c r="O291" s="697" t="str">
        <f>IFERROR(__xludf.DUMMYFUNCTION("""COMPUTED_VALUE"""),"Three villages with a total population of 245 were given single does based on their filariasis prevalence, proximity to each other, and accessibility for effective parasitological surveys and institution of mass chemotherapy. (excluded: pregnant women, in"&amp;"fants, aged less than 6 months, and those with other severe illnesses)")</f>
        <v>Three villages with a total population of 245 were given single does based on their filariasis prevalence, proximity to each other, and accessibility for effective parasitological surveys and institution of mass chemotherapy. (excluded: pregnant women, infants, aged less than 6 months, and those with other severe illnesses)</v>
      </c>
      <c r="P291" s="697"/>
      <c r="Q291" s="697"/>
      <c r="R291" s="697"/>
      <c r="S291" s="697" t="str">
        <f>IFERROR(__xludf.DUMMYFUNCTION("""COMPUTED_VALUE"""),"19 months")</f>
        <v>19 months</v>
      </c>
      <c r="T291" s="697" t="str">
        <f>IFERROR(__xludf.DUMMYFUNCTION("""COMPUTED_VALUE"""),"Thus, a single dose of DEC is as effective as the standard dose in controlling periodic brugian filariasis.")</f>
        <v>Thus, a single dose of DEC is as effective as the standard dose in controlling periodic brugian filariasis.</v>
      </c>
      <c r="U291" s="697"/>
      <c r="V291" s="697">
        <f>IFERROR(__xludf.DUMMYFUNCTION("""COMPUTED_VALUE"""),1995.0)</f>
        <v>1995</v>
      </c>
      <c r="W291" s="697">
        <f>IFERROR(__xludf.DUMMYFUNCTION("""COMPUTED_VALUE"""),1995.0)</f>
        <v>1995</v>
      </c>
      <c r="X291" s="697" t="str">
        <f>IFERROR(__xludf.DUMMYFUNCTION("""COMPUTED_VALUE"""),"Hakim SL, Vythilingam I, Marzukhi MI, Mak JW. Single-dose diethylcarbamazine in the control of periodic brugian filariasis in Peninsular Malaysia. Transactions of the Royal Society of Tropical Medicine and Hygiene. Oxford University Press (OUP); 1995 Nov;"&amp;"89(6):686–9.")</f>
        <v>Hakim SL, Vythilingam I, Marzukhi MI, Mak JW. Single-dose diethylcarbamazine in the control of periodic brugian filariasis in Peninsular Malaysia. Transactions of the Royal Society of Tropical Medicine and Hygiene. Oxford University Press (OUP); 1995 Nov;89(6):686–9.</v>
      </c>
      <c r="Y291" s="697" t="str">
        <f>IFERROR(__xludf.DUMMYFUNCTION("""COMPUTED_VALUE"""),"10.1016/0035-9203(95)90445-X")</f>
        <v>10.1016/0035-9203(95)90445-X</v>
      </c>
      <c r="Z291" s="865" t="str">
        <f>IFERROR(__xludf.DUMMYFUNCTION("""COMPUTED_VALUE"""),"https://drive.google.com/file/d/0By3QPyQz621GX0FpYlRPREVhVjQ/view?usp=sharing")</f>
        <v>https://drive.google.com/file/d/0By3QPyQz621GX0FpYlRPREVhVjQ/view?usp=sharing</v>
      </c>
      <c r="AA291" s="697" t="str">
        <f>IFERROR(__xludf.DUMMYFUNCTION("""COMPUTED_VALUE"""),"x")</f>
        <v>x</v>
      </c>
    </row>
    <row r="292">
      <c r="A292" s="697" t="str">
        <f>IFERROR(__xludf.DUMMYFUNCTION("""COMPUTED_VALUE"""),"Hakim, 1995")</f>
        <v>Hakim, 1995</v>
      </c>
      <c r="B292" s="697" t="str">
        <f>IFERROR(__xludf.DUMMYFUNCTION("""COMPUTED_VALUE"""),"Chungsoo")</f>
        <v>Chungsoo</v>
      </c>
      <c r="C292" s="697" t="str">
        <f>IFERROR(__xludf.DUMMYFUNCTION("""COMPUTED_VALUE"""),"Mahvish")</f>
        <v>Mahvish</v>
      </c>
      <c r="D292" s="697" t="str">
        <f>IFERROR(__xludf.DUMMYFUNCTION("""COMPUTED_VALUE"""),"Malaysia")</f>
        <v>Malaysia</v>
      </c>
      <c r="E292" s="697" t="str">
        <f>IFERROR(__xludf.DUMMYFUNCTION("""COMPUTED_VALUE"""),"W. bancrofti")</f>
        <v>W. bancrofti</v>
      </c>
      <c r="F292" s="697" t="str">
        <f>IFERROR(__xludf.DUMMYFUNCTION("""COMPUTED_VALUE"""),"DEC")</f>
        <v>DEC</v>
      </c>
      <c r="G292" s="697" t="str">
        <f>IFERROR(__xludf.DUMMYFUNCTION("""COMPUTED_VALUE"""),"the standard regimen of 6 doses (total 36mg/kg)")</f>
        <v>the standard regimen of 6 doses (total 36mg/kg)</v>
      </c>
      <c r="H292" s="697" t="str">
        <f>IFERROR(__xludf.DUMMYFUNCTION("""COMPUTED_VALUE"""),"6 doses")</f>
        <v>6 doses</v>
      </c>
      <c r="I292" s="706">
        <f>IFERROR(__xludf.DUMMYFUNCTION("""COMPUTED_VALUE"""),0.421)</f>
        <v>0.421</v>
      </c>
      <c r="J292" s="706">
        <f>IFERROR(__xludf.DUMMYFUNCTION("""COMPUTED_VALUE"""),0.355)</f>
        <v>0.355</v>
      </c>
      <c r="K292" s="697"/>
      <c r="L292" s="697" t="str">
        <f>IFERROR(__xludf.DUMMYFUNCTION("""COMPUTED_VALUE"""),"254 given standard dose")</f>
        <v>254 given standard dose</v>
      </c>
      <c r="M292" s="697" t="str">
        <f>IFERROR(__xludf.DUMMYFUNCTION("""COMPUTED_VALUE"""),"n/a, over 6 months of age")</f>
        <v>n/a, over 6 months of age</v>
      </c>
      <c r="N292" s="697" t="str">
        <f>IFERROR(__xludf.DUMMYFUNCTION("""COMPUTED_VALUE"""),"n/a")</f>
        <v>n/a</v>
      </c>
      <c r="O292" s="697" t="str">
        <f>IFERROR(__xludf.DUMMYFUNCTION("""COMPUTED_VALUE"""),"Four villages with a total population of 254 were selected for the studv. based on their filariasis prevalence, proximity to each other, and accessibility for effective parasitological surveys and institution of mass chemotherapy. (excluded: pregnant wome"&amp;"n, infants, aged less than 6 months, and those with other severe illnesses)")</f>
        <v>Four villages with a total population of 254 were selected for the studv. based on their filariasis prevalence, proximity to each other, and accessibility for effective parasitological surveys and institution of mass chemotherapy. (excluded: pregnant women, infants, aged less than 6 months, and those with other severe illnesses)</v>
      </c>
      <c r="P292" s="697"/>
      <c r="Q292" s="697"/>
      <c r="R292" s="697"/>
      <c r="S292" s="697" t="str">
        <f>IFERROR(__xludf.DUMMYFUNCTION("""COMPUTED_VALUE"""),"19 months")</f>
        <v>19 months</v>
      </c>
      <c r="T292" s="697" t="str">
        <f>IFERROR(__xludf.DUMMYFUNCTION("""COMPUTED_VALUE"""),"Thus, a single dose of DEC is as effective as the standard dose in controlling periodic brugian filariasis.")</f>
        <v>Thus, a single dose of DEC is as effective as the standard dose in controlling periodic brugian filariasis.</v>
      </c>
      <c r="U292" s="697"/>
      <c r="V292" s="697">
        <f>IFERROR(__xludf.DUMMYFUNCTION("""COMPUTED_VALUE"""),1995.0)</f>
        <v>1995</v>
      </c>
      <c r="W292" s="697">
        <f>IFERROR(__xludf.DUMMYFUNCTION("""COMPUTED_VALUE"""),1995.0)</f>
        <v>1995</v>
      </c>
      <c r="X292" s="697" t="str">
        <f>IFERROR(__xludf.DUMMYFUNCTION("""COMPUTED_VALUE"""),"Hakim SL, Vythilingam I, Marzukhi MI, Mak JW. Single-dose diethylcarbamazine in the control of periodic brugian filariasis in Peninsular Malaysia. Transactions of the Royal Society of Tropical Medicine and Hygiene. Oxford University Press (OUP); 1995 Nov;"&amp;"89(6):686–9.")</f>
        <v>Hakim SL, Vythilingam I, Marzukhi MI, Mak JW. Single-dose diethylcarbamazine in the control of periodic brugian filariasis in Peninsular Malaysia. Transactions of the Royal Society of Tropical Medicine and Hygiene. Oxford University Press (OUP); 1995 Nov;89(6):686–9.</v>
      </c>
      <c r="Y292" s="697" t="str">
        <f>IFERROR(__xludf.DUMMYFUNCTION("""COMPUTED_VALUE"""),"10.1016/0035-9203(95)90445-X")</f>
        <v>10.1016/0035-9203(95)90445-X</v>
      </c>
      <c r="Z292" s="865" t="str">
        <f>IFERROR(__xludf.DUMMYFUNCTION("""COMPUTED_VALUE"""),"https://drive.google.com/file/d/0By3QPyQz621GX0FpYlRPREVhVjQ/view?usp=sharing")</f>
        <v>https://drive.google.com/file/d/0By3QPyQz621GX0FpYlRPREVhVjQ/view?usp=sharing</v>
      </c>
      <c r="AA292" s="697" t="str">
        <f>IFERROR(__xludf.DUMMYFUNCTION("""COMPUTED_VALUE"""),"x")</f>
        <v>x</v>
      </c>
    </row>
    <row r="293">
      <c r="A293" s="697" t="str">
        <f>IFERROR(__xludf.DUMMYFUNCTION("""COMPUTED_VALUE"""),"Moulia-Pelat 1995")</f>
        <v>Moulia-Pelat 1995</v>
      </c>
      <c r="B293" s="697" t="str">
        <f>IFERROR(__xludf.DUMMYFUNCTION("""COMPUTED_VALUE"""),"Kirti")</f>
        <v>Kirti</v>
      </c>
      <c r="C293" s="697" t="str">
        <f>IFERROR(__xludf.DUMMYFUNCTION("""COMPUTED_VALUE"""),"Chungsoo")</f>
        <v>Chungsoo</v>
      </c>
      <c r="D293" s="697" t="str">
        <f>IFERROR(__xludf.DUMMYFUNCTION("""COMPUTED_VALUE"""),"French Polynesia")</f>
        <v>French Polynesia</v>
      </c>
      <c r="E293" s="697" t="str">
        <f>IFERROR(__xludf.DUMMYFUNCTION("""COMPUTED_VALUE"""),"W. bancrofti")</f>
        <v>W. bancrofti</v>
      </c>
      <c r="F293" s="697" t="str">
        <f>IFERROR(__xludf.DUMMYFUNCTION("""COMPUTED_VALUE"""),"DEC &amp; Ivermectin")</f>
        <v>DEC &amp; Ivermectin</v>
      </c>
      <c r="G293" s="697" t="str">
        <f>IFERROR(__xludf.DUMMYFUNCTION("""COMPUTED_VALUE"""),"400 µg/kg + 6 mg/kg")</f>
        <v>400 µg/kg + 6 mg/kg</v>
      </c>
      <c r="H293" s="697"/>
      <c r="I293" s="706">
        <f>IFERROR(__xludf.DUMMYFUNCTION("""COMPUTED_VALUE"""),0.96)</f>
        <v>0.96</v>
      </c>
      <c r="J293" s="706">
        <f>IFERROR(__xludf.DUMMYFUNCTION("""COMPUTED_VALUE"""),0.32)</f>
        <v>0.32</v>
      </c>
      <c r="K293" s="697"/>
      <c r="L293" s="697">
        <f>IFERROR(__xludf.DUMMYFUNCTION("""COMPUTED_VALUE"""),510.0)</f>
        <v>510</v>
      </c>
      <c r="M293" s="10" t="str">
        <f>IFERROR(__xludf.DUMMYFUNCTION("""COMPUTED_VALUE"""),"&gt;3")</f>
        <v>&gt;3</v>
      </c>
      <c r="N293" s="697"/>
      <c r="O293" s="697" t="str">
        <f>IFERROR(__xludf.DUMMYFUNCTION("""COMPUTED_VALUE"""),"All inhabitants of the island were included in the treatment except for the pregnant women.")</f>
        <v>All inhabitants of the island were included in the treatment except for the pregnant women.</v>
      </c>
      <c r="P293" s="697"/>
      <c r="Q293" s="697"/>
      <c r="R293" s="697"/>
      <c r="S293" s="697" t="str">
        <f>IFERROR(__xludf.DUMMYFUNCTION("""COMPUTED_VALUE"""),"1 year")</f>
        <v>1 year</v>
      </c>
      <c r="T293" s="697" t="str">
        <f>IFERROR(__xludf.DUMMYFUNCTION("""COMPUTED_VALUE"""),"The combination IVR+DEC is a powerful tool for the control of lymphatic filariasis.")</f>
        <v>The combination IVR+DEC is a powerful tool for the control of lymphatic filariasis.</v>
      </c>
      <c r="U293" s="697" t="str">
        <f>IFERROR(__xludf.DUMMYFUNCTION("""COMPUTED_VALUE"""),"The island was divided into 4 different zones and each sone was treated with different drug. ")</f>
        <v>The island was divided into 4 different zones and each sone was treated with different drug. </v>
      </c>
      <c r="V293" s="697" t="str">
        <f>IFERROR(__xludf.DUMMYFUNCTION("""COMPUTED_VALUE"""),"1994-1995")</f>
        <v>1994-1995</v>
      </c>
      <c r="W293" s="697">
        <f>IFERROR(__xludf.DUMMYFUNCTION("""COMPUTED_VALUE"""),1995.0)</f>
        <v>1995</v>
      </c>
      <c r="X293" s="697" t="str">
        <f>IFERROR(__xludf.DUMMYFUNCTION("""COMPUTED_VALUE"""),"Moulia-Pelat JP, Nguyen LN, Hascoet H, Luquiaud P, and Nicolas L. Advantages of an annual single dose of ivermectin 400 vg/kg plus diethylcarbamazine for community treatment of bancroftian filariasis. Transactions of the Royal Society of Tropical Medicine"&amp;" and Hygiene 1995; 89 (6): 682-685.")</f>
        <v>Moulia-Pelat JP, Nguyen LN, Hascoet H, Luquiaud P, and Nicolas L. Advantages of an annual single dose of ivermectin 400 vg/kg plus diethylcarbamazine for community treatment of bancroftian filariasis. Transactions of the Royal Society of Tropical Medicine and Hygiene 1995; 89 (6): 682-685.</v>
      </c>
      <c r="Y293" s="697" t="str">
        <f>IFERROR(__xludf.DUMMYFUNCTION("""COMPUTED_VALUE"""),"doi: 10.1016/0035-9203(95)90443-3")</f>
        <v>doi: 10.1016/0035-9203(95)90443-3</v>
      </c>
      <c r="Z293" s="865" t="str">
        <f>IFERROR(__xludf.DUMMYFUNCTION("""COMPUTED_VALUE"""),"https://drive.google.com/file/d/0B0-pry4DSOm3NjJ3bmxCZ0E5cVE/view?usp=sharing")</f>
        <v>https://drive.google.com/file/d/0B0-pry4DSOm3NjJ3bmxCZ0E5cVE/view?usp=sharing</v>
      </c>
      <c r="AA293" s="697" t="str">
        <f>IFERROR(__xludf.DUMMYFUNCTION("""COMPUTED_VALUE"""),"x")</f>
        <v>x</v>
      </c>
    </row>
    <row r="294">
      <c r="A294" s="697" t="str">
        <f>IFERROR(__xludf.DUMMYFUNCTION("""COMPUTED_VALUE"""),"Moulia-Pelat 1995")</f>
        <v>Moulia-Pelat 1995</v>
      </c>
      <c r="B294" s="697" t="str">
        <f>IFERROR(__xludf.DUMMYFUNCTION("""COMPUTED_VALUE"""),"Kirti")</f>
        <v>Kirti</v>
      </c>
      <c r="C294" s="697" t="str">
        <f>IFERROR(__xludf.DUMMYFUNCTION("""COMPUTED_VALUE"""),"Chungsoo")</f>
        <v>Chungsoo</v>
      </c>
      <c r="D294" s="697" t="str">
        <f>IFERROR(__xludf.DUMMYFUNCTION("""COMPUTED_VALUE"""),"French Polynesia")</f>
        <v>French Polynesia</v>
      </c>
      <c r="E294" s="697" t="str">
        <f>IFERROR(__xludf.DUMMYFUNCTION("""COMPUTED_VALUE"""),"W. bancrofti")</f>
        <v>W. bancrofti</v>
      </c>
      <c r="F294" s="697" t="str">
        <f>IFERROR(__xludf.DUMMYFUNCTION("""COMPUTED_VALUE"""),"Ivermectin")</f>
        <v>Ivermectin</v>
      </c>
      <c r="G294" s="697" t="str">
        <f>IFERROR(__xludf.DUMMYFUNCTION("""COMPUTED_VALUE"""),"400 µg/kg")</f>
        <v>400 µg/kg</v>
      </c>
      <c r="H294" s="697"/>
      <c r="I294" s="706">
        <f>IFERROR(__xludf.DUMMYFUNCTION("""COMPUTED_VALUE"""),0.8)</f>
        <v>0.8</v>
      </c>
      <c r="J294" s="706">
        <f>IFERROR(__xludf.DUMMYFUNCTION("""COMPUTED_VALUE"""),0.11)</f>
        <v>0.11</v>
      </c>
      <c r="K294" s="697"/>
      <c r="L294" s="697">
        <f>IFERROR(__xludf.DUMMYFUNCTION("""COMPUTED_VALUE"""),412.0)</f>
        <v>412</v>
      </c>
      <c r="M294" s="10" t="str">
        <f>IFERROR(__xludf.DUMMYFUNCTION("""COMPUTED_VALUE"""),"&gt;3")</f>
        <v>&gt;3</v>
      </c>
      <c r="N294" s="697"/>
      <c r="O294" s="697" t="str">
        <f>IFERROR(__xludf.DUMMYFUNCTION("""COMPUTED_VALUE"""),"All inhabitants of the island were included in the treatment except for the pregnant women.")</f>
        <v>All inhabitants of the island were included in the treatment except for the pregnant women.</v>
      </c>
      <c r="P294" s="697"/>
      <c r="Q294" s="697"/>
      <c r="R294" s="697"/>
      <c r="S294" s="697" t="str">
        <f>IFERROR(__xludf.DUMMYFUNCTION("""COMPUTED_VALUE"""),"1 year")</f>
        <v>1 year</v>
      </c>
      <c r="T294" s="697" t="str">
        <f>IFERROR(__xludf.DUMMYFUNCTION("""COMPUTED_VALUE"""),"The combination IVR+DEC is a powerful tool for the control of lymphatic filariasis.")</f>
        <v>The combination IVR+DEC is a powerful tool for the control of lymphatic filariasis.</v>
      </c>
      <c r="U294" s="697" t="str">
        <f>IFERROR(__xludf.DUMMYFUNCTION("""COMPUTED_VALUE"""),"The island was divided into 4 different zones and each sone was treated with different drug. ")</f>
        <v>The island was divided into 4 different zones and each sone was treated with different drug. </v>
      </c>
      <c r="V294" s="697" t="str">
        <f>IFERROR(__xludf.DUMMYFUNCTION("""COMPUTED_VALUE"""),"1994-1995")</f>
        <v>1994-1995</v>
      </c>
      <c r="W294" s="697">
        <f>IFERROR(__xludf.DUMMYFUNCTION("""COMPUTED_VALUE"""),1995.0)</f>
        <v>1995</v>
      </c>
      <c r="X294" s="697" t="str">
        <f>IFERROR(__xludf.DUMMYFUNCTION("""COMPUTED_VALUE"""),"Moulia-Pelat JP, Nguyen LN, Hascoet H, Luquiaud P, and Nicolas L. Advantages of an annual single dose of ivermectin 400 vg/kg plus diethylcarbamazine for community treatment of bancroftian filariasis. Transactions of the Royal Society of Tropical Medicine"&amp;" and Hygiene 1995; 89 (6): 682-685.")</f>
        <v>Moulia-Pelat JP, Nguyen LN, Hascoet H, Luquiaud P, and Nicolas L. Advantages of an annual single dose of ivermectin 400 vg/kg plus diethylcarbamazine for community treatment of bancroftian filariasis. Transactions of the Royal Society of Tropical Medicine and Hygiene 1995; 89 (6): 682-685.</v>
      </c>
      <c r="Y294" s="697" t="str">
        <f>IFERROR(__xludf.DUMMYFUNCTION("""COMPUTED_VALUE"""),"doi: 10.1016/0035-9203(95)90443-3")</f>
        <v>doi: 10.1016/0035-9203(95)90443-3</v>
      </c>
      <c r="Z294" s="865" t="str">
        <f>IFERROR(__xludf.DUMMYFUNCTION("""COMPUTED_VALUE"""),"https://drive.google.com/file/d/0B0-pry4DSOm3NjJ3bmxCZ0E5cVE/view?usp=sharing")</f>
        <v>https://drive.google.com/file/d/0B0-pry4DSOm3NjJ3bmxCZ0E5cVE/view?usp=sharing</v>
      </c>
      <c r="AA294" s="697" t="str">
        <f>IFERROR(__xludf.DUMMYFUNCTION("""COMPUTED_VALUE"""),"x")</f>
        <v>x</v>
      </c>
    </row>
    <row r="295">
      <c r="A295" s="697" t="str">
        <f>IFERROR(__xludf.DUMMYFUNCTION("""COMPUTED_VALUE"""),"Moulia-Pelat 1995")</f>
        <v>Moulia-Pelat 1995</v>
      </c>
      <c r="B295" s="697" t="str">
        <f>IFERROR(__xludf.DUMMYFUNCTION("""COMPUTED_VALUE"""),"Kirti")</f>
        <v>Kirti</v>
      </c>
      <c r="C295" s="697" t="str">
        <f>IFERROR(__xludf.DUMMYFUNCTION("""COMPUTED_VALUE"""),"Chungsoo")</f>
        <v>Chungsoo</v>
      </c>
      <c r="D295" s="697" t="str">
        <f>IFERROR(__xludf.DUMMYFUNCTION("""COMPUTED_VALUE"""),"Polynesian Island")</f>
        <v>Polynesian Island</v>
      </c>
      <c r="E295" s="697" t="str">
        <f>IFERROR(__xludf.DUMMYFUNCTION("""COMPUTED_VALUE"""),"W. bancrofti")</f>
        <v>W. bancrofti</v>
      </c>
      <c r="F295" s="697" t="str">
        <f>IFERROR(__xludf.DUMMYFUNCTION("""COMPUTED_VALUE"""),"DEC")</f>
        <v>DEC</v>
      </c>
      <c r="G295" s="697" t="str">
        <f>IFERROR(__xludf.DUMMYFUNCTION("""COMPUTED_VALUE"""),"6 mg/kg")</f>
        <v>6 mg/kg</v>
      </c>
      <c r="H295" s="697"/>
      <c r="I295" s="706">
        <f>IFERROR(__xludf.DUMMYFUNCTION("""COMPUTED_VALUE"""),0.82)</f>
        <v>0.82</v>
      </c>
      <c r="J295" s="706">
        <f>IFERROR(__xludf.DUMMYFUNCTION("""COMPUTED_VALUE"""),0.14)</f>
        <v>0.14</v>
      </c>
      <c r="K295" s="697"/>
      <c r="L295" s="697">
        <f>IFERROR(__xludf.DUMMYFUNCTION("""COMPUTED_VALUE"""),352.0)</f>
        <v>352</v>
      </c>
      <c r="M295" s="10" t="str">
        <f>IFERROR(__xludf.DUMMYFUNCTION("""COMPUTED_VALUE"""),"&gt;3")</f>
        <v>&gt;3</v>
      </c>
      <c r="N295" s="697"/>
      <c r="O295" s="697" t="str">
        <f>IFERROR(__xludf.DUMMYFUNCTION("""COMPUTED_VALUE"""),"All inhabitants of the island were included in the treatment except for the pregnant women.")</f>
        <v>All inhabitants of the island were included in the treatment except for the pregnant women.</v>
      </c>
      <c r="P295" s="697"/>
      <c r="Q295" s="697"/>
      <c r="R295" s="697"/>
      <c r="S295" s="697" t="str">
        <f>IFERROR(__xludf.DUMMYFUNCTION("""COMPUTED_VALUE"""),"1 year")</f>
        <v>1 year</v>
      </c>
      <c r="T295" s="697" t="str">
        <f>IFERROR(__xludf.DUMMYFUNCTION("""COMPUTED_VALUE"""),"The combination IVR+DEC is a powerful tool for the control of lymphatic filariasis.")</f>
        <v>The combination IVR+DEC is a powerful tool for the control of lymphatic filariasis.</v>
      </c>
      <c r="U295" s="697" t="str">
        <f>IFERROR(__xludf.DUMMYFUNCTION("""COMPUTED_VALUE"""),"The island was divided into 4 different zones and each sone was treated with different drug. ")</f>
        <v>The island was divided into 4 different zones and each sone was treated with different drug. </v>
      </c>
      <c r="V295" s="697" t="str">
        <f>IFERROR(__xludf.DUMMYFUNCTION("""COMPUTED_VALUE"""),"1994-1995")</f>
        <v>1994-1995</v>
      </c>
      <c r="W295" s="697">
        <f>IFERROR(__xludf.DUMMYFUNCTION("""COMPUTED_VALUE"""),1995.0)</f>
        <v>1995</v>
      </c>
      <c r="X295" s="697" t="str">
        <f>IFERROR(__xludf.DUMMYFUNCTION("""COMPUTED_VALUE"""),"Moulia-Pelat JP, Nguyen LN, Hascoet H, Luquiaud P, and Nicolas L. Advantages of an annual single dose of ivermectin 400 vg/kg plus diethylcarbamazine for community treatment of bancroftian filariasis. Transactions of the Royal Society of Tropical Medicine"&amp;" and Hygiene 1995; 89 (6): 682-685.")</f>
        <v>Moulia-Pelat JP, Nguyen LN, Hascoet H, Luquiaud P, and Nicolas L. Advantages of an annual single dose of ivermectin 400 vg/kg plus diethylcarbamazine for community treatment of bancroftian filariasis. Transactions of the Royal Society of Tropical Medicine and Hygiene 1995; 89 (6): 682-685.</v>
      </c>
      <c r="Y295" s="697" t="str">
        <f>IFERROR(__xludf.DUMMYFUNCTION("""COMPUTED_VALUE"""),"doi: 10.1016/0035-9203(95)90443-3")</f>
        <v>doi: 10.1016/0035-9203(95)90443-3</v>
      </c>
      <c r="Z295" s="865" t="str">
        <f>IFERROR(__xludf.DUMMYFUNCTION("""COMPUTED_VALUE"""),"https://drive.google.com/file/d/0B0-pry4DSOm3NjJ3bmxCZ0E5cVE/view?usp=sharing")</f>
        <v>https://drive.google.com/file/d/0B0-pry4DSOm3NjJ3bmxCZ0E5cVE/view?usp=sharing</v>
      </c>
      <c r="AA295" s="697" t="str">
        <f>IFERROR(__xludf.DUMMYFUNCTION("""COMPUTED_VALUE"""),"x")</f>
        <v>x</v>
      </c>
    </row>
    <row r="296">
      <c r="A296" s="697" t="str">
        <f>IFERROR(__xludf.DUMMYFUNCTION("""COMPUTED_VALUE"""),"Moulia-Pelat 1995")</f>
        <v>Moulia-Pelat 1995</v>
      </c>
      <c r="B296" s="697" t="str">
        <f>IFERROR(__xludf.DUMMYFUNCTION("""COMPUTED_VALUE"""),"Kirti")</f>
        <v>Kirti</v>
      </c>
      <c r="C296" s="697" t="str">
        <f>IFERROR(__xludf.DUMMYFUNCTION("""COMPUTED_VALUE"""),"Chungsoo")</f>
        <v>Chungsoo</v>
      </c>
      <c r="D296" s="697" t="str">
        <f>IFERROR(__xludf.DUMMYFUNCTION("""COMPUTED_VALUE"""),"French Polynesia")</f>
        <v>French Polynesia</v>
      </c>
      <c r="E296" s="697" t="str">
        <f>IFERROR(__xludf.DUMMYFUNCTION("""COMPUTED_VALUE"""),"W. bancrofti")</f>
        <v>W. bancrofti</v>
      </c>
      <c r="F296" s="697" t="str">
        <f>IFERROR(__xludf.DUMMYFUNCTION("""COMPUTED_VALUE"""),"DEC &amp; Ivermectin")</f>
        <v>DEC &amp; Ivermectin</v>
      </c>
      <c r="G296" s="697" t="str">
        <f>IFERROR(__xludf.DUMMYFUNCTION("""COMPUTED_VALUE"""),"400 µg/kg + 3 mg/kg")</f>
        <v>400 µg/kg + 3 mg/kg</v>
      </c>
      <c r="H296" s="697"/>
      <c r="I296" s="706">
        <f>IFERROR(__xludf.DUMMYFUNCTION("""COMPUTED_VALUE"""),0.95)</f>
        <v>0.95</v>
      </c>
      <c r="J296" s="706">
        <f>IFERROR(__xludf.DUMMYFUNCTION("""COMPUTED_VALUE"""),0.32)</f>
        <v>0.32</v>
      </c>
      <c r="K296" s="697"/>
      <c r="L296" s="697">
        <f>IFERROR(__xludf.DUMMYFUNCTION("""COMPUTED_VALUE"""),443.0)</f>
        <v>443</v>
      </c>
      <c r="M296" s="10" t="str">
        <f>IFERROR(__xludf.DUMMYFUNCTION("""COMPUTED_VALUE"""),"&gt;3")</f>
        <v>&gt;3</v>
      </c>
      <c r="N296" s="697"/>
      <c r="O296" s="697" t="str">
        <f>IFERROR(__xludf.DUMMYFUNCTION("""COMPUTED_VALUE"""),"All inhabitants of the island were included in the treatment except for the pregnant women.")</f>
        <v>All inhabitants of the island were included in the treatment except for the pregnant women.</v>
      </c>
      <c r="P296" s="697"/>
      <c r="Q296" s="697"/>
      <c r="R296" s="697"/>
      <c r="S296" s="697" t="str">
        <f>IFERROR(__xludf.DUMMYFUNCTION("""COMPUTED_VALUE"""),"1 year")</f>
        <v>1 year</v>
      </c>
      <c r="T296" s="697" t="str">
        <f>IFERROR(__xludf.DUMMYFUNCTION("""COMPUTED_VALUE"""),"The combination IVR+DEC is a powerful tool for the control of lymphatic filariasis.")</f>
        <v>The combination IVR+DEC is a powerful tool for the control of lymphatic filariasis.</v>
      </c>
      <c r="U296" s="697" t="str">
        <f>IFERROR(__xludf.DUMMYFUNCTION("""COMPUTED_VALUE"""),"The island was divided into 4 different zones and each sone was treated with different drug. ")</f>
        <v>The island was divided into 4 different zones and each sone was treated with different drug. </v>
      </c>
      <c r="V296" s="697" t="str">
        <f>IFERROR(__xludf.DUMMYFUNCTION("""COMPUTED_VALUE"""),"1994-1995")</f>
        <v>1994-1995</v>
      </c>
      <c r="W296" s="697">
        <f>IFERROR(__xludf.DUMMYFUNCTION("""COMPUTED_VALUE"""),1995.0)</f>
        <v>1995</v>
      </c>
      <c r="X296" s="697" t="str">
        <f>IFERROR(__xludf.DUMMYFUNCTION("""COMPUTED_VALUE"""),"Moulia-Pelat JP, Nguyen LN, Hascoet H, Luquiaud P, and Nicolas L. Advantages of an annual single dose of ivermectin 400 vg/kg plus diethylcarbamazine for community treatment of bancroftian filariasis. Transactions of the Royal Society of Tropical Medicine"&amp;" and Hygiene 1995; 89 (6): 682-685.")</f>
        <v>Moulia-Pelat JP, Nguyen LN, Hascoet H, Luquiaud P, and Nicolas L. Advantages of an annual single dose of ivermectin 400 vg/kg plus diethylcarbamazine for community treatment of bancroftian filariasis. Transactions of the Royal Society of Tropical Medicine and Hygiene 1995; 89 (6): 682-685.</v>
      </c>
      <c r="Y296" s="697" t="str">
        <f>IFERROR(__xludf.DUMMYFUNCTION("""COMPUTED_VALUE"""),"doi: 10.1016/0035-9203(95)90443-3")</f>
        <v>doi: 10.1016/0035-9203(95)90443-3</v>
      </c>
      <c r="Z296" s="865" t="str">
        <f>IFERROR(__xludf.DUMMYFUNCTION("""COMPUTED_VALUE"""),"https://drive.google.com/file/d/0B0-pry4DSOm3NjJ3bmxCZ0E5cVE/view?usp=sharing")</f>
        <v>https://drive.google.com/file/d/0B0-pry4DSOm3NjJ3bmxCZ0E5cVE/view?usp=sharing</v>
      </c>
      <c r="AA296" s="697" t="str">
        <f>IFERROR(__xludf.DUMMYFUNCTION("""COMPUTED_VALUE"""),"x")</f>
        <v>x</v>
      </c>
    </row>
    <row r="297">
      <c r="A297" s="697" t="str">
        <f>IFERROR(__xludf.DUMMYFUNCTION("""COMPUTED_VALUE"""),"Njenga SM, 2011")</f>
        <v>Njenga SM, 2011</v>
      </c>
      <c r="B297" s="697"/>
      <c r="C297" s="697" t="str">
        <f>IFERROR(__xludf.DUMMYFUNCTION("""COMPUTED_VALUE"""),"Chungsoo")</f>
        <v>Chungsoo</v>
      </c>
      <c r="D297" s="697" t="str">
        <f>IFERROR(__xludf.DUMMYFUNCTION("""COMPUTED_VALUE"""),"Kenya")</f>
        <v>Kenya</v>
      </c>
      <c r="E297" s="697"/>
      <c r="F297" s="697" t="str">
        <f>IFERROR(__xludf.DUMMYFUNCTION("""COMPUTED_VALUE"""),"Albendazole &amp; DEC")</f>
        <v>Albendazole &amp; DEC</v>
      </c>
      <c r="G297" s="697"/>
      <c r="H297" s="697"/>
      <c r="I297" s="706">
        <f>IFERROR(__xludf.DUMMYFUNCTION("""COMPUTED_VALUE"""),0.957)</f>
        <v>0.957</v>
      </c>
      <c r="J297" s="697"/>
      <c r="K297" s="697"/>
      <c r="L297" s="697"/>
      <c r="M297" s="697"/>
      <c r="N297" s="697"/>
      <c r="O297" s="697" t="str">
        <f>IFERROR(__xludf.DUMMYFUNCTION("""COMPUTED_VALUE"""),"excluding 38 individuals who had indeterminate results in 2009")</f>
        <v>excluding 38 individuals who had indeterminate results in 2009</v>
      </c>
      <c r="P297" s="697"/>
      <c r="Q297" s="697"/>
      <c r="R297" s="697"/>
      <c r="S297" s="697" t="str">
        <f>IFERROR(__xludf.DUMMYFUNCTION("""COMPUTED_VALUE"""),"7 years")</f>
        <v>7 years</v>
      </c>
      <c r="T297" s="697" t="str">
        <f>IFERROR(__xludf.DUMMYFUNCTION("""COMPUTED_VALUE"""),"Significant reductions in infection prevalence and intensity were observed at each survey. More importantly, there were no rebounds in infection prevalence between treatment rounds.")</f>
        <v>Significant reductions in infection prevalence and intensity were observed at each survey. More importantly, there were no rebounds in infection prevalence between treatment rounds.</v>
      </c>
      <c r="U297" s="697"/>
      <c r="V297" s="697" t="str">
        <f>IFERROR(__xludf.DUMMYFUNCTION("""COMPUTED_VALUE"""),"2002-2007")</f>
        <v>2002-2007</v>
      </c>
      <c r="W297" s="697">
        <f>IFERROR(__xludf.DUMMYFUNCTION("""COMPUTED_VALUE"""),2007.0)</f>
        <v>2007</v>
      </c>
      <c r="X297" s="697" t="str">
        <f>IFERROR(__xludf.DUMMYFUNCTION("""COMPUTED_VALUE"""),"Sammy M Njenga, Charles S Mwandawiro, C Njeri Wamae, Dunstan A Mukoko, Anisa A Omar, Masaaki Shimada, Moses J Bockarie and David H Molyneux. Sustained reduction in prevalence of lymphatic filariasis infection in spite of missed rounds of mass drug adminis"&amp;"tration in an area under mosquito nets for malaria control. Njenga et al. Parasites &amp; Vectors 2011, 4:90")</f>
        <v>Sammy M Njenga, Charles S Mwandawiro, C Njeri Wamae, Dunstan A Mukoko, Anisa A Omar, Masaaki Shimada, Moses J Bockarie and David H Molyneux. Sustained reduction in prevalence of lymphatic filariasis infection in spite of missed rounds of mass drug administration in an area under mosquito nets for malaria control. Njenga et al. Parasites &amp; Vectors 2011, 4:90</v>
      </c>
      <c r="Y297" s="697" t="str">
        <f>IFERROR(__xludf.DUMMYFUNCTION("""COMPUTED_VALUE"""),"10.1186/1756-3305-4-90")</f>
        <v>10.1186/1756-3305-4-90</v>
      </c>
      <c r="Z297" s="865" t="str">
        <f>IFERROR(__xludf.DUMMYFUNCTION("""COMPUTED_VALUE"""),"https://drive.google.com/file/d/0B4sJPAkX0Jo3YjBxRFVPa3puLUU/view?usp=sharing")</f>
        <v>https://drive.google.com/file/d/0B4sJPAkX0Jo3YjBxRFVPa3puLUU/view?usp=sharing</v>
      </c>
      <c r="AA297" s="697" t="str">
        <f>IFERROR(__xludf.DUMMYFUNCTION("""COMPUTED_VALUE"""),"x")</f>
        <v>x</v>
      </c>
    </row>
    <row r="298">
      <c r="A298" s="697" t="str">
        <f>IFERROR(__xludf.DUMMYFUNCTION("""COMPUTED_VALUE"""),"Ramzy 2002")</f>
        <v>Ramzy 2002</v>
      </c>
      <c r="B298" s="697" t="str">
        <f>IFERROR(__xludf.DUMMYFUNCTION("""COMPUTED_VALUE"""),"Kirti")</f>
        <v>Kirti</v>
      </c>
      <c r="C298" s="697" t="str">
        <f>IFERROR(__xludf.DUMMYFUNCTION("""COMPUTED_VALUE"""),"Mahvish")</f>
        <v>Mahvish</v>
      </c>
      <c r="D298" s="697" t="str">
        <f>IFERROR(__xludf.DUMMYFUNCTION("""COMPUTED_VALUE"""),"Egypt")</f>
        <v>Egypt</v>
      </c>
      <c r="E298" s="697" t="str">
        <f>IFERROR(__xludf.DUMMYFUNCTION("""COMPUTED_VALUE"""),"W. bancrofti")</f>
        <v>W. bancrofti</v>
      </c>
      <c r="F298" s="697" t="str">
        <f>IFERROR(__xludf.DUMMYFUNCTION("""COMPUTED_VALUE"""),"DEC")</f>
        <v>DEC</v>
      </c>
      <c r="G298" s="697" t="str">
        <f>IFERROR(__xludf.DUMMYFUNCTION("""COMPUTED_VALUE"""),"6 mg/kg")</f>
        <v>6 mg/kg</v>
      </c>
      <c r="H298" s="697" t="str">
        <f>IFERROR(__xludf.DUMMYFUNCTION("""COMPUTED_VALUE"""),"single dose")</f>
        <v>single dose</v>
      </c>
      <c r="I298" s="700">
        <f>IFERROR(__xludf.DUMMYFUNCTION("""COMPUTED_VALUE"""),0.84)</f>
        <v>0.84</v>
      </c>
      <c r="J298" s="700">
        <f>IFERROR(__xludf.DUMMYFUNCTION("""COMPUTED_VALUE"""),0.69)</f>
        <v>0.69</v>
      </c>
      <c r="K298" s="697"/>
      <c r="L298" s="697">
        <f>IFERROR(__xludf.DUMMYFUNCTION("""COMPUTED_VALUE"""),1646.0)</f>
        <v>1646</v>
      </c>
      <c r="M298" s="697" t="str">
        <f>IFERROR(__xludf.DUMMYFUNCTION("""COMPUTED_VALUE"""),"&gt; 4")</f>
        <v>&gt; 4</v>
      </c>
      <c r="N298" s="697"/>
      <c r="O298" s="697" t="str">
        <f>IFERROR(__xludf.DUMMYFUNCTION("""COMPUTED_VALUE"""),"Older than 9 years old and not pregnant.")</f>
        <v>Older than 9 years old and not pregnant.</v>
      </c>
      <c r="P298" s="697" t="str">
        <f>IFERROR(__xludf.DUMMYFUNCTION("""COMPUTED_VALUE"""),"mass treatment")</f>
        <v>mass treatment</v>
      </c>
      <c r="Q298" s="697"/>
      <c r="R298" s="697"/>
      <c r="S298" s="697" t="str">
        <f>IFERROR(__xludf.DUMMYFUNCTION("""COMPUTED_VALUE"""),"10 years")</f>
        <v>10 years</v>
      </c>
      <c r="T298" s="697" t="str">
        <f>IFERROR(__xludf.DUMMYFUNCTION("""COMPUTED_VALUE"""),"Although the WorldHealth Organization advocates repeatedmultidrug regimens for filariasis elimination, mass treatment with DEC alone may be sufficient to interrupt transmission in areas with low infection intensities andprevalence rates.")</f>
        <v>Although the WorldHealth Organization advocates repeatedmultidrug regimens for filariasis elimination, mass treatment with DEC alone may be sufficient to interrupt transmission in areas with low infection intensities andprevalence rates.</v>
      </c>
      <c r="U298" s="697"/>
      <c r="V298" s="697" t="str">
        <f>IFERROR(__xludf.DUMMYFUNCTION("""COMPUTED_VALUE"""),"1998-2000")</f>
        <v>1998-2000</v>
      </c>
      <c r="W298" s="697">
        <f>IFERROR(__xludf.DUMMYFUNCTION("""COMPUTED_VALUE"""),2000.0)</f>
        <v>2000</v>
      </c>
      <c r="X298" s="697" t="str">
        <f>IFERROR(__xludf.DUMMYFUNCTION("""COMPUTED_VALUE"""),"Ramzy RMR, El Setouhy M, Helmy H, et al. The impact of single-dose diethylcarbamazine treatment of bancroftian filariasis in a low-endemicity setting in Egypt. American Journal of Tropical Medicine and Hygiene. 2002;67(2):196–200.")</f>
        <v>Ramzy RMR, El Setouhy M, Helmy H, et al. The impact of single-dose diethylcarbamazine treatment of bancroftian filariasis in a low-endemicity setting in Egypt. American Journal of Tropical Medicine and Hygiene. 2002;67(2):196–200.</v>
      </c>
      <c r="Y298" s="697" t="str">
        <f>IFERROR(__xludf.DUMMYFUNCTION("""COMPUTED_VALUE"""),"PMID: 12389947")</f>
        <v>PMID: 12389947</v>
      </c>
      <c r="Z298" s="865" t="str">
        <f>IFERROR(__xludf.DUMMYFUNCTION("""COMPUTED_VALUE"""),"https://drive.google.com/file/d/0By3QPyQz621GRDRGVG5yOVBsUlk/view?usp=sharing")</f>
        <v>https://drive.google.com/file/d/0By3QPyQz621GRDRGVG5yOVBsUlk/view?usp=sharing</v>
      </c>
      <c r="AA298" s="697" t="str">
        <f>IFERROR(__xludf.DUMMYFUNCTION("""COMPUTED_VALUE"""),"x")</f>
        <v>x</v>
      </c>
    </row>
    <row r="299">
      <c r="A299" s="697" t="str">
        <f>IFERROR(__xludf.DUMMYFUNCTION("""COMPUTED_VALUE"""),"Bockarie, 2007")</f>
        <v>Bockarie, 2007</v>
      </c>
      <c r="B299" s="697" t="str">
        <f>IFERROR(__xludf.DUMMYFUNCTION("""COMPUTED_VALUE"""),"Ross")</f>
        <v>Ross</v>
      </c>
      <c r="C299" s="697" t="str">
        <f>IFERROR(__xludf.DUMMYFUNCTION("""COMPUTED_VALUE"""),"Mahvish")</f>
        <v>Mahvish</v>
      </c>
      <c r="D299" s="697" t="str">
        <f>IFERROR(__xludf.DUMMYFUNCTION("""COMPUTED_VALUE"""),"Papua New Guinea")</f>
        <v>Papua New Guinea</v>
      </c>
      <c r="E299" s="697" t="str">
        <f>IFERROR(__xludf.DUMMYFUNCTION("""COMPUTED_VALUE"""),"W. bancrofti")</f>
        <v>W. bancrofti</v>
      </c>
      <c r="F299" s="697" t="str">
        <f>IFERROR(__xludf.DUMMYFUNCTION("""COMPUTED_VALUE"""),"DEC")</f>
        <v>DEC</v>
      </c>
      <c r="G299" s="697" t="str">
        <f>IFERROR(__xludf.DUMMYFUNCTION("""COMPUTED_VALUE"""),"6mg/kg")</f>
        <v>6mg/kg</v>
      </c>
      <c r="H299" s="697" t="str">
        <f>IFERROR(__xludf.DUMMYFUNCTION("""COMPUTED_VALUE"""),"single dose")</f>
        <v>single dose</v>
      </c>
      <c r="I299" s="698">
        <f>IFERROR(__xludf.DUMMYFUNCTION("""COMPUTED_VALUE"""),0.875)</f>
        <v>0.875</v>
      </c>
      <c r="J299" s="700">
        <f>IFERROR(__xludf.DUMMYFUNCTION("""COMPUTED_VALUE"""),0.5)</f>
        <v>0.5</v>
      </c>
      <c r="K299" s="697"/>
      <c r="L299" s="697">
        <f>IFERROR(__xludf.DUMMYFUNCTION("""COMPUTED_VALUE"""),1007.0)</f>
        <v>1007</v>
      </c>
      <c r="M299" s="697" t="str">
        <f>IFERROR(__xludf.DUMMYFUNCTION("""COMPUTED_VALUE"""),"&gt;2")</f>
        <v>&gt;2</v>
      </c>
      <c r="N299" s="697" t="str">
        <f>IFERROR(__xludf.DUMMYFUNCTION("""COMPUTED_VALUE"""),"237 : 260")</f>
        <v>237 : 260</v>
      </c>
      <c r="O299" s="697" t="str">
        <f>IFERROR(__xludf.DUMMYFUNCTION("""COMPUTED_VALUE"""),"all inhabitants of the island were included in the treatment greater than or equal to 2 years old except for the pregnant women.")</f>
        <v>all inhabitants of the island were included in the treatment greater than or equal to 2 years old except for the pregnant women.</v>
      </c>
      <c r="P299" s="697" t="str">
        <f>IFERROR(__xludf.DUMMYFUNCTION("""COMPUTED_VALUE"""),"mass treatment")</f>
        <v>mass treatment</v>
      </c>
      <c r="Q299" s="697"/>
      <c r="R299" s="697"/>
      <c r="S299" s="697" t="str">
        <f>IFERROR(__xludf.DUMMYFUNCTION("""COMPUTED_VALUE"""),"24 months")</f>
        <v>24 months</v>
      </c>
      <c r="T299" s="697" t="str">
        <f>IFERROR(__xludf.DUMMYFUNCTION("""COMPUTED_VALUE"""),"These data showed no statistically significant difference in the efficacy of the two drug regimens in lowering the microfilaria reservoir, but they support the use of diethylcar- bamazine combined with albendazole in mass treatment programs on the basis o"&amp;"f greater activity against adult worms.")</f>
        <v>These data showed no statistically significant difference in the efficacy of the two drug regimens in lowering the microfilaria reservoir, but they support the use of diethylcar- bamazine combined with albendazole in mass treatment programs on the basis of greater activity against adult worms.</v>
      </c>
      <c r="U299" s="697" t="str">
        <f>IFERROR(__xludf.DUMMYFUNCTION("""COMPUTED_VALUE"""),"There was no statistically significant difference between the two drug regimens in decreasing the microfilaria positive rate at 12 and 24 months after a single-dose treatment with either regimen, e.g., 50.0% clearance of microfilaria at 24 months for diet"&amp;"hylcarbamazine alone versus 65.7% clearance of microfilaria for diethylcarbamazine plus albendazole (P &gt; 0.05). In contrast, diethyl- carbamazine plus albendazole resulted in a significant decrease in Og4C3 antigen prevalence (17%; P  0.003) at 24 months "&amp;"whereas diethylcarbamazine did not (10%; P  0.564).")</f>
        <v>There was no statistically significant difference between the two drug regimens in decreasing the microfilaria positive rate at 12 and 24 months after a single-dose treatment with either regimen, e.g., 50.0% clearance of microfilaria at 24 months for diethylcarbamazine alone versus 65.7% clearance of microfilaria for diethylcarbamazine plus albendazole (P &gt; 0.05). In contrast, diethyl- carbamazine plus albendazole resulted in a significant decrease in Og4C3 antigen prevalence (17%; P  0.003) at 24 months whereas diethylcarbamazine did not (10%; P  0.564).</v>
      </c>
      <c r="V299" s="697" t="str">
        <f>IFERROR(__xludf.DUMMYFUNCTION("""COMPUTED_VALUE"""),"1999-2001")</f>
        <v>1999-2001</v>
      </c>
      <c r="W299" s="697">
        <f>IFERROR(__xludf.DUMMYFUNCTION("""COMPUTED_VALUE"""),2001.0)</f>
        <v>2001</v>
      </c>
      <c r="X299" s="697" t="str">
        <f>IFERROR(__xludf.DUMMYFUNCTION("""COMPUTED_VALUE"""),"Ismail MM, Jayakody RL, Weil GJ, et al. Long-term efficacy of single-dose combinations of albendazole, ivermectin and diethylcarbamazine for the treatment of bancroftian filariasis. Transactions of the Royal Society of Tropical Medicine and Hygiene. 2001;"&amp;"95(3):332–335.")</f>
        <v>Ismail MM, Jayakody RL, Weil GJ, et al. Long-term efficacy of single-dose combinations of albendazole, ivermectin and diethylcarbamazine for the treatment of bancroftian filariasis. Transactions of the Royal Society of Tropical Medicine and Hygiene. 2001;95(3):332–335.</v>
      </c>
      <c r="Y299" s="697"/>
      <c r="Z299" s="865" t="str">
        <f>IFERROR(__xludf.DUMMYFUNCTION("""COMPUTED_VALUE"""),"https://drive.google.com/open?id=0B6i9R3fSJzbMMUptNjdPSVdwTTQ")</f>
        <v>https://drive.google.com/open?id=0B6i9R3fSJzbMMUptNjdPSVdwTTQ</v>
      </c>
      <c r="AA299" s="697"/>
    </row>
    <row r="300">
      <c r="A300" s="697" t="str">
        <f>IFERROR(__xludf.DUMMYFUNCTION("""COMPUTED_VALUE"""),"Taylor, 2005")</f>
        <v>Taylor, 2005</v>
      </c>
      <c r="B300" s="697"/>
      <c r="C300" s="697" t="str">
        <f>IFERROR(__xludf.DUMMYFUNCTION("""COMPUTED_VALUE"""),"Alex/AR")</f>
        <v>Alex/AR</v>
      </c>
      <c r="D300" s="697" t="str">
        <f>IFERROR(__xludf.DUMMYFUNCTION("""COMPUTED_VALUE"""),"Tanzania")</f>
        <v>Tanzania</v>
      </c>
      <c r="E300" s="697" t="str">
        <f>IFERROR(__xludf.DUMMYFUNCTION("""COMPUTED_VALUE"""),"W. bancrofti")</f>
        <v>W. bancrofti</v>
      </c>
      <c r="F300" s="697" t="str">
        <f>IFERROR(__xludf.DUMMYFUNCTION("""COMPUTED_VALUE"""),"Albendazole &amp; DEC")</f>
        <v>Albendazole &amp; DEC</v>
      </c>
      <c r="G300" s="697" t="str">
        <f>IFERROR(__xludf.DUMMYFUNCTION("""COMPUTED_VALUE"""),"NA")</f>
        <v>NA</v>
      </c>
      <c r="H300" s="697">
        <f>IFERROR(__xludf.DUMMYFUNCTION("""COMPUTED_VALUE"""),56.0)</f>
        <v>56</v>
      </c>
      <c r="I300" s="706">
        <f>IFERROR(__xludf.DUMMYFUNCTION("""COMPUTED_VALUE"""),0.0)</f>
        <v>0</v>
      </c>
      <c r="J300" s="698">
        <f>IFERROR(__xludf.DUMMYFUNCTION("""COMPUTED_VALUE"""),0.263)</f>
        <v>0.263</v>
      </c>
      <c r="K300" s="697" t="str">
        <f>IFERROR(__xludf.DUMMYFUNCTION("""COMPUTED_VALUE"""),"Not available ")</f>
        <v>Not available </v>
      </c>
      <c r="L300" s="697">
        <f>IFERROR(__xludf.DUMMYFUNCTION("""COMPUTED_VALUE"""),38.0)</f>
        <v>38</v>
      </c>
      <c r="M300" s="10" t="str">
        <f>IFERROR(__xludf.DUMMYFUNCTION("""COMPUTED_VALUE"""),"15- 68")</f>
        <v>15- 68</v>
      </c>
      <c r="N300" s="862" t="str">
        <f>IFERROR(__xludf.DUMMYFUNCTION("""COMPUTED_VALUE"""),"males")</f>
        <v>males</v>
      </c>
      <c r="O300" s="697" t="str">
        <f>IFERROR(__xludf.DUMMYFUNCTION("""COMPUTED_VALUE"""),"Male (ultrasonographic techniques were ineffective on females), must be between 15 and 68 years old, had microfilaremia count of at least 100 MF/mL")</f>
        <v>Male (ultrasonographic techniques were ineffective on females), must be between 15 and 68 years old, had microfilaremia count of at least 100 MF/mL</v>
      </c>
      <c r="P300" s="697" t="str">
        <f>IFERROR(__xludf.DUMMYFUNCTION("""COMPUTED_VALUE"""),"double- blind, RCT")</f>
        <v>double- blind, RCT</v>
      </c>
      <c r="Q300" s="697" t="str">
        <f>IFERROR(__xludf.DUMMYFUNCTION("""COMPUTED_VALUE"""),"Yes")</f>
        <v>Yes</v>
      </c>
      <c r="R300" s="697" t="str">
        <f>IFERROR(__xludf.DUMMYFUNCTION("""COMPUTED_VALUE"""),"Yes")</f>
        <v>Yes</v>
      </c>
      <c r="S300" s="697" t="str">
        <f>IFERROR(__xludf.DUMMYFUNCTION("""COMPUTED_VALUE"""),"14 months")</f>
        <v>14 months</v>
      </c>
      <c r="T300" s="697"/>
      <c r="U300" s="697" t="str">
        <f>IFERROR(__xludf.DUMMYFUNCTION("""COMPUTED_VALUE"""),"The placebo group at experianced an increase in mf density at 5 and 11 months. This is represented by a negative value in the mf reduction column.")</f>
        <v>The placebo group at experianced an increase in mf density at 5 and 11 months. This is represented by a negative value in the mf reduction column.</v>
      </c>
      <c r="V300" s="697">
        <f>IFERROR(__xludf.DUMMYFUNCTION("""COMPUTED_VALUE"""),2005.0)</f>
        <v>2005</v>
      </c>
      <c r="W300" s="697">
        <f>IFERROR(__xludf.DUMMYFUNCTION("""COMPUTED_VALUE"""),2005.0)</f>
        <v>2005</v>
      </c>
      <c r="X300" s="697" t="str">
        <f>IFERROR(__xludf.DUMMYFUNCTION("""COMPUTED_VALUE"""),"Taylor MJ, Makunde WH, McGarry HF, Turner JD, Mand S, Hoerauf A. Macrofilaricidal activity after doxycycline treatment of Wuchereria bancrofti: a double-blind, randomised placebo-controlled trial. Lancet. 2005;365(9477):2116–2121.")</f>
        <v>Taylor MJ, Makunde WH, McGarry HF, Turner JD, Mand S, Hoerauf A. Macrofilaricidal activity after doxycycline treatment of Wuchereria bancrofti: a double-blind, randomised placebo-controlled trial. Lancet. 2005;365(9477):2116–2121.</v>
      </c>
      <c r="Y300" s="697"/>
      <c r="Z300" s="865" t="str">
        <f>IFERROR(__xludf.DUMMYFUNCTION("""COMPUTED_VALUE"""),"https://drive.google.com/file/d/0B95WhYooraDecERrQVNGd1BNOVk/view?usp=sharing")</f>
        <v>https://drive.google.com/file/d/0B95WhYooraDecERrQVNGd1BNOVk/view?usp=sharing</v>
      </c>
      <c r="AA300" s="697"/>
    </row>
    <row r="301">
      <c r="A301" s="697" t="str">
        <f>IFERROR(__xludf.DUMMYFUNCTION("""COMPUTED_VALUE"""),"Sunish 2013")</f>
        <v>Sunish 2013</v>
      </c>
      <c r="B301" s="697" t="str">
        <f>IFERROR(__xludf.DUMMYFUNCTION("""COMPUTED_VALUE"""),"Chungsoo")</f>
        <v>Chungsoo</v>
      </c>
      <c r="C301" s="697" t="str">
        <f>IFERROR(__xludf.DUMMYFUNCTION("""COMPUTED_VALUE"""),"Mahvish")</f>
        <v>Mahvish</v>
      </c>
      <c r="D301" s="697" t="str">
        <f>IFERROR(__xludf.DUMMYFUNCTION("""COMPUTED_VALUE"""),"India")</f>
        <v>India</v>
      </c>
      <c r="E301" s="697" t="str">
        <f>IFERROR(__xludf.DUMMYFUNCTION("""COMPUTED_VALUE"""),"W. bancrofti")</f>
        <v>W. bancrofti</v>
      </c>
      <c r="F301" s="697" t="str">
        <f>IFERROR(__xludf.DUMMYFUNCTION("""COMPUTED_VALUE"""),"DEC")</f>
        <v>DEC</v>
      </c>
      <c r="G301" s="697" t="str">
        <f>IFERROR(__xludf.DUMMYFUNCTION("""COMPUTED_VALUE"""),"N/A")</f>
        <v>N/A</v>
      </c>
      <c r="H301" s="697"/>
      <c r="I301" s="698">
        <f>IFERROR(__xludf.DUMMYFUNCTION("""COMPUTED_VALUE"""),0.5795)</f>
        <v>0.5795</v>
      </c>
      <c r="J301" s="706">
        <f>IFERROR(__xludf.DUMMYFUNCTION("""COMPUTED_VALUE"""),0.415)</f>
        <v>0.415</v>
      </c>
      <c r="K301" s="697"/>
      <c r="L301" s="697" t="str">
        <f>IFERROR(__xludf.DUMMYFUNCTION("""COMPUTED_VALUE"""),"1800-2400")</f>
        <v>1800-2400</v>
      </c>
      <c r="M301" s="697" t="str">
        <f>IFERROR(__xludf.DUMMYFUNCTION("""COMPUTED_VALUE"""),"2 to 9")</f>
        <v>2 to 9</v>
      </c>
      <c r="N301" s="697" t="str">
        <f>IFERROR(__xludf.DUMMYFUNCTION("""COMPUTED_VALUE"""),"n/a")</f>
        <v>n/a</v>
      </c>
      <c r="O301" s="697" t="str">
        <f>IFERROR(__xludf.DUMMYFUNCTION("""COMPUTED_VALUE"""),"n/a")</f>
        <v>n/a</v>
      </c>
      <c r="P301" s="697" t="str">
        <f>IFERROR(__xludf.DUMMYFUNCTION("""COMPUTED_VALUE"""),"mass treatment")</f>
        <v>mass treatment</v>
      </c>
      <c r="Q301" s="697"/>
      <c r="R301" s="697"/>
      <c r="S301" s="697" t="str">
        <f>IFERROR(__xludf.DUMMYFUNCTION("""COMPUTED_VALUE"""),"9 years")</f>
        <v>9 years</v>
      </c>
      <c r="T301" s="697" t="str">
        <f>IFERROR(__xludf.DUMMYFUNCTION("""COMPUTED_VALUE"""),"Observation of microfilaraemic children after six MDAs (0.32% in DEC+ALB; 0.75% in DEC alone), necessitates the need for supplementary control strategies (viz., vector control), in order to achieve the goal of LF elimination.")</f>
        <v>Observation of microfilaraemic children after six MDAs (0.32% in DEC+ALB; 0.75% in DEC alone), necessitates the need for supplementary control strategies (viz., vector control), in order to achieve the goal of LF elimination.</v>
      </c>
      <c r="U301" s="697"/>
      <c r="V301" s="697">
        <f>IFERROR(__xludf.DUMMYFUNCTION("""COMPUTED_VALUE"""),2013.0)</f>
        <v>2013</v>
      </c>
      <c r="W301" s="697">
        <f>IFERROR(__xludf.DUMMYFUNCTION("""COMPUTED_VALUE"""),2013.0)</f>
        <v>2013</v>
      </c>
      <c r="X301" s="697" t="str">
        <f>IFERROR(__xludf.DUMMYFUNCTION("""COMPUTED_VALUE"""),"Sunish IP, Munirathinam A, Kalimuthu M, Ashok Kumar V, Tyagi BK. Persistence of Lymphatic Filarial Infection in the Paediatric Population of Rural Community, after Six Rounds of Annual Mass Drug Administrations. Journal of Tropical Pediatrics. Oxford Univ"&amp;"ersity Press (OUP); 2013 Dec 16;60(3):245–8.")</f>
        <v>Sunish IP, Munirathinam A, Kalimuthu M, Ashok Kumar V, Tyagi BK. Persistence of Lymphatic Filarial Infection in the Paediatric Population of Rural Community, after Six Rounds of Annual Mass Drug Administrations. Journal of Tropical Pediatrics. Oxford University Press (OUP); 2013 Dec 16;60(3):245–8.</v>
      </c>
      <c r="Y301" s="697" t="str">
        <f>IFERROR(__xludf.DUMMYFUNCTION("""COMPUTED_VALUE"""),"10.1093/tropej/fmt101")</f>
        <v>10.1093/tropej/fmt101</v>
      </c>
      <c r="Z301" s="865" t="str">
        <f>IFERROR(__xludf.DUMMYFUNCTION("""COMPUTED_VALUE"""),"https://drive.google.com/file/d/0B9vYgR7NsKoYcHNnaUpUZDM3Uzg/view?usp=sharing")</f>
        <v>https://drive.google.com/file/d/0B9vYgR7NsKoYcHNnaUpUZDM3Uzg/view?usp=sharing</v>
      </c>
      <c r="AA301" s="697" t="str">
        <f>IFERROR(__xludf.DUMMYFUNCTION("""COMPUTED_VALUE"""),"x")</f>
        <v>x</v>
      </c>
    </row>
    <row r="302">
      <c r="A302" s="697" t="str">
        <f>IFERROR(__xludf.DUMMYFUNCTION("""COMPUTED_VALUE"""),"Sunish 2013")</f>
        <v>Sunish 2013</v>
      </c>
      <c r="B302" s="697" t="str">
        <f>IFERROR(__xludf.DUMMYFUNCTION("""COMPUTED_VALUE"""),"Chungsoo")</f>
        <v>Chungsoo</v>
      </c>
      <c r="C302" s="697" t="str">
        <f>IFERROR(__xludf.DUMMYFUNCTION("""COMPUTED_VALUE"""),"Mahvish")</f>
        <v>Mahvish</v>
      </c>
      <c r="D302" s="697" t="str">
        <f>IFERROR(__xludf.DUMMYFUNCTION("""COMPUTED_VALUE"""),"India")</f>
        <v>India</v>
      </c>
      <c r="E302" s="697" t="str">
        <f>IFERROR(__xludf.DUMMYFUNCTION("""COMPUTED_VALUE"""),"W. bancrofti")</f>
        <v>W. bancrofti</v>
      </c>
      <c r="F302" s="697" t="str">
        <f>IFERROR(__xludf.DUMMYFUNCTION("""COMPUTED_VALUE"""),"Albendazole &amp; DEC")</f>
        <v>Albendazole &amp; DEC</v>
      </c>
      <c r="G302" s="697" t="str">
        <f>IFERROR(__xludf.DUMMYFUNCTION("""COMPUTED_VALUE"""),"N/A")</f>
        <v>N/A</v>
      </c>
      <c r="H302" s="697"/>
      <c r="I302" s="698">
        <f>IFERROR(__xludf.DUMMYFUNCTION("""COMPUTED_VALUE"""),0.8467)</f>
        <v>0.8467</v>
      </c>
      <c r="J302" s="706">
        <f>IFERROR(__xludf.DUMMYFUNCTION("""COMPUTED_VALUE"""),0.728)</f>
        <v>0.728</v>
      </c>
      <c r="K302" s="697"/>
      <c r="L302" s="697" t="str">
        <f>IFERROR(__xludf.DUMMYFUNCTION("""COMPUTED_VALUE"""),"1800-2400")</f>
        <v>1800-2400</v>
      </c>
      <c r="M302" s="697" t="str">
        <f>IFERROR(__xludf.DUMMYFUNCTION("""COMPUTED_VALUE"""),"2 to 9")</f>
        <v>2 to 9</v>
      </c>
      <c r="N302" s="697" t="str">
        <f>IFERROR(__xludf.DUMMYFUNCTION("""COMPUTED_VALUE"""),"n/a")</f>
        <v>n/a</v>
      </c>
      <c r="O302" s="697" t="str">
        <f>IFERROR(__xludf.DUMMYFUNCTION("""COMPUTED_VALUE"""),"n/a")</f>
        <v>n/a</v>
      </c>
      <c r="P302" s="697" t="str">
        <f>IFERROR(__xludf.DUMMYFUNCTION("""COMPUTED_VALUE"""),"mass treatment")</f>
        <v>mass treatment</v>
      </c>
      <c r="Q302" s="697"/>
      <c r="R302" s="697"/>
      <c r="S302" s="697" t="str">
        <f>IFERROR(__xludf.DUMMYFUNCTION("""COMPUTED_VALUE"""),"9 years")</f>
        <v>9 years</v>
      </c>
      <c r="T302" s="697" t="str">
        <f>IFERROR(__xludf.DUMMYFUNCTION("""COMPUTED_VALUE"""),"Observation of microfilaraemic children after six MDAs (0.32% in DEC+ALB; 0.75% in DEC alone), necessitates the need for supplementary control strategies (viz., vector control), in order to achieve the goal of LF elimination.")</f>
        <v>Observation of microfilaraemic children after six MDAs (0.32% in DEC+ALB; 0.75% in DEC alone), necessitates the need for supplementary control strategies (viz., vector control), in order to achieve the goal of LF elimination.</v>
      </c>
      <c r="U302" s="697"/>
      <c r="V302" s="697">
        <f>IFERROR(__xludf.DUMMYFUNCTION("""COMPUTED_VALUE"""),2013.0)</f>
        <v>2013</v>
      </c>
      <c r="W302" s="697">
        <f>IFERROR(__xludf.DUMMYFUNCTION("""COMPUTED_VALUE"""),2013.0)</f>
        <v>2013</v>
      </c>
      <c r="X302" s="697" t="str">
        <f>IFERROR(__xludf.DUMMYFUNCTION("""COMPUTED_VALUE"""),"Sunish IP, Munirathinam A, Kalimuthu M, Ashok Kumar V, Tyagi BK. Persistence of Lymphatic Filarial Infection in the Paediatric Population of Rural Community, after Six Rounds of Annual Mass Drug Administrations. Journal of Tropical Pediatrics. Oxford Univ"&amp;"ersity Press (OUP); 2013 Dec 16;60(3):245–8.")</f>
        <v>Sunish IP, Munirathinam A, Kalimuthu M, Ashok Kumar V, Tyagi BK. Persistence of Lymphatic Filarial Infection in the Paediatric Population of Rural Community, after Six Rounds of Annual Mass Drug Administrations. Journal of Tropical Pediatrics. Oxford University Press (OUP); 2013 Dec 16;60(3):245–8.</v>
      </c>
      <c r="Y302" s="697" t="str">
        <f>IFERROR(__xludf.DUMMYFUNCTION("""COMPUTED_VALUE"""),"10.1093/tropej/fmt101")</f>
        <v>10.1093/tropej/fmt101</v>
      </c>
      <c r="Z302" s="865" t="str">
        <f>IFERROR(__xludf.DUMMYFUNCTION("""COMPUTED_VALUE"""),"https://drive.google.com/file/d/0B9vYgR7NsKoYcHNnaUpUZDM3Uzg/view?usp=sharing")</f>
        <v>https://drive.google.com/file/d/0B9vYgR7NsKoYcHNnaUpUZDM3Uzg/view?usp=sharing</v>
      </c>
      <c r="AA302" s="697" t="str">
        <f>IFERROR(__xludf.DUMMYFUNCTION("""COMPUTED_VALUE"""),"x")</f>
        <v>x</v>
      </c>
    </row>
    <row r="303">
      <c r="A303" s="697" t="str">
        <f>IFERROR(__xludf.DUMMYFUNCTION("""COMPUTED_VALUE"""),"Sunish 2006")</f>
        <v>Sunish 2006</v>
      </c>
      <c r="B303" s="697" t="str">
        <f>IFERROR(__xludf.DUMMYFUNCTION("""COMPUTED_VALUE"""),"Chungsoo")</f>
        <v>Chungsoo</v>
      </c>
      <c r="C303" s="697" t="str">
        <f>IFERROR(__xludf.DUMMYFUNCTION("""COMPUTED_VALUE"""),"Mahvish")</f>
        <v>Mahvish</v>
      </c>
      <c r="D303" s="697" t="str">
        <f>IFERROR(__xludf.DUMMYFUNCTION("""COMPUTED_VALUE"""),"India")</f>
        <v>India</v>
      </c>
      <c r="E303" s="697"/>
      <c r="F303" s="697" t="str">
        <f>IFERROR(__xludf.DUMMYFUNCTION("""COMPUTED_VALUE"""),"DEC")</f>
        <v>DEC</v>
      </c>
      <c r="G303" s="697" t="str">
        <f>IFERROR(__xludf.DUMMYFUNCTION("""COMPUTED_VALUE"""),"N/A")</f>
        <v>N/A</v>
      </c>
      <c r="H303" s="697" t="str">
        <f>IFERROR(__xludf.DUMMYFUNCTION("""COMPUTED_VALUE"""),"annual single dosage")</f>
        <v>annual single dosage</v>
      </c>
      <c r="I303" s="706">
        <f>IFERROR(__xludf.DUMMYFUNCTION("""COMPUTED_VALUE"""),0.51)</f>
        <v>0.51</v>
      </c>
      <c r="J303" s="706">
        <f>IFERROR(__xludf.DUMMYFUNCTION("""COMPUTED_VALUE"""),0.26)</f>
        <v>0.26</v>
      </c>
      <c r="K303" s="697"/>
      <c r="L303" s="697" t="str">
        <f>IFERROR(__xludf.DUMMYFUNCTION("""COMPUTED_VALUE"""),"n/a")</f>
        <v>n/a</v>
      </c>
      <c r="M303" s="697" t="str">
        <f>IFERROR(__xludf.DUMMYFUNCTION("""COMPUTED_VALUE"""),"10 to 25")</f>
        <v>10 to 25</v>
      </c>
      <c r="N303" s="697" t="str">
        <f>IFERROR(__xludf.DUMMYFUNCTION("""COMPUTED_VALUE"""),"n/a")</f>
        <v>n/a</v>
      </c>
      <c r="O303" s="697" t="str">
        <f>IFERROR(__xludf.DUMMYFUNCTION("""COMPUTED_VALUE"""),"n/a")</f>
        <v>n/a</v>
      </c>
      <c r="P303" s="697" t="str">
        <f>IFERROR(__xludf.DUMMYFUNCTION("""COMPUTED_VALUE"""),"mass treatment")</f>
        <v>mass treatment</v>
      </c>
      <c r="Q303" s="697"/>
      <c r="R303" s="697"/>
      <c r="S303" s="697" t="str">
        <f>IFERROR(__xludf.DUMMYFUNCTION("""COMPUTED_VALUE"""),"4 years")</f>
        <v>4 years</v>
      </c>
      <c r="T303" s="697" t="str">
        <f>IFERROR(__xludf.DUMMYFUNCTION("""COMPUTED_VALUE"""),"The albendazole component may have an important role in reducing the time frame of filariasis elimination and sustain the aims of mass drug administration for longer periods, and also keep transmission at a lower level.")</f>
        <v>The albendazole component may have an important role in reducing the time frame of filariasis elimination and sustain the aims of mass drug administration for longer periods, and also keep transmission at a lower level.</v>
      </c>
      <c r="U303" s="697"/>
      <c r="V303" s="697">
        <f>IFERROR(__xludf.DUMMYFUNCTION("""COMPUTED_VALUE"""),2006.0)</f>
        <v>2006</v>
      </c>
      <c r="W303" s="697">
        <f>IFERROR(__xludf.DUMMYFUNCTION("""COMPUTED_VALUE"""),2006.0)</f>
        <v>2006</v>
      </c>
      <c r="X303" s="697" t="str">
        <f>IFERROR(__xludf.DUMMYFUNCTION("""COMPUTED_VALUE"""),"Sunish I, Rajendran R, Mani T, Dash A, Tyagi B. Evidence for the use of albendazole for the elimination of lymphatic filariasis. The Lancet Infectious Diseases. Elsevier BV; 2006 Mar;6(3):125–6.")</f>
        <v>Sunish I, Rajendran R, Mani T, Dash A, Tyagi B. Evidence for the use of albendazole for the elimination of lymphatic filariasis. The Lancet Infectious Diseases. Elsevier BV; 2006 Mar;6(3):125–6.</v>
      </c>
      <c r="Y303" s="697" t="str">
        <f>IFERROR(__xludf.DUMMYFUNCTION("""COMPUTED_VALUE"""),"10.1016/S1473-3099(06)70392-9")</f>
        <v>10.1016/S1473-3099(06)70392-9</v>
      </c>
      <c r="Z303" s="865" t="str">
        <f>IFERROR(__xludf.DUMMYFUNCTION("""COMPUTED_VALUE"""),"https://drive.google.com/file/d/0B9vYgR7NsKoYNURQU3lKMFBSU1U/view?usp=sharing")</f>
        <v>https://drive.google.com/file/d/0B9vYgR7NsKoYNURQU3lKMFBSU1U/view?usp=sharing</v>
      </c>
      <c r="AA303" s="697" t="str">
        <f>IFERROR(__xludf.DUMMYFUNCTION("""COMPUTED_VALUE"""),"x")</f>
        <v>x</v>
      </c>
    </row>
    <row r="304">
      <c r="A304" s="697" t="str">
        <f>IFERROR(__xludf.DUMMYFUNCTION("""COMPUTED_VALUE"""),"Sunish 2006")</f>
        <v>Sunish 2006</v>
      </c>
      <c r="B304" s="697" t="str">
        <f>IFERROR(__xludf.DUMMYFUNCTION("""COMPUTED_VALUE"""),"Chungsoo")</f>
        <v>Chungsoo</v>
      </c>
      <c r="C304" s="697" t="str">
        <f>IFERROR(__xludf.DUMMYFUNCTION("""COMPUTED_VALUE"""),"Mahvish")</f>
        <v>Mahvish</v>
      </c>
      <c r="D304" s="697" t="str">
        <f>IFERROR(__xludf.DUMMYFUNCTION("""COMPUTED_VALUE"""),"India")</f>
        <v>India</v>
      </c>
      <c r="E304" s="697"/>
      <c r="F304" s="697" t="str">
        <f>IFERROR(__xludf.DUMMYFUNCTION("""COMPUTED_VALUE"""),"Albendazole &amp; DEC")</f>
        <v>Albendazole &amp; DEC</v>
      </c>
      <c r="G304" s="697" t="str">
        <f>IFERROR(__xludf.DUMMYFUNCTION("""COMPUTED_VALUE"""),"N/A")</f>
        <v>N/A</v>
      </c>
      <c r="H304" s="697"/>
      <c r="I304" s="706">
        <f>IFERROR(__xludf.DUMMYFUNCTION("""COMPUTED_VALUE"""),0.72)</f>
        <v>0.72</v>
      </c>
      <c r="J304" s="706">
        <f>IFERROR(__xludf.DUMMYFUNCTION("""COMPUTED_VALUE"""),0.78)</f>
        <v>0.78</v>
      </c>
      <c r="K304" s="697"/>
      <c r="L304" s="697" t="str">
        <f>IFERROR(__xludf.DUMMYFUNCTION("""COMPUTED_VALUE"""),"n/a")</f>
        <v>n/a</v>
      </c>
      <c r="M304" s="697" t="str">
        <f>IFERROR(__xludf.DUMMYFUNCTION("""COMPUTED_VALUE"""),"10 to 25")</f>
        <v>10 to 25</v>
      </c>
      <c r="N304" s="697" t="str">
        <f>IFERROR(__xludf.DUMMYFUNCTION("""COMPUTED_VALUE"""),"n/a")</f>
        <v>n/a</v>
      </c>
      <c r="O304" s="697" t="str">
        <f>IFERROR(__xludf.DUMMYFUNCTION("""COMPUTED_VALUE"""),"n/a")</f>
        <v>n/a</v>
      </c>
      <c r="P304" s="697" t="str">
        <f>IFERROR(__xludf.DUMMYFUNCTION("""COMPUTED_VALUE"""),"mass treatment")</f>
        <v>mass treatment</v>
      </c>
      <c r="Q304" s="697"/>
      <c r="R304" s="697"/>
      <c r="S304" s="697" t="str">
        <f>IFERROR(__xludf.DUMMYFUNCTION("""COMPUTED_VALUE"""),"4 years")</f>
        <v>4 years</v>
      </c>
      <c r="T304" s="697" t="str">
        <f>IFERROR(__xludf.DUMMYFUNCTION("""COMPUTED_VALUE"""),"The albendazole component may have an important role in reducing the time frame of filariasis elimination and sustain the aims of mass drug administration for longer periods, and also keep transmission at a lower level.")</f>
        <v>The albendazole component may have an important role in reducing the time frame of filariasis elimination and sustain the aims of mass drug administration for longer periods, and also keep transmission at a lower level.</v>
      </c>
      <c r="U304" s="697"/>
      <c r="V304" s="697">
        <f>IFERROR(__xludf.DUMMYFUNCTION("""COMPUTED_VALUE"""),2006.0)</f>
        <v>2006</v>
      </c>
      <c r="W304" s="697">
        <f>IFERROR(__xludf.DUMMYFUNCTION("""COMPUTED_VALUE"""),2006.0)</f>
        <v>2006</v>
      </c>
      <c r="X304" s="697" t="str">
        <f>IFERROR(__xludf.DUMMYFUNCTION("""COMPUTED_VALUE"""),"Sunish I, Rajendran R, Mani T, Dash A, Tyagi B. Evidence for the use of albendazole for the elimination of lymphatic filariasis. The Lancet Infectious Diseases. Elsevier BV; 2006 Mar;6(3):125–6.")</f>
        <v>Sunish I, Rajendran R, Mani T, Dash A, Tyagi B. Evidence for the use of albendazole for the elimination of lymphatic filariasis. The Lancet Infectious Diseases. Elsevier BV; 2006 Mar;6(3):125–6.</v>
      </c>
      <c r="Y304" s="697" t="str">
        <f>IFERROR(__xludf.DUMMYFUNCTION("""COMPUTED_VALUE"""),"10.1016/S1473-3099(06)70392-9")</f>
        <v>10.1016/S1473-3099(06)70392-9</v>
      </c>
      <c r="Z304" s="865" t="str">
        <f>IFERROR(__xludf.DUMMYFUNCTION("""COMPUTED_VALUE"""),"https://drive.google.com/file/d/0B9vYgR7NsKoYNURQU3lKMFBSU1U/view?usp=sharing")</f>
        <v>https://drive.google.com/file/d/0B9vYgR7NsKoYNURQU3lKMFBSU1U/view?usp=sharing</v>
      </c>
      <c r="AA304" s="697" t="str">
        <f>IFERROR(__xludf.DUMMYFUNCTION("""COMPUTED_VALUE"""),"x")</f>
        <v>x</v>
      </c>
    </row>
    <row r="305">
      <c r="A305" s="697" t="str">
        <f>IFERROR(__xludf.DUMMYFUNCTION("""COMPUTED_VALUE"""),"Rochars 2004")</f>
        <v>Rochars 2004</v>
      </c>
      <c r="B305" s="697" t="str">
        <f>IFERROR(__xludf.DUMMYFUNCTION("""COMPUTED_VALUE"""),"Chungsoo")</f>
        <v>Chungsoo</v>
      </c>
      <c r="C305" s="697" t="str">
        <f>IFERROR(__xludf.DUMMYFUNCTION("""COMPUTED_VALUE"""),"Mahvish")</f>
        <v>Mahvish</v>
      </c>
      <c r="D305" s="697" t="str">
        <f>IFERROR(__xludf.DUMMYFUNCTION("""COMPUTED_VALUE"""),"Haiti")</f>
        <v>Haiti</v>
      </c>
      <c r="E305" s="697"/>
      <c r="F305" s="697" t="str">
        <f>IFERROR(__xludf.DUMMYFUNCTION("""COMPUTED_VALUE"""),"Albendazole &amp; DEC")</f>
        <v>Albendazole &amp; DEC</v>
      </c>
      <c r="G305" s="697" t="str">
        <f>IFERROR(__xludf.DUMMYFUNCTION("""COMPUTED_VALUE"""),"6mg/kg DEC, 400mg ALB")</f>
        <v>6mg/kg DEC, 400mg ALB</v>
      </c>
      <c r="H305" s="697" t="str">
        <f>IFERROR(__xludf.DUMMYFUNCTION("""COMPUTED_VALUE"""),"annual single dosage")</f>
        <v>annual single dosage</v>
      </c>
      <c r="I305" s="697"/>
      <c r="J305" s="697"/>
      <c r="K305" s="697"/>
      <c r="L305" s="697"/>
      <c r="M305" s="697"/>
      <c r="N305" s="697"/>
      <c r="O305" s="697" t="str">
        <f>IFERROR(__xludf.DUMMYFUNCTION("""COMPUTED_VALUE"""),"Children less than two years of age and pregnant women were excluded from treatment as per WHO guidelines.")</f>
        <v>Children less than two years of age and pregnant women were excluded from treatment as per WHO guidelines.</v>
      </c>
      <c r="P305" s="697" t="str">
        <f>IFERROR(__xludf.DUMMYFUNCTION("""COMPUTED_VALUE"""),"mass treatment")</f>
        <v>mass treatment</v>
      </c>
      <c r="Q305" s="697"/>
      <c r="R305" s="697"/>
      <c r="S305" s="697" t="str">
        <f>IFERROR(__xludf.DUMMYFUNCTION("""COMPUTED_VALUE"""),"3 years")</f>
        <v>3 years</v>
      </c>
      <c r="T305" s="697" t="str">
        <f>IFERROR(__xludf.DUMMYFUNCTION("""COMPUTED_VALUE"""),"substantial reductions in intestinal helminth infections are associated with mass treatment of filariasis in Haiti and are consistent with the conclusion that high levels of coverage for the LF program can decrease transmission of geohelminths.")</f>
        <v>substantial reductions in intestinal helminth infections are associated with mass treatment of filariasis in Haiti and are consistent with the conclusion that high levels of coverage for the LF program can decrease transmission of geohelminths.</v>
      </c>
      <c r="U305" s="697"/>
      <c r="V305" s="697">
        <f>IFERROR(__xludf.DUMMYFUNCTION("""COMPUTED_VALUE"""),2004.0)</f>
        <v>2004</v>
      </c>
      <c r="W305" s="697">
        <f>IFERROR(__xludf.DUMMYFUNCTION("""COMPUTED_VALUE"""),2004.0)</f>
        <v>2004</v>
      </c>
      <c r="X305" s="697" t="str">
        <f>IFERROR(__xludf.DUMMYFUNCTION("""COMPUTED_VALUE"""),"Rochars MB, Direny AN, Roberts JM, Addiss DG, et al. Community-wide reduction in prevalence and intensity of intestinal helminths as a collateral benefit of lymphatic filariasis elimination programs. Am J Trop Med Hyg. 2004 October; 71(4): 466–470.")</f>
        <v>Rochars MB, Direny AN, Roberts JM, Addiss DG, et al. Community-wide reduction in prevalence and intensity of intestinal helminths as a collateral benefit of lymphatic filariasis elimination programs. Am J Trop Med Hyg. 2004 October; 71(4): 466–470.</v>
      </c>
      <c r="Y305" s="697" t="str">
        <f>IFERROR(__xludf.DUMMYFUNCTION("""COMPUTED_VALUE"""),"PMID: 15516644")</f>
        <v>PMID: 15516644</v>
      </c>
      <c r="Z305" s="865" t="str">
        <f>IFERROR(__xludf.DUMMYFUNCTION("""COMPUTED_VALUE"""),"https://drive.google.com/file/d/0B0-pry4DSOm3NFJPRU4xMzUyX0k/view?usp=sharing")</f>
        <v>https://drive.google.com/file/d/0B0-pry4DSOm3NFJPRU4xMzUyX0k/view?usp=sharing</v>
      </c>
      <c r="AA305" s="697" t="str">
        <f>IFERROR(__xludf.DUMMYFUNCTION("""COMPUTED_VALUE"""),"x")</f>
        <v>x</v>
      </c>
    </row>
    <row r="306">
      <c r="A306" s="697" t="str">
        <f>IFERROR(__xludf.DUMMYFUNCTION("""COMPUTED_VALUE"""),"Ramzy 2006")</f>
        <v>Ramzy 2006</v>
      </c>
      <c r="B306" s="697" t="str">
        <f>IFERROR(__xludf.DUMMYFUNCTION("""COMPUTED_VALUE"""),"Chungsoo")</f>
        <v>Chungsoo</v>
      </c>
      <c r="C306" s="697" t="str">
        <f>IFERROR(__xludf.DUMMYFUNCTION("""COMPUTED_VALUE"""),"Mahvish")</f>
        <v>Mahvish</v>
      </c>
      <c r="D306" s="697" t="str">
        <f>IFERROR(__xludf.DUMMYFUNCTION("""COMPUTED_VALUE"""),"Egypt")</f>
        <v>Egypt</v>
      </c>
      <c r="E306" s="697" t="str">
        <f>IFERROR(__xludf.DUMMYFUNCTION("""COMPUTED_VALUE"""),"W. bancrofti")</f>
        <v>W. bancrofti</v>
      </c>
      <c r="F306" s="697" t="str">
        <f>IFERROR(__xludf.DUMMYFUNCTION("""COMPUTED_VALUE"""),"Albendazole &amp; DEC")</f>
        <v>Albendazole &amp; DEC</v>
      </c>
      <c r="G306" s="697" t="str">
        <f>IFERROR(__xludf.DUMMYFUNCTION("""COMPUTED_VALUE"""),"6mg/kg, 400mg")</f>
        <v>6mg/kg, 400mg</v>
      </c>
      <c r="H306" s="697" t="str">
        <f>IFERROR(__xludf.DUMMYFUNCTION("""COMPUTED_VALUE"""),"yearly cycles of single-dose diethylcarbamazine (6 mg/kg bodyweight) and albendazole (fixed dose of 400 mg). Five rounds of mass drug administration per village (2 villages)")</f>
        <v>yearly cycles of single-dose diethylcarbamazine (6 mg/kg bodyweight) and albendazole (fixed dose of 400 mg). Five rounds of mass drug administration per village (2 villages)</v>
      </c>
      <c r="I306" s="697" t="str">
        <f>IFERROR(__xludf.DUMMYFUNCTION("""COMPUTED_VALUE"""),"Giza: Round 1: 95.5%
2: 97.3%
3: 98.7%
4: 99.6%
5: 98.8%
Qalublya: Round 1: 98.3%
2: 99.4%
3: 100%
4: 99.8%
5: 100%")</f>
        <v>Giza: Round 1: 95.5%
2: 97.3%
3: 98.7%
4: 99.6%
5: 98.8%
Qalublya: Round 1: 98.3%
2: 99.4%
3: 100%
4: 99.8%
5: 100%</v>
      </c>
      <c r="J306" s="697"/>
      <c r="K306" s="697"/>
      <c r="L306" s="697" t="str">
        <f>IFERROR(__xludf.DUMMYFUNCTION("""COMPUTED_VALUE"""),"1774-1842")</f>
        <v>1774-1842</v>
      </c>
      <c r="M306" s="697" t="str">
        <f>IFERROR(__xludf.DUMMYFUNCTION("""COMPUTED_VALUE"""),"&gt;2")</f>
        <v>&gt;2</v>
      </c>
      <c r="N306" s="697" t="str">
        <f>IFERROR(__xludf.DUMMYFUNCTION("""COMPUTED_VALUE"""),"n/a")</f>
        <v>n/a</v>
      </c>
      <c r="O306" s="697" t="str">
        <f>IFERROR(__xludf.DUMMYFUNCTION("""COMPUTED_VALUE"""),"Pregnant women and children younger than 2 years were excluded from MDA.")</f>
        <v>Pregnant women and children younger than 2 years were excluded from MDA.</v>
      </c>
      <c r="P306" s="697" t="str">
        <f>IFERROR(__xludf.DUMMYFUNCTION("""COMPUTED_VALUE"""),"mass treatment")</f>
        <v>mass treatment</v>
      </c>
      <c r="Q306" s="697"/>
      <c r="R306" s="697"/>
      <c r="S306" s="697" t="str">
        <f>IFERROR(__xludf.DUMMYFUNCTION("""COMPUTED_VALUE"""),"5 years")</f>
        <v>5 years</v>
      </c>
      <c r="T306" s="697" t="str">
        <f>IFERROR(__xludf.DUMMYFUNCTION("""COMPUTED_VALUE"""),"Filarial antigen prevalence rates fell more slowly than microfilariae rates after MDA. This result is consistent with clinical trials that have shown diethylcarbamazine and albendazole to be more effective against micro-filariae than against adult W bancr"&amp;"ofti.")</f>
        <v>Filarial antigen prevalence rates fell more slowly than microfilariae rates after MDA. This result is consistent with clinical trials that have shown diethylcarbamazine and albendazole to be more effective against micro-filariae than against adult W bancrofti.</v>
      </c>
      <c r="U306" s="697"/>
      <c r="V306" s="697">
        <f>IFERROR(__xludf.DUMMYFUNCTION("""COMPUTED_VALUE"""),2006.0)</f>
        <v>2006</v>
      </c>
      <c r="W306" s="697">
        <f>IFERROR(__xludf.DUMMYFUNCTION("""COMPUTED_VALUE"""),2006.0)</f>
        <v>2006</v>
      </c>
      <c r="X306" s="697" t="str">
        <f>IFERROR(__xludf.DUMMYFUNCTION("""COMPUTED_VALUE"""),"
Thiers BH. Effect of yearly mass drug administration with diethylcarbamazine and albendazole on bancroftian filariasis in Egypt: a comprehensive assessment. Yearbook of Dermatology and Dermatologic Surgery. Elsevier BV; 2007 Jan;2007:165–6.")</f>
        <v>
Thiers BH. Effect of yearly mass drug administration with diethylcarbamazine and albendazole on bancroftian filariasis in Egypt: a comprehensive assessment. Yearbook of Dermatology and Dermatologic Surgery. Elsevier BV; 2007 Jan;2007:165–6.</v>
      </c>
      <c r="Y306" s="697"/>
      <c r="Z306" s="865" t="str">
        <f>IFERROR(__xludf.DUMMYFUNCTION("""COMPUTED_VALUE"""),"https://drive.google.com/file/d/0B4sJPAkX0Jo3REg5aXNxcUlGb3c/view?usp=sharing")</f>
        <v>https://drive.google.com/file/d/0B4sJPAkX0Jo3REg5aXNxcUlGb3c/view?usp=sharing</v>
      </c>
      <c r="AA306" s="697" t="str">
        <f>IFERROR(__xludf.DUMMYFUNCTION("""COMPUTED_VALUE"""),"x")</f>
        <v>x</v>
      </c>
    </row>
    <row r="307">
      <c r="A307" s="697" t="str">
        <f>IFERROR(__xludf.DUMMYFUNCTION("""COMPUTED_VALUE"""),"Ramzy 2006")</f>
        <v>Ramzy 2006</v>
      </c>
      <c r="B307" s="697" t="str">
        <f>IFERROR(__xludf.DUMMYFUNCTION("""COMPUTED_VALUE"""),"Chungsoo")</f>
        <v>Chungsoo</v>
      </c>
      <c r="C307" s="697" t="str">
        <f>IFERROR(__xludf.DUMMYFUNCTION("""COMPUTED_VALUE"""),"Mahvish")</f>
        <v>Mahvish</v>
      </c>
      <c r="D307" s="697" t="str">
        <f>IFERROR(__xludf.DUMMYFUNCTION("""COMPUTED_VALUE"""),"Egypt")</f>
        <v>Egypt</v>
      </c>
      <c r="E307" s="697" t="str">
        <f>IFERROR(__xludf.DUMMYFUNCTION("""COMPUTED_VALUE"""),"W. bancrofti")</f>
        <v>W. bancrofti</v>
      </c>
      <c r="F307" s="697" t="str">
        <f>IFERROR(__xludf.DUMMYFUNCTION("""COMPUTED_VALUE"""),"Albendazole &amp; DEC")</f>
        <v>Albendazole &amp; DEC</v>
      </c>
      <c r="G307" s="697" t="str">
        <f>IFERROR(__xludf.DUMMYFUNCTION("""COMPUTED_VALUE"""),"6mg/kg, 400mg")</f>
        <v>6mg/kg, 400mg</v>
      </c>
      <c r="H307" s="697" t="str">
        <f>IFERROR(__xludf.DUMMYFUNCTION("""COMPUTED_VALUE"""),"yearly cycles of single-dose diethylcarbamazine (6 mg/kg bodyweight) and albendazole (fixed dose of 400 mg). Five rounds of mass drug administration per village (2 villages)")</f>
        <v>yearly cycles of single-dose diethylcarbamazine (6 mg/kg bodyweight) and albendazole (fixed dose of 400 mg). Five rounds of mass drug administration per village (2 villages)</v>
      </c>
      <c r="I307" s="697" t="str">
        <f>IFERROR(__xludf.DUMMYFUNCTION("""COMPUTED_VALUE"""),"(Grade1)Giza: Round 1: 87.2%
2: 96.1%
3: 97.9%
4: 98.5%
5: 99.8%
(Grade1)Qalublya: Round 1: 99.6%
2: 98.3%
3: 100%
4: 100%
5: 100%")</f>
        <v>(Grade1)Giza: Round 1: 87.2%
2: 96.1%
3: 97.9%
4: 98.5%
5: 99.8%
(Grade1)Qalublya: Round 1: 99.6%
2: 98.3%
3: 100%
4: 100%
5: 100%</v>
      </c>
      <c r="J307" s="697"/>
      <c r="K307" s="697"/>
      <c r="L307" s="697" t="str">
        <f>IFERROR(__xludf.DUMMYFUNCTION("""COMPUTED_VALUE"""),"677-1229")</f>
        <v>677-1229</v>
      </c>
      <c r="M307" s="697" t="str">
        <f>IFERROR(__xludf.DUMMYFUNCTION("""COMPUTED_VALUE"""),"7 to 8")</f>
        <v>7 to 8</v>
      </c>
      <c r="N307" s="697" t="str">
        <f>IFERROR(__xludf.DUMMYFUNCTION("""COMPUTED_VALUE"""),"n/a")</f>
        <v>n/a</v>
      </c>
      <c r="O307" s="697" t="str">
        <f>IFERROR(__xludf.DUMMYFUNCTION("""COMPUTED_VALUE"""),"children younger than 2 years were excluded from MDA.")</f>
        <v>children younger than 2 years were excluded from MDA.</v>
      </c>
      <c r="P307" s="697" t="str">
        <f>IFERROR(__xludf.DUMMYFUNCTION("""COMPUTED_VALUE"""),"mass treatment")</f>
        <v>mass treatment</v>
      </c>
      <c r="Q307" s="697"/>
      <c r="R307" s="697"/>
      <c r="S307" s="697" t="str">
        <f>IFERROR(__xludf.DUMMYFUNCTION("""COMPUTED_VALUE"""),"5 years")</f>
        <v>5 years</v>
      </c>
      <c r="T307" s="697" t="str">
        <f>IFERROR(__xludf.DUMMYFUNCTION("""COMPUTED_VALUE"""),"Filarial antigen prevalence rates fell more slowly than microfilariae rates after MDA. This result is consistent with clinical trials that have shown diethylcarbamazine and albendazole to be more effective against micro-filariae than against adult W bancr"&amp;"ofti.")</f>
        <v>Filarial antigen prevalence rates fell more slowly than microfilariae rates after MDA. This result is consistent with clinical trials that have shown diethylcarbamazine and albendazole to be more effective against micro-filariae than against adult W bancrofti.</v>
      </c>
      <c r="U307" s="697"/>
      <c r="V307" s="697">
        <f>IFERROR(__xludf.DUMMYFUNCTION("""COMPUTED_VALUE"""),2006.0)</f>
        <v>2006</v>
      </c>
      <c r="W307" s="697">
        <f>IFERROR(__xludf.DUMMYFUNCTION("""COMPUTED_VALUE"""),2006.0)</f>
        <v>2006</v>
      </c>
      <c r="X307" s="697" t="str">
        <f>IFERROR(__xludf.DUMMYFUNCTION("""COMPUTED_VALUE"""),"
Thiers BH. Effect of yearly mass drug administration with diethylcarbamazine and albendazole on bancroftian filariasis in Egypt: a comprehensive assessment. Yearbook of Dermatology and Dermatologic Surgery. Elsevier BV; 2007 Jan;2007:165–6.")</f>
        <v>
Thiers BH. Effect of yearly mass drug administration with diethylcarbamazine and albendazole on bancroftian filariasis in Egypt: a comprehensive assessment. Yearbook of Dermatology and Dermatologic Surgery. Elsevier BV; 2007 Jan;2007:165–6.</v>
      </c>
      <c r="Y307" s="697"/>
      <c r="Z307" s="865" t="str">
        <f>IFERROR(__xludf.DUMMYFUNCTION("""COMPUTED_VALUE"""),"https://drive.google.com/file/d/0B4sJPAkX0Jo3REg5aXNxcUlGb3c/view?usp=sharing")</f>
        <v>https://drive.google.com/file/d/0B4sJPAkX0Jo3REg5aXNxcUlGb3c/view?usp=sharing</v>
      </c>
      <c r="AA307" s="697" t="str">
        <f>IFERROR(__xludf.DUMMYFUNCTION("""COMPUTED_VALUE"""),"x")</f>
        <v>x</v>
      </c>
    </row>
    <row r="308">
      <c r="A308" s="697" t="str">
        <f>IFERROR(__xludf.DUMMYFUNCTION("""COMPUTED_VALUE"""),"Ramzy 2006")</f>
        <v>Ramzy 2006</v>
      </c>
      <c r="B308" s="697" t="str">
        <f>IFERROR(__xludf.DUMMYFUNCTION("""COMPUTED_VALUE"""),"Chungsoo")</f>
        <v>Chungsoo</v>
      </c>
      <c r="C308" s="697" t="str">
        <f>IFERROR(__xludf.DUMMYFUNCTION("""COMPUTED_VALUE"""),"Mahvish")</f>
        <v>Mahvish</v>
      </c>
      <c r="D308" s="697" t="str">
        <f>IFERROR(__xludf.DUMMYFUNCTION("""COMPUTED_VALUE"""),"Egypt")</f>
        <v>Egypt</v>
      </c>
      <c r="E308" s="697" t="str">
        <f>IFERROR(__xludf.DUMMYFUNCTION("""COMPUTED_VALUE"""),"W. bancrofti")</f>
        <v>W. bancrofti</v>
      </c>
      <c r="F308" s="697" t="str">
        <f>IFERROR(__xludf.DUMMYFUNCTION("""COMPUTED_VALUE"""),"Albendazole &amp; DEC")</f>
        <v>Albendazole &amp; DEC</v>
      </c>
      <c r="G308" s="697" t="str">
        <f>IFERROR(__xludf.DUMMYFUNCTION("""COMPUTED_VALUE"""),"6mg/kg, 400mg")</f>
        <v>6mg/kg, 400mg</v>
      </c>
      <c r="H308" s="697" t="str">
        <f>IFERROR(__xludf.DUMMYFUNCTION("""COMPUTED_VALUE"""),"yearly cycles of single-dose diethylcarbamazine (6 mg/kg bodyweight) and albendazole (fixed dose of 400 mg). Five rounds of mass drug administration per village (2 villages)")</f>
        <v>yearly cycles of single-dose diethylcarbamazine (6 mg/kg bodyweight) and albendazole (fixed dose of 400 mg). Five rounds of mass drug administration per village (2 villages)</v>
      </c>
      <c r="I308" s="697" t="str">
        <f>IFERROR(__xludf.DUMMYFUNCTION("""COMPUTED_VALUE"""),"(Grade5)Giza: Round 1: n/a
2: 93.4%
3: 97.9%
4: 92.2%
5: 98.6%
(Grade5)Qalublya: Round 1: n/a
2: 98.6%
3: 98.5%
4: 99.91%
5: 100%")</f>
        <v>(Grade5)Giza: Round 1: n/a
2: 93.4%
3: 97.9%
4: 92.2%
5: 98.6%
(Grade5)Qalublya: Round 1: n/a
2: 98.6%
3: 98.5%
4: 99.91%
5: 100%</v>
      </c>
      <c r="J308" s="697"/>
      <c r="K308" s="697"/>
      <c r="L308" s="697" t="str">
        <f>IFERROR(__xludf.DUMMYFUNCTION("""COMPUTED_VALUE"""),"507-736")</f>
        <v>507-736</v>
      </c>
      <c r="M308" s="697">
        <f>IFERROR(__xludf.DUMMYFUNCTION("""COMPUTED_VALUE"""),11.0)</f>
        <v>11</v>
      </c>
      <c r="N308" s="697" t="str">
        <f>IFERROR(__xludf.DUMMYFUNCTION("""COMPUTED_VALUE"""),"n/a")</f>
        <v>n/a</v>
      </c>
      <c r="O308" s="697" t="str">
        <f>IFERROR(__xludf.DUMMYFUNCTION("""COMPUTED_VALUE"""),"children younger than 2 years were excluded from MDA.")</f>
        <v>children younger than 2 years were excluded from MDA.</v>
      </c>
      <c r="P308" s="697" t="str">
        <f>IFERROR(__xludf.DUMMYFUNCTION("""COMPUTED_VALUE"""),"mass treatment")</f>
        <v>mass treatment</v>
      </c>
      <c r="Q308" s="697"/>
      <c r="R308" s="697"/>
      <c r="S308" s="697" t="str">
        <f>IFERROR(__xludf.DUMMYFUNCTION("""COMPUTED_VALUE"""),"5 years")</f>
        <v>5 years</v>
      </c>
      <c r="T308" s="697" t="str">
        <f>IFERROR(__xludf.DUMMYFUNCTION("""COMPUTED_VALUE"""),"Filarial antigen prevalence rates fell more slowly than microfilariae rates after MDA. This result is consistent with clinical trials that have shown diethylcarbamazine and albendazole to be more effective against micro-filariae than against adult W bancr"&amp;"ofti.")</f>
        <v>Filarial antigen prevalence rates fell more slowly than microfilariae rates after MDA. This result is consistent with clinical trials that have shown diethylcarbamazine and albendazole to be more effective against micro-filariae than against adult W bancrofti.</v>
      </c>
      <c r="U308" s="697"/>
      <c r="V308" s="697">
        <f>IFERROR(__xludf.DUMMYFUNCTION("""COMPUTED_VALUE"""),2006.0)</f>
        <v>2006</v>
      </c>
      <c r="W308" s="697">
        <f>IFERROR(__xludf.DUMMYFUNCTION("""COMPUTED_VALUE"""),2006.0)</f>
        <v>2006</v>
      </c>
      <c r="X308" s="697" t="str">
        <f>IFERROR(__xludf.DUMMYFUNCTION("""COMPUTED_VALUE"""),"
Thiers BH. Effect of yearly mass drug administration with diethylcarbamazine and albendazole on bancroftian filariasis in Egypt: a comprehensive assessment. Yearbook of Dermatology and Dermatologic Surgery. Elsevier BV; 2007 Jan;2007:165–6.")</f>
        <v>
Thiers BH. Effect of yearly mass drug administration with diethylcarbamazine and albendazole on bancroftian filariasis in Egypt: a comprehensive assessment. Yearbook of Dermatology and Dermatologic Surgery. Elsevier BV; 2007 Jan;2007:165–6.</v>
      </c>
      <c r="Y308" s="697"/>
      <c r="Z308" s="865" t="str">
        <f>IFERROR(__xludf.DUMMYFUNCTION("""COMPUTED_VALUE"""),"https://drive.google.com/file/d/0B4sJPAkX0Jo3REg5aXNxcUlGb3c/view?usp=sharing")</f>
        <v>https://drive.google.com/file/d/0B4sJPAkX0Jo3REg5aXNxcUlGb3c/view?usp=sharing</v>
      </c>
      <c r="AA308" s="697" t="str">
        <f>IFERROR(__xludf.DUMMYFUNCTION("""COMPUTED_VALUE"""),"x")</f>
        <v>x</v>
      </c>
    </row>
    <row r="309">
      <c r="A309" s="697" t="str">
        <f>IFERROR(__xludf.DUMMYFUNCTION("""COMPUTED_VALUE"""),"Ramiah 2013")</f>
        <v>Ramiah 2013</v>
      </c>
      <c r="B309" s="697" t="str">
        <f>IFERROR(__xludf.DUMMYFUNCTION("""COMPUTED_VALUE"""),"Kirti")</f>
        <v>Kirti</v>
      </c>
      <c r="C309" s="697" t="str">
        <f>IFERROR(__xludf.DUMMYFUNCTION("""COMPUTED_VALUE"""),"Mahvish")</f>
        <v>Mahvish</v>
      </c>
      <c r="D309" s="697" t="str">
        <f>IFERROR(__xludf.DUMMYFUNCTION("""COMPUTED_VALUE"""),"South India")</f>
        <v>South India</v>
      </c>
      <c r="E309" s="697" t="str">
        <f>IFERROR(__xludf.DUMMYFUNCTION("""COMPUTED_VALUE"""),"W. bancrofti")</f>
        <v>W. bancrofti</v>
      </c>
      <c r="F309" s="697" t="str">
        <f>IFERROR(__xludf.DUMMYFUNCTION("""COMPUTED_VALUE"""),"DEC")</f>
        <v>DEC</v>
      </c>
      <c r="G309" s="697" t="str">
        <f>IFERROR(__xludf.DUMMYFUNCTION("""COMPUTED_VALUE"""),"6 mg/kg body weight")</f>
        <v>6 mg/kg body weight</v>
      </c>
      <c r="H309" s="697" t="str">
        <f>IFERROR(__xludf.DUMMYFUNCTION("""COMPUTED_VALUE"""),"annual single dose mass treatment - the first round of MDA was given in 1994. A total of 10 rounds of MDA were implemented, the last given in 2004. On average an individual consumed the drug six times out of 10 rounds of treatment.")</f>
        <v>annual single dose mass treatment - the first round of MDA was given in 1994. A total of 10 rounds of MDA were implemented, the last given in 2004. On average an individual consumed the drug six times out of 10 rounds of treatment.</v>
      </c>
      <c r="I309" s="700">
        <f>IFERROR(__xludf.DUMMYFUNCTION("""COMPUTED_VALUE"""),0.93)</f>
        <v>0.93</v>
      </c>
      <c r="J309" s="697"/>
      <c r="K309" s="697"/>
      <c r="L309" s="697">
        <f>IFERROR(__xludf.DUMMYFUNCTION("""COMPUTED_VALUE"""),9889.0)</f>
        <v>9889</v>
      </c>
      <c r="M309" s="697" t="str">
        <f>IFERROR(__xludf.DUMMYFUNCTION("""COMPUTED_VALUE"""),"1-45")</f>
        <v>1-45</v>
      </c>
      <c r="N309" s="697" t="str">
        <f>IFERROR(__xludf.DUMMYFUNCTION("""COMPUTED_VALUE"""),"n/a")</f>
        <v>n/a</v>
      </c>
      <c r="O309" s="697" t="str">
        <f>IFERROR(__xludf.DUMMYFUNCTION("""COMPUTED_VALUE"""),"Children below 15 kg body weight, pregnant and lactating women and severely ill people were excluded from treatment.")</f>
        <v>Children below 15 kg body weight, pregnant and lactating women and severely ill people were excluded from treatment.</v>
      </c>
      <c r="P309" s="697" t="str">
        <f>IFERROR(__xludf.DUMMYFUNCTION("""COMPUTED_VALUE"""),"mass treatment")</f>
        <v>mass treatment</v>
      </c>
      <c r="Q309" s="697"/>
      <c r="R309" s="697"/>
      <c r="S309" s="697" t="str">
        <f>IFERROR(__xludf.DUMMYFUNCTION("""COMPUTED_VALUE"""),"16 years ")</f>
        <v>16 years </v>
      </c>
      <c r="T309" s="697" t="str">
        <f>IFERROR(__xludf.DUMMYFUNCTION("""COMPUTED_VALUE"""),"Six years of post-MDA monitoring and evaluation appears to be adequate to discern the status of transmission interruption and appropriate decision making.")</f>
        <v>Six years of post-MDA monitoring and evaluation appears to be adequate to discern the status of transmission interruption and appropriate decision making.</v>
      </c>
      <c r="U309" s="697" t="str">
        <f>IFERROR(__xludf.DUMMYFUNCTION("""COMPUTED_VALUE"""),"The study started in 1994 when the subjects were given the first dose of medicine. They were given ten rounds of a single dose of DEC until 2004. Night blood surveys were carried out annually in all five villages for four years (2005 –2008) to study the c"&amp;"hanges in Mf prevalence after stopping the MDA. Mosquito surveys were carried out and vector infection rates monitored for six years (2005 –2010) after stopping the MDA. The sample size refers to the total population of the five villages and not the numbe"&amp;"r of individuals who went through the treatment. ")</f>
        <v>The study started in 1994 when the subjects were given the first dose of medicine. They were given ten rounds of a single dose of DEC until 2004. Night blood surveys were carried out annually in all five villages for four years (2005 –2008) to study the changes in Mf prevalence after stopping the MDA. Mosquito surveys were carried out and vector infection rates monitored for six years (2005 –2010) after stopping the MDA. The sample size refers to the total population of the five villages and not the number of individuals who went through the treatment. </v>
      </c>
      <c r="V309" s="697" t="str">
        <f>IFERROR(__xludf.DUMMYFUNCTION("""COMPUTED_VALUE"""),"1994-2010")</f>
        <v>1994-2010</v>
      </c>
      <c r="W309" s="697">
        <f>IFERROR(__xludf.DUMMYFUNCTION("""COMPUTED_VALUE"""),2010.0)</f>
        <v>2010</v>
      </c>
      <c r="X309" s="697" t="str">
        <f>IFERROR(__xludf.DUMMYFUNCTION("""COMPUTED_VALUE"""),"Ramaiah KD, and Vanamail P. Surveillance of lymphatic filariasis after stopping ten years of mass drug administration in rural communities in South India. Trans R Soc Trop Med Hyg. Janaury 2013; 107(5):293-300.")</f>
        <v>Ramaiah KD, and Vanamail P. Surveillance of lymphatic filariasis after stopping ten years of mass drug administration in rural communities in South India. Trans R Soc Trop Med Hyg. Janaury 2013; 107(5):293-300.</v>
      </c>
      <c r="Y309" s="697" t="str">
        <f>IFERROR(__xludf.DUMMYFUNCTION("""COMPUTED_VALUE"""),"10.1093/trstmh/trt011")</f>
        <v>10.1093/trstmh/trt011</v>
      </c>
      <c r="Z309" s="865" t="str">
        <f>IFERROR(__xludf.DUMMYFUNCTION("""COMPUTED_VALUE"""),"https://drive.google.com/file/d/0By3QPyQz621GeU9aN0RRSDc0VEU/view?usp=sharing")</f>
        <v>https://drive.google.com/file/d/0By3QPyQz621GeU9aN0RRSDc0VEU/view?usp=sharing</v>
      </c>
      <c r="AA309" s="697" t="str">
        <f>IFERROR(__xludf.DUMMYFUNCTION("""COMPUTED_VALUE"""),"x")</f>
        <v>x</v>
      </c>
    </row>
    <row r="310">
      <c r="A310" s="697" t="str">
        <f>IFERROR(__xludf.DUMMYFUNCTION("""COMPUTED_VALUE"""),"Rajendran 2004")</f>
        <v>Rajendran 2004</v>
      </c>
      <c r="B310" s="697" t="str">
        <f>IFERROR(__xludf.DUMMYFUNCTION("""COMPUTED_VALUE"""),"Kirti")</f>
        <v>Kirti</v>
      </c>
      <c r="C310" s="697" t="str">
        <f>IFERROR(__xludf.DUMMYFUNCTION("""COMPUTED_VALUE"""),"Mahvish")</f>
        <v>Mahvish</v>
      </c>
      <c r="D310" s="697" t="str">
        <f>IFERROR(__xludf.DUMMYFUNCTION("""COMPUTED_VALUE"""),"South India")</f>
        <v>South India</v>
      </c>
      <c r="E310" s="697" t="str">
        <f>IFERROR(__xludf.DUMMYFUNCTION("""COMPUTED_VALUE"""),"W. bancrofti")</f>
        <v>W. bancrofti</v>
      </c>
      <c r="F310" s="697" t="str">
        <f>IFERROR(__xludf.DUMMYFUNCTION("""COMPUTED_VALUE"""),"Albendazole &amp; DEC")</f>
        <v>Albendazole &amp; DEC</v>
      </c>
      <c r="G310" s="697" t="str">
        <f>IFERROR(__xludf.DUMMYFUNCTION("""COMPUTED_VALUE"""),"6mg/kg DEC + 1 tablet (400mg) ALB")</f>
        <v>6mg/kg DEC + 1 tablet (400mg) ALB</v>
      </c>
      <c r="H310" s="697" t="str">
        <f>IFERROR(__xludf.DUMMYFUNCTION("""COMPUTED_VALUE"""),"2 annual single dose MDA of DEC + ALB")</f>
        <v>2 annual single dose MDA of DEC + ALB</v>
      </c>
      <c r="I310" s="700">
        <f>IFERROR(__xludf.DUMMYFUNCTION("""COMPUTED_VALUE"""),0.61)</f>
        <v>0.61</v>
      </c>
      <c r="J310" s="697"/>
      <c r="K310" s="697"/>
      <c r="L310" s="697">
        <f>IFERROR(__xludf.DUMMYFUNCTION("""COMPUTED_VALUE"""),2040.0)</f>
        <v>2040</v>
      </c>
      <c r="M310" s="705" t="str">
        <f>IFERROR(__xludf.DUMMYFUNCTION("""COMPUTED_VALUE"""),"2-25")</f>
        <v>2-25</v>
      </c>
      <c r="N310" s="697" t="str">
        <f>IFERROR(__xludf.DUMMYFUNCTION("""COMPUTED_VALUE"""),"n/a")</f>
        <v>n/a</v>
      </c>
      <c r="O310" s="697" t="str">
        <f>IFERROR(__xludf.DUMMYFUNCTION("""COMPUTED_VALUE"""),"Children aged &lt;2 years and pregnant mothers were excluded from the study.")</f>
        <v>Children aged &lt;2 years and pregnant mothers were excluded from the study.</v>
      </c>
      <c r="P310" s="697" t="str">
        <f>IFERROR(__xludf.DUMMYFUNCTION("""COMPUTED_VALUE"""),"mass treatment")</f>
        <v>mass treatment</v>
      </c>
      <c r="Q310" s="697"/>
      <c r="R310" s="697"/>
      <c r="S310" s="697"/>
      <c r="T310" s="697" t="str">
        <f>IFERROR(__xludf.DUMMYFUNCTION("""COMPUTED_VALUE"""),"the annual, single-dose combination (DEC + ALB) mass treatment regimen has an enhanced effect against bancroftian filariasis compared to single-drug therapy.")</f>
        <v>the annual, single-dose combination (DEC + ALB) mass treatment regimen has an enhanced effect against bancroftian filariasis compared to single-drug therapy.</v>
      </c>
      <c r="U310" s="697"/>
      <c r="V310" s="697" t="str">
        <f>IFERROR(__xludf.DUMMYFUNCTION("""COMPUTED_VALUE"""),"2001-2002")</f>
        <v>2001-2002</v>
      </c>
      <c r="W310" s="697">
        <f>IFERROR(__xludf.DUMMYFUNCTION("""COMPUTED_VALUE"""),2002.0)</f>
        <v>2002</v>
      </c>
      <c r="X310" s="697" t="str">
        <f>IFERROR(__xludf.DUMMYFUNCTION("""COMPUTED_VALUE"""),"Rajendran R, Sunish IP, Mani TR, Munirathinam A, Abdullah S, Arunachalam N, et al. Impact of two annual single-dose mass drug administrations with diethylcarbamazine alone or in  combination with albendazole on Wuchereria bancrofti microfilaraemia and ant"&amp;"igenaemia in South India.Transactions of the Royal Society of Tropical Medicine and Hygiene.  August 2003; 98: 174-181.")</f>
        <v>Rajendran R, Sunish IP, Mani TR, Munirathinam A, Abdullah S, Arunachalam N, et al. Impact of two annual single-dose mass drug administrations with diethylcarbamazine alone or in  combination with albendazole on Wuchereria bancrofti microfilaraemia and antigenaemia in South India.Transactions of the Royal Society of Tropical Medicine and Hygiene.  August 2003; 98: 174-181.</v>
      </c>
      <c r="Y310" s="697" t="str">
        <f>IFERROR(__xludf.DUMMYFUNCTION("""COMPUTED_VALUE"""),"10.1016/S0035-9203(03)00042-7")</f>
        <v>10.1016/S0035-9203(03)00042-7</v>
      </c>
      <c r="Z310" s="865" t="str">
        <f>IFERROR(__xludf.DUMMYFUNCTION("""COMPUTED_VALUE"""),"https://drive.google.com/file/d/0B0-pry4DSOm3eExtN0ExYWRKTFU/view?usp=sharing")</f>
        <v>https://drive.google.com/file/d/0B0-pry4DSOm3eExtN0ExYWRKTFU/view?usp=sharing</v>
      </c>
      <c r="AA310" s="697" t="str">
        <f>IFERROR(__xludf.DUMMYFUNCTION("""COMPUTED_VALUE"""),"x")</f>
        <v>x</v>
      </c>
    </row>
    <row r="311">
      <c r="A311" s="697" t="str">
        <f>IFERROR(__xludf.DUMMYFUNCTION("""COMPUTED_VALUE"""),"Rajendran 2004")</f>
        <v>Rajendran 2004</v>
      </c>
      <c r="B311" s="697" t="str">
        <f>IFERROR(__xludf.DUMMYFUNCTION("""COMPUTED_VALUE"""),"Kirti")</f>
        <v>Kirti</v>
      </c>
      <c r="C311" s="697" t="str">
        <f>IFERROR(__xludf.DUMMYFUNCTION("""COMPUTED_VALUE"""),"Mahvish")</f>
        <v>Mahvish</v>
      </c>
      <c r="D311" s="697" t="str">
        <f>IFERROR(__xludf.DUMMYFUNCTION("""COMPUTED_VALUE"""),"South India")</f>
        <v>South India</v>
      </c>
      <c r="E311" s="697" t="str">
        <f>IFERROR(__xludf.DUMMYFUNCTION("""COMPUTED_VALUE"""),"W. bancrofti")</f>
        <v>W. bancrofti</v>
      </c>
      <c r="F311" s="697" t="str">
        <f>IFERROR(__xludf.DUMMYFUNCTION("""COMPUTED_VALUE"""),"DEC")</f>
        <v>DEC</v>
      </c>
      <c r="G311" s="697" t="str">
        <f>IFERROR(__xludf.DUMMYFUNCTION("""COMPUTED_VALUE"""),"6 mg/kg")</f>
        <v>6 mg/kg</v>
      </c>
      <c r="H311" s="697" t="str">
        <f>IFERROR(__xludf.DUMMYFUNCTION("""COMPUTED_VALUE"""),"5 annual rounds of single dose DEC")</f>
        <v>5 annual rounds of single dose DEC</v>
      </c>
      <c r="I311" s="698">
        <f>IFERROR(__xludf.DUMMYFUNCTION("""COMPUTED_VALUE"""),0.3575)</f>
        <v>0.3575</v>
      </c>
      <c r="J311" s="697"/>
      <c r="K311" s="697"/>
      <c r="L311" s="697">
        <f>IFERROR(__xludf.DUMMYFUNCTION("""COMPUTED_VALUE"""),2040.0)</f>
        <v>2040</v>
      </c>
      <c r="M311" s="705" t="str">
        <f>IFERROR(__xludf.DUMMYFUNCTION("""COMPUTED_VALUE"""),"2-25")</f>
        <v>2-25</v>
      </c>
      <c r="N311" s="697" t="str">
        <f>IFERROR(__xludf.DUMMYFUNCTION("""COMPUTED_VALUE"""),"n/a")</f>
        <v>n/a</v>
      </c>
      <c r="O311" s="697" t="str">
        <f>IFERROR(__xludf.DUMMYFUNCTION("""COMPUTED_VALUE"""),"Children aged &lt;2 years and pregnant mothers were excluded from the study.")</f>
        <v>Children aged &lt;2 years and pregnant mothers were excluded from the study.</v>
      </c>
      <c r="P311" s="697" t="str">
        <f>IFERROR(__xludf.DUMMYFUNCTION("""COMPUTED_VALUE"""),"mass treatment")</f>
        <v>mass treatment</v>
      </c>
      <c r="Q311" s="697"/>
      <c r="R311" s="697"/>
      <c r="S311" s="697"/>
      <c r="T311" s="697" t="str">
        <f>IFERROR(__xludf.DUMMYFUNCTION("""COMPUTED_VALUE"""),"the annual, single-dose combination (DEC + ALB) mass treatment regimen has an enhanced effect against bancroftian filariasis compared to single-drug therapy.")</f>
        <v>the annual, single-dose combination (DEC + ALB) mass treatment regimen has an enhanced effect against bancroftian filariasis compared to single-drug therapy.</v>
      </c>
      <c r="U311" s="697"/>
      <c r="V311" s="697" t="str">
        <f>IFERROR(__xludf.DUMMYFUNCTION("""COMPUTED_VALUE"""),"2001-2002")</f>
        <v>2001-2002</v>
      </c>
      <c r="W311" s="697">
        <f>IFERROR(__xludf.DUMMYFUNCTION("""COMPUTED_VALUE"""),2002.0)</f>
        <v>2002</v>
      </c>
      <c r="X311" s="697" t="str">
        <f>IFERROR(__xludf.DUMMYFUNCTION("""COMPUTED_VALUE"""),"Rajendran R, Sunish IP, Mani TR, Munirathinam A, Abdullah S, Arunachalam N, et al. Impact of two annual single-dose mass drug administrations with diethylcarbamazine alone or in  combination with albendazole on Wuchereria bancrofti microfilaraemia and ant"&amp;"igenaemia in South India.Transactions of the Royal Society of Tropical Medicine and Hygiene.  August 2003; 98: 174-181.")</f>
        <v>Rajendran R, Sunish IP, Mani TR, Munirathinam A, Abdullah S, Arunachalam N, et al. Impact of two annual single-dose mass drug administrations with diethylcarbamazine alone or in  combination with albendazole on Wuchereria bancrofti microfilaraemia and antigenaemia in South India.Transactions of the Royal Society of Tropical Medicine and Hygiene.  August 2003; 98: 174-181.</v>
      </c>
      <c r="Y311" s="697" t="str">
        <f>IFERROR(__xludf.DUMMYFUNCTION("""COMPUTED_VALUE"""),"10.1016/S0035-9203(03)00042-7")</f>
        <v>10.1016/S0035-9203(03)00042-7</v>
      </c>
      <c r="Z311" s="865" t="str">
        <f>IFERROR(__xludf.DUMMYFUNCTION("""COMPUTED_VALUE"""),"https://drive.google.com/file/d/0B0-pry4DSOm3eExtN0ExYWRKTFU/view?usp=sharing")</f>
        <v>https://drive.google.com/file/d/0B0-pry4DSOm3eExtN0ExYWRKTFU/view?usp=sharing</v>
      </c>
      <c r="AA311" s="697" t="str">
        <f>IFERROR(__xludf.DUMMYFUNCTION("""COMPUTED_VALUE"""),"x")</f>
        <v>x</v>
      </c>
    </row>
    <row r="312">
      <c r="A312" s="697" t="str">
        <f>IFERROR(__xludf.DUMMYFUNCTION("""COMPUTED_VALUE"""),"Rajendran 2004")</f>
        <v>Rajendran 2004</v>
      </c>
      <c r="B312" s="697" t="str">
        <f>IFERROR(__xludf.DUMMYFUNCTION("""COMPUTED_VALUE"""),"Kirti")</f>
        <v>Kirti</v>
      </c>
      <c r="C312" s="697" t="str">
        <f>IFERROR(__xludf.DUMMYFUNCTION("""COMPUTED_VALUE"""),"Mahvish")</f>
        <v>Mahvish</v>
      </c>
      <c r="D312" s="697" t="str">
        <f>IFERROR(__xludf.DUMMYFUNCTION("""COMPUTED_VALUE"""),"India")</f>
        <v>India</v>
      </c>
      <c r="E312" s="697" t="str">
        <f>IFERROR(__xludf.DUMMYFUNCTION("""COMPUTED_VALUE"""),"W. bancrofti")</f>
        <v>W. bancrofti</v>
      </c>
      <c r="F312" s="697" t="str">
        <f>IFERROR(__xludf.DUMMYFUNCTION("""COMPUTED_VALUE"""),"Both arms ")</f>
        <v>Both arms </v>
      </c>
      <c r="G312" s="697"/>
      <c r="H312" s="697"/>
      <c r="I312" s="698">
        <f>IFERROR(__xludf.DUMMYFUNCTION("""COMPUTED_VALUE"""),0.4841)</f>
        <v>0.4841</v>
      </c>
      <c r="J312" s="697"/>
      <c r="K312" s="697"/>
      <c r="L312" s="697">
        <f>IFERROR(__xludf.DUMMYFUNCTION("""COMPUTED_VALUE"""),2040.0)</f>
        <v>2040</v>
      </c>
      <c r="M312" s="705" t="str">
        <f>IFERROR(__xludf.DUMMYFUNCTION("""COMPUTED_VALUE"""),"2-25")</f>
        <v>2-25</v>
      </c>
      <c r="N312" s="697" t="str">
        <f>IFERROR(__xludf.DUMMYFUNCTION("""COMPUTED_VALUE"""),"n/a")</f>
        <v>n/a</v>
      </c>
      <c r="O312" s="697" t="str">
        <f>IFERROR(__xludf.DUMMYFUNCTION("""COMPUTED_VALUE"""),"Children aged &lt;2 years and pregnant mothers were excluded from the study.")</f>
        <v>Children aged &lt;2 years and pregnant mothers were excluded from the study.</v>
      </c>
      <c r="P312" s="697" t="str">
        <f>IFERROR(__xludf.DUMMYFUNCTION("""COMPUTED_VALUE"""),"mass treatment")</f>
        <v>mass treatment</v>
      </c>
      <c r="Q312" s="697"/>
      <c r="R312" s="697"/>
      <c r="S312" s="697"/>
      <c r="T312" s="697" t="str">
        <f>IFERROR(__xludf.DUMMYFUNCTION("""COMPUTED_VALUE"""),"the annual, single-dose combination (DEC + ALB) mass treatment regimen has an enhanced effect against bancroftian filariasis compared to single-drug therapy.")</f>
        <v>the annual, single-dose combination (DEC + ALB) mass treatment regimen has an enhanced effect against bancroftian filariasis compared to single-drug therapy.</v>
      </c>
      <c r="U312" s="697"/>
      <c r="V312" s="697" t="str">
        <f>IFERROR(__xludf.DUMMYFUNCTION("""COMPUTED_VALUE"""),"2001-2002")</f>
        <v>2001-2002</v>
      </c>
      <c r="W312" s="697">
        <f>IFERROR(__xludf.DUMMYFUNCTION("""COMPUTED_VALUE"""),2002.0)</f>
        <v>2002</v>
      </c>
      <c r="X312" s="697" t="str">
        <f>IFERROR(__xludf.DUMMYFUNCTION("""COMPUTED_VALUE"""),"Rajendran R, Sunish IP, Mani TR, Munirathinam A, Abdullah S, Arunachalam N, et al. Impact of two annual single-dose mass drug administrations with diethylcarbamazine alone or in  combination with albendazole on Wuchereria bancrofti microfilaraemia and ant"&amp;"igenaemia in South India.Transactions of the Royal Society of Tropical Medicine and Hygiene.  August 2003; 98: 174-181.")</f>
        <v>Rajendran R, Sunish IP, Mani TR, Munirathinam A, Abdullah S, Arunachalam N, et al. Impact of two annual single-dose mass drug administrations with diethylcarbamazine alone or in  combination with albendazole on Wuchereria bancrofti microfilaraemia and antigenaemia in South India.Transactions of the Royal Society of Tropical Medicine and Hygiene.  August 2003; 98: 174-181.</v>
      </c>
      <c r="Y312" s="697" t="str">
        <f>IFERROR(__xludf.DUMMYFUNCTION("""COMPUTED_VALUE"""),"10.1016/S0035-9203(03)00042-7")</f>
        <v>10.1016/S0035-9203(03)00042-7</v>
      </c>
      <c r="Z312" s="865" t="str">
        <f>IFERROR(__xludf.DUMMYFUNCTION("""COMPUTED_VALUE"""),"https://drive.google.com/file/d/0B0-pry4DSOm3eExtN0ExYWRKTFU/view?usp=sharing")</f>
        <v>https://drive.google.com/file/d/0B0-pry4DSOm3eExtN0ExYWRKTFU/view?usp=sharing</v>
      </c>
      <c r="AA312" s="697" t="str">
        <f>IFERROR(__xludf.DUMMYFUNCTION("""COMPUTED_VALUE"""),"x")</f>
        <v>x</v>
      </c>
    </row>
    <row r="313">
      <c r="A313" s="697" t="str">
        <f>IFERROR(__xludf.DUMMYFUNCTION("""COMPUTED_VALUE"""),"Rajendran 2002")</f>
        <v>Rajendran 2002</v>
      </c>
      <c r="B313" s="697"/>
      <c r="C313" s="697" t="str">
        <f>IFERROR(__xludf.DUMMYFUNCTION("""COMPUTED_VALUE"""),"Mahvish")</f>
        <v>Mahvish</v>
      </c>
      <c r="D313" s="697" t="str">
        <f>IFERROR(__xludf.DUMMYFUNCTION("""COMPUTED_VALUE"""),"Tamil Nadu, India")</f>
        <v>Tamil Nadu, India</v>
      </c>
      <c r="E313" s="697" t="str">
        <f>IFERROR(__xludf.DUMMYFUNCTION("""COMPUTED_VALUE"""),"W. bancrofti")</f>
        <v>W. bancrofti</v>
      </c>
      <c r="F313" s="697" t="str">
        <f>IFERROR(__xludf.DUMMYFUNCTION("""COMPUTED_VALUE"""),"DEC")</f>
        <v>DEC</v>
      </c>
      <c r="G313" s="697" t="str">
        <f>IFERROR(__xludf.DUMMYFUNCTION("""COMPUTED_VALUE"""),"6mg/kg")</f>
        <v>6mg/kg</v>
      </c>
      <c r="H313" s="697" t="str">
        <f>IFERROR(__xludf.DUMMYFUNCTION("""COMPUTED_VALUE"""),"5 days (19-24 March 2001)")</f>
        <v>5 days (19-24 March 2001)</v>
      </c>
      <c r="I313" s="697"/>
      <c r="J313" s="697"/>
      <c r="K313" s="697"/>
      <c r="L313" s="697">
        <f>IFERROR(__xludf.DUMMYFUNCTION("""COMPUTED_VALUE"""),2040.0)</f>
        <v>2040</v>
      </c>
      <c r="M313" s="704">
        <f>IFERROR(__xludf.DUMMYFUNCTION("""COMPUTED_VALUE"""),42425.0)</f>
        <v>42425</v>
      </c>
      <c r="N313" s="697" t="str">
        <f>IFERROR(__xludf.DUMMYFUNCTION("""COMPUTED_VALUE"""),"n/a")</f>
        <v>n/a</v>
      </c>
      <c r="O313" s="697" t="str">
        <f>IFERROR(__xludf.DUMMYFUNCTION("""COMPUTED_VALUE"""),"village residents age 2-25, excluding &lt;age 2 and pregnant women")</f>
        <v>village residents age 2-25, excluding &lt;age 2 and pregnant women</v>
      </c>
      <c r="P313" s="697" t="str">
        <f>IFERROR(__xludf.DUMMYFUNCTION("""COMPUTED_VALUE"""),"MDA")</f>
        <v>MDA</v>
      </c>
      <c r="Q313" s="697" t="str">
        <f>IFERROR(__xludf.DUMMYFUNCTION("""COMPUTED_VALUE"""),"n/a")</f>
        <v>n/a</v>
      </c>
      <c r="R313" s="697" t="str">
        <f>IFERROR(__xludf.DUMMYFUNCTION("""COMPUTED_VALUE"""),"n/a")</f>
        <v>n/a</v>
      </c>
      <c r="S313" s="697" t="str">
        <f>IFERROR(__xludf.DUMMYFUNCTION("""COMPUTED_VALUE"""),"follow up at 6 and 12 months")</f>
        <v>follow up at 6 and 12 months</v>
      </c>
      <c r="T313" s="697" t="str">
        <f>IFERROR(__xludf.DUMMYFUNCTION("""COMPUTED_VALUE"""),"""the present results, particularly for the youngest subjects (aged 2-9 years), indicate that the additon of ALB to DEC-based MDA offers no advantages in terms of human infection with adult W. bancrofti.""... ""although the additon of ALB to DEC treatment"&amp;" appears to offer no benefits in terms of AGP, it has the significant advantage of reducing the prevalences and intensities of infection with geohelminths for at least 11 months after MDA.""")</f>
        <v>"the present results, particularly for the youngest subjects (aged 2-9 years), indicate that the additon of ALB to DEC-based MDA offers no advantages in terms of human infection with adult W. bancrofti."... "although the additon of ALB to DEC treatment appears to offer no benefits in terms of AGP, it has the significant advantage of reducing the prevalences and intensities of infection with geohelminths for at least 11 months after MDA."</v>
      </c>
      <c r="U313" s="697"/>
      <c r="V313" s="697" t="str">
        <f>IFERROR(__xludf.DUMMYFUNCTION("""COMPUTED_VALUE"""),"2001-2002")</f>
        <v>2001-2002</v>
      </c>
      <c r="W313" s="697">
        <f>IFERROR(__xludf.DUMMYFUNCTION("""COMPUTED_VALUE"""),2002.0)</f>
        <v>2002</v>
      </c>
      <c r="X313" s="697" t="str">
        <f>IFERROR(__xludf.DUMMYFUNCTION("""COMPUTED_VALUE"""),"Rajendran R, Sunish IP, Mani TR, Munirathinam A, Abdullah SM,Augustin DJ. The influence of the mass administration of diethylcarbamazine, alone or with albendazole, on the prevalence of filarial antigenaemia.Ann Trop Med Parasitol.September 2002; 96(6): 5"&amp;"95-602. ")</f>
        <v>Rajendran R, Sunish IP, Mani TR, Munirathinam A, Abdullah SM,Augustin DJ. The influence of the mass administration of diethylcarbamazine, alone or with albendazole, on the prevalence of filarial antigenaemia.Ann Trop Med Parasitol.September 2002; 96(6): 595-602. </v>
      </c>
      <c r="Y313" s="697" t="str">
        <f>IFERROR(__xludf.DUMMYFUNCTION("""COMPUTED_VALUE"""),"10.1179/000349802125001726")</f>
        <v>10.1179/000349802125001726</v>
      </c>
      <c r="Z313" s="865" t="str">
        <f>IFERROR(__xludf.DUMMYFUNCTION("""COMPUTED_VALUE"""),"https://drive.google.com/file/d/0By3QPyQz621Gd01FTFhrdUJ5U0E/view?usp=sharing")</f>
        <v>https://drive.google.com/file/d/0By3QPyQz621Gd01FTFhrdUJ5U0E/view?usp=sharing</v>
      </c>
      <c r="AA313" s="697" t="str">
        <f>IFERROR(__xludf.DUMMYFUNCTION("""COMPUTED_VALUE"""),"x")</f>
        <v>x</v>
      </c>
    </row>
    <row r="314">
      <c r="A314" s="697" t="str">
        <f>IFERROR(__xludf.DUMMYFUNCTION("""COMPUTED_VALUE"""),"Rajendran 2002")</f>
        <v>Rajendran 2002</v>
      </c>
      <c r="B314" s="697"/>
      <c r="C314" s="697" t="str">
        <f>IFERROR(__xludf.DUMMYFUNCTION("""COMPUTED_VALUE"""),"Mahvish")</f>
        <v>Mahvish</v>
      </c>
      <c r="D314" s="697" t="str">
        <f>IFERROR(__xludf.DUMMYFUNCTION("""COMPUTED_VALUE"""),"Tamil Nadu, India")</f>
        <v>Tamil Nadu, India</v>
      </c>
      <c r="E314" s="697" t="str">
        <f>IFERROR(__xludf.DUMMYFUNCTION("""COMPUTED_VALUE"""),"W. bancrofti")</f>
        <v>W. bancrofti</v>
      </c>
      <c r="F314" s="697" t="str">
        <f>IFERROR(__xludf.DUMMYFUNCTION("""COMPUTED_VALUE"""),"Albendazole &amp; DEC")</f>
        <v>Albendazole &amp; DEC</v>
      </c>
      <c r="G314" s="697" t="str">
        <f>IFERROR(__xludf.DUMMYFUNCTION("""COMPUTED_VALUE"""),"6mg/kg DEC + 400mg ALB")</f>
        <v>6mg/kg DEC + 400mg ALB</v>
      </c>
      <c r="H314" s="697" t="str">
        <f>IFERROR(__xludf.DUMMYFUNCTION("""COMPUTED_VALUE"""),"5 days (19-24 March 2001)")</f>
        <v>5 days (19-24 March 2001)</v>
      </c>
      <c r="I314" s="697"/>
      <c r="J314" s="697"/>
      <c r="K314" s="697"/>
      <c r="L314" s="697">
        <f>IFERROR(__xludf.DUMMYFUNCTION("""COMPUTED_VALUE"""),2040.0)</f>
        <v>2040</v>
      </c>
      <c r="M314" s="704">
        <f>IFERROR(__xludf.DUMMYFUNCTION("""COMPUTED_VALUE"""),42425.0)</f>
        <v>42425</v>
      </c>
      <c r="N314" s="697" t="str">
        <f>IFERROR(__xludf.DUMMYFUNCTION("""COMPUTED_VALUE"""),"n/a")</f>
        <v>n/a</v>
      </c>
      <c r="O314" s="697" t="str">
        <f>IFERROR(__xludf.DUMMYFUNCTION("""COMPUTED_VALUE"""),"village residents ages 2-25, excluding &lt;age 2 and pregnant women")</f>
        <v>village residents ages 2-25, excluding &lt;age 2 and pregnant women</v>
      </c>
      <c r="P314" s="697" t="str">
        <f>IFERROR(__xludf.DUMMYFUNCTION("""COMPUTED_VALUE"""),"MDA")</f>
        <v>MDA</v>
      </c>
      <c r="Q314" s="697" t="str">
        <f>IFERROR(__xludf.DUMMYFUNCTION("""COMPUTED_VALUE"""),"n/a")</f>
        <v>n/a</v>
      </c>
      <c r="R314" s="697" t="str">
        <f>IFERROR(__xludf.DUMMYFUNCTION("""COMPUTED_VALUE"""),"n/a")</f>
        <v>n/a</v>
      </c>
      <c r="S314" s="697" t="str">
        <f>IFERROR(__xludf.DUMMYFUNCTION("""COMPUTED_VALUE"""),"follow up at 6 and 12 months")</f>
        <v>follow up at 6 and 12 months</v>
      </c>
      <c r="T314" s="697" t="str">
        <f>IFERROR(__xludf.DUMMYFUNCTION("""COMPUTED_VALUE"""),"""the present results, particularly for the youngest subjects (aged 2-9 years), indicate that the additon of ALB to DEC-based MDA offers no advantages in terms of human infection with adult W. bancrofti.""... ""although the additon of ALB to DEC treatment"&amp;" appears to offer no benefits in terms of AGP, it has the significant advantage of reducing the prevalences and intensities of infection with geohelminths for at least 11 months after MDA.""")</f>
        <v>"the present results, particularly for the youngest subjects (aged 2-9 years), indicate that the additon of ALB to DEC-based MDA offers no advantages in terms of human infection with adult W. bancrofti."... "although the additon of ALB to DEC treatment appears to offer no benefits in terms of AGP, it has the significant advantage of reducing the prevalences and intensities of infection with geohelminths for at least 11 months after MDA."</v>
      </c>
      <c r="U314" s="697"/>
      <c r="V314" s="697" t="str">
        <f>IFERROR(__xludf.DUMMYFUNCTION("""COMPUTED_VALUE"""),"2001-2002")</f>
        <v>2001-2002</v>
      </c>
      <c r="W314" s="697">
        <f>IFERROR(__xludf.DUMMYFUNCTION("""COMPUTED_VALUE"""),2002.0)</f>
        <v>2002</v>
      </c>
      <c r="X314" s="697" t="str">
        <f>IFERROR(__xludf.DUMMYFUNCTION("""COMPUTED_VALUE"""),"Rajendran R, Sunish IP, Mani TR, Munirathinam A, Abdullah SM,Augustin DJ. The influence of the mass administration of diethylcarbamazine, alone or with albendazole, on the prevalence of filarial antigenaemia.Ann Trop Med Parasitol.September 2002; 96(6): 5"&amp;"95-602. ")</f>
        <v>Rajendran R, Sunish IP, Mani TR, Munirathinam A, Abdullah SM,Augustin DJ. The influence of the mass administration of diethylcarbamazine, alone or with albendazole, on the prevalence of filarial antigenaemia.Ann Trop Med Parasitol.September 2002; 96(6): 595-602. </v>
      </c>
      <c r="Y314" s="697" t="str">
        <f>IFERROR(__xludf.DUMMYFUNCTION("""COMPUTED_VALUE"""),"10.1179/000349802125001726")</f>
        <v>10.1179/000349802125001726</v>
      </c>
      <c r="Z314" s="865" t="str">
        <f>IFERROR(__xludf.DUMMYFUNCTION("""COMPUTED_VALUE"""),"https://drive.google.com/file/d/0By3QPyQz621Gd01FTFhrdUJ5U0E/view?usp=sharing")</f>
        <v>https://drive.google.com/file/d/0By3QPyQz621Gd01FTFhrdUJ5U0E/view?usp=sharing</v>
      </c>
      <c r="AA314" s="697" t="str">
        <f>IFERROR(__xludf.DUMMYFUNCTION("""COMPUTED_VALUE"""),"x")</f>
        <v>x</v>
      </c>
    </row>
    <row r="315">
      <c r="A315" s="697" t="str">
        <f>IFERROR(__xludf.DUMMYFUNCTION("""COMPUTED_VALUE"""),"Ottesen 2008")</f>
        <v>Ottesen 2008</v>
      </c>
      <c r="B315" s="697"/>
      <c r="C315" s="697" t="str">
        <f>IFERROR(__xludf.DUMMYFUNCTION("""COMPUTED_VALUE"""),"Mahvish")</f>
        <v>Mahvish</v>
      </c>
      <c r="D315" s="697"/>
      <c r="E315" s="697"/>
      <c r="F315" s="697"/>
      <c r="G315" s="697"/>
      <c r="H315" s="697"/>
      <c r="I315" s="697"/>
      <c r="J315" s="697"/>
      <c r="K315" s="697"/>
      <c r="L315" s="697"/>
      <c r="M315" s="697"/>
      <c r="N315" s="697"/>
      <c r="O315" s="697"/>
      <c r="P315" s="697"/>
      <c r="Q315" s="697"/>
      <c r="R315" s="697"/>
      <c r="S315" s="697"/>
      <c r="T315" s="697" t="str">
        <f>IFERROR(__xludf.DUMMYFUNCTION("""COMPUTED_VALUE"""),"""The GPELF has earlier been described as a ‘best buy’ in global health; this present tally of attributable health benefits from its first 8 years strengthens this notion considerably.""")</f>
        <v>"The GPELF has earlier been described as a ‘best buy’ in global health; this present tally of attributable health benefits from its first 8 years strengthens this notion considerably."</v>
      </c>
      <c r="U315" s="697"/>
      <c r="V315" s="697"/>
      <c r="W315" s="697">
        <f>IFERROR(__xludf.DUMMYFUNCTION("""COMPUTED_VALUE"""),0.0)</f>
        <v>0</v>
      </c>
      <c r="X315" s="697" t="str">
        <f>IFERROR(__xludf.DUMMYFUNCTION("""COMPUTED_VALUE"""),"Ottesen EA, Hooper PJ, Bradley M,and BiswasG. The Global Programme to Eliminate Lymphatic Filariasis: Health Impact after 8 years. PLOS Neglected Tropical Diseases 2008; 2(10): e317.")</f>
        <v>Ottesen EA, Hooper PJ, Bradley M,and BiswasG. The Global Programme to Eliminate Lymphatic Filariasis: Health Impact after 8 years. PLOS Neglected Tropical Diseases 2008; 2(10): e317.</v>
      </c>
      <c r="Y315" s="697" t="str">
        <f>IFERROR(__xludf.DUMMYFUNCTION("""COMPUTED_VALUE"""),"10.1371/journal.pntd.0000317")</f>
        <v>10.1371/journal.pntd.0000317</v>
      </c>
      <c r="Z315" s="865" t="str">
        <f>IFERROR(__xludf.DUMMYFUNCTION("""COMPUTED_VALUE"""),"https://drive.google.com/file/d/0B9vYgR7NsKoYd1lBNlNKNUZkdDA/view?usp=sharing")</f>
        <v>https://drive.google.com/file/d/0B9vYgR7NsKoYd1lBNlNKNUZkdDA/view?usp=sharing</v>
      </c>
      <c r="AA315" s="697" t="str">
        <f>IFERROR(__xludf.DUMMYFUNCTION("""COMPUTED_VALUE"""),"x")</f>
        <v>x</v>
      </c>
    </row>
    <row r="316">
      <c r="A316" s="697" t="str">
        <f>IFERROR(__xludf.DUMMYFUNCTION("""COMPUTED_VALUE"""),"Njenga 2008")</f>
        <v>Njenga 2008</v>
      </c>
      <c r="B316" s="697"/>
      <c r="C316" s="697" t="str">
        <f>IFERROR(__xludf.DUMMYFUNCTION("""COMPUTED_VALUE"""),"Mahvish")</f>
        <v>Mahvish</v>
      </c>
      <c r="D316" s="697" t="str">
        <f>IFERROR(__xludf.DUMMYFUNCTION("""COMPUTED_VALUE"""),"Malindi, Kenya")</f>
        <v>Malindi, Kenya</v>
      </c>
      <c r="E316" s="697" t="str">
        <f>IFERROR(__xludf.DUMMYFUNCTION("""COMPUTED_VALUE"""),"W. bancrofti")</f>
        <v>W. bancrofti</v>
      </c>
      <c r="F316" s="697" t="str">
        <f>IFERROR(__xludf.DUMMYFUNCTION("""COMPUTED_VALUE"""),"Albendazole &amp; DEC")</f>
        <v>Albendazole &amp; DEC</v>
      </c>
      <c r="G316" s="697" t="str">
        <f>IFERROR(__xludf.DUMMYFUNCTION("""COMPUTED_VALUE"""),"6mg/kg DEC + 400mg ALB")</f>
        <v>6mg/kg DEC + 400mg ALB</v>
      </c>
      <c r="H316" s="697" t="str">
        <f>IFERROR(__xludf.DUMMYFUNCTION("""COMPUTED_VALUE"""),"2 rounds of annual MDA")</f>
        <v>2 rounds of annual MDA</v>
      </c>
      <c r="I316" s="697" t="str">
        <f>IFERROR(__xludf.DUMMYFUNCTION("""COMPUTED_VALUE"""),"44.9% post MDA-1 and 65.4% post MDA-2")</f>
        <v>44.9% post MDA-1 and 65.4% post MDA-2</v>
      </c>
      <c r="J316" s="697"/>
      <c r="K316" s="697"/>
      <c r="L316" s="697">
        <f>IFERROR(__xludf.DUMMYFUNCTION("""COMPUTED_VALUE"""),808.0)</f>
        <v>808</v>
      </c>
      <c r="M316" s="697" t="str">
        <f>IFERROR(__xludf.DUMMYFUNCTION("""COMPUTED_VALUE"""),"5-85")</f>
        <v>5-85</v>
      </c>
      <c r="N316" s="697" t="str">
        <f>IFERROR(__xludf.DUMMYFUNCTION("""COMPUTED_VALUE"""),"n/a, more females than males")</f>
        <v>n/a, more females than males</v>
      </c>
      <c r="O316" s="697" t="str">
        <f>IFERROR(__xludf.DUMMYFUNCTION("""COMPUTED_VALUE"""),"age 5 and above")</f>
        <v>age 5 and above</v>
      </c>
      <c r="P316" s="697" t="str">
        <f>IFERROR(__xludf.DUMMYFUNCTION("""COMPUTED_VALUE"""),"mass treatment")</f>
        <v>mass treatment</v>
      </c>
      <c r="Q316" s="697" t="str">
        <f>IFERROR(__xludf.DUMMYFUNCTION("""COMPUTED_VALUE"""),"n/a")</f>
        <v>n/a</v>
      </c>
      <c r="R316" s="697" t="str">
        <f>IFERROR(__xludf.DUMMYFUNCTION("""COMPUTED_VALUE"""),"n/a")</f>
        <v>n/a</v>
      </c>
      <c r="S316" s="697" t="str">
        <f>IFERROR(__xludf.DUMMYFUNCTION("""COMPUTED_VALUE"""),"MDA-1, and MDA-2 (annual dose for two years)")</f>
        <v>MDA-1, and MDA-2 (annual dose for two years)</v>
      </c>
      <c r="T316" s="697" t="str">
        <f>IFERROR(__xludf.DUMMYFUNCTION("""COMPUTED_VALUE"""),"""The results of the present study indicate a relatively high effectiveness of MDA using a DEC/albendazole combination against Wuchereria bancrofti infection and, therefore, it may be a useful strategy to eliminate lymphatic filariasis in onchocerciasis-f"&amp;"ree areas.""")</f>
        <v>"The results of the present study indicate a relatively high effectiveness of MDA using a DEC/albendazole combination against Wuchereria bancrofti infection and, therefore, it may be a useful strategy to eliminate lymphatic filariasis in onchocerciasis-free areas."</v>
      </c>
      <c r="U316" s="697"/>
      <c r="V316" s="697"/>
      <c r="W316" s="697">
        <f>IFERROR(__xludf.DUMMYFUNCTION("""COMPUTED_VALUE"""),0.0)</f>
        <v>0</v>
      </c>
      <c r="X316" s="697" t="str">
        <f>IFERROR(__xludf.DUMMYFUNCTION("""COMPUTED_VALUE"""),"Njenga SM, Wamae CN, Njomo DW, Mwandawiro CS, and Molyneux DH. Impact of two rounds of mass treatment with diethylcarbamazine plus albendazole on Wuchereria bancrofti infection and the sensitivity of immunochromatographic test in Malindi, Kenya. Transacti"&amp;"ons of the Royal Society of Tropical Medicine and Hygiene 2008; 102: 1017-1024.")</f>
        <v>Njenga SM, Wamae CN, Njomo DW, Mwandawiro CS, and Molyneux DH. Impact of two rounds of mass treatment with diethylcarbamazine plus albendazole on Wuchereria bancrofti infection and the sensitivity of immunochromatographic test in Malindi, Kenya. Transactions of the Royal Society of Tropical Medicine and Hygiene 2008; 102: 1017-1024.</v>
      </c>
      <c r="Y316" s="697" t="str">
        <f>IFERROR(__xludf.DUMMYFUNCTION("""COMPUTED_VALUE"""),"10.1016/j.trstmh.2008.04.039")</f>
        <v>10.1016/j.trstmh.2008.04.039</v>
      </c>
      <c r="Z316" s="865" t="str">
        <f>IFERROR(__xludf.DUMMYFUNCTION("""COMPUTED_VALUE"""),"https://drive.google.com/file/d/0B4sJPAkX0Jo3QWw0aFllSV9tRXc/view?usp=sharing")</f>
        <v>https://drive.google.com/file/d/0B4sJPAkX0Jo3QWw0aFllSV9tRXc/view?usp=sharing</v>
      </c>
      <c r="AA316" s="697" t="str">
        <f>IFERROR(__xludf.DUMMYFUNCTION("""COMPUTED_VALUE"""),"x")</f>
        <v>x</v>
      </c>
    </row>
    <row r="317">
      <c r="A317" s="697" t="str">
        <f>IFERROR(__xludf.DUMMYFUNCTION("""COMPUTED_VALUE"""),"Nicolas 1997")</f>
        <v>Nicolas 1997</v>
      </c>
      <c r="B317" s="697"/>
      <c r="C317" s="697" t="str">
        <f>IFERROR(__xludf.DUMMYFUNCTION("""COMPUTED_VALUE"""),"Mahvish")</f>
        <v>Mahvish</v>
      </c>
      <c r="D317" s="697" t="str">
        <f>IFERROR(__xludf.DUMMYFUNCTION("""COMPUTED_VALUE"""),"French Polynesia")</f>
        <v>French Polynesia</v>
      </c>
      <c r="E317" s="697" t="str">
        <f>IFERROR(__xludf.DUMMYFUNCTION("""COMPUTED_VALUE"""),"W. bancrofti")</f>
        <v>W. bancrofti</v>
      </c>
      <c r="F317" s="697" t="str">
        <f>IFERROR(__xludf.DUMMYFUNCTION("""COMPUTED_VALUE"""),"DEC &amp; Ivermectin")</f>
        <v>DEC &amp; Ivermectin</v>
      </c>
      <c r="G317" s="697" t="str">
        <f>IFERROR(__xludf.DUMMYFUNCTION("""COMPUTED_VALUE"""),"6mg/kg DEC + 400/μg/kg Ivermectin")</f>
        <v>6mg/kg DEC + 400/μg/kg Ivermectin</v>
      </c>
      <c r="H317" s="697" t="str">
        <f>IFERROR(__xludf.DUMMYFUNCTION("""COMPUTED_VALUE"""),"2 rounds of annual dosage (Feb 1994 and Feb 1995)")</f>
        <v>2 rounds of annual dosage (Feb 1994 and Feb 1995)</v>
      </c>
      <c r="I317" s="697" t="str">
        <f>IFERROR(__xludf.DUMMYFUNCTION("""COMPUTED_VALUE"""),"17.8% month 12 and 46.4% month 24")</f>
        <v>17.8% month 12 and 46.4% month 24</v>
      </c>
      <c r="J317" s="697"/>
      <c r="K317" s="697"/>
      <c r="L317" s="697">
        <f>IFERROR(__xludf.DUMMYFUNCTION("""COMPUTED_VALUE"""),47.0)</f>
        <v>47</v>
      </c>
      <c r="M317" s="697" t="str">
        <f>IFERROR(__xludf.DUMMYFUNCTION("""COMPUTED_VALUE"""),"20-94")</f>
        <v>20-94</v>
      </c>
      <c r="N317" s="697" t="str">
        <f>IFERROR(__xludf.DUMMYFUNCTION("""COMPUTED_VALUE"""),"54% M, 46% F")</f>
        <v>54% M, 46% F</v>
      </c>
      <c r="O317" s="697" t="str">
        <f>IFERROR(__xludf.DUMMYFUNCTION("""COMPUTED_VALUE"""),"adult inhabitants of the island")</f>
        <v>adult inhabitants of the island</v>
      </c>
      <c r="P317" s="697" t="str">
        <f>IFERROR(__xludf.DUMMYFUNCTION("""COMPUTED_VALUE"""),"mass treatment")</f>
        <v>mass treatment</v>
      </c>
      <c r="Q317" s="697" t="str">
        <f>IFERROR(__xludf.DUMMYFUNCTION("""COMPUTED_VALUE"""),"n/a")</f>
        <v>n/a</v>
      </c>
      <c r="R317" s="697" t="str">
        <f>IFERROR(__xludf.DUMMYFUNCTION("""COMPUTED_VALUE"""),"n/a")</f>
        <v>n/a</v>
      </c>
      <c r="S317" s="697" t="str">
        <f>IFERROR(__xludf.DUMMYFUNCTION("""COMPUTED_VALUE"""),"month 12 and month 24")</f>
        <v>month 12 and month 24</v>
      </c>
      <c r="T317" s="697" t="str">
        <f>IFERROR(__xludf.DUMMYFUNCTION("""COMPUTED_VALUE"""),"""An annual single-dose treatment of DEC combined with ivermectin has a better efficacy on early and long-term reduction of W. bancrofti Mf prevalence and density than either drug
given individually""")</f>
        <v>"An annual single-dose treatment of DEC combined with ivermectin has a better efficacy on early and long-term reduction of W. bancrofti Mf prevalence and density than either drug
given individually"</v>
      </c>
      <c r="U317" s="697"/>
      <c r="V317" s="697" t="str">
        <f>IFERROR(__xludf.DUMMYFUNCTION("""COMPUTED_VALUE"""),"1994-1995")</f>
        <v>1994-1995</v>
      </c>
      <c r="W317" s="697">
        <f>IFERROR(__xludf.DUMMYFUNCTION("""COMPUTED_VALUE"""),1995.0)</f>
        <v>1995</v>
      </c>
      <c r="X317" s="697" t="str">
        <f>IFERROR(__xludf.DUMMYFUNCTION("""COMPUTED_VALUE"""),"Nicolas L, Plichart C, Nguyen LN, and Moulia-Pelat JP. Reduction of Wuchereria bancrofti Adult Worm Circulating Antigen after Annual
 Treatments of Diethylcarbamazine Combined with Ivermectin in French Polynesia. Oxford University Press Feb 1997; 175(2): "&amp;"489-492. ")</f>
        <v>Nicolas L, Plichart C, Nguyen LN, and Moulia-Pelat JP. Reduction of Wuchereria bancrofti Adult Worm Circulating Antigen after Annual
 Treatments of Diethylcarbamazine Combined with Ivermectin in French Polynesia. Oxford University Press Feb 1997; 175(2): 489-492. </v>
      </c>
      <c r="Y317" s="697" t="str">
        <f>IFERROR(__xludf.DUMMYFUNCTION("""COMPUTED_VALUE"""),"10.1093/infdis/175.2.489")</f>
        <v>10.1093/infdis/175.2.489</v>
      </c>
      <c r="Z317" s="865" t="str">
        <f>IFERROR(__xludf.DUMMYFUNCTION("""COMPUTED_VALUE"""),"https://drive.google.com/file/d/0B9vYgR7NsKoYZ2gtOGlkTUlUTEk/view?usp=sharing")</f>
        <v>https://drive.google.com/file/d/0B9vYgR7NsKoYZ2gtOGlkTUlUTEk/view?usp=sharing</v>
      </c>
      <c r="AA317" s="697" t="str">
        <f>IFERROR(__xludf.DUMMYFUNCTION("""COMPUTED_VALUE"""),"x")</f>
        <v>x</v>
      </c>
    </row>
    <row r="318">
      <c r="A318" s="697" t="str">
        <f>IFERROR(__xludf.DUMMYFUNCTION("""COMPUTED_VALUE"""),"Nicolas 1997")</f>
        <v>Nicolas 1997</v>
      </c>
      <c r="B318" s="697"/>
      <c r="C318" s="697" t="str">
        <f>IFERROR(__xludf.DUMMYFUNCTION("""COMPUTED_VALUE"""),"Mahvish")</f>
        <v>Mahvish</v>
      </c>
      <c r="D318" s="697" t="str">
        <f>IFERROR(__xludf.DUMMYFUNCTION("""COMPUTED_VALUE"""),"French Polynesia")</f>
        <v>French Polynesia</v>
      </c>
      <c r="E318" s="697" t="str">
        <f>IFERROR(__xludf.DUMMYFUNCTION("""COMPUTED_VALUE"""),"W. bancrofti")</f>
        <v>W. bancrofti</v>
      </c>
      <c r="F318" s="697" t="str">
        <f>IFERROR(__xludf.DUMMYFUNCTION("""COMPUTED_VALUE"""),"DEC")</f>
        <v>DEC</v>
      </c>
      <c r="G318" s="697" t="str">
        <f>IFERROR(__xludf.DUMMYFUNCTION("""COMPUTED_VALUE"""),"6mg/kg")</f>
        <v>6mg/kg</v>
      </c>
      <c r="H318" s="697" t="str">
        <f>IFERROR(__xludf.DUMMYFUNCTION("""COMPUTED_VALUE"""),"2 rounds of annual dosage (Feb 1994 and Feb 1995)")</f>
        <v>2 rounds of annual dosage (Feb 1994 and Feb 1995)</v>
      </c>
      <c r="I318" s="697" t="str">
        <f>IFERROR(__xludf.DUMMYFUNCTION("""COMPUTED_VALUE"""),"11.1% month 12 and 35.7% month 24")</f>
        <v>11.1% month 12 and 35.7% month 24</v>
      </c>
      <c r="J318" s="697"/>
      <c r="K318" s="697"/>
      <c r="L318" s="697">
        <f>IFERROR(__xludf.DUMMYFUNCTION("""COMPUTED_VALUE"""),46.0)</f>
        <v>46</v>
      </c>
      <c r="M318" s="697" t="str">
        <f>IFERROR(__xludf.DUMMYFUNCTION("""COMPUTED_VALUE"""),"20-94")</f>
        <v>20-94</v>
      </c>
      <c r="N318" s="697" t="str">
        <f>IFERROR(__xludf.DUMMYFUNCTION("""COMPUTED_VALUE"""),"54% M, 46% F")</f>
        <v>54% M, 46% F</v>
      </c>
      <c r="O318" s="697" t="str">
        <f>IFERROR(__xludf.DUMMYFUNCTION("""COMPUTED_VALUE"""),"adult inhabitants of the island")</f>
        <v>adult inhabitants of the island</v>
      </c>
      <c r="P318" s="697" t="str">
        <f>IFERROR(__xludf.DUMMYFUNCTION("""COMPUTED_VALUE"""),"mass treatment")</f>
        <v>mass treatment</v>
      </c>
      <c r="Q318" s="697" t="str">
        <f>IFERROR(__xludf.DUMMYFUNCTION("""COMPUTED_VALUE"""),"n/a")</f>
        <v>n/a</v>
      </c>
      <c r="R318" s="697" t="str">
        <f>IFERROR(__xludf.DUMMYFUNCTION("""COMPUTED_VALUE"""),"n/a")</f>
        <v>n/a</v>
      </c>
      <c r="S318" s="697" t="str">
        <f>IFERROR(__xludf.DUMMYFUNCTION("""COMPUTED_VALUE"""),"month 12 and month 24")</f>
        <v>month 12 and month 24</v>
      </c>
      <c r="T318" s="697" t="str">
        <f>IFERROR(__xludf.DUMMYFUNCTION("""COMPUTED_VALUE"""),"""An annual single-dose treatment of DEC combined with ivermectin has a better efficacy on early and long-term reduction of W. bancrofti Mf prevalence and density than either drug
given individually""")</f>
        <v>"An annual single-dose treatment of DEC combined with ivermectin has a better efficacy on early and long-term reduction of W. bancrofti Mf prevalence and density than either drug
given individually"</v>
      </c>
      <c r="U318" s="697"/>
      <c r="V318" s="697" t="str">
        <f>IFERROR(__xludf.DUMMYFUNCTION("""COMPUTED_VALUE"""),"1994-1995")</f>
        <v>1994-1995</v>
      </c>
      <c r="W318" s="697">
        <f>IFERROR(__xludf.DUMMYFUNCTION("""COMPUTED_VALUE"""),1995.0)</f>
        <v>1995</v>
      </c>
      <c r="X318" s="697"/>
      <c r="Y318" s="697"/>
      <c r="Z318" s="865" t="str">
        <f>IFERROR(__xludf.DUMMYFUNCTION("""COMPUTED_VALUE"""),"https://drive.google.com/file/d/0B9vYgR7NsKoYZ2gtOGlkTUlUTEk/view?usp=sharing")</f>
        <v>https://drive.google.com/file/d/0B9vYgR7NsKoYZ2gtOGlkTUlUTEk/view?usp=sharing</v>
      </c>
      <c r="AA318" s="697" t="str">
        <f>IFERROR(__xludf.DUMMYFUNCTION("""COMPUTED_VALUE"""),"x")</f>
        <v>x</v>
      </c>
    </row>
    <row r="319">
      <c r="A319" s="697" t="str">
        <f>IFERROR(__xludf.DUMMYFUNCTION("""COMPUTED_VALUE"""),"Nicolas 1997")</f>
        <v>Nicolas 1997</v>
      </c>
      <c r="B319" s="697"/>
      <c r="C319" s="697" t="str">
        <f>IFERROR(__xludf.DUMMYFUNCTION("""COMPUTED_VALUE"""),"Mahvish")</f>
        <v>Mahvish</v>
      </c>
      <c r="D319" s="697" t="str">
        <f>IFERROR(__xludf.DUMMYFUNCTION("""COMPUTED_VALUE"""),"French Polynesia")</f>
        <v>French Polynesia</v>
      </c>
      <c r="E319" s="697" t="str">
        <f>IFERROR(__xludf.DUMMYFUNCTION("""COMPUTED_VALUE"""),"W. bancrofti")</f>
        <v>W. bancrofti</v>
      </c>
      <c r="F319" s="697" t="str">
        <f>IFERROR(__xludf.DUMMYFUNCTION("""COMPUTED_VALUE"""),"Ivermectin")</f>
        <v>Ivermectin</v>
      </c>
      <c r="G319" s="697" t="str">
        <f>IFERROR(__xludf.DUMMYFUNCTION("""COMPUTED_VALUE"""),"400/μg/kg")</f>
        <v>400/μg/kg</v>
      </c>
      <c r="H319" s="697" t="str">
        <f>IFERROR(__xludf.DUMMYFUNCTION("""COMPUTED_VALUE"""),"2 rounds of annual dosage (Feb 1994 and Feb 1995)")</f>
        <v>2 rounds of annual dosage (Feb 1994 and Feb 1995)</v>
      </c>
      <c r="I319" s="697" t="str">
        <f>IFERROR(__xludf.DUMMYFUNCTION("""COMPUTED_VALUE"""),"10.7% month 12 and 17.8% month 24")</f>
        <v>10.7% month 12 and 17.8% month 24</v>
      </c>
      <c r="J319" s="697"/>
      <c r="K319" s="697"/>
      <c r="L319" s="697">
        <f>IFERROR(__xludf.DUMMYFUNCTION("""COMPUTED_VALUE"""),46.0)</f>
        <v>46</v>
      </c>
      <c r="M319" s="697" t="str">
        <f>IFERROR(__xludf.DUMMYFUNCTION("""COMPUTED_VALUE"""),"20-94")</f>
        <v>20-94</v>
      </c>
      <c r="N319" s="697" t="str">
        <f>IFERROR(__xludf.DUMMYFUNCTION("""COMPUTED_VALUE"""),"54% M, 46% F")</f>
        <v>54% M, 46% F</v>
      </c>
      <c r="O319" s="697" t="str">
        <f>IFERROR(__xludf.DUMMYFUNCTION("""COMPUTED_VALUE"""),"adult inhabitants of the island")</f>
        <v>adult inhabitants of the island</v>
      </c>
      <c r="P319" s="697" t="str">
        <f>IFERROR(__xludf.DUMMYFUNCTION("""COMPUTED_VALUE"""),"mass treatment")</f>
        <v>mass treatment</v>
      </c>
      <c r="Q319" s="697" t="str">
        <f>IFERROR(__xludf.DUMMYFUNCTION("""COMPUTED_VALUE"""),"n/a")</f>
        <v>n/a</v>
      </c>
      <c r="R319" s="697" t="str">
        <f>IFERROR(__xludf.DUMMYFUNCTION("""COMPUTED_VALUE"""),"n/a")</f>
        <v>n/a</v>
      </c>
      <c r="S319" s="697" t="str">
        <f>IFERROR(__xludf.DUMMYFUNCTION("""COMPUTED_VALUE"""),"month 12 and month 24")</f>
        <v>month 12 and month 24</v>
      </c>
      <c r="T319" s="697" t="str">
        <f>IFERROR(__xludf.DUMMYFUNCTION("""COMPUTED_VALUE"""),"""An annual single-dose treatment of DEC combined with ivermectin has a better efficacy on early and long-term reduction of W. bancrofti Mf prevalence and density than either drug
given individually""")</f>
        <v>"An annual single-dose treatment of DEC combined with ivermectin has a better efficacy on early and long-term reduction of W. bancrofti Mf prevalence and density than either drug
given individually"</v>
      </c>
      <c r="U319" s="697"/>
      <c r="V319" s="697" t="str">
        <f>IFERROR(__xludf.DUMMYFUNCTION("""COMPUTED_VALUE"""),"1994-1995")</f>
        <v>1994-1995</v>
      </c>
      <c r="W319" s="697">
        <f>IFERROR(__xludf.DUMMYFUNCTION("""COMPUTED_VALUE"""),1995.0)</f>
        <v>1995</v>
      </c>
      <c r="X319" s="697"/>
      <c r="Y319" s="697"/>
      <c r="Z319" s="865" t="str">
        <f>IFERROR(__xludf.DUMMYFUNCTION("""COMPUTED_VALUE"""),"https://drive.google.com/file/d/0B9vYgR7NsKoYZ2gtOGlkTUlUTEk/view?usp=sharing")</f>
        <v>https://drive.google.com/file/d/0B9vYgR7NsKoYZ2gtOGlkTUlUTEk/view?usp=sharing</v>
      </c>
      <c r="AA319" s="697" t="str">
        <f>IFERROR(__xludf.DUMMYFUNCTION("""COMPUTED_VALUE"""),"x")</f>
        <v>x</v>
      </c>
    </row>
    <row r="320">
      <c r="A320" s="697" t="str">
        <f>IFERROR(__xludf.DUMMYFUNCTION("""COMPUTED_VALUE"""),"Nicolas 1997")</f>
        <v>Nicolas 1997</v>
      </c>
      <c r="B320" s="697"/>
      <c r="C320" s="697" t="str">
        <f>IFERROR(__xludf.DUMMYFUNCTION("""COMPUTED_VALUE"""),"Mahvish")</f>
        <v>Mahvish</v>
      </c>
      <c r="D320" s="697" t="str">
        <f>IFERROR(__xludf.DUMMYFUNCTION("""COMPUTED_VALUE"""),"French Polynesia")</f>
        <v>French Polynesia</v>
      </c>
      <c r="E320" s="697" t="str">
        <f>IFERROR(__xludf.DUMMYFUNCTION("""COMPUTED_VALUE"""),"W. bancrofti")</f>
        <v>W. bancrofti</v>
      </c>
      <c r="F320" s="697" t="str">
        <f>IFERROR(__xludf.DUMMYFUNCTION("""COMPUTED_VALUE"""),"DEC &amp; Ivermectin")</f>
        <v>DEC &amp; Ivermectin</v>
      </c>
      <c r="G320" s="697" t="str">
        <f>IFERROR(__xludf.DUMMYFUNCTION("""COMPUTED_VALUE"""),"3mg/kg DEC + 400μg/kg Ivermectin")</f>
        <v>3mg/kg DEC + 400μg/kg Ivermectin</v>
      </c>
      <c r="H320" s="697" t="str">
        <f>IFERROR(__xludf.DUMMYFUNCTION("""COMPUTED_VALUE"""),"2 rounds of annual dosage (Feb 1994 and Feb 1995)")</f>
        <v>2 rounds of annual dosage (Feb 1994 and Feb 1995)</v>
      </c>
      <c r="I320" s="697" t="str">
        <f>IFERROR(__xludf.DUMMYFUNCTION("""COMPUTED_VALUE"""),"28.5% month 12 and 50% month 24")</f>
        <v>28.5% month 12 and 50% month 24</v>
      </c>
      <c r="J320" s="697"/>
      <c r="K320" s="697"/>
      <c r="L320" s="697">
        <f>IFERROR(__xludf.DUMMYFUNCTION("""COMPUTED_VALUE"""),46.0)</f>
        <v>46</v>
      </c>
      <c r="M320" s="697" t="str">
        <f>IFERROR(__xludf.DUMMYFUNCTION("""COMPUTED_VALUE"""),"20-94")</f>
        <v>20-94</v>
      </c>
      <c r="N320" s="697" t="str">
        <f>IFERROR(__xludf.DUMMYFUNCTION("""COMPUTED_VALUE"""),"54% M, 46% F")</f>
        <v>54% M, 46% F</v>
      </c>
      <c r="O320" s="697" t="str">
        <f>IFERROR(__xludf.DUMMYFUNCTION("""COMPUTED_VALUE"""),"adult inhabitants of the island")</f>
        <v>adult inhabitants of the island</v>
      </c>
      <c r="P320" s="697" t="str">
        <f>IFERROR(__xludf.DUMMYFUNCTION("""COMPUTED_VALUE"""),"mass treatment")</f>
        <v>mass treatment</v>
      </c>
      <c r="Q320" s="697" t="str">
        <f>IFERROR(__xludf.DUMMYFUNCTION("""COMPUTED_VALUE"""),"n/a")</f>
        <v>n/a</v>
      </c>
      <c r="R320" s="697" t="str">
        <f>IFERROR(__xludf.DUMMYFUNCTION("""COMPUTED_VALUE"""),"n/a")</f>
        <v>n/a</v>
      </c>
      <c r="S320" s="697" t="str">
        <f>IFERROR(__xludf.DUMMYFUNCTION("""COMPUTED_VALUE"""),"month 12 and month 24")</f>
        <v>month 12 and month 24</v>
      </c>
      <c r="T320" s="697" t="str">
        <f>IFERROR(__xludf.DUMMYFUNCTION("""COMPUTED_VALUE"""),"""An annual single-dose treatment of DEC combined with ivermectin has a better efficacy on early and long-term reduction of W. bancrofti Mf prevalence and density than either drug
given individually""")</f>
        <v>"An annual single-dose treatment of DEC combined with ivermectin has a better efficacy on early and long-term reduction of W. bancrofti Mf prevalence and density than either drug
given individually"</v>
      </c>
      <c r="U320" s="697"/>
      <c r="V320" s="697" t="str">
        <f>IFERROR(__xludf.DUMMYFUNCTION("""COMPUTED_VALUE"""),"1994-1995")</f>
        <v>1994-1995</v>
      </c>
      <c r="W320" s="697">
        <f>IFERROR(__xludf.DUMMYFUNCTION("""COMPUTED_VALUE"""),1995.0)</f>
        <v>1995</v>
      </c>
      <c r="X320" s="697"/>
      <c r="Y320" s="697"/>
      <c r="Z320" s="865" t="str">
        <f>IFERROR(__xludf.DUMMYFUNCTION("""COMPUTED_VALUE"""),"https://drive.google.com/file/d/0B9vYgR7NsKoYZ2gtOGlkTUlUTEk/view?usp=sharing")</f>
        <v>https://drive.google.com/file/d/0B9vYgR7NsKoYZ2gtOGlkTUlUTEk/view?usp=sharing</v>
      </c>
      <c r="AA320" s="697" t="str">
        <f>IFERROR(__xludf.DUMMYFUNCTION("""COMPUTED_VALUE"""),"x")</f>
        <v>x</v>
      </c>
    </row>
    <row r="321">
      <c r="A321" s="697" t="str">
        <f>IFERROR(__xludf.DUMMYFUNCTION("""COMPUTED_VALUE"""),"Molyneux 2003")</f>
        <v>Molyneux 2003</v>
      </c>
      <c r="B321" s="697"/>
      <c r="C321" s="697" t="str">
        <f>IFERROR(__xludf.DUMMYFUNCTION("""COMPUTED_VALUE"""),"Mahvish")</f>
        <v>Mahvish</v>
      </c>
      <c r="D321" s="697"/>
      <c r="E321" s="697"/>
      <c r="F321" s="697"/>
      <c r="G321" s="697"/>
      <c r="H321" s="697"/>
      <c r="I321" s="697"/>
      <c r="J321" s="697"/>
      <c r="K321" s="697"/>
      <c r="L321" s="697"/>
      <c r="M321" s="697"/>
      <c r="N321" s="697"/>
      <c r="O321" s="697"/>
      <c r="P321" s="697"/>
      <c r="Q321" s="697"/>
      <c r="R321" s="697"/>
      <c r="S321" s="697"/>
      <c r="T321" s="697"/>
      <c r="U321" s="697"/>
      <c r="V321" s="697"/>
      <c r="W321" s="697">
        <f>IFERROR(__xludf.DUMMYFUNCTION("""COMPUTED_VALUE"""),0.0)</f>
        <v>0</v>
      </c>
      <c r="X321" s="697" t="str">
        <f>IFERROR(__xludf.DUMMYFUNCTION("""COMPUTED_VALUE"""),"Molyneux DH, Bradley M, Hoerauf A, Kyelem D, and Taylor MJ. Mass drug treatment for lymphatic filariasis and onchocerciasis. TRENDS in Parasitology 2003; 19(11): 516-522. ")</f>
        <v>Molyneux DH, Bradley M, Hoerauf A, Kyelem D, and Taylor MJ. Mass drug treatment for lymphatic filariasis and onchocerciasis. TRENDS in Parasitology 2003; 19(11): 516-522. </v>
      </c>
      <c r="Y321" s="697" t="str">
        <f>IFERROR(__xludf.DUMMYFUNCTION("""COMPUTED_VALUE"""),"10.1016/j.pt.2003.09.004")</f>
        <v>10.1016/j.pt.2003.09.004</v>
      </c>
      <c r="Z321" s="865" t="str">
        <f>IFERROR(__xludf.DUMMYFUNCTION("""COMPUTED_VALUE"""),"https://drive.google.com/file/d/0B9vYgR7NsKoYdy1acU1pbExlcTQ/view?usp=sharing")</f>
        <v>https://drive.google.com/file/d/0B9vYgR7NsKoYdy1acU1pbExlcTQ/view?usp=sharing</v>
      </c>
      <c r="AA321" s="697" t="str">
        <f>IFERROR(__xludf.DUMMYFUNCTION("""COMPUTED_VALUE"""),"x")</f>
        <v>x</v>
      </c>
    </row>
    <row r="322">
      <c r="A322" s="697" t="str">
        <f>IFERROR(__xludf.DUMMYFUNCTION("""COMPUTED_VALUE"""),"Meyrowitsch 1996")</f>
        <v>Meyrowitsch 1996</v>
      </c>
      <c r="B322" s="697"/>
      <c r="C322" s="697" t="str">
        <f>IFERROR(__xludf.DUMMYFUNCTION("""COMPUTED_VALUE"""),"Mahvish")</f>
        <v>Mahvish</v>
      </c>
      <c r="D322" s="697" t="str">
        <f>IFERROR(__xludf.DUMMYFUNCTION("""COMPUTED_VALUE"""),"Tanzania")</f>
        <v>Tanzania</v>
      </c>
      <c r="E322" s="697" t="str">
        <f>IFERROR(__xludf.DUMMYFUNCTION("""COMPUTED_VALUE"""),"W. bancrofti")</f>
        <v>W. bancrofti</v>
      </c>
      <c r="F322" s="697" t="str">
        <f>IFERROR(__xludf.DUMMYFUNCTION("""COMPUTED_VALUE"""),"DEC")</f>
        <v>DEC</v>
      </c>
      <c r="G322" s="697" t="str">
        <f>IFERROR(__xludf.DUMMYFUNCTION("""COMPUTED_VALUE"""),"6 mg/kg")</f>
        <v>6 mg/kg</v>
      </c>
      <c r="H322" s="697" t="str">
        <f>IFERROR(__xludf.DUMMYFUNCTION("""COMPUTED_VALUE"""),"once daily for 12 consecutive days")</f>
        <v>once daily for 12 consecutive days</v>
      </c>
      <c r="I322" s="698">
        <f>IFERROR(__xludf.DUMMYFUNCTION("""COMPUTED_VALUE"""),0.415)</f>
        <v>0.415</v>
      </c>
      <c r="J322" s="697"/>
      <c r="K322" s="697"/>
      <c r="L322" s="697">
        <f>IFERROR(__xludf.DUMMYFUNCTION("""COMPUTED_VALUE"""),488.0)</f>
        <v>488</v>
      </c>
      <c r="M322" s="697" t="str">
        <f>IFERROR(__xludf.DUMMYFUNCTION("""COMPUTED_VALUE"""),"n/a")</f>
        <v>n/a</v>
      </c>
      <c r="N322" s="697" t="str">
        <f>IFERROR(__xludf.DUMMYFUNCTION("""COMPUTED_VALUE"""),"n/a")</f>
        <v>n/a</v>
      </c>
      <c r="O322" s="697" t="str">
        <f>IFERROR(__xludf.DUMMYFUNCTION("""COMPUTED_VALUE"""),"""Following pre-treatment baseline parasitological and clinical surveys, all individuals were offered treatment with DEC according to the strategy adopted for the community.""")</f>
        <v>"Following pre-treatment baseline parasitological and clinical surveys, all individuals were offered treatment with DEC according to the strategy adopted for the community."</v>
      </c>
      <c r="P322" s="697" t="str">
        <f>IFERROR(__xludf.DUMMYFUNCTION("""COMPUTED_VALUE"""),"mass DEC chemotherapy")</f>
        <v>mass DEC chemotherapy</v>
      </c>
      <c r="Q322" s="697"/>
      <c r="R322" s="697"/>
      <c r="S322" s="697" t="str">
        <f>IFERROR(__xludf.DUMMYFUNCTION("""COMPUTED_VALUE"""),"1 year")</f>
        <v>1 year</v>
      </c>
      <c r="T322" s="697" t="str">
        <f>IFERROR(__xludf.DUMMYFUNCTION("""COMPUTED_VALUE"""),"""Statistical analysis indicated that strategies III and IV were equally effective, and superior in clearing microfilaraemias and in reducing mf GMIs compared to strategies I and II; strategy II was significantly more effective than strategy I.""")</f>
        <v>"Statistical analysis indicated that strategies III and IV were equally effective, and superior in clearing microfilaraemias and in reducing mf GMIs compared to strategies I and II; strategy II was significantly more effective than strategy I."</v>
      </c>
      <c r="U322" s="697"/>
      <c r="V322" s="697">
        <f>IFERROR(__xludf.DUMMYFUNCTION("""COMPUTED_VALUE"""),1996.0)</f>
        <v>1996</v>
      </c>
      <c r="W322" s="697">
        <f>IFERROR(__xludf.DUMMYFUNCTION("""COMPUTED_VALUE"""),1996.0)</f>
        <v>1996</v>
      </c>
      <c r="X322" s="697" t="str">
        <f>IFERROR(__xludf.DUMMYFUNCTION("""COMPUTED_VALUE"""),"Meyrowitsch DW, Simonsen PE, and Makunde WH. Mass DEC chemotherapy for control of bancroftian filariasis: comparative efficacy of four strategies two years after start of treatment. Trans R Soc Trop Med Hyg 1996; 90(4): 423-428.")</f>
        <v>Meyrowitsch DW, Simonsen PE, and Makunde WH. Mass DEC chemotherapy for control of bancroftian filariasis: comparative efficacy of four strategies two years after start of treatment. Trans R Soc Trop Med Hyg 1996; 90(4): 423-428.</v>
      </c>
      <c r="Y322" s="697" t="str">
        <f>IFERROR(__xludf.DUMMYFUNCTION("""COMPUTED_VALUE"""),"doi:10.1016/S0035-9203(96)90534-9")</f>
        <v>doi:10.1016/S0035-9203(96)90534-9</v>
      </c>
      <c r="Z322" s="865" t="str">
        <f>IFERROR(__xludf.DUMMYFUNCTION("""COMPUTED_VALUE"""),"https://drive.google.com/file/d/0B0-pry4DSOm3MERBWXlzX1hOVlE/view?usp=sharing")</f>
        <v>https://drive.google.com/file/d/0B0-pry4DSOm3MERBWXlzX1hOVlE/view?usp=sharing</v>
      </c>
      <c r="AA322" s="697" t="str">
        <f>IFERROR(__xludf.DUMMYFUNCTION("""COMPUTED_VALUE"""),"x")</f>
        <v>x</v>
      </c>
    </row>
    <row r="323">
      <c r="A323" s="697" t="str">
        <f>IFERROR(__xludf.DUMMYFUNCTION("""COMPUTED_VALUE"""),"Meyrowitsch 1996")</f>
        <v>Meyrowitsch 1996</v>
      </c>
      <c r="B323" s="697"/>
      <c r="C323" s="697"/>
      <c r="D323" s="697" t="str">
        <f>IFERROR(__xludf.DUMMYFUNCTION("""COMPUTED_VALUE"""),"Tanzania")</f>
        <v>Tanzania</v>
      </c>
      <c r="E323" s="697" t="str">
        <f>IFERROR(__xludf.DUMMYFUNCTION("""COMPUTED_VALUE"""),"W. bancrofti")</f>
        <v>W. bancrofti</v>
      </c>
      <c r="F323" s="697" t="str">
        <f>IFERROR(__xludf.DUMMYFUNCTION("""COMPUTED_VALUE"""),"DEC")</f>
        <v>DEC</v>
      </c>
      <c r="G323" s="697" t="str">
        <f>IFERROR(__xludf.DUMMYFUNCTION("""COMPUTED_VALUE"""),"6mg/kg")</f>
        <v>6mg/kg</v>
      </c>
      <c r="H323" s="697" t="str">
        <f>IFERROR(__xludf.DUMMYFUNCTION("""COMPUTED_VALUE"""),"once every 6 months for a year (3 single doses, the last being given immediately after the one year follow-up)")</f>
        <v>once every 6 months for a year (3 single doses, the last being given immediately after the one year follow-up)</v>
      </c>
      <c r="I323" s="698">
        <f>IFERROR(__xludf.DUMMYFUNCTION("""COMPUTED_VALUE"""),0.75)</f>
        <v>0.75</v>
      </c>
      <c r="J323" s="697"/>
      <c r="K323" s="697"/>
      <c r="L323" s="697">
        <f>IFERROR(__xludf.DUMMYFUNCTION("""COMPUTED_VALUE"""),795.0)</f>
        <v>795</v>
      </c>
      <c r="M323" s="697" t="str">
        <f>IFERROR(__xludf.DUMMYFUNCTION("""COMPUTED_VALUE"""),"n/a")</f>
        <v>n/a</v>
      </c>
      <c r="N323" s="697" t="str">
        <f>IFERROR(__xludf.DUMMYFUNCTION("""COMPUTED_VALUE"""),"n/a")</f>
        <v>n/a</v>
      </c>
      <c r="O323" s="697" t="str">
        <f>IFERROR(__xludf.DUMMYFUNCTION("""COMPUTED_VALUE"""),"""Following pre-treatment baseline parasitological and clinical surveys, all individuals were offered treatment with DEC according to the strategy adopted for the community.""")</f>
        <v>"Following pre-treatment baseline parasitological and clinical surveys, all individuals were offered treatment with DEC according to the strategy adopted for the community."</v>
      </c>
      <c r="P323" s="697" t="str">
        <f>IFERROR(__xludf.DUMMYFUNCTION("""COMPUTED_VALUE"""),"mass DEC chemotherapy")</f>
        <v>mass DEC chemotherapy</v>
      </c>
      <c r="Q323" s="697"/>
      <c r="R323" s="697"/>
      <c r="S323" s="697" t="str">
        <f>IFERROR(__xludf.DUMMYFUNCTION("""COMPUTED_VALUE"""),"1 year")</f>
        <v>1 year</v>
      </c>
      <c r="T323" s="697" t="str">
        <f>IFERROR(__xludf.DUMMYFUNCTION("""COMPUTED_VALUE"""),"""Statistical analysis indicated that strategies III and IV were equally effective, and superior in clearing microfilaraemias and in reducing mf GMIs compared to strategies I and II; strategy II was significantly more effective than strategy I.""")</f>
        <v>"Statistical analysis indicated that strategies III and IV were equally effective, and superior in clearing microfilaraemias and in reducing mf GMIs compared to strategies I and II; strategy II was significantly more effective than strategy I."</v>
      </c>
      <c r="U323" s="697"/>
      <c r="V323" s="697">
        <f>IFERROR(__xludf.DUMMYFUNCTION("""COMPUTED_VALUE"""),1996.0)</f>
        <v>1996</v>
      </c>
      <c r="W323" s="697">
        <f>IFERROR(__xludf.DUMMYFUNCTION("""COMPUTED_VALUE"""),1996.0)</f>
        <v>1996</v>
      </c>
      <c r="X323" s="697"/>
      <c r="Y323" s="697" t="str">
        <f>IFERROR(__xludf.DUMMYFUNCTION("""COMPUTED_VALUE"""),"doi:10.1016/S0035-9203(96)90534-10")</f>
        <v>doi:10.1016/S0035-9203(96)90534-10</v>
      </c>
      <c r="Z323" s="865" t="str">
        <f>IFERROR(__xludf.DUMMYFUNCTION("""COMPUTED_VALUE"""),"https://drive.google.com/file/d/0B0-pry4DSOm3MERBWXlzX1hOVlE/view?usp=sharing")</f>
        <v>https://drive.google.com/file/d/0B0-pry4DSOm3MERBWXlzX1hOVlE/view?usp=sharing</v>
      </c>
      <c r="AA323" s="697" t="str">
        <f>IFERROR(__xludf.DUMMYFUNCTION("""COMPUTED_VALUE"""),"x")</f>
        <v>x</v>
      </c>
    </row>
    <row r="324">
      <c r="A324" s="697" t="str">
        <f>IFERROR(__xludf.DUMMYFUNCTION("""COMPUTED_VALUE"""),"Meyrowitsch 1996")</f>
        <v>Meyrowitsch 1996</v>
      </c>
      <c r="B324" s="697"/>
      <c r="C324" s="697"/>
      <c r="D324" s="697" t="str">
        <f>IFERROR(__xludf.DUMMYFUNCTION("""COMPUTED_VALUE"""),"Tanzania")</f>
        <v>Tanzania</v>
      </c>
      <c r="E324" s="697" t="str">
        <f>IFERROR(__xludf.DUMMYFUNCTION("""COMPUTED_VALUE"""),"W. bancrofti")</f>
        <v>W. bancrofti</v>
      </c>
      <c r="F324" s="697" t="str">
        <f>IFERROR(__xludf.DUMMYFUNCTION("""COMPUTED_VALUE"""),"DEC")</f>
        <v>DEC</v>
      </c>
      <c r="G324" s="697" t="str">
        <f>IFERROR(__xludf.DUMMYFUNCTION("""COMPUTED_VALUE"""),"50 mg to children &lt;15 years and 100mg to adults 15 or older")</f>
        <v>50 mg to children &lt;15 years and 100mg to adults 15 or older</v>
      </c>
      <c r="H324" s="697" t="str">
        <f>IFERROR(__xludf.DUMMYFUNCTION("""COMPUTED_VALUE"""),"12 doses")</f>
        <v>12 doses</v>
      </c>
      <c r="I324" s="698">
        <f>IFERROR(__xludf.DUMMYFUNCTION("""COMPUTED_VALUE"""),0.84)</f>
        <v>0.84</v>
      </c>
      <c r="J324" s="697"/>
      <c r="K324" s="697"/>
      <c r="L324" s="697">
        <f>IFERROR(__xludf.DUMMYFUNCTION("""COMPUTED_VALUE"""),320.0)</f>
        <v>320</v>
      </c>
      <c r="M324" s="697" t="str">
        <f>IFERROR(__xludf.DUMMYFUNCTION("""COMPUTED_VALUE"""),"n/a")</f>
        <v>n/a</v>
      </c>
      <c r="N324" s="697" t="str">
        <f>IFERROR(__xludf.DUMMYFUNCTION("""COMPUTED_VALUE"""),"n/a")</f>
        <v>n/a</v>
      </c>
      <c r="O324" s="697" t="str">
        <f>IFERROR(__xludf.DUMMYFUNCTION("""COMPUTED_VALUE"""),"""Following pre-treatment baseline parasitological and clinical surveys, all individuals were offered treatment with DEC according to the strategy adopted for the community.""")</f>
        <v>"Following pre-treatment baseline parasitological and clinical surveys, all individuals were offered treatment with DEC according to the strategy adopted for the community."</v>
      </c>
      <c r="P324" s="697" t="str">
        <f>IFERROR(__xludf.DUMMYFUNCTION("""COMPUTED_VALUE"""),"mass DEC chemotherapy")</f>
        <v>mass DEC chemotherapy</v>
      </c>
      <c r="Q324" s="697"/>
      <c r="R324" s="697"/>
      <c r="S324" s="697" t="str">
        <f>IFERROR(__xludf.DUMMYFUNCTION("""COMPUTED_VALUE"""),"1 year")</f>
        <v>1 year</v>
      </c>
      <c r="T324" s="697" t="str">
        <f>IFERROR(__xludf.DUMMYFUNCTION("""COMPUTED_VALUE"""),"""Statistical analysis indicated that strategies III and IV were equally effective, and superior in clearing microfilaraemias and in reducing mf GMIs compared to strategies I and II; strategy II was significantly more effective than strategy I.""")</f>
        <v>"Statistical analysis indicated that strategies III and IV were equally effective, and superior in clearing microfilaraemias and in reducing mf GMIs compared to strategies I and II; strategy II was significantly more effective than strategy I."</v>
      </c>
      <c r="U324" s="697"/>
      <c r="V324" s="697">
        <f>IFERROR(__xludf.DUMMYFUNCTION("""COMPUTED_VALUE"""),1996.0)</f>
        <v>1996</v>
      </c>
      <c r="W324" s="697">
        <f>IFERROR(__xludf.DUMMYFUNCTION("""COMPUTED_VALUE"""),1996.0)</f>
        <v>1996</v>
      </c>
      <c r="X324" s="697"/>
      <c r="Y324" s="697" t="str">
        <f>IFERROR(__xludf.DUMMYFUNCTION("""COMPUTED_VALUE"""),"doi:10.1016/S0035-9203(96)90534-11")</f>
        <v>doi:10.1016/S0035-9203(96)90534-11</v>
      </c>
      <c r="Z324" s="865" t="str">
        <f>IFERROR(__xludf.DUMMYFUNCTION("""COMPUTED_VALUE"""),"https://drive.google.com/file/d/0B0-pry4DSOm3MERBWXlzX1hOVlE/view?usp=sharing")</f>
        <v>https://drive.google.com/file/d/0B0-pry4DSOm3MERBWXlzX1hOVlE/view?usp=sharing</v>
      </c>
      <c r="AA324" s="697" t="str">
        <f>IFERROR(__xludf.DUMMYFUNCTION("""COMPUTED_VALUE"""),"x")</f>
        <v>x</v>
      </c>
    </row>
    <row r="325">
      <c r="A325" s="697" t="str">
        <f>IFERROR(__xludf.DUMMYFUNCTION("""COMPUTED_VALUE"""),"Meyrowitsch 1996")</f>
        <v>Meyrowitsch 1996</v>
      </c>
      <c r="B325" s="697"/>
      <c r="C325" s="697"/>
      <c r="D325" s="697" t="str">
        <f>IFERROR(__xludf.DUMMYFUNCTION("""COMPUTED_VALUE"""),"Tanzania")</f>
        <v>Tanzania</v>
      </c>
      <c r="E325" s="697" t="str">
        <f>IFERROR(__xludf.DUMMYFUNCTION("""COMPUTED_VALUE"""),"W. bancrofti")</f>
        <v>W. bancrofti</v>
      </c>
      <c r="F325" s="697" t="str">
        <f>IFERROR(__xludf.DUMMYFUNCTION("""COMPUTED_VALUE"""),"DEC")</f>
        <v>DEC</v>
      </c>
      <c r="G325" s="697" t="str">
        <f>IFERROR(__xludf.DUMMYFUNCTION("""COMPUTED_VALUE"""),"0.33% w/w")</f>
        <v>0.33% w/w</v>
      </c>
      <c r="H325" s="697" t="str">
        <f>IFERROR(__xludf.DUMMYFUNCTION("""COMPUTED_VALUE"""),"a period of one year")</f>
        <v>a period of one year</v>
      </c>
      <c r="I325" s="698">
        <f>IFERROR(__xludf.DUMMYFUNCTION("""COMPUTED_VALUE"""),0.891)</f>
        <v>0.891</v>
      </c>
      <c r="J325" s="697"/>
      <c r="K325" s="697"/>
      <c r="L325" s="697">
        <f>IFERROR(__xludf.DUMMYFUNCTION("""COMPUTED_VALUE"""),467.0)</f>
        <v>467</v>
      </c>
      <c r="M325" s="697" t="str">
        <f>IFERROR(__xludf.DUMMYFUNCTION("""COMPUTED_VALUE"""),"n/a")</f>
        <v>n/a</v>
      </c>
      <c r="N325" s="697" t="str">
        <f>IFERROR(__xludf.DUMMYFUNCTION("""COMPUTED_VALUE"""),"n/a")</f>
        <v>n/a</v>
      </c>
      <c r="O325" s="697" t="str">
        <f>IFERROR(__xludf.DUMMYFUNCTION("""COMPUTED_VALUE"""),"""Following pre-treatment baseline parasitological and clinical surveys, all individuals were offered treatment with DEC according to the strategy adopted for the community.""")</f>
        <v>"Following pre-treatment baseline parasitological and clinical surveys, all individuals were offered treatment with DEC according to the strategy adopted for the community."</v>
      </c>
      <c r="P325" s="697" t="str">
        <f>IFERROR(__xludf.DUMMYFUNCTION("""COMPUTED_VALUE"""),"mass DEC chemotherapy")</f>
        <v>mass DEC chemotherapy</v>
      </c>
      <c r="Q325" s="697"/>
      <c r="R325" s="697"/>
      <c r="S325" s="697" t="str">
        <f>IFERROR(__xludf.DUMMYFUNCTION("""COMPUTED_VALUE"""),"1 year")</f>
        <v>1 year</v>
      </c>
      <c r="T325" s="697" t="str">
        <f>IFERROR(__xludf.DUMMYFUNCTION("""COMPUTED_VALUE"""),"""Statistical analysis indicated that strategies III and IV were equally effective, and superior in clearing microfilaraemias and in reducing mf GMIs compared to strategies I and II; strategy II was significantly more effective than strategy I.""")</f>
        <v>"Statistical analysis indicated that strategies III and IV were equally effective, and superior in clearing microfilaraemias and in reducing mf GMIs compared to strategies I and II; strategy II was significantly more effective than strategy I."</v>
      </c>
      <c r="U325" s="697"/>
      <c r="V325" s="697">
        <f>IFERROR(__xludf.DUMMYFUNCTION("""COMPUTED_VALUE"""),1996.0)</f>
        <v>1996</v>
      </c>
      <c r="W325" s="697">
        <f>IFERROR(__xludf.DUMMYFUNCTION("""COMPUTED_VALUE"""),1996.0)</f>
        <v>1996</v>
      </c>
      <c r="X325" s="697"/>
      <c r="Y325" s="697" t="str">
        <f>IFERROR(__xludf.DUMMYFUNCTION("""COMPUTED_VALUE"""),"doi:10.1016/S0035-9203(96)90534-12")</f>
        <v>doi:10.1016/S0035-9203(96)90534-12</v>
      </c>
      <c r="Z325" s="865" t="str">
        <f>IFERROR(__xludf.DUMMYFUNCTION("""COMPUTED_VALUE"""),"https://drive.google.com/file/d/0B0-pry4DSOm3MERBWXlzX1hOVlE/view?usp=sharing")</f>
        <v>https://drive.google.com/file/d/0B0-pry4DSOm3MERBWXlzX1hOVlE/view?usp=sharing</v>
      </c>
      <c r="AA325" s="697" t="str">
        <f>IFERROR(__xludf.DUMMYFUNCTION("""COMPUTED_VALUE"""),"x")</f>
        <v>x</v>
      </c>
    </row>
    <row r="326">
      <c r="A326" s="697" t="str">
        <f>IFERROR(__xludf.DUMMYFUNCTION("""COMPUTED_VALUE"""),"Mataika 1998")</f>
        <v>Mataika 1998</v>
      </c>
      <c r="B326" s="697"/>
      <c r="C326" s="697" t="str">
        <f>IFERROR(__xludf.DUMMYFUNCTION("""COMPUTED_VALUE"""),"Mahvish")</f>
        <v>Mahvish</v>
      </c>
      <c r="D326" s="697" t="str">
        <f>IFERROR(__xludf.DUMMYFUNCTION("""COMPUTED_VALUE"""),"Fiji")</f>
        <v>Fiji</v>
      </c>
      <c r="E326" s="697"/>
      <c r="F326" s="697" t="str">
        <f>IFERROR(__xludf.DUMMYFUNCTION("""COMPUTED_VALUE"""),"DEC")</f>
        <v>DEC</v>
      </c>
      <c r="G326" s="697" t="str">
        <f>IFERROR(__xludf.DUMMYFUNCTION("""COMPUTED_VALUE"""),"6mg/kg")</f>
        <v>6mg/kg</v>
      </c>
      <c r="H326" s="697" t="str">
        <f>IFERROR(__xludf.DUMMYFUNCTION("""COMPUTED_VALUE"""),"annual, 5 total years")</f>
        <v>annual, 5 total years</v>
      </c>
      <c r="I326" s="697"/>
      <c r="J326" s="697"/>
      <c r="K326" s="697"/>
      <c r="L326" s="697">
        <f>IFERROR(__xludf.DUMMYFUNCTION("""COMPUTED_VALUE"""),4686.0)</f>
        <v>4686</v>
      </c>
      <c r="M326" s="697"/>
      <c r="N326" s="697"/>
      <c r="O326" s="697" t="str">
        <f>IFERROR(__xludf.DUMMYFUNCTION("""COMPUTED_VALUE"""),"n/a ""All of those registered in 1985 (4686 people in 32 villages) were examined for mf using a 60-il finger-prick (thick smearmethod).")</f>
        <v>n/a "All of those registered in 1985 (4686 people in 32 villages) were examined for mf using a 60-il finger-prick (thick smearmethod).</v>
      </c>
      <c r="P326" s="697" t="str">
        <f>IFERROR(__xludf.DUMMYFUNCTION("""COMPUTED_VALUE"""),"mass treatment")</f>
        <v>mass treatment</v>
      </c>
      <c r="Q326" s="697" t="str">
        <f>IFERROR(__xludf.DUMMYFUNCTION("""COMPUTED_VALUE"""),"n/a")</f>
        <v>n/a</v>
      </c>
      <c r="R326" s="697" t="str">
        <f>IFERROR(__xludf.DUMMYFUNCTION("""COMPUTED_VALUE"""),"n/a")</f>
        <v>n/a</v>
      </c>
      <c r="S326" s="697" t="str">
        <f>IFERROR(__xludf.DUMMYFUNCTION("""COMPUTED_VALUE"""),"5-6 years")</f>
        <v>5-6 years</v>
      </c>
      <c r="T326" s="697" t="str">
        <f>IFERROR(__xludf.DUMMYFUNCTION("""COMPUTED_VALUE"""),"""Thus, annual treatments can reduce village mf rate steadily, and pretreatment mf density or rate do not influence the degree of reduction. This would
imply that annual single-dose treatment (6mg/kg DEC) can be applied in highly endemic areas without los"&amp;"s of efficacy. These results imply that the drug may also prevent juvenile forms (3rd and 4th larval stages and young adults) from reproducing.")</f>
        <v>"Thus, annual treatments can reduce village mf rate steadily, and pretreatment mf density or rate do not influence the degree of reduction. This would
imply that annual single-dose treatment (6mg/kg DEC) can be applied in highly endemic areas without loss of efficacy. These results imply that the drug may also prevent juvenile forms (3rd and 4th larval stages and young adults) from reproducing.</v>
      </c>
      <c r="U326" s="697"/>
      <c r="V326" s="697" t="str">
        <f>IFERROR(__xludf.DUMMYFUNCTION("""COMPUTED_VALUE"""),"1985-1991")</f>
        <v>1985-1991</v>
      </c>
      <c r="W326" s="697">
        <f>IFERROR(__xludf.DUMMYFUNCTION("""COMPUTED_VALUE"""),1991.0)</f>
        <v>1991</v>
      </c>
      <c r="X326" s="697" t="str">
        <f>IFERROR(__xludf.DUMMYFUNCTION("""COMPUTED_VALUE"""),"Mataika JU, Kimura E, Koroivueta J, and Shimada M. Efficacy of five annual single doses of diethylcarbamazine for treatment of lymphatic filariasis in Fiji. Bulletin of the World Health Organization 1998; 76(6): 575-579.")</f>
        <v>Mataika JU, Kimura E, Koroivueta J, and Shimada M. Efficacy of five annual single doses of diethylcarbamazine for treatment of lymphatic filariasis in Fiji. Bulletin of the World Health Organization 1998; 76(6): 575-579.</v>
      </c>
      <c r="Y326" s="697" t="str">
        <f>IFERROR(__xludf.DUMMYFUNCTION("""COMPUTED_VALUE"""),"PMCID: PMC2312497")</f>
        <v>PMCID: PMC2312497</v>
      </c>
      <c r="Z326" s="865" t="str">
        <f>IFERROR(__xludf.DUMMYFUNCTION("""COMPUTED_VALUE"""),"https://drive.google.com/file/d/0B0-pry4DSOm3c21aSGRUOUp4MTA/view?usp=sharing")</f>
        <v>https://drive.google.com/file/d/0B0-pry4DSOm3c21aSGRUOUp4MTA/view?usp=sharing</v>
      </c>
      <c r="AA326" s="697" t="str">
        <f>IFERROR(__xludf.DUMMYFUNCTION("""COMPUTED_VALUE"""),"x")</f>
        <v>x</v>
      </c>
    </row>
    <row r="327">
      <c r="A327" s="697" t="str">
        <f>IFERROR(__xludf.DUMMYFUNCTION("""COMPUTED_VALUE"""),"Liang 2008")</f>
        <v>Liang 2008</v>
      </c>
      <c r="B327" s="697"/>
      <c r="C327" s="697" t="str">
        <f>IFERROR(__xludf.DUMMYFUNCTION("""COMPUTED_VALUE"""),"Mahvish")</f>
        <v>Mahvish</v>
      </c>
      <c r="D327" s="697" t="str">
        <f>IFERROR(__xludf.DUMMYFUNCTION("""COMPUTED_VALUE"""),"American Samoa")</f>
        <v>American Samoa</v>
      </c>
      <c r="E327" s="697" t="str">
        <f>IFERROR(__xludf.DUMMYFUNCTION("""COMPUTED_VALUE"""),"W. bancrofti")</f>
        <v>W. bancrofti</v>
      </c>
      <c r="F327" s="697" t="str">
        <f>IFERROR(__xludf.DUMMYFUNCTION("""COMPUTED_VALUE"""),"Albendazole &amp; DEC")</f>
        <v>Albendazole &amp; DEC</v>
      </c>
      <c r="G327" s="697"/>
      <c r="H327" s="697" t="str">
        <f>IFERROR(__xludf.DUMMYFUNCTION("""COMPUTED_VALUE"""),"5 annual rounds")</f>
        <v>5 annual rounds</v>
      </c>
      <c r="I327" s="697" t="str">
        <f>IFERROR(__xludf.DUMMYFUNCTION("""COMPUTED_VALUE"""),"72% in 2001, 91% in 2003, 98% in 2006")</f>
        <v>72% in 2001, 91% in 2003, 98% in 2006</v>
      </c>
      <c r="J327" s="697"/>
      <c r="K327" s="697"/>
      <c r="L327" s="697" t="str">
        <f>IFERROR(__xludf.DUMMYFUNCTION("""COMPUTED_VALUE"""),"1024 in 2001, 917 in 2003, 1371 in 2006")</f>
        <v>1024 in 2001, 917 in 2003, 1371 in 2006</v>
      </c>
      <c r="M327" s="697" t="str">
        <f>IFERROR(__xludf.DUMMYFUNCTION("""COMPUTED_VALUE"""),"""The median age of those tested was 16.5 (2001), 19 (2003), and 20 years (2006).""")</f>
        <v>"The median age of those tested was 16.5 (2001), 19 (2003), and 20 years (2006)."</v>
      </c>
      <c r="N327" s="697" t="str">
        <f>IFERROR(__xludf.DUMMYFUNCTION("""COMPUTED_VALUE"""),"456 M; 568 F in 2001, 422 M; 495 F in 2003, 665 M; 706 F in 2006")</f>
        <v>456 M; 568 F in 2001, 422 M; 495 F in 2003, 665 M; 706 F in 2006</v>
      </c>
      <c r="O327" s="697" t="str">
        <f>IFERROR(__xludf.DUMMYFUNCTION("""COMPUTED_VALUE"""),"""At each site, a convenience sample of village residents older than 4 years of age was asked to participate in the survey. Residents who volunteered were requested by the
village mayor to meet at a central location to complete a short questionnaire regar"&amp;"ding knowledge of LF and participation in previous MDAs and provide a finger prick sample of blood for testing. In addition, for the 2003 and 2006 surveys, mobile teams walked from house to house to test people in and guardians of minors provided verbal c"&amp;"onsent before testing. Each surveillance survey was reviewed and approved by the American Samoa Government and Centers for Disease Control and Prevention Institutional Review Boards.""")</f>
        <v>"At each site, a convenience sample of village residents older than 4 years of age was asked to participate in the survey. Residents who volunteered were requested by the
village mayor to meet at a central location to complete a short questionnaire regarding knowledge of LF and participation in previous MDAs and provide a finger prick sample of blood for testing. In addition, for the 2003 and 2006 surveys, mobile teams walked from house to house to test people in and guardians of minors provided verbal consent before testing. Each surveillance survey was reviewed and approved by the American Samoa Government and Centers for Disease Control and Prevention Institutional Review Boards."</v>
      </c>
      <c r="P327" s="697" t="str">
        <f>IFERROR(__xludf.DUMMYFUNCTION("""COMPUTED_VALUE"""),"MDA")</f>
        <v>MDA</v>
      </c>
      <c r="Q327" s="697" t="str">
        <f>IFERROR(__xludf.DUMMYFUNCTION("""COMPUTED_VALUE"""),"n/a")</f>
        <v>n/a</v>
      </c>
      <c r="R327" s="697" t="str">
        <f>IFERROR(__xludf.DUMMYFUNCTION("""COMPUTED_VALUE"""),"n/a")</f>
        <v>n/a</v>
      </c>
      <c r="S327" s="697" t="str">
        <f>IFERROR(__xludf.DUMMYFUNCTION("""COMPUTED_VALUE"""),"5-6 years")</f>
        <v>5-6 years</v>
      </c>
      <c r="T327" s="697" t="str">
        <f>IFERROR(__xludf.DUMMYFUNCTION("""COMPUTED_VALUE"""),"""The decline in antigenemia prevalence shows the effectiveness of MDA and changes made in social mobilization and drug distribution.""")</f>
        <v>"The decline in antigenemia prevalence shows the effectiveness of MDA and changes made in social mobilization and drug distribution."</v>
      </c>
      <c r="U327" s="697"/>
      <c r="V327" s="697" t="str">
        <f>IFERROR(__xludf.DUMMYFUNCTION("""COMPUTED_VALUE"""),"2000-2006")</f>
        <v>2000-2006</v>
      </c>
      <c r="W327" s="697">
        <f>IFERROR(__xludf.DUMMYFUNCTION("""COMPUTED_VALUE"""),2006.0)</f>
        <v>2006</v>
      </c>
      <c r="X327" s="697" t="str">
        <f>IFERROR(__xludf.DUMMYFUNCTION("""COMPUTED_VALUE"""),"Liang JL, King JD, Ichimori K, Handzel T, Pa'au M, and Lammie PJ. Impact of Five Annual Rounds of Mass Drug Administration with Diethylcarbamazine and Albendazole on Wuchereria bancrofti Infection in American Samoa. Am J Trop Med Hyg 2008; 78(6): 924-928.")</f>
        <v>Liang JL, King JD, Ichimori K, Handzel T, Pa'au M, and Lammie PJ. Impact of Five Annual Rounds of Mass Drug Administration with Diethylcarbamazine and Albendazole on Wuchereria bancrofti Infection in American Samoa. Am J Trop Med Hyg 2008; 78(6): 924-928.</v>
      </c>
      <c r="Y327" s="697" t="str">
        <f>IFERROR(__xludf.DUMMYFUNCTION("""COMPUTED_VALUE"""),"PMID: 18541771")</f>
        <v>PMID: 18541771</v>
      </c>
      <c r="Z327" s="865" t="str">
        <f>IFERROR(__xludf.DUMMYFUNCTION("""COMPUTED_VALUE"""),"https://drive.google.com/file/d/0B9vYgR7NsKoYNFhhbW9lVkNBeTQ/view?usp=sharing")</f>
        <v>https://drive.google.com/file/d/0B9vYgR7NsKoYNFhhbW9lVkNBeTQ/view?usp=sharing</v>
      </c>
      <c r="AA327" s="697" t="str">
        <f>IFERROR(__xludf.DUMMYFUNCTION("""COMPUTED_VALUE"""),"x")</f>
        <v>x</v>
      </c>
    </row>
    <row r="328">
      <c r="A328" s="697" t="str">
        <f>IFERROR(__xludf.DUMMYFUNCTION("""COMPUTED_VALUE"""),"Kumar 2014")</f>
        <v>Kumar 2014</v>
      </c>
      <c r="B328" s="697"/>
      <c r="C328" s="697" t="str">
        <f>IFERROR(__xludf.DUMMYFUNCTION("""COMPUTED_VALUE"""),"Mahvish")</f>
        <v>Mahvish</v>
      </c>
      <c r="D328" s="697" t="str">
        <f>IFERROR(__xludf.DUMMYFUNCTION("""COMPUTED_VALUE"""),"Samoa")</f>
        <v>Samoa</v>
      </c>
      <c r="E328" s="697" t="str">
        <f>IFERROR(__xludf.DUMMYFUNCTION("""COMPUTED_VALUE"""),"W. bancrofti")</f>
        <v>W. bancrofti</v>
      </c>
      <c r="F328" s="697" t="str">
        <f>IFERROR(__xludf.DUMMYFUNCTION("""COMPUTED_VALUE"""),"DEC")</f>
        <v>DEC</v>
      </c>
      <c r="G328" s="697" t="str">
        <f>IFERROR(__xludf.DUMMYFUNCTION("""COMPUTED_VALUE"""),"4mg/kg")</f>
        <v>4mg/kg</v>
      </c>
      <c r="H328" s="697" t="str">
        <f>IFERROR(__xludf.DUMMYFUNCTION("""COMPUTED_VALUE"""),"annual single dose (1 dose)")</f>
        <v>annual single dose (1 dose)</v>
      </c>
      <c r="I328" s="697" t="str">
        <f>IFERROR(__xludf.DUMMYFUNCTION("""COMPUTED_VALUE"""),"81.5%(12 months)-90.1%(6 months)")</f>
        <v>81.5%(12 months)-90.1%(6 months)</v>
      </c>
      <c r="J328" s="697" t="str">
        <f>IFERROR(__xludf.DUMMYFUNCTION("""COMPUTED_VALUE"""),"27.7%(6 months)-29.4%(12 months)")</f>
        <v>27.7%(6 months)-29.4%(12 months)</v>
      </c>
      <c r="K328" s="697"/>
      <c r="L328" s="697">
        <f>IFERROR(__xludf.DUMMYFUNCTION("""COMPUTED_VALUE"""),72.0)</f>
        <v>72</v>
      </c>
      <c r="M328" s="697" t="str">
        <f>IFERROR(__xludf.DUMMYFUNCTION("""COMPUTED_VALUE"""),"age 3 and above")</f>
        <v>age 3 and above</v>
      </c>
      <c r="N328" s="697" t="str">
        <f>IFERROR(__xludf.DUMMYFUNCTION("""COMPUTED_VALUE"""),"n/a")</f>
        <v>n/a</v>
      </c>
      <c r="O328" s="697" t="str">
        <f>IFERROR(__xludf.DUMMYFUNCTION("""COMPUTED_VALUE"""),"n/a")</f>
        <v>n/a</v>
      </c>
      <c r="P328" s="697" t="str">
        <f>IFERROR(__xludf.DUMMYFUNCTION("""COMPUTED_VALUE"""),"mass treatment")</f>
        <v>mass treatment</v>
      </c>
      <c r="Q328" s="697" t="str">
        <f>IFERROR(__xludf.DUMMYFUNCTION("""COMPUTED_VALUE"""),"n/a")</f>
        <v>n/a</v>
      </c>
      <c r="R328" s="697" t="str">
        <f>IFERROR(__xludf.DUMMYFUNCTION("""COMPUTED_VALUE"""),"n/a")</f>
        <v>n/a</v>
      </c>
      <c r="S328" s="697" t="str">
        <f>IFERROR(__xludf.DUMMYFUNCTION("""COMPUTED_VALUE"""),"6 and 12 months")</f>
        <v>6 and 12 months</v>
      </c>
      <c r="T328" s="697" t="str">
        <f>IFERROR(__xludf.DUMMYFUNCTION("""COMPUTED_VALUE"""),"""The comparison between the annual single-dose treatment at 6 mg/kg and the six-monthly two doses/year treatment at the same dosage (total 12 mg/kg/year) showed that the latter had little advantage over the former, thus indicating the effectiveness of th"&amp;"e single-dose treatment for longer than six months.""")</f>
        <v>"The comparison between the annual single-dose treatment at 6 mg/kg and the six-monthly two doses/year treatment at the same dosage (total 12 mg/kg/year) showed that the latter had little advantage over the former, thus indicating the effectiveness of the single-dose treatment for longer than six months."</v>
      </c>
      <c r="U328" s="697"/>
      <c r="V328" s="697" t="str">
        <f>IFERROR(__xludf.DUMMYFUNCTION("""COMPUTED_VALUE"""),"1979-1981")</f>
        <v>1979-1981</v>
      </c>
      <c r="W328" s="697">
        <f>IFERROR(__xludf.DUMMYFUNCTION("""COMPUTED_VALUE"""),1981.0)</f>
        <v>1981</v>
      </c>
      <c r="X328" s="697" t="str">
        <f>IFERROR(__xludf.DUMMYFUNCTION("""COMPUTED_VALUE"""),"Kumar A and Sachan P. Measuring impact on filarial infection status in a community study: Role of coverage of mass drug administration (MDA). Tropical Biomedicine 2014; 31(2): 225-229.")</f>
        <v>Kumar A and Sachan P. Measuring impact on filarial infection status in a community study: Role of coverage of mass drug administration (MDA). Tropical Biomedicine 2014; 31(2): 225-229.</v>
      </c>
      <c r="Y328" s="697" t="str">
        <f>IFERROR(__xludf.DUMMYFUNCTION("""COMPUTED_VALUE"""),"PMID: 25134891")</f>
        <v>PMID: 25134891</v>
      </c>
      <c r="Z328" s="865" t="str">
        <f>IFERROR(__xludf.DUMMYFUNCTION("""COMPUTED_VALUE"""),"https://drive.google.com/file/d/0B4sJPAkX0Jo3VEhYbXRMSEwwTG8/view?usp=sharing")</f>
        <v>https://drive.google.com/file/d/0B4sJPAkX0Jo3VEhYbXRMSEwwTG8/view?usp=sharing</v>
      </c>
      <c r="AA328" s="697" t="str">
        <f>IFERROR(__xludf.DUMMYFUNCTION("""COMPUTED_VALUE"""),"x")</f>
        <v>x</v>
      </c>
    </row>
    <row r="329">
      <c r="A329" s="697" t="str">
        <f>IFERROR(__xludf.DUMMYFUNCTION("""COMPUTED_VALUE"""),"Kumar 2015")</f>
        <v>Kumar 2015</v>
      </c>
      <c r="B329" s="697"/>
      <c r="C329" s="697" t="str">
        <f>IFERROR(__xludf.DUMMYFUNCTION("""COMPUTED_VALUE"""),"Mahvish")</f>
        <v>Mahvish</v>
      </c>
      <c r="D329" s="697" t="str">
        <f>IFERROR(__xludf.DUMMYFUNCTION("""COMPUTED_VALUE"""),"Samoa")</f>
        <v>Samoa</v>
      </c>
      <c r="E329" s="697" t="str">
        <f>IFERROR(__xludf.DUMMYFUNCTION("""COMPUTED_VALUE"""),"W. bancrofti")</f>
        <v>W. bancrofti</v>
      </c>
      <c r="F329" s="697" t="str">
        <f>IFERROR(__xludf.DUMMYFUNCTION("""COMPUTED_VALUE"""),"DEC")</f>
        <v>DEC</v>
      </c>
      <c r="G329" s="697" t="str">
        <f>IFERROR(__xludf.DUMMYFUNCTION("""COMPUTED_VALUE"""),"6mg/kg")</f>
        <v>6mg/kg</v>
      </c>
      <c r="H329" s="697" t="str">
        <f>IFERROR(__xludf.DUMMYFUNCTION("""COMPUTED_VALUE"""),"annual single dose, 41 received a single dose and 55 received two doses")</f>
        <v>annual single dose, 41 received a single dose and 55 received two doses</v>
      </c>
      <c r="I329" s="697" t="str">
        <f>IFERROR(__xludf.DUMMYFUNCTION("""COMPUTED_VALUE"""),"89.3%(6 months)-94.4%(12 months)")</f>
        <v>89.3%(6 months)-94.4%(12 months)</v>
      </c>
      <c r="J329" s="697" t="str">
        <f>IFERROR(__xludf.DUMMYFUNCTION("""COMPUTED_VALUE"""),"32.1%(6 months)-53.7%(12 months)")</f>
        <v>32.1%(6 months)-53.7%(12 months)</v>
      </c>
      <c r="K329" s="697"/>
      <c r="L329" s="697">
        <f>IFERROR(__xludf.DUMMYFUNCTION("""COMPUTED_VALUE"""),158.0)</f>
        <v>158</v>
      </c>
      <c r="M329" s="697" t="str">
        <f>IFERROR(__xludf.DUMMYFUNCTION("""COMPUTED_VALUE"""),"age 3-40")</f>
        <v>age 3-40</v>
      </c>
      <c r="N329" s="697" t="str">
        <f>IFERROR(__xludf.DUMMYFUNCTION("""COMPUTED_VALUE"""),"79M;33F")</f>
        <v>79M;33F</v>
      </c>
      <c r="O329" s="697" t="str">
        <f>IFERROR(__xludf.DUMMYFUNCTION("""COMPUTED_VALUE"""),"n/a")</f>
        <v>n/a</v>
      </c>
      <c r="P329" s="697" t="str">
        <f>IFERROR(__xludf.DUMMYFUNCTION("""COMPUTED_VALUE"""),"mass treatment")</f>
        <v>mass treatment</v>
      </c>
      <c r="Q329" s="697" t="str">
        <f>IFERROR(__xludf.DUMMYFUNCTION("""COMPUTED_VALUE"""),"n/a")</f>
        <v>n/a</v>
      </c>
      <c r="R329" s="697" t="str">
        <f>IFERROR(__xludf.DUMMYFUNCTION("""COMPUTED_VALUE"""),"n/a")</f>
        <v>n/a</v>
      </c>
      <c r="S329" s="697" t="str">
        <f>IFERROR(__xludf.DUMMYFUNCTION("""COMPUTED_VALUE"""),"6 and 12 months")</f>
        <v>6 and 12 months</v>
      </c>
      <c r="T329" s="697" t="str">
        <f>IFERROR(__xludf.DUMMYFUNCTION("""COMPUTED_VALUE"""),"""The comparison between the annual single-dose treatment at 6 mg/kg and the six-monthly two doses/year treatment at the same dosage (total 12 mg/kg/year) showed that the latter had little advantage over the former, thus indicating the effectiveness of th"&amp;"e single-dose treatment for longer than six months.""")</f>
        <v>"The comparison between the annual single-dose treatment at 6 mg/kg and the six-monthly two doses/year treatment at the same dosage (total 12 mg/kg/year) showed that the latter had little advantage over the former, thus indicating the effectiveness of the single-dose treatment for longer than six months."</v>
      </c>
      <c r="U329" s="697"/>
      <c r="V329" s="697" t="str">
        <f>IFERROR(__xludf.DUMMYFUNCTION("""COMPUTED_VALUE"""),"1979-1982")</f>
        <v>1979-1982</v>
      </c>
      <c r="W329" s="697">
        <f>IFERROR(__xludf.DUMMYFUNCTION("""COMPUTED_VALUE"""),1982.0)</f>
        <v>1982</v>
      </c>
      <c r="X329" s="697" t="str">
        <f>IFERROR(__xludf.DUMMYFUNCTION("""COMPUTED_VALUE"""),"Kumar A and Sachan P. Measuring impact on filarial infection status in a community study: Role of coverage of mass drug administration (MDA). Tropical Biomedicine 2014; 31(2): 225-229.")</f>
        <v>Kumar A and Sachan P. Measuring impact on filarial infection status in a community study: Role of coverage of mass drug administration (MDA). Tropical Biomedicine 2014; 31(2): 225-229.</v>
      </c>
      <c r="Y329" s="697" t="str">
        <f>IFERROR(__xludf.DUMMYFUNCTION("""COMPUTED_VALUE"""),"PMID: 25134892")</f>
        <v>PMID: 25134892</v>
      </c>
      <c r="Z329" s="865" t="str">
        <f>IFERROR(__xludf.DUMMYFUNCTION("""COMPUTED_VALUE"""),"https://drive.google.com/file/d/0B4sJPAkX0Jo3VEhYbXRMSEwwTG8/view?usp=sharing")</f>
        <v>https://drive.google.com/file/d/0B4sJPAkX0Jo3VEhYbXRMSEwwTG8/view?usp=sharing</v>
      </c>
      <c r="AA329" s="697" t="str">
        <f>IFERROR(__xludf.DUMMYFUNCTION("""COMPUTED_VALUE"""),"x")</f>
        <v>x</v>
      </c>
    </row>
    <row r="330">
      <c r="A330" s="697" t="str">
        <f>IFERROR(__xludf.DUMMYFUNCTION("""COMPUTED_VALUE"""),"Kumar 2016")</f>
        <v>Kumar 2016</v>
      </c>
      <c r="B330" s="697"/>
      <c r="C330" s="697" t="str">
        <f>IFERROR(__xludf.DUMMYFUNCTION("""COMPUTED_VALUE"""),"Mahvish")</f>
        <v>Mahvish</v>
      </c>
      <c r="D330" s="697" t="str">
        <f>IFERROR(__xludf.DUMMYFUNCTION("""COMPUTED_VALUE"""),"Samoa")</f>
        <v>Samoa</v>
      </c>
      <c r="E330" s="697" t="str">
        <f>IFERROR(__xludf.DUMMYFUNCTION("""COMPUTED_VALUE"""),"W. bancrofti")</f>
        <v>W. bancrofti</v>
      </c>
      <c r="F330" s="697" t="str">
        <f>IFERROR(__xludf.DUMMYFUNCTION("""COMPUTED_VALUE"""),"DEC")</f>
        <v>DEC</v>
      </c>
      <c r="G330" s="697" t="str">
        <f>IFERROR(__xludf.DUMMYFUNCTION("""COMPUTED_VALUE"""),"8mg/kg")</f>
        <v>8mg/kg</v>
      </c>
      <c r="H330" s="697" t="str">
        <f>IFERROR(__xludf.DUMMYFUNCTION("""COMPUTED_VALUE"""),"annual single dose (1 dose)")</f>
        <v>annual single dose (1 dose)</v>
      </c>
      <c r="I330" s="697" t="str">
        <f>IFERROR(__xludf.DUMMYFUNCTION("""COMPUTED_VALUE"""),"95.6%(6 months)-93.5%(12 months)")</f>
        <v>95.6%(6 months)-93.5%(12 months)</v>
      </c>
      <c r="J330" s="697" t="str">
        <f>IFERROR(__xludf.DUMMYFUNCTION("""COMPUTED_VALUE"""),"44.0%(6 months)-40.0% (12 months)")</f>
        <v>44.0%(6 months)-40.0% (12 months)</v>
      </c>
      <c r="K330" s="697"/>
      <c r="L330" s="697">
        <f>IFERROR(__xludf.DUMMYFUNCTION("""COMPUTED_VALUE"""),73.0)</f>
        <v>73</v>
      </c>
      <c r="M330" s="697" t="str">
        <f>IFERROR(__xludf.DUMMYFUNCTION("""COMPUTED_VALUE"""),"age 3 and above")</f>
        <v>age 3 and above</v>
      </c>
      <c r="N330" s="697" t="str">
        <f>IFERROR(__xludf.DUMMYFUNCTION("""COMPUTED_VALUE"""),"n/a")</f>
        <v>n/a</v>
      </c>
      <c r="O330" s="697" t="str">
        <f>IFERROR(__xludf.DUMMYFUNCTION("""COMPUTED_VALUE"""),"n/a")</f>
        <v>n/a</v>
      </c>
      <c r="P330" s="697" t="str">
        <f>IFERROR(__xludf.DUMMYFUNCTION("""COMPUTED_VALUE"""),"mass treatment")</f>
        <v>mass treatment</v>
      </c>
      <c r="Q330" s="697" t="str">
        <f>IFERROR(__xludf.DUMMYFUNCTION("""COMPUTED_VALUE"""),"n/a")</f>
        <v>n/a</v>
      </c>
      <c r="R330" s="697" t="str">
        <f>IFERROR(__xludf.DUMMYFUNCTION("""COMPUTED_VALUE"""),"n/a")</f>
        <v>n/a</v>
      </c>
      <c r="S330" s="697" t="str">
        <f>IFERROR(__xludf.DUMMYFUNCTION("""COMPUTED_VALUE"""),"6 and 12 months")</f>
        <v>6 and 12 months</v>
      </c>
      <c r="T330" s="697" t="str">
        <f>IFERROR(__xludf.DUMMYFUNCTION("""COMPUTED_VALUE"""),"""The comparison between the annual single-dose treatment at 6 mg/kg and the six-monthly two doses/year treatment at the same dosage (total 12 mg/kg/year) showed that the latter had little advantage over the former, thus indicating the effectiveness of th"&amp;"e single-dose treatment for longer than six months.""")</f>
        <v>"The comparison between the annual single-dose treatment at 6 mg/kg and the six-monthly two doses/year treatment at the same dosage (total 12 mg/kg/year) showed that the latter had little advantage over the former, thus indicating the effectiveness of the single-dose treatment for longer than six months."</v>
      </c>
      <c r="U330" s="697"/>
      <c r="V330" s="697" t="str">
        <f>IFERROR(__xludf.DUMMYFUNCTION("""COMPUTED_VALUE"""),"1979-1983")</f>
        <v>1979-1983</v>
      </c>
      <c r="W330" s="697">
        <f>IFERROR(__xludf.DUMMYFUNCTION("""COMPUTED_VALUE"""),1983.0)</f>
        <v>1983</v>
      </c>
      <c r="X330" s="697" t="str">
        <f>IFERROR(__xludf.DUMMYFUNCTION("""COMPUTED_VALUE"""),"Kumar A and Sachan P. Measuring impact on filarial infection status in a community study: Role of coverage of mass drug administration (MDA). Tropical Biomedicine 2014; 31(2): 225-229.")</f>
        <v>Kumar A and Sachan P. Measuring impact on filarial infection status in a community study: Role of coverage of mass drug administration (MDA). Tropical Biomedicine 2014; 31(2): 225-229.</v>
      </c>
      <c r="Y330" s="697" t="str">
        <f>IFERROR(__xludf.DUMMYFUNCTION("""COMPUTED_VALUE"""),"PMID: 25134893")</f>
        <v>PMID: 25134893</v>
      </c>
      <c r="Z330" s="865" t="str">
        <f>IFERROR(__xludf.DUMMYFUNCTION("""COMPUTED_VALUE"""),"https://drive.google.com/file/d/0B4sJPAkX0Jo3VEhYbXRMSEwwTG8/view?usp=sharing")</f>
        <v>https://drive.google.com/file/d/0B4sJPAkX0Jo3VEhYbXRMSEwwTG8/view?usp=sharing</v>
      </c>
      <c r="AA330" s="697" t="str">
        <f>IFERROR(__xludf.DUMMYFUNCTION("""COMPUTED_VALUE"""),"x")</f>
        <v>x</v>
      </c>
    </row>
    <row r="331">
      <c r="A331" s="697" t="str">
        <f>IFERROR(__xludf.DUMMYFUNCTION("""COMPUTED_VALUE"""),"Hewitt 1950")</f>
        <v>Hewitt 1950</v>
      </c>
      <c r="B331" s="697"/>
      <c r="C331" s="697" t="str">
        <f>IFERROR(__xludf.DUMMYFUNCTION("""COMPUTED_VALUE"""),"Mahvish")</f>
        <v>Mahvish</v>
      </c>
      <c r="D331" s="697" t="str">
        <f>IFERROR(__xludf.DUMMYFUNCTION("""COMPUTED_VALUE"""),"Vanuatu")</f>
        <v>Vanuatu</v>
      </c>
      <c r="E331" s="697"/>
      <c r="F331" s="697" t="str">
        <f>IFERROR(__xludf.DUMMYFUNCTION("""COMPUTED_VALUE"""),"Albendazole &amp; DEC")</f>
        <v>Albendazole &amp; DEC</v>
      </c>
      <c r="G331" s="697" t="str">
        <f>IFERROR(__xludf.DUMMYFUNCTION("""COMPUTED_VALUE"""),"""albendazole (one 400-mg tablet) and DEC (50-mg tablets based on age as follows: 2–9 years of age, 2 tablets; 10–19 years of age, 5 tablets; 20–29 years of age, 7 tablets; 30–59 years of age, 8 tablets;  60 years of age, 7 tablets)""")</f>
        <v>"albendazole (one 400-mg tablet) and DEC (50-mg tablets based on age as follows: 2–9 years of age, 2 tablets; 10–19 years of age, 5 tablets; 20–29 years of age, 7 tablets; 30–59 years of age, 8 tablets;  60 years of age, 7 tablets)"</v>
      </c>
      <c r="H331" s="697" t="str">
        <f>IFERROR(__xludf.DUMMYFUNCTION("""COMPUTED_VALUE"""),"annually for five years from 2000 to 2004")</f>
        <v>annually for five years from 2000 to 2004</v>
      </c>
      <c r="I331" s="700">
        <f>IFERROR(__xludf.DUMMYFUNCTION("""COMPUTED_VALUE"""),0.93)</f>
        <v>0.93</v>
      </c>
      <c r="J331" s="697"/>
      <c r="K331" s="697"/>
      <c r="L331" s="697">
        <f>IFERROR(__xludf.DUMMYFUNCTION("""COMPUTED_VALUE"""),561.0)</f>
        <v>561</v>
      </c>
      <c r="M331" s="697" t="str">
        <f>IFERROR(__xludf.DUMMYFUNCTION("""COMPUTED_VALUE"""),"2 and above")</f>
        <v>2 and above</v>
      </c>
      <c r="N331" s="697" t="str">
        <f>IFERROR(__xludf.DUMMYFUNCTION("""COMPUTED_VALUE"""),"n/a")</f>
        <v>n/a</v>
      </c>
      <c r="O331" s="697" t="str">
        <f>IFERROR(__xludf.DUMMYFUNCTION("""COMPUTED_VALUE"""),"""All participants had a 100-L blood sample taken during the day for the detection of W. bancrofti antigen using Binax (Portland, ME) immunochromatographic card tests (ICTs)
and results were read at 10 minutes. All cases with a positive ICT result had an "&amp;"additional 60-L night blood sample taken for detection of MF using the three-line blood smear method of Sasa.4 Blood was taken from finger pricks between 9:00 PM and midnight to coincide with the peak circulation time of the MF. Participants were also ask"&amp;"ed whether they normally used a bed net and whether they had used a bed net the previous night to ascertain the extent of bed net use. All participants testing positive in the antigen test were treated with albendazole and DEC....(pregnant women, babies l"&amp;"ess than two years of age, and sick and elderly individuals were excluded)""")</f>
        <v>"All participants had a 100-L blood sample taken during the day for the detection of W. bancrofti antigen using Binax (Portland, ME) immunochromatographic card tests (ICTs)
and results were read at 10 minutes. All cases with a positive ICT result had an additional 60-L night blood sample taken for detection of MF using the three-line blood smear method of Sasa.4 Blood was taken from finger pricks between 9:00 PM and midnight to coincide with the peak circulation time of the MF. Participants were also asked whether they normally used a bed net and whether they had used a bed net the previous night to ascertain the extent of bed net use. All participants testing positive in the antigen test were treated with albendazole and DEC....(pregnant women, babies less than two years of age, and sick and elderly individuals were excluded)"</v>
      </c>
      <c r="P331" s="697" t="str">
        <f>IFERROR(__xludf.DUMMYFUNCTION("""COMPUTED_VALUE"""),"MDA")</f>
        <v>MDA</v>
      </c>
      <c r="Q331" s="697" t="str">
        <f>IFERROR(__xludf.DUMMYFUNCTION("""COMPUTED_VALUE"""),"n/a")</f>
        <v>n/a</v>
      </c>
      <c r="R331" s="697" t="str">
        <f>IFERROR(__xludf.DUMMYFUNCTION("""COMPUTED_VALUE"""),"n/a")</f>
        <v>n/a</v>
      </c>
      <c r="S331" s="697" t="str">
        <f>IFERROR(__xludf.DUMMYFUNCTION("""COMPUTED_VALUE"""),"year 5")</f>
        <v>year 5</v>
      </c>
      <c r="T331" s="697" t="str">
        <f>IFERROR(__xludf.DUMMYFUNCTION("""COMPUTED_VALUE"""),"""The results of this midterm evaluation show high coverage was maintained for the first two years of this campaign and resulted in a significant decrease in antigen prevalence, as well as MF prevalence and intensity of microfilaremia due to W. bancrofti."&amp;"""")</f>
        <v>"The results of this midterm evaluation show high coverage was maintained for the first two years of this campaign and resulted in a significant decrease in antigen prevalence, as well as MF prevalence and intensity of microfilaremia due to W. bancrofti."</v>
      </c>
      <c r="U331" s="697"/>
      <c r="V331" s="697" t="str">
        <f>IFERROR(__xludf.DUMMYFUNCTION("""COMPUTED_VALUE"""),"2000-2004")</f>
        <v>2000-2004</v>
      </c>
      <c r="W331" s="697">
        <f>IFERROR(__xludf.DUMMYFUNCTION("""COMPUTED_VALUE"""),2004.0)</f>
        <v>2004</v>
      </c>
      <c r="X331" s="697" t="str">
        <f>IFERROR(__xludf.DUMMYFUNCTION("""COMPUTED_VALUE"""),"Hewitt RI, White E, Hewitt DB, Hardy SM, Wallace WS, and Anduze R. The First Year's Results of Mass Treatment Program with Hetrazan for the Control of Bancroftian Filariasis on St. Crox, American Virgin Islands. Am J Trop Med Hyg 1950; 30(3):443-452.")</f>
        <v>Hewitt RI, White E, Hewitt DB, Hardy SM, Wallace WS, and Anduze R. The First Year's Results of Mass Treatment Program with Hetrazan for the Control of Bancroftian Filariasis on St. Crox, American Virgin Islands. Am J Trop Med Hyg 1950; 30(3):443-452.</v>
      </c>
      <c r="Y331" s="697" t="str">
        <f>IFERROR(__xludf.DUMMYFUNCTION("""COMPUTED_VALUE"""),"PMID: 15425734")</f>
        <v>PMID: 15425734</v>
      </c>
      <c r="Z331" s="865" t="str">
        <f>IFERROR(__xludf.DUMMYFUNCTION("""COMPUTED_VALUE"""),"https://drive.google.com/file/d/0B0-pry4DSOm3OW8zb20tbzJmams/view?usp=sharing")</f>
        <v>https://drive.google.com/file/d/0B0-pry4DSOm3OW8zb20tbzJmams/view?usp=sharing</v>
      </c>
      <c r="AA331" s="697" t="str">
        <f>IFERROR(__xludf.DUMMYFUNCTION("""COMPUTED_VALUE"""),"x")</f>
        <v>x</v>
      </c>
    </row>
    <row r="332">
      <c r="A332" s="697" t="str">
        <f>IFERROR(__xludf.DUMMYFUNCTION("""COMPUTED_VALUE"""),"Davis 1969")</f>
        <v>Davis 1969</v>
      </c>
      <c r="B332" s="697"/>
      <c r="C332" s="697" t="str">
        <f>IFERROR(__xludf.DUMMYFUNCTION("""COMPUTED_VALUE"""),"Mahvish")</f>
        <v>Mahvish</v>
      </c>
      <c r="D332" s="697" t="str">
        <f>IFERROR(__xludf.DUMMYFUNCTION("""COMPUTED_VALUE"""),"Tanzania")</f>
        <v>Tanzania</v>
      </c>
      <c r="E332" s="697" t="str">
        <f>IFERROR(__xludf.DUMMYFUNCTION("""COMPUTED_VALUE"""),"W. bancrofti")</f>
        <v>W. bancrofti</v>
      </c>
      <c r="F332" s="697" t="str">
        <f>IFERROR(__xludf.DUMMYFUNCTION("""COMPUTED_VALUE"""),"DEC")</f>
        <v>DEC</v>
      </c>
      <c r="G332" s="697" t="str">
        <f>IFERROR(__xludf.DUMMYFUNCTION("""COMPUTED_VALUE"""),"0.1 % (wlw) concentration; 10 g of drug in 10 kg of salt; daily ration of salt was 1/2 oz (ca 14 g) per head plus an indeterminate amount used in central cooking procedures.")</f>
        <v>0.1 % (wlw) concentration; 10 g of drug in 10 kg of salt; daily ration of salt was 1/2 oz (ca 14 g) per head plus an indeterminate amount used in central cooking procedures.</v>
      </c>
      <c r="H332" s="697" t="str">
        <f>IFERROR(__xludf.DUMMYFUNCTION("""COMPUTED_VALUE"""),"daily for 6 months")</f>
        <v>daily for 6 months</v>
      </c>
      <c r="I332" s="697" t="str">
        <f>IFERROR(__xludf.DUMMYFUNCTION("""COMPUTED_VALUE"""),"73% at 3 months and 90% after 6 months")</f>
        <v>73% at 3 months and 90% after 6 months</v>
      </c>
      <c r="J332" s="697"/>
      <c r="K332" s="697"/>
      <c r="L332" s="697" t="str">
        <f>IFERROR(__xludf.DUMMYFUNCTION("""COMPUTED_VALUE"""),"600-700")</f>
        <v>600-700</v>
      </c>
      <c r="M332" s="697" t="str">
        <f>IFERROR(__xludf.DUMMYFUNCTION("""COMPUTED_VALUE"""),"n/a")</f>
        <v>n/a</v>
      </c>
      <c r="N332" s="697" t="str">
        <f>IFERROR(__xludf.DUMMYFUNCTION("""COMPUTED_VALUE"""),"100% M")</f>
        <v>100% M</v>
      </c>
      <c r="O332" s="697" t="str">
        <f>IFERROR(__xludf.DUMMYFUNCTION("""COMPUTED_VALUE"""),"""The microfilarial carriers were male prisoners at a large regional prison near Tanga, Tanzania, normally holding between 600 and 700 inmates. Detainees were drawn from a wide area of East Africa and did not necessarily reflect either the incidence or th"&amp;"e density of infection in the local population of Tanga. Meetings were held with the prisoners, the plan of the trial explained and their voluntary cooperation was obtained.""")</f>
        <v>"The microfilarial carriers were male prisoners at a large regional prison near Tanga, Tanzania, normally holding between 600 and 700 inmates. Detainees were drawn from a wide area of East Africa and did not necessarily reflect either the incidence or the density of infection in the local population of Tanga. Meetings were held with the prisoners, the plan of the trial explained and their voluntary cooperation was obtained."</v>
      </c>
      <c r="P332" s="697" t="str">
        <f>IFERROR(__xludf.DUMMYFUNCTION("""COMPUTED_VALUE"""),"mass treatment")</f>
        <v>mass treatment</v>
      </c>
      <c r="Q332" s="697" t="str">
        <f>IFERROR(__xludf.DUMMYFUNCTION("""COMPUTED_VALUE"""),"n/a")</f>
        <v>n/a</v>
      </c>
      <c r="R332" s="697" t="str">
        <f>IFERROR(__xludf.DUMMYFUNCTION("""COMPUTED_VALUE"""),"n/a")</f>
        <v>n/a</v>
      </c>
      <c r="S332" s="697" t="str">
        <f>IFERROR(__xludf.DUMMYFUNCTION("""COMPUTED_VALUE"""),"6 months")</f>
        <v>6 months</v>
      </c>
      <c r="T332" s="697" t="str">
        <f>IFERROR(__xludf.DUMMYFUNCTION("""COMPUTED_VALUE"""),"""Repeated microfilarial surveys demonstrated that the compound was undoubtedly effective in reducing the total microfilarial reservoir of this sample although relatively ineffective in complete eradication of parasitaemia.""")</f>
        <v>"Repeated microfilarial surveys demonstrated that the compound was undoubtedly effective in reducing the total microfilarial reservoir of this sample although relatively ineffective in complete eradication of parasitaemia."</v>
      </c>
      <c r="U332" s="697"/>
      <c r="V332" s="697">
        <f>IFERROR(__xludf.DUMMYFUNCTION("""COMPUTED_VALUE"""),1969.0)</f>
        <v>1969</v>
      </c>
      <c r="W332" s="697">
        <f>IFERROR(__xludf.DUMMYFUNCTION("""COMPUTED_VALUE"""),1969.0)</f>
        <v>1969</v>
      </c>
      <c r="X332" s="697" t="str">
        <f>IFERROR(__xludf.DUMMYFUNCTION("""COMPUTED_VALUE"""),"Davis A and Bailey DR. The Effect of Salt Medicated with Diethylcarbamazine in Bancroftian Filariasis. Bull. Org. mond. Sante Bull. Wld Hlth Org 1969; 41: 195-208. ")</f>
        <v>Davis A and Bailey DR. The Effect of Salt Medicated with Diethylcarbamazine in Bancroftian Filariasis. Bull. Org. mond. Sante Bull. Wld Hlth Org 1969; 41: 195-208. </v>
      </c>
      <c r="Y332" s="697" t="str">
        <f>IFERROR(__xludf.DUMMYFUNCTION("""COMPUTED_VALUE"""),"PMCID: PMC2427415")</f>
        <v>PMCID: PMC2427415</v>
      </c>
      <c r="Z332" s="865" t="str">
        <f>IFERROR(__xludf.DUMMYFUNCTION("""COMPUTED_VALUE"""),"https://drive.google.com/file/d/0By3QPyQz621GV2pGZUNia0FseTA/view?usp=sharing")</f>
        <v>https://drive.google.com/file/d/0By3QPyQz621GV2pGZUNia0FseTA/view?usp=sharing</v>
      </c>
      <c r="AA332" s="697" t="str">
        <f>IFERROR(__xludf.DUMMYFUNCTION("""COMPUTED_VALUE"""),"x")</f>
        <v>x</v>
      </c>
    </row>
    <row r="333">
      <c r="A333" s="697" t="str">
        <f>IFERROR(__xludf.DUMMYFUNCTION("""COMPUTED_VALUE"""),"Bockarie 2002")</f>
        <v>Bockarie 2002</v>
      </c>
      <c r="B333" s="697"/>
      <c r="C333" s="697" t="str">
        <f>IFERROR(__xludf.DUMMYFUNCTION("""COMPUTED_VALUE"""),"Mahvish")</f>
        <v>Mahvish</v>
      </c>
      <c r="D333" s="697" t="str">
        <f>IFERROR(__xludf.DUMMYFUNCTION("""COMPUTED_VALUE"""),"New Guinea")</f>
        <v>New Guinea</v>
      </c>
      <c r="E333" s="697" t="str">
        <f>IFERROR(__xludf.DUMMYFUNCTION("""COMPUTED_VALUE"""),"W. bancrofti")</f>
        <v>W. bancrofti</v>
      </c>
      <c r="F333" s="697" t="str">
        <f>IFERROR(__xludf.DUMMYFUNCTION("""COMPUTED_VALUE"""),"DEC")</f>
        <v>DEC</v>
      </c>
      <c r="G333" s="697" t="str">
        <f>IFERROR(__xludf.DUMMYFUNCTION("""COMPUTED_VALUE"""),"6mg/kg")</f>
        <v>6mg/kg</v>
      </c>
      <c r="H333" s="697" t="str">
        <f>IFERROR(__xludf.DUMMYFUNCTION("""COMPUTED_VALUE"""),"four annual treatments ")</f>
        <v>four annual treatments </v>
      </c>
      <c r="I333" s="697"/>
      <c r="J333" s="697"/>
      <c r="K333" s="697"/>
      <c r="L333" s="697" t="str">
        <f>IFERROR(__xludf.DUMMYFUNCTION("""COMPUTED_VALUE"""),"""A total of 2586 persons were eligible to take antifilarial drugs in 1994, 2668 were eligible in 1995, 2695 were eligible in 1996, and 2690 were eligible in 1997.""")</f>
        <v>"A total of 2586 persons were eligible to take antifilarial drugs in 1994, 2668 were eligible in 1995, 2695 were eligible in 1996, and 2690 were eligible in 1997."</v>
      </c>
      <c r="M333" s="697" t="str">
        <f>IFERROR(__xludf.DUMMYFUNCTION("""COMPUTED_VALUE"""),"5 years and above")</f>
        <v>5 years and above</v>
      </c>
      <c r="N333" s="697" t="str">
        <f>IFERROR(__xludf.DUMMYFUNCTION("""COMPUTED_VALUE"""),"n/a")</f>
        <v>n/a</v>
      </c>
      <c r="O333" s="697" t="str">
        <f>IFERROR(__xludf.DUMMYFUNCTION("""COMPUTED_VALUE"""),"""Consent for the participation of subjects who were 16 years old or younger was obtained from a parent or guardian. Only persons who were at least five years old were eligible to receive drugs. Children who reached their fifth birthday within the 12-mont"&amp;"h period preceding an annual treatment were given their first treatment at that time. Pregnant women were excluded from receiving the drugs, because ivermectin cannot be used during pregnancy.""")</f>
        <v>"Consent for the participation of subjects who were 16 years old or younger was obtained from a parent or guardian. Only persons who were at least five years old were eligible to receive drugs. Children who reached their fifth birthday within the 12-month period preceding an annual treatment were given their first treatment at that time. Pregnant women were excluded from receiving the drugs, because ivermectin cannot be used during pregnancy."</v>
      </c>
      <c r="P333" s="697" t="str">
        <f>IFERROR(__xludf.DUMMYFUNCTION("""COMPUTED_VALUE"""),"mass treatment")</f>
        <v>mass treatment</v>
      </c>
      <c r="Q333" s="697" t="str">
        <f>IFERROR(__xludf.DUMMYFUNCTION("""COMPUTED_VALUE"""),"n/a")</f>
        <v>n/a</v>
      </c>
      <c r="R333" s="697" t="str">
        <f>IFERROR(__xludf.DUMMYFUNCTION("""COMPUTED_VALUE"""),"yes")</f>
        <v>yes</v>
      </c>
      <c r="S333" s="697" t="str">
        <f>IFERROR(__xludf.DUMMYFUNCTION("""COMPUTED_VALUE"""),"year 4")</f>
        <v>year 4</v>
      </c>
      <c r="T333" s="697" t="str">
        <f>IFERROR(__xludf.DUMMYFUNCTION("""COMPUTED_VALUE"""),"""Annual mass treatment with drugs such as diethylcarbamazine can virtually eliminate the
reservoir of microfilariae and greatly reduce the frequency of clinical lymphatic abnormalities due to bancroftian filariasis. Eradication may be possible in areas w"&amp;"ith moderate rates of transmission, but longer periods of treatment or additional control measures may be necessary in areas with high rates of transmission.""")</f>
        <v>"Annual mass treatment with drugs such as diethylcarbamazine can virtually eliminate the
reservoir of microfilariae and greatly reduce the frequency of clinical lymphatic abnormalities due to bancroftian filariasis. Eradication may be possible in areas with moderate rates of transmission, but longer periods of treatment or additional control measures may be necessary in areas with high rates of transmission."</v>
      </c>
      <c r="U333" s="697" t="str">
        <f>IFERROR(__xludf.DUMMYFUNCTION("""COMPUTED_VALUE"""),"requires calculation of MF reduction")</f>
        <v>requires calculation of MF reduction</v>
      </c>
      <c r="V333" s="697" t="str">
        <f>IFERROR(__xludf.DUMMYFUNCTION("""COMPUTED_VALUE"""),"1994-1998")</f>
        <v>1994-1998</v>
      </c>
      <c r="W333" s="697">
        <f>IFERROR(__xludf.DUMMYFUNCTION("""COMPUTED_VALUE"""),1998.0)</f>
        <v>1998</v>
      </c>
      <c r="X333" s="697" t="str">
        <f>IFERROR(__xludf.DUMMYFUNCTION("""COMPUTED_VALUE"""),"Bockarie MJ, Tisch DJ, Kastens W, Alexander NDE, Dimber Z, Bockarie F, et al. Mass Treatment to Eliminate Filariasis in Papua Guinea. The New England Journal of Medicine 2002; 347: 1841-1848.")</f>
        <v>Bockarie MJ, Tisch DJ, Kastens W, Alexander NDE, Dimber Z, Bockarie F, et al. Mass Treatment to Eliminate Filariasis in Papua Guinea. The New England Journal of Medicine 2002; 347: 1841-1848.</v>
      </c>
      <c r="Y333" s="697" t="str">
        <f>IFERROR(__xludf.DUMMYFUNCTION("""COMPUTED_VALUE"""),"DOI: 10.1056/NEJMoa021309")</f>
        <v>DOI: 10.1056/NEJMoa021309</v>
      </c>
      <c r="Z333" s="865" t="str">
        <f>IFERROR(__xludf.DUMMYFUNCTION("""COMPUTED_VALUE"""),"https://drive.google.com/file/d/0B0-pry4DSOm3UktBNksxalJidk0/view?usp=sharing")</f>
        <v>https://drive.google.com/file/d/0B0-pry4DSOm3UktBNksxalJidk0/view?usp=sharing</v>
      </c>
      <c r="AA333" s="697" t="str">
        <f>IFERROR(__xludf.DUMMYFUNCTION("""COMPUTED_VALUE"""),"x")</f>
        <v>x</v>
      </c>
    </row>
    <row r="334">
      <c r="A334" s="697" t="str">
        <f>IFERROR(__xludf.DUMMYFUNCTION("""COMPUTED_VALUE"""),"Bockarie 2002")</f>
        <v>Bockarie 2002</v>
      </c>
      <c r="B334" s="697"/>
      <c r="C334" s="697" t="str">
        <f>IFERROR(__xludf.DUMMYFUNCTION("""COMPUTED_VALUE"""),"Mahvish")</f>
        <v>Mahvish</v>
      </c>
      <c r="D334" s="697" t="str">
        <f>IFERROR(__xludf.DUMMYFUNCTION("""COMPUTED_VALUE"""),"Guinea")</f>
        <v>Guinea</v>
      </c>
      <c r="E334" s="697" t="str">
        <f>IFERROR(__xludf.DUMMYFUNCTION("""COMPUTED_VALUE"""),"W. bancrofti")</f>
        <v>W. bancrofti</v>
      </c>
      <c r="F334" s="697" t="str">
        <f>IFERROR(__xludf.DUMMYFUNCTION("""COMPUTED_VALUE"""),"DEC &amp; Ivermectin")</f>
        <v>DEC &amp; Ivermectin</v>
      </c>
      <c r="G334" s="697" t="str">
        <f>IFERROR(__xludf.DUMMYFUNCTION("""COMPUTED_VALUE"""),"6mg/kg + 400 μg per kilogram")</f>
        <v>6mg/kg + 400 μg per kilogram</v>
      </c>
      <c r="H334" s="697" t="str">
        <f>IFERROR(__xludf.DUMMYFUNCTION("""COMPUTED_VALUE"""),"four annual treatments ")</f>
        <v>four annual treatments </v>
      </c>
      <c r="I334" s="697"/>
      <c r="J334" s="697"/>
      <c r="K334" s="697"/>
      <c r="L334" s="697" t="str">
        <f>IFERROR(__xludf.DUMMYFUNCTION("""COMPUTED_VALUE"""),"""A total of 2586 persons were eligible to take antifilarial drugs in 1994, 2668 were eligible in 1995, 2695 were eligible in 1996, and 2690 were eligible in 1997.""")</f>
        <v>"A total of 2586 persons were eligible to take antifilarial drugs in 1994, 2668 were eligible in 1995, 2695 were eligible in 1996, and 2690 were eligible in 1997."</v>
      </c>
      <c r="M334" s="697" t="str">
        <f>IFERROR(__xludf.DUMMYFUNCTION("""COMPUTED_VALUE"""),"5 years and above")</f>
        <v>5 years and above</v>
      </c>
      <c r="N334" s="697" t="str">
        <f>IFERROR(__xludf.DUMMYFUNCTION("""COMPUTED_VALUE"""),"n/a")</f>
        <v>n/a</v>
      </c>
      <c r="O334" s="697" t="str">
        <f>IFERROR(__xludf.DUMMYFUNCTION("""COMPUTED_VALUE"""),"""Consent for the participation of subjects who were 16 years old or younger was obtained from a parent or guardian. Only persons who were at least five years old were eligible to receive drugs. Children who reached their fifth birthday within the 12-mont"&amp;"h period preceding an annual treatment were given their first treatment at that time. Pregnant women were excluded from receiving the drugs, because ivermectin cannot be used during pregnancy.""")</f>
        <v>"Consent for the participation of subjects who were 16 years old or younger was obtained from a parent or guardian. Only persons who were at least five years old were eligible to receive drugs. Children who reached their fifth birthday within the 12-month period preceding an annual treatment were given their first treatment at that time. Pregnant women were excluded from receiving the drugs, because ivermectin cannot be used during pregnancy."</v>
      </c>
      <c r="P334" s="697" t="str">
        <f>IFERROR(__xludf.DUMMYFUNCTION("""COMPUTED_VALUE"""),"mass treatment")</f>
        <v>mass treatment</v>
      </c>
      <c r="Q334" s="697" t="str">
        <f>IFERROR(__xludf.DUMMYFUNCTION("""COMPUTED_VALUE"""),"n/a")</f>
        <v>n/a</v>
      </c>
      <c r="R334" s="697" t="str">
        <f>IFERROR(__xludf.DUMMYFUNCTION("""COMPUTED_VALUE"""),"yes")</f>
        <v>yes</v>
      </c>
      <c r="S334" s="697" t="str">
        <f>IFERROR(__xludf.DUMMYFUNCTION("""COMPUTED_VALUE"""),"year 4")</f>
        <v>year 4</v>
      </c>
      <c r="T334" s="697" t="str">
        <f>IFERROR(__xludf.DUMMYFUNCTION("""COMPUTED_VALUE"""),"""Annual mass treatment with drugs such as diethylcarbamazine can virtually eliminate the
reservoir of microfilariae and greatly reduce the frequency of clinical lymphatic abnormalities due to bancroftian filariasis. Eradication may be possible in areas w"&amp;"ith moderate rates of transmission, but longer periods of treatment or additional control measures may be necessary in areas with high rates of transmission.""")</f>
        <v>"Annual mass treatment with drugs such as diethylcarbamazine can virtually eliminate the
reservoir of microfilariae and greatly reduce the frequency of clinical lymphatic abnormalities due to bancroftian filariasis. Eradication may be possible in areas with moderate rates of transmission, but longer periods of treatment or additional control measures may be necessary in areas with high rates of transmission."</v>
      </c>
      <c r="U334" s="697" t="str">
        <f>IFERROR(__xludf.DUMMYFUNCTION("""COMPUTED_VALUE"""),"requires calculation of MF reduction")</f>
        <v>requires calculation of MF reduction</v>
      </c>
      <c r="V334" s="697" t="str">
        <f>IFERROR(__xludf.DUMMYFUNCTION("""COMPUTED_VALUE"""),"1994-1998")</f>
        <v>1994-1998</v>
      </c>
      <c r="W334" s="697">
        <f>IFERROR(__xludf.DUMMYFUNCTION("""COMPUTED_VALUE"""),1998.0)</f>
        <v>1998</v>
      </c>
      <c r="X334" s="697" t="str">
        <f>IFERROR(__xludf.DUMMYFUNCTION("""COMPUTED_VALUE"""),"Bockarie MJ, Tisch DJ, Kastens W, Alexander NDE, Dimber Z, Bockarie F, et al. Mass Treatment to Eliminate Filariasis in Papua Guinea. The New England Journal of Medicine 2002; 347: 1841-1848.")</f>
        <v>Bockarie MJ, Tisch DJ, Kastens W, Alexander NDE, Dimber Z, Bockarie F, et al. Mass Treatment to Eliminate Filariasis in Papua Guinea. The New England Journal of Medicine 2002; 347: 1841-1848.</v>
      </c>
      <c r="Y334" s="697" t="str">
        <f>IFERROR(__xludf.DUMMYFUNCTION("""COMPUTED_VALUE"""),"DOI: 10.1056/NEJMoa021310")</f>
        <v>DOI: 10.1056/NEJMoa021310</v>
      </c>
      <c r="Z334" s="865" t="str">
        <f>IFERROR(__xludf.DUMMYFUNCTION("""COMPUTED_VALUE"""),"https://drive.google.com/file/d/0B0-pry4DSOm3UktBNksxalJidk0/view?usp=sharing")</f>
        <v>https://drive.google.com/file/d/0B0-pry4DSOm3UktBNksxalJidk0/view?usp=sharing</v>
      </c>
      <c r="AA334" s="697" t="str">
        <f>IFERROR(__xludf.DUMMYFUNCTION("""COMPUTED_VALUE"""),"x")</f>
        <v>x</v>
      </c>
    </row>
    <row r="335">
      <c r="Z335" s="863"/>
    </row>
    <row r="336">
      <c r="Z336" s="863"/>
    </row>
    <row r="337">
      <c r="Z337" s="863"/>
    </row>
    <row r="338">
      <c r="Z338" s="863"/>
    </row>
    <row r="339">
      <c r="Z339" s="863"/>
    </row>
    <row r="340">
      <c r="Z340" s="863"/>
    </row>
    <row r="341">
      <c r="Z341" s="863"/>
    </row>
    <row r="342">
      <c r="Z342" s="863"/>
    </row>
    <row r="343">
      <c r="Z343" s="863"/>
    </row>
    <row r="344">
      <c r="Z344" s="863"/>
    </row>
    <row r="345">
      <c r="Z345" s="863"/>
    </row>
    <row r="346">
      <c r="Z346" s="863"/>
    </row>
    <row r="347">
      <c r="Z347" s="863"/>
    </row>
    <row r="348">
      <c r="Z348" s="863"/>
    </row>
    <row r="349">
      <c r="Z349" s="863"/>
    </row>
    <row r="350">
      <c r="Z350" s="863"/>
    </row>
    <row r="351">
      <c r="Z351" s="863"/>
    </row>
    <row r="352">
      <c r="Z352" s="863"/>
    </row>
    <row r="353">
      <c r="Z353" s="863"/>
    </row>
    <row r="354">
      <c r="Z354" s="863"/>
    </row>
    <row r="355">
      <c r="Z355" s="863"/>
    </row>
    <row r="356">
      <c r="Z356" s="863"/>
    </row>
    <row r="357">
      <c r="Z357" s="863"/>
    </row>
    <row r="358">
      <c r="Z358" s="863"/>
    </row>
    <row r="359">
      <c r="Z359" s="863"/>
    </row>
    <row r="360">
      <c r="Z360" s="863"/>
    </row>
    <row r="361">
      <c r="Z361" s="863"/>
    </row>
    <row r="362">
      <c r="Z362" s="863"/>
    </row>
    <row r="363">
      <c r="Z363" s="863"/>
    </row>
    <row r="364">
      <c r="Z364" s="863"/>
    </row>
    <row r="365">
      <c r="Z365" s="863"/>
    </row>
    <row r="366">
      <c r="Z366" s="863"/>
    </row>
    <row r="367">
      <c r="Z367" s="863"/>
    </row>
    <row r="368">
      <c r="Z368" s="863"/>
    </row>
    <row r="369">
      <c r="Z369" s="863"/>
    </row>
    <row r="370">
      <c r="Z370" s="863"/>
    </row>
    <row r="371">
      <c r="Z371" s="863"/>
    </row>
    <row r="372">
      <c r="Z372" s="863"/>
    </row>
    <row r="373">
      <c r="Z373" s="863"/>
    </row>
    <row r="374">
      <c r="Z374" s="863"/>
    </row>
    <row r="375">
      <c r="Z375" s="863"/>
    </row>
    <row r="376">
      <c r="Z376" s="863"/>
    </row>
    <row r="377">
      <c r="Z377" s="863"/>
    </row>
    <row r="378">
      <c r="Z378" s="863"/>
    </row>
    <row r="379">
      <c r="Z379" s="863"/>
    </row>
    <row r="380">
      <c r="Z380" s="863"/>
    </row>
    <row r="381">
      <c r="Z381" s="863"/>
    </row>
    <row r="382">
      <c r="Z382" s="863"/>
    </row>
    <row r="383">
      <c r="Z383" s="863"/>
    </row>
    <row r="384">
      <c r="Z384" s="863"/>
    </row>
    <row r="385">
      <c r="Z385" s="863"/>
    </row>
    <row r="386">
      <c r="Z386" s="863"/>
    </row>
    <row r="387">
      <c r="Z387" s="863"/>
    </row>
    <row r="388">
      <c r="Z388" s="863"/>
    </row>
    <row r="389">
      <c r="Z389" s="863"/>
    </row>
    <row r="390">
      <c r="Z390" s="863"/>
    </row>
    <row r="391">
      <c r="Z391" s="863"/>
    </row>
    <row r="392">
      <c r="Z392" s="863"/>
    </row>
    <row r="393">
      <c r="Z393" s="863"/>
    </row>
    <row r="394">
      <c r="Z394" s="863"/>
    </row>
    <row r="395">
      <c r="Z395" s="863"/>
    </row>
    <row r="396">
      <c r="Z396" s="863"/>
    </row>
    <row r="397">
      <c r="Z397" s="863"/>
    </row>
    <row r="398">
      <c r="Z398" s="863"/>
    </row>
    <row r="399">
      <c r="Z399" s="863"/>
    </row>
    <row r="400">
      <c r="Z400" s="863"/>
    </row>
    <row r="401">
      <c r="Z401" s="863"/>
    </row>
    <row r="402">
      <c r="Z402" s="863"/>
    </row>
    <row r="403">
      <c r="Z403" s="863"/>
    </row>
    <row r="404">
      <c r="Z404" s="863"/>
    </row>
    <row r="405">
      <c r="Z405" s="863"/>
    </row>
    <row r="406">
      <c r="Z406" s="863"/>
    </row>
    <row r="407">
      <c r="Z407" s="863"/>
    </row>
    <row r="408">
      <c r="Z408" s="863"/>
    </row>
    <row r="409">
      <c r="Z409" s="863"/>
    </row>
    <row r="410">
      <c r="Z410" s="863"/>
    </row>
    <row r="411">
      <c r="Z411" s="863"/>
    </row>
    <row r="412">
      <c r="Z412" s="863"/>
    </row>
    <row r="413">
      <c r="Z413" s="863"/>
    </row>
    <row r="414">
      <c r="Z414" s="863"/>
    </row>
    <row r="415">
      <c r="Z415" s="863"/>
    </row>
    <row r="416">
      <c r="Z416" s="863"/>
    </row>
    <row r="417">
      <c r="Z417" s="863"/>
    </row>
    <row r="418">
      <c r="Z418" s="863"/>
    </row>
    <row r="419">
      <c r="Z419" s="863"/>
    </row>
    <row r="420">
      <c r="Z420" s="863"/>
    </row>
    <row r="421">
      <c r="Z421" s="863"/>
    </row>
    <row r="422">
      <c r="Z422" s="863"/>
    </row>
    <row r="423">
      <c r="Z423" s="863"/>
    </row>
    <row r="424">
      <c r="Z424" s="863"/>
    </row>
    <row r="425">
      <c r="Z425" s="863"/>
    </row>
    <row r="426">
      <c r="Z426" s="863"/>
    </row>
    <row r="427">
      <c r="Z427" s="863"/>
    </row>
    <row r="428">
      <c r="Z428" s="863"/>
    </row>
    <row r="429">
      <c r="Z429" s="863"/>
    </row>
    <row r="430">
      <c r="Z430" s="863"/>
    </row>
    <row r="431">
      <c r="Z431" s="863"/>
    </row>
    <row r="432">
      <c r="Z432" s="863"/>
    </row>
    <row r="433">
      <c r="Z433" s="863"/>
    </row>
    <row r="434">
      <c r="Z434" s="863"/>
    </row>
    <row r="435">
      <c r="Z435" s="863"/>
    </row>
    <row r="436">
      <c r="Z436" s="863"/>
    </row>
    <row r="437">
      <c r="Z437" s="863"/>
    </row>
    <row r="438">
      <c r="Z438" s="863"/>
    </row>
    <row r="439">
      <c r="Z439" s="863"/>
    </row>
    <row r="440">
      <c r="Z440" s="863"/>
    </row>
    <row r="441">
      <c r="Z441" s="863"/>
    </row>
    <row r="442">
      <c r="Z442" s="863"/>
    </row>
    <row r="443">
      <c r="Z443" s="863"/>
    </row>
    <row r="444">
      <c r="Z444" s="863"/>
    </row>
    <row r="445">
      <c r="Z445" s="863"/>
    </row>
    <row r="446">
      <c r="Z446" s="863"/>
    </row>
    <row r="447">
      <c r="Z447" s="863"/>
    </row>
    <row r="448">
      <c r="Z448" s="863"/>
    </row>
    <row r="449">
      <c r="Z449" s="863"/>
    </row>
    <row r="450">
      <c r="Z450" s="863"/>
    </row>
    <row r="451">
      <c r="Z451" s="863"/>
    </row>
    <row r="452">
      <c r="Z452" s="863"/>
    </row>
    <row r="453">
      <c r="Z453" s="863"/>
    </row>
    <row r="454">
      <c r="Z454" s="863"/>
    </row>
    <row r="455">
      <c r="Z455" s="863"/>
    </row>
    <row r="456">
      <c r="Z456" s="863"/>
    </row>
    <row r="457">
      <c r="Z457" s="863"/>
    </row>
    <row r="458">
      <c r="Z458" s="863"/>
    </row>
    <row r="459">
      <c r="Z459" s="863"/>
    </row>
    <row r="460">
      <c r="Z460" s="863"/>
    </row>
    <row r="461">
      <c r="Z461" s="863"/>
    </row>
    <row r="462">
      <c r="Z462" s="863"/>
    </row>
    <row r="463">
      <c r="Z463" s="863"/>
    </row>
    <row r="464">
      <c r="Z464" s="863"/>
    </row>
    <row r="465">
      <c r="Z465" s="863"/>
    </row>
    <row r="466">
      <c r="Z466" s="863"/>
    </row>
    <row r="467">
      <c r="Z467" s="863"/>
    </row>
    <row r="468">
      <c r="Z468" s="863"/>
    </row>
    <row r="469">
      <c r="Z469" s="863"/>
    </row>
    <row r="470">
      <c r="Z470" s="863"/>
    </row>
    <row r="471">
      <c r="Z471" s="863"/>
    </row>
    <row r="472">
      <c r="Z472" s="863"/>
    </row>
    <row r="473">
      <c r="Z473" s="863"/>
    </row>
    <row r="474">
      <c r="Z474" s="863"/>
    </row>
    <row r="475">
      <c r="Z475" s="863"/>
    </row>
    <row r="476">
      <c r="Z476" s="863"/>
    </row>
    <row r="477">
      <c r="Z477" s="863"/>
    </row>
    <row r="478">
      <c r="Z478" s="863"/>
    </row>
    <row r="479">
      <c r="Z479" s="863"/>
    </row>
    <row r="480">
      <c r="Z480" s="863"/>
    </row>
    <row r="481">
      <c r="Z481" s="863"/>
    </row>
    <row r="482">
      <c r="Z482" s="863"/>
    </row>
    <row r="483">
      <c r="Z483" s="863"/>
    </row>
    <row r="484">
      <c r="Z484" s="863"/>
    </row>
    <row r="485">
      <c r="Z485" s="863"/>
    </row>
    <row r="486">
      <c r="Z486" s="863"/>
    </row>
    <row r="487">
      <c r="Z487" s="863"/>
    </row>
    <row r="488">
      <c r="Z488" s="863"/>
    </row>
    <row r="489">
      <c r="Z489" s="863"/>
    </row>
    <row r="490">
      <c r="Z490" s="863"/>
    </row>
    <row r="491">
      <c r="Z491" s="863"/>
    </row>
    <row r="492">
      <c r="Z492" s="863"/>
    </row>
    <row r="493">
      <c r="Z493" s="863"/>
    </row>
    <row r="494">
      <c r="Z494" s="863"/>
    </row>
    <row r="495">
      <c r="Z495" s="863"/>
    </row>
    <row r="496">
      <c r="Z496" s="863"/>
    </row>
    <row r="497">
      <c r="Z497" s="863"/>
    </row>
    <row r="498">
      <c r="Z498" s="863"/>
    </row>
    <row r="499">
      <c r="Z499" s="863"/>
    </row>
    <row r="500">
      <c r="Z500" s="863"/>
    </row>
    <row r="501">
      <c r="Z501" s="863"/>
    </row>
    <row r="502">
      <c r="Z502" s="863"/>
    </row>
    <row r="503">
      <c r="Z503" s="863"/>
    </row>
    <row r="504">
      <c r="Z504" s="863"/>
    </row>
    <row r="505">
      <c r="Z505" s="863"/>
    </row>
    <row r="506">
      <c r="Z506" s="863"/>
    </row>
    <row r="507">
      <c r="Z507" s="863"/>
    </row>
    <row r="508">
      <c r="Z508" s="863"/>
    </row>
    <row r="509">
      <c r="Z509" s="863"/>
    </row>
    <row r="510">
      <c r="Z510" s="863"/>
    </row>
    <row r="511">
      <c r="Z511" s="863"/>
    </row>
    <row r="512">
      <c r="Z512" s="863"/>
    </row>
    <row r="513">
      <c r="Z513" s="863"/>
    </row>
    <row r="514">
      <c r="Z514" s="863"/>
    </row>
    <row r="515">
      <c r="Z515" s="863"/>
    </row>
    <row r="516">
      <c r="Z516" s="863"/>
    </row>
    <row r="517">
      <c r="Z517" s="863"/>
    </row>
    <row r="518">
      <c r="Z518" s="863"/>
    </row>
    <row r="519">
      <c r="Z519" s="863"/>
    </row>
    <row r="520">
      <c r="Z520" s="863"/>
    </row>
    <row r="521">
      <c r="Z521" s="863"/>
    </row>
    <row r="522">
      <c r="Z522" s="863"/>
    </row>
    <row r="523">
      <c r="Z523" s="863"/>
    </row>
    <row r="524">
      <c r="Z524" s="863"/>
    </row>
    <row r="525">
      <c r="Z525" s="863"/>
    </row>
    <row r="526">
      <c r="Z526" s="863"/>
    </row>
    <row r="527">
      <c r="Z527" s="863"/>
    </row>
    <row r="528">
      <c r="Z528" s="863"/>
    </row>
    <row r="529">
      <c r="Z529" s="863"/>
    </row>
    <row r="530">
      <c r="Z530" s="863"/>
    </row>
    <row r="531">
      <c r="Z531" s="863"/>
    </row>
    <row r="532">
      <c r="Z532" s="863"/>
    </row>
    <row r="533">
      <c r="Z533" s="863"/>
    </row>
    <row r="534">
      <c r="Z534" s="863"/>
    </row>
    <row r="535">
      <c r="Z535" s="863"/>
    </row>
    <row r="536">
      <c r="Z536" s="863"/>
    </row>
    <row r="537">
      <c r="Z537" s="863"/>
    </row>
    <row r="538">
      <c r="Z538" s="863"/>
    </row>
    <row r="539">
      <c r="Z539" s="863"/>
    </row>
    <row r="540">
      <c r="Z540" s="863"/>
    </row>
    <row r="541">
      <c r="Z541" s="863"/>
    </row>
    <row r="542">
      <c r="Z542" s="863"/>
    </row>
    <row r="543">
      <c r="Z543" s="863"/>
    </row>
    <row r="544">
      <c r="Z544" s="863"/>
    </row>
    <row r="545">
      <c r="Z545" s="863"/>
    </row>
    <row r="546">
      <c r="Z546" s="863"/>
    </row>
    <row r="547">
      <c r="Z547" s="863"/>
    </row>
    <row r="548">
      <c r="Z548" s="863"/>
    </row>
    <row r="549">
      <c r="Z549" s="863"/>
    </row>
    <row r="550">
      <c r="Z550" s="863"/>
    </row>
    <row r="551">
      <c r="Z551" s="863"/>
    </row>
    <row r="552">
      <c r="Z552" s="863"/>
    </row>
    <row r="553">
      <c r="Z553" s="863"/>
    </row>
    <row r="554">
      <c r="Z554" s="863"/>
    </row>
    <row r="555">
      <c r="Z555" s="863"/>
    </row>
    <row r="556">
      <c r="Z556" s="863"/>
    </row>
    <row r="557">
      <c r="Z557" s="863"/>
    </row>
    <row r="558">
      <c r="Z558" s="863"/>
    </row>
    <row r="559">
      <c r="Z559" s="863"/>
    </row>
    <row r="560">
      <c r="Z560" s="863"/>
    </row>
    <row r="561">
      <c r="Z561" s="863"/>
    </row>
    <row r="562">
      <c r="Z562" s="863"/>
    </row>
    <row r="563">
      <c r="Z563" s="863"/>
    </row>
    <row r="564">
      <c r="Z564" s="863"/>
    </row>
    <row r="565">
      <c r="Z565" s="863"/>
    </row>
    <row r="566">
      <c r="Z566" s="863"/>
    </row>
    <row r="567">
      <c r="Z567" s="863"/>
    </row>
    <row r="568">
      <c r="Z568" s="863"/>
    </row>
    <row r="569">
      <c r="Z569" s="863"/>
    </row>
    <row r="570">
      <c r="Z570" s="863"/>
    </row>
    <row r="571">
      <c r="Z571" s="863"/>
    </row>
    <row r="572">
      <c r="Z572" s="863"/>
    </row>
    <row r="573">
      <c r="Z573" s="863"/>
    </row>
    <row r="574">
      <c r="Z574" s="863"/>
    </row>
    <row r="575">
      <c r="Z575" s="863"/>
    </row>
    <row r="576">
      <c r="Z576" s="863"/>
    </row>
    <row r="577">
      <c r="Z577" s="863"/>
    </row>
    <row r="578">
      <c r="Z578" s="863"/>
    </row>
    <row r="579">
      <c r="Z579" s="863"/>
    </row>
    <row r="580">
      <c r="Z580" s="863"/>
    </row>
    <row r="581">
      <c r="Z581" s="863"/>
    </row>
    <row r="582">
      <c r="Z582" s="863"/>
    </row>
    <row r="583">
      <c r="Z583" s="863"/>
    </row>
    <row r="584">
      <c r="Z584" s="863"/>
    </row>
    <row r="585">
      <c r="Z585" s="863"/>
    </row>
    <row r="586">
      <c r="Z586" s="863"/>
    </row>
    <row r="587">
      <c r="Z587" s="863"/>
    </row>
    <row r="588">
      <c r="Z588" s="863"/>
    </row>
    <row r="589">
      <c r="Z589" s="863"/>
    </row>
    <row r="590">
      <c r="Z590" s="863"/>
    </row>
    <row r="591">
      <c r="Z591" s="863"/>
    </row>
    <row r="592">
      <c r="Z592" s="863"/>
    </row>
    <row r="593">
      <c r="Z593" s="863"/>
    </row>
    <row r="594">
      <c r="Z594" s="863"/>
    </row>
    <row r="595">
      <c r="Z595" s="863"/>
    </row>
    <row r="596">
      <c r="Z596" s="863"/>
    </row>
    <row r="597">
      <c r="Z597" s="863"/>
    </row>
    <row r="598">
      <c r="Z598" s="863"/>
    </row>
    <row r="599">
      <c r="Z599" s="863"/>
    </row>
    <row r="600">
      <c r="Z600" s="863"/>
    </row>
    <row r="601">
      <c r="Z601" s="863"/>
    </row>
    <row r="602">
      <c r="Z602" s="863"/>
    </row>
    <row r="603">
      <c r="Z603" s="863"/>
    </row>
    <row r="604">
      <c r="Z604" s="863"/>
    </row>
    <row r="605">
      <c r="Z605" s="863"/>
    </row>
    <row r="606">
      <c r="Z606" s="863"/>
    </row>
    <row r="607">
      <c r="Z607" s="863"/>
    </row>
    <row r="608">
      <c r="Z608" s="863"/>
    </row>
    <row r="609">
      <c r="Z609" s="863"/>
    </row>
    <row r="610">
      <c r="Z610" s="863"/>
    </row>
    <row r="611">
      <c r="Z611" s="863"/>
    </row>
    <row r="612">
      <c r="Z612" s="863"/>
    </row>
    <row r="613">
      <c r="Z613" s="863"/>
    </row>
    <row r="614">
      <c r="Z614" s="863"/>
    </row>
    <row r="615">
      <c r="Z615" s="863"/>
    </row>
    <row r="616">
      <c r="Z616" s="863"/>
    </row>
    <row r="617">
      <c r="Z617" s="863"/>
    </row>
    <row r="618">
      <c r="Z618" s="863"/>
    </row>
    <row r="619">
      <c r="Z619" s="863"/>
    </row>
    <row r="620">
      <c r="Z620" s="863"/>
    </row>
    <row r="621">
      <c r="Z621" s="863"/>
    </row>
    <row r="622">
      <c r="Z622" s="863"/>
    </row>
    <row r="623">
      <c r="Z623" s="863"/>
    </row>
    <row r="624">
      <c r="Z624" s="863"/>
    </row>
    <row r="625">
      <c r="Z625" s="863"/>
    </row>
    <row r="626">
      <c r="Z626" s="863"/>
    </row>
    <row r="627">
      <c r="Z627" s="863"/>
    </row>
    <row r="628">
      <c r="Z628" s="863"/>
    </row>
    <row r="629">
      <c r="Z629" s="863"/>
    </row>
    <row r="630">
      <c r="Z630" s="863"/>
    </row>
    <row r="631">
      <c r="Z631" s="863"/>
    </row>
    <row r="632">
      <c r="Z632" s="863"/>
    </row>
    <row r="633">
      <c r="Z633" s="863"/>
    </row>
    <row r="634">
      <c r="Z634" s="863"/>
    </row>
    <row r="635">
      <c r="Z635" s="863"/>
    </row>
    <row r="636">
      <c r="Z636" s="863"/>
    </row>
    <row r="637">
      <c r="Z637" s="863"/>
    </row>
    <row r="638">
      <c r="Z638" s="863"/>
    </row>
    <row r="639">
      <c r="Z639" s="863"/>
    </row>
    <row r="640">
      <c r="Z640" s="863"/>
    </row>
    <row r="641">
      <c r="Z641" s="863"/>
    </row>
    <row r="642">
      <c r="Z642" s="863"/>
    </row>
    <row r="643">
      <c r="Z643" s="863"/>
    </row>
    <row r="644">
      <c r="Z644" s="863"/>
    </row>
    <row r="645">
      <c r="Z645" s="863"/>
    </row>
    <row r="646">
      <c r="Z646" s="863"/>
    </row>
    <row r="647">
      <c r="Z647" s="863"/>
    </row>
    <row r="648">
      <c r="Z648" s="863"/>
    </row>
    <row r="649">
      <c r="Z649" s="863"/>
    </row>
    <row r="650">
      <c r="Z650" s="863"/>
    </row>
    <row r="651">
      <c r="Z651" s="863"/>
    </row>
    <row r="652">
      <c r="Z652" s="863"/>
    </row>
    <row r="653">
      <c r="Z653" s="863"/>
    </row>
    <row r="654">
      <c r="Z654" s="863"/>
    </row>
    <row r="655">
      <c r="Z655" s="863"/>
    </row>
    <row r="656">
      <c r="Z656" s="863"/>
    </row>
    <row r="657">
      <c r="Z657" s="863"/>
    </row>
    <row r="658">
      <c r="Z658" s="863"/>
    </row>
    <row r="659">
      <c r="Z659" s="863"/>
    </row>
    <row r="660">
      <c r="Z660" s="863"/>
    </row>
    <row r="661">
      <c r="Z661" s="863"/>
    </row>
    <row r="662">
      <c r="Z662" s="863"/>
    </row>
    <row r="663">
      <c r="Z663" s="863"/>
    </row>
    <row r="664">
      <c r="Z664" s="863"/>
    </row>
    <row r="665">
      <c r="Z665" s="863"/>
    </row>
    <row r="666">
      <c r="Z666" s="863"/>
    </row>
    <row r="667">
      <c r="Z667" s="863"/>
    </row>
    <row r="668">
      <c r="Z668" s="863"/>
    </row>
    <row r="669">
      <c r="Z669" s="863"/>
    </row>
    <row r="670">
      <c r="Z670" s="863"/>
    </row>
    <row r="671">
      <c r="Z671" s="863"/>
    </row>
    <row r="672">
      <c r="Z672" s="863"/>
    </row>
    <row r="673">
      <c r="Z673" s="863"/>
    </row>
    <row r="674">
      <c r="Z674" s="863"/>
    </row>
    <row r="675">
      <c r="Z675" s="863"/>
    </row>
    <row r="676">
      <c r="Z676" s="863"/>
    </row>
    <row r="677">
      <c r="Z677" s="863"/>
    </row>
    <row r="678">
      <c r="Z678" s="863"/>
    </row>
    <row r="679">
      <c r="Z679" s="863"/>
    </row>
    <row r="680">
      <c r="Z680" s="863"/>
    </row>
    <row r="681">
      <c r="Z681" s="863"/>
    </row>
    <row r="682">
      <c r="Z682" s="863"/>
    </row>
    <row r="683">
      <c r="Z683" s="863"/>
    </row>
    <row r="684">
      <c r="Z684" s="863"/>
    </row>
    <row r="685">
      <c r="Z685" s="863"/>
    </row>
    <row r="686">
      <c r="Z686" s="863"/>
    </row>
    <row r="687">
      <c r="Z687" s="863"/>
    </row>
    <row r="688">
      <c r="Z688" s="863"/>
    </row>
    <row r="689">
      <c r="Z689" s="863"/>
    </row>
    <row r="690">
      <c r="Z690" s="863"/>
    </row>
    <row r="691">
      <c r="Z691" s="863"/>
    </row>
    <row r="692">
      <c r="Z692" s="863"/>
    </row>
    <row r="693">
      <c r="Z693" s="863"/>
    </row>
    <row r="694">
      <c r="Z694" s="863"/>
    </row>
    <row r="695">
      <c r="Z695" s="863"/>
    </row>
    <row r="696">
      <c r="Z696" s="863"/>
    </row>
    <row r="697">
      <c r="Z697" s="863"/>
    </row>
    <row r="698">
      <c r="Z698" s="863"/>
    </row>
    <row r="699">
      <c r="Z699" s="863"/>
    </row>
    <row r="700">
      <c r="Z700" s="863"/>
    </row>
    <row r="701">
      <c r="Z701" s="863"/>
    </row>
    <row r="702">
      <c r="Z702" s="863"/>
    </row>
    <row r="703">
      <c r="Z703" s="863"/>
    </row>
    <row r="704">
      <c r="Z704" s="863"/>
    </row>
    <row r="705">
      <c r="Z705" s="863"/>
    </row>
    <row r="706">
      <c r="Z706" s="863"/>
    </row>
    <row r="707">
      <c r="Z707" s="863"/>
    </row>
    <row r="708">
      <c r="Z708" s="863"/>
    </row>
    <row r="709">
      <c r="Z709" s="863"/>
    </row>
    <row r="710">
      <c r="Z710" s="863"/>
    </row>
    <row r="711">
      <c r="Z711" s="863"/>
    </row>
    <row r="712">
      <c r="Z712" s="863"/>
    </row>
    <row r="713">
      <c r="Z713" s="863"/>
    </row>
    <row r="714">
      <c r="Z714" s="863"/>
    </row>
    <row r="715">
      <c r="Z715" s="863"/>
    </row>
    <row r="716">
      <c r="Z716" s="863"/>
    </row>
    <row r="717">
      <c r="Z717" s="863"/>
    </row>
    <row r="718">
      <c r="Z718" s="863"/>
    </row>
    <row r="719">
      <c r="Z719" s="863"/>
    </row>
    <row r="720">
      <c r="Z720" s="863"/>
    </row>
    <row r="721">
      <c r="Z721" s="863"/>
    </row>
    <row r="722">
      <c r="Z722" s="863"/>
    </row>
    <row r="723">
      <c r="Z723" s="863"/>
    </row>
    <row r="724">
      <c r="Z724" s="863"/>
    </row>
    <row r="725">
      <c r="Z725" s="863"/>
    </row>
    <row r="726">
      <c r="Z726" s="863"/>
    </row>
    <row r="727">
      <c r="Z727" s="863"/>
    </row>
    <row r="728">
      <c r="Z728" s="863"/>
    </row>
    <row r="729">
      <c r="Z729" s="863"/>
    </row>
    <row r="730">
      <c r="Z730" s="863"/>
    </row>
    <row r="731">
      <c r="Z731" s="863"/>
    </row>
    <row r="732">
      <c r="Z732" s="863"/>
    </row>
    <row r="733">
      <c r="Z733" s="863"/>
    </row>
    <row r="734">
      <c r="Z734" s="863"/>
    </row>
    <row r="735">
      <c r="Z735" s="863"/>
    </row>
    <row r="736">
      <c r="Z736" s="863"/>
    </row>
    <row r="737">
      <c r="Z737" s="863"/>
    </row>
    <row r="738">
      <c r="Z738" s="863"/>
    </row>
    <row r="739">
      <c r="Z739" s="863"/>
    </row>
    <row r="740">
      <c r="Z740" s="863"/>
    </row>
    <row r="741">
      <c r="Z741" s="863"/>
    </row>
    <row r="742">
      <c r="Z742" s="863"/>
    </row>
    <row r="743">
      <c r="Z743" s="863"/>
    </row>
    <row r="744">
      <c r="Z744" s="863"/>
    </row>
    <row r="745">
      <c r="Z745" s="863"/>
    </row>
    <row r="746">
      <c r="Z746" s="863"/>
    </row>
    <row r="747">
      <c r="Z747" s="863"/>
    </row>
    <row r="748">
      <c r="Z748" s="863"/>
    </row>
    <row r="749">
      <c r="Z749" s="863"/>
    </row>
    <row r="750">
      <c r="Z750" s="863"/>
    </row>
    <row r="751">
      <c r="Z751" s="863"/>
    </row>
    <row r="752">
      <c r="Z752" s="863"/>
    </row>
    <row r="753">
      <c r="Z753" s="863"/>
    </row>
    <row r="754">
      <c r="Z754" s="863"/>
    </row>
    <row r="755">
      <c r="Z755" s="863"/>
    </row>
    <row r="756">
      <c r="Z756" s="863"/>
    </row>
    <row r="757">
      <c r="Z757" s="863"/>
    </row>
    <row r="758">
      <c r="Z758" s="863"/>
    </row>
    <row r="759">
      <c r="Z759" s="863"/>
    </row>
    <row r="760">
      <c r="Z760" s="863"/>
    </row>
    <row r="761">
      <c r="Z761" s="863"/>
    </row>
    <row r="762">
      <c r="Z762" s="863"/>
    </row>
    <row r="763">
      <c r="Z763" s="863"/>
    </row>
    <row r="764">
      <c r="Z764" s="863"/>
    </row>
    <row r="765">
      <c r="Z765" s="863"/>
    </row>
    <row r="766">
      <c r="Z766" s="863"/>
    </row>
    <row r="767">
      <c r="Z767" s="863"/>
    </row>
    <row r="768">
      <c r="Z768" s="863"/>
    </row>
    <row r="769">
      <c r="Z769" s="863"/>
    </row>
    <row r="770">
      <c r="Z770" s="863"/>
    </row>
    <row r="771">
      <c r="Z771" s="863"/>
    </row>
    <row r="772">
      <c r="Z772" s="863"/>
    </row>
    <row r="773">
      <c r="Z773" s="863"/>
    </row>
    <row r="774">
      <c r="Z774" s="863"/>
    </row>
    <row r="775">
      <c r="Z775" s="863"/>
    </row>
    <row r="776">
      <c r="Z776" s="863"/>
    </row>
    <row r="777">
      <c r="Z777" s="863"/>
    </row>
    <row r="778">
      <c r="Z778" s="863"/>
    </row>
    <row r="779">
      <c r="Z779" s="863"/>
    </row>
    <row r="780">
      <c r="Z780" s="863"/>
    </row>
    <row r="781">
      <c r="Z781" s="863"/>
    </row>
    <row r="782">
      <c r="Z782" s="863"/>
    </row>
    <row r="783">
      <c r="Z783" s="863"/>
    </row>
    <row r="784">
      <c r="Z784" s="863"/>
    </row>
    <row r="785">
      <c r="Z785" s="863"/>
    </row>
    <row r="786">
      <c r="Z786" s="863"/>
    </row>
    <row r="787">
      <c r="Z787" s="863"/>
    </row>
    <row r="788">
      <c r="Z788" s="863"/>
    </row>
    <row r="789">
      <c r="Z789" s="863"/>
    </row>
    <row r="790">
      <c r="Z790" s="863"/>
    </row>
    <row r="791">
      <c r="Z791" s="863"/>
    </row>
    <row r="792">
      <c r="Z792" s="863"/>
    </row>
    <row r="793">
      <c r="Z793" s="863"/>
    </row>
    <row r="794">
      <c r="Z794" s="863"/>
    </row>
    <row r="795">
      <c r="Z795" s="863"/>
    </row>
    <row r="796">
      <c r="Z796" s="863"/>
    </row>
    <row r="797">
      <c r="Z797" s="863"/>
    </row>
    <row r="798">
      <c r="Z798" s="863"/>
    </row>
    <row r="799">
      <c r="Z799" s="863"/>
    </row>
    <row r="800">
      <c r="Z800" s="863"/>
    </row>
    <row r="801">
      <c r="Z801" s="863"/>
    </row>
    <row r="802">
      <c r="Z802" s="863"/>
    </row>
    <row r="803">
      <c r="Z803" s="863"/>
    </row>
    <row r="804">
      <c r="Z804" s="863"/>
    </row>
    <row r="805">
      <c r="Z805" s="863"/>
    </row>
    <row r="806">
      <c r="Z806" s="863"/>
    </row>
    <row r="807">
      <c r="Z807" s="863"/>
    </row>
    <row r="808">
      <c r="Z808" s="863"/>
    </row>
    <row r="809">
      <c r="Z809" s="863"/>
    </row>
    <row r="810">
      <c r="Z810" s="863"/>
    </row>
    <row r="811">
      <c r="Z811" s="863"/>
    </row>
    <row r="812">
      <c r="Z812" s="863"/>
    </row>
    <row r="813">
      <c r="Z813" s="863"/>
    </row>
    <row r="814">
      <c r="Z814" s="863"/>
    </row>
    <row r="815">
      <c r="Z815" s="863"/>
    </row>
    <row r="816">
      <c r="Z816" s="863"/>
    </row>
    <row r="817">
      <c r="Z817" s="863"/>
    </row>
    <row r="818">
      <c r="Z818" s="863"/>
    </row>
    <row r="819">
      <c r="Z819" s="863"/>
    </row>
    <row r="820">
      <c r="Z820" s="863"/>
    </row>
    <row r="821">
      <c r="Z821" s="863"/>
    </row>
    <row r="822">
      <c r="Z822" s="863"/>
    </row>
    <row r="823">
      <c r="Z823" s="863"/>
    </row>
    <row r="824">
      <c r="Z824" s="863"/>
    </row>
    <row r="825">
      <c r="Z825" s="863"/>
    </row>
    <row r="826">
      <c r="Z826" s="863"/>
    </row>
    <row r="827">
      <c r="Z827" s="863"/>
    </row>
    <row r="828">
      <c r="Z828" s="863"/>
    </row>
    <row r="829">
      <c r="Z829" s="863"/>
    </row>
    <row r="830">
      <c r="Z830" s="863"/>
    </row>
    <row r="831">
      <c r="Z831" s="863"/>
    </row>
    <row r="832">
      <c r="Z832" s="863"/>
    </row>
    <row r="833">
      <c r="Z833" s="863"/>
    </row>
    <row r="834">
      <c r="Z834" s="863"/>
    </row>
    <row r="835">
      <c r="Z835" s="863"/>
    </row>
    <row r="836">
      <c r="Z836" s="863"/>
    </row>
    <row r="837">
      <c r="Z837" s="863"/>
    </row>
    <row r="838">
      <c r="Z838" s="863"/>
    </row>
    <row r="839">
      <c r="Z839" s="863"/>
    </row>
    <row r="840">
      <c r="Z840" s="863"/>
    </row>
    <row r="841">
      <c r="Z841" s="863"/>
    </row>
    <row r="842">
      <c r="Z842" s="863"/>
    </row>
    <row r="843">
      <c r="Z843" s="863"/>
    </row>
    <row r="844">
      <c r="Z844" s="863"/>
    </row>
    <row r="845">
      <c r="Z845" s="863"/>
    </row>
    <row r="846">
      <c r="Z846" s="863"/>
    </row>
    <row r="847">
      <c r="Z847" s="863"/>
    </row>
    <row r="848">
      <c r="Z848" s="863"/>
    </row>
    <row r="849">
      <c r="Z849" s="863"/>
    </row>
    <row r="850">
      <c r="Z850" s="863"/>
    </row>
    <row r="851">
      <c r="Z851" s="863"/>
    </row>
    <row r="852">
      <c r="Z852" s="863"/>
    </row>
    <row r="853">
      <c r="Z853" s="863"/>
    </row>
    <row r="854">
      <c r="Z854" s="863"/>
    </row>
    <row r="855">
      <c r="Z855" s="863"/>
    </row>
    <row r="856">
      <c r="Z856" s="863"/>
    </row>
    <row r="857">
      <c r="Z857" s="863"/>
    </row>
    <row r="858">
      <c r="Z858" s="863"/>
    </row>
    <row r="859">
      <c r="Z859" s="863"/>
    </row>
    <row r="860">
      <c r="Z860" s="863"/>
    </row>
    <row r="861">
      <c r="Z861" s="863"/>
    </row>
    <row r="862">
      <c r="Z862" s="863"/>
    </row>
    <row r="863">
      <c r="Z863" s="863"/>
    </row>
    <row r="864">
      <c r="Z864" s="863"/>
    </row>
    <row r="865">
      <c r="Z865" s="863"/>
    </row>
    <row r="866">
      <c r="Z866" s="863"/>
    </row>
    <row r="867">
      <c r="Z867" s="863"/>
    </row>
    <row r="868">
      <c r="Z868" s="863"/>
    </row>
    <row r="869">
      <c r="Z869" s="863"/>
    </row>
    <row r="870">
      <c r="Z870" s="863"/>
    </row>
    <row r="871">
      <c r="Z871" s="863"/>
    </row>
    <row r="872">
      <c r="Z872" s="863"/>
    </row>
    <row r="873">
      <c r="Z873" s="863"/>
    </row>
    <row r="874">
      <c r="Z874" s="863"/>
    </row>
    <row r="875">
      <c r="Z875" s="863"/>
    </row>
    <row r="876">
      <c r="Z876" s="863"/>
    </row>
    <row r="877">
      <c r="Z877" s="863"/>
    </row>
    <row r="878">
      <c r="Z878" s="863"/>
    </row>
    <row r="879">
      <c r="Z879" s="863"/>
    </row>
    <row r="880">
      <c r="Z880" s="863"/>
    </row>
    <row r="881">
      <c r="Z881" s="863"/>
    </row>
    <row r="882">
      <c r="Z882" s="863"/>
    </row>
    <row r="883">
      <c r="Z883" s="863"/>
    </row>
    <row r="884">
      <c r="Z884" s="863"/>
    </row>
    <row r="885">
      <c r="Z885" s="863"/>
    </row>
    <row r="886">
      <c r="Z886" s="863"/>
    </row>
    <row r="887">
      <c r="Z887" s="863"/>
    </row>
    <row r="888">
      <c r="Z888" s="863"/>
    </row>
    <row r="889">
      <c r="Z889" s="863"/>
    </row>
    <row r="890">
      <c r="Z890" s="863"/>
    </row>
    <row r="891">
      <c r="Z891" s="863"/>
    </row>
    <row r="892">
      <c r="Z892" s="863"/>
    </row>
    <row r="893">
      <c r="Z893" s="863"/>
    </row>
    <row r="894">
      <c r="Z894" s="863"/>
    </row>
    <row r="895">
      <c r="Z895" s="863"/>
    </row>
    <row r="896">
      <c r="Z896" s="863"/>
    </row>
    <row r="897">
      <c r="Z897" s="863"/>
    </row>
    <row r="898">
      <c r="Z898" s="863"/>
    </row>
    <row r="899">
      <c r="Z899" s="863"/>
    </row>
    <row r="900">
      <c r="Z900" s="863"/>
    </row>
    <row r="901">
      <c r="Z901" s="863"/>
    </row>
    <row r="902">
      <c r="Z902" s="863"/>
    </row>
    <row r="903">
      <c r="Z903" s="863"/>
    </row>
    <row r="904">
      <c r="Z904" s="863"/>
    </row>
    <row r="905">
      <c r="Z905" s="863"/>
    </row>
    <row r="906">
      <c r="Z906" s="863"/>
    </row>
    <row r="907">
      <c r="Z907" s="863"/>
    </row>
    <row r="908">
      <c r="Z908" s="863"/>
    </row>
    <row r="909">
      <c r="Z909" s="863"/>
    </row>
    <row r="910">
      <c r="Z910" s="863"/>
    </row>
    <row r="911">
      <c r="Z911" s="863"/>
    </row>
    <row r="912">
      <c r="Z912" s="863"/>
    </row>
    <row r="913">
      <c r="Z913" s="863"/>
    </row>
    <row r="914">
      <c r="Z914" s="863"/>
    </row>
    <row r="915">
      <c r="Z915" s="863"/>
    </row>
    <row r="916">
      <c r="Z916" s="863"/>
    </row>
    <row r="917">
      <c r="Z917" s="863"/>
    </row>
    <row r="918">
      <c r="Z918" s="863"/>
    </row>
    <row r="919">
      <c r="Z919" s="863"/>
    </row>
    <row r="920">
      <c r="Z920" s="863"/>
    </row>
    <row r="921">
      <c r="Z921" s="863"/>
    </row>
    <row r="922">
      <c r="Z922" s="863"/>
    </row>
    <row r="923">
      <c r="Z923" s="863"/>
    </row>
    <row r="924">
      <c r="Z924" s="863"/>
    </row>
    <row r="925">
      <c r="Z925" s="863"/>
    </row>
    <row r="926">
      <c r="Z926" s="863"/>
    </row>
    <row r="927">
      <c r="Z927" s="863"/>
    </row>
    <row r="928">
      <c r="Z928" s="863"/>
    </row>
    <row r="929">
      <c r="Z929" s="863"/>
    </row>
    <row r="930">
      <c r="Z930" s="863"/>
    </row>
    <row r="931">
      <c r="Z931" s="863"/>
    </row>
    <row r="932">
      <c r="Z932" s="863"/>
    </row>
    <row r="933">
      <c r="Z933" s="863"/>
    </row>
    <row r="934">
      <c r="Z934" s="863"/>
    </row>
    <row r="935">
      <c r="Z935" s="863"/>
    </row>
    <row r="936">
      <c r="Z936" s="863"/>
    </row>
    <row r="937">
      <c r="Z937" s="863"/>
    </row>
    <row r="938">
      <c r="Z938" s="863"/>
    </row>
    <row r="939">
      <c r="Z939" s="863"/>
    </row>
    <row r="940">
      <c r="Z940" s="863"/>
    </row>
    <row r="941">
      <c r="Z941" s="863"/>
    </row>
    <row r="942">
      <c r="Z942" s="863"/>
    </row>
    <row r="943">
      <c r="Z943" s="863"/>
    </row>
    <row r="944">
      <c r="Z944" s="863"/>
    </row>
    <row r="945">
      <c r="Z945" s="863"/>
    </row>
    <row r="946">
      <c r="Z946" s="863"/>
    </row>
    <row r="947">
      <c r="Z947" s="863"/>
    </row>
    <row r="948">
      <c r="Z948" s="863"/>
    </row>
    <row r="949">
      <c r="Z949" s="863"/>
    </row>
    <row r="950">
      <c r="Z950" s="863"/>
    </row>
    <row r="951">
      <c r="Z951" s="863"/>
    </row>
    <row r="952">
      <c r="Z952" s="863"/>
    </row>
    <row r="953">
      <c r="Z953" s="863"/>
    </row>
    <row r="954">
      <c r="Z954" s="863"/>
    </row>
    <row r="955">
      <c r="Z955" s="863"/>
    </row>
    <row r="956">
      <c r="Z956" s="863"/>
    </row>
    <row r="957">
      <c r="Z957" s="863"/>
    </row>
    <row r="958">
      <c r="Z958" s="863"/>
    </row>
    <row r="959">
      <c r="Z959" s="863"/>
    </row>
    <row r="960">
      <c r="Z960" s="863"/>
    </row>
    <row r="961">
      <c r="Z961" s="863"/>
    </row>
    <row r="962">
      <c r="Z962" s="863"/>
    </row>
    <row r="963">
      <c r="Z963" s="863"/>
    </row>
    <row r="964">
      <c r="Z964" s="863"/>
    </row>
    <row r="965">
      <c r="Z965" s="863"/>
    </row>
    <row r="966">
      <c r="Z966" s="863"/>
    </row>
    <row r="967">
      <c r="Z967" s="863"/>
    </row>
    <row r="968">
      <c r="Z968" s="863"/>
    </row>
    <row r="969">
      <c r="Z969" s="863"/>
    </row>
    <row r="970">
      <c r="Z970" s="863"/>
    </row>
    <row r="971">
      <c r="Z971" s="863"/>
    </row>
    <row r="972">
      <c r="Z972" s="863"/>
    </row>
    <row r="973">
      <c r="Z973" s="863"/>
    </row>
    <row r="974">
      <c r="Z974" s="863"/>
    </row>
    <row r="975">
      <c r="Z975" s="863"/>
    </row>
    <row r="976">
      <c r="Z976" s="863"/>
    </row>
    <row r="977">
      <c r="Z977" s="863"/>
    </row>
    <row r="978">
      <c r="Z978" s="863"/>
    </row>
    <row r="979">
      <c r="Z979" s="863"/>
    </row>
    <row r="980">
      <c r="Z980" s="863"/>
    </row>
    <row r="981">
      <c r="Z981" s="863"/>
    </row>
    <row r="982">
      <c r="Z982" s="863"/>
    </row>
    <row r="983">
      <c r="Z983" s="863"/>
    </row>
    <row r="984">
      <c r="Z984" s="863"/>
    </row>
    <row r="985">
      <c r="Z985" s="863"/>
    </row>
    <row r="986">
      <c r="Z986" s="863"/>
    </row>
    <row r="987">
      <c r="Z987" s="863"/>
    </row>
    <row r="988">
      <c r="Z988" s="863"/>
    </row>
    <row r="989">
      <c r="Z989" s="863"/>
    </row>
    <row r="990">
      <c r="Z990" s="863"/>
    </row>
    <row r="991">
      <c r="Z991" s="863"/>
    </row>
    <row r="992">
      <c r="Z992" s="863"/>
    </row>
    <row r="993">
      <c r="Z993" s="863"/>
    </row>
    <row r="994">
      <c r="Z994" s="863"/>
    </row>
    <row r="995">
      <c r="Z995" s="863"/>
    </row>
    <row r="996">
      <c r="Z996" s="863"/>
    </row>
    <row r="997">
      <c r="Z997" s="863"/>
    </row>
    <row r="998">
      <c r="Z998" s="863"/>
    </row>
    <row r="999">
      <c r="Z999" s="863"/>
    </row>
    <row r="1000">
      <c r="Z1000" s="863"/>
    </row>
    <row r="1001">
      <c r="Z1001" s="863"/>
    </row>
  </sheetData>
  <autoFilter ref="$A$1:$AQ$1001"/>
  <hyperlinks>
    <hyperlink r:id="rId1" ref="Z2"/>
    <hyperlink r:id="rId2" ref="Z3"/>
    <hyperlink r:id="rId3" ref="Z4"/>
    <hyperlink r:id="rId4" ref="Z5"/>
    <hyperlink r:id="rId5" ref="Z6"/>
    <hyperlink r:id="rId6" ref="Z7"/>
    <hyperlink r:id="rId7" ref="Z8"/>
    <hyperlink r:id="rId8" ref="Z9"/>
    <hyperlink r:id="rId9" ref="Z10"/>
    <hyperlink r:id="rId10" ref="Z11"/>
    <hyperlink r:id="rId11" ref="Z12"/>
    <hyperlink r:id="rId12" ref="Z13"/>
    <hyperlink r:id="rId13" ref="Z14"/>
    <hyperlink r:id="rId14" ref="Z15"/>
    <hyperlink r:id="rId15" ref="Z16"/>
    <hyperlink r:id="rId16" ref="Z17"/>
    <hyperlink r:id="rId17" ref="Z18"/>
    <hyperlink r:id="rId18" ref="Z19"/>
    <hyperlink r:id="rId19" ref="Z20"/>
    <hyperlink r:id="rId20" ref="Z21"/>
    <hyperlink r:id="rId21" ref="Z22"/>
    <hyperlink r:id="rId22" ref="Z23"/>
    <hyperlink r:id="rId23" ref="Z24"/>
    <hyperlink r:id="rId24" ref="Z25"/>
    <hyperlink r:id="rId25" ref="Z26"/>
    <hyperlink r:id="rId26" ref="Z27"/>
    <hyperlink r:id="rId27" ref="Z28"/>
    <hyperlink r:id="rId28" ref="Z29"/>
    <hyperlink r:id="rId29" ref="Z30"/>
    <hyperlink r:id="rId30" ref="Z31"/>
    <hyperlink r:id="rId31" ref="Z32"/>
    <hyperlink r:id="rId32" ref="Z33"/>
    <hyperlink r:id="rId33" ref="Z34"/>
    <hyperlink r:id="rId34" ref="Z35"/>
    <hyperlink r:id="rId35" ref="Z36"/>
    <hyperlink r:id="rId36" ref="Z37"/>
    <hyperlink r:id="rId37" ref="Z38"/>
    <hyperlink r:id="rId38" ref="Z39"/>
    <hyperlink r:id="rId39" ref="Z40"/>
    <hyperlink r:id="rId40" ref="Z41"/>
    <hyperlink r:id="rId41" ref="Z42"/>
    <hyperlink r:id="rId42" ref="Z43"/>
    <hyperlink r:id="rId43" ref="Z44"/>
    <hyperlink r:id="rId44" ref="Z45"/>
    <hyperlink r:id="rId45" ref="Z46"/>
    <hyperlink r:id="rId46" ref="Z47"/>
    <hyperlink r:id="rId47" ref="Z48"/>
    <hyperlink r:id="rId48" ref="Z49"/>
    <hyperlink r:id="rId49" ref="Z50"/>
    <hyperlink r:id="rId50" ref="Z51"/>
    <hyperlink r:id="rId51" ref="Z52"/>
    <hyperlink r:id="rId52" ref="Z53"/>
    <hyperlink r:id="rId53" ref="Z54"/>
    <hyperlink r:id="rId54" ref="Z55"/>
    <hyperlink r:id="rId55" ref="Z56"/>
    <hyperlink r:id="rId56" ref="Z57"/>
    <hyperlink r:id="rId57" ref="Z58"/>
    <hyperlink r:id="rId58" ref="Z59"/>
    <hyperlink r:id="rId59" ref="Z60"/>
    <hyperlink r:id="rId60" ref="Z61"/>
    <hyperlink r:id="rId61" ref="Z62"/>
    <hyperlink r:id="rId62" ref="Z63"/>
    <hyperlink r:id="rId63" ref="Z64"/>
    <hyperlink r:id="rId64" ref="Z65"/>
    <hyperlink r:id="rId65" ref="Z66"/>
    <hyperlink r:id="rId66" ref="Z67"/>
    <hyperlink r:id="rId67" ref="Z68"/>
    <hyperlink r:id="rId68" ref="Z69"/>
    <hyperlink r:id="rId69" ref="Z70"/>
    <hyperlink r:id="rId70" ref="Z71"/>
    <hyperlink r:id="rId71" ref="Z72"/>
    <hyperlink r:id="rId72" ref="Z73"/>
    <hyperlink r:id="rId73" ref="Z74"/>
    <hyperlink r:id="rId74" ref="Z75"/>
    <hyperlink r:id="rId75" ref="Z76"/>
    <hyperlink r:id="rId76" ref="Z77"/>
    <hyperlink r:id="rId77" ref="Z78"/>
    <hyperlink r:id="rId78" ref="Z79"/>
    <hyperlink r:id="rId79" ref="Z80"/>
    <hyperlink r:id="rId80" ref="Z81"/>
    <hyperlink r:id="rId81" ref="Z82"/>
    <hyperlink r:id="rId82" ref="Z83"/>
    <hyperlink r:id="rId83" ref="Z84"/>
    <hyperlink r:id="rId84" ref="Z85"/>
    <hyperlink r:id="rId85" ref="Z86"/>
    <hyperlink r:id="rId86" ref="Z87"/>
    <hyperlink r:id="rId87" ref="Z88"/>
    <hyperlink r:id="rId88" ref="Z89"/>
    <hyperlink r:id="rId89" ref="Z90"/>
    <hyperlink r:id="rId90" ref="Z91"/>
    <hyperlink r:id="rId91" ref="Z92"/>
    <hyperlink r:id="rId92" ref="Z93"/>
    <hyperlink r:id="rId93" ref="Z94"/>
    <hyperlink r:id="rId94" ref="Z95"/>
    <hyperlink r:id="rId95" ref="Z96"/>
    <hyperlink r:id="rId96" ref="Z97"/>
    <hyperlink r:id="rId97" ref="Z98"/>
    <hyperlink r:id="rId98" ref="Z99"/>
    <hyperlink r:id="rId99" ref="Z100"/>
    <hyperlink r:id="rId100" ref="Z101"/>
    <hyperlink r:id="rId101" ref="Z102"/>
    <hyperlink r:id="rId102" ref="Z103"/>
    <hyperlink r:id="rId103" ref="Z104"/>
    <hyperlink r:id="rId104" ref="Z105"/>
    <hyperlink r:id="rId105" ref="Z106"/>
    <hyperlink r:id="rId106" ref="Z107"/>
    <hyperlink r:id="rId107" ref="Z108"/>
    <hyperlink r:id="rId108" ref="Z109"/>
    <hyperlink r:id="rId109" ref="Z110"/>
    <hyperlink r:id="rId110" ref="Z111"/>
    <hyperlink r:id="rId111" ref="Z112"/>
    <hyperlink r:id="rId112" ref="Z113"/>
    <hyperlink r:id="rId113" ref="Z114"/>
    <hyperlink r:id="rId114" ref="Z115"/>
    <hyperlink r:id="rId115" ref="Z116"/>
    <hyperlink r:id="rId116" ref="Z117"/>
    <hyperlink r:id="rId117" ref="Z118"/>
    <hyperlink r:id="rId118" ref="Z119"/>
    <hyperlink r:id="rId119" ref="Z120"/>
    <hyperlink r:id="rId120" ref="Z121"/>
    <hyperlink r:id="rId121" ref="Z122"/>
    <hyperlink r:id="rId122" ref="Z123"/>
    <hyperlink r:id="rId123" ref="Z124"/>
    <hyperlink r:id="rId124" ref="Z125"/>
    <hyperlink r:id="rId125" ref="Z126"/>
    <hyperlink r:id="rId126" ref="Z127"/>
    <hyperlink r:id="rId127" ref="Z128"/>
    <hyperlink r:id="rId128" ref="Z129"/>
    <hyperlink r:id="rId129" ref="Z130"/>
    <hyperlink r:id="rId130" ref="Z131"/>
    <hyperlink r:id="rId131" ref="Z132"/>
    <hyperlink r:id="rId132" ref="Z133"/>
    <hyperlink r:id="rId133" ref="Z134"/>
    <hyperlink r:id="rId134" ref="Z135"/>
    <hyperlink r:id="rId135" ref="Z136"/>
    <hyperlink r:id="rId136" ref="Z140"/>
    <hyperlink r:id="rId137" ref="Z141"/>
    <hyperlink r:id="rId138" ref="Z142"/>
    <hyperlink r:id="rId139" ref="Z143"/>
    <hyperlink r:id="rId140" ref="Z144"/>
    <hyperlink r:id="rId141" ref="Z145"/>
    <hyperlink r:id="rId142" ref="Z146"/>
    <hyperlink r:id="rId143" ref="Z147"/>
    <hyperlink r:id="rId144" ref="Z148"/>
    <hyperlink r:id="rId145" ref="Z149"/>
    <hyperlink r:id="rId146" ref="Y150"/>
    <hyperlink r:id="rId147" ref="Z150"/>
    <hyperlink r:id="rId148" ref="Y151"/>
    <hyperlink r:id="rId149" ref="Z151"/>
    <hyperlink r:id="rId150" ref="Y152"/>
    <hyperlink r:id="rId151" ref="Z152"/>
    <hyperlink r:id="rId152" ref="Y153"/>
    <hyperlink r:id="rId153" ref="Z153"/>
    <hyperlink r:id="rId154" ref="Y154"/>
    <hyperlink r:id="rId155" ref="Z154"/>
    <hyperlink r:id="rId156" ref="Y155"/>
    <hyperlink r:id="rId157" ref="Z155"/>
    <hyperlink r:id="rId158" ref="Y156"/>
    <hyperlink r:id="rId159" ref="Z156"/>
    <hyperlink r:id="rId160" ref="Y157"/>
    <hyperlink r:id="rId161" ref="Z157"/>
    <hyperlink r:id="rId162" ref="Y158"/>
    <hyperlink r:id="rId163" ref="Z158"/>
    <hyperlink r:id="rId164" ref="Y159"/>
    <hyperlink r:id="rId165" ref="Z159"/>
    <hyperlink r:id="rId166" ref="Y160"/>
    <hyperlink r:id="rId167" ref="Z160"/>
    <hyperlink r:id="rId168" ref="Y161"/>
    <hyperlink r:id="rId169" ref="Z161"/>
    <hyperlink r:id="rId170" ref="Y162"/>
    <hyperlink r:id="rId171" ref="Z163"/>
    <hyperlink r:id="rId172" ref="Z164"/>
    <hyperlink r:id="rId173" ref="Z165"/>
    <hyperlink r:id="rId174" ref="Z166"/>
    <hyperlink r:id="rId175" ref="Z167"/>
    <hyperlink r:id="rId176" ref="Z168"/>
    <hyperlink r:id="rId177" ref="Z169"/>
    <hyperlink r:id="rId178" ref="Z170"/>
    <hyperlink r:id="rId179" ref="Y171"/>
    <hyperlink r:id="rId180" ref="Z171"/>
    <hyperlink r:id="rId181" ref="Y172"/>
    <hyperlink r:id="rId182" ref="Z172"/>
    <hyperlink r:id="rId183" ref="Y173"/>
    <hyperlink r:id="rId184" ref="Z173"/>
    <hyperlink r:id="rId185" ref="Y174"/>
    <hyperlink r:id="rId186" ref="Z174"/>
    <hyperlink r:id="rId187" ref="Y175"/>
    <hyperlink r:id="rId188" ref="Z175"/>
    <hyperlink r:id="rId189" ref="Y176"/>
    <hyperlink r:id="rId190" ref="Z176"/>
    <hyperlink r:id="rId191" ref="Y177"/>
    <hyperlink r:id="rId192" ref="Z177"/>
    <hyperlink r:id="rId193" ref="Y178"/>
    <hyperlink r:id="rId194" ref="Z178"/>
    <hyperlink r:id="rId195" ref="Z179"/>
    <hyperlink r:id="rId196" ref="Z180"/>
    <hyperlink r:id="rId197" ref="Z181"/>
    <hyperlink r:id="rId198" ref="Z182"/>
    <hyperlink r:id="rId199" ref="Y183"/>
    <hyperlink r:id="rId200" ref="Z183"/>
    <hyperlink r:id="rId201" ref="Y184"/>
    <hyperlink r:id="rId202" ref="Z184"/>
    <hyperlink r:id="rId203" ref="Y185"/>
    <hyperlink r:id="rId204" ref="Z185"/>
    <hyperlink r:id="rId205" ref="Y186"/>
    <hyperlink r:id="rId206" ref="Z186"/>
    <hyperlink r:id="rId207" ref="Y187"/>
    <hyperlink r:id="rId208" ref="Z187"/>
    <hyperlink r:id="rId209" ref="Y188"/>
    <hyperlink r:id="rId210" ref="Z188"/>
    <hyperlink r:id="rId211" ref="Y189"/>
    <hyperlink r:id="rId212" ref="Z189"/>
    <hyperlink r:id="rId213" ref="Y190"/>
    <hyperlink r:id="rId214" ref="Z190"/>
    <hyperlink r:id="rId215" ref="Y191"/>
    <hyperlink r:id="rId216" ref="Z191"/>
    <hyperlink r:id="rId217" ref="Y192"/>
    <hyperlink r:id="rId218" ref="Z192"/>
    <hyperlink r:id="rId219" ref="Y193"/>
    <hyperlink r:id="rId220" ref="Z193"/>
    <hyperlink r:id="rId221" ref="Y194"/>
    <hyperlink r:id="rId222" ref="Z194"/>
    <hyperlink r:id="rId223" ref="Y195"/>
    <hyperlink r:id="rId224" ref="Z195"/>
    <hyperlink r:id="rId225" ref="Y196"/>
    <hyperlink r:id="rId226" ref="Z196"/>
    <hyperlink r:id="rId227" ref="Y197"/>
    <hyperlink r:id="rId228" ref="Z197"/>
    <hyperlink r:id="rId229" ref="Y198"/>
    <hyperlink r:id="rId230" ref="Z198"/>
    <hyperlink r:id="rId231" ref="Y199"/>
    <hyperlink r:id="rId232" ref="Z199"/>
    <hyperlink r:id="rId233" ref="Y200"/>
    <hyperlink r:id="rId234" ref="Z200"/>
    <hyperlink r:id="rId235" ref="Y201"/>
    <hyperlink r:id="rId236" ref="Z201"/>
    <hyperlink r:id="rId237" ref="Y202"/>
    <hyperlink r:id="rId238" ref="Z202"/>
    <hyperlink r:id="rId239" ref="Y203"/>
    <hyperlink r:id="rId240" ref="Z203"/>
    <hyperlink r:id="rId241" ref="Y204"/>
    <hyperlink r:id="rId242" ref="Z204"/>
    <hyperlink r:id="rId243" ref="Y205"/>
    <hyperlink r:id="rId244" ref="Z205"/>
    <hyperlink r:id="rId245" ref="Y206"/>
    <hyperlink r:id="rId246" ref="Z206"/>
    <hyperlink r:id="rId247" ref="Y207"/>
    <hyperlink r:id="rId248" ref="Z207"/>
    <hyperlink r:id="rId249" ref="Y208"/>
    <hyperlink r:id="rId250" ref="Z208"/>
    <hyperlink r:id="rId251" ref="Y209"/>
    <hyperlink r:id="rId252" ref="Z209"/>
    <hyperlink r:id="rId253" ref="Y210"/>
    <hyperlink r:id="rId254" ref="Z210"/>
    <hyperlink r:id="rId255" ref="Z211"/>
    <hyperlink r:id="rId256" ref="Z212"/>
    <hyperlink r:id="rId257" ref="Z213"/>
    <hyperlink r:id="rId258" ref="Z214"/>
    <hyperlink r:id="rId259" ref="Z215"/>
    <hyperlink r:id="rId260" ref="Z258"/>
    <hyperlink r:id="rId261" ref="Z259"/>
    <hyperlink r:id="rId262" ref="Z260"/>
    <hyperlink r:id="rId263" ref="Z261"/>
    <hyperlink r:id="rId264" ref="Z262"/>
    <hyperlink r:id="rId265" ref="Z263"/>
    <hyperlink r:id="rId266" ref="Z264"/>
    <hyperlink r:id="rId267" ref="Z265"/>
    <hyperlink r:id="rId268" ref="Z266"/>
    <hyperlink r:id="rId269" ref="Z267"/>
    <hyperlink r:id="rId270" ref="Z268"/>
    <hyperlink r:id="rId271" ref="Z269"/>
    <hyperlink r:id="rId272" ref="Z270"/>
    <hyperlink r:id="rId273" ref="Z271"/>
    <hyperlink r:id="rId274" ref="Z272"/>
    <hyperlink r:id="rId275" ref="Z273"/>
    <hyperlink r:id="rId276" ref="Z274"/>
    <hyperlink r:id="rId277" ref="Z275"/>
    <hyperlink r:id="rId278" ref="Z276"/>
    <hyperlink r:id="rId279" ref="Z277"/>
    <hyperlink r:id="rId280" ref="Z278"/>
    <hyperlink r:id="rId281" ref="Z279"/>
    <hyperlink r:id="rId282" ref="Z280"/>
    <hyperlink r:id="rId283" ref="Z281"/>
    <hyperlink r:id="rId284" ref="Z282"/>
    <hyperlink r:id="rId285" ref="Z283"/>
    <hyperlink r:id="rId286" ref="Z284"/>
    <hyperlink r:id="rId287" ref="Z285"/>
    <hyperlink r:id="rId288" ref="Z286"/>
    <hyperlink r:id="rId289" ref="Z287"/>
    <hyperlink r:id="rId290" ref="Z288"/>
    <hyperlink r:id="rId291" ref="Z289"/>
    <hyperlink r:id="rId292" ref="Z290"/>
    <hyperlink r:id="rId293" ref="Z291"/>
    <hyperlink r:id="rId294" ref="Z292"/>
    <hyperlink r:id="rId295" ref="Z293"/>
    <hyperlink r:id="rId296" ref="Z294"/>
    <hyperlink r:id="rId297" ref="Z295"/>
    <hyperlink r:id="rId298" ref="Z296"/>
    <hyperlink r:id="rId299" ref="Z297"/>
    <hyperlink r:id="rId300" ref="Z298"/>
    <hyperlink r:id="rId301" ref="Z299"/>
    <hyperlink r:id="rId302" ref="Z300"/>
    <hyperlink r:id="rId303" ref="Z301"/>
    <hyperlink r:id="rId304" ref="Z302"/>
    <hyperlink r:id="rId305" ref="Z303"/>
    <hyperlink r:id="rId306" ref="Z304"/>
    <hyperlink r:id="rId307" ref="Z305"/>
    <hyperlink r:id="rId308" ref="Z306"/>
    <hyperlink r:id="rId309" ref="Z307"/>
    <hyperlink r:id="rId310" ref="Z308"/>
    <hyperlink r:id="rId311" ref="Z309"/>
    <hyperlink r:id="rId312" ref="Z310"/>
    <hyperlink r:id="rId313" ref="Z311"/>
    <hyperlink r:id="rId314" ref="Z312"/>
    <hyperlink r:id="rId315" ref="Z313"/>
    <hyperlink r:id="rId316" ref="Z314"/>
    <hyperlink r:id="rId317" ref="Z315"/>
    <hyperlink r:id="rId318" ref="Z316"/>
    <hyperlink r:id="rId319" ref="Z317"/>
    <hyperlink r:id="rId320" ref="Z318"/>
    <hyperlink r:id="rId321" ref="Z319"/>
    <hyperlink r:id="rId322" ref="Z320"/>
    <hyperlink r:id="rId323" ref="Z321"/>
    <hyperlink r:id="rId324" ref="Z322"/>
    <hyperlink r:id="rId325" ref="Z323"/>
    <hyperlink r:id="rId326" ref="Z324"/>
    <hyperlink r:id="rId327" ref="Z325"/>
    <hyperlink r:id="rId328" ref="Z326"/>
    <hyperlink r:id="rId329" ref="Z327"/>
    <hyperlink r:id="rId330" ref="Z328"/>
    <hyperlink r:id="rId331" ref="Z329"/>
    <hyperlink r:id="rId332" ref="Z330"/>
    <hyperlink r:id="rId333" ref="Z331"/>
    <hyperlink r:id="rId334" ref="Z332"/>
    <hyperlink r:id="rId335" ref="Z333"/>
    <hyperlink r:id="rId336" ref="Z334"/>
  </hyperlinks>
  <drawing r:id="rId337"/>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4" max="4" width="22.5"/>
    <col hidden="1" min="7" max="9" width="12.63"/>
    <col hidden="1" min="11" max="12" width="12.63"/>
    <col hidden="1" min="16" max="20" width="12.63"/>
  </cols>
  <sheetData>
    <row r="1">
      <c r="A1" s="40" t="str">
        <f>IFERROR(__xludf.DUMMYFUNCTION("IMPORTRANGE(""https://docs.google.com/spreadsheets/d/13D8kG_6htyZ13mRReb9NThmHCURRiCmRyFcgRyKU394/edit#gid=0"",""Pre 2015 Data!A1:V600"")"),"")</f>
        <v/>
      </c>
      <c r="B1" s="697" t="str">
        <f>IFERROR(__xludf.DUMMYFUNCTION("""COMPUTED_VALUE"""),"Schisto. Type")</f>
        <v>Schisto. Type</v>
      </c>
      <c r="C1" s="697" t="str">
        <f>IFERROR(__xludf.DUMMYFUNCTION("""COMPUTED_VALUE"""),"Country")</f>
        <v>Country</v>
      </c>
      <c r="D1" s="697" t="str">
        <f>IFERROR(__xludf.DUMMYFUNCTION("""COMPUTED_VALUE"""),"Drug")</f>
        <v>Drug</v>
      </c>
      <c r="E1" s="697" t="str">
        <f>IFERROR(__xludf.DUMMYFUNCTION("""COMPUTED_VALUE"""),"Number")</f>
        <v>Number</v>
      </c>
      <c r="F1" s="697" t="str">
        <f>IFERROR(__xludf.DUMMYFUNCTION("""COMPUTED_VALUE"""),"Dosage")</f>
        <v>Dosage</v>
      </c>
      <c r="G1" s="697" t="str">
        <f>IFERROR(__xludf.DUMMYFUNCTION("""COMPUTED_VALUE"""),"Sample Size")</f>
        <v>Sample Size</v>
      </c>
      <c r="H1" s="697" t="str">
        <f>IFERROR(__xludf.DUMMYFUNCTION("""COMPUTED_VALUE"""),"Age")</f>
        <v>Age</v>
      </c>
      <c r="I1" s="705" t="str">
        <f>IFERROR(__xludf.DUMMYFUNCTION("""COMPUTED_VALUE"""),"Sex (M:F)")</f>
        <v>Sex (M:F)</v>
      </c>
      <c r="J1" s="697" t="str">
        <f>IFERROR(__xludf.DUMMYFUNCTION("""COMPUTED_VALUE"""),"Year")</f>
        <v>Year</v>
      </c>
      <c r="K1" s="697" t="str">
        <f>IFERROR(__xludf.DUMMYFUNCTION("""COMPUTED_VALUE"""),"Inclusion Criteria")</f>
        <v>Inclusion Criteria</v>
      </c>
      <c r="L1" s="697" t="str">
        <f>IFERROR(__xludf.DUMMYFUNCTION("""COMPUTED_VALUE"""),"Blind/Double Blind")</f>
        <v>Blind/Double Blind</v>
      </c>
      <c r="M1" s="697" t="str">
        <f>IFERROR(__xludf.DUMMYFUNCTION("""COMPUTED_VALUE"""),"Study Type - RCT?")</f>
        <v>Study Type - RCT?</v>
      </c>
      <c r="N1" s="697" t="str">
        <f>IFERROR(__xludf.DUMMYFUNCTION("""COMPUTED_VALUE"""),"Followup/Endpoint")</f>
        <v>Followup/Endpoint</v>
      </c>
      <c r="O1" s="871" t="str">
        <f>IFERROR(__xludf.DUMMYFUNCTION("""COMPUTED_VALUE"""),"Cure Rate")</f>
        <v>Cure Rate</v>
      </c>
      <c r="P1" s="697" t="str">
        <f>IFERROR(__xludf.DUMMYFUNCTION("""COMPUTED_VALUE"""),"Egg Reduction Rate")</f>
        <v>Egg Reduction Rate</v>
      </c>
      <c r="Q1" s="697" t="str">
        <f>IFERROR(__xludf.DUMMYFUNCTION("""COMPUTED_VALUE"""),"Conclusion")</f>
        <v>Conclusion</v>
      </c>
      <c r="R1" s="697" t="str">
        <f>IFERROR(__xludf.DUMMYFUNCTION("""COMPUTED_VALUE"""),"Notes")</f>
        <v>Notes</v>
      </c>
      <c r="S1" s="697" t="str">
        <f>IFERROR(__xludf.DUMMYFUNCTION("""COMPUTED_VALUE"""),"Reference")</f>
        <v>Reference</v>
      </c>
      <c r="T1" s="697" t="str">
        <f>IFERROR(__xludf.DUMMYFUNCTION("""COMPUTED_VALUE"""),"URL")</f>
        <v>URL</v>
      </c>
      <c r="U1" s="697" t="str">
        <f>IFERROR(__xludf.DUMMYFUNCTION("""COMPUTED_VALUE"""),"x = exclude")</f>
        <v>x = exclude</v>
      </c>
      <c r="V1" s="697">
        <f>IFERROR(__xludf.DUMMYFUNCTION("""COMPUTED_VALUE"""),1.0)</f>
        <v>1</v>
      </c>
    </row>
    <row r="2">
      <c r="A2" s="697" t="str">
        <f>IFERROR(__xludf.DUMMYFUNCTION("""COMPUTED_VALUE"""),"Abdel Rahim IM, 1988")</f>
        <v>Abdel Rahim IM, 1988</v>
      </c>
      <c r="B2" s="697" t="str">
        <f>IFERROR(__xludf.DUMMYFUNCTION("""COMPUTED_VALUE"""),"s. mansoni")</f>
        <v>s. mansoni</v>
      </c>
      <c r="C2" s="697" t="str">
        <f>IFERROR(__xludf.DUMMYFUNCTION("""COMPUTED_VALUE"""),"Sudan")</f>
        <v>Sudan</v>
      </c>
      <c r="D2" s="697" t="str">
        <f>IFERROR(__xludf.DUMMYFUNCTION("""COMPUTED_VALUE"""),"Oxamniquine")</f>
        <v>Oxamniquine</v>
      </c>
      <c r="E2" s="697" t="str">
        <f>IFERROR(__xludf.DUMMYFUNCTION("""COMPUTED_VALUE"""),"Two")</f>
        <v>Two</v>
      </c>
      <c r="F2" s="697" t="str">
        <f>IFERROR(__xludf.DUMMYFUNCTION("""COMPUTED_VALUE"""),"15 mg/kg")</f>
        <v>15 mg/kg</v>
      </c>
      <c r="G2" s="697">
        <f>IFERROR(__xludf.DUMMYFUNCTION("""COMPUTED_VALUE"""),170.0)</f>
        <v>170</v>
      </c>
      <c r="H2" s="697" t="str">
        <f>IFERROR(__xludf.DUMMYFUNCTION("""COMPUTED_VALUE"""),"over 15")</f>
        <v>over 15</v>
      </c>
      <c r="I2" s="705" t="str">
        <f>IFERROR(__xludf.DUMMYFUNCTION("""COMPUTED_VALUE"""),"data not available")</f>
        <v>data not available</v>
      </c>
      <c r="J2" s="697">
        <f>IFERROR(__xludf.DUMMYFUNCTION("""COMPUTED_VALUE"""),1988.0)</f>
        <v>1988</v>
      </c>
      <c r="K2" s="697" t="str">
        <f>IFERROR(__xludf.DUMMYFUNCTION("""COMPUTED_VALUE"""),"adults with S. mansoni infection as determined by Kato smear")</f>
        <v>adults with S. mansoni infection as determined by Kato smear</v>
      </c>
      <c r="L2" s="697" t="str">
        <f>IFERROR(__xludf.DUMMYFUNCTION("""COMPUTED_VALUE"""),"No")</f>
        <v>No</v>
      </c>
      <c r="M2" s="697" t="str">
        <f>IFERROR(__xludf.DUMMYFUNCTION("""COMPUTED_VALUE"""),"No")</f>
        <v>No</v>
      </c>
      <c r="N2" s="697" t="str">
        <f>IFERROR(__xludf.DUMMYFUNCTION("""COMPUTED_VALUE"""),"Cure rate 6 months,")</f>
        <v>Cure rate 6 months,</v>
      </c>
      <c r="O2" s="872">
        <f>IFERROR(__xludf.DUMMYFUNCTION("""COMPUTED_VALUE"""),0.98)</f>
        <v>0.98</v>
      </c>
      <c r="P2" s="706">
        <f>IFERROR(__xludf.DUMMYFUNCTION("""COMPUTED_VALUE"""),0.621)</f>
        <v>0.621</v>
      </c>
      <c r="Q2" s="697" t="str">
        <f>IFERROR(__xludf.DUMMYFUNCTION("""COMPUTED_VALUE"""),"Total doses of 40 and 60 mg/kg b.w.t. were equally effective in producing  initial cure. To reduce the cost of chemotherapy it is suggested that a total dose of 40 mg/kb b.w.t. should be employed for radical cure of S. mansoni infections and a total dose "&amp;"of 20 mg/kb b.w.t. be onsidered for mass chemotherapy.")</f>
        <v>Total doses of 40 and 60 mg/kg b.w.t. were equally effective in producing  initial cure. To reduce the cost of chemotherapy it is suggested that a total dose of 40 mg/kb b.w.t. should be employed for radical cure of S. mansoni infections and a total dose of 20 mg/kb b.w.t. be onsidered for mass chemotherapy.</v>
      </c>
      <c r="R2" s="697"/>
      <c r="S2" s="699" t="str">
        <f>IFERROR(__xludf.DUMMYFUNCTION("""COMPUTED_VALUE"""),"Abdel-Rahim, I.M.; Haridi, A.A.M.; Abdel-Hameed, A.A. ""A field evaluation of three dose levels of oxamniquine in Gezira--Sudan."" East African medical journal 65.11 (1988): 771-777. Web.")</f>
        <v>Abdel-Rahim, I.M.; Haridi, A.A.M.; Abdel-Hameed, A.A. "A field evaluation of three dose levels of oxamniquine in Gezira--Sudan." East African medical journal 65.11 (1988): 771-777. Web.</v>
      </c>
      <c r="T2" s="697"/>
      <c r="U2" s="697" t="str">
        <f>IFERROR(__xludf.DUMMYFUNCTION("""COMPUTED_VALUE"""),"x")</f>
        <v>x</v>
      </c>
      <c r="V2" s="697">
        <f>IFERROR(__xludf.DUMMYFUNCTION("""COMPUTED_VALUE"""),2.0)</f>
        <v>2</v>
      </c>
    </row>
    <row r="3">
      <c r="A3" s="40" t="str">
        <f>IFERROR(__xludf.DUMMYFUNCTION("""COMPUTED_VALUE"""),"Abdel Rahim IM, 1988")</f>
        <v>Abdel Rahim IM, 1988</v>
      </c>
      <c r="B3" s="697" t="str">
        <f>IFERROR(__xludf.DUMMYFUNCTION("""COMPUTED_VALUE"""),"s. mansoni")</f>
        <v>s. mansoni</v>
      </c>
      <c r="C3" s="697" t="str">
        <f>IFERROR(__xludf.DUMMYFUNCTION("""COMPUTED_VALUE"""),"Sudan")</f>
        <v>Sudan</v>
      </c>
      <c r="D3" s="697" t="str">
        <f>IFERROR(__xludf.DUMMYFUNCTION("""COMPUTED_VALUE"""),"Oxamniquine")</f>
        <v>Oxamniquine</v>
      </c>
      <c r="E3" s="697" t="str">
        <f>IFERROR(__xludf.DUMMYFUNCTION("""COMPUTED_VALUE"""),"Two")</f>
        <v>Two</v>
      </c>
      <c r="F3" s="697" t="str">
        <f>IFERROR(__xludf.DUMMYFUNCTION("""COMPUTED_VALUE"""),"10 mg/kg ")</f>
        <v>10 mg/kg </v>
      </c>
      <c r="G3" s="697">
        <f>IFERROR(__xludf.DUMMYFUNCTION("""COMPUTED_VALUE"""),170.0)</f>
        <v>170</v>
      </c>
      <c r="H3" s="697" t="str">
        <f>IFERROR(__xludf.DUMMYFUNCTION("""COMPUTED_VALUE"""),"over 15")</f>
        <v>over 15</v>
      </c>
      <c r="I3" s="705" t="str">
        <f>IFERROR(__xludf.DUMMYFUNCTION("""COMPUTED_VALUE"""),"data not available")</f>
        <v>data not available</v>
      </c>
      <c r="J3" s="697">
        <f>IFERROR(__xludf.DUMMYFUNCTION("""COMPUTED_VALUE"""),1988.0)</f>
        <v>1988</v>
      </c>
      <c r="K3" s="697" t="str">
        <f>IFERROR(__xludf.DUMMYFUNCTION("""COMPUTED_VALUE"""),"adults with S. mansoni infection as determined by Kato smear")</f>
        <v>adults with S. mansoni infection as determined by Kato smear</v>
      </c>
      <c r="L3" s="697" t="str">
        <f>IFERROR(__xludf.DUMMYFUNCTION("""COMPUTED_VALUE"""),"No")</f>
        <v>No</v>
      </c>
      <c r="M3" s="697" t="str">
        <f>IFERROR(__xludf.DUMMYFUNCTION("""COMPUTED_VALUE"""),"No")</f>
        <v>No</v>
      </c>
      <c r="N3" s="697" t="str">
        <f>IFERROR(__xludf.DUMMYFUNCTION("""COMPUTED_VALUE"""),"Cure rate 6 months,")</f>
        <v>Cure rate 6 months,</v>
      </c>
      <c r="O3" s="872">
        <f>IFERROR(__xludf.DUMMYFUNCTION("""COMPUTED_VALUE"""),0.88)</f>
        <v>0.88</v>
      </c>
      <c r="P3" s="706">
        <f>IFERROR(__xludf.DUMMYFUNCTION("""COMPUTED_VALUE"""),0.568)</f>
        <v>0.568</v>
      </c>
      <c r="Q3" s="697" t="str">
        <f>IFERROR(__xludf.DUMMYFUNCTION("""COMPUTED_VALUE"""),"Total doses of 40 and 60 mg/kg b.w.t. were equally effective in producing  initial cure. To reduce the cost of chemotherapy it is suggested that a total dose of 40 mg/kb b.w.t. should be employed for radical cure of S. mansoni infections and a total dose "&amp;"of 20 mg/kb b.w.t. be onsidered for mass chemotherapy.")</f>
        <v>Total doses of 40 and 60 mg/kg b.w.t. were equally effective in producing  initial cure. To reduce the cost of chemotherapy it is suggested that a total dose of 40 mg/kb b.w.t. should be employed for radical cure of S. mansoni infections and a total dose of 20 mg/kb b.w.t. be onsidered for mass chemotherapy.</v>
      </c>
      <c r="R3" s="697"/>
      <c r="S3" s="699" t="str">
        <f>IFERROR(__xludf.DUMMYFUNCTION("""COMPUTED_VALUE"""),"Abdel-Rahim, I.M.; Haridi, A.A.M.; Abdel-Hameed, A.A. ""A field evaluation of three dose levels of oxamniquine in Gezira--Sudan."" East African medical journal 65.11 (1988): 771-777. Web.")</f>
        <v>Abdel-Rahim, I.M.; Haridi, A.A.M.; Abdel-Hameed, A.A. "A field evaluation of three dose levels of oxamniquine in Gezira--Sudan." East African medical journal 65.11 (1988): 771-777. Web.</v>
      </c>
      <c r="T3" s="697"/>
      <c r="U3" s="697" t="str">
        <f>IFERROR(__xludf.DUMMYFUNCTION("""COMPUTED_VALUE"""),"x")</f>
        <v>x</v>
      </c>
      <c r="V3" s="697">
        <f>IFERROR(__xludf.DUMMYFUNCTION("""COMPUTED_VALUE"""),3.0)</f>
        <v>3</v>
      </c>
    </row>
    <row r="4">
      <c r="A4" s="697" t="str">
        <f>IFERROR(__xludf.DUMMYFUNCTION("""COMPUTED_VALUE"""),"Abdel Rahim IM, 1988")</f>
        <v>Abdel Rahim IM, 1988</v>
      </c>
      <c r="B4" s="697" t="str">
        <f>IFERROR(__xludf.DUMMYFUNCTION("""COMPUTED_VALUE"""),"s. mansoni")</f>
        <v>s. mansoni</v>
      </c>
      <c r="C4" s="697" t="str">
        <f>IFERROR(__xludf.DUMMYFUNCTION("""COMPUTED_VALUE"""),"Sudan")</f>
        <v>Sudan</v>
      </c>
      <c r="D4" s="697" t="str">
        <f>IFERROR(__xludf.DUMMYFUNCTION("""COMPUTED_VALUE"""),"Oxamniquine")</f>
        <v>Oxamniquine</v>
      </c>
      <c r="E4" s="697" t="str">
        <f>IFERROR(__xludf.DUMMYFUNCTION("""COMPUTED_VALUE"""),"Single")</f>
        <v>Single</v>
      </c>
      <c r="F4" s="697" t="str">
        <f>IFERROR(__xludf.DUMMYFUNCTION("""COMPUTED_VALUE"""),"10 mg/kg ")</f>
        <v>10 mg/kg </v>
      </c>
      <c r="G4" s="697">
        <f>IFERROR(__xludf.DUMMYFUNCTION("""COMPUTED_VALUE"""),170.0)</f>
        <v>170</v>
      </c>
      <c r="H4" s="697" t="str">
        <f>IFERROR(__xludf.DUMMYFUNCTION("""COMPUTED_VALUE"""),"over 15")</f>
        <v>over 15</v>
      </c>
      <c r="I4" s="705" t="str">
        <f>IFERROR(__xludf.DUMMYFUNCTION("""COMPUTED_VALUE"""),"data not available")</f>
        <v>data not available</v>
      </c>
      <c r="J4" s="697">
        <f>IFERROR(__xludf.DUMMYFUNCTION("""COMPUTED_VALUE"""),1988.0)</f>
        <v>1988</v>
      </c>
      <c r="K4" s="697" t="str">
        <f>IFERROR(__xludf.DUMMYFUNCTION("""COMPUTED_VALUE"""),"adults with S. mansoni infection as determined by Kato smear")</f>
        <v>adults with S. mansoni infection as determined by Kato smear</v>
      </c>
      <c r="L4" s="697" t="str">
        <f>IFERROR(__xludf.DUMMYFUNCTION("""COMPUTED_VALUE"""),"No")</f>
        <v>No</v>
      </c>
      <c r="M4" s="697" t="str">
        <f>IFERROR(__xludf.DUMMYFUNCTION("""COMPUTED_VALUE"""),"No")</f>
        <v>No</v>
      </c>
      <c r="N4" s="697" t="str">
        <f>IFERROR(__xludf.DUMMYFUNCTION("""COMPUTED_VALUE"""),"Cure rate 6 months,")</f>
        <v>Cure rate 6 months,</v>
      </c>
      <c r="O4" s="872">
        <f>IFERROR(__xludf.DUMMYFUNCTION("""COMPUTED_VALUE"""),0.73)</f>
        <v>0.73</v>
      </c>
      <c r="P4" s="706">
        <f>IFERROR(__xludf.DUMMYFUNCTION("""COMPUTED_VALUE"""),0.571)</f>
        <v>0.571</v>
      </c>
      <c r="Q4" s="697" t="str">
        <f>IFERROR(__xludf.DUMMYFUNCTION("""COMPUTED_VALUE"""),"Total doses of 40 and 60 mg/kg b.w.t. were equally effective in producing  initial cure. To reduce the cost of chemotherapy it is suggested that a total dose of 40 mg/kb b.w.t. should be employed for radical cure of S. mansoni infections and a total dose "&amp;"of 20 mg/kb b.w.t. be onsidered for mass chemotherapy.")</f>
        <v>Total doses of 40 and 60 mg/kg b.w.t. were equally effective in producing  initial cure. To reduce the cost of chemotherapy it is suggested that a total dose of 40 mg/kb b.w.t. should be employed for radical cure of S. mansoni infections and a total dose of 20 mg/kb b.w.t. be onsidered for mass chemotherapy.</v>
      </c>
      <c r="R4" s="697"/>
      <c r="S4" s="699" t="str">
        <f>IFERROR(__xludf.DUMMYFUNCTION("""COMPUTED_VALUE"""),"Abdel-Rahim, I.M.; Haridi, A.A.M.; Abdel-Hameed, A.A. ""A field evaluation of three dose levels of oxamniquine in Gezira--Sudan."" East African medical journal 65.11 (1988): 771-777. Web.")</f>
        <v>Abdel-Rahim, I.M.; Haridi, A.A.M.; Abdel-Hameed, A.A. "A field evaluation of three dose levels of oxamniquine in Gezira--Sudan." East African medical journal 65.11 (1988): 771-777. Web.</v>
      </c>
      <c r="T4" s="697"/>
      <c r="U4" s="697" t="str">
        <f>IFERROR(__xludf.DUMMYFUNCTION("""COMPUTED_VALUE"""),"x")</f>
        <v>x</v>
      </c>
      <c r="V4" s="697">
        <f>IFERROR(__xludf.DUMMYFUNCTION("""COMPUTED_VALUE"""),4.0)</f>
        <v>4</v>
      </c>
    </row>
    <row r="5">
      <c r="A5" s="697" t="str">
        <f>IFERROR(__xludf.DUMMYFUNCTION("""COMPUTED_VALUE"""),"Abdel Rahim IM, 1988")</f>
        <v>Abdel Rahim IM, 1988</v>
      </c>
      <c r="B5" s="697" t="str">
        <f>IFERROR(__xludf.DUMMYFUNCTION("""COMPUTED_VALUE"""),"s. mansoni")</f>
        <v>s. mansoni</v>
      </c>
      <c r="C5" s="697" t="str">
        <f>IFERROR(__xludf.DUMMYFUNCTION("""COMPUTED_VALUE"""),"Sudan")</f>
        <v>Sudan</v>
      </c>
      <c r="D5" s="697" t="str">
        <f>IFERROR(__xludf.DUMMYFUNCTION("""COMPUTED_VALUE"""),"Oxamniquine")</f>
        <v>Oxamniquine</v>
      </c>
      <c r="E5" s="697" t="str">
        <f>IFERROR(__xludf.DUMMYFUNCTION("""COMPUTED_VALUE"""),"Two")</f>
        <v>Two</v>
      </c>
      <c r="F5" s="697" t="str">
        <f>IFERROR(__xludf.DUMMYFUNCTION("""COMPUTED_VALUE"""),"15 mg/kg  ")</f>
        <v>15 mg/kg  </v>
      </c>
      <c r="G5" s="697">
        <f>IFERROR(__xludf.DUMMYFUNCTION("""COMPUTED_VALUE"""),126.0)</f>
        <v>126</v>
      </c>
      <c r="H5" s="697" t="str">
        <f>IFERROR(__xludf.DUMMYFUNCTION("""COMPUTED_VALUE"""),"5- 15")</f>
        <v>5- 15</v>
      </c>
      <c r="I5" s="705" t="str">
        <f>IFERROR(__xludf.DUMMYFUNCTION("""COMPUTED_VALUE"""),"data not available")</f>
        <v>data not available</v>
      </c>
      <c r="J5" s="697">
        <f>IFERROR(__xludf.DUMMYFUNCTION("""COMPUTED_VALUE"""),1988.0)</f>
        <v>1988</v>
      </c>
      <c r="K5" s="697" t="str">
        <f>IFERROR(__xludf.DUMMYFUNCTION("""COMPUTED_VALUE"""),"children with S. mansoni infection as determined by Kato smear")</f>
        <v>children with S. mansoni infection as determined by Kato smear</v>
      </c>
      <c r="L5" s="697" t="str">
        <f>IFERROR(__xludf.DUMMYFUNCTION("""COMPUTED_VALUE"""),"No")</f>
        <v>No</v>
      </c>
      <c r="M5" s="697" t="str">
        <f>IFERROR(__xludf.DUMMYFUNCTION("""COMPUTED_VALUE"""),"No")</f>
        <v>No</v>
      </c>
      <c r="N5" s="697" t="str">
        <f>IFERROR(__xludf.DUMMYFUNCTION("""COMPUTED_VALUE"""),"Cure rate 6 months and 8 months")</f>
        <v>Cure rate 6 months and 8 months</v>
      </c>
      <c r="O5" s="872">
        <f>IFERROR(__xludf.DUMMYFUNCTION("""COMPUTED_VALUE"""),0.36)</f>
        <v>0.36</v>
      </c>
      <c r="P5" s="706">
        <f>IFERROR(__xludf.DUMMYFUNCTION("""COMPUTED_VALUE"""),0.621)</f>
        <v>0.621</v>
      </c>
      <c r="Q5" s="697" t="str">
        <f>IFERROR(__xludf.DUMMYFUNCTION("""COMPUTED_VALUE"""),"Total doses of 40 and 60 mg/kg b.w.t. were equally effective in producing  initial cure. To reduce the cost of chemotherapy it is suggested that a total dose of 40 mg/kb b.w.t. should be employed for radical cure of S. mansoni infections and a total dose "&amp;"of 20 mg/kb b.w.t. be onsidered for mass chemotherapy.")</f>
        <v>Total doses of 40 and 60 mg/kg b.w.t. were equally effective in producing  initial cure. To reduce the cost of chemotherapy it is suggested that a total dose of 40 mg/kb b.w.t. should be employed for radical cure of S. mansoni infections and a total dose of 20 mg/kb b.w.t. be onsidered for mass chemotherapy.</v>
      </c>
      <c r="R5" s="697"/>
      <c r="S5" s="699" t="str">
        <f>IFERROR(__xludf.DUMMYFUNCTION("""COMPUTED_VALUE"""),"Abdel-Rahim, I.M.; Haridi, A.A.M.; Abdel-Hameed, A.A. ""A field evaluation of three dose levels of oxamniquine in Gezira--Sudan."" East African medical journal 65.11 (1988): 771-777. Web.")</f>
        <v>Abdel-Rahim, I.M.; Haridi, A.A.M.; Abdel-Hameed, A.A. "A field evaluation of three dose levels of oxamniquine in Gezira--Sudan." East African medical journal 65.11 (1988): 771-777. Web.</v>
      </c>
      <c r="T5" s="697"/>
      <c r="U5" s="697" t="str">
        <f>IFERROR(__xludf.DUMMYFUNCTION("""COMPUTED_VALUE"""),"x")</f>
        <v>x</v>
      </c>
      <c r="V5" s="697">
        <f>IFERROR(__xludf.DUMMYFUNCTION("""COMPUTED_VALUE"""),5.0)</f>
        <v>5</v>
      </c>
    </row>
    <row r="6">
      <c r="A6" s="697" t="str">
        <f>IFERROR(__xludf.DUMMYFUNCTION("""COMPUTED_VALUE"""),"Abdel Rahim IM, 1988")</f>
        <v>Abdel Rahim IM, 1988</v>
      </c>
      <c r="B6" s="697" t="str">
        <f>IFERROR(__xludf.DUMMYFUNCTION("""COMPUTED_VALUE"""),"s. mansoni")</f>
        <v>s. mansoni</v>
      </c>
      <c r="C6" s="697" t="str">
        <f>IFERROR(__xludf.DUMMYFUNCTION("""COMPUTED_VALUE"""),"Sudan")</f>
        <v>Sudan</v>
      </c>
      <c r="D6" s="697" t="str">
        <f>IFERROR(__xludf.DUMMYFUNCTION("""COMPUTED_VALUE"""),"Oxamniquine")</f>
        <v>Oxamniquine</v>
      </c>
      <c r="E6" s="697" t="str">
        <f>IFERROR(__xludf.DUMMYFUNCTION("""COMPUTED_VALUE"""),"Two")</f>
        <v>Two</v>
      </c>
      <c r="F6" s="697" t="str">
        <f>IFERROR(__xludf.DUMMYFUNCTION("""COMPUTED_VALUE"""),"10 mg/kg")</f>
        <v>10 mg/kg</v>
      </c>
      <c r="G6" s="697">
        <f>IFERROR(__xludf.DUMMYFUNCTION("""COMPUTED_VALUE"""),126.0)</f>
        <v>126</v>
      </c>
      <c r="H6" s="697" t="str">
        <f>IFERROR(__xludf.DUMMYFUNCTION("""COMPUTED_VALUE"""),"5- 15")</f>
        <v>5- 15</v>
      </c>
      <c r="I6" s="705" t="str">
        <f>IFERROR(__xludf.DUMMYFUNCTION("""COMPUTED_VALUE"""),"data not available")</f>
        <v>data not available</v>
      </c>
      <c r="J6" s="697">
        <f>IFERROR(__xludf.DUMMYFUNCTION("""COMPUTED_VALUE"""),1988.0)</f>
        <v>1988</v>
      </c>
      <c r="K6" s="697" t="str">
        <f>IFERROR(__xludf.DUMMYFUNCTION("""COMPUTED_VALUE"""),"children with S. mansoni infection as determined by Kato smear")</f>
        <v>children with S. mansoni infection as determined by Kato smear</v>
      </c>
      <c r="L6" s="697" t="str">
        <f>IFERROR(__xludf.DUMMYFUNCTION("""COMPUTED_VALUE"""),"No")</f>
        <v>No</v>
      </c>
      <c r="M6" s="697" t="str">
        <f>IFERROR(__xludf.DUMMYFUNCTION("""COMPUTED_VALUE"""),"No")</f>
        <v>No</v>
      </c>
      <c r="N6" s="697" t="str">
        <f>IFERROR(__xludf.DUMMYFUNCTION("""COMPUTED_VALUE"""),"Cure rate 6 months and 8 months")</f>
        <v>Cure rate 6 months and 8 months</v>
      </c>
      <c r="O6" s="873">
        <f>IFERROR(__xludf.DUMMYFUNCTION("""COMPUTED_VALUE"""),0.58)</f>
        <v>0.58</v>
      </c>
      <c r="P6" s="706">
        <f>IFERROR(__xludf.DUMMYFUNCTION("""COMPUTED_VALUE"""),0.568)</f>
        <v>0.568</v>
      </c>
      <c r="Q6" s="697" t="str">
        <f>IFERROR(__xludf.DUMMYFUNCTION("""COMPUTED_VALUE"""),"Total doses of 40 and 60 mg/kg b.w.t. were equally effective in producing  initial cure. To reduce the cost of chemotherapy it is suggested that a total dose of 40 mg/kb b.w.t. should be employed for radical cure of S. mansoni infections and a total dose "&amp;"of 20 mg/kb b.w.t. be onsidered for mass chemotherapy.")</f>
        <v>Total doses of 40 and 60 mg/kg b.w.t. were equally effective in producing  initial cure. To reduce the cost of chemotherapy it is suggested that a total dose of 40 mg/kb b.w.t. should be employed for radical cure of S. mansoni infections and a total dose of 20 mg/kb b.w.t. be onsidered for mass chemotherapy.</v>
      </c>
      <c r="R6" s="697"/>
      <c r="S6" s="699" t="str">
        <f>IFERROR(__xludf.DUMMYFUNCTION("""COMPUTED_VALUE"""),"Abdel-Rahim, I.M.; Haridi, A.A.M.; Abdel-Hameed, A.A. ""A field evaluation of three dose levels of oxamniquine in Gezira--Sudan."" East African medical journal 65.11 (1988): 771-777. Web.")</f>
        <v>Abdel-Rahim, I.M.; Haridi, A.A.M.; Abdel-Hameed, A.A. "A field evaluation of three dose levels of oxamniquine in Gezira--Sudan." East African medical journal 65.11 (1988): 771-777. Web.</v>
      </c>
      <c r="T6" s="697"/>
      <c r="U6" s="697" t="str">
        <f>IFERROR(__xludf.DUMMYFUNCTION("""COMPUTED_VALUE"""),"x")</f>
        <v>x</v>
      </c>
      <c r="V6" s="697">
        <f>IFERROR(__xludf.DUMMYFUNCTION("""COMPUTED_VALUE"""),6.0)</f>
        <v>6</v>
      </c>
    </row>
    <row r="7">
      <c r="A7" s="697" t="str">
        <f>IFERROR(__xludf.DUMMYFUNCTION("""COMPUTED_VALUE"""),"Abdel Rahim IM, 1988")</f>
        <v>Abdel Rahim IM, 1988</v>
      </c>
      <c r="B7" s="697" t="str">
        <f>IFERROR(__xludf.DUMMYFUNCTION("""COMPUTED_VALUE"""),"s. mansoni")</f>
        <v>s. mansoni</v>
      </c>
      <c r="C7" s="697" t="str">
        <f>IFERROR(__xludf.DUMMYFUNCTION("""COMPUTED_VALUE"""),"Sudan")</f>
        <v>Sudan</v>
      </c>
      <c r="D7" s="697" t="str">
        <f>IFERROR(__xludf.DUMMYFUNCTION("""COMPUTED_VALUE"""),"Oxamniquine")</f>
        <v>Oxamniquine</v>
      </c>
      <c r="E7" s="697" t="str">
        <f>IFERROR(__xludf.DUMMYFUNCTION("""COMPUTED_VALUE"""),"Single")</f>
        <v>Single</v>
      </c>
      <c r="F7" s="697" t="str">
        <f>IFERROR(__xludf.DUMMYFUNCTION("""COMPUTED_VALUE"""),"10 mg/kg ")</f>
        <v>10 mg/kg </v>
      </c>
      <c r="G7" s="697">
        <f>IFERROR(__xludf.DUMMYFUNCTION("""COMPUTED_VALUE"""),126.0)</f>
        <v>126</v>
      </c>
      <c r="H7" s="697" t="str">
        <f>IFERROR(__xludf.DUMMYFUNCTION("""COMPUTED_VALUE"""),"5- 15")</f>
        <v>5- 15</v>
      </c>
      <c r="I7" s="705" t="str">
        <f>IFERROR(__xludf.DUMMYFUNCTION("""COMPUTED_VALUE"""),"data not available")</f>
        <v>data not available</v>
      </c>
      <c r="J7" s="697">
        <f>IFERROR(__xludf.DUMMYFUNCTION("""COMPUTED_VALUE"""),1988.0)</f>
        <v>1988</v>
      </c>
      <c r="K7" s="697" t="str">
        <f>IFERROR(__xludf.DUMMYFUNCTION("""COMPUTED_VALUE"""),"children with S. mansoni infection as determined by Kato smear")</f>
        <v>children with S. mansoni infection as determined by Kato smear</v>
      </c>
      <c r="L7" s="697" t="str">
        <f>IFERROR(__xludf.DUMMYFUNCTION("""COMPUTED_VALUE"""),"No")</f>
        <v>No</v>
      </c>
      <c r="M7" s="697" t="str">
        <f>IFERROR(__xludf.DUMMYFUNCTION("""COMPUTED_VALUE"""),"No")</f>
        <v>No</v>
      </c>
      <c r="N7" s="697" t="str">
        <f>IFERROR(__xludf.DUMMYFUNCTION("""COMPUTED_VALUE"""),"Cure rate 6 months and 8 months")</f>
        <v>Cure rate 6 months and 8 months</v>
      </c>
      <c r="O7" s="872">
        <f>IFERROR(__xludf.DUMMYFUNCTION("""COMPUTED_VALUE"""),0.63)</f>
        <v>0.63</v>
      </c>
      <c r="P7" s="706">
        <f>IFERROR(__xludf.DUMMYFUNCTION("""COMPUTED_VALUE"""),0.571)</f>
        <v>0.571</v>
      </c>
      <c r="Q7" s="697" t="str">
        <f>IFERROR(__xludf.DUMMYFUNCTION("""COMPUTED_VALUE"""),"Total doses of 40 and 60 mg/kg b.w.t. were equally effective in producing  initial cure. To reduce the cost of chemotherapy it is suggested that a total dose of 40 mg/kb b.w.t. should be employed for radical cure of S. mansoni infections and a total dose "&amp;"of 20 mg/kb b.w.t. be onsidered for mass chemotherapy.")</f>
        <v>Total doses of 40 and 60 mg/kg b.w.t. were equally effective in producing  initial cure. To reduce the cost of chemotherapy it is suggested that a total dose of 40 mg/kb b.w.t. should be employed for radical cure of S. mansoni infections and a total dose of 20 mg/kb b.w.t. be onsidered for mass chemotherapy.</v>
      </c>
      <c r="R7" s="697"/>
      <c r="S7" s="699" t="str">
        <f>IFERROR(__xludf.DUMMYFUNCTION("""COMPUTED_VALUE"""),"Abdel-Rahim, I.M.; Haridi, A.A.M.; Abdel-Hameed, A.A. ""A field evaluation of three dose levels of oxamniquine in Gezira--Sudan."" East African medical journal 65.11 (1988): 771-777. Web.")</f>
        <v>Abdel-Rahim, I.M.; Haridi, A.A.M.; Abdel-Hameed, A.A. "A field evaluation of three dose levels of oxamniquine in Gezira--Sudan." East African medical journal 65.11 (1988): 771-777. Web.</v>
      </c>
      <c r="T7" s="699" t="str">
        <f>IFERROR(__xludf.DUMMYFUNCTION("""COMPUTED_VALUE"""),"Abdel-Rahim, I. M.; Haridi, A.A.M.; Abdel-Hameed, A.A. ""A Field Evaluation of Three-Dose Levels in Gezira-Sudan"". ""A Field Evaluation of Three Dose Levels of Oxamniquine in Gezira - Sudan"". 1988. East African Medical Journal 65(11): 771-777. Web. ")</f>
        <v>Abdel-Rahim, I. M.; Haridi, A.A.M.; Abdel-Hameed, A.A. "A Field Evaluation of Three-Dose Levels in Gezira-Sudan". "A Field Evaluation of Three Dose Levels of Oxamniquine in Gezira - Sudan". 1988. East African Medical Journal 65(11): 771-777. Web. </v>
      </c>
      <c r="U7" s="697" t="str">
        <f>IFERROR(__xludf.DUMMYFUNCTION("""COMPUTED_VALUE"""),"x")</f>
        <v>x</v>
      </c>
      <c r="V7" s="697">
        <f>IFERROR(__xludf.DUMMYFUNCTION("""COMPUTED_VALUE"""),7.0)</f>
        <v>7</v>
      </c>
    </row>
    <row r="8">
      <c r="A8" s="697" t="str">
        <f>IFERROR(__xludf.DUMMYFUNCTION("""COMPUTED_VALUE"""),"Ayele T, 1984")</f>
        <v>Ayele T, 1984</v>
      </c>
      <c r="B8" s="697" t="str">
        <f>IFERROR(__xludf.DUMMYFUNCTION("""COMPUTED_VALUE"""),"s. mansoni")</f>
        <v>s. mansoni</v>
      </c>
      <c r="C8" s="697" t="str">
        <f>IFERROR(__xludf.DUMMYFUNCTION("""COMPUTED_VALUE"""),"South America")</f>
        <v>South America</v>
      </c>
      <c r="D8" s="697" t="str">
        <f>IFERROR(__xludf.DUMMYFUNCTION("""COMPUTED_VALUE"""),"Oxamniquine")</f>
        <v>Oxamniquine</v>
      </c>
      <c r="E8" s="697" t="str">
        <f>IFERROR(__xludf.DUMMYFUNCTION("""COMPUTED_VALUE"""),"Two")</f>
        <v>Two</v>
      </c>
      <c r="F8" s="697" t="str">
        <f>IFERROR(__xludf.DUMMYFUNCTION("""COMPUTED_VALUE"""),"15 mg/kg ")</f>
        <v>15 mg/kg </v>
      </c>
      <c r="G8" s="697">
        <f>IFERROR(__xludf.DUMMYFUNCTION("""COMPUTED_VALUE"""),14.0)</f>
        <v>14</v>
      </c>
      <c r="H8" s="697" t="str">
        <f>IFERROR(__xludf.DUMMYFUNCTION("""COMPUTED_VALUE"""),"&gt;15 years ")</f>
        <v>&gt;15 years </v>
      </c>
      <c r="I8" s="705" t="str">
        <f>IFERROR(__xludf.DUMMYFUNCTION("""COMPUTED_VALUE"""),"data not available")</f>
        <v>data not available</v>
      </c>
      <c r="J8" s="697">
        <f>IFERROR(__xludf.DUMMYFUNCTION("""COMPUTED_VALUE"""),1984.0)</f>
        <v>1984</v>
      </c>
      <c r="K8" s="697" t="str">
        <f>IFERROR(__xludf.DUMMYFUNCTION("""COMPUTED_VALUE"""),"adolescents and adults aged over 15 years with a geometric mean of 200 EPG or above")</f>
        <v>adolescents and adults aged over 15 years with a geometric mean of 200 EPG or above</v>
      </c>
      <c r="L8" s="697" t="str">
        <f>IFERROR(__xludf.DUMMYFUNCTION("""COMPUTED_VALUE"""),"Yes")</f>
        <v>Yes</v>
      </c>
      <c r="M8" s="697" t="str">
        <f>IFERROR(__xludf.DUMMYFUNCTION("""COMPUTED_VALUE"""),"Yes")</f>
        <v>Yes</v>
      </c>
      <c r="N8" s="697" t="str">
        <f>IFERROR(__xludf.DUMMYFUNCTION("""COMPUTED_VALUE"""),"Cure rate 3 months with modified Kato-Katz thick smear of egg reduction rate")</f>
        <v>Cure rate 3 months with modified Kato-Katz thick smear of egg reduction rate</v>
      </c>
      <c r="O8" s="872">
        <f>IFERROR(__xludf.DUMMYFUNCTION("""COMPUTED_VALUE"""),1.0)</f>
        <v>1</v>
      </c>
      <c r="P8" s="700">
        <f>IFERROR(__xludf.DUMMYFUNCTION("""COMPUTED_VALUE"""),1.0)</f>
        <v>1</v>
      </c>
      <c r="Q8" s="697" t="str">
        <f>IFERROR(__xludf.DUMMYFUNCTION("""COMPUTED_VALUE"""),"Optimal clinical cures can be achieved.  ")</f>
        <v>Optimal clinical cures can be achieved.  </v>
      </c>
      <c r="R8" s="697" t="str">
        <f>IFERROR(__xludf.DUMMYFUNCTION("""COMPUTED_VALUE"""),"Preliminary clinical trial of oral oxamniquine in the treatment of Schistosoma mansoni in Ethiopia")</f>
        <v>Preliminary clinical trial of oral oxamniquine in the treatment of Schistosoma mansoni in Ethiopia</v>
      </c>
      <c r="S8" s="699" t="str">
        <f>IFERROR(__xludf.DUMMYFUNCTION("""COMPUTED_VALUE"""),"Ayele T. Preliminary clinical trial of oral oxamniquine in the treatment of Schistosoma mansoni in Ethiopia. East African Medical Journal 1984;61(8):632–6.")</f>
        <v>Ayele T. Preliminary clinical trial of oral oxamniquine in the treatment of Schistosoma mansoni in Ethiopia. East African Medical Journal 1984;61(8):632–6.</v>
      </c>
      <c r="T8" s="697"/>
      <c r="U8" s="697" t="str">
        <f>IFERROR(__xludf.DUMMYFUNCTION("""COMPUTED_VALUE"""),"")</f>
        <v/>
      </c>
      <c r="V8" s="697">
        <f>IFERROR(__xludf.DUMMYFUNCTION("""COMPUTED_VALUE"""),8.0)</f>
        <v>8</v>
      </c>
    </row>
    <row r="9">
      <c r="A9" s="697" t="str">
        <f>IFERROR(__xludf.DUMMYFUNCTION("""COMPUTED_VALUE"""),"Ayele T, 1984")</f>
        <v>Ayele T, 1984</v>
      </c>
      <c r="B9" s="697" t="str">
        <f>IFERROR(__xludf.DUMMYFUNCTION("""COMPUTED_VALUE"""),"s. mansoni")</f>
        <v>s. mansoni</v>
      </c>
      <c r="C9" s="697" t="str">
        <f>IFERROR(__xludf.DUMMYFUNCTION("""COMPUTED_VALUE"""),"South America")</f>
        <v>South America</v>
      </c>
      <c r="D9" s="697" t="str">
        <f>IFERROR(__xludf.DUMMYFUNCTION("""COMPUTED_VALUE"""),"Oxamniquine")</f>
        <v>Oxamniquine</v>
      </c>
      <c r="E9" s="697" t="str">
        <f>IFERROR(__xludf.DUMMYFUNCTION("""COMPUTED_VALUE"""),"Two")</f>
        <v>Two</v>
      </c>
      <c r="F9" s="697" t="str">
        <f>IFERROR(__xludf.DUMMYFUNCTION("""COMPUTED_VALUE"""),"20 mg/kg")</f>
        <v>20 mg/kg</v>
      </c>
      <c r="G9" s="697">
        <f>IFERROR(__xludf.DUMMYFUNCTION("""COMPUTED_VALUE"""),14.0)</f>
        <v>14</v>
      </c>
      <c r="H9" s="697" t="str">
        <f>IFERROR(__xludf.DUMMYFUNCTION("""COMPUTED_VALUE"""),"&gt;15 years")</f>
        <v>&gt;15 years</v>
      </c>
      <c r="I9" s="705" t="str">
        <f>IFERROR(__xludf.DUMMYFUNCTION("""COMPUTED_VALUE"""),"data not available")</f>
        <v>data not available</v>
      </c>
      <c r="J9" s="697">
        <f>IFERROR(__xludf.DUMMYFUNCTION("""COMPUTED_VALUE"""),1984.0)</f>
        <v>1984</v>
      </c>
      <c r="K9" s="697" t="str">
        <f>IFERROR(__xludf.DUMMYFUNCTION("""COMPUTED_VALUE"""),"adolescents and adults aged over 15 years with a geometric mean of 200 EPG or above")</f>
        <v>adolescents and adults aged over 15 years with a geometric mean of 200 EPG or above</v>
      </c>
      <c r="L9" s="697" t="str">
        <f>IFERROR(__xludf.DUMMYFUNCTION("""COMPUTED_VALUE"""),"Yes")</f>
        <v>Yes</v>
      </c>
      <c r="M9" s="697" t="str">
        <f>IFERROR(__xludf.DUMMYFUNCTION("""COMPUTED_VALUE"""),"Yes")</f>
        <v>Yes</v>
      </c>
      <c r="N9" s="697" t="str">
        <f>IFERROR(__xludf.DUMMYFUNCTION("""COMPUTED_VALUE"""),"3 months ")</f>
        <v>3 months </v>
      </c>
      <c r="O9" s="872">
        <f>IFERROR(__xludf.DUMMYFUNCTION("""COMPUTED_VALUE"""),1.0)</f>
        <v>1</v>
      </c>
      <c r="P9" s="700">
        <f>IFERROR(__xludf.DUMMYFUNCTION("""COMPUTED_VALUE"""),1.0)</f>
        <v>1</v>
      </c>
      <c r="Q9" s="697" t="str">
        <f>IFERROR(__xludf.DUMMYFUNCTION("""COMPUTED_VALUE"""),"Optimal clinical cures can be achieved.  ")</f>
        <v>Optimal clinical cures can be achieved.  </v>
      </c>
      <c r="R9" s="697" t="str">
        <f>IFERROR(__xludf.DUMMYFUNCTION("""COMPUTED_VALUE"""),"Preliminary clinical trial of oral oxamniquine in the treatment of Schistosoma mansoni in Ethiopia")</f>
        <v>Preliminary clinical trial of oral oxamniquine in the treatment of Schistosoma mansoni in Ethiopia</v>
      </c>
      <c r="S9" s="699" t="str">
        <f>IFERROR(__xludf.DUMMYFUNCTION("""COMPUTED_VALUE"""),"Ayele T. Preliminary clinical trial of oral oxamniquine in the treatment of Schistosoma mansoni in Ethiopia. East African Medical Journal 1984;61(8):632–6.")</f>
        <v>Ayele T. Preliminary clinical trial of oral oxamniquine in the treatment of Schistosoma mansoni in Ethiopia. East African Medical Journal 1984;61(8):632–6.</v>
      </c>
      <c r="T9" s="697"/>
      <c r="U9" s="697" t="str">
        <f>IFERROR(__xludf.DUMMYFUNCTION("""COMPUTED_VALUE"""),"")</f>
        <v/>
      </c>
      <c r="V9" s="697">
        <f>IFERROR(__xludf.DUMMYFUNCTION("""COMPUTED_VALUE"""),9.0)</f>
        <v>9</v>
      </c>
    </row>
    <row r="10">
      <c r="A10" s="697" t="str">
        <f>IFERROR(__xludf.DUMMYFUNCTION("""COMPUTED_VALUE"""),"Ayele T, 1984")</f>
        <v>Ayele T, 1984</v>
      </c>
      <c r="B10" s="697" t="str">
        <f>IFERROR(__xludf.DUMMYFUNCTION("""COMPUTED_VALUE"""),"s. mansoni")</f>
        <v>s. mansoni</v>
      </c>
      <c r="C10" s="697" t="str">
        <f>IFERROR(__xludf.DUMMYFUNCTION("""COMPUTED_VALUE"""),"South America")</f>
        <v>South America</v>
      </c>
      <c r="D10" s="697" t="str">
        <f>IFERROR(__xludf.DUMMYFUNCTION("""COMPUTED_VALUE"""),"Oxamniquine")</f>
        <v>Oxamniquine</v>
      </c>
      <c r="E10" s="697" t="str">
        <f>IFERROR(__xludf.DUMMYFUNCTION("""COMPUTED_VALUE"""),"Two")</f>
        <v>Two</v>
      </c>
      <c r="F10" s="697" t="str">
        <f>IFERROR(__xludf.DUMMYFUNCTION("""COMPUTED_VALUE"""),"30 mg/kg")</f>
        <v>30 mg/kg</v>
      </c>
      <c r="G10" s="697">
        <f>IFERROR(__xludf.DUMMYFUNCTION("""COMPUTED_VALUE"""),15.0)</f>
        <v>15</v>
      </c>
      <c r="H10" s="697" t="str">
        <f>IFERROR(__xludf.DUMMYFUNCTION("""COMPUTED_VALUE"""),"&gt;15 years")</f>
        <v>&gt;15 years</v>
      </c>
      <c r="I10" s="705" t="str">
        <f>IFERROR(__xludf.DUMMYFUNCTION("""COMPUTED_VALUE"""),"data not available")</f>
        <v>data not available</v>
      </c>
      <c r="J10" s="697">
        <f>IFERROR(__xludf.DUMMYFUNCTION("""COMPUTED_VALUE"""),1984.0)</f>
        <v>1984</v>
      </c>
      <c r="K10" s="697" t="str">
        <f>IFERROR(__xludf.DUMMYFUNCTION("""COMPUTED_VALUE"""),"adolescents and adults aged over 15 years with a geometric mean of 200 EPG or above")</f>
        <v>adolescents and adults aged over 15 years with a geometric mean of 200 EPG or above</v>
      </c>
      <c r="L10" s="697" t="str">
        <f>IFERROR(__xludf.DUMMYFUNCTION("""COMPUTED_VALUE"""),"Yes")</f>
        <v>Yes</v>
      </c>
      <c r="M10" s="697" t="str">
        <f>IFERROR(__xludf.DUMMYFUNCTION("""COMPUTED_VALUE"""),"Yes")</f>
        <v>Yes</v>
      </c>
      <c r="N10" s="697" t="str">
        <f>IFERROR(__xludf.DUMMYFUNCTION("""COMPUTED_VALUE"""),"3 months ")</f>
        <v>3 months </v>
      </c>
      <c r="O10" s="873">
        <f>IFERROR(__xludf.DUMMYFUNCTION("""COMPUTED_VALUE"""),0.867)</f>
        <v>0.867</v>
      </c>
      <c r="P10" s="698">
        <f>IFERROR(__xludf.DUMMYFUNCTION("""COMPUTED_VALUE"""),0.737)</f>
        <v>0.737</v>
      </c>
      <c r="Q10" s="697" t="str">
        <f>IFERROR(__xludf.DUMMYFUNCTION("""COMPUTED_VALUE"""),"Optimal clinical cures can be achieved.  ")</f>
        <v>Optimal clinical cures can be achieved.  </v>
      </c>
      <c r="R10" s="697" t="str">
        <f>IFERROR(__xludf.DUMMYFUNCTION("""COMPUTED_VALUE"""),"Preliminary clinical trial of oral oxamniquine in the treatment of Schistosoma mansoni in Ethiopia")</f>
        <v>Preliminary clinical trial of oral oxamniquine in the treatment of Schistosoma mansoni in Ethiopia</v>
      </c>
      <c r="S10" s="699" t="str">
        <f>IFERROR(__xludf.DUMMYFUNCTION("""COMPUTED_VALUE"""),"Ayele T. Preliminary clinical trial of oral oxamniquine in the treatment of Schistosoma mansoni in Ethiopia. East African Medical Journal 1984;61(8):632–6.")</f>
        <v>Ayele T. Preliminary clinical trial of oral oxamniquine in the treatment of Schistosoma mansoni in Ethiopia. East African Medical Journal 1984;61(8):632–6.</v>
      </c>
      <c r="T10" s="697"/>
      <c r="U10" s="697" t="str">
        <f>IFERROR(__xludf.DUMMYFUNCTION("""COMPUTED_VALUE"""),"")</f>
        <v/>
      </c>
      <c r="V10" s="697">
        <f>IFERROR(__xludf.DUMMYFUNCTION("""COMPUTED_VALUE"""),10.0)</f>
        <v>10</v>
      </c>
    </row>
    <row r="11">
      <c r="A11" s="697" t="str">
        <f>IFERROR(__xludf.DUMMYFUNCTION("""COMPUTED_VALUE"""),"Ayele T, 1984")</f>
        <v>Ayele T, 1984</v>
      </c>
      <c r="B11" s="697" t="str">
        <f>IFERROR(__xludf.DUMMYFUNCTION("""COMPUTED_VALUE"""),"s.mansoni")</f>
        <v>s.mansoni</v>
      </c>
      <c r="C11" s="697" t="str">
        <f>IFERROR(__xludf.DUMMYFUNCTION("""COMPUTED_VALUE"""),"South America")</f>
        <v>South America</v>
      </c>
      <c r="D11" s="697" t="str">
        <f>IFERROR(__xludf.DUMMYFUNCTION("""COMPUTED_VALUE"""),"Placebo")</f>
        <v>Placebo</v>
      </c>
      <c r="E11" s="697" t="str">
        <f>IFERROR(__xludf.DUMMYFUNCTION("""COMPUTED_VALUE"""),"Single")</f>
        <v>Single</v>
      </c>
      <c r="F11" s="697" t="str">
        <f>IFERROR(__xludf.DUMMYFUNCTION("""COMPUTED_VALUE"""),"Placebo")</f>
        <v>Placebo</v>
      </c>
      <c r="G11" s="697">
        <f>IFERROR(__xludf.DUMMYFUNCTION("""COMPUTED_VALUE"""),6.0)</f>
        <v>6</v>
      </c>
      <c r="H11" s="697" t="str">
        <f>IFERROR(__xludf.DUMMYFUNCTION("""COMPUTED_VALUE"""),"&gt;15 years")</f>
        <v>&gt;15 years</v>
      </c>
      <c r="I11" s="705" t="str">
        <f>IFERROR(__xludf.DUMMYFUNCTION("""COMPUTED_VALUE"""),"data not available")</f>
        <v>data not available</v>
      </c>
      <c r="J11" s="697">
        <f>IFERROR(__xludf.DUMMYFUNCTION("""COMPUTED_VALUE"""),1984.0)</f>
        <v>1984</v>
      </c>
      <c r="K11" s="697" t="str">
        <f>IFERROR(__xludf.DUMMYFUNCTION("""COMPUTED_VALUE"""),"adolescents and adults aged over 15 years with a geometric mean of 200 EPG or above")</f>
        <v>adolescents and adults aged over 15 years with a geometric mean of 200 EPG or above</v>
      </c>
      <c r="L11" s="697" t="str">
        <f>IFERROR(__xludf.DUMMYFUNCTION("""COMPUTED_VALUE"""),"Yes")</f>
        <v>Yes</v>
      </c>
      <c r="M11" s="697" t="str">
        <f>IFERROR(__xludf.DUMMYFUNCTION("""COMPUTED_VALUE"""),"Yes")</f>
        <v>Yes</v>
      </c>
      <c r="N11" s="697" t="str">
        <f>IFERROR(__xludf.DUMMYFUNCTION("""COMPUTED_VALUE"""),"3 months")</f>
        <v>3 months</v>
      </c>
      <c r="O11" s="873">
        <f>IFERROR(__xludf.DUMMYFUNCTION("""COMPUTED_VALUE"""),0.0)</f>
        <v>0</v>
      </c>
      <c r="P11" s="697" t="str">
        <f>IFERROR(__xludf.DUMMYFUNCTION("""COMPUTED_VALUE""")," increase 59%")</f>
        <v> increase 59%</v>
      </c>
      <c r="Q11" s="697" t="str">
        <f>IFERROR(__xludf.DUMMYFUNCTION("""COMPUTED_VALUE"""),"Optimal clinical cures can be achieved.  ")</f>
        <v>Optimal clinical cures can be achieved.  </v>
      </c>
      <c r="R11" s="697" t="str">
        <f>IFERROR(__xludf.DUMMYFUNCTION("""COMPUTED_VALUE"""),"Preliminary clinical trial of oral oxamniquine in the treatment of Schistosoma mansoni in Ethiopia")</f>
        <v>Preliminary clinical trial of oral oxamniquine in the treatment of Schistosoma mansoni in Ethiopia</v>
      </c>
      <c r="S11" s="699" t="str">
        <f>IFERROR(__xludf.DUMMYFUNCTION("""COMPUTED_VALUE"""),"Ayele T. Preliminary clinical trial of oral oxamniquine in the treatment of Schistosoma mansoni in Ethiopia. East African Medical Journal 1984;61(8):632–6.")</f>
        <v>Ayele T. Preliminary clinical trial of oral oxamniquine in the treatment of Schistosoma mansoni in Ethiopia. East African Medical Journal 1984;61(8):632–6.</v>
      </c>
      <c r="T11" s="697"/>
      <c r="U11" s="697" t="str">
        <f>IFERROR(__xludf.DUMMYFUNCTION("""COMPUTED_VALUE"""),"")</f>
        <v/>
      </c>
      <c r="V11" s="697">
        <f>IFERROR(__xludf.DUMMYFUNCTION("""COMPUTED_VALUE"""),11.0)</f>
        <v>11</v>
      </c>
    </row>
    <row r="12">
      <c r="A12" s="697" t="str">
        <f>IFERROR(__xludf.DUMMYFUNCTION("""COMPUTED_VALUE"""),"Barakat R, 2005")</f>
        <v>Barakat R, 2005</v>
      </c>
      <c r="B12" s="697" t="str">
        <f>IFERROR(__xludf.DUMMYFUNCTION("""COMPUTED_VALUE"""),"s. mansoni")</f>
        <v>s. mansoni</v>
      </c>
      <c r="C12" s="697" t="str">
        <f>IFERROR(__xludf.DUMMYFUNCTION("""COMPUTED_VALUE"""),"Egypt")</f>
        <v>Egypt</v>
      </c>
      <c r="D12" s="697" t="str">
        <f>IFERROR(__xludf.DUMMYFUNCTION("""COMPUTED_VALUE"""),"Myrhh")</f>
        <v>Myrhh</v>
      </c>
      <c r="E12" s="697" t="str">
        <f>IFERROR(__xludf.DUMMYFUNCTION("""COMPUTED_VALUE"""),"Two")</f>
        <v>Two</v>
      </c>
      <c r="F12" s="697" t="str">
        <f>IFERROR(__xludf.DUMMYFUNCTION("""COMPUTED_VALUE"""),"2 Capsules ")</f>
        <v>2 Capsules </v>
      </c>
      <c r="G12" s="697">
        <f>IFERROR(__xludf.DUMMYFUNCTION("""COMPUTED_VALUE"""),45.0)</f>
        <v>45</v>
      </c>
      <c r="H12" s="697" t="str">
        <f>IFERROR(__xludf.DUMMYFUNCTION("""COMPUTED_VALUE"""),"5-44")</f>
        <v>5-44</v>
      </c>
      <c r="I12" s="705" t="str">
        <f>IFERROR(__xludf.DUMMYFUNCTION("""COMPUTED_VALUE"""),"18:27")</f>
        <v>18:27</v>
      </c>
      <c r="J12" s="697">
        <f>IFERROR(__xludf.DUMMYFUNCTION("""COMPUTED_VALUE"""),2005.0)</f>
        <v>2005</v>
      </c>
      <c r="K12" s="697" t="str">
        <f>IFERROR(__xludf.DUMMYFUNCTION("""COMPUTED_VALUE"""),"vilagers presenting with S.mansoni infection as determined by examination of stool samples (2 Kato slides from each sample)")</f>
        <v>vilagers presenting with S.mansoni infection as determined by examination of stool samples (2 Kato slides from each sample)</v>
      </c>
      <c r="L12" s="697" t="str">
        <f>IFERROR(__xludf.DUMMYFUNCTION("""COMPUTED_VALUE"""),"Yes")</f>
        <v>Yes</v>
      </c>
      <c r="M12" s="697" t="str">
        <f>IFERROR(__xludf.DUMMYFUNCTION("""COMPUTED_VALUE"""),"Yes")</f>
        <v>Yes</v>
      </c>
      <c r="N12" s="697" t="str">
        <f>IFERROR(__xludf.DUMMYFUNCTION("""COMPUTED_VALUE"""),"6 weeks")</f>
        <v>6 weeks</v>
      </c>
      <c r="O12" s="873">
        <f>IFERROR(__xludf.DUMMYFUNCTION("""COMPUTED_VALUE"""),0.089)</f>
        <v>0.089</v>
      </c>
      <c r="P12" s="700">
        <f>IFERROR(__xludf.DUMMYFUNCTION("""COMPUTED_VALUE"""),0.28)</f>
        <v>0.28</v>
      </c>
      <c r="Q12" s="697" t="str">
        <f>IFERROR(__xludf.DUMMYFUNCTION("""COMPUTED_VALUE"""),"The control intervention included treatment with albendazole 400 mg and praziquantel 40 mg/kg as well as awareness campaigns. Post-interventional assessment showed the total prevalence of intestinal parasitic infection reduced from 61.6 to 3.6% with a cur"&amp;"e rate of 94.2%, following the control methods.")</f>
        <v>The control intervention included treatment with albendazole 400 mg and praziquantel 40 mg/kg as well as awareness campaigns. Post-interventional assessment showed the total prevalence of intestinal parasitic infection reduced from 61.6 to 3.6% with a cure rate of 94.2%, following the control methods.</v>
      </c>
      <c r="R12" s="697"/>
      <c r="S12" s="699" t="str">
        <f>IFERROR(__xludf.DUMMYFUNCTION("""COMPUTED_VALUE"""),"Barakat, R.; Elmorshedy, H.; Fenwick, A. ""Efficacy of Myrrh in the Treatment of Human Schistosomiasis Mansoni"". Trop. Med. Hyg. 2005. 73(2): 365-367. Web.")</f>
        <v>Barakat, R.; Elmorshedy, H.; Fenwick, A. "Efficacy of Myrrh in the Treatment of Human Schistosomiasis Mansoni". Trop. Med. Hyg. 2005. 73(2): 365-367. Web.</v>
      </c>
      <c r="T12" s="697"/>
      <c r="U12" s="697" t="str">
        <f>IFERROR(__xludf.DUMMYFUNCTION("""COMPUTED_VALUE"""),"")</f>
        <v/>
      </c>
      <c r="V12" s="697">
        <f>IFERROR(__xludf.DUMMYFUNCTION("""COMPUTED_VALUE"""),12.0)</f>
        <v>12</v>
      </c>
    </row>
    <row r="13">
      <c r="A13" s="697" t="str">
        <f>IFERROR(__xludf.DUMMYFUNCTION("""COMPUTED_VALUE"""),"Barakat R, 2005")</f>
        <v>Barakat R, 2005</v>
      </c>
      <c r="B13" s="697" t="str">
        <f>IFERROR(__xludf.DUMMYFUNCTION("""COMPUTED_VALUE"""),"s. mansoni")</f>
        <v>s. mansoni</v>
      </c>
      <c r="C13" s="697" t="str">
        <f>IFERROR(__xludf.DUMMYFUNCTION("""COMPUTED_VALUE"""),"Egypt")</f>
        <v>Egypt</v>
      </c>
      <c r="D13" s="697" t="str">
        <f>IFERROR(__xludf.DUMMYFUNCTION("""COMPUTED_VALUE"""),"Praziquantel")</f>
        <v>Praziquantel</v>
      </c>
      <c r="E13" s="697" t="str">
        <f>IFERROR(__xludf.DUMMYFUNCTION("""COMPUTED_VALUE"""),"Two")</f>
        <v>Two</v>
      </c>
      <c r="F13" s="697" t="str">
        <f>IFERROR(__xludf.DUMMYFUNCTION("""COMPUTED_VALUE"""),"40 mg/kg ")</f>
        <v>40 mg/kg </v>
      </c>
      <c r="G13" s="697">
        <f>IFERROR(__xludf.DUMMYFUNCTION("""COMPUTED_VALUE"""),38.0)</f>
        <v>38</v>
      </c>
      <c r="H13" s="697" t="str">
        <f>IFERROR(__xludf.DUMMYFUNCTION("""COMPUTED_VALUE"""),"5-44")</f>
        <v>5-44</v>
      </c>
      <c r="I13" s="705" t="str">
        <f>IFERROR(__xludf.DUMMYFUNCTION("""COMPUTED_VALUE"""),"17:21")</f>
        <v>17:21</v>
      </c>
      <c r="J13" s="697">
        <f>IFERROR(__xludf.DUMMYFUNCTION("""COMPUTED_VALUE"""),2005.0)</f>
        <v>2005</v>
      </c>
      <c r="K13" s="697" t="str">
        <f>IFERROR(__xludf.DUMMYFUNCTION("""COMPUTED_VALUE"""),"Vilagers presenting with S.mansoni infection as determined by examination of stool samples (2 Kato slides from each sample)")</f>
        <v>Vilagers presenting with S.mansoni infection as determined by examination of stool samples (2 Kato slides from each sample)</v>
      </c>
      <c r="L13" s="697" t="str">
        <f>IFERROR(__xludf.DUMMYFUNCTION("""COMPUTED_VALUE"""),"Yes")</f>
        <v>Yes</v>
      </c>
      <c r="M13" s="697" t="str">
        <f>IFERROR(__xludf.DUMMYFUNCTION("""COMPUTED_VALUE"""),"Yes")</f>
        <v>Yes</v>
      </c>
      <c r="N13" s="697" t="str">
        <f>IFERROR(__xludf.DUMMYFUNCTION("""COMPUTED_VALUE"""),"6 weeks")</f>
        <v>6 weeks</v>
      </c>
      <c r="O13" s="873">
        <f>IFERROR(__xludf.DUMMYFUNCTION("""COMPUTED_VALUE"""),0.763)</f>
        <v>0.763</v>
      </c>
      <c r="P13" s="698">
        <f>IFERROR(__xludf.DUMMYFUNCTION("""COMPUTED_VALUE"""),0.882)</f>
        <v>0.882</v>
      </c>
      <c r="Q13" s="697" t="str">
        <f>IFERROR(__xludf.DUMMYFUNCTION("""COMPUTED_VALUE"""),"The control intervention included treatment with albendazole 400 mg and praziquantel 40 mg/kg as well as awareness campaigns. Post-interventional assessment showed the total prevalence of intestinal parasitic infection reduced from 61.6 to 3.6% with a cur"&amp;"e rate of 94.2%, following the control methods.")</f>
        <v>The control intervention included treatment with albendazole 400 mg and praziquantel 40 mg/kg as well as awareness campaigns. Post-interventional assessment showed the total prevalence of intestinal parasitic infection reduced from 61.6 to 3.6% with a cure rate of 94.2%, following the control methods.</v>
      </c>
      <c r="R13" s="697"/>
      <c r="S13" s="699" t="str">
        <f>IFERROR(__xludf.DUMMYFUNCTION("""COMPUTED_VALUE"""),"Barakat, R.; Elmorshedy, H.; Fenwick, A. ""Efficacy of Myrrh in the Treatment of Human Schistosomiasis Mansoni"". Trop. Med. Hyg. 2005. 73(2): 365-367. Web.")</f>
        <v>Barakat, R.; Elmorshedy, H.; Fenwick, A. "Efficacy of Myrrh in the Treatment of Human Schistosomiasis Mansoni". Trop. Med. Hyg. 2005. 73(2): 365-367. Web.</v>
      </c>
      <c r="T13" s="697"/>
      <c r="U13" s="697" t="str">
        <f>IFERROR(__xludf.DUMMYFUNCTION("""COMPUTED_VALUE"""),"")</f>
        <v/>
      </c>
      <c r="V13" s="697">
        <f>IFERROR(__xludf.DUMMYFUNCTION("""COMPUTED_VALUE"""),13.0)</f>
        <v>13</v>
      </c>
    </row>
    <row r="14">
      <c r="A14" s="697" t="str">
        <f>IFERROR(__xludf.DUMMYFUNCTION("""COMPUTED_VALUE"""),"Borrmann S, 2001")</f>
        <v>Borrmann S, 2001</v>
      </c>
      <c r="B14" s="697" t="str">
        <f>IFERROR(__xludf.DUMMYFUNCTION("""COMPUTED_VALUE"""),"s. haematobium")</f>
        <v>s. haematobium</v>
      </c>
      <c r="C14" s="697" t="str">
        <f>IFERROR(__xludf.DUMMYFUNCTION("""COMPUTED_VALUE"""),"Gabon")</f>
        <v>Gabon</v>
      </c>
      <c r="D14" s="697" t="str">
        <f>IFERROR(__xludf.DUMMYFUNCTION("""COMPUTED_VALUE"""),"Artesunate &amp; Placebo")</f>
        <v>Artesunate &amp; Placebo</v>
      </c>
      <c r="E14" s="697" t="str">
        <f>IFERROR(__xludf.DUMMYFUNCTION("""COMPUTED_VALUE"""),"Single")</f>
        <v>Single</v>
      </c>
      <c r="F14" s="697" t="str">
        <f>IFERROR(__xludf.DUMMYFUNCTION("""COMPUTED_VALUE"""),"8 mg/kg; 4 mg/kg ")</f>
        <v>8 mg/kg; 4 mg/kg </v>
      </c>
      <c r="G14" s="697">
        <f>IFERROR(__xludf.DUMMYFUNCTION("""COMPUTED_VALUE"""),90.0)</f>
        <v>90</v>
      </c>
      <c r="H14" s="697" t="str">
        <f>IFERROR(__xludf.DUMMYFUNCTION("""COMPUTED_VALUE"""),"5 to 13")</f>
        <v>5 to 13</v>
      </c>
      <c r="I14" s="705" t="str">
        <f>IFERROR(__xludf.DUMMYFUNCTION("""COMPUTED_VALUE"""),"45 : 45")</f>
        <v>45 : 45</v>
      </c>
      <c r="J14" s="697">
        <f>IFERROR(__xludf.DUMMYFUNCTION("""COMPUTED_VALUE"""),2001.0)</f>
        <v>2001</v>
      </c>
      <c r="K14" s="697" t="str">
        <f>IFERROR(__xludf.DUMMYFUNCTION("""COMPUTED_VALUE"""),"School children with presence of Schistome eggs. Exclusion criteria were symptomatic schistosomiasis, recent adequate treatment for schistosomiasis, serious underlying diseases, pregnancy or lactation, and hemoglobin level &lt;7 g/dL")</f>
        <v>School children with presence of Schistome eggs. Exclusion criteria were symptomatic schistosomiasis, recent adequate treatment for schistosomiasis, serious underlying diseases, pregnancy or lactation, and hemoglobin level &lt;7 g/dL</v>
      </c>
      <c r="L14" s="697" t="str">
        <f>IFERROR(__xludf.DUMMYFUNCTION("""COMPUTED_VALUE"""),"Yes")</f>
        <v>Yes</v>
      </c>
      <c r="M14" s="697" t="str">
        <f>IFERROR(__xludf.DUMMYFUNCTION("""COMPUTED_VALUE"""),"Yes")</f>
        <v>Yes</v>
      </c>
      <c r="N14" s="697" t="str">
        <f>IFERROR(__xludf.DUMMYFUNCTION("""COMPUTED_VALUE"""),"8 weeks")</f>
        <v>8 weeks</v>
      </c>
      <c r="O14" s="872">
        <f>IFERROR(__xludf.DUMMYFUNCTION("""COMPUTED_VALUE"""),0.27)</f>
        <v>0.27</v>
      </c>
      <c r="P14" s="697"/>
      <c r="Q14" s="697" t="str">
        <f>IFERROR(__xludf.DUMMYFUNCTION("""COMPUTED_VALUE"""),"The present study clearly underline the importance of a continued effort toward the development of new drugs for the treatment of schistosomiasis.")</f>
        <v>The present study clearly underline the importance of a continued effort toward the development of new drugs for the treatment of schistosomiasis.</v>
      </c>
      <c r="R14" s="697"/>
      <c r="S14" s="699" t="str">
        <f>IFERROR(__xludf.DUMMYFUNCTION("""COMPUTED_VALUE"""),"Borrmann, Steffen, et al. ""Artesunate and praziquantel for the treatment of Schistosoma haematobium infections: a double-blind, randomized, placebo-controlled study."" Journal of Infectious Diseases 184.10 (2001): 1363-1366.")</f>
        <v>Borrmann, Steffen, et al. "Artesunate and praziquantel for the treatment of Schistosoma haematobium infections: a double-blind, randomized, placebo-controlled study." Journal of Infectious Diseases 184.10 (2001): 1363-1366.</v>
      </c>
      <c r="T14" s="697"/>
      <c r="U14" s="697" t="str">
        <f>IFERROR(__xludf.DUMMYFUNCTION("""COMPUTED_VALUE"""),"")</f>
        <v/>
      </c>
      <c r="V14" s="697">
        <f>IFERROR(__xludf.DUMMYFUNCTION("""COMPUTED_VALUE"""),14.0)</f>
        <v>14</v>
      </c>
    </row>
    <row r="15">
      <c r="A15" s="697" t="str">
        <f>IFERROR(__xludf.DUMMYFUNCTION("""COMPUTED_VALUE"""),"Borrmann S, 2001")</f>
        <v>Borrmann S, 2001</v>
      </c>
      <c r="B15" s="697" t="str">
        <f>IFERROR(__xludf.DUMMYFUNCTION("""COMPUTED_VALUE"""),"s. haematobium")</f>
        <v>s. haematobium</v>
      </c>
      <c r="C15" s="697" t="str">
        <f>IFERROR(__xludf.DUMMYFUNCTION("""COMPUTED_VALUE"""),"Gabon")</f>
        <v>Gabon</v>
      </c>
      <c r="D15" s="697" t="str">
        <f>IFERROR(__xludf.DUMMYFUNCTION("""COMPUTED_VALUE"""),"Praziquantel &amp; Placebo")</f>
        <v>Praziquantel &amp; Placebo</v>
      </c>
      <c r="E15" s="697" t="str">
        <f>IFERROR(__xludf.DUMMYFUNCTION("""COMPUTED_VALUE"""),"Single; Three")</f>
        <v>Single; Three</v>
      </c>
      <c r="F15" s="697" t="str">
        <f>IFERROR(__xludf.DUMMYFUNCTION("""COMPUTED_VALUE"""),"40 mg/kg; Placebo")</f>
        <v>40 mg/kg; Placebo</v>
      </c>
      <c r="G15" s="697">
        <f>IFERROR(__xludf.DUMMYFUNCTION("""COMPUTED_VALUE"""),90.0)</f>
        <v>90</v>
      </c>
      <c r="H15" s="697" t="str">
        <f>IFERROR(__xludf.DUMMYFUNCTION("""COMPUTED_VALUE"""),"5 to 13")</f>
        <v>5 to 13</v>
      </c>
      <c r="I15" s="705" t="str">
        <f>IFERROR(__xludf.DUMMYFUNCTION("""COMPUTED_VALUE"""),"47 : 43")</f>
        <v>47 : 43</v>
      </c>
      <c r="J15" s="697">
        <f>IFERROR(__xludf.DUMMYFUNCTION("""COMPUTED_VALUE"""),2001.0)</f>
        <v>2001</v>
      </c>
      <c r="K15" s="697" t="str">
        <f>IFERROR(__xludf.DUMMYFUNCTION("""COMPUTED_VALUE"""),"School children with presence of Schistome eggs. Exclusion criteria were symptomatic schistosomiasis, recent adequate treatment for schistosomiasis, serious underlying diseases, pregnancy or lactation, and hemoglobin level &lt;7 g/dL")</f>
        <v>School children with presence of Schistome eggs. Exclusion criteria were symptomatic schistosomiasis, recent adequate treatment for schistosomiasis, serious underlying diseases, pregnancy or lactation, and hemoglobin level &lt;7 g/dL</v>
      </c>
      <c r="L15" s="697" t="str">
        <f>IFERROR(__xludf.DUMMYFUNCTION("""COMPUTED_VALUE"""),"Yes")</f>
        <v>Yes</v>
      </c>
      <c r="M15" s="697" t="str">
        <f>IFERROR(__xludf.DUMMYFUNCTION("""COMPUTED_VALUE"""),"Yes")</f>
        <v>Yes</v>
      </c>
      <c r="N15" s="697" t="str">
        <f>IFERROR(__xludf.DUMMYFUNCTION("""COMPUTED_VALUE"""),"8 weeks")</f>
        <v>8 weeks</v>
      </c>
      <c r="O15" s="872">
        <f>IFERROR(__xludf.DUMMYFUNCTION("""COMPUTED_VALUE"""),0.73)</f>
        <v>0.73</v>
      </c>
      <c r="P15" s="697"/>
      <c r="Q15" s="697" t="str">
        <f>IFERROR(__xludf.DUMMYFUNCTION("""COMPUTED_VALUE"""),"The present study clearly underline the importance of a continued effort toward the development of new drugs for the treatment of schistosomiasis.")</f>
        <v>The present study clearly underline the importance of a continued effort toward the development of new drugs for the treatment of schistosomiasis.</v>
      </c>
      <c r="R15" s="697"/>
      <c r="S15" s="699" t="str">
        <f>IFERROR(__xludf.DUMMYFUNCTION("""COMPUTED_VALUE"""),"Borrmann, Steffen, et al. ""Artesunate and praziquantel for the treatment of Schistosoma haematobium infections: a double-blind, randomized, placebo-controlled study."" Journal of Infectious Diseases 184.10 (2001): 1363-1366.")</f>
        <v>Borrmann, Steffen, et al. "Artesunate and praziquantel for the treatment of Schistosoma haematobium infections: a double-blind, randomized, placebo-controlled study." Journal of Infectious Diseases 184.10 (2001): 1363-1366.</v>
      </c>
      <c r="T15" s="697"/>
      <c r="U15" s="697" t="str">
        <f>IFERROR(__xludf.DUMMYFUNCTION("""COMPUTED_VALUE"""),"")</f>
        <v/>
      </c>
      <c r="V15" s="697">
        <f>IFERROR(__xludf.DUMMYFUNCTION("""COMPUTED_VALUE"""),15.0)</f>
        <v>15</v>
      </c>
    </row>
    <row r="16">
      <c r="A16" s="697" t="str">
        <f>IFERROR(__xludf.DUMMYFUNCTION("""COMPUTED_VALUE"""),"Borrmann S, 2001")</f>
        <v>Borrmann S, 2001</v>
      </c>
      <c r="B16" s="697" t="str">
        <f>IFERROR(__xludf.DUMMYFUNCTION("""COMPUTED_VALUE"""),"s. haematobium")</f>
        <v>s. haematobium</v>
      </c>
      <c r="C16" s="697" t="str">
        <f>IFERROR(__xludf.DUMMYFUNCTION("""COMPUTED_VALUE"""),"Gabon")</f>
        <v>Gabon</v>
      </c>
      <c r="D16" s="697" t="str">
        <f>IFERROR(__xludf.DUMMYFUNCTION("""COMPUTED_VALUE"""),"Artesunate &amp; Praziquantel")</f>
        <v>Artesunate &amp; Praziquantel</v>
      </c>
      <c r="E16" s="697" t="str">
        <f>IFERROR(__xludf.DUMMYFUNCTION("""COMPUTED_VALUE"""),"Three; Single")</f>
        <v>Three; Single</v>
      </c>
      <c r="F16" s="697" t="str">
        <f>IFERROR(__xludf.DUMMYFUNCTION("""COMPUTED_VALUE"""),"4 mg/kg; 40 mg/kg ")</f>
        <v>4 mg/kg; 40 mg/kg </v>
      </c>
      <c r="G16" s="697">
        <f>IFERROR(__xludf.DUMMYFUNCTION("""COMPUTED_VALUE"""),90.0)</f>
        <v>90</v>
      </c>
      <c r="H16" s="697" t="str">
        <f>IFERROR(__xludf.DUMMYFUNCTION("""COMPUTED_VALUE"""),"5 to 13")</f>
        <v>5 to 13</v>
      </c>
      <c r="I16" s="705" t="str">
        <f>IFERROR(__xludf.DUMMYFUNCTION("""COMPUTED_VALUE"""),"46 : 44")</f>
        <v>46 : 44</v>
      </c>
      <c r="J16" s="697">
        <f>IFERROR(__xludf.DUMMYFUNCTION("""COMPUTED_VALUE"""),2001.0)</f>
        <v>2001</v>
      </c>
      <c r="K16" s="697" t="str">
        <f>IFERROR(__xludf.DUMMYFUNCTION("""COMPUTED_VALUE"""),"School children with presence of Schistome eggs. Exclusion criteria were symptomatic schistosomiasis, recent adequate treatment for schistosomiasis, serious underlying diseases, pregnancy or lactation, and hemoglobin level &lt;7 g/dL")</f>
        <v>School children with presence of Schistome eggs. Exclusion criteria were symptomatic schistosomiasis, recent adequate treatment for schistosomiasis, serious underlying diseases, pregnancy or lactation, and hemoglobin level &lt;7 g/dL</v>
      </c>
      <c r="L16" s="697" t="str">
        <f>IFERROR(__xludf.DUMMYFUNCTION("""COMPUTED_VALUE"""),"Yes")</f>
        <v>Yes</v>
      </c>
      <c r="M16" s="697" t="str">
        <f>IFERROR(__xludf.DUMMYFUNCTION("""COMPUTED_VALUE"""),"Yes")</f>
        <v>Yes</v>
      </c>
      <c r="N16" s="697" t="str">
        <f>IFERROR(__xludf.DUMMYFUNCTION("""COMPUTED_VALUE"""),"8 weeks")</f>
        <v>8 weeks</v>
      </c>
      <c r="O16" s="874">
        <f>IFERROR(__xludf.DUMMYFUNCTION("""COMPUTED_VALUE"""),0.81)</f>
        <v>0.81</v>
      </c>
      <c r="P16" s="697"/>
      <c r="Q16" s="697" t="str">
        <f>IFERROR(__xludf.DUMMYFUNCTION("""COMPUTED_VALUE"""),"The present study clearly underline the importance of a continued effort toward the development of new drugs for the treatment of schistosomiasis.")</f>
        <v>The present study clearly underline the importance of a continued effort toward the development of new drugs for the treatment of schistosomiasis.</v>
      </c>
      <c r="R16" s="697"/>
      <c r="S16" s="699" t="str">
        <f>IFERROR(__xludf.DUMMYFUNCTION("""COMPUTED_VALUE"""),"Borrmann, Steffen, et al. ""Artesunate and praziquantel for the treatment of Schistosoma haematobium infections: a double-blind, randomized, placebo-controlled study."" Journal of Infectious Diseases 184.10 (2001): 1363-1366.")</f>
        <v>Borrmann, Steffen, et al. "Artesunate and praziquantel for the treatment of Schistosoma haematobium infections: a double-blind, randomized, placebo-controlled study." Journal of Infectious Diseases 184.10 (2001): 1363-1366.</v>
      </c>
      <c r="T16" s="697"/>
      <c r="U16" s="697" t="str">
        <f>IFERROR(__xludf.DUMMYFUNCTION("""COMPUTED_VALUE"""),"")</f>
        <v/>
      </c>
      <c r="V16" s="697">
        <f>IFERROR(__xludf.DUMMYFUNCTION("""COMPUTED_VALUE"""),16.0)</f>
        <v>16</v>
      </c>
    </row>
    <row r="17">
      <c r="A17" s="697" t="str">
        <f>IFERROR(__xludf.DUMMYFUNCTION("""COMPUTED_VALUE"""),"Borrmann S, 2001")</f>
        <v>Borrmann S, 2001</v>
      </c>
      <c r="B17" s="697" t="str">
        <f>IFERROR(__xludf.DUMMYFUNCTION("""COMPUTED_VALUE"""),"s. haematobium")</f>
        <v>s. haematobium</v>
      </c>
      <c r="C17" s="697" t="str">
        <f>IFERROR(__xludf.DUMMYFUNCTION("""COMPUTED_VALUE"""),"Gabon")</f>
        <v>Gabon</v>
      </c>
      <c r="D17" s="697" t="str">
        <f>IFERROR(__xludf.DUMMYFUNCTION("""COMPUTED_VALUE"""),"Placebo")</f>
        <v>Placebo</v>
      </c>
      <c r="E17" s="697" t="str">
        <f>IFERROR(__xludf.DUMMYFUNCTION("""COMPUTED_VALUE"""),"Single")</f>
        <v>Single</v>
      </c>
      <c r="F17" s="697" t="str">
        <f>IFERROR(__xludf.DUMMYFUNCTION("""COMPUTED_VALUE"""),"Placebo")</f>
        <v>Placebo</v>
      </c>
      <c r="G17" s="697">
        <f>IFERROR(__xludf.DUMMYFUNCTION("""COMPUTED_VALUE"""),30.0)</f>
        <v>30</v>
      </c>
      <c r="H17" s="697" t="str">
        <f>IFERROR(__xludf.DUMMYFUNCTION("""COMPUTED_VALUE"""),"5 to 13")</f>
        <v>5 to 13</v>
      </c>
      <c r="I17" s="705" t="str">
        <f>IFERROR(__xludf.DUMMYFUNCTION("""COMPUTED_VALUE"""),"15 : 15")</f>
        <v>15 : 15</v>
      </c>
      <c r="J17" s="697">
        <f>IFERROR(__xludf.DUMMYFUNCTION("""COMPUTED_VALUE"""),2001.0)</f>
        <v>2001</v>
      </c>
      <c r="K17" s="697" t="str">
        <f>IFERROR(__xludf.DUMMYFUNCTION("""COMPUTED_VALUE"""),"School children with presence of Schistome eggs. Exclusion criteria were symptomatic schistosomiasis, recent adequate treatment for schistosomiasis, serious underlying diseases, pregnancy or lactation, and hemoglobin level &lt;7 g/dL")</f>
        <v>School children with presence of Schistome eggs. Exclusion criteria were symptomatic schistosomiasis, recent adequate treatment for schistosomiasis, serious underlying diseases, pregnancy or lactation, and hemoglobin level &lt;7 g/dL</v>
      </c>
      <c r="L17" s="697" t="str">
        <f>IFERROR(__xludf.DUMMYFUNCTION("""COMPUTED_VALUE"""),"Yes")</f>
        <v>Yes</v>
      </c>
      <c r="M17" s="697" t="str">
        <f>IFERROR(__xludf.DUMMYFUNCTION("""COMPUTED_VALUE"""),"Yes")</f>
        <v>Yes</v>
      </c>
      <c r="N17" s="697" t="str">
        <f>IFERROR(__xludf.DUMMYFUNCTION("""COMPUTED_VALUE"""),"8 weeks")</f>
        <v>8 weeks</v>
      </c>
      <c r="O17" s="874">
        <f>IFERROR(__xludf.DUMMYFUNCTION("""COMPUTED_VALUE"""),0.2)</f>
        <v>0.2</v>
      </c>
      <c r="P17" s="697"/>
      <c r="Q17" s="697" t="str">
        <f>IFERROR(__xludf.DUMMYFUNCTION("""COMPUTED_VALUE"""),"The present study clearly underline the importance of a continued effort toward the development of new drugs for the treatment of schistosomiasis.")</f>
        <v>The present study clearly underline the importance of a continued effort toward the development of new drugs for the treatment of schistosomiasis.</v>
      </c>
      <c r="R17" s="697"/>
      <c r="S17" s="699" t="str">
        <f>IFERROR(__xludf.DUMMYFUNCTION("""COMPUTED_VALUE"""),"Borrmann, Steffen, et al. ""Artesunate and praziquantel for the treatment of Schistosoma haematobium infections: a double-blind, randomized, placebo-controlled study."" Journal of Infectious Diseases 184.10 (2001): 1363-1366.")</f>
        <v>Borrmann, Steffen, et al. "Artesunate and praziquantel for the treatment of Schistosoma haematobium infections: a double-blind, randomized, placebo-controlled study." Journal of Infectious Diseases 184.10 (2001): 1363-1366.</v>
      </c>
      <c r="T17" s="697"/>
      <c r="U17" s="697" t="str">
        <f>IFERROR(__xludf.DUMMYFUNCTION("""COMPUTED_VALUE"""),"")</f>
        <v/>
      </c>
      <c r="V17" s="697">
        <f>IFERROR(__xludf.DUMMYFUNCTION("""COMPUTED_VALUE"""),17.0)</f>
        <v>17</v>
      </c>
    </row>
    <row r="18">
      <c r="A18" s="697" t="str">
        <f>IFERROR(__xludf.DUMMYFUNCTION("""COMPUTED_VALUE"""),"Botros S, 2005")</f>
        <v>Botros S, 2005</v>
      </c>
      <c r="B18" s="697" t="str">
        <f>IFERROR(__xludf.DUMMYFUNCTION("""COMPUTED_VALUE"""),"s. mansoni")</f>
        <v>s. mansoni</v>
      </c>
      <c r="C18" s="697" t="str">
        <f>IFERROR(__xludf.DUMMYFUNCTION("""COMPUTED_VALUE"""),"Egypt")</f>
        <v>Egypt</v>
      </c>
      <c r="D18" s="697" t="str">
        <f>IFERROR(__xludf.DUMMYFUNCTION("""COMPUTED_VALUE"""),"Praziquantel")</f>
        <v>Praziquantel</v>
      </c>
      <c r="E18" s="697" t="str">
        <f>IFERROR(__xludf.DUMMYFUNCTION("""COMPUTED_VALUE"""),"Single")</f>
        <v>Single</v>
      </c>
      <c r="F18" s="697" t="str">
        <f>IFERROR(__xludf.DUMMYFUNCTION("""COMPUTED_VALUE"""),"40 mg/kg")</f>
        <v>40 mg/kg</v>
      </c>
      <c r="G18" s="702">
        <f>IFERROR(__xludf.DUMMYFUNCTION("""COMPUTED_VALUE"""),1131.0)</f>
        <v>1131</v>
      </c>
      <c r="H18" s="697" t="str">
        <f>IFERROR(__xludf.DUMMYFUNCTION("""COMPUTED_VALUE"""),"&lt;20, &gt;20 years old")</f>
        <v>&lt;20, &gt;20 years old</v>
      </c>
      <c r="I18" s="705" t="str">
        <f>IFERROR(__xludf.DUMMYFUNCTION("""COMPUTED_VALUE"""),"11:10")</f>
        <v>11:10</v>
      </c>
      <c r="J18" s="697">
        <f>IFERROR(__xludf.DUMMYFUNCTION("""COMPUTED_VALUE"""),2005.0)</f>
        <v>2005</v>
      </c>
      <c r="K18" s="697" t="str">
        <f>IFERROR(__xludf.DUMMYFUNCTION("""COMPUTED_VALUE"""),"children and adolescent aged 12 to 18 years who had S. mansoni eggs in their stool")</f>
        <v>children and adolescent aged 12 to 18 years who had S. mansoni eggs in their stool</v>
      </c>
      <c r="L18" s="697" t="str">
        <f>IFERROR(__xludf.DUMMYFUNCTION("""COMPUTED_VALUE"""),"Yes")</f>
        <v>Yes</v>
      </c>
      <c r="M18" s="697" t="str">
        <f>IFERROR(__xludf.DUMMYFUNCTION("""COMPUTED_VALUE"""),"Yes")</f>
        <v>Yes</v>
      </c>
      <c r="N18" s="697" t="str">
        <f>IFERROR(__xludf.DUMMYFUNCTION("""COMPUTED_VALUE"""),"6 weeks post-treatment")</f>
        <v>6 weeks post-treatment</v>
      </c>
      <c r="O18" s="873">
        <f>IFERROR(__xludf.DUMMYFUNCTION("""COMPUTED_VALUE"""),0.797)</f>
        <v>0.797</v>
      </c>
      <c r="P18" s="698">
        <f>IFERROR(__xludf.DUMMYFUNCTION("""COMPUTED_VALUE"""),0.637)</f>
        <v>0.637</v>
      </c>
      <c r="Q18" s="697" t="str">
        <f>IFERROR(__xludf.DUMMYFUNCTION("""COMPUTED_VALUE"""),"Findings reported here do not support a rapid emergence of resistance to PZQ. The infections remaining after chemotherapy campaigns tend to be light, and the reproduction is potentially further slowed by compromises in reproductive capacity of the survivi"&amp;"ng worms. The fact remains that schistosomes continue to survive exposure to PZQ as it is currently dosed and watchfulness to the possible development of drug resistance is warranted.")</f>
        <v>Findings reported here do not support a rapid emergence of resistance to PZQ. The infections remaining after chemotherapy campaigns tend to be light, and the reproduction is potentially further slowed by compromises in reproductive capacity of the surviving worms. The fact remains that schistosomes continue to survive exposure to PZQ as it is currently dosed and watchfulness to the possible development of drug resistance is warranted.</v>
      </c>
      <c r="R18" s="697" t="str">
        <f>IFERROR(__xludf.DUMMYFUNCTION("""COMPUTED_VALUE"""),"Current status of sensitivity to praziquantel in a focus of potential drug resistance in Egypt")</f>
        <v>Current status of sensitivity to praziquantel in a focus of potential drug resistance in Egypt</v>
      </c>
      <c r="S18" s="699" t="str">
        <f>IFERROR(__xludf.DUMMYFUNCTION("""COMPUTED_VALUE"""),"Botros, Sanaa, et al. ""Current status of sensitivity to praziquantel in a focus of potential drug resistance in Egypt."" International journal for parasitology 35.7 (2005): 787-791.")</f>
        <v>Botros, Sanaa, et al. "Current status of sensitivity to praziquantel in a focus of potential drug resistance in Egypt." International journal for parasitology 35.7 (2005): 787-791.</v>
      </c>
      <c r="T18" s="697"/>
      <c r="U18" s="697" t="str">
        <f>IFERROR(__xludf.DUMMYFUNCTION("""COMPUTED_VALUE"""),"")</f>
        <v/>
      </c>
      <c r="V18" s="697">
        <f>IFERROR(__xludf.DUMMYFUNCTION("""COMPUTED_VALUE"""),18.0)</f>
        <v>18</v>
      </c>
    </row>
    <row r="19">
      <c r="A19" s="697" t="str">
        <f>IFERROR(__xludf.DUMMYFUNCTION("""COMPUTED_VALUE"""),"Botros S, 2005")</f>
        <v>Botros S, 2005</v>
      </c>
      <c r="B19" s="697" t="str">
        <f>IFERROR(__xludf.DUMMYFUNCTION("""COMPUTED_VALUE"""),"s. mansoni")</f>
        <v>s. mansoni</v>
      </c>
      <c r="C19" s="697" t="str">
        <f>IFERROR(__xludf.DUMMYFUNCTION("""COMPUTED_VALUE"""),"Egypt")</f>
        <v>Egypt</v>
      </c>
      <c r="D19" s="697" t="str">
        <f>IFERROR(__xludf.DUMMYFUNCTION("""COMPUTED_VALUE"""),"Mirazid")</f>
        <v>Mirazid</v>
      </c>
      <c r="E19" s="697" t="str">
        <f>IFERROR(__xludf.DUMMYFUNCTION("""COMPUTED_VALUE"""),"Single")</f>
        <v>Single</v>
      </c>
      <c r="F19" s="697" t="str">
        <f>IFERROR(__xludf.DUMMYFUNCTION("""COMPUTED_VALUE"""),"300 mg/day")</f>
        <v>300 mg/day</v>
      </c>
      <c r="G19" s="702">
        <f>IFERROR(__xludf.DUMMYFUNCTION("""COMPUTED_VALUE"""),1131.0)</f>
        <v>1131</v>
      </c>
      <c r="H19" s="697" t="str">
        <f>IFERROR(__xludf.DUMMYFUNCTION("""COMPUTED_VALUE"""),"&lt;20, &gt;20 years old")</f>
        <v>&lt;20, &gt;20 years old</v>
      </c>
      <c r="I19" s="705" t="str">
        <f>IFERROR(__xludf.DUMMYFUNCTION("""COMPUTED_VALUE"""),"11:11")</f>
        <v>11:11</v>
      </c>
      <c r="J19" s="697">
        <f>IFERROR(__xludf.DUMMYFUNCTION("""COMPUTED_VALUE"""),2005.0)</f>
        <v>2005</v>
      </c>
      <c r="K19" s="697" t="str">
        <f>IFERROR(__xludf.DUMMYFUNCTION("""COMPUTED_VALUE"""),"children and adolescent aged 12 to 18 years who had S. mansoni eggs in their stool")</f>
        <v>children and adolescent aged 12 to 18 years who had S. mansoni eggs in their stool</v>
      </c>
      <c r="L19" s="697" t="str">
        <f>IFERROR(__xludf.DUMMYFUNCTION("""COMPUTED_VALUE"""),"Yes")</f>
        <v>Yes</v>
      </c>
      <c r="M19" s="697" t="str">
        <f>IFERROR(__xludf.DUMMYFUNCTION("""COMPUTED_VALUE"""),"Yes")</f>
        <v>Yes</v>
      </c>
      <c r="N19" s="697" t="str">
        <f>IFERROR(__xludf.DUMMYFUNCTION("""COMPUTED_VALUE"""),"6 weeks post-treatment")</f>
        <v>6 weeks post-treatment</v>
      </c>
      <c r="O19" s="873">
        <f>IFERROR(__xludf.DUMMYFUNCTION("""COMPUTED_VALUE"""),0.089)</f>
        <v>0.089</v>
      </c>
      <c r="P19" s="700">
        <f>IFERROR(__xludf.DUMMYFUNCTION("""COMPUTED_VALUE"""),0.88)</f>
        <v>0.88</v>
      </c>
      <c r="Q19" s="697" t="str">
        <f>IFERROR(__xludf.DUMMYFUNCTION("""COMPUTED_VALUE"""),"Findings reported here do not support a rapid emergence of resistance to PZQ. The infections remaining after chemotherapy campaigns tend to be light, and the reproduction is potentially further slowed by compromises in reproductive capacity of the survivi"&amp;"ng worms. The fact remains that schistosomes continue to survive exposure to PZQ as it is currently dosed and watchfulness to the possible development of drug resistance is warranted.")</f>
        <v>Findings reported here do not support a rapid emergence of resistance to PZQ. The infections remaining after chemotherapy campaigns tend to be light, and the reproduction is potentially further slowed by compromises in reproductive capacity of the surviving worms. The fact remains that schistosomes continue to survive exposure to PZQ as it is currently dosed and watchfulness to the possible development of drug resistance is warranted.</v>
      </c>
      <c r="R19" s="697" t="str">
        <f>IFERROR(__xludf.DUMMYFUNCTION("""COMPUTED_VALUE"""),"Current status of sensitivity to praziquantel in a focus of potential drug resistance in Egypt")</f>
        <v>Current status of sensitivity to praziquantel in a focus of potential drug resistance in Egypt</v>
      </c>
      <c r="S19" s="699" t="str">
        <f>IFERROR(__xludf.DUMMYFUNCTION("""COMPUTED_VALUE"""),"Botros, Sanaa, et al. ""Current status of sensitivity to praziquantel in a focus of potential drug resistance in Egypt."" International journal for parasitology 35.7 (2005): 787-791.")</f>
        <v>Botros, Sanaa, et al. "Current status of sensitivity to praziquantel in a focus of potential drug resistance in Egypt." International journal for parasitology 35.7 (2005): 787-791.</v>
      </c>
      <c r="T19" s="697"/>
      <c r="U19" s="697" t="str">
        <f>IFERROR(__xludf.DUMMYFUNCTION("""COMPUTED_VALUE"""),"")</f>
        <v/>
      </c>
      <c r="V19" s="697">
        <f>IFERROR(__xludf.DUMMYFUNCTION("""COMPUTED_VALUE"""),19.0)</f>
        <v>19</v>
      </c>
    </row>
    <row r="20">
      <c r="A20" s="697" t="str">
        <f>IFERROR(__xludf.DUMMYFUNCTION("""COMPUTED_VALUE"""),"Branchini ML, 1982")</f>
        <v>Branchini ML, 1982</v>
      </c>
      <c r="B20" s="697" t="str">
        <f>IFERROR(__xludf.DUMMYFUNCTION("""COMPUTED_VALUE"""),"s. mansoni")</f>
        <v>s. mansoni</v>
      </c>
      <c r="C20" s="697" t="str">
        <f>IFERROR(__xludf.DUMMYFUNCTION("""COMPUTED_VALUE"""),"Brazil")</f>
        <v>Brazil</v>
      </c>
      <c r="D20" s="697" t="str">
        <f>IFERROR(__xludf.DUMMYFUNCTION("""COMPUTED_VALUE"""),"Praziquantel")</f>
        <v>Praziquantel</v>
      </c>
      <c r="E20" s="697" t="str">
        <f>IFERROR(__xludf.DUMMYFUNCTION("""COMPUTED_VALUE"""),"Single")</f>
        <v>Single</v>
      </c>
      <c r="F20" s="697" t="str">
        <f>IFERROR(__xludf.DUMMYFUNCTION("""COMPUTED_VALUE"""),"45.4 mg/kg")</f>
        <v>45.4 mg/kg</v>
      </c>
      <c r="G20" s="697">
        <f>IFERROR(__xludf.DUMMYFUNCTION("""COMPUTED_VALUE"""),49.0)</f>
        <v>49</v>
      </c>
      <c r="H20" s="697" t="str">
        <f>IFERROR(__xludf.DUMMYFUNCTION("""COMPUTED_VALUE"""),"10 - 65")</f>
        <v>10 - 65</v>
      </c>
      <c r="I20" s="705" t="str">
        <f>IFERROR(__xludf.DUMMYFUNCTION("""COMPUTED_VALUE"""),"16 : 13")</f>
        <v>16 : 13</v>
      </c>
      <c r="J20" s="697">
        <f>IFERROR(__xludf.DUMMYFUNCTION("""COMPUTED_VALUE"""),1982.0)</f>
        <v>1982</v>
      </c>
      <c r="K20" s="697" t="str">
        <f>IFERROR(__xludf.DUMMYFUNCTION("""COMPUTED_VALUE"""),"patients aged 10 to 65 years with chronic intestinal S. mansoni infection")</f>
        <v>patients aged 10 to 65 years with chronic intestinal S. mansoni infection</v>
      </c>
      <c r="L20" s="697" t="str">
        <f>IFERROR(__xludf.DUMMYFUNCTION("""COMPUTED_VALUE"""),"Yes")</f>
        <v>Yes</v>
      </c>
      <c r="M20" s="697" t="str">
        <f>IFERROR(__xludf.DUMMYFUNCTION("""COMPUTED_VALUE"""),"Yes")</f>
        <v>Yes</v>
      </c>
      <c r="N20" s="697" t="str">
        <f>IFERROR(__xludf.DUMMYFUNCTION("""COMPUTED_VALUE"""),"follow-up: six months three consecutive stool (3 slides each) from Kato-Katz and sponta- neous sedimentation methods. EPG expressed as geometric mean")</f>
        <v>follow-up: six months three consecutive stool (3 slides each) from Kato-Katz and sponta- neous sedimentation methods. EPG expressed as geometric mean</v>
      </c>
      <c r="O20" s="873">
        <f>IFERROR(__xludf.DUMMYFUNCTION("""COMPUTED_VALUE"""),0.611)</f>
        <v>0.611</v>
      </c>
      <c r="P20" s="697"/>
      <c r="Q20" s="697" t="str">
        <f>IFERROR(__xludf.DUMMYFUNCTION("""COMPUTED_VALUE"""),"Praziquental and oxaminiquine at adminstration doses have low toxicity, good tolerance and reasonable cure rates.")</f>
        <v>Praziquental and oxaminiquine at adminstration doses have low toxicity, good tolerance and reasonable cure rates.</v>
      </c>
      <c r="R20" s="697"/>
      <c r="S20" s="699" t="str">
        <f>IFERROR(__xludf.DUMMYFUNCTION("""COMPUTED_VALUE"""),"Branchini ML, Pedro R J de, Dias LC, Deberaldini ER. Double-blind clinical trial comparing praziquantel with oxamniquine in the treatment of patients with schistosomiasis mansoni. Revista do Instituto de Medicina Tropical de São Paulo 1982;24(5):315–21.")</f>
        <v>Branchini ML, Pedro R J de, Dias LC, Deberaldini ER. Double-blind clinical trial comparing praziquantel with oxamniquine in the treatment of patients with schistosomiasis mansoni. Revista do Instituto de Medicina Tropical de São Paulo 1982;24(5):315–21.</v>
      </c>
      <c r="T20" s="697"/>
      <c r="U20" s="697" t="str">
        <f>IFERROR(__xludf.DUMMYFUNCTION("""COMPUTED_VALUE"""),"")</f>
        <v/>
      </c>
      <c r="V20" s="697">
        <f>IFERROR(__xludf.DUMMYFUNCTION("""COMPUTED_VALUE"""),20.0)</f>
        <v>20</v>
      </c>
    </row>
    <row r="21">
      <c r="A21" s="697" t="str">
        <f>IFERROR(__xludf.DUMMYFUNCTION("""COMPUTED_VALUE"""),"Branchini ML, 1982")</f>
        <v>Branchini ML, 1982</v>
      </c>
      <c r="B21" s="697" t="str">
        <f>IFERROR(__xludf.DUMMYFUNCTION("""COMPUTED_VALUE"""),"s. mansoni")</f>
        <v>s. mansoni</v>
      </c>
      <c r="C21" s="697" t="str">
        <f>IFERROR(__xludf.DUMMYFUNCTION("""COMPUTED_VALUE"""),"Brazil")</f>
        <v>Brazil</v>
      </c>
      <c r="D21" s="697" t="str">
        <f>IFERROR(__xludf.DUMMYFUNCTION("""COMPUTED_VALUE"""),"Oxamniquine")</f>
        <v>Oxamniquine</v>
      </c>
      <c r="E21" s="697" t="str">
        <f>IFERROR(__xludf.DUMMYFUNCTION("""COMPUTED_VALUE"""),"Single")</f>
        <v>Single</v>
      </c>
      <c r="F21" s="697" t="str">
        <f>IFERROR(__xludf.DUMMYFUNCTION("""COMPUTED_VALUE"""),"13.8 mg/kg")</f>
        <v>13.8 mg/kg</v>
      </c>
      <c r="G21" s="697">
        <f>IFERROR(__xludf.DUMMYFUNCTION("""COMPUTED_VALUE"""),52.0)</f>
        <v>52</v>
      </c>
      <c r="H21" s="697" t="str">
        <f>IFERROR(__xludf.DUMMYFUNCTION("""COMPUTED_VALUE"""),"10 - 65")</f>
        <v>10 - 65</v>
      </c>
      <c r="I21" s="705" t="str">
        <f>IFERROR(__xludf.DUMMYFUNCTION("""COMPUTED_VALUE"""),"18 :12")</f>
        <v>18 :12</v>
      </c>
      <c r="J21" s="697">
        <f>IFERROR(__xludf.DUMMYFUNCTION("""COMPUTED_VALUE"""),1982.0)</f>
        <v>1982</v>
      </c>
      <c r="K21" s="697" t="str">
        <f>IFERROR(__xludf.DUMMYFUNCTION("""COMPUTED_VALUE"""),"patients aged 10 to 65 years with chronic intestinal S. mansoni infection")</f>
        <v>patients aged 10 to 65 years with chronic intestinal S. mansoni infection</v>
      </c>
      <c r="L21" s="697" t="str">
        <f>IFERROR(__xludf.DUMMYFUNCTION("""COMPUTED_VALUE"""),"Yes")</f>
        <v>Yes</v>
      </c>
      <c r="M21" s="697" t="str">
        <f>IFERROR(__xludf.DUMMYFUNCTION("""COMPUTED_VALUE"""),"Yes")</f>
        <v>Yes</v>
      </c>
      <c r="N21" s="697" t="str">
        <f>IFERROR(__xludf.DUMMYFUNCTION("""COMPUTED_VALUE"""),"follow-up: six months three consecutive stool (3 slides each) from Kato-Katz and sponta- neous sedimentation methods. EPG expressed as geometric mean")</f>
        <v>follow-up: six months three consecutive stool (3 slides each) from Kato-Katz and sponta- neous sedimentation methods. EPG expressed as geometric mean</v>
      </c>
      <c r="O21" s="872">
        <f>IFERROR(__xludf.DUMMYFUNCTION("""COMPUTED_VALUE"""),0.54)</f>
        <v>0.54</v>
      </c>
      <c r="P21" s="697"/>
      <c r="Q21" s="697" t="str">
        <f>IFERROR(__xludf.DUMMYFUNCTION("""COMPUTED_VALUE"""),"Praziquental and oxaminiquine at adminstration doses have low toxicity, good tolerance and reasonable cure rates.")</f>
        <v>Praziquental and oxaminiquine at adminstration doses have low toxicity, good tolerance and reasonable cure rates.</v>
      </c>
      <c r="R21" s="697"/>
      <c r="S21" s="699" t="str">
        <f>IFERROR(__xludf.DUMMYFUNCTION("""COMPUTED_VALUE"""),"Branchini ML, Pedro R J de, Dias LC, Deberaldini ER. Double-blind clinical trial comparing praziquantel with oxamniquine in the treatment of patients with schistosomiasis mansoni. Revista do Instituto de Medicina Tropical de São Paulo 1982;24(5):315–21.")</f>
        <v>Branchini ML, Pedro R J de, Dias LC, Deberaldini ER. Double-blind clinical trial comparing praziquantel with oxamniquine in the treatment of patients with schistosomiasis mansoni. Revista do Instituto de Medicina Tropical de São Paulo 1982;24(5):315–21.</v>
      </c>
      <c r="T21" s="697"/>
      <c r="U21" s="697" t="str">
        <f>IFERROR(__xludf.DUMMYFUNCTION("""COMPUTED_VALUE"""),"")</f>
        <v/>
      </c>
      <c r="V21" s="697">
        <f>IFERROR(__xludf.DUMMYFUNCTION("""COMPUTED_VALUE"""),21.0)</f>
        <v>21</v>
      </c>
    </row>
    <row r="22">
      <c r="A22" s="697" t="str">
        <f>IFERROR(__xludf.DUMMYFUNCTION("""COMPUTED_VALUE"""),"Cheikh S, 2015")</f>
        <v>Cheikh S, 2015</v>
      </c>
      <c r="B22" s="697" t="str">
        <f>IFERROR(__xludf.DUMMYFUNCTION("""COMPUTED_VALUE"""),"s. haematobium")</f>
        <v>s. haematobium</v>
      </c>
      <c r="C22" s="697" t="str">
        <f>IFERROR(__xludf.DUMMYFUNCTION("""COMPUTED_VALUE"""),"Senegal")</f>
        <v>Senegal</v>
      </c>
      <c r="D22" s="697" t="str">
        <f>IFERROR(__xludf.DUMMYFUNCTION("""COMPUTED_VALUE"""),"Praziquantel")</f>
        <v>Praziquantel</v>
      </c>
      <c r="E22" s="697" t="str">
        <f>IFERROR(__xludf.DUMMYFUNCTION("""COMPUTED_VALUE"""),"Single")</f>
        <v>Single</v>
      </c>
      <c r="F22" s="697" t="str">
        <f>IFERROR(__xludf.DUMMYFUNCTION("""COMPUTED_VALUE"""),"40 mg/kg")</f>
        <v>40 mg/kg</v>
      </c>
      <c r="G22" s="697">
        <f>IFERROR(__xludf.DUMMYFUNCTION("""COMPUTED_VALUE"""),75.0)</f>
        <v>75</v>
      </c>
      <c r="H22" s="697" t="str">
        <f>IFERROR(__xludf.DUMMYFUNCTION("""COMPUTED_VALUE"""),"5 to 15")</f>
        <v>5 to 15</v>
      </c>
      <c r="I22" s="705" t="str">
        <f>IFERROR(__xludf.DUMMYFUNCTION("""COMPUTED_VALUE"""),"1:4")</f>
        <v>1:4</v>
      </c>
      <c r="J22" s="697">
        <f>IFERROR(__xludf.DUMMYFUNCTION("""COMPUTED_VALUE"""),2011.0)</f>
        <v>2011</v>
      </c>
      <c r="K22" s="697" t="str">
        <f>IFERROR(__xludf.DUMMYFUNCTION("""COMPUTED_VALUE"""),"Parasitological screening was performed in June 2011 to determine the baseline prevalence of S. haematobium, and then a single dose of PZQ was administered to all selected subjects in the transmission season")</f>
        <v>Parasitological screening was performed in June 2011 to determine the baseline prevalence of S. haematobium, and then a single dose of PZQ was administered to all selected subjects in the transmission season</v>
      </c>
      <c r="L22" s="697" t="str">
        <f>IFERROR(__xludf.DUMMYFUNCTION("""COMPUTED_VALUE"""),"No")</f>
        <v>No</v>
      </c>
      <c r="M22" s="697" t="str">
        <f>IFERROR(__xludf.DUMMYFUNCTION("""COMPUTED_VALUE"""),"Yes")</f>
        <v>Yes</v>
      </c>
      <c r="N22" s="697" t="str">
        <f>IFERROR(__xludf.DUMMYFUNCTION("""COMPUTED_VALUE"""),"five weeks after in September 2011 and from February to March 2012.")</f>
        <v>five weeks after in September 2011 and from February to March 2012.</v>
      </c>
      <c r="O22" s="873">
        <f>IFERROR(__xludf.DUMMYFUNCTION("""COMPUTED_VALUE"""),0.906)</f>
        <v>0.906</v>
      </c>
      <c r="P22" s="698">
        <f>IFERROR(__xludf.DUMMYFUNCTION("""COMPUTED_VALUE"""),0.776)</f>
        <v>0.776</v>
      </c>
      <c r="Q22" s="697" t="str">
        <f>IFERROR(__xludf.DUMMYFUNCTION("""COMPUTED_VALUE"""),"When transmission is strictly seasonal, Praziquantel shows the expected efficacy in reducing the prevalence and intensity of infection, but also a significant effect on the occurrence of reinfection.")</f>
        <v>When transmission is strictly seasonal, Praziquantel shows the expected efficacy in reducing the prevalence and intensity of infection, but also a significant effect on the occurrence of reinfection.</v>
      </c>
      <c r="R22" s="697" t="str">
        <f>IFERROR(__xludf.DUMMYFUNCTION("""COMPUTED_VALUE"""),"Efficacy of praziquantel against urinary schistosomiasis and reinfection in Senegalese school children where there is a single well-defined transmission period")</f>
        <v>Efficacy of praziquantel against urinary schistosomiasis and reinfection in Senegalese school children where there is a single well-defined transmission period</v>
      </c>
      <c r="S22" s="699" t="str">
        <f>IFERROR(__xludf.DUMMYFUNCTION("""COMPUTED_VALUE"""),"Senghor, Bruno, et al. ""Efficacy of praziquantel against urinary schistosomiasis and reinfection in Senegalese school children where there is a single well-defined transmission period."" Parasites &amp; vectors 8.1 (2015): 1-11.")</f>
        <v>Senghor, Bruno, et al. "Efficacy of praziquantel against urinary schistosomiasis and reinfection in Senegalese school children where there is a single well-defined transmission period." Parasites &amp; vectors 8.1 (2015): 1-11.</v>
      </c>
      <c r="T22" s="697"/>
      <c r="U22" s="697" t="str">
        <f>IFERROR(__xludf.DUMMYFUNCTION("""COMPUTED_VALUE"""),"")</f>
        <v/>
      </c>
      <c r="V22" s="697">
        <f>IFERROR(__xludf.DUMMYFUNCTION("""COMPUTED_VALUE"""),22.0)</f>
        <v>22</v>
      </c>
    </row>
    <row r="23">
      <c r="A23" s="697" t="str">
        <f>IFERROR(__xludf.DUMMYFUNCTION("""COMPUTED_VALUE"""),"Cheikh S, 2015")</f>
        <v>Cheikh S, 2015</v>
      </c>
      <c r="B23" s="697" t="str">
        <f>IFERROR(__xludf.DUMMYFUNCTION("""COMPUTED_VALUE"""),"s. haematobium")</f>
        <v>s. haematobium</v>
      </c>
      <c r="C23" s="697" t="str">
        <f>IFERROR(__xludf.DUMMYFUNCTION("""COMPUTED_VALUE"""),"Senegal")</f>
        <v>Senegal</v>
      </c>
      <c r="D23" s="697" t="str">
        <f>IFERROR(__xludf.DUMMYFUNCTION("""COMPUTED_VALUE"""),"Praziquantel")</f>
        <v>Praziquantel</v>
      </c>
      <c r="E23" s="697" t="str">
        <f>IFERROR(__xludf.DUMMYFUNCTION("""COMPUTED_VALUE"""),"Single")</f>
        <v>Single</v>
      </c>
      <c r="F23" s="697" t="str">
        <f>IFERROR(__xludf.DUMMYFUNCTION("""COMPUTED_VALUE"""),"40 mg/kg")</f>
        <v>40 mg/kg</v>
      </c>
      <c r="G23" s="697">
        <f>IFERROR(__xludf.DUMMYFUNCTION("""COMPUTED_VALUE"""),32.0)</f>
        <v>32</v>
      </c>
      <c r="H23" s="697" t="str">
        <f>IFERROR(__xludf.DUMMYFUNCTION("""COMPUTED_VALUE"""),"5 to 15")</f>
        <v>5 to 15</v>
      </c>
      <c r="I23" s="705" t="str">
        <f>IFERROR(__xludf.DUMMYFUNCTION("""COMPUTED_VALUE"""),"1:4")</f>
        <v>1:4</v>
      </c>
      <c r="J23" s="697">
        <f>IFERROR(__xludf.DUMMYFUNCTION("""COMPUTED_VALUE"""),2011.0)</f>
        <v>2011</v>
      </c>
      <c r="K23" s="697" t="str">
        <f>IFERROR(__xludf.DUMMYFUNCTION("""COMPUTED_VALUE"""),"Parasitological screening was performed in June 2011 to determine the baseline prevalence of S. haematobium, and then a single dose of PZQ was administered to all selected subjects in the transmission season")</f>
        <v>Parasitological screening was performed in June 2011 to determine the baseline prevalence of S. haematobium, and then a single dose of PZQ was administered to all selected subjects in the transmission season</v>
      </c>
      <c r="L23" s="697" t="str">
        <f>IFERROR(__xludf.DUMMYFUNCTION("""COMPUTED_VALUE"""),"No")</f>
        <v>No</v>
      </c>
      <c r="M23" s="697" t="str">
        <f>IFERROR(__xludf.DUMMYFUNCTION("""COMPUTED_VALUE"""),"Yes")</f>
        <v>Yes</v>
      </c>
      <c r="N23" s="697" t="str">
        <f>IFERROR(__xludf.DUMMYFUNCTION("""COMPUTED_VALUE"""),"five weeks after in September 2011 and from February to March 2012.")</f>
        <v>five weeks after in September 2011 and from February to March 2012.</v>
      </c>
      <c r="O23" s="873">
        <f>IFERROR(__xludf.DUMMYFUNCTION("""COMPUTED_VALUE"""),0.968)</f>
        <v>0.968</v>
      </c>
      <c r="P23" s="698">
        <f>IFERROR(__xludf.DUMMYFUNCTION("""COMPUTED_VALUE"""),0.841)</f>
        <v>0.841</v>
      </c>
      <c r="Q23" s="697" t="str">
        <f>IFERROR(__xludf.DUMMYFUNCTION("""COMPUTED_VALUE"""),"When transmission is strictly seasonal, Praziquantel shows the expected efficacy in reducing the prevalence and intensity of infection, but also a significant effect on the occurrence of reinfection.")</f>
        <v>When transmission is strictly seasonal, Praziquantel shows the expected efficacy in reducing the prevalence and intensity of infection, but also a significant effect on the occurrence of reinfection.</v>
      </c>
      <c r="R23" s="697" t="str">
        <f>IFERROR(__xludf.DUMMYFUNCTION("""COMPUTED_VALUE"""),"Efficacy of praziquantel against urinary schistosomiasis and reinfection in Senegalese school children where there is a single well-defined transmission period")</f>
        <v>Efficacy of praziquantel against urinary schistosomiasis and reinfection in Senegalese school children where there is a single well-defined transmission period</v>
      </c>
      <c r="S23" s="699" t="str">
        <f>IFERROR(__xludf.DUMMYFUNCTION("""COMPUTED_VALUE"""),"Senghor, Bruno, et al. ""Efficacy of praziquantel against urinary schistosomiasis and reinfection in Senegalese school children where there is a single well-defined transmission period."" Parasites &amp; vectors 8.1 (2015): 1-11.")</f>
        <v>Senghor, Bruno, et al. "Efficacy of praziquantel against urinary schistosomiasis and reinfection in Senegalese school children where there is a single well-defined transmission period." Parasites &amp; vectors 8.1 (2015): 1-11.</v>
      </c>
      <c r="T23" s="697"/>
      <c r="U23" s="697" t="str">
        <f>IFERROR(__xludf.DUMMYFUNCTION("""COMPUTED_VALUE"""),"")</f>
        <v/>
      </c>
      <c r="V23" s="697">
        <f>IFERROR(__xludf.DUMMYFUNCTION("""COMPUTED_VALUE"""),23.0)</f>
        <v>23</v>
      </c>
    </row>
    <row r="24">
      <c r="A24" s="697" t="str">
        <f>IFERROR(__xludf.DUMMYFUNCTION("""COMPUTED_VALUE"""),"Cheikh S, 2015")</f>
        <v>Cheikh S, 2015</v>
      </c>
      <c r="B24" s="697" t="str">
        <f>IFERROR(__xludf.DUMMYFUNCTION("""COMPUTED_VALUE"""),"s. haematobium")</f>
        <v>s. haematobium</v>
      </c>
      <c r="C24" s="697" t="str">
        <f>IFERROR(__xludf.DUMMYFUNCTION("""COMPUTED_VALUE"""),"Senegal")</f>
        <v>Senegal</v>
      </c>
      <c r="D24" s="697" t="str">
        <f>IFERROR(__xludf.DUMMYFUNCTION("""COMPUTED_VALUE"""),"Praziquantel")</f>
        <v>Praziquantel</v>
      </c>
      <c r="E24" s="697" t="str">
        <f>IFERROR(__xludf.DUMMYFUNCTION("""COMPUTED_VALUE"""),"Single")</f>
        <v>Single</v>
      </c>
      <c r="F24" s="697" t="str">
        <f>IFERROR(__xludf.DUMMYFUNCTION("""COMPUTED_VALUE"""),"40 mg/kg")</f>
        <v>40 mg/kg</v>
      </c>
      <c r="G24" s="697">
        <f>IFERROR(__xludf.DUMMYFUNCTION("""COMPUTED_VALUE"""),25.0)</f>
        <v>25</v>
      </c>
      <c r="H24" s="697" t="str">
        <f>IFERROR(__xludf.DUMMYFUNCTION("""COMPUTED_VALUE"""),"5 to 15")</f>
        <v>5 to 15</v>
      </c>
      <c r="I24" s="705" t="str">
        <f>IFERROR(__xludf.DUMMYFUNCTION("""COMPUTED_VALUE"""),"1:4")</f>
        <v>1:4</v>
      </c>
      <c r="J24" s="697">
        <f>IFERROR(__xludf.DUMMYFUNCTION("""COMPUTED_VALUE"""),2011.0)</f>
        <v>2011</v>
      </c>
      <c r="K24" s="697" t="str">
        <f>IFERROR(__xludf.DUMMYFUNCTION("""COMPUTED_VALUE"""),"Parasitological screening was performed in June 2011 to determine the baseline prevalence of S. haematobium, and then a single dose of PZQ was administered to all selected subjects in the transmission season")</f>
        <v>Parasitological screening was performed in June 2011 to determine the baseline prevalence of S. haematobium, and then a single dose of PZQ was administered to all selected subjects in the transmission season</v>
      </c>
      <c r="L24" s="697" t="str">
        <f>IFERROR(__xludf.DUMMYFUNCTION("""COMPUTED_VALUE"""),"No")</f>
        <v>No</v>
      </c>
      <c r="M24" s="697" t="str">
        <f>IFERROR(__xludf.DUMMYFUNCTION("""COMPUTED_VALUE"""),"Yes")</f>
        <v>Yes</v>
      </c>
      <c r="N24" s="697" t="str">
        <f>IFERROR(__xludf.DUMMYFUNCTION("""COMPUTED_VALUE"""),"five weeks after in September 2011 and from February to March 2012.")</f>
        <v>five weeks after in September 2011 and from February to March 2012.</v>
      </c>
      <c r="O24" s="872">
        <f>IFERROR(__xludf.DUMMYFUNCTION("""COMPUTED_VALUE"""),1.0)</f>
        <v>1</v>
      </c>
      <c r="P24" s="700">
        <f>IFERROR(__xludf.DUMMYFUNCTION("""COMPUTED_VALUE"""),1.0)</f>
        <v>1</v>
      </c>
      <c r="Q24" s="697" t="str">
        <f>IFERROR(__xludf.DUMMYFUNCTION("""COMPUTED_VALUE"""),"When transmission is strictly seasonal, Praziquantel shows the expected efficacy in reducing the prevalence and intensity of infection, but also a significant effect on the occurrence of reinfection.")</f>
        <v>When transmission is strictly seasonal, Praziquantel shows the expected efficacy in reducing the prevalence and intensity of infection, but also a significant effect on the occurrence of reinfection.</v>
      </c>
      <c r="R24" s="697" t="str">
        <f>IFERROR(__xludf.DUMMYFUNCTION("""COMPUTED_VALUE"""),"Efficacy of praziquantel against urinary schistosomiasis and reinfection in Senegalese school children where there is a single well-defined transmission period")</f>
        <v>Efficacy of praziquantel against urinary schistosomiasis and reinfection in Senegalese school children where there is a single well-defined transmission period</v>
      </c>
      <c r="S24" s="699" t="str">
        <f>IFERROR(__xludf.DUMMYFUNCTION("""COMPUTED_VALUE"""),"Senghor, Bruno, et al. ""Efficacy of praziquantel against urinary schistosomiasis and reinfection in Senegalese school children where there is a single well-defined transmission period."" Parasites &amp; vectors 8.1 (2015): 1-11.")</f>
        <v>Senghor, Bruno, et al. "Efficacy of praziquantel against urinary schistosomiasis and reinfection in Senegalese school children where there is a single well-defined transmission period." Parasites &amp; vectors 8.1 (2015): 1-11.</v>
      </c>
      <c r="T24" s="697"/>
      <c r="U24" s="697" t="str">
        <f>IFERROR(__xludf.DUMMYFUNCTION("""COMPUTED_VALUE"""),"")</f>
        <v/>
      </c>
      <c r="V24" s="697">
        <f>IFERROR(__xludf.DUMMYFUNCTION("""COMPUTED_VALUE"""),24.0)</f>
        <v>24</v>
      </c>
    </row>
    <row r="25">
      <c r="A25" s="697" t="str">
        <f>IFERROR(__xludf.DUMMYFUNCTION("""COMPUTED_VALUE"""),"Cheikh S, 2015")</f>
        <v>Cheikh S, 2015</v>
      </c>
      <c r="B25" s="697" t="str">
        <f>IFERROR(__xludf.DUMMYFUNCTION("""COMPUTED_VALUE"""),"s. haematobium")</f>
        <v>s. haematobium</v>
      </c>
      <c r="C25" s="697" t="str">
        <f>IFERROR(__xludf.DUMMYFUNCTION("""COMPUTED_VALUE"""),"Senegal")</f>
        <v>Senegal</v>
      </c>
      <c r="D25" s="697" t="str">
        <f>IFERROR(__xludf.DUMMYFUNCTION("""COMPUTED_VALUE"""),"Praziquantel")</f>
        <v>Praziquantel</v>
      </c>
      <c r="E25" s="697" t="str">
        <f>IFERROR(__xludf.DUMMYFUNCTION("""COMPUTED_VALUE"""),"Single")</f>
        <v>Single</v>
      </c>
      <c r="F25" s="697" t="str">
        <f>IFERROR(__xludf.DUMMYFUNCTION("""COMPUTED_VALUE"""),"40 mg/kg")</f>
        <v>40 mg/kg</v>
      </c>
      <c r="G25" s="697">
        <f>IFERROR(__xludf.DUMMYFUNCTION("""COMPUTED_VALUE"""),36.0)</f>
        <v>36</v>
      </c>
      <c r="H25" s="697" t="str">
        <f>IFERROR(__xludf.DUMMYFUNCTION("""COMPUTED_VALUE"""),"5 to 15")</f>
        <v>5 to 15</v>
      </c>
      <c r="I25" s="705" t="str">
        <f>IFERROR(__xludf.DUMMYFUNCTION("""COMPUTED_VALUE"""),"1:4")</f>
        <v>1:4</v>
      </c>
      <c r="J25" s="697">
        <f>IFERROR(__xludf.DUMMYFUNCTION("""COMPUTED_VALUE"""),2011.0)</f>
        <v>2011</v>
      </c>
      <c r="K25" s="697" t="str">
        <f>IFERROR(__xludf.DUMMYFUNCTION("""COMPUTED_VALUE"""),"Parasitological screening was performed in June 2011 to determine the baseline prevalence of S. haematobium, and then a single dose of PZQ was administered to all selected subjects in the transmission season")</f>
        <v>Parasitological screening was performed in June 2011 to determine the baseline prevalence of S. haematobium, and then a single dose of PZQ was administered to all selected subjects in the transmission season</v>
      </c>
      <c r="L25" s="697" t="str">
        <f>IFERROR(__xludf.DUMMYFUNCTION("""COMPUTED_VALUE"""),"No")</f>
        <v>No</v>
      </c>
      <c r="M25" s="697" t="str">
        <f>IFERROR(__xludf.DUMMYFUNCTION("""COMPUTED_VALUE"""),"Yes")</f>
        <v>Yes</v>
      </c>
      <c r="N25" s="697" t="str">
        <f>IFERROR(__xludf.DUMMYFUNCTION("""COMPUTED_VALUE"""),"five weeks after in September 2011 and from February to March 2012.")</f>
        <v>five weeks after in September 2011 and from February to March 2012.</v>
      </c>
      <c r="O25" s="873">
        <f>IFERROR(__xludf.DUMMYFUNCTION("""COMPUTED_VALUE"""),0.972)</f>
        <v>0.972</v>
      </c>
      <c r="P25" s="698">
        <f>IFERROR(__xludf.DUMMYFUNCTION("""COMPUTED_VALUE"""),0.964)</f>
        <v>0.964</v>
      </c>
      <c r="Q25" s="697" t="str">
        <f>IFERROR(__xludf.DUMMYFUNCTION("""COMPUTED_VALUE"""),"When transmission is strictly seasonal, Praziquantel shows the expected efficacy in reducing the prevalence and intensity of infection, but also a significant effect on the occurrence of reinfection.")</f>
        <v>When transmission is strictly seasonal, Praziquantel shows the expected efficacy in reducing the prevalence and intensity of infection, but also a significant effect on the occurrence of reinfection.</v>
      </c>
      <c r="R25" s="697" t="str">
        <f>IFERROR(__xludf.DUMMYFUNCTION("""COMPUTED_VALUE"""),"Efficacy of praziquantel against urinary schistosomiasis and reinfection in Senegalese school children where there is a single well-defined transmission period")</f>
        <v>Efficacy of praziquantel against urinary schistosomiasis and reinfection in Senegalese school children where there is a single well-defined transmission period</v>
      </c>
      <c r="S25" s="699" t="str">
        <f>IFERROR(__xludf.DUMMYFUNCTION("""COMPUTED_VALUE"""),"Senghor, Bruno, et al. ""Efficacy of praziquantel against urinary schistosomiasis and reinfection in Senegalese school children where there is a single well-defined transmission period."" Parasites &amp; vectors 8.1 (2015): 1-11.")</f>
        <v>Senghor, Bruno, et al. "Efficacy of praziquantel against urinary schistosomiasis and reinfection in Senegalese school children where there is a single well-defined transmission period." Parasites &amp; vectors 8.1 (2015): 1-11.</v>
      </c>
      <c r="T25" s="697"/>
      <c r="U25" s="697" t="str">
        <f>IFERROR(__xludf.DUMMYFUNCTION("""COMPUTED_VALUE"""),"")</f>
        <v/>
      </c>
      <c r="V25" s="697">
        <f>IFERROR(__xludf.DUMMYFUNCTION("""COMPUTED_VALUE"""),25.0)</f>
        <v>25</v>
      </c>
    </row>
    <row r="26">
      <c r="A26" s="697" t="str">
        <f>IFERROR(__xludf.DUMMYFUNCTION("""COMPUTED_VALUE"""),"Cheikh S, 2015")</f>
        <v>Cheikh S, 2015</v>
      </c>
      <c r="B26" s="697" t="str">
        <f>IFERROR(__xludf.DUMMYFUNCTION("""COMPUTED_VALUE"""),"s. haematobium")</f>
        <v>s. haematobium</v>
      </c>
      <c r="C26" s="697" t="str">
        <f>IFERROR(__xludf.DUMMYFUNCTION("""COMPUTED_VALUE"""),"Senegal")</f>
        <v>Senegal</v>
      </c>
      <c r="D26" s="697" t="str">
        <f>IFERROR(__xludf.DUMMYFUNCTION("""COMPUTED_VALUE"""),"Praziquantel")</f>
        <v>Praziquantel</v>
      </c>
      <c r="E26" s="697" t="str">
        <f>IFERROR(__xludf.DUMMYFUNCTION("""COMPUTED_VALUE"""),"Single")</f>
        <v>Single</v>
      </c>
      <c r="F26" s="697" t="str">
        <f>IFERROR(__xludf.DUMMYFUNCTION("""COMPUTED_VALUE"""),"40 mg/kg")</f>
        <v>40 mg/kg</v>
      </c>
      <c r="G26" s="697">
        <f>IFERROR(__xludf.DUMMYFUNCTION("""COMPUTED_VALUE"""),47.0)</f>
        <v>47</v>
      </c>
      <c r="H26" s="697" t="str">
        <f>IFERROR(__xludf.DUMMYFUNCTION("""COMPUTED_VALUE"""),"5 to 15")</f>
        <v>5 to 15</v>
      </c>
      <c r="I26" s="705" t="str">
        <f>IFERROR(__xludf.DUMMYFUNCTION("""COMPUTED_VALUE"""),"1:4")</f>
        <v>1:4</v>
      </c>
      <c r="J26" s="697">
        <f>IFERROR(__xludf.DUMMYFUNCTION("""COMPUTED_VALUE"""),2011.0)</f>
        <v>2011</v>
      </c>
      <c r="K26" s="697" t="str">
        <f>IFERROR(__xludf.DUMMYFUNCTION("""COMPUTED_VALUE"""),"Parasitological screening was performed in June 2011 to determine the baseline prevalence of S. haematobium, and then a single dose of PZQ was administered to all selected subjects in the transmission season")</f>
        <v>Parasitological screening was performed in June 2011 to determine the baseline prevalence of S. haematobium, and then a single dose of PZQ was administered to all selected subjects in the transmission season</v>
      </c>
      <c r="L26" s="697" t="str">
        <f>IFERROR(__xludf.DUMMYFUNCTION("""COMPUTED_VALUE"""),"No")</f>
        <v>No</v>
      </c>
      <c r="M26" s="697" t="str">
        <f>IFERROR(__xludf.DUMMYFUNCTION("""COMPUTED_VALUE"""),"Yes")</f>
        <v>Yes</v>
      </c>
      <c r="N26" s="697" t="str">
        <f>IFERROR(__xludf.DUMMYFUNCTION("""COMPUTED_VALUE"""),"five weeks after in September 2011 and from February to March 2012.")</f>
        <v>five weeks after in September 2011 and from February to March 2012.</v>
      </c>
      <c r="O26" s="873">
        <f>IFERROR(__xludf.DUMMYFUNCTION("""COMPUTED_VALUE"""),0.894)</f>
        <v>0.894</v>
      </c>
      <c r="P26" s="698">
        <f>IFERROR(__xludf.DUMMYFUNCTION("""COMPUTED_VALUE"""),0.959)</f>
        <v>0.959</v>
      </c>
      <c r="Q26" s="697" t="str">
        <f>IFERROR(__xludf.DUMMYFUNCTION("""COMPUTED_VALUE"""),"When transmission is strictly seasonal, Praziquantel shows the expected efficacy in reducing the prevalence and intensity of infection, but also a significant effect on the occurrence of reinfection.")</f>
        <v>When transmission is strictly seasonal, Praziquantel shows the expected efficacy in reducing the prevalence and intensity of infection, but also a significant effect on the occurrence of reinfection.</v>
      </c>
      <c r="R26" s="697" t="str">
        <f>IFERROR(__xludf.DUMMYFUNCTION("""COMPUTED_VALUE"""),"Efficacy of praziquantel against urinary schistosomiasis and reinfection in Senegalese school children where there is a single well-defined transmission period")</f>
        <v>Efficacy of praziquantel against urinary schistosomiasis and reinfection in Senegalese school children where there is a single well-defined transmission period</v>
      </c>
      <c r="S26" s="699" t="str">
        <f>IFERROR(__xludf.DUMMYFUNCTION("""COMPUTED_VALUE"""),"Senghor, Bruno, et al. ""Efficacy of praziquantel against urinary schistosomiasis and reinfection in Senegalese school children where there is a single well-defined transmission period."" Parasites &amp; vectors 8.1 (2015): 1-11.")</f>
        <v>Senghor, Bruno, et al. "Efficacy of praziquantel against urinary schistosomiasis and reinfection in Senegalese school children where there is a single well-defined transmission period." Parasites &amp; vectors 8.1 (2015): 1-11.</v>
      </c>
      <c r="T26" s="697"/>
      <c r="U26" s="697" t="str">
        <f>IFERROR(__xludf.DUMMYFUNCTION("""COMPUTED_VALUE"""),"")</f>
        <v/>
      </c>
      <c r="V26" s="697">
        <f>IFERROR(__xludf.DUMMYFUNCTION("""COMPUTED_VALUE"""),26.0)</f>
        <v>26</v>
      </c>
    </row>
    <row r="27">
      <c r="A27" s="697" t="str">
        <f>IFERROR(__xludf.DUMMYFUNCTION("""COMPUTED_VALUE"""),"Cheikh S, 2015")</f>
        <v>Cheikh S, 2015</v>
      </c>
      <c r="B27" s="697" t="str">
        <f>IFERROR(__xludf.DUMMYFUNCTION("""COMPUTED_VALUE"""),"s. haematobium")</f>
        <v>s. haematobium</v>
      </c>
      <c r="C27" s="697" t="str">
        <f>IFERROR(__xludf.DUMMYFUNCTION("""COMPUTED_VALUE"""),"Senegal")</f>
        <v>Senegal</v>
      </c>
      <c r="D27" s="697" t="str">
        <f>IFERROR(__xludf.DUMMYFUNCTION("""COMPUTED_VALUE"""),"Praziquantel")</f>
        <v>Praziquantel</v>
      </c>
      <c r="E27" s="697" t="str">
        <f>IFERROR(__xludf.DUMMYFUNCTION("""COMPUTED_VALUE"""),"Single")</f>
        <v>Single</v>
      </c>
      <c r="F27" s="697" t="str">
        <f>IFERROR(__xludf.DUMMYFUNCTION("""COMPUTED_VALUE"""),"40 mg/kg")</f>
        <v>40 mg/kg</v>
      </c>
      <c r="G27" s="697">
        <f>IFERROR(__xludf.DUMMYFUNCTION("""COMPUTED_VALUE"""),22.0)</f>
        <v>22</v>
      </c>
      <c r="H27" s="697" t="str">
        <f>IFERROR(__xludf.DUMMYFUNCTION("""COMPUTED_VALUE"""),"5 to 15")</f>
        <v>5 to 15</v>
      </c>
      <c r="I27" s="705" t="str">
        <f>IFERROR(__xludf.DUMMYFUNCTION("""COMPUTED_VALUE"""),"1:4")</f>
        <v>1:4</v>
      </c>
      <c r="J27" s="697">
        <f>IFERROR(__xludf.DUMMYFUNCTION("""COMPUTED_VALUE"""),2011.0)</f>
        <v>2011</v>
      </c>
      <c r="K27" s="697" t="str">
        <f>IFERROR(__xludf.DUMMYFUNCTION("""COMPUTED_VALUE"""),"Parasitological screening was performed in June 2011 to determine the baseline prevalence of S. haematobium, and then a single dose of PZQ was administered to all selected subjects in the transmission season")</f>
        <v>Parasitological screening was performed in June 2011 to determine the baseline prevalence of S. haematobium, and then a single dose of PZQ was administered to all selected subjects in the transmission season</v>
      </c>
      <c r="L27" s="697" t="str">
        <f>IFERROR(__xludf.DUMMYFUNCTION("""COMPUTED_VALUE"""),"No")</f>
        <v>No</v>
      </c>
      <c r="M27" s="697" t="str">
        <f>IFERROR(__xludf.DUMMYFUNCTION("""COMPUTED_VALUE"""),"Yes")</f>
        <v>Yes</v>
      </c>
      <c r="N27" s="697" t="str">
        <f>IFERROR(__xludf.DUMMYFUNCTION("""COMPUTED_VALUE"""),"five weeks after in September 2011 and from February to March 2012.")</f>
        <v>five weeks after in September 2011 and from February to March 2012.</v>
      </c>
      <c r="O27" s="873">
        <f>IFERROR(__xludf.DUMMYFUNCTION("""COMPUTED_VALUE"""),0.954)</f>
        <v>0.954</v>
      </c>
      <c r="P27" s="698">
        <f>IFERROR(__xludf.DUMMYFUNCTION("""COMPUTED_VALUE"""),0.909)</f>
        <v>0.909</v>
      </c>
      <c r="Q27" s="697" t="str">
        <f>IFERROR(__xludf.DUMMYFUNCTION("""COMPUTED_VALUE"""),"When transmission is strictly seasonal, Praziquantel shows the expected efficacy in reducing the prevalence and intensity of infection, but also a significant effect on the occurrence of reinfection.")</f>
        <v>When transmission is strictly seasonal, Praziquantel shows the expected efficacy in reducing the prevalence and intensity of infection, but also a significant effect on the occurrence of reinfection.</v>
      </c>
      <c r="R27" s="697" t="str">
        <f>IFERROR(__xludf.DUMMYFUNCTION("""COMPUTED_VALUE"""),"Efficacy of praziquantel against urinary schistosomiasis and reinfection in Senegalese school children where there is a single well-defined transmission period")</f>
        <v>Efficacy of praziquantel against urinary schistosomiasis and reinfection in Senegalese school children where there is a single well-defined transmission period</v>
      </c>
      <c r="S27" s="699" t="str">
        <f>IFERROR(__xludf.DUMMYFUNCTION("""COMPUTED_VALUE"""),"Senghor, Bruno, et al. ""Efficacy of praziquantel against urinary schistosomiasis and reinfection in Senegalese school children where there is a single well-defined transmission period."" Parasites &amp; vectors 8.1 (2015): 1-11.")</f>
        <v>Senghor, Bruno, et al. "Efficacy of praziquantel against urinary schistosomiasis and reinfection in Senegalese school children where there is a single well-defined transmission period." Parasites &amp; vectors 8.1 (2015): 1-11.</v>
      </c>
      <c r="T27" s="697"/>
      <c r="U27" s="697" t="str">
        <f>IFERROR(__xludf.DUMMYFUNCTION("""COMPUTED_VALUE"""),"")</f>
        <v/>
      </c>
      <c r="V27" s="697">
        <f>IFERROR(__xludf.DUMMYFUNCTION("""COMPUTED_VALUE"""),27.0)</f>
        <v>27</v>
      </c>
    </row>
    <row r="28">
      <c r="A28" s="697" t="str">
        <f>IFERROR(__xludf.DUMMYFUNCTION("""COMPUTED_VALUE"""),"Coulibaly JT, 2012")</f>
        <v>Coulibaly JT, 2012</v>
      </c>
      <c r="B28" s="697" t="str">
        <f>IFERROR(__xludf.DUMMYFUNCTION("""COMPUTED_VALUE"""),"s. haematobium")</f>
        <v>s. haematobium</v>
      </c>
      <c r="C28" s="697" t="str">
        <f>IFERROR(__xludf.DUMMYFUNCTION("""COMPUTED_VALUE"""),"Cote d'Ivoire")</f>
        <v>Cote d'Ivoire</v>
      </c>
      <c r="D28" s="697" t="str">
        <f>IFERROR(__xludf.DUMMYFUNCTION("""COMPUTED_VALUE"""),"Praziquantel")</f>
        <v>Praziquantel</v>
      </c>
      <c r="E28" s="697" t="str">
        <f>IFERROR(__xludf.DUMMYFUNCTION("""COMPUTED_VALUE"""),"Single")</f>
        <v>Single</v>
      </c>
      <c r="F28" s="697" t="str">
        <f>IFERROR(__xludf.DUMMYFUNCTION("""COMPUTED_VALUE"""),"40 mg/kg")</f>
        <v>40 mg/kg</v>
      </c>
      <c r="G28" s="697">
        <f>IFERROR(__xludf.DUMMYFUNCTION("""COMPUTED_VALUE"""),160.0)</f>
        <v>160</v>
      </c>
      <c r="H28" s="697" t="str">
        <f>IFERROR(__xludf.DUMMYFUNCTION("""COMPUTED_VALUE"""),"7 to 15")</f>
        <v>7 to 15</v>
      </c>
      <c r="I28" s="705" t="str">
        <f>IFERROR(__xludf.DUMMYFUNCTION("""COMPUTED_VALUE"""),"1:1")</f>
        <v>1:1</v>
      </c>
      <c r="J28" s="697">
        <f>IFERROR(__xludf.DUMMYFUNCTION("""COMPUTED_VALUE"""),2012.0)</f>
        <v>2012</v>
      </c>
      <c r="K28" s="697" t="str">
        <f>IFERROR(__xludf.DUMMYFUNCTION("""COMPUTED_VALUE"""),"infected with either S.mansoni or S.haemon")</f>
        <v>infected with either S.mansoni or S.haemon</v>
      </c>
      <c r="L28" s="697" t="str">
        <f>IFERROR(__xludf.DUMMYFUNCTION("""COMPUTED_VALUE"""),"Yes")</f>
        <v>Yes</v>
      </c>
      <c r="M28" s="697" t="str">
        <f>IFERROR(__xludf.DUMMYFUNCTION("""COMPUTED_VALUE"""),"Yes")</f>
        <v>Yes</v>
      </c>
      <c r="N28" s="697" t="str">
        <f>IFERROR(__xludf.DUMMYFUNCTION("""COMPUTED_VALUE"""),"We assessed the efficacy among preschool-aged children (&lt;6 years), where Schistosoma mansoni and S. haematobium coexist. Using a cross-sectional design, children provided two stool and two urine samples before and 3 weeks after treatment.")</f>
        <v>We assessed the efficacy among preschool-aged children (&lt;6 years), where Schistosoma mansoni and S. haematobium coexist. Using a cross-sectional design, children provided two stool and two urine samples before and 3 weeks after treatment.</v>
      </c>
      <c r="O28" s="873">
        <f>IFERROR(__xludf.DUMMYFUNCTION("""COMPUTED_VALUE"""),0.886)</f>
        <v>0.886</v>
      </c>
      <c r="P28" s="698">
        <f>IFERROR(__xludf.DUMMYFUNCTION("""COMPUTED_VALUE"""),0.967)</f>
        <v>0.967</v>
      </c>
      <c r="Q28" s="697" t="str">
        <f>IFERROR(__xludf.DUMMYFUNCTION("""COMPUTED_VALUE"""),"The delayed decrease of microhaematuria confirms that lesions in the urinary tract persist longer than egg excretion post-treatment.")</f>
        <v>The delayed decrease of microhaematuria confirms that lesions in the urinary tract persist longer than egg excretion post-treatment.</v>
      </c>
      <c r="R28" s="697" t="str">
        <f>IFERROR(__xludf.DUMMYFUNCTION("""COMPUTED_VALUE"""),"Dynamics of Schistosoma haematobium egg output and associated infection parameters following treatment with praziquantel in school-aged children")</f>
        <v>Dynamics of Schistosoma haematobium egg output and associated infection parameters following treatment with praziquantel in school-aged children</v>
      </c>
      <c r="S28" s="699" t="str">
        <f>IFERROR(__xludf.DUMMYFUNCTION("""COMPUTED_VALUE"""),"Stete, Katarina, et al. ""Dynamics of Schistosoma haematobium egg output and associated infection parameters following treatment with praziquantel in school-aged children."" Parasit Vectors 5.1 (2012): 298.")</f>
        <v>Stete, Katarina, et al. "Dynamics of Schistosoma haematobium egg output and associated infection parameters following treatment with praziquantel in school-aged children." Parasit Vectors 5.1 (2012): 298.</v>
      </c>
      <c r="T28" s="697"/>
      <c r="U28" s="697" t="str">
        <f>IFERROR(__xludf.DUMMYFUNCTION("""COMPUTED_VALUE"""),"")</f>
        <v/>
      </c>
      <c r="V28" s="697">
        <f>IFERROR(__xludf.DUMMYFUNCTION("""COMPUTED_VALUE"""),28.0)</f>
        <v>28</v>
      </c>
    </row>
    <row r="29">
      <c r="A29" s="697" t="str">
        <f>IFERROR(__xludf.DUMMYFUNCTION("""COMPUTED_VALUE"""),"Creasey AM, 1986")</f>
        <v>Creasey AM, 1986</v>
      </c>
      <c r="B29" s="697" t="str">
        <f>IFERROR(__xludf.DUMMYFUNCTION("""COMPUTED_VALUE"""),"s. mansoni ")</f>
        <v>s. mansoni </v>
      </c>
      <c r="C29" s="697" t="str">
        <f>IFERROR(__xludf.DUMMYFUNCTION("""COMPUTED_VALUE"""),"Zimbabwe")</f>
        <v>Zimbabwe</v>
      </c>
      <c r="D29" s="697" t="str">
        <f>IFERROR(__xludf.DUMMYFUNCTION("""COMPUTED_VALUE"""),"Oxamniquine &amp; Praziquantel")</f>
        <v>Oxamniquine &amp; Praziquantel</v>
      </c>
      <c r="E29" s="697" t="str">
        <f>IFERROR(__xludf.DUMMYFUNCTION("""COMPUTED_VALUE"""),"Single")</f>
        <v>Single</v>
      </c>
      <c r="F29" s="697" t="str">
        <f>IFERROR(__xludf.DUMMYFUNCTION("""COMPUTED_VALUE"""),"8 mg/kg; 4 mg/kg ")</f>
        <v>8 mg/kg; 4 mg/kg </v>
      </c>
      <c r="G29" s="697">
        <f>IFERROR(__xludf.DUMMYFUNCTION("""COMPUTED_VALUE"""),10.0)</f>
        <v>10</v>
      </c>
      <c r="H29" s="697" t="str">
        <f>IFERROR(__xludf.DUMMYFUNCTION("""COMPUTED_VALUE"""),"7-16 years")</f>
        <v>7-16 years</v>
      </c>
      <c r="I29" s="705" t="str">
        <f>IFERROR(__xludf.DUMMYFUNCTION("""COMPUTED_VALUE"""),"34:25")</f>
        <v>34:25</v>
      </c>
      <c r="J29" s="697">
        <f>IFERROR(__xludf.DUMMYFUNCTION("""COMPUTED_VALUE"""),1986.0)</f>
        <v>1986</v>
      </c>
      <c r="K29" s="697" t="str">
        <f>IFERROR(__xludf.DUMMYFUNCTION("""COMPUTED_VALUE"""),"schoolchildren aged 7 to 16 years with both S. mansoni and S. haematobium")</f>
        <v>schoolchildren aged 7 to 16 years with both S. mansoni and S. haematobium</v>
      </c>
      <c r="L29" s="697" t="str">
        <f>IFERROR(__xludf.DUMMYFUNCTION("""COMPUTED_VALUE"""),"Yes")</f>
        <v>Yes</v>
      </c>
      <c r="M29" s="697" t="str">
        <f>IFERROR(__xludf.DUMMYFUNCTION("""COMPUTED_VALUE"""),"Yes")</f>
        <v>Yes</v>
      </c>
      <c r="N29" s="697" t="str">
        <f>IFERROR(__xludf.DUMMYFUNCTION("""COMPUTED_VALUE"""),"Cure rate 3 and 6 months")</f>
        <v>Cure rate 3 and 6 months</v>
      </c>
      <c r="O29" s="872">
        <f>IFERROR(__xludf.DUMMYFUNCTION("""COMPUTED_VALUE"""),0.1)</f>
        <v>0.1</v>
      </c>
      <c r="P29" s="700">
        <f>IFERROR(__xludf.DUMMYFUNCTION("""COMPUTED_VALUE"""),0.69)</f>
        <v>0.69</v>
      </c>
      <c r="Q29" s="697" t="str">
        <f>IFERROR(__xludf.DUMMYFUNCTION("""COMPUTED_VALUE"""),"In the treatment of s.mansoni the combination drug dosages in group 2 and 3 proved very effective.")</f>
        <v>In the treatment of s.mansoni the combination drug dosages in group 2 and 3 proved very effective.</v>
      </c>
      <c r="R29" s="697"/>
      <c r="S29" s="699" t="str">
        <f>IFERROR(__xludf.DUMMYFUNCTION("""COMPUTED_VALUE"""),"Creasey AM, Taylor P, Thomas JE. Dosage trial of a combination of oxamniquine and praziquantel in the treatment of schistosomiasis in Zimbabwean schoolchildren. Central African Journal of Medicine 1986;32(7):165–7.")</f>
        <v>Creasey AM, Taylor P, Thomas JE. Dosage trial of a combination of oxamniquine and praziquantel in the treatment of schistosomiasis in Zimbabwean schoolchildren. Central African Journal of Medicine 1986;32(7):165–7.</v>
      </c>
      <c r="T29" s="697"/>
      <c r="U29" s="697" t="str">
        <f>IFERROR(__xludf.DUMMYFUNCTION("""COMPUTED_VALUE"""),"")</f>
        <v/>
      </c>
      <c r="V29" s="697">
        <f>IFERROR(__xludf.DUMMYFUNCTION("""COMPUTED_VALUE"""),29.0)</f>
        <v>29</v>
      </c>
    </row>
    <row r="30">
      <c r="A30" s="697" t="str">
        <f>IFERROR(__xludf.DUMMYFUNCTION("""COMPUTED_VALUE"""),"Creasey AM, 1986")</f>
        <v>Creasey AM, 1986</v>
      </c>
      <c r="B30" s="697" t="str">
        <f>IFERROR(__xludf.DUMMYFUNCTION("""COMPUTED_VALUE"""),"s. mansoni ")</f>
        <v>s. mansoni </v>
      </c>
      <c r="C30" s="697" t="str">
        <f>IFERROR(__xludf.DUMMYFUNCTION("""COMPUTED_VALUE"""),"Zimbabwe")</f>
        <v>Zimbabwe</v>
      </c>
      <c r="D30" s="697" t="str">
        <f>IFERROR(__xludf.DUMMYFUNCTION("""COMPUTED_VALUE"""),"Oxamniquine &amp; Praziquantel")</f>
        <v>Oxamniquine &amp; Praziquantel</v>
      </c>
      <c r="E30" s="697" t="str">
        <f>IFERROR(__xludf.DUMMYFUNCTION("""COMPUTED_VALUE"""),"Single")</f>
        <v>Single</v>
      </c>
      <c r="F30" s="697" t="str">
        <f>IFERROR(__xludf.DUMMYFUNCTION("""COMPUTED_VALUE"""),"15 mg/kg; 7.5 mg/kg ")</f>
        <v>15 mg/kg; 7.5 mg/kg </v>
      </c>
      <c r="G30" s="697">
        <f>IFERROR(__xludf.DUMMYFUNCTION("""COMPUTED_VALUE"""),30.0)</f>
        <v>30</v>
      </c>
      <c r="H30" s="697" t="str">
        <f>IFERROR(__xludf.DUMMYFUNCTION("""COMPUTED_VALUE"""),"7-16 years")</f>
        <v>7-16 years</v>
      </c>
      <c r="I30" s="705" t="str">
        <f>IFERROR(__xludf.DUMMYFUNCTION("""COMPUTED_VALUE"""),"34:25")</f>
        <v>34:25</v>
      </c>
      <c r="J30" s="697">
        <f>IFERROR(__xludf.DUMMYFUNCTION("""COMPUTED_VALUE"""),1986.0)</f>
        <v>1986</v>
      </c>
      <c r="K30" s="697" t="str">
        <f>IFERROR(__xludf.DUMMYFUNCTION("""COMPUTED_VALUE"""),"schoolchildren aged 7 to 16 years with both S. mansoni")</f>
        <v>schoolchildren aged 7 to 16 years with both S. mansoni</v>
      </c>
      <c r="L30" s="697" t="str">
        <f>IFERROR(__xludf.DUMMYFUNCTION("""COMPUTED_VALUE"""),"Yes")</f>
        <v>Yes</v>
      </c>
      <c r="M30" s="697" t="str">
        <f>IFERROR(__xludf.DUMMYFUNCTION("""COMPUTED_VALUE"""),"Yes")</f>
        <v>Yes</v>
      </c>
      <c r="N30" s="697" t="str">
        <f>IFERROR(__xludf.DUMMYFUNCTION("""COMPUTED_VALUE"""),"Cure rate 3 and 6 months")</f>
        <v>Cure rate 3 and 6 months</v>
      </c>
      <c r="O30" s="873">
        <f>IFERROR(__xludf.DUMMYFUNCTION("""COMPUTED_VALUE"""),0.385)</f>
        <v>0.385</v>
      </c>
      <c r="P30" s="697"/>
      <c r="Q30" s="697" t="str">
        <f>IFERROR(__xludf.DUMMYFUNCTION("""COMPUTED_VALUE"""),"In the treatment of s.mansoni the combination drug dosages in group 2 and 3 proved very effective.")</f>
        <v>In the treatment of s.mansoni the combination drug dosages in group 2 and 3 proved very effective.</v>
      </c>
      <c r="R30" s="697"/>
      <c r="S30" s="699" t="str">
        <f>IFERROR(__xludf.DUMMYFUNCTION("""COMPUTED_VALUE"""),"Creasey AM, Taylor P, Thomas JE. Dosage trial of a combination of oxamniquine and praziquantel in the treatment of schistosomiasis in Zimbabwean schoolchildren. Central African Journal of Medicine 1986;32(7):165–7.")</f>
        <v>Creasey AM, Taylor P, Thomas JE. Dosage trial of a combination of oxamniquine and praziquantel in the treatment of schistosomiasis in Zimbabwean schoolchildren. Central African Journal of Medicine 1986;32(7):165–7.</v>
      </c>
      <c r="T30" s="697"/>
      <c r="U30" s="697" t="str">
        <f>IFERROR(__xludf.DUMMYFUNCTION("""COMPUTED_VALUE"""),"")</f>
        <v/>
      </c>
      <c r="V30" s="697">
        <f>IFERROR(__xludf.DUMMYFUNCTION("""COMPUTED_VALUE"""),30.0)</f>
        <v>30</v>
      </c>
    </row>
    <row r="31">
      <c r="A31" s="697" t="str">
        <f>IFERROR(__xludf.DUMMYFUNCTION("""COMPUTED_VALUE"""),"Creasey AM, 1986")</f>
        <v>Creasey AM, 1986</v>
      </c>
      <c r="B31" s="697" t="str">
        <f>IFERROR(__xludf.DUMMYFUNCTION("""COMPUTED_VALUE"""),"s. mansoni ")</f>
        <v>s. mansoni </v>
      </c>
      <c r="C31" s="697" t="str">
        <f>IFERROR(__xludf.DUMMYFUNCTION("""COMPUTED_VALUE"""),"Zimbabwe")</f>
        <v>Zimbabwe</v>
      </c>
      <c r="D31" s="697" t="str">
        <f>IFERROR(__xludf.DUMMYFUNCTION("""COMPUTED_VALUE"""),"Oxamniquine &amp; Praziquantel")</f>
        <v>Oxamniquine &amp; Praziquantel</v>
      </c>
      <c r="E31" s="697" t="str">
        <f>IFERROR(__xludf.DUMMYFUNCTION("""COMPUTED_VALUE"""),"Single")</f>
        <v>Single</v>
      </c>
      <c r="F31" s="697" t="str">
        <f>IFERROR(__xludf.DUMMYFUNCTION("""COMPUTED_VALUE"""),"20 mg/kg; 10 mg/kg ")</f>
        <v>20 mg/kg; 10 mg/kg </v>
      </c>
      <c r="G31" s="697">
        <f>IFERROR(__xludf.DUMMYFUNCTION("""COMPUTED_VALUE"""),19.0)</f>
        <v>19</v>
      </c>
      <c r="H31" s="697" t="str">
        <f>IFERROR(__xludf.DUMMYFUNCTION("""COMPUTED_VALUE"""),"7-16 years")</f>
        <v>7-16 years</v>
      </c>
      <c r="I31" s="705" t="str">
        <f>IFERROR(__xludf.DUMMYFUNCTION("""COMPUTED_VALUE"""),"34:25")</f>
        <v>34:25</v>
      </c>
      <c r="J31" s="697">
        <f>IFERROR(__xludf.DUMMYFUNCTION("""COMPUTED_VALUE"""),1986.0)</f>
        <v>1986</v>
      </c>
      <c r="K31" s="697" t="str">
        <f>IFERROR(__xludf.DUMMYFUNCTION("""COMPUTED_VALUE"""),"schoolchildren aged 7 to 16 years with both S. mansoni")</f>
        <v>schoolchildren aged 7 to 16 years with both S. mansoni</v>
      </c>
      <c r="L31" s="697" t="str">
        <f>IFERROR(__xludf.DUMMYFUNCTION("""COMPUTED_VALUE"""),"Yes")</f>
        <v>Yes</v>
      </c>
      <c r="M31" s="697" t="str">
        <f>IFERROR(__xludf.DUMMYFUNCTION("""COMPUTED_VALUE"""),"Yes")</f>
        <v>Yes</v>
      </c>
      <c r="N31" s="697" t="str">
        <f>IFERROR(__xludf.DUMMYFUNCTION("""COMPUTED_VALUE"""),"Cure rate 3 and 6 months")</f>
        <v>Cure rate 3 and 6 months</v>
      </c>
      <c r="O31" s="873">
        <f>IFERROR(__xludf.DUMMYFUNCTION("""COMPUTED_VALUE"""),0.526)</f>
        <v>0.526</v>
      </c>
      <c r="P31" s="698">
        <f>IFERROR(__xludf.DUMMYFUNCTION("""COMPUTED_VALUE"""),0.934)</f>
        <v>0.934</v>
      </c>
      <c r="Q31" s="697" t="str">
        <f>IFERROR(__xludf.DUMMYFUNCTION("""COMPUTED_VALUE"""),"In the treatment of s.mansoni the combination drug dosages in group 2 and 3 proved very effective.")</f>
        <v>In the treatment of s.mansoni the combination drug dosages in group 2 and 3 proved very effective.</v>
      </c>
      <c r="R31" s="697"/>
      <c r="S31" s="699" t="str">
        <f>IFERROR(__xludf.DUMMYFUNCTION("""COMPUTED_VALUE"""),"Creasey AM, Taylor P, Thomas JE. Dosage trial of a combination of oxamniquine and praziquantel in the treatment of schistosomiasis in Zimbabwean schoolchildren. Central African Journal of Medicine 1986;32(7):165–7.")</f>
        <v>Creasey AM, Taylor P, Thomas JE. Dosage trial of a combination of oxamniquine and praziquantel in the treatment of schistosomiasis in Zimbabwean schoolchildren. Central African Journal of Medicine 1986;32(7):165–7.</v>
      </c>
      <c r="T31" s="697"/>
      <c r="U31" s="697" t="str">
        <f>IFERROR(__xludf.DUMMYFUNCTION("""COMPUTED_VALUE"""),"")</f>
        <v/>
      </c>
      <c r="V31" s="697">
        <f>IFERROR(__xludf.DUMMYFUNCTION("""COMPUTED_VALUE"""),31.0)</f>
        <v>31</v>
      </c>
    </row>
    <row r="32">
      <c r="A32" s="697" t="str">
        <f>IFERROR(__xludf.DUMMYFUNCTION("""COMPUTED_VALUE"""),"da Cunha AS, 1986")</f>
        <v>da Cunha AS, 1986</v>
      </c>
      <c r="B32" s="697" t="str">
        <f>IFERROR(__xludf.DUMMYFUNCTION("""COMPUTED_VALUE"""),"s. mansoni")</f>
        <v>s. mansoni</v>
      </c>
      <c r="C32" s="697" t="str">
        <f>IFERROR(__xludf.DUMMYFUNCTION("""COMPUTED_VALUE"""),"Brazil")</f>
        <v>Brazil</v>
      </c>
      <c r="D32" s="697" t="str">
        <f>IFERROR(__xludf.DUMMYFUNCTION("""COMPUTED_VALUE"""),"Praziquantel")</f>
        <v>Praziquantel</v>
      </c>
      <c r="E32" s="697" t="str">
        <f>IFERROR(__xludf.DUMMYFUNCTION("""COMPUTED_VALUE"""),"Single")</f>
        <v>Single</v>
      </c>
      <c r="F32" s="697" t="str">
        <f>IFERROR(__xludf.DUMMYFUNCTION("""COMPUTED_VALUE"""),"30 mg/kg for 6 days")</f>
        <v>30 mg/kg for 6 days</v>
      </c>
      <c r="G32" s="697">
        <f>IFERROR(__xludf.DUMMYFUNCTION("""COMPUTED_VALUE"""),20.0)</f>
        <v>20</v>
      </c>
      <c r="H32" s="697" t="str">
        <f>IFERROR(__xludf.DUMMYFUNCTION("""COMPUTED_VALUE"""),"15-55")</f>
        <v>15-55</v>
      </c>
      <c r="I32" s="705" t="str">
        <f>IFERROR(__xludf.DUMMYFUNCTION("""COMPUTED_VALUE"""),"1: 1")</f>
        <v>1: 1</v>
      </c>
      <c r="J32" s="697">
        <f>IFERROR(__xludf.DUMMYFUNCTION("""COMPUTED_VALUE"""),1987.0)</f>
        <v>1987</v>
      </c>
      <c r="K32" s="697" t="str">
        <f>IFERROR(__xludf.DUMMYFUNCTION("""COMPUTED_VALUE"""),"adolescent and adult patients aged 15 to 55 years with chronic S. mansoni infection")</f>
        <v>adolescent and adult patients aged 15 to 55 years with chronic S. mansoni infection</v>
      </c>
      <c r="L32" s="697" t="str">
        <f>IFERROR(__xludf.DUMMYFUNCTION("""COMPUTED_VALUE"""),"Yes")</f>
        <v>Yes</v>
      </c>
      <c r="M32" s="697" t="str">
        <f>IFERROR(__xludf.DUMMYFUNCTION("""COMPUTED_VALUE"""),"Yes")</f>
        <v>Yes</v>
      </c>
      <c r="N32" s="697" t="str">
        <f>IFERROR(__xludf.DUMMYFUNCTION("""COMPUTED_VALUE"""),"6 months")</f>
        <v>6 months</v>
      </c>
      <c r="O32" s="872">
        <f>IFERROR(__xludf.DUMMYFUNCTION("""COMPUTED_VALUE"""),0.9)</f>
        <v>0.9</v>
      </c>
      <c r="P32" s="700">
        <f>IFERROR(__xludf.DUMMYFUNCTION("""COMPUTED_VALUE"""),0.84)</f>
        <v>0.84</v>
      </c>
      <c r="Q32" s="697" t="str">
        <f>IFERROR(__xludf.DUMMYFUNCTION("""COMPUTED_VALUE"""),"In conclusion, it has been proven thât praziquantel is a highly efncacious agent against S, mansoni infections, If âdministered at a total dose of 180 mg/kg divided into either 3 or 6 days, it yields a 907o cure tate. possibly, one Could reac¡' IOO% by in"&amp;"creâsing the totâl dose to 240 mg/kg. Furthermore, it wâs conhrmed that the quântitative oogram technique is the most reliable parâsitologicâl method when evaluating the efficacy of new dn¡gs in schistosomiasis mansoni.")</f>
        <v>In conclusion, it has been proven thât praziquantel is a highly efncacious agent against S, mansoni infections, If âdministered at a total dose of 180 mg/kg divided into either 3 or 6 days, it yields a 907o cure tate. possibly, one Could reac¡' IOO% by increâsing the totâl dose to 240 mg/kg. Furthermore, it wâs conhrmed that the quântitative oogram technique is the most reliable parâsitologicâl method when evaluating the efficacy of new dn¡gs in schistosomiasis mansoni.</v>
      </c>
      <c r="R32" s="697" t="str">
        <f>IFERROR(__xludf.DUMMYFUNCTION("""COMPUTED_VALUE"""),"80 patients total were involved in the study divided in 4 groups of 20")</f>
        <v>80 patients total were involved in the study divided in 4 groups of 20</v>
      </c>
      <c r="S32" s="699" t="str">
        <f>IFERROR(__xludf.DUMMYFUNCTION("""COMPUTED_VALUE"""),"da Cunha AS, Pedrosa RC. Double-blind therapeutical evaluation based on the quantitative oogram technique, comparing praziquantel and oxamniquine in human Schistosomiasis mansoni. Revista do Instituto de Medicina Tropical de São Paulo 1986;28(5):337–51.")</f>
        <v>da Cunha AS, Pedrosa RC. Double-blind therapeutical evaluation based on the quantitative oogram technique, comparing praziquantel and oxamniquine in human Schistosomiasis mansoni. Revista do Instituto de Medicina Tropical de São Paulo 1986;28(5):337–51.</v>
      </c>
      <c r="T32" s="697"/>
      <c r="U32" s="697" t="str">
        <f>IFERROR(__xludf.DUMMYFUNCTION("""COMPUTED_VALUE"""),"")</f>
        <v/>
      </c>
      <c r="V32" s="697">
        <f>IFERROR(__xludf.DUMMYFUNCTION("""COMPUTED_VALUE"""),32.0)</f>
        <v>32</v>
      </c>
    </row>
    <row r="33">
      <c r="A33" s="697" t="str">
        <f>IFERROR(__xludf.DUMMYFUNCTION("""COMPUTED_VALUE"""),"da Cunha AS, 1987")</f>
        <v>da Cunha AS, 1987</v>
      </c>
      <c r="B33" s="697" t="str">
        <f>IFERROR(__xludf.DUMMYFUNCTION("""COMPUTED_VALUE"""),"s. mansoni")</f>
        <v>s. mansoni</v>
      </c>
      <c r="C33" s="697" t="str">
        <f>IFERROR(__xludf.DUMMYFUNCTION("""COMPUTED_VALUE"""),"Brazil")</f>
        <v>Brazil</v>
      </c>
      <c r="D33" s="697" t="str">
        <f>IFERROR(__xludf.DUMMYFUNCTION("""COMPUTED_VALUE"""),"Praziquantel")</f>
        <v>Praziquantel</v>
      </c>
      <c r="E33" s="697" t="str">
        <f>IFERROR(__xludf.DUMMYFUNCTION("""COMPUTED_VALUE"""),"Single")</f>
        <v>Single</v>
      </c>
      <c r="F33" s="697" t="str">
        <f>IFERROR(__xludf.DUMMYFUNCTION("""COMPUTED_VALUE"""),"60 mg/kg ")</f>
        <v>60 mg/kg </v>
      </c>
      <c r="G33" s="697">
        <f>IFERROR(__xludf.DUMMYFUNCTION("""COMPUTED_VALUE"""),20.0)</f>
        <v>20</v>
      </c>
      <c r="H33" s="697" t="str">
        <f>IFERROR(__xludf.DUMMYFUNCTION("""COMPUTED_VALUE"""),"15-55")</f>
        <v>15-55</v>
      </c>
      <c r="I33" s="705" t="str">
        <f>IFERROR(__xludf.DUMMYFUNCTION("""COMPUTED_VALUE"""),"1: 1.22")</f>
        <v>1: 1.22</v>
      </c>
      <c r="J33" s="697">
        <f>IFERROR(__xludf.DUMMYFUNCTION("""COMPUTED_VALUE"""),1987.0)</f>
        <v>1987</v>
      </c>
      <c r="K33" s="697" t="str">
        <f>IFERROR(__xludf.DUMMYFUNCTION("""COMPUTED_VALUE"""),"adolescent and adults patients aged 15 to 55 years with no previous antischistosomal treatment who were infected with S. mansoni")</f>
        <v>adolescent and adults patients aged 15 to 55 years with no previous antischistosomal treatment who were infected with S. mansoni</v>
      </c>
      <c r="L33" s="697" t="str">
        <f>IFERROR(__xludf.DUMMYFUNCTION("""COMPUTED_VALUE"""),"Yes")</f>
        <v>Yes</v>
      </c>
      <c r="M33" s="697" t="str">
        <f>IFERROR(__xludf.DUMMYFUNCTION("""COMPUTED_VALUE"""),"Yes")</f>
        <v>Yes</v>
      </c>
      <c r="N33" s="697" t="str">
        <f>IFERROR(__xludf.DUMMYFUNCTION("""COMPUTED_VALUE"""),"6 months")</f>
        <v>6 months</v>
      </c>
      <c r="O33" s="872">
        <f>IFERROR(__xludf.DUMMYFUNCTION("""COMPUTED_VALUE"""),0.25)</f>
        <v>0.25</v>
      </c>
      <c r="P33" s="698">
        <f>IFERROR(__xludf.DUMMYFUNCTION("""COMPUTED_VALUE"""),0.64)</f>
        <v>0.64</v>
      </c>
      <c r="Q33" s="697" t="str">
        <f>IFERROR(__xludf.DUMMYFUNCTION("""COMPUTED_VALUE"""),"In conclusion, it has been proven thât praziquantel is a highly efncacious agent against S, mansoni infections, If âdministered at a total dose of 180 mg/kg divided into either 3 or 6 days, it yields a 907o cure tate. possibly, one Could reac¡' IOO% by in"&amp;"creâsing the totâl dose to 240 mg/kg. Furthermore, it wâs conhrmed that the quântitative oogram technique is the most reliable parâsitologicâl method when evaluating the efficacy of new dn¡gs in schistosomiasis mansoni.")</f>
        <v>In conclusion, it has been proven thât praziquantel is a highly efncacious agent against S, mansoni infections, If âdministered at a total dose of 180 mg/kg divided into either 3 or 6 days, it yields a 907o cure tate. possibly, one Could reac¡' IOO% by increâsing the totâl dose to 240 mg/kg. Furthermore, it wâs conhrmed that the quântitative oogram technique is the most reliable parâsitologicâl method when evaluating the efficacy of new dn¡gs in schistosomiasis mansoni.</v>
      </c>
      <c r="R33" s="697" t="str">
        <f>IFERROR(__xludf.DUMMYFUNCTION("""COMPUTED_VALUE"""),"80 patients total were involved in the study divided in 4 groups of 20 ")</f>
        <v>80 patients total were involved in the study divided in 4 groups of 20 </v>
      </c>
      <c r="S33" s="699" t="str">
        <f>IFERROR(__xludf.DUMMYFUNCTION("""COMPUTED_VALUE"""),"da Cunha AS, Pedrosa RC. Double-blind therapeutical evaluation based on the quantitative oogram technique, comparing praziquantel and oxamniquine in human Schistosomiasis mansoni. Revista do Instituto de Medicina Tropical de São Paulo 1986;28(5):337–51.")</f>
        <v>da Cunha AS, Pedrosa RC. Double-blind therapeutical evaluation based on the quantitative oogram technique, comparing praziquantel and oxamniquine in human Schistosomiasis mansoni. Revista do Instituto de Medicina Tropical de São Paulo 1986;28(5):337–51.</v>
      </c>
      <c r="T33" s="697"/>
      <c r="U33" s="697" t="str">
        <f>IFERROR(__xludf.DUMMYFUNCTION("""COMPUTED_VALUE"""),"")</f>
        <v/>
      </c>
      <c r="V33" s="697">
        <f>IFERROR(__xludf.DUMMYFUNCTION("""COMPUTED_VALUE"""),33.0)</f>
        <v>33</v>
      </c>
    </row>
    <row r="34">
      <c r="A34" s="697" t="str">
        <f>IFERROR(__xludf.DUMMYFUNCTION("""COMPUTED_VALUE"""),"da Cunha AS, 1987")</f>
        <v>da Cunha AS, 1987</v>
      </c>
      <c r="B34" s="697" t="str">
        <f>IFERROR(__xludf.DUMMYFUNCTION("""COMPUTED_VALUE"""),"s. mansoni")</f>
        <v>s. mansoni</v>
      </c>
      <c r="C34" s="697" t="str">
        <f>IFERROR(__xludf.DUMMYFUNCTION("""COMPUTED_VALUE"""),"Brazil")</f>
        <v>Brazil</v>
      </c>
      <c r="D34" s="697" t="str">
        <f>IFERROR(__xludf.DUMMYFUNCTION("""COMPUTED_VALUE"""),"Praziquantel")</f>
        <v>Praziquantel</v>
      </c>
      <c r="E34" s="697" t="str">
        <f>IFERROR(__xludf.DUMMYFUNCTION("""COMPUTED_VALUE"""),"Single")</f>
        <v>Single</v>
      </c>
      <c r="F34" s="697" t="str">
        <f>IFERROR(__xludf.DUMMYFUNCTION("""COMPUTED_VALUE"""),"60 mg/kg for 2 days")</f>
        <v>60 mg/kg for 2 days</v>
      </c>
      <c r="G34" s="697">
        <f>IFERROR(__xludf.DUMMYFUNCTION("""COMPUTED_VALUE"""),20.0)</f>
        <v>20</v>
      </c>
      <c r="H34" s="697" t="str">
        <f>IFERROR(__xludf.DUMMYFUNCTION("""COMPUTED_VALUE"""),"15-55")</f>
        <v>15-55</v>
      </c>
      <c r="I34" s="705" t="str">
        <f>IFERROR(__xludf.DUMMYFUNCTION("""COMPUTED_VALUE"""),"1: 4")</f>
        <v>1: 4</v>
      </c>
      <c r="J34" s="697">
        <f>IFERROR(__xludf.DUMMYFUNCTION("""COMPUTED_VALUE"""),1987.0)</f>
        <v>1987</v>
      </c>
      <c r="K34" s="697" t="str">
        <f>IFERROR(__xludf.DUMMYFUNCTION("""COMPUTED_VALUE"""),"adolescent and adults patients aged 15 to 55 years with no previous antischistosomal treatment who were infected with S. mansoni")</f>
        <v>adolescent and adults patients aged 15 to 55 years with no previous antischistosomal treatment who were infected with S. mansoni</v>
      </c>
      <c r="L34" s="697" t="str">
        <f>IFERROR(__xludf.DUMMYFUNCTION("""COMPUTED_VALUE"""),"Yes")</f>
        <v>Yes</v>
      </c>
      <c r="M34" s="697" t="str">
        <f>IFERROR(__xludf.DUMMYFUNCTION("""COMPUTED_VALUE"""),"Yes")</f>
        <v>Yes</v>
      </c>
      <c r="N34" s="697" t="str">
        <f>IFERROR(__xludf.DUMMYFUNCTION("""COMPUTED_VALUE"""),"6 months")</f>
        <v>6 months</v>
      </c>
      <c r="O34" s="872">
        <f>IFERROR(__xludf.DUMMYFUNCTION("""COMPUTED_VALUE"""),0.6)</f>
        <v>0.6</v>
      </c>
      <c r="P34" s="698">
        <f>IFERROR(__xludf.DUMMYFUNCTION("""COMPUTED_VALUE"""),0.731)</f>
        <v>0.731</v>
      </c>
      <c r="Q34" s="697" t="str">
        <f>IFERROR(__xludf.DUMMYFUNCTION("""COMPUTED_VALUE"""),"In conclusion, it has been proven thât praziquantel is a highly efncacious agent against S, mansoni infections, If âdministered at a total dose of 180 mg/kg divided into either 3 or 6 days, it yields a 907o cure tate. possibly, one Could reac¡' IOO% by in"&amp;"creâsing the totâl dose to 240 mg/kg. Furthermore, it wâs conhrmed that the quântitative oogram technique is the most reliable parâsitologicâl method when evaluating the efficacy of new dn¡gs in schistosomiasis mansoni.")</f>
        <v>In conclusion, it has been proven thât praziquantel is a highly efncacious agent against S, mansoni infections, If âdministered at a total dose of 180 mg/kg divided into either 3 or 6 days, it yields a 907o cure tate. possibly, one Could reac¡' IOO% by increâsing the totâl dose to 240 mg/kg. Furthermore, it wâs conhrmed that the quântitative oogram technique is the most reliable parâsitologicâl method when evaluating the efficacy of new dn¡gs in schistosomiasis mansoni.</v>
      </c>
      <c r="R34" s="697" t="str">
        <f>IFERROR(__xludf.DUMMYFUNCTION("""COMPUTED_VALUE"""),"80 patients total were involved in the study divided in 4 groups of 20")</f>
        <v>80 patients total were involved in the study divided in 4 groups of 20</v>
      </c>
      <c r="S34" s="699" t="str">
        <f>IFERROR(__xludf.DUMMYFUNCTION("""COMPUTED_VALUE"""),"da Cunha AS, Pedrosa RC. Double-blind therapeutical evaluation based on the quantitative oogram technique, comparing praziquantel and oxamniquine in human Schistosomiasis mansoni. Revista do Instituto de Medicina Tropical de São Paulo 1986;28(5):337–51.")</f>
        <v>da Cunha AS, Pedrosa RC. Double-blind therapeutical evaluation based on the quantitative oogram technique, comparing praziquantel and oxamniquine in human Schistosomiasis mansoni. Revista do Instituto de Medicina Tropical de São Paulo 1986;28(5):337–51.</v>
      </c>
      <c r="T34" s="697"/>
      <c r="U34" s="697" t="str">
        <f>IFERROR(__xludf.DUMMYFUNCTION("""COMPUTED_VALUE"""),"")</f>
        <v/>
      </c>
      <c r="V34" s="697">
        <f>IFERROR(__xludf.DUMMYFUNCTION("""COMPUTED_VALUE"""),34.0)</f>
        <v>34</v>
      </c>
    </row>
    <row r="35">
      <c r="A35" s="697" t="str">
        <f>IFERROR(__xludf.DUMMYFUNCTION("""COMPUTED_VALUE"""),"da Cunha AS, 1987")</f>
        <v>da Cunha AS, 1987</v>
      </c>
      <c r="B35" s="697" t="str">
        <f>IFERROR(__xludf.DUMMYFUNCTION("""COMPUTED_VALUE"""),"s. mansoni")</f>
        <v>s. mansoni</v>
      </c>
      <c r="C35" s="697" t="str">
        <f>IFERROR(__xludf.DUMMYFUNCTION("""COMPUTED_VALUE"""),"Brazil")</f>
        <v>Brazil</v>
      </c>
      <c r="D35" s="697" t="str">
        <f>IFERROR(__xludf.DUMMYFUNCTION("""COMPUTED_VALUE"""),"Praziquantel")</f>
        <v>Praziquantel</v>
      </c>
      <c r="E35" s="697" t="str">
        <f>IFERROR(__xludf.DUMMYFUNCTION("""COMPUTED_VALUE"""),"Single")</f>
        <v>Single</v>
      </c>
      <c r="F35" s="697" t="str">
        <f>IFERROR(__xludf.DUMMYFUNCTION("""COMPUTED_VALUE"""),"60 mg/kg for 3 days")</f>
        <v>60 mg/kg for 3 days</v>
      </c>
      <c r="G35" s="697">
        <f>IFERROR(__xludf.DUMMYFUNCTION("""COMPUTED_VALUE"""),20.0)</f>
        <v>20</v>
      </c>
      <c r="H35" s="697" t="str">
        <f>IFERROR(__xludf.DUMMYFUNCTION("""COMPUTED_VALUE"""),"15-55")</f>
        <v>15-55</v>
      </c>
      <c r="I35" s="705" t="str">
        <f>IFERROR(__xludf.DUMMYFUNCTION("""COMPUTED_VALUE"""),"1: 1")</f>
        <v>1: 1</v>
      </c>
      <c r="J35" s="697">
        <f>IFERROR(__xludf.DUMMYFUNCTION("""COMPUTED_VALUE"""),1987.0)</f>
        <v>1987</v>
      </c>
      <c r="K35" s="697" t="str">
        <f>IFERROR(__xludf.DUMMYFUNCTION("""COMPUTED_VALUE"""),"adolescent and adults patients aged 15 to 55 years with no previous antischistosomal treatment who were infected with S. mansoni")</f>
        <v>adolescent and adults patients aged 15 to 55 years with no previous antischistosomal treatment who were infected with S. mansoni</v>
      </c>
      <c r="L35" s="697" t="str">
        <f>IFERROR(__xludf.DUMMYFUNCTION("""COMPUTED_VALUE"""),"Yes")</f>
        <v>Yes</v>
      </c>
      <c r="M35" s="697" t="str">
        <f>IFERROR(__xludf.DUMMYFUNCTION("""COMPUTED_VALUE"""),"Yes")</f>
        <v>Yes</v>
      </c>
      <c r="N35" s="697" t="str">
        <f>IFERROR(__xludf.DUMMYFUNCTION("""COMPUTED_VALUE"""),"6 months")</f>
        <v>6 months</v>
      </c>
      <c r="O35" s="873">
        <f>IFERROR(__xludf.DUMMYFUNCTION("""COMPUTED_VALUE"""),0.895)</f>
        <v>0.895</v>
      </c>
      <c r="P35" s="698">
        <f>IFERROR(__xludf.DUMMYFUNCTION("""COMPUTED_VALUE"""),0.866)</f>
        <v>0.866</v>
      </c>
      <c r="Q35" s="697" t="str">
        <f>IFERROR(__xludf.DUMMYFUNCTION("""COMPUTED_VALUE"""),"In conclusion, it has been proven thât praziquantel is a highly efncacious agent against S, mansoni infections, If âdministered at a total dose of 180 mg/kg divided into either 3 or 6 days, it yields a 907o cure tate. possibly, one Could reac¡' IOO% by in"&amp;"creâsing the totâl dose to 240 mg/kg. Furthermore, it wâs conhrmed that the quântitative oogram technique is the most reliable parâsitologicâl method when evaluating the efficacy of new dn¡gs in schistosomiasis mansoni.")</f>
        <v>In conclusion, it has been proven thât praziquantel is a highly efncacious agent against S, mansoni infections, If âdministered at a total dose of 180 mg/kg divided into either 3 or 6 days, it yields a 907o cure tate. possibly, one Could reac¡' IOO% by increâsing the totâl dose to 240 mg/kg. Furthermore, it wâs conhrmed that the quântitative oogram technique is the most reliable parâsitologicâl method when evaluating the efficacy of new dn¡gs in schistosomiasis mansoni.</v>
      </c>
      <c r="R35" s="697" t="str">
        <f>IFERROR(__xludf.DUMMYFUNCTION("""COMPUTED_VALUE"""),"80 patients total were involved in the study divided in 4 groups of 20")</f>
        <v>80 patients total were involved in the study divided in 4 groups of 20</v>
      </c>
      <c r="S35" s="699" t="str">
        <f>IFERROR(__xludf.DUMMYFUNCTION("""COMPUTED_VALUE"""),"da Cunha AS, Pedrosa RC. Double-blind therapeutical evaluation based on the quantitative oogram technique, comparing praziquantel and oxamniquine in human Schistosomiasis mansoni. Revista do Instituto de Medicina Tropical de São Paulo 1986;28(5):337–51.")</f>
        <v>da Cunha AS, Pedrosa RC. Double-blind therapeutical evaluation based on the quantitative oogram technique, comparing praziquantel and oxamniquine in human Schistosomiasis mansoni. Revista do Instituto de Medicina Tropical de São Paulo 1986;28(5):337–51.</v>
      </c>
      <c r="T35" s="697"/>
      <c r="U35" s="697" t="str">
        <f>IFERROR(__xludf.DUMMYFUNCTION("""COMPUTED_VALUE"""),"")</f>
        <v/>
      </c>
      <c r="V35" s="697">
        <f>IFERROR(__xludf.DUMMYFUNCTION("""COMPUTED_VALUE"""),35.0)</f>
        <v>35</v>
      </c>
    </row>
    <row r="36">
      <c r="A36" s="697" t="str">
        <f>IFERROR(__xludf.DUMMYFUNCTION("""COMPUTED_VALUE"""),"da Silva LC, 1986")</f>
        <v>da Silva LC, 1986</v>
      </c>
      <c r="B36" s="697" t="str">
        <f>IFERROR(__xludf.DUMMYFUNCTION("""COMPUTED_VALUE"""),"s. mansoni ")</f>
        <v>s. mansoni </v>
      </c>
      <c r="C36" s="697" t="str">
        <f>IFERROR(__xludf.DUMMYFUNCTION("""COMPUTED_VALUE"""),"Brazil")</f>
        <v>Brazil</v>
      </c>
      <c r="D36" s="697" t="str">
        <f>IFERROR(__xludf.DUMMYFUNCTION("""COMPUTED_VALUE"""),"Praziquantel")</f>
        <v>Praziquantel</v>
      </c>
      <c r="E36" s="697" t="str">
        <f>IFERROR(__xludf.DUMMYFUNCTION("""COMPUTED_VALUE"""),"Single")</f>
        <v>Single</v>
      </c>
      <c r="F36" s="697" t="str">
        <f>IFERROR(__xludf.DUMMYFUNCTION("""COMPUTED_VALUE"""),"55 mg/kg")</f>
        <v>55 mg/kg</v>
      </c>
      <c r="G36" s="697">
        <f>IFERROR(__xludf.DUMMYFUNCTION("""COMPUTED_VALUE"""),120.0)</f>
        <v>120</v>
      </c>
      <c r="H36" s="697" t="str">
        <f>IFERROR(__xludf.DUMMYFUNCTION("""COMPUTED_VALUE"""),"18-55")</f>
        <v>18-55</v>
      </c>
      <c r="I36" s="705" t="str">
        <f>IFERROR(__xludf.DUMMYFUNCTION("""COMPUTED_VALUE"""),"1:1")</f>
        <v>1:1</v>
      </c>
      <c r="J36" s="697">
        <f>IFERROR(__xludf.DUMMYFUNCTION("""COMPUTED_VALUE"""),1986.0)</f>
        <v>1986</v>
      </c>
      <c r="K36" s="697" t="str">
        <f>IFERROR(__xludf.DUMMYFUNCTION("""COMPUTED_VALUE"""),"patients with chronic intestinal or hepato-intestinal S. mansoni infec- tion aged over 14 years")</f>
        <v>patients with chronic intestinal or hepato-intestinal S. mansoni infec- tion aged over 14 years</v>
      </c>
      <c r="L36" s="697" t="str">
        <f>IFERROR(__xludf.DUMMYFUNCTION("""COMPUTED_VALUE"""),"Yes")</f>
        <v>Yes</v>
      </c>
      <c r="M36" s="697" t="str">
        <f>IFERROR(__xludf.DUMMYFUNCTION("""COMPUTED_VALUE"""),"Yes")</f>
        <v>Yes</v>
      </c>
      <c r="N36" s="697" t="str">
        <f>IFERROR(__xludf.DUMMYFUNCTION("""COMPUTED_VALUE"""),"efficacy determined by eliminated viable eggs in the 3 stool examination from the 1st month 3 month and 6 month. Cure rate was on 6 month")</f>
        <v>efficacy determined by eliminated viable eggs in the 3 stool examination from the 1st month 3 month and 6 month. Cure rate was on 6 month</v>
      </c>
      <c r="O36" s="873">
        <f>IFERROR(__xludf.DUMMYFUNCTION("""COMPUTED_VALUE"""),0.792)</f>
        <v>0.792</v>
      </c>
      <c r="P36" s="698">
        <f>IFERROR(__xludf.DUMMYFUNCTION("""COMPUTED_VALUE"""),0.935)</f>
        <v>0.935</v>
      </c>
      <c r="Q36" s="697" t="str">
        <f>IFERROR(__xludf.DUMMYFUNCTION("""COMPUTED_VALUE"""),"data show not only that DSRS is superior but that SRS should be abandoned in hepatosplenic schistosomiasis. On the other hand, a comparison between DSRS and EGDS with more patients and a longer follow-up is urgently needed.")</f>
        <v>data show not only that DSRS is superior but that SRS should be abandoned in hepatosplenic schistosomiasis. On the other hand, a comparison between DSRS and EGDS with more patients and a longer follow-up is urgently needed.</v>
      </c>
      <c r="R36" s="697" t="str">
        <f>IFERROR(__xludf.DUMMYFUNCTION("""COMPUTED_VALUE"""),"A Randomized Trial for the Study of the Elective Surgical Treatment of Portal Hypertension in Mansonic Schistosomiasis")</f>
        <v>A Randomized Trial for the Study of the Elective Surgical Treatment of Portal Hypertension in Mansonic Schistosomiasis</v>
      </c>
      <c r="S36" s="699" t="str">
        <f>IFERROR(__xludf.DUMMYFUNCTION("""COMPUTED_VALUE"""),"da SILVA, LUIZ C., et al. ""A randomized trial for the study of the elective surgical treatment of portal hypertension in mansonic schistosomiasis."" Annals of surgery 204.2 (1986): 148.")</f>
        <v>da SILVA, LUIZ C., et al. "A randomized trial for the study of the elective surgical treatment of portal hypertension in mansonic schistosomiasis." Annals of surgery 204.2 (1986): 148.</v>
      </c>
      <c r="T36" s="697"/>
      <c r="U36" s="697" t="str">
        <f>IFERROR(__xludf.DUMMYFUNCTION("""COMPUTED_VALUE"""),"")</f>
        <v/>
      </c>
      <c r="V36" s="697">
        <f>IFERROR(__xludf.DUMMYFUNCTION("""COMPUTED_VALUE"""),36.0)</f>
        <v>36</v>
      </c>
    </row>
    <row r="37">
      <c r="A37" s="697" t="str">
        <f>IFERROR(__xludf.DUMMYFUNCTION("""COMPUTED_VALUE"""),"da Silva LC, 1986")</f>
        <v>da Silva LC, 1986</v>
      </c>
      <c r="B37" s="697" t="str">
        <f>IFERROR(__xludf.DUMMYFUNCTION("""COMPUTED_VALUE"""),"s. mansoni")</f>
        <v>s. mansoni</v>
      </c>
      <c r="C37" s="697" t="str">
        <f>IFERROR(__xludf.DUMMYFUNCTION("""COMPUTED_VALUE"""),"Brazil")</f>
        <v>Brazil</v>
      </c>
      <c r="D37" s="697" t="str">
        <f>IFERROR(__xludf.DUMMYFUNCTION("""COMPUTED_VALUE"""),"Oxamniquine")</f>
        <v>Oxamniquine</v>
      </c>
      <c r="E37" s="697" t="str">
        <f>IFERROR(__xludf.DUMMYFUNCTION("""COMPUTED_VALUE"""),"Single")</f>
        <v>Single</v>
      </c>
      <c r="F37" s="697" t="str">
        <f>IFERROR(__xludf.DUMMYFUNCTION("""COMPUTED_VALUE"""),"15 mg/kg")</f>
        <v>15 mg/kg</v>
      </c>
      <c r="G37" s="697">
        <f>IFERROR(__xludf.DUMMYFUNCTION("""COMPUTED_VALUE"""),120.0)</f>
        <v>120</v>
      </c>
      <c r="H37" s="697" t="str">
        <f>IFERROR(__xludf.DUMMYFUNCTION("""COMPUTED_VALUE"""),"18-55")</f>
        <v>18-55</v>
      </c>
      <c r="I37" s="705" t="str">
        <f>IFERROR(__xludf.DUMMYFUNCTION("""COMPUTED_VALUE"""),"1:1")</f>
        <v>1:1</v>
      </c>
      <c r="J37" s="697">
        <f>IFERROR(__xludf.DUMMYFUNCTION("""COMPUTED_VALUE"""),1986.0)</f>
        <v>1986</v>
      </c>
      <c r="K37" s="697" t="str">
        <f>IFERROR(__xludf.DUMMYFUNCTION("""COMPUTED_VALUE"""),"patients with chronic intestinal or hepato-intestinal S. mansoni infec- tion aged over 14 years")</f>
        <v>patients with chronic intestinal or hepato-intestinal S. mansoni infec- tion aged over 14 years</v>
      </c>
      <c r="L37" s="697" t="str">
        <f>IFERROR(__xludf.DUMMYFUNCTION("""COMPUTED_VALUE"""),"Yes")</f>
        <v>Yes</v>
      </c>
      <c r="M37" s="697" t="str">
        <f>IFERROR(__xludf.DUMMYFUNCTION("""COMPUTED_VALUE"""),"Yes")</f>
        <v>Yes</v>
      </c>
      <c r="N37" s="697" t="str">
        <f>IFERROR(__xludf.DUMMYFUNCTION("""COMPUTED_VALUE"""),"efficacy determined by eliminated viable eggs in the 3 stool examination from the 1st month 3 month and 6 month. Cure rate was on 6 month")</f>
        <v>efficacy determined by eliminated viable eggs in the 3 stool examination from the 1st month 3 month and 6 month. Cure rate was on 6 month</v>
      </c>
      <c r="O37" s="873">
        <f>IFERROR(__xludf.DUMMYFUNCTION("""COMPUTED_VALUE"""),0.848)</f>
        <v>0.848</v>
      </c>
      <c r="P37" s="698">
        <f>IFERROR(__xludf.DUMMYFUNCTION("""COMPUTED_VALUE"""),0.841)</f>
        <v>0.841</v>
      </c>
      <c r="Q37" s="697" t="str">
        <f>IFERROR(__xludf.DUMMYFUNCTION("""COMPUTED_VALUE"""),"data show not only that DSRS is superior but that SRS should be abandoned in hepatosplenic schistosomiasis. On the other hand, a comparison between DSRS and EGDS with more patients and a longer follow-up is urgently needed.")</f>
        <v>data show not only that DSRS is superior but that SRS should be abandoned in hepatosplenic schistosomiasis. On the other hand, a comparison between DSRS and EGDS with more patients and a longer follow-up is urgently needed.</v>
      </c>
      <c r="R37" s="697" t="str">
        <f>IFERROR(__xludf.DUMMYFUNCTION("""COMPUTED_VALUE"""),"A Randomized Trial for the Study of the Elective Surgical Treatment of Portal Hypertension in Mansonic Schistosomiasis")</f>
        <v>A Randomized Trial for the Study of the Elective Surgical Treatment of Portal Hypertension in Mansonic Schistosomiasis</v>
      </c>
      <c r="S37" s="699" t="str">
        <f>IFERROR(__xludf.DUMMYFUNCTION("""COMPUTED_VALUE"""),"da SILVA, LUIZ C., et al. ""A randomized trial for the study of the elective surgical treatment of portal hypertension in mansonic schistosomiasis."" Annals of surgery 204.2 (1986): 148.")</f>
        <v>da SILVA, LUIZ C., et al. "A randomized trial for the study of the elective surgical treatment of portal hypertension in mansonic schistosomiasis." Annals of surgery 204.2 (1986): 148.</v>
      </c>
      <c r="T37" s="697"/>
      <c r="U37" s="697" t="str">
        <f>IFERROR(__xludf.DUMMYFUNCTION("""COMPUTED_VALUE"""),"")</f>
        <v/>
      </c>
      <c r="V37" s="697">
        <f>IFERROR(__xludf.DUMMYFUNCTION("""COMPUTED_VALUE"""),37.0)</f>
        <v>37</v>
      </c>
    </row>
    <row r="38">
      <c r="A38" s="697" t="str">
        <f>IFERROR(__xludf.DUMMYFUNCTION("""COMPUTED_VALUE"""),"Davis, 2015")</f>
        <v>Davis, 2015</v>
      </c>
      <c r="B38" s="697" t="str">
        <f>IFERROR(__xludf.DUMMYFUNCTION("""COMPUTED_VALUE"""),"s. mansoni")</f>
        <v>s. mansoni</v>
      </c>
      <c r="C38" s="697" t="str">
        <f>IFERROR(__xludf.DUMMYFUNCTION("""COMPUTED_VALUE"""),"Kenya")</f>
        <v>Kenya</v>
      </c>
      <c r="D38" s="697" t="str">
        <f>IFERROR(__xludf.DUMMYFUNCTION("""COMPUTED_VALUE"""),"Praziquantel")</f>
        <v>Praziquantel</v>
      </c>
      <c r="E38" s="697" t="str">
        <f>IFERROR(__xludf.DUMMYFUNCTION("""COMPUTED_VALUE"""),"Single")</f>
        <v>Single</v>
      </c>
      <c r="F38" s="697" t="str">
        <f>IFERROR(__xludf.DUMMYFUNCTION("""COMPUTED_VALUE"""),"40 mg/kg")</f>
        <v>40 mg/kg</v>
      </c>
      <c r="G38" s="697">
        <f>IFERROR(__xludf.DUMMYFUNCTION("""COMPUTED_VALUE"""),201.0)</f>
        <v>201</v>
      </c>
      <c r="H38" s="697" t="str">
        <f>IFERROR(__xludf.DUMMYFUNCTION("""COMPUTED_VALUE"""),"under 7yrs")</f>
        <v>under 7yrs</v>
      </c>
      <c r="I38" s="705" t="str">
        <f>IFERROR(__xludf.DUMMYFUNCTION("""COMPUTED_VALUE"""),"1:1")</f>
        <v>1:1</v>
      </c>
      <c r="J38" s="697">
        <f>IFERROR(__xludf.DUMMYFUNCTION("""COMPUTED_VALUE"""),2015.0)</f>
        <v>2015</v>
      </c>
      <c r="K38" s="697" t="str">
        <f>IFERROR(__xludf.DUMMYFUNCTION("""COMPUTED_VALUE"""),"Infected children under 7yrs old, divided into light (1-99 eggs per gram [epg]), moderate (100-399 epg), or heavy (equal to or greater than 400 epg) intensity")</f>
        <v>Infected children under 7yrs old, divided into light (1-99 eggs per gram [epg]), moderate (100-399 epg), or heavy (equal to or greater than 400 epg) intensity</v>
      </c>
      <c r="L38" s="697" t="str">
        <f>IFERROR(__xludf.DUMMYFUNCTION("""COMPUTED_VALUE"""),"No")</f>
        <v>No</v>
      </c>
      <c r="M38" s="697" t="str">
        <f>IFERROR(__xludf.DUMMYFUNCTION("""COMPUTED_VALUE"""),"No")</f>
        <v>No</v>
      </c>
      <c r="N38" s="697" t="str">
        <f>IFERROR(__xludf.DUMMYFUNCTION("""COMPUTED_VALUE"""),"3-5 months")</f>
        <v>3-5 months</v>
      </c>
      <c r="O38" s="873">
        <f>IFERROR(__xludf.DUMMYFUNCTION("""COMPUTED_VALUE"""),0.793)</f>
        <v>0.793</v>
      </c>
      <c r="P38" s="697"/>
      <c r="Q38" s="697" t="str">
        <f>IFERROR(__xludf.DUMMYFUNCTION("""COMPUTED_VALUE"""),"The associations found here, particularly if confirmed in larger population-based studies, add to the growing body of evidence for measurable sequelae associated with schistosomiasis in children currently excluded from the global schistosomiasis control p"&amp;"rogram by virtue of their young age. In addition to scaling up sanitation measures that benefit all age groups, this supports the continued pursuit of appropriate formulations and dosing standards for MDA in this population.")</f>
        <v>The associations found here, particularly if confirmed in larger population-based studies, add to the growing body of evidence for measurable sequelae associated with schistosomiasis in children currently excluded from the global schistosomiasis control program by virtue of their young age. In addition to scaling up sanitation measures that benefit all age groups, this supports the continued pursuit of appropriate formulations and dosing standards for MDA in this population.</v>
      </c>
      <c r="R38" s="697" t="str">
        <f>IFERROR(__xludf.DUMMYFUNCTION("""COMPUTED_VALUE"""),"Morbidity Associated with Schistosomiasis Before and After Treatment in Young Children in Rusinga Island, Western Kenya")</f>
        <v>Morbidity Associated with Schistosomiasis Before and After Treatment in Young Children in Rusinga Island, Western Kenya</v>
      </c>
      <c r="S38" s="699" t="str">
        <f>IFERROR(__xludf.DUMMYFUNCTION("""COMPUTED_VALUE"""),"Davis, Stephanie M., et al. ""Morbidity Associated with Schistosomiasis Before and After Treatment in Young Children in Rusinga Island, Western Kenya."" The American journal of tropical medicine and hygiene 92.5 (2015): 952-958.")</f>
        <v>Davis, Stephanie M., et al. "Morbidity Associated with Schistosomiasis Before and After Treatment in Young Children in Rusinga Island, Western Kenya." The American journal of tropical medicine and hygiene 92.5 (2015): 952-958.</v>
      </c>
      <c r="T38" s="697"/>
      <c r="U38" s="697" t="str">
        <f>IFERROR(__xludf.DUMMYFUNCTION("""COMPUTED_VALUE"""),"x")</f>
        <v>x</v>
      </c>
      <c r="V38" s="697">
        <f>IFERROR(__xludf.DUMMYFUNCTION("""COMPUTED_VALUE"""),38.0)</f>
        <v>38</v>
      </c>
    </row>
    <row r="39">
      <c r="A39" s="697" t="str">
        <f>IFERROR(__xludf.DUMMYFUNCTION("""COMPUTED_VALUE"""),"Davis, 1979")</f>
        <v>Davis, 1979</v>
      </c>
      <c r="B39" s="697" t="str">
        <f>IFERROR(__xludf.DUMMYFUNCTION("""COMPUTED_VALUE"""),"s.haematobium")</f>
        <v>s.haematobium</v>
      </c>
      <c r="C39" s="697" t="str">
        <f>IFERROR(__xludf.DUMMYFUNCTION("""COMPUTED_VALUE"""),"Zambia")</f>
        <v>Zambia</v>
      </c>
      <c r="D39" s="697" t="str">
        <f>IFERROR(__xludf.DUMMYFUNCTION("""COMPUTED_VALUE"""),"Praziquantel")</f>
        <v>Praziquantel</v>
      </c>
      <c r="E39" s="697" t="str">
        <f>IFERROR(__xludf.DUMMYFUNCTION("""COMPUTED_VALUE"""),"Single")</f>
        <v>Single</v>
      </c>
      <c r="F39" s="697" t="str">
        <f>IFERROR(__xludf.DUMMYFUNCTION("""COMPUTED_VALUE"""),"20 mg/kg, 50mg/kg")</f>
        <v>20 mg/kg, 50mg/kg</v>
      </c>
      <c r="G39" s="697">
        <f>IFERROR(__xludf.DUMMYFUNCTION("""COMPUTED_VALUE"""),73.0)</f>
        <v>73</v>
      </c>
      <c r="H39" s="697" t="str">
        <f>IFERROR(__xludf.DUMMYFUNCTION("""COMPUTED_VALUE"""),"7 - 22")</f>
        <v>7 - 22</v>
      </c>
      <c r="I39" s="705" t="str">
        <f>IFERROR(__xludf.DUMMYFUNCTION("""COMPUTED_VALUE"""),"50 : 30")</f>
        <v>50 : 30</v>
      </c>
      <c r="J39" s="697">
        <f>IFERROR(__xludf.DUMMYFUNCTION("""COMPUTED_VALUE"""),1979.0)</f>
        <v>1979</v>
      </c>
      <c r="K39" s="697" t="str">
        <f>IFERROR(__xludf.DUMMYFUNCTION("""COMPUTED_VALUE"""),"patients with a minimum schistosome egg excretion of 50 per random 10-mlsampleofurine in age range of 7 - 22")</f>
        <v>patients with a minimum schistosome egg excretion of 50 per random 10-mlsampleofurine in age range of 7 - 22</v>
      </c>
      <c r="L39" s="697" t="str">
        <f>IFERROR(__xludf.DUMMYFUNCTION("""COMPUTED_VALUE"""),"Yes")</f>
        <v>Yes</v>
      </c>
      <c r="M39" s="697" t="str">
        <f>IFERROR(__xludf.DUMMYFUNCTION("""COMPUTED_VALUE"""),"Yes")</f>
        <v>Yes</v>
      </c>
      <c r="N39" s="697" t="str">
        <f>IFERROR(__xludf.DUMMYFUNCTION("""COMPUTED_VALUE"""),"6, 12, 24 months ")</f>
        <v>6, 12, 24 months </v>
      </c>
      <c r="O39" s="872">
        <f>IFERROR(__xludf.DUMMYFUNCTION("""COMPUTED_VALUE"""),0.57)</f>
        <v>0.57</v>
      </c>
      <c r="P39" s="706">
        <f>IFERROR(__xludf.DUMMYFUNCTION("""COMPUTED_VALUE"""),0.84)</f>
        <v>0.84</v>
      </c>
      <c r="Q39" s="697" t="str">
        <f>IFERROR(__xludf.DUMMYFUNCTION("""COMPUTED_VALUE"""),"Two years after treatment, 45 (57%) of 79 patients with S. haematobium showed negative urines, 7 (9%) had positive hatching tests, and 27 (34%) were absent")</f>
        <v>Two years after treatment, 45 (57%) of 79 patients with S. haematobium showed negative urines, 7 (9%) had positive hatching tests, and 27 (34%) were absent</v>
      </c>
      <c r="R39" s="697" t="str">
        <f>IFERROR(__xludf.DUMMYFUNCTION("""COMPUTED_VALUE"""),"Initial experiences with praziquantel in the treatment of human infections due to Schistosoma haematobium")</f>
        <v>Initial experiences with praziquantel in the treatment of human infections due to Schistosoma haematobium</v>
      </c>
      <c r="S39" s="699" t="str">
        <f>IFERROR(__xludf.DUMMYFUNCTION("""COMPUTED_VALUE"""),"Davis, A., J. E. Biles, and A-M. Ulrich. ""Initial experiences with praziquantel in the treatment of human infections due to Schistosoma haematobium."" Bulletin of the World Health Organization 57.5 (1979): 773.")</f>
        <v>Davis, A., J. E. Biles, and A-M. Ulrich. "Initial experiences with praziquantel in the treatment of human infections due to Schistosoma haematobium." Bulletin of the World Health Organization 57.5 (1979): 773.</v>
      </c>
      <c r="T39" s="697"/>
      <c r="U39" s="697" t="str">
        <f>IFERROR(__xludf.DUMMYFUNCTION("""COMPUTED_VALUE"""),"")</f>
        <v/>
      </c>
      <c r="V39" s="697">
        <f>IFERROR(__xludf.DUMMYFUNCTION("""COMPUTED_VALUE"""),39.0)</f>
        <v>39</v>
      </c>
    </row>
    <row r="40">
      <c r="A40" s="697" t="str">
        <f>IFERROR(__xludf.DUMMYFUNCTION("""COMPUTED_VALUE"""),"de Clarke V, 1976")</f>
        <v>de Clarke V, 1976</v>
      </c>
      <c r="B40" s="697" t="str">
        <f>IFERROR(__xludf.DUMMYFUNCTION("""COMPUTED_VALUE"""),"s. mansoni")</f>
        <v>s. mansoni</v>
      </c>
      <c r="C40" s="697" t="str">
        <f>IFERROR(__xludf.DUMMYFUNCTION("""COMPUTED_VALUE"""),"Zimbabwe")</f>
        <v>Zimbabwe</v>
      </c>
      <c r="D40" s="697" t="str">
        <f>IFERROR(__xludf.DUMMYFUNCTION("""COMPUTED_VALUE"""),"Oxamniquine")</f>
        <v>Oxamniquine</v>
      </c>
      <c r="E40" s="697" t="str">
        <f>IFERROR(__xludf.DUMMYFUNCTION("""COMPUTED_VALUE"""),"Four")</f>
        <v>Four</v>
      </c>
      <c r="F40" s="697" t="str">
        <f>IFERROR(__xludf.DUMMYFUNCTION("""COMPUTED_VALUE"""),"15 mg/kg")</f>
        <v>15 mg/kg</v>
      </c>
      <c r="G40" s="697">
        <f>IFERROR(__xludf.DUMMYFUNCTION("""COMPUTED_VALUE"""),30.0)</f>
        <v>30</v>
      </c>
      <c r="H40" s="697" t="str">
        <f>IFERROR(__xludf.DUMMYFUNCTION("""COMPUTED_VALUE"""),"&lt;5 years")</f>
        <v>&lt;5 years</v>
      </c>
      <c r="I40" s="705" t="str">
        <f>IFERROR(__xludf.DUMMYFUNCTION("""COMPUTED_VALUE"""),"data not available")</f>
        <v>data not available</v>
      </c>
      <c r="J40" s="697">
        <f>IFERROR(__xludf.DUMMYFUNCTION("""COMPUTED_VALUE"""),1976.0)</f>
        <v>1976</v>
      </c>
      <c r="K40" s="697" t="str">
        <f>IFERROR(__xludf.DUMMYFUNCTION("""COMPUTED_VALUE"""),"individuals aged over 5 years who presented with S. mansoni infection")</f>
        <v>individuals aged over 5 years who presented with S. mansoni infection</v>
      </c>
      <c r="L40" s="697" t="str">
        <f>IFERROR(__xludf.DUMMYFUNCTION("""COMPUTED_VALUE"""),"Yes")</f>
        <v>Yes</v>
      </c>
      <c r="M40" s="697" t="str">
        <f>IFERROR(__xludf.DUMMYFUNCTION("""COMPUTED_VALUE"""),"Yes")</f>
        <v>Yes</v>
      </c>
      <c r="N40" s="697" t="str">
        <f>IFERROR(__xludf.DUMMYFUNCTION("""COMPUTED_VALUE"""),"4 months examined failed rates by two stools on two consecutive days")</f>
        <v>4 months examined failed rates by two stools on two consecutive days</v>
      </c>
      <c r="O40" s="872">
        <f>IFERROR(__xludf.DUMMYFUNCTION("""COMPUTED_VALUE"""),0.7)</f>
        <v>0.7</v>
      </c>
      <c r="P40" s="697"/>
      <c r="Q40" s="697" t="str">
        <f>IFERROR(__xludf.DUMMYFUNCTION("""COMPUTED_VALUE"""),"The imminent release of this drug, which is only effective against S. mansoni infections, and the probable release in the near future of metrifonate, which is only effective against S. haematobium."" will necessitate para-sitological identification of spe"&amp;"cies in all cases of bil-harziasis. This should assist in overcoming the wide-spread but reprehensible practice of treating patients on the results of immunological tests, without confirmation of viability of infection or determination of schistosome spec"&amp;"ies by examination of urine and stool specimens or biopsy material.")</f>
        <v>The imminent release of this drug, which is only effective against S. mansoni infections, and the probable release in the near future of metrifonate, which is only effective against S. haematobium." will necessitate para-sitological identification of species in all cases of bil-harziasis. This should assist in overcoming the wide-spread but reprehensible practice of treating patients on the results of immunological tests, without confirmation of viability of infection or determination of schistosome species by examination of urine and stool specimens or biopsy material.</v>
      </c>
      <c r="R40" s="697"/>
      <c r="S40" s="699" t="str">
        <f>IFERROR(__xludf.DUMMYFUNCTION("""COMPUTED_VALUE"""),"de Clarke V, Blair DM, Weber MC, Garnett PA. Dose- finding trials of oral oxamniquine in Rhodesia. South African Medical Journal 1976;50(46):1867–71.")</f>
        <v>de Clarke V, Blair DM, Weber MC, Garnett PA. Dose- finding trials of oral oxamniquine in Rhodesia. South African Medical Journal 1976;50(46):1867–71.</v>
      </c>
      <c r="T40" s="697"/>
      <c r="U40" s="697" t="str">
        <f>IFERROR(__xludf.DUMMYFUNCTION("""COMPUTED_VALUE"""),"")</f>
        <v/>
      </c>
      <c r="V40" s="697">
        <f>IFERROR(__xludf.DUMMYFUNCTION("""COMPUTED_VALUE"""),40.0)</f>
        <v>40</v>
      </c>
    </row>
    <row r="41">
      <c r="A41" s="697" t="str">
        <f>IFERROR(__xludf.DUMMYFUNCTION("""COMPUTED_VALUE"""),"De Clercq D, 2001")</f>
        <v>De Clercq D, 2001</v>
      </c>
      <c r="B41" s="697" t="str">
        <f>IFERROR(__xludf.DUMMYFUNCTION("""COMPUTED_VALUE"""),"s. haematobium")</f>
        <v>s. haematobium</v>
      </c>
      <c r="C41" s="697" t="str">
        <f>IFERROR(__xludf.DUMMYFUNCTION("""COMPUTED_VALUE"""),"Senegal")</f>
        <v>Senegal</v>
      </c>
      <c r="D41" s="697" t="str">
        <f>IFERROR(__xludf.DUMMYFUNCTION("""COMPUTED_VALUE"""),"Artesunate")</f>
        <v>Artesunate</v>
      </c>
      <c r="E41" s="697" t="str">
        <f>IFERROR(__xludf.DUMMYFUNCTION("""COMPUTED_VALUE"""),"Single")</f>
        <v>Single</v>
      </c>
      <c r="F41" s="697" t="str">
        <f>IFERROR(__xludf.DUMMYFUNCTION("""COMPUTED_VALUE"""),"12 mg/kg")</f>
        <v>12 mg/kg</v>
      </c>
      <c r="G41" s="697">
        <f>IFERROR(__xludf.DUMMYFUNCTION("""COMPUTED_VALUE"""),110.0)</f>
        <v>110</v>
      </c>
      <c r="H41" s="697" t="str">
        <f>IFERROR(__xludf.DUMMYFUNCTION("""COMPUTED_VALUE"""),"7 - 14 ")</f>
        <v>7 - 14 </v>
      </c>
      <c r="I41" s="705" t="str">
        <f>IFERROR(__xludf.DUMMYFUNCTION("""COMPUTED_VALUE"""),"1 : 1")</f>
        <v>1 : 1</v>
      </c>
      <c r="J41" s="697">
        <f>IFERROR(__xludf.DUMMYFUNCTION("""COMPUTED_VALUE"""),2001.0)</f>
        <v>2001</v>
      </c>
      <c r="K41" s="697" t="str">
        <f>IFERROR(__xludf.DUMMYFUNCTION("""COMPUTED_VALUE"""),"individuals with Schistosoma mansoni infection was investigated")</f>
        <v>individuals with Schistosoma mansoni infection was investigated</v>
      </c>
      <c r="L41" s="697" t="str">
        <f>IFERROR(__xludf.DUMMYFUNCTION("""COMPUTED_VALUE"""),"Yes")</f>
        <v>Yes</v>
      </c>
      <c r="M41" s="697" t="str">
        <f>IFERROR(__xludf.DUMMYFUNCTION("""COMPUTED_VALUE"""),"Yes")</f>
        <v>Yes</v>
      </c>
      <c r="N41" s="697" t="str">
        <f>IFERROR(__xludf.DUMMYFUNCTION("""COMPUTED_VALUE"""),"The cure rate was calculated as the proportion of peoplewho were excreting eggs before treatment and who were notexcreting eggs in their stools 5, 12 and 24 weeks after treatment")</f>
        <v>The cure rate was calculated as the proportion of peoplewho were excreting eggs before treatment and who were notexcreting eggs in their stools 5, 12 and 24 weeks after treatment</v>
      </c>
      <c r="O41" s="872">
        <f>IFERROR(__xludf.DUMMYFUNCTION("""COMPUTED_VALUE"""),0.19)</f>
        <v>0.19</v>
      </c>
      <c r="P41" s="700">
        <f>IFERROR(__xludf.DUMMYFUNCTION("""COMPUTED_VALUE"""),0.62)</f>
        <v>0.62</v>
      </c>
      <c r="Q41" s="697" t="str">
        <f>IFERROR(__xludf.DUMMYFUNCTION("""COMPUTED_VALUE"""),"""No major adverse effects were observed. The results demonstrate that artesunate is effective against S. haematobium, but the results obtained with praziquantel were consistently better.""")</f>
        <v>"No major adverse effects were observed. The results demonstrate that artesunate is effective against S. haematobium, but the results obtained with praziquantel were consistently better."</v>
      </c>
      <c r="R41" s="697" t="str">
        <f>IFERROR(__xludf.DUMMYFUNCTION("""COMPUTED_VALUE"""),"""Efficacy of artesunate and praziquantel in Schistosoma haematobium infected schoolchildren""")</f>
        <v>"Efficacy of artesunate and praziquantel in Schistosoma haematobium infected schoolchildren"</v>
      </c>
      <c r="S41" s="699" t="str">
        <f>IFERROR(__xludf.DUMMYFUNCTION("""COMPUTED_VALUE"""),"De Clercq D, Vercruysse J, Verle P, Kongs A, Diop M. What is the effect of combining artesunate and praziquantel in the treatment of Schistosoma mansoni infections?. Tropical Medicine and International Health 2000;5(10):744–6")</f>
        <v>De Clercq D, Vercruysse J, Verle P, Kongs A, Diop M. What is the effect of combining artesunate and praziquantel in the treatment of Schistosoma mansoni infections?. Tropical Medicine and International Health 2000;5(10):744–6</v>
      </c>
      <c r="T41" s="697"/>
      <c r="U41" s="697" t="str">
        <f>IFERROR(__xludf.DUMMYFUNCTION("""COMPUTED_VALUE"""),"")</f>
        <v/>
      </c>
      <c r="V41" s="697">
        <f>IFERROR(__xludf.DUMMYFUNCTION("""COMPUTED_VALUE"""),41.0)</f>
        <v>41</v>
      </c>
    </row>
    <row r="42">
      <c r="A42" s="697" t="str">
        <f>IFERROR(__xludf.DUMMYFUNCTION("""COMPUTED_VALUE"""),"De Clercq D, 2001")</f>
        <v>De Clercq D, 2001</v>
      </c>
      <c r="B42" s="697" t="str">
        <f>IFERROR(__xludf.DUMMYFUNCTION("""COMPUTED_VALUE"""),"s. haematobium")</f>
        <v>s. haematobium</v>
      </c>
      <c r="C42" s="697" t="str">
        <f>IFERROR(__xludf.DUMMYFUNCTION("""COMPUTED_VALUE"""),"Senegal")</f>
        <v>Senegal</v>
      </c>
      <c r="D42" s="697" t="str">
        <f>IFERROR(__xludf.DUMMYFUNCTION("""COMPUTED_VALUE"""),"Praziquantel")</f>
        <v>Praziquantel</v>
      </c>
      <c r="E42" s="697" t="str">
        <f>IFERROR(__xludf.DUMMYFUNCTION("""COMPUTED_VALUE"""),"Two")</f>
        <v>Two</v>
      </c>
      <c r="F42" s="697" t="str">
        <f>IFERROR(__xludf.DUMMYFUNCTION("""COMPUTED_VALUE"""),"40 mg/kg ")</f>
        <v>40 mg/kg </v>
      </c>
      <c r="G42" s="697">
        <f>IFERROR(__xludf.DUMMYFUNCTION("""COMPUTED_VALUE"""),110.0)</f>
        <v>110</v>
      </c>
      <c r="H42" s="697" t="str">
        <f>IFERROR(__xludf.DUMMYFUNCTION("""COMPUTED_VALUE"""),"7 - 14")</f>
        <v>7 - 14</v>
      </c>
      <c r="I42" s="705" t="str">
        <f>IFERROR(__xludf.DUMMYFUNCTION("""COMPUTED_VALUE"""),"1:1")</f>
        <v>1:1</v>
      </c>
      <c r="J42" s="697">
        <f>IFERROR(__xludf.DUMMYFUNCTION("""COMPUTED_VALUE"""),2001.0)</f>
        <v>2001</v>
      </c>
      <c r="K42" s="697" t="str">
        <f>IFERROR(__xludf.DUMMYFUNCTION("""COMPUTED_VALUE"""),"individuals with Schistosoma mansoni infection was investigated")</f>
        <v>individuals with Schistosoma mansoni infection was investigated</v>
      </c>
      <c r="L42" s="697" t="str">
        <f>IFERROR(__xludf.DUMMYFUNCTION("""COMPUTED_VALUE"""),"Yes")</f>
        <v>Yes</v>
      </c>
      <c r="M42" s="697" t="str">
        <f>IFERROR(__xludf.DUMMYFUNCTION("""COMPUTED_VALUE"""),"Yes")</f>
        <v>Yes</v>
      </c>
      <c r="N42" s="697" t="str">
        <f>IFERROR(__xludf.DUMMYFUNCTION("""COMPUTED_VALUE"""),"The cure rate was calculated as the proportion of peoplewho were excreting eggs before treatment and who were notexcreting eggs in their stools 5, 12 and 24 weeks after treatment")</f>
        <v>The cure rate was calculated as the proportion of peoplewho were excreting eggs before treatment and who were notexcreting eggs in their stools 5, 12 and 24 weeks after treatment</v>
      </c>
      <c r="O42" s="872">
        <f>IFERROR(__xludf.DUMMYFUNCTION("""COMPUTED_VALUE"""),0.49)</f>
        <v>0.49</v>
      </c>
      <c r="P42" s="700">
        <f>IFERROR(__xludf.DUMMYFUNCTION("""COMPUTED_VALUE"""),0.79)</f>
        <v>0.79</v>
      </c>
      <c r="Q42" s="697" t="str">
        <f>IFERROR(__xludf.DUMMYFUNCTION("""COMPUTED_VALUE"""),"""No major adverse effects were observed. The results demonstrate that artesunate is effective against S. haematobium, but the results obtained with praziquantel were consistently better.""")</f>
        <v>"No major adverse effects were observed. The results demonstrate that artesunate is effective against S. haematobium, but the results obtained with praziquantel were consistently better."</v>
      </c>
      <c r="R42" s="697" t="str">
        <f>IFERROR(__xludf.DUMMYFUNCTION("""COMPUTED_VALUE"""),"""Efficacy of artesunate and praziquantel in Schistosoma haematobium infected schoolchildren""")</f>
        <v>"Efficacy of artesunate and praziquantel in Schistosoma haematobium infected schoolchildren"</v>
      </c>
      <c r="S42" s="699" t="str">
        <f>IFERROR(__xludf.DUMMYFUNCTION("""COMPUTED_VALUE"""),"De Clercq D, Vercruysse J, Verle P, Kongs A, Diop M. What is the effect of combining artesunate and praziquantel in the treatment of Schistosoma mansoni infections?. Tropical Medicine and International Health 2000;5(10):744–6")</f>
        <v>De Clercq D, Vercruysse J, Verle P, Kongs A, Diop M. What is the effect of combining artesunate and praziquantel in the treatment of Schistosoma mansoni infections?. Tropical Medicine and International Health 2000;5(10):744–6</v>
      </c>
      <c r="T42" s="697"/>
      <c r="U42" s="697" t="str">
        <f>IFERROR(__xludf.DUMMYFUNCTION("""COMPUTED_VALUE"""),"")</f>
        <v/>
      </c>
      <c r="V42" s="697">
        <f>IFERROR(__xludf.DUMMYFUNCTION("""COMPUTED_VALUE"""),42.0)</f>
        <v>42</v>
      </c>
    </row>
    <row r="43">
      <c r="A43" s="697" t="str">
        <f>IFERROR(__xludf.DUMMYFUNCTION("""COMPUTED_VALUE"""),"De Clercq D, 2001")</f>
        <v>De Clercq D, 2001</v>
      </c>
      <c r="B43" s="697" t="str">
        <f>IFERROR(__xludf.DUMMYFUNCTION("""COMPUTED_VALUE"""),"s. haematobium")</f>
        <v>s. haematobium</v>
      </c>
      <c r="C43" s="697" t="str">
        <f>IFERROR(__xludf.DUMMYFUNCTION("""COMPUTED_VALUE"""),"Senegal")</f>
        <v>Senegal</v>
      </c>
      <c r="D43" s="697" t="str">
        <f>IFERROR(__xludf.DUMMYFUNCTION("""COMPUTED_VALUE"""),"Artesunate &amp; Praziquantel")</f>
        <v>Artesunate &amp; Praziquantel</v>
      </c>
      <c r="E43" s="697" t="str">
        <f>IFERROR(__xludf.DUMMYFUNCTION("""COMPUTED_VALUE"""),"Single")</f>
        <v>Single</v>
      </c>
      <c r="F43" s="697" t="str">
        <f>IFERROR(__xludf.DUMMYFUNCTION("""COMPUTED_VALUE"""),"12 mg/kg; 40 mg/kg")</f>
        <v>12 mg/kg; 40 mg/kg</v>
      </c>
      <c r="G43" s="697">
        <f>IFERROR(__xludf.DUMMYFUNCTION("""COMPUTED_VALUE"""),110.0)</f>
        <v>110</v>
      </c>
      <c r="H43" s="697" t="str">
        <f>IFERROR(__xludf.DUMMYFUNCTION("""COMPUTED_VALUE"""),"7 - 14")</f>
        <v>7 - 14</v>
      </c>
      <c r="I43" s="705" t="str">
        <f>IFERROR(__xludf.DUMMYFUNCTION("""COMPUTED_VALUE"""),"1:1")</f>
        <v>1:1</v>
      </c>
      <c r="J43" s="697">
        <f>IFERROR(__xludf.DUMMYFUNCTION("""COMPUTED_VALUE"""),2001.0)</f>
        <v>2001</v>
      </c>
      <c r="K43" s="697" t="str">
        <f>IFERROR(__xludf.DUMMYFUNCTION("""COMPUTED_VALUE"""),"individuals with Schistosoma mansoni infection was investigated")</f>
        <v>individuals with Schistosoma mansoni infection was investigated</v>
      </c>
      <c r="L43" s="697" t="str">
        <f>IFERROR(__xludf.DUMMYFUNCTION("""COMPUTED_VALUE"""),"Yes")</f>
        <v>Yes</v>
      </c>
      <c r="M43" s="697" t="str">
        <f>IFERROR(__xludf.DUMMYFUNCTION("""COMPUTED_VALUE"""),"Yes")</f>
        <v>Yes</v>
      </c>
      <c r="N43" s="697" t="str">
        <f>IFERROR(__xludf.DUMMYFUNCTION("""COMPUTED_VALUE"""),"The cure rate was calculated as the proportion of peoplewho were excreting eggs before treatment and who were notexcreting eggs in their stools 5, 12 and 24 weeks after treatment")</f>
        <v>The cure rate was calculated as the proportion of peoplewho were excreting eggs before treatment and who were notexcreting eggs in their stools 5, 12 and 24 weeks after treatment</v>
      </c>
      <c r="O43" s="872">
        <f>IFERROR(__xludf.DUMMYFUNCTION("""COMPUTED_VALUE"""),0.49)</f>
        <v>0.49</v>
      </c>
      <c r="P43" s="700">
        <f>IFERROR(__xludf.DUMMYFUNCTION("""COMPUTED_VALUE"""),0.82)</f>
        <v>0.82</v>
      </c>
      <c r="Q43" s="697" t="str">
        <f>IFERROR(__xludf.DUMMYFUNCTION("""COMPUTED_VALUE"""),"""No major adverse effects were observed. The results demonstrate that artesunate is effective against S. haematobium, but the results obtained with praziquantel were consistently better.""")</f>
        <v>"No major adverse effects were observed. The results demonstrate that artesunate is effective against S. haematobium, but the results obtained with praziquantel were consistently better."</v>
      </c>
      <c r="R43" s="697" t="str">
        <f>IFERROR(__xludf.DUMMYFUNCTION("""COMPUTED_VALUE"""),"""Efficacy of artesunate and praziquantel in Schistosoma haematobium infected schoolchildren""")</f>
        <v>"Efficacy of artesunate and praziquantel in Schistosoma haematobium infected schoolchildren"</v>
      </c>
      <c r="S43" s="699" t="str">
        <f>IFERROR(__xludf.DUMMYFUNCTION("""COMPUTED_VALUE"""),"De Clercq D, Vercruysse J, Verle P, Kongs A, Diop M. What is the effect of combining artesunate and praziquantel in the treatment of Schistosoma mansoni infections?. Tropical Medicine and International Health 2000;5(10):744–6")</f>
        <v>De Clercq D, Vercruysse J, Verle P, Kongs A, Diop M. What is the effect of combining artesunate and praziquantel in the treatment of Schistosoma mansoni infections?. Tropical Medicine and International Health 2000;5(10):744–6</v>
      </c>
      <c r="T43" s="697"/>
      <c r="U43" s="697" t="str">
        <f>IFERROR(__xludf.DUMMYFUNCTION("""COMPUTED_VALUE"""),"")</f>
        <v/>
      </c>
      <c r="V43" s="697">
        <f>IFERROR(__xludf.DUMMYFUNCTION("""COMPUTED_VALUE"""),43.0)</f>
        <v>43</v>
      </c>
    </row>
    <row r="44">
      <c r="A44" s="697" t="str">
        <f>IFERROR(__xludf.DUMMYFUNCTION("""COMPUTED_VALUE"""),"de Jonge N, 1990")</f>
        <v>de Jonge N, 1990</v>
      </c>
      <c r="B44" s="697" t="str">
        <f>IFERROR(__xludf.DUMMYFUNCTION("""COMPUTED_VALUE"""),"s. mansoni")</f>
        <v>s. mansoni</v>
      </c>
      <c r="C44" s="697" t="str">
        <f>IFERROR(__xludf.DUMMYFUNCTION("""COMPUTED_VALUE"""),"Sudan")</f>
        <v>Sudan</v>
      </c>
      <c r="D44" s="697" t="str">
        <f>IFERROR(__xludf.DUMMYFUNCTION("""COMPUTED_VALUE"""),"Praziquantel")</f>
        <v>Praziquantel</v>
      </c>
      <c r="E44" s="697" t="str">
        <f>IFERROR(__xludf.DUMMYFUNCTION("""COMPUTED_VALUE"""),"Single")</f>
        <v>Single</v>
      </c>
      <c r="F44" s="697" t="str">
        <f>IFERROR(__xludf.DUMMYFUNCTION("""COMPUTED_VALUE"""),"40 mg/kg")</f>
        <v>40 mg/kg</v>
      </c>
      <c r="G44" s="697">
        <f>IFERROR(__xludf.DUMMYFUNCTION("""COMPUTED_VALUE"""),48.0)</f>
        <v>48</v>
      </c>
      <c r="H44" s="697" t="str">
        <f>IFERROR(__xludf.DUMMYFUNCTION("""COMPUTED_VALUE"""),"6 - 11")</f>
        <v>6 - 11</v>
      </c>
      <c r="I44" s="705" t="str">
        <f>IFERROR(__xludf.DUMMYFUNCTION("""COMPUTED_VALUE"""),"male ")</f>
        <v>male </v>
      </c>
      <c r="J44" s="697">
        <f>IFERROR(__xludf.DUMMYFUNCTION("""COMPUTED_VALUE"""),1990.0)</f>
        <v>1990</v>
      </c>
      <c r="K44" s="697" t="str">
        <f>IFERROR(__xludf.DUMMYFUNCTION("""COMPUTED_VALUE"""),"school boys age ranged from 6 to1years.These patients were infected with S.mansoni and S.haematobiumas indicated by constant excretion of ova in stool and urine.")</f>
        <v>school boys age ranged from 6 to1years.These patients were infected with S.mansoni and S.haematobiumas indicated by constant excretion of ova in stool and urine.</v>
      </c>
      <c r="L44" s="697" t="str">
        <f>IFERROR(__xludf.DUMMYFUNCTION("""COMPUTED_VALUE"""),"Yes")</f>
        <v>Yes</v>
      </c>
      <c r="M44" s="697" t="str">
        <f>IFERROR(__xludf.DUMMYFUNCTION("""COMPUTED_VALUE"""),"Yes")</f>
        <v>Yes</v>
      </c>
      <c r="N44" s="697" t="str">
        <f>IFERROR(__xludf.DUMMYFUNCTION("""COMPUTED_VALUE"""),"Results were expressed as number of viable ova per 10 ml of urine 1 month and 5 months after treatment")</f>
        <v>Results were expressed as number of viable ova per 10 ml of urine 1 month and 5 months after treatment</v>
      </c>
      <c r="O44" s="873">
        <f>IFERROR(__xludf.DUMMYFUNCTION("""COMPUTED_VALUE"""),0.225)</f>
        <v>0.225</v>
      </c>
      <c r="P44" s="698">
        <f>IFERROR(__xludf.DUMMYFUNCTION("""COMPUTED_VALUE"""),0.925)</f>
        <v>0.925</v>
      </c>
      <c r="Q44" s="697" t="str">
        <f>IFERROR(__xludf.DUMMYFUNCTION("""COMPUTED_VALUE"""),"the use of monoclonal reactants instead of polyclonal considerably increases the sensitivity of antigen detection.")</f>
        <v>the use of monoclonal reactants instead of polyclonal considerably increases the sensitivity of antigen detection.</v>
      </c>
      <c r="R44" s="697" t="str">
        <f>IFERROR(__xludf.DUMMYFUNCTION("""COMPUTED_VALUE"""),"Mixed Sch&amp;tosoma haematobium and S. mansoni infection: Effect of different treatments on the serum level of circulating anodic antigen (CAA)")</f>
        <v>Mixed Sch&amp;tosoma haematobium and S. mansoni infection: Effect of different treatments on the serum level of circulating anodic antigen (CAA)</v>
      </c>
      <c r="S44" s="699" t="str">
        <f>IFERROR(__xludf.DUMMYFUNCTION("""COMPUTED_VALUE"""),"De Jonge, N., et al. ""Mixed Schistosoma haematobium and S. mansoni infection: effect of different treatments on the serum level of circulating anodic antigen (CAA)."" Acta tropica 48.1 (1990): 25-35.")</f>
        <v>De Jonge, N., et al. "Mixed Schistosoma haematobium and S. mansoni infection: effect of different treatments on the serum level of circulating anodic antigen (CAA)." Acta tropica 48.1 (1990): 25-35.</v>
      </c>
      <c r="T44" s="697"/>
      <c r="U44" s="697" t="str">
        <f>IFERROR(__xludf.DUMMYFUNCTION("""COMPUTED_VALUE"""),"")</f>
        <v/>
      </c>
      <c r="V44" s="697">
        <f>IFERROR(__xludf.DUMMYFUNCTION("""COMPUTED_VALUE"""),44.0)</f>
        <v>44</v>
      </c>
    </row>
    <row r="45">
      <c r="A45" s="697" t="str">
        <f>IFERROR(__xludf.DUMMYFUNCTION("""COMPUTED_VALUE"""),"de Jonge N, 1990")</f>
        <v>de Jonge N, 1990</v>
      </c>
      <c r="B45" s="697" t="str">
        <f>IFERROR(__xludf.DUMMYFUNCTION("""COMPUTED_VALUE"""),"s. mansoni")</f>
        <v>s. mansoni</v>
      </c>
      <c r="C45" s="697" t="str">
        <f>IFERROR(__xludf.DUMMYFUNCTION("""COMPUTED_VALUE"""),"Sudan")</f>
        <v>Sudan</v>
      </c>
      <c r="D45" s="697" t="str">
        <f>IFERROR(__xludf.DUMMYFUNCTION("""COMPUTED_VALUE"""),"Oxamniquine")</f>
        <v>Oxamniquine</v>
      </c>
      <c r="E45" s="697" t="str">
        <f>IFERROR(__xludf.DUMMYFUNCTION("""COMPUTED_VALUE"""),"Single")</f>
        <v>Single</v>
      </c>
      <c r="F45" s="697" t="str">
        <f>IFERROR(__xludf.DUMMYFUNCTION("""COMPUTED_VALUE"""),"60 mg/kg")</f>
        <v>60 mg/kg</v>
      </c>
      <c r="G45" s="697">
        <f>IFERROR(__xludf.DUMMYFUNCTION("""COMPUTED_VALUE"""),53.0)</f>
        <v>53</v>
      </c>
      <c r="H45" s="697" t="str">
        <f>IFERROR(__xludf.DUMMYFUNCTION("""COMPUTED_VALUE"""),"6 - 11")</f>
        <v>6 - 11</v>
      </c>
      <c r="I45" s="705" t="str">
        <f>IFERROR(__xludf.DUMMYFUNCTION("""COMPUTED_VALUE"""),"male ")</f>
        <v>male </v>
      </c>
      <c r="J45" s="697">
        <f>IFERROR(__xludf.DUMMYFUNCTION("""COMPUTED_VALUE"""),1990.0)</f>
        <v>1990</v>
      </c>
      <c r="K45" s="697" t="str">
        <f>IFERROR(__xludf.DUMMYFUNCTION("""COMPUTED_VALUE"""),"school boys age ranged from 6 to1years.These patients were infected with S.mansoni and S.haematobiumas indicated by constant excretion of ova in stool and urine.")</f>
        <v>school boys age ranged from 6 to1years.These patients were infected with S.mansoni and S.haematobiumas indicated by constant excretion of ova in stool and urine.</v>
      </c>
      <c r="L45" s="697" t="str">
        <f>IFERROR(__xludf.DUMMYFUNCTION("""COMPUTED_VALUE"""),"Yes")</f>
        <v>Yes</v>
      </c>
      <c r="M45" s="697" t="str">
        <f>IFERROR(__xludf.DUMMYFUNCTION("""COMPUTED_VALUE"""),"Yes")</f>
        <v>Yes</v>
      </c>
      <c r="N45" s="697" t="str">
        <f>IFERROR(__xludf.DUMMYFUNCTION("""COMPUTED_VALUE"""),"Results were expressed as number of viable ova per 10 ml of urine 1 month and 5 months after treatment")</f>
        <v>Results were expressed as number of viable ova per 10 ml of urine 1 month and 5 months after treatment</v>
      </c>
      <c r="O45" s="872">
        <f>IFERROR(__xludf.DUMMYFUNCTION("""COMPUTED_VALUE"""),0.447)</f>
        <v>0.447</v>
      </c>
      <c r="P45" s="698">
        <f>IFERROR(__xludf.DUMMYFUNCTION("""COMPUTED_VALUE"""),0.925)</f>
        <v>0.925</v>
      </c>
      <c r="Q45" s="697" t="str">
        <f>IFERROR(__xludf.DUMMYFUNCTION("""COMPUTED_VALUE"""),"the use of monoclonal reactants instead of polyclonal considerably increases the sensitivity of antigen detection.")</f>
        <v>the use of monoclonal reactants instead of polyclonal considerably increases the sensitivity of antigen detection.</v>
      </c>
      <c r="R45" s="697" t="str">
        <f>IFERROR(__xludf.DUMMYFUNCTION("""COMPUTED_VALUE"""),"Mixed Sch&amp;tosoma haematobium and S. mansoni infection: Effect of different treatments on the serum level of circulating anodic antigen (CAA)")</f>
        <v>Mixed Sch&amp;tosoma haematobium and S. mansoni infection: Effect of different treatments on the serum level of circulating anodic antigen (CAA)</v>
      </c>
      <c r="S45" s="699" t="str">
        <f>IFERROR(__xludf.DUMMYFUNCTION("""COMPUTED_VALUE"""),"De Jonge, N., et al. ""Mixed Schistosoma haematobium and S. mansoni infection: effect of different treatments on the serum level of circulating anodic antigen (CAA)."" Acta tropica 48.1 (1990): 25-35.")</f>
        <v>De Jonge, N., et al. "Mixed Schistosoma haematobium and S. mansoni infection: effect of different treatments on the serum level of circulating anodic antigen (CAA)." Acta tropica 48.1 (1990): 25-35.</v>
      </c>
      <c r="T45" s="697"/>
      <c r="U45" s="697" t="str">
        <f>IFERROR(__xludf.DUMMYFUNCTION("""COMPUTED_VALUE"""),"")</f>
        <v/>
      </c>
      <c r="V45" s="697">
        <f>IFERROR(__xludf.DUMMYFUNCTION("""COMPUTED_VALUE"""),45.0)</f>
        <v>45</v>
      </c>
    </row>
    <row r="46">
      <c r="A46" s="697" t="str">
        <f>IFERROR(__xludf.DUMMYFUNCTION("""COMPUTED_VALUE"""),"de Jonge N, 1990")</f>
        <v>de Jonge N, 1990</v>
      </c>
      <c r="B46" s="697" t="str">
        <f>IFERROR(__xludf.DUMMYFUNCTION("""COMPUTED_VALUE"""),"s. mansoni")</f>
        <v>s. mansoni</v>
      </c>
      <c r="C46" s="697" t="str">
        <f>IFERROR(__xludf.DUMMYFUNCTION("""COMPUTED_VALUE"""),"Sudan")</f>
        <v>Sudan</v>
      </c>
      <c r="D46" s="697" t="str">
        <f>IFERROR(__xludf.DUMMYFUNCTION("""COMPUTED_VALUE"""),"Metrifonate")</f>
        <v>Metrifonate</v>
      </c>
      <c r="E46" s="697" t="str">
        <f>IFERROR(__xludf.DUMMYFUNCTION("""COMPUTED_VALUE"""),"Single")</f>
        <v>Single</v>
      </c>
      <c r="F46" s="697" t="str">
        <f>IFERROR(__xludf.DUMMYFUNCTION("""COMPUTED_VALUE"""),"30 mg/kg")</f>
        <v>30 mg/kg</v>
      </c>
      <c r="G46" s="697">
        <f>IFERROR(__xludf.DUMMYFUNCTION("""COMPUTED_VALUE"""),38.0)</f>
        <v>38</v>
      </c>
      <c r="H46" s="697" t="str">
        <f>IFERROR(__xludf.DUMMYFUNCTION("""COMPUTED_VALUE"""),"6 - 11")</f>
        <v>6 - 11</v>
      </c>
      <c r="I46" s="705" t="str">
        <f>IFERROR(__xludf.DUMMYFUNCTION("""COMPUTED_VALUE"""),"male ")</f>
        <v>male </v>
      </c>
      <c r="J46" s="697">
        <f>IFERROR(__xludf.DUMMYFUNCTION("""COMPUTED_VALUE"""),1990.0)</f>
        <v>1990</v>
      </c>
      <c r="K46" s="697" t="str">
        <f>IFERROR(__xludf.DUMMYFUNCTION("""COMPUTED_VALUE"""),"school boys age ranged from 6 to1years.These patients were infected with S.mansoni and S.haematobiumas indicated by constant excretion of ova in stool and urine.")</f>
        <v>school boys age ranged from 6 to1years.These patients were infected with S.mansoni and S.haematobiumas indicated by constant excretion of ova in stool and urine.</v>
      </c>
      <c r="L46" s="697" t="str">
        <f>IFERROR(__xludf.DUMMYFUNCTION("""COMPUTED_VALUE"""),"Yes")</f>
        <v>Yes</v>
      </c>
      <c r="M46" s="697" t="str">
        <f>IFERROR(__xludf.DUMMYFUNCTION("""COMPUTED_VALUE"""),"Yes")</f>
        <v>Yes</v>
      </c>
      <c r="N46" s="697" t="str">
        <f>IFERROR(__xludf.DUMMYFUNCTION("""COMPUTED_VALUE"""),"Results were expressed as number of viable ova per 10 ml of urine 1 month and 5 months after treatment")</f>
        <v>Results were expressed as number of viable ova per 10 ml of urine 1 month and 5 months after treatment</v>
      </c>
      <c r="O46" s="873">
        <f>IFERROR(__xludf.DUMMYFUNCTION("""COMPUTED_VALUE"""),1.0)</f>
        <v>1</v>
      </c>
      <c r="P46" s="698">
        <f>IFERROR(__xludf.DUMMYFUNCTION("""COMPUTED_VALUE"""),0.92)</f>
        <v>0.92</v>
      </c>
      <c r="Q46" s="697" t="str">
        <f>IFERROR(__xludf.DUMMYFUNCTION("""COMPUTED_VALUE"""),"the use of monoclonal reactants instead of polyclonal considerably increases the sensitivity of antigen detection.")</f>
        <v>the use of monoclonal reactants instead of polyclonal considerably increases the sensitivity of antigen detection.</v>
      </c>
      <c r="R46" s="697" t="str">
        <f>IFERROR(__xludf.DUMMYFUNCTION("""COMPUTED_VALUE"""),"Mixed Sch&amp;tosoma haematobium and S. mansoni infection: Effect of different treatments on the serum level of circulating anodic antigen (CAA)")</f>
        <v>Mixed Sch&amp;tosoma haematobium and S. mansoni infection: Effect of different treatments on the serum level of circulating anodic antigen (CAA)</v>
      </c>
      <c r="S46" s="699" t="str">
        <f>IFERROR(__xludf.DUMMYFUNCTION("""COMPUTED_VALUE"""),"De Jonge, N., et al. ""Mixed Schistosoma haematobium and S. mansoni infection: effect of different treatments on the serum level of circulating anodic antigen (CAA)."" Acta tropica 48.1 (1990): 25-35.")</f>
        <v>De Jonge, N., et al. "Mixed Schistosoma haematobium and S. mansoni infection: effect of different treatments on the serum level of circulating anodic antigen (CAA)." Acta tropica 48.1 (1990): 25-35.</v>
      </c>
      <c r="T46" s="697"/>
      <c r="U46" s="697" t="str">
        <f>IFERROR(__xludf.DUMMYFUNCTION("""COMPUTED_VALUE"""),"")</f>
        <v/>
      </c>
      <c r="V46" s="697">
        <f>IFERROR(__xludf.DUMMYFUNCTION("""COMPUTED_VALUE"""),46.0)</f>
        <v>46</v>
      </c>
    </row>
    <row r="47">
      <c r="A47" s="697" t="str">
        <f>IFERROR(__xludf.DUMMYFUNCTION("""COMPUTED_VALUE"""),"De Queiroz 2010")</f>
        <v>De Queiroz 2010</v>
      </c>
      <c r="B47" s="697" t="str">
        <f>IFERROR(__xludf.DUMMYFUNCTION("""COMPUTED_VALUE"""),"s.mansoni ")</f>
        <v>s.mansoni </v>
      </c>
      <c r="C47" s="697" t="str">
        <f>IFERROR(__xludf.DUMMYFUNCTION("""COMPUTED_VALUE"""),"Brazil")</f>
        <v>Brazil</v>
      </c>
      <c r="D47" s="697" t="str">
        <f>IFERROR(__xludf.DUMMYFUNCTION("""COMPUTED_VALUE"""),"Praziquantel")</f>
        <v>Praziquantel</v>
      </c>
      <c r="E47" s="697" t="str">
        <f>IFERROR(__xludf.DUMMYFUNCTION("""COMPUTED_VALUE"""),"Single")</f>
        <v>Single</v>
      </c>
      <c r="F47" s="697" t="str">
        <f>IFERROR(__xludf.DUMMYFUNCTION("""COMPUTED_VALUE"""),"80 mg/kg")</f>
        <v>80 mg/kg</v>
      </c>
      <c r="G47" s="697">
        <f>IFERROR(__xludf.DUMMYFUNCTION("""COMPUTED_VALUE"""),145.0)</f>
        <v>145</v>
      </c>
      <c r="H47" s="697" t="str">
        <f>IFERROR(__xludf.DUMMYFUNCTION("""COMPUTED_VALUE"""),"average 31.7 ")</f>
        <v>average 31.7 </v>
      </c>
      <c r="I47" s="705" t="str">
        <f>IFERROR(__xludf.DUMMYFUNCTION("""COMPUTED_VALUE"""),"87: 58")</f>
        <v>87: 58</v>
      </c>
      <c r="J47" s="697">
        <f>IFERROR(__xludf.DUMMYFUNCTION("""COMPUTED_VALUE"""),2010.0)</f>
        <v>2010</v>
      </c>
      <c r="K47" s="697" t="str">
        <f>IFERROR(__xludf.DUMMYFUNCTION("""COMPUTED_VALUE"""),"patients with chronic schistomiasis mansoni aged over 13 years")</f>
        <v>patients with chronic schistomiasis mansoni aged over 13 years</v>
      </c>
      <c r="L47" s="697" t="str">
        <f>IFERROR(__xludf.DUMMYFUNCTION("""COMPUTED_VALUE"""),"No")</f>
        <v>No</v>
      </c>
      <c r="M47" s="697" t="str">
        <f>IFERROR(__xludf.DUMMYFUNCTION("""COMPUTED_VALUE"""),"Yes")</f>
        <v>Yes</v>
      </c>
      <c r="N47" s="697" t="str">
        <f>IFERROR(__xludf.DUMMYFUNCTION("""COMPUTED_VALUE"""),"Endpoint: 30, 90 and 180 days after treatment.")</f>
        <v>Endpoint: 30, 90 and 180 days after treatment.</v>
      </c>
      <c r="O47" s="873">
        <f>IFERROR(__xludf.DUMMYFUNCTION("""COMPUTED_VALUE"""),0.897)</f>
        <v>0.897</v>
      </c>
      <c r="P47" s="697"/>
      <c r="Q47" s="697" t="str">
        <f>IFERROR(__xludf.DUMMYFUNCTION("""COMPUTED_VALUE"""),"The cure rates were 89.7% for Group 1 and 83.9% for Group 2. There was no difference in the efficacy of both therapeutic dosages of praziquantel assayed. The adverse reactions were more frequent with higher dosage.")</f>
        <v>The cure rates were 89.7% for Group 1 and 83.9% for Group 2. There was no difference in the efficacy of both therapeutic dosages of praziquantel assayed. The adverse reactions were more frequent with higher dosage.</v>
      </c>
      <c r="R47" s="697"/>
      <c r="S47" s="699" t="str">
        <f>IFERROR(__xludf.DUMMYFUNCTION("""COMPUTED_VALUE"""),"de Queiroz, Leonardo C., et al. ""Comparative randomised trial of high and conventional doses of praziquantel in the treatment of schistosomiasis mansoni."" Memórias do Instituto Oswaldo Cruz 105.4 (2010): 445-448.")</f>
        <v>de Queiroz, Leonardo C., et al. "Comparative randomised trial of high and conventional doses of praziquantel in the treatment of schistosomiasis mansoni." Memórias do Instituto Oswaldo Cruz 105.4 (2010): 445-448.</v>
      </c>
      <c r="T47" s="697"/>
      <c r="U47" s="697" t="str">
        <f>IFERROR(__xludf.DUMMYFUNCTION("""COMPUTED_VALUE"""),"")</f>
        <v/>
      </c>
      <c r="V47" s="697">
        <f>IFERROR(__xludf.DUMMYFUNCTION("""COMPUTED_VALUE"""),47.0)</f>
        <v>47</v>
      </c>
    </row>
    <row r="48">
      <c r="A48" s="697" t="str">
        <f>IFERROR(__xludf.DUMMYFUNCTION("""COMPUTED_VALUE"""),"De Queiroz 2010")</f>
        <v>De Queiroz 2010</v>
      </c>
      <c r="B48" s="697" t="str">
        <f>IFERROR(__xludf.DUMMYFUNCTION("""COMPUTED_VALUE"""),"s.mansoni ")</f>
        <v>s.mansoni </v>
      </c>
      <c r="C48" s="697" t="str">
        <f>IFERROR(__xludf.DUMMYFUNCTION("""COMPUTED_VALUE"""),"Brazil")</f>
        <v>Brazil</v>
      </c>
      <c r="D48" s="697" t="str">
        <f>IFERROR(__xludf.DUMMYFUNCTION("""COMPUTED_VALUE"""),"Praziquantel")</f>
        <v>Praziquantel</v>
      </c>
      <c r="E48" s="697" t="str">
        <f>IFERROR(__xludf.DUMMYFUNCTION("""COMPUTED_VALUE"""),"Single")</f>
        <v>Single</v>
      </c>
      <c r="F48" s="697" t="str">
        <f>IFERROR(__xludf.DUMMYFUNCTION("""COMPUTED_VALUE"""),"50 mg/kg")</f>
        <v>50 mg/kg</v>
      </c>
      <c r="G48" s="697">
        <f>IFERROR(__xludf.DUMMYFUNCTION("""COMPUTED_VALUE"""),143.0)</f>
        <v>143</v>
      </c>
      <c r="H48" s="697" t="str">
        <f>IFERROR(__xludf.DUMMYFUNCTION("""COMPUTED_VALUE"""),"average 31.2")</f>
        <v>average 31.2</v>
      </c>
      <c r="I48" s="705" t="str">
        <f>IFERROR(__xludf.DUMMYFUNCTION("""COMPUTED_VALUE"""),"83: 60")</f>
        <v>83: 60</v>
      </c>
      <c r="J48" s="697">
        <f>IFERROR(__xludf.DUMMYFUNCTION("""COMPUTED_VALUE"""),2010.0)</f>
        <v>2010</v>
      </c>
      <c r="K48" s="697" t="str">
        <f>IFERROR(__xludf.DUMMYFUNCTION("""COMPUTED_VALUE"""),"patients with chronic schistomiasis mansoni aged over 13 years")</f>
        <v>patients with chronic schistomiasis mansoni aged over 13 years</v>
      </c>
      <c r="L48" s="697" t="str">
        <f>IFERROR(__xludf.DUMMYFUNCTION("""COMPUTED_VALUE"""),"No")</f>
        <v>No</v>
      </c>
      <c r="M48" s="697" t="str">
        <f>IFERROR(__xludf.DUMMYFUNCTION("""COMPUTED_VALUE"""),"Yes")</f>
        <v>Yes</v>
      </c>
      <c r="N48" s="697" t="str">
        <f>IFERROR(__xludf.DUMMYFUNCTION("""COMPUTED_VALUE"""),"Endpoint: 30, 90 and 180 days after treatment.")</f>
        <v>Endpoint: 30, 90 and 180 days after treatment.</v>
      </c>
      <c r="O48" s="873">
        <f>IFERROR(__xludf.DUMMYFUNCTION("""COMPUTED_VALUE"""),0.839)</f>
        <v>0.839</v>
      </c>
      <c r="P48" s="697"/>
      <c r="Q48" s="697" t="str">
        <f>IFERROR(__xludf.DUMMYFUNCTION("""COMPUTED_VALUE"""),"The cure rates were 89.7% for Group 1 and 83.9% for Group 2. There was no difference in the efficacy of both therapeutic dosages of praziquantel assayed. The adverse reactions were more frequent with higher dosage.")</f>
        <v>The cure rates were 89.7% for Group 1 and 83.9% for Group 2. There was no difference in the efficacy of both therapeutic dosages of praziquantel assayed. The adverse reactions were more frequent with higher dosage.</v>
      </c>
      <c r="R48" s="697"/>
      <c r="S48" s="699" t="str">
        <f>IFERROR(__xludf.DUMMYFUNCTION("""COMPUTED_VALUE"""),"de Queiroz, Leonardo C., et al. ""Comparative randomised trial of high and conventional doses of praziquantel in the treatment of schistosomiasis mansoni."" Memórias do Instituto Oswaldo Cruz 105.4 (2010): 445-448.")</f>
        <v>de Queiroz, Leonardo C., et al. "Comparative randomised trial of high and conventional doses of praziquantel in the treatment of schistosomiasis mansoni." Memórias do Instituto Oswaldo Cruz 105.4 (2010): 445-448.</v>
      </c>
      <c r="T48" s="697"/>
      <c r="U48" s="697" t="str">
        <f>IFERROR(__xludf.DUMMYFUNCTION("""COMPUTED_VALUE"""),"")</f>
        <v/>
      </c>
      <c r="V48" s="697">
        <f>IFERROR(__xludf.DUMMYFUNCTION("""COMPUTED_VALUE"""),48.0)</f>
        <v>48</v>
      </c>
    </row>
    <row r="49">
      <c r="A49" s="697" t="str">
        <f>IFERROR(__xludf.DUMMYFUNCTION("""COMPUTED_VALUE"""),"Degu G, 2002")</f>
        <v>Degu G, 2002</v>
      </c>
      <c r="B49" s="697" t="str">
        <f>IFERROR(__xludf.DUMMYFUNCTION("""COMPUTED_VALUE"""),"s. mansoni")</f>
        <v>s. mansoni</v>
      </c>
      <c r="C49" s="697" t="str">
        <f>IFERROR(__xludf.DUMMYFUNCTION("""COMPUTED_VALUE"""),"Ethiopia")</f>
        <v>Ethiopia</v>
      </c>
      <c r="D49" s="697" t="str">
        <f>IFERROR(__xludf.DUMMYFUNCTION("""COMPUTED_VALUE"""),"Praziquantel")</f>
        <v>Praziquantel</v>
      </c>
      <c r="E49" s="697" t="str">
        <f>IFERROR(__xludf.DUMMYFUNCTION("""COMPUTED_VALUE"""),"Single")</f>
        <v>Single</v>
      </c>
      <c r="F49" s="697" t="str">
        <f>IFERROR(__xludf.DUMMYFUNCTION("""COMPUTED_VALUE"""),"40 mg/kg")</f>
        <v>40 mg/kg</v>
      </c>
      <c r="G49" s="697">
        <f>IFERROR(__xludf.DUMMYFUNCTION("""COMPUTED_VALUE"""),154.0)</f>
        <v>154</v>
      </c>
      <c r="H49" s="697" t="str">
        <f>IFERROR(__xludf.DUMMYFUNCTION("""COMPUTED_VALUE"""),"10- 14")</f>
        <v>10- 14</v>
      </c>
      <c r="I49" s="705" t="str">
        <f>IFERROR(__xludf.DUMMYFUNCTION("""COMPUTED_VALUE"""),"data not available")</f>
        <v>data not available</v>
      </c>
      <c r="J49" s="697">
        <f>IFERROR(__xludf.DUMMYFUNCTION("""COMPUTED_VALUE"""),2000.0)</f>
        <v>2000</v>
      </c>
      <c r="K49" s="697" t="str">
        <f>IFERROR(__xludf.DUMMYFUNCTION("""COMPUTED_VALUE"""),"10 to 14year old Children infected with S.mansoni")</f>
        <v>10 to 14year old Children infected with S.mansoni</v>
      </c>
      <c r="L49" s="697" t="str">
        <f>IFERROR(__xludf.DUMMYFUNCTION("""COMPUTED_VALUE"""),"No")</f>
        <v>No</v>
      </c>
      <c r="M49" s="697" t="str">
        <f>IFERROR(__xludf.DUMMYFUNCTION("""COMPUTED_VALUE"""),"No")</f>
        <v>No</v>
      </c>
      <c r="N49" s="697" t="str">
        <f>IFERROR(__xludf.DUMMYFUNCTION("""COMPUTED_VALUE"""),"Cure rate based on faecial samples of 25 mg examined by thick smear method to detect S.mansoni eggs at 6 weeks")</f>
        <v>Cure rate based on faecial samples of 25 mg examined by thick smear method to detect S.mansoni eggs at 6 weeks</v>
      </c>
      <c r="O49" s="872">
        <f>IFERROR(__xludf.DUMMYFUNCTION("""COMPUTED_VALUE"""),0.94)</f>
        <v>0.94</v>
      </c>
      <c r="P49" s="700">
        <f>IFERROR(__xludf.DUMMYFUNCTION("""COMPUTED_VALUE"""),0.97)</f>
        <v>0.97</v>
      </c>
      <c r="Q49" s="697" t="str">
        <f>IFERROR(__xludf.DUMMYFUNCTION("""COMPUTED_VALUE"""),"Efficacy of PZQ remains high despite prolonged use, pervious infection and treatment did not alter susceotibility to infection")</f>
        <v>Efficacy of PZQ remains high despite prolonged use, pervious infection and treatment did not alter susceotibility to infection</v>
      </c>
      <c r="R49" s="697"/>
      <c r="S49" s="699" t="str">
        <f>IFERROR(__xludf.DUMMYFUNCTION("""COMPUTED_VALUE"""),"Degu, Getinet, Getahun Mengistu, and Janet Jones. ""Praziquantel Efficacy against Schistosomiasis Mansoni in Schoolchildren in North-west Ethiopia."" Praziquantel Efficacy against Schistosomiasis Mansoni in Schoolchildren in North-west Ethiopia. January 2"&amp;", 2002. Accessed February 19, 2015. http://trstmh.oxfordjournals.org/content/96/4/444.short.")</f>
        <v>Degu, Getinet, Getahun Mengistu, and Janet Jones. "Praziquantel Efficacy against Schistosomiasis Mansoni in Schoolchildren in North-west Ethiopia." Praziquantel Efficacy against Schistosomiasis Mansoni in Schoolchildren in North-west Ethiopia. January 2, 2002. Accessed February 19, 2015. http://trstmh.oxfordjournals.org/content/96/4/444.short.</v>
      </c>
      <c r="T49" s="697"/>
      <c r="U49" s="697" t="str">
        <f>IFERROR(__xludf.DUMMYFUNCTION("""COMPUTED_VALUE"""),"x")</f>
        <v>x</v>
      </c>
      <c r="V49" s="697">
        <f>IFERROR(__xludf.DUMMYFUNCTION("""COMPUTED_VALUE"""),49.0)</f>
        <v>49</v>
      </c>
    </row>
    <row r="50">
      <c r="A50" s="697" t="str">
        <f>IFERROR(__xludf.DUMMYFUNCTION("""COMPUTED_VALUE"""),"Erko B, 2012")</f>
        <v>Erko B, 2012</v>
      </c>
      <c r="B50" s="697" t="str">
        <f>IFERROR(__xludf.DUMMYFUNCTION("""COMPUTED_VALUE"""),"s. mansoni")</f>
        <v>s. mansoni</v>
      </c>
      <c r="C50" s="697" t="str">
        <f>IFERROR(__xludf.DUMMYFUNCTION("""COMPUTED_VALUE"""),"Ethiopia")</f>
        <v>Ethiopia</v>
      </c>
      <c r="D50" s="697" t="str">
        <f>IFERROR(__xludf.DUMMYFUNCTION("""COMPUTED_VALUE"""),"Praziquantel")</f>
        <v>Praziquantel</v>
      </c>
      <c r="E50" s="697" t="str">
        <f>IFERROR(__xludf.DUMMYFUNCTION("""COMPUTED_VALUE"""),"Single")</f>
        <v>Single</v>
      </c>
      <c r="F50" s="697" t="str">
        <f>IFERROR(__xludf.DUMMYFUNCTION("""COMPUTED_VALUE"""),"40 mg/ kg ")</f>
        <v>40 mg/ kg </v>
      </c>
      <c r="G50" s="697">
        <f>IFERROR(__xludf.DUMMYFUNCTION("""COMPUTED_VALUE"""),299.0)</f>
        <v>299</v>
      </c>
      <c r="H50" s="697" t="str">
        <f>IFERROR(__xludf.DUMMYFUNCTION("""COMPUTED_VALUE"""),"6- 22")</f>
        <v>6- 22</v>
      </c>
      <c r="I50" s="705" t="str">
        <f>IFERROR(__xludf.DUMMYFUNCTION("""COMPUTED_VALUE"""),"179: 120")</f>
        <v>179: 120</v>
      </c>
      <c r="J50" s="697">
        <f>IFERROR(__xludf.DUMMYFUNCTION("""COMPUTED_VALUE"""),2010.0)</f>
        <v>2010</v>
      </c>
      <c r="K50" s="697" t="str">
        <f>IFERROR(__xludf.DUMMYFUNCTION("""COMPUTED_VALUE"""),"Children grades 3-8 were randomly selected and then supplied a stool sample which was examined via the Kato - Katz technique for the presence of S. mansoni")</f>
        <v>Children grades 3-8 were randomly selected and then supplied a stool sample which was examined via the Kato - Katz technique for the presence of S. mansoni</v>
      </c>
      <c r="L50" s="697" t="str">
        <f>IFERROR(__xludf.DUMMYFUNCTION("""COMPUTED_VALUE"""),"No")</f>
        <v>No</v>
      </c>
      <c r="M50" s="697" t="str">
        <f>IFERROR(__xludf.DUMMYFUNCTION("""COMPUTED_VALUE"""),"No")</f>
        <v>No</v>
      </c>
      <c r="N50" s="697" t="str">
        <f>IFERROR(__xludf.DUMMYFUNCTION("""COMPUTED_VALUE"""),"4 weeks")</f>
        <v>4 weeks</v>
      </c>
      <c r="O50" s="874">
        <f>IFERROR(__xludf.DUMMYFUNCTION("""COMPUTED_VALUE"""),0.736)</f>
        <v>0.736</v>
      </c>
      <c r="P50" s="706">
        <f>IFERROR(__xludf.DUMMYFUNCTION("""COMPUTED_VALUE"""),0.682)</f>
        <v>0.682</v>
      </c>
      <c r="Q50" s="697" t="str">
        <f>IFERROR(__xludf.DUMMYFUNCTION("""COMPUTED_VALUE"""),"(a) praziquan-parasitological cure in patients with active schistosomiasis mansoni, in spite of previous treatment with hycanthone and/or oxam-niquine; (b) successive progenies from two human strains of S. mansoni were resistant to oxamniquine and hycanth"&amp;"one but susceptible to niridazole and praziquantel; (c) serial runs of these strains through intermediate and definitive hosts have not altered their behaviour in the presence of these drugs.")</f>
        <v>(a) praziquan-parasitological cure in patients with active schistosomiasis mansoni, in spite of previous treatment with hycanthone and/or oxam-niquine; (b) successive progenies from two human strains of S. mansoni were resistant to oxamniquine and hycanthone but susceptible to niridazole and praziquantel; (c) serial runs of these strains through intermediate and definitive hosts have not altered their behaviour in the presence of these drugs.</v>
      </c>
      <c r="R50" s="697" t="str">
        <f>IFERROR(__xludf.DUMMYFUNCTION("""COMPUTED_VALUE"""),"cure rate showed significant association with age (χ2=11,P=0.004), the highest rate being observed in the 15–22 age group.")</f>
        <v>cure rate showed significant association with age (χ2=11,P=0.004), the highest rate being observed in the 15–22 age group.</v>
      </c>
      <c r="S50" s="699" t="str">
        <f>IFERROR(__xludf.DUMMYFUNCTION("""COMPUTED_VALUE"""),"Erko B, Degarege A, Tadesse K, Mathiwos A, Legesse M. Efficacy and side effects of praziquantel in the treatment of Schistosomiasis mansoni in schoolchildren in Shesha Kekele Elementary School, Wondo Genet, Southern Ethiopia. Asian Pacific Journal of Trop"&amp;"ical Biomedicine. 2012;2(3):235-239. doi:10.1016/S2221-1691(12)60049-5.")</f>
        <v>Erko B, Degarege A, Tadesse K, Mathiwos A, Legesse M. Efficacy and side effects of praziquantel in the treatment of Schistosomiasis mansoni in schoolchildren in Shesha Kekele Elementary School, Wondo Genet, Southern Ethiopia. Asian Pacific Journal of Tropical Biomedicine. 2012;2(3):235-239. doi:10.1016/S2221-1691(12)60049-5.</v>
      </c>
      <c r="T50" s="697"/>
      <c r="U50" s="697" t="str">
        <f>IFERROR(__xludf.DUMMYFUNCTION("""COMPUTED_VALUE"""),"x")</f>
        <v>x</v>
      </c>
      <c r="V50" s="697">
        <f>IFERROR(__xludf.DUMMYFUNCTION("""COMPUTED_VALUE"""),50.0)</f>
        <v>50</v>
      </c>
    </row>
    <row r="51">
      <c r="A51" s="697" t="str">
        <f>IFERROR(__xludf.DUMMYFUNCTION("""COMPUTED_VALUE"""),"F F Stelma, 1997")</f>
        <v>F F Stelma, 1997</v>
      </c>
      <c r="B51" s="697" t="str">
        <f>IFERROR(__xludf.DUMMYFUNCTION("""COMPUTED_VALUE"""),"s. mansoni")</f>
        <v>s. mansoni</v>
      </c>
      <c r="C51" s="697" t="str">
        <f>IFERROR(__xludf.DUMMYFUNCTION("""COMPUTED_VALUE"""),"Senegal")</f>
        <v>Senegal</v>
      </c>
      <c r="D51" s="697" t="str">
        <f>IFERROR(__xludf.DUMMYFUNCTION("""COMPUTED_VALUE"""),"Oxamniquine")</f>
        <v>Oxamniquine</v>
      </c>
      <c r="E51" s="697" t="str">
        <f>IFERROR(__xludf.DUMMYFUNCTION("""COMPUTED_VALUE"""),"Single")</f>
        <v>Single</v>
      </c>
      <c r="F51" s="697" t="str">
        <f>IFERROR(__xludf.DUMMYFUNCTION("""COMPUTED_VALUE"""),"20 mg/kg ")</f>
        <v>20 mg/kg </v>
      </c>
      <c r="G51" s="697">
        <f>IFERROR(__xludf.DUMMYFUNCTION("""COMPUTED_VALUE"""),72.0)</f>
        <v>72</v>
      </c>
      <c r="H51" s="697" t="str">
        <f>IFERROR(__xludf.DUMMYFUNCTION("""COMPUTED_VALUE"""),"5-71")</f>
        <v>5-71</v>
      </c>
      <c r="I51" s="705" t="str">
        <f>IFERROR(__xludf.DUMMYFUNCTION("""COMPUTED_VALUE"""),"30:40")</f>
        <v>30:40</v>
      </c>
      <c r="J51" s="697">
        <f>IFERROR(__xludf.DUMMYFUNCTION("""COMPUTED_VALUE"""),1997.0)</f>
        <v>1997</v>
      </c>
      <c r="K51" s="697" t="str">
        <f>IFERROR(__xludf.DUMMYFUNCTION("""COMPUTED_VALUE"""),"An outbreak of Schistosoma mansoni in northern Senegal was observed in 1988, and chemotherapy resulted in very low parasitologic cure rates. Study is done to investigate a emergence of a praziquantel-tolerant parasite strain")</f>
        <v>An outbreak of Schistosoma mansoni in northern Senegal was observed in 1988, and chemotherapy resulted in very low parasitologic cure rates. Study is done to investigate a emergence of a praziquantel-tolerant parasite strain</v>
      </c>
      <c r="L51" s="697" t="str">
        <f>IFERROR(__xludf.DUMMYFUNCTION("""COMPUTED_VALUE"""),"Yes")</f>
        <v>Yes</v>
      </c>
      <c r="M51" s="697" t="str">
        <f>IFERROR(__xludf.DUMMYFUNCTION("""COMPUTED_VALUE"""),"Yes")</f>
        <v>Yes</v>
      </c>
      <c r="N51" s="697" t="str">
        <f>IFERROR(__xludf.DUMMYFUNCTION("""COMPUTED_VALUE"""),"6 weeks ")</f>
        <v>6 weeks </v>
      </c>
      <c r="O51" s="872">
        <f>IFERROR(__xludf.DUMMYFUNCTION("""COMPUTED_VALUE"""),0.79)</f>
        <v>0.79</v>
      </c>
      <c r="P51" s="706">
        <f>IFERROR(__xludf.DUMMYFUNCTION("""COMPUTED_VALUE"""),0.94)</f>
        <v>0.94</v>
      </c>
      <c r="Q51" s="697" t="str">
        <f>IFERROR(__xludf.DUMMYFUNCTION("""COMPUTED_VALUE"""),"cure rates with praziquantel were abnormally low, whereas oxamniquine performed satisfactorily, as in other areas in which S. mansoni is endemic.")</f>
        <v>cure rates with praziquantel were abnormally low, whereas oxamniquine performed satisfactorily, as in other areas in which S. mansoni is endemic.</v>
      </c>
      <c r="R51" s="697" t="str">
        <f>IFERROR(__xludf.DUMMYFUNCTION("""COMPUTED_VALUE"""),"Oxamniquine cures Schistosoma mansoni infection in a focus in which cure rates with praziquantel are unusually low.")</f>
        <v>Oxamniquine cures Schistosoma mansoni infection in a focus in which cure rates with praziquantel are unusually low.</v>
      </c>
      <c r="S51" s="699" t="str">
        <f>IFERROR(__xludf.DUMMYFUNCTION("""COMPUTED_VALUE"""),"Stelma, Foekje F., et al. ""Oxamniquine cures Schistosoma mansoni infection in a focus in which cure rates with praziquantel are unusually low."" Journal of Infectious Diseases 176.1 (1997): 304-307.")</f>
        <v>Stelma, Foekje F., et al. "Oxamniquine cures Schistosoma mansoni infection in a focus in which cure rates with praziquantel are unusually low." Journal of Infectious Diseases 176.1 (1997): 304-307.</v>
      </c>
      <c r="T51" s="697"/>
      <c r="U51" s="697" t="str">
        <f>IFERROR(__xludf.DUMMYFUNCTION("""COMPUTED_VALUE"""),"")</f>
        <v/>
      </c>
      <c r="V51" s="697">
        <f>IFERROR(__xludf.DUMMYFUNCTION("""COMPUTED_VALUE"""),51.0)</f>
        <v>51</v>
      </c>
    </row>
    <row r="52">
      <c r="A52" s="697" t="str">
        <f>IFERROR(__xludf.DUMMYFUNCTION("""COMPUTED_VALUE"""),"F F Stelma, 1997")</f>
        <v>F F Stelma, 1997</v>
      </c>
      <c r="B52" s="697" t="str">
        <f>IFERROR(__xludf.DUMMYFUNCTION("""COMPUTED_VALUE"""),"s. mansoni")</f>
        <v>s. mansoni</v>
      </c>
      <c r="C52" s="697" t="str">
        <f>IFERROR(__xludf.DUMMYFUNCTION("""COMPUTED_VALUE"""),"Senegal")</f>
        <v>Senegal</v>
      </c>
      <c r="D52" s="697" t="str">
        <f>IFERROR(__xludf.DUMMYFUNCTION("""COMPUTED_VALUE"""),"praziquantel")</f>
        <v>praziquantel</v>
      </c>
      <c r="E52" s="697" t="str">
        <f>IFERROR(__xludf.DUMMYFUNCTION("""COMPUTED_VALUE"""),"Single")</f>
        <v>Single</v>
      </c>
      <c r="F52" s="697" t="str">
        <f>IFERROR(__xludf.DUMMYFUNCTION("""COMPUTED_VALUE"""),"40 mg/kg ")</f>
        <v>40 mg/kg </v>
      </c>
      <c r="G52" s="697">
        <f>IFERROR(__xludf.DUMMYFUNCTION("""COMPUTED_VALUE"""),66.0)</f>
        <v>66</v>
      </c>
      <c r="H52" s="697" t="str">
        <f>IFERROR(__xludf.DUMMYFUNCTION("""COMPUTED_VALUE"""),"5-75")</f>
        <v>5-75</v>
      </c>
      <c r="I52" s="705" t="str">
        <f>IFERROR(__xludf.DUMMYFUNCTION("""COMPUTED_VALUE"""),"22:44")</f>
        <v>22:44</v>
      </c>
      <c r="J52" s="697">
        <f>IFERROR(__xludf.DUMMYFUNCTION("""COMPUTED_VALUE"""),1997.0)</f>
        <v>1997</v>
      </c>
      <c r="K52" s="697" t="str">
        <f>IFERROR(__xludf.DUMMYFUNCTION("""COMPUTED_VALUE"""),"An outbreak of Schistosoma mansoni in northern Senegal was observed in 1988, and chemotherapy resulted in very low parasitologic cure rates. Study is done to investigate a emergence of a praziquantel-tolerant parasite strain")</f>
        <v>An outbreak of Schistosoma mansoni in northern Senegal was observed in 1988, and chemotherapy resulted in very low parasitologic cure rates. Study is done to investigate a emergence of a praziquantel-tolerant parasite strain</v>
      </c>
      <c r="L52" s="697" t="str">
        <f>IFERROR(__xludf.DUMMYFUNCTION("""COMPUTED_VALUE"""),"Yes")</f>
        <v>Yes</v>
      </c>
      <c r="M52" s="697" t="str">
        <f>IFERROR(__xludf.DUMMYFUNCTION("""COMPUTED_VALUE"""),"Yes")</f>
        <v>Yes</v>
      </c>
      <c r="N52" s="697" t="str">
        <f>IFERROR(__xludf.DUMMYFUNCTION("""COMPUTED_VALUE"""),"6 weeks ")</f>
        <v>6 weeks </v>
      </c>
      <c r="O52" s="872">
        <f>IFERROR(__xludf.DUMMYFUNCTION("""COMPUTED_VALUE"""),0.36)</f>
        <v>0.36</v>
      </c>
      <c r="P52" s="706">
        <f>IFERROR(__xludf.DUMMYFUNCTION("""COMPUTED_VALUE"""),0.82)</f>
        <v>0.82</v>
      </c>
      <c r="Q52" s="697" t="str">
        <f>IFERROR(__xludf.DUMMYFUNCTION("""COMPUTED_VALUE"""),"cure rates with praziquantel were abnormally low, whereas oxamniquine performed satisfactorily, as in other areas in which S. mansoni is endemic.")</f>
        <v>cure rates with praziquantel were abnormally low, whereas oxamniquine performed satisfactorily, as in other areas in which S. mansoni is endemic.</v>
      </c>
      <c r="R52" s="697" t="str">
        <f>IFERROR(__xludf.DUMMYFUNCTION("""COMPUTED_VALUE"""),"Oxamniquine cures Schistosoma mansoni infection in a focus in which cure rates with praziquantel are unusually low.")</f>
        <v>Oxamniquine cures Schistosoma mansoni infection in a focus in which cure rates with praziquantel are unusually low.</v>
      </c>
      <c r="S52" s="699" t="str">
        <f>IFERROR(__xludf.DUMMYFUNCTION("""COMPUTED_VALUE"""),"Stelma, Foekje F., et al. ""Oxamniquine cures Schistosoma mansoni infection in a focus in which cure rates with praziquantel are unusually low."" Journal of Infectious Diseases 176.1 (1997): 304-307.")</f>
        <v>Stelma, Foekje F., et al. "Oxamniquine cures Schistosoma mansoni infection in a focus in which cure rates with praziquantel are unusually low." Journal of Infectious Diseases 176.1 (1997): 304-307.</v>
      </c>
      <c r="T52" s="697"/>
      <c r="U52" s="697" t="str">
        <f>IFERROR(__xludf.DUMMYFUNCTION("""COMPUTED_VALUE"""),"")</f>
        <v/>
      </c>
      <c r="V52" s="697">
        <f>IFERROR(__xludf.DUMMYFUNCTION("""COMPUTED_VALUE"""),52.0)</f>
        <v>52</v>
      </c>
    </row>
    <row r="53">
      <c r="A53" s="697" t="str">
        <f>IFERROR(__xludf.DUMMYFUNCTION("""COMPUTED_VALUE"""),"Ferrari ML, 2003")</f>
        <v>Ferrari ML, 2003</v>
      </c>
      <c r="B53" s="697" t="str">
        <f>IFERROR(__xludf.DUMMYFUNCTION("""COMPUTED_VALUE"""),"s. mansoni")</f>
        <v>s. mansoni</v>
      </c>
      <c r="C53" s="697" t="str">
        <f>IFERROR(__xludf.DUMMYFUNCTION("""COMPUTED_VALUE"""),"Brazil")</f>
        <v>Brazil</v>
      </c>
      <c r="D53" s="697" t="str">
        <f>IFERROR(__xludf.DUMMYFUNCTION("""COMPUTED_VALUE"""),"Praziquantel")</f>
        <v>Praziquantel</v>
      </c>
      <c r="E53" s="697" t="str">
        <f>IFERROR(__xludf.DUMMYFUNCTION("""COMPUTED_VALUE"""),"Single")</f>
        <v>Single</v>
      </c>
      <c r="F53" s="697" t="str">
        <f>IFERROR(__xludf.DUMMYFUNCTION("""COMPUTED_VALUE"""),"60 mg/kg")</f>
        <v>60 mg/kg</v>
      </c>
      <c r="G53" s="697">
        <f>IFERROR(__xludf.DUMMYFUNCTION("""COMPUTED_VALUE"""),36.0)</f>
        <v>36</v>
      </c>
      <c r="H53" s="697" t="str">
        <f>IFERROR(__xludf.DUMMYFUNCTION("""COMPUTED_VALUE"""),"13-51")</f>
        <v>13-51</v>
      </c>
      <c r="I53" s="705" t="str">
        <f>IFERROR(__xludf.DUMMYFUNCTION("""COMPUTED_VALUE"""),"30: 6")</f>
        <v>30: 6</v>
      </c>
      <c r="J53" s="697">
        <f>IFERROR(__xludf.DUMMYFUNCTION("""COMPUTED_VALUE"""),2003.0)</f>
        <v>2003</v>
      </c>
      <c r="K53" s="697" t="str">
        <f>IFERROR(__xludf.DUMMYFUNCTION("""COMPUTED_VALUE"""),"26 year olds M/F patients infected with S. mansoni")</f>
        <v>26 year olds M/F patients infected with S. mansoni</v>
      </c>
      <c r="L53" s="697" t="str">
        <f>IFERROR(__xludf.DUMMYFUNCTION("""COMPUTED_VALUE"""),"No")</f>
        <v>No</v>
      </c>
      <c r="M53" s="697" t="str">
        <f>IFERROR(__xludf.DUMMYFUNCTION("""COMPUTED_VALUE"""),"Yes")</f>
        <v>Yes</v>
      </c>
      <c r="N53" s="697" t="str">
        <f>IFERROR(__xludf.DUMMYFUNCTION("""COMPUTED_VALUE""")," Faecal examinations (days 15, 30, 60, 90, 120, 150, and 180 after treatment) and biopsy of rectal mucosa by quantitative oogram (days 30, 60, 120, and 180) were used for the initial diagnosis and for evaluating the degree of cure.")</f>
        <v> Faecal examinations (days 15, 30, 60, 90, 120, 150, and 180 after treatment) and biopsy of rectal mucosa by quantitative oogram (days 30, 60, 120, and 180) were used for the initial diagnosis and for evaluating the degree of cure.</v>
      </c>
      <c r="O53" s="873">
        <f>IFERROR(__xludf.DUMMYFUNCTION("""COMPUTED_VALUE"""),1.0)</f>
        <v>1</v>
      </c>
      <c r="P53" s="697"/>
      <c r="Q53" s="697" t="str">
        <f>IFERROR(__xludf.DUMMYFUNCTION("""COMPUTED_VALUE"""),"Praziquantel was significantly more effective than oxamniquine in treating S. mansoni infection.")</f>
        <v>Praziquantel was significantly more effective than oxamniquine in treating S. mansoni infection.</v>
      </c>
      <c r="R53" s="697"/>
      <c r="S53" s="699" t="str">
        <f>IFERROR(__xludf.DUMMYFUNCTION("""COMPUTED_VALUE"""),"Ferrari, M. L. A., et al. ""Efficacy of oxamniquine and praziquantel in the treatment of Schistosoma mansoni infection: a controlled trial."" Bulletin of the World Health Organization 81.3 (2003): 190-196.")</f>
        <v>Ferrari, M. L. A., et al. "Efficacy of oxamniquine and praziquantel in the treatment of Schistosoma mansoni infection: a controlled trial." Bulletin of the World Health Organization 81.3 (2003): 190-196.</v>
      </c>
      <c r="T53" s="699" t="str">
        <f>IFERROR(__xludf.DUMMYFUNCTION("""COMPUTED_VALUE"""),"https://drive.google.com/file/d/0B-yoIBO7tf7FUTNyMXRZQVpXbFE/view?usp=sharing")</f>
        <v>https://drive.google.com/file/d/0B-yoIBO7tf7FUTNyMXRZQVpXbFE/view?usp=sharing</v>
      </c>
      <c r="U53" s="697" t="str">
        <f>IFERROR(__xludf.DUMMYFUNCTION("""COMPUTED_VALUE"""),"")</f>
        <v/>
      </c>
      <c r="V53" s="697">
        <f>IFERROR(__xludf.DUMMYFUNCTION("""COMPUTED_VALUE"""),53.0)</f>
        <v>53</v>
      </c>
    </row>
    <row r="54">
      <c r="A54" s="697" t="str">
        <f>IFERROR(__xludf.DUMMYFUNCTION("""COMPUTED_VALUE"""),"Ferrari ML, 2003")</f>
        <v>Ferrari ML, 2003</v>
      </c>
      <c r="B54" s="697" t="str">
        <f>IFERROR(__xludf.DUMMYFUNCTION("""COMPUTED_VALUE"""),"s. mansoni")</f>
        <v>s. mansoni</v>
      </c>
      <c r="C54" s="697" t="str">
        <f>IFERROR(__xludf.DUMMYFUNCTION("""COMPUTED_VALUE"""),"Brazil")</f>
        <v>Brazil</v>
      </c>
      <c r="D54" s="697" t="str">
        <f>IFERROR(__xludf.DUMMYFUNCTION("""COMPUTED_VALUE"""),"Oxamniquine")</f>
        <v>Oxamniquine</v>
      </c>
      <c r="E54" s="697" t="str">
        <f>IFERROR(__xludf.DUMMYFUNCTION("""COMPUTED_VALUE"""),"Two")</f>
        <v>Two</v>
      </c>
      <c r="F54" s="697" t="str">
        <f>IFERROR(__xludf.DUMMYFUNCTION("""COMPUTED_VALUE"""),"10 mg/kg")</f>
        <v>10 mg/kg</v>
      </c>
      <c r="G54" s="697">
        <f>IFERROR(__xludf.DUMMYFUNCTION("""COMPUTED_VALUE"""),34.0)</f>
        <v>34</v>
      </c>
      <c r="H54" s="697" t="str">
        <f>IFERROR(__xludf.DUMMYFUNCTION("""COMPUTED_VALUE"""),"12-60")</f>
        <v>12-60</v>
      </c>
      <c r="I54" s="705" t="str">
        <f>IFERROR(__xludf.DUMMYFUNCTION("""COMPUTED_VALUE"""),"22:12")</f>
        <v>22:12</v>
      </c>
      <c r="J54" s="697">
        <f>IFERROR(__xludf.DUMMYFUNCTION("""COMPUTED_VALUE"""),2003.0)</f>
        <v>2003</v>
      </c>
      <c r="K54" s="697" t="str">
        <f>IFERROR(__xludf.DUMMYFUNCTION("""COMPUTED_VALUE"""),"26 year olds M/F patients infected with S. mansoni")</f>
        <v>26 year olds M/F patients infected with S. mansoni</v>
      </c>
      <c r="L54" s="697" t="str">
        <f>IFERROR(__xludf.DUMMYFUNCTION("""COMPUTED_VALUE"""),"No")</f>
        <v>No</v>
      </c>
      <c r="M54" s="697" t="str">
        <f>IFERROR(__xludf.DUMMYFUNCTION("""COMPUTED_VALUE"""),"Yes")</f>
        <v>Yes</v>
      </c>
      <c r="N54" s="697" t="str">
        <f>IFERROR(__xludf.DUMMYFUNCTION("""COMPUTED_VALUE""")," Faecal examinations (days 15, 30, 60, 90, 120, 150, and 180 after treatment) and biopsy of rectal mucosa by quantitative oogram (days 30, 60, 120, and 180) were used for the initial diagnosis and for evaluating the degree of cure.")</f>
        <v> Faecal examinations (days 15, 30, 60, 90, 120, 150, and 180 after treatment) and biopsy of rectal mucosa by quantitative oogram (days 30, 60, 120, and 180) were used for the initial diagnosis and for evaluating the degree of cure.</v>
      </c>
      <c r="O54" s="873">
        <f>IFERROR(__xludf.DUMMYFUNCTION("""COMPUTED_VALUE"""),0.903)</f>
        <v>0.903</v>
      </c>
      <c r="P54" s="697"/>
      <c r="Q54" s="697" t="str">
        <f>IFERROR(__xludf.DUMMYFUNCTION("""COMPUTED_VALUE"""),"Praziquantel was significantly more effective than oxamniquine in treating S. mansoni infection.")</f>
        <v>Praziquantel was significantly more effective than oxamniquine in treating S. mansoni infection.</v>
      </c>
      <c r="R54" s="697"/>
      <c r="S54" s="699" t="str">
        <f>IFERROR(__xludf.DUMMYFUNCTION("""COMPUTED_VALUE"""),"Ferrari, M. L. A., et al. ""Efficacy of oxamniquine and praziquantel in the treatment of Schistosoma mansoni infection: a controlled trial."" Bulletin of the World Health Organization 81.3 (2003): 190-196.")</f>
        <v>Ferrari, M. L. A., et al. "Efficacy of oxamniquine and praziquantel in the treatment of Schistosoma mansoni infection: a controlled trial." Bulletin of the World Health Organization 81.3 (2003): 190-196.</v>
      </c>
      <c r="T54" s="697"/>
      <c r="U54" s="697" t="str">
        <f>IFERROR(__xludf.DUMMYFUNCTION("""COMPUTED_VALUE"""),"")</f>
        <v/>
      </c>
      <c r="V54" s="697">
        <f>IFERROR(__xludf.DUMMYFUNCTION("""COMPUTED_VALUE"""),54.0)</f>
        <v>54</v>
      </c>
    </row>
    <row r="55">
      <c r="A55" s="697" t="str">
        <f>IFERROR(__xludf.DUMMYFUNCTION("""COMPUTED_VALUE"""),"Ferrari ML, 2003")</f>
        <v>Ferrari ML, 2003</v>
      </c>
      <c r="B55" s="697" t="str">
        <f>IFERROR(__xludf.DUMMYFUNCTION("""COMPUTED_VALUE"""),"s. mansoni")</f>
        <v>s. mansoni</v>
      </c>
      <c r="C55" s="697" t="str">
        <f>IFERROR(__xludf.DUMMYFUNCTION("""COMPUTED_VALUE"""),"Brazil")</f>
        <v>Brazil</v>
      </c>
      <c r="D55" s="697" t="str">
        <f>IFERROR(__xludf.DUMMYFUNCTION("""COMPUTED_VALUE"""),"Placebo")</f>
        <v>Placebo</v>
      </c>
      <c r="E55" s="697" t="str">
        <f>IFERROR(__xludf.DUMMYFUNCTION("""COMPUTED_VALUE"""),"Single")</f>
        <v>Single</v>
      </c>
      <c r="F55" s="697" t="str">
        <f>IFERROR(__xludf.DUMMYFUNCTION("""COMPUTED_VALUE"""),"Placebo")</f>
        <v>Placebo</v>
      </c>
      <c r="G55" s="697">
        <f>IFERROR(__xludf.DUMMYFUNCTION("""COMPUTED_VALUE"""),36.0)</f>
        <v>36</v>
      </c>
      <c r="H55" s="697" t="str">
        <f>IFERROR(__xludf.DUMMYFUNCTION("""COMPUTED_VALUE"""),"12-41")</f>
        <v>12-41</v>
      </c>
      <c r="I55" s="705" t="str">
        <f>IFERROR(__xludf.DUMMYFUNCTION("""COMPUTED_VALUE"""),"26:10")</f>
        <v>26:10</v>
      </c>
      <c r="J55" s="697">
        <f>IFERROR(__xludf.DUMMYFUNCTION("""COMPUTED_VALUE"""),2003.0)</f>
        <v>2003</v>
      </c>
      <c r="K55" s="697" t="str">
        <f>IFERROR(__xludf.DUMMYFUNCTION("""COMPUTED_VALUE"""),"27 year olds M/F patients infected with S. mansoni")</f>
        <v>27 year olds M/F patients infected with S. mansoni</v>
      </c>
      <c r="L55" s="697" t="str">
        <f>IFERROR(__xludf.DUMMYFUNCTION("""COMPUTED_VALUE"""),"No")</f>
        <v>No</v>
      </c>
      <c r="M55" s="697" t="str">
        <f>IFERROR(__xludf.DUMMYFUNCTION("""COMPUTED_VALUE"""),"Yes")</f>
        <v>Yes</v>
      </c>
      <c r="N55" s="697" t="str">
        <f>IFERROR(__xludf.DUMMYFUNCTION("""COMPUTED_VALUE""")," Faecal examinations (days 15, 30, 60, 90, 120, 150, and 180 after treatment) and biopsy of rectal mucosa by quantitative oogram (days 30, 60, 120, and 180) were used for the initial diagnosis and for evaluating the degree of cure.")</f>
        <v> Faecal examinations (days 15, 30, 60, 90, 120, 150, and 180 after treatment) and biopsy of rectal mucosa by quantitative oogram (days 30, 60, 120, and 180) were used for the initial diagnosis and for evaluating the degree of cure.</v>
      </c>
      <c r="O55" s="873">
        <f>IFERROR(__xludf.DUMMYFUNCTION("""COMPUTED_VALUE"""),0.903)</f>
        <v>0.903</v>
      </c>
      <c r="P55" s="697"/>
      <c r="Q55" s="697" t="str">
        <f>IFERROR(__xludf.DUMMYFUNCTION("""COMPUTED_VALUE"""),"Praziquantel was significantly more effective than oxamniquine in treating S. mansoni infection.")</f>
        <v>Praziquantel was significantly more effective than oxamniquine in treating S. mansoni infection.</v>
      </c>
      <c r="R55" s="697"/>
      <c r="S55" s="699" t="str">
        <f>IFERROR(__xludf.DUMMYFUNCTION("""COMPUTED_VALUE"""),"Ferrari, M. L. A., et al. ""Efficacy of oxamniquine and praziquantel in the treatment of Schistosoma mansoni infection: a controlled trial."" Bulletin of the World Health Organization 81.3 (2003): 190-196.")</f>
        <v>Ferrari, M. L. A., et al. "Efficacy of oxamniquine and praziquantel in the treatment of Schistosoma mansoni infection: a controlled trial." Bulletin of the World Health Organization 81.3 (2003): 190-196.</v>
      </c>
      <c r="T55" s="697"/>
      <c r="U55" s="697" t="str">
        <f>IFERROR(__xludf.DUMMYFUNCTION("""COMPUTED_VALUE"""),"")</f>
        <v/>
      </c>
      <c r="V55" s="697">
        <f>IFERROR(__xludf.DUMMYFUNCTION("""COMPUTED_VALUE"""),55.0)</f>
        <v>55</v>
      </c>
    </row>
    <row r="56">
      <c r="A56" s="697" t="str">
        <f>IFERROR(__xludf.DUMMYFUNCTION("""COMPUTED_VALUE"""),"Giboda MJ, 1992")</f>
        <v>Giboda MJ, 1992</v>
      </c>
      <c r="B56" s="697" t="str">
        <f>IFERROR(__xludf.DUMMYFUNCTION("""COMPUTED_VALUE"""),"s. haematobium")</f>
        <v>s. haematobium</v>
      </c>
      <c r="C56" s="697" t="str">
        <f>IFERROR(__xludf.DUMMYFUNCTION("""COMPUTED_VALUE"""),"Czech Republic")</f>
        <v>Czech Republic</v>
      </c>
      <c r="D56" s="697" t="str">
        <f>IFERROR(__xludf.DUMMYFUNCTION("""COMPUTED_VALUE"""),"Praziquantel")</f>
        <v>Praziquantel</v>
      </c>
      <c r="E56" s="697" t="str">
        <f>IFERROR(__xludf.DUMMYFUNCTION("""COMPUTED_VALUE"""),"Two")</f>
        <v>Two</v>
      </c>
      <c r="F56" s="697" t="str">
        <f>IFERROR(__xludf.DUMMYFUNCTION("""COMPUTED_VALUE"""),"20 mg/kg ")</f>
        <v>20 mg/kg </v>
      </c>
      <c r="G56" s="697">
        <f>IFERROR(__xludf.DUMMYFUNCTION("""COMPUTED_VALUE"""),13.0)</f>
        <v>13</v>
      </c>
      <c r="H56" s="697" t="str">
        <f>IFERROR(__xludf.DUMMYFUNCTION("""COMPUTED_VALUE"""),"18-23 years")</f>
        <v>18-23 years</v>
      </c>
      <c r="I56" s="705" t="str">
        <f>IFERROR(__xludf.DUMMYFUNCTION("""COMPUTED_VALUE"""),"all male ")</f>
        <v>all male </v>
      </c>
      <c r="J56" s="697">
        <f>IFERROR(__xludf.DUMMYFUNCTION("""COMPUTED_VALUE"""),1992.0)</f>
        <v>1992</v>
      </c>
      <c r="K56" s="697" t="str">
        <f>IFERROR(__xludf.DUMMYFUNCTION("""COMPUTED_VALUE"""),"18-23 yrs old Infected with S.mansoni or S. haematobium")</f>
        <v>18-23 yrs old Infected with S.mansoni or S. haematobium</v>
      </c>
      <c r="L56" s="697" t="str">
        <f>IFERROR(__xludf.DUMMYFUNCTION("""COMPUTED_VALUE"""),"Yes")</f>
        <v>Yes</v>
      </c>
      <c r="M56" s="697" t="str">
        <f>IFERROR(__xludf.DUMMYFUNCTION("""COMPUTED_VALUE"""),"Yes")</f>
        <v>Yes</v>
      </c>
      <c r="N56" s="697" t="str">
        <f>IFERROR(__xludf.DUMMYFUNCTION("""COMPUTED_VALUE"""),"Cure rate determined 1 year by absence of Schistosomia eggs from biopsies and excreta")</f>
        <v>Cure rate determined 1 year by absence of Schistosomia eggs from biopsies and excreta</v>
      </c>
      <c r="O56" s="872">
        <f>IFERROR(__xludf.DUMMYFUNCTION("""COMPUTED_VALUE"""),0.62)</f>
        <v>0.62</v>
      </c>
      <c r="P56" s="700">
        <f>IFERROR(__xludf.DUMMYFUNCTION("""COMPUTED_VALUE"""),0.26)</f>
        <v>0.26</v>
      </c>
      <c r="Q56" s="697" t="str">
        <f>IFERROR(__xludf.DUMMYFUNCTION("""COMPUTED_VALUE"""),"The efficacy for praziquental for lightly infected patients may not be clinically relevant which present major problems in the area of schistomiasis. ")</f>
        <v>The efficacy for praziquental for lightly infected patients may not be clinically relevant which present major problems in the area of schistomiasis. </v>
      </c>
      <c r="R56" s="697"/>
      <c r="S56" s="699" t="str">
        <f>IFERROR(__xludf.DUMMYFUNCTION("""COMPUTED_VALUE"""),"Giboda, M., J. Loudova, O. Shonova, E. Bouckova, J. Horacek, P. Numrich, A. Ruppel, J. Vitovec, S. Lukes, and P. Noll. ""Efficacy of Praziquantel Treatment of Schistosomiasis in a Non-endemic Country: A Follow-up of Parasitological, Clinical and Immunolog"&amp;"ical Parameters."" Journal of Hygiene, Epidemiology, Microbiology, and Immunology 36.4 (1992): 346-55. Web. 22 Feb. 2015.")</f>
        <v>Giboda, M., J. Loudova, O. Shonova, E. Bouckova, J. Horacek, P. Numrich, A. Ruppel, J. Vitovec, S. Lukes, and P. Noll. "Efficacy of Praziquantel Treatment of Schistosomiasis in a Non-endemic Country: A Follow-up of Parasitological, Clinical and Immunological Parameters." Journal of Hygiene, Epidemiology, Microbiology, and Immunology 36.4 (1992): 346-55. Web. 22 Feb. 2015.</v>
      </c>
      <c r="T56" s="697"/>
      <c r="U56" s="697" t="str">
        <f>IFERROR(__xludf.DUMMYFUNCTION("""COMPUTED_VALUE"""),"")</f>
        <v/>
      </c>
      <c r="V56" s="697">
        <f>IFERROR(__xludf.DUMMYFUNCTION("""COMPUTED_VALUE"""),56.0)</f>
        <v>56</v>
      </c>
    </row>
    <row r="57">
      <c r="A57" s="697" t="str">
        <f>IFERROR(__xludf.DUMMYFUNCTION("""COMPUTED_VALUE"""),"Giboda MJ, 1992")</f>
        <v>Giboda MJ, 1992</v>
      </c>
      <c r="B57" s="697" t="str">
        <f>IFERROR(__xludf.DUMMYFUNCTION("""COMPUTED_VALUE"""),"s. haematobium")</f>
        <v>s. haematobium</v>
      </c>
      <c r="C57" s="697" t="str">
        <f>IFERROR(__xludf.DUMMYFUNCTION("""COMPUTED_VALUE"""),"Slovakia")</f>
        <v>Slovakia</v>
      </c>
      <c r="D57" s="697" t="str">
        <f>IFERROR(__xludf.DUMMYFUNCTION("""COMPUTED_VALUE"""),"Praziquantel")</f>
        <v>Praziquantel</v>
      </c>
      <c r="E57" s="697" t="str">
        <f>IFERROR(__xludf.DUMMYFUNCTION("""COMPUTED_VALUE"""),"Two")</f>
        <v>Two</v>
      </c>
      <c r="F57" s="697" t="str">
        <f>IFERROR(__xludf.DUMMYFUNCTION("""COMPUTED_VALUE"""),"20 mg/kg ")</f>
        <v>20 mg/kg </v>
      </c>
      <c r="G57" s="697">
        <f>IFERROR(__xludf.DUMMYFUNCTION("""COMPUTED_VALUE"""),13.0)</f>
        <v>13</v>
      </c>
      <c r="H57" s="697" t="str">
        <f>IFERROR(__xludf.DUMMYFUNCTION("""COMPUTED_VALUE"""),"18-23 years")</f>
        <v>18-23 years</v>
      </c>
      <c r="I57" s="705" t="str">
        <f>IFERROR(__xludf.DUMMYFUNCTION("""COMPUTED_VALUE"""),"all male ")</f>
        <v>all male </v>
      </c>
      <c r="J57" s="697">
        <f>IFERROR(__xludf.DUMMYFUNCTION("""COMPUTED_VALUE"""),1992.0)</f>
        <v>1992</v>
      </c>
      <c r="K57" s="697" t="str">
        <f>IFERROR(__xludf.DUMMYFUNCTION("""COMPUTED_VALUE"""),"18-23 yrs old Infected with S.mansoni or S. haematobium")</f>
        <v>18-23 yrs old Infected with S.mansoni or S. haematobium</v>
      </c>
      <c r="L57" s="697" t="str">
        <f>IFERROR(__xludf.DUMMYFUNCTION("""COMPUTED_VALUE"""),"Yes")</f>
        <v>Yes</v>
      </c>
      <c r="M57" s="697" t="str">
        <f>IFERROR(__xludf.DUMMYFUNCTION("""COMPUTED_VALUE"""),"Yes")</f>
        <v>Yes</v>
      </c>
      <c r="N57" s="697" t="str">
        <f>IFERROR(__xludf.DUMMYFUNCTION("""COMPUTED_VALUE"""),"Cure rate determined 1 year by absence of Schistosomia eggs from biopsies and excreta")</f>
        <v>Cure rate determined 1 year by absence of Schistosomia eggs from biopsies and excreta</v>
      </c>
      <c r="O57" s="872">
        <f>IFERROR(__xludf.DUMMYFUNCTION("""COMPUTED_VALUE"""),0.62)</f>
        <v>0.62</v>
      </c>
      <c r="P57" s="700">
        <f>IFERROR(__xludf.DUMMYFUNCTION("""COMPUTED_VALUE"""),0.26)</f>
        <v>0.26</v>
      </c>
      <c r="Q57" s="697" t="str">
        <f>IFERROR(__xludf.DUMMYFUNCTION("""COMPUTED_VALUE"""),"The efficacy for praziquental for lightly infected patients may not be clinically relevant which present major problems in the area of schistomiasis. ")</f>
        <v>The efficacy for praziquental for lightly infected patients may not be clinically relevant which present major problems in the area of schistomiasis. </v>
      </c>
      <c r="R57" s="697"/>
      <c r="S57" s="699" t="str">
        <f>IFERROR(__xludf.DUMMYFUNCTION("""COMPUTED_VALUE"""),"Giboda, M., J. Loudova, O. Shonova, E. Bouckova, J. Horacek, P. Numrich, A. Ruppel, J. Vitovec, S. Lukes, and P. Noll. ""Efficacy of Praziquantel Treatment of Schistosomiasis in a Non-endemic Country: A Follow-up of Parasitological, Clinical and Immunolog"&amp;"ical Parameters."" Journal of Hygiene, Epidemiology, Microbiology, and Immunology 36.4 (1992): 346-55. Web. 22 Feb. 2015.")</f>
        <v>Giboda, M., J. Loudova, O. Shonova, E. Bouckova, J. Horacek, P. Numrich, A. Ruppel, J. Vitovec, S. Lukes, and P. Noll. "Efficacy of Praziquantel Treatment of Schistosomiasis in a Non-endemic Country: A Follow-up of Parasitological, Clinical and Immunological Parameters." Journal of Hygiene, Epidemiology, Microbiology, and Immunology 36.4 (1992): 346-55. Web. 22 Feb. 2015.</v>
      </c>
      <c r="T57" s="697"/>
      <c r="U57" s="697" t="str">
        <f>IFERROR(__xludf.DUMMYFUNCTION("""COMPUTED_VALUE"""),"")</f>
        <v/>
      </c>
      <c r="V57" s="697">
        <f>IFERROR(__xludf.DUMMYFUNCTION("""COMPUTED_VALUE"""),57.0)</f>
        <v>57</v>
      </c>
    </row>
    <row r="58">
      <c r="A58" s="697" t="str">
        <f>IFERROR(__xludf.DUMMYFUNCTION("""COMPUTED_VALUE"""),"Giboda MJ, 1992")</f>
        <v>Giboda MJ, 1992</v>
      </c>
      <c r="B58" s="697" t="str">
        <f>IFERROR(__xludf.DUMMYFUNCTION("""COMPUTED_VALUE"""),"s. haematobium")</f>
        <v>s. haematobium</v>
      </c>
      <c r="C58" s="697" t="str">
        <f>IFERROR(__xludf.DUMMYFUNCTION("""COMPUTED_VALUE"""),"Czech Republic")</f>
        <v>Czech Republic</v>
      </c>
      <c r="D58" s="697" t="str">
        <f>IFERROR(__xludf.DUMMYFUNCTION("""COMPUTED_VALUE"""),"Praziquantel")</f>
        <v>Praziquantel</v>
      </c>
      <c r="E58" s="697" t="str">
        <f>IFERROR(__xludf.DUMMYFUNCTION("""COMPUTED_VALUE"""),"Two")</f>
        <v>Two</v>
      </c>
      <c r="F58" s="697" t="str">
        <f>IFERROR(__xludf.DUMMYFUNCTION("""COMPUTED_VALUE"""),"20 mg/kg ")</f>
        <v>20 mg/kg </v>
      </c>
      <c r="G58" s="697">
        <f>IFERROR(__xludf.DUMMYFUNCTION("""COMPUTED_VALUE"""),13.0)</f>
        <v>13</v>
      </c>
      <c r="H58" s="697" t="str">
        <f>IFERROR(__xludf.DUMMYFUNCTION("""COMPUTED_VALUE"""),"18-23 years")</f>
        <v>18-23 years</v>
      </c>
      <c r="I58" s="705" t="str">
        <f>IFERROR(__xludf.DUMMYFUNCTION("""COMPUTED_VALUE"""),"all male ")</f>
        <v>all male </v>
      </c>
      <c r="J58" s="697">
        <f>IFERROR(__xludf.DUMMYFUNCTION("""COMPUTED_VALUE"""),1992.0)</f>
        <v>1992</v>
      </c>
      <c r="K58" s="697" t="str">
        <f>IFERROR(__xludf.DUMMYFUNCTION("""COMPUTED_VALUE"""),"18-23 years old. Infected only with S.mansoni")</f>
        <v>18-23 years old. Infected only with S.mansoni</v>
      </c>
      <c r="L58" s="697" t="str">
        <f>IFERROR(__xludf.DUMMYFUNCTION("""COMPUTED_VALUE"""),"Yes")</f>
        <v>Yes</v>
      </c>
      <c r="M58" s="697" t="str">
        <f>IFERROR(__xludf.DUMMYFUNCTION("""COMPUTED_VALUE"""),"Yes")</f>
        <v>Yes</v>
      </c>
      <c r="N58" s="697" t="str">
        <f>IFERROR(__xludf.DUMMYFUNCTION("""COMPUTED_VALUE"""),"Cure rate determined 1 year by absence of Schistosomia eggs from biopsies and excreta")</f>
        <v>Cure rate determined 1 year by absence of Schistosomia eggs from biopsies and excreta</v>
      </c>
      <c r="O58" s="872">
        <f>IFERROR(__xludf.DUMMYFUNCTION("""COMPUTED_VALUE"""),0.69)</f>
        <v>0.69</v>
      </c>
      <c r="P58" s="700">
        <f>IFERROR(__xludf.DUMMYFUNCTION("""COMPUTED_VALUE"""),0.62)</f>
        <v>0.62</v>
      </c>
      <c r="Q58" s="697" t="str">
        <f>IFERROR(__xludf.DUMMYFUNCTION("""COMPUTED_VALUE"""),"The efficacy for praziquental for lightly infected patients may not be clinically relevant which present major problems in the area of schistomiasis. ")</f>
        <v>The efficacy for praziquental for lightly infected patients may not be clinically relevant which present major problems in the area of schistomiasis. </v>
      </c>
      <c r="R58" s="697"/>
      <c r="S58" s="699" t="str">
        <f>IFERROR(__xludf.DUMMYFUNCTION("""COMPUTED_VALUE"""),"Giboda, M., J. Loudova, O. Shonova, E. Bouckova, J. Horacek, P. Numrich, A. Ruppel, J. Vitovec, S. Lukes, and P. Noll. ""Efficacy of Praziquantel Treatment of Schistosomiasis in a Non-endemic Country: A Follow-up of Parasitological, Clinical and Immunolog"&amp;"ical Parameters."" Journal of Hygiene, Epidemiology, Microbiology, and Immunology 36.4 (1992): 346-55. Web. 22 Feb. 2015.")</f>
        <v>Giboda, M., J. Loudova, O. Shonova, E. Bouckova, J. Horacek, P. Numrich, A. Ruppel, J. Vitovec, S. Lukes, and P. Noll. "Efficacy of Praziquantel Treatment of Schistosomiasis in a Non-endemic Country: A Follow-up of Parasitological, Clinical and Immunological Parameters." Journal of Hygiene, Epidemiology, Microbiology, and Immunology 36.4 (1992): 346-55. Web. 22 Feb. 2015.</v>
      </c>
      <c r="T58" s="697"/>
      <c r="U58" s="697" t="str">
        <f>IFERROR(__xludf.DUMMYFUNCTION("""COMPUTED_VALUE"""),"")</f>
        <v/>
      </c>
      <c r="V58" s="697">
        <f>IFERROR(__xludf.DUMMYFUNCTION("""COMPUTED_VALUE"""),58.0)</f>
        <v>58</v>
      </c>
    </row>
    <row r="59">
      <c r="A59" s="697" t="str">
        <f>IFERROR(__xludf.DUMMYFUNCTION("""COMPUTED_VALUE"""),"Giboda MJ, 1992")</f>
        <v>Giboda MJ, 1992</v>
      </c>
      <c r="B59" s="697" t="str">
        <f>IFERROR(__xludf.DUMMYFUNCTION("""COMPUTED_VALUE"""),"s. haematobium")</f>
        <v>s. haematobium</v>
      </c>
      <c r="C59" s="697" t="str">
        <f>IFERROR(__xludf.DUMMYFUNCTION("""COMPUTED_VALUE"""),"Slovakia")</f>
        <v>Slovakia</v>
      </c>
      <c r="D59" s="697" t="str">
        <f>IFERROR(__xludf.DUMMYFUNCTION("""COMPUTED_VALUE"""),"Praziquantel")</f>
        <v>Praziquantel</v>
      </c>
      <c r="E59" s="697" t="str">
        <f>IFERROR(__xludf.DUMMYFUNCTION("""COMPUTED_VALUE"""),"Two")</f>
        <v>Two</v>
      </c>
      <c r="F59" s="697" t="str">
        <f>IFERROR(__xludf.DUMMYFUNCTION("""COMPUTED_VALUE"""),"20 mg/kg ")</f>
        <v>20 mg/kg </v>
      </c>
      <c r="G59" s="697">
        <f>IFERROR(__xludf.DUMMYFUNCTION("""COMPUTED_VALUE"""),13.0)</f>
        <v>13</v>
      </c>
      <c r="H59" s="697" t="str">
        <f>IFERROR(__xludf.DUMMYFUNCTION("""COMPUTED_VALUE"""),"18-23 years")</f>
        <v>18-23 years</v>
      </c>
      <c r="I59" s="705" t="str">
        <f>IFERROR(__xludf.DUMMYFUNCTION("""COMPUTED_VALUE"""),"all male ")</f>
        <v>all male </v>
      </c>
      <c r="J59" s="697">
        <f>IFERROR(__xludf.DUMMYFUNCTION("""COMPUTED_VALUE"""),1992.0)</f>
        <v>1992</v>
      </c>
      <c r="K59" s="697" t="str">
        <f>IFERROR(__xludf.DUMMYFUNCTION("""COMPUTED_VALUE"""),"18-23 years old. Infected only with S.mansoni")</f>
        <v>18-23 years old. Infected only with S.mansoni</v>
      </c>
      <c r="L59" s="697" t="str">
        <f>IFERROR(__xludf.DUMMYFUNCTION("""COMPUTED_VALUE"""),"Yes")</f>
        <v>Yes</v>
      </c>
      <c r="M59" s="697" t="str">
        <f>IFERROR(__xludf.DUMMYFUNCTION("""COMPUTED_VALUE"""),"Yes")</f>
        <v>Yes</v>
      </c>
      <c r="N59" s="697" t="str">
        <f>IFERROR(__xludf.DUMMYFUNCTION("""COMPUTED_VALUE"""),"Cure rate determined 1 year by absence of Schistosomia eggs from biopsies and excreta")</f>
        <v>Cure rate determined 1 year by absence of Schistosomia eggs from biopsies and excreta</v>
      </c>
      <c r="O59" s="872">
        <f>IFERROR(__xludf.DUMMYFUNCTION("""COMPUTED_VALUE"""),0.69)</f>
        <v>0.69</v>
      </c>
      <c r="P59" s="700">
        <f>IFERROR(__xludf.DUMMYFUNCTION("""COMPUTED_VALUE"""),0.62)</f>
        <v>0.62</v>
      </c>
      <c r="Q59" s="697" t="str">
        <f>IFERROR(__xludf.DUMMYFUNCTION("""COMPUTED_VALUE"""),"The efficacy for praziquental for lightly infected patients may not be clinically relevant which present major problems in the area of schistomiasis. ")</f>
        <v>The efficacy for praziquental for lightly infected patients may not be clinically relevant which present major problems in the area of schistomiasis. </v>
      </c>
      <c r="R59" s="697"/>
      <c r="S59" s="699" t="str">
        <f>IFERROR(__xludf.DUMMYFUNCTION("""COMPUTED_VALUE"""),"Giboda, M., J. Loudova, O. Shonova, E. Bouckova, J. Horacek, P. Numrich, A. Ruppel, J. Vitovec, S. Lukes, and P. Noll. ""Efficacy of Praziquantel Treatment of Schistosomiasis in a Non-endemic Country: A Follow-up of Parasitological, Clinical and Immunolog"&amp;"ical Parameters."" Journal of Hygiene, Epidemiology, Microbiology, and Immunology 36.4 (1992): 346-55. Web. 22 Feb. 2015.")</f>
        <v>Giboda, M., J. Loudova, O. Shonova, E. Bouckova, J. Horacek, P. Numrich, A. Ruppel, J. Vitovec, S. Lukes, and P. Noll. "Efficacy of Praziquantel Treatment of Schistosomiasis in a Non-endemic Country: A Follow-up of Parasitological, Clinical and Immunological Parameters." Journal of Hygiene, Epidemiology, Microbiology, and Immunology 36.4 (1992): 346-55. Web. 22 Feb. 2015.</v>
      </c>
      <c r="T59" s="697"/>
      <c r="U59" s="697" t="str">
        <f>IFERROR(__xludf.DUMMYFUNCTION("""COMPUTED_VALUE"""),"")</f>
        <v/>
      </c>
      <c r="V59" s="697">
        <f>IFERROR(__xludf.DUMMYFUNCTION("""COMPUTED_VALUE"""),59.0)</f>
        <v>59</v>
      </c>
    </row>
    <row r="60">
      <c r="A60" s="697" t="str">
        <f>IFERROR(__xludf.DUMMYFUNCTION("""COMPUTED_VALUE"""),"Gryseels B, 1989")</f>
        <v>Gryseels B, 1989</v>
      </c>
      <c r="B60" s="697" t="str">
        <f>IFERROR(__xludf.DUMMYFUNCTION("""COMPUTED_VALUE"""),"s. mansoni")</f>
        <v>s. mansoni</v>
      </c>
      <c r="C60" s="697" t="str">
        <f>IFERROR(__xludf.DUMMYFUNCTION("""COMPUTED_VALUE"""),"Burundi")</f>
        <v>Burundi</v>
      </c>
      <c r="D60" s="697" t="str">
        <f>IFERROR(__xludf.DUMMYFUNCTION("""COMPUTED_VALUE"""),"Oxamniquine")</f>
        <v>Oxamniquine</v>
      </c>
      <c r="E60" s="697" t="str">
        <f>IFERROR(__xludf.DUMMYFUNCTION("""COMPUTED_VALUE"""),"Single")</f>
        <v>Single</v>
      </c>
      <c r="F60" s="697" t="str">
        <f>IFERROR(__xludf.DUMMYFUNCTION("""COMPUTED_VALUE"""),"40 mg/kg ")</f>
        <v>40 mg/kg </v>
      </c>
      <c r="G60" s="697">
        <f>IFERROR(__xludf.DUMMYFUNCTION("""COMPUTED_VALUE"""),63.0)</f>
        <v>63</v>
      </c>
      <c r="H60" s="697" t="str">
        <f>IFERROR(__xludf.DUMMYFUNCTION("""COMPUTED_VALUE"""),"children (&lt;20) &amp; adults (&gt;20) ")</f>
        <v>children (&lt;20) &amp; adults (&gt;20) </v>
      </c>
      <c r="I60" s="705" t="str">
        <f>IFERROR(__xludf.DUMMYFUNCTION("""COMPUTED_VALUE"""),"data not available ")</f>
        <v>data not available </v>
      </c>
      <c r="J60" s="697">
        <f>IFERROR(__xludf.DUMMYFUNCTION("""COMPUTED_VALUE"""),1986.0)</f>
        <v>1986</v>
      </c>
      <c r="K60" s="697" t="str">
        <f>IFERROR(__xludf.DUMMYFUNCTION("""COMPUTED_VALUE"""),"63 children and 267 adults (Children only were included in the efficacy analysis)")</f>
        <v>63 children and 267 adults (Children only were included in the efficacy analysis)</v>
      </c>
      <c r="L60" s="697" t="str">
        <f>IFERROR(__xludf.DUMMYFUNCTION("""COMPUTED_VALUE"""),"Yes")</f>
        <v>Yes</v>
      </c>
      <c r="M60" s="697" t="str">
        <f>IFERROR(__xludf.DUMMYFUNCTION("""COMPUTED_VALUE"""),"Yes")</f>
        <v>Yes</v>
      </c>
      <c r="N60" s="697" t="str">
        <f>IFERROR(__xludf.DUMMYFUNCTION("""COMPUTED_VALUE"""),"6 weeks")</f>
        <v>6 weeks</v>
      </c>
      <c r="O60" s="872">
        <f>IFERROR(__xludf.DUMMYFUNCTION("""COMPUTED_VALUE"""),0.86)</f>
        <v>0.86</v>
      </c>
      <c r="P60" s="700">
        <f>IFERROR(__xludf.DUMMYFUNCTION("""COMPUTED_VALUE"""),0.98)</f>
        <v>0.98</v>
      </c>
      <c r="Q60" s="697" t="str">
        <f>IFERROR(__xludf.DUMMYFUNCTION("""COMPUTED_VALUE"""),"It is concluded that: (i) repeated population chemotherapy combined with sanitation is necessary to achieve lasting impact on infection rates; (ii) retreatment intervals should be adapted to age group and, possibly, local endemicity level; (iii) the morbi"&amp;"dity impact of population chemotherapy in these conditions was greater on intestinal than on hepatosplenic disease; (iv) lower, cheaper treatment schedules may in the long term be as effective as those with high cure rates.")</f>
        <v>It is concluded that: (i) repeated population chemotherapy combined with sanitation is necessary to achieve lasting impact on infection rates; (ii) retreatment intervals should be adapted to age group and, possibly, local endemicity level; (iii) the morbidity impact of population chemotherapy in these conditions was greater on intestinal than on hepatosplenic disease; (iv) lower, cheaper treatment schedules may in the long term be as effective as those with high cure rates.</v>
      </c>
      <c r="R60" s="697" t="str">
        <f>IFERROR(__xludf.DUMMYFUNCTION("""COMPUTED_VALUE"""),"exact age ranges not given ")</f>
        <v>exact age ranges not given </v>
      </c>
      <c r="S60" s="699" t="str">
        <f>IFERROR(__xludf.DUMMYFUNCTION("""COMPUTED_VALUE"""),"Gryseels B, Nkulikyinka L. Two-year follow-up of Schistosoma mansoni infection and morbidity after treatment with different regimens of oxamniquine and praziquantel. Transactions of the Royal Society of Tropical Medicine and Hygiene 1989;83(2):219–28.")</f>
        <v>Gryseels B, Nkulikyinka L. Two-year follow-up of Schistosoma mansoni infection and morbidity after treatment with different regimens of oxamniquine and praziquantel. Transactions of the Royal Society of Tropical Medicine and Hygiene 1989;83(2):219–28.</v>
      </c>
      <c r="T60" s="697"/>
      <c r="U60" s="697" t="str">
        <f>IFERROR(__xludf.DUMMYFUNCTION("""COMPUTED_VALUE"""),"")</f>
        <v/>
      </c>
      <c r="V60" s="697">
        <f>IFERROR(__xludf.DUMMYFUNCTION("""COMPUTED_VALUE"""),60.0)</f>
        <v>60</v>
      </c>
    </row>
    <row r="61">
      <c r="A61" s="697" t="str">
        <f>IFERROR(__xludf.DUMMYFUNCTION("""COMPUTED_VALUE"""),"Gryseels B, 1989")</f>
        <v>Gryseels B, 1989</v>
      </c>
      <c r="B61" s="697" t="str">
        <f>IFERROR(__xludf.DUMMYFUNCTION("""COMPUTED_VALUE"""),"s. mansoni")</f>
        <v>s. mansoni</v>
      </c>
      <c r="C61" s="697" t="str">
        <f>IFERROR(__xludf.DUMMYFUNCTION("""COMPUTED_VALUE"""),"Burundi")</f>
        <v>Burundi</v>
      </c>
      <c r="D61" s="697" t="str">
        <f>IFERROR(__xludf.DUMMYFUNCTION("""COMPUTED_VALUE"""),"Oxamniquine")</f>
        <v>Oxamniquine</v>
      </c>
      <c r="E61" s="697" t="str">
        <f>IFERROR(__xludf.DUMMYFUNCTION("""COMPUTED_VALUE"""),"Single")</f>
        <v>Single</v>
      </c>
      <c r="F61" s="697" t="str">
        <f>IFERROR(__xludf.DUMMYFUNCTION("""COMPUTED_VALUE"""),"30 mg/kg ")</f>
        <v>30 mg/kg </v>
      </c>
      <c r="G61" s="697">
        <f>IFERROR(__xludf.DUMMYFUNCTION("""COMPUTED_VALUE"""),63.0)</f>
        <v>63</v>
      </c>
      <c r="H61" s="697" t="str">
        <f>IFERROR(__xludf.DUMMYFUNCTION("""COMPUTED_VALUE"""),"children (&lt;20) &amp; adults (&gt;20) ")</f>
        <v>children (&lt;20) &amp; adults (&gt;20) </v>
      </c>
      <c r="I61" s="705" t="str">
        <f>IFERROR(__xludf.DUMMYFUNCTION("""COMPUTED_VALUE"""),"data not available ")</f>
        <v>data not available </v>
      </c>
      <c r="J61" s="697">
        <f>IFERROR(__xludf.DUMMYFUNCTION("""COMPUTED_VALUE"""),1986.0)</f>
        <v>1986</v>
      </c>
      <c r="K61" s="697" t="str">
        <f>IFERROR(__xludf.DUMMYFUNCTION("""COMPUTED_VALUE"""),"63 children and 267 adults (Children only were included in the efficacy analysis)")</f>
        <v>63 children and 267 adults (Children only were included in the efficacy analysis)</v>
      </c>
      <c r="L61" s="697" t="str">
        <f>IFERROR(__xludf.DUMMYFUNCTION("""COMPUTED_VALUE"""),"Yes")</f>
        <v>Yes</v>
      </c>
      <c r="M61" s="697" t="str">
        <f>IFERROR(__xludf.DUMMYFUNCTION("""COMPUTED_VALUE"""),"Yes")</f>
        <v>Yes</v>
      </c>
      <c r="N61" s="697" t="str">
        <f>IFERROR(__xludf.DUMMYFUNCTION("""COMPUTED_VALUE"""),"6 weeks")</f>
        <v>6 weeks</v>
      </c>
      <c r="O61" s="872">
        <f>IFERROR(__xludf.DUMMYFUNCTION("""COMPUTED_VALUE"""),0.67)</f>
        <v>0.67</v>
      </c>
      <c r="P61" s="700">
        <f>IFERROR(__xludf.DUMMYFUNCTION("""COMPUTED_VALUE"""),0.98)</f>
        <v>0.98</v>
      </c>
      <c r="Q61" s="697" t="str">
        <f>IFERROR(__xludf.DUMMYFUNCTION("""COMPUTED_VALUE"""),"It is concluded that: (i) repeated population chemotherapy combined with sanitation is necessary to achieve lasting impact on infection rates; (ii) retreatment intervals should be adapted to age group and, possibly, local endemicity level; (iii) the morbi"&amp;"dity impact of population chemotherapy in these conditions was greater on intestinal than on hepatosplenic disease; (iv) lower, cheaper treatment schedules may in the long term be as effective as those with high cure rates.")</f>
        <v>It is concluded that: (i) repeated population chemotherapy combined with sanitation is necessary to achieve lasting impact on infection rates; (ii) retreatment intervals should be adapted to age group and, possibly, local endemicity level; (iii) the morbidity impact of population chemotherapy in these conditions was greater on intestinal than on hepatosplenic disease; (iv) lower, cheaper treatment schedules may in the long term be as effective as those with high cure rates.</v>
      </c>
      <c r="R61" s="697" t="str">
        <f>IFERROR(__xludf.DUMMYFUNCTION("""COMPUTED_VALUE"""),"exact age ranges not given ")</f>
        <v>exact age ranges not given </v>
      </c>
      <c r="S61" s="699" t="str">
        <f>IFERROR(__xludf.DUMMYFUNCTION("""COMPUTED_VALUE"""),"Gryseels B, Nkulikyinka L. Two-year follow-up of Schistosoma mansoni infection and morbidity after treatment with different regimens of oxamniquine and praziquantel. Transactions of the Royal Society of Tropical Medicine and Hygiene 1989;83(2):219–28.")</f>
        <v>Gryseels B, Nkulikyinka L. Two-year follow-up of Schistosoma mansoni infection and morbidity after treatment with different regimens of oxamniquine and praziquantel. Transactions of the Royal Society of Tropical Medicine and Hygiene 1989;83(2):219–28.</v>
      </c>
      <c r="T61" s="697"/>
      <c r="U61" s="697" t="str">
        <f>IFERROR(__xludf.DUMMYFUNCTION("""COMPUTED_VALUE"""),"")</f>
        <v/>
      </c>
      <c r="V61" s="697">
        <f>IFERROR(__xludf.DUMMYFUNCTION("""COMPUTED_VALUE"""),61.0)</f>
        <v>61</v>
      </c>
    </row>
    <row r="62">
      <c r="A62" s="697" t="str">
        <f>IFERROR(__xludf.DUMMYFUNCTION("""COMPUTED_VALUE"""),"Gryseels B, 1989")</f>
        <v>Gryseels B, 1989</v>
      </c>
      <c r="B62" s="697" t="str">
        <f>IFERROR(__xludf.DUMMYFUNCTION("""COMPUTED_VALUE"""),"s. mansoni")</f>
        <v>s. mansoni</v>
      </c>
      <c r="C62" s="697" t="str">
        <f>IFERROR(__xludf.DUMMYFUNCTION("""COMPUTED_VALUE"""),"Burundi")</f>
        <v>Burundi</v>
      </c>
      <c r="D62" s="697" t="str">
        <f>IFERROR(__xludf.DUMMYFUNCTION("""COMPUTED_VALUE"""),"Oxamniquine")</f>
        <v>Oxamniquine</v>
      </c>
      <c r="E62" s="697" t="str">
        <f>IFERROR(__xludf.DUMMYFUNCTION("""COMPUTED_VALUE"""),"Single")</f>
        <v>Single</v>
      </c>
      <c r="F62" s="697" t="str">
        <f>IFERROR(__xludf.DUMMYFUNCTION("""COMPUTED_VALUE"""),"20 mg/kg ")</f>
        <v>20 mg/kg </v>
      </c>
      <c r="G62" s="697">
        <f>IFERROR(__xludf.DUMMYFUNCTION("""COMPUTED_VALUE"""),63.0)</f>
        <v>63</v>
      </c>
      <c r="H62" s="697" t="str">
        <f>IFERROR(__xludf.DUMMYFUNCTION("""COMPUTED_VALUE"""),"children (&lt;20) &amp; adults (&gt;20) ")</f>
        <v>children (&lt;20) &amp; adults (&gt;20) </v>
      </c>
      <c r="I62" s="705" t="str">
        <f>IFERROR(__xludf.DUMMYFUNCTION("""COMPUTED_VALUE"""),"data not available ")</f>
        <v>data not available </v>
      </c>
      <c r="J62" s="697">
        <f>IFERROR(__xludf.DUMMYFUNCTION("""COMPUTED_VALUE"""),1986.0)</f>
        <v>1986</v>
      </c>
      <c r="K62" s="697" t="str">
        <f>IFERROR(__xludf.DUMMYFUNCTION("""COMPUTED_VALUE"""),"63 children and 267 adults (Children only were included in the efficacy analysis)")</f>
        <v>63 children and 267 adults (Children only were included in the efficacy analysis)</v>
      </c>
      <c r="L62" s="697" t="str">
        <f>IFERROR(__xludf.DUMMYFUNCTION("""COMPUTED_VALUE"""),"Yes")</f>
        <v>Yes</v>
      </c>
      <c r="M62" s="697" t="str">
        <f>IFERROR(__xludf.DUMMYFUNCTION("""COMPUTED_VALUE"""),"Yes")</f>
        <v>Yes</v>
      </c>
      <c r="N62" s="697" t="str">
        <f>IFERROR(__xludf.DUMMYFUNCTION("""COMPUTED_VALUE"""),"6 weeks")</f>
        <v>6 weeks</v>
      </c>
      <c r="O62" s="872">
        <f>IFERROR(__xludf.DUMMYFUNCTION("""COMPUTED_VALUE"""),0.47)</f>
        <v>0.47</v>
      </c>
      <c r="P62" s="700">
        <f>IFERROR(__xludf.DUMMYFUNCTION("""COMPUTED_VALUE"""),0.98)</f>
        <v>0.98</v>
      </c>
      <c r="Q62" s="697" t="str">
        <f>IFERROR(__xludf.DUMMYFUNCTION("""COMPUTED_VALUE"""),"It is concluded that: (i) repeated population chemotherapy combined with sanitation is necessary to achieve lasting impact on infection rates; (ii) retreatment intervals should be adapted to age group and, possibly, local endemicity level; (iii) the morbi"&amp;"dity impact of population chemotherapy in these conditions was greater on intestinal than on hepatosplenic disease; (iv) lower, cheaper treatment schedules may in the long term be as effective as those with high cure rates.")</f>
        <v>It is concluded that: (i) repeated population chemotherapy combined with sanitation is necessary to achieve lasting impact on infection rates; (ii) retreatment intervals should be adapted to age group and, possibly, local endemicity level; (iii) the morbidity impact of population chemotherapy in these conditions was greater on intestinal than on hepatosplenic disease; (iv) lower, cheaper treatment schedules may in the long term be as effective as those with high cure rates.</v>
      </c>
      <c r="R62" s="697" t="str">
        <f>IFERROR(__xludf.DUMMYFUNCTION("""COMPUTED_VALUE"""),"exact age ranges not given ")</f>
        <v>exact age ranges not given </v>
      </c>
      <c r="S62" s="699" t="str">
        <f>IFERROR(__xludf.DUMMYFUNCTION("""COMPUTED_VALUE"""),"Gryseels B, Nkulikyinka L. Two-year follow-up of Schistosoma mansoni infection and morbidity after treatment with different regimens of oxamniquine and praziquantel. Transactions of the Royal Society of Tropical Medicine and Hygiene 1989;83(2):219–28.")</f>
        <v>Gryseels B, Nkulikyinka L. Two-year follow-up of Schistosoma mansoni infection and morbidity after treatment with different regimens of oxamniquine and praziquantel. Transactions of the Royal Society of Tropical Medicine and Hygiene 1989;83(2):219–28.</v>
      </c>
      <c r="T62" s="697"/>
      <c r="U62" s="697" t="str">
        <f>IFERROR(__xludf.DUMMYFUNCTION("""COMPUTED_VALUE"""),"")</f>
        <v/>
      </c>
      <c r="V62" s="697">
        <f>IFERROR(__xludf.DUMMYFUNCTION("""COMPUTED_VALUE"""),62.0)</f>
        <v>62</v>
      </c>
    </row>
    <row r="63">
      <c r="A63" s="697" t="str">
        <f>IFERROR(__xludf.DUMMYFUNCTION("""COMPUTED_VALUE"""),"Gryseels B, 1989")</f>
        <v>Gryseels B, 1989</v>
      </c>
      <c r="B63" s="697" t="str">
        <f>IFERROR(__xludf.DUMMYFUNCTION("""COMPUTED_VALUE"""),"s. mansoni")</f>
        <v>s. mansoni</v>
      </c>
      <c r="C63" s="697" t="str">
        <f>IFERROR(__xludf.DUMMYFUNCTION("""COMPUTED_VALUE"""),"Burundi")</f>
        <v>Burundi</v>
      </c>
      <c r="D63" s="697" t="str">
        <f>IFERROR(__xludf.DUMMYFUNCTION("""COMPUTED_VALUE"""),"Praziquantel")</f>
        <v>Praziquantel</v>
      </c>
      <c r="E63" s="697" t="str">
        <f>IFERROR(__xludf.DUMMYFUNCTION("""COMPUTED_VALUE"""),"Single")</f>
        <v>Single</v>
      </c>
      <c r="F63" s="697" t="str">
        <f>IFERROR(__xludf.DUMMYFUNCTION("""COMPUTED_VALUE"""),"Yes")</f>
        <v>Yes</v>
      </c>
      <c r="G63" s="697">
        <f>IFERROR(__xludf.DUMMYFUNCTION("""COMPUTED_VALUE"""),299.0)</f>
        <v>299</v>
      </c>
      <c r="H63" s="697" t="str">
        <f>IFERROR(__xludf.DUMMYFUNCTION("""COMPUTED_VALUE"""),"children (&lt;20) &amp; adults (&gt;20) ")</f>
        <v>children (&lt;20) &amp; adults (&gt;20) </v>
      </c>
      <c r="I63" s="705" t="str">
        <f>IFERROR(__xludf.DUMMYFUNCTION("""COMPUTED_VALUE"""),"data not available ")</f>
        <v>data not available </v>
      </c>
      <c r="J63" s="697">
        <f>IFERROR(__xludf.DUMMYFUNCTION("""COMPUTED_VALUE"""),1986.0)</f>
        <v>1986</v>
      </c>
      <c r="K63" s="697" t="str">
        <f>IFERROR(__xludf.DUMMYFUNCTION("""COMPUTED_VALUE"""),"299 children and 153 adults (Children only were included in the efficacy analysis)")</f>
        <v>299 children and 153 adults (Children only were included in the efficacy analysis)</v>
      </c>
      <c r="L63" s="697"/>
      <c r="M63" s="697" t="str">
        <f>IFERROR(__xludf.DUMMYFUNCTION("""COMPUTED_VALUE"""),"Yes")</f>
        <v>Yes</v>
      </c>
      <c r="N63" s="697" t="str">
        <f>IFERROR(__xludf.DUMMYFUNCTION("""COMPUTED_VALUE"""),"6 weeks")</f>
        <v>6 weeks</v>
      </c>
      <c r="O63" s="872">
        <f>IFERROR(__xludf.DUMMYFUNCTION("""COMPUTED_VALUE"""),0.78)</f>
        <v>0.78</v>
      </c>
      <c r="P63" s="700">
        <f>IFERROR(__xludf.DUMMYFUNCTION("""COMPUTED_VALUE"""),0.98)</f>
        <v>0.98</v>
      </c>
      <c r="Q63" s="697" t="str">
        <f>IFERROR(__xludf.DUMMYFUNCTION("""COMPUTED_VALUE"""),"It is concluded that: (i) repeated population chemotherapy combined with sanitation is necessary to achieve lasting impact on infection rates; (ii) retreatment intervals should be adapted to age group and, possibly, local endemicity level; (iii) the morbi"&amp;"dity impact of population chemotherapy in these conditions was greater on intestinal than on hepatosplenic disease; (iv) lower, cheaper treatment schedules may in the long term be as effective as those with high cure rates.")</f>
        <v>It is concluded that: (i) repeated population chemotherapy combined with sanitation is necessary to achieve lasting impact on infection rates; (ii) retreatment intervals should be adapted to age group and, possibly, local endemicity level; (iii) the morbidity impact of population chemotherapy in these conditions was greater on intestinal than on hepatosplenic disease; (iv) lower, cheaper treatment schedules may in the long term be as effective as those with high cure rates.</v>
      </c>
      <c r="R63" s="697" t="str">
        <f>IFERROR(__xludf.DUMMYFUNCTION("""COMPUTED_VALUE"""),"exact age ranges not given ")</f>
        <v>exact age ranges not given </v>
      </c>
      <c r="S63" s="699" t="str">
        <f>IFERROR(__xludf.DUMMYFUNCTION("""COMPUTED_VALUE"""),"Gryseels B, Nkulikyinka L. Two-year follow-up of Schistosoma mansoni infection and morbidity after treatment with different regimens of oxamniquine and praziquantel. Transactions of the Royal Society of Tropical Medicine and Hygiene 1989;83(2):219–28.")</f>
        <v>Gryseels B, Nkulikyinka L. Two-year follow-up of Schistosoma mansoni infection and morbidity after treatment with different regimens of oxamniquine and praziquantel. Transactions of the Royal Society of Tropical Medicine and Hygiene 1989;83(2):219–28.</v>
      </c>
      <c r="T63" s="697"/>
      <c r="U63" s="697" t="str">
        <f>IFERROR(__xludf.DUMMYFUNCTION("""COMPUTED_VALUE"""),"")</f>
        <v/>
      </c>
      <c r="V63" s="697">
        <f>IFERROR(__xludf.DUMMYFUNCTION("""COMPUTED_VALUE"""),63.0)</f>
        <v>63</v>
      </c>
    </row>
    <row r="64">
      <c r="A64" s="697" t="str">
        <f>IFERROR(__xludf.DUMMYFUNCTION("""COMPUTED_VALUE"""),"Gryseels B, 1989")</f>
        <v>Gryseels B, 1989</v>
      </c>
      <c r="B64" s="697" t="str">
        <f>IFERROR(__xludf.DUMMYFUNCTION("""COMPUTED_VALUE"""),"s. mansoni")</f>
        <v>s. mansoni</v>
      </c>
      <c r="C64" s="697" t="str">
        <f>IFERROR(__xludf.DUMMYFUNCTION("""COMPUTED_VALUE"""),"Burundi")</f>
        <v>Burundi</v>
      </c>
      <c r="D64" s="697" t="str">
        <f>IFERROR(__xludf.DUMMYFUNCTION("""COMPUTED_VALUE"""),"Praziquantel")</f>
        <v>Praziquantel</v>
      </c>
      <c r="E64" s="697" t="str">
        <f>IFERROR(__xludf.DUMMYFUNCTION("""COMPUTED_VALUE"""),"Single")</f>
        <v>Single</v>
      </c>
      <c r="F64" s="697" t="str">
        <f>IFERROR(__xludf.DUMMYFUNCTION("""COMPUTED_VALUE"""),"30 mg/kg ")</f>
        <v>30 mg/kg </v>
      </c>
      <c r="G64" s="697">
        <f>IFERROR(__xludf.DUMMYFUNCTION("""COMPUTED_VALUE"""),299.0)</f>
        <v>299</v>
      </c>
      <c r="H64" s="697" t="str">
        <f>IFERROR(__xludf.DUMMYFUNCTION("""COMPUTED_VALUE"""),"children (&lt;20) &amp; adults (&gt;20) ")</f>
        <v>children (&lt;20) &amp; adults (&gt;20) </v>
      </c>
      <c r="I64" s="705" t="str">
        <f>IFERROR(__xludf.DUMMYFUNCTION("""COMPUTED_VALUE"""),"data not available ")</f>
        <v>data not available </v>
      </c>
      <c r="J64" s="697">
        <f>IFERROR(__xludf.DUMMYFUNCTION("""COMPUTED_VALUE"""),1986.0)</f>
        <v>1986</v>
      </c>
      <c r="K64" s="697" t="str">
        <f>IFERROR(__xludf.DUMMYFUNCTION("""COMPUTED_VALUE"""),"299 children and 153 adults (Children only were included in the efficacy analysis)")</f>
        <v>299 children and 153 adults (Children only were included in the efficacy analysis)</v>
      </c>
      <c r="L64" s="697" t="str">
        <f>IFERROR(__xludf.DUMMYFUNCTION("""COMPUTED_VALUE"""),"Yes")</f>
        <v>Yes</v>
      </c>
      <c r="M64" s="697" t="str">
        <f>IFERROR(__xludf.DUMMYFUNCTION("""COMPUTED_VALUE"""),"Yes")</f>
        <v>Yes</v>
      </c>
      <c r="N64" s="697" t="str">
        <f>IFERROR(__xludf.DUMMYFUNCTION("""COMPUTED_VALUE"""),"6 weeks")</f>
        <v>6 weeks</v>
      </c>
      <c r="O64" s="872">
        <f>IFERROR(__xludf.DUMMYFUNCTION("""COMPUTED_VALUE"""),0.63)</f>
        <v>0.63</v>
      </c>
      <c r="P64" s="700">
        <f>IFERROR(__xludf.DUMMYFUNCTION("""COMPUTED_VALUE"""),0.96)</f>
        <v>0.96</v>
      </c>
      <c r="Q64" s="697" t="str">
        <f>IFERROR(__xludf.DUMMYFUNCTION("""COMPUTED_VALUE"""),"It is concluded that: (i) repeated population chemotherapy combined with sanitation is necessary to achieve lasting impact on infection rates; (ii) retreatment intervals should be adapted to age group and, possibly, local endemicity level; (iii) the morbi"&amp;"dity impact of population chemotherapy in these conditions was greater on intestinal than on hepatosplenic disease; (iv) lower, cheaper treatment schedules may in the long term be as effective as those with high cure rates.")</f>
        <v>It is concluded that: (i) repeated population chemotherapy combined with sanitation is necessary to achieve lasting impact on infection rates; (ii) retreatment intervals should be adapted to age group and, possibly, local endemicity level; (iii) the morbidity impact of population chemotherapy in these conditions was greater on intestinal than on hepatosplenic disease; (iv) lower, cheaper treatment schedules may in the long term be as effective as those with high cure rates.</v>
      </c>
      <c r="R64" s="697" t="str">
        <f>IFERROR(__xludf.DUMMYFUNCTION("""COMPUTED_VALUE"""),"exact age ranges not given ")</f>
        <v>exact age ranges not given </v>
      </c>
      <c r="S64" s="699" t="str">
        <f>IFERROR(__xludf.DUMMYFUNCTION("""COMPUTED_VALUE"""),"Gryseels B, Nkulikyinka L. Two-year follow-up of Schistosoma mansoni infection and morbidity after treatment with different regimens of oxamniquine and praziquantel. Transactions of the Royal Society of Tropical Medicine and Hygiene 1989;83(2):219–28.")</f>
        <v>Gryseels B, Nkulikyinka L. Two-year follow-up of Schistosoma mansoni infection and morbidity after treatment with different regimens of oxamniquine and praziquantel. Transactions of the Royal Society of Tropical Medicine and Hygiene 1989;83(2):219–28.</v>
      </c>
      <c r="T64" s="697"/>
      <c r="U64" s="697" t="str">
        <f>IFERROR(__xludf.DUMMYFUNCTION("""COMPUTED_VALUE"""),"")</f>
        <v/>
      </c>
      <c r="V64" s="697">
        <f>IFERROR(__xludf.DUMMYFUNCTION("""COMPUTED_VALUE"""),64.0)</f>
        <v>64</v>
      </c>
    </row>
    <row r="65">
      <c r="A65" s="697" t="str">
        <f>IFERROR(__xludf.DUMMYFUNCTION("""COMPUTED_VALUE"""),"Gryseels B, 1989")</f>
        <v>Gryseels B, 1989</v>
      </c>
      <c r="B65" s="697" t="str">
        <f>IFERROR(__xludf.DUMMYFUNCTION("""COMPUTED_VALUE"""),"s. mansoni")</f>
        <v>s. mansoni</v>
      </c>
      <c r="C65" s="697" t="str">
        <f>IFERROR(__xludf.DUMMYFUNCTION("""COMPUTED_VALUE"""),"Burundi")</f>
        <v>Burundi</v>
      </c>
      <c r="D65" s="697" t="str">
        <f>IFERROR(__xludf.DUMMYFUNCTION("""COMPUTED_VALUE"""),"Praziquantel")</f>
        <v>Praziquantel</v>
      </c>
      <c r="E65" s="697" t="str">
        <f>IFERROR(__xludf.DUMMYFUNCTION("""COMPUTED_VALUE"""),"Single")</f>
        <v>Single</v>
      </c>
      <c r="F65" s="697" t="str">
        <f>IFERROR(__xludf.DUMMYFUNCTION("""COMPUTED_VALUE"""),"20 mg/kg ")</f>
        <v>20 mg/kg </v>
      </c>
      <c r="G65" s="697">
        <f>IFERROR(__xludf.DUMMYFUNCTION("""COMPUTED_VALUE"""),299.0)</f>
        <v>299</v>
      </c>
      <c r="H65" s="697" t="str">
        <f>IFERROR(__xludf.DUMMYFUNCTION("""COMPUTED_VALUE"""),"children (&lt;20) &amp; adults (&gt;20) ")</f>
        <v>children (&lt;20) &amp; adults (&gt;20) </v>
      </c>
      <c r="I65" s="705" t="str">
        <f>IFERROR(__xludf.DUMMYFUNCTION("""COMPUTED_VALUE"""),"data not available ")</f>
        <v>data not available </v>
      </c>
      <c r="J65" s="697">
        <f>IFERROR(__xludf.DUMMYFUNCTION("""COMPUTED_VALUE"""),1986.0)</f>
        <v>1986</v>
      </c>
      <c r="K65" s="697" t="str">
        <f>IFERROR(__xludf.DUMMYFUNCTION("""COMPUTED_VALUE"""),"299 children and 153 adults (Children only were included in the efficacy analysis)")</f>
        <v>299 children and 153 adults (Children only were included in the efficacy analysis)</v>
      </c>
      <c r="L65" s="697" t="str">
        <f>IFERROR(__xludf.DUMMYFUNCTION("""COMPUTED_VALUE"""),"Yes")</f>
        <v>Yes</v>
      </c>
      <c r="M65" s="697" t="str">
        <f>IFERROR(__xludf.DUMMYFUNCTION("""COMPUTED_VALUE"""),"Yes")</f>
        <v>Yes</v>
      </c>
      <c r="N65" s="697" t="str">
        <f>IFERROR(__xludf.DUMMYFUNCTION("""COMPUTED_VALUE"""),"6 weeks")</f>
        <v>6 weeks</v>
      </c>
      <c r="O65" s="872">
        <f>IFERROR(__xludf.DUMMYFUNCTION("""COMPUTED_VALUE"""),0.58)</f>
        <v>0.58</v>
      </c>
      <c r="P65" s="700">
        <f>IFERROR(__xludf.DUMMYFUNCTION("""COMPUTED_VALUE"""),0.92)</f>
        <v>0.92</v>
      </c>
      <c r="Q65" s="697" t="str">
        <f>IFERROR(__xludf.DUMMYFUNCTION("""COMPUTED_VALUE"""),"It is concluded that: (i) repeated population chemotherapy combined with sanitation is necessary to achieve lasting impact on infection rates; (ii) retreatment intervals should be adapted to age group and, possibly, local endemicity level; (iii) the morbi"&amp;"dity impact of population chemotherapy in these conditions was greater on intestinal than on hepatosplenic disease; (iv) lower, cheaper treatment schedules may in the long term be as effective as those with high cure rates.")</f>
        <v>It is concluded that: (i) repeated population chemotherapy combined with sanitation is necessary to achieve lasting impact on infection rates; (ii) retreatment intervals should be adapted to age group and, possibly, local endemicity level; (iii) the morbidity impact of population chemotherapy in these conditions was greater on intestinal than on hepatosplenic disease; (iv) lower, cheaper treatment schedules may in the long term be as effective as those with high cure rates.</v>
      </c>
      <c r="R65" s="697" t="str">
        <f>IFERROR(__xludf.DUMMYFUNCTION("""COMPUTED_VALUE"""),"exact age ranges not given ")</f>
        <v>exact age ranges not given </v>
      </c>
      <c r="S65" s="699" t="str">
        <f>IFERROR(__xludf.DUMMYFUNCTION("""COMPUTED_VALUE"""),"Gryseels B, Nkulikyinka L. Two-year follow-up of Schistosoma mansoni infection and morbidity after treatment with different regimens of oxamniquine and praziquantel. Transactions of the Royal Society of Tropical Medicine and Hygiene 1989;83(2):219–28.")</f>
        <v>Gryseels B, Nkulikyinka L. Two-year follow-up of Schistosoma mansoni infection and morbidity after treatment with different regimens of oxamniquine and praziquantel. Transactions of the Royal Society of Tropical Medicine and Hygiene 1989;83(2):219–28.</v>
      </c>
      <c r="T65" s="697"/>
      <c r="U65" s="697" t="str">
        <f>IFERROR(__xludf.DUMMYFUNCTION("""COMPUTED_VALUE"""),"")</f>
        <v/>
      </c>
      <c r="V65" s="697">
        <f>IFERROR(__xludf.DUMMYFUNCTION("""COMPUTED_VALUE"""),65.0)</f>
        <v>65</v>
      </c>
    </row>
    <row r="66">
      <c r="A66" s="697" t="str">
        <f>IFERROR(__xludf.DUMMYFUNCTION("""COMPUTED_VALUE"""),"Guisse F, 1997")</f>
        <v>Guisse F, 1997</v>
      </c>
      <c r="B66" s="697" t="str">
        <f>IFERROR(__xludf.DUMMYFUNCTION("""COMPUTED_VALUE"""),"s. mansoni")</f>
        <v>s. mansoni</v>
      </c>
      <c r="C66" s="697" t="str">
        <f>IFERROR(__xludf.DUMMYFUNCTION("""COMPUTED_VALUE"""),"Senegal")</f>
        <v>Senegal</v>
      </c>
      <c r="D66" s="697" t="str">
        <f>IFERROR(__xludf.DUMMYFUNCTION("""COMPUTED_VALUE"""),"Praziquantel")</f>
        <v>Praziquantel</v>
      </c>
      <c r="E66" s="697" t="str">
        <f>IFERROR(__xludf.DUMMYFUNCTION("""COMPUTED_VALUE"""),"Single")</f>
        <v>Single</v>
      </c>
      <c r="F66" s="697" t="str">
        <f>IFERROR(__xludf.DUMMYFUNCTION("""COMPUTED_VALUE"""),"40 mg/kg")</f>
        <v>40 mg/kg</v>
      </c>
      <c r="G66" s="697">
        <f>IFERROR(__xludf.DUMMYFUNCTION("""COMPUTED_VALUE"""),67.0)</f>
        <v>67</v>
      </c>
      <c r="H66" s="697" t="str">
        <f>IFERROR(__xludf.DUMMYFUNCTION("""COMPUTED_VALUE"""),"5 - 15")</f>
        <v>5 - 15</v>
      </c>
      <c r="I66" s="705" t="str">
        <f>IFERROR(__xludf.DUMMYFUNCTION("""COMPUTED_VALUE"""),"37:30")</f>
        <v>37:30</v>
      </c>
      <c r="J66" s="697">
        <f>IFERROR(__xludf.DUMMYFUNCTION("""COMPUTED_VALUE"""),1997.0)</f>
        <v>1997</v>
      </c>
      <c r="K66" s="697" t="str">
        <f>IFERROR(__xludf.DUMMYFUNCTION("""COMPUTED_VALUE"""),"children infected with S. mansoni")</f>
        <v>children infected with S. mansoni</v>
      </c>
      <c r="L66" s="697" t="str">
        <f>IFERROR(__xludf.DUMMYFUNCTION("""COMPUTED_VALUE"""),"Yes")</f>
        <v>Yes</v>
      </c>
      <c r="M66" s="697" t="str">
        <f>IFERROR(__xludf.DUMMYFUNCTION("""COMPUTED_VALUE"""),"Yes")</f>
        <v>Yes</v>
      </c>
      <c r="N66" s="697" t="str">
        <f>IFERROR(__xludf.DUMMYFUNCTION("""COMPUTED_VALUE"""),"Antigen detection confirmed the parasitologic results 6 weeks after treatment")</f>
        <v>Antigen detection confirmed the parasitologic results 6 weeks after treatment</v>
      </c>
      <c r="O66" s="872">
        <f>IFERROR(__xludf.DUMMYFUNCTION("""COMPUTED_VALUE"""),0.36)</f>
        <v>0.36</v>
      </c>
      <c r="P66" s="700">
        <f>IFERROR(__xludf.DUMMYFUNCTION("""COMPUTED_VALUE"""),0.99)</f>
        <v>0.99</v>
      </c>
      <c r="Q66" s="697" t="str">
        <f>IFERROR(__xludf.DUMMYFUNCTION("""COMPUTED_VALUE"""),"Side effects are more comparable with those of 30 kg/mg and not those of 60 mg/kg. No serious or long complications are observed. ")</f>
        <v>Side effects are more comparable with those of 30 kg/mg and not those of 60 mg/kg. No serious or long complications are observed. </v>
      </c>
      <c r="R66" s="697"/>
      <c r="S66" s="699" t="str">
        <f>IFERROR(__xludf.DUMMYFUNCTION("""COMPUTED_VALUE"""),"Guisse F, Polman K, Stelma FF, Mbaye A, Talla I, Niang M, et al.Therapeutic evaluation of two different dose regimens of praziquantel in a recent Schistosoma mansoni focus in Northern Senegal. American Journal of Tropical Medicine and Hygiene 1997;56(5):5"&amp;"11–4.")</f>
        <v>Guisse F, Polman K, Stelma FF, Mbaye A, Talla I, Niang M, et al.Therapeutic evaluation of two different dose regimens of praziquantel in a recent Schistosoma mansoni focus in Northern Senegal. American Journal of Tropical Medicine and Hygiene 1997;56(5):511–4.</v>
      </c>
      <c r="T66" s="697"/>
      <c r="U66" s="697" t="str">
        <f>IFERROR(__xludf.DUMMYFUNCTION("""COMPUTED_VALUE"""),"")</f>
        <v/>
      </c>
      <c r="V66" s="697">
        <f>IFERROR(__xludf.DUMMYFUNCTION("""COMPUTED_VALUE"""),66.0)</f>
        <v>66</v>
      </c>
    </row>
    <row r="67">
      <c r="A67" s="697" t="str">
        <f>IFERROR(__xludf.DUMMYFUNCTION("""COMPUTED_VALUE"""),"Guisse F, 1997")</f>
        <v>Guisse F, 1997</v>
      </c>
      <c r="B67" s="697" t="str">
        <f>IFERROR(__xludf.DUMMYFUNCTION("""COMPUTED_VALUE"""),"s. mansoni")</f>
        <v>s. mansoni</v>
      </c>
      <c r="C67" s="697" t="str">
        <f>IFERROR(__xludf.DUMMYFUNCTION("""COMPUTED_VALUE"""),"Senegal")</f>
        <v>Senegal</v>
      </c>
      <c r="D67" s="697" t="str">
        <f>IFERROR(__xludf.DUMMYFUNCTION("""COMPUTED_VALUE"""),"Praziquantel")</f>
        <v>Praziquantel</v>
      </c>
      <c r="E67" s="697" t="str">
        <f>IFERROR(__xludf.DUMMYFUNCTION("""COMPUTED_VALUE"""),"Two")</f>
        <v>Two</v>
      </c>
      <c r="F67" s="697" t="str">
        <f>IFERROR(__xludf.DUMMYFUNCTION("""COMPUTED_VALUE"""),"30 mg/kg")</f>
        <v>30 mg/kg</v>
      </c>
      <c r="G67" s="697">
        <f>IFERROR(__xludf.DUMMYFUNCTION("""COMPUTED_VALUE"""),63.0)</f>
        <v>63</v>
      </c>
      <c r="H67" s="697" t="str">
        <f>IFERROR(__xludf.DUMMYFUNCTION("""COMPUTED_VALUE"""),"5 - 15 ")</f>
        <v>5 - 15 </v>
      </c>
      <c r="I67" s="705" t="str">
        <f>IFERROR(__xludf.DUMMYFUNCTION("""COMPUTED_VALUE"""),"30:33")</f>
        <v>30:33</v>
      </c>
      <c r="J67" s="697">
        <f>IFERROR(__xludf.DUMMYFUNCTION("""COMPUTED_VALUE"""),1997.0)</f>
        <v>1997</v>
      </c>
      <c r="K67" s="697" t="str">
        <f>IFERROR(__xludf.DUMMYFUNCTION("""COMPUTED_VALUE"""),"children infected with S. mansoni")</f>
        <v>children infected with S. mansoni</v>
      </c>
      <c r="L67" s="697" t="str">
        <f>IFERROR(__xludf.DUMMYFUNCTION("""COMPUTED_VALUE"""),"Yes")</f>
        <v>Yes</v>
      </c>
      <c r="M67" s="697" t="str">
        <f>IFERROR(__xludf.DUMMYFUNCTION("""COMPUTED_VALUE"""),"Yes")</f>
        <v>Yes</v>
      </c>
      <c r="N67" s="697" t="str">
        <f>IFERROR(__xludf.DUMMYFUNCTION("""COMPUTED_VALUE"""),"Antigen detection confirmed the parasitologic results 6 weeks after treatment")</f>
        <v>Antigen detection confirmed the parasitologic results 6 weeks after treatment</v>
      </c>
      <c r="O67" s="872">
        <f>IFERROR(__xludf.DUMMYFUNCTION("""COMPUTED_VALUE"""),0.49)</f>
        <v>0.49</v>
      </c>
      <c r="P67" s="700">
        <f>IFERROR(__xludf.DUMMYFUNCTION("""COMPUTED_VALUE"""),0.99)</f>
        <v>0.99</v>
      </c>
      <c r="Q67" s="697" t="str">
        <f>IFERROR(__xludf.DUMMYFUNCTION("""COMPUTED_VALUE"""),"Side effects are more comparable with those of 30 kg/mg and not those of 60 mg/kg. No serious or long complications are observed. ")</f>
        <v>Side effects are more comparable with those of 30 kg/mg and not those of 60 mg/kg. No serious or long complications are observed. </v>
      </c>
      <c r="R67" s="697"/>
      <c r="S67" s="699" t="str">
        <f>IFERROR(__xludf.DUMMYFUNCTION("""COMPUTED_VALUE"""),"Guisse F, Polman K, Stelma FF, Mbaye A, Talla I, Niang M, et al.Therapeutic evaluation of two different dose regimens of praziquantel in a recent Schistosoma mansoni focus in Northern Senegal. American Journal of Tropical Medicine and Hygiene 1997;56(5):5"&amp;"11–4.")</f>
        <v>Guisse F, Polman K, Stelma FF, Mbaye A, Talla I, Niang M, et al.Therapeutic evaluation of two different dose regimens of praziquantel in a recent Schistosoma mansoni focus in Northern Senegal. American Journal of Tropical Medicine and Hygiene 1997;56(5):511–4.</v>
      </c>
      <c r="T67" s="697"/>
      <c r="U67" s="697" t="str">
        <f>IFERROR(__xludf.DUMMYFUNCTION("""COMPUTED_VALUE"""),"")</f>
        <v/>
      </c>
      <c r="V67" s="697">
        <f>IFERROR(__xludf.DUMMYFUNCTION("""COMPUTED_VALUE"""),67.0)</f>
        <v>67</v>
      </c>
    </row>
    <row r="68">
      <c r="A68" s="697" t="str">
        <f>IFERROR(__xludf.DUMMYFUNCTION("""COMPUTED_VALUE"""),"Gupta KK, 1984")</f>
        <v>Gupta KK, 1984</v>
      </c>
      <c r="B68" s="697" t="str">
        <f>IFERROR(__xludf.DUMMYFUNCTION("""COMPUTED_VALUE"""),"s. mansoni")</f>
        <v>s. mansoni</v>
      </c>
      <c r="C68" s="697" t="str">
        <f>IFERROR(__xludf.DUMMYFUNCTION("""COMPUTED_VALUE"""),"Zambia")</f>
        <v>Zambia</v>
      </c>
      <c r="D68" s="697" t="str">
        <f>IFERROR(__xludf.DUMMYFUNCTION("""COMPUTED_VALUE"""),"Oxamniquine")</f>
        <v>Oxamniquine</v>
      </c>
      <c r="E68" s="697" t="str">
        <f>IFERROR(__xludf.DUMMYFUNCTION("""COMPUTED_VALUE"""),"Two")</f>
        <v>Two</v>
      </c>
      <c r="F68" s="697" t="str">
        <f>IFERROR(__xludf.DUMMYFUNCTION("""COMPUTED_VALUE"""),"15 mg/kg ")</f>
        <v>15 mg/kg </v>
      </c>
      <c r="G68" s="697">
        <f>IFERROR(__xludf.DUMMYFUNCTION("""COMPUTED_VALUE"""),20.0)</f>
        <v>20</v>
      </c>
      <c r="H68" s="697" t="str">
        <f>IFERROR(__xludf.DUMMYFUNCTION("""COMPUTED_VALUE"""),"6-64 years ")</f>
        <v>6-64 years </v>
      </c>
      <c r="I68" s="705" t="str">
        <f>IFERROR(__xludf.DUMMYFUNCTION("""COMPUTED_VALUE"""),"41:18")</f>
        <v>41:18</v>
      </c>
      <c r="J68" s="697">
        <f>IFERROR(__xludf.DUMMYFUNCTION("""COMPUTED_VALUE"""),1982.0)</f>
        <v>1982</v>
      </c>
      <c r="K68" s="697" t="str">
        <f>IFERROR(__xludf.DUMMYFUNCTION("""COMPUTED_VALUE"""),"M/F mean age 29 years old infected with S.mansoni")</f>
        <v>M/F mean age 29 years old infected with S.mansoni</v>
      </c>
      <c r="L68" s="697" t="str">
        <f>IFERROR(__xludf.DUMMYFUNCTION("""COMPUTED_VALUE"""),"Yes")</f>
        <v>Yes</v>
      </c>
      <c r="M68" s="697" t="str">
        <f>IFERROR(__xludf.DUMMYFUNCTION("""COMPUTED_VALUE"""),"Yes")</f>
        <v>Yes</v>
      </c>
      <c r="N68" s="697" t="str">
        <f>IFERROR(__xludf.DUMMYFUNCTION("""COMPUTED_VALUE"""),"Follow-up: one, two, three and six months. Cure rate given at 6 months with no S.manoni in stool")</f>
        <v>Follow-up: one, two, three and six months. Cure rate given at 6 months with no S.manoni in stool</v>
      </c>
      <c r="O68" s="872">
        <f>IFERROR(__xludf.DUMMYFUNCTION("""COMPUTED_VALUE"""),1.0)</f>
        <v>1</v>
      </c>
      <c r="P68" s="700">
        <f>IFERROR(__xludf.DUMMYFUNCTION("""COMPUTED_VALUE"""),1.0)</f>
        <v>1</v>
      </c>
      <c r="Q68" s="697" t="str">
        <f>IFERROR(__xludf.DUMMYFUNCTION("""COMPUTED_VALUE"""),"Oral oxamniquine is a safe, effective and well tolerate treatment for s.mansoni infestation in zambian patients. ")</f>
        <v>Oral oxamniquine is a safe, effective and well tolerate treatment for s.mansoni infestation in zambian patients. </v>
      </c>
      <c r="R68" s="697" t="str">
        <f>IFERROR(__xludf.DUMMYFUNCTION("""COMPUTED_VALUE"""),"Schistoma Mansoni treatment with oral oxamniquine zambia")</f>
        <v>Schistoma Mansoni treatment with oral oxamniquine zambia</v>
      </c>
      <c r="S68" s="699" t="str">
        <f>IFERROR(__xludf.DUMMYFUNCTION("""COMPUTED_VALUE"""),"Gupta KK. Schistosoma mansoni treatment with oral oxamniquine in Zambia. East African Medical Journal 1984; 61(8):641–4.")</f>
        <v>Gupta KK. Schistosoma mansoni treatment with oral oxamniquine in Zambia. East African Medical Journal 1984; 61(8):641–4.</v>
      </c>
      <c r="T68" s="697"/>
      <c r="U68" s="697" t="str">
        <f>IFERROR(__xludf.DUMMYFUNCTION("""COMPUTED_VALUE"""),"")</f>
        <v/>
      </c>
      <c r="V68" s="697">
        <f>IFERROR(__xludf.DUMMYFUNCTION("""COMPUTED_VALUE"""),68.0)</f>
        <v>68</v>
      </c>
    </row>
    <row r="69">
      <c r="A69" s="697" t="str">
        <f>IFERROR(__xludf.DUMMYFUNCTION("""COMPUTED_VALUE"""),"Gupta KK, 1984")</f>
        <v>Gupta KK, 1984</v>
      </c>
      <c r="B69" s="697" t="str">
        <f>IFERROR(__xludf.DUMMYFUNCTION("""COMPUTED_VALUE"""),"s. mansoni")</f>
        <v>s. mansoni</v>
      </c>
      <c r="C69" s="697" t="str">
        <f>IFERROR(__xludf.DUMMYFUNCTION("""COMPUTED_VALUE"""),"Zambia")</f>
        <v>Zambia</v>
      </c>
      <c r="D69" s="697" t="str">
        <f>IFERROR(__xludf.DUMMYFUNCTION("""COMPUTED_VALUE"""),"Oxamniquine")</f>
        <v>Oxamniquine</v>
      </c>
      <c r="E69" s="697" t="str">
        <f>IFERROR(__xludf.DUMMYFUNCTION("""COMPUTED_VALUE"""),"Two")</f>
        <v>Two</v>
      </c>
      <c r="F69" s="697" t="str">
        <f>IFERROR(__xludf.DUMMYFUNCTION("""COMPUTED_VALUE"""),"10 mg/kg")</f>
        <v>10 mg/kg</v>
      </c>
      <c r="G69" s="697">
        <f>IFERROR(__xludf.DUMMYFUNCTION("""COMPUTED_VALUE"""),20.0)</f>
        <v>20</v>
      </c>
      <c r="H69" s="697" t="str">
        <f>IFERROR(__xludf.DUMMYFUNCTION("""COMPUTED_VALUE"""),"6-64 years ")</f>
        <v>6-64 years </v>
      </c>
      <c r="I69" s="705" t="str">
        <f>IFERROR(__xludf.DUMMYFUNCTION("""COMPUTED_VALUE"""),"41:18")</f>
        <v>41:18</v>
      </c>
      <c r="J69" s="697">
        <f>IFERROR(__xludf.DUMMYFUNCTION("""COMPUTED_VALUE"""),1982.0)</f>
        <v>1982</v>
      </c>
      <c r="K69" s="697" t="str">
        <f>IFERROR(__xludf.DUMMYFUNCTION("""COMPUTED_VALUE"""),"M/F mean age 29 years old infected with S.mansoni")</f>
        <v>M/F mean age 29 years old infected with S.mansoni</v>
      </c>
      <c r="L69" s="697" t="str">
        <f>IFERROR(__xludf.DUMMYFUNCTION("""COMPUTED_VALUE"""),"Yes")</f>
        <v>Yes</v>
      </c>
      <c r="M69" s="697" t="str">
        <f>IFERROR(__xludf.DUMMYFUNCTION("""COMPUTED_VALUE"""),"Yes")</f>
        <v>Yes</v>
      </c>
      <c r="N69" s="697" t="str">
        <f>IFERROR(__xludf.DUMMYFUNCTION("""COMPUTED_VALUE"""),"Follow-up: one, two, three and six months")</f>
        <v>Follow-up: one, two, three and six months</v>
      </c>
      <c r="O69" s="872">
        <f>IFERROR(__xludf.DUMMYFUNCTION("""COMPUTED_VALUE"""),1.0)</f>
        <v>1</v>
      </c>
      <c r="P69" s="700">
        <f>IFERROR(__xludf.DUMMYFUNCTION("""COMPUTED_VALUE"""),1.0)</f>
        <v>1</v>
      </c>
      <c r="Q69" s="697" t="str">
        <f>IFERROR(__xludf.DUMMYFUNCTION("""COMPUTED_VALUE"""),"Oral oxamniquine is a safe, effective and well tolerate treatment for s.mansoni infestation in zambian patients. ")</f>
        <v>Oral oxamniquine is a safe, effective and well tolerate treatment for s.mansoni infestation in zambian patients. </v>
      </c>
      <c r="R69" s="697" t="str">
        <f>IFERROR(__xludf.DUMMYFUNCTION("""COMPUTED_VALUE"""),"Schistoma Mansoni treatment with oral oxamniquine zambia")</f>
        <v>Schistoma Mansoni treatment with oral oxamniquine zambia</v>
      </c>
      <c r="S69" s="699" t="str">
        <f>IFERROR(__xludf.DUMMYFUNCTION("""COMPUTED_VALUE"""),"Gupta KK. Schistosoma mansoni treatment with oral oxamniquine in Zambia. East African Medical Journal 1984; 61(8):641–4.")</f>
        <v>Gupta KK. Schistosoma mansoni treatment with oral oxamniquine in Zambia. East African Medical Journal 1984; 61(8):641–4.</v>
      </c>
      <c r="T69" s="697"/>
      <c r="U69" s="697" t="str">
        <f>IFERROR(__xludf.DUMMYFUNCTION("""COMPUTED_VALUE"""),"")</f>
        <v/>
      </c>
      <c r="V69" s="697">
        <f>IFERROR(__xludf.DUMMYFUNCTION("""COMPUTED_VALUE"""),69.0)</f>
        <v>69</v>
      </c>
    </row>
    <row r="70">
      <c r="A70" s="697" t="str">
        <f>IFERROR(__xludf.DUMMYFUNCTION("""COMPUTED_VALUE"""),"Gupta KK, 1984")</f>
        <v>Gupta KK, 1984</v>
      </c>
      <c r="B70" s="697" t="str">
        <f>IFERROR(__xludf.DUMMYFUNCTION("""COMPUTED_VALUE"""),"s. mansoni")</f>
        <v>s. mansoni</v>
      </c>
      <c r="C70" s="697" t="str">
        <f>IFERROR(__xludf.DUMMYFUNCTION("""COMPUTED_VALUE"""),"Zambia")</f>
        <v>Zambia</v>
      </c>
      <c r="D70" s="697" t="str">
        <f>IFERROR(__xludf.DUMMYFUNCTION("""COMPUTED_VALUE"""),"Oxamniquine")</f>
        <v>Oxamniquine</v>
      </c>
      <c r="E70" s="697" t="str">
        <f>IFERROR(__xludf.DUMMYFUNCTION("""COMPUTED_VALUE"""),"Two")</f>
        <v>Two</v>
      </c>
      <c r="F70" s="697" t="str">
        <f>IFERROR(__xludf.DUMMYFUNCTION("""COMPUTED_VALUE"""),"15 mg/kg")</f>
        <v>15 mg/kg</v>
      </c>
      <c r="G70" s="697">
        <f>IFERROR(__xludf.DUMMYFUNCTION("""COMPUTED_VALUE"""),20.0)</f>
        <v>20</v>
      </c>
      <c r="H70" s="697" t="str">
        <f>IFERROR(__xludf.DUMMYFUNCTION("""COMPUTED_VALUE"""),"6-64 years ")</f>
        <v>6-64 years </v>
      </c>
      <c r="I70" s="705" t="str">
        <f>IFERROR(__xludf.DUMMYFUNCTION("""COMPUTED_VALUE"""),"41:18")</f>
        <v>41:18</v>
      </c>
      <c r="J70" s="697">
        <f>IFERROR(__xludf.DUMMYFUNCTION("""COMPUTED_VALUE"""),1982.0)</f>
        <v>1982</v>
      </c>
      <c r="K70" s="697" t="str">
        <f>IFERROR(__xludf.DUMMYFUNCTION("""COMPUTED_VALUE"""),"M/F mean age 29 years old infected with S.mansoni")</f>
        <v>M/F mean age 29 years old infected with S.mansoni</v>
      </c>
      <c r="L70" s="697" t="str">
        <f>IFERROR(__xludf.DUMMYFUNCTION("""COMPUTED_VALUE"""),"Yes")</f>
        <v>Yes</v>
      </c>
      <c r="M70" s="697" t="str">
        <f>IFERROR(__xludf.DUMMYFUNCTION("""COMPUTED_VALUE"""),"Yes")</f>
        <v>Yes</v>
      </c>
      <c r="N70" s="697" t="str">
        <f>IFERROR(__xludf.DUMMYFUNCTION("""COMPUTED_VALUE"""),"Follow-up: one, two, three and six months")</f>
        <v>Follow-up: one, two, three and six months</v>
      </c>
      <c r="O70" s="872">
        <f>IFERROR(__xludf.DUMMYFUNCTION("""COMPUTED_VALUE"""),0.9)</f>
        <v>0.9</v>
      </c>
      <c r="P70" s="698">
        <f>IFERROR(__xludf.DUMMYFUNCTION("""COMPUTED_VALUE"""),0.952)</f>
        <v>0.952</v>
      </c>
      <c r="Q70" s="697" t="str">
        <f>IFERROR(__xludf.DUMMYFUNCTION("""COMPUTED_VALUE"""),"Oral oxamniquine is a safe, effective and well tolerate treatment for s.mansoni infestation in zambian patients. ")</f>
        <v>Oral oxamniquine is a safe, effective and well tolerate treatment for s.mansoni infestation in zambian patients. </v>
      </c>
      <c r="R70" s="697" t="str">
        <f>IFERROR(__xludf.DUMMYFUNCTION("""COMPUTED_VALUE"""),"Schistoma Mansoni treatment with oral oxamniquine zambia")</f>
        <v>Schistoma Mansoni treatment with oral oxamniquine zambia</v>
      </c>
      <c r="S70" s="699" t="str">
        <f>IFERROR(__xludf.DUMMYFUNCTION("""COMPUTED_VALUE"""),"Gupta KK. Schistosoma mansoni treatment with oral oxamniquine in Zambia. East African Medical Journal 1984; 61(8):641–4.")</f>
        <v>Gupta KK. Schistosoma mansoni treatment with oral oxamniquine in Zambia. East African Medical Journal 1984; 61(8):641–4.</v>
      </c>
      <c r="T70" s="697"/>
      <c r="U70" s="697" t="str">
        <f>IFERROR(__xludf.DUMMYFUNCTION("""COMPUTED_VALUE"""),"")</f>
        <v/>
      </c>
      <c r="V70" s="697">
        <f>IFERROR(__xludf.DUMMYFUNCTION("""COMPUTED_VALUE"""),70.0)</f>
        <v>70</v>
      </c>
    </row>
    <row r="71">
      <c r="A71" s="697" t="str">
        <f>IFERROR(__xludf.DUMMYFUNCTION("""COMPUTED_VALUE"""),"Hou XY, 2008")</f>
        <v>Hou XY, 2008</v>
      </c>
      <c r="B71" s="697" t="str">
        <f>IFERROR(__xludf.DUMMYFUNCTION("""COMPUTED_VALUE"""),"s. japonicum")</f>
        <v>s. japonicum</v>
      </c>
      <c r="C71" s="697" t="str">
        <f>IFERROR(__xludf.DUMMYFUNCTION("""COMPUTED_VALUE"""),"China")</f>
        <v>China</v>
      </c>
      <c r="D71" s="697" t="str">
        <f>IFERROR(__xludf.DUMMYFUNCTION("""COMPUTED_VALUE"""),"Artemether &amp; Praziquantel")</f>
        <v>Artemether &amp; Praziquantel</v>
      </c>
      <c r="E71" s="697" t="str">
        <f>IFERROR(__xludf.DUMMYFUNCTION("""COMPUTED_VALUE"""),"Single")</f>
        <v>Single</v>
      </c>
      <c r="F71" s="697" t="str">
        <f>IFERROR(__xludf.DUMMYFUNCTION("""COMPUTED_VALUE"""),"60 mg/kg; 6 mg/kg ")</f>
        <v>60 mg/kg; 6 mg/kg </v>
      </c>
      <c r="G71" s="697">
        <f>IFERROR(__xludf.DUMMYFUNCTION("""COMPUTED_VALUE"""),51.0)</f>
        <v>51</v>
      </c>
      <c r="H71" s="697" t="str">
        <f>IFERROR(__xludf.DUMMYFUNCTION("""COMPUTED_VALUE"""),"10-60")</f>
        <v>10-60</v>
      </c>
      <c r="I71" s="705" t="str">
        <f>IFERROR(__xludf.DUMMYFUNCTION("""COMPUTED_VALUE"""),"192: 13")</f>
        <v>192: 13</v>
      </c>
      <c r="J71" s="697">
        <f>IFERROR(__xludf.DUMMYFUNCTION("""COMPUTED_VALUE"""),2005.0)</f>
        <v>2005</v>
      </c>
      <c r="K71" s="697" t="str">
        <f>IFERROR(__xludf.DUMMYFUNCTION("""COMPUTED_VALUE"""),"aged 10–60 yrs (mean 22) i) pregnancy confirmed by a positive pregnancy test, (ii) known hypersensitivity to PZQ or AM, (iii) had received anti-schistosomal treatment before hospitalization, (iv) had water contact within the 45-day post-AM/ placebo treatm"&amp;"ent, or (v) had severe clinical signs/symptoms of disease")</f>
        <v>aged 10–60 yrs (mean 22) i) pregnancy confirmed by a positive pregnancy test, (ii) known hypersensitivity to PZQ or AM, (iii) had received anti-schistosomal treatment before hospitalization, (iv) had water contact within the 45-day post-AM/ placebo treatment, or (v) had severe clinical signs/symptoms of disease</v>
      </c>
      <c r="L71" s="697" t="str">
        <f>IFERROR(__xludf.DUMMYFUNCTION("""COMPUTED_VALUE"""),"Yes")</f>
        <v>Yes</v>
      </c>
      <c r="M71" s="697" t="str">
        <f>IFERROR(__xludf.DUMMYFUNCTION("""COMPUTED_VALUE"""),"Yes")</f>
        <v>Yes</v>
      </c>
      <c r="N71" s="697" t="str">
        <f>IFERROR(__xludf.DUMMYFUNCTION("""COMPUTED_VALUE"""),"Primary endpoint of the trial was human infection status (determined by positive stool examination). he group B had a greater treatment efficacy (96.4%) than the group D (95.7%). Group A treatment was better for clearance of fever (P &lt; 0.05) and resulted "&amp;"in a shorter hospitalization time")</f>
        <v>Primary endpoint of the trial was human infection status (determined by positive stool examination). he group B had a greater treatment efficacy (96.4%) than the group D (95.7%). Group A treatment was better for clearance of fever (P &lt; 0.05) and resulted in a shorter hospitalization time</v>
      </c>
      <c r="O71" s="873">
        <f>IFERROR(__xludf.DUMMYFUNCTION("""COMPUTED_VALUE"""),0.98)</f>
        <v>0.98</v>
      </c>
      <c r="P71" s="697"/>
      <c r="Q71" s="697" t="str">
        <f>IFERROR(__xludf.DUMMYFUNCTION("""COMPUTED_VALUE"""),"The combination of AM and PZQ chemotherapy did not improve treatment efficacy compared with PZQ alone.")</f>
        <v>The combination of AM and PZQ chemotherapy did not improve treatment efficacy compared with PZQ alone.</v>
      </c>
      <c r="R71" s="697"/>
      <c r="S71" s="699" t="str">
        <f>IFERROR(__xludf.DUMMYFUNCTION("""COMPUTED_VALUE"""),"Hou XY, McManus DP, Gray DJ, Balen J, Luo XS, He YK, Ellis M, Williams GM, Li YS. A randomized, double‐blind, placebo‐controlled trial of safety and efficacy of combined praziquantel and artemether treatment for acute schistosomiasis japonica in China. Bu"&amp;"ll World Health Organ 2008; 86: 788‐795.")</f>
        <v>Hou XY, McManus DP, Gray DJ, Balen J, Luo XS, He YK, Ellis M, Williams GM, Li YS. A randomized, double‐blind, placebo‐controlled trial of safety and efficacy of combined praziquantel and artemether treatment for acute schistosomiasis japonica in China. Bull World Health Organ 2008; 86: 788‐795.</v>
      </c>
      <c r="T71" s="697"/>
      <c r="U71" s="697" t="str">
        <f>IFERROR(__xludf.DUMMYFUNCTION("""COMPUTED_VALUE"""),"")</f>
        <v/>
      </c>
      <c r="V71" s="697">
        <f>IFERROR(__xludf.DUMMYFUNCTION("""COMPUTED_VALUE"""),71.0)</f>
        <v>71</v>
      </c>
    </row>
    <row r="72">
      <c r="A72" s="697" t="str">
        <f>IFERROR(__xludf.DUMMYFUNCTION("""COMPUTED_VALUE"""),"Hou XY, 2008")</f>
        <v>Hou XY, 2008</v>
      </c>
      <c r="B72" s="697" t="str">
        <f>IFERROR(__xludf.DUMMYFUNCTION("""COMPUTED_VALUE"""),"s. japonicum")</f>
        <v>s. japonicum</v>
      </c>
      <c r="C72" s="697" t="str">
        <f>IFERROR(__xludf.DUMMYFUNCTION("""COMPUTED_VALUE"""),"China")</f>
        <v>China</v>
      </c>
      <c r="D72" s="697" t="str">
        <f>IFERROR(__xludf.DUMMYFUNCTION("""COMPUTED_VALUE"""),"Praziquantel")</f>
        <v>Praziquantel</v>
      </c>
      <c r="E72" s="697" t="str">
        <f>IFERROR(__xludf.DUMMYFUNCTION("""COMPUTED_VALUE"""),"Single")</f>
        <v>Single</v>
      </c>
      <c r="F72" s="697" t="str">
        <f>IFERROR(__xludf.DUMMYFUNCTION("""COMPUTED_VALUE"""),"60 mg/kg ")</f>
        <v>60 mg/kg </v>
      </c>
      <c r="G72" s="697">
        <f>IFERROR(__xludf.DUMMYFUNCTION("""COMPUTED_VALUE"""),55.0)</f>
        <v>55</v>
      </c>
      <c r="H72" s="697" t="str">
        <f>IFERROR(__xludf.DUMMYFUNCTION("""COMPUTED_VALUE"""),"10-60")</f>
        <v>10-60</v>
      </c>
      <c r="I72" s="705" t="str">
        <f>IFERROR(__xludf.DUMMYFUNCTION("""COMPUTED_VALUE"""),"192: 13")</f>
        <v>192: 13</v>
      </c>
      <c r="J72" s="697">
        <f>IFERROR(__xludf.DUMMYFUNCTION("""COMPUTED_VALUE"""),2005.0)</f>
        <v>2005</v>
      </c>
      <c r="K72" s="697" t="str">
        <f>IFERROR(__xludf.DUMMYFUNCTION("""COMPUTED_VALUE"""),"aged 10–60 yrs (mean 22) i) pregnancy confirmed by a positive pregnancy test, (ii) known hypersensitivity to PZQ or AM, (iii) had received anti-schistosomal treatment before hospitalization, (iv) had water contact within the 45-day post-AM/ placebo treatm"&amp;"ent, or (v) had severe clinical signs/symptoms of disease")</f>
        <v>aged 10–60 yrs (mean 22) i) pregnancy confirmed by a positive pregnancy test, (ii) known hypersensitivity to PZQ or AM, (iii) had received anti-schistosomal treatment before hospitalization, (iv) had water contact within the 45-day post-AM/ placebo treatment, or (v) had severe clinical signs/symptoms of disease</v>
      </c>
      <c r="L72" s="697" t="str">
        <f>IFERROR(__xludf.DUMMYFUNCTION("""COMPUTED_VALUE"""),"Yes")</f>
        <v>Yes</v>
      </c>
      <c r="M72" s="697" t="str">
        <f>IFERROR(__xludf.DUMMYFUNCTION("""COMPUTED_VALUE"""),"Yes")</f>
        <v>Yes</v>
      </c>
      <c r="N72" s="697" t="str">
        <f>IFERROR(__xludf.DUMMYFUNCTION("""COMPUTED_VALUE"""),"Primary endpoint of the trial was human infection status (determined by positive stool examination). he group B had a greater treatment efficacy (96.4%) than the group D (95.7%). Group A treatment was better for clearance of fever (P &lt; 0.05) and resulted "&amp;"in a shorter hospitalization time")</f>
        <v>Primary endpoint of the trial was human infection status (determined by positive stool examination). he group B had a greater treatment efficacy (96.4%) than the group D (95.7%). Group A treatment was better for clearance of fever (P &lt; 0.05) and resulted in a shorter hospitalization time</v>
      </c>
      <c r="O72" s="873">
        <f>IFERROR(__xludf.DUMMYFUNCTION("""COMPUTED_VALUE"""),0.964)</f>
        <v>0.964</v>
      </c>
      <c r="P72" s="697"/>
      <c r="Q72" s="697" t="str">
        <f>IFERROR(__xludf.DUMMYFUNCTION("""COMPUTED_VALUE"""),"The combination of AM and PZQ chemotherapy did not improve treatment efficacy compared with PZQ alone.")</f>
        <v>The combination of AM and PZQ chemotherapy did not improve treatment efficacy compared with PZQ alone.</v>
      </c>
      <c r="R72" s="697"/>
      <c r="S72" s="699" t="str">
        <f>IFERROR(__xludf.DUMMYFUNCTION("""COMPUTED_VALUE"""),"Hou XY, McManus DP, Gray DJ, Balen J, Luo XS, He YK, Ellis M, Williams GM, Li YS. A randomized, double‐blind, placebo‐controlled trial of safety and efficacy of combined praziquantel and artemether treatment for acute schistosomiasis japonica in China. Bu"&amp;"ll World Health Organ 2008; 86: 788‐795.")</f>
        <v>Hou XY, McManus DP, Gray DJ, Balen J, Luo XS, He YK, Ellis M, Williams GM, Li YS. A randomized, double‐blind, placebo‐controlled trial of safety and efficacy of combined praziquantel and artemether treatment for acute schistosomiasis japonica in China. Bull World Health Organ 2008; 86: 788‐795.</v>
      </c>
      <c r="T72" s="697"/>
      <c r="U72" s="697" t="str">
        <f>IFERROR(__xludf.DUMMYFUNCTION("""COMPUTED_VALUE"""),"")</f>
        <v/>
      </c>
      <c r="V72" s="697">
        <f>IFERROR(__xludf.DUMMYFUNCTION("""COMPUTED_VALUE"""),72.0)</f>
        <v>72</v>
      </c>
    </row>
    <row r="73">
      <c r="A73" s="697" t="str">
        <f>IFERROR(__xludf.DUMMYFUNCTION("""COMPUTED_VALUE"""),"Hou XY, 2008")</f>
        <v>Hou XY, 2008</v>
      </c>
      <c r="B73" s="697" t="str">
        <f>IFERROR(__xludf.DUMMYFUNCTION("""COMPUTED_VALUE"""),"s. japonicum")</f>
        <v>s. japonicum</v>
      </c>
      <c r="C73" s="697" t="str">
        <f>IFERROR(__xludf.DUMMYFUNCTION("""COMPUTED_VALUE"""),"China")</f>
        <v>China</v>
      </c>
      <c r="D73" s="697" t="str">
        <f>IFERROR(__xludf.DUMMYFUNCTION("""COMPUTED_VALUE"""),"Artemether &amp; Praziquantel")</f>
        <v>Artemether &amp; Praziquantel</v>
      </c>
      <c r="E73" s="697" t="str">
        <f>IFERROR(__xludf.DUMMYFUNCTION("""COMPUTED_VALUE"""),"Single")</f>
        <v>Single</v>
      </c>
      <c r="F73" s="697" t="str">
        <f>IFERROR(__xludf.DUMMYFUNCTION("""COMPUTED_VALUE"""),"120 mg/kg; 6 mg/kg ")</f>
        <v>120 mg/kg; 6 mg/kg </v>
      </c>
      <c r="G73" s="697">
        <f>IFERROR(__xludf.DUMMYFUNCTION("""COMPUTED_VALUE"""),44.0)</f>
        <v>44</v>
      </c>
      <c r="H73" s="697" t="str">
        <f>IFERROR(__xludf.DUMMYFUNCTION("""COMPUTED_VALUE"""),"10-60")</f>
        <v>10-60</v>
      </c>
      <c r="I73" s="705" t="str">
        <f>IFERROR(__xludf.DUMMYFUNCTION("""COMPUTED_VALUE"""),"192: 13")</f>
        <v>192: 13</v>
      </c>
      <c r="J73" s="697">
        <f>IFERROR(__xludf.DUMMYFUNCTION("""COMPUTED_VALUE"""),2005.0)</f>
        <v>2005</v>
      </c>
      <c r="K73" s="697" t="str">
        <f>IFERROR(__xludf.DUMMYFUNCTION("""COMPUTED_VALUE"""),"aged 10–60 yrs (mean 22) i) pregnancy confirmed by a positive pregnancy test, (ii) known hypersensitivity to PZQ or AM, (iii) had received anti-schistosomal treatment before hospitalization, (iv) had water contact within the 45-day post-AM/ placebo treatm"&amp;"ent, or (v) had severe clinical signs/symptoms of disease")</f>
        <v>aged 10–60 yrs (mean 22) i) pregnancy confirmed by a positive pregnancy test, (ii) known hypersensitivity to PZQ or AM, (iii) had received anti-schistosomal treatment before hospitalization, (iv) had water contact within the 45-day post-AM/ placebo treatment, or (v) had severe clinical signs/symptoms of disease</v>
      </c>
      <c r="L73" s="697" t="str">
        <f>IFERROR(__xludf.DUMMYFUNCTION("""COMPUTED_VALUE"""),"Yes")</f>
        <v>Yes</v>
      </c>
      <c r="M73" s="697" t="str">
        <f>IFERROR(__xludf.DUMMYFUNCTION("""COMPUTED_VALUE"""),"Yes")</f>
        <v>Yes</v>
      </c>
      <c r="N73" s="697" t="str">
        <f>IFERROR(__xludf.DUMMYFUNCTION("""COMPUTED_VALUE"""),"Primary endpoint of the trial was human infection status (determined by positive stool examination). he group B had a greater treatment efficacy (96.4%) than the group D (95.7%). Group A treatment was better for clearance of fever (P &lt; 0.05) and resulted "&amp;"in a shorter hospitalization time")</f>
        <v>Primary endpoint of the trial was human infection status (determined by positive stool examination). he group B had a greater treatment efficacy (96.4%) than the group D (95.7%). Group A treatment was better for clearance of fever (P &lt; 0.05) and resulted in a shorter hospitalization time</v>
      </c>
      <c r="O73" s="873">
        <f>IFERROR(__xludf.DUMMYFUNCTION("""COMPUTED_VALUE"""),0.977)</f>
        <v>0.977</v>
      </c>
      <c r="P73" s="697"/>
      <c r="Q73" s="697" t="str">
        <f>IFERROR(__xludf.DUMMYFUNCTION("""COMPUTED_VALUE"""),"The combination of AM and PZQ chemotherapy did not improve treatment efficacy compared with PZQ alone.")</f>
        <v>The combination of AM and PZQ chemotherapy did not improve treatment efficacy compared with PZQ alone.</v>
      </c>
      <c r="R73" s="697"/>
      <c r="S73" s="699" t="str">
        <f>IFERROR(__xludf.DUMMYFUNCTION("""COMPUTED_VALUE"""),"Hou XY, McManus DP, Gray DJ, Balen J, Luo XS, He YK, Ellis M, Williams GM, Li YS. A randomized, double‐blind, placebo‐controlled trial of safety and efficacy of combined praziquantel and artemether treatment for acute schistosomiasis japonica in China. Bu"&amp;"ll World Health Organ 2008; 86: 788‐795.")</f>
        <v>Hou XY, McManus DP, Gray DJ, Balen J, Luo XS, He YK, Ellis M, Williams GM, Li YS. A randomized, double‐blind, placebo‐controlled trial of safety and efficacy of combined praziquantel and artemether treatment for acute schistosomiasis japonica in China. Bull World Health Organ 2008; 86: 788‐795.</v>
      </c>
      <c r="T73" s="697"/>
      <c r="U73" s="697" t="str">
        <f>IFERROR(__xludf.DUMMYFUNCTION("""COMPUTED_VALUE"""),"")</f>
        <v/>
      </c>
      <c r="V73" s="697">
        <f>IFERROR(__xludf.DUMMYFUNCTION("""COMPUTED_VALUE"""),73.0)</f>
        <v>73</v>
      </c>
    </row>
    <row r="74">
      <c r="A74" s="697" t="str">
        <f>IFERROR(__xludf.DUMMYFUNCTION("""COMPUTED_VALUE"""),"Hou XY, 2008")</f>
        <v>Hou XY, 2008</v>
      </c>
      <c r="B74" s="697" t="str">
        <f>IFERROR(__xludf.DUMMYFUNCTION("""COMPUTED_VALUE"""),"s. japonicum")</f>
        <v>s. japonicum</v>
      </c>
      <c r="C74" s="697" t="str">
        <f>IFERROR(__xludf.DUMMYFUNCTION("""COMPUTED_VALUE"""),"China")</f>
        <v>China</v>
      </c>
      <c r="D74" s="697" t="str">
        <f>IFERROR(__xludf.DUMMYFUNCTION("""COMPUTED_VALUE"""),"Praziquantel")</f>
        <v>Praziquantel</v>
      </c>
      <c r="E74" s="697" t="str">
        <f>IFERROR(__xludf.DUMMYFUNCTION("""COMPUTED_VALUE"""),"Single")</f>
        <v>Single</v>
      </c>
      <c r="F74" s="697" t="str">
        <f>IFERROR(__xludf.DUMMYFUNCTION("""COMPUTED_VALUE"""),"120 mg/kg ")</f>
        <v>120 mg/kg </v>
      </c>
      <c r="G74" s="697">
        <f>IFERROR(__xludf.DUMMYFUNCTION("""COMPUTED_VALUE"""),46.0)</f>
        <v>46</v>
      </c>
      <c r="H74" s="697" t="str">
        <f>IFERROR(__xludf.DUMMYFUNCTION("""COMPUTED_VALUE"""),"10-60")</f>
        <v>10-60</v>
      </c>
      <c r="I74" s="705" t="str">
        <f>IFERROR(__xludf.DUMMYFUNCTION("""COMPUTED_VALUE"""),"192: 13")</f>
        <v>192: 13</v>
      </c>
      <c r="J74" s="697">
        <f>IFERROR(__xludf.DUMMYFUNCTION("""COMPUTED_VALUE"""),2005.0)</f>
        <v>2005</v>
      </c>
      <c r="K74" s="697" t="str">
        <f>IFERROR(__xludf.DUMMYFUNCTION("""COMPUTED_VALUE"""),"aged 10–60 yrs (mean 22) i) pregnancy confirmed by a positive pregnancy test, (ii) known hypersensitivity to PZQ or AM, (iii) had received anti-schistosomal treatment before hospitalization, (iv) had water contact within the 45-day post-AM/ placebo treatm"&amp;"ent, or (v) had severe clinical signs/symptoms of disease")</f>
        <v>aged 10–60 yrs (mean 22) i) pregnancy confirmed by a positive pregnancy test, (ii) known hypersensitivity to PZQ or AM, (iii) had received anti-schistosomal treatment before hospitalization, (iv) had water contact within the 45-day post-AM/ placebo treatment, or (v) had severe clinical signs/symptoms of disease</v>
      </c>
      <c r="L74" s="697" t="str">
        <f>IFERROR(__xludf.DUMMYFUNCTION("""COMPUTED_VALUE"""),"Yes")</f>
        <v>Yes</v>
      </c>
      <c r="M74" s="697" t="str">
        <f>IFERROR(__xludf.DUMMYFUNCTION("""COMPUTED_VALUE"""),"Yes")</f>
        <v>Yes</v>
      </c>
      <c r="N74" s="697" t="str">
        <f>IFERROR(__xludf.DUMMYFUNCTION("""COMPUTED_VALUE"""),"Primary endpoint of the trial was human infection status (determined by positive stool examination). he group B had a greater treatment efficacy (96.4%) than the group D (95.7%). Group A treatment was better for clearance of fever (P &lt; 0.05) and resulted "&amp;"in a shorter hospitalization time")</f>
        <v>Primary endpoint of the trial was human infection status (determined by positive stool examination). he group B had a greater treatment efficacy (96.4%) than the group D (95.7%). Group A treatment was better for clearance of fever (P &lt; 0.05) and resulted in a shorter hospitalization time</v>
      </c>
      <c r="O74" s="873">
        <f>IFERROR(__xludf.DUMMYFUNCTION("""COMPUTED_VALUE"""),0.957)</f>
        <v>0.957</v>
      </c>
      <c r="P74" s="697"/>
      <c r="Q74" s="697" t="str">
        <f>IFERROR(__xludf.DUMMYFUNCTION("""COMPUTED_VALUE"""),"The combination of AM and PZQ chemotherapy did not improve treatment efficacy compared with PZQ alone.")</f>
        <v>The combination of AM and PZQ chemotherapy did not improve treatment efficacy compared with PZQ alone.</v>
      </c>
      <c r="R74" s="697"/>
      <c r="S74" s="699" t="str">
        <f>IFERROR(__xludf.DUMMYFUNCTION("""COMPUTED_VALUE"""),"Hou XY, McManus DP, Gray DJ, Balen J, Luo XS, He YK, Ellis M, Williams GM, Li YS. A randomized, double‐blind, placebo‐controlled trial of safety and efficacy of combined praziquantel and artemether treatment for acute schistosomiasis japonica in China. Bu"&amp;"ll World Health Organ 2008; 86: 788‐795.")</f>
        <v>Hou XY, McManus DP, Gray DJ, Balen J, Luo XS, He YK, Ellis M, Williams GM, Li YS. A randomized, double‐blind, placebo‐controlled trial of safety and efficacy of combined praziquantel and artemether treatment for acute schistosomiasis japonica in China. Bull World Health Organ 2008; 86: 788‐795.</v>
      </c>
      <c r="T74" s="697"/>
      <c r="U74" s="697" t="str">
        <f>IFERROR(__xludf.DUMMYFUNCTION("""COMPUTED_VALUE"""),"")</f>
        <v/>
      </c>
      <c r="V74" s="697">
        <f>IFERROR(__xludf.DUMMYFUNCTION("""COMPUTED_VALUE"""),74.0)</f>
        <v>74</v>
      </c>
    </row>
    <row r="75">
      <c r="A75" s="697" t="str">
        <f>IFERROR(__xludf.DUMMYFUNCTION("""COMPUTED_VALUE"""),"Ibrahim AM, 1980")</f>
        <v>Ibrahim AM, 1980</v>
      </c>
      <c r="B75" s="697" t="str">
        <f>IFERROR(__xludf.DUMMYFUNCTION("""COMPUTED_VALUE"""),"s. mansoni")</f>
        <v>s. mansoni</v>
      </c>
      <c r="C75" s="697" t="str">
        <f>IFERROR(__xludf.DUMMYFUNCTION("""COMPUTED_VALUE"""),"Sudan")</f>
        <v>Sudan</v>
      </c>
      <c r="D75" s="697" t="str">
        <f>IFERROR(__xludf.DUMMYFUNCTION("""COMPUTED_VALUE"""),"Oxamniquine")</f>
        <v>Oxamniquine</v>
      </c>
      <c r="E75" s="697" t="str">
        <f>IFERROR(__xludf.DUMMYFUNCTION("""COMPUTED_VALUE"""),"Two")</f>
        <v>Two</v>
      </c>
      <c r="F75" s="697" t="str">
        <f>IFERROR(__xludf.DUMMYFUNCTION("""COMPUTED_VALUE"""),"15 mg/kg")</f>
        <v>15 mg/kg</v>
      </c>
      <c r="G75" s="697">
        <f>IFERROR(__xludf.DUMMYFUNCTION("""COMPUTED_VALUE"""),45.0)</f>
        <v>45</v>
      </c>
      <c r="H75" s="697" t="str">
        <f>IFERROR(__xludf.DUMMYFUNCTION("""COMPUTED_VALUE"""),"18-25")</f>
        <v>18-25</v>
      </c>
      <c r="I75" s="697"/>
      <c r="J75" s="697">
        <f>IFERROR(__xludf.DUMMYFUNCTION("""COMPUTED_VALUE"""),1980.0)</f>
        <v>1980</v>
      </c>
      <c r="K75" s="697" t="str">
        <f>IFERROR(__xludf.DUMMYFUNCTION("""COMPUTED_VALUE"""),"all university students attending the university hospital found to have S. mansoni infection")</f>
        <v>all university students attending the university hospital found to have S. mansoni infection</v>
      </c>
      <c r="L75" s="697" t="str">
        <f>IFERROR(__xludf.DUMMYFUNCTION("""COMPUTED_VALUE"""),"Yes")</f>
        <v>Yes</v>
      </c>
      <c r="M75" s="697" t="str">
        <f>IFERROR(__xludf.DUMMYFUNCTION("""COMPUTED_VALUE"""),"Yes")</f>
        <v>Yes</v>
      </c>
      <c r="N75" s="697" t="str">
        <f>IFERROR(__xludf.DUMMYFUNCTION("""COMPUTED_VALUE"""),"Follow-up: one, two and three months")</f>
        <v>Follow-up: one, two and three months</v>
      </c>
      <c r="O75" s="872">
        <f>IFERROR(__xludf.DUMMYFUNCTION("""COMPUTED_VALUE"""),0.88)</f>
        <v>0.88</v>
      </c>
      <c r="P75" s="700">
        <f>IFERROR(__xludf.DUMMYFUNCTION("""COMPUTED_VALUE"""),0.92)</f>
        <v>0.92</v>
      </c>
      <c r="Q75" s="697" t="str">
        <f>IFERROR(__xludf.DUMMYFUNCTION("""COMPUTED_VALUE"""),"Oral oxamniquine proved to achieve very high cure and ova reduction rates. ")</f>
        <v>Oral oxamniquine proved to achieve very high cure and ova reduction rates. </v>
      </c>
      <c r="R75" s="697" t="str">
        <f>IFERROR(__xludf.DUMMYFUNCTION("""COMPUTED_VALUE"""),"Evaluation of oxamniquine in the treatment of S. mansoni infection among Sudanese patients.")</f>
        <v>Evaluation of oxamniquine in the treatment of S. mansoni infection among Sudanese patients.</v>
      </c>
      <c r="S75" s="699" t="str">
        <f>IFERROR(__xludf.DUMMYFUNCTION("""COMPUTED_VALUE"""),"Ibrahim AM. Evaluation of oxamniquine in the treatment of S. mansoni infection among Sudanese patients. East African Medical Journal 1980;57(8):566–73.")</f>
        <v>Ibrahim AM. Evaluation of oxamniquine in the treatment of S. mansoni infection among Sudanese patients. East African Medical Journal 1980;57(8):566–73.</v>
      </c>
      <c r="T75" s="697"/>
      <c r="U75" s="697" t="str">
        <f>IFERROR(__xludf.DUMMYFUNCTION("""COMPUTED_VALUE"""),"")</f>
        <v/>
      </c>
      <c r="V75" s="697">
        <f>IFERROR(__xludf.DUMMYFUNCTION("""COMPUTED_VALUE"""),75.0)</f>
        <v>75</v>
      </c>
    </row>
    <row r="76">
      <c r="A76" s="697" t="str">
        <f>IFERROR(__xludf.DUMMYFUNCTION("""COMPUTED_VALUE"""),"Ibrahim AM, 1980")</f>
        <v>Ibrahim AM, 1980</v>
      </c>
      <c r="B76" s="697" t="str">
        <f>IFERROR(__xludf.DUMMYFUNCTION("""COMPUTED_VALUE"""),"s. mansoni")</f>
        <v>s. mansoni</v>
      </c>
      <c r="C76" s="697" t="str">
        <f>IFERROR(__xludf.DUMMYFUNCTION("""COMPUTED_VALUE"""),"Sudan")</f>
        <v>Sudan</v>
      </c>
      <c r="D76" s="697" t="str">
        <f>IFERROR(__xludf.DUMMYFUNCTION("""COMPUTED_VALUE"""),"Oxamniquine")</f>
        <v>Oxamniquine</v>
      </c>
      <c r="E76" s="697" t="str">
        <f>IFERROR(__xludf.DUMMYFUNCTION("""COMPUTED_VALUE"""),"Two")</f>
        <v>Two</v>
      </c>
      <c r="F76" s="697" t="str">
        <f>IFERROR(__xludf.DUMMYFUNCTION("""COMPUTED_VALUE"""),"10 mg/kg")</f>
        <v>10 mg/kg</v>
      </c>
      <c r="G76" s="697">
        <f>IFERROR(__xludf.DUMMYFUNCTION("""COMPUTED_VALUE"""),45.0)</f>
        <v>45</v>
      </c>
      <c r="H76" s="697" t="str">
        <f>IFERROR(__xludf.DUMMYFUNCTION("""COMPUTED_VALUE"""),"18-25")</f>
        <v>18-25</v>
      </c>
      <c r="I76" s="697"/>
      <c r="J76" s="697">
        <f>IFERROR(__xludf.DUMMYFUNCTION("""COMPUTED_VALUE"""),1980.0)</f>
        <v>1980</v>
      </c>
      <c r="K76" s="697" t="str">
        <f>IFERROR(__xludf.DUMMYFUNCTION("""COMPUTED_VALUE"""),"all university students attending the university hospital found to have S. mansoni infection")</f>
        <v>all university students attending the university hospital found to have S. mansoni infection</v>
      </c>
      <c r="L76" s="697" t="str">
        <f>IFERROR(__xludf.DUMMYFUNCTION("""COMPUTED_VALUE"""),"Yes")</f>
        <v>Yes</v>
      </c>
      <c r="M76" s="697" t="str">
        <f>IFERROR(__xludf.DUMMYFUNCTION("""COMPUTED_VALUE"""),"Yes")</f>
        <v>Yes</v>
      </c>
      <c r="N76" s="697" t="str">
        <f>IFERROR(__xludf.DUMMYFUNCTION("""COMPUTED_VALUE"""),"Follow-up: one, two and three months")</f>
        <v>Follow-up: one, two and three months</v>
      </c>
      <c r="O76" s="872">
        <f>IFERROR(__xludf.DUMMYFUNCTION("""COMPUTED_VALUE"""),0.68)</f>
        <v>0.68</v>
      </c>
      <c r="P76" s="700">
        <f>IFERROR(__xludf.DUMMYFUNCTION("""COMPUTED_VALUE"""),0.65)</f>
        <v>0.65</v>
      </c>
      <c r="Q76" s="697" t="str">
        <f>IFERROR(__xludf.DUMMYFUNCTION("""COMPUTED_VALUE"""),"Oral oxamniquine proved to achieve very high cure and ova reduction rates. ")</f>
        <v>Oral oxamniquine proved to achieve very high cure and ova reduction rates. </v>
      </c>
      <c r="R76" s="697" t="str">
        <f>IFERROR(__xludf.DUMMYFUNCTION("""COMPUTED_VALUE"""),"Evaluation of oxamniquine in the treatment of S. mansoni infection among Sudanese patients.")</f>
        <v>Evaluation of oxamniquine in the treatment of S. mansoni infection among Sudanese patients.</v>
      </c>
      <c r="S76" s="699" t="str">
        <f>IFERROR(__xludf.DUMMYFUNCTION("""COMPUTED_VALUE"""),"Ibrahim AM. Evaluation of oxamniquine in the treatment of S. mansoni infection among Sudanese patients. East African Medical Journal 1980;57(8):566–73.")</f>
        <v>Ibrahim AM. Evaluation of oxamniquine in the treatment of S. mansoni infection among Sudanese patients. East African Medical Journal 1980;57(8):566–73.</v>
      </c>
      <c r="T76" s="697"/>
      <c r="U76" s="697" t="str">
        <f>IFERROR(__xludf.DUMMYFUNCTION("""COMPUTED_VALUE"""),"")</f>
        <v/>
      </c>
      <c r="V76" s="697">
        <f>IFERROR(__xludf.DUMMYFUNCTION("""COMPUTED_VALUE"""),76.0)</f>
        <v>76</v>
      </c>
    </row>
    <row r="77">
      <c r="A77" s="697" t="str">
        <f>IFERROR(__xludf.DUMMYFUNCTION("""COMPUTED_VALUE"""),"Inyang-Etoh PC, 2009")</f>
        <v>Inyang-Etoh PC, 2009</v>
      </c>
      <c r="B77" s="697" t="str">
        <f>IFERROR(__xludf.DUMMYFUNCTION("""COMPUTED_VALUE"""),"s. haematobium")</f>
        <v>s. haematobium</v>
      </c>
      <c r="C77" s="697" t="str">
        <f>IFERROR(__xludf.DUMMYFUNCTION("""COMPUTED_VALUE"""),"Nigeria")</f>
        <v>Nigeria</v>
      </c>
      <c r="D77" s="697" t="str">
        <f>IFERROR(__xludf.DUMMYFUNCTION("""COMPUTED_VALUE"""),"Artesunate")</f>
        <v>Artesunate</v>
      </c>
      <c r="E77" s="697" t="str">
        <f>IFERROR(__xludf.DUMMYFUNCTION("""COMPUTED_VALUE"""),"Single")</f>
        <v>Single</v>
      </c>
      <c r="F77" s="697" t="str">
        <f>IFERROR(__xludf.DUMMYFUNCTION("""COMPUTED_VALUE"""),"4 mg/kg")</f>
        <v>4 mg/kg</v>
      </c>
      <c r="G77" s="697">
        <f>IFERROR(__xludf.DUMMYFUNCTION("""COMPUTED_VALUE"""),44.0)</f>
        <v>44</v>
      </c>
      <c r="H77" s="697" t="str">
        <f>IFERROR(__xludf.DUMMYFUNCTION("""COMPUTED_VALUE"""),"4 - 20")</f>
        <v>4 - 20</v>
      </c>
      <c r="I77" s="705" t="str">
        <f>IFERROR(__xludf.DUMMYFUNCTION("""COMPUTED_VALUE"""),"1 : 1")</f>
        <v>1 : 1</v>
      </c>
      <c r="J77" s="697">
        <f>IFERROR(__xludf.DUMMYFUNCTION("""COMPUTED_VALUE"""),2009.0)</f>
        <v>2009</v>
      </c>
      <c r="K77" s="697" t="str">
        <f>IFERROR(__xludf.DUMMYFUNCTION("""COMPUTED_VALUE"""),"4 to 20 (M/F) Heavy infection subjects with S.mansoi")</f>
        <v>4 to 20 (M/F) Heavy infection subjects with S.mansoi</v>
      </c>
      <c r="L77" s="697" t="str">
        <f>IFERROR(__xludf.DUMMYFUNCTION("""COMPUTED_VALUE"""),"Yes")</f>
        <v>Yes</v>
      </c>
      <c r="M77" s="697" t="str">
        <f>IFERROR(__xludf.DUMMYFUNCTION("""COMPUTED_VALUE"""),"Yes")</f>
        <v>Yes</v>
      </c>
      <c r="N77" s="697" t="str">
        <f>IFERROR(__xludf.DUMMYFUNCTION("""COMPUTED_VALUE"""),"Cure rate was determined by completement of treatment and examined by urine apperarance [color, clear,cloudy,presense/absence of blood]")</f>
        <v>Cure rate was determined by completement of treatment and examined by urine apperarance [color, clear,cloudy,presense/absence of blood]</v>
      </c>
      <c r="O77" s="872">
        <f>IFERROR(__xludf.DUMMYFUNCTION("""COMPUTED_VALUE"""),0.6)</f>
        <v>0.6</v>
      </c>
      <c r="P77" s="697"/>
      <c r="Q77" s="697" t="str">
        <f>IFERROR(__xludf.DUMMYFUNCTION("""COMPUTED_VALUE"""),"This study confirmed that oral artesunate administered at a dose of 4 mg/kg body weight and praziquantel administered orally at a dose of 40 mg/kg body weight, either singly or in combination, are safe, well tolerated and effective in the treatment of S. "&amp;"haematobium infection in this setting. It also re-confirmed the efficacy of artesunate and its comparability with praziquantel in the treatment of S.haematobium infection in the study area and also demonstratedthat combined treatment with praziquantel and"&amp;" artesunate for S. haematobium infections is safe and more effective than treatment with either drug alone in Adim community")</f>
        <v>This study confirmed that oral artesunate administered at a dose of 4 mg/kg body weight and praziquantel administered orally at a dose of 40 mg/kg body weight, either singly or in combination, are safe, well tolerated and effective in the treatment of S. haematobium infection in this setting. It also re-confirmed the efficacy of artesunate and its comparability with praziquantel in the treatment of S.haematobium infection in the study area and also demonstratedthat combined treatment with praziquantel and artesunate for S. haematobium infections is safe and more effective than treatment with either drug alone in Adim community</v>
      </c>
      <c r="R77" s="697" t="str">
        <f>IFERROR(__xludf.DUMMYFUNCTION("""COMPUTED_VALUE"""),"Efficacy of a combination of praziquantel and artesunate in the treatment of urinary schistosomiasis in Nigeria")</f>
        <v>Efficacy of a combination of praziquantel and artesunate in the treatment of urinary schistosomiasis in Nigeria</v>
      </c>
      <c r="S77" s="699" t="str">
        <f>IFERROR(__xludf.DUMMYFUNCTION("""COMPUTED_VALUE"""),"Inyang-Etoh, P. C., et al. ""Efficacy of a combination of praziquantel and artesunate in the treatment of urinary schistosomiasis in Nigeria.""Transactions of the Royal Society of Tropical Medicine and Hygiene 103.1 (2009): 38-44.")</f>
        <v>Inyang-Etoh, P. C., et al. "Efficacy of a combination of praziquantel and artesunate in the treatment of urinary schistosomiasis in Nigeria."Transactions of the Royal Society of Tropical Medicine and Hygiene 103.1 (2009): 38-44.</v>
      </c>
      <c r="T77" s="697"/>
      <c r="U77" s="697" t="str">
        <f>IFERROR(__xludf.DUMMYFUNCTION("""COMPUTED_VALUE"""),"")</f>
        <v/>
      </c>
      <c r="V77" s="697">
        <f>IFERROR(__xludf.DUMMYFUNCTION("""COMPUTED_VALUE"""),77.0)</f>
        <v>77</v>
      </c>
    </row>
    <row r="78">
      <c r="A78" s="697" t="str">
        <f>IFERROR(__xludf.DUMMYFUNCTION("""COMPUTED_VALUE"""),"Inyang-Etoh PC, 2009")</f>
        <v>Inyang-Etoh PC, 2009</v>
      </c>
      <c r="B78" s="697" t="str">
        <f>IFERROR(__xludf.DUMMYFUNCTION("""COMPUTED_VALUE"""),"s. haematobium")</f>
        <v>s. haematobium</v>
      </c>
      <c r="C78" s="697" t="str">
        <f>IFERROR(__xludf.DUMMYFUNCTION("""COMPUTED_VALUE"""),"Nigeria")</f>
        <v>Nigeria</v>
      </c>
      <c r="D78" s="697" t="str">
        <f>IFERROR(__xludf.DUMMYFUNCTION("""COMPUTED_VALUE"""),"Artesunate &amp; Praziquantel")</f>
        <v>Artesunate &amp; Praziquantel</v>
      </c>
      <c r="E78" s="697" t="str">
        <f>IFERROR(__xludf.DUMMYFUNCTION("""COMPUTED_VALUE"""),"Single")</f>
        <v>Single</v>
      </c>
      <c r="F78" s="697" t="str">
        <f>IFERROR(__xludf.DUMMYFUNCTION("""COMPUTED_VALUE"""),"4 mg/kg; 40 mg/kg")</f>
        <v>4 mg/kg; 40 mg/kg</v>
      </c>
      <c r="G78" s="697">
        <f>IFERROR(__xludf.DUMMYFUNCTION("""COMPUTED_VALUE"""),44.0)</f>
        <v>44</v>
      </c>
      <c r="H78" s="697" t="str">
        <f>IFERROR(__xludf.DUMMYFUNCTION("""COMPUTED_VALUE"""),"4 - 20")</f>
        <v>4 - 20</v>
      </c>
      <c r="I78" s="705" t="str">
        <f>IFERROR(__xludf.DUMMYFUNCTION("""COMPUTED_VALUE"""),"1 : 1")</f>
        <v>1 : 1</v>
      </c>
      <c r="J78" s="697">
        <f>IFERROR(__xludf.DUMMYFUNCTION("""COMPUTED_VALUE"""),2009.0)</f>
        <v>2009</v>
      </c>
      <c r="K78" s="697" t="str">
        <f>IFERROR(__xludf.DUMMYFUNCTION("""COMPUTED_VALUE"""),"4 to 20 (M/F) Heavy infection subjects with S.mansoi")</f>
        <v>4 to 20 (M/F) Heavy infection subjects with S.mansoi</v>
      </c>
      <c r="L78" s="697" t="str">
        <f>IFERROR(__xludf.DUMMYFUNCTION("""COMPUTED_VALUE"""),"Yes")</f>
        <v>Yes</v>
      </c>
      <c r="M78" s="697" t="str">
        <f>IFERROR(__xludf.DUMMYFUNCTION("""COMPUTED_VALUE"""),"Yes")</f>
        <v>Yes</v>
      </c>
      <c r="N78" s="697" t="str">
        <f>IFERROR(__xludf.DUMMYFUNCTION("""COMPUTED_VALUE"""),"Cure rate was determined by completement of treatment and examined by urine apperarance [color, clear,cloudy,presense/absence of blood]")</f>
        <v>Cure rate was determined by completement of treatment and examined by urine apperarance [color, clear,cloudy,presense/absence of blood]</v>
      </c>
      <c r="O78" s="873">
        <f>IFERROR(__xludf.DUMMYFUNCTION("""COMPUTED_VALUE"""),0.923)</f>
        <v>0.923</v>
      </c>
      <c r="P78" s="697"/>
      <c r="Q78" s="697" t="str">
        <f>IFERROR(__xludf.DUMMYFUNCTION("""COMPUTED_VALUE"""),"This study confirmed that oral artesunate administered at a dose of 4 mg/kg body weight and praziquantel administered orally at a dose of 40 mg/kg body weight, either singly or in combination, are safe, well tolerated and effective in the treatment of S. "&amp;"haematobium infection in this setting. It also re-confirmed the efficacy of artesunate and its comparability with praziquantel in the treatment of S.haematobium infection in the study area and also demonstratedthat combined treatment with praziquantel and"&amp;" artesunate for S. haematobium infections is safe and more effective than treatment with either drug alone in Adim community")</f>
        <v>This study confirmed that oral artesunate administered at a dose of 4 mg/kg body weight and praziquantel administered orally at a dose of 40 mg/kg body weight, either singly or in combination, are safe, well tolerated and effective in the treatment of S. haematobium infection in this setting. It also re-confirmed the efficacy of artesunate and its comparability with praziquantel in the treatment of S.haematobium infection in the study area and also demonstratedthat combined treatment with praziquantel and artesunate for S. haematobium infections is safe and more effective than treatment with either drug alone in Adim community</v>
      </c>
      <c r="R78" s="697" t="str">
        <f>IFERROR(__xludf.DUMMYFUNCTION("""COMPUTED_VALUE"""),"Efficacy of a combination of praziquantel and artesunate in the treatment of urinary schistosomiasis in Nigeria")</f>
        <v>Efficacy of a combination of praziquantel and artesunate in the treatment of urinary schistosomiasis in Nigeria</v>
      </c>
      <c r="S78" s="699" t="str">
        <f>IFERROR(__xludf.DUMMYFUNCTION("""COMPUTED_VALUE"""),"Inyang-Etoh, P. C., et al. ""Efficacy of a combination of praziquantel and artesunate in the treatment of urinary schistosomiasis in Nigeria.""Transactions of the Royal Society of Tropical Medicine and Hygiene 103.1 (2009): 38-44.")</f>
        <v>Inyang-Etoh, P. C., et al. "Efficacy of a combination of praziquantel and artesunate in the treatment of urinary schistosomiasis in Nigeria."Transactions of the Royal Society of Tropical Medicine and Hygiene 103.1 (2009): 38-44.</v>
      </c>
      <c r="T78" s="697"/>
      <c r="U78" s="697" t="str">
        <f>IFERROR(__xludf.DUMMYFUNCTION("""COMPUTED_VALUE"""),"")</f>
        <v/>
      </c>
      <c r="V78" s="697">
        <f>IFERROR(__xludf.DUMMYFUNCTION("""COMPUTED_VALUE"""),78.0)</f>
        <v>78</v>
      </c>
    </row>
    <row r="79">
      <c r="A79" s="697" t="str">
        <f>IFERROR(__xludf.DUMMYFUNCTION("""COMPUTED_VALUE"""),"Inyang-Etoh PC, 2009")</f>
        <v>Inyang-Etoh PC, 2009</v>
      </c>
      <c r="B79" s="697" t="str">
        <f>IFERROR(__xludf.DUMMYFUNCTION("""COMPUTED_VALUE"""),"s. haematobium")</f>
        <v>s. haematobium</v>
      </c>
      <c r="C79" s="697" t="str">
        <f>IFERROR(__xludf.DUMMYFUNCTION("""COMPUTED_VALUE"""),"Nigeria")</f>
        <v>Nigeria</v>
      </c>
      <c r="D79" s="697" t="str">
        <f>IFERROR(__xludf.DUMMYFUNCTION("""COMPUTED_VALUE"""),"Praziquantel")</f>
        <v>Praziquantel</v>
      </c>
      <c r="E79" s="697" t="str">
        <f>IFERROR(__xludf.DUMMYFUNCTION("""COMPUTED_VALUE"""),"Single")</f>
        <v>Single</v>
      </c>
      <c r="F79" s="697" t="str">
        <f>IFERROR(__xludf.DUMMYFUNCTION("""COMPUTED_VALUE"""),"40 mg/kg")</f>
        <v>40 mg/kg</v>
      </c>
      <c r="G79" s="697">
        <f>IFERROR(__xludf.DUMMYFUNCTION("""COMPUTED_VALUE"""),42.0)</f>
        <v>42</v>
      </c>
      <c r="H79" s="697" t="str">
        <f>IFERROR(__xludf.DUMMYFUNCTION("""COMPUTED_VALUE"""),"4 - 20")</f>
        <v>4 - 20</v>
      </c>
      <c r="I79" s="705" t="str">
        <f>IFERROR(__xludf.DUMMYFUNCTION("""COMPUTED_VALUE"""),"1 : 1")</f>
        <v>1 : 1</v>
      </c>
      <c r="J79" s="697">
        <f>IFERROR(__xludf.DUMMYFUNCTION("""COMPUTED_VALUE"""),2009.0)</f>
        <v>2009</v>
      </c>
      <c r="K79" s="697" t="str">
        <f>IFERROR(__xludf.DUMMYFUNCTION("""COMPUTED_VALUE"""),"4 to 20 (M/F) Heavy infection subjects with S.mansoi")</f>
        <v>4 to 20 (M/F) Heavy infection subjects with S.mansoi</v>
      </c>
      <c r="L79" s="697" t="str">
        <f>IFERROR(__xludf.DUMMYFUNCTION("""COMPUTED_VALUE"""),"Yes")</f>
        <v>Yes</v>
      </c>
      <c r="M79" s="697" t="str">
        <f>IFERROR(__xludf.DUMMYFUNCTION("""COMPUTED_VALUE"""),"Yes")</f>
        <v>Yes</v>
      </c>
      <c r="N79" s="697" t="str">
        <f>IFERROR(__xludf.DUMMYFUNCTION("""COMPUTED_VALUE"""),"Cure rate was determined by completement of treatment and examined by urine apperarance [color, clear,cloudy,presense/absence of blood]")</f>
        <v>Cure rate was determined by completement of treatment and examined by urine apperarance [color, clear,cloudy,presense/absence of blood]</v>
      </c>
      <c r="O79" s="873">
        <f>IFERROR(__xludf.DUMMYFUNCTION("""COMPUTED_VALUE"""),0.778)</f>
        <v>0.778</v>
      </c>
      <c r="P79" s="697"/>
      <c r="Q79" s="697" t="str">
        <f>IFERROR(__xludf.DUMMYFUNCTION("""COMPUTED_VALUE"""),"This study confirmed that oral artesunate administered at a dose of 4 mg/kg body weight and praziquantel administered orally at a dose of 40 mg/kg body weight, either singly or in combination, are safe, well tolerated and effective in the treatment of S. "&amp;"haematobium infection in this setting. It also re-confirmed the efficacy of artesunate and its comparability with praziquantel in the treatment of S.haematobium infection in the study area and also demonstratedthat combined treatment with praziquantel and"&amp;" artesunate for S. haematobium infections is safe and more effective than treatment with either drug alone in Adim community")</f>
        <v>This study confirmed that oral artesunate administered at a dose of 4 mg/kg body weight and praziquantel administered orally at a dose of 40 mg/kg body weight, either singly or in combination, are safe, well tolerated and effective in the treatment of S. haematobium infection in this setting. It also re-confirmed the efficacy of artesunate and its comparability with praziquantel in the treatment of S.haematobium infection in the study area and also demonstratedthat combined treatment with praziquantel and artesunate for S. haematobium infections is safe and more effective than treatment with either drug alone in Adim community</v>
      </c>
      <c r="R79" s="697" t="str">
        <f>IFERROR(__xludf.DUMMYFUNCTION("""COMPUTED_VALUE"""),"Efficacy of a combination of praziquantel and artesunate in the treatment of urinary schistosomiasis in Nigeria")</f>
        <v>Efficacy of a combination of praziquantel and artesunate in the treatment of urinary schistosomiasis in Nigeria</v>
      </c>
      <c r="S79" s="699" t="str">
        <f>IFERROR(__xludf.DUMMYFUNCTION("""COMPUTED_VALUE"""),"Inyang-Etoh, P. C., et al. ""Efficacy of a combination of praziquantel and artesunate in the treatment of urinary schistosomiasis in Nigeria.""Transactions of the Royal Society of Tropical Medicine and Hygiene 103.1 (2009): 38-44.")</f>
        <v>Inyang-Etoh, P. C., et al. "Efficacy of a combination of praziquantel and artesunate in the treatment of urinary schistosomiasis in Nigeria."Transactions of the Royal Society of Tropical Medicine and Hygiene 103.1 (2009): 38-44.</v>
      </c>
      <c r="T79" s="697"/>
      <c r="U79" s="697" t="str">
        <f>IFERROR(__xludf.DUMMYFUNCTION("""COMPUTED_VALUE"""),"")</f>
        <v/>
      </c>
      <c r="V79" s="697">
        <f>IFERROR(__xludf.DUMMYFUNCTION("""COMPUTED_VALUE"""),79.0)</f>
        <v>79</v>
      </c>
    </row>
    <row r="80">
      <c r="A80" s="697" t="str">
        <f>IFERROR(__xludf.DUMMYFUNCTION("""COMPUTED_VALUE"""),"Inyang-Etoh PC, 2009")</f>
        <v>Inyang-Etoh PC, 2009</v>
      </c>
      <c r="B80" s="697" t="str">
        <f>IFERROR(__xludf.DUMMYFUNCTION("""COMPUTED_VALUE"""),"s. haematobium")</f>
        <v>s. haematobium</v>
      </c>
      <c r="C80" s="697" t="str">
        <f>IFERROR(__xludf.DUMMYFUNCTION("""COMPUTED_VALUE"""),"Nigeria")</f>
        <v>Nigeria</v>
      </c>
      <c r="D80" s="697" t="str">
        <f>IFERROR(__xludf.DUMMYFUNCTION("""COMPUTED_VALUE"""),"Artesunate")</f>
        <v>Artesunate</v>
      </c>
      <c r="E80" s="697" t="str">
        <f>IFERROR(__xludf.DUMMYFUNCTION("""COMPUTED_VALUE"""),"Single")</f>
        <v>Single</v>
      </c>
      <c r="F80" s="697" t="str">
        <f>IFERROR(__xludf.DUMMYFUNCTION("""COMPUTED_VALUE"""),"4 mg/kg")</f>
        <v>4 mg/kg</v>
      </c>
      <c r="G80" s="697">
        <f>IFERROR(__xludf.DUMMYFUNCTION("""COMPUTED_VALUE"""),44.0)</f>
        <v>44</v>
      </c>
      <c r="H80" s="697" t="str">
        <f>IFERROR(__xludf.DUMMYFUNCTION("""COMPUTED_VALUE"""),"4 - 20")</f>
        <v>4 - 20</v>
      </c>
      <c r="I80" s="705" t="str">
        <f>IFERROR(__xludf.DUMMYFUNCTION("""COMPUTED_VALUE"""),"1 : 1")</f>
        <v>1 : 1</v>
      </c>
      <c r="J80" s="697">
        <f>IFERROR(__xludf.DUMMYFUNCTION("""COMPUTED_VALUE"""),2009.0)</f>
        <v>2009</v>
      </c>
      <c r="K80" s="697" t="str">
        <f>IFERROR(__xludf.DUMMYFUNCTION("""COMPUTED_VALUE"""),"4 to 20 (M/F) Heavy infection subjects with S.mansoi")</f>
        <v>4 to 20 (M/F) Heavy infection subjects with S.mansoi</v>
      </c>
      <c r="L80" s="697" t="str">
        <f>IFERROR(__xludf.DUMMYFUNCTION("""COMPUTED_VALUE"""),"Yes")</f>
        <v>Yes</v>
      </c>
      <c r="M80" s="697" t="str">
        <f>IFERROR(__xludf.DUMMYFUNCTION("""COMPUTED_VALUE"""),"Yes")</f>
        <v>Yes</v>
      </c>
      <c r="N80" s="697" t="str">
        <f>IFERROR(__xludf.DUMMYFUNCTION("""COMPUTED_VALUE"""),"Cure rate was determined by completement of treatment and examined by urine apperarance [color, clear,cloudy,presense/absence of blood]")</f>
        <v>Cure rate was determined by completement of treatment and examined by urine apperarance [color, clear,cloudy,presense/absence of blood]</v>
      </c>
      <c r="O80" s="872">
        <f>IFERROR(__xludf.DUMMYFUNCTION("""COMPUTED_VALUE"""),0.3)</f>
        <v>0.3</v>
      </c>
      <c r="P80" s="697"/>
      <c r="Q80" s="697" t="str">
        <f>IFERROR(__xludf.DUMMYFUNCTION("""COMPUTED_VALUE"""),"This study confirmed that oral artesunate administered at a dose of 4 mg/kg body weight and praziquantel administered orally at a dose of 40 mg/kg body weight, either singly or in combination, are safe, well tolerated and effective in the treatment of S. "&amp;"haematobium infection in this setting. It also re-confirmed the efficacy of artesunate and its comparability with praziquantel in the treatment of S.haematobium infection in the study area and also demonstratedthat combined treatment with praziquantel and"&amp;" artesunate for S. haematobium infections is safe and more effective than treatment with either drug alone in Adim community")</f>
        <v>This study confirmed that oral artesunate administered at a dose of 4 mg/kg body weight and praziquantel administered orally at a dose of 40 mg/kg body weight, either singly or in combination, are safe, well tolerated and effective in the treatment of S. haematobium infection in this setting. It also re-confirmed the efficacy of artesunate and its comparability with praziquantel in the treatment of S.haematobium infection in the study area and also demonstratedthat combined treatment with praziquantel and artesunate for S. haematobium infections is safe and more effective than treatment with either drug alone in Adim community</v>
      </c>
      <c r="R80" s="697" t="str">
        <f>IFERROR(__xludf.DUMMYFUNCTION("""COMPUTED_VALUE"""),"Efficacy of a combination of praziquantel and artesunate in the treatment of urinary schistosomiasis in Nigeria")</f>
        <v>Efficacy of a combination of praziquantel and artesunate in the treatment of urinary schistosomiasis in Nigeria</v>
      </c>
      <c r="S80" s="699" t="str">
        <f>IFERROR(__xludf.DUMMYFUNCTION("""COMPUTED_VALUE"""),"Inyang-Etoh, P. C., et al. ""Efficacy of a combination of praziquantel and artesunate in the treatment of urinary schistosomiasis in Nigeria.""Transactions of the Royal Society of Tropical Medicine and Hygiene 103.1 (2009): 38-44.")</f>
        <v>Inyang-Etoh, P. C., et al. "Efficacy of a combination of praziquantel and artesunate in the treatment of urinary schistosomiasis in Nigeria."Transactions of the Royal Society of Tropical Medicine and Hygiene 103.1 (2009): 38-44.</v>
      </c>
      <c r="T80" s="697"/>
      <c r="U80" s="697" t="str">
        <f>IFERROR(__xludf.DUMMYFUNCTION("""COMPUTED_VALUE"""),"")</f>
        <v/>
      </c>
      <c r="V80" s="697">
        <f>IFERROR(__xludf.DUMMYFUNCTION("""COMPUTED_VALUE"""),80.0)</f>
        <v>80</v>
      </c>
    </row>
    <row r="81">
      <c r="A81" s="697" t="str">
        <f>IFERROR(__xludf.DUMMYFUNCTION("""COMPUTED_VALUE"""),"Kabatereine NB, 2003")</f>
        <v>Kabatereine NB, 2003</v>
      </c>
      <c r="B81" s="697" t="str">
        <f>IFERROR(__xludf.DUMMYFUNCTION("""COMPUTED_VALUE"""),"s. mansoni")</f>
        <v>s. mansoni</v>
      </c>
      <c r="C81" s="697" t="str">
        <f>IFERROR(__xludf.DUMMYFUNCTION("""COMPUTED_VALUE"""),"Uganda")</f>
        <v>Uganda</v>
      </c>
      <c r="D81" s="697" t="str">
        <f>IFERROR(__xludf.DUMMYFUNCTION("""COMPUTED_VALUE"""),"praziquantel")</f>
        <v>praziquantel</v>
      </c>
      <c r="E81" s="697" t="str">
        <f>IFERROR(__xludf.DUMMYFUNCTION("""COMPUTED_VALUE"""),"Single")</f>
        <v>Single</v>
      </c>
      <c r="F81" s="697" t="str">
        <f>IFERROR(__xludf.DUMMYFUNCTION("""COMPUTED_VALUE"""),"40 mg/kg")</f>
        <v>40 mg/kg</v>
      </c>
      <c r="G81" s="697">
        <f>IFERROR(__xludf.DUMMYFUNCTION("""COMPUTED_VALUE"""),482.0)</f>
        <v>482</v>
      </c>
      <c r="H81" s="697" t="str">
        <f>IFERROR(__xludf.DUMMYFUNCTION("""COMPUTED_VALUE"""),"5-54")</f>
        <v>5-54</v>
      </c>
      <c r="I81" s="697"/>
      <c r="J81" s="697">
        <f>IFERROR(__xludf.DUMMYFUNCTION("""COMPUTED_VALUE"""),1997.0)</f>
        <v>1997</v>
      </c>
      <c r="K81" s="697" t="str">
        <f>IFERROR(__xludf.DUMMYFUNCTION("""COMPUTED_VALUE"""),"Schistosomiasis patients who had lived in the town for a minimum of 3 years")</f>
        <v>Schistosomiasis patients who had lived in the town for a minimum of 3 years</v>
      </c>
      <c r="L81" s="697" t="str">
        <f>IFERROR(__xludf.DUMMYFUNCTION("""COMPUTED_VALUE"""),"No")</f>
        <v>No</v>
      </c>
      <c r="M81" s="697" t="str">
        <f>IFERROR(__xludf.DUMMYFUNCTION("""COMPUTED_VALUE"""),"Yes")</f>
        <v>Yes</v>
      </c>
      <c r="N81" s="697" t="str">
        <f>IFERROR(__xludf.DUMMYFUNCTION("""COMPUTED_VALUE"""),"6 weeks following first treatment")</f>
        <v>6 weeks following first treatment</v>
      </c>
      <c r="O81" s="873">
        <f>IFERROR(__xludf.DUMMYFUNCTION("""COMPUTED_VALUE"""),0.491)</f>
        <v>0.491</v>
      </c>
      <c r="P81" s="698">
        <f>IFERROR(__xludf.DUMMYFUNCTION("""COMPUTED_VALUE"""),0.977)</f>
        <v>0.977</v>
      </c>
      <c r="Q81" s="697" t="str">
        <f>IFERROR(__xludf.DUMMYFUNCTION("""COMPUTED_VALUE"""),"The marked reductions in faecal egg excretion and the acceptable level of side effects point to a single praziquantel treatment")</f>
        <v>The marked reductions in faecal egg excretion and the acceptable level of side effects point to a single praziquantel treatment</v>
      </c>
      <c r="R81" s="697" t="str">
        <f>IFERROR(__xludf.DUMMYFUNCTION("""COMPUTED_VALUE"""),"Efficacy and side effects of prazinquantel treatment in a highly endemic Schistosoma mansoni focus at Lake Albert, Uganda")</f>
        <v>Efficacy and side effects of prazinquantel treatment in a highly endemic Schistosoma mansoni focus at Lake Albert, Uganda</v>
      </c>
      <c r="S81" s="699" t="str">
        <f>IFERROR(__xludf.DUMMYFUNCTION("""COMPUTED_VALUE"""),"NB Kabatereine et al. (2003). Efficacy and side effects of praziquantel treatment in a highly endemicSchistosoma mansoni focus at Lake Albert, Uganda. Transactions of the Royal Society of Tropical Medicine and Hygiene,97(5),pp.599-603")</f>
        <v>NB Kabatereine et al. (2003). Efficacy and side effects of praziquantel treatment in a highly endemicSchistosoma mansoni focus at Lake Albert, Uganda. Transactions of the Royal Society of Tropical Medicine and Hygiene,97(5),pp.599-603</v>
      </c>
      <c r="T81" s="697"/>
      <c r="U81" s="697" t="str">
        <f>IFERROR(__xludf.DUMMYFUNCTION("""COMPUTED_VALUE"""),"")</f>
        <v/>
      </c>
      <c r="V81" s="697">
        <f>IFERROR(__xludf.DUMMYFUNCTION("""COMPUTED_VALUE"""),81.0)</f>
        <v>81</v>
      </c>
    </row>
    <row r="82">
      <c r="A82" s="697" t="str">
        <f>IFERROR(__xludf.DUMMYFUNCTION("""COMPUTED_VALUE"""),"Karanja D, 1998")</f>
        <v>Karanja D, 1998</v>
      </c>
      <c r="B82" s="697" t="str">
        <f>IFERROR(__xludf.DUMMYFUNCTION("""COMPUTED_VALUE"""),"s. mansoni")</f>
        <v>s. mansoni</v>
      </c>
      <c r="C82" s="697" t="str">
        <f>IFERROR(__xludf.DUMMYFUNCTION("""COMPUTED_VALUE"""),"Kenya")</f>
        <v>Kenya</v>
      </c>
      <c r="D82" s="697" t="str">
        <f>IFERROR(__xludf.DUMMYFUNCTION("""COMPUTED_VALUE"""),"Praziquantel")</f>
        <v>Praziquantel</v>
      </c>
      <c r="E82" s="697" t="str">
        <f>IFERROR(__xludf.DUMMYFUNCTION("""COMPUTED_VALUE"""),"Single")</f>
        <v>Single</v>
      </c>
      <c r="F82" s="697" t="str">
        <f>IFERROR(__xludf.DUMMYFUNCTION("""COMPUTED_VALUE"""),"40 mg/kg")</f>
        <v>40 mg/kg</v>
      </c>
      <c r="G82" s="697">
        <f>IFERROR(__xludf.DUMMYFUNCTION("""COMPUTED_VALUE"""),15.0)</f>
        <v>15</v>
      </c>
      <c r="H82" s="697"/>
      <c r="I82" s="697"/>
      <c r="J82" s="697">
        <f>IFERROR(__xludf.DUMMYFUNCTION("""COMPUTED_VALUE"""),1998.0)</f>
        <v>1998</v>
      </c>
      <c r="K82" s="697" t="str">
        <f>IFERROR(__xludf.DUMMYFUNCTION("""COMPUTED_VALUE"""),"Individuals infected with Schistosomiasis and HIV infection")</f>
        <v>Individuals infected with Schistosomiasis and HIV infection</v>
      </c>
      <c r="L82" s="697" t="str">
        <f>IFERROR(__xludf.DUMMYFUNCTION("""COMPUTED_VALUE"""),"No")</f>
        <v>No</v>
      </c>
      <c r="M82" s="697" t="str">
        <f>IFERROR(__xludf.DUMMYFUNCTION("""COMPUTED_VALUE"""),"No")</f>
        <v>No</v>
      </c>
      <c r="N82" s="697" t="str">
        <f>IFERROR(__xludf.DUMMYFUNCTION("""COMPUTED_VALUE"""),"4 weeks following treatment, stool and urine samples were examined for the presence of schistosome eggs")</f>
        <v>4 weeks following treatment, stool and urine samples were examined for the presence of schistosome eggs</v>
      </c>
      <c r="O82" s="871"/>
      <c r="P82" s="700">
        <f>IFERROR(__xludf.DUMMYFUNCTION("""COMPUTED_VALUE"""),0.93)</f>
        <v>0.93</v>
      </c>
      <c r="Q82" s="697" t="str">
        <f>IFERROR(__xludf.DUMMYFUNCTION("""COMPUTED_VALUE"""),"The results of this study demonstrating that praziquantel is effective against schistosomiasis in HIV-1 infected individuals is encouraging.")</f>
        <v>The results of this study demonstrating that praziquantel is effective against schistosomiasis in HIV-1 infected individuals is encouraging.</v>
      </c>
      <c r="R82" s="697" t="str">
        <f>IFERROR(__xludf.DUMMYFUNCTION("""COMPUTED_VALUE"""),"STUDIES ON SCHISTOSOMIASIS IN WESTERN KENYA: II. EFFICACY OF PRAZIQUANTEL FOR TREATMENT OF SCHISTOSOMIASIS IN PERSONS COINFECTED WITH HUMAN IMMUNODEFICIENCY VIRUS-1")</f>
        <v>STUDIES ON SCHISTOSOMIASIS IN WESTERN KENYA: II. EFFICACY OF PRAZIQUANTEL FOR TREATMENT OF SCHISTOSOMIASIS IN PERSONS COINFECTED WITH HUMAN IMMUNODEFICIENCY VIRUS-1</v>
      </c>
      <c r="S82" s="699" t="str">
        <f>IFERROR(__xludf.DUMMYFUNCTION("""COMPUTED_VALUE"""),"Karanja, Diana, Anne E. Boyer, Mette Strand, Daniel G. Colley, Bernard L. Nahlen, John H. Ouma, and Evan W. Secor. ""STUDIES ON SCHISTOSOMIASIS IN WESTERN KENYA: II. EFFICACY OF PRAZIQUANTEL FOR TREATMENT OF SCHISTOSOMIASIS IN PERSONS COINFECTED WITH HUMA"&amp;"N IMMUNODEFICIENCY VIRUS-1."" Am. J. Trop Med 59.2 (1998): 307-11.")</f>
        <v>Karanja, Diana, Anne E. Boyer, Mette Strand, Daniel G. Colley, Bernard L. Nahlen, John H. Ouma, and Evan W. Secor. "STUDIES ON SCHISTOSOMIASIS IN WESTERN KENYA: II. EFFICACY OF PRAZIQUANTEL FOR TREATMENT OF SCHISTOSOMIASIS IN PERSONS COINFECTED WITH HUMAN IMMUNODEFICIENCY VIRUS-1." Am. J. Trop Med 59.2 (1998): 307-11.</v>
      </c>
      <c r="T82" s="697"/>
      <c r="U82" s="697" t="str">
        <f>IFERROR(__xludf.DUMMYFUNCTION("""COMPUTED_VALUE"""),"x")</f>
        <v>x</v>
      </c>
      <c r="V82" s="697">
        <f>IFERROR(__xludf.DUMMYFUNCTION("""COMPUTED_VALUE"""),82.0)</f>
        <v>82</v>
      </c>
    </row>
    <row r="83">
      <c r="A83" s="697" t="str">
        <f>IFERROR(__xludf.DUMMYFUNCTION("""COMPUTED_VALUE"""),"Kardaman MW, 1983")</f>
        <v>Kardaman MW, 1983</v>
      </c>
      <c r="B83" s="697" t="str">
        <f>IFERROR(__xludf.DUMMYFUNCTION("""COMPUTED_VALUE"""),"s. mansoni")</f>
        <v>s. mansoni</v>
      </c>
      <c r="C83" s="697" t="str">
        <f>IFERROR(__xludf.DUMMYFUNCTION("""COMPUTED_VALUE"""),"Sudan")</f>
        <v>Sudan</v>
      </c>
      <c r="D83" s="697" t="str">
        <f>IFERROR(__xludf.DUMMYFUNCTION("""COMPUTED_VALUE"""),"Praziquantel")</f>
        <v>Praziquantel</v>
      </c>
      <c r="E83" s="697" t="str">
        <f>IFERROR(__xludf.DUMMYFUNCTION("""COMPUTED_VALUE"""),"Single")</f>
        <v>Single</v>
      </c>
      <c r="F83" s="697" t="str">
        <f>IFERROR(__xludf.DUMMYFUNCTION("""COMPUTED_VALUE"""),"40 mg/kg")</f>
        <v>40 mg/kg</v>
      </c>
      <c r="G83" s="697">
        <f>IFERROR(__xludf.DUMMYFUNCTION("""COMPUTED_VALUE"""),179.0)</f>
        <v>179</v>
      </c>
      <c r="H83" s="697" t="str">
        <f>IFERROR(__xludf.DUMMYFUNCTION("""COMPUTED_VALUE"""),"6 - 13")</f>
        <v>6 - 13</v>
      </c>
      <c r="I83" s="697"/>
      <c r="J83" s="697">
        <f>IFERROR(__xludf.DUMMYFUNCTION("""COMPUTED_VALUE"""),1983.0)</f>
        <v>1983</v>
      </c>
      <c r="K83" s="697" t="str">
        <f>IFERROR(__xludf.DUMMYFUNCTION("""COMPUTED_VALUE"""),"schoolchildren who provided two stool samples positive for S. mansoni or two urine samples positive ")</f>
        <v>schoolchildren who provided two stool samples positive for S. mansoni or two urine samples positive </v>
      </c>
      <c r="L83" s="697" t="str">
        <f>IFERROR(__xludf.DUMMYFUNCTION("""COMPUTED_VALUE"""),"No")</f>
        <v>No</v>
      </c>
      <c r="M83" s="697" t="str">
        <f>IFERROR(__xludf.DUMMYFUNCTION("""COMPUTED_VALUE"""),"Yes")</f>
        <v>Yes</v>
      </c>
      <c r="N83" s="697" t="str">
        <f>IFERROR(__xludf.DUMMYFUNCTION("""COMPUTED_VALUE"""),"Cure rate 3 months")</f>
        <v>Cure rate 3 months</v>
      </c>
      <c r="O83" s="873">
        <f>IFERROR(__xludf.DUMMYFUNCTION("""COMPUTED_VALUE"""),0.788)</f>
        <v>0.788</v>
      </c>
      <c r="P83" s="697" t="str">
        <f>IFERROR(__xludf.DUMMYFUNCTION("""COMPUTED_VALUE"""),"&gt;95%")</f>
        <v>&gt;95%</v>
      </c>
      <c r="Q83" s="697" t="str">
        <f>IFERROR(__xludf.DUMMYFUNCTION("""COMPUTED_VALUE"""),"The results suggest that chemotherapy with praziquantel is safe, effective and acceptable, and that concurrent transmission control could increase the interval before subsequent chemotherapy would otherwise be required.")</f>
        <v>The results suggest that chemotherapy with praziquantel is safe, effective and acceptable, and that concurrent transmission control could increase the interval before subsequent chemotherapy would otherwise be required.</v>
      </c>
      <c r="R83" s="697" t="str">
        <f>IFERROR(__xludf.DUMMYFUNCTION("""COMPUTED_VALUE"""),"A field trial using praziquantel (Biltricide"") to treat Schistosoma mansoni and Schistosoma haematobium infection in Gezira, Sudan")</f>
        <v>A field trial using praziquantel (Biltricide") to treat Schistosoma mansoni and Schistosoma haematobium infection in Gezira, Sudan</v>
      </c>
      <c r="S83" s="699" t="str">
        <f>IFERROR(__xludf.DUMMYFUNCTION("""COMPUTED_VALUE"""),"Kardaman MW, Amin MA, Fenwick A, Cheesmond AK, Dixon HG. A field trial using praziquantel (Biltricide) to treat Schistosoma mansoni and Schistosoma haematobium infection in Gezira, Sudan. Annals of Tropical Medicine and Parasitology 1983;77(3):297–304.")</f>
        <v>Kardaman MW, Amin MA, Fenwick A, Cheesmond AK, Dixon HG. A field trial using praziquantel (Biltricide) to treat Schistosoma mansoni and Schistosoma haematobium infection in Gezira, Sudan. Annals of Tropical Medicine and Parasitology 1983;77(3):297–304.</v>
      </c>
      <c r="T83" s="697"/>
      <c r="U83" s="697" t="str">
        <f>IFERROR(__xludf.DUMMYFUNCTION("""COMPUTED_VALUE"""),"")</f>
        <v/>
      </c>
      <c r="V83" s="697">
        <f>IFERROR(__xludf.DUMMYFUNCTION("""COMPUTED_VALUE"""),83.0)</f>
        <v>83</v>
      </c>
    </row>
    <row r="84">
      <c r="A84" s="697" t="str">
        <f>IFERROR(__xludf.DUMMYFUNCTION("""COMPUTED_VALUE"""),"Kardaman MW, 1983")</f>
        <v>Kardaman MW, 1983</v>
      </c>
      <c r="B84" s="697" t="str">
        <f>IFERROR(__xludf.DUMMYFUNCTION("""COMPUTED_VALUE"""),"s. mansoni")</f>
        <v>s. mansoni</v>
      </c>
      <c r="C84" s="697" t="str">
        <f>IFERROR(__xludf.DUMMYFUNCTION("""COMPUTED_VALUE"""),"Sudan")</f>
        <v>Sudan</v>
      </c>
      <c r="D84" s="697" t="str">
        <f>IFERROR(__xludf.DUMMYFUNCTION("""COMPUTED_VALUE"""),"Praziquantel")</f>
        <v>Praziquantel</v>
      </c>
      <c r="E84" s="697" t="str">
        <f>IFERROR(__xludf.DUMMYFUNCTION("""COMPUTED_VALUE"""),"Two")</f>
        <v>Two</v>
      </c>
      <c r="F84" s="697" t="str">
        <f>IFERROR(__xludf.DUMMYFUNCTION("""COMPUTED_VALUE"""),"20 mg/kg")</f>
        <v>20 mg/kg</v>
      </c>
      <c r="G84" s="697">
        <f>IFERROR(__xludf.DUMMYFUNCTION("""COMPUTED_VALUE"""),171.0)</f>
        <v>171</v>
      </c>
      <c r="H84" s="697" t="str">
        <f>IFERROR(__xludf.DUMMYFUNCTION("""COMPUTED_VALUE"""),"6 - 13 ")</f>
        <v>6 - 13 </v>
      </c>
      <c r="I84" s="697"/>
      <c r="J84" s="697">
        <f>IFERROR(__xludf.DUMMYFUNCTION("""COMPUTED_VALUE"""),1983.0)</f>
        <v>1983</v>
      </c>
      <c r="K84" s="697" t="str">
        <f>IFERROR(__xludf.DUMMYFUNCTION("""COMPUTED_VALUE"""),"schoolchildren who provided two stool samples positive for S. mansoni or two urine samples positive ")</f>
        <v>schoolchildren who provided two stool samples positive for S. mansoni or two urine samples positive </v>
      </c>
      <c r="L84" s="697" t="str">
        <f>IFERROR(__xludf.DUMMYFUNCTION("""COMPUTED_VALUE"""),"No")</f>
        <v>No</v>
      </c>
      <c r="M84" s="697" t="str">
        <f>IFERROR(__xludf.DUMMYFUNCTION("""COMPUTED_VALUE"""),"Yes")</f>
        <v>Yes</v>
      </c>
      <c r="N84" s="697" t="str">
        <f>IFERROR(__xludf.DUMMYFUNCTION("""COMPUTED_VALUE"""),"Cure rate 3 months")</f>
        <v>Cure rate 3 months</v>
      </c>
      <c r="O84" s="873">
        <f>IFERROR(__xludf.DUMMYFUNCTION("""COMPUTED_VALUE"""),0.906)</f>
        <v>0.906</v>
      </c>
      <c r="P84" s="697" t="str">
        <f>IFERROR(__xludf.DUMMYFUNCTION("""COMPUTED_VALUE"""),"&gt;95%")</f>
        <v>&gt;95%</v>
      </c>
      <c r="Q84" s="697" t="str">
        <f>IFERROR(__xludf.DUMMYFUNCTION("""COMPUTED_VALUE"""),"The results suggest that chemotherapy with praziquantel is safe, effective and acceptable, and that concurrent transmission control could increase the interval before subsequent chemotherapy would otherwise be required.")</f>
        <v>The results suggest that chemotherapy with praziquantel is safe, effective and acceptable, and that concurrent transmission control could increase the interval before subsequent chemotherapy would otherwise be required.</v>
      </c>
      <c r="R84" s="697" t="str">
        <f>IFERROR(__xludf.DUMMYFUNCTION("""COMPUTED_VALUE"""),"A field trial using praziquantel (Biltricide"") to treat Schistosoma mansoni and Schistosoma haematobium infection in Gezira, Sudan")</f>
        <v>A field trial using praziquantel (Biltricide") to treat Schistosoma mansoni and Schistosoma haematobium infection in Gezira, Sudan</v>
      </c>
      <c r="S84" s="699" t="str">
        <f>IFERROR(__xludf.DUMMYFUNCTION("""COMPUTED_VALUE"""),"Kardaman MW, Amin MA, Fenwick A, Cheesmond AK, Dixon HG. A field trial using praziquantel (Biltricide) to treat Schistosoma mansoni and Schistosoma haematobium infection in Gezira, Sudan. Annals of Tropical Medicine and Parasitology 1983;77(3):297–304.")</f>
        <v>Kardaman MW, Amin MA, Fenwick A, Cheesmond AK, Dixon HG. A field trial using praziquantel (Biltricide) to treat Schistosoma mansoni and Schistosoma haematobium infection in Gezira, Sudan. Annals of Tropical Medicine and Parasitology 1983;77(3):297–304.</v>
      </c>
      <c r="T84" s="697"/>
      <c r="U84" s="697" t="str">
        <f>IFERROR(__xludf.DUMMYFUNCTION("""COMPUTED_VALUE"""),"")</f>
        <v/>
      </c>
      <c r="V84" s="697">
        <f>IFERROR(__xludf.DUMMYFUNCTION("""COMPUTED_VALUE"""),84.0)</f>
        <v>84</v>
      </c>
    </row>
    <row r="85">
      <c r="A85" s="697" t="str">
        <f>IFERROR(__xludf.DUMMYFUNCTION("""COMPUTED_VALUE"""),"Kardaman MW, 1985")</f>
        <v>Kardaman MW, 1985</v>
      </c>
      <c r="B85" s="697" t="str">
        <f>IFERROR(__xludf.DUMMYFUNCTION("""COMPUTED_VALUE"""),"s. mansoni; s.haematobium")</f>
        <v>s. mansoni; s.haematobium</v>
      </c>
      <c r="C85" s="697" t="str">
        <f>IFERROR(__xludf.DUMMYFUNCTION("""COMPUTED_VALUE"""),"Sudan")</f>
        <v>Sudan</v>
      </c>
      <c r="D85" s="697" t="str">
        <f>IFERROR(__xludf.DUMMYFUNCTION("""COMPUTED_VALUE"""),"Praziquantel")</f>
        <v>Praziquantel</v>
      </c>
      <c r="E85" s="697" t="str">
        <f>IFERROR(__xludf.DUMMYFUNCTION("""COMPUTED_VALUE"""),"Single")</f>
        <v>Single</v>
      </c>
      <c r="F85" s="697" t="str">
        <f>IFERROR(__xludf.DUMMYFUNCTION("""COMPUTED_VALUE"""),"40 mg")</f>
        <v>40 mg</v>
      </c>
      <c r="G85" s="697">
        <f>IFERROR(__xludf.DUMMYFUNCTION("""COMPUTED_VALUE"""),112.0)</f>
        <v>112</v>
      </c>
      <c r="H85" s="697" t="str">
        <f>IFERROR(__xludf.DUMMYFUNCTION("""COMPUTED_VALUE"""),"7 - 11")</f>
        <v>7 - 11</v>
      </c>
      <c r="I85" s="705" t="str">
        <f>IFERROR(__xludf.DUMMYFUNCTION("""COMPUTED_VALUE"""),"146 : 74")</f>
        <v>146 : 74</v>
      </c>
      <c r="J85" s="697">
        <f>IFERROR(__xludf.DUMMYFUNCTION("""COMPUTED_VALUE"""),1985.0)</f>
        <v>1985</v>
      </c>
      <c r="K85" s="697" t="str">
        <f>IFERROR(__xludf.DUMMYFUNCTION("""COMPUTED_VALUE"""),"schoolchildren who provided two stool samples positive for S. mansoni or two urine samples positive ")</f>
        <v>schoolchildren who provided two stool samples positive for S. mansoni or two urine samples positive </v>
      </c>
      <c r="L85" s="697" t="str">
        <f>IFERROR(__xludf.DUMMYFUNCTION("""COMPUTED_VALUE"""),"No")</f>
        <v>No</v>
      </c>
      <c r="M85" s="697" t="str">
        <f>IFERROR(__xludf.DUMMYFUNCTION("""COMPUTED_VALUE"""),"Yes")</f>
        <v>Yes</v>
      </c>
      <c r="N85" s="697" t="str">
        <f>IFERROR(__xludf.DUMMYFUNCTION("""COMPUTED_VALUE""")," follow up study : Cure rate 3 month")</f>
        <v> follow up study : Cure rate 3 month</v>
      </c>
      <c r="O85" s="873">
        <f>IFERROR(__xludf.DUMMYFUNCTION("""COMPUTED_VALUE"""),0.647)</f>
        <v>0.647</v>
      </c>
      <c r="P85" s="697"/>
      <c r="Q85" s="697" t="str">
        <f>IFERROR(__xludf.DUMMYFUNCTION("""COMPUTED_VALUE"""),"The results suggest that for schoolchildren in Gezira, chemotherapy will be required every 6 months to keep the prevalence low, unless some effective transmission control method can be found.")</f>
        <v>The results suggest that for schoolchildren in Gezira, chemotherapy will be required every 6 months to keep the prevalence low, unless some effective transmission control method can be found.</v>
      </c>
      <c r="R85" s="697" t="str">
        <f>IFERROR(__xludf.DUMMYFUNCTION("""COMPUTED_VALUE"""),"Treatment with praziquantel of schoolchildren with concurrent Schistosoma mansoni and S. haematobium infections in Gezira, Sudan")</f>
        <v>Treatment with praziquantel of schoolchildren with concurrent Schistosoma mansoni and S. haematobium infections in Gezira, Sudan</v>
      </c>
      <c r="S85" s="699" t="str">
        <f>IFERROR(__xludf.DUMMYFUNCTION("""COMPUTED_VALUE"""),"Kardaman MW, Fenwick A, el Igail AB, el Tayeb M, Daffalla AA, Dixon HG. Treatment with praziquantel of schoolchildren with concurrent Schistosoma mansoni and S. haematobium infections in Gezira, Sudan. Journal of Tropical Medicine and Hygiene 1985;88(2):1"&amp;"05–9.")</f>
        <v>Kardaman MW, Fenwick A, el Igail AB, el Tayeb M, Daffalla AA, Dixon HG. Treatment with praziquantel of schoolchildren with concurrent Schistosoma mansoni and S. haematobium infections in Gezira, Sudan. Journal of Tropical Medicine and Hygiene 1985;88(2):105–9.</v>
      </c>
      <c r="T85" s="697"/>
      <c r="U85" s="697" t="str">
        <f>IFERROR(__xludf.DUMMYFUNCTION("""COMPUTED_VALUE"""),"x")</f>
        <v>x</v>
      </c>
      <c r="V85" s="697">
        <f>IFERROR(__xludf.DUMMYFUNCTION("""COMPUTED_VALUE"""),85.0)</f>
        <v>85</v>
      </c>
    </row>
    <row r="86">
      <c r="A86" s="697" t="str">
        <f>IFERROR(__xludf.DUMMYFUNCTION("""COMPUTED_VALUE"""),"Kardaman MW, 1985")</f>
        <v>Kardaman MW, 1985</v>
      </c>
      <c r="B86" s="697" t="str">
        <f>IFERROR(__xludf.DUMMYFUNCTION("""COMPUTED_VALUE"""),"s. mansoni; s.haematobium.")</f>
        <v>s. mansoni; s.haematobium.</v>
      </c>
      <c r="C86" s="697" t="str">
        <f>IFERROR(__xludf.DUMMYFUNCTION("""COMPUTED_VALUE"""),"Sudan")</f>
        <v>Sudan</v>
      </c>
      <c r="D86" s="697" t="str">
        <f>IFERROR(__xludf.DUMMYFUNCTION("""COMPUTED_VALUE"""),"Praziquantel")</f>
        <v>Praziquantel</v>
      </c>
      <c r="E86" s="697" t="str">
        <f>IFERROR(__xludf.DUMMYFUNCTION("""COMPUTED_VALUE"""),"Two")</f>
        <v>Two</v>
      </c>
      <c r="F86" s="697" t="str">
        <f>IFERROR(__xludf.DUMMYFUNCTION("""COMPUTED_VALUE"""),"20 mg")</f>
        <v>20 mg</v>
      </c>
      <c r="G86" s="697">
        <f>IFERROR(__xludf.DUMMYFUNCTION("""COMPUTED_VALUE"""),103.0)</f>
        <v>103</v>
      </c>
      <c r="H86" s="697" t="str">
        <f>IFERROR(__xludf.DUMMYFUNCTION("""COMPUTED_VALUE"""),"7 - 11")</f>
        <v>7 - 11</v>
      </c>
      <c r="I86" s="705" t="str">
        <f>IFERROR(__xludf.DUMMYFUNCTION("""COMPUTED_VALUE"""),"147 : 74")</f>
        <v>147 : 74</v>
      </c>
      <c r="J86" s="697">
        <f>IFERROR(__xludf.DUMMYFUNCTION("""COMPUTED_VALUE"""),1985.0)</f>
        <v>1985</v>
      </c>
      <c r="K86" s="697" t="str">
        <f>IFERROR(__xludf.DUMMYFUNCTION("""COMPUTED_VALUE"""),"schoolchildren who provided two stool samples positive for S. mansoni or two urine samples positive ")</f>
        <v>schoolchildren who provided two stool samples positive for S. mansoni or two urine samples positive </v>
      </c>
      <c r="L86" s="697" t="str">
        <f>IFERROR(__xludf.DUMMYFUNCTION("""COMPUTED_VALUE"""),"No")</f>
        <v>No</v>
      </c>
      <c r="M86" s="697" t="str">
        <f>IFERROR(__xludf.DUMMYFUNCTION("""COMPUTED_VALUE"""),"Yes")</f>
        <v>Yes</v>
      </c>
      <c r="N86" s="697" t="str">
        <f>IFERROR(__xludf.DUMMYFUNCTION("""COMPUTED_VALUE"""),"follow up study : Cure rate 3 month")</f>
        <v>follow up study : Cure rate 3 month</v>
      </c>
      <c r="O86" s="873">
        <f>IFERROR(__xludf.DUMMYFUNCTION("""COMPUTED_VALUE"""),0.618)</f>
        <v>0.618</v>
      </c>
      <c r="P86" s="697"/>
      <c r="Q86" s="697" t="str">
        <f>IFERROR(__xludf.DUMMYFUNCTION("""COMPUTED_VALUE"""),"The results suggest that for schoolchildren in Gezira, chemotherapy will be required every 6 months to keep the prevalence low, unless some effective transmission control method can be found.")</f>
        <v>The results suggest that for schoolchildren in Gezira, chemotherapy will be required every 6 months to keep the prevalence low, unless some effective transmission control method can be found.</v>
      </c>
      <c r="R86" s="697" t="str">
        <f>IFERROR(__xludf.DUMMYFUNCTION("""COMPUTED_VALUE"""),"Treatment with praziquantel of schoolchildren with concurrent Schistosoma mansoni and S. haematobium infections in Gezira, Sudan")</f>
        <v>Treatment with praziquantel of schoolchildren with concurrent Schistosoma mansoni and S. haematobium infections in Gezira, Sudan</v>
      </c>
      <c r="S86" s="699" t="str">
        <f>IFERROR(__xludf.DUMMYFUNCTION("""COMPUTED_VALUE"""),"Kardaman MW, Fenwick A, el Igail AB, el Tayeb M, Daffalla AA, Dixon HG. Treatment with praziquantel of schoolchildren with concurrent Schistosoma mansoni and S. haematobium infections in Gezira, Sudan. Journal of Tropical Medicine and Hygiene 1985;88(2):1"&amp;"05–9.")</f>
        <v>Kardaman MW, Fenwick A, el Igail AB, el Tayeb M, Daffalla AA, Dixon HG. Treatment with praziquantel of schoolchildren with concurrent Schistosoma mansoni and S. haematobium infections in Gezira, Sudan. Journal of Tropical Medicine and Hygiene 1985;88(2):105–9.</v>
      </c>
      <c r="T86" s="697"/>
      <c r="U86" s="697" t="str">
        <f>IFERROR(__xludf.DUMMYFUNCTION("""COMPUTED_VALUE"""),"x")</f>
        <v>x</v>
      </c>
      <c r="V86" s="697">
        <f>IFERROR(__xludf.DUMMYFUNCTION("""COMPUTED_VALUE"""),86.0)</f>
        <v>86</v>
      </c>
    </row>
    <row r="87">
      <c r="A87" s="697" t="str">
        <f>IFERROR(__xludf.DUMMYFUNCTION("""COMPUTED_VALUE"""),"Katz N, 1977")</f>
        <v>Katz N, 1977</v>
      </c>
      <c r="B87" s="697" t="str">
        <f>IFERROR(__xludf.DUMMYFUNCTION("""COMPUTED_VALUE"""),"s. mansoni")</f>
        <v>s. mansoni</v>
      </c>
      <c r="C87" s="697" t="str">
        <f>IFERROR(__xludf.DUMMYFUNCTION("""COMPUTED_VALUE"""),"Brazil")</f>
        <v>Brazil</v>
      </c>
      <c r="D87" s="697" t="str">
        <f>IFERROR(__xludf.DUMMYFUNCTION("""COMPUTED_VALUE"""),"Oxamniquine")</f>
        <v>Oxamniquine</v>
      </c>
      <c r="E87" s="697" t="str">
        <f>IFERROR(__xludf.DUMMYFUNCTION("""COMPUTED_VALUE"""),"Single")</f>
        <v>Single</v>
      </c>
      <c r="F87" s="697" t="str">
        <f>IFERROR(__xludf.DUMMYFUNCTION("""COMPUTED_VALUE"""),"20 mg/kg")</f>
        <v>20 mg/kg</v>
      </c>
      <c r="G87" s="697">
        <f>IFERROR(__xludf.DUMMYFUNCTION("""COMPUTED_VALUE"""),19.0)</f>
        <v>19</v>
      </c>
      <c r="H87" s="697" t="str">
        <f>IFERROR(__xludf.DUMMYFUNCTION("""COMPUTED_VALUE"""),"2 - 15")</f>
        <v>2 - 15</v>
      </c>
      <c r="I87" s="697"/>
      <c r="J87" s="697">
        <f>IFERROR(__xludf.DUMMYFUNCTION("""COMPUTED_VALUE"""),1977.0)</f>
        <v>1977</v>
      </c>
      <c r="K87" s="697"/>
      <c r="L87" s="697" t="str">
        <f>IFERROR(__xludf.DUMMYFUNCTION("""COMPUTED_VALUE"""),"No")</f>
        <v>No</v>
      </c>
      <c r="M87" s="697" t="str">
        <f>IFERROR(__xludf.DUMMYFUNCTION("""COMPUTED_VALUE"""),"No")</f>
        <v>No</v>
      </c>
      <c r="N87" s="697" t="str">
        <f>IFERROR(__xludf.DUMMYFUNCTION("""COMPUTED_VALUE"""),"Efficacy was determined by stool examination for S.mansoni eggs 3-4 months after treatment and negative stool for eggs were considered cure")</f>
        <v>Efficacy was determined by stool examination for S.mansoni eggs 3-4 months after treatment and negative stool for eggs were considered cure</v>
      </c>
      <c r="O87" s="873">
        <f>IFERROR(__xludf.DUMMYFUNCTION("""COMPUTED_VALUE"""),0.737)</f>
        <v>0.737</v>
      </c>
      <c r="P87" s="697" t="str">
        <f>IFERROR(__xludf.DUMMYFUNCTION("""COMPUTED_VALUE"""),"&gt;90%")</f>
        <v>&gt;90%</v>
      </c>
      <c r="Q87" s="697" t="str">
        <f>IFERROR(__xludf.DUMMYFUNCTION("""COMPUTED_VALUE"""),"Adults treated with smaller dose of oxamniquine than children had higher rate of cure. effective schistosomicidal drug")</f>
        <v>Adults treated with smaller dose of oxamniquine than children had higher rate of cure. effective schistosomicidal drug</v>
      </c>
      <c r="R87" s="697" t="str">
        <f>IFERROR(__xludf.DUMMYFUNCTION("""COMPUTED_VALUE"""),"Field Trials with Oxamniquine in a Schistosomiasis mansoni-endemic area")</f>
        <v>Field Trials with Oxamniquine in a Schistosomiasis mansoni-endemic area</v>
      </c>
      <c r="S87" s="699" t="str">
        <f>IFERROR(__xludf.DUMMYFUNCTION("""COMPUTED_VALUE"""),"Katz N., Zicker F., Pereira J.P. Field trials with oxamniquine in a schistosomiasis mansoni‐endemic area. Am J trop Med Hyg (1977) 26(1); 234‐237.")</f>
        <v>Katz N., Zicker F., Pereira J.P. Field trials with oxamniquine in a schistosomiasis mansoni‐endemic area. Am J trop Med Hyg (1977) 26(1); 234‐237.</v>
      </c>
      <c r="T87" s="697"/>
      <c r="U87" s="697" t="str">
        <f>IFERROR(__xludf.DUMMYFUNCTION("""COMPUTED_VALUE"""),"x")</f>
        <v>x</v>
      </c>
      <c r="V87" s="697">
        <f>IFERROR(__xludf.DUMMYFUNCTION("""COMPUTED_VALUE"""),87.0)</f>
        <v>87</v>
      </c>
    </row>
    <row r="88">
      <c r="A88" s="697" t="str">
        <f>IFERROR(__xludf.DUMMYFUNCTION("""COMPUTED_VALUE"""),"Katz N, 1977")</f>
        <v>Katz N, 1977</v>
      </c>
      <c r="B88" s="697" t="str">
        <f>IFERROR(__xludf.DUMMYFUNCTION("""COMPUTED_VALUE"""),"s. mansoni")</f>
        <v>s. mansoni</v>
      </c>
      <c r="C88" s="697" t="str">
        <f>IFERROR(__xludf.DUMMYFUNCTION("""COMPUTED_VALUE"""),"Brazil")</f>
        <v>Brazil</v>
      </c>
      <c r="D88" s="697" t="str">
        <f>IFERROR(__xludf.DUMMYFUNCTION("""COMPUTED_VALUE"""),"Oxamniquine")</f>
        <v>Oxamniquine</v>
      </c>
      <c r="E88" s="697" t="str">
        <f>IFERROR(__xludf.DUMMYFUNCTION("""COMPUTED_VALUE"""),"Two")</f>
        <v>Two</v>
      </c>
      <c r="F88" s="697" t="str">
        <f>IFERROR(__xludf.DUMMYFUNCTION("""COMPUTED_VALUE"""),"10 mg/kg")</f>
        <v>10 mg/kg</v>
      </c>
      <c r="G88" s="697">
        <f>IFERROR(__xludf.DUMMYFUNCTION("""COMPUTED_VALUE"""),47.0)</f>
        <v>47</v>
      </c>
      <c r="H88" s="697" t="str">
        <f>IFERROR(__xludf.DUMMYFUNCTION("""COMPUTED_VALUE"""),"2 - 15")</f>
        <v>2 - 15</v>
      </c>
      <c r="I88" s="697"/>
      <c r="J88" s="697">
        <f>IFERROR(__xludf.DUMMYFUNCTION("""COMPUTED_VALUE"""),1977.0)</f>
        <v>1977</v>
      </c>
      <c r="K88" s="697"/>
      <c r="L88" s="697" t="str">
        <f>IFERROR(__xludf.DUMMYFUNCTION("""COMPUTED_VALUE"""),"No")</f>
        <v>No</v>
      </c>
      <c r="M88" s="697" t="str">
        <f>IFERROR(__xludf.DUMMYFUNCTION("""COMPUTED_VALUE"""),"No")</f>
        <v>No</v>
      </c>
      <c r="N88" s="697" t="str">
        <f>IFERROR(__xludf.DUMMYFUNCTION("""COMPUTED_VALUE"""),"Efficacy was determined by stool examination for S.mansoni eggs 3-4 months after treatment and negative stool for eggs were considered cure")</f>
        <v>Efficacy was determined by stool examination for S.mansoni eggs 3-4 months after treatment and negative stool for eggs were considered cure</v>
      </c>
      <c r="O88" s="873">
        <f>IFERROR(__xludf.DUMMYFUNCTION("""COMPUTED_VALUE"""),0.622)</f>
        <v>0.622</v>
      </c>
      <c r="P88" s="697" t="str">
        <f>IFERROR(__xludf.DUMMYFUNCTION("""COMPUTED_VALUE"""),"&gt;90%")</f>
        <v>&gt;90%</v>
      </c>
      <c r="Q88" s="697" t="str">
        <f>IFERROR(__xludf.DUMMYFUNCTION("""COMPUTED_VALUE"""),"Adults treated with smaller dose of oxamniquine than children had higher rate of cure. effective schistosomicidal drug")</f>
        <v>Adults treated with smaller dose of oxamniquine than children had higher rate of cure. effective schistosomicidal drug</v>
      </c>
      <c r="R88" s="697"/>
      <c r="S88" s="699" t="str">
        <f>IFERROR(__xludf.DUMMYFUNCTION("""COMPUTED_VALUE"""),"Katz N., Zicker F., Pereira J.P. Field trials with oxamniquine in a schistosomiasis mansoni‐endemic area. Am J trop Med Hyg (1977) 26(1); 234‐237.")</f>
        <v>Katz N., Zicker F., Pereira J.P. Field trials with oxamniquine in a schistosomiasis mansoni‐endemic area. Am J trop Med Hyg (1977) 26(1); 234‐237.</v>
      </c>
      <c r="T88" s="697"/>
      <c r="U88" s="697" t="str">
        <f>IFERROR(__xludf.DUMMYFUNCTION("""COMPUTED_VALUE"""),"x")</f>
        <v>x</v>
      </c>
      <c r="V88" s="697">
        <f>IFERROR(__xludf.DUMMYFUNCTION("""COMPUTED_VALUE"""),88.0)</f>
        <v>88</v>
      </c>
    </row>
    <row r="89">
      <c r="A89" s="697" t="str">
        <f>IFERROR(__xludf.DUMMYFUNCTION("""COMPUTED_VALUE"""),"Katz N, 1977")</f>
        <v>Katz N, 1977</v>
      </c>
      <c r="B89" s="697" t="str">
        <f>IFERROR(__xludf.DUMMYFUNCTION("""COMPUTED_VALUE"""),"s. mansoni")</f>
        <v>s. mansoni</v>
      </c>
      <c r="C89" s="697" t="str">
        <f>IFERROR(__xludf.DUMMYFUNCTION("""COMPUTED_VALUE"""),"Brazil")</f>
        <v>Brazil</v>
      </c>
      <c r="D89" s="697" t="str">
        <f>IFERROR(__xludf.DUMMYFUNCTION("""COMPUTED_VALUE"""),"Oxamniquine")</f>
        <v>Oxamniquine</v>
      </c>
      <c r="E89" s="697" t="str">
        <f>IFERROR(__xludf.DUMMYFUNCTION("""COMPUTED_VALUE"""),"Single")</f>
        <v>Single</v>
      </c>
      <c r="F89" s="697" t="str">
        <f>IFERROR(__xludf.DUMMYFUNCTION("""COMPUTED_VALUE"""),"15 mg/kg")</f>
        <v>15 mg/kg</v>
      </c>
      <c r="G89" s="697">
        <f>IFERROR(__xludf.DUMMYFUNCTION("""COMPUTED_VALUE"""),154.0)</f>
        <v>154</v>
      </c>
      <c r="H89" s="697" t="str">
        <f>IFERROR(__xludf.DUMMYFUNCTION("""COMPUTED_VALUE"""),"Adults")</f>
        <v>Adults</v>
      </c>
      <c r="I89" s="697"/>
      <c r="J89" s="697">
        <f>IFERROR(__xludf.DUMMYFUNCTION("""COMPUTED_VALUE"""),1977.0)</f>
        <v>1977</v>
      </c>
      <c r="K89" s="697"/>
      <c r="L89" s="697" t="str">
        <f>IFERROR(__xludf.DUMMYFUNCTION("""COMPUTED_VALUE"""),"No")</f>
        <v>No</v>
      </c>
      <c r="M89" s="697" t="str">
        <f>IFERROR(__xludf.DUMMYFUNCTION("""COMPUTED_VALUE"""),"No")</f>
        <v>No</v>
      </c>
      <c r="N89" s="697" t="str">
        <f>IFERROR(__xludf.DUMMYFUNCTION("""COMPUTED_VALUE"""),"Efficacy was determined by stool examination for S.mansoni eggs 3-4 months after treatment and negative stool for eggs were considered cure")</f>
        <v>Efficacy was determined by stool examination for S.mansoni eggs 3-4 months after treatment and negative stool for eggs were considered cure</v>
      </c>
      <c r="O89" s="873">
        <f>IFERROR(__xludf.DUMMYFUNCTION("""COMPUTED_VALUE"""),0.824)</f>
        <v>0.824</v>
      </c>
      <c r="P89" s="697" t="str">
        <f>IFERROR(__xludf.DUMMYFUNCTION("""COMPUTED_VALUE"""),"&gt;90%")</f>
        <v>&gt;90%</v>
      </c>
      <c r="Q89" s="697" t="str">
        <f>IFERROR(__xludf.DUMMYFUNCTION("""COMPUTED_VALUE"""),"Adults treated with smaller dose of oxamniquine than children had higher rate of cure. effective schistosomicidal drug")</f>
        <v>Adults treated with smaller dose of oxamniquine than children had higher rate of cure. effective schistosomicidal drug</v>
      </c>
      <c r="R89" s="697"/>
      <c r="S89" s="699" t="str">
        <f>IFERROR(__xludf.DUMMYFUNCTION("""COMPUTED_VALUE"""),"Katz N., Zicker F., Pereira J.P. Field trials with oxamniquine in a schistosomiasis mansoni‐endemic area. Am J trop Med Hyg (1977) 26(1); 234‐237.")</f>
        <v>Katz N., Zicker F., Pereira J.P. Field trials with oxamniquine in a schistosomiasis mansoni‐endemic area. Am J trop Med Hyg (1977) 26(1); 234‐237.</v>
      </c>
      <c r="T89" s="697"/>
      <c r="U89" s="697" t="str">
        <f>IFERROR(__xludf.DUMMYFUNCTION("""COMPUTED_VALUE"""),"x")</f>
        <v>x</v>
      </c>
      <c r="V89" s="697">
        <f>IFERROR(__xludf.DUMMYFUNCTION("""COMPUTED_VALUE"""),89.0)</f>
        <v>89</v>
      </c>
    </row>
    <row r="90">
      <c r="A90" s="697" t="str">
        <f>IFERROR(__xludf.DUMMYFUNCTION("""COMPUTED_VALUE"""),"Katz N, 1979")</f>
        <v>Katz N, 1979</v>
      </c>
      <c r="B90" s="697" t="str">
        <f>IFERROR(__xludf.DUMMYFUNCTION("""COMPUTED_VALUE"""),"s. mansoni")</f>
        <v>s. mansoni</v>
      </c>
      <c r="C90" s="697" t="str">
        <f>IFERROR(__xludf.DUMMYFUNCTION("""COMPUTED_VALUE"""),"Brazil")</f>
        <v>Brazil</v>
      </c>
      <c r="D90" s="697" t="str">
        <f>IFERROR(__xludf.DUMMYFUNCTION("""COMPUTED_VALUE"""),"Praziquantel")</f>
        <v>Praziquantel</v>
      </c>
      <c r="E90" s="697" t="str">
        <f>IFERROR(__xludf.DUMMYFUNCTION("""COMPUTED_VALUE"""),"Single")</f>
        <v>Single</v>
      </c>
      <c r="F90" s="697" t="str">
        <f>IFERROR(__xludf.DUMMYFUNCTION("""COMPUTED_VALUE"""),"20 mg/kg")</f>
        <v>20 mg/kg</v>
      </c>
      <c r="G90" s="697">
        <f>IFERROR(__xludf.DUMMYFUNCTION("""COMPUTED_VALUE"""),8.0)</f>
        <v>8</v>
      </c>
      <c r="H90" s="697" t="str">
        <f>IFERROR(__xludf.DUMMYFUNCTION("""COMPUTED_VALUE"""),"20- 48")</f>
        <v>20- 48</v>
      </c>
      <c r="I90" s="705" t="str">
        <f>IFERROR(__xludf.DUMMYFUNCTION("""COMPUTED_VALUE"""),"male")</f>
        <v>male</v>
      </c>
      <c r="J90" s="697">
        <f>IFERROR(__xludf.DUMMYFUNCTION("""COMPUTED_VALUE"""),1979.0)</f>
        <v>1979</v>
      </c>
      <c r="K90" s="697" t="str">
        <f>IFERROR(__xludf.DUMMYFUNCTION("""COMPUTED_VALUE"""),"male patients from the military police of Minas Gerais who were excreting &gt; 100 EPG of S. mansoni")</f>
        <v>male patients from the military police of Minas Gerais who were excreting &gt; 100 EPG of S. mansoni</v>
      </c>
      <c r="L90" s="697" t="str">
        <f>IFERROR(__xludf.DUMMYFUNCTION("""COMPUTED_VALUE"""),"No")</f>
        <v>No</v>
      </c>
      <c r="M90" s="697" t="str">
        <f>IFERROR(__xludf.DUMMYFUNCTION("""COMPUTED_VALUE"""),"No")</f>
        <v>No</v>
      </c>
      <c r="N90" s="697" t="str">
        <f>IFERROR(__xludf.DUMMYFUNCTION("""COMPUTED_VALUE"""),"cure rate accessed at 6 months")</f>
        <v>cure rate accessed at 6 months</v>
      </c>
      <c r="O90" s="872">
        <f>IFERROR(__xludf.DUMMYFUNCTION("""COMPUTED_VALUE"""),0.4)</f>
        <v>0.4</v>
      </c>
      <c r="P90" s="697"/>
      <c r="Q90" s="697" t="str">
        <f>IFERROR(__xludf.DUMMYFUNCTION("""COMPUTED_VALUE"""),"These data demonstrate that persons with HIV-1 infection can be treated effectively for schistosomiasis with praziquantel.")</f>
        <v>These data demonstrate that persons with HIV-1 infection can be treated effectively for schistosomiasis with praziquantel.</v>
      </c>
      <c r="R90" s="697"/>
      <c r="S90" s="699" t="str">
        <f>IFERROR(__xludf.DUMMYFUNCTION("""COMPUTED_VALUE"""),"Katz N. Preliminary trials with praziquantel in human infections due to Schistosoma mansoni. Bulletin of the World Health Organization 1979;57(5):781–5.")</f>
        <v>Katz N. Preliminary trials with praziquantel in human infections due to Schistosoma mansoni. Bulletin of the World Health Organization 1979;57(5):781–5.</v>
      </c>
      <c r="T90" s="697"/>
      <c r="U90" s="697" t="str">
        <f>IFERROR(__xludf.DUMMYFUNCTION("""COMPUTED_VALUE"""),"x")</f>
        <v>x</v>
      </c>
      <c r="V90" s="697">
        <f>IFERROR(__xludf.DUMMYFUNCTION("""COMPUTED_VALUE"""),90.0)</f>
        <v>90</v>
      </c>
    </row>
    <row r="91">
      <c r="A91" s="697" t="str">
        <f>IFERROR(__xludf.DUMMYFUNCTION("""COMPUTED_VALUE"""),"Katz N, 1979")</f>
        <v>Katz N, 1979</v>
      </c>
      <c r="B91" s="697" t="str">
        <f>IFERROR(__xludf.DUMMYFUNCTION("""COMPUTED_VALUE"""),"s. mansoni")</f>
        <v>s. mansoni</v>
      </c>
      <c r="C91" s="697" t="str">
        <f>IFERROR(__xludf.DUMMYFUNCTION("""COMPUTED_VALUE"""),"Brazil")</f>
        <v>Brazil</v>
      </c>
      <c r="D91" s="697" t="str">
        <f>IFERROR(__xludf.DUMMYFUNCTION("""COMPUTED_VALUE"""),"Praziquantel")</f>
        <v>Praziquantel</v>
      </c>
      <c r="E91" s="697" t="str">
        <f>IFERROR(__xludf.DUMMYFUNCTION("""COMPUTED_VALUE"""),"Two")</f>
        <v>Two</v>
      </c>
      <c r="F91" s="697" t="str">
        <f>IFERROR(__xludf.DUMMYFUNCTION("""COMPUTED_VALUE"""),"20 mg/kg")</f>
        <v>20 mg/kg</v>
      </c>
      <c r="G91" s="697">
        <f>IFERROR(__xludf.DUMMYFUNCTION("""COMPUTED_VALUE"""),7.0)</f>
        <v>7</v>
      </c>
      <c r="H91" s="697" t="str">
        <f>IFERROR(__xludf.DUMMYFUNCTION("""COMPUTED_VALUE"""),"20- 49")</f>
        <v>20- 49</v>
      </c>
      <c r="I91" s="705" t="str">
        <f>IFERROR(__xludf.DUMMYFUNCTION("""COMPUTED_VALUE"""),"male")</f>
        <v>male</v>
      </c>
      <c r="J91" s="697">
        <f>IFERROR(__xludf.DUMMYFUNCTION("""COMPUTED_VALUE"""),1979.0)</f>
        <v>1979</v>
      </c>
      <c r="K91" s="697" t="str">
        <f>IFERROR(__xludf.DUMMYFUNCTION("""COMPUTED_VALUE"""),"male patients from the military police of Minas Gerais who were excreting &gt; 100 EPG of S. mansoni")</f>
        <v>male patients from the military police of Minas Gerais who were excreting &gt; 100 EPG of S. mansoni</v>
      </c>
      <c r="L91" s="697" t="str">
        <f>IFERROR(__xludf.DUMMYFUNCTION("""COMPUTED_VALUE"""),"No")</f>
        <v>No</v>
      </c>
      <c r="M91" s="697" t="str">
        <f>IFERROR(__xludf.DUMMYFUNCTION("""COMPUTED_VALUE"""),"No")</f>
        <v>No</v>
      </c>
      <c r="N91" s="697" t="str">
        <f>IFERROR(__xludf.DUMMYFUNCTION("""COMPUTED_VALUE"""),"cure rate accessed at 6 months")</f>
        <v>cure rate accessed at 6 months</v>
      </c>
      <c r="O91" s="872">
        <f>IFERROR(__xludf.DUMMYFUNCTION("""COMPUTED_VALUE"""),1.0)</f>
        <v>1</v>
      </c>
      <c r="P91" s="697"/>
      <c r="Q91" s="697" t="str">
        <f>IFERROR(__xludf.DUMMYFUNCTION("""COMPUTED_VALUE"""),"These data demonstrate that persons with HIV-1 infection can be treated effectively for schistosomiasis with praziquantel.")</f>
        <v>These data demonstrate that persons with HIV-1 infection can be treated effectively for schistosomiasis with praziquantel.</v>
      </c>
      <c r="R91" s="697"/>
      <c r="S91" s="699" t="str">
        <f>IFERROR(__xludf.DUMMYFUNCTION("""COMPUTED_VALUE"""),"Katz N. Preliminary trials with praziquantel in human infections due to Schistosoma mansoni. Bulletin of the World Health Organization 1979;57(5):781–5.")</f>
        <v>Katz N. Preliminary trials with praziquantel in human infections due to Schistosoma mansoni. Bulletin of the World Health Organization 1979;57(5):781–5.</v>
      </c>
      <c r="T91" s="697"/>
      <c r="U91" s="697" t="str">
        <f>IFERROR(__xludf.DUMMYFUNCTION("""COMPUTED_VALUE"""),"x")</f>
        <v>x</v>
      </c>
      <c r="V91" s="697">
        <f>IFERROR(__xludf.DUMMYFUNCTION("""COMPUTED_VALUE"""),91.0)</f>
        <v>91</v>
      </c>
    </row>
    <row r="92">
      <c r="A92" s="697" t="str">
        <f>IFERROR(__xludf.DUMMYFUNCTION("""COMPUTED_VALUE"""),"Katz N, 1979")</f>
        <v>Katz N, 1979</v>
      </c>
      <c r="B92" s="697" t="str">
        <f>IFERROR(__xludf.DUMMYFUNCTION("""COMPUTED_VALUE"""),"s. mansoni")</f>
        <v>s. mansoni</v>
      </c>
      <c r="C92" s="697" t="str">
        <f>IFERROR(__xludf.DUMMYFUNCTION("""COMPUTED_VALUE"""),"Brazil")</f>
        <v>Brazil</v>
      </c>
      <c r="D92" s="697" t="str">
        <f>IFERROR(__xludf.DUMMYFUNCTION("""COMPUTED_VALUE"""),"Praziquantel")</f>
        <v>Praziquantel</v>
      </c>
      <c r="E92" s="697" t="str">
        <f>IFERROR(__xludf.DUMMYFUNCTION("""COMPUTED_VALUE"""),"Three")</f>
        <v>Three</v>
      </c>
      <c r="F92" s="697" t="str">
        <f>IFERROR(__xludf.DUMMYFUNCTION("""COMPUTED_VALUE"""),"20 mg/kg")</f>
        <v>20 mg/kg</v>
      </c>
      <c r="G92" s="697">
        <f>IFERROR(__xludf.DUMMYFUNCTION("""COMPUTED_VALUE"""),13.0)</f>
        <v>13</v>
      </c>
      <c r="H92" s="697" t="str">
        <f>IFERROR(__xludf.DUMMYFUNCTION("""COMPUTED_VALUE"""),"20- 50")</f>
        <v>20- 50</v>
      </c>
      <c r="I92" s="705" t="str">
        <f>IFERROR(__xludf.DUMMYFUNCTION("""COMPUTED_VALUE"""),"male")</f>
        <v>male</v>
      </c>
      <c r="J92" s="697">
        <f>IFERROR(__xludf.DUMMYFUNCTION("""COMPUTED_VALUE"""),1979.0)</f>
        <v>1979</v>
      </c>
      <c r="K92" s="697" t="str">
        <f>IFERROR(__xludf.DUMMYFUNCTION("""COMPUTED_VALUE"""),"male patients from the military police of Minas Gerais who were excreting &gt; 100 EPG of S. mansoni")</f>
        <v>male patients from the military police of Minas Gerais who were excreting &gt; 100 EPG of S. mansoni</v>
      </c>
      <c r="L92" s="697" t="str">
        <f>IFERROR(__xludf.DUMMYFUNCTION("""COMPUTED_VALUE"""),"No")</f>
        <v>No</v>
      </c>
      <c r="M92" s="697" t="str">
        <f>IFERROR(__xludf.DUMMYFUNCTION("""COMPUTED_VALUE"""),"No")</f>
        <v>No</v>
      </c>
      <c r="N92" s="697" t="str">
        <f>IFERROR(__xludf.DUMMYFUNCTION("""COMPUTED_VALUE"""),"cure rate accessed at 6 months")</f>
        <v>cure rate accessed at 6 months</v>
      </c>
      <c r="O92" s="872">
        <f>IFERROR(__xludf.DUMMYFUNCTION("""COMPUTED_VALUE"""),1.0)</f>
        <v>1</v>
      </c>
      <c r="P92" s="697"/>
      <c r="Q92" s="697" t="str">
        <f>IFERROR(__xludf.DUMMYFUNCTION("""COMPUTED_VALUE"""),"These data demonstrate that persons with HIV-1 infection can be treated effectively for schistosomiasis with praziquantel.")</f>
        <v>These data demonstrate that persons with HIV-1 infection can be treated effectively for schistosomiasis with praziquantel.</v>
      </c>
      <c r="R92" s="697"/>
      <c r="S92" s="699" t="str">
        <f>IFERROR(__xludf.DUMMYFUNCTION("""COMPUTED_VALUE"""),"Katz N. Preliminary trials with praziquantel in human infections due to Schistosoma mansoni. Bulletin of the World Health Organization 1979;57(5):781–5.")</f>
        <v>Katz N. Preliminary trials with praziquantel in human infections due to Schistosoma mansoni. Bulletin of the World Health Organization 1979;57(5):781–5.</v>
      </c>
      <c r="T92" s="697"/>
      <c r="U92" s="697" t="str">
        <f>IFERROR(__xludf.DUMMYFUNCTION("""COMPUTED_VALUE"""),"x")</f>
        <v>x</v>
      </c>
      <c r="V92" s="697">
        <f>IFERROR(__xludf.DUMMYFUNCTION("""COMPUTED_VALUE"""),92.0)</f>
        <v>92</v>
      </c>
    </row>
    <row r="93">
      <c r="A93" s="697" t="str">
        <f>IFERROR(__xludf.DUMMYFUNCTION("""COMPUTED_VALUE"""),"Katz N, 1979")</f>
        <v>Katz N, 1979</v>
      </c>
      <c r="B93" s="697" t="str">
        <f>IFERROR(__xludf.DUMMYFUNCTION("""COMPUTED_VALUE"""),"s. mansoni")</f>
        <v>s. mansoni</v>
      </c>
      <c r="C93" s="697" t="str">
        <f>IFERROR(__xludf.DUMMYFUNCTION("""COMPUTED_VALUE"""),"Brazil")</f>
        <v>Brazil</v>
      </c>
      <c r="D93" s="697" t="str">
        <f>IFERROR(__xludf.DUMMYFUNCTION("""COMPUTED_VALUE"""),"Praziquantel")</f>
        <v>Praziquantel</v>
      </c>
      <c r="E93" s="697" t="str">
        <f>IFERROR(__xludf.DUMMYFUNCTION("""COMPUTED_VALUE"""),"Single")</f>
        <v>Single</v>
      </c>
      <c r="F93" s="697" t="str">
        <f>IFERROR(__xludf.DUMMYFUNCTION("""COMPUTED_VALUE"""),"50 mg/kg")</f>
        <v>50 mg/kg</v>
      </c>
      <c r="G93" s="697">
        <f>IFERROR(__xludf.DUMMYFUNCTION("""COMPUTED_VALUE"""),31.0)</f>
        <v>31</v>
      </c>
      <c r="H93" s="697" t="str">
        <f>IFERROR(__xludf.DUMMYFUNCTION("""COMPUTED_VALUE"""),"20- 51")</f>
        <v>20- 51</v>
      </c>
      <c r="I93" s="705" t="str">
        <f>IFERROR(__xludf.DUMMYFUNCTION("""COMPUTED_VALUE"""),"male")</f>
        <v>male</v>
      </c>
      <c r="J93" s="697">
        <f>IFERROR(__xludf.DUMMYFUNCTION("""COMPUTED_VALUE"""),1979.0)</f>
        <v>1979</v>
      </c>
      <c r="K93" s="697" t="str">
        <f>IFERROR(__xludf.DUMMYFUNCTION("""COMPUTED_VALUE"""),"male patients from the military police of Minas Gerais who were excreting &gt; 100 EPG of S. mansoni")</f>
        <v>male patients from the military police of Minas Gerais who were excreting &gt; 100 EPG of S. mansoni</v>
      </c>
      <c r="L93" s="697" t="str">
        <f>IFERROR(__xludf.DUMMYFUNCTION("""COMPUTED_VALUE"""),"No")</f>
        <v>No</v>
      </c>
      <c r="M93" s="697" t="str">
        <f>IFERROR(__xludf.DUMMYFUNCTION("""COMPUTED_VALUE"""),"No")</f>
        <v>No</v>
      </c>
      <c r="N93" s="697" t="str">
        <f>IFERROR(__xludf.DUMMYFUNCTION("""COMPUTED_VALUE"""),"cure rate accessed at 6 months")</f>
        <v>cure rate accessed at 6 months</v>
      </c>
      <c r="O93" s="872">
        <f>IFERROR(__xludf.DUMMYFUNCTION("""COMPUTED_VALUE"""),0.92)</f>
        <v>0.92</v>
      </c>
      <c r="P93" s="700">
        <f>IFERROR(__xludf.DUMMYFUNCTION("""COMPUTED_VALUE"""),0.98)</f>
        <v>0.98</v>
      </c>
      <c r="Q93" s="697" t="str">
        <f>IFERROR(__xludf.DUMMYFUNCTION("""COMPUTED_VALUE"""),"These data demonstrate that persons with HIV-1 infection can be treated effectively for schistosomiasis with praziquantel.")</f>
        <v>These data demonstrate that persons with HIV-1 infection can be treated effectively for schistosomiasis with praziquantel.</v>
      </c>
      <c r="R93" s="697"/>
      <c r="S93" s="699" t="str">
        <f>IFERROR(__xludf.DUMMYFUNCTION("""COMPUTED_VALUE"""),"Katz N. Preliminary trials with praziquantel in human infections due to Schistosoma mansoni. Bulletin of the World Health Organization 1979;57(5):781–5.")</f>
        <v>Katz N. Preliminary trials with praziquantel in human infections due to Schistosoma mansoni. Bulletin of the World Health Organization 1979;57(5):781–5.</v>
      </c>
      <c r="T93" s="697"/>
      <c r="U93" s="697" t="str">
        <f>IFERROR(__xludf.DUMMYFUNCTION("""COMPUTED_VALUE"""),"x")</f>
        <v>x</v>
      </c>
      <c r="V93" s="697">
        <f>IFERROR(__xludf.DUMMYFUNCTION("""COMPUTED_VALUE"""),93.0)</f>
        <v>93</v>
      </c>
    </row>
    <row r="94">
      <c r="A94" s="697" t="str">
        <f>IFERROR(__xludf.DUMMYFUNCTION("""COMPUTED_VALUE"""),"Katz N, 1979")</f>
        <v>Katz N, 1979</v>
      </c>
      <c r="B94" s="697" t="str">
        <f>IFERROR(__xludf.DUMMYFUNCTION("""COMPUTED_VALUE"""),"s. mansoni")</f>
        <v>s. mansoni</v>
      </c>
      <c r="C94" s="697" t="str">
        <f>IFERROR(__xludf.DUMMYFUNCTION("""COMPUTED_VALUE"""),"Brazil")</f>
        <v>Brazil</v>
      </c>
      <c r="D94" s="697" t="str">
        <f>IFERROR(__xludf.DUMMYFUNCTION("""COMPUTED_VALUE"""),"Praziquantel")</f>
        <v>Praziquantel</v>
      </c>
      <c r="E94" s="697" t="str">
        <f>IFERROR(__xludf.DUMMYFUNCTION("""COMPUTED_VALUE"""),"Three")</f>
        <v>Three</v>
      </c>
      <c r="F94" s="697" t="str">
        <f>IFERROR(__xludf.DUMMYFUNCTION("""COMPUTED_VALUE"""),"20 mg/kg")</f>
        <v>20 mg/kg</v>
      </c>
      <c r="G94" s="697">
        <f>IFERROR(__xludf.DUMMYFUNCTION("""COMPUTED_VALUE"""),30.0)</f>
        <v>30</v>
      </c>
      <c r="H94" s="697" t="str">
        <f>IFERROR(__xludf.DUMMYFUNCTION("""COMPUTED_VALUE"""),"20- 52")</f>
        <v>20- 52</v>
      </c>
      <c r="I94" s="705" t="str">
        <f>IFERROR(__xludf.DUMMYFUNCTION("""COMPUTED_VALUE"""),"male")</f>
        <v>male</v>
      </c>
      <c r="J94" s="697">
        <f>IFERROR(__xludf.DUMMYFUNCTION("""COMPUTED_VALUE"""),1979.0)</f>
        <v>1979</v>
      </c>
      <c r="K94" s="697" t="str">
        <f>IFERROR(__xludf.DUMMYFUNCTION("""COMPUTED_VALUE"""),"male patients from the military police of Minas Gerais who were excreting &gt; 100 EPG of S. mansoni")</f>
        <v>male patients from the military police of Minas Gerais who were excreting &gt; 100 EPG of S. mansoni</v>
      </c>
      <c r="L94" s="697" t="str">
        <f>IFERROR(__xludf.DUMMYFUNCTION("""COMPUTED_VALUE"""),"No")</f>
        <v>No</v>
      </c>
      <c r="M94" s="697" t="str">
        <f>IFERROR(__xludf.DUMMYFUNCTION("""COMPUTED_VALUE"""),"No")</f>
        <v>No</v>
      </c>
      <c r="N94" s="697" t="str">
        <f>IFERROR(__xludf.DUMMYFUNCTION("""COMPUTED_VALUE"""),"cure rate accessed at 6 months")</f>
        <v>cure rate accessed at 6 months</v>
      </c>
      <c r="O94" s="872">
        <f>IFERROR(__xludf.DUMMYFUNCTION("""COMPUTED_VALUE"""),0.96)</f>
        <v>0.96</v>
      </c>
      <c r="P94" s="700">
        <f>IFERROR(__xludf.DUMMYFUNCTION("""COMPUTED_VALUE"""),0.98)</f>
        <v>0.98</v>
      </c>
      <c r="Q94" s="697" t="str">
        <f>IFERROR(__xludf.DUMMYFUNCTION("""COMPUTED_VALUE"""),"These data demonstrate that persons with HIV-1 infection can be treated effectively for schistosomiasis with praziquantel.")</f>
        <v>These data demonstrate that persons with HIV-1 infection can be treated effectively for schistosomiasis with praziquantel.</v>
      </c>
      <c r="R94" s="697"/>
      <c r="S94" s="699" t="str">
        <f>IFERROR(__xludf.DUMMYFUNCTION("""COMPUTED_VALUE"""),"Katz N. Preliminary trials with praziquantel in human infections due to Schistosoma mansoni. Bulletin of the World Health Organization 1979;57(5):781–5.")</f>
        <v>Katz N. Preliminary trials with praziquantel in human infections due to Schistosoma mansoni. Bulletin of the World Health Organization 1979;57(5):781–5.</v>
      </c>
      <c r="T94" s="697"/>
      <c r="U94" s="697" t="str">
        <f>IFERROR(__xludf.DUMMYFUNCTION("""COMPUTED_VALUE"""),"x")</f>
        <v>x</v>
      </c>
      <c r="V94" s="697">
        <f>IFERROR(__xludf.DUMMYFUNCTION("""COMPUTED_VALUE"""),94.0)</f>
        <v>94</v>
      </c>
    </row>
    <row r="95">
      <c r="A95" s="697" t="str">
        <f>IFERROR(__xludf.DUMMYFUNCTION("""COMPUTED_VALUE"""),"Katz N, 1991")</f>
        <v>Katz N, 1991</v>
      </c>
      <c r="B95" s="697" t="str">
        <f>IFERROR(__xludf.DUMMYFUNCTION("""COMPUTED_VALUE"""),"s. mansoni")</f>
        <v>s. mansoni</v>
      </c>
      <c r="C95" s="697" t="str">
        <f>IFERROR(__xludf.DUMMYFUNCTION("""COMPUTED_VALUE"""),"Brazil")</f>
        <v>Brazil</v>
      </c>
      <c r="D95" s="697" t="str">
        <f>IFERROR(__xludf.DUMMYFUNCTION("""COMPUTED_VALUE"""),"Oxamniquine")</f>
        <v>Oxamniquine</v>
      </c>
      <c r="E95" s="697" t="str">
        <f>IFERROR(__xludf.DUMMYFUNCTION("""COMPUTED_VALUE"""),"Single")</f>
        <v>Single</v>
      </c>
      <c r="F95" s="697" t="str">
        <f>IFERROR(__xludf.DUMMYFUNCTION("""COMPUTED_VALUE"""),"20 mg/kg")</f>
        <v>20 mg/kg</v>
      </c>
      <c r="G95" s="697">
        <f>IFERROR(__xludf.DUMMYFUNCTION("""COMPUTED_VALUE"""),90.0)</f>
        <v>90</v>
      </c>
      <c r="H95" s="697" t="str">
        <f>IFERROR(__xludf.DUMMYFUNCTION("""COMPUTED_VALUE"""),"7 - 14")</f>
        <v>7 - 14</v>
      </c>
      <c r="I95" s="705" t="str">
        <f>IFERROR(__xludf.DUMMYFUNCTION("""COMPUTED_VALUE"""),"male")</f>
        <v>male</v>
      </c>
      <c r="J95" s="697">
        <f>IFERROR(__xludf.DUMMYFUNCTION("""COMPUTED_VALUE"""),1991.0)</f>
        <v>1991</v>
      </c>
      <c r="K95" s="697" t="str">
        <f>IFERROR(__xludf.DUMMYFUNCTION("""COMPUTED_VALUE"""),"7 to 14 yrs old. Infected with S. mansoni were divided into 2 groups: Single oral dose of 60 mg/kg praziquantel(110 children) vs Single oral dose of 20mg/kg oxamniquine.")</f>
        <v>7 to 14 yrs old. Infected with S. mansoni were divided into 2 groups: Single oral dose of 60 mg/kg praziquantel(110 children) vs Single oral dose of 20mg/kg oxamniquine.</v>
      </c>
      <c r="L95" s="697" t="str">
        <f>IFERROR(__xludf.DUMMYFUNCTION("""COMPUTED_VALUE"""),"No")</f>
        <v>No</v>
      </c>
      <c r="M95" s="697" t="str">
        <f>IFERROR(__xludf.DUMMYFUNCTION("""COMPUTED_VALUE"""),"No")</f>
        <v>No</v>
      </c>
      <c r="N95" s="697" t="str">
        <f>IFERROR(__xludf.DUMMYFUNCTION("""COMPUTED_VALUE"""),"Group with 90 children treated with 20mg/kg oxamniquine: 2-3 months 75 children were re-examined (14.6% positive): 6 children were treated 1 and 10 months after with 60mg/kg praziquantel (1m) 0/4 positive (10m) 2/4 positive. group single oral dose of 60 m"&amp;"g/kg praziquantel(110 children): 2-3 months later (100 re-examined)= 16% positive: 10 children were examined 1 and 10 month after second treatment with 20 mg/kg oxamniquine (1m) 1/8th positive (10m) 5/8 positive.")</f>
        <v>Group with 90 children treated with 20mg/kg oxamniquine: 2-3 months 75 children were re-examined (14.6% positive): 6 children were treated 1 and 10 months after with 60mg/kg praziquantel (1m) 0/4 positive (10m) 2/4 positive. group single oral dose of 60 mg/kg praziquantel(110 children): 2-3 months later (100 re-examined)= 16% positive: 10 children were examined 1 and 10 month after second treatment with 20 mg/kg oxamniquine (1m) 1/8th positive (10m) 5/8 positive.</v>
      </c>
      <c r="O95" s="872">
        <f>IFERROR(__xludf.DUMMYFUNCTION("""COMPUTED_VALUE"""),0.854)</f>
        <v>0.854</v>
      </c>
      <c r="P95" s="697"/>
      <c r="Q95" s="697" t="str">
        <f>IFERROR(__xludf.DUMMYFUNCTION("""COMPUTED_VALUE"""),"In order to minimize the risk of the development of drug resistance, suggect that infected patients be treated with one drug and therapeutic failures with another. treatment with the alternative drug of children not cureed 2-3 months after first treatment"&amp;" resukting in negative stools in 11of 12 cases examined 1 month after second treatment")</f>
        <v>In order to minimize the risk of the development of drug resistance, suggect that infected patients be treated with one drug and therapeutic failures with another. treatment with the alternative drug of children not cureed 2-3 months after first treatment resukting in negative stools in 11of 12 cases examined 1 month after second treatment</v>
      </c>
      <c r="R95" s="697" t="str">
        <f>IFERROR(__xludf.DUMMYFUNCTION("""COMPUTED_VALUE"""),"EFFICACY OF ALTERNATING THERAPY WITH OXAMNIQUINE AND PRAZIQUANTEL TO TREAT SCHISTOSOMA MANSONI IN CHILDREN FOLLOWING FAILURE OF FIRST TREATMENT")</f>
        <v>EFFICACY OF ALTERNATING THERAPY WITH OXAMNIQUINE AND PRAZIQUANTEL TO TREAT SCHISTOSOMA MANSONI IN CHILDREN FOLLOWING FAILURE OF FIRST TREATMENT</v>
      </c>
      <c r="S95" s="699" t="str">
        <f>IFERROR(__xludf.DUMMYFUNCTION("""COMPUTED_VALUE"""),"Katz N., Rocha R.S., De Souza C.P., Coura Filho P., Bruce J.I., Coles G.C., Kinotie G.K. Efficacy of alternating therapy with osamniquine and praziquantel to treat schistosoma Mansoni in children follwing failure of first treatment. Am J Trop Med Hyg (199"&amp;"1) 44(5); 509‐512.")</f>
        <v>Katz N., Rocha R.S., De Souza C.P., Coura Filho P., Bruce J.I., Coles G.C., Kinotie G.K. Efficacy of alternating therapy with osamniquine and praziquantel to treat schistosoma Mansoni in children follwing failure of first treatment. Am J Trop Med Hyg (1991) 44(5); 509‐512.</v>
      </c>
      <c r="T95" s="697"/>
      <c r="U95" s="697" t="str">
        <f>IFERROR(__xludf.DUMMYFUNCTION("""COMPUTED_VALUE"""),"x")</f>
        <v>x</v>
      </c>
      <c r="V95" s="697">
        <f>IFERROR(__xludf.DUMMYFUNCTION("""COMPUTED_VALUE"""),95.0)</f>
        <v>95</v>
      </c>
    </row>
    <row r="96">
      <c r="A96" s="697" t="str">
        <f>IFERROR(__xludf.DUMMYFUNCTION("""COMPUTED_VALUE"""),"Katz N, 1991")</f>
        <v>Katz N, 1991</v>
      </c>
      <c r="B96" s="697" t="str">
        <f>IFERROR(__xludf.DUMMYFUNCTION("""COMPUTED_VALUE"""),"s. mansoni")</f>
        <v>s. mansoni</v>
      </c>
      <c r="C96" s="697" t="str">
        <f>IFERROR(__xludf.DUMMYFUNCTION("""COMPUTED_VALUE"""),"Brazil")</f>
        <v>Brazil</v>
      </c>
      <c r="D96" s="697" t="str">
        <f>IFERROR(__xludf.DUMMYFUNCTION("""COMPUTED_VALUE"""),"Praziquantel")</f>
        <v>Praziquantel</v>
      </c>
      <c r="E96" s="697" t="str">
        <f>IFERROR(__xludf.DUMMYFUNCTION("""COMPUTED_VALUE"""),"Single")</f>
        <v>Single</v>
      </c>
      <c r="F96" s="697" t="str">
        <f>IFERROR(__xludf.DUMMYFUNCTION("""COMPUTED_VALUE"""),"60 mg/kg")</f>
        <v>60 mg/kg</v>
      </c>
      <c r="G96" s="697">
        <f>IFERROR(__xludf.DUMMYFUNCTION("""COMPUTED_VALUE"""),110.0)</f>
        <v>110</v>
      </c>
      <c r="H96" s="697" t="str">
        <f>IFERROR(__xludf.DUMMYFUNCTION("""COMPUTED_VALUE"""),"7 - 14")</f>
        <v>7 - 14</v>
      </c>
      <c r="I96" s="697"/>
      <c r="J96" s="697">
        <f>IFERROR(__xludf.DUMMYFUNCTION("""COMPUTED_VALUE"""),1991.0)</f>
        <v>1991</v>
      </c>
      <c r="K96" s="697" t="str">
        <f>IFERROR(__xludf.DUMMYFUNCTION("""COMPUTED_VALUE"""),"7 to 14 yrs old. Infected with S. mansoni were divided into 2 groups: Single oral dose of 60 mg/kg praziquantel(110 children) vs Single oral dose of 20mg/kg oxamniquine.")</f>
        <v>7 to 14 yrs old. Infected with S. mansoni were divided into 2 groups: Single oral dose of 60 mg/kg praziquantel(110 children) vs Single oral dose of 20mg/kg oxamniquine.</v>
      </c>
      <c r="L96" s="697" t="str">
        <f>IFERROR(__xludf.DUMMYFUNCTION("""COMPUTED_VALUE"""),"No")</f>
        <v>No</v>
      </c>
      <c r="M96" s="697" t="str">
        <f>IFERROR(__xludf.DUMMYFUNCTION("""COMPUTED_VALUE"""),"No")</f>
        <v>No</v>
      </c>
      <c r="N96" s="697" t="str">
        <f>IFERROR(__xludf.DUMMYFUNCTION("""COMPUTED_VALUE"""),"Group with 90 children treated with 20mg/kg oxamniquine: 2-3 months 75 children were re-examined (14.6% positive): 6 children were treated 1 and 10 months after with 60mg/kg praziquantel (1m) 0/4 positive (10m) 2/4 positive. group single oral dose of 60 m"&amp;"g/kg praziquantel(110 children): 2-3 months later (100 re-examined)= 16% positive: 10 children were examined 1 and 10 month after second treatment with 20 mg/kg oxamniquine (1m) 1/8th positive (10m) 5/8 positive.")</f>
        <v>Group with 90 children treated with 20mg/kg oxamniquine: 2-3 months 75 children were re-examined (14.6% positive): 6 children were treated 1 and 10 months after with 60mg/kg praziquantel (1m) 0/4 positive (10m) 2/4 positive. group single oral dose of 60 mg/kg praziquantel(110 children): 2-3 months later (100 re-examined)= 16% positive: 10 children were examined 1 and 10 month after second treatment with 20 mg/kg oxamniquine (1m) 1/8th positive (10m) 5/8 positive.</v>
      </c>
      <c r="O96" s="872">
        <f>IFERROR(__xludf.DUMMYFUNCTION("""COMPUTED_VALUE"""),0.84)</f>
        <v>0.84</v>
      </c>
      <c r="P96" s="697"/>
      <c r="Q96" s="697" t="str">
        <f>IFERROR(__xludf.DUMMYFUNCTION("""COMPUTED_VALUE"""),"In order to minimize the risk of the development of drug resistance, suggect that infected patients be treated with one drug and therapeutic failures with another. treatment with the alternative drug of children not cureed 2-3 months after first treatment"&amp;" resukting in negative stools in 11of 12 cases examined 1 month after second treatment")</f>
        <v>In order to minimize the risk of the development of drug resistance, suggect that infected patients be treated with one drug and therapeutic failures with another. treatment with the alternative drug of children not cureed 2-3 months after first treatment resukting in negative stools in 11of 12 cases examined 1 month after second treatment</v>
      </c>
      <c r="R96" s="697" t="str">
        <f>IFERROR(__xludf.DUMMYFUNCTION("""COMPUTED_VALUE"""),"EFFICACY OF ALTERNATING THERAPY WITH OXAMNIQUINE AND PRAZIQUANTEL TO TREAT SCHISTOSOMA MANSONI IN CHILDREN FOLLOWING FAILURE OF FIRST TREATMENT")</f>
        <v>EFFICACY OF ALTERNATING THERAPY WITH OXAMNIQUINE AND PRAZIQUANTEL TO TREAT SCHISTOSOMA MANSONI IN CHILDREN FOLLOWING FAILURE OF FIRST TREATMENT</v>
      </c>
      <c r="S96" s="699" t="str">
        <f>IFERROR(__xludf.DUMMYFUNCTION("""COMPUTED_VALUE"""),"Katz N., Rocha R.S., De Souza C.P., Coura Filho P., Bruce J.I., Coles G.C., Kinotie G.K. Efficacy of alternating therapy with osamniquine and praziquantel to treat schistosoma Mansoni in children follwing failure of first treatment. Am J Trop Med Hyg (199"&amp;"1) 44(5); 509‐512.")</f>
        <v>Katz N., Rocha R.S., De Souza C.P., Coura Filho P., Bruce J.I., Coles G.C., Kinotie G.K. Efficacy of alternating therapy with osamniquine and praziquantel to treat schistosoma Mansoni in children follwing failure of first treatment. Am J Trop Med Hyg (1991) 44(5); 509‐512.</v>
      </c>
      <c r="T96" s="697"/>
      <c r="U96" s="697" t="str">
        <f>IFERROR(__xludf.DUMMYFUNCTION("""COMPUTED_VALUE"""),"x")</f>
        <v>x</v>
      </c>
      <c r="V96" s="697">
        <f>IFERROR(__xludf.DUMMYFUNCTION("""COMPUTED_VALUE"""),96.0)</f>
        <v>96</v>
      </c>
    </row>
    <row r="97">
      <c r="A97" s="697" t="str">
        <f>IFERROR(__xludf.DUMMYFUNCTION("""COMPUTED_VALUE"""),"Kilpatrick ME, 1982")</f>
        <v>Kilpatrick ME, 1982</v>
      </c>
      <c r="B97" s="697" t="str">
        <f>IFERROR(__xludf.DUMMYFUNCTION("""COMPUTED_VALUE"""),"s. mansoni")</f>
        <v>s. mansoni</v>
      </c>
      <c r="C97" s="697" t="str">
        <f>IFERROR(__xludf.DUMMYFUNCTION("""COMPUTED_VALUE"""),"Egypt")</f>
        <v>Egypt</v>
      </c>
      <c r="D97" s="697" t="str">
        <f>IFERROR(__xludf.DUMMYFUNCTION("""COMPUTED_VALUE"""),"Oxamniquine")</f>
        <v>Oxamniquine</v>
      </c>
      <c r="E97" s="697" t="str">
        <f>IFERROR(__xludf.DUMMYFUNCTION("""COMPUTED_VALUE"""),"Three")</f>
        <v>Three</v>
      </c>
      <c r="F97" s="697" t="str">
        <f>IFERROR(__xludf.DUMMYFUNCTION("""COMPUTED_VALUE"""),"20 mg/kg ")</f>
        <v>20 mg/kg </v>
      </c>
      <c r="G97" s="697">
        <f>IFERROR(__xludf.DUMMYFUNCTION("""COMPUTED_VALUE"""),28.0)</f>
        <v>28</v>
      </c>
      <c r="H97" s="697" t="str">
        <f>IFERROR(__xludf.DUMMYFUNCTION("""COMPUTED_VALUE"""),"Children")</f>
        <v>Children</v>
      </c>
      <c r="I97" s="705" t="str">
        <f>IFERROR(__xludf.DUMMYFUNCTION("""COMPUTED_VALUE"""),"male")</f>
        <v>male</v>
      </c>
      <c r="J97" s="697">
        <f>IFERROR(__xludf.DUMMYFUNCTION("""COMPUTED_VALUE"""),1982.0)</f>
        <v>1982</v>
      </c>
      <c r="K97" s="702" t="str">
        <f>IFERROR(__xludf.DUMMYFUNCTION("""COMPUTED_VALUE"""),"All Males. Subjects examined in hospital and tested for at least two S.mansoni stool eggs counts")</f>
        <v>All Males. Subjects examined in hospital and tested for at least two S.mansoni stool eggs counts</v>
      </c>
      <c r="L97" s="697" t="str">
        <f>IFERROR(__xludf.DUMMYFUNCTION("""COMPUTED_VALUE"""),"No")</f>
        <v>No</v>
      </c>
      <c r="M97" s="697" t="str">
        <f>IFERROR(__xludf.DUMMYFUNCTION("""COMPUTED_VALUE"""),"Yes")</f>
        <v>Yes</v>
      </c>
      <c r="N97" s="697" t="str">
        <f>IFERROR(__xludf.DUMMYFUNCTION("""COMPUTED_VALUE"""),"Stool count eggs were examinded at 4,8,12 weeks after treatment , Cured was defined as absence of viable eggs in stool at 12 weeks")</f>
        <v>Stool count eggs were examinded at 4,8,12 weeks after treatment , Cured was defined as absence of viable eggs in stool at 12 weeks</v>
      </c>
      <c r="O97" s="872">
        <f>IFERROR(__xludf.DUMMYFUNCTION("""COMPUTED_VALUE"""),0.26)</f>
        <v>0.26</v>
      </c>
      <c r="P97" s="697"/>
      <c r="Q97" s="697" t="str">
        <f>IFERROR(__xludf.DUMMYFUNCTION("""COMPUTED_VALUE"""),"Niridazole is more effective drug for child with s.mansoni, but oxamniquine is advised for the adult with s.mansoni.")</f>
        <v>Niridazole is more effective drug for child with s.mansoni, but oxamniquine is advised for the adult with s.mansoni.</v>
      </c>
      <c r="R97" s="697"/>
      <c r="S97" s="699" t="str">
        <f>IFERROR(__xludf.DUMMYFUNCTION("""COMPUTED_VALUE"""),"Kilpatrick M.E., El Masry N.A., Bassily S., Farid Z. Oxamniquine versus niridazole for treatment of uncomplicated schistosoma mansoni infection. Am J Trop Med Hyg (1982) 31 (6); 1164‐1167.")</f>
        <v>Kilpatrick M.E., El Masry N.A., Bassily S., Farid Z. Oxamniquine versus niridazole for treatment of uncomplicated schistosoma mansoni infection. Am J Trop Med Hyg (1982) 31 (6); 1164‐1167.</v>
      </c>
      <c r="T97" s="697"/>
      <c r="U97" s="697" t="str">
        <f>IFERROR(__xludf.DUMMYFUNCTION("""COMPUTED_VALUE"""),"")</f>
        <v/>
      </c>
      <c r="V97" s="697">
        <f>IFERROR(__xludf.DUMMYFUNCTION("""COMPUTED_VALUE"""),97.0)</f>
        <v>97</v>
      </c>
    </row>
    <row r="98">
      <c r="A98" s="697" t="str">
        <f>IFERROR(__xludf.DUMMYFUNCTION("""COMPUTED_VALUE"""),"Kilpatrick ME, 1982")</f>
        <v>Kilpatrick ME, 1982</v>
      </c>
      <c r="B98" s="697" t="str">
        <f>IFERROR(__xludf.DUMMYFUNCTION("""COMPUTED_VALUE"""),"s. mansoni")</f>
        <v>s. mansoni</v>
      </c>
      <c r="C98" s="697" t="str">
        <f>IFERROR(__xludf.DUMMYFUNCTION("""COMPUTED_VALUE"""),"Egypt")</f>
        <v>Egypt</v>
      </c>
      <c r="D98" s="697" t="str">
        <f>IFERROR(__xludf.DUMMYFUNCTION("""COMPUTED_VALUE"""),"Oxamniquine")</f>
        <v>Oxamniquine</v>
      </c>
      <c r="E98" s="697" t="str">
        <f>IFERROR(__xludf.DUMMYFUNCTION("""COMPUTED_VALUE"""),"Three")</f>
        <v>Three</v>
      </c>
      <c r="F98" s="697" t="str">
        <f>IFERROR(__xludf.DUMMYFUNCTION("""COMPUTED_VALUE"""),"20 mg/kg")</f>
        <v>20 mg/kg</v>
      </c>
      <c r="G98" s="697">
        <f>IFERROR(__xludf.DUMMYFUNCTION("""COMPUTED_VALUE"""),26.0)</f>
        <v>26</v>
      </c>
      <c r="H98" s="697" t="str">
        <f>IFERROR(__xludf.DUMMYFUNCTION("""COMPUTED_VALUE"""),"Adults")</f>
        <v>Adults</v>
      </c>
      <c r="I98" s="705" t="str">
        <f>IFERROR(__xludf.DUMMYFUNCTION("""COMPUTED_VALUE"""),"male")</f>
        <v>male</v>
      </c>
      <c r="J98" s="697">
        <f>IFERROR(__xludf.DUMMYFUNCTION("""COMPUTED_VALUE"""),1982.0)</f>
        <v>1982</v>
      </c>
      <c r="K98" s="702" t="str">
        <f>IFERROR(__xludf.DUMMYFUNCTION("""COMPUTED_VALUE"""),"All Males. Subjects examined in hospital and tested for at least two S.mansoni stool eggs counts")</f>
        <v>All Males. Subjects examined in hospital and tested for at least two S.mansoni stool eggs counts</v>
      </c>
      <c r="L98" s="697" t="str">
        <f>IFERROR(__xludf.DUMMYFUNCTION("""COMPUTED_VALUE"""),"No")</f>
        <v>No</v>
      </c>
      <c r="M98" s="697" t="str">
        <f>IFERROR(__xludf.DUMMYFUNCTION("""COMPUTED_VALUE"""),"Yes")</f>
        <v>Yes</v>
      </c>
      <c r="N98" s="697" t="str">
        <f>IFERROR(__xludf.DUMMYFUNCTION("""COMPUTED_VALUE"""),"Stool count eggs were examinded at 4,8,12 weeks after treatment , Cured was defined as absence of viable eggs in stool at 12 weeks")</f>
        <v>Stool count eggs were examinded at 4,8,12 weeks after treatment , Cured was defined as absence of viable eggs in stool at 12 weeks</v>
      </c>
      <c r="O98" s="872">
        <f>IFERROR(__xludf.DUMMYFUNCTION("""COMPUTED_VALUE"""),0.85)</f>
        <v>0.85</v>
      </c>
      <c r="P98" s="697"/>
      <c r="Q98" s="697" t="str">
        <f>IFERROR(__xludf.DUMMYFUNCTION("""COMPUTED_VALUE"""),"Niridazole is more effective drug for child with s.mansoni, but oxamniquine is advised for the adult with s.mansoni.")</f>
        <v>Niridazole is more effective drug for child with s.mansoni, but oxamniquine is advised for the adult with s.mansoni.</v>
      </c>
      <c r="R98" s="697"/>
      <c r="S98" s="699" t="str">
        <f>IFERROR(__xludf.DUMMYFUNCTION("""COMPUTED_VALUE"""),"Kilpatrick M.E., El Masry N.A., Bassily S., Farid Z. Oxamniquine versus niridazole for treatment of uncomplicated schistosoma mansoni infection. Am J Trop Med Hyg (1982) 31 (6); 1164‐1167.")</f>
        <v>Kilpatrick M.E., El Masry N.A., Bassily S., Farid Z. Oxamniquine versus niridazole for treatment of uncomplicated schistosoma mansoni infection. Am J Trop Med Hyg (1982) 31 (6); 1164‐1167.</v>
      </c>
      <c r="T98" s="697"/>
      <c r="U98" s="697" t="str">
        <f>IFERROR(__xludf.DUMMYFUNCTION("""COMPUTED_VALUE"""),"")</f>
        <v/>
      </c>
      <c r="V98" s="697">
        <f>IFERROR(__xludf.DUMMYFUNCTION("""COMPUTED_VALUE"""),98.0)</f>
        <v>98</v>
      </c>
    </row>
    <row r="99">
      <c r="A99" s="697" t="str">
        <f>IFERROR(__xludf.DUMMYFUNCTION("""COMPUTED_VALUE"""),"Kilpatrick ME, 1982")</f>
        <v>Kilpatrick ME, 1982</v>
      </c>
      <c r="B99" s="697" t="str">
        <f>IFERROR(__xludf.DUMMYFUNCTION("""COMPUTED_VALUE"""),"s. mansoni")</f>
        <v>s. mansoni</v>
      </c>
      <c r="C99" s="697" t="str">
        <f>IFERROR(__xludf.DUMMYFUNCTION("""COMPUTED_VALUE"""),"Egypt")</f>
        <v>Egypt</v>
      </c>
      <c r="D99" s="697" t="str">
        <f>IFERROR(__xludf.DUMMYFUNCTION("""COMPUTED_VALUE"""),"Niridazole")</f>
        <v>Niridazole</v>
      </c>
      <c r="E99" s="697" t="str">
        <f>IFERROR(__xludf.DUMMYFUNCTION("""COMPUTED_VALUE"""),"Eight")</f>
        <v>Eight</v>
      </c>
      <c r="F99" s="697" t="str">
        <f>IFERROR(__xludf.DUMMYFUNCTION("""COMPUTED_VALUE"""),"15 mg/kg")</f>
        <v>15 mg/kg</v>
      </c>
      <c r="G99" s="697">
        <f>IFERROR(__xludf.DUMMYFUNCTION("""COMPUTED_VALUE"""),33.0)</f>
        <v>33</v>
      </c>
      <c r="H99" s="697" t="str">
        <f>IFERROR(__xludf.DUMMYFUNCTION("""COMPUTED_VALUE"""),"Children")</f>
        <v>Children</v>
      </c>
      <c r="I99" s="705" t="str">
        <f>IFERROR(__xludf.DUMMYFUNCTION("""COMPUTED_VALUE"""),"male")</f>
        <v>male</v>
      </c>
      <c r="J99" s="697">
        <f>IFERROR(__xludf.DUMMYFUNCTION("""COMPUTED_VALUE"""),1982.0)</f>
        <v>1982</v>
      </c>
      <c r="K99" s="702" t="str">
        <f>IFERROR(__xludf.DUMMYFUNCTION("""COMPUTED_VALUE"""),"All Males. Subjects examined in hospital and tested for at least two S.mansoni stool eggs counts.")</f>
        <v>All Males. Subjects examined in hospital and tested for at least two S.mansoni stool eggs counts.</v>
      </c>
      <c r="L99" s="697" t="str">
        <f>IFERROR(__xludf.DUMMYFUNCTION("""COMPUTED_VALUE"""),"No")</f>
        <v>No</v>
      </c>
      <c r="M99" s="697" t="str">
        <f>IFERROR(__xludf.DUMMYFUNCTION("""COMPUTED_VALUE"""),"Yes")</f>
        <v>Yes</v>
      </c>
      <c r="N99" s="697" t="str">
        <f>IFERROR(__xludf.DUMMYFUNCTION("""COMPUTED_VALUE"""),"Stool count eggs were examinded at 4,8,12 weeks after treatment , Cured was defined as absence of viable eggs in stool at 12 weeks")</f>
        <v>Stool count eggs were examinded at 4,8,12 weeks after treatment , Cured was defined as absence of viable eggs in stool at 12 weeks</v>
      </c>
      <c r="O99" s="872">
        <f>IFERROR(__xludf.DUMMYFUNCTION("""COMPUTED_VALUE"""),0.71)</f>
        <v>0.71</v>
      </c>
      <c r="P99" s="697"/>
      <c r="Q99" s="697" t="str">
        <f>IFERROR(__xludf.DUMMYFUNCTION("""COMPUTED_VALUE"""),"Niridazole is more effective drug for child with s.mansoni, but oxamniquine is advised for the adult with s.mansoni.")</f>
        <v>Niridazole is more effective drug for child with s.mansoni, but oxamniquine is advised for the adult with s.mansoni.</v>
      </c>
      <c r="R99" s="697"/>
      <c r="S99" s="699" t="str">
        <f>IFERROR(__xludf.DUMMYFUNCTION("""COMPUTED_VALUE"""),"Kilpatrick M.E., El Masry N.A., Bassily S., Farid Z. Oxamniquine versus niridazole for treatment of uncomplicated schistosoma mansoni infection. Am J Trop Med Hyg (1982) 31 (6); 1164‐1167.")</f>
        <v>Kilpatrick M.E., El Masry N.A., Bassily S., Farid Z. Oxamniquine versus niridazole for treatment of uncomplicated schistosoma mansoni infection. Am J Trop Med Hyg (1982) 31 (6); 1164‐1167.</v>
      </c>
      <c r="T99" s="697"/>
      <c r="U99" s="697" t="str">
        <f>IFERROR(__xludf.DUMMYFUNCTION("""COMPUTED_VALUE"""),"")</f>
        <v/>
      </c>
      <c r="V99" s="697">
        <f>IFERROR(__xludf.DUMMYFUNCTION("""COMPUTED_VALUE"""),99.0)</f>
        <v>99</v>
      </c>
    </row>
    <row r="100">
      <c r="A100" s="697" t="str">
        <f>IFERROR(__xludf.DUMMYFUNCTION("""COMPUTED_VALUE"""),"Kilpatrick ME, 1982")</f>
        <v>Kilpatrick ME, 1982</v>
      </c>
      <c r="B100" s="697" t="str">
        <f>IFERROR(__xludf.DUMMYFUNCTION("""COMPUTED_VALUE"""),"s. mansoni")</f>
        <v>s. mansoni</v>
      </c>
      <c r="C100" s="697" t="str">
        <f>IFERROR(__xludf.DUMMYFUNCTION("""COMPUTED_VALUE"""),"Egypt")</f>
        <v>Egypt</v>
      </c>
      <c r="D100" s="697" t="str">
        <f>IFERROR(__xludf.DUMMYFUNCTION("""COMPUTED_VALUE"""),"Niridazole")</f>
        <v>Niridazole</v>
      </c>
      <c r="E100" s="697" t="str">
        <f>IFERROR(__xludf.DUMMYFUNCTION("""COMPUTED_VALUE"""),"Eight")</f>
        <v>Eight</v>
      </c>
      <c r="F100" s="697" t="str">
        <f>IFERROR(__xludf.DUMMYFUNCTION("""COMPUTED_VALUE"""),"15 mg/lkg")</f>
        <v>15 mg/lkg</v>
      </c>
      <c r="G100" s="697">
        <f>IFERROR(__xludf.DUMMYFUNCTION("""COMPUTED_VALUE"""),29.0)</f>
        <v>29</v>
      </c>
      <c r="H100" s="697" t="str">
        <f>IFERROR(__xludf.DUMMYFUNCTION("""COMPUTED_VALUE"""),"Adults")</f>
        <v>Adults</v>
      </c>
      <c r="I100" s="705" t="str">
        <f>IFERROR(__xludf.DUMMYFUNCTION("""COMPUTED_VALUE"""),"male")</f>
        <v>male</v>
      </c>
      <c r="J100" s="697">
        <f>IFERROR(__xludf.DUMMYFUNCTION("""COMPUTED_VALUE"""),1982.0)</f>
        <v>1982</v>
      </c>
      <c r="K100" s="702" t="str">
        <f>IFERROR(__xludf.DUMMYFUNCTION("""COMPUTED_VALUE"""),"All Males. Subjects examined in hospital and tested for at least two S.mansoni stool eggs counts")</f>
        <v>All Males. Subjects examined in hospital and tested for at least two S.mansoni stool eggs counts</v>
      </c>
      <c r="L100" s="697" t="str">
        <f>IFERROR(__xludf.DUMMYFUNCTION("""COMPUTED_VALUE"""),"No")</f>
        <v>No</v>
      </c>
      <c r="M100" s="697" t="str">
        <f>IFERROR(__xludf.DUMMYFUNCTION("""COMPUTED_VALUE"""),"Yes")</f>
        <v>Yes</v>
      </c>
      <c r="N100" s="697" t="str">
        <f>IFERROR(__xludf.DUMMYFUNCTION("""COMPUTED_VALUE"""),"Stool count eggs were examinded at 4,8,12 weeks after treatment , Cured was defined as absence of viable eggs in stool at 12 weeks")</f>
        <v>Stool count eggs were examinded at 4,8,12 weeks after treatment , Cured was defined as absence of viable eggs in stool at 12 weeks</v>
      </c>
      <c r="O100" s="872">
        <f>IFERROR(__xludf.DUMMYFUNCTION("""COMPUTED_VALUE"""),0.84)</f>
        <v>0.84</v>
      </c>
      <c r="P100" s="697"/>
      <c r="Q100" s="697" t="str">
        <f>IFERROR(__xludf.DUMMYFUNCTION("""COMPUTED_VALUE"""),"Niridazole is more effective drug for child with s.mansoni, but oxamniquine is advised for the adult with s.mansoni.")</f>
        <v>Niridazole is more effective drug for child with s.mansoni, but oxamniquine is advised for the adult with s.mansoni.</v>
      </c>
      <c r="R100" s="697"/>
      <c r="S100" s="699" t="str">
        <f>IFERROR(__xludf.DUMMYFUNCTION("""COMPUTED_VALUE"""),"Kilpatrick M.E., El Masry N.A., Bassily S., Farid Z. Oxamniquine versus niridazole for treatment of uncomplicated schistosoma mansoni infection. Am J Trop Med Hyg (1982) 31 (6); 1164‐1167.")</f>
        <v>Kilpatrick M.E., El Masry N.A., Bassily S., Farid Z. Oxamniquine versus niridazole for treatment of uncomplicated schistosoma mansoni infection. Am J Trop Med Hyg (1982) 31 (6); 1164‐1167.</v>
      </c>
      <c r="T100" s="697"/>
      <c r="U100" s="697" t="str">
        <f>IFERROR(__xludf.DUMMYFUNCTION("""COMPUTED_VALUE"""),"")</f>
        <v/>
      </c>
      <c r="V100" s="697">
        <f>IFERROR(__xludf.DUMMYFUNCTION("""COMPUTED_VALUE"""),100.0)</f>
        <v>100</v>
      </c>
    </row>
    <row r="101">
      <c r="A101" s="697" t="str">
        <f>IFERROR(__xludf.DUMMYFUNCTION("""COMPUTED_VALUE"""),"Lambertucci J.R, 1982")</f>
        <v>Lambertucci J.R, 1982</v>
      </c>
      <c r="B101" s="697" t="str">
        <f>IFERROR(__xludf.DUMMYFUNCTION("""COMPUTED_VALUE"""),"s. mansoni")</f>
        <v>s. mansoni</v>
      </c>
      <c r="C101" s="697" t="str">
        <f>IFERROR(__xludf.DUMMYFUNCTION("""COMPUTED_VALUE"""),"Brazil")</f>
        <v>Brazil</v>
      </c>
      <c r="D101" s="697" t="str">
        <f>IFERROR(__xludf.DUMMYFUNCTION("""COMPUTED_VALUE"""),"Oxamniquine")</f>
        <v>Oxamniquine</v>
      </c>
      <c r="E101" s="697" t="str">
        <f>IFERROR(__xludf.DUMMYFUNCTION("""COMPUTED_VALUE"""),"Single")</f>
        <v>Single</v>
      </c>
      <c r="F101" s="697" t="str">
        <f>IFERROR(__xludf.DUMMYFUNCTION("""COMPUTED_VALUE"""),"20 mg/kg ")</f>
        <v>20 mg/kg </v>
      </c>
      <c r="G101" s="697">
        <f>IFERROR(__xludf.DUMMYFUNCTION("""COMPUTED_VALUE"""),48.0)</f>
        <v>48</v>
      </c>
      <c r="H101" s="697" t="str">
        <f>IFERROR(__xludf.DUMMYFUNCTION("""COMPUTED_VALUE"""),"6- 14")</f>
        <v>6- 14</v>
      </c>
      <c r="I101" s="705" t="str">
        <f>IFERROR(__xludf.DUMMYFUNCTION("""COMPUTED_VALUE"""),"32:16")</f>
        <v>32:16</v>
      </c>
      <c r="J101" s="697">
        <f>IFERROR(__xludf.DUMMYFUNCTION("""COMPUTED_VALUE"""),1979.0)</f>
        <v>1979</v>
      </c>
      <c r="K101" s="697" t="str">
        <f>IFERROR(__xludf.DUMMYFUNCTION("""COMPUTED_VALUE"""),"Use of quantitative stool sample examinations, testing for S. mansoni")</f>
        <v>Use of quantitative stool sample examinations, testing for S. mansoni</v>
      </c>
      <c r="L101" s="697" t="str">
        <f>IFERROR(__xludf.DUMMYFUNCTION("""COMPUTED_VALUE"""),"Yes")</f>
        <v>Yes</v>
      </c>
      <c r="M101" s="697" t="str">
        <f>IFERROR(__xludf.DUMMYFUNCTION("""COMPUTED_VALUE"""),"Yes")</f>
        <v>Yes</v>
      </c>
      <c r="N101" s="697" t="str">
        <f>IFERROR(__xludf.DUMMYFUNCTION("""COMPUTED_VALUE"""),"10 months ")</f>
        <v>10 months </v>
      </c>
      <c r="O101" s="873">
        <f>IFERROR(__xludf.DUMMYFUNCTION("""COMPUTED_VALUE"""),0.696)</f>
        <v>0.696</v>
      </c>
      <c r="P101" s="698">
        <f>IFERROR(__xludf.DUMMYFUNCTION("""COMPUTED_VALUE"""),0.779)</f>
        <v>0.779</v>
      </c>
      <c r="Q101" s="697" t="str">
        <f>IFERROR(__xludf.DUMMYFUNCTION("""COMPUTED_VALUE"""),"The authors conclude that oral oxamniquine in the prescribed dosage, has low toxicity and good therapeutic efficacy in children with chronic schistosomiasis mansoni.")</f>
        <v>The authors conclude that oral oxamniquine in the prescribed dosage, has low toxicity and good therapeutic efficacy in children with chronic schistosomiasis mansoni.</v>
      </c>
      <c r="R101" s="697" t="str">
        <f>IFERROR(__xludf.DUMMYFUNCTION("""COMPUTED_VALUE"""),"Also included an uninfected control group")</f>
        <v>Also included an uninfected control group</v>
      </c>
      <c r="S101" s="699" t="str">
        <f>IFERROR(__xludf.DUMMYFUNCTION("""COMPUTED_VALUE"""),"Lambertucci J.R., Greco D.B., Pedrosa E.R.P, da Costa Rocha M.O., Salazar H.M., De Lima D.P. A double blind trial with oxamniquine in chronic schistosomiasis mansoni. Trans Roy Soc Trop Med Hyg (1982) 76(6); 751‐755.")</f>
        <v>Lambertucci J.R., Greco D.B., Pedrosa E.R.P, da Costa Rocha M.O., Salazar H.M., De Lima D.P. A double blind trial with oxamniquine in chronic schistosomiasis mansoni. Trans Roy Soc Trop Med Hyg (1982) 76(6); 751‐755.</v>
      </c>
      <c r="T101" s="697"/>
      <c r="U101" s="697" t="str">
        <f>IFERROR(__xludf.DUMMYFUNCTION("""COMPUTED_VALUE"""),"")</f>
        <v/>
      </c>
      <c r="V101" s="697">
        <f>IFERROR(__xludf.DUMMYFUNCTION("""COMPUTED_VALUE"""),101.0)</f>
        <v>101</v>
      </c>
    </row>
    <row r="102">
      <c r="A102" s="697" t="str">
        <f>IFERROR(__xludf.DUMMYFUNCTION("""COMPUTED_VALUE"""),"Lambertucci J.R, 1982")</f>
        <v>Lambertucci J.R, 1982</v>
      </c>
      <c r="B102" s="697" t="str">
        <f>IFERROR(__xludf.DUMMYFUNCTION("""COMPUTED_VALUE"""),"s. mansoni")</f>
        <v>s. mansoni</v>
      </c>
      <c r="C102" s="697" t="str">
        <f>IFERROR(__xludf.DUMMYFUNCTION("""COMPUTED_VALUE"""),"Brazil")</f>
        <v>Brazil</v>
      </c>
      <c r="D102" s="697" t="str">
        <f>IFERROR(__xludf.DUMMYFUNCTION("""COMPUTED_VALUE"""),"Placebo")</f>
        <v>Placebo</v>
      </c>
      <c r="E102" s="697"/>
      <c r="F102" s="697"/>
      <c r="G102" s="697">
        <f>IFERROR(__xludf.DUMMYFUNCTION("""COMPUTED_VALUE"""),43.0)</f>
        <v>43</v>
      </c>
      <c r="H102" s="697" t="str">
        <f>IFERROR(__xludf.DUMMYFUNCTION("""COMPUTED_VALUE"""),"6- 14")</f>
        <v>6- 14</v>
      </c>
      <c r="I102" s="705" t="str">
        <f>IFERROR(__xludf.DUMMYFUNCTION("""COMPUTED_VALUE"""),"24:19")</f>
        <v>24:19</v>
      </c>
      <c r="J102" s="697">
        <f>IFERROR(__xludf.DUMMYFUNCTION("""COMPUTED_VALUE"""),1979.0)</f>
        <v>1979</v>
      </c>
      <c r="K102" s="697" t="str">
        <f>IFERROR(__xludf.DUMMYFUNCTION("""COMPUTED_VALUE"""),"Use of quantitative stool sample examinations, testing for S. mansoni")</f>
        <v>Use of quantitative stool sample examinations, testing for S. mansoni</v>
      </c>
      <c r="L102" s="697" t="str">
        <f>IFERROR(__xludf.DUMMYFUNCTION("""COMPUTED_VALUE"""),"Yes")</f>
        <v>Yes</v>
      </c>
      <c r="M102" s="697" t="str">
        <f>IFERROR(__xludf.DUMMYFUNCTION("""COMPUTED_VALUE"""),"Yes")</f>
        <v>Yes</v>
      </c>
      <c r="N102" s="697" t="str">
        <f>IFERROR(__xludf.DUMMYFUNCTION("""COMPUTED_VALUE"""),"10 months ")</f>
        <v>10 months </v>
      </c>
      <c r="O102" s="873">
        <f>IFERROR(__xludf.DUMMYFUNCTION("""COMPUTED_VALUE"""),0.0)</f>
        <v>0</v>
      </c>
      <c r="P102" s="697"/>
      <c r="Q102" s="697" t="str">
        <f>IFERROR(__xludf.DUMMYFUNCTION("""COMPUTED_VALUE"""),"The authors conclude that oral oxamniquine in the prescribed dosage, has low toxicity and good therapeutic efficacy in children with chronic schistosomiasis mansoni.")</f>
        <v>The authors conclude that oral oxamniquine in the prescribed dosage, has low toxicity and good therapeutic efficacy in children with chronic schistosomiasis mansoni.</v>
      </c>
      <c r="R102" s="697" t="str">
        <f>IFERROR(__xludf.DUMMYFUNCTION("""COMPUTED_VALUE"""),"Also included an uninfected control group")</f>
        <v>Also included an uninfected control group</v>
      </c>
      <c r="S102" s="699" t="str">
        <f>IFERROR(__xludf.DUMMYFUNCTION("""COMPUTED_VALUE"""),"Lambertucci J.R., Greco D.B., Pedrosa E.R.P, da Costa Rocha M.O., Salazar H.M., De Lima D.P. A double blind trial with oxamniquine in chronic schistosomiasis mansoni. Trans Roy Soc Trop Med Hyg (1982) 76(6); 751‐755.")</f>
        <v>Lambertucci J.R., Greco D.B., Pedrosa E.R.P, da Costa Rocha M.O., Salazar H.M., De Lima D.P. A double blind trial with oxamniquine in chronic schistosomiasis mansoni. Trans Roy Soc Trop Med Hyg (1982) 76(6); 751‐755.</v>
      </c>
      <c r="T102" s="697"/>
      <c r="U102" s="697" t="str">
        <f>IFERROR(__xludf.DUMMYFUNCTION("""COMPUTED_VALUE"""),"")</f>
        <v/>
      </c>
      <c r="V102" s="697">
        <f>IFERROR(__xludf.DUMMYFUNCTION("""COMPUTED_VALUE"""),102.0)</f>
        <v>102</v>
      </c>
    </row>
    <row r="103">
      <c r="A103" s="697" t="str">
        <f>IFERROR(__xludf.DUMMYFUNCTION("""COMPUTED_VALUE"""),"Li 2005")</f>
        <v>Li 2005</v>
      </c>
      <c r="B103" s="697" t="str">
        <f>IFERROR(__xludf.DUMMYFUNCTION("""COMPUTED_VALUE"""),"S. japonicum")</f>
        <v>S. japonicum</v>
      </c>
      <c r="C103" s="697" t="str">
        <f>IFERROR(__xludf.DUMMYFUNCTION("""COMPUTED_VALUE"""),"China")</f>
        <v>China</v>
      </c>
      <c r="D103" s="697" t="str">
        <f>IFERROR(__xludf.DUMMYFUNCTION("""COMPUTED_VALUE"""),"Praziquantel")</f>
        <v>Praziquantel</v>
      </c>
      <c r="E103" s="697" t="str">
        <f>IFERROR(__xludf.DUMMYFUNCTION("""COMPUTED_VALUE"""),"Single")</f>
        <v>Single</v>
      </c>
      <c r="F103" s="697" t="str">
        <f>IFERROR(__xludf.DUMMYFUNCTION("""COMPUTED_VALUE"""),"50 mg/kg")</f>
        <v>50 mg/kg</v>
      </c>
      <c r="G103" s="697">
        <f>IFERROR(__xludf.DUMMYFUNCTION("""COMPUTED_VALUE"""),403.0)</f>
        <v>403</v>
      </c>
      <c r="H103" s="697" t="str">
        <f>IFERROR(__xludf.DUMMYFUNCTION("""COMPUTED_VALUE"""),"6-60 years old")</f>
        <v>6-60 years old</v>
      </c>
      <c r="I103" s="705" t="str">
        <f>IFERROR(__xludf.DUMMYFUNCTION("""COMPUTED_VALUE"""),"225/178")</f>
        <v>225/178</v>
      </c>
      <c r="J103" s="697">
        <f>IFERROR(__xludf.DUMMYFUNCTION("""COMPUTED_VALUE"""),2004.0)</f>
        <v>2004</v>
      </c>
      <c r="K103" s="702" t="str">
        <f>IFERROR(__xludf.DUMMYFUNCTION("""COMPUTED_VALUE"""),"The selected subjects were registered by age, sex, frequency and type of water contact, and then were randomly assigned into treatment group (i.e. artemether) and control group (i.e.placebo).")</f>
        <v>The selected subjects were registered by age, sex, frequency and type of water contact, and then were randomly assigned into treatment group (i.e. artemether) and control group (i.e.placebo).</v>
      </c>
      <c r="L103" s="697" t="str">
        <f>IFERROR(__xludf.DUMMYFUNCTION("""COMPUTED_VALUE"""),"Yes")</f>
        <v>Yes</v>
      </c>
      <c r="M103" s="697" t="str">
        <f>IFERROR(__xludf.DUMMYFUNCTION("""COMPUTED_VALUE"""),"Yes")</f>
        <v>Yes</v>
      </c>
      <c r="N103" s="697" t="str">
        <f>IFERROR(__xludf.DUMMYFUNCTION("""COMPUTED_VALUE"""),"1 month")</f>
        <v>1 month</v>
      </c>
      <c r="O103" s="874">
        <f>IFERROR(__xludf.DUMMYFUNCTION("""COMPUTED_VALUE"""),0.929)</f>
        <v>0.929</v>
      </c>
      <c r="P103" s="706">
        <f>IFERROR(__xludf.DUMMYFUNCTION("""COMPUTED_VALUE"""),0.961)</f>
        <v>0.961</v>
      </c>
      <c r="Q103" s="697" t="str">
        <f>IFERROR(__xludf.DUMMYFUNCTION("""COMPUTED_VALUE"""),"This study confirms that repeated oral artemether produces no drug-related adverse effects, significantly reduces incidence and intensity of patent S. japonicum infection and results in high compliance. Hence it can be used as an additional tool for the c"&amp;"ontrol of schistosomiasis japonica in the lake regions of China.")</f>
        <v>This study confirms that repeated oral artemether produces no drug-related adverse effects, significantly reduces incidence and intensity of patent S. japonicum infection and results in high compliance. Hence it can be used as an additional tool for the control of schistosomiasis japonica in the lake regions of China.</v>
      </c>
      <c r="R103" s="697"/>
      <c r="S103" s="699" t="str">
        <f>IFERROR(__xludf.DUMMYFUNCTION("""COMPUTED_VALUE"""),"Li, Yue-Sheng, et al. ""A double-blind field trial on the effects of artemether on Schistosoma japonicum infection in a highly endemic focus in southern China."" Acta tropica 96.2 (2005): 184-190.")</f>
        <v>Li, Yue-Sheng, et al. "A double-blind field trial on the effects of artemether on Schistosoma japonicum infection in a highly endemic focus in southern China." Acta tropica 96.2 (2005): 184-190.</v>
      </c>
      <c r="T103" s="697"/>
      <c r="U103" s="697" t="str">
        <f>IFERROR(__xludf.DUMMYFUNCTION("""COMPUTED_VALUE"""),"")</f>
        <v/>
      </c>
      <c r="V103" s="697">
        <f>IFERROR(__xludf.DUMMYFUNCTION("""COMPUTED_VALUE"""),103.0)</f>
        <v>103</v>
      </c>
    </row>
    <row r="104">
      <c r="A104" s="697" t="str">
        <f>IFERROR(__xludf.DUMMYFUNCTION("""COMPUTED_VALUE"""),"Li 2005")</f>
        <v>Li 2005</v>
      </c>
      <c r="B104" s="697" t="str">
        <f>IFERROR(__xludf.DUMMYFUNCTION("""COMPUTED_VALUE"""),"s. japonicum")</f>
        <v>s. japonicum</v>
      </c>
      <c r="C104" s="697" t="str">
        <f>IFERROR(__xludf.DUMMYFUNCTION("""COMPUTED_VALUE"""),"China")</f>
        <v>China</v>
      </c>
      <c r="D104" s="697" t="str">
        <f>IFERROR(__xludf.DUMMYFUNCTION("""COMPUTED_VALUE"""),"Placebo")</f>
        <v>Placebo</v>
      </c>
      <c r="E104" s="697"/>
      <c r="F104" s="697"/>
      <c r="G104" s="697">
        <f>IFERROR(__xludf.DUMMYFUNCTION("""COMPUTED_VALUE"""),380.0)</f>
        <v>380</v>
      </c>
      <c r="H104" s="697" t="str">
        <f>IFERROR(__xludf.DUMMYFUNCTION("""COMPUTED_VALUE"""),"6-60 years old")</f>
        <v>6-60 years old</v>
      </c>
      <c r="I104" s="705" t="str">
        <f>IFERROR(__xludf.DUMMYFUNCTION("""COMPUTED_VALUE"""),"216/164")</f>
        <v>216/164</v>
      </c>
      <c r="J104" s="697">
        <f>IFERROR(__xludf.DUMMYFUNCTION("""COMPUTED_VALUE"""),2004.0)</f>
        <v>2004</v>
      </c>
      <c r="K104" s="702" t="str">
        <f>IFERROR(__xludf.DUMMYFUNCTION("""COMPUTED_VALUE"""),"The selected subjects were registered by age, sex, frequency and type of water contact, and then were randomly assigned into treatment group (i.e. artemether) and control group (i.e.placebo).")</f>
        <v>The selected subjects were registered by age, sex, frequency and type of water contact, and then were randomly assigned into treatment group (i.e. artemether) and control group (i.e.placebo).</v>
      </c>
      <c r="L104" s="697" t="str">
        <f>IFERROR(__xludf.DUMMYFUNCTION("""COMPUTED_VALUE"""),"Yes")</f>
        <v>Yes</v>
      </c>
      <c r="M104" s="697" t="str">
        <f>IFERROR(__xludf.DUMMYFUNCTION("""COMPUTED_VALUE"""),"Yes")</f>
        <v>Yes</v>
      </c>
      <c r="N104" s="697" t="str">
        <f>IFERROR(__xludf.DUMMYFUNCTION("""COMPUTED_VALUE"""),"1 month")</f>
        <v>1 month</v>
      </c>
      <c r="O104" s="872">
        <f>IFERROR(__xludf.DUMMYFUNCTION("""COMPUTED_VALUE"""),0.0)</f>
        <v>0</v>
      </c>
      <c r="P104" s="706">
        <f>IFERROR(__xludf.DUMMYFUNCTION("""COMPUTED_VALUE"""),0.508)</f>
        <v>0.508</v>
      </c>
      <c r="Q104" s="697" t="str">
        <f>IFERROR(__xludf.DUMMYFUNCTION("""COMPUTED_VALUE"""),"This study confirms that repeated oral artemether produces no drug-related adverse effects, significantly reduces incidence and intensity of patent S. japonicum infection and results in high compliance. Hence it can be used as an additional tool for the c"&amp;"ontrol of schistosomiasis japonica in the lake regions of China.")</f>
        <v>This study confirms that repeated oral artemether produces no drug-related adverse effects, significantly reduces incidence and intensity of patent S. japonicum infection and results in high compliance. Hence it can be used as an additional tool for the control of schistosomiasis japonica in the lake regions of China.</v>
      </c>
      <c r="R104" s="697"/>
      <c r="S104" s="699" t="str">
        <f>IFERROR(__xludf.DUMMYFUNCTION("""COMPUTED_VALUE"""),"Li, Yue-Sheng, et al. ""A double-blind field trial on the effects of artemether on Schistosoma japonicum infection in a highly endemic focus in southern China."" Acta tropica 96.2 (2005): 184-190.")</f>
        <v>Li, Yue-Sheng, et al. "A double-blind field trial on the effects of artemether on Schistosoma japonicum infection in a highly endemic focus in southern China." Acta tropica 96.2 (2005): 184-190.</v>
      </c>
      <c r="T104" s="697"/>
      <c r="U104" s="697" t="str">
        <f>IFERROR(__xludf.DUMMYFUNCTION("""COMPUTED_VALUE"""),"")</f>
        <v/>
      </c>
      <c r="V104" s="697">
        <f>IFERROR(__xludf.DUMMYFUNCTION("""COMPUTED_VALUE"""),104.0)</f>
        <v>104</v>
      </c>
    </row>
    <row r="105">
      <c r="A105" s="697" t="str">
        <f>IFERROR(__xludf.DUMMYFUNCTION("""COMPUTED_VALUE"""),"Metwally A, 1995")</f>
        <v>Metwally A, 1995</v>
      </c>
      <c r="B105" s="697" t="str">
        <f>IFERROR(__xludf.DUMMYFUNCTION("""COMPUTED_VALUE"""),"s. mansoni")</f>
        <v>s. mansoni</v>
      </c>
      <c r="C105" s="697" t="str">
        <f>IFERROR(__xludf.DUMMYFUNCTION("""COMPUTED_VALUE"""),"Egypt")</f>
        <v>Egypt</v>
      </c>
      <c r="D105" s="697" t="str">
        <f>IFERROR(__xludf.DUMMYFUNCTION("""COMPUTED_VALUE"""),"Praziquantel")</f>
        <v>Praziquantel</v>
      </c>
      <c r="E105" s="697" t="str">
        <f>IFERROR(__xludf.DUMMYFUNCTION("""COMPUTED_VALUE"""),"Single")</f>
        <v>Single</v>
      </c>
      <c r="F105" s="697" t="str">
        <f>IFERROR(__xludf.DUMMYFUNCTION("""COMPUTED_VALUE"""),"40 mg/kg")</f>
        <v>40 mg/kg</v>
      </c>
      <c r="G105" s="697">
        <f>IFERROR(__xludf.DUMMYFUNCTION("""COMPUTED_VALUE"""),30.0)</f>
        <v>30</v>
      </c>
      <c r="H105" s="697" t="str">
        <f>IFERROR(__xludf.DUMMYFUNCTION("""COMPUTED_VALUE"""),"8-16 years old")</f>
        <v>8-16 years old</v>
      </c>
      <c r="I105" s="697"/>
      <c r="J105" s="697">
        <f>IFERROR(__xludf.DUMMYFUNCTION("""COMPUTED_VALUE"""),1995.0)</f>
        <v>1995</v>
      </c>
      <c r="K105" s="702" t="str">
        <f>IFERROR(__xludf.DUMMYFUNCTION("""COMPUTED_VALUE"""),"schoolchildren aged 8 to 16 years who were positive for S. mansoni")</f>
        <v>schoolchildren aged 8 to 16 years who were positive for S. mansoni</v>
      </c>
      <c r="L105" s="697" t="str">
        <f>IFERROR(__xludf.DUMMYFUNCTION("""COMPUTED_VALUE"""),"No")</f>
        <v>No</v>
      </c>
      <c r="M105" s="697" t="str">
        <f>IFERROR(__xludf.DUMMYFUNCTION("""COMPUTED_VALUE"""),"Yes")</f>
        <v>Yes</v>
      </c>
      <c r="N105" s="697" t="str">
        <f>IFERROR(__xludf.DUMMYFUNCTION("""COMPUTED_VALUE"""),"efficacy of test drugs treatment the two brands of PZQ in full dose were equally effective in reducing egg count as their half doses except in heavily infected cases treated with brand 2 of PZQ. 4 weeks; 10 weeks post treatment")</f>
        <v>efficacy of test drugs treatment the two brands of PZQ in full dose were equally effective in reducing egg count as their half doses except in heavily infected cases treated with brand 2 of PZQ. 4 weeks; 10 weeks post treatment</v>
      </c>
      <c r="O105" s="873">
        <f>IFERROR(__xludf.DUMMYFUNCTION("""COMPUTED_VALUE"""),0.733)</f>
        <v>0.733</v>
      </c>
      <c r="P105" s="700">
        <f>IFERROR(__xludf.DUMMYFUNCTION("""COMPUTED_VALUE"""),0.96)</f>
        <v>0.96</v>
      </c>
      <c r="Q105" s="697" t="str">
        <f>IFERROR(__xludf.DUMMYFUNCTION("""COMPUTED_VALUE"""),"Cure rates were significantly higher whenever full dose of either brand was used. The recommendation of using lower dose of PZQ, since the egg output from patients using 40 vs 20 mg kg-’ was not different, should be considered after longer followup period"&amp;"s. This is because most control programs using PZQ are planned to be conducted over an annual or biannual basis. Moreover, one could argue that since the number of eggs excreted in patients receiving the lower dose are higher, the probability of contamina"&amp;"ting water could also be higher")</f>
        <v>Cure rates were significantly higher whenever full dose of either brand was used. The recommendation of using lower dose of PZQ, since the egg output from patients using 40 vs 20 mg kg-’ was not different, should be considered after longer followup periods. This is because most control programs using PZQ are planned to be conducted over an annual or biannual basis. Moreover, one could argue that since the number of eggs excreted in patients receiving the lower dose are higher, the probability of contaminating water could also be higher</v>
      </c>
      <c r="R105" s="697" t="str">
        <f>IFERROR(__xludf.DUMMYFUNCTION("""COMPUTED_VALUE"""),"IMPACT OF DRUG DOSAGE AND BRAND ON BIOAVAILABILITY AND EFFICACY OF PRAZIQUANTEL")</f>
        <v>IMPACT OF DRUG DOSAGE AND BRAND ON BIOAVAILABILITY AND EFFICACY OF PRAZIQUANTEL</v>
      </c>
      <c r="S105" s="699" t="str">
        <f>IFERROR(__xludf.DUMMYFUNCTION("""COMPUTED_VALUE"""),"Metwally A, Bennett J, Botros S, Ebeid F, el attar Gel D. Impact of drug dosage and brand on bioavailability and efficacy of praziquantel. Pharmacological Research 1995;31 (1):53–9.")</f>
        <v>Metwally A, Bennett J, Botros S, Ebeid F, el attar Gel D. Impact of drug dosage and brand on bioavailability and efficacy of praziquantel. Pharmacological Research 1995;31 (1):53–9.</v>
      </c>
      <c r="T105" s="697"/>
      <c r="U105" s="697" t="str">
        <f>IFERROR(__xludf.DUMMYFUNCTION("""COMPUTED_VALUE"""),"")</f>
        <v/>
      </c>
      <c r="V105" s="697">
        <f>IFERROR(__xludf.DUMMYFUNCTION("""COMPUTED_VALUE"""),105.0)</f>
        <v>105</v>
      </c>
    </row>
    <row r="106">
      <c r="A106" s="697" t="str">
        <f>IFERROR(__xludf.DUMMYFUNCTION("""COMPUTED_VALUE"""),"Metwally A, 1995")</f>
        <v>Metwally A, 1995</v>
      </c>
      <c r="B106" s="697" t="str">
        <f>IFERROR(__xludf.DUMMYFUNCTION("""COMPUTED_VALUE"""),"s. mansoni")</f>
        <v>s. mansoni</v>
      </c>
      <c r="C106" s="697" t="str">
        <f>IFERROR(__xludf.DUMMYFUNCTION("""COMPUTED_VALUE"""),"Egypt")</f>
        <v>Egypt</v>
      </c>
      <c r="D106" s="697" t="str">
        <f>IFERROR(__xludf.DUMMYFUNCTION("""COMPUTED_VALUE"""),"Praziquantel")</f>
        <v>Praziquantel</v>
      </c>
      <c r="E106" s="697" t="str">
        <f>IFERROR(__xludf.DUMMYFUNCTION("""COMPUTED_VALUE"""),"Single")</f>
        <v>Single</v>
      </c>
      <c r="F106" s="697" t="str">
        <f>IFERROR(__xludf.DUMMYFUNCTION("""COMPUTED_VALUE"""),"40 mg/kg")</f>
        <v>40 mg/kg</v>
      </c>
      <c r="G106" s="697">
        <f>IFERROR(__xludf.DUMMYFUNCTION("""COMPUTED_VALUE"""),26.0)</f>
        <v>26</v>
      </c>
      <c r="H106" s="697" t="str">
        <f>IFERROR(__xludf.DUMMYFUNCTION("""COMPUTED_VALUE"""),"8-16 years old")</f>
        <v>8-16 years old</v>
      </c>
      <c r="I106" s="697"/>
      <c r="J106" s="697">
        <f>IFERROR(__xludf.DUMMYFUNCTION("""COMPUTED_VALUE"""),1995.0)</f>
        <v>1995</v>
      </c>
      <c r="K106" s="702" t="str">
        <f>IFERROR(__xludf.DUMMYFUNCTION("""COMPUTED_VALUE"""),"schoolchildren aged 8 to 16 years who were positive for S. mansoni")</f>
        <v>schoolchildren aged 8 to 16 years who were positive for S. mansoni</v>
      </c>
      <c r="L106" s="697" t="str">
        <f>IFERROR(__xludf.DUMMYFUNCTION("""COMPUTED_VALUE"""),"No")</f>
        <v>No</v>
      </c>
      <c r="M106" s="697" t="str">
        <f>IFERROR(__xludf.DUMMYFUNCTION("""COMPUTED_VALUE"""),"Yes")</f>
        <v>Yes</v>
      </c>
      <c r="N106" s="697" t="str">
        <f>IFERROR(__xludf.DUMMYFUNCTION("""COMPUTED_VALUE"""),"efficacy of test drugs treatment the two brands of PZQ in full dose were equally effective in reducing egg count as their half doses except in heavily infected cases treated with brand 2 of PZQ. 4 weeks; 10 weeks post treatment")</f>
        <v>efficacy of test drugs treatment the two brands of PZQ in full dose were equally effective in reducing egg count as their half doses except in heavily infected cases treated with brand 2 of PZQ. 4 weeks; 10 weeks post treatment</v>
      </c>
      <c r="O106" s="873">
        <f>IFERROR(__xludf.DUMMYFUNCTION("""COMPUTED_VALUE"""),0.52)</f>
        <v>0.52</v>
      </c>
      <c r="P106" s="698">
        <f>IFERROR(__xludf.DUMMYFUNCTION("""COMPUTED_VALUE"""),0.926)</f>
        <v>0.926</v>
      </c>
      <c r="Q106" s="697" t="str">
        <f>IFERROR(__xludf.DUMMYFUNCTION("""COMPUTED_VALUE"""),"Cure rates were significantly higher whenever full dose of either brand was used. The recommendation of using lower dose of PZQ, since the egg output from patients using 40 vs 20 mg kg-’ was not different, should be considered after longer followup period"&amp;"s. This is because most control programs using PZQ are planned to be conducted over an annual or biannual basis. Moreover, one could argue that since the number of eggs excreted in patients receiving the lower dose are higher, the probability of contamina"&amp;"ting water could also be higher")</f>
        <v>Cure rates were significantly higher whenever full dose of either brand was used. The recommendation of using lower dose of PZQ, since the egg output from patients using 40 vs 20 mg kg-’ was not different, should be considered after longer followup periods. This is because most control programs using PZQ are planned to be conducted over an annual or biannual basis. Moreover, one could argue that since the number of eggs excreted in patients receiving the lower dose are higher, the probability of contaminating water could also be higher</v>
      </c>
      <c r="R106" s="697" t="str">
        <f>IFERROR(__xludf.DUMMYFUNCTION("""COMPUTED_VALUE"""),"IMPACT OF DRUG DOSAGE AND BRAND ON BIOAVAILABILITY AND EFFICACY OF PRAZIQUANTEL")</f>
        <v>IMPACT OF DRUG DOSAGE AND BRAND ON BIOAVAILABILITY AND EFFICACY OF PRAZIQUANTEL</v>
      </c>
      <c r="S106" s="699" t="str">
        <f>IFERROR(__xludf.DUMMYFUNCTION("""COMPUTED_VALUE"""),"Metwally A, Bennett J, Botros S, Ebeid F, el attar Gel D. Impact of drug dosage and brand on bioavailability and efficacy of praziquantel. Pharmacological Research 1995;31 (1):53–9.")</f>
        <v>Metwally A, Bennett J, Botros S, Ebeid F, el attar Gel D. Impact of drug dosage and brand on bioavailability and efficacy of praziquantel. Pharmacological Research 1995;31 (1):53–9.</v>
      </c>
      <c r="T106" s="697"/>
      <c r="U106" s="697" t="str">
        <f>IFERROR(__xludf.DUMMYFUNCTION("""COMPUTED_VALUE"""),"")</f>
        <v/>
      </c>
      <c r="V106" s="697">
        <f>IFERROR(__xludf.DUMMYFUNCTION("""COMPUTED_VALUE"""),106.0)</f>
        <v>106</v>
      </c>
    </row>
    <row r="107">
      <c r="A107" s="697" t="str">
        <f>IFERROR(__xludf.DUMMYFUNCTION("""COMPUTED_VALUE"""),"Metwally A, 1995")</f>
        <v>Metwally A, 1995</v>
      </c>
      <c r="B107" s="697" t="str">
        <f>IFERROR(__xludf.DUMMYFUNCTION("""COMPUTED_VALUE"""),"s. mansoni")</f>
        <v>s. mansoni</v>
      </c>
      <c r="C107" s="697" t="str">
        <f>IFERROR(__xludf.DUMMYFUNCTION("""COMPUTED_VALUE"""),"Egypt")</f>
        <v>Egypt</v>
      </c>
      <c r="D107" s="697" t="str">
        <f>IFERROR(__xludf.DUMMYFUNCTION("""COMPUTED_VALUE"""),"Praziquantel")</f>
        <v>Praziquantel</v>
      </c>
      <c r="E107" s="697" t="str">
        <f>IFERROR(__xludf.DUMMYFUNCTION("""COMPUTED_VALUE"""),"Single")</f>
        <v>Single</v>
      </c>
      <c r="F107" s="697" t="str">
        <f>IFERROR(__xludf.DUMMYFUNCTION("""COMPUTED_VALUE"""),"40 mg/kg")</f>
        <v>40 mg/kg</v>
      </c>
      <c r="G107" s="697">
        <f>IFERROR(__xludf.DUMMYFUNCTION("""COMPUTED_VALUE"""),24.0)</f>
        <v>24</v>
      </c>
      <c r="H107" s="697" t="str">
        <f>IFERROR(__xludf.DUMMYFUNCTION("""COMPUTED_VALUE"""),"8-16 years old")</f>
        <v>8-16 years old</v>
      </c>
      <c r="I107" s="697"/>
      <c r="J107" s="697">
        <f>IFERROR(__xludf.DUMMYFUNCTION("""COMPUTED_VALUE"""),1995.0)</f>
        <v>1995</v>
      </c>
      <c r="K107" s="702" t="str">
        <f>IFERROR(__xludf.DUMMYFUNCTION("""COMPUTED_VALUE"""),"schoolchildren aged 8 to 16 years who were positive for S. mansoni")</f>
        <v>schoolchildren aged 8 to 16 years who were positive for S. mansoni</v>
      </c>
      <c r="L107" s="697" t="str">
        <f>IFERROR(__xludf.DUMMYFUNCTION("""COMPUTED_VALUE"""),"No")</f>
        <v>No</v>
      </c>
      <c r="M107" s="697" t="str">
        <f>IFERROR(__xludf.DUMMYFUNCTION("""COMPUTED_VALUE"""),"Yes")</f>
        <v>Yes</v>
      </c>
      <c r="N107" s="697" t="str">
        <f>IFERROR(__xludf.DUMMYFUNCTION("""COMPUTED_VALUE"""),"efficacy of test drugs treatment the two brands of PZQ in full dose were equally effective in reducing egg count as their half doses except in heavily infected cases treated with brand 2 of PZQ. 4 weeks; 10 weeks post treatment")</f>
        <v>efficacy of test drugs treatment the two brands of PZQ in full dose were equally effective in reducing egg count as their half doses except in heavily infected cases treated with brand 2 of PZQ. 4 weeks; 10 weeks post treatment</v>
      </c>
      <c r="O107" s="873">
        <f>IFERROR(__xludf.DUMMYFUNCTION("""COMPUTED_VALUE"""),0.667)</f>
        <v>0.667</v>
      </c>
      <c r="P107" s="698">
        <f>IFERROR(__xludf.DUMMYFUNCTION("""COMPUTED_VALUE"""),0.763)</f>
        <v>0.763</v>
      </c>
      <c r="Q107" s="697" t="str">
        <f>IFERROR(__xludf.DUMMYFUNCTION("""COMPUTED_VALUE"""),"Cure rates were significantly higher whenever full dose of either brand was used. The recommendation of using lower dose of PZQ, since the egg output from patients using 40 vs 20 mg kg-’ was not different, should be considered after longer followup period"&amp;"s. This is because most control programs using PZQ are planned to be conducted over an annual or biannual basis. Moreover, one could argue that since the number of eggs excreted in patients receiving the lower dose are higher, the probability of contamina"&amp;"ting water could also be higher")</f>
        <v>Cure rates were significantly higher whenever full dose of either brand was used. The recommendation of using lower dose of PZQ, since the egg output from patients using 40 vs 20 mg kg-’ was not different, should be considered after longer followup periods. This is because most control programs using PZQ are planned to be conducted over an annual or biannual basis. Moreover, one could argue that since the number of eggs excreted in patients receiving the lower dose are higher, the probability of contaminating water could also be higher</v>
      </c>
      <c r="R107" s="697" t="str">
        <f>IFERROR(__xludf.DUMMYFUNCTION("""COMPUTED_VALUE"""),"IMPACT OF DRUG DOSAGE AND BRAND ON BIOAVAILABILITY AND EFFICACY OF PRAZIQUANTEL")</f>
        <v>IMPACT OF DRUG DOSAGE AND BRAND ON BIOAVAILABILITY AND EFFICACY OF PRAZIQUANTEL</v>
      </c>
      <c r="S107" s="699" t="str">
        <f>IFERROR(__xludf.DUMMYFUNCTION("""COMPUTED_VALUE"""),"Metwally A, Bennett J, Botros S, Ebeid F, el attar Gel D. Impact of drug dosage and brand on bioavailability and efficacy of praziquantel. Pharmacological Research 1995;31 (1):53–9.")</f>
        <v>Metwally A, Bennett J, Botros S, Ebeid F, el attar Gel D. Impact of drug dosage and brand on bioavailability and efficacy of praziquantel. Pharmacological Research 1995;31 (1):53–9.</v>
      </c>
      <c r="T107" s="697"/>
      <c r="U107" s="697" t="str">
        <f>IFERROR(__xludf.DUMMYFUNCTION("""COMPUTED_VALUE"""),"")</f>
        <v/>
      </c>
      <c r="V107" s="697">
        <f>IFERROR(__xludf.DUMMYFUNCTION("""COMPUTED_VALUE"""),107.0)</f>
        <v>107</v>
      </c>
    </row>
    <row r="108">
      <c r="A108" s="697" t="str">
        <f>IFERROR(__xludf.DUMMYFUNCTION("""COMPUTED_VALUE"""),"Metwally A, 1995")</f>
        <v>Metwally A, 1995</v>
      </c>
      <c r="B108" s="697" t="str">
        <f>IFERROR(__xludf.DUMMYFUNCTION("""COMPUTED_VALUE"""),"s. mansoni")</f>
        <v>s. mansoni</v>
      </c>
      <c r="C108" s="697" t="str">
        <f>IFERROR(__xludf.DUMMYFUNCTION("""COMPUTED_VALUE"""),"Egypt")</f>
        <v>Egypt</v>
      </c>
      <c r="D108" s="697" t="str">
        <f>IFERROR(__xludf.DUMMYFUNCTION("""COMPUTED_VALUE"""),"Praziquantel")</f>
        <v>Praziquantel</v>
      </c>
      <c r="E108" s="697" t="str">
        <f>IFERROR(__xludf.DUMMYFUNCTION("""COMPUTED_VALUE"""),"Single")</f>
        <v>Single</v>
      </c>
      <c r="F108" s="697" t="str">
        <f>IFERROR(__xludf.DUMMYFUNCTION("""COMPUTED_VALUE"""),"20 mg/kg")</f>
        <v>20 mg/kg</v>
      </c>
      <c r="G108" s="697">
        <f>IFERROR(__xludf.DUMMYFUNCTION("""COMPUTED_VALUE"""),20.0)</f>
        <v>20</v>
      </c>
      <c r="H108" s="697" t="str">
        <f>IFERROR(__xludf.DUMMYFUNCTION("""COMPUTED_VALUE"""),"8-16 years old")</f>
        <v>8-16 years old</v>
      </c>
      <c r="I108" s="697"/>
      <c r="J108" s="697">
        <f>IFERROR(__xludf.DUMMYFUNCTION("""COMPUTED_VALUE"""),1995.0)</f>
        <v>1995</v>
      </c>
      <c r="K108" s="702" t="str">
        <f>IFERROR(__xludf.DUMMYFUNCTION("""COMPUTED_VALUE"""),"schoolchildren aged 8 to 16 years who were positive for S. mansoni")</f>
        <v>schoolchildren aged 8 to 16 years who were positive for S. mansoni</v>
      </c>
      <c r="L108" s="697" t="str">
        <f>IFERROR(__xludf.DUMMYFUNCTION("""COMPUTED_VALUE"""),"No")</f>
        <v>No</v>
      </c>
      <c r="M108" s="697" t="str">
        <f>IFERROR(__xludf.DUMMYFUNCTION("""COMPUTED_VALUE"""),"Yes")</f>
        <v>Yes</v>
      </c>
      <c r="N108" s="697" t="str">
        <f>IFERROR(__xludf.DUMMYFUNCTION("""COMPUTED_VALUE"""),"efficacy of test drugs treatment the two brands of PZQ in full dose were equally effective in reducing egg count as their half doses except in heavily infected cases treated with brand 2 of PZQ. 4 weeks; 10 weeks post treatment")</f>
        <v>efficacy of test drugs treatment the two brands of PZQ in full dose were equally effective in reducing egg count as their half doses except in heavily infected cases treated with brand 2 of PZQ. 4 weeks; 10 weeks post treatment</v>
      </c>
      <c r="O108" s="873">
        <f>IFERROR(__xludf.DUMMYFUNCTION("""COMPUTED_VALUE"""),0.3)</f>
        <v>0.3</v>
      </c>
      <c r="P108" s="698">
        <f>IFERROR(__xludf.DUMMYFUNCTION("""COMPUTED_VALUE"""),0.961)</f>
        <v>0.961</v>
      </c>
      <c r="Q108" s="697" t="str">
        <f>IFERROR(__xludf.DUMMYFUNCTION("""COMPUTED_VALUE"""),"Cure rates were significantly higher whenever full dose of either brand was used. The recommendation of using lower dose of PZQ, since the egg output from patients using 40 vs 20 mg kg-’ was not different, should be considered after longer followup period"&amp;"s. This is because most control programs using PZQ are planned to be conducted over an annual or biannual basis. Moreover, one could argue that since the number of eggs excreted in patients receiving the lower dose are higher, the probability of contamina"&amp;"ting water could also be higher")</f>
        <v>Cure rates were significantly higher whenever full dose of either brand was used. The recommendation of using lower dose of PZQ, since the egg output from patients using 40 vs 20 mg kg-’ was not different, should be considered after longer followup periods. This is because most control programs using PZQ are planned to be conducted over an annual or biannual basis. Moreover, one could argue that since the number of eggs excreted in patients receiving the lower dose are higher, the probability of contaminating water could also be higher</v>
      </c>
      <c r="R108" s="697" t="str">
        <f>IFERROR(__xludf.DUMMYFUNCTION("""COMPUTED_VALUE"""),"IMPACT OF DRUG DOSAGE AND BRAND ON BIOAVAILABILITY AND EFFICACY OF PRAZIQUANTEL")</f>
        <v>IMPACT OF DRUG DOSAGE AND BRAND ON BIOAVAILABILITY AND EFFICACY OF PRAZIQUANTEL</v>
      </c>
      <c r="S108" s="699" t="str">
        <f>IFERROR(__xludf.DUMMYFUNCTION("""COMPUTED_VALUE"""),"Metwally A, Bennett J, Botros S, Ebeid F, el attar Gel D. Impact of drug dosage and brand on bioavailability and efficacy of praziquantel. Pharmacological Research 1995;31 (1):53–9.")</f>
        <v>Metwally A, Bennett J, Botros S, Ebeid F, el attar Gel D. Impact of drug dosage and brand on bioavailability and efficacy of praziquantel. Pharmacological Research 1995;31 (1):53–9.</v>
      </c>
      <c r="T108" s="697"/>
      <c r="U108" s="697" t="str">
        <f>IFERROR(__xludf.DUMMYFUNCTION("""COMPUTED_VALUE"""),"")</f>
        <v/>
      </c>
      <c r="V108" s="697">
        <f>IFERROR(__xludf.DUMMYFUNCTION("""COMPUTED_VALUE"""),108.0)</f>
        <v>108</v>
      </c>
    </row>
    <row r="109">
      <c r="A109" s="697" t="str">
        <f>IFERROR(__xludf.DUMMYFUNCTION("""COMPUTED_VALUE"""),"Metwally A, 1995")</f>
        <v>Metwally A, 1995</v>
      </c>
      <c r="B109" s="697" t="str">
        <f>IFERROR(__xludf.DUMMYFUNCTION("""COMPUTED_VALUE"""),"s. mansoni")</f>
        <v>s. mansoni</v>
      </c>
      <c r="C109" s="697" t="str">
        <f>IFERROR(__xludf.DUMMYFUNCTION("""COMPUTED_VALUE"""),"Egypt")</f>
        <v>Egypt</v>
      </c>
      <c r="D109" s="697" t="str">
        <f>IFERROR(__xludf.DUMMYFUNCTION("""COMPUTED_VALUE"""),"Praziquantel")</f>
        <v>Praziquantel</v>
      </c>
      <c r="E109" s="697" t="str">
        <f>IFERROR(__xludf.DUMMYFUNCTION("""COMPUTED_VALUE"""),"Single")</f>
        <v>Single</v>
      </c>
      <c r="F109" s="697" t="str">
        <f>IFERROR(__xludf.DUMMYFUNCTION("""COMPUTED_VALUE"""),"20 mg/kg")</f>
        <v>20 mg/kg</v>
      </c>
      <c r="G109" s="697">
        <f>IFERROR(__xludf.DUMMYFUNCTION("""COMPUTED_VALUE"""),39.0)</f>
        <v>39</v>
      </c>
      <c r="H109" s="697" t="str">
        <f>IFERROR(__xludf.DUMMYFUNCTION("""COMPUTED_VALUE"""),"8-16 years old")</f>
        <v>8-16 years old</v>
      </c>
      <c r="I109" s="697"/>
      <c r="J109" s="697">
        <f>IFERROR(__xludf.DUMMYFUNCTION("""COMPUTED_VALUE"""),1995.0)</f>
        <v>1995</v>
      </c>
      <c r="K109" s="702" t="str">
        <f>IFERROR(__xludf.DUMMYFUNCTION("""COMPUTED_VALUE"""),"schoolchildren aged 8 to 16 years who were positive for S. mansoni")</f>
        <v>schoolchildren aged 8 to 16 years who were positive for S. mansoni</v>
      </c>
      <c r="L109" s="697" t="str">
        <f>IFERROR(__xludf.DUMMYFUNCTION("""COMPUTED_VALUE"""),"No")</f>
        <v>No</v>
      </c>
      <c r="M109" s="697" t="str">
        <f>IFERROR(__xludf.DUMMYFUNCTION("""COMPUTED_VALUE"""),"Yes")</f>
        <v>Yes</v>
      </c>
      <c r="N109" s="697" t="str">
        <f>IFERROR(__xludf.DUMMYFUNCTION("""COMPUTED_VALUE"""),"efficacy of test drugs treatment the two brands of PZQ in full dose were equally effective in reducing egg count as their half doses except in heavily infected cases treated with brand 2 of PZQ. 4 weeks; 10 weeks post treatment")</f>
        <v>efficacy of test drugs treatment the two brands of PZQ in full dose were equally effective in reducing egg count as their half doses except in heavily infected cases treated with brand 2 of PZQ. 4 weeks; 10 weeks post treatment</v>
      </c>
      <c r="O109" s="873">
        <f>IFERROR(__xludf.DUMMYFUNCTION("""COMPUTED_VALUE"""),0.424)</f>
        <v>0.424</v>
      </c>
      <c r="P109" s="698">
        <f>IFERROR(__xludf.DUMMYFUNCTION("""COMPUTED_VALUE"""),0.859)</f>
        <v>0.859</v>
      </c>
      <c r="Q109" s="697" t="str">
        <f>IFERROR(__xludf.DUMMYFUNCTION("""COMPUTED_VALUE"""),"Cure rates were significantly higher whenever full dose of either brand was used. The recommendation of using lower dose of PZQ, since the egg output from patients using 40 vs 20 mg kg-’ was not different, should be considered after longer followup period"&amp;"s. This is because most control programs using PZQ are planned to be conducted over an annual or biannual basis. Moreover, one could argue that since the number of eggs excreted in patients receiving the lower dose are higher, the probability of contamina"&amp;"ting water could also be higher")</f>
        <v>Cure rates were significantly higher whenever full dose of either brand was used. The recommendation of using lower dose of PZQ, since the egg output from patients using 40 vs 20 mg kg-’ was not different, should be considered after longer followup periods. This is because most control programs using PZQ are planned to be conducted over an annual or biannual basis. Moreover, one could argue that since the number of eggs excreted in patients receiving the lower dose are higher, the probability of contaminating water could also be higher</v>
      </c>
      <c r="R109" s="697" t="str">
        <f>IFERROR(__xludf.DUMMYFUNCTION("""COMPUTED_VALUE"""),"IMPACT OF DRUG DOSAGE AND BRAND ON BIOAVAILABILITY AND EFFICACY OF PRAZIQUANTEL")</f>
        <v>IMPACT OF DRUG DOSAGE AND BRAND ON BIOAVAILABILITY AND EFFICACY OF PRAZIQUANTEL</v>
      </c>
      <c r="S109" s="699" t="str">
        <f>IFERROR(__xludf.DUMMYFUNCTION("""COMPUTED_VALUE"""),"Metwally A, Bennett J, Botros S, Ebeid F, el attar Gel D. Impact of drug dosage and brand on bioavailability and efficacy of praziquantel. Pharmacological Research 1995;31 (1):53–9.")</f>
        <v>Metwally A, Bennett J, Botros S, Ebeid F, el attar Gel D. Impact of drug dosage and brand on bioavailability and efficacy of praziquantel. Pharmacological Research 1995;31 (1):53–9.</v>
      </c>
      <c r="T109" s="697"/>
      <c r="U109" s="697" t="str">
        <f>IFERROR(__xludf.DUMMYFUNCTION("""COMPUTED_VALUE"""),"")</f>
        <v/>
      </c>
      <c r="V109" s="697">
        <f>IFERROR(__xludf.DUMMYFUNCTION("""COMPUTED_VALUE"""),109.0)</f>
        <v>109</v>
      </c>
    </row>
    <row r="110">
      <c r="A110" s="697" t="str">
        <f>IFERROR(__xludf.DUMMYFUNCTION("""COMPUTED_VALUE"""),"Metwally A, 1995")</f>
        <v>Metwally A, 1995</v>
      </c>
      <c r="B110" s="697" t="str">
        <f>IFERROR(__xludf.DUMMYFUNCTION("""COMPUTED_VALUE"""),"s. mansoni")</f>
        <v>s. mansoni</v>
      </c>
      <c r="C110" s="697" t="str">
        <f>IFERROR(__xludf.DUMMYFUNCTION("""COMPUTED_VALUE"""),"Egypt")</f>
        <v>Egypt</v>
      </c>
      <c r="D110" s="697" t="str">
        <f>IFERROR(__xludf.DUMMYFUNCTION("""COMPUTED_VALUE"""),"Praziquantel")</f>
        <v>Praziquantel</v>
      </c>
      <c r="E110" s="697" t="str">
        <f>IFERROR(__xludf.DUMMYFUNCTION("""COMPUTED_VALUE"""),"Single")</f>
        <v>Single</v>
      </c>
      <c r="F110" s="697" t="str">
        <f>IFERROR(__xludf.DUMMYFUNCTION("""COMPUTED_VALUE"""),"20 mg/kg")</f>
        <v>20 mg/kg</v>
      </c>
      <c r="G110" s="697">
        <f>IFERROR(__xludf.DUMMYFUNCTION("""COMPUTED_VALUE"""),33.0)</f>
        <v>33</v>
      </c>
      <c r="H110" s="697" t="str">
        <f>IFERROR(__xludf.DUMMYFUNCTION("""COMPUTED_VALUE"""),"8-16 years old")</f>
        <v>8-16 years old</v>
      </c>
      <c r="I110" s="697"/>
      <c r="J110" s="697">
        <f>IFERROR(__xludf.DUMMYFUNCTION("""COMPUTED_VALUE"""),1995.0)</f>
        <v>1995</v>
      </c>
      <c r="K110" s="702" t="str">
        <f>IFERROR(__xludf.DUMMYFUNCTION("""COMPUTED_VALUE"""),"schoolchildren aged 8 to 16 years who were positive for S. mansoni")</f>
        <v>schoolchildren aged 8 to 16 years who were positive for S. mansoni</v>
      </c>
      <c r="L110" s="697" t="str">
        <f>IFERROR(__xludf.DUMMYFUNCTION("""COMPUTED_VALUE"""),"No")</f>
        <v>No</v>
      </c>
      <c r="M110" s="697" t="str">
        <f>IFERROR(__xludf.DUMMYFUNCTION("""COMPUTED_VALUE"""),"Yes")</f>
        <v>Yes</v>
      </c>
      <c r="N110" s="697" t="str">
        <f>IFERROR(__xludf.DUMMYFUNCTION("""COMPUTED_VALUE"""),"efficacy of test drugs treatment the two brands of PZQ in full dose were equally effective in reducing egg count as their half doses except in heavily infected cases treated with brand 2 of PZQ. 4 weeks; 10 weeks post treatment")</f>
        <v>efficacy of test drugs treatment the two brands of PZQ in full dose were equally effective in reducing egg count as their half doses except in heavily infected cases treated with brand 2 of PZQ. 4 weeks; 10 weeks post treatment</v>
      </c>
      <c r="O110" s="873">
        <f>IFERROR(__xludf.DUMMYFUNCTION("""COMPUTED_VALUE"""),0.667)</f>
        <v>0.667</v>
      </c>
      <c r="P110" s="698">
        <f>IFERROR(__xludf.DUMMYFUNCTION("""COMPUTED_VALUE"""),0.788)</f>
        <v>0.788</v>
      </c>
      <c r="Q110" s="697" t="str">
        <f>IFERROR(__xludf.DUMMYFUNCTION("""COMPUTED_VALUE"""),"Cure rates were significantly higher whenever full dose of either brand was used. The recommendation of using lower dose of PZQ, since the egg output from patients using 40 vs 20 mg kg-’ was not different, should be considered after longer followup period"&amp;"s. This is because most control programs using PZQ are planned to be conducted over an annual or biannual basis. Moreover, one could argue that since the number of eggs excreted in patients receiving the lower dose are higher, the probability of contamina"&amp;"ting water could also be higher")</f>
        <v>Cure rates were significantly higher whenever full dose of either brand was used. The recommendation of using lower dose of PZQ, since the egg output from patients using 40 vs 20 mg kg-’ was not different, should be considered after longer followup periods. This is because most control programs using PZQ are planned to be conducted over an annual or biannual basis. Moreover, one could argue that since the number of eggs excreted in patients receiving the lower dose are higher, the probability of contaminating water could also be higher</v>
      </c>
      <c r="R110" s="697" t="str">
        <f>IFERROR(__xludf.DUMMYFUNCTION("""COMPUTED_VALUE"""),"IMPACT OF DRUG DOSAGE AND BRAND ON BIOAVAILABILITY AND EFFICACY OF PRAZIQUANTEL")</f>
        <v>IMPACT OF DRUG DOSAGE AND BRAND ON BIOAVAILABILITY AND EFFICACY OF PRAZIQUANTEL</v>
      </c>
      <c r="S110" s="699" t="str">
        <f>IFERROR(__xludf.DUMMYFUNCTION("""COMPUTED_VALUE"""),"Metwally A, Bennett J, Botros S, Ebeid F, el attar Gel D. Impact of drug dosage and brand on bioavailability and efficacy of praziquantel. Pharmacological Research 1995;31 (1):53–9.")</f>
        <v>Metwally A, Bennett J, Botros S, Ebeid F, el attar Gel D. Impact of drug dosage and brand on bioavailability and efficacy of praziquantel. Pharmacological Research 1995;31 (1):53–9.</v>
      </c>
      <c r="T110" s="697"/>
      <c r="U110" s="697" t="str">
        <f>IFERROR(__xludf.DUMMYFUNCTION("""COMPUTED_VALUE"""),"")</f>
        <v/>
      </c>
      <c r="V110" s="697">
        <f>IFERROR(__xludf.DUMMYFUNCTION("""COMPUTED_VALUE"""),110.0)</f>
        <v>110</v>
      </c>
    </row>
    <row r="111">
      <c r="A111" s="697" t="str">
        <f>IFERROR(__xludf.DUMMYFUNCTION("""COMPUTED_VALUE"""),"Metwally A, 1995")</f>
        <v>Metwally A, 1995</v>
      </c>
      <c r="B111" s="697" t="str">
        <f>IFERROR(__xludf.DUMMYFUNCTION("""COMPUTED_VALUE"""),"s. mansoni")</f>
        <v>s. mansoni</v>
      </c>
      <c r="C111" s="697" t="str">
        <f>IFERROR(__xludf.DUMMYFUNCTION("""COMPUTED_VALUE"""),"Egypt")</f>
        <v>Egypt</v>
      </c>
      <c r="D111" s="697" t="str">
        <f>IFERROR(__xludf.DUMMYFUNCTION("""COMPUTED_VALUE"""),"Praziquantel")</f>
        <v>Praziquantel</v>
      </c>
      <c r="E111" s="697" t="str">
        <f>IFERROR(__xludf.DUMMYFUNCTION("""COMPUTED_VALUE"""),"Single")</f>
        <v>Single</v>
      </c>
      <c r="F111" s="697" t="str">
        <f>IFERROR(__xludf.DUMMYFUNCTION("""COMPUTED_VALUE"""),"40 mg/kg")</f>
        <v>40 mg/kg</v>
      </c>
      <c r="G111" s="697">
        <f>IFERROR(__xludf.DUMMYFUNCTION("""COMPUTED_VALUE"""),30.0)</f>
        <v>30</v>
      </c>
      <c r="H111" s="697" t="str">
        <f>IFERROR(__xludf.DUMMYFUNCTION("""COMPUTED_VALUE"""),"8-16 years old")</f>
        <v>8-16 years old</v>
      </c>
      <c r="I111" s="697"/>
      <c r="J111" s="697">
        <f>IFERROR(__xludf.DUMMYFUNCTION("""COMPUTED_VALUE"""),1995.0)</f>
        <v>1995</v>
      </c>
      <c r="K111" s="702" t="str">
        <f>IFERROR(__xludf.DUMMYFUNCTION("""COMPUTED_VALUE"""),"schoolchildren aged 8 to 16 years who were positive for S. mansoni")</f>
        <v>schoolchildren aged 8 to 16 years who were positive for S. mansoni</v>
      </c>
      <c r="L111" s="697" t="str">
        <f>IFERROR(__xludf.DUMMYFUNCTION("""COMPUTED_VALUE"""),"No")</f>
        <v>No</v>
      </c>
      <c r="M111" s="697" t="str">
        <f>IFERROR(__xludf.DUMMYFUNCTION("""COMPUTED_VALUE"""),"Yes")</f>
        <v>Yes</v>
      </c>
      <c r="N111" s="697" t="str">
        <f>IFERROR(__xludf.DUMMYFUNCTION("""COMPUTED_VALUE"""),"efficacy of test drugs treatment the two brands of PZQ in full dose were equally effective in reducing egg count as their half doses except in heavily infected cases treated with brand 2 of PZQ. 4 weeks; 10 weeks post treatment")</f>
        <v>efficacy of test drugs treatment the two brands of PZQ in full dose were equally effective in reducing egg count as their half doses except in heavily infected cases treated with brand 2 of PZQ. 4 weeks; 10 weeks post treatment</v>
      </c>
      <c r="O111" s="873">
        <f>IFERROR(__xludf.DUMMYFUNCTION("""COMPUTED_VALUE"""),0.9)</f>
        <v>0.9</v>
      </c>
      <c r="P111" s="698">
        <f>IFERROR(__xludf.DUMMYFUNCTION("""COMPUTED_VALUE"""),0.996)</f>
        <v>0.996</v>
      </c>
      <c r="Q111" s="697" t="str">
        <f>IFERROR(__xludf.DUMMYFUNCTION("""COMPUTED_VALUE"""),"Cure rates were significantly higher whenever full dose of either brand was used. The recommendation of using lower dose of PZQ, since the egg output from patients using 40 vs 20 mg kg-’ was not different, should be considered after longer followup period"&amp;"s. This is because most control programs using PZQ are planned to be conducted over an annual or biannual basis. Moreover, one could argue that since the number of eggs excreted in patients receiving the lower dose are higher, the probability of contamina"&amp;"ting water could also be higher")</f>
        <v>Cure rates were significantly higher whenever full dose of either brand was used. The recommendation of using lower dose of PZQ, since the egg output from patients using 40 vs 20 mg kg-’ was not different, should be considered after longer followup periods. This is because most control programs using PZQ are planned to be conducted over an annual or biannual basis. Moreover, one could argue that since the number of eggs excreted in patients receiving the lower dose are higher, the probability of contaminating water could also be higher</v>
      </c>
      <c r="R111" s="697" t="str">
        <f>IFERROR(__xludf.DUMMYFUNCTION("""COMPUTED_VALUE"""),"IMPACT OF DRUG DOSAGE AND BRAND ON BIOAVAILABILITY AND EFFICACY OF PRAZIQUANTEL")</f>
        <v>IMPACT OF DRUG DOSAGE AND BRAND ON BIOAVAILABILITY AND EFFICACY OF PRAZIQUANTEL</v>
      </c>
      <c r="S111" s="699" t="str">
        <f>IFERROR(__xludf.DUMMYFUNCTION("""COMPUTED_VALUE"""),"Metwally A, Bennett J, Botros S, Ebeid F, el attar Gel D. Impact of drug dosage and brand on bioavailability and efficacy of praziquantel. Pharmacological Research 1995;31 (1):53–9.")</f>
        <v>Metwally A, Bennett J, Botros S, Ebeid F, el attar Gel D. Impact of drug dosage and brand on bioavailability and efficacy of praziquantel. Pharmacological Research 1995;31 (1):53–9.</v>
      </c>
      <c r="T111" s="697"/>
      <c r="U111" s="697" t="str">
        <f>IFERROR(__xludf.DUMMYFUNCTION("""COMPUTED_VALUE"""),"")</f>
        <v/>
      </c>
      <c r="V111" s="697">
        <f>IFERROR(__xludf.DUMMYFUNCTION("""COMPUTED_VALUE"""),111.0)</f>
        <v>111</v>
      </c>
    </row>
    <row r="112">
      <c r="A112" s="697" t="str">
        <f>IFERROR(__xludf.DUMMYFUNCTION("""COMPUTED_VALUE"""),"Metwally A, 1995")</f>
        <v>Metwally A, 1995</v>
      </c>
      <c r="B112" s="697" t="str">
        <f>IFERROR(__xludf.DUMMYFUNCTION("""COMPUTED_VALUE"""),"s. mansoni")</f>
        <v>s. mansoni</v>
      </c>
      <c r="C112" s="697" t="str">
        <f>IFERROR(__xludf.DUMMYFUNCTION("""COMPUTED_VALUE"""),"Egypt")</f>
        <v>Egypt</v>
      </c>
      <c r="D112" s="697" t="str">
        <f>IFERROR(__xludf.DUMMYFUNCTION("""COMPUTED_VALUE"""),"Praziquantel")</f>
        <v>Praziquantel</v>
      </c>
      <c r="E112" s="697" t="str">
        <f>IFERROR(__xludf.DUMMYFUNCTION("""COMPUTED_VALUE"""),"Single")</f>
        <v>Single</v>
      </c>
      <c r="F112" s="697" t="str">
        <f>IFERROR(__xludf.DUMMYFUNCTION("""COMPUTED_VALUE"""),"40 mg/kg")</f>
        <v>40 mg/kg</v>
      </c>
      <c r="G112" s="697">
        <f>IFERROR(__xludf.DUMMYFUNCTION("""COMPUTED_VALUE"""),15.0)</f>
        <v>15</v>
      </c>
      <c r="H112" s="697" t="str">
        <f>IFERROR(__xludf.DUMMYFUNCTION("""COMPUTED_VALUE"""),"8-16 years old")</f>
        <v>8-16 years old</v>
      </c>
      <c r="I112" s="697"/>
      <c r="J112" s="697">
        <f>IFERROR(__xludf.DUMMYFUNCTION("""COMPUTED_VALUE"""),1995.0)</f>
        <v>1995</v>
      </c>
      <c r="K112" s="702" t="str">
        <f>IFERROR(__xludf.DUMMYFUNCTION("""COMPUTED_VALUE"""),"schoolchildren aged 8 to 16 years who were positive for S. mansoni")</f>
        <v>schoolchildren aged 8 to 16 years who were positive for S. mansoni</v>
      </c>
      <c r="L112" s="697" t="str">
        <f>IFERROR(__xludf.DUMMYFUNCTION("""COMPUTED_VALUE"""),"No")</f>
        <v>No</v>
      </c>
      <c r="M112" s="697" t="str">
        <f>IFERROR(__xludf.DUMMYFUNCTION("""COMPUTED_VALUE"""),"Yes")</f>
        <v>Yes</v>
      </c>
      <c r="N112" s="697" t="str">
        <f>IFERROR(__xludf.DUMMYFUNCTION("""COMPUTED_VALUE"""),"efficacy of test drugs treatment the two brands of PZQ in full dose were equally effective in reducing egg count as their half doses except in heavily infected cases treated with brand 2 of PZQ. 4 weeks; 10 weeks post treatment")</f>
        <v>efficacy of test drugs treatment the two brands of PZQ in full dose were equally effective in reducing egg count as their half doses except in heavily infected cases treated with brand 2 of PZQ. 4 weeks; 10 weeks post treatment</v>
      </c>
      <c r="O112" s="873">
        <f>IFERROR(__xludf.DUMMYFUNCTION("""COMPUTED_VALUE"""),0.467)</f>
        <v>0.467</v>
      </c>
      <c r="P112" s="698">
        <f>IFERROR(__xludf.DUMMYFUNCTION("""COMPUTED_VALUE"""),0.899)</f>
        <v>0.899</v>
      </c>
      <c r="Q112" s="697" t="str">
        <f>IFERROR(__xludf.DUMMYFUNCTION("""COMPUTED_VALUE"""),"Cure rates were significantly higher whenever full dose of either brand was used. The recommendation of using lower dose of PZQ, since the egg output from patients using 40 vs 20 mg kg-’ was not different, should be considered after longer followup period"&amp;"s. This is because most control programs using PZQ are planned to be conducted over an annual or biannual basis. Moreover, one could argue that since the number of eggs excreted in patients receiving the lower dose are higher, the probability of contamina"&amp;"ting water could also be higher")</f>
        <v>Cure rates were significantly higher whenever full dose of either brand was used. The recommendation of using lower dose of PZQ, since the egg output from patients using 40 vs 20 mg kg-’ was not different, should be considered after longer followup periods. This is because most control programs using PZQ are planned to be conducted over an annual or biannual basis. Moreover, one could argue that since the number of eggs excreted in patients receiving the lower dose are higher, the probability of contaminating water could also be higher</v>
      </c>
      <c r="R112" s="697" t="str">
        <f>IFERROR(__xludf.DUMMYFUNCTION("""COMPUTED_VALUE"""),"IMPACT OF DRUG DOSAGE AND BRAND ON BIOAVAILABILITY AND EFFICACY OF PRAZIQUANTEL")</f>
        <v>IMPACT OF DRUG DOSAGE AND BRAND ON BIOAVAILABILITY AND EFFICACY OF PRAZIQUANTEL</v>
      </c>
      <c r="S112" s="699" t="str">
        <f>IFERROR(__xludf.DUMMYFUNCTION("""COMPUTED_VALUE"""),"Metwally A, Bennett J, Botros S, Ebeid F, el attar Gel D. Impact of drug dosage and brand on bioavailability and efficacy of praziquantel. Pharmacological Research 1995;31 (1):53–9.")</f>
        <v>Metwally A, Bennett J, Botros S, Ebeid F, el attar Gel D. Impact of drug dosage and brand on bioavailability and efficacy of praziquantel. Pharmacological Research 1995;31 (1):53–9.</v>
      </c>
      <c r="T112" s="697"/>
      <c r="U112" s="697" t="str">
        <f>IFERROR(__xludf.DUMMYFUNCTION("""COMPUTED_VALUE"""),"")</f>
        <v/>
      </c>
      <c r="V112" s="697">
        <f>IFERROR(__xludf.DUMMYFUNCTION("""COMPUTED_VALUE"""),112.0)</f>
        <v>112</v>
      </c>
    </row>
    <row r="113">
      <c r="A113" s="697" t="str">
        <f>IFERROR(__xludf.DUMMYFUNCTION("""COMPUTED_VALUE"""),"Metwally A, 1995")</f>
        <v>Metwally A, 1995</v>
      </c>
      <c r="B113" s="697" t="str">
        <f>IFERROR(__xludf.DUMMYFUNCTION("""COMPUTED_VALUE"""),"s. mansoni")</f>
        <v>s. mansoni</v>
      </c>
      <c r="C113" s="697" t="str">
        <f>IFERROR(__xludf.DUMMYFUNCTION("""COMPUTED_VALUE"""),"Egypt")</f>
        <v>Egypt</v>
      </c>
      <c r="D113" s="697" t="str">
        <f>IFERROR(__xludf.DUMMYFUNCTION("""COMPUTED_VALUE"""),"Praziquantel")</f>
        <v>Praziquantel</v>
      </c>
      <c r="E113" s="697" t="str">
        <f>IFERROR(__xludf.DUMMYFUNCTION("""COMPUTED_VALUE"""),"Single")</f>
        <v>Single</v>
      </c>
      <c r="F113" s="697" t="str">
        <f>IFERROR(__xludf.DUMMYFUNCTION("""COMPUTED_VALUE"""),"40 mg/kg")</f>
        <v>40 mg/kg</v>
      </c>
      <c r="G113" s="697">
        <f>IFERROR(__xludf.DUMMYFUNCTION("""COMPUTED_VALUE"""),24.0)</f>
        <v>24</v>
      </c>
      <c r="H113" s="697" t="str">
        <f>IFERROR(__xludf.DUMMYFUNCTION("""COMPUTED_VALUE"""),"8-16 years old")</f>
        <v>8-16 years old</v>
      </c>
      <c r="I113" s="697"/>
      <c r="J113" s="697">
        <f>IFERROR(__xludf.DUMMYFUNCTION("""COMPUTED_VALUE"""),1995.0)</f>
        <v>1995</v>
      </c>
      <c r="K113" s="702" t="str">
        <f>IFERROR(__xludf.DUMMYFUNCTION("""COMPUTED_VALUE"""),"schoolchildren aged 8 to 16 years who were positive for S. mansoni")</f>
        <v>schoolchildren aged 8 to 16 years who were positive for S. mansoni</v>
      </c>
      <c r="L113" s="697" t="str">
        <f>IFERROR(__xludf.DUMMYFUNCTION("""COMPUTED_VALUE"""),"No")</f>
        <v>No</v>
      </c>
      <c r="M113" s="697" t="str">
        <f>IFERROR(__xludf.DUMMYFUNCTION("""COMPUTED_VALUE"""),"Yes")</f>
        <v>Yes</v>
      </c>
      <c r="N113" s="697" t="str">
        <f>IFERROR(__xludf.DUMMYFUNCTION("""COMPUTED_VALUE"""),"efficacy of test drugs treatment the two brands of PZQ in full dose were equally effective in reducing egg count as their half doses except in heavily infected cases treated with brand 2 of PZQ. 4 weeks; 10 weeks post treatment")</f>
        <v>efficacy of test drugs treatment the two brands of PZQ in full dose were equally effective in reducing egg count as their half doses except in heavily infected cases treated with brand 2 of PZQ. 4 weeks; 10 weeks post treatment</v>
      </c>
      <c r="O113" s="873">
        <f>IFERROR(__xludf.DUMMYFUNCTION("""COMPUTED_VALUE"""),0.708)</f>
        <v>0.708</v>
      </c>
      <c r="P113" s="698">
        <f>IFERROR(__xludf.DUMMYFUNCTION("""COMPUTED_VALUE"""),0.929)</f>
        <v>0.929</v>
      </c>
      <c r="Q113" s="697" t="str">
        <f>IFERROR(__xludf.DUMMYFUNCTION("""COMPUTED_VALUE"""),"Cure rates were significantly higher whenever full dose of either brand was used. The recommendation of using lower dose of PZQ, since the egg output from patients using 40 vs 20 mg kg-’ was not different, should be considered after longer followup period"&amp;"s. This is because most control programs using PZQ are planned to be conducted over an annual or biannual basis. Moreover, one could argue that since the number of eggs excreted in patients receiving the lower dose are higher, the probability of contamina"&amp;"ting water could also be higher")</f>
        <v>Cure rates were significantly higher whenever full dose of either brand was used. The recommendation of using lower dose of PZQ, since the egg output from patients using 40 vs 20 mg kg-’ was not different, should be considered after longer followup periods. This is because most control programs using PZQ are planned to be conducted over an annual or biannual basis. Moreover, one could argue that since the number of eggs excreted in patients receiving the lower dose are higher, the probability of contaminating water could also be higher</v>
      </c>
      <c r="R113" s="697" t="str">
        <f>IFERROR(__xludf.DUMMYFUNCTION("""COMPUTED_VALUE"""),"IMPACT OF DRUG DOSAGE AND BRAND ON BIOAVAILABILITY AND EFFICACY OF PRAZIQUANTEL")</f>
        <v>IMPACT OF DRUG DOSAGE AND BRAND ON BIOAVAILABILITY AND EFFICACY OF PRAZIQUANTEL</v>
      </c>
      <c r="S113" s="699" t="str">
        <f>IFERROR(__xludf.DUMMYFUNCTION("""COMPUTED_VALUE"""),"Metwally A, Bennett J, Botros S, Ebeid F, el attar Gel D. Impact of drug dosage and brand on bioavailability and efficacy of praziquantel. Pharmacological Research 1995;31 (1):53–9.")</f>
        <v>Metwally A, Bennett J, Botros S, Ebeid F, el attar Gel D. Impact of drug dosage and brand on bioavailability and efficacy of praziquantel. Pharmacological Research 1995;31 (1):53–9.</v>
      </c>
      <c r="T113" s="697"/>
      <c r="U113" s="697" t="str">
        <f>IFERROR(__xludf.DUMMYFUNCTION("""COMPUTED_VALUE"""),"")</f>
        <v/>
      </c>
      <c r="V113" s="697">
        <f>IFERROR(__xludf.DUMMYFUNCTION("""COMPUTED_VALUE"""),113.0)</f>
        <v>113</v>
      </c>
    </row>
    <row r="114">
      <c r="A114" s="697" t="str">
        <f>IFERROR(__xludf.DUMMYFUNCTION("""COMPUTED_VALUE"""),"Metwally A, 1995")</f>
        <v>Metwally A, 1995</v>
      </c>
      <c r="B114" s="697" t="str">
        <f>IFERROR(__xludf.DUMMYFUNCTION("""COMPUTED_VALUE"""),"s. mansoni")</f>
        <v>s. mansoni</v>
      </c>
      <c r="C114" s="697" t="str">
        <f>IFERROR(__xludf.DUMMYFUNCTION("""COMPUTED_VALUE"""),"Egypt")</f>
        <v>Egypt</v>
      </c>
      <c r="D114" s="697" t="str">
        <f>IFERROR(__xludf.DUMMYFUNCTION("""COMPUTED_VALUE"""),"Praziquantel")</f>
        <v>Praziquantel</v>
      </c>
      <c r="E114" s="697" t="str">
        <f>IFERROR(__xludf.DUMMYFUNCTION("""COMPUTED_VALUE"""),"Single")</f>
        <v>Single</v>
      </c>
      <c r="F114" s="697" t="str">
        <f>IFERROR(__xludf.DUMMYFUNCTION("""COMPUTED_VALUE"""),"20 mg/kg")</f>
        <v>20 mg/kg</v>
      </c>
      <c r="G114" s="697">
        <f>IFERROR(__xludf.DUMMYFUNCTION("""COMPUTED_VALUE"""),25.0)</f>
        <v>25</v>
      </c>
      <c r="H114" s="697" t="str">
        <f>IFERROR(__xludf.DUMMYFUNCTION("""COMPUTED_VALUE"""),"8-16 years old")</f>
        <v>8-16 years old</v>
      </c>
      <c r="I114" s="697"/>
      <c r="J114" s="697">
        <f>IFERROR(__xludf.DUMMYFUNCTION("""COMPUTED_VALUE"""),1995.0)</f>
        <v>1995</v>
      </c>
      <c r="K114" s="702" t="str">
        <f>IFERROR(__xludf.DUMMYFUNCTION("""COMPUTED_VALUE"""),"schoolchildren aged 8 to 16 years who were positive for S. mansoni")</f>
        <v>schoolchildren aged 8 to 16 years who were positive for S. mansoni</v>
      </c>
      <c r="L114" s="697" t="str">
        <f>IFERROR(__xludf.DUMMYFUNCTION("""COMPUTED_VALUE"""),"No")</f>
        <v>No</v>
      </c>
      <c r="M114" s="697" t="str">
        <f>IFERROR(__xludf.DUMMYFUNCTION("""COMPUTED_VALUE"""),"Yes")</f>
        <v>Yes</v>
      </c>
      <c r="N114" s="697" t="str">
        <f>IFERROR(__xludf.DUMMYFUNCTION("""COMPUTED_VALUE"""),"efficacy of test drugs treatment the two brands of PZQ in full dose were equally effective in reducing egg count as their half doses except in heavily infected cases treated with brand 2 of PZQ. 4 weeks; 10 weeks post treatment")</f>
        <v>efficacy of test drugs treatment the two brands of PZQ in full dose were equally effective in reducing egg count as their half doses except in heavily infected cases treated with brand 2 of PZQ. 4 weeks; 10 weeks post treatment</v>
      </c>
      <c r="O114" s="873">
        <f>IFERROR(__xludf.DUMMYFUNCTION("""COMPUTED_VALUE"""),0.471)</f>
        <v>0.471</v>
      </c>
      <c r="P114" s="698">
        <f>IFERROR(__xludf.DUMMYFUNCTION("""COMPUTED_VALUE"""),0.948)</f>
        <v>0.948</v>
      </c>
      <c r="Q114" s="697" t="str">
        <f>IFERROR(__xludf.DUMMYFUNCTION("""COMPUTED_VALUE"""),"Cure rates were significantly higher whenever full dose of either brand was used. The recommendation of using lower dose of PZQ, since the egg output from patients using 40 vs 20 mg kg-’ was not different, should be considered after longer followup period"&amp;"s. This is because most control programs using PZQ are planned to be conducted over an annual or biannual basis. Moreover, one could argue that since the number of eggs excreted in patients receiving the lower dose are higher, the probability of contamina"&amp;"ting water could also be higher")</f>
        <v>Cure rates were significantly higher whenever full dose of either brand was used. The recommendation of using lower dose of PZQ, since the egg output from patients using 40 vs 20 mg kg-’ was not different, should be considered after longer followup periods. This is because most control programs using PZQ are planned to be conducted over an annual or biannual basis. Moreover, one could argue that since the number of eggs excreted in patients receiving the lower dose are higher, the probability of contaminating water could also be higher</v>
      </c>
      <c r="R114" s="697" t="str">
        <f>IFERROR(__xludf.DUMMYFUNCTION("""COMPUTED_VALUE"""),"IMPACT OF DRUG DOSAGE AND BRAND ON BIOAVAILABILITY AND EFFICACY OF PRAZIQUANTEL")</f>
        <v>IMPACT OF DRUG DOSAGE AND BRAND ON BIOAVAILABILITY AND EFFICACY OF PRAZIQUANTEL</v>
      </c>
      <c r="S114" s="699" t="str">
        <f>IFERROR(__xludf.DUMMYFUNCTION("""COMPUTED_VALUE"""),"Metwally A, Bennett J, Botros S, Ebeid F, el attar Gel D. Impact of drug dosage and brand on bioavailability and efficacy of praziquantel. Pharmacological Research 1995;31 (1):53–9.")</f>
        <v>Metwally A, Bennett J, Botros S, Ebeid F, el attar Gel D. Impact of drug dosage and brand on bioavailability and efficacy of praziquantel. Pharmacological Research 1995;31 (1):53–9.</v>
      </c>
      <c r="T114" s="697"/>
      <c r="U114" s="697" t="str">
        <f>IFERROR(__xludf.DUMMYFUNCTION("""COMPUTED_VALUE"""),"")</f>
        <v/>
      </c>
      <c r="V114" s="697">
        <f>IFERROR(__xludf.DUMMYFUNCTION("""COMPUTED_VALUE"""),114.0)</f>
        <v>114</v>
      </c>
    </row>
    <row r="115">
      <c r="A115" s="697" t="str">
        <f>IFERROR(__xludf.DUMMYFUNCTION("""COMPUTED_VALUE"""),"Metwally A, 1995")</f>
        <v>Metwally A, 1995</v>
      </c>
      <c r="B115" s="697" t="str">
        <f>IFERROR(__xludf.DUMMYFUNCTION("""COMPUTED_VALUE"""),"s. mansoni")</f>
        <v>s. mansoni</v>
      </c>
      <c r="C115" s="697" t="str">
        <f>IFERROR(__xludf.DUMMYFUNCTION("""COMPUTED_VALUE"""),"Egypt")</f>
        <v>Egypt</v>
      </c>
      <c r="D115" s="697" t="str">
        <f>IFERROR(__xludf.DUMMYFUNCTION("""COMPUTED_VALUE"""),"Praziquantel")</f>
        <v>Praziquantel</v>
      </c>
      <c r="E115" s="697" t="str">
        <f>IFERROR(__xludf.DUMMYFUNCTION("""COMPUTED_VALUE"""),"Single")</f>
        <v>Single</v>
      </c>
      <c r="F115" s="697" t="str">
        <f>IFERROR(__xludf.DUMMYFUNCTION("""COMPUTED_VALUE"""),"20 mg/kg")</f>
        <v>20 mg/kg</v>
      </c>
      <c r="G115" s="697">
        <f>IFERROR(__xludf.DUMMYFUNCTION("""COMPUTED_VALUE"""),65.0)</f>
        <v>65</v>
      </c>
      <c r="H115" s="697" t="str">
        <f>IFERROR(__xludf.DUMMYFUNCTION("""COMPUTED_VALUE"""),"8-16 years old")</f>
        <v>8-16 years old</v>
      </c>
      <c r="I115" s="697"/>
      <c r="J115" s="697">
        <f>IFERROR(__xludf.DUMMYFUNCTION("""COMPUTED_VALUE"""),1995.0)</f>
        <v>1995</v>
      </c>
      <c r="K115" s="702" t="str">
        <f>IFERROR(__xludf.DUMMYFUNCTION("""COMPUTED_VALUE"""),"schoolchildren aged 8 to 16 years who were positive for S. mansoni")</f>
        <v>schoolchildren aged 8 to 16 years who were positive for S. mansoni</v>
      </c>
      <c r="L115" s="697" t="str">
        <f>IFERROR(__xludf.DUMMYFUNCTION("""COMPUTED_VALUE"""),"No")</f>
        <v>No</v>
      </c>
      <c r="M115" s="697" t="str">
        <f>IFERROR(__xludf.DUMMYFUNCTION("""COMPUTED_VALUE"""),"Yes")</f>
        <v>Yes</v>
      </c>
      <c r="N115" s="697" t="str">
        <f>IFERROR(__xludf.DUMMYFUNCTION("""COMPUTED_VALUE"""),"efficacy of test drugs treatment the two brands of PZQ in full dose were equally effective in reducing egg count as their half doses except in heavily infected cases treated with brand 2 of PZQ. 4 weeks; 10 weeks post treatment")</f>
        <v>efficacy of test drugs treatment the two brands of PZQ in full dose were equally effective in reducing egg count as their half doses except in heavily infected cases treated with brand 2 of PZQ. 4 weeks; 10 weeks post treatment</v>
      </c>
      <c r="O115" s="873">
        <f>IFERROR(__xludf.DUMMYFUNCTION("""COMPUTED_VALUE"""),0.3871)</f>
        <v>0.3871</v>
      </c>
      <c r="P115" s="698">
        <f>IFERROR(__xludf.DUMMYFUNCTION("""COMPUTED_VALUE"""),0.856)</f>
        <v>0.856</v>
      </c>
      <c r="Q115" s="697" t="str">
        <f>IFERROR(__xludf.DUMMYFUNCTION("""COMPUTED_VALUE"""),"Cure rates were significantly higher whenever full dose of either brand was used. The recommendation of using lower dose of PZQ, since the egg output from patients using 40 vs 20 mg kg-’ was not different, should be considered after longer followup period"&amp;"s. This is because most control programs using PZQ are planned to be conducted over an annual or biannual basis. Moreover, one could argue that since the number of eggs excreted in patients receiving the lower dose are higher, the probability of contamina"&amp;"ting water could also be higher")</f>
        <v>Cure rates were significantly higher whenever full dose of either brand was used. The recommendation of using lower dose of PZQ, since the egg output from patients using 40 vs 20 mg kg-’ was not different, should be considered after longer followup periods. This is because most control programs using PZQ are planned to be conducted over an annual or biannual basis. Moreover, one could argue that since the number of eggs excreted in patients receiving the lower dose are higher, the probability of contaminating water could also be higher</v>
      </c>
      <c r="R115" s="697" t="str">
        <f>IFERROR(__xludf.DUMMYFUNCTION("""COMPUTED_VALUE"""),"IMPACT OF DRUG DOSAGE AND BRAND ON BIOAVAILABILITY AND EFFICACY OF PRAZIQUANTEL")</f>
        <v>IMPACT OF DRUG DOSAGE AND BRAND ON BIOAVAILABILITY AND EFFICACY OF PRAZIQUANTEL</v>
      </c>
      <c r="S115" s="699" t="str">
        <f>IFERROR(__xludf.DUMMYFUNCTION("""COMPUTED_VALUE"""),"Metwally A, Bennett J, Botros S, Ebeid F, el attar Gel D. Impact of drug dosage and brand on bioavailability and efficacy of praziquantel. Pharmacological Research 1995;31 (1):53–9.")</f>
        <v>Metwally A, Bennett J, Botros S, Ebeid F, el attar Gel D. Impact of drug dosage and brand on bioavailability and efficacy of praziquantel. Pharmacological Research 1995;31 (1):53–9.</v>
      </c>
      <c r="T115" s="697"/>
      <c r="U115" s="697" t="str">
        <f>IFERROR(__xludf.DUMMYFUNCTION("""COMPUTED_VALUE"""),"")</f>
        <v/>
      </c>
      <c r="V115" s="697">
        <f>IFERROR(__xludf.DUMMYFUNCTION("""COMPUTED_VALUE"""),115.0)</f>
        <v>115</v>
      </c>
    </row>
    <row r="116">
      <c r="A116" s="697" t="str">
        <f>IFERROR(__xludf.DUMMYFUNCTION("""COMPUTED_VALUE"""),"Metwally A, 1995")</f>
        <v>Metwally A, 1995</v>
      </c>
      <c r="B116" s="697" t="str">
        <f>IFERROR(__xludf.DUMMYFUNCTION("""COMPUTED_VALUE"""),"s. mansoni")</f>
        <v>s. mansoni</v>
      </c>
      <c r="C116" s="697" t="str">
        <f>IFERROR(__xludf.DUMMYFUNCTION("""COMPUTED_VALUE"""),"Egypt")</f>
        <v>Egypt</v>
      </c>
      <c r="D116" s="697" t="str">
        <f>IFERROR(__xludf.DUMMYFUNCTION("""COMPUTED_VALUE"""),"Praziquantel")</f>
        <v>Praziquantel</v>
      </c>
      <c r="E116" s="697" t="str">
        <f>IFERROR(__xludf.DUMMYFUNCTION("""COMPUTED_VALUE"""),"Single")</f>
        <v>Single</v>
      </c>
      <c r="F116" s="697" t="str">
        <f>IFERROR(__xludf.DUMMYFUNCTION("""COMPUTED_VALUE"""),"20 mg/kg")</f>
        <v>20 mg/kg</v>
      </c>
      <c r="G116" s="697">
        <f>IFERROR(__xludf.DUMMYFUNCTION("""COMPUTED_VALUE"""),35.0)</f>
        <v>35</v>
      </c>
      <c r="H116" s="697" t="str">
        <f>IFERROR(__xludf.DUMMYFUNCTION("""COMPUTED_VALUE"""),"8-16 years old")</f>
        <v>8-16 years old</v>
      </c>
      <c r="I116" s="697"/>
      <c r="J116" s="697">
        <f>IFERROR(__xludf.DUMMYFUNCTION("""COMPUTED_VALUE"""),1995.0)</f>
        <v>1995</v>
      </c>
      <c r="K116" s="702" t="str">
        <f>IFERROR(__xludf.DUMMYFUNCTION("""COMPUTED_VALUE"""),"schoolchildren aged 8 to 16 years who were positive for S. mansoni")</f>
        <v>schoolchildren aged 8 to 16 years who were positive for S. mansoni</v>
      </c>
      <c r="L116" s="697" t="str">
        <f>IFERROR(__xludf.DUMMYFUNCTION("""COMPUTED_VALUE"""),"No")</f>
        <v>No</v>
      </c>
      <c r="M116" s="697" t="str">
        <f>IFERROR(__xludf.DUMMYFUNCTION("""COMPUTED_VALUE"""),"Yes")</f>
        <v>Yes</v>
      </c>
      <c r="N116" s="697" t="str">
        <f>IFERROR(__xludf.DUMMYFUNCTION("""COMPUTED_VALUE"""),"efficacy of test drugs treatment the two brands of PZQ in full dose were equally effective in reducing egg count as their half doses except in heavily infected cases treated with brand 2 of PZQ. 4 weeks; 10 weeks post treatment")</f>
        <v>efficacy of test drugs treatment the two brands of PZQ in full dose were equally effective in reducing egg count as their half doses except in heavily infected cases treated with brand 2 of PZQ. 4 weeks; 10 weeks post treatment</v>
      </c>
      <c r="O116" s="873">
        <f>IFERROR(__xludf.DUMMYFUNCTION("""COMPUTED_VALUE"""),0.5714)</f>
        <v>0.5714</v>
      </c>
      <c r="P116" s="698">
        <f>IFERROR(__xludf.DUMMYFUNCTION("""COMPUTED_VALUE"""),0.829)</f>
        <v>0.829</v>
      </c>
      <c r="Q116" s="697" t="str">
        <f>IFERROR(__xludf.DUMMYFUNCTION("""COMPUTED_VALUE"""),"Cure rates were significantly higher whenever full dose of either brand was used. The recommendation of using lower dose of PZQ, since the egg output from patients using 40 vs 20 mg kg-’ was not different, should be considered after longer followup period"&amp;"s. This is because most control programs using PZQ are planned to be conducted over an annual or biannual basis. Moreover, one could argue that since the number of eggs excreted in patients receiving the lower dose are higher, the probability of contamina"&amp;"ting water could also be higher")</f>
        <v>Cure rates were significantly higher whenever full dose of either brand was used. The recommendation of using lower dose of PZQ, since the egg output from patients using 40 vs 20 mg kg-’ was not different, should be considered after longer followup periods. This is because most control programs using PZQ are planned to be conducted over an annual or biannual basis. Moreover, one could argue that since the number of eggs excreted in patients receiving the lower dose are higher, the probability of contaminating water could also be higher</v>
      </c>
      <c r="R116" s="697" t="str">
        <f>IFERROR(__xludf.DUMMYFUNCTION("""COMPUTED_VALUE"""),"IMPACT OF DRUG DOSAGE AND BRAND ON BIOAVAILABILITY AND EFFICACY OF PRAZIQUANTEL")</f>
        <v>IMPACT OF DRUG DOSAGE AND BRAND ON BIOAVAILABILITY AND EFFICACY OF PRAZIQUANTEL</v>
      </c>
      <c r="S116" s="699" t="str">
        <f>IFERROR(__xludf.DUMMYFUNCTION("""COMPUTED_VALUE"""),"Metwally A, Bennett J, Botros S, Ebeid F, el attar Gel D. Impact of drug dosage and brand on bioavailability and efficacy of praziquantel. Pharmacological Research 1995;31 (1):53–9.")</f>
        <v>Metwally A, Bennett J, Botros S, Ebeid F, el attar Gel D. Impact of drug dosage and brand on bioavailability and efficacy of praziquantel. Pharmacological Research 1995;31 (1):53–9.</v>
      </c>
      <c r="T116" s="697"/>
      <c r="U116" s="697" t="str">
        <f>IFERROR(__xludf.DUMMYFUNCTION("""COMPUTED_VALUE"""),"")</f>
        <v/>
      </c>
      <c r="V116" s="697">
        <f>IFERROR(__xludf.DUMMYFUNCTION("""COMPUTED_VALUE"""),116.0)</f>
        <v>116</v>
      </c>
    </row>
    <row r="117">
      <c r="A117" s="697" t="str">
        <f>IFERROR(__xludf.DUMMYFUNCTION("""COMPUTED_VALUE"""),"Midzi N, 2008")</f>
        <v>Midzi N, 2008</v>
      </c>
      <c r="B117" s="697" t="str">
        <f>IFERROR(__xludf.DUMMYFUNCTION("""COMPUTED_VALUE"""),"s. haematobium")</f>
        <v>s. haematobium</v>
      </c>
      <c r="C117" s="697" t="str">
        <f>IFERROR(__xludf.DUMMYFUNCTION("""COMPUTED_VALUE"""),"Zimbabwe")</f>
        <v>Zimbabwe</v>
      </c>
      <c r="D117" s="697" t="str">
        <f>IFERROR(__xludf.DUMMYFUNCTION("""COMPUTED_VALUE"""),"Praziquantel")</f>
        <v>Praziquantel</v>
      </c>
      <c r="E117" s="697" t="str">
        <f>IFERROR(__xludf.DUMMYFUNCTION("""COMPUTED_VALUE"""),"Two")</f>
        <v>Two</v>
      </c>
      <c r="F117" s="697" t="str">
        <f>IFERROR(__xludf.DUMMYFUNCTION("""COMPUTED_VALUE"""),"40 mg/kg")</f>
        <v>40 mg/kg</v>
      </c>
      <c r="G117" s="697">
        <f>IFERROR(__xludf.DUMMYFUNCTION("""COMPUTED_VALUE"""),675.0)</f>
        <v>675</v>
      </c>
      <c r="H117" s="697" t="str">
        <f>IFERROR(__xludf.DUMMYFUNCTION("""COMPUTED_VALUE"""),"5- 17")</f>
        <v>5- 17</v>
      </c>
      <c r="I117" s="705" t="str">
        <f>IFERROR(__xludf.DUMMYFUNCTION("""COMPUTED_VALUE"""),"347: 328")</f>
        <v>347: 328</v>
      </c>
      <c r="J117" s="697">
        <f>IFERROR(__xludf.DUMMYFUNCTION("""COMPUTED_VALUE"""),2004.0)</f>
        <v>2004</v>
      </c>
      <c r="K117" s="697" t="str">
        <f>IFERROR(__xludf.DUMMYFUNCTION("""COMPUTED_VALUE"""),"Infected with S.mansoni")</f>
        <v>Infected with S.mansoni</v>
      </c>
      <c r="L117" s="697" t="str">
        <f>IFERROR(__xludf.DUMMYFUNCTION("""COMPUTED_VALUE"""),"No")</f>
        <v>No</v>
      </c>
      <c r="M117" s="697" t="str">
        <f>IFERROR(__xludf.DUMMYFUNCTION("""COMPUTED_VALUE"""),"Yes")</f>
        <v>Yes</v>
      </c>
      <c r="N117" s="697" t="str">
        <f>IFERROR(__xludf.DUMMYFUNCTION("""COMPUTED_VALUE"""),"Overall cure rate was examined 6 weeks and assessed using urine filtration")</f>
        <v>Overall cure rate was examined 6 weeks and assessed using urine filtration</v>
      </c>
      <c r="O117" s="873">
        <f>IFERROR(__xludf.DUMMYFUNCTION("""COMPUTED_VALUE"""),0.885)</f>
        <v>0.885</v>
      </c>
      <c r="P117" s="698">
        <f>IFERROR(__xludf.DUMMYFUNCTION("""COMPUTED_VALUE"""),0.982)</f>
        <v>0.982</v>
      </c>
      <c r="Q117" s="697" t="str">
        <f>IFERROR(__xludf.DUMMYFUNCTION("""COMPUTED_VALUE"""),"The experiment demonstrates that praziquantel is efficacious against S. haematobium in Zimbabwe, although low levels of persistent infection warrant further investigation.")</f>
        <v>The experiment demonstrates that praziquantel is efficacious against S. haematobium in Zimbabwe, although low levels of persistent infection warrant further investigation.</v>
      </c>
      <c r="R117" s="697" t="str">
        <f>IFERROR(__xludf.DUMMYFUNCTION("""COMPUTED_VALUE"""),"IMPACT OF DRUG DOSAGE AND BRAND ON BIOAVAILABILITY AND EFFICACY OF PRAZIQUANTEL")</f>
        <v>IMPACT OF DRUG DOSAGE AND BRAND ON BIOAVAILABILITY AND EFFICACY OF PRAZIQUANTEL</v>
      </c>
      <c r="S117" s="699" t="str">
        <f>IFERROR(__xludf.DUMMYFUNCTION("""COMPUTED_VALUE"""),"Midzi, N., D. Sangweme, S. Zinyowera, M.p. Mapingure, K.c. Brouwer, N. Kumar, F. Mutapi, G. Woelk, and T. Mduluza. ""Efficacy and Side Effects of Praziquantel Treatment against Schistosoma Haematobium Infection among Primary School Children in Zimbabwe."""&amp;" Transactions of the Royal Society of Tropical Medicine and Hygiene: 759-66.")</f>
        <v>Midzi, N., D. Sangweme, S. Zinyowera, M.p. Mapingure, K.c. Brouwer, N. Kumar, F. Mutapi, G. Woelk, and T. Mduluza. "Efficacy and Side Effects of Praziquantel Treatment against Schistosoma Haematobium Infection among Primary School Children in Zimbabwe." Transactions of the Royal Society of Tropical Medicine and Hygiene: 759-66.</v>
      </c>
      <c r="T117" s="697"/>
      <c r="U117" s="697" t="str">
        <f>IFERROR(__xludf.DUMMYFUNCTION("""COMPUTED_VALUE"""),"x")</f>
        <v>x</v>
      </c>
      <c r="V117" s="697">
        <f>IFERROR(__xludf.DUMMYFUNCTION("""COMPUTED_VALUE"""),117.0)</f>
        <v>117</v>
      </c>
    </row>
    <row r="118">
      <c r="A118" s="697" t="str">
        <f>IFERROR(__xludf.DUMMYFUNCTION("""COMPUTED_VALUE"""),"N'Goran 2003")</f>
        <v>N'Goran 2003</v>
      </c>
      <c r="B118" s="697" t="str">
        <f>IFERROR(__xludf.DUMMYFUNCTION("""COMPUTED_VALUE"""),"s. haematobium")</f>
        <v>s. haematobium</v>
      </c>
      <c r="C118" s="697" t="str">
        <f>IFERROR(__xludf.DUMMYFUNCTION("""COMPUTED_VALUE"""),"Cote d'Ivoire")</f>
        <v>Cote d'Ivoire</v>
      </c>
      <c r="D118" s="697" t="str">
        <f>IFERROR(__xludf.DUMMYFUNCTION("""COMPUTED_VALUE"""),"Artemether")</f>
        <v>Artemether</v>
      </c>
      <c r="E118" s="697" t="str">
        <f>IFERROR(__xludf.DUMMYFUNCTION("""COMPUTED_VALUE"""),"Single")</f>
        <v>Single</v>
      </c>
      <c r="F118" s="697" t="str">
        <f>IFERROR(__xludf.DUMMYFUNCTION("""COMPUTED_VALUE"""),"40 mg/kg")</f>
        <v>40 mg/kg</v>
      </c>
      <c r="G118" s="697">
        <f>IFERROR(__xludf.DUMMYFUNCTION("""COMPUTED_VALUE"""),161.0)</f>
        <v>161</v>
      </c>
      <c r="H118" s="697" t="str">
        <f>IFERROR(__xludf.DUMMYFUNCTION("""COMPUTED_VALUE"""),"5-15 years old")</f>
        <v>5-15 years old</v>
      </c>
      <c r="I118" s="697"/>
      <c r="J118" s="697">
        <f>IFERROR(__xludf.DUMMYFUNCTION("""COMPUTED_VALUE"""),2001.0)</f>
        <v>2001</v>
      </c>
      <c r="K118" s="697" t="str">
        <f>IFERROR(__xludf.DUMMYFUNCTION("""COMPUTED_VALUE"""),"chrildren that continued to excrete S. haematobium eggs in their urine")</f>
        <v>chrildren that continued to excrete S. haematobium eggs in their urine</v>
      </c>
      <c r="L118" s="697" t="str">
        <f>IFERROR(__xludf.DUMMYFUNCTION("""COMPUTED_VALUE"""),"Yes")</f>
        <v>Yes</v>
      </c>
      <c r="M118" s="697" t="str">
        <f>IFERROR(__xludf.DUMMYFUNCTION("""COMPUTED_VALUE"""),"Yes")</f>
        <v>Yes</v>
      </c>
      <c r="N118" s="697" t="str">
        <f>IFERROR(__xludf.DUMMYFUNCTION("""COMPUTED_VALUE"""),"Cure rate 8 weeks")</f>
        <v>Cure rate 8 weeks</v>
      </c>
      <c r="O118" s="874">
        <f>IFERROR(__xludf.DUMMYFUNCTION("""COMPUTED_VALUE"""),0.27)</f>
        <v>0.27</v>
      </c>
      <c r="P118" s="697" t="str">
        <f>IFERROR(__xludf.DUMMYFUNCTION("""COMPUTED_VALUE"""),"&gt;80%")</f>
        <v>&gt;80%</v>
      </c>
      <c r="Q118" s="697" t="str">
        <f>IFERROR(__xludf.DUMMYFUNCTION("""COMPUTED_VALUE"""),"In conclusion, previous findings of efficacy of artemether against S. japonicum and S. mansoni were confirmed for S. haematobium, although the protective efficacy was considerably lower. These findings enlarge the scope and potential of artemether and fur"&amp;"ther contribute to discussions of its role as an additional tool for integrated schistosomiasis control.")</f>
        <v>In conclusion, previous findings of efficacy of artemether against S. japonicum and S. mansoni were confirmed for S. haematobium, although the protective efficacy was considerably lower. These findings enlarge the scope and potential of artemether and further contribute to discussions of its role as an additional tool for integrated schistosomiasis control.</v>
      </c>
      <c r="R118" s="697"/>
      <c r="S118" s="699" t="str">
        <f>IFERROR(__xludf.DUMMYFUNCTION("""COMPUTED_VALUE"""),"N’goran, Eliézer K., et al. ""Randomized, double-blind, placebo-controlled trial of oral artemether for the prevention of patent Schistosoma haematobium infections."" The American journal of tropical medicine and hygiene 68.1 (2003): 24-32.")</f>
        <v>N’goran, Eliézer K., et al. "Randomized, double-blind, placebo-controlled trial of oral artemether for the prevention of patent Schistosoma haematobium infections." The American journal of tropical medicine and hygiene 68.1 (2003): 24-32.</v>
      </c>
      <c r="T118" s="697"/>
      <c r="U118" s="697" t="str">
        <f>IFERROR(__xludf.DUMMYFUNCTION("""COMPUTED_VALUE"""),"")</f>
        <v/>
      </c>
      <c r="V118" s="697">
        <f>IFERROR(__xludf.DUMMYFUNCTION("""COMPUTED_VALUE"""),118.0)</f>
        <v>118</v>
      </c>
    </row>
    <row r="119">
      <c r="A119" s="697" t="str">
        <f>IFERROR(__xludf.DUMMYFUNCTION("""COMPUTED_VALUE"""),"N'Goran 2003")</f>
        <v>N'Goran 2003</v>
      </c>
      <c r="B119" s="697" t="str">
        <f>IFERROR(__xludf.DUMMYFUNCTION("""COMPUTED_VALUE"""),"s. haematobium")</f>
        <v>s. haematobium</v>
      </c>
      <c r="C119" s="697" t="str">
        <f>IFERROR(__xludf.DUMMYFUNCTION("""COMPUTED_VALUE"""),"Cote d'Ivoire")</f>
        <v>Cote d'Ivoire</v>
      </c>
      <c r="D119" s="697" t="str">
        <f>IFERROR(__xludf.DUMMYFUNCTION("""COMPUTED_VALUE"""),"Placebo")</f>
        <v>Placebo</v>
      </c>
      <c r="E119" s="697"/>
      <c r="F119" s="697"/>
      <c r="G119" s="697">
        <f>IFERROR(__xludf.DUMMYFUNCTION("""COMPUTED_VALUE"""),161.0)</f>
        <v>161</v>
      </c>
      <c r="H119" s="697" t="str">
        <f>IFERROR(__xludf.DUMMYFUNCTION("""COMPUTED_VALUE"""),"5-15 years old")</f>
        <v>5-15 years old</v>
      </c>
      <c r="I119" s="697"/>
      <c r="J119" s="697">
        <f>IFERROR(__xludf.DUMMYFUNCTION("""COMPUTED_VALUE"""),2001.0)</f>
        <v>2001</v>
      </c>
      <c r="K119" s="697" t="str">
        <f>IFERROR(__xludf.DUMMYFUNCTION("""COMPUTED_VALUE"""),"chrildren that continued to excrete S. haematobium eggs in their urine")</f>
        <v>chrildren that continued to excrete S. haematobium eggs in their urine</v>
      </c>
      <c r="L119" s="697" t="str">
        <f>IFERROR(__xludf.DUMMYFUNCTION("""COMPUTED_VALUE"""),"Yes")</f>
        <v>Yes</v>
      </c>
      <c r="M119" s="697" t="str">
        <f>IFERROR(__xludf.DUMMYFUNCTION("""COMPUTED_VALUE"""),"Yes")</f>
        <v>Yes</v>
      </c>
      <c r="N119" s="697" t="str">
        <f>IFERROR(__xludf.DUMMYFUNCTION("""COMPUTED_VALUE"""),"Cure rate 8 weeks")</f>
        <v>Cure rate 8 weeks</v>
      </c>
      <c r="O119" s="874">
        <f>IFERROR(__xludf.DUMMYFUNCTION("""COMPUTED_VALUE"""),0.2)</f>
        <v>0.2</v>
      </c>
      <c r="P119" s="697" t="str">
        <f>IFERROR(__xludf.DUMMYFUNCTION("""COMPUTED_VALUE"""),"&gt;80%")</f>
        <v>&gt;80%</v>
      </c>
      <c r="Q119" s="697" t="str">
        <f>IFERROR(__xludf.DUMMYFUNCTION("""COMPUTED_VALUE"""),"In conclusion, previous findings of efficacy of artemether against S. japonicum and S. mansoni were confirmed for S. haematobium, although the protective efficacy was considerably lower. These findings enlarge the scope and potential of artemether and fur"&amp;"ther contribute to discussions of its role as an additional tool for integrated schistosomiasis control.")</f>
        <v>In conclusion, previous findings of efficacy of artemether against S. japonicum and S. mansoni were confirmed for S. haematobium, although the protective efficacy was considerably lower. These findings enlarge the scope and potential of artemether and further contribute to discussions of its role as an additional tool for integrated schistosomiasis control.</v>
      </c>
      <c r="R119" s="697"/>
      <c r="S119" s="699" t="str">
        <f>IFERROR(__xludf.DUMMYFUNCTION("""COMPUTED_VALUE"""),"N’goran, Eliézer K., et al. ""Randomized, double-blind, placebo-controlled trial of oral artemether for the prevention of patent Schistosoma haematobium infections."" The American journal of tropical medicine and hygiene 68.1 (2003): 24-32.")</f>
        <v>N’goran, Eliézer K., et al. "Randomized, double-blind, placebo-controlled trial of oral artemether for the prevention of patent Schistosoma haematobium infections." The American journal of tropical medicine and hygiene 68.1 (2003): 24-32.</v>
      </c>
      <c r="T119" s="697"/>
      <c r="U119" s="697" t="str">
        <f>IFERROR(__xludf.DUMMYFUNCTION("""COMPUTED_VALUE"""),"")</f>
        <v/>
      </c>
      <c r="V119" s="697">
        <f>IFERROR(__xludf.DUMMYFUNCTION("""COMPUTED_VALUE"""),119.0)</f>
        <v>119</v>
      </c>
    </row>
    <row r="120">
      <c r="A120" s="697" t="str">
        <f>IFERROR(__xludf.DUMMYFUNCTION("""COMPUTED_VALUE"""),"Olliaro PL, 2011")</f>
        <v>Olliaro PL, 2011</v>
      </c>
      <c r="B120" s="697" t="str">
        <f>IFERROR(__xludf.DUMMYFUNCTION("""COMPUTED_VALUE"""),"s. mansoni")</f>
        <v>s. mansoni</v>
      </c>
      <c r="C120" s="697" t="str">
        <f>IFERROR(__xludf.DUMMYFUNCTION("""COMPUTED_VALUE"""),"Brazil")</f>
        <v>Brazil</v>
      </c>
      <c r="D120" s="697" t="str">
        <f>IFERROR(__xludf.DUMMYFUNCTION("""COMPUTED_VALUE"""),"Praziquantel")</f>
        <v>Praziquantel</v>
      </c>
      <c r="E120" s="697" t="str">
        <f>IFERROR(__xludf.DUMMYFUNCTION("""COMPUTED_VALUE"""),"Single")</f>
        <v>Single</v>
      </c>
      <c r="F120" s="697" t="str">
        <f>IFERROR(__xludf.DUMMYFUNCTION("""COMPUTED_VALUE"""),"40 mg/kg")</f>
        <v>40 mg/kg</v>
      </c>
      <c r="G120" s="697">
        <f>IFERROR(__xludf.DUMMYFUNCTION("""COMPUTED_VALUE"""),96.0)</f>
        <v>96</v>
      </c>
      <c r="H120" s="697" t="str">
        <f>IFERROR(__xludf.DUMMYFUNCTION("""COMPUTED_VALUE"""),"10-19 years")</f>
        <v>10-19 years</v>
      </c>
      <c r="I120" s="705" t="str">
        <f>IFERROR(__xludf.DUMMYFUNCTION("""COMPUTED_VALUE"""),"55:41")</f>
        <v>55:41</v>
      </c>
      <c r="J120" s="697">
        <f>IFERROR(__xludf.DUMMYFUNCTION("""COMPUTED_VALUE"""),2011.0)</f>
        <v>2011</v>
      </c>
      <c r="K120" s="697" t="str">
        <f>IFERROR(__xludf.DUMMYFUNCTION("""COMPUTED_VALUE"""),"10-19 Males Confirmed Schistosomia infection with (greater/equal to) 100 egg per grams of feces")</f>
        <v>10-19 Males Confirmed Schistosomia infection with (greater/equal to) 100 egg per grams of feces</v>
      </c>
      <c r="L120" s="697" t="str">
        <f>IFERROR(__xludf.DUMMYFUNCTION("""COMPUTED_VALUE"""),"Yes")</f>
        <v>Yes</v>
      </c>
      <c r="M120" s="697" t="str">
        <f>IFERROR(__xludf.DUMMYFUNCTION("""COMPUTED_VALUE"""),"Yes")</f>
        <v>Yes</v>
      </c>
      <c r="N120" s="697" t="str">
        <f>IFERROR(__xludf.DUMMYFUNCTION("""COMPUTED_VALUE"""),"Primary endpoint: cure rates on day 21 with negative stool of Schistosomia eggs. Secondary endpoint: follow-up 6 and 12 months ""partial cure"" egg reduction rates")</f>
        <v>Primary endpoint: cure rates on day 21 with negative stool of Schistosomia eggs. Secondary endpoint: follow-up 6 and 12 months "partial cure" egg reduction rates</v>
      </c>
      <c r="O120" s="872">
        <f>IFERROR(__xludf.DUMMYFUNCTION("""COMPUTED_VALUE"""),0.98)</f>
        <v>0.98</v>
      </c>
      <c r="P120" s="698">
        <f>IFERROR(__xludf.DUMMYFUNCTION("""COMPUTED_VALUE"""),0.917)</f>
        <v>0.917</v>
      </c>
      <c r="Q120" s="697" t="str">
        <f>IFERROR(__xludf.DUMMYFUNCTION("""COMPUTED_VALUE"""),"Higher dose of praziquantel has no significant efficacy advantage over lower dosage for treating Schistosomia.")</f>
        <v>Higher dose of praziquantel has no significant efficacy advantage over lower dosage for treating Schistosomia.</v>
      </c>
      <c r="R120" s="697"/>
      <c r="S120" s="699" t="str">
        <f>IFERROR(__xludf.DUMMYFUNCTION("""COMPUTED_VALUE"""),"Olliaro, Piero L., Michel T. Vaillant, Vincente J. Belizario, Nicholas J. S. Lwambo, Mohamed Ouldabdallahi, Otavio S. Pieri, Maria L. Amarillo, Godfrey M. Kaatano, Mamadou Diaw, Analucia C. Domingues, Tereza C. Favre, Olivier Lapujade, Fabiana Alves, and "&amp;"Lester Chitsulo. ""A Multicentre Randomized Controlled Trial of the Efficacy and Safety of Single-Dose Praziquantel at 40 Mg/kg vs. 60 Mg/kg for Treating Intestinal Schistosomiasis in the Philippines, Mauritania, Tanzania and Brazil."" Ed. James S. Mccart"&amp;"hy. PLoS Neglected Tropical Diseases 5.6 (2011): E1165. Web.")</f>
        <v>Olliaro, Piero L., Michel T. Vaillant, Vincente J. Belizario, Nicholas J. S. Lwambo, Mohamed Ouldabdallahi, Otavio S. Pieri, Maria L. Amarillo, Godfrey M. Kaatano, Mamadou Diaw, Analucia C. Domingues, Tereza C. Favre, Olivier Lapujade, Fabiana Alves, and Lester Chitsulo. "A Multicentre Randomized Controlled Trial of the Efficacy and Safety of Single-Dose Praziquantel at 40 Mg/kg vs. 60 Mg/kg for Treating Intestinal Schistosomiasis in the Philippines, Mauritania, Tanzania and Brazil." Ed. James S. Mccarthy. PLoS Neglected Tropical Diseases 5.6 (2011): E1165. Web.</v>
      </c>
      <c r="T120" s="697"/>
      <c r="U120" s="697" t="str">
        <f>IFERROR(__xludf.DUMMYFUNCTION("""COMPUTED_VALUE"""),"")</f>
        <v/>
      </c>
      <c r="V120" s="697">
        <f>IFERROR(__xludf.DUMMYFUNCTION("""COMPUTED_VALUE"""),120.0)</f>
        <v>120</v>
      </c>
    </row>
    <row r="121">
      <c r="A121" s="697" t="str">
        <f>IFERROR(__xludf.DUMMYFUNCTION("""COMPUTED_VALUE"""),"Olliaro PL, 2011")</f>
        <v>Olliaro PL, 2011</v>
      </c>
      <c r="B121" s="697" t="str">
        <f>IFERROR(__xludf.DUMMYFUNCTION("""COMPUTED_VALUE"""),"s. mansoni")</f>
        <v>s. mansoni</v>
      </c>
      <c r="C121" s="697" t="str">
        <f>IFERROR(__xludf.DUMMYFUNCTION("""COMPUTED_VALUE"""),"Brazil")</f>
        <v>Brazil</v>
      </c>
      <c r="D121" s="697" t="str">
        <f>IFERROR(__xludf.DUMMYFUNCTION("""COMPUTED_VALUE"""),"Praziquantel")</f>
        <v>Praziquantel</v>
      </c>
      <c r="E121" s="697" t="str">
        <f>IFERROR(__xludf.DUMMYFUNCTION("""COMPUTED_VALUE"""),"Single")</f>
        <v>Single</v>
      </c>
      <c r="F121" s="697" t="str">
        <f>IFERROR(__xludf.DUMMYFUNCTION("""COMPUTED_VALUE"""),"60 mg/kg")</f>
        <v>60 mg/kg</v>
      </c>
      <c r="G121" s="697">
        <f>IFERROR(__xludf.DUMMYFUNCTION("""COMPUTED_VALUE"""),94.0)</f>
        <v>94</v>
      </c>
      <c r="H121" s="697" t="str">
        <f>IFERROR(__xludf.DUMMYFUNCTION("""COMPUTED_VALUE"""),"10-19 years")</f>
        <v>10-19 years</v>
      </c>
      <c r="I121" s="705" t="str">
        <f>IFERROR(__xludf.DUMMYFUNCTION("""COMPUTED_VALUE"""),"53:41")</f>
        <v>53:41</v>
      </c>
      <c r="J121" s="697">
        <f>IFERROR(__xludf.DUMMYFUNCTION("""COMPUTED_VALUE"""),2011.0)</f>
        <v>2011</v>
      </c>
      <c r="K121" s="697" t="str">
        <f>IFERROR(__xludf.DUMMYFUNCTION("""COMPUTED_VALUE"""),"10-19 Males Confirmed Schistosomia infection with (greater/equal to) 100 egg per grams of feces")</f>
        <v>10-19 Males Confirmed Schistosomia infection with (greater/equal to) 100 egg per grams of feces</v>
      </c>
      <c r="L121" s="697" t="str">
        <f>IFERROR(__xludf.DUMMYFUNCTION("""COMPUTED_VALUE"""),"Yes")</f>
        <v>Yes</v>
      </c>
      <c r="M121" s="697" t="str">
        <f>IFERROR(__xludf.DUMMYFUNCTION("""COMPUTED_VALUE"""),"Yes")</f>
        <v>Yes</v>
      </c>
      <c r="N121" s="697" t="str">
        <f>IFERROR(__xludf.DUMMYFUNCTION("""COMPUTED_VALUE"""),"Primary endpoint: cure rates on day 21 with negative stool of Schistosomia eggs. Secondary endpoint: follow-up 6 and 12 months ""partial cure"" egg reduction rates")</f>
        <v>Primary endpoint: cure rates on day 21 with negative stool of Schistosomia eggs. Secondary endpoint: follow-up 6 and 12 months "partial cure" egg reduction rates</v>
      </c>
      <c r="O121" s="873">
        <f>IFERROR(__xludf.DUMMYFUNCTION("""COMPUTED_VALUE"""),0.949)</f>
        <v>0.949</v>
      </c>
      <c r="P121" s="698">
        <f>IFERROR(__xludf.DUMMYFUNCTION("""COMPUTED_VALUE"""),0.918)</f>
        <v>0.918</v>
      </c>
      <c r="Q121" s="697" t="str">
        <f>IFERROR(__xludf.DUMMYFUNCTION("""COMPUTED_VALUE"""),"Higher dose of praziquantel has no significant efficacy advantage over lower dosage for treating Schistosomia.")</f>
        <v>Higher dose of praziquantel has no significant efficacy advantage over lower dosage for treating Schistosomia.</v>
      </c>
      <c r="R121" s="697"/>
      <c r="S121" s="699" t="str">
        <f>IFERROR(__xludf.DUMMYFUNCTION("""COMPUTED_VALUE"""),"Olliaro, Piero L., Michel T. Vaillant, Vincente J. Belizario, Nicholas J. S. Lwambo, Mohamed Ouldabdallahi, Otavio S. Pieri, Maria L. Amarillo, Godfrey M. Kaatano, Mamadou Diaw, Analucia C. Domingues, Tereza C. Favre, Olivier Lapujade, Fabiana Alves, and "&amp;"Lester Chitsulo. ""A Multicentre Randomized Controlled Trial of the Efficacy and Safety of Single-Dose Praziquantel at 40 Mg/kg vs. 60 Mg/kg for Treating Intestinal Schistosomiasis in the Philippines, Mauritania, Tanzania and Brazil."" Ed. James S. Mccart"&amp;"hy. PLoS Neglected Tropical Diseases 5.6 (2011): E1165. Web.")</f>
        <v>Olliaro, Piero L., Michel T. Vaillant, Vincente J. Belizario, Nicholas J. S. Lwambo, Mohamed Ouldabdallahi, Otavio S. Pieri, Maria L. Amarillo, Godfrey M. Kaatano, Mamadou Diaw, Analucia C. Domingues, Tereza C. Favre, Olivier Lapujade, Fabiana Alves, and Lester Chitsulo. "A Multicentre Randomized Controlled Trial of the Efficacy and Safety of Single-Dose Praziquantel at 40 Mg/kg vs. 60 Mg/kg for Treating Intestinal Schistosomiasis in the Philippines, Mauritania, Tanzania and Brazil." Ed. James S. Mccarthy. PLoS Neglected Tropical Diseases 5.6 (2011): E1165. Web.</v>
      </c>
      <c r="T121" s="697"/>
      <c r="U121" s="697" t="str">
        <f>IFERROR(__xludf.DUMMYFUNCTION("""COMPUTED_VALUE"""),"")</f>
        <v/>
      </c>
      <c r="V121" s="697">
        <f>IFERROR(__xludf.DUMMYFUNCTION("""COMPUTED_VALUE"""),121.0)</f>
        <v>121</v>
      </c>
    </row>
    <row r="122">
      <c r="A122" s="697" t="str">
        <f>IFERROR(__xludf.DUMMYFUNCTION("""COMPUTED_VALUE"""),"Olliaro PL, 2011")</f>
        <v>Olliaro PL, 2011</v>
      </c>
      <c r="B122" s="697" t="str">
        <f>IFERROR(__xludf.DUMMYFUNCTION("""COMPUTED_VALUE"""),"s. japonicum")</f>
        <v>s. japonicum</v>
      </c>
      <c r="C122" s="697" t="str">
        <f>IFERROR(__xludf.DUMMYFUNCTION("""COMPUTED_VALUE"""),"Philippines")</f>
        <v>Philippines</v>
      </c>
      <c r="D122" s="697" t="str">
        <f>IFERROR(__xludf.DUMMYFUNCTION("""COMPUTED_VALUE"""),"Praziquantel")</f>
        <v>Praziquantel</v>
      </c>
      <c r="E122" s="697" t="str">
        <f>IFERROR(__xludf.DUMMYFUNCTION("""COMPUTED_VALUE"""),"Single")</f>
        <v>Single</v>
      </c>
      <c r="F122" s="697" t="str">
        <f>IFERROR(__xludf.DUMMYFUNCTION("""COMPUTED_VALUE"""),"40 mg/kg ")</f>
        <v>40 mg/kg </v>
      </c>
      <c r="G122" s="697">
        <f>IFERROR(__xludf.DUMMYFUNCTION("""COMPUTED_VALUE"""),101.0)</f>
        <v>101</v>
      </c>
      <c r="H122" s="697" t="str">
        <f>IFERROR(__xludf.DUMMYFUNCTION("""COMPUTED_VALUE"""),"10-19 years")</f>
        <v>10-19 years</v>
      </c>
      <c r="I122" s="705" t="str">
        <f>IFERROR(__xludf.DUMMYFUNCTION("""COMPUTED_VALUE"""),"52:49")</f>
        <v>52:49</v>
      </c>
      <c r="J122" s="697">
        <f>IFERROR(__xludf.DUMMYFUNCTION("""COMPUTED_VALUE"""),2011.0)</f>
        <v>2011</v>
      </c>
      <c r="K122" s="697" t="str">
        <f>IFERROR(__xludf.DUMMYFUNCTION("""COMPUTED_VALUE"""),"10-19 Males Confirmed Schistosomia infection with (greater/equal to) 100 egg per grams of feces")</f>
        <v>10-19 Males Confirmed Schistosomia infection with (greater/equal to) 100 egg per grams of feces</v>
      </c>
      <c r="L122" s="697" t="str">
        <f>IFERROR(__xludf.DUMMYFUNCTION("""COMPUTED_VALUE"""),"Yes")</f>
        <v>Yes</v>
      </c>
      <c r="M122" s="697" t="str">
        <f>IFERROR(__xludf.DUMMYFUNCTION("""COMPUTED_VALUE"""),"Yes")</f>
        <v>Yes</v>
      </c>
      <c r="N122" s="697" t="str">
        <f>IFERROR(__xludf.DUMMYFUNCTION("""COMPUTED_VALUE"""),"Primary endpoint: cure rates on day 21 with negative stool of Schistosomia eggs. Secondary endpoint: follow-up 6 and 12 months ""partial cure"" egg reduction rates")</f>
        <v>Primary endpoint: cure rates on day 21 with negative stool of Schistosomia eggs. Secondary endpoint: follow-up 6 and 12 months "partial cure" egg reduction rates</v>
      </c>
      <c r="O122" s="872">
        <f>IFERROR(__xludf.DUMMYFUNCTION("""COMPUTED_VALUE"""),0.92)</f>
        <v>0.92</v>
      </c>
      <c r="P122" s="698">
        <f>IFERROR(__xludf.DUMMYFUNCTION("""COMPUTED_VALUE"""),0.901)</f>
        <v>0.901</v>
      </c>
      <c r="Q122" s="697" t="str">
        <f>IFERROR(__xludf.DUMMYFUNCTION("""COMPUTED_VALUE"""),"Higher dose of praziquantel has no significant efficacy advantage over lower dosage for treating Schistosomia.")</f>
        <v>Higher dose of praziquantel has no significant efficacy advantage over lower dosage for treating Schistosomia.</v>
      </c>
      <c r="R122" s="697"/>
      <c r="S122" s="699" t="str">
        <f>IFERROR(__xludf.DUMMYFUNCTION("""COMPUTED_VALUE"""),"Olliaro, Piero L., Michel T. Vaillant, Vincente J. Belizario, Nicholas J. S. Lwambo, Mohamed Ouldabdallahi, Otavio S. Pieri, Maria L. Amarillo, Godfrey M. Kaatano, Mamadou Diaw, Analucia C. Domingues, Tereza C. Favre, Olivier Lapujade, Fabiana Alves, and "&amp;"Lester Chitsulo. ""A Multicentre Randomized Controlled Trial of the Efficacy and Safety of Single-Dose Praziquantel at 40 Mg/kg vs. 60 Mg/kg for Treating Intestinal Schistosomiasis in the Philippines, Mauritania, Tanzania and Brazil."" Ed. James S. Mccart"&amp;"hy. PLoS Neglected Tropical Diseases 5.6 (2011): E1165. Web.")</f>
        <v>Olliaro, Piero L., Michel T. Vaillant, Vincente J. Belizario, Nicholas J. S. Lwambo, Mohamed Ouldabdallahi, Otavio S. Pieri, Maria L. Amarillo, Godfrey M. Kaatano, Mamadou Diaw, Analucia C. Domingues, Tereza C. Favre, Olivier Lapujade, Fabiana Alves, and Lester Chitsulo. "A Multicentre Randomized Controlled Trial of the Efficacy and Safety of Single-Dose Praziquantel at 40 Mg/kg vs. 60 Mg/kg for Treating Intestinal Schistosomiasis in the Philippines, Mauritania, Tanzania and Brazil." Ed. James S. Mccarthy. PLoS Neglected Tropical Diseases 5.6 (2011): E1165. Web.</v>
      </c>
      <c r="T122" s="697"/>
      <c r="U122" s="697" t="str">
        <f>IFERROR(__xludf.DUMMYFUNCTION("""COMPUTED_VALUE"""),"")</f>
        <v/>
      </c>
      <c r="V122" s="697">
        <f>IFERROR(__xludf.DUMMYFUNCTION("""COMPUTED_VALUE"""),122.0)</f>
        <v>122</v>
      </c>
    </row>
    <row r="123">
      <c r="A123" s="697" t="str">
        <f>IFERROR(__xludf.DUMMYFUNCTION("""COMPUTED_VALUE"""),"Olliaro PL, 2011")</f>
        <v>Olliaro PL, 2011</v>
      </c>
      <c r="B123" s="697" t="str">
        <f>IFERROR(__xludf.DUMMYFUNCTION("""COMPUTED_VALUE"""),"s. japonicum")</f>
        <v>s. japonicum</v>
      </c>
      <c r="C123" s="697" t="str">
        <f>IFERROR(__xludf.DUMMYFUNCTION("""COMPUTED_VALUE"""),"Philippines")</f>
        <v>Philippines</v>
      </c>
      <c r="D123" s="697" t="str">
        <f>IFERROR(__xludf.DUMMYFUNCTION("""COMPUTED_VALUE"""),"Praziquantel")</f>
        <v>Praziquantel</v>
      </c>
      <c r="E123" s="697" t="str">
        <f>IFERROR(__xludf.DUMMYFUNCTION("""COMPUTED_VALUE"""),"Single")</f>
        <v>Single</v>
      </c>
      <c r="F123" s="697" t="str">
        <f>IFERROR(__xludf.DUMMYFUNCTION("""COMPUTED_VALUE"""),"60 mg/kg")</f>
        <v>60 mg/kg</v>
      </c>
      <c r="G123" s="697">
        <f>IFERROR(__xludf.DUMMYFUNCTION("""COMPUTED_VALUE"""),99.0)</f>
        <v>99</v>
      </c>
      <c r="H123" s="697" t="str">
        <f>IFERROR(__xludf.DUMMYFUNCTION("""COMPUTED_VALUE"""),"10-19 years")</f>
        <v>10-19 years</v>
      </c>
      <c r="I123" s="705" t="str">
        <f>IFERROR(__xludf.DUMMYFUNCTION("""COMPUTED_VALUE"""),"53:46")</f>
        <v>53:46</v>
      </c>
      <c r="J123" s="697">
        <f>IFERROR(__xludf.DUMMYFUNCTION("""COMPUTED_VALUE"""),2011.0)</f>
        <v>2011</v>
      </c>
      <c r="K123" s="697" t="str">
        <f>IFERROR(__xludf.DUMMYFUNCTION("""COMPUTED_VALUE"""),"10-19 Males Confirmed Schistosomia infection with (greater/equal to) 100 egg per grams of feces")</f>
        <v>10-19 Males Confirmed Schistosomia infection with (greater/equal to) 100 egg per grams of feces</v>
      </c>
      <c r="L123" s="697" t="str">
        <f>IFERROR(__xludf.DUMMYFUNCTION("""COMPUTED_VALUE"""),"Yes")</f>
        <v>Yes</v>
      </c>
      <c r="M123" s="697" t="str">
        <f>IFERROR(__xludf.DUMMYFUNCTION("""COMPUTED_VALUE"""),"Yes")</f>
        <v>Yes</v>
      </c>
      <c r="N123" s="697" t="str">
        <f>IFERROR(__xludf.DUMMYFUNCTION("""COMPUTED_VALUE"""),"Primary endpoint: cure rates on day 21 with negative stool of Schistosomia eggs. Secondary endpoint: follow-up 6 and 12 months ""partial cure"" egg reduction rates")</f>
        <v>Primary endpoint: cure rates on day 21 with negative stool of Schistosomia eggs. Secondary endpoint: follow-up 6 and 12 months "partial cure" egg reduction rates</v>
      </c>
      <c r="O123" s="872">
        <f>IFERROR(__xludf.DUMMYFUNCTION("""COMPUTED_VALUE"""),0.97)</f>
        <v>0.97</v>
      </c>
      <c r="P123" s="698">
        <f>IFERROR(__xludf.DUMMYFUNCTION("""COMPUTED_VALUE"""),0.908)</f>
        <v>0.908</v>
      </c>
      <c r="Q123" s="697" t="str">
        <f>IFERROR(__xludf.DUMMYFUNCTION("""COMPUTED_VALUE"""),"Higher dose of praziquantel has no significant efficacy advantage over lower dosage for treating Schistosomia.")</f>
        <v>Higher dose of praziquantel has no significant efficacy advantage over lower dosage for treating Schistosomia.</v>
      </c>
      <c r="R123" s="697"/>
      <c r="S123" s="699" t="str">
        <f>IFERROR(__xludf.DUMMYFUNCTION("""COMPUTED_VALUE"""),"Olliaro, Piero L., Michel T. Vaillant, Vincente J. Belizario, Nicholas J. S. Lwambo, Mohamed Ouldabdallahi, Otavio S. Pieri, Maria L. Amarillo, Godfrey M. Kaatano, Mamadou Diaw, Analucia C. Domingues, Tereza C. Favre, Olivier Lapujade, Fabiana Alves, and "&amp;"Lester Chitsulo. ""A Multicentre Randomized Controlled Trial of the Efficacy and Safety of Single-Dose Praziquantel at 40 Mg/kg vs. 60 Mg/kg for Treating Intestinal Schistosomiasis in the Philippines, Mauritania, Tanzania and Brazil."" Ed. James S. Mccart"&amp;"hy. PLoS Neglected Tropical Diseases 5.6 (2011): E1165. Web.")</f>
        <v>Olliaro, Piero L., Michel T. Vaillant, Vincente J. Belizario, Nicholas J. S. Lwambo, Mohamed Ouldabdallahi, Otavio S. Pieri, Maria L. Amarillo, Godfrey M. Kaatano, Mamadou Diaw, Analucia C. Domingues, Tereza C. Favre, Olivier Lapujade, Fabiana Alves, and Lester Chitsulo. "A Multicentre Randomized Controlled Trial of the Efficacy and Safety of Single-Dose Praziquantel at 40 Mg/kg vs. 60 Mg/kg for Treating Intestinal Schistosomiasis in the Philippines, Mauritania, Tanzania and Brazil." Ed. James S. Mccarthy. PLoS Neglected Tropical Diseases 5.6 (2011): E1165. Web.</v>
      </c>
      <c r="T123" s="697"/>
      <c r="U123" s="697" t="str">
        <f>IFERROR(__xludf.DUMMYFUNCTION("""COMPUTED_VALUE"""),"")</f>
        <v/>
      </c>
      <c r="V123" s="697">
        <f>IFERROR(__xludf.DUMMYFUNCTION("""COMPUTED_VALUE"""),123.0)</f>
        <v>123</v>
      </c>
    </row>
    <row r="124">
      <c r="A124" s="697" t="str">
        <f>IFERROR(__xludf.DUMMYFUNCTION("""COMPUTED_VALUE"""),"Olliaro PL, 2011")</f>
        <v>Olliaro PL, 2011</v>
      </c>
      <c r="B124" s="697" t="str">
        <f>IFERROR(__xludf.DUMMYFUNCTION("""COMPUTED_VALUE"""),"s. mansoni")</f>
        <v>s. mansoni</v>
      </c>
      <c r="C124" s="697" t="str">
        <f>IFERROR(__xludf.DUMMYFUNCTION("""COMPUTED_VALUE"""),"Mauritania")</f>
        <v>Mauritania</v>
      </c>
      <c r="D124" s="697" t="str">
        <f>IFERROR(__xludf.DUMMYFUNCTION("""COMPUTED_VALUE"""),"Praziquantel")</f>
        <v>Praziquantel</v>
      </c>
      <c r="E124" s="697" t="str">
        <f>IFERROR(__xludf.DUMMYFUNCTION("""COMPUTED_VALUE"""),"Single")</f>
        <v>Single</v>
      </c>
      <c r="F124" s="697" t="str">
        <f>IFERROR(__xludf.DUMMYFUNCTION("""COMPUTED_VALUE"""),"40 mg/kg ")</f>
        <v>40 mg/kg </v>
      </c>
      <c r="G124" s="697">
        <f>IFERROR(__xludf.DUMMYFUNCTION("""COMPUTED_VALUE"""),92.0)</f>
        <v>92</v>
      </c>
      <c r="H124" s="697" t="str">
        <f>IFERROR(__xludf.DUMMYFUNCTION("""COMPUTED_VALUE"""),"10-19 years")</f>
        <v>10-19 years</v>
      </c>
      <c r="I124" s="705" t="str">
        <f>IFERROR(__xludf.DUMMYFUNCTION("""COMPUTED_VALUE"""),"40:52")</f>
        <v>40:52</v>
      </c>
      <c r="J124" s="697">
        <f>IFERROR(__xludf.DUMMYFUNCTION("""COMPUTED_VALUE"""),2011.0)</f>
        <v>2011</v>
      </c>
      <c r="K124" s="697" t="str">
        <f>IFERROR(__xludf.DUMMYFUNCTION("""COMPUTED_VALUE"""),"Confirmed Schistosomia infection with (greater/equal to) 100 egg per grams of feces")</f>
        <v>Confirmed Schistosomia infection with (greater/equal to) 100 egg per grams of feces</v>
      </c>
      <c r="L124" s="697" t="str">
        <f>IFERROR(__xludf.DUMMYFUNCTION("""COMPUTED_VALUE"""),"Yes")</f>
        <v>Yes</v>
      </c>
      <c r="M124" s="697" t="str">
        <f>IFERROR(__xludf.DUMMYFUNCTION("""COMPUTED_VALUE"""),"Yes")</f>
        <v>Yes</v>
      </c>
      <c r="N124" s="697" t="str">
        <f>IFERROR(__xludf.DUMMYFUNCTION("""COMPUTED_VALUE"""),"Primary endpoint: cure rates on day 21 with negative stool of Schistosomia eggs. Secondary endpoint: follow-up 6 and 12 months ""partial cure"" egg reduction rates")</f>
        <v>Primary endpoint: cure rates on day 21 with negative stool of Schistosomia eggs. Secondary endpoint: follow-up 6 and 12 months "partial cure" egg reduction rates</v>
      </c>
      <c r="O124" s="872">
        <f>IFERROR(__xludf.DUMMYFUNCTION("""COMPUTED_VALUE"""),0.91)</f>
        <v>0.91</v>
      </c>
      <c r="P124" s="698">
        <f>IFERROR(__xludf.DUMMYFUNCTION("""COMPUTED_VALUE"""),0.892)</f>
        <v>0.892</v>
      </c>
      <c r="Q124" s="697" t="str">
        <f>IFERROR(__xludf.DUMMYFUNCTION("""COMPUTED_VALUE"""),"Higher dose of praziquantel has no significant efficacy advantage over lower dosage for treating Schistosomia.")</f>
        <v>Higher dose of praziquantel has no significant efficacy advantage over lower dosage for treating Schistosomia.</v>
      </c>
      <c r="R124" s="697" t="str">
        <f>IFERROR(__xludf.DUMMYFUNCTION("""COMPUTED_VALUE"""),"Chose cure rate at 21 days because praziquantel is not active on immature schistosome of less than 24 days. Day 21 immature S. mansoni worms will not yet matured into patient egg-producing infection")</f>
        <v>Chose cure rate at 21 days because praziquantel is not active on immature schistosome of less than 24 days. Day 21 immature S. mansoni worms will not yet matured into patient egg-producing infection</v>
      </c>
      <c r="S124" s="699" t="str">
        <f>IFERROR(__xludf.DUMMYFUNCTION("""COMPUTED_VALUE"""),"Olliaro, Piero L., Michel T. Vaillant, Vincente J. Belizario, Nicholas J. S. Lwambo, Mohamed Ouldabdallahi, Otavio S. Pieri, Maria L. Amarillo, Godfrey M. Kaatano, Mamadou Diaw, Analucia C. Domingues, Tereza C. Favre, Olivier Lapujade, Fabiana Alves, and "&amp;"Lester Chitsulo. ""A Multicentre Randomized Controlled Trial of the Efficacy and Safety of Single-Dose Praziquantel at 40 Mg/kg vs. 60 Mg/kg for Treating Intestinal Schistosomiasis in the Philippines, Mauritania, Tanzania and Brazil."" Ed. James S. Mccart"&amp;"hy. PLoS Neglected Tropical Diseases 5.6 (2011): E1165. Web.")</f>
        <v>Olliaro, Piero L., Michel T. Vaillant, Vincente J. Belizario, Nicholas J. S. Lwambo, Mohamed Ouldabdallahi, Otavio S. Pieri, Maria L. Amarillo, Godfrey M. Kaatano, Mamadou Diaw, Analucia C. Domingues, Tereza C. Favre, Olivier Lapujade, Fabiana Alves, and Lester Chitsulo. "A Multicentre Randomized Controlled Trial of the Efficacy and Safety of Single-Dose Praziquantel at 40 Mg/kg vs. 60 Mg/kg for Treating Intestinal Schistosomiasis in the Philippines, Mauritania, Tanzania and Brazil." Ed. James S. Mccarthy. PLoS Neglected Tropical Diseases 5.6 (2011): E1165. Web.</v>
      </c>
      <c r="T124" s="697"/>
      <c r="U124" s="697" t="str">
        <f>IFERROR(__xludf.DUMMYFUNCTION("""COMPUTED_VALUE"""),"")</f>
        <v/>
      </c>
      <c r="V124" s="697">
        <f>IFERROR(__xludf.DUMMYFUNCTION("""COMPUTED_VALUE"""),124.0)</f>
        <v>124</v>
      </c>
    </row>
    <row r="125">
      <c r="A125" s="697" t="str">
        <f>IFERROR(__xludf.DUMMYFUNCTION("""COMPUTED_VALUE"""),"Olliaro PL, 2011")</f>
        <v>Olliaro PL, 2011</v>
      </c>
      <c r="B125" s="697" t="str">
        <f>IFERROR(__xludf.DUMMYFUNCTION("""COMPUTED_VALUE"""),"s. mansoni")</f>
        <v>s. mansoni</v>
      </c>
      <c r="C125" s="697" t="str">
        <f>IFERROR(__xludf.DUMMYFUNCTION("""COMPUTED_VALUE"""),"Mauritania")</f>
        <v>Mauritania</v>
      </c>
      <c r="D125" s="697" t="str">
        <f>IFERROR(__xludf.DUMMYFUNCTION("""COMPUTED_VALUE"""),"Praziquantel")</f>
        <v>Praziquantel</v>
      </c>
      <c r="E125" s="697" t="str">
        <f>IFERROR(__xludf.DUMMYFUNCTION("""COMPUTED_VALUE"""),"Single")</f>
        <v>Single</v>
      </c>
      <c r="F125" s="697" t="str">
        <f>IFERROR(__xludf.DUMMYFUNCTION("""COMPUTED_VALUE"""),"60 mg/kg")</f>
        <v>60 mg/kg</v>
      </c>
      <c r="G125" s="697">
        <f>IFERROR(__xludf.DUMMYFUNCTION("""COMPUTED_VALUE"""),93.0)</f>
        <v>93</v>
      </c>
      <c r="H125" s="697" t="str">
        <f>IFERROR(__xludf.DUMMYFUNCTION("""COMPUTED_VALUE"""),"10-19 years")</f>
        <v>10-19 years</v>
      </c>
      <c r="I125" s="705" t="str">
        <f>IFERROR(__xludf.DUMMYFUNCTION("""COMPUTED_VALUE"""),"45:48")</f>
        <v>45:48</v>
      </c>
      <c r="J125" s="697">
        <f>IFERROR(__xludf.DUMMYFUNCTION("""COMPUTED_VALUE"""),2011.0)</f>
        <v>2011</v>
      </c>
      <c r="K125" s="697" t="str">
        <f>IFERROR(__xludf.DUMMYFUNCTION("""COMPUTED_VALUE"""),"Confirmed Schistosomia infection with (greater/equal to) 100 egg per grams of feces")</f>
        <v>Confirmed Schistosomia infection with (greater/equal to) 100 egg per grams of feces</v>
      </c>
      <c r="L125" s="697" t="str">
        <f>IFERROR(__xludf.DUMMYFUNCTION("""COMPUTED_VALUE"""),"Yes")</f>
        <v>Yes</v>
      </c>
      <c r="M125" s="697" t="str">
        <f>IFERROR(__xludf.DUMMYFUNCTION("""COMPUTED_VALUE"""),"Yes")</f>
        <v>Yes</v>
      </c>
      <c r="N125" s="697" t="str">
        <f>IFERROR(__xludf.DUMMYFUNCTION("""COMPUTED_VALUE"""),"Primary endpoint: cure rates on day 21 with negative stool of Schistosomia eggs. Secondary endpoint: follow-up 6 and 12 months ""partial cure"" egg reduction rates")</f>
        <v>Primary endpoint: cure rates on day 21 with negative stool of Schistosomia eggs. Secondary endpoint: follow-up 6 and 12 months "partial cure" egg reduction rates</v>
      </c>
      <c r="O125" s="872">
        <f>IFERROR(__xludf.DUMMYFUNCTION("""COMPUTED_VALUE"""),0.92)</f>
        <v>0.92</v>
      </c>
      <c r="P125" s="698">
        <f>IFERROR(__xludf.DUMMYFUNCTION("""COMPUTED_VALUE"""),0.896)</f>
        <v>0.896</v>
      </c>
      <c r="Q125" s="697" t="str">
        <f>IFERROR(__xludf.DUMMYFUNCTION("""COMPUTED_VALUE"""),"Higher dose of praziquantel has no significant efficacy advantage over lower dosage for treating Schistosomia.")</f>
        <v>Higher dose of praziquantel has no significant efficacy advantage over lower dosage for treating Schistosomia.</v>
      </c>
      <c r="R125" s="697" t="str">
        <f>IFERROR(__xludf.DUMMYFUNCTION("""COMPUTED_VALUE"""),"Chose cure rate at 21 days because praziquantel is not active on immature schistosome of less than 24 days. Day 21 immature S. mansoni worms will not yet matured into patient egg-producing infection")</f>
        <v>Chose cure rate at 21 days because praziquantel is not active on immature schistosome of less than 24 days. Day 21 immature S. mansoni worms will not yet matured into patient egg-producing infection</v>
      </c>
      <c r="S125" s="699" t="str">
        <f>IFERROR(__xludf.DUMMYFUNCTION("""COMPUTED_VALUE"""),"Olliaro, Piero L., Michel T. Vaillant, Vincente J. Belizario, Nicholas J. S. Lwambo, Mohamed Ouldabdallahi, Otavio S. Pieri, Maria L. Amarillo, Godfrey M. Kaatano, Mamadou Diaw, Analucia C. Domingues, Tereza C. Favre, Olivier Lapujade, Fabiana Alves, and "&amp;"Lester Chitsulo. ""A Multicentre Randomized Controlled Trial of the Efficacy and Safety of Single-Dose Praziquantel at 40 Mg/kg vs. 60 Mg/kg for Treating Intestinal Schistosomiasis in the Philippines, Mauritania, Tanzania and Brazil."" Ed. James S. Mccart"&amp;"hy. PLoS Neglected Tropical Diseases 5.6 (2011): E1165. Web.")</f>
        <v>Olliaro, Piero L., Michel T. Vaillant, Vincente J. Belizario, Nicholas J. S. Lwambo, Mohamed Ouldabdallahi, Otavio S. Pieri, Maria L. Amarillo, Godfrey M. Kaatano, Mamadou Diaw, Analucia C. Domingues, Tereza C. Favre, Olivier Lapujade, Fabiana Alves, and Lester Chitsulo. "A Multicentre Randomized Controlled Trial of the Efficacy and Safety of Single-Dose Praziquantel at 40 Mg/kg vs. 60 Mg/kg for Treating Intestinal Schistosomiasis in the Philippines, Mauritania, Tanzania and Brazil." Ed. James S. Mccarthy. PLoS Neglected Tropical Diseases 5.6 (2011): E1165. Web.</v>
      </c>
      <c r="T125" s="697"/>
      <c r="U125" s="697" t="str">
        <f>IFERROR(__xludf.DUMMYFUNCTION("""COMPUTED_VALUE"""),"")</f>
        <v/>
      </c>
      <c r="V125" s="697">
        <f>IFERROR(__xludf.DUMMYFUNCTION("""COMPUTED_VALUE"""),125.0)</f>
        <v>125</v>
      </c>
    </row>
    <row r="126">
      <c r="A126" s="697" t="str">
        <f>IFERROR(__xludf.DUMMYFUNCTION("""COMPUTED_VALUE"""),"Olliaro PL, 2011")</f>
        <v>Olliaro PL, 2011</v>
      </c>
      <c r="B126" s="697" t="str">
        <f>IFERROR(__xludf.DUMMYFUNCTION("""COMPUTED_VALUE"""),"s. mansoni")</f>
        <v>s. mansoni</v>
      </c>
      <c r="C126" s="697" t="str">
        <f>IFERROR(__xludf.DUMMYFUNCTION("""COMPUTED_VALUE"""),"Tanzania")</f>
        <v>Tanzania</v>
      </c>
      <c r="D126" s="697" t="str">
        <f>IFERROR(__xludf.DUMMYFUNCTION("""COMPUTED_VALUE"""),"Praziquantel")</f>
        <v>Praziquantel</v>
      </c>
      <c r="E126" s="697" t="str">
        <f>IFERROR(__xludf.DUMMYFUNCTION("""COMPUTED_VALUE"""),"Single")</f>
        <v>Single</v>
      </c>
      <c r="F126" s="697" t="str">
        <f>IFERROR(__xludf.DUMMYFUNCTION("""COMPUTED_VALUE"""),"40 mg/kg ")</f>
        <v>40 mg/kg </v>
      </c>
      <c r="G126" s="697">
        <f>IFERROR(__xludf.DUMMYFUNCTION("""COMPUTED_VALUE"""),119.0)</f>
        <v>119</v>
      </c>
      <c r="H126" s="697" t="str">
        <f>IFERROR(__xludf.DUMMYFUNCTION("""COMPUTED_VALUE"""),"10-19 years")</f>
        <v>10-19 years</v>
      </c>
      <c r="I126" s="705" t="str">
        <f>IFERROR(__xludf.DUMMYFUNCTION("""COMPUTED_VALUE"""),"50:69")</f>
        <v>50:69</v>
      </c>
      <c r="J126" s="697">
        <f>IFERROR(__xludf.DUMMYFUNCTION("""COMPUTED_VALUE"""),2011.0)</f>
        <v>2011</v>
      </c>
      <c r="K126" s="697" t="str">
        <f>IFERROR(__xludf.DUMMYFUNCTION("""COMPUTED_VALUE"""),"Confirmed Schistosomia infection with (greater/equal to) 100 egg per grams of feces")</f>
        <v>Confirmed Schistosomia infection with (greater/equal to) 100 egg per grams of feces</v>
      </c>
      <c r="L126" s="697" t="str">
        <f>IFERROR(__xludf.DUMMYFUNCTION("""COMPUTED_VALUE"""),"Yes")</f>
        <v>Yes</v>
      </c>
      <c r="M126" s="697" t="str">
        <f>IFERROR(__xludf.DUMMYFUNCTION("""COMPUTED_VALUE"""),"Yes")</f>
        <v>Yes</v>
      </c>
      <c r="N126" s="697" t="str">
        <f>IFERROR(__xludf.DUMMYFUNCTION("""COMPUTED_VALUE"""),"Primary endpoint: cure rates on day 21 with negative stool of Schistosomia eggs. Secondary endpoint: follow-up 6 and 12 months ""partial cure"" egg reduction rates")</f>
        <v>Primary endpoint: cure rates on day 21 with negative stool of Schistosomia eggs. Secondary endpoint: follow-up 6 and 12 months "partial cure" egg reduction rates</v>
      </c>
      <c r="O126" s="873">
        <f>IFERROR(__xludf.DUMMYFUNCTION("""COMPUTED_VALUE"""),0.886)</f>
        <v>0.886</v>
      </c>
      <c r="P126" s="698">
        <f>IFERROR(__xludf.DUMMYFUNCTION("""COMPUTED_VALUE"""),0.919)</f>
        <v>0.919</v>
      </c>
      <c r="Q126" s="697" t="str">
        <f>IFERROR(__xludf.DUMMYFUNCTION("""COMPUTED_VALUE"""),"Higher dose of praziquantel has no significant efficacy advantage over lower dosage for treating Schistosomia.")</f>
        <v>Higher dose of praziquantel has no significant efficacy advantage over lower dosage for treating Schistosomia.</v>
      </c>
      <c r="R126" s="697"/>
      <c r="S126" s="699" t="str">
        <f>IFERROR(__xludf.DUMMYFUNCTION("""COMPUTED_VALUE"""),"Olliaro, Piero L., Michel T. Vaillant, Vincente J. Belizario, Nicholas J. S. Lwambo, Mohamed Ouldabdallahi, Otavio S. Pieri, Maria L. Amarillo, Godfrey M. Kaatano, Mamadou Diaw, Analucia C. Domingues, Tereza C. Favre, Olivier Lapujade, Fabiana Alves, and "&amp;"Lester Chitsulo. ""A Multicentre Randomized Controlled Trial of the Efficacy and Safety of Single-Dose Praziquantel at 40 Mg/kg vs. 60 Mg/kg for Treating Intestinal Schistosomiasis in the Philippines, Mauritania, Tanzania and Brazil."" Ed. James S. Mccart"&amp;"hy. PLoS Neglected Tropical Diseases 5.6 (2011): E1165. Web.")</f>
        <v>Olliaro, Piero L., Michel T. Vaillant, Vincente J. Belizario, Nicholas J. S. Lwambo, Mohamed Ouldabdallahi, Otavio S. Pieri, Maria L. Amarillo, Godfrey M. Kaatano, Mamadou Diaw, Analucia C. Domingues, Tereza C. Favre, Olivier Lapujade, Fabiana Alves, and Lester Chitsulo. "A Multicentre Randomized Controlled Trial of the Efficacy and Safety of Single-Dose Praziquantel at 40 Mg/kg vs. 60 Mg/kg for Treating Intestinal Schistosomiasis in the Philippines, Mauritania, Tanzania and Brazil." Ed. James S. Mccarthy. PLoS Neglected Tropical Diseases 5.6 (2011): E1165. Web.</v>
      </c>
      <c r="T126" s="697"/>
      <c r="U126" s="697" t="str">
        <f>IFERROR(__xludf.DUMMYFUNCTION("""COMPUTED_VALUE"""),"")</f>
        <v/>
      </c>
      <c r="V126" s="697">
        <f>IFERROR(__xludf.DUMMYFUNCTION("""COMPUTED_VALUE"""),126.0)</f>
        <v>126</v>
      </c>
    </row>
    <row r="127">
      <c r="A127" s="697" t="str">
        <f>IFERROR(__xludf.DUMMYFUNCTION("""COMPUTED_VALUE"""),"Olliaro PL, 2011")</f>
        <v>Olliaro PL, 2011</v>
      </c>
      <c r="B127" s="697" t="str">
        <f>IFERROR(__xludf.DUMMYFUNCTION("""COMPUTED_VALUE"""),"s. mansoni")</f>
        <v>s. mansoni</v>
      </c>
      <c r="C127" s="697" t="str">
        <f>IFERROR(__xludf.DUMMYFUNCTION("""COMPUTED_VALUE"""),"Tanzania")</f>
        <v>Tanzania</v>
      </c>
      <c r="D127" s="697" t="str">
        <f>IFERROR(__xludf.DUMMYFUNCTION("""COMPUTED_VALUE"""),"Praziquantel")</f>
        <v>Praziquantel</v>
      </c>
      <c r="E127" s="697" t="str">
        <f>IFERROR(__xludf.DUMMYFUNCTION("""COMPUTED_VALUE"""),"Single")</f>
        <v>Single</v>
      </c>
      <c r="F127" s="697" t="str">
        <f>IFERROR(__xludf.DUMMYFUNCTION("""COMPUTED_VALUE"""),"60 mg/kg")</f>
        <v>60 mg/kg</v>
      </c>
      <c r="G127" s="697">
        <f>IFERROR(__xludf.DUMMYFUNCTION("""COMPUTED_VALUE"""),125.0)</f>
        <v>125</v>
      </c>
      <c r="H127" s="697" t="str">
        <f>IFERROR(__xludf.DUMMYFUNCTION("""COMPUTED_VALUE"""),"10-19 years")</f>
        <v>10-19 years</v>
      </c>
      <c r="I127" s="705" t="str">
        <f>IFERROR(__xludf.DUMMYFUNCTION("""COMPUTED_VALUE"""),"67:68")</f>
        <v>67:68</v>
      </c>
      <c r="J127" s="697">
        <f>IFERROR(__xludf.DUMMYFUNCTION("""COMPUTED_VALUE"""),2011.0)</f>
        <v>2011</v>
      </c>
      <c r="K127" s="697" t="str">
        <f>IFERROR(__xludf.DUMMYFUNCTION("""COMPUTED_VALUE"""),"Confirmed Schistosomia infection with (greater/equal to) 100 egg per grams of feces")</f>
        <v>Confirmed Schistosomia infection with (greater/equal to) 100 egg per grams of feces</v>
      </c>
      <c r="L127" s="697" t="str">
        <f>IFERROR(__xludf.DUMMYFUNCTION("""COMPUTED_VALUE"""),"Yes")</f>
        <v>Yes</v>
      </c>
      <c r="M127" s="697" t="str">
        <f>IFERROR(__xludf.DUMMYFUNCTION("""COMPUTED_VALUE"""),"Yes")</f>
        <v>Yes</v>
      </c>
      <c r="N127" s="697" t="str">
        <f>IFERROR(__xludf.DUMMYFUNCTION("""COMPUTED_VALUE"""),"Primary endpoint: cure rates on day 21 with negative stool of Schistosomia eggs. Secondary endpoint: follow-up 6 and 12 months ""partial cure"" egg reduction rates")</f>
        <v>Primary endpoint: cure rates on day 21 with negative stool of Schistosomia eggs. Secondary endpoint: follow-up 6 and 12 months "partial cure" egg reduction rates</v>
      </c>
      <c r="O127" s="872">
        <f>IFERROR(__xludf.DUMMYFUNCTION("""COMPUTED_VALUE"""),0.88)</f>
        <v>0.88</v>
      </c>
      <c r="P127" s="698">
        <f>IFERROR(__xludf.DUMMYFUNCTION("""COMPUTED_VALUE"""),0.923)</f>
        <v>0.923</v>
      </c>
      <c r="Q127" s="697" t="str">
        <f>IFERROR(__xludf.DUMMYFUNCTION("""COMPUTED_VALUE"""),"Higher dose of praziquantel has no significant efficacy advantage over lower dosage for treating Schistosomia.")</f>
        <v>Higher dose of praziquantel has no significant efficacy advantage over lower dosage for treating Schistosomia.</v>
      </c>
      <c r="R127" s="697"/>
      <c r="S127" s="699" t="str">
        <f>IFERROR(__xludf.DUMMYFUNCTION("""COMPUTED_VALUE"""),"Olliaro, Piero L., Michel T. Vaillant, Vincente J. Belizario, Nicholas J. S. Lwambo, Mohamed Ouldabdallahi, Otavio S. Pieri, Maria L. Amarillo, Godfrey M. Kaatano, Mamadou Diaw, Analucia C. Domingues, Tereza C. Favre, Olivier Lapujade, Fabiana Alves, and "&amp;"Lester Chitsulo. ""A Multicentre Randomized Controlled Trial of the Efficacy and Safety of Single-Dose Praziquantel at 40 Mg/kg vs. 60 Mg/kg for Treating Intestinal Schistosomiasis in the Philippines, Mauritania, Tanzania and Brazil."" Ed. James S. Mccart"&amp;"hy. PLoS Neglected Tropical Diseases 5.6 (2011): E1165. Web.")</f>
        <v>Olliaro, Piero L., Michel T. Vaillant, Vincente J. Belizario, Nicholas J. S. Lwambo, Mohamed Ouldabdallahi, Otavio S. Pieri, Maria L. Amarillo, Godfrey M. Kaatano, Mamadou Diaw, Analucia C. Domingues, Tereza C. Favre, Olivier Lapujade, Fabiana Alves, and Lester Chitsulo. "A Multicentre Randomized Controlled Trial of the Efficacy and Safety of Single-Dose Praziquantel at 40 Mg/kg vs. 60 Mg/kg for Treating Intestinal Schistosomiasis in the Philippines, Mauritania, Tanzania and Brazil." Ed. James S. Mccarthy. PLoS Neglected Tropical Diseases 5.6 (2011): E1165. Web.</v>
      </c>
      <c r="T127" s="697"/>
      <c r="U127" s="697" t="str">
        <f>IFERROR(__xludf.DUMMYFUNCTION("""COMPUTED_VALUE"""),"")</f>
        <v/>
      </c>
      <c r="V127" s="697">
        <f>IFERROR(__xludf.DUMMYFUNCTION("""COMPUTED_VALUE"""),127.0)</f>
        <v>127</v>
      </c>
    </row>
    <row r="128">
      <c r="A128" s="697" t="str">
        <f>IFERROR(__xludf.DUMMYFUNCTION("""COMPUTED_VALUE"""),"Omer AH, 1978")</f>
        <v>Omer AH, 1978</v>
      </c>
      <c r="B128" s="697" t="str">
        <f>IFERROR(__xludf.DUMMYFUNCTION("""COMPUTED_VALUE"""),"s. mansoni")</f>
        <v>s. mansoni</v>
      </c>
      <c r="C128" s="697" t="str">
        <f>IFERROR(__xludf.DUMMYFUNCTION("""COMPUTED_VALUE"""),"Sudan")</f>
        <v>Sudan</v>
      </c>
      <c r="D128" s="697" t="str">
        <f>IFERROR(__xludf.DUMMYFUNCTION("""COMPUTED_VALUE"""),"Oxamniquine")</f>
        <v>Oxamniquine</v>
      </c>
      <c r="E128" s="697" t="str">
        <f>IFERROR(__xludf.DUMMYFUNCTION("""COMPUTED_VALUE"""),"Single")</f>
        <v>Single</v>
      </c>
      <c r="F128" s="697" t="str">
        <f>IFERROR(__xludf.DUMMYFUNCTION("""COMPUTED_VALUE"""),"60 mg/kg")</f>
        <v>60 mg/kg</v>
      </c>
      <c r="G128" s="697">
        <f>IFERROR(__xludf.DUMMYFUNCTION("""COMPUTED_VALUE"""),176.0)</f>
        <v>176</v>
      </c>
      <c r="H128" s="697" t="str">
        <f>IFERROR(__xludf.DUMMYFUNCTION("""COMPUTED_VALUE"""),"7 - 55")</f>
        <v>7 - 55</v>
      </c>
      <c r="I128" s="705" t="str">
        <f>IFERROR(__xludf.DUMMYFUNCTION("""COMPUTED_VALUE"""),"134:42")</f>
        <v>134:42</v>
      </c>
      <c r="J128" s="697">
        <f>IFERROR(__xludf.DUMMYFUNCTION("""COMPUTED_VALUE"""),1978.0)</f>
        <v>1978</v>
      </c>
      <c r="K128" s="697" t="str">
        <f>IFERROR(__xludf.DUMMYFUNCTION("""COMPUTED_VALUE"""),"individuals who were positive for S. mansoni and excreting &gt; 250 EPG")</f>
        <v>individuals who were positive for S. mansoni and excreting &gt; 250 EPG</v>
      </c>
      <c r="L128" s="697" t="str">
        <f>IFERROR(__xludf.DUMMYFUNCTION("""COMPUTED_VALUE"""),"No")</f>
        <v>No</v>
      </c>
      <c r="M128" s="697" t="str">
        <f>IFERROR(__xludf.DUMMYFUNCTION("""COMPUTED_VALUE"""),"No")</f>
        <v>No</v>
      </c>
      <c r="N128" s="697" t="str">
        <f>IFERROR(__xludf.DUMMYFUNCTION("""COMPUTED_VALUE"""),"Cure rates, determined by the absence of viable eggs in the stools six months after treatment")</f>
        <v>Cure rates, determined by the absence of viable eggs in the stools six months after treatment</v>
      </c>
      <c r="O128" s="873">
        <f>IFERROR(__xludf.DUMMYFUNCTION("""COMPUTED_VALUE"""),0.949)</f>
        <v>0.949</v>
      </c>
      <c r="P128" s="700">
        <f>IFERROR(__xludf.DUMMYFUNCTION("""COMPUTED_VALUE"""),0.93)</f>
        <v>0.93</v>
      </c>
      <c r="Q128" s="697" t="str">
        <f>IFERROR(__xludf.DUMMYFUNCTION("""COMPUTED_VALUE"""),"These findings suggest that control programmes in developing countries can use lower doses, and so reduce costs, to effectively reduce transmission of S mansoni infection, despite the lower cure rate.")</f>
        <v>These findings suggest that control programmes in developing countries can use lower doses, and so reduce costs, to effectively reduce transmission of S mansoni infection, despite the lower cure rate.</v>
      </c>
      <c r="R128" s="697" t="str">
        <f>IFERROR(__xludf.DUMMYFUNCTION("""COMPUTED_VALUE"""),"Oxamniquine for treating Schistosoma mansoni infection in Sudan")</f>
        <v>Oxamniquine for treating Schistosoma mansoni infection in Sudan</v>
      </c>
      <c r="S128" s="699" t="str">
        <f>IFERROR(__xludf.DUMMYFUNCTION("""COMPUTED_VALUE"""),"Omer AH. Oxamniquine for treating Schistosoma mansoni infection in Sudan. British Medical Journal 1978;2(6131): 163–5.")</f>
        <v>Omer AH. Oxamniquine for treating Schistosoma mansoni infection in Sudan. British Medical Journal 1978;2(6131): 163–5.</v>
      </c>
      <c r="T128" s="697"/>
      <c r="U128" s="697" t="str">
        <f>IFERROR(__xludf.DUMMYFUNCTION("""COMPUTED_VALUE"""),"x")</f>
        <v>x</v>
      </c>
      <c r="V128" s="697">
        <f>IFERROR(__xludf.DUMMYFUNCTION("""COMPUTED_VALUE"""),128.0)</f>
        <v>128</v>
      </c>
    </row>
    <row r="129">
      <c r="A129" s="697" t="str">
        <f>IFERROR(__xludf.DUMMYFUNCTION("""COMPUTED_VALUE"""),"Omer AH, 1978")</f>
        <v>Omer AH, 1978</v>
      </c>
      <c r="B129" s="697" t="str">
        <f>IFERROR(__xludf.DUMMYFUNCTION("""COMPUTED_VALUE"""),"s. mansoni")</f>
        <v>s. mansoni</v>
      </c>
      <c r="C129" s="697" t="str">
        <f>IFERROR(__xludf.DUMMYFUNCTION("""COMPUTED_VALUE"""),"Sudan")</f>
        <v>Sudan</v>
      </c>
      <c r="D129" s="697" t="str">
        <f>IFERROR(__xludf.DUMMYFUNCTION("""COMPUTED_VALUE"""),"Oxamniquine")</f>
        <v>Oxamniquine</v>
      </c>
      <c r="E129" s="697" t="str">
        <f>IFERROR(__xludf.DUMMYFUNCTION("""COMPUTED_VALUE"""),"Single")</f>
        <v>Single</v>
      </c>
      <c r="F129" s="697" t="str">
        <f>IFERROR(__xludf.DUMMYFUNCTION("""COMPUTED_VALUE"""),"40 mg/kg")</f>
        <v>40 mg/kg</v>
      </c>
      <c r="G129" s="697">
        <f>IFERROR(__xludf.DUMMYFUNCTION("""COMPUTED_VALUE"""),176.0)</f>
        <v>176</v>
      </c>
      <c r="H129" s="697" t="str">
        <f>IFERROR(__xludf.DUMMYFUNCTION("""COMPUTED_VALUE"""),"7 - 55")</f>
        <v>7 - 55</v>
      </c>
      <c r="I129" s="705" t="str">
        <f>IFERROR(__xludf.DUMMYFUNCTION("""COMPUTED_VALUE"""),"134:42")</f>
        <v>134:42</v>
      </c>
      <c r="J129" s="697">
        <f>IFERROR(__xludf.DUMMYFUNCTION("""COMPUTED_VALUE"""),1978.0)</f>
        <v>1978</v>
      </c>
      <c r="K129" s="697" t="str">
        <f>IFERROR(__xludf.DUMMYFUNCTION("""COMPUTED_VALUE"""),"individuals who were positive for S. mansoni and excreting &gt; 250 EPG")</f>
        <v>individuals who were positive for S. mansoni and excreting &gt; 250 EPG</v>
      </c>
      <c r="L129" s="697" t="str">
        <f>IFERROR(__xludf.DUMMYFUNCTION("""COMPUTED_VALUE"""),"No")</f>
        <v>No</v>
      </c>
      <c r="M129" s="697" t="str">
        <f>IFERROR(__xludf.DUMMYFUNCTION("""COMPUTED_VALUE"""),"No")</f>
        <v>No</v>
      </c>
      <c r="N129" s="697" t="str">
        <f>IFERROR(__xludf.DUMMYFUNCTION("""COMPUTED_VALUE"""),"Cure rates, determined by the absence of viable eggs in the stools six months after treatment")</f>
        <v>Cure rates, determined by the absence of viable eggs in the stools six months after treatment</v>
      </c>
      <c r="O129" s="873">
        <f>IFERROR(__xludf.DUMMYFUNCTION("""COMPUTED_VALUE"""),0.788)</f>
        <v>0.788</v>
      </c>
      <c r="P129" s="700">
        <f>IFERROR(__xludf.DUMMYFUNCTION("""COMPUTED_VALUE"""),0.83)</f>
        <v>0.83</v>
      </c>
      <c r="Q129" s="697" t="str">
        <f>IFERROR(__xludf.DUMMYFUNCTION("""COMPUTED_VALUE"""),"These findings suggest that control programmes in developing countries can use lower doses, and so reduce costs, to effectively reduce transmission of S mansoni infection, despite the lower cure rate.")</f>
        <v>These findings suggest that control programmes in developing countries can use lower doses, and so reduce costs, to effectively reduce transmission of S mansoni infection, despite the lower cure rate.</v>
      </c>
      <c r="R129" s="697" t="str">
        <f>IFERROR(__xludf.DUMMYFUNCTION("""COMPUTED_VALUE"""),"Oxamniquine for treating Schistosoma mansoni infection in Sudan")</f>
        <v>Oxamniquine for treating Schistosoma mansoni infection in Sudan</v>
      </c>
      <c r="S129" s="699" t="str">
        <f>IFERROR(__xludf.DUMMYFUNCTION("""COMPUTED_VALUE"""),"Omer AH. Oxamniquine for treating Schistosoma mansoni infection in Sudan. British Medical Journal 1978;2(6131): 163–5.")</f>
        <v>Omer AH. Oxamniquine for treating Schistosoma mansoni infection in Sudan. British Medical Journal 1978;2(6131): 163–5.</v>
      </c>
      <c r="T129" s="697"/>
      <c r="U129" s="697" t="str">
        <f>IFERROR(__xludf.DUMMYFUNCTION("""COMPUTED_VALUE"""),"x")</f>
        <v>x</v>
      </c>
      <c r="V129" s="697">
        <f>IFERROR(__xludf.DUMMYFUNCTION("""COMPUTED_VALUE"""),129.0)</f>
        <v>129</v>
      </c>
    </row>
    <row r="130">
      <c r="A130" s="697" t="str">
        <f>IFERROR(__xludf.DUMMYFUNCTION("""COMPUTED_VALUE"""),"Omer AH, 1978")</f>
        <v>Omer AH, 1978</v>
      </c>
      <c r="B130" s="697" t="str">
        <f>IFERROR(__xludf.DUMMYFUNCTION("""COMPUTED_VALUE"""),"s. mansoni")</f>
        <v>s. mansoni</v>
      </c>
      <c r="C130" s="697" t="str">
        <f>IFERROR(__xludf.DUMMYFUNCTION("""COMPUTED_VALUE"""),"Sudan")</f>
        <v>Sudan</v>
      </c>
      <c r="D130" s="697" t="str">
        <f>IFERROR(__xludf.DUMMYFUNCTION("""COMPUTED_VALUE"""),"Oxamniquine")</f>
        <v>Oxamniquine</v>
      </c>
      <c r="E130" s="697" t="str">
        <f>IFERROR(__xludf.DUMMYFUNCTION("""COMPUTED_VALUE"""),"Single")</f>
        <v>Single</v>
      </c>
      <c r="F130" s="697" t="str">
        <f>IFERROR(__xludf.DUMMYFUNCTION("""COMPUTED_VALUE"""),"30 mg/kg")</f>
        <v>30 mg/kg</v>
      </c>
      <c r="G130" s="697">
        <f>IFERROR(__xludf.DUMMYFUNCTION("""COMPUTED_VALUE"""),176.0)</f>
        <v>176</v>
      </c>
      <c r="H130" s="697" t="str">
        <f>IFERROR(__xludf.DUMMYFUNCTION("""COMPUTED_VALUE"""),"7 - 55")</f>
        <v>7 - 55</v>
      </c>
      <c r="I130" s="705" t="str">
        <f>IFERROR(__xludf.DUMMYFUNCTION("""COMPUTED_VALUE"""),"134:42")</f>
        <v>134:42</v>
      </c>
      <c r="J130" s="697">
        <f>IFERROR(__xludf.DUMMYFUNCTION("""COMPUTED_VALUE"""),1978.0)</f>
        <v>1978</v>
      </c>
      <c r="K130" s="697" t="str">
        <f>IFERROR(__xludf.DUMMYFUNCTION("""COMPUTED_VALUE"""),"individuals who were positive for S. mansoni and excreting &gt; 250 EPG")</f>
        <v>individuals who were positive for S. mansoni and excreting &gt; 250 EPG</v>
      </c>
      <c r="L130" s="697" t="str">
        <f>IFERROR(__xludf.DUMMYFUNCTION("""COMPUTED_VALUE"""),"No")</f>
        <v>No</v>
      </c>
      <c r="M130" s="697" t="str">
        <f>IFERROR(__xludf.DUMMYFUNCTION("""COMPUTED_VALUE"""),"No")</f>
        <v>No</v>
      </c>
      <c r="N130" s="697" t="str">
        <f>IFERROR(__xludf.DUMMYFUNCTION("""COMPUTED_VALUE"""),"Cure rates, determined by the absence of viable eggs in the stools six months after treatment")</f>
        <v>Cure rates, determined by the absence of viable eggs in the stools six months after treatment</v>
      </c>
      <c r="O130" s="873">
        <f>IFERROR(__xludf.DUMMYFUNCTION("""COMPUTED_VALUE"""),0.689)</f>
        <v>0.689</v>
      </c>
      <c r="P130" s="700">
        <f>IFERROR(__xludf.DUMMYFUNCTION("""COMPUTED_VALUE"""),0.76)</f>
        <v>0.76</v>
      </c>
      <c r="Q130" s="697" t="str">
        <f>IFERROR(__xludf.DUMMYFUNCTION("""COMPUTED_VALUE"""),"These findings suggest that control programmes in developing countries can use lower doses, and so reduce costs, to effectively reduce transmission of S mansoni infection, despite the lower cure rate.")</f>
        <v>These findings suggest that control programmes in developing countries can use lower doses, and so reduce costs, to effectively reduce transmission of S mansoni infection, despite the lower cure rate.</v>
      </c>
      <c r="R130" s="697" t="str">
        <f>IFERROR(__xludf.DUMMYFUNCTION("""COMPUTED_VALUE"""),"Oxamniquine for treating Schistosoma mansoni infection in Sudan")</f>
        <v>Oxamniquine for treating Schistosoma mansoni infection in Sudan</v>
      </c>
      <c r="S130" s="699" t="str">
        <f>IFERROR(__xludf.DUMMYFUNCTION("""COMPUTED_VALUE"""),"Omer AH. Oxamniquine for treating Schistosoma mansoni infection in Sudan. British Medical Journal 1978;2(6131): 163–5.")</f>
        <v>Omer AH. Oxamniquine for treating Schistosoma mansoni infection in Sudan. British Medical Journal 1978;2(6131): 163–5.</v>
      </c>
      <c r="T130" s="697"/>
      <c r="U130" s="697" t="str">
        <f>IFERROR(__xludf.DUMMYFUNCTION("""COMPUTED_VALUE"""),"x")</f>
        <v>x</v>
      </c>
      <c r="V130" s="697">
        <f>IFERROR(__xludf.DUMMYFUNCTION("""COMPUTED_VALUE"""),130.0)</f>
        <v>130</v>
      </c>
    </row>
    <row r="131">
      <c r="A131" s="697" t="str">
        <f>IFERROR(__xludf.DUMMYFUNCTION("""COMPUTED_VALUE"""),"Ouldabdallahi MB, 2013")</f>
        <v>Ouldabdallahi MB, 2013</v>
      </c>
      <c r="B131" s="697" t="str">
        <f>IFERROR(__xludf.DUMMYFUNCTION("""COMPUTED_VALUE"""),"s. mansoni")</f>
        <v>s. mansoni</v>
      </c>
      <c r="C131" s="697" t="str">
        <f>IFERROR(__xludf.DUMMYFUNCTION("""COMPUTED_VALUE"""),"Mauritania")</f>
        <v>Mauritania</v>
      </c>
      <c r="D131" s="697" t="str">
        <f>IFERROR(__xludf.DUMMYFUNCTION("""COMPUTED_VALUE"""),"Praziquantel")</f>
        <v>Praziquantel</v>
      </c>
      <c r="E131" s="697" t="str">
        <f>IFERROR(__xludf.DUMMYFUNCTION("""COMPUTED_VALUE"""),"Single")</f>
        <v>Single</v>
      </c>
      <c r="F131" s="697" t="str">
        <f>IFERROR(__xludf.DUMMYFUNCTION("""COMPUTED_VALUE"""),"40 mg/kg")</f>
        <v>40 mg/kg</v>
      </c>
      <c r="G131" s="697">
        <f>IFERROR(__xludf.DUMMYFUNCTION("""COMPUTED_VALUE"""),151.0)</f>
        <v>151</v>
      </c>
      <c r="H131" s="697" t="str">
        <f>IFERROR(__xludf.DUMMYFUNCTION("""COMPUTED_VALUE"""),"10 - 19")</f>
        <v>10 - 19</v>
      </c>
      <c r="I131" s="697"/>
      <c r="J131" s="697">
        <f>IFERROR(__xludf.DUMMYFUNCTION("""COMPUTED_VALUE"""),2013.0)</f>
        <v>2013</v>
      </c>
      <c r="K131" s="697" t="str">
        <f>IFERROR(__xludf.DUMMYFUNCTION("""COMPUTED_VALUE"""),"10 to 19 years old Infected with S.mansoni ")</f>
        <v>10 to 19 years old Infected with S.mansoni </v>
      </c>
      <c r="L131" s="697" t="str">
        <f>IFERROR(__xludf.DUMMYFUNCTION("""COMPUTED_VALUE"""),"Yes")</f>
        <v>Yes</v>
      </c>
      <c r="M131" s="697" t="str">
        <f>IFERROR(__xludf.DUMMYFUNCTION("""COMPUTED_VALUE"""),"Yes")</f>
        <v>Yes</v>
      </c>
      <c r="N131" s="697" t="str">
        <f>IFERROR(__xludf.DUMMYFUNCTION("""COMPUTED_VALUE"""),"Cure rate determined 21 days by absence of Schistosomia eggs from stool")</f>
        <v>Cure rate determined 21 days by absence of Schistosomia eggs from stool</v>
      </c>
      <c r="O131" s="873">
        <f>IFERROR(__xludf.DUMMYFUNCTION("""COMPUTED_VALUE"""),0.675)</f>
        <v>0.675</v>
      </c>
      <c r="P131" s="697"/>
      <c r="Q131" s="697" t="str">
        <f>IFERROR(__xludf.DUMMYFUNCTION("""COMPUTED_VALUE"""),"For the majority of the patients, the drug was well tolerated and no serious adverse events were noted; however, clinical signs in the form of abdominal pain associated or not with diarrhea and vomiting were noted. Prazinquantel remains an effective and w"&amp;"ell-tolerated drug: the amount of 40 mg/kg of body weight can still be maintained for the treatment of schistosomiasis in Mauritania.")</f>
        <v>For the majority of the patients, the drug was well tolerated and no serious adverse events were noted; however, clinical signs in the form of abdominal pain associated or not with diarrhea and vomiting were noted. Prazinquantel remains an effective and well-tolerated drug: the amount of 40 mg/kg of body weight can still be maintained for the treatment of schistosomiasis in Mauritania.</v>
      </c>
      <c r="R131" s="697"/>
      <c r="S131" s="699" t="str">
        <f>IFERROR(__xludf.DUMMYFUNCTION("""COMPUTED_VALUE"""),"Ouldabdallahi, M., B. Ousmane, M. Ouldbezeid, D. Mamadou, L. Konaté, and L. Chitsulo. ""Comparison of the Efficacy and Safety of Praziquantel Administered in Single Dose of 40 versus 60 Mg/kg for Treating Urinary Schistosomiasis in Mauritania."" National "&amp;"Center for Biotechnology Information. U.S. National Library of Medicine, 17 May 2013. Web. 23 Feb. 2015.")</f>
        <v>Ouldabdallahi, M., B. Ousmane, M. Ouldbezeid, D. Mamadou, L. Konaté, and L. Chitsulo. "Comparison of the Efficacy and Safety of Praziquantel Administered in Single Dose of 40 versus 60 Mg/kg for Treating Urinary Schistosomiasis in Mauritania." National Center for Biotechnology Information. U.S. National Library of Medicine, 17 May 2013. Web. 23 Feb. 2015.</v>
      </c>
      <c r="T131" s="697"/>
      <c r="U131" s="697" t="str">
        <f>IFERROR(__xludf.DUMMYFUNCTION("""COMPUTED_VALUE"""),"")</f>
        <v/>
      </c>
      <c r="V131" s="697">
        <f>IFERROR(__xludf.DUMMYFUNCTION("""COMPUTED_VALUE"""),131.0)</f>
        <v>131</v>
      </c>
    </row>
    <row r="132">
      <c r="A132" s="697" t="str">
        <f>IFERROR(__xludf.DUMMYFUNCTION("""COMPUTED_VALUE"""),"Ouldabdallahi MB, 2013")</f>
        <v>Ouldabdallahi MB, 2013</v>
      </c>
      <c r="B132" s="697" t="str">
        <f>IFERROR(__xludf.DUMMYFUNCTION("""COMPUTED_VALUE"""),"s. mansoni")</f>
        <v>s. mansoni</v>
      </c>
      <c r="C132" s="697" t="str">
        <f>IFERROR(__xludf.DUMMYFUNCTION("""COMPUTED_VALUE"""),"Mauritania")</f>
        <v>Mauritania</v>
      </c>
      <c r="D132" s="697" t="str">
        <f>IFERROR(__xludf.DUMMYFUNCTION("""COMPUTED_VALUE"""),"Praziquantel")</f>
        <v>Praziquantel</v>
      </c>
      <c r="E132" s="697" t="str">
        <f>IFERROR(__xludf.DUMMYFUNCTION("""COMPUTED_VALUE"""),"Single")</f>
        <v>Single</v>
      </c>
      <c r="F132" s="697" t="str">
        <f>IFERROR(__xludf.DUMMYFUNCTION("""COMPUTED_VALUE"""),"60 mg/kg")</f>
        <v>60 mg/kg</v>
      </c>
      <c r="G132" s="697">
        <f>IFERROR(__xludf.DUMMYFUNCTION("""COMPUTED_VALUE"""),151.0)</f>
        <v>151</v>
      </c>
      <c r="H132" s="697" t="str">
        <f>IFERROR(__xludf.DUMMYFUNCTION("""COMPUTED_VALUE"""),"10 - 19")</f>
        <v>10 - 19</v>
      </c>
      <c r="I132" s="697"/>
      <c r="J132" s="697">
        <f>IFERROR(__xludf.DUMMYFUNCTION("""COMPUTED_VALUE"""),2013.0)</f>
        <v>2013</v>
      </c>
      <c r="K132" s="697" t="str">
        <f>IFERROR(__xludf.DUMMYFUNCTION("""COMPUTED_VALUE"""),"10 to 19 years old Infected with S.mansoni ")</f>
        <v>10 to 19 years old Infected with S.mansoni </v>
      </c>
      <c r="L132" s="697" t="str">
        <f>IFERROR(__xludf.DUMMYFUNCTION("""COMPUTED_VALUE"""),"Yes")</f>
        <v>Yes</v>
      </c>
      <c r="M132" s="697" t="str">
        <f>IFERROR(__xludf.DUMMYFUNCTION("""COMPUTED_VALUE"""),"Yes")</f>
        <v>Yes</v>
      </c>
      <c r="N132" s="697" t="str">
        <f>IFERROR(__xludf.DUMMYFUNCTION("""COMPUTED_VALUE"""),"Cure rate determined 21 days by absence of Schistosomia eggs from stool")</f>
        <v>Cure rate determined 21 days by absence of Schistosomia eggs from stool</v>
      </c>
      <c r="O132" s="873">
        <f>IFERROR(__xludf.DUMMYFUNCTION("""COMPUTED_VALUE"""),0.648)</f>
        <v>0.648</v>
      </c>
      <c r="P132" s="697"/>
      <c r="Q132" s="697" t="str">
        <f>IFERROR(__xludf.DUMMYFUNCTION("""COMPUTED_VALUE"""),"For the majority of the patients, the drug was well tolerated and no serious adverse events were noted; however, clinical signs in the form of abdominal pain associated or not with diarrhea and vomiting were noted. Prazinquantel remains an effective and w"&amp;"ell-tolerated drug: the amount of 40 mg/kg of body weight can still be maintained for the treatment of schistosomiasis in Mauritania.")</f>
        <v>For the majority of the patients, the drug was well tolerated and no serious adverse events were noted; however, clinical signs in the form of abdominal pain associated or not with diarrhea and vomiting were noted. Prazinquantel remains an effective and well-tolerated drug: the amount of 40 mg/kg of body weight can still be maintained for the treatment of schistosomiasis in Mauritania.</v>
      </c>
      <c r="R132" s="697"/>
      <c r="S132" s="699" t="str">
        <f>IFERROR(__xludf.DUMMYFUNCTION("""COMPUTED_VALUE"""),"Ouldabdallahi, M., B. Ousmane, M. Ouldbezeid, D. Mamadou, L. Konaté, and L. Chitsulo. ""Comparison of the Efficacy and Safety of Praziquantel Administered in Single Dose of 40 versus 60 Mg/kg for Treating Urinary Schistosomiasis in Mauritania."" National "&amp;"Center for Biotechnology Information. U.S. National Library of Medicine, 17 May 2013. Web. 23 Feb. 2015.")</f>
        <v>Ouldabdallahi, M., B. Ousmane, M. Ouldbezeid, D. Mamadou, L. Konaté, and L. Chitsulo. "Comparison of the Efficacy and Safety of Praziquantel Administered in Single Dose of 40 versus 60 Mg/kg for Treating Urinary Schistosomiasis in Mauritania." National Center for Biotechnology Information. U.S. National Library of Medicine, 17 May 2013. Web. 23 Feb. 2015.</v>
      </c>
      <c r="T132" s="697"/>
      <c r="U132" s="697" t="str">
        <f>IFERROR(__xludf.DUMMYFUNCTION("""COMPUTED_VALUE"""),"")</f>
        <v/>
      </c>
      <c r="V132" s="697">
        <f>IFERROR(__xludf.DUMMYFUNCTION("""COMPUTED_VALUE"""),132.0)</f>
        <v>132</v>
      </c>
    </row>
    <row r="133">
      <c r="A133" s="697" t="str">
        <f>IFERROR(__xludf.DUMMYFUNCTION("""COMPUTED_VALUE"""),"Picquet M, 1998")</f>
        <v>Picquet M, 1998</v>
      </c>
      <c r="B133" s="697" t="str">
        <f>IFERROR(__xludf.DUMMYFUNCTION("""COMPUTED_VALUE"""),"s. mansoni")</f>
        <v>s. mansoni</v>
      </c>
      <c r="C133" s="697" t="str">
        <f>IFERROR(__xludf.DUMMYFUNCTION("""COMPUTED_VALUE"""),"Senegal")</f>
        <v>Senegal</v>
      </c>
      <c r="D133" s="697" t="str">
        <f>IFERROR(__xludf.DUMMYFUNCTION("""COMPUTED_VALUE"""),"Praziquantel")</f>
        <v>Praziquantel</v>
      </c>
      <c r="E133" s="697" t="str">
        <f>IFERROR(__xludf.DUMMYFUNCTION("""COMPUTED_VALUE"""),"Two")</f>
        <v>Two</v>
      </c>
      <c r="F133" s="697" t="str">
        <f>IFERROR(__xludf.DUMMYFUNCTION("""COMPUTED_VALUE"""),"40 mg/kg")</f>
        <v>40 mg/kg</v>
      </c>
      <c r="G133" s="697">
        <f>IFERROR(__xludf.DUMMYFUNCTION("""COMPUTED_VALUE"""),130.0)</f>
        <v>130</v>
      </c>
      <c r="H133" s="697" t="str">
        <f>IFERROR(__xludf.DUMMYFUNCTION("""COMPUTED_VALUE"""),"4 - 20 ")</f>
        <v>4 - 20 </v>
      </c>
      <c r="I133" s="705" t="str">
        <f>IFERROR(__xludf.DUMMYFUNCTION("""COMPUTED_VALUE"""),"1:1")</f>
        <v>1:1</v>
      </c>
      <c r="J133" s="697">
        <f>IFERROR(__xludf.DUMMYFUNCTION("""COMPUTED_VALUE"""),1998.0)</f>
        <v>1998</v>
      </c>
      <c r="K133" s="697" t="str">
        <f>IFERROR(__xludf.DUMMYFUNCTION("""COMPUTED_VALUE"""),"30 individuals who provided stool samples on days 0, 118 and 153 and were treated on days 85 and 125, 113 (87%) were infected with S. mansoni before treatment. The overall geometric mean faecal egg count of the infected individuals was 478 eggs/g.")</f>
        <v>30 individuals who provided stool samples on days 0, 118 and 153 and were treated on days 85 and 125, 113 (87%) were infected with S. mansoni before treatment. The overall geometric mean faecal egg count of the infected individuals was 478 eggs/g.</v>
      </c>
      <c r="L133" s="697" t="str">
        <f>IFERROR(__xludf.DUMMYFUNCTION("""COMPUTED_VALUE"""),"No")</f>
        <v>No</v>
      </c>
      <c r="M133" s="697" t="str">
        <f>IFERROR(__xludf.DUMMYFUNCTION("""COMPUTED_VALUE"""),"No")</f>
        <v>No</v>
      </c>
      <c r="N133" s="697" t="str">
        <f>IFERROR(__xludf.DUMMYFUNCTION("""COMPUTED_VALUE"""),"Efficacy of treatment was evaluated 4 weeks after each treatment")</f>
        <v>Efficacy of treatment was evaluated 4 weeks after each treatment</v>
      </c>
      <c r="O133" s="873">
        <f>IFERROR(__xludf.DUMMYFUNCTION("""COMPUTED_VALUE"""),0.761)</f>
        <v>0.761</v>
      </c>
      <c r="P133" s="700">
        <f>IFERROR(__xludf.DUMMYFUNCTION("""COMPUTED_VALUE"""),0.881)</f>
        <v>0.881</v>
      </c>
      <c r="Q133" s="697" t="str">
        <f>IFERROR(__xludf.DUMMYFUNCTION("""COMPUTED_VALUE"""),"In conclusion, this study has confirmed the low parasitological cure rates of S. mansoni in the Senegalese focus after a single dose of 40 mgikg PZQ. However, treating a second time with 40 mg/kg PZQ, 6 weeks after the first treatment, markedly improved t"&amp;"he cure rates, providing strong evidence against the idea of a strain of S. mansoni tolerant to PZQ in this area of the SRB.")</f>
        <v>In conclusion, this study has confirmed the low parasitological cure rates of S. mansoni in the Senegalese focus after a single dose of 40 mgikg PZQ. However, treating a second time with 40 mg/kg PZQ, 6 weeks after the first treatment, markedly improved the cure rates, providing strong evidence against the idea of a strain of S. mansoni tolerant to PZQ in this area of the SRB.</v>
      </c>
      <c r="R133" s="697" t="str">
        <f>IFERROR(__xludf.DUMMYFUNCTION("""COMPUTED_VALUE"""),"Efficacy of praziquantel against Schistosoma mansoni in northern Senegal")</f>
        <v>Efficacy of praziquantel against Schistosoma mansoni in northern Senegal</v>
      </c>
      <c r="S133" s="699" t="str">
        <f>IFERROR(__xludf.DUMMYFUNCTION("""COMPUTED_VALUE"""),"Picquet, Michel, Jozef Vercruysse, Darren J. Shaw, Mamadou Diop, and Abdoulaye Ly. ""Efficacy of Praziquantel against Schistosoma Mansoni in Northern Senegal."" Transactions of the Royal Society of Tropical Medicine and Hygiene 92.1 (1998): 90-93. Web. 22"&amp;" Feb. 2015.")</f>
        <v>Picquet, Michel, Jozef Vercruysse, Darren J. Shaw, Mamadou Diop, and Abdoulaye Ly. "Efficacy of Praziquantel against Schistosoma Mansoni in Northern Senegal." Transactions of the Royal Society of Tropical Medicine and Hygiene 92.1 (1998): 90-93. Web. 22 Feb. 2015.</v>
      </c>
      <c r="T133" s="697"/>
      <c r="U133" s="697" t="str">
        <f>IFERROR(__xludf.DUMMYFUNCTION("""COMPUTED_VALUE"""),"x")</f>
        <v>x</v>
      </c>
      <c r="V133" s="697">
        <f>IFERROR(__xludf.DUMMYFUNCTION("""COMPUTED_VALUE"""),133.0)</f>
        <v>133</v>
      </c>
    </row>
    <row r="134">
      <c r="A134" s="697" t="str">
        <f>IFERROR(__xludf.DUMMYFUNCTION("""COMPUTED_VALUE"""),"Pugh R N H 1982")</f>
        <v>Pugh R N H 1982</v>
      </c>
      <c r="B134" s="697" t="str">
        <f>IFERROR(__xludf.DUMMYFUNCTION("""COMPUTED_VALUE"""),"s. haematobium")</f>
        <v>s. haematobium</v>
      </c>
      <c r="C134" s="697" t="str">
        <f>IFERROR(__xludf.DUMMYFUNCTION("""COMPUTED_VALUE"""),"Malawi")</f>
        <v>Malawi</v>
      </c>
      <c r="D134" s="697" t="str">
        <f>IFERROR(__xludf.DUMMYFUNCTION("""COMPUTED_VALUE"""),"Praziquantel")</f>
        <v>Praziquantel</v>
      </c>
      <c r="E134" s="697" t="str">
        <f>IFERROR(__xludf.DUMMYFUNCTION("""COMPUTED_VALUE"""),"Single")</f>
        <v>Single</v>
      </c>
      <c r="F134" s="697" t="str">
        <f>IFERROR(__xludf.DUMMYFUNCTION("""COMPUTED_VALUE"""),"40 mg/kg")</f>
        <v>40 mg/kg</v>
      </c>
      <c r="G134" s="697">
        <f>IFERROR(__xludf.DUMMYFUNCTION("""COMPUTED_VALUE"""),97.0)</f>
        <v>97</v>
      </c>
      <c r="H134" s="697" t="str">
        <f>IFERROR(__xludf.DUMMYFUNCTION("""COMPUTED_VALUE"""),"5-18 years old")</f>
        <v>5-18 years old</v>
      </c>
      <c r="I134" s="705" t="str">
        <f>IFERROR(__xludf.DUMMYFUNCTION("""COMPUTED_VALUE"""),"517:83")</f>
        <v>517:83</v>
      </c>
      <c r="J134" s="697">
        <f>IFERROR(__xludf.DUMMYFUNCTION("""COMPUTED_VALUE"""),1982.0)</f>
        <v>1982</v>
      </c>
      <c r="K134" s="697" t="str">
        <f>IFERROR(__xludf.DUMMYFUNCTION("""COMPUTED_VALUE"""),"A total of 2516 children attending five primary schools in the area were screened for haematuria using Ecur-Test (Boehringer) reagent strips. Of these, 600 children (517 boys and 83 girls attending two local schools) aged 5-18 years with heavy haematuria "&amp;"were included in the study. Children with apparent malaise, with febrile illnesses, or who had received schistosomicidal drugs within six months were excluded from the trial.")</f>
        <v>A total of 2516 children attending five primary schools in the area were screened for haematuria using Ecur-Test (Boehringer) reagent strips. Of these, 600 children (517 boys and 83 girls attending two local schools) aged 5-18 years with heavy haematuria were included in the study. Children with apparent malaise, with febrile illnesses, or who had received schistosomicidal drugs within six months were excluded from the trial.</v>
      </c>
      <c r="L134" s="697" t="str">
        <f>IFERROR(__xludf.DUMMYFUNCTION("""COMPUTED_VALUE"""),"Yes")</f>
        <v>Yes</v>
      </c>
      <c r="M134" s="697" t="str">
        <f>IFERROR(__xludf.DUMMYFUNCTION("""COMPUTED_VALUE"""),"Yes")</f>
        <v>Yes</v>
      </c>
      <c r="N134" s="697" t="str">
        <f>IFERROR(__xludf.DUMMYFUNCTION("""COMPUTED_VALUE"""),"cure rates: three months; egg reduction rate six months")</f>
        <v>cure rates: three months; egg reduction rate six months</v>
      </c>
      <c r="O134" s="873">
        <f>IFERROR(__xludf.DUMMYFUNCTION("""COMPUTED_VALUE"""),0.315)</f>
        <v>0.315</v>
      </c>
      <c r="P134" s="698">
        <f>IFERROR(__xludf.DUMMYFUNCTION("""COMPUTED_VALUE"""),0.974)</f>
        <v>0.974</v>
      </c>
      <c r="Q134" s="697" t="str">
        <f>IFERROR(__xludf.DUMMYFUNCTION("""COMPUTED_VALUE"""),"Though our findings show that praziquantel appears to be the most effective and convenient drug available for individuals with S haematobium infection, the combined regimen is a cheaper alternative for treatment where cost is important and parasitological"&amp;" cure not an essential objective.")</f>
        <v>Though our findings show that praziquantel appears to be the most effective and convenient drug available for individuals with S haematobium infection, the combined regimen is a cheaper alternative for treatment where cost is important and parasitological cure not an essential objective.</v>
      </c>
      <c r="R134" s="697"/>
      <c r="S134" s="699" t="str">
        <f>IFERROR(__xludf.DUMMYFUNCTION("""COMPUTED_VALUE"""),"Pugh, R. N., and C. H. Teesdale. ""Single dose oral treatment in urinary schistosomiasis: a double blind trial."" Br Med J (Clin Res Ed) 286.6363 (1983): 429-432.")</f>
        <v>Pugh, R. N., and C. H. Teesdale. "Single dose oral treatment in urinary schistosomiasis: a double blind trial." Br Med J (Clin Res Ed) 286.6363 (1983): 429-432.</v>
      </c>
      <c r="T134" s="697"/>
      <c r="U134" s="697" t="str">
        <f>IFERROR(__xludf.DUMMYFUNCTION("""COMPUTED_VALUE"""),"")</f>
        <v/>
      </c>
      <c r="V134" s="697">
        <f>IFERROR(__xludf.DUMMYFUNCTION("""COMPUTED_VALUE"""),134.0)</f>
        <v>134</v>
      </c>
    </row>
    <row r="135">
      <c r="A135" s="697" t="str">
        <f>IFERROR(__xludf.DUMMYFUNCTION("""COMPUTED_VALUE"""),"Pugh R N H 1982")</f>
        <v>Pugh R N H 1982</v>
      </c>
      <c r="B135" s="697" t="str">
        <f>IFERROR(__xludf.DUMMYFUNCTION("""COMPUTED_VALUE"""),"s. haematobium")</f>
        <v>s. haematobium</v>
      </c>
      <c r="C135" s="697" t="str">
        <f>IFERROR(__xludf.DUMMYFUNCTION("""COMPUTED_VALUE"""),"Malawi")</f>
        <v>Malawi</v>
      </c>
      <c r="D135" s="697" t="str">
        <f>IFERROR(__xludf.DUMMYFUNCTION("""COMPUTED_VALUE"""),"Metrifonate &amp; Niridazole")</f>
        <v>Metrifonate &amp; Niridazole</v>
      </c>
      <c r="E135" s="697" t="str">
        <f>IFERROR(__xludf.DUMMYFUNCTION("""COMPUTED_VALUE"""),"Single")</f>
        <v>Single</v>
      </c>
      <c r="F135" s="697" t="str">
        <f>IFERROR(__xludf.DUMMYFUNCTION("""COMPUTED_VALUE"""),"10 mg/kg; 25 mg/kg")</f>
        <v>10 mg/kg; 25 mg/kg</v>
      </c>
      <c r="G135" s="697">
        <f>IFERROR(__xludf.DUMMYFUNCTION("""COMPUTED_VALUE"""),97.0)</f>
        <v>97</v>
      </c>
      <c r="H135" s="697" t="str">
        <f>IFERROR(__xludf.DUMMYFUNCTION("""COMPUTED_VALUE"""),"5-18 years old")</f>
        <v>5-18 years old</v>
      </c>
      <c r="I135" s="705" t="str">
        <f>IFERROR(__xludf.DUMMYFUNCTION("""COMPUTED_VALUE"""),"517:83")</f>
        <v>517:83</v>
      </c>
      <c r="J135" s="697">
        <f>IFERROR(__xludf.DUMMYFUNCTION("""COMPUTED_VALUE"""),1982.0)</f>
        <v>1982</v>
      </c>
      <c r="K135" s="697" t="str">
        <f>IFERROR(__xludf.DUMMYFUNCTION("""COMPUTED_VALUE"""),"A total of 2516 children attending five primary schools in the area were screened for haematuria using Ecur-Test (Boehringer) reagent strips. Of these, 600 children (517 boys and 83 girls attending two local schools) aged 5-18 years with heavy haematuria "&amp;"were included in the study. Children with apparent malaise, with febrile illnesses, or who had received schistosomicidal drugs within six months were excluded from the trial.")</f>
        <v>A total of 2516 children attending five primary schools in the area were screened for haematuria using Ecur-Test (Boehringer) reagent strips. Of these, 600 children (517 boys and 83 girls attending two local schools) aged 5-18 years with heavy haematuria were included in the study. Children with apparent malaise, with febrile illnesses, or who had received schistosomicidal drugs within six months were excluded from the trial.</v>
      </c>
      <c r="L135" s="697" t="str">
        <f>IFERROR(__xludf.DUMMYFUNCTION("""COMPUTED_VALUE"""),"Yes")</f>
        <v>Yes</v>
      </c>
      <c r="M135" s="697" t="str">
        <f>IFERROR(__xludf.DUMMYFUNCTION("""COMPUTED_VALUE"""),"Yes")</f>
        <v>Yes</v>
      </c>
      <c r="N135" s="697" t="str">
        <f>IFERROR(__xludf.DUMMYFUNCTION("""COMPUTED_VALUE"""),"cure rates: three months; egg reduction rate six months")</f>
        <v>cure rates: three months; egg reduction rate six months</v>
      </c>
      <c r="O135" s="873">
        <f>IFERROR(__xludf.DUMMYFUNCTION("""COMPUTED_VALUE"""),0.112)</f>
        <v>0.112</v>
      </c>
      <c r="P135" s="698">
        <f>IFERROR(__xludf.DUMMYFUNCTION("""COMPUTED_VALUE"""),0.928)</f>
        <v>0.928</v>
      </c>
      <c r="Q135" s="697" t="str">
        <f>IFERROR(__xludf.DUMMYFUNCTION("""COMPUTED_VALUE"""),"Though our findings show that praziquantel appears to be the most effective and convenient drug available for individuals with S haematobium infection, the combined regimen is a cheaper alternative for treatment where cost is important and parasitological"&amp;" cure not an essential objective.")</f>
        <v>Though our findings show that praziquantel appears to be the most effective and convenient drug available for individuals with S haematobium infection, the combined regimen is a cheaper alternative for treatment where cost is important and parasitological cure not an essential objective.</v>
      </c>
      <c r="R135" s="697"/>
      <c r="S135" s="699" t="str">
        <f>IFERROR(__xludf.DUMMYFUNCTION("""COMPUTED_VALUE"""),"Pugh, R. N., and C. H. Teesdale. ""Single dose oral treatment in urinary schistosomiasis: a double blind trial."" Br Med J (Clin Res Ed) 286.6363 (1983): 429-432.")</f>
        <v>Pugh, R. N., and C. H. Teesdale. "Single dose oral treatment in urinary schistosomiasis: a double blind trial." Br Med J (Clin Res Ed) 286.6363 (1983): 429-432.</v>
      </c>
      <c r="T135" s="697"/>
      <c r="U135" s="697" t="str">
        <f>IFERROR(__xludf.DUMMYFUNCTION("""COMPUTED_VALUE"""),"")</f>
        <v/>
      </c>
      <c r="V135" s="697">
        <f>IFERROR(__xludf.DUMMYFUNCTION("""COMPUTED_VALUE"""),135.0)</f>
        <v>135</v>
      </c>
    </row>
    <row r="136">
      <c r="A136" s="697" t="str">
        <f>IFERROR(__xludf.DUMMYFUNCTION("""COMPUTED_VALUE"""),"Pugh R N H 1982")</f>
        <v>Pugh R N H 1982</v>
      </c>
      <c r="B136" s="697" t="str">
        <f>IFERROR(__xludf.DUMMYFUNCTION("""COMPUTED_VALUE"""),"s. haematobium")</f>
        <v>s. haematobium</v>
      </c>
      <c r="C136" s="697" t="str">
        <f>IFERROR(__xludf.DUMMYFUNCTION("""COMPUTED_VALUE"""),"Malawi")</f>
        <v>Malawi</v>
      </c>
      <c r="D136" s="697" t="str">
        <f>IFERROR(__xludf.DUMMYFUNCTION("""COMPUTED_VALUE"""),"Metrifonate")</f>
        <v>Metrifonate</v>
      </c>
      <c r="E136" s="697" t="str">
        <f>IFERROR(__xludf.DUMMYFUNCTION("""COMPUTED_VALUE"""),"Single")</f>
        <v>Single</v>
      </c>
      <c r="F136" s="697" t="str">
        <f>IFERROR(__xludf.DUMMYFUNCTION("""COMPUTED_VALUE"""),"10 mg/kg")</f>
        <v>10 mg/kg</v>
      </c>
      <c r="G136" s="697">
        <f>IFERROR(__xludf.DUMMYFUNCTION("""COMPUTED_VALUE"""),92.0)</f>
        <v>92</v>
      </c>
      <c r="H136" s="697" t="str">
        <f>IFERROR(__xludf.DUMMYFUNCTION("""COMPUTED_VALUE"""),"5-18 years old")</f>
        <v>5-18 years old</v>
      </c>
      <c r="I136" s="705" t="str">
        <f>IFERROR(__xludf.DUMMYFUNCTION("""COMPUTED_VALUE"""),"517:83")</f>
        <v>517:83</v>
      </c>
      <c r="J136" s="697">
        <f>IFERROR(__xludf.DUMMYFUNCTION("""COMPUTED_VALUE"""),1982.0)</f>
        <v>1982</v>
      </c>
      <c r="K136" s="697" t="str">
        <f>IFERROR(__xludf.DUMMYFUNCTION("""COMPUTED_VALUE"""),"A total of 2516 children attending five primary schools in the area were screened for haematuria using Ecur-Test (Boehringer) reagent strips. Of these, 600 children (517 boys and 83 girls attending two local schools) aged 5-18 years with heavy haematuria "&amp;"were included in the study. Children with apparent malaise, with febrile illnesses, or who had received schistosomicidal drugs within six months were excluded from the trial.")</f>
        <v>A total of 2516 children attending five primary schools in the area were screened for haematuria using Ecur-Test (Boehringer) reagent strips. Of these, 600 children (517 boys and 83 girls attending two local schools) aged 5-18 years with heavy haematuria were included in the study. Children with apparent malaise, with febrile illnesses, or who had received schistosomicidal drugs within six months were excluded from the trial.</v>
      </c>
      <c r="L136" s="697" t="str">
        <f>IFERROR(__xludf.DUMMYFUNCTION("""COMPUTED_VALUE"""),"Yes")</f>
        <v>Yes</v>
      </c>
      <c r="M136" s="697" t="str">
        <f>IFERROR(__xludf.DUMMYFUNCTION("""COMPUTED_VALUE"""),"Yes")</f>
        <v>Yes</v>
      </c>
      <c r="N136" s="697" t="str">
        <f>IFERROR(__xludf.DUMMYFUNCTION("""COMPUTED_VALUE"""),"cure rates: three months; egg reduction rate six months")</f>
        <v>cure rates: three months; egg reduction rate six months</v>
      </c>
      <c r="O136" s="873">
        <f>IFERROR(__xludf.DUMMYFUNCTION("""COMPUTED_VALUE"""),0.085)</f>
        <v>0.085</v>
      </c>
      <c r="P136" s="698">
        <f>IFERROR(__xludf.DUMMYFUNCTION("""COMPUTED_VALUE"""),0.867)</f>
        <v>0.867</v>
      </c>
      <c r="Q136" s="697" t="str">
        <f>IFERROR(__xludf.DUMMYFUNCTION("""COMPUTED_VALUE"""),"Though our findings show that praziquantel appears to be the most effective and convenient drug available for individuals with S haematobium infection, the combined regimen is a cheaper alternative for treatment where cost is important and parasitological"&amp;" cure not an essential objective.")</f>
        <v>Though our findings show that praziquantel appears to be the most effective and convenient drug available for individuals with S haematobium infection, the combined regimen is a cheaper alternative for treatment where cost is important and parasitological cure not an essential objective.</v>
      </c>
      <c r="R136" s="697"/>
      <c r="S136" s="699" t="str">
        <f>IFERROR(__xludf.DUMMYFUNCTION("""COMPUTED_VALUE"""),"Pugh, R. N., and C. H. Teesdale. ""Single dose oral treatment in urinary schistosomiasis: a double blind trial."" Br Med J (Clin Res Ed) 286.6363 (1983): 429-432.")</f>
        <v>Pugh, R. N., and C. H. Teesdale. "Single dose oral treatment in urinary schistosomiasis: a double blind trial." Br Med J (Clin Res Ed) 286.6363 (1983): 429-432.</v>
      </c>
      <c r="T136" s="697"/>
      <c r="U136" s="697" t="str">
        <f>IFERROR(__xludf.DUMMYFUNCTION("""COMPUTED_VALUE"""),"")</f>
        <v/>
      </c>
      <c r="V136" s="697">
        <f>IFERROR(__xludf.DUMMYFUNCTION("""COMPUTED_VALUE"""),136.0)</f>
        <v>136</v>
      </c>
    </row>
    <row r="137">
      <c r="A137" s="697" t="str">
        <f>IFERROR(__xludf.DUMMYFUNCTION("""COMPUTED_VALUE"""),"Pugh R N H 1982")</f>
        <v>Pugh R N H 1982</v>
      </c>
      <c r="B137" s="697" t="str">
        <f>IFERROR(__xludf.DUMMYFUNCTION("""COMPUTED_VALUE"""),"s. haematobium")</f>
        <v>s. haematobium</v>
      </c>
      <c r="C137" s="697" t="str">
        <f>IFERROR(__xludf.DUMMYFUNCTION("""COMPUTED_VALUE"""),"Malawi")</f>
        <v>Malawi</v>
      </c>
      <c r="D137" s="697" t="str">
        <f>IFERROR(__xludf.DUMMYFUNCTION("""COMPUTED_VALUE"""),"Niridazole")</f>
        <v>Niridazole</v>
      </c>
      <c r="E137" s="697" t="str">
        <f>IFERROR(__xludf.DUMMYFUNCTION("""COMPUTED_VALUE"""),"Single")</f>
        <v>Single</v>
      </c>
      <c r="F137" s="697" t="str">
        <f>IFERROR(__xludf.DUMMYFUNCTION("""COMPUTED_VALUE"""),"25 mg/kg")</f>
        <v>25 mg/kg</v>
      </c>
      <c r="G137" s="697">
        <f>IFERROR(__xludf.DUMMYFUNCTION("""COMPUTED_VALUE"""),95.0)</f>
        <v>95</v>
      </c>
      <c r="H137" s="697" t="str">
        <f>IFERROR(__xludf.DUMMYFUNCTION("""COMPUTED_VALUE"""),"5-18 years old")</f>
        <v>5-18 years old</v>
      </c>
      <c r="I137" s="705" t="str">
        <f>IFERROR(__xludf.DUMMYFUNCTION("""COMPUTED_VALUE"""),"517:83")</f>
        <v>517:83</v>
      </c>
      <c r="J137" s="697">
        <f>IFERROR(__xludf.DUMMYFUNCTION("""COMPUTED_VALUE"""),1982.0)</f>
        <v>1982</v>
      </c>
      <c r="K137" s="697" t="str">
        <f>IFERROR(__xludf.DUMMYFUNCTION("""COMPUTED_VALUE"""),"A total of 2516 children attending five primary schools in the area were screened for haematuria using Ecur-Test (Boehringer) reagent strips. Of these, 600 children (517 boys and 83 girls attending two local schools) aged 5-18 years with heavy haematuria "&amp;"were included in the study. Children with apparent malaise, with febrile illnesses, or who had received schistosomicidal drugs within six months were excluded from the trial.")</f>
        <v>A total of 2516 children attending five primary schools in the area were screened for haematuria using Ecur-Test (Boehringer) reagent strips. Of these, 600 children (517 boys and 83 girls attending two local schools) aged 5-18 years with heavy haematuria were included in the study. Children with apparent malaise, with febrile illnesses, or who had received schistosomicidal drugs within six months were excluded from the trial.</v>
      </c>
      <c r="L137" s="697" t="str">
        <f>IFERROR(__xludf.DUMMYFUNCTION("""COMPUTED_VALUE"""),"Yes")</f>
        <v>Yes</v>
      </c>
      <c r="M137" s="697" t="str">
        <f>IFERROR(__xludf.DUMMYFUNCTION("""COMPUTED_VALUE"""),"Yes")</f>
        <v>Yes</v>
      </c>
      <c r="N137" s="697" t="str">
        <f>IFERROR(__xludf.DUMMYFUNCTION("""COMPUTED_VALUE"""),"cure rates: three months; egg reduction rate six months")</f>
        <v>cure rates: three months; egg reduction rate six months</v>
      </c>
      <c r="O137" s="872">
        <f>IFERROR(__xludf.DUMMYFUNCTION("""COMPUTED_VALUE"""),0.0)</f>
        <v>0</v>
      </c>
      <c r="P137" s="698">
        <f>IFERROR(__xludf.DUMMYFUNCTION("""COMPUTED_VALUE"""),0.222)</f>
        <v>0.222</v>
      </c>
      <c r="Q137" s="697" t="str">
        <f>IFERROR(__xludf.DUMMYFUNCTION("""COMPUTED_VALUE"""),"Though our findings show that praziquantel appears to be the most effective and convenient drug available for individuals with S haematobium infection, the combined regimen is a cheaper alternative for treatment where cost is important and parasitological"&amp;" cure not an essential objective.")</f>
        <v>Though our findings show that praziquantel appears to be the most effective and convenient drug available for individuals with S haematobium infection, the combined regimen is a cheaper alternative for treatment where cost is important and parasitological cure not an essential objective.</v>
      </c>
      <c r="R137" s="697"/>
      <c r="S137" s="699" t="str">
        <f>IFERROR(__xludf.DUMMYFUNCTION("""COMPUTED_VALUE"""),"Pugh, R. N., and C. H. Teesdale. ""Single dose oral treatment in urinary schistosomiasis: a double blind trial."" Br Med J (Clin Res Ed) 286.6363 (1983): 429-432.")</f>
        <v>Pugh, R. N., and C. H. Teesdale. "Single dose oral treatment in urinary schistosomiasis: a double blind trial." Br Med J (Clin Res Ed) 286.6363 (1983): 429-432.</v>
      </c>
      <c r="T137" s="697"/>
      <c r="U137" s="697" t="str">
        <f>IFERROR(__xludf.DUMMYFUNCTION("""COMPUTED_VALUE"""),"")</f>
        <v/>
      </c>
      <c r="V137" s="697">
        <f>IFERROR(__xludf.DUMMYFUNCTION("""COMPUTED_VALUE"""),137.0)</f>
        <v>137</v>
      </c>
    </row>
    <row r="138">
      <c r="A138" s="697" t="str">
        <f>IFERROR(__xludf.DUMMYFUNCTION("""COMPUTED_VALUE"""),"Pugh R N H 1982")</f>
        <v>Pugh R N H 1982</v>
      </c>
      <c r="B138" s="697" t="str">
        <f>IFERROR(__xludf.DUMMYFUNCTION("""COMPUTED_VALUE"""),"s. haematobium")</f>
        <v>s. haematobium</v>
      </c>
      <c r="C138" s="697" t="str">
        <f>IFERROR(__xludf.DUMMYFUNCTION("""COMPUTED_VALUE"""),"Malawi")</f>
        <v>Malawi</v>
      </c>
      <c r="D138" s="697" t="str">
        <f>IFERROR(__xludf.DUMMYFUNCTION("""COMPUTED_VALUE"""),"Placebo")</f>
        <v>Placebo</v>
      </c>
      <c r="E138" s="697"/>
      <c r="F138" s="697"/>
      <c r="G138" s="697">
        <f>IFERROR(__xludf.DUMMYFUNCTION("""COMPUTED_VALUE"""),52.0)</f>
        <v>52</v>
      </c>
      <c r="H138" s="697" t="str">
        <f>IFERROR(__xludf.DUMMYFUNCTION("""COMPUTED_VALUE"""),"5-18 years old")</f>
        <v>5-18 years old</v>
      </c>
      <c r="I138" s="705" t="str">
        <f>IFERROR(__xludf.DUMMYFUNCTION("""COMPUTED_VALUE"""),"517:83")</f>
        <v>517:83</v>
      </c>
      <c r="J138" s="697">
        <f>IFERROR(__xludf.DUMMYFUNCTION("""COMPUTED_VALUE"""),1982.0)</f>
        <v>1982</v>
      </c>
      <c r="K138" s="697" t="str">
        <f>IFERROR(__xludf.DUMMYFUNCTION("""COMPUTED_VALUE"""),"A total of 2516 children attending five primary schools in the area were screened for haematuria using Ecur-Test (Boehringer) reagent strips. Of these, 600 children (517 boys and 83 girls attending two local schools) aged 5-18 years with heavy haematuria "&amp;"were included in the study. Children with apparent malaise, with febrile illnesses, or who had received schistosomicidal drugs within six months were excluded from the trial.")</f>
        <v>A total of 2516 children attending five primary schools in the area were screened for haematuria using Ecur-Test (Boehringer) reagent strips. Of these, 600 children (517 boys and 83 girls attending two local schools) aged 5-18 years with heavy haematuria were included in the study. Children with apparent malaise, with febrile illnesses, or who had received schistosomicidal drugs within six months were excluded from the trial.</v>
      </c>
      <c r="L138" s="697" t="str">
        <f>IFERROR(__xludf.DUMMYFUNCTION("""COMPUTED_VALUE"""),"Yes")</f>
        <v>Yes</v>
      </c>
      <c r="M138" s="697" t="str">
        <f>IFERROR(__xludf.DUMMYFUNCTION("""COMPUTED_VALUE"""),"Yes")</f>
        <v>Yes</v>
      </c>
      <c r="N138" s="697" t="str">
        <f>IFERROR(__xludf.DUMMYFUNCTION("""COMPUTED_VALUE"""),"cure rates: three months; egg reduction rate six months")</f>
        <v>cure rates: three months; egg reduction rate six months</v>
      </c>
      <c r="O138" s="872">
        <f>IFERROR(__xludf.DUMMYFUNCTION("""COMPUTED_VALUE"""),0.0)</f>
        <v>0</v>
      </c>
      <c r="P138" s="698">
        <f>IFERROR(__xludf.DUMMYFUNCTION("""COMPUTED_VALUE"""),0.387)</f>
        <v>0.387</v>
      </c>
      <c r="Q138" s="697" t="str">
        <f>IFERROR(__xludf.DUMMYFUNCTION("""COMPUTED_VALUE"""),"Though our findings show that praziquantel appears to be the most effective and convenient drug available for individuals with S haematobium infection, the combined regimen is a cheaper alternative for treatment where cost is important and parasitological"&amp;" cure not an essential objective.")</f>
        <v>Though our findings show that praziquantel appears to be the most effective and convenient drug available for individuals with S haematobium infection, the combined regimen is a cheaper alternative for treatment where cost is important and parasitological cure not an essential objective.</v>
      </c>
      <c r="R138" s="697"/>
      <c r="S138" s="699" t="str">
        <f>IFERROR(__xludf.DUMMYFUNCTION("""COMPUTED_VALUE"""),"Pugh, R. N., and C. H. Teesdale. ""Single dose oral treatment in urinary schistosomiasis: a double blind trial."" Br Med J (Clin Res Ed) 286.6363 (1983): 429-432.")</f>
        <v>Pugh, R. N., and C. H. Teesdale. "Single dose oral treatment in urinary schistosomiasis: a double blind trial." Br Med J (Clin Res Ed) 286.6363 (1983): 429-432.</v>
      </c>
      <c r="T138" s="697"/>
      <c r="U138" s="697" t="str">
        <f>IFERROR(__xludf.DUMMYFUNCTION("""COMPUTED_VALUE"""),"")</f>
        <v/>
      </c>
      <c r="V138" s="697">
        <f>IFERROR(__xludf.DUMMYFUNCTION("""COMPUTED_VALUE"""),138.0)</f>
        <v>138</v>
      </c>
    </row>
    <row r="139">
      <c r="A139" s="697" t="str">
        <f>IFERROR(__xludf.DUMMYFUNCTION("""COMPUTED_VALUE"""),"Queiroz LC, 2010")</f>
        <v>Queiroz LC, 2010</v>
      </c>
      <c r="B139" s="697" t="str">
        <f>IFERROR(__xludf.DUMMYFUNCTION("""COMPUTED_VALUE"""),"s. mansoni")</f>
        <v>s. mansoni</v>
      </c>
      <c r="C139" s="697" t="str">
        <f>IFERROR(__xludf.DUMMYFUNCTION("""COMPUTED_VALUE"""),"Brazil")</f>
        <v>Brazil</v>
      </c>
      <c r="D139" s="697" t="str">
        <f>IFERROR(__xludf.DUMMYFUNCTION("""COMPUTED_VALUE"""),"Praziquantel")</f>
        <v>Praziquantel</v>
      </c>
      <c r="E139" s="697" t="str">
        <f>IFERROR(__xludf.DUMMYFUNCTION("""COMPUTED_VALUE"""),"Single")</f>
        <v>Single</v>
      </c>
      <c r="F139" s="697" t="str">
        <f>IFERROR(__xludf.DUMMYFUNCTION("""COMPUTED_VALUE"""),"50 mg/kg")</f>
        <v>50 mg/kg</v>
      </c>
      <c r="G139" s="697">
        <f>IFERROR(__xludf.DUMMYFUNCTION("""COMPUTED_VALUE"""),145.0)</f>
        <v>145</v>
      </c>
      <c r="H139" s="697" t="str">
        <f>IFERROR(__xludf.DUMMYFUNCTION("""COMPUTED_VALUE"""),"13 - 70 ")</f>
        <v>13 - 70 </v>
      </c>
      <c r="I139" s="705" t="str">
        <f>IFERROR(__xludf.DUMMYFUNCTION("""COMPUTED_VALUE"""),"87:58")</f>
        <v>87:58</v>
      </c>
      <c r="J139" s="697">
        <f>IFERROR(__xludf.DUMMYFUNCTION("""COMPUTED_VALUE"""),2010.0)</f>
        <v>2010</v>
      </c>
      <c r="K139" s="697" t="str">
        <f>IFERROR(__xludf.DUMMYFUNCTION("""COMPUTED_VALUE"""),"inhabitants aged ≥ 13 years from Chonin (a district of Governador Valadares) with a positive stool sample for S. mansoni infection")</f>
        <v>inhabitants aged ≥ 13 years from Chonin (a district of Governador Valadares) with a positive stool sample for S. mansoni infection</v>
      </c>
      <c r="L139" s="697" t="str">
        <f>IFERROR(__xludf.DUMMYFUNCTION("""COMPUTED_VALUE"""),"No")</f>
        <v>No</v>
      </c>
      <c r="M139" s="697" t="str">
        <f>IFERROR(__xludf.DUMMYFUNCTION("""COMPUTED_VALUE"""),"Yes")</f>
        <v>Yes</v>
      </c>
      <c r="N139" s="697" t="str">
        <f>IFERROR(__xludf.DUMMYFUNCTION("""COMPUTED_VALUE"""),"Follow-ups were given at one, three and six month after treatment.  Cure assessment was performed by repeating two stool examinations, by a quantitative method, at 30, 90 and 180 days after treatment")</f>
        <v>Follow-ups were given at one, three and six month after treatment.  Cure assessment was performed by repeating two stool examinations, by a quantitative method, at 30, 90 and 180 days after treatment</v>
      </c>
      <c r="O139" s="873">
        <f>IFERROR(__xludf.DUMMYFUNCTION("""COMPUTED_VALUE"""),0.839)</f>
        <v>0.839</v>
      </c>
      <c r="P139" s="697"/>
      <c r="Q139" s="697" t="str">
        <f>IFERROR(__xludf.DUMMYFUNCTION("""COMPUTED_VALUE"""),"In conclusion, there was no advantage in the use of praziquantel at a dosage of 80mg/kg body weight in regard to efficacy when compared to 50 mg/kg. In addition, it was disadvantageous in terms of adverse reactions.")</f>
        <v>In conclusion, there was no advantage in the use of praziquantel at a dosage of 80mg/kg body weight in regard to efficacy when compared to 50 mg/kg. In addition, it was disadvantageous in terms of adverse reactions.</v>
      </c>
      <c r="R139" s="697" t="str">
        <f>IFERROR(__xludf.DUMMYFUNCTION("""COMPUTED_VALUE"""),"Comparative randomised trial of high and conventional doses of praziquantel in the treatment of schistosomiasis mansoni")</f>
        <v>Comparative randomised trial of high and conventional doses of praziquantel in the treatment of schistosomiasis mansoni</v>
      </c>
      <c r="S139" s="699" t="str">
        <f>IFERROR(__xludf.DUMMYFUNCTION("""COMPUTED_VALUE"""),"Queiroz LC, Drummond SC, Matos ML, Paiva MB, Batista TS, Kansaon AZ, et al.Comparative randomised trial of high and conventional doses of praziquantel in the treatment of schistosomiasis mansoni. Memorias do Instituto Oswaldo Cruz 2010;105(4):445–8.")</f>
        <v>Queiroz LC, Drummond SC, Matos ML, Paiva MB, Batista TS, Kansaon AZ, et al.Comparative randomised trial of high and conventional doses of praziquantel in the treatment of schistosomiasis mansoni. Memorias do Instituto Oswaldo Cruz 2010;105(4):445–8.</v>
      </c>
      <c r="T139" s="697"/>
      <c r="U139" s="697" t="str">
        <f>IFERROR(__xludf.DUMMYFUNCTION("""COMPUTED_VALUE"""),"")</f>
        <v/>
      </c>
      <c r="V139" s="697">
        <f>IFERROR(__xludf.DUMMYFUNCTION("""COMPUTED_VALUE"""),139.0)</f>
        <v>139</v>
      </c>
    </row>
    <row r="140">
      <c r="A140" s="697" t="str">
        <f>IFERROR(__xludf.DUMMYFUNCTION("""COMPUTED_VALUE"""),"Queiroz LC, 2010")</f>
        <v>Queiroz LC, 2010</v>
      </c>
      <c r="B140" s="697" t="str">
        <f>IFERROR(__xludf.DUMMYFUNCTION("""COMPUTED_VALUE"""),"s. mansoni")</f>
        <v>s. mansoni</v>
      </c>
      <c r="C140" s="697" t="str">
        <f>IFERROR(__xludf.DUMMYFUNCTION("""COMPUTED_VALUE"""),"Brazil")</f>
        <v>Brazil</v>
      </c>
      <c r="D140" s="697" t="str">
        <f>IFERROR(__xludf.DUMMYFUNCTION("""COMPUTED_VALUE"""),"Praziquantel")</f>
        <v>Praziquantel</v>
      </c>
      <c r="E140" s="697" t="str">
        <f>IFERROR(__xludf.DUMMYFUNCTION("""COMPUTED_VALUE"""),"Single")</f>
        <v>Single</v>
      </c>
      <c r="F140" s="697" t="str">
        <f>IFERROR(__xludf.DUMMYFUNCTION("""COMPUTED_VALUE"""),"80 mg/kg")</f>
        <v>80 mg/kg</v>
      </c>
      <c r="G140" s="697">
        <f>IFERROR(__xludf.DUMMYFUNCTION("""COMPUTED_VALUE"""),145.0)</f>
        <v>145</v>
      </c>
      <c r="H140" s="697" t="str">
        <f>IFERROR(__xludf.DUMMYFUNCTION("""COMPUTED_VALUE"""),"13 - 70 ")</f>
        <v>13 - 70 </v>
      </c>
      <c r="I140" s="705" t="str">
        <f>IFERROR(__xludf.DUMMYFUNCTION("""COMPUTED_VALUE"""),"83:60")</f>
        <v>83:60</v>
      </c>
      <c r="J140" s="697">
        <f>IFERROR(__xludf.DUMMYFUNCTION("""COMPUTED_VALUE"""),2010.0)</f>
        <v>2010</v>
      </c>
      <c r="K140" s="697" t="str">
        <f>IFERROR(__xludf.DUMMYFUNCTION("""COMPUTED_VALUE"""),"inhabitants aged ≥ 13 years from Chonin (a district of Governador Valadares) with a positive stool sample for S. mansoni infection")</f>
        <v>inhabitants aged ≥ 13 years from Chonin (a district of Governador Valadares) with a positive stool sample for S. mansoni infection</v>
      </c>
      <c r="L140" s="697" t="str">
        <f>IFERROR(__xludf.DUMMYFUNCTION("""COMPUTED_VALUE"""),"No")</f>
        <v>No</v>
      </c>
      <c r="M140" s="697" t="str">
        <f>IFERROR(__xludf.DUMMYFUNCTION("""COMPUTED_VALUE"""),"Yes")</f>
        <v>Yes</v>
      </c>
      <c r="N140" s="697" t="str">
        <f>IFERROR(__xludf.DUMMYFUNCTION("""COMPUTED_VALUE"""),"Follow-ups were given at one, three and six month after treatment.  Cure assessment was performed by repeating two stool examinations, by a quantitative method, at 30, 90 and 180 days after treatment")</f>
        <v>Follow-ups were given at one, three and six month after treatment.  Cure assessment was performed by repeating two stool examinations, by a quantitative method, at 30, 90 and 180 days after treatment</v>
      </c>
      <c r="O140" s="873">
        <f>IFERROR(__xludf.DUMMYFUNCTION("""COMPUTED_VALUE"""),0.897)</f>
        <v>0.897</v>
      </c>
      <c r="P140" s="697"/>
      <c r="Q140" s="697" t="str">
        <f>IFERROR(__xludf.DUMMYFUNCTION("""COMPUTED_VALUE"""),"In conclusion, there was no advantage in the use of praziquantel at a dosage of 80mg/kg body weight in regard to efficacy when compared to 50 mg/kg. In addition, it was disadvantageous in terms of adverse reactions.")</f>
        <v>In conclusion, there was no advantage in the use of praziquantel at a dosage of 80mg/kg body weight in regard to efficacy when compared to 50 mg/kg. In addition, it was disadvantageous in terms of adverse reactions.</v>
      </c>
      <c r="R140" s="697" t="str">
        <f>IFERROR(__xludf.DUMMYFUNCTION("""COMPUTED_VALUE"""),"Comparative randomised trial of high and conventional doses of praziquantel in the treatment of schistosomiasis mansoni")</f>
        <v>Comparative randomised trial of high and conventional doses of praziquantel in the treatment of schistosomiasis mansoni</v>
      </c>
      <c r="S140" s="699" t="str">
        <f>IFERROR(__xludf.DUMMYFUNCTION("""COMPUTED_VALUE"""),"Queiroz LC, Drummond SC, Matos ML, Paiva MB, Batista TS, Kansaon AZ, et al.Comparative randomised trial of high and conventional doses of praziquantel in the treatment of schistosomiasis mansoni. Memorias do Instituto Oswaldo Cruz 2010;105(4):445–8.")</f>
        <v>Queiroz LC, Drummond SC, Matos ML, Paiva MB, Batista TS, Kansaon AZ, et al.Comparative randomised trial of high and conventional doses of praziquantel in the treatment of schistosomiasis mansoni. Memorias do Instituto Oswaldo Cruz 2010;105(4):445–8.</v>
      </c>
      <c r="T140" s="697"/>
      <c r="U140" s="697" t="str">
        <f>IFERROR(__xludf.DUMMYFUNCTION("""COMPUTED_VALUE"""),"")</f>
        <v/>
      </c>
      <c r="V140" s="697">
        <f>IFERROR(__xludf.DUMMYFUNCTION("""COMPUTED_VALUE"""),140.0)</f>
        <v>140</v>
      </c>
    </row>
    <row r="141">
      <c r="A141" s="697" t="str">
        <f>IFERROR(__xludf.DUMMYFUNCTION("""COMPUTED_VALUE"""),"Raso G, 2004")</f>
        <v>Raso G, 2004</v>
      </c>
      <c r="B141" s="697" t="str">
        <f>IFERROR(__xludf.DUMMYFUNCTION("""COMPUTED_VALUE"""),"s. mansoni")</f>
        <v>s. mansoni</v>
      </c>
      <c r="C141" s="697" t="str">
        <f>IFERROR(__xludf.DUMMYFUNCTION("""COMPUTED_VALUE"""),"Cote d'Ivoire")</f>
        <v>Cote d'Ivoire</v>
      </c>
      <c r="D141" s="697" t="str">
        <f>IFERROR(__xludf.DUMMYFUNCTION("""COMPUTED_VALUE"""),"Praziquantel")</f>
        <v>Praziquantel</v>
      </c>
      <c r="E141" s="697" t="str">
        <f>IFERROR(__xludf.DUMMYFUNCTION("""COMPUTED_VALUE"""),"Single")</f>
        <v>Single</v>
      </c>
      <c r="F141" s="697" t="str">
        <f>IFERROR(__xludf.DUMMYFUNCTION("""COMPUTED_VALUE"""),"40 mg/kg")</f>
        <v>40 mg/kg</v>
      </c>
      <c r="G141" s="697">
        <f>IFERROR(__xludf.DUMMYFUNCTION("""COMPUTED_VALUE"""),161.0)</f>
        <v>161</v>
      </c>
      <c r="H141" s="697" t="str">
        <f>IFERROR(__xludf.DUMMYFUNCTION("""COMPUTED_VALUE"""),"8-65 years")</f>
        <v>8-65 years</v>
      </c>
      <c r="I141" s="705" t="str">
        <f>IFERROR(__xludf.DUMMYFUNCTION("""COMPUTED_VALUE"""),"50:24")</f>
        <v>50:24</v>
      </c>
      <c r="J141" s="697">
        <f>IFERROR(__xludf.DUMMYFUNCTION("""COMPUTED_VALUE"""),2004.0)</f>
        <v>2004</v>
      </c>
      <c r="K141" s="697" t="str">
        <f>IFERROR(__xludf.DUMMYFUNCTION("""COMPUTED_VALUE"""),"children (10 to 15) adults (greater than 40) M/F: Children infected with S.mansoni")</f>
        <v>children (10 to 15) adults (greater than 40) M/F: Children infected with S.mansoni</v>
      </c>
      <c r="L141" s="697" t="str">
        <f>IFERROR(__xludf.DUMMYFUNCTION("""COMPUTED_VALUE"""),"No")</f>
        <v>No</v>
      </c>
      <c r="M141" s="697" t="str">
        <f>IFERROR(__xludf.DUMMYFUNCTION("""COMPUTED_VALUE"""),"Yes")</f>
        <v>Yes</v>
      </c>
      <c r="N141" s="697" t="str">
        <f>IFERROR(__xludf.DUMMYFUNCTION("""COMPUTED_VALUE"""),"Cure rate assessed at 6 weeks by 3 consecutive stool specimens for eggs")</f>
        <v>Cure rate assessed at 6 weeks by 3 consecutive stool specimens for eggs</v>
      </c>
      <c r="O141" s="873">
        <f>IFERROR(__xludf.DUMMYFUNCTION("""COMPUTED_VALUE"""),0.609)</f>
        <v>0.609</v>
      </c>
      <c r="P141" s="698">
        <f>IFERROR(__xludf.DUMMYFUNCTION("""COMPUTED_VALUE"""),0.614)</f>
        <v>0.614</v>
      </c>
      <c r="Q141" s="697" t="str">
        <f>IFERROR(__xludf.DUMMYFUNCTION("""COMPUTED_VALUE"""),"Our findings call for additional studies that rigorously evaluate the efficacy of prazi- quantel against different schistosome species in entire communities, using similarly sensitive diagnostic approaches as employed here.")</f>
        <v>Our findings call for additional studies that rigorously evaluate the efficacy of prazi- quantel against different schistosome species in entire communities, using similarly sensitive diagnostic approaches as employed here.</v>
      </c>
      <c r="R141" s="697" t="str">
        <f>IFERROR(__xludf.DUMMYFUNCTION("""COMPUTED_VALUE"""),"Efficacy and Side Effects of Praziquantel against Schistosoma Mansoni in a Community of Western Cˆote D’Ivoire.")</f>
        <v>Efficacy and Side Effects of Praziquantel against Schistosoma Mansoni in a Community of Western Cˆote D’Ivoire.</v>
      </c>
      <c r="S141" s="699" t="str">
        <f>IFERROR(__xludf.DUMMYFUNCTION("""COMPUTED_VALUE"""),"Raso G, N’Goran EK, Toty A, Luginbühl A, Adjoua CA, Tian-Bi NT, and Bogoch II. ""Efficacy and Side Effects of Praziquantel against Schistosoma Mansoni in a Community of Western Cˆote D’Ivoire."" Transactions of the Royal Society of Tropical Medicine and H"&amp;"ygiene 98 (2004): 18—27.")</f>
        <v>Raso G, N’Goran EK, Toty A, Luginbühl A, Adjoua CA, Tian-Bi NT, and Bogoch II. "Efficacy and Side Effects of Praziquantel against Schistosoma Mansoni in a Community of Western Cˆote D’Ivoire." Transactions of the Royal Society of Tropical Medicine and Hygiene 98 (2004): 18—27.</v>
      </c>
      <c r="T141" s="697"/>
      <c r="U141" s="697" t="str">
        <f>IFERROR(__xludf.DUMMYFUNCTION("""COMPUTED_VALUE"""),"")</f>
        <v/>
      </c>
      <c r="V141" s="697">
        <f>IFERROR(__xludf.DUMMYFUNCTION("""COMPUTED_VALUE"""),141.0)</f>
        <v>141</v>
      </c>
    </row>
    <row r="142">
      <c r="A142" s="697" t="str">
        <f>IFERROR(__xludf.DUMMYFUNCTION("""COMPUTED_VALUE"""),"Rezende GL, 1985")</f>
        <v>Rezende GL, 1985</v>
      </c>
      <c r="B142" s="697" t="str">
        <f>IFERROR(__xludf.DUMMYFUNCTION("""COMPUTED_VALUE"""),"s. mansoni")</f>
        <v>s. mansoni</v>
      </c>
      <c r="C142" s="697" t="str">
        <f>IFERROR(__xludf.DUMMYFUNCTION("""COMPUTED_VALUE"""),"Brazil")</f>
        <v>Brazil</v>
      </c>
      <c r="D142" s="697" t="str">
        <f>IFERROR(__xludf.DUMMYFUNCTION("""COMPUTED_VALUE"""),"Oxamniquine")</f>
        <v>Oxamniquine</v>
      </c>
      <c r="E142" s="697" t="str">
        <f>IFERROR(__xludf.DUMMYFUNCTION("""COMPUTED_VALUE"""),"Single")</f>
        <v>Single</v>
      </c>
      <c r="F142" s="697" t="str">
        <f>IFERROR(__xludf.DUMMYFUNCTION("""COMPUTED_VALUE"""),"16 mg/kg")</f>
        <v>16 mg/kg</v>
      </c>
      <c r="G142" s="697">
        <f>IFERROR(__xludf.DUMMYFUNCTION("""COMPUTED_VALUE"""),272.0)</f>
        <v>272</v>
      </c>
      <c r="H142" s="697" t="str">
        <f>IFERROR(__xludf.DUMMYFUNCTION("""COMPUTED_VALUE"""),"8-62years")</f>
        <v>8-62years</v>
      </c>
      <c r="I142" s="705" t="str">
        <f>IFERROR(__xludf.DUMMYFUNCTION("""COMPUTED_VALUE"""),"189:78")</f>
        <v>189:78</v>
      </c>
      <c r="J142" s="697">
        <f>IFERROR(__xludf.DUMMYFUNCTION("""COMPUTED_VALUE"""),1985.0)</f>
        <v>1985</v>
      </c>
      <c r="K142" s="697" t="str">
        <f>IFERROR(__xludf.DUMMYFUNCTION("""COMPUTED_VALUE"""),"utpatients of all ages free from previous antischistosomal treatment; whole population who received previous treatment of children and adults with S. mansoni infection")</f>
        <v>utpatients of all ages free from previous antischistosomal treatment; whole population who received previous treatment of children and adults with S. mansoni infection</v>
      </c>
      <c r="L142" s="697" t="str">
        <f>IFERROR(__xludf.DUMMYFUNCTION("""COMPUTED_VALUE"""),"Yes")</f>
        <v>Yes</v>
      </c>
      <c r="M142" s="697" t="str">
        <f>IFERROR(__xludf.DUMMYFUNCTION("""COMPUTED_VALUE"""),"Yes")</f>
        <v>Yes</v>
      </c>
      <c r="N142" s="697" t="str">
        <f>IFERROR(__xludf.DUMMYFUNCTION("""COMPUTED_VALUE"""),"diagnosis and the parasitological follow-up lasting for a minimum of six months, were based on stool examinations according to Kato/Katz technique. A patient was considered cured if all results were negative and if he had performed at least three post-tre"&amp;"atment controls, each one comprising three stool examinations.")</f>
        <v>diagnosis and the parasitological follow-up lasting for a minimum of six months, were based on stool examinations according to Kato/Katz technique. A patient was considered cured if all results were negative and if he had performed at least three post-treatment controls, each one comprising three stool examinations.</v>
      </c>
      <c r="O142" s="873">
        <f>IFERROR(__xludf.DUMMYFUNCTION("""COMPUTED_VALUE"""),0.698)</f>
        <v>0.698</v>
      </c>
      <c r="P142" s="698">
        <f>IFERROR(__xludf.DUMMYFUNCTION("""COMPUTED_VALUE"""),0.746)</f>
        <v>0.746</v>
      </c>
      <c r="Q142" s="697" t="str">
        <f>IFERROR(__xludf.DUMMYFUNCTION("""COMPUTED_VALUE"""),"in spite of their different chemical, pharmacological and toxicological profiles as well as mechanisms-of-action, inclusively praziquantel already had proved to be 100% active against S. mansoni strains resistant to oxamniquine, both drugs showed comparab"&amp;"le tolerance and therapeutical efficacy.")</f>
        <v>in spite of their different chemical, pharmacological and toxicological profiles as well as mechanisms-of-action, inclusively praziquantel already had proved to be 100% active against S. mansoni strains resistant to oxamniquine, both drugs showed comparable tolerance and therapeutical efficacy.</v>
      </c>
      <c r="R142" s="697"/>
      <c r="S142" s="699" t="str">
        <f>IFERROR(__xludf.DUMMYFUNCTION("""COMPUTED_VALUE"""),"Rezende GL de. Survey on the clinical results achieved in Brazil comparing praziquantel and oxamniquine in the treatment of S. mansoni schistosomiasis. Revista do Instituto de Medicina Tropical de São Paulo 1985;27(6):328–68.")</f>
        <v>Rezende GL de. Survey on the clinical results achieved in Brazil comparing praziquantel and oxamniquine in the treatment of S. mansoni schistosomiasis. Revista do Instituto de Medicina Tropical de São Paulo 1985;27(6):328–68.</v>
      </c>
      <c r="T142" s="697"/>
      <c r="U142" s="697" t="str">
        <f>IFERROR(__xludf.DUMMYFUNCTION("""COMPUTED_VALUE"""),"")</f>
        <v/>
      </c>
      <c r="V142" s="697">
        <f>IFERROR(__xludf.DUMMYFUNCTION("""COMPUTED_VALUE"""),142.0)</f>
        <v>142</v>
      </c>
    </row>
    <row r="143">
      <c r="A143" s="697" t="str">
        <f>IFERROR(__xludf.DUMMYFUNCTION("""COMPUTED_VALUE"""),"Rezende GL, 1985")</f>
        <v>Rezende GL, 1985</v>
      </c>
      <c r="B143" s="697" t="str">
        <f>IFERROR(__xludf.DUMMYFUNCTION("""COMPUTED_VALUE"""),"s. mansoni")</f>
        <v>s. mansoni</v>
      </c>
      <c r="C143" s="697" t="str">
        <f>IFERROR(__xludf.DUMMYFUNCTION("""COMPUTED_VALUE"""),"Brazil")</f>
        <v>Brazil</v>
      </c>
      <c r="D143" s="697" t="str">
        <f>IFERROR(__xludf.DUMMYFUNCTION("""COMPUTED_VALUE"""),"Praziquantel")</f>
        <v>Praziquantel</v>
      </c>
      <c r="E143" s="697" t="str">
        <f>IFERROR(__xludf.DUMMYFUNCTION("""COMPUTED_VALUE"""),"Single")</f>
        <v>Single</v>
      </c>
      <c r="F143" s="697" t="str">
        <f>IFERROR(__xludf.DUMMYFUNCTION("""COMPUTED_VALUE"""),"55 mg/kg")</f>
        <v>55 mg/kg</v>
      </c>
      <c r="G143" s="697">
        <f>IFERROR(__xludf.DUMMYFUNCTION("""COMPUTED_VALUE"""),267.0)</f>
        <v>267</v>
      </c>
      <c r="H143" s="697" t="str">
        <f>IFERROR(__xludf.DUMMYFUNCTION("""COMPUTED_VALUE"""),"8-65years")</f>
        <v>8-65years</v>
      </c>
      <c r="I143" s="705" t="str">
        <f>IFERROR(__xludf.DUMMYFUNCTION("""COMPUTED_VALUE"""),"188:84")</f>
        <v>188:84</v>
      </c>
      <c r="J143" s="697">
        <f>IFERROR(__xludf.DUMMYFUNCTION("""COMPUTED_VALUE"""),1985.0)</f>
        <v>1985</v>
      </c>
      <c r="K143" s="697" t="str">
        <f>IFERROR(__xludf.DUMMYFUNCTION("""COMPUTED_VALUE"""),"utpatients of all ages free from previous antischistosomal treatment; whole population who received previous treatment of children and adults with S. mansoni infection")</f>
        <v>utpatients of all ages free from previous antischistosomal treatment; whole population who received previous treatment of children and adults with S. mansoni infection</v>
      </c>
      <c r="L143" s="697" t="str">
        <f>IFERROR(__xludf.DUMMYFUNCTION("""COMPUTED_VALUE"""),"Yes")</f>
        <v>Yes</v>
      </c>
      <c r="M143" s="697" t="str">
        <f>IFERROR(__xludf.DUMMYFUNCTION("""COMPUTED_VALUE"""),"Yes")</f>
        <v>Yes</v>
      </c>
      <c r="N143" s="697" t="str">
        <f>IFERROR(__xludf.DUMMYFUNCTION("""COMPUTED_VALUE"""),"diagnosis and the parasitological follow-up lasting for a minimum of six months, were based on stool examinations according to Kato/Katz technique. A patient was considered cured if all results were negative and if he had performed at least three post-tre"&amp;"atment controls, each one comprising three stool examinations.")</f>
        <v>diagnosis and the parasitological follow-up lasting for a minimum of six months, were based on stool examinations according to Kato/Katz technique. A patient was considered cured if all results were negative and if he had performed at least three post-treatment controls, each one comprising three stool examinations.</v>
      </c>
      <c r="O143" s="873">
        <f>IFERROR(__xludf.DUMMYFUNCTION("""COMPUTED_VALUE"""),0.755)</f>
        <v>0.755</v>
      </c>
      <c r="P143" s="698">
        <f>IFERROR(__xludf.DUMMYFUNCTION("""COMPUTED_VALUE"""),0.886)</f>
        <v>0.886</v>
      </c>
      <c r="Q143" s="697" t="str">
        <f>IFERROR(__xludf.DUMMYFUNCTION("""COMPUTED_VALUE"""),"in spite of their different chemical, pharmacological and toxicological profiles as well as mechanisms-of-action, inclusively praziquantel already had proved to be 100% active against S. mansoni strains resistant to oxamniquine, both drugs showed comparab"&amp;"le tolerance and therapeutical efficacy.")</f>
        <v>in spite of their different chemical, pharmacological and toxicological profiles as well as mechanisms-of-action, inclusively praziquantel already had proved to be 100% active against S. mansoni strains resistant to oxamniquine, both drugs showed comparable tolerance and therapeutical efficacy.</v>
      </c>
      <c r="R143" s="697"/>
      <c r="S143" s="699" t="str">
        <f>IFERROR(__xludf.DUMMYFUNCTION("""COMPUTED_VALUE"""),"Rezende GL de. Survey on the clinical results achieved in Brazil comparing praziquantel and oxamniquine in the treatment of S. mansoni schistosomiasis. Revista do Instituto de Medicina Tropical de São Paulo 1985;27(6):328–68.")</f>
        <v>Rezende GL de. Survey on the clinical results achieved in Brazil comparing praziquantel and oxamniquine in the treatment of S. mansoni schistosomiasis. Revista do Instituto de Medicina Tropical de São Paulo 1985;27(6):328–68.</v>
      </c>
      <c r="T143" s="697"/>
      <c r="U143" s="697" t="str">
        <f>IFERROR(__xludf.DUMMYFUNCTION("""COMPUTED_VALUE"""),"")</f>
        <v/>
      </c>
      <c r="V143" s="697">
        <f>IFERROR(__xludf.DUMMYFUNCTION("""COMPUTED_VALUE"""),143.0)</f>
        <v>143</v>
      </c>
    </row>
    <row r="144">
      <c r="A144" s="697" t="str">
        <f>IFERROR(__xludf.DUMMYFUNCTION("""COMPUTED_VALUE"""),"Saathoff 2004")</f>
        <v>Saathoff 2004</v>
      </c>
      <c r="B144" s="697" t="str">
        <f>IFERROR(__xludf.DUMMYFUNCTION("""COMPUTED_VALUE"""),"s. haematobium")</f>
        <v>s. haematobium</v>
      </c>
      <c r="C144" s="697" t="str">
        <f>IFERROR(__xludf.DUMMYFUNCTION("""COMPUTED_VALUE"""),"South Africa")</f>
        <v>South Africa</v>
      </c>
      <c r="D144" s="697" t="str">
        <f>IFERROR(__xludf.DUMMYFUNCTION("""COMPUTED_VALUE"""),"Praziquantel")</f>
        <v>Praziquantel</v>
      </c>
      <c r="E144" s="697" t="str">
        <f>IFERROR(__xludf.DUMMYFUNCTION("""COMPUTED_VALUE"""),"Single")</f>
        <v>Single</v>
      </c>
      <c r="F144" s="697" t="str">
        <f>IFERROR(__xludf.DUMMYFUNCTION("""COMPUTED_VALUE"""),"40 mg/kg")</f>
        <v>40 mg/kg</v>
      </c>
      <c r="G144" s="697">
        <f>IFERROR(__xludf.DUMMYFUNCTION("""COMPUTED_VALUE"""),1109.0)</f>
        <v>1109</v>
      </c>
      <c r="H144" s="697" t="str">
        <f>IFERROR(__xludf.DUMMYFUNCTION("""COMPUTED_VALUE"""),"9.7-12.2 years old")</f>
        <v>9.7-12.2 years old</v>
      </c>
      <c r="I144" s="705" t="str">
        <f>IFERROR(__xludf.DUMMYFUNCTION("""COMPUTED_VALUE"""),"510/599")</f>
        <v>510/599</v>
      </c>
      <c r="J144" s="697">
        <f>IFERROR(__xludf.DUMMYFUNCTION("""COMPUTED_VALUE"""),1999.0)</f>
        <v>1999</v>
      </c>
      <c r="K144" s="697" t="str">
        <f>IFERROR(__xludf.DUMMYFUNCTION("""COMPUTED_VALUE"""),"limited to children who attended grade 3 at the start of the study in order to keep disturbances of the school routine to a minimum and because this grade should represent the infection situation in a primary school relatively well")</f>
        <v>limited to children who attended grade 3 at the start of the study in order to keep disturbances of the school routine to a minimum and because this grade should represent the infection situation in a primary school relatively well</v>
      </c>
      <c r="L144" s="697" t="str">
        <f>IFERROR(__xludf.DUMMYFUNCTION("""COMPUTED_VALUE"""),"Yes")</f>
        <v>Yes</v>
      </c>
      <c r="M144" s="697" t="str">
        <f>IFERROR(__xludf.DUMMYFUNCTION("""COMPUTED_VALUE"""),"Yes")</f>
        <v>Yes</v>
      </c>
      <c r="N144" s="697" t="str">
        <f>IFERROR(__xludf.DUMMYFUNCTION("""COMPUTED_VALUE"""),"3 weeks")</f>
        <v>3 weeks</v>
      </c>
      <c r="O144" s="873">
        <f>IFERROR(__xludf.DUMMYFUNCTION("""COMPUTED_VALUE"""),0.579)</f>
        <v>0.579</v>
      </c>
      <c r="P144" s="698">
        <f>IFERROR(__xludf.DUMMYFUNCTION("""COMPUTED_VALUE"""),0.953)</f>
        <v>0.953</v>
      </c>
      <c r="Q144" s="697" t="str">
        <f>IFERROR(__xludf.DUMMYFUNCTION("""COMPUTED_VALUE"""),"Our study shows that according to WHO guidelines [4] the high prevalence and intensity of S. haematobium infection in the area indeed necessitate regular treatment of schoolchildren, that praziquantel treatment is highly efficacious in reducing the propor"&amp;"tion of moderate and heavy infections and that one treatment per year after the end of summer is sufficient to keep infection intensities at low levels. Because levels of S. haematobium infection in the study area seem to be among the highest in the count"&amp;"ry [23] the latter would probably also apply to other parts of South Africa. The slow pace of re-infection might suggest that it could even be sufficient to only treat every two years, but this would need to be verified in a separate study that follows tr"&amp;"eated children over this period.")</f>
        <v>Our study shows that according to WHO guidelines [4] the high prevalence and intensity of S. haematobium infection in the area indeed necessitate regular treatment of schoolchildren, that praziquantel treatment is highly efficacious in reducing the proportion of moderate and heavy infections and that one treatment per year after the end of summer is sufficient to keep infection intensities at low levels. Because levels of S. haematobium infection in the study area seem to be among the highest in the country [23] the latter would probably also apply to other parts of South Africa. The slow pace of re-infection might suggest that it could even be sufficient to only treat every two years, but this would need to be verified in a separate study that follows treated children over this period.</v>
      </c>
      <c r="R144" s="697"/>
      <c r="S144" s="699" t="str">
        <f>IFERROR(__xludf.DUMMYFUNCTION("""COMPUTED_VALUE"""),"Saathoff, Elmar, et al. ""Patterns of Schistosoma haematobium infection, impact of praziquantel treatment and re-infection after treatment in a cohort of schoolchildren from rural KwaZulu-Natal/South Africa."" BMC infectious diseases 4.1 (2004): 1.")</f>
        <v>Saathoff, Elmar, et al. "Patterns of Schistosoma haematobium infection, impact of praziquantel treatment and re-infection after treatment in a cohort of schoolchildren from rural KwaZulu-Natal/South Africa." BMC infectious diseases 4.1 (2004): 1.</v>
      </c>
      <c r="T144" s="697"/>
      <c r="U144" s="697" t="str">
        <f>IFERROR(__xludf.DUMMYFUNCTION("""COMPUTED_VALUE"""),"")</f>
        <v/>
      </c>
      <c r="V144" s="697">
        <f>IFERROR(__xludf.DUMMYFUNCTION("""COMPUTED_VALUE"""),144.0)</f>
        <v>144</v>
      </c>
    </row>
    <row r="145">
      <c r="A145" s="697" t="str">
        <f>IFERROR(__xludf.DUMMYFUNCTION("""COMPUTED_VALUE"""),"Senghor B, 2015")</f>
        <v>Senghor B, 2015</v>
      </c>
      <c r="B145" s="697" t="str">
        <f>IFERROR(__xludf.DUMMYFUNCTION("""COMPUTED_VALUE"""),"s. haematobium")</f>
        <v>s. haematobium</v>
      </c>
      <c r="C145" s="697" t="str">
        <f>IFERROR(__xludf.DUMMYFUNCTION("""COMPUTED_VALUE"""),"Senegal")</f>
        <v>Senegal</v>
      </c>
      <c r="D145" s="697" t="str">
        <f>IFERROR(__xludf.DUMMYFUNCTION("""COMPUTED_VALUE"""),"Praziquantel")</f>
        <v>Praziquantel</v>
      </c>
      <c r="E145" s="697" t="str">
        <f>IFERROR(__xludf.DUMMYFUNCTION("""COMPUTED_VALUE"""),"Single")</f>
        <v>Single</v>
      </c>
      <c r="F145" s="697" t="str">
        <f>IFERROR(__xludf.DUMMYFUNCTION("""COMPUTED_VALUE"""),"40 mg/kg")</f>
        <v>40 mg/kg</v>
      </c>
      <c r="G145" s="697">
        <f>IFERROR(__xludf.DUMMYFUNCTION("""COMPUTED_VALUE"""),329.0)</f>
        <v>329</v>
      </c>
      <c r="H145" s="697" t="str">
        <f>IFERROR(__xludf.DUMMYFUNCTION("""COMPUTED_VALUE"""),"5 to 15")</f>
        <v>5 to 15</v>
      </c>
      <c r="I145" s="705" t="str">
        <f>IFERROR(__xludf.DUMMYFUNCTION("""COMPUTED_VALUE"""),"192 : 137")</f>
        <v>192 : 137</v>
      </c>
      <c r="J145" s="697">
        <f>IFERROR(__xludf.DUMMYFUNCTION("""COMPUTED_VALUE"""),2012.0)</f>
        <v>2012</v>
      </c>
      <c r="K145" s="697" t="str">
        <f>IFERROR(__xludf.DUMMYFUNCTION("""COMPUTED_VALUE"""),"residence in the studied villages during the rainy season, an age of between 5 and 15 years and consent to participate in the study")</f>
        <v>residence in the studied villages during the rainy season, an age of between 5 and 15 years and consent to participate in the study</v>
      </c>
      <c r="L145" s="697" t="str">
        <f>IFERROR(__xludf.DUMMYFUNCTION("""COMPUTED_VALUE"""),"No")</f>
        <v>No</v>
      </c>
      <c r="M145" s="697" t="str">
        <f>IFERROR(__xludf.DUMMYFUNCTION("""COMPUTED_VALUE"""),"No")</f>
        <v>No</v>
      </c>
      <c r="N145" s="697" t="str">
        <f>IFERROR(__xludf.DUMMYFUNCTION("""COMPUTED_VALUE"""),"follow up 5 weeks;2-3 months ")</f>
        <v>follow up 5 weeks;2-3 months </v>
      </c>
      <c r="O145" s="874">
        <f>IFERROR(__xludf.DUMMYFUNCTION("""COMPUTED_VALUE"""),0.937)</f>
        <v>0.937</v>
      </c>
      <c r="P145" s="706">
        <f>IFERROR(__xludf.DUMMYFUNCTION("""COMPUTED_VALUE"""),0.878)</f>
        <v>0.878</v>
      </c>
      <c r="Q145" s="697" t="str">
        <f>IFERROR(__xludf.DUMMYFUNCTION("""COMPUTED_VALUE"""),"A single dose of 40 mg/kg of PZQ has a significant impact on the prevalence and the intensity of infection")</f>
        <v>A single dose of 40 mg/kg of PZQ has a significant impact on the prevalence and the intensity of infection</v>
      </c>
      <c r="R145" s="697"/>
      <c r="S145" s="699" t="str">
        <f>IFERROR(__xludf.DUMMYFUNCTION("""COMPUTED_VALUE"""),"Senghor, B., Diaw, O. T., Doucoure, S., Sylla, S. N., Seye, M., Talla, I., … Sokhna, C. (2015). Efficacy of praziquantel against urinary schistosomiasis and reinfection in Senegalese school children where there is a single well-defined transmission period"&amp;". Parasites &amp; Vectors, 8, 362. http://doi.org/10.1186/s13071-015-0980-5")</f>
        <v>Senghor, B., Diaw, O. T., Doucoure, S., Sylla, S. N., Seye, M., Talla, I., … Sokhna, C. (2015). Efficacy of praziquantel against urinary schistosomiasis and reinfection in Senegalese school children where there is a single well-defined transmission period. Parasites &amp; Vectors, 8, 362. http://doi.org/10.1186/s13071-015-0980-5</v>
      </c>
      <c r="T145" s="697"/>
      <c r="U145" s="697" t="str">
        <f>IFERROR(__xludf.DUMMYFUNCTION("""COMPUTED_VALUE"""),"x")</f>
        <v>x</v>
      </c>
      <c r="V145" s="697">
        <f>IFERROR(__xludf.DUMMYFUNCTION("""COMPUTED_VALUE"""),145.0)</f>
        <v>145</v>
      </c>
    </row>
    <row r="146">
      <c r="A146" s="697" t="str">
        <f>IFERROR(__xludf.DUMMYFUNCTION("""COMPUTED_VALUE"""),"Shafei AZ, 1979")</f>
        <v>Shafei AZ, 1979</v>
      </c>
      <c r="B146" s="697" t="str">
        <f>IFERROR(__xludf.DUMMYFUNCTION("""COMPUTED_VALUE"""),"s. mansoni")</f>
        <v>s. mansoni</v>
      </c>
      <c r="C146" s="697" t="str">
        <f>IFERROR(__xludf.DUMMYFUNCTION("""COMPUTED_VALUE"""),"Nigeria")</f>
        <v>Nigeria</v>
      </c>
      <c r="D146" s="697" t="str">
        <f>IFERROR(__xludf.DUMMYFUNCTION("""COMPUTED_VALUE"""),"Oxamniquine")</f>
        <v>Oxamniquine</v>
      </c>
      <c r="E146" s="697" t="str">
        <f>IFERROR(__xludf.DUMMYFUNCTION("""COMPUTED_VALUE"""),"Two")</f>
        <v>Two</v>
      </c>
      <c r="F146" s="697" t="str">
        <f>IFERROR(__xludf.DUMMYFUNCTION("""COMPUTED_VALUE"""),"15 mg/kg")</f>
        <v>15 mg/kg</v>
      </c>
      <c r="G146" s="697">
        <f>IFERROR(__xludf.DUMMYFUNCTION("""COMPUTED_VALUE"""),20.0)</f>
        <v>20</v>
      </c>
      <c r="H146" s="697" t="str">
        <f>IFERROR(__xludf.DUMMYFUNCTION("""COMPUTED_VALUE"""),"18 - 47")</f>
        <v>18 - 47</v>
      </c>
      <c r="I146" s="705" t="str">
        <f>IFERROR(__xludf.DUMMYFUNCTION("""COMPUTED_VALUE"""),"26 : 19")</f>
        <v>26 : 19</v>
      </c>
      <c r="J146" s="697">
        <f>IFERROR(__xludf.DUMMYFUNCTION("""COMPUTED_VALUE"""),1979.0)</f>
        <v>1979</v>
      </c>
      <c r="K146" s="697" t="str">
        <f>IFERROR(__xludf.DUMMYFUNCTION("""COMPUTED_VALUE"""),"individuals with S. mansoni infection detected in stool by the McMaster technique")</f>
        <v>individuals with S. mansoni infection detected in stool by the McMaster technique</v>
      </c>
      <c r="L146" s="697" t="str">
        <f>IFERROR(__xludf.DUMMYFUNCTION("""COMPUTED_VALUE"""),"No")</f>
        <v>No</v>
      </c>
      <c r="M146" s="697" t="str">
        <f>IFERROR(__xludf.DUMMYFUNCTION("""COMPUTED_VALUE"""),"No")</f>
        <v>No</v>
      </c>
      <c r="N146" s="697" t="str">
        <f>IFERROR(__xludf.DUMMYFUNCTION("""COMPUTED_VALUE"""),"follow up: 2 months")</f>
        <v>follow up: 2 months</v>
      </c>
      <c r="O146" s="872">
        <f>IFERROR(__xludf.DUMMYFUNCTION("""COMPUTED_VALUE"""),0.95)</f>
        <v>0.95</v>
      </c>
      <c r="P146" s="700">
        <f>IFERROR(__xludf.DUMMYFUNCTION("""COMPUTED_VALUE"""),1.0)</f>
        <v>1</v>
      </c>
      <c r="Q146" s="697" t="str">
        <f>IFERROR(__xludf.DUMMYFUNCTION("""COMPUTED_VALUE"""),"Oxaminiquine proved to be an effective drug for the treatment of s.mansoni in adults ")</f>
        <v>Oxaminiquine proved to be an effective drug for the treatment of s.mansoni in adults </v>
      </c>
      <c r="R146" s="697"/>
      <c r="S146" s="699" t="str">
        <f>IFERROR(__xludf.DUMMYFUNCTION("""COMPUTED_VALUE"""),"Shafei AZ. A preliminary report on the treatment of intestinal schistosomiasis with oxamniquine. Journal of Tropical Medicine and Hygiene 1979;82(1):18–20.")</f>
        <v>Shafei AZ. A preliminary report on the treatment of intestinal schistosomiasis with oxamniquine. Journal of Tropical Medicine and Hygiene 1979;82(1):18–20.</v>
      </c>
      <c r="T146" s="697"/>
      <c r="U146" s="697" t="str">
        <f>IFERROR(__xludf.DUMMYFUNCTION("""COMPUTED_VALUE"""),"x")</f>
        <v>x</v>
      </c>
      <c r="V146" s="697">
        <f>IFERROR(__xludf.DUMMYFUNCTION("""COMPUTED_VALUE"""),146.0)</f>
        <v>146</v>
      </c>
    </row>
    <row r="147">
      <c r="A147" s="697" t="str">
        <f>IFERROR(__xludf.DUMMYFUNCTION("""COMPUTED_VALUE"""),"Shafei AZ, 1979")</f>
        <v>Shafei AZ, 1979</v>
      </c>
      <c r="B147" s="697" t="str">
        <f>IFERROR(__xludf.DUMMYFUNCTION("""COMPUTED_VALUE"""),"s. mansoni")</f>
        <v>s. mansoni</v>
      </c>
      <c r="C147" s="697" t="str">
        <f>IFERROR(__xludf.DUMMYFUNCTION("""COMPUTED_VALUE"""),"Nigeria")</f>
        <v>Nigeria</v>
      </c>
      <c r="D147" s="697" t="str">
        <f>IFERROR(__xludf.DUMMYFUNCTION("""COMPUTED_VALUE"""),"Oxamniquine")</f>
        <v>Oxamniquine</v>
      </c>
      <c r="E147" s="697" t="str">
        <f>IFERROR(__xludf.DUMMYFUNCTION("""COMPUTED_VALUE"""),"Single")</f>
        <v>Single</v>
      </c>
      <c r="F147" s="697" t="str">
        <f>IFERROR(__xludf.DUMMYFUNCTION("""COMPUTED_VALUE"""),"15 mg/kg")</f>
        <v>15 mg/kg</v>
      </c>
      <c r="G147" s="697">
        <f>IFERROR(__xludf.DUMMYFUNCTION("""COMPUTED_VALUE"""),16.0)</f>
        <v>16</v>
      </c>
      <c r="H147" s="697" t="str">
        <f>IFERROR(__xludf.DUMMYFUNCTION("""COMPUTED_VALUE"""),"18 - 47")</f>
        <v>18 - 47</v>
      </c>
      <c r="I147" s="705" t="str">
        <f>IFERROR(__xludf.DUMMYFUNCTION("""COMPUTED_VALUE"""),"26 : 19")</f>
        <v>26 : 19</v>
      </c>
      <c r="J147" s="697">
        <f>IFERROR(__xludf.DUMMYFUNCTION("""COMPUTED_VALUE"""),1979.0)</f>
        <v>1979</v>
      </c>
      <c r="K147" s="697" t="str">
        <f>IFERROR(__xludf.DUMMYFUNCTION("""COMPUTED_VALUE"""),"individuals with S. mansoni infection detected in stool by the McMaster technique")</f>
        <v>individuals with S. mansoni infection detected in stool by the McMaster technique</v>
      </c>
      <c r="L147" s="697" t="str">
        <f>IFERROR(__xludf.DUMMYFUNCTION("""COMPUTED_VALUE"""),"No")</f>
        <v>No</v>
      </c>
      <c r="M147" s="697" t="str">
        <f>IFERROR(__xludf.DUMMYFUNCTION("""COMPUTED_VALUE"""),"No")</f>
        <v>No</v>
      </c>
      <c r="N147" s="697" t="str">
        <f>IFERROR(__xludf.DUMMYFUNCTION("""COMPUTED_VALUE"""),"follow up: 2 months")</f>
        <v>follow up: 2 months</v>
      </c>
      <c r="O147" s="873">
        <f>IFERROR(__xludf.DUMMYFUNCTION("""COMPUTED_VALUE"""),0.875)</f>
        <v>0.875</v>
      </c>
      <c r="P147" s="698">
        <f>IFERROR(__xludf.DUMMYFUNCTION("""COMPUTED_VALUE"""),0.937)</f>
        <v>0.937</v>
      </c>
      <c r="Q147" s="697" t="str">
        <f>IFERROR(__xludf.DUMMYFUNCTION("""COMPUTED_VALUE"""),"Oxaminiquine proved to be an effective drug for the treatment of s.mansoni in adults ")</f>
        <v>Oxaminiquine proved to be an effective drug for the treatment of s.mansoni in adults </v>
      </c>
      <c r="R147" s="697"/>
      <c r="S147" s="699" t="str">
        <f>IFERROR(__xludf.DUMMYFUNCTION("""COMPUTED_VALUE"""),"Shafei AZ. A preliminary report on the treatment of intestinal schistosomiasis with oxamniquine. Journal of Tropical Medicine and Hygiene 1979;82(1):18–20.")</f>
        <v>Shafei AZ. A preliminary report on the treatment of intestinal schistosomiasis with oxamniquine. Journal of Tropical Medicine and Hygiene 1979;82(1):18–20.</v>
      </c>
      <c r="T147" s="697"/>
      <c r="U147" s="697" t="str">
        <f>IFERROR(__xludf.DUMMYFUNCTION("""COMPUTED_VALUE"""),"x")</f>
        <v>x</v>
      </c>
      <c r="V147" s="697">
        <f>IFERROR(__xludf.DUMMYFUNCTION("""COMPUTED_VALUE"""),147.0)</f>
        <v>147</v>
      </c>
    </row>
    <row r="148">
      <c r="A148" s="697" t="str">
        <f>IFERROR(__xludf.DUMMYFUNCTION("""COMPUTED_VALUE"""),"Silva 1986")</f>
        <v>Silva 1986</v>
      </c>
      <c r="B148" s="697" t="str">
        <f>IFERROR(__xludf.DUMMYFUNCTION("""COMPUTED_VALUE"""),"s. mansoni")</f>
        <v>s. mansoni</v>
      </c>
      <c r="C148" s="697" t="str">
        <f>IFERROR(__xludf.DUMMYFUNCTION("""COMPUTED_VALUE"""),"Brazil")</f>
        <v>Brazil</v>
      </c>
      <c r="D148" s="697" t="str">
        <f>IFERROR(__xludf.DUMMYFUNCTION("""COMPUTED_VALUE"""),"Praziquantel")</f>
        <v>Praziquantel</v>
      </c>
      <c r="E148" s="697" t="str">
        <f>IFERROR(__xludf.DUMMYFUNCTION("""COMPUTED_VALUE"""),"Single")</f>
        <v>Single</v>
      </c>
      <c r="F148" s="697" t="str">
        <f>IFERROR(__xludf.DUMMYFUNCTION("""COMPUTED_VALUE"""),"55 mg/kg")</f>
        <v>55 mg/kg</v>
      </c>
      <c r="G148" s="697">
        <f>IFERROR(__xludf.DUMMYFUNCTION("""COMPUTED_VALUE"""),60.0)</f>
        <v>60</v>
      </c>
      <c r="H148" s="697" t="str">
        <f>IFERROR(__xludf.DUMMYFUNCTION("""COMPUTED_VALUE"""),"older than 14 years")</f>
        <v>older than 14 years</v>
      </c>
      <c r="I148" s="705" t="str">
        <f>IFERROR(__xludf.DUMMYFUNCTION("""COMPUTED_VALUE"""),"(30):(30)")</f>
        <v>(30):(30)</v>
      </c>
      <c r="J148" s="697">
        <f>IFERROR(__xludf.DUMMYFUNCTION("""COMPUTED_VALUE"""),1986.0)</f>
        <v>1986</v>
      </c>
      <c r="K148" s="697" t="str">
        <f>IFERROR(__xludf.DUMMYFUNCTION("""COMPUTED_VALUE"""),"patients with chronic intestinal or hepato-intestinal forms of schistosomiasis were included in the trial.")</f>
        <v>patients with chronic intestinal or hepato-intestinal forms of schistosomiasis were included in the trial.</v>
      </c>
      <c r="L148" s="697" t="str">
        <f>IFERROR(__xludf.DUMMYFUNCTION("""COMPUTED_VALUE"""),"Yes")</f>
        <v>Yes</v>
      </c>
      <c r="M148" s="697" t="str">
        <f>IFERROR(__xludf.DUMMYFUNCTION("""COMPUTED_VALUE"""),"Yes")</f>
        <v>Yes</v>
      </c>
      <c r="N148" s="697" t="str">
        <f>IFERROR(__xludf.DUMMYFUNCTION("""COMPUTED_VALUE"""),"6 months after")</f>
        <v>6 months after</v>
      </c>
      <c r="O148" s="874">
        <f>IFERROR(__xludf.DUMMYFUNCTION("""COMPUTED_VALUE"""),0.792)</f>
        <v>0.792</v>
      </c>
      <c r="P148" s="706">
        <f>IFERROR(__xludf.DUMMYFUNCTION("""COMPUTED_VALUE"""),0.935)</f>
        <v>0.935</v>
      </c>
      <c r="Q148" s="697" t="str">
        <f>IFERROR(__xludf.DUMMYFUNCTION("""COMPUTED_VALUE"""),"Parasitological negativation occurred in 38 out of 48 patients (795%) under praziquantel administration and in 39 out of 46 (84.8% &gt; under oxamniquine. Other investigators also have reported no significant difference between the efficacy of both drugs 3-1"&amp;"3AZI. However, some •of them referred a lower3 whereas others a higher1 3 cure-rate. For children, higher doses of praziquantel, 70 mg/kg, as well as of oxamniquine, 20 mg/kg, are necessary for achieving a cure-rate of about 70% 1 2 A")</f>
        <v>Parasitological negativation occurred in 38 out of 48 patients (795%) under praziquantel administration and in 39 out of 46 (84.8% &gt; under oxamniquine. Other investigators also have reported no significant difference between the efficacy of both drugs 3-13AZI. However, some •of them referred a lower3 whereas others a higher1 3 cure-rate. For children, higher doses of praziquantel, 70 mg/kg, as well as of oxamniquine, 20 mg/kg, are necessary for achieving a cure-rate of about 70% 1 2 A</v>
      </c>
      <c r="R148" s="697"/>
      <c r="S148" s="699" t="str">
        <f>IFERROR(__xludf.DUMMYFUNCTION("""COMPUTED_VALUE"""),"da Silva LC, Zeitune JM, Rosa-Eid LM, Lima DM, Antonelli RH, Christo CH, Saez-Alquezar A, Carboni Ade C. Treatment of patients with schistosomiasis mansoni: a double blind clinical trial comparing praziquantel with oxamniquine. Rev Inst Med Trop Sao Paulo"&amp;". 1986 May-Jun;28(3):174-80.")</f>
        <v>da Silva LC, Zeitune JM, Rosa-Eid LM, Lima DM, Antonelli RH, Christo CH, Saez-Alquezar A, Carboni Ade C. Treatment of patients with schistosomiasis mansoni: a double blind clinical trial comparing praziquantel with oxamniquine. Rev Inst Med Trop Sao Paulo. 1986 May-Jun;28(3):174-80.</v>
      </c>
      <c r="T148" s="697"/>
      <c r="U148" s="697" t="str">
        <f>IFERROR(__xludf.DUMMYFUNCTION("""COMPUTED_VALUE"""),"")</f>
        <v/>
      </c>
      <c r="V148" s="697">
        <f>IFERROR(__xludf.DUMMYFUNCTION("""COMPUTED_VALUE"""),148.0)</f>
        <v>148</v>
      </c>
    </row>
    <row r="149">
      <c r="A149" s="697" t="str">
        <f>IFERROR(__xludf.DUMMYFUNCTION("""COMPUTED_VALUE"""),"Silva 1986")</f>
        <v>Silva 1986</v>
      </c>
      <c r="B149" s="697" t="str">
        <f>IFERROR(__xludf.DUMMYFUNCTION("""COMPUTED_VALUE"""),"s. mansoni")</f>
        <v>s. mansoni</v>
      </c>
      <c r="C149" s="697" t="str">
        <f>IFERROR(__xludf.DUMMYFUNCTION("""COMPUTED_VALUE"""),"Brazil")</f>
        <v>Brazil</v>
      </c>
      <c r="D149" s="697" t="str">
        <f>IFERROR(__xludf.DUMMYFUNCTION("""COMPUTED_VALUE"""),"Oxamniquine")</f>
        <v>Oxamniquine</v>
      </c>
      <c r="E149" s="697" t="str">
        <f>IFERROR(__xludf.DUMMYFUNCTION("""COMPUTED_VALUE"""),"Single")</f>
        <v>Single</v>
      </c>
      <c r="F149" s="697" t="str">
        <f>IFERROR(__xludf.DUMMYFUNCTION("""COMPUTED_VALUE"""),"15 mg/kg ")</f>
        <v>15 mg/kg </v>
      </c>
      <c r="G149" s="697">
        <f>IFERROR(__xludf.DUMMYFUNCTION("""COMPUTED_VALUE"""),59.0)</f>
        <v>59</v>
      </c>
      <c r="H149" s="697" t="str">
        <f>IFERROR(__xludf.DUMMYFUNCTION("""COMPUTED_VALUE"""),"older than 14 years")</f>
        <v>older than 14 years</v>
      </c>
      <c r="I149" s="705" t="str">
        <f>IFERROR(__xludf.DUMMYFUNCTION("""COMPUTED_VALUE"""),"(27):(33)")</f>
        <v>(27):(33)</v>
      </c>
      <c r="J149" s="697">
        <f>IFERROR(__xludf.DUMMYFUNCTION("""COMPUTED_VALUE"""),1986.0)</f>
        <v>1986</v>
      </c>
      <c r="K149" s="697" t="str">
        <f>IFERROR(__xludf.DUMMYFUNCTION("""COMPUTED_VALUE"""),"patients with chronic intestinal or hepato-intestinal forms of schistosomiasis were included in the trial.")</f>
        <v>patients with chronic intestinal or hepato-intestinal forms of schistosomiasis were included in the trial.</v>
      </c>
      <c r="L149" s="697" t="str">
        <f>IFERROR(__xludf.DUMMYFUNCTION("""COMPUTED_VALUE"""),"Yes")</f>
        <v>Yes</v>
      </c>
      <c r="M149" s="697" t="str">
        <f>IFERROR(__xludf.DUMMYFUNCTION("""COMPUTED_VALUE"""),"Yes")</f>
        <v>Yes</v>
      </c>
      <c r="N149" s="697" t="str">
        <f>IFERROR(__xludf.DUMMYFUNCTION("""COMPUTED_VALUE"""),"6 months after")</f>
        <v>6 months after</v>
      </c>
      <c r="O149" s="873">
        <f>IFERROR(__xludf.DUMMYFUNCTION("""COMPUTED_VALUE"""),0.848)</f>
        <v>0.848</v>
      </c>
      <c r="P149" s="698">
        <f>IFERROR(__xludf.DUMMYFUNCTION("""COMPUTED_VALUE"""),0.841)</f>
        <v>0.841</v>
      </c>
      <c r="Q149" s="697" t="str">
        <f>IFERROR(__xludf.DUMMYFUNCTION("""COMPUTED_VALUE"""),"Parasitological negativation occurred in 38 out of 48 patients (795%) under praziquantel administration and in 39 out of 46 (84.8% &gt; under oxamniquine. Other investigators also have reported no significant difference between the efficacy of both drugs 3-1"&amp;"3AZI. However, some •of them referred a lower3 whereas others a higher1 3 cure-rate. For children, higher doses of praziquantel, 70 mg/kg, as well as of oxamniquine, 20 mg/kg, are necessary for achieving a cure-rate of about 70% 1 2 A")</f>
        <v>Parasitological negativation occurred in 38 out of 48 patients (795%) under praziquantel administration and in 39 out of 46 (84.8% &gt; under oxamniquine. Other investigators also have reported no significant difference between the efficacy of both drugs 3-13AZI. However, some •of them referred a lower3 whereas others a higher1 3 cure-rate. For children, higher doses of praziquantel, 70 mg/kg, as well as of oxamniquine, 20 mg/kg, are necessary for achieving a cure-rate of about 70% 1 2 A</v>
      </c>
      <c r="R149" s="697"/>
      <c r="S149" s="699" t="str">
        <f>IFERROR(__xludf.DUMMYFUNCTION("""COMPUTED_VALUE"""),"da Silva LC, Zeitune JM, Rosa-Eid LM, Lima DM, Antonelli RH, Christo CH, Saez-Alquezar A, Carboni Ade C. Treatment of patients with schistosomiasis mansoni: a double blind clinical trial comparing praziquantel with oxamniquine. Rev Inst Med Trop Sao Paulo"&amp;". 1986 May-Jun;28(3):174-80.")</f>
        <v>da Silva LC, Zeitune JM, Rosa-Eid LM, Lima DM, Antonelli RH, Christo CH, Saez-Alquezar A, Carboni Ade C. Treatment of patients with schistosomiasis mansoni: a double blind clinical trial comparing praziquantel with oxamniquine. Rev Inst Med Trop Sao Paulo. 1986 May-Jun;28(3):174-80.</v>
      </c>
      <c r="T149" s="697"/>
      <c r="U149" s="697" t="str">
        <f>IFERROR(__xludf.DUMMYFUNCTION("""COMPUTED_VALUE"""),"")</f>
        <v/>
      </c>
      <c r="V149" s="697">
        <f>IFERROR(__xludf.DUMMYFUNCTION("""COMPUTED_VALUE"""),149.0)</f>
        <v>149</v>
      </c>
    </row>
    <row r="150">
      <c r="A150" s="697" t="str">
        <f>IFERROR(__xludf.DUMMYFUNCTION("""COMPUTED_VALUE"""),"Sousa-Figueiredo JC, 2010")</f>
        <v>Sousa-Figueiredo JC, 2010</v>
      </c>
      <c r="B150" s="697" t="str">
        <f>IFERROR(__xludf.DUMMYFUNCTION("""COMPUTED_VALUE"""),"s. mansoni")</f>
        <v>s. mansoni</v>
      </c>
      <c r="C150" s="697" t="str">
        <f>IFERROR(__xludf.DUMMYFUNCTION("""COMPUTED_VALUE"""),"Uganda")</f>
        <v>Uganda</v>
      </c>
      <c r="D150" s="697" t="str">
        <f>IFERROR(__xludf.DUMMYFUNCTION("""COMPUTED_VALUE"""),"Praziquantel")</f>
        <v>Praziquantel</v>
      </c>
      <c r="E150" s="697" t="str">
        <f>IFERROR(__xludf.DUMMYFUNCTION("""COMPUTED_VALUE"""),"Single")</f>
        <v>Single</v>
      </c>
      <c r="F150" s="697" t="str">
        <f>IFERROR(__xludf.DUMMYFUNCTION("""COMPUTED_VALUE"""),"40 mg/kg")</f>
        <v>40 mg/kg</v>
      </c>
      <c r="G150" s="697">
        <f>IFERROR(__xludf.DUMMYFUNCTION("""COMPUTED_VALUE"""),363.0)</f>
        <v>363</v>
      </c>
      <c r="H150" s="697" t="str">
        <f>IFERROR(__xludf.DUMMYFUNCTION("""COMPUTED_VALUE"""),"&lt;5 years old")</f>
        <v>&lt;5 years old</v>
      </c>
      <c r="I150" s="705" t="str">
        <f>IFERROR(__xludf.DUMMYFUNCTION("""COMPUTED_VALUE"""),"11:64")</f>
        <v>11:64</v>
      </c>
      <c r="J150" s="697">
        <f>IFERROR(__xludf.DUMMYFUNCTION("""COMPUTED_VALUE"""),2010.0)</f>
        <v>2010</v>
      </c>
      <c r="K150" s="697" t="str">
        <f>IFERROR(__xludf.DUMMYFUNCTION("""COMPUTED_VALUE"""),"preschool-children (&lt;/=5 years old) children diagnosis of intestinal schistosomiasis of S. mansoni")</f>
        <v>preschool-children (&lt;/=5 years old) children diagnosis of intestinal schistosomiasis of S. mansoni</v>
      </c>
      <c r="L150" s="697" t="str">
        <f>IFERROR(__xludf.DUMMYFUNCTION("""COMPUTED_VALUE"""),"No")</f>
        <v>No</v>
      </c>
      <c r="M150" s="697" t="str">
        <f>IFERROR(__xludf.DUMMYFUNCTION("""COMPUTED_VALUE"""),"No")</f>
        <v>No</v>
      </c>
      <c r="N150" s="697" t="str">
        <f>IFERROR(__xludf.DUMMYFUNCTION("""COMPUTED_VALUE"""),"21-day follow-up, where the parasitological cure rate was found")</f>
        <v>21-day follow-up, where the parasitological cure rate was found</v>
      </c>
      <c r="O150" s="872">
        <f>IFERROR(__xludf.DUMMYFUNCTION("""COMPUTED_VALUE"""),1.0)</f>
        <v>1</v>
      </c>
      <c r="P150" s="697"/>
      <c r="Q150" s="697" t="str">
        <f>IFERROR(__xludf.DUMMYFUNCTION("""COMPUTED_VALUE"""),"To conclude, preschool children in lakeshore communities of Uganda are at significant risk of intestinal schistosomiasis; we now strongly advocate for their immediate inclusion within the national control programme to eliminate this health inequity.")</f>
        <v>To conclude, preschool children in lakeshore communities of Uganda are at significant risk of intestinal schistosomiasis; we now strongly advocate for their immediate inclusion within the national control programme to eliminate this health inequity.</v>
      </c>
      <c r="R150" s="697" t="str">
        <f>IFERROR(__xludf.DUMMYFUNCTION("""COMPUTED_VALUE"""),"Treatment of intestinal schistosomiasis in Ugandan preschool children: best diagnosis, treatment efficacy and side-effects, and an extended praziquantel dosing pole")</f>
        <v>Treatment of intestinal schistosomiasis in Ugandan preschool children: best diagnosis, treatment efficacy and side-effects, and an extended praziquantel dosing pole</v>
      </c>
      <c r="S150" s="699" t="str">
        <f>IFERROR(__xludf.DUMMYFUNCTION("""COMPUTED_VALUE"""),"Sousa-Figueiredo, José Carlos, Joyce Pleasant, Matthew Day, Martha Betson, David Rollinson, Antonio Montresor, Francis Kazibwe, Narcis B. Kabatereine, and J. Russell Stothard. ""Treatment of Intestinal Schistosomiasis in Ugandan Preschool Children: Best D"&amp;"iagnosis, Treatment Efficacy and Side-effects, and an Extended Praziquantel Dosing Pole."" International Health 2.2 (2010): 103-13. Web. 4 Mar. 2015.")</f>
        <v>Sousa-Figueiredo, José Carlos, Joyce Pleasant, Matthew Day, Martha Betson, David Rollinson, Antonio Montresor, Francis Kazibwe, Narcis B. Kabatereine, and J. Russell Stothard. "Treatment of Intestinal Schistosomiasis in Ugandan Preschool Children: Best Diagnosis, Treatment Efficacy and Side-effects, and an Extended Praziquantel Dosing Pole." International Health 2.2 (2010): 103-13. Web. 4 Mar. 2015.</v>
      </c>
      <c r="T150" s="697"/>
      <c r="U150" s="697" t="str">
        <f>IFERROR(__xludf.DUMMYFUNCTION("""COMPUTED_VALUE"""),"x")</f>
        <v>x</v>
      </c>
      <c r="V150" s="697">
        <f>IFERROR(__xludf.DUMMYFUNCTION("""COMPUTED_VALUE"""),150.0)</f>
        <v>150</v>
      </c>
    </row>
    <row r="151">
      <c r="A151" s="697" t="str">
        <f>IFERROR(__xludf.DUMMYFUNCTION("""COMPUTED_VALUE"""),"Sousa-Figueiredoa JC, 2010")</f>
        <v>Sousa-Figueiredoa JC, 2010</v>
      </c>
      <c r="B151" s="697" t="str">
        <f>IFERROR(__xludf.DUMMYFUNCTION("""COMPUTED_VALUE"""),"s. mansoni")</f>
        <v>s. mansoni</v>
      </c>
      <c r="C151" s="697" t="str">
        <f>IFERROR(__xludf.DUMMYFUNCTION("""COMPUTED_VALUE"""),"Uganda")</f>
        <v>Uganda</v>
      </c>
      <c r="D151" s="697" t="str">
        <f>IFERROR(__xludf.DUMMYFUNCTION("""COMPUTED_VALUE"""),"Praziquantel")</f>
        <v>Praziquantel</v>
      </c>
      <c r="E151" s="697" t="str">
        <f>IFERROR(__xludf.DUMMYFUNCTION("""COMPUTED_VALUE"""),"Single")</f>
        <v>Single</v>
      </c>
      <c r="F151" s="697" t="str">
        <f>IFERROR(__xludf.DUMMYFUNCTION("""COMPUTED_VALUE"""),"30-60 mg/kg")</f>
        <v>30-60 mg/kg</v>
      </c>
      <c r="G151" s="697">
        <f>IFERROR(__xludf.DUMMYFUNCTION("""COMPUTED_VALUE"""),363.0)</f>
        <v>363</v>
      </c>
      <c r="H151" s="697" t="str">
        <f>IFERROR(__xludf.DUMMYFUNCTION("""COMPUTED_VALUE"""),"&gt;5 Years old")</f>
        <v>&gt;5 Years old</v>
      </c>
      <c r="I151" s="705" t="str">
        <f>IFERROR(__xludf.DUMMYFUNCTION("""COMPUTED_VALUE"""),"11:64")</f>
        <v>11:64</v>
      </c>
      <c r="J151" s="697">
        <f>IFERROR(__xludf.DUMMYFUNCTION("""COMPUTED_VALUE"""),2010.0)</f>
        <v>2010</v>
      </c>
      <c r="K151" s="697" t="str">
        <f>IFERROR(__xludf.DUMMYFUNCTION("""COMPUTED_VALUE"""),"inclusion of preschool children in the Ugandan national schistosomiasis control programme ")</f>
        <v>inclusion of preschool children in the Ugandan national schistosomiasis control programme </v>
      </c>
      <c r="L151" s="697" t="str">
        <f>IFERROR(__xludf.DUMMYFUNCTION("""COMPUTED_VALUE"""),"No")</f>
        <v>No</v>
      </c>
      <c r="M151" s="697" t="str">
        <f>IFERROR(__xludf.DUMMYFUNCTION("""COMPUTED_VALUE"""),"No")</f>
        <v>No</v>
      </c>
      <c r="N151" s="697" t="str">
        <f>IFERROR(__xludf.DUMMYFUNCTION("""COMPUTED_VALUE"""),"21 days")</f>
        <v>21 days</v>
      </c>
      <c r="O151" s="872">
        <f>IFERROR(__xludf.DUMMYFUNCTION("""COMPUTED_VALUE"""),1.0)</f>
        <v>1</v>
      </c>
      <c r="P151" s="698">
        <f>IFERROR(__xludf.DUMMYFUNCTION("""COMPUTED_VALUE"""),0.443)</f>
        <v>0.443</v>
      </c>
      <c r="Q151" s="697" t="str">
        <f>IFERROR(__xludf.DUMMYFUNCTION("""COMPUTED_VALUE"""),"To conclude, preschool children in lakeshore communities of Uganda are at significant risk of intestinal schistosomiasis; we now strongly advocate for their immediate inclusion within the national control programme to eliminate this health inequity.")</f>
        <v>To conclude, preschool children in lakeshore communities of Uganda are at significant risk of intestinal schistosomiasis; we now strongly advocate for their immediate inclusion within the national control programme to eliminate this health inequity.</v>
      </c>
      <c r="R151" s="697" t="str">
        <f>IFERROR(__xludf.DUMMYFUNCTION("""COMPUTED_VALUE"""),"Treatment of intestinal schistosomiasis in Ugandan preschool children: best diagnosis, treatment efficacy and side-effects, and an extended praziquantel dosing pole")</f>
        <v>Treatment of intestinal schistosomiasis in Ugandan preschool children: best diagnosis, treatment efficacy and side-effects, and an extended praziquantel dosing pole</v>
      </c>
      <c r="S151" s="699" t="str">
        <f>IFERROR(__xludf.DUMMYFUNCTION("""COMPUTED_VALUE"""),"Sousa-Figueiredo, José Carlos, Joyce Pleasant, Matthew Day, Martha Betson, David Rollinson, Antonio Montresor, Francis Kazibwe, Narcis B. Kabatereine, and J. Russell Stothard. ""Treatment of Intestinal Schistosomiasis in Ugandan Preschool Children: Best D"&amp;"iagnosis, Treatment Efficacy and Side-effects, and an Extended Praziquantel Dosing Pole."" International Health 2.2 (2010): 103-13. Web. 4 Mar. 2015.")</f>
        <v>Sousa-Figueiredo, José Carlos, Joyce Pleasant, Matthew Day, Martha Betson, David Rollinson, Antonio Montresor, Francis Kazibwe, Narcis B. Kabatereine, and J. Russell Stothard. "Treatment of Intestinal Schistosomiasis in Ugandan Preschool Children: Best Diagnosis, Treatment Efficacy and Side-effects, and an Extended Praziquantel Dosing Pole." International Health 2.2 (2010): 103-13. Web. 4 Mar. 2015.</v>
      </c>
      <c r="T151" s="697"/>
      <c r="U151" s="697" t="str">
        <f>IFERROR(__xludf.DUMMYFUNCTION("""COMPUTED_VALUE"""),"x")</f>
        <v>x</v>
      </c>
      <c r="V151" s="697">
        <f>IFERROR(__xludf.DUMMYFUNCTION("""COMPUTED_VALUE"""),151.0)</f>
        <v>151</v>
      </c>
    </row>
    <row r="152">
      <c r="A152" s="697" t="str">
        <f>IFERROR(__xludf.DUMMYFUNCTION("""COMPUTED_VALUE"""),"Stelma FF, 1997")</f>
        <v>Stelma FF, 1997</v>
      </c>
      <c r="B152" s="697" t="str">
        <f>IFERROR(__xludf.DUMMYFUNCTION("""COMPUTED_VALUE"""),"s. mansoni")</f>
        <v>s. mansoni</v>
      </c>
      <c r="C152" s="697" t="str">
        <f>IFERROR(__xludf.DUMMYFUNCTION("""COMPUTED_VALUE"""),"Senegal")</f>
        <v>Senegal</v>
      </c>
      <c r="D152" s="697" t="str">
        <f>IFERROR(__xludf.DUMMYFUNCTION("""COMPUTED_VALUE"""),"Praziquantel")</f>
        <v>Praziquantel</v>
      </c>
      <c r="E152" s="697" t="str">
        <f>IFERROR(__xludf.DUMMYFUNCTION("""COMPUTED_VALUE"""),"Single")</f>
        <v>Single</v>
      </c>
      <c r="F152" s="697" t="str">
        <f>IFERROR(__xludf.DUMMYFUNCTION("""COMPUTED_VALUE"""),"40 mg/kg")</f>
        <v>40 mg/kg</v>
      </c>
      <c r="G152" s="697">
        <f>IFERROR(__xludf.DUMMYFUNCTION("""COMPUTED_VALUE"""),66.0)</f>
        <v>66</v>
      </c>
      <c r="H152" s="697" t="str">
        <f>IFERROR(__xludf.DUMMYFUNCTION("""COMPUTED_VALUE"""),"5 - 75")</f>
        <v>5 - 75</v>
      </c>
      <c r="I152" s="705" t="str">
        <f>IFERROR(__xludf.DUMMYFUNCTION("""COMPUTED_VALUE"""),"22 : 44")</f>
        <v>22 : 44</v>
      </c>
      <c r="J152" s="697">
        <f>IFERROR(__xludf.DUMMYFUNCTION("""COMPUTED_VALUE"""),1997.0)</f>
        <v>1997</v>
      </c>
      <c r="K152" s="697" t="str">
        <f>IFERROR(__xludf.DUMMYFUNCTION("""COMPUTED_VALUE"""),"patients aged &gt; 5 years with S. mansoni infection")</f>
        <v>patients aged &gt; 5 years with S. mansoni infection</v>
      </c>
      <c r="L152" s="697" t="str">
        <f>IFERROR(__xludf.DUMMYFUNCTION("""COMPUTED_VALUE"""),"No")</f>
        <v>No</v>
      </c>
      <c r="M152" s="697" t="str">
        <f>IFERROR(__xludf.DUMMYFUNCTION("""COMPUTED_VALUE"""),"Yes")</f>
        <v>Yes</v>
      </c>
      <c r="N152" s="697" t="str">
        <f>IFERROR(__xludf.DUMMYFUNCTION("""COMPUTED_VALUE"""),"Follow-up: 1.5 month. Parasitologic cure rates at 6 weeks")</f>
        <v>Follow-up: 1.5 month. Parasitologic cure rates at 6 weeks</v>
      </c>
      <c r="O152" s="872">
        <f>IFERROR(__xludf.DUMMYFUNCTION("""COMPUTED_VALUE"""),0.36)</f>
        <v>0.36</v>
      </c>
      <c r="P152" s="700">
        <f>IFERROR(__xludf.DUMMYFUNCTION("""COMPUTED_VALUE"""),0.82)</f>
        <v>0.82</v>
      </c>
      <c r="Q152" s="697" t="str">
        <f>IFERROR(__xludf.DUMMYFUNCTION("""COMPUTED_VALUE"""),"In conclusion, we have demonstrated that parasitologic cure diminished susceptibility to praziquantel in a Senegal isolate of Schisto rates after treatment with 20 mg/kg oxamniquine were signifi cantly better than after 40 mg/kg praziquantel.")</f>
        <v>In conclusion, we have demonstrated that parasitologic cure diminished susceptibility to praziquantel in a Senegal isolate of Schisto rates after treatment with 20 mg/kg oxamniquine were signifi cantly better than after 40 mg/kg praziquantel.</v>
      </c>
      <c r="R152" s="697" t="str">
        <f>IFERROR(__xludf.DUMMYFUNCTION("""COMPUTED_VALUE"""),"Oxamniquine Cures Schistosoma mansoni Infection in a Focus in Which Cure Rates with Praziquantel Are Unusually Low")</f>
        <v>Oxamniquine Cures Schistosoma mansoni Infection in a Focus in Which Cure Rates with Praziquantel Are Unusually Low</v>
      </c>
      <c r="S152" s="699" t="str">
        <f>IFERROR(__xludf.DUMMYFUNCTION("""COMPUTED_VALUE"""),"Stelma FF, Sall S, Daff B, Sow S, Niang M, Gryseels B. Oxamniquine cures Schistosoma mansoni infection in a focus in which cure rates with praziquantel are unusually low. Journal of Infectious Diseases 1997;176(1):304–7.")</f>
        <v>Stelma FF, Sall S, Daff B, Sow S, Niang M, Gryseels B. Oxamniquine cures Schistosoma mansoni infection in a focus in which cure rates with praziquantel are unusually low. Journal of Infectious Diseases 1997;176(1):304–7.</v>
      </c>
      <c r="T152" s="697"/>
      <c r="U152" s="697" t="str">
        <f>IFERROR(__xludf.DUMMYFUNCTION("""COMPUTED_VALUE"""),"")</f>
        <v/>
      </c>
      <c r="V152" s="697">
        <f>IFERROR(__xludf.DUMMYFUNCTION("""COMPUTED_VALUE"""),152.0)</f>
        <v>152</v>
      </c>
    </row>
    <row r="153">
      <c r="A153" s="697" t="str">
        <f>IFERROR(__xludf.DUMMYFUNCTION("""COMPUTED_VALUE"""),"Stelma FF, 1997")</f>
        <v>Stelma FF, 1997</v>
      </c>
      <c r="B153" s="697" t="str">
        <f>IFERROR(__xludf.DUMMYFUNCTION("""COMPUTED_VALUE"""),"s. mansoni")</f>
        <v>s. mansoni</v>
      </c>
      <c r="C153" s="697" t="str">
        <f>IFERROR(__xludf.DUMMYFUNCTION("""COMPUTED_VALUE"""),"Senegal")</f>
        <v>Senegal</v>
      </c>
      <c r="D153" s="697" t="str">
        <f>IFERROR(__xludf.DUMMYFUNCTION("""COMPUTED_VALUE"""),"Oxamniquine")</f>
        <v>Oxamniquine</v>
      </c>
      <c r="E153" s="697" t="str">
        <f>IFERROR(__xludf.DUMMYFUNCTION("""COMPUTED_VALUE"""),"Single")</f>
        <v>Single</v>
      </c>
      <c r="F153" s="697" t="str">
        <f>IFERROR(__xludf.DUMMYFUNCTION("""COMPUTED_VALUE"""),"20 mg/kg")</f>
        <v>20 mg/kg</v>
      </c>
      <c r="G153" s="697">
        <f>IFERROR(__xludf.DUMMYFUNCTION("""COMPUTED_VALUE"""),72.0)</f>
        <v>72</v>
      </c>
      <c r="H153" s="697" t="str">
        <f>IFERROR(__xludf.DUMMYFUNCTION("""COMPUTED_VALUE"""),"5 -71")</f>
        <v>5 -71</v>
      </c>
      <c r="I153" s="705" t="str">
        <f>IFERROR(__xludf.DUMMYFUNCTION("""COMPUTED_VALUE"""),"30 : 42")</f>
        <v>30 : 42</v>
      </c>
      <c r="J153" s="697">
        <f>IFERROR(__xludf.DUMMYFUNCTION("""COMPUTED_VALUE"""),1997.0)</f>
        <v>1997</v>
      </c>
      <c r="K153" s="697" t="str">
        <f>IFERROR(__xludf.DUMMYFUNCTION("""COMPUTED_VALUE"""),"patients aged &gt; 5 years with S. mansoni infection")</f>
        <v>patients aged &gt; 5 years with S. mansoni infection</v>
      </c>
      <c r="L153" s="697" t="str">
        <f>IFERROR(__xludf.DUMMYFUNCTION("""COMPUTED_VALUE"""),"No")</f>
        <v>No</v>
      </c>
      <c r="M153" s="697" t="str">
        <f>IFERROR(__xludf.DUMMYFUNCTION("""COMPUTED_VALUE"""),"Yes")</f>
        <v>Yes</v>
      </c>
      <c r="N153" s="697" t="str">
        <f>IFERROR(__xludf.DUMMYFUNCTION("""COMPUTED_VALUE"""),"Follow-up: 1.5 month. Parasitologic cure rates at 6 weeks")</f>
        <v>Follow-up: 1.5 month. Parasitologic cure rates at 6 weeks</v>
      </c>
      <c r="O153" s="872">
        <f>IFERROR(__xludf.DUMMYFUNCTION("""COMPUTED_VALUE"""),0.79)</f>
        <v>0.79</v>
      </c>
      <c r="P153" s="700">
        <f>IFERROR(__xludf.DUMMYFUNCTION("""COMPUTED_VALUE"""),0.94)</f>
        <v>0.94</v>
      </c>
      <c r="Q153" s="697" t="str">
        <f>IFERROR(__xludf.DUMMYFUNCTION("""COMPUTED_VALUE"""),"In conclusion, we have demonstrated that parasitologic cure diminished susceptibility to praziquantel in a Senegal isolate of Schisto rates after treatment with 20 mg/kg oxamniquine were signifi cantly better than after 40 mg/kg praziquantel.")</f>
        <v>In conclusion, we have demonstrated that parasitologic cure diminished susceptibility to praziquantel in a Senegal isolate of Schisto rates after treatment with 20 mg/kg oxamniquine were signifi cantly better than after 40 mg/kg praziquantel.</v>
      </c>
      <c r="R153" s="697" t="str">
        <f>IFERROR(__xludf.DUMMYFUNCTION("""COMPUTED_VALUE"""),"Oxamniquine Cures Schistosoma mansoni Infection in a Focus in Which Cure Rates with Praziquantel Are Unusually Low")</f>
        <v>Oxamniquine Cures Schistosoma mansoni Infection in a Focus in Which Cure Rates with Praziquantel Are Unusually Low</v>
      </c>
      <c r="S153" s="699" t="str">
        <f>IFERROR(__xludf.DUMMYFUNCTION("""COMPUTED_VALUE"""),"Stelma FF, Sall S, Daff B, Sow S, Niang M, Gryseels B. Oxamniquine cures Schistosoma mansoni infection in a focus in which cure rates with praziquantel are unusually low. Journal of Infectious Diseases 1997;176(1):304–7.")</f>
        <v>Stelma FF, Sall S, Daff B, Sow S, Niang M, Gryseels B. Oxamniquine cures Schistosoma mansoni infection in a focus in which cure rates with praziquantel are unusually low. Journal of Infectious Diseases 1997;176(1):304–7.</v>
      </c>
      <c r="T153" s="697"/>
      <c r="U153" s="697" t="str">
        <f>IFERROR(__xludf.DUMMYFUNCTION("""COMPUTED_VALUE"""),"")</f>
        <v/>
      </c>
      <c r="V153" s="697">
        <f>IFERROR(__xludf.DUMMYFUNCTION("""COMPUTED_VALUE"""),153.0)</f>
        <v>153</v>
      </c>
    </row>
    <row r="154">
      <c r="A154" s="697" t="str">
        <f>IFERROR(__xludf.DUMMYFUNCTION("""COMPUTED_VALUE"""),"Taddese K, 1988")</f>
        <v>Taddese K, 1988</v>
      </c>
      <c r="B154" s="697" t="str">
        <f>IFERROR(__xludf.DUMMYFUNCTION("""COMPUTED_VALUE"""),"s. mansoni")</f>
        <v>s. mansoni</v>
      </c>
      <c r="C154" s="697" t="str">
        <f>IFERROR(__xludf.DUMMYFUNCTION("""COMPUTED_VALUE"""),"Ethiopia")</f>
        <v>Ethiopia</v>
      </c>
      <c r="D154" s="697" t="str">
        <f>IFERROR(__xludf.DUMMYFUNCTION("""COMPUTED_VALUE"""),"Praziquantel")</f>
        <v>Praziquantel</v>
      </c>
      <c r="E154" s="697" t="str">
        <f>IFERROR(__xludf.DUMMYFUNCTION("""COMPUTED_VALUE"""),"Single")</f>
        <v>Single</v>
      </c>
      <c r="F154" s="697" t="str">
        <f>IFERROR(__xludf.DUMMYFUNCTION("""COMPUTED_VALUE"""),"40 mg/kg")</f>
        <v>40 mg/kg</v>
      </c>
      <c r="G154" s="697">
        <f>IFERROR(__xludf.DUMMYFUNCTION("""COMPUTED_VALUE"""),50.0)</f>
        <v>50</v>
      </c>
      <c r="H154" s="697" t="str">
        <f>IFERROR(__xludf.DUMMYFUNCTION("""COMPUTED_VALUE"""),"17 - 52")</f>
        <v>17 - 52</v>
      </c>
      <c r="I154" s="705" t="str">
        <f>IFERROR(__xludf.DUMMYFUNCTION("""COMPUTED_VALUE"""),"165 : 35")</f>
        <v>165 : 35</v>
      </c>
      <c r="J154" s="697">
        <f>IFERROR(__xludf.DUMMYFUNCTION("""COMPUTED_VALUE"""),1988.0)</f>
        <v>1988</v>
      </c>
      <c r="K154" s="697" t="str">
        <f>IFERROR(__xludf.DUMMYFUNCTION("""COMPUTED_VALUE"""),"dolescents and adults aged 17 to 52 years infected with S. mansoni and excreting at least 50 EPG (geometric mean)")</f>
        <v>dolescents and adults aged 17 to 52 years infected with S. mansoni and excreting at least 50 EPG (geometric mean)</v>
      </c>
      <c r="L154" s="697" t="str">
        <f>IFERROR(__xludf.DUMMYFUNCTION("""COMPUTED_VALUE"""),"No")</f>
        <v>No</v>
      </c>
      <c r="M154" s="697" t="str">
        <f>IFERROR(__xludf.DUMMYFUNCTION("""COMPUTED_VALUE"""),"Yes")</f>
        <v>Yes</v>
      </c>
      <c r="N154" s="697" t="str">
        <f>IFERROR(__xludf.DUMMYFUNCTION("""COMPUTED_VALUE"""),"follow-up: three months “cure” for patients whose status changed from egg-positive to egg-negative,")</f>
        <v>follow-up: three months “cure” for patients whose status changed from egg-positive to egg-negative,</v>
      </c>
      <c r="O154" s="872">
        <f>IFERROR(__xludf.DUMMYFUNCTION("""COMPUTED_VALUE"""),0.93)</f>
        <v>0.93</v>
      </c>
      <c r="P154" s="697"/>
      <c r="Q154" s="697" t="str">
        <f>IFERROR(__xludf.DUMMYFUNCTION("""COMPUTED_VALUE"""),"This study suggests that where single dose therapy isindicated, as in mass chemotherapy in the control of endemic schistosomiasis, praziquantel may be the drug of choice.")</f>
        <v>This study suggests that where single dose therapy isindicated, as in mass chemotherapy in the control of endemic schistosomiasis, praziquantel may be the drug of choice.</v>
      </c>
      <c r="R154" s="697" t="str">
        <f>IFERROR(__xludf.DUMMYFUNCTION("""COMPUTED_VALUE"""),"Comparison between the efficacy of oxamniquine and praziquantel in the treatment of Schistosoma mansoni infections on a sugar estate in Ethiopia")</f>
        <v>Comparison between the efficacy of oxamniquine and praziquantel in the treatment of Schistosoma mansoni infections on a sugar estate in Ethiopia</v>
      </c>
      <c r="S154" s="699" t="str">
        <f>IFERROR(__xludf.DUMMYFUNCTION("""COMPUTED_VALUE"""),"Taddese K, Zein ZA. Comparison between the efficacy of oxamniquine and praziquantel in the treatment of Schistosoma mansoni infections on a sugar estate in Ethiopia. Annals of Tropical Medicine and Parasitology 1988;82(2): 175–80.")</f>
        <v>Taddese K, Zein ZA. Comparison between the efficacy of oxamniquine and praziquantel in the treatment of Schistosoma mansoni infections on a sugar estate in Ethiopia. Annals of Tropical Medicine and Parasitology 1988;82(2): 175–80.</v>
      </c>
      <c r="T154" s="697"/>
      <c r="U154" s="697" t="str">
        <f>IFERROR(__xludf.DUMMYFUNCTION("""COMPUTED_VALUE"""),"")</f>
        <v/>
      </c>
      <c r="V154" s="697">
        <f>IFERROR(__xludf.DUMMYFUNCTION("""COMPUTED_VALUE"""),154.0)</f>
        <v>154</v>
      </c>
    </row>
    <row r="155">
      <c r="A155" s="697" t="str">
        <f>IFERROR(__xludf.DUMMYFUNCTION("""COMPUTED_VALUE"""),"Taddese K, 1988")</f>
        <v>Taddese K, 1988</v>
      </c>
      <c r="B155" s="697" t="str">
        <f>IFERROR(__xludf.DUMMYFUNCTION("""COMPUTED_VALUE"""),"s. mansoni")</f>
        <v>s. mansoni</v>
      </c>
      <c r="C155" s="697" t="str">
        <f>IFERROR(__xludf.DUMMYFUNCTION("""COMPUTED_VALUE"""),"Ethiopia")</f>
        <v>Ethiopia</v>
      </c>
      <c r="D155" s="697" t="str">
        <f>IFERROR(__xludf.DUMMYFUNCTION("""COMPUTED_VALUE"""),"Praziquantel")</f>
        <v>Praziquantel</v>
      </c>
      <c r="E155" s="697" t="str">
        <f>IFERROR(__xludf.DUMMYFUNCTION("""COMPUTED_VALUE"""),"Two")</f>
        <v>Two</v>
      </c>
      <c r="F155" s="697" t="str">
        <f>IFERROR(__xludf.DUMMYFUNCTION("""COMPUTED_VALUE"""),"20 mg/kg")</f>
        <v>20 mg/kg</v>
      </c>
      <c r="G155" s="697">
        <f>IFERROR(__xludf.DUMMYFUNCTION("""COMPUTED_VALUE"""),50.0)</f>
        <v>50</v>
      </c>
      <c r="H155" s="697" t="str">
        <f>IFERROR(__xludf.DUMMYFUNCTION("""COMPUTED_VALUE"""),"17 - 52")</f>
        <v>17 - 52</v>
      </c>
      <c r="I155" s="705" t="str">
        <f>IFERROR(__xludf.DUMMYFUNCTION("""COMPUTED_VALUE"""),"165 : 35")</f>
        <v>165 : 35</v>
      </c>
      <c r="J155" s="697">
        <f>IFERROR(__xludf.DUMMYFUNCTION("""COMPUTED_VALUE"""),1988.0)</f>
        <v>1988</v>
      </c>
      <c r="K155" s="697" t="str">
        <f>IFERROR(__xludf.DUMMYFUNCTION("""COMPUTED_VALUE"""),"dolescents and adults aged 17 to 52 years infected with S. mansoni and excreting at least 50 EPG (geometric mean)")</f>
        <v>dolescents and adults aged 17 to 52 years infected with S. mansoni and excreting at least 50 EPG (geometric mean)</v>
      </c>
      <c r="L155" s="697" t="str">
        <f>IFERROR(__xludf.DUMMYFUNCTION("""COMPUTED_VALUE"""),"No")</f>
        <v>No</v>
      </c>
      <c r="M155" s="697" t="str">
        <f>IFERROR(__xludf.DUMMYFUNCTION("""COMPUTED_VALUE"""),"Yes")</f>
        <v>Yes</v>
      </c>
      <c r="N155" s="697" t="str">
        <f>IFERROR(__xludf.DUMMYFUNCTION("""COMPUTED_VALUE"""),"follow-up: three months “cure” for patients whose status changed from egg-positive to egg-negative,")</f>
        <v>follow-up: three months “cure” for patients whose status changed from egg-positive to egg-negative,</v>
      </c>
      <c r="O155" s="872">
        <f>IFERROR(__xludf.DUMMYFUNCTION("""COMPUTED_VALUE"""),0.95)</f>
        <v>0.95</v>
      </c>
      <c r="P155" s="697"/>
      <c r="Q155" s="697" t="str">
        <f>IFERROR(__xludf.DUMMYFUNCTION("""COMPUTED_VALUE"""),"This study suggests that where single dose therapy isindicated, as in mass chemotherapy in the control of endemic schistosomiasis, praziquantel may be the drug of choice.")</f>
        <v>This study suggests that where single dose therapy isindicated, as in mass chemotherapy in the control of endemic schistosomiasis, praziquantel may be the drug of choice.</v>
      </c>
      <c r="R155" s="697" t="str">
        <f>IFERROR(__xludf.DUMMYFUNCTION("""COMPUTED_VALUE"""),"Comparison between the efficacy of oxamniquine and praziquantel in the treatment of Schistosoma mansoni infections on a sugar estate in Ethiopia")</f>
        <v>Comparison between the efficacy of oxamniquine and praziquantel in the treatment of Schistosoma mansoni infections on a sugar estate in Ethiopia</v>
      </c>
      <c r="S155" s="699" t="str">
        <f>IFERROR(__xludf.DUMMYFUNCTION("""COMPUTED_VALUE"""),"Taddese K, Zein ZA. Comparison between the efficacy of oxamniquine and praziquantel in the treatment of Schistosoma mansoni infections on a sugar estate in Ethiopia. Annals of Tropical Medicine and Parasitology 1988;82(2): 175–80.")</f>
        <v>Taddese K, Zein ZA. Comparison between the efficacy of oxamniquine and praziquantel in the treatment of Schistosoma mansoni infections on a sugar estate in Ethiopia. Annals of Tropical Medicine and Parasitology 1988;82(2): 175–80.</v>
      </c>
      <c r="T155" s="697"/>
      <c r="U155" s="697" t="str">
        <f>IFERROR(__xludf.DUMMYFUNCTION("""COMPUTED_VALUE"""),"")</f>
        <v/>
      </c>
      <c r="V155" s="697">
        <f>IFERROR(__xludf.DUMMYFUNCTION("""COMPUTED_VALUE"""),155.0)</f>
        <v>155</v>
      </c>
    </row>
    <row r="156">
      <c r="A156" s="697" t="str">
        <f>IFERROR(__xludf.DUMMYFUNCTION("""COMPUTED_VALUE"""),"Taddese K, 1988")</f>
        <v>Taddese K, 1988</v>
      </c>
      <c r="B156" s="697" t="str">
        <f>IFERROR(__xludf.DUMMYFUNCTION("""COMPUTED_VALUE"""),"s. mansoni")</f>
        <v>s. mansoni</v>
      </c>
      <c r="C156" s="697" t="str">
        <f>IFERROR(__xludf.DUMMYFUNCTION("""COMPUTED_VALUE"""),"Ethiopia")</f>
        <v>Ethiopia</v>
      </c>
      <c r="D156" s="697" t="str">
        <f>IFERROR(__xludf.DUMMYFUNCTION("""COMPUTED_VALUE"""),"Oxamniquine")</f>
        <v>Oxamniquine</v>
      </c>
      <c r="E156" s="697" t="str">
        <f>IFERROR(__xludf.DUMMYFUNCTION("""COMPUTED_VALUE"""),"Single")</f>
        <v>Single</v>
      </c>
      <c r="F156" s="697" t="str">
        <f>IFERROR(__xludf.DUMMYFUNCTION("""COMPUTED_VALUE"""),"15 mg/kg")</f>
        <v>15 mg/kg</v>
      </c>
      <c r="G156" s="697">
        <f>IFERROR(__xludf.DUMMYFUNCTION("""COMPUTED_VALUE"""),50.0)</f>
        <v>50</v>
      </c>
      <c r="H156" s="697" t="str">
        <f>IFERROR(__xludf.DUMMYFUNCTION("""COMPUTED_VALUE"""),"17 - 52")</f>
        <v>17 - 52</v>
      </c>
      <c r="I156" s="705" t="str">
        <f>IFERROR(__xludf.DUMMYFUNCTION("""COMPUTED_VALUE"""),"165 : 35")</f>
        <v>165 : 35</v>
      </c>
      <c r="J156" s="697">
        <f>IFERROR(__xludf.DUMMYFUNCTION("""COMPUTED_VALUE"""),1988.0)</f>
        <v>1988</v>
      </c>
      <c r="K156" s="697" t="str">
        <f>IFERROR(__xludf.DUMMYFUNCTION("""COMPUTED_VALUE"""),"dolescents and adults aged 17 to 52 years infected with S. mansoni and excreting at least 50 EPG (geometric mean)")</f>
        <v>dolescents and adults aged 17 to 52 years infected with S. mansoni and excreting at least 50 EPG (geometric mean)</v>
      </c>
      <c r="L156" s="697" t="str">
        <f>IFERROR(__xludf.DUMMYFUNCTION("""COMPUTED_VALUE"""),"No")</f>
        <v>No</v>
      </c>
      <c r="M156" s="697" t="str">
        <f>IFERROR(__xludf.DUMMYFUNCTION("""COMPUTED_VALUE"""),"Yes")</f>
        <v>Yes</v>
      </c>
      <c r="N156" s="697" t="str">
        <f>IFERROR(__xludf.DUMMYFUNCTION("""COMPUTED_VALUE"""),"follow-up: three months “cure” for patients whose status changed from egg-positive to egg-negative,")</f>
        <v>follow-up: three months “cure” for patients whose status changed from egg-positive to egg-negative,</v>
      </c>
      <c r="O156" s="872">
        <f>IFERROR(__xludf.DUMMYFUNCTION("""COMPUTED_VALUE"""),0.79)</f>
        <v>0.79</v>
      </c>
      <c r="P156" s="697"/>
      <c r="Q156" s="697" t="str">
        <f>IFERROR(__xludf.DUMMYFUNCTION("""COMPUTED_VALUE"""),"This study suggests that where single dose therapy isindicated, as in mass chemotherapy in the control of endemic schistosomiasis, praziquantel may be the drug of choice.")</f>
        <v>This study suggests that where single dose therapy isindicated, as in mass chemotherapy in the control of endemic schistosomiasis, praziquantel may be the drug of choice.</v>
      </c>
      <c r="R156" s="697"/>
      <c r="S156" s="699" t="str">
        <f>IFERROR(__xludf.DUMMYFUNCTION("""COMPUTED_VALUE"""),"Taddese K, Zein ZA. Comparison between the efficacy of oxamniquine and praziquantel in the treatment of Schistosoma mansoni infections on a sugar estate in Ethiopia. Annals of Tropical Medicine and Parasitology 1988;82(2): 175–80.")</f>
        <v>Taddese K, Zein ZA. Comparison between the efficacy of oxamniquine and praziquantel in the treatment of Schistosoma mansoni infections on a sugar estate in Ethiopia. Annals of Tropical Medicine and Parasitology 1988;82(2): 175–80.</v>
      </c>
      <c r="T156" s="697"/>
      <c r="U156" s="697" t="str">
        <f>IFERROR(__xludf.DUMMYFUNCTION("""COMPUTED_VALUE"""),"")</f>
        <v/>
      </c>
      <c r="V156" s="697">
        <f>IFERROR(__xludf.DUMMYFUNCTION("""COMPUTED_VALUE"""),156.0)</f>
        <v>156</v>
      </c>
    </row>
    <row r="157">
      <c r="A157" s="697" t="str">
        <f>IFERROR(__xludf.DUMMYFUNCTION("""COMPUTED_VALUE"""),"Taddese K, 1988")</f>
        <v>Taddese K, 1988</v>
      </c>
      <c r="B157" s="697" t="str">
        <f>IFERROR(__xludf.DUMMYFUNCTION("""COMPUTED_VALUE"""),"s. mansoni")</f>
        <v>s. mansoni</v>
      </c>
      <c r="C157" s="697" t="str">
        <f>IFERROR(__xludf.DUMMYFUNCTION("""COMPUTED_VALUE"""),"Ethiopia")</f>
        <v>Ethiopia</v>
      </c>
      <c r="D157" s="697" t="str">
        <f>IFERROR(__xludf.DUMMYFUNCTION("""COMPUTED_VALUE"""),"Oxamniquine")</f>
        <v>Oxamniquine</v>
      </c>
      <c r="E157" s="697" t="str">
        <f>IFERROR(__xludf.DUMMYFUNCTION("""COMPUTED_VALUE"""),"Two")</f>
        <v>Two</v>
      </c>
      <c r="F157" s="697" t="str">
        <f>IFERROR(__xludf.DUMMYFUNCTION("""COMPUTED_VALUE"""),"15 mg/kg")</f>
        <v>15 mg/kg</v>
      </c>
      <c r="G157" s="697">
        <f>IFERROR(__xludf.DUMMYFUNCTION("""COMPUTED_VALUE"""),50.0)</f>
        <v>50</v>
      </c>
      <c r="H157" s="697" t="str">
        <f>IFERROR(__xludf.DUMMYFUNCTION("""COMPUTED_VALUE"""),"17 - 52")</f>
        <v>17 - 52</v>
      </c>
      <c r="I157" s="705" t="str">
        <f>IFERROR(__xludf.DUMMYFUNCTION("""COMPUTED_VALUE"""),"165 : 35")</f>
        <v>165 : 35</v>
      </c>
      <c r="J157" s="697">
        <f>IFERROR(__xludf.DUMMYFUNCTION("""COMPUTED_VALUE"""),1988.0)</f>
        <v>1988</v>
      </c>
      <c r="K157" s="697" t="str">
        <f>IFERROR(__xludf.DUMMYFUNCTION("""COMPUTED_VALUE"""),"dolescents and adults aged 17 to 52 years infected with S. mansoni and excreting at least 50 EPG (geometric mean)")</f>
        <v>dolescents and adults aged 17 to 52 years infected with S. mansoni and excreting at least 50 EPG (geometric mean)</v>
      </c>
      <c r="L157" s="697" t="str">
        <f>IFERROR(__xludf.DUMMYFUNCTION("""COMPUTED_VALUE"""),"No")</f>
        <v>No</v>
      </c>
      <c r="M157" s="697" t="str">
        <f>IFERROR(__xludf.DUMMYFUNCTION("""COMPUTED_VALUE"""),"Yes")</f>
        <v>Yes</v>
      </c>
      <c r="N157" s="697" t="str">
        <f>IFERROR(__xludf.DUMMYFUNCTION("""COMPUTED_VALUE"""),"follow-up: three months “cure” for patients whose status changed from egg-positive to egg-negative,")</f>
        <v>follow-up: three months “cure” for patients whose status changed from egg-positive to egg-negative,</v>
      </c>
      <c r="O157" s="872">
        <f>IFERROR(__xludf.DUMMYFUNCTION("""COMPUTED_VALUE"""),0.96)</f>
        <v>0.96</v>
      </c>
      <c r="P157" s="697"/>
      <c r="Q157" s="697" t="str">
        <f>IFERROR(__xludf.DUMMYFUNCTION("""COMPUTED_VALUE"""),"This study suggests that where single dose therapy isindicated, as in mass chemotherapy in the control of endemic schistosomiasis, praziquantel may be the drug of choice.")</f>
        <v>This study suggests that where single dose therapy isindicated, as in mass chemotherapy in the control of endemic schistosomiasis, praziquantel may be the drug of choice.</v>
      </c>
      <c r="R157" s="697"/>
      <c r="S157" s="699" t="str">
        <f>IFERROR(__xludf.DUMMYFUNCTION("""COMPUTED_VALUE"""),"Taddese K, Zein ZA. Comparison between the efficacy of oxamniquine and praziquantel in the treatment of Schistosoma mansoni infections on a sugar estate in Ethiopia. Annals of Tropical Medicine and Parasitology 1988;82(2): 175–80.")</f>
        <v>Taddese K, Zein ZA. Comparison between the efficacy of oxamniquine and praziquantel in the treatment of Schistosoma mansoni infections on a sugar estate in Ethiopia. Annals of Tropical Medicine and Parasitology 1988;82(2): 175–80.</v>
      </c>
      <c r="T157" s="697"/>
      <c r="U157" s="697" t="str">
        <f>IFERROR(__xludf.DUMMYFUNCTION("""COMPUTED_VALUE"""),"")</f>
        <v/>
      </c>
      <c r="V157" s="697">
        <f>IFERROR(__xludf.DUMMYFUNCTION("""COMPUTED_VALUE"""),157.0)</f>
        <v>157</v>
      </c>
    </row>
    <row r="158">
      <c r="A158" s="697"/>
      <c r="B158" s="697"/>
      <c r="C158" s="697"/>
      <c r="D158" s="697"/>
      <c r="E158" s="697"/>
      <c r="F158" s="697"/>
      <c r="G158" s="697"/>
      <c r="H158" s="697"/>
      <c r="I158" s="697"/>
      <c r="J158" s="697"/>
      <c r="K158" s="697"/>
      <c r="L158" s="697"/>
      <c r="M158" s="697"/>
      <c r="N158" s="697"/>
      <c r="O158" s="871"/>
      <c r="P158" s="697"/>
      <c r="Q158" s="697"/>
      <c r="R158" s="697"/>
      <c r="S158" s="697"/>
      <c r="T158" s="697"/>
      <c r="U158" s="697" t="str">
        <f>IFERROR(__xludf.DUMMYFUNCTION("""COMPUTED_VALUE"""),"")</f>
        <v/>
      </c>
      <c r="V158" s="697">
        <f>IFERROR(__xludf.DUMMYFUNCTION("""COMPUTED_VALUE"""),158.0)</f>
        <v>158</v>
      </c>
    </row>
    <row r="159">
      <c r="A159" s="697" t="str">
        <f>IFERROR(__xludf.DUMMYFUNCTION("""COMPUTED_VALUE"""),"Tweyongyere R, 2009")</f>
        <v>Tweyongyere R, 2009</v>
      </c>
      <c r="B159" s="697" t="str">
        <f>IFERROR(__xludf.DUMMYFUNCTION("""COMPUTED_VALUE"""),"s. mansoni")</f>
        <v>s. mansoni</v>
      </c>
      <c r="C159" s="697" t="str">
        <f>IFERROR(__xludf.DUMMYFUNCTION("""COMPUTED_VALUE"""),"Uganda")</f>
        <v>Uganda</v>
      </c>
      <c r="D159" s="697" t="str">
        <f>IFERROR(__xludf.DUMMYFUNCTION("""COMPUTED_VALUE"""),"Placebo")</f>
        <v>Placebo</v>
      </c>
      <c r="E159" s="697"/>
      <c r="F159" s="697"/>
      <c r="G159" s="697">
        <f>IFERROR(__xludf.DUMMYFUNCTION("""COMPUTED_VALUE"""),186.0)</f>
        <v>186</v>
      </c>
      <c r="H159" s="697" t="str">
        <f>IFERROR(__xludf.DUMMYFUNCTION("""COMPUTED_VALUE"""),"pregnant women")</f>
        <v>pregnant women</v>
      </c>
      <c r="I159" s="705" t="str">
        <f>IFERROR(__xludf.DUMMYFUNCTION("""COMPUTED_VALUE"""),"female ")</f>
        <v>female </v>
      </c>
      <c r="J159" s="697">
        <f>IFERROR(__xludf.DUMMYFUNCTION("""COMPUTED_VALUE"""),2009.0)</f>
        <v>2009</v>
      </c>
      <c r="K159" s="697" t="str">
        <f>IFERROR(__xludf.DUMMYFUNCTION("""COMPUTED_VALUE"""),"pregnant women found to have S. mansoni infected detected during a population survey")</f>
        <v>pregnant women found to have S. mansoni infected detected during a population survey</v>
      </c>
      <c r="L159" s="697" t="str">
        <f>IFERROR(__xludf.DUMMYFUNCTION("""COMPUTED_VALUE"""),"Yes")</f>
        <v>Yes</v>
      </c>
      <c r="M159" s="697" t="str">
        <f>IFERROR(__xludf.DUMMYFUNCTION("""COMPUTED_VALUE"""),"Yes")</f>
        <v>Yes</v>
      </c>
      <c r="N159" s="697" t="str">
        <f>IFERROR(__xludf.DUMMYFUNCTION("""COMPUTED_VALUE"""),"follow-up: six weeks")</f>
        <v>follow-up: six weeks</v>
      </c>
      <c r="O159" s="873">
        <f>IFERROR(__xludf.DUMMYFUNCTION("""COMPUTED_VALUE"""),0.885)</f>
        <v>0.885</v>
      </c>
      <c r="P159" s="697"/>
      <c r="Q159" s="697" t="str">
        <f>IFERROR(__xludf.DUMMYFUNCTION("""COMPUTED_VALUE"""),"This study, the first to examine the impact of praziquantel treatment during pregnancy, has shown that S mansoni antigen-specific antibody levels and praziquantel-induced boosts in the antibody levels are broadly low during pregnancy, but that this is not"&amp;" associated with any major reduction in the efficacy of praziquantel in the treatment of light to moderate intensity S. mansoni infections: a result that is reassuring from a public health perspective. Effects of pregnancy on the response to praziquantel "&amp;"among populations with higher S. mansoni infection intensities, and among women with S. haematobium or S. japonicum, and the long-term implications of these findings, particularly in relation to resistance to re-infection, remain to be explored.")</f>
        <v>This study, the first to examine the impact of praziquantel treatment during pregnancy, has shown that S mansoni antigen-specific antibody levels and praziquantel-induced boosts in the antibody levels are broadly low during pregnancy, but that this is not associated with any major reduction in the efficacy of praziquantel in the treatment of light to moderate intensity S. mansoni infections: a result that is reassuring from a public health perspective. Effects of pregnancy on the response to praziquantel among populations with higher S. mansoni infection intensities, and among women with S. haematobium or S. japonicum, and the long-term implications of these findings, particularly in relation to resistance to re-infection, remain to be explored.</v>
      </c>
      <c r="R159" s="697" t="str">
        <f>IFERROR(__xludf.DUMMYFUNCTION("""COMPUTED_VALUE"""),"Effect of praziquantel treatment of Schistosoma mansoni during pregnancy on intensity of infection and antibody responses to schistosome antigens: results of a randomised, placebo-controlled trial")</f>
        <v>Effect of praziquantel treatment of Schistosoma mansoni during pregnancy on intensity of infection and antibody responses to schistosome antigens: results of a randomised, placebo-controlled trial</v>
      </c>
      <c r="S159" s="697"/>
      <c r="T159" s="697"/>
      <c r="U159" s="697" t="str">
        <f>IFERROR(__xludf.DUMMYFUNCTION("""COMPUTED_VALUE"""),"")</f>
        <v/>
      </c>
      <c r="V159" s="697">
        <f>IFERROR(__xludf.DUMMYFUNCTION("""COMPUTED_VALUE"""),159.0)</f>
        <v>159</v>
      </c>
    </row>
    <row r="160">
      <c r="A160" s="697" t="str">
        <f>IFERROR(__xludf.DUMMYFUNCTION("""COMPUTED_VALUE"""),"Tweyongyere R, 2011")</f>
        <v>Tweyongyere R, 2011</v>
      </c>
      <c r="B160" s="697" t="str">
        <f>IFERROR(__xludf.DUMMYFUNCTION("""COMPUTED_VALUE"""),"s. mansoni")</f>
        <v>s. mansoni</v>
      </c>
      <c r="C160" s="697" t="str">
        <f>IFERROR(__xludf.DUMMYFUNCTION("""COMPUTED_VALUE"""),"Uganda")</f>
        <v>Uganda</v>
      </c>
      <c r="D160" s="697" t="str">
        <f>IFERROR(__xludf.DUMMYFUNCTION("""COMPUTED_VALUE"""),"Praziquantel")</f>
        <v>Praziquantel</v>
      </c>
      <c r="E160" s="697" t="str">
        <f>IFERROR(__xludf.DUMMYFUNCTION("""COMPUTED_VALUE"""),"Single")</f>
        <v>Single</v>
      </c>
      <c r="F160" s="697" t="str">
        <f>IFERROR(__xludf.DUMMYFUNCTION("""COMPUTED_VALUE"""),"40 mg/kg")</f>
        <v>40 mg/kg</v>
      </c>
      <c r="G160" s="697">
        <f>IFERROR(__xludf.DUMMYFUNCTION("""COMPUTED_VALUE"""),201.0)</f>
        <v>201</v>
      </c>
      <c r="H160" s="697" t="str">
        <f>IFERROR(__xludf.DUMMYFUNCTION("""COMPUTED_VALUE"""),"pregnant women")</f>
        <v>pregnant women</v>
      </c>
      <c r="I160" s="705" t="str">
        <f>IFERROR(__xludf.DUMMYFUNCTION("""COMPUTED_VALUE"""),"female ")</f>
        <v>female </v>
      </c>
      <c r="J160" s="697">
        <f>IFERROR(__xludf.DUMMYFUNCTION("""COMPUTED_VALUE"""),2011.0)</f>
        <v>2011</v>
      </c>
      <c r="K160" s="697" t="str">
        <f>IFERROR(__xludf.DUMMYFUNCTION("""COMPUTED_VALUE"""),"Offspring of women with Schistosoma mansoni were examined for cytokine and antibody responses to schistosome worm (SWA) and egg (SEA) antigen, in cord blood and at age one year. Relationships to maternal responses and pre-treatment infection intensities w"&amp;"ere examined, and responses were compared between the offspring of women who did, or did not receive praziquantel treatment during pregnancy.")</f>
        <v>Offspring of women with Schistosoma mansoni were examined for cytokine and antibody responses to schistosome worm (SWA) and egg (SEA) antigen, in cord blood and at age one year. Relationships to maternal responses and pre-treatment infection intensities were examined, and responses were compared between the offspring of women who did, or did not receive praziquantel treatment during pregnancy.</v>
      </c>
      <c r="L160" s="697" t="str">
        <f>IFERROR(__xludf.DUMMYFUNCTION("""COMPUTED_VALUE"""),"Yes")</f>
        <v>Yes</v>
      </c>
      <c r="M160" s="697" t="str">
        <f>IFERROR(__xludf.DUMMYFUNCTION("""COMPUTED_VALUE"""),"Yes")</f>
        <v>Yes</v>
      </c>
      <c r="N160" s="697" t="str">
        <f>IFERROR(__xludf.DUMMYFUNCTION("""COMPUTED_VALUE"""),"follow-up: six weeks")</f>
        <v>follow-up: six weeks</v>
      </c>
      <c r="O160" s="874">
        <f>IFERROR(__xludf.DUMMYFUNCTION("""COMPUTED_VALUE"""),0.819)</f>
        <v>0.819</v>
      </c>
      <c r="P160" s="697"/>
      <c r="Q160" s="697" t="str">
        <f>IFERROR(__xludf.DUMMYFUNCTION("""COMPUTED_VALUE"""),"This study, the first to examine the impact of praziquantel treatment during pregnancy, has shown that S mansoni antigen-specific antibody levels and praziquantel-induced boosts in the antibody levels are broadly low during pregnancy, but that this is not"&amp;" associated with any major reduction in the efficacy of praziquantel in the treatment of light to moderate intensity S. mansoni infections: a result that is reassuring from a public health perspective. Effects of pregnancy on the response to praziquantel "&amp;"among populations with higher S. mansoni infection intensities, and among women with S. haematobium or S. japonicum, and the long-term implications of these findings, particularly in relation to resistance to re-infection, remain to be explored.")</f>
        <v>This study, the first to examine the impact of praziquantel treatment during pregnancy, has shown that S mansoni antigen-specific antibody levels and praziquantel-induced boosts in the antibody levels are broadly low during pregnancy, but that this is not associated with any major reduction in the efficacy of praziquantel in the treatment of light to moderate intensity S. mansoni infections: a result that is reassuring from a public health perspective. Effects of pregnancy on the response to praziquantel among populations with higher S. mansoni infection intensities, and among women with S. haematobium or S. japonicum, and the long-term implications of these findings, particularly in relation to resistance to re-infection, remain to be explored.</v>
      </c>
      <c r="R160" s="697" t="str">
        <f>IFERROR(__xludf.DUMMYFUNCTION("""COMPUTED_VALUE"""),"Effect of praziquantel treatment of Schistosoma mansoni during pregnancy on intensity of infection and antibody responses to schistosome antigens: results of a randomised, placebo-controlled trial")</f>
        <v>Effect of praziquantel treatment of Schistosoma mansoni during pregnancy on intensity of infection and antibody responses to schistosome antigens: results of a randomised, placebo-controlled trial</v>
      </c>
      <c r="S160" s="699" t="str">
        <f>IFERROR(__xludf.DUMMYFUNCTION("""COMPUTED_VALUE"""),"Tweyongyere, Robert, et al. ""Effect of praziquantel treatment of Schistosoma mansoni during pregnancy on intensity of infection and antibody responses to schistosome antigens: results of a randomised, placebo-controlled trial.""BMC infectious diseases 9."&amp;"1 (2009): 32.")</f>
        <v>Tweyongyere, Robert, et al. "Effect of praziquantel treatment of Schistosoma mansoni during pregnancy on intensity of infection and antibody responses to schistosome antigens: results of a randomised, placebo-controlled trial."BMC infectious diseases 9.1 (2009): 32.</v>
      </c>
      <c r="T160" s="697"/>
      <c r="U160" s="697" t="str">
        <f>IFERROR(__xludf.DUMMYFUNCTION("""COMPUTED_VALUE"""),"")</f>
        <v/>
      </c>
      <c r="V160" s="697">
        <f>IFERROR(__xludf.DUMMYFUNCTION("""COMPUTED_VALUE"""),160.0)</f>
        <v>160</v>
      </c>
    </row>
    <row r="161">
      <c r="A161" s="697" t="str">
        <f>IFERROR(__xludf.DUMMYFUNCTION("""COMPUTED_VALUE"""),"Vector J, 2010")</f>
        <v>Vector J, 2010</v>
      </c>
      <c r="B161" s="697" t="str">
        <f>IFERROR(__xludf.DUMMYFUNCTION("""COMPUTED_VALUE"""),"s. mansoni")</f>
        <v>s. mansoni</v>
      </c>
      <c r="C161" s="697" t="str">
        <f>IFERROR(__xludf.DUMMYFUNCTION("""COMPUTED_VALUE"""),"Saint Lucia")</f>
        <v>Saint Lucia</v>
      </c>
      <c r="D161" s="697" t="str">
        <f>IFERROR(__xludf.DUMMYFUNCTION("""COMPUTED_VALUE"""),"Praziquantel")</f>
        <v>Praziquantel</v>
      </c>
      <c r="E161" s="697" t="str">
        <f>IFERROR(__xludf.DUMMYFUNCTION("""COMPUTED_VALUE"""),"Single")</f>
        <v>Single</v>
      </c>
      <c r="F161" s="697" t="str">
        <f>IFERROR(__xludf.DUMMYFUNCTION("""COMPUTED_VALUE"""),"40 mg/kg")</f>
        <v>40 mg/kg</v>
      </c>
      <c r="G161" s="697">
        <f>IFERROR(__xludf.DUMMYFUNCTION("""COMPUTED_VALUE"""),4.0)</f>
        <v>4</v>
      </c>
      <c r="H161" s="697" t="str">
        <f>IFERROR(__xludf.DUMMYFUNCTION("""COMPUTED_VALUE"""),"0-19 ")</f>
        <v>0-19 </v>
      </c>
      <c r="I161" s="705" t="str">
        <f>IFERROR(__xludf.DUMMYFUNCTION("""COMPUTED_VALUE"""),"1:1")</f>
        <v>1:1</v>
      </c>
      <c r="J161" s="697">
        <f>IFERROR(__xludf.DUMMYFUNCTION("""COMPUTED_VALUE"""),2006.0)</f>
        <v>2006</v>
      </c>
      <c r="K161" s="697" t="str">
        <f>IFERROR(__xludf.DUMMYFUNCTION("""COMPUTED_VALUE"""),"Epidemiology and control of Schistosomiasis and other intestinal parasitic infections among school children in three rural villages of south Saint Lucia")</f>
        <v>Epidemiology and control of Schistosomiasis and other intestinal parasitic infections among school children in three rural villages of south Saint Lucia</v>
      </c>
      <c r="L161" s="697" t="str">
        <f>IFERROR(__xludf.DUMMYFUNCTION("""COMPUTED_VALUE"""),"No")</f>
        <v>No</v>
      </c>
      <c r="M161" s="697" t="str">
        <f>IFERROR(__xludf.DUMMYFUNCTION("""COMPUTED_VALUE"""),"No")</f>
        <v>No</v>
      </c>
      <c r="N161" s="697" t="str">
        <f>IFERROR(__xludf.DUMMYFUNCTION("""COMPUTED_VALUE"""),"6 months ")</f>
        <v>6 months </v>
      </c>
      <c r="O161" s="872">
        <f>IFERROR(__xludf.DUMMYFUNCTION("""COMPUTED_VALUE"""),1.0)</f>
        <v>1</v>
      </c>
      <c r="P161" s="700">
        <f>IFERROR(__xludf.DUMMYFUNCTION("""COMPUTED_VALUE"""),1.0)</f>
        <v>1</v>
      </c>
      <c r="Q161" s="697" t="str">
        <f>IFERROR(__xludf.DUMMYFUNCTION("""COMPUTED_VALUE"""),"This current study showed successful effort to control intestinal parasitic infection, focusing the school age population")</f>
        <v>This current study showed successful effort to control intestinal parasitic infection, focusing the school age population</v>
      </c>
      <c r="R161" s="697" t="str">
        <f>IFERROR(__xludf.DUMMYFUNCTION("""COMPUTED_VALUE"""),"The purpose of this study was to determine the epidemiology of parasitic infections and the efficacy of treatment among school children in rural villages of south Saint Lucia.")</f>
        <v>The purpose of this study was to determine the epidemiology of parasitic infections and the efficacy of treatment among school children in rural villages of south Saint Lucia.</v>
      </c>
      <c r="S161" s="699" t="str">
        <f>IFERROR(__xludf.DUMMYFUNCTION("""COMPUTED_VALUE"""),"Kurup, Rajini, and Gurdip S. Hunjan. ""Epidemiology and control of Schistosomiasis and other intestinal parasitic infections among school children in three rural villages of south Saint Lucia."" Journal of vector borne diseases 47.4 (2010): 228.")</f>
        <v>Kurup, Rajini, and Gurdip S. Hunjan. "Epidemiology and control of Schistosomiasis and other intestinal parasitic infections among school children in three rural villages of south Saint Lucia." Journal of vector borne diseases 47.4 (2010): 228.</v>
      </c>
      <c r="T161" s="697"/>
      <c r="U161" s="697" t="str">
        <f>IFERROR(__xludf.DUMMYFUNCTION("""COMPUTED_VALUE"""),"x")</f>
        <v>x</v>
      </c>
      <c r="V161" s="697">
        <f>IFERROR(__xludf.DUMMYFUNCTION("""COMPUTED_VALUE"""),161.0)</f>
        <v>161</v>
      </c>
    </row>
    <row r="162">
      <c r="A162" s="697" t="str">
        <f>IFERROR(__xludf.DUMMYFUNCTION("""COMPUTED_VALUE"""),"Webster BL, 2012")</f>
        <v>Webster BL, 2012</v>
      </c>
      <c r="B162" s="697" t="str">
        <f>IFERROR(__xludf.DUMMYFUNCTION("""COMPUTED_VALUE"""),"s. mansoni")</f>
        <v>s. mansoni</v>
      </c>
      <c r="C162" s="697" t="str">
        <f>IFERROR(__xludf.DUMMYFUNCTION("""COMPUTED_VALUE"""),"Senegal")</f>
        <v>Senegal</v>
      </c>
      <c r="D162" s="697" t="str">
        <f>IFERROR(__xludf.DUMMYFUNCTION("""COMPUTED_VALUE"""),"Praziquantel")</f>
        <v>Praziquantel</v>
      </c>
      <c r="E162" s="697" t="str">
        <f>IFERROR(__xludf.DUMMYFUNCTION("""COMPUTED_VALUE"""),"Two")</f>
        <v>Two</v>
      </c>
      <c r="F162" s="697" t="str">
        <f>IFERROR(__xludf.DUMMYFUNCTION("""COMPUTED_VALUE"""),"40 mg/kg")</f>
        <v>40 mg/kg</v>
      </c>
      <c r="G162" s="697">
        <f>IFERROR(__xludf.DUMMYFUNCTION("""COMPUTED_VALUE"""),107.0)</f>
        <v>107</v>
      </c>
      <c r="H162" s="697" t="str">
        <f>IFERROR(__xludf.DUMMYFUNCTION("""COMPUTED_VALUE"""),"3 - 15")</f>
        <v>3 - 15</v>
      </c>
      <c r="I162" s="705" t="str">
        <f>IFERROR(__xludf.DUMMYFUNCTION("""COMPUTED_VALUE"""),"1:1.4")</f>
        <v>1:1.4</v>
      </c>
      <c r="J162" s="697">
        <f>IFERROR(__xludf.DUMMYFUNCTION("""COMPUTED_VALUE"""),2007.0)</f>
        <v>2007</v>
      </c>
      <c r="K162" s="697" t="str">
        <f>IFERROR(__xludf.DUMMYFUNCTION("""COMPUTED_VALUE"""),"Children were either single infected or co-infected with S.mansoni (9 years old)")</f>
        <v>Children were either single infected or co-infected with S.mansoni (9 years old)</v>
      </c>
      <c r="L162" s="697" t="str">
        <f>IFERROR(__xludf.DUMMYFUNCTION("""COMPUTED_VALUE"""),"No")</f>
        <v>No</v>
      </c>
      <c r="M162" s="697" t="str">
        <f>IFERROR(__xludf.DUMMYFUNCTION("""COMPUTED_VALUE"""),"No")</f>
        <v>No</v>
      </c>
      <c r="N162" s="697" t="str">
        <f>IFERROR(__xludf.DUMMYFUNCTION("""COMPUTED_VALUE"""),"Efficacy was accessed at 6 weeks and followed up at 6 months and 12 months with urine and stool sample examined for eggs. Drug efficacy was measured by assessing cure rate (percent of children positive for egg-patent infection becoming negative after trea"&amp;"tment")</f>
        <v>Efficacy was accessed at 6 weeks and followed up at 6 months and 12 months with urine and stool sample examined for eggs. Drug efficacy was measured by assessing cure rate (percent of children positive for egg-patent infection becoming negative after treatment</v>
      </c>
      <c r="O162" s="872">
        <f>IFERROR(__xludf.DUMMYFUNCTION("""COMPUTED_VALUE"""),0.81)</f>
        <v>0.81</v>
      </c>
      <c r="P162" s="698">
        <f>IFERROR(__xludf.DUMMYFUNCTION("""COMPUTED_VALUE"""),0.984)</f>
        <v>0.984</v>
      </c>
      <c r="Q162" s="697" t="str">
        <f>IFERROR(__xludf.DUMMYFUNCTION("""COMPUTED_VALUE"""),"The data show that high and rapid re-infection rates occur, especially for S. mansoni, within a six-month period following treatment.")</f>
        <v>The data show that high and rapid re-infection rates occur, especially for S. mansoni, within a six-month period following treatment.</v>
      </c>
      <c r="R162" s="697" t="str">
        <f>IFERROR(__xludf.DUMMYFUNCTION("""COMPUTED_VALUE"""),"Praziquantel treatment of school children from single and mixed infection foci of intestinal and urogenital schistosomiasis along the Senegal River Basin: monitoring treatment success and re-infection patterns.")</f>
        <v>Praziquantel treatment of school children from single and mixed infection foci of intestinal and urogenital schistosomiasis along the Senegal River Basin: monitoring treatment success and re-infection patterns.</v>
      </c>
      <c r="S162" s="699" t="str">
        <f>IFERROR(__xludf.DUMMYFUNCTION("""COMPUTED_VALUE"""),"Webster, Bonnie L., Oumar T. Diaw, Mohmoudane M. Seye, Djibril S. Faye, J. Russell Stothard, Jose C. Sousa-Figueiredo, and David Rollinson. ""Praziquantel Treatment of School Children from Single and Mixed Infection Foci of Intestinal and Urogenital Schis"&amp;"tosomiasis along the Senegal River Basin: Monitoring Treatment Success and Re-infection Patterns."" Acta Tropica 128, no. 2, 292-302.")</f>
        <v>Webster, Bonnie L., Oumar T. Diaw, Mohmoudane M. Seye, Djibril S. Faye, J. Russell Stothard, Jose C. Sousa-Figueiredo, and David Rollinson. "Praziquantel Treatment of School Children from Single and Mixed Infection Foci of Intestinal and Urogenital Schistosomiasis along the Senegal River Basin: Monitoring Treatment Success and Re-infection Patterns." Acta Tropica 128, no. 2, 292-302.</v>
      </c>
      <c r="T162" s="697"/>
      <c r="U162" s="697" t="str">
        <f>IFERROR(__xludf.DUMMYFUNCTION("""COMPUTED_VALUE"""),"x")</f>
        <v>x</v>
      </c>
      <c r="V162" s="697">
        <f>IFERROR(__xludf.DUMMYFUNCTION("""COMPUTED_VALUE"""),162.0)</f>
        <v>162</v>
      </c>
    </row>
    <row r="163">
      <c r="A163" s="697" t="str">
        <f>IFERROR(__xludf.DUMMYFUNCTION("""COMPUTED_VALUE"""),"Webster BL, 2012")</f>
        <v>Webster BL, 2012</v>
      </c>
      <c r="B163" s="697" t="str">
        <f>IFERROR(__xludf.DUMMYFUNCTION("""COMPUTED_VALUE"""),"s. mansoni")</f>
        <v>s. mansoni</v>
      </c>
      <c r="C163" s="697" t="str">
        <f>IFERROR(__xludf.DUMMYFUNCTION("""COMPUTED_VALUE"""),"Senegal")</f>
        <v>Senegal</v>
      </c>
      <c r="D163" s="697" t="str">
        <f>IFERROR(__xludf.DUMMYFUNCTION("""COMPUTED_VALUE"""),"Praziquantel")</f>
        <v>Praziquantel</v>
      </c>
      <c r="E163" s="697" t="str">
        <f>IFERROR(__xludf.DUMMYFUNCTION("""COMPUTED_VALUE"""),"Two")</f>
        <v>Two</v>
      </c>
      <c r="F163" s="697" t="str">
        <f>IFERROR(__xludf.DUMMYFUNCTION("""COMPUTED_VALUE"""),"40 mg/kg")</f>
        <v>40 mg/kg</v>
      </c>
      <c r="G163" s="697">
        <f>IFERROR(__xludf.DUMMYFUNCTION("""COMPUTED_VALUE"""),89.0)</f>
        <v>89</v>
      </c>
      <c r="H163" s="697" t="str">
        <f>IFERROR(__xludf.DUMMYFUNCTION("""COMPUTED_VALUE"""),"6 - 14")</f>
        <v>6 - 14</v>
      </c>
      <c r="I163" s="705" t="str">
        <f>IFERROR(__xludf.DUMMYFUNCTION("""COMPUTED_VALUE"""),"1:1.34")</f>
        <v>1:1.34</v>
      </c>
      <c r="J163" s="697">
        <f>IFERROR(__xludf.DUMMYFUNCTION("""COMPUTED_VALUE"""),2007.0)</f>
        <v>2007</v>
      </c>
      <c r="K163" s="697" t="str">
        <f>IFERROR(__xludf.DUMMYFUNCTION("""COMPUTED_VALUE"""),"9 year old children were infected with S.mansoni ")</f>
        <v>9 year old children were infected with S.mansoni </v>
      </c>
      <c r="L163" s="697" t="str">
        <f>IFERROR(__xludf.DUMMYFUNCTION("""COMPUTED_VALUE"""),"No")</f>
        <v>No</v>
      </c>
      <c r="M163" s="697" t="str">
        <f>IFERROR(__xludf.DUMMYFUNCTION("""COMPUTED_VALUE"""),"No")</f>
        <v>No</v>
      </c>
      <c r="N163" s="697" t="str">
        <f>IFERROR(__xludf.DUMMYFUNCTION("""COMPUTED_VALUE"""),"Efficacy was accessed at 6 weeks and followed up at 6 months and 12 months with urine and stool sample examined for eggs. Drug efficacy was measured by assessing cure rate (percent of children positive for egg-patent infection becoming negative after trea"&amp;"tment")</f>
        <v>Efficacy was accessed at 6 weeks and followed up at 6 months and 12 months with urine and stool sample examined for eggs. Drug efficacy was measured by assessing cure rate (percent of children positive for egg-patent infection becoming negative after treatment</v>
      </c>
      <c r="O163" s="873">
        <f>IFERROR(__xludf.DUMMYFUNCTION("""COMPUTED_VALUE"""),0.955)</f>
        <v>0.955</v>
      </c>
      <c r="P163" s="698">
        <f>IFERROR(__xludf.DUMMYFUNCTION("""COMPUTED_VALUE"""),0.989)</f>
        <v>0.989</v>
      </c>
      <c r="Q163" s="697" t="str">
        <f>IFERROR(__xludf.DUMMYFUNCTION("""COMPUTED_VALUE"""),"The data show that high and rapid re-infection rates occur, especially for S. mansoni, within a six-month period following treatment.")</f>
        <v>The data show that high and rapid re-infection rates occur, especially for S. mansoni, within a six-month period following treatment.</v>
      </c>
      <c r="R163" s="697" t="str">
        <f>IFERROR(__xludf.DUMMYFUNCTION("""COMPUTED_VALUE"""),"Praziquantel treatment of school children from single and mixed infection foci of intestinal and urogenital schistosomiasis along the Senegal River Basin: monitoring treatment success and re-infection patterns.")</f>
        <v>Praziquantel treatment of school children from single and mixed infection foci of intestinal and urogenital schistosomiasis along the Senegal River Basin: monitoring treatment success and re-infection patterns.</v>
      </c>
      <c r="S163" s="699" t="str">
        <f>IFERROR(__xludf.DUMMYFUNCTION("""COMPUTED_VALUE"""),"Webster, Bonnie L., Oumar T. Diaw, Mohmoudane M. Seye, Djibril S. Faye, J. Russell Stothard, Jose C. Sousa-Figueiredo, and David Rollinson. ""Praziquantel Treatment of School Children from Single and Mixed Infection Foci of Intestinal and Urogenital Schis"&amp;"tosomiasis along the Senegal River Basin: Monitoring Treatment Success and Re-infection Patterns."" Acta Tropica 128, no. 2, 292-302.")</f>
        <v>Webster, Bonnie L., Oumar T. Diaw, Mohmoudane M. Seye, Djibril S. Faye, J. Russell Stothard, Jose C. Sousa-Figueiredo, and David Rollinson. "Praziquantel Treatment of School Children from Single and Mixed Infection Foci of Intestinal and Urogenital Schistosomiasis along the Senegal River Basin: Monitoring Treatment Success and Re-infection Patterns." Acta Tropica 128, no. 2, 292-302.</v>
      </c>
      <c r="T163" s="697"/>
      <c r="U163" s="697" t="str">
        <f>IFERROR(__xludf.DUMMYFUNCTION("""COMPUTED_VALUE"""),"x")</f>
        <v>x</v>
      </c>
      <c r="V163" s="697">
        <f>IFERROR(__xludf.DUMMYFUNCTION("""COMPUTED_VALUE"""),163.0)</f>
        <v>163</v>
      </c>
    </row>
    <row r="164">
      <c r="A164" s="697" t="str">
        <f>IFERROR(__xludf.DUMMYFUNCTION("""COMPUTED_VALUE"""),"Zwingenberger K, 1987")</f>
        <v>Zwingenberger K, 1987</v>
      </c>
      <c r="B164" s="697" t="str">
        <f>IFERROR(__xludf.DUMMYFUNCTION("""COMPUTED_VALUE"""),"s. mansoni")</f>
        <v>s. mansoni</v>
      </c>
      <c r="C164" s="697" t="str">
        <f>IFERROR(__xludf.DUMMYFUNCTION("""COMPUTED_VALUE"""),"Brazil")</f>
        <v>Brazil</v>
      </c>
      <c r="D164" s="697" t="str">
        <f>IFERROR(__xludf.DUMMYFUNCTION("""COMPUTED_VALUE"""),"Praziquantel")</f>
        <v>Praziquantel</v>
      </c>
      <c r="E164" s="697" t="str">
        <f>IFERROR(__xludf.DUMMYFUNCTION("""COMPUTED_VALUE"""),"Two")</f>
        <v>Two</v>
      </c>
      <c r="F164" s="697" t="str">
        <f>IFERROR(__xludf.DUMMYFUNCTION("""COMPUTED_VALUE"""),"20 mg/kg")</f>
        <v>20 mg/kg</v>
      </c>
      <c r="G164" s="697">
        <f>IFERROR(__xludf.DUMMYFUNCTION("""COMPUTED_VALUE"""),24.0)</f>
        <v>24</v>
      </c>
      <c r="H164" s="697" t="str">
        <f>IFERROR(__xludf.DUMMYFUNCTION("""COMPUTED_VALUE"""),"10 - 62 ")</f>
        <v>10 - 62 </v>
      </c>
      <c r="I164" s="705" t="str">
        <f>IFERROR(__xludf.DUMMYFUNCTION("""COMPUTED_VALUE"""),"16:8")</f>
        <v>16:8</v>
      </c>
      <c r="J164" s="697">
        <f>IFERROR(__xludf.DUMMYFUNCTION("""COMPUTED_VALUE"""),1987.0)</f>
        <v>1987</v>
      </c>
      <c r="K164" s="697" t="str">
        <f>IFERROR(__xludf.DUMMYFUNCTION("""COMPUTED_VALUE"""),"individuals aged 10 to 62 years with S. mansoni diagnosed in a para- sitological survey")</f>
        <v>individuals aged 10 to 62 years with S. mansoni diagnosed in a para- sitological survey</v>
      </c>
      <c r="L164" s="697" t="str">
        <f>IFERROR(__xludf.DUMMYFUNCTION("""COMPUTED_VALUE"""),"No")</f>
        <v>No</v>
      </c>
      <c r="M164" s="697" t="str">
        <f>IFERROR(__xludf.DUMMYFUNCTION("""COMPUTED_VALUE"""),"Yes")</f>
        <v>Yes</v>
      </c>
      <c r="N164" s="697" t="str">
        <f>IFERROR(__xludf.DUMMYFUNCTION("""COMPUTED_VALUE"""),"Follow-up: three, six and 12 months. The achieved cure râtes, âs defined by absence of S. mansoni eggs in the faeces of individual pâtients at alt points during the parasitological follou¡ up")</f>
        <v>Follow-up: three, six and 12 months. The achieved cure râtes, âs defined by absence of S. mansoni eggs in the faeces of individual pâtients at alt points during the parasitological follou¡ up</v>
      </c>
      <c r="O164" s="873">
        <f>IFERROR(__xludf.DUMMYFUNCTION("""COMPUTED_VALUE"""),0.818)</f>
        <v>0.818</v>
      </c>
      <c r="P164" s="697"/>
      <c r="Q164" s="697" t="str">
        <f>IFERROR(__xludf.DUMMYFUNCTION("""COMPUTED_VALUE"""),"In conclusion, a single dose administration of oxamniquine 15 mg/kg or praziquantel40 mg/kg or a half-dose combination of both drugs proved to be similarly effective in schistosomiasis mansoni in Brâzil, as anâlogous cure rates and reductions of egg excre"&amp;"tion in non-cured cases were achieved.")</f>
        <v>In conclusion, a single dose administration of oxamniquine 15 mg/kg or praziquantel40 mg/kg or a half-dose combination of both drugs proved to be similarly effective in schistosomiasis mansoni in Brâzil, as anâlogous cure rates and reductions of egg excretion in non-cured cases were achieved.</v>
      </c>
      <c r="R164" s="697" t="str">
        <f>IFERROR(__xludf.DUMMYFUNCTION("""COMPUTED_VALUE"""),"EFFICACY OF OXAMNIOUINE, PRAZIOUANTEL AND A COMBINATION IN SCHISTOSOMIASIS MANSONI IN BRAZIL")</f>
        <v>EFFICACY OF OXAMNIOUINE, PRAZIOUANTEL AND A COMBINATION IN SCHISTOSOMIASIS MANSONI IN BRAZIL</v>
      </c>
      <c r="S164" s="699" t="str">
        <f>IFERROR(__xludf.DUMMYFUNCTION("""COMPUTED_VALUE"""),"Zwingenberger K, Queiroz JA, Poggensee U, Alencar JE, Valdegunas J, Esmeralda F, et al.Efficacy of oxamniquine, praziquantel and a combination of both drugs in schistosomiasis mansoni in Brazil. Revista do Instituto de Medicina Tropical de São Paulo 1987;"&amp;"29(5):305–11.")</f>
        <v>Zwingenberger K, Queiroz JA, Poggensee U, Alencar JE, Valdegunas J, Esmeralda F, et al.Efficacy of oxamniquine, praziquantel and a combination of both drugs in schistosomiasis mansoni in Brazil. Revista do Instituto de Medicina Tropical de São Paulo 1987;29(5):305–11.</v>
      </c>
      <c r="T164" s="697"/>
      <c r="U164" s="697" t="str">
        <f>IFERROR(__xludf.DUMMYFUNCTION("""COMPUTED_VALUE"""),"")</f>
        <v/>
      </c>
      <c r="V164" s="697">
        <f>IFERROR(__xludf.DUMMYFUNCTION("""COMPUTED_VALUE"""),164.0)</f>
        <v>164</v>
      </c>
    </row>
    <row r="165">
      <c r="A165" s="697" t="str">
        <f>IFERROR(__xludf.DUMMYFUNCTION("""COMPUTED_VALUE"""),"Zwingenberger K, 1987")</f>
        <v>Zwingenberger K, 1987</v>
      </c>
      <c r="B165" s="697" t="str">
        <f>IFERROR(__xludf.DUMMYFUNCTION("""COMPUTED_VALUE"""),"s. mansoni")</f>
        <v>s. mansoni</v>
      </c>
      <c r="C165" s="697" t="str">
        <f>IFERROR(__xludf.DUMMYFUNCTION("""COMPUTED_VALUE"""),"Brazil")</f>
        <v>Brazil</v>
      </c>
      <c r="D165" s="697" t="str">
        <f>IFERROR(__xludf.DUMMYFUNCTION("""COMPUTED_VALUE"""),"Oxamniquine")</f>
        <v>Oxamniquine</v>
      </c>
      <c r="E165" s="697" t="str">
        <f>IFERROR(__xludf.DUMMYFUNCTION("""COMPUTED_VALUE"""),"Single")</f>
        <v>Single</v>
      </c>
      <c r="F165" s="697" t="str">
        <f>IFERROR(__xludf.DUMMYFUNCTION("""COMPUTED_VALUE"""),"15 mg/kg")</f>
        <v>15 mg/kg</v>
      </c>
      <c r="G165" s="697">
        <f>IFERROR(__xludf.DUMMYFUNCTION("""COMPUTED_VALUE"""),32.0)</f>
        <v>32</v>
      </c>
      <c r="H165" s="697" t="str">
        <f>IFERROR(__xludf.DUMMYFUNCTION("""COMPUTED_VALUE"""),"10 - 62")</f>
        <v>10 - 62</v>
      </c>
      <c r="I165" s="705" t="str">
        <f>IFERROR(__xludf.DUMMYFUNCTION("""COMPUTED_VALUE"""),"24:7")</f>
        <v>24:7</v>
      </c>
      <c r="J165" s="697">
        <f>IFERROR(__xludf.DUMMYFUNCTION("""COMPUTED_VALUE"""),1987.0)</f>
        <v>1987</v>
      </c>
      <c r="K165" s="697" t="str">
        <f>IFERROR(__xludf.DUMMYFUNCTION("""COMPUTED_VALUE"""),"individuals aged 10 to 62 years with S. mansoni diagnosed in a para- sitological survey")</f>
        <v>individuals aged 10 to 62 years with S. mansoni diagnosed in a para- sitological survey</v>
      </c>
      <c r="L165" s="697" t="str">
        <f>IFERROR(__xludf.DUMMYFUNCTION("""COMPUTED_VALUE"""),"No")</f>
        <v>No</v>
      </c>
      <c r="M165" s="697" t="str">
        <f>IFERROR(__xludf.DUMMYFUNCTION("""COMPUTED_VALUE"""),"Yes")</f>
        <v>Yes</v>
      </c>
      <c r="N165" s="697" t="str">
        <f>IFERROR(__xludf.DUMMYFUNCTION("""COMPUTED_VALUE"""),"Follow-up: three, six and 12 months. The achieved cure râtes, âs defined by absence of S. mansoni eggs in the faeces of individual pâtients at alt points during the parasitological follou¡ up")</f>
        <v>Follow-up: three, six and 12 months. The achieved cure râtes, âs defined by absence of S. mansoni eggs in the faeces of individual pâtients at alt points during the parasitological follou¡ up</v>
      </c>
      <c r="O165" s="873">
        <f>IFERROR(__xludf.DUMMYFUNCTION("""COMPUTED_VALUE"""),0.812)</f>
        <v>0.812</v>
      </c>
      <c r="P165" s="697"/>
      <c r="Q165" s="697" t="str">
        <f>IFERROR(__xludf.DUMMYFUNCTION("""COMPUTED_VALUE"""),"In conclusion, a single dose administration of oxamniquine 15 mg/kg or praziquantel40 mg/kg or a half-dose combination of both drugs proved to be similarly effective in schistosomiasis mansoni in Brâzil, as anâlogous cure rates and reductions of egg excre"&amp;"tion in non-cured cases were achieved.")</f>
        <v>In conclusion, a single dose administration of oxamniquine 15 mg/kg or praziquantel40 mg/kg or a half-dose combination of both drugs proved to be similarly effective in schistosomiasis mansoni in Brâzil, as anâlogous cure rates and reductions of egg excretion in non-cured cases were achieved.</v>
      </c>
      <c r="R165" s="697" t="str">
        <f>IFERROR(__xludf.DUMMYFUNCTION("""COMPUTED_VALUE"""),"EFFICACY OF OXAMNIOUINE, PRAZIOUANTEL AND A COMBINATION IN SCHISTOSOMIASIS MANSONI IN BRAZIL")</f>
        <v>EFFICACY OF OXAMNIOUINE, PRAZIOUANTEL AND A COMBINATION IN SCHISTOSOMIASIS MANSONI IN BRAZIL</v>
      </c>
      <c r="S165" s="699" t="str">
        <f>IFERROR(__xludf.DUMMYFUNCTION("""COMPUTED_VALUE"""),"Zwingenberger K, Queiroz JA, Poggensee U, Alencar JE, Valdegunas J, Esmeralda F, et al.Efficacy of oxamniquine, praziquantel and a combination of both drugs in schistosomiasis mansoni in Brazil. Revista do Instituto de Medicina Tropical de São Paulo 1987;"&amp;"29(5):305–11.")</f>
        <v>Zwingenberger K, Queiroz JA, Poggensee U, Alencar JE, Valdegunas J, Esmeralda F, et al.Efficacy of oxamniquine, praziquantel and a combination of both drugs in schistosomiasis mansoni in Brazil. Revista do Instituto de Medicina Tropical de São Paulo 1987;29(5):305–11.</v>
      </c>
      <c r="T165" s="697"/>
      <c r="U165" s="697" t="str">
        <f>IFERROR(__xludf.DUMMYFUNCTION("""COMPUTED_VALUE"""),"")</f>
        <v/>
      </c>
      <c r="V165" s="697">
        <f>IFERROR(__xludf.DUMMYFUNCTION("""COMPUTED_VALUE"""),165.0)</f>
        <v>165</v>
      </c>
    </row>
    <row r="166">
      <c r="A166" s="697" t="str">
        <f>IFERROR(__xludf.DUMMYFUNCTION("""COMPUTED_VALUE"""),"Zwingenberger K, 1987")</f>
        <v>Zwingenberger K, 1987</v>
      </c>
      <c r="B166" s="697" t="str">
        <f>IFERROR(__xludf.DUMMYFUNCTION("""COMPUTED_VALUE"""),"s. mansoni")</f>
        <v>s. mansoni</v>
      </c>
      <c r="C166" s="697" t="str">
        <f>IFERROR(__xludf.DUMMYFUNCTION("""COMPUTED_VALUE"""),"Brazil")</f>
        <v>Brazil</v>
      </c>
      <c r="D166" s="697" t="str">
        <f>IFERROR(__xludf.DUMMYFUNCTION("""COMPUTED_VALUE"""),"Oxamniquine &amp; Praziquantel")</f>
        <v>Oxamniquine &amp; Praziquantel</v>
      </c>
      <c r="E166" s="697" t="str">
        <f>IFERROR(__xludf.DUMMYFUNCTION("""COMPUTED_VALUE"""),"Single")</f>
        <v>Single</v>
      </c>
      <c r="F166" s="697" t="str">
        <f>IFERROR(__xludf.DUMMYFUNCTION("""COMPUTED_VALUE"""),"7.5 mg/kg; 20 mg/kg")</f>
        <v>7.5 mg/kg; 20 mg/kg</v>
      </c>
      <c r="G166" s="697">
        <f>IFERROR(__xludf.DUMMYFUNCTION("""COMPUTED_VALUE"""),35.0)</f>
        <v>35</v>
      </c>
      <c r="H166" s="697" t="str">
        <f>IFERROR(__xludf.DUMMYFUNCTION("""COMPUTED_VALUE"""),"10 - 62")</f>
        <v>10 - 62</v>
      </c>
      <c r="I166" s="705" t="str">
        <f>IFERROR(__xludf.DUMMYFUNCTION("""COMPUTED_VALUE"""),"29:6")</f>
        <v>29:6</v>
      </c>
      <c r="J166" s="697">
        <f>IFERROR(__xludf.DUMMYFUNCTION("""COMPUTED_VALUE"""),1987.0)</f>
        <v>1987</v>
      </c>
      <c r="K166" s="697" t="str">
        <f>IFERROR(__xludf.DUMMYFUNCTION("""COMPUTED_VALUE"""),"individuals aged 10 to 62 years with S. mansoni diagnosed in a para- sitological survey")</f>
        <v>individuals aged 10 to 62 years with S. mansoni diagnosed in a para- sitological survey</v>
      </c>
      <c r="L166" s="697" t="str">
        <f>IFERROR(__xludf.DUMMYFUNCTION("""COMPUTED_VALUE"""),"No")</f>
        <v>No</v>
      </c>
      <c r="M166" s="697" t="str">
        <f>IFERROR(__xludf.DUMMYFUNCTION("""COMPUTED_VALUE"""),"Yes")</f>
        <v>Yes</v>
      </c>
      <c r="N166" s="697" t="str">
        <f>IFERROR(__xludf.DUMMYFUNCTION("""COMPUTED_VALUE"""),"Follow-up: three, six and 12 months. The achieved cure râtes, âs defined by absence of S. mansoni eggs in the faeces of individual pâtients at alt points during the parasitological follou¡ up")</f>
        <v>Follow-up: three, six and 12 months. The achieved cure râtes, âs defined by absence of S. mansoni eggs in the faeces of individual pâtients at alt points during the parasitological follou¡ up</v>
      </c>
      <c r="O166" s="873">
        <f>IFERROR(__xludf.DUMMYFUNCTION("""COMPUTED_VALUE"""),0.676)</f>
        <v>0.676</v>
      </c>
      <c r="P166" s="697"/>
      <c r="Q166" s="697" t="str">
        <f>IFERROR(__xludf.DUMMYFUNCTION("""COMPUTED_VALUE"""),"In conclusion, a single dose administration of oxamniquine 15 mg/kg or praziquantel40 mg/kg or a half-dose combination of both drugs proved to be similarly effective in schistosomiasis mansoni in Brâzil, as anâlogous cure rates and reductions of egg excre"&amp;"tion in non-cured cases were achieved.")</f>
        <v>In conclusion, a single dose administration of oxamniquine 15 mg/kg or praziquantel40 mg/kg or a half-dose combination of both drugs proved to be similarly effective in schistosomiasis mansoni in Brâzil, as anâlogous cure rates and reductions of egg excretion in non-cured cases were achieved.</v>
      </c>
      <c r="R166" s="697" t="str">
        <f>IFERROR(__xludf.DUMMYFUNCTION("""COMPUTED_VALUE"""),"EFFICACY OF OXAMNIOUINE, PRAZIOUANTEL AND A COMBINATION IN SCHISTOSOMIASIS MANSONI IN BRAZIL")</f>
        <v>EFFICACY OF OXAMNIOUINE, PRAZIOUANTEL AND A COMBINATION IN SCHISTOSOMIASIS MANSONI IN BRAZIL</v>
      </c>
      <c r="S166" s="699" t="str">
        <f>IFERROR(__xludf.DUMMYFUNCTION("""COMPUTED_VALUE"""),"Zwingenberger K, Queiroz JA, Poggensee U, Alencar JE, Valdegunas J, Esmeralda F, et al.Efficacy of oxamniquine, praziquantel and a combination of both drugs in schistosomiasis mansoni in Brazil. Revista do Instituto de Medicina Tropical de São Paulo 1987;"&amp;"29(5):305–11.")</f>
        <v>Zwingenberger K, Queiroz JA, Poggensee U, Alencar JE, Valdegunas J, Esmeralda F, et al.Efficacy of oxamniquine, praziquantel and a combination of both drugs in schistosomiasis mansoni in Brazil. Revista do Instituto de Medicina Tropical de São Paulo 1987;29(5):305–11.</v>
      </c>
      <c r="T166" s="697"/>
      <c r="U166" s="697" t="str">
        <f>IFERROR(__xludf.DUMMYFUNCTION("""COMPUTED_VALUE"""),"")</f>
        <v/>
      </c>
      <c r="V166" s="697">
        <f>IFERROR(__xludf.DUMMYFUNCTION("""COMPUTED_VALUE"""),166.0)</f>
        <v>166</v>
      </c>
    </row>
    <row r="167">
      <c r="A167" s="697"/>
      <c r="B167" s="697"/>
      <c r="C167" s="697"/>
      <c r="D167" s="697"/>
      <c r="E167" s="697"/>
      <c r="F167" s="697"/>
      <c r="G167" s="697"/>
      <c r="H167" s="697"/>
      <c r="I167" s="697"/>
      <c r="J167" s="697"/>
      <c r="K167" s="697"/>
      <c r="L167" s="697"/>
      <c r="M167" s="697"/>
      <c r="N167" s="697"/>
      <c r="O167" s="871"/>
      <c r="P167" s="697"/>
      <c r="Q167" s="697"/>
      <c r="R167" s="697"/>
      <c r="S167" s="697"/>
      <c r="T167" s="697"/>
      <c r="U167" s="697" t="str">
        <f>IFERROR(__xludf.DUMMYFUNCTION("""COMPUTED_VALUE"""),"")</f>
        <v/>
      </c>
      <c r="V167" s="697">
        <f>IFERROR(__xludf.DUMMYFUNCTION("""COMPUTED_VALUE"""),167.0)</f>
        <v>167</v>
      </c>
    </row>
    <row r="168">
      <c r="A168" s="697" t="str">
        <f>IFERROR(__xludf.DUMMYFUNCTION("""COMPUTED_VALUE"""),"Utzinger 2000b")</f>
        <v>Utzinger 2000b</v>
      </c>
      <c r="B168" s="697" t="str">
        <f>IFERROR(__xludf.DUMMYFUNCTION("""COMPUTED_VALUE"""),"s. mansoni")</f>
        <v>s. mansoni</v>
      </c>
      <c r="C168" s="697" t="str">
        <f>IFERROR(__xludf.DUMMYFUNCTION("""COMPUTED_VALUE"""),"Cote d'Ivoire")</f>
        <v>Cote d'Ivoire</v>
      </c>
      <c r="D168" s="697" t="str">
        <f>IFERROR(__xludf.DUMMYFUNCTION("""COMPUTED_VALUE"""),"Praziquantel")</f>
        <v>Praziquantel</v>
      </c>
      <c r="E168" s="697" t="str">
        <f>IFERROR(__xludf.DUMMYFUNCTION("""COMPUTED_VALUE"""),"Two")</f>
        <v>Two</v>
      </c>
      <c r="F168" s="697" t="str">
        <f>IFERROR(__xludf.DUMMYFUNCTION("""COMPUTED_VALUE"""),"30 mg/kg")</f>
        <v>30 mg/kg</v>
      </c>
      <c r="G168" s="697">
        <f>IFERROR(__xludf.DUMMYFUNCTION("""COMPUTED_VALUE"""),194.0)</f>
        <v>194</v>
      </c>
      <c r="H168" s="697" t="str">
        <f>IFERROR(__xludf.DUMMYFUNCTION("""COMPUTED_VALUE"""),"School Children")</f>
        <v>School Children</v>
      </c>
      <c r="I168" s="705" t="str">
        <f>IFERROR(__xludf.DUMMYFUNCTION("""COMPUTED_VALUE"""),"MF")</f>
        <v>MF</v>
      </c>
      <c r="J168" s="697">
        <f>IFERROR(__xludf.DUMMYFUNCTION("""COMPUTED_VALUE"""),1998.0)</f>
        <v>1998</v>
      </c>
      <c r="K168" s="697" t="str">
        <f>IFERROR(__xludf.DUMMYFUNCTION("""COMPUTED_VALUE"""),"schoolchildren")</f>
        <v>schoolchildren</v>
      </c>
      <c r="L168" s="697" t="str">
        <f>IFERROR(__xludf.DUMMYFUNCTION("""COMPUTED_VALUE"""),"No")</f>
        <v>No</v>
      </c>
      <c r="M168" s="697" t="str">
        <f>IFERROR(__xludf.DUMMYFUNCTION("""COMPUTED_VALUE"""),"Yes")</f>
        <v>Yes</v>
      </c>
      <c r="N168" s="697" t="str">
        <f>IFERROR(__xludf.DUMMYFUNCTION("""COMPUTED_VALUE"""),"Follow-up after one treatment")</f>
        <v>Follow-up after one treatment</v>
      </c>
      <c r="O168" s="873">
        <f>IFERROR(__xludf.DUMMYFUNCTION("""COMPUTED_VALUE"""),0.716)</f>
        <v>0.716</v>
      </c>
      <c r="P168" s="698">
        <f>IFERROR(__xludf.DUMMYFUNCTION("""COMPUTED_VALUE"""),0.799)</f>
        <v>0.799</v>
      </c>
      <c r="Q168" s="697" t="str">
        <f>IFERROR(__xludf.DUMMYFUNCTION("""COMPUTED_VALUE"""),"There was a significant association between cure rate and intensity of infection prior to treatment with highest cure rates observed in light infections (P   0.01)")</f>
        <v>There was a significant association between cure rate and intensity of infection prior to treatment with highest cure rates observed in light infections (P   0.01)</v>
      </c>
      <c r="R168" s="697"/>
      <c r="S168" s="699" t="str">
        <f>IFERROR(__xludf.DUMMYFUNCTION("""COMPUTED_VALUE"""),"Utzinger, J.; N'Goran, K.E.; Dri, A.N.; Lengeler, C.; Tanner, M. ""Efficacy of praziquantel against Schistosoma mansonia with particular consideration for intensity of infection. 2000. Tropical Medicine and International Health 5(11): 771-778. Web. ")</f>
        <v>Utzinger, J.; N'Goran, K.E.; Dri, A.N.; Lengeler, C.; Tanner, M. "Efficacy of praziquantel against Schistosoma mansonia with particular consideration for intensity of infection. 2000. Tropical Medicine and International Health 5(11): 771-778. Web. </v>
      </c>
      <c r="T168" s="697"/>
      <c r="U168" s="697" t="str">
        <f>IFERROR(__xludf.DUMMYFUNCTION("""COMPUTED_VALUE"""),"")</f>
        <v/>
      </c>
      <c r="V168" s="697">
        <f>IFERROR(__xludf.DUMMYFUNCTION("""COMPUTED_VALUE"""),168.0)</f>
        <v>168</v>
      </c>
    </row>
    <row r="169">
      <c r="A169" s="697" t="str">
        <f>IFERROR(__xludf.DUMMYFUNCTION("""COMPUTED_VALUE"""),"Utzinger 2000a")</f>
        <v>Utzinger 2000a</v>
      </c>
      <c r="B169" s="697" t="str">
        <f>IFERROR(__xludf.DUMMYFUNCTION("""COMPUTED_VALUE"""),"s. mansoni")</f>
        <v>s. mansoni</v>
      </c>
      <c r="C169" s="697" t="str">
        <f>IFERROR(__xludf.DUMMYFUNCTION("""COMPUTED_VALUE"""),"Cote d'Ivoire")</f>
        <v>Cote d'Ivoire</v>
      </c>
      <c r="D169" s="697" t="str">
        <f>IFERROR(__xludf.DUMMYFUNCTION("""COMPUTED_VALUE"""),"Artemether")</f>
        <v>Artemether</v>
      </c>
      <c r="E169" s="697" t="str">
        <f>IFERROR(__xludf.DUMMYFUNCTION("""COMPUTED_VALUE"""),"Six")</f>
        <v>Six</v>
      </c>
      <c r="F169" s="697" t="str">
        <f>IFERROR(__xludf.DUMMYFUNCTION("""COMPUTED_VALUE"""),"6 mg/kg")</f>
        <v>6 mg/kg</v>
      </c>
      <c r="G169" s="697">
        <f>IFERROR(__xludf.DUMMYFUNCTION("""COMPUTED_VALUE"""),138.0)</f>
        <v>138</v>
      </c>
      <c r="H169" s="697" t="str">
        <f>IFERROR(__xludf.DUMMYFUNCTION("""COMPUTED_VALUE"""),"School Children")</f>
        <v>School Children</v>
      </c>
      <c r="I169" s="705" t="str">
        <f>IFERROR(__xludf.DUMMYFUNCTION("""COMPUTED_VALUE"""),"MF")</f>
        <v>MF</v>
      </c>
      <c r="J169" s="697">
        <f>IFERROR(__xludf.DUMMYFUNCTION("""COMPUTED_VALUE"""),1999.0)</f>
        <v>1999</v>
      </c>
      <c r="K169" s="697" t="str">
        <f>IFERROR(__xludf.DUMMYFUNCTION("""COMPUTED_VALUE"""),"8 children were excluded: (15 missed the second treatment with praziquantel, and 13 provided fewer than three stool specimens before the first artemether treatment)")</f>
        <v>8 children were excluded: (15 missed the second treatment with praziquantel, and 13 provided fewer than three stool specimens before the first artemether treatment)</v>
      </c>
      <c r="L169" s="697" t="str">
        <f>IFERROR(__xludf.DUMMYFUNCTION("""COMPUTED_VALUE"""),"Yes")</f>
        <v>Yes</v>
      </c>
      <c r="M169" s="697" t="str">
        <f>IFERROR(__xludf.DUMMYFUNCTION("""COMPUTED_VALUE"""),"Yes")</f>
        <v>Yes</v>
      </c>
      <c r="N169" s="697" t="str">
        <f>IFERROR(__xludf.DUMMYFUNCTION("""COMPUTED_VALUE"""),"1 month after first praziquantel treatment ")</f>
        <v>1 month after first praziquantel treatment </v>
      </c>
      <c r="O169" s="873">
        <f>IFERROR(__xludf.DUMMYFUNCTION("""COMPUTED_VALUE"""),0.828)</f>
        <v>0.828</v>
      </c>
      <c r="P169" s="697"/>
      <c r="Q169" s="697" t="str">
        <f>IFERROR(__xludf.DUMMYFUNCTION("""COMPUTED_VALUE"""),"The study showed that oral artemether is safe and has a clear prophylactic effect against S mansoni. ")</f>
        <v>The study showed that oral artemether is safe and has a clear prophylactic effect against S mansoni. </v>
      </c>
      <c r="R169" s="697"/>
      <c r="S169" s="699" t="str">
        <f>IFERROR(__xludf.DUMMYFUNCTION("""COMPUTED_VALUE"""),"Utzinger, J.; N'Goran, E.K.; N'Dri, A.; Lengeier, C.; Shuhua,, X.; Tanner, M. ""Oral artemeter for prevention of Schistosoma mansoni infection: randomised controlled trial"". 2000. The Lancet 355: 1320-1325. Web.")</f>
        <v>Utzinger, J.; N'Goran, E.K.; N'Dri, A.; Lengeier, C.; Shuhua,, X.; Tanner, M. "Oral artemeter for prevention of Schistosoma mansoni infection: randomised controlled trial". 2000. The Lancet 355: 1320-1325. Web.</v>
      </c>
      <c r="T169" s="697"/>
      <c r="U169" s="697" t="str">
        <f>IFERROR(__xludf.DUMMYFUNCTION("""COMPUTED_VALUE"""),"")</f>
        <v/>
      </c>
      <c r="V169" s="697">
        <f>IFERROR(__xludf.DUMMYFUNCTION("""COMPUTED_VALUE"""),169.0)</f>
        <v>169</v>
      </c>
    </row>
    <row r="170">
      <c r="A170" s="697" t="str">
        <f>IFERROR(__xludf.DUMMYFUNCTION("""COMPUTED_VALUE"""),"Utzinger 2000a")</f>
        <v>Utzinger 2000a</v>
      </c>
      <c r="B170" s="697" t="str">
        <f>IFERROR(__xludf.DUMMYFUNCTION("""COMPUTED_VALUE"""),"s. mansoni")</f>
        <v>s. mansoni</v>
      </c>
      <c r="C170" s="697" t="str">
        <f>IFERROR(__xludf.DUMMYFUNCTION("""COMPUTED_VALUE"""),"Cote d'Ivoire")</f>
        <v>Cote d'Ivoire</v>
      </c>
      <c r="D170" s="697" t="str">
        <f>IFERROR(__xludf.DUMMYFUNCTION("""COMPUTED_VALUE"""),"Placebo")</f>
        <v>Placebo</v>
      </c>
      <c r="E170" s="697"/>
      <c r="F170" s="697"/>
      <c r="G170" s="697">
        <f>IFERROR(__xludf.DUMMYFUNCTION("""COMPUTED_VALUE"""),151.0)</f>
        <v>151</v>
      </c>
      <c r="H170" s="697" t="str">
        <f>IFERROR(__xludf.DUMMYFUNCTION("""COMPUTED_VALUE"""),"School Children")</f>
        <v>School Children</v>
      </c>
      <c r="I170" s="705" t="str">
        <f>IFERROR(__xludf.DUMMYFUNCTION("""COMPUTED_VALUE"""),"MF")</f>
        <v>MF</v>
      </c>
      <c r="J170" s="697">
        <f>IFERROR(__xludf.DUMMYFUNCTION("""COMPUTED_VALUE"""),1999.0)</f>
        <v>1999</v>
      </c>
      <c r="K170" s="697" t="str">
        <f>IFERROR(__xludf.DUMMYFUNCTION("""COMPUTED_VALUE"""),"8 children were excluded: (15 missed the second treatment with praziquantel, and 13 provided fewer than three stool specimens before the first artemether treatment)")</f>
        <v>8 children were excluded: (15 missed the second treatment with praziquantel, and 13 provided fewer than three stool specimens before the first artemether treatment)</v>
      </c>
      <c r="L170" s="697" t="str">
        <f>IFERROR(__xludf.DUMMYFUNCTION("""COMPUTED_VALUE"""),"Yes")</f>
        <v>Yes</v>
      </c>
      <c r="M170" s="697" t="str">
        <f>IFERROR(__xludf.DUMMYFUNCTION("""COMPUTED_VALUE"""),"Yes")</f>
        <v>Yes</v>
      </c>
      <c r="N170" s="697" t="str">
        <f>IFERROR(__xludf.DUMMYFUNCTION("""COMPUTED_VALUE"""),"1 month after first praziquantel treatment ")</f>
        <v>1 month after first praziquantel treatment </v>
      </c>
      <c r="O170" s="873">
        <f>IFERROR(__xludf.DUMMYFUNCTION("""COMPUTED_VALUE"""),0.786)</f>
        <v>0.786</v>
      </c>
      <c r="P170" s="697"/>
      <c r="Q170" s="697" t="str">
        <f>IFERROR(__xludf.DUMMYFUNCTION("""COMPUTED_VALUE"""),"The study showed that oral artemether is safe and has a clear prophylactic effect against S mansoni. ")</f>
        <v>The study showed that oral artemether is safe and has a clear prophylactic effect against S mansoni. </v>
      </c>
      <c r="R170" s="697"/>
      <c r="S170" s="699" t="str">
        <f>IFERROR(__xludf.DUMMYFUNCTION("""COMPUTED_VALUE"""),"Utzinger, J.; N'Goran, E.K.; N'Dri, A.; Lengeier, C.; Shuhua,, X.; Tanner, M. ""Oral artemeter for prevention of Schistosoma mansoni infection: randomised controlled trial"". 2000. The Lancet 355: 1320-1325. Web.")</f>
        <v>Utzinger, J.; N'Goran, E.K.; N'Dri, A.; Lengeier, C.; Shuhua,, X.; Tanner, M. "Oral artemeter for prevention of Schistosoma mansoni infection: randomised controlled trial". 2000. The Lancet 355: 1320-1325. Web.</v>
      </c>
      <c r="T170" s="697"/>
      <c r="U170" s="697" t="str">
        <f>IFERROR(__xludf.DUMMYFUNCTION("""COMPUTED_VALUE"""),"")</f>
        <v/>
      </c>
      <c r="V170" s="697">
        <f>IFERROR(__xludf.DUMMYFUNCTION("""COMPUTED_VALUE"""),170.0)</f>
        <v>170</v>
      </c>
    </row>
    <row r="171">
      <c r="A171" s="697" t="str">
        <f>IFERROR(__xludf.DUMMYFUNCTION("""COMPUTED_VALUE"""),"De Clercq 2002")</f>
        <v>De Clercq 2002</v>
      </c>
      <c r="B171" s="697" t="str">
        <f>IFERROR(__xludf.DUMMYFUNCTION("""COMPUTED_VALUE"""),"s. haematobium")</f>
        <v>s. haematobium</v>
      </c>
      <c r="C171" s="697" t="str">
        <f>IFERROR(__xludf.DUMMYFUNCTION("""COMPUTED_VALUE"""),"Senegal")</f>
        <v>Senegal</v>
      </c>
      <c r="D171" s="697" t="str">
        <f>IFERROR(__xludf.DUMMYFUNCTION("""COMPUTED_VALUE"""),"Praziquantel")</f>
        <v>Praziquantel</v>
      </c>
      <c r="E171" s="697" t="str">
        <f>IFERROR(__xludf.DUMMYFUNCTION("""COMPUTED_VALUE"""),"Single")</f>
        <v>Single</v>
      </c>
      <c r="F171" s="697" t="str">
        <f>IFERROR(__xludf.DUMMYFUNCTION("""COMPUTED_VALUE"""),"40 mg/kg")</f>
        <v>40 mg/kg</v>
      </c>
      <c r="G171" s="697">
        <f>IFERROR(__xludf.DUMMYFUNCTION("""COMPUTED_VALUE"""),88.0)</f>
        <v>88</v>
      </c>
      <c r="H171" s="697" t="str">
        <f>IFERROR(__xludf.DUMMYFUNCTION("""COMPUTED_VALUE"""),"School Children")</f>
        <v>School Children</v>
      </c>
      <c r="I171" s="705" t="str">
        <f>IFERROR(__xludf.DUMMYFUNCTION("""COMPUTED_VALUE"""),"MF")</f>
        <v>MF</v>
      </c>
      <c r="J171" s="697">
        <f>IFERROR(__xludf.DUMMYFUNCTION("""COMPUTED_VALUE"""),2002.0)</f>
        <v>2002</v>
      </c>
      <c r="K171" s="697" t="str">
        <f>IFERROR(__xludf.DUMMYFUNCTION("""COMPUTED_VALUE"""),"schoolchildren")</f>
        <v>schoolchildren</v>
      </c>
      <c r="L171" s="697" t="str">
        <f>IFERROR(__xludf.DUMMYFUNCTION("""COMPUTED_VALUE"""),"No")</f>
        <v>No</v>
      </c>
      <c r="M171" s="697" t="str">
        <f>IFERROR(__xludf.DUMMYFUNCTION("""COMPUTED_VALUE"""),"No")</f>
        <v>No</v>
      </c>
      <c r="N171" s="697" t="str">
        <f>IFERROR(__xludf.DUMMYFUNCTION("""COMPUTED_VALUE"""),"5 weeks ")</f>
        <v>5 weeks </v>
      </c>
      <c r="O171" s="872">
        <f>IFERROR(__xludf.DUMMYFUNCTION("""COMPUTED_VALUE"""),0.3)</f>
        <v>0.3</v>
      </c>
      <c r="P171" s="700">
        <f>IFERROR(__xludf.DUMMYFUNCTION("""COMPUTED_VALUE"""),0.8)</f>
        <v>0.8</v>
      </c>
      <c r="Q171" s="697" t="str">
        <f>IFERROR(__xludf.DUMMYFUNCTION("""COMPUTED_VALUE"""),"At present the cornerstone for schistosomiasis control is morbidity reduction through chemotherapy, mainly with praziquantel")</f>
        <v>At present the cornerstone for schistosomiasis control is morbidity reduction through chemotherapy, mainly with praziquantel</v>
      </c>
      <c r="R171" s="697"/>
      <c r="S171" s="699" t="str">
        <f>IFERROR(__xludf.DUMMYFUNCTION("""COMPUTED_VALUE"""),"Clercq, D.D.; Vercruysse, J.; Kongs, A.; Verlé, P.; Dompnier, J.P.; Faye, P.C. ""Efficcy of artesunate and praziquantel in Schistosoma haematobium infected schoolchildren"". 2002. Acta Tropica 82: 61-66.")</f>
        <v>Clercq, D.D.; Vercruysse, J.; Kongs, A.; Verlé, P.; Dompnier, J.P.; Faye, P.C. "Efficcy of artesunate and praziquantel in Schistosoma haematobium infected schoolchildren". 2002. Acta Tropica 82: 61-66.</v>
      </c>
      <c r="T171" s="697"/>
      <c r="U171" s="697" t="str">
        <f>IFERROR(__xludf.DUMMYFUNCTION("""COMPUTED_VALUE"""),"x")</f>
        <v>x</v>
      </c>
      <c r="V171" s="697">
        <f>IFERROR(__xludf.DUMMYFUNCTION("""COMPUTED_VALUE"""),171.0)</f>
        <v>171</v>
      </c>
    </row>
    <row r="172">
      <c r="A172" s="697" t="str">
        <f>IFERROR(__xludf.DUMMYFUNCTION("""COMPUTED_VALUE"""),"De Clercq 2002")</f>
        <v>De Clercq 2002</v>
      </c>
      <c r="B172" s="697" t="str">
        <f>IFERROR(__xludf.DUMMYFUNCTION("""COMPUTED_VALUE"""),"s. haematobium")</f>
        <v>s. haematobium</v>
      </c>
      <c r="C172" s="697" t="str">
        <f>IFERROR(__xludf.DUMMYFUNCTION("""COMPUTED_VALUE"""),"Senegal")</f>
        <v>Senegal</v>
      </c>
      <c r="D172" s="697" t="str">
        <f>IFERROR(__xludf.DUMMYFUNCTION("""COMPUTED_VALUE"""),"Artesunate")</f>
        <v>Artesunate</v>
      </c>
      <c r="E172" s="697" t="str">
        <f>IFERROR(__xludf.DUMMYFUNCTION("""COMPUTED_VALUE"""),"Single")</f>
        <v>Single</v>
      </c>
      <c r="F172" s="697" t="str">
        <f>IFERROR(__xludf.DUMMYFUNCTION("""COMPUTED_VALUE"""),"3.0 mg/kg")</f>
        <v>3.0 mg/kg</v>
      </c>
      <c r="G172" s="697">
        <f>IFERROR(__xludf.DUMMYFUNCTION("""COMPUTED_VALUE"""),90.0)</f>
        <v>90</v>
      </c>
      <c r="H172" s="697" t="str">
        <f>IFERROR(__xludf.DUMMYFUNCTION("""COMPUTED_VALUE"""),"School Children")</f>
        <v>School Children</v>
      </c>
      <c r="I172" s="705" t="str">
        <f>IFERROR(__xludf.DUMMYFUNCTION("""COMPUTED_VALUE"""),"MF")</f>
        <v>MF</v>
      </c>
      <c r="J172" s="697">
        <f>IFERROR(__xludf.DUMMYFUNCTION("""COMPUTED_VALUE"""),2002.0)</f>
        <v>2002</v>
      </c>
      <c r="K172" s="697" t="str">
        <f>IFERROR(__xludf.DUMMYFUNCTION("""COMPUTED_VALUE"""),"schoolchildren")</f>
        <v>schoolchildren</v>
      </c>
      <c r="L172" s="697" t="str">
        <f>IFERROR(__xludf.DUMMYFUNCTION("""COMPUTED_VALUE"""),"No")</f>
        <v>No</v>
      </c>
      <c r="M172" s="697" t="str">
        <f>IFERROR(__xludf.DUMMYFUNCTION("""COMPUTED_VALUE"""),"No")</f>
        <v>No</v>
      </c>
      <c r="N172" s="697" t="str">
        <f>IFERROR(__xludf.DUMMYFUNCTION("""COMPUTED_VALUE"""),"5 weeks ")</f>
        <v>5 weeks </v>
      </c>
      <c r="O172" s="872">
        <f>IFERROR(__xludf.DUMMYFUNCTION("""COMPUTED_VALUE"""),0.2)</f>
        <v>0.2</v>
      </c>
      <c r="P172" s="700">
        <f>IFERROR(__xludf.DUMMYFUNCTION("""COMPUTED_VALUE"""),0.55)</f>
        <v>0.55</v>
      </c>
      <c r="Q172" s="697" t="str">
        <f>IFERROR(__xludf.DUMMYFUNCTION("""COMPUTED_VALUE"""),"At present the cornerstone for schistosomiasis control is morbidity reduction through chemotherapy, mainly with praziquantel")</f>
        <v>At present the cornerstone for schistosomiasis control is morbidity reduction through chemotherapy, mainly with praziquantel</v>
      </c>
      <c r="R172" s="697"/>
      <c r="S172" s="699" t="str">
        <f>IFERROR(__xludf.DUMMYFUNCTION("""COMPUTED_VALUE"""),"Clercq, D.D.; Vercruysse, J.; Kongs, A.; Verlé, P.; Dompnier, J.P.; Faye, P.C. ""Efficcy of artesunate and praziquantel in Schistosoma haematobium infected schoolchildren"". 2002. Acta Tropica 82: 61-66.")</f>
        <v>Clercq, D.D.; Vercruysse, J.; Kongs, A.; Verlé, P.; Dompnier, J.P.; Faye, P.C. "Efficcy of artesunate and praziquantel in Schistosoma haematobium infected schoolchildren". 2002. Acta Tropica 82: 61-66.</v>
      </c>
      <c r="T172" s="697"/>
      <c r="U172" s="697" t="str">
        <f>IFERROR(__xludf.DUMMYFUNCTION("""COMPUTED_VALUE"""),"x")</f>
        <v>x</v>
      </c>
      <c r="V172" s="697">
        <f>IFERROR(__xludf.DUMMYFUNCTION("""COMPUTED_VALUE"""),172.0)</f>
        <v>172</v>
      </c>
    </row>
    <row r="173">
      <c r="A173" s="697" t="str">
        <f>IFERROR(__xludf.DUMMYFUNCTION("""COMPUTED_VALUE"""),"De Clercq 2002")</f>
        <v>De Clercq 2002</v>
      </c>
      <c r="B173" s="697" t="str">
        <f>IFERROR(__xludf.DUMMYFUNCTION("""COMPUTED_VALUE"""),"s. haematobium")</f>
        <v>s. haematobium</v>
      </c>
      <c r="C173" s="697" t="str">
        <f>IFERROR(__xludf.DUMMYFUNCTION("""COMPUTED_VALUE"""),"Senegal")</f>
        <v>Senegal</v>
      </c>
      <c r="D173" s="697" t="str">
        <f>IFERROR(__xludf.DUMMYFUNCTION("""COMPUTED_VALUE"""),"Artesunate")</f>
        <v>Artesunate</v>
      </c>
      <c r="E173" s="697" t="str">
        <f>IFERROR(__xludf.DUMMYFUNCTION("""COMPUTED_VALUE"""),"Single")</f>
        <v>Single</v>
      </c>
      <c r="F173" s="697" t="str">
        <f>IFERROR(__xludf.DUMMYFUNCTION("""COMPUTED_VALUE"""),"3.0 mg/kg")</f>
        <v>3.0 mg/kg</v>
      </c>
      <c r="G173" s="697">
        <f>IFERROR(__xludf.DUMMYFUNCTION("""COMPUTED_VALUE"""),44.0)</f>
        <v>44</v>
      </c>
      <c r="H173" s="697" t="str">
        <f>IFERROR(__xludf.DUMMYFUNCTION("""COMPUTED_VALUE"""),"School Children")</f>
        <v>School Children</v>
      </c>
      <c r="I173" s="705" t="str">
        <f>IFERROR(__xludf.DUMMYFUNCTION("""COMPUTED_VALUE"""),"MF")</f>
        <v>MF</v>
      </c>
      <c r="J173" s="697">
        <f>IFERROR(__xludf.DUMMYFUNCTION("""COMPUTED_VALUE"""),2002.0)</f>
        <v>2002</v>
      </c>
      <c r="K173" s="697" t="str">
        <f>IFERROR(__xludf.DUMMYFUNCTION("""COMPUTED_VALUE"""),"schoolchildren")</f>
        <v>schoolchildren</v>
      </c>
      <c r="L173" s="697" t="str">
        <f>IFERROR(__xludf.DUMMYFUNCTION("""COMPUTED_VALUE"""),"No")</f>
        <v>No</v>
      </c>
      <c r="M173" s="697" t="str">
        <f>IFERROR(__xludf.DUMMYFUNCTION("""COMPUTED_VALUE"""),"No")</f>
        <v>No</v>
      </c>
      <c r="N173" s="697" t="str">
        <f>IFERROR(__xludf.DUMMYFUNCTION("""COMPUTED_VALUE"""),"5 weeks ")</f>
        <v>5 weeks </v>
      </c>
      <c r="O173" s="872">
        <f>IFERROR(__xludf.DUMMYFUNCTION("""COMPUTED_VALUE"""),0.48)</f>
        <v>0.48</v>
      </c>
      <c r="P173" s="700">
        <f>IFERROR(__xludf.DUMMYFUNCTION("""COMPUTED_VALUE"""),0.89)</f>
        <v>0.89</v>
      </c>
      <c r="Q173" s="697" t="str">
        <f>IFERROR(__xludf.DUMMYFUNCTION("""COMPUTED_VALUE"""),"At present the cornerstone for schistosomiasis control is morbidity reduction through chemotherapy, mainly with praziquantel")</f>
        <v>At present the cornerstone for schistosomiasis control is morbidity reduction through chemotherapy, mainly with praziquantel</v>
      </c>
      <c r="R173" s="697"/>
      <c r="S173" s="699" t="str">
        <f>IFERROR(__xludf.DUMMYFUNCTION("""COMPUTED_VALUE"""),"Clercq, D.D.; Vercruysse, J.; Kongs, A.; Verlé, P.; Dompnier, J.P.; Faye, P.C. ""Efficcy of artesunate and praziquantel in Schistosoma haematobium infected schoolchildren"". 2002. Acta Tropica 82: 61-66.")</f>
        <v>Clercq, D.D.; Vercruysse, J.; Kongs, A.; Verlé, P.; Dompnier, J.P.; Faye, P.C. "Efficcy of artesunate and praziquantel in Schistosoma haematobium infected schoolchildren". 2002. Acta Tropica 82: 61-66.</v>
      </c>
      <c r="T173" s="697"/>
      <c r="U173" s="697" t="str">
        <f>IFERROR(__xludf.DUMMYFUNCTION("""COMPUTED_VALUE"""),"x")</f>
        <v>x</v>
      </c>
      <c r="V173" s="697">
        <f>IFERROR(__xludf.DUMMYFUNCTION("""COMPUTED_VALUE"""),173.0)</f>
        <v>173</v>
      </c>
    </row>
    <row r="174">
      <c r="A174" s="697" t="str">
        <f>IFERROR(__xludf.DUMMYFUNCTION("""COMPUTED_VALUE"""),"De Clercq 2002")</f>
        <v>De Clercq 2002</v>
      </c>
      <c r="B174" s="697" t="str">
        <f>IFERROR(__xludf.DUMMYFUNCTION("""COMPUTED_VALUE"""),"s. haematobium")</f>
        <v>s. haematobium</v>
      </c>
      <c r="C174" s="697" t="str">
        <f>IFERROR(__xludf.DUMMYFUNCTION("""COMPUTED_VALUE"""),"Senegal")</f>
        <v>Senegal</v>
      </c>
      <c r="D174" s="697" t="str">
        <f>IFERROR(__xludf.DUMMYFUNCTION("""COMPUTED_VALUE"""),"Praziquantel")</f>
        <v>Praziquantel</v>
      </c>
      <c r="E174" s="697" t="str">
        <f>IFERROR(__xludf.DUMMYFUNCTION("""COMPUTED_VALUE"""),"Single")</f>
        <v>Single</v>
      </c>
      <c r="F174" s="697" t="str">
        <f>IFERROR(__xludf.DUMMYFUNCTION("""COMPUTED_VALUE"""),"40 mg/kg")</f>
        <v>40 mg/kg</v>
      </c>
      <c r="G174" s="697">
        <f>IFERROR(__xludf.DUMMYFUNCTION("""COMPUTED_VALUE"""),45.0)</f>
        <v>45</v>
      </c>
      <c r="H174" s="697" t="str">
        <f>IFERROR(__xludf.DUMMYFUNCTION("""COMPUTED_VALUE"""),"School Children")</f>
        <v>School Children</v>
      </c>
      <c r="I174" s="705" t="str">
        <f>IFERROR(__xludf.DUMMYFUNCTION("""COMPUTED_VALUE"""),"MF")</f>
        <v>MF</v>
      </c>
      <c r="J174" s="697">
        <f>IFERROR(__xludf.DUMMYFUNCTION("""COMPUTED_VALUE"""),2002.0)</f>
        <v>2002</v>
      </c>
      <c r="K174" s="697" t="str">
        <f>IFERROR(__xludf.DUMMYFUNCTION("""COMPUTED_VALUE"""),"schoolchildren")</f>
        <v>schoolchildren</v>
      </c>
      <c r="L174" s="697" t="str">
        <f>IFERROR(__xludf.DUMMYFUNCTION("""COMPUTED_VALUE"""),"No")</f>
        <v>No</v>
      </c>
      <c r="M174" s="697" t="str">
        <f>IFERROR(__xludf.DUMMYFUNCTION("""COMPUTED_VALUE"""),"No")</f>
        <v>No</v>
      </c>
      <c r="N174" s="697" t="str">
        <f>IFERROR(__xludf.DUMMYFUNCTION("""COMPUTED_VALUE"""),"5 weeks ")</f>
        <v>5 weeks </v>
      </c>
      <c r="O174" s="872">
        <f>IFERROR(__xludf.DUMMYFUNCTION("""COMPUTED_VALUE"""),0.76)</f>
        <v>0.76</v>
      </c>
      <c r="P174" s="700">
        <f>IFERROR(__xludf.DUMMYFUNCTION("""COMPUTED_VALUE"""),0.97)</f>
        <v>0.97</v>
      </c>
      <c r="Q174" s="697" t="str">
        <f>IFERROR(__xludf.DUMMYFUNCTION("""COMPUTED_VALUE"""),"At present the cornerstone for schistosomiasis control is morbidity reduction through chemotherapy, mainly with praziquantel")</f>
        <v>At present the cornerstone for schistosomiasis control is morbidity reduction through chemotherapy, mainly with praziquantel</v>
      </c>
      <c r="R174" s="697"/>
      <c r="S174" s="699" t="str">
        <f>IFERROR(__xludf.DUMMYFUNCTION("""COMPUTED_VALUE"""),"Clercq, D.D.; Vercruysse, J.; Kongs, A.; Verlé, P.; Dompnier, J.P.; Faye, P.C. ""Efficcy of artesunate and praziquantel in Schistosoma haematobium infected schoolchildren"". 2002. Acta Tropica 82: 61-66.")</f>
        <v>Clercq, D.D.; Vercruysse, J.; Kongs, A.; Verlé, P.; Dompnier, J.P.; Faye, P.C. "Efficcy of artesunate and praziquantel in Schistosoma haematobium infected schoolchildren". 2002. Acta Tropica 82: 61-66.</v>
      </c>
      <c r="T174" s="697"/>
      <c r="U174" s="697" t="str">
        <f>IFERROR(__xludf.DUMMYFUNCTION("""COMPUTED_VALUE"""),"x")</f>
        <v>x</v>
      </c>
      <c r="V174" s="697">
        <f>IFERROR(__xludf.DUMMYFUNCTION("""COMPUTED_VALUE"""),174.0)</f>
        <v>174</v>
      </c>
    </row>
    <row r="175">
      <c r="A175" s="697" t="str">
        <f>IFERROR(__xludf.DUMMYFUNCTION("""COMPUTED_VALUE"""),"Magnussen")</f>
        <v>Magnussen</v>
      </c>
      <c r="B175" s="697" t="str">
        <f>IFERROR(__xludf.DUMMYFUNCTION("""COMPUTED_VALUE"""),"s. haematobium")</f>
        <v>s. haematobium</v>
      </c>
      <c r="C175" s="697" t="str">
        <f>IFERROR(__xludf.DUMMYFUNCTION("""COMPUTED_VALUE"""),"Tanzania")</f>
        <v>Tanzania</v>
      </c>
      <c r="D175" s="697" t="str">
        <f>IFERROR(__xludf.DUMMYFUNCTION("""COMPUTED_VALUE"""),"Praziquantel")</f>
        <v>Praziquantel</v>
      </c>
      <c r="E175" s="697" t="str">
        <f>IFERROR(__xludf.DUMMYFUNCTION("""COMPUTED_VALUE"""),"Single")</f>
        <v>Single</v>
      </c>
      <c r="F175" s="697" t="str">
        <f>IFERROR(__xludf.DUMMYFUNCTION("""COMPUTED_VALUE"""),"40 mg/kg")</f>
        <v>40 mg/kg</v>
      </c>
      <c r="G175" s="697">
        <f>IFERROR(__xludf.DUMMYFUNCTION("""COMPUTED_VALUE"""),2122.0)</f>
        <v>2122</v>
      </c>
      <c r="H175" s="697" t="str">
        <f>IFERROR(__xludf.DUMMYFUNCTION("""COMPUTED_VALUE"""),"School Children")</f>
        <v>School Children</v>
      </c>
      <c r="I175" s="705" t="str">
        <f>IFERROR(__xludf.DUMMYFUNCTION("""COMPUTED_VALUE"""),"MF")</f>
        <v>MF</v>
      </c>
      <c r="J175" s="697">
        <f>IFERROR(__xludf.DUMMYFUNCTION("""COMPUTED_VALUE"""),1999.0)</f>
        <v>1999</v>
      </c>
      <c r="K175" s="697" t="str">
        <f>IFERROR(__xludf.DUMMYFUNCTION("""COMPUTED_VALUE"""),"schoolchildren")</f>
        <v>schoolchildren</v>
      </c>
      <c r="L175" s="697" t="str">
        <f>IFERROR(__xludf.DUMMYFUNCTION("""COMPUTED_VALUE"""),"No")</f>
        <v>No</v>
      </c>
      <c r="M175" s="697" t="str">
        <f>IFERROR(__xludf.DUMMYFUNCTION("""COMPUTED_VALUE"""),"No")</f>
        <v>No</v>
      </c>
      <c r="N175" s="697" t="str">
        <f>IFERROR(__xludf.DUMMYFUNCTION("""COMPUTED_VALUE"""),"From baseline to 1999; 4 years")</f>
        <v>From baseline to 1999; 4 years</v>
      </c>
      <c r="O175" s="873">
        <f>IFERROR(__xludf.DUMMYFUNCTION("""COMPUTED_VALUE"""),0.543)</f>
        <v>0.543</v>
      </c>
      <c r="P175" s="698">
        <f>IFERROR(__xludf.DUMMYFUNCTION("""COMPUTED_VALUE"""),0.606)</f>
        <v>0.606</v>
      </c>
      <c r="Q175" s="697" t="str">
        <f>IFERROR(__xludf.DUMMYFUNCTION("""COMPUTED_VALUE"""),"The involvement of teachers in the implementation of
the school-based schistosomiasis morbidity-control pro- gramme proved to be very effective and functioned well.")</f>
        <v>The involvement of teachers in the implementation of
the school-based schistosomiasis morbidity-control pro- gramme proved to be very effective and functioned well.</v>
      </c>
      <c r="R175" s="697"/>
      <c r="S175" s="699" t="str">
        <f>IFERROR(__xludf.DUMMYFUNCTION("""COMPUTED_VALUE"""),"Magnussen, P.; Ndawi, B.; Sheshe, A. K.; Byskov, J.; Mbwana, K.; Christensen, N.O. ""The impact of a school health programme on the prevalence and morbidity of urinary schistosomiasis in Mwere Division, Pangani District, Tanzania. 2001. Transactions of th"&amp;"e Royal Society of Tropical Medicine &amp; Hygeine. 95. 58-64. Web. ")</f>
        <v>Magnussen, P.; Ndawi, B.; Sheshe, A. K.; Byskov, J.; Mbwana, K.; Christensen, N.O. "The impact of a school health programme on the prevalence and morbidity of urinary schistosomiasis in Mwere Division, Pangani District, Tanzania. 2001. Transactions of the Royal Society of Tropical Medicine &amp; Hygeine. 95. 58-64. Web. </v>
      </c>
      <c r="T175" s="697"/>
      <c r="U175" s="697" t="str">
        <f>IFERROR(__xludf.DUMMYFUNCTION("""COMPUTED_VALUE"""),"x")</f>
        <v>x</v>
      </c>
      <c r="V175" s="697">
        <f>IFERROR(__xludf.DUMMYFUNCTION("""COMPUTED_VALUE"""),175.0)</f>
        <v>175</v>
      </c>
    </row>
    <row r="176">
      <c r="A176" s="697" t="str">
        <f>IFERROR(__xludf.DUMMYFUNCTION("""COMPUTED_VALUE"""),"Mohamed")</f>
        <v>Mohamed</v>
      </c>
      <c r="B176" s="697" t="str">
        <f>IFERROR(__xludf.DUMMYFUNCTION("""COMPUTED_VALUE"""),"s. mansoni")</f>
        <v>s. mansoni</v>
      </c>
      <c r="C176" s="697" t="str">
        <f>IFERROR(__xludf.DUMMYFUNCTION("""COMPUTED_VALUE"""),"Sudan")</f>
        <v>Sudan</v>
      </c>
      <c r="D176" s="697" t="str">
        <f>IFERROR(__xludf.DUMMYFUNCTION("""COMPUTED_VALUE"""),"Artesunate &amp; Sulfadoxine &amp; Pyrimethamine")</f>
        <v>Artesunate &amp; Sulfadoxine &amp; Pyrimethamine</v>
      </c>
      <c r="E176" s="697" t="str">
        <f>IFERROR(__xludf.DUMMYFUNCTION("""COMPUTED_VALUE"""),"Three; Single")</f>
        <v>Three; Single</v>
      </c>
      <c r="F176" s="697" t="str">
        <f>IFERROR(__xludf.DUMMYFUNCTION("""COMPUTED_VALUE"""),"4 mg/kg; 25 mg")</f>
        <v>4 mg/kg; 25 mg</v>
      </c>
      <c r="G176" s="697">
        <f>IFERROR(__xludf.DUMMYFUNCTION("""COMPUTED_VALUE"""),46.0)</f>
        <v>46</v>
      </c>
      <c r="H176" s="697" t="str">
        <f>IFERROR(__xludf.DUMMYFUNCTION("""COMPUTED_VALUE"""),"School Children")</f>
        <v>School Children</v>
      </c>
      <c r="I176" s="705" t="str">
        <f>IFERROR(__xludf.DUMMYFUNCTION("""COMPUTED_VALUE"""),"MF")</f>
        <v>MF</v>
      </c>
      <c r="J176" s="697">
        <f>IFERROR(__xludf.DUMMYFUNCTION("""COMPUTED_VALUE"""),2009.0)</f>
        <v>2009</v>
      </c>
      <c r="K176" s="697" t="str">
        <f>IFERROR(__xludf.DUMMYFUNCTION("""COMPUTED_VALUE"""),"schoolchildren")</f>
        <v>schoolchildren</v>
      </c>
      <c r="L176" s="697" t="str">
        <f>IFERROR(__xludf.DUMMYFUNCTION("""COMPUTED_VALUE"""),"No")</f>
        <v>No</v>
      </c>
      <c r="M176" s="697" t="str">
        <f>IFERROR(__xludf.DUMMYFUNCTION("""COMPUTED_VALUE"""),"Yes")</f>
        <v>Yes</v>
      </c>
      <c r="N176" s="697" t="str">
        <f>IFERROR(__xludf.DUMMYFUNCTION("""COMPUTED_VALUE"""),"Follow-up in 28 days")</f>
        <v>Follow-up in 28 days</v>
      </c>
      <c r="O176" s="873">
        <f>IFERROR(__xludf.DUMMYFUNCTION("""COMPUTED_VALUE"""),0.586)</f>
        <v>0.586</v>
      </c>
      <c r="P176" s="697"/>
      <c r="Q176" s="697" t="str">
        <f>IFERROR(__xludf.DUMMYFUNCTION("""COMPUTED_VALUE"""),"The current study showed a significantly lower efficacy of AS+SP in comparison with PZQ (58.6% vs. 100%).")</f>
        <v>The current study showed a significantly lower efficacy of AS+SP in comparison with PZQ (58.6% vs. 100%).</v>
      </c>
      <c r="R176" s="697"/>
      <c r="S176" s="699" t="str">
        <f>IFERROR(__xludf.DUMMYFUNCTION("""COMPUTED_VALUE"""),"Mohamed, A. A.; Mahgoub, H.M.; Magzoub, M.; Gasim, G.I.; Eldein, W.N.; Ahmed, A.A.; Adam, I. ""Artesunate plus sulfadoxine/pyrimethamine versus praziquantel in the treatment of Schistosoma mansonia in eastern Sudan. 2009. ")</f>
        <v>Mohamed, A. A.; Mahgoub, H.M.; Magzoub, M.; Gasim, G.I.; Eldein, W.N.; Ahmed, A.A.; Adam, I. "Artesunate plus sulfadoxine/pyrimethamine versus praziquantel in the treatment of Schistosoma mansonia in eastern Sudan. 2009. </v>
      </c>
      <c r="T176" s="697"/>
      <c r="U176" s="697" t="str">
        <f>IFERROR(__xludf.DUMMYFUNCTION("""COMPUTED_VALUE"""),"")</f>
        <v/>
      </c>
      <c r="V176" s="697">
        <f>IFERROR(__xludf.DUMMYFUNCTION("""COMPUTED_VALUE"""),176.0)</f>
        <v>176</v>
      </c>
    </row>
    <row r="177">
      <c r="A177" s="697" t="str">
        <f>IFERROR(__xludf.DUMMYFUNCTION("""COMPUTED_VALUE"""),"Mohamed")</f>
        <v>Mohamed</v>
      </c>
      <c r="B177" s="697" t="str">
        <f>IFERROR(__xludf.DUMMYFUNCTION("""COMPUTED_VALUE"""),"s. mansoni")</f>
        <v>s. mansoni</v>
      </c>
      <c r="C177" s="697" t="str">
        <f>IFERROR(__xludf.DUMMYFUNCTION("""COMPUTED_VALUE"""),"Sudan")</f>
        <v>Sudan</v>
      </c>
      <c r="D177" s="697" t="str">
        <f>IFERROR(__xludf.DUMMYFUNCTION("""COMPUTED_VALUE"""),"Praziquantel")</f>
        <v>Praziquantel</v>
      </c>
      <c r="E177" s="697" t="str">
        <f>IFERROR(__xludf.DUMMYFUNCTION("""COMPUTED_VALUE"""),"Single")</f>
        <v>Single</v>
      </c>
      <c r="F177" s="697" t="str">
        <f>IFERROR(__xludf.DUMMYFUNCTION("""COMPUTED_VALUE"""),"40 mg/kg")</f>
        <v>40 mg/kg</v>
      </c>
      <c r="G177" s="697">
        <f>IFERROR(__xludf.DUMMYFUNCTION("""COMPUTED_VALUE"""),46.0)</f>
        <v>46</v>
      </c>
      <c r="H177" s="697" t="str">
        <f>IFERROR(__xludf.DUMMYFUNCTION("""COMPUTED_VALUE"""),"School Children")</f>
        <v>School Children</v>
      </c>
      <c r="I177" s="705" t="str">
        <f>IFERROR(__xludf.DUMMYFUNCTION("""COMPUTED_VALUE"""),"MF")</f>
        <v>MF</v>
      </c>
      <c r="J177" s="697">
        <f>IFERROR(__xludf.DUMMYFUNCTION("""COMPUTED_VALUE"""),2009.0)</f>
        <v>2009</v>
      </c>
      <c r="K177" s="697" t="str">
        <f>IFERROR(__xludf.DUMMYFUNCTION("""COMPUTED_VALUE"""),"schoolchildren")</f>
        <v>schoolchildren</v>
      </c>
      <c r="L177" s="697" t="str">
        <f>IFERROR(__xludf.DUMMYFUNCTION("""COMPUTED_VALUE"""),"No")</f>
        <v>No</v>
      </c>
      <c r="M177" s="697" t="str">
        <f>IFERROR(__xludf.DUMMYFUNCTION("""COMPUTED_VALUE"""),"Yes")</f>
        <v>Yes</v>
      </c>
      <c r="N177" s="697" t="str">
        <f>IFERROR(__xludf.DUMMYFUNCTION("""COMPUTED_VALUE"""),"Follow-up in 28 days")</f>
        <v>Follow-up in 28 days</v>
      </c>
      <c r="O177" s="872">
        <f>IFERROR(__xludf.DUMMYFUNCTION("""COMPUTED_VALUE"""),1.0)</f>
        <v>1</v>
      </c>
      <c r="P177" s="697"/>
      <c r="Q177" s="697" t="str">
        <f>IFERROR(__xludf.DUMMYFUNCTION("""COMPUTED_VALUE"""),"The current study showed a significantly lower efficacy of AS+SP in comparison with PZQ (58.6% vs. 100%).")</f>
        <v>The current study showed a significantly lower efficacy of AS+SP in comparison with PZQ (58.6% vs. 100%).</v>
      </c>
      <c r="R177" s="697"/>
      <c r="S177" s="699" t="str">
        <f>IFERROR(__xludf.DUMMYFUNCTION("""COMPUTED_VALUE"""),"Mohamed, A. A.; Mahgoub, H.M.; Magzoub, M.; Gasim, G.I.; Eldein, W.N.; Ahmed, A.A.; Adam, I. ""Artesunate plus sulfadoxine/pyrimethamine versus praziquantel in the treatment of Schistosoma mansonia in eastern Sudan. 2009. ")</f>
        <v>Mohamed, A. A.; Mahgoub, H.M.; Magzoub, M.; Gasim, G.I.; Eldein, W.N.; Ahmed, A.A.; Adam, I. "Artesunate plus sulfadoxine/pyrimethamine versus praziquantel in the treatment of Schistosoma mansonia in eastern Sudan. 2009. </v>
      </c>
      <c r="T177" s="697"/>
      <c r="U177" s="697" t="str">
        <f>IFERROR(__xludf.DUMMYFUNCTION("""COMPUTED_VALUE"""),"")</f>
        <v/>
      </c>
      <c r="V177" s="697">
        <f>IFERROR(__xludf.DUMMYFUNCTION("""COMPUTED_VALUE"""),177.0)</f>
        <v>177</v>
      </c>
    </row>
    <row r="178">
      <c r="A178" s="697" t="str">
        <f>IFERROR(__xludf.DUMMYFUNCTION("""COMPUTED_VALUE"""),"Navartnam")</f>
        <v>Navartnam</v>
      </c>
      <c r="B178" s="697" t="str">
        <f>IFERROR(__xludf.DUMMYFUNCTION("""COMPUTED_VALUE"""),"s. mansoni")</f>
        <v>s. mansoni</v>
      </c>
      <c r="C178" s="697" t="str">
        <f>IFERROR(__xludf.DUMMYFUNCTION("""COMPUTED_VALUE"""),"Uganda")</f>
        <v>Uganda</v>
      </c>
      <c r="D178" s="697" t="str">
        <f>IFERROR(__xludf.DUMMYFUNCTION("""COMPUTED_VALUE"""),"Praziquantel")</f>
        <v>Praziquantel</v>
      </c>
      <c r="E178" s="697" t="str">
        <f>IFERROR(__xludf.DUMMYFUNCTION("""COMPUTED_VALUE"""),"Single")</f>
        <v>Single</v>
      </c>
      <c r="F178" s="697" t="str">
        <f>IFERROR(__xludf.DUMMYFUNCTION("""COMPUTED_VALUE"""),"40 mg/kg")</f>
        <v>40 mg/kg</v>
      </c>
      <c r="G178" s="697">
        <f>IFERROR(__xludf.DUMMYFUNCTION("""COMPUTED_VALUE"""),149.0)</f>
        <v>149</v>
      </c>
      <c r="H178" s="697" t="str">
        <f>IFERROR(__xludf.DUMMYFUNCTION("""COMPUTED_VALUE"""),"School Children")</f>
        <v>School Children</v>
      </c>
      <c r="I178" s="705" t="str">
        <f>IFERROR(__xludf.DUMMYFUNCTION("""COMPUTED_VALUE"""),"MF")</f>
        <v>MF</v>
      </c>
      <c r="J178" s="697">
        <f>IFERROR(__xludf.DUMMYFUNCTION("""COMPUTED_VALUE"""),2010.0)</f>
        <v>2010</v>
      </c>
      <c r="K178" s="697" t="str">
        <f>IFERROR(__xludf.DUMMYFUNCTION("""COMPUTED_VALUE"""),"schoolchildren")</f>
        <v>schoolchildren</v>
      </c>
      <c r="L178" s="697" t="str">
        <f>IFERROR(__xludf.DUMMYFUNCTION("""COMPUTED_VALUE"""),"No")</f>
        <v>No</v>
      </c>
      <c r="M178" s="697" t="str">
        <f>IFERROR(__xludf.DUMMYFUNCTION("""COMPUTED_VALUE"""),"Yes")</f>
        <v>Yes</v>
      </c>
      <c r="N178" s="697" t="str">
        <f>IFERROR(__xludf.DUMMYFUNCTION("""COMPUTED_VALUE"""),"Follow-up 3 weeks")</f>
        <v>Follow-up 3 weeks</v>
      </c>
      <c r="O178" s="873">
        <f>IFERROR(__xludf.DUMMYFUNCTION("""COMPUTED_VALUE"""),0.817)</f>
        <v>0.817</v>
      </c>
      <c r="P178" s="698">
        <f>IFERROR(__xludf.DUMMYFUNCTION("""COMPUTED_VALUE"""),0.89)</f>
        <v>0.89</v>
      </c>
      <c r="Q178" s="697" t="str">
        <f>IFERROR(__xludf.DUMMYFUNCTION("""COMPUTED_VALUE"""),"PZQ syrup and crushed PZQ tablets have very similar efficacies in the treatment of intestinal schistosomiasis in preschool children")</f>
        <v>PZQ syrup and crushed PZQ tablets have very similar efficacies in the treatment of intestinal schistosomiasis in preschool children</v>
      </c>
      <c r="R178" s="697"/>
      <c r="S178" s="699" t="str">
        <f>IFERROR(__xludf.DUMMYFUNCTION("""COMPUTED_VALUE"""),"Navaratnam, A.M.D.; Sousa-Figueiredo, J.C.; Stothard, J.R.; Kabatereine, N.B.; Fenwick, A.; Mutumba-Nakalembe, M.J. 2012. ""Efficacy of praziquantel syrup versus crushed praziquantel tablets in the treatment of intestinal schistosomiasis in Ugandan presch"&amp;"ool children, with observation on compliance and safety. Transactions of the Royal Society of Tropical Medicine and Hygiene 106 400-407.")</f>
        <v>Navaratnam, A.M.D.; Sousa-Figueiredo, J.C.; Stothard, J.R.; Kabatereine, N.B.; Fenwick, A.; Mutumba-Nakalembe, M.J. 2012. "Efficacy of praziquantel syrup versus crushed praziquantel tablets in the treatment of intestinal schistosomiasis in Ugandan preschool children, with observation on compliance and safety. Transactions of the Royal Society of Tropical Medicine and Hygiene 106 400-407.</v>
      </c>
      <c r="T178" s="697"/>
      <c r="U178" s="697" t="str">
        <f>IFERROR(__xludf.DUMMYFUNCTION("""COMPUTED_VALUE"""),"")</f>
        <v/>
      </c>
      <c r="V178" s="697">
        <f>IFERROR(__xludf.DUMMYFUNCTION("""COMPUTED_VALUE"""),178.0)</f>
        <v>178</v>
      </c>
    </row>
    <row r="179">
      <c r="A179" s="697" t="str">
        <f>IFERROR(__xludf.DUMMYFUNCTION("""COMPUTED_VALUE"""),"Navartnam")</f>
        <v>Navartnam</v>
      </c>
      <c r="B179" s="697" t="str">
        <f>IFERROR(__xludf.DUMMYFUNCTION("""COMPUTED_VALUE"""),"s. mansoni")</f>
        <v>s. mansoni</v>
      </c>
      <c r="C179" s="697" t="str">
        <f>IFERROR(__xludf.DUMMYFUNCTION("""COMPUTED_VALUE"""),"Uganda")</f>
        <v>Uganda</v>
      </c>
      <c r="D179" s="697" t="str">
        <f>IFERROR(__xludf.DUMMYFUNCTION("""COMPUTED_VALUE"""),"Praziquantel")</f>
        <v>Praziquantel</v>
      </c>
      <c r="E179" s="697" t="str">
        <f>IFERROR(__xludf.DUMMYFUNCTION("""COMPUTED_VALUE"""),"Single")</f>
        <v>Single</v>
      </c>
      <c r="F179" s="697" t="str">
        <f>IFERROR(__xludf.DUMMYFUNCTION("""COMPUTED_VALUE"""),"2.5-7.5 mL")</f>
        <v>2.5-7.5 mL</v>
      </c>
      <c r="G179" s="697">
        <f>IFERROR(__xludf.DUMMYFUNCTION("""COMPUTED_VALUE"""),148.0)</f>
        <v>148</v>
      </c>
      <c r="H179" s="697" t="str">
        <f>IFERROR(__xludf.DUMMYFUNCTION("""COMPUTED_VALUE"""),"School Children")</f>
        <v>School Children</v>
      </c>
      <c r="I179" s="705" t="str">
        <f>IFERROR(__xludf.DUMMYFUNCTION("""COMPUTED_VALUE"""),"MF")</f>
        <v>MF</v>
      </c>
      <c r="J179" s="697">
        <f>IFERROR(__xludf.DUMMYFUNCTION("""COMPUTED_VALUE"""),2010.0)</f>
        <v>2010</v>
      </c>
      <c r="K179" s="697" t="str">
        <f>IFERROR(__xludf.DUMMYFUNCTION("""COMPUTED_VALUE"""),"schoolchildren")</f>
        <v>schoolchildren</v>
      </c>
      <c r="L179" s="697" t="str">
        <f>IFERROR(__xludf.DUMMYFUNCTION("""COMPUTED_VALUE"""),"No")</f>
        <v>No</v>
      </c>
      <c r="M179" s="697" t="str">
        <f>IFERROR(__xludf.DUMMYFUNCTION("""COMPUTED_VALUE"""),"Yes")</f>
        <v>Yes</v>
      </c>
      <c r="N179" s="697" t="str">
        <f>IFERROR(__xludf.DUMMYFUNCTION("""COMPUTED_VALUE"""),"Follow-up 3 weeks")</f>
        <v>Follow-up 3 weeks</v>
      </c>
      <c r="O179" s="873">
        <f>IFERROR(__xludf.DUMMYFUNCTION("""COMPUTED_VALUE"""),0.809)</f>
        <v>0.809</v>
      </c>
      <c r="P179" s="698">
        <f>IFERROR(__xludf.DUMMYFUNCTION("""COMPUTED_VALUE"""),0.861)</f>
        <v>0.861</v>
      </c>
      <c r="Q179" s="697" t="str">
        <f>IFERROR(__xludf.DUMMYFUNCTION("""COMPUTED_VALUE"""),"PZQ syrup and crushed PZQ tablets have very similar efficacies in the treatment of intestinal schistosomiasis in preschool children")</f>
        <v>PZQ syrup and crushed PZQ tablets have very similar efficacies in the treatment of intestinal schistosomiasis in preschool children</v>
      </c>
      <c r="R179" s="697"/>
      <c r="S179" s="699" t="str">
        <f>IFERROR(__xludf.DUMMYFUNCTION("""COMPUTED_VALUE"""),"Navaratnam, A.M.D.; Sousa-Figueiredo, J.C.; Stothard, J.R.; Kabatereine, N.B.; Fenwick, A.; Mutumba-Nakalembe, M.J. 2012. ""Efficacy of praziquantel syrup versus crushed praziquantel tablets in the treatment of intestinal schistosomiasis in Ugandan presch"&amp;"ool children, with observation on compliance and safety. Transactions of the Royal Society of Tropical Medicine and Hygiene 106 400-407.")</f>
        <v>Navaratnam, A.M.D.; Sousa-Figueiredo, J.C.; Stothard, J.R.; Kabatereine, N.B.; Fenwick, A.; Mutumba-Nakalembe, M.J. 2012. "Efficacy of praziquantel syrup versus crushed praziquantel tablets in the treatment of intestinal schistosomiasis in Ugandan preschool children, with observation on compliance and safety. Transactions of the Royal Society of Tropical Medicine and Hygiene 106 400-407.</v>
      </c>
      <c r="T179" s="697"/>
      <c r="U179" s="697" t="str">
        <f>IFERROR(__xludf.DUMMYFUNCTION("""COMPUTED_VALUE"""),"")</f>
        <v/>
      </c>
      <c r="V179" s="697">
        <f>IFERROR(__xludf.DUMMYFUNCTION("""COMPUTED_VALUE"""),179.0)</f>
        <v>179</v>
      </c>
    </row>
    <row r="180">
      <c r="A180" s="697" t="str">
        <f>IFERROR(__xludf.DUMMYFUNCTION("""COMPUTED_VALUE"""),"Polderman")</f>
        <v>Polderman</v>
      </c>
      <c r="B180" s="697" t="str">
        <f>IFERROR(__xludf.DUMMYFUNCTION("""COMPUTED_VALUE"""),"s. mansoni")</f>
        <v>s. mansoni</v>
      </c>
      <c r="C180" s="697" t="str">
        <f>IFERROR(__xludf.DUMMYFUNCTION("""COMPUTED_VALUE"""),"Democratic Republic of the Congo")</f>
        <v>Democratic Republic of the Congo</v>
      </c>
      <c r="D180" s="697" t="str">
        <f>IFERROR(__xludf.DUMMYFUNCTION("""COMPUTED_VALUE"""),"Praziquantel")</f>
        <v>Praziquantel</v>
      </c>
      <c r="E180" s="697" t="str">
        <f>IFERROR(__xludf.DUMMYFUNCTION("""COMPUTED_VALUE"""),"Single")</f>
        <v>Single</v>
      </c>
      <c r="F180" s="697" t="str">
        <f>IFERROR(__xludf.DUMMYFUNCTION("""COMPUTED_VALUE"""),"40 mg/kg")</f>
        <v>40 mg/kg</v>
      </c>
      <c r="G180" s="697">
        <f>IFERROR(__xludf.DUMMYFUNCTION("""COMPUTED_VALUE"""),70.0)</f>
        <v>70</v>
      </c>
      <c r="H180" s="704">
        <f>IFERROR(__xludf.DUMMYFUNCTION("""COMPUTED_VALUE"""),42541.0)</f>
        <v>42541</v>
      </c>
      <c r="I180" s="705" t="str">
        <f>IFERROR(__xludf.DUMMYFUNCTION("""COMPUTED_VALUE"""),"MF")</f>
        <v>MF</v>
      </c>
      <c r="J180" s="697">
        <f>IFERROR(__xludf.DUMMYFUNCTION("""COMPUTED_VALUE"""),1988.0)</f>
        <v>1988</v>
      </c>
      <c r="K180" s="697" t="str">
        <f>IFERROR(__xludf.DUMMYFUNCTION("""COMPUTED_VALUE"""),"School Children &amp; Adults")</f>
        <v>School Children &amp; Adults</v>
      </c>
      <c r="L180" s="697" t="str">
        <f>IFERROR(__xludf.DUMMYFUNCTION("""COMPUTED_VALUE"""),"No")</f>
        <v>No</v>
      </c>
      <c r="M180" s="697" t="str">
        <f>IFERROR(__xludf.DUMMYFUNCTION("""COMPUTED_VALUE"""),"No")</f>
        <v>No</v>
      </c>
      <c r="N180" s="697" t="str">
        <f>IFERROR(__xludf.DUMMYFUNCTION("""COMPUTED_VALUE"""),"6 weeks post treatment")</f>
        <v>6 weeks post treatment</v>
      </c>
      <c r="O180" s="872">
        <f>IFERROR(__xludf.DUMMYFUNCTION("""COMPUTED_VALUE"""),0.47)</f>
        <v>0.47</v>
      </c>
      <c r="P180" s="697"/>
      <c r="Q180" s="697" t="str">
        <f>IFERROR(__xludf.DUMMYFUNCTION("""COMPUTED_VALUE"""),"The cure rates were lower in children than in adults, for both oxamniquine and praziquantel. The results in the placebo-treated group indicate that the repro- ducibility of egg counts was adequate.")</f>
        <v>The cure rates were lower in children than in adults, for both oxamniquine and praziquantel. The results in the placebo-treated group indicate that the repro- ducibility of egg counts was adequate.</v>
      </c>
      <c r="R180" s="697"/>
      <c r="S180" s="699" t="str">
        <f>IFERROR(__xludf.DUMMYFUNCTION("""COMPUTED_VALUE"""),"Polderman, A.B.; Gryseels, B. De Caluwe, P. Cure rates and egg reduction in treatment of intestinal schistosomiasis with oxamniquine and praziquantel in Maniema, Zaire. 1988. Transactions of the Royal Society of Tropical Medicine and Hygiene. 82: 115-116.")</f>
        <v>Polderman, A.B.; Gryseels, B. De Caluwe, P. Cure rates and egg reduction in treatment of intestinal schistosomiasis with oxamniquine and praziquantel in Maniema, Zaire. 1988. Transactions of the Royal Society of Tropical Medicine and Hygiene. 82: 115-116.</v>
      </c>
      <c r="T180" s="697"/>
      <c r="U180" s="697" t="str">
        <f>IFERROR(__xludf.DUMMYFUNCTION("""COMPUTED_VALUE"""),"x")</f>
        <v>x</v>
      </c>
      <c r="V180" s="697">
        <f>IFERROR(__xludf.DUMMYFUNCTION("""COMPUTED_VALUE"""),180.0)</f>
        <v>180</v>
      </c>
    </row>
    <row r="181">
      <c r="A181" s="697" t="str">
        <f>IFERROR(__xludf.DUMMYFUNCTION("""COMPUTED_VALUE"""),"Polderman")</f>
        <v>Polderman</v>
      </c>
      <c r="B181" s="697" t="str">
        <f>IFERROR(__xludf.DUMMYFUNCTION("""COMPUTED_VALUE"""),"s. mansoni")</f>
        <v>s. mansoni</v>
      </c>
      <c r="C181" s="697" t="str">
        <f>IFERROR(__xludf.DUMMYFUNCTION("""COMPUTED_VALUE"""),"Democratic Republic of the Congo")</f>
        <v>Democratic Republic of the Congo</v>
      </c>
      <c r="D181" s="697" t="str">
        <f>IFERROR(__xludf.DUMMYFUNCTION("""COMPUTED_VALUE"""),"Praziquantel")</f>
        <v>Praziquantel</v>
      </c>
      <c r="E181" s="697" t="str">
        <f>IFERROR(__xludf.DUMMYFUNCTION("""COMPUTED_VALUE"""),"Single")</f>
        <v>Single</v>
      </c>
      <c r="F181" s="697" t="str">
        <f>IFERROR(__xludf.DUMMYFUNCTION("""COMPUTED_VALUE"""),"40 mg/kg")</f>
        <v>40 mg/kg</v>
      </c>
      <c r="G181" s="697">
        <f>IFERROR(__xludf.DUMMYFUNCTION("""COMPUTED_VALUE"""),95.0)</f>
        <v>95</v>
      </c>
      <c r="H181" s="697" t="str">
        <f>IFERROR(__xludf.DUMMYFUNCTION("""COMPUTED_VALUE"""),"&gt;20")</f>
        <v>&gt;20</v>
      </c>
      <c r="I181" s="705" t="str">
        <f>IFERROR(__xludf.DUMMYFUNCTION("""COMPUTED_VALUE"""),"MF")</f>
        <v>MF</v>
      </c>
      <c r="J181" s="697">
        <f>IFERROR(__xludf.DUMMYFUNCTION("""COMPUTED_VALUE"""),1988.0)</f>
        <v>1988</v>
      </c>
      <c r="K181" s="697" t="str">
        <f>IFERROR(__xludf.DUMMYFUNCTION("""COMPUTED_VALUE"""),"Adults &gt;20")</f>
        <v>Adults &gt;20</v>
      </c>
      <c r="L181" s="697" t="str">
        <f>IFERROR(__xludf.DUMMYFUNCTION("""COMPUTED_VALUE"""),"No")</f>
        <v>No</v>
      </c>
      <c r="M181" s="697" t="str">
        <f>IFERROR(__xludf.DUMMYFUNCTION("""COMPUTED_VALUE"""),"No")</f>
        <v>No</v>
      </c>
      <c r="N181" s="697" t="str">
        <f>IFERROR(__xludf.DUMMYFUNCTION("""COMPUTED_VALUE"""),"6 weeks post treatment")</f>
        <v>6 weeks post treatment</v>
      </c>
      <c r="O181" s="872">
        <f>IFERROR(__xludf.DUMMYFUNCTION("""COMPUTED_VALUE"""),0.69)</f>
        <v>0.69</v>
      </c>
      <c r="P181" s="697"/>
      <c r="Q181" s="697" t="str">
        <f>IFERROR(__xludf.DUMMYFUNCTION("""COMPUTED_VALUE"""),"The cure rates were lower in children than in adults, for both oxamniquine and praziquantel. The results in the placebo-treated group indicate that the repro- ducibility of egg counts was adequate.")</f>
        <v>The cure rates were lower in children than in adults, for both oxamniquine and praziquantel. The results in the placebo-treated group indicate that the repro- ducibility of egg counts was adequate.</v>
      </c>
      <c r="R181" s="697"/>
      <c r="S181" s="699" t="str">
        <f>IFERROR(__xludf.DUMMYFUNCTION("""COMPUTED_VALUE"""),"Polderman, A.B.; Gryseels, B. De Caluwe, P. Cure rates and egg reduction in treatment of intestinal schistosomiasis with oxamniquine and praziquantel in Maniema, Zaire. 1988. Transactions of the Royal Society of Tropical Medicine and Hygiene. 82: 115-116.")</f>
        <v>Polderman, A.B.; Gryseels, B. De Caluwe, P. Cure rates and egg reduction in treatment of intestinal schistosomiasis with oxamniquine and praziquantel in Maniema, Zaire. 1988. Transactions of the Royal Society of Tropical Medicine and Hygiene. 82: 115-116.</v>
      </c>
      <c r="T181" s="697"/>
      <c r="U181" s="697" t="str">
        <f>IFERROR(__xludf.DUMMYFUNCTION("""COMPUTED_VALUE"""),"x")</f>
        <v>x</v>
      </c>
      <c r="V181" s="697">
        <f>IFERROR(__xludf.DUMMYFUNCTION("""COMPUTED_VALUE"""),181.0)</f>
        <v>181</v>
      </c>
    </row>
    <row r="182">
      <c r="A182" s="697" t="str">
        <f>IFERROR(__xludf.DUMMYFUNCTION("""COMPUTED_VALUE"""),"Polderman")</f>
        <v>Polderman</v>
      </c>
      <c r="B182" s="697" t="str">
        <f>IFERROR(__xludf.DUMMYFUNCTION("""COMPUTED_VALUE"""),"s. mansoni")</f>
        <v>s. mansoni</v>
      </c>
      <c r="C182" s="697" t="str">
        <f>IFERROR(__xludf.DUMMYFUNCTION("""COMPUTED_VALUE"""),"Democratic Republic of the Congo")</f>
        <v>Democratic Republic of the Congo</v>
      </c>
      <c r="D182" s="697" t="str">
        <f>IFERROR(__xludf.DUMMYFUNCTION("""COMPUTED_VALUE"""),"Praziquantel")</f>
        <v>Praziquantel</v>
      </c>
      <c r="E182" s="697" t="str">
        <f>IFERROR(__xludf.DUMMYFUNCTION("""COMPUTED_VALUE"""),"Single")</f>
        <v>Single</v>
      </c>
      <c r="F182" s="697" t="str">
        <f>IFERROR(__xludf.DUMMYFUNCTION("""COMPUTED_VALUE"""),"30 mg/kg")</f>
        <v>30 mg/kg</v>
      </c>
      <c r="G182" s="697">
        <f>IFERROR(__xludf.DUMMYFUNCTION("""COMPUTED_VALUE"""),22.0)</f>
        <v>22</v>
      </c>
      <c r="H182" s="704">
        <f>IFERROR(__xludf.DUMMYFUNCTION("""COMPUTED_VALUE"""),42541.0)</f>
        <v>42541</v>
      </c>
      <c r="I182" s="705" t="str">
        <f>IFERROR(__xludf.DUMMYFUNCTION("""COMPUTED_VALUE"""),"MF")</f>
        <v>MF</v>
      </c>
      <c r="J182" s="697">
        <f>IFERROR(__xludf.DUMMYFUNCTION("""COMPUTED_VALUE"""),1988.0)</f>
        <v>1988</v>
      </c>
      <c r="K182" s="697" t="str">
        <f>IFERROR(__xludf.DUMMYFUNCTION("""COMPUTED_VALUE"""),"School Children &amp; Adults")</f>
        <v>School Children &amp; Adults</v>
      </c>
      <c r="L182" s="697" t="str">
        <f>IFERROR(__xludf.DUMMYFUNCTION("""COMPUTED_VALUE"""),"No")</f>
        <v>No</v>
      </c>
      <c r="M182" s="697" t="str">
        <f>IFERROR(__xludf.DUMMYFUNCTION("""COMPUTED_VALUE"""),"No")</f>
        <v>No</v>
      </c>
      <c r="N182" s="697" t="str">
        <f>IFERROR(__xludf.DUMMYFUNCTION("""COMPUTED_VALUE"""),"6 weeks post treatment")</f>
        <v>6 weeks post treatment</v>
      </c>
      <c r="O182" s="872">
        <f>IFERROR(__xludf.DUMMYFUNCTION("""COMPUTED_VALUE"""),0.5)</f>
        <v>0.5</v>
      </c>
      <c r="P182" s="697"/>
      <c r="Q182" s="697" t="str">
        <f>IFERROR(__xludf.DUMMYFUNCTION("""COMPUTED_VALUE"""),"The cure rates were lower in children than in adults, for both oxamniquine and praziquantel. The results in the placebo-treated group indicate that the repro- ducibility of egg counts was adequate.")</f>
        <v>The cure rates were lower in children than in adults, for both oxamniquine and praziquantel. The results in the placebo-treated group indicate that the repro- ducibility of egg counts was adequate.</v>
      </c>
      <c r="R182" s="697"/>
      <c r="S182" s="699" t="str">
        <f>IFERROR(__xludf.DUMMYFUNCTION("""COMPUTED_VALUE"""),"Polderman, A.B.; Gryseels, B. De Caluwe, P. Cure rates and egg reduction in treatment of intestinal schistosomiasis with oxamniquine and praziquantel in Maniema, Zaire. 1988. Transactions of the Royal Society of Tropical Medicine and Hygiene. 82: 115-116.")</f>
        <v>Polderman, A.B.; Gryseels, B. De Caluwe, P. Cure rates and egg reduction in treatment of intestinal schistosomiasis with oxamniquine and praziquantel in Maniema, Zaire. 1988. Transactions of the Royal Society of Tropical Medicine and Hygiene. 82: 115-116.</v>
      </c>
      <c r="T182" s="697"/>
      <c r="U182" s="697" t="str">
        <f>IFERROR(__xludf.DUMMYFUNCTION("""COMPUTED_VALUE"""),"x")</f>
        <v>x</v>
      </c>
      <c r="V182" s="697">
        <f>IFERROR(__xludf.DUMMYFUNCTION("""COMPUTED_VALUE"""),182.0)</f>
        <v>182</v>
      </c>
    </row>
    <row r="183">
      <c r="A183" s="697" t="str">
        <f>IFERROR(__xludf.DUMMYFUNCTION("""COMPUTED_VALUE"""),"Polderman")</f>
        <v>Polderman</v>
      </c>
      <c r="B183" s="697" t="str">
        <f>IFERROR(__xludf.DUMMYFUNCTION("""COMPUTED_VALUE"""),"s. mansoni")</f>
        <v>s. mansoni</v>
      </c>
      <c r="C183" s="697" t="str">
        <f>IFERROR(__xludf.DUMMYFUNCTION("""COMPUTED_VALUE"""),"Democratic Republic of the Congo")</f>
        <v>Democratic Republic of the Congo</v>
      </c>
      <c r="D183" s="697" t="str">
        <f>IFERROR(__xludf.DUMMYFUNCTION("""COMPUTED_VALUE"""),"Praziquantel")</f>
        <v>Praziquantel</v>
      </c>
      <c r="E183" s="697" t="str">
        <f>IFERROR(__xludf.DUMMYFUNCTION("""COMPUTED_VALUE"""),"Single")</f>
        <v>Single</v>
      </c>
      <c r="F183" s="697" t="str">
        <f>IFERROR(__xludf.DUMMYFUNCTION("""COMPUTED_VALUE"""),"30 mg/kg")</f>
        <v>30 mg/kg</v>
      </c>
      <c r="G183" s="697">
        <f>IFERROR(__xludf.DUMMYFUNCTION("""COMPUTED_VALUE"""),20.0)</f>
        <v>20</v>
      </c>
      <c r="H183" s="697" t="str">
        <f>IFERROR(__xludf.DUMMYFUNCTION("""COMPUTED_VALUE"""),"&gt;20")</f>
        <v>&gt;20</v>
      </c>
      <c r="I183" s="705" t="str">
        <f>IFERROR(__xludf.DUMMYFUNCTION("""COMPUTED_VALUE"""),"MF")</f>
        <v>MF</v>
      </c>
      <c r="J183" s="697">
        <f>IFERROR(__xludf.DUMMYFUNCTION("""COMPUTED_VALUE"""),1988.0)</f>
        <v>1988</v>
      </c>
      <c r="K183" s="697" t="str">
        <f>IFERROR(__xludf.DUMMYFUNCTION("""COMPUTED_VALUE"""),"Adults &gt;20")</f>
        <v>Adults &gt;20</v>
      </c>
      <c r="L183" s="697" t="str">
        <f>IFERROR(__xludf.DUMMYFUNCTION("""COMPUTED_VALUE"""),"No")</f>
        <v>No</v>
      </c>
      <c r="M183" s="697" t="str">
        <f>IFERROR(__xludf.DUMMYFUNCTION("""COMPUTED_VALUE"""),"No")</f>
        <v>No</v>
      </c>
      <c r="N183" s="697" t="str">
        <f>IFERROR(__xludf.DUMMYFUNCTION("""COMPUTED_VALUE"""),"6 weeks post treatment")</f>
        <v>6 weeks post treatment</v>
      </c>
      <c r="O183" s="872">
        <f>IFERROR(__xludf.DUMMYFUNCTION("""COMPUTED_VALUE"""),0.85)</f>
        <v>0.85</v>
      </c>
      <c r="P183" s="697"/>
      <c r="Q183" s="697" t="str">
        <f>IFERROR(__xludf.DUMMYFUNCTION("""COMPUTED_VALUE"""),"The cure rates were lower in children than in adults, for both oxamniquine and praziquantel. The results in the placebo-treated group indicate that the repro- ducibility of egg counts was adequate.")</f>
        <v>The cure rates were lower in children than in adults, for both oxamniquine and praziquantel. The results in the placebo-treated group indicate that the repro- ducibility of egg counts was adequate.</v>
      </c>
      <c r="R183" s="697"/>
      <c r="S183" s="699" t="str">
        <f>IFERROR(__xludf.DUMMYFUNCTION("""COMPUTED_VALUE"""),"Polderman, A.B.; Gryseels, B. De Caluwe, P. Cure rates and egg reduction in treatment of intestinal schistosomiasis with oxamniquine and praziquantel in Maniema, Zaire. 1988. Transactions of the Royal Society of Tropical Medicine and Hygiene. 82: 115-116.")</f>
        <v>Polderman, A.B.; Gryseels, B. De Caluwe, P. Cure rates and egg reduction in treatment of intestinal schistosomiasis with oxamniquine and praziquantel in Maniema, Zaire. 1988. Transactions of the Royal Society of Tropical Medicine and Hygiene. 82: 115-116.</v>
      </c>
      <c r="T183" s="697"/>
      <c r="U183" s="697" t="str">
        <f>IFERROR(__xludf.DUMMYFUNCTION("""COMPUTED_VALUE"""),"x")</f>
        <v>x</v>
      </c>
      <c r="V183" s="697">
        <f>IFERROR(__xludf.DUMMYFUNCTION("""COMPUTED_VALUE"""),183.0)</f>
        <v>183</v>
      </c>
    </row>
    <row r="184">
      <c r="A184" s="697" t="str">
        <f>IFERROR(__xludf.DUMMYFUNCTION("""COMPUTED_VALUE"""),"Polderman")</f>
        <v>Polderman</v>
      </c>
      <c r="B184" s="697" t="str">
        <f>IFERROR(__xludf.DUMMYFUNCTION("""COMPUTED_VALUE"""),"s. mansoni")</f>
        <v>s. mansoni</v>
      </c>
      <c r="C184" s="697" t="str">
        <f>IFERROR(__xludf.DUMMYFUNCTION("""COMPUTED_VALUE"""),"Democratic Republic of the Congo")</f>
        <v>Democratic Republic of the Congo</v>
      </c>
      <c r="D184" s="697" t="str">
        <f>IFERROR(__xludf.DUMMYFUNCTION("""COMPUTED_VALUE"""),"Oxamniquine")</f>
        <v>Oxamniquine</v>
      </c>
      <c r="E184" s="697" t="str">
        <f>IFERROR(__xludf.DUMMYFUNCTION("""COMPUTED_VALUE"""),"Single")</f>
        <v>Single</v>
      </c>
      <c r="F184" s="697" t="str">
        <f>IFERROR(__xludf.DUMMYFUNCTION("""COMPUTED_VALUE"""),"40 mg/kg")</f>
        <v>40 mg/kg</v>
      </c>
      <c r="G184" s="697">
        <f>IFERROR(__xludf.DUMMYFUNCTION("""COMPUTED_VALUE"""),120.0)</f>
        <v>120</v>
      </c>
      <c r="H184" s="704">
        <f>IFERROR(__xludf.DUMMYFUNCTION("""COMPUTED_VALUE"""),42541.0)</f>
        <v>42541</v>
      </c>
      <c r="I184" s="705" t="str">
        <f>IFERROR(__xludf.DUMMYFUNCTION("""COMPUTED_VALUE"""),"MF")</f>
        <v>MF</v>
      </c>
      <c r="J184" s="697">
        <f>IFERROR(__xludf.DUMMYFUNCTION("""COMPUTED_VALUE"""),1988.0)</f>
        <v>1988</v>
      </c>
      <c r="K184" s="697" t="str">
        <f>IFERROR(__xludf.DUMMYFUNCTION("""COMPUTED_VALUE"""),"School Children &amp; Adults")</f>
        <v>School Children &amp; Adults</v>
      </c>
      <c r="L184" s="697" t="str">
        <f>IFERROR(__xludf.DUMMYFUNCTION("""COMPUTED_VALUE"""),"No")</f>
        <v>No</v>
      </c>
      <c r="M184" s="697" t="str">
        <f>IFERROR(__xludf.DUMMYFUNCTION("""COMPUTED_VALUE"""),"No")</f>
        <v>No</v>
      </c>
      <c r="N184" s="697" t="str">
        <f>IFERROR(__xludf.DUMMYFUNCTION("""COMPUTED_VALUE"""),"6 weeks post treatment")</f>
        <v>6 weeks post treatment</v>
      </c>
      <c r="O184" s="872">
        <f>IFERROR(__xludf.DUMMYFUNCTION("""COMPUTED_VALUE"""),0.43)</f>
        <v>0.43</v>
      </c>
      <c r="P184" s="697"/>
      <c r="Q184" s="697" t="str">
        <f>IFERROR(__xludf.DUMMYFUNCTION("""COMPUTED_VALUE"""),"The cure rates were lower in children than in adults, for both oxamniquine and praziquantel. The results in the placebo-treated group indicate that the repro- ducibility of egg counts was adequate.")</f>
        <v>The cure rates were lower in children than in adults, for both oxamniquine and praziquantel. The results in the placebo-treated group indicate that the repro- ducibility of egg counts was adequate.</v>
      </c>
      <c r="R184" s="697"/>
      <c r="S184" s="699" t="str">
        <f>IFERROR(__xludf.DUMMYFUNCTION("""COMPUTED_VALUE"""),"Polderman, A.B.; Gryseels, B. De Caluwe, P. Cure rates and egg reduction in treatment of intestinal schistosomiasis with oxamniquine and praziquantel in Maniema, Zaire. 1988. Transactions of the Royal Society of Tropical Medicine and Hygiene. 82: 115-116.")</f>
        <v>Polderman, A.B.; Gryseels, B. De Caluwe, P. Cure rates and egg reduction in treatment of intestinal schistosomiasis with oxamniquine and praziquantel in Maniema, Zaire. 1988. Transactions of the Royal Society of Tropical Medicine and Hygiene. 82: 115-116.</v>
      </c>
      <c r="T184" s="697"/>
      <c r="U184" s="697" t="str">
        <f>IFERROR(__xludf.DUMMYFUNCTION("""COMPUTED_VALUE"""),"x")</f>
        <v>x</v>
      </c>
      <c r="V184" s="697">
        <f>IFERROR(__xludf.DUMMYFUNCTION("""COMPUTED_VALUE"""),184.0)</f>
        <v>184</v>
      </c>
    </row>
    <row r="185">
      <c r="A185" s="697" t="str">
        <f>IFERROR(__xludf.DUMMYFUNCTION("""COMPUTED_VALUE"""),"Polderman")</f>
        <v>Polderman</v>
      </c>
      <c r="B185" s="697" t="str">
        <f>IFERROR(__xludf.DUMMYFUNCTION("""COMPUTED_VALUE"""),"s. mansoni")</f>
        <v>s. mansoni</v>
      </c>
      <c r="C185" s="697" t="str">
        <f>IFERROR(__xludf.DUMMYFUNCTION("""COMPUTED_VALUE"""),"Democratic Republic of the Congo")</f>
        <v>Democratic Republic of the Congo</v>
      </c>
      <c r="D185" s="697" t="str">
        <f>IFERROR(__xludf.DUMMYFUNCTION("""COMPUTED_VALUE"""),"Oxamniquine")</f>
        <v>Oxamniquine</v>
      </c>
      <c r="E185" s="697" t="str">
        <f>IFERROR(__xludf.DUMMYFUNCTION("""COMPUTED_VALUE"""),"Single")</f>
        <v>Single</v>
      </c>
      <c r="F185" s="697" t="str">
        <f>IFERROR(__xludf.DUMMYFUNCTION("""COMPUTED_VALUE"""),"40 mg/kg")</f>
        <v>40 mg/kg</v>
      </c>
      <c r="G185" s="697">
        <f>IFERROR(__xludf.DUMMYFUNCTION("""COMPUTED_VALUE"""),177.0)</f>
        <v>177</v>
      </c>
      <c r="H185" s="697" t="str">
        <f>IFERROR(__xludf.DUMMYFUNCTION("""COMPUTED_VALUE"""),"&gt;20")</f>
        <v>&gt;20</v>
      </c>
      <c r="I185" s="705" t="str">
        <f>IFERROR(__xludf.DUMMYFUNCTION("""COMPUTED_VALUE"""),"MF")</f>
        <v>MF</v>
      </c>
      <c r="J185" s="697">
        <f>IFERROR(__xludf.DUMMYFUNCTION("""COMPUTED_VALUE"""),1988.0)</f>
        <v>1988</v>
      </c>
      <c r="K185" s="697" t="str">
        <f>IFERROR(__xludf.DUMMYFUNCTION("""COMPUTED_VALUE"""),"Adults &gt;20")</f>
        <v>Adults &gt;20</v>
      </c>
      <c r="L185" s="697" t="str">
        <f>IFERROR(__xludf.DUMMYFUNCTION("""COMPUTED_VALUE"""),"No")</f>
        <v>No</v>
      </c>
      <c r="M185" s="697" t="str">
        <f>IFERROR(__xludf.DUMMYFUNCTION("""COMPUTED_VALUE"""),"No")</f>
        <v>No</v>
      </c>
      <c r="N185" s="697" t="str">
        <f>IFERROR(__xludf.DUMMYFUNCTION("""COMPUTED_VALUE"""),"6 weeks post treatment")</f>
        <v>6 weeks post treatment</v>
      </c>
      <c r="O185" s="872">
        <f>IFERROR(__xludf.DUMMYFUNCTION("""COMPUTED_VALUE"""),0.7)</f>
        <v>0.7</v>
      </c>
      <c r="P185" s="697"/>
      <c r="Q185" s="697" t="str">
        <f>IFERROR(__xludf.DUMMYFUNCTION("""COMPUTED_VALUE"""),"The cure rates were lower in children than in adults, for both oxamniquine and praziquantel. The results in the placebo-treated group indicate that the repro- ducibility of egg counts was adequate.")</f>
        <v>The cure rates were lower in children than in adults, for both oxamniquine and praziquantel. The results in the placebo-treated group indicate that the repro- ducibility of egg counts was adequate.</v>
      </c>
      <c r="R185" s="697"/>
      <c r="S185" s="699" t="str">
        <f>IFERROR(__xludf.DUMMYFUNCTION("""COMPUTED_VALUE"""),"Polderman, A.B.; Gryseels, B. De Caluwe, P. Cure rates and egg reduction in treatment of intestinal schistosomiasis with oxamniquine and praziquantel in Maniema, Zaire. 1988. Transactions of the Royal Society of Tropical Medicine and Hygiene. 82: 115-116.")</f>
        <v>Polderman, A.B.; Gryseels, B. De Caluwe, P. Cure rates and egg reduction in treatment of intestinal schistosomiasis with oxamniquine and praziquantel in Maniema, Zaire. 1988. Transactions of the Royal Society of Tropical Medicine and Hygiene. 82: 115-116.</v>
      </c>
      <c r="T185" s="697"/>
      <c r="U185" s="697" t="str">
        <f>IFERROR(__xludf.DUMMYFUNCTION("""COMPUTED_VALUE"""),"x")</f>
        <v>x</v>
      </c>
      <c r="V185" s="697">
        <f>IFERROR(__xludf.DUMMYFUNCTION("""COMPUTED_VALUE"""),185.0)</f>
        <v>185</v>
      </c>
    </row>
    <row r="186">
      <c r="A186" s="697" t="str">
        <f>IFERROR(__xludf.DUMMYFUNCTION("""COMPUTED_VALUE"""),"Polderman")</f>
        <v>Polderman</v>
      </c>
      <c r="B186" s="697" t="str">
        <f>IFERROR(__xludf.DUMMYFUNCTION("""COMPUTED_VALUE"""),"s. mansoni")</f>
        <v>s. mansoni</v>
      </c>
      <c r="C186" s="697" t="str">
        <f>IFERROR(__xludf.DUMMYFUNCTION("""COMPUTED_VALUE"""),"Democratic Republic of the Congo")</f>
        <v>Democratic Republic of the Congo</v>
      </c>
      <c r="D186" s="697" t="str">
        <f>IFERROR(__xludf.DUMMYFUNCTION("""COMPUTED_VALUE"""),"Oxamniquine")</f>
        <v>Oxamniquine</v>
      </c>
      <c r="E186" s="697" t="str">
        <f>IFERROR(__xludf.DUMMYFUNCTION("""COMPUTED_VALUE"""),"Single")</f>
        <v>Single</v>
      </c>
      <c r="F186" s="697" t="str">
        <f>IFERROR(__xludf.DUMMYFUNCTION("""COMPUTED_VALUE"""),"15 mg/kg")</f>
        <v>15 mg/kg</v>
      </c>
      <c r="G186" s="697">
        <f>IFERROR(__xludf.DUMMYFUNCTION("""COMPUTED_VALUE"""),169.0)</f>
        <v>169</v>
      </c>
      <c r="H186" s="704">
        <f>IFERROR(__xludf.DUMMYFUNCTION("""COMPUTED_VALUE"""),42541.0)</f>
        <v>42541</v>
      </c>
      <c r="I186" s="705" t="str">
        <f>IFERROR(__xludf.DUMMYFUNCTION("""COMPUTED_VALUE"""),"MF")</f>
        <v>MF</v>
      </c>
      <c r="J186" s="697">
        <f>IFERROR(__xludf.DUMMYFUNCTION("""COMPUTED_VALUE"""),1988.0)</f>
        <v>1988</v>
      </c>
      <c r="K186" s="697" t="str">
        <f>IFERROR(__xludf.DUMMYFUNCTION("""COMPUTED_VALUE"""),"School Children &amp; Adults")</f>
        <v>School Children &amp; Adults</v>
      </c>
      <c r="L186" s="697" t="str">
        <f>IFERROR(__xludf.DUMMYFUNCTION("""COMPUTED_VALUE"""),"No")</f>
        <v>No</v>
      </c>
      <c r="M186" s="697" t="str">
        <f>IFERROR(__xludf.DUMMYFUNCTION("""COMPUTED_VALUE"""),"No")</f>
        <v>No</v>
      </c>
      <c r="N186" s="697" t="str">
        <f>IFERROR(__xludf.DUMMYFUNCTION("""COMPUTED_VALUE"""),"6 weeks post treatment")</f>
        <v>6 weeks post treatment</v>
      </c>
      <c r="O186" s="872">
        <f>IFERROR(__xludf.DUMMYFUNCTION("""COMPUTED_VALUE"""),0.21)</f>
        <v>0.21</v>
      </c>
      <c r="P186" s="697"/>
      <c r="Q186" s="697" t="str">
        <f>IFERROR(__xludf.DUMMYFUNCTION("""COMPUTED_VALUE"""),"The cure rates were lower in children than in adults, for both oxamniquine and praziquantel. The results in the placebo-treated group indicate that the repro- ducibility of egg counts was adequate.")</f>
        <v>The cure rates were lower in children than in adults, for both oxamniquine and praziquantel. The results in the placebo-treated group indicate that the repro- ducibility of egg counts was adequate.</v>
      </c>
      <c r="R186" s="697"/>
      <c r="S186" s="699" t="str">
        <f>IFERROR(__xludf.DUMMYFUNCTION("""COMPUTED_VALUE"""),"Polderman, A.B.; Gryseels, B. De Caluwe, P. Cure rates and egg reduction in treatment of intestinal schistosomiasis with oxamniquine and praziquantel in Maniema, Zaire. 1988. Transactions of the Royal Society of Tropical Medicine and Hygiene. 82: 115-116.")</f>
        <v>Polderman, A.B.; Gryseels, B. De Caluwe, P. Cure rates and egg reduction in treatment of intestinal schistosomiasis with oxamniquine and praziquantel in Maniema, Zaire. 1988. Transactions of the Royal Society of Tropical Medicine and Hygiene. 82: 115-116.</v>
      </c>
      <c r="T186" s="697"/>
      <c r="U186" s="697" t="str">
        <f>IFERROR(__xludf.DUMMYFUNCTION("""COMPUTED_VALUE"""),"x")</f>
        <v>x</v>
      </c>
      <c r="V186" s="697">
        <f>IFERROR(__xludf.DUMMYFUNCTION("""COMPUTED_VALUE"""),186.0)</f>
        <v>186</v>
      </c>
    </row>
    <row r="187">
      <c r="A187" s="697" t="str">
        <f>IFERROR(__xludf.DUMMYFUNCTION("""COMPUTED_VALUE"""),"Polderman")</f>
        <v>Polderman</v>
      </c>
      <c r="B187" s="697" t="str">
        <f>IFERROR(__xludf.DUMMYFUNCTION("""COMPUTED_VALUE"""),"s. mansoni")</f>
        <v>s. mansoni</v>
      </c>
      <c r="C187" s="697" t="str">
        <f>IFERROR(__xludf.DUMMYFUNCTION("""COMPUTED_VALUE"""),"Democratic Republic of the Congo")</f>
        <v>Democratic Republic of the Congo</v>
      </c>
      <c r="D187" s="697" t="str">
        <f>IFERROR(__xludf.DUMMYFUNCTION("""COMPUTED_VALUE"""),"Oxamniquine")</f>
        <v>Oxamniquine</v>
      </c>
      <c r="E187" s="697" t="str">
        <f>IFERROR(__xludf.DUMMYFUNCTION("""COMPUTED_VALUE"""),"Single")</f>
        <v>Single</v>
      </c>
      <c r="F187" s="697" t="str">
        <f>IFERROR(__xludf.DUMMYFUNCTION("""COMPUTED_VALUE"""),"15 mg/kg")</f>
        <v>15 mg/kg</v>
      </c>
      <c r="G187" s="697">
        <f>IFERROR(__xludf.DUMMYFUNCTION("""COMPUTED_VALUE"""),205.0)</f>
        <v>205</v>
      </c>
      <c r="H187" s="697" t="str">
        <f>IFERROR(__xludf.DUMMYFUNCTION("""COMPUTED_VALUE"""),"&gt;20")</f>
        <v>&gt;20</v>
      </c>
      <c r="I187" s="705" t="str">
        <f>IFERROR(__xludf.DUMMYFUNCTION("""COMPUTED_VALUE"""),"MF")</f>
        <v>MF</v>
      </c>
      <c r="J187" s="697">
        <f>IFERROR(__xludf.DUMMYFUNCTION("""COMPUTED_VALUE"""),1988.0)</f>
        <v>1988</v>
      </c>
      <c r="K187" s="697" t="str">
        <f>IFERROR(__xludf.DUMMYFUNCTION("""COMPUTED_VALUE"""),"Adults &gt;20")</f>
        <v>Adults &gt;20</v>
      </c>
      <c r="L187" s="697" t="str">
        <f>IFERROR(__xludf.DUMMYFUNCTION("""COMPUTED_VALUE"""),"No")</f>
        <v>No</v>
      </c>
      <c r="M187" s="697" t="str">
        <f>IFERROR(__xludf.DUMMYFUNCTION("""COMPUTED_VALUE"""),"No")</f>
        <v>No</v>
      </c>
      <c r="N187" s="697" t="str">
        <f>IFERROR(__xludf.DUMMYFUNCTION("""COMPUTED_VALUE"""),"6 weeks post treatment")</f>
        <v>6 weeks post treatment</v>
      </c>
      <c r="O187" s="872">
        <f>IFERROR(__xludf.DUMMYFUNCTION("""COMPUTED_VALUE"""),0.4)</f>
        <v>0.4</v>
      </c>
      <c r="P187" s="697"/>
      <c r="Q187" s="697" t="str">
        <f>IFERROR(__xludf.DUMMYFUNCTION("""COMPUTED_VALUE"""),"The cure rates were lower in children than in adults, for both oxamniquine and praziquantel. The results in the placebo-treated group indicate that the repro- ducibility of egg counts was adequate.")</f>
        <v>The cure rates were lower in children than in adults, for both oxamniquine and praziquantel. The results in the placebo-treated group indicate that the repro- ducibility of egg counts was adequate.</v>
      </c>
      <c r="R187" s="697"/>
      <c r="S187" s="699" t="str">
        <f>IFERROR(__xludf.DUMMYFUNCTION("""COMPUTED_VALUE"""),"Polderman, A.B.; Gryseels, B. De Caluwe, P. Cure rates and egg reduction in treatment of intestinal schistosomiasis with oxamniquine and praziquantel in Maniema, Zaire. 1988. Transactions of the Royal Society of Tropical Medicine and Hygiene. 82: 115-116.")</f>
        <v>Polderman, A.B.; Gryseels, B. De Caluwe, P. Cure rates and egg reduction in treatment of intestinal schistosomiasis with oxamniquine and praziquantel in Maniema, Zaire. 1988. Transactions of the Royal Society of Tropical Medicine and Hygiene. 82: 115-116.</v>
      </c>
      <c r="T187" s="697"/>
      <c r="U187" s="697" t="str">
        <f>IFERROR(__xludf.DUMMYFUNCTION("""COMPUTED_VALUE"""),"x")</f>
        <v>x</v>
      </c>
      <c r="V187" s="697">
        <f>IFERROR(__xludf.DUMMYFUNCTION("""COMPUTED_VALUE"""),187.0)</f>
        <v>187</v>
      </c>
    </row>
    <row r="188">
      <c r="A188" s="697" t="str">
        <f>IFERROR(__xludf.DUMMYFUNCTION("""COMPUTED_VALUE"""),"Polderman")</f>
        <v>Polderman</v>
      </c>
      <c r="B188" s="697" t="str">
        <f>IFERROR(__xludf.DUMMYFUNCTION("""COMPUTED_VALUE"""),"s. mansoni")</f>
        <v>s. mansoni</v>
      </c>
      <c r="C188" s="697" t="str">
        <f>IFERROR(__xludf.DUMMYFUNCTION("""COMPUTED_VALUE"""),"Democratic Republic of the Congo")</f>
        <v>Democratic Republic of the Congo</v>
      </c>
      <c r="D188" s="697" t="str">
        <f>IFERROR(__xludf.DUMMYFUNCTION("""COMPUTED_VALUE"""),"Placebo")</f>
        <v>Placebo</v>
      </c>
      <c r="E188" s="697"/>
      <c r="F188" s="697"/>
      <c r="G188" s="697">
        <f>IFERROR(__xludf.DUMMYFUNCTION("""COMPUTED_VALUE"""),83.0)</f>
        <v>83</v>
      </c>
      <c r="H188" s="704">
        <f>IFERROR(__xludf.DUMMYFUNCTION("""COMPUTED_VALUE"""),42541.0)</f>
        <v>42541</v>
      </c>
      <c r="I188" s="705" t="str">
        <f>IFERROR(__xludf.DUMMYFUNCTION("""COMPUTED_VALUE"""),"MF")</f>
        <v>MF</v>
      </c>
      <c r="J188" s="697">
        <f>IFERROR(__xludf.DUMMYFUNCTION("""COMPUTED_VALUE"""),1988.0)</f>
        <v>1988</v>
      </c>
      <c r="K188" s="697" t="str">
        <f>IFERROR(__xludf.DUMMYFUNCTION("""COMPUTED_VALUE"""),"School Children &amp; Adults")</f>
        <v>School Children &amp; Adults</v>
      </c>
      <c r="L188" s="697" t="str">
        <f>IFERROR(__xludf.DUMMYFUNCTION("""COMPUTED_VALUE"""),"No")</f>
        <v>No</v>
      </c>
      <c r="M188" s="697" t="str">
        <f>IFERROR(__xludf.DUMMYFUNCTION("""COMPUTED_VALUE"""),"No")</f>
        <v>No</v>
      </c>
      <c r="N188" s="697" t="str">
        <f>IFERROR(__xludf.DUMMYFUNCTION("""COMPUTED_VALUE"""),"6 weeks post treatment")</f>
        <v>6 weeks post treatment</v>
      </c>
      <c r="O188" s="872">
        <f>IFERROR(__xludf.DUMMYFUNCTION("""COMPUTED_VALUE"""),0.66)</f>
        <v>0.66</v>
      </c>
      <c r="P188" s="697"/>
      <c r="Q188" s="697" t="str">
        <f>IFERROR(__xludf.DUMMYFUNCTION("""COMPUTED_VALUE"""),"The cure rates were lower in children than in adults, for both oxamniquine and praziquantel. The results in the placebo-treated group indicate that the repro- ducibility of egg counts was adequate.")</f>
        <v>The cure rates were lower in children than in adults, for both oxamniquine and praziquantel. The results in the placebo-treated group indicate that the repro- ducibility of egg counts was adequate.</v>
      </c>
      <c r="R188" s="697"/>
      <c r="S188" s="699" t="str">
        <f>IFERROR(__xludf.DUMMYFUNCTION("""COMPUTED_VALUE"""),"Polderman, A.B.; Gryseels, B. De Caluwe, P. Cure rates and egg reduction in treatment of intestinal schistosomiasis with oxamniquine and praziquantel in Maniema, Zaire. 1988. Transactions of the Royal Society of Tropical Medicine and Hygiene. 82: 115-116.")</f>
        <v>Polderman, A.B.; Gryseels, B. De Caluwe, P. Cure rates and egg reduction in treatment of intestinal schistosomiasis with oxamniquine and praziquantel in Maniema, Zaire. 1988. Transactions of the Royal Society of Tropical Medicine and Hygiene. 82: 115-116.</v>
      </c>
      <c r="T188" s="697"/>
      <c r="U188" s="697" t="str">
        <f>IFERROR(__xludf.DUMMYFUNCTION("""COMPUTED_VALUE"""),"x")</f>
        <v>x</v>
      </c>
      <c r="V188" s="697">
        <f>IFERROR(__xludf.DUMMYFUNCTION("""COMPUTED_VALUE"""),188.0)</f>
        <v>188</v>
      </c>
    </row>
    <row r="189">
      <c r="A189" s="697" t="str">
        <f>IFERROR(__xludf.DUMMYFUNCTION("""COMPUTED_VALUE"""),"Polderman")</f>
        <v>Polderman</v>
      </c>
      <c r="B189" s="697" t="str">
        <f>IFERROR(__xludf.DUMMYFUNCTION("""COMPUTED_VALUE"""),"s. mansoni")</f>
        <v>s. mansoni</v>
      </c>
      <c r="C189" s="697" t="str">
        <f>IFERROR(__xludf.DUMMYFUNCTION("""COMPUTED_VALUE"""),"Democratic Republic of the Congo")</f>
        <v>Democratic Republic of the Congo</v>
      </c>
      <c r="D189" s="697" t="str">
        <f>IFERROR(__xludf.DUMMYFUNCTION("""COMPUTED_VALUE"""),"Placebo")</f>
        <v>Placebo</v>
      </c>
      <c r="E189" s="697"/>
      <c r="F189" s="697"/>
      <c r="G189" s="697">
        <f>IFERROR(__xludf.DUMMYFUNCTION("""COMPUTED_VALUE"""),119.0)</f>
        <v>119</v>
      </c>
      <c r="H189" s="697" t="str">
        <f>IFERROR(__xludf.DUMMYFUNCTION("""COMPUTED_VALUE"""),"&gt;20")</f>
        <v>&gt;20</v>
      </c>
      <c r="I189" s="705" t="str">
        <f>IFERROR(__xludf.DUMMYFUNCTION("""COMPUTED_VALUE"""),"MF")</f>
        <v>MF</v>
      </c>
      <c r="J189" s="697">
        <f>IFERROR(__xludf.DUMMYFUNCTION("""COMPUTED_VALUE"""),1988.0)</f>
        <v>1988</v>
      </c>
      <c r="K189" s="697" t="str">
        <f>IFERROR(__xludf.DUMMYFUNCTION("""COMPUTED_VALUE"""),"Adults &gt;20")</f>
        <v>Adults &gt;20</v>
      </c>
      <c r="L189" s="697" t="str">
        <f>IFERROR(__xludf.DUMMYFUNCTION("""COMPUTED_VALUE"""),"No")</f>
        <v>No</v>
      </c>
      <c r="M189" s="697" t="str">
        <f>IFERROR(__xludf.DUMMYFUNCTION("""COMPUTED_VALUE"""),"No")</f>
        <v>No</v>
      </c>
      <c r="N189" s="697" t="str">
        <f>IFERROR(__xludf.DUMMYFUNCTION("""COMPUTED_VALUE"""),"6 weeks post treatment")</f>
        <v>6 weeks post treatment</v>
      </c>
      <c r="O189" s="872">
        <f>IFERROR(__xludf.DUMMYFUNCTION("""COMPUTED_VALUE"""),0.05)</f>
        <v>0.05</v>
      </c>
      <c r="P189" s="697"/>
      <c r="Q189" s="697" t="str">
        <f>IFERROR(__xludf.DUMMYFUNCTION("""COMPUTED_VALUE"""),"The cure rates were lower in children than in adults, for both oxamniquine and praziquantel. The results in the placebo-treated group indicate that the repro- ducibility of egg counts was adequate.")</f>
        <v>The cure rates were lower in children than in adults, for both oxamniquine and praziquantel. The results in the placebo-treated group indicate that the repro- ducibility of egg counts was adequate.</v>
      </c>
      <c r="R189" s="697"/>
      <c r="S189" s="699" t="str">
        <f>IFERROR(__xludf.DUMMYFUNCTION("""COMPUTED_VALUE"""),"Polderman, A.B.; Gryseels, B. De Caluwe, P. Cure rates and egg reduction in treatment of intestinal schistosomiasis with oxamniquine and praziquantel in Maniema, Zaire. 1988. Transactions of the Royal Society of Tropical Medicine and Hygiene. 82: 115-116.")</f>
        <v>Polderman, A.B.; Gryseels, B. De Caluwe, P. Cure rates and egg reduction in treatment of intestinal schistosomiasis with oxamniquine and praziquantel in Maniema, Zaire. 1988. Transactions of the Royal Society of Tropical Medicine and Hygiene. 82: 115-116.</v>
      </c>
      <c r="T189" s="697"/>
      <c r="U189" s="697" t="str">
        <f>IFERROR(__xludf.DUMMYFUNCTION("""COMPUTED_VALUE"""),"x")</f>
        <v>x</v>
      </c>
      <c r="V189" s="697">
        <f>IFERROR(__xludf.DUMMYFUNCTION("""COMPUTED_VALUE"""),189.0)</f>
        <v>189</v>
      </c>
    </row>
    <row r="190">
      <c r="A190" s="697" t="str">
        <f>IFERROR(__xludf.DUMMYFUNCTION("""COMPUTED_VALUE"""),"Obonyo")</f>
        <v>Obonyo</v>
      </c>
      <c r="B190" s="697" t="str">
        <f>IFERROR(__xludf.DUMMYFUNCTION("""COMPUTED_VALUE"""),"s. mansoni")</f>
        <v>s. mansoni</v>
      </c>
      <c r="C190" s="697" t="str">
        <f>IFERROR(__xludf.DUMMYFUNCTION("""COMPUTED_VALUE"""),"Kenya")</f>
        <v>Kenya</v>
      </c>
      <c r="D190" s="697" t="str">
        <f>IFERROR(__xludf.DUMMYFUNCTION("""COMPUTED_VALUE"""),"Artesunate &amp; Sulfadoxine &amp; Pyrimethamine")</f>
        <v>Artesunate &amp; Sulfadoxine &amp; Pyrimethamine</v>
      </c>
      <c r="E190" s="697" t="str">
        <f>IFERROR(__xludf.DUMMYFUNCTION("""COMPUTED_VALUE"""),"Three")</f>
        <v>Three</v>
      </c>
      <c r="F190" s="697" t="str">
        <f>IFERROR(__xludf.DUMMYFUNCTION("""COMPUTED_VALUE"""),"100 mg; 250 mg; 12.5 mg")</f>
        <v>100 mg; 250 mg; 12.5 mg</v>
      </c>
      <c r="G190" s="697">
        <f>IFERROR(__xludf.DUMMYFUNCTION("""COMPUTED_VALUE"""),106.0)</f>
        <v>106</v>
      </c>
      <c r="H190" s="697" t="str">
        <f>IFERROR(__xludf.DUMMYFUNCTION("""COMPUTED_VALUE"""),"School Children")</f>
        <v>School Children</v>
      </c>
      <c r="I190" s="705" t="str">
        <f>IFERROR(__xludf.DUMMYFUNCTION("""COMPUTED_VALUE"""),"52% M")</f>
        <v>52% M</v>
      </c>
      <c r="J190" s="697">
        <f>IFERROR(__xludf.DUMMYFUNCTION("""COMPUTED_VALUE"""),2009.0)</f>
        <v>2009</v>
      </c>
      <c r="K190" s="697" t="str">
        <f>IFERROR(__xludf.DUMMYFUNCTION("""COMPUTED_VALUE"""),"Children were excluded if they weighed more than 50 kg, were pregnant or lactating at the time of the study, had co-infection with P falciparum, had a severe illness (such as cerebral cysticercosis), or had signs of severe malnutrition (defined as childre"&amp;"n with weight-to- height ratio below three SDs or 70% of the median of WHO’s standardised reference values, or with bilateral pedal oedema). Other exclusion criteria included hypersensitivity to artesunate, use of sulfonamides or praziquantel, use of anot"&amp;"her antimalarial or anti- schistosomal drug during the study, or previous participation in the same study.")</f>
        <v>Children were excluded if they weighed more than 50 kg, were pregnant or lactating at the time of the study, had co-infection with P falciparum, had a severe illness (such as cerebral cysticercosis), or had signs of severe malnutrition (defined as children with weight-to- height ratio below three SDs or 70% of the median of WHO’s standardised reference values, or with bilateral pedal oedema). Other exclusion criteria included hypersensitivity to artesunate, use of sulfonamides or praziquantel, use of another antimalarial or anti- schistosomal drug during the study, or previous participation in the same study.</v>
      </c>
      <c r="L190" s="697" t="str">
        <f>IFERROR(__xludf.DUMMYFUNCTION("""COMPUTED_VALUE"""),"No")</f>
        <v>No</v>
      </c>
      <c r="M190" s="697" t="str">
        <f>IFERROR(__xludf.DUMMYFUNCTION("""COMPUTED_VALUE"""),"Yes")</f>
        <v>Yes</v>
      </c>
      <c r="N190" s="697" t="str">
        <f>IFERROR(__xludf.DUMMYFUNCTION("""COMPUTED_VALUE"""),"follow up day 28")</f>
        <v>follow up day 28</v>
      </c>
      <c r="O190" s="872">
        <f>IFERROR(__xludf.DUMMYFUNCTION("""COMPUTED_VALUE"""),0.14)</f>
        <v>0.14</v>
      </c>
      <c r="P190" s="700">
        <f>IFERROR(__xludf.DUMMYFUNCTION("""COMPUTED_VALUE"""),0.35)</f>
        <v>0.35</v>
      </c>
      <c r="Q190" s="697" t="str">
        <f>IFERROR(__xludf.DUMMYFUNCTION("""COMPUTED_VALUE"""),"In this randomised trial assessing treatment for S mansoni infection in western Kenya, we recorded a significantly lower cure rate with artesunate with sulfalene plus pyrimethamine than with praziquantel")</f>
        <v>In this randomised trial assessing treatment for S mansoni infection in western Kenya, we recorded a significantly lower cure rate with artesunate with sulfalene plus pyrimethamine than with praziquantel</v>
      </c>
      <c r="R190" s="697"/>
      <c r="S190" s="699" t="str">
        <f>IFERROR(__xludf.DUMMYFUNCTION("""COMPUTED_VALUE"""),"Obonyo, C.O.; Muak, E.M.O.; Mwinzi, P.N.M. ""Efficacy of artesunate with sulfalene plus pyrimethamine versus praziquantel for treatment of Schistosoma mansoni in Kenya children: an open-label randomised controlled trial. 2010. Lancet Infect Dis 10: 603-61"&amp;"1")</f>
        <v>Obonyo, C.O.; Muak, E.M.O.; Mwinzi, P.N.M. "Efficacy of artesunate with sulfalene plus pyrimethamine versus praziquantel for treatment of Schistosoma mansoni in Kenya children: an open-label randomised controlled trial. 2010. Lancet Infect Dis 10: 603-611</v>
      </c>
      <c r="T190" s="697"/>
      <c r="U190" s="697" t="str">
        <f>IFERROR(__xludf.DUMMYFUNCTION("""COMPUTED_VALUE"""),"")</f>
        <v/>
      </c>
      <c r="V190" s="697">
        <f>IFERROR(__xludf.DUMMYFUNCTION("""COMPUTED_VALUE"""),190.0)</f>
        <v>190</v>
      </c>
    </row>
    <row r="191">
      <c r="A191" s="697" t="str">
        <f>IFERROR(__xludf.DUMMYFUNCTION("""COMPUTED_VALUE"""),"Obonyo")</f>
        <v>Obonyo</v>
      </c>
      <c r="B191" s="697" t="str">
        <f>IFERROR(__xludf.DUMMYFUNCTION("""COMPUTED_VALUE"""),"s. mansoni")</f>
        <v>s. mansoni</v>
      </c>
      <c r="C191" s="697" t="str">
        <f>IFERROR(__xludf.DUMMYFUNCTION("""COMPUTED_VALUE"""),"Kenya")</f>
        <v>Kenya</v>
      </c>
      <c r="D191" s="697" t="str">
        <f>IFERROR(__xludf.DUMMYFUNCTION("""COMPUTED_VALUE"""),"Praziquantel")</f>
        <v>Praziquantel</v>
      </c>
      <c r="E191" s="697" t="str">
        <f>IFERROR(__xludf.DUMMYFUNCTION("""COMPUTED_VALUE"""),"Single")</f>
        <v>Single</v>
      </c>
      <c r="F191" s="697" t="str">
        <f>IFERROR(__xludf.DUMMYFUNCTION("""COMPUTED_VALUE"""),"40 mg/kg")</f>
        <v>40 mg/kg</v>
      </c>
      <c r="G191" s="697">
        <f>IFERROR(__xludf.DUMMYFUNCTION("""COMPUTED_VALUE"""),106.0)</f>
        <v>106</v>
      </c>
      <c r="H191" s="697" t="str">
        <f>IFERROR(__xludf.DUMMYFUNCTION("""COMPUTED_VALUE"""),"School Children")</f>
        <v>School Children</v>
      </c>
      <c r="I191" s="705" t="str">
        <f>IFERROR(__xludf.DUMMYFUNCTION("""COMPUTED_VALUE"""),"48% M")</f>
        <v>48% M</v>
      </c>
      <c r="J191" s="697">
        <f>IFERROR(__xludf.DUMMYFUNCTION("""COMPUTED_VALUE"""),2009.0)</f>
        <v>2009</v>
      </c>
      <c r="K191" s="697" t="str">
        <f>IFERROR(__xludf.DUMMYFUNCTION("""COMPUTED_VALUE"""),"Children were excluded if they weighed more than 50 kg, were pregnant or lactating at the time of the study, had co-infection with P falciparum, had a severe illness (such as cerebral cysticercosis), or had signs of severe malnutrition (defined as childre"&amp;"n with weight-to- height ratio below three SDs or 70% of the median of WHO’s standardised reference values, or with bilateral pedal oedema). Other exclusion criteria included hypersensitivity to artesunate, use of sulfonamides or praziquantel, use of anot"&amp;"her antimalarial or anti- schistosomal drug during the study, or previous participation in the same study.")</f>
        <v>Children were excluded if they weighed more than 50 kg, were pregnant or lactating at the time of the study, had co-infection with P falciparum, had a severe illness (such as cerebral cysticercosis), or had signs of severe malnutrition (defined as children with weight-to- height ratio below three SDs or 70% of the median of WHO’s standardised reference values, or with bilateral pedal oedema). Other exclusion criteria included hypersensitivity to artesunate, use of sulfonamides or praziquantel, use of another antimalarial or anti- schistosomal drug during the study, or previous participation in the same study.</v>
      </c>
      <c r="L191" s="697" t="str">
        <f>IFERROR(__xludf.DUMMYFUNCTION("""COMPUTED_VALUE"""),"No")</f>
        <v>No</v>
      </c>
      <c r="M191" s="697" t="str">
        <f>IFERROR(__xludf.DUMMYFUNCTION("""COMPUTED_VALUE"""),"Yes")</f>
        <v>Yes</v>
      </c>
      <c r="N191" s="697" t="str">
        <f>IFERROR(__xludf.DUMMYFUNCTION("""COMPUTED_VALUE"""),"follow up day 28")</f>
        <v>follow up day 28</v>
      </c>
      <c r="O191" s="872">
        <f>IFERROR(__xludf.DUMMYFUNCTION("""COMPUTED_VALUE"""),0.65)</f>
        <v>0.65</v>
      </c>
      <c r="P191" s="698">
        <f>IFERROR(__xludf.DUMMYFUNCTION("""COMPUTED_VALUE"""),0.841)</f>
        <v>0.841</v>
      </c>
      <c r="Q191" s="697" t="str">
        <f>IFERROR(__xludf.DUMMYFUNCTION("""COMPUTED_VALUE"""),"In this randomised trial assessing treatment for S mansoni infection in western Kenya, we recorded a significantly lower cure rate with artesunate with sulfalene plus pyrimethamine than with praziquantel")</f>
        <v>In this randomised trial assessing treatment for S mansoni infection in western Kenya, we recorded a significantly lower cure rate with artesunate with sulfalene plus pyrimethamine than with praziquantel</v>
      </c>
      <c r="R191" s="697"/>
      <c r="S191" s="699" t="str">
        <f>IFERROR(__xludf.DUMMYFUNCTION("""COMPUTED_VALUE"""),"Obonyo, C.O.; Muak, E.M.O.; Mwinzi, P.N.M. ""Efficacy of artesunate with sulfalene plus pyrimethamine versus praziquantel for treatment of Schistosoma mansoni in Kenya children: an open-label randomised controlled trial. 2010. Lancet Infect Dis 10: 603-61"&amp;"1")</f>
        <v>Obonyo, C.O.; Muak, E.M.O.; Mwinzi, P.N.M. "Efficacy of artesunate with sulfalene plus pyrimethamine versus praziquantel for treatment of Schistosoma mansoni in Kenya children: an open-label randomised controlled trial. 2010. Lancet Infect Dis 10: 603-611</v>
      </c>
      <c r="T191" s="697"/>
      <c r="U191" s="697" t="str">
        <f>IFERROR(__xludf.DUMMYFUNCTION("""COMPUTED_VALUE"""),"")</f>
        <v/>
      </c>
      <c r="V191" s="697">
        <f>IFERROR(__xludf.DUMMYFUNCTION("""COMPUTED_VALUE"""),191.0)</f>
        <v>191</v>
      </c>
    </row>
    <row r="192">
      <c r="A192" s="697"/>
      <c r="B192" s="697"/>
      <c r="C192" s="697"/>
      <c r="D192" s="697"/>
      <c r="E192" s="697"/>
      <c r="F192" s="697"/>
      <c r="G192" s="697"/>
      <c r="H192" s="697"/>
      <c r="I192" s="697"/>
      <c r="J192" s="697"/>
      <c r="K192" s="697"/>
      <c r="L192" s="697"/>
      <c r="M192" s="697"/>
      <c r="N192" s="697"/>
      <c r="O192" s="871"/>
      <c r="P192" s="697"/>
      <c r="Q192" s="697"/>
      <c r="R192" s="697"/>
      <c r="S192" s="697"/>
      <c r="T192" s="697"/>
      <c r="U192" s="697" t="str">
        <f>IFERROR(__xludf.DUMMYFUNCTION("""COMPUTED_VALUE"""),"")</f>
        <v/>
      </c>
      <c r="V192" s="697">
        <f>IFERROR(__xludf.DUMMYFUNCTION("""COMPUTED_VALUE"""),192.0)</f>
        <v>192</v>
      </c>
    </row>
    <row r="193">
      <c r="A193" s="697" t="str">
        <f>IFERROR(__xludf.DUMMYFUNCTION("""COMPUTED_VALUE"""),"Kabatereine 2003")</f>
        <v>Kabatereine 2003</v>
      </c>
      <c r="B193" s="697" t="str">
        <f>IFERROR(__xludf.DUMMYFUNCTION("""COMPUTED_VALUE"""),"s. mansoni")</f>
        <v>s. mansoni</v>
      </c>
      <c r="C193" s="697" t="str">
        <f>IFERROR(__xludf.DUMMYFUNCTION("""COMPUTED_VALUE"""),"Uganda")</f>
        <v>Uganda</v>
      </c>
      <c r="D193" s="697" t="str">
        <f>IFERROR(__xludf.DUMMYFUNCTION("""COMPUTED_VALUE"""),"Praziquantel")</f>
        <v>Praziquantel</v>
      </c>
      <c r="E193" s="697" t="str">
        <f>IFERROR(__xludf.DUMMYFUNCTION("""COMPUTED_VALUE"""),"Single")</f>
        <v>Single</v>
      </c>
      <c r="F193" s="697" t="str">
        <f>IFERROR(__xludf.DUMMYFUNCTION("""COMPUTED_VALUE"""),"40 mg/kg")</f>
        <v>40 mg/kg</v>
      </c>
      <c r="G193" s="697">
        <f>IFERROR(__xludf.DUMMYFUNCTION("""COMPUTED_VALUE"""),482.0)</f>
        <v>482</v>
      </c>
      <c r="H193" s="697" t="str">
        <f>IFERROR(__xludf.DUMMYFUNCTION("""COMPUTED_VALUE"""),"5-54")</f>
        <v>5-54</v>
      </c>
      <c r="I193" s="705" t="str">
        <f>IFERROR(__xludf.DUMMYFUNCTION("""COMPUTED_VALUE"""),"data not available ")</f>
        <v>data not available </v>
      </c>
      <c r="J193" s="697">
        <f>IFERROR(__xludf.DUMMYFUNCTION("""COMPUTED_VALUE"""),1997.0)</f>
        <v>1997</v>
      </c>
      <c r="K193" s="697" t="str">
        <f>IFERROR(__xludf.DUMMYFUNCTION("""COMPUTED_VALUE"""),"Those who had lived in Butiaba for at least 3 years, who gave oral consent, and who had no history of schistomiasis treatment. Pregnant women were not included, but were treated after delivery")</f>
        <v>Those who had lived in Butiaba for at least 3 years, who gave oral consent, and who had no history of schistomiasis treatment. Pregnant women were not included, but were treated after delivery</v>
      </c>
      <c r="L193" s="697" t="str">
        <f>IFERROR(__xludf.DUMMYFUNCTION("""COMPUTED_VALUE"""),"No")</f>
        <v>No</v>
      </c>
      <c r="M193" s="697"/>
      <c r="N193" s="697" t="str">
        <f>IFERROR(__xludf.DUMMYFUNCTION("""COMPUTED_VALUE"""),"6 weeks, 12 weeks")</f>
        <v>6 weeks, 12 weeks</v>
      </c>
      <c r="O193" s="873">
        <f>IFERROR(__xludf.DUMMYFUNCTION("""COMPUTED_VALUE"""),0.419)</f>
        <v>0.419</v>
      </c>
      <c r="P193" s="698">
        <f>IFERROR(__xludf.DUMMYFUNCTION("""COMPUTED_VALUE"""),0.977)</f>
        <v>0.977</v>
      </c>
      <c r="Q193" s="697" t="str">
        <f>IFERROR(__xludf.DUMMYFUNCTION("""COMPUTED_VALUE"""),"The cure rate of praziquantel at the recommended dose of 40 mg/kg is relatively low.")</f>
        <v>The cure rate of praziquantel at the recommended dose of 40 mg/kg is relatively low.</v>
      </c>
      <c r="R193" s="697"/>
      <c r="S193" s="699" t="str">
        <f>IFERROR(__xludf.DUMMYFUNCTION("""COMPUTED_VALUE"""),"Kabatereine, N. B., et al. ""Efficacy and side effects of praziquantel treatment in a highly endemic Schistosoma mansoni focus at Lake Albert, Uganda.""Transactions of the Royal Society of Tropical Medicine and Hygiene 97.5 (2003): 599-603.")</f>
        <v>Kabatereine, N. B., et al. "Efficacy and side effects of praziquantel treatment in a highly endemic Schistosoma mansoni focus at Lake Albert, Uganda."Transactions of the Royal Society of Tropical Medicine and Hygiene 97.5 (2003): 599-603.</v>
      </c>
      <c r="T193" s="697"/>
      <c r="U193" s="697" t="str">
        <f>IFERROR(__xludf.DUMMYFUNCTION("""COMPUTED_VALUE"""),"")</f>
        <v/>
      </c>
      <c r="V193" s="697">
        <f>IFERROR(__xludf.DUMMYFUNCTION("""COMPUTED_VALUE"""),193.0)</f>
        <v>193</v>
      </c>
    </row>
    <row r="194">
      <c r="A194" s="697" t="str">
        <f>IFERROR(__xludf.DUMMYFUNCTION("""COMPUTED_VALUE"""),"Tchuente, 2004")</f>
        <v>Tchuente, 2004</v>
      </c>
      <c r="B194" s="697" t="str">
        <f>IFERROR(__xludf.DUMMYFUNCTION("""COMPUTED_VALUE"""),"s. haematobium")</f>
        <v>s. haematobium</v>
      </c>
      <c r="C194" s="697" t="str">
        <f>IFERROR(__xludf.DUMMYFUNCTION("""COMPUTED_VALUE"""),"Cameroon")</f>
        <v>Cameroon</v>
      </c>
      <c r="D194" s="697" t="str">
        <f>IFERROR(__xludf.DUMMYFUNCTION("""COMPUTED_VALUE"""),"Praziquantel")</f>
        <v>Praziquantel</v>
      </c>
      <c r="E194" s="697" t="str">
        <f>IFERROR(__xludf.DUMMYFUNCTION("""COMPUTED_VALUE"""),"Single")</f>
        <v>Single</v>
      </c>
      <c r="F194" s="697" t="str">
        <f>IFERROR(__xludf.DUMMYFUNCTION("""COMPUTED_VALUE"""),"40 mg/kg")</f>
        <v>40 mg/kg</v>
      </c>
      <c r="G194" s="697">
        <f>IFERROR(__xludf.DUMMYFUNCTION("""COMPUTED_VALUE"""),60.0)</f>
        <v>60</v>
      </c>
      <c r="H194" s="697" t="str">
        <f>IFERROR(__xludf.DUMMYFUNCTION("""COMPUTED_VALUE"""),"School Age Children")</f>
        <v>School Age Children</v>
      </c>
      <c r="I194" s="705" t="str">
        <f>IFERROR(__xludf.DUMMYFUNCTION("""COMPUTED_VALUE"""),".81:1")</f>
        <v>.81:1</v>
      </c>
      <c r="J194" s="697">
        <f>IFERROR(__xludf.DUMMYFUNCTION("""COMPUTED_VALUE"""),2004.0)</f>
        <v>2004</v>
      </c>
      <c r="K194" s="697" t="str">
        <f>IFERROR(__xludf.DUMMYFUNCTION("""COMPUTED_VALUE"""),"The school children were invited to participate in the study, and were registered only after explanation of the objectives of the study to them and their parents or guardian. ")</f>
        <v>The school children were invited to participate in the study, and were registered only after explanation of the objectives of the study to them and their parents or guardian. </v>
      </c>
      <c r="L194" s="697" t="str">
        <f>IFERROR(__xludf.DUMMYFUNCTION("""COMPUTED_VALUE"""),"No")</f>
        <v>No</v>
      </c>
      <c r="M194" s="697" t="str">
        <f>IFERROR(__xludf.DUMMYFUNCTION("""COMPUTED_VALUE"""),"Yes")</f>
        <v>Yes</v>
      </c>
      <c r="N194" s="697" t="str">
        <f>IFERROR(__xludf.DUMMYFUNCTION("""COMPUTED_VALUE"""),"9 weeks")</f>
        <v>9 weeks</v>
      </c>
      <c r="O194" s="874">
        <f>IFERROR(__xludf.DUMMYFUNCTION("""COMPUTED_VALUE"""),0.8)</f>
        <v>0.8</v>
      </c>
      <c r="P194" s="697">
        <f>IFERROR(__xludf.DUMMYFUNCTION("""COMPUTED_VALUE"""),97.88)</f>
        <v>97.88</v>
      </c>
      <c r="Q194" s="697" t="str">
        <f>IFERROR(__xludf.DUMMYFUNCTION("""COMPUTED_VALUE"""),"PZQ has a high cure rate against S. haematobium and suggests an efficacy of PZQ against the immature stages.")</f>
        <v>PZQ has a high cure rate against S. haematobium and suggests an efficacy of PZQ against the immature stages.</v>
      </c>
      <c r="R194" s="697"/>
      <c r="S194" s="699" t="str">
        <f>IFERROR(__xludf.DUMMYFUNCTION("""COMPUTED_VALUE"""),"Tchuente, Louis-Albert Tchuem, et al. ""Efficacy of praziquantel against Schistosoma haematobium infection in children."" The American journal of tropical medicine and hygiene 71.6 (2004): 778-782.")</f>
        <v>Tchuente, Louis-Albert Tchuem, et al. "Efficacy of praziquantel against Schistosoma haematobium infection in children." The American journal of tropical medicine and hygiene 71.6 (2004): 778-782.</v>
      </c>
      <c r="T194" s="697"/>
      <c r="U194" s="697" t="str">
        <f>IFERROR(__xludf.DUMMYFUNCTION("""COMPUTED_VALUE"""),"")</f>
        <v/>
      </c>
      <c r="V194" s="697">
        <f>IFERROR(__xludf.DUMMYFUNCTION("""COMPUTED_VALUE"""),194.0)</f>
        <v>194</v>
      </c>
    </row>
    <row r="195">
      <c r="A195" s="697" t="str">
        <f>IFERROR(__xludf.DUMMYFUNCTION("""COMPUTED_VALUE"""),"Charles K, 2002")</f>
        <v>Charles K, 2002</v>
      </c>
      <c r="B195" s="697" t="str">
        <f>IFERROR(__xludf.DUMMYFUNCTION("""COMPUTED_VALUE"""),"s. haematobium")</f>
        <v>s. haematobium</v>
      </c>
      <c r="C195" s="697" t="str">
        <f>IFERROR(__xludf.DUMMYFUNCTION("""COMPUTED_VALUE"""),"Kenya")</f>
        <v>Kenya</v>
      </c>
      <c r="D195" s="697" t="str">
        <f>IFERROR(__xludf.DUMMYFUNCTION("""COMPUTED_VALUE"""),"Praziquantel")</f>
        <v>Praziquantel</v>
      </c>
      <c r="E195" s="697" t="str">
        <f>IFERROR(__xludf.DUMMYFUNCTION("""COMPUTED_VALUE"""),"Single")</f>
        <v>Single</v>
      </c>
      <c r="F195" s="697" t="str">
        <f>IFERROR(__xludf.DUMMYFUNCTION("""COMPUTED_VALUE"""),"20 mg/kg")</f>
        <v>20 mg/kg</v>
      </c>
      <c r="G195" s="697">
        <f>IFERROR(__xludf.DUMMYFUNCTION("""COMPUTED_VALUE"""),146.0)</f>
        <v>146</v>
      </c>
      <c r="H195" s="697" t="str">
        <f>IFERROR(__xludf.DUMMYFUNCTION("""COMPUTED_VALUE"""),"4 - 23")</f>
        <v>4 - 23</v>
      </c>
      <c r="I195" s="705" t="str">
        <f>IFERROR(__xludf.DUMMYFUNCTION("""COMPUTED_VALUE"""),"57:43")</f>
        <v>57:43</v>
      </c>
      <c r="J195" s="697">
        <f>IFERROR(__xludf.DUMMYFUNCTION("""COMPUTED_VALUE"""),2002.0)</f>
        <v>2002</v>
      </c>
      <c r="K195" s="697" t="str">
        <f>IFERROR(__xludf.DUMMYFUNCTION("""COMPUTED_VALUE"""),"Individuals aged 4-23 infected with S. haematobium,")</f>
        <v>Individuals aged 4-23 infected with S. haematobium,</v>
      </c>
      <c r="L195" s="697" t="str">
        <f>IFERROR(__xludf.DUMMYFUNCTION("""COMPUTED_VALUE"""),"Yes")</f>
        <v>Yes</v>
      </c>
      <c r="M195" s="697" t="str">
        <f>IFERROR(__xludf.DUMMYFUNCTION("""COMPUTED_VALUE"""),"Yes")</f>
        <v>Yes</v>
      </c>
      <c r="N195" s="697" t="str">
        <f>IFERROR(__xludf.DUMMYFUNCTION("""COMPUTED_VALUE"""),"6 weeks ")</f>
        <v>6 weeks </v>
      </c>
      <c r="O195" s="872">
        <f>IFERROR(__xludf.DUMMYFUNCTION("""COMPUTED_VALUE"""),0.5)</f>
        <v>0.5</v>
      </c>
      <c r="P195" s="706">
        <f>IFERROR(__xludf.DUMMYFUNCTION("""COMPUTED_VALUE"""),0.95)</f>
        <v>0.95</v>
      </c>
      <c r="Q195" s="697" t="str">
        <f>IFERROR(__xludf.DUMMYFUNCTION("""COMPUTED_VALUE"""),"We conclude that in certain settings, a 20 mg/kg dose of praziquantel may be sufficient in providing practical control of renal and bladder morbidity due to S. haematobium infection. Reductions in drug expense achieved through reduced")</f>
        <v>We conclude that in certain settings, a 20 mg/kg dose of praziquantel may be sufficient in providing practical control of renal and bladder morbidity due to S. haematobium infection. Reductions in drug expense achieved through reduced</v>
      </c>
      <c r="R195" s="697"/>
      <c r="S195" s="699" t="str">
        <f>IFERROR(__xludf.DUMMYFUNCTION("""COMPUTED_VALUE"""),"King, Charles H., et al. ""Randomized comparison of low-dose versus standard-dose praziquantel therapy in treatment of urinary tract morbidity due to Schistosoma haema tobium infection."" The American journal of tropical medicine and hygiene 66.6 (2002): "&amp;"725-730.")</f>
        <v>King, Charles H., et al. "Randomized comparison of low-dose versus standard-dose praziquantel therapy in treatment of urinary tract morbidity due to Schistosoma haema tobium infection." The American journal of tropical medicine and hygiene 66.6 (2002): 725-730.</v>
      </c>
      <c r="T195" s="697"/>
      <c r="U195" s="697" t="str">
        <f>IFERROR(__xludf.DUMMYFUNCTION("""COMPUTED_VALUE"""),"")</f>
        <v/>
      </c>
      <c r="V195" s="697">
        <f>IFERROR(__xludf.DUMMYFUNCTION("""COMPUTED_VALUE"""),195.0)</f>
        <v>195</v>
      </c>
    </row>
    <row r="196">
      <c r="A196" s="697" t="str">
        <f>IFERROR(__xludf.DUMMYFUNCTION("""COMPUTED_VALUE"""),"Charles K, 2002")</f>
        <v>Charles K, 2002</v>
      </c>
      <c r="B196" s="697" t="str">
        <f>IFERROR(__xludf.DUMMYFUNCTION("""COMPUTED_VALUE"""),"s. haematobium")</f>
        <v>s. haematobium</v>
      </c>
      <c r="C196" s="697" t="str">
        <f>IFERROR(__xludf.DUMMYFUNCTION("""COMPUTED_VALUE"""),"Kenya")</f>
        <v>Kenya</v>
      </c>
      <c r="D196" s="697" t="str">
        <f>IFERROR(__xludf.DUMMYFUNCTION("""COMPUTED_VALUE"""),"Praziquantel")</f>
        <v>Praziquantel</v>
      </c>
      <c r="E196" s="697" t="str">
        <f>IFERROR(__xludf.DUMMYFUNCTION("""COMPUTED_VALUE"""),"Single")</f>
        <v>Single</v>
      </c>
      <c r="F196" s="697" t="str">
        <f>IFERROR(__xludf.DUMMYFUNCTION("""COMPUTED_VALUE"""),"40 mg/kg")</f>
        <v>40 mg/kg</v>
      </c>
      <c r="G196" s="697">
        <f>IFERROR(__xludf.DUMMYFUNCTION("""COMPUTED_VALUE"""),145.0)</f>
        <v>145</v>
      </c>
      <c r="H196" s="697" t="str">
        <f>IFERROR(__xludf.DUMMYFUNCTION("""COMPUTED_VALUE"""),"4 - 23")</f>
        <v>4 - 23</v>
      </c>
      <c r="I196" s="705" t="str">
        <f>IFERROR(__xludf.DUMMYFUNCTION("""COMPUTED_VALUE"""),"57:43")</f>
        <v>57:43</v>
      </c>
      <c r="J196" s="697">
        <f>IFERROR(__xludf.DUMMYFUNCTION("""COMPUTED_VALUE"""),2002.0)</f>
        <v>2002</v>
      </c>
      <c r="K196" s="697" t="str">
        <f>IFERROR(__xludf.DUMMYFUNCTION("""COMPUTED_VALUE"""),"Individuals aged 4-23 infected with S. haematobium,")</f>
        <v>Individuals aged 4-23 infected with S. haematobium,</v>
      </c>
      <c r="L196" s="697" t="str">
        <f>IFERROR(__xludf.DUMMYFUNCTION("""COMPUTED_VALUE"""),"Yes")</f>
        <v>Yes</v>
      </c>
      <c r="M196" s="697" t="str">
        <f>IFERROR(__xludf.DUMMYFUNCTION("""COMPUTED_VALUE"""),"Yes")</f>
        <v>Yes</v>
      </c>
      <c r="N196" s="697" t="str">
        <f>IFERROR(__xludf.DUMMYFUNCTION("""COMPUTED_VALUE"""),"6 weeks ")</f>
        <v>6 weeks </v>
      </c>
      <c r="O196" s="872">
        <f>IFERROR(__xludf.DUMMYFUNCTION("""COMPUTED_VALUE"""),0.7)</f>
        <v>0.7</v>
      </c>
      <c r="P196" s="706">
        <f>IFERROR(__xludf.DUMMYFUNCTION("""COMPUTED_VALUE"""),0.98)</f>
        <v>0.98</v>
      </c>
      <c r="Q196" s="697" t="str">
        <f>IFERROR(__xludf.DUMMYFUNCTION("""COMPUTED_VALUE"""),"We conclude that in certain settings, a 20 mg/kg dose of praziquantel may be sufficient in providing practical control of renal and bladder morbidity due to S. haematobium infection. Reductions in drug expense achieved through reduced")</f>
        <v>We conclude that in certain settings, a 20 mg/kg dose of praziquantel may be sufficient in providing practical control of renal and bladder morbidity due to S. haematobium infection. Reductions in drug expense achieved through reduced</v>
      </c>
      <c r="R196" s="697"/>
      <c r="S196" s="699" t="str">
        <f>IFERROR(__xludf.DUMMYFUNCTION("""COMPUTED_VALUE"""),"King, Charles H., et al. ""Randomized comparison of low-dose versus standard-dose praziquantel therapy in treatment of urinary tract morbidity due to Schistosoma haema tobium infection."" The American journal of tropical medicine and hygiene 66.6 (2002): "&amp;"725-730.")</f>
        <v>King, Charles H., et al. "Randomized comparison of low-dose versus standard-dose praziquantel therapy in treatment of urinary tract morbidity due to Schistosoma haema tobium infection." The American journal of tropical medicine and hygiene 66.6 (2002): 725-730.</v>
      </c>
      <c r="T196" s="697"/>
      <c r="U196" s="697" t="str">
        <f>IFERROR(__xludf.DUMMYFUNCTION("""COMPUTED_VALUE"""),"")</f>
        <v/>
      </c>
      <c r="V196" s="697">
        <f>IFERROR(__xludf.DUMMYFUNCTION("""COMPUTED_VALUE"""),196.0)</f>
        <v>196</v>
      </c>
    </row>
    <row r="197">
      <c r="A197" s="697" t="str">
        <f>IFERROR(__xludf.DUMMYFUNCTION("""COMPUTED_VALUE"""),"Garba A, 2012")</f>
        <v>Garba A, 2012</v>
      </c>
      <c r="B197" s="697" t="str">
        <f>IFERROR(__xludf.DUMMYFUNCTION("""COMPUTED_VALUE"""),"s. haematobium")</f>
        <v>s. haematobium</v>
      </c>
      <c r="C197" s="697" t="str">
        <f>IFERROR(__xludf.DUMMYFUNCTION("""COMPUTED_VALUE"""),"Niger")</f>
        <v>Niger</v>
      </c>
      <c r="D197" s="697" t="str">
        <f>IFERROR(__xludf.DUMMYFUNCTION("""COMPUTED_VALUE"""),"Praziquantel")</f>
        <v>Praziquantel</v>
      </c>
      <c r="E197" s="697" t="str">
        <f>IFERROR(__xludf.DUMMYFUNCTION("""COMPUTED_VALUE"""),"Single")</f>
        <v>Single</v>
      </c>
      <c r="F197" s="697" t="str">
        <f>IFERROR(__xludf.DUMMYFUNCTION("""COMPUTED_VALUE"""),"40 mg/kg")</f>
        <v>40 mg/kg</v>
      </c>
      <c r="G197" s="697">
        <f>IFERROR(__xludf.DUMMYFUNCTION("""COMPUTED_VALUE"""),243.0)</f>
        <v>243</v>
      </c>
      <c r="H197" s="697" t="str">
        <f>IFERROR(__xludf.DUMMYFUNCTION("""COMPUTED_VALUE"""),"&lt;5")</f>
        <v>&lt;5</v>
      </c>
      <c r="I197" s="705" t="str">
        <f>IFERROR(__xludf.DUMMYFUNCTION("""COMPUTED_VALUE"""),"138 : 105")</f>
        <v>138 : 105</v>
      </c>
      <c r="J197" s="697">
        <f>IFERROR(__xludf.DUMMYFUNCTION("""COMPUTED_VALUE"""),2012.0)</f>
        <v>2012</v>
      </c>
      <c r="K197" s="697" t="str">
        <f>IFERROR(__xludf.DUMMYFUNCTION("""COMPUTED_VALUE"""),"school children infected with s. haematobium")</f>
        <v>school children infected with s. haematobium</v>
      </c>
      <c r="L197" s="697" t="str">
        <f>IFERROR(__xludf.DUMMYFUNCTION("""COMPUTED_VALUE"""),"Yes")</f>
        <v>Yes</v>
      </c>
      <c r="M197" s="697" t="str">
        <f>IFERROR(__xludf.DUMMYFUNCTION("""COMPUTED_VALUE"""),"Yes")</f>
        <v>Yes</v>
      </c>
      <c r="N197" s="697" t="str">
        <f>IFERROR(__xludf.DUMMYFUNCTION("""COMPUTED_VALUE"""),"3, 6 weeks")</f>
        <v>3, 6 weeks</v>
      </c>
      <c r="O197" s="873">
        <f>IFERROR(__xludf.DUMMYFUNCTION("""COMPUTED_VALUE"""),0.949)</f>
        <v>0.949</v>
      </c>
      <c r="P197" s="698">
        <f>IFERROR(__xludf.DUMMYFUNCTION("""COMPUTED_VALUE"""),0.714)</f>
        <v>0.714</v>
      </c>
      <c r="Q197" s="697" t="str">
        <f>IFERROR(__xludf.DUMMYFUNCTION("""COMPUTED_VALUE"""),"In conclusion, treatment of children aged ≤72 months with praziquantel syrup is operationally feasible. Although adverse events occurred in about one-third of the children, these were mild and transient. Epiquantel® resulted in moderate-to-high efficacy a"&amp;"gainst S. haematobium, but considerably lower CR and ERR were found against S. mansoni, particularly at the 6-week post-treatment follow-up. The latter observation warrants further follow-up investigations. Moreover, financial implications of using a syru"&amp;"p formulation rather than tablets should be studied, alongside an individual diagnosis-treatment approach versus blanket treatment. In the interim, we suggest that, in areas where schistosomiasis remains highly endemic, preschool-aged children should be c"&amp;"onsidered for inclusion in preventive chemotherapy, using crushed praziquantel tablets or, where available, syrup formulation.")</f>
        <v>In conclusion, treatment of children aged ≤72 months with praziquantel syrup is operationally feasible. Although adverse events occurred in about one-third of the children, these were mild and transient. Epiquantel® resulted in moderate-to-high efficacy against S. haematobium, but considerably lower CR and ERR were found against S. mansoni, particularly at the 6-week post-treatment follow-up. The latter observation warrants further follow-up investigations. Moreover, financial implications of using a syrup formulation rather than tablets should be studied, alongside an individual diagnosis-treatment approach versus blanket treatment. In the interim, we suggest that, in areas where schistosomiasis remains highly endemic, preschool-aged children should be considered for inclusion in preventive chemotherapy, using crushed praziquantel tablets or, where available, syrup formulation.</v>
      </c>
      <c r="R197" s="697"/>
      <c r="S197" s="699" t="str">
        <f>IFERROR(__xludf.DUMMYFUNCTION("""COMPUTED_VALUE"""),"Garba, Amadou, et al. ""Safety and efficacy of praziquantel syrup (Epiquantel®) against Schistosoma haematobium and Schistosoma mansoni in preschool-aged children in Niger."" Acta tropica 128.2 (2013): 318-325.")</f>
        <v>Garba, Amadou, et al. "Safety and efficacy of praziquantel syrup (Epiquantel®) against Schistosoma haematobium and Schistosoma mansoni in preschool-aged children in Niger." Acta tropica 128.2 (2013): 318-325.</v>
      </c>
      <c r="T197" s="697"/>
      <c r="U197" s="697" t="str">
        <f>IFERROR(__xludf.DUMMYFUNCTION("""COMPUTED_VALUE"""),"")</f>
        <v/>
      </c>
      <c r="V197" s="697">
        <f>IFERROR(__xludf.DUMMYFUNCTION("""COMPUTED_VALUE"""),197.0)</f>
        <v>197</v>
      </c>
    </row>
    <row r="198">
      <c r="A198" s="697" t="str">
        <f>IFERROR(__xludf.DUMMYFUNCTION("""COMPUTED_VALUE"""),"Keiser J, 2010")</f>
        <v>Keiser J, 2010</v>
      </c>
      <c r="B198" s="697" t="str">
        <f>IFERROR(__xludf.DUMMYFUNCTION("""COMPUTED_VALUE"""),"s. haematobium")</f>
        <v>s. haematobium</v>
      </c>
      <c r="C198" s="697" t="str">
        <f>IFERROR(__xludf.DUMMYFUNCTION("""COMPUTED_VALUE"""),"Cote d'Ivoire")</f>
        <v>Cote d'Ivoire</v>
      </c>
      <c r="D198" s="697" t="str">
        <f>IFERROR(__xludf.DUMMYFUNCTION("""COMPUTED_VALUE"""),"Praziquantel")</f>
        <v>Praziquantel</v>
      </c>
      <c r="E198" s="697" t="str">
        <f>IFERROR(__xludf.DUMMYFUNCTION("""COMPUTED_VALUE"""),"Single")</f>
        <v>Single</v>
      </c>
      <c r="F198" s="697" t="str">
        <f>IFERROR(__xludf.DUMMYFUNCTION("""COMPUTED_VALUE"""),"40 mg/kg")</f>
        <v>40 mg/kg</v>
      </c>
      <c r="G198" s="697">
        <f>IFERROR(__xludf.DUMMYFUNCTION("""COMPUTED_VALUE"""),26.0)</f>
        <v>26</v>
      </c>
      <c r="H198" s="697" t="str">
        <f>IFERROR(__xludf.DUMMYFUNCTION("""COMPUTED_VALUE"""),"8 - 16")</f>
        <v>8 - 16</v>
      </c>
      <c r="I198" s="705" t="str">
        <f>IFERROR(__xludf.DUMMYFUNCTION("""COMPUTED_VALUE"""),"14 : 12")</f>
        <v>14 : 12</v>
      </c>
      <c r="J198" s="697">
        <f>IFERROR(__xludf.DUMMYFUNCTION("""COMPUTED_VALUE"""),2008.0)</f>
        <v>2008</v>
      </c>
      <c r="K198" s="697" t="str">
        <f>IFERROR(__xludf.DUMMYFUNCTION("""COMPUTED_VALUE"""),"S. haematobium–infected schoolchildren were included in the study")</f>
        <v>S. haematobium–infected schoolchildren were included in the study</v>
      </c>
      <c r="L198" s="697" t="str">
        <f>IFERROR(__xludf.DUMMYFUNCTION("""COMPUTED_VALUE"""),"Yes")</f>
        <v>Yes</v>
      </c>
      <c r="M198" s="697" t="str">
        <f>IFERROR(__xludf.DUMMYFUNCTION("""COMPUTED_VALUE"""),"Yes")</f>
        <v>Yes</v>
      </c>
      <c r="N198" s="697" t="str">
        <f>IFERROR(__xludf.DUMMYFUNCTION("""COMPUTED_VALUE"""),"26 days")</f>
        <v>26 days</v>
      </c>
      <c r="O198" s="874">
        <f>IFERROR(__xludf.DUMMYFUNCTION("""COMPUTED_VALUE"""),0.88)</f>
        <v>0.88</v>
      </c>
      <c r="P198" s="706">
        <f>IFERROR(__xludf.DUMMYFUNCTION("""COMPUTED_VALUE"""),0.97)</f>
        <v>0.97</v>
      </c>
      <c r="Q198" s="697" t="str">
        <f>IFERROR(__xludf.DUMMYFUNCTION("""COMPUTED_VALUE"""),"The high efficacy of mefloquine-artesunate against S. haematobium warrants further investigation. Individuals coinfected with Plasmodium and Schistosoma who were treated with a mefloquin artesunate combination against malaria might have a dual benefit: cl"&amp;"earance of malaria parasitemia and reduction of schistosomias is related morbidity.")</f>
        <v>The high efficacy of mefloquine-artesunate against S. haematobium warrants further investigation. Individuals coinfected with Plasmodium and Schistosoma who were treated with a mefloquin artesunate combination against malaria might have a dual benefit: clearance of malaria parasitemia and reduction of schistosomias is related morbidity.</v>
      </c>
      <c r="R198" s="697"/>
      <c r="S198" s="699" t="str">
        <f>IFERROR(__xludf.DUMMYFUNCTION("""COMPUTED_VALUE"""),"Keiser, Jennifer, et al. ""Efficacy and safety of mefloquine, artesunate, mefloquine-artesunate, and praziquantel against Schistosoma haematobium: randomized, exploratory open-label trial."" Clinical infectious diseases 50.9 (2010): 1205-1213.")</f>
        <v>Keiser, Jennifer, et al. "Efficacy and safety of mefloquine, artesunate, mefloquine-artesunate, and praziquantel against Schistosoma haematobium: randomized, exploratory open-label trial." Clinical infectious diseases 50.9 (2010): 1205-1213.</v>
      </c>
      <c r="T198" s="697"/>
      <c r="U198" s="697" t="str">
        <f>IFERROR(__xludf.DUMMYFUNCTION("""COMPUTED_VALUE"""),"")</f>
        <v/>
      </c>
      <c r="V198" s="697">
        <f>IFERROR(__xludf.DUMMYFUNCTION("""COMPUTED_VALUE"""),198.0)</f>
        <v>198</v>
      </c>
    </row>
    <row r="199">
      <c r="A199" s="697" t="str">
        <f>IFERROR(__xludf.DUMMYFUNCTION("""COMPUTED_VALUE"""),"Keiser J, 2010")</f>
        <v>Keiser J, 2010</v>
      </c>
      <c r="B199" s="697" t="str">
        <f>IFERROR(__xludf.DUMMYFUNCTION("""COMPUTED_VALUE"""),"s. haematobium")</f>
        <v>s. haematobium</v>
      </c>
      <c r="C199" s="697" t="str">
        <f>IFERROR(__xludf.DUMMYFUNCTION("""COMPUTED_VALUE"""),"Cote d'Ivoire")</f>
        <v>Cote d'Ivoire</v>
      </c>
      <c r="D199" s="697" t="str">
        <f>IFERROR(__xludf.DUMMYFUNCTION("""COMPUTED_VALUE"""),"Artesunate")</f>
        <v>Artesunate</v>
      </c>
      <c r="E199" s="697" t="str">
        <f>IFERROR(__xludf.DUMMYFUNCTION("""COMPUTED_VALUE"""),"Three")</f>
        <v>Three</v>
      </c>
      <c r="F199" s="697" t="str">
        <f>IFERROR(__xludf.DUMMYFUNCTION("""COMPUTED_VALUE"""),"4 mg/kg")</f>
        <v>4 mg/kg</v>
      </c>
      <c r="G199" s="697">
        <f>IFERROR(__xludf.DUMMYFUNCTION("""COMPUTED_VALUE"""),20.0)</f>
        <v>20</v>
      </c>
      <c r="H199" s="697" t="str">
        <f>IFERROR(__xludf.DUMMYFUNCTION("""COMPUTED_VALUE"""),"8 - 16")</f>
        <v>8 - 16</v>
      </c>
      <c r="I199" s="705" t="str">
        <f>IFERROR(__xludf.DUMMYFUNCTION("""COMPUTED_VALUE"""),"9 : 11")</f>
        <v>9 : 11</v>
      </c>
      <c r="J199" s="697">
        <f>IFERROR(__xludf.DUMMYFUNCTION("""COMPUTED_VALUE"""),2008.0)</f>
        <v>2008</v>
      </c>
      <c r="K199" s="697" t="str">
        <f>IFERROR(__xludf.DUMMYFUNCTION("""COMPUTED_VALUE"""),"S. haematobium–infected schoolchildren were included in the study")</f>
        <v>S. haematobium–infected schoolchildren were included in the study</v>
      </c>
      <c r="L199" s="697" t="str">
        <f>IFERROR(__xludf.DUMMYFUNCTION("""COMPUTED_VALUE"""),"Yes")</f>
        <v>Yes</v>
      </c>
      <c r="M199" s="697" t="str">
        <f>IFERROR(__xludf.DUMMYFUNCTION("""COMPUTED_VALUE"""),"Yes")</f>
        <v>Yes</v>
      </c>
      <c r="N199" s="697" t="str">
        <f>IFERROR(__xludf.DUMMYFUNCTION("""COMPUTED_VALUE"""),"26 days")</f>
        <v>26 days</v>
      </c>
      <c r="O199" s="874">
        <f>IFERROR(__xludf.DUMMYFUNCTION("""COMPUTED_VALUE"""),0.25)</f>
        <v>0.25</v>
      </c>
      <c r="P199" s="706">
        <f>IFERROR(__xludf.DUMMYFUNCTION("""COMPUTED_VALUE"""),0.85)</f>
        <v>0.85</v>
      </c>
      <c r="Q199" s="697" t="str">
        <f>IFERROR(__xludf.DUMMYFUNCTION("""COMPUTED_VALUE"""),"The high efficacy of mefloquine-artesunate against S. haematobium warrants further investigation. Individuals coinfected with Plasmodium and Schistosoma who were treated with a mefloquin artesunate combination against malaria might have a dual benefit: cl"&amp;"earance of malaria parasitemia and reduction of schistosomias is related morbidity.")</f>
        <v>The high efficacy of mefloquine-artesunate against S. haematobium warrants further investigation. Individuals coinfected with Plasmodium and Schistosoma who were treated with a mefloquin artesunate combination against malaria might have a dual benefit: clearance of malaria parasitemia and reduction of schistosomias is related morbidity.</v>
      </c>
      <c r="R199" s="697"/>
      <c r="S199" s="699" t="str">
        <f>IFERROR(__xludf.DUMMYFUNCTION("""COMPUTED_VALUE"""),"Keiser, Jennifer, et al. ""Efficacy and safety of mefloquine, artesunate, mefloquine-artesunate, and praziquantel against Schistosoma haematobium: randomized, exploratory open-label trial."" Clinical infectious diseases 50.9 (2010): 1205-1213.")</f>
        <v>Keiser, Jennifer, et al. "Efficacy and safety of mefloquine, artesunate, mefloquine-artesunate, and praziquantel against Schistosoma haematobium: randomized, exploratory open-label trial." Clinical infectious diseases 50.9 (2010): 1205-1213.</v>
      </c>
      <c r="T199" s="697"/>
      <c r="U199" s="697" t="str">
        <f>IFERROR(__xludf.DUMMYFUNCTION("""COMPUTED_VALUE"""),"")</f>
        <v/>
      </c>
      <c r="V199" s="697">
        <f>IFERROR(__xludf.DUMMYFUNCTION("""COMPUTED_VALUE"""),199.0)</f>
        <v>199</v>
      </c>
    </row>
    <row r="200">
      <c r="A200" s="697" t="str">
        <f>IFERROR(__xludf.DUMMYFUNCTION("""COMPUTED_VALUE"""),"Keiser J, 2010")</f>
        <v>Keiser J, 2010</v>
      </c>
      <c r="B200" s="697" t="str">
        <f>IFERROR(__xludf.DUMMYFUNCTION("""COMPUTED_VALUE"""),"s. haematobium")</f>
        <v>s. haematobium</v>
      </c>
      <c r="C200" s="697" t="str">
        <f>IFERROR(__xludf.DUMMYFUNCTION("""COMPUTED_VALUE"""),"Cote d'Ivoire")</f>
        <v>Cote d'Ivoire</v>
      </c>
      <c r="D200" s="697" t="str">
        <f>IFERROR(__xludf.DUMMYFUNCTION("""COMPUTED_VALUE"""),"Mefloquine-Artesunate")</f>
        <v>Mefloquine-Artesunate</v>
      </c>
      <c r="E200" s="697" t="str">
        <f>IFERROR(__xludf.DUMMYFUNCTION("""COMPUTED_VALUE"""),"Three")</f>
        <v>Three</v>
      </c>
      <c r="F200" s="697" t="str">
        <f>IFERROR(__xludf.DUMMYFUNCTION("""COMPUTED_VALUE"""),"100 mg artesunate plus 250 mg mefloquine")</f>
        <v>100 mg artesunate plus 250 mg mefloquine</v>
      </c>
      <c r="G200" s="697">
        <f>IFERROR(__xludf.DUMMYFUNCTION("""COMPUTED_VALUE"""),18.0)</f>
        <v>18</v>
      </c>
      <c r="H200" s="697" t="str">
        <f>IFERROR(__xludf.DUMMYFUNCTION("""COMPUTED_VALUE"""),"8 - 16")</f>
        <v>8 - 16</v>
      </c>
      <c r="I200" s="705" t="str">
        <f>IFERROR(__xludf.DUMMYFUNCTION("""COMPUTED_VALUE"""),"7 : 11")</f>
        <v>7 : 11</v>
      </c>
      <c r="J200" s="697">
        <f>IFERROR(__xludf.DUMMYFUNCTION("""COMPUTED_VALUE"""),2008.0)</f>
        <v>2008</v>
      </c>
      <c r="K200" s="697" t="str">
        <f>IFERROR(__xludf.DUMMYFUNCTION("""COMPUTED_VALUE"""),"S. haematobium–infected schoolchildren were included in the study")</f>
        <v>S. haematobium–infected schoolchildren were included in the study</v>
      </c>
      <c r="L200" s="697" t="str">
        <f>IFERROR(__xludf.DUMMYFUNCTION("""COMPUTED_VALUE"""),"Yes")</f>
        <v>Yes</v>
      </c>
      <c r="M200" s="697" t="str">
        <f>IFERROR(__xludf.DUMMYFUNCTION("""COMPUTED_VALUE"""),"Yes")</f>
        <v>Yes</v>
      </c>
      <c r="N200" s="697" t="str">
        <f>IFERROR(__xludf.DUMMYFUNCTION("""COMPUTED_VALUE"""),"26 days")</f>
        <v>26 days</v>
      </c>
      <c r="O200" s="874">
        <f>IFERROR(__xludf.DUMMYFUNCTION("""COMPUTED_VALUE"""),0.61)</f>
        <v>0.61</v>
      </c>
      <c r="P200" s="706">
        <f>IFERROR(__xludf.DUMMYFUNCTION("""COMPUTED_VALUE"""),0.96)</f>
        <v>0.96</v>
      </c>
      <c r="Q200" s="697" t="str">
        <f>IFERROR(__xludf.DUMMYFUNCTION("""COMPUTED_VALUE"""),"The high efficacy of mefloquine-artesunate against S. haematobium warrants further investigation. Individuals coinfected with Plasmodium and Schistosoma who were treated with a mefloquin artesunate combination against malaria might have a dual benefit: cl"&amp;"earance of malaria parasitemia and reduction of schistosomias is related morbidity.")</f>
        <v>The high efficacy of mefloquine-artesunate against S. haematobium warrants further investigation. Individuals coinfected with Plasmodium and Schistosoma who were treated with a mefloquin artesunate combination against malaria might have a dual benefit: clearance of malaria parasitemia and reduction of schistosomias is related morbidity.</v>
      </c>
      <c r="R200" s="697"/>
      <c r="S200" s="699" t="str">
        <f>IFERROR(__xludf.DUMMYFUNCTION("""COMPUTED_VALUE"""),"Keiser, Jennifer, et al. ""Efficacy and safety of mefloquine, artesunate, mefloquine-artesunate, and praziquantel against Schistosoma haematobium: randomized, exploratory open-label trial."" Clinical infectious diseases 50.9 (2010): 1205-1213.")</f>
        <v>Keiser, Jennifer, et al. "Efficacy and safety of mefloquine, artesunate, mefloquine-artesunate, and praziquantel against Schistosoma haematobium: randomized, exploratory open-label trial." Clinical infectious diseases 50.9 (2010): 1205-1213.</v>
      </c>
      <c r="T200" s="697"/>
      <c r="U200" s="697" t="str">
        <f>IFERROR(__xludf.DUMMYFUNCTION("""COMPUTED_VALUE"""),"")</f>
        <v/>
      </c>
      <c r="V200" s="697">
        <f>IFERROR(__xludf.DUMMYFUNCTION("""COMPUTED_VALUE"""),200.0)</f>
        <v>200</v>
      </c>
    </row>
    <row r="201">
      <c r="A201" s="697" t="str">
        <f>IFERROR(__xludf.DUMMYFUNCTION("""COMPUTED_VALUE"""),"Keiser J, 2010")</f>
        <v>Keiser J, 2010</v>
      </c>
      <c r="B201" s="697" t="str">
        <f>IFERROR(__xludf.DUMMYFUNCTION("""COMPUTED_VALUE"""),"s. haematobium")</f>
        <v>s. haematobium</v>
      </c>
      <c r="C201" s="697" t="str">
        <f>IFERROR(__xludf.DUMMYFUNCTION("""COMPUTED_VALUE"""),"Cote d'Ivoire")</f>
        <v>Cote d'Ivoire</v>
      </c>
      <c r="D201" s="697" t="str">
        <f>IFERROR(__xludf.DUMMYFUNCTION("""COMPUTED_VALUE"""),"Mefloquine")</f>
        <v>Mefloquine</v>
      </c>
      <c r="E201" s="697" t="str">
        <f>IFERROR(__xludf.DUMMYFUNCTION("""COMPUTED_VALUE"""),"Single")</f>
        <v>Single</v>
      </c>
      <c r="F201" s="697" t="str">
        <f>IFERROR(__xludf.DUMMYFUNCTION("""COMPUTED_VALUE"""),"25mg/kg")</f>
        <v>25mg/kg</v>
      </c>
      <c r="G201" s="697">
        <f>IFERROR(__xludf.DUMMYFUNCTION("""COMPUTED_VALUE"""),19.0)</f>
        <v>19</v>
      </c>
      <c r="H201" s="697" t="str">
        <f>IFERROR(__xludf.DUMMYFUNCTION("""COMPUTED_VALUE"""),"8 - 16")</f>
        <v>8 - 16</v>
      </c>
      <c r="I201" s="705" t="str">
        <f>IFERROR(__xludf.DUMMYFUNCTION("""COMPUTED_VALUE"""),"7:12")</f>
        <v>7:12</v>
      </c>
      <c r="J201" s="697">
        <f>IFERROR(__xludf.DUMMYFUNCTION("""COMPUTED_VALUE"""),2008.0)</f>
        <v>2008</v>
      </c>
      <c r="K201" s="697" t="str">
        <f>IFERROR(__xludf.DUMMYFUNCTION("""COMPUTED_VALUE"""),"S. haematobium–infected schoolchildren were included in the study")</f>
        <v>S. haematobium–infected schoolchildren were included in the study</v>
      </c>
      <c r="L201" s="697" t="str">
        <f>IFERROR(__xludf.DUMMYFUNCTION("""COMPUTED_VALUE"""),"Yes")</f>
        <v>Yes</v>
      </c>
      <c r="M201" s="697" t="str">
        <f>IFERROR(__xludf.DUMMYFUNCTION("""COMPUTED_VALUE"""),"Yes")</f>
        <v>Yes</v>
      </c>
      <c r="N201" s="697" t="str">
        <f>IFERROR(__xludf.DUMMYFUNCTION("""COMPUTED_VALUE"""),"26 days")</f>
        <v>26 days</v>
      </c>
      <c r="O201" s="874">
        <f>IFERROR(__xludf.DUMMYFUNCTION("""COMPUTED_VALUE"""),0.21)</f>
        <v>0.21</v>
      </c>
      <c r="P201" s="700">
        <f>IFERROR(__xludf.DUMMYFUNCTION("""COMPUTED_VALUE"""),0.74)</f>
        <v>0.74</v>
      </c>
      <c r="Q201" s="697" t="str">
        <f>IFERROR(__xludf.DUMMYFUNCTION("""COMPUTED_VALUE"""),"The high efficacy of mefloquine-artesunate against S. haematobium warrants further investigation. Individuals coinfected with Plasmodium and Schistosoma who were treated with a mefloquin artesunate combination against malaria might have a dual benefit: cl"&amp;"earance of malaria parasitemia and reduction of schistosomias is related morbidity.")</f>
        <v>The high efficacy of mefloquine-artesunate against S. haematobium warrants further investigation. Individuals coinfected with Plasmodium and Schistosoma who were treated with a mefloquin artesunate combination against malaria might have a dual benefit: clearance of malaria parasitemia and reduction of schistosomias is related morbidity.</v>
      </c>
      <c r="R201" s="697"/>
      <c r="S201" s="699" t="str">
        <f>IFERROR(__xludf.DUMMYFUNCTION("""COMPUTED_VALUE"""),"Keiser, Jennifer, et al. ""Efficacy and safety of mefloquine, artesunate, mefloquine-artesunate, and praziquantel against Schistosoma haematobium: randomized, exploratory open-label trial."" Clinical infectious diseases 50.9 (2010): 1205-1213.")</f>
        <v>Keiser, Jennifer, et al. "Efficacy and safety of mefloquine, artesunate, mefloquine-artesunate, and praziquantel against Schistosoma haematobium: randomized, exploratory open-label trial." Clinical infectious diseases 50.9 (2010): 1205-1213.</v>
      </c>
      <c r="T201" s="697"/>
      <c r="U201" s="697" t="str">
        <f>IFERROR(__xludf.DUMMYFUNCTION("""COMPUTED_VALUE"""),"")</f>
        <v/>
      </c>
      <c r="V201" s="697">
        <f>IFERROR(__xludf.DUMMYFUNCTION("""COMPUTED_VALUE"""),201.0)</f>
        <v>201</v>
      </c>
    </row>
    <row r="202">
      <c r="A202" s="697" t="str">
        <f>IFERROR(__xludf.DUMMYFUNCTION("""COMPUTED_VALUE"""),"Keiser J, 2014")</f>
        <v>Keiser J, 2014</v>
      </c>
      <c r="B202" s="697" t="str">
        <f>IFERROR(__xludf.DUMMYFUNCTION("""COMPUTED_VALUE"""),"s. haematobium")</f>
        <v>s. haematobium</v>
      </c>
      <c r="C202" s="697" t="str">
        <f>IFERROR(__xludf.DUMMYFUNCTION("""COMPUTED_VALUE"""),"Cote d'Ivoire")</f>
        <v>Cote d'Ivoire</v>
      </c>
      <c r="D202" s="697" t="str">
        <f>IFERROR(__xludf.DUMMYFUNCTION("""COMPUTED_VALUE"""),"Praziquantel")</f>
        <v>Praziquantel</v>
      </c>
      <c r="E202" s="697" t="str">
        <f>IFERROR(__xludf.DUMMYFUNCTION("""COMPUTED_VALUE"""),"Single")</f>
        <v>Single</v>
      </c>
      <c r="F202" s="697" t="str">
        <f>IFERROR(__xludf.DUMMYFUNCTION("""COMPUTED_VALUE"""),"40 mg/kg")</f>
        <v>40 mg/kg</v>
      </c>
      <c r="G202" s="697">
        <f>IFERROR(__xludf.DUMMYFUNCTION("""COMPUTED_VALUE"""),21.0)</f>
        <v>21</v>
      </c>
      <c r="H202" s="697">
        <f>IFERROR(__xludf.DUMMYFUNCTION("""COMPUTED_VALUE"""),10.9)</f>
        <v>10.9</v>
      </c>
      <c r="I202" s="705" t="str">
        <f>IFERROR(__xludf.DUMMYFUNCTION("""COMPUTED_VALUE"""),"16 : 5")</f>
        <v>16 : 5</v>
      </c>
      <c r="J202" s="697">
        <f>IFERROR(__xludf.DUMMYFUNCTION("""COMPUTED_VALUE"""),2008.0)</f>
        <v>2008</v>
      </c>
      <c r="K202" s="697" t="str">
        <f>IFERROR(__xludf.DUMMYFUNCTION("""COMPUTED_VALUE"""),"S. haematobium–infected schoolchildren were included in the study")</f>
        <v>S. haematobium–infected schoolchildren were included in the study</v>
      </c>
      <c r="L202" s="697" t="str">
        <f>IFERROR(__xludf.DUMMYFUNCTION("""COMPUTED_VALUE"""),"No")</f>
        <v>No</v>
      </c>
      <c r="M202" s="697" t="str">
        <f>IFERROR(__xludf.DUMMYFUNCTION("""COMPUTED_VALUE"""),"Yes")</f>
        <v>Yes</v>
      </c>
      <c r="N202" s="697" t="str">
        <f>IFERROR(__xludf.DUMMYFUNCTION("""COMPUTED_VALUE"""),"3, 11 weeks")</f>
        <v>3, 11 weeks</v>
      </c>
      <c r="O202" s="874">
        <f>IFERROR(__xludf.DUMMYFUNCTION("""COMPUTED_VALUE"""),0.33)</f>
        <v>0.33</v>
      </c>
      <c r="P202" s="706">
        <f>IFERROR(__xludf.DUMMYFUNCTION("""COMPUTED_VALUE"""),0.9)</f>
        <v>0.9</v>
      </c>
      <c r="Q202" s="697" t="str">
        <f>IFERROR(__xludf.DUMMYFUNCTION("""COMPUTED_VALUE"""),"In conclusion, our results suggest that a drug combination containing mefloquine-artesunate or mefloquine has no benefit over standard praziquantel against chronic S. haematobium infection regarding efficacy (cure and egg reduction rate) and safety (frequ"&amp;"ency and severity of adverse events). Further studies are required to elucidate the effect of these combinations on acute schistosomiasis. There is a pressing need to develop additional antischistosomal drugs, as long as praziquantel remains efficacious a"&amp;"gainst different Schistosoma species parasitizing man.")</f>
        <v>In conclusion, our results suggest that a drug combination containing mefloquine-artesunate or mefloquine has no benefit over standard praziquantel against chronic S. haematobium infection regarding efficacy (cure and egg reduction rate) and safety (frequency and severity of adverse events). Further studies are required to elucidate the effect of these combinations on acute schistosomiasis. There is a pressing need to develop additional antischistosomal drugs, as long as praziquantel remains efficacious against different Schistosoma species parasitizing man.</v>
      </c>
      <c r="R202" s="697"/>
      <c r="S202" s="699" t="str">
        <f>IFERROR(__xludf.DUMMYFUNCTION("""COMPUTED_VALUE"""),"Keiser, Jennifer, et al. ""Praziquantel, mefloquine-praziquantel, and mefloquine-artesunate-praziquantel against Schistosoma haematobium: a randomized, exploratory, open-label trial."" PLoS Negl Trop Dis 8.7 (2014): e2975.")</f>
        <v>Keiser, Jennifer, et al. "Praziquantel, mefloquine-praziquantel, and mefloquine-artesunate-praziquantel against Schistosoma haematobium: a randomized, exploratory, open-label trial." PLoS Negl Trop Dis 8.7 (2014): e2975.</v>
      </c>
      <c r="T202" s="697"/>
      <c r="U202" s="697" t="str">
        <f>IFERROR(__xludf.DUMMYFUNCTION("""COMPUTED_VALUE"""),"")</f>
        <v/>
      </c>
      <c r="V202" s="697">
        <f>IFERROR(__xludf.DUMMYFUNCTION("""COMPUTED_VALUE"""),202.0)</f>
        <v>202</v>
      </c>
    </row>
    <row r="203">
      <c r="A203" s="697" t="str">
        <f>IFERROR(__xludf.DUMMYFUNCTION("""COMPUTED_VALUE"""),"Keiser J, 2014")</f>
        <v>Keiser J, 2014</v>
      </c>
      <c r="B203" s="697" t="str">
        <f>IFERROR(__xludf.DUMMYFUNCTION("""COMPUTED_VALUE"""),"s. haematobium")</f>
        <v>s. haematobium</v>
      </c>
      <c r="C203" s="697" t="str">
        <f>IFERROR(__xludf.DUMMYFUNCTION("""COMPUTED_VALUE"""),"Cote d'Ivoire")</f>
        <v>Cote d'Ivoire</v>
      </c>
      <c r="D203" s="697" t="str">
        <f>IFERROR(__xludf.DUMMYFUNCTION("""COMPUTED_VALUE"""),"Mefloquine-Artesunate")</f>
        <v>Mefloquine-Artesunate</v>
      </c>
      <c r="E203" s="697" t="str">
        <f>IFERROR(__xludf.DUMMYFUNCTION("""COMPUTED_VALUE"""),"Single")</f>
        <v>Single</v>
      </c>
      <c r="F203" s="697" t="str">
        <f>IFERROR(__xludf.DUMMYFUNCTION("""COMPUTED_VALUE"""),"25 mg/kg; 40 mg/kg")</f>
        <v>25 mg/kg; 40 mg/kg</v>
      </c>
      <c r="G203" s="697">
        <f>IFERROR(__xludf.DUMMYFUNCTION("""COMPUTED_VALUE"""),19.0)</f>
        <v>19</v>
      </c>
      <c r="H203" s="697">
        <f>IFERROR(__xludf.DUMMYFUNCTION("""COMPUTED_VALUE"""),10.7)</f>
        <v>10.7</v>
      </c>
      <c r="I203" s="705" t="str">
        <f>IFERROR(__xludf.DUMMYFUNCTION("""COMPUTED_VALUE"""),"16 : 3")</f>
        <v>16 : 3</v>
      </c>
      <c r="J203" s="697">
        <f>IFERROR(__xludf.DUMMYFUNCTION("""COMPUTED_VALUE"""),2008.0)</f>
        <v>2008</v>
      </c>
      <c r="K203" s="697" t="str">
        <f>IFERROR(__xludf.DUMMYFUNCTION("""COMPUTED_VALUE"""),"S. haematobium–infected schoolchildren were included in the study")</f>
        <v>S. haematobium–infected schoolchildren were included in the study</v>
      </c>
      <c r="L203" s="697" t="str">
        <f>IFERROR(__xludf.DUMMYFUNCTION("""COMPUTED_VALUE"""),"No")</f>
        <v>No</v>
      </c>
      <c r="M203" s="697" t="str">
        <f>IFERROR(__xludf.DUMMYFUNCTION("""COMPUTED_VALUE"""),"Yes")</f>
        <v>Yes</v>
      </c>
      <c r="N203" s="697" t="str">
        <f>IFERROR(__xludf.DUMMYFUNCTION("""COMPUTED_VALUE"""),"3, 11 weeks")</f>
        <v>3, 11 weeks</v>
      </c>
      <c r="O203" s="874">
        <f>IFERROR(__xludf.DUMMYFUNCTION("""COMPUTED_VALUE"""),0.26)</f>
        <v>0.26</v>
      </c>
      <c r="P203" s="706">
        <f>IFERROR(__xludf.DUMMYFUNCTION("""COMPUTED_VALUE"""),0.96)</f>
        <v>0.96</v>
      </c>
      <c r="Q203" s="697" t="str">
        <f>IFERROR(__xludf.DUMMYFUNCTION("""COMPUTED_VALUE"""),"In conclusion, our results suggest that a drug combination containing mefloquine-artesunate or mefloquine has no benefit over standard praziquantel against chronic S. haematobium infection regarding efficacy (cure and egg reduction rate) and safety (frequ"&amp;"ency and severity of adverse events). Further studies are required to elucidate the effect of these combinations on acute schistosomiasis. There is a pressing need to develop additional antischistosomal drugs, as long as praziquantel remains efficacious a"&amp;"gainst different Schistosoma species parasitizing man.")</f>
        <v>In conclusion, our results suggest that a drug combination containing mefloquine-artesunate or mefloquine has no benefit over standard praziquantel against chronic S. haematobium infection regarding efficacy (cure and egg reduction rate) and safety (frequency and severity of adverse events). Further studies are required to elucidate the effect of these combinations on acute schistosomiasis. There is a pressing need to develop additional antischistosomal drugs, as long as praziquantel remains efficacious against different Schistosoma species parasitizing man.</v>
      </c>
      <c r="R203" s="697"/>
      <c r="S203" s="699" t="str">
        <f>IFERROR(__xludf.DUMMYFUNCTION("""COMPUTED_VALUE"""),"Keiser, Jennifer, et al. ""Praziquantel, mefloquine-praziquantel, and mefloquine-artesunate-praziquantel against Schistosoma haematobium: a randomized, exploratory, open-label trial."" PLoS Negl Trop Dis 8.7 (2014): e2975.")</f>
        <v>Keiser, Jennifer, et al. "Praziquantel, mefloquine-praziquantel, and mefloquine-artesunate-praziquantel against Schistosoma haematobium: a randomized, exploratory, open-label trial." PLoS Negl Trop Dis 8.7 (2014): e2975.</v>
      </c>
      <c r="T203" s="697"/>
      <c r="U203" s="697" t="str">
        <f>IFERROR(__xludf.DUMMYFUNCTION("""COMPUTED_VALUE"""),"")</f>
        <v/>
      </c>
      <c r="V203" s="697">
        <f>IFERROR(__xludf.DUMMYFUNCTION("""COMPUTED_VALUE"""),203.0)</f>
        <v>203</v>
      </c>
    </row>
    <row r="204">
      <c r="A204" s="697" t="str">
        <f>IFERROR(__xludf.DUMMYFUNCTION("""COMPUTED_VALUE"""),"Keiser J, 2014")</f>
        <v>Keiser J, 2014</v>
      </c>
      <c r="B204" s="697" t="str">
        <f>IFERROR(__xludf.DUMMYFUNCTION("""COMPUTED_VALUE"""),"s. haematobium")</f>
        <v>s. haematobium</v>
      </c>
      <c r="C204" s="697" t="str">
        <f>IFERROR(__xludf.DUMMYFUNCTION("""COMPUTED_VALUE"""),"Cote d'Ivoire")</f>
        <v>Cote d'Ivoire</v>
      </c>
      <c r="D204" s="697" t="str">
        <f>IFERROR(__xludf.DUMMYFUNCTION("""COMPUTED_VALUE"""),"Mefloquine-Artesunate &amp; Praziquantel")</f>
        <v>Mefloquine-Artesunate &amp; Praziquantel</v>
      </c>
      <c r="E204" s="697" t="str">
        <f>IFERROR(__xludf.DUMMYFUNCTION("""COMPUTED_VALUE"""),"Single")</f>
        <v>Single</v>
      </c>
      <c r="F204" s="697" t="str">
        <f>IFERROR(__xludf.DUMMYFUNCTION("""COMPUTED_VALUE"""),"100 mg artesunate +250 mg mefloquine + praziquantel (40 mg/kg)")</f>
        <v>100 mg artesunate +250 mg mefloquine + praziquantel (40 mg/kg)</v>
      </c>
      <c r="G204" s="697">
        <f>IFERROR(__xludf.DUMMYFUNCTION("""COMPUTED_VALUE"""),21.0)</f>
        <v>21</v>
      </c>
      <c r="H204" s="697">
        <f>IFERROR(__xludf.DUMMYFUNCTION("""COMPUTED_VALUE"""),10.4)</f>
        <v>10.4</v>
      </c>
      <c r="I204" s="705" t="str">
        <f>IFERROR(__xludf.DUMMYFUNCTION("""COMPUTED_VALUE"""),"15 : 6")</f>
        <v>15 : 6</v>
      </c>
      <c r="J204" s="697">
        <f>IFERROR(__xludf.DUMMYFUNCTION("""COMPUTED_VALUE"""),2008.0)</f>
        <v>2008</v>
      </c>
      <c r="K204" s="697" t="str">
        <f>IFERROR(__xludf.DUMMYFUNCTION("""COMPUTED_VALUE"""),"S. haematobium–infected schoolchildren were included in the study")</f>
        <v>S. haematobium–infected schoolchildren were included in the study</v>
      </c>
      <c r="L204" s="697" t="str">
        <f>IFERROR(__xludf.DUMMYFUNCTION("""COMPUTED_VALUE"""),"No")</f>
        <v>No</v>
      </c>
      <c r="M204" s="697" t="str">
        <f>IFERROR(__xludf.DUMMYFUNCTION("""COMPUTED_VALUE"""),"Yes")</f>
        <v>Yes</v>
      </c>
      <c r="N204" s="697" t="str">
        <f>IFERROR(__xludf.DUMMYFUNCTION("""COMPUTED_VALUE"""),"3, 11 weeks")</f>
        <v>3, 11 weeks</v>
      </c>
      <c r="O204" s="874">
        <f>IFERROR(__xludf.DUMMYFUNCTION("""COMPUTED_VALUE"""),0.29)</f>
        <v>0.29</v>
      </c>
      <c r="P204" s="706">
        <f>IFERROR(__xludf.DUMMYFUNCTION("""COMPUTED_VALUE"""),0.96)</f>
        <v>0.96</v>
      </c>
      <c r="Q204" s="697" t="str">
        <f>IFERROR(__xludf.DUMMYFUNCTION("""COMPUTED_VALUE"""),"In conclusion, our results suggest that a drug combination containing mefloquine-artesunate or mefloquine has no benefit over standard praziquantel against chronic S. haematobium infection regarding efficacy (cure and egg reduction rate) and safety (frequ"&amp;"ency and severity of adverse events). Further studies are required to elucidate the effect of these combinations on acute schistosomiasis. There is a pressing need to develop additional antischistosomal drugs, as long as praziquantel remains efficacious a"&amp;"gainst different Schistosoma species parasitizing man.")</f>
        <v>In conclusion, our results suggest that a drug combination containing mefloquine-artesunate or mefloquine has no benefit over standard praziquantel against chronic S. haematobium infection regarding efficacy (cure and egg reduction rate) and safety (frequency and severity of adverse events). Further studies are required to elucidate the effect of these combinations on acute schistosomiasis. There is a pressing need to develop additional antischistosomal drugs, as long as praziquantel remains efficacious against different Schistosoma species parasitizing man.</v>
      </c>
      <c r="R204" s="697"/>
      <c r="S204" s="699" t="str">
        <f>IFERROR(__xludf.DUMMYFUNCTION("""COMPUTED_VALUE"""),"Keiser, Jennifer, et al. ""Praziquantel, mefloquine-praziquantel, and mefloquine-artesunate-praziquantel against Schistosoma haematobium: a randomized, exploratory, open-label trial."" PLoS Negl Trop Dis 8.7 (2014): e2975.")</f>
        <v>Keiser, Jennifer, et al. "Praziquantel, mefloquine-praziquantel, and mefloquine-artesunate-praziquantel against Schistosoma haematobium: a randomized, exploratory, open-label trial." PLoS Negl Trop Dis 8.7 (2014): e2975.</v>
      </c>
      <c r="T204" s="697"/>
      <c r="U204" s="697" t="str">
        <f>IFERROR(__xludf.DUMMYFUNCTION("""COMPUTED_VALUE"""),"")</f>
        <v/>
      </c>
      <c r="V204" s="697">
        <f>IFERROR(__xludf.DUMMYFUNCTION("""COMPUTED_VALUE"""),204.0)</f>
        <v>204</v>
      </c>
    </row>
    <row r="205">
      <c r="A205" s="697" t="str">
        <f>IFERROR(__xludf.DUMMYFUNCTION("""COMPUTED_VALUE"""),"Giovanna, 2004")</f>
        <v>Giovanna, 2004</v>
      </c>
      <c r="B205" s="697" t="str">
        <f>IFERROR(__xludf.DUMMYFUNCTION("""COMPUTED_VALUE"""),"s. mansoni")</f>
        <v>s. mansoni</v>
      </c>
      <c r="C205" s="697" t="str">
        <f>IFERROR(__xludf.DUMMYFUNCTION("""COMPUTED_VALUE"""),"Cote d'Ivoire")</f>
        <v>Cote d'Ivoire</v>
      </c>
      <c r="D205" s="697" t="str">
        <f>IFERROR(__xludf.DUMMYFUNCTION("""COMPUTED_VALUE"""),"Praziquantel")</f>
        <v>Praziquantel</v>
      </c>
      <c r="E205" s="697" t="str">
        <f>IFERROR(__xludf.DUMMYFUNCTION("""COMPUTED_VALUE"""),"Single")</f>
        <v>Single</v>
      </c>
      <c r="F205" s="697" t="str">
        <f>IFERROR(__xludf.DUMMYFUNCTION("""COMPUTED_VALUE"""),"40 mg/kg")</f>
        <v>40 mg/kg</v>
      </c>
      <c r="G205" s="697">
        <f>IFERROR(__xludf.DUMMYFUNCTION("""COMPUTED_VALUE"""),223.0)</f>
        <v>223</v>
      </c>
      <c r="H205" s="697" t="str">
        <f>IFERROR(__xludf.DUMMYFUNCTION("""COMPUTED_VALUE"""),"5 days-91 years")</f>
        <v>5 days-91 years</v>
      </c>
      <c r="I205" s="705" t="str">
        <f>IFERROR(__xludf.DUMMYFUNCTION("""COMPUTED_VALUE"""),"data not available ")</f>
        <v>data not available </v>
      </c>
      <c r="J205" s="697">
        <f>IFERROR(__xludf.DUMMYFUNCTION("""COMPUTED_VALUE"""),2002.0)</f>
        <v>2002</v>
      </c>
      <c r="K205" s="697" t="str">
        <f>IFERROR(__xludf.DUMMYFUNCTION("""COMPUTED_VALUE"""),"After consent was gained and the village chief had designated 8 persons to to assist our research team, the village authories had informed the community. A detailed parasitogical survey was carried out. Procedures of the forthcoming survey and subsequent "&amp;"treatments was explained.")</f>
        <v>After consent was gained and the village chief had designated 8 persons to to assist our research team, the village authories had informed the community. A detailed parasitogical survey was carried out. Procedures of the forthcoming survey and subsequent treatments was explained.</v>
      </c>
      <c r="L205" s="697" t="str">
        <f>IFERROR(__xludf.DUMMYFUNCTION("""COMPUTED_VALUE"""),"No")</f>
        <v>No</v>
      </c>
      <c r="M205" s="697" t="str">
        <f>IFERROR(__xludf.DUMMYFUNCTION("""COMPUTED_VALUE"""),"Yes")</f>
        <v>Yes</v>
      </c>
      <c r="N205" s="697" t="str">
        <f>IFERROR(__xludf.DUMMYFUNCTION("""COMPUTED_VALUE"""),"6 weeks")</f>
        <v>6 weeks</v>
      </c>
      <c r="O205" s="874">
        <f>IFERROR(__xludf.DUMMYFUNCTION("""COMPUTED_VALUE"""),0.609)</f>
        <v>0.609</v>
      </c>
      <c r="P205" s="706">
        <f>IFERROR(__xludf.DUMMYFUNCTION("""COMPUTED_VALUE"""),0.614)</f>
        <v>0.614</v>
      </c>
      <c r="Q205" s="697"/>
      <c r="R205" s="697"/>
      <c r="S205" s="699" t="str">
        <f>IFERROR(__xludf.DUMMYFUNCTION("""COMPUTED_VALUE"""),"Raso, Giovanna, et al. ""Efficacy and side effects of praziquantel against Schistosoma mansoni in a community of western Côte d'Ivoire."" Transactions of the Royal Society of Tropical Medicine and Hygiene 98.1 (2004): 18-27.")</f>
        <v>Raso, Giovanna, et al. "Efficacy and side effects of praziquantel against Schistosoma mansoni in a community of western Côte d'Ivoire." Transactions of the Royal Society of Tropical Medicine and Hygiene 98.1 (2004): 18-27.</v>
      </c>
      <c r="T205" s="697"/>
      <c r="U205" s="697" t="str">
        <f>IFERROR(__xludf.DUMMYFUNCTION("""COMPUTED_VALUE"""),"")</f>
        <v/>
      </c>
      <c r="V205" s="697">
        <f>IFERROR(__xludf.DUMMYFUNCTION("""COMPUTED_VALUE"""),205.0)</f>
        <v>205</v>
      </c>
    </row>
    <row r="206">
      <c r="A206" s="697" t="str">
        <f>IFERROR(__xludf.DUMMYFUNCTION("""COMPUTED_VALUE"""),"Mutapi, 2011")</f>
        <v>Mutapi, 2011</v>
      </c>
      <c r="B206" s="697" t="str">
        <f>IFERROR(__xludf.DUMMYFUNCTION("""COMPUTED_VALUE"""),"s. haematobium")</f>
        <v>s. haematobium</v>
      </c>
      <c r="C206" s="697" t="str">
        <f>IFERROR(__xludf.DUMMYFUNCTION("""COMPUTED_VALUE"""),"Zimbabwe")</f>
        <v>Zimbabwe</v>
      </c>
      <c r="D206" s="697" t="str">
        <f>IFERROR(__xludf.DUMMYFUNCTION("""COMPUTED_VALUE"""),"Praziquantel")</f>
        <v>Praziquantel</v>
      </c>
      <c r="E206" s="697" t="str">
        <f>IFERROR(__xludf.DUMMYFUNCTION("""COMPUTED_VALUE"""),"Single")</f>
        <v>Single</v>
      </c>
      <c r="F206" s="697" t="str">
        <f>IFERROR(__xludf.DUMMYFUNCTION("""COMPUTED_VALUE"""),"40 mg/kg")</f>
        <v>40 mg/kg</v>
      </c>
      <c r="G206" s="697">
        <f>IFERROR(__xludf.DUMMYFUNCTION("""COMPUTED_VALUE"""),104.0)</f>
        <v>104</v>
      </c>
      <c r="H206" s="697" t="str">
        <f>IFERROR(__xludf.DUMMYFUNCTION("""COMPUTED_VALUE"""),"1 - 5")</f>
        <v>1 - 5</v>
      </c>
      <c r="I206" s="705" t="str">
        <f>IFERROR(__xludf.DUMMYFUNCTION("""COMPUTED_VALUE"""),"data not available ")</f>
        <v>data not available </v>
      </c>
      <c r="J206" s="697">
        <f>IFERROR(__xludf.DUMMYFUNCTION("""COMPUTED_VALUE"""),2011.0)</f>
        <v>2011</v>
      </c>
      <c r="K206" s="697" t="str">
        <f>IFERROR(__xludf.DUMMYFUNCTION("""COMPUTED_VALUE"""),"1) be aged 1–5 years at recruitment, 2) had been resident in the study area since birth, 3) had provided at least two urine and two stool samples on consecutive days, 4) be negative for intestinal helminths and S.mansoni (no one was excluded on this crite"&amp;"ria as everyone was negative for these infections as is reported in other parts of Zimbabwe [22]), 5) have successfully taken the PZQ tablets prescribed to them and, 6) parents/guardians had provided answers to the 24 hour post-treatment side effects ques"&amp;"tionnaire.")</f>
        <v>1) be aged 1–5 years at recruitment, 2) had been resident in the study area since birth, 3) had provided at least two urine and two stool samples on consecutive days, 4) be negative for intestinal helminths and S.mansoni (no one was excluded on this criteria as everyone was negative for these infections as is reported in other parts of Zimbabwe [22]), 5) have successfully taken the PZQ tablets prescribed to them and, 6) parents/guardians had provided answers to the 24 hour post-treatment side effects questionnaire.</v>
      </c>
      <c r="L206" s="697" t="str">
        <f>IFERROR(__xludf.DUMMYFUNCTION("""COMPUTED_VALUE"""),"No")</f>
        <v>No</v>
      </c>
      <c r="M206" s="697" t="str">
        <f>IFERROR(__xludf.DUMMYFUNCTION("""COMPUTED_VALUE"""),"Yes")</f>
        <v>Yes</v>
      </c>
      <c r="N206" s="697" t="str">
        <f>IFERROR(__xludf.DUMMYFUNCTION("""COMPUTED_VALUE"""),"6 weeks ")</f>
        <v>6 weeks </v>
      </c>
      <c r="O206" s="872">
        <f>IFERROR(__xludf.DUMMYFUNCTION("""COMPUTED_VALUE"""),0.92)</f>
        <v>0.92</v>
      </c>
      <c r="P206" s="700">
        <f>IFERROR(__xludf.DUMMYFUNCTION("""COMPUTED_VALUE"""),0.99)</f>
        <v>0.99</v>
      </c>
      <c r="Q206" s="697" t="str">
        <f>IFERROR(__xludf.DUMMYFUNCTION("""COMPUTED_VALUE"""),"PZQ treatment is as safe and efficacious in children aged 1–5 years as it is in older children aged 6–10 years in whom PZQ is the drug of choice for control of schistosome infections.")</f>
        <v>PZQ treatment is as safe and efficacious in children aged 1–5 years as it is in older children aged 6–10 years in whom PZQ is the drug of choice for control of schistosome infections.</v>
      </c>
      <c r="R206" s="697"/>
      <c r="S206" s="699" t="str">
        <f>IFERROR(__xludf.DUMMYFUNCTION("""COMPUTED_VALUE"""),"Mutapi, Francisca, et al. ""Schistosoma haematobium treatment in 1–5 year old children: safety and efficacy of the antihelminthic drug praziquantel.""PLoS Negl Trop Dis 5.5 (2011): e1143.")</f>
        <v>Mutapi, Francisca, et al. "Schistosoma haematobium treatment in 1–5 year old children: safety and efficacy of the antihelminthic drug praziquantel."PLoS Negl Trop Dis 5.5 (2011): e1143.</v>
      </c>
      <c r="T206" s="697"/>
      <c r="U206" s="697" t="str">
        <f>IFERROR(__xludf.DUMMYFUNCTION("""COMPUTED_VALUE"""),"")</f>
        <v/>
      </c>
      <c r="V206" s="697">
        <f>IFERROR(__xludf.DUMMYFUNCTION("""COMPUTED_VALUE"""),206.0)</f>
        <v>206</v>
      </c>
    </row>
    <row r="207">
      <c r="A207" s="697" t="str">
        <f>IFERROR(__xludf.DUMMYFUNCTION("""COMPUTED_VALUE"""),"Mutapi, 2011")</f>
        <v>Mutapi, 2011</v>
      </c>
      <c r="B207" s="697" t="str">
        <f>IFERROR(__xludf.DUMMYFUNCTION("""COMPUTED_VALUE"""),"s. haematobium")</f>
        <v>s. haematobium</v>
      </c>
      <c r="C207" s="697" t="str">
        <f>IFERROR(__xludf.DUMMYFUNCTION("""COMPUTED_VALUE"""),"Zimbabwe")</f>
        <v>Zimbabwe</v>
      </c>
      <c r="D207" s="697" t="str">
        <f>IFERROR(__xludf.DUMMYFUNCTION("""COMPUTED_VALUE"""),"Praziquantel")</f>
        <v>Praziquantel</v>
      </c>
      <c r="E207" s="697" t="str">
        <f>IFERROR(__xludf.DUMMYFUNCTION("""COMPUTED_VALUE"""),"Single")</f>
        <v>Single</v>
      </c>
      <c r="F207" s="697" t="str">
        <f>IFERROR(__xludf.DUMMYFUNCTION("""COMPUTED_VALUE"""),"40 mg/kg")</f>
        <v>40 mg/kg</v>
      </c>
      <c r="G207" s="697">
        <f>IFERROR(__xludf.DUMMYFUNCTION("""COMPUTED_VALUE"""),435.0)</f>
        <v>435</v>
      </c>
      <c r="H207" s="697" t="str">
        <f>IFERROR(__xludf.DUMMYFUNCTION("""COMPUTED_VALUE"""),"1 - 10")</f>
        <v>1 - 10</v>
      </c>
      <c r="I207" s="705" t="str">
        <f>IFERROR(__xludf.DUMMYFUNCTION("""COMPUTED_VALUE"""),"data not available ")</f>
        <v>data not available </v>
      </c>
      <c r="J207" s="697">
        <f>IFERROR(__xludf.DUMMYFUNCTION("""COMPUTED_VALUE"""),2011.0)</f>
        <v>2011</v>
      </c>
      <c r="K207" s="697" t="str">
        <f>IFERROR(__xludf.DUMMYFUNCTION("""COMPUTED_VALUE"""),"1) be aged 1–5 years at recruitment, 2) had been resident in the study area since birth, 3) had provided at least two urine and two stool samples on consecutive days, 4) be negative for intestinal helminths and S.mansoni (no one was excluded on this crite"&amp;"ria as everyone was negative for these infections as is reported in other parts of Zimbabwe [22]), 5) have successfully taken the PZQ tablets prescribed to them and, 6) parents/guardians had provided answers to the 24 hour post-treatment side effects ques"&amp;"tionnaire.")</f>
        <v>1) be aged 1–5 years at recruitment, 2) had been resident in the study area since birth, 3) had provided at least two urine and two stool samples on consecutive days, 4) be negative for intestinal helminths and S.mansoni (no one was excluded on this criteria as everyone was negative for these infections as is reported in other parts of Zimbabwe [22]), 5) have successfully taken the PZQ tablets prescribed to them and, 6) parents/guardians had provided answers to the 24 hour post-treatment side effects questionnaire.</v>
      </c>
      <c r="L207" s="697" t="str">
        <f>IFERROR(__xludf.DUMMYFUNCTION("""COMPUTED_VALUE"""),"No")</f>
        <v>No</v>
      </c>
      <c r="M207" s="697" t="str">
        <f>IFERROR(__xludf.DUMMYFUNCTION("""COMPUTED_VALUE"""),"Yes")</f>
        <v>Yes</v>
      </c>
      <c r="N207" s="697" t="str">
        <f>IFERROR(__xludf.DUMMYFUNCTION("""COMPUTED_VALUE"""),"6 weeks")</f>
        <v>6 weeks</v>
      </c>
      <c r="O207" s="872">
        <f>IFERROR(__xludf.DUMMYFUNCTION("""COMPUTED_VALUE"""),0.67)</f>
        <v>0.67</v>
      </c>
      <c r="P207" s="698">
        <f>IFERROR(__xludf.DUMMYFUNCTION("""COMPUTED_VALUE"""),0.96)</f>
        <v>0.96</v>
      </c>
      <c r="Q207" s="697" t="str">
        <f>IFERROR(__xludf.DUMMYFUNCTION("""COMPUTED_VALUE"""),"PZQ treatment is as safe and efficacious in children aged 1–5 years as it is in older children aged 6–10 years in whom PZQ is the drug of choice for control of schistosome infections.")</f>
        <v>PZQ treatment is as safe and efficacious in children aged 1–5 years as it is in older children aged 6–10 years in whom PZQ is the drug of choice for control of schistosome infections.</v>
      </c>
      <c r="R207" s="697"/>
      <c r="S207" s="699" t="str">
        <f>IFERROR(__xludf.DUMMYFUNCTION("""COMPUTED_VALUE"""),"Mutapi, Francisca, et al. ""Schistosoma haematobium treatment in 1–5 year old children: safety and efficacy of the antihelminthic drug praziquantel.""PLoS Negl Trop Dis 5.5 (2011): e1143.")</f>
        <v>Mutapi, Francisca, et al. "Schistosoma haematobium treatment in 1–5 year old children: safety and efficacy of the antihelminthic drug praziquantel."PLoS Negl Trop Dis 5.5 (2011): e1143.</v>
      </c>
      <c r="T207" s="697"/>
      <c r="U207" s="697" t="str">
        <f>IFERROR(__xludf.DUMMYFUNCTION("""COMPUTED_VALUE"""),"")</f>
        <v/>
      </c>
      <c r="V207" s="697">
        <f>IFERROR(__xludf.DUMMYFUNCTION("""COMPUTED_VALUE"""),207.0)</f>
        <v>207</v>
      </c>
    </row>
    <row r="208">
      <c r="A208" s="697" t="str">
        <f>IFERROR(__xludf.DUMMYFUNCTION("""COMPUTED_VALUE"""),"Nalugwa, 2015")</f>
        <v>Nalugwa, 2015</v>
      </c>
      <c r="B208" s="697" t="str">
        <f>IFERROR(__xludf.DUMMYFUNCTION("""COMPUTED_VALUE"""),"s. mansoni")</f>
        <v>s. mansoni</v>
      </c>
      <c r="C208" s="697" t="str">
        <f>IFERROR(__xludf.DUMMYFUNCTION("""COMPUTED_VALUE"""),"Uganda")</f>
        <v>Uganda</v>
      </c>
      <c r="D208" s="697" t="str">
        <f>IFERROR(__xludf.DUMMYFUNCTION("""COMPUTED_VALUE"""),"Praziquantel")</f>
        <v>Praziquantel</v>
      </c>
      <c r="E208" s="697" t="str">
        <f>IFERROR(__xludf.DUMMYFUNCTION("""COMPUTED_VALUE"""),"Single")</f>
        <v>Single</v>
      </c>
      <c r="F208" s="697" t="str">
        <f>IFERROR(__xludf.DUMMYFUNCTION("""COMPUTED_VALUE"""),"40 mg/kg")</f>
        <v>40 mg/kg</v>
      </c>
      <c r="G208" s="697">
        <f>IFERROR(__xludf.DUMMYFUNCTION("""COMPUTED_VALUE"""),357.0)</f>
        <v>357</v>
      </c>
      <c r="H208" s="697" t="str">
        <f>IFERROR(__xludf.DUMMYFUNCTION("""COMPUTED_VALUE"""),"1 - 5")</f>
        <v>1 - 5</v>
      </c>
      <c r="I208" s="705" t="str">
        <f>IFERROR(__xludf.DUMMYFUNCTION("""COMPUTED_VALUE"""),"50.7:49.3")</f>
        <v>50.7:49.3</v>
      </c>
      <c r="J208" s="697">
        <f>IFERROR(__xludf.DUMMYFUNCTION("""COMPUTED_VALUE"""),2014.0)</f>
        <v>2014</v>
      </c>
      <c r="K208" s="697" t="str">
        <f>IFERROR(__xludf.DUMMYFUNCTION("""COMPUTED_VALUE"""),"children tested positive for S. mansoni eggs")</f>
        <v>children tested positive for S. mansoni eggs</v>
      </c>
      <c r="L208" s="697" t="str">
        <f>IFERROR(__xludf.DUMMYFUNCTION("""COMPUTED_VALUE"""),"Yes")</f>
        <v>Yes</v>
      </c>
      <c r="M208" s="697" t="str">
        <f>IFERROR(__xludf.DUMMYFUNCTION("""COMPUTED_VALUE"""),"Yes")</f>
        <v>Yes</v>
      </c>
      <c r="N208" s="697" t="str">
        <f>IFERROR(__xludf.DUMMYFUNCTION("""COMPUTED_VALUE"""),"1 month")</f>
        <v>1 month</v>
      </c>
      <c r="O208" s="873">
        <f>IFERROR(__xludf.DUMMYFUNCTION("""COMPUTED_VALUE"""),0.832)</f>
        <v>0.832</v>
      </c>
      <c r="P208" s="698">
        <f>IFERROR(__xludf.DUMMYFUNCTION("""COMPUTED_VALUE"""),0.993)</f>
        <v>0.993</v>
      </c>
      <c r="Q208" s="697" t="str">
        <f>IFERROR(__xludf.DUMMYFUNCTION("""COMPUTED_VALUE"""),"PZQ is efficatious and relatively safe to use in preschool age children but there is still an unmet need to improve its formulation to suit small children")</f>
        <v>PZQ is efficatious and relatively safe to use in preschool age children but there is still an unmet need to improve its formulation to suit small children</v>
      </c>
      <c r="R208" s="697"/>
      <c r="S208" s="699" t="str">
        <f>IFERROR(__xludf.DUMMYFUNCTION("""COMPUTED_VALUE"""),"Nalugwa, Allen, et al. ""Single Versus Double Dose Praziquantel Comparison on Efficacy and Schistosoma mansoni Re-Infection in Preschool-Age Children in Uganda: A Randomized Controlled Trial."" PLoS Negl Trop Dis 9.5 (2015): e0003796.")</f>
        <v>Nalugwa, Allen, et al. "Single Versus Double Dose Praziquantel Comparison on Efficacy and Schistosoma mansoni Re-Infection in Preschool-Age Children in Uganda: A Randomized Controlled Trial." PLoS Negl Trop Dis 9.5 (2015): e0003796.</v>
      </c>
      <c r="T208" s="697"/>
      <c r="U208" s="697" t="str">
        <f>IFERROR(__xludf.DUMMYFUNCTION("""COMPUTED_VALUE"""),"")</f>
        <v/>
      </c>
      <c r="V208" s="697">
        <f>IFERROR(__xludf.DUMMYFUNCTION("""COMPUTED_VALUE"""),208.0)</f>
        <v>208</v>
      </c>
    </row>
    <row r="209">
      <c r="A209" s="697" t="str">
        <f>IFERROR(__xludf.DUMMYFUNCTION("""COMPUTED_VALUE"""),"Nalugwa, 2015")</f>
        <v>Nalugwa, 2015</v>
      </c>
      <c r="B209" s="697" t="str">
        <f>IFERROR(__xludf.DUMMYFUNCTION("""COMPUTED_VALUE"""),"s. mansoni")</f>
        <v>s. mansoni</v>
      </c>
      <c r="C209" s="697" t="str">
        <f>IFERROR(__xludf.DUMMYFUNCTION("""COMPUTED_VALUE"""),"Uganda")</f>
        <v>Uganda</v>
      </c>
      <c r="D209" s="697" t="str">
        <f>IFERROR(__xludf.DUMMYFUNCTION("""COMPUTED_VALUE"""),"Praziquantel")</f>
        <v>Praziquantel</v>
      </c>
      <c r="E209" s="697" t="str">
        <f>IFERROR(__xludf.DUMMYFUNCTION("""COMPUTED_VALUE"""),"Two")</f>
        <v>Two</v>
      </c>
      <c r="F209" s="697" t="str">
        <f>IFERROR(__xludf.DUMMYFUNCTION("""COMPUTED_VALUE"""),"40 mg/kg")</f>
        <v>40 mg/kg</v>
      </c>
      <c r="G209" s="697">
        <f>IFERROR(__xludf.DUMMYFUNCTION("""COMPUTED_VALUE"""),339.0)</f>
        <v>339</v>
      </c>
      <c r="H209" s="704">
        <f>IFERROR(__xludf.DUMMYFUNCTION("""COMPUTED_VALUE"""),42374.0)</f>
        <v>42374</v>
      </c>
      <c r="I209" s="705" t="str">
        <f>IFERROR(__xludf.DUMMYFUNCTION("""COMPUTED_VALUE"""),"45.7:54.3")</f>
        <v>45.7:54.3</v>
      </c>
      <c r="J209" s="697">
        <f>IFERROR(__xludf.DUMMYFUNCTION("""COMPUTED_VALUE"""),2014.0)</f>
        <v>2014</v>
      </c>
      <c r="K209" s="697" t="str">
        <f>IFERROR(__xludf.DUMMYFUNCTION("""COMPUTED_VALUE"""),"children tested positive for S. mansoni eggs")</f>
        <v>children tested positive for S. mansoni eggs</v>
      </c>
      <c r="L209" s="697" t="str">
        <f>IFERROR(__xludf.DUMMYFUNCTION("""COMPUTED_VALUE"""),"Yes")</f>
        <v>Yes</v>
      </c>
      <c r="M209" s="697" t="str">
        <f>IFERROR(__xludf.DUMMYFUNCTION("""COMPUTED_VALUE"""),"Yes")</f>
        <v>Yes</v>
      </c>
      <c r="N209" s="697" t="str">
        <f>IFERROR(__xludf.DUMMYFUNCTION("""COMPUTED_VALUE"""),"1 month")</f>
        <v>1 month</v>
      </c>
      <c r="O209" s="873">
        <f>IFERROR(__xludf.DUMMYFUNCTION("""COMPUTED_VALUE"""),0.855)</f>
        <v>0.855</v>
      </c>
      <c r="P209" s="698">
        <f>IFERROR(__xludf.DUMMYFUNCTION("""COMPUTED_VALUE"""),0.989)</f>
        <v>0.989</v>
      </c>
      <c r="Q209" s="697" t="str">
        <f>IFERROR(__xludf.DUMMYFUNCTION("""COMPUTED_VALUE"""),"PZQ is efficatious and relatively safe to use in preschool age children but there is still an unmet need to improve its formulation to suit small children")</f>
        <v>PZQ is efficatious and relatively safe to use in preschool age children but there is still an unmet need to improve its formulation to suit small children</v>
      </c>
      <c r="R209" s="697"/>
      <c r="S209" s="697"/>
      <c r="T209" s="697"/>
      <c r="U209" s="697" t="str">
        <f>IFERROR(__xludf.DUMMYFUNCTION("""COMPUTED_VALUE"""),"")</f>
        <v/>
      </c>
      <c r="V209" s="697">
        <f>IFERROR(__xludf.DUMMYFUNCTION("""COMPUTED_VALUE"""),209.0)</f>
        <v>209</v>
      </c>
    </row>
    <row r="210">
      <c r="A210" s="697" t="str">
        <f>IFERROR(__xludf.DUMMYFUNCTION("""COMPUTED_VALUE"""),"N' Goran, E.K, 2003")</f>
        <v>N' Goran, E.K, 2003</v>
      </c>
      <c r="B210" s="697" t="str">
        <f>IFERROR(__xludf.DUMMYFUNCTION("""COMPUTED_VALUE"""),"s. haematobium")</f>
        <v>s. haematobium</v>
      </c>
      <c r="C210" s="697" t="str">
        <f>IFERROR(__xludf.DUMMYFUNCTION("""COMPUTED_VALUE"""),"Cote d'Ivoire")</f>
        <v>Cote d'Ivoire</v>
      </c>
      <c r="D210" s="697" t="str">
        <f>IFERROR(__xludf.DUMMYFUNCTION("""COMPUTED_VALUE"""),"Praziquantel")</f>
        <v>Praziquantel</v>
      </c>
      <c r="E210" s="697" t="str">
        <f>IFERROR(__xludf.DUMMYFUNCTION("""COMPUTED_VALUE"""),"Two")</f>
        <v>Two</v>
      </c>
      <c r="F210" s="697" t="str">
        <f>IFERROR(__xludf.DUMMYFUNCTION("""COMPUTED_VALUE"""),"40 mg/kg")</f>
        <v>40 mg/kg</v>
      </c>
      <c r="G210" s="697">
        <f>IFERROR(__xludf.DUMMYFUNCTION("""COMPUTED_VALUE"""),354.0)</f>
        <v>354</v>
      </c>
      <c r="H210" s="697" t="str">
        <f>IFERROR(__xludf.DUMMYFUNCTION("""COMPUTED_VALUE"""),"5 - 15")</f>
        <v>5 - 15</v>
      </c>
      <c r="I210" s="705" t="str">
        <f>IFERROR(__xludf.DUMMYFUNCTION("""COMPUTED_VALUE"""),"data not available ")</f>
        <v>data not available </v>
      </c>
      <c r="J210" s="697">
        <f>IFERROR(__xludf.DUMMYFUNCTION("""COMPUTED_VALUE"""),2003.0)</f>
        <v>2003</v>
      </c>
      <c r="K210" s="697" t="str">
        <f>IFERROR(__xludf.DUMMYFUNCTION("""COMPUTED_VALUE"""),"S. haematobium–infected schoolchildren were included in the study")</f>
        <v>S. haematobium–infected schoolchildren were included in the study</v>
      </c>
      <c r="L210" s="697" t="str">
        <f>IFERROR(__xludf.DUMMYFUNCTION("""COMPUTED_VALUE"""),"Yes")</f>
        <v>Yes</v>
      </c>
      <c r="M210" s="697" t="str">
        <f>IFERROR(__xludf.DUMMYFUNCTION("""COMPUTED_VALUE"""),"Yes")</f>
        <v>Yes</v>
      </c>
      <c r="N210" s="697" t="str">
        <f>IFERROR(__xludf.DUMMYFUNCTION("""COMPUTED_VALUE"""),"3, 4 weeks ")</f>
        <v>3, 4 weeks </v>
      </c>
      <c r="O210" s="872">
        <f>IFERROR(__xludf.DUMMYFUNCTION("""COMPUTED_VALUE"""),0.93)</f>
        <v>0.93</v>
      </c>
      <c r="P210" s="706">
        <f>IFERROR(__xludf.DUMMYFUNCTION("""COMPUTED_VALUE"""),0.966)</f>
        <v>0.966</v>
      </c>
      <c r="Q210" s="697" t="str">
        <f>IFERROR(__xludf.DUMMYFUNCTION("""COMPUTED_VALUE"""),"There are advantages to 2 doses ")</f>
        <v>There are advantages to 2 doses </v>
      </c>
      <c r="R210" s="697"/>
      <c r="S210" s="699" t="str">
        <f>IFERROR(__xludf.DUMMYFUNCTION("""COMPUTED_VALUE"""),"N'Goran, E. K., et al. ""Efficacy and side-effects of two praziquantel treatments against Schistosoma haematobium infection, among schoolchildren from Côte d'Ivoire."" Annals of Tropical Medicine &amp; Parasitology 97.1 (2003): 37-51.")</f>
        <v>N'Goran, E. K., et al. "Efficacy and side-effects of two praziquantel treatments against Schistosoma haematobium infection, among schoolchildren from Côte d'Ivoire." Annals of Tropical Medicine &amp; Parasitology 97.1 (2003): 37-51.</v>
      </c>
      <c r="T210" s="697"/>
      <c r="U210" s="697" t="str">
        <f>IFERROR(__xludf.DUMMYFUNCTION("""COMPUTED_VALUE"""),"")</f>
        <v/>
      </c>
      <c r="V210" s="697">
        <f>IFERROR(__xludf.DUMMYFUNCTION("""COMPUTED_VALUE"""),210.0)</f>
        <v>210</v>
      </c>
    </row>
    <row r="211">
      <c r="A211" s="697" t="str">
        <f>IFERROR(__xludf.DUMMYFUNCTION("""COMPUTED_VALUE"""),"Abu-Elyazeed")</f>
        <v>Abu-Elyazeed</v>
      </c>
      <c r="B211" s="697" t="str">
        <f>IFERROR(__xludf.DUMMYFUNCTION("""COMPUTED_VALUE"""),"s.mansoni")</f>
        <v>s.mansoni</v>
      </c>
      <c r="C211" s="697" t="str">
        <f>IFERROR(__xludf.DUMMYFUNCTION("""COMPUTED_VALUE"""),"Egypt")</f>
        <v>Egypt</v>
      </c>
      <c r="D211" s="697" t="str">
        <f>IFERROR(__xludf.DUMMYFUNCTION("""COMPUTED_VALUE"""),"Praziquantel")</f>
        <v>Praziquantel</v>
      </c>
      <c r="E211" s="697" t="str">
        <f>IFERROR(__xludf.DUMMYFUNCTION("""COMPUTED_VALUE"""),"Single")</f>
        <v>Single</v>
      </c>
      <c r="F211" s="697" t="str">
        <f>IFERROR(__xludf.DUMMYFUNCTION("""COMPUTED_VALUE"""),"40mg/kg")</f>
        <v>40mg/kg</v>
      </c>
      <c r="G211" s="697">
        <f>IFERROR(__xludf.DUMMYFUNCTION("""COMPUTED_VALUE"""),574.0)</f>
        <v>574</v>
      </c>
      <c r="H211" s="697" t="str">
        <f>IFERROR(__xludf.DUMMYFUNCTION("""COMPUTED_VALUE"""),"5-50")</f>
        <v>5-50</v>
      </c>
      <c r="I211" s="705" t="str">
        <f>IFERROR(__xludf.DUMMYFUNCTION("""COMPUTED_VALUE"""),"MF")</f>
        <v>MF</v>
      </c>
      <c r="J211" s="697">
        <f>IFERROR(__xludf.DUMMYFUNCTION("""COMPUTED_VALUE"""),1993.0)</f>
        <v>1993</v>
      </c>
      <c r="K211" s="697"/>
      <c r="L211" s="697" t="str">
        <f>IFERROR(__xludf.DUMMYFUNCTION("""COMPUTED_VALUE"""),"No")</f>
        <v>No</v>
      </c>
      <c r="M211" s="697" t="str">
        <f>IFERROR(__xludf.DUMMYFUNCTION("""COMPUTED_VALUE"""),"No")</f>
        <v>No</v>
      </c>
      <c r="N211" s="697" t="str">
        <f>IFERROR(__xludf.DUMMYFUNCTION("""COMPUTED_VALUE"""),"Cure rates found by subtracting failure rate")</f>
        <v>Cure rates found by subtracting failure rate</v>
      </c>
      <c r="O211" s="874">
        <f>IFERROR(__xludf.DUMMYFUNCTION("""COMPUTED_VALUE"""),0.855)</f>
        <v>0.855</v>
      </c>
      <c r="P211" s="706">
        <f>IFERROR(__xludf.DUMMYFUNCTION("""COMPUTED_VALUE"""),0.81)</f>
        <v>0.81</v>
      </c>
      <c r="Q211" s="697" t="str">
        <f>IFERROR(__xludf.DUMMYFUNCTION("""COMPUTED_VALUE"""),"We recommend this regimen on an individual basis but not for population treatment, since administration of a single dose of a drug to a population is more practical than two doses given 6 hr apart.")</f>
        <v>We recommend this regimen on an individual basis but not for population treatment, since administration of a single dose of a drug to a population is more practical than two doses given 6 hr apart.</v>
      </c>
      <c r="R211" s="697"/>
      <c r="S211" s="699" t="str">
        <f>IFERROR(__xludf.DUMMYFUNCTION("""COMPUTED_VALUE"""),"Abu-Elyazeed RR, Youssef FG, Merrell BR, El-Gamal RL, El-Khoby TA, Hassanein YA, et al. Praziquantel in the treatment of Schistosoma mansoni infection: comparison of 40 and 60 mg/kg bodyweight regimens. American Journal of Tropical Medicine and Hygiene 19"&amp;"97;56(4):404–7.")</f>
        <v>Abu-Elyazeed RR, Youssef FG, Merrell BR, El-Gamal RL, El-Khoby TA, Hassanein YA, et al. Praziquantel in the treatment of Schistosoma mansoni infection: comparison of 40 and 60 mg/kg bodyweight regimens. American Journal of Tropical Medicine and Hygiene 1997;56(4):404–7.</v>
      </c>
      <c r="T211" s="697"/>
      <c r="U211" s="697" t="str">
        <f>IFERROR(__xludf.DUMMYFUNCTION("""COMPUTED_VALUE"""),"x")</f>
        <v>x</v>
      </c>
      <c r="V211" s="697">
        <f>IFERROR(__xludf.DUMMYFUNCTION("""COMPUTED_VALUE"""),211.0)</f>
        <v>211</v>
      </c>
    </row>
    <row r="212">
      <c r="A212" s="697" t="str">
        <f>IFERROR(__xludf.DUMMYFUNCTION("""COMPUTED_VALUE"""),"Abu-Elyazeed")</f>
        <v>Abu-Elyazeed</v>
      </c>
      <c r="B212" s="697" t="str">
        <f>IFERROR(__xludf.DUMMYFUNCTION("""COMPUTED_VALUE"""),"s.mansoni")</f>
        <v>s.mansoni</v>
      </c>
      <c r="C212" s="697" t="str">
        <f>IFERROR(__xludf.DUMMYFUNCTION("""COMPUTED_VALUE"""),"Egypt")</f>
        <v>Egypt</v>
      </c>
      <c r="D212" s="697" t="str">
        <f>IFERROR(__xludf.DUMMYFUNCTION("""COMPUTED_VALUE"""),"Praziquantel")</f>
        <v>Praziquantel</v>
      </c>
      <c r="E212" s="697" t="str">
        <f>IFERROR(__xludf.DUMMYFUNCTION("""COMPUTED_VALUE"""),"Two")</f>
        <v>Two</v>
      </c>
      <c r="F212" s="697" t="str">
        <f>IFERROR(__xludf.DUMMYFUNCTION("""COMPUTED_VALUE"""),"30mg/kg")</f>
        <v>30mg/kg</v>
      </c>
      <c r="G212" s="697">
        <f>IFERROR(__xludf.DUMMYFUNCTION("""COMPUTED_VALUE"""),401.0)</f>
        <v>401</v>
      </c>
      <c r="H212" s="697" t="str">
        <f>IFERROR(__xludf.DUMMYFUNCTION("""COMPUTED_VALUE"""),"5-50")</f>
        <v>5-50</v>
      </c>
      <c r="I212" s="705" t="str">
        <f>IFERROR(__xludf.DUMMYFUNCTION("""COMPUTED_VALUE"""),"MF")</f>
        <v>MF</v>
      </c>
      <c r="J212" s="697">
        <f>IFERROR(__xludf.DUMMYFUNCTION("""COMPUTED_VALUE"""),1993.0)</f>
        <v>1993</v>
      </c>
      <c r="K212" s="697"/>
      <c r="L212" s="697" t="str">
        <f>IFERROR(__xludf.DUMMYFUNCTION("""COMPUTED_VALUE"""),"No")</f>
        <v>No</v>
      </c>
      <c r="M212" s="697" t="str">
        <f>IFERROR(__xludf.DUMMYFUNCTION("""COMPUTED_VALUE"""),"No")</f>
        <v>No</v>
      </c>
      <c r="N212" s="697" t="str">
        <f>IFERROR(__xludf.DUMMYFUNCTION("""COMPUTED_VALUE"""),"Cure rates found by subtracting failure rate")</f>
        <v>Cure rates found by subtracting failure rate</v>
      </c>
      <c r="O212" s="874">
        <f>IFERROR(__xludf.DUMMYFUNCTION("""COMPUTED_VALUE"""),0.959)</f>
        <v>0.959</v>
      </c>
      <c r="P212" s="706">
        <f>IFERROR(__xludf.DUMMYFUNCTION("""COMPUTED_VALUE"""),0.814)</f>
        <v>0.814</v>
      </c>
      <c r="Q212" s="697" t="str">
        <f>IFERROR(__xludf.DUMMYFUNCTION("""COMPUTED_VALUE"""),"We recommend this regimen on an individual basis but not for population treatment, since administration of a single dose of a drug to a population is more practical than two doses given 6 hr apart.")</f>
        <v>We recommend this regimen on an individual basis but not for population treatment, since administration of a single dose of a drug to a population is more practical than two doses given 6 hr apart.</v>
      </c>
      <c r="R212" s="697"/>
      <c r="S212" s="699" t="str">
        <f>IFERROR(__xludf.DUMMYFUNCTION("""COMPUTED_VALUE"""),"Abu-Elyazeed RR, Youssef FG, Merrell BR, El-Gamal RL, El-Khoby TA, Hassanein YA, et al. Praziquantel in the treatment of Schistosoma mansoni infection: comparison of 40 and 60 mg/kg bodyweight regimens. American Journal of Tropical Medicine and Hygiene 19"&amp;"97;56(4):404–7.")</f>
        <v>Abu-Elyazeed RR, Youssef FG, Merrell BR, El-Gamal RL, El-Khoby TA, Hassanein YA, et al. Praziquantel in the treatment of Schistosoma mansoni infection: comparison of 40 and 60 mg/kg bodyweight regimens. American Journal of Tropical Medicine and Hygiene 1997;56(4):404–7.</v>
      </c>
      <c r="T212" s="697"/>
      <c r="U212" s="697" t="str">
        <f>IFERROR(__xludf.DUMMYFUNCTION("""COMPUTED_VALUE"""),"x")</f>
        <v>x</v>
      </c>
      <c r="V212" s="697">
        <f>IFERROR(__xludf.DUMMYFUNCTION("""COMPUTED_VALUE"""),212.0)</f>
        <v>212</v>
      </c>
    </row>
    <row r="213">
      <c r="A213" s="697" t="str">
        <f>IFERROR(__xludf.DUMMYFUNCTION("""COMPUTED_VALUE"""),"Al Aska 1990")</f>
        <v>Al Aska 1990</v>
      </c>
      <c r="B213" s="697" t="str">
        <f>IFERROR(__xludf.DUMMYFUNCTION("""COMPUTED_VALUE"""),"s.mansoni")</f>
        <v>s.mansoni</v>
      </c>
      <c r="C213" s="697" t="str">
        <f>IFERROR(__xludf.DUMMYFUNCTION("""COMPUTED_VALUE"""),"Saudi Arabia")</f>
        <v>Saudi Arabia</v>
      </c>
      <c r="D213" s="697" t="str">
        <f>IFERROR(__xludf.DUMMYFUNCTION("""COMPUTED_VALUE"""),"Oxamniquine")</f>
        <v>Oxamniquine</v>
      </c>
      <c r="E213" s="697" t="str">
        <f>IFERROR(__xludf.DUMMYFUNCTION("""COMPUTED_VALUE"""),"Single")</f>
        <v>Single</v>
      </c>
      <c r="F213" s="697" t="str">
        <f>IFERROR(__xludf.DUMMYFUNCTION("""COMPUTED_VALUE"""),"25mg/kg")</f>
        <v>25mg/kg</v>
      </c>
      <c r="G213" s="697">
        <f>IFERROR(__xludf.DUMMYFUNCTION("""COMPUTED_VALUE"""),100.0)</f>
        <v>100</v>
      </c>
      <c r="H213" s="705" t="str">
        <f>IFERROR(__xludf.DUMMYFUNCTION("""COMPUTED_VALUE"""),"10-63")</f>
        <v>10-63</v>
      </c>
      <c r="I213" s="697" t="str">
        <f>IFERROR(__xludf.DUMMYFUNCTION("""COMPUTED_VALUE"""),"MF")</f>
        <v>MF</v>
      </c>
      <c r="J213" s="697">
        <f>IFERROR(__xludf.DUMMYFUNCTION("""COMPUTED_VALUE"""),1990.0)</f>
        <v>1990</v>
      </c>
      <c r="K213" s="697" t="str">
        <f>IFERROR(__xludf.DUMMYFUNCTION("""COMPUTED_VALUE"""),"Inclusion criteria: patients aged 10 to 63 years (mean: 26 years) with chronic S. mansoni infection with no previous treatment history")</f>
        <v>Inclusion criteria: patients aged 10 to 63 years (mean: 26 years) with chronic S. mansoni infection with no previous treatment history</v>
      </c>
      <c r="L213" s="697" t="str">
        <f>IFERROR(__xludf.DUMMYFUNCTION("""COMPUTED_VALUE"""),"No")</f>
        <v>No</v>
      </c>
      <c r="M213" s="697" t="str">
        <f>IFERROR(__xludf.DUMMYFUNCTION("""COMPUTED_VALUE"""),"Yes")</f>
        <v>Yes</v>
      </c>
      <c r="N213" s="697" t="str">
        <f>IFERROR(__xludf.DUMMYFUNCTION("""COMPUTED_VALUE"""),"Cure rate at 6 months")</f>
        <v>Cure rate at 6 months</v>
      </c>
      <c r="O213" s="874">
        <f>IFERROR(__xludf.DUMMYFUNCTION("""COMPUTED_VALUE"""),0.91)</f>
        <v>0.91</v>
      </c>
      <c r="P213" s="697"/>
      <c r="Q213" s="697" t="str">
        <f>IFERROR(__xludf.DUMMYFUNCTION("""COMPUTED_VALUE"""),"Praziquantel and oxamniquine in doses as stated are effective against schistomial strains.")</f>
        <v>Praziquantel and oxamniquine in doses as stated are effective against schistomial strains.</v>
      </c>
      <c r="R213" s="697"/>
      <c r="S213" s="699" t="str">
        <f>IFERROR(__xludf.DUMMYFUNCTION("""COMPUTED_VALUE"""),"Al-Aska AK, Al-Mofleh IA, Al-Rashed R, Hafez MA, Al- Nozha M, Abu-Aisha H, et al. Praziquantel, oxamniquine, and metrifonate in the treatment of schistosomiasis in Riyadh. Annals of Saudi Medicine 1990;10(3):296–8.")</f>
        <v>Al-Aska AK, Al-Mofleh IA, Al-Rashed R, Hafez MA, Al- Nozha M, Abu-Aisha H, et al. Praziquantel, oxamniquine, and metrifonate in the treatment of schistosomiasis in Riyadh. Annals of Saudi Medicine 1990;10(3):296–8.</v>
      </c>
      <c r="T213" s="697"/>
      <c r="U213" s="697" t="str">
        <f>IFERROR(__xludf.DUMMYFUNCTION("""COMPUTED_VALUE"""),"")</f>
        <v/>
      </c>
      <c r="V213" s="697">
        <f>IFERROR(__xludf.DUMMYFUNCTION("""COMPUTED_VALUE"""),213.0)</f>
        <v>213</v>
      </c>
    </row>
    <row r="214">
      <c r="A214" s="697" t="str">
        <f>IFERROR(__xludf.DUMMYFUNCTION("""COMPUTED_VALUE"""),"Al Aska 1990")</f>
        <v>Al Aska 1990</v>
      </c>
      <c r="B214" s="697" t="str">
        <f>IFERROR(__xludf.DUMMYFUNCTION("""COMPUTED_VALUE"""),"s.mansoni")</f>
        <v>s.mansoni</v>
      </c>
      <c r="C214" s="697" t="str">
        <f>IFERROR(__xludf.DUMMYFUNCTION("""COMPUTED_VALUE"""),"Saudi Arabia")</f>
        <v>Saudi Arabia</v>
      </c>
      <c r="D214" s="697" t="str">
        <f>IFERROR(__xludf.DUMMYFUNCTION("""COMPUTED_VALUE"""),"Praziquantel")</f>
        <v>Praziquantel</v>
      </c>
      <c r="E214" s="697" t="str">
        <f>IFERROR(__xludf.DUMMYFUNCTION("""COMPUTED_VALUE"""),"Single")</f>
        <v>Single</v>
      </c>
      <c r="F214" s="697" t="str">
        <f>IFERROR(__xludf.DUMMYFUNCTION("""COMPUTED_VALUE"""),"40 mg/kg")</f>
        <v>40 mg/kg</v>
      </c>
      <c r="G214" s="702">
        <f>IFERROR(__xludf.DUMMYFUNCTION("""COMPUTED_VALUE"""),100.0)</f>
        <v>100</v>
      </c>
      <c r="H214" s="705" t="str">
        <f>IFERROR(__xludf.DUMMYFUNCTION("""COMPUTED_VALUE"""),"10-63")</f>
        <v>10-63</v>
      </c>
      <c r="I214" s="697" t="str">
        <f>IFERROR(__xludf.DUMMYFUNCTION("""COMPUTED_VALUE"""),"MF")</f>
        <v>MF</v>
      </c>
      <c r="J214" s="697">
        <f>IFERROR(__xludf.DUMMYFUNCTION("""COMPUTED_VALUE"""),1990.0)</f>
        <v>1990</v>
      </c>
      <c r="K214" s="697" t="str">
        <f>IFERROR(__xludf.DUMMYFUNCTION("""COMPUTED_VALUE"""),"Inclusion criteria: patients aged 10 to 63 years (mean: 26 years) with chronic S. mansoni infection with no previous treatment history")</f>
        <v>Inclusion criteria: patients aged 10 to 63 years (mean: 26 years) with chronic S. mansoni infection with no previous treatment history</v>
      </c>
      <c r="L214" s="697" t="str">
        <f>IFERROR(__xludf.DUMMYFUNCTION("""COMPUTED_VALUE"""),"No")</f>
        <v>No</v>
      </c>
      <c r="M214" s="697" t="str">
        <f>IFERROR(__xludf.DUMMYFUNCTION("""COMPUTED_VALUE"""),"Yes")</f>
        <v>Yes</v>
      </c>
      <c r="N214" s="697" t="str">
        <f>IFERROR(__xludf.DUMMYFUNCTION("""COMPUTED_VALUE"""),"Cure rate at 6 months")</f>
        <v>Cure rate at 6 months</v>
      </c>
      <c r="O214" s="874">
        <f>IFERROR(__xludf.DUMMYFUNCTION("""COMPUTED_VALUE"""),0.96)</f>
        <v>0.96</v>
      </c>
      <c r="P214" s="697"/>
      <c r="Q214" s="697" t="str">
        <f>IFERROR(__xludf.DUMMYFUNCTION("""COMPUTED_VALUE"""),"Praziquantel and oxamniquine in doses as stated are effective against schistomial strains.")</f>
        <v>Praziquantel and oxamniquine in doses as stated are effective against schistomial strains.</v>
      </c>
      <c r="R214" s="697"/>
      <c r="S214" s="699" t="str">
        <f>IFERROR(__xludf.DUMMYFUNCTION("""COMPUTED_VALUE"""),"Al-Aska AK, Al-Mofleh IA, Al-Rashed R, Hafez MA, Al- Nozha M, Abu-Aisha H, et al. Praziquantel, oxamniquine, and metrifonate in the treatment of schistosomiasis in Riyadh. Annals of Saudi Medicine 1990;10(3):296–8.")</f>
        <v>Al-Aska AK, Al-Mofleh IA, Al-Rashed R, Hafez MA, Al- Nozha M, Abu-Aisha H, et al. Praziquantel, oxamniquine, and metrifonate in the treatment of schistosomiasis in Riyadh. Annals of Saudi Medicine 1990;10(3):296–8.</v>
      </c>
      <c r="T214" s="697"/>
      <c r="U214" s="697" t="str">
        <f>IFERROR(__xludf.DUMMYFUNCTION("""COMPUTED_VALUE"""),"")</f>
        <v/>
      </c>
      <c r="V214" s="697">
        <f>IFERROR(__xludf.DUMMYFUNCTION("""COMPUTED_VALUE"""),214.0)</f>
        <v>214</v>
      </c>
    </row>
    <row r="215">
      <c r="A215" s="697" t="str">
        <f>IFERROR(__xludf.DUMMYFUNCTION("""COMPUTED_VALUE"""),"Al Aska 1990")</f>
        <v>Al Aska 1990</v>
      </c>
      <c r="B215" s="697" t="str">
        <f>IFERROR(__xludf.DUMMYFUNCTION("""COMPUTED_VALUE"""),"s.haematobium")</f>
        <v>s.haematobium</v>
      </c>
      <c r="C215" s="697" t="str">
        <f>IFERROR(__xludf.DUMMYFUNCTION("""COMPUTED_VALUE"""),"Saudi Arabia")</f>
        <v>Saudi Arabia</v>
      </c>
      <c r="D215" s="697" t="str">
        <f>IFERROR(__xludf.DUMMYFUNCTION("""COMPUTED_VALUE"""),"Praziquantel")</f>
        <v>Praziquantel</v>
      </c>
      <c r="E215" s="697" t="str">
        <f>IFERROR(__xludf.DUMMYFUNCTION("""COMPUTED_VALUE"""),"Single")</f>
        <v>Single</v>
      </c>
      <c r="F215" s="697" t="str">
        <f>IFERROR(__xludf.DUMMYFUNCTION("""COMPUTED_VALUE"""),"41 mg/kg")</f>
        <v>41 mg/kg</v>
      </c>
      <c r="G215" s="702">
        <f>IFERROR(__xludf.DUMMYFUNCTION("""COMPUTED_VALUE"""),50.0)</f>
        <v>50</v>
      </c>
      <c r="H215" s="705" t="str">
        <f>IFERROR(__xludf.DUMMYFUNCTION("""COMPUTED_VALUE"""),"10-64")</f>
        <v>10-64</v>
      </c>
      <c r="I215" s="697" t="str">
        <f>IFERROR(__xludf.DUMMYFUNCTION("""COMPUTED_VALUE"""),"MF")</f>
        <v>MF</v>
      </c>
      <c r="J215" s="697">
        <f>IFERROR(__xludf.DUMMYFUNCTION("""COMPUTED_VALUE"""),1990.0)</f>
        <v>1990</v>
      </c>
      <c r="K215" s="697" t="str">
        <f>IFERROR(__xludf.DUMMYFUNCTION("""COMPUTED_VALUE"""),"Inclusion criteria: patients aged 10 to 63 years (mean: 26 years) with chronic S. mansoni infection with no previous treatment history")</f>
        <v>Inclusion criteria: patients aged 10 to 63 years (mean: 26 years) with chronic S. mansoni infection with no previous treatment history</v>
      </c>
      <c r="L215" s="697" t="str">
        <f>IFERROR(__xludf.DUMMYFUNCTION("""COMPUTED_VALUE"""),"No")</f>
        <v>No</v>
      </c>
      <c r="M215" s="697" t="str">
        <f>IFERROR(__xludf.DUMMYFUNCTION("""COMPUTED_VALUE"""),"Yes")</f>
        <v>Yes</v>
      </c>
      <c r="N215" s="697" t="str">
        <f>IFERROR(__xludf.DUMMYFUNCTION("""COMPUTED_VALUE"""),"Cure rate at 6 months")</f>
        <v>Cure rate at 6 months</v>
      </c>
      <c r="O215" s="871" t="str">
        <f>IFERROR(__xludf.DUMMYFUNCTION("""COMPUTED_VALUE"""),"98%%")</f>
        <v>98%%</v>
      </c>
      <c r="P215" s="697"/>
      <c r="Q215" s="697" t="str">
        <f>IFERROR(__xludf.DUMMYFUNCTION("""COMPUTED_VALUE"""),"Praziquantel and oxamniquine in doses as stated are effective against schistomial strains.")</f>
        <v>Praziquantel and oxamniquine in doses as stated are effective against schistomial strains.</v>
      </c>
      <c r="R215" s="697"/>
      <c r="S215" s="699" t="str">
        <f>IFERROR(__xludf.DUMMYFUNCTION("""COMPUTED_VALUE"""),"Al-Aska AK, Al-Mofleh IA, Al-Rashed R, Hafez MA, Al- Nozha M, Abu-Aisha H, et al. Praziquantel, oxamniquine, and metrifonate in the treatment of schistosomiasis in Riyadh. Annals of Saudi Medicine 1990;10(3):296–8.")</f>
        <v>Al-Aska AK, Al-Mofleh IA, Al-Rashed R, Hafez MA, Al- Nozha M, Abu-Aisha H, et al. Praziquantel, oxamniquine, and metrifonate in the treatment of schistosomiasis in Riyadh. Annals of Saudi Medicine 1990;10(3):296–8.</v>
      </c>
      <c r="T215" s="697"/>
      <c r="U215" s="697" t="str">
        <f>IFERROR(__xludf.DUMMYFUNCTION("""COMPUTED_VALUE"""),"")</f>
        <v/>
      </c>
      <c r="V215" s="697">
        <f>IFERROR(__xludf.DUMMYFUNCTION("""COMPUTED_VALUE"""),215.0)</f>
        <v>215</v>
      </c>
    </row>
    <row r="216">
      <c r="A216" s="697" t="str">
        <f>IFERROR(__xludf.DUMMYFUNCTION("""COMPUTED_VALUE"""),"Ayele 1986")</f>
        <v>Ayele 1986</v>
      </c>
      <c r="B216" s="697" t="str">
        <f>IFERROR(__xludf.DUMMYFUNCTION("""COMPUTED_VALUE"""),"s.mansoni")</f>
        <v>s.mansoni</v>
      </c>
      <c r="C216" s="697" t="str">
        <f>IFERROR(__xludf.DUMMYFUNCTION("""COMPUTED_VALUE"""),"Ethiopia")</f>
        <v>Ethiopia</v>
      </c>
      <c r="D216" s="697" t="str">
        <f>IFERROR(__xludf.DUMMYFUNCTION("""COMPUTED_VALUE"""),"Oxamniquine")</f>
        <v>Oxamniquine</v>
      </c>
      <c r="E216" s="697" t="str">
        <f>IFERROR(__xludf.DUMMYFUNCTION("""COMPUTED_VALUE"""),"Two")</f>
        <v>Two</v>
      </c>
      <c r="F216" s="697" t="str">
        <f>IFERROR(__xludf.DUMMYFUNCTION("""COMPUTED_VALUE"""),"15 mg/kg for two days")</f>
        <v>15 mg/kg for two days</v>
      </c>
      <c r="G216" s="697">
        <f>IFERROR(__xludf.DUMMYFUNCTION("""COMPUTED_VALUE"""),40.0)</f>
        <v>40</v>
      </c>
      <c r="H216" s="705" t="str">
        <f>IFERROR(__xludf.DUMMYFUNCTION("""COMPUTED_VALUE"""),"&lt;15 ")</f>
        <v>&lt;15 </v>
      </c>
      <c r="I216" s="697" t="str">
        <f>IFERROR(__xludf.DUMMYFUNCTION("""COMPUTED_VALUE"""),"N/A")</f>
        <v>N/A</v>
      </c>
      <c r="J216" s="697">
        <f>IFERROR(__xludf.DUMMYFUNCTION("""COMPUTED_VALUE"""),1984.0)</f>
        <v>1984</v>
      </c>
      <c r="K216" s="697" t="str">
        <f>IFERROR(__xludf.DUMMYFUNCTION("""COMPUTED_VALUE"""),"Inclusion criteria: children below 15 years of age (specific age range not stated)")</f>
        <v>Inclusion criteria: children below 15 years of age (specific age range not stated)</v>
      </c>
      <c r="L216" s="697" t="str">
        <f>IFERROR(__xludf.DUMMYFUNCTION("""COMPUTED_VALUE"""),"Yes")</f>
        <v>Yes</v>
      </c>
      <c r="M216" s="697" t="str">
        <f>IFERROR(__xludf.DUMMYFUNCTION("""COMPUTED_VALUE"""),"Yes")</f>
        <v>Yes</v>
      </c>
      <c r="N216" s="697" t="str">
        <f>IFERROR(__xludf.DUMMYFUNCTION("""COMPUTED_VALUE"""),"Follow up done at 4months")</f>
        <v>Follow up done at 4months</v>
      </c>
      <c r="O216" s="873">
        <f>IFERROR(__xludf.DUMMYFUNCTION("""COMPUTED_VALUE"""),0.946)</f>
        <v>0.946</v>
      </c>
      <c r="P216" s="700">
        <f>IFERROR(__xludf.DUMMYFUNCTION("""COMPUTED_VALUE"""),0.82)</f>
        <v>0.82</v>
      </c>
      <c r="Q216" s="697" t="str">
        <f>IFERROR(__xludf.DUMMYFUNCTION("""COMPUTED_VALUE"""),"Oxamnine was well tolerated and accepted by the children in this study")</f>
        <v>Oxamnine was well tolerated and accepted by the children in this study</v>
      </c>
      <c r="R216" s="697"/>
      <c r="S216" s="699" t="str">
        <f>IFERROR(__xludf.DUMMYFUNCTION("""COMPUTED_VALUE"""),"Ayele T. Preliminary clinical trial of oral oxamniquine in the treatment of Schistosoma mansoni in children in Ethiopia. East African Medical Journal 1986;63(4):291–4.")</f>
        <v>Ayele T. Preliminary clinical trial of oral oxamniquine in the treatment of Schistosoma mansoni in children in Ethiopia. East African Medical Journal 1986;63(4):291–4.</v>
      </c>
      <c r="T216" s="697"/>
      <c r="U216" s="697" t="str">
        <f>IFERROR(__xludf.DUMMYFUNCTION("""COMPUTED_VALUE"""),"")</f>
        <v/>
      </c>
      <c r="V216" s="697">
        <f>IFERROR(__xludf.DUMMYFUNCTION("""COMPUTED_VALUE"""),216.0)</f>
        <v>216</v>
      </c>
    </row>
    <row r="217">
      <c r="A217" s="697" t="str">
        <f>IFERROR(__xludf.DUMMYFUNCTION("""COMPUTED_VALUE"""),"Ayele 1986")</f>
        <v>Ayele 1986</v>
      </c>
      <c r="B217" s="697" t="str">
        <f>IFERROR(__xludf.DUMMYFUNCTION("""COMPUTED_VALUE"""),"s.mansoni")</f>
        <v>s.mansoni</v>
      </c>
      <c r="C217" s="697" t="str">
        <f>IFERROR(__xludf.DUMMYFUNCTION("""COMPUTED_VALUE"""),"Ethiopia")</f>
        <v>Ethiopia</v>
      </c>
      <c r="D217" s="697" t="str">
        <f>IFERROR(__xludf.DUMMYFUNCTION("""COMPUTED_VALUE"""),"Oxamniquine")</f>
        <v>Oxamniquine</v>
      </c>
      <c r="E217" s="697" t="str">
        <f>IFERROR(__xludf.DUMMYFUNCTION("""COMPUTED_VALUE"""),"Two")</f>
        <v>Two</v>
      </c>
      <c r="F217" s="697" t="str">
        <f>IFERROR(__xludf.DUMMYFUNCTION("""COMPUTED_VALUE"""),"20 mg/kg")</f>
        <v>20 mg/kg</v>
      </c>
      <c r="G217" s="697">
        <f>IFERROR(__xludf.DUMMYFUNCTION("""COMPUTED_VALUE"""),41.0)</f>
        <v>41</v>
      </c>
      <c r="H217" s="705" t="str">
        <f>IFERROR(__xludf.DUMMYFUNCTION("""COMPUTED_VALUE"""),"&lt;15 ")</f>
        <v>&lt;15 </v>
      </c>
      <c r="I217" s="697" t="str">
        <f>IFERROR(__xludf.DUMMYFUNCTION("""COMPUTED_VALUE"""),"N/A")</f>
        <v>N/A</v>
      </c>
      <c r="J217" s="697">
        <f>IFERROR(__xludf.DUMMYFUNCTION("""COMPUTED_VALUE"""),1984.0)</f>
        <v>1984</v>
      </c>
      <c r="K217" s="697" t="str">
        <f>IFERROR(__xludf.DUMMYFUNCTION("""COMPUTED_VALUE"""),"Inclusion criteria: children below 15 years of age (specific age range not stated)")</f>
        <v>Inclusion criteria: children below 15 years of age (specific age range not stated)</v>
      </c>
      <c r="L217" s="697" t="str">
        <f>IFERROR(__xludf.DUMMYFUNCTION("""COMPUTED_VALUE"""),"Yes")</f>
        <v>Yes</v>
      </c>
      <c r="M217" s="697" t="str">
        <f>IFERROR(__xludf.DUMMYFUNCTION("""COMPUTED_VALUE"""),"Yes")</f>
        <v>Yes</v>
      </c>
      <c r="N217" s="697" t="str">
        <f>IFERROR(__xludf.DUMMYFUNCTION("""COMPUTED_VALUE"""),"Follow up done at 4months")</f>
        <v>Follow up done at 4months</v>
      </c>
      <c r="O217" s="873">
        <f>IFERROR(__xludf.DUMMYFUNCTION("""COMPUTED_VALUE"""),0.867)</f>
        <v>0.867</v>
      </c>
      <c r="P217" s="698">
        <f>IFERROR(__xludf.DUMMYFUNCTION("""COMPUTED_VALUE"""),0.427)</f>
        <v>0.427</v>
      </c>
      <c r="Q217" s="697" t="str">
        <f>IFERROR(__xludf.DUMMYFUNCTION("""COMPUTED_VALUE"""),"Oxamnine was well tolerated and accepted by the children in this study")</f>
        <v>Oxamnine was well tolerated and accepted by the children in this study</v>
      </c>
      <c r="R217" s="697"/>
      <c r="S217" s="699" t="str">
        <f>IFERROR(__xludf.DUMMYFUNCTION("""COMPUTED_VALUE"""),"Ayele T. Preliminary clinical trial of oral oxamniquine in the treatment of Schistosoma mansoni in children in Ethiopia. East African Medical Journal 1986;63(4):291–4.")</f>
        <v>Ayele T. Preliminary clinical trial of oral oxamniquine in the treatment of Schistosoma mansoni in children in Ethiopia. East African Medical Journal 1986;63(4):291–4.</v>
      </c>
      <c r="T217" s="697"/>
      <c r="U217" s="697" t="str">
        <f>IFERROR(__xludf.DUMMYFUNCTION("""COMPUTED_VALUE"""),"")</f>
        <v/>
      </c>
      <c r="V217" s="697">
        <f>IFERROR(__xludf.DUMMYFUNCTION("""COMPUTED_VALUE"""),217.0)</f>
        <v>217</v>
      </c>
    </row>
    <row r="218">
      <c r="A218" s="697" t="str">
        <f>IFERROR(__xludf.DUMMYFUNCTION("""COMPUTED_VALUE"""),"Ayele 1986")</f>
        <v>Ayele 1986</v>
      </c>
      <c r="B218" s="697" t="str">
        <f>IFERROR(__xludf.DUMMYFUNCTION("""COMPUTED_VALUE"""),"s.mansoni")</f>
        <v>s.mansoni</v>
      </c>
      <c r="C218" s="697" t="str">
        <f>IFERROR(__xludf.DUMMYFUNCTION("""COMPUTED_VALUE"""),"Ethiopia")</f>
        <v>Ethiopia</v>
      </c>
      <c r="D218" s="697" t="str">
        <f>IFERROR(__xludf.DUMMYFUNCTION("""COMPUTED_VALUE"""),"Oxamniquine")</f>
        <v>Oxamniquine</v>
      </c>
      <c r="E218" s="697" t="str">
        <f>IFERROR(__xludf.DUMMYFUNCTION("""COMPUTED_VALUE"""),"Two")</f>
        <v>Two</v>
      </c>
      <c r="F218" s="697" t="str">
        <f>IFERROR(__xludf.DUMMYFUNCTION("""COMPUTED_VALUE"""),"15 mg/kg")</f>
        <v>15 mg/kg</v>
      </c>
      <c r="G218" s="697">
        <f>IFERROR(__xludf.DUMMYFUNCTION("""COMPUTED_VALUE"""),41.0)</f>
        <v>41</v>
      </c>
      <c r="H218" s="705" t="str">
        <f>IFERROR(__xludf.DUMMYFUNCTION("""COMPUTED_VALUE"""),"&lt;15 ")</f>
        <v>&lt;15 </v>
      </c>
      <c r="I218" s="697" t="str">
        <f>IFERROR(__xludf.DUMMYFUNCTION("""COMPUTED_VALUE"""),"N/A")</f>
        <v>N/A</v>
      </c>
      <c r="J218" s="697">
        <f>IFERROR(__xludf.DUMMYFUNCTION("""COMPUTED_VALUE"""),1984.0)</f>
        <v>1984</v>
      </c>
      <c r="K218" s="697" t="str">
        <f>IFERROR(__xludf.DUMMYFUNCTION("""COMPUTED_VALUE"""),"Inclusion criteria: children below 15 years of age (specific age range not stated)")</f>
        <v>Inclusion criteria: children below 15 years of age (specific age range not stated)</v>
      </c>
      <c r="L218" s="697" t="str">
        <f>IFERROR(__xludf.DUMMYFUNCTION("""COMPUTED_VALUE"""),"Yes")</f>
        <v>Yes</v>
      </c>
      <c r="M218" s="697" t="str">
        <f>IFERROR(__xludf.DUMMYFUNCTION("""COMPUTED_VALUE"""),"Yes")</f>
        <v>Yes</v>
      </c>
      <c r="N218" s="697" t="str">
        <f>IFERROR(__xludf.DUMMYFUNCTION("""COMPUTED_VALUE"""),"Follow up done at 4months")</f>
        <v>Follow up done at 4months</v>
      </c>
      <c r="O218" s="873">
        <f>IFERROR(__xludf.DUMMYFUNCTION("""COMPUTED_VALUE"""),0.759)</f>
        <v>0.759</v>
      </c>
      <c r="P218" s="698">
        <f>IFERROR(__xludf.DUMMYFUNCTION("""COMPUTED_VALUE"""),0.681)</f>
        <v>0.681</v>
      </c>
      <c r="Q218" s="697" t="str">
        <f>IFERROR(__xludf.DUMMYFUNCTION("""COMPUTED_VALUE"""),"Oxamnine was well tolerated and accepted by the children in this study")</f>
        <v>Oxamnine was well tolerated and accepted by the children in this study</v>
      </c>
      <c r="R218" s="697"/>
      <c r="S218" s="699" t="str">
        <f>IFERROR(__xludf.DUMMYFUNCTION("""COMPUTED_VALUE"""),"Ayele T. Preliminary clinical trial of oral oxamniquine in the treatment of Schistosoma mansoni in children in Ethiopia. East African Medical Journal 1986;63(4):291–4.")</f>
        <v>Ayele T. Preliminary clinical trial of oral oxamniquine in the treatment of Schistosoma mansoni in children in Ethiopia. East African Medical Journal 1986;63(4):291–4.</v>
      </c>
      <c r="T218" s="697"/>
      <c r="U218" s="697" t="str">
        <f>IFERROR(__xludf.DUMMYFUNCTION("""COMPUTED_VALUE"""),"")</f>
        <v/>
      </c>
      <c r="V218" s="697">
        <f>IFERROR(__xludf.DUMMYFUNCTION("""COMPUTED_VALUE"""),218.0)</f>
        <v>218</v>
      </c>
    </row>
    <row r="219">
      <c r="A219" s="697" t="str">
        <f>IFERROR(__xludf.DUMMYFUNCTION("""COMPUTED_VALUE"""),"Fernandes 1986")</f>
        <v>Fernandes 1986</v>
      </c>
      <c r="B219" s="697" t="str">
        <f>IFERROR(__xludf.DUMMYFUNCTION("""COMPUTED_VALUE"""),"s.mansoni")</f>
        <v>s.mansoni</v>
      </c>
      <c r="C219" s="697" t="str">
        <f>IFERROR(__xludf.DUMMYFUNCTION("""COMPUTED_VALUE"""),"Brazil")</f>
        <v>Brazil</v>
      </c>
      <c r="D219" s="697" t="str">
        <f>IFERROR(__xludf.DUMMYFUNCTION("""COMPUTED_VALUE"""),"Praziquantel")</f>
        <v>Praziquantel</v>
      </c>
      <c r="E219" s="697" t="str">
        <f>IFERROR(__xludf.DUMMYFUNCTION("""COMPUTED_VALUE"""),"Single")</f>
        <v>Single</v>
      </c>
      <c r="F219" s="697" t="str">
        <f>IFERROR(__xludf.DUMMYFUNCTION("""COMPUTED_VALUE"""),"70 mg/kg")</f>
        <v>70 mg/kg</v>
      </c>
      <c r="G219" s="697"/>
      <c r="H219" s="705" t="str">
        <f>IFERROR(__xludf.DUMMYFUNCTION("""COMPUTED_VALUE"""),"15-72")</f>
        <v>15-72</v>
      </c>
      <c r="I219" s="697"/>
      <c r="J219" s="697">
        <f>IFERROR(__xludf.DUMMYFUNCTION("""COMPUTED_VALUE"""),2003.0)</f>
        <v>2003</v>
      </c>
      <c r="K219" s="697" t="str">
        <f>IFERROR(__xludf.DUMMYFUNCTION("""COMPUTED_VALUE"""),"Inclusion criteria: patients aged 15 to 72 years excreting more than 100 to 2,500 EPG of S. mansoni were included")</f>
        <v>Inclusion criteria: patients aged 15 to 72 years excreting more than 100 to 2,500 EPG of S. mansoni were included</v>
      </c>
      <c r="L219" s="697" t="str">
        <f>IFERROR(__xludf.DUMMYFUNCTION("""COMPUTED_VALUE"""),"No")</f>
        <v>No</v>
      </c>
      <c r="M219" s="697" t="str">
        <f>IFERROR(__xludf.DUMMYFUNCTION("""COMPUTED_VALUE"""),"Yes")</f>
        <v>Yes</v>
      </c>
      <c r="N219" s="697"/>
      <c r="O219" s="871"/>
      <c r="P219" s="697"/>
      <c r="Q219" s="697"/>
      <c r="R219" s="697"/>
      <c r="S219" s="699" t="str">
        <f>IFERROR(__xludf.DUMMYFUNCTION("""COMPUTED_VALUE"""),"Fernandes P, Oliveira CC. Efficacy of two regimes of praziquantel versus oxamniquine [Estudo comparativo da eficacia do praziquantel, em dois esquemas posologicos, e da oxaminiquina no tratamento da esquistossomose mansonica]. Folha Medica 1986;93(5-6):38"&amp;"9–93.")</f>
        <v>Fernandes P, Oliveira CC. Efficacy of two regimes of praziquantel versus oxamniquine [Estudo comparativo da eficacia do praziquantel, em dois esquemas posologicos, e da oxaminiquina no tratamento da esquistossomose mansonica]. Folha Medica 1986;93(5-6):389–93.</v>
      </c>
      <c r="T219" s="697"/>
      <c r="U219" s="697" t="str">
        <f>IFERROR(__xludf.DUMMYFUNCTION("""COMPUTED_VALUE"""),"")</f>
        <v/>
      </c>
      <c r="V219" s="697">
        <f>IFERROR(__xludf.DUMMYFUNCTION("""COMPUTED_VALUE"""),219.0)</f>
        <v>219</v>
      </c>
    </row>
    <row r="220">
      <c r="A220" s="697" t="str">
        <f>IFERROR(__xludf.DUMMYFUNCTION("""COMPUTED_VALUE"""),"Fernandes 1986")</f>
        <v>Fernandes 1986</v>
      </c>
      <c r="B220" s="697" t="str">
        <f>IFERROR(__xludf.DUMMYFUNCTION("""COMPUTED_VALUE"""),"s.mansoni")</f>
        <v>s.mansoni</v>
      </c>
      <c r="C220" s="697" t="str">
        <f>IFERROR(__xludf.DUMMYFUNCTION("""COMPUTED_VALUE"""),"Brazil")</f>
        <v>Brazil</v>
      </c>
      <c r="D220" s="697" t="str">
        <f>IFERROR(__xludf.DUMMYFUNCTION("""COMPUTED_VALUE"""),"Praziquantel")</f>
        <v>Praziquantel</v>
      </c>
      <c r="E220" s="697" t="str">
        <f>IFERROR(__xludf.DUMMYFUNCTION("""COMPUTED_VALUE"""),"Two")</f>
        <v>Two</v>
      </c>
      <c r="F220" s="697" t="str">
        <f>IFERROR(__xludf.DUMMYFUNCTION("""COMPUTED_VALUE"""),"35 mg/kg")</f>
        <v>35 mg/kg</v>
      </c>
      <c r="G220" s="697"/>
      <c r="H220" s="705" t="str">
        <f>IFERROR(__xludf.DUMMYFUNCTION("""COMPUTED_VALUE"""),"15-72")</f>
        <v>15-72</v>
      </c>
      <c r="I220" s="697"/>
      <c r="J220" s="697">
        <f>IFERROR(__xludf.DUMMYFUNCTION("""COMPUTED_VALUE"""),2003.0)</f>
        <v>2003</v>
      </c>
      <c r="K220" s="697" t="str">
        <f>IFERROR(__xludf.DUMMYFUNCTION("""COMPUTED_VALUE"""),"Inclusion criteria: patients aged 15 to 72 years excreting more than 100 to 2,500 EPG of S. mansoni were included")</f>
        <v>Inclusion criteria: patients aged 15 to 72 years excreting more than 100 to 2,500 EPG of S. mansoni were included</v>
      </c>
      <c r="L220" s="697" t="str">
        <f>IFERROR(__xludf.DUMMYFUNCTION("""COMPUTED_VALUE"""),"No")</f>
        <v>No</v>
      </c>
      <c r="M220" s="697" t="str">
        <f>IFERROR(__xludf.DUMMYFUNCTION("""COMPUTED_VALUE"""),"Yes")</f>
        <v>Yes</v>
      </c>
      <c r="N220" s="697"/>
      <c r="O220" s="871"/>
      <c r="P220" s="697"/>
      <c r="Q220" s="697"/>
      <c r="R220" s="697"/>
      <c r="S220" s="697" t="str">
        <f>IFERROR(__xludf.DUMMYFUNCTION("""COMPUTED_VALUE"""),"Fernandes P, Oliveira CC. Efficacy of two regimes of praziquantel versus oxamniquine [Estudo comparativo da eficacia do praziquantel, em dois esquemas posologicos, e da oxaminiquina no tratamento da esquistossomose mansonica]. Folha Medica 1986;93(5-6):38"&amp;"9–93.")</f>
        <v>Fernandes P, Oliveira CC. Efficacy of two regimes of praziquantel versus oxamniquine [Estudo comparativo da eficacia do praziquantel, em dois esquemas posologicos, e da oxaminiquina no tratamento da esquistossomose mansonica]. Folha Medica 1986;93(5-6):389–93.</v>
      </c>
      <c r="T220" s="697"/>
      <c r="U220" s="697" t="str">
        <f>IFERROR(__xludf.DUMMYFUNCTION("""COMPUTED_VALUE"""),"")</f>
        <v/>
      </c>
      <c r="V220" s="697">
        <f>IFERROR(__xludf.DUMMYFUNCTION("""COMPUTED_VALUE"""),220.0)</f>
        <v>220</v>
      </c>
    </row>
    <row r="221">
      <c r="A221" s="697" t="str">
        <f>IFERROR(__xludf.DUMMYFUNCTION("""COMPUTED_VALUE"""),"Fernandes 1986")</f>
        <v>Fernandes 1986</v>
      </c>
      <c r="B221" s="697" t="str">
        <f>IFERROR(__xludf.DUMMYFUNCTION("""COMPUTED_VALUE"""),"s.mansoni")</f>
        <v>s.mansoni</v>
      </c>
      <c r="C221" s="697" t="str">
        <f>IFERROR(__xludf.DUMMYFUNCTION("""COMPUTED_VALUE"""),"Brazil")</f>
        <v>Brazil</v>
      </c>
      <c r="D221" s="697" t="str">
        <f>IFERROR(__xludf.DUMMYFUNCTION("""COMPUTED_VALUE"""),"Oxamniquine")</f>
        <v>Oxamniquine</v>
      </c>
      <c r="E221" s="697" t="str">
        <f>IFERROR(__xludf.DUMMYFUNCTION("""COMPUTED_VALUE"""),"Single")</f>
        <v>Single</v>
      </c>
      <c r="F221" s="697" t="str">
        <f>IFERROR(__xludf.DUMMYFUNCTION("""COMPUTED_VALUE"""),"15 mg/kg")</f>
        <v>15 mg/kg</v>
      </c>
      <c r="G221" s="697"/>
      <c r="H221" s="705" t="str">
        <f>IFERROR(__xludf.DUMMYFUNCTION("""COMPUTED_VALUE"""),"15-72")</f>
        <v>15-72</v>
      </c>
      <c r="I221" s="697"/>
      <c r="J221" s="697">
        <f>IFERROR(__xludf.DUMMYFUNCTION("""COMPUTED_VALUE"""),2003.0)</f>
        <v>2003</v>
      </c>
      <c r="K221" s="697" t="str">
        <f>IFERROR(__xludf.DUMMYFUNCTION("""COMPUTED_VALUE"""),"Inclusion criteria: patients aged 15 to 72 years excreting more than 100 to 2,500 EPG of S. mansoni were included")</f>
        <v>Inclusion criteria: patients aged 15 to 72 years excreting more than 100 to 2,500 EPG of S. mansoni were included</v>
      </c>
      <c r="L221" s="697" t="str">
        <f>IFERROR(__xludf.DUMMYFUNCTION("""COMPUTED_VALUE"""),"No")</f>
        <v>No</v>
      </c>
      <c r="M221" s="697" t="str">
        <f>IFERROR(__xludf.DUMMYFUNCTION("""COMPUTED_VALUE"""),"Yes")</f>
        <v>Yes</v>
      </c>
      <c r="N221" s="697"/>
      <c r="O221" s="871"/>
      <c r="P221" s="697"/>
      <c r="Q221" s="697"/>
      <c r="R221" s="697"/>
      <c r="S221" s="697" t="str">
        <f>IFERROR(__xludf.DUMMYFUNCTION("""COMPUTED_VALUE"""),"Fernandes P, Oliveira CC. Efficacy of two regimes of praziquantel versus oxamniquine [Estudo comparativo da eficacia do praziquantel, em dois esquemas posologicos, e da oxaminiquina no tratamento da esquistossomose mansonica]. Folha Medica 1986;93(5-6):38"&amp;"9–93.")</f>
        <v>Fernandes P, Oliveira CC. Efficacy of two regimes of praziquantel versus oxamniquine [Estudo comparativo da eficacia do praziquantel, em dois esquemas posologicos, e da oxaminiquina no tratamento da esquistossomose mansonica]. Folha Medica 1986;93(5-6):389–93.</v>
      </c>
      <c r="T221" s="697"/>
      <c r="U221" s="697" t="str">
        <f>IFERROR(__xludf.DUMMYFUNCTION("""COMPUTED_VALUE"""),"")</f>
        <v/>
      </c>
      <c r="V221" s="697">
        <f>IFERROR(__xludf.DUMMYFUNCTION("""COMPUTED_VALUE"""),221.0)</f>
        <v>221</v>
      </c>
    </row>
    <row r="222">
      <c r="A222" s="697" t="str">
        <f>IFERROR(__xludf.DUMMYFUNCTION("""COMPUTED_VALUE"""),"Homeida 1989")</f>
        <v>Homeida 1989</v>
      </c>
      <c r="B222" s="697" t="str">
        <f>IFERROR(__xludf.DUMMYFUNCTION("""COMPUTED_VALUE"""),"s.mansoni")</f>
        <v>s.mansoni</v>
      </c>
      <c r="C222" s="697" t="str">
        <f>IFERROR(__xludf.DUMMYFUNCTION("""COMPUTED_VALUE"""),"Sudan")</f>
        <v>Sudan</v>
      </c>
      <c r="D222" s="697" t="str">
        <f>IFERROR(__xludf.DUMMYFUNCTION("""COMPUTED_VALUE"""),"Praziquantel")</f>
        <v>Praziquantel</v>
      </c>
      <c r="E222" s="697" t="str">
        <f>IFERROR(__xludf.DUMMYFUNCTION("""COMPUTED_VALUE"""),"Single")</f>
        <v>Single</v>
      </c>
      <c r="F222" s="697" t="str">
        <f>IFERROR(__xludf.DUMMYFUNCTION("""COMPUTED_VALUE"""),"40 mg/kg")</f>
        <v>40 mg/kg</v>
      </c>
      <c r="G222" s="697">
        <f>IFERROR(__xludf.DUMMYFUNCTION("""COMPUTED_VALUE"""),406.0)</f>
        <v>406</v>
      </c>
      <c r="H222" s="697"/>
      <c r="I222" s="705" t="str">
        <f>IFERROR(__xludf.DUMMYFUNCTION("""COMPUTED_VALUE"""),"1:1")</f>
        <v>1:1</v>
      </c>
      <c r="J222" s="697">
        <f>IFERROR(__xludf.DUMMYFUNCTION("""COMPUTED_VALUE"""),1989.0)</f>
        <v>1989</v>
      </c>
      <c r="K222" s="697" t="str">
        <f>IFERROR(__xludf.DUMMYFUNCTION("""COMPUTED_VALUE"""),"Inclusion criteria: individuals who were positive for S. mansoni")</f>
        <v>Inclusion criteria: individuals who were positive for S. mansoni</v>
      </c>
      <c r="L222" s="697" t="str">
        <f>IFERROR(__xludf.DUMMYFUNCTION("""COMPUTED_VALUE"""),"Yes")</f>
        <v>Yes</v>
      </c>
      <c r="M222" s="697" t="str">
        <f>IFERROR(__xludf.DUMMYFUNCTION("""COMPUTED_VALUE"""),"Yes")</f>
        <v>Yes</v>
      </c>
      <c r="N222" s="697" t="str">
        <f>IFERROR(__xludf.DUMMYFUNCTION("""COMPUTED_VALUE"""),"Follow up done at 6 w")</f>
        <v>Follow up done at 6 w</v>
      </c>
      <c r="O222" s="872">
        <f>IFERROR(__xludf.DUMMYFUNCTION("""COMPUTED_VALUE"""),0.85)</f>
        <v>0.85</v>
      </c>
      <c r="P222" s="698">
        <f>IFERROR(__xludf.DUMMYFUNCTION("""COMPUTED_VALUE"""),0.995)</f>
        <v>0.995</v>
      </c>
      <c r="Q222" s="697" t="str">
        <f>IFERROR(__xludf.DUMMYFUNCTION("""COMPUTED_VALUE"""),"Both brands of praziquantel were effective in reducing infection")</f>
        <v>Both brands of praziquantel were effective in reducing infection</v>
      </c>
      <c r="R222" s="697"/>
      <c r="S222" s="699" t="str">
        <f>IFERROR(__xludf.DUMMYFUNCTION("""COMPUTED_VALUE"""),"Homeida MM, Eltom IA, Sulaiman SM, Ali HM, Bennett JL. Tolerance of two brands of praziquantel. Lancet 1989; 334(8659):391.")</f>
        <v>Homeida MM, Eltom IA, Sulaiman SM, Ali HM, Bennett JL. Tolerance of two brands of praziquantel. Lancet 1989; 334(8659):391.</v>
      </c>
      <c r="T222" s="697"/>
      <c r="U222" s="697" t="str">
        <f>IFERROR(__xludf.DUMMYFUNCTION("""COMPUTED_VALUE"""),"")</f>
        <v/>
      </c>
      <c r="V222" s="697">
        <f>IFERROR(__xludf.DUMMYFUNCTION("""COMPUTED_VALUE"""),222.0)</f>
        <v>222</v>
      </c>
    </row>
    <row r="223">
      <c r="A223" s="697" t="str">
        <f>IFERROR(__xludf.DUMMYFUNCTION("""COMPUTED_VALUE"""),"Homeida 1989")</f>
        <v>Homeida 1989</v>
      </c>
      <c r="B223" s="697" t="str">
        <f>IFERROR(__xludf.DUMMYFUNCTION("""COMPUTED_VALUE"""),"s.mansoni")</f>
        <v>s.mansoni</v>
      </c>
      <c r="C223" s="697" t="str">
        <f>IFERROR(__xludf.DUMMYFUNCTION("""COMPUTED_VALUE"""),"Sudan")</f>
        <v>Sudan</v>
      </c>
      <c r="D223" s="697" t="str">
        <f>IFERROR(__xludf.DUMMYFUNCTION("""COMPUTED_VALUE"""),"Praziquantel")</f>
        <v>Praziquantel</v>
      </c>
      <c r="E223" s="697" t="str">
        <f>IFERROR(__xludf.DUMMYFUNCTION("""COMPUTED_VALUE"""),"Single")</f>
        <v>Single</v>
      </c>
      <c r="F223" s="697" t="str">
        <f>IFERROR(__xludf.DUMMYFUNCTION("""COMPUTED_VALUE"""),"40 mg/kg")</f>
        <v>40 mg/kg</v>
      </c>
      <c r="G223" s="697">
        <f>IFERROR(__xludf.DUMMYFUNCTION("""COMPUTED_VALUE"""),410.0)</f>
        <v>410</v>
      </c>
      <c r="H223" s="697"/>
      <c r="I223" s="705" t="str">
        <f>IFERROR(__xludf.DUMMYFUNCTION("""COMPUTED_VALUE"""),"1:1")</f>
        <v>1:1</v>
      </c>
      <c r="J223" s="697">
        <f>IFERROR(__xludf.DUMMYFUNCTION("""COMPUTED_VALUE"""),1989.0)</f>
        <v>1989</v>
      </c>
      <c r="K223" s="697" t="str">
        <f>IFERROR(__xludf.DUMMYFUNCTION("""COMPUTED_VALUE"""),"Inclusion criteria: individuals who were positive for S. mansoni")</f>
        <v>Inclusion criteria: individuals who were positive for S. mansoni</v>
      </c>
      <c r="L223" s="697" t="str">
        <f>IFERROR(__xludf.DUMMYFUNCTION("""COMPUTED_VALUE"""),"Yes")</f>
        <v>Yes</v>
      </c>
      <c r="M223" s="697" t="str">
        <f>IFERROR(__xludf.DUMMYFUNCTION("""COMPUTED_VALUE"""),"Yes")</f>
        <v>Yes</v>
      </c>
      <c r="N223" s="697" t="str">
        <f>IFERROR(__xludf.DUMMYFUNCTION("""COMPUTED_VALUE"""),"Follow up done at 6 w")</f>
        <v>Follow up done at 6 w</v>
      </c>
      <c r="O223" s="872">
        <f>IFERROR(__xludf.DUMMYFUNCTION("""COMPUTED_VALUE"""),0.94)</f>
        <v>0.94</v>
      </c>
      <c r="P223" s="698">
        <f>IFERROR(__xludf.DUMMYFUNCTION("""COMPUTED_VALUE"""),0.995)</f>
        <v>0.995</v>
      </c>
      <c r="Q223" s="697" t="str">
        <f>IFERROR(__xludf.DUMMYFUNCTION("""COMPUTED_VALUE"""),"Both brands of praziquantel were effective in reducing infection")</f>
        <v>Both brands of praziquantel were effective in reducing infection</v>
      </c>
      <c r="R223" s="697"/>
      <c r="S223" s="699" t="str">
        <f>IFERROR(__xludf.DUMMYFUNCTION("""COMPUTED_VALUE"""),"Homeida MM, Eltom IA, Sulaiman SM, Ali HM, Bennett JL. Tolerance of two brands of praziquantel. Lancet 1989; 334(8659):391.")</f>
        <v>Homeida MM, Eltom IA, Sulaiman SM, Ali HM, Bennett JL. Tolerance of two brands of praziquantel. Lancet 1989; 334(8659):391.</v>
      </c>
      <c r="T223" s="697"/>
      <c r="U223" s="697" t="str">
        <f>IFERROR(__xludf.DUMMYFUNCTION("""COMPUTED_VALUE"""),"")</f>
        <v/>
      </c>
      <c r="V223" s="697">
        <f>IFERROR(__xludf.DUMMYFUNCTION("""COMPUTED_VALUE"""),223.0)</f>
        <v>223</v>
      </c>
    </row>
    <row r="224">
      <c r="A224" s="697" t="str">
        <f>IFERROR(__xludf.DUMMYFUNCTION("""COMPUTED_VALUE"""),"Katz 1981")</f>
        <v>Katz 1981</v>
      </c>
      <c r="B224" s="697" t="str">
        <f>IFERROR(__xludf.DUMMYFUNCTION("""COMPUTED_VALUE"""),"s.mansoni")</f>
        <v>s.mansoni</v>
      </c>
      <c r="C224" s="697" t="str">
        <f>IFERROR(__xludf.DUMMYFUNCTION("""COMPUTED_VALUE"""),"Brazil")</f>
        <v>Brazil</v>
      </c>
      <c r="D224" s="697" t="str">
        <f>IFERROR(__xludf.DUMMYFUNCTION("""COMPUTED_VALUE"""),"Praziquantel")</f>
        <v>Praziquantel</v>
      </c>
      <c r="E224" s="697" t="str">
        <f>IFERROR(__xludf.DUMMYFUNCTION("""COMPUTED_VALUE"""),"Single")</f>
        <v>Single</v>
      </c>
      <c r="F224" s="697" t="str">
        <f>IFERROR(__xludf.DUMMYFUNCTION("""COMPUTED_VALUE"""),"30 mg/kg")</f>
        <v>30 mg/kg</v>
      </c>
      <c r="G224" s="697">
        <f>IFERROR(__xludf.DUMMYFUNCTION("""COMPUTED_VALUE"""),47.0)</f>
        <v>47</v>
      </c>
      <c r="H224" s="697" t="str">
        <f>IFERROR(__xludf.DUMMYFUNCTION("""COMPUTED_VALUE"""),"Adults and Children")</f>
        <v>Adults and Children</v>
      </c>
      <c r="I224" s="705" t="str">
        <f>IFERROR(__xludf.DUMMYFUNCTION("""COMPUTED_VALUE"""),"42:5")</f>
        <v>42:5</v>
      </c>
      <c r="J224" s="697">
        <f>IFERROR(__xludf.DUMMYFUNCTION("""COMPUTED_VALUE"""),1981.0)</f>
        <v>1981</v>
      </c>
      <c r="K224" s="697" t="str">
        <f>IFERROR(__xludf.DUMMYFUNCTION("""COMPUTED_VALUE"""),"Inclusion criteria: patients attending the hospital found to have S. mansoni infection")</f>
        <v>Inclusion criteria: patients attending the hospital found to have S. mansoni infection</v>
      </c>
      <c r="L224" s="697" t="str">
        <f>IFERROR(__xludf.DUMMYFUNCTION("""COMPUTED_VALUE"""),"Yes ")</f>
        <v>Yes </v>
      </c>
      <c r="M224" s="697" t="str">
        <f>IFERROR(__xludf.DUMMYFUNCTION("""COMPUTED_VALUE"""),"Yes")</f>
        <v>Yes</v>
      </c>
      <c r="N224" s="697"/>
      <c r="O224" s="873">
        <f>IFERROR(__xludf.DUMMYFUNCTION("""COMPUTED_VALUE"""),0.516)</f>
        <v>0.516</v>
      </c>
      <c r="P224" s="706">
        <f>IFERROR(__xludf.DUMMYFUNCTION("""COMPUTED_VALUE"""),0.925)</f>
        <v>0.925</v>
      </c>
      <c r="Q224" s="697" t="str">
        <f>IFERROR(__xludf.DUMMYFUNCTION("""COMPUTED_VALUE"""),"Praziquantel is an effective drug for clinical management of schistomiasis")</f>
        <v>Praziquantel is an effective drug for clinical management of schistomiasis</v>
      </c>
      <c r="R224" s="697"/>
      <c r="S224" s="699" t="str">
        <f>IFERROR(__xludf.DUMMYFUNCTION("""COMPUTED_VALUE"""),"Katz N. Clinical trials with praziquantel in schistosomiasis mansoni. Revista do Instituto de Medicina Tropical de São Paulo 1981;23(2):72–8.")</f>
        <v>Katz N. Clinical trials with praziquantel in schistosomiasis mansoni. Revista do Instituto de Medicina Tropical de São Paulo 1981;23(2):72–8.</v>
      </c>
      <c r="T224" s="697"/>
      <c r="U224" s="697" t="str">
        <f>IFERROR(__xludf.DUMMYFUNCTION("""COMPUTED_VALUE"""),"")</f>
        <v/>
      </c>
      <c r="V224" s="697">
        <f>IFERROR(__xludf.DUMMYFUNCTION("""COMPUTED_VALUE"""),224.0)</f>
        <v>224</v>
      </c>
    </row>
    <row r="225">
      <c r="A225" s="697" t="str">
        <f>IFERROR(__xludf.DUMMYFUNCTION("""COMPUTED_VALUE"""),"Katz 1981")</f>
        <v>Katz 1981</v>
      </c>
      <c r="B225" s="697" t="str">
        <f>IFERROR(__xludf.DUMMYFUNCTION("""COMPUTED_VALUE"""),"s.mansoni")</f>
        <v>s.mansoni</v>
      </c>
      <c r="C225" s="697" t="str">
        <f>IFERROR(__xludf.DUMMYFUNCTION("""COMPUTED_VALUE"""),"Brazil")</f>
        <v>Brazil</v>
      </c>
      <c r="D225" s="697" t="str">
        <f>IFERROR(__xludf.DUMMYFUNCTION("""COMPUTED_VALUE"""),"Praziquantel")</f>
        <v>Praziquantel</v>
      </c>
      <c r="E225" s="697" t="str">
        <f>IFERROR(__xludf.DUMMYFUNCTION("""COMPUTED_VALUE"""),"Single")</f>
        <v>Single</v>
      </c>
      <c r="F225" s="697" t="str">
        <f>IFERROR(__xludf.DUMMYFUNCTION("""COMPUTED_VALUE"""),"40 mg/kg")</f>
        <v>40 mg/kg</v>
      </c>
      <c r="G225" s="697">
        <f>IFERROR(__xludf.DUMMYFUNCTION("""COMPUTED_VALUE"""),45.0)</f>
        <v>45</v>
      </c>
      <c r="H225" s="697" t="str">
        <f>IFERROR(__xludf.DUMMYFUNCTION("""COMPUTED_VALUE"""),"Adults and Children")</f>
        <v>Adults and Children</v>
      </c>
      <c r="I225" s="705" t="str">
        <f>IFERROR(__xludf.DUMMYFUNCTION("""COMPUTED_VALUE"""),"41:4")</f>
        <v>41:4</v>
      </c>
      <c r="J225" s="697">
        <f>IFERROR(__xludf.DUMMYFUNCTION("""COMPUTED_VALUE"""),1981.0)</f>
        <v>1981</v>
      </c>
      <c r="K225" s="697" t="str">
        <f>IFERROR(__xludf.DUMMYFUNCTION("""COMPUTED_VALUE"""),"Inclusion criteria: patients attending the hospital found to have S. mansoni infection")</f>
        <v>Inclusion criteria: patients attending the hospital found to have S. mansoni infection</v>
      </c>
      <c r="L225" s="697" t="str">
        <f>IFERROR(__xludf.DUMMYFUNCTION("""COMPUTED_VALUE"""),"Yes ")</f>
        <v>Yes </v>
      </c>
      <c r="M225" s="697" t="str">
        <f>IFERROR(__xludf.DUMMYFUNCTION("""COMPUTED_VALUE"""),"Yes")</f>
        <v>Yes</v>
      </c>
      <c r="N225" s="697"/>
      <c r="O225" s="872">
        <f>IFERROR(__xludf.DUMMYFUNCTION("""COMPUTED_VALUE"""),0.78)</f>
        <v>0.78</v>
      </c>
      <c r="P225" s="706">
        <f>IFERROR(__xludf.DUMMYFUNCTION("""COMPUTED_VALUE"""),0.977)</f>
        <v>0.977</v>
      </c>
      <c r="Q225" s="697" t="str">
        <f>IFERROR(__xludf.DUMMYFUNCTION("""COMPUTED_VALUE"""),"Praziquantel is an effective drug for clinical management of schistomiasis")</f>
        <v>Praziquantel is an effective drug for clinical management of schistomiasis</v>
      </c>
      <c r="R225" s="697"/>
      <c r="S225" s="699" t="str">
        <f>IFERROR(__xludf.DUMMYFUNCTION("""COMPUTED_VALUE"""),"Katz N. Clinical trials with praziquantel in schistosomiasis mansoni. Revista do Instituto de Medicina Tropical de São Paulo 1981;23(2):72–8.")</f>
        <v>Katz N. Clinical trials with praziquantel in schistosomiasis mansoni. Revista do Instituto de Medicina Tropical de São Paulo 1981;23(2):72–8.</v>
      </c>
      <c r="T225" s="697"/>
      <c r="U225" s="697" t="str">
        <f>IFERROR(__xludf.DUMMYFUNCTION("""COMPUTED_VALUE"""),"")</f>
        <v/>
      </c>
      <c r="V225" s="697">
        <f>IFERROR(__xludf.DUMMYFUNCTION("""COMPUTED_VALUE"""),225.0)</f>
        <v>225</v>
      </c>
    </row>
    <row r="226">
      <c r="A226" s="697" t="str">
        <f>IFERROR(__xludf.DUMMYFUNCTION("""COMPUTED_VALUE"""),"Katz 1981")</f>
        <v>Katz 1981</v>
      </c>
      <c r="B226" s="697" t="str">
        <f>IFERROR(__xludf.DUMMYFUNCTION("""COMPUTED_VALUE"""),"s.mansoni")</f>
        <v>s.mansoni</v>
      </c>
      <c r="C226" s="697" t="str">
        <f>IFERROR(__xludf.DUMMYFUNCTION("""COMPUTED_VALUE"""),"Brazil")</f>
        <v>Brazil</v>
      </c>
      <c r="D226" s="697" t="str">
        <f>IFERROR(__xludf.DUMMYFUNCTION("""COMPUTED_VALUE"""),"Praziquantel")</f>
        <v>Praziquantel</v>
      </c>
      <c r="E226" s="697" t="str">
        <f>IFERROR(__xludf.DUMMYFUNCTION("""COMPUTED_VALUE"""),"Two")</f>
        <v>Two</v>
      </c>
      <c r="F226" s="697" t="str">
        <f>IFERROR(__xludf.DUMMYFUNCTION("""COMPUTED_VALUE"""),"25 mg/kg")</f>
        <v>25 mg/kg</v>
      </c>
      <c r="G226" s="697">
        <f>IFERROR(__xludf.DUMMYFUNCTION("""COMPUTED_VALUE"""),46.0)</f>
        <v>46</v>
      </c>
      <c r="H226" s="697" t="str">
        <f>IFERROR(__xludf.DUMMYFUNCTION("""COMPUTED_VALUE"""),"Adults and Children")</f>
        <v>Adults and Children</v>
      </c>
      <c r="I226" s="705" t="str">
        <f>IFERROR(__xludf.DUMMYFUNCTION("""COMPUTED_VALUE"""),"38:8")</f>
        <v>38:8</v>
      </c>
      <c r="J226" s="697">
        <f>IFERROR(__xludf.DUMMYFUNCTION("""COMPUTED_VALUE"""),1981.0)</f>
        <v>1981</v>
      </c>
      <c r="K226" s="697" t="str">
        <f>IFERROR(__xludf.DUMMYFUNCTION("""COMPUTED_VALUE"""),"Inclusion criteria: patients attending the hospital found to have S. mansoni infection")</f>
        <v>Inclusion criteria: patients attending the hospital found to have S. mansoni infection</v>
      </c>
      <c r="L226" s="697" t="str">
        <f>IFERROR(__xludf.DUMMYFUNCTION("""COMPUTED_VALUE"""),"Yes ")</f>
        <v>Yes </v>
      </c>
      <c r="M226" s="697" t="str">
        <f>IFERROR(__xludf.DUMMYFUNCTION("""COMPUTED_VALUE"""),"Yes")</f>
        <v>Yes</v>
      </c>
      <c r="N226" s="697"/>
      <c r="O226" s="874">
        <f>IFERROR(__xludf.DUMMYFUNCTION("""COMPUTED_VALUE"""),0.75)</f>
        <v>0.75</v>
      </c>
      <c r="P226" s="706">
        <f>IFERROR(__xludf.DUMMYFUNCTION("""COMPUTED_VALUE"""),0.951)</f>
        <v>0.951</v>
      </c>
      <c r="Q226" s="697" t="str">
        <f>IFERROR(__xludf.DUMMYFUNCTION("""COMPUTED_VALUE"""),"Praziquantel is an effective drug for clinical management of schistomiasis")</f>
        <v>Praziquantel is an effective drug for clinical management of schistomiasis</v>
      </c>
      <c r="R226" s="697"/>
      <c r="S226" s="699" t="str">
        <f>IFERROR(__xludf.DUMMYFUNCTION("""COMPUTED_VALUE"""),"Katz N. Clinical trials with praziquantel in schistosomiasis mansoni. Revista do Instituto de Medicina Tropical de São Paulo 1981;23(2):72–8.")</f>
        <v>Katz N. Clinical trials with praziquantel in schistosomiasis mansoni. Revista do Instituto de Medicina Tropical de São Paulo 1981;23(2):72–8.</v>
      </c>
      <c r="T226" s="697"/>
      <c r="U226" s="697" t="str">
        <f>IFERROR(__xludf.DUMMYFUNCTION("""COMPUTED_VALUE"""),"")</f>
        <v/>
      </c>
      <c r="V226" s="697">
        <f>IFERROR(__xludf.DUMMYFUNCTION("""COMPUTED_VALUE"""),226.0)</f>
        <v>226</v>
      </c>
    </row>
    <row r="227">
      <c r="A227" s="697" t="str">
        <f>IFERROR(__xludf.DUMMYFUNCTION("""COMPUTED_VALUE"""),"Katz 1982")</f>
        <v>Katz 1982</v>
      </c>
      <c r="B227" s="697" t="str">
        <f>IFERROR(__xludf.DUMMYFUNCTION("""COMPUTED_VALUE"""),"s.mansoni")</f>
        <v>s.mansoni</v>
      </c>
      <c r="C227" s="697" t="str">
        <f>IFERROR(__xludf.DUMMYFUNCTION("""COMPUTED_VALUE"""),"Brazil")</f>
        <v>Brazil</v>
      </c>
      <c r="D227" s="697" t="str">
        <f>IFERROR(__xludf.DUMMYFUNCTION("""COMPUTED_VALUE"""),"Oxamniquine")</f>
        <v>Oxamniquine</v>
      </c>
      <c r="E227" s="697" t="str">
        <f>IFERROR(__xludf.DUMMYFUNCTION("""COMPUTED_VALUE"""),"Single")</f>
        <v>Single</v>
      </c>
      <c r="F227" s="697" t="str">
        <f>IFERROR(__xludf.DUMMYFUNCTION("""COMPUTED_VALUE"""),"20 mg/kg")</f>
        <v>20 mg/kg</v>
      </c>
      <c r="G227" s="697">
        <f>IFERROR(__xludf.DUMMYFUNCTION("""COMPUTED_VALUE"""),60.0)</f>
        <v>60</v>
      </c>
      <c r="H227" s="704">
        <f>IFERROR(__xludf.DUMMYFUNCTION("""COMPUTED_VALUE"""),42596.0)</f>
        <v>42596</v>
      </c>
      <c r="I227" s="705" t="str">
        <f>IFERROR(__xludf.DUMMYFUNCTION("""COMPUTED_VALUE"""),"MF")</f>
        <v>MF</v>
      </c>
      <c r="J227" s="697">
        <f>IFERROR(__xludf.DUMMYFUNCTION("""COMPUTED_VALUE"""),1982.0)</f>
        <v>1982</v>
      </c>
      <c r="K227" s="697" t="str">
        <f>IFERROR(__xludf.DUMMYFUNCTION("""COMPUTED_VALUE"""),"Inclusion criteria: children aged 8 to 14 years excreting between 90 and &lt; 2,500 EPG, weighing between 17 and 50 kg")</f>
        <v>Inclusion criteria: children aged 8 to 14 years excreting between 90 and &lt; 2,500 EPG, weighing between 17 and 50 kg</v>
      </c>
      <c r="L227" s="697" t="str">
        <f>IFERROR(__xludf.DUMMYFUNCTION("""COMPUTED_VALUE"""),"Yes")</f>
        <v>Yes</v>
      </c>
      <c r="M227" s="697" t="str">
        <f>IFERROR(__xludf.DUMMYFUNCTION("""COMPUTED_VALUE"""),"Yes")</f>
        <v>Yes</v>
      </c>
      <c r="N227" s="697" t="str">
        <f>IFERROR(__xludf.DUMMYFUNCTION("""COMPUTED_VALUE"""),"Follow up at 6 months")</f>
        <v>Follow up at 6 months</v>
      </c>
      <c r="O227" s="873">
        <f>IFERROR(__xludf.DUMMYFUNCTION("""COMPUTED_VALUE"""),0.653)</f>
        <v>0.653</v>
      </c>
      <c r="P227" s="697"/>
      <c r="Q227" s="697" t="str">
        <f>IFERROR(__xludf.DUMMYFUNCTION("""COMPUTED_VALUE"""),"These two drugs are efficient therauptical weapons for treating schistomiasis mansoni in Brazil")</f>
        <v>These two drugs are efficient therauptical weapons for treating schistomiasis mansoni in Brazil</v>
      </c>
      <c r="R227" s="697"/>
      <c r="S227" s="699" t="str">
        <f>IFERROR(__xludf.DUMMYFUNCTION("""COMPUTED_VALUE"""),"Katz N, Rocha RS. Double-blind clinical trial comparing praziquantel with oxamniquine in schistosomiasis mansoni. Revista do Instituto de Medicina Tropical de São Paulo 1982; 24(5):310–4.")</f>
        <v>Katz N, Rocha RS. Double-blind clinical trial comparing praziquantel with oxamniquine in schistosomiasis mansoni. Revista do Instituto de Medicina Tropical de São Paulo 1982; 24(5):310–4.</v>
      </c>
      <c r="T227" s="697"/>
      <c r="U227" s="697" t="str">
        <f>IFERROR(__xludf.DUMMYFUNCTION("""COMPUTED_VALUE"""),"")</f>
        <v/>
      </c>
      <c r="V227" s="697">
        <f>IFERROR(__xludf.DUMMYFUNCTION("""COMPUTED_VALUE"""),227.0)</f>
        <v>227</v>
      </c>
    </row>
    <row r="228">
      <c r="A228" s="697" t="str">
        <f>IFERROR(__xludf.DUMMYFUNCTION("""COMPUTED_VALUE"""),"Katz 1982")</f>
        <v>Katz 1982</v>
      </c>
      <c r="B228" s="697" t="str">
        <f>IFERROR(__xludf.DUMMYFUNCTION("""COMPUTED_VALUE"""),"s.mansoni")</f>
        <v>s.mansoni</v>
      </c>
      <c r="C228" s="697" t="str">
        <f>IFERROR(__xludf.DUMMYFUNCTION("""COMPUTED_VALUE"""),"Brazil")</f>
        <v>Brazil</v>
      </c>
      <c r="D228" s="697" t="str">
        <f>IFERROR(__xludf.DUMMYFUNCTION("""COMPUTED_VALUE"""),"Praziquantel")</f>
        <v>Praziquantel</v>
      </c>
      <c r="E228" s="697" t="str">
        <f>IFERROR(__xludf.DUMMYFUNCTION("""COMPUTED_VALUE"""),"Single")</f>
        <v>Single</v>
      </c>
      <c r="F228" s="697" t="str">
        <f>IFERROR(__xludf.DUMMYFUNCTION("""COMPUTED_VALUE"""),"65 mg/kg")</f>
        <v>65 mg/kg</v>
      </c>
      <c r="G228" s="697">
        <f>IFERROR(__xludf.DUMMYFUNCTION("""COMPUTED_VALUE"""),60.0)</f>
        <v>60</v>
      </c>
      <c r="H228" s="704">
        <f>IFERROR(__xludf.DUMMYFUNCTION("""COMPUTED_VALUE"""),42596.0)</f>
        <v>42596</v>
      </c>
      <c r="I228" s="705" t="str">
        <f>IFERROR(__xludf.DUMMYFUNCTION("""COMPUTED_VALUE"""),"MF")</f>
        <v>MF</v>
      </c>
      <c r="J228" s="697">
        <f>IFERROR(__xludf.DUMMYFUNCTION("""COMPUTED_VALUE"""),1982.0)</f>
        <v>1982</v>
      </c>
      <c r="K228" s="697" t="str">
        <f>IFERROR(__xludf.DUMMYFUNCTION("""COMPUTED_VALUE"""),"Inclusion criteria: children aged 8 to 14 years excreting between 90 and &lt; 2,500 EPG, weighing between 17 and 50 kg")</f>
        <v>Inclusion criteria: children aged 8 to 14 years excreting between 90 and &lt; 2,500 EPG, weighing between 17 and 50 kg</v>
      </c>
      <c r="L228" s="697" t="str">
        <f>IFERROR(__xludf.DUMMYFUNCTION("""COMPUTED_VALUE"""),"Yes")</f>
        <v>Yes</v>
      </c>
      <c r="M228" s="697" t="str">
        <f>IFERROR(__xludf.DUMMYFUNCTION("""COMPUTED_VALUE"""),"Yes")</f>
        <v>Yes</v>
      </c>
      <c r="N228" s="697" t="str">
        <f>IFERROR(__xludf.DUMMYFUNCTION("""COMPUTED_VALUE"""),"Follow up at 6 months")</f>
        <v>Follow up at 6 months</v>
      </c>
      <c r="O228" s="873">
        <f>IFERROR(__xludf.DUMMYFUNCTION("""COMPUTED_VALUE"""),0.761)</f>
        <v>0.761</v>
      </c>
      <c r="P228" s="697"/>
      <c r="Q228" s="697" t="str">
        <f>IFERROR(__xludf.DUMMYFUNCTION("""COMPUTED_VALUE"""),"These two drugs are efficient therauptical weapons for treating schistomiasis mansoni in Brazil")</f>
        <v>These two drugs are efficient therauptical weapons for treating schistomiasis mansoni in Brazil</v>
      </c>
      <c r="R228" s="697"/>
      <c r="S228" s="699" t="str">
        <f>IFERROR(__xludf.DUMMYFUNCTION("""COMPUTED_VALUE"""),"Katz N, Rocha RS. Double-blind clinical trial comparing praziquantel with oxamniquine in schistosomiasis mansoni. Revista do Instituto de Medicina Tropical de São Paulo 1982; 24(5):310–4.")</f>
        <v>Katz N, Rocha RS. Double-blind clinical trial comparing praziquantel with oxamniquine in schistosomiasis mansoni. Revista do Instituto de Medicina Tropical de São Paulo 1982; 24(5):310–4.</v>
      </c>
      <c r="T228" s="697"/>
      <c r="U228" s="697" t="str">
        <f>IFERROR(__xludf.DUMMYFUNCTION("""COMPUTED_VALUE"""),"")</f>
        <v/>
      </c>
      <c r="V228" s="697">
        <f>IFERROR(__xludf.DUMMYFUNCTION("""COMPUTED_VALUE"""),228.0)</f>
        <v>228</v>
      </c>
    </row>
    <row r="229">
      <c r="A229" s="697" t="str">
        <f>IFERROR(__xludf.DUMMYFUNCTION("""COMPUTED_VALUE"""),"Omer 1981")</f>
        <v>Omer 1981</v>
      </c>
      <c r="B229" s="697" t="str">
        <f>IFERROR(__xludf.DUMMYFUNCTION("""COMPUTED_VALUE"""),"s. haematobium")</f>
        <v>s. haematobium</v>
      </c>
      <c r="C229" s="697" t="str">
        <f>IFERROR(__xludf.DUMMYFUNCTION("""COMPUTED_VALUE"""),"Sudan")</f>
        <v>Sudan</v>
      </c>
      <c r="D229" s="697" t="str">
        <f>IFERROR(__xludf.DUMMYFUNCTION("""COMPUTED_VALUE"""),"Praziquantel")</f>
        <v>Praziquantel</v>
      </c>
      <c r="E229" s="697" t="str">
        <f>IFERROR(__xludf.DUMMYFUNCTION("""COMPUTED_VALUE"""),"Single")</f>
        <v>Single</v>
      </c>
      <c r="F229" s="697" t="str">
        <f>IFERROR(__xludf.DUMMYFUNCTION("""COMPUTED_VALUE"""),"40 mg/kg")</f>
        <v>40 mg/kg</v>
      </c>
      <c r="G229" s="697">
        <f>IFERROR(__xludf.DUMMYFUNCTION("""COMPUTED_VALUE"""),50.0)</f>
        <v>50</v>
      </c>
      <c r="H229" s="697" t="str">
        <f>IFERROR(__xludf.DUMMYFUNCTION("""COMPUTED_VALUE"""),"&gt;8")</f>
        <v>&gt;8</v>
      </c>
      <c r="I229" s="705" t="str">
        <f>IFERROR(__xludf.DUMMYFUNCTION("""COMPUTED_VALUE"""),"63%:37%")</f>
        <v>63%:37%</v>
      </c>
      <c r="J229" s="697">
        <f>IFERROR(__xludf.DUMMYFUNCTION("""COMPUTED_VALUE"""),1979.0)</f>
        <v>1979</v>
      </c>
      <c r="K229" s="697" t="str">
        <f>IFERROR(__xludf.DUMMYFUNCTION("""COMPUTED_VALUE"""),"individuals who were positive for S. mansoni and S. haematobium (mixed infection)")</f>
        <v>individuals who were positive for S. mansoni and S. haematobium (mixed infection)</v>
      </c>
      <c r="L229" s="697" t="str">
        <f>IFERROR(__xludf.DUMMYFUNCTION("""COMPUTED_VALUE"""),"Yes")</f>
        <v>Yes</v>
      </c>
      <c r="M229" s="697" t="str">
        <f>IFERROR(__xludf.DUMMYFUNCTION("""COMPUTED_VALUE"""),"Yes")</f>
        <v>Yes</v>
      </c>
      <c r="N229" s="697" t="str">
        <f>IFERROR(__xludf.DUMMYFUNCTION("""COMPUTED_VALUE"""),"Cure rate was found by adding the 100% reduction +the &gt;98% and no hatching column")</f>
        <v>Cure rate was found by adding the 100% reduction +the &gt;98% and no hatching column</v>
      </c>
      <c r="O229" s="874">
        <f>IFERROR(__xludf.DUMMYFUNCTION("""COMPUTED_VALUE"""),0.86)</f>
        <v>0.86</v>
      </c>
      <c r="P229" s="697"/>
      <c r="Q229" s="697" t="str">
        <f>IFERROR(__xludf.DUMMYFUNCTION("""COMPUTED_VALUE"""),"Thus findings of the present study suggest that praziquantel being easily applicable, safe and effective also in mixed infections, will have a great role to play in the control ofschistosomiasis in the near future.")</f>
        <v>Thus findings of the present study suggest that praziquantel being easily applicable, safe and effective also in mixed infections, will have a great role to play in the control ofschistosomiasis in the near future.</v>
      </c>
      <c r="R229" s="697"/>
      <c r="S229" s="699" t="str">
        <f>IFERROR(__xludf.DUMMYFUNCTION("""COMPUTED_VALUE"""),"Omer AH. Praziquantel in the treatment of mixed S. haematobium and S. mansoni infections. Arzneimittelforschung 1981;31(3a):605–8.")</f>
        <v>Omer AH. Praziquantel in the treatment of mixed S. haematobium and S. mansoni infections. Arzneimittelforschung 1981;31(3a):605–8.</v>
      </c>
      <c r="T229" s="697"/>
      <c r="U229" s="697" t="str">
        <f>IFERROR(__xludf.DUMMYFUNCTION("""COMPUTED_VALUE"""),"")</f>
        <v/>
      </c>
      <c r="V229" s="697">
        <f>IFERROR(__xludf.DUMMYFUNCTION("""COMPUTED_VALUE"""),229.0)</f>
        <v>229</v>
      </c>
    </row>
    <row r="230">
      <c r="A230" s="697" t="str">
        <f>IFERROR(__xludf.DUMMYFUNCTION("""COMPUTED_VALUE"""),"Omer 1981")</f>
        <v>Omer 1981</v>
      </c>
      <c r="B230" s="697" t="str">
        <f>IFERROR(__xludf.DUMMYFUNCTION("""COMPUTED_VALUE"""),"s. haematobium")</f>
        <v>s. haematobium</v>
      </c>
      <c r="C230" s="697" t="str">
        <f>IFERROR(__xludf.DUMMYFUNCTION("""COMPUTED_VALUE"""),"Sudan")</f>
        <v>Sudan</v>
      </c>
      <c r="D230" s="697" t="str">
        <f>IFERROR(__xludf.DUMMYFUNCTION("""COMPUTED_VALUE"""),"Praziquantel")</f>
        <v>Praziquantel</v>
      </c>
      <c r="E230" s="697" t="str">
        <f>IFERROR(__xludf.DUMMYFUNCTION("""COMPUTED_VALUE"""),"Two")</f>
        <v>Two</v>
      </c>
      <c r="F230" s="697" t="str">
        <f>IFERROR(__xludf.DUMMYFUNCTION("""COMPUTED_VALUE"""),"20 mg/kg")</f>
        <v>20 mg/kg</v>
      </c>
      <c r="G230" s="697">
        <f>IFERROR(__xludf.DUMMYFUNCTION("""COMPUTED_VALUE"""),52.0)</f>
        <v>52</v>
      </c>
      <c r="H230" s="697" t="str">
        <f>IFERROR(__xludf.DUMMYFUNCTION("""COMPUTED_VALUE"""),"&gt;8")</f>
        <v>&gt;8</v>
      </c>
      <c r="I230" s="705" t="str">
        <f>IFERROR(__xludf.DUMMYFUNCTION("""COMPUTED_VALUE"""),"75%:25%")</f>
        <v>75%:25%</v>
      </c>
      <c r="J230" s="697">
        <f>IFERROR(__xludf.DUMMYFUNCTION("""COMPUTED_VALUE"""),1979.0)</f>
        <v>1979</v>
      </c>
      <c r="K230" s="697" t="str">
        <f>IFERROR(__xludf.DUMMYFUNCTION("""COMPUTED_VALUE"""),"individuals who were positive for S. mansoni and S. haematobium (mixed infection)")</f>
        <v>individuals who were positive for S. mansoni and S. haematobium (mixed infection)</v>
      </c>
      <c r="L230" s="697" t="str">
        <f>IFERROR(__xludf.DUMMYFUNCTION("""COMPUTED_VALUE"""),"Yes ")</f>
        <v>Yes </v>
      </c>
      <c r="M230" s="697" t="str">
        <f>IFERROR(__xludf.DUMMYFUNCTION("""COMPUTED_VALUE"""),"Yes")</f>
        <v>Yes</v>
      </c>
      <c r="N230" s="697" t="str">
        <f>IFERROR(__xludf.DUMMYFUNCTION("""COMPUTED_VALUE"""),"Cure rate was found by adding the 100% reduction +the &gt;98% and no hatching column")</f>
        <v>Cure rate was found by adding the 100% reduction +the &gt;98% and no hatching column</v>
      </c>
      <c r="O230" s="874">
        <f>IFERROR(__xludf.DUMMYFUNCTION("""COMPUTED_VALUE"""),0.75)</f>
        <v>0.75</v>
      </c>
      <c r="P230" s="697"/>
      <c r="Q230" s="697" t="str">
        <f>IFERROR(__xludf.DUMMYFUNCTION("""COMPUTED_VALUE"""),"Thus findings of the present study suggest that praziquantel being easily applicable, safe and effective also in mixed infections, will have a great role to play in the control ofschistosomiasis in the near future.")</f>
        <v>Thus findings of the present study suggest that praziquantel being easily applicable, safe and effective also in mixed infections, will have a great role to play in the control ofschistosomiasis in the near future.</v>
      </c>
      <c r="R230" s="697"/>
      <c r="S230" s="699" t="str">
        <f>IFERROR(__xludf.DUMMYFUNCTION("""COMPUTED_VALUE"""),"Omer AH. Praziquantel in the treatment of mixed S. haematobium and S. mansoni infections. Arzneimittelforschung 1981;31(3a):605–8.")</f>
        <v>Omer AH. Praziquantel in the treatment of mixed S. haematobium and S. mansoni infections. Arzneimittelforschung 1981;31(3a):605–8.</v>
      </c>
      <c r="T230" s="697"/>
      <c r="U230" s="697" t="str">
        <f>IFERROR(__xludf.DUMMYFUNCTION("""COMPUTED_VALUE"""),"")</f>
        <v/>
      </c>
      <c r="V230" s="697">
        <f>IFERROR(__xludf.DUMMYFUNCTION("""COMPUTED_VALUE"""),230.0)</f>
        <v>230</v>
      </c>
    </row>
    <row r="231">
      <c r="A231" s="697" t="str">
        <f>IFERROR(__xludf.DUMMYFUNCTION("""COMPUTED_VALUE"""),"Omer 1981")</f>
        <v>Omer 1981</v>
      </c>
      <c r="B231" s="697" t="str">
        <f>IFERROR(__xludf.DUMMYFUNCTION("""COMPUTED_VALUE"""),"s. haematobium")</f>
        <v>s. haematobium</v>
      </c>
      <c r="C231" s="697" t="str">
        <f>IFERROR(__xludf.DUMMYFUNCTION("""COMPUTED_VALUE"""),"Sudan")</f>
        <v>Sudan</v>
      </c>
      <c r="D231" s="697" t="str">
        <f>IFERROR(__xludf.DUMMYFUNCTION("""COMPUTED_VALUE"""),"Praziquantel")</f>
        <v>Praziquantel</v>
      </c>
      <c r="E231" s="697" t="str">
        <f>IFERROR(__xludf.DUMMYFUNCTION("""COMPUTED_VALUE"""),"Single")</f>
        <v>Single</v>
      </c>
      <c r="F231" s="697" t="str">
        <f>IFERROR(__xludf.DUMMYFUNCTION("""COMPUTED_VALUE"""),"30 mg/kg")</f>
        <v>30 mg/kg</v>
      </c>
      <c r="G231" s="697">
        <f>IFERROR(__xludf.DUMMYFUNCTION("""COMPUTED_VALUE"""),50.0)</f>
        <v>50</v>
      </c>
      <c r="H231" s="697" t="str">
        <f>IFERROR(__xludf.DUMMYFUNCTION("""COMPUTED_VALUE"""),"&gt;8")</f>
        <v>&gt;8</v>
      </c>
      <c r="I231" s="705" t="str">
        <f>IFERROR(__xludf.DUMMYFUNCTION("""COMPUTED_VALUE"""),"60%:36%")</f>
        <v>60%:36%</v>
      </c>
      <c r="J231" s="697">
        <f>IFERROR(__xludf.DUMMYFUNCTION("""COMPUTED_VALUE"""),1979.0)</f>
        <v>1979</v>
      </c>
      <c r="K231" s="697" t="str">
        <f>IFERROR(__xludf.DUMMYFUNCTION("""COMPUTED_VALUE"""),"individuals who were positive for S. mansoni and S. haematobium (mixed infection)")</f>
        <v>individuals who were positive for S. mansoni and S. haematobium (mixed infection)</v>
      </c>
      <c r="L231" s="697" t="str">
        <f>IFERROR(__xludf.DUMMYFUNCTION("""COMPUTED_VALUE"""),"Yes ")</f>
        <v>Yes </v>
      </c>
      <c r="M231" s="697" t="str">
        <f>IFERROR(__xludf.DUMMYFUNCTION("""COMPUTED_VALUE"""),"Yes")</f>
        <v>Yes</v>
      </c>
      <c r="N231" s="697" t="str">
        <f>IFERROR(__xludf.DUMMYFUNCTION("""COMPUTED_VALUE"""),"Cure rate was found by adding the 100% reduction +the &gt;98% and no hatching column")</f>
        <v>Cure rate was found by adding the 100% reduction +the &gt;98% and no hatching column</v>
      </c>
      <c r="O231" s="872">
        <f>IFERROR(__xludf.DUMMYFUNCTION("""COMPUTED_VALUE"""),0.71)</f>
        <v>0.71</v>
      </c>
      <c r="P231" s="697"/>
      <c r="Q231" s="697" t="str">
        <f>IFERROR(__xludf.DUMMYFUNCTION("""COMPUTED_VALUE"""),"Thus findings of the present study suggest that praziquantel being easily applicable, safe and effective also in mixed infections, will have a great role to play in the control ofschistosomiasis in the near future.")</f>
        <v>Thus findings of the present study suggest that praziquantel being easily applicable, safe and effective also in mixed infections, will have a great role to play in the control ofschistosomiasis in the near future.</v>
      </c>
      <c r="R231" s="697"/>
      <c r="S231" s="699" t="str">
        <f>IFERROR(__xludf.DUMMYFUNCTION("""COMPUTED_VALUE"""),"Omer AH. Praziquantel in the treatment of mixed S. haematobium and S. mansoni infections. Arzneimittelforschung 1981;31(3a):605–8.")</f>
        <v>Omer AH. Praziquantel in the treatment of mixed S. haematobium and S. mansoni infections. Arzneimittelforschung 1981;31(3a):605–8.</v>
      </c>
      <c r="T231" s="697"/>
      <c r="U231" s="697" t="str">
        <f>IFERROR(__xludf.DUMMYFUNCTION("""COMPUTED_VALUE"""),"")</f>
        <v/>
      </c>
      <c r="V231" s="697">
        <f>IFERROR(__xludf.DUMMYFUNCTION("""COMPUTED_VALUE"""),231.0)</f>
        <v>231</v>
      </c>
    </row>
    <row r="232">
      <c r="A232" s="697" t="str">
        <f>IFERROR(__xludf.DUMMYFUNCTION("""COMPUTED_VALUE"""),"Omer 1981")</f>
        <v>Omer 1981</v>
      </c>
      <c r="B232" s="697" t="str">
        <f>IFERROR(__xludf.DUMMYFUNCTION("""COMPUTED_VALUE"""),"s.mansoni")</f>
        <v>s.mansoni</v>
      </c>
      <c r="C232" s="697" t="str">
        <f>IFERROR(__xludf.DUMMYFUNCTION("""COMPUTED_VALUE"""),"Sudan")</f>
        <v>Sudan</v>
      </c>
      <c r="D232" s="697" t="str">
        <f>IFERROR(__xludf.DUMMYFUNCTION("""COMPUTED_VALUE"""),"Praziquantel")</f>
        <v>Praziquantel</v>
      </c>
      <c r="E232" s="697" t="str">
        <f>IFERROR(__xludf.DUMMYFUNCTION("""COMPUTED_VALUE"""),"Single")</f>
        <v>Single</v>
      </c>
      <c r="F232" s="697" t="str">
        <f>IFERROR(__xludf.DUMMYFUNCTION("""COMPUTED_VALUE"""),"40 mg/kg")</f>
        <v>40 mg/kg</v>
      </c>
      <c r="G232" s="697">
        <f>IFERROR(__xludf.DUMMYFUNCTION("""COMPUTED_VALUE"""),50.0)</f>
        <v>50</v>
      </c>
      <c r="H232" s="697" t="str">
        <f>IFERROR(__xludf.DUMMYFUNCTION("""COMPUTED_VALUE"""),"&gt;8")</f>
        <v>&gt;8</v>
      </c>
      <c r="I232" s="705" t="str">
        <f>IFERROR(__xludf.DUMMYFUNCTION("""COMPUTED_VALUE"""),"63%:37%")</f>
        <v>63%:37%</v>
      </c>
      <c r="J232" s="697">
        <f>IFERROR(__xludf.DUMMYFUNCTION("""COMPUTED_VALUE"""),1979.0)</f>
        <v>1979</v>
      </c>
      <c r="K232" s="697" t="str">
        <f>IFERROR(__xludf.DUMMYFUNCTION("""COMPUTED_VALUE"""),"individuals who were positive for S. mansoni and S. haematobium (mixed infection)")</f>
        <v>individuals who were positive for S. mansoni and S. haematobium (mixed infection)</v>
      </c>
      <c r="L232" s="697" t="str">
        <f>IFERROR(__xludf.DUMMYFUNCTION("""COMPUTED_VALUE"""),"Yes ")</f>
        <v>Yes </v>
      </c>
      <c r="M232" s="697" t="str">
        <f>IFERROR(__xludf.DUMMYFUNCTION("""COMPUTED_VALUE"""),"Yes")</f>
        <v>Yes</v>
      </c>
      <c r="N232" s="697" t="str">
        <f>IFERROR(__xludf.DUMMYFUNCTION("""COMPUTED_VALUE"""),"Cure rate was found by adding the 100% reduction +the &gt;98% and no hatching column")</f>
        <v>Cure rate was found by adding the 100% reduction +the &gt;98% and no hatching column</v>
      </c>
      <c r="O232" s="874">
        <f>IFERROR(__xludf.DUMMYFUNCTION("""COMPUTED_VALUE"""),0.77)</f>
        <v>0.77</v>
      </c>
      <c r="P232" s="697"/>
      <c r="Q232" s="697" t="str">
        <f>IFERROR(__xludf.DUMMYFUNCTION("""COMPUTED_VALUE"""),"Thus findings of the present study suggest that praziquantel being easily applicable, safe and effective also in mixed infections, will have a great role to play in the control ofschistosomiasis in the near future.")</f>
        <v>Thus findings of the present study suggest that praziquantel being easily applicable, safe and effective also in mixed infections, will have a great role to play in the control ofschistosomiasis in the near future.</v>
      </c>
      <c r="R232" s="697"/>
      <c r="S232" s="699" t="str">
        <f>IFERROR(__xludf.DUMMYFUNCTION("""COMPUTED_VALUE"""),"Omer AH. Praziquantel in the treatment of mixed S. haematobium and S. mansoni infections. Arzneimittelforschung 1981;31(3a):605–8.")</f>
        <v>Omer AH. Praziquantel in the treatment of mixed S. haematobium and S. mansoni infections. Arzneimittelforschung 1981;31(3a):605–8.</v>
      </c>
      <c r="T232" s="697"/>
      <c r="U232" s="697" t="str">
        <f>IFERROR(__xludf.DUMMYFUNCTION("""COMPUTED_VALUE"""),"")</f>
        <v/>
      </c>
      <c r="V232" s="697">
        <f>IFERROR(__xludf.DUMMYFUNCTION("""COMPUTED_VALUE"""),232.0)</f>
        <v>232</v>
      </c>
    </row>
    <row r="233">
      <c r="A233" s="697" t="str">
        <f>IFERROR(__xludf.DUMMYFUNCTION("""COMPUTED_VALUE"""),"Omer 1981")</f>
        <v>Omer 1981</v>
      </c>
      <c r="B233" s="697" t="str">
        <f>IFERROR(__xludf.DUMMYFUNCTION("""COMPUTED_VALUE"""),"s.mansoni")</f>
        <v>s.mansoni</v>
      </c>
      <c r="C233" s="697" t="str">
        <f>IFERROR(__xludf.DUMMYFUNCTION("""COMPUTED_VALUE"""),"Sudan")</f>
        <v>Sudan</v>
      </c>
      <c r="D233" s="697" t="str">
        <f>IFERROR(__xludf.DUMMYFUNCTION("""COMPUTED_VALUE"""),"Praziquantel")</f>
        <v>Praziquantel</v>
      </c>
      <c r="E233" s="697" t="str">
        <f>IFERROR(__xludf.DUMMYFUNCTION("""COMPUTED_VALUE"""),"Two")</f>
        <v>Two</v>
      </c>
      <c r="F233" s="697" t="str">
        <f>IFERROR(__xludf.DUMMYFUNCTION("""COMPUTED_VALUE"""),"20 mg/kg")</f>
        <v>20 mg/kg</v>
      </c>
      <c r="G233" s="697">
        <f>IFERROR(__xludf.DUMMYFUNCTION("""COMPUTED_VALUE"""),52.0)</f>
        <v>52</v>
      </c>
      <c r="H233" s="697" t="str">
        <f>IFERROR(__xludf.DUMMYFUNCTION("""COMPUTED_VALUE"""),"&gt;8")</f>
        <v>&gt;8</v>
      </c>
      <c r="I233" s="705" t="str">
        <f>IFERROR(__xludf.DUMMYFUNCTION("""COMPUTED_VALUE"""),"75%:25%")</f>
        <v>75%:25%</v>
      </c>
      <c r="J233" s="697">
        <f>IFERROR(__xludf.DUMMYFUNCTION("""COMPUTED_VALUE"""),1979.0)</f>
        <v>1979</v>
      </c>
      <c r="K233" s="697" t="str">
        <f>IFERROR(__xludf.DUMMYFUNCTION("""COMPUTED_VALUE"""),"individuals who were positive for S. mansoni and S. haematobium (mixed infection)")</f>
        <v>individuals who were positive for S. mansoni and S. haematobium (mixed infection)</v>
      </c>
      <c r="L233" s="697" t="str">
        <f>IFERROR(__xludf.DUMMYFUNCTION("""COMPUTED_VALUE"""),"Yes ")</f>
        <v>Yes </v>
      </c>
      <c r="M233" s="697" t="str">
        <f>IFERROR(__xludf.DUMMYFUNCTION("""COMPUTED_VALUE"""),"Yes")</f>
        <v>Yes</v>
      </c>
      <c r="N233" s="697" t="str">
        <f>IFERROR(__xludf.DUMMYFUNCTION("""COMPUTED_VALUE"""),"Cure rate was found by adding the 100% reduction +the &gt;98% and no hatching column")</f>
        <v>Cure rate was found by adding the 100% reduction +the &gt;98% and no hatching column</v>
      </c>
      <c r="O233" s="874">
        <f>IFERROR(__xludf.DUMMYFUNCTION("""COMPUTED_VALUE"""),0.58)</f>
        <v>0.58</v>
      </c>
      <c r="P233" s="697"/>
      <c r="Q233" s="697" t="str">
        <f>IFERROR(__xludf.DUMMYFUNCTION("""COMPUTED_VALUE"""),"Thus findings of the present study suggest that praziquantel being easily applicable, safe and effective also in mixed infections, will have a great role to play in the control ofschistosomiasis in the near future.")</f>
        <v>Thus findings of the present study suggest that praziquantel being easily applicable, safe and effective also in mixed infections, will have a great role to play in the control ofschistosomiasis in the near future.</v>
      </c>
      <c r="R233" s="697"/>
      <c r="S233" s="699" t="str">
        <f>IFERROR(__xludf.DUMMYFUNCTION("""COMPUTED_VALUE"""),"Omer AH. Praziquantel in the treatment of mixed S. haematobium and S. mansoni infections. Arzneimittelforschung 1981;31(3a):605–8.")</f>
        <v>Omer AH. Praziquantel in the treatment of mixed S. haematobium and S. mansoni infections. Arzneimittelforschung 1981;31(3a):605–8.</v>
      </c>
      <c r="T233" s="697"/>
      <c r="U233" s="697" t="str">
        <f>IFERROR(__xludf.DUMMYFUNCTION("""COMPUTED_VALUE"""),"")</f>
        <v/>
      </c>
      <c r="V233" s="697">
        <f>IFERROR(__xludf.DUMMYFUNCTION("""COMPUTED_VALUE"""),233.0)</f>
        <v>233</v>
      </c>
    </row>
    <row r="234">
      <c r="A234" s="697" t="str">
        <f>IFERROR(__xludf.DUMMYFUNCTION("""COMPUTED_VALUE"""),"Omer 1981")</f>
        <v>Omer 1981</v>
      </c>
      <c r="B234" s="697" t="str">
        <f>IFERROR(__xludf.DUMMYFUNCTION("""COMPUTED_VALUE"""),"s.mansoni")</f>
        <v>s.mansoni</v>
      </c>
      <c r="C234" s="697" t="str">
        <f>IFERROR(__xludf.DUMMYFUNCTION("""COMPUTED_VALUE"""),"Sudan")</f>
        <v>Sudan</v>
      </c>
      <c r="D234" s="697" t="str">
        <f>IFERROR(__xludf.DUMMYFUNCTION("""COMPUTED_VALUE"""),"Praziquantel")</f>
        <v>Praziquantel</v>
      </c>
      <c r="E234" s="697" t="str">
        <f>IFERROR(__xludf.DUMMYFUNCTION("""COMPUTED_VALUE"""),"Single")</f>
        <v>Single</v>
      </c>
      <c r="F234" s="697" t="str">
        <f>IFERROR(__xludf.DUMMYFUNCTION("""COMPUTED_VALUE"""),"30 mg/kg")</f>
        <v>30 mg/kg</v>
      </c>
      <c r="G234" s="697">
        <f>IFERROR(__xludf.DUMMYFUNCTION("""COMPUTED_VALUE"""),50.0)</f>
        <v>50</v>
      </c>
      <c r="H234" s="697" t="str">
        <f>IFERROR(__xludf.DUMMYFUNCTION("""COMPUTED_VALUE"""),"&gt;8")</f>
        <v>&gt;8</v>
      </c>
      <c r="I234" s="705" t="str">
        <f>IFERROR(__xludf.DUMMYFUNCTION("""COMPUTED_VALUE"""),"60%:36%")</f>
        <v>60%:36%</v>
      </c>
      <c r="J234" s="697">
        <f>IFERROR(__xludf.DUMMYFUNCTION("""COMPUTED_VALUE"""),1979.0)</f>
        <v>1979</v>
      </c>
      <c r="K234" s="697" t="str">
        <f>IFERROR(__xludf.DUMMYFUNCTION("""COMPUTED_VALUE"""),"individuals who were positive for S. mansoni and S. haematobium (mixed infection)")</f>
        <v>individuals who were positive for S. mansoni and S. haematobium (mixed infection)</v>
      </c>
      <c r="L234" s="697" t="str">
        <f>IFERROR(__xludf.DUMMYFUNCTION("""COMPUTED_VALUE"""),"Yes ")</f>
        <v>Yes </v>
      </c>
      <c r="M234" s="697" t="str">
        <f>IFERROR(__xludf.DUMMYFUNCTION("""COMPUTED_VALUE"""),"Yes")</f>
        <v>Yes</v>
      </c>
      <c r="N234" s="697" t="str">
        <f>IFERROR(__xludf.DUMMYFUNCTION("""COMPUTED_VALUE"""),"Cure rate was found by adding the 100% reduction +the &gt;98% and no hatching column")</f>
        <v>Cure rate was found by adding the 100% reduction +the &gt;98% and no hatching column</v>
      </c>
      <c r="O234" s="874">
        <f>IFERROR(__xludf.DUMMYFUNCTION("""COMPUTED_VALUE"""),0.64)</f>
        <v>0.64</v>
      </c>
      <c r="P234" s="697"/>
      <c r="Q234" s="697" t="str">
        <f>IFERROR(__xludf.DUMMYFUNCTION("""COMPUTED_VALUE"""),"Thus findings of the present study suggest that praziquantel being easily applicable, safe and effective also in mixed infections, will have a great role to play in the control ofschistosomiasis in the near future.")</f>
        <v>Thus findings of the present study suggest that praziquantel being easily applicable, safe and effective also in mixed infections, will have a great role to play in the control ofschistosomiasis in the near future.</v>
      </c>
      <c r="R234" s="697"/>
      <c r="S234" s="699" t="str">
        <f>IFERROR(__xludf.DUMMYFUNCTION("""COMPUTED_VALUE"""),"Omer AH. Praziquantel in the treatment of mixed S. haematobium and S. mansoni infections. Arzneimittelforschung 1981;31(3a):605–8.")</f>
        <v>Omer AH. Praziquantel in the treatment of mixed S. haematobium and S. mansoni infections. Arzneimittelforschung 1981;31(3a):605–8.</v>
      </c>
      <c r="T234" s="697"/>
      <c r="U234" s="697" t="str">
        <f>IFERROR(__xludf.DUMMYFUNCTION("""COMPUTED_VALUE"""),"")</f>
        <v/>
      </c>
      <c r="V234" s="697">
        <f>IFERROR(__xludf.DUMMYFUNCTION("""COMPUTED_VALUE"""),234.0)</f>
        <v>234</v>
      </c>
    </row>
    <row r="235">
      <c r="A235" s="697" t="str">
        <f>IFERROR(__xludf.DUMMYFUNCTION("""COMPUTED_VALUE"""),"Rugemalila 1984")</f>
        <v>Rugemalila 1984</v>
      </c>
      <c r="B235" s="697" t="str">
        <f>IFERROR(__xludf.DUMMYFUNCTION("""COMPUTED_VALUE"""),"s.mansoni")</f>
        <v>s.mansoni</v>
      </c>
      <c r="C235" s="697" t="str">
        <f>IFERROR(__xludf.DUMMYFUNCTION("""COMPUTED_VALUE"""),"Tanzania")</f>
        <v>Tanzania</v>
      </c>
      <c r="D235" s="697" t="str">
        <f>IFERROR(__xludf.DUMMYFUNCTION("""COMPUTED_VALUE"""),"Praziquantel")</f>
        <v>Praziquantel</v>
      </c>
      <c r="E235" s="697" t="str">
        <f>IFERROR(__xludf.DUMMYFUNCTION("""COMPUTED_VALUE"""),"Single")</f>
        <v>Single</v>
      </c>
      <c r="F235" s="697" t="str">
        <f>IFERROR(__xludf.DUMMYFUNCTION("""COMPUTED_VALUE"""),"40 mg/kg")</f>
        <v>40 mg/kg</v>
      </c>
      <c r="G235" s="697">
        <f>IFERROR(__xludf.DUMMYFUNCTION("""COMPUTED_VALUE"""),49.0)</f>
        <v>49</v>
      </c>
      <c r="H235" s="704">
        <f>IFERROR(__xludf.DUMMYFUNCTION("""COMPUTED_VALUE"""),42596.0)</f>
        <v>42596</v>
      </c>
      <c r="I235" s="697"/>
      <c r="J235" s="697">
        <f>IFERROR(__xludf.DUMMYFUNCTION("""COMPUTED_VALUE"""),1984.0)</f>
        <v>1984</v>
      </c>
      <c r="K235" s="697" t="str">
        <f>IFERROR(__xludf.DUMMYFUNCTION("""COMPUTED_VALUE"""),"children aged 8 to 14 years attending primary school in Mwanza district infected with S. mansoni")</f>
        <v>children aged 8 to 14 years attending primary school in Mwanza district infected with S. mansoni</v>
      </c>
      <c r="L235" s="697" t="str">
        <f>IFERROR(__xludf.DUMMYFUNCTION("""COMPUTED_VALUE"""),"Yes")</f>
        <v>Yes</v>
      </c>
      <c r="M235" s="697" t="str">
        <f>IFERROR(__xludf.DUMMYFUNCTION("""COMPUTED_VALUE"""),"Yes")</f>
        <v>Yes</v>
      </c>
      <c r="N235" s="697"/>
      <c r="O235" s="871"/>
      <c r="P235" s="697"/>
      <c r="Q235" s="697"/>
      <c r="R235" s="697"/>
      <c r="S235" s="699" t="str">
        <f>IFERROR(__xludf.DUMMYFUNCTION("""COMPUTED_VALUE"""),"Rugemalila JB, Asila J, Chimbe A. Randomized comparative trials of single doses of the newer antischistosomal drugs at Mwanza, Tanzania. I. Praziquantel and oxamniquine for the treatment of schistosomiasis mansoni. Journal of Tropical Medicine and Hygiene"&amp;" 1984;87(6):231–5.")</f>
        <v>Rugemalila JB, Asila J, Chimbe A. Randomized comparative trials of single doses of the newer antischistosomal drugs at Mwanza, Tanzania. I. Praziquantel and oxamniquine for the treatment of schistosomiasis mansoni. Journal of Tropical Medicine and Hygiene 1984;87(6):231–5.</v>
      </c>
      <c r="T235" s="697"/>
      <c r="U235" s="697" t="str">
        <f>IFERROR(__xludf.DUMMYFUNCTION("""COMPUTED_VALUE"""),"")</f>
        <v/>
      </c>
      <c r="V235" s="697">
        <f>IFERROR(__xludf.DUMMYFUNCTION("""COMPUTED_VALUE"""),235.0)</f>
        <v>235</v>
      </c>
    </row>
    <row r="236">
      <c r="A236" s="697" t="str">
        <f>IFERROR(__xludf.DUMMYFUNCTION("""COMPUTED_VALUE"""),"Rugemalila 1984")</f>
        <v>Rugemalila 1984</v>
      </c>
      <c r="B236" s="697" t="str">
        <f>IFERROR(__xludf.DUMMYFUNCTION("""COMPUTED_VALUE"""),"s.mansoni")</f>
        <v>s.mansoni</v>
      </c>
      <c r="C236" s="697" t="str">
        <f>IFERROR(__xludf.DUMMYFUNCTION("""COMPUTED_VALUE"""),"Tanzania")</f>
        <v>Tanzania</v>
      </c>
      <c r="D236" s="697" t="str">
        <f>IFERROR(__xludf.DUMMYFUNCTION("""COMPUTED_VALUE"""),"Oxamniquine")</f>
        <v>Oxamniquine</v>
      </c>
      <c r="E236" s="697" t="str">
        <f>IFERROR(__xludf.DUMMYFUNCTION("""COMPUTED_VALUE"""),"Single")</f>
        <v>Single</v>
      </c>
      <c r="F236" s="697" t="str">
        <f>IFERROR(__xludf.DUMMYFUNCTION("""COMPUTED_VALUE"""),"15 mg/kg")</f>
        <v>15 mg/kg</v>
      </c>
      <c r="G236" s="697">
        <f>IFERROR(__xludf.DUMMYFUNCTION("""COMPUTED_VALUE"""),54.0)</f>
        <v>54</v>
      </c>
      <c r="H236" s="704">
        <f>IFERROR(__xludf.DUMMYFUNCTION("""COMPUTED_VALUE"""),42596.0)</f>
        <v>42596</v>
      </c>
      <c r="I236" s="697"/>
      <c r="J236" s="697">
        <f>IFERROR(__xludf.DUMMYFUNCTION("""COMPUTED_VALUE"""),1984.0)</f>
        <v>1984</v>
      </c>
      <c r="K236" s="697" t="str">
        <f>IFERROR(__xludf.DUMMYFUNCTION("""COMPUTED_VALUE"""),"children aged 8 to 14 years attending primary school in Mwanza district infected with S. mansoni")</f>
        <v>children aged 8 to 14 years attending primary school in Mwanza district infected with S. mansoni</v>
      </c>
      <c r="L236" s="697" t="str">
        <f>IFERROR(__xludf.DUMMYFUNCTION("""COMPUTED_VALUE"""),"Yes")</f>
        <v>Yes</v>
      </c>
      <c r="M236" s="697" t="str">
        <f>IFERROR(__xludf.DUMMYFUNCTION("""COMPUTED_VALUE"""),"Yes")</f>
        <v>Yes</v>
      </c>
      <c r="N236" s="697"/>
      <c r="O236" s="871"/>
      <c r="P236" s="697"/>
      <c r="Q236" s="697"/>
      <c r="R236" s="697"/>
      <c r="S236" s="699" t="str">
        <f>IFERROR(__xludf.DUMMYFUNCTION("""COMPUTED_VALUE"""),"Rugemalila JB, Asila J, Chimbe A. Randomized comparative trials of single doses of the newer antischistosomal drugs at Mwanza, Tanzania. I. Praziquantel and oxamniquine for the treatment of schistosomiasis mansoni. Journal of Tropical Medicine and Hygiene"&amp;" 1984;87(6):231–5.")</f>
        <v>Rugemalila JB, Asila J, Chimbe A. Randomized comparative trials of single doses of the newer antischistosomal drugs at Mwanza, Tanzania. I. Praziquantel and oxamniquine for the treatment of schistosomiasis mansoni. Journal of Tropical Medicine and Hygiene 1984;87(6):231–5.</v>
      </c>
      <c r="T236" s="697"/>
      <c r="U236" s="697" t="str">
        <f>IFERROR(__xludf.DUMMYFUNCTION("""COMPUTED_VALUE"""),"")</f>
        <v/>
      </c>
      <c r="V236" s="697">
        <f>IFERROR(__xludf.DUMMYFUNCTION("""COMPUTED_VALUE"""),236.0)</f>
        <v>236</v>
      </c>
    </row>
    <row r="237">
      <c r="A237" s="697" t="str">
        <f>IFERROR(__xludf.DUMMYFUNCTION("""COMPUTED_VALUE"""),"Taylor 1988")</f>
        <v>Taylor 1988</v>
      </c>
      <c r="B237" s="697" t="str">
        <f>IFERROR(__xludf.DUMMYFUNCTION("""COMPUTED_VALUE"""),"s.mansoni")</f>
        <v>s.mansoni</v>
      </c>
      <c r="C237" s="697" t="str">
        <f>IFERROR(__xludf.DUMMYFUNCTION("""COMPUTED_VALUE"""),"Zimbabwe")</f>
        <v>Zimbabwe</v>
      </c>
      <c r="D237" s="697" t="str">
        <f>IFERROR(__xludf.DUMMYFUNCTION("""COMPUTED_VALUE"""),"Praziquantel")</f>
        <v>Praziquantel</v>
      </c>
      <c r="E237" s="697" t="str">
        <f>IFERROR(__xludf.DUMMYFUNCTION("""COMPUTED_VALUE"""),"Single")</f>
        <v>Single</v>
      </c>
      <c r="F237" s="697" t="str">
        <f>IFERROR(__xludf.DUMMYFUNCTION("""COMPUTED_VALUE"""),"40 mg/kg")</f>
        <v>40 mg/kg</v>
      </c>
      <c r="G237" s="697">
        <f>IFERROR(__xludf.DUMMYFUNCTION("""COMPUTED_VALUE"""),77.0)</f>
        <v>77</v>
      </c>
      <c r="H237" s="704">
        <f>IFERROR(__xludf.DUMMYFUNCTION("""COMPUTED_VALUE"""),42658.0)</f>
        <v>42658</v>
      </c>
      <c r="I237" s="705" t="str">
        <f>IFERROR(__xludf.DUMMYFUNCTION("""COMPUTED_VALUE"""),"34:43")</f>
        <v>34:43</v>
      </c>
      <c r="J237" s="697">
        <f>IFERROR(__xludf.DUMMYFUNCTION("""COMPUTED_VALUE"""),1988.0)</f>
        <v>1988</v>
      </c>
      <c r="K237" s="697" t="str">
        <f>IFERROR(__xludf.DUMMYFUNCTION("""COMPUTED_VALUE"""),"children aged 10 to 15 years who were all infected with both S. mansoni and S. haematobium")</f>
        <v>children aged 10 to 15 years who were all infected with both S. mansoni and S. haematobium</v>
      </c>
      <c r="L237" s="697" t="str">
        <f>IFERROR(__xludf.DUMMYFUNCTION("""COMPUTED_VALUE"""),"Yes")</f>
        <v>Yes</v>
      </c>
      <c r="M237" s="697" t="str">
        <f>IFERROR(__xludf.DUMMYFUNCTION("""COMPUTED_VALUE"""),"Yes")</f>
        <v>Yes</v>
      </c>
      <c r="N237" s="697" t="str">
        <f>IFERROR(__xludf.DUMMYFUNCTION("""COMPUTED_VALUE"""),"Cure rate at 1m,3m,and 6,")</f>
        <v>Cure rate at 1m,3m,and 6,</v>
      </c>
      <c r="O237" s="873">
        <f>IFERROR(__xludf.DUMMYFUNCTION("""COMPUTED_VALUE"""),0.658)</f>
        <v>0.658</v>
      </c>
      <c r="P237" s="697"/>
      <c r="Q237" s="697" t="str">
        <f>IFERROR(__xludf.DUMMYFUNCTION("""COMPUTED_VALUE"""),"The results here present that a dose of 30-40mg/kg may be equally effective in reducing the effectiveness of S.mansoni")</f>
        <v>The results here present that a dose of 30-40mg/kg may be equally effective in reducing the effectiveness of S.mansoni</v>
      </c>
      <c r="R237" s="697"/>
      <c r="S237" s="699" t="str">
        <f>IFERROR(__xludf.DUMMYFUNCTION("""COMPUTED_VALUE"""),"Taylor P, Murare HM, Manomano K. Efficacy of low doses of praziquantel for Schistosoma mansoni and S. haematobium. Journal of Tropical Medicine and Hygiene 1988;91(1):13–7.")</f>
        <v>Taylor P, Murare HM, Manomano K. Efficacy of low doses of praziquantel for Schistosoma mansoni and S. haematobium. Journal of Tropical Medicine and Hygiene 1988;91(1):13–7.</v>
      </c>
      <c r="T237" s="697"/>
      <c r="U237" s="697" t="str">
        <f>IFERROR(__xludf.DUMMYFUNCTION("""COMPUTED_VALUE"""),"")</f>
        <v/>
      </c>
      <c r="V237" s="697">
        <f>IFERROR(__xludf.DUMMYFUNCTION("""COMPUTED_VALUE"""),237.0)</f>
        <v>237</v>
      </c>
    </row>
    <row r="238">
      <c r="A238" s="697" t="str">
        <f>IFERROR(__xludf.DUMMYFUNCTION("""COMPUTED_VALUE"""),"Taylor 1988")</f>
        <v>Taylor 1988</v>
      </c>
      <c r="B238" s="697" t="str">
        <f>IFERROR(__xludf.DUMMYFUNCTION("""COMPUTED_VALUE"""),"s.mansoni")</f>
        <v>s.mansoni</v>
      </c>
      <c r="C238" s="697" t="str">
        <f>IFERROR(__xludf.DUMMYFUNCTION("""COMPUTED_VALUE"""),"Zimbabwe")</f>
        <v>Zimbabwe</v>
      </c>
      <c r="D238" s="697" t="str">
        <f>IFERROR(__xludf.DUMMYFUNCTION("""COMPUTED_VALUE"""),"Praziquantel")</f>
        <v>Praziquantel</v>
      </c>
      <c r="E238" s="697" t="str">
        <f>IFERROR(__xludf.DUMMYFUNCTION("""COMPUTED_VALUE"""),"Single")</f>
        <v>Single</v>
      </c>
      <c r="F238" s="697" t="str">
        <f>IFERROR(__xludf.DUMMYFUNCTION("""COMPUTED_VALUE"""),"30 mg/kg")</f>
        <v>30 mg/kg</v>
      </c>
      <c r="G238" s="697">
        <f>IFERROR(__xludf.DUMMYFUNCTION("""COMPUTED_VALUE"""),72.0)</f>
        <v>72</v>
      </c>
      <c r="H238" s="704">
        <f>IFERROR(__xludf.DUMMYFUNCTION("""COMPUTED_VALUE"""),42658.0)</f>
        <v>42658</v>
      </c>
      <c r="I238" s="705" t="str">
        <f>IFERROR(__xludf.DUMMYFUNCTION("""COMPUTED_VALUE"""),"37:35")</f>
        <v>37:35</v>
      </c>
      <c r="J238" s="697">
        <f>IFERROR(__xludf.DUMMYFUNCTION("""COMPUTED_VALUE"""),1988.0)</f>
        <v>1988</v>
      </c>
      <c r="K238" s="697" t="str">
        <f>IFERROR(__xludf.DUMMYFUNCTION("""COMPUTED_VALUE"""),"children aged 10 to 15 years who were all infected with both S. mansoni and S. haematobium")</f>
        <v>children aged 10 to 15 years who were all infected with both S. mansoni and S. haematobium</v>
      </c>
      <c r="L238" s="697" t="str">
        <f>IFERROR(__xludf.DUMMYFUNCTION("""COMPUTED_VALUE"""),"Yes")</f>
        <v>Yes</v>
      </c>
      <c r="M238" s="697" t="str">
        <f>IFERROR(__xludf.DUMMYFUNCTION("""COMPUTED_VALUE"""),"Yes")</f>
        <v>Yes</v>
      </c>
      <c r="N238" s="697" t="str">
        <f>IFERROR(__xludf.DUMMYFUNCTION("""COMPUTED_VALUE"""),"Cure rate at 1m,3m,and 6,")</f>
        <v>Cure rate at 1m,3m,and 6,</v>
      </c>
      <c r="O238" s="873">
        <f>IFERROR(__xludf.DUMMYFUNCTION("""COMPUTED_VALUE"""),0.515)</f>
        <v>0.515</v>
      </c>
      <c r="P238" s="697"/>
      <c r="Q238" s="697" t="str">
        <f>IFERROR(__xludf.DUMMYFUNCTION("""COMPUTED_VALUE"""),"The results here present that a dose of 30-40mg/kg may be equally effective in reducing the effectiveness of S.mansoni")</f>
        <v>The results here present that a dose of 30-40mg/kg may be equally effective in reducing the effectiveness of S.mansoni</v>
      </c>
      <c r="R238" s="697"/>
      <c r="S238" s="699" t="str">
        <f>IFERROR(__xludf.DUMMYFUNCTION("""COMPUTED_VALUE"""),"Taylor P, Murare HM, Manomano K. Efficacy of low doses of praziquantel for Schistosoma mansoni and S. haematobium. Journal of Tropical Medicine and Hygiene 1988;91(1):13–7.")</f>
        <v>Taylor P, Murare HM, Manomano K. Efficacy of low doses of praziquantel for Schistosoma mansoni and S. haematobium. Journal of Tropical Medicine and Hygiene 1988;91(1):13–7.</v>
      </c>
      <c r="T238" s="697"/>
      <c r="U238" s="697" t="str">
        <f>IFERROR(__xludf.DUMMYFUNCTION("""COMPUTED_VALUE"""),"")</f>
        <v/>
      </c>
      <c r="V238" s="697">
        <f>IFERROR(__xludf.DUMMYFUNCTION("""COMPUTED_VALUE"""),238.0)</f>
        <v>238</v>
      </c>
    </row>
    <row r="239">
      <c r="A239" s="697" t="str">
        <f>IFERROR(__xludf.DUMMYFUNCTION("""COMPUTED_VALUE"""),"Taylor 1988")</f>
        <v>Taylor 1988</v>
      </c>
      <c r="B239" s="697" t="str">
        <f>IFERROR(__xludf.DUMMYFUNCTION("""COMPUTED_VALUE"""),"s.mansoni")</f>
        <v>s.mansoni</v>
      </c>
      <c r="C239" s="697" t="str">
        <f>IFERROR(__xludf.DUMMYFUNCTION("""COMPUTED_VALUE"""),"Zimbabwe")</f>
        <v>Zimbabwe</v>
      </c>
      <c r="D239" s="697" t="str">
        <f>IFERROR(__xludf.DUMMYFUNCTION("""COMPUTED_VALUE"""),"Praziquantel")</f>
        <v>Praziquantel</v>
      </c>
      <c r="E239" s="697" t="str">
        <f>IFERROR(__xludf.DUMMYFUNCTION("""COMPUTED_VALUE"""),"Single")</f>
        <v>Single</v>
      </c>
      <c r="F239" s="697" t="str">
        <f>IFERROR(__xludf.DUMMYFUNCTION("""COMPUTED_VALUE"""),"20 mg/kg")</f>
        <v>20 mg/kg</v>
      </c>
      <c r="G239" s="697">
        <f>IFERROR(__xludf.DUMMYFUNCTION("""COMPUTED_VALUE"""),61.0)</f>
        <v>61</v>
      </c>
      <c r="H239" s="704">
        <f>IFERROR(__xludf.DUMMYFUNCTION("""COMPUTED_VALUE"""),42658.0)</f>
        <v>42658</v>
      </c>
      <c r="I239" s="705" t="str">
        <f>IFERROR(__xludf.DUMMYFUNCTION("""COMPUTED_VALUE"""),"30:31")</f>
        <v>30:31</v>
      </c>
      <c r="J239" s="697">
        <f>IFERROR(__xludf.DUMMYFUNCTION("""COMPUTED_VALUE"""),1988.0)</f>
        <v>1988</v>
      </c>
      <c r="K239" s="697" t="str">
        <f>IFERROR(__xludf.DUMMYFUNCTION("""COMPUTED_VALUE"""),"children aged 10 to 15 years who were all infected with both S. mansoni and S. haematobium")</f>
        <v>children aged 10 to 15 years who were all infected with both S. mansoni and S. haematobium</v>
      </c>
      <c r="L239" s="697" t="str">
        <f>IFERROR(__xludf.DUMMYFUNCTION("""COMPUTED_VALUE"""),"Yes")</f>
        <v>Yes</v>
      </c>
      <c r="M239" s="697" t="str">
        <f>IFERROR(__xludf.DUMMYFUNCTION("""COMPUTED_VALUE"""),"Yes")</f>
        <v>Yes</v>
      </c>
      <c r="N239" s="697" t="str">
        <f>IFERROR(__xludf.DUMMYFUNCTION("""COMPUTED_VALUE"""),"Cure rate at 1m,3m,and 6,")</f>
        <v>Cure rate at 1m,3m,and 6,</v>
      </c>
      <c r="O239" s="873">
        <f>IFERROR(__xludf.DUMMYFUNCTION("""COMPUTED_VALUE"""),0.155)</f>
        <v>0.155</v>
      </c>
      <c r="P239" s="697"/>
      <c r="Q239" s="697" t="str">
        <f>IFERROR(__xludf.DUMMYFUNCTION("""COMPUTED_VALUE"""),"The results here present that a dose of 30-40mg/kg may be equally effective in reducing the effectiveness of S.mansoni")</f>
        <v>The results here present that a dose of 30-40mg/kg may be equally effective in reducing the effectiveness of S.mansoni</v>
      </c>
      <c r="R239" s="697"/>
      <c r="S239" s="699" t="str">
        <f>IFERROR(__xludf.DUMMYFUNCTION("""COMPUTED_VALUE"""),"Taylor P, Murare HM, Manomano K. Efficacy of low doses of praziquantel for Schistosoma mansoni and S. haematobium. Journal of Tropical Medicine and Hygiene 1988;91(1):13–7.")</f>
        <v>Taylor P, Murare HM, Manomano K. Efficacy of low doses of praziquantel for Schistosoma mansoni and S. haematobium. Journal of Tropical Medicine and Hygiene 1988;91(1):13–7.</v>
      </c>
      <c r="T239" s="697"/>
      <c r="U239" s="697" t="str">
        <f>IFERROR(__xludf.DUMMYFUNCTION("""COMPUTED_VALUE"""),"")</f>
        <v/>
      </c>
      <c r="V239" s="697">
        <f>IFERROR(__xludf.DUMMYFUNCTION("""COMPUTED_VALUE"""),239.0)</f>
        <v>239</v>
      </c>
    </row>
    <row r="240">
      <c r="A240" s="697" t="str">
        <f>IFERROR(__xludf.DUMMYFUNCTION("""COMPUTED_VALUE"""),"Taylor 1988")</f>
        <v>Taylor 1988</v>
      </c>
      <c r="B240" s="697" t="str">
        <f>IFERROR(__xludf.DUMMYFUNCTION("""COMPUTED_VALUE"""),"s.mansoni")</f>
        <v>s.mansoni</v>
      </c>
      <c r="C240" s="697" t="str">
        <f>IFERROR(__xludf.DUMMYFUNCTION("""COMPUTED_VALUE"""),"Zimbabwe")</f>
        <v>Zimbabwe</v>
      </c>
      <c r="D240" s="697" t="str">
        <f>IFERROR(__xludf.DUMMYFUNCTION("""COMPUTED_VALUE"""),"Praziquantel")</f>
        <v>Praziquantel</v>
      </c>
      <c r="E240" s="697" t="str">
        <f>IFERROR(__xludf.DUMMYFUNCTION("""COMPUTED_VALUE"""),"Single")</f>
        <v>Single</v>
      </c>
      <c r="F240" s="697" t="str">
        <f>IFERROR(__xludf.DUMMYFUNCTION("""COMPUTED_VALUE"""),"10 mg/kg")</f>
        <v>10 mg/kg</v>
      </c>
      <c r="G240" s="697">
        <f>IFERROR(__xludf.DUMMYFUNCTION("""COMPUTED_VALUE"""),73.0)</f>
        <v>73</v>
      </c>
      <c r="H240" s="704">
        <f>IFERROR(__xludf.DUMMYFUNCTION("""COMPUTED_VALUE"""),42658.0)</f>
        <v>42658</v>
      </c>
      <c r="I240" s="705" t="str">
        <f>IFERROR(__xludf.DUMMYFUNCTION("""COMPUTED_VALUE"""),"45:28")</f>
        <v>45:28</v>
      </c>
      <c r="J240" s="697">
        <f>IFERROR(__xludf.DUMMYFUNCTION("""COMPUTED_VALUE"""),1988.0)</f>
        <v>1988</v>
      </c>
      <c r="K240" s="697" t="str">
        <f>IFERROR(__xludf.DUMMYFUNCTION("""COMPUTED_VALUE"""),"children aged 10 to 15 years who were all infected with both S. mansoni and S. haematobium")</f>
        <v>children aged 10 to 15 years who were all infected with both S. mansoni and S. haematobium</v>
      </c>
      <c r="L240" s="697" t="str">
        <f>IFERROR(__xludf.DUMMYFUNCTION("""COMPUTED_VALUE"""),"Yes")</f>
        <v>Yes</v>
      </c>
      <c r="M240" s="697" t="str">
        <f>IFERROR(__xludf.DUMMYFUNCTION("""COMPUTED_VALUE"""),"Yes")</f>
        <v>Yes</v>
      </c>
      <c r="N240" s="697" t="str">
        <f>IFERROR(__xludf.DUMMYFUNCTION("""COMPUTED_VALUE"""),"Cure rate at 1m,3m,and 6,")</f>
        <v>Cure rate at 1m,3m,and 6,</v>
      </c>
      <c r="O240" s="873">
        <f>IFERROR(__xludf.DUMMYFUNCTION("""COMPUTED_VALUE"""),0.045)</f>
        <v>0.045</v>
      </c>
      <c r="P240" s="697"/>
      <c r="Q240" s="697" t="str">
        <f>IFERROR(__xludf.DUMMYFUNCTION("""COMPUTED_VALUE"""),"The results here present that a dose of 30-40mg/kg may be equally effective in reducing the effectiveness of S.mansoni")</f>
        <v>The results here present that a dose of 30-40mg/kg may be equally effective in reducing the effectiveness of S.mansoni</v>
      </c>
      <c r="R240" s="697"/>
      <c r="S240" s="699" t="str">
        <f>IFERROR(__xludf.DUMMYFUNCTION("""COMPUTED_VALUE"""),"Taylor P, Murare HM, Manomano K. Efficacy of low doses of praziquantel for Schistosoma mansoni and S. haematobium. Journal of Tropical Medicine and Hygiene 1988;91(1):13–7.")</f>
        <v>Taylor P, Murare HM, Manomano K. Efficacy of low doses of praziquantel for Schistosoma mansoni and S. haematobium. Journal of Tropical Medicine and Hygiene 1988;91(1):13–7.</v>
      </c>
      <c r="T240" s="697"/>
      <c r="U240" s="697" t="str">
        <f>IFERROR(__xludf.DUMMYFUNCTION("""COMPUTED_VALUE"""),"")</f>
        <v/>
      </c>
      <c r="V240" s="697">
        <f>IFERROR(__xludf.DUMMYFUNCTION("""COMPUTED_VALUE"""),240.0)</f>
        <v>240</v>
      </c>
    </row>
    <row r="241">
      <c r="A241" s="697" t="str">
        <f>IFERROR(__xludf.DUMMYFUNCTION("""COMPUTED_VALUE"""),"Tessdale 1984")</f>
        <v>Tessdale 1984</v>
      </c>
      <c r="B241" s="697" t="str">
        <f>IFERROR(__xludf.DUMMYFUNCTION("""COMPUTED_VALUE"""),"s.mansoni")</f>
        <v>s.mansoni</v>
      </c>
      <c r="C241" s="697" t="str">
        <f>IFERROR(__xludf.DUMMYFUNCTION("""COMPUTED_VALUE"""),"Malawi")</f>
        <v>Malawi</v>
      </c>
      <c r="D241" s="697" t="str">
        <f>IFERROR(__xludf.DUMMYFUNCTION("""COMPUTED_VALUE"""),"Oxamniquine")</f>
        <v>Oxamniquine</v>
      </c>
      <c r="E241" s="697" t="str">
        <f>IFERROR(__xludf.DUMMYFUNCTION("""COMPUTED_VALUE"""),"Two")</f>
        <v>Two</v>
      </c>
      <c r="F241" s="697" t="str">
        <f>IFERROR(__xludf.DUMMYFUNCTION("""COMPUTED_VALUE"""),"25 mg/kg")</f>
        <v>25 mg/kg</v>
      </c>
      <c r="G241" s="697">
        <f>IFERROR(__xludf.DUMMYFUNCTION("""COMPUTED_VALUE"""),101.0)</f>
        <v>101</v>
      </c>
      <c r="H241" s="704">
        <f>IFERROR(__xludf.DUMMYFUNCTION("""COMPUTED_VALUE"""),42535.0)</f>
        <v>42535</v>
      </c>
      <c r="I241" s="697"/>
      <c r="J241" s="697">
        <f>IFERROR(__xludf.DUMMYFUNCTION("""COMPUTED_VALUE"""),1984.0)</f>
        <v>1984</v>
      </c>
      <c r="K241" s="697" t="str">
        <f>IFERROR(__xludf.DUMMYFUNCTION("""COMPUTED_VALUE"""),"children aged 6 to 14 years with S. mansoni infection")</f>
        <v>children aged 6 to 14 years with S. mansoni infection</v>
      </c>
      <c r="L241" s="697" t="str">
        <f>IFERROR(__xludf.DUMMYFUNCTION("""COMPUTED_VALUE"""),"No")</f>
        <v>No</v>
      </c>
      <c r="M241" s="697" t="str">
        <f>IFERROR(__xludf.DUMMYFUNCTION("""COMPUTED_VALUE"""),"Yes")</f>
        <v>Yes</v>
      </c>
      <c r="N241" s="697" t="str">
        <f>IFERROR(__xludf.DUMMYFUNCTION("""COMPUTED_VALUE"""),"Follow up done at 1month and 3 months")</f>
        <v>Follow up done at 1month and 3 months</v>
      </c>
      <c r="O241" s="873">
        <f>IFERROR(__xludf.DUMMYFUNCTION("""COMPUTED_VALUE"""),0.666)</f>
        <v>0.666</v>
      </c>
      <c r="P241" s="698">
        <f>IFERROR(__xludf.DUMMYFUNCTION("""COMPUTED_VALUE"""),0.995)</f>
        <v>0.995</v>
      </c>
      <c r="Q241" s="697" t="str">
        <f>IFERROR(__xludf.DUMMYFUNCTION("""COMPUTED_VALUE"""),"Their recommended dosage of 30mg/kg in divided doses on two days is confined to individual treatment.")</f>
        <v>Their recommended dosage of 30mg/kg in divided doses on two days is confined to individual treatment.</v>
      </c>
      <c r="R241" s="697"/>
      <c r="S241" s="699" t="str">
        <f>IFERROR(__xludf.DUMMYFUNCTION("""COMPUTED_VALUE"""),"Teesdale CH, Chitsulo L, Pugh RN. Oxamniquine dosage in Malawi. East African Medical Journal 1984;61(1):40–4.")</f>
        <v>Teesdale CH, Chitsulo L, Pugh RN. Oxamniquine dosage in Malawi. East African Medical Journal 1984;61(1):40–4.</v>
      </c>
      <c r="T241" s="697"/>
      <c r="U241" s="697" t="str">
        <f>IFERROR(__xludf.DUMMYFUNCTION("""COMPUTED_VALUE"""),"")</f>
        <v/>
      </c>
      <c r="V241" s="697">
        <f>IFERROR(__xludf.DUMMYFUNCTION("""COMPUTED_VALUE"""),241.0)</f>
        <v>241</v>
      </c>
    </row>
    <row r="242">
      <c r="A242" s="697" t="str">
        <f>IFERROR(__xludf.DUMMYFUNCTION("""COMPUTED_VALUE"""),"Tessdale 1984")</f>
        <v>Tessdale 1984</v>
      </c>
      <c r="B242" s="697" t="str">
        <f>IFERROR(__xludf.DUMMYFUNCTION("""COMPUTED_VALUE"""),"s.mansoni")</f>
        <v>s.mansoni</v>
      </c>
      <c r="C242" s="697" t="str">
        <f>IFERROR(__xludf.DUMMYFUNCTION("""COMPUTED_VALUE"""),"Malawi")</f>
        <v>Malawi</v>
      </c>
      <c r="D242" s="697" t="str">
        <f>IFERROR(__xludf.DUMMYFUNCTION("""COMPUTED_VALUE"""),"Oxamniquine")</f>
        <v>Oxamniquine</v>
      </c>
      <c r="E242" s="697" t="str">
        <f>IFERROR(__xludf.DUMMYFUNCTION("""COMPUTED_VALUE"""),"Single")</f>
        <v>Single</v>
      </c>
      <c r="F242" s="697" t="str">
        <f>IFERROR(__xludf.DUMMYFUNCTION("""COMPUTED_VALUE"""),"40 mg/kg")</f>
        <v>40 mg/kg</v>
      </c>
      <c r="G242" s="697">
        <f>IFERROR(__xludf.DUMMYFUNCTION("""COMPUTED_VALUE"""),101.0)</f>
        <v>101</v>
      </c>
      <c r="H242" s="704">
        <f>IFERROR(__xludf.DUMMYFUNCTION("""COMPUTED_VALUE"""),42535.0)</f>
        <v>42535</v>
      </c>
      <c r="I242" s="697"/>
      <c r="J242" s="697">
        <f>IFERROR(__xludf.DUMMYFUNCTION("""COMPUTED_VALUE"""),1984.0)</f>
        <v>1984</v>
      </c>
      <c r="K242" s="697" t="str">
        <f>IFERROR(__xludf.DUMMYFUNCTION("""COMPUTED_VALUE"""),"children aged 6 to 14 years with S. mansoni infection")</f>
        <v>children aged 6 to 14 years with S. mansoni infection</v>
      </c>
      <c r="L242" s="697" t="str">
        <f>IFERROR(__xludf.DUMMYFUNCTION("""COMPUTED_VALUE"""),"No")</f>
        <v>No</v>
      </c>
      <c r="M242" s="697" t="str">
        <f>IFERROR(__xludf.DUMMYFUNCTION("""COMPUTED_VALUE"""),"Yes")</f>
        <v>Yes</v>
      </c>
      <c r="N242" s="697" t="str">
        <f>IFERROR(__xludf.DUMMYFUNCTION("""COMPUTED_VALUE"""),"Follow up done at 1month and 3 months")</f>
        <v>Follow up done at 1month and 3 months</v>
      </c>
      <c r="O242" s="872">
        <f>IFERROR(__xludf.DUMMYFUNCTION("""COMPUTED_VALUE"""),0.7)</f>
        <v>0.7</v>
      </c>
      <c r="P242" s="698">
        <f>IFERROR(__xludf.DUMMYFUNCTION("""COMPUTED_VALUE"""),0.991)</f>
        <v>0.991</v>
      </c>
      <c r="Q242" s="697" t="str">
        <f>IFERROR(__xludf.DUMMYFUNCTION("""COMPUTED_VALUE"""),"Their recommended dosage of 30mg/kg in divided doses on two days is confined to individual treatment.")</f>
        <v>Their recommended dosage of 30mg/kg in divided doses on two days is confined to individual treatment.</v>
      </c>
      <c r="R242" s="697"/>
      <c r="S242" s="699" t="str">
        <f>IFERROR(__xludf.DUMMYFUNCTION("""COMPUTED_VALUE"""),"Teesdale CH, Chitsulo L, Pugh RN. Oxamniquine dosage in Malawi. East African Medical Journal 1984;61(1):40–4.")</f>
        <v>Teesdale CH, Chitsulo L, Pugh RN. Oxamniquine dosage in Malawi. East African Medical Journal 1984;61(1):40–4.</v>
      </c>
      <c r="T242" s="697"/>
      <c r="U242" s="697" t="str">
        <f>IFERROR(__xludf.DUMMYFUNCTION("""COMPUTED_VALUE"""),"")</f>
        <v/>
      </c>
      <c r="V242" s="697">
        <f>IFERROR(__xludf.DUMMYFUNCTION("""COMPUTED_VALUE"""),242.0)</f>
        <v>242</v>
      </c>
    </row>
    <row r="243">
      <c r="A243" s="697" t="str">
        <f>IFERROR(__xludf.DUMMYFUNCTION("""COMPUTED_VALUE"""),"Tessdale 1984")</f>
        <v>Tessdale 1984</v>
      </c>
      <c r="B243" s="697" t="str">
        <f>IFERROR(__xludf.DUMMYFUNCTION("""COMPUTED_VALUE"""),"s.mansoni")</f>
        <v>s.mansoni</v>
      </c>
      <c r="C243" s="697" t="str">
        <f>IFERROR(__xludf.DUMMYFUNCTION("""COMPUTED_VALUE"""),"Malawi")</f>
        <v>Malawi</v>
      </c>
      <c r="D243" s="697" t="str">
        <f>IFERROR(__xludf.DUMMYFUNCTION("""COMPUTED_VALUE"""),"Oxamniquine")</f>
        <v>Oxamniquine</v>
      </c>
      <c r="E243" s="697" t="str">
        <f>IFERROR(__xludf.DUMMYFUNCTION("""COMPUTED_VALUE"""),"Single")</f>
        <v>Single</v>
      </c>
      <c r="F243" s="697" t="str">
        <f>IFERROR(__xludf.DUMMYFUNCTION("""COMPUTED_VALUE"""),"30 mg/kg")</f>
        <v>30 mg/kg</v>
      </c>
      <c r="G243" s="697">
        <f>IFERROR(__xludf.DUMMYFUNCTION("""COMPUTED_VALUE"""),101.0)</f>
        <v>101</v>
      </c>
      <c r="H243" s="704">
        <f>IFERROR(__xludf.DUMMYFUNCTION("""COMPUTED_VALUE"""),42535.0)</f>
        <v>42535</v>
      </c>
      <c r="I243" s="697"/>
      <c r="J243" s="697">
        <f>IFERROR(__xludf.DUMMYFUNCTION("""COMPUTED_VALUE"""),1984.0)</f>
        <v>1984</v>
      </c>
      <c r="K243" s="697" t="str">
        <f>IFERROR(__xludf.DUMMYFUNCTION("""COMPUTED_VALUE"""),"children aged 6 to 14 years with S. mansoni infection")</f>
        <v>children aged 6 to 14 years with S. mansoni infection</v>
      </c>
      <c r="L243" s="697" t="str">
        <f>IFERROR(__xludf.DUMMYFUNCTION("""COMPUTED_VALUE"""),"No")</f>
        <v>No</v>
      </c>
      <c r="M243" s="697" t="str">
        <f>IFERROR(__xludf.DUMMYFUNCTION("""COMPUTED_VALUE"""),"Yes")</f>
        <v>Yes</v>
      </c>
      <c r="N243" s="697" t="str">
        <f>IFERROR(__xludf.DUMMYFUNCTION("""COMPUTED_VALUE"""),"Follow up done at 1month and 3 months")</f>
        <v>Follow up done at 1month and 3 months</v>
      </c>
      <c r="O243" s="873">
        <f>IFERROR(__xludf.DUMMYFUNCTION("""COMPUTED_VALUE"""),0.529)</f>
        <v>0.529</v>
      </c>
      <c r="P243" s="698">
        <f>IFERROR(__xludf.DUMMYFUNCTION("""COMPUTED_VALUE"""),0.976)</f>
        <v>0.976</v>
      </c>
      <c r="Q243" s="697" t="str">
        <f>IFERROR(__xludf.DUMMYFUNCTION("""COMPUTED_VALUE"""),"Their recommended dosage of 30mg/kg in divided doses on two days is confined to individual treatment.")</f>
        <v>Their recommended dosage of 30mg/kg in divided doses on two days is confined to individual treatment.</v>
      </c>
      <c r="R243" s="697"/>
      <c r="S243" s="699" t="str">
        <f>IFERROR(__xludf.DUMMYFUNCTION("""COMPUTED_VALUE"""),"Teesdale CH, Chitsulo L, Pugh RN. Oxamniquine dosage in Malawi. East African Medical Journal 1984;61(1):40–4.")</f>
        <v>Teesdale CH, Chitsulo L, Pugh RN. Oxamniquine dosage in Malawi. East African Medical Journal 1984;61(1):40–4.</v>
      </c>
      <c r="T243" s="697"/>
      <c r="U243" s="697" t="str">
        <f>IFERROR(__xludf.DUMMYFUNCTION("""COMPUTED_VALUE"""),"")</f>
        <v/>
      </c>
      <c r="V243" s="697">
        <f>IFERROR(__xludf.DUMMYFUNCTION("""COMPUTED_VALUE"""),243.0)</f>
        <v>243</v>
      </c>
    </row>
    <row r="244">
      <c r="A244" s="697" t="str">
        <f>IFERROR(__xludf.DUMMYFUNCTION("""COMPUTED_VALUE"""),"Tessdale 1984")</f>
        <v>Tessdale 1984</v>
      </c>
      <c r="B244" s="697" t="str">
        <f>IFERROR(__xludf.DUMMYFUNCTION("""COMPUTED_VALUE"""),"s.mansoni")</f>
        <v>s.mansoni</v>
      </c>
      <c r="C244" s="697" t="str">
        <f>IFERROR(__xludf.DUMMYFUNCTION("""COMPUTED_VALUE"""),"Malawi")</f>
        <v>Malawi</v>
      </c>
      <c r="D244" s="697" t="str">
        <f>IFERROR(__xludf.DUMMYFUNCTION("""COMPUTED_VALUE"""),"Praziquantel")</f>
        <v>Praziquantel</v>
      </c>
      <c r="E244" s="697" t="str">
        <f>IFERROR(__xludf.DUMMYFUNCTION("""COMPUTED_VALUE"""),"Single")</f>
        <v>Single</v>
      </c>
      <c r="F244" s="697" t="str">
        <f>IFERROR(__xludf.DUMMYFUNCTION("""COMPUTED_VALUE"""),"40 mg/kg")</f>
        <v>40 mg/kg</v>
      </c>
      <c r="G244" s="697">
        <f>IFERROR(__xludf.DUMMYFUNCTION("""COMPUTED_VALUE"""),101.0)</f>
        <v>101</v>
      </c>
      <c r="H244" s="704">
        <f>IFERROR(__xludf.DUMMYFUNCTION("""COMPUTED_VALUE"""),42535.0)</f>
        <v>42535</v>
      </c>
      <c r="I244" s="697"/>
      <c r="J244" s="697">
        <f>IFERROR(__xludf.DUMMYFUNCTION("""COMPUTED_VALUE"""),1984.0)</f>
        <v>1984</v>
      </c>
      <c r="K244" s="697" t="str">
        <f>IFERROR(__xludf.DUMMYFUNCTION("""COMPUTED_VALUE"""),"children aged 6 to 14 years with S. mansoni infection")</f>
        <v>children aged 6 to 14 years with S. mansoni infection</v>
      </c>
      <c r="L244" s="697" t="str">
        <f>IFERROR(__xludf.DUMMYFUNCTION("""COMPUTED_VALUE"""),"No")</f>
        <v>No</v>
      </c>
      <c r="M244" s="697" t="str">
        <f>IFERROR(__xludf.DUMMYFUNCTION("""COMPUTED_VALUE"""),"Yes")</f>
        <v>Yes</v>
      </c>
      <c r="N244" s="697" t="str">
        <f>IFERROR(__xludf.DUMMYFUNCTION("""COMPUTED_VALUE"""),"Follow up done at 1month and 3 months")</f>
        <v>Follow up done at 1month and 3 months</v>
      </c>
      <c r="O244" s="872">
        <f>IFERROR(__xludf.DUMMYFUNCTION("""COMPUTED_VALUE"""),0.25)</f>
        <v>0.25</v>
      </c>
      <c r="P244" s="698">
        <f>IFERROR(__xludf.DUMMYFUNCTION("""COMPUTED_VALUE"""),0.927)</f>
        <v>0.927</v>
      </c>
      <c r="Q244" s="697" t="str">
        <f>IFERROR(__xludf.DUMMYFUNCTION("""COMPUTED_VALUE"""),"Their recommended dosage of 30mg/kg in divided doses on two days is confined to individual treatment.")</f>
        <v>Their recommended dosage of 30mg/kg in divided doses on two days is confined to individual treatment.</v>
      </c>
      <c r="R244" s="697"/>
      <c r="S244" s="699" t="str">
        <f>IFERROR(__xludf.DUMMYFUNCTION("""COMPUTED_VALUE"""),"Teesdale CH, Chitsulo L, Pugh RN. Oxamniquine dosage in Malawi. East African Medical Journal 1984;61(1):40–4.")</f>
        <v>Teesdale CH, Chitsulo L, Pugh RN. Oxamniquine dosage in Malawi. East African Medical Journal 1984;61(1):40–4.</v>
      </c>
      <c r="T244" s="697"/>
      <c r="U244" s="697" t="str">
        <f>IFERROR(__xludf.DUMMYFUNCTION("""COMPUTED_VALUE"""),"")</f>
        <v/>
      </c>
      <c r="V244" s="697">
        <f>IFERROR(__xludf.DUMMYFUNCTION("""COMPUTED_VALUE"""),244.0)</f>
        <v>244</v>
      </c>
    </row>
    <row r="245">
      <c r="A245" s="697" t="str">
        <f>IFERROR(__xludf.DUMMYFUNCTION("""COMPUTED_VALUE"""),"el Guinaidy")</f>
        <v>el Guinaidy</v>
      </c>
      <c r="B245" s="697" t="str">
        <f>IFERROR(__xludf.DUMMYFUNCTION("""COMPUTED_VALUE"""),"s.mansoni")</f>
        <v>s.mansoni</v>
      </c>
      <c r="C245" s="697" t="str">
        <f>IFERROR(__xludf.DUMMYFUNCTION("""COMPUTED_VALUE"""),"Egypt")</f>
        <v>Egypt</v>
      </c>
      <c r="D245" s="697" t="str">
        <f>IFERROR(__xludf.DUMMYFUNCTION("""COMPUTED_VALUE"""),"Praziquantel")</f>
        <v>Praziquantel</v>
      </c>
      <c r="E245" s="697" t="str">
        <f>IFERROR(__xludf.DUMMYFUNCTION("""COMPUTED_VALUE"""),"Single")</f>
        <v>Single</v>
      </c>
      <c r="F245" s="697" t="str">
        <f>IFERROR(__xludf.DUMMYFUNCTION("""COMPUTED_VALUE"""),"40 mg/kg")</f>
        <v>40 mg/kg</v>
      </c>
      <c r="G245" s="697">
        <f>IFERROR(__xludf.DUMMYFUNCTION("""COMPUTED_VALUE"""),10.0)</f>
        <v>10</v>
      </c>
      <c r="H245" s="697" t="str">
        <f>IFERROR(__xludf.DUMMYFUNCTION("""COMPUTED_VALUE"""),"Adults")</f>
        <v>Adults</v>
      </c>
      <c r="I245" s="705" t="str">
        <f>IFERROR(__xludf.DUMMYFUNCTION("""COMPUTED_VALUE"""),"8:2")</f>
        <v>8:2</v>
      </c>
      <c r="J245" s="697">
        <f>IFERROR(__xludf.DUMMYFUNCTION("""COMPUTED_VALUE"""),1991.0)</f>
        <v>1991</v>
      </c>
      <c r="K245" s="697" t="str">
        <f>IFERROR(__xludf.DUMMYFUNCTION("""COMPUTED_VALUE"""),"10 patients with simple active schistosomiasis")</f>
        <v>10 patients with simple active schistosomiasis</v>
      </c>
      <c r="L245" s="697" t="str">
        <f>IFERROR(__xludf.DUMMYFUNCTION("""COMPUTED_VALUE"""),"No")</f>
        <v>No</v>
      </c>
      <c r="M245" s="697" t="str">
        <f>IFERROR(__xludf.DUMMYFUNCTION("""COMPUTED_VALUE"""),"No")</f>
        <v>No</v>
      </c>
      <c r="N245" s="697"/>
      <c r="O245" s="874">
        <f>IFERROR(__xludf.DUMMYFUNCTION("""COMPUTED_VALUE"""),0.7)</f>
        <v>0.7</v>
      </c>
      <c r="P245" s="697"/>
      <c r="Q245" s="697" t="str">
        <f>IFERROR(__xludf.DUMMYFUNCTION("""COMPUTED_VALUE""")," It does not appear that the single oral dose of 40 mg/kg of body weight of praziquantel for treatment of S. manson! needs to be reduced in patients with advanced hepatosplenomegaly even if manifestations of liver cell failure are evident")</f>
        <v> It does not appear that the single oral dose of 40 mg/kg of body weight of praziquantel for treatment of S. manson! needs to be reduced in patients with advanced hepatosplenomegaly even if manifestations of liver cell failure are evident</v>
      </c>
      <c r="R245" s="697"/>
      <c r="S245" s="699" t="str">
        <f>IFERROR(__xludf.DUMMYFUNCTION("""COMPUTED_VALUE"""),"El Guiniady, M. A., et al. ""Clinical and pharmacokinetic study of praziquantel in Egyptian schistosomiasis patients with and without liver cell failure."" The American journal of tropical medicine and hygiene 51.6 (1994): 809-818.")</f>
        <v>El Guiniady, M. A., et al. "Clinical and pharmacokinetic study of praziquantel in Egyptian schistosomiasis patients with and without liver cell failure." The American journal of tropical medicine and hygiene 51.6 (1994): 809-818.</v>
      </c>
      <c r="T245" s="697"/>
      <c r="U245" s="697" t="str">
        <f>IFERROR(__xludf.DUMMYFUNCTION("""COMPUTED_VALUE"""),"x")</f>
        <v>x</v>
      </c>
      <c r="V245" s="697">
        <f>IFERROR(__xludf.DUMMYFUNCTION("""COMPUTED_VALUE"""),245.0)</f>
        <v>245</v>
      </c>
    </row>
    <row r="246">
      <c r="A246" s="697" t="str">
        <f>IFERROR(__xludf.DUMMYFUNCTION("""COMPUTED_VALUE"""),"el Guinaidy")</f>
        <v>el Guinaidy</v>
      </c>
      <c r="B246" s="697" t="str">
        <f>IFERROR(__xludf.DUMMYFUNCTION("""COMPUTED_VALUE"""),"s.mansoni")</f>
        <v>s.mansoni</v>
      </c>
      <c r="C246" s="697" t="str">
        <f>IFERROR(__xludf.DUMMYFUNCTION("""COMPUTED_VALUE"""),"Egypt")</f>
        <v>Egypt</v>
      </c>
      <c r="D246" s="697" t="str">
        <f>IFERROR(__xludf.DUMMYFUNCTION("""COMPUTED_VALUE"""),"Praziquantel")</f>
        <v>Praziquantel</v>
      </c>
      <c r="E246" s="697" t="str">
        <f>IFERROR(__xludf.DUMMYFUNCTION("""COMPUTED_VALUE"""),"Single")</f>
        <v>Single</v>
      </c>
      <c r="F246" s="697" t="str">
        <f>IFERROR(__xludf.DUMMYFUNCTION("""COMPUTED_VALUE"""),"40 mg/kg")</f>
        <v>40 mg/kg</v>
      </c>
      <c r="G246" s="697">
        <f>IFERROR(__xludf.DUMMYFUNCTION("""COMPUTED_VALUE"""),10.0)</f>
        <v>10</v>
      </c>
      <c r="H246" s="697" t="str">
        <f>IFERROR(__xludf.DUMMYFUNCTION("""COMPUTED_VALUE"""),"Adults")</f>
        <v>Adults</v>
      </c>
      <c r="I246" s="705" t="str">
        <f>IFERROR(__xludf.DUMMYFUNCTION("""COMPUTED_VALUE"""),"9:1")</f>
        <v>9:1</v>
      </c>
      <c r="J246" s="697">
        <f>IFERROR(__xludf.DUMMYFUNCTION("""COMPUTED_VALUE"""),1991.0)</f>
        <v>1991</v>
      </c>
      <c r="K246" s="697" t="str">
        <f>IFERROR(__xludf.DUMMYFUNCTION("""COMPUTED_VALUE"""),"with schistosomiasis associated with liver cirrhosis and splenomegaly according to Child's classification of hepatocellular function.")</f>
        <v>with schistosomiasis associated with liver cirrhosis and splenomegaly according to Child's classification of hepatocellular function.</v>
      </c>
      <c r="L246" s="697" t="str">
        <f>IFERROR(__xludf.DUMMYFUNCTION("""COMPUTED_VALUE"""),"No")</f>
        <v>No</v>
      </c>
      <c r="M246" s="697" t="str">
        <f>IFERROR(__xludf.DUMMYFUNCTION("""COMPUTED_VALUE"""),"No")</f>
        <v>No</v>
      </c>
      <c r="N246" s="697"/>
      <c r="O246" s="874">
        <f>IFERROR(__xludf.DUMMYFUNCTION("""COMPUTED_VALUE"""),0.8)</f>
        <v>0.8</v>
      </c>
      <c r="P246" s="697"/>
      <c r="Q246" s="697" t="str">
        <f>IFERROR(__xludf.DUMMYFUNCTION("""COMPUTED_VALUE""")," It does not appear that the single oral dose of 40 mg/kg of body weight of praziquantel for treatment of S. manson! needs to be reduced in patients with advanced hepatosplenomegaly even if manifestations of liver cell failure are evident")</f>
        <v> It does not appear that the single oral dose of 40 mg/kg of body weight of praziquantel for treatment of S. manson! needs to be reduced in patients with advanced hepatosplenomegaly even if manifestations of liver cell failure are evident</v>
      </c>
      <c r="R246" s="697"/>
      <c r="S246" s="699" t="str">
        <f>IFERROR(__xludf.DUMMYFUNCTION("""COMPUTED_VALUE"""),"El Guiniady, M. A., et al. ""Clinical and pharmacokinetic study of praziquantel in Egyptian schistosomiasis patients with and without liver cell failure."" The American journal of tropical medicine and hygiene 51.6 (1994): 809-818.")</f>
        <v>El Guiniady, M. A., et al. "Clinical and pharmacokinetic study of praziquantel in Egyptian schistosomiasis patients with and without liver cell failure." The American journal of tropical medicine and hygiene 51.6 (1994): 809-818.</v>
      </c>
      <c r="T246" s="697"/>
      <c r="U246" s="697" t="str">
        <f>IFERROR(__xludf.DUMMYFUNCTION("""COMPUTED_VALUE"""),"x")</f>
        <v>x</v>
      </c>
      <c r="V246" s="697">
        <f>IFERROR(__xludf.DUMMYFUNCTION("""COMPUTED_VALUE"""),246.0)</f>
        <v>246</v>
      </c>
    </row>
    <row r="247">
      <c r="A247" s="697" t="str">
        <f>IFERROR(__xludf.DUMMYFUNCTION("""COMPUTED_VALUE"""),"el Guinaidy")</f>
        <v>el Guinaidy</v>
      </c>
      <c r="B247" s="697" t="str">
        <f>IFERROR(__xludf.DUMMYFUNCTION("""COMPUTED_VALUE"""),"s.mansoni")</f>
        <v>s.mansoni</v>
      </c>
      <c r="C247" s="697" t="str">
        <f>IFERROR(__xludf.DUMMYFUNCTION("""COMPUTED_VALUE"""),"Egypt")</f>
        <v>Egypt</v>
      </c>
      <c r="D247" s="697" t="str">
        <f>IFERROR(__xludf.DUMMYFUNCTION("""COMPUTED_VALUE"""),"Praziquantel")</f>
        <v>Praziquantel</v>
      </c>
      <c r="E247" s="697" t="str">
        <f>IFERROR(__xludf.DUMMYFUNCTION("""COMPUTED_VALUE"""),"Single")</f>
        <v>Single</v>
      </c>
      <c r="F247" s="697" t="str">
        <f>IFERROR(__xludf.DUMMYFUNCTION("""COMPUTED_VALUE"""),"40 mg/kg")</f>
        <v>40 mg/kg</v>
      </c>
      <c r="G247" s="697">
        <f>IFERROR(__xludf.DUMMYFUNCTION("""COMPUTED_VALUE"""),10.0)</f>
        <v>10</v>
      </c>
      <c r="H247" s="697" t="str">
        <f>IFERROR(__xludf.DUMMYFUNCTION("""COMPUTED_VALUE"""),"Adults")</f>
        <v>Adults</v>
      </c>
      <c r="I247" s="705" t="str">
        <f>IFERROR(__xludf.DUMMYFUNCTION("""COMPUTED_VALUE"""),"All male")</f>
        <v>All male</v>
      </c>
      <c r="J247" s="697">
        <f>IFERROR(__xludf.DUMMYFUNCTION("""COMPUTED_VALUE"""),1991.0)</f>
        <v>1991</v>
      </c>
      <c r="K247" s="697" t="str">
        <f>IFERROR(__xludf.DUMMYFUNCTION("""COMPUTED_VALUE"""),"with schistosomiasis associated with liver cirrhosis and splenomegaly according to Child's classification of hepatocellular function.")</f>
        <v>with schistosomiasis associated with liver cirrhosis and splenomegaly according to Child's classification of hepatocellular function.</v>
      </c>
      <c r="L247" s="697" t="str">
        <f>IFERROR(__xludf.DUMMYFUNCTION("""COMPUTED_VALUE"""),"No")</f>
        <v>No</v>
      </c>
      <c r="M247" s="697" t="str">
        <f>IFERROR(__xludf.DUMMYFUNCTION("""COMPUTED_VALUE"""),"No")</f>
        <v>No</v>
      </c>
      <c r="N247" s="697"/>
      <c r="O247" s="874">
        <f>IFERROR(__xludf.DUMMYFUNCTION("""COMPUTED_VALUE"""),0.9)</f>
        <v>0.9</v>
      </c>
      <c r="P247" s="697"/>
      <c r="Q247" s="697" t="str">
        <f>IFERROR(__xludf.DUMMYFUNCTION("""COMPUTED_VALUE""")," It does not appear that the single oral dose of 40 mg/kg of body weight of praziquantel for treatment of S. manson! needs to be reduced in patients with advanced hepatosplenomegaly even if manifestations of liver cell failure are evident")</f>
        <v> It does not appear that the single oral dose of 40 mg/kg of body weight of praziquantel for treatment of S. manson! needs to be reduced in patients with advanced hepatosplenomegaly even if manifestations of liver cell failure are evident</v>
      </c>
      <c r="R247" s="697"/>
      <c r="S247" s="699" t="str">
        <f>IFERROR(__xludf.DUMMYFUNCTION("""COMPUTED_VALUE"""),"El Guiniady, M. A., et al. ""Clinical and pharmacokinetic study of praziquantel in Egyptian schistosomiasis patients with and without liver cell failure."" The American journal of tropical medicine and hygiene 51.6 (1994): 809-818.")</f>
        <v>El Guiniady, M. A., et al. "Clinical and pharmacokinetic study of praziquantel in Egyptian schistosomiasis patients with and without liver cell failure." The American journal of tropical medicine and hygiene 51.6 (1994): 809-818.</v>
      </c>
      <c r="T247" s="697"/>
      <c r="U247" s="697" t="str">
        <f>IFERROR(__xludf.DUMMYFUNCTION("""COMPUTED_VALUE"""),"x")</f>
        <v>x</v>
      </c>
      <c r="V247" s="697">
        <f>IFERROR(__xludf.DUMMYFUNCTION("""COMPUTED_VALUE"""),247.0)</f>
        <v>247</v>
      </c>
    </row>
    <row r="248">
      <c r="A248" s="697" t="str">
        <f>IFERROR(__xludf.DUMMYFUNCTION("""COMPUTED_VALUE"""),"el Guinaidy")</f>
        <v>el Guinaidy</v>
      </c>
      <c r="B248" s="697" t="str">
        <f>IFERROR(__xludf.DUMMYFUNCTION("""COMPUTED_VALUE"""),"s.mansoni")</f>
        <v>s.mansoni</v>
      </c>
      <c r="C248" s="697" t="str">
        <f>IFERROR(__xludf.DUMMYFUNCTION("""COMPUTED_VALUE"""),"Egypt")</f>
        <v>Egypt</v>
      </c>
      <c r="D248" s="697" t="str">
        <f>IFERROR(__xludf.DUMMYFUNCTION("""COMPUTED_VALUE"""),"Praziquantel")</f>
        <v>Praziquantel</v>
      </c>
      <c r="E248" s="697" t="str">
        <f>IFERROR(__xludf.DUMMYFUNCTION("""COMPUTED_VALUE"""),"Single")</f>
        <v>Single</v>
      </c>
      <c r="F248" s="697" t="str">
        <f>IFERROR(__xludf.DUMMYFUNCTION("""COMPUTED_VALUE"""),"40 mg/kg")</f>
        <v>40 mg/kg</v>
      </c>
      <c r="G248" s="697">
        <f>IFERROR(__xludf.DUMMYFUNCTION("""COMPUTED_VALUE"""),10.0)</f>
        <v>10</v>
      </c>
      <c r="H248" s="697" t="str">
        <f>IFERROR(__xludf.DUMMYFUNCTION("""COMPUTED_VALUE"""),"Adults")</f>
        <v>Adults</v>
      </c>
      <c r="I248" s="705" t="str">
        <f>IFERROR(__xludf.DUMMYFUNCTION("""COMPUTED_VALUE"""),"All male")</f>
        <v>All male</v>
      </c>
      <c r="J248" s="697">
        <f>IFERROR(__xludf.DUMMYFUNCTION("""COMPUTED_VALUE"""),1991.0)</f>
        <v>1991</v>
      </c>
      <c r="K248" s="697" t="str">
        <f>IFERROR(__xludf.DUMMYFUNCTION("""COMPUTED_VALUE"""),"with schistosomiasis associated with liver cirrhosis and splenomegaly according to Child's classification of hepatocellular function.")</f>
        <v>with schistosomiasis associated with liver cirrhosis and splenomegaly according to Child's classification of hepatocellular function.</v>
      </c>
      <c r="L248" s="697" t="str">
        <f>IFERROR(__xludf.DUMMYFUNCTION("""COMPUTED_VALUE"""),"No")</f>
        <v>No</v>
      </c>
      <c r="M248" s="697" t="str">
        <f>IFERROR(__xludf.DUMMYFUNCTION("""COMPUTED_VALUE"""),"No")</f>
        <v>No</v>
      </c>
      <c r="N248" s="697"/>
      <c r="O248" s="874">
        <f>IFERROR(__xludf.DUMMYFUNCTION("""COMPUTED_VALUE"""),0.9)</f>
        <v>0.9</v>
      </c>
      <c r="P248" s="697"/>
      <c r="Q248" s="697" t="str">
        <f>IFERROR(__xludf.DUMMYFUNCTION("""COMPUTED_VALUE""")," It does not appear that the single oral dose of 40 mg/kg of body weight of praziquantel for treatment of S. manson! needs to be reduced in patients with advanced hepatosplenomegaly even if manifestations of liver cell failure are evident")</f>
        <v> It does not appear that the single oral dose of 40 mg/kg of body weight of praziquantel for treatment of S. manson! needs to be reduced in patients with advanced hepatosplenomegaly even if manifestations of liver cell failure are evident</v>
      </c>
      <c r="R248" s="697"/>
      <c r="S248" s="699" t="str">
        <f>IFERROR(__xludf.DUMMYFUNCTION("""COMPUTED_VALUE"""),"El Guiniady, M. A., et al. ""Clinical and pharmacokinetic study of praziquantel in Egyptian schistosomiasis patients with and without liver cell failure."" The American journal of tropical medicine and hygiene 51.6 (1994): 809-818.")</f>
        <v>El Guiniady, M. A., et al. "Clinical and pharmacokinetic study of praziquantel in Egyptian schistosomiasis patients with and without liver cell failure." The American journal of tropical medicine and hygiene 51.6 (1994): 809-818.</v>
      </c>
      <c r="T248" s="697"/>
      <c r="U248" s="697" t="str">
        <f>IFERROR(__xludf.DUMMYFUNCTION("""COMPUTED_VALUE"""),"x")</f>
        <v>x</v>
      </c>
      <c r="V248" s="697">
        <f>IFERROR(__xludf.DUMMYFUNCTION("""COMPUTED_VALUE"""),248.0)</f>
        <v>248</v>
      </c>
    </row>
    <row r="249">
      <c r="A249" s="697" t="str">
        <f>IFERROR(__xludf.DUMMYFUNCTION("""COMPUTED_VALUE"""),"Olds GR, 1999")</f>
        <v>Olds GR, 1999</v>
      </c>
      <c r="B249" s="697" t="str">
        <f>IFERROR(__xludf.DUMMYFUNCTION("""COMPUTED_VALUE"""),"s.mansoni")</f>
        <v>s.mansoni</v>
      </c>
      <c r="C249" s="697" t="str">
        <f>IFERROR(__xludf.DUMMYFUNCTION("""COMPUTED_VALUE"""),"Kenya")</f>
        <v>Kenya</v>
      </c>
      <c r="D249" s="697" t="str">
        <f>IFERROR(__xludf.DUMMYFUNCTION("""COMPUTED_VALUE"""),"Albendazole &amp; Praziquantel")</f>
        <v>Albendazole &amp; Praziquantel</v>
      </c>
      <c r="E249" s="697" t="str">
        <f>IFERROR(__xludf.DUMMYFUNCTION("""COMPUTED_VALUE"""),"Single")</f>
        <v>Single</v>
      </c>
      <c r="F249" s="697" t="str">
        <f>IFERROR(__xludf.DUMMYFUNCTION("""COMPUTED_VALUE"""),"400 mg; 40 mg/kg")</f>
        <v>400 mg; 40 mg/kg</v>
      </c>
      <c r="G249" s="697">
        <f>IFERROR(__xludf.DUMMYFUNCTION("""COMPUTED_VALUE"""),98.0)</f>
        <v>98</v>
      </c>
      <c r="H249" s="697" t="str">
        <f>IFERROR(__xludf.DUMMYFUNCTION("""COMPUTED_VALUE"""),"10.6 yrs average")</f>
        <v>10.6 yrs average</v>
      </c>
      <c r="I249" s="697"/>
      <c r="J249" s="697">
        <f>IFERROR(__xludf.DUMMYFUNCTION("""COMPUTED_VALUE"""),1999.0)</f>
        <v>1999</v>
      </c>
      <c r="K249" s="697" t="str">
        <f>IFERROR(__xludf.DUMMYFUNCTION("""COMPUTED_VALUE"""),"schoolchildren aged 6 to 19 years positive for S. mansoni")</f>
        <v>schoolchildren aged 6 to 19 years positive for S. mansoni</v>
      </c>
      <c r="L249" s="697" t="str">
        <f>IFERROR(__xludf.DUMMYFUNCTION("""COMPUTED_VALUE"""),"Yes")</f>
        <v>Yes</v>
      </c>
      <c r="M249" s="697" t="str">
        <f>IFERROR(__xludf.DUMMYFUNCTION("""COMPUTED_VALUE"""),"Yes")</f>
        <v>Yes</v>
      </c>
      <c r="N249" s="697" t="str">
        <f>IFERROR(__xludf.DUMMYFUNCTION("""COMPUTED_VALUE"""),"45 days")</f>
        <v>45 days</v>
      </c>
      <c r="O249" s="873">
        <f>IFERROR(__xludf.DUMMYFUNCTION("""COMPUTED_VALUE"""),0.401)</f>
        <v>0.401</v>
      </c>
      <c r="P249" s="697"/>
      <c r="Q249" s="697" t="str">
        <f>IFERROR(__xludf.DUMMYFUNCTION("""COMPUTED_VALUE"""),"Combined mass treatment of schoolchildren with praziquantel and albendazole produced no more side effects than treatment with praziquantel alone.")</f>
        <v>Combined mass treatment of schoolchildren with praziquantel and albendazole produced no more side effects than treatment with praziquantel alone.</v>
      </c>
      <c r="R249" s="697" t="str">
        <f>IFERROR(__xludf.DUMMYFUNCTION("""COMPUTED_VALUE"""),"Double-Blind Placebo-Controlled Study of Concurrent Administration of Albendazole and Praziquantel in Schoolchildren with Schistosomiasis and Geohelminths")</f>
        <v>Double-Blind Placebo-Controlled Study of Concurrent Administration of Albendazole and Praziquantel in Schoolchildren with Schistosomiasis and Geohelminths</v>
      </c>
      <c r="S249" s="699" t="str">
        <f>IFERROR(__xludf.DUMMYFUNCTION("""COMPUTED_VALUE"""),"Olds GR, King CH, Hewlett J, Olveda R, Wu G, Ouma J, et al.Double-blind placebo-controlled study of concurrent administration of albendazole and praziquantel in schoolchildren with schistosomiasis and geohelminths. Journal of Infectious Diseases 1999;179("&amp;"4):996–1003.")</f>
        <v>Olds GR, King CH, Hewlett J, Olveda R, Wu G, Ouma J, et al.Double-blind placebo-controlled study of concurrent administration of albendazole and praziquantel in schoolchildren with schistosomiasis and geohelminths. Journal of Infectious Diseases 1999;179(4):996–1003.</v>
      </c>
      <c r="T249" s="697"/>
      <c r="U249" s="697" t="str">
        <f>IFERROR(__xludf.DUMMYFUNCTION("""COMPUTED_VALUE"""),"x")</f>
        <v>x</v>
      </c>
      <c r="V249" s="697">
        <f>IFERROR(__xludf.DUMMYFUNCTION("""COMPUTED_VALUE"""),249.0)</f>
        <v>249</v>
      </c>
    </row>
    <row r="250">
      <c r="A250" s="697" t="str">
        <f>IFERROR(__xludf.DUMMYFUNCTION("""COMPUTED_VALUE"""),"Olds GR, 1999")</f>
        <v>Olds GR, 1999</v>
      </c>
      <c r="B250" s="697" t="str">
        <f>IFERROR(__xludf.DUMMYFUNCTION("""COMPUTED_VALUE"""),"s.mansoni")</f>
        <v>s.mansoni</v>
      </c>
      <c r="C250" s="697" t="str">
        <f>IFERROR(__xludf.DUMMYFUNCTION("""COMPUTED_VALUE"""),"Kenya")</f>
        <v>Kenya</v>
      </c>
      <c r="D250" s="697" t="str">
        <f>IFERROR(__xludf.DUMMYFUNCTION("""COMPUTED_VALUE"""),"Praziquantel")</f>
        <v>Praziquantel</v>
      </c>
      <c r="E250" s="697" t="str">
        <f>IFERROR(__xludf.DUMMYFUNCTION("""COMPUTED_VALUE"""),"Single")</f>
        <v>Single</v>
      </c>
      <c r="F250" s="697" t="str">
        <f>IFERROR(__xludf.DUMMYFUNCTION("""COMPUTED_VALUE"""),"40 mg/kg")</f>
        <v>40 mg/kg</v>
      </c>
      <c r="G250" s="697">
        <f>IFERROR(__xludf.DUMMYFUNCTION("""COMPUTED_VALUE"""),82.0)</f>
        <v>82</v>
      </c>
      <c r="H250" s="697" t="str">
        <f>IFERROR(__xludf.DUMMYFUNCTION("""COMPUTED_VALUE"""),"10.5 years average")</f>
        <v>10.5 years average</v>
      </c>
      <c r="I250" s="697"/>
      <c r="J250" s="697">
        <f>IFERROR(__xludf.DUMMYFUNCTION("""COMPUTED_VALUE"""),1999.0)</f>
        <v>1999</v>
      </c>
      <c r="K250" s="697" t="str">
        <f>IFERROR(__xludf.DUMMYFUNCTION("""COMPUTED_VALUE"""),"schoolchildren aged 6 to 19 years positive for S. mansoni")</f>
        <v>schoolchildren aged 6 to 19 years positive for S. mansoni</v>
      </c>
      <c r="L250" s="697" t="str">
        <f>IFERROR(__xludf.DUMMYFUNCTION("""COMPUTED_VALUE"""),"Yes")</f>
        <v>Yes</v>
      </c>
      <c r="M250" s="706" t="str">
        <f>IFERROR(__xludf.DUMMYFUNCTION("""COMPUTED_VALUE"""),"Yes")</f>
        <v>Yes</v>
      </c>
      <c r="N250" s="697" t="str">
        <f>IFERROR(__xludf.DUMMYFUNCTION("""COMPUTED_VALUE"""),"45 days")</f>
        <v>45 days</v>
      </c>
      <c r="O250" s="873">
        <f>IFERROR(__xludf.DUMMYFUNCTION("""COMPUTED_VALUE"""),0.402)</f>
        <v>0.402</v>
      </c>
      <c r="P250" s="697"/>
      <c r="Q250" s="697" t="str">
        <f>IFERROR(__xludf.DUMMYFUNCTION("""COMPUTED_VALUE"""),"Combined mass treatment of schoolchildren with praziquantel and albendazole produced no more side effects than treatment with praziquantel alone.")</f>
        <v>Combined mass treatment of schoolchildren with praziquantel and albendazole produced no more side effects than treatment with praziquantel alone.</v>
      </c>
      <c r="R250" s="697" t="str">
        <f>IFERROR(__xludf.DUMMYFUNCTION("""COMPUTED_VALUE"""),"Double-Blind Placebo-Controlled Study of Concurrent Administration of Albendazole and Praziquantel in Schoolchildren with Schistosomiasis and Geohelminths")</f>
        <v>Double-Blind Placebo-Controlled Study of Concurrent Administration of Albendazole and Praziquantel in Schoolchildren with Schistosomiasis and Geohelminths</v>
      </c>
      <c r="S250" s="699" t="str">
        <f>IFERROR(__xludf.DUMMYFUNCTION("""COMPUTED_VALUE"""),"Olds GR, King CH, Hewlett J, Olveda R, Wu G, Ouma J, et al.Double-blind placebo-controlled study of concurrent administration of albendazole and praziquantel in schoolchildren with schistosomiasis and geohelminths. Journal of Infectious Diseases 1999;179("&amp;"4):996–1003.")</f>
        <v>Olds GR, King CH, Hewlett J, Olveda R, Wu G, Ouma J, et al.Double-blind placebo-controlled study of concurrent administration of albendazole and praziquantel in schoolchildren with schistosomiasis and geohelminths. Journal of Infectious Diseases 1999;179(4):996–1003.</v>
      </c>
      <c r="T250" s="697"/>
      <c r="U250" s="697" t="str">
        <f>IFERROR(__xludf.DUMMYFUNCTION("""COMPUTED_VALUE"""),"x")</f>
        <v>x</v>
      </c>
      <c r="V250" s="697">
        <f>IFERROR(__xludf.DUMMYFUNCTION("""COMPUTED_VALUE"""),250.0)</f>
        <v>250</v>
      </c>
    </row>
    <row r="251">
      <c r="A251" s="697" t="str">
        <f>IFERROR(__xludf.DUMMYFUNCTION("""COMPUTED_VALUE"""),"Olds GR, 1999")</f>
        <v>Olds GR, 1999</v>
      </c>
      <c r="B251" s="697" t="str">
        <f>IFERROR(__xludf.DUMMYFUNCTION("""COMPUTED_VALUE"""),"s.mansoni")</f>
        <v>s.mansoni</v>
      </c>
      <c r="C251" s="697" t="str">
        <f>IFERROR(__xludf.DUMMYFUNCTION("""COMPUTED_VALUE"""),"Kenya")</f>
        <v>Kenya</v>
      </c>
      <c r="D251" s="697" t="str">
        <f>IFERROR(__xludf.DUMMYFUNCTION("""COMPUTED_VALUE"""),"Albendazole")</f>
        <v>Albendazole</v>
      </c>
      <c r="E251" s="697" t="str">
        <f>IFERROR(__xludf.DUMMYFUNCTION("""COMPUTED_VALUE"""),"Single")</f>
        <v>Single</v>
      </c>
      <c r="F251" s="697" t="str">
        <f>IFERROR(__xludf.DUMMYFUNCTION("""COMPUTED_VALUE"""),"400 mg")</f>
        <v>400 mg</v>
      </c>
      <c r="G251" s="697">
        <f>IFERROR(__xludf.DUMMYFUNCTION("""COMPUTED_VALUE"""),95.0)</f>
        <v>95</v>
      </c>
      <c r="H251" s="697" t="str">
        <f>IFERROR(__xludf.DUMMYFUNCTION("""COMPUTED_VALUE"""),"10.4 yrs average")</f>
        <v>10.4 yrs average</v>
      </c>
      <c r="I251" s="697"/>
      <c r="J251" s="697">
        <f>IFERROR(__xludf.DUMMYFUNCTION("""COMPUTED_VALUE"""),1999.0)</f>
        <v>1999</v>
      </c>
      <c r="K251" s="697" t="str">
        <f>IFERROR(__xludf.DUMMYFUNCTION("""COMPUTED_VALUE"""),"schoolchildren aged 6 to 19 years positive for S. mansoni")</f>
        <v>schoolchildren aged 6 to 19 years positive for S. mansoni</v>
      </c>
      <c r="L251" s="697" t="str">
        <f>IFERROR(__xludf.DUMMYFUNCTION("""COMPUTED_VALUE"""),"Yes")</f>
        <v>Yes</v>
      </c>
      <c r="M251" s="706" t="str">
        <f>IFERROR(__xludf.DUMMYFUNCTION("""COMPUTED_VALUE"""),"Yes")</f>
        <v>Yes</v>
      </c>
      <c r="N251" s="697" t="str">
        <f>IFERROR(__xludf.DUMMYFUNCTION("""COMPUTED_VALUE"""),"45 days")</f>
        <v>45 days</v>
      </c>
      <c r="O251" s="872">
        <f>IFERROR(__xludf.DUMMYFUNCTION("""COMPUTED_VALUE"""),0.0)</f>
        <v>0</v>
      </c>
      <c r="P251" s="697"/>
      <c r="Q251" s="697" t="str">
        <f>IFERROR(__xludf.DUMMYFUNCTION("""COMPUTED_VALUE"""),"Combined mass treatment of schoolchildren with praziquantel and albendazole produced no more side effects than treatment with praziquantel alone.")</f>
        <v>Combined mass treatment of schoolchildren with praziquantel and albendazole produced no more side effects than treatment with praziquantel alone.</v>
      </c>
      <c r="R251" s="697" t="str">
        <f>IFERROR(__xludf.DUMMYFUNCTION("""COMPUTED_VALUE"""),"Double-Blind Placebo-Controlled Study of Concurrent Administration of Albendazole and Praziquantel in Schoolchildren with Schistosomiasis and Geohelminths")</f>
        <v>Double-Blind Placebo-Controlled Study of Concurrent Administration of Albendazole and Praziquantel in Schoolchildren with Schistosomiasis and Geohelminths</v>
      </c>
      <c r="S251" s="699" t="str">
        <f>IFERROR(__xludf.DUMMYFUNCTION("""COMPUTED_VALUE"""),"Olds GR, King CH, Hewlett J, Olveda R, Wu G, Ouma J, et al.Double-blind placebo-controlled study of concurrent administration of albendazole and praziquantel in schoolchildren with schistosomiasis and geohelminths. Journal of Infectious Diseases 1999;179("&amp;"4):996–1003.")</f>
        <v>Olds GR, King CH, Hewlett J, Olveda R, Wu G, Ouma J, et al.Double-blind placebo-controlled study of concurrent administration of albendazole and praziquantel in schoolchildren with schistosomiasis and geohelminths. Journal of Infectious Diseases 1999;179(4):996–1003.</v>
      </c>
      <c r="T251" s="697"/>
      <c r="U251" s="697" t="str">
        <f>IFERROR(__xludf.DUMMYFUNCTION("""COMPUTED_VALUE"""),"x")</f>
        <v>x</v>
      </c>
      <c r="V251" s="697">
        <f>IFERROR(__xludf.DUMMYFUNCTION("""COMPUTED_VALUE"""),251.0)</f>
        <v>251</v>
      </c>
    </row>
    <row r="252">
      <c r="A252" s="697" t="str">
        <f>IFERROR(__xludf.DUMMYFUNCTION("""COMPUTED_VALUE"""),"Olds GR, 1999")</f>
        <v>Olds GR, 1999</v>
      </c>
      <c r="B252" s="697" t="str">
        <f>IFERROR(__xludf.DUMMYFUNCTION("""COMPUTED_VALUE"""),"s.mansoni")</f>
        <v>s.mansoni</v>
      </c>
      <c r="C252" s="697" t="str">
        <f>IFERROR(__xludf.DUMMYFUNCTION("""COMPUTED_VALUE"""),"Kenya")</f>
        <v>Kenya</v>
      </c>
      <c r="D252" s="697" t="str">
        <f>IFERROR(__xludf.DUMMYFUNCTION("""COMPUTED_VALUE"""),"Placebo")</f>
        <v>Placebo</v>
      </c>
      <c r="E252" s="697"/>
      <c r="F252" s="697"/>
      <c r="G252" s="697">
        <f>IFERROR(__xludf.DUMMYFUNCTION("""COMPUTED_VALUE"""),92.0)</f>
        <v>92</v>
      </c>
      <c r="H252" s="697"/>
      <c r="I252" s="697"/>
      <c r="J252" s="697">
        <f>IFERROR(__xludf.DUMMYFUNCTION("""COMPUTED_VALUE"""),1999.0)</f>
        <v>1999</v>
      </c>
      <c r="K252" s="697" t="str">
        <f>IFERROR(__xludf.DUMMYFUNCTION("""COMPUTED_VALUE"""),"schoolchildren aged 6 to 19 years positive for S. mansoni")</f>
        <v>schoolchildren aged 6 to 19 years positive for S. mansoni</v>
      </c>
      <c r="L252" s="697" t="str">
        <f>IFERROR(__xludf.DUMMYFUNCTION("""COMPUTED_VALUE"""),"Yes")</f>
        <v>Yes</v>
      </c>
      <c r="M252" s="697" t="str">
        <f>IFERROR(__xludf.DUMMYFUNCTION("""COMPUTED_VALUE"""),"Yes")</f>
        <v>Yes</v>
      </c>
      <c r="N252" s="697" t="str">
        <f>IFERROR(__xludf.DUMMYFUNCTION("""COMPUTED_VALUE"""),"45 days")</f>
        <v>45 days</v>
      </c>
      <c r="O252" s="873">
        <f>IFERROR(__xludf.DUMMYFUNCTION("""COMPUTED_VALUE"""),0.006)</f>
        <v>0.006</v>
      </c>
      <c r="P252" s="697"/>
      <c r="Q252" s="697" t="str">
        <f>IFERROR(__xludf.DUMMYFUNCTION("""COMPUTED_VALUE"""),"Combined mass treatment of schoolchildren with praziquantel and albendazole produced no more side effects than treatment with praziquantel alone.")</f>
        <v>Combined mass treatment of schoolchildren with praziquantel and albendazole produced no more side effects than treatment with praziquantel alone.</v>
      </c>
      <c r="R252" s="697" t="str">
        <f>IFERROR(__xludf.DUMMYFUNCTION("""COMPUTED_VALUE"""),"Double-Blind Placebo-Controlled Study of Concurrent Administration of Albendazole and Praziquantel in Schoolchildren with Schistosomiasis and Geohelminths")</f>
        <v>Double-Blind Placebo-Controlled Study of Concurrent Administration of Albendazole and Praziquantel in Schoolchildren with Schistosomiasis and Geohelminths</v>
      </c>
      <c r="S252" s="699" t="str">
        <f>IFERROR(__xludf.DUMMYFUNCTION("""COMPUTED_VALUE"""),"Olds GR, King CH, Hewlett J, Olveda R, Wu G, Ouma J, et al.Double-blind placebo-controlled study of concurrent administration of albendazole and praziquantel in schoolchildren with schistosomiasis and geohelminths. Journal of Infectious Diseases 1999;179("&amp;"4):996–1003.")</f>
        <v>Olds GR, King CH, Hewlett J, Olveda R, Wu G, Ouma J, et al.Double-blind placebo-controlled study of concurrent administration of albendazole and praziquantel in schoolchildren with schistosomiasis and geohelminths. Journal of Infectious Diseases 1999;179(4):996–1003.</v>
      </c>
      <c r="T252" s="697"/>
      <c r="U252" s="697" t="str">
        <f>IFERROR(__xludf.DUMMYFUNCTION("""COMPUTED_VALUE"""),"x")</f>
        <v>x</v>
      </c>
      <c r="V252" s="697">
        <f>IFERROR(__xludf.DUMMYFUNCTION("""COMPUTED_VALUE"""),252.0)</f>
        <v>252</v>
      </c>
    </row>
    <row r="253">
      <c r="A253" s="697" t="str">
        <f>IFERROR(__xludf.DUMMYFUNCTION("""COMPUTED_VALUE"""),"Olds GR, 1999")</f>
        <v>Olds GR, 1999</v>
      </c>
      <c r="B253" s="697" t="str">
        <f>IFERROR(__xludf.DUMMYFUNCTION("""COMPUTED_VALUE"""),"S. japonicum")</f>
        <v>S. japonicum</v>
      </c>
      <c r="C253" s="697" t="str">
        <f>IFERROR(__xludf.DUMMYFUNCTION("""COMPUTED_VALUE"""),"China")</f>
        <v>China</v>
      </c>
      <c r="D253" s="697" t="str">
        <f>IFERROR(__xludf.DUMMYFUNCTION("""COMPUTED_VALUE"""),"Albendazole &amp; Praziquantel")</f>
        <v>Albendazole &amp; Praziquantel</v>
      </c>
      <c r="E253" s="697" t="str">
        <f>IFERROR(__xludf.DUMMYFUNCTION("""COMPUTED_VALUE"""),"Single; Two")</f>
        <v>Single; Two</v>
      </c>
      <c r="F253" s="697" t="str">
        <f>IFERROR(__xludf.DUMMYFUNCTION("""COMPUTED_VALUE"""),"400 mg; 30 mg")</f>
        <v>400 mg; 30 mg</v>
      </c>
      <c r="G253" s="697">
        <f>IFERROR(__xludf.DUMMYFUNCTION("""COMPUTED_VALUE"""),196.0)</f>
        <v>196</v>
      </c>
      <c r="H253" s="697" t="str">
        <f>IFERROR(__xludf.DUMMYFUNCTION("""COMPUTED_VALUE"""),"5-17 yrs")</f>
        <v>5-17 yrs</v>
      </c>
      <c r="I253" s="697"/>
      <c r="J253" s="697">
        <f>IFERROR(__xludf.DUMMYFUNCTION("""COMPUTED_VALUE"""),1999.0)</f>
        <v>1999</v>
      </c>
      <c r="K253" s="697" t="str">
        <f>IFERROR(__xludf.DUMMYFUNCTION("""COMPUTED_VALUE"""),"schoolchildren aged 6 to 19 years positive for S. mansoni")</f>
        <v>schoolchildren aged 6 to 19 years positive for S. mansoni</v>
      </c>
      <c r="L253" s="697" t="str">
        <f>IFERROR(__xludf.DUMMYFUNCTION("""COMPUTED_VALUE"""),"Yes")</f>
        <v>Yes</v>
      </c>
      <c r="M253" s="697" t="str">
        <f>IFERROR(__xludf.DUMMYFUNCTION("""COMPUTED_VALUE"""),"Yes")</f>
        <v>Yes</v>
      </c>
      <c r="N253" s="697" t="str">
        <f>IFERROR(__xludf.DUMMYFUNCTION("""COMPUTED_VALUE"""),"45 days")</f>
        <v>45 days</v>
      </c>
      <c r="O253" s="874">
        <f>IFERROR(__xludf.DUMMYFUNCTION("""COMPUTED_VALUE"""),0.443)</f>
        <v>0.443</v>
      </c>
      <c r="P253" s="697"/>
      <c r="Q253" s="697" t="str">
        <f>IFERROR(__xludf.DUMMYFUNCTION("""COMPUTED_VALUE"""),"Combined mass treatment of schoolchildren with praziquantel and albendazole produced no more side effects than treatment with praziquantel alone.")</f>
        <v>Combined mass treatment of schoolchildren with praziquantel and albendazole produced no more side effects than treatment with praziquantel alone.</v>
      </c>
      <c r="R253" s="697" t="str">
        <f>IFERROR(__xludf.DUMMYFUNCTION("""COMPUTED_VALUE"""),"Double-Blind Placebo-Controlled Study of Concurrent Administration of Albendazole and Praziquantel in Schoolchildren with Schistosomiasis and Geohelminths")</f>
        <v>Double-Blind Placebo-Controlled Study of Concurrent Administration of Albendazole and Praziquantel in Schoolchildren with Schistosomiasis and Geohelminths</v>
      </c>
      <c r="S253" s="699" t="str">
        <f>IFERROR(__xludf.DUMMYFUNCTION("""COMPUTED_VALUE"""),"Olds GR, King CH, Hewlett J, Olveda R, Wu G, Ouma J, et al.Double-blind placebo-controlled study of concurrent administration of albendazole and praziquantel in schoolchildren with schistosomiasis and geohelminths. Journal of Infectious Diseases 1999;179("&amp;"4):996–1003.")</f>
        <v>Olds GR, King CH, Hewlett J, Olveda R, Wu G, Ouma J, et al.Double-blind placebo-controlled study of concurrent administration of albendazole and praziquantel in schoolchildren with schistosomiasis and geohelminths. Journal of Infectious Diseases 1999;179(4):996–1003.</v>
      </c>
      <c r="T253" s="697"/>
      <c r="U253" s="697" t="str">
        <f>IFERROR(__xludf.DUMMYFUNCTION("""COMPUTED_VALUE"""),"x")</f>
        <v>x</v>
      </c>
      <c r="V253" s="697">
        <f>IFERROR(__xludf.DUMMYFUNCTION("""COMPUTED_VALUE"""),253.0)</f>
        <v>253</v>
      </c>
    </row>
    <row r="254">
      <c r="A254" s="697" t="str">
        <f>IFERROR(__xludf.DUMMYFUNCTION("""COMPUTED_VALUE"""),"Olds GR, 1999")</f>
        <v>Olds GR, 1999</v>
      </c>
      <c r="B254" s="697" t="str">
        <f>IFERROR(__xludf.DUMMYFUNCTION("""COMPUTED_VALUE"""),"S. japonicum")</f>
        <v>S. japonicum</v>
      </c>
      <c r="C254" s="697" t="str">
        <f>IFERROR(__xludf.DUMMYFUNCTION("""COMPUTED_VALUE"""),"Philippines")</f>
        <v>Philippines</v>
      </c>
      <c r="D254" s="697" t="str">
        <f>IFERROR(__xludf.DUMMYFUNCTION("""COMPUTED_VALUE"""),"Albendazole &amp; Praziquantel")</f>
        <v>Albendazole &amp; Praziquantel</v>
      </c>
      <c r="E254" s="697" t="str">
        <f>IFERROR(__xludf.DUMMYFUNCTION("""COMPUTED_VALUE"""),"Single; Two")</f>
        <v>Single; Two</v>
      </c>
      <c r="F254" s="697" t="str">
        <f>IFERROR(__xludf.DUMMYFUNCTION("""COMPUTED_VALUE"""),"400 mg; 30 mg")</f>
        <v>400 mg; 30 mg</v>
      </c>
      <c r="G254" s="697">
        <f>IFERROR(__xludf.DUMMYFUNCTION("""COMPUTED_VALUE"""),196.0)</f>
        <v>196</v>
      </c>
      <c r="H254" s="697" t="str">
        <f>IFERROR(__xludf.DUMMYFUNCTION("""COMPUTED_VALUE"""),"5-17 yrs")</f>
        <v>5-17 yrs</v>
      </c>
      <c r="I254" s="697"/>
      <c r="J254" s="697">
        <f>IFERROR(__xludf.DUMMYFUNCTION("""COMPUTED_VALUE"""),1999.0)</f>
        <v>1999</v>
      </c>
      <c r="K254" s="697" t="str">
        <f>IFERROR(__xludf.DUMMYFUNCTION("""COMPUTED_VALUE"""),"schoolchildren aged 6 to 19 years positive for S. mansoni")</f>
        <v>schoolchildren aged 6 to 19 years positive for S. mansoni</v>
      </c>
      <c r="L254" s="697" t="str">
        <f>IFERROR(__xludf.DUMMYFUNCTION("""COMPUTED_VALUE"""),"Yes")</f>
        <v>Yes</v>
      </c>
      <c r="M254" s="697" t="str">
        <f>IFERROR(__xludf.DUMMYFUNCTION("""COMPUTED_VALUE"""),"Yes")</f>
        <v>Yes</v>
      </c>
      <c r="N254" s="697" t="str">
        <f>IFERROR(__xludf.DUMMYFUNCTION("""COMPUTED_VALUE"""),"45 days")</f>
        <v>45 days</v>
      </c>
      <c r="O254" s="874">
        <f>IFERROR(__xludf.DUMMYFUNCTION("""COMPUTED_VALUE"""),0.443)</f>
        <v>0.443</v>
      </c>
      <c r="P254" s="697"/>
      <c r="Q254" s="697" t="str">
        <f>IFERROR(__xludf.DUMMYFUNCTION("""COMPUTED_VALUE"""),"Combined mass treatment of schoolchildren with praziquantel and albendazole produced no more side effects than treatment with praziquantel alone.")</f>
        <v>Combined mass treatment of schoolchildren with praziquantel and albendazole produced no more side effects than treatment with praziquantel alone.</v>
      </c>
      <c r="R254" s="697" t="str">
        <f>IFERROR(__xludf.DUMMYFUNCTION("""COMPUTED_VALUE"""),"Double-Blind Placebo-Controlled Study of Concurrent Administration of Albendazole and Praziquantel in Schoolchildren with Schistosomiasis and Geohelminths")</f>
        <v>Double-Blind Placebo-Controlled Study of Concurrent Administration of Albendazole and Praziquantel in Schoolchildren with Schistosomiasis and Geohelminths</v>
      </c>
      <c r="S254" s="699" t="str">
        <f>IFERROR(__xludf.DUMMYFUNCTION("""COMPUTED_VALUE"""),"Olds GR, King CH, Hewlett J, Olveda R, Wu G, Ouma J, et al.Double-blind placebo-controlled study of concurrent administration of albendazole and praziquantel in schoolchildren with schistosomiasis and geohelminths. Journal of Infectious Diseases 1999;179("&amp;"4):996–1003.")</f>
        <v>Olds GR, King CH, Hewlett J, Olveda R, Wu G, Ouma J, et al.Double-blind placebo-controlled study of concurrent administration of albendazole and praziquantel in schoolchildren with schistosomiasis and geohelminths. Journal of Infectious Diseases 1999;179(4):996–1003.</v>
      </c>
      <c r="T254" s="697"/>
      <c r="U254" s="697" t="str">
        <f>IFERROR(__xludf.DUMMYFUNCTION("""COMPUTED_VALUE"""),"x")</f>
        <v>x</v>
      </c>
      <c r="V254" s="697">
        <f>IFERROR(__xludf.DUMMYFUNCTION("""COMPUTED_VALUE"""),254.0)</f>
        <v>254</v>
      </c>
    </row>
    <row r="255">
      <c r="A255" s="697" t="str">
        <f>IFERROR(__xludf.DUMMYFUNCTION("""COMPUTED_VALUE"""),"Olds GR, 1999")</f>
        <v>Olds GR, 1999</v>
      </c>
      <c r="B255" s="697" t="str">
        <f>IFERROR(__xludf.DUMMYFUNCTION("""COMPUTED_VALUE"""),"S. japonicum")</f>
        <v>S. japonicum</v>
      </c>
      <c r="C255" s="697" t="str">
        <f>IFERROR(__xludf.DUMMYFUNCTION("""COMPUTED_VALUE"""),"China")</f>
        <v>China</v>
      </c>
      <c r="D255" s="697" t="str">
        <f>IFERROR(__xludf.DUMMYFUNCTION("""COMPUTED_VALUE"""),"Praziquantel")</f>
        <v>Praziquantel</v>
      </c>
      <c r="E255" s="697" t="str">
        <f>IFERROR(__xludf.DUMMYFUNCTION("""COMPUTED_VALUE"""),"Two")</f>
        <v>Two</v>
      </c>
      <c r="F255" s="697" t="str">
        <f>IFERROR(__xludf.DUMMYFUNCTION("""COMPUTED_VALUE"""),"30 mg")</f>
        <v>30 mg</v>
      </c>
      <c r="G255" s="697">
        <f>IFERROR(__xludf.DUMMYFUNCTION("""COMPUTED_VALUE"""),203.0)</f>
        <v>203</v>
      </c>
      <c r="H255" s="697" t="str">
        <f>IFERROR(__xludf.DUMMYFUNCTION("""COMPUTED_VALUE"""),"5-17 yrs")</f>
        <v>5-17 yrs</v>
      </c>
      <c r="I255" s="697"/>
      <c r="J255" s="697">
        <f>IFERROR(__xludf.DUMMYFUNCTION("""COMPUTED_VALUE"""),1999.0)</f>
        <v>1999</v>
      </c>
      <c r="K255" s="697" t="str">
        <f>IFERROR(__xludf.DUMMYFUNCTION("""COMPUTED_VALUE"""),"schoolchildren aged 6 to 19 years positive for S. mansoni")</f>
        <v>schoolchildren aged 6 to 19 years positive for S. mansoni</v>
      </c>
      <c r="L255" s="697" t="str">
        <f>IFERROR(__xludf.DUMMYFUNCTION("""COMPUTED_VALUE"""),"Yes")</f>
        <v>Yes</v>
      </c>
      <c r="M255" s="697" t="str">
        <f>IFERROR(__xludf.DUMMYFUNCTION("""COMPUTED_VALUE"""),"Yes")</f>
        <v>Yes</v>
      </c>
      <c r="N255" s="697" t="str">
        <f>IFERROR(__xludf.DUMMYFUNCTION("""COMPUTED_VALUE"""),"45 days")</f>
        <v>45 days</v>
      </c>
      <c r="O255" s="874">
        <f>IFERROR(__xludf.DUMMYFUNCTION("""COMPUTED_VALUE"""),0.4765)</f>
        <v>0.4765</v>
      </c>
      <c r="P255" s="697"/>
      <c r="Q255" s="697" t="str">
        <f>IFERROR(__xludf.DUMMYFUNCTION("""COMPUTED_VALUE"""),"Combined mass treatment of schoolchildren with praziquantel and albendazole produced no more side effects than treatment with praziquantel alone.")</f>
        <v>Combined mass treatment of schoolchildren with praziquantel and albendazole produced no more side effects than treatment with praziquantel alone.</v>
      </c>
      <c r="R255" s="697" t="str">
        <f>IFERROR(__xludf.DUMMYFUNCTION("""COMPUTED_VALUE"""),"Double-Blind Placebo-Controlled Study of Concurrent Administration of Albendazole and Praziquantel in Schoolchildren with Schistosomiasis and Geohelminths")</f>
        <v>Double-Blind Placebo-Controlled Study of Concurrent Administration of Albendazole and Praziquantel in Schoolchildren with Schistosomiasis and Geohelminths</v>
      </c>
      <c r="S255" s="699" t="str">
        <f>IFERROR(__xludf.DUMMYFUNCTION("""COMPUTED_VALUE"""),"Olds GR, King CH, Hewlett J, Olveda R, Wu G, Ouma J, et al.Double-blind placebo-controlled study of concurrent administration of albendazole and praziquantel in schoolchildren with schistosomiasis and geohelminths. Journal of Infectious Diseases 1999;179("&amp;"4):996–1003.")</f>
        <v>Olds GR, King CH, Hewlett J, Olveda R, Wu G, Ouma J, et al.Double-blind placebo-controlled study of concurrent administration of albendazole and praziquantel in schoolchildren with schistosomiasis and geohelminths. Journal of Infectious Diseases 1999;179(4):996–1003.</v>
      </c>
      <c r="T255" s="697"/>
      <c r="U255" s="697" t="str">
        <f>IFERROR(__xludf.DUMMYFUNCTION("""COMPUTED_VALUE"""),"x")</f>
        <v>x</v>
      </c>
      <c r="V255" s="697">
        <f>IFERROR(__xludf.DUMMYFUNCTION("""COMPUTED_VALUE"""),255.0)</f>
        <v>255</v>
      </c>
    </row>
    <row r="256">
      <c r="A256" s="697" t="str">
        <f>IFERROR(__xludf.DUMMYFUNCTION("""COMPUTED_VALUE"""),"Olds GR, 1999")</f>
        <v>Olds GR, 1999</v>
      </c>
      <c r="B256" s="697" t="str">
        <f>IFERROR(__xludf.DUMMYFUNCTION("""COMPUTED_VALUE"""),"S. japonicum")</f>
        <v>S. japonicum</v>
      </c>
      <c r="C256" s="697" t="str">
        <f>IFERROR(__xludf.DUMMYFUNCTION("""COMPUTED_VALUE"""),"Philippines")</f>
        <v>Philippines</v>
      </c>
      <c r="D256" s="697" t="str">
        <f>IFERROR(__xludf.DUMMYFUNCTION("""COMPUTED_VALUE"""),"Praziquantel")</f>
        <v>Praziquantel</v>
      </c>
      <c r="E256" s="697" t="str">
        <f>IFERROR(__xludf.DUMMYFUNCTION("""COMPUTED_VALUE"""),"Two")</f>
        <v>Two</v>
      </c>
      <c r="F256" s="697" t="str">
        <f>IFERROR(__xludf.DUMMYFUNCTION("""COMPUTED_VALUE"""),"30 mg")</f>
        <v>30 mg</v>
      </c>
      <c r="G256" s="697">
        <f>IFERROR(__xludf.DUMMYFUNCTION("""COMPUTED_VALUE"""),203.0)</f>
        <v>203</v>
      </c>
      <c r="H256" s="697" t="str">
        <f>IFERROR(__xludf.DUMMYFUNCTION("""COMPUTED_VALUE"""),"5-17 yrs")</f>
        <v>5-17 yrs</v>
      </c>
      <c r="I256" s="697"/>
      <c r="J256" s="697">
        <f>IFERROR(__xludf.DUMMYFUNCTION("""COMPUTED_VALUE"""),1999.0)</f>
        <v>1999</v>
      </c>
      <c r="K256" s="697" t="str">
        <f>IFERROR(__xludf.DUMMYFUNCTION("""COMPUTED_VALUE"""),"schoolchildren aged 6 to 19 years positive for S. mansoni")</f>
        <v>schoolchildren aged 6 to 19 years positive for S. mansoni</v>
      </c>
      <c r="L256" s="697" t="str">
        <f>IFERROR(__xludf.DUMMYFUNCTION("""COMPUTED_VALUE"""),"Yes")</f>
        <v>Yes</v>
      </c>
      <c r="M256" s="697" t="str">
        <f>IFERROR(__xludf.DUMMYFUNCTION("""COMPUTED_VALUE"""),"Yes")</f>
        <v>Yes</v>
      </c>
      <c r="N256" s="697" t="str">
        <f>IFERROR(__xludf.DUMMYFUNCTION("""COMPUTED_VALUE"""),"45 days")</f>
        <v>45 days</v>
      </c>
      <c r="O256" s="874">
        <f>IFERROR(__xludf.DUMMYFUNCTION("""COMPUTED_VALUE"""),0.4765)</f>
        <v>0.4765</v>
      </c>
      <c r="P256" s="697"/>
      <c r="Q256" s="697" t="str">
        <f>IFERROR(__xludf.DUMMYFUNCTION("""COMPUTED_VALUE"""),"Combined mass treatment of schoolchildren with praziquantel and albendazole produced no more side effects than treatment with praziquantel alone.")</f>
        <v>Combined mass treatment of schoolchildren with praziquantel and albendazole produced no more side effects than treatment with praziquantel alone.</v>
      </c>
      <c r="R256" s="697" t="str">
        <f>IFERROR(__xludf.DUMMYFUNCTION("""COMPUTED_VALUE"""),"Double-Blind Placebo-Controlled Study of Concurrent Administration of Albendazole and Praziquantel in Schoolchildren with Schistosomiasis and Geohelminths")</f>
        <v>Double-Blind Placebo-Controlled Study of Concurrent Administration of Albendazole and Praziquantel in Schoolchildren with Schistosomiasis and Geohelminths</v>
      </c>
      <c r="S256" s="699" t="str">
        <f>IFERROR(__xludf.DUMMYFUNCTION("""COMPUTED_VALUE"""),"Olds GR, King CH, Hewlett J, Olveda R, Wu G, Ouma J, et al.Double-blind placebo-controlled study of concurrent administration of albendazole and praziquantel in schoolchildren with schistosomiasis and geohelminths. Journal of Infectious Diseases 1999;179("&amp;"4):996–1003.")</f>
        <v>Olds GR, King CH, Hewlett J, Olveda R, Wu G, Ouma J, et al.Double-blind placebo-controlled study of concurrent administration of albendazole and praziquantel in schoolchildren with schistosomiasis and geohelminths. Journal of Infectious Diseases 1999;179(4):996–1003.</v>
      </c>
      <c r="T256" s="697"/>
      <c r="U256" s="697" t="str">
        <f>IFERROR(__xludf.DUMMYFUNCTION("""COMPUTED_VALUE"""),"x")</f>
        <v>x</v>
      </c>
      <c r="V256" s="697">
        <f>IFERROR(__xludf.DUMMYFUNCTION("""COMPUTED_VALUE"""),256.0)</f>
        <v>256</v>
      </c>
    </row>
    <row r="257">
      <c r="A257" s="697" t="str">
        <f>IFERROR(__xludf.DUMMYFUNCTION("""COMPUTED_VALUE"""),"Olds GR, 1999")</f>
        <v>Olds GR, 1999</v>
      </c>
      <c r="B257" s="697" t="str">
        <f>IFERROR(__xludf.DUMMYFUNCTION("""COMPUTED_VALUE"""),"S. japonicum")</f>
        <v>S. japonicum</v>
      </c>
      <c r="C257" s="697" t="str">
        <f>IFERROR(__xludf.DUMMYFUNCTION("""COMPUTED_VALUE"""),"China")</f>
        <v>China</v>
      </c>
      <c r="D257" s="697" t="str">
        <f>IFERROR(__xludf.DUMMYFUNCTION("""COMPUTED_VALUE"""),"Albendazole")</f>
        <v>Albendazole</v>
      </c>
      <c r="E257" s="697" t="str">
        <f>IFERROR(__xludf.DUMMYFUNCTION("""COMPUTED_VALUE"""),"Single")</f>
        <v>Single</v>
      </c>
      <c r="F257" s="697" t="str">
        <f>IFERROR(__xludf.DUMMYFUNCTION("""COMPUTED_VALUE"""),"400 mg")</f>
        <v>400 mg</v>
      </c>
      <c r="G257" s="697">
        <f>IFERROR(__xludf.DUMMYFUNCTION("""COMPUTED_VALUE"""),199.0)</f>
        <v>199</v>
      </c>
      <c r="H257" s="697" t="str">
        <f>IFERROR(__xludf.DUMMYFUNCTION("""COMPUTED_VALUE"""),"5-17 yrs")</f>
        <v>5-17 yrs</v>
      </c>
      <c r="I257" s="697"/>
      <c r="J257" s="697">
        <f>IFERROR(__xludf.DUMMYFUNCTION("""COMPUTED_VALUE"""),1999.0)</f>
        <v>1999</v>
      </c>
      <c r="K257" s="697" t="str">
        <f>IFERROR(__xludf.DUMMYFUNCTION("""COMPUTED_VALUE"""),"schoolchildren aged 6 to 19 years positive for S. mansoni")</f>
        <v>schoolchildren aged 6 to 19 years positive for S. mansoni</v>
      </c>
      <c r="L257" s="697" t="str">
        <f>IFERROR(__xludf.DUMMYFUNCTION("""COMPUTED_VALUE"""),"Yes")</f>
        <v>Yes</v>
      </c>
      <c r="M257" s="697" t="str">
        <f>IFERROR(__xludf.DUMMYFUNCTION("""COMPUTED_VALUE"""),"Yes")</f>
        <v>Yes</v>
      </c>
      <c r="N257" s="697" t="str">
        <f>IFERROR(__xludf.DUMMYFUNCTION("""COMPUTED_VALUE"""),"45 days")</f>
        <v>45 days</v>
      </c>
      <c r="O257" s="874">
        <f>IFERROR(__xludf.DUMMYFUNCTION("""COMPUTED_VALUE"""),0.1335)</f>
        <v>0.1335</v>
      </c>
      <c r="P257" s="697"/>
      <c r="Q257" s="697" t="str">
        <f>IFERROR(__xludf.DUMMYFUNCTION("""COMPUTED_VALUE"""),"Combined mass treatment of schoolchildren with praziquantel and albendazole produced no more side effects than treatment with praziquantel alone.")</f>
        <v>Combined mass treatment of schoolchildren with praziquantel and albendazole produced no more side effects than treatment with praziquantel alone.</v>
      </c>
      <c r="R257" s="697" t="str">
        <f>IFERROR(__xludf.DUMMYFUNCTION("""COMPUTED_VALUE"""),"Double-Blind Placebo-Controlled Study of Concurrent Administration of Albendazole and Praziquantel in Schoolchildren with Schistosomiasis and Geohelminths")</f>
        <v>Double-Blind Placebo-Controlled Study of Concurrent Administration of Albendazole and Praziquantel in Schoolchildren with Schistosomiasis and Geohelminths</v>
      </c>
      <c r="S257" s="699" t="str">
        <f>IFERROR(__xludf.DUMMYFUNCTION("""COMPUTED_VALUE"""),"Olds GR, King CH, Hewlett J, Olveda R, Wu G, Ouma J, et al.Double-blind placebo-controlled study of concurrent administration of albendazole and praziquantel in schoolchildren with schistosomiasis and geohelminths. Journal of Infectious Diseases 1999;179("&amp;"4):996–1003.")</f>
        <v>Olds GR, King CH, Hewlett J, Olveda R, Wu G, Ouma J, et al.Double-blind placebo-controlled study of concurrent administration of albendazole and praziquantel in schoolchildren with schistosomiasis and geohelminths. Journal of Infectious Diseases 1999;179(4):996–1003.</v>
      </c>
      <c r="T257" s="697"/>
      <c r="U257" s="697" t="str">
        <f>IFERROR(__xludf.DUMMYFUNCTION("""COMPUTED_VALUE"""),"x")</f>
        <v>x</v>
      </c>
      <c r="V257" s="697">
        <f>IFERROR(__xludf.DUMMYFUNCTION("""COMPUTED_VALUE"""),257.0)</f>
        <v>257</v>
      </c>
    </row>
    <row r="258">
      <c r="A258" s="697" t="str">
        <f>IFERROR(__xludf.DUMMYFUNCTION("""COMPUTED_VALUE"""),"Olds GR, 1999")</f>
        <v>Olds GR, 1999</v>
      </c>
      <c r="B258" s="697" t="str">
        <f>IFERROR(__xludf.DUMMYFUNCTION("""COMPUTED_VALUE"""),"S. japonicum")</f>
        <v>S. japonicum</v>
      </c>
      <c r="C258" s="697" t="str">
        <f>IFERROR(__xludf.DUMMYFUNCTION("""COMPUTED_VALUE"""),"Philippines")</f>
        <v>Philippines</v>
      </c>
      <c r="D258" s="697" t="str">
        <f>IFERROR(__xludf.DUMMYFUNCTION("""COMPUTED_VALUE"""),"Albendazole")</f>
        <v>Albendazole</v>
      </c>
      <c r="E258" s="697" t="str">
        <f>IFERROR(__xludf.DUMMYFUNCTION("""COMPUTED_VALUE"""),"Single")</f>
        <v>Single</v>
      </c>
      <c r="F258" s="697" t="str">
        <f>IFERROR(__xludf.DUMMYFUNCTION("""COMPUTED_VALUE"""),"400 mg")</f>
        <v>400 mg</v>
      </c>
      <c r="G258" s="697">
        <f>IFERROR(__xludf.DUMMYFUNCTION("""COMPUTED_VALUE"""),199.0)</f>
        <v>199</v>
      </c>
      <c r="H258" s="697" t="str">
        <f>IFERROR(__xludf.DUMMYFUNCTION("""COMPUTED_VALUE"""),"5-17 yrs")</f>
        <v>5-17 yrs</v>
      </c>
      <c r="I258" s="697"/>
      <c r="J258" s="697">
        <f>IFERROR(__xludf.DUMMYFUNCTION("""COMPUTED_VALUE"""),1999.0)</f>
        <v>1999</v>
      </c>
      <c r="K258" s="697" t="str">
        <f>IFERROR(__xludf.DUMMYFUNCTION("""COMPUTED_VALUE"""),"schoolchildren aged 6 to 19 years positive for S. mansoni")</f>
        <v>schoolchildren aged 6 to 19 years positive for S. mansoni</v>
      </c>
      <c r="L258" s="697" t="str">
        <f>IFERROR(__xludf.DUMMYFUNCTION("""COMPUTED_VALUE"""),"Yes")</f>
        <v>Yes</v>
      </c>
      <c r="M258" s="706" t="str">
        <f>IFERROR(__xludf.DUMMYFUNCTION("""COMPUTED_VALUE"""),"Yes")</f>
        <v>Yes</v>
      </c>
      <c r="N258" s="706" t="str">
        <f>IFERROR(__xludf.DUMMYFUNCTION("""COMPUTED_VALUE"""),"45 days")</f>
        <v>45 days</v>
      </c>
      <c r="O258" s="874">
        <f>IFERROR(__xludf.DUMMYFUNCTION("""COMPUTED_VALUE"""),0.1335)</f>
        <v>0.1335</v>
      </c>
      <c r="P258" s="697"/>
      <c r="Q258" s="697" t="str">
        <f>IFERROR(__xludf.DUMMYFUNCTION("""COMPUTED_VALUE"""),"Combined mass treatment of schoolchildren with praziquantel and albendazole produced no more side effects than treatment with praziquantel alone.")</f>
        <v>Combined mass treatment of schoolchildren with praziquantel and albendazole produced no more side effects than treatment with praziquantel alone.</v>
      </c>
      <c r="R258" s="697" t="str">
        <f>IFERROR(__xludf.DUMMYFUNCTION("""COMPUTED_VALUE"""),"Double-Blind Placebo-Controlled Study of Concurrent Administration of Albendazole and Praziquantel in Schoolchildren with Schistosomiasis and Geohelminths")</f>
        <v>Double-Blind Placebo-Controlled Study of Concurrent Administration of Albendazole and Praziquantel in Schoolchildren with Schistosomiasis and Geohelminths</v>
      </c>
      <c r="S258" s="699" t="str">
        <f>IFERROR(__xludf.DUMMYFUNCTION("""COMPUTED_VALUE"""),"Olds GR, King CH, Hewlett J, Olveda R, Wu G, Ouma J, et al.Double-blind placebo-controlled study of concurrent administration of albendazole and praziquantel in schoolchildren with schistosomiasis and geohelminths. Journal of Infectious Diseases 1999;179("&amp;"4):996–1003.")</f>
        <v>Olds GR, King CH, Hewlett J, Olveda R, Wu G, Ouma J, et al.Double-blind placebo-controlled study of concurrent administration of albendazole and praziquantel in schoolchildren with schistosomiasis and geohelminths. Journal of Infectious Diseases 1999;179(4):996–1003.</v>
      </c>
      <c r="T258" s="697"/>
      <c r="U258" s="697" t="str">
        <f>IFERROR(__xludf.DUMMYFUNCTION("""COMPUTED_VALUE"""),"x")</f>
        <v>x</v>
      </c>
      <c r="V258" s="697">
        <f>IFERROR(__xludf.DUMMYFUNCTION("""COMPUTED_VALUE"""),258.0)</f>
        <v>258</v>
      </c>
    </row>
    <row r="259">
      <c r="A259" s="697" t="str">
        <f>IFERROR(__xludf.DUMMYFUNCTION("""COMPUTED_VALUE"""),"Olds GR, 1999")</f>
        <v>Olds GR, 1999</v>
      </c>
      <c r="B259" s="697" t="str">
        <f>IFERROR(__xludf.DUMMYFUNCTION("""COMPUTED_VALUE"""),"S. japonicum")</f>
        <v>S. japonicum</v>
      </c>
      <c r="C259" s="697" t="str">
        <f>IFERROR(__xludf.DUMMYFUNCTION("""COMPUTED_VALUE"""),"China")</f>
        <v>China</v>
      </c>
      <c r="D259" s="697" t="str">
        <f>IFERROR(__xludf.DUMMYFUNCTION("""COMPUTED_VALUE"""),"Placebo")</f>
        <v>Placebo</v>
      </c>
      <c r="E259" s="697"/>
      <c r="F259" s="697"/>
      <c r="G259" s="697">
        <f>IFERROR(__xludf.DUMMYFUNCTION("""COMPUTED_VALUE"""),195.0)</f>
        <v>195</v>
      </c>
      <c r="H259" s="697" t="str">
        <f>IFERROR(__xludf.DUMMYFUNCTION("""COMPUTED_VALUE"""),"5-17 yrs")</f>
        <v>5-17 yrs</v>
      </c>
      <c r="I259" s="697"/>
      <c r="J259" s="697">
        <f>IFERROR(__xludf.DUMMYFUNCTION("""COMPUTED_VALUE"""),1999.0)</f>
        <v>1999</v>
      </c>
      <c r="K259" s="697" t="str">
        <f>IFERROR(__xludf.DUMMYFUNCTION("""COMPUTED_VALUE"""),"schoolchildren aged 6 to 19 years positive for S. mansoni")</f>
        <v>schoolchildren aged 6 to 19 years positive for S. mansoni</v>
      </c>
      <c r="L259" s="697" t="str">
        <f>IFERROR(__xludf.DUMMYFUNCTION("""COMPUTED_VALUE"""),"Yes")</f>
        <v>Yes</v>
      </c>
      <c r="M259" s="697" t="str">
        <f>IFERROR(__xludf.DUMMYFUNCTION("""COMPUTED_VALUE"""),"Yes")</f>
        <v>Yes</v>
      </c>
      <c r="N259" s="697" t="str">
        <f>IFERROR(__xludf.DUMMYFUNCTION("""COMPUTED_VALUE"""),"45 days")</f>
        <v>45 days</v>
      </c>
      <c r="O259" s="874">
        <f>IFERROR(__xludf.DUMMYFUNCTION("""COMPUTED_VALUE"""),0.061)</f>
        <v>0.061</v>
      </c>
      <c r="P259" s="697"/>
      <c r="Q259" s="697" t="str">
        <f>IFERROR(__xludf.DUMMYFUNCTION("""COMPUTED_VALUE"""),"Combined mass treatment of schoolchildren with praziquantel and albendazole produced no more side effects than treatment with praziquantel alone.")</f>
        <v>Combined mass treatment of schoolchildren with praziquantel and albendazole produced no more side effects than treatment with praziquantel alone.</v>
      </c>
      <c r="R259" s="697" t="str">
        <f>IFERROR(__xludf.DUMMYFUNCTION("""COMPUTED_VALUE"""),"Double-Blind Placebo-Controlled Study of Concurrent Administration of Albendazole and Praziquantel in Schoolchildren with Schistosomiasis and Geohelminths")</f>
        <v>Double-Blind Placebo-Controlled Study of Concurrent Administration of Albendazole and Praziquantel in Schoolchildren with Schistosomiasis and Geohelminths</v>
      </c>
      <c r="S259" s="699" t="str">
        <f>IFERROR(__xludf.DUMMYFUNCTION("""COMPUTED_VALUE"""),"Olds GR, King CH, Hewlett J, Olveda R, Wu G, Ouma J, et al.Double-blind placebo-controlled study of concurrent administration of albendazole and praziquantel in schoolchildren with schistosomiasis and geohelminths. Journal of Infectious Diseases 1999;179("&amp;"4):996–1003.")</f>
        <v>Olds GR, King CH, Hewlett J, Olveda R, Wu G, Ouma J, et al.Double-blind placebo-controlled study of concurrent administration of albendazole and praziquantel in schoolchildren with schistosomiasis and geohelminths. Journal of Infectious Diseases 1999;179(4):996–1003.</v>
      </c>
      <c r="T259" s="697"/>
      <c r="U259" s="697" t="str">
        <f>IFERROR(__xludf.DUMMYFUNCTION("""COMPUTED_VALUE"""),"x")</f>
        <v>x</v>
      </c>
      <c r="V259" s="697">
        <f>IFERROR(__xludf.DUMMYFUNCTION("""COMPUTED_VALUE"""),259.0)</f>
        <v>259</v>
      </c>
    </row>
    <row r="260">
      <c r="A260" s="697" t="str">
        <f>IFERROR(__xludf.DUMMYFUNCTION("""COMPUTED_VALUE"""),"Olds GR, 1999")</f>
        <v>Olds GR, 1999</v>
      </c>
      <c r="B260" s="697" t="str">
        <f>IFERROR(__xludf.DUMMYFUNCTION("""COMPUTED_VALUE"""),"S. japonicum")</f>
        <v>S. japonicum</v>
      </c>
      <c r="C260" s="697" t="str">
        <f>IFERROR(__xludf.DUMMYFUNCTION("""COMPUTED_VALUE"""),"Philippines")</f>
        <v>Philippines</v>
      </c>
      <c r="D260" s="697" t="str">
        <f>IFERROR(__xludf.DUMMYFUNCTION("""COMPUTED_VALUE"""),"Placebo")</f>
        <v>Placebo</v>
      </c>
      <c r="E260" s="697"/>
      <c r="F260" s="697"/>
      <c r="G260" s="697">
        <f>IFERROR(__xludf.DUMMYFUNCTION("""COMPUTED_VALUE"""),195.0)</f>
        <v>195</v>
      </c>
      <c r="H260" s="697" t="str">
        <f>IFERROR(__xludf.DUMMYFUNCTION("""COMPUTED_VALUE"""),"5-17 yrs")</f>
        <v>5-17 yrs</v>
      </c>
      <c r="I260" s="697"/>
      <c r="J260" s="697">
        <f>IFERROR(__xludf.DUMMYFUNCTION("""COMPUTED_VALUE"""),1999.0)</f>
        <v>1999</v>
      </c>
      <c r="K260" s="697" t="str">
        <f>IFERROR(__xludf.DUMMYFUNCTION("""COMPUTED_VALUE"""),"schoolchildren aged 6 to 19 years positive for S. mansoni")</f>
        <v>schoolchildren aged 6 to 19 years positive for S. mansoni</v>
      </c>
      <c r="L260" s="697" t="str">
        <f>IFERROR(__xludf.DUMMYFUNCTION("""COMPUTED_VALUE"""),"Yes")</f>
        <v>Yes</v>
      </c>
      <c r="M260" s="697" t="str">
        <f>IFERROR(__xludf.DUMMYFUNCTION("""COMPUTED_VALUE"""),"Yes")</f>
        <v>Yes</v>
      </c>
      <c r="N260" s="697" t="str">
        <f>IFERROR(__xludf.DUMMYFUNCTION("""COMPUTED_VALUE"""),"45 days")</f>
        <v>45 days</v>
      </c>
      <c r="O260" s="874">
        <f>IFERROR(__xludf.DUMMYFUNCTION("""COMPUTED_VALUE"""),0.061)</f>
        <v>0.061</v>
      </c>
      <c r="P260" s="697"/>
      <c r="Q260" s="697" t="str">
        <f>IFERROR(__xludf.DUMMYFUNCTION("""COMPUTED_VALUE"""),"Combined mass treatment of schoolchildren with praziquantel and albendazole produced no more side effects than treatment with praziquantel alone.")</f>
        <v>Combined mass treatment of schoolchildren with praziquantel and albendazole produced no more side effects than treatment with praziquantel alone.</v>
      </c>
      <c r="R260" s="697" t="str">
        <f>IFERROR(__xludf.DUMMYFUNCTION("""COMPUTED_VALUE"""),"Double-Blind Placebo-Controlled Study of Concurrent Administration of Albendazole and Praziquantel in Schoolchildren with Schistosomiasis and Geohelminths")</f>
        <v>Double-Blind Placebo-Controlled Study of Concurrent Administration of Albendazole and Praziquantel in Schoolchildren with Schistosomiasis and Geohelminths</v>
      </c>
      <c r="S260" s="699" t="str">
        <f>IFERROR(__xludf.DUMMYFUNCTION("""COMPUTED_VALUE"""),"Olds GR, King CH, Hewlett J, Olveda R, Wu G, Ouma J, et al.Double-blind placebo-controlled study of concurrent administration of albendazole and praziquantel in schoolchildren with schistosomiasis and geohelminths. Journal of Infectious Diseases 1999;179("&amp;"4):996–1003.")</f>
        <v>Olds GR, King CH, Hewlett J, Olveda R, Wu G, Ouma J, et al.Double-blind placebo-controlled study of concurrent administration of albendazole and praziquantel in schoolchildren with schistosomiasis and geohelminths. Journal of Infectious Diseases 1999;179(4):996–1003.</v>
      </c>
      <c r="T260" s="697"/>
      <c r="U260" s="697" t="str">
        <f>IFERROR(__xludf.DUMMYFUNCTION("""COMPUTED_VALUE"""),"x")</f>
        <v>x</v>
      </c>
      <c r="V260" s="697">
        <f>IFERROR(__xludf.DUMMYFUNCTION("""COMPUTED_VALUE"""),260.0)</f>
        <v>260</v>
      </c>
    </row>
    <row r="261">
      <c r="A261" s="697" t="str">
        <f>IFERROR(__xludf.DUMMYFUNCTION("""COMPUTED_VALUE"""),"Namwanje 2011")</f>
        <v>Namwanje 2011</v>
      </c>
      <c r="B261" s="697" t="str">
        <f>IFERROR(__xludf.DUMMYFUNCTION("""COMPUTED_VALUE"""),"s. mansoni")</f>
        <v>s. mansoni</v>
      </c>
      <c r="C261" s="697" t="str">
        <f>IFERROR(__xludf.DUMMYFUNCTION("""COMPUTED_VALUE"""),"Uganda")</f>
        <v>Uganda</v>
      </c>
      <c r="D261" s="697" t="str">
        <f>IFERROR(__xludf.DUMMYFUNCTION("""COMPUTED_VALUE"""),"Albendazole &amp; Ivermectin &amp; Praziquantel")</f>
        <v>Albendazole &amp; Ivermectin &amp; Praziquantel</v>
      </c>
      <c r="E261" s="697" t="str">
        <f>IFERROR(__xludf.DUMMYFUNCTION("""COMPUTED_VALUE"""),"Single")</f>
        <v>Single</v>
      </c>
      <c r="F261" s="697" t="str">
        <f>IFERROR(__xludf.DUMMYFUNCTION("""COMPUTED_VALUE"""),"400 mg; 200 µg/kg; 40 mg/kg;")</f>
        <v>400 mg; 200 µg/kg; 40 mg/kg;</v>
      </c>
      <c r="G261" s="697">
        <f>IFERROR(__xludf.DUMMYFUNCTION("""COMPUTED_VALUE"""),60.0)</f>
        <v>60</v>
      </c>
      <c r="H261" s="704">
        <f>IFERROR(__xludf.DUMMYFUNCTION("""COMPUTED_VALUE"""),42508.0)</f>
        <v>42508</v>
      </c>
      <c r="I261" s="697"/>
      <c r="J261" s="697">
        <f>IFERROR(__xludf.DUMMYFUNCTION("""COMPUTED_VALUE"""),2007.0)</f>
        <v>2007</v>
      </c>
      <c r="K261" s="697" t="str">
        <f>IFERROR(__xludf.DUMMYFUNCTION("""COMPUTED_VALUE"""),"Children who were in class one to six in the year 2007, aged 5-18 years and found to be infected with either LF, schistomiasis or any STH, with both LF and schistomiasis, or with all three parasites, who were willing, who consented, and whose parents cons"&amp;"ented were eligible for inclusion in the study.")</f>
        <v>Children who were in class one to six in the year 2007, aged 5-18 years and found to be infected with either LF, schistomiasis or any STH, with both LF and schistomiasis, or with all three parasites, who were willing, who consented, and whose parents consented were eligible for inclusion in the study.</v>
      </c>
      <c r="L261" s="697" t="str">
        <f>IFERROR(__xludf.DUMMYFUNCTION("""COMPUTED_VALUE"""),"Yes")</f>
        <v>Yes</v>
      </c>
      <c r="M261" s="697" t="str">
        <f>IFERROR(__xludf.DUMMYFUNCTION("""COMPUTED_VALUE"""),"Yes")</f>
        <v>Yes</v>
      </c>
      <c r="N261" s="697" t="str">
        <f>IFERROR(__xludf.DUMMYFUNCTION("""COMPUTED_VALUE"""),"5 weeks")</f>
        <v>5 weeks</v>
      </c>
      <c r="O261" s="871"/>
      <c r="P261" s="700">
        <f>IFERROR(__xludf.DUMMYFUNCTION("""COMPUTED_VALUE"""),0.99)</f>
        <v>0.99</v>
      </c>
      <c r="Q261" s="697" t="str">
        <f>IFERROR(__xludf.DUMMYFUNCTION("""COMPUTED_VALUE"""),"Administration of ALB + IVM +PZQ to children with triple infection was safe. ")</f>
        <v>Administration of ALB + IVM +PZQ to children with triple infection was safe. </v>
      </c>
      <c r="R261" s="697"/>
      <c r="S261" s="697"/>
      <c r="T261" s="697"/>
      <c r="U261" s="697" t="str">
        <f>IFERROR(__xludf.DUMMYFUNCTION("""COMPUTED_VALUE"""),"")</f>
        <v/>
      </c>
      <c r="V261" s="697">
        <f>IFERROR(__xludf.DUMMYFUNCTION("""COMPUTED_VALUE"""),261.0)</f>
        <v>261</v>
      </c>
    </row>
    <row r="262">
      <c r="A262" s="697" t="str">
        <f>IFERROR(__xludf.DUMMYFUNCTION("""COMPUTED_VALUE"""),"Zhang 2003")</f>
        <v>Zhang 2003</v>
      </c>
      <c r="B262" s="697" t="str">
        <f>IFERROR(__xludf.DUMMYFUNCTION("""COMPUTED_VALUE"""),"s. mansoni")</f>
        <v>s. mansoni</v>
      </c>
      <c r="C262" s="697" t="str">
        <f>IFERROR(__xludf.DUMMYFUNCTION("""COMPUTED_VALUE"""),"Uganda")</f>
        <v>Uganda</v>
      </c>
      <c r="D262" s="697" t="str">
        <f>IFERROR(__xludf.DUMMYFUNCTION("""COMPUTED_VALUE"""),"Albendazole &amp; Praziquantel")</f>
        <v>Albendazole &amp; Praziquantel</v>
      </c>
      <c r="E262" s="697" t="str">
        <f>IFERROR(__xludf.DUMMYFUNCTION("""COMPUTED_VALUE"""),"Single")</f>
        <v>Single</v>
      </c>
      <c r="F262" s="697" t="str">
        <f>IFERROR(__xludf.DUMMYFUNCTION("""COMPUTED_VALUE"""),"400 mg; 40 mg/kg")</f>
        <v>400 mg; 40 mg/kg</v>
      </c>
      <c r="G262" s="697">
        <f>IFERROR(__xludf.DUMMYFUNCTION("""COMPUTED_VALUE"""),1704.0)</f>
        <v>1704</v>
      </c>
      <c r="H262" s="697" t="str">
        <f>IFERROR(__xludf.DUMMYFUNCTION("""COMPUTED_VALUE"""),"School Children")</f>
        <v>School Children</v>
      </c>
      <c r="I262" s="705" t="str">
        <f>IFERROR(__xludf.DUMMYFUNCTION("""COMPUTED_VALUE"""),"879:821")</f>
        <v>879:821</v>
      </c>
      <c r="J262" s="697">
        <f>IFERROR(__xludf.DUMMYFUNCTION("""COMPUTED_VALUE"""),2003.0)</f>
        <v>2003</v>
      </c>
      <c r="K262" s="697" t="str">
        <f>IFERROR(__xludf.DUMMYFUNCTION("""COMPUTED_VALUE"""),"schoolchildren")</f>
        <v>schoolchildren</v>
      </c>
      <c r="L262" s="697" t="str">
        <f>IFERROR(__xludf.DUMMYFUNCTION("""COMPUTED_VALUE"""),"No")</f>
        <v>No</v>
      </c>
      <c r="M262" s="697" t="str">
        <f>IFERROR(__xludf.DUMMYFUNCTION("""COMPUTED_VALUE"""),"Yes")</f>
        <v>Yes</v>
      </c>
      <c r="N262" s="697" t="str">
        <f>IFERROR(__xludf.DUMMYFUNCTION("""COMPUTED_VALUE"""),"Follow-up 2 years")</f>
        <v>Follow-up 2 years</v>
      </c>
      <c r="O262" s="873">
        <f>IFERROR(__xludf.DUMMYFUNCTION("""COMPUTED_VALUE"""),0.578)</f>
        <v>0.578</v>
      </c>
      <c r="P262" s="697"/>
      <c r="Q262" s="697" t="str">
        <f>IFERROR(__xludf.DUMMYFUNCTION("""COMPUTED_VALUE"""),"Annual anthelmintic treatment delivered to schoolchildren and to adults at high risk in Uganda can significantly reduce the prevalence and intensity of infection for schistosomiasis and STH, and potentially also significantly reduce levels of environmenta"&amp;"l transmission of infection.")</f>
        <v>Annual anthelmintic treatment delivered to schoolchildren and to adults at high risk in Uganda can significantly reduce the prevalence and intensity of infection for schistosomiasis and STH, and potentially also significantly reduce levels of environmental transmission of infection.</v>
      </c>
      <c r="R262" s="697"/>
      <c r="S262" s="699" t="str">
        <f>IFERROR(__xludf.DUMMYFUNCTION("""COMPUTED_VALUE"""),"Zhang, Y. Koukounari, A.; Kabatereine, N.; Fleming, F.; Kazibwe, F.; Tukahebwa, E.; Stothard, J.R.; Webster, J.P.; Fenwish, A. Parisitological impact of 2-year preventive chemotherapy on schistosomiasis and soil-transmitted helminthiasis in Uganda. 2007. "&amp;"BMC Medicine 5:27 doi: 10.1186/1741-7015-5-27")</f>
        <v>Zhang, Y. Koukounari, A.; Kabatereine, N.; Fleming, F.; Kazibwe, F.; Tukahebwa, E.; Stothard, J.R.; Webster, J.P.; Fenwish, A. Parisitological impact of 2-year preventive chemotherapy on schistosomiasis and soil-transmitted helminthiasis in Uganda. 2007. BMC Medicine 5:27 doi: 10.1186/1741-7015-5-27</v>
      </c>
      <c r="T262" s="697"/>
      <c r="U262" s="697" t="str">
        <f>IFERROR(__xludf.DUMMYFUNCTION("""COMPUTED_VALUE"""),"")</f>
        <v/>
      </c>
      <c r="V262" s="697">
        <f>IFERROR(__xludf.DUMMYFUNCTION("""COMPUTED_VALUE"""),262.0)</f>
        <v>262</v>
      </c>
    </row>
    <row r="263">
      <c r="A263" s="697" t="str">
        <f>IFERROR(__xludf.DUMMYFUNCTION("""COMPUTED_VALUE"""),"Tohon 2008")</f>
        <v>Tohon 2008</v>
      </c>
      <c r="B263" s="697" t="str">
        <f>IFERROR(__xludf.DUMMYFUNCTION("""COMPUTED_VALUE"""),"s. haematobium")</f>
        <v>s. haematobium</v>
      </c>
      <c r="C263" s="697" t="str">
        <f>IFERROR(__xludf.DUMMYFUNCTION("""COMPUTED_VALUE"""),"Nigeria")</f>
        <v>Nigeria</v>
      </c>
      <c r="D263" s="697" t="str">
        <f>IFERROR(__xludf.DUMMYFUNCTION("""COMPUTED_VALUE"""),"Albendazole &amp; Praziquantel")</f>
        <v>Albendazole &amp; Praziquantel</v>
      </c>
      <c r="E263" s="697" t="str">
        <f>IFERROR(__xludf.DUMMYFUNCTION("""COMPUTED_VALUE"""),"Single")</f>
        <v>Single</v>
      </c>
      <c r="F263" s="697" t="str">
        <f>IFERROR(__xludf.DUMMYFUNCTION("""COMPUTED_VALUE"""),"400 mg; 40 mg/kg ")</f>
        <v>400 mg; 40 mg/kg </v>
      </c>
      <c r="G263" s="697">
        <f>IFERROR(__xludf.DUMMYFUNCTION("""COMPUTED_VALUE"""),354.0)</f>
        <v>354</v>
      </c>
      <c r="H263" s="697" t="str">
        <f>IFERROR(__xludf.DUMMYFUNCTION("""COMPUTED_VALUE"""),"7,8,11 years old")</f>
        <v>7,8,11 years old</v>
      </c>
      <c r="I263" s="705" t="str">
        <f>IFERROR(__xludf.DUMMYFUNCTION("""COMPUTED_VALUE"""),"ratio 1.27: 1")</f>
        <v>ratio 1.27: 1</v>
      </c>
      <c r="J263" s="697">
        <f>IFERROR(__xludf.DUMMYFUNCTION("""COMPUTED_VALUE"""),2005.0)</f>
        <v>2005</v>
      </c>
      <c r="K263" s="706" t="str">
        <f>IFERROR(__xludf.DUMMYFUNCTION("""COMPUTED_VALUE"""),"schoolchildren aged 7, 8 and 11 years were the study population. These particular ages were selected to be included in the monitoring and evaluation surveys because the control programme supported by the SCI targets schoolchildren and therefore these age "&amp;"groups would be the most representative.")</f>
        <v>schoolchildren aged 7, 8 and 11 years were the study population. These particular ages were selected to be included in the monitoring and evaluation surveys because the control programme supported by the SCI targets schoolchildren and therefore these age groups would be the most representative.</v>
      </c>
      <c r="L263" s="697" t="str">
        <f>IFERROR(__xludf.DUMMYFUNCTION("""COMPUTED_VALUE"""),"No")</f>
        <v>No</v>
      </c>
      <c r="M263" s="697" t="str">
        <f>IFERROR(__xludf.DUMMYFUNCTION("""COMPUTED_VALUE"""),"Yes")</f>
        <v>Yes</v>
      </c>
      <c r="N263" s="697" t="str">
        <f>IFERROR(__xludf.DUMMYFUNCTION("""COMPUTED_VALUE"""),"1 year; CR of heavy intensity")</f>
        <v>1 year; CR of heavy intensity</v>
      </c>
      <c r="O263" s="874">
        <f>IFERROR(__xludf.DUMMYFUNCTION("""COMPUTED_VALUE"""),0.917)</f>
        <v>0.917</v>
      </c>
      <c r="P263" s="697"/>
      <c r="Q263" s="697" t="str">
        <f>IFERROR(__xludf.DUMMYFUNCTION("""COMPUTED_VALUE"""),"Even though schistosomiasis represents only one of multiple causes of anaemia, the effect of praziquantel treatment on morbidity clearly indicates the benefits of schistosomiasis control programmes, which must be perpetuate.")</f>
        <v>Even though schistosomiasis represents only one of multiple causes of anaemia, the effect of praziquantel treatment on morbidity clearly indicates the benefits of schistosomiasis control programmes, which must be perpetuate.</v>
      </c>
      <c r="R263" s="697"/>
      <c r="S263" s="699" t="str">
        <f>IFERROR(__xludf.DUMMYFUNCTION("""COMPUTED_VALUE"""),"Tohon, Zilahatou B., et al. ""Controlling schistosomiasis: significant decrease of anaemia prevalence one year after a single dose of praziquantel in Nigerien schoolchildren."" PLoS Negl Trop Dis 2.5 (2008): e241.")</f>
        <v>Tohon, Zilahatou B., et al. "Controlling schistosomiasis: significant decrease of anaemia prevalence one year after a single dose of praziquantel in Nigerien schoolchildren." PLoS Negl Trop Dis 2.5 (2008): e241.</v>
      </c>
      <c r="T263" s="697"/>
      <c r="U263" s="697" t="str">
        <f>IFERROR(__xludf.DUMMYFUNCTION("""COMPUTED_VALUE"""),"")</f>
        <v/>
      </c>
      <c r="V263" s="697">
        <f>IFERROR(__xludf.DUMMYFUNCTION("""COMPUTED_VALUE"""),263.0)</f>
        <v>263</v>
      </c>
    </row>
    <row r="264">
      <c r="A264" s="697" t="str">
        <f>IFERROR(__xludf.DUMMYFUNCTION("""COMPUTED_VALUE"""),"Barda et al.")</f>
        <v>Barda et al.</v>
      </c>
      <c r="B264" s="697" t="str">
        <f>IFERROR(__xludf.DUMMYFUNCTION("""COMPUTED_VALUE"""),"s. haematobium")</f>
        <v>s. haematobium</v>
      </c>
      <c r="C264" s="697" t="str">
        <f>IFERROR(__xludf.DUMMYFUNCTION("""COMPUTED_VALUE"""),"Cote d'Ivoire")</f>
        <v>Cote d'Ivoire</v>
      </c>
      <c r="D264" s="697" t="str">
        <f>IFERROR(__xludf.DUMMYFUNCTION("""COMPUTED_VALUE"""),"Praziquantel")</f>
        <v>Praziquantel</v>
      </c>
      <c r="E264" s="697" t="str">
        <f>IFERROR(__xludf.DUMMYFUNCTION("""COMPUTED_VALUE"""),"Single")</f>
        <v>Single</v>
      </c>
      <c r="F264" s="697" t="str">
        <f>IFERROR(__xludf.DUMMYFUNCTION("""COMPUTED_VALUE"""),"40 mg/kg")</f>
        <v>40 mg/kg</v>
      </c>
      <c r="G264" s="697">
        <f>IFERROR(__xludf.DUMMYFUNCTION("""COMPUTED_VALUE"""),26.0)</f>
        <v>26</v>
      </c>
      <c r="H264" s="697" t="str">
        <f>IFERROR(__xludf.DUMMYFUNCTION("""COMPUTED_VALUE"""),"12-17 yrs")</f>
        <v>12-17 yrs</v>
      </c>
      <c r="I264" s="705" t="str">
        <f>IFERROR(__xludf.DUMMYFUNCTION("""COMPUTED_VALUE"""),"58.6% male")</f>
        <v>58.6% male</v>
      </c>
      <c r="J264" s="697">
        <f>IFERROR(__xludf.DUMMYFUNCTION("""COMPUTED_VALUE"""),2015.0)</f>
        <v>2015</v>
      </c>
      <c r="K264" s="697" t="str">
        <f>IFERROR(__xludf.DUMMYFUNCTION("""COMPUTED_VALUE"""),"Participants aged 12–18 years old were eligible for inclusion in the trial. Written informed consent was obtained before enrol- ment by the children aged 18 years and by parents or legal guardians of the children below 18 years old. The latter assented or"&amp;"ally.")</f>
        <v>Participants aged 12–18 years old were eligible for inclusion in the trial. Written informed consent was obtained before enrol- ment by the children aged 18 years and by parents or legal guardians of the children below 18 years old. The latter assented orally.</v>
      </c>
      <c r="L264" s="697" t="str">
        <f>IFERROR(__xludf.DUMMYFUNCTION("""COMPUTED_VALUE"""),"Yes")</f>
        <v>Yes</v>
      </c>
      <c r="M264" s="697" t="str">
        <f>IFERROR(__xludf.DUMMYFUNCTION("""COMPUTED_VALUE"""),"Yes")</f>
        <v>Yes</v>
      </c>
      <c r="N264" s="697" t="str">
        <f>IFERROR(__xludf.DUMMYFUNCTION("""COMPUTED_VALUE"""),"Our primary endpoints were cure rates (CRs) and egg reduction rates (ERRs) based on geomet- ric mean and safety.")</f>
        <v>Our primary endpoints were cure rates (CRs) and egg reduction rates (ERRs) based on geomet- ric mean and safety.</v>
      </c>
      <c r="O264" s="874">
        <f>IFERROR(__xludf.DUMMYFUNCTION("""COMPUTED_VALUE"""),0.385)</f>
        <v>0.385</v>
      </c>
      <c r="P264" s="706">
        <f>IFERROR(__xludf.DUMMYFUNCTION("""COMPUTED_VALUE"""),0.935)</f>
        <v>0.935</v>
      </c>
      <c r="Q264" s="697" t="str">
        <f>IFERROR(__xludf.DUMMYFUNCTION("""COMPUTED_VALUE"""),"Synriam and moxidectin show low efficacy against S. haematobium, hence an ancillary benefit is not expected when these drugs are used for treating onchocerciasis and malaria in co-endemic settings. Further studies are needed to corroborate our findings th"&amp;"at moxi- dectin and Synriam show moderate ERRs against S. mansoni.")</f>
        <v>Synriam and moxidectin show low efficacy against S. haematobium, hence an ancillary benefit is not expected when these drugs are used for treating onchocerciasis and malaria in co-endemic settings. Further studies are needed to corroborate our findings that moxi- dectin and Synriam show moderate ERRs against S. mansoni.</v>
      </c>
      <c r="R264" s="697"/>
      <c r="S264" s="699" t="str">
        <f>IFERROR(__xludf.DUMMYFUNCTION("""COMPUTED_VALUE"""),"Barda, B.; Coulibaly, J.T.; Puchkov, M.; Huwyler, J.; Hattendorf, J.; Kelser, J. ""Efficacy and Safety of Moxidectin, Synriam, Synriam-Praziquantel versus Praziquantel against Schistosoma haematobium and S. mansoni Infections: A Randomized Exploratory Pha"&amp;"se 2 Trial. 2016. PLOS Neglected Tropical Diseases. DOI: 10.1371/journal.pntd.0005008.  ")</f>
        <v>Barda, B.; Coulibaly, J.T.; Puchkov, M.; Huwyler, J.; Hattendorf, J.; Kelser, J. "Efficacy and Safety of Moxidectin, Synriam, Synriam-Praziquantel versus Praziquantel against Schistosoma haematobium and S. mansoni Infections: A Randomized Exploratory Phase 2 Trial. 2016. PLOS Neglected Tropical Diseases. DOI: 10.1371/journal.pntd.0005008.  </v>
      </c>
      <c r="T264" s="697"/>
      <c r="U264" s="697" t="str">
        <f>IFERROR(__xludf.DUMMYFUNCTION("""COMPUTED_VALUE"""),"")</f>
        <v/>
      </c>
      <c r="V264" s="697">
        <f>IFERROR(__xludf.DUMMYFUNCTION("""COMPUTED_VALUE"""),264.0)</f>
        <v>264</v>
      </c>
    </row>
    <row r="265">
      <c r="A265" s="699" t="str">
        <f>IFERROR(__xludf.DUMMYFUNCTION("""COMPUTED_VALUE"""),"Birrie")</f>
        <v>Birrie</v>
      </c>
      <c r="B265" s="697" t="str">
        <f>IFERROR(__xludf.DUMMYFUNCTION("""COMPUTED_VALUE"""),"s. mansoni")</f>
        <v>s. mansoni</v>
      </c>
      <c r="C265" s="697" t="str">
        <f>IFERROR(__xludf.DUMMYFUNCTION("""COMPUTED_VALUE"""),"Ethiopia")</f>
        <v>Ethiopia</v>
      </c>
      <c r="D265" s="697" t="str">
        <f>IFERROR(__xludf.DUMMYFUNCTION("""COMPUTED_VALUE"""),"Oxamniquine")</f>
        <v>Oxamniquine</v>
      </c>
      <c r="E265" s="697" t="str">
        <f>IFERROR(__xludf.DUMMYFUNCTION("""COMPUTED_VALUE"""),"Two")</f>
        <v>Two</v>
      </c>
      <c r="F265" s="697" t="str">
        <f>IFERROR(__xludf.DUMMYFUNCTION("""COMPUTED_VALUE"""),"20 mg/kg")</f>
        <v>20 mg/kg</v>
      </c>
      <c r="G265" s="697">
        <f>IFERROR(__xludf.DUMMYFUNCTION("""COMPUTED_VALUE"""),1183.0)</f>
        <v>1183</v>
      </c>
      <c r="H265" s="697" t="str">
        <f>IFERROR(__xludf.DUMMYFUNCTION("""COMPUTED_VALUE"""),"                   0-60")</f>
        <v>                   0-60</v>
      </c>
      <c r="I265" s="697"/>
      <c r="J265" s="697">
        <f>IFERROR(__xludf.DUMMYFUNCTION("""COMPUTED_VALUE"""),1995.0)</f>
        <v>1995</v>
      </c>
      <c r="K265" s="697"/>
      <c r="L265" s="697" t="str">
        <f>IFERROR(__xludf.DUMMYFUNCTION("""COMPUTED_VALUE"""),"No")</f>
        <v>No</v>
      </c>
      <c r="M265" s="706" t="str">
        <f>IFERROR(__xludf.DUMMYFUNCTION("""COMPUTED_VALUE"""),"No")</f>
        <v>No</v>
      </c>
      <c r="N265" s="706" t="str">
        <f>IFERROR(__xludf.DUMMYFUNCTION("""COMPUTED_VALUE"""),"Cure rate 3 months")</f>
        <v>Cure rate 3 months</v>
      </c>
      <c r="O265" s="872">
        <f>IFERROR(__xludf.DUMMYFUNCTION("""COMPUTED_VALUE"""),0.68)</f>
        <v>0.68</v>
      </c>
      <c r="P265" s="706">
        <f>IFERROR(__xludf.DUMMYFUNCTION("""COMPUTED_VALUE"""),0.148)</f>
        <v>0.148</v>
      </c>
      <c r="Q265" s="697"/>
      <c r="R265" s="699" t="str">
        <f>IFERROR(__xludf.DUMMYFUNCTION("""COMPUTED_VALUE"""),"Birrie, H., Abebe, F., &amp; Ayele, T. (1995). The efficacy of oxamniquine in selective population chemotherapy in Ethiopia. Ethipoian Medical Journal, 33, 235-241.")</f>
        <v>Birrie, H., Abebe, F., &amp; Ayele, T. (1995). The efficacy of oxamniquine in selective population chemotherapy in Ethiopia. Ethipoian Medical Journal, 33, 235-241.</v>
      </c>
      <c r="S265" s="697"/>
      <c r="T265" s="697"/>
      <c r="U265" s="697" t="str">
        <f>IFERROR(__xludf.DUMMYFUNCTION("""COMPUTED_VALUE"""),"x")</f>
        <v>x</v>
      </c>
      <c r="V265" s="697">
        <f>IFERROR(__xludf.DUMMYFUNCTION("""COMPUTED_VALUE"""),265.0)</f>
        <v>265</v>
      </c>
    </row>
    <row r="266">
      <c r="A266" s="699" t="str">
        <f>IFERROR(__xludf.DUMMYFUNCTION("""COMPUTED_VALUE"""),"Gaber")</f>
        <v>Gaber</v>
      </c>
      <c r="B266" s="697" t="str">
        <f>IFERROR(__xludf.DUMMYFUNCTION("""COMPUTED_VALUE"""),"s. mansoni")</f>
        <v>s. mansoni</v>
      </c>
      <c r="C266" s="697" t="str">
        <f>IFERROR(__xludf.DUMMYFUNCTION("""COMPUTED_VALUE"""),"Egypt")</f>
        <v>Egypt</v>
      </c>
      <c r="D266" s="697" t="str">
        <f>IFERROR(__xludf.DUMMYFUNCTION("""COMPUTED_VALUE"""),"Oxamniquine")</f>
        <v>Oxamniquine</v>
      </c>
      <c r="E266" s="697" t="str">
        <f>IFERROR(__xludf.DUMMYFUNCTION("""COMPUTED_VALUE"""),"Three")</f>
        <v>Three</v>
      </c>
      <c r="F266" s="697" t="str">
        <f>IFERROR(__xludf.DUMMYFUNCTION("""COMPUTED_VALUE"""),"20 mg/kg")</f>
        <v>20 mg/kg</v>
      </c>
      <c r="G266" s="697">
        <f>IFERROR(__xludf.DUMMYFUNCTION("""COMPUTED_VALUE"""),309.0)</f>
        <v>309</v>
      </c>
      <c r="H266" s="697" t="str">
        <f>IFERROR(__xludf.DUMMYFUNCTION("""COMPUTED_VALUE"""),"                   20-22")</f>
        <v>                   20-22</v>
      </c>
      <c r="I266" s="697"/>
      <c r="J266" s="697">
        <f>IFERROR(__xludf.DUMMYFUNCTION("""COMPUTED_VALUE"""),1978.0)</f>
        <v>1978</v>
      </c>
      <c r="K266" s="697"/>
      <c r="L266" s="697" t="str">
        <f>IFERROR(__xludf.DUMMYFUNCTION("""COMPUTED_VALUE"""),"No")</f>
        <v>No</v>
      </c>
      <c r="M266" s="706" t="str">
        <f>IFERROR(__xludf.DUMMYFUNCTION("""COMPUTED_VALUE"""),"No")</f>
        <v>No</v>
      </c>
      <c r="N266" s="706" t="str">
        <f>IFERROR(__xludf.DUMMYFUNCTION("""COMPUTED_VALUE"""),"Cure rate 3 months")</f>
        <v>Cure rate 3 months</v>
      </c>
      <c r="O266" s="872">
        <f>IFERROR(__xludf.DUMMYFUNCTION("""COMPUTED_VALUE"""),0.744)</f>
        <v>0.744</v>
      </c>
      <c r="P266" s="706" t="str">
        <f>IFERROR(__xludf.DUMMYFUNCTION("""COMPUTED_VALUE"""),"N/A")</f>
        <v>N/A</v>
      </c>
      <c r="Q266" s="697"/>
      <c r="R266" s="699" t="str">
        <f>IFERROR(__xludf.DUMMYFUNCTION("""COMPUTED_VALUE"""),"Gaber, A., Saif, M., Hassanein, Y., &amp; Khameis, S. (1978). Efficacy of oxamniquine in treatment of S. mansoni in a closed community in Egypt and the concomitant administration of both metrifonate and oxamniquine in mixed infections. J Egypt Med Assoc., 427"&amp;"-431.")</f>
        <v>Gaber, A., Saif, M., Hassanein, Y., &amp; Khameis, S. (1978). Efficacy of oxamniquine in treatment of S. mansoni in a closed community in Egypt and the concomitant administration of both metrifonate and oxamniquine in mixed infections. J Egypt Med Assoc., 427-431.</v>
      </c>
      <c r="S266" s="697"/>
      <c r="T266" s="697"/>
      <c r="U266" s="697" t="str">
        <f>IFERROR(__xludf.DUMMYFUNCTION("""COMPUTED_VALUE"""),"x")</f>
        <v>x</v>
      </c>
      <c r="V266" s="697">
        <f>IFERROR(__xludf.DUMMYFUNCTION("""COMPUTED_VALUE"""),266.0)</f>
        <v>266</v>
      </c>
    </row>
    <row r="267">
      <c r="A267" s="699" t="str">
        <f>IFERROR(__xludf.DUMMYFUNCTION("""COMPUTED_VALUE"""),"Gaber")</f>
        <v>Gaber</v>
      </c>
      <c r="B267" s="697" t="str">
        <f>IFERROR(__xludf.DUMMYFUNCTION("""COMPUTED_VALUE"""),"s. mansoni")</f>
        <v>s. mansoni</v>
      </c>
      <c r="C267" s="697" t="str">
        <f>IFERROR(__xludf.DUMMYFUNCTION("""COMPUTED_VALUE"""),"Egypt")</f>
        <v>Egypt</v>
      </c>
      <c r="D267" s="697" t="str">
        <f>IFERROR(__xludf.DUMMYFUNCTION("""COMPUTED_VALUE"""),"Oxamniquine")</f>
        <v>Oxamniquine</v>
      </c>
      <c r="E267" s="697" t="str">
        <f>IFERROR(__xludf.DUMMYFUNCTION("""COMPUTED_VALUE"""),"Two")</f>
        <v>Two</v>
      </c>
      <c r="F267" s="697" t="str">
        <f>IFERROR(__xludf.DUMMYFUNCTION("""COMPUTED_VALUE"""),"20 mg/kg")</f>
        <v>20 mg/kg</v>
      </c>
      <c r="G267" s="697">
        <f>IFERROR(__xludf.DUMMYFUNCTION("""COMPUTED_VALUE"""),64.0)</f>
        <v>64</v>
      </c>
      <c r="H267" s="697" t="str">
        <f>IFERROR(__xludf.DUMMYFUNCTION("""COMPUTED_VALUE"""),"                   20-22")</f>
        <v>                   20-22</v>
      </c>
      <c r="I267" s="697"/>
      <c r="J267" s="697">
        <f>IFERROR(__xludf.DUMMYFUNCTION("""COMPUTED_VALUE"""),1978.0)</f>
        <v>1978</v>
      </c>
      <c r="K267" s="697"/>
      <c r="L267" s="697" t="str">
        <f>IFERROR(__xludf.DUMMYFUNCTION("""COMPUTED_VALUE"""),"No")</f>
        <v>No</v>
      </c>
      <c r="M267" s="706" t="str">
        <f>IFERROR(__xludf.DUMMYFUNCTION("""COMPUTED_VALUE"""),"No")</f>
        <v>No</v>
      </c>
      <c r="N267" s="706" t="str">
        <f>IFERROR(__xludf.DUMMYFUNCTION("""COMPUTED_VALUE"""),"Cure rate 3 months")</f>
        <v>Cure rate 3 months</v>
      </c>
      <c r="O267" s="872">
        <f>IFERROR(__xludf.DUMMYFUNCTION("""COMPUTED_VALUE"""),0.515)</f>
        <v>0.515</v>
      </c>
      <c r="P267" s="706" t="str">
        <f>IFERROR(__xludf.DUMMYFUNCTION("""COMPUTED_VALUE"""),"N/A")</f>
        <v>N/A</v>
      </c>
      <c r="Q267" s="697"/>
      <c r="R267" s="699" t="str">
        <f>IFERROR(__xludf.DUMMYFUNCTION("""COMPUTED_VALUE"""),"Gaber, A., Saif, M., Hassanein, Y., &amp; Khameis, S. (1978). Efficacy of oxamniquine in treatment of S. mansoni in a closed community in Egypt and the concomitant administration of both metrifonate and oxamniquine in mixed infections. J Egypt Med Assoc., 427"&amp;"-431.")</f>
        <v>Gaber, A., Saif, M., Hassanein, Y., &amp; Khameis, S. (1978). Efficacy of oxamniquine in treatment of S. mansoni in a closed community in Egypt and the concomitant administration of both metrifonate and oxamniquine in mixed infections. J Egypt Med Assoc., 427-431.</v>
      </c>
      <c r="S267" s="697"/>
      <c r="T267" s="697"/>
      <c r="U267" s="697" t="str">
        <f>IFERROR(__xludf.DUMMYFUNCTION("""COMPUTED_VALUE"""),"x")</f>
        <v>x</v>
      </c>
      <c r="V267" s="697">
        <f>IFERROR(__xludf.DUMMYFUNCTION("""COMPUTED_VALUE"""),267.0)</f>
        <v>267</v>
      </c>
    </row>
    <row r="268">
      <c r="A268" s="699" t="str">
        <f>IFERROR(__xludf.DUMMYFUNCTION("""COMPUTED_VALUE"""),"Gaber")</f>
        <v>Gaber</v>
      </c>
      <c r="B268" s="697" t="str">
        <f>IFERROR(__xludf.DUMMYFUNCTION("""COMPUTED_VALUE"""),"s. haematobium &amp; s. mansoni")</f>
        <v>s. haematobium &amp; s. mansoni</v>
      </c>
      <c r="C268" s="697" t="str">
        <f>IFERROR(__xludf.DUMMYFUNCTION("""COMPUTED_VALUE"""),"Egypt")</f>
        <v>Egypt</v>
      </c>
      <c r="D268" s="697" t="str">
        <f>IFERROR(__xludf.DUMMYFUNCTION("""COMPUTED_VALUE"""),"Metrifonate")</f>
        <v>Metrifonate</v>
      </c>
      <c r="E268" s="697" t="str">
        <f>IFERROR(__xludf.DUMMYFUNCTION("""COMPUTED_VALUE"""),"Six")</f>
        <v>Six</v>
      </c>
      <c r="F268" s="697" t="str">
        <f>IFERROR(__xludf.DUMMYFUNCTION("""COMPUTED_VALUE"""),"10 mg/kg")</f>
        <v>10 mg/kg</v>
      </c>
      <c r="G268" s="697">
        <f>IFERROR(__xludf.DUMMYFUNCTION("""COMPUTED_VALUE"""),14.0)</f>
        <v>14</v>
      </c>
      <c r="H268" s="705" t="str">
        <f>IFERROR(__xludf.DUMMYFUNCTION("""COMPUTED_VALUE"""),"data not available")</f>
        <v>data not available</v>
      </c>
      <c r="I268" s="697"/>
      <c r="J268" s="697">
        <f>IFERROR(__xludf.DUMMYFUNCTION("""COMPUTED_VALUE"""),1978.0)</f>
        <v>1978</v>
      </c>
      <c r="K268" s="697"/>
      <c r="L268" s="697" t="str">
        <f>IFERROR(__xludf.DUMMYFUNCTION("""COMPUTED_VALUE"""),"No")</f>
        <v>No</v>
      </c>
      <c r="M268" s="706" t="str">
        <f>IFERROR(__xludf.DUMMYFUNCTION("""COMPUTED_VALUE"""),"No")</f>
        <v>No</v>
      </c>
      <c r="N268" s="706" t="str">
        <f>IFERROR(__xludf.DUMMYFUNCTION("""COMPUTED_VALUE"""),"Cure rate 3 months")</f>
        <v>Cure rate 3 months</v>
      </c>
      <c r="O268" s="872">
        <f>IFERROR(__xludf.DUMMYFUNCTION("""COMPUTED_VALUE"""),0.786)</f>
        <v>0.786</v>
      </c>
      <c r="P268" s="706" t="str">
        <f>IFERROR(__xludf.DUMMYFUNCTION("""COMPUTED_VALUE"""),"N/A")</f>
        <v>N/A</v>
      </c>
      <c r="Q268" s="697"/>
      <c r="R268" s="699" t="str">
        <f>IFERROR(__xludf.DUMMYFUNCTION("""COMPUTED_VALUE"""),"Gaber, A., Saif, M., Hassanein, Y., &amp; Khameis, S. (1978). Efficacy of oxamniquine in treatment of S. mansoni in a closed community in Egypt and the concomitant administration of both metrifonate and oxamniquine in mixed infections. J Egypt Med Assoc., 427"&amp;"-431.")</f>
        <v>Gaber, A., Saif, M., Hassanein, Y., &amp; Khameis, S. (1978). Efficacy of oxamniquine in treatment of S. mansoni in a closed community in Egypt and the concomitant administration of both metrifonate and oxamniquine in mixed infections. J Egypt Med Assoc., 427-431.</v>
      </c>
      <c r="S268" s="697"/>
      <c r="T268" s="697"/>
      <c r="U268" s="697" t="str">
        <f>IFERROR(__xludf.DUMMYFUNCTION("""COMPUTED_VALUE"""),"x")</f>
        <v>x</v>
      </c>
      <c r="V268" s="697">
        <f>IFERROR(__xludf.DUMMYFUNCTION("""COMPUTED_VALUE"""),268.0)</f>
        <v>268</v>
      </c>
    </row>
    <row r="269">
      <c r="A269" s="699" t="str">
        <f>IFERROR(__xludf.DUMMYFUNCTION("""COMPUTED_VALUE"""),"Gaber")</f>
        <v>Gaber</v>
      </c>
      <c r="B269" s="697" t="str">
        <f>IFERROR(__xludf.DUMMYFUNCTION("""COMPUTED_VALUE"""),"s. mansoni")</f>
        <v>s. mansoni</v>
      </c>
      <c r="C269" s="697" t="str">
        <f>IFERROR(__xludf.DUMMYFUNCTION("""COMPUTED_VALUE"""),"Egypt")</f>
        <v>Egypt</v>
      </c>
      <c r="D269" s="697" t="str">
        <f>IFERROR(__xludf.DUMMYFUNCTION("""COMPUTED_VALUE"""),"Oxamniquine")</f>
        <v>Oxamniquine</v>
      </c>
      <c r="E269" s="697" t="str">
        <f>IFERROR(__xludf.DUMMYFUNCTION("""COMPUTED_VALUE"""),"Four")</f>
        <v>Four</v>
      </c>
      <c r="F269" s="697" t="str">
        <f>IFERROR(__xludf.DUMMYFUNCTION("""COMPUTED_VALUE"""),"10 mg/kg")</f>
        <v>10 mg/kg</v>
      </c>
      <c r="G269" s="697">
        <f>IFERROR(__xludf.DUMMYFUNCTION("""COMPUTED_VALUE"""),18.0)</f>
        <v>18</v>
      </c>
      <c r="H269" s="705" t="str">
        <f>IFERROR(__xludf.DUMMYFUNCTION("""COMPUTED_VALUE"""),"data not available")</f>
        <v>data not available</v>
      </c>
      <c r="I269" s="697"/>
      <c r="J269" s="697">
        <f>IFERROR(__xludf.DUMMYFUNCTION("""COMPUTED_VALUE"""),1978.0)</f>
        <v>1978</v>
      </c>
      <c r="K269" s="697"/>
      <c r="L269" s="697" t="str">
        <f>IFERROR(__xludf.DUMMYFUNCTION("""COMPUTED_VALUE"""),"No")</f>
        <v>No</v>
      </c>
      <c r="M269" s="706" t="str">
        <f>IFERROR(__xludf.DUMMYFUNCTION("""COMPUTED_VALUE"""),"No")</f>
        <v>No</v>
      </c>
      <c r="N269" s="706" t="str">
        <f>IFERROR(__xludf.DUMMYFUNCTION("""COMPUTED_VALUE"""),"Cure rate 3 mnths: first for S.haemabotium then S.mansoni")</f>
        <v>Cure rate 3 mnths: first for S.haemabotium then S.mansoni</v>
      </c>
      <c r="O269" s="873">
        <f>IFERROR(__xludf.DUMMYFUNCTION("""COMPUTED_VALUE"""),0.444)</f>
        <v>0.444</v>
      </c>
      <c r="P269" s="706" t="str">
        <f>IFERROR(__xludf.DUMMYFUNCTION("""COMPUTED_VALUE"""),"N/A")</f>
        <v>N/A</v>
      </c>
      <c r="Q269" s="697"/>
      <c r="R269" s="699" t="str">
        <f>IFERROR(__xludf.DUMMYFUNCTION("""COMPUTED_VALUE"""),"Gaber, A., Saif, M., Hassanein, Y., &amp; Khameis, S. (1978). Efficacy of oxamniquine in treatment of S. mansoni in a closed community in Egypt and the concomitant administration of both metrifonate and oxamniquine in mixed infections. J Egypt Med Assoc., 427"&amp;"-431.")</f>
        <v>Gaber, A., Saif, M., Hassanein, Y., &amp; Khameis, S. (1978). Efficacy of oxamniquine in treatment of S. mansoni in a closed community in Egypt and the concomitant administration of both metrifonate and oxamniquine in mixed infections. J Egypt Med Assoc., 427-431.</v>
      </c>
      <c r="S269" s="697"/>
      <c r="T269" s="697"/>
      <c r="U269" s="697" t="str">
        <f>IFERROR(__xludf.DUMMYFUNCTION("""COMPUTED_VALUE"""),"x")</f>
        <v>x</v>
      </c>
      <c r="V269" s="697">
        <f>IFERROR(__xludf.DUMMYFUNCTION("""COMPUTED_VALUE"""),269.0)</f>
        <v>269</v>
      </c>
    </row>
    <row r="270">
      <c r="A270" s="699" t="str">
        <f>IFERROR(__xludf.DUMMYFUNCTION("""COMPUTED_VALUE"""),"Pitchford")</f>
        <v>Pitchford</v>
      </c>
      <c r="B270" s="697" t="str">
        <f>IFERROR(__xludf.DUMMYFUNCTION("""COMPUTED_VALUE"""),"s. mansoni")</f>
        <v>s. mansoni</v>
      </c>
      <c r="C270" s="697" t="str">
        <f>IFERROR(__xludf.DUMMYFUNCTION("""COMPUTED_VALUE"""),"South Africa")</f>
        <v>South Africa</v>
      </c>
      <c r="D270" s="697" t="str">
        <f>IFERROR(__xludf.DUMMYFUNCTION("""COMPUTED_VALUE"""),"Oxamniquine")</f>
        <v>Oxamniquine</v>
      </c>
      <c r="E270" s="697" t="str">
        <f>IFERROR(__xludf.DUMMYFUNCTION("""COMPUTED_VALUE"""),"Two ")</f>
        <v>Two </v>
      </c>
      <c r="F270" s="697" t="str">
        <f>IFERROR(__xludf.DUMMYFUNCTION("""COMPUTED_VALUE"""),"15 mg/kg")</f>
        <v>15 mg/kg</v>
      </c>
      <c r="G270" s="697">
        <f>IFERROR(__xludf.DUMMYFUNCTION("""COMPUTED_VALUE"""),11.0)</f>
        <v>11</v>
      </c>
      <c r="H270" s="704">
        <f>IFERROR(__xludf.DUMMYFUNCTION("""COMPUTED_VALUE"""),42993.0)</f>
        <v>42993</v>
      </c>
      <c r="I270" s="697"/>
      <c r="J270" s="697">
        <f>IFERROR(__xludf.DUMMYFUNCTION("""COMPUTED_VALUE"""),1978.0)</f>
        <v>1978</v>
      </c>
      <c r="K270" s="697"/>
      <c r="L270" s="697" t="str">
        <f>IFERROR(__xludf.DUMMYFUNCTION("""COMPUTED_VALUE"""),"No")</f>
        <v>No</v>
      </c>
      <c r="M270" s="706" t="str">
        <f>IFERROR(__xludf.DUMMYFUNCTION("""COMPUTED_VALUE"""),"No")</f>
        <v>No</v>
      </c>
      <c r="N270" s="706" t="str">
        <f>IFERROR(__xludf.DUMMYFUNCTION("""COMPUTED_VALUE"""),"ERR 1,3,6 months")</f>
        <v>ERR 1,3,6 months</v>
      </c>
      <c r="O270" s="874" t="str">
        <f>IFERROR(__xludf.DUMMYFUNCTION("""COMPUTED_VALUE"""),"N/A")</f>
        <v>N/A</v>
      </c>
      <c r="P270" s="706">
        <f>IFERROR(__xludf.DUMMYFUNCTION("""COMPUTED_VALUE"""),0.83)</f>
        <v>0.83</v>
      </c>
      <c r="Q270" s="697" t="str">
        <f>IFERROR(__xludf.DUMMYFUNCTION("""COMPUTED_VALUE"""),"In this trial, there was littl difference between the results in thos patients who received 15 mg/kg twice a day for 2 days and those who received 10 mg/kg twice a day for the same period.")</f>
        <v>In this trial, there was littl difference between the results in thos patients who received 15 mg/kg twice a day for 2 days and those who received 10 mg/kg twice a day for the same period.</v>
      </c>
      <c r="R270" s="699" t="str">
        <f>IFERROR(__xludf.DUMMYFUNCTION("""COMPUTED_VALUE"""),"Pitchford RJ, Lewis M. Oxamniquine in the treatment of various schistosome infections in South Africa. South African Medical Journal 1978;53(17):677-80.")</f>
        <v>Pitchford RJ, Lewis M. Oxamniquine in the treatment of various schistosome infections in South Africa. South African Medical Journal 1978;53(17):677-80.</v>
      </c>
      <c r="S270" s="697"/>
      <c r="T270" s="697"/>
      <c r="U270" s="697" t="str">
        <f>IFERROR(__xludf.DUMMYFUNCTION("""COMPUTED_VALUE"""),"x")</f>
        <v>x</v>
      </c>
      <c r="V270" s="697">
        <f>IFERROR(__xludf.DUMMYFUNCTION("""COMPUTED_VALUE"""),270.0)</f>
        <v>270</v>
      </c>
    </row>
    <row r="271">
      <c r="A271" s="699" t="str">
        <f>IFERROR(__xludf.DUMMYFUNCTION("""COMPUTED_VALUE"""),"Pitchford")</f>
        <v>Pitchford</v>
      </c>
      <c r="B271" s="697" t="str">
        <f>IFERROR(__xludf.DUMMYFUNCTION("""COMPUTED_VALUE"""),"s. mansoni")</f>
        <v>s. mansoni</v>
      </c>
      <c r="C271" s="697" t="str">
        <f>IFERROR(__xludf.DUMMYFUNCTION("""COMPUTED_VALUE"""),"South Africa")</f>
        <v>South Africa</v>
      </c>
      <c r="D271" s="697" t="str">
        <f>IFERROR(__xludf.DUMMYFUNCTION("""COMPUTED_VALUE"""),"Oxamniquine")</f>
        <v>Oxamniquine</v>
      </c>
      <c r="E271" s="697" t="str">
        <f>IFERROR(__xludf.DUMMYFUNCTION("""COMPUTED_VALUE"""),"Four")</f>
        <v>Four</v>
      </c>
      <c r="F271" s="697" t="str">
        <f>IFERROR(__xludf.DUMMYFUNCTION("""COMPUTED_VALUE"""),"10 mg/kg")</f>
        <v>10 mg/kg</v>
      </c>
      <c r="G271" s="697">
        <f>IFERROR(__xludf.DUMMYFUNCTION("""COMPUTED_VALUE"""),10.0)</f>
        <v>10</v>
      </c>
      <c r="H271" s="704">
        <f>IFERROR(__xludf.DUMMYFUNCTION("""COMPUTED_VALUE"""),42993.0)</f>
        <v>42993</v>
      </c>
      <c r="I271" s="697"/>
      <c r="J271" s="697">
        <f>IFERROR(__xludf.DUMMYFUNCTION("""COMPUTED_VALUE"""),1978.0)</f>
        <v>1978</v>
      </c>
      <c r="K271" s="697"/>
      <c r="L271" s="697" t="str">
        <f>IFERROR(__xludf.DUMMYFUNCTION("""COMPUTED_VALUE"""),"No")</f>
        <v>No</v>
      </c>
      <c r="M271" s="706" t="str">
        <f>IFERROR(__xludf.DUMMYFUNCTION("""COMPUTED_VALUE"""),"No")</f>
        <v>No</v>
      </c>
      <c r="N271" s="706" t="str">
        <f>IFERROR(__xludf.DUMMYFUNCTION("""COMPUTED_VALUE"""),"ERR 1,3,6 months")</f>
        <v>ERR 1,3,6 months</v>
      </c>
      <c r="O271" s="874" t="str">
        <f>IFERROR(__xludf.DUMMYFUNCTION("""COMPUTED_VALUE"""),"N/A")</f>
        <v>N/A</v>
      </c>
      <c r="P271" s="697" t="str">
        <f>IFERROR(__xludf.DUMMYFUNCTION("""COMPUTED_VALUE"""),"94%%")</f>
        <v>94%%</v>
      </c>
      <c r="Q271" s="697" t="str">
        <f>IFERROR(__xludf.DUMMYFUNCTION("""COMPUTED_VALUE"""),"In this trial, there was littl difference between the results in thos patients who received 15 mg/kg twice a day for 2 days and those who received 10 mg/kg twice a day for the same period.")</f>
        <v>In this trial, there was littl difference between the results in thos patients who received 15 mg/kg twice a day for 2 days and those who received 10 mg/kg twice a day for the same period.</v>
      </c>
      <c r="R271" s="699" t="str">
        <f>IFERROR(__xludf.DUMMYFUNCTION("""COMPUTED_VALUE"""),"Pitchford RJ, Lewis M. Oxamniquine in the treatment of various schistosome infections in South Africa. South African Medical Journal 1978;53(17):677-80.")</f>
        <v>Pitchford RJ, Lewis M. Oxamniquine in the treatment of various schistosome infections in South Africa. South African Medical Journal 1978;53(17):677-80.</v>
      </c>
      <c r="S271" s="697"/>
      <c r="T271" s="697"/>
      <c r="U271" s="697" t="str">
        <f>IFERROR(__xludf.DUMMYFUNCTION("""COMPUTED_VALUE"""),"x")</f>
        <v>x</v>
      </c>
      <c r="V271" s="697">
        <f>IFERROR(__xludf.DUMMYFUNCTION("""COMPUTED_VALUE"""),271.0)</f>
        <v>271</v>
      </c>
    </row>
    <row r="272">
      <c r="A272" s="699" t="str">
        <f>IFERROR(__xludf.DUMMYFUNCTION("""COMPUTED_VALUE"""),"Pitchford")</f>
        <v>Pitchford</v>
      </c>
      <c r="B272" s="697" t="str">
        <f>IFERROR(__xludf.DUMMYFUNCTION("""COMPUTED_VALUE"""),"s. mansoni")</f>
        <v>s. mansoni</v>
      </c>
      <c r="C272" s="697" t="str">
        <f>IFERROR(__xludf.DUMMYFUNCTION("""COMPUTED_VALUE"""),"South Africa")</f>
        <v>South Africa</v>
      </c>
      <c r="D272" s="697" t="str">
        <f>IFERROR(__xludf.DUMMYFUNCTION("""COMPUTED_VALUE"""),"Oxamniquine")</f>
        <v>Oxamniquine</v>
      </c>
      <c r="E272" s="697" t="str">
        <f>IFERROR(__xludf.DUMMYFUNCTION("""COMPUTED_VALUE"""),"Four")</f>
        <v>Four</v>
      </c>
      <c r="F272" s="697" t="str">
        <f>IFERROR(__xludf.DUMMYFUNCTION("""COMPUTED_VALUE"""),"15 mg/kg")</f>
        <v>15 mg/kg</v>
      </c>
      <c r="G272" s="697">
        <f>IFERROR(__xludf.DUMMYFUNCTION("""COMPUTED_VALUE"""),8.0)</f>
        <v>8</v>
      </c>
      <c r="H272" s="704">
        <f>IFERROR(__xludf.DUMMYFUNCTION("""COMPUTED_VALUE"""),42993.0)</f>
        <v>42993</v>
      </c>
      <c r="I272" s="697"/>
      <c r="J272" s="697">
        <f>IFERROR(__xludf.DUMMYFUNCTION("""COMPUTED_VALUE"""),1978.0)</f>
        <v>1978</v>
      </c>
      <c r="K272" s="697"/>
      <c r="L272" s="697" t="str">
        <f>IFERROR(__xludf.DUMMYFUNCTION("""COMPUTED_VALUE"""),"No")</f>
        <v>No</v>
      </c>
      <c r="M272" s="706" t="str">
        <f>IFERROR(__xludf.DUMMYFUNCTION("""COMPUTED_VALUE"""),"No")</f>
        <v>No</v>
      </c>
      <c r="N272" s="706" t="str">
        <f>IFERROR(__xludf.DUMMYFUNCTION("""COMPUTED_VALUE"""),"ERR 1,3,6 months")</f>
        <v>ERR 1,3,6 months</v>
      </c>
      <c r="O272" s="874" t="str">
        <f>IFERROR(__xludf.DUMMYFUNCTION("""COMPUTED_VALUE"""),"N/A")</f>
        <v>N/A</v>
      </c>
      <c r="P272" s="697" t="str">
        <f>IFERROR(__xludf.DUMMYFUNCTION("""COMPUTED_VALUE"""),"99%%")</f>
        <v>99%%</v>
      </c>
      <c r="Q272" s="697" t="str">
        <f>IFERROR(__xludf.DUMMYFUNCTION("""COMPUTED_VALUE"""),"In this trial, there was littl difference between the results in thos patients who received 15 mg/kg twice a day for 2 days and those who received 10 mg/kg twice a day for the same period.")</f>
        <v>In this trial, there was littl difference between the results in thos patients who received 15 mg/kg twice a day for 2 days and those who received 10 mg/kg twice a day for the same period.</v>
      </c>
      <c r="R272" s="699" t="str">
        <f>IFERROR(__xludf.DUMMYFUNCTION("""COMPUTED_VALUE"""),"Pitchford RJ, Lewis M. Oxamniquine in the treatment of various schistosome infections in South Africa. South African Medical Journal 1978;53(17):677-80.")</f>
        <v>Pitchford RJ, Lewis M. Oxamniquine in the treatment of various schistosome infections in South Africa. South African Medical Journal 1978;53(17):677-80.</v>
      </c>
      <c r="S272" s="697"/>
      <c r="T272" s="697"/>
      <c r="U272" s="697" t="str">
        <f>IFERROR(__xludf.DUMMYFUNCTION("""COMPUTED_VALUE"""),"x")</f>
        <v>x</v>
      </c>
      <c r="V272" s="697">
        <f>IFERROR(__xludf.DUMMYFUNCTION("""COMPUTED_VALUE"""),272.0)</f>
        <v>272</v>
      </c>
    </row>
    <row r="273">
      <c r="A273" s="699" t="str">
        <f>IFERROR(__xludf.DUMMYFUNCTION("""COMPUTED_VALUE"""),"Pitchford")</f>
        <v>Pitchford</v>
      </c>
      <c r="B273" s="697" t="str">
        <f>IFERROR(__xludf.DUMMYFUNCTION("""COMPUTED_VALUE"""),"s. mansoni")</f>
        <v>s. mansoni</v>
      </c>
      <c r="C273" s="697" t="str">
        <f>IFERROR(__xludf.DUMMYFUNCTION("""COMPUTED_VALUE"""),"South Africa")</f>
        <v>South Africa</v>
      </c>
      <c r="D273" s="697" t="str">
        <f>IFERROR(__xludf.DUMMYFUNCTION("""COMPUTED_VALUE"""),"Oxamniquine")</f>
        <v>Oxamniquine</v>
      </c>
      <c r="E273" s="697" t="str">
        <f>IFERROR(__xludf.DUMMYFUNCTION("""COMPUTED_VALUE"""),"Four")</f>
        <v>Four</v>
      </c>
      <c r="F273" s="697" t="str">
        <f>IFERROR(__xludf.DUMMYFUNCTION("""COMPUTED_VALUE"""),"15 mg/kg")</f>
        <v>15 mg/kg</v>
      </c>
      <c r="G273" s="697">
        <f>IFERROR(__xludf.DUMMYFUNCTION("""COMPUTED_VALUE"""),33.0)</f>
        <v>33</v>
      </c>
      <c r="H273" s="704">
        <f>IFERROR(__xludf.DUMMYFUNCTION("""COMPUTED_VALUE"""),42993.0)</f>
        <v>42993</v>
      </c>
      <c r="I273" s="697"/>
      <c r="J273" s="697">
        <f>IFERROR(__xludf.DUMMYFUNCTION("""COMPUTED_VALUE"""),1978.0)</f>
        <v>1978</v>
      </c>
      <c r="K273" s="697"/>
      <c r="L273" s="697" t="str">
        <f>IFERROR(__xludf.DUMMYFUNCTION("""COMPUTED_VALUE"""),"No")</f>
        <v>No</v>
      </c>
      <c r="M273" s="706" t="str">
        <f>IFERROR(__xludf.DUMMYFUNCTION("""COMPUTED_VALUE"""),"No")</f>
        <v>No</v>
      </c>
      <c r="N273" s="706" t="str">
        <f>IFERROR(__xludf.DUMMYFUNCTION("""COMPUTED_VALUE"""),"ERR 1,3months")</f>
        <v>ERR 1,3months</v>
      </c>
      <c r="O273" s="874" t="str">
        <f>IFERROR(__xludf.DUMMYFUNCTION("""COMPUTED_VALUE"""),"N/A")</f>
        <v>N/A</v>
      </c>
      <c r="P273" s="700">
        <f>IFERROR(__xludf.DUMMYFUNCTION("""COMPUTED_VALUE"""),0.99)</f>
        <v>0.99</v>
      </c>
      <c r="Q273" s="697" t="str">
        <f>IFERROR(__xludf.DUMMYFUNCTION("""COMPUTED_VALUE"""),"In this trial, there was littl difference between the results in thos patients who received 15 mg/kg twice a day for 2 days and those who received 10 mg/kg twice a day for the same period.")</f>
        <v>In this trial, there was littl difference between the results in thos patients who received 15 mg/kg twice a day for 2 days and those who received 10 mg/kg twice a day for the same period.</v>
      </c>
      <c r="R273" s="699" t="str">
        <f>IFERROR(__xludf.DUMMYFUNCTION("""COMPUTED_VALUE"""),"Pitchford RJ, Lewis M. Oxamniquine in the treatment of various schistosome infections in South Africa. South African Medical Journal 1978;53(17):677-80.")</f>
        <v>Pitchford RJ, Lewis M. Oxamniquine in the treatment of various schistosome infections in South Africa. South African Medical Journal 1978;53(17):677-80.</v>
      </c>
      <c r="S273" s="697"/>
      <c r="T273" s="697"/>
      <c r="U273" s="697" t="str">
        <f>IFERROR(__xludf.DUMMYFUNCTION("""COMPUTED_VALUE"""),"x")</f>
        <v>x</v>
      </c>
      <c r="V273" s="697">
        <f>IFERROR(__xludf.DUMMYFUNCTION("""COMPUTED_VALUE"""),273.0)</f>
        <v>273</v>
      </c>
    </row>
    <row r="274">
      <c r="A274" s="699" t="str">
        <f>IFERROR(__xludf.DUMMYFUNCTION("""COMPUTED_VALUE"""),"Scherrer")</f>
        <v>Scherrer</v>
      </c>
      <c r="B274" s="697" t="str">
        <f>IFERROR(__xludf.DUMMYFUNCTION("""COMPUTED_VALUE"""),"s. mansoni")</f>
        <v>s. mansoni</v>
      </c>
      <c r="C274" s="697" t="str">
        <f>IFERROR(__xludf.DUMMYFUNCTION("""COMPUTED_VALUE"""),"Cote d'Ivoire")</f>
        <v>Cote d'Ivoire</v>
      </c>
      <c r="D274" s="697" t="str">
        <f>IFERROR(__xludf.DUMMYFUNCTION("""COMPUTED_VALUE"""),"Praziquantel")</f>
        <v>Praziquantel</v>
      </c>
      <c r="E274" s="697" t="str">
        <f>IFERROR(__xludf.DUMMYFUNCTION("""COMPUTED_VALUE"""),"Single")</f>
        <v>Single</v>
      </c>
      <c r="F274" s="697" t="str">
        <f>IFERROR(__xludf.DUMMYFUNCTION("""COMPUTED_VALUE"""),"40 mg/kg")</f>
        <v>40 mg/kg</v>
      </c>
      <c r="G274" s="697">
        <f>IFERROR(__xludf.DUMMYFUNCTION("""COMPUTED_VALUE"""),49.0)</f>
        <v>49</v>
      </c>
      <c r="H274" s="705" t="str">
        <f>IFERROR(__xludf.DUMMYFUNCTION("""COMPUTED_VALUE"""),"5-13")</f>
        <v>5-13</v>
      </c>
      <c r="I274" s="705" t="str">
        <f>IFERROR(__xludf.DUMMYFUNCTION("""COMPUTED_VALUE"""),"32 M; 17 F")</f>
        <v>32 M; 17 F</v>
      </c>
      <c r="J274" s="697">
        <f>IFERROR(__xludf.DUMMYFUNCTION("""COMPUTED_VALUE"""),2007.0)</f>
        <v>2007</v>
      </c>
      <c r="K274" s="697"/>
      <c r="L274" s="697" t="str">
        <f>IFERROR(__xludf.DUMMYFUNCTION("""COMPUTED_VALUE"""),"No")</f>
        <v>No</v>
      </c>
      <c r="M274" s="706" t="str">
        <f>IFERROR(__xludf.DUMMYFUNCTION("""COMPUTED_VALUE"""),"No")</f>
        <v>No</v>
      </c>
      <c r="N274" s="706" t="str">
        <f>IFERROR(__xludf.DUMMYFUNCTION("""COMPUTED_VALUE"""),"CR/ERR 15-20 days")</f>
        <v>CR/ERR 15-20 days</v>
      </c>
      <c r="O274" s="872">
        <f>IFERROR(__xludf.DUMMYFUNCTION("""COMPUTED_VALUE"""),0.976)</f>
        <v>0.976</v>
      </c>
      <c r="P274" s="698">
        <f>IFERROR(__xludf.DUMMYFUNCTION("""COMPUTED_VALUE"""),0.977)</f>
        <v>0.977</v>
      </c>
      <c r="Q274" s="697" t="str">
        <f>IFERROR(__xludf.DUMMYFUNCTION("""COMPUTED_VALUE"""),"Our study showed that mean helminth egg count and cure rate depend on the exact time point of assessment. In previous studies efficacy of praziquantel was usually measured by analyzing stool samples 4–12 weeks post-treatment. Low cure rates were often ass"&amp;"umed to be due to low drug efficacy, resistance or lack of diagnostic sensitivity. Our findings emphasize that the exact time point of assessment should not be neglected as a possible explanation.")</f>
        <v>Our study showed that mean helminth egg count and cure rate depend on the exact time point of assessment. In previous studies efficacy of praziquantel was usually measured by analyzing stool samples 4–12 weeks post-treatment. Low cure rates were often assumed to be due to low drug efficacy, resistance or lack of diagnostic sensitivity. Our findings emphasize that the exact time point of assessment should not be neglected as a possible explanation.</v>
      </c>
      <c r="R274" s="699" t="str">
        <f>IFERROR(__xludf.DUMMYFUNCTION("""COMPUTED_VALUE"""),"Scherrer, Alexandra U., et al. ""Sequential analysis of helminth egg output in human stool samples following albendazole and praziquantel administration."" Acta tropica 109.3 (2009): 226-231.")</f>
        <v>Scherrer, Alexandra U., et al. "Sequential analysis of helminth egg output in human stool samples following albendazole and praziquantel administration." Acta tropica 109.3 (2009): 226-231.</v>
      </c>
      <c r="S274" s="697"/>
      <c r="T274" s="697"/>
      <c r="U274" s="697" t="str">
        <f>IFERROR(__xludf.DUMMYFUNCTION("""COMPUTED_VALUE"""),"x")</f>
        <v>x</v>
      </c>
      <c r="V274" s="697">
        <f>IFERROR(__xludf.DUMMYFUNCTION("""COMPUTED_VALUE"""),274.0)</f>
        <v>274</v>
      </c>
    </row>
    <row r="275">
      <c r="A275" s="699" t="str">
        <f>IFERROR(__xludf.DUMMYFUNCTION("""COMPUTED_VALUE"""),"Sissoko")</f>
        <v>Sissoko</v>
      </c>
      <c r="B275" s="697" t="str">
        <f>IFERROR(__xludf.DUMMYFUNCTION("""COMPUTED_VALUE"""),"s. haematobium")</f>
        <v>s. haematobium</v>
      </c>
      <c r="C275" s="697" t="str">
        <f>IFERROR(__xludf.DUMMYFUNCTION("""COMPUTED_VALUE"""),"Mali")</f>
        <v>Mali</v>
      </c>
      <c r="D275" s="697" t="str">
        <f>IFERROR(__xludf.DUMMYFUNCTION("""COMPUTED_VALUE"""),"Artesunate &amp; Sulfamethoxypyrazine")</f>
        <v>Artesunate &amp; Sulfamethoxypyrazine</v>
      </c>
      <c r="E275" s="697" t="str">
        <f>IFERROR(__xludf.DUMMYFUNCTION("""COMPUTED_VALUE"""),"Three")</f>
        <v>Three</v>
      </c>
      <c r="F275" s="697" t="str">
        <f>IFERROR(__xludf.DUMMYFUNCTION("""COMPUTED_VALUE"""),"100 mg + 250 mg ")</f>
        <v>100 mg + 250 mg </v>
      </c>
      <c r="G275" s="697">
        <f>IFERROR(__xludf.DUMMYFUNCTION("""COMPUTED_VALUE"""),392.0)</f>
        <v>392</v>
      </c>
      <c r="H275" s="704">
        <f>IFERROR(__xludf.DUMMYFUNCTION("""COMPUTED_VALUE"""),42901.0)</f>
        <v>42901</v>
      </c>
      <c r="I275" s="705" t="str">
        <f>IFERROR(__xludf.DUMMYFUNCTION("""COMPUTED_VALUE"""),"35.8% female")</f>
        <v>35.8% female</v>
      </c>
      <c r="J275" s="697">
        <f>IFERROR(__xludf.DUMMYFUNCTION("""COMPUTED_VALUE"""),2007.0)</f>
        <v>2007</v>
      </c>
      <c r="K275" s="697"/>
      <c r="L275" s="697" t="str">
        <f>IFERROR(__xludf.DUMMYFUNCTION("""COMPUTED_VALUE"""),"Yes")</f>
        <v>Yes</v>
      </c>
      <c r="M275" s="706" t="str">
        <f>IFERROR(__xludf.DUMMYFUNCTION("""COMPUTED_VALUE"""),"Yes")</f>
        <v>Yes</v>
      </c>
      <c r="N275" s="706" t="str">
        <f>IFERROR(__xludf.DUMMYFUNCTION("""COMPUTED_VALUE"""),"CR/ERR 28 days")</f>
        <v>CR/ERR 28 days</v>
      </c>
      <c r="O275" s="873">
        <f>IFERROR(__xludf.DUMMYFUNCTION("""COMPUTED_VALUE"""),0.814)</f>
        <v>0.814</v>
      </c>
      <c r="P275" s="698">
        <f>IFERROR(__xludf.DUMMYFUNCTION("""COMPUTED_VALUE"""),0.974)</f>
        <v>0.974</v>
      </c>
      <c r="Q275" s="697" t="str">
        <f>IFERROR(__xludf.DUMMYFUNCTION("""COMPUTED_VALUE"""),"The study demonstrates that PZQ was more effective than As+SMP for treating Schistosoma haematobium. However, the safety and tolerability profile of As+SMP was similar to that seen with PZQ. Our findings suggest that further investigations seem justifiabl"&amp;"e to determine the dose/efficacy/safety pattern of As+SMP in the treatment of Schistosoma infections.")</f>
        <v>The study demonstrates that PZQ was more effective than As+SMP for treating Schistosoma haematobium. However, the safety and tolerability profile of As+SMP was similar to that seen with PZQ. Our findings suggest that further investigations seem justifiable to determine the dose/efficacy/safety pattern of As+SMP in the treatment of Schistosoma infections.</v>
      </c>
      <c r="R275" s="699" t="str">
        <f>IFERROR(__xludf.DUMMYFUNCTION("""COMPUTED_VALUE"""),"Sissoko, M. S., Dabo, A., Traoré, H., Diallo, M., Traoré, B., Konaté, D., . . . Doumbo, O. K. (2009). Efficacy of Artesunate Sulfamethoxypyrazine/Pyrimethamine versus Praziquantel in the Treatment of Schistosoma haematobium in Children. PLoS ONE, 4(10). d"&amp;"oi:10.1371/journal.pone.0006732")</f>
        <v>Sissoko, M. S., Dabo, A., Traoré, H., Diallo, M., Traoré, B., Konaté, D., . . . Doumbo, O. K. (2009). Efficacy of Artesunate Sulfamethoxypyrazine/Pyrimethamine versus Praziquantel in the Treatment of Schistosoma haematobium in Children. PLoS ONE, 4(10). doi:10.1371/journal.pone.0006732</v>
      </c>
      <c r="S275" s="697"/>
      <c r="T275" s="697"/>
      <c r="U275" s="697" t="str">
        <f>IFERROR(__xludf.DUMMYFUNCTION("""COMPUTED_VALUE"""),"")</f>
        <v/>
      </c>
      <c r="V275" s="697">
        <f>IFERROR(__xludf.DUMMYFUNCTION("""COMPUTED_VALUE"""),275.0)</f>
        <v>275</v>
      </c>
    </row>
    <row r="276">
      <c r="A276" s="699" t="str">
        <f>IFERROR(__xludf.DUMMYFUNCTION("""COMPUTED_VALUE"""),"Sissoko")</f>
        <v>Sissoko</v>
      </c>
      <c r="B276" s="697" t="str">
        <f>IFERROR(__xludf.DUMMYFUNCTION("""COMPUTED_VALUE"""),"s. haematobium")</f>
        <v>s. haematobium</v>
      </c>
      <c r="C276" s="697" t="str">
        <f>IFERROR(__xludf.DUMMYFUNCTION("""COMPUTED_VALUE"""),"Mali")</f>
        <v>Mali</v>
      </c>
      <c r="D276" s="697" t="str">
        <f>IFERROR(__xludf.DUMMYFUNCTION("""COMPUTED_VALUE"""),"Praziquantel")</f>
        <v>Praziquantel</v>
      </c>
      <c r="E276" s="697" t="str">
        <f>IFERROR(__xludf.DUMMYFUNCTION("""COMPUTED_VALUE"""),"Single")</f>
        <v>Single</v>
      </c>
      <c r="F276" s="697" t="str">
        <f>IFERROR(__xludf.DUMMYFUNCTION("""COMPUTED_VALUE"""),"40 mg/kg")</f>
        <v>40 mg/kg</v>
      </c>
      <c r="G276" s="697">
        <f>IFERROR(__xludf.DUMMYFUNCTION("""COMPUTED_VALUE"""),389.0)</f>
        <v>389</v>
      </c>
      <c r="H276" s="704">
        <f>IFERROR(__xludf.DUMMYFUNCTION("""COMPUTED_VALUE"""),42901.0)</f>
        <v>42901</v>
      </c>
      <c r="I276" s="705" t="str">
        <f>IFERROR(__xludf.DUMMYFUNCTION("""COMPUTED_VALUE"""),"35.8% female")</f>
        <v>35.8% female</v>
      </c>
      <c r="J276" s="697">
        <f>IFERROR(__xludf.DUMMYFUNCTION("""COMPUTED_VALUE"""),2007.0)</f>
        <v>2007</v>
      </c>
      <c r="K276" s="697"/>
      <c r="L276" s="697" t="str">
        <f>IFERROR(__xludf.DUMMYFUNCTION("""COMPUTED_VALUE"""),"Yes")</f>
        <v>Yes</v>
      </c>
      <c r="M276" s="706" t="str">
        <f>IFERROR(__xludf.DUMMYFUNCTION("""COMPUTED_VALUE"""),"Yes")</f>
        <v>Yes</v>
      </c>
      <c r="N276" s="706" t="str">
        <f>IFERROR(__xludf.DUMMYFUNCTION("""COMPUTED_VALUE"""),"CR/ERR 28 days")</f>
        <v>CR/ERR 28 days</v>
      </c>
      <c r="O276" s="873">
        <f>IFERROR(__xludf.DUMMYFUNCTION("""COMPUTED_VALUE"""),0.977)</f>
        <v>0.977</v>
      </c>
      <c r="P276" s="698">
        <f>IFERROR(__xludf.DUMMYFUNCTION("""COMPUTED_VALUE"""),0.976)</f>
        <v>0.976</v>
      </c>
      <c r="Q276" s="697" t="str">
        <f>IFERROR(__xludf.DUMMYFUNCTION("""COMPUTED_VALUE"""),"The study demonstrates that PZQ was more effective than As+SMP for treating Schistosoma haematobium. However, the safety and tolerability profile of As+SMP was similar to that seen with PZQ. Our findings suggest that further investigations seem justifiabl"&amp;"e to determine the dose/efficacy/safety pattern of As+SMP in the treatment of Schistosoma infections.")</f>
        <v>The study demonstrates that PZQ was more effective than As+SMP for treating Schistosoma haematobium. However, the safety and tolerability profile of As+SMP was similar to that seen with PZQ. Our findings suggest that further investigations seem justifiable to determine the dose/efficacy/safety pattern of As+SMP in the treatment of Schistosoma infections.</v>
      </c>
      <c r="R276" s="699" t="str">
        <f>IFERROR(__xludf.DUMMYFUNCTION("""COMPUTED_VALUE"""),"Sissoko, M. S., Dabo, A., Traoré, H., Diallo, M., Traoré, B., Konaté, D., . . . Doumbo, O. K. (2009). Efficacy of Artesunate Sulfamethoxypyrazine/Pyrimethamine versus Praziquantel in the Treatment of Schistosoma haematobium in Children. PLoS ONE, 4(10). d"&amp;"oi:10.1371/journal.pone.0006732")</f>
        <v>Sissoko, M. S., Dabo, A., Traoré, H., Diallo, M., Traoré, B., Konaté, D., . . . Doumbo, O. K. (2009). Efficacy of Artesunate Sulfamethoxypyrazine/Pyrimethamine versus Praziquantel in the Treatment of Schistosoma haematobium in Children. PLoS ONE, 4(10). doi:10.1371/journal.pone.0006732</v>
      </c>
      <c r="S276" s="697"/>
      <c r="T276" s="697"/>
      <c r="U276" s="697" t="str">
        <f>IFERROR(__xludf.DUMMYFUNCTION("""COMPUTED_VALUE"""),"")</f>
        <v/>
      </c>
      <c r="V276" s="697">
        <f>IFERROR(__xludf.DUMMYFUNCTION("""COMPUTED_VALUE"""),276.0)</f>
        <v>276</v>
      </c>
    </row>
    <row r="277">
      <c r="A277" s="699" t="str">
        <f>IFERROR(__xludf.DUMMYFUNCTION("""COMPUTED_VALUE"""),"Thiong'O, F W")</f>
        <v>Thiong'O, F W</v>
      </c>
      <c r="B277" s="697" t="str">
        <f>IFERROR(__xludf.DUMMYFUNCTION("""COMPUTED_VALUE"""),"s. mansoni")</f>
        <v>s. mansoni</v>
      </c>
      <c r="C277" s="697" t="str">
        <f>IFERROR(__xludf.DUMMYFUNCTION("""COMPUTED_VALUE"""),"Kenya")</f>
        <v>Kenya</v>
      </c>
      <c r="D277" s="697" t="str">
        <f>IFERROR(__xludf.DUMMYFUNCTION("""COMPUTED_VALUE"""),"Oxamniquine")</f>
        <v>Oxamniquine</v>
      </c>
      <c r="E277" s="697" t="str">
        <f>IFERROR(__xludf.DUMMYFUNCTION("""COMPUTED_VALUE"""),"Two")</f>
        <v>Two</v>
      </c>
      <c r="F277" s="697" t="str">
        <f>IFERROR(__xludf.DUMMYFUNCTION("""COMPUTED_VALUE"""),"15 mg/kg")</f>
        <v>15 mg/kg</v>
      </c>
      <c r="G277" s="697">
        <f>IFERROR(__xludf.DUMMYFUNCTION("""COMPUTED_VALUE"""),99.0)</f>
        <v>99</v>
      </c>
      <c r="H277" s="704">
        <f>IFERROR(__xludf.DUMMYFUNCTION("""COMPUTED_VALUE"""),42845.0)</f>
        <v>42845</v>
      </c>
      <c r="I277" s="697"/>
      <c r="J277" s="697">
        <f>IFERROR(__xludf.DUMMYFUNCTION("""COMPUTED_VALUE"""),1990.0)</f>
        <v>1990</v>
      </c>
      <c r="K277" s="697"/>
      <c r="L277" s="697" t="str">
        <f>IFERROR(__xludf.DUMMYFUNCTION("""COMPUTED_VALUE"""),"No")</f>
        <v>No</v>
      </c>
      <c r="M277" s="706" t="str">
        <f>IFERROR(__xludf.DUMMYFUNCTION("""COMPUTED_VALUE"""),"No")</f>
        <v>No</v>
      </c>
      <c r="N277" s="706" t="str">
        <f>IFERROR(__xludf.DUMMYFUNCTION("""COMPUTED_VALUE"""),"CR/ERR 5 weeks")</f>
        <v>CR/ERR 5 weeks</v>
      </c>
      <c r="O277" s="873">
        <f>IFERROR(__xludf.DUMMYFUNCTION("""COMPUTED_VALUE"""),0.717)</f>
        <v>0.717</v>
      </c>
      <c r="P277" s="698">
        <f>IFERROR(__xludf.DUMMYFUNCTION("""COMPUTED_VALUE"""),0.963)</f>
        <v>0.963</v>
      </c>
      <c r="Q277" s="697"/>
      <c r="R277" s="699" t="str">
        <f>IFERROR(__xludf.DUMMYFUNCTION("""COMPUTED_VALUE"""),"Thiongo, F. W., Mbugua, G. G., Ouma, J. H., &amp; Sturrock, R. K. (2002). Efficacy of oxamniquine and praziquantel in school children from two Schistosoma mansoni endemic areas. East African Medical Journal, 79(1). doi:10.4314/eamj.v79i1.8921")</f>
        <v>Thiongo, F. W., Mbugua, G. G., Ouma, J. H., &amp; Sturrock, R. K. (2002). Efficacy of oxamniquine and praziquantel in school children from two Schistosoma mansoni endemic areas. East African Medical Journal, 79(1). doi:10.4314/eamj.v79i1.8921</v>
      </c>
      <c r="S277" s="697"/>
      <c r="T277" s="697"/>
      <c r="U277" s="697" t="str">
        <f>IFERROR(__xludf.DUMMYFUNCTION("""COMPUTED_VALUE"""),"x")</f>
        <v>x</v>
      </c>
      <c r="V277" s="697">
        <f>IFERROR(__xludf.DUMMYFUNCTION("""COMPUTED_VALUE"""),277.0)</f>
        <v>277</v>
      </c>
    </row>
    <row r="278">
      <c r="A278" s="699" t="str">
        <f>IFERROR(__xludf.DUMMYFUNCTION("""COMPUTED_VALUE"""),"Thiong'O, F W")</f>
        <v>Thiong'O, F W</v>
      </c>
      <c r="B278" s="697" t="str">
        <f>IFERROR(__xludf.DUMMYFUNCTION("""COMPUTED_VALUE"""),"s. mansoni")</f>
        <v>s. mansoni</v>
      </c>
      <c r="C278" s="697" t="str">
        <f>IFERROR(__xludf.DUMMYFUNCTION("""COMPUTED_VALUE"""),"Kenya")</f>
        <v>Kenya</v>
      </c>
      <c r="D278" s="697" t="str">
        <f>IFERROR(__xludf.DUMMYFUNCTION("""COMPUTED_VALUE"""),"Oxamniquine")</f>
        <v>Oxamniquine</v>
      </c>
      <c r="E278" s="697" t="str">
        <f>IFERROR(__xludf.DUMMYFUNCTION("""COMPUTED_VALUE"""),"Two")</f>
        <v>Two</v>
      </c>
      <c r="F278" s="697" t="str">
        <f>IFERROR(__xludf.DUMMYFUNCTION("""COMPUTED_VALUE"""),"15 mg/kg")</f>
        <v>15 mg/kg</v>
      </c>
      <c r="G278" s="697">
        <f>IFERROR(__xludf.DUMMYFUNCTION("""COMPUTED_VALUE"""),97.0)</f>
        <v>97</v>
      </c>
      <c r="H278" s="704">
        <f>IFERROR(__xludf.DUMMYFUNCTION("""COMPUTED_VALUE"""),42845.0)</f>
        <v>42845</v>
      </c>
      <c r="I278" s="697"/>
      <c r="J278" s="697">
        <f>IFERROR(__xludf.DUMMYFUNCTION("""COMPUTED_VALUE"""),1990.0)</f>
        <v>1990</v>
      </c>
      <c r="K278" s="697"/>
      <c r="L278" s="697" t="str">
        <f>IFERROR(__xludf.DUMMYFUNCTION("""COMPUTED_VALUE"""),"No")</f>
        <v>No</v>
      </c>
      <c r="M278" s="706" t="str">
        <f>IFERROR(__xludf.DUMMYFUNCTION("""COMPUTED_VALUE"""),"No")</f>
        <v>No</v>
      </c>
      <c r="N278" s="706" t="str">
        <f>IFERROR(__xludf.DUMMYFUNCTION("""COMPUTED_VALUE"""),"CR/ERR 5 weeks")</f>
        <v>CR/ERR 5 weeks</v>
      </c>
      <c r="O278" s="873">
        <f>IFERROR(__xludf.DUMMYFUNCTION("""COMPUTED_VALUE"""),0.567)</f>
        <v>0.567</v>
      </c>
      <c r="P278" s="698">
        <f>IFERROR(__xludf.DUMMYFUNCTION("""COMPUTED_VALUE"""),0.954)</f>
        <v>0.954</v>
      </c>
      <c r="Q278" s="697"/>
      <c r="R278" s="699" t="str">
        <f>IFERROR(__xludf.DUMMYFUNCTION("""COMPUTED_VALUE"""),"Thiongo, F. W., Mbugua, G. G., Ouma, J. H., &amp; Sturrock, R. K. (2002). Efficacy of oxamniquine and praziquantel in school children from two Schistosoma mansoni endemic areas. East African Medical Journal, 79(1). doi:10.4314/eamj.v79i1.8921")</f>
        <v>Thiongo, F. W., Mbugua, G. G., Ouma, J. H., &amp; Sturrock, R. K. (2002). Efficacy of oxamniquine and praziquantel in school children from two Schistosoma mansoni endemic areas. East African Medical Journal, 79(1). doi:10.4314/eamj.v79i1.8921</v>
      </c>
      <c r="S278" s="697"/>
      <c r="T278" s="697"/>
      <c r="U278" s="697" t="str">
        <f>IFERROR(__xludf.DUMMYFUNCTION("""COMPUTED_VALUE"""),"x")</f>
        <v>x</v>
      </c>
      <c r="V278" s="697">
        <f>IFERROR(__xludf.DUMMYFUNCTION("""COMPUTED_VALUE"""),278.0)</f>
        <v>278</v>
      </c>
    </row>
    <row r="279">
      <c r="A279" s="699" t="str">
        <f>IFERROR(__xludf.DUMMYFUNCTION("""COMPUTED_VALUE"""),"Thiong'O, F W")</f>
        <v>Thiong'O, F W</v>
      </c>
      <c r="B279" s="697" t="str">
        <f>IFERROR(__xludf.DUMMYFUNCTION("""COMPUTED_VALUE"""),"s. mansoni")</f>
        <v>s. mansoni</v>
      </c>
      <c r="C279" s="697" t="str">
        <f>IFERROR(__xludf.DUMMYFUNCTION("""COMPUTED_VALUE"""),"Kenya")</f>
        <v>Kenya</v>
      </c>
      <c r="D279" s="697" t="str">
        <f>IFERROR(__xludf.DUMMYFUNCTION("""COMPUTED_VALUE"""),"Oxamniquine")</f>
        <v>Oxamniquine</v>
      </c>
      <c r="E279" s="697" t="str">
        <f>IFERROR(__xludf.DUMMYFUNCTION("""COMPUTED_VALUE"""),"Two")</f>
        <v>Two</v>
      </c>
      <c r="F279" s="697" t="str">
        <f>IFERROR(__xludf.DUMMYFUNCTION("""COMPUTED_VALUE"""),"15 mg/kg")</f>
        <v>15 mg/kg</v>
      </c>
      <c r="G279" s="697">
        <f>IFERROR(__xludf.DUMMYFUNCTION("""COMPUTED_VALUE"""),97.0)</f>
        <v>97</v>
      </c>
      <c r="H279" s="704">
        <f>IFERROR(__xludf.DUMMYFUNCTION("""COMPUTED_VALUE"""),42875.0)</f>
        <v>42875</v>
      </c>
      <c r="I279" s="697"/>
      <c r="J279" s="697">
        <f>IFERROR(__xludf.DUMMYFUNCTION("""COMPUTED_VALUE"""),1990.0)</f>
        <v>1990</v>
      </c>
      <c r="K279" s="697"/>
      <c r="L279" s="697" t="str">
        <f>IFERROR(__xludf.DUMMYFUNCTION("""COMPUTED_VALUE"""),"No")</f>
        <v>No</v>
      </c>
      <c r="M279" s="706" t="str">
        <f>IFERROR(__xludf.DUMMYFUNCTION("""COMPUTED_VALUE"""),"No")</f>
        <v>No</v>
      </c>
      <c r="N279" s="706" t="str">
        <f>IFERROR(__xludf.DUMMYFUNCTION("""COMPUTED_VALUE"""),"CR/ERR 5 weeks")</f>
        <v>CR/ERR 5 weeks</v>
      </c>
      <c r="O279" s="873">
        <f>IFERROR(__xludf.DUMMYFUNCTION("""COMPUTED_VALUE"""),0.619)</f>
        <v>0.619</v>
      </c>
      <c r="P279" s="698">
        <f>IFERROR(__xludf.DUMMYFUNCTION("""COMPUTED_VALUE"""),0.996)</f>
        <v>0.996</v>
      </c>
      <c r="Q279" s="697"/>
      <c r="R279" s="699" t="str">
        <f>IFERROR(__xludf.DUMMYFUNCTION("""COMPUTED_VALUE"""),"Thiongo, F. W., Mbugua, G. G., Ouma, J. H., &amp; Sturrock, R. K. (2002). Efficacy of oxamniquine and praziquantel in school children from two Schistosoma mansoni endemic areas. East African Medical Journal, 79(1). doi:10.4314/eamj.v79i1.8921")</f>
        <v>Thiongo, F. W., Mbugua, G. G., Ouma, J. H., &amp; Sturrock, R. K. (2002). Efficacy of oxamniquine and praziquantel in school children from two Schistosoma mansoni endemic areas. East African Medical Journal, 79(1). doi:10.4314/eamj.v79i1.8921</v>
      </c>
      <c r="S279" s="697"/>
      <c r="T279" s="697"/>
      <c r="U279" s="697" t="str">
        <f>IFERROR(__xludf.DUMMYFUNCTION("""COMPUTED_VALUE"""),"x")</f>
        <v>x</v>
      </c>
      <c r="V279" s="697">
        <f>IFERROR(__xludf.DUMMYFUNCTION("""COMPUTED_VALUE"""),279.0)</f>
        <v>279</v>
      </c>
    </row>
    <row r="280">
      <c r="A280" s="699" t="str">
        <f>IFERROR(__xludf.DUMMYFUNCTION("""COMPUTED_VALUE"""),"Thiong'O, F W")</f>
        <v>Thiong'O, F W</v>
      </c>
      <c r="B280" s="697" t="str">
        <f>IFERROR(__xludf.DUMMYFUNCTION("""COMPUTED_VALUE"""),"s. mansoni")</f>
        <v>s. mansoni</v>
      </c>
      <c r="C280" s="697" t="str">
        <f>IFERROR(__xludf.DUMMYFUNCTION("""COMPUTED_VALUE"""),"Kenya")</f>
        <v>Kenya</v>
      </c>
      <c r="D280" s="697" t="str">
        <f>IFERROR(__xludf.DUMMYFUNCTION("""COMPUTED_VALUE"""),"Praziquantel")</f>
        <v>Praziquantel</v>
      </c>
      <c r="E280" s="697" t="str">
        <f>IFERROR(__xludf.DUMMYFUNCTION("""COMPUTED_VALUE"""),"Single")</f>
        <v>Single</v>
      </c>
      <c r="F280" s="697" t="str">
        <f>IFERROR(__xludf.DUMMYFUNCTION("""COMPUTED_VALUE"""),"40 mg/kg")</f>
        <v>40 mg/kg</v>
      </c>
      <c r="G280" s="697">
        <f>IFERROR(__xludf.DUMMYFUNCTION("""COMPUTED_VALUE"""),91.0)</f>
        <v>91</v>
      </c>
      <c r="H280" s="704">
        <f>IFERROR(__xludf.DUMMYFUNCTION("""COMPUTED_VALUE"""),42875.0)</f>
        <v>42875</v>
      </c>
      <c r="I280" s="697"/>
      <c r="J280" s="697">
        <f>IFERROR(__xludf.DUMMYFUNCTION("""COMPUTED_VALUE"""),1990.0)</f>
        <v>1990</v>
      </c>
      <c r="K280" s="697"/>
      <c r="L280" s="697" t="str">
        <f>IFERROR(__xludf.DUMMYFUNCTION("""COMPUTED_VALUE"""),"No")</f>
        <v>No</v>
      </c>
      <c r="M280" s="706" t="str">
        <f>IFERROR(__xludf.DUMMYFUNCTION("""COMPUTED_VALUE"""),"No")</f>
        <v>No</v>
      </c>
      <c r="N280" s="706" t="str">
        <f>IFERROR(__xludf.DUMMYFUNCTION("""COMPUTED_VALUE"""),"CR/ERR 5 weeks")</f>
        <v>CR/ERR 5 weeks</v>
      </c>
      <c r="O280" s="873">
        <f>IFERROR(__xludf.DUMMYFUNCTION("""COMPUTED_VALUE"""),0.811)</f>
        <v>0.811</v>
      </c>
      <c r="P280" s="698">
        <f>IFERROR(__xludf.DUMMYFUNCTION("""COMPUTED_VALUE"""),0.999)</f>
        <v>0.999</v>
      </c>
      <c r="Q280" s="697"/>
      <c r="R280" s="699" t="str">
        <f>IFERROR(__xludf.DUMMYFUNCTION("""COMPUTED_VALUE"""),"Thiongo, F. W., Mbugua, G. G., Ouma, J. H., &amp; Sturrock, R. K. (2002). Efficacy of oxamniquine and praziquantel in school children from two Schistosoma mansoni endemic areas. East African Medical Journal, 79(1). doi:10.4314/eamj.v79i1.8921")</f>
        <v>Thiongo, F. W., Mbugua, G. G., Ouma, J. H., &amp; Sturrock, R. K. (2002). Efficacy of oxamniquine and praziquantel in school children from two Schistosoma mansoni endemic areas. East African Medical Journal, 79(1). doi:10.4314/eamj.v79i1.8921</v>
      </c>
      <c r="S280" s="697"/>
      <c r="T280" s="697"/>
      <c r="U280" s="697" t="str">
        <f>IFERROR(__xludf.DUMMYFUNCTION("""COMPUTED_VALUE"""),"x")</f>
        <v>x</v>
      </c>
      <c r="V280" s="697">
        <f>IFERROR(__xludf.DUMMYFUNCTION("""COMPUTED_VALUE"""),280.0)</f>
        <v>280</v>
      </c>
    </row>
    <row r="281">
      <c r="A281" s="699" t="str">
        <f>IFERROR(__xludf.DUMMYFUNCTION("""COMPUTED_VALUE"""),"Thiong'O, F W")</f>
        <v>Thiong'O, F W</v>
      </c>
      <c r="B281" s="697" t="str">
        <f>IFERROR(__xludf.DUMMYFUNCTION("""COMPUTED_VALUE"""),"s. mansoni")</f>
        <v>s. mansoni</v>
      </c>
      <c r="C281" s="697" t="str">
        <f>IFERROR(__xludf.DUMMYFUNCTION("""COMPUTED_VALUE"""),"Kenya")</f>
        <v>Kenya</v>
      </c>
      <c r="D281" s="697" t="str">
        <f>IFERROR(__xludf.DUMMYFUNCTION("""COMPUTED_VALUE"""),"Oxamniquine")</f>
        <v>Oxamniquine</v>
      </c>
      <c r="E281" s="697" t="str">
        <f>IFERROR(__xludf.DUMMYFUNCTION("""COMPUTED_VALUE"""),"Two")</f>
        <v>Two</v>
      </c>
      <c r="F281" s="697" t="str">
        <f>IFERROR(__xludf.DUMMYFUNCTION("""COMPUTED_VALUE"""),"15 mg/kg")</f>
        <v>15 mg/kg</v>
      </c>
      <c r="G281" s="697">
        <f>IFERROR(__xludf.DUMMYFUNCTION("""COMPUTED_VALUE"""),123.0)</f>
        <v>123</v>
      </c>
      <c r="H281" s="704">
        <f>IFERROR(__xludf.DUMMYFUNCTION("""COMPUTED_VALUE"""),42875.0)</f>
        <v>42875</v>
      </c>
      <c r="I281" s="697"/>
      <c r="J281" s="697">
        <f>IFERROR(__xludf.DUMMYFUNCTION("""COMPUTED_VALUE"""),1990.0)</f>
        <v>1990</v>
      </c>
      <c r="K281" s="697"/>
      <c r="L281" s="697" t="str">
        <f>IFERROR(__xludf.DUMMYFUNCTION("""COMPUTED_VALUE"""),"No")</f>
        <v>No</v>
      </c>
      <c r="M281" s="706" t="str">
        <f>IFERROR(__xludf.DUMMYFUNCTION("""COMPUTED_VALUE"""),"No")</f>
        <v>No</v>
      </c>
      <c r="N281" s="706" t="str">
        <f>IFERROR(__xludf.DUMMYFUNCTION("""COMPUTED_VALUE"""),"CR/ERR 5 weeks")</f>
        <v>CR/ERR 5 weeks</v>
      </c>
      <c r="O281" s="873">
        <f>IFERROR(__xludf.DUMMYFUNCTION("""COMPUTED_VALUE"""),0.797)</f>
        <v>0.797</v>
      </c>
      <c r="P281" s="698">
        <f>IFERROR(__xludf.DUMMYFUNCTION("""COMPUTED_VALUE"""),0.998)</f>
        <v>0.998</v>
      </c>
      <c r="Q281" s="697"/>
      <c r="R281" s="699" t="str">
        <f>IFERROR(__xludf.DUMMYFUNCTION("""COMPUTED_VALUE"""),"Thiongo, F. W., Mbugua, G. G., Ouma, J. H., &amp; Sturrock, R. K. (2002). Efficacy of oxamniquine and praziquantel in school children from two Schistosoma mansoni endemic areas. East African Medical Journal, 79(1). doi:10.4314/eamj.v79i1.8921")</f>
        <v>Thiongo, F. W., Mbugua, G. G., Ouma, J. H., &amp; Sturrock, R. K. (2002). Efficacy of oxamniquine and praziquantel in school children from two Schistosoma mansoni endemic areas. East African Medical Journal, 79(1). doi:10.4314/eamj.v79i1.8921</v>
      </c>
      <c r="S281" s="697"/>
      <c r="T281" s="697"/>
      <c r="U281" s="697" t="str">
        <f>IFERROR(__xludf.DUMMYFUNCTION("""COMPUTED_VALUE"""),"x")</f>
        <v>x</v>
      </c>
      <c r="V281" s="697">
        <f>IFERROR(__xludf.DUMMYFUNCTION("""COMPUTED_VALUE"""),281.0)</f>
        <v>281</v>
      </c>
    </row>
    <row r="282">
      <c r="A282" s="699" t="str">
        <f>IFERROR(__xludf.DUMMYFUNCTION("""COMPUTED_VALUE"""),"Thiong'O, F W")</f>
        <v>Thiong'O, F W</v>
      </c>
      <c r="B282" s="697" t="str">
        <f>IFERROR(__xludf.DUMMYFUNCTION("""COMPUTED_VALUE"""),"s. mansoni")</f>
        <v>s. mansoni</v>
      </c>
      <c r="C282" s="697" t="str">
        <f>IFERROR(__xludf.DUMMYFUNCTION("""COMPUTED_VALUE"""),"Kenya")</f>
        <v>Kenya</v>
      </c>
      <c r="D282" s="697" t="str">
        <f>IFERROR(__xludf.DUMMYFUNCTION("""COMPUTED_VALUE"""),"Praziquantel")</f>
        <v>Praziquantel</v>
      </c>
      <c r="E282" s="697" t="str">
        <f>IFERROR(__xludf.DUMMYFUNCTION("""COMPUTED_VALUE"""),"Single")</f>
        <v>Single</v>
      </c>
      <c r="F282" s="697" t="str">
        <f>IFERROR(__xludf.DUMMYFUNCTION("""COMPUTED_VALUE"""),"40 mg/kg")</f>
        <v>40 mg/kg</v>
      </c>
      <c r="G282" s="697">
        <f>IFERROR(__xludf.DUMMYFUNCTION("""COMPUTED_VALUE"""),116.0)</f>
        <v>116</v>
      </c>
      <c r="H282" s="704">
        <f>IFERROR(__xludf.DUMMYFUNCTION("""COMPUTED_VALUE"""),42875.0)</f>
        <v>42875</v>
      </c>
      <c r="I282" s="697"/>
      <c r="J282" s="697">
        <f>IFERROR(__xludf.DUMMYFUNCTION("""COMPUTED_VALUE"""),1990.0)</f>
        <v>1990</v>
      </c>
      <c r="K282" s="697"/>
      <c r="L282" s="697" t="str">
        <f>IFERROR(__xludf.DUMMYFUNCTION("""COMPUTED_VALUE"""),"No")</f>
        <v>No</v>
      </c>
      <c r="M282" s="706" t="str">
        <f>IFERROR(__xludf.DUMMYFUNCTION("""COMPUTED_VALUE"""),"No")</f>
        <v>No</v>
      </c>
      <c r="N282" s="706" t="str">
        <f>IFERROR(__xludf.DUMMYFUNCTION("""COMPUTED_VALUE"""),"CR/ERR 5 weeks")</f>
        <v>CR/ERR 5 weeks</v>
      </c>
      <c r="O282" s="873">
        <f>IFERROR(__xludf.DUMMYFUNCTION("""COMPUTED_VALUE"""),0.776)</f>
        <v>0.776</v>
      </c>
      <c r="P282" s="698">
        <f>IFERROR(__xludf.DUMMYFUNCTION("""COMPUTED_VALUE"""),0.998)</f>
        <v>0.998</v>
      </c>
      <c r="Q282" s="697"/>
      <c r="R282" s="699" t="str">
        <f>IFERROR(__xludf.DUMMYFUNCTION("""COMPUTED_VALUE"""),"Thiongo, F. W., Mbugua, G. G., Ouma, J. H., &amp; Sturrock, R. K. (2002). Efficacy of oxamniquine and praziquantel in school children from two Schistosoma mansoni endemic areas. East African Medical Journal, 79(1). doi:10.4314/eamj.v79i1.8921")</f>
        <v>Thiongo, F. W., Mbugua, G. G., Ouma, J. H., &amp; Sturrock, R. K. (2002). Efficacy of oxamniquine and praziquantel in school children from two Schistosoma mansoni endemic areas. East African Medical Journal, 79(1). doi:10.4314/eamj.v79i1.8921</v>
      </c>
      <c r="S282" s="697"/>
      <c r="T282" s="697"/>
      <c r="U282" s="697" t="str">
        <f>IFERROR(__xludf.DUMMYFUNCTION("""COMPUTED_VALUE"""),"x")</f>
        <v>x</v>
      </c>
      <c r="V282" s="697">
        <f>IFERROR(__xludf.DUMMYFUNCTION("""COMPUTED_VALUE"""),282.0)</f>
        <v>282</v>
      </c>
    </row>
    <row r="283">
      <c r="A283" s="699" t="str">
        <f>IFERROR(__xludf.DUMMYFUNCTION("""COMPUTED_VALUE"""),"Thiong'O, F W")</f>
        <v>Thiong'O, F W</v>
      </c>
      <c r="B283" s="697" t="str">
        <f>IFERROR(__xludf.DUMMYFUNCTION("""COMPUTED_VALUE"""),"s. mansoni")</f>
        <v>s. mansoni</v>
      </c>
      <c r="C283" s="697" t="str">
        <f>IFERROR(__xludf.DUMMYFUNCTION("""COMPUTED_VALUE"""),"Kenya")</f>
        <v>Kenya</v>
      </c>
      <c r="D283" s="697" t="str">
        <f>IFERROR(__xludf.DUMMYFUNCTION("""COMPUTED_VALUE"""),"Praziquantel")</f>
        <v>Praziquantel</v>
      </c>
      <c r="E283" s="697" t="str">
        <f>IFERROR(__xludf.DUMMYFUNCTION("""COMPUTED_VALUE"""),"Single")</f>
        <v>Single</v>
      </c>
      <c r="F283" s="697" t="str">
        <f>IFERROR(__xludf.DUMMYFUNCTION("""COMPUTED_VALUE"""),"40 mg/kg")</f>
        <v>40 mg/kg</v>
      </c>
      <c r="G283" s="697">
        <f>IFERROR(__xludf.DUMMYFUNCTION("""COMPUTED_VALUE"""),133.0)</f>
        <v>133</v>
      </c>
      <c r="H283" s="704">
        <f>IFERROR(__xludf.DUMMYFUNCTION("""COMPUTED_VALUE"""),42906.0)</f>
        <v>42906</v>
      </c>
      <c r="I283" s="697"/>
      <c r="J283" s="697">
        <f>IFERROR(__xludf.DUMMYFUNCTION("""COMPUTED_VALUE"""),1990.0)</f>
        <v>1990</v>
      </c>
      <c r="K283" s="697"/>
      <c r="L283" s="697" t="str">
        <f>IFERROR(__xludf.DUMMYFUNCTION("""COMPUTED_VALUE"""),"No")</f>
        <v>No</v>
      </c>
      <c r="M283" s="706" t="str">
        <f>IFERROR(__xludf.DUMMYFUNCTION("""COMPUTED_VALUE"""),"Yes")</f>
        <v>Yes</v>
      </c>
      <c r="N283" s="706" t="str">
        <f>IFERROR(__xludf.DUMMYFUNCTION("""COMPUTED_VALUE"""),"CR/ERR 5 weeks")</f>
        <v>CR/ERR 5 weeks</v>
      </c>
      <c r="O283" s="873">
        <f>IFERROR(__xludf.DUMMYFUNCTION("""COMPUTED_VALUE"""),0.872)</f>
        <v>0.872</v>
      </c>
      <c r="P283" s="698">
        <f>IFERROR(__xludf.DUMMYFUNCTION("""COMPUTED_VALUE"""),0.943)</f>
        <v>0.943</v>
      </c>
      <c r="Q283" s="697"/>
      <c r="R283" s="699" t="str">
        <f>IFERROR(__xludf.DUMMYFUNCTION("""COMPUTED_VALUE"""),"Thiongo, F. W., Mbugua, G. G., Ouma, J. H., &amp; Sturrock, R. K. (2002). Efficacy of oxamniquine and praziquantel in school children from two Schistosoma mansoni endemic areas. East African Medical Journal, 79(1). doi:10.4314/eamj.v79i1.8921")</f>
        <v>Thiongo, F. W., Mbugua, G. G., Ouma, J. H., &amp; Sturrock, R. K. (2002). Efficacy of oxamniquine and praziquantel in school children from two Schistosoma mansoni endemic areas. East African Medical Journal, 79(1). doi:10.4314/eamj.v79i1.8921</v>
      </c>
      <c r="S283" s="697"/>
      <c r="T283" s="697"/>
      <c r="U283" s="697" t="str">
        <f>IFERROR(__xludf.DUMMYFUNCTION("""COMPUTED_VALUE"""),"")</f>
        <v/>
      </c>
      <c r="V283" s="697">
        <f>IFERROR(__xludf.DUMMYFUNCTION("""COMPUTED_VALUE"""),283.0)</f>
        <v>283</v>
      </c>
    </row>
    <row r="284">
      <c r="A284" s="699" t="str">
        <f>IFERROR(__xludf.DUMMYFUNCTION("""COMPUTED_VALUE"""),"Thiong'O, F W")</f>
        <v>Thiong'O, F W</v>
      </c>
      <c r="B284" s="697" t="str">
        <f>IFERROR(__xludf.DUMMYFUNCTION("""COMPUTED_VALUE"""),"s. mansoni")</f>
        <v>s. mansoni</v>
      </c>
      <c r="C284" s="697" t="str">
        <f>IFERROR(__xludf.DUMMYFUNCTION("""COMPUTED_VALUE"""),"Kenya")</f>
        <v>Kenya</v>
      </c>
      <c r="D284" s="697" t="str">
        <f>IFERROR(__xludf.DUMMYFUNCTION("""COMPUTED_VALUE"""),"Praziquantel")</f>
        <v>Praziquantel</v>
      </c>
      <c r="E284" s="697" t="str">
        <f>IFERROR(__xludf.DUMMYFUNCTION("""COMPUTED_VALUE"""),"Single")</f>
        <v>Single</v>
      </c>
      <c r="F284" s="697" t="str">
        <f>IFERROR(__xludf.DUMMYFUNCTION("""COMPUTED_VALUE"""),"40 mg/kg")</f>
        <v>40 mg/kg</v>
      </c>
      <c r="G284" s="697">
        <f>IFERROR(__xludf.DUMMYFUNCTION("""COMPUTED_VALUE"""),173.0)</f>
        <v>173</v>
      </c>
      <c r="H284" s="704">
        <f>IFERROR(__xludf.DUMMYFUNCTION("""COMPUTED_VALUE"""),42906.0)</f>
        <v>42906</v>
      </c>
      <c r="I284" s="697"/>
      <c r="J284" s="697">
        <f>IFERROR(__xludf.DUMMYFUNCTION("""COMPUTED_VALUE"""),1990.0)</f>
        <v>1990</v>
      </c>
      <c r="K284" s="697"/>
      <c r="L284" s="697" t="str">
        <f>IFERROR(__xludf.DUMMYFUNCTION("""COMPUTED_VALUE"""),"No")</f>
        <v>No</v>
      </c>
      <c r="M284" s="706" t="str">
        <f>IFERROR(__xludf.DUMMYFUNCTION("""COMPUTED_VALUE"""),"Yes")</f>
        <v>Yes</v>
      </c>
      <c r="N284" s="706" t="str">
        <f>IFERROR(__xludf.DUMMYFUNCTION("""COMPUTED_VALUE"""),"CR/ERR 5 weeks")</f>
        <v>CR/ERR 5 weeks</v>
      </c>
      <c r="O284" s="873">
        <f>IFERROR(__xludf.DUMMYFUNCTION("""COMPUTED_VALUE"""),0.617)</f>
        <v>0.617</v>
      </c>
      <c r="P284" s="698">
        <f>IFERROR(__xludf.DUMMYFUNCTION("""COMPUTED_VALUE"""),0.844)</f>
        <v>0.844</v>
      </c>
      <c r="Q284" s="697"/>
      <c r="R284" s="699" t="str">
        <f>IFERROR(__xludf.DUMMYFUNCTION("""COMPUTED_VALUE"""),"Thiongo, F. W., Mbugua, G. G., Ouma, J. H., &amp; Sturrock, R. K. (2002). Efficacy of oxamniquine and praziquantel in school children from two Schistosoma mansoni endemic areas. East African Medical Journal, 79(1). doi:10.4314/eamj.v79i1.8921")</f>
        <v>Thiongo, F. W., Mbugua, G. G., Ouma, J. H., &amp; Sturrock, R. K. (2002). Efficacy of oxamniquine and praziquantel in school children from two Schistosoma mansoni endemic areas. East African Medical Journal, 79(1). doi:10.4314/eamj.v79i1.8921</v>
      </c>
      <c r="S284" s="697"/>
      <c r="T284" s="697"/>
      <c r="U284" s="697" t="str">
        <f>IFERROR(__xludf.DUMMYFUNCTION("""COMPUTED_VALUE"""),"")</f>
        <v/>
      </c>
      <c r="V284" s="697">
        <f>IFERROR(__xludf.DUMMYFUNCTION("""COMPUTED_VALUE"""),284.0)</f>
        <v>284</v>
      </c>
    </row>
    <row r="285">
      <c r="A285" s="699" t="str">
        <f>IFERROR(__xludf.DUMMYFUNCTION("""COMPUTED_VALUE"""),"Thiong'O, F W")</f>
        <v>Thiong'O, F W</v>
      </c>
      <c r="B285" s="697" t="str">
        <f>IFERROR(__xludf.DUMMYFUNCTION("""COMPUTED_VALUE"""),"s. mansoni")</f>
        <v>s. mansoni</v>
      </c>
      <c r="C285" s="697" t="str">
        <f>IFERROR(__xludf.DUMMYFUNCTION("""COMPUTED_VALUE"""),"Kenya")</f>
        <v>Kenya</v>
      </c>
      <c r="D285" s="697" t="str">
        <f>IFERROR(__xludf.DUMMYFUNCTION("""COMPUTED_VALUE"""),"Praziquantel")</f>
        <v>Praziquantel</v>
      </c>
      <c r="E285" s="697" t="str">
        <f>IFERROR(__xludf.DUMMYFUNCTION("""COMPUTED_VALUE"""),"Single")</f>
        <v>Single</v>
      </c>
      <c r="F285" s="697" t="str">
        <f>IFERROR(__xludf.DUMMYFUNCTION("""COMPUTED_VALUE"""),"60 mg/kg")</f>
        <v>60 mg/kg</v>
      </c>
      <c r="G285" s="697">
        <f>IFERROR(__xludf.DUMMYFUNCTION("""COMPUTED_VALUE"""),133.0)</f>
        <v>133</v>
      </c>
      <c r="H285" s="704">
        <f>IFERROR(__xludf.DUMMYFUNCTION("""COMPUTED_VALUE"""),42906.0)</f>
        <v>42906</v>
      </c>
      <c r="I285" s="697"/>
      <c r="J285" s="697">
        <f>IFERROR(__xludf.DUMMYFUNCTION("""COMPUTED_VALUE"""),1990.0)</f>
        <v>1990</v>
      </c>
      <c r="K285" s="697"/>
      <c r="L285" s="697" t="str">
        <f>IFERROR(__xludf.DUMMYFUNCTION("""COMPUTED_VALUE"""),"No")</f>
        <v>No</v>
      </c>
      <c r="M285" s="706" t="str">
        <f>IFERROR(__xludf.DUMMYFUNCTION("""COMPUTED_VALUE"""),"Yes")</f>
        <v>Yes</v>
      </c>
      <c r="N285" s="706" t="str">
        <f>IFERROR(__xludf.DUMMYFUNCTION("""COMPUTED_VALUE"""),"CR/ERR 5 weeks")</f>
        <v>CR/ERR 5 weeks</v>
      </c>
      <c r="O285" s="873">
        <f>IFERROR(__xludf.DUMMYFUNCTION("""COMPUTED_VALUE"""),0.932)</f>
        <v>0.932</v>
      </c>
      <c r="P285" s="698">
        <f>IFERROR(__xludf.DUMMYFUNCTION("""COMPUTED_VALUE"""),0.966)</f>
        <v>0.966</v>
      </c>
      <c r="Q285" s="697"/>
      <c r="R285" s="699" t="str">
        <f>IFERROR(__xludf.DUMMYFUNCTION("""COMPUTED_VALUE"""),"Thiongo, F. W., Mbugua, G. G., Ouma, J. H., &amp; Sturrock, R. K. (2002). Efficacy of oxamniquine and praziquantel in school children from two Schistosoma mansoni endemic areas. East African Medical Journal, 79(1). doi:10.4314/eamj.v79i1.8921")</f>
        <v>Thiongo, F. W., Mbugua, G. G., Ouma, J. H., &amp; Sturrock, R. K. (2002). Efficacy of oxamniquine and praziquantel in school children from two Schistosoma mansoni endemic areas. East African Medical Journal, 79(1). doi:10.4314/eamj.v79i1.8921</v>
      </c>
      <c r="S285" s="697"/>
      <c r="T285" s="697"/>
      <c r="U285" s="697" t="str">
        <f>IFERROR(__xludf.DUMMYFUNCTION("""COMPUTED_VALUE"""),"")</f>
        <v/>
      </c>
      <c r="V285" s="697">
        <f>IFERROR(__xludf.DUMMYFUNCTION("""COMPUTED_VALUE"""),285.0)</f>
        <v>285</v>
      </c>
    </row>
    <row r="286">
      <c r="A286" s="699" t="str">
        <f>IFERROR(__xludf.DUMMYFUNCTION("""COMPUTED_VALUE"""),"Thiong'O, F W")</f>
        <v>Thiong'O, F W</v>
      </c>
      <c r="B286" s="697" t="str">
        <f>IFERROR(__xludf.DUMMYFUNCTION("""COMPUTED_VALUE"""),"s. mansoni")</f>
        <v>s. mansoni</v>
      </c>
      <c r="C286" s="697" t="str">
        <f>IFERROR(__xludf.DUMMYFUNCTION("""COMPUTED_VALUE"""),"Kenya")</f>
        <v>Kenya</v>
      </c>
      <c r="D286" s="697" t="str">
        <f>IFERROR(__xludf.DUMMYFUNCTION("""COMPUTED_VALUE"""),"Praziquantel")</f>
        <v>Praziquantel</v>
      </c>
      <c r="E286" s="697" t="str">
        <f>IFERROR(__xludf.DUMMYFUNCTION("""COMPUTED_VALUE"""),"Single")</f>
        <v>Single</v>
      </c>
      <c r="F286" s="697" t="str">
        <f>IFERROR(__xludf.DUMMYFUNCTION("""COMPUTED_VALUE"""),"60 mg/kg")</f>
        <v>60 mg/kg</v>
      </c>
      <c r="G286" s="697">
        <f>IFERROR(__xludf.DUMMYFUNCTION("""COMPUTED_VALUE"""),152.0)</f>
        <v>152</v>
      </c>
      <c r="H286" s="704">
        <f>IFERROR(__xludf.DUMMYFUNCTION("""COMPUTED_VALUE"""),42906.0)</f>
        <v>42906</v>
      </c>
      <c r="I286" s="697"/>
      <c r="J286" s="697">
        <f>IFERROR(__xludf.DUMMYFUNCTION("""COMPUTED_VALUE"""),1990.0)</f>
        <v>1990</v>
      </c>
      <c r="K286" s="697"/>
      <c r="L286" s="697" t="str">
        <f>IFERROR(__xludf.DUMMYFUNCTION("""COMPUTED_VALUE"""),"No")</f>
        <v>No</v>
      </c>
      <c r="M286" s="706" t="str">
        <f>IFERROR(__xludf.DUMMYFUNCTION("""COMPUTED_VALUE"""),"Yes")</f>
        <v>Yes</v>
      </c>
      <c r="N286" s="706" t="str">
        <f>IFERROR(__xludf.DUMMYFUNCTION("""COMPUTED_VALUE"""),"CR/ERR 5 weeks")</f>
        <v>CR/ERR 5 weeks</v>
      </c>
      <c r="O286" s="873">
        <f>IFERROR(__xludf.DUMMYFUNCTION("""COMPUTED_VALUE"""),0.763)</f>
        <v>0.763</v>
      </c>
      <c r="P286" s="698">
        <f>IFERROR(__xludf.DUMMYFUNCTION("""COMPUTED_VALUE"""),0.894)</f>
        <v>0.894</v>
      </c>
      <c r="Q286" s="697"/>
      <c r="R286" s="699" t="str">
        <f>IFERROR(__xludf.DUMMYFUNCTION("""COMPUTED_VALUE"""),"Thiongo, F. W., Mbugua, G. G., Ouma, J. H., &amp; Sturrock, R. K. (2002). Efficacy of oxamniquine and praziquantel in school children from two Schistosoma mansoni endemic areas. East African Medical Journal, 79(1). doi:10.4314/eamj.v79i1.8921")</f>
        <v>Thiongo, F. W., Mbugua, G. G., Ouma, J. H., &amp; Sturrock, R. K. (2002). Efficacy of oxamniquine and praziquantel in school children from two Schistosoma mansoni endemic areas. East African Medical Journal, 79(1). doi:10.4314/eamj.v79i1.8921</v>
      </c>
      <c r="S286" s="697"/>
      <c r="T286" s="697"/>
      <c r="U286" s="697" t="str">
        <f>IFERROR(__xludf.DUMMYFUNCTION("""COMPUTED_VALUE"""),"")</f>
        <v/>
      </c>
      <c r="V286" s="697">
        <f>IFERROR(__xludf.DUMMYFUNCTION("""COMPUTED_VALUE"""),286.0)</f>
        <v>286</v>
      </c>
    </row>
    <row r="287">
      <c r="A287" s="697"/>
      <c r="B287" s="697"/>
      <c r="C287" s="697"/>
      <c r="D287" s="697"/>
      <c r="E287" s="697"/>
      <c r="F287" s="697"/>
      <c r="G287" s="697"/>
      <c r="H287" s="697"/>
      <c r="I287" s="697"/>
      <c r="J287" s="697"/>
      <c r="K287" s="697"/>
      <c r="L287" s="697"/>
      <c r="M287" s="697"/>
      <c r="N287" s="697"/>
      <c r="O287" s="871"/>
      <c r="P287" s="697"/>
      <c r="Q287" s="697"/>
      <c r="R287" s="697"/>
      <c r="S287" s="697"/>
      <c r="T287" s="697"/>
      <c r="U287" s="697" t="str">
        <f>IFERROR(__xludf.DUMMYFUNCTION("""COMPUTED_VALUE"""),"")</f>
        <v/>
      </c>
      <c r="V287" s="697">
        <f>IFERROR(__xludf.DUMMYFUNCTION("""COMPUTED_VALUE"""),287.0)</f>
        <v>287</v>
      </c>
    </row>
    <row r="288">
      <c r="A288" s="697" t="str">
        <f>IFERROR(__xludf.DUMMYFUNCTION("""COMPUTED_VALUE"""),"Hung Quach")</f>
        <v>Hung Quach</v>
      </c>
      <c r="B288" s="697"/>
      <c r="C288" s="697"/>
      <c r="D288" s="697"/>
      <c r="E288" s="697"/>
      <c r="F288" s="697"/>
      <c r="G288" s="697"/>
      <c r="H288" s="697"/>
      <c r="I288" s="697"/>
      <c r="J288" s="697"/>
      <c r="K288" s="697"/>
      <c r="L288" s="697"/>
      <c r="M288" s="697"/>
      <c r="N288" s="697"/>
      <c r="O288" s="871"/>
      <c r="P288" s="697"/>
      <c r="Q288" s="697"/>
      <c r="R288" s="697"/>
      <c r="S288" s="697"/>
      <c r="T288" s="697"/>
      <c r="U288" s="697" t="str">
        <f>IFERROR(__xludf.DUMMYFUNCTION("""COMPUTED_VALUE"""),"")</f>
        <v/>
      </c>
      <c r="V288" s="697">
        <f>IFERROR(__xludf.DUMMYFUNCTION("""COMPUTED_VALUE"""),288.0)</f>
        <v>288</v>
      </c>
    </row>
    <row r="289">
      <c r="A289" s="697" t="str">
        <f>IFERROR(__xludf.DUMMYFUNCTION("""COMPUTED_VALUE"""),"Mohammad ayoub")</f>
        <v>Mohammad ayoub</v>
      </c>
      <c r="B289" s="697" t="str">
        <f>IFERROR(__xludf.DUMMYFUNCTION("""COMPUTED_VALUE"""),"s. mansoni")</f>
        <v>s. mansoni</v>
      </c>
      <c r="C289" s="697" t="str">
        <f>IFERROR(__xludf.DUMMYFUNCTION("""COMPUTED_VALUE"""),"Sudan")</f>
        <v>Sudan</v>
      </c>
      <c r="D289" s="697" t="str">
        <f>IFERROR(__xludf.DUMMYFUNCTION("""COMPUTED_VALUE"""),"Artesunate &amp; Sulfadoxine")</f>
        <v>Artesunate &amp; Sulfadoxine</v>
      </c>
      <c r="E289" s="697" t="str">
        <f>IFERROR(__xludf.DUMMYFUNCTION("""COMPUTED_VALUE"""),"3+1")</f>
        <v>3+1</v>
      </c>
      <c r="F289" s="697" t="str">
        <f>IFERROR(__xludf.DUMMYFUNCTION("""COMPUTED_VALUE"""),"4 mg/kg + 25mg/kg")</f>
        <v>4 mg/kg + 25mg/kg</v>
      </c>
      <c r="G289" s="697">
        <f>IFERROR(__xludf.DUMMYFUNCTION("""COMPUTED_VALUE"""),46.0)</f>
        <v>46</v>
      </c>
      <c r="H289" s="704">
        <f>IFERROR(__xludf.DUMMYFUNCTION("""COMPUTED_VALUE"""),42964.0)</f>
        <v>42964</v>
      </c>
      <c r="I289" s="697"/>
      <c r="J289" s="697">
        <f>IFERROR(__xludf.DUMMYFUNCTION("""COMPUTED_VALUE"""),2009.0)</f>
        <v>2009</v>
      </c>
      <c r="K289" s="697" t="str">
        <f>IFERROR(__xludf.DUMMYFUNCTION("""COMPUTED_VALUE"""),"children with S. mansoni infection willing to be examined and followed-up were included in the study. Those with a history of allergy to sulphonamides, use of either AS+SP or PZQ within the last 30 days or who had malaria were excluded.")</f>
        <v>children with S. mansoni infection willing to be examined and followed-up were included in the study. Those with a history of allergy to sulphonamides, use of either AS+SP or PZQ within the last 30 days or who had malaria were excluded.</v>
      </c>
      <c r="L289" s="697" t="str">
        <f>IFERROR(__xludf.DUMMYFUNCTION("""COMPUTED_VALUE"""),"No")</f>
        <v>No</v>
      </c>
      <c r="M289" s="697" t="str">
        <f>IFERROR(__xludf.DUMMYFUNCTION("""COMPUTED_VALUE"""),"Yes")</f>
        <v>Yes</v>
      </c>
      <c r="N289" s="697">
        <f>IFERROR(__xludf.DUMMYFUNCTION("""COMPUTED_VALUE"""),28.0)</f>
        <v>28</v>
      </c>
      <c r="O289" s="874">
        <f>IFERROR(__xludf.DUMMYFUNCTION("""COMPUTED_VALUE"""),0.586)</f>
        <v>0.586</v>
      </c>
      <c r="P289" s="706">
        <f>IFERROR(__xludf.DUMMYFUNCTION("""COMPUTED_VALUE"""),0.79)</f>
        <v>0.79</v>
      </c>
      <c r="Q289" s="697" t="str">
        <f>IFERROR(__xludf.DUMMYFUNCTION("""COMPUTED_VALUE"""),"The current study showed a significantly lower efficacy of AS+SP in comparison with PZQ (58.6% vs. 100%).")</f>
        <v>The current study showed a significantly lower efficacy of AS+SP in comparison with PZQ (58.6% vs. 100%).</v>
      </c>
      <c r="R289" s="697" t="str">
        <f>IFERROR(__xludf.DUMMYFUNCTION("""COMPUTED_VALUE"""),"This is a new study I found. ")</f>
        <v>This is a new study I found. </v>
      </c>
      <c r="S289" s="697" t="str">
        <f>IFERROR(__xludf.DUMMYFUNCTION("""COMPUTED_VALUE"""),"youb A. Mohamed, Haider M. Mahgoub, Mamoun Magzoub, Gasim I. Gasim, Walid N. Eldein, Abd el Aziz A. Ahmed, Ishag Adam; Artesunate plus sulfadoxine/pyrimethamine versus praziquantel in the treatment of Schistosoma mansoni in eastern Sudan. Trans R Soc Trop"&amp;" Med Hyg 2009; 103 (10): 1062-1064. doi: 10.1016/j.trstmh.2009.01.026")</f>
        <v>youb A. Mohamed, Haider M. Mahgoub, Mamoun Magzoub, Gasim I. Gasim, Walid N. Eldein, Abd el Aziz A. Ahmed, Ishag Adam; Artesunate plus sulfadoxine/pyrimethamine versus praziquantel in the treatment of Schistosoma mansoni in eastern Sudan. Trans R Soc Trop Med Hyg 2009; 103 (10): 1062-1064. doi: 10.1016/j.trstmh.2009.01.026</v>
      </c>
      <c r="T289" s="699" t="str">
        <f>IFERROR(__xludf.DUMMYFUNCTION("""COMPUTED_VALUE"""),"https://academic.oup.com/trstmh/article-abstract/103/10/1062/1927838/Artesunate-plus-sulfadoxine-pyrimethamine-versus?redirectedFrom=fulltext")</f>
        <v>https://academic.oup.com/trstmh/article-abstract/103/10/1062/1927838/Artesunate-plus-sulfadoxine-pyrimethamine-versus?redirectedFrom=fulltext</v>
      </c>
      <c r="U289" s="697" t="str">
        <f>IFERROR(__xludf.DUMMYFUNCTION("""COMPUTED_VALUE"""),"")</f>
        <v/>
      </c>
      <c r="V289" s="697">
        <f>IFERROR(__xludf.DUMMYFUNCTION("""COMPUTED_VALUE"""),289.0)</f>
        <v>289</v>
      </c>
    </row>
    <row r="290">
      <c r="A290" s="697" t="str">
        <f>IFERROR(__xludf.DUMMYFUNCTION("""COMPUTED_VALUE"""),"Mohammad ayoub")</f>
        <v>Mohammad ayoub</v>
      </c>
      <c r="B290" s="697" t="str">
        <f>IFERROR(__xludf.DUMMYFUNCTION("""COMPUTED_VALUE"""),"s. mansoni")</f>
        <v>s. mansoni</v>
      </c>
      <c r="C290" s="697" t="str">
        <f>IFERROR(__xludf.DUMMYFUNCTION("""COMPUTED_VALUE"""),"Sudan")</f>
        <v>Sudan</v>
      </c>
      <c r="D290" s="697" t="str">
        <f>IFERROR(__xludf.DUMMYFUNCTION("""COMPUTED_VALUE"""),"Praziquantel")</f>
        <v>Praziquantel</v>
      </c>
      <c r="E290" s="697" t="str">
        <f>IFERROR(__xludf.DUMMYFUNCTION("""COMPUTED_VALUE"""),"Single")</f>
        <v>Single</v>
      </c>
      <c r="F290" s="697" t="str">
        <f>IFERROR(__xludf.DUMMYFUNCTION("""COMPUTED_VALUE"""),"40 mg/kg")</f>
        <v>40 mg/kg</v>
      </c>
      <c r="G290" s="697">
        <f>IFERROR(__xludf.DUMMYFUNCTION("""COMPUTED_VALUE"""),46.0)</f>
        <v>46</v>
      </c>
      <c r="H290" s="704">
        <f>IFERROR(__xludf.DUMMYFUNCTION("""COMPUTED_VALUE"""),42964.0)</f>
        <v>42964</v>
      </c>
      <c r="I290" s="697"/>
      <c r="J290" s="697">
        <f>IFERROR(__xludf.DUMMYFUNCTION("""COMPUTED_VALUE"""),2009.0)</f>
        <v>2009</v>
      </c>
      <c r="K290" s="697" t="str">
        <f>IFERROR(__xludf.DUMMYFUNCTION("""COMPUTED_VALUE"""),"children with S. mansoni infection willing to be examined and followed-up were included in the study. Those with a history of allergy to sulphonamides, use of either AS+SP or PZQ within the last 30 days or who had malaria were excluded.")</f>
        <v>children with S. mansoni infection willing to be examined and followed-up were included in the study. Those with a history of allergy to sulphonamides, use of either AS+SP or PZQ within the last 30 days or who had malaria were excluded.</v>
      </c>
      <c r="L290" s="697" t="str">
        <f>IFERROR(__xludf.DUMMYFUNCTION("""COMPUTED_VALUE"""),"No")</f>
        <v>No</v>
      </c>
      <c r="M290" s="697" t="str">
        <f>IFERROR(__xludf.DUMMYFUNCTION("""COMPUTED_VALUE"""),"Yes")</f>
        <v>Yes</v>
      </c>
      <c r="N290" s="697">
        <f>IFERROR(__xludf.DUMMYFUNCTION("""COMPUTED_VALUE"""),28.0)</f>
        <v>28</v>
      </c>
      <c r="O290" s="874">
        <f>IFERROR(__xludf.DUMMYFUNCTION("""COMPUTED_VALUE"""),1.0)</f>
        <v>1</v>
      </c>
      <c r="P290" s="697"/>
      <c r="Q290" s="697" t="str">
        <f>IFERROR(__xludf.DUMMYFUNCTION("""COMPUTED_VALUE"""),"The current study showed a significantly lower efficacy of AS+SP in comparison with PZQ (58.6% vs. 100%).")</f>
        <v>The current study showed a significantly lower efficacy of AS+SP in comparison with PZQ (58.6% vs. 100%).</v>
      </c>
      <c r="R290" s="697"/>
      <c r="S290" s="697" t="str">
        <f>IFERROR(__xludf.DUMMYFUNCTION("""COMPUTED_VALUE"""),"youb A. Mohamed, Haider M. Mahgoub, Mamoun Magzoub, Gasim I. Gasim, Walid N. Eldein, Abd el Aziz A. Ahmed, Ishag Adam; Artesunate plus sulfadoxine/pyrimethamine versus praziquantel in the treatment of Schistosoma mansoni in eastern Sudan. Trans R Soc Trop"&amp;" Med Hyg 2009; 103 (10): 1062-1064. doi: 10.1016/j.trstmh.2009.01.026")</f>
        <v>youb A. Mohamed, Haider M. Mahgoub, Mamoun Magzoub, Gasim I. Gasim, Walid N. Eldein, Abd el Aziz A. Ahmed, Ishag Adam; Artesunate plus sulfadoxine/pyrimethamine versus praziquantel in the treatment of Schistosoma mansoni in eastern Sudan. Trans R Soc Trop Med Hyg 2009; 103 (10): 1062-1064. doi: 10.1016/j.trstmh.2009.01.026</v>
      </c>
      <c r="T290" s="699" t="str">
        <f>IFERROR(__xludf.DUMMYFUNCTION("""COMPUTED_VALUE"""),"https://academic.oup.com/trstmh/article-abstract/103/10/1062/1927838/Artesunate-plus-sulfadoxine-pyrimethamine-versus?redirectedFrom=fulltext")</f>
        <v>https://academic.oup.com/trstmh/article-abstract/103/10/1062/1927838/Artesunate-plus-sulfadoxine-pyrimethamine-versus?redirectedFrom=fulltext</v>
      </c>
      <c r="U290" s="697" t="str">
        <f>IFERROR(__xludf.DUMMYFUNCTION("""COMPUTED_VALUE"""),"")</f>
        <v/>
      </c>
      <c r="V290" s="697">
        <f>IFERROR(__xludf.DUMMYFUNCTION("""COMPUTED_VALUE"""),290.0)</f>
        <v>290</v>
      </c>
    </row>
    <row r="291">
      <c r="A291" s="697" t="str">
        <f>IFERROR(__xludf.DUMMYFUNCTION("""COMPUTED_VALUE"""),"Ferrari MT")</f>
        <v>Ferrari MT</v>
      </c>
      <c r="B291" s="697" t="str">
        <f>IFERROR(__xludf.DUMMYFUNCTION("""COMPUTED_VALUE"""),"s. mansoni")</f>
        <v>s. mansoni</v>
      </c>
      <c r="C291" s="697" t="str">
        <f>IFERROR(__xludf.DUMMYFUNCTION("""COMPUTED_VALUE"""),"Brazil")</f>
        <v>Brazil</v>
      </c>
      <c r="D291" s="697" t="str">
        <f>IFERROR(__xludf.DUMMYFUNCTION("""COMPUTED_VALUE"""),"Praziquantel")</f>
        <v>Praziquantel</v>
      </c>
      <c r="E291" s="697">
        <f>IFERROR(__xludf.DUMMYFUNCTION("""COMPUTED_VALUE"""),3.0)</f>
        <v>3</v>
      </c>
      <c r="F291" s="697" t="str">
        <f>IFERROR(__xludf.DUMMYFUNCTION("""COMPUTED_VALUE"""),"60 mg/kg")</f>
        <v>60 mg/kg</v>
      </c>
      <c r="G291" s="697">
        <f>IFERROR(__xludf.DUMMYFUNCTION("""COMPUTED_VALUE"""),36.0)</f>
        <v>36</v>
      </c>
      <c r="H291" s="697" t="str">
        <f>IFERROR(__xludf.DUMMYFUNCTION("""COMPUTED_VALUE"""),"12-59")</f>
        <v>12-59</v>
      </c>
      <c r="I291" s="705" t="str">
        <f>IFERROR(__xludf.DUMMYFUNCTION("""COMPUTED_VALUE"""),"30-6")</f>
        <v>30-6</v>
      </c>
      <c r="J291" s="697">
        <f>IFERROR(__xludf.DUMMYFUNCTION("""COMPUTED_VALUE"""),2003.0)</f>
        <v>2003</v>
      </c>
      <c r="K291" s="697"/>
      <c r="L291" s="697" t="str">
        <f>IFERROR(__xludf.DUMMYFUNCTION("""COMPUTED_VALUE"""),"No")</f>
        <v>No</v>
      </c>
      <c r="M291" s="697" t="str">
        <f>IFERROR(__xludf.DUMMYFUNCTION("""COMPUTED_VALUE"""),"Yes")</f>
        <v>Yes</v>
      </c>
      <c r="N291" s="697">
        <f>IFERROR(__xludf.DUMMYFUNCTION("""COMPUTED_VALUE"""),180.0)</f>
        <v>180</v>
      </c>
      <c r="O291" s="874">
        <f>IFERROR(__xludf.DUMMYFUNCTION("""COMPUTED_VALUE"""),1.0)</f>
        <v>1</v>
      </c>
      <c r="P291" s="698">
        <f>IFERROR(__xludf.DUMMYFUNCTION("""COMPUTED_VALUE"""),0.772)</f>
        <v>0.772</v>
      </c>
      <c r="Q291" s="697" t="str">
        <f>IFERROR(__xludf.DUMMYFUNCTION("""COMPUTED_VALUE"""),"raziquantel was significantly more effective than oxamniquine in treating S. mansoni infection. The oogram was markedly more sensitive than stool examinations in detecting S. mansoni eggs and should be recommended for use in clinical trials with schistoso"&amp;"micides.")</f>
        <v>raziquantel was significantly more effective than oxamniquine in treating S. mansoni infection. The oogram was markedly more sensitive than stool examinations in detecting S. mansoni eggs and should be recommended for use in clinical trials with schistosomicides.</v>
      </c>
      <c r="R291" s="697" t="str">
        <f>IFERROR(__xludf.DUMMYFUNCTION("""COMPUTED_VALUE"""),"This study has already been recorded, I was just used it for practice.")</f>
        <v>This study has already been recorded, I was just used it for practice.</v>
      </c>
      <c r="S291" s="697" t="str">
        <f>IFERROR(__xludf.DUMMYFUNCTION("""COMPUTED_VALUE"""),"Ferrari, M. L. A., Coelho, P. M. Z., Antunes, C. M. F., Tavares, C. A. P., &amp; da Cunha, A. S. (2003). Efficacy of oxamniquine and praziquantel in the treatment of Schistosoma mansoni infection: a controlled trial. Bulletin of the World Health Organization,"&amp;" 81(3), 190–196.")</f>
        <v>Ferrari, M. L. A., Coelho, P. M. Z., Antunes, C. M. F., Tavares, C. A. P., &amp; da Cunha, A. S. (2003). Efficacy of oxamniquine and praziquantel in the treatment of Schistosoma mansoni infection: a controlled trial. Bulletin of the World Health Organization, 81(3), 190–196.</v>
      </c>
      <c r="T291" s="699" t="str">
        <f>IFERROR(__xludf.DUMMYFUNCTION("""COMPUTED_VALUE"""),"https://www.ncbi.nlm.nih.gov/pmc/articles/PMC2572425/")</f>
        <v>https://www.ncbi.nlm.nih.gov/pmc/articles/PMC2572425/</v>
      </c>
      <c r="U291" s="697" t="str">
        <f>IFERROR(__xludf.DUMMYFUNCTION("""COMPUTED_VALUE"""),"")</f>
        <v/>
      </c>
      <c r="V291" s="697">
        <f>IFERROR(__xludf.DUMMYFUNCTION("""COMPUTED_VALUE"""),291.0)</f>
        <v>291</v>
      </c>
    </row>
    <row r="292">
      <c r="A292" s="697" t="str">
        <f>IFERROR(__xludf.DUMMYFUNCTION("""COMPUTED_VALUE"""),"Ferrari MT")</f>
        <v>Ferrari MT</v>
      </c>
      <c r="B292" s="697" t="str">
        <f>IFERROR(__xludf.DUMMYFUNCTION("""COMPUTED_VALUE"""),"s. mansoni")</f>
        <v>s. mansoni</v>
      </c>
      <c r="C292" s="697" t="str">
        <f>IFERROR(__xludf.DUMMYFUNCTION("""COMPUTED_VALUE"""),"Brazil")</f>
        <v>Brazil</v>
      </c>
      <c r="D292" s="697" t="str">
        <f>IFERROR(__xludf.DUMMYFUNCTION("""COMPUTED_VALUE"""),"Oxamniquine &amp; placebo")</f>
        <v>Oxamniquine &amp; placebo</v>
      </c>
      <c r="E292" s="697" t="str">
        <f>IFERROR(__xludf.DUMMYFUNCTION("""COMPUTED_VALUE"""),"1+ 2")</f>
        <v>1+ 2</v>
      </c>
      <c r="F292" s="697" t="str">
        <f>IFERROR(__xludf.DUMMYFUNCTION("""COMPUTED_VALUE"""),"10 mg/kg Oxaminquine")</f>
        <v>10 mg/kg Oxaminquine</v>
      </c>
      <c r="G292" s="697">
        <f>IFERROR(__xludf.DUMMYFUNCTION("""COMPUTED_VALUE"""),34.0)</f>
        <v>34</v>
      </c>
      <c r="H292" s="697" t="str">
        <f>IFERROR(__xludf.DUMMYFUNCTION("""COMPUTED_VALUE"""),"13-51")</f>
        <v>13-51</v>
      </c>
      <c r="I292" s="705" t="str">
        <f>IFERROR(__xludf.DUMMYFUNCTION("""COMPUTED_VALUE"""),"22-12")</f>
        <v>22-12</v>
      </c>
      <c r="J292" s="697">
        <f>IFERROR(__xludf.DUMMYFUNCTION("""COMPUTED_VALUE"""),2003.0)</f>
        <v>2003</v>
      </c>
      <c r="K292" s="697"/>
      <c r="L292" s="697" t="str">
        <f>IFERROR(__xludf.DUMMYFUNCTION("""COMPUTED_VALUE"""),"No")</f>
        <v>No</v>
      </c>
      <c r="M292" s="697" t="str">
        <f>IFERROR(__xludf.DUMMYFUNCTION("""COMPUTED_VALUE"""),"Yes")</f>
        <v>Yes</v>
      </c>
      <c r="N292" s="697">
        <f>IFERROR(__xludf.DUMMYFUNCTION("""COMPUTED_VALUE"""),180.0)</f>
        <v>180</v>
      </c>
      <c r="O292" s="874">
        <f>IFERROR(__xludf.DUMMYFUNCTION("""COMPUTED_VALUE"""),0.903)</f>
        <v>0.903</v>
      </c>
      <c r="P292" s="706">
        <f>IFERROR(__xludf.DUMMYFUNCTION("""COMPUTED_VALUE"""),0.811)</f>
        <v>0.811</v>
      </c>
      <c r="Q292" s="697" t="str">
        <f>IFERROR(__xludf.DUMMYFUNCTION("""COMPUTED_VALUE"""),"raziquantel was significantly more effective than oxamniquine in treating S. mansoni infection. The oogram was markedly more sensitive than stool examinations in detecting S. mansoni eggs and should be recommended for use in clinical trials with schistoso"&amp;"micides.")</f>
        <v>raziquantel was significantly more effective than oxamniquine in treating S. mansoni infection. The oogram was markedly more sensitive than stool examinations in detecting S. mansoni eggs and should be recommended for use in clinical trials with schistosomicides.</v>
      </c>
      <c r="R292" s="697" t="str">
        <f>IFERROR(__xludf.DUMMYFUNCTION("""COMPUTED_VALUE"""),"This study has already been recorded, I was just used it for practice")</f>
        <v>This study has already been recorded, I was just used it for practice</v>
      </c>
      <c r="S292" s="697" t="str">
        <f>IFERROR(__xludf.DUMMYFUNCTION("""COMPUTED_VALUE"""),"Ferrari, M. L. A., Coelho, P. M. Z., Antunes, C. M. F., Tavares, C. A. P., &amp; da Cunha, A. S. (2003). Efficacy of oxamniquine and praziquantel in the treatment of Schistosoma mansoni infection: a controlled trial. Bulletin of the World Health Organization,"&amp;" 81(3), 190–196.")</f>
        <v>Ferrari, M. L. A., Coelho, P. M. Z., Antunes, C. M. F., Tavares, C. A. P., &amp; da Cunha, A. S. (2003). Efficacy of oxamniquine and praziquantel in the treatment of Schistosoma mansoni infection: a controlled trial. Bulletin of the World Health Organization, 81(3), 190–196.</v>
      </c>
      <c r="T292" s="699" t="str">
        <f>IFERROR(__xludf.DUMMYFUNCTION("""COMPUTED_VALUE"""),"https://www.ncbi.nlm.nih.gov/pmc/articles/PMC2572425/")</f>
        <v>https://www.ncbi.nlm.nih.gov/pmc/articles/PMC2572425/</v>
      </c>
      <c r="U292" s="697" t="str">
        <f>IFERROR(__xludf.DUMMYFUNCTION("""COMPUTED_VALUE"""),"")</f>
        <v/>
      </c>
      <c r="V292" s="697">
        <f>IFERROR(__xludf.DUMMYFUNCTION("""COMPUTED_VALUE"""),292.0)</f>
        <v>292</v>
      </c>
    </row>
    <row r="293">
      <c r="A293" s="697" t="str">
        <f>IFERROR(__xludf.DUMMYFUNCTION("""COMPUTED_VALUE"""),"Ferrari MT")</f>
        <v>Ferrari MT</v>
      </c>
      <c r="B293" s="697" t="str">
        <f>IFERROR(__xludf.DUMMYFUNCTION("""COMPUTED_VALUE"""),"s. mansoni")</f>
        <v>s. mansoni</v>
      </c>
      <c r="C293" s="697" t="str">
        <f>IFERROR(__xludf.DUMMYFUNCTION("""COMPUTED_VALUE"""),"Brazil")</f>
        <v>Brazil</v>
      </c>
      <c r="D293" s="697" t="str">
        <f>IFERROR(__xludf.DUMMYFUNCTION("""COMPUTED_VALUE"""),"Placebo")</f>
        <v>Placebo</v>
      </c>
      <c r="E293" s="697">
        <f>IFERROR(__xludf.DUMMYFUNCTION("""COMPUTED_VALUE"""),3.0)</f>
        <v>3</v>
      </c>
      <c r="F293" s="697"/>
      <c r="G293" s="697">
        <f>IFERROR(__xludf.DUMMYFUNCTION("""COMPUTED_VALUE"""),36.0)</f>
        <v>36</v>
      </c>
      <c r="H293" s="697" t="str">
        <f>IFERROR(__xludf.DUMMYFUNCTION("""COMPUTED_VALUE"""),"12-41")</f>
        <v>12-41</v>
      </c>
      <c r="I293" s="705" t="str">
        <f>IFERROR(__xludf.DUMMYFUNCTION("""COMPUTED_VALUE"""),"26-10")</f>
        <v>26-10</v>
      </c>
      <c r="J293" s="697">
        <f>IFERROR(__xludf.DUMMYFUNCTION("""COMPUTED_VALUE"""),2003.0)</f>
        <v>2003</v>
      </c>
      <c r="K293" s="697"/>
      <c r="L293" s="697" t="str">
        <f>IFERROR(__xludf.DUMMYFUNCTION("""COMPUTED_VALUE"""),"No")</f>
        <v>No</v>
      </c>
      <c r="M293" s="697" t="str">
        <f>IFERROR(__xludf.DUMMYFUNCTION("""COMPUTED_VALUE"""),"Yes")</f>
        <v>Yes</v>
      </c>
      <c r="N293" s="697">
        <f>IFERROR(__xludf.DUMMYFUNCTION("""COMPUTED_VALUE"""),180.0)</f>
        <v>180</v>
      </c>
      <c r="O293" s="871"/>
      <c r="P293" s="706">
        <f>IFERROR(__xludf.DUMMYFUNCTION("""COMPUTED_VALUE"""),0.0542)</f>
        <v>0.0542</v>
      </c>
      <c r="Q293" s="697" t="str">
        <f>IFERROR(__xludf.DUMMYFUNCTION("""COMPUTED_VALUE"""),"raziquantel was significantly more effective than oxamniquine in treating S. mansoni infection. The oogram was markedly more sensitive than stool examinations in detecting S. mansoni eggs and should be recommended for use in clinical trials with schistoso"&amp;"micides.")</f>
        <v>raziquantel was significantly more effective than oxamniquine in treating S. mansoni infection. The oogram was markedly more sensitive than stool examinations in detecting S. mansoni eggs and should be recommended for use in clinical trials with schistosomicides.</v>
      </c>
      <c r="R293" s="697" t="str">
        <f>IFERROR(__xludf.DUMMYFUNCTION("""COMPUTED_VALUE"""),"This study has already been recorded, I was just used it for practice")</f>
        <v>This study has already been recorded, I was just used it for practice</v>
      </c>
      <c r="S293" s="697" t="str">
        <f>IFERROR(__xludf.DUMMYFUNCTION("""COMPUTED_VALUE"""),"Ferrari, M. L. A., Coelho, P. M. Z., Antunes, C. M. F., Tavares, C. A. P., &amp; da Cunha, A. S. (2003). Efficacy of oxamniquine and praziquantel in the treatment of Schistosoma mansoni infection: a controlled trial. Bulletin of the World Health Organization,"&amp;" 81(3), 190–196.")</f>
        <v>Ferrari, M. L. A., Coelho, P. M. Z., Antunes, C. M. F., Tavares, C. A. P., &amp; da Cunha, A. S. (2003). Efficacy of oxamniquine and praziquantel in the treatment of Schistosoma mansoni infection: a controlled trial. Bulletin of the World Health Organization, 81(3), 190–196.</v>
      </c>
      <c r="T293" s="699" t="str">
        <f>IFERROR(__xludf.DUMMYFUNCTION("""COMPUTED_VALUE"""),"https://www.ncbi.nlm.nih.gov/pmc/articles/PMC2572425/")</f>
        <v>https://www.ncbi.nlm.nih.gov/pmc/articles/PMC2572425/</v>
      </c>
      <c r="U293" s="697" t="str">
        <f>IFERROR(__xludf.DUMMYFUNCTION("""COMPUTED_VALUE"""),"")</f>
        <v/>
      </c>
      <c r="V293" s="697">
        <f>IFERROR(__xludf.DUMMYFUNCTION("""COMPUTED_VALUE"""),293.0)</f>
        <v>293</v>
      </c>
    </row>
    <row r="294">
      <c r="A294" s="697" t="str">
        <f>IFERROR(__xludf.DUMMYFUNCTION("""COMPUTED_VALUE"""),"Nalugwa A.")</f>
        <v>Nalugwa A.</v>
      </c>
      <c r="B294" s="697" t="str">
        <f>IFERROR(__xludf.DUMMYFUNCTION("""COMPUTED_VALUE"""),"s. mansoni")</f>
        <v>s. mansoni</v>
      </c>
      <c r="C294" s="697" t="str">
        <f>IFERROR(__xludf.DUMMYFUNCTION("""COMPUTED_VALUE"""),"Uganda")</f>
        <v>Uganda</v>
      </c>
      <c r="D294" s="697" t="str">
        <f>IFERROR(__xludf.DUMMYFUNCTION("""COMPUTED_VALUE"""),"Praziquantel")</f>
        <v>Praziquantel</v>
      </c>
      <c r="E294" s="697" t="str">
        <f>IFERROR(__xludf.DUMMYFUNCTION("""COMPUTED_VALUE"""),"Single")</f>
        <v>Single</v>
      </c>
      <c r="F294" s="697" t="str">
        <f>IFERROR(__xludf.DUMMYFUNCTION("""COMPUTED_VALUE"""),"40 mg/kg")</f>
        <v>40 mg/kg</v>
      </c>
      <c r="G294" s="697">
        <f>IFERROR(__xludf.DUMMYFUNCTION("""COMPUTED_VALUE"""),509.0)</f>
        <v>509</v>
      </c>
      <c r="H294" s="704">
        <f>IFERROR(__xludf.DUMMYFUNCTION("""COMPUTED_VALUE"""),42740.0)</f>
        <v>42740</v>
      </c>
      <c r="I294" s="705" t="str">
        <f>IFERROR(__xludf.DUMMYFUNCTION("""COMPUTED_VALUE"""),"49.3%:51.7%")</f>
        <v>49.3%:51.7%</v>
      </c>
      <c r="J294" s="697">
        <f>IFERROR(__xludf.DUMMYFUNCTION("""COMPUTED_VALUE"""),2015.0)</f>
        <v>2015</v>
      </c>
      <c r="K294" s="697" t="str">
        <f>IFERROR(__xludf.DUMMYFUNCTION("""COMPUTED_VALUE"""),"Pre-school aged children who tested positive for s. mansoni")</f>
        <v>Pre-school aged children who tested positive for s. mansoni</v>
      </c>
      <c r="L294" s="697" t="str">
        <f>IFERROR(__xludf.DUMMYFUNCTION("""COMPUTED_VALUE"""),"Yes")</f>
        <v>Yes</v>
      </c>
      <c r="M294" s="697" t="str">
        <f>IFERROR(__xludf.DUMMYFUNCTION("""COMPUTED_VALUE"""),"Yes")</f>
        <v>Yes</v>
      </c>
      <c r="N294" s="697" t="str">
        <f>IFERROR(__xludf.DUMMYFUNCTION("""COMPUTED_VALUE"""),"1 month")</f>
        <v>1 month</v>
      </c>
      <c r="O294" s="874">
        <f>IFERROR(__xludf.DUMMYFUNCTION("""COMPUTED_VALUE"""),0.832)</f>
        <v>0.832</v>
      </c>
      <c r="P294" s="706">
        <f>IFERROR(__xludf.DUMMYFUNCTION("""COMPUTED_VALUE"""),0.989)</f>
        <v>0.989</v>
      </c>
      <c r="Q294" s="697" t="str">
        <f>IFERROR(__xludf.DUMMYFUNCTION("""COMPUTED_VALUE"""),"Two PZQ doses lead to significant reduction in egg excretion compared to a single dose. ")</f>
        <v>Two PZQ doses lead to significant reduction in egg excretion compared to a single dose. </v>
      </c>
      <c r="R294" s="697" t="str">
        <f>IFERROR(__xludf.DUMMYFUNCTION("""COMPUTED_VALUE"""),"This study was also recorded already.")</f>
        <v>This study was also recorded already.</v>
      </c>
      <c r="S294" s="697" t="str">
        <f>IFERROR(__xludf.DUMMYFUNCTION("""COMPUTED_VALUE"""),"Nalugwa, A., Nuwaha, F., Tukahebwa, E. M., &amp; Olsen, A. (2015). Single Versus Double Dose Praziquantel Comparison on Efficacy and Schistosoma mansoni Re-Infection in Preschool-Age Children in Uganda: A Randomized Controlled Trial. PLoS Neglected Tropical D"&amp;"iseases, 9(5), e0003796. http://doi.org/10.1371/journal.pntd.0003796")</f>
        <v>Nalugwa, A., Nuwaha, F., Tukahebwa, E. M., &amp; Olsen, A. (2015). Single Versus Double Dose Praziquantel Comparison on Efficacy and Schistosoma mansoni Re-Infection in Preschool-Age Children in Uganda: A Randomized Controlled Trial. PLoS Neglected Tropical Diseases, 9(5), e0003796. http://doi.org/10.1371/journal.pntd.0003796</v>
      </c>
      <c r="T294" s="699" t="str">
        <f>IFERROR(__xludf.DUMMYFUNCTION("""COMPUTED_VALUE"""),"https://www.ncbi.nlm.nih.gov/pmc/articles/PMC4444284/")</f>
        <v>https://www.ncbi.nlm.nih.gov/pmc/articles/PMC4444284/</v>
      </c>
      <c r="U294" s="697" t="str">
        <f>IFERROR(__xludf.DUMMYFUNCTION("""COMPUTED_VALUE"""),"")</f>
        <v/>
      </c>
      <c r="V294" s="697">
        <f>IFERROR(__xludf.DUMMYFUNCTION("""COMPUTED_VALUE"""),294.0)</f>
        <v>294</v>
      </c>
    </row>
    <row r="295">
      <c r="A295" s="697" t="str">
        <f>IFERROR(__xludf.DUMMYFUNCTION("""COMPUTED_VALUE"""),"Nalugwa A.")</f>
        <v>Nalugwa A.</v>
      </c>
      <c r="B295" s="697" t="str">
        <f>IFERROR(__xludf.DUMMYFUNCTION("""COMPUTED_VALUE"""),"s. mansoni")</f>
        <v>s. mansoni</v>
      </c>
      <c r="C295" s="697" t="str">
        <f>IFERROR(__xludf.DUMMYFUNCTION("""COMPUTED_VALUE"""),"Uganda")</f>
        <v>Uganda</v>
      </c>
      <c r="D295" s="697" t="str">
        <f>IFERROR(__xludf.DUMMYFUNCTION("""COMPUTED_VALUE"""),"Praziquantel")</f>
        <v>Praziquantel</v>
      </c>
      <c r="E295" s="697" t="str">
        <f>IFERROR(__xludf.DUMMYFUNCTION("""COMPUTED_VALUE"""),"Double")</f>
        <v>Double</v>
      </c>
      <c r="F295" s="697" t="str">
        <f>IFERROR(__xludf.DUMMYFUNCTION("""COMPUTED_VALUE"""),"40 mg/kg")</f>
        <v>40 mg/kg</v>
      </c>
      <c r="G295" s="697">
        <f>IFERROR(__xludf.DUMMYFUNCTION("""COMPUTED_VALUE"""),508.0)</f>
        <v>508</v>
      </c>
      <c r="H295" s="704">
        <f>IFERROR(__xludf.DUMMYFUNCTION("""COMPUTED_VALUE"""),42740.0)</f>
        <v>42740</v>
      </c>
      <c r="I295" s="705" t="str">
        <f>IFERROR(__xludf.DUMMYFUNCTION("""COMPUTED_VALUE"""),"54.3%:45.7%")</f>
        <v>54.3%:45.7%</v>
      </c>
      <c r="J295" s="697">
        <f>IFERROR(__xludf.DUMMYFUNCTION("""COMPUTED_VALUE"""),2015.0)</f>
        <v>2015</v>
      </c>
      <c r="K295" s="697" t="str">
        <f>IFERROR(__xludf.DUMMYFUNCTION("""COMPUTED_VALUE"""),"Pre-school aged children who tested positive for s. mansoni")</f>
        <v>Pre-school aged children who tested positive for s. mansoni</v>
      </c>
      <c r="L295" s="697" t="str">
        <f>IFERROR(__xludf.DUMMYFUNCTION("""COMPUTED_VALUE"""),"Yes")</f>
        <v>Yes</v>
      </c>
      <c r="M295" s="697" t="str">
        <f>IFERROR(__xludf.DUMMYFUNCTION("""COMPUTED_VALUE"""),"Yes")</f>
        <v>Yes</v>
      </c>
      <c r="N295" s="697" t="str">
        <f>IFERROR(__xludf.DUMMYFUNCTION("""COMPUTED_VALUE"""),"1 month")</f>
        <v>1 month</v>
      </c>
      <c r="O295" s="871" t="str">
        <f>IFERROR(__xludf.DUMMYFUNCTION("""COMPUTED_VALUE"""),"85.5%%")</f>
        <v>85.5%%</v>
      </c>
      <c r="P295" s="706">
        <f>IFERROR(__xludf.DUMMYFUNCTION("""COMPUTED_VALUE"""),0.993)</f>
        <v>0.993</v>
      </c>
      <c r="Q295" s="697" t="str">
        <f>IFERROR(__xludf.DUMMYFUNCTION("""COMPUTED_VALUE"""),"Two PZQ doses lead to significant reduction in egg excretion compared to a single dose. ")</f>
        <v>Two PZQ doses lead to significant reduction in egg excretion compared to a single dose. </v>
      </c>
      <c r="R295" s="697" t="str">
        <f>IFERROR(__xludf.DUMMYFUNCTION("""COMPUTED_VALUE"""),"This study was also recorded already.")</f>
        <v>This study was also recorded already.</v>
      </c>
      <c r="S295" s="697" t="str">
        <f>IFERROR(__xludf.DUMMYFUNCTION("""COMPUTED_VALUE"""),"Nalugwa, A., Nuwaha, F., Tukahebwa, E. M., &amp; Olsen, A. (2015). Single Versus Double Dose Praziquantel Comparison on Efficacy and Schistosoma mansoni Re-Infection in Preschool-Age Children in Uganda: A Randomized Controlled Trial. PLoS Neglected Tropical D"&amp;"iseases, 9(5), e0003796. http://doi.org/10.1371/journal.pntd.0003796")</f>
        <v>Nalugwa, A., Nuwaha, F., Tukahebwa, E. M., &amp; Olsen, A. (2015). Single Versus Double Dose Praziquantel Comparison on Efficacy and Schistosoma mansoni Re-Infection in Preschool-Age Children in Uganda: A Randomized Controlled Trial. PLoS Neglected Tropical Diseases, 9(5), e0003796. http://doi.org/10.1371/journal.pntd.0003796</v>
      </c>
      <c r="T295" s="699" t="str">
        <f>IFERROR(__xludf.DUMMYFUNCTION("""COMPUTED_VALUE"""),"https://www.ncbi.nlm.nih.gov/pmc/articles/PMC4444284/")</f>
        <v>https://www.ncbi.nlm.nih.gov/pmc/articles/PMC4444284/</v>
      </c>
      <c r="U295" s="697" t="str">
        <f>IFERROR(__xludf.DUMMYFUNCTION("""COMPUTED_VALUE"""),"")</f>
        <v/>
      </c>
      <c r="V295" s="697">
        <f>IFERROR(__xludf.DUMMYFUNCTION("""COMPUTED_VALUE"""),295.0)</f>
        <v>295</v>
      </c>
    </row>
    <row r="296">
      <c r="A296" s="697"/>
      <c r="B296" s="697"/>
      <c r="C296" s="697"/>
      <c r="D296" s="697"/>
      <c r="E296" s="697"/>
      <c r="F296" s="697"/>
      <c r="G296" s="697"/>
      <c r="H296" s="697"/>
      <c r="I296" s="697"/>
      <c r="J296" s="697"/>
      <c r="K296" s="697"/>
      <c r="L296" s="697"/>
      <c r="M296" s="697"/>
      <c r="N296" s="697"/>
      <c r="O296" s="871"/>
      <c r="P296" s="697"/>
      <c r="Q296" s="697"/>
      <c r="R296" s="697"/>
      <c r="S296" s="697"/>
      <c r="T296" s="697"/>
      <c r="U296" s="697" t="str">
        <f>IFERROR(__xludf.DUMMYFUNCTION("""COMPUTED_VALUE"""),"")</f>
        <v/>
      </c>
      <c r="V296" s="697">
        <f>IFERROR(__xludf.DUMMYFUNCTION("""COMPUTED_VALUE"""),296.0)</f>
        <v>296</v>
      </c>
    </row>
    <row r="297">
      <c r="A297" s="697"/>
      <c r="B297" s="697"/>
      <c r="C297" s="697"/>
      <c r="D297" s="697"/>
      <c r="E297" s="697"/>
      <c r="F297" s="697"/>
      <c r="G297" s="697"/>
      <c r="H297" s="697"/>
      <c r="I297" s="697"/>
      <c r="J297" s="697"/>
      <c r="K297" s="697"/>
      <c r="L297" s="697"/>
      <c r="M297" s="697"/>
      <c r="N297" s="697"/>
      <c r="O297" s="871"/>
      <c r="P297" s="697"/>
      <c r="Q297" s="697"/>
      <c r="R297" s="697"/>
      <c r="S297" s="697"/>
      <c r="T297" s="697"/>
      <c r="U297" s="697" t="str">
        <f>IFERROR(__xludf.DUMMYFUNCTION("""COMPUTED_VALUE"""),"")</f>
        <v/>
      </c>
      <c r="V297" s="697">
        <f>IFERROR(__xludf.DUMMYFUNCTION("""COMPUTED_VALUE"""),297.0)</f>
        <v>297</v>
      </c>
    </row>
    <row r="298">
      <c r="A298" s="697" t="str">
        <f>IFERROR(__xludf.DUMMYFUNCTION("""COMPUTED_VALUE"""),"Meta Analyses (exclude)")</f>
        <v>Meta Analyses (exclude)</v>
      </c>
      <c r="B298" s="697"/>
      <c r="C298" s="697"/>
      <c r="D298" s="697"/>
      <c r="E298" s="697"/>
      <c r="F298" s="697"/>
      <c r="G298" s="697"/>
      <c r="H298" s="697"/>
      <c r="I298" s="697"/>
      <c r="J298" s="697"/>
      <c r="K298" s="697"/>
      <c r="L298" s="697"/>
      <c r="M298" s="697"/>
      <c r="N298" s="697"/>
      <c r="O298" s="871"/>
      <c r="P298" s="697"/>
      <c r="Q298" s="697"/>
      <c r="R298" s="697"/>
      <c r="S298" s="697"/>
      <c r="T298" s="697"/>
      <c r="U298" s="697" t="str">
        <f>IFERROR(__xludf.DUMMYFUNCTION("""COMPUTED_VALUE"""),"")</f>
        <v/>
      </c>
      <c r="V298" s="697">
        <f>IFERROR(__xludf.DUMMYFUNCTION("""COMPUTED_VALUE"""),298.0)</f>
        <v>298</v>
      </c>
    </row>
    <row r="299">
      <c r="A299" s="697" t="str">
        <f>IFERROR(__xludf.DUMMYFUNCTION("""COMPUTED_VALUE"""),"Key colours")</f>
        <v>Key colours</v>
      </c>
      <c r="B299" s="697" t="str">
        <f>IFERROR(__xludf.DUMMYFUNCTION("""COMPUTED_VALUE"""),"Missing data")</f>
        <v>Missing data</v>
      </c>
      <c r="C299" s="697" t="str">
        <f>IFERROR(__xludf.DUMMYFUNCTION("""COMPUTED_VALUE"""),"Unchecked")</f>
        <v>Unchecked</v>
      </c>
      <c r="D299" s="697"/>
      <c r="E299" s="697"/>
      <c r="F299" s="697"/>
      <c r="G299" s="697" t="str">
        <f>IFERROR(__xludf.DUMMYFUNCTION("""COMPUTED_VALUE"""),"Less than 30")</f>
        <v>Less than 30</v>
      </c>
      <c r="H299" s="697"/>
      <c r="I299" s="697" t="str">
        <f>IFERROR(__xludf.DUMMYFUNCTION("""COMPUTED_VALUE"""),"Unusual patient group")</f>
        <v>Unusual patient group</v>
      </c>
      <c r="J299" s="697" t="str">
        <f>IFERROR(__xludf.DUMMYFUNCTION("""COMPUTED_VALUE"""),"Older than 2000")</f>
        <v>Older than 2000</v>
      </c>
      <c r="K299" s="697"/>
      <c r="L299" s="697" t="str">
        <f>IFERROR(__xludf.DUMMYFUNCTION("""COMPUTED_VALUE"""),"No blind")</f>
        <v>No blind</v>
      </c>
      <c r="M299" s="697" t="str">
        <f>IFERROR(__xludf.DUMMYFUNCTION("""COMPUTED_VALUE"""),"Non-RCT")</f>
        <v>Non-RCT</v>
      </c>
      <c r="N299" s="697"/>
      <c r="O299" s="871"/>
      <c r="P299" s="697"/>
      <c r="Q299" s="697"/>
      <c r="R299" s="697"/>
      <c r="S299" s="697"/>
      <c r="T299" s="697"/>
      <c r="U299" s="697" t="str">
        <f>IFERROR(__xludf.DUMMYFUNCTION("""COMPUTED_VALUE"""),"")</f>
        <v/>
      </c>
      <c r="V299" s="697">
        <f>IFERROR(__xludf.DUMMYFUNCTION("""COMPUTED_VALUE"""),299.0)</f>
        <v>299</v>
      </c>
    </row>
    <row r="300">
      <c r="A300" s="697" t="str">
        <f>IFERROR(__xludf.DUMMYFUNCTION("""COMPUTED_VALUE"""),"Before 1990")</f>
        <v>Before 1990</v>
      </c>
      <c r="B300" s="697"/>
      <c r="C300" s="697"/>
      <c r="D300" s="697"/>
      <c r="E300" s="697"/>
      <c r="F300" s="697"/>
      <c r="G300" s="697"/>
      <c r="H300" s="697"/>
      <c r="I300" s="697"/>
      <c r="J300" s="697"/>
      <c r="K300" s="697"/>
      <c r="L300" s="697"/>
      <c r="M300" s="697"/>
      <c r="N300" s="697"/>
      <c r="O300" s="871"/>
      <c r="P300" s="697"/>
      <c r="Q300" s="697"/>
      <c r="R300" s="697"/>
      <c r="S300" s="697"/>
      <c r="T300" s="697"/>
      <c r="U300" s="697" t="str">
        <f>IFERROR(__xludf.DUMMYFUNCTION("""COMPUTED_VALUE"""),"")</f>
        <v/>
      </c>
      <c r="V300" s="697">
        <f>IFERROR(__xludf.DUMMYFUNCTION("""COMPUTED_VALUE"""),300.0)</f>
        <v>300</v>
      </c>
    </row>
    <row r="301">
      <c r="A301" s="697" t="str">
        <f>IFERROR(__xludf.DUMMYFUNCTION("""COMPUTED_VALUE"""),"1990-2000")</f>
        <v>1990-2000</v>
      </c>
      <c r="B301" s="697"/>
      <c r="C301" s="697"/>
      <c r="D301" s="697"/>
      <c r="E301" s="697"/>
      <c r="F301" s="697"/>
      <c r="G301" s="697"/>
      <c r="H301" s="697"/>
      <c r="I301" s="697"/>
      <c r="J301" s="697"/>
      <c r="K301" s="697"/>
      <c r="L301" s="697"/>
      <c r="M301" s="697"/>
      <c r="N301" s="697"/>
      <c r="O301" s="871"/>
      <c r="P301" s="697"/>
      <c r="Q301" s="697"/>
      <c r="R301" s="697"/>
      <c r="S301" s="697"/>
      <c r="T301" s="697"/>
      <c r="U301" s="697" t="str">
        <f>IFERROR(__xludf.DUMMYFUNCTION("""COMPUTED_VALUE"""),"")</f>
        <v/>
      </c>
      <c r="V301" s="697">
        <f>IFERROR(__xludf.DUMMYFUNCTION("""COMPUTED_VALUE"""),301.0)</f>
        <v>301</v>
      </c>
    </row>
    <row r="302">
      <c r="A302" s="697" t="str">
        <f>IFERROR(__xludf.DUMMYFUNCTION("""COMPUTED_VALUE"""),"2000-present")</f>
        <v>2000-present</v>
      </c>
      <c r="B302" s="697"/>
      <c r="C302" s="697"/>
      <c r="D302" s="697"/>
      <c r="E302" s="697"/>
      <c r="F302" s="697"/>
      <c r="G302" s="697"/>
      <c r="H302" s="697"/>
      <c r="I302" s="697"/>
      <c r="J302" s="697"/>
      <c r="K302" s="697"/>
      <c r="L302" s="697"/>
      <c r="M302" s="697"/>
      <c r="N302" s="697"/>
      <c r="O302" s="871"/>
      <c r="P302" s="697"/>
      <c r="Q302" s="697"/>
      <c r="R302" s="697"/>
      <c r="S302" s="697"/>
      <c r="T302" s="697"/>
      <c r="U302" s="697" t="str">
        <f>IFERROR(__xludf.DUMMYFUNCTION("""COMPUTED_VALUE"""),"")</f>
        <v/>
      </c>
      <c r="V302" s="697">
        <f>IFERROR(__xludf.DUMMYFUNCTION("""COMPUTED_VALUE"""),302.0)</f>
        <v>302</v>
      </c>
    </row>
    <row r="303">
      <c r="A303" s="697" t="str">
        <f>IFERROR(__xludf.DUMMYFUNCTION("""COMPUTED_VALUE"""),"Pregnant Women")</f>
        <v>Pregnant Women</v>
      </c>
      <c r="B303" s="697"/>
      <c r="C303" s="697"/>
      <c r="D303" s="697"/>
      <c r="E303" s="697"/>
      <c r="F303" s="697"/>
      <c r="G303" s="697"/>
      <c r="H303" s="697"/>
      <c r="I303" s="697"/>
      <c r="J303" s="697"/>
      <c r="K303" s="697"/>
      <c r="L303" s="697"/>
      <c r="M303" s="697"/>
      <c r="N303" s="697"/>
      <c r="O303" s="871"/>
      <c r="P303" s="697"/>
      <c r="Q303" s="697"/>
      <c r="R303" s="697"/>
      <c r="S303" s="697"/>
      <c r="T303" s="697"/>
      <c r="U303" s="697" t="str">
        <f>IFERROR(__xludf.DUMMYFUNCTION("""COMPUTED_VALUE"""),"")</f>
        <v/>
      </c>
      <c r="V303" s="697">
        <f>IFERROR(__xludf.DUMMYFUNCTION("""COMPUTED_VALUE"""),303.0)</f>
        <v>303</v>
      </c>
    </row>
    <row r="304">
      <c r="A304" s="697" t="str">
        <f>IFERROR(__xludf.DUMMYFUNCTION("""COMPUTED_VALUE"""),"only woman")</f>
        <v>only woman</v>
      </c>
      <c r="B304" s="697"/>
      <c r="C304" s="697" t="str">
        <f>IFERROR(__xludf.DUMMYFUNCTION("""COMPUTED_VALUE"""),"-")</f>
        <v>-</v>
      </c>
      <c r="D304" s="697"/>
      <c r="E304" s="697"/>
      <c r="F304" s="697"/>
      <c r="G304" s="697"/>
      <c r="H304" s="697"/>
      <c r="I304" s="697"/>
      <c r="J304" s="697"/>
      <c r="K304" s="697"/>
      <c r="L304" s="697"/>
      <c r="M304" s="697"/>
      <c r="N304" s="697"/>
      <c r="O304" s="871"/>
      <c r="P304" s="697"/>
      <c r="Q304" s="697"/>
      <c r="R304" s="697"/>
      <c r="S304" s="697"/>
      <c r="T304" s="697"/>
      <c r="U304" s="697" t="str">
        <f>IFERROR(__xludf.DUMMYFUNCTION("""COMPUTED_VALUE"""),"")</f>
        <v/>
      </c>
      <c r="V304" s="697">
        <f>IFERROR(__xludf.DUMMYFUNCTION("""COMPUTED_VALUE"""),304.0)</f>
        <v>304</v>
      </c>
    </row>
    <row r="305">
      <c r="A305" s="697" t="str">
        <f>IFERROR(__xludf.DUMMYFUNCTION("""COMPUTED_VALUE"""),"only men")</f>
        <v>only men</v>
      </c>
      <c r="B305" s="697"/>
      <c r="C305" s="697"/>
      <c r="D305" s="697"/>
      <c r="E305" s="697"/>
      <c r="F305" s="697"/>
      <c r="G305" s="697"/>
      <c r="H305" s="697"/>
      <c r="I305" s="697"/>
      <c r="J305" s="697"/>
      <c r="K305" s="697"/>
      <c r="L305" s="697"/>
      <c r="M305" s="697"/>
      <c r="N305" s="697"/>
      <c r="O305" s="871"/>
      <c r="P305" s="697"/>
      <c r="Q305" s="697"/>
      <c r="R305" s="697"/>
      <c r="S305" s="697"/>
      <c r="T305" s="697"/>
      <c r="U305" s="697" t="str">
        <f>IFERROR(__xludf.DUMMYFUNCTION("""COMPUTED_VALUE"""),"")</f>
        <v/>
      </c>
      <c r="V305" s="697">
        <f>IFERROR(__xludf.DUMMYFUNCTION("""COMPUTED_VALUE"""),305.0)</f>
        <v>305</v>
      </c>
    </row>
    <row r="306">
      <c r="A306" s="697" t="str">
        <f>IFERROR(__xludf.DUMMYFUNCTION("""COMPUTED_VALUE"""),"randomized controlled study")</f>
        <v>randomized controlled study</v>
      </c>
      <c r="B306" s="697"/>
      <c r="C306" s="697"/>
      <c r="D306" s="697"/>
      <c r="E306" s="697"/>
      <c r="F306" s="697"/>
      <c r="G306" s="697"/>
      <c r="H306" s="697"/>
      <c r="I306" s="697"/>
      <c r="J306" s="697"/>
      <c r="K306" s="697"/>
      <c r="L306" s="697"/>
      <c r="M306" s="697"/>
      <c r="N306" s="697"/>
      <c r="O306" s="871"/>
      <c r="P306" s="697"/>
      <c r="Q306" s="697"/>
      <c r="R306" s="697"/>
      <c r="S306" s="697"/>
      <c r="T306" s="697"/>
      <c r="U306" s="697" t="str">
        <f>IFERROR(__xludf.DUMMYFUNCTION("""COMPUTED_VALUE"""),"")</f>
        <v/>
      </c>
      <c r="V306" s="697">
        <f>IFERROR(__xludf.DUMMYFUNCTION("""COMPUTED_VALUE"""),306.0)</f>
        <v>306</v>
      </c>
    </row>
    <row r="307">
      <c r="A307" s="697" t="str">
        <f>IFERROR(__xludf.DUMMYFUNCTION("""COMPUTED_VALUE"""),"NOT randomized controlled study")</f>
        <v>NOT randomized controlled study</v>
      </c>
      <c r="B307" s="697"/>
      <c r="C307" s="697"/>
      <c r="D307" s="697"/>
      <c r="E307" s="697"/>
      <c r="F307" s="697"/>
      <c r="G307" s="697"/>
      <c r="H307" s="697"/>
      <c r="I307" s="697"/>
      <c r="J307" s="697"/>
      <c r="K307" s="697"/>
      <c r="L307" s="697"/>
      <c r="M307" s="697"/>
      <c r="N307" s="697"/>
      <c r="O307" s="871"/>
      <c r="P307" s="697"/>
      <c r="Q307" s="697"/>
      <c r="R307" s="697"/>
      <c r="S307" s="697"/>
      <c r="T307" s="697"/>
      <c r="U307" s="697" t="str">
        <f>IFERROR(__xludf.DUMMYFUNCTION("""COMPUTED_VALUE"""),"")</f>
        <v/>
      </c>
      <c r="V307" s="697">
        <f>IFERROR(__xludf.DUMMYFUNCTION("""COMPUTED_VALUE"""),307.0)</f>
        <v>307</v>
      </c>
    </row>
    <row r="308">
      <c r="A308" s="697" t="str">
        <f>IFERROR(__xludf.DUMMYFUNCTION("""COMPUTED_VALUE"""),"Placebo")</f>
        <v>Placebo</v>
      </c>
      <c r="B308" s="697"/>
      <c r="C308" s="697"/>
      <c r="D308" s="697"/>
      <c r="E308" s="697"/>
      <c r="F308" s="697"/>
      <c r="G308" s="697"/>
      <c r="H308" s="697"/>
      <c r="I308" s="697"/>
      <c r="J308" s="697"/>
      <c r="K308" s="697"/>
      <c r="L308" s="697"/>
      <c r="M308" s="697"/>
      <c r="N308" s="697"/>
      <c r="O308" s="871"/>
      <c r="P308" s="697"/>
      <c r="Q308" s="697"/>
      <c r="R308" s="697"/>
      <c r="S308" s="697"/>
      <c r="T308" s="697"/>
      <c r="U308" s="697" t="str">
        <f>IFERROR(__xludf.DUMMYFUNCTION("""COMPUTED_VALUE"""),"")</f>
        <v/>
      </c>
      <c r="V308" s="697">
        <f>IFERROR(__xludf.DUMMYFUNCTION("""COMPUTED_VALUE"""),308.0)</f>
        <v>308</v>
      </c>
    </row>
    <row r="309">
      <c r="A309" s="697" t="str">
        <f>IFERROR(__xludf.DUMMYFUNCTION("""COMPUTED_VALUE"""),"Sample Size: 0-100")</f>
        <v>Sample Size: 0-100</v>
      </c>
      <c r="B309" s="697"/>
      <c r="C309" s="697"/>
      <c r="D309" s="697"/>
      <c r="E309" s="697"/>
      <c r="F309" s="697"/>
      <c r="G309" s="697"/>
      <c r="H309" s="697"/>
      <c r="I309" s="697"/>
      <c r="J309" s="697"/>
      <c r="K309" s="697"/>
      <c r="L309" s="697"/>
      <c r="M309" s="697"/>
      <c r="N309" s="697"/>
      <c r="O309" s="871"/>
      <c r="P309" s="697"/>
      <c r="Q309" s="697"/>
      <c r="R309" s="697"/>
      <c r="S309" s="697"/>
      <c r="T309" s="697"/>
      <c r="U309" s="697" t="str">
        <f>IFERROR(__xludf.DUMMYFUNCTION("""COMPUTED_VALUE"""),"")</f>
        <v/>
      </c>
      <c r="V309" s="697">
        <f>IFERROR(__xludf.DUMMYFUNCTION("""COMPUTED_VALUE"""),309.0)</f>
        <v>309</v>
      </c>
    </row>
    <row r="310">
      <c r="A310" s="697" t="str">
        <f>IFERROR(__xludf.DUMMYFUNCTION("""COMPUTED_VALUE"""),"Sample Size: 100-500")</f>
        <v>Sample Size: 100-500</v>
      </c>
      <c r="B310" s="697"/>
      <c r="C310" s="697"/>
      <c r="D310" s="697"/>
      <c r="E310" s="697"/>
      <c r="F310" s="697"/>
      <c r="G310" s="697"/>
      <c r="H310" s="697"/>
      <c r="I310" s="697"/>
      <c r="J310" s="697"/>
      <c r="K310" s="697"/>
      <c r="L310" s="697"/>
      <c r="M310" s="697"/>
      <c r="N310" s="697"/>
      <c r="O310" s="871"/>
      <c r="P310" s="697"/>
      <c r="Q310" s="697"/>
      <c r="R310" s="697"/>
      <c r="S310" s="697"/>
      <c r="T310" s="697"/>
      <c r="U310" s="697" t="str">
        <f>IFERROR(__xludf.DUMMYFUNCTION("""COMPUTED_VALUE"""),"")</f>
        <v/>
      </c>
      <c r="V310" s="697">
        <f>IFERROR(__xludf.DUMMYFUNCTION("""COMPUTED_VALUE"""),310.0)</f>
        <v>310</v>
      </c>
    </row>
    <row r="311">
      <c r="A311" s="697" t="str">
        <f>IFERROR(__xludf.DUMMYFUNCTION("""COMPUTED_VALUE"""),"Sample Size: 500- and up")</f>
        <v>Sample Size: 500- and up</v>
      </c>
      <c r="B311" s="697"/>
      <c r="C311" s="697"/>
      <c r="D311" s="697"/>
      <c r="E311" s="697"/>
      <c r="F311" s="697"/>
      <c r="G311" s="697"/>
      <c r="H311" s="697"/>
      <c r="I311" s="697"/>
      <c r="J311" s="697"/>
      <c r="K311" s="697"/>
      <c r="L311" s="697"/>
      <c r="M311" s="697"/>
      <c r="N311" s="697"/>
      <c r="O311" s="871"/>
      <c r="P311" s="697"/>
      <c r="Q311" s="697"/>
      <c r="R311" s="697"/>
      <c r="S311" s="697"/>
      <c r="T311" s="697"/>
      <c r="U311" s="697" t="str">
        <f>IFERROR(__xludf.DUMMYFUNCTION("""COMPUTED_VALUE"""),"")</f>
        <v/>
      </c>
      <c r="V311" s="697">
        <f>IFERROR(__xludf.DUMMYFUNCTION("""COMPUTED_VALUE"""),311.0)</f>
        <v>311</v>
      </c>
    </row>
    <row r="312">
      <c r="A312" s="697" t="str">
        <f>IFERROR(__xludf.DUMMYFUNCTION("""COMPUTED_VALUE"""),"Adults(older than 18)")</f>
        <v>Adults(older than 18)</v>
      </c>
      <c r="B312" s="697"/>
      <c r="C312" s="697"/>
      <c r="D312" s="697"/>
      <c r="E312" s="697"/>
      <c r="F312" s="697"/>
      <c r="G312" s="697"/>
      <c r="H312" s="697"/>
      <c r="I312" s="697"/>
      <c r="J312" s="697"/>
      <c r="K312" s="697"/>
      <c r="L312" s="697"/>
      <c r="M312" s="697"/>
      <c r="N312" s="697"/>
      <c r="O312" s="871"/>
      <c r="P312" s="697"/>
      <c r="Q312" s="697"/>
      <c r="R312" s="697"/>
      <c r="S312" s="697"/>
      <c r="T312" s="697"/>
      <c r="U312" s="697" t="str">
        <f>IFERROR(__xludf.DUMMYFUNCTION("""COMPUTED_VALUE"""),"")</f>
        <v/>
      </c>
      <c r="V312" s="697">
        <f>IFERROR(__xludf.DUMMYFUNCTION("""COMPUTED_VALUE"""),312.0)</f>
        <v>312</v>
      </c>
    </row>
    <row r="313">
      <c r="A313" s="697" t="str">
        <f>IFERROR(__xludf.DUMMYFUNCTION("""COMPUTED_VALUE"""),"School Children and Adults")</f>
        <v>School Children and Adults</v>
      </c>
      <c r="B313" s="697"/>
      <c r="C313" s="697"/>
      <c r="D313" s="697"/>
      <c r="E313" s="697"/>
      <c r="F313" s="697"/>
      <c r="G313" s="697"/>
      <c r="H313" s="697"/>
      <c r="I313" s="697"/>
      <c r="J313" s="697"/>
      <c r="K313" s="697"/>
      <c r="L313" s="697"/>
      <c r="M313" s="697"/>
      <c r="N313" s="697"/>
      <c r="O313" s="871"/>
      <c r="P313" s="697"/>
      <c r="Q313" s="697"/>
      <c r="R313" s="697"/>
      <c r="S313" s="697"/>
      <c r="T313" s="697"/>
      <c r="U313" s="697" t="str">
        <f>IFERROR(__xludf.DUMMYFUNCTION("""COMPUTED_VALUE"""),"")</f>
        <v/>
      </c>
      <c r="V313" s="697">
        <f>IFERROR(__xludf.DUMMYFUNCTION("""COMPUTED_VALUE"""),313.0)</f>
        <v>313</v>
      </c>
    </row>
    <row r="314">
      <c r="A314" s="697" t="str">
        <f>IFERROR(__xludf.DUMMYFUNCTION("""COMPUTED_VALUE"""),"School Children(under 18)")</f>
        <v>School Children(under 18)</v>
      </c>
      <c r="B314" s="697"/>
      <c r="C314" s="697"/>
      <c r="D314" s="697"/>
      <c r="E314" s="697"/>
      <c r="F314" s="697"/>
      <c r="G314" s="697"/>
      <c r="H314" s="697"/>
      <c r="I314" s="697"/>
      <c r="J314" s="697"/>
      <c r="K314" s="697"/>
      <c r="L314" s="697"/>
      <c r="M314" s="697"/>
      <c r="N314" s="697"/>
      <c r="O314" s="871"/>
      <c r="P314" s="697"/>
      <c r="Q314" s="697"/>
      <c r="R314" s="697"/>
      <c r="S314" s="697"/>
      <c r="T314" s="697"/>
      <c r="U314" s="697" t="str">
        <f>IFERROR(__xludf.DUMMYFUNCTION("""COMPUTED_VALUE"""),"")</f>
        <v/>
      </c>
      <c r="V314" s="697">
        <f>IFERROR(__xludf.DUMMYFUNCTION("""COMPUTED_VALUE"""),314.0)</f>
        <v>314</v>
      </c>
    </row>
    <row r="315">
      <c r="A315" s="697" t="str">
        <f>IFERROR(__xludf.DUMMYFUNCTION("""COMPUTED_VALUE"""),"Mass drug administration")</f>
        <v>Mass drug administration</v>
      </c>
      <c r="B315" s="697"/>
      <c r="C315" s="697"/>
      <c r="D315" s="697"/>
      <c r="E315" s="697"/>
      <c r="F315" s="697"/>
      <c r="G315" s="697"/>
      <c r="H315" s="697"/>
      <c r="I315" s="697"/>
      <c r="J315" s="697"/>
      <c r="K315" s="697"/>
      <c r="L315" s="697"/>
      <c r="M315" s="697"/>
      <c r="N315" s="697"/>
      <c r="O315" s="871"/>
      <c r="P315" s="697"/>
      <c r="Q315" s="697"/>
      <c r="R315" s="697"/>
      <c r="S315" s="697"/>
      <c r="T315" s="697"/>
      <c r="U315" s="697" t="str">
        <f>IFERROR(__xludf.DUMMYFUNCTION("""COMPUTED_VALUE"""),"")</f>
        <v/>
      </c>
      <c r="V315" s="697">
        <f>IFERROR(__xludf.DUMMYFUNCTION("""COMPUTED_VALUE"""),315.0)</f>
        <v>315</v>
      </c>
    </row>
    <row r="316">
      <c r="A316" s="697" t="str">
        <f>IFERROR(__xludf.DUMMYFUNCTION("""COMPUTED_VALUE"""),"indigenous population")</f>
        <v>indigenous population</v>
      </c>
      <c r="B316" s="697"/>
      <c r="C316" s="697"/>
      <c r="D316" s="697"/>
      <c r="E316" s="697"/>
      <c r="F316" s="697"/>
      <c r="G316" s="697"/>
      <c r="H316" s="697"/>
      <c r="I316" s="697"/>
      <c r="J316" s="697"/>
      <c r="K316" s="697"/>
      <c r="L316" s="697"/>
      <c r="M316" s="697"/>
      <c r="N316" s="697"/>
      <c r="O316" s="871"/>
      <c r="P316" s="697"/>
      <c r="Q316" s="697"/>
      <c r="R316" s="697"/>
      <c r="S316" s="697"/>
      <c r="T316" s="697"/>
      <c r="U316" s="697" t="str">
        <f>IFERROR(__xludf.DUMMYFUNCTION("""COMPUTED_VALUE"""),"")</f>
        <v/>
      </c>
      <c r="V316" s="697">
        <f>IFERROR(__xludf.DUMMYFUNCTION("""COMPUTED_VALUE"""),316.0)</f>
        <v>316</v>
      </c>
    </row>
    <row r="317">
      <c r="A317" s="697" t="str">
        <f>IFERROR(__xludf.DUMMYFUNCTION("""COMPUTED_VALUE"""),"Immigrant")</f>
        <v>Immigrant</v>
      </c>
      <c r="B317" s="697"/>
      <c r="C317" s="697"/>
      <c r="D317" s="697"/>
      <c r="E317" s="697"/>
      <c r="F317" s="697"/>
      <c r="G317" s="697"/>
      <c r="H317" s="697"/>
      <c r="I317" s="697"/>
      <c r="J317" s="697"/>
      <c r="K317" s="697"/>
      <c r="L317" s="697"/>
      <c r="M317" s="697"/>
      <c r="N317" s="697"/>
      <c r="O317" s="871"/>
      <c r="P317" s="697"/>
      <c r="Q317" s="697"/>
      <c r="R317" s="697"/>
      <c r="S317" s="697"/>
      <c r="T317" s="697"/>
      <c r="U317" s="697" t="str">
        <f>IFERROR(__xludf.DUMMYFUNCTION("""COMPUTED_VALUE"""),"")</f>
        <v/>
      </c>
      <c r="V317" s="697">
        <f>IFERROR(__xludf.DUMMYFUNCTION("""COMPUTED_VALUE"""),317.0)</f>
        <v>317</v>
      </c>
    </row>
    <row r="318">
      <c r="A318" s="697" t="str">
        <f>IFERROR(__xludf.DUMMYFUNCTION("""COMPUTED_VALUE"""),"waiting for illiad")</f>
        <v>waiting for illiad</v>
      </c>
      <c r="B318" s="697"/>
      <c r="C318" s="697"/>
      <c r="D318" s="697"/>
      <c r="E318" s="697"/>
      <c r="F318" s="697"/>
      <c r="G318" s="697"/>
      <c r="H318" s="697"/>
      <c r="I318" s="697"/>
      <c r="J318" s="697"/>
      <c r="K318" s="697"/>
      <c r="L318" s="697"/>
      <c r="M318" s="697"/>
      <c r="N318" s="697"/>
      <c r="O318" s="871"/>
      <c r="P318" s="697"/>
      <c r="Q318" s="697"/>
      <c r="R318" s="697"/>
      <c r="S318" s="697"/>
      <c r="T318" s="697"/>
      <c r="U318" s="697"/>
      <c r="V318" s="697">
        <f>IFERROR(__xludf.DUMMYFUNCTION("""COMPUTED_VALUE"""),318.0)</f>
        <v>318</v>
      </c>
    </row>
    <row r="319">
      <c r="A319" s="697" t="str">
        <f>IFERROR(__xludf.DUMMYFUNCTION("""COMPUTED_VALUE"""),"ask question on")</f>
        <v>ask question on</v>
      </c>
      <c r="B319" s="697"/>
      <c r="C319" s="697"/>
      <c r="D319" s="697"/>
      <c r="E319" s="697"/>
      <c r="F319" s="697"/>
      <c r="G319" s="697"/>
      <c r="H319" s="697"/>
      <c r="I319" s="697"/>
      <c r="J319" s="697"/>
      <c r="K319" s="697"/>
      <c r="L319" s="697"/>
      <c r="M319" s="697"/>
      <c r="N319" s="697"/>
      <c r="O319" s="871"/>
      <c r="P319" s="697"/>
      <c r="Q319" s="697"/>
      <c r="R319" s="697"/>
      <c r="S319" s="697"/>
      <c r="T319" s="697"/>
      <c r="U319" s="697"/>
      <c r="V319" s="697">
        <f>IFERROR(__xludf.DUMMYFUNCTION("""COMPUTED_VALUE"""),319.0)</f>
        <v>319</v>
      </c>
    </row>
    <row r="320">
      <c r="A320" s="697"/>
      <c r="B320" s="697"/>
      <c r="C320" s="697"/>
      <c r="D320" s="697"/>
      <c r="E320" s="697"/>
      <c r="F320" s="697"/>
      <c r="G320" s="697"/>
      <c r="H320" s="697"/>
      <c r="I320" s="697"/>
      <c r="J320" s="697"/>
      <c r="K320" s="697"/>
      <c r="L320" s="697"/>
      <c r="M320" s="697"/>
      <c r="N320" s="697"/>
      <c r="O320" s="871"/>
      <c r="P320" s="697"/>
      <c r="Q320" s="697"/>
      <c r="R320" s="697"/>
      <c r="S320" s="697"/>
      <c r="T320" s="697"/>
      <c r="U320" s="697"/>
      <c r="V320" s="697">
        <f>IFERROR(__xludf.DUMMYFUNCTION("""COMPUTED_VALUE"""),320.0)</f>
        <v>320</v>
      </c>
    </row>
    <row r="321">
      <c r="A321" s="697"/>
      <c r="B321" s="697"/>
      <c r="C321" s="697"/>
      <c r="D321" s="697"/>
      <c r="E321" s="697"/>
      <c r="F321" s="697"/>
      <c r="G321" s="697"/>
      <c r="H321" s="697"/>
      <c r="I321" s="697"/>
      <c r="J321" s="697"/>
      <c r="K321" s="697"/>
      <c r="L321" s="697"/>
      <c r="M321" s="697"/>
      <c r="N321" s="697"/>
      <c r="O321" s="871"/>
      <c r="P321" s="697"/>
      <c r="Q321" s="697"/>
      <c r="R321" s="697"/>
      <c r="S321" s="697"/>
      <c r="T321" s="697"/>
      <c r="U321" s="697"/>
      <c r="V321" s="697">
        <f>IFERROR(__xludf.DUMMYFUNCTION("""COMPUTED_VALUE"""),321.0)</f>
        <v>321</v>
      </c>
    </row>
    <row r="322">
      <c r="O322" s="871"/>
    </row>
    <row r="323">
      <c r="O323" s="871"/>
    </row>
    <row r="324">
      <c r="O324" s="871"/>
    </row>
    <row r="325">
      <c r="O325" s="871"/>
    </row>
    <row r="326">
      <c r="O326" s="871"/>
    </row>
    <row r="327">
      <c r="O327" s="871"/>
    </row>
    <row r="328">
      <c r="O328" s="871"/>
    </row>
    <row r="329">
      <c r="O329" s="871"/>
    </row>
    <row r="330">
      <c r="O330" s="871"/>
    </row>
    <row r="331">
      <c r="O331" s="871"/>
    </row>
    <row r="332">
      <c r="O332" s="871"/>
    </row>
    <row r="333">
      <c r="O333" s="871"/>
    </row>
    <row r="334">
      <c r="O334" s="871"/>
    </row>
    <row r="335">
      <c r="O335" s="871"/>
    </row>
    <row r="336">
      <c r="O336" s="871"/>
    </row>
    <row r="337">
      <c r="O337" s="871"/>
    </row>
    <row r="338">
      <c r="O338" s="871"/>
    </row>
    <row r="339">
      <c r="O339" s="871"/>
    </row>
    <row r="340">
      <c r="O340" s="871"/>
    </row>
    <row r="341">
      <c r="O341" s="871"/>
    </row>
    <row r="342">
      <c r="O342" s="871"/>
    </row>
    <row r="343">
      <c r="O343" s="871"/>
    </row>
    <row r="344">
      <c r="O344" s="871"/>
    </row>
    <row r="345">
      <c r="O345" s="871"/>
    </row>
    <row r="346">
      <c r="O346" s="871"/>
    </row>
    <row r="347">
      <c r="O347" s="871"/>
    </row>
    <row r="348">
      <c r="O348" s="871"/>
    </row>
    <row r="349">
      <c r="O349" s="871"/>
    </row>
    <row r="350">
      <c r="O350" s="871"/>
    </row>
    <row r="351">
      <c r="O351" s="871"/>
    </row>
    <row r="352">
      <c r="O352" s="871"/>
    </row>
    <row r="353">
      <c r="O353" s="871"/>
    </row>
    <row r="354">
      <c r="O354" s="871"/>
    </row>
    <row r="355">
      <c r="O355" s="871"/>
    </row>
    <row r="356">
      <c r="O356" s="871"/>
    </row>
    <row r="357">
      <c r="O357" s="871"/>
    </row>
    <row r="358">
      <c r="O358" s="871"/>
    </row>
    <row r="359">
      <c r="O359" s="871"/>
    </row>
    <row r="360">
      <c r="O360" s="871"/>
    </row>
    <row r="361">
      <c r="O361" s="871"/>
    </row>
    <row r="362">
      <c r="O362" s="871"/>
    </row>
    <row r="363">
      <c r="O363" s="871"/>
    </row>
    <row r="364">
      <c r="O364" s="871"/>
    </row>
    <row r="365">
      <c r="O365" s="871"/>
    </row>
    <row r="366">
      <c r="O366" s="871"/>
    </row>
    <row r="367">
      <c r="O367" s="871"/>
    </row>
    <row r="368">
      <c r="O368" s="871"/>
    </row>
    <row r="369">
      <c r="O369" s="871"/>
    </row>
    <row r="370">
      <c r="O370" s="871"/>
    </row>
    <row r="371">
      <c r="O371" s="871"/>
    </row>
    <row r="372">
      <c r="O372" s="871"/>
    </row>
    <row r="373">
      <c r="O373" s="871"/>
    </row>
    <row r="374">
      <c r="O374" s="871"/>
    </row>
    <row r="375">
      <c r="O375" s="871"/>
    </row>
    <row r="376">
      <c r="O376" s="871"/>
    </row>
    <row r="377">
      <c r="O377" s="871"/>
    </row>
    <row r="378">
      <c r="O378" s="871"/>
    </row>
    <row r="379">
      <c r="O379" s="871"/>
    </row>
    <row r="380">
      <c r="O380" s="871"/>
    </row>
    <row r="381">
      <c r="O381" s="871"/>
    </row>
    <row r="382">
      <c r="O382" s="871"/>
    </row>
    <row r="383">
      <c r="O383" s="871"/>
    </row>
    <row r="384">
      <c r="O384" s="871"/>
    </row>
    <row r="385">
      <c r="O385" s="871"/>
    </row>
    <row r="386">
      <c r="O386" s="871"/>
    </row>
    <row r="387">
      <c r="O387" s="871"/>
    </row>
    <row r="388">
      <c r="O388" s="871"/>
    </row>
    <row r="389">
      <c r="O389" s="871"/>
    </row>
    <row r="390">
      <c r="O390" s="871"/>
    </row>
    <row r="391">
      <c r="O391" s="871"/>
    </row>
    <row r="392">
      <c r="O392" s="871"/>
    </row>
    <row r="393">
      <c r="O393" s="871"/>
    </row>
    <row r="394">
      <c r="O394" s="871"/>
    </row>
    <row r="395">
      <c r="O395" s="871"/>
    </row>
    <row r="396">
      <c r="O396" s="871"/>
    </row>
    <row r="397">
      <c r="O397" s="871"/>
    </row>
    <row r="398">
      <c r="O398" s="871"/>
    </row>
    <row r="399">
      <c r="O399" s="871"/>
    </row>
    <row r="400">
      <c r="O400" s="871"/>
    </row>
    <row r="401">
      <c r="O401" s="871"/>
    </row>
    <row r="402">
      <c r="O402" s="871"/>
    </row>
    <row r="403">
      <c r="O403" s="871"/>
    </row>
    <row r="404">
      <c r="O404" s="871"/>
    </row>
    <row r="405">
      <c r="O405" s="871"/>
    </row>
    <row r="406">
      <c r="O406" s="871"/>
    </row>
    <row r="407">
      <c r="O407" s="871"/>
    </row>
    <row r="408">
      <c r="O408" s="871"/>
    </row>
    <row r="409">
      <c r="O409" s="871"/>
    </row>
    <row r="410">
      <c r="O410" s="871"/>
    </row>
    <row r="411">
      <c r="O411" s="871"/>
    </row>
    <row r="412">
      <c r="O412" s="871"/>
    </row>
    <row r="413">
      <c r="O413" s="871"/>
    </row>
    <row r="414">
      <c r="O414" s="871"/>
    </row>
    <row r="415">
      <c r="O415" s="871"/>
    </row>
    <row r="416">
      <c r="O416" s="871"/>
    </row>
    <row r="417">
      <c r="O417" s="871"/>
    </row>
    <row r="418">
      <c r="O418" s="871"/>
    </row>
    <row r="419">
      <c r="O419" s="871"/>
    </row>
    <row r="420">
      <c r="O420" s="871"/>
    </row>
    <row r="421">
      <c r="O421" s="871"/>
    </row>
    <row r="422">
      <c r="O422" s="871"/>
    </row>
    <row r="423">
      <c r="O423" s="871"/>
    </row>
    <row r="424">
      <c r="O424" s="871"/>
    </row>
    <row r="425">
      <c r="O425" s="871"/>
    </row>
    <row r="426">
      <c r="O426" s="871"/>
    </row>
    <row r="427">
      <c r="O427" s="871"/>
    </row>
    <row r="428">
      <c r="O428" s="871"/>
    </row>
    <row r="429">
      <c r="O429" s="871"/>
    </row>
    <row r="430">
      <c r="O430" s="871"/>
    </row>
    <row r="431">
      <c r="O431" s="871"/>
    </row>
    <row r="432">
      <c r="O432" s="871"/>
    </row>
    <row r="433">
      <c r="O433" s="871"/>
    </row>
    <row r="434">
      <c r="O434" s="871"/>
    </row>
    <row r="435">
      <c r="O435" s="871"/>
    </row>
    <row r="436">
      <c r="O436" s="871"/>
    </row>
    <row r="437">
      <c r="O437" s="871"/>
    </row>
    <row r="438">
      <c r="O438" s="871"/>
    </row>
    <row r="439">
      <c r="O439" s="871"/>
    </row>
    <row r="440">
      <c r="O440" s="871"/>
    </row>
    <row r="441">
      <c r="O441" s="871"/>
    </row>
    <row r="442">
      <c r="O442" s="871"/>
    </row>
    <row r="443">
      <c r="O443" s="871"/>
    </row>
    <row r="444">
      <c r="O444" s="871"/>
    </row>
    <row r="445">
      <c r="O445" s="871"/>
    </row>
    <row r="446">
      <c r="O446" s="871"/>
    </row>
    <row r="447">
      <c r="O447" s="871"/>
    </row>
    <row r="448">
      <c r="O448" s="871"/>
    </row>
    <row r="449">
      <c r="O449" s="871"/>
    </row>
    <row r="450">
      <c r="O450" s="871"/>
    </row>
    <row r="451">
      <c r="O451" s="871"/>
    </row>
    <row r="452">
      <c r="O452" s="871"/>
    </row>
    <row r="453">
      <c r="O453" s="871"/>
    </row>
    <row r="454">
      <c r="O454" s="871"/>
    </row>
    <row r="455">
      <c r="O455" s="871"/>
    </row>
    <row r="456">
      <c r="O456" s="871"/>
    </row>
    <row r="457">
      <c r="O457" s="871"/>
    </row>
    <row r="458">
      <c r="O458" s="871"/>
    </row>
    <row r="459">
      <c r="O459" s="871"/>
    </row>
    <row r="460">
      <c r="O460" s="871"/>
    </row>
    <row r="461">
      <c r="O461" s="871"/>
    </row>
    <row r="462">
      <c r="O462" s="871"/>
    </row>
    <row r="463">
      <c r="O463" s="871"/>
    </row>
    <row r="464">
      <c r="O464" s="871"/>
    </row>
    <row r="465">
      <c r="O465" s="871"/>
    </row>
    <row r="466">
      <c r="O466" s="871"/>
    </row>
    <row r="467">
      <c r="O467" s="871"/>
    </row>
    <row r="468">
      <c r="O468" s="871"/>
    </row>
    <row r="469">
      <c r="O469" s="871"/>
    </row>
    <row r="470">
      <c r="O470" s="871"/>
    </row>
    <row r="471">
      <c r="O471" s="871"/>
    </row>
    <row r="472">
      <c r="O472" s="871"/>
    </row>
    <row r="473">
      <c r="O473" s="871"/>
    </row>
    <row r="474">
      <c r="O474" s="871"/>
    </row>
    <row r="475">
      <c r="O475" s="871"/>
    </row>
    <row r="476">
      <c r="O476" s="871"/>
    </row>
    <row r="477">
      <c r="O477" s="871"/>
    </row>
    <row r="478">
      <c r="O478" s="871"/>
    </row>
    <row r="479">
      <c r="O479" s="871"/>
    </row>
    <row r="480">
      <c r="O480" s="871"/>
    </row>
    <row r="481">
      <c r="O481" s="871"/>
    </row>
    <row r="482">
      <c r="O482" s="871"/>
    </row>
    <row r="483">
      <c r="O483" s="871"/>
    </row>
    <row r="484">
      <c r="O484" s="871"/>
    </row>
    <row r="485">
      <c r="O485" s="871"/>
    </row>
    <row r="486">
      <c r="O486" s="871"/>
    </row>
    <row r="487">
      <c r="O487" s="871"/>
    </row>
    <row r="488">
      <c r="O488" s="871"/>
    </row>
    <row r="489">
      <c r="O489" s="871"/>
    </row>
    <row r="490">
      <c r="O490" s="871"/>
    </row>
    <row r="491">
      <c r="O491" s="871"/>
    </row>
    <row r="492">
      <c r="O492" s="871"/>
    </row>
    <row r="493">
      <c r="O493" s="871"/>
    </row>
    <row r="494">
      <c r="O494" s="871"/>
    </row>
    <row r="495">
      <c r="O495" s="871"/>
    </row>
    <row r="496">
      <c r="O496" s="871"/>
    </row>
    <row r="497">
      <c r="O497" s="871"/>
    </row>
    <row r="498">
      <c r="O498" s="871"/>
    </row>
    <row r="499">
      <c r="O499" s="871"/>
    </row>
    <row r="500">
      <c r="O500" s="871"/>
    </row>
    <row r="501">
      <c r="O501" s="871"/>
    </row>
    <row r="502">
      <c r="O502" s="871"/>
    </row>
    <row r="503">
      <c r="O503" s="871"/>
    </row>
    <row r="504">
      <c r="O504" s="871"/>
    </row>
    <row r="505">
      <c r="O505" s="871"/>
    </row>
    <row r="506">
      <c r="O506" s="871"/>
    </row>
    <row r="507">
      <c r="O507" s="871"/>
    </row>
    <row r="508">
      <c r="O508" s="871"/>
    </row>
    <row r="509">
      <c r="O509" s="871"/>
    </row>
    <row r="510">
      <c r="O510" s="871"/>
    </row>
    <row r="511">
      <c r="O511" s="871"/>
    </row>
    <row r="512">
      <c r="O512" s="871"/>
    </row>
    <row r="513">
      <c r="O513" s="871"/>
    </row>
    <row r="514">
      <c r="O514" s="871"/>
    </row>
    <row r="515">
      <c r="O515" s="871"/>
    </row>
    <row r="516">
      <c r="O516" s="871"/>
    </row>
    <row r="517">
      <c r="O517" s="871"/>
    </row>
    <row r="518">
      <c r="O518" s="871"/>
    </row>
    <row r="519">
      <c r="O519" s="871"/>
    </row>
    <row r="520">
      <c r="O520" s="871"/>
    </row>
    <row r="521">
      <c r="O521" s="871"/>
    </row>
    <row r="522">
      <c r="O522" s="871"/>
    </row>
    <row r="523">
      <c r="O523" s="871"/>
    </row>
    <row r="524">
      <c r="O524" s="871"/>
    </row>
    <row r="525">
      <c r="O525" s="871"/>
    </row>
    <row r="526">
      <c r="O526" s="871"/>
    </row>
    <row r="527">
      <c r="O527" s="871"/>
    </row>
    <row r="528">
      <c r="O528" s="871"/>
    </row>
    <row r="529">
      <c r="O529" s="871"/>
    </row>
    <row r="530">
      <c r="O530" s="871"/>
    </row>
    <row r="531">
      <c r="O531" s="871"/>
    </row>
    <row r="532">
      <c r="O532" s="871"/>
    </row>
    <row r="533">
      <c r="O533" s="871"/>
    </row>
    <row r="534">
      <c r="O534" s="871"/>
    </row>
    <row r="535">
      <c r="O535" s="871"/>
    </row>
    <row r="536">
      <c r="O536" s="871"/>
    </row>
    <row r="537">
      <c r="O537" s="871"/>
    </row>
    <row r="538">
      <c r="O538" s="871"/>
    </row>
    <row r="539">
      <c r="O539" s="871"/>
    </row>
    <row r="540">
      <c r="O540" s="871"/>
    </row>
    <row r="541">
      <c r="O541" s="871"/>
    </row>
    <row r="542">
      <c r="O542" s="871"/>
    </row>
    <row r="543">
      <c r="O543" s="871"/>
    </row>
    <row r="544">
      <c r="O544" s="871"/>
    </row>
    <row r="545">
      <c r="O545" s="871"/>
    </row>
    <row r="546">
      <c r="O546" s="871"/>
    </row>
    <row r="547">
      <c r="O547" s="871"/>
    </row>
    <row r="548">
      <c r="O548" s="871"/>
    </row>
    <row r="549">
      <c r="O549" s="871"/>
    </row>
    <row r="550">
      <c r="O550" s="871"/>
    </row>
    <row r="551">
      <c r="O551" s="871"/>
    </row>
    <row r="552">
      <c r="O552" s="871"/>
    </row>
    <row r="553">
      <c r="O553" s="871"/>
    </row>
    <row r="554">
      <c r="O554" s="871"/>
    </row>
    <row r="555">
      <c r="O555" s="871"/>
    </row>
    <row r="556">
      <c r="O556" s="871"/>
    </row>
    <row r="557">
      <c r="O557" s="871"/>
    </row>
    <row r="558">
      <c r="O558" s="871"/>
    </row>
    <row r="559">
      <c r="O559" s="871"/>
    </row>
    <row r="560">
      <c r="O560" s="871"/>
    </row>
    <row r="561">
      <c r="O561" s="871"/>
    </row>
    <row r="562">
      <c r="O562" s="871"/>
    </row>
    <row r="563">
      <c r="O563" s="871"/>
    </row>
    <row r="564">
      <c r="O564" s="871"/>
    </row>
    <row r="565">
      <c r="O565" s="871"/>
    </row>
    <row r="566">
      <c r="O566" s="871"/>
    </row>
    <row r="567">
      <c r="O567" s="871"/>
    </row>
    <row r="568">
      <c r="O568" s="871"/>
    </row>
    <row r="569">
      <c r="O569" s="871"/>
    </row>
    <row r="570">
      <c r="O570" s="871"/>
    </row>
    <row r="571">
      <c r="O571" s="871"/>
    </row>
    <row r="572">
      <c r="O572" s="871"/>
    </row>
    <row r="573">
      <c r="O573" s="871"/>
    </row>
    <row r="574">
      <c r="O574" s="871"/>
    </row>
    <row r="575">
      <c r="O575" s="871"/>
    </row>
    <row r="576">
      <c r="O576" s="871"/>
    </row>
    <row r="577">
      <c r="O577" s="871"/>
    </row>
    <row r="578">
      <c r="O578" s="871"/>
    </row>
    <row r="579">
      <c r="O579" s="871"/>
    </row>
    <row r="580">
      <c r="O580" s="871"/>
    </row>
    <row r="581">
      <c r="O581" s="871"/>
    </row>
    <row r="582">
      <c r="O582" s="871"/>
    </row>
    <row r="583">
      <c r="O583" s="871"/>
    </row>
    <row r="584">
      <c r="O584" s="871"/>
    </row>
    <row r="585">
      <c r="O585" s="871"/>
    </row>
    <row r="586">
      <c r="O586" s="871"/>
    </row>
    <row r="587">
      <c r="O587" s="871"/>
    </row>
    <row r="588">
      <c r="O588" s="871"/>
    </row>
    <row r="589">
      <c r="O589" s="871"/>
    </row>
    <row r="590">
      <c r="O590" s="871"/>
    </row>
    <row r="591">
      <c r="O591" s="871"/>
    </row>
    <row r="592">
      <c r="O592" s="871"/>
    </row>
    <row r="593">
      <c r="O593" s="871"/>
    </row>
    <row r="594">
      <c r="O594" s="871"/>
    </row>
    <row r="595">
      <c r="O595" s="871"/>
    </row>
    <row r="596">
      <c r="O596" s="871"/>
    </row>
    <row r="597">
      <c r="O597" s="871"/>
    </row>
    <row r="598">
      <c r="O598" s="871"/>
    </row>
    <row r="599">
      <c r="O599" s="871"/>
    </row>
    <row r="600">
      <c r="O600" s="871"/>
    </row>
    <row r="601">
      <c r="O601" s="871"/>
    </row>
    <row r="602">
      <c r="O602" s="871"/>
    </row>
    <row r="603">
      <c r="O603" s="871"/>
    </row>
    <row r="604">
      <c r="O604" s="871"/>
    </row>
    <row r="605">
      <c r="O605" s="871"/>
    </row>
    <row r="606">
      <c r="O606" s="871"/>
    </row>
    <row r="607">
      <c r="O607" s="871"/>
    </row>
    <row r="608">
      <c r="O608" s="871"/>
    </row>
    <row r="609">
      <c r="O609" s="871"/>
    </row>
    <row r="610">
      <c r="O610" s="871"/>
    </row>
    <row r="611">
      <c r="O611" s="871"/>
    </row>
    <row r="612">
      <c r="O612" s="871"/>
    </row>
    <row r="613">
      <c r="O613" s="871"/>
    </row>
    <row r="614">
      <c r="O614" s="871"/>
    </row>
    <row r="615">
      <c r="O615" s="871"/>
    </row>
    <row r="616">
      <c r="O616" s="871"/>
    </row>
    <row r="617">
      <c r="O617" s="871"/>
    </row>
    <row r="618">
      <c r="O618" s="871"/>
    </row>
    <row r="619">
      <c r="O619" s="871"/>
    </row>
    <row r="620">
      <c r="O620" s="871"/>
    </row>
    <row r="621">
      <c r="O621" s="871"/>
    </row>
    <row r="622">
      <c r="O622" s="871"/>
    </row>
    <row r="623">
      <c r="O623" s="871"/>
    </row>
    <row r="624">
      <c r="O624" s="871"/>
    </row>
    <row r="625">
      <c r="O625" s="871"/>
    </row>
    <row r="626">
      <c r="O626" s="871"/>
    </row>
    <row r="627">
      <c r="O627" s="871"/>
    </row>
    <row r="628">
      <c r="O628" s="871"/>
    </row>
    <row r="629">
      <c r="O629" s="871"/>
    </row>
    <row r="630">
      <c r="O630" s="871"/>
    </row>
    <row r="631">
      <c r="O631" s="871"/>
    </row>
    <row r="632">
      <c r="O632" s="871"/>
    </row>
    <row r="633">
      <c r="O633" s="871"/>
    </row>
    <row r="634">
      <c r="O634" s="871"/>
    </row>
    <row r="635">
      <c r="O635" s="871"/>
    </row>
    <row r="636">
      <c r="O636" s="871"/>
    </row>
    <row r="637">
      <c r="O637" s="871"/>
    </row>
    <row r="638">
      <c r="O638" s="871"/>
    </row>
    <row r="639">
      <c r="O639" s="871"/>
    </row>
    <row r="640">
      <c r="O640" s="871"/>
    </row>
    <row r="641">
      <c r="O641" s="871"/>
    </row>
    <row r="642">
      <c r="O642" s="871"/>
    </row>
    <row r="643">
      <c r="O643" s="871"/>
    </row>
    <row r="644">
      <c r="O644" s="871"/>
    </row>
    <row r="645">
      <c r="O645" s="871"/>
    </row>
    <row r="646">
      <c r="O646" s="871"/>
    </row>
    <row r="647">
      <c r="O647" s="871"/>
    </row>
    <row r="648">
      <c r="O648" s="871"/>
    </row>
    <row r="649">
      <c r="O649" s="871"/>
    </row>
    <row r="650">
      <c r="O650" s="871"/>
    </row>
    <row r="651">
      <c r="O651" s="871"/>
    </row>
    <row r="652">
      <c r="O652" s="871"/>
    </row>
    <row r="653">
      <c r="O653" s="871"/>
    </row>
    <row r="654">
      <c r="O654" s="871"/>
    </row>
    <row r="655">
      <c r="O655" s="871"/>
    </row>
    <row r="656">
      <c r="O656" s="871"/>
    </row>
    <row r="657">
      <c r="O657" s="871"/>
    </row>
    <row r="658">
      <c r="O658" s="871"/>
    </row>
    <row r="659">
      <c r="O659" s="871"/>
    </row>
    <row r="660">
      <c r="O660" s="871"/>
    </row>
    <row r="661">
      <c r="O661" s="871"/>
    </row>
    <row r="662">
      <c r="O662" s="871"/>
    </row>
    <row r="663">
      <c r="O663" s="871"/>
    </row>
    <row r="664">
      <c r="O664" s="871"/>
    </row>
    <row r="665">
      <c r="O665" s="871"/>
    </row>
    <row r="666">
      <c r="O666" s="871"/>
    </row>
    <row r="667">
      <c r="O667" s="871"/>
    </row>
    <row r="668">
      <c r="O668" s="871"/>
    </row>
    <row r="669">
      <c r="O669" s="871"/>
    </row>
    <row r="670">
      <c r="O670" s="871"/>
    </row>
    <row r="671">
      <c r="O671" s="871"/>
    </row>
    <row r="672">
      <c r="O672" s="871"/>
    </row>
    <row r="673">
      <c r="O673" s="871"/>
    </row>
    <row r="674">
      <c r="O674" s="871"/>
    </row>
    <row r="675">
      <c r="O675" s="871"/>
    </row>
    <row r="676">
      <c r="O676" s="871"/>
    </row>
    <row r="677">
      <c r="O677" s="871"/>
    </row>
    <row r="678">
      <c r="O678" s="871"/>
    </row>
    <row r="679">
      <c r="O679" s="871"/>
    </row>
    <row r="680">
      <c r="O680" s="871"/>
    </row>
    <row r="681">
      <c r="O681" s="871"/>
    </row>
    <row r="682">
      <c r="O682" s="871"/>
    </row>
    <row r="683">
      <c r="O683" s="871"/>
    </row>
    <row r="684">
      <c r="O684" s="871"/>
    </row>
    <row r="685">
      <c r="O685" s="871"/>
    </row>
    <row r="686">
      <c r="O686" s="871"/>
    </row>
    <row r="687">
      <c r="O687" s="871"/>
    </row>
    <row r="688">
      <c r="O688" s="871"/>
    </row>
    <row r="689">
      <c r="O689" s="871"/>
    </row>
    <row r="690">
      <c r="O690" s="871"/>
    </row>
    <row r="691">
      <c r="O691" s="871"/>
    </row>
    <row r="692">
      <c r="O692" s="871"/>
    </row>
    <row r="693">
      <c r="O693" s="871"/>
    </row>
    <row r="694">
      <c r="O694" s="871"/>
    </row>
    <row r="695">
      <c r="O695" s="871"/>
    </row>
    <row r="696">
      <c r="O696" s="871"/>
    </row>
    <row r="697">
      <c r="O697" s="871"/>
    </row>
    <row r="698">
      <c r="O698" s="871"/>
    </row>
    <row r="699">
      <c r="O699" s="871"/>
    </row>
    <row r="700">
      <c r="O700" s="871"/>
    </row>
    <row r="701">
      <c r="O701" s="871"/>
    </row>
    <row r="702">
      <c r="O702" s="871"/>
    </row>
    <row r="703">
      <c r="O703" s="871"/>
    </row>
    <row r="704">
      <c r="O704" s="871"/>
    </row>
    <row r="705">
      <c r="O705" s="871"/>
    </row>
    <row r="706">
      <c r="O706" s="871"/>
    </row>
    <row r="707">
      <c r="O707" s="871"/>
    </row>
    <row r="708">
      <c r="O708" s="871"/>
    </row>
    <row r="709">
      <c r="O709" s="871"/>
    </row>
    <row r="710">
      <c r="O710" s="871"/>
    </row>
    <row r="711">
      <c r="O711" s="871"/>
    </row>
    <row r="712">
      <c r="O712" s="871"/>
    </row>
    <row r="713">
      <c r="O713" s="871"/>
    </row>
    <row r="714">
      <c r="O714" s="871"/>
    </row>
    <row r="715">
      <c r="O715" s="871"/>
    </row>
    <row r="716">
      <c r="O716" s="871"/>
    </row>
    <row r="717">
      <c r="O717" s="871"/>
    </row>
    <row r="718">
      <c r="O718" s="871"/>
    </row>
    <row r="719">
      <c r="O719" s="871"/>
    </row>
    <row r="720">
      <c r="O720" s="871"/>
    </row>
    <row r="721">
      <c r="O721" s="871"/>
    </row>
    <row r="722">
      <c r="O722" s="871"/>
    </row>
    <row r="723">
      <c r="O723" s="871"/>
    </row>
    <row r="724">
      <c r="O724" s="871"/>
    </row>
    <row r="725">
      <c r="O725" s="871"/>
    </row>
    <row r="726">
      <c r="O726" s="871"/>
    </row>
    <row r="727">
      <c r="O727" s="871"/>
    </row>
    <row r="728">
      <c r="O728" s="871"/>
    </row>
    <row r="729">
      <c r="O729" s="871"/>
    </row>
    <row r="730">
      <c r="O730" s="871"/>
    </row>
    <row r="731">
      <c r="O731" s="871"/>
    </row>
    <row r="732">
      <c r="O732" s="871"/>
    </row>
    <row r="733">
      <c r="O733" s="871"/>
    </row>
    <row r="734">
      <c r="O734" s="871"/>
    </row>
    <row r="735">
      <c r="O735" s="871"/>
    </row>
    <row r="736">
      <c r="O736" s="871"/>
    </row>
    <row r="737">
      <c r="O737" s="871"/>
    </row>
    <row r="738">
      <c r="O738" s="871"/>
    </row>
    <row r="739">
      <c r="O739" s="871"/>
    </row>
    <row r="740">
      <c r="O740" s="871"/>
    </row>
    <row r="741">
      <c r="O741" s="871"/>
    </row>
    <row r="742">
      <c r="O742" s="871"/>
    </row>
    <row r="743">
      <c r="O743" s="871"/>
    </row>
    <row r="744">
      <c r="O744" s="871"/>
    </row>
    <row r="745">
      <c r="O745" s="871"/>
    </row>
    <row r="746">
      <c r="O746" s="871"/>
    </row>
    <row r="747">
      <c r="O747" s="871"/>
    </row>
    <row r="748">
      <c r="O748" s="871"/>
    </row>
    <row r="749">
      <c r="O749" s="871"/>
    </row>
    <row r="750">
      <c r="O750" s="871"/>
    </row>
    <row r="751">
      <c r="O751" s="871"/>
    </row>
    <row r="752">
      <c r="O752" s="871"/>
    </row>
    <row r="753">
      <c r="O753" s="871"/>
    </row>
    <row r="754">
      <c r="O754" s="871"/>
    </row>
    <row r="755">
      <c r="O755" s="871"/>
    </row>
    <row r="756">
      <c r="O756" s="871"/>
    </row>
    <row r="757">
      <c r="O757" s="871"/>
    </row>
    <row r="758">
      <c r="O758" s="871"/>
    </row>
    <row r="759">
      <c r="O759" s="871"/>
    </row>
    <row r="760">
      <c r="O760" s="871"/>
    </row>
    <row r="761">
      <c r="O761" s="871"/>
    </row>
    <row r="762">
      <c r="O762" s="871"/>
    </row>
    <row r="763">
      <c r="O763" s="871"/>
    </row>
    <row r="764">
      <c r="O764" s="871"/>
    </row>
    <row r="765">
      <c r="O765" s="871"/>
    </row>
    <row r="766">
      <c r="O766" s="871"/>
    </row>
    <row r="767">
      <c r="O767" s="871"/>
    </row>
    <row r="768">
      <c r="O768" s="871"/>
    </row>
    <row r="769">
      <c r="O769" s="871"/>
    </row>
    <row r="770">
      <c r="O770" s="871"/>
    </row>
    <row r="771">
      <c r="O771" s="871"/>
    </row>
    <row r="772">
      <c r="O772" s="871"/>
    </row>
    <row r="773">
      <c r="O773" s="871"/>
    </row>
    <row r="774">
      <c r="O774" s="871"/>
    </row>
    <row r="775">
      <c r="O775" s="871"/>
    </row>
    <row r="776">
      <c r="O776" s="871"/>
    </row>
    <row r="777">
      <c r="O777" s="871"/>
    </row>
    <row r="778">
      <c r="O778" s="871"/>
    </row>
    <row r="779">
      <c r="O779" s="871"/>
    </row>
    <row r="780">
      <c r="O780" s="871"/>
    </row>
    <row r="781">
      <c r="O781" s="871"/>
    </row>
    <row r="782">
      <c r="O782" s="871"/>
    </row>
    <row r="783">
      <c r="O783" s="871"/>
    </row>
    <row r="784">
      <c r="O784" s="871"/>
    </row>
    <row r="785">
      <c r="O785" s="871"/>
    </row>
    <row r="786">
      <c r="O786" s="871"/>
    </row>
    <row r="787">
      <c r="O787" s="871"/>
    </row>
    <row r="788">
      <c r="O788" s="871"/>
    </row>
    <row r="789">
      <c r="O789" s="871"/>
    </row>
    <row r="790">
      <c r="O790" s="871"/>
    </row>
    <row r="791">
      <c r="O791" s="871"/>
    </row>
    <row r="792">
      <c r="O792" s="871"/>
    </row>
    <row r="793">
      <c r="O793" s="871"/>
    </row>
    <row r="794">
      <c r="O794" s="871"/>
    </row>
    <row r="795">
      <c r="O795" s="871"/>
    </row>
    <row r="796">
      <c r="O796" s="871"/>
    </row>
    <row r="797">
      <c r="O797" s="871"/>
    </row>
    <row r="798">
      <c r="O798" s="871"/>
    </row>
    <row r="799">
      <c r="O799" s="871"/>
    </row>
    <row r="800">
      <c r="O800" s="871"/>
    </row>
    <row r="801">
      <c r="O801" s="871"/>
    </row>
    <row r="802">
      <c r="O802" s="871"/>
    </row>
    <row r="803">
      <c r="O803" s="871"/>
    </row>
    <row r="804">
      <c r="O804" s="871"/>
    </row>
    <row r="805">
      <c r="O805" s="871"/>
    </row>
    <row r="806">
      <c r="O806" s="871"/>
    </row>
    <row r="807">
      <c r="O807" s="871"/>
    </row>
    <row r="808">
      <c r="O808" s="871"/>
    </row>
    <row r="809">
      <c r="O809" s="871"/>
    </row>
    <row r="810">
      <c r="O810" s="871"/>
    </row>
    <row r="811">
      <c r="O811" s="871"/>
    </row>
    <row r="812">
      <c r="O812" s="871"/>
    </row>
    <row r="813">
      <c r="O813" s="871"/>
    </row>
    <row r="814">
      <c r="O814" s="871"/>
    </row>
    <row r="815">
      <c r="O815" s="871"/>
    </row>
    <row r="816">
      <c r="O816" s="871"/>
    </row>
    <row r="817">
      <c r="O817" s="871"/>
    </row>
    <row r="818">
      <c r="O818" s="871"/>
    </row>
    <row r="819">
      <c r="O819" s="871"/>
    </row>
    <row r="820">
      <c r="O820" s="871"/>
    </row>
    <row r="821">
      <c r="O821" s="871"/>
    </row>
    <row r="822">
      <c r="O822" s="871"/>
    </row>
    <row r="823">
      <c r="O823" s="871"/>
    </row>
    <row r="824">
      <c r="O824" s="871"/>
    </row>
    <row r="825">
      <c r="O825" s="871"/>
    </row>
    <row r="826">
      <c r="O826" s="871"/>
    </row>
    <row r="827">
      <c r="O827" s="871"/>
    </row>
    <row r="828">
      <c r="O828" s="871"/>
    </row>
    <row r="829">
      <c r="O829" s="871"/>
    </row>
    <row r="830">
      <c r="O830" s="871"/>
    </row>
    <row r="831">
      <c r="O831" s="871"/>
    </row>
    <row r="832">
      <c r="O832" s="871"/>
    </row>
    <row r="833">
      <c r="O833" s="871"/>
    </row>
    <row r="834">
      <c r="O834" s="871"/>
    </row>
    <row r="835">
      <c r="O835" s="871"/>
    </row>
    <row r="836">
      <c r="O836" s="871"/>
    </row>
    <row r="837">
      <c r="O837" s="871"/>
    </row>
    <row r="838">
      <c r="O838" s="871"/>
    </row>
    <row r="839">
      <c r="O839" s="871"/>
    </row>
    <row r="840">
      <c r="O840" s="871"/>
    </row>
    <row r="841">
      <c r="O841" s="871"/>
    </row>
    <row r="842">
      <c r="O842" s="871"/>
    </row>
    <row r="843">
      <c r="O843" s="871"/>
    </row>
    <row r="844">
      <c r="O844" s="871"/>
    </row>
    <row r="845">
      <c r="O845" s="871"/>
    </row>
    <row r="846">
      <c r="O846" s="871"/>
    </row>
    <row r="847">
      <c r="O847" s="871"/>
    </row>
    <row r="848">
      <c r="O848" s="871"/>
    </row>
    <row r="849">
      <c r="O849" s="871"/>
    </row>
    <row r="850">
      <c r="O850" s="871"/>
    </row>
    <row r="851">
      <c r="O851" s="871"/>
    </row>
    <row r="852">
      <c r="O852" s="871"/>
    </row>
    <row r="853">
      <c r="O853" s="871"/>
    </row>
    <row r="854">
      <c r="O854" s="871"/>
    </row>
    <row r="855">
      <c r="O855" s="871"/>
    </row>
    <row r="856">
      <c r="O856" s="871"/>
    </row>
    <row r="857">
      <c r="O857" s="871"/>
    </row>
    <row r="858">
      <c r="O858" s="871"/>
    </row>
    <row r="859">
      <c r="O859" s="871"/>
    </row>
    <row r="860">
      <c r="O860" s="871"/>
    </row>
    <row r="861">
      <c r="O861" s="871"/>
    </row>
    <row r="862">
      <c r="O862" s="871"/>
    </row>
    <row r="863">
      <c r="O863" s="871"/>
    </row>
    <row r="864">
      <c r="O864" s="871"/>
    </row>
    <row r="865">
      <c r="O865" s="871"/>
    </row>
    <row r="866">
      <c r="O866" s="871"/>
    </row>
    <row r="867">
      <c r="O867" s="871"/>
    </row>
    <row r="868">
      <c r="O868" s="871"/>
    </row>
    <row r="869">
      <c r="O869" s="871"/>
    </row>
    <row r="870">
      <c r="O870" s="871"/>
    </row>
    <row r="871">
      <c r="O871" s="871"/>
    </row>
    <row r="872">
      <c r="O872" s="871"/>
    </row>
    <row r="873">
      <c r="O873" s="871"/>
    </row>
    <row r="874">
      <c r="O874" s="871"/>
    </row>
    <row r="875">
      <c r="O875" s="871"/>
    </row>
    <row r="876">
      <c r="O876" s="871"/>
    </row>
    <row r="877">
      <c r="O877" s="871"/>
    </row>
    <row r="878">
      <c r="O878" s="871"/>
    </row>
    <row r="879">
      <c r="O879" s="871"/>
    </row>
    <row r="880">
      <c r="O880" s="871"/>
    </row>
    <row r="881">
      <c r="O881" s="871"/>
    </row>
    <row r="882">
      <c r="O882" s="871"/>
    </row>
    <row r="883">
      <c r="O883" s="871"/>
    </row>
    <row r="884">
      <c r="O884" s="871"/>
    </row>
    <row r="885">
      <c r="O885" s="871"/>
    </row>
    <row r="886">
      <c r="O886" s="871"/>
    </row>
    <row r="887">
      <c r="O887" s="871"/>
    </row>
    <row r="888">
      <c r="O888" s="871"/>
    </row>
    <row r="889">
      <c r="O889" s="871"/>
    </row>
    <row r="890">
      <c r="O890" s="871"/>
    </row>
    <row r="891">
      <c r="O891" s="871"/>
    </row>
    <row r="892">
      <c r="O892" s="871"/>
    </row>
    <row r="893">
      <c r="O893" s="871"/>
    </row>
    <row r="894">
      <c r="O894" s="871"/>
    </row>
    <row r="895">
      <c r="O895" s="871"/>
    </row>
    <row r="896">
      <c r="O896" s="871"/>
    </row>
    <row r="897">
      <c r="O897" s="871"/>
    </row>
    <row r="898">
      <c r="O898" s="871"/>
    </row>
    <row r="899">
      <c r="O899" s="871"/>
    </row>
    <row r="900">
      <c r="O900" s="871"/>
    </row>
    <row r="901">
      <c r="O901" s="871"/>
    </row>
    <row r="902">
      <c r="O902" s="871"/>
    </row>
    <row r="903">
      <c r="O903" s="871"/>
    </row>
    <row r="904">
      <c r="O904" s="871"/>
    </row>
    <row r="905">
      <c r="O905" s="871"/>
    </row>
    <row r="906">
      <c r="O906" s="871"/>
    </row>
    <row r="907">
      <c r="O907" s="871"/>
    </row>
    <row r="908">
      <c r="O908" s="871"/>
    </row>
    <row r="909">
      <c r="O909" s="871"/>
    </row>
    <row r="910">
      <c r="O910" s="871"/>
    </row>
    <row r="911">
      <c r="O911" s="871"/>
    </row>
    <row r="912">
      <c r="O912" s="871"/>
    </row>
    <row r="913">
      <c r="O913" s="871"/>
    </row>
    <row r="914">
      <c r="O914" s="871"/>
    </row>
    <row r="915">
      <c r="O915" s="871"/>
    </row>
    <row r="916">
      <c r="O916" s="871"/>
    </row>
    <row r="917">
      <c r="O917" s="871"/>
    </row>
    <row r="918">
      <c r="O918" s="871"/>
    </row>
    <row r="919">
      <c r="O919" s="871"/>
    </row>
    <row r="920">
      <c r="O920" s="871"/>
    </row>
    <row r="921">
      <c r="O921" s="871"/>
    </row>
    <row r="922">
      <c r="O922" s="871"/>
    </row>
    <row r="923">
      <c r="O923" s="871"/>
    </row>
    <row r="924">
      <c r="O924" s="871"/>
    </row>
    <row r="925">
      <c r="O925" s="871"/>
    </row>
    <row r="926">
      <c r="O926" s="871"/>
    </row>
    <row r="927">
      <c r="O927" s="871"/>
    </row>
    <row r="928">
      <c r="O928" s="871"/>
    </row>
    <row r="929">
      <c r="O929" s="871"/>
    </row>
    <row r="930">
      <c r="O930" s="871"/>
    </row>
    <row r="931">
      <c r="O931" s="871"/>
    </row>
    <row r="932">
      <c r="O932" s="871"/>
    </row>
    <row r="933">
      <c r="O933" s="871"/>
    </row>
    <row r="934">
      <c r="O934" s="871"/>
    </row>
    <row r="935">
      <c r="O935" s="871"/>
    </row>
    <row r="936">
      <c r="O936" s="871"/>
    </row>
    <row r="937">
      <c r="O937" s="871"/>
    </row>
    <row r="938">
      <c r="O938" s="871"/>
    </row>
    <row r="939">
      <c r="O939" s="871"/>
    </row>
    <row r="940">
      <c r="O940" s="871"/>
    </row>
    <row r="941">
      <c r="O941" s="871"/>
    </row>
    <row r="942">
      <c r="O942" s="871"/>
    </row>
    <row r="943">
      <c r="O943" s="871"/>
    </row>
    <row r="944">
      <c r="O944" s="871"/>
    </row>
    <row r="945">
      <c r="O945" s="871"/>
    </row>
    <row r="946">
      <c r="O946" s="871"/>
    </row>
    <row r="947">
      <c r="O947" s="871"/>
    </row>
    <row r="948">
      <c r="O948" s="871"/>
    </row>
    <row r="949">
      <c r="O949" s="871"/>
    </row>
    <row r="950">
      <c r="O950" s="871"/>
    </row>
    <row r="951">
      <c r="O951" s="871"/>
    </row>
    <row r="952">
      <c r="O952" s="871"/>
    </row>
    <row r="953">
      <c r="O953" s="871"/>
    </row>
    <row r="954">
      <c r="O954" s="871"/>
    </row>
    <row r="955">
      <c r="O955" s="871"/>
    </row>
    <row r="956">
      <c r="O956" s="871"/>
    </row>
    <row r="957">
      <c r="O957" s="871"/>
    </row>
    <row r="958">
      <c r="O958" s="871"/>
    </row>
    <row r="959">
      <c r="O959" s="871"/>
    </row>
    <row r="960">
      <c r="O960" s="871"/>
    </row>
    <row r="961">
      <c r="O961" s="871"/>
    </row>
    <row r="962">
      <c r="O962" s="871"/>
    </row>
    <row r="963">
      <c r="O963" s="871"/>
    </row>
    <row r="964">
      <c r="O964" s="871"/>
    </row>
    <row r="965">
      <c r="O965" s="871"/>
    </row>
    <row r="966">
      <c r="O966" s="871"/>
    </row>
    <row r="967">
      <c r="O967" s="871"/>
    </row>
    <row r="968">
      <c r="O968" s="871"/>
    </row>
    <row r="969">
      <c r="O969" s="871"/>
    </row>
    <row r="970">
      <c r="O970" s="871"/>
    </row>
    <row r="971">
      <c r="O971" s="871"/>
    </row>
    <row r="972">
      <c r="O972" s="871"/>
    </row>
    <row r="973">
      <c r="O973" s="871"/>
    </row>
    <row r="974">
      <c r="O974" s="871"/>
    </row>
    <row r="975">
      <c r="O975" s="871"/>
    </row>
    <row r="976">
      <c r="O976" s="871"/>
    </row>
    <row r="977">
      <c r="O977" s="871"/>
    </row>
    <row r="978">
      <c r="O978" s="871"/>
    </row>
    <row r="979">
      <c r="O979" s="871"/>
    </row>
    <row r="980">
      <c r="O980" s="871"/>
    </row>
    <row r="981">
      <c r="O981" s="871"/>
    </row>
    <row r="982">
      <c r="O982" s="871"/>
    </row>
    <row r="983">
      <c r="O983" s="871"/>
    </row>
    <row r="984">
      <c r="O984" s="871"/>
    </row>
    <row r="985">
      <c r="O985" s="871"/>
    </row>
    <row r="986">
      <c r="O986" s="871"/>
    </row>
    <row r="987">
      <c r="O987" s="871"/>
    </row>
    <row r="988">
      <c r="O988" s="871"/>
    </row>
    <row r="989">
      <c r="O989" s="871"/>
    </row>
    <row r="990">
      <c r="O990" s="871"/>
    </row>
    <row r="991">
      <c r="O991" s="871"/>
    </row>
    <row r="992">
      <c r="O992" s="871"/>
    </row>
    <row r="993">
      <c r="O993" s="871"/>
    </row>
    <row r="994">
      <c r="O994" s="871"/>
    </row>
    <row r="995">
      <c r="O995" s="871"/>
    </row>
    <row r="996">
      <c r="O996" s="871"/>
    </row>
    <row r="997">
      <c r="O997" s="871"/>
    </row>
    <row r="998">
      <c r="O998" s="871"/>
    </row>
    <row r="999">
      <c r="O999" s="871"/>
    </row>
    <row r="1000">
      <c r="O1000" s="871"/>
    </row>
  </sheetData>
  <autoFilter ref="$A$1:$Z$1000"/>
  <hyperlinks>
    <hyperlink r:id="rId2" ref="S2"/>
    <hyperlink r:id="rId3" ref="S3"/>
    <hyperlink r:id="rId4" ref="S4"/>
    <hyperlink r:id="rId5" ref="S5"/>
    <hyperlink r:id="rId6" ref="S6"/>
    <hyperlink r:id="rId7" ref="S7"/>
    <hyperlink r:id="rId8" ref="T7"/>
    <hyperlink r:id="rId9" ref="S8"/>
    <hyperlink r:id="rId10" ref="S9"/>
    <hyperlink r:id="rId11" ref="S10"/>
    <hyperlink r:id="rId12" ref="S11"/>
    <hyperlink r:id="rId13" ref="S12"/>
    <hyperlink r:id="rId14" ref="S13"/>
    <hyperlink r:id="rId15" ref="S14"/>
    <hyperlink r:id="rId16" ref="S15"/>
    <hyperlink r:id="rId17" ref="S16"/>
    <hyperlink r:id="rId18" ref="S17"/>
    <hyperlink r:id="rId19" ref="S18"/>
    <hyperlink r:id="rId20" ref="S19"/>
    <hyperlink r:id="rId21" ref="S20"/>
    <hyperlink r:id="rId22" ref="S21"/>
    <hyperlink r:id="rId23" ref="S22"/>
    <hyperlink r:id="rId24" ref="S23"/>
    <hyperlink r:id="rId25" ref="S24"/>
    <hyperlink r:id="rId26" ref="S25"/>
    <hyperlink r:id="rId27" ref="S26"/>
    <hyperlink r:id="rId28" ref="S27"/>
    <hyperlink r:id="rId29" ref="S28"/>
    <hyperlink r:id="rId30" ref="S29"/>
    <hyperlink r:id="rId31" ref="S30"/>
    <hyperlink r:id="rId32" ref="S31"/>
    <hyperlink r:id="rId33" ref="S32"/>
    <hyperlink r:id="rId34" ref="S33"/>
    <hyperlink r:id="rId35" ref="S34"/>
    <hyperlink r:id="rId36" ref="S35"/>
    <hyperlink r:id="rId37" ref="S36"/>
    <hyperlink r:id="rId38" ref="S37"/>
    <hyperlink r:id="rId39" ref="S38"/>
    <hyperlink r:id="rId40" ref="S39"/>
    <hyperlink r:id="rId41" ref="S40"/>
    <hyperlink r:id="rId42" ref="S41"/>
    <hyperlink r:id="rId43" ref="S42"/>
    <hyperlink r:id="rId44" ref="S43"/>
    <hyperlink r:id="rId45" ref="S44"/>
    <hyperlink r:id="rId46" ref="S45"/>
    <hyperlink r:id="rId47" ref="S46"/>
    <hyperlink r:id="rId48" ref="S47"/>
    <hyperlink r:id="rId49" ref="S48"/>
    <hyperlink r:id="rId50" ref="S49"/>
    <hyperlink r:id="rId51" ref="S50"/>
    <hyperlink r:id="rId52" ref="S51"/>
    <hyperlink r:id="rId53" ref="S52"/>
    <hyperlink r:id="rId54" ref="S53"/>
    <hyperlink r:id="rId55" ref="T53"/>
    <hyperlink r:id="rId56" ref="S54"/>
    <hyperlink r:id="rId57" ref="S55"/>
    <hyperlink r:id="rId58" ref="S56"/>
    <hyperlink r:id="rId59" ref="S57"/>
    <hyperlink r:id="rId60" ref="S58"/>
    <hyperlink r:id="rId61" ref="S59"/>
    <hyperlink r:id="rId62" ref="S60"/>
    <hyperlink r:id="rId63" ref="S61"/>
    <hyperlink r:id="rId64" ref="S62"/>
    <hyperlink r:id="rId65" ref="S63"/>
    <hyperlink r:id="rId66" ref="S64"/>
    <hyperlink r:id="rId67" ref="S65"/>
    <hyperlink r:id="rId68" ref="S66"/>
    <hyperlink r:id="rId69" ref="S67"/>
    <hyperlink r:id="rId70" ref="S68"/>
    <hyperlink r:id="rId71" ref="S69"/>
    <hyperlink r:id="rId72" ref="S70"/>
    <hyperlink r:id="rId73" ref="S71"/>
    <hyperlink r:id="rId74" ref="S72"/>
    <hyperlink r:id="rId75" ref="S73"/>
    <hyperlink r:id="rId76" ref="S74"/>
    <hyperlink r:id="rId77" ref="S75"/>
    <hyperlink r:id="rId78" ref="S76"/>
    <hyperlink r:id="rId79" ref="S77"/>
    <hyperlink r:id="rId80" ref="S78"/>
    <hyperlink r:id="rId81" ref="S79"/>
    <hyperlink r:id="rId82" ref="S80"/>
    <hyperlink r:id="rId83" ref="S81"/>
    <hyperlink r:id="rId84" ref="S82"/>
    <hyperlink r:id="rId85" ref="S83"/>
    <hyperlink r:id="rId86" ref="S84"/>
    <hyperlink r:id="rId87" ref="S85"/>
    <hyperlink r:id="rId88" ref="S86"/>
    <hyperlink r:id="rId89" ref="S87"/>
    <hyperlink r:id="rId90" ref="S88"/>
    <hyperlink r:id="rId91" ref="S89"/>
    <hyperlink r:id="rId92" ref="S90"/>
    <hyperlink r:id="rId93" ref="S91"/>
    <hyperlink r:id="rId94" ref="S92"/>
    <hyperlink r:id="rId95" ref="S93"/>
    <hyperlink r:id="rId96" ref="S94"/>
    <hyperlink r:id="rId97" ref="S95"/>
    <hyperlink r:id="rId98" ref="S96"/>
    <hyperlink r:id="rId99" ref="S97"/>
    <hyperlink r:id="rId100" ref="S98"/>
    <hyperlink r:id="rId101" ref="S99"/>
    <hyperlink r:id="rId102" ref="S100"/>
    <hyperlink r:id="rId103" ref="S101"/>
    <hyperlink r:id="rId104" ref="S102"/>
    <hyperlink r:id="rId105" ref="S103"/>
    <hyperlink r:id="rId106" ref="S104"/>
    <hyperlink r:id="rId107" ref="S105"/>
    <hyperlink r:id="rId108" ref="S106"/>
    <hyperlink r:id="rId109" ref="S107"/>
    <hyperlink r:id="rId110" ref="S108"/>
    <hyperlink r:id="rId111" ref="S109"/>
    <hyperlink r:id="rId112" ref="S110"/>
    <hyperlink r:id="rId113" ref="S111"/>
    <hyperlink r:id="rId114" ref="S112"/>
    <hyperlink r:id="rId115" ref="S113"/>
    <hyperlink r:id="rId116" ref="S114"/>
    <hyperlink r:id="rId117" ref="S115"/>
    <hyperlink r:id="rId118" ref="S116"/>
    <hyperlink r:id="rId119" ref="S117"/>
    <hyperlink r:id="rId120" ref="S118"/>
    <hyperlink r:id="rId121" ref="S119"/>
    <hyperlink r:id="rId122" ref="S120"/>
    <hyperlink r:id="rId123" ref="S121"/>
    <hyperlink r:id="rId124" ref="S122"/>
    <hyperlink r:id="rId125" ref="S123"/>
    <hyperlink r:id="rId126" ref="S124"/>
    <hyperlink r:id="rId127" ref="S125"/>
    <hyperlink r:id="rId128" ref="S126"/>
    <hyperlink r:id="rId129" ref="S127"/>
    <hyperlink r:id="rId130" ref="S128"/>
    <hyperlink r:id="rId131" ref="S129"/>
    <hyperlink r:id="rId132" ref="S130"/>
    <hyperlink r:id="rId133" ref="S131"/>
    <hyperlink r:id="rId134" ref="S132"/>
    <hyperlink r:id="rId135" ref="S133"/>
    <hyperlink r:id="rId136" ref="S134"/>
    <hyperlink r:id="rId137" ref="S135"/>
    <hyperlink r:id="rId138" ref="S136"/>
    <hyperlink r:id="rId139" ref="S137"/>
    <hyperlink r:id="rId140" ref="S138"/>
    <hyperlink r:id="rId141" ref="S139"/>
    <hyperlink r:id="rId142" ref="S140"/>
    <hyperlink r:id="rId143" ref="S141"/>
    <hyperlink r:id="rId144" ref="S142"/>
    <hyperlink r:id="rId145" ref="S143"/>
    <hyperlink r:id="rId146" ref="S144"/>
    <hyperlink r:id="rId147" ref="S145"/>
    <hyperlink r:id="rId148" ref="S146"/>
    <hyperlink r:id="rId149" ref="S147"/>
    <hyperlink r:id="rId150" ref="S148"/>
    <hyperlink r:id="rId151" ref="S149"/>
    <hyperlink r:id="rId152" ref="S150"/>
    <hyperlink r:id="rId153" ref="S151"/>
    <hyperlink r:id="rId154" ref="S152"/>
    <hyperlink r:id="rId155" ref="S153"/>
    <hyperlink r:id="rId156" ref="S154"/>
    <hyperlink r:id="rId157" ref="S155"/>
    <hyperlink r:id="rId158" ref="S156"/>
    <hyperlink r:id="rId159" ref="S157"/>
    <hyperlink r:id="rId160" ref="S160"/>
    <hyperlink r:id="rId161" ref="S161"/>
    <hyperlink r:id="rId162" ref="S162"/>
    <hyperlink r:id="rId163" ref="S163"/>
    <hyperlink r:id="rId164" ref="S164"/>
    <hyperlink r:id="rId165" ref="S165"/>
    <hyperlink r:id="rId166" ref="S166"/>
    <hyperlink r:id="rId167" ref="S168"/>
    <hyperlink r:id="rId168" ref="S169"/>
    <hyperlink r:id="rId169" ref="S170"/>
    <hyperlink r:id="rId170" ref="S171"/>
    <hyperlink r:id="rId171" ref="S172"/>
    <hyperlink r:id="rId172" ref="S173"/>
    <hyperlink r:id="rId173" ref="S174"/>
    <hyperlink r:id="rId174" ref="S175"/>
    <hyperlink r:id="rId175" ref="S176"/>
    <hyperlink r:id="rId176" ref="S177"/>
    <hyperlink r:id="rId177" ref="S178"/>
    <hyperlink r:id="rId178" ref="S179"/>
    <hyperlink r:id="rId179" ref="S180"/>
    <hyperlink r:id="rId180" ref="S181"/>
    <hyperlink r:id="rId181" ref="S182"/>
    <hyperlink r:id="rId182" ref="S183"/>
    <hyperlink r:id="rId183" ref="S184"/>
    <hyperlink r:id="rId184" ref="S185"/>
    <hyperlink r:id="rId185" ref="S186"/>
    <hyperlink r:id="rId186" ref="S187"/>
    <hyperlink r:id="rId187" ref="S188"/>
    <hyperlink r:id="rId188" ref="S189"/>
    <hyperlink r:id="rId189" ref="S190"/>
    <hyperlink r:id="rId190" ref="S191"/>
    <hyperlink r:id="rId191" ref="S193"/>
    <hyperlink r:id="rId192" ref="S194"/>
    <hyperlink r:id="rId193" ref="S195"/>
    <hyperlink r:id="rId194" ref="S196"/>
    <hyperlink r:id="rId195" ref="S197"/>
    <hyperlink r:id="rId196" ref="S198"/>
    <hyperlink r:id="rId197" ref="S199"/>
    <hyperlink r:id="rId198" ref="S200"/>
    <hyperlink r:id="rId199" ref="S201"/>
    <hyperlink r:id="rId200" ref="S202"/>
    <hyperlink r:id="rId201" ref="S203"/>
    <hyperlink r:id="rId202" ref="S204"/>
    <hyperlink r:id="rId203" ref="S205"/>
    <hyperlink r:id="rId204" ref="S206"/>
    <hyperlink r:id="rId205" ref="S207"/>
    <hyperlink r:id="rId206" ref="S208"/>
    <hyperlink r:id="rId207" ref="S210"/>
    <hyperlink r:id="rId208" ref="S211"/>
    <hyperlink r:id="rId209" ref="S212"/>
    <hyperlink r:id="rId210" ref="S213"/>
    <hyperlink r:id="rId211" ref="S214"/>
    <hyperlink r:id="rId212" ref="S215"/>
    <hyperlink r:id="rId213" ref="S216"/>
    <hyperlink r:id="rId214" ref="S217"/>
    <hyperlink r:id="rId215" ref="S218"/>
    <hyperlink r:id="rId216" ref="S219"/>
    <hyperlink r:id="rId217" ref="S222"/>
    <hyperlink r:id="rId218" ref="S223"/>
    <hyperlink r:id="rId219" ref="S224"/>
    <hyperlink r:id="rId220" ref="S225"/>
    <hyperlink r:id="rId221" ref="S226"/>
    <hyperlink r:id="rId222" ref="S227"/>
    <hyperlink r:id="rId223" ref="S228"/>
    <hyperlink r:id="rId224" ref="S229"/>
    <hyperlink r:id="rId225" ref="S230"/>
    <hyperlink r:id="rId226" ref="S231"/>
    <hyperlink r:id="rId227" ref="S232"/>
    <hyperlink r:id="rId228" ref="S233"/>
    <hyperlink r:id="rId229" ref="S234"/>
    <hyperlink r:id="rId230" ref="S235"/>
    <hyperlink r:id="rId231" ref="S236"/>
    <hyperlink r:id="rId232" ref="S237"/>
    <hyperlink r:id="rId233" ref="S238"/>
    <hyperlink r:id="rId234" ref="S239"/>
    <hyperlink r:id="rId235" ref="S240"/>
    <hyperlink r:id="rId236" ref="S241"/>
    <hyperlink r:id="rId237" ref="S242"/>
    <hyperlink r:id="rId238" ref="S243"/>
    <hyperlink r:id="rId239" ref="S244"/>
    <hyperlink r:id="rId240" ref="S245"/>
    <hyperlink r:id="rId241" ref="S246"/>
    <hyperlink r:id="rId242" ref="S247"/>
    <hyperlink r:id="rId243" ref="S248"/>
    <hyperlink r:id="rId244" ref="S249"/>
    <hyperlink r:id="rId245" ref="S250"/>
    <hyperlink r:id="rId246" ref="S251"/>
    <hyperlink r:id="rId247" ref="S252"/>
    <hyperlink r:id="rId248" ref="S253"/>
    <hyperlink r:id="rId249" ref="S254"/>
    <hyperlink r:id="rId250" ref="S255"/>
    <hyperlink r:id="rId251" ref="S256"/>
    <hyperlink r:id="rId252" ref="S257"/>
    <hyperlink r:id="rId253" ref="S258"/>
    <hyperlink r:id="rId254" ref="S259"/>
    <hyperlink r:id="rId255" ref="S260"/>
    <hyperlink r:id="rId256" ref="S262"/>
    <hyperlink r:id="rId257" ref="S263"/>
    <hyperlink r:id="rId258" ref="S264"/>
    <hyperlink r:id="rId259" ref="A265"/>
    <hyperlink r:id="rId260" ref="R265"/>
    <hyperlink r:id="rId261" ref="A266"/>
    <hyperlink r:id="rId262" ref="R266"/>
    <hyperlink r:id="rId263" ref="A267"/>
    <hyperlink r:id="rId264" ref="R267"/>
    <hyperlink r:id="rId265" ref="A268"/>
    <hyperlink r:id="rId266" ref="R268"/>
    <hyperlink r:id="rId267" ref="A269"/>
    <hyperlink r:id="rId268" ref="R269"/>
    <hyperlink r:id="rId269" ref="A270"/>
    <hyperlink r:id="rId270" ref="R270"/>
    <hyperlink r:id="rId271" ref="A271"/>
    <hyperlink r:id="rId272" ref="R271"/>
    <hyperlink r:id="rId273" ref="A272"/>
    <hyperlink r:id="rId274" ref="R272"/>
    <hyperlink r:id="rId275" ref="A273"/>
    <hyperlink r:id="rId276" ref="R273"/>
    <hyperlink r:id="rId277" ref="A274"/>
    <hyperlink r:id="rId278" ref="R274"/>
    <hyperlink r:id="rId279" ref="A275"/>
    <hyperlink r:id="rId280" ref="R275"/>
    <hyperlink r:id="rId281" ref="A276"/>
    <hyperlink r:id="rId282" ref="R276"/>
    <hyperlink r:id="rId283" ref="A277"/>
    <hyperlink r:id="rId284" ref="R277"/>
    <hyperlink r:id="rId285" ref="A278"/>
    <hyperlink r:id="rId286" ref="R278"/>
    <hyperlink r:id="rId287" ref="A279"/>
    <hyperlink r:id="rId288" ref="R279"/>
    <hyperlink r:id="rId289" ref="A280"/>
    <hyperlink r:id="rId290" ref="R280"/>
    <hyperlink r:id="rId291" ref="A281"/>
    <hyperlink r:id="rId292" ref="R281"/>
    <hyperlink r:id="rId293" ref="A282"/>
    <hyperlink r:id="rId294" ref="R282"/>
    <hyperlink r:id="rId295" ref="A283"/>
    <hyperlink r:id="rId296" ref="R283"/>
    <hyperlink r:id="rId297" ref="A284"/>
    <hyperlink r:id="rId298" ref="R284"/>
    <hyperlink r:id="rId299" ref="A285"/>
    <hyperlink r:id="rId300" ref="R285"/>
    <hyperlink r:id="rId301" ref="A286"/>
    <hyperlink r:id="rId302" ref="R286"/>
    <hyperlink r:id="rId303" ref="T289"/>
    <hyperlink r:id="rId304" ref="T290"/>
    <hyperlink r:id="rId305" ref="T291"/>
    <hyperlink r:id="rId306" ref="T292"/>
    <hyperlink r:id="rId307" ref="T293"/>
    <hyperlink r:id="rId308" ref="T294"/>
    <hyperlink r:id="rId309" ref="T295"/>
  </hyperlinks>
  <drawing r:id="rId310"/>
  <legacyDrawing r:id="rId31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0" max="10" width="18.13"/>
    <col hidden="1" min="41" max="43" width="12.63"/>
    <col hidden="1" min="48" max="48" width="12.63"/>
    <col hidden="1" min="50" max="67" width="12.63"/>
    <col hidden="1" min="75" max="77" width="12.63"/>
    <col hidden="1" min="79" max="79" width="12.63"/>
  </cols>
  <sheetData>
    <row r="1">
      <c r="A1" s="875" t="s">
        <v>16</v>
      </c>
      <c r="B1" s="876"/>
      <c r="C1" s="876"/>
      <c r="D1" s="876"/>
      <c r="E1" s="876"/>
      <c r="F1" s="876"/>
      <c r="G1" s="876"/>
      <c r="H1" s="876"/>
      <c r="I1" s="876"/>
      <c r="J1" s="876"/>
      <c r="K1" s="876"/>
      <c r="L1" s="876"/>
      <c r="M1" s="876"/>
      <c r="N1" s="877"/>
      <c r="O1" s="876"/>
      <c r="P1" s="876"/>
      <c r="Q1" s="876"/>
      <c r="R1" s="876"/>
      <c r="S1" s="876"/>
      <c r="T1" s="876"/>
      <c r="U1" s="876"/>
      <c r="V1" s="876"/>
      <c r="W1" s="876"/>
      <c r="X1" s="876"/>
      <c r="Y1" s="876"/>
      <c r="Z1" s="876"/>
      <c r="AA1" s="876"/>
      <c r="AB1" s="876"/>
      <c r="AC1" s="876"/>
      <c r="AD1" s="876"/>
      <c r="AE1" s="876"/>
      <c r="AF1" s="876"/>
      <c r="AG1" s="876"/>
      <c r="AH1" s="876"/>
      <c r="AI1" s="878"/>
      <c r="AJ1" s="879" t="s">
        <v>17</v>
      </c>
      <c r="AK1" s="880"/>
      <c r="AL1" s="880"/>
      <c r="AM1" s="880"/>
      <c r="AN1" s="880"/>
      <c r="AO1" s="880"/>
      <c r="AP1" s="880"/>
      <c r="AQ1" s="880"/>
      <c r="AR1" s="880"/>
      <c r="AS1" s="880"/>
      <c r="AT1" s="880"/>
      <c r="AU1" s="880"/>
      <c r="AV1" s="880"/>
      <c r="AW1" s="881"/>
      <c r="AX1" s="863"/>
      <c r="AY1" s="863"/>
      <c r="AZ1" s="863"/>
      <c r="BA1" s="863"/>
      <c r="BB1" s="863"/>
      <c r="BC1" s="863"/>
      <c r="BD1" s="863"/>
      <c r="BE1" s="863"/>
      <c r="BF1" s="863"/>
      <c r="BG1" s="863"/>
      <c r="BH1" s="863"/>
      <c r="BI1" s="863"/>
      <c r="BJ1" s="863"/>
      <c r="BK1" s="863"/>
      <c r="BL1" s="863"/>
      <c r="BM1" s="863"/>
      <c r="BN1" s="863"/>
      <c r="BO1" s="863"/>
      <c r="BP1" s="880"/>
      <c r="BQ1" s="863"/>
      <c r="BR1" s="882" t="s">
        <v>15</v>
      </c>
      <c r="BS1" s="883"/>
      <c r="BT1" s="883"/>
      <c r="BU1" s="883"/>
      <c r="BV1" s="883"/>
      <c r="BW1" s="883"/>
      <c r="BX1" s="883"/>
      <c r="BY1" s="883"/>
      <c r="BZ1" s="883"/>
      <c r="CA1" s="883"/>
      <c r="CB1" s="883"/>
      <c r="CC1" s="883"/>
      <c r="CD1" s="884"/>
      <c r="CE1" s="883"/>
      <c r="CF1" s="883"/>
      <c r="CG1" s="883"/>
      <c r="CH1" s="883"/>
      <c r="CI1" s="883"/>
      <c r="CJ1" s="883"/>
      <c r="CK1" s="883"/>
      <c r="CL1" s="883"/>
      <c r="CM1" s="883"/>
      <c r="CN1" s="883"/>
      <c r="CO1" s="883"/>
      <c r="CP1" s="883"/>
      <c r="CQ1" s="883"/>
      <c r="CR1" s="883"/>
      <c r="CS1" s="883"/>
      <c r="CT1" s="883"/>
      <c r="CU1" s="883"/>
      <c r="CV1" s="863"/>
      <c r="CW1" s="863"/>
      <c r="CX1" s="863"/>
      <c r="CY1" s="863"/>
      <c r="CZ1" s="863"/>
      <c r="DA1" s="863"/>
      <c r="DB1" s="863"/>
      <c r="DC1" s="863"/>
      <c r="DD1" s="863"/>
      <c r="DE1" s="863"/>
    </row>
    <row r="2">
      <c r="A2" s="876" t="str">
        <f>IFERROR(__xludf.DUMMYFUNCTION("IFERROR(IMPORTRANGE(""https://docs.google.com/spreadsheets/d/1G50QvMEE94bW0fRLkEwEAncjg-lmXWGI3br3tm44Nkk/edit#gid=0"",""sheet1!A1:AH150""),)"),"Author")</f>
        <v>Author</v>
      </c>
      <c r="B2" s="876" t="str">
        <f>IFERROR(__xludf.DUMMYFUNCTION("""COMPUTED_VALUE"""),"Country")</f>
        <v>Country</v>
      </c>
      <c r="C2" s="876" t="str">
        <f>IFERROR(__xludf.DUMMYFUNCTION("""COMPUTED_VALUE"""),"Comparator")</f>
        <v>Comparator</v>
      </c>
      <c r="D2" s="876" t="str">
        <f>IFERROR(__xludf.DUMMYFUNCTION("""COMPUTED_VALUE"""),"Number ")</f>
        <v>Number </v>
      </c>
      <c r="E2" s="876" t="str">
        <f>IFERROR(__xludf.DUMMYFUNCTION("""COMPUTED_VALUE"""),"Dose")</f>
        <v>Dose</v>
      </c>
      <c r="F2" s="876" t="str">
        <f>IFERROR(__xludf.DUMMYFUNCTION("""COMPUTED_VALUE"""),"Sample Size")</f>
        <v>Sample Size</v>
      </c>
      <c r="G2" s="876" t="str">
        <f>IFERROR(__xludf.DUMMYFUNCTION("""COMPUTED_VALUE"""),"Age")</f>
        <v>Age</v>
      </c>
      <c r="H2" s="876" t="str">
        <f>IFERROR(__xludf.DUMMYFUNCTION("""COMPUTED_VALUE"""),"Sex (M:F)")</f>
        <v>Sex (M:F)</v>
      </c>
      <c r="I2" s="876" t="str">
        <f>IFERROR(__xludf.DUMMYFUNCTION("""COMPUTED_VALUE"""),"Year")</f>
        <v>Year</v>
      </c>
      <c r="J2" s="876" t="str">
        <f>IFERROR(__xludf.DUMMYFUNCTION("""COMPUTED_VALUE"""),"Inclusion Criteria")</f>
        <v>Inclusion Criteria</v>
      </c>
      <c r="K2" s="876" t="str">
        <f>IFERROR(__xludf.DUMMYFUNCTION("""COMPUTED_VALUE"""),"Blind/Double Blind")</f>
        <v>Blind/Double Blind</v>
      </c>
      <c r="L2" s="876" t="str">
        <f>IFERROR(__xludf.DUMMYFUNCTION("""COMPUTED_VALUE"""),"Randomized?")</f>
        <v>Randomized?</v>
      </c>
      <c r="M2" s="876" t="str">
        <f>IFERROR(__xludf.DUMMYFUNCTION("""COMPUTED_VALUE"""),"Blind or Double Blind? (Yes/No)")</f>
        <v>Blind or Double Blind? (Yes/No)</v>
      </c>
      <c r="N2" s="877" t="str">
        <f>IFERROR(__xludf.DUMMYFUNCTION("""COMPUTED_VALUE"""),"CR")</f>
        <v>CR</v>
      </c>
      <c r="O2" s="876" t="str">
        <f>IFERROR(__xludf.DUMMYFUNCTION("""COMPUTED_VALUE"""),"Day 7-14")</f>
        <v>Day 7-14</v>
      </c>
      <c r="P2" s="876" t="str">
        <f>IFERROR(__xludf.DUMMYFUNCTION("""COMPUTED_VALUE"""),"Day 21")</f>
        <v>Day 21</v>
      </c>
      <c r="Q2" s="876" t="str">
        <f>IFERROR(__xludf.DUMMYFUNCTION("""COMPUTED_VALUE"""),"Day 30")</f>
        <v>Day 30</v>
      </c>
      <c r="R2" s="876" t="str">
        <f>IFERROR(__xludf.DUMMYFUNCTION("""COMPUTED_VALUE"""),"Day 42")</f>
        <v>Day 42</v>
      </c>
      <c r="S2" s="876" t="str">
        <f>IFERROR(__xludf.DUMMYFUNCTION("""COMPUTED_VALUE"""),"3 weeks")</f>
        <v>3 weeks</v>
      </c>
      <c r="T2" s="876" t="str">
        <f>IFERROR(__xludf.DUMMYFUNCTION("""COMPUTED_VALUE"""),"4 weeks ")</f>
        <v>4 weeks </v>
      </c>
      <c r="U2" s="876" t="str">
        <f>IFERROR(__xludf.DUMMYFUNCTION("""COMPUTED_VALUE"""),"5 weeks")</f>
        <v>5 weeks</v>
      </c>
      <c r="V2" s="876" t="str">
        <f>IFERROR(__xludf.DUMMYFUNCTION("""COMPUTED_VALUE"""),"4 months")</f>
        <v>4 months</v>
      </c>
      <c r="W2" s="876" t="str">
        <f>IFERROR(__xludf.DUMMYFUNCTION("""COMPUTED_VALUE"""),"ERR")</f>
        <v>ERR</v>
      </c>
      <c r="X2" s="876" t="str">
        <f>IFERROR(__xludf.DUMMYFUNCTION("""COMPUTED_VALUE"""),"2 weeks")</f>
        <v>2 weeks</v>
      </c>
      <c r="Y2" s="876" t="str">
        <f>IFERROR(__xludf.DUMMYFUNCTION("""COMPUTED_VALUE"""),"3 weeks ")</f>
        <v>3 weeks </v>
      </c>
      <c r="Z2" s="876" t="str">
        <f>IFERROR(__xludf.DUMMYFUNCTION("""COMPUTED_VALUE"""),"4 weeks ")</f>
        <v>4 weeks </v>
      </c>
      <c r="AA2" s="876" t="str">
        <f>IFERROR(__xludf.DUMMYFUNCTION("""COMPUTED_VALUE"""),"5 weeks ")</f>
        <v>5 weeks </v>
      </c>
      <c r="AB2" s="876" t="str">
        <f>IFERROR(__xludf.DUMMYFUNCTION("""COMPUTED_VALUE"""),"6 weeks")</f>
        <v>6 weeks</v>
      </c>
      <c r="AC2" s="876" t="str">
        <f>IFERROR(__xludf.DUMMYFUNCTION("""COMPUTED_VALUE"""),"4 months")</f>
        <v>4 months</v>
      </c>
      <c r="AD2" s="876" t="str">
        <f>IFERROR(__xludf.DUMMYFUNCTION("""COMPUTED_VALUE"""),"6 months")</f>
        <v>6 months</v>
      </c>
      <c r="AE2" s="876" t="str">
        <f>IFERROR(__xludf.DUMMYFUNCTION("""COMPUTED_VALUE"""),"Conclusion")</f>
        <v>Conclusion</v>
      </c>
      <c r="AF2" s="876" t="str">
        <f>IFERROR(__xludf.DUMMYFUNCTION("""COMPUTED_VALUE"""),"Notes")</f>
        <v>Notes</v>
      </c>
      <c r="AG2" s="876" t="str">
        <f>IFERROR(__xludf.DUMMYFUNCTION("""COMPUTED_VALUE"""),"Reference")</f>
        <v>Reference</v>
      </c>
      <c r="AH2" s="876" t="str">
        <f>IFERROR(__xludf.DUMMYFUNCTION("""COMPUTED_VALUE"""),"x=exclusion")</f>
        <v>x=exclusion</v>
      </c>
      <c r="AI2" s="878"/>
      <c r="AJ2" s="885" t="str">
        <f>IFERROR(__xludf.DUMMYFUNCTION("IFERROR(IMPORTRANGE(""https://docs.google.com/spreadsheets/d/1_WH2HrZWAn6vEX-TAv4DF_AXJ7HT_yDuSMQAoBiZHxQ/edit#gid=0"",""All Info!A2:AG200""),)"),"Key - purple= checked by Allison; pale yellow = added by Allison")</f>
        <v>Key - purple= checked by Allison; pale yellow = added by Allison</v>
      </c>
      <c r="AK2" s="880" t="str">
        <f>IFERROR(__xludf.DUMMYFUNCTION("""COMPUTED_VALUE"""),"Reference")</f>
        <v>Reference</v>
      </c>
      <c r="AL2" s="880" t="str">
        <f>IFERROR(__xludf.DUMMYFUNCTION("""COMPUTED_VALUE"""),"Country")</f>
        <v>Country</v>
      </c>
      <c r="AM2" s="880" t="str">
        <f>IFERROR(__xludf.DUMMYFUNCTION("""COMPUTED_VALUE"""),"Comparator")</f>
        <v>Comparator</v>
      </c>
      <c r="AN2" s="880" t="str">
        <f>IFERROR(__xludf.DUMMYFUNCTION("""COMPUTED_VALUE"""),"Number")</f>
        <v>Number</v>
      </c>
      <c r="AO2" s="880" t="str">
        <f>IFERROR(__xludf.DUMMYFUNCTION("""COMPUTED_VALUE"""),"Dose")</f>
        <v>Dose</v>
      </c>
      <c r="AP2" s="880" t="str">
        <f>IFERROR(__xludf.DUMMYFUNCTION("""COMPUTED_VALUE"""),"Sample Size")</f>
        <v>Sample Size</v>
      </c>
      <c r="AQ2" s="880" t="str">
        <f>IFERROR(__xludf.DUMMYFUNCTION("""COMPUTED_VALUE"""),"Age")</f>
        <v>Age</v>
      </c>
      <c r="AR2" s="880" t="str">
        <f>IFERROR(__xludf.DUMMYFUNCTION("""COMPUTED_VALUE"""),"Sex")</f>
        <v>Sex</v>
      </c>
      <c r="AS2" s="880" t="str">
        <f>IFERROR(__xludf.DUMMYFUNCTION("""COMPUTED_VALUE"""),"Year")</f>
        <v>Year</v>
      </c>
      <c r="AT2" s="880" t="str">
        <f>IFERROR(__xludf.DUMMYFUNCTION("""COMPUTED_VALUE"""),"Inclusion Criteria")</f>
        <v>Inclusion Criteria</v>
      </c>
      <c r="AU2" s="880" t="str">
        <f>IFERROR(__xludf.DUMMYFUNCTION("""COMPUTED_VALUE"""),"Randomized? (Yes/No/Unknown)")</f>
        <v>Randomized? (Yes/No/Unknown)</v>
      </c>
      <c r="AV2" s="880" t="str">
        <f>IFERROR(__xludf.DUMMYFUNCTION("""COMPUTED_VALUE"""),"Blind: yes or no")</f>
        <v>Blind: yes or no</v>
      </c>
      <c r="AW2" s="881" t="str">
        <f>IFERROR(__xludf.DUMMYFUNCTION("""COMPUTED_VALUE"""),"Blind/Double Blind")</f>
        <v>Blind/Double Blind</v>
      </c>
      <c r="AX2" s="863" t="str">
        <f>IFERROR(__xludf.DUMMYFUNCTION("""COMPUTED_VALUE"""),"CR")</f>
        <v>CR</v>
      </c>
      <c r="AY2" s="863" t="str">
        <f>IFERROR(__xludf.DUMMYFUNCTION("""COMPUTED_VALUE"""),"Day 7-14")</f>
        <v>Day 7-14</v>
      </c>
      <c r="AZ2" s="863" t="str">
        <f>IFERROR(__xludf.DUMMYFUNCTION("""COMPUTED_VALUE"""),"Day 21")</f>
        <v>Day 21</v>
      </c>
      <c r="BA2" s="863" t="str">
        <f>IFERROR(__xludf.DUMMYFUNCTION("""COMPUTED_VALUE"""),"Day 30")</f>
        <v>Day 30</v>
      </c>
      <c r="BB2" s="863" t="str">
        <f>IFERROR(__xludf.DUMMYFUNCTION("""COMPUTED_VALUE"""),"Day 42")</f>
        <v>Day 42</v>
      </c>
      <c r="BC2" s="863" t="str">
        <f>IFERROR(__xludf.DUMMYFUNCTION("""COMPUTED_VALUE"""),"3-4 weeks")</f>
        <v>3-4 weeks</v>
      </c>
      <c r="BD2" s="863" t="str">
        <f>IFERROR(__xludf.DUMMYFUNCTION("""COMPUTED_VALUE"""),"5 weeks")</f>
        <v>5 weeks</v>
      </c>
      <c r="BE2" s="863" t="str">
        <f>IFERROR(__xludf.DUMMYFUNCTION("""COMPUTED_VALUE"""),"6 weeks")</f>
        <v>6 weeks</v>
      </c>
      <c r="BF2" s="863" t="str">
        <f>IFERROR(__xludf.DUMMYFUNCTION("""COMPUTED_VALUE"""),"4 months")</f>
        <v>4 months</v>
      </c>
      <c r="BG2" s="863" t="str">
        <f>IFERROR(__xludf.DUMMYFUNCTION("""COMPUTED_VALUE"""),"12 Months")</f>
        <v>12 Months</v>
      </c>
      <c r="BH2" s="863" t="str">
        <f>IFERROR(__xludf.DUMMYFUNCTION("""COMPUTED_VALUE"""),"ERR")</f>
        <v>ERR</v>
      </c>
      <c r="BI2" s="863" t="str">
        <f>IFERROR(__xludf.DUMMYFUNCTION("""COMPUTED_VALUE"""),"3 weeks ")</f>
        <v>3 weeks </v>
      </c>
      <c r="BJ2" s="863" t="str">
        <f>IFERROR(__xludf.DUMMYFUNCTION("""COMPUTED_VALUE"""),"4 weeks ")</f>
        <v>4 weeks </v>
      </c>
      <c r="BK2" s="863" t="str">
        <f>IFERROR(__xludf.DUMMYFUNCTION("""COMPUTED_VALUE"""),"5 weeks ")</f>
        <v>5 weeks </v>
      </c>
      <c r="BL2" s="863" t="str">
        <f>IFERROR(__xludf.DUMMYFUNCTION("""COMPUTED_VALUE"""),"4 months")</f>
        <v>4 months</v>
      </c>
      <c r="BM2" s="863" t="str">
        <f>IFERROR(__xludf.DUMMYFUNCTION("""COMPUTED_VALUE"""),"6 months")</f>
        <v>6 months</v>
      </c>
      <c r="BN2" s="863" t="str">
        <f>IFERROR(__xludf.DUMMYFUNCTION("""COMPUTED_VALUE"""),"Conclusion")</f>
        <v>Conclusion</v>
      </c>
      <c r="BO2" s="863" t="str">
        <f>IFERROR(__xludf.DUMMYFUNCTION("""COMPUTED_VALUE"""),"Notes")</f>
        <v>Notes</v>
      </c>
      <c r="BP2" s="880" t="str">
        <f>IFERROR(__xludf.DUMMYFUNCTION("""COMPUTED_VALUE"""),"x=exclusion")</f>
        <v>x=exclusion</v>
      </c>
      <c r="BQ2" s="863"/>
      <c r="BR2" s="886" t="str">
        <f>IFERROR(__xludf.DUMMYFUNCTION("IMPORTRANGE(""https://docs.google.com/spreadsheets/d/13Tpq2YdppmCFwiZ_UJWLO53A-tZiRQ0k7QBRCCXBJEo/edit#gid=0"",""Sheet1!$A$2:$AD$400"")"),"Key- purple = checked by Allison; blue=checked by Kinga; pale yellow authors = added by Allison, bright yellow=unclear about exclusion (Maia) -- row 2-213")</f>
        <v>Key- purple = checked by Allison; blue=checked by Kinga; pale yellow authors = added by Allison, bright yellow=unclear about exclusion (Maia) -- row 2-213</v>
      </c>
      <c r="BS2" s="883" t="str">
        <f>IFERROR(__xludf.DUMMYFUNCTION("""COMPUTED_VALUE"""),"Country")</f>
        <v>Country</v>
      </c>
      <c r="BT2" s="883" t="str">
        <f>IFERROR(__xludf.DUMMYFUNCTION("""COMPUTED_VALUE"""),"Comparator")</f>
        <v>Comparator</v>
      </c>
      <c r="BU2" s="883"/>
      <c r="BV2" s="883" t="str">
        <f>IFERROR(__xludf.DUMMYFUNCTION("""COMPUTED_VALUE"""),"Number")</f>
        <v>Number</v>
      </c>
      <c r="BW2" s="883" t="str">
        <f>IFERROR(__xludf.DUMMYFUNCTION("""COMPUTED_VALUE"""),"Dose")</f>
        <v>Dose</v>
      </c>
      <c r="BX2" s="883" t="str">
        <f>IFERROR(__xludf.DUMMYFUNCTION("""COMPUTED_VALUE"""),"Sample Size")</f>
        <v>Sample Size</v>
      </c>
      <c r="BY2" s="883" t="str">
        <f>IFERROR(__xludf.DUMMYFUNCTION("""COMPUTED_VALUE"""),"Age")</f>
        <v>Age</v>
      </c>
      <c r="BZ2" s="883" t="str">
        <f>IFERROR(__xludf.DUMMYFUNCTION("""COMPUTED_VALUE"""),"Year")</f>
        <v>Year</v>
      </c>
      <c r="CA2" s="883" t="str">
        <f>IFERROR(__xludf.DUMMYFUNCTION("""COMPUTED_VALUE"""),"Sex (M:F)")</f>
        <v>Sex (M:F)</v>
      </c>
      <c r="CB2" s="883" t="str">
        <f>IFERROR(__xludf.DUMMYFUNCTION("""COMPUTED_VALUE"""),"Inclusion Criteria")</f>
        <v>Inclusion Criteria</v>
      </c>
      <c r="CC2" s="883" t="str">
        <f>IFERROR(__xludf.DUMMYFUNCTION("""COMPUTED_VALUE"""),"Randomised?")</f>
        <v>Randomised?</v>
      </c>
      <c r="CD2" s="884" t="str">
        <f>IFERROR(__xludf.DUMMYFUNCTION("""COMPUTED_VALUE"""),"CR")</f>
        <v>CR</v>
      </c>
      <c r="CE2" s="883" t="str">
        <f>IFERROR(__xludf.DUMMYFUNCTION("""COMPUTED_VALUE"""),"Blind/Double Blind")</f>
        <v>Blind/Double Blind</v>
      </c>
      <c r="CF2" s="883" t="str">
        <f>IFERROR(__xludf.DUMMYFUNCTION("""COMPUTED_VALUE"""),"Day 7-14")</f>
        <v>Day 7-14</v>
      </c>
      <c r="CG2" s="883" t="str">
        <f>IFERROR(__xludf.DUMMYFUNCTION("""COMPUTED_VALUE"""),"Day 21")</f>
        <v>Day 21</v>
      </c>
      <c r="CH2" s="883" t="str">
        <f>IFERROR(__xludf.DUMMYFUNCTION("""COMPUTED_VALUE"""),"Day 30")</f>
        <v>Day 30</v>
      </c>
      <c r="CI2" s="883" t="str">
        <f>IFERROR(__xludf.DUMMYFUNCTION("""COMPUTED_VALUE"""),"Day 42")</f>
        <v>Day 42</v>
      </c>
      <c r="CJ2" s="883" t="str">
        <f>IFERROR(__xludf.DUMMYFUNCTION("""COMPUTED_VALUE"""),"3 weeks")</f>
        <v>3 weeks</v>
      </c>
      <c r="CK2" s="883" t="str">
        <f>IFERROR(__xludf.DUMMYFUNCTION("""COMPUTED_VALUE"""),"4 weeks ")</f>
        <v>4 weeks </v>
      </c>
      <c r="CL2" s="883" t="str">
        <f>IFERROR(__xludf.DUMMYFUNCTION("""COMPUTED_VALUE"""),"4 months")</f>
        <v>4 months</v>
      </c>
      <c r="CM2" s="883" t="str">
        <f>IFERROR(__xludf.DUMMYFUNCTION("""COMPUTED_VALUE"""),"ERR")</f>
        <v>ERR</v>
      </c>
      <c r="CN2" s="883" t="str">
        <f>IFERROR(__xludf.DUMMYFUNCTION("""COMPUTED_VALUE"""),"3 weeks ")</f>
        <v>3 weeks </v>
      </c>
      <c r="CO2" s="883" t="str">
        <f>IFERROR(__xludf.DUMMYFUNCTION("""COMPUTED_VALUE"""),"4 weeks ")</f>
        <v>4 weeks </v>
      </c>
      <c r="CP2" s="883" t="str">
        <f>IFERROR(__xludf.DUMMYFUNCTION("""COMPUTED_VALUE"""),"5 weeks ")</f>
        <v>5 weeks </v>
      </c>
      <c r="CQ2" s="883" t="str">
        <f>IFERROR(__xludf.DUMMYFUNCTION("""COMPUTED_VALUE"""),"4 months")</f>
        <v>4 months</v>
      </c>
      <c r="CR2" s="883" t="str">
        <f>IFERROR(__xludf.DUMMYFUNCTION("""COMPUTED_VALUE"""),"6 months")</f>
        <v>6 months</v>
      </c>
      <c r="CS2" s="883" t="str">
        <f>IFERROR(__xludf.DUMMYFUNCTION("""COMPUTED_VALUE"""),"Conclusion")</f>
        <v>Conclusion</v>
      </c>
      <c r="CT2" s="883" t="str">
        <f>IFERROR(__xludf.DUMMYFUNCTION("""COMPUTED_VALUE"""),"Notes")</f>
        <v>Notes</v>
      </c>
      <c r="CU2" s="883" t="str">
        <f>IFERROR(__xludf.DUMMYFUNCTION("""COMPUTED_VALUE"""),"x=exclusion")</f>
        <v>x=exclusion</v>
      </c>
      <c r="CV2" s="863"/>
      <c r="CW2" s="863"/>
      <c r="CX2" s="863"/>
      <c r="CY2" s="863"/>
      <c r="CZ2" s="863"/>
      <c r="DA2" s="863"/>
      <c r="DB2" s="863"/>
      <c r="DC2" s="863"/>
      <c r="DD2" s="863"/>
      <c r="DE2" s="863"/>
    </row>
    <row r="3">
      <c r="A3" s="887" t="str">
        <f>IFERROR(__xludf.DUMMYFUNCTION("""COMPUTED_VALUE"""),"Abadi, K.")</f>
        <v>Abadi, K.</v>
      </c>
      <c r="B3" s="876" t="str">
        <f>IFERROR(__xludf.DUMMYFUNCTION("""COMPUTED_VALUE"""),"Indonesia")</f>
        <v>Indonesia</v>
      </c>
      <c r="C3" s="876" t="str">
        <f>IFERROR(__xludf.DUMMYFUNCTION("""COMPUTED_VALUE"""),"Mebendazole")</f>
        <v>Mebendazole</v>
      </c>
      <c r="D3" s="876" t="str">
        <f>IFERROR(__xludf.DUMMYFUNCTION("""COMPUTED_VALUE"""),"Single")</f>
        <v>Single</v>
      </c>
      <c r="E3" s="876" t="str">
        <f>IFERROR(__xludf.DUMMYFUNCTION("""COMPUTED_VALUE"""),"500 mg")</f>
        <v>500 mg</v>
      </c>
      <c r="F3" s="876">
        <f>IFERROR(__xludf.DUMMYFUNCTION("""COMPUTED_VALUE"""),45.0)</f>
        <v>45</v>
      </c>
      <c r="G3" s="876" t="str">
        <f>IFERROR(__xludf.DUMMYFUNCTION("""COMPUTED_VALUE"""),"2-70 ")</f>
        <v>2-70 </v>
      </c>
      <c r="H3" s="876"/>
      <c r="I3" s="876">
        <f>IFERROR(__xludf.DUMMYFUNCTION("""COMPUTED_VALUE"""),1983.0)</f>
        <v>1983</v>
      </c>
      <c r="J3" s="876" t="str">
        <f>IFERROR(__xludf.DUMMYFUNCTION("""COMPUTED_VALUE"""),"included: patients between the ages of 2-70 with very light to severe hookworm infection
excluded: Patients with major organic and nervous disorders and pregnant women ")</f>
        <v>included: patients between the ages of 2-70 with very light to severe hookworm infection
excluded: Patients with major organic and nervous disorders and pregnant women </v>
      </c>
      <c r="K3" s="876" t="str">
        <f>IFERROR(__xludf.DUMMYFUNCTION("""COMPUTED_VALUE"""),"double-blind ")</f>
        <v>double-blind </v>
      </c>
      <c r="L3" s="876" t="str">
        <f>IFERROR(__xludf.DUMMYFUNCTION("""COMPUTED_VALUE"""),"No")</f>
        <v>No</v>
      </c>
      <c r="M3" s="876" t="str">
        <f>IFERROR(__xludf.DUMMYFUNCTION("""COMPUTED_VALUE"""),"Yes")</f>
        <v>Yes</v>
      </c>
      <c r="N3" s="877">
        <f>IFERROR(__xludf.DUMMYFUNCTION("""COMPUTED_VALUE"""),0.911)</f>
        <v>0.911</v>
      </c>
      <c r="O3" s="876"/>
      <c r="P3" s="876"/>
      <c r="Q3" s="876"/>
      <c r="R3" s="876"/>
      <c r="S3" s="876"/>
      <c r="T3" s="876"/>
      <c r="U3" s="876"/>
      <c r="V3" s="876"/>
      <c r="W3" s="876">
        <f>IFERROR(__xludf.DUMMYFUNCTION("""COMPUTED_VALUE"""),0.983)</f>
        <v>0.983</v>
      </c>
      <c r="X3" s="876"/>
      <c r="Y3" s="876"/>
      <c r="Z3" s="876"/>
      <c r="AA3" s="876"/>
      <c r="AB3" s="876"/>
      <c r="AC3" s="876"/>
      <c r="AD3" s="876"/>
      <c r="AE3" s="876" t="str">
        <f>IFERROR(__xludf.DUMMYFUNCTION("""COMPUTED_VALUE"""),"Single dose Mebendazoletreatment appears to be relatively inexpensive, convenient, and effective in mass treatment for the control of intestinal nematode infections, especially in highly infected communities.")</f>
        <v>Single dose Mebendazoletreatment appears to be relatively inexpensive, convenient, and effective in mass treatment for the control of intestinal nematode infections, especially in highly infected communities.</v>
      </c>
      <c r="AF3" s="876" t="str">
        <f>IFERROR(__xludf.DUMMYFUNCTION("""COMPUTED_VALUE"""),"• Of 45 subjects with hookworm infection, 88.9% were infected with N. americanus alone and 11. 1% had mixed infections of Necator amen canus and Ancylostoma duodenale.
• Stool samples examined using Kato-Katz Method")</f>
        <v>• Of 45 subjects with hookworm infection, 88.9% were infected with N. americanus alone and 11. 1% had mixed infections of Necator amen canus and Ancylostoma duodenale.
• Stool samples examined using Kato-Katz Method</v>
      </c>
      <c r="AG3" s="876" t="str">
        <f>IFERROR(__xludf.DUMMYFUNCTION("""COMPUTED_VALUE"""),"Abadi, K. “Single dose Mebendazoletherapy for soil-transmitted nematodes”. The American Journal of Tropical Medicine and Hygeine 34 (1985): 129-133. Web.")</f>
        <v>Abadi, K. “Single dose Mebendazoletherapy for soil-transmitted nematodes”. The American Journal of Tropical Medicine and Hygeine 34 (1985): 129-133. Web.</v>
      </c>
      <c r="AH3" s="876" t="str">
        <f>IFERROR(__xludf.DUMMYFUNCTION("""COMPUTED_VALUE"""),"x")</f>
        <v>x</v>
      </c>
      <c r="AI3" s="878"/>
      <c r="AJ3" s="888" t="str">
        <f>IFERROR(__xludf.DUMMYFUNCTION("""COMPUTED_VALUE"""),"Soukhathammavong et al.")</f>
        <v>Soukhathammavong et al.</v>
      </c>
      <c r="AK3" s="880" t="str">
        <f>IFERROR(__xludf.DUMMYFUNCTION("""COMPUTED_VALUE"""),"Aye Soukhathammavong, Phonepasong, Somphou Sayasone, Khampheng Phongluxa, Vilavanh Xayaseng, Jurg Utzinger, Penelope Vounatsou, Cristoph Hatz, Kongsap Akkhavong, Jennifer Keiser, and Peter Odermatt. ""Low Efficacy of Single-Dose Albendazolel and Mebendazo"&amp;"leagainst Hookworm and Effect on Concomitant Helminth Infection in Lao PDR."" PLOS Neglected Tropical Diseases 6.1 (2012): 1-8. Web.")</f>
        <v>Aye Soukhathammavong, Phonepasong, Somphou Sayasone, Khampheng Phongluxa, Vilavanh Xayaseng, Jurg Utzinger, Penelope Vounatsou, Cristoph Hatz, Kongsap Akkhavong, Jennifer Keiser, and Peter Odermatt. "Low Efficacy of Single-Dose Albendazolel and Mebendazoleagainst Hookworm and Effect on Concomitant Helminth Infection in Lao PDR." PLOS Neglected Tropical Diseases 6.1 (2012): 1-8. Web.</v>
      </c>
      <c r="AL3" s="880" t="str">
        <f>IFERROR(__xludf.DUMMYFUNCTION("""COMPUTED_VALUE"""),"Lao People's Democratic Republic")</f>
        <v>Lao People's Democratic Republic</v>
      </c>
      <c r="AM3" s="880" t="str">
        <f>IFERROR(__xludf.DUMMYFUNCTION("""COMPUTED_VALUE"""),"Albendazole")</f>
        <v>Albendazole</v>
      </c>
      <c r="AN3" s="880" t="str">
        <f>IFERROR(__xludf.DUMMYFUNCTION("""COMPUTED_VALUE"""),"Single")</f>
        <v>Single</v>
      </c>
      <c r="AO3" s="880" t="str">
        <f>IFERROR(__xludf.DUMMYFUNCTION("""COMPUTED_VALUE"""),"400 mg")</f>
        <v>400 mg</v>
      </c>
      <c r="AP3" s="880">
        <f>IFERROR(__xludf.DUMMYFUNCTION("""COMPUTED_VALUE"""),42.0)</f>
        <v>42</v>
      </c>
      <c r="AQ3" s="880">
        <f>IFERROR(__xludf.DUMMYFUNCTION("""COMPUTED_VALUE"""),9.0)</f>
        <v>9</v>
      </c>
      <c r="AR3" s="880" t="str">
        <f>IFERROR(__xludf.DUMMYFUNCTION("""COMPUTED_VALUE"""),"Male:56 Female:33")</f>
        <v>Male:56 Female:33</v>
      </c>
      <c r="AS3" s="880">
        <f>IFERROR(__xludf.DUMMYFUNCTION("""COMPUTED_VALUE"""),2009.0)</f>
        <v>2009</v>
      </c>
      <c r="AT3" s="880" t="str">
        <f>IFERROR(__xludf.DUMMYFUNCTION("""COMPUTED_VALUE"""),"Children were excluded if they had fever, or showed signs of severe malnutrion. Also the presence of any abnormal medical condition such as cardiac, vascular, pulmonary, gastrointestinal, endocrine, neurologic, hematologic, rheumatologic, psychiatric, or "&amp;"metabolic distrubances, recent history of anthelmintic treatment (albendazole, mebendazole, pyrantel pamoate, levamisole, ivermectin, and praziquental, attending other clinical trials during this study, or reported hypersensitivity to Albendazoleor mebend"&amp;"azole")</f>
        <v>Children were excluded if they had fever, or showed signs of severe malnutrion. Also the presence of any abnormal medical condition such as cardiac, vascular, pulmonary, gastrointestinal, endocrine, neurologic, hematologic, rheumatologic, psychiatric, or metabolic distrubances, recent history of anthelmintic treatment (albendazole, mebendazole, pyrantel pamoate, levamisole, ivermectin, and praziquental, attending other clinical trials during this study, or reported hypersensitivity to Albendazoleor mebendazole</v>
      </c>
      <c r="AU3" s="880" t="str">
        <f>IFERROR(__xludf.DUMMYFUNCTION("""COMPUTED_VALUE"""),"Yes")</f>
        <v>Yes</v>
      </c>
      <c r="AV3" s="880" t="str">
        <f>IFERROR(__xludf.DUMMYFUNCTION("""COMPUTED_VALUE"""),"No")</f>
        <v>No</v>
      </c>
      <c r="AW3" s="881" t="str">
        <f>IFERROR(__xludf.DUMMYFUNCTION("""COMPUTED_VALUE"""),"randomized open label two arm trial")</f>
        <v>randomized open label two arm trial</v>
      </c>
      <c r="AX3" s="863">
        <f>IFERROR(__xludf.DUMMYFUNCTION("""COMPUTED_VALUE"""),0.333)</f>
        <v>0.333</v>
      </c>
      <c r="AY3" s="863"/>
      <c r="AZ3" s="863">
        <f>IFERROR(__xludf.DUMMYFUNCTION("""COMPUTED_VALUE"""),0.333)</f>
        <v>0.333</v>
      </c>
      <c r="BA3" s="863"/>
      <c r="BB3" s="863"/>
      <c r="BC3" s="863"/>
      <c r="BD3" s="863"/>
      <c r="BE3" s="863"/>
      <c r="BF3" s="863"/>
      <c r="BG3" s="863"/>
      <c r="BH3" s="863">
        <f>IFERROR(__xludf.DUMMYFUNCTION("""COMPUTED_VALUE"""),0.67)</f>
        <v>0.67</v>
      </c>
      <c r="BI3" s="863"/>
      <c r="BJ3" s="863"/>
      <c r="BK3" s="863"/>
      <c r="BL3" s="863"/>
      <c r="BM3" s="863"/>
      <c r="BN3" s="863"/>
      <c r="BO3" s="863" t="str">
        <f>IFERROR(__xludf.DUMMYFUNCTION("""COMPUTED_VALUE"""),"Kato-Katz Method")</f>
        <v>Kato-Katz Method</v>
      </c>
      <c r="BP3" s="880"/>
      <c r="BQ3" s="863"/>
      <c r="BR3" s="889" t="str">
        <f>IFERROR(__xludf.DUMMYFUNCTION("""COMPUTED_VALUE"""),"Adgenika et al.")</f>
        <v>Adgenika et al.</v>
      </c>
      <c r="BS3" s="883" t="str">
        <f>IFERROR(__xludf.DUMMYFUNCTION("""COMPUTED_VALUE"""),"Gabon")</f>
        <v>Gabon</v>
      </c>
      <c r="BT3" s="883" t="str">
        <f>IFERROR(__xludf.DUMMYFUNCTION("""COMPUTED_VALUE"""),"Albendazole")</f>
        <v>Albendazole</v>
      </c>
      <c r="BU3" s="883"/>
      <c r="BV3" s="883" t="str">
        <f>IFERROR(__xludf.DUMMYFUNCTION("""COMPUTED_VALUE"""),"Single")</f>
        <v>Single</v>
      </c>
      <c r="BW3" s="883" t="str">
        <f>IFERROR(__xludf.DUMMYFUNCTION("""COMPUTED_VALUE"""),"400 mg")</f>
        <v>400 mg</v>
      </c>
      <c r="BX3" s="883">
        <f>IFERROR(__xludf.DUMMYFUNCTION("""COMPUTED_VALUE"""),39.0)</f>
        <v>39</v>
      </c>
      <c r="BY3" s="890">
        <f>IFERROR(__xludf.DUMMYFUNCTION("""COMPUTED_VALUE"""),42474.0)</f>
        <v>42474</v>
      </c>
      <c r="BZ3" s="883">
        <f>IFERROR(__xludf.DUMMYFUNCTION("""COMPUTED_VALUE"""),2011.0)</f>
        <v>2011</v>
      </c>
      <c r="CA3" s="883" t="str">
        <f>IFERROR(__xludf.DUMMYFUNCTION("""COMPUTED_VALUE"""),"1:1")</f>
        <v>1:1</v>
      </c>
      <c r="CB3" s="883" t="str">
        <f>IFERROR(__xludf.DUMMYFUNCTION("""COMPUTED_VALUE"""),"at least 5 eggs of larvae         Exclusion Criteria: HIV Infection, Allergy to albendazole, severe anemia, severe physcial condiiton")</f>
        <v>at least 5 eggs of larvae         Exclusion Criteria: HIV Infection, Allergy to albendazole, severe anemia, severe physcial condiiton</v>
      </c>
      <c r="CC3" s="883" t="str">
        <f>IFERROR(__xludf.DUMMYFUNCTION("""COMPUTED_VALUE"""),"Yes")</f>
        <v>Yes</v>
      </c>
      <c r="CD3" s="884">
        <f>IFERROR(__xludf.DUMMYFUNCTION("""COMPUTED_VALUE"""),0.85)</f>
        <v>0.85</v>
      </c>
      <c r="CE3" s="883" t="str">
        <f>IFERROR(__xludf.DUMMYFUNCTION("""COMPUTED_VALUE"""),"Yes")</f>
        <v>Yes</v>
      </c>
      <c r="CF3" s="883"/>
      <c r="CG3" s="883"/>
      <c r="CH3" s="883"/>
      <c r="CI3" s="891">
        <f>IFERROR(__xludf.DUMMYFUNCTION("""COMPUTED_VALUE"""),0.85)</f>
        <v>0.85</v>
      </c>
      <c r="CJ3" s="883"/>
      <c r="CK3" s="883"/>
      <c r="CL3" s="883"/>
      <c r="CM3" s="884">
        <f>IFERROR(__xludf.DUMMYFUNCTION("""COMPUTED_VALUE"""),0.94)</f>
        <v>0.94</v>
      </c>
      <c r="CN3" s="883"/>
      <c r="CO3" s="883"/>
      <c r="CP3" s="883"/>
      <c r="CQ3" s="883"/>
      <c r="CR3" s="883"/>
      <c r="CS3" s="883"/>
      <c r="CT3" s="883" t="str">
        <f>IFERROR(__xludf.DUMMYFUNCTION("""COMPUTED_VALUE"""),"Kato-Katz")</f>
        <v>Kato-Katz</v>
      </c>
      <c r="CU3" s="883"/>
      <c r="CV3" s="863"/>
      <c r="CW3" s="863"/>
      <c r="CX3" s="863"/>
      <c r="CY3" s="863"/>
      <c r="CZ3" s="863"/>
      <c r="DA3" s="863"/>
      <c r="DB3" s="863"/>
      <c r="DC3" s="863"/>
      <c r="DD3" s="863"/>
      <c r="DE3" s="863"/>
    </row>
    <row r="4">
      <c r="A4" s="887" t="str">
        <f>IFERROR(__xludf.DUMMYFUNCTION("""COMPUTED_VALUE"""),"Abadi, K.")</f>
        <v>Abadi, K.</v>
      </c>
      <c r="B4" s="876" t="str">
        <f>IFERROR(__xludf.DUMMYFUNCTION("""COMPUTED_VALUE"""),"Indonesia")</f>
        <v>Indonesia</v>
      </c>
      <c r="C4" s="876" t="str">
        <f>IFERROR(__xludf.DUMMYFUNCTION("""COMPUTED_VALUE"""),"Placebo")</f>
        <v>Placebo</v>
      </c>
      <c r="D4" s="876"/>
      <c r="E4" s="876"/>
      <c r="F4" s="876">
        <f>IFERROR(__xludf.DUMMYFUNCTION("""COMPUTED_VALUE"""),43.0)</f>
        <v>43</v>
      </c>
      <c r="G4" s="876" t="str">
        <f>IFERROR(__xludf.DUMMYFUNCTION("""COMPUTED_VALUE"""),"2-70 ")</f>
        <v>2-70 </v>
      </c>
      <c r="H4" s="876"/>
      <c r="I4" s="876">
        <f>IFERROR(__xludf.DUMMYFUNCTION("""COMPUTED_VALUE"""),1983.0)</f>
        <v>1983</v>
      </c>
      <c r="J4" s="876" t="str">
        <f>IFERROR(__xludf.DUMMYFUNCTION("""COMPUTED_VALUE"""),"included: patients between the ages of 2-70 with very light to severe hookworm infection
excluded: Patients with major organic and nervous disorders and pregnant women ")</f>
        <v>included: patients between the ages of 2-70 with very light to severe hookworm infection
excluded: Patients with major organic and nervous disorders and pregnant women </v>
      </c>
      <c r="K4" s="876" t="str">
        <f>IFERROR(__xludf.DUMMYFUNCTION("""COMPUTED_VALUE"""),"double-blind ")</f>
        <v>double-blind </v>
      </c>
      <c r="L4" s="876" t="str">
        <f>IFERROR(__xludf.DUMMYFUNCTION("""COMPUTED_VALUE"""),"No")</f>
        <v>No</v>
      </c>
      <c r="M4" s="876" t="str">
        <f>IFERROR(__xludf.DUMMYFUNCTION("""COMPUTED_VALUE"""),"Yes")</f>
        <v>Yes</v>
      </c>
      <c r="N4" s="877">
        <f>IFERROR(__xludf.DUMMYFUNCTION("""COMPUTED_VALUE"""),0.135)</f>
        <v>0.135</v>
      </c>
      <c r="O4" s="876"/>
      <c r="P4" s="876"/>
      <c r="Q4" s="876"/>
      <c r="R4" s="876"/>
      <c r="S4" s="876"/>
      <c r="T4" s="876"/>
      <c r="U4" s="876"/>
      <c r="V4" s="876"/>
      <c r="W4" s="876">
        <f>IFERROR(__xludf.DUMMYFUNCTION("""COMPUTED_VALUE"""),0.135)</f>
        <v>0.135</v>
      </c>
      <c r="X4" s="876"/>
      <c r="Y4" s="876"/>
      <c r="Z4" s="876"/>
      <c r="AA4" s="876"/>
      <c r="AB4" s="876"/>
      <c r="AC4" s="876"/>
      <c r="AD4" s="876"/>
      <c r="AE4" s="876" t="str">
        <f>IFERROR(__xludf.DUMMYFUNCTION("""COMPUTED_VALUE"""),"Single dose Mebendazoletreatment appears to be relatively inexpensive, convenient, and effective in mass treatment for the control of intestinal nematode infections, especially in highly infected communities.")</f>
        <v>Single dose Mebendazoletreatment appears to be relatively inexpensive, convenient, and effective in mass treatment for the control of intestinal nematode infections, especially in highly infected communities.</v>
      </c>
      <c r="AF4" s="876" t="str">
        <f>IFERROR(__xludf.DUMMYFUNCTION("""COMPUTED_VALUE"""),"Stool samples examined using Kato-Katz Method")</f>
        <v>Stool samples examined using Kato-Katz Method</v>
      </c>
      <c r="AG4" s="876" t="str">
        <f>IFERROR(__xludf.DUMMYFUNCTION("""COMPUTED_VALUE"""),"Abadi, K. “Single dose Mebendazoletherapy for soil-transmitted nematodes”. The American Journal of Tropical Medicine and Hygeine 34 (1985): 129-133. Web.")</f>
        <v>Abadi, K. “Single dose Mebendazoletherapy for soil-transmitted nematodes”. The American Journal of Tropical Medicine and Hygeine 34 (1985): 129-133. Web.</v>
      </c>
      <c r="AH4" s="876" t="str">
        <f>IFERROR(__xludf.DUMMYFUNCTION("""COMPUTED_VALUE"""),"x")</f>
        <v>x</v>
      </c>
      <c r="AI4" s="878"/>
      <c r="AJ4" s="888" t="str">
        <f>IFERROR(__xludf.DUMMYFUNCTION("""COMPUTED_VALUE"""),"Soukhathammavong et al.")</f>
        <v>Soukhathammavong et al.</v>
      </c>
      <c r="AK4" s="880"/>
      <c r="AL4" s="880" t="str">
        <f>IFERROR(__xludf.DUMMYFUNCTION("""COMPUTED_VALUE"""),"Lao People's Democratic Republic")</f>
        <v>Lao People's Democratic Republic</v>
      </c>
      <c r="AM4" s="880" t="str">
        <f>IFERROR(__xludf.DUMMYFUNCTION("""COMPUTED_VALUE"""),"Mebendazole")</f>
        <v>Mebendazole</v>
      </c>
      <c r="AN4" s="880" t="str">
        <f>IFERROR(__xludf.DUMMYFUNCTION("""COMPUTED_VALUE"""),"Single")</f>
        <v>Single</v>
      </c>
      <c r="AO4" s="880" t="str">
        <f>IFERROR(__xludf.DUMMYFUNCTION("""COMPUTED_VALUE"""),"500 mg")</f>
        <v>500 mg</v>
      </c>
      <c r="AP4" s="880">
        <f>IFERROR(__xludf.DUMMYFUNCTION("""COMPUTED_VALUE"""),43.0)</f>
        <v>43</v>
      </c>
      <c r="AQ4" s="880">
        <f>IFERROR(__xludf.DUMMYFUNCTION("""COMPUTED_VALUE"""),9.0)</f>
        <v>9</v>
      </c>
      <c r="AR4" s="880" t="str">
        <f>IFERROR(__xludf.DUMMYFUNCTION("""COMPUTED_VALUE"""),"Male:49 Female:33")</f>
        <v>Male:49 Female:33</v>
      </c>
      <c r="AS4" s="880">
        <f>IFERROR(__xludf.DUMMYFUNCTION("""COMPUTED_VALUE"""),2009.0)</f>
        <v>2009</v>
      </c>
      <c r="AT4" s="880" t="str">
        <f>IFERROR(__xludf.DUMMYFUNCTION("""COMPUTED_VALUE"""),"Children were excluded if they had fever, or showed signs of severe malnutrion. Also the presence of any abnormal medical condition such as cardiac, vascular, pulmonary, gastrointestinal, endocrine, neurologic, hematologic, rheumatologic, psychiatric, or "&amp;"metabolic distrubances, recent history of anthelmintic treatment (albendazole, mebendazole, pyrantel pamoate, levamisole, ivermectin, and praziquental, attending other clinical trials during this study, or reported hypersensitivity to Albendazoleor mebend"&amp;"azole")</f>
        <v>Children were excluded if they had fever, or showed signs of severe malnutrion. Also the presence of any abnormal medical condition such as cardiac, vascular, pulmonary, gastrointestinal, endocrine, neurologic, hematologic, rheumatologic, psychiatric, or metabolic distrubances, recent history of anthelmintic treatment (albendazole, mebendazole, pyrantel pamoate, levamisole, ivermectin, and praziquental, attending other clinical trials during this study, or reported hypersensitivity to Albendazoleor mebendazole</v>
      </c>
      <c r="AU4" s="880" t="str">
        <f>IFERROR(__xludf.DUMMYFUNCTION("""COMPUTED_VALUE"""),"Yes")</f>
        <v>Yes</v>
      </c>
      <c r="AV4" s="880" t="str">
        <f>IFERROR(__xludf.DUMMYFUNCTION("""COMPUTED_VALUE"""),"No")</f>
        <v>No</v>
      </c>
      <c r="AW4" s="881" t="str">
        <f>IFERROR(__xludf.DUMMYFUNCTION("""COMPUTED_VALUE"""),"randomized open label two arm trial")</f>
        <v>randomized open label two arm trial</v>
      </c>
      <c r="AX4" s="863">
        <f>IFERROR(__xludf.DUMMYFUNCTION("""COMPUTED_VALUE"""),0.279)</f>
        <v>0.279</v>
      </c>
      <c r="AY4" s="863"/>
      <c r="AZ4" s="863">
        <f>IFERROR(__xludf.DUMMYFUNCTION("""COMPUTED_VALUE"""),0.279)</f>
        <v>0.279</v>
      </c>
      <c r="BA4" s="863"/>
      <c r="BB4" s="863"/>
      <c r="BC4" s="863"/>
      <c r="BD4" s="863"/>
      <c r="BE4" s="863"/>
      <c r="BF4" s="863"/>
      <c r="BG4" s="863"/>
      <c r="BH4" s="863">
        <f>IFERROR(__xludf.DUMMYFUNCTION("""COMPUTED_VALUE"""),0.66)</f>
        <v>0.66</v>
      </c>
      <c r="BI4" s="863"/>
      <c r="BJ4" s="863"/>
      <c r="BK4" s="863"/>
      <c r="BL4" s="863"/>
      <c r="BM4" s="863"/>
      <c r="BN4" s="863"/>
      <c r="BO4" s="863"/>
      <c r="BP4" s="880"/>
      <c r="BQ4" s="863"/>
      <c r="BR4" s="889" t="str">
        <f>IFERROR(__xludf.DUMMYFUNCTION("""COMPUTED_VALUE"""),"Adgenika et al.")</f>
        <v>Adgenika et al.</v>
      </c>
      <c r="BS4" s="883" t="str">
        <f>IFERROR(__xludf.DUMMYFUNCTION("""COMPUTED_VALUE"""),"Gabon")</f>
        <v>Gabon</v>
      </c>
      <c r="BT4" s="883" t="str">
        <f>IFERROR(__xludf.DUMMYFUNCTION("""COMPUTED_VALUE"""),"Albendazole")</f>
        <v>Albendazole</v>
      </c>
      <c r="BU4" s="883"/>
      <c r="BV4" s="883" t="str">
        <f>IFERROR(__xludf.DUMMYFUNCTION("""COMPUTED_VALUE"""),"Two")</f>
        <v>Two</v>
      </c>
      <c r="BW4" s="883" t="str">
        <f>IFERROR(__xludf.DUMMYFUNCTION("""COMPUTED_VALUE"""),"400 mg")</f>
        <v>400 mg</v>
      </c>
      <c r="BX4" s="883">
        <f>IFERROR(__xludf.DUMMYFUNCTION("""COMPUTED_VALUE"""),32.0)</f>
        <v>32</v>
      </c>
      <c r="BY4" s="890">
        <f>IFERROR(__xludf.DUMMYFUNCTION("""COMPUTED_VALUE"""),42474.0)</f>
        <v>42474</v>
      </c>
      <c r="BZ4" s="883">
        <f>IFERROR(__xludf.DUMMYFUNCTION("""COMPUTED_VALUE"""),2011.0)</f>
        <v>2011</v>
      </c>
      <c r="CA4" s="883" t="str">
        <f>IFERROR(__xludf.DUMMYFUNCTION("""COMPUTED_VALUE"""),"1:1")</f>
        <v>1:1</v>
      </c>
      <c r="CB4" s="883"/>
      <c r="CC4" s="883" t="str">
        <f>IFERROR(__xludf.DUMMYFUNCTION("""COMPUTED_VALUE"""),"Yes")</f>
        <v>Yes</v>
      </c>
      <c r="CD4" s="884">
        <f>IFERROR(__xludf.DUMMYFUNCTION("""COMPUTED_VALUE"""),0.91)</f>
        <v>0.91</v>
      </c>
      <c r="CE4" s="883" t="str">
        <f>IFERROR(__xludf.DUMMYFUNCTION("""COMPUTED_VALUE"""),"Yes")</f>
        <v>Yes</v>
      </c>
      <c r="CF4" s="883"/>
      <c r="CG4" s="883"/>
      <c r="CH4" s="883"/>
      <c r="CI4" s="891">
        <f>IFERROR(__xludf.DUMMYFUNCTION("""COMPUTED_VALUE"""),0.91)</f>
        <v>0.91</v>
      </c>
      <c r="CJ4" s="883"/>
      <c r="CK4" s="883"/>
      <c r="CL4" s="883"/>
      <c r="CM4" s="891">
        <f>IFERROR(__xludf.DUMMYFUNCTION("""COMPUTED_VALUE"""),0.87)</f>
        <v>0.87</v>
      </c>
      <c r="CN4" s="883"/>
      <c r="CO4" s="883"/>
      <c r="CP4" s="883"/>
      <c r="CQ4" s="883"/>
      <c r="CR4" s="883"/>
      <c r="CS4" s="883"/>
      <c r="CT4" s="883"/>
      <c r="CU4" s="883"/>
      <c r="CV4" s="863"/>
      <c r="CW4" s="863"/>
      <c r="CX4" s="863"/>
      <c r="CY4" s="863"/>
      <c r="CZ4" s="863"/>
      <c r="DA4" s="863"/>
      <c r="DB4" s="863"/>
      <c r="DC4" s="863"/>
      <c r="DD4" s="863"/>
      <c r="DE4" s="863"/>
    </row>
    <row r="5">
      <c r="A5" s="887" t="str">
        <f>IFERROR(__xludf.DUMMYFUNCTION("""COMPUTED_VALUE"""),"Adegnika et al.")</f>
        <v>Adegnika et al.</v>
      </c>
      <c r="B5" s="876" t="str">
        <f>IFERROR(__xludf.DUMMYFUNCTION("""COMPUTED_VALUE"""),"Gabon")</f>
        <v>Gabon</v>
      </c>
      <c r="C5" s="876" t="str">
        <f>IFERROR(__xludf.DUMMYFUNCTION("""COMPUTED_VALUE"""),"Albendazole")</f>
        <v>Albendazole</v>
      </c>
      <c r="D5" s="876" t="str">
        <f>IFERROR(__xludf.DUMMYFUNCTION("""COMPUTED_VALUE"""),"Single")</f>
        <v>Single</v>
      </c>
      <c r="E5" s="876" t="str">
        <f>IFERROR(__xludf.DUMMYFUNCTION("""COMPUTED_VALUE"""),"400 mg")</f>
        <v>400 mg</v>
      </c>
      <c r="F5" s="876">
        <f>IFERROR(__xludf.DUMMYFUNCTION("""COMPUTED_VALUE"""),58.0)</f>
        <v>58</v>
      </c>
      <c r="G5" s="876">
        <f>IFERROR(__xludf.DUMMYFUNCTION("""COMPUTED_VALUE"""),9.1)</f>
        <v>9.1</v>
      </c>
      <c r="H5" s="876" t="str">
        <f>IFERROR(__xludf.DUMMYFUNCTION("""COMPUTED_VALUE"""),"1:1 ")</f>
        <v>1:1 </v>
      </c>
      <c r="I5" s="876">
        <f>IFERROR(__xludf.DUMMYFUNCTION("""COMPUTED_VALUE"""),2011.0)</f>
        <v>2011</v>
      </c>
      <c r="J5" s="876" t="str">
        <f>IFERROR(__xludf.DUMMYFUNCTION("""COMPUTED_VALUE"""),"included: age between 4 to 14 years and a total of at least 5 eggs or larvae of any of the three intestinal helminths, namely, Ascaris lum-bricoides, Trichuris trichiura, and hookworm.
excluded: known HIV infection, allergic to albendazole, severe anemia,"&amp;" and any other underlying severe physical condition")</f>
        <v>included: age between 4 to 14 years and a total of at least 5 eggs or larvae of any of the three intestinal helminths, namely, Ascaris lum-bricoides, Trichuris trichiura, and hookworm.
excluded: known HIV infection, allergic to albendazole, severe anemia, and any other underlying severe physical condition</v>
      </c>
      <c r="K5" s="876" t="str">
        <f>IFERROR(__xludf.DUMMYFUNCTION("""COMPUTED_VALUE"""),"single-centered randomized controlled assessor-blinded clinical trial")</f>
        <v>single-centered randomized controlled assessor-blinded clinical trial</v>
      </c>
      <c r="L5" s="876" t="str">
        <f>IFERROR(__xludf.DUMMYFUNCTION("""COMPUTED_VALUE"""),"Yes")</f>
        <v>Yes</v>
      </c>
      <c r="M5" s="876" t="str">
        <f>IFERROR(__xludf.DUMMYFUNCTION("""COMPUTED_VALUE"""),"Yes")</f>
        <v>Yes</v>
      </c>
      <c r="N5" s="877">
        <f>IFERROR(__xludf.DUMMYFUNCTION("""COMPUTED_VALUE"""),0.54)</f>
        <v>0.54</v>
      </c>
      <c r="O5" s="876"/>
      <c r="P5" s="876"/>
      <c r="Q5" s="876"/>
      <c r="R5" s="876">
        <f>IFERROR(__xludf.DUMMYFUNCTION("""COMPUTED_VALUE"""),0.54)</f>
        <v>0.54</v>
      </c>
      <c r="S5" s="876"/>
      <c r="T5" s="876"/>
      <c r="U5" s="876"/>
      <c r="V5" s="876"/>
      <c r="W5" s="876">
        <f>IFERROR(__xludf.DUMMYFUNCTION("""COMPUTED_VALUE"""),0.54)</f>
        <v>0.54</v>
      </c>
      <c r="X5" s="876"/>
      <c r="Y5" s="876"/>
      <c r="Z5" s="876"/>
      <c r="AA5" s="876"/>
      <c r="AB5" s="876">
        <f>IFERROR(__xludf.DUMMYFUNCTION("""COMPUTED_VALUE"""),0.54)</f>
        <v>0.54</v>
      </c>
      <c r="AC5" s="876"/>
      <c r="AD5" s="876"/>
      <c r="AE5" s="876" t="str">
        <f>IFERROR(__xludf.DUMMYFUNCTION("""COMPUTED_VALUE"""),"They found cure and egg reduction rates with single dose ALB 400 mg treatment to be somewhat lower than rates recently reported from other regions in africa. The three dose regiman of ALB let to considerable increases in the cure rates against these helmi"&amp;"nths.")</f>
        <v>They found cure and egg reduction rates with single dose ALB 400 mg treatment to be somewhat lower than rates recently reported from other regions in africa. The three dose regiman of ALB let to considerable increases in the cure rates against these helminths.</v>
      </c>
      <c r="AF5" s="876" t="str">
        <f>IFERROR(__xludf.DUMMYFUNCTION("""COMPUTED_VALUE"""),"• Among the 175 children included in this study, multispecies infections occurred in 56% of individuals, dual infections in 45%, and triple infections in 11%. The study looked at the following infections: Ascaris lumbricoides, Trichuris trichiura, and Hoo"&amp;"kworm Infection.
")</f>
        <v>• Among the 175 children included in this study, multispecies infections occurred in 56% of individuals, dual infections in 45%, and triple infections in 11%. The study looked at the following infections: Ascaris lumbricoides, Trichuris trichiura, and Hookworm Infection.
</v>
      </c>
      <c r="AG5" s="876" t="str">
        <f>IFERROR(__xludf.DUMMYFUNCTION("""COMPUTED_VALUE"""),"Aegnika, Ayola A., Jeannot F. Zinsou, Saadou Issifou, Ulysse Ateba-Ngoa, Roland F. Kassa, Eliane N. Feugap, Yabo J. Honkpehedji, Jean-Claude Dejon Agobe, Hilaire M. Kenguele, Marguerite Massinga-Loembe, Slidji T. Agnandji, Benjamin Mordmuller, Michael Ram"&amp;"harter, Maria Yazdanbakhsh, Peter G. Kremsner, and Bertrand Lell. ""Randomized Controlled, Assessor-Blind Clinical Trial to Assess the Efficacy of Single- versus Repeated Dose Albendazoleto Treat Ascaris Lumbricoides, Trichuris Trichiura, and Hookworm Inf"&amp;"ection."" Antimicrobial Agents and Chemotherapy 58.5 (2014): 2535-540. Web.")</f>
        <v>Aegnika, Ayola A., Jeannot F. Zinsou, Saadou Issifou, Ulysse Ateba-Ngoa, Roland F. Kassa, Eliane N. Feugap, Yabo J. Honkpehedji, Jean-Claude Dejon Agobe, Hilaire M. Kenguele, Marguerite Massinga-Loembe, Slidji T. Agnandji, Benjamin Mordmuller, Michael Ramharter, Maria Yazdanbakhsh, Peter G. Kremsner, and Bertrand Lell. "Randomized Controlled, Assessor-Blind Clinical Trial to Assess the Efficacy of Single- versus Repeated Dose Albendazoleto Treat Ascaris Lumbricoides, Trichuris Trichiura, and Hookworm Infection." Antimicrobial Agents and Chemotherapy 58.5 (2014): 2535-540. Web.</v>
      </c>
      <c r="AH5" s="876"/>
      <c r="AI5" s="878"/>
      <c r="AJ5" s="888" t="str">
        <f>IFERROR(__xludf.DUMMYFUNCTION("""COMPUTED_VALUE"""),"Albonico et al.")</f>
        <v>Albonico et al.</v>
      </c>
      <c r="AK5" s="880" t="str">
        <f>IFERROR(__xludf.DUMMYFUNCTION("""COMPUTED_VALUE"""),"Albonico, Marco, Pragya Mathema, Antonio Montresor, Balkrishna Khakurel, Valerio Reggi, Sharada Pandey, and Lorenzo Savioli. ""Comparative Study of the Quality and Efficacy of Originator and Generic Albendazolefor Mass Treatment of Soil Transmitted Nemato"&amp;"de Infections in Nepal."" Transactions of the Royal Society of Tropical Medicine and Hygiene 101 (2007): 454-60. Web.")</f>
        <v>Albonico, Marco, Pragya Mathema, Antonio Montresor, Balkrishna Khakurel, Valerio Reggi, Sharada Pandey, and Lorenzo Savioli. "Comparative Study of the Quality and Efficacy of Originator and Generic Albendazolefor Mass Treatment of Soil Transmitted Nematode Infections in Nepal." Transactions of the Royal Society of Tropical Medicine and Hygiene 101 (2007): 454-60. Web.</v>
      </c>
      <c r="AL5" s="880" t="str">
        <f>IFERROR(__xludf.DUMMYFUNCTION("""COMPUTED_VALUE"""),"Nepal")</f>
        <v>Nepal</v>
      </c>
      <c r="AM5" s="880" t="str">
        <f>IFERROR(__xludf.DUMMYFUNCTION("""COMPUTED_VALUE"""),"Albendazole")</f>
        <v>Albendazole</v>
      </c>
      <c r="AN5" s="880" t="str">
        <f>IFERROR(__xludf.DUMMYFUNCTION("""COMPUTED_VALUE"""),"Single")</f>
        <v>Single</v>
      </c>
      <c r="AO5" s="880" t="str">
        <f>IFERROR(__xludf.DUMMYFUNCTION("""COMPUTED_VALUE"""),"400 mg")</f>
        <v>400 mg</v>
      </c>
      <c r="AP5" s="880">
        <f>IFERROR(__xludf.DUMMYFUNCTION("""COMPUTED_VALUE"""),429.0)</f>
        <v>429</v>
      </c>
      <c r="AQ5" s="880">
        <f>IFERROR(__xludf.DUMMYFUNCTION("""COMPUTED_VALUE"""),11.6)</f>
        <v>11.6</v>
      </c>
      <c r="AR5" s="880" t="str">
        <f>IFERROR(__xludf.DUMMYFUNCTION("""COMPUTED_VALUE"""),"Male:53.4%")</f>
        <v>Male:53.4%</v>
      </c>
      <c r="AS5" s="880">
        <f>IFERROR(__xludf.DUMMYFUNCTION("""COMPUTED_VALUE"""),2004.0)</f>
        <v>2004</v>
      </c>
      <c r="AT5" s="880" t="str">
        <f>IFERROR(__xludf.DUMMYFUNCTION("""COMPUTED_VALUE"""),"Children were excluded to the trial if they were too sick (severe diarrhoea, severe anaemia, high fever), did not have parental/guardian permission to participate or did not provide stool sample")</f>
        <v>Children were excluded to the trial if they were too sick (severe diarrhoea, severe anaemia, high fever), did not have parental/guardian permission to participate or did not provide stool sample</v>
      </c>
      <c r="AU5" s="880" t="str">
        <f>IFERROR(__xludf.DUMMYFUNCTION("""COMPUTED_VALUE"""),"Yes")</f>
        <v>Yes</v>
      </c>
      <c r="AV5" s="880" t="str">
        <f>IFERROR(__xludf.DUMMYFUNCTION("""COMPUTED_VALUE"""),"Yes")</f>
        <v>Yes</v>
      </c>
      <c r="AW5" s="881" t="str">
        <f>IFERROR(__xludf.DUMMYFUNCTION("""COMPUTED_VALUE"""),"randomized single blind trial")</f>
        <v>randomized single blind trial</v>
      </c>
      <c r="AX5" s="863">
        <f>IFERROR(__xludf.DUMMYFUNCTION("""COMPUTED_VALUE"""),0.286)</f>
        <v>0.286</v>
      </c>
      <c r="AY5" s="863"/>
      <c r="AZ5" s="863">
        <f>IFERROR(__xludf.DUMMYFUNCTION("""COMPUTED_VALUE"""),0.286)</f>
        <v>0.286</v>
      </c>
      <c r="BA5" s="863"/>
      <c r="BB5" s="863"/>
      <c r="BC5" s="863"/>
      <c r="BD5" s="863"/>
      <c r="BE5" s="863"/>
      <c r="BF5" s="863"/>
      <c r="BG5" s="863"/>
      <c r="BH5" s="863">
        <f>IFERROR(__xludf.DUMMYFUNCTION("""COMPUTED_VALUE"""),0.717)</f>
        <v>0.717</v>
      </c>
      <c r="BI5" s="863"/>
      <c r="BJ5" s="863"/>
      <c r="BK5" s="863"/>
      <c r="BL5" s="863"/>
      <c r="BM5" s="863"/>
      <c r="BN5" s="863"/>
      <c r="BO5" s="863" t="str">
        <f>IFERROR(__xludf.DUMMYFUNCTION("""COMPUTED_VALUE"""),"Kato-Katz Method, GSK ABZ")</f>
        <v>Kato-Katz Method, GSK ABZ</v>
      </c>
      <c r="BP5" s="880"/>
      <c r="BQ5" s="863"/>
      <c r="BR5" s="889" t="str">
        <f>IFERROR(__xludf.DUMMYFUNCTION("""COMPUTED_VALUE"""),"Adgenika et al.")</f>
        <v>Adgenika et al.</v>
      </c>
      <c r="BS5" s="883" t="str">
        <f>IFERROR(__xludf.DUMMYFUNCTION("""COMPUTED_VALUE"""),"Gabon")</f>
        <v>Gabon</v>
      </c>
      <c r="BT5" s="883" t="str">
        <f>IFERROR(__xludf.DUMMYFUNCTION("""COMPUTED_VALUE"""),"Albendazole")</f>
        <v>Albendazole</v>
      </c>
      <c r="BU5" s="883"/>
      <c r="BV5" s="883" t="str">
        <f>IFERROR(__xludf.DUMMYFUNCTION("""COMPUTED_VALUE"""),"Three")</f>
        <v>Three</v>
      </c>
      <c r="BW5" s="883" t="str">
        <f>IFERROR(__xludf.DUMMYFUNCTION("""COMPUTED_VALUE"""),"400 mg ")</f>
        <v>400 mg </v>
      </c>
      <c r="BX5" s="883">
        <f>IFERROR(__xludf.DUMMYFUNCTION("""COMPUTED_VALUE"""),37.0)</f>
        <v>37</v>
      </c>
      <c r="BY5" s="890">
        <f>IFERROR(__xludf.DUMMYFUNCTION("""COMPUTED_VALUE"""),42474.0)</f>
        <v>42474</v>
      </c>
      <c r="BZ5" s="883">
        <f>IFERROR(__xludf.DUMMYFUNCTION("""COMPUTED_VALUE"""),2011.0)</f>
        <v>2011</v>
      </c>
      <c r="CA5" s="883" t="str">
        <f>IFERROR(__xludf.DUMMYFUNCTION("""COMPUTED_VALUE"""),"1:9")</f>
        <v>1:9</v>
      </c>
      <c r="CB5" s="883"/>
      <c r="CC5" s="883" t="str">
        <f>IFERROR(__xludf.DUMMYFUNCTION("""COMPUTED_VALUE"""),"Yes")</f>
        <v>Yes</v>
      </c>
      <c r="CD5" s="884">
        <f>IFERROR(__xludf.DUMMYFUNCTION("""COMPUTED_VALUE"""),0.92)</f>
        <v>0.92</v>
      </c>
      <c r="CE5" s="883" t="str">
        <f>IFERROR(__xludf.DUMMYFUNCTION("""COMPUTED_VALUE"""),"Yes")</f>
        <v>Yes</v>
      </c>
      <c r="CF5" s="883"/>
      <c r="CG5" s="883"/>
      <c r="CH5" s="883"/>
      <c r="CI5" s="891">
        <f>IFERROR(__xludf.DUMMYFUNCTION("""COMPUTED_VALUE"""),0.92)</f>
        <v>0.92</v>
      </c>
      <c r="CJ5" s="883"/>
      <c r="CK5" s="883"/>
      <c r="CL5" s="883"/>
      <c r="CM5" s="884">
        <f>IFERROR(__xludf.DUMMYFUNCTION("""COMPUTED_VALUE"""),0.99)</f>
        <v>0.99</v>
      </c>
      <c r="CN5" s="883"/>
      <c r="CO5" s="883"/>
      <c r="CP5" s="883"/>
      <c r="CQ5" s="883"/>
      <c r="CR5" s="883"/>
      <c r="CS5" s="883"/>
      <c r="CT5" s="883"/>
      <c r="CU5" s="883"/>
      <c r="CV5" s="863"/>
      <c r="CW5" s="863"/>
      <c r="CX5" s="863"/>
      <c r="CY5" s="863"/>
      <c r="CZ5" s="863"/>
      <c r="DA5" s="863"/>
      <c r="DB5" s="863"/>
      <c r="DC5" s="863"/>
      <c r="DD5" s="863"/>
      <c r="DE5" s="863"/>
    </row>
    <row r="6">
      <c r="A6" s="887" t="str">
        <f>IFERROR(__xludf.DUMMYFUNCTION("""COMPUTED_VALUE"""),"Adegnika et al.")</f>
        <v>Adegnika et al.</v>
      </c>
      <c r="B6" s="876" t="str">
        <f>IFERROR(__xludf.DUMMYFUNCTION("""COMPUTED_VALUE"""),"Gabon")</f>
        <v>Gabon</v>
      </c>
      <c r="C6" s="876" t="str">
        <f>IFERROR(__xludf.DUMMYFUNCTION("""COMPUTED_VALUE"""),"Albendazole")</f>
        <v>Albendazole</v>
      </c>
      <c r="D6" s="876" t="str">
        <f>IFERROR(__xludf.DUMMYFUNCTION("""COMPUTED_VALUE"""),"Two")</f>
        <v>Two</v>
      </c>
      <c r="E6" s="876" t="str">
        <f>IFERROR(__xludf.DUMMYFUNCTION("""COMPUTED_VALUE"""),"400 mg")</f>
        <v>400 mg</v>
      </c>
      <c r="F6" s="876">
        <f>IFERROR(__xludf.DUMMYFUNCTION("""COMPUTED_VALUE"""),53.0)</f>
        <v>53</v>
      </c>
      <c r="G6" s="876">
        <f>IFERROR(__xludf.DUMMYFUNCTION("""COMPUTED_VALUE"""),8.9)</f>
        <v>8.9</v>
      </c>
      <c r="H6" s="876" t="str">
        <f>IFERROR(__xludf.DUMMYFUNCTION("""COMPUTED_VALUE"""),"1:1")</f>
        <v>1:1</v>
      </c>
      <c r="I6" s="876">
        <f>IFERROR(__xludf.DUMMYFUNCTION("""COMPUTED_VALUE"""),2011.0)</f>
        <v>2011</v>
      </c>
      <c r="J6" s="876" t="str">
        <f>IFERROR(__xludf.DUMMYFUNCTION("""COMPUTED_VALUE"""),"included: age between 4 to 14 years and a total of at least 5 eggs or larvae of any of the three intestinal helminths, namely, Ascaris lum-bricoides, Trichuris trichiura, and hookworm.
excluded: known HIV infection, allergic to albendazole, severe anemia,"&amp;" and any other underlying severe physical condition")</f>
        <v>included: age between 4 to 14 years and a total of at least 5 eggs or larvae of any of the three intestinal helminths, namely, Ascaris lum-bricoides, Trichuris trichiura, and hookworm.
excluded: known HIV infection, allergic to albendazole, severe anemia, and any other underlying severe physical condition</v>
      </c>
      <c r="K6" s="876" t="str">
        <f>IFERROR(__xludf.DUMMYFUNCTION("""COMPUTED_VALUE"""),"single-centered randomized controlled assessor-blinded clinical trial")</f>
        <v>single-centered randomized controlled assessor-blinded clinical trial</v>
      </c>
      <c r="L6" s="876" t="str">
        <f>IFERROR(__xludf.DUMMYFUNCTION("""COMPUTED_VALUE"""),"Yes")</f>
        <v>Yes</v>
      </c>
      <c r="M6" s="876" t="str">
        <f>IFERROR(__xludf.DUMMYFUNCTION("""COMPUTED_VALUE"""),"Yes")</f>
        <v>Yes</v>
      </c>
      <c r="N6" s="877">
        <f>IFERROR(__xludf.DUMMYFUNCTION("""COMPUTED_VALUE"""),0.92)</f>
        <v>0.92</v>
      </c>
      <c r="O6" s="876"/>
      <c r="P6" s="876"/>
      <c r="Q6" s="876"/>
      <c r="R6" s="876">
        <f>IFERROR(__xludf.DUMMYFUNCTION("""COMPUTED_VALUE"""),0.92)</f>
        <v>0.92</v>
      </c>
      <c r="S6" s="876"/>
      <c r="T6" s="876"/>
      <c r="U6" s="876"/>
      <c r="V6" s="876"/>
      <c r="W6" s="876">
        <f>IFERROR(__xludf.DUMMYFUNCTION("""COMPUTED_VALUE"""),0.92)</f>
        <v>0.92</v>
      </c>
      <c r="X6" s="876"/>
      <c r="Y6" s="876"/>
      <c r="Z6" s="876"/>
      <c r="AA6" s="876"/>
      <c r="AB6" s="876">
        <f>IFERROR(__xludf.DUMMYFUNCTION("""COMPUTED_VALUE"""),0.92)</f>
        <v>0.92</v>
      </c>
      <c r="AC6" s="876"/>
      <c r="AD6" s="876"/>
      <c r="AE6" s="876" t="str">
        <f>IFERROR(__xludf.DUMMYFUNCTION("""COMPUTED_VALUE"""),"They found cure and egg reduction rates with single dose ALB 400 mg treatment to be somewhat lower than rates recently reported from other regions in africa. The three dose regiman of ALB let to considerable increases in the cure rates against these helmi"&amp;"nths.")</f>
        <v>They found cure and egg reduction rates with single dose ALB 400 mg treatment to be somewhat lower than rates recently reported from other regions in africa. The three dose regiman of ALB let to considerable increases in the cure rates against these helminths.</v>
      </c>
      <c r="AF6" s="876" t="str">
        <f>IFERROR(__xludf.DUMMYFUNCTION("""COMPUTED_VALUE"""),"• Among the 175 children included in this study, multispecies infections occurred in 56% of individuals, dual infections in 45%, and triple infections in 11%. Teh study looked at the following infections: Ascaris lumbricoides, Trichuris trichiura, and Hoo"&amp;"kworm Infection.
• Single dose over 2 days")</f>
        <v>• Among the 175 children included in this study, multispecies infections occurred in 56% of individuals, dual infections in 45%, and triple infections in 11%. Teh study looked at the following infections: Ascaris lumbricoides, Trichuris trichiura, and Hookworm Infection.
• Single dose over 2 days</v>
      </c>
      <c r="AG6" s="876" t="str">
        <f>IFERROR(__xludf.DUMMYFUNCTION("""COMPUTED_VALUE"""),"Aegnika, Ayola A., Jeannot F. Zinsou, Saadou Issifou, Ulysse Ateba-Ngoa, Roland F. Kassa, Eliane N. Feugap, Yabo J. Honkpehedji, Jean-Claude Dejon Agobe, Hilaire M. Kenguele, Marguerite Massinga-Loembe, Slidji T. Agnandji, Benjamin Mordmuller, Michael Ram"&amp;"harter, Maria Yazdanbakhsh, Peter G. Kremsner, and Bertrand Lell. ""Randomized Controlled, Assessor-Blind Clinical Trial to Assess the Efficacy of Single- versus Repeated Dose Albendazoleto Treat Ascaris Lumbricoides, Trichuris Trichiura, and Hookworm Inf"&amp;"ection."" Antimicrobial Agents and Chemotherapy 58.5 (2014): 2535-540. Web.")</f>
        <v>Aegnika, Ayola A., Jeannot F. Zinsou, Saadou Issifou, Ulysse Ateba-Ngoa, Roland F. Kassa, Eliane N. Feugap, Yabo J. Honkpehedji, Jean-Claude Dejon Agobe, Hilaire M. Kenguele, Marguerite Massinga-Loembe, Slidji T. Agnandji, Benjamin Mordmuller, Michael Ramharter, Maria Yazdanbakhsh, Peter G. Kremsner, and Bertrand Lell. "Randomized Controlled, Assessor-Blind Clinical Trial to Assess the Efficacy of Single- versus Repeated Dose Albendazoleto Treat Ascaris Lumbricoides, Trichuris Trichiura, and Hookworm Infection." Antimicrobial Agents and Chemotherapy 58.5 (2014): 2535-540. Web.</v>
      </c>
      <c r="AH6" s="876"/>
      <c r="AI6" s="878"/>
      <c r="AJ6" s="888" t="str">
        <f>IFERROR(__xludf.DUMMYFUNCTION("""COMPUTED_VALUE"""),"Albonico et al.")</f>
        <v>Albonico et al.</v>
      </c>
      <c r="AK6" s="880"/>
      <c r="AL6" s="880" t="str">
        <f>IFERROR(__xludf.DUMMYFUNCTION("""COMPUTED_VALUE"""),"Nepal")</f>
        <v>Nepal</v>
      </c>
      <c r="AM6" s="880" t="str">
        <f>IFERROR(__xludf.DUMMYFUNCTION("""COMPUTED_VALUE"""),"Albendazole")</f>
        <v>Albendazole</v>
      </c>
      <c r="AN6" s="880" t="str">
        <f>IFERROR(__xludf.DUMMYFUNCTION("""COMPUTED_VALUE"""),"Single")</f>
        <v>Single</v>
      </c>
      <c r="AO6" s="880" t="str">
        <f>IFERROR(__xludf.DUMMYFUNCTION("""COMPUTED_VALUE"""),"400 mg")</f>
        <v>400 mg</v>
      </c>
      <c r="AP6" s="880">
        <f>IFERROR(__xludf.DUMMYFUNCTION("""COMPUTED_VALUE"""),419.0)</f>
        <v>419</v>
      </c>
      <c r="AQ6" s="880">
        <f>IFERROR(__xludf.DUMMYFUNCTION("""COMPUTED_VALUE"""),11.6)</f>
        <v>11.6</v>
      </c>
      <c r="AR6" s="880" t="str">
        <f>IFERROR(__xludf.DUMMYFUNCTION("""COMPUTED_VALUE"""),"Male:53.4%")</f>
        <v>Male:53.4%</v>
      </c>
      <c r="AS6" s="880">
        <f>IFERROR(__xludf.DUMMYFUNCTION("""COMPUTED_VALUE"""),2004.0)</f>
        <v>2004</v>
      </c>
      <c r="AT6" s="880" t="str">
        <f>IFERROR(__xludf.DUMMYFUNCTION("""COMPUTED_VALUE"""),"Children were excluded to the trial if they were too sick (severe diarrhoea, severe anaemia, high fever), did not have parental/guardian permission to participate or did not provide stool sample")</f>
        <v>Children were excluded to the trial if they were too sick (severe diarrhoea, severe anaemia, high fever), did not have parental/guardian permission to participate or did not provide stool sample</v>
      </c>
      <c r="AU6" s="880" t="str">
        <f>IFERROR(__xludf.DUMMYFUNCTION("""COMPUTED_VALUE"""),"Yes")</f>
        <v>Yes</v>
      </c>
      <c r="AV6" s="880" t="str">
        <f>IFERROR(__xludf.DUMMYFUNCTION("""COMPUTED_VALUE"""),"Yes")</f>
        <v>Yes</v>
      </c>
      <c r="AW6" s="881" t="str">
        <f>IFERROR(__xludf.DUMMYFUNCTION("""COMPUTED_VALUE"""),"randomized single blind trial")</f>
        <v>randomized single blind trial</v>
      </c>
      <c r="AX6" s="863">
        <f>IFERROR(__xludf.DUMMYFUNCTION("""COMPUTED_VALUE"""),0.266)</f>
        <v>0.266</v>
      </c>
      <c r="AY6" s="863"/>
      <c r="AZ6" s="863">
        <f>IFERROR(__xludf.DUMMYFUNCTION("""COMPUTED_VALUE"""),0.266)</f>
        <v>0.266</v>
      </c>
      <c r="BA6" s="863"/>
      <c r="BB6" s="863"/>
      <c r="BC6" s="863"/>
      <c r="BD6" s="863"/>
      <c r="BE6" s="863"/>
      <c r="BF6" s="863"/>
      <c r="BG6" s="863"/>
      <c r="BH6" s="863">
        <f>IFERROR(__xludf.DUMMYFUNCTION("""COMPUTED_VALUE"""),0.714)</f>
        <v>0.714</v>
      </c>
      <c r="BI6" s="863"/>
      <c r="BJ6" s="863"/>
      <c r="BK6" s="863"/>
      <c r="BL6" s="863"/>
      <c r="BM6" s="863"/>
      <c r="BN6" s="863"/>
      <c r="BO6" s="863" t="str">
        <f>IFERROR(__xludf.DUMMYFUNCTION("""COMPUTED_VALUE"""),"Royal")</f>
        <v>Royal</v>
      </c>
      <c r="BP6" s="880"/>
      <c r="BQ6" s="863"/>
      <c r="BR6" s="889" t="str">
        <f>IFERROR(__xludf.DUMMYFUNCTION("""COMPUTED_VALUE"""),"Diawara et al.")</f>
        <v>Diawara et al.</v>
      </c>
      <c r="BS6" s="883" t="str">
        <f>IFERROR(__xludf.DUMMYFUNCTION("""COMPUTED_VALUE"""),"Haiti")</f>
        <v>Haiti</v>
      </c>
      <c r="BT6" s="883" t="str">
        <f>IFERROR(__xludf.DUMMYFUNCTION("""COMPUTED_VALUE"""),"Albendazole &amp; Diethylcarbamazine")</f>
        <v>Albendazole &amp; Diethylcarbamazine</v>
      </c>
      <c r="BU6" s="883"/>
      <c r="BV6" s="883" t="str">
        <f>IFERROR(__xludf.DUMMYFUNCTION("""COMPUTED_VALUE"""),"Single")</f>
        <v>Single</v>
      </c>
      <c r="BW6" s="883" t="str">
        <f>IFERROR(__xludf.DUMMYFUNCTION("""COMPUTED_VALUE"""),"400 mg; 6 mg")</f>
        <v>400 mg; 6 mg</v>
      </c>
      <c r="BX6" s="883">
        <f>IFERROR(__xludf.DUMMYFUNCTION("""COMPUTED_VALUE"""),317.0)</f>
        <v>317</v>
      </c>
      <c r="BY6" s="883" t="str">
        <f>IFERROR(__xludf.DUMMYFUNCTION("""COMPUTED_VALUE"""),"2+")</f>
        <v>2+</v>
      </c>
      <c r="BZ6" s="883">
        <f>IFERROR(__xludf.DUMMYFUNCTION("""COMPUTED_VALUE"""),2009.0)</f>
        <v>2009</v>
      </c>
      <c r="CA6" s="883"/>
      <c r="CB6" s="883"/>
      <c r="CC6" s="883" t="str">
        <f>IFERROR(__xludf.DUMMYFUNCTION("""COMPUTED_VALUE"""),"No")</f>
        <v>No</v>
      </c>
      <c r="CD6" s="884"/>
      <c r="CE6" s="883" t="str">
        <f>IFERROR(__xludf.DUMMYFUNCTION("""COMPUTED_VALUE"""),"No")</f>
        <v>No</v>
      </c>
      <c r="CF6" s="883"/>
      <c r="CG6" s="883"/>
      <c r="CH6" s="883"/>
      <c r="CI6" s="883"/>
      <c r="CJ6" s="883"/>
      <c r="CK6" s="883"/>
      <c r="CL6" s="883"/>
      <c r="CM6" s="884">
        <f>IFERROR(__xludf.DUMMYFUNCTION("""COMPUTED_VALUE"""),0.999)</f>
        <v>0.999</v>
      </c>
      <c r="CN6" s="883"/>
      <c r="CO6" s="883"/>
      <c r="CP6" s="883"/>
      <c r="CQ6" s="883"/>
      <c r="CR6" s="883"/>
      <c r="CS6" s="883"/>
      <c r="CT6" s="883" t="str">
        <f>IFERROR(__xludf.DUMMYFUNCTION("""COMPUTED_VALUE"""),"McMaster")</f>
        <v>McMaster</v>
      </c>
      <c r="CU6" s="883"/>
      <c r="CV6" s="863"/>
      <c r="CW6" s="863"/>
      <c r="CX6" s="863"/>
      <c r="CY6" s="863"/>
      <c r="CZ6" s="863"/>
      <c r="DA6" s="863"/>
      <c r="DB6" s="863"/>
      <c r="DC6" s="863"/>
      <c r="DD6" s="863"/>
      <c r="DE6" s="863"/>
    </row>
    <row r="7">
      <c r="A7" s="887" t="str">
        <f>IFERROR(__xludf.DUMMYFUNCTION("""COMPUTED_VALUE"""),"Adegnika et al.")</f>
        <v>Adegnika et al.</v>
      </c>
      <c r="B7" s="876" t="str">
        <f>IFERROR(__xludf.DUMMYFUNCTION("""COMPUTED_VALUE"""),"Gabon")</f>
        <v>Gabon</v>
      </c>
      <c r="C7" s="876" t="str">
        <f>IFERROR(__xludf.DUMMYFUNCTION("""COMPUTED_VALUE"""),"Albendazole")</f>
        <v>Albendazole</v>
      </c>
      <c r="D7" s="876" t="str">
        <f>IFERROR(__xludf.DUMMYFUNCTION("""COMPUTED_VALUE"""),"Three")</f>
        <v>Three</v>
      </c>
      <c r="E7" s="876" t="str">
        <f>IFERROR(__xludf.DUMMYFUNCTION("""COMPUTED_VALUE"""),"400 mg")</f>
        <v>400 mg</v>
      </c>
      <c r="F7" s="876">
        <f>IFERROR(__xludf.DUMMYFUNCTION("""COMPUTED_VALUE"""),64.0)</f>
        <v>64</v>
      </c>
      <c r="G7" s="876">
        <f>IFERROR(__xludf.DUMMYFUNCTION("""COMPUTED_VALUE"""),8.2)</f>
        <v>8.2</v>
      </c>
      <c r="H7" s="876" t="str">
        <f>IFERROR(__xludf.DUMMYFUNCTION("""COMPUTED_VALUE"""),"1:9")</f>
        <v>1:9</v>
      </c>
      <c r="I7" s="876">
        <f>IFERROR(__xludf.DUMMYFUNCTION("""COMPUTED_VALUE"""),2011.0)</f>
        <v>2011</v>
      </c>
      <c r="J7" s="876" t="str">
        <f>IFERROR(__xludf.DUMMYFUNCTION("""COMPUTED_VALUE"""),"included: age between 4 to 14 years and a total of at least 5 eggs or larvae of any of the three intestinal helminths, namely, Ascaris lum-bricoides, Trichuris trichiura, and hookworm.
excluded: known HIV infection, allergic to albendazole, severe anemia,"&amp;" and any other underlying severe physical condition")</f>
        <v>included: age between 4 to 14 years and a total of at least 5 eggs or larvae of any of the three intestinal helminths, namely, Ascaris lum-bricoides, Trichuris trichiura, and hookworm.
excluded: known HIV infection, allergic to albendazole, severe anemia, and any other underlying severe physical condition</v>
      </c>
      <c r="K7" s="876" t="str">
        <f>IFERROR(__xludf.DUMMYFUNCTION("""COMPUTED_VALUE"""),"single-centered randomized controlled assessor-blinded clinical trial")</f>
        <v>single-centered randomized controlled assessor-blinded clinical trial</v>
      </c>
      <c r="L7" s="876" t="str">
        <f>IFERROR(__xludf.DUMMYFUNCTION("""COMPUTED_VALUE"""),"Yes")</f>
        <v>Yes</v>
      </c>
      <c r="M7" s="876" t="str">
        <f>IFERROR(__xludf.DUMMYFUNCTION("""COMPUTED_VALUE"""),"Yes")</f>
        <v>Yes</v>
      </c>
      <c r="N7" s="877">
        <f>IFERROR(__xludf.DUMMYFUNCTION("""COMPUTED_VALUE"""),0.93)</f>
        <v>0.93</v>
      </c>
      <c r="O7" s="876"/>
      <c r="P7" s="876"/>
      <c r="Q7" s="876"/>
      <c r="R7" s="876">
        <f>IFERROR(__xludf.DUMMYFUNCTION("""COMPUTED_VALUE"""),0.93)</f>
        <v>0.93</v>
      </c>
      <c r="S7" s="876"/>
      <c r="T7" s="876"/>
      <c r="U7" s="876"/>
      <c r="V7" s="876"/>
      <c r="W7" s="876">
        <f>IFERROR(__xludf.DUMMYFUNCTION("""COMPUTED_VALUE"""),0.93)</f>
        <v>0.93</v>
      </c>
      <c r="X7" s="876"/>
      <c r="Y7" s="876"/>
      <c r="Z7" s="876"/>
      <c r="AA7" s="876"/>
      <c r="AB7" s="876">
        <f>IFERROR(__xludf.DUMMYFUNCTION("""COMPUTED_VALUE"""),0.93)</f>
        <v>0.93</v>
      </c>
      <c r="AC7" s="876"/>
      <c r="AD7" s="876"/>
      <c r="AE7" s="876" t="str">
        <f>IFERROR(__xludf.DUMMYFUNCTION("""COMPUTED_VALUE"""),"They found cure and egg reduction rates with single dose ALB 400 mg treatment to be somewhat lower than rates recently reported from other regions in africa. The three dose regiman of ALB let to considerable increases in the cure rates against these helmi"&amp;"nths.")</f>
        <v>They found cure and egg reduction rates with single dose ALB 400 mg treatment to be somewhat lower than rates recently reported from other regions in africa. The three dose regiman of ALB let to considerable increases in the cure rates against these helminths.</v>
      </c>
      <c r="AF7" s="876" t="str">
        <f>IFERROR(__xludf.DUMMYFUNCTION("""COMPUTED_VALUE"""),"• Among the 175 children included in this study, multispecies infections occurred in 56% of individuals, dual infections in 45%, and triple infections in 11%. Teh study looked at the following infections: Ascaris lumbricoides, Trichuris trichiura, and Hoo"&amp;"kworm Infection.
• Single dose over 3 days")</f>
        <v>• Among the 175 children included in this study, multispecies infections occurred in 56% of individuals, dual infections in 45%, and triple infections in 11%. Teh study looked at the following infections: Ascaris lumbricoides, Trichuris trichiura, and Hookworm Infection.
• Single dose over 3 days</v>
      </c>
      <c r="AG7" s="876" t="str">
        <f>IFERROR(__xludf.DUMMYFUNCTION("""COMPUTED_VALUE"""),"Aegnika, Ayola A., Jeannot F. Zinsou, Saadou Issifou, Ulysse Ateba-Ngoa, Roland F. Kassa, Eliane N. Feugap, Yabo J. Honkpehedji, Jean-Claude Dejon Agobe, Hilaire M. Kenguele, Marguerite Massinga-Loembe, Slidji T. Agnandji, Benjamin Mordmuller, Michael Ram"&amp;"harter, Maria Yazdanbakhsh, Peter G. Kremsner, and Bertrand Lell. ""Randomized Controlled, Assessor-Blind Clinical Trial to Assess the Efficacy of Single- versus Repeated Dose Albendazoleto Treat Ascaris Lumbricoides, Trichuris Trichiura, and Hookworm Inf"&amp;"ection."" Antimicrobial Agents and Chemotherapy 58.5 (2014): 2535-540. Web.")</f>
        <v>Aegnika, Ayola A., Jeannot F. Zinsou, Saadou Issifou, Ulysse Ateba-Ngoa, Roland F. Kassa, Eliane N. Feugap, Yabo J. Honkpehedji, Jean-Claude Dejon Agobe, Hilaire M. Kenguele, Marguerite Massinga-Loembe, Slidji T. Agnandji, Benjamin Mordmuller, Michael Ramharter, Maria Yazdanbakhsh, Peter G. Kremsner, and Bertrand Lell. "Randomized Controlled, Assessor-Blind Clinical Trial to Assess the Efficacy of Single- versus Repeated Dose Albendazoleto Treat Ascaris Lumbricoides, Trichuris Trichiura, and Hookworm Infection." Antimicrobial Agents and Chemotherapy 58.5 (2014): 2535-540. Web.</v>
      </c>
      <c r="AH7" s="876"/>
      <c r="AI7" s="878"/>
      <c r="AJ7" s="888" t="str">
        <f>IFERROR(__xludf.DUMMYFUNCTION("""COMPUTED_VALUE"""),"Albonico et al.")</f>
        <v>Albonico et al.</v>
      </c>
      <c r="AK7" s="880"/>
      <c r="AL7" s="880" t="str">
        <f>IFERROR(__xludf.DUMMYFUNCTION("""COMPUTED_VALUE"""),"Nepal")</f>
        <v>Nepal</v>
      </c>
      <c r="AM7" s="880" t="str">
        <f>IFERROR(__xludf.DUMMYFUNCTION("""COMPUTED_VALUE"""),"Albendazole")</f>
        <v>Albendazole</v>
      </c>
      <c r="AN7" s="880" t="str">
        <f>IFERROR(__xludf.DUMMYFUNCTION("""COMPUTED_VALUE"""),"Single")</f>
        <v>Single</v>
      </c>
      <c r="AO7" s="880" t="str">
        <f>IFERROR(__xludf.DUMMYFUNCTION("""COMPUTED_VALUE"""),"400 mg")</f>
        <v>400 mg</v>
      </c>
      <c r="AP7" s="880">
        <f>IFERROR(__xludf.DUMMYFUNCTION("""COMPUTED_VALUE"""),429.0)</f>
        <v>429</v>
      </c>
      <c r="AQ7" s="880">
        <f>IFERROR(__xludf.DUMMYFUNCTION("""COMPUTED_VALUE"""),11.6)</f>
        <v>11.6</v>
      </c>
      <c r="AR7" s="880" t="str">
        <f>IFERROR(__xludf.DUMMYFUNCTION("""COMPUTED_VALUE"""),"Male:53.4%")</f>
        <v>Male:53.4%</v>
      </c>
      <c r="AS7" s="880">
        <f>IFERROR(__xludf.DUMMYFUNCTION("""COMPUTED_VALUE"""),2004.0)</f>
        <v>2004</v>
      </c>
      <c r="AT7" s="880" t="str">
        <f>IFERROR(__xludf.DUMMYFUNCTION("""COMPUTED_VALUE"""),"Children were excluded to the trial if they were too sick (severe diarrhoea, severe anaemia, high fever), did not have parental/guardian permission to participate or did not provide stool sample")</f>
        <v>Children were excluded to the trial if they were too sick (severe diarrhoea, severe anaemia, high fever), did not have parental/guardian permission to participate or did not provide stool sample</v>
      </c>
      <c r="AU7" s="880" t="str">
        <f>IFERROR(__xludf.DUMMYFUNCTION("""COMPUTED_VALUE"""),"Yes")</f>
        <v>Yes</v>
      </c>
      <c r="AV7" s="880" t="str">
        <f>IFERROR(__xludf.DUMMYFUNCTION("""COMPUTED_VALUE"""),"Yes")</f>
        <v>Yes</v>
      </c>
      <c r="AW7" s="881" t="str">
        <f>IFERROR(__xludf.DUMMYFUNCTION("""COMPUTED_VALUE"""),"randomized single blind trial")</f>
        <v>randomized single blind trial</v>
      </c>
      <c r="AX7" s="863">
        <f>IFERROR(__xludf.DUMMYFUNCTION("""COMPUTED_VALUE"""),0.28)</f>
        <v>0.28</v>
      </c>
      <c r="AY7" s="863"/>
      <c r="AZ7" s="863">
        <f>IFERROR(__xludf.DUMMYFUNCTION("""COMPUTED_VALUE"""),0.28)</f>
        <v>0.28</v>
      </c>
      <c r="BA7" s="863"/>
      <c r="BB7" s="863"/>
      <c r="BC7" s="863"/>
      <c r="BD7" s="863"/>
      <c r="BE7" s="863"/>
      <c r="BF7" s="863"/>
      <c r="BG7" s="863"/>
      <c r="BH7" s="863">
        <f>IFERROR(__xludf.DUMMYFUNCTION("""COMPUTED_VALUE"""),0.632)</f>
        <v>0.632</v>
      </c>
      <c r="BI7" s="863"/>
      <c r="BJ7" s="863"/>
      <c r="BK7" s="863"/>
      <c r="BL7" s="863"/>
      <c r="BM7" s="863"/>
      <c r="BN7" s="863"/>
      <c r="BO7" s="863" t="str">
        <f>IFERROR(__xludf.DUMMYFUNCTION("""COMPUTED_VALUE"""),"Curex")</f>
        <v>Curex</v>
      </c>
      <c r="BP7" s="880"/>
      <c r="BQ7" s="863"/>
      <c r="BR7" s="889" t="str">
        <f>IFERROR(__xludf.DUMMYFUNCTION("""COMPUTED_VALUE"""),"Diawara et al.")</f>
        <v>Diawara et al.</v>
      </c>
      <c r="BS7" s="883" t="str">
        <f>IFERROR(__xludf.DUMMYFUNCTION("""COMPUTED_VALUE"""),"Kenya")</f>
        <v>Kenya</v>
      </c>
      <c r="BT7" s="883" t="str">
        <f>IFERROR(__xludf.DUMMYFUNCTION("""COMPUTED_VALUE"""),"Albendazole")</f>
        <v>Albendazole</v>
      </c>
      <c r="BU7" s="883"/>
      <c r="BV7" s="883" t="str">
        <f>IFERROR(__xludf.DUMMYFUNCTION("""COMPUTED_VALUE"""),"Single")</f>
        <v>Single</v>
      </c>
      <c r="BW7" s="883" t="str">
        <f>IFERROR(__xludf.DUMMYFUNCTION("""COMPUTED_VALUE"""),"400 mg")</f>
        <v>400 mg</v>
      </c>
      <c r="BX7" s="883">
        <f>IFERROR(__xludf.DUMMYFUNCTION("""COMPUTED_VALUE"""),92.0)</f>
        <v>92</v>
      </c>
      <c r="BY7" s="883" t="str">
        <f>IFERROR(__xludf.DUMMYFUNCTION("""COMPUTED_VALUE"""),"School Children")</f>
        <v>School Children</v>
      </c>
      <c r="BZ7" s="883">
        <f>IFERROR(__xludf.DUMMYFUNCTION("""COMPUTED_VALUE"""),2009.0)</f>
        <v>2009</v>
      </c>
      <c r="CA7" s="883"/>
      <c r="CB7" s="883"/>
      <c r="CC7" s="883" t="str">
        <f>IFERROR(__xludf.DUMMYFUNCTION("""COMPUTED_VALUE"""),"No")</f>
        <v>No</v>
      </c>
      <c r="CD7" s="884"/>
      <c r="CE7" s="883" t="str">
        <f>IFERROR(__xludf.DUMMYFUNCTION("""COMPUTED_VALUE"""),"No")</f>
        <v>No</v>
      </c>
      <c r="CF7" s="883"/>
      <c r="CG7" s="883"/>
      <c r="CH7" s="883"/>
      <c r="CI7" s="883"/>
      <c r="CJ7" s="883"/>
      <c r="CK7" s="883"/>
      <c r="CL7" s="883"/>
      <c r="CM7" s="883" t="str">
        <f>IFERROR(__xludf.DUMMYFUNCTION("""COMPUTED_VALUE"""),"97.3 % McMaster   80.3% Kato-Katz")</f>
        <v>97.3 % McMaster   80.3% Kato-Katz</v>
      </c>
      <c r="CN7" s="883"/>
      <c r="CO7" s="883"/>
      <c r="CP7" s="883"/>
      <c r="CQ7" s="883"/>
      <c r="CR7" s="883"/>
      <c r="CS7" s="883"/>
      <c r="CT7" s="883" t="str">
        <f>IFERROR(__xludf.DUMMYFUNCTION("""COMPUTED_VALUE"""),"McMaster and Kato-Katz")</f>
        <v>McMaster and Kato-Katz</v>
      </c>
      <c r="CU7" s="883"/>
      <c r="CV7" s="863"/>
      <c r="CW7" s="863"/>
      <c r="CX7" s="863"/>
      <c r="CY7" s="863"/>
      <c r="CZ7" s="863"/>
      <c r="DA7" s="863"/>
      <c r="DB7" s="863"/>
      <c r="DC7" s="863"/>
      <c r="DD7" s="863"/>
      <c r="DE7" s="863"/>
    </row>
    <row r="8">
      <c r="A8" s="887" t="str">
        <f>IFERROR(__xludf.DUMMYFUNCTION("""COMPUTED_VALUE"""),"Albonico et al.")</f>
        <v>Albonico et al.</v>
      </c>
      <c r="B8" s="876" t="str">
        <f>IFERROR(__xludf.DUMMYFUNCTION("""COMPUTED_VALUE"""),"Nepal")</f>
        <v>Nepal</v>
      </c>
      <c r="C8" s="876" t="str">
        <f>IFERROR(__xludf.DUMMYFUNCTION("""COMPUTED_VALUE"""),"Albendazole")</f>
        <v>Albendazole</v>
      </c>
      <c r="D8" s="876" t="str">
        <f>IFERROR(__xludf.DUMMYFUNCTION("""COMPUTED_VALUE"""),"Single")</f>
        <v>Single</v>
      </c>
      <c r="E8" s="876" t="str">
        <f>IFERROR(__xludf.DUMMYFUNCTION("""COMPUTED_VALUE"""),"400 mg")</f>
        <v>400 mg</v>
      </c>
      <c r="F8" s="876">
        <f>IFERROR(__xludf.DUMMYFUNCTION("""COMPUTED_VALUE"""),429.0)</f>
        <v>429</v>
      </c>
      <c r="G8" s="876">
        <f>IFERROR(__xludf.DUMMYFUNCTION("""COMPUTED_VALUE"""),11.6)</f>
        <v>11.6</v>
      </c>
      <c r="H8" s="876" t="str">
        <f>IFERROR(__xludf.DUMMYFUNCTION("""COMPUTED_VALUE"""),"53:47")</f>
        <v>53:47</v>
      </c>
      <c r="I8" s="876">
        <f>IFERROR(__xludf.DUMMYFUNCTION("""COMPUTED_VALUE"""),2004.0)</f>
        <v>2004</v>
      </c>
      <c r="J8" s="876" t="str">
        <f>IFERROR(__xludf.DUMMYFUNCTION("""COMPUTED_VALUE"""),"excluded:  too sick, did not have parental/guidance permission to participate or did not provide a stool sample")</f>
        <v>excluded:  too sick, did not have parental/guidance permission to participate or did not provide a stool sample</v>
      </c>
      <c r="K8" s="876" t="str">
        <f>IFERROR(__xludf.DUMMYFUNCTION("""COMPUTED_VALUE"""),"community-based randomized single-blind trial")</f>
        <v>community-based randomized single-blind trial</v>
      </c>
      <c r="L8" s="876" t="str">
        <f>IFERROR(__xludf.DUMMYFUNCTION("""COMPUTED_VALUE"""),"Yes")</f>
        <v>Yes</v>
      </c>
      <c r="M8" s="876" t="str">
        <f>IFERROR(__xludf.DUMMYFUNCTION("""COMPUTED_VALUE"""),"Yes")</f>
        <v>Yes</v>
      </c>
      <c r="N8" s="877">
        <f>IFERROR(__xludf.DUMMYFUNCTION("""COMPUTED_VALUE"""),0.743)</f>
        <v>0.743</v>
      </c>
      <c r="O8" s="876"/>
      <c r="P8" s="876">
        <f>IFERROR(__xludf.DUMMYFUNCTION("""COMPUTED_VALUE"""),0.743)</f>
        <v>0.743</v>
      </c>
      <c r="Q8" s="876"/>
      <c r="R8" s="876"/>
      <c r="S8" s="876"/>
      <c r="T8" s="876"/>
      <c r="U8" s="876"/>
      <c r="V8" s="876"/>
      <c r="W8" s="876">
        <f>IFERROR(__xludf.DUMMYFUNCTION("""COMPUTED_VALUE"""),0.871)</f>
        <v>0.871</v>
      </c>
      <c r="X8" s="876"/>
      <c r="Y8" s="876">
        <f>IFERROR(__xludf.DUMMYFUNCTION("""COMPUTED_VALUE"""),0.871)</f>
        <v>0.871</v>
      </c>
      <c r="Z8" s="876"/>
      <c r="AA8" s="876"/>
      <c r="AB8" s="876"/>
      <c r="AC8" s="876"/>
      <c r="AD8" s="876"/>
      <c r="AE8" s="876" t="str">
        <f>IFERROR(__xludf.DUMMYFUNCTION("""COMPUTED_VALUE"""),"Results indicate (with different degrees of significance) a descending gradient of efficacy from GSK’s product to Royal Drug’s and then Curex’s for the treatment of STH infections in Nepal, with a particularly significant difference for hookworm infection"&amp;".")</f>
        <v>Results indicate (with different degrees of significance) a descending gradient of efficacy from GSK’s product to Royal Drug’s and then Curex’s for the treatment of STH infections in Nepal, with a particularly significant difference for hookworm infection.</v>
      </c>
      <c r="AF8" s="876" t="str">
        <f>IFERROR(__xludf.DUMMYFUNCTION("""COMPUTED_VALUE"""),"• The ratio of M:F is based on the total number subjects in all three groups of the study.
• Stool samples examined using Kato-Katz Method
• GSK                                           ")</f>
        <v>• The ratio of M:F is based on the total number subjects in all three groups of the study.
• Stool samples examined using Kato-Katz Method
• GSK                                           </v>
      </c>
      <c r="AG8" s="876" t="str">
        <f>IFERROR(__xludf.DUMMYFUNCTION("""COMPUTED_VALUE"""),"Albonico, Marco, Pragya Mathema, Antonio Montresor, Balkrishna Khakurel, Valerio Reggi, Sharada Pandey, and Lorenzo Savioli. ""Comparative Study of the Quality and Efficacy of Originator and Generic Albendazolefor Mass Treatment of Soil Transmitted Nemato"&amp;"de Infections in Nepal."" Transactions of the Royal Society of Tropical Medicine and Hygiene 101 (2007): 454-60. Web.")</f>
        <v>Albonico, Marco, Pragya Mathema, Antonio Montresor, Balkrishna Khakurel, Valerio Reggi, Sharada Pandey, and Lorenzo Savioli. "Comparative Study of the Quality and Efficacy of Originator and Generic Albendazolefor Mass Treatment of Soil Transmitted Nematode Infections in Nepal." Transactions of the Royal Society of Tropical Medicine and Hygiene 101 (2007): 454-60. Web.</v>
      </c>
      <c r="AH8" s="876" t="str">
        <f>IFERROR(__xludf.DUMMYFUNCTION("""COMPUTED_VALUE"""),"x")</f>
        <v>x</v>
      </c>
      <c r="AI8" s="878"/>
      <c r="AJ8" s="888" t="str">
        <f>IFERROR(__xludf.DUMMYFUNCTION("""COMPUTED_VALUE"""),"Lyu et al.")</f>
        <v>Lyu et al.</v>
      </c>
      <c r="AK8" s="880" t="str">
        <f>IFERROR(__xludf.DUMMYFUNCTION("""COMPUTED_VALUE"""),"Lim, Jung-Kyoo, Kwang-sa Lyu, Il Hyun, Sun-dae Song, and Han-Jong Rim. ""Pyrantel Embonateand Bephenum Hydroxynaphthoate in the Treatment of Hookworm Infection."" The Korean Journal of Parasitology 13.1 (1975): 19-30. Web.")</f>
        <v>Lim, Jung-Kyoo, Kwang-sa Lyu, Il Hyun, Sun-dae Song, and Han-Jong Rim. "Pyrantel Embonateand Bephenum Hydroxynaphthoate in the Treatment of Hookworm Infection." The Korean Journal of Parasitology 13.1 (1975): 19-30. Web.</v>
      </c>
      <c r="AL8" s="880" t="str">
        <f>IFERROR(__xludf.DUMMYFUNCTION("""COMPUTED_VALUE"""),"Republic of Korea")</f>
        <v>Republic of Korea</v>
      </c>
      <c r="AM8" s="880" t="str">
        <f>IFERROR(__xludf.DUMMYFUNCTION("""COMPUTED_VALUE"""),"Pyrantel Embonate")</f>
        <v>Pyrantel Embonate</v>
      </c>
      <c r="AN8" s="880" t="str">
        <f>IFERROR(__xludf.DUMMYFUNCTION("""COMPUTED_VALUE"""),"Single")</f>
        <v>Single</v>
      </c>
      <c r="AO8" s="880" t="str">
        <f>IFERROR(__xludf.DUMMYFUNCTION("""COMPUTED_VALUE"""),"10 mg")</f>
        <v>10 mg</v>
      </c>
      <c r="AP8" s="880">
        <f>IFERROR(__xludf.DUMMYFUNCTION("""COMPUTED_VALUE"""),41.0)</f>
        <v>41</v>
      </c>
      <c r="AQ8" s="880" t="str">
        <f>IFERROR(__xludf.DUMMYFUNCTION("""COMPUTED_VALUE"""),"8-79")</f>
        <v>8-79</v>
      </c>
      <c r="AR8" s="880" t="str">
        <f>IFERROR(__xludf.DUMMYFUNCTION("""COMPUTED_VALUE"""),"Male: 24 Female:25")</f>
        <v>Male: 24 Female:25</v>
      </c>
      <c r="AS8" s="880">
        <f>IFERROR(__xludf.DUMMYFUNCTION("""COMPUTED_VALUE"""),1975.0)</f>
        <v>1975</v>
      </c>
      <c r="AT8" s="880"/>
      <c r="AU8" s="880" t="str">
        <f>IFERROR(__xludf.DUMMYFUNCTION("""COMPUTED_VALUE"""),"Yes")</f>
        <v>Yes</v>
      </c>
      <c r="AV8" s="880" t="str">
        <f>IFERROR(__xludf.DUMMYFUNCTION("""COMPUTED_VALUE"""),"Yes")</f>
        <v>Yes</v>
      </c>
      <c r="AW8" s="881" t="str">
        <f>IFERROR(__xludf.DUMMYFUNCTION("""COMPUTED_VALUE"""),"single blind randomized and non cross over comparison")</f>
        <v>single blind randomized and non cross over comparison</v>
      </c>
      <c r="AX8" s="863">
        <f>IFERROR(__xludf.DUMMYFUNCTION("""COMPUTED_VALUE"""),0.073)</f>
        <v>0.073</v>
      </c>
      <c r="AY8" s="863"/>
      <c r="AZ8" s="863"/>
      <c r="BA8" s="863">
        <f>IFERROR(__xludf.DUMMYFUNCTION("""COMPUTED_VALUE"""),0.073)</f>
        <v>0.073</v>
      </c>
      <c r="BB8" s="863"/>
      <c r="BC8" s="863"/>
      <c r="BD8" s="863"/>
      <c r="BE8" s="863"/>
      <c r="BF8" s="863"/>
      <c r="BG8" s="863"/>
      <c r="BH8" s="863">
        <f>IFERROR(__xludf.DUMMYFUNCTION("""COMPUTED_VALUE"""),0.698)</f>
        <v>0.698</v>
      </c>
      <c r="BI8" s="863"/>
      <c r="BJ8" s="863"/>
      <c r="BK8" s="863"/>
      <c r="BL8" s="863"/>
      <c r="BM8" s="863"/>
      <c r="BN8" s="863"/>
      <c r="BO8" s="863"/>
      <c r="BP8" s="880" t="str">
        <f>IFERROR(__xludf.DUMMYFUNCTION("""COMPUTED_VALUE"""),"x")</f>
        <v>x</v>
      </c>
      <c r="BQ8" s="863"/>
      <c r="BR8" s="889" t="str">
        <f>IFERROR(__xludf.DUMMYFUNCTION("""COMPUTED_VALUE"""),"Diawara et al.")</f>
        <v>Diawara et al.</v>
      </c>
      <c r="BS8" s="883" t="str">
        <f>IFERROR(__xludf.DUMMYFUNCTION("""COMPUTED_VALUE"""),"Panama")</f>
        <v>Panama</v>
      </c>
      <c r="BT8" s="883" t="str">
        <f>IFERROR(__xludf.DUMMYFUNCTION("""COMPUTED_VALUE"""),"Albendazole")</f>
        <v>Albendazole</v>
      </c>
      <c r="BU8" s="883"/>
      <c r="BV8" s="883" t="str">
        <f>IFERROR(__xludf.DUMMYFUNCTION("""COMPUTED_VALUE"""),"Single")</f>
        <v>Single</v>
      </c>
      <c r="BW8" s="883" t="str">
        <f>IFERROR(__xludf.DUMMYFUNCTION("""COMPUTED_VALUE"""),"200 mg")</f>
        <v>200 mg</v>
      </c>
      <c r="BX8" s="883">
        <f>IFERROR(__xludf.DUMMYFUNCTION("""COMPUTED_VALUE"""),222.0)</f>
        <v>222</v>
      </c>
      <c r="BY8" s="890">
        <f>IFERROR(__xludf.DUMMYFUNCTION("""COMPUTED_VALUE"""),42371.0)</f>
        <v>42371</v>
      </c>
      <c r="BZ8" s="883">
        <f>IFERROR(__xludf.DUMMYFUNCTION("""COMPUTED_VALUE"""),2009.0)</f>
        <v>2009</v>
      </c>
      <c r="CA8" s="883"/>
      <c r="CB8" s="883" t="str">
        <f>IFERROR(__xludf.DUMMYFUNCTION("""COMPUTED_VALUE""")," ")</f>
        <v> </v>
      </c>
      <c r="CC8" s="883" t="str">
        <f>IFERROR(__xludf.DUMMYFUNCTION("""COMPUTED_VALUE"""),"No")</f>
        <v>No</v>
      </c>
      <c r="CD8" s="884"/>
      <c r="CE8" s="883" t="str">
        <f>IFERROR(__xludf.DUMMYFUNCTION("""COMPUTED_VALUE"""),"No")</f>
        <v>No</v>
      </c>
      <c r="CF8" s="883"/>
      <c r="CG8" s="883"/>
      <c r="CH8" s="883"/>
      <c r="CI8" s="883"/>
      <c r="CJ8" s="883"/>
      <c r="CK8" s="883"/>
      <c r="CL8" s="883"/>
      <c r="CM8" s="883" t="str">
        <f>IFERROR(__xludf.DUMMYFUNCTION("""COMPUTED_VALUE"""),"60.0% Kato-Katz 89.8 FLOTAC")</f>
        <v>60.0% Kato-Katz 89.8 FLOTAC</v>
      </c>
      <c r="CN8" s="883"/>
      <c r="CO8" s="883"/>
      <c r="CP8" s="883"/>
      <c r="CQ8" s="883"/>
      <c r="CR8" s="883"/>
      <c r="CS8" s="883"/>
      <c r="CT8" s="883" t="str">
        <f>IFERROR(__xludf.DUMMYFUNCTION("""COMPUTED_VALUE"""),"Kato-Katz and FLOTAC")</f>
        <v>Kato-Katz and FLOTAC</v>
      </c>
      <c r="CU8" s="883"/>
      <c r="CV8" s="863"/>
      <c r="CW8" s="863"/>
      <c r="CX8" s="863"/>
      <c r="CY8" s="863"/>
      <c r="CZ8" s="863"/>
      <c r="DA8" s="863"/>
      <c r="DB8" s="863"/>
      <c r="DC8" s="863"/>
      <c r="DD8" s="863"/>
      <c r="DE8" s="863"/>
    </row>
    <row r="9">
      <c r="A9" s="887" t="str">
        <f>IFERROR(__xludf.DUMMYFUNCTION("""COMPUTED_VALUE"""),"Albonico et al.")</f>
        <v>Albonico et al.</v>
      </c>
      <c r="B9" s="876" t="str">
        <f>IFERROR(__xludf.DUMMYFUNCTION("""COMPUTED_VALUE"""),"Nepal")</f>
        <v>Nepal</v>
      </c>
      <c r="C9" s="876" t="str">
        <f>IFERROR(__xludf.DUMMYFUNCTION("""COMPUTED_VALUE"""),"Albendazole")</f>
        <v>Albendazole</v>
      </c>
      <c r="D9" s="876" t="str">
        <f>IFERROR(__xludf.DUMMYFUNCTION("""COMPUTED_VALUE"""),"Single")</f>
        <v>Single</v>
      </c>
      <c r="E9" s="876" t="str">
        <f>IFERROR(__xludf.DUMMYFUNCTION("""COMPUTED_VALUE"""),"400 mg")</f>
        <v>400 mg</v>
      </c>
      <c r="F9" s="876">
        <f>IFERROR(__xludf.DUMMYFUNCTION("""COMPUTED_VALUE"""),419.0)</f>
        <v>419</v>
      </c>
      <c r="G9" s="876">
        <f>IFERROR(__xludf.DUMMYFUNCTION("""COMPUTED_VALUE"""),11.6)</f>
        <v>11.6</v>
      </c>
      <c r="H9" s="876" t="str">
        <f>IFERROR(__xludf.DUMMYFUNCTION("""COMPUTED_VALUE"""),"53:47")</f>
        <v>53:47</v>
      </c>
      <c r="I9" s="876">
        <f>IFERROR(__xludf.DUMMYFUNCTION("""COMPUTED_VALUE"""),2004.0)</f>
        <v>2004</v>
      </c>
      <c r="J9" s="876" t="str">
        <f>IFERROR(__xludf.DUMMYFUNCTION("""COMPUTED_VALUE"""),"excluded:  too sick, did not have parental/guidance permission to participate or did not provide a stool sample")</f>
        <v>excluded:  too sick, did not have parental/guidance permission to participate or did not provide a stool sample</v>
      </c>
      <c r="K9" s="876" t="str">
        <f>IFERROR(__xludf.DUMMYFUNCTION("""COMPUTED_VALUE"""),"community-based randomized single-blind trial")</f>
        <v>community-based randomized single-blind trial</v>
      </c>
      <c r="L9" s="876" t="str">
        <f>IFERROR(__xludf.DUMMYFUNCTION("""COMPUTED_VALUE"""),"Yes")</f>
        <v>Yes</v>
      </c>
      <c r="M9" s="876" t="str">
        <f>IFERROR(__xludf.DUMMYFUNCTION("""COMPUTED_VALUE"""),"Yes")</f>
        <v>Yes</v>
      </c>
      <c r="N9" s="877">
        <f>IFERROR(__xludf.DUMMYFUNCTION("""COMPUTED_VALUE"""),0.533)</f>
        <v>0.533</v>
      </c>
      <c r="O9" s="876"/>
      <c r="P9" s="876">
        <f>IFERROR(__xludf.DUMMYFUNCTION("""COMPUTED_VALUE"""),0.533)</f>
        <v>0.533</v>
      </c>
      <c r="Q9" s="876"/>
      <c r="R9" s="876"/>
      <c r="S9" s="876"/>
      <c r="T9" s="876"/>
      <c r="U9" s="876"/>
      <c r="V9" s="876"/>
      <c r="W9" s="876">
        <f>IFERROR(__xludf.DUMMYFUNCTION("""COMPUTED_VALUE"""),0.808)</f>
        <v>0.808</v>
      </c>
      <c r="X9" s="876"/>
      <c r="Y9" s="876">
        <f>IFERROR(__xludf.DUMMYFUNCTION("""COMPUTED_VALUE"""),0.808)</f>
        <v>0.808</v>
      </c>
      <c r="Z9" s="876"/>
      <c r="AA9" s="876"/>
      <c r="AB9" s="876"/>
      <c r="AC9" s="876"/>
      <c r="AD9" s="876"/>
      <c r="AE9" s="876" t="str">
        <f>IFERROR(__xludf.DUMMYFUNCTION("""COMPUTED_VALUE"""),"Results indicate (with different degrees of significance) a descending gradient of efficacy from GSK’s product to Royal Drug’s and then Curex’s for the treatment of STH infections in Nepal, with a particularly significant difference for hookworm infection"&amp;".")</f>
        <v>Results indicate (with different degrees of significance) a descending gradient of efficacy from GSK’s product to Royal Drug’s and then Curex’s for the treatment of STH infections in Nepal, with a particularly significant difference for hookworm infection.</v>
      </c>
      <c r="AF9" s="876" t="str">
        <f>IFERROR(__xludf.DUMMYFUNCTION("""COMPUTED_VALUE"""),"• The ratio of M:F is based on the total number subjects in all three groups of the study.
• Stool samples examined using Kato-Katz Method  
• Royal Drug Co.                              ")</f>
        <v>• The ratio of M:F is based on the total number subjects in all three groups of the study.
• Stool samples examined using Kato-Katz Method  
• Royal Drug Co.                              </v>
      </c>
      <c r="AG9" s="876" t="str">
        <f>IFERROR(__xludf.DUMMYFUNCTION("""COMPUTED_VALUE"""),"Albonico, Marco, Pragya Mathema, Antonio Montresor, Balkrishna Khakurel, Valerio Reggi, Sharada Pandey, and Lorenzo Savioli. ""Comparative Study of the Quality and Efficacy of Originator and Generic Albendazolefor Mass Treatment of Soil Transmitted Nemato"&amp;"de Infections in Nepal."" Transactions of the Royal Society of Tropical Medicine and Hygiene 101 (2007): 454-60. Web.")</f>
        <v>Albonico, Marco, Pragya Mathema, Antonio Montresor, Balkrishna Khakurel, Valerio Reggi, Sharada Pandey, and Lorenzo Savioli. "Comparative Study of the Quality and Efficacy of Originator and Generic Albendazolefor Mass Treatment of Soil Transmitted Nematode Infections in Nepal." Transactions of the Royal Society of Tropical Medicine and Hygiene 101 (2007): 454-60. Web.</v>
      </c>
      <c r="AH9" s="876" t="str">
        <f>IFERROR(__xludf.DUMMYFUNCTION("""COMPUTED_VALUE"""),"x")</f>
        <v>x</v>
      </c>
      <c r="AI9" s="878"/>
      <c r="AJ9" s="888" t="str">
        <f>IFERROR(__xludf.DUMMYFUNCTION("""COMPUTED_VALUE"""),"Lyu et al.")</f>
        <v>Lyu et al.</v>
      </c>
      <c r="AK9" s="880"/>
      <c r="AL9" s="880" t="str">
        <f>IFERROR(__xludf.DUMMYFUNCTION("""COMPUTED_VALUE"""),"Republic of Korea")</f>
        <v>Republic of Korea</v>
      </c>
      <c r="AM9" s="880" t="str">
        <f>IFERROR(__xludf.DUMMYFUNCTION("""COMPUTED_VALUE"""),"Bephenium Hydroxynaphthoate ")</f>
        <v>Bephenium Hydroxynaphthoate </v>
      </c>
      <c r="AN9" s="880" t="str">
        <f>IFERROR(__xludf.DUMMYFUNCTION("""COMPUTED_VALUE"""),"Single")</f>
        <v>Single</v>
      </c>
      <c r="AO9" s="880" t="str">
        <f>IFERROR(__xludf.DUMMYFUNCTION("""COMPUTED_VALUE"""),"2.5 gm")</f>
        <v>2.5 gm</v>
      </c>
      <c r="AP9" s="880">
        <f>IFERROR(__xludf.DUMMYFUNCTION("""COMPUTED_VALUE"""),41.0)</f>
        <v>41</v>
      </c>
      <c r="AQ9" s="880" t="str">
        <f>IFERROR(__xludf.DUMMYFUNCTION("""COMPUTED_VALUE"""),"8-79")</f>
        <v>8-79</v>
      </c>
      <c r="AR9" s="880" t="str">
        <f>IFERROR(__xludf.DUMMYFUNCTION("""COMPUTED_VALUE"""),"Male: 30 Female: 21")</f>
        <v>Male: 30 Female: 21</v>
      </c>
      <c r="AS9" s="880">
        <f>IFERROR(__xludf.DUMMYFUNCTION("""COMPUTED_VALUE"""),1975.0)</f>
        <v>1975</v>
      </c>
      <c r="AT9" s="880"/>
      <c r="AU9" s="880" t="str">
        <f>IFERROR(__xludf.DUMMYFUNCTION("""COMPUTED_VALUE"""),"Yes")</f>
        <v>Yes</v>
      </c>
      <c r="AV9" s="880" t="str">
        <f>IFERROR(__xludf.DUMMYFUNCTION("""COMPUTED_VALUE"""),"Yes")</f>
        <v>Yes</v>
      </c>
      <c r="AW9" s="881" t="str">
        <f>IFERROR(__xludf.DUMMYFUNCTION("""COMPUTED_VALUE"""),"single blind randomized and non cross over comparison")</f>
        <v>single blind randomized and non cross over comparison</v>
      </c>
      <c r="AX9" s="863">
        <f>IFERROR(__xludf.DUMMYFUNCTION("""COMPUTED_VALUE"""),0.122)</f>
        <v>0.122</v>
      </c>
      <c r="AY9" s="863"/>
      <c r="AZ9" s="863"/>
      <c r="BA9" s="863">
        <f>IFERROR(__xludf.DUMMYFUNCTION("""COMPUTED_VALUE"""),0.122)</f>
        <v>0.122</v>
      </c>
      <c r="BB9" s="863"/>
      <c r="BC9" s="863"/>
      <c r="BD9" s="863"/>
      <c r="BE9" s="863"/>
      <c r="BF9" s="863"/>
      <c r="BG9" s="863"/>
      <c r="BH9" s="863">
        <f>IFERROR(__xludf.DUMMYFUNCTION("""COMPUTED_VALUE"""),0.647)</f>
        <v>0.647</v>
      </c>
      <c r="BI9" s="863"/>
      <c r="BJ9" s="863"/>
      <c r="BK9" s="863"/>
      <c r="BL9" s="863"/>
      <c r="BM9" s="863"/>
      <c r="BN9" s="863"/>
      <c r="BO9" s="863"/>
      <c r="BP9" s="880" t="str">
        <f>IFERROR(__xludf.DUMMYFUNCTION("""COMPUTED_VALUE"""),"x")</f>
        <v>x</v>
      </c>
      <c r="BQ9" s="863"/>
      <c r="BR9" s="889" t="str">
        <f>IFERROR(__xludf.DUMMYFUNCTION("""COMPUTED_VALUE"""),"Diawara et al.")</f>
        <v>Diawara et al.</v>
      </c>
      <c r="BS9" s="883" t="str">
        <f>IFERROR(__xludf.DUMMYFUNCTION("""COMPUTED_VALUE"""),"Panama")</f>
        <v>Panama</v>
      </c>
      <c r="BT9" s="883" t="str">
        <f>IFERROR(__xludf.DUMMYFUNCTION("""COMPUTED_VALUE"""),"Albendazole")</f>
        <v>Albendazole</v>
      </c>
      <c r="BU9" s="883"/>
      <c r="BV9" s="883" t="str">
        <f>IFERROR(__xludf.DUMMYFUNCTION("""COMPUTED_VALUE"""),"Single")</f>
        <v>Single</v>
      </c>
      <c r="BW9" s="883" t="str">
        <f>IFERROR(__xludf.DUMMYFUNCTION("""COMPUTED_VALUE"""),"400 mg")</f>
        <v>400 mg</v>
      </c>
      <c r="BX9" s="883">
        <f>IFERROR(__xludf.DUMMYFUNCTION("""COMPUTED_VALUE"""),222.0)</f>
        <v>222</v>
      </c>
      <c r="BY9" s="890">
        <f>IFERROR(__xludf.DUMMYFUNCTION("""COMPUTED_VALUE"""),42434.0)</f>
        <v>42434</v>
      </c>
      <c r="BZ9" s="883">
        <f>IFERROR(__xludf.DUMMYFUNCTION("""COMPUTED_VALUE"""),2009.0)</f>
        <v>2009</v>
      </c>
      <c r="CA9" s="883"/>
      <c r="CB9" s="883"/>
      <c r="CC9" s="883" t="str">
        <f>IFERROR(__xludf.DUMMYFUNCTION("""COMPUTED_VALUE"""),"No")</f>
        <v>No</v>
      </c>
      <c r="CD9" s="884"/>
      <c r="CE9" s="883" t="str">
        <f>IFERROR(__xludf.DUMMYFUNCTION("""COMPUTED_VALUE"""),"No")</f>
        <v>No</v>
      </c>
      <c r="CF9" s="883"/>
      <c r="CG9" s="883"/>
      <c r="CH9" s="883"/>
      <c r="CI9" s="883"/>
      <c r="CJ9" s="883"/>
      <c r="CK9" s="883"/>
      <c r="CL9" s="883"/>
      <c r="CM9" s="883"/>
      <c r="CN9" s="883"/>
      <c r="CO9" s="883"/>
      <c r="CP9" s="883"/>
      <c r="CQ9" s="883"/>
      <c r="CR9" s="883"/>
      <c r="CS9" s="883"/>
      <c r="CT9" s="883"/>
      <c r="CU9" s="883"/>
      <c r="CV9" s="863"/>
      <c r="CW9" s="863"/>
      <c r="CX9" s="863"/>
      <c r="CY9" s="863"/>
      <c r="CZ9" s="863"/>
      <c r="DA9" s="863"/>
      <c r="DB9" s="863"/>
      <c r="DC9" s="863"/>
      <c r="DD9" s="863"/>
      <c r="DE9" s="863"/>
    </row>
    <row r="10">
      <c r="A10" s="887" t="str">
        <f>IFERROR(__xludf.DUMMYFUNCTION("""COMPUTED_VALUE"""),"Albonico et al.")</f>
        <v>Albonico et al.</v>
      </c>
      <c r="B10" s="876" t="str">
        <f>IFERROR(__xludf.DUMMYFUNCTION("""COMPUTED_VALUE"""),"Nepal")</f>
        <v>Nepal</v>
      </c>
      <c r="C10" s="876" t="str">
        <f>IFERROR(__xludf.DUMMYFUNCTION("""COMPUTED_VALUE"""),"Albendazole")</f>
        <v>Albendazole</v>
      </c>
      <c r="D10" s="876" t="str">
        <f>IFERROR(__xludf.DUMMYFUNCTION("""COMPUTED_VALUE"""),"Single")</f>
        <v>Single</v>
      </c>
      <c r="E10" s="876" t="str">
        <f>IFERROR(__xludf.DUMMYFUNCTION("""COMPUTED_VALUE"""),"400 mg")</f>
        <v>400 mg</v>
      </c>
      <c r="F10" s="876">
        <f>IFERROR(__xludf.DUMMYFUNCTION("""COMPUTED_VALUE"""),429.0)</f>
        <v>429</v>
      </c>
      <c r="G10" s="876">
        <f>IFERROR(__xludf.DUMMYFUNCTION("""COMPUTED_VALUE"""),11.6)</f>
        <v>11.6</v>
      </c>
      <c r="H10" s="876" t="str">
        <f>IFERROR(__xludf.DUMMYFUNCTION("""COMPUTED_VALUE"""),"53:47")</f>
        <v>53:47</v>
      </c>
      <c r="I10" s="876">
        <f>IFERROR(__xludf.DUMMYFUNCTION("""COMPUTED_VALUE"""),2004.0)</f>
        <v>2004</v>
      </c>
      <c r="J10" s="876" t="str">
        <f>IFERROR(__xludf.DUMMYFUNCTION("""COMPUTED_VALUE"""),"excluded:  too sick, did not have parental/guidance permission to participate or did not provide a stool sample")</f>
        <v>excluded:  too sick, did not have parental/guidance permission to participate or did not provide a stool sample</v>
      </c>
      <c r="K10" s="876" t="str">
        <f>IFERROR(__xludf.DUMMYFUNCTION("""COMPUTED_VALUE"""),"community-based randomized single-blind trial")</f>
        <v>community-based randomized single-blind trial</v>
      </c>
      <c r="L10" s="876" t="str">
        <f>IFERROR(__xludf.DUMMYFUNCTION("""COMPUTED_VALUE"""),"Yes")</f>
        <v>Yes</v>
      </c>
      <c r="M10" s="876" t="str">
        <f>IFERROR(__xludf.DUMMYFUNCTION("""COMPUTED_VALUE"""),"Yes")</f>
        <v>Yes</v>
      </c>
      <c r="N10" s="877">
        <f>IFERROR(__xludf.DUMMYFUNCTION("""COMPUTED_VALUE"""),0.507)</f>
        <v>0.507</v>
      </c>
      <c r="O10" s="876"/>
      <c r="P10" s="876">
        <f>IFERROR(__xludf.DUMMYFUNCTION("""COMPUTED_VALUE"""),0.507)</f>
        <v>0.507</v>
      </c>
      <c r="Q10" s="876"/>
      <c r="R10" s="876"/>
      <c r="S10" s="876"/>
      <c r="T10" s="876"/>
      <c r="U10" s="876"/>
      <c r="V10" s="876"/>
      <c r="W10" s="876">
        <f>IFERROR(__xludf.DUMMYFUNCTION("""COMPUTED_VALUE"""),0.731)</f>
        <v>0.731</v>
      </c>
      <c r="X10" s="876"/>
      <c r="Y10" s="876">
        <f>IFERROR(__xludf.DUMMYFUNCTION("""COMPUTED_VALUE"""),0.731)</f>
        <v>0.731</v>
      </c>
      <c r="Z10" s="876"/>
      <c r="AA10" s="876"/>
      <c r="AB10" s="876"/>
      <c r="AC10" s="876"/>
      <c r="AD10" s="876"/>
      <c r="AE10" s="876" t="str">
        <f>IFERROR(__xludf.DUMMYFUNCTION("""COMPUTED_VALUE"""),"Results indicate (with different degrees of significance) a descending gradient of efficacy from GSK’s product to Royal Drug’s and then Curex’s for the treatment of STH infections in Nepal, with a particularly significant difference for hookworm infection"&amp;".")</f>
        <v>Results indicate (with different degrees of significance) a descending gradient of efficacy from GSK’s product to Royal Drug’s and then Curex’s for the treatment of STH infections in Nepal, with a particularly significant difference for hookworm infection.</v>
      </c>
      <c r="AF10" s="876" t="str">
        <f>IFERROR(__xludf.DUMMYFUNCTION("""COMPUTED_VALUE"""),"• The ratio of M:F is based on the total number subjects in all three groups of the study.
• Stool samples examined using Kato-Katz Method   
• Curex                                       ")</f>
        <v>• The ratio of M:F is based on the total number subjects in all three groups of the study.
• Stool samples examined using Kato-Katz Method   
• Curex                                       </v>
      </c>
      <c r="AG10" s="876" t="str">
        <f>IFERROR(__xludf.DUMMYFUNCTION("""COMPUTED_VALUE"""),"Albonico, Marco, Pragya Mathema, Antonio Montresor, Balkrishna Khakurel, Valerio Reggi, Sharada Pandey, and Lorenzo Savioli. ""Comparative Study of the Quality and Efficacy of Originator and Generic Albendazolefor Mass Treatment of Soil Transmitted Nemato"&amp;"de Infections in Nepal."" Transactions of the Royal Society of Tropical Medicine and Hygiene 101 (2007): 454-60. Web.")</f>
        <v>Albonico, Marco, Pragya Mathema, Antonio Montresor, Balkrishna Khakurel, Valerio Reggi, Sharada Pandey, and Lorenzo Savioli. "Comparative Study of the Quality and Efficacy of Originator and Generic Albendazolefor Mass Treatment of Soil Transmitted Nematode Infections in Nepal." Transactions of the Royal Society of Tropical Medicine and Hygiene 101 (2007): 454-60. Web.</v>
      </c>
      <c r="AH10" s="876" t="str">
        <f>IFERROR(__xludf.DUMMYFUNCTION("""COMPUTED_VALUE"""),"x")</f>
        <v>x</v>
      </c>
      <c r="AI10" s="878"/>
      <c r="AJ10" s="888" t="str">
        <f>IFERROR(__xludf.DUMMYFUNCTION("""COMPUTED_VALUE"""),"Norhayati et al.")</f>
        <v>Norhayati et al.</v>
      </c>
      <c r="AK10" s="880" t="str">
        <f>IFERROR(__xludf.DUMMYFUNCTION("""COMPUTED_VALUE"""),"Norhayati, M., P. Oothuman, O. Azizi, and MS Fatmah. ""Efficacy of Single Dose Albendazoleon the Prevalence and Intensity of Infection of Soil Transmitted Helminths in Orang Asli Children in Malaysia."" Department of Parasitology 28.3 (1997): 563-68. Web.")</f>
        <v>Norhayati, M., P. Oothuman, O. Azizi, and MS Fatmah. "Efficacy of Single Dose Albendazoleon the Prevalence and Intensity of Infection of Soil Transmitted Helminths in Orang Asli Children in Malaysia." Department of Parasitology 28.3 (1997): 563-68. Web.</v>
      </c>
      <c r="AL10" s="880" t="str">
        <f>IFERROR(__xludf.DUMMYFUNCTION("""COMPUTED_VALUE"""),"Malaysia")</f>
        <v>Malaysia</v>
      </c>
      <c r="AM10" s="880" t="str">
        <f>IFERROR(__xludf.DUMMYFUNCTION("""COMPUTED_VALUE"""),"Albendazole")</f>
        <v>Albendazole</v>
      </c>
      <c r="AN10" s="880" t="str">
        <f>IFERROR(__xludf.DUMMYFUNCTION("""COMPUTED_VALUE"""),"Single")</f>
        <v>Single</v>
      </c>
      <c r="AO10" s="880" t="str">
        <f>IFERROR(__xludf.DUMMYFUNCTION("""COMPUTED_VALUE"""),"400 mg")</f>
        <v>400 mg</v>
      </c>
      <c r="AP10" s="880">
        <f>IFERROR(__xludf.DUMMYFUNCTION("""COMPUTED_VALUE"""),123.0)</f>
        <v>123</v>
      </c>
      <c r="AQ10" s="880" t="str">
        <f>IFERROR(__xludf.DUMMYFUNCTION("""COMPUTED_VALUE"""),"1-13 years old")</f>
        <v>1-13 years old</v>
      </c>
      <c r="AR10" s="880" t="str">
        <f>IFERROR(__xludf.DUMMYFUNCTION("""COMPUTED_VALUE"""),"Male: 95 Female: 110")</f>
        <v>Male: 95 Female: 110</v>
      </c>
      <c r="AS10" s="880">
        <f>IFERROR(__xludf.DUMMYFUNCTION("""COMPUTED_VALUE"""),1997.0)</f>
        <v>1997</v>
      </c>
      <c r="AT10" s="880"/>
      <c r="AU10" s="880" t="str">
        <f>IFERROR(__xludf.DUMMYFUNCTION("""COMPUTED_VALUE"""),"No")</f>
        <v>No</v>
      </c>
      <c r="AV10" s="880" t="str">
        <f>IFERROR(__xludf.DUMMYFUNCTION("""COMPUTED_VALUE"""),"No")</f>
        <v>No</v>
      </c>
      <c r="AW10" s="881" t="str">
        <f>IFERROR(__xludf.DUMMYFUNCTION("""COMPUTED_VALUE"""),"non cross over comparison")</f>
        <v>non cross over comparison</v>
      </c>
      <c r="AX10" s="863">
        <f>IFERROR(__xludf.DUMMYFUNCTION("""COMPUTED_VALUE"""),0.055)</f>
        <v>0.055</v>
      </c>
      <c r="AY10" s="863"/>
      <c r="AZ10" s="863"/>
      <c r="BA10" s="863">
        <f>IFERROR(__xludf.DUMMYFUNCTION("""COMPUTED_VALUE"""),0.055)</f>
        <v>0.055</v>
      </c>
      <c r="BB10" s="863"/>
      <c r="BC10" s="863"/>
      <c r="BD10" s="863"/>
      <c r="BE10" s="863"/>
      <c r="BF10" s="863">
        <f>IFERROR(__xludf.DUMMYFUNCTION("""COMPUTED_VALUE"""),0.018)</f>
        <v>0.018</v>
      </c>
      <c r="BG10" s="863"/>
      <c r="BH10" s="863">
        <f>IFERROR(__xludf.DUMMYFUNCTION("""COMPUTED_VALUE"""),0.491)</f>
        <v>0.491</v>
      </c>
      <c r="BI10" s="863"/>
      <c r="BJ10" s="863"/>
      <c r="BK10" s="863"/>
      <c r="BL10" s="863"/>
      <c r="BM10" s="863"/>
      <c r="BN10" s="863"/>
      <c r="BO10" s="863" t="str">
        <f>IFERROR(__xludf.DUMMYFUNCTION("""COMPUTED_VALUE"""),"Kato-Katz Method")</f>
        <v>Kato-Katz Method</v>
      </c>
      <c r="BP10" s="880" t="str">
        <f>IFERROR(__xludf.DUMMYFUNCTION("""COMPUTED_VALUE"""),"x")</f>
        <v>x</v>
      </c>
      <c r="BQ10" s="863"/>
      <c r="BR10" s="889" t="str">
        <f>IFERROR(__xludf.DUMMYFUNCTION("""COMPUTED_VALUE"""),"Fikreslasie et al.")</f>
        <v>Fikreslasie et al.</v>
      </c>
      <c r="BS10" s="883" t="str">
        <f>IFERROR(__xludf.DUMMYFUNCTION("""COMPUTED_VALUE"""),"Ethiopia")</f>
        <v>Ethiopia</v>
      </c>
      <c r="BT10" s="883" t="str">
        <f>IFERROR(__xludf.DUMMYFUNCTION("""COMPUTED_VALUE"""),"Albendazole")</f>
        <v>Albendazole</v>
      </c>
      <c r="BU10" s="883"/>
      <c r="BV10" s="883" t="str">
        <f>IFERROR(__xludf.DUMMYFUNCTION("""COMPUTED_VALUE"""),"Single")</f>
        <v>Single</v>
      </c>
      <c r="BW10" s="883" t="str">
        <f>IFERROR(__xludf.DUMMYFUNCTION("""COMPUTED_VALUE"""),"400 mg")</f>
        <v>400 mg</v>
      </c>
      <c r="BX10" s="883">
        <f>IFERROR(__xludf.DUMMYFUNCTION("""COMPUTED_VALUE"""),197.0)</f>
        <v>197</v>
      </c>
      <c r="BY10" s="890">
        <f>IFERROR(__xludf.DUMMYFUNCTION("""COMPUTED_VALUE"""),42506.0)</f>
        <v>42506</v>
      </c>
      <c r="BZ10" s="883"/>
      <c r="CA10" s="892">
        <f>IFERROR(__xludf.DUMMYFUNCTION("""COMPUTED_VALUE"""),3.1756944444444444)</f>
        <v>3.175694444</v>
      </c>
      <c r="CB10" s="883" t="str">
        <f>IFERROR(__xludf.DUMMYFUNCTION("""COMPUTED_VALUE"""),"Only children (298) who did not take anthelminthic drugs within 3 month before screening were enrolled.")</f>
        <v>Only children (298) who did not take anthelminthic drugs within 3 month before screening were enrolled.</v>
      </c>
      <c r="CC10" s="883" t="str">
        <f>IFERROR(__xludf.DUMMYFUNCTION("""COMPUTED_VALUE"""),"No")</f>
        <v>No</v>
      </c>
      <c r="CD10" s="884">
        <f>IFERROR(__xludf.DUMMYFUNCTION("""COMPUTED_VALUE"""),0.966)</f>
        <v>0.966</v>
      </c>
      <c r="CE10" s="883" t="str">
        <f>IFERROR(__xludf.DUMMYFUNCTION("""COMPUTED_VALUE"""),"No")</f>
        <v>No</v>
      </c>
      <c r="CF10" s="883"/>
      <c r="CG10" s="884">
        <f>IFERROR(__xludf.DUMMYFUNCTION("""COMPUTED_VALUE"""),0.966)</f>
        <v>0.966</v>
      </c>
      <c r="CH10" s="883"/>
      <c r="CI10" s="883"/>
      <c r="CJ10" s="883"/>
      <c r="CK10" s="883"/>
      <c r="CL10" s="883"/>
      <c r="CM10" s="883"/>
      <c r="CN10" s="884">
        <f>IFERROR(__xludf.DUMMYFUNCTION("""COMPUTED_VALUE"""),0.999)</f>
        <v>0.999</v>
      </c>
      <c r="CO10" s="883"/>
      <c r="CP10" s="883"/>
      <c r="CQ10" s="883"/>
      <c r="CR10" s="883"/>
      <c r="CS10" s="883"/>
      <c r="CT10" s="883" t="str">
        <f>IFERROR(__xludf.DUMMYFUNCTION("""COMPUTED_VALUE"""),"Kato-Katz")</f>
        <v>Kato-Katz</v>
      </c>
      <c r="CU10" s="883"/>
      <c r="CV10" s="863"/>
      <c r="CW10" s="863"/>
      <c r="CX10" s="863"/>
      <c r="CY10" s="863"/>
      <c r="CZ10" s="863"/>
      <c r="DA10" s="863"/>
      <c r="DB10" s="863"/>
      <c r="DC10" s="863"/>
      <c r="DD10" s="863"/>
      <c r="DE10" s="863"/>
    </row>
    <row r="11">
      <c r="A11" s="887" t="str">
        <f>IFERROR(__xludf.DUMMYFUNCTION("""COMPUTED_VALUE"""),"Albonico et al.")</f>
        <v>Albonico et al.</v>
      </c>
      <c r="B11" s="876" t="str">
        <f>IFERROR(__xludf.DUMMYFUNCTION("""COMPUTED_VALUE"""),"Tanzania")</f>
        <v>Tanzania</v>
      </c>
      <c r="C11" s="876" t="str">
        <f>IFERROR(__xludf.DUMMYFUNCTION("""COMPUTED_VALUE"""),"Albendazole")</f>
        <v>Albendazole</v>
      </c>
      <c r="D11" s="876" t="str">
        <f>IFERROR(__xludf.DUMMYFUNCTION("""COMPUTED_VALUE"""),"Single")</f>
        <v>Single</v>
      </c>
      <c r="E11" s="876" t="str">
        <f>IFERROR(__xludf.DUMMYFUNCTION("""COMPUTED_VALUE"""),"400 mg")</f>
        <v>400 mg</v>
      </c>
      <c r="F11" s="876">
        <f>IFERROR(__xludf.DUMMYFUNCTION("""COMPUTED_VALUE"""),377.0)</f>
        <v>377</v>
      </c>
      <c r="G11" s="876">
        <f>IFERROR(__xludf.DUMMYFUNCTION("""COMPUTED_VALUE"""),42533.0)</f>
        <v>42533</v>
      </c>
      <c r="H11" s="876"/>
      <c r="I11" s="876">
        <f>IFERROR(__xludf.DUMMYFUNCTION("""COMPUTED_VALUE"""),1993.0)</f>
        <v>1993</v>
      </c>
      <c r="J11" s="876" t="str">
        <f>IFERROR(__xludf.DUMMYFUNCTION("""COMPUTED_VALUE"""),"excluded: no egg in their stool specimens of any of the 3 nematodes which were the subject of study (Ascaris, Trichuris and hookworm infections)")</f>
        <v>excluded: no egg in their stool specimens of any of the 3 nematodes which were the subject of study (Ascaris, Trichuris and hookworm infections)</v>
      </c>
      <c r="K11" s="876" t="str">
        <f>IFERROR(__xludf.DUMMYFUNCTION("""COMPUTED_VALUE"""),"single-blind randomized controlled trial")</f>
        <v>single-blind randomized controlled trial</v>
      </c>
      <c r="L11" s="876" t="str">
        <f>IFERROR(__xludf.DUMMYFUNCTION("""COMPUTED_VALUE"""),"Yes")</f>
        <v>Yes</v>
      </c>
      <c r="M11" s="876" t="str">
        <f>IFERROR(__xludf.DUMMYFUNCTION("""COMPUTED_VALUE"""),"Yes")</f>
        <v>Yes</v>
      </c>
      <c r="N11" s="877">
        <f>IFERROR(__xludf.DUMMYFUNCTION("""COMPUTED_VALUE"""),0.974)</f>
        <v>0.974</v>
      </c>
      <c r="O11" s="876"/>
      <c r="P11" s="876"/>
      <c r="Q11" s="876"/>
      <c r="R11" s="876"/>
      <c r="S11" s="876"/>
      <c r="T11" s="876"/>
      <c r="U11" s="876"/>
      <c r="V11" s="876"/>
      <c r="W11" s="876">
        <f>IFERROR(__xludf.DUMMYFUNCTION("""COMPUTED_VALUE"""),0.974)</f>
        <v>0.974</v>
      </c>
      <c r="X11" s="876"/>
      <c r="Y11" s="876">
        <f>IFERROR(__xludf.DUMMYFUNCTION("""COMPUTED_VALUE"""),0.974)</f>
        <v>0.974</v>
      </c>
      <c r="Z11" s="876"/>
      <c r="AA11" s="876"/>
      <c r="AB11" s="876"/>
      <c r="AC11" s="876">
        <f>IFERROR(__xludf.DUMMYFUNCTION("""COMPUTED_VALUE"""),0.926)</f>
        <v>0.926</v>
      </c>
      <c r="AD11" s="876">
        <f>IFERROR(__xludf.DUMMYFUNCTION("""COMPUTED_VALUE"""),0.545)</f>
        <v>0.545</v>
      </c>
      <c r="AE11" s="876" t="str">
        <f>IFERROR(__xludf.DUMMYFUNCTION("""COMPUTED_VALUE"""),"The higher intesity of hookworm infection at 6 months could be related to higher transmission due to more favorable environmental conditions after the rainy season in april-may. It can also be said that neither drug was fully effectuve against hookworm.")</f>
        <v>The higher intesity of hookworm infection at 6 months could be related to higher transmission due to more favorable environmental conditions after the rainy season in april-may. It can also be said that neither drug was fully effectuve against hookworm.</v>
      </c>
      <c r="AF11" s="876" t="str">
        <f>IFERROR(__xludf.DUMMYFUNCTION("""COMPUTED_VALUE"""),"Stool samples examined using Kato-Katz Method                                           ")</f>
        <v>Stool samples examined using Kato-Katz Method                                           </v>
      </c>
      <c r="AG11" s="876" t="str">
        <f>IFERROR(__xludf.DUMMYFUNCTION("""COMPUTED_VALUE"""),"Albonico, Marco, Peter G. Smith, Elena Ercole, Andrew Hall, Hababu M. Chwaya, Kassim S. Alawi, and Lorenzo Savoli. ""Rate of Reinfection with Tenstinal Nematodes after Treatment of Children with Mebendazoleor Albendazolein a Highly Endemic Area."" Transac"&amp;"tions of the Royal Society of Tropical Medicine and Hygiene 89 (1995): 538-41. Web.")</f>
        <v>Albonico, Marco, Peter G. Smith, Elena Ercole, Andrew Hall, Hababu M. Chwaya, Kassim S. Alawi, and Lorenzo Savoli. "Rate of Reinfection with Tenstinal Nematodes after Treatment of Children with Mebendazoleor Albendazolein a Highly Endemic Area." Transactions of the Royal Society of Tropical Medicine and Hygiene 89 (1995): 538-41. Web.</v>
      </c>
      <c r="AH11" s="876"/>
      <c r="AI11" s="878"/>
      <c r="AJ11" s="888" t="str">
        <f>IFERROR(__xludf.DUMMYFUNCTION("""COMPUTED_VALUE"""),"Steinmann et al.")</f>
        <v>Steinmann et al.</v>
      </c>
      <c r="AK11" s="880" t="str">
        <f>IFERROR(__xludf.DUMMYFUNCTION("""COMPUTED_VALUE"""),"Steinmann, Peter, Jurg Utzinger, Zun-Wei Du, Jin-Yong Jiang, Jia-Xu Chen, Jan Hattendorf, Hui Zhou, and Xiao-Nong Zhou. ""Efficacy of Single Dose and Triple Dose Albendazoleand Mebendazoleagainst Soil Transmitted Helminths and Taenia Spp.: A Randomized Co"&amp;"ntrolled Trial."" PLOS Neglected Tropical Diseases 6.9 (2011): 1-8. Web.")</f>
        <v>Steinmann, Peter, Jurg Utzinger, Zun-Wei Du, Jin-Yong Jiang, Jia-Xu Chen, Jan Hattendorf, Hui Zhou, and Xiao-Nong Zhou. "Efficacy of Single Dose and Triple Dose Albendazoleand Mebendazoleagainst Soil Transmitted Helminths and Taenia Spp.: A Randomized Controlled Trial." PLOS Neglected Tropical Diseases 6.9 (2011): 1-8. Web.</v>
      </c>
      <c r="AL11" s="880" t="str">
        <f>IFERROR(__xludf.DUMMYFUNCTION("""COMPUTED_VALUE"""),"China")</f>
        <v>China</v>
      </c>
      <c r="AM11" s="880" t="str">
        <f>IFERROR(__xludf.DUMMYFUNCTION("""COMPUTED_VALUE"""),"Albendazole")</f>
        <v>Albendazole</v>
      </c>
      <c r="AN11" s="880" t="str">
        <f>IFERROR(__xludf.DUMMYFUNCTION("""COMPUTED_VALUE"""),"Single")</f>
        <v>Single</v>
      </c>
      <c r="AO11" s="880" t="str">
        <f>IFERROR(__xludf.DUMMYFUNCTION("""COMPUTED_VALUE"""),"400 mg")</f>
        <v>400 mg</v>
      </c>
      <c r="AP11" s="880">
        <f>IFERROR(__xludf.DUMMYFUNCTION("""COMPUTED_VALUE"""),65.0)</f>
        <v>65</v>
      </c>
      <c r="AQ11" s="880" t="str">
        <f>IFERROR(__xludf.DUMMYFUNCTION("""COMPUTED_VALUE"""),"5 years old or above")</f>
        <v>5 years old or above</v>
      </c>
      <c r="AR11" s="880" t="str">
        <f>IFERROR(__xludf.DUMMYFUNCTION("""COMPUTED_VALUE"""),"Female:35")</f>
        <v>Female:35</v>
      </c>
      <c r="AS11" s="880">
        <f>IFERROR(__xludf.DUMMYFUNCTION("""COMPUTED_VALUE"""),2008.0)</f>
        <v>2008</v>
      </c>
      <c r="AT11" s="880" t="str">
        <f>IFERROR(__xludf.DUMMYFUNCTION("""COMPUTED_VALUE"""),"Exclusions: Presence of diagnosed or percieved chronic disease or other conditions likely to interfere with anthelminthic treatment, pregnancy, recent history of anthelminthic treatment, and participation in other trials within 1 month")</f>
        <v>Exclusions: Presence of diagnosed or percieved chronic disease or other conditions likely to interfere with anthelminthic treatment, pregnancy, recent history of anthelminthic treatment, and participation in other trials within 1 month</v>
      </c>
      <c r="AU11" s="880" t="str">
        <f>IFERROR(__xludf.DUMMYFUNCTION("""COMPUTED_VALUE"""),"Yes")</f>
        <v>Yes</v>
      </c>
      <c r="AV11" s="880" t="str">
        <f>IFERROR(__xludf.DUMMYFUNCTION("""COMPUTED_VALUE"""),"Yes")</f>
        <v>Yes</v>
      </c>
      <c r="AW11" s="881" t="str">
        <f>IFERROR(__xludf.DUMMYFUNCTION("""COMPUTED_VALUE"""),"community based open label outcome assessors-blinded randomzied controlled trial")</f>
        <v>community based open label outcome assessors-blinded randomzied controlled trial</v>
      </c>
      <c r="AX11" s="863">
        <f>IFERROR(__xludf.DUMMYFUNCTION("""COMPUTED_VALUE"""),0.338)</f>
        <v>0.338</v>
      </c>
      <c r="AY11" s="863"/>
      <c r="AZ11" s="863"/>
      <c r="BA11" s="863"/>
      <c r="BB11" s="863"/>
      <c r="BC11" s="863">
        <f>IFERROR(__xludf.DUMMYFUNCTION("""COMPUTED_VALUE"""),0.338)</f>
        <v>0.338</v>
      </c>
      <c r="BD11" s="863"/>
      <c r="BE11" s="863"/>
      <c r="BF11" s="863"/>
      <c r="BG11" s="863"/>
      <c r="BH11" s="863">
        <f>IFERROR(__xludf.DUMMYFUNCTION("""COMPUTED_VALUE"""),0.77)</f>
        <v>0.77</v>
      </c>
      <c r="BI11" s="863"/>
      <c r="BJ11" s="863"/>
      <c r="BK11" s="863"/>
      <c r="BL11" s="863"/>
      <c r="BM11" s="863"/>
      <c r="BN11" s="863"/>
      <c r="BO11" s="863" t="str">
        <f>IFERROR(__xludf.DUMMYFUNCTION("""COMPUTED_VALUE"""),"Kato-katz Method")</f>
        <v>Kato-katz Method</v>
      </c>
      <c r="BP11" s="880"/>
      <c r="BQ11" s="863"/>
      <c r="BR11" s="889" t="str">
        <f>IFERROR(__xludf.DUMMYFUNCTION("""COMPUTED_VALUE"""),"Lubis et al.")</f>
        <v>Lubis et al.</v>
      </c>
      <c r="BS11" s="883" t="str">
        <f>IFERROR(__xludf.DUMMYFUNCTION("""COMPUTED_VALUE"""),"Indonesia")</f>
        <v>Indonesia</v>
      </c>
      <c r="BT11" s="883" t="str">
        <f>IFERROR(__xludf.DUMMYFUNCTION("""COMPUTED_VALUE"""),"Albendazole")</f>
        <v>Albendazole</v>
      </c>
      <c r="BU11" s="883"/>
      <c r="BV11" s="883" t="str">
        <f>IFERROR(__xludf.DUMMYFUNCTION("""COMPUTED_VALUE"""),"Single")</f>
        <v>Single</v>
      </c>
      <c r="BW11" s="883" t="str">
        <f>IFERROR(__xludf.DUMMYFUNCTION("""COMPUTED_VALUE"""),"400 mg")</f>
        <v>400 mg</v>
      </c>
      <c r="BX11" s="883">
        <f>IFERROR(__xludf.DUMMYFUNCTION("""COMPUTED_VALUE"""),123.0)</f>
        <v>123</v>
      </c>
      <c r="BY11" s="883" t="str">
        <f>IFERROR(__xludf.DUMMYFUNCTION("""COMPUTED_VALUE"""),"School Children")</f>
        <v>School Children</v>
      </c>
      <c r="BZ11" s="883"/>
      <c r="CA11" s="883"/>
      <c r="CB11" s="883"/>
      <c r="CC11" s="883" t="str">
        <f>IFERROR(__xludf.DUMMYFUNCTION("""COMPUTED_VALUE"""),"Yes")</f>
        <v>Yes</v>
      </c>
      <c r="CD11" s="884">
        <f>IFERROR(__xludf.DUMMYFUNCTION("""COMPUTED_VALUE"""),0.967)</f>
        <v>0.967</v>
      </c>
      <c r="CE11" s="883" t="str">
        <f>IFERROR(__xludf.DUMMYFUNCTION("""COMPUTED_VALUE"""),"Yes")</f>
        <v>Yes</v>
      </c>
      <c r="CF11" s="883"/>
      <c r="CG11" s="883"/>
      <c r="CH11" s="883"/>
      <c r="CI11" s="883"/>
      <c r="CJ11" s="883"/>
      <c r="CK11" s="883"/>
      <c r="CL11" s="883"/>
      <c r="CM11" s="884">
        <f>IFERROR(__xludf.DUMMYFUNCTION("""COMPUTED_VALUE"""),0.993)</f>
        <v>0.993</v>
      </c>
      <c r="CN11" s="883"/>
      <c r="CO11" s="883"/>
      <c r="CP11" s="883"/>
      <c r="CQ11" s="883"/>
      <c r="CR11" s="883"/>
      <c r="CS11" s="883"/>
      <c r="CT11" s="883" t="str">
        <f>IFERROR(__xludf.DUMMYFUNCTION("""COMPUTED_VALUE"""),"Kato-Katz")</f>
        <v>Kato-Katz</v>
      </c>
      <c r="CU11" s="883"/>
      <c r="CV11" s="863"/>
      <c r="CW11" s="863"/>
      <c r="CX11" s="863"/>
      <c r="CY11" s="863"/>
      <c r="CZ11" s="863"/>
      <c r="DA11" s="863"/>
      <c r="DB11" s="863"/>
      <c r="DC11" s="863"/>
      <c r="DD11" s="863"/>
      <c r="DE11" s="863"/>
    </row>
    <row r="12">
      <c r="A12" s="887" t="str">
        <f>IFERROR(__xludf.DUMMYFUNCTION("""COMPUTED_VALUE"""),"Albonico et al.")</f>
        <v>Albonico et al.</v>
      </c>
      <c r="B12" s="876" t="str">
        <f>IFERROR(__xludf.DUMMYFUNCTION("""COMPUTED_VALUE"""),"Tanzania")</f>
        <v>Tanzania</v>
      </c>
      <c r="C12" s="876" t="str">
        <f>IFERROR(__xludf.DUMMYFUNCTION("""COMPUTED_VALUE"""),"Mebendazole")</f>
        <v>Mebendazole</v>
      </c>
      <c r="D12" s="876" t="str">
        <f>IFERROR(__xludf.DUMMYFUNCTION("""COMPUTED_VALUE"""),"Single")</f>
        <v>Single</v>
      </c>
      <c r="E12" s="876" t="str">
        <f>IFERROR(__xludf.DUMMYFUNCTION("""COMPUTED_VALUE"""),"500 mg")</f>
        <v>500 mg</v>
      </c>
      <c r="F12" s="876">
        <f>IFERROR(__xludf.DUMMYFUNCTION("""COMPUTED_VALUE"""),354.0)</f>
        <v>354</v>
      </c>
      <c r="G12" s="876">
        <f>IFERROR(__xludf.DUMMYFUNCTION("""COMPUTED_VALUE"""),42533.0)</f>
        <v>42533</v>
      </c>
      <c r="H12" s="876"/>
      <c r="I12" s="876">
        <f>IFERROR(__xludf.DUMMYFUNCTION("""COMPUTED_VALUE"""),1993.0)</f>
        <v>1993</v>
      </c>
      <c r="J12" s="876" t="str">
        <f>IFERROR(__xludf.DUMMYFUNCTION("""COMPUTED_VALUE"""),"excluded: no egg in their stool specimens of any of the 3 nematodes which were the subject of study (Ascaris, Trichuris and hookworm infections)")</f>
        <v>excluded: no egg in their stool specimens of any of the 3 nematodes which were the subject of study (Ascaris, Trichuris and hookworm infections)</v>
      </c>
      <c r="K12" s="876" t="str">
        <f>IFERROR(__xludf.DUMMYFUNCTION("""COMPUTED_VALUE"""),"single-blind randomized controlled trial")</f>
        <v>single-blind randomized controlled trial</v>
      </c>
      <c r="L12" s="876" t="str">
        <f>IFERROR(__xludf.DUMMYFUNCTION("""COMPUTED_VALUE"""),"Yes")</f>
        <v>Yes</v>
      </c>
      <c r="M12" s="876" t="str">
        <f>IFERROR(__xludf.DUMMYFUNCTION("""COMPUTED_VALUE"""),"Yes")</f>
        <v>Yes</v>
      </c>
      <c r="N12" s="877">
        <f>IFERROR(__xludf.DUMMYFUNCTION("""COMPUTED_VALUE"""),0.83)</f>
        <v>0.83</v>
      </c>
      <c r="O12" s="876"/>
      <c r="P12" s="876"/>
      <c r="Q12" s="876"/>
      <c r="R12" s="876"/>
      <c r="S12" s="876"/>
      <c r="T12" s="876"/>
      <c r="U12" s="876"/>
      <c r="V12" s="876"/>
      <c r="W12" s="876">
        <f>IFERROR(__xludf.DUMMYFUNCTION("""COMPUTED_VALUE"""),0.83)</f>
        <v>0.83</v>
      </c>
      <c r="X12" s="876"/>
      <c r="Y12" s="876">
        <f>IFERROR(__xludf.DUMMYFUNCTION("""COMPUTED_VALUE"""),0.83)</f>
        <v>0.83</v>
      </c>
      <c r="Z12" s="876"/>
      <c r="AA12" s="876"/>
      <c r="AB12" s="876"/>
      <c r="AC12" s="876">
        <f>IFERROR(__xludf.DUMMYFUNCTION("""COMPUTED_VALUE"""),0.876)</f>
        <v>0.876</v>
      </c>
      <c r="AD12" s="876">
        <f>IFERROR(__xludf.DUMMYFUNCTION("""COMPUTED_VALUE"""),0.179)</f>
        <v>0.179</v>
      </c>
      <c r="AE12" s="876" t="str">
        <f>IFERROR(__xludf.DUMMYFUNCTION("""COMPUTED_VALUE"""),"The higher intesity of hookworm infection at 6 months could be related to higher transmission due to more favorable environmental conditions after the rainy season in april-may. It can also be said that neither drug was fully effectuve against hookworm.")</f>
        <v>The higher intesity of hookworm infection at 6 months could be related to higher transmission due to more favorable environmental conditions after the rainy season in april-may. It can also be said that neither drug was fully effectuve against hookworm.</v>
      </c>
      <c r="AF12" s="876" t="str">
        <f>IFERROR(__xludf.DUMMYFUNCTION("""COMPUTED_VALUE"""),"Stool samples examined using Kato-Katz Method                                           ")</f>
        <v>Stool samples examined using Kato-Katz Method                                           </v>
      </c>
      <c r="AG12" s="876" t="str">
        <f>IFERROR(__xludf.DUMMYFUNCTION("""COMPUTED_VALUE"""),"Albonico, Marco, Peter G. Smith, Elena Ercole, Andrew Hall, Hababu M. Chwaya, Kassim S. Alawi, and Lorenzo Savoli. ""Rate of Reinfection with Tenstinal Nematodes after Treatment of Children with Mebendazoleor Albendazolein a Highly Endemic Area."" Transac"&amp;"tions of the Royal Society of Tropical Medicine and Hygiene 89 (1995): 538-41. Web.")</f>
        <v>Albonico, Marco, Peter G. Smith, Elena Ercole, Andrew Hall, Hababu M. Chwaya, Kassim S. Alawi, and Lorenzo Savoli. "Rate of Reinfection with Tenstinal Nematodes after Treatment of Children with Mebendazoleor Albendazolein a Highly Endemic Area." Transactions of the Royal Society of Tropical Medicine and Hygiene 89 (1995): 538-41. Web.</v>
      </c>
      <c r="AH12" s="876"/>
      <c r="AI12" s="878"/>
      <c r="AJ12" s="888" t="str">
        <f>IFERROR(__xludf.DUMMYFUNCTION("""COMPUTED_VALUE"""),"Steinmann et al.")</f>
        <v>Steinmann et al.</v>
      </c>
      <c r="AK12" s="880"/>
      <c r="AL12" s="880" t="str">
        <f>IFERROR(__xludf.DUMMYFUNCTION("""COMPUTED_VALUE"""),"China")</f>
        <v>China</v>
      </c>
      <c r="AM12" s="880" t="str">
        <f>IFERROR(__xludf.DUMMYFUNCTION("""COMPUTED_VALUE"""),"Albendazole")</f>
        <v>Albendazole</v>
      </c>
      <c r="AN12" s="880" t="str">
        <f>IFERROR(__xludf.DUMMYFUNCTION("""COMPUTED_VALUE"""),"Three")</f>
        <v>Three</v>
      </c>
      <c r="AO12" s="880" t="str">
        <f>IFERROR(__xludf.DUMMYFUNCTION("""COMPUTED_VALUE"""),"400 mg")</f>
        <v>400 mg</v>
      </c>
      <c r="AP12" s="880">
        <f>IFERROR(__xludf.DUMMYFUNCTION("""COMPUTED_VALUE"""),48.0)</f>
        <v>48</v>
      </c>
      <c r="AQ12" s="880" t="str">
        <f>IFERROR(__xludf.DUMMYFUNCTION("""COMPUTED_VALUE"""),"5 years old or above")</f>
        <v>5 years old or above</v>
      </c>
      <c r="AR12" s="880" t="str">
        <f>IFERROR(__xludf.DUMMYFUNCTION("""COMPUTED_VALUE"""),"Female:36")</f>
        <v>Female:36</v>
      </c>
      <c r="AS12" s="880">
        <f>IFERROR(__xludf.DUMMYFUNCTION("""COMPUTED_VALUE"""),2008.0)</f>
        <v>2008</v>
      </c>
      <c r="AT12" s="880" t="str">
        <f>IFERROR(__xludf.DUMMYFUNCTION("""COMPUTED_VALUE"""),"Exclusions: Presence of diagnosed or percieved chronic disease or other conditions likely to interfere with anthelminthic treatment, pregnancy, recent history of anthelminthic treatment, and participation in other trials within 1 month")</f>
        <v>Exclusions: Presence of diagnosed or percieved chronic disease or other conditions likely to interfere with anthelminthic treatment, pregnancy, recent history of anthelminthic treatment, and participation in other trials within 1 month</v>
      </c>
      <c r="AU12" s="880" t="str">
        <f>IFERROR(__xludf.DUMMYFUNCTION("""COMPUTED_VALUE"""),"Yes")</f>
        <v>Yes</v>
      </c>
      <c r="AV12" s="880" t="str">
        <f>IFERROR(__xludf.DUMMYFUNCTION("""COMPUTED_VALUE"""),"Yes")</f>
        <v>Yes</v>
      </c>
      <c r="AW12" s="881" t="str">
        <f>IFERROR(__xludf.DUMMYFUNCTION("""COMPUTED_VALUE"""),"community based open label outcome assessors-blinded randomzied controlled trial")</f>
        <v>community based open label outcome assessors-blinded randomzied controlled trial</v>
      </c>
      <c r="AX12" s="863">
        <f>IFERROR(__xludf.DUMMYFUNCTION("""COMPUTED_VALUE"""),0.562)</f>
        <v>0.562</v>
      </c>
      <c r="AY12" s="863"/>
      <c r="AZ12" s="863"/>
      <c r="BA12" s="863"/>
      <c r="BB12" s="863"/>
      <c r="BC12" s="863">
        <f>IFERROR(__xludf.DUMMYFUNCTION("""COMPUTED_VALUE"""),0.562)</f>
        <v>0.562</v>
      </c>
      <c r="BD12" s="863"/>
      <c r="BE12" s="863"/>
      <c r="BF12" s="863"/>
      <c r="BG12" s="863"/>
      <c r="BH12" s="863">
        <f>IFERROR(__xludf.DUMMYFUNCTION("""COMPUTED_VALUE"""),0.94)</f>
        <v>0.94</v>
      </c>
      <c r="BI12" s="863"/>
      <c r="BJ12" s="863"/>
      <c r="BK12" s="863"/>
      <c r="BL12" s="863"/>
      <c r="BM12" s="863"/>
      <c r="BN12" s="863"/>
      <c r="BO12" s="863"/>
      <c r="BP12" s="880"/>
      <c r="BQ12" s="863"/>
      <c r="BR12" s="889" t="str">
        <f>IFERROR(__xludf.DUMMYFUNCTION("""COMPUTED_VALUE"""),"Lubis et al.")</f>
        <v>Lubis et al.</v>
      </c>
      <c r="BS12" s="883" t="str">
        <f>IFERROR(__xludf.DUMMYFUNCTION("""COMPUTED_VALUE"""),"Indonesia")</f>
        <v>Indonesia</v>
      </c>
      <c r="BT12" s="883" t="str">
        <f>IFERROR(__xludf.DUMMYFUNCTION("""COMPUTED_VALUE"""),"Mebendazole")</f>
        <v>Mebendazole</v>
      </c>
      <c r="BU12" s="883"/>
      <c r="BV12" s="883" t="str">
        <f>IFERROR(__xludf.DUMMYFUNCTION("""COMPUTED_VALUE"""),"Single")</f>
        <v>Single</v>
      </c>
      <c r="BW12" s="883" t="str">
        <f>IFERROR(__xludf.DUMMYFUNCTION("""COMPUTED_VALUE"""),"500 mg")</f>
        <v>500 mg</v>
      </c>
      <c r="BX12" s="883">
        <f>IFERROR(__xludf.DUMMYFUNCTION("""COMPUTED_VALUE"""),106.0)</f>
        <v>106</v>
      </c>
      <c r="BY12" s="883" t="str">
        <f>IFERROR(__xludf.DUMMYFUNCTION("""COMPUTED_VALUE"""),"School Children")</f>
        <v>School Children</v>
      </c>
      <c r="BZ12" s="883"/>
      <c r="CA12" s="883"/>
      <c r="CB12" s="883"/>
      <c r="CC12" s="883" t="str">
        <f>IFERROR(__xludf.DUMMYFUNCTION("""COMPUTED_VALUE"""),"Yes")</f>
        <v>Yes</v>
      </c>
      <c r="CD12" s="884">
        <f>IFERROR(__xludf.DUMMYFUNCTION("""COMPUTED_VALUE"""),1.0)</f>
        <v>1</v>
      </c>
      <c r="CE12" s="883" t="str">
        <f>IFERROR(__xludf.DUMMYFUNCTION("""COMPUTED_VALUE"""),"Yes")</f>
        <v>Yes</v>
      </c>
      <c r="CF12" s="883"/>
      <c r="CG12" s="883"/>
      <c r="CH12" s="883"/>
      <c r="CI12" s="883"/>
      <c r="CJ12" s="883"/>
      <c r="CK12" s="883"/>
      <c r="CL12" s="883"/>
      <c r="CM12" s="884">
        <f>IFERROR(__xludf.DUMMYFUNCTION("""COMPUTED_VALUE"""),1.0)</f>
        <v>1</v>
      </c>
      <c r="CN12" s="883"/>
      <c r="CO12" s="883"/>
      <c r="CP12" s="883"/>
      <c r="CQ12" s="883"/>
      <c r="CR12" s="883"/>
      <c r="CS12" s="883"/>
      <c r="CT12" s="883"/>
      <c r="CU12" s="883"/>
      <c r="CV12" s="863"/>
      <c r="CW12" s="863"/>
      <c r="CX12" s="863"/>
      <c r="CY12" s="863"/>
      <c r="CZ12" s="863"/>
      <c r="DA12" s="863"/>
      <c r="DB12" s="863"/>
      <c r="DC12" s="863"/>
      <c r="DD12" s="863"/>
      <c r="DE12" s="863"/>
    </row>
    <row r="13">
      <c r="A13" s="887" t="str">
        <f>IFERROR(__xludf.DUMMYFUNCTION("""COMPUTED_VALUE"""),"Albonico et al. ")</f>
        <v>Albonico et al. </v>
      </c>
      <c r="B13" s="876" t="str">
        <f>IFERROR(__xludf.DUMMYFUNCTION("""COMPUTED_VALUE"""),"Tanzania")</f>
        <v>Tanzania</v>
      </c>
      <c r="C13" s="876" t="str">
        <f>IFERROR(__xludf.DUMMYFUNCTION("""COMPUTED_VALUE"""),"Mebendazole")</f>
        <v>Mebendazole</v>
      </c>
      <c r="D13" s="876" t="str">
        <f>IFERROR(__xludf.DUMMYFUNCTION("""COMPUTED_VALUE"""),"Single")</f>
        <v>Single</v>
      </c>
      <c r="E13" s="876" t="str">
        <f>IFERROR(__xludf.DUMMYFUNCTION("""COMPUTED_VALUE"""),"500 mg")</f>
        <v>500 mg</v>
      </c>
      <c r="F13" s="876">
        <f>IFERROR(__xludf.DUMMYFUNCTION("""COMPUTED_VALUE"""),285.0)</f>
        <v>285</v>
      </c>
      <c r="G13" s="876">
        <f>IFERROR(__xludf.DUMMYFUNCTION("""COMPUTED_VALUE"""),11.5)</f>
        <v>11.5</v>
      </c>
      <c r="H13" s="876">
        <f>IFERROR(__xludf.DUMMYFUNCTION("""COMPUTED_VALUE"""),0.5173611111111112)</f>
        <v>0.5173611111</v>
      </c>
      <c r="I13" s="876">
        <f>IFERROR(__xludf.DUMMYFUNCTION("""COMPUTED_VALUE"""),1999.0)</f>
        <v>1999</v>
      </c>
      <c r="J13" s="876" t="str">
        <f>IFERROR(__xludf.DUMMYFUNCTION("""COMPUTED_VALUE"""),"excluded: did not have parental or guardian permission to participate, did not have a stool sample, had significant comorbidities, had recentely transferred to the school from an area outside of zanzibar")</f>
        <v>excluded: did not have parental or guardian permission to participate, did not have a stool sample, had significant comorbidities, had recentely transferred to the school from an area outside of zanzibar</v>
      </c>
      <c r="K13" s="876" t="str">
        <f>IFERROR(__xludf.DUMMYFUNCTION("""COMPUTED_VALUE"""),"single-blind randomized controlled trial")</f>
        <v>single-blind randomized controlled trial</v>
      </c>
      <c r="L13" s="876" t="str">
        <f>IFERROR(__xludf.DUMMYFUNCTION("""COMPUTED_VALUE"""),"Yes")</f>
        <v>Yes</v>
      </c>
      <c r="M13" s="876" t="str">
        <f>IFERROR(__xludf.DUMMYFUNCTION("""COMPUTED_VALUE"""),"Yes")</f>
        <v>Yes</v>
      </c>
      <c r="N13" s="877">
        <f>IFERROR(__xludf.DUMMYFUNCTION("""COMPUTED_VALUE"""),0.076)</f>
        <v>0.076</v>
      </c>
      <c r="O13" s="876"/>
      <c r="P13" s="876">
        <f>IFERROR(__xludf.DUMMYFUNCTION("""COMPUTED_VALUE"""),0.076)</f>
        <v>0.076</v>
      </c>
      <c r="Q13" s="876"/>
      <c r="R13" s="876"/>
      <c r="S13" s="876"/>
      <c r="T13" s="876"/>
      <c r="U13" s="876"/>
      <c r="V13" s="876"/>
      <c r="W13" s="876">
        <f>IFERROR(__xludf.DUMMYFUNCTION("""COMPUTED_VALUE"""),0.521)</f>
        <v>0.521</v>
      </c>
      <c r="X13" s="876"/>
      <c r="Y13" s="876">
        <f>IFERROR(__xludf.DUMMYFUNCTION("""COMPUTED_VALUE"""),0.521)</f>
        <v>0.521</v>
      </c>
      <c r="Z13" s="876"/>
      <c r="AA13" s="876"/>
      <c r="AB13" s="876"/>
      <c r="AC13" s="876"/>
      <c r="AD13" s="876"/>
      <c r="AE13" s="876" t="str">
        <f>IFERROR(__xludf.DUMMYFUNCTION("""COMPUTED_VALUE"""),"The efficacy of the combined administration of Mebendazole500 mg and levamisole 40 or 80 mg was evaluated for the first time in this study and showed higher efficacy than either drug alone against hookworm infections.")</f>
        <v>The efficacy of the combined administration of Mebendazole500 mg and levamisole 40 or 80 mg was evaluated for the first time in this study and showed higher efficacy than either drug alone against hookworm infections.</v>
      </c>
      <c r="AF13" s="876" t="str">
        <f>IFERROR(__xludf.DUMMYFUNCTION("""COMPUTED_VALUE"""),"• Children at Standard 1 (1st grade) had not yet been treated with Mebendazolein school, whereas children at Standard 5 (5th grade) had been exposed to 15 rounds of Mebendazoletreatment.
• Stool samples examined using Kato-Katz Method.                    "&amp;"                      ")</f>
        <v>• Children at Standard 1 (1st grade) had not yet been treated with Mebendazolein school, whereas children at Standard 5 (5th grade) had been exposed to 15 rounds of Mebendazoletreatment.
• Stool samples examined using Kato-Katz Method.                                          </v>
      </c>
      <c r="AG13" s="876" t="str">
        <f>IFERROR(__xludf.DUMMYFUNCTION("""COMPUTED_VALUE"""),"Albonico, M., Q. Bickle, M. Ramsan, A. Montresor, L. Savioli, and M. Taylor. ""Efficacy of Mebendazoleand Levamisole Alone or in Combination against Intestinal Nematode Infections after Repeated Targeted MebendazoleTreatment in Zanzibar."" Bulletin of the"&amp;" World Health Organization 81.5 (2003): 343-52. Web.")</f>
        <v>Albonico, M., Q. Bickle, M. Ramsan, A. Montresor, L. Savioli, and M. Taylor. "Efficacy of Mebendazoleand Levamisole Alone or in Combination against Intestinal Nematode Infections after Repeated Targeted MebendazoleTreatment in Zanzibar." Bulletin of the World Health Organization 81.5 (2003): 343-52. Web.</v>
      </c>
      <c r="AH13" s="876"/>
      <c r="AI13" s="878"/>
      <c r="AJ13" s="888" t="str">
        <f>IFERROR(__xludf.DUMMYFUNCTION("""COMPUTED_VALUE"""),"Steinmann et al.")</f>
        <v>Steinmann et al.</v>
      </c>
      <c r="AK13" s="880"/>
      <c r="AL13" s="880" t="str">
        <f>IFERROR(__xludf.DUMMYFUNCTION("""COMPUTED_VALUE"""),"China")</f>
        <v>China</v>
      </c>
      <c r="AM13" s="880" t="str">
        <f>IFERROR(__xludf.DUMMYFUNCTION("""COMPUTED_VALUE"""),"Mebendazole")</f>
        <v>Mebendazole</v>
      </c>
      <c r="AN13" s="880" t="str">
        <f>IFERROR(__xludf.DUMMYFUNCTION("""COMPUTED_VALUE"""),"Single")</f>
        <v>Single</v>
      </c>
      <c r="AO13" s="880" t="str">
        <f>IFERROR(__xludf.DUMMYFUNCTION("""COMPUTED_VALUE"""),"500 mg")</f>
        <v>500 mg</v>
      </c>
      <c r="AP13" s="880">
        <f>IFERROR(__xludf.DUMMYFUNCTION("""COMPUTED_VALUE"""),63.0)</f>
        <v>63</v>
      </c>
      <c r="AQ13" s="880" t="str">
        <f>IFERROR(__xludf.DUMMYFUNCTION("""COMPUTED_VALUE"""),"5 years old or above")</f>
        <v>5 years old or above</v>
      </c>
      <c r="AR13" s="880" t="str">
        <f>IFERROR(__xludf.DUMMYFUNCTION("""COMPUTED_VALUE"""),"Female:39")</f>
        <v>Female:39</v>
      </c>
      <c r="AS13" s="880">
        <f>IFERROR(__xludf.DUMMYFUNCTION("""COMPUTED_VALUE"""),2008.0)</f>
        <v>2008</v>
      </c>
      <c r="AT13" s="880" t="str">
        <f>IFERROR(__xludf.DUMMYFUNCTION("""COMPUTED_VALUE"""),"Exclusions: Presence of diagnosed or percieved chronic disease or other conditions likely to interfere with anthelminthic treatment, pregnancy, recent history of anthelminthic treatment, and participation in other trials within 1 month")</f>
        <v>Exclusions: Presence of diagnosed or percieved chronic disease or other conditions likely to interfere with anthelminthic treatment, pregnancy, recent history of anthelminthic treatment, and participation in other trials within 1 month</v>
      </c>
      <c r="AU13" s="880" t="str">
        <f>IFERROR(__xludf.DUMMYFUNCTION("""COMPUTED_VALUE"""),"Yes")</f>
        <v>Yes</v>
      </c>
      <c r="AV13" s="880" t="str">
        <f>IFERROR(__xludf.DUMMYFUNCTION("""COMPUTED_VALUE"""),"Yes")</f>
        <v>Yes</v>
      </c>
      <c r="AW13" s="881" t="str">
        <f>IFERROR(__xludf.DUMMYFUNCTION("""COMPUTED_VALUE"""),"community based open label outcome assessors-blinded randomzied controlled trial")</f>
        <v>community based open label outcome assessors-blinded randomzied controlled trial</v>
      </c>
      <c r="AX13" s="863">
        <f>IFERROR(__xludf.DUMMYFUNCTION("""COMPUTED_VALUE"""),0.397)</f>
        <v>0.397</v>
      </c>
      <c r="AY13" s="863"/>
      <c r="AZ13" s="863"/>
      <c r="BA13" s="863"/>
      <c r="BB13" s="863"/>
      <c r="BC13" s="863">
        <f>IFERROR(__xludf.DUMMYFUNCTION("""COMPUTED_VALUE"""),0.397)</f>
        <v>0.397</v>
      </c>
      <c r="BD13" s="863"/>
      <c r="BE13" s="863"/>
      <c r="BF13" s="863"/>
      <c r="BG13" s="863"/>
      <c r="BH13" s="863">
        <f>IFERROR(__xludf.DUMMYFUNCTION("""COMPUTED_VALUE"""),0.83)</f>
        <v>0.83</v>
      </c>
      <c r="BI13" s="863"/>
      <c r="BJ13" s="863"/>
      <c r="BK13" s="863"/>
      <c r="BL13" s="863"/>
      <c r="BM13" s="863"/>
      <c r="BN13" s="863"/>
      <c r="BO13" s="863"/>
      <c r="BP13" s="880"/>
      <c r="BQ13" s="863"/>
      <c r="BR13" s="889" t="str">
        <f>IFERROR(__xludf.DUMMYFUNCTION("""COMPUTED_VALUE"""),"Legesse et al.")</f>
        <v>Legesse et al.</v>
      </c>
      <c r="BS13" s="883" t="str">
        <f>IFERROR(__xludf.DUMMYFUNCTION("""COMPUTED_VALUE"""),"Ethiopia")</f>
        <v>Ethiopia</v>
      </c>
      <c r="BT13" s="883" t="str">
        <f>IFERROR(__xludf.DUMMYFUNCTION("""COMPUTED_VALUE"""),"Albendazole")</f>
        <v>Albendazole</v>
      </c>
      <c r="BU13" s="883"/>
      <c r="BV13" s="883" t="str">
        <f>IFERROR(__xludf.DUMMYFUNCTION("""COMPUTED_VALUE"""),"Single")</f>
        <v>Single</v>
      </c>
      <c r="BW13" s="883" t="str">
        <f>IFERROR(__xludf.DUMMYFUNCTION("""COMPUTED_VALUE"""),"400 mg")</f>
        <v>400 mg</v>
      </c>
      <c r="BX13" s="883">
        <f>IFERROR(__xludf.DUMMYFUNCTION("""COMPUTED_VALUE"""),127.0)</f>
        <v>127</v>
      </c>
      <c r="BY13" s="890">
        <f>IFERROR(__xludf.DUMMYFUNCTION("""COMPUTED_VALUE"""),42540.0)</f>
        <v>42540</v>
      </c>
      <c r="BZ13" s="883">
        <f>IFERROR(__xludf.DUMMYFUNCTION("""COMPUTED_VALUE"""),2013.0)</f>
        <v>2013</v>
      </c>
      <c r="CA13" s="883" t="str">
        <f>IFERROR(__xludf.DUMMYFUNCTION("""COMPUTED_VALUE"""),"Male:55")</f>
        <v>Male:55</v>
      </c>
      <c r="CB13" s="883"/>
      <c r="CC13" s="883" t="str">
        <f>IFERROR(__xludf.DUMMYFUNCTION("""COMPUTED_VALUE"""),"Yes")</f>
        <v>Yes</v>
      </c>
      <c r="CD13" s="884">
        <f>IFERROR(__xludf.DUMMYFUNCTION("""COMPUTED_VALUE"""),0.925)</f>
        <v>0.925</v>
      </c>
      <c r="CE13" s="883" t="str">
        <f>IFERROR(__xludf.DUMMYFUNCTION("""COMPUTED_VALUE"""),"Yes")</f>
        <v>Yes</v>
      </c>
      <c r="CF13" s="883"/>
      <c r="CG13" s="884">
        <f>IFERROR(__xludf.DUMMYFUNCTION("""COMPUTED_VALUE"""),0.925)</f>
        <v>0.925</v>
      </c>
      <c r="CH13" s="883"/>
      <c r="CI13" s="883"/>
      <c r="CJ13" s="883"/>
      <c r="CK13" s="883"/>
      <c r="CL13" s="883"/>
      <c r="CM13" s="884">
        <f>IFERROR(__xludf.DUMMYFUNCTION("""COMPUTED_VALUE"""),0.999)</f>
        <v>0.999</v>
      </c>
      <c r="CN13" s="884">
        <f>IFERROR(__xludf.DUMMYFUNCTION("""COMPUTED_VALUE"""),0.999)</f>
        <v>0.999</v>
      </c>
      <c r="CO13" s="883"/>
      <c r="CP13" s="883"/>
      <c r="CQ13" s="883"/>
      <c r="CR13" s="883"/>
      <c r="CS13" s="883"/>
      <c r="CT13" s="883" t="str">
        <f>IFERROR(__xludf.DUMMYFUNCTION("""COMPUTED_VALUE"""),"Kato-Katz")</f>
        <v>Kato-Katz</v>
      </c>
      <c r="CU13" s="883"/>
      <c r="CV13" s="863"/>
      <c r="CW13" s="863"/>
      <c r="CX13" s="863"/>
      <c r="CY13" s="863"/>
      <c r="CZ13" s="863"/>
      <c r="DA13" s="863"/>
      <c r="DB13" s="863"/>
      <c r="DC13" s="863"/>
      <c r="DD13" s="863"/>
      <c r="DE13" s="863"/>
    </row>
    <row r="14">
      <c r="A14" s="887" t="str">
        <f>IFERROR(__xludf.DUMMYFUNCTION("""COMPUTED_VALUE"""),"Albonico et al. ")</f>
        <v>Albonico et al. </v>
      </c>
      <c r="B14" s="876" t="str">
        <f>IFERROR(__xludf.DUMMYFUNCTION("""COMPUTED_VALUE"""),"Tanzania")</f>
        <v>Tanzania</v>
      </c>
      <c r="C14" s="876" t="str">
        <f>IFERROR(__xludf.DUMMYFUNCTION("""COMPUTED_VALUE"""),"Levamisole")</f>
        <v>Levamisole</v>
      </c>
      <c r="D14" s="876" t="str">
        <f>IFERROR(__xludf.DUMMYFUNCTION("""COMPUTED_VALUE"""),"Single")</f>
        <v>Single</v>
      </c>
      <c r="E14" s="876" t="str">
        <f>IFERROR(__xludf.DUMMYFUNCTION("""COMPUTED_VALUE"""),"40 or 80 mg")</f>
        <v>40 or 80 mg</v>
      </c>
      <c r="F14" s="876">
        <f>IFERROR(__xludf.DUMMYFUNCTION("""COMPUTED_VALUE"""),277.0)</f>
        <v>277</v>
      </c>
      <c r="G14" s="876">
        <f>IFERROR(__xludf.DUMMYFUNCTION("""COMPUTED_VALUE"""),11.7)</f>
        <v>11.7</v>
      </c>
      <c r="H14" s="876" t="str">
        <f>IFERROR(__xludf.DUMMYFUNCTION("""COMPUTED_VALUE"""),"27:50")</f>
        <v>27:50</v>
      </c>
      <c r="I14" s="876">
        <f>IFERROR(__xludf.DUMMYFUNCTION("""COMPUTED_VALUE"""),1999.0)</f>
        <v>1999</v>
      </c>
      <c r="J14" s="876" t="str">
        <f>IFERROR(__xludf.DUMMYFUNCTION("""COMPUTED_VALUE"""),"excluded: did not have parental or guardian permission to participate, did not have a stool sample, had significant comorbidities, had recentely transferred to the school from an area outside of zanzibar")</f>
        <v>excluded: did not have parental or guardian permission to participate, did not have a stool sample, had significant comorbidities, had recentely transferred to the school from an area outside of zanzibar</v>
      </c>
      <c r="K14" s="876" t="str">
        <f>IFERROR(__xludf.DUMMYFUNCTION("""COMPUTED_VALUE"""),"single-blind randomized controlled trial")</f>
        <v>single-blind randomized controlled trial</v>
      </c>
      <c r="L14" s="876" t="str">
        <f>IFERROR(__xludf.DUMMYFUNCTION("""COMPUTED_VALUE"""),"Yes")</f>
        <v>Yes</v>
      </c>
      <c r="M14" s="876" t="str">
        <f>IFERROR(__xludf.DUMMYFUNCTION("""COMPUTED_VALUE"""),"Yes")</f>
        <v>Yes</v>
      </c>
      <c r="N14" s="877">
        <f>IFERROR(__xludf.DUMMYFUNCTION("""COMPUTED_VALUE"""),0.119)</f>
        <v>0.119</v>
      </c>
      <c r="O14" s="876"/>
      <c r="P14" s="876">
        <f>IFERROR(__xludf.DUMMYFUNCTION("""COMPUTED_VALUE"""),0.119)</f>
        <v>0.119</v>
      </c>
      <c r="Q14" s="876"/>
      <c r="R14" s="876"/>
      <c r="S14" s="876"/>
      <c r="T14" s="876"/>
      <c r="U14" s="876"/>
      <c r="V14" s="876"/>
      <c r="W14" s="876">
        <f>IFERROR(__xludf.DUMMYFUNCTION("""COMPUTED_VALUE"""),0.613)</f>
        <v>0.613</v>
      </c>
      <c r="X14" s="876"/>
      <c r="Y14" s="876">
        <f>IFERROR(__xludf.DUMMYFUNCTION("""COMPUTED_VALUE"""),0.613)</f>
        <v>0.613</v>
      </c>
      <c r="Z14" s="876"/>
      <c r="AA14" s="876"/>
      <c r="AB14" s="876"/>
      <c r="AC14" s="876"/>
      <c r="AD14" s="876"/>
      <c r="AE14" s="876" t="str">
        <f>IFERROR(__xludf.DUMMYFUNCTION("""COMPUTED_VALUE"""),"The efficacy of the combined administration of Mebendazole500 mg and levamisole 40 or 80 mg was evaluated for the first time in this study and showed higher efficacy than either drug alone against hookworm infections.")</f>
        <v>The efficacy of the combined administration of Mebendazole500 mg and levamisole 40 or 80 mg was evaluated for the first time in this study and showed higher efficacy than either drug alone against hookworm infections.</v>
      </c>
      <c r="AF14" s="876" t="str">
        <f>IFERROR(__xludf.DUMMYFUNCTION("""COMPUTED_VALUE"""),"• Children at Standard 1 (1st grade) had not yet been treated with Mebendazolein school, whereas children at Standard 5 (5th grade) had been exposed to 15 rounds of Mebendazoletreatment.
• Stool samples examined using Kato-Katz Method.                    "&amp;"                      ")</f>
        <v>• Children at Standard 1 (1st grade) had not yet been treated with Mebendazolein school, whereas children at Standard 5 (5th grade) had been exposed to 15 rounds of Mebendazoletreatment.
• Stool samples examined using Kato-Katz Method.                                          </v>
      </c>
      <c r="AG14" s="876" t="str">
        <f>IFERROR(__xludf.DUMMYFUNCTION("""COMPUTED_VALUE"""),"Albonico, M., Q. Bickle, M. Ramsan, A. Montresor, L. Savioli, and M. Taylor. ""Efficacy of Mebendazoleand Levamisole Alone or in Combination against Intestinal Nematode Infections after Repeated Targeted MebendazoleTreatment in Zanzibar."" Bulletin of the"&amp;" World Health Organization 81.5 (2003): 343-52. Web.")</f>
        <v>Albonico, M., Q. Bickle, M. Ramsan, A. Montresor, L. Savioli, and M. Taylor. "Efficacy of Mebendazoleand Levamisole Alone or in Combination against Intestinal Nematode Infections after Repeated Targeted MebendazoleTreatment in Zanzibar." Bulletin of the World Health Organization 81.5 (2003): 343-52. Web.</v>
      </c>
      <c r="AH14" s="876"/>
      <c r="AI14" s="878"/>
      <c r="AJ14" s="888" t="str">
        <f>IFERROR(__xludf.DUMMYFUNCTION("""COMPUTED_VALUE"""),"Steinmann et al.")</f>
        <v>Steinmann et al.</v>
      </c>
      <c r="AK14" s="880"/>
      <c r="AL14" s="880" t="str">
        <f>IFERROR(__xludf.DUMMYFUNCTION("""COMPUTED_VALUE"""),"China")</f>
        <v>China</v>
      </c>
      <c r="AM14" s="880" t="str">
        <f>IFERROR(__xludf.DUMMYFUNCTION("""COMPUTED_VALUE"""),"Mebendazole")</f>
        <v>Mebendazole</v>
      </c>
      <c r="AN14" s="880" t="str">
        <f>IFERROR(__xludf.DUMMYFUNCTION("""COMPUTED_VALUE"""),"Three")</f>
        <v>Three</v>
      </c>
      <c r="AO14" s="880" t="str">
        <f>IFERROR(__xludf.DUMMYFUNCTION("""COMPUTED_VALUE"""),"500 mg")</f>
        <v>500 mg</v>
      </c>
      <c r="AP14" s="880">
        <f>IFERROR(__xludf.DUMMYFUNCTION("""COMPUTED_VALUE"""),58.0)</f>
        <v>58</v>
      </c>
      <c r="AQ14" s="880" t="str">
        <f>IFERROR(__xludf.DUMMYFUNCTION("""COMPUTED_VALUE"""),"5 years old or above")</f>
        <v>5 years old or above</v>
      </c>
      <c r="AR14" s="880" t="str">
        <f>IFERROR(__xludf.DUMMYFUNCTION("""COMPUTED_VALUE"""),"Female:41")</f>
        <v>Female:41</v>
      </c>
      <c r="AS14" s="880">
        <f>IFERROR(__xludf.DUMMYFUNCTION("""COMPUTED_VALUE"""),2008.0)</f>
        <v>2008</v>
      </c>
      <c r="AT14" s="880" t="str">
        <f>IFERROR(__xludf.DUMMYFUNCTION("""COMPUTED_VALUE"""),"Exclusions: Presence of diagnosed or percieved chronic disease or other conditions likely to interfere with anthelminthic treatment, pregnancy, recent history of anthelminthic treatment, and participation in other trials within 1 month")</f>
        <v>Exclusions: Presence of diagnosed or percieved chronic disease or other conditions likely to interfere with anthelminthic treatment, pregnancy, recent history of anthelminthic treatment, and participation in other trials within 1 month</v>
      </c>
      <c r="AU14" s="880" t="str">
        <f>IFERROR(__xludf.DUMMYFUNCTION("""COMPUTED_VALUE"""),"Yes")</f>
        <v>Yes</v>
      </c>
      <c r="AV14" s="880" t="str">
        <f>IFERROR(__xludf.DUMMYFUNCTION("""COMPUTED_VALUE"""),"Yes")</f>
        <v>Yes</v>
      </c>
      <c r="AW14" s="881" t="str">
        <f>IFERROR(__xludf.DUMMYFUNCTION("""COMPUTED_VALUE"""),"community based open label outcome assessors-blinded randomzied controlled trial")</f>
        <v>community based open label outcome assessors-blinded randomzied controlled trial</v>
      </c>
      <c r="AX14" s="863">
        <f>IFERROR(__xludf.DUMMYFUNCTION("""COMPUTED_VALUE"""),0.707)</f>
        <v>0.707</v>
      </c>
      <c r="AY14" s="863"/>
      <c r="AZ14" s="863"/>
      <c r="BA14" s="863"/>
      <c r="BB14" s="863"/>
      <c r="BC14" s="863">
        <f>IFERROR(__xludf.DUMMYFUNCTION("""COMPUTED_VALUE"""),0.707)</f>
        <v>0.707</v>
      </c>
      <c r="BD14" s="863"/>
      <c r="BE14" s="863"/>
      <c r="BF14" s="863"/>
      <c r="BG14" s="863"/>
      <c r="BH14" s="863">
        <f>IFERROR(__xludf.DUMMYFUNCTION("""COMPUTED_VALUE"""),0.97)</f>
        <v>0.97</v>
      </c>
      <c r="BI14" s="863"/>
      <c r="BJ14" s="863"/>
      <c r="BK14" s="863"/>
      <c r="BL14" s="863"/>
      <c r="BM14" s="863"/>
      <c r="BN14" s="863"/>
      <c r="BO14" s="863"/>
      <c r="BP14" s="880"/>
      <c r="BQ14" s="863"/>
      <c r="BR14" s="889" t="str">
        <f>IFERROR(__xludf.DUMMYFUNCTION("""COMPUTED_VALUE"""),"Legesse et al.")</f>
        <v>Legesse et al.</v>
      </c>
      <c r="BS14" s="883" t="str">
        <f>IFERROR(__xludf.DUMMYFUNCTION("""COMPUTED_VALUE"""),"Ethiopia")</f>
        <v>Ethiopia</v>
      </c>
      <c r="BT14" s="883" t="str">
        <f>IFERROR(__xludf.DUMMYFUNCTION("""COMPUTED_VALUE"""),"Mebendazole")</f>
        <v>Mebendazole</v>
      </c>
      <c r="BU14" s="883"/>
      <c r="BV14" s="883" t="str">
        <f>IFERROR(__xludf.DUMMYFUNCTION("""COMPUTED_VALUE"""),"Single")</f>
        <v>Single</v>
      </c>
      <c r="BW14" s="883" t="str">
        <f>IFERROR(__xludf.DUMMYFUNCTION("""COMPUTED_VALUE"""),"100 mg")</f>
        <v>100 mg</v>
      </c>
      <c r="BX14" s="883">
        <f>IFERROR(__xludf.DUMMYFUNCTION("""COMPUTED_VALUE"""),11.0)</f>
        <v>11</v>
      </c>
      <c r="BY14" s="883"/>
      <c r="BZ14" s="883">
        <f>IFERROR(__xludf.DUMMYFUNCTION("""COMPUTED_VALUE"""),2013.0)</f>
        <v>2013</v>
      </c>
      <c r="CA14" s="883" t="str">
        <f>IFERROR(__xludf.DUMMYFUNCTION("""COMPUTED_VALUE"""),"Male:53")</f>
        <v>Male:53</v>
      </c>
      <c r="CB14" s="883"/>
      <c r="CC14" s="883" t="str">
        <f>IFERROR(__xludf.DUMMYFUNCTION("""COMPUTED_VALUE"""),"Yes")</f>
        <v>Yes</v>
      </c>
      <c r="CD14" s="884">
        <f>IFERROR(__xludf.DUMMYFUNCTION("""COMPUTED_VALUE"""),0.93)</f>
        <v>0.93</v>
      </c>
      <c r="CE14" s="883" t="str">
        <f>IFERROR(__xludf.DUMMYFUNCTION("""COMPUTED_VALUE"""),"Yes")</f>
        <v>Yes</v>
      </c>
      <c r="CF14" s="883"/>
      <c r="CG14" s="884">
        <f>IFERROR(__xludf.DUMMYFUNCTION("""COMPUTED_VALUE"""),0.93)</f>
        <v>0.93</v>
      </c>
      <c r="CH14" s="883"/>
      <c r="CI14" s="883"/>
      <c r="CJ14" s="883"/>
      <c r="CK14" s="883"/>
      <c r="CL14" s="883"/>
      <c r="CM14" s="883"/>
      <c r="CN14" s="884">
        <f>IFERROR(__xludf.DUMMYFUNCTION("""COMPUTED_VALUE"""),0.999)</f>
        <v>0.999</v>
      </c>
      <c r="CO14" s="883"/>
      <c r="CP14" s="883"/>
      <c r="CQ14" s="883"/>
      <c r="CR14" s="883"/>
      <c r="CS14" s="883"/>
      <c r="CT14" s="883"/>
      <c r="CU14" s="883"/>
      <c r="CV14" s="863"/>
      <c r="CW14" s="863"/>
      <c r="CX14" s="863"/>
      <c r="CY14" s="863"/>
      <c r="CZ14" s="863"/>
      <c r="DA14" s="863"/>
      <c r="DB14" s="863"/>
      <c r="DC14" s="863"/>
      <c r="DD14" s="863"/>
      <c r="DE14" s="863"/>
    </row>
    <row r="15">
      <c r="A15" s="887" t="str">
        <f>IFERROR(__xludf.DUMMYFUNCTION("""COMPUTED_VALUE"""),"Albonico et al. ")</f>
        <v>Albonico et al. </v>
      </c>
      <c r="B15" s="876" t="str">
        <f>IFERROR(__xludf.DUMMYFUNCTION("""COMPUTED_VALUE"""),"Tanzania")</f>
        <v>Tanzania</v>
      </c>
      <c r="C15" s="876" t="str">
        <f>IFERROR(__xludf.DUMMYFUNCTION("""COMPUTED_VALUE"""),"Levamisole &amp; Mebendazole")</f>
        <v>Levamisole &amp; Mebendazole</v>
      </c>
      <c r="D15" s="876" t="str">
        <f>IFERROR(__xludf.DUMMYFUNCTION("""COMPUTED_VALUE"""),"Single")</f>
        <v>Single</v>
      </c>
      <c r="E15" s="876" t="str">
        <f>IFERROR(__xludf.DUMMYFUNCTION("""COMPUTED_VALUE"""),"80 mg; 40 mg")</f>
        <v>80 mg; 40 mg</v>
      </c>
      <c r="F15" s="876">
        <f>IFERROR(__xludf.DUMMYFUNCTION("""COMPUTED_VALUE"""),286.0)</f>
        <v>286</v>
      </c>
      <c r="G15" s="876">
        <f>IFERROR(__xludf.DUMMYFUNCTION("""COMPUTED_VALUE"""),11.7)</f>
        <v>11.7</v>
      </c>
      <c r="H15" s="876" t="str">
        <f>IFERROR(__xludf.DUMMYFUNCTION("""COMPUTED_VALUE"""),"43:57")</f>
        <v>43:57</v>
      </c>
      <c r="I15" s="876">
        <f>IFERROR(__xludf.DUMMYFUNCTION("""COMPUTED_VALUE"""),1999.0)</f>
        <v>1999</v>
      </c>
      <c r="J15" s="876" t="str">
        <f>IFERROR(__xludf.DUMMYFUNCTION("""COMPUTED_VALUE"""),"excluded: did not have parental or guardian permission to participate, did not have a stool sample, had significant comorbidities, had recentely transferred to the school from an area outside of zanzibar")</f>
        <v>excluded: did not have parental or guardian permission to participate, did not have a stool sample, had significant comorbidities, had recentely transferred to the school from an area outside of zanzibar</v>
      </c>
      <c r="K15" s="876" t="str">
        <f>IFERROR(__xludf.DUMMYFUNCTION("""COMPUTED_VALUE"""),"single-blind randomized controlled trial")</f>
        <v>single-blind randomized controlled trial</v>
      </c>
      <c r="L15" s="876" t="str">
        <f>IFERROR(__xludf.DUMMYFUNCTION("""COMPUTED_VALUE"""),"Yes")</f>
        <v>Yes</v>
      </c>
      <c r="M15" s="876" t="str">
        <f>IFERROR(__xludf.DUMMYFUNCTION("""COMPUTED_VALUE"""),"Yes")</f>
        <v>Yes</v>
      </c>
      <c r="N15" s="877">
        <f>IFERROR(__xludf.DUMMYFUNCTION("""COMPUTED_VALUE"""),0.261)</f>
        <v>0.261</v>
      </c>
      <c r="O15" s="876"/>
      <c r="P15" s="876">
        <f>IFERROR(__xludf.DUMMYFUNCTION("""COMPUTED_VALUE"""),0.261)</f>
        <v>0.261</v>
      </c>
      <c r="Q15" s="876"/>
      <c r="R15" s="876"/>
      <c r="S15" s="876"/>
      <c r="T15" s="876"/>
      <c r="U15" s="876"/>
      <c r="V15" s="876"/>
      <c r="W15" s="876">
        <f>IFERROR(__xludf.DUMMYFUNCTION("""COMPUTED_VALUE"""),0.887)</f>
        <v>0.887</v>
      </c>
      <c r="X15" s="876"/>
      <c r="Y15" s="876">
        <f>IFERROR(__xludf.DUMMYFUNCTION("""COMPUTED_VALUE"""),0.887)</f>
        <v>0.887</v>
      </c>
      <c r="Z15" s="876"/>
      <c r="AA15" s="876"/>
      <c r="AB15" s="876"/>
      <c r="AC15" s="876"/>
      <c r="AD15" s="876"/>
      <c r="AE15" s="876" t="str">
        <f>IFERROR(__xludf.DUMMYFUNCTION("""COMPUTED_VALUE"""),"The efficacy of the combined administration of Mebendazole500 mg and levamisole 40 or 80 mg was evaluated for the first time in this study and showed higher efficacy than either drug alone against hookworm infections.")</f>
        <v>The efficacy of the combined administration of Mebendazole500 mg and levamisole 40 or 80 mg was evaluated for the first time in this study and showed higher efficacy than either drug alone against hookworm infections.</v>
      </c>
      <c r="AF15" s="876" t="str">
        <f>IFERROR(__xludf.DUMMYFUNCTION("""COMPUTED_VALUE"""),"• Children at Standard 1 (1st grade) had not yet been treated with Mebendazolein school, whereas children at Standard 5 (5th grade) had been exposed to 15 rounds of Mebendazoletreatment.
• Stool samples examined using Kato-Katz Method.                    "&amp;"                      ")</f>
        <v>• Children at Standard 1 (1st grade) had not yet been treated with Mebendazolein school, whereas children at Standard 5 (5th grade) had been exposed to 15 rounds of Mebendazoletreatment.
• Stool samples examined using Kato-Katz Method.                                          </v>
      </c>
      <c r="AG15" s="876" t="str">
        <f>IFERROR(__xludf.DUMMYFUNCTION("""COMPUTED_VALUE"""),"Albonico, M., Q. Bickle, M. Ramsan, A. Montresor, L. Savioli, and M. Taylor. ""Efficacy of Mebendazoleand Levamisole Alone or in Combination against Intestinal Nematode Infections after Repeated Targeted MebendazoleTreatment in Zanzibar."" Bulletin of the"&amp;" World Health Organization 81.5 (2003): 343-52. Web.")</f>
        <v>Albonico, M., Q. Bickle, M. Ramsan, A. Montresor, L. Savioli, and M. Taylor. "Efficacy of Mebendazoleand Levamisole Alone or in Combination against Intestinal Nematode Infections after Repeated Targeted MebendazoleTreatment in Zanzibar." Bulletin of the World Health Organization 81.5 (2003): 343-52. Web.</v>
      </c>
      <c r="AH15" s="876"/>
      <c r="AI15" s="878"/>
      <c r="AJ15" s="888" t="str">
        <f>IFERROR(__xludf.DUMMYFUNCTION("""COMPUTED_VALUE"""),"Belizario et al.")</f>
        <v>Belizario et al.</v>
      </c>
      <c r="AK15" s="880" t="str">
        <f>IFERROR(__xludf.DUMMYFUNCTION("""COMPUTED_VALUE"""),"Belizario, V.Y., M.E. Amarillo, W.U. De Leon, A.E. De Los Reyes, M.G. Bugayong, and B.J.C. Macatangay. ""A Comparison of the Fficacy of Single Doses of Albendazole, Ivermectin, and Diethylcarbamazine Alone or in Combinations against Ascaris and Trichuris "&amp;"Spp."" Bulletin of the World Health Organization 81.1 (2003): 35-42. Web.")</f>
        <v>Belizario, V.Y., M.E. Amarillo, W.U. De Leon, A.E. De Los Reyes, M.G. Bugayong, and B.J.C. Macatangay. "A Comparison of the Fficacy of Single Doses of Albendazole, Ivermectin, and Diethylcarbamazine Alone or in Combinations against Ascaris and Trichuris Spp." Bulletin of the World Health Organization 81.1 (2003): 35-42. Web.</v>
      </c>
      <c r="AL15" s="880" t="str">
        <f>IFERROR(__xludf.DUMMYFUNCTION("""COMPUTED_VALUE"""),"Philippines")</f>
        <v>Philippines</v>
      </c>
      <c r="AM15" s="880" t="str">
        <f>IFERROR(__xludf.DUMMYFUNCTION("""COMPUTED_VALUE"""),"Albendazole")</f>
        <v>Albendazole</v>
      </c>
      <c r="AN15" s="880" t="str">
        <f>IFERROR(__xludf.DUMMYFUNCTION("""COMPUTED_VALUE"""),"Single")</f>
        <v>Single</v>
      </c>
      <c r="AO15" s="880" t="str">
        <f>IFERROR(__xludf.DUMMYFUNCTION("""COMPUTED_VALUE"""),"400 mg")</f>
        <v>400 mg</v>
      </c>
      <c r="AP15" s="880">
        <f>IFERROR(__xludf.DUMMYFUNCTION("""COMPUTED_VALUE"""),149.0)</f>
        <v>149</v>
      </c>
      <c r="AQ15" s="880" t="str">
        <f>IFERROR(__xludf.DUMMYFUNCTION("""COMPUTED_VALUE"""),"Elementary School age 6-12 years old")</f>
        <v>Elementary School age 6-12 years old</v>
      </c>
      <c r="AR15" s="880" t="str">
        <f>IFERROR(__xludf.DUMMYFUNCTION("""COMPUTED_VALUE"""),"Male: 1199 Female:1085")</f>
        <v>Male: 1199 Female:1085</v>
      </c>
      <c r="AS15" s="880">
        <f>IFERROR(__xludf.DUMMYFUNCTION("""COMPUTED_VALUE"""),1998.0)</f>
        <v>1998</v>
      </c>
      <c r="AT15" s="880" t="str">
        <f>IFERROR(__xludf.DUMMYFUNCTION("""COMPUTED_VALUE"""),"Inclusion: male or female, age 6-12 years old, informed consent, ascarisis or trichuris eggs in stool samples, and compliance with protocol, requiring stool samples at the specified times after treatment Exclusions: previous hypersensitivity reaction to b"&amp;"enzimidazole, ivermection, diethylcarbamazine, or any related compound. Other helminths without the target helminths listed. diarrhoeal disease, reciept of any anthelminth in the two weeks before enrollment, reciepit of an anthelminth during the study per"&amp;"iod and concomitant infection or underlying disease compromising evaluation of the response to the medications being studied")</f>
        <v>Inclusion: male or female, age 6-12 years old, informed consent, ascarisis or trichuris eggs in stool samples, and compliance with protocol, requiring stool samples at the specified times after treatment Exclusions: previous hypersensitivity reaction to benzimidazole, ivermection, diethylcarbamazine, or any related compound. Other helminths without the target helminths listed. diarrhoeal disease, reciept of any anthelminth in the two weeks before enrollment, reciepit of an anthelminth during the study period and concomitant infection or underlying disease compromising evaluation of the response to the medications being studied</v>
      </c>
      <c r="AU15" s="880" t="str">
        <f>IFERROR(__xludf.DUMMYFUNCTION("""COMPUTED_VALUE"""),"Yes")</f>
        <v>Yes</v>
      </c>
      <c r="AV15" s="880" t="str">
        <f>IFERROR(__xludf.DUMMYFUNCTION("""COMPUTED_VALUE"""),"Yes")</f>
        <v>Yes</v>
      </c>
      <c r="AW15" s="881" t="str">
        <f>IFERROR(__xludf.DUMMYFUNCTION("""COMPUTED_VALUE"""),"randomized, placebo controlled, single-blind study")</f>
        <v>randomized, placebo controlled, single-blind study</v>
      </c>
      <c r="AX15" s="863">
        <f>IFERROR(__xludf.DUMMYFUNCTION("""COMPUTED_VALUE"""),0.315)</f>
        <v>0.315</v>
      </c>
      <c r="AY15" s="863">
        <f>IFERROR(__xludf.DUMMYFUNCTION("""COMPUTED_VALUE"""),0.315)</f>
        <v>0.315</v>
      </c>
      <c r="AZ15" s="863"/>
      <c r="BA15" s="863"/>
      <c r="BB15" s="863"/>
      <c r="BC15" s="863"/>
      <c r="BD15" s="863"/>
      <c r="BE15" s="863"/>
      <c r="BF15" s="863"/>
      <c r="BG15" s="863"/>
      <c r="BH15" s="863">
        <f>IFERROR(__xludf.DUMMYFUNCTION("""COMPUTED_VALUE"""),0.54)</f>
        <v>0.54</v>
      </c>
      <c r="BI15" s="863"/>
      <c r="BJ15" s="863"/>
      <c r="BK15" s="863"/>
      <c r="BL15" s="863"/>
      <c r="BM15" s="863"/>
      <c r="BN15" s="863"/>
      <c r="BO15" s="863" t="str">
        <f>IFERROR(__xludf.DUMMYFUNCTION("""COMPUTED_VALUE"""),"Kato-Katz Method")</f>
        <v>Kato-Katz Method</v>
      </c>
      <c r="BP15" s="880"/>
      <c r="BQ15" s="863"/>
      <c r="BR15" s="889" t="str">
        <f>IFERROR(__xludf.DUMMYFUNCTION("""COMPUTED_VALUE"""),"Legesse et al.")</f>
        <v>Legesse et al.</v>
      </c>
      <c r="BS15" s="883" t="str">
        <f>IFERROR(__xludf.DUMMYFUNCTION("""COMPUTED_VALUE"""),"Ethiopia")</f>
        <v>Ethiopia</v>
      </c>
      <c r="BT15" s="883" t="str">
        <f>IFERROR(__xludf.DUMMYFUNCTION("""COMPUTED_VALUE"""),"Mebendazole")</f>
        <v>Mebendazole</v>
      </c>
      <c r="BU15" s="883"/>
      <c r="BV15" s="883" t="str">
        <f>IFERROR(__xludf.DUMMYFUNCTION("""COMPUTED_VALUE"""),"Single")</f>
        <v>Single</v>
      </c>
      <c r="BW15" s="883" t="str">
        <f>IFERROR(__xludf.DUMMYFUNCTION("""COMPUTED_VALUE"""),"100 mg")</f>
        <v>100 mg</v>
      </c>
      <c r="BX15" s="883">
        <f>IFERROR(__xludf.DUMMYFUNCTION("""COMPUTED_VALUE"""),21.0)</f>
        <v>21</v>
      </c>
      <c r="BY15" s="883"/>
      <c r="BZ15" s="883">
        <f>IFERROR(__xludf.DUMMYFUNCTION("""COMPUTED_VALUE"""),2013.0)</f>
        <v>2013</v>
      </c>
      <c r="CA15" s="883" t="str">
        <f>IFERROR(__xludf.DUMMYFUNCTION("""COMPUTED_VALUE"""),"Male:47")</f>
        <v>Male:47</v>
      </c>
      <c r="CB15" s="883"/>
      <c r="CC15" s="883" t="str">
        <f>IFERROR(__xludf.DUMMYFUNCTION("""COMPUTED_VALUE"""),"Yes")</f>
        <v>Yes</v>
      </c>
      <c r="CD15" s="884">
        <f>IFERROR(__xludf.DUMMYFUNCTION("""COMPUTED_VALUE"""),0.99)</f>
        <v>0.99</v>
      </c>
      <c r="CE15" s="883" t="str">
        <f>IFERROR(__xludf.DUMMYFUNCTION("""COMPUTED_VALUE"""),"Yes")</f>
        <v>Yes</v>
      </c>
      <c r="CF15" s="883"/>
      <c r="CG15" s="884">
        <f>IFERROR(__xludf.DUMMYFUNCTION("""COMPUTED_VALUE"""),0.99)</f>
        <v>0.99</v>
      </c>
      <c r="CH15" s="883"/>
      <c r="CI15" s="883"/>
      <c r="CJ15" s="883"/>
      <c r="CK15" s="883"/>
      <c r="CL15" s="883"/>
      <c r="CM15" s="883"/>
      <c r="CN15" s="884">
        <f>IFERROR(__xludf.DUMMYFUNCTION("""COMPUTED_VALUE"""),0.999)</f>
        <v>0.999</v>
      </c>
      <c r="CO15" s="883"/>
      <c r="CP15" s="883"/>
      <c r="CQ15" s="883"/>
      <c r="CR15" s="883"/>
      <c r="CS15" s="883"/>
      <c r="CT15" s="883"/>
      <c r="CU15" s="883"/>
      <c r="CV15" s="863"/>
      <c r="CW15" s="863"/>
      <c r="CX15" s="863"/>
      <c r="CY15" s="863"/>
      <c r="CZ15" s="863"/>
      <c r="DA15" s="863"/>
      <c r="DB15" s="863"/>
      <c r="DC15" s="863"/>
      <c r="DD15" s="863"/>
      <c r="DE15" s="863"/>
    </row>
    <row r="16">
      <c r="A16" s="887" t="str">
        <f>IFERROR(__xludf.DUMMYFUNCTION("""COMPUTED_VALUE"""),"Albonico et al. ")</f>
        <v>Albonico et al. </v>
      </c>
      <c r="B16" s="876" t="str">
        <f>IFERROR(__xludf.DUMMYFUNCTION("""COMPUTED_VALUE"""),"Tanzania")</f>
        <v>Tanzania</v>
      </c>
      <c r="C16" s="876" t="str">
        <f>IFERROR(__xludf.DUMMYFUNCTION("""COMPUTED_VALUE"""),"Placebo")</f>
        <v>Placebo</v>
      </c>
      <c r="D16" s="876"/>
      <c r="E16" s="876"/>
      <c r="F16" s="876">
        <f>IFERROR(__xludf.DUMMYFUNCTION("""COMPUTED_VALUE"""),289.0)</f>
        <v>289</v>
      </c>
      <c r="G16" s="876">
        <f>IFERROR(__xludf.DUMMYFUNCTION("""COMPUTED_VALUE"""),11.6)</f>
        <v>11.6</v>
      </c>
      <c r="H16" s="876" t="str">
        <f>IFERROR(__xludf.DUMMYFUNCTION("""COMPUTED_VALUE"""),"21:50")</f>
        <v>21:50</v>
      </c>
      <c r="I16" s="876">
        <f>IFERROR(__xludf.DUMMYFUNCTION("""COMPUTED_VALUE"""),1999.0)</f>
        <v>1999</v>
      </c>
      <c r="J16" s="876" t="str">
        <f>IFERROR(__xludf.DUMMYFUNCTION("""COMPUTED_VALUE"""),"excluded: did not have parental or guardian permission to participate, did not have a stool sample, had significant comorbidities, had recentely transferred to the school from an area outside of zanzibar")</f>
        <v>excluded: did not have parental or guardian permission to participate, did not have a stool sample, had significant comorbidities, had recentely transferred to the school from an area outside of zanzibar</v>
      </c>
      <c r="K16" s="876" t="str">
        <f>IFERROR(__xludf.DUMMYFUNCTION("""COMPUTED_VALUE"""),"single-blind randomized controlled trial")</f>
        <v>single-blind randomized controlled trial</v>
      </c>
      <c r="L16" s="876" t="str">
        <f>IFERROR(__xludf.DUMMYFUNCTION("""COMPUTED_VALUE"""),"Yes")</f>
        <v>Yes</v>
      </c>
      <c r="M16" s="876" t="str">
        <f>IFERROR(__xludf.DUMMYFUNCTION("""COMPUTED_VALUE"""),"Yes")</f>
        <v>Yes</v>
      </c>
      <c r="N16" s="877">
        <f>IFERROR(__xludf.DUMMYFUNCTION("""COMPUTED_VALUE"""),0.034)</f>
        <v>0.034</v>
      </c>
      <c r="O16" s="876"/>
      <c r="P16" s="876">
        <f>IFERROR(__xludf.DUMMYFUNCTION("""COMPUTED_VALUE"""),0.034)</f>
        <v>0.034</v>
      </c>
      <c r="Q16" s="876"/>
      <c r="R16" s="876"/>
      <c r="S16" s="876"/>
      <c r="T16" s="876"/>
      <c r="U16" s="876"/>
      <c r="V16" s="876"/>
      <c r="W16" s="876">
        <f>IFERROR(__xludf.DUMMYFUNCTION("""COMPUTED_VALUE"""),0.16)</f>
        <v>0.16</v>
      </c>
      <c r="X16" s="876"/>
      <c r="Y16" s="876">
        <f>IFERROR(__xludf.DUMMYFUNCTION("""COMPUTED_VALUE"""),0.16)</f>
        <v>0.16</v>
      </c>
      <c r="Z16" s="876"/>
      <c r="AA16" s="876"/>
      <c r="AB16" s="876"/>
      <c r="AC16" s="876"/>
      <c r="AD16" s="876"/>
      <c r="AE16" s="876" t="str">
        <f>IFERROR(__xludf.DUMMYFUNCTION("""COMPUTED_VALUE"""),"The efficacy of the combined administration of Mebendazole500 mg and levamisole 40 or 80 mg was evaluated for the first time in this study and showed higher efficacy than either drug alone against hookworm infections.")</f>
        <v>The efficacy of the combined administration of Mebendazole500 mg and levamisole 40 or 80 mg was evaluated for the first time in this study and showed higher efficacy than either drug alone against hookworm infections.</v>
      </c>
      <c r="AF16" s="876" t="str">
        <f>IFERROR(__xludf.DUMMYFUNCTION("""COMPUTED_VALUE"""),"• Children at Standard 1 (1st grade) had not yet been treated with Mebendazolein school, whereas children at Standard 5 (5th grade) had been exposed to 15 rounds of Mebendazoletreatment.
• Placebo pills resembled Mebendazolein colour, size, taste, and sha"&amp;"pe.
• Stool samples examined using Kato-Katz Method.")</f>
        <v>• Children at Standard 1 (1st grade) had not yet been treated with Mebendazolein school, whereas children at Standard 5 (5th grade) had been exposed to 15 rounds of Mebendazoletreatment.
• Placebo pills resembled Mebendazolein colour, size, taste, and shape.
• Stool samples examined using Kato-Katz Method.</v>
      </c>
      <c r="AG16" s="876" t="str">
        <f>IFERROR(__xludf.DUMMYFUNCTION("""COMPUTED_VALUE"""),"Albonico, M., Q. Bickle, M. Ramsan, A. Montresor, L. Savioli, and M. Taylor. ""Efficacy of Mebendazoleand Levamisole Alone or in Combination against Intestinal Nematode Infections after Repeated Targeted MebendazoleTreatment in Zanzibar."" Bulletin of the"&amp;" World Health Organization 81.5 (2003): 343-52. Web.")</f>
        <v>Albonico, M., Q. Bickle, M. Ramsan, A. Montresor, L. Savioli, and M. Taylor. "Efficacy of Mebendazoleand Levamisole Alone or in Combination against Intestinal Nematode Infections after Repeated Targeted MebendazoleTreatment in Zanzibar." Bulletin of the World Health Organization 81.5 (2003): 343-52. Web.</v>
      </c>
      <c r="AH16" s="876"/>
      <c r="AI16" s="878"/>
      <c r="AJ16" s="888" t="str">
        <f>IFERROR(__xludf.DUMMYFUNCTION("""COMPUTED_VALUE"""),"Belizario et al.")</f>
        <v>Belizario et al.</v>
      </c>
      <c r="AK16" s="880"/>
      <c r="AL16" s="880" t="str">
        <f>IFERROR(__xludf.DUMMYFUNCTION("""COMPUTED_VALUE"""),"Philippines")</f>
        <v>Philippines</v>
      </c>
      <c r="AM16" s="880" t="str">
        <f>IFERROR(__xludf.DUMMYFUNCTION("""COMPUTED_VALUE"""),"Ivermectin")</f>
        <v>Ivermectin</v>
      </c>
      <c r="AN16" s="880" t="str">
        <f>IFERROR(__xludf.DUMMYFUNCTION("""COMPUTED_VALUE"""),"Single")</f>
        <v>Single</v>
      </c>
      <c r="AO16" s="880" t="str">
        <f>IFERROR(__xludf.DUMMYFUNCTION("""COMPUTED_VALUE"""),"200 mg")</f>
        <v>200 mg</v>
      </c>
      <c r="AP16" s="880">
        <f>IFERROR(__xludf.DUMMYFUNCTION("""COMPUTED_VALUE"""),154.0)</f>
        <v>154</v>
      </c>
      <c r="AQ16" s="880" t="str">
        <f>IFERROR(__xludf.DUMMYFUNCTION("""COMPUTED_VALUE"""),"Elementary School age 6-12 years old")</f>
        <v>Elementary School age 6-12 years old</v>
      </c>
      <c r="AR16" s="880" t="str">
        <f>IFERROR(__xludf.DUMMYFUNCTION("""COMPUTED_VALUE"""),"Male: 1199 Female:1086")</f>
        <v>Male: 1199 Female:1086</v>
      </c>
      <c r="AS16" s="880">
        <f>IFERROR(__xludf.DUMMYFUNCTION("""COMPUTED_VALUE"""),1998.0)</f>
        <v>1998</v>
      </c>
      <c r="AT16" s="880" t="str">
        <f>IFERROR(__xludf.DUMMYFUNCTION("""COMPUTED_VALUE"""),"Inclusion: male or female, age 6-12 years old, informed consent, ascarisis or trichuris eggs in stool samples, and compliance with protocol, requiring stool samples at the specified times after treatment Exclusions: previous hypersensitivity reaction to b"&amp;"enzimidazole, ivermection, diethylcarbamazine, or any related compound. Other helminths without the target helminths listed. diarrhoeal disease, reciept of any anthelminth in the two weeks before enrollment, reciepit of an anthelminth during the study per"&amp;"iod and concomitant infection or underlying disease compromising evaluation of the response to the medications being studied")</f>
        <v>Inclusion: male or female, age 6-12 years old, informed consent, ascarisis or trichuris eggs in stool samples, and compliance with protocol, requiring stool samples at the specified times after treatment Exclusions: previous hypersensitivity reaction to benzimidazole, ivermection, diethylcarbamazine, or any related compound. Other helminths without the target helminths listed. diarrhoeal disease, reciept of any anthelminth in the two weeks before enrollment, reciepit of an anthelminth during the study period and concomitant infection or underlying disease compromising evaluation of the response to the medications being studied</v>
      </c>
      <c r="AU16" s="880" t="str">
        <f>IFERROR(__xludf.DUMMYFUNCTION("""COMPUTED_VALUE"""),"Yes")</f>
        <v>Yes</v>
      </c>
      <c r="AV16" s="880" t="str">
        <f>IFERROR(__xludf.DUMMYFUNCTION("""COMPUTED_VALUE"""),"Yes")</f>
        <v>Yes</v>
      </c>
      <c r="AW16" s="881" t="str">
        <f>IFERROR(__xludf.DUMMYFUNCTION("""COMPUTED_VALUE"""),"randomized, placebo controlled, single-blind study")</f>
        <v>randomized, placebo controlled, single-blind study</v>
      </c>
      <c r="AX16" s="863">
        <f>IFERROR(__xludf.DUMMYFUNCTION("""COMPUTED_VALUE"""),0.351)</f>
        <v>0.351</v>
      </c>
      <c r="AY16" s="863">
        <f>IFERROR(__xludf.DUMMYFUNCTION("""COMPUTED_VALUE"""),0.351)</f>
        <v>0.351</v>
      </c>
      <c r="AZ16" s="863"/>
      <c r="BA16" s="863"/>
      <c r="BB16" s="863"/>
      <c r="BC16" s="863"/>
      <c r="BD16" s="863"/>
      <c r="BE16" s="863"/>
      <c r="BF16" s="863"/>
      <c r="BG16" s="863"/>
      <c r="BH16" s="863">
        <f>IFERROR(__xludf.DUMMYFUNCTION("""COMPUTED_VALUE"""),0.868)</f>
        <v>0.868</v>
      </c>
      <c r="BI16" s="863"/>
      <c r="BJ16" s="863"/>
      <c r="BK16" s="863"/>
      <c r="BL16" s="863"/>
      <c r="BM16" s="863"/>
      <c r="BN16" s="863"/>
      <c r="BO16" s="863"/>
      <c r="BP16" s="880"/>
      <c r="BQ16" s="863"/>
      <c r="BR16" s="889" t="str">
        <f>IFERROR(__xludf.DUMMYFUNCTION("""COMPUTED_VALUE"""),"Legesse et al.")</f>
        <v>Legesse et al.</v>
      </c>
      <c r="BS16" s="883" t="str">
        <f>IFERROR(__xludf.DUMMYFUNCTION("""COMPUTED_VALUE"""),"Ethiopia")</f>
        <v>Ethiopia</v>
      </c>
      <c r="BT16" s="883" t="str">
        <f>IFERROR(__xludf.DUMMYFUNCTION("""COMPUTED_VALUE"""),"Mebendazole")</f>
        <v>Mebendazole</v>
      </c>
      <c r="BU16" s="883"/>
      <c r="BV16" s="883" t="str">
        <f>IFERROR(__xludf.DUMMYFUNCTION("""COMPUTED_VALUE"""),"Single")</f>
        <v>Single</v>
      </c>
      <c r="BW16" s="883" t="str">
        <f>IFERROR(__xludf.DUMMYFUNCTION("""COMPUTED_VALUE"""),"100 mg")</f>
        <v>100 mg</v>
      </c>
      <c r="BX16" s="883">
        <f>IFERROR(__xludf.DUMMYFUNCTION("""COMPUTED_VALUE"""),28.0)</f>
        <v>28</v>
      </c>
      <c r="BY16" s="883"/>
      <c r="BZ16" s="883">
        <f>IFERROR(__xludf.DUMMYFUNCTION("""COMPUTED_VALUE"""),2013.0)</f>
        <v>2013</v>
      </c>
      <c r="CA16" s="883" t="str">
        <f>IFERROR(__xludf.DUMMYFUNCTION("""COMPUTED_VALUE"""),"Male:54")</f>
        <v>Male:54</v>
      </c>
      <c r="CB16" s="883"/>
      <c r="CC16" s="883" t="str">
        <f>IFERROR(__xludf.DUMMYFUNCTION("""COMPUTED_VALUE"""),"Yes")</f>
        <v>Yes</v>
      </c>
      <c r="CD16" s="884">
        <f>IFERROR(__xludf.DUMMYFUNCTION("""COMPUTED_VALUE"""),0.965)</f>
        <v>0.965</v>
      </c>
      <c r="CE16" s="883" t="str">
        <f>IFERROR(__xludf.DUMMYFUNCTION("""COMPUTED_VALUE"""),"Yes")</f>
        <v>Yes</v>
      </c>
      <c r="CF16" s="883"/>
      <c r="CG16" s="884">
        <f>IFERROR(__xludf.DUMMYFUNCTION("""COMPUTED_VALUE"""),0.965)</f>
        <v>0.965</v>
      </c>
      <c r="CH16" s="883"/>
      <c r="CI16" s="883"/>
      <c r="CJ16" s="883"/>
      <c r="CK16" s="883"/>
      <c r="CL16" s="883"/>
      <c r="CM16" s="883"/>
      <c r="CN16" s="884">
        <f>IFERROR(__xludf.DUMMYFUNCTION("""COMPUTED_VALUE"""),0.999)</f>
        <v>0.999</v>
      </c>
      <c r="CO16" s="883"/>
      <c r="CP16" s="883"/>
      <c r="CQ16" s="883"/>
      <c r="CR16" s="883"/>
      <c r="CS16" s="883"/>
      <c r="CT16" s="883"/>
      <c r="CU16" s="883"/>
      <c r="CV16" s="863"/>
      <c r="CW16" s="863"/>
      <c r="CX16" s="863"/>
      <c r="CY16" s="863"/>
      <c r="CZ16" s="863"/>
      <c r="DA16" s="863"/>
      <c r="DB16" s="863"/>
      <c r="DC16" s="863"/>
      <c r="DD16" s="863"/>
      <c r="DE16" s="863"/>
    </row>
    <row r="17">
      <c r="A17" s="887" t="str">
        <f>IFERROR(__xludf.DUMMYFUNCTION("""COMPUTED_VALUE"""),"Anantaphruti et al.")</f>
        <v>Anantaphruti et al.</v>
      </c>
      <c r="B17" s="876" t="str">
        <f>IFERROR(__xludf.DUMMYFUNCTION("""COMPUTED_VALUE"""),"Thailand")</f>
        <v>Thailand</v>
      </c>
      <c r="C17" s="876" t="str">
        <f>IFERROR(__xludf.DUMMYFUNCTION("""COMPUTED_VALUE"""),"Albendazole")</f>
        <v>Albendazole</v>
      </c>
      <c r="D17" s="876" t="str">
        <f>IFERROR(__xludf.DUMMYFUNCTION("""COMPUTED_VALUE"""),"Single")</f>
        <v>Single</v>
      </c>
      <c r="E17" s="876" t="str">
        <f>IFERROR(__xludf.DUMMYFUNCTION("""COMPUTED_VALUE"""),"400 mg")</f>
        <v>400 mg</v>
      </c>
      <c r="F17" s="876">
        <f>IFERROR(__xludf.DUMMYFUNCTION("""COMPUTED_VALUE"""),211.0)</f>
        <v>211</v>
      </c>
      <c r="G17" s="876" t="str">
        <f>IFERROR(__xludf.DUMMYFUNCTION("""COMPUTED_VALUE"""),"5-78")</f>
        <v>5-78</v>
      </c>
      <c r="H17" s="876"/>
      <c r="I17" s="876">
        <f>IFERROR(__xludf.DUMMYFUNCTION("""COMPUTED_VALUE"""),2004.0)</f>
        <v>2004</v>
      </c>
      <c r="J17" s="876" t="str">
        <f>IFERROR(__xludf.DUMMYFUNCTION("""COMPUTED_VALUE"""),"excluded: Mixed hookworm and Trichuris-infected cases ")</f>
        <v>excluded: Mixed hookworm and Trichuris-infected cases </v>
      </c>
      <c r="K17" s="876"/>
      <c r="L17" s="876" t="str">
        <f>IFERROR(__xludf.DUMMYFUNCTION("""COMPUTED_VALUE"""),"No")</f>
        <v>No</v>
      </c>
      <c r="M17" s="876" t="str">
        <f>IFERROR(__xludf.DUMMYFUNCTION("""COMPUTED_VALUE"""),"No")</f>
        <v>No</v>
      </c>
      <c r="N17" s="877">
        <f>IFERROR(__xludf.DUMMYFUNCTION("""COMPUTED_VALUE"""),0.546)</f>
        <v>0.546</v>
      </c>
      <c r="O17" s="876"/>
      <c r="P17" s="876"/>
      <c r="Q17" s="876"/>
      <c r="R17" s="876"/>
      <c r="S17" s="876"/>
      <c r="T17" s="876"/>
      <c r="U17" s="876"/>
      <c r="V17" s="876"/>
      <c r="W17" s="876">
        <f>IFERROR(__xludf.DUMMYFUNCTION("""COMPUTED_VALUE"""),0.926)</f>
        <v>0.926</v>
      </c>
      <c r="X17" s="876"/>
      <c r="Y17" s="876"/>
      <c r="Z17" s="876"/>
      <c r="AA17" s="876"/>
      <c r="AB17" s="876"/>
      <c r="AC17" s="876"/>
      <c r="AD17" s="876"/>
      <c r="AE17" s="876" t="str">
        <f>IFERROR(__xludf.DUMMYFUNCTION("""COMPUTED_VALUE"""),"Cure rates were differed by racial grouping and were higher among the immigrants and lower among the Thais, ERR were relatively similar.")</f>
        <v>Cure rates were differed by racial grouping and were higher among the immigrants and lower among the Thais, ERR were relatively similar.</v>
      </c>
      <c r="AF17" s="876" t="str">
        <f>IFERROR(__xludf.DUMMYFUNCTION("""COMPUTED_VALUE"""),"• Kato-Katz method, polyethylene tube cultivation method, and Sasa’s modified Harada-Mori culture technique; Harada-Mori culture technique Thais: efficacy 27.8%
• Thais")</f>
        <v>• Kato-Katz method, polyethylene tube cultivation method, and Sasa’s modified Harada-Mori culture technique; Harada-Mori culture technique Thais: efficacy 27.8%
• Thais</v>
      </c>
      <c r="AG17" s="876" t="str">
        <f>IFERROR(__xludf.DUMMYFUNCTION("""COMPUTED_VALUE"""),"Anantaphruti M T, Nuamtanong S, Watthanakulpanich D, Maipanich W, Pubampen S, Sanguankiat S, et al. Responses to AlbendazoleTreatment for Hookworm Infection in Ethnic Thai and Immigrant in West-central Thailand. Journal of Health Science  [Internet]. 2003"&amp;"-2004 [cited 2015 Sep 29]: 53(4): 443-449.")</f>
        <v>Anantaphruti M T, Nuamtanong S, Watthanakulpanich D, Maipanich W, Pubampen S, Sanguankiat S, et al. Responses to AlbendazoleTreatment for Hookworm Infection in Ethnic Thai and Immigrant in West-central Thailand. Journal of Health Science  [Internet]. 2003-2004 [cited 2015 Sep 29]: 53(4): 443-449.</v>
      </c>
      <c r="AH17" s="876" t="str">
        <f>IFERROR(__xludf.DUMMYFUNCTION("""COMPUTED_VALUE"""),"x")</f>
        <v>x</v>
      </c>
      <c r="AI17" s="878"/>
      <c r="AJ17" s="888" t="str">
        <f>IFERROR(__xludf.DUMMYFUNCTION("""COMPUTED_VALUE"""),"Belizario et al.")</f>
        <v>Belizario et al.</v>
      </c>
      <c r="AK17" s="880"/>
      <c r="AL17" s="880" t="str">
        <f>IFERROR(__xludf.DUMMYFUNCTION("""COMPUTED_VALUE"""),"Philippines")</f>
        <v>Philippines</v>
      </c>
      <c r="AM17" s="880" t="str">
        <f>IFERROR(__xludf.DUMMYFUNCTION("""COMPUTED_VALUE"""),"Diethylcarbamazine")</f>
        <v>Diethylcarbamazine</v>
      </c>
      <c r="AN17" s="880" t="str">
        <f>IFERROR(__xludf.DUMMYFUNCTION("""COMPUTED_VALUE"""),"Single")</f>
        <v>Single</v>
      </c>
      <c r="AO17" s="880" t="str">
        <f>IFERROR(__xludf.DUMMYFUNCTION("""COMPUTED_VALUE"""),"150 mg")</f>
        <v>150 mg</v>
      </c>
      <c r="AP17" s="880">
        <f>IFERROR(__xludf.DUMMYFUNCTION("""COMPUTED_VALUE"""),151.0)</f>
        <v>151</v>
      </c>
      <c r="AQ17" s="880" t="str">
        <f>IFERROR(__xludf.DUMMYFUNCTION("""COMPUTED_VALUE"""),"Elementary School age 6-12 years old")</f>
        <v>Elementary School age 6-12 years old</v>
      </c>
      <c r="AR17" s="880" t="str">
        <f>IFERROR(__xludf.DUMMYFUNCTION("""COMPUTED_VALUE"""),"Male: 1199 Female:1087")</f>
        <v>Male: 1199 Female:1087</v>
      </c>
      <c r="AS17" s="880">
        <f>IFERROR(__xludf.DUMMYFUNCTION("""COMPUTED_VALUE"""),1998.0)</f>
        <v>1998</v>
      </c>
      <c r="AT17" s="880" t="str">
        <f>IFERROR(__xludf.DUMMYFUNCTION("""COMPUTED_VALUE"""),"Inclusion: male or female, age 6-12 years old, informed consent, ascarisis or trichuris eggs in stool samples, and compliance with protocol, requiring stool samples at the specified times after treatment Exclusions: previous hypersensitivity reaction to b"&amp;"enzimidazole, ivermection, diethylcarbamazine, or any related compound. Other helminths without the target helminths listed. diarrhoeal disease, reciept of any anthelminth in the two weeks before enrollment, reciepit of an anthelminth during the study per"&amp;"iod and concomitant infection or underlying disease compromising evaluation of the response to the medications being studied")</f>
        <v>Inclusion: male or female, age 6-12 years old, informed consent, ascarisis or trichuris eggs in stool samples, and compliance with protocol, requiring stool samples at the specified times after treatment Exclusions: previous hypersensitivity reaction to benzimidazole, ivermection, diethylcarbamazine, or any related compound. Other helminths without the target helminths listed. diarrhoeal disease, reciept of any anthelminth in the two weeks before enrollment, reciepit of an anthelminth during the study period and concomitant infection or underlying disease compromising evaluation of the response to the medications being studied</v>
      </c>
      <c r="AU17" s="880" t="str">
        <f>IFERROR(__xludf.DUMMYFUNCTION("""COMPUTED_VALUE"""),"Yes")</f>
        <v>Yes</v>
      </c>
      <c r="AV17" s="880" t="str">
        <f>IFERROR(__xludf.DUMMYFUNCTION("""COMPUTED_VALUE"""),"Yes")</f>
        <v>Yes</v>
      </c>
      <c r="AW17" s="881" t="str">
        <f>IFERROR(__xludf.DUMMYFUNCTION("""COMPUTED_VALUE"""),"randomized, placebo controlled, single-blind study")</f>
        <v>randomized, placebo controlled, single-blind study</v>
      </c>
      <c r="AX17" s="863">
        <f>IFERROR(__xludf.DUMMYFUNCTION("""COMPUTED_VALUE"""),0.026)</f>
        <v>0.026</v>
      </c>
      <c r="AY17" s="863">
        <f>IFERROR(__xludf.DUMMYFUNCTION("""COMPUTED_VALUE"""),0.026)</f>
        <v>0.026</v>
      </c>
      <c r="AZ17" s="863"/>
      <c r="BA17" s="863"/>
      <c r="BB17" s="863"/>
      <c r="BC17" s="863"/>
      <c r="BD17" s="863"/>
      <c r="BE17" s="863"/>
      <c r="BF17" s="863"/>
      <c r="BG17" s="863"/>
      <c r="BH17" s="863">
        <f>IFERROR(__xludf.DUMMYFUNCTION("""COMPUTED_VALUE"""),0.199)</f>
        <v>0.199</v>
      </c>
      <c r="BI17" s="863"/>
      <c r="BJ17" s="863"/>
      <c r="BK17" s="863"/>
      <c r="BL17" s="863"/>
      <c r="BM17" s="863"/>
      <c r="BN17" s="863"/>
      <c r="BO17" s="863"/>
      <c r="BP17" s="880"/>
      <c r="BQ17" s="863"/>
      <c r="BR17" s="889" t="str">
        <f>IFERROR(__xludf.DUMMYFUNCTION("""COMPUTED_VALUE"""),"Adugna et al.")</f>
        <v>Adugna et al.</v>
      </c>
      <c r="BS17" s="883" t="str">
        <f>IFERROR(__xludf.DUMMYFUNCTION("""COMPUTED_VALUE"""),"Ethiopia")</f>
        <v>Ethiopia</v>
      </c>
      <c r="BT17" s="883" t="str">
        <f>IFERROR(__xludf.DUMMYFUNCTION("""COMPUTED_VALUE"""),"Albendazole")</f>
        <v>Albendazole</v>
      </c>
      <c r="BU17" s="883"/>
      <c r="BV17" s="883" t="str">
        <f>IFERROR(__xludf.DUMMYFUNCTION("""COMPUTED_VALUE"""),"Single")</f>
        <v>Single</v>
      </c>
      <c r="BW17" s="883" t="str">
        <f>IFERROR(__xludf.DUMMYFUNCTION("""COMPUTED_VALUE"""),"400 mg")</f>
        <v>400 mg</v>
      </c>
      <c r="BX17" s="883">
        <f>IFERROR(__xludf.DUMMYFUNCTION("""COMPUTED_VALUE"""),162.0)</f>
        <v>162</v>
      </c>
      <c r="BY17" s="883" t="str">
        <f>IFERROR(__xludf.DUMMYFUNCTION("""COMPUTED_VALUE"""),"School Children")</f>
        <v>School Children</v>
      </c>
      <c r="BZ17" s="883">
        <f>IFERROR(__xludf.DUMMYFUNCTION("""COMPUTED_VALUE"""),2004.0)</f>
        <v>2004</v>
      </c>
      <c r="CA17" s="892">
        <f>IFERROR(__xludf.DUMMYFUNCTION("""COMPUTED_VALUE"""),3.636111111111111)</f>
        <v>3.636111111</v>
      </c>
      <c r="CB17" s="883" t="str">
        <f>IFERROR(__xludf.DUMMYFUNCTION("""COMPUTED_VALUE""")," ")</f>
        <v> </v>
      </c>
      <c r="CC17" s="883" t="str">
        <f>IFERROR(__xludf.DUMMYFUNCTION("""COMPUTED_VALUE"""),"Yes")</f>
        <v>Yes</v>
      </c>
      <c r="CD17" s="884">
        <f>IFERROR(__xludf.DUMMYFUNCTION("""COMPUTED_VALUE"""),0.839)</f>
        <v>0.839</v>
      </c>
      <c r="CE17" s="883" t="str">
        <f>IFERROR(__xludf.DUMMYFUNCTION("""COMPUTED_VALUE"""),"No")</f>
        <v>No</v>
      </c>
      <c r="CF17" s="883"/>
      <c r="CG17" s="883"/>
      <c r="CH17" s="883"/>
      <c r="CI17" s="883"/>
      <c r="CJ17" s="883"/>
      <c r="CK17" s="883"/>
      <c r="CL17" s="883"/>
      <c r="CM17" s="883" t="str">
        <f>IFERROR(__xludf.DUMMYFUNCTION("""COMPUTED_VALUE"""),"96.3%%")</f>
        <v>96.3%%</v>
      </c>
      <c r="CN17" s="883"/>
      <c r="CO17" s="883"/>
      <c r="CP17" s="883"/>
      <c r="CQ17" s="883"/>
      <c r="CR17" s="883"/>
      <c r="CS17" s="883"/>
      <c r="CT17" s="883"/>
      <c r="CU17" s="883"/>
      <c r="CV17" s="863"/>
      <c r="CW17" s="863"/>
      <c r="CX17" s="863"/>
      <c r="CY17" s="863"/>
      <c r="CZ17" s="863"/>
      <c r="DA17" s="863"/>
      <c r="DB17" s="863"/>
      <c r="DC17" s="863"/>
      <c r="DD17" s="863"/>
      <c r="DE17" s="863"/>
    </row>
    <row r="18">
      <c r="A18" s="887" t="str">
        <f>IFERROR(__xludf.DUMMYFUNCTION("""COMPUTED_VALUE"""),"Anantaphruti et al.")</f>
        <v>Anantaphruti et al.</v>
      </c>
      <c r="B18" s="876" t="str">
        <f>IFERROR(__xludf.DUMMYFUNCTION("""COMPUTED_VALUE"""),"Thailand")</f>
        <v>Thailand</v>
      </c>
      <c r="C18" s="876" t="str">
        <f>IFERROR(__xludf.DUMMYFUNCTION("""COMPUTED_VALUE"""),"Albendazole")</f>
        <v>Albendazole</v>
      </c>
      <c r="D18" s="876" t="str">
        <f>IFERROR(__xludf.DUMMYFUNCTION("""COMPUTED_VALUE"""),"Single")</f>
        <v>Single</v>
      </c>
      <c r="E18" s="876" t="str">
        <f>IFERROR(__xludf.DUMMYFUNCTION("""COMPUTED_VALUE"""),"400 mg")</f>
        <v>400 mg</v>
      </c>
      <c r="F18" s="876"/>
      <c r="G18" s="876" t="str">
        <f>IFERROR(__xludf.DUMMYFUNCTION("""COMPUTED_VALUE"""),"5-78")</f>
        <v>5-78</v>
      </c>
      <c r="H18" s="876"/>
      <c r="I18" s="876">
        <f>IFERROR(__xludf.DUMMYFUNCTION("""COMPUTED_VALUE"""),2004.0)</f>
        <v>2004</v>
      </c>
      <c r="J18" s="876" t="str">
        <f>IFERROR(__xludf.DUMMYFUNCTION("""COMPUTED_VALUE"""),"excluded: Mixed hookworm and Trichuris-infected cases ")</f>
        <v>excluded: Mixed hookworm and Trichuris-infected cases </v>
      </c>
      <c r="K18" s="876"/>
      <c r="L18" s="876" t="str">
        <f>IFERROR(__xludf.DUMMYFUNCTION("""COMPUTED_VALUE"""),"No")</f>
        <v>No</v>
      </c>
      <c r="M18" s="876" t="str">
        <f>IFERROR(__xludf.DUMMYFUNCTION("""COMPUTED_VALUE"""),"No")</f>
        <v>No</v>
      </c>
      <c r="N18" s="877">
        <f>IFERROR(__xludf.DUMMYFUNCTION("""COMPUTED_VALUE"""),0.65)</f>
        <v>0.65</v>
      </c>
      <c r="O18" s="876"/>
      <c r="P18" s="876"/>
      <c r="Q18" s="876"/>
      <c r="R18" s="876"/>
      <c r="S18" s="876"/>
      <c r="T18" s="876"/>
      <c r="U18" s="876"/>
      <c r="V18" s="876"/>
      <c r="W18" s="876">
        <f>IFERROR(__xludf.DUMMYFUNCTION("""COMPUTED_VALUE"""),0.96)</f>
        <v>0.96</v>
      </c>
      <c r="X18" s="876"/>
      <c r="Y18" s="876"/>
      <c r="Z18" s="876"/>
      <c r="AA18" s="876"/>
      <c r="AB18" s="876"/>
      <c r="AC18" s="876"/>
      <c r="AD18" s="876"/>
      <c r="AE18" s="876" t="str">
        <f>IFERROR(__xludf.DUMMYFUNCTION("""COMPUTED_VALUE"""),"Cure rates were differed by racial grouping and were higher among the immigrants and lower among the Thais, ERR were relatively similar.")</f>
        <v>Cure rates were differed by racial grouping and were higher among the immigrants and lower among the Thais, ERR were relatively similar.</v>
      </c>
      <c r="AF18" s="876" t="str">
        <f>IFERROR(__xludf.DUMMYFUNCTION("""COMPUTED_VALUE"""),"• Kato-Katz method, polyethylene tube cultivation method, and Sasa’s modified Harada-Mori culture technique
• Immigrants")</f>
        <v>• Kato-Katz method, polyethylene tube cultivation method, and Sasa’s modified Harada-Mori culture technique
• Immigrants</v>
      </c>
      <c r="AG18" s="876" t="str">
        <f>IFERROR(__xludf.DUMMYFUNCTION("""COMPUTED_VALUE"""),"Anantaphruti M T, Nuamtanong S, Watthanakulpanich D, Maipanich W, Pubampen S, Sanguankiat S, et al. Responses to AlbendazoleTreatment for Hookworm Infection in Ethnic Thai and Immigrant in West-central Thailand. Journal of Health Science  [Internet]. 2003"&amp;"-2004 [cited 2015 Sep 29]: 53(4): 443-449.")</f>
        <v>Anantaphruti M T, Nuamtanong S, Watthanakulpanich D, Maipanich W, Pubampen S, Sanguankiat S, et al. Responses to AlbendazoleTreatment for Hookworm Infection in Ethnic Thai and Immigrant in West-central Thailand. Journal of Health Science  [Internet]. 2003-2004 [cited 2015 Sep 29]: 53(4): 443-449.</v>
      </c>
      <c r="AH18" s="876" t="str">
        <f>IFERROR(__xludf.DUMMYFUNCTION("""COMPUTED_VALUE"""),"x")</f>
        <v>x</v>
      </c>
      <c r="AI18" s="878"/>
      <c r="AJ18" s="888" t="str">
        <f>IFERROR(__xludf.DUMMYFUNCTION("""COMPUTED_VALUE"""),"Belizario et al.")</f>
        <v>Belizario et al.</v>
      </c>
      <c r="AK18" s="880"/>
      <c r="AL18" s="880" t="str">
        <f>IFERROR(__xludf.DUMMYFUNCTION("""COMPUTED_VALUE"""),"Philippines")</f>
        <v>Philippines</v>
      </c>
      <c r="AM18" s="880" t="str">
        <f>IFERROR(__xludf.DUMMYFUNCTION("""COMPUTED_VALUE"""),"Albendazole &amp; Ivermectin")</f>
        <v>Albendazole &amp; Ivermectin</v>
      </c>
      <c r="AN18" s="880" t="str">
        <f>IFERROR(__xludf.DUMMYFUNCTION("""COMPUTED_VALUE"""),"Single")</f>
        <v>Single</v>
      </c>
      <c r="AO18" s="880" t="str">
        <f>IFERROR(__xludf.DUMMYFUNCTION("""COMPUTED_VALUE"""),"400 mg; 200 mg")</f>
        <v>400 mg; 200 mg</v>
      </c>
      <c r="AP18" s="880">
        <f>IFERROR(__xludf.DUMMYFUNCTION("""COMPUTED_VALUE"""),149.0)</f>
        <v>149</v>
      </c>
      <c r="AQ18" s="880" t="str">
        <f>IFERROR(__xludf.DUMMYFUNCTION("""COMPUTED_VALUE"""),"Elementary School age 6-12 years old")</f>
        <v>Elementary School age 6-12 years old</v>
      </c>
      <c r="AR18" s="880" t="str">
        <f>IFERROR(__xludf.DUMMYFUNCTION("""COMPUTED_VALUE"""),"Male: 1199 Female:1088")</f>
        <v>Male: 1199 Female:1088</v>
      </c>
      <c r="AS18" s="880">
        <f>IFERROR(__xludf.DUMMYFUNCTION("""COMPUTED_VALUE"""),1998.0)</f>
        <v>1998</v>
      </c>
      <c r="AT18" s="880" t="str">
        <f>IFERROR(__xludf.DUMMYFUNCTION("""COMPUTED_VALUE"""),"Inclusion: male or female, age 6-12 years old, informed consent, ascarisis or trichuris eggs in stool samples, and compliance with protocol, requiring stool samples at the specified times after treatment Exclusions: previous hypersensitivity reaction to b"&amp;"enzimidazole, ivermection, diethylcarbamazine, or any related compound. Other helminths without the target helminths listed. diarrhoeal disease, reciept of any anthelminth in the two weeks before enrollment, reciepit of an anthelminth during the study per"&amp;"iod and concomitant infection or underlying disease compromising evaluation of the response to the medications being studied")</f>
        <v>Inclusion: male or female, age 6-12 years old, informed consent, ascarisis or trichuris eggs in stool samples, and compliance with protocol, requiring stool samples at the specified times after treatment Exclusions: previous hypersensitivity reaction to benzimidazole, ivermection, diethylcarbamazine, or any related compound. Other helminths without the target helminths listed. diarrhoeal disease, reciept of any anthelminth in the two weeks before enrollment, reciepit of an anthelminth during the study period and concomitant infection or underlying disease compromising evaluation of the response to the medications being studied</v>
      </c>
      <c r="AU18" s="880" t="str">
        <f>IFERROR(__xludf.DUMMYFUNCTION("""COMPUTED_VALUE"""),"Yes")</f>
        <v>Yes</v>
      </c>
      <c r="AV18" s="880" t="str">
        <f>IFERROR(__xludf.DUMMYFUNCTION("""COMPUTED_VALUE"""),"Yes")</f>
        <v>Yes</v>
      </c>
      <c r="AW18" s="881" t="str">
        <f>IFERROR(__xludf.DUMMYFUNCTION("""COMPUTED_VALUE"""),"randomized, placebo controlled, single-blind study")</f>
        <v>randomized, placebo controlled, single-blind study</v>
      </c>
      <c r="AX18" s="863">
        <f>IFERROR(__xludf.DUMMYFUNCTION("""COMPUTED_VALUE"""),0.651)</f>
        <v>0.651</v>
      </c>
      <c r="AY18" s="863">
        <f>IFERROR(__xludf.DUMMYFUNCTION("""COMPUTED_VALUE"""),0.651)</f>
        <v>0.651</v>
      </c>
      <c r="AZ18" s="863"/>
      <c r="BA18" s="863"/>
      <c r="BB18" s="863"/>
      <c r="BC18" s="863"/>
      <c r="BD18" s="863"/>
      <c r="BE18" s="863"/>
      <c r="BF18" s="863"/>
      <c r="BG18" s="863"/>
      <c r="BH18" s="863">
        <f>IFERROR(__xludf.DUMMYFUNCTION("""COMPUTED_VALUE"""),0.975)</f>
        <v>0.975</v>
      </c>
      <c r="BI18" s="863"/>
      <c r="BJ18" s="863"/>
      <c r="BK18" s="863"/>
      <c r="BL18" s="863"/>
      <c r="BM18" s="863"/>
      <c r="BN18" s="863"/>
      <c r="BO18" s="863"/>
      <c r="BP18" s="880"/>
      <c r="BQ18" s="863"/>
      <c r="BR18" s="889" t="str">
        <f>IFERROR(__xludf.DUMMYFUNCTION("""COMPUTED_VALUE"""),"Adugna et al.")</f>
        <v>Adugna et al.</v>
      </c>
      <c r="BS18" s="883" t="str">
        <f>IFERROR(__xludf.DUMMYFUNCTION("""COMPUTED_VALUE"""),"Ethiopia")</f>
        <v>Ethiopia</v>
      </c>
      <c r="BT18" s="883" t="str">
        <f>IFERROR(__xludf.DUMMYFUNCTION("""COMPUTED_VALUE"""),"Mebendazole")</f>
        <v>Mebendazole</v>
      </c>
      <c r="BU18" s="883"/>
      <c r="BV18" s="883" t="str">
        <f>IFERROR(__xludf.DUMMYFUNCTION("""COMPUTED_VALUE"""),"Two")</f>
        <v>Two</v>
      </c>
      <c r="BW18" s="883" t="str">
        <f>IFERROR(__xludf.DUMMYFUNCTION("""COMPUTED_VALUE"""),"100 mg")</f>
        <v>100 mg</v>
      </c>
      <c r="BX18" s="883">
        <f>IFERROR(__xludf.DUMMYFUNCTION("""COMPUTED_VALUE"""),136.0)</f>
        <v>136</v>
      </c>
      <c r="BY18" s="883" t="str">
        <f>IFERROR(__xludf.DUMMYFUNCTION("""COMPUTED_VALUE"""),"School Children")</f>
        <v>School Children</v>
      </c>
      <c r="BZ18" s="883">
        <f>IFERROR(__xludf.DUMMYFUNCTION("""COMPUTED_VALUE"""),2004.0)</f>
        <v>2004</v>
      </c>
      <c r="CA18" s="892">
        <f>IFERROR(__xludf.DUMMYFUNCTION("""COMPUTED_VALUE"""),2.7576388888888888)</f>
        <v>2.757638889</v>
      </c>
      <c r="CB18" s="883"/>
      <c r="CC18" s="883" t="str">
        <f>IFERROR(__xludf.DUMMYFUNCTION("""COMPUTED_VALUE"""),"Yes")</f>
        <v>Yes</v>
      </c>
      <c r="CD18" s="884">
        <f>IFERROR(__xludf.DUMMYFUNCTION("""COMPUTED_VALUE"""),0.906)</f>
        <v>0.906</v>
      </c>
      <c r="CE18" s="883" t="str">
        <f>IFERROR(__xludf.DUMMYFUNCTION("""COMPUTED_VALUE"""),"No")</f>
        <v>No</v>
      </c>
      <c r="CF18" s="883"/>
      <c r="CG18" s="883"/>
      <c r="CH18" s="883"/>
      <c r="CI18" s="883"/>
      <c r="CJ18" s="883"/>
      <c r="CK18" s="883"/>
      <c r="CL18" s="883"/>
      <c r="CM18" s="884">
        <f>IFERROR(__xludf.DUMMYFUNCTION("""COMPUTED_VALUE"""),0.967)</f>
        <v>0.967</v>
      </c>
      <c r="CN18" s="883"/>
      <c r="CO18" s="883"/>
      <c r="CP18" s="883"/>
      <c r="CQ18" s="883"/>
      <c r="CR18" s="883"/>
      <c r="CS18" s="883"/>
      <c r="CT18" s="883"/>
      <c r="CU18" s="883"/>
      <c r="CV18" s="863"/>
      <c r="CW18" s="863"/>
      <c r="CX18" s="863"/>
      <c r="CY18" s="863"/>
      <c r="CZ18" s="863"/>
      <c r="DA18" s="863"/>
      <c r="DB18" s="863"/>
      <c r="DC18" s="863"/>
      <c r="DD18" s="863"/>
      <c r="DE18" s="863"/>
    </row>
    <row r="19">
      <c r="A19" s="887" t="str">
        <f>IFERROR(__xludf.DUMMYFUNCTION("""COMPUTED_VALUE"""),"Bartoloni et al.")</f>
        <v>Bartoloni et al.</v>
      </c>
      <c r="B19" s="876" t="str">
        <f>IFERROR(__xludf.DUMMYFUNCTION("""COMPUTED_VALUE"""),"Bolivia")</f>
        <v>Bolivia</v>
      </c>
      <c r="C19" s="876" t="str">
        <f>IFERROR(__xludf.DUMMYFUNCTION("""COMPUTED_VALUE"""),"Albendazole")</f>
        <v>Albendazole</v>
      </c>
      <c r="D19" s="876" t="str">
        <f>IFERROR(__xludf.DUMMYFUNCTION("""COMPUTED_VALUE"""),"Single")</f>
        <v>Single</v>
      </c>
      <c r="E19" s="876" t="str">
        <f>IFERROR(__xludf.DUMMYFUNCTION("""COMPUTED_VALUE"""),"400 mg")</f>
        <v>400 mg</v>
      </c>
      <c r="F19" s="876">
        <f>IFERROR(__xludf.DUMMYFUNCTION("""COMPUTED_VALUE"""),33.0)</f>
        <v>33</v>
      </c>
      <c r="G19" s="876">
        <f>IFERROR(__xludf.DUMMYFUNCTION("""COMPUTED_VALUE"""),42409.0)</f>
        <v>42409</v>
      </c>
      <c r="H19" s="876"/>
      <c r="I19" s="876">
        <f>IFERROR(__xludf.DUMMYFUNCTION("""COMPUTED_VALUE"""),1990.0)</f>
        <v>1990</v>
      </c>
      <c r="J19" s="876"/>
      <c r="K19" s="876" t="str">
        <f>IFERROR(__xludf.DUMMYFUNCTION("""COMPUTED_VALUE"""),"longitudinal study randomized")</f>
        <v>longitudinal study randomized</v>
      </c>
      <c r="L19" s="876" t="str">
        <f>IFERROR(__xludf.DUMMYFUNCTION("""COMPUTED_VALUE"""),"Yes")</f>
        <v>Yes</v>
      </c>
      <c r="M19" s="876" t="str">
        <f>IFERROR(__xludf.DUMMYFUNCTION("""COMPUTED_VALUE"""),"No")</f>
        <v>No</v>
      </c>
      <c r="N19" s="877">
        <f>IFERROR(__xludf.DUMMYFUNCTION("""COMPUTED_VALUE"""),0.818)</f>
        <v>0.818</v>
      </c>
      <c r="O19" s="876"/>
      <c r="P19" s="876"/>
      <c r="Q19" s="876"/>
      <c r="R19" s="876"/>
      <c r="S19" s="876"/>
      <c r="T19" s="876"/>
      <c r="U19" s="876"/>
      <c r="V19" s="876"/>
      <c r="W19" s="876">
        <f>IFERROR(__xludf.DUMMYFUNCTION("""COMPUTED_VALUE"""),0.928)</f>
        <v>0.928</v>
      </c>
      <c r="X19" s="876"/>
      <c r="Y19" s="876"/>
      <c r="Z19" s="876"/>
      <c r="AA19" s="876"/>
      <c r="AB19" s="876"/>
      <c r="AC19" s="876"/>
      <c r="AD19" s="876"/>
      <c r="AE19" s="876" t="str">
        <f>IFERROR(__xludf.DUMMYFUNCTION("""COMPUTED_VALUE"""),"Albendazoleshould be considered the drug of choice for mass deworming campaigns in the area.")</f>
        <v>Albendazoleshould be considered the drug of choice for mass deworming campaigns in the area.</v>
      </c>
      <c r="AF19" s="876" t="str">
        <f>IFERROR(__xludf.DUMMYFUNCTION("""COMPUTED_VALUE"""),"Kato-Katz method")</f>
        <v>Kato-Katz method</v>
      </c>
      <c r="AG19" s="876" t="str">
        <f>IFERROR(__xludf.DUMMYFUNCTION("""COMPUTED_VALUE"""),"Bartoloni A, Guglielmetti P, Cancrini G. “Comparitive efficacy of a single 400 mg dose of Albendazoleor Mebendazolein the treatment of nematode infections in children”. Tropical and Geographical Medicine (1993):114-116. Web.")</f>
        <v>Bartoloni A, Guglielmetti P, Cancrini G. “Comparitive efficacy of a single 400 mg dose of Albendazoleor Mebendazolein the treatment of nematode infections in children”. Tropical and Geographical Medicine (1993):114-116. Web.</v>
      </c>
      <c r="AH19" s="876"/>
      <c r="AI19" s="878"/>
      <c r="AJ19" s="888" t="str">
        <f>IFERROR(__xludf.DUMMYFUNCTION("""COMPUTED_VALUE"""),"Belizario et al.")</f>
        <v>Belizario et al.</v>
      </c>
      <c r="AK19" s="880"/>
      <c r="AL19" s="880" t="str">
        <f>IFERROR(__xludf.DUMMYFUNCTION("""COMPUTED_VALUE"""),"Philippines")</f>
        <v>Philippines</v>
      </c>
      <c r="AM19" s="880" t="str">
        <f>IFERROR(__xludf.DUMMYFUNCTION("""COMPUTED_VALUE"""),"Albendazole &amp; Diethylcarbamzine")</f>
        <v>Albendazole &amp; Diethylcarbamzine</v>
      </c>
      <c r="AN19" s="880" t="str">
        <f>IFERROR(__xludf.DUMMYFUNCTION("""COMPUTED_VALUE"""),"Single")</f>
        <v>Single</v>
      </c>
      <c r="AO19" s="880" t="str">
        <f>IFERROR(__xludf.DUMMYFUNCTION("""COMPUTED_VALUE"""),"400 mg; 150 mg")</f>
        <v>400 mg; 150 mg</v>
      </c>
      <c r="AP19" s="880">
        <f>IFERROR(__xludf.DUMMYFUNCTION("""COMPUTED_VALUE"""),156.0)</f>
        <v>156</v>
      </c>
      <c r="AQ19" s="880" t="str">
        <f>IFERROR(__xludf.DUMMYFUNCTION("""COMPUTED_VALUE"""),"Elementary School age 6-12 years old")</f>
        <v>Elementary School age 6-12 years old</v>
      </c>
      <c r="AR19" s="880" t="str">
        <f>IFERROR(__xludf.DUMMYFUNCTION("""COMPUTED_VALUE"""),"Male: 1199 Female:1089")</f>
        <v>Male: 1199 Female:1089</v>
      </c>
      <c r="AS19" s="880">
        <f>IFERROR(__xludf.DUMMYFUNCTION("""COMPUTED_VALUE"""),1998.0)</f>
        <v>1998</v>
      </c>
      <c r="AT19" s="880" t="str">
        <f>IFERROR(__xludf.DUMMYFUNCTION("""COMPUTED_VALUE"""),"Inclusion: male or female, age 6-12 years old, informed consent, ascarisis or trichuris eggs in stool samples, and compliance with protocol, requiring stool samples at the specified times after treatment Exclusions: previous hypersensitivity reaction to b"&amp;"enzimidazole, ivermection, diethylcarbamazine, or any related compound. Other helminths without the target helminths listed. diarrhoeal disease, reciept of any anthelminth in the two weeks before enrollment, reciepit of an anthelminth during the study per"&amp;"iod and concomitant infection or underlying disease compromising evaluation of the response to the medications being studied")</f>
        <v>Inclusion: male or female, age 6-12 years old, informed consent, ascarisis or trichuris eggs in stool samples, and compliance with protocol, requiring stool samples at the specified times after treatment Exclusions: previous hypersensitivity reaction to benzimidazole, ivermection, diethylcarbamazine, or any related compound. Other helminths without the target helminths listed. diarrhoeal disease, reciept of any anthelminth in the two weeks before enrollment, reciepit of an anthelminth during the study period and concomitant infection or underlying disease compromising evaluation of the response to the medications being studied</v>
      </c>
      <c r="AU19" s="880" t="str">
        <f>IFERROR(__xludf.DUMMYFUNCTION("""COMPUTED_VALUE"""),"Yes")</f>
        <v>Yes</v>
      </c>
      <c r="AV19" s="880" t="str">
        <f>IFERROR(__xludf.DUMMYFUNCTION("""COMPUTED_VALUE"""),"Yes")</f>
        <v>Yes</v>
      </c>
      <c r="AW19" s="881" t="str">
        <f>IFERROR(__xludf.DUMMYFUNCTION("""COMPUTED_VALUE"""),"randomized, placebo controlled, single-blind study")</f>
        <v>randomized, placebo controlled, single-blind study</v>
      </c>
      <c r="AX19" s="863">
        <f>IFERROR(__xludf.DUMMYFUNCTION("""COMPUTED_VALUE"""),0.192)</f>
        <v>0.192</v>
      </c>
      <c r="AY19" s="863">
        <f>IFERROR(__xludf.DUMMYFUNCTION("""COMPUTED_VALUE"""),0.192)</f>
        <v>0.192</v>
      </c>
      <c r="AZ19" s="863"/>
      <c r="BA19" s="863"/>
      <c r="BB19" s="863"/>
      <c r="BC19" s="863"/>
      <c r="BD19" s="863"/>
      <c r="BE19" s="863"/>
      <c r="BF19" s="863"/>
      <c r="BG19" s="863"/>
      <c r="BH19" s="863">
        <f>IFERROR(__xludf.DUMMYFUNCTION("""COMPUTED_VALUE"""),0.794)</f>
        <v>0.794</v>
      </c>
      <c r="BI19" s="863"/>
      <c r="BJ19" s="863"/>
      <c r="BK19" s="863"/>
      <c r="BL19" s="863"/>
      <c r="BM19" s="863"/>
      <c r="BN19" s="863"/>
      <c r="BO19" s="863"/>
      <c r="BP19" s="880"/>
      <c r="BQ19" s="863"/>
      <c r="BR19" s="889" t="str">
        <f>IFERROR(__xludf.DUMMYFUNCTION("""COMPUTED_VALUE"""),"Levecke et al.")</f>
        <v>Levecke et al.</v>
      </c>
      <c r="BS19" s="883" t="str">
        <f>IFERROR(__xludf.DUMMYFUNCTION("""COMPUTED_VALUE"""),"Brazil")</f>
        <v>Brazil</v>
      </c>
      <c r="BT19" s="883" t="str">
        <f>IFERROR(__xludf.DUMMYFUNCTION("""COMPUTED_VALUE"""),"Mebendazole")</f>
        <v>Mebendazole</v>
      </c>
      <c r="BU19" s="883"/>
      <c r="BV19" s="883" t="str">
        <f>IFERROR(__xludf.DUMMYFUNCTION("""COMPUTED_VALUE"""),"Single")</f>
        <v>Single</v>
      </c>
      <c r="BW19" s="883" t="str">
        <f>IFERROR(__xludf.DUMMYFUNCTION("""COMPUTED_VALUE"""),"500 mg")</f>
        <v>500 mg</v>
      </c>
      <c r="BX19" s="883">
        <f>IFERROR(__xludf.DUMMYFUNCTION("""COMPUTED_VALUE"""),133.0)</f>
        <v>133</v>
      </c>
      <c r="BY19" s="883">
        <f>IFERROR(__xludf.DUMMYFUNCTION("""COMPUTED_VALUE"""),9.3)</f>
        <v>9.3</v>
      </c>
      <c r="BZ19" s="883">
        <f>IFERROR(__xludf.DUMMYFUNCTION("""COMPUTED_VALUE"""),2012.0)</f>
        <v>2012</v>
      </c>
      <c r="CA19" s="893">
        <f>IFERROR(__xludf.DUMMYFUNCTION("""COMPUTED_VALUE"""),0.05416666666666667)</f>
        <v>0.05416666667</v>
      </c>
      <c r="CB19" s="883" t="str">
        <f>IFERROR(__xludf.DUMMYFUNCTION("""COMPUTED_VALUE""")," ")</f>
        <v> </v>
      </c>
      <c r="CC19" s="883" t="str">
        <f>IFERROR(__xludf.DUMMYFUNCTION("""COMPUTED_VALUE"""),"No")</f>
        <v>No</v>
      </c>
      <c r="CD19" s="884"/>
      <c r="CE19" s="883" t="str">
        <f>IFERROR(__xludf.DUMMYFUNCTION("""COMPUTED_VALUE"""),"No")</f>
        <v>No</v>
      </c>
      <c r="CF19" s="883"/>
      <c r="CG19" s="883"/>
      <c r="CH19" s="883"/>
      <c r="CI19" s="883"/>
      <c r="CJ19" s="883"/>
      <c r="CK19" s="883"/>
      <c r="CL19" s="883"/>
      <c r="CM19" s="884">
        <f>IFERROR(__xludf.DUMMYFUNCTION("""COMPUTED_VALUE"""),0.975)</f>
        <v>0.975</v>
      </c>
      <c r="CN19" s="883"/>
      <c r="CO19" s="883"/>
      <c r="CP19" s="883"/>
      <c r="CQ19" s="883"/>
      <c r="CR19" s="883"/>
      <c r="CS19" s="883"/>
      <c r="CT19" s="883" t="str">
        <f>IFERROR(__xludf.DUMMYFUNCTION("""COMPUTED_VALUE"""),"McMaster")</f>
        <v>McMaster</v>
      </c>
      <c r="CU19" s="883" t="str">
        <f>IFERROR(__xludf.DUMMYFUNCTION("""COMPUTED_VALUE"""),"x")</f>
        <v>x</v>
      </c>
      <c r="CV19" s="863"/>
      <c r="CW19" s="863"/>
      <c r="CX19" s="863"/>
      <c r="CY19" s="863"/>
      <c r="CZ19" s="863"/>
      <c r="DA19" s="863"/>
      <c r="DB19" s="863"/>
      <c r="DC19" s="863"/>
      <c r="DD19" s="863"/>
      <c r="DE19" s="863"/>
    </row>
    <row r="20">
      <c r="A20" s="887" t="str">
        <f>IFERROR(__xludf.DUMMYFUNCTION("""COMPUTED_VALUE"""),"Bartoloni et al.")</f>
        <v>Bartoloni et al.</v>
      </c>
      <c r="B20" s="876" t="str">
        <f>IFERROR(__xludf.DUMMYFUNCTION("""COMPUTED_VALUE"""),"Bolivia")</f>
        <v>Bolivia</v>
      </c>
      <c r="C20" s="876" t="str">
        <f>IFERROR(__xludf.DUMMYFUNCTION("""COMPUTED_VALUE"""),"Mebendazole")</f>
        <v>Mebendazole</v>
      </c>
      <c r="D20" s="876" t="str">
        <f>IFERROR(__xludf.DUMMYFUNCTION("""COMPUTED_VALUE"""),"Single")</f>
        <v>Single</v>
      </c>
      <c r="E20" s="876" t="str">
        <f>IFERROR(__xludf.DUMMYFUNCTION("""COMPUTED_VALUE"""),"400 mg")</f>
        <v>400 mg</v>
      </c>
      <c r="F20" s="876">
        <f>IFERROR(__xludf.DUMMYFUNCTION("""COMPUTED_VALUE"""),29.0)</f>
        <v>29</v>
      </c>
      <c r="G20" s="876">
        <f>IFERROR(__xludf.DUMMYFUNCTION("""COMPUTED_VALUE"""),42409.0)</f>
        <v>42409</v>
      </c>
      <c r="H20" s="876"/>
      <c r="I20" s="876">
        <f>IFERROR(__xludf.DUMMYFUNCTION("""COMPUTED_VALUE"""),1990.0)</f>
        <v>1990</v>
      </c>
      <c r="J20" s="876"/>
      <c r="K20" s="876" t="str">
        <f>IFERROR(__xludf.DUMMYFUNCTION("""COMPUTED_VALUE"""),"longitudinal study randomized")</f>
        <v>longitudinal study randomized</v>
      </c>
      <c r="L20" s="876" t="str">
        <f>IFERROR(__xludf.DUMMYFUNCTION("""COMPUTED_VALUE"""),"Yes")</f>
        <v>Yes</v>
      </c>
      <c r="M20" s="876" t="str">
        <f>IFERROR(__xludf.DUMMYFUNCTION("""COMPUTED_VALUE"""),"No")</f>
        <v>No</v>
      </c>
      <c r="N20" s="877">
        <f>IFERROR(__xludf.DUMMYFUNCTION("""COMPUTED_VALUE"""),0.172)</f>
        <v>0.172</v>
      </c>
      <c r="O20" s="876"/>
      <c r="P20" s="876"/>
      <c r="Q20" s="876"/>
      <c r="R20" s="876"/>
      <c r="S20" s="876"/>
      <c r="T20" s="876"/>
      <c r="U20" s="876"/>
      <c r="V20" s="876"/>
      <c r="W20" s="876">
        <f>IFERROR(__xludf.DUMMYFUNCTION("""COMPUTED_VALUE"""),0.624)</f>
        <v>0.624</v>
      </c>
      <c r="X20" s="876"/>
      <c r="Y20" s="876"/>
      <c r="Z20" s="876"/>
      <c r="AA20" s="876"/>
      <c r="AB20" s="876"/>
      <c r="AC20" s="876"/>
      <c r="AD20" s="876"/>
      <c r="AE20" s="876" t="str">
        <f>IFERROR(__xludf.DUMMYFUNCTION("""COMPUTED_VALUE"""),"Albendazoleshould be considered the drug of choice for mass deworming campaigns in the area.")</f>
        <v>Albendazoleshould be considered the drug of choice for mass deworming campaigns in the area.</v>
      </c>
      <c r="AF20" s="876" t="str">
        <f>IFERROR(__xludf.DUMMYFUNCTION("""COMPUTED_VALUE"""),"Kato-Katz method")</f>
        <v>Kato-Katz method</v>
      </c>
      <c r="AG20" s="876" t="str">
        <f>IFERROR(__xludf.DUMMYFUNCTION("""COMPUTED_VALUE"""),"Bartoloni A, Guglielmetti P, Cancrini G. “Comparitive efficacy of a single 400 mg dose of Albendazoleor Mebendazolein the treatment of nematode infections in children”. Tropical and Geographical Medicine (1993):114-116. Web.")</f>
        <v>Bartoloni A, Guglielmetti P, Cancrini G. “Comparitive efficacy of a single 400 mg dose of Albendazoleor Mebendazolein the treatment of nematode infections in children”. Tropical and Geographical Medicine (1993):114-116. Web.</v>
      </c>
      <c r="AH20" s="876"/>
      <c r="AI20" s="878"/>
      <c r="AJ20" s="888" t="str">
        <f>IFERROR(__xludf.DUMMYFUNCTION("""COMPUTED_VALUE"""),"Ndyomugyenyi et al.")</f>
        <v>Ndyomugyenyi et al.</v>
      </c>
      <c r="AK20" s="880" t="str">
        <f>IFERROR(__xludf.DUMMYFUNCTION("""COMPUTED_VALUE"""),"Ndyomugyenyi, Richard, Narcis Kabatereine, Annette Olsen, and Pascal Magnussen. ""Efficacy of Ivermectinand AlbendazoleAone and in Combination for Treatment of Soil-Transmitted Helminths in Pregnancy and Adverse Events: A Randomized Open Label Controlled "&amp;"Intervention Trial in Masindi District, Western Uganda."" The American Society of Tropical Medicine and Hygiene 79.6 (2008): 856-63. Web.")</f>
        <v>Ndyomugyenyi, Richard, Narcis Kabatereine, Annette Olsen, and Pascal Magnussen. "Efficacy of Ivermectinand AlbendazoleAone and in Combination for Treatment of Soil-Transmitted Helminths in Pregnancy and Adverse Events: A Randomized Open Label Controlled Intervention Trial in Masindi District, Western Uganda." The American Society of Tropical Medicine and Hygiene 79.6 (2008): 856-63. Web.</v>
      </c>
      <c r="AL20" s="880" t="str">
        <f>IFERROR(__xludf.DUMMYFUNCTION("""COMPUTED_VALUE"""),"Uganda")</f>
        <v>Uganda</v>
      </c>
      <c r="AM20" s="880" t="str">
        <f>IFERROR(__xludf.DUMMYFUNCTION("""COMPUTED_VALUE"""),"Albendazole")</f>
        <v>Albendazole</v>
      </c>
      <c r="AN20" s="880" t="str">
        <f>IFERROR(__xludf.DUMMYFUNCTION("""COMPUTED_VALUE"""),"Single")</f>
        <v>Single</v>
      </c>
      <c r="AO20" s="880" t="str">
        <f>IFERROR(__xludf.DUMMYFUNCTION("""COMPUTED_VALUE"""),"400 mg")</f>
        <v>400 mg</v>
      </c>
      <c r="AP20" s="880">
        <f>IFERROR(__xludf.DUMMYFUNCTION("""COMPUTED_VALUE"""),12.0)</f>
        <v>12</v>
      </c>
      <c r="AQ20" s="880">
        <f>IFERROR(__xludf.DUMMYFUNCTION("""COMPUTED_VALUE"""),24.0)</f>
        <v>24</v>
      </c>
      <c r="AR20" s="880" t="str">
        <f>IFERROR(__xludf.DUMMYFUNCTION("""COMPUTED_VALUE"""),"All Female")</f>
        <v>All Female</v>
      </c>
      <c r="AS20" s="880">
        <f>IFERROR(__xludf.DUMMYFUNCTION("""COMPUTED_VALUE"""),2008.0)</f>
        <v>2008</v>
      </c>
      <c r="AT20" s="880" t="str">
        <f>IFERROR(__xludf.DUMMYFUNCTION("""COMPUTED_VALUE"""),"Pregnant")</f>
        <v>Pregnant</v>
      </c>
      <c r="AU20" s="880" t="str">
        <f>IFERROR(__xludf.DUMMYFUNCTION("""COMPUTED_VALUE"""),"Yes")</f>
        <v>Yes</v>
      </c>
      <c r="AV20" s="880" t="str">
        <f>IFERROR(__xludf.DUMMYFUNCTION("""COMPUTED_VALUE"""),"No")</f>
        <v>No</v>
      </c>
      <c r="AW20" s="881" t="str">
        <f>IFERROR(__xludf.DUMMYFUNCTION("""COMPUTED_VALUE"""),"open label randomized controlled trial with four arms")</f>
        <v>open label randomized controlled trial with four arms</v>
      </c>
      <c r="AX20" s="863">
        <f>IFERROR(__xludf.DUMMYFUNCTION("""COMPUTED_VALUE"""),0.333)</f>
        <v>0.333</v>
      </c>
      <c r="AY20" s="863"/>
      <c r="AZ20" s="863">
        <f>IFERROR(__xludf.DUMMYFUNCTION("""COMPUTED_VALUE"""),0.333)</f>
        <v>0.333</v>
      </c>
      <c r="BA20" s="863"/>
      <c r="BB20" s="863"/>
      <c r="BC20" s="863"/>
      <c r="BD20" s="863"/>
      <c r="BE20" s="863"/>
      <c r="BF20" s="863"/>
      <c r="BG20" s="863"/>
      <c r="BH20" s="863"/>
      <c r="BI20" s="863"/>
      <c r="BJ20" s="863"/>
      <c r="BK20" s="863"/>
      <c r="BL20" s="863"/>
      <c r="BM20" s="863"/>
      <c r="BN20" s="863"/>
      <c r="BO20" s="863" t="str">
        <f>IFERROR(__xludf.DUMMYFUNCTION("""COMPUTED_VALUE"""),"Kato-Katz Method and Finger Pricked")</f>
        <v>Kato-Katz Method and Finger Pricked</v>
      </c>
      <c r="BP20" s="880"/>
      <c r="BQ20" s="863"/>
      <c r="BR20" s="889" t="str">
        <f>IFERROR(__xludf.DUMMYFUNCTION("""COMPUTED_VALUE"""),"Levecke et al.")</f>
        <v>Levecke et al.</v>
      </c>
      <c r="BS20" s="883" t="str">
        <f>IFERROR(__xludf.DUMMYFUNCTION("""COMPUTED_VALUE"""),"Brazil")</f>
        <v>Brazil</v>
      </c>
      <c r="BT20" s="883" t="str">
        <f>IFERROR(__xludf.DUMMYFUNCTION("""COMPUTED_VALUE"""),"Albendazole")</f>
        <v>Albendazole</v>
      </c>
      <c r="BU20" s="883"/>
      <c r="BV20" s="883" t="str">
        <f>IFERROR(__xludf.DUMMYFUNCTION("""COMPUTED_VALUE"""),"Single")</f>
        <v>Single</v>
      </c>
      <c r="BW20" s="883" t="str">
        <f>IFERROR(__xludf.DUMMYFUNCTION("""COMPUTED_VALUE"""),"400 mg")</f>
        <v>400 mg</v>
      </c>
      <c r="BX20" s="883">
        <f>IFERROR(__xludf.DUMMYFUNCTION("""COMPUTED_VALUE"""),50.0)</f>
        <v>50</v>
      </c>
      <c r="BY20" s="883">
        <f>IFERROR(__xludf.DUMMYFUNCTION("""COMPUTED_VALUE"""),9.8)</f>
        <v>9.8</v>
      </c>
      <c r="BZ20" s="883">
        <f>IFERROR(__xludf.DUMMYFUNCTION("""COMPUTED_VALUE"""),2012.0)</f>
        <v>2012</v>
      </c>
      <c r="CA20" s="883" t="str">
        <f>IFERROR(__xludf.DUMMYFUNCTION("""COMPUTED_VALUE"""),"Female:Male 1:00")</f>
        <v>Female:Male 1:00</v>
      </c>
      <c r="CB20" s="883"/>
      <c r="CC20" s="883" t="str">
        <f>IFERROR(__xludf.DUMMYFUNCTION("""COMPUTED_VALUE"""),"No")</f>
        <v>No</v>
      </c>
      <c r="CD20" s="884"/>
      <c r="CE20" s="883" t="str">
        <f>IFERROR(__xludf.DUMMYFUNCTION("""COMPUTED_VALUE"""),"No")</f>
        <v>No</v>
      </c>
      <c r="CF20" s="883"/>
      <c r="CG20" s="883"/>
      <c r="CH20" s="883"/>
      <c r="CI20" s="883"/>
      <c r="CJ20" s="883"/>
      <c r="CK20" s="883"/>
      <c r="CL20" s="883"/>
      <c r="CM20" s="884">
        <f>IFERROR(__xludf.DUMMYFUNCTION("""COMPUTED_VALUE"""),1.0)</f>
        <v>1</v>
      </c>
      <c r="CN20" s="883"/>
      <c r="CO20" s="883"/>
      <c r="CP20" s="883"/>
      <c r="CQ20" s="883"/>
      <c r="CR20" s="883"/>
      <c r="CS20" s="883"/>
      <c r="CT20" s="883"/>
      <c r="CU20" s="883" t="str">
        <f>IFERROR(__xludf.DUMMYFUNCTION("""COMPUTED_VALUE"""),"x")</f>
        <v>x</v>
      </c>
      <c r="CV20" s="863"/>
      <c r="CW20" s="863"/>
      <c r="CX20" s="863"/>
      <c r="CY20" s="863"/>
      <c r="CZ20" s="863"/>
      <c r="DA20" s="863"/>
      <c r="DB20" s="863"/>
      <c r="DC20" s="863"/>
      <c r="DD20" s="863"/>
      <c r="DE20" s="863"/>
    </row>
    <row r="21">
      <c r="A21" s="876" t="str">
        <f>IFERROR(__xludf.DUMMYFUNCTION("""COMPUTED_VALUE"""),"No")</f>
        <v>No</v>
      </c>
      <c r="B21" s="876" t="str">
        <f>IFERROR(__xludf.DUMMYFUNCTION("""COMPUTED_VALUE"""),"Haiti")</f>
        <v>Haiti</v>
      </c>
      <c r="C21" s="876" t="str">
        <f>IFERROR(__xludf.DUMMYFUNCTION("""COMPUTED_VALUE"""),"Placebo 250 mg Vitamin C")</f>
        <v>Placebo 250 mg Vitamin C</v>
      </c>
      <c r="D21" s="876"/>
      <c r="E21" s="876"/>
      <c r="F21" s="876">
        <f>IFERROR(__xludf.DUMMYFUNCTION("""COMPUTED_VALUE"""),200.0)</f>
        <v>200</v>
      </c>
      <c r="G21" s="876">
        <f>IFERROR(__xludf.DUMMYFUNCTION("""COMPUTED_VALUE"""),7.4)</f>
        <v>7.4</v>
      </c>
      <c r="H21" s="876" t="str">
        <f>IFERROR(__xludf.DUMMYFUNCTION("""COMPUTED_VALUE"""),"52:48")</f>
        <v>52:48</v>
      </c>
      <c r="I21" s="876">
        <f>IFERROR(__xludf.DUMMYFUNCTION("""COMPUTED_VALUE"""),1996.0)</f>
        <v>1996</v>
      </c>
      <c r="J21" s="876" t="str">
        <f>IFERROR(__xludf.DUMMYFUNCTION("""COMPUTED_VALUE"""),"Included : age -11 years, anthropometric measurements before and four months after treatment, stool specimans before and 5 weeks after treatment, random assignment to a treatment group and height weight and age within limits of the anthropometric databse")</f>
        <v>Included : age -11 years, anthropometric measurements before and four months after treatment, stool specimans before and 5 weeks after treatment, random assignment to a treatment group and height weight and age within limits of the anthropometric databse</v>
      </c>
      <c r="K21" s="876" t="str">
        <f>IFERROR(__xludf.DUMMYFUNCTION("""COMPUTED_VALUE"""),"randomized double-blind placebo controlled study")</f>
        <v>randomized double-blind placebo controlled study</v>
      </c>
      <c r="L21" s="876" t="str">
        <f>IFERROR(__xludf.DUMMYFUNCTION("""COMPUTED_VALUE"""),"Yes")</f>
        <v>Yes</v>
      </c>
      <c r="M21" s="876" t="str">
        <f>IFERROR(__xludf.DUMMYFUNCTION("""COMPUTED_VALUE"""),"Yes")</f>
        <v>Yes</v>
      </c>
      <c r="N21" s="877">
        <f>IFERROR(__xludf.DUMMYFUNCTION("""COMPUTED_VALUE"""),0.125)</f>
        <v>0.125</v>
      </c>
      <c r="O21" s="876"/>
      <c r="P21" s="876"/>
      <c r="Q21" s="876"/>
      <c r="R21" s="876"/>
      <c r="S21" s="876"/>
      <c r="T21" s="876"/>
      <c r="U21" s="876">
        <f>IFERROR(__xludf.DUMMYFUNCTION("""COMPUTED_VALUE"""),0.125)</f>
        <v>0.125</v>
      </c>
      <c r="V21" s="876"/>
      <c r="W21" s="876"/>
      <c r="X21" s="876"/>
      <c r="Y21" s="876"/>
      <c r="Z21" s="876"/>
      <c r="AA21" s="876">
        <f>IFERROR(__xludf.DUMMYFUNCTION("""COMPUTED_VALUE"""),0.125)</f>
        <v>0.125</v>
      </c>
      <c r="AB21" s="876"/>
      <c r="AC21" s="876">
        <f>IFERROR(__xludf.DUMMYFUNCTION("""COMPUTED_VALUE"""),0.615)</f>
        <v>0.615</v>
      </c>
      <c r="AD21" s="876"/>
      <c r="AE21" s="876" t="str">
        <f>IFERROR(__xludf.DUMMYFUNCTION("""COMPUTED_VALUE"""),"Combination of ALB and IVM reduced the prevalence and intesity of hookworm infection by 100 percent")</f>
        <v>Combination of ALB and IVM reduced the prevalence and intesity of hookworm infection by 100 percent</v>
      </c>
      <c r="AF21" s="876" t="str">
        <f>IFERROR(__xludf.DUMMYFUNCTION("""COMPUTED_VALUE"""),"• The ratio of M:F is based on the total number subjects in all three groups of the study.
• Kato-Katz Method       
• Children in combination therapy group who were infected with hookworm had significant increases in height and weight")</f>
        <v>• The ratio of M:F is based on the total number subjects in all three groups of the study.
• Kato-Katz Method       
• Children in combination therapy group who were infected with hookworm had significant increases in height and weight</v>
      </c>
      <c r="AG21" s="876" t="str">
        <f>IFERROR(__xludf.DUMMYFUNCTION("""COMPUTED_VALUE"""),"Beach, Michael J., Thomas G. Street, David G. Addiss, Rosette Prospere, Jacquelin M. Roberts, and Patrick J. Lammie. ""Assessment of Combined Ivermectin and Albendazolefor Treatment of Intestinal Helminth and Wuchereria Bancrofti Infections in Haitian Sch"&amp;"ool Children."" The American Society of Tropical Medicine and Hygiene 60.3 (1999): 479-86. Web.")</f>
        <v>Beach, Michael J., Thomas G. Street, David G. Addiss, Rosette Prospere, Jacquelin M. Roberts, and Patrick J. Lammie. "Assessment of Combined Ivermectin and Albendazolefor Treatment of Intestinal Helminth and Wuchereria Bancrofti Infections in Haitian School Children." The American Society of Tropical Medicine and Hygiene 60.3 (1999): 479-86. Web.</v>
      </c>
      <c r="AH21" s="876"/>
      <c r="AI21" s="878"/>
      <c r="AJ21" s="888" t="str">
        <f>IFERROR(__xludf.DUMMYFUNCTION("""COMPUTED_VALUE"""),"Ndyomugyenyi et al.")</f>
        <v>Ndyomugyenyi et al.</v>
      </c>
      <c r="AK21" s="880"/>
      <c r="AL21" s="880" t="str">
        <f>IFERROR(__xludf.DUMMYFUNCTION("""COMPUTED_VALUE"""),"Uganda")</f>
        <v>Uganda</v>
      </c>
      <c r="AM21" s="880" t="str">
        <f>IFERROR(__xludf.DUMMYFUNCTION("""COMPUTED_VALUE"""),"Ivermectin")</f>
        <v>Ivermectin</v>
      </c>
      <c r="AN21" s="880" t="str">
        <f>IFERROR(__xludf.DUMMYFUNCTION("""COMPUTED_VALUE"""),"Single")</f>
        <v>Single</v>
      </c>
      <c r="AO21" s="880" t="str">
        <f>IFERROR(__xludf.DUMMYFUNCTION("""COMPUTED_VALUE"""),"according to height")</f>
        <v>according to height</v>
      </c>
      <c r="AP21" s="880">
        <f>IFERROR(__xludf.DUMMYFUNCTION("""COMPUTED_VALUE"""),9.0)</f>
        <v>9</v>
      </c>
      <c r="AQ21" s="880">
        <f>IFERROR(__xludf.DUMMYFUNCTION("""COMPUTED_VALUE"""),23.1)</f>
        <v>23.1</v>
      </c>
      <c r="AR21" s="880" t="str">
        <f>IFERROR(__xludf.DUMMYFUNCTION("""COMPUTED_VALUE"""),"All Female")</f>
        <v>All Female</v>
      </c>
      <c r="AS21" s="880">
        <f>IFERROR(__xludf.DUMMYFUNCTION("""COMPUTED_VALUE"""),2008.0)</f>
        <v>2008</v>
      </c>
      <c r="AT21" s="880" t="str">
        <f>IFERROR(__xludf.DUMMYFUNCTION("""COMPUTED_VALUE"""),"Pregnant")</f>
        <v>Pregnant</v>
      </c>
      <c r="AU21" s="880" t="str">
        <f>IFERROR(__xludf.DUMMYFUNCTION("""COMPUTED_VALUE"""),"Yes")</f>
        <v>Yes</v>
      </c>
      <c r="AV21" s="880" t="str">
        <f>IFERROR(__xludf.DUMMYFUNCTION("""COMPUTED_VALUE"""),"No")</f>
        <v>No</v>
      </c>
      <c r="AW21" s="881" t="str">
        <f>IFERROR(__xludf.DUMMYFUNCTION("""COMPUTED_VALUE"""),"open label randomized controlled trial with four arms")</f>
        <v>open label randomized controlled trial with four arms</v>
      </c>
      <c r="AX21" s="863">
        <f>IFERROR(__xludf.DUMMYFUNCTION("""COMPUTED_VALUE"""),0.556)</f>
        <v>0.556</v>
      </c>
      <c r="AY21" s="863"/>
      <c r="AZ21" s="863">
        <f>IFERROR(__xludf.DUMMYFUNCTION("""COMPUTED_VALUE"""),0.556)</f>
        <v>0.556</v>
      </c>
      <c r="BA21" s="863"/>
      <c r="BB21" s="863"/>
      <c r="BC21" s="863"/>
      <c r="BD21" s="863"/>
      <c r="BE21" s="863"/>
      <c r="BF21" s="863"/>
      <c r="BG21" s="863"/>
      <c r="BH21" s="863"/>
      <c r="BI21" s="863"/>
      <c r="BJ21" s="863"/>
      <c r="BK21" s="863"/>
      <c r="BL21" s="863"/>
      <c r="BM21" s="863"/>
      <c r="BN21" s="863"/>
      <c r="BO21" s="863"/>
      <c r="BP21" s="880"/>
      <c r="BQ21" s="863"/>
      <c r="BR21" s="889" t="str">
        <f>IFERROR(__xludf.DUMMYFUNCTION("""COMPUTED_VALUE"""),"Levecke et al.")</f>
        <v>Levecke et al.</v>
      </c>
      <c r="BS21" s="883" t="str">
        <f>IFERROR(__xludf.DUMMYFUNCTION("""COMPUTED_VALUE"""),"Cameroon")</f>
        <v>Cameroon</v>
      </c>
      <c r="BT21" s="883" t="str">
        <f>IFERROR(__xludf.DUMMYFUNCTION("""COMPUTED_VALUE"""),"Mebendazole")</f>
        <v>Mebendazole</v>
      </c>
      <c r="BU21" s="883"/>
      <c r="BV21" s="883" t="str">
        <f>IFERROR(__xludf.DUMMYFUNCTION("""COMPUTED_VALUE"""),"Single")</f>
        <v>Single</v>
      </c>
      <c r="BW21" s="883" t="str">
        <f>IFERROR(__xludf.DUMMYFUNCTION("""COMPUTED_VALUE"""),"500 mg")</f>
        <v>500 mg</v>
      </c>
      <c r="BX21" s="883">
        <f>IFERROR(__xludf.DUMMYFUNCTION("""COMPUTED_VALUE"""),132.0)</f>
        <v>132</v>
      </c>
      <c r="BY21" s="883">
        <f>IFERROR(__xludf.DUMMYFUNCTION("""COMPUTED_VALUE"""),10.0)</f>
        <v>10</v>
      </c>
      <c r="BZ21" s="883">
        <f>IFERROR(__xludf.DUMMYFUNCTION("""COMPUTED_VALUE"""),2012.0)</f>
        <v>2012</v>
      </c>
      <c r="CA21" s="883" t="str">
        <f>IFERROR(__xludf.DUMMYFUNCTION("""COMPUTED_VALUE"""),"Female:Male 1:16")</f>
        <v>Female:Male 1:16</v>
      </c>
      <c r="CB21" s="883"/>
      <c r="CC21" s="883" t="str">
        <f>IFERROR(__xludf.DUMMYFUNCTION("""COMPUTED_VALUE"""),"No")</f>
        <v>No</v>
      </c>
      <c r="CD21" s="884"/>
      <c r="CE21" s="883" t="str">
        <f>IFERROR(__xludf.DUMMYFUNCTION("""COMPUTED_VALUE"""),"No")</f>
        <v>No</v>
      </c>
      <c r="CF21" s="883"/>
      <c r="CG21" s="883"/>
      <c r="CH21" s="883"/>
      <c r="CI21" s="883"/>
      <c r="CJ21" s="883"/>
      <c r="CK21" s="883"/>
      <c r="CL21" s="883"/>
      <c r="CM21" s="884">
        <f>IFERROR(__xludf.DUMMYFUNCTION("""COMPUTED_VALUE"""),0.998)</f>
        <v>0.998</v>
      </c>
      <c r="CN21" s="883"/>
      <c r="CO21" s="883"/>
      <c r="CP21" s="883"/>
      <c r="CQ21" s="883"/>
      <c r="CR21" s="883"/>
      <c r="CS21" s="883"/>
      <c r="CT21" s="883"/>
      <c r="CU21" s="883" t="str">
        <f>IFERROR(__xludf.DUMMYFUNCTION("""COMPUTED_VALUE"""),"x")</f>
        <v>x</v>
      </c>
      <c r="CV21" s="863"/>
      <c r="CW21" s="863"/>
      <c r="CX21" s="863"/>
      <c r="CY21" s="863"/>
      <c r="CZ21" s="863"/>
      <c r="DA21" s="863"/>
      <c r="DB21" s="863"/>
      <c r="DC21" s="863"/>
      <c r="DD21" s="863"/>
      <c r="DE21" s="863"/>
    </row>
    <row r="22">
      <c r="A22" s="887" t="str">
        <f>IFERROR(__xludf.DUMMYFUNCTION("""COMPUTED_VALUE"""),"Beach et al.")</f>
        <v>Beach et al.</v>
      </c>
      <c r="B22" s="876" t="str">
        <f>IFERROR(__xludf.DUMMYFUNCTION("""COMPUTED_VALUE"""),"Haiti")</f>
        <v>Haiti</v>
      </c>
      <c r="C22" s="876" t="str">
        <f>IFERROR(__xludf.DUMMYFUNCTION("""COMPUTED_VALUE"""),"Albendazole")</f>
        <v>Albendazole</v>
      </c>
      <c r="D22" s="876" t="str">
        <f>IFERROR(__xludf.DUMMYFUNCTION("""COMPUTED_VALUE"""),"Single")</f>
        <v>Single</v>
      </c>
      <c r="E22" s="876" t="str">
        <f>IFERROR(__xludf.DUMMYFUNCTION("""COMPUTED_VALUE"""),"400 mg")</f>
        <v>400 mg</v>
      </c>
      <c r="F22" s="876">
        <f>IFERROR(__xludf.DUMMYFUNCTION("""COMPUTED_VALUE"""),219.0)</f>
        <v>219</v>
      </c>
      <c r="G22" s="876">
        <f>IFERROR(__xludf.DUMMYFUNCTION("""COMPUTED_VALUE"""),7.4)</f>
        <v>7.4</v>
      </c>
      <c r="H22" s="876" t="str">
        <f>IFERROR(__xludf.DUMMYFUNCTION("""COMPUTED_VALUE"""),"52:48")</f>
        <v>52:48</v>
      </c>
      <c r="I22" s="876">
        <f>IFERROR(__xludf.DUMMYFUNCTION("""COMPUTED_VALUE"""),1996.0)</f>
        <v>1996</v>
      </c>
      <c r="J22" s="876" t="str">
        <f>IFERROR(__xludf.DUMMYFUNCTION("""COMPUTED_VALUE"""),"Included : age -11 years, anthropometric measurements before and four months after treatment, stool specimans before and 5 weeks after treatment, random assignment to a treatment group and height weight and age within limits of the anthropometric databse")</f>
        <v>Included : age -11 years, anthropometric measurements before and four months after treatment, stool specimans before and 5 weeks after treatment, random assignment to a treatment group and height weight and age within limits of the anthropometric databse</v>
      </c>
      <c r="K22" s="876" t="str">
        <f>IFERROR(__xludf.DUMMYFUNCTION("""COMPUTED_VALUE"""),"randomized double-blind placebo controlled study")</f>
        <v>randomized double-blind placebo controlled study</v>
      </c>
      <c r="L22" s="876" t="str">
        <f>IFERROR(__xludf.DUMMYFUNCTION("""COMPUTED_VALUE"""),"Yes")</f>
        <v>Yes</v>
      </c>
      <c r="M22" s="876" t="str">
        <f>IFERROR(__xludf.DUMMYFUNCTION("""COMPUTED_VALUE"""),"Yes")</f>
        <v>Yes</v>
      </c>
      <c r="N22" s="877">
        <f>IFERROR(__xludf.DUMMYFUNCTION("""COMPUTED_VALUE"""),1.0)</f>
        <v>1</v>
      </c>
      <c r="O22" s="876"/>
      <c r="P22" s="876"/>
      <c r="Q22" s="876"/>
      <c r="R22" s="876"/>
      <c r="S22" s="876"/>
      <c r="T22" s="876"/>
      <c r="U22" s="876">
        <f>IFERROR(__xludf.DUMMYFUNCTION("""COMPUTED_VALUE"""),1.0)</f>
        <v>1</v>
      </c>
      <c r="V22" s="876"/>
      <c r="W22" s="876"/>
      <c r="X22" s="876"/>
      <c r="Y22" s="876"/>
      <c r="Z22" s="876"/>
      <c r="AA22" s="876">
        <f>IFERROR(__xludf.DUMMYFUNCTION("""COMPUTED_VALUE"""),1.0)</f>
        <v>1</v>
      </c>
      <c r="AB22" s="876"/>
      <c r="AC22" s="876">
        <f>IFERROR(__xludf.DUMMYFUNCTION("""COMPUTED_VALUE"""),1.0)</f>
        <v>1</v>
      </c>
      <c r="AD22" s="876"/>
      <c r="AE22" s="876" t="str">
        <f>IFERROR(__xludf.DUMMYFUNCTION("""COMPUTED_VALUE"""),"Combination of ALB and IVM reduced the prevalence and intesity of hookworm infection by 100 percent")</f>
        <v>Combination of ALB and IVM reduced the prevalence and intesity of hookworm infection by 100 percent</v>
      </c>
      <c r="AF22" s="876" t="str">
        <f>IFERROR(__xludf.DUMMYFUNCTION("""COMPUTED_VALUE"""),"• The ratio of M:F is based on the total number subjects in all three groups of the study.
• Kato-Katz Method       
• Children in combination therapy group who were infected with hookworm had significant increases in height and weight")</f>
        <v>• The ratio of M:F is based on the total number subjects in all three groups of the study.
• Kato-Katz Method       
• Children in combination therapy group who were infected with hookworm had significant increases in height and weight</v>
      </c>
      <c r="AG22" s="876" t="str">
        <f>IFERROR(__xludf.DUMMYFUNCTION("""COMPUTED_VALUE"""),"Beach, Michael J., Thomas G. Street, David G. Addiss, Rosette Prospere, Jacquelin M. Roberts, and Patrick J. Lammie. ""Assessment of Combined Ivermectin and Albendazolefor Treatment of Intestinal Helminth and Wuchereria Bancrofti Infections in Haitian Sch"&amp;"ool Children."" The American Society of Tropical Medicine and Hygiene 60.3 (1999): 479-86. Web.")</f>
        <v>Beach, Michael J., Thomas G. Street, David G. Addiss, Rosette Prospere, Jacquelin M. Roberts, and Patrick J. Lammie. "Assessment of Combined Ivermectin and Albendazolefor Treatment of Intestinal Helminth and Wuchereria Bancrofti Infections in Haitian School Children." The American Society of Tropical Medicine and Hygiene 60.3 (1999): 479-86. Web.</v>
      </c>
      <c r="AH22" s="876"/>
      <c r="AI22" s="878"/>
      <c r="AJ22" s="888" t="str">
        <f>IFERROR(__xludf.DUMMYFUNCTION("""COMPUTED_VALUE"""),"Ndyomugyenyi et al.")</f>
        <v>Ndyomugyenyi et al.</v>
      </c>
      <c r="AK22" s="880"/>
      <c r="AL22" s="880" t="str">
        <f>IFERROR(__xludf.DUMMYFUNCTION("""COMPUTED_VALUE"""),"Uganda")</f>
        <v>Uganda</v>
      </c>
      <c r="AM22" s="880" t="str">
        <f>IFERROR(__xludf.DUMMYFUNCTION("""COMPUTED_VALUE"""),"Albendazole &amp; Ivermectin")</f>
        <v>Albendazole &amp; Ivermectin</v>
      </c>
      <c r="AN22" s="880" t="str">
        <f>IFERROR(__xludf.DUMMYFUNCTION("""COMPUTED_VALUE"""),"Single")</f>
        <v>Single</v>
      </c>
      <c r="AO22" s="880" t="str">
        <f>IFERROR(__xludf.DUMMYFUNCTION("""COMPUTED_VALUE"""),"400 mg; 400 mg")</f>
        <v>400 mg; 400 mg</v>
      </c>
      <c r="AP22" s="880">
        <f>IFERROR(__xludf.DUMMYFUNCTION("""COMPUTED_VALUE"""),17.0)</f>
        <v>17</v>
      </c>
      <c r="AQ22" s="880">
        <f>IFERROR(__xludf.DUMMYFUNCTION("""COMPUTED_VALUE"""),23.7)</f>
        <v>23.7</v>
      </c>
      <c r="AR22" s="880" t="str">
        <f>IFERROR(__xludf.DUMMYFUNCTION("""COMPUTED_VALUE"""),"All Female")</f>
        <v>All Female</v>
      </c>
      <c r="AS22" s="880">
        <f>IFERROR(__xludf.DUMMYFUNCTION("""COMPUTED_VALUE"""),2008.0)</f>
        <v>2008</v>
      </c>
      <c r="AT22" s="880" t="str">
        <f>IFERROR(__xludf.DUMMYFUNCTION("""COMPUTED_VALUE"""),"Pregnant")</f>
        <v>Pregnant</v>
      </c>
      <c r="AU22" s="880" t="str">
        <f>IFERROR(__xludf.DUMMYFUNCTION("""COMPUTED_VALUE"""),"Yes")</f>
        <v>Yes</v>
      </c>
      <c r="AV22" s="880" t="str">
        <f>IFERROR(__xludf.DUMMYFUNCTION("""COMPUTED_VALUE"""),"No")</f>
        <v>No</v>
      </c>
      <c r="AW22" s="881" t="str">
        <f>IFERROR(__xludf.DUMMYFUNCTION("""COMPUTED_VALUE"""),"open label randomized controlled trial with four arms")</f>
        <v>open label randomized controlled trial with four arms</v>
      </c>
      <c r="AX22" s="863">
        <f>IFERROR(__xludf.DUMMYFUNCTION("""COMPUTED_VALUE"""),0.706)</f>
        <v>0.706</v>
      </c>
      <c r="AY22" s="863"/>
      <c r="AZ22" s="863">
        <f>IFERROR(__xludf.DUMMYFUNCTION("""COMPUTED_VALUE"""),0.706)</f>
        <v>0.706</v>
      </c>
      <c r="BA22" s="863"/>
      <c r="BB22" s="863"/>
      <c r="BC22" s="863"/>
      <c r="BD22" s="863"/>
      <c r="BE22" s="863"/>
      <c r="BF22" s="863"/>
      <c r="BG22" s="863"/>
      <c r="BH22" s="863"/>
      <c r="BI22" s="863"/>
      <c r="BJ22" s="863"/>
      <c r="BK22" s="863"/>
      <c r="BL22" s="863"/>
      <c r="BM22" s="863"/>
      <c r="BN22" s="863"/>
      <c r="BO22" s="863"/>
      <c r="BP22" s="880"/>
      <c r="BQ22" s="863"/>
      <c r="BR22" s="889" t="str">
        <f>IFERROR(__xludf.DUMMYFUNCTION("""COMPUTED_VALUE"""),"Levecke et al.")</f>
        <v>Levecke et al.</v>
      </c>
      <c r="BS22" s="883" t="str">
        <f>IFERROR(__xludf.DUMMYFUNCTION("""COMPUTED_VALUE"""),"Cameroon")</f>
        <v>Cameroon</v>
      </c>
      <c r="BT22" s="883" t="str">
        <f>IFERROR(__xludf.DUMMYFUNCTION("""COMPUTED_VALUE"""),"Albendazole")</f>
        <v>Albendazole</v>
      </c>
      <c r="BU22" s="883"/>
      <c r="BV22" s="883" t="str">
        <f>IFERROR(__xludf.DUMMYFUNCTION("""COMPUTED_VALUE"""),"Single")</f>
        <v>Single</v>
      </c>
      <c r="BW22" s="883" t="str">
        <f>IFERROR(__xludf.DUMMYFUNCTION("""COMPUTED_VALUE"""),"400 mg")</f>
        <v>400 mg</v>
      </c>
      <c r="BX22" s="883">
        <f>IFERROR(__xludf.DUMMYFUNCTION("""COMPUTED_VALUE"""),298.0)</f>
        <v>298</v>
      </c>
      <c r="BY22" s="883">
        <f>IFERROR(__xludf.DUMMYFUNCTION("""COMPUTED_VALUE"""),10.4)</f>
        <v>10.4</v>
      </c>
      <c r="BZ22" s="883">
        <f>IFERROR(__xludf.DUMMYFUNCTION("""COMPUTED_VALUE"""),2012.0)</f>
        <v>2012</v>
      </c>
      <c r="CA22" s="883" t="str">
        <f>IFERROR(__xludf.DUMMYFUNCTION("""COMPUTED_VALUE"""),"Female: Male 0:77")</f>
        <v>Female: Male 0:77</v>
      </c>
      <c r="CB22" s="883"/>
      <c r="CC22" s="883" t="str">
        <f>IFERROR(__xludf.DUMMYFUNCTION("""COMPUTED_VALUE"""),"No")</f>
        <v>No</v>
      </c>
      <c r="CD22" s="884"/>
      <c r="CE22" s="883" t="str">
        <f>IFERROR(__xludf.DUMMYFUNCTION("""COMPUTED_VALUE"""),"No")</f>
        <v>No</v>
      </c>
      <c r="CF22" s="883"/>
      <c r="CG22" s="883"/>
      <c r="CH22" s="883"/>
      <c r="CI22" s="883"/>
      <c r="CJ22" s="883"/>
      <c r="CK22" s="883"/>
      <c r="CL22" s="883"/>
      <c r="CM22" s="884">
        <f>IFERROR(__xludf.DUMMYFUNCTION("""COMPUTED_VALUE"""),0.992)</f>
        <v>0.992</v>
      </c>
      <c r="CN22" s="883"/>
      <c r="CO22" s="883"/>
      <c r="CP22" s="883"/>
      <c r="CQ22" s="883"/>
      <c r="CR22" s="883"/>
      <c r="CS22" s="883"/>
      <c r="CT22" s="883"/>
      <c r="CU22" s="883" t="str">
        <f>IFERROR(__xludf.DUMMYFUNCTION("""COMPUTED_VALUE"""),"x")</f>
        <v>x</v>
      </c>
      <c r="CV22" s="863"/>
      <c r="CW22" s="863"/>
      <c r="CX22" s="863"/>
      <c r="CY22" s="863"/>
      <c r="CZ22" s="863"/>
      <c r="DA22" s="863"/>
      <c r="DB22" s="863"/>
      <c r="DC22" s="863"/>
      <c r="DD22" s="863"/>
      <c r="DE22" s="863"/>
    </row>
    <row r="23">
      <c r="A23" s="887" t="str">
        <f>IFERROR(__xludf.DUMMYFUNCTION("""COMPUTED_VALUE"""),"Beach et al.")</f>
        <v>Beach et al.</v>
      </c>
      <c r="B23" s="876" t="str">
        <f>IFERROR(__xludf.DUMMYFUNCTION("""COMPUTED_VALUE"""),"Haiti")</f>
        <v>Haiti</v>
      </c>
      <c r="C23" s="876" t="str">
        <f>IFERROR(__xludf.DUMMYFUNCTION("""COMPUTED_VALUE"""),"Ivermectin")</f>
        <v>Ivermectin</v>
      </c>
      <c r="D23" s="876" t="str">
        <f>IFERROR(__xludf.DUMMYFUNCTION("""COMPUTED_VALUE"""),"Single")</f>
        <v>Single</v>
      </c>
      <c r="E23" s="876" t="str">
        <f>IFERROR(__xludf.DUMMYFUNCTION("""COMPUTED_VALUE"""),"200-400 mg")</f>
        <v>200-400 mg</v>
      </c>
      <c r="F23" s="876">
        <f>IFERROR(__xludf.DUMMYFUNCTION("""COMPUTED_VALUE"""),216.0)</f>
        <v>216</v>
      </c>
      <c r="G23" s="876">
        <f>IFERROR(__xludf.DUMMYFUNCTION("""COMPUTED_VALUE"""),7.4)</f>
        <v>7.4</v>
      </c>
      <c r="H23" s="876" t="str">
        <f>IFERROR(__xludf.DUMMYFUNCTION("""COMPUTED_VALUE"""),"52:48")</f>
        <v>52:48</v>
      </c>
      <c r="I23" s="876">
        <f>IFERROR(__xludf.DUMMYFUNCTION("""COMPUTED_VALUE"""),1996.0)</f>
        <v>1996</v>
      </c>
      <c r="J23" s="876" t="str">
        <f>IFERROR(__xludf.DUMMYFUNCTION("""COMPUTED_VALUE"""),"Included : age -11 years, anthropometric measurements before and four months after treatment, stool specimans before and 5 weeks after treatment, random assignment to a treatment group and height weight and age within limits of the anthropometric databse")</f>
        <v>Included : age -11 years, anthropometric measurements before and four months after treatment, stool specimans before and 5 weeks after treatment, random assignment to a treatment group and height weight and age within limits of the anthropometric databse</v>
      </c>
      <c r="K23" s="876" t="str">
        <f>IFERROR(__xludf.DUMMYFUNCTION("""COMPUTED_VALUE"""),"community-based randomized single-blind trial")</f>
        <v>community-based randomized single-blind trial</v>
      </c>
      <c r="L23" s="876" t="str">
        <f>IFERROR(__xludf.DUMMYFUNCTION("""COMPUTED_VALUE"""),"Yes")</f>
        <v>Yes</v>
      </c>
      <c r="M23" s="876" t="str">
        <f>IFERROR(__xludf.DUMMYFUNCTION("""COMPUTED_VALUE"""),"Yes")</f>
        <v>Yes</v>
      </c>
      <c r="N23" s="877">
        <f>IFERROR(__xludf.DUMMYFUNCTION("""COMPUTED_VALUE"""),0.643)</f>
        <v>0.643</v>
      </c>
      <c r="O23" s="876"/>
      <c r="P23" s="876"/>
      <c r="Q23" s="876"/>
      <c r="R23" s="876"/>
      <c r="S23" s="876"/>
      <c r="T23" s="876"/>
      <c r="U23" s="876">
        <f>IFERROR(__xludf.DUMMYFUNCTION("""COMPUTED_VALUE"""),0.643)</f>
        <v>0.643</v>
      </c>
      <c r="V23" s="876"/>
      <c r="W23" s="876"/>
      <c r="X23" s="876"/>
      <c r="Y23" s="876"/>
      <c r="Z23" s="876"/>
      <c r="AA23" s="876">
        <f>IFERROR(__xludf.DUMMYFUNCTION("""COMPUTED_VALUE"""),0.643)</f>
        <v>0.643</v>
      </c>
      <c r="AB23" s="876"/>
      <c r="AC23" s="876">
        <f>IFERROR(__xludf.DUMMYFUNCTION("""COMPUTED_VALUE"""),0.777)</f>
        <v>0.777</v>
      </c>
      <c r="AD23" s="876"/>
      <c r="AE23" s="876" t="str">
        <f>IFERROR(__xludf.DUMMYFUNCTION("""COMPUTED_VALUE"""),"Combination of ALB and IVM reduced the prevalence and intesity of hookworm infection by 100 percent")</f>
        <v>Combination of ALB and IVM reduced the prevalence and intesity of hookworm infection by 100 percent</v>
      </c>
      <c r="AF23" s="876" t="str">
        <f>IFERROR(__xludf.DUMMYFUNCTION("""COMPUTED_VALUE"""),"• The ratio of M:F is based on the total number subjects in all three groups of the study.
• Kato-Katz Method       
• Children in combination therapy group who were infected with hookworm had significant increases in height and weight")</f>
        <v>• The ratio of M:F is based on the total number subjects in all three groups of the study.
• Kato-Katz Method       
• Children in combination therapy group who were infected with hookworm had significant increases in height and weight</v>
      </c>
      <c r="AG23" s="876" t="str">
        <f>IFERROR(__xludf.DUMMYFUNCTION("""COMPUTED_VALUE"""),"Beach, Michael J., Thomas G. Street, David G. Addiss, Rosette Prospere, Jacquelin M. Roberts, and Patrick J. Lammie. ""Assessment of Combined Ivermectin and Albendazolefor Treatment of Intestinal Helminth and Wuchereria Bancrofti Infections in Haitian Sch"&amp;"ool Children."" The American Society of Tropical Medicine and Hygiene 60.3 (1999): 479-86. Web.")</f>
        <v>Beach, Michael J., Thomas G. Street, David G. Addiss, Rosette Prospere, Jacquelin M. Roberts, and Patrick J. Lammie. "Assessment of Combined Ivermectin and Albendazolefor Treatment of Intestinal Helminth and Wuchereria Bancrofti Infections in Haitian School Children." The American Society of Tropical Medicine and Hygiene 60.3 (1999): 479-86. Web.</v>
      </c>
      <c r="AH23" s="876"/>
      <c r="AI23" s="878"/>
      <c r="AJ23" s="888" t="str">
        <f>IFERROR(__xludf.DUMMYFUNCTION("""COMPUTED_VALUE"""),"Adgenika et al.")</f>
        <v>Adgenika et al.</v>
      </c>
      <c r="AK23" s="880" t="str">
        <f>IFERROR(__xludf.DUMMYFUNCTION("""COMPUTED_VALUE"""),"Aegnika, Ayola A., Jeannot F. Zinsou, Saadou Issifou, Ulysse Ateba-Ngoa, Roland F. Kassa, Eliane N. Feugap, Yabo J. Honkpehedji, Jean-Claude Dejon Agobe, Hilaire M. Kenguele, Marguerite Massinga-Loembe, Slidji T. Agnandji, Benjamin Mordmuller, Michael Ram"&amp;"harter, Maria Yazdanbakhsh, Peter G. Kremsner, and Bertrand Lell. ""Randomized Controlled, Assessor-Blind Clinical Trial to Assess the Efficacy of Single- versus Repeated Dose Albendazoleto Treat Ascaris Lumbricoides, Trichuris Trichiura, and Hookworm Inf"&amp;"ection."" Antimicrobial Agents and Chemotherapy 58.5 (2014): 2535-540. Web.")</f>
        <v>Aegnika, Ayola A., Jeannot F. Zinsou, Saadou Issifou, Ulysse Ateba-Ngoa, Roland F. Kassa, Eliane N. Feugap, Yabo J. Honkpehedji, Jean-Claude Dejon Agobe, Hilaire M. Kenguele, Marguerite Massinga-Loembe, Slidji T. Agnandji, Benjamin Mordmuller, Michael Ramharter, Maria Yazdanbakhsh, Peter G. Kremsner, and Bertrand Lell. "Randomized Controlled, Assessor-Blind Clinical Trial to Assess the Efficacy of Single- versus Repeated Dose Albendazoleto Treat Ascaris Lumbricoides, Trichuris Trichiura, and Hookworm Infection." Antimicrobial Agents and Chemotherapy 58.5 (2014): 2535-540. Web.</v>
      </c>
      <c r="AL23" s="880" t="str">
        <f>IFERROR(__xludf.DUMMYFUNCTION("""COMPUTED_VALUE"""),"Gabon")</f>
        <v>Gabon</v>
      </c>
      <c r="AM23" s="880" t="str">
        <f>IFERROR(__xludf.DUMMYFUNCTION("""COMPUTED_VALUE"""),"Albendazole")</f>
        <v>Albendazole</v>
      </c>
      <c r="AN23" s="880" t="str">
        <f>IFERROR(__xludf.DUMMYFUNCTION("""COMPUTED_VALUE"""),"Single")</f>
        <v>Single</v>
      </c>
      <c r="AO23" s="880" t="str">
        <f>IFERROR(__xludf.DUMMYFUNCTION("""COMPUTED_VALUE"""),"400 mg")</f>
        <v>400 mg</v>
      </c>
      <c r="AP23" s="880">
        <f>IFERROR(__xludf.DUMMYFUNCTION("""COMPUTED_VALUE"""),50.0)</f>
        <v>50</v>
      </c>
      <c r="AQ23" s="880">
        <f>IFERROR(__xludf.DUMMYFUNCTION("""COMPUTED_VALUE"""),9.1)</f>
        <v>9.1</v>
      </c>
      <c r="AR23" s="880">
        <f>IFERROR(__xludf.DUMMYFUNCTION("""COMPUTED_VALUE"""),1.1)</f>
        <v>1.1</v>
      </c>
      <c r="AS23" s="880">
        <f>IFERROR(__xludf.DUMMYFUNCTION("""COMPUTED_VALUE"""),2011.0)</f>
        <v>2011</v>
      </c>
      <c r="AT23" s="880" t="str">
        <f>IFERROR(__xludf.DUMMYFUNCTION("""COMPUTED_VALUE"""),"Inclusion: age between 4 and 14 years old and a total of atleast 5 eggs or larvae of any of the three intestinal helminths, namely ascaris, trichuris, and hookworm. The cutoff of 5 eggs was chosen in order to improve specificity. Exclusion: known HIV infe"&amp;"ction, allergy to albendazole, severe anemia, and any other underlying severe physcial condition.")</f>
        <v>Inclusion: age between 4 and 14 years old and a total of atleast 5 eggs or larvae of any of the three intestinal helminths, namely ascaris, trichuris, and hookworm. The cutoff of 5 eggs was chosen in order to improve specificity. Exclusion: known HIV infection, allergy to albendazole, severe anemia, and any other underlying severe physcial condition.</v>
      </c>
      <c r="AU23" s="880" t="str">
        <f>IFERROR(__xludf.DUMMYFUNCTION("""COMPUTED_VALUE"""),"Yes")</f>
        <v>Yes</v>
      </c>
      <c r="AV23" s="880" t="str">
        <f>IFERROR(__xludf.DUMMYFUNCTION("""COMPUTED_VALUE"""),"Yes")</f>
        <v>Yes</v>
      </c>
      <c r="AW23" s="881" t="str">
        <f>IFERROR(__xludf.DUMMYFUNCTION("""COMPUTED_VALUE"""),"randomized controlled assessor blinded cliical trial")</f>
        <v>randomized controlled assessor blinded cliical trial</v>
      </c>
      <c r="AX23" s="863">
        <f>IFERROR(__xludf.DUMMYFUNCTION("""COMPUTED_VALUE"""),0.4)</f>
        <v>0.4</v>
      </c>
      <c r="AY23" s="863"/>
      <c r="AZ23" s="863"/>
      <c r="BA23" s="863"/>
      <c r="BB23" s="863"/>
      <c r="BC23" s="863"/>
      <c r="BD23" s="863"/>
      <c r="BE23" s="863">
        <f>IFERROR(__xludf.DUMMYFUNCTION("""COMPUTED_VALUE"""),0.4)</f>
        <v>0.4</v>
      </c>
      <c r="BF23" s="863"/>
      <c r="BG23" s="863"/>
      <c r="BH23" s="863">
        <f>IFERROR(__xludf.DUMMYFUNCTION("""COMPUTED_VALUE"""),0.07)</f>
        <v>0.07</v>
      </c>
      <c r="BI23" s="863"/>
      <c r="BJ23" s="863"/>
      <c r="BK23" s="863"/>
      <c r="BL23" s="863"/>
      <c r="BM23" s="863"/>
      <c r="BN23" s="863"/>
      <c r="BO23" s="863" t="str">
        <f>IFERROR(__xludf.DUMMYFUNCTION("""COMPUTED_VALUE"""),"Kato-Katz Method and Modifed Agar Protocol")</f>
        <v>Kato-Katz Method and Modifed Agar Protocol</v>
      </c>
      <c r="BP23" s="880"/>
      <c r="BQ23" s="863"/>
      <c r="BR23" s="889" t="str">
        <f>IFERROR(__xludf.DUMMYFUNCTION("""COMPUTED_VALUE"""),"Levecke et al.")</f>
        <v>Levecke et al.</v>
      </c>
      <c r="BS23" s="883" t="str">
        <f>IFERROR(__xludf.DUMMYFUNCTION("""COMPUTED_VALUE"""),"Ethiopia")</f>
        <v>Ethiopia</v>
      </c>
      <c r="BT23" s="883" t="str">
        <f>IFERROR(__xludf.DUMMYFUNCTION("""COMPUTED_VALUE"""),"Mebendazole")</f>
        <v>Mebendazole</v>
      </c>
      <c r="BU23" s="883"/>
      <c r="BV23" s="883" t="str">
        <f>IFERROR(__xludf.DUMMYFUNCTION("""COMPUTED_VALUE"""),"Single")</f>
        <v>Single</v>
      </c>
      <c r="BW23" s="883" t="str">
        <f>IFERROR(__xludf.DUMMYFUNCTION("""COMPUTED_VALUE"""),"500 mg")</f>
        <v>500 mg</v>
      </c>
      <c r="BX23" s="883">
        <f>IFERROR(__xludf.DUMMYFUNCTION("""COMPUTED_VALUE"""),279.0)</f>
        <v>279</v>
      </c>
      <c r="BY23" s="883">
        <f>IFERROR(__xludf.DUMMYFUNCTION("""COMPUTED_VALUE"""),11.5)</f>
        <v>11.5</v>
      </c>
      <c r="BZ23" s="883">
        <f>IFERROR(__xludf.DUMMYFUNCTION("""COMPUTED_VALUE"""),2012.0)</f>
        <v>2012</v>
      </c>
      <c r="CA23" s="883" t="str">
        <f>IFERROR(__xludf.DUMMYFUNCTION("""COMPUTED_VALUE"""),"Female:Male 0:89")</f>
        <v>Female:Male 0:89</v>
      </c>
      <c r="CB23" s="883"/>
      <c r="CC23" s="883" t="str">
        <f>IFERROR(__xludf.DUMMYFUNCTION("""COMPUTED_VALUE"""),"No")</f>
        <v>No</v>
      </c>
      <c r="CD23" s="884"/>
      <c r="CE23" s="883" t="str">
        <f>IFERROR(__xludf.DUMMYFUNCTION("""COMPUTED_VALUE"""),"No")</f>
        <v>No</v>
      </c>
      <c r="CF23" s="883"/>
      <c r="CG23" s="883"/>
      <c r="CH23" s="883"/>
      <c r="CI23" s="883"/>
      <c r="CJ23" s="883"/>
      <c r="CK23" s="883"/>
      <c r="CL23" s="883"/>
      <c r="CM23" s="884">
        <f>IFERROR(__xludf.DUMMYFUNCTION("""COMPUTED_VALUE"""),0.986)</f>
        <v>0.986</v>
      </c>
      <c r="CN23" s="883"/>
      <c r="CO23" s="883"/>
      <c r="CP23" s="883"/>
      <c r="CQ23" s="883"/>
      <c r="CR23" s="883"/>
      <c r="CS23" s="883"/>
      <c r="CT23" s="883"/>
      <c r="CU23" s="883" t="str">
        <f>IFERROR(__xludf.DUMMYFUNCTION("""COMPUTED_VALUE"""),"x")</f>
        <v>x</v>
      </c>
      <c r="CV23" s="863"/>
      <c r="CW23" s="863"/>
      <c r="CX23" s="863"/>
      <c r="CY23" s="863"/>
      <c r="CZ23" s="863"/>
      <c r="DA23" s="863"/>
      <c r="DB23" s="863"/>
      <c r="DC23" s="863"/>
      <c r="DD23" s="863"/>
      <c r="DE23" s="863"/>
    </row>
    <row r="24">
      <c r="A24" s="887" t="str">
        <f>IFERROR(__xludf.DUMMYFUNCTION("""COMPUTED_VALUE"""),"Beach et al.")</f>
        <v>Beach et al.</v>
      </c>
      <c r="B24" s="876" t="str">
        <f>IFERROR(__xludf.DUMMYFUNCTION("""COMPUTED_VALUE"""),"Haiti")</f>
        <v>Haiti</v>
      </c>
      <c r="C24" s="876" t="str">
        <f>IFERROR(__xludf.DUMMYFUNCTION("""COMPUTED_VALUE"""),"Albendazole &amp; Ivermectin")</f>
        <v>Albendazole &amp; Ivermectin</v>
      </c>
      <c r="D24" s="876" t="str">
        <f>IFERROR(__xludf.DUMMYFUNCTION("""COMPUTED_VALUE"""),"Single")</f>
        <v>Single</v>
      </c>
      <c r="E24" s="876" t="str">
        <f>IFERROR(__xludf.DUMMYFUNCTION("""COMPUTED_VALUE"""),"400 mg; 200-400 mg")</f>
        <v>400 mg; 200-400 mg</v>
      </c>
      <c r="F24" s="876">
        <f>IFERROR(__xludf.DUMMYFUNCTION("""COMPUTED_VALUE"""),218.0)</f>
        <v>218</v>
      </c>
      <c r="G24" s="876">
        <f>IFERROR(__xludf.DUMMYFUNCTION("""COMPUTED_VALUE"""),7.4)</f>
        <v>7.4</v>
      </c>
      <c r="H24" s="876" t="str">
        <f>IFERROR(__xludf.DUMMYFUNCTION("""COMPUTED_VALUE"""),"52:48")</f>
        <v>52:48</v>
      </c>
      <c r="I24" s="876">
        <f>IFERROR(__xludf.DUMMYFUNCTION("""COMPUTED_VALUE"""),1996.0)</f>
        <v>1996</v>
      </c>
      <c r="J24" s="876" t="str">
        <f>IFERROR(__xludf.DUMMYFUNCTION("""COMPUTED_VALUE"""),"Included : age -11 years, anthropometric measurements before and four months after treatment, stool specimans before and 5 weeks after treatment, random assignment to a treatment group and height weight and age within limits of the anthropometric databse")</f>
        <v>Included : age -11 years, anthropometric measurements before and four months after treatment, stool specimans before and 5 weeks after treatment, random assignment to a treatment group and height weight and age within limits of the anthropometric databse</v>
      </c>
      <c r="K24" s="876" t="str">
        <f>IFERROR(__xludf.DUMMYFUNCTION("""COMPUTED_VALUE"""),"randomized double-blind placebo controlled study")</f>
        <v>randomized double-blind placebo controlled study</v>
      </c>
      <c r="L24" s="876" t="str">
        <f>IFERROR(__xludf.DUMMYFUNCTION("""COMPUTED_VALUE"""),"Yes")</f>
        <v>Yes</v>
      </c>
      <c r="M24" s="876" t="str">
        <f>IFERROR(__xludf.DUMMYFUNCTION("""COMPUTED_VALUE"""),"Yes")</f>
        <v>Yes</v>
      </c>
      <c r="N24" s="877">
        <f>IFERROR(__xludf.DUMMYFUNCTION("""COMPUTED_VALUE"""),1.0)</f>
        <v>1</v>
      </c>
      <c r="O24" s="876"/>
      <c r="P24" s="876"/>
      <c r="Q24" s="876"/>
      <c r="R24" s="876"/>
      <c r="S24" s="876"/>
      <c r="T24" s="876"/>
      <c r="U24" s="876">
        <f>IFERROR(__xludf.DUMMYFUNCTION("""COMPUTED_VALUE"""),1.0)</f>
        <v>1</v>
      </c>
      <c r="V24" s="876"/>
      <c r="W24" s="876"/>
      <c r="X24" s="876"/>
      <c r="Y24" s="876"/>
      <c r="Z24" s="876"/>
      <c r="AA24" s="876">
        <f>IFERROR(__xludf.DUMMYFUNCTION("""COMPUTED_VALUE"""),1.0)</f>
        <v>1</v>
      </c>
      <c r="AB24" s="876"/>
      <c r="AC24" s="876">
        <f>IFERROR(__xludf.DUMMYFUNCTION("""COMPUTED_VALUE"""),1.0)</f>
        <v>1</v>
      </c>
      <c r="AD24" s="876"/>
      <c r="AE24" s="876" t="str">
        <f>IFERROR(__xludf.DUMMYFUNCTION("""COMPUTED_VALUE"""),"Combination of ALB and IVM reduced the prevalence and intesity of hookworm infection by 100 percent")</f>
        <v>Combination of ALB and IVM reduced the prevalence and intesity of hookworm infection by 100 percent</v>
      </c>
      <c r="AF24" s="876" t="str">
        <f>IFERROR(__xludf.DUMMYFUNCTION("""COMPUTED_VALUE"""),"• The ratio of M:F is based on the total number subjects in all three groups of the study.
• Kato-Katz Method       
• Children in combination therapy group who were infected with hookworm had significant increases in height and weight")</f>
        <v>• The ratio of M:F is based on the total number subjects in all three groups of the study.
• Kato-Katz Method       
• Children in combination therapy group who were infected with hookworm had significant increases in height and weight</v>
      </c>
      <c r="AG24" s="876" t="str">
        <f>IFERROR(__xludf.DUMMYFUNCTION("""COMPUTED_VALUE"""),"Beach, Michael J., Thomas G. Street, David G. Addiss, Rosette Prospere, Jacquelin M. Roberts, and Patrick J. Lammie. ""Assessment of Combined Ivermectin and Albendazolefor Treatment of Intestinal Helminth and Wuchereria Bancrofti Infections in Haitian Sch"&amp;"ool Children."" The American Society of Tropical Medicine and Hygiene 60.3 (1999): 479-86. Web.")</f>
        <v>Beach, Michael J., Thomas G. Street, David G. Addiss, Rosette Prospere, Jacquelin M. Roberts, and Patrick J. Lammie. "Assessment of Combined Ivermectin and Albendazolefor Treatment of Intestinal Helminth and Wuchereria Bancrofti Infections in Haitian School Children." The American Society of Tropical Medicine and Hygiene 60.3 (1999): 479-86. Web.</v>
      </c>
      <c r="AH24" s="876"/>
      <c r="AI24" s="878"/>
      <c r="AJ24" s="888" t="str">
        <f>IFERROR(__xludf.DUMMYFUNCTION("""COMPUTED_VALUE"""),"Adgenika et al.")</f>
        <v>Adgenika et al.</v>
      </c>
      <c r="AK24" s="880"/>
      <c r="AL24" s="880" t="str">
        <f>IFERROR(__xludf.DUMMYFUNCTION("""COMPUTED_VALUE"""),"Gabon")</f>
        <v>Gabon</v>
      </c>
      <c r="AM24" s="880" t="str">
        <f>IFERROR(__xludf.DUMMYFUNCTION("""COMPUTED_VALUE"""),"Albendazole")</f>
        <v>Albendazole</v>
      </c>
      <c r="AN24" s="880" t="str">
        <f>IFERROR(__xludf.DUMMYFUNCTION("""COMPUTED_VALUE"""),"Two")</f>
        <v>Two</v>
      </c>
      <c r="AO24" s="880" t="str">
        <f>IFERROR(__xludf.DUMMYFUNCTION("""COMPUTED_VALUE"""),"400 mg")</f>
        <v>400 mg</v>
      </c>
      <c r="AP24" s="880">
        <f>IFERROR(__xludf.DUMMYFUNCTION("""COMPUTED_VALUE"""),39.0)</f>
        <v>39</v>
      </c>
      <c r="AQ24" s="880">
        <f>IFERROR(__xludf.DUMMYFUNCTION("""COMPUTED_VALUE"""),8.9)</f>
        <v>8.9</v>
      </c>
      <c r="AR24" s="880">
        <f>IFERROR(__xludf.DUMMYFUNCTION("""COMPUTED_VALUE"""),1.1)</f>
        <v>1.1</v>
      </c>
      <c r="AS24" s="880">
        <f>IFERROR(__xludf.DUMMYFUNCTION("""COMPUTED_VALUE"""),2011.0)</f>
        <v>2011</v>
      </c>
      <c r="AT24" s="880" t="str">
        <f>IFERROR(__xludf.DUMMYFUNCTION("""COMPUTED_VALUE"""),"Inclusion: age between 4 and 14 years old and a total of atleast 5 eggs or larvae of any of the three intestinal helminths, namely ascaris, trichuris, and hookworm. The cutoff of 5 eggs was chosen in order to improve specificity. Exclusion: known HIV infe"&amp;"ction, allergy to albendazole, severe anemia, and any other underlying severe physcial condition.")</f>
        <v>Inclusion: age between 4 and 14 years old and a total of atleast 5 eggs or larvae of any of the three intestinal helminths, namely ascaris, trichuris, and hookworm. The cutoff of 5 eggs was chosen in order to improve specificity. Exclusion: known HIV infection, allergy to albendazole, severe anemia, and any other underlying severe physcial condition.</v>
      </c>
      <c r="AU24" s="880" t="str">
        <f>IFERROR(__xludf.DUMMYFUNCTION("""COMPUTED_VALUE"""),"Yes")</f>
        <v>Yes</v>
      </c>
      <c r="AV24" s="880" t="str">
        <f>IFERROR(__xludf.DUMMYFUNCTION("""COMPUTED_VALUE"""),"Yes")</f>
        <v>Yes</v>
      </c>
      <c r="AW24" s="881" t="str">
        <f>IFERROR(__xludf.DUMMYFUNCTION("""COMPUTED_VALUE"""),"randomized controlled assessor blinded cliical trial")</f>
        <v>randomized controlled assessor blinded cliical trial</v>
      </c>
      <c r="AX24" s="863">
        <f>IFERROR(__xludf.DUMMYFUNCTION("""COMPUTED_VALUE"""),0.67)</f>
        <v>0.67</v>
      </c>
      <c r="AY24" s="863"/>
      <c r="AZ24" s="863"/>
      <c r="BA24" s="863"/>
      <c r="BB24" s="863"/>
      <c r="BC24" s="863"/>
      <c r="BD24" s="863"/>
      <c r="BE24" s="863">
        <f>IFERROR(__xludf.DUMMYFUNCTION("""COMPUTED_VALUE"""),0.67)</f>
        <v>0.67</v>
      </c>
      <c r="BF24" s="863"/>
      <c r="BG24" s="863"/>
      <c r="BH24" s="863">
        <f>IFERROR(__xludf.DUMMYFUNCTION("""COMPUTED_VALUE"""),0.58)</f>
        <v>0.58</v>
      </c>
      <c r="BI24" s="863"/>
      <c r="BJ24" s="863"/>
      <c r="BK24" s="863"/>
      <c r="BL24" s="863"/>
      <c r="BM24" s="863"/>
      <c r="BN24" s="863"/>
      <c r="BO24" s="863"/>
      <c r="BP24" s="880"/>
      <c r="BQ24" s="863"/>
      <c r="BR24" s="889" t="str">
        <f>IFERROR(__xludf.DUMMYFUNCTION("""COMPUTED_VALUE"""),"Levecke et al.")</f>
        <v>Levecke et al.</v>
      </c>
      <c r="BS24" s="883" t="str">
        <f>IFERROR(__xludf.DUMMYFUNCTION("""COMPUTED_VALUE"""),"Ethiopia")</f>
        <v>Ethiopia</v>
      </c>
      <c r="BT24" s="883" t="str">
        <f>IFERROR(__xludf.DUMMYFUNCTION("""COMPUTED_VALUE"""),"Albendazole")</f>
        <v>Albendazole</v>
      </c>
      <c r="BU24" s="883"/>
      <c r="BV24" s="883" t="str">
        <f>IFERROR(__xludf.DUMMYFUNCTION("""COMPUTED_VALUE"""),"Single")</f>
        <v>Single</v>
      </c>
      <c r="BW24" s="883" t="str">
        <f>IFERROR(__xludf.DUMMYFUNCTION("""COMPUTED_VALUE"""),"400 mg")</f>
        <v>400 mg</v>
      </c>
      <c r="BX24" s="883">
        <f>IFERROR(__xludf.DUMMYFUNCTION("""COMPUTED_VALUE"""),151.0)</f>
        <v>151</v>
      </c>
      <c r="BY24" s="883">
        <f>IFERROR(__xludf.DUMMYFUNCTION("""COMPUTED_VALUE"""),11.3)</f>
        <v>11.3</v>
      </c>
      <c r="BZ24" s="883">
        <f>IFERROR(__xludf.DUMMYFUNCTION("""COMPUTED_VALUE"""),2012.0)</f>
        <v>2012</v>
      </c>
      <c r="CA24" s="883" t="str">
        <f>IFERROR(__xludf.DUMMYFUNCTION("""COMPUTED_VALUE"""),"Female:Male 1:60")</f>
        <v>Female:Male 1:60</v>
      </c>
      <c r="CB24" s="883"/>
      <c r="CC24" s="883" t="str">
        <f>IFERROR(__xludf.DUMMYFUNCTION("""COMPUTED_VALUE"""),"No")</f>
        <v>No</v>
      </c>
      <c r="CD24" s="884"/>
      <c r="CE24" s="883" t="str">
        <f>IFERROR(__xludf.DUMMYFUNCTION("""COMPUTED_VALUE"""),"No")</f>
        <v>No</v>
      </c>
      <c r="CF24" s="883"/>
      <c r="CG24" s="883"/>
      <c r="CH24" s="883"/>
      <c r="CI24" s="883"/>
      <c r="CJ24" s="883"/>
      <c r="CK24" s="883"/>
      <c r="CL24" s="883"/>
      <c r="CM24" s="884">
        <f>IFERROR(__xludf.DUMMYFUNCTION("""COMPUTED_VALUE"""),1.0)</f>
        <v>1</v>
      </c>
      <c r="CN24" s="883"/>
      <c r="CO24" s="883"/>
      <c r="CP24" s="883"/>
      <c r="CQ24" s="883"/>
      <c r="CR24" s="883"/>
      <c r="CS24" s="883"/>
      <c r="CT24" s="883"/>
      <c r="CU24" s="883" t="str">
        <f>IFERROR(__xludf.DUMMYFUNCTION("""COMPUTED_VALUE"""),"x")</f>
        <v>x</v>
      </c>
      <c r="CV24" s="863"/>
      <c r="CW24" s="863"/>
      <c r="CX24" s="863"/>
      <c r="CY24" s="863"/>
      <c r="CZ24" s="863"/>
      <c r="DA24" s="863"/>
      <c r="DB24" s="863"/>
      <c r="DC24" s="863"/>
      <c r="DD24" s="863"/>
      <c r="DE24" s="863"/>
    </row>
    <row r="25">
      <c r="A25" s="887" t="str">
        <f>IFERROR(__xludf.DUMMYFUNCTION("""COMPUTED_VALUE"""),"Clercq et al.")</f>
        <v>Clercq et al.</v>
      </c>
      <c r="B25" s="876" t="str">
        <f>IFERROR(__xludf.DUMMYFUNCTION("""COMPUTED_VALUE"""),"Mali")</f>
        <v>Mali</v>
      </c>
      <c r="C25" s="876" t="str">
        <f>IFERROR(__xludf.DUMMYFUNCTION("""COMPUTED_VALUE"""),"Mebendazole")</f>
        <v>Mebendazole</v>
      </c>
      <c r="D25" s="876" t="str">
        <f>IFERROR(__xludf.DUMMYFUNCTION("""COMPUTED_VALUE"""),"Single")</f>
        <v>Single</v>
      </c>
      <c r="E25" s="876" t="str">
        <f>IFERROR(__xludf.DUMMYFUNCTION("""COMPUTED_VALUE"""),"500 mg")</f>
        <v>500 mg</v>
      </c>
      <c r="F25" s="876">
        <f>IFERROR(__xludf.DUMMYFUNCTION("""COMPUTED_VALUE"""),95.0)</f>
        <v>95</v>
      </c>
      <c r="G25" s="876">
        <f>IFERROR(__xludf.DUMMYFUNCTION("""COMPUTED_VALUE"""),28.4)</f>
        <v>28.4</v>
      </c>
      <c r="H25" s="876">
        <f>IFERROR(__xludf.DUMMYFUNCTION("""COMPUTED_VALUE"""),0.9666666666666667)</f>
        <v>0.9666666667</v>
      </c>
      <c r="I25" s="876">
        <f>IFERROR(__xludf.DUMMYFUNCTION("""COMPUTED_VALUE"""),1995.0)</f>
        <v>1995</v>
      </c>
      <c r="J25" s="876" t="str">
        <f>IFERROR(__xludf.DUMMYFUNCTION("""COMPUTED_VALUE"""),"Pregnant women and children less than two years old were excluded from the study.")</f>
        <v>Pregnant women and children less than two years old were excluded from the study.</v>
      </c>
      <c r="K25" s="876" t="str">
        <f>IFERROR(__xludf.DUMMYFUNCTION("""COMPUTED_VALUE"""),"placebo controlled randomized")</f>
        <v>placebo controlled randomized</v>
      </c>
      <c r="L25" s="876" t="str">
        <f>IFERROR(__xludf.DUMMYFUNCTION("""COMPUTED_VALUE"""),"Yes")</f>
        <v>Yes</v>
      </c>
      <c r="M25" s="876" t="str">
        <f>IFERROR(__xludf.DUMMYFUNCTION("""COMPUTED_VALUE"""),"Yes")</f>
        <v>Yes</v>
      </c>
      <c r="N25" s="877">
        <f>IFERROR(__xludf.DUMMYFUNCTION("""COMPUTED_VALUE"""),0.229)</f>
        <v>0.229</v>
      </c>
      <c r="O25" s="876"/>
      <c r="P25" s="876"/>
      <c r="Q25" s="876"/>
      <c r="R25" s="876"/>
      <c r="S25" s="876"/>
      <c r="T25" s="876"/>
      <c r="U25" s="876"/>
      <c r="V25" s="876"/>
      <c r="W25" s="876">
        <f>IFERROR(__xludf.DUMMYFUNCTION("""COMPUTED_VALUE"""),0.065)</f>
        <v>0.065</v>
      </c>
      <c r="X25" s="876"/>
      <c r="Y25" s="876"/>
      <c r="Z25" s="876"/>
      <c r="AA25" s="876"/>
      <c r="AB25" s="876"/>
      <c r="AC25" s="876"/>
      <c r="AD25" s="876"/>
      <c r="AE25" s="876" t="str">
        <f>IFERROR(__xludf.DUMMYFUNCTION("""COMPUTED_VALUE"""),"The results confirmed the suspected poor efficacy of a single 500 mg dose of Mebendazoletreatment under local conditions.")</f>
        <v>The results confirmed the suspected poor efficacy of a single 500 mg dose of Mebendazoletreatment under local conditions.</v>
      </c>
      <c r="AF25" s="876" t="str">
        <f>IFERROR(__xludf.DUMMYFUNCTION("""COMPUTED_VALUE"""),"Kato-Katz method and during the month of ramadan ")</f>
        <v>Kato-Katz method and during the month of ramadan </v>
      </c>
      <c r="AG25" s="876" t="str">
        <f>IFERROR(__xludf.DUMMYFUNCTION("""COMPUTED_VALUE"""),"Clercq, D., Sacko, M., Behnke, J., Gilbert, F., Dorny, P., and Vercruysse, J. “Failure of Mebendazolein Treatment of Human Hookworm Infections in the Southern Region of Mali”. The American Society of Tropical Medicine and Hygeine 57 (1997): 25-30. Web.")</f>
        <v>Clercq, D., Sacko, M., Behnke, J., Gilbert, F., Dorny, P., and Vercruysse, J. “Failure of Mebendazolein Treatment of Human Hookworm Infections in the Southern Region of Mali”. The American Society of Tropical Medicine and Hygeine 57 (1997): 25-30. Web.</v>
      </c>
      <c r="AH25" s="876"/>
      <c r="AI25" s="878"/>
      <c r="AJ25" s="888" t="str">
        <f>IFERROR(__xludf.DUMMYFUNCTION("""COMPUTED_VALUE"""),"Adgenika et al.")</f>
        <v>Adgenika et al.</v>
      </c>
      <c r="AK25" s="880"/>
      <c r="AL25" s="880" t="str">
        <f>IFERROR(__xludf.DUMMYFUNCTION("""COMPUTED_VALUE"""),"Gabon")</f>
        <v>Gabon</v>
      </c>
      <c r="AM25" s="880" t="str">
        <f>IFERROR(__xludf.DUMMYFUNCTION("""COMPUTED_VALUE"""),"Albendazole")</f>
        <v>Albendazole</v>
      </c>
      <c r="AN25" s="880" t="str">
        <f>IFERROR(__xludf.DUMMYFUNCTION("""COMPUTED_VALUE"""),"Three")</f>
        <v>Three</v>
      </c>
      <c r="AO25" s="880" t="str">
        <f>IFERROR(__xludf.DUMMYFUNCTION("""COMPUTED_VALUE"""),"400 mg")</f>
        <v>400 mg</v>
      </c>
      <c r="AP25" s="880">
        <f>IFERROR(__xludf.DUMMYFUNCTION("""COMPUTED_VALUE"""),53.0)</f>
        <v>53</v>
      </c>
      <c r="AQ25" s="880">
        <f>IFERROR(__xludf.DUMMYFUNCTION("""COMPUTED_VALUE"""),8.2)</f>
        <v>8.2</v>
      </c>
      <c r="AR25" s="880">
        <f>IFERROR(__xludf.DUMMYFUNCTION("""COMPUTED_VALUE"""),1.9)</f>
        <v>1.9</v>
      </c>
      <c r="AS25" s="880">
        <f>IFERROR(__xludf.DUMMYFUNCTION("""COMPUTED_VALUE"""),2011.0)</f>
        <v>2011</v>
      </c>
      <c r="AT25" s="880" t="str">
        <f>IFERROR(__xludf.DUMMYFUNCTION("""COMPUTED_VALUE"""),"Inclusion: age between 4 and 14 years old and a total of atleast 5 eggs or larvae of any of the three intestinal helminths, namely ascaris, trichuris, and hookworm. The cutoff of 5 eggs was chosen in order to improve specificity. Exclusion: known HIV infe"&amp;"ction, allergy to albendazole, severe anemia, and any other underlying severe physcial condition.")</f>
        <v>Inclusion: age between 4 and 14 years old and a total of atleast 5 eggs or larvae of any of the three intestinal helminths, namely ascaris, trichuris, and hookworm. The cutoff of 5 eggs was chosen in order to improve specificity. Exclusion: known HIV infection, allergy to albendazole, severe anemia, and any other underlying severe physcial condition.</v>
      </c>
      <c r="AU25" s="880" t="str">
        <f>IFERROR(__xludf.DUMMYFUNCTION("""COMPUTED_VALUE"""),"Yes")</f>
        <v>Yes</v>
      </c>
      <c r="AV25" s="880" t="str">
        <f>IFERROR(__xludf.DUMMYFUNCTION("""COMPUTED_VALUE"""),"Yes")</f>
        <v>Yes</v>
      </c>
      <c r="AW25" s="881" t="str">
        <f>IFERROR(__xludf.DUMMYFUNCTION("""COMPUTED_VALUE"""),"randomized controlled assessor blinded cliical trial")</f>
        <v>randomized controlled assessor blinded cliical trial</v>
      </c>
      <c r="AX25" s="863">
        <f>IFERROR(__xludf.DUMMYFUNCTION("""COMPUTED_VALUE"""),0.83)</f>
        <v>0.83</v>
      </c>
      <c r="AY25" s="863"/>
      <c r="AZ25" s="863"/>
      <c r="BA25" s="863"/>
      <c r="BB25" s="863"/>
      <c r="BC25" s="863"/>
      <c r="BD25" s="863"/>
      <c r="BE25" s="863">
        <f>IFERROR(__xludf.DUMMYFUNCTION("""COMPUTED_VALUE"""),0.83)</f>
        <v>0.83</v>
      </c>
      <c r="BF25" s="863"/>
      <c r="BG25" s="863"/>
      <c r="BH25" s="863">
        <f>IFERROR(__xludf.DUMMYFUNCTION("""COMPUTED_VALUE"""),0.91)</f>
        <v>0.91</v>
      </c>
      <c r="BI25" s="863"/>
      <c r="BJ25" s="863"/>
      <c r="BK25" s="863"/>
      <c r="BL25" s="863"/>
      <c r="BM25" s="863"/>
      <c r="BN25" s="863"/>
      <c r="BO25" s="863"/>
      <c r="BP25" s="880"/>
      <c r="BQ25" s="863"/>
      <c r="BR25" s="889" t="str">
        <f>IFERROR(__xludf.DUMMYFUNCTION("""COMPUTED_VALUE"""),"Levecke et al.")</f>
        <v>Levecke et al.</v>
      </c>
      <c r="BS25" s="883" t="str">
        <f>IFERROR(__xludf.DUMMYFUNCTION("""COMPUTED_VALUE"""),"Tanzania")</f>
        <v>Tanzania</v>
      </c>
      <c r="BT25" s="883" t="str">
        <f>IFERROR(__xludf.DUMMYFUNCTION("""COMPUTED_VALUE"""),"Mebendazole")</f>
        <v>Mebendazole</v>
      </c>
      <c r="BU25" s="883"/>
      <c r="BV25" s="883" t="str">
        <f>IFERROR(__xludf.DUMMYFUNCTION("""COMPUTED_VALUE"""),"Single")</f>
        <v>Single</v>
      </c>
      <c r="BW25" s="883" t="str">
        <f>IFERROR(__xludf.DUMMYFUNCTION("""COMPUTED_VALUE"""),"500 mg")</f>
        <v>500 mg</v>
      </c>
      <c r="BX25" s="883">
        <f>IFERROR(__xludf.DUMMYFUNCTION("""COMPUTED_VALUE"""),378.0)</f>
        <v>378</v>
      </c>
      <c r="BY25" s="883">
        <f>IFERROR(__xludf.DUMMYFUNCTION("""COMPUTED_VALUE"""),10.7)</f>
        <v>10.7</v>
      </c>
      <c r="BZ25" s="883">
        <f>IFERROR(__xludf.DUMMYFUNCTION("""COMPUTED_VALUE"""),2012.0)</f>
        <v>2012</v>
      </c>
      <c r="CA25" s="883" t="str">
        <f>IFERROR(__xludf.DUMMYFUNCTION("""COMPUTED_VALUE"""),"Female:Male 1:20")</f>
        <v>Female:Male 1:20</v>
      </c>
      <c r="CB25" s="883"/>
      <c r="CC25" s="883" t="str">
        <f>IFERROR(__xludf.DUMMYFUNCTION("""COMPUTED_VALUE"""),"No")</f>
        <v>No</v>
      </c>
      <c r="CD25" s="884"/>
      <c r="CE25" s="883" t="str">
        <f>IFERROR(__xludf.DUMMYFUNCTION("""COMPUTED_VALUE"""),"No")</f>
        <v>No</v>
      </c>
      <c r="CF25" s="883"/>
      <c r="CG25" s="883"/>
      <c r="CH25" s="883"/>
      <c r="CI25" s="883"/>
      <c r="CJ25" s="883"/>
      <c r="CK25" s="883"/>
      <c r="CL25" s="883"/>
      <c r="CM25" s="884">
        <f>IFERROR(__xludf.DUMMYFUNCTION("""COMPUTED_VALUE"""),0.971)</f>
        <v>0.971</v>
      </c>
      <c r="CN25" s="883"/>
      <c r="CO25" s="883"/>
      <c r="CP25" s="883"/>
      <c r="CQ25" s="883"/>
      <c r="CR25" s="883"/>
      <c r="CS25" s="883"/>
      <c r="CT25" s="883"/>
      <c r="CU25" s="883" t="str">
        <f>IFERROR(__xludf.DUMMYFUNCTION("""COMPUTED_VALUE"""),"x")</f>
        <v>x</v>
      </c>
      <c r="CV25" s="863"/>
      <c r="CW25" s="863"/>
      <c r="CX25" s="863"/>
      <c r="CY25" s="863"/>
      <c r="CZ25" s="863"/>
      <c r="DA25" s="863"/>
      <c r="DB25" s="863"/>
      <c r="DC25" s="863"/>
      <c r="DD25" s="863"/>
      <c r="DE25" s="863"/>
    </row>
    <row r="26">
      <c r="A26" s="887" t="str">
        <f>IFERROR(__xludf.DUMMYFUNCTION("""COMPUTED_VALUE"""),"Clercq et al.")</f>
        <v>Clercq et al.</v>
      </c>
      <c r="B26" s="876" t="str">
        <f>IFERROR(__xludf.DUMMYFUNCTION("""COMPUTED_VALUE"""),"Mali")</f>
        <v>Mali</v>
      </c>
      <c r="C26" s="876" t="str">
        <f>IFERROR(__xludf.DUMMYFUNCTION("""COMPUTED_VALUE"""),"Pyrantel")</f>
        <v>Pyrantel</v>
      </c>
      <c r="D26" s="876"/>
      <c r="E26" s="876" t="str">
        <f>IFERROR(__xludf.DUMMYFUNCTION("""COMPUTED_VALUE"""),"20 mg/kg")</f>
        <v>20 mg/kg</v>
      </c>
      <c r="F26" s="876"/>
      <c r="G26" s="876">
        <f>IFERROR(__xludf.DUMMYFUNCTION("""COMPUTED_VALUE"""),24.8)</f>
        <v>24.8</v>
      </c>
      <c r="H26" s="876" t="str">
        <f>IFERROR(__xludf.DUMMYFUNCTION("""COMPUTED_VALUE"""),"Pyr: 6/23")</f>
        <v>Pyr: 6/23</v>
      </c>
      <c r="I26" s="876">
        <f>IFERROR(__xludf.DUMMYFUNCTION("""COMPUTED_VALUE"""),1995.0)</f>
        <v>1995</v>
      </c>
      <c r="J26" s="876"/>
      <c r="K26" s="876" t="str">
        <f>IFERROR(__xludf.DUMMYFUNCTION("""COMPUTED_VALUE"""),"placebo controlled randomized")</f>
        <v>placebo controlled randomized</v>
      </c>
      <c r="L26" s="876" t="str">
        <f>IFERROR(__xludf.DUMMYFUNCTION("""COMPUTED_VALUE"""),"Yes")</f>
        <v>Yes</v>
      </c>
      <c r="M26" s="876" t="str">
        <f>IFERROR(__xludf.DUMMYFUNCTION("""COMPUTED_VALUE"""),"Yes")</f>
        <v>Yes</v>
      </c>
      <c r="N26" s="877">
        <f>IFERROR(__xludf.DUMMYFUNCTION("""COMPUTED_VALUE"""),0.448)</f>
        <v>0.448</v>
      </c>
      <c r="O26" s="876"/>
      <c r="P26" s="876"/>
      <c r="Q26" s="876"/>
      <c r="R26" s="876"/>
      <c r="S26" s="876"/>
      <c r="T26" s="876"/>
      <c r="U26" s="876"/>
      <c r="V26" s="876"/>
      <c r="W26" s="876">
        <f>IFERROR(__xludf.DUMMYFUNCTION("""COMPUTED_VALUE"""),0.75)</f>
        <v>0.75</v>
      </c>
      <c r="X26" s="876"/>
      <c r="Y26" s="876"/>
      <c r="Z26" s="876"/>
      <c r="AA26" s="876"/>
      <c r="AB26" s="876"/>
      <c r="AC26" s="876"/>
      <c r="AD26" s="876"/>
      <c r="AE26" s="876" t="str">
        <f>IFERROR(__xludf.DUMMYFUNCTION("""COMPUTED_VALUE"""),"The results confirmed the suspected poor efficacy of a single 500 mg dose of Mebendazoletreatment under local conditions.")</f>
        <v>The results confirmed the suspected poor efficacy of a single 500 mg dose of Mebendazoletreatment under local conditions.</v>
      </c>
      <c r="AF26" s="876" t="str">
        <f>IFERROR(__xludf.DUMMYFUNCTION("""COMPUTED_VALUE"""),"Kato-Katz method and during the month of ramadan ")</f>
        <v>Kato-Katz method and during the month of ramadan </v>
      </c>
      <c r="AG26" s="876" t="str">
        <f>IFERROR(__xludf.DUMMYFUNCTION("""COMPUTED_VALUE"""),"Clercq, D., Sacko, M., Behnke, J., Gilbert, F., Dorny, P., and Vercruysse, J. “Failure of Mebendazolein Treatment of Human Hookworm Infections in the Southern Region of Mali”. The American Society of Tropical Medicine and Hygeine 57 (1997): 25-30. Web.")</f>
        <v>Clercq, D., Sacko, M., Behnke, J., Gilbert, F., Dorny, P., and Vercruysse, J. “Failure of Mebendazolein Treatment of Human Hookworm Infections in the Southern Region of Mali”. The American Society of Tropical Medicine and Hygeine 57 (1997): 25-30. Web.</v>
      </c>
      <c r="AH26" s="876"/>
      <c r="AI26" s="878"/>
      <c r="AJ26" s="888" t="str">
        <f>IFERROR(__xludf.DUMMYFUNCTION("""COMPUTED_VALUE"""),"Samuel et al.")</f>
        <v>Samuel et al.</v>
      </c>
      <c r="AK26" s="880" t="str">
        <f>IFERROR(__xludf.DUMMYFUNCTION("""COMPUTED_VALUE"""),"Samuel, AFikreslasie, Abraham Degarege, and Berhanu Erko. ""Efficacy and Side Effects of AlbendazoleCurrently in Use against Ascaris, Trichuris and Hookworm among School Children in Wondo Genet, Southern Ethiopia."" Parasitology International 63 (2014): 4"&amp;"50-55. Web.")</f>
        <v>Samuel, AFikreslasie, Abraham Degarege, and Berhanu Erko. "Efficacy and Side Effects of AlbendazoleCurrently in Use against Ascaris, Trichuris and Hookworm among School Children in Wondo Genet, Southern Ethiopia." Parasitology International 63 (2014): 450-55. Web.</v>
      </c>
      <c r="AL26" s="880" t="str">
        <f>IFERROR(__xludf.DUMMYFUNCTION("""COMPUTED_VALUE"""),"Ethiopia")</f>
        <v>Ethiopia</v>
      </c>
      <c r="AM26" s="880" t="str">
        <f>IFERROR(__xludf.DUMMYFUNCTION("""COMPUTED_VALUE"""),"Albendazole")</f>
        <v>Albendazole</v>
      </c>
      <c r="AN26" s="880" t="str">
        <f>IFERROR(__xludf.DUMMYFUNCTION("""COMPUTED_VALUE"""),"Single")</f>
        <v>Single</v>
      </c>
      <c r="AO26" s="880" t="str">
        <f>IFERROR(__xludf.DUMMYFUNCTION("""COMPUTED_VALUE"""),"400 mg")</f>
        <v>400 mg</v>
      </c>
      <c r="AP26" s="880">
        <f>IFERROR(__xludf.DUMMYFUNCTION("""COMPUTED_VALUE"""),245.0)</f>
        <v>245</v>
      </c>
      <c r="AQ26" s="880" t="str">
        <f>IFERROR(__xludf.DUMMYFUNCTION("""COMPUTED_VALUE"""),"5-16 years old")</f>
        <v>5-16 years old</v>
      </c>
      <c r="AR26" s="880" t="str">
        <f>IFERROR(__xludf.DUMMYFUNCTION("""COMPUTED_VALUE"""),"Male:167 Female:153")</f>
        <v>Male:167 Female:153</v>
      </c>
      <c r="AS26" s="880">
        <f>IFERROR(__xludf.DUMMYFUNCTION("""COMPUTED_VALUE"""),2011.0)</f>
        <v>2011</v>
      </c>
      <c r="AT26" s="880"/>
      <c r="AU26" s="880" t="str">
        <f>IFERROR(__xludf.DUMMYFUNCTION("""COMPUTED_VALUE"""),"No")</f>
        <v>No</v>
      </c>
      <c r="AV26" s="880" t="str">
        <f>IFERROR(__xludf.DUMMYFUNCTION("""COMPUTED_VALUE"""),"No")</f>
        <v>No</v>
      </c>
      <c r="AW26" s="881" t="str">
        <f>IFERROR(__xludf.DUMMYFUNCTION("""COMPUTED_VALUE"""),"MDA?")</f>
        <v>MDA?</v>
      </c>
      <c r="AX26" s="863">
        <f>IFERROR(__xludf.DUMMYFUNCTION("""COMPUTED_VALUE"""),0.308)</f>
        <v>0.308</v>
      </c>
      <c r="AY26" s="863"/>
      <c r="AZ26" s="863">
        <f>IFERROR(__xludf.DUMMYFUNCTION("""COMPUTED_VALUE"""),0.308)</f>
        <v>0.308</v>
      </c>
      <c r="BA26" s="863"/>
      <c r="BB26" s="863"/>
      <c r="BC26" s="863"/>
      <c r="BD26" s="863"/>
      <c r="BE26" s="863"/>
      <c r="BF26" s="863"/>
      <c r="BG26" s="863"/>
      <c r="BH26" s="863">
        <f>IFERROR(__xludf.DUMMYFUNCTION("""COMPUTED_VALUE"""),0.831)</f>
        <v>0.831</v>
      </c>
      <c r="BI26" s="863"/>
      <c r="BJ26" s="863"/>
      <c r="BK26" s="863"/>
      <c r="BL26" s="863"/>
      <c r="BM26" s="863"/>
      <c r="BN26" s="863"/>
      <c r="BO26" s="863" t="str">
        <f>IFERROR(__xludf.DUMMYFUNCTION("""COMPUTED_VALUE"""),"Kato-Katz Method")</f>
        <v>Kato-Katz Method</v>
      </c>
      <c r="BP26" s="880" t="str">
        <f>IFERROR(__xludf.DUMMYFUNCTION("""COMPUTED_VALUE"""),"x")</f>
        <v>x</v>
      </c>
      <c r="BQ26" s="863"/>
      <c r="BR26" s="889" t="str">
        <f>IFERROR(__xludf.DUMMYFUNCTION("""COMPUTED_VALUE"""),"Levecke et al.")</f>
        <v>Levecke et al.</v>
      </c>
      <c r="BS26" s="883" t="str">
        <f>IFERROR(__xludf.DUMMYFUNCTION("""COMPUTED_VALUE"""),"Tanzania")</f>
        <v>Tanzania</v>
      </c>
      <c r="BT26" s="883" t="str">
        <f>IFERROR(__xludf.DUMMYFUNCTION("""COMPUTED_VALUE"""),"Albendazole")</f>
        <v>Albendazole</v>
      </c>
      <c r="BU26" s="883"/>
      <c r="BV26" s="883" t="str">
        <f>IFERROR(__xludf.DUMMYFUNCTION("""COMPUTED_VALUE"""),"Single")</f>
        <v>Single</v>
      </c>
      <c r="BW26" s="883" t="str">
        <f>IFERROR(__xludf.DUMMYFUNCTION("""COMPUTED_VALUE"""),"400 mg")</f>
        <v>400 mg</v>
      </c>
      <c r="BX26" s="883">
        <f>IFERROR(__xludf.DUMMYFUNCTION("""COMPUTED_VALUE"""),279.0)</f>
        <v>279</v>
      </c>
      <c r="BY26" s="883">
        <f>IFERROR(__xludf.DUMMYFUNCTION("""COMPUTED_VALUE"""),9.7)</f>
        <v>9.7</v>
      </c>
      <c r="BZ26" s="883">
        <f>IFERROR(__xludf.DUMMYFUNCTION("""COMPUTED_VALUE"""),2012.0)</f>
        <v>2012</v>
      </c>
      <c r="CA26" s="883" t="str">
        <f>IFERROR(__xludf.DUMMYFUNCTION("""COMPUTED_VALUE"""),"Female:Male 0:87")</f>
        <v>Female:Male 0:87</v>
      </c>
      <c r="CB26" s="883"/>
      <c r="CC26" s="883" t="str">
        <f>IFERROR(__xludf.DUMMYFUNCTION("""COMPUTED_VALUE"""),"No")</f>
        <v>No</v>
      </c>
      <c r="CD26" s="884"/>
      <c r="CE26" s="883" t="str">
        <f>IFERROR(__xludf.DUMMYFUNCTION("""COMPUTED_VALUE"""),"No")</f>
        <v>No</v>
      </c>
      <c r="CF26" s="883"/>
      <c r="CG26" s="883"/>
      <c r="CH26" s="883"/>
      <c r="CI26" s="883"/>
      <c r="CJ26" s="883"/>
      <c r="CK26" s="883"/>
      <c r="CL26" s="883"/>
      <c r="CM26" s="884">
        <f>IFERROR(__xludf.DUMMYFUNCTION("""COMPUTED_VALUE"""),1.0)</f>
        <v>1</v>
      </c>
      <c r="CN26" s="883"/>
      <c r="CO26" s="883"/>
      <c r="CP26" s="883"/>
      <c r="CQ26" s="883"/>
      <c r="CR26" s="883"/>
      <c r="CS26" s="883"/>
      <c r="CT26" s="883"/>
      <c r="CU26" s="883" t="str">
        <f>IFERROR(__xludf.DUMMYFUNCTION("""COMPUTED_VALUE"""),"x")</f>
        <v>x</v>
      </c>
      <c r="CV26" s="863"/>
      <c r="CW26" s="863"/>
      <c r="CX26" s="863"/>
      <c r="CY26" s="863"/>
      <c r="CZ26" s="863"/>
      <c r="DA26" s="863"/>
      <c r="DB26" s="863"/>
      <c r="DC26" s="863"/>
      <c r="DD26" s="863"/>
      <c r="DE26" s="863"/>
    </row>
    <row r="27">
      <c r="A27" s="887" t="str">
        <f>IFERROR(__xludf.DUMMYFUNCTION("""COMPUTED_VALUE"""),"Clercq et al.")</f>
        <v>Clercq et al.</v>
      </c>
      <c r="B27" s="876" t="str">
        <f>IFERROR(__xludf.DUMMYFUNCTION("""COMPUTED_VALUE"""),"Mali")</f>
        <v>Mali</v>
      </c>
      <c r="C27" s="876" t="str">
        <f>IFERROR(__xludf.DUMMYFUNCTION("""COMPUTED_VALUE"""),"Placebo (Vit C)")</f>
        <v>Placebo (Vit C)</v>
      </c>
      <c r="D27" s="876"/>
      <c r="E27" s="876"/>
      <c r="F27" s="876"/>
      <c r="G27" s="876">
        <f>IFERROR(__xludf.DUMMYFUNCTION("""COMPUTED_VALUE"""),25.9)</f>
        <v>25.9</v>
      </c>
      <c r="H27" s="876" t="str">
        <f>IFERROR(__xludf.DUMMYFUNCTION("""COMPUTED_VALUE"""),"Placebo: 8/23")</f>
        <v>Placebo: 8/23</v>
      </c>
      <c r="I27" s="876">
        <f>IFERROR(__xludf.DUMMYFUNCTION("""COMPUTED_VALUE"""),1995.0)</f>
        <v>1995</v>
      </c>
      <c r="J27" s="876"/>
      <c r="K27" s="876" t="str">
        <f>IFERROR(__xludf.DUMMYFUNCTION("""COMPUTED_VALUE"""),"placebo controlled randomized")</f>
        <v>placebo controlled randomized</v>
      </c>
      <c r="L27" s="876" t="str">
        <f>IFERROR(__xludf.DUMMYFUNCTION("""COMPUTED_VALUE"""),"Yes")</f>
        <v>Yes</v>
      </c>
      <c r="M27" s="876" t="str">
        <f>IFERROR(__xludf.DUMMYFUNCTION("""COMPUTED_VALUE"""),"Yes")</f>
        <v>Yes</v>
      </c>
      <c r="N27" s="877">
        <f>IFERROR(__xludf.DUMMYFUNCTION("""COMPUTED_VALUE"""),0.226)</f>
        <v>0.226</v>
      </c>
      <c r="O27" s="876"/>
      <c r="P27" s="876"/>
      <c r="Q27" s="876"/>
      <c r="R27" s="876"/>
      <c r="S27" s="876"/>
      <c r="T27" s="876"/>
      <c r="U27" s="876"/>
      <c r="V27" s="876"/>
      <c r="W27" s="876">
        <f>IFERROR(__xludf.DUMMYFUNCTION("""COMPUTED_VALUE"""),0.327)</f>
        <v>0.327</v>
      </c>
      <c r="X27" s="876"/>
      <c r="Y27" s="876"/>
      <c r="Z27" s="876"/>
      <c r="AA27" s="876"/>
      <c r="AB27" s="876"/>
      <c r="AC27" s="876"/>
      <c r="AD27" s="876"/>
      <c r="AE27" s="876" t="str">
        <f>IFERROR(__xludf.DUMMYFUNCTION("""COMPUTED_VALUE"""),"The results confirmed the suspected poor efficacy of a single 500 mg dose of Mebendazoletreatment under local conditions.")</f>
        <v>The results confirmed the suspected poor efficacy of a single 500 mg dose of Mebendazoletreatment under local conditions.</v>
      </c>
      <c r="AF27" s="876" t="str">
        <f>IFERROR(__xludf.DUMMYFUNCTION("""COMPUTED_VALUE"""),"Kato-Katz method and during the month of ramadan ")</f>
        <v>Kato-Katz method and during the month of ramadan </v>
      </c>
      <c r="AG27" s="876" t="str">
        <f>IFERROR(__xludf.DUMMYFUNCTION("""COMPUTED_VALUE"""),"Clercq, D., Sacko, M., Behnke, J., Gilbert, F., Dorny, P., and Vercruysse, J. “Failure of Mebendazolein Treatment of Human Hookworm Infections in the Southern Region of Mali”. The American Society of Tropical Medicine and Hygeine 57 (1997): 25-30. Web.")</f>
        <v>Clercq, D., Sacko, M., Behnke, J., Gilbert, F., Dorny, P., and Vercruysse, J. “Failure of Mebendazolein Treatment of Human Hookworm Infections in the Southern Region of Mali”. The American Society of Tropical Medicine and Hygeine 57 (1997): 25-30. Web.</v>
      </c>
      <c r="AH27" s="876"/>
      <c r="AI27" s="878"/>
      <c r="AJ27" s="888" t="str">
        <f>IFERROR(__xludf.DUMMYFUNCTION("""COMPUTED_VALUE"""),"Legesse et al.")</f>
        <v>Legesse et al.</v>
      </c>
      <c r="AK27" s="880" t="str">
        <f>IFERROR(__xludf.DUMMYFUNCTION("""COMPUTED_VALUE"""),"Legesse, M., B. Erko, and G. Medhin. ""Comparative Efficacy of Albendazoleand Three Brands of Mebendazolein the Treatment of Ascariasis and Trichurasis."" East African Medical Journal 81.3 (2004): 134-38. Web.")</f>
        <v>Legesse, M., B. Erko, and G. Medhin. "Comparative Efficacy of Albendazoleand Three Brands of Mebendazolein the Treatment of Ascariasis and Trichurasis." East African Medical Journal 81.3 (2004): 134-38. Web.</v>
      </c>
      <c r="AL27" s="880" t="str">
        <f>IFERROR(__xludf.DUMMYFUNCTION("""COMPUTED_VALUE"""),"Ethiopia")</f>
        <v>Ethiopia</v>
      </c>
      <c r="AM27" s="880" t="str">
        <f>IFERROR(__xludf.DUMMYFUNCTION("""COMPUTED_VALUE"""),"Albendazole")</f>
        <v>Albendazole</v>
      </c>
      <c r="AN27" s="880" t="str">
        <f>IFERROR(__xludf.DUMMYFUNCTION("""COMPUTED_VALUE"""),"Single")</f>
        <v>Single</v>
      </c>
      <c r="AO27" s="880" t="str">
        <f>IFERROR(__xludf.DUMMYFUNCTION("""COMPUTED_VALUE"""),"400 mg")</f>
        <v>400 mg</v>
      </c>
      <c r="AP27" s="880">
        <f>IFERROR(__xludf.DUMMYFUNCTION("""COMPUTED_VALUE"""),130.0)</f>
        <v>130</v>
      </c>
      <c r="AQ27" s="880" t="str">
        <f>IFERROR(__xludf.DUMMYFUNCTION("""COMPUTED_VALUE"""),"6-19 years old")</f>
        <v>6-19 years old</v>
      </c>
      <c r="AR27" s="880" t="str">
        <f>IFERROR(__xludf.DUMMYFUNCTION("""COMPUTED_VALUE"""),"Male:387 Female:343")</f>
        <v>Male:387 Female:343</v>
      </c>
      <c r="AS27" s="880">
        <f>IFERROR(__xludf.DUMMYFUNCTION("""COMPUTED_VALUE"""),2003.0)</f>
        <v>2003</v>
      </c>
      <c r="AT27" s="880"/>
      <c r="AU27" s="880" t="str">
        <f>IFERROR(__xludf.DUMMYFUNCTION("""COMPUTED_VALUE"""),"Yes")</f>
        <v>Yes</v>
      </c>
      <c r="AV27" s="880" t="str">
        <f>IFERROR(__xludf.DUMMYFUNCTION("""COMPUTED_VALUE"""),"No")</f>
        <v>No</v>
      </c>
      <c r="AW27" s="881" t="str">
        <f>IFERROR(__xludf.DUMMYFUNCTION("""COMPUTED_VALUE"""),"randomized trial")</f>
        <v>randomized trial</v>
      </c>
      <c r="AX27" s="863">
        <f>IFERROR(__xludf.DUMMYFUNCTION("""COMPUTED_VALUE"""),0.171)</f>
        <v>0.171</v>
      </c>
      <c r="AY27" s="863"/>
      <c r="AZ27" s="863">
        <f>IFERROR(__xludf.DUMMYFUNCTION("""COMPUTED_VALUE"""),0.171)</f>
        <v>0.171</v>
      </c>
      <c r="BA27" s="863"/>
      <c r="BB27" s="863"/>
      <c r="BC27" s="863"/>
      <c r="BD27" s="863"/>
      <c r="BE27" s="863"/>
      <c r="BF27" s="863"/>
      <c r="BG27" s="863"/>
      <c r="BH27" s="863">
        <f>IFERROR(__xludf.DUMMYFUNCTION("""COMPUTED_VALUE"""),0.698)</f>
        <v>0.698</v>
      </c>
      <c r="BI27" s="863"/>
      <c r="BJ27" s="863"/>
      <c r="BK27" s="863"/>
      <c r="BL27" s="863"/>
      <c r="BM27" s="863"/>
      <c r="BN27" s="863"/>
      <c r="BO27" s="863" t="str">
        <f>IFERROR(__xludf.DUMMYFUNCTION("""COMPUTED_VALUE"""),"Kato Technique")</f>
        <v>Kato Technique</v>
      </c>
      <c r="BP27" s="880"/>
      <c r="BQ27" s="863"/>
      <c r="BR27" s="889" t="str">
        <f>IFERROR(__xludf.DUMMYFUNCTION("""COMPUTED_VALUE"""),"Levecke et al.")</f>
        <v>Levecke et al.</v>
      </c>
      <c r="BS27" s="883" t="str">
        <f>IFERROR(__xludf.DUMMYFUNCTION("""COMPUTED_VALUE"""),"Vietnam")</f>
        <v>Vietnam</v>
      </c>
      <c r="BT27" s="883" t="str">
        <f>IFERROR(__xludf.DUMMYFUNCTION("""COMPUTED_VALUE"""),"Mebendazole")</f>
        <v>Mebendazole</v>
      </c>
      <c r="BU27" s="883"/>
      <c r="BV27" s="883" t="str">
        <f>IFERROR(__xludf.DUMMYFUNCTION("""COMPUTED_VALUE"""),"Single")</f>
        <v>Single</v>
      </c>
      <c r="BW27" s="883" t="str">
        <f>IFERROR(__xludf.DUMMYFUNCTION("""COMPUTED_VALUE"""),"500 mg")</f>
        <v>500 mg</v>
      </c>
      <c r="BX27" s="883">
        <f>IFERROR(__xludf.DUMMYFUNCTION("""COMPUTED_VALUE"""),287.0)</f>
        <v>287</v>
      </c>
      <c r="BY27" s="883">
        <f>IFERROR(__xludf.DUMMYFUNCTION("""COMPUTED_VALUE"""),8.4)</f>
        <v>8.4</v>
      </c>
      <c r="BZ27" s="883">
        <f>IFERROR(__xludf.DUMMYFUNCTION("""COMPUTED_VALUE"""),2012.0)</f>
        <v>2012</v>
      </c>
      <c r="CA27" s="883" t="str">
        <f>IFERROR(__xludf.DUMMYFUNCTION("""COMPUTED_VALUE"""),"Female:Male 0:88")</f>
        <v>Female:Male 0:88</v>
      </c>
      <c r="CB27" s="883"/>
      <c r="CC27" s="883" t="str">
        <f>IFERROR(__xludf.DUMMYFUNCTION("""COMPUTED_VALUE"""),"No")</f>
        <v>No</v>
      </c>
      <c r="CD27" s="884"/>
      <c r="CE27" s="883" t="str">
        <f>IFERROR(__xludf.DUMMYFUNCTION("""COMPUTED_VALUE"""),"No")</f>
        <v>No</v>
      </c>
      <c r="CF27" s="883"/>
      <c r="CG27" s="883"/>
      <c r="CH27" s="883"/>
      <c r="CI27" s="883"/>
      <c r="CJ27" s="883"/>
      <c r="CK27" s="883"/>
      <c r="CL27" s="883"/>
      <c r="CM27" s="884">
        <f>IFERROR(__xludf.DUMMYFUNCTION("""COMPUTED_VALUE"""),0.939)</f>
        <v>0.939</v>
      </c>
      <c r="CN27" s="883"/>
      <c r="CO27" s="883"/>
      <c r="CP27" s="883"/>
      <c r="CQ27" s="883"/>
      <c r="CR27" s="883"/>
      <c r="CS27" s="883"/>
      <c r="CT27" s="883"/>
      <c r="CU27" s="883" t="str">
        <f>IFERROR(__xludf.DUMMYFUNCTION("""COMPUTED_VALUE"""),"x")</f>
        <v>x</v>
      </c>
      <c r="CV27" s="863"/>
      <c r="CW27" s="863"/>
      <c r="CX27" s="863"/>
      <c r="CY27" s="863"/>
      <c r="CZ27" s="863"/>
      <c r="DA27" s="863"/>
      <c r="DB27" s="863"/>
      <c r="DC27" s="863"/>
      <c r="DD27" s="863"/>
      <c r="DE27" s="863"/>
    </row>
    <row r="28">
      <c r="A28" s="887" t="str">
        <f>IFERROR(__xludf.DUMMYFUNCTION("""COMPUTED_VALUE"""),"Diawara et al.")</f>
        <v>Diawara et al.</v>
      </c>
      <c r="B28" s="876" t="str">
        <f>IFERROR(__xludf.DUMMYFUNCTION("""COMPUTED_VALUE"""),"Haiti")</f>
        <v>Haiti</v>
      </c>
      <c r="C28" s="876" t="str">
        <f>IFERROR(__xludf.DUMMYFUNCTION("""COMPUTED_VALUE"""),"Albendazole")</f>
        <v>Albendazole</v>
      </c>
      <c r="D28" s="876" t="str">
        <f>IFERROR(__xludf.DUMMYFUNCTION("""COMPUTED_VALUE"""),"Single")</f>
        <v>Single</v>
      </c>
      <c r="E28" s="876" t="str">
        <f>IFERROR(__xludf.DUMMYFUNCTION("""COMPUTED_VALUE"""),"400 mg")</f>
        <v>400 mg</v>
      </c>
      <c r="F28" s="876">
        <f>IFERROR(__xludf.DUMMYFUNCTION("""COMPUTED_VALUE"""),353.0)</f>
        <v>353</v>
      </c>
      <c r="G28" s="876" t="str">
        <f>IFERROR(__xludf.DUMMYFUNCTION("""COMPUTED_VALUE"""),"School aged older then 2 years old")</f>
        <v>School aged older then 2 years old</v>
      </c>
      <c r="H28" s="876"/>
      <c r="I28" s="876">
        <f>IFERROR(__xludf.DUMMYFUNCTION("""COMPUTED_VALUE"""),2009.0)</f>
        <v>2009</v>
      </c>
      <c r="J28" s="876" t="str">
        <f>IFERROR(__xludf.DUMMYFUNCTION("""COMPUTED_VALUE"""),"Method Used")</f>
        <v>Method Used</v>
      </c>
      <c r="K28" s="876" t="str">
        <f>IFERROR(__xludf.DUMMYFUNCTION("""COMPUTED_VALUE"""),"cross-sectional study")</f>
        <v>cross-sectional study</v>
      </c>
      <c r="L28" s="876" t="str">
        <f>IFERROR(__xludf.DUMMYFUNCTION("""COMPUTED_VALUE"""),"No")</f>
        <v>No</v>
      </c>
      <c r="M28" s="876" t="str">
        <f>IFERROR(__xludf.DUMMYFUNCTION("""COMPUTED_VALUE"""),"No")</f>
        <v>No</v>
      </c>
      <c r="N28" s="877">
        <f>IFERROR(__xludf.DUMMYFUNCTION("""COMPUTED_VALUE"""),0.986)</f>
        <v>0.986</v>
      </c>
      <c r="O28" s="876"/>
      <c r="P28" s="876"/>
      <c r="Q28" s="876"/>
      <c r="R28" s="876"/>
      <c r="S28" s="876"/>
      <c r="T28" s="876"/>
      <c r="U28" s="876"/>
      <c r="V28" s="876"/>
      <c r="W28" s="876">
        <f>IFERROR(__xludf.DUMMYFUNCTION("""COMPUTED_VALUE"""),0.986)</f>
        <v>0.986</v>
      </c>
      <c r="X28" s="876"/>
      <c r="Y28" s="876"/>
      <c r="Z28" s="876"/>
      <c r="AA28" s="876"/>
      <c r="AB28" s="876"/>
      <c r="AC28" s="876"/>
      <c r="AD28" s="876"/>
      <c r="AE28" s="876" t="str">
        <f>IFERROR(__xludf.DUMMYFUNCTION("""COMPUTED_VALUE"""),"ABZ was treatment was successful")</f>
        <v>ABZ was treatment was successful</v>
      </c>
      <c r="AF28" s="876" t="str">
        <f>IFERROR(__xludf.DUMMYFUNCTION("""COMPUTED_VALUE"""),"Modified McMaster method         It is important to note that the sample sizes were different for the two diagnoostic tests when performed in the same country")</f>
        <v>Modified McMaster method         It is important to note that the sample sizes were different for the two diagnoostic tests when performed in the same country</v>
      </c>
      <c r="AG28" s="876" t="str">
        <f>IFERROR(__xludf.DUMMYFUNCTION("""COMPUTED_VALUE"""),"Diawara, Aissatou, Carli M. Halpenny, Thomas S. Churcher, Charles Mwandawiro, Jimmy Kihara, Ray M. Kaplan, Thomas G. Streit, Youssef Idaghdour, Marilyn E. Scott, Maria-Gloria Basanez, and Roger K. Prichard. ""Association Between Response to AlbendazoleTre"&amp;"atment and B-Tubulin Genotype Frequencies in Soil Transmitted Helminths."" PLOS Neglected Tropical Diseases 7.5 (2013): 1-11. Web.")</f>
        <v>Diawara, Aissatou, Carli M. Halpenny, Thomas S. Churcher, Charles Mwandawiro, Jimmy Kihara, Ray M. Kaplan, Thomas G. Streit, Youssef Idaghdour, Marilyn E. Scott, Maria-Gloria Basanez, and Roger K. Prichard. "Association Between Response to AlbendazoleTreatment and B-Tubulin Genotype Frequencies in Soil Transmitted Helminths." PLOS Neglected Tropical Diseases 7.5 (2013): 1-11. Web.</v>
      </c>
      <c r="AH28" s="876" t="str">
        <f>IFERROR(__xludf.DUMMYFUNCTION("""COMPUTED_VALUE"""),"x")</f>
        <v>x</v>
      </c>
      <c r="AI28" s="878"/>
      <c r="AJ28" s="888" t="str">
        <f>IFERROR(__xludf.DUMMYFUNCTION("""COMPUTED_VALUE"""),"Legesse et al.")</f>
        <v>Legesse et al.</v>
      </c>
      <c r="AK28" s="880"/>
      <c r="AL28" s="880" t="str">
        <f>IFERROR(__xludf.DUMMYFUNCTION("""COMPUTED_VALUE"""),"Ethiopia")</f>
        <v>Ethiopia</v>
      </c>
      <c r="AM28" s="880" t="str">
        <f>IFERROR(__xludf.DUMMYFUNCTION("""COMPUTED_VALUE"""),"Mebendazole")</f>
        <v>Mebendazole</v>
      </c>
      <c r="AN28" s="880" t="str">
        <f>IFERROR(__xludf.DUMMYFUNCTION("""COMPUTED_VALUE"""),"Single")</f>
        <v>Single</v>
      </c>
      <c r="AO28" s="880" t="str">
        <f>IFERROR(__xludf.DUMMYFUNCTION("""COMPUTED_VALUE"""),"100 mg")</f>
        <v>100 mg</v>
      </c>
      <c r="AP28" s="880">
        <f>IFERROR(__xludf.DUMMYFUNCTION("""COMPUTED_VALUE"""),404.0)</f>
        <v>404</v>
      </c>
      <c r="AQ28" s="880" t="str">
        <f>IFERROR(__xludf.DUMMYFUNCTION("""COMPUTED_VALUE"""),"6-19 years old")</f>
        <v>6-19 years old</v>
      </c>
      <c r="AR28" s="880" t="str">
        <f>IFERROR(__xludf.DUMMYFUNCTION("""COMPUTED_VALUE"""),"Male:387 Female:344")</f>
        <v>Male:387 Female:344</v>
      </c>
      <c r="AS28" s="880">
        <f>IFERROR(__xludf.DUMMYFUNCTION("""COMPUTED_VALUE"""),2003.0)</f>
        <v>2003</v>
      </c>
      <c r="AT28" s="880"/>
      <c r="AU28" s="880" t="str">
        <f>IFERROR(__xludf.DUMMYFUNCTION("""COMPUTED_VALUE"""),"Yes")</f>
        <v>Yes</v>
      </c>
      <c r="AV28" s="880" t="str">
        <f>IFERROR(__xludf.DUMMYFUNCTION("""COMPUTED_VALUE"""),"No")</f>
        <v>No</v>
      </c>
      <c r="AW28" s="881" t="str">
        <f>IFERROR(__xludf.DUMMYFUNCTION("""COMPUTED_VALUE"""),"randomized trial")</f>
        <v>randomized trial</v>
      </c>
      <c r="AX28" s="863">
        <f>IFERROR(__xludf.DUMMYFUNCTION("""COMPUTED_VALUE"""),0.535)</f>
        <v>0.535</v>
      </c>
      <c r="AY28" s="863"/>
      <c r="AZ28" s="863">
        <f>IFERROR(__xludf.DUMMYFUNCTION("""COMPUTED_VALUE"""),0.535)</f>
        <v>0.535</v>
      </c>
      <c r="BA28" s="863"/>
      <c r="BB28" s="863"/>
      <c r="BC28" s="863"/>
      <c r="BD28" s="863"/>
      <c r="BE28" s="863"/>
      <c r="BF28" s="863"/>
      <c r="BG28" s="863"/>
      <c r="BH28" s="863">
        <f>IFERROR(__xludf.DUMMYFUNCTION("""COMPUTED_VALUE"""),0.9653)</f>
        <v>0.9653</v>
      </c>
      <c r="BI28" s="863"/>
      <c r="BJ28" s="863"/>
      <c r="BK28" s="863"/>
      <c r="BL28" s="863"/>
      <c r="BM28" s="863"/>
      <c r="BN28" s="863"/>
      <c r="BO28" s="863"/>
      <c r="BP28" s="880"/>
      <c r="BQ28" s="863"/>
      <c r="BR28" s="889" t="str">
        <f>IFERROR(__xludf.DUMMYFUNCTION("""COMPUTED_VALUE"""),"Levecke et al.")</f>
        <v>Levecke et al.</v>
      </c>
      <c r="BS28" s="883" t="str">
        <f>IFERROR(__xludf.DUMMYFUNCTION("""COMPUTED_VALUE"""),"Vietnam")</f>
        <v>Vietnam</v>
      </c>
      <c r="BT28" s="883" t="str">
        <f>IFERROR(__xludf.DUMMYFUNCTION("""COMPUTED_VALUE"""),"Albendazole")</f>
        <v>Albendazole</v>
      </c>
      <c r="BU28" s="883"/>
      <c r="BV28" s="883" t="str">
        <f>IFERROR(__xludf.DUMMYFUNCTION("""COMPUTED_VALUE"""),"Single")</f>
        <v>Single</v>
      </c>
      <c r="BW28" s="883" t="str">
        <f>IFERROR(__xludf.DUMMYFUNCTION("""COMPUTED_VALUE"""),"400 mg")</f>
        <v>400 mg</v>
      </c>
      <c r="BX28" s="883">
        <f>IFERROR(__xludf.DUMMYFUNCTION("""COMPUTED_VALUE"""),148.0)</f>
        <v>148</v>
      </c>
      <c r="BY28" s="883">
        <f>IFERROR(__xludf.DUMMYFUNCTION("""COMPUTED_VALUE"""),9.2)</f>
        <v>9.2</v>
      </c>
      <c r="BZ28" s="883">
        <f>IFERROR(__xludf.DUMMYFUNCTION("""COMPUTED_VALUE"""),2012.0)</f>
        <v>2012</v>
      </c>
      <c r="CA28" s="883" t="str">
        <f>IFERROR(__xludf.DUMMYFUNCTION("""COMPUTED_VALUE"""),"Female:Male 0:87")</f>
        <v>Female:Male 0:87</v>
      </c>
      <c r="CB28" s="883"/>
      <c r="CC28" s="883" t="str">
        <f>IFERROR(__xludf.DUMMYFUNCTION("""COMPUTED_VALUE"""),"No")</f>
        <v>No</v>
      </c>
      <c r="CD28" s="884"/>
      <c r="CE28" s="883" t="str">
        <f>IFERROR(__xludf.DUMMYFUNCTION("""COMPUTED_VALUE"""),"No")</f>
        <v>No</v>
      </c>
      <c r="CF28" s="883"/>
      <c r="CG28" s="883"/>
      <c r="CH28" s="883"/>
      <c r="CI28" s="883"/>
      <c r="CJ28" s="883"/>
      <c r="CK28" s="883"/>
      <c r="CL28" s="883"/>
      <c r="CM28" s="884">
        <f>IFERROR(__xludf.DUMMYFUNCTION("""COMPUTED_VALUE"""),1.0)</f>
        <v>1</v>
      </c>
      <c r="CN28" s="883"/>
      <c r="CO28" s="883"/>
      <c r="CP28" s="883"/>
      <c r="CQ28" s="883"/>
      <c r="CR28" s="883"/>
      <c r="CS28" s="883"/>
      <c r="CT28" s="883"/>
      <c r="CU28" s="883" t="str">
        <f>IFERROR(__xludf.DUMMYFUNCTION("""COMPUTED_VALUE"""),"x")</f>
        <v>x</v>
      </c>
      <c r="CV28" s="863"/>
      <c r="CW28" s="863"/>
      <c r="CX28" s="863"/>
      <c r="CY28" s="863"/>
      <c r="CZ28" s="863"/>
      <c r="DA28" s="863"/>
      <c r="DB28" s="863"/>
      <c r="DC28" s="863"/>
      <c r="DD28" s="863"/>
      <c r="DE28" s="863"/>
    </row>
    <row r="29">
      <c r="A29" s="887" t="str">
        <f>IFERROR(__xludf.DUMMYFUNCTION("""COMPUTED_VALUE"""),"Diawara et al.")</f>
        <v>Diawara et al.</v>
      </c>
      <c r="B29" s="876" t="str">
        <f>IFERROR(__xludf.DUMMYFUNCTION("""COMPUTED_VALUE"""),"Panama")</f>
        <v>Panama</v>
      </c>
      <c r="C29" s="876" t="str">
        <f>IFERROR(__xludf.DUMMYFUNCTION("""COMPUTED_VALUE"""),"Albendazole")</f>
        <v>Albendazole</v>
      </c>
      <c r="D29" s="876" t="str">
        <f>IFERROR(__xludf.DUMMYFUNCTION("""COMPUTED_VALUE"""),"Two")</f>
        <v>Two</v>
      </c>
      <c r="E29" s="876" t="str">
        <f>IFERROR(__xludf.DUMMYFUNCTION("""COMPUTED_VALUE"""),"200 mg")</f>
        <v>200 mg</v>
      </c>
      <c r="F29" s="876">
        <f>IFERROR(__xludf.DUMMYFUNCTION("""COMPUTED_VALUE"""),270.0)</f>
        <v>270</v>
      </c>
      <c r="G29" s="876" t="str">
        <f>IFERROR(__xludf.DUMMYFUNCTION("""COMPUTED_VALUE"""),"Pre-School Children 1-2 years old")</f>
        <v>Pre-School Children 1-2 years old</v>
      </c>
      <c r="H29" s="876"/>
      <c r="I29" s="876">
        <f>IFERROR(__xludf.DUMMYFUNCTION("""COMPUTED_VALUE"""),2009.0)</f>
        <v>2009</v>
      </c>
      <c r="J29" s="876" t="str">
        <f>IFERROR(__xludf.DUMMYFUNCTION("""COMPUTED_VALUE"""),"Method Used")</f>
        <v>Method Used</v>
      </c>
      <c r="K29" s="876" t="str">
        <f>IFERROR(__xludf.DUMMYFUNCTION("""COMPUTED_VALUE"""),"cross-sectional study")</f>
        <v>cross-sectional study</v>
      </c>
      <c r="L29" s="876" t="str">
        <f>IFERROR(__xludf.DUMMYFUNCTION("""COMPUTED_VALUE"""),"No")</f>
        <v>No</v>
      </c>
      <c r="M29" s="876" t="str">
        <f>IFERROR(__xludf.DUMMYFUNCTION("""COMPUTED_VALUE"""),"No")</f>
        <v>No</v>
      </c>
      <c r="N29" s="877">
        <f>IFERROR(__xludf.DUMMYFUNCTION("""COMPUTED_VALUE"""),0.998)</f>
        <v>0.998</v>
      </c>
      <c r="O29" s="876"/>
      <c r="P29" s="876"/>
      <c r="Q29" s="876"/>
      <c r="R29" s="876"/>
      <c r="S29" s="876"/>
      <c r="T29" s="876"/>
      <c r="U29" s="876"/>
      <c r="V29" s="876"/>
      <c r="W29" s="876">
        <f>IFERROR(__xludf.DUMMYFUNCTION("""COMPUTED_VALUE"""),0.998)</f>
        <v>0.998</v>
      </c>
      <c r="X29" s="876"/>
      <c r="Y29" s="876"/>
      <c r="Z29" s="876"/>
      <c r="AA29" s="876"/>
      <c r="AB29" s="876"/>
      <c r="AC29" s="876"/>
      <c r="AD29" s="876"/>
      <c r="AE29" s="876"/>
      <c r="AF29" s="876" t="str">
        <f>IFERROR(__xludf.DUMMYFUNCTION("""COMPUTED_VALUE"""),"Kato-Katz and FLOTAC method                        It is important to note that the sample sizes were different for the two diagnoostic tests when performed in the same country; FLOTAC:47.8% efficacy")</f>
        <v>Kato-Katz and FLOTAC method                        It is important to note that the sample sizes were different for the two diagnoostic tests when performed in the same country; FLOTAC:47.8% efficacy</v>
      </c>
      <c r="AG29" s="876" t="str">
        <f>IFERROR(__xludf.DUMMYFUNCTION("""COMPUTED_VALUE"""),"Diawara, Aissatou, Carli M. Halpenny, Thomas S. Churcher, Charles Mwandawiro, Jimmy Kihara, Ray M. Kaplan, Thomas G. Streit, Youssef Idaghdour, Marilyn E. Scott, Maria-Gloria Basanez, and Roger K. Prichard. ""Association Between Response to AlbendazoleTre"&amp;"atment and B-Tubulin Genotype Frequencies in Soil Transmitted Helminths."" PLOS Neglected Tropical Diseases 7.5 (2013): 1-11. Web.")</f>
        <v>Diawara, Aissatou, Carli M. Halpenny, Thomas S. Churcher, Charles Mwandawiro, Jimmy Kihara, Ray M. Kaplan, Thomas G. Streit, Youssef Idaghdour, Marilyn E. Scott, Maria-Gloria Basanez, and Roger K. Prichard. "Association Between Response to AlbendazoleTreatment and B-Tubulin Genotype Frequencies in Soil Transmitted Helminths." PLOS Neglected Tropical Diseases 7.5 (2013): 1-11. Web.</v>
      </c>
      <c r="AH29" s="876" t="str">
        <f>IFERROR(__xludf.DUMMYFUNCTION("""COMPUTED_VALUE"""),"x")</f>
        <v>x</v>
      </c>
      <c r="AI29" s="878"/>
      <c r="AJ29" s="888" t="str">
        <f>IFERROR(__xludf.DUMMYFUNCTION("""COMPUTED_VALUE"""),"Speich et al.")</f>
        <v>Speich et al.</v>
      </c>
      <c r="AK29" s="880" t="str">
        <f>IFERROR(__xludf.DUMMYFUNCTION("""COMPUTED_VALUE"""),"Speich, Benjamin, Shaali M. Ame, Said M. Ali, Rainer Alles, Janet Hattendorf, Jurg Utzinger, Marco Albonico, and Jennifer Keisler. ""Efficacy and Safety of Nitazoxanide, Albendazole, and Nitazoxanide-Albendazoleagainst Trichuris Trichiura Infection: A Ran"&amp;"domized Controlled Trial."" PLOS Neglected Tropical Diseases 6.6 (2012): 1-8. Web")</f>
        <v>Speich, Benjamin, Shaali M. Ame, Said M. Ali, Rainer Alles, Janet Hattendorf, Jurg Utzinger, Marco Albonico, and Jennifer Keisler. "Efficacy and Safety of Nitazoxanide, Albendazole, and Nitazoxanide-Albendazoleagainst Trichuris Trichiura Infection: A Randomized Controlled Trial." PLOS Neglected Tropical Diseases 6.6 (2012): 1-8. Web</v>
      </c>
      <c r="AL29" s="880" t="str">
        <f>IFERROR(__xludf.DUMMYFUNCTION("""COMPUTED_VALUE"""),"Tanzania")</f>
        <v>Tanzania</v>
      </c>
      <c r="AM29" s="880" t="str">
        <f>IFERROR(__xludf.DUMMYFUNCTION("""COMPUTED_VALUE"""),"Albendazole")</f>
        <v>Albendazole</v>
      </c>
      <c r="AN29" s="880" t="str">
        <f>IFERROR(__xludf.DUMMYFUNCTION("""COMPUTED_VALUE"""),"Single")</f>
        <v>Single</v>
      </c>
      <c r="AO29" s="880" t="str">
        <f>IFERROR(__xludf.DUMMYFUNCTION("""COMPUTED_VALUE"""),"400 mg")</f>
        <v>400 mg</v>
      </c>
      <c r="AP29" s="880">
        <f>IFERROR(__xludf.DUMMYFUNCTION("""COMPUTED_VALUE"""),131.0)</f>
        <v>131</v>
      </c>
      <c r="AQ29" s="880">
        <f>IFERROR(__xludf.DUMMYFUNCTION("""COMPUTED_VALUE"""),9.8)</f>
        <v>9.8</v>
      </c>
      <c r="AR29" s="880" t="str">
        <f>IFERROR(__xludf.DUMMYFUNCTION("""COMPUTED_VALUE"""),"Male:85 Female:92")</f>
        <v>Male:85 Female:92</v>
      </c>
      <c r="AS29" s="880">
        <f>IFERROR(__xludf.DUMMYFUNCTION("""COMPUTED_VALUE"""),2011.0)</f>
        <v>2011</v>
      </c>
      <c r="AT29" s="880" t="str">
        <f>IFERROR(__xludf.DUMMYFUNCTION("""COMPUTED_VALUE"""),"Exclusion Criteria: presence of any abnormal medical condition, judged by the study physician, history of acute or severe chronic disease (cancer, diabetes, chronic heart, liver, or renal disease) and recent use of anthelminthic drugs within the past 4 we"&amp;"eks")</f>
        <v>Exclusion Criteria: presence of any abnormal medical condition, judged by the study physician, history of acute or severe chronic disease (cancer, diabetes, chronic heart, liver, or renal disease) and recent use of anthelminthic drugs within the past 4 weeks</v>
      </c>
      <c r="AU29" s="880" t="str">
        <f>IFERROR(__xludf.DUMMYFUNCTION("""COMPUTED_VALUE"""),"Yes")</f>
        <v>Yes</v>
      </c>
      <c r="AV29" s="880" t="str">
        <f>IFERROR(__xludf.DUMMYFUNCTION("""COMPUTED_VALUE"""),"Yes")</f>
        <v>Yes</v>
      </c>
      <c r="AW29" s="881" t="str">
        <f>IFERROR(__xludf.DUMMYFUNCTION("""COMPUTED_VALUE"""),"double-blind randomized placebo controlled trial")</f>
        <v>double-blind randomized placebo controlled trial</v>
      </c>
      <c r="AX29" s="863">
        <f>IFERROR(__xludf.DUMMYFUNCTION("""COMPUTED_VALUE"""),0.145)</f>
        <v>0.145</v>
      </c>
      <c r="AY29" s="863"/>
      <c r="AZ29" s="863">
        <f>IFERROR(__xludf.DUMMYFUNCTION("""COMPUTED_VALUE"""),0.145)</f>
        <v>0.145</v>
      </c>
      <c r="BA29" s="863"/>
      <c r="BB29" s="863"/>
      <c r="BC29" s="863"/>
      <c r="BD29" s="863"/>
      <c r="BE29" s="863"/>
      <c r="BF29" s="863"/>
      <c r="BG29" s="863"/>
      <c r="BH29" s="863">
        <f>IFERROR(__xludf.DUMMYFUNCTION("""COMPUTED_VALUE"""),0.456)</f>
        <v>0.456</v>
      </c>
      <c r="BI29" s="863"/>
      <c r="BJ29" s="863"/>
      <c r="BK29" s="863"/>
      <c r="BL29" s="863"/>
      <c r="BM29" s="863"/>
      <c r="BN29" s="863"/>
      <c r="BO29" s="863" t="str">
        <f>IFERROR(__xludf.DUMMYFUNCTION("""COMPUTED_VALUE"""),"kato-Katz Method")</f>
        <v>kato-Katz Method</v>
      </c>
      <c r="BP29" s="880"/>
      <c r="BQ29" s="863"/>
      <c r="BR29" s="889" t="str">
        <f>IFERROR(__xludf.DUMMYFUNCTION("""COMPUTED_VALUE"""),"Steinmann et al.")</f>
        <v>Steinmann et al.</v>
      </c>
      <c r="BS29" s="883" t="str">
        <f>IFERROR(__xludf.DUMMYFUNCTION("""COMPUTED_VALUE"""),"China")</f>
        <v>China</v>
      </c>
      <c r="BT29" s="883" t="str">
        <f>IFERROR(__xludf.DUMMYFUNCTION("""COMPUTED_VALUE"""),"Albendazole")</f>
        <v>Albendazole</v>
      </c>
      <c r="BU29" s="883"/>
      <c r="BV29" s="883" t="str">
        <f>IFERROR(__xludf.DUMMYFUNCTION("""COMPUTED_VALUE"""),"Single")</f>
        <v>Single</v>
      </c>
      <c r="BW29" s="883" t="str">
        <f>IFERROR(__xludf.DUMMYFUNCTION("""COMPUTED_VALUE"""),"400 mg")</f>
        <v>400 mg</v>
      </c>
      <c r="BX29" s="883">
        <f>IFERROR(__xludf.DUMMYFUNCTION("""COMPUTED_VALUE"""),82.0)</f>
        <v>82</v>
      </c>
      <c r="BY29" s="890">
        <f>IFERROR(__xludf.DUMMYFUNCTION("""COMPUTED_VALUE"""),42515.0)</f>
        <v>42515</v>
      </c>
      <c r="BZ29" s="883">
        <f>IFERROR(__xludf.DUMMYFUNCTION("""COMPUTED_VALUE"""),2008.0)</f>
        <v>2008</v>
      </c>
      <c r="CA29" s="883"/>
      <c r="CB29" s="883" t="str">
        <f>IFERROR(__xludf.DUMMYFUNCTION("""COMPUTED_VALUE"""),"presence of diagnosed or perceived chronic disease or other conditions likely to interfere with anthelminthic treatment (e.g., hypersensitivity to anthelminthics), pregnancy (verbally assessed at enrolment and again before treatment), recent history of an"&amp;"thelminthic treatment, and participation in other trials (within 1 month).")</f>
        <v>presence of diagnosed or perceived chronic disease or other conditions likely to interfere with anthelminthic treatment (e.g., hypersensitivity to anthelminthics), pregnancy (verbally assessed at enrolment and again before treatment), recent history of anthelminthic treatment, and participation in other trials (within 1 month).</v>
      </c>
      <c r="CC29" s="883" t="str">
        <f>IFERROR(__xludf.DUMMYFUNCTION("""COMPUTED_VALUE"""),"Yes")</f>
        <v>Yes</v>
      </c>
      <c r="CD29" s="884">
        <f>IFERROR(__xludf.DUMMYFUNCTION("""COMPUTED_VALUE"""),0.961)</f>
        <v>0.961</v>
      </c>
      <c r="CE29" s="883" t="str">
        <f>IFERROR(__xludf.DUMMYFUNCTION("""COMPUTED_VALUE"""),"Yes")</f>
        <v>Yes</v>
      </c>
      <c r="CF29" s="883"/>
      <c r="CG29" s="884">
        <f>IFERROR(__xludf.DUMMYFUNCTION("""COMPUTED_VALUE"""),0.961)</f>
        <v>0.961</v>
      </c>
      <c r="CH29" s="883"/>
      <c r="CI29" s="883"/>
      <c r="CJ29" s="883"/>
      <c r="CK29" s="883"/>
      <c r="CL29" s="883"/>
      <c r="CM29" s="883"/>
      <c r="CN29" s="883" t="str">
        <f>IFERROR(__xludf.DUMMYFUNCTION("""COMPUTED_VALUE"""),"&gt;99.9% (3-4 weeks)")</f>
        <v>&gt;99.9% (3-4 weeks)</v>
      </c>
      <c r="CO29" s="883"/>
      <c r="CP29" s="883"/>
      <c r="CQ29" s="883"/>
      <c r="CR29" s="883"/>
      <c r="CS29" s="883"/>
      <c r="CT29" s="883" t="str">
        <f>IFERROR(__xludf.DUMMYFUNCTION("""COMPUTED_VALUE"""),"Kato-Katz")</f>
        <v>Kato-Katz</v>
      </c>
      <c r="CU29" s="883"/>
      <c r="CV29" s="863"/>
      <c r="CW29" s="863"/>
      <c r="CX29" s="863"/>
      <c r="CY29" s="863"/>
      <c r="CZ29" s="863"/>
      <c r="DA29" s="863"/>
      <c r="DB29" s="863"/>
      <c r="DC29" s="863"/>
      <c r="DD29" s="863"/>
      <c r="DE29" s="863"/>
    </row>
    <row r="30">
      <c r="A30" s="887" t="str">
        <f>IFERROR(__xludf.DUMMYFUNCTION("""COMPUTED_VALUE"""),"Diawara et al.")</f>
        <v>Diawara et al.</v>
      </c>
      <c r="B30" s="876" t="str">
        <f>IFERROR(__xludf.DUMMYFUNCTION("""COMPUTED_VALUE"""),"Kenya")</f>
        <v>Kenya</v>
      </c>
      <c r="C30" s="876" t="str">
        <f>IFERROR(__xludf.DUMMYFUNCTION("""COMPUTED_VALUE"""),"Albendazole")</f>
        <v>Albendazole</v>
      </c>
      <c r="D30" s="876" t="str">
        <f>IFERROR(__xludf.DUMMYFUNCTION("""COMPUTED_VALUE"""),"Single")</f>
        <v>Single</v>
      </c>
      <c r="E30" s="876" t="str">
        <f>IFERROR(__xludf.DUMMYFUNCTION("""COMPUTED_VALUE"""),"400 mg")</f>
        <v>400 mg</v>
      </c>
      <c r="F30" s="876">
        <f>IFERROR(__xludf.DUMMYFUNCTION("""COMPUTED_VALUE"""),128.0)</f>
        <v>128</v>
      </c>
      <c r="G30" s="876" t="str">
        <f>IFERROR(__xludf.DUMMYFUNCTION("""COMPUTED_VALUE"""),"School aged Children")</f>
        <v>School aged Children</v>
      </c>
      <c r="H30" s="876"/>
      <c r="I30" s="876">
        <f>IFERROR(__xludf.DUMMYFUNCTION("""COMPUTED_VALUE"""),2010.0)</f>
        <v>2010</v>
      </c>
      <c r="J30" s="876" t="str">
        <f>IFERROR(__xludf.DUMMYFUNCTION("""COMPUTED_VALUE"""),"Method Used")</f>
        <v>Method Used</v>
      </c>
      <c r="K30" s="876" t="str">
        <f>IFERROR(__xludf.DUMMYFUNCTION("""COMPUTED_VALUE"""),"cross-sectional study")</f>
        <v>cross-sectional study</v>
      </c>
      <c r="L30" s="876" t="str">
        <f>IFERROR(__xludf.DUMMYFUNCTION("""COMPUTED_VALUE"""),"No")</f>
        <v>No</v>
      </c>
      <c r="M30" s="876" t="str">
        <f>IFERROR(__xludf.DUMMYFUNCTION("""COMPUTED_VALUE"""),"No")</f>
        <v>No</v>
      </c>
      <c r="N30" s="877">
        <f>IFERROR(__xludf.DUMMYFUNCTION("""COMPUTED_VALUE"""),0.968)</f>
        <v>0.968</v>
      </c>
      <c r="O30" s="876"/>
      <c r="P30" s="876"/>
      <c r="Q30" s="876"/>
      <c r="R30" s="876"/>
      <c r="S30" s="876"/>
      <c r="T30" s="876"/>
      <c r="U30" s="876"/>
      <c r="V30" s="876"/>
      <c r="W30" s="876">
        <f>IFERROR(__xludf.DUMMYFUNCTION("""COMPUTED_VALUE"""),0.968)</f>
        <v>0.968</v>
      </c>
      <c r="X30" s="876"/>
      <c r="Y30" s="876"/>
      <c r="Z30" s="876"/>
      <c r="AA30" s="876"/>
      <c r="AB30" s="876"/>
      <c r="AC30" s="876"/>
      <c r="AD30" s="876"/>
      <c r="AE30" s="876"/>
      <c r="AF30" s="876" t="str">
        <f>IFERROR(__xludf.DUMMYFUNCTION("""COMPUTED_VALUE"""),"McMaster and Kato-Katz Method                      It is important to note that the sample sizes were different for the two diagnoostic tests when performed in the same country; McMaster:89.9% efficacy")</f>
        <v>McMaster and Kato-Katz Method                      It is important to note that the sample sizes were different for the two diagnoostic tests when performed in the same country; McMaster:89.9% efficacy</v>
      </c>
      <c r="AG30" s="876" t="str">
        <f>IFERROR(__xludf.DUMMYFUNCTION("""COMPUTED_VALUE"""),"Diawara, Aissatou, Carli M. Halpenny, Thomas S. Churcher, Charles Mwandawiro, Jimmy Kihara, Ray M. Kaplan, Thomas G. Streit, Youssef Idaghdour, Marilyn E. Scott, Maria-Gloria Basanez, and Roger K. Prichard. ""Association Between Response to AlbendazoleTre"&amp;"atment and B-Tubulin Genotype Frequencies in Soil Transmitted Helminths."" PLOS Neglected Tropical Diseases 7.5 (2013): 1-11. Web.")</f>
        <v>Diawara, Aissatou, Carli M. Halpenny, Thomas S. Churcher, Charles Mwandawiro, Jimmy Kihara, Ray M. Kaplan, Thomas G. Streit, Youssef Idaghdour, Marilyn E. Scott, Maria-Gloria Basanez, and Roger K. Prichard. "Association Between Response to AlbendazoleTreatment and B-Tubulin Genotype Frequencies in Soil Transmitted Helminths." PLOS Neglected Tropical Diseases 7.5 (2013): 1-11. Web.</v>
      </c>
      <c r="AH30" s="876" t="str">
        <f>IFERROR(__xludf.DUMMYFUNCTION("""COMPUTED_VALUE"""),"x")</f>
        <v>x</v>
      </c>
      <c r="AI30" s="878"/>
      <c r="AJ30" s="888" t="str">
        <f>IFERROR(__xludf.DUMMYFUNCTION("""COMPUTED_VALUE"""),"Speich et al.")</f>
        <v>Speich et al.</v>
      </c>
      <c r="AK30" s="880"/>
      <c r="AL30" s="880" t="str">
        <f>IFERROR(__xludf.DUMMYFUNCTION("""COMPUTED_VALUE"""),"Tanzania")</f>
        <v>Tanzania</v>
      </c>
      <c r="AM30" s="880" t="str">
        <f>IFERROR(__xludf.DUMMYFUNCTION("""COMPUTED_VALUE"""),"Nitazoxanide")</f>
        <v>Nitazoxanide</v>
      </c>
      <c r="AN30" s="880" t="str">
        <f>IFERROR(__xludf.DUMMYFUNCTION("""COMPUTED_VALUE"""),"Single")</f>
        <v>Single</v>
      </c>
      <c r="AO30" s="880" t="str">
        <f>IFERROR(__xludf.DUMMYFUNCTION("""COMPUTED_VALUE"""),"1000 mg")</f>
        <v>1000 mg</v>
      </c>
      <c r="AP30" s="880">
        <f>IFERROR(__xludf.DUMMYFUNCTION("""COMPUTED_VALUE"""),136.0)</f>
        <v>136</v>
      </c>
      <c r="AQ30" s="880">
        <f>IFERROR(__xludf.DUMMYFUNCTION("""COMPUTED_VALUE"""),9.4)</f>
        <v>9.4</v>
      </c>
      <c r="AR30" s="880" t="str">
        <f>IFERROR(__xludf.DUMMYFUNCTION("""COMPUTED_VALUE"""),"Male:94 Female:86")</f>
        <v>Male:94 Female:86</v>
      </c>
      <c r="AS30" s="880">
        <f>IFERROR(__xludf.DUMMYFUNCTION("""COMPUTED_VALUE"""),2011.0)</f>
        <v>2011</v>
      </c>
      <c r="AT30" s="880" t="str">
        <f>IFERROR(__xludf.DUMMYFUNCTION("""COMPUTED_VALUE"""),"Exclusion Criteria: presence of any abnormal medical condition, judged by the study physician, history of acute or severe chronic disease (cancer, diabetes, chronic heart, liver, or renal disease) and recent use of anthelminthic drugs within the past 4 we"&amp;"eks")</f>
        <v>Exclusion Criteria: presence of any abnormal medical condition, judged by the study physician, history of acute or severe chronic disease (cancer, diabetes, chronic heart, liver, or renal disease) and recent use of anthelminthic drugs within the past 4 weeks</v>
      </c>
      <c r="AU30" s="880" t="str">
        <f>IFERROR(__xludf.DUMMYFUNCTION("""COMPUTED_VALUE"""),"Yes")</f>
        <v>Yes</v>
      </c>
      <c r="AV30" s="880" t="str">
        <f>IFERROR(__xludf.DUMMYFUNCTION("""COMPUTED_VALUE"""),"Yes")</f>
        <v>Yes</v>
      </c>
      <c r="AW30" s="881" t="str">
        <f>IFERROR(__xludf.DUMMYFUNCTION("""COMPUTED_VALUE"""),"double-blind randomized placebo controlled trial")</f>
        <v>double-blind randomized placebo controlled trial</v>
      </c>
      <c r="AX30" s="863">
        <f>IFERROR(__xludf.DUMMYFUNCTION("""COMPUTED_VALUE"""),0.066)</f>
        <v>0.066</v>
      </c>
      <c r="AY30" s="863"/>
      <c r="AZ30" s="863">
        <f>IFERROR(__xludf.DUMMYFUNCTION("""COMPUTED_VALUE"""),0.066)</f>
        <v>0.066</v>
      </c>
      <c r="BA30" s="863"/>
      <c r="BB30" s="863"/>
      <c r="BC30" s="863"/>
      <c r="BD30" s="863"/>
      <c r="BE30" s="863"/>
      <c r="BF30" s="863"/>
      <c r="BG30" s="863"/>
      <c r="BH30" s="863">
        <f>IFERROR(__xludf.DUMMYFUNCTION("""COMPUTED_VALUE"""),0.134)</f>
        <v>0.134</v>
      </c>
      <c r="BI30" s="863"/>
      <c r="BJ30" s="863"/>
      <c r="BK30" s="863"/>
      <c r="BL30" s="863"/>
      <c r="BM30" s="863"/>
      <c r="BN30" s="863"/>
      <c r="BO30" s="863"/>
      <c r="BP30" s="880"/>
      <c r="BQ30" s="863"/>
      <c r="BR30" s="889" t="str">
        <f>IFERROR(__xludf.DUMMYFUNCTION("""COMPUTED_VALUE"""),"Steinmann et al.")</f>
        <v>Steinmann et al.</v>
      </c>
      <c r="BS30" s="883" t="str">
        <f>IFERROR(__xludf.DUMMYFUNCTION("""COMPUTED_VALUE"""),"China")</f>
        <v>China</v>
      </c>
      <c r="BT30" s="883" t="str">
        <f>IFERROR(__xludf.DUMMYFUNCTION("""COMPUTED_VALUE"""),"Albendazole")</f>
        <v>Albendazole</v>
      </c>
      <c r="BU30" s="883"/>
      <c r="BV30" s="883" t="str">
        <f>IFERROR(__xludf.DUMMYFUNCTION("""COMPUTED_VALUE"""),"Single")</f>
        <v>Single</v>
      </c>
      <c r="BW30" s="883" t="str">
        <f>IFERROR(__xludf.DUMMYFUNCTION("""COMPUTED_VALUE"""),"400 mg")</f>
        <v>400 mg</v>
      </c>
      <c r="BX30" s="883">
        <f>IFERROR(__xludf.DUMMYFUNCTION("""COMPUTED_VALUE"""),68.0)</f>
        <v>68</v>
      </c>
      <c r="BY30" s="883"/>
      <c r="BZ30" s="883">
        <f>IFERROR(__xludf.DUMMYFUNCTION("""COMPUTED_VALUE"""),2008.0)</f>
        <v>2008</v>
      </c>
      <c r="CA30" s="883"/>
      <c r="CB30" s="883"/>
      <c r="CC30" s="883" t="str">
        <f>IFERROR(__xludf.DUMMYFUNCTION("""COMPUTED_VALUE"""),"Yes")</f>
        <v>Yes</v>
      </c>
      <c r="CD30" s="884">
        <f>IFERROR(__xludf.DUMMYFUNCTION("""COMPUTED_VALUE"""),0.968)</f>
        <v>0.968</v>
      </c>
      <c r="CE30" s="883" t="str">
        <f>IFERROR(__xludf.DUMMYFUNCTION("""COMPUTED_VALUE"""),"Yes")</f>
        <v>Yes</v>
      </c>
      <c r="CF30" s="883"/>
      <c r="CG30" s="884">
        <f>IFERROR(__xludf.DUMMYFUNCTION("""COMPUTED_VALUE"""),0.968)</f>
        <v>0.968</v>
      </c>
      <c r="CH30" s="883"/>
      <c r="CI30" s="883"/>
      <c r="CJ30" s="883"/>
      <c r="CK30" s="883"/>
      <c r="CL30" s="883"/>
      <c r="CM30" s="883"/>
      <c r="CN30" s="883" t="str">
        <f>IFERROR(__xludf.DUMMYFUNCTION("""COMPUTED_VALUE"""),"&gt;99.9% (3-4 weeks)")</f>
        <v>&gt;99.9% (3-4 weeks)</v>
      </c>
      <c r="CO30" s="883"/>
      <c r="CP30" s="883"/>
      <c r="CQ30" s="883"/>
      <c r="CR30" s="883"/>
      <c r="CS30" s="883"/>
      <c r="CT30" s="883"/>
      <c r="CU30" s="883"/>
      <c r="CV30" s="863"/>
      <c r="CW30" s="863"/>
      <c r="CX30" s="863"/>
      <c r="CY30" s="863"/>
      <c r="CZ30" s="863"/>
      <c r="DA30" s="863"/>
      <c r="DB30" s="863"/>
      <c r="DC30" s="863"/>
      <c r="DD30" s="863"/>
      <c r="DE30" s="863"/>
    </row>
    <row r="31">
      <c r="A31" s="887" t="str">
        <f>IFERROR(__xludf.DUMMYFUNCTION("""COMPUTED_VALUE"""),"Ekenjoku et al.")</f>
        <v>Ekenjoku et al.</v>
      </c>
      <c r="B31" s="876" t="str">
        <f>IFERROR(__xludf.DUMMYFUNCTION("""COMPUTED_VALUE"""),"Nigeria")</f>
        <v>Nigeria</v>
      </c>
      <c r="C31" s="876" t="str">
        <f>IFERROR(__xludf.DUMMYFUNCTION("""COMPUTED_VALUE"""),"Mebendazole")</f>
        <v>Mebendazole</v>
      </c>
      <c r="D31" s="876" t="str">
        <f>IFERROR(__xludf.DUMMYFUNCTION("""COMPUTED_VALUE"""),"Single")</f>
        <v>Single</v>
      </c>
      <c r="E31" s="876" t="str">
        <f>IFERROR(__xludf.DUMMYFUNCTION("""COMPUTED_VALUE"""),"500 mg")</f>
        <v>500 mg</v>
      </c>
      <c r="F31" s="876">
        <f>IFERROR(__xludf.DUMMYFUNCTION("""COMPUTED_VALUE"""),49.0)</f>
        <v>49</v>
      </c>
      <c r="G31" s="876">
        <f>IFERROR(__xludf.DUMMYFUNCTION("""COMPUTED_VALUE"""),42472.0)</f>
        <v>42472</v>
      </c>
      <c r="H31" s="876"/>
      <c r="I31" s="876">
        <f>IFERROR(__xludf.DUMMYFUNCTION("""COMPUTED_VALUE"""),2005.0)</f>
        <v>2005</v>
      </c>
      <c r="J31" s="876" t="str">
        <f>IFERROR(__xludf.DUMMYFUNCTION("""COMPUTED_VALUE"""),"included: age between 4 and 12years (both males &amp; females), residence within the community for 6 months and above, written consent from parents/ guardian and ability to ingest tablet with water")</f>
        <v>included: age between 4 and 12years (both males &amp; females), residence within the community for 6 months and above, written consent from parents/ guardian and ability to ingest tablet with water</v>
      </c>
      <c r="K31" s="876" t="str">
        <f>IFERROR(__xludf.DUMMYFUNCTION("""COMPUTED_VALUE"""),"open-label randomized comparative study")</f>
        <v>open-label randomized comparative study</v>
      </c>
      <c r="L31" s="876" t="str">
        <f>IFERROR(__xludf.DUMMYFUNCTION("""COMPUTED_VALUE"""),"Yes")</f>
        <v>Yes</v>
      </c>
      <c r="M31" s="876" t="str">
        <f>IFERROR(__xludf.DUMMYFUNCTION("""COMPUTED_VALUE"""),"No")</f>
        <v>No</v>
      </c>
      <c r="N31" s="877">
        <f>IFERROR(__xludf.DUMMYFUNCTION("""COMPUTED_VALUE"""),0.9048)</f>
        <v>0.9048</v>
      </c>
      <c r="O31" s="876">
        <f>IFERROR(__xludf.DUMMYFUNCTION("""COMPUTED_VALUE"""),0.9048)</f>
        <v>0.9048</v>
      </c>
      <c r="P31" s="876"/>
      <c r="Q31" s="876"/>
      <c r="R31" s="876"/>
      <c r="S31" s="876"/>
      <c r="T31" s="876"/>
      <c r="U31" s="876"/>
      <c r="V31" s="876"/>
      <c r="W31" s="876"/>
      <c r="X31" s="876"/>
      <c r="Y31" s="876"/>
      <c r="Z31" s="876"/>
      <c r="AA31" s="876"/>
      <c r="AB31" s="876"/>
      <c r="AC31" s="876"/>
      <c r="AD31" s="876"/>
      <c r="AE31" s="876" t="str">
        <f>IFERROR(__xludf.DUMMYFUNCTION("""COMPUTED_VALUE"""),"The overall result indicates that Mebendazolewas the most efficacious agent against the three common intestinal worms.")</f>
        <v>The overall result indicates that Mebendazolewas the most efficacious agent against the three common intestinal worms.</v>
      </c>
      <c r="AF31" s="876" t="str">
        <f>IFERROR(__xludf.DUMMYFUNCTION("""COMPUTED_VALUE"""),"The efficacy of the drugs was determined by the level of clearance of worm egg/ova from fresh stool samples of the pupils on post-treatment examination.")</f>
        <v>The efficacy of the drugs was determined by the level of clearance of worm egg/ova from fresh stool samples of the pupils on post-treatment examination.</v>
      </c>
      <c r="AG31" s="876" t="str">
        <f>IFERROR(__xludf.DUMMYFUNCTION("""COMPUTED_VALUE"""),"Ekenjoku, A. J., C. Oringanje, and M. M. Meremikwu. ""Comparative Efficacy of Levamisole, Mebendazole, and Pyrantel Pamoate against Common Intestinal Nematodes among Children in Calabar, South-south Nigeria."" Institute of Tropical Diseases Research and P"&amp;"revention 40.3 (2013): 217-21. Web.")</f>
        <v>Ekenjoku, A. J., C. Oringanje, and M. M. Meremikwu. "Comparative Efficacy of Levamisole, Mebendazole, and Pyrantel Pamoate against Common Intestinal Nematodes among Children in Calabar, South-south Nigeria." Institute of Tropical Diseases Research and Prevention 40.3 (2013): 217-21. Web.</v>
      </c>
      <c r="AH31" s="876"/>
      <c r="AI31" s="878"/>
      <c r="AJ31" s="888" t="str">
        <f>IFERROR(__xludf.DUMMYFUNCTION("""COMPUTED_VALUE"""),"Speich et al.")</f>
        <v>Speich et al.</v>
      </c>
      <c r="AK31" s="880"/>
      <c r="AL31" s="880" t="str">
        <f>IFERROR(__xludf.DUMMYFUNCTION("""COMPUTED_VALUE"""),"Tanzania")</f>
        <v>Tanzania</v>
      </c>
      <c r="AM31" s="880" t="str">
        <f>IFERROR(__xludf.DUMMYFUNCTION("""COMPUTED_VALUE"""),"Albendazole &amp; Nitazoxanide")</f>
        <v>Albendazole &amp; Nitazoxanide</v>
      </c>
      <c r="AN31" s="880" t="str">
        <f>IFERROR(__xludf.DUMMYFUNCTION("""COMPUTED_VALUE"""),"Single")</f>
        <v>Single</v>
      </c>
      <c r="AO31" s="880" t="str">
        <f>IFERROR(__xludf.DUMMYFUNCTION("""COMPUTED_VALUE"""),"1000-4000 mg")</f>
        <v>1000-4000 mg</v>
      </c>
      <c r="AP31" s="880">
        <f>IFERROR(__xludf.DUMMYFUNCTION("""COMPUTED_VALUE"""),131.0)</f>
        <v>131</v>
      </c>
      <c r="AQ31" s="880">
        <f>IFERROR(__xludf.DUMMYFUNCTION("""COMPUTED_VALUE"""),9.7)</f>
        <v>9.7</v>
      </c>
      <c r="AR31" s="880" t="str">
        <f>IFERROR(__xludf.DUMMYFUNCTION("""COMPUTED_VALUE"""),"Male:82 Female:83")</f>
        <v>Male:82 Female:83</v>
      </c>
      <c r="AS31" s="880">
        <f>IFERROR(__xludf.DUMMYFUNCTION("""COMPUTED_VALUE"""),2011.0)</f>
        <v>2011</v>
      </c>
      <c r="AT31" s="880" t="str">
        <f>IFERROR(__xludf.DUMMYFUNCTION("""COMPUTED_VALUE"""),"Exclusion Criteria: presence of any abnormal medical condition, judged by the study physician, history of acute or severe chronic disease (cancer, diabetes, chronic heart, liver, or renal disease) and recent use of anthelminthic drugs within the past 4 we"&amp;"eks")</f>
        <v>Exclusion Criteria: presence of any abnormal medical condition, judged by the study physician, history of acute or severe chronic disease (cancer, diabetes, chronic heart, liver, or renal disease) and recent use of anthelminthic drugs within the past 4 weeks</v>
      </c>
      <c r="AU31" s="880" t="str">
        <f>IFERROR(__xludf.DUMMYFUNCTION("""COMPUTED_VALUE"""),"Yes")</f>
        <v>Yes</v>
      </c>
      <c r="AV31" s="880" t="str">
        <f>IFERROR(__xludf.DUMMYFUNCTION("""COMPUTED_VALUE"""),"Yes")</f>
        <v>Yes</v>
      </c>
      <c r="AW31" s="881" t="str">
        <f>IFERROR(__xludf.DUMMYFUNCTION("""COMPUTED_VALUE"""),"double-blind randomized placebo controlled trial")</f>
        <v>double-blind randomized placebo controlled trial</v>
      </c>
      <c r="AX31" s="863">
        <f>IFERROR(__xludf.DUMMYFUNCTION("""COMPUTED_VALUE"""),0.16)</f>
        <v>0.16</v>
      </c>
      <c r="AY31" s="863"/>
      <c r="AZ31" s="863">
        <f>IFERROR(__xludf.DUMMYFUNCTION("""COMPUTED_VALUE"""),0.16)</f>
        <v>0.16</v>
      </c>
      <c r="BA31" s="863"/>
      <c r="BB31" s="863"/>
      <c r="BC31" s="863"/>
      <c r="BD31" s="863"/>
      <c r="BE31" s="863"/>
      <c r="BF31" s="863"/>
      <c r="BG31" s="863"/>
      <c r="BH31" s="863">
        <f>IFERROR(__xludf.DUMMYFUNCTION("""COMPUTED_VALUE"""),0.549)</f>
        <v>0.549</v>
      </c>
      <c r="BI31" s="863"/>
      <c r="BJ31" s="863"/>
      <c r="BK31" s="863"/>
      <c r="BL31" s="863"/>
      <c r="BM31" s="863"/>
      <c r="BN31" s="863"/>
      <c r="BO31" s="863"/>
      <c r="BP31" s="880"/>
      <c r="BQ31" s="863"/>
      <c r="BR31" s="889" t="str">
        <f>IFERROR(__xludf.DUMMYFUNCTION("""COMPUTED_VALUE"""),"Steinmann et al.")</f>
        <v>Steinmann et al.</v>
      </c>
      <c r="BS31" s="883" t="str">
        <f>IFERROR(__xludf.DUMMYFUNCTION("""COMPUTED_VALUE"""),"China")</f>
        <v>China</v>
      </c>
      <c r="BT31" s="883" t="str">
        <f>IFERROR(__xludf.DUMMYFUNCTION("""COMPUTED_VALUE"""),"Mebendazole")</f>
        <v>Mebendazole</v>
      </c>
      <c r="BU31" s="883"/>
      <c r="BV31" s="883" t="str">
        <f>IFERROR(__xludf.DUMMYFUNCTION("""COMPUTED_VALUE"""),"Single")</f>
        <v>Single</v>
      </c>
      <c r="BW31" s="883" t="str">
        <f>IFERROR(__xludf.DUMMYFUNCTION("""COMPUTED_VALUE"""),"500 mg")</f>
        <v>500 mg</v>
      </c>
      <c r="BX31" s="883">
        <f>IFERROR(__xludf.DUMMYFUNCTION("""COMPUTED_VALUE"""),81.0)</f>
        <v>81</v>
      </c>
      <c r="BY31" s="883"/>
      <c r="BZ31" s="883">
        <f>IFERROR(__xludf.DUMMYFUNCTION("""COMPUTED_VALUE"""),2008.0)</f>
        <v>2008</v>
      </c>
      <c r="CA31" s="883"/>
      <c r="CB31" s="883"/>
      <c r="CC31" s="883" t="str">
        <f>IFERROR(__xludf.DUMMYFUNCTION("""COMPUTED_VALUE"""),"Yes")</f>
        <v>Yes</v>
      </c>
      <c r="CD31" s="884">
        <f>IFERROR(__xludf.DUMMYFUNCTION("""COMPUTED_VALUE"""),0.93)</f>
        <v>0.93</v>
      </c>
      <c r="CE31" s="883" t="str">
        <f>IFERROR(__xludf.DUMMYFUNCTION("""COMPUTED_VALUE"""),"Yes")</f>
        <v>Yes</v>
      </c>
      <c r="CF31" s="883"/>
      <c r="CG31" s="891">
        <f>IFERROR(__xludf.DUMMYFUNCTION("""COMPUTED_VALUE"""),0.93)</f>
        <v>0.93</v>
      </c>
      <c r="CH31" s="883"/>
      <c r="CI31" s="883"/>
      <c r="CJ31" s="883"/>
      <c r="CK31" s="883"/>
      <c r="CL31" s="883"/>
      <c r="CM31" s="883"/>
      <c r="CN31" s="883" t="str">
        <f>IFERROR(__xludf.DUMMYFUNCTION("""COMPUTED_VALUE"""),"&gt;99.9% (3-4 weeks)")</f>
        <v>&gt;99.9% (3-4 weeks)</v>
      </c>
      <c r="CO31" s="883"/>
      <c r="CP31" s="883"/>
      <c r="CQ31" s="883"/>
      <c r="CR31" s="883"/>
      <c r="CS31" s="883"/>
      <c r="CT31" s="883"/>
      <c r="CU31" s="883"/>
      <c r="CV31" s="863"/>
      <c r="CW31" s="863"/>
      <c r="CX31" s="863"/>
      <c r="CY31" s="863"/>
      <c r="CZ31" s="863"/>
      <c r="DA31" s="863"/>
      <c r="DB31" s="863"/>
      <c r="DC31" s="863"/>
      <c r="DD31" s="863"/>
      <c r="DE31" s="863"/>
    </row>
    <row r="32">
      <c r="A32" s="887" t="str">
        <f>IFERROR(__xludf.DUMMYFUNCTION("""COMPUTED_VALUE"""),"Ekenjoku et al.")</f>
        <v>Ekenjoku et al.</v>
      </c>
      <c r="B32" s="876" t="str">
        <f>IFERROR(__xludf.DUMMYFUNCTION("""COMPUTED_VALUE"""),"Nigeria")</f>
        <v>Nigeria</v>
      </c>
      <c r="C32" s="876" t="str">
        <f>IFERROR(__xludf.DUMMYFUNCTION("""COMPUTED_VALUE"""),"Pyrantel")</f>
        <v>Pyrantel</v>
      </c>
      <c r="D32" s="876" t="str">
        <f>IFERROR(__xludf.DUMMYFUNCTION("""COMPUTED_VALUE"""),"Single")</f>
        <v>Single</v>
      </c>
      <c r="E32" s="876" t="str">
        <f>IFERROR(__xludf.DUMMYFUNCTION("""COMPUTED_VALUE"""),"10 mg/kg")</f>
        <v>10 mg/kg</v>
      </c>
      <c r="F32" s="876">
        <f>IFERROR(__xludf.DUMMYFUNCTION("""COMPUTED_VALUE"""),47.0)</f>
        <v>47</v>
      </c>
      <c r="G32" s="876">
        <f>IFERROR(__xludf.DUMMYFUNCTION("""COMPUTED_VALUE"""),42472.0)</f>
        <v>42472</v>
      </c>
      <c r="H32" s="876"/>
      <c r="I32" s="876">
        <f>IFERROR(__xludf.DUMMYFUNCTION("""COMPUTED_VALUE"""),2005.0)</f>
        <v>2005</v>
      </c>
      <c r="J32" s="876" t="str">
        <f>IFERROR(__xludf.DUMMYFUNCTION("""COMPUTED_VALUE"""),"included: age between 4 and 12years (both males &amp; females), residence within the community for 6 months and above, written consent from parents/ guardian and ability to ingest tablet with water")</f>
        <v>included: age between 4 and 12years (both males &amp; females), residence within the community for 6 months and above, written consent from parents/ guardian and ability to ingest tablet with water</v>
      </c>
      <c r="K32" s="876" t="str">
        <f>IFERROR(__xludf.DUMMYFUNCTION("""COMPUTED_VALUE"""),"open-label randomized comparative study")</f>
        <v>open-label randomized comparative study</v>
      </c>
      <c r="L32" s="876" t="str">
        <f>IFERROR(__xludf.DUMMYFUNCTION("""COMPUTED_VALUE"""),"Yes")</f>
        <v>Yes</v>
      </c>
      <c r="M32" s="876" t="str">
        <f>IFERROR(__xludf.DUMMYFUNCTION("""COMPUTED_VALUE"""),"No")</f>
        <v>No</v>
      </c>
      <c r="N32" s="877">
        <f>IFERROR(__xludf.DUMMYFUNCTION("""COMPUTED_VALUE"""),0.4516)</f>
        <v>0.4516</v>
      </c>
      <c r="O32" s="876">
        <f>IFERROR(__xludf.DUMMYFUNCTION("""COMPUTED_VALUE"""),0.4516)</f>
        <v>0.4516</v>
      </c>
      <c r="P32" s="876"/>
      <c r="Q32" s="876"/>
      <c r="R32" s="876"/>
      <c r="S32" s="876"/>
      <c r="T32" s="876"/>
      <c r="U32" s="876"/>
      <c r="V32" s="876"/>
      <c r="W32" s="876"/>
      <c r="X32" s="876"/>
      <c r="Y32" s="876"/>
      <c r="Z32" s="876"/>
      <c r="AA32" s="876"/>
      <c r="AB32" s="876"/>
      <c r="AC32" s="876"/>
      <c r="AD32" s="876"/>
      <c r="AE32" s="876" t="str">
        <f>IFERROR(__xludf.DUMMYFUNCTION("""COMPUTED_VALUE"""),"The overall result indicates that Mebendazolewas the most efficacious agent against the three common intestinal worms.")</f>
        <v>The overall result indicates that Mebendazolewas the most efficacious agent against the three common intestinal worms.</v>
      </c>
      <c r="AF32" s="876" t="str">
        <f>IFERROR(__xludf.DUMMYFUNCTION("""COMPUTED_VALUE"""),"The efficacy of the drugs was determined by the level of clearance of worm egg/ova from fresh stool samples of the pupils on post-treatment examination.")</f>
        <v>The efficacy of the drugs was determined by the level of clearance of worm egg/ova from fresh stool samples of the pupils on post-treatment examination.</v>
      </c>
      <c r="AG32" s="876" t="str">
        <f>IFERROR(__xludf.DUMMYFUNCTION("""COMPUTED_VALUE"""),"Ekenjoku, A. J., C. Oringanje, and M. M. Meremikwu. ""Comparative Efficacy of Levamisole, Mebendazole, and Pyrantel Pamoate against Common Intestinal Nematodes among Children in Calabar, South-south Nigeria."" Institute of Tropical Diseases Research and P"&amp;"revention 40.3 (2013): 217-21. Web.")</f>
        <v>Ekenjoku, A. J., C. Oringanje, and M. M. Meremikwu. "Comparative Efficacy of Levamisole, Mebendazole, and Pyrantel Pamoate against Common Intestinal Nematodes among Children in Calabar, South-south Nigeria." Institute of Tropical Diseases Research and Prevention 40.3 (2013): 217-21. Web.</v>
      </c>
      <c r="AH32" s="876"/>
      <c r="AI32" s="878"/>
      <c r="AJ32" s="888" t="str">
        <f>IFERROR(__xludf.DUMMYFUNCTION("""COMPUTED_VALUE"""),"Speich et al.")</f>
        <v>Speich et al.</v>
      </c>
      <c r="AK32" s="880"/>
      <c r="AL32" s="880" t="str">
        <f>IFERROR(__xludf.DUMMYFUNCTION("""COMPUTED_VALUE"""),"Tanzania")</f>
        <v>Tanzania</v>
      </c>
      <c r="AM32" s="880" t="str">
        <f>IFERROR(__xludf.DUMMYFUNCTION("""COMPUTED_VALUE"""),"Placebo")</f>
        <v>Placebo</v>
      </c>
      <c r="AN32" s="880"/>
      <c r="AO32" s="880"/>
      <c r="AP32" s="880">
        <f>IFERROR(__xludf.DUMMYFUNCTION("""COMPUTED_VALUE"""),135.0)</f>
        <v>135</v>
      </c>
      <c r="AQ32" s="880">
        <f>IFERROR(__xludf.DUMMYFUNCTION("""COMPUTED_VALUE"""),9.9)</f>
        <v>9.9</v>
      </c>
      <c r="AR32" s="880" t="str">
        <f>IFERROR(__xludf.DUMMYFUNCTION("""COMPUTED_VALUE"""),"Male:87 Female:92")</f>
        <v>Male:87 Female:92</v>
      </c>
      <c r="AS32" s="880">
        <f>IFERROR(__xludf.DUMMYFUNCTION("""COMPUTED_VALUE"""),2011.0)</f>
        <v>2011</v>
      </c>
      <c r="AT32" s="880" t="str">
        <f>IFERROR(__xludf.DUMMYFUNCTION("""COMPUTED_VALUE"""),"Exclusion Criteria: presence of any abnormal medical condition, judged by the study physician, history of acute or severe chronic disease (cancer, diabetes, chronic heart, liver, or renal disease) and recent use of anthelminthic drugs within the past 4 we"&amp;"eks")</f>
        <v>Exclusion Criteria: presence of any abnormal medical condition, judged by the study physician, history of acute or severe chronic disease (cancer, diabetes, chronic heart, liver, or renal disease) and recent use of anthelminthic drugs within the past 4 weeks</v>
      </c>
      <c r="AU32" s="880" t="str">
        <f>IFERROR(__xludf.DUMMYFUNCTION("""COMPUTED_VALUE"""),"Yes")</f>
        <v>Yes</v>
      </c>
      <c r="AV32" s="880" t="str">
        <f>IFERROR(__xludf.DUMMYFUNCTION("""COMPUTED_VALUE"""),"Yes")</f>
        <v>Yes</v>
      </c>
      <c r="AW32" s="881" t="str">
        <f>IFERROR(__xludf.DUMMYFUNCTION("""COMPUTED_VALUE"""),"double-blind randomized placebo controlled trial")</f>
        <v>double-blind randomized placebo controlled trial</v>
      </c>
      <c r="AX32" s="863">
        <f>IFERROR(__xludf.DUMMYFUNCTION("""COMPUTED_VALUE"""),0.089)</f>
        <v>0.089</v>
      </c>
      <c r="AY32" s="863"/>
      <c r="AZ32" s="863"/>
      <c r="BA32" s="863"/>
      <c r="BB32" s="863"/>
      <c r="BC32" s="863"/>
      <c r="BD32" s="863"/>
      <c r="BE32" s="863"/>
      <c r="BF32" s="863"/>
      <c r="BG32" s="863"/>
      <c r="BH32" s="863">
        <f>IFERROR(__xludf.DUMMYFUNCTION("""COMPUTED_VALUE"""),0.176)</f>
        <v>0.176</v>
      </c>
      <c r="BI32" s="863"/>
      <c r="BJ32" s="863"/>
      <c r="BK32" s="863"/>
      <c r="BL32" s="863"/>
      <c r="BM32" s="863"/>
      <c r="BN32" s="863"/>
      <c r="BO32" s="863"/>
      <c r="BP32" s="880"/>
      <c r="BQ32" s="863"/>
      <c r="BR32" s="889" t="str">
        <f>IFERROR(__xludf.DUMMYFUNCTION("""COMPUTED_VALUE"""),"Steinmann et al.")</f>
        <v>Steinmann et al.</v>
      </c>
      <c r="BS32" s="883" t="str">
        <f>IFERROR(__xludf.DUMMYFUNCTION("""COMPUTED_VALUE"""),"China")</f>
        <v>China</v>
      </c>
      <c r="BT32" s="883" t="str">
        <f>IFERROR(__xludf.DUMMYFUNCTION("""COMPUTED_VALUE"""),"Mebendazole")</f>
        <v>Mebendazole</v>
      </c>
      <c r="BU32" s="883"/>
      <c r="BV32" s="883" t="str">
        <f>IFERROR(__xludf.DUMMYFUNCTION("""COMPUTED_VALUE"""),"Single")</f>
        <v>Single</v>
      </c>
      <c r="BW32" s="883" t="str">
        <f>IFERROR(__xludf.DUMMYFUNCTION("""COMPUTED_VALUE"""),"500 mg")</f>
        <v>500 mg</v>
      </c>
      <c r="BX32" s="883">
        <f>IFERROR(__xludf.DUMMYFUNCTION("""COMPUTED_VALUE"""),83.0)</f>
        <v>83</v>
      </c>
      <c r="BY32" s="883"/>
      <c r="BZ32" s="883">
        <f>IFERROR(__xludf.DUMMYFUNCTION("""COMPUTED_VALUE"""),2008.0)</f>
        <v>2008</v>
      </c>
      <c r="CA32" s="883"/>
      <c r="CB32" s="883"/>
      <c r="CC32" s="883" t="str">
        <f>IFERROR(__xludf.DUMMYFUNCTION("""COMPUTED_VALUE"""),"Yes")</f>
        <v>Yes</v>
      </c>
      <c r="CD32" s="884">
        <f>IFERROR(__xludf.DUMMYFUNCTION("""COMPUTED_VALUE"""),0.931)</f>
        <v>0.931</v>
      </c>
      <c r="CE32" s="883" t="str">
        <f>IFERROR(__xludf.DUMMYFUNCTION("""COMPUTED_VALUE"""),"Yes")</f>
        <v>Yes</v>
      </c>
      <c r="CF32" s="883"/>
      <c r="CG32" s="883" t="str">
        <f>IFERROR(__xludf.DUMMYFUNCTION("""COMPUTED_VALUE"""),"93.1% (3-4 weeks)")</f>
        <v>93.1% (3-4 weeks)</v>
      </c>
      <c r="CH32" s="883"/>
      <c r="CI32" s="883"/>
      <c r="CJ32" s="883"/>
      <c r="CK32" s="883"/>
      <c r="CL32" s="883"/>
      <c r="CM32" s="883"/>
      <c r="CN32" s="883" t="str">
        <f>IFERROR(__xludf.DUMMYFUNCTION("""COMPUTED_VALUE"""),"&gt;99.9% (3-4 weeks)")</f>
        <v>&gt;99.9% (3-4 weeks)</v>
      </c>
      <c r="CO32" s="883"/>
      <c r="CP32" s="883"/>
      <c r="CQ32" s="883"/>
      <c r="CR32" s="883"/>
      <c r="CS32" s="883"/>
      <c r="CT32" s="883"/>
      <c r="CU32" s="883"/>
      <c r="CV32" s="863"/>
      <c r="CW32" s="863"/>
      <c r="CX32" s="863"/>
      <c r="CY32" s="863"/>
      <c r="CZ32" s="863"/>
      <c r="DA32" s="863"/>
      <c r="DB32" s="863"/>
      <c r="DC32" s="863"/>
      <c r="DD32" s="863"/>
      <c r="DE32" s="863"/>
    </row>
    <row r="33">
      <c r="A33" s="887" t="str">
        <f>IFERROR(__xludf.DUMMYFUNCTION("""COMPUTED_VALUE"""),"Ekenjoku et al.")</f>
        <v>Ekenjoku et al.</v>
      </c>
      <c r="B33" s="876" t="str">
        <f>IFERROR(__xludf.DUMMYFUNCTION("""COMPUTED_VALUE"""),"Nigeria")</f>
        <v>Nigeria</v>
      </c>
      <c r="C33" s="876" t="str">
        <f>IFERROR(__xludf.DUMMYFUNCTION("""COMPUTED_VALUE"""),"Levamisole")</f>
        <v>Levamisole</v>
      </c>
      <c r="D33" s="876" t="str">
        <f>IFERROR(__xludf.DUMMYFUNCTION("""COMPUTED_VALUE"""),"Single")</f>
        <v>Single</v>
      </c>
      <c r="E33" s="876" t="str">
        <f>IFERROR(__xludf.DUMMYFUNCTION("""COMPUTED_VALUE"""),"2.5 mg/kg")</f>
        <v>2.5 mg/kg</v>
      </c>
      <c r="F33" s="876">
        <f>IFERROR(__xludf.DUMMYFUNCTION("""COMPUTED_VALUE"""),42.0)</f>
        <v>42</v>
      </c>
      <c r="G33" s="876">
        <f>IFERROR(__xludf.DUMMYFUNCTION("""COMPUTED_VALUE"""),42472.0)</f>
        <v>42472</v>
      </c>
      <c r="H33" s="876"/>
      <c r="I33" s="876">
        <f>IFERROR(__xludf.DUMMYFUNCTION("""COMPUTED_VALUE"""),2005.0)</f>
        <v>2005</v>
      </c>
      <c r="J33" s="876" t="str">
        <f>IFERROR(__xludf.DUMMYFUNCTION("""COMPUTED_VALUE"""),"included: age between 4 and 12years (both males &amp; females), residence within the community for 6 months and above, written consent from parents/ guardian and ability to ingest tablet with water")</f>
        <v>included: age between 4 and 12years (both males &amp; females), residence within the community for 6 months and above, written consent from parents/ guardian and ability to ingest tablet with water</v>
      </c>
      <c r="K33" s="876" t="str">
        <f>IFERROR(__xludf.DUMMYFUNCTION("""COMPUTED_VALUE"""),"open-label randomized comparative study")</f>
        <v>open-label randomized comparative study</v>
      </c>
      <c r="L33" s="876" t="str">
        <f>IFERROR(__xludf.DUMMYFUNCTION("""COMPUTED_VALUE"""),"Yes")</f>
        <v>Yes</v>
      </c>
      <c r="M33" s="876" t="str">
        <f>IFERROR(__xludf.DUMMYFUNCTION("""COMPUTED_VALUE"""),"No")</f>
        <v>No</v>
      </c>
      <c r="N33" s="877">
        <f>IFERROR(__xludf.DUMMYFUNCTION("""COMPUTED_VALUE"""),0.1786)</f>
        <v>0.1786</v>
      </c>
      <c r="O33" s="876">
        <f>IFERROR(__xludf.DUMMYFUNCTION("""COMPUTED_VALUE"""),0.1786)</f>
        <v>0.1786</v>
      </c>
      <c r="P33" s="876"/>
      <c r="Q33" s="876"/>
      <c r="R33" s="876"/>
      <c r="S33" s="876"/>
      <c r="T33" s="876"/>
      <c r="U33" s="876"/>
      <c r="V33" s="876"/>
      <c r="W33" s="876"/>
      <c r="X33" s="876"/>
      <c r="Y33" s="876"/>
      <c r="Z33" s="876"/>
      <c r="AA33" s="876"/>
      <c r="AB33" s="876"/>
      <c r="AC33" s="876"/>
      <c r="AD33" s="876"/>
      <c r="AE33" s="876" t="str">
        <f>IFERROR(__xludf.DUMMYFUNCTION("""COMPUTED_VALUE"""),"The overall result indicates that Mebendazolewas the most efficacious agent against the three common intestinal worms.")</f>
        <v>The overall result indicates that Mebendazolewas the most efficacious agent against the three common intestinal worms.</v>
      </c>
      <c r="AF33" s="876" t="str">
        <f>IFERROR(__xludf.DUMMYFUNCTION("""COMPUTED_VALUE"""),"The efficacy of the drugs was determined by the level of clearance of worm egg/ova from fresh stool samples of the pupils on post-treatment examination.")</f>
        <v>The efficacy of the drugs was determined by the level of clearance of worm egg/ova from fresh stool samples of the pupils on post-treatment examination.</v>
      </c>
      <c r="AG33" s="876" t="str">
        <f>IFERROR(__xludf.DUMMYFUNCTION("""COMPUTED_VALUE"""),"Ekenjoku, A. J., C. Oringanje, and M. M. Meremikwu. ""Comparative Efficacy of Levamisole, Mebendazole, and Pyrantel Pamoate against Common Intestinal Nematodes among Children in Calabar, South-south Nigeria."" Institute of Tropical Diseases Research and P"&amp;"revention 40.3 (2013): 217-21. Web.")</f>
        <v>Ekenjoku, A. J., C. Oringanje, and M. M. Meremikwu. "Comparative Efficacy of Levamisole, Mebendazole, and Pyrantel Pamoate against Common Intestinal Nematodes among Children in Calabar, South-south Nigeria." Institute of Tropical Diseases Research and Prevention 40.3 (2013): 217-21. Web.</v>
      </c>
      <c r="AH33" s="876"/>
      <c r="AI33" s="878"/>
      <c r="AJ33" s="888" t="str">
        <f>IFERROR(__xludf.DUMMYFUNCTION("""COMPUTED_VALUE"""),"Smith et al.")</f>
        <v>Smith et al.</v>
      </c>
      <c r="AK33" s="880" t="str">
        <f>IFERROR(__xludf.DUMMYFUNCTION("""COMPUTED_VALUE"""),"Albonico, Marco, Peter G. Smith, Elena Ercole, Andrew Hall, Hababu M. Chwaya, Kassim S. Alawi, and Lorenzo Savoli. ""Rate of Reinfection with Tenstinal Nematodes after Treatment of Children with Mebendazoleor Albendazolein a Highly Endemic Area."" Transac"&amp;"tions of the Royal Society of Tropical Medicine and Hygiene 89 (1995): 538-41. Web.")</f>
        <v>Albonico, Marco, Peter G. Smith, Elena Ercole, Andrew Hall, Hababu M. Chwaya, Kassim S. Alawi, and Lorenzo Savoli. "Rate of Reinfection with Tenstinal Nematodes after Treatment of Children with Mebendazoleor Albendazolein a Highly Endemic Area." Transactions of the Royal Society of Tropical Medicine and Hygiene 89 (1995): 538-41. Web.</v>
      </c>
      <c r="AL33" s="880" t="str">
        <f>IFERROR(__xludf.DUMMYFUNCTION("""COMPUTED_VALUE"""),"Tanzania")</f>
        <v>Tanzania</v>
      </c>
      <c r="AM33" s="880" t="str">
        <f>IFERROR(__xludf.DUMMYFUNCTION("""COMPUTED_VALUE"""),"Albendazole")</f>
        <v>Albendazole</v>
      </c>
      <c r="AN33" s="880" t="str">
        <f>IFERROR(__xludf.DUMMYFUNCTION("""COMPUTED_VALUE"""),"Single")</f>
        <v>Single</v>
      </c>
      <c r="AO33" s="880" t="str">
        <f>IFERROR(__xludf.DUMMYFUNCTION("""COMPUTED_VALUE"""),"400 mg")</f>
        <v>400 mg</v>
      </c>
      <c r="AP33" s="880">
        <f>IFERROR(__xludf.DUMMYFUNCTION("""COMPUTED_VALUE"""),377.0)</f>
        <v>377</v>
      </c>
      <c r="AQ33" s="880"/>
      <c r="AR33" s="880"/>
      <c r="AS33" s="880">
        <f>IFERROR(__xludf.DUMMYFUNCTION("""COMPUTED_VALUE"""),1994.0)</f>
        <v>1994</v>
      </c>
      <c r="AT33" s="880"/>
      <c r="AU33" s="880" t="str">
        <f>IFERROR(__xludf.DUMMYFUNCTION("""COMPUTED_VALUE"""),"Yes")</f>
        <v>Yes</v>
      </c>
      <c r="AV33" s="880" t="str">
        <f>IFERROR(__xludf.DUMMYFUNCTION("""COMPUTED_VALUE"""),"No")</f>
        <v>No</v>
      </c>
      <c r="AW33" s="881" t="str">
        <f>IFERROR(__xludf.DUMMYFUNCTION("""COMPUTED_VALUE"""),"randomized trial")</f>
        <v>randomized trial</v>
      </c>
      <c r="AX33" s="863"/>
      <c r="AY33" s="863"/>
      <c r="AZ33" s="863"/>
      <c r="BA33" s="863"/>
      <c r="BB33" s="863"/>
      <c r="BC33" s="863"/>
      <c r="BD33" s="863"/>
      <c r="BE33" s="863"/>
      <c r="BF33" s="863"/>
      <c r="BG33" s="863"/>
      <c r="BH33" s="863">
        <f>IFERROR(__xludf.DUMMYFUNCTION("""COMPUTED_VALUE"""),0.578)</f>
        <v>0.578</v>
      </c>
      <c r="BI33" s="863"/>
      <c r="BJ33" s="863"/>
      <c r="BK33" s="863"/>
      <c r="BL33" s="863"/>
      <c r="BM33" s="863"/>
      <c r="BN33" s="863"/>
      <c r="BO33" s="863" t="str">
        <f>IFERROR(__xludf.DUMMYFUNCTION("""COMPUTED_VALUE"""),"Kato-Katz Technique")</f>
        <v>Kato-Katz Technique</v>
      </c>
      <c r="BP33" s="880"/>
      <c r="BQ33" s="863"/>
      <c r="BR33" s="889" t="str">
        <f>IFERROR(__xludf.DUMMYFUNCTION("""COMPUTED_VALUE"""),"Speich et al. ")</f>
        <v>Speich et al. </v>
      </c>
      <c r="BS33" s="883" t="str">
        <f>IFERROR(__xludf.DUMMYFUNCTION("""COMPUTED_VALUE"""),"Tanzania")</f>
        <v>Tanzania</v>
      </c>
      <c r="BT33" s="883" t="str">
        <f>IFERROR(__xludf.DUMMYFUNCTION("""COMPUTED_VALUE"""),"Albendazole &amp; Nitazoxanide")</f>
        <v>Albendazole &amp; Nitazoxanide</v>
      </c>
      <c r="BU33" s="883"/>
      <c r="BV33" s="883" t="str">
        <f>IFERROR(__xludf.DUMMYFUNCTION("""COMPUTED_VALUE"""),"Single")</f>
        <v>Single</v>
      </c>
      <c r="BW33" s="883" t="str">
        <f>IFERROR(__xludf.DUMMYFUNCTION("""COMPUTED_VALUE"""),"1000 mg; 400 mg")</f>
        <v>1000 mg; 400 mg</v>
      </c>
      <c r="BX33" s="883">
        <f>IFERROR(__xludf.DUMMYFUNCTION("""COMPUTED_VALUE"""),6.0)</f>
        <v>6</v>
      </c>
      <c r="BY33" s="883">
        <f>IFERROR(__xludf.DUMMYFUNCTION("""COMPUTED_VALUE"""),9.7)</f>
        <v>9.7</v>
      </c>
      <c r="BZ33" s="883">
        <f>IFERROR(__xludf.DUMMYFUNCTION("""COMPUTED_VALUE"""),2011.0)</f>
        <v>2011</v>
      </c>
      <c r="CA33" s="883" t="str">
        <f>IFERROR(__xludf.DUMMYFUNCTION("""COMPUTED_VALUE"""),"Male:82 Female:83")</f>
        <v>Male:82 Female:83</v>
      </c>
      <c r="CB33" s="883" t="str">
        <f>IFERROR(__xludf.DUMMYFUNCTION("""COMPUTED_VALUE"""),"Exclusion criteria were: (i) presence of any abnormal medical condition, judged by the study physician; (ii) history of acute or severe chronic disease (cancer, diabetes, chronic heart, liver, or renal disease); and (iii) recent use of anthelmintic drugs "&amp;"(within past 4 weeks).")</f>
        <v>Exclusion criteria were: (i) presence of any abnormal medical condition, judged by the study physician; (ii) history of acute or severe chronic disease (cancer, diabetes, chronic heart, liver, or renal disease); and (iii) recent use of anthelmintic drugs (within past 4 weeks).</v>
      </c>
      <c r="CC33" s="883" t="str">
        <f>IFERROR(__xludf.DUMMYFUNCTION("""COMPUTED_VALUE"""),"Yes")</f>
        <v>Yes</v>
      </c>
      <c r="CD33" s="884">
        <f>IFERROR(__xludf.DUMMYFUNCTION("""COMPUTED_VALUE"""),1.0)</f>
        <v>1</v>
      </c>
      <c r="CE33" s="883" t="str">
        <f>IFERROR(__xludf.DUMMYFUNCTION("""COMPUTED_VALUE"""),"Yes")</f>
        <v>Yes</v>
      </c>
      <c r="CF33" s="883"/>
      <c r="CG33" s="891">
        <f>IFERROR(__xludf.DUMMYFUNCTION("""COMPUTED_VALUE"""),1.0)</f>
        <v>1</v>
      </c>
      <c r="CH33" s="883"/>
      <c r="CI33" s="883"/>
      <c r="CJ33" s="883"/>
      <c r="CK33" s="883"/>
      <c r="CL33" s="883"/>
      <c r="CM33" s="883"/>
      <c r="CN33" s="883"/>
      <c r="CO33" s="883"/>
      <c r="CP33" s="883"/>
      <c r="CQ33" s="883"/>
      <c r="CR33" s="883"/>
      <c r="CS33" s="883"/>
      <c r="CT33" s="883" t="str">
        <f>IFERROR(__xludf.DUMMYFUNCTION("""COMPUTED_VALUE"""),"Kato-Katz")</f>
        <v>Kato-Katz</v>
      </c>
      <c r="CU33" s="883"/>
      <c r="CV33" s="863"/>
      <c r="CW33" s="863"/>
      <c r="CX33" s="863"/>
      <c r="CY33" s="863"/>
      <c r="CZ33" s="863"/>
      <c r="DA33" s="863"/>
      <c r="DB33" s="863"/>
      <c r="DC33" s="863"/>
      <c r="DD33" s="863"/>
      <c r="DE33" s="863"/>
    </row>
    <row r="34">
      <c r="A34" s="887" t="str">
        <f>IFERROR(__xludf.DUMMYFUNCTION("""COMPUTED_VALUE"""),"Farid et al.")</f>
        <v>Farid et al.</v>
      </c>
      <c r="B34" s="876" t="str">
        <f>IFERROR(__xludf.DUMMYFUNCTION("""COMPUTED_VALUE"""),"Egypt")</f>
        <v>Egypt</v>
      </c>
      <c r="C34" s="876" t="str">
        <f>IFERROR(__xludf.DUMMYFUNCTION("""COMPUTED_VALUE"""),"Levamisole")</f>
        <v>Levamisole</v>
      </c>
      <c r="D34" s="876" t="str">
        <f>IFERROR(__xludf.DUMMYFUNCTION("""COMPUTED_VALUE"""),"Single")</f>
        <v>Single</v>
      </c>
      <c r="E34" s="876" t="str">
        <f>IFERROR(__xludf.DUMMYFUNCTION("""COMPUTED_VALUE"""),"150 mg")</f>
        <v>150 mg</v>
      </c>
      <c r="F34" s="876">
        <f>IFERROR(__xludf.DUMMYFUNCTION("""COMPUTED_VALUE"""),41.0)</f>
        <v>41</v>
      </c>
      <c r="G34" s="876">
        <f>IFERROR(__xludf.DUMMYFUNCTION("""COMPUTED_VALUE"""),21.6)</f>
        <v>21.6</v>
      </c>
      <c r="H34" s="876" t="str">
        <f>IFERROR(__xludf.DUMMYFUNCTION("""COMPUTED_VALUE"""),"male farmers")</f>
        <v>male farmers</v>
      </c>
      <c r="I34" s="876" t="str">
        <f>IFERROR(__xludf.DUMMYFUNCTION("""COMPUTED_VALUE"""),"1997")</f>
        <v>1997</v>
      </c>
      <c r="J34" s="876" t="str">
        <f>IFERROR(__xludf.DUMMYFUNCTION("""COMPUTED_VALUE"""),"Patients in each group were comparable with regard to age, intensity of infection, severity of illness as reflected by haemoglobin levels and nutritional status. ")</f>
        <v>Patients in each group were comparable with regard to age, intensity of infection, severity of illness as reflected by haemoglobin levels and nutritional status. </v>
      </c>
      <c r="K34" s="876" t="str">
        <f>IFERROR(__xludf.DUMMYFUNCTION("""COMPUTED_VALUE"""),"randomized controlled trial")</f>
        <v>randomized controlled trial</v>
      </c>
      <c r="L34" s="876" t="str">
        <f>IFERROR(__xludf.DUMMYFUNCTION("""COMPUTED_VALUE"""),"Yes")</f>
        <v>Yes</v>
      </c>
      <c r="M34" s="876" t="str">
        <f>IFERROR(__xludf.DUMMYFUNCTION("""COMPUTED_VALUE"""),"No")</f>
        <v>No</v>
      </c>
      <c r="N34" s="877">
        <f>IFERROR(__xludf.DUMMYFUNCTION("""COMPUTED_VALUE"""),0.93)</f>
        <v>0.93</v>
      </c>
      <c r="O34" s="876"/>
      <c r="P34" s="876">
        <f>IFERROR(__xludf.DUMMYFUNCTION("""COMPUTED_VALUE"""),0.93)</f>
        <v>0.93</v>
      </c>
      <c r="Q34" s="876"/>
      <c r="R34" s="876"/>
      <c r="S34" s="876"/>
      <c r="T34" s="876"/>
      <c r="U34" s="876"/>
      <c r="V34" s="876"/>
      <c r="W34" s="876"/>
      <c r="X34" s="876"/>
      <c r="Y34" s="876"/>
      <c r="Z34" s="876"/>
      <c r="AA34" s="876"/>
      <c r="AB34" s="876"/>
      <c r="AC34" s="876"/>
      <c r="AD34" s="876"/>
      <c r="AE34" s="876" t="str">
        <f>IFERROR(__xludf.DUMMYFUNCTION("""COMPUTED_VALUE"""),"Levamisole compares very favourably with Pyrantel and is superior to bephenium in the treatment of mixed hookworm and roundworm infections.")</f>
        <v>Levamisole compares very favourably with Pyrantel and is superior to bephenium in the treatment of mixed hookworm and roundworm infections.</v>
      </c>
      <c r="AF34" s="876" t="str">
        <f>IFERROR(__xludf.DUMMYFUNCTION("""COMPUTED_VALUE"""),"Stoll dilution technique")</f>
        <v>Stoll dilution technique</v>
      </c>
      <c r="AG34" s="876" t="str">
        <f>IFERROR(__xludf.DUMMYFUNCTION("""COMPUTED_VALUE"""),"Farid Z, Bassily S, Miner W F, Hassan A, Laughlin L W. (1977) Comparative Single/Dose Treatment of Hookworm and Roundworm Infections With Levamisol Pyrantel and Bephenium. US Naval Medical Research Unit No. 3 and Abbassia Fever Hospital, Ministry of Healt"&amp;"h. Web.")</f>
        <v>Farid Z, Bassily S, Miner W F, Hassan A, Laughlin L W. (1977) Comparative Single/Dose Treatment of Hookworm and Roundworm Infections With Levamisol Pyrantel and Bephenium. US Naval Medical Research Unit No. 3 and Abbassia Fever Hospital, Ministry of Health. Web.</v>
      </c>
      <c r="AH34" s="876" t="str">
        <f>IFERROR(__xludf.DUMMYFUNCTION("""COMPUTED_VALUE"""),"x")</f>
        <v>x</v>
      </c>
      <c r="AI34" s="878"/>
      <c r="AJ34" s="888" t="str">
        <f>IFERROR(__xludf.DUMMYFUNCTION("""COMPUTED_VALUE"""),"Smith et al.")</f>
        <v>Smith et al.</v>
      </c>
      <c r="AK34" s="880"/>
      <c r="AL34" s="880" t="str">
        <f>IFERROR(__xludf.DUMMYFUNCTION("""COMPUTED_VALUE"""),"Tanzania")</f>
        <v>Tanzania</v>
      </c>
      <c r="AM34" s="880" t="str">
        <f>IFERROR(__xludf.DUMMYFUNCTION("""COMPUTED_VALUE"""),"Mebendazole")</f>
        <v>Mebendazole</v>
      </c>
      <c r="AN34" s="880" t="str">
        <f>IFERROR(__xludf.DUMMYFUNCTION("""COMPUTED_VALUE"""),"Single")</f>
        <v>Single</v>
      </c>
      <c r="AO34" s="880" t="str">
        <f>IFERROR(__xludf.DUMMYFUNCTION("""COMPUTED_VALUE"""),"500 mg")</f>
        <v>500 mg</v>
      </c>
      <c r="AP34" s="880">
        <f>IFERROR(__xludf.DUMMYFUNCTION("""COMPUTED_VALUE"""),354.0)</f>
        <v>354</v>
      </c>
      <c r="AQ34" s="880"/>
      <c r="AR34" s="880"/>
      <c r="AS34" s="880">
        <f>IFERROR(__xludf.DUMMYFUNCTION("""COMPUTED_VALUE"""),1994.0)</f>
        <v>1994</v>
      </c>
      <c r="AT34" s="880"/>
      <c r="AU34" s="880" t="str">
        <f>IFERROR(__xludf.DUMMYFUNCTION("""COMPUTED_VALUE"""),"Yes")</f>
        <v>Yes</v>
      </c>
      <c r="AV34" s="880" t="str">
        <f>IFERROR(__xludf.DUMMYFUNCTION("""COMPUTED_VALUE"""),"No")</f>
        <v>No</v>
      </c>
      <c r="AW34" s="881" t="str">
        <f>IFERROR(__xludf.DUMMYFUNCTION("""COMPUTED_VALUE"""),"randomized trial")</f>
        <v>randomized trial</v>
      </c>
      <c r="AX34" s="863"/>
      <c r="AY34" s="863"/>
      <c r="AZ34" s="863"/>
      <c r="BA34" s="863"/>
      <c r="BB34" s="863"/>
      <c r="BC34" s="863"/>
      <c r="BD34" s="863"/>
      <c r="BE34" s="863"/>
      <c r="BF34" s="863"/>
      <c r="BG34" s="863"/>
      <c r="BH34" s="863">
        <f>IFERROR(__xludf.DUMMYFUNCTION("""COMPUTED_VALUE"""),0.772)</f>
        <v>0.772</v>
      </c>
      <c r="BI34" s="863"/>
      <c r="BJ34" s="863"/>
      <c r="BK34" s="863"/>
      <c r="BL34" s="863"/>
      <c r="BM34" s="863"/>
      <c r="BN34" s="863"/>
      <c r="BO34" s="863"/>
      <c r="BP34" s="880"/>
      <c r="BQ34" s="863"/>
      <c r="BR34" s="889" t="str">
        <f>IFERROR(__xludf.DUMMYFUNCTION("""COMPUTED_VALUE"""),"Speich et al. ")</f>
        <v>Speich et al. </v>
      </c>
      <c r="BS34" s="883" t="str">
        <f>IFERROR(__xludf.DUMMYFUNCTION("""COMPUTED_VALUE"""),"Tanzania")</f>
        <v>Tanzania</v>
      </c>
      <c r="BT34" s="883" t="str">
        <f>IFERROR(__xludf.DUMMYFUNCTION("""COMPUTED_VALUE"""),"Albendazole")</f>
        <v>Albendazole</v>
      </c>
      <c r="BU34" s="883"/>
      <c r="BV34" s="883" t="str">
        <f>IFERROR(__xludf.DUMMYFUNCTION("""COMPUTED_VALUE"""),"Single")</f>
        <v>Single</v>
      </c>
      <c r="BW34" s="883" t="str">
        <f>IFERROR(__xludf.DUMMYFUNCTION("""COMPUTED_VALUE"""),"400 mg")</f>
        <v>400 mg</v>
      </c>
      <c r="BX34" s="883">
        <f>IFERROR(__xludf.DUMMYFUNCTION("""COMPUTED_VALUE"""),9.0)</f>
        <v>9</v>
      </c>
      <c r="BY34" s="883">
        <f>IFERROR(__xludf.DUMMYFUNCTION("""COMPUTED_VALUE"""),9.8)</f>
        <v>9.8</v>
      </c>
      <c r="BZ34" s="883">
        <f>IFERROR(__xludf.DUMMYFUNCTION("""COMPUTED_VALUE"""),2011.0)</f>
        <v>2011</v>
      </c>
      <c r="CA34" s="883" t="str">
        <f>IFERROR(__xludf.DUMMYFUNCTION("""COMPUTED_VALUE"""),"Male:85 Female:92")</f>
        <v>Male:85 Female:92</v>
      </c>
      <c r="CB34" s="883"/>
      <c r="CC34" s="883" t="str">
        <f>IFERROR(__xludf.DUMMYFUNCTION("""COMPUTED_VALUE"""),"Yes")</f>
        <v>Yes</v>
      </c>
      <c r="CD34" s="884">
        <f>IFERROR(__xludf.DUMMYFUNCTION("""COMPUTED_VALUE"""),1.0)</f>
        <v>1</v>
      </c>
      <c r="CE34" s="883" t="str">
        <f>IFERROR(__xludf.DUMMYFUNCTION("""COMPUTED_VALUE"""),"Yes")</f>
        <v>Yes</v>
      </c>
      <c r="CF34" s="883"/>
      <c r="CG34" s="891">
        <f>IFERROR(__xludf.DUMMYFUNCTION("""COMPUTED_VALUE"""),1.0)</f>
        <v>1</v>
      </c>
      <c r="CH34" s="883"/>
      <c r="CI34" s="883"/>
      <c r="CJ34" s="883"/>
      <c r="CK34" s="883"/>
      <c r="CL34" s="883"/>
      <c r="CM34" s="883"/>
      <c r="CN34" s="883"/>
      <c r="CO34" s="883"/>
      <c r="CP34" s="883"/>
      <c r="CQ34" s="883"/>
      <c r="CR34" s="883"/>
      <c r="CS34" s="883"/>
      <c r="CT34" s="883"/>
      <c r="CU34" s="883"/>
      <c r="CV34" s="863"/>
      <c r="CW34" s="863"/>
      <c r="CX34" s="863"/>
      <c r="CY34" s="863"/>
      <c r="CZ34" s="863"/>
      <c r="DA34" s="863"/>
      <c r="DB34" s="863"/>
      <c r="DC34" s="863"/>
      <c r="DD34" s="863"/>
      <c r="DE34" s="863"/>
    </row>
    <row r="35">
      <c r="A35" s="887" t="str">
        <f>IFERROR(__xludf.DUMMYFUNCTION("""COMPUTED_VALUE"""),"Farid et al.")</f>
        <v>Farid et al.</v>
      </c>
      <c r="B35" s="876" t="str">
        <f>IFERROR(__xludf.DUMMYFUNCTION("""COMPUTED_VALUE"""),"Egypt")</f>
        <v>Egypt</v>
      </c>
      <c r="C35" s="876" t="str">
        <f>IFERROR(__xludf.DUMMYFUNCTION("""COMPUTED_VALUE"""),"Pyrantel")</f>
        <v>Pyrantel</v>
      </c>
      <c r="D35" s="876" t="str">
        <f>IFERROR(__xludf.DUMMYFUNCTION("""COMPUTED_VALUE"""),"Single")</f>
        <v>Single</v>
      </c>
      <c r="E35" s="876" t="str">
        <f>IFERROR(__xludf.DUMMYFUNCTION("""COMPUTED_VALUE"""),"750 mg")</f>
        <v>750 mg</v>
      </c>
      <c r="F35" s="876">
        <f>IFERROR(__xludf.DUMMYFUNCTION("""COMPUTED_VALUE"""),36.0)</f>
        <v>36</v>
      </c>
      <c r="G35" s="876">
        <f>IFERROR(__xludf.DUMMYFUNCTION("""COMPUTED_VALUE"""),18.2)</f>
        <v>18.2</v>
      </c>
      <c r="H35" s="876" t="str">
        <f>IFERROR(__xludf.DUMMYFUNCTION("""COMPUTED_VALUE"""),"male farmers")</f>
        <v>male farmers</v>
      </c>
      <c r="I35" s="876" t="str">
        <f>IFERROR(__xludf.DUMMYFUNCTION("""COMPUTED_VALUE"""),"1997")</f>
        <v>1997</v>
      </c>
      <c r="J35" s="876" t="str">
        <f>IFERROR(__xludf.DUMMYFUNCTION("""COMPUTED_VALUE"""),"Patients in each group were comparable with regard to age, intensity of infection, severity of illness as reflected by haemoglobin levels and nutritional status. ")</f>
        <v>Patients in each group were comparable with regard to age, intensity of infection, severity of illness as reflected by haemoglobin levels and nutritional status. </v>
      </c>
      <c r="K35" s="876" t="str">
        <f>IFERROR(__xludf.DUMMYFUNCTION("""COMPUTED_VALUE"""),"randomized controlled trial")</f>
        <v>randomized controlled trial</v>
      </c>
      <c r="L35" s="876" t="str">
        <f>IFERROR(__xludf.DUMMYFUNCTION("""COMPUTED_VALUE"""),"Yes")</f>
        <v>Yes</v>
      </c>
      <c r="M35" s="876" t="str">
        <f>IFERROR(__xludf.DUMMYFUNCTION("""COMPUTED_VALUE"""),"No")</f>
        <v>No</v>
      </c>
      <c r="N35" s="877">
        <f>IFERROR(__xludf.DUMMYFUNCTION("""COMPUTED_VALUE"""),0.78)</f>
        <v>0.78</v>
      </c>
      <c r="O35" s="876"/>
      <c r="P35" s="876">
        <f>IFERROR(__xludf.DUMMYFUNCTION("""COMPUTED_VALUE"""),0.78)</f>
        <v>0.78</v>
      </c>
      <c r="Q35" s="876"/>
      <c r="R35" s="876"/>
      <c r="S35" s="876"/>
      <c r="T35" s="876"/>
      <c r="U35" s="876"/>
      <c r="V35" s="876"/>
      <c r="W35" s="876"/>
      <c r="X35" s="876"/>
      <c r="Y35" s="876"/>
      <c r="Z35" s="876"/>
      <c r="AA35" s="876"/>
      <c r="AB35" s="876"/>
      <c r="AC35" s="876"/>
      <c r="AD35" s="876"/>
      <c r="AE35" s="876" t="str">
        <f>IFERROR(__xludf.DUMMYFUNCTION("""COMPUTED_VALUE"""),"Levamisole compares very favourably with Pyrantel and is superior to bephenium in the treatment of mixed hookworm and roundworm infections.")</f>
        <v>Levamisole compares very favourably with Pyrantel and is superior to bephenium in the treatment of mixed hookworm and roundworm infections.</v>
      </c>
      <c r="AF35" s="876" t="str">
        <f>IFERROR(__xludf.DUMMYFUNCTION("""COMPUTED_VALUE"""),"Stoll dilution technique")</f>
        <v>Stoll dilution technique</v>
      </c>
      <c r="AG35" s="876" t="str">
        <f>IFERROR(__xludf.DUMMYFUNCTION("""COMPUTED_VALUE"""),"Farid Z, Bassily S, Miner W F, Hassan A, Laughlin L W. (1977) Comparative Single/Dose Treatment of Hookworm and Roundworm Infections With Levamisol Pyrantel and Bephenium. US Naval Medical Research Unit No. 3 and Abbassia Fever Hospital, Ministry of Healt"&amp;"h. Web.")</f>
        <v>Farid Z, Bassily S, Miner W F, Hassan A, Laughlin L W. (1977) Comparative Single/Dose Treatment of Hookworm and Roundworm Infections With Levamisol Pyrantel and Bephenium. US Naval Medical Research Unit No. 3 and Abbassia Fever Hospital, Ministry of Health. Web.</v>
      </c>
      <c r="AH35" s="876" t="str">
        <f>IFERROR(__xludf.DUMMYFUNCTION("""COMPUTED_VALUE"""),"x")</f>
        <v>x</v>
      </c>
      <c r="AI35" s="878"/>
      <c r="AJ35" s="888" t="str">
        <f>IFERROR(__xludf.DUMMYFUNCTION("""COMPUTED_VALUE"""),"Albonico et al.")</f>
        <v>Albonico et al.</v>
      </c>
      <c r="AK35" s="880" t="str">
        <f>IFERROR(__xludf.DUMMYFUNCTION("""COMPUTED_VALUE"""),"Albonico, M., Q. Bickle, M. Ramsan, A. Montresor, L. Savioli, and M. Taylor. ""Efficacy of Mebendazoleand LevamisoleAlone or in Combination against Intestinal Nematode Infections after Repeated Targeted MebendazoleTreatment in Zanzibar."" Bulletin of the "&amp;"World Health Organization 81.5 (2003): 343-52. Web.")</f>
        <v>Albonico, M., Q. Bickle, M. Ramsan, A. Montresor, L. Savioli, and M. Taylor. "Efficacy of Mebendazoleand LevamisoleAlone or in Combination against Intestinal Nematode Infections after Repeated Targeted MebendazoleTreatment in Zanzibar." Bulletin of the World Health Organization 81.5 (2003): 343-52. Web.</v>
      </c>
      <c r="AL35" s="880" t="str">
        <f>IFERROR(__xludf.DUMMYFUNCTION("""COMPUTED_VALUE"""),"Tanzania")</f>
        <v>Tanzania</v>
      </c>
      <c r="AM35" s="880" t="str">
        <f>IFERROR(__xludf.DUMMYFUNCTION("""COMPUTED_VALUE"""),"Mebendazole")</f>
        <v>Mebendazole</v>
      </c>
      <c r="AN35" s="880" t="str">
        <f>IFERROR(__xludf.DUMMYFUNCTION("""COMPUTED_VALUE"""),"Single")</f>
        <v>Single</v>
      </c>
      <c r="AO35" s="880" t="str">
        <f>IFERROR(__xludf.DUMMYFUNCTION("""COMPUTED_VALUE"""),"500 mg")</f>
        <v>500 mg</v>
      </c>
      <c r="AP35" s="880">
        <f>IFERROR(__xludf.DUMMYFUNCTION("""COMPUTED_VALUE"""),914.0)</f>
        <v>914</v>
      </c>
      <c r="AQ35" s="880">
        <f>IFERROR(__xludf.DUMMYFUNCTION("""COMPUTED_VALUE"""),11.5)</f>
        <v>11.5</v>
      </c>
      <c r="AR35" s="880" t="str">
        <f>IFERROR(__xludf.DUMMYFUNCTION("""COMPUTED_VALUE"""),"Male:48.4%")</f>
        <v>Male:48.4%</v>
      </c>
      <c r="AS35" s="880">
        <f>IFERROR(__xludf.DUMMYFUNCTION("""COMPUTED_VALUE"""),1999.0)</f>
        <v>1999</v>
      </c>
      <c r="AT35" s="880" t="str">
        <f>IFERROR(__xludf.DUMMYFUNCTION("""COMPUTED_VALUE"""),"Excluded if children did not have parental or guardian permission to participate, did not provide a stool sample, had significant comorbidities (severe diarrhoea, severe anaemia, or high fever) or had recently transferred to the school from an area outsid"&amp;"e of Zanzibar")</f>
        <v>Excluded if children did not have parental or guardian permission to participate, did not provide a stool sample, had significant comorbidities (severe diarrhoea, severe anaemia, or high fever) or had recently transferred to the school from an area outside of Zanzibar</v>
      </c>
      <c r="AU35" s="880" t="str">
        <f>IFERROR(__xludf.DUMMYFUNCTION("""COMPUTED_VALUE"""),"Yes")</f>
        <v>Yes</v>
      </c>
      <c r="AV35" s="880" t="str">
        <f>IFERROR(__xludf.DUMMYFUNCTION("""COMPUTED_VALUE"""),"Yes")</f>
        <v>Yes</v>
      </c>
      <c r="AW35" s="881" t="str">
        <f>IFERROR(__xludf.DUMMYFUNCTION("""COMPUTED_VALUE"""),"randomized placebo controlled trial, single blind")</f>
        <v>randomized placebo controlled trial, single blind</v>
      </c>
      <c r="AX35" s="863">
        <f>IFERROR(__xludf.DUMMYFUNCTION("""COMPUTED_VALUE"""),0.229)</f>
        <v>0.229</v>
      </c>
      <c r="AY35" s="863"/>
      <c r="AZ35" s="863">
        <f>IFERROR(__xludf.DUMMYFUNCTION("""COMPUTED_VALUE"""),0.229)</f>
        <v>0.229</v>
      </c>
      <c r="BA35" s="863"/>
      <c r="BB35" s="863"/>
      <c r="BC35" s="863"/>
      <c r="BD35" s="863"/>
      <c r="BE35" s="863"/>
      <c r="BF35" s="863"/>
      <c r="BG35" s="863"/>
      <c r="BH35" s="863">
        <f>IFERROR(__xludf.DUMMYFUNCTION("""COMPUTED_VALUE"""),0.81)</f>
        <v>0.81</v>
      </c>
      <c r="BI35" s="863"/>
      <c r="BJ35" s="863"/>
      <c r="BK35" s="863"/>
      <c r="BL35" s="863"/>
      <c r="BM35" s="863"/>
      <c r="BN35" s="863"/>
      <c r="BO35" s="863" t="str">
        <f>IFERROR(__xludf.DUMMYFUNCTION("""COMPUTED_VALUE"""),"Kato-Katz Technique")</f>
        <v>Kato-Katz Technique</v>
      </c>
      <c r="BP35" s="880"/>
      <c r="BQ35" s="863"/>
      <c r="BR35" s="889" t="str">
        <f>IFERROR(__xludf.DUMMYFUNCTION("""COMPUTED_VALUE"""),"Speich et al. ")</f>
        <v>Speich et al. </v>
      </c>
      <c r="BS35" s="883" t="str">
        <f>IFERROR(__xludf.DUMMYFUNCTION("""COMPUTED_VALUE"""),"Tanzania")</f>
        <v>Tanzania</v>
      </c>
      <c r="BT35" s="883" t="str">
        <f>IFERROR(__xludf.DUMMYFUNCTION("""COMPUTED_VALUE"""),"Nitazoxanide")</f>
        <v>Nitazoxanide</v>
      </c>
      <c r="BU35" s="883"/>
      <c r="BV35" s="883" t="str">
        <f>IFERROR(__xludf.DUMMYFUNCTION("""COMPUTED_VALUE"""),"Single")</f>
        <v>Single</v>
      </c>
      <c r="BW35" s="883" t="str">
        <f>IFERROR(__xludf.DUMMYFUNCTION("""COMPUTED_VALUE"""),"1000 mg")</f>
        <v>1000 mg</v>
      </c>
      <c r="BX35" s="883">
        <f>IFERROR(__xludf.DUMMYFUNCTION("""COMPUTED_VALUE"""),8.0)</f>
        <v>8</v>
      </c>
      <c r="BY35" s="883">
        <f>IFERROR(__xludf.DUMMYFUNCTION("""COMPUTED_VALUE"""),9.4)</f>
        <v>9.4</v>
      </c>
      <c r="BZ35" s="883">
        <f>IFERROR(__xludf.DUMMYFUNCTION("""COMPUTED_VALUE"""),2011.0)</f>
        <v>2011</v>
      </c>
      <c r="CA35" s="883" t="str">
        <f>IFERROR(__xludf.DUMMYFUNCTION("""COMPUTED_VALUE"""),"Male:94 Female:86")</f>
        <v>Male:94 Female:86</v>
      </c>
      <c r="CB35" s="883"/>
      <c r="CC35" s="883" t="str">
        <f>IFERROR(__xludf.DUMMYFUNCTION("""COMPUTED_VALUE"""),"Yes")</f>
        <v>Yes</v>
      </c>
      <c r="CD35" s="884">
        <f>IFERROR(__xludf.DUMMYFUNCTION("""COMPUTED_VALUE"""),0.625)</f>
        <v>0.625</v>
      </c>
      <c r="CE35" s="883" t="str">
        <f>IFERROR(__xludf.DUMMYFUNCTION("""COMPUTED_VALUE"""),"Yes")</f>
        <v>Yes</v>
      </c>
      <c r="CF35" s="883"/>
      <c r="CG35" s="884">
        <f>IFERROR(__xludf.DUMMYFUNCTION("""COMPUTED_VALUE"""),0.625)</f>
        <v>0.625</v>
      </c>
      <c r="CH35" s="883"/>
      <c r="CI35" s="883"/>
      <c r="CJ35" s="883"/>
      <c r="CK35" s="883"/>
      <c r="CL35" s="883"/>
      <c r="CM35" s="883"/>
      <c r="CN35" s="883"/>
      <c r="CO35" s="883"/>
      <c r="CP35" s="883"/>
      <c r="CQ35" s="883"/>
      <c r="CR35" s="883"/>
      <c r="CS35" s="883"/>
      <c r="CT35" s="883"/>
      <c r="CU35" s="883"/>
      <c r="CV35" s="863"/>
      <c r="CW35" s="863"/>
      <c r="CX35" s="863"/>
      <c r="CY35" s="863"/>
      <c r="CZ35" s="863"/>
      <c r="DA35" s="863"/>
      <c r="DB35" s="863"/>
      <c r="DC35" s="863"/>
      <c r="DD35" s="863"/>
      <c r="DE35" s="863"/>
    </row>
    <row r="36">
      <c r="A36" s="887" t="str">
        <f>IFERROR(__xludf.DUMMYFUNCTION("""COMPUTED_VALUE"""),"Farid et al.")</f>
        <v>Farid et al.</v>
      </c>
      <c r="B36" s="876" t="str">
        <f>IFERROR(__xludf.DUMMYFUNCTION("""COMPUTED_VALUE"""),"Egypt")</f>
        <v>Egypt</v>
      </c>
      <c r="C36" s="876" t="str">
        <f>IFERROR(__xludf.DUMMYFUNCTION("""COMPUTED_VALUE"""),"Bephenium")</f>
        <v>Bephenium</v>
      </c>
      <c r="D36" s="876" t="str">
        <f>IFERROR(__xludf.DUMMYFUNCTION("""COMPUTED_VALUE"""),"Single")</f>
        <v>Single</v>
      </c>
      <c r="E36" s="876" t="str">
        <f>IFERROR(__xludf.DUMMYFUNCTION("""COMPUTED_VALUE"""),"5 g")</f>
        <v>5 g</v>
      </c>
      <c r="F36" s="876">
        <f>IFERROR(__xludf.DUMMYFUNCTION("""COMPUTED_VALUE"""),36.0)</f>
        <v>36</v>
      </c>
      <c r="G36" s="876">
        <f>IFERROR(__xludf.DUMMYFUNCTION("""COMPUTED_VALUE"""),20.1)</f>
        <v>20.1</v>
      </c>
      <c r="H36" s="876" t="str">
        <f>IFERROR(__xludf.DUMMYFUNCTION("""COMPUTED_VALUE"""),"male farmers")</f>
        <v>male farmers</v>
      </c>
      <c r="I36" s="876" t="str">
        <f>IFERROR(__xludf.DUMMYFUNCTION("""COMPUTED_VALUE"""),"1997")</f>
        <v>1997</v>
      </c>
      <c r="J36" s="876" t="str">
        <f>IFERROR(__xludf.DUMMYFUNCTION("""COMPUTED_VALUE"""),"Patients in each group were comparable with regard to age, intensity of infection, severity of illness as reflected by haemoglobin levels and nutritional status. ")</f>
        <v>Patients in each group were comparable with regard to age, intensity of infection, severity of illness as reflected by haemoglobin levels and nutritional status. </v>
      </c>
      <c r="K36" s="876" t="str">
        <f>IFERROR(__xludf.DUMMYFUNCTION("""COMPUTED_VALUE"""),"randomized controlled trial")</f>
        <v>randomized controlled trial</v>
      </c>
      <c r="L36" s="876" t="str">
        <f>IFERROR(__xludf.DUMMYFUNCTION("""COMPUTED_VALUE"""),"Yes")</f>
        <v>Yes</v>
      </c>
      <c r="M36" s="876" t="str">
        <f>IFERROR(__xludf.DUMMYFUNCTION("""COMPUTED_VALUE"""),"No")</f>
        <v>No</v>
      </c>
      <c r="N36" s="877">
        <f>IFERROR(__xludf.DUMMYFUNCTION("""COMPUTED_VALUE"""),0.81)</f>
        <v>0.81</v>
      </c>
      <c r="O36" s="876"/>
      <c r="P36" s="876">
        <f>IFERROR(__xludf.DUMMYFUNCTION("""COMPUTED_VALUE"""),0.81)</f>
        <v>0.81</v>
      </c>
      <c r="Q36" s="876"/>
      <c r="R36" s="876"/>
      <c r="S36" s="876"/>
      <c r="T36" s="876"/>
      <c r="U36" s="876"/>
      <c r="V36" s="876"/>
      <c r="W36" s="876"/>
      <c r="X36" s="876"/>
      <c r="Y36" s="876"/>
      <c r="Z36" s="876"/>
      <c r="AA36" s="876"/>
      <c r="AB36" s="876"/>
      <c r="AC36" s="876"/>
      <c r="AD36" s="876"/>
      <c r="AE36" s="876" t="str">
        <f>IFERROR(__xludf.DUMMYFUNCTION("""COMPUTED_VALUE"""),"Levamisole compares very favourably with Pyrantel and is superior to bephenium in the treatment of mixed hookworm and roundworm infections.")</f>
        <v>Levamisole compares very favourably with Pyrantel and is superior to bephenium in the treatment of mixed hookworm and roundworm infections.</v>
      </c>
      <c r="AF36" s="876" t="str">
        <f>IFERROR(__xludf.DUMMYFUNCTION("""COMPUTED_VALUE"""),"Stoll dilution technique")</f>
        <v>Stoll dilution technique</v>
      </c>
      <c r="AG36" s="876" t="str">
        <f>IFERROR(__xludf.DUMMYFUNCTION("""COMPUTED_VALUE"""),"Farid Z, Bassily S, Miner W F, Hassan A, Laughlin L W. (1977) Comparative Single/Dose Treatment of Hookworm and Roundworm Infections With Levamisol Pyrantel and Bephenium. US Naval Medical Research Unit No. 3 and Abbassia Fever Hospital, Ministry of Healt"&amp;"h. Web.")</f>
        <v>Farid Z, Bassily S, Miner W F, Hassan A, Laughlin L W. (1977) Comparative Single/Dose Treatment of Hookworm and Roundworm Infections With Levamisol Pyrantel and Bephenium. US Naval Medical Research Unit No. 3 and Abbassia Fever Hospital, Ministry of Health. Web.</v>
      </c>
      <c r="AH36" s="876" t="str">
        <f>IFERROR(__xludf.DUMMYFUNCTION("""COMPUTED_VALUE"""),"x")</f>
        <v>x</v>
      </c>
      <c r="AI36" s="878"/>
      <c r="AJ36" s="888" t="str">
        <f>IFERROR(__xludf.DUMMYFUNCTION("""COMPUTED_VALUE"""),"Albonico et al.")</f>
        <v>Albonico et al.</v>
      </c>
      <c r="AK36" s="880"/>
      <c r="AL36" s="880" t="str">
        <f>IFERROR(__xludf.DUMMYFUNCTION("""COMPUTED_VALUE"""),"Tanzania")</f>
        <v>Tanzania</v>
      </c>
      <c r="AM36" s="880" t="str">
        <f>IFERROR(__xludf.DUMMYFUNCTION("""COMPUTED_VALUE"""),"Levamisole")</f>
        <v>Levamisole</v>
      </c>
      <c r="AN36" s="880" t="str">
        <f>IFERROR(__xludf.DUMMYFUNCTION("""COMPUTED_VALUE"""),"Single")</f>
        <v>Single</v>
      </c>
      <c r="AO36" s="880" t="str">
        <f>IFERROR(__xludf.DUMMYFUNCTION("""COMPUTED_VALUE"""),"40/80 mg")</f>
        <v>40/80 mg</v>
      </c>
      <c r="AP36" s="880"/>
      <c r="AQ36" s="880">
        <f>IFERROR(__xludf.DUMMYFUNCTION("""COMPUTED_VALUE"""),11.7)</f>
        <v>11.7</v>
      </c>
      <c r="AR36" s="880" t="str">
        <f>IFERROR(__xludf.DUMMYFUNCTION("""COMPUTED_VALUE"""),"Male:48.4%")</f>
        <v>Male:48.4%</v>
      </c>
      <c r="AS36" s="880">
        <f>IFERROR(__xludf.DUMMYFUNCTION("""COMPUTED_VALUE"""),1999.0)</f>
        <v>1999</v>
      </c>
      <c r="AT36" s="880" t="str">
        <f>IFERROR(__xludf.DUMMYFUNCTION("""COMPUTED_VALUE"""),"Excluded if children did not have parental or guardian permission to participate, did not provide a stool sample, had significant comorbidities (severe diarrhoea, severe anaemia, or high fever) or had recently transferred to the school from an area outsid"&amp;"e of Zanzibar")</f>
        <v>Excluded if children did not have parental or guardian permission to participate, did not provide a stool sample, had significant comorbidities (severe diarrhoea, severe anaemia, or high fever) or had recently transferred to the school from an area outside of Zanzibar</v>
      </c>
      <c r="AU36" s="880" t="str">
        <f>IFERROR(__xludf.DUMMYFUNCTION("""COMPUTED_VALUE"""),"Yes")</f>
        <v>Yes</v>
      </c>
      <c r="AV36" s="880" t="str">
        <f>IFERROR(__xludf.DUMMYFUNCTION("""COMPUTED_VALUE"""),"Yes")</f>
        <v>Yes</v>
      </c>
      <c r="AW36" s="881" t="str">
        <f>IFERROR(__xludf.DUMMYFUNCTION("""COMPUTED_VALUE"""),"randomized placebo controlled trial, single blind")</f>
        <v>randomized placebo controlled trial, single blind</v>
      </c>
      <c r="AX36" s="863">
        <f>IFERROR(__xludf.DUMMYFUNCTION("""COMPUTED_VALUE"""),0.096)</f>
        <v>0.096</v>
      </c>
      <c r="AY36" s="863"/>
      <c r="AZ36" s="863">
        <f>IFERROR(__xludf.DUMMYFUNCTION("""COMPUTED_VALUE"""),0.096)</f>
        <v>0.096</v>
      </c>
      <c r="BA36" s="863"/>
      <c r="BB36" s="863"/>
      <c r="BC36" s="863"/>
      <c r="BD36" s="863"/>
      <c r="BE36" s="863"/>
      <c r="BF36" s="863"/>
      <c r="BG36" s="863"/>
      <c r="BH36" s="863">
        <f>IFERROR(__xludf.DUMMYFUNCTION("""COMPUTED_VALUE"""),0.415)</f>
        <v>0.415</v>
      </c>
      <c r="BI36" s="863"/>
      <c r="BJ36" s="863"/>
      <c r="BK36" s="863"/>
      <c r="BL36" s="863"/>
      <c r="BM36" s="863"/>
      <c r="BN36" s="863"/>
      <c r="BO36" s="863"/>
      <c r="BP36" s="880"/>
      <c r="BQ36" s="863"/>
      <c r="BR36" s="889" t="str">
        <f>IFERROR(__xludf.DUMMYFUNCTION("""COMPUTED_VALUE"""),"Speich et al. ")</f>
        <v>Speich et al. </v>
      </c>
      <c r="BS36" s="883" t="str">
        <f>IFERROR(__xludf.DUMMYFUNCTION("""COMPUTED_VALUE"""),"Tanzania")</f>
        <v>Tanzania</v>
      </c>
      <c r="BT36" s="883" t="str">
        <f>IFERROR(__xludf.DUMMYFUNCTION("""COMPUTED_VALUE"""),"Placebo")</f>
        <v>Placebo</v>
      </c>
      <c r="BU36" s="883"/>
      <c r="BV36" s="883"/>
      <c r="BW36" s="883"/>
      <c r="BX36" s="883">
        <f>IFERROR(__xludf.DUMMYFUNCTION("""COMPUTED_VALUE"""),8.0)</f>
        <v>8</v>
      </c>
      <c r="BY36" s="883">
        <f>IFERROR(__xludf.DUMMYFUNCTION("""COMPUTED_VALUE"""),9.9)</f>
        <v>9.9</v>
      </c>
      <c r="BZ36" s="883">
        <f>IFERROR(__xludf.DUMMYFUNCTION("""COMPUTED_VALUE"""),2011.0)</f>
        <v>2011</v>
      </c>
      <c r="CA36" s="883"/>
      <c r="CB36" s="883"/>
      <c r="CC36" s="883" t="str">
        <f>IFERROR(__xludf.DUMMYFUNCTION("""COMPUTED_VALUE"""),"Yes")</f>
        <v>Yes</v>
      </c>
      <c r="CD36" s="884">
        <f>IFERROR(__xludf.DUMMYFUNCTION("""COMPUTED_VALUE"""),0.0)</f>
        <v>0</v>
      </c>
      <c r="CE36" s="883" t="str">
        <f>IFERROR(__xludf.DUMMYFUNCTION("""COMPUTED_VALUE"""),"Yes")</f>
        <v>Yes</v>
      </c>
      <c r="CF36" s="883"/>
      <c r="CG36" s="884">
        <f>IFERROR(__xludf.DUMMYFUNCTION("""COMPUTED_VALUE"""),0.0)</f>
        <v>0</v>
      </c>
      <c r="CH36" s="883"/>
      <c r="CI36" s="883"/>
      <c r="CJ36" s="883"/>
      <c r="CK36" s="883"/>
      <c r="CL36" s="883"/>
      <c r="CM36" s="883"/>
      <c r="CN36" s="883"/>
      <c r="CO36" s="883"/>
      <c r="CP36" s="883"/>
      <c r="CQ36" s="883"/>
      <c r="CR36" s="883"/>
      <c r="CS36" s="883"/>
      <c r="CT36" s="883"/>
      <c r="CU36" s="883"/>
      <c r="CV36" s="863"/>
      <c r="CW36" s="863"/>
      <c r="CX36" s="863"/>
      <c r="CY36" s="863"/>
      <c r="CZ36" s="863"/>
      <c r="DA36" s="863"/>
      <c r="DB36" s="863"/>
      <c r="DC36" s="863"/>
      <c r="DD36" s="863"/>
      <c r="DE36" s="863"/>
    </row>
    <row r="37">
      <c r="A37" s="887" t="str">
        <f>IFERROR(__xludf.DUMMYFUNCTION("""COMPUTED_VALUE"""),"Flohr et al. Study 1 ")</f>
        <v>Flohr et al. Study 1 </v>
      </c>
      <c r="B37" s="876" t="str">
        <f>IFERROR(__xludf.DUMMYFUNCTION("""COMPUTED_VALUE"""),"Viet Nam")</f>
        <v>Viet Nam</v>
      </c>
      <c r="C37" s="876" t="str">
        <f>IFERROR(__xludf.DUMMYFUNCTION("""COMPUTED_VALUE"""),"Placebo")</f>
        <v>Placebo</v>
      </c>
      <c r="D37" s="876"/>
      <c r="E37" s="876"/>
      <c r="F37" s="876">
        <f>IFERROR(__xludf.DUMMYFUNCTION("""COMPUTED_VALUE"""),134.0)</f>
        <v>134</v>
      </c>
      <c r="G37" s="876">
        <f>IFERROR(__xludf.DUMMYFUNCTION("""COMPUTED_VALUE"""),9.0)</f>
        <v>9</v>
      </c>
      <c r="H37" s="876"/>
      <c r="I37" s="876">
        <f>IFERROR(__xludf.DUMMYFUNCTION("""COMPUTED_VALUE"""),2006.0)</f>
        <v>2006</v>
      </c>
      <c r="J37" s="876" t="str">
        <f>IFERROR(__xludf.DUMMYFUNCTION("""COMPUTED_VALUE"""),"Must not be systematically ill or known to be allergic to the trial intervention")</f>
        <v>Must not be systematically ill or known to be allergic to the trial intervention</v>
      </c>
      <c r="K37" s="876" t="str">
        <f>IFERROR(__xludf.DUMMYFUNCTION("""COMPUTED_VALUE"""),"randomized double-blind placebo controlled study")</f>
        <v>randomized double-blind placebo controlled study</v>
      </c>
      <c r="L37" s="876" t="str">
        <f>IFERROR(__xludf.DUMMYFUNCTION("""COMPUTED_VALUE"""),"Yes")</f>
        <v>Yes</v>
      </c>
      <c r="M37" s="876" t="str">
        <f>IFERROR(__xludf.DUMMYFUNCTION("""COMPUTED_VALUE"""),"Yes")</f>
        <v>Yes</v>
      </c>
      <c r="N37" s="877">
        <f>IFERROR(__xludf.DUMMYFUNCTION("""COMPUTED_VALUE"""),0.33)</f>
        <v>0.33</v>
      </c>
      <c r="O37" s="876">
        <f>IFERROR(__xludf.DUMMYFUNCTION("""COMPUTED_VALUE"""),0.33)</f>
        <v>0.33</v>
      </c>
      <c r="P37" s="876"/>
      <c r="Q37" s="876"/>
      <c r="R37" s="876"/>
      <c r="S37" s="876"/>
      <c r="T37" s="876"/>
      <c r="U37" s="876"/>
      <c r="V37" s="876"/>
      <c r="W37" s="876">
        <f>IFERROR(__xludf.DUMMYFUNCTION("""COMPUTED_VALUE"""),0.41)</f>
        <v>0.41</v>
      </c>
      <c r="X37" s="876"/>
      <c r="Y37" s="876"/>
      <c r="Z37" s="876"/>
      <c r="AA37" s="876"/>
      <c r="AB37" s="876"/>
      <c r="AC37" s="876"/>
      <c r="AD37" s="876"/>
      <c r="AE37" s="876" t="str">
        <f>IFERROR(__xludf.DUMMYFUNCTION("""COMPUTED_VALUE"""),"The first study showed that single dose generic MB was not significantly superior to placebo agaisnt hookworm in rural vietnamese children.")</f>
        <v>The first study showed that single dose generic MB was not significantly superior to placebo agaisnt hookworm in rural vietnamese children.</v>
      </c>
      <c r="AF37" s="876" t="str">
        <f>IFERROR(__xludf.DUMMYFUNCTION("""COMPUTED_VALUE"""),"Two controlled, randomized trials were carried out: 1) Study 1 tested the efficacy of single dose Mebendazole500 mg in the therapy of hookworm infection in a randomized double-blind placebo-controlled trial among 271 Vietnamese schoolchildren.  2) Study 2"&amp;" carried out a similar randomized trial comparing triple dose mebendazole, single dose albendazole, and triple dose Albendazoleagainst placebo in 209 adults in the same area.")</f>
        <v>Two controlled, randomized trials were carried out: 1) Study 1 tested the efficacy of single dose Mebendazole500 mg in the therapy of hookworm infection in a randomized double-blind placebo-controlled trial among 271 Vietnamese schoolchildren.  2) Study 2 carried out a similar randomized trial comparing triple dose mebendazole, single dose albendazole, and triple dose Albendazoleagainst placebo in 209 adults in the same area.</v>
      </c>
      <c r="AG37" s="876" t="str">
        <f>IFERROR(__xludf.DUMMYFUNCTION("""COMPUTED_VALUE"""),"Flohr, Carsten, Luc Nguyen Tuyen, Sarah Lewis, Truong Tan Minh, Jim Campbell, John Britton, Hywel Williams, Tran Tinh Hien, Jeremy Farrar, and Rupert J. Quinnell. ""Low Efficacy of MebendazoleAgainst Hookworm In Vietnam: Two Randomized Controlled Trials."&amp;""" The American Society of Tropical Medicine and Hygiene 76.4 (2007): 732-36. Web.")</f>
        <v>Flohr, Carsten, Luc Nguyen Tuyen, Sarah Lewis, Truong Tan Minh, Jim Campbell, John Britton, Hywel Williams, Tran Tinh Hien, Jeremy Farrar, and Rupert J. Quinnell. "Low Efficacy of MebendazoleAgainst Hookworm In Vietnam: Two Randomized Controlled Trials." The American Society of Tropical Medicine and Hygiene 76.4 (2007): 732-36. Web.</v>
      </c>
      <c r="AH37" s="876"/>
      <c r="AI37" s="878"/>
      <c r="AJ37" s="888" t="str">
        <f>IFERROR(__xludf.DUMMYFUNCTION("""COMPUTED_VALUE"""),"Albonico et al.")</f>
        <v>Albonico et al.</v>
      </c>
      <c r="AK37" s="880"/>
      <c r="AL37" s="880" t="str">
        <f>IFERROR(__xludf.DUMMYFUNCTION("""COMPUTED_VALUE"""),"Tanzania")</f>
        <v>Tanzania</v>
      </c>
      <c r="AM37" s="880" t="str">
        <f>IFERROR(__xludf.DUMMYFUNCTION("""COMPUTED_VALUE"""),"Levamisole &amp; Mebendazole")</f>
        <v>Levamisole &amp; Mebendazole</v>
      </c>
      <c r="AN37" s="880" t="str">
        <f>IFERROR(__xludf.DUMMYFUNCTION("""COMPUTED_VALUE"""),"Single")</f>
        <v>Single</v>
      </c>
      <c r="AO37" s="880" t="str">
        <f>IFERROR(__xludf.DUMMYFUNCTION("""COMPUTED_VALUE"""),"40/80 mg; 500 mg")</f>
        <v>40/80 mg; 500 mg</v>
      </c>
      <c r="AP37" s="880"/>
      <c r="AQ37" s="880">
        <f>IFERROR(__xludf.DUMMYFUNCTION("""COMPUTED_VALUE"""),11.7)</f>
        <v>11.7</v>
      </c>
      <c r="AR37" s="880" t="str">
        <f>IFERROR(__xludf.DUMMYFUNCTION("""COMPUTED_VALUE"""),"Male:48.4%")</f>
        <v>Male:48.4%</v>
      </c>
      <c r="AS37" s="880">
        <f>IFERROR(__xludf.DUMMYFUNCTION("""COMPUTED_VALUE"""),1999.0)</f>
        <v>1999</v>
      </c>
      <c r="AT37" s="880" t="str">
        <f>IFERROR(__xludf.DUMMYFUNCTION("""COMPUTED_VALUE"""),"Excluded if children did not have parental or guardian permission to participate, did not provide a stool sample, had significant comorbidities (severe diarrhoea, severe anaemia, or high fever) or had recently transferred to the school from an area outsid"&amp;"e of Zanzibar")</f>
        <v>Excluded if children did not have parental or guardian permission to participate, did not provide a stool sample, had significant comorbidities (severe diarrhoea, severe anaemia, or high fever) or had recently transferred to the school from an area outside of Zanzibar</v>
      </c>
      <c r="AU37" s="880" t="str">
        <f>IFERROR(__xludf.DUMMYFUNCTION("""COMPUTED_VALUE"""),"Yes")</f>
        <v>Yes</v>
      </c>
      <c r="AV37" s="880" t="str">
        <f>IFERROR(__xludf.DUMMYFUNCTION("""COMPUTED_VALUE"""),"Yes")</f>
        <v>Yes</v>
      </c>
      <c r="AW37" s="881" t="str">
        <f>IFERROR(__xludf.DUMMYFUNCTION("""COMPUTED_VALUE"""),"randomized placebo controlled trial, single blind")</f>
        <v>randomized placebo controlled trial, single blind</v>
      </c>
      <c r="AX37" s="863">
        <f>IFERROR(__xludf.DUMMYFUNCTION("""COMPUTED_VALUE"""),0.229)</f>
        <v>0.229</v>
      </c>
      <c r="AY37" s="863"/>
      <c r="AZ37" s="863">
        <f>IFERROR(__xludf.DUMMYFUNCTION("""COMPUTED_VALUE"""),0.229)</f>
        <v>0.229</v>
      </c>
      <c r="BA37" s="863"/>
      <c r="BB37" s="863"/>
      <c r="BC37" s="863"/>
      <c r="BD37" s="863"/>
      <c r="BE37" s="863"/>
      <c r="BF37" s="863"/>
      <c r="BG37" s="863"/>
      <c r="BH37" s="863">
        <f>IFERROR(__xludf.DUMMYFUNCTION("""COMPUTED_VALUE"""),0.85)</f>
        <v>0.85</v>
      </c>
      <c r="BI37" s="863"/>
      <c r="BJ37" s="863"/>
      <c r="BK37" s="863"/>
      <c r="BL37" s="863"/>
      <c r="BM37" s="863"/>
      <c r="BN37" s="863"/>
      <c r="BO37" s="863"/>
      <c r="BP37" s="880"/>
      <c r="BQ37" s="863"/>
      <c r="BR37" s="889" t="str">
        <f>IFERROR(__xludf.DUMMYFUNCTION("""COMPUTED_VALUE"""),"Raccurt et al. ")</f>
        <v>Raccurt et al. </v>
      </c>
      <c r="BS37" s="883" t="str">
        <f>IFERROR(__xludf.DUMMYFUNCTION("""COMPUTED_VALUE"""),"Cameroon")</f>
        <v>Cameroon</v>
      </c>
      <c r="BT37" s="883" t="str">
        <f>IFERROR(__xludf.DUMMYFUNCTION("""COMPUTED_VALUE"""),"Albendazole")</f>
        <v>Albendazole</v>
      </c>
      <c r="BU37" s="883"/>
      <c r="BV37" s="883" t="str">
        <f>IFERROR(__xludf.DUMMYFUNCTION("""COMPUTED_VALUE"""),"Single")</f>
        <v>Single</v>
      </c>
      <c r="BW37" s="883" t="str">
        <f>IFERROR(__xludf.DUMMYFUNCTION("""COMPUTED_VALUE"""),"400 mg")</f>
        <v>400 mg</v>
      </c>
      <c r="BX37" s="883">
        <f>IFERROR(__xludf.DUMMYFUNCTION("""COMPUTED_VALUE"""),140.0)</f>
        <v>140</v>
      </c>
      <c r="BY37" s="890">
        <f>IFERROR(__xludf.DUMMYFUNCTION("""COMPUTED_VALUE"""),42443.0)</f>
        <v>42443</v>
      </c>
      <c r="BZ37" s="883">
        <f>IFERROR(__xludf.DUMMYFUNCTION("""COMPUTED_VALUE"""),1986.0)</f>
        <v>1986</v>
      </c>
      <c r="CA37" s="883" t="str">
        <f>IFERROR(__xludf.DUMMYFUNCTION("""COMPUTED_VALUE"""),"Males:79 Females:61")</f>
        <v>Males:79 Females:61</v>
      </c>
      <c r="CB37" s="883"/>
      <c r="CC37" s="883" t="str">
        <f>IFERROR(__xludf.DUMMYFUNCTION("""COMPUTED_VALUE"""),"No")</f>
        <v>No</v>
      </c>
      <c r="CD37" s="884">
        <f>IFERROR(__xludf.DUMMYFUNCTION("""COMPUTED_VALUE"""),1.0)</f>
        <v>1</v>
      </c>
      <c r="CE37" s="883" t="str">
        <f>IFERROR(__xludf.DUMMYFUNCTION("""COMPUTED_VALUE"""),"No")</f>
        <v>No</v>
      </c>
      <c r="CF37" s="883"/>
      <c r="CG37" s="883"/>
      <c r="CH37" s="883"/>
      <c r="CI37" s="883"/>
      <c r="CJ37" s="883"/>
      <c r="CK37" s="883"/>
      <c r="CL37" s="883"/>
      <c r="CM37" s="883"/>
      <c r="CN37" s="883"/>
      <c r="CO37" s="883"/>
      <c r="CP37" s="883"/>
      <c r="CQ37" s="883"/>
      <c r="CR37" s="883"/>
      <c r="CS37" s="883"/>
      <c r="CT37" s="883" t="str">
        <f>IFERROR(__xludf.DUMMYFUNCTION("""COMPUTED_VALUE"""),"Kato-Katz Method")</f>
        <v>Kato-Katz Method</v>
      </c>
      <c r="CU37" s="883"/>
      <c r="CV37" s="863"/>
      <c r="CW37" s="863"/>
      <c r="CX37" s="863"/>
      <c r="CY37" s="863"/>
      <c r="CZ37" s="863"/>
      <c r="DA37" s="863"/>
      <c r="DB37" s="863"/>
      <c r="DC37" s="863"/>
      <c r="DD37" s="863"/>
      <c r="DE37" s="863"/>
    </row>
    <row r="38">
      <c r="A38" s="887" t="str">
        <f>IFERROR(__xludf.DUMMYFUNCTION("""COMPUTED_VALUE"""),"Flohr et al. Study 1 ")</f>
        <v>Flohr et al. Study 1 </v>
      </c>
      <c r="B38" s="876" t="str">
        <f>IFERROR(__xludf.DUMMYFUNCTION("""COMPUTED_VALUE"""),"Viet Nam")</f>
        <v>Viet Nam</v>
      </c>
      <c r="C38" s="876" t="str">
        <f>IFERROR(__xludf.DUMMYFUNCTION("""COMPUTED_VALUE"""),"Mebendazole")</f>
        <v>Mebendazole</v>
      </c>
      <c r="D38" s="876" t="str">
        <f>IFERROR(__xludf.DUMMYFUNCTION("""COMPUTED_VALUE"""),"Single")</f>
        <v>Single</v>
      </c>
      <c r="E38" s="876" t="str">
        <f>IFERROR(__xludf.DUMMYFUNCTION("""COMPUTED_VALUE"""),"500 mg")</f>
        <v>500 mg</v>
      </c>
      <c r="F38" s="876">
        <f>IFERROR(__xludf.DUMMYFUNCTION("""COMPUTED_VALUE"""),137.0)</f>
        <v>137</v>
      </c>
      <c r="G38" s="876">
        <f>IFERROR(__xludf.DUMMYFUNCTION("""COMPUTED_VALUE"""),9.0)</f>
        <v>9</v>
      </c>
      <c r="H38" s="876"/>
      <c r="I38" s="876">
        <f>IFERROR(__xludf.DUMMYFUNCTION("""COMPUTED_VALUE"""),2006.0)</f>
        <v>2006</v>
      </c>
      <c r="J38" s="876" t="str">
        <f>IFERROR(__xludf.DUMMYFUNCTION("""COMPUTED_VALUE"""),"Must not be systematically ill or known to be allergic to the trial intervention")</f>
        <v>Must not be systematically ill or known to be allergic to the trial intervention</v>
      </c>
      <c r="K38" s="876" t="str">
        <f>IFERROR(__xludf.DUMMYFUNCTION("""COMPUTED_VALUE"""),"randomized double-blind placebo controlled study")</f>
        <v>randomized double-blind placebo controlled study</v>
      </c>
      <c r="L38" s="876" t="str">
        <f>IFERROR(__xludf.DUMMYFUNCTION("""COMPUTED_VALUE"""),"Yes")</f>
        <v>Yes</v>
      </c>
      <c r="M38" s="876" t="str">
        <f>IFERROR(__xludf.DUMMYFUNCTION("""COMPUTED_VALUE"""),"Yes")</f>
        <v>Yes</v>
      </c>
      <c r="N38" s="877">
        <f>IFERROR(__xludf.DUMMYFUNCTION("""COMPUTED_VALUE"""),0.38)</f>
        <v>0.38</v>
      </c>
      <c r="O38" s="876">
        <f>IFERROR(__xludf.DUMMYFUNCTION("""COMPUTED_VALUE"""),0.38)</f>
        <v>0.38</v>
      </c>
      <c r="P38" s="876"/>
      <c r="Q38" s="876"/>
      <c r="R38" s="876"/>
      <c r="S38" s="876"/>
      <c r="T38" s="876"/>
      <c r="U38" s="876"/>
      <c r="V38" s="876"/>
      <c r="W38" s="876">
        <f>IFERROR(__xludf.DUMMYFUNCTION("""COMPUTED_VALUE"""),0.52)</f>
        <v>0.52</v>
      </c>
      <c r="X38" s="876"/>
      <c r="Y38" s="876"/>
      <c r="Z38" s="876"/>
      <c r="AA38" s="876"/>
      <c r="AB38" s="876"/>
      <c r="AC38" s="876"/>
      <c r="AD38" s="876"/>
      <c r="AE38" s="876" t="str">
        <f>IFERROR(__xludf.DUMMYFUNCTION("""COMPUTED_VALUE"""),"The first study showed that single dose generic MB was not significantly superior to placebo agaisnt hookworm in rural vietnamese children.")</f>
        <v>The first study showed that single dose generic MB was not significantly superior to placebo agaisnt hookworm in rural vietnamese children.</v>
      </c>
      <c r="AF38" s="876" t="str">
        <f>IFERROR(__xludf.DUMMYFUNCTION("""COMPUTED_VALUE"""),"Two controlled, randomized trials were carried out: 1) Study 1 tested the efficacy of single dose Mebendazole500 mg in the therapy of hookworm infection in a randomized double-blind placebo-controlled trial among 271 Vietnamese schoolchildren.  2) Study 2"&amp;" carried out a similar randomized trial comparing triple dose mebendazole, single dose albendazole, and triple dose Albendazoleagainst placebo in 209 adults in the same area.")</f>
        <v>Two controlled, randomized trials were carried out: 1) Study 1 tested the efficacy of single dose Mebendazole500 mg in the therapy of hookworm infection in a randomized double-blind placebo-controlled trial among 271 Vietnamese schoolchildren.  2) Study 2 carried out a similar randomized trial comparing triple dose mebendazole, single dose albendazole, and triple dose Albendazoleagainst placebo in 209 adults in the same area.</v>
      </c>
      <c r="AG38" s="876" t="str">
        <f>IFERROR(__xludf.DUMMYFUNCTION("""COMPUTED_VALUE"""),"Flohr, Carsten, Luc Nguyen Tuyen, Sarah Lewis, Truong Tan Minh, Jim Campbell, John Britton, Hywel Williams, Tran Tinh Hien, Jeremy Farrar, and Rupert J. Quinnell. ""Low Efficacy of MebendazoleAgainst Hookworm In Vietnam: Two Randomized Controlled Trials."&amp;""" The American Society of Tropical Medicine and Hygiene 76.4 (2007): 732-36. Web.")</f>
        <v>Flohr, Carsten, Luc Nguyen Tuyen, Sarah Lewis, Truong Tan Minh, Jim Campbell, John Britton, Hywel Williams, Tran Tinh Hien, Jeremy Farrar, and Rupert J. Quinnell. "Low Efficacy of MebendazoleAgainst Hookworm In Vietnam: Two Randomized Controlled Trials." The American Society of Tropical Medicine and Hygiene 76.4 (2007): 732-36. Web.</v>
      </c>
      <c r="AH38" s="876"/>
      <c r="AI38" s="878"/>
      <c r="AJ38" s="888" t="str">
        <f>IFERROR(__xludf.DUMMYFUNCTION("""COMPUTED_VALUE"""),"Albonico et al.")</f>
        <v>Albonico et al.</v>
      </c>
      <c r="AK38" s="880"/>
      <c r="AL38" s="880" t="str">
        <f>IFERROR(__xludf.DUMMYFUNCTION("""COMPUTED_VALUE"""),"Tanzania")</f>
        <v>Tanzania</v>
      </c>
      <c r="AM38" s="880" t="str">
        <f>IFERROR(__xludf.DUMMYFUNCTION("""COMPUTED_VALUE"""),"Placebo")</f>
        <v>Placebo</v>
      </c>
      <c r="AN38" s="880"/>
      <c r="AO38" s="880"/>
      <c r="AP38" s="880"/>
      <c r="AQ38" s="880">
        <f>IFERROR(__xludf.DUMMYFUNCTION("""COMPUTED_VALUE"""),11.6)</f>
        <v>11.6</v>
      </c>
      <c r="AR38" s="880" t="str">
        <f>IFERROR(__xludf.DUMMYFUNCTION("""COMPUTED_VALUE"""),"Male:48.4%")</f>
        <v>Male:48.4%</v>
      </c>
      <c r="AS38" s="880">
        <f>IFERROR(__xludf.DUMMYFUNCTION("""COMPUTED_VALUE"""),1999.0)</f>
        <v>1999</v>
      </c>
      <c r="AT38" s="880" t="str">
        <f>IFERROR(__xludf.DUMMYFUNCTION("""COMPUTED_VALUE"""),"Excluded if children did not have parental or guardian permission to participate, did not provide a stool sample, had significant comorbidities (severe diarrhoea, severe anaemia, or high fever) or had recently transferred to the school from an area outsid"&amp;"e of Zanzibar")</f>
        <v>Excluded if children did not have parental or guardian permission to participate, did not provide a stool sample, had significant comorbidities (severe diarrhoea, severe anaemia, or high fever) or had recently transferred to the school from an area outside of Zanzibar</v>
      </c>
      <c r="AU38" s="880" t="str">
        <f>IFERROR(__xludf.DUMMYFUNCTION("""COMPUTED_VALUE"""),"Yes")</f>
        <v>Yes</v>
      </c>
      <c r="AV38" s="880" t="str">
        <f>IFERROR(__xludf.DUMMYFUNCTION("""COMPUTED_VALUE"""),"Yes")</f>
        <v>Yes</v>
      </c>
      <c r="AW38" s="881" t="str">
        <f>IFERROR(__xludf.DUMMYFUNCTION("""COMPUTED_VALUE"""),"randomized placebo controlled trial, single blind")</f>
        <v>randomized placebo controlled trial, single blind</v>
      </c>
      <c r="AX38" s="863">
        <f>IFERROR(__xludf.DUMMYFUNCTION("""COMPUTED_VALUE"""),0.048)</f>
        <v>0.048</v>
      </c>
      <c r="AY38" s="863"/>
      <c r="AZ38" s="863">
        <f>IFERROR(__xludf.DUMMYFUNCTION("""COMPUTED_VALUE"""),0.048)</f>
        <v>0.048</v>
      </c>
      <c r="BA38" s="863"/>
      <c r="BB38" s="863"/>
      <c r="BC38" s="863"/>
      <c r="BD38" s="863"/>
      <c r="BE38" s="863"/>
      <c r="BF38" s="863"/>
      <c r="BG38" s="863"/>
      <c r="BH38" s="863">
        <f>IFERROR(__xludf.DUMMYFUNCTION("""COMPUTED_VALUE"""),0.183)</f>
        <v>0.183</v>
      </c>
      <c r="BI38" s="863"/>
      <c r="BJ38" s="863"/>
      <c r="BK38" s="863"/>
      <c r="BL38" s="863"/>
      <c r="BM38" s="863"/>
      <c r="BN38" s="863"/>
      <c r="BO38" s="863"/>
      <c r="BP38" s="880"/>
      <c r="BQ38" s="863"/>
      <c r="BR38" s="889" t="str">
        <f>IFERROR(__xludf.DUMMYFUNCTION("""COMPUTED_VALUE"""),"Raccurt et al. ")</f>
        <v>Raccurt et al. </v>
      </c>
      <c r="BS38" s="883" t="str">
        <f>IFERROR(__xludf.DUMMYFUNCTION("""COMPUTED_VALUE"""),"Cameroon")</f>
        <v>Cameroon</v>
      </c>
      <c r="BT38" s="883" t="str">
        <f>IFERROR(__xludf.DUMMYFUNCTION("""COMPUTED_VALUE"""),"Albendazole")</f>
        <v>Albendazole</v>
      </c>
      <c r="BU38" s="883"/>
      <c r="BV38" s="883" t="str">
        <f>IFERROR(__xludf.DUMMYFUNCTION("""COMPUTED_VALUE"""),"Single")</f>
        <v>Single</v>
      </c>
      <c r="BW38" s="883" t="str">
        <f>IFERROR(__xludf.DUMMYFUNCTION("""COMPUTED_VALUE"""),"400 mg")</f>
        <v>400 mg</v>
      </c>
      <c r="BX38" s="883">
        <f>IFERROR(__xludf.DUMMYFUNCTION("""COMPUTED_VALUE"""),56.0)</f>
        <v>56</v>
      </c>
      <c r="BY38" s="883" t="str">
        <f>IFERROR(__xludf.DUMMYFUNCTION("""COMPUTED_VALUE"""),"15-39 ")</f>
        <v>15-39 </v>
      </c>
      <c r="BZ38" s="883">
        <f>IFERROR(__xludf.DUMMYFUNCTION("""COMPUTED_VALUE"""),1986.0)</f>
        <v>1986</v>
      </c>
      <c r="CA38" s="883" t="str">
        <f>IFERROR(__xludf.DUMMYFUNCTION("""COMPUTED_VALUE"""),"Males:32 Females:24")</f>
        <v>Males:32 Females:24</v>
      </c>
      <c r="CB38" s="883"/>
      <c r="CC38" s="883" t="str">
        <f>IFERROR(__xludf.DUMMYFUNCTION("""COMPUTED_VALUE"""),"No")</f>
        <v>No</v>
      </c>
      <c r="CD38" s="884"/>
      <c r="CE38" s="883" t="str">
        <f>IFERROR(__xludf.DUMMYFUNCTION("""COMPUTED_VALUE"""),"No")</f>
        <v>No</v>
      </c>
      <c r="CF38" s="883"/>
      <c r="CG38" s="883"/>
      <c r="CH38" s="883"/>
      <c r="CI38" s="883"/>
      <c r="CJ38" s="883"/>
      <c r="CK38" s="883"/>
      <c r="CL38" s="883"/>
      <c r="CM38" s="883"/>
      <c r="CN38" s="883"/>
      <c r="CO38" s="883"/>
      <c r="CP38" s="883"/>
      <c r="CQ38" s="883"/>
      <c r="CR38" s="883"/>
      <c r="CS38" s="883"/>
      <c r="CT38" s="883"/>
      <c r="CU38" s="883"/>
      <c r="CV38" s="863"/>
      <c r="CW38" s="863"/>
      <c r="CX38" s="863"/>
      <c r="CY38" s="863"/>
      <c r="CZ38" s="863"/>
      <c r="DA38" s="863"/>
      <c r="DB38" s="863"/>
      <c r="DC38" s="863"/>
      <c r="DD38" s="863"/>
      <c r="DE38" s="863"/>
    </row>
    <row r="39">
      <c r="A39" s="887" t="str">
        <f>IFERROR(__xludf.DUMMYFUNCTION("""COMPUTED_VALUE"""),"Flohr et al. Study 1 ")</f>
        <v>Flohr et al. Study 1 </v>
      </c>
      <c r="B39" s="876" t="str">
        <f>IFERROR(__xludf.DUMMYFUNCTION("""COMPUTED_VALUE"""),"Viet Nam")</f>
        <v>Viet Nam</v>
      </c>
      <c r="C39" s="876" t="str">
        <f>IFERROR(__xludf.DUMMYFUNCTION("""COMPUTED_VALUE"""),"Placebo")</f>
        <v>Placebo</v>
      </c>
      <c r="D39" s="876"/>
      <c r="E39" s="876"/>
      <c r="F39" s="876">
        <f>IFERROR(__xludf.DUMMYFUNCTION("""COMPUTED_VALUE"""),54.0)</f>
        <v>54</v>
      </c>
      <c r="G39" s="876">
        <f>IFERROR(__xludf.DUMMYFUNCTION("""COMPUTED_VALUE"""),37.0)</f>
        <v>37</v>
      </c>
      <c r="H39" s="876"/>
      <c r="I39" s="876">
        <f>IFERROR(__xludf.DUMMYFUNCTION("""COMPUTED_VALUE"""),2006.0)</f>
        <v>2006</v>
      </c>
      <c r="J39" s="876" t="str">
        <f>IFERROR(__xludf.DUMMYFUNCTION("""COMPUTED_VALUE"""),"Must not be systematically ill or known to be allergic to the trial intervention")</f>
        <v>Must not be systematically ill or known to be allergic to the trial intervention</v>
      </c>
      <c r="K39" s="876" t="str">
        <f>IFERROR(__xludf.DUMMYFUNCTION("""COMPUTED_VALUE"""),"randomized double-blind placebo controlled study")</f>
        <v>randomized double-blind placebo controlled study</v>
      </c>
      <c r="L39" s="876" t="str">
        <f>IFERROR(__xludf.DUMMYFUNCTION("""COMPUTED_VALUE"""),"Yes")</f>
        <v>Yes</v>
      </c>
      <c r="M39" s="876" t="str">
        <f>IFERROR(__xludf.DUMMYFUNCTION("""COMPUTED_VALUE"""),"Yes")</f>
        <v>Yes</v>
      </c>
      <c r="N39" s="877">
        <f>IFERROR(__xludf.DUMMYFUNCTION("""COMPUTED_VALUE"""),0.35)</f>
        <v>0.35</v>
      </c>
      <c r="O39" s="876">
        <f>IFERROR(__xludf.DUMMYFUNCTION("""COMPUTED_VALUE"""),0.35)</f>
        <v>0.35</v>
      </c>
      <c r="P39" s="876"/>
      <c r="Q39" s="876"/>
      <c r="R39" s="876"/>
      <c r="S39" s="876"/>
      <c r="T39" s="876"/>
      <c r="U39" s="876"/>
      <c r="V39" s="876"/>
      <c r="W39" s="876">
        <f>IFERROR(__xludf.DUMMYFUNCTION("""COMPUTED_VALUE"""),0.13)</f>
        <v>0.13</v>
      </c>
      <c r="X39" s="876"/>
      <c r="Y39" s="876"/>
      <c r="Z39" s="876"/>
      <c r="AA39" s="876"/>
      <c r="AB39" s="876"/>
      <c r="AC39" s="876"/>
      <c r="AD39" s="876"/>
      <c r="AE39" s="876" t="str">
        <f>IFERROR(__xludf.DUMMYFUNCTION("""COMPUTED_VALUE"""),"As ALB has a higher efficacy against hookworm infection than MB, they also compared single and triple doses. They found that all three treatments were better than placebo in terms of reduction of fecal egg count, with triple dose ALB being the most effica"&amp;"cious")</f>
        <v>As ALB has a higher efficacy against hookworm infection than MB, they also compared single and triple doses. They found that all three treatments were better than placebo in terms of reduction of fecal egg count, with triple dose ALB being the most efficacious</v>
      </c>
      <c r="AF39" s="876" t="str">
        <f>IFERROR(__xludf.DUMMYFUNCTION("""COMPUTED_VALUE"""),"Two controlled, randomized trials were carried out: 1) Study 1 tested the efficacy of single dose Mebendazole500 mg in the therapy of hookworm infection in a randomized double-blind placebo-controlled trial among 271 Vietnamese schoolchildren.  2) Study 2"&amp;" carried out a similar randomized trial comparing triple dose mebendazole, single dose albendazole, and triple dose Albendazoleagainst placebo in 209 adults in the same area.")</f>
        <v>Two controlled, randomized trials were carried out: 1) Study 1 tested the efficacy of single dose Mebendazole500 mg in the therapy of hookworm infection in a randomized double-blind placebo-controlled trial among 271 Vietnamese schoolchildren.  2) Study 2 carried out a similar randomized trial comparing triple dose mebendazole, single dose albendazole, and triple dose Albendazoleagainst placebo in 209 adults in the same area.</v>
      </c>
      <c r="AG39" s="876" t="str">
        <f>IFERROR(__xludf.DUMMYFUNCTION("""COMPUTED_VALUE"""),"Flohr, Carsten, Luc Nguyen Tuyen, Sarah Lewis, Truong Tan Minh, Jim Campbell, John Britton, Hywel Williams, Tran Tinh Hien, Jeremy Farrar, and Rupert J. Quinnell. ""Low Efficacy of MebendazoleAgainst Hookworm In Vietnam: Two Randomized Controlled Trials."&amp;""" The American Society of Tropical Medicine and Hygiene 76.4 (2007): 732-36. Web.")</f>
        <v>Flohr, Carsten, Luc Nguyen Tuyen, Sarah Lewis, Truong Tan Minh, Jim Campbell, John Britton, Hywel Williams, Tran Tinh Hien, Jeremy Farrar, and Rupert J. Quinnell. "Low Efficacy of MebendazoleAgainst Hookworm In Vietnam: Two Randomized Controlled Trials." The American Society of Tropical Medicine and Hygiene 76.4 (2007): 732-36. Web.</v>
      </c>
      <c r="AH39" s="876"/>
      <c r="AI39" s="878"/>
      <c r="AJ39" s="888" t="str">
        <f>IFERROR(__xludf.DUMMYFUNCTION("""COMPUTED_VALUE"""),"Diawara et al.")</f>
        <v>Diawara et al.</v>
      </c>
      <c r="AK39" s="880" t="str">
        <f>IFERROR(__xludf.DUMMYFUNCTION("""COMPUTED_VALUE"""),"Diawara, Aissatou, Carli M. Halpenny, Thomas S. Churcher, Charles Mwandawiro, Jimmy Kihara, Ray M. Kaplan, Thomas G. Streit, Youssef Idaghdour, Marilyn E. Scott, Maria-Gloria Basanez, and Roger K. Prichard. ""Association Between Response to AlbendazoleTre"&amp;"atment and B-Tubulin Genotype Frequencies in Soil Transmitted Helminths."" PLOS Neglected Tropical Diseases 7.5 (2013): 1-11. Web.")</f>
        <v>Diawara, Aissatou, Carli M. Halpenny, Thomas S. Churcher, Charles Mwandawiro, Jimmy Kihara, Ray M. Kaplan, Thomas G. Streit, Youssef Idaghdour, Marilyn E. Scott, Maria-Gloria Basanez, and Roger K. Prichard. "Association Between Response to AlbendazoleTreatment and B-Tubulin Genotype Frequencies in Soil Transmitted Helminths." PLOS Neglected Tropical Diseases 7.5 (2013): 1-11. Web.</v>
      </c>
      <c r="AL39" s="880" t="str">
        <f>IFERROR(__xludf.DUMMYFUNCTION("""COMPUTED_VALUE"""),"Haiti")</f>
        <v>Haiti</v>
      </c>
      <c r="AM39" s="880" t="str">
        <f>IFERROR(__xludf.DUMMYFUNCTION("""COMPUTED_VALUE"""),"Albendazole")</f>
        <v>Albendazole</v>
      </c>
      <c r="AN39" s="880" t="str">
        <f>IFERROR(__xludf.DUMMYFUNCTION("""COMPUTED_VALUE"""),"Single")</f>
        <v>Single</v>
      </c>
      <c r="AO39" s="880" t="str">
        <f>IFERROR(__xludf.DUMMYFUNCTION("""COMPUTED_VALUE"""),"400 mg")</f>
        <v>400 mg</v>
      </c>
      <c r="AP39" s="880" t="str">
        <f>IFERROR(__xludf.DUMMYFUNCTION("""COMPUTED_VALUE"""),"73/353")</f>
        <v>73/353</v>
      </c>
      <c r="AQ39" s="880" t="str">
        <f>IFERROR(__xludf.DUMMYFUNCTION("""COMPUTED_VALUE"""),"pre-school age children")</f>
        <v>pre-school age children</v>
      </c>
      <c r="AR39" s="880"/>
      <c r="AS39" s="880">
        <f>IFERROR(__xludf.DUMMYFUNCTION("""COMPUTED_VALUE"""),2009.0)</f>
        <v>2009</v>
      </c>
      <c r="AT39" s="880"/>
      <c r="AU39" s="880" t="str">
        <f>IFERROR(__xludf.DUMMYFUNCTION("""COMPUTED_VALUE"""),"No")</f>
        <v>No</v>
      </c>
      <c r="AV39" s="880" t="str">
        <f>IFERROR(__xludf.DUMMYFUNCTION("""COMPUTED_VALUE"""),"No")</f>
        <v>No</v>
      </c>
      <c r="AW39" s="881" t="str">
        <f>IFERROR(__xludf.DUMMYFUNCTION("""COMPUTED_VALUE"""),"three cross-sectional studies, MDA?")</f>
        <v>three cross-sectional studies, MDA?</v>
      </c>
      <c r="AX39" s="863"/>
      <c r="AY39" s="863"/>
      <c r="AZ39" s="863"/>
      <c r="BA39" s="863"/>
      <c r="BB39" s="863"/>
      <c r="BC39" s="863"/>
      <c r="BD39" s="863"/>
      <c r="BE39" s="863"/>
      <c r="BF39" s="863"/>
      <c r="BG39" s="863"/>
      <c r="BH39" s="863">
        <f>IFERROR(__xludf.DUMMYFUNCTION("""COMPUTED_VALUE"""),0.497)</f>
        <v>0.497</v>
      </c>
      <c r="BI39" s="863"/>
      <c r="BJ39" s="863"/>
      <c r="BK39" s="863"/>
      <c r="BL39" s="863"/>
      <c r="BM39" s="863"/>
      <c r="BN39" s="863"/>
      <c r="BO39" s="863" t="str">
        <f>IFERROR(__xludf.DUMMYFUNCTION("""COMPUTED_VALUE"""),"Modified McMaster technique")</f>
        <v>Modified McMaster technique</v>
      </c>
      <c r="BP39" s="880" t="str">
        <f>IFERROR(__xludf.DUMMYFUNCTION("""COMPUTED_VALUE"""),"x")</f>
        <v>x</v>
      </c>
      <c r="BQ39" s="863"/>
      <c r="BR39" s="889" t="str">
        <f>IFERROR(__xludf.DUMMYFUNCTION("""COMPUTED_VALUE"""),"Raccurt et al. ")</f>
        <v>Raccurt et al. </v>
      </c>
      <c r="BS39" s="883" t="str">
        <f>IFERROR(__xludf.DUMMYFUNCTION("""COMPUTED_VALUE"""),"Cameroon")</f>
        <v>Cameroon</v>
      </c>
      <c r="BT39" s="883" t="str">
        <f>IFERROR(__xludf.DUMMYFUNCTION("""COMPUTED_VALUE"""),"Albendazole")</f>
        <v>Albendazole</v>
      </c>
      <c r="BU39" s="883"/>
      <c r="BV39" s="883" t="str">
        <f>IFERROR(__xludf.DUMMYFUNCTION("""COMPUTED_VALUE"""),"Single")</f>
        <v>Single</v>
      </c>
      <c r="BW39" s="883" t="str">
        <f>IFERROR(__xludf.DUMMYFUNCTION("""COMPUTED_VALUE"""),"400 mg")</f>
        <v>400 mg</v>
      </c>
      <c r="BX39" s="883">
        <f>IFERROR(__xludf.DUMMYFUNCTION("""COMPUTED_VALUE"""),50.0)</f>
        <v>50</v>
      </c>
      <c r="BY39" s="883" t="str">
        <f>IFERROR(__xludf.DUMMYFUNCTION("""COMPUTED_VALUE"""),"40-69 ")</f>
        <v>40-69 </v>
      </c>
      <c r="BZ39" s="883">
        <f>IFERROR(__xludf.DUMMYFUNCTION("""COMPUTED_VALUE"""),1986.0)</f>
        <v>1986</v>
      </c>
      <c r="CA39" s="883" t="str">
        <f>IFERROR(__xludf.DUMMYFUNCTION("""COMPUTED_VALUE"""),"Males:28 Females:22")</f>
        <v>Males:28 Females:22</v>
      </c>
      <c r="CB39" s="883"/>
      <c r="CC39" s="883" t="str">
        <f>IFERROR(__xludf.DUMMYFUNCTION("""COMPUTED_VALUE"""),"No")</f>
        <v>No</v>
      </c>
      <c r="CD39" s="884"/>
      <c r="CE39" s="883" t="str">
        <f>IFERROR(__xludf.DUMMYFUNCTION("""COMPUTED_VALUE"""),"No")</f>
        <v>No</v>
      </c>
      <c r="CF39" s="883"/>
      <c r="CG39" s="883"/>
      <c r="CH39" s="883"/>
      <c r="CI39" s="883"/>
      <c r="CJ39" s="883"/>
      <c r="CK39" s="883"/>
      <c r="CL39" s="883"/>
      <c r="CM39" s="883"/>
      <c r="CN39" s="883"/>
      <c r="CO39" s="883"/>
      <c r="CP39" s="883"/>
      <c r="CQ39" s="883"/>
      <c r="CR39" s="883"/>
      <c r="CS39" s="883"/>
      <c r="CT39" s="883"/>
      <c r="CU39" s="883"/>
      <c r="CV39" s="863"/>
      <c r="CW39" s="863"/>
      <c r="CX39" s="863"/>
      <c r="CY39" s="863"/>
      <c r="CZ39" s="863"/>
      <c r="DA39" s="863"/>
      <c r="DB39" s="863"/>
      <c r="DC39" s="863"/>
      <c r="DD39" s="863"/>
      <c r="DE39" s="863"/>
    </row>
    <row r="40">
      <c r="A40" s="887" t="str">
        <f>IFERROR(__xludf.DUMMYFUNCTION("""COMPUTED_VALUE"""),"Flohr et al. Study 1 ")</f>
        <v>Flohr et al. Study 1 </v>
      </c>
      <c r="B40" s="876" t="str">
        <f>IFERROR(__xludf.DUMMYFUNCTION("""COMPUTED_VALUE"""),"Viet Nam")</f>
        <v>Viet Nam</v>
      </c>
      <c r="C40" s="876" t="str">
        <f>IFERROR(__xludf.DUMMYFUNCTION("""COMPUTED_VALUE"""),"Mebendazole")</f>
        <v>Mebendazole</v>
      </c>
      <c r="D40" s="876" t="str">
        <f>IFERROR(__xludf.DUMMYFUNCTION("""COMPUTED_VALUE"""),"Three")</f>
        <v>Three</v>
      </c>
      <c r="E40" s="876" t="str">
        <f>IFERROR(__xludf.DUMMYFUNCTION("""COMPUTED_VALUE"""),"500 mg")</f>
        <v>500 mg</v>
      </c>
      <c r="F40" s="876">
        <f>IFERROR(__xludf.DUMMYFUNCTION("""COMPUTED_VALUE"""),54.0)</f>
        <v>54</v>
      </c>
      <c r="G40" s="876">
        <f>IFERROR(__xludf.DUMMYFUNCTION("""COMPUTED_VALUE"""),35.0)</f>
        <v>35</v>
      </c>
      <c r="H40" s="876"/>
      <c r="I40" s="876">
        <f>IFERROR(__xludf.DUMMYFUNCTION("""COMPUTED_VALUE"""),2006.0)</f>
        <v>2006</v>
      </c>
      <c r="J40" s="876" t="str">
        <f>IFERROR(__xludf.DUMMYFUNCTION("""COMPUTED_VALUE"""),"Must not be systematically ill or known to be allergic to the trial intervention")</f>
        <v>Must not be systematically ill or known to be allergic to the trial intervention</v>
      </c>
      <c r="K40" s="876" t="str">
        <f>IFERROR(__xludf.DUMMYFUNCTION("""COMPUTED_VALUE"""),"randomized double-blind placebo controlled study")</f>
        <v>randomized double-blind placebo controlled study</v>
      </c>
      <c r="L40" s="876" t="str">
        <f>IFERROR(__xludf.DUMMYFUNCTION("""COMPUTED_VALUE"""),"Yes")</f>
        <v>Yes</v>
      </c>
      <c r="M40" s="876" t="str">
        <f>IFERROR(__xludf.DUMMYFUNCTION("""COMPUTED_VALUE"""),"Yes")</f>
        <v>Yes</v>
      </c>
      <c r="N40" s="877">
        <f>IFERROR(__xludf.DUMMYFUNCTION("""COMPUTED_VALUE"""),0.26)</f>
        <v>0.26</v>
      </c>
      <c r="O40" s="876">
        <f>IFERROR(__xludf.DUMMYFUNCTION("""COMPUTED_VALUE"""),0.26)</f>
        <v>0.26</v>
      </c>
      <c r="P40" s="876"/>
      <c r="Q40" s="876"/>
      <c r="R40" s="876"/>
      <c r="S40" s="876"/>
      <c r="T40" s="876"/>
      <c r="U40" s="876"/>
      <c r="V40" s="876"/>
      <c r="W40" s="876">
        <f>IFERROR(__xludf.DUMMYFUNCTION("""COMPUTED_VALUE"""),0.85)</f>
        <v>0.85</v>
      </c>
      <c r="X40" s="876"/>
      <c r="Y40" s="876"/>
      <c r="Z40" s="876"/>
      <c r="AA40" s="876"/>
      <c r="AB40" s="876"/>
      <c r="AC40" s="876"/>
      <c r="AD40" s="876"/>
      <c r="AE40" s="876" t="str">
        <f>IFERROR(__xludf.DUMMYFUNCTION("""COMPUTED_VALUE"""),"As ALB has a higher efficacy against hookworm infection than MB, they also compared single and triple doses. They found that all three treatments were better than placebo in terms of reduction of fecal egg count, with triple dose ALB being the most effica"&amp;"cious")</f>
        <v>As ALB has a higher efficacy against hookworm infection than MB, they also compared single and triple doses. They found that all three treatments were better than placebo in terms of reduction of fecal egg count, with triple dose ALB being the most efficacious</v>
      </c>
      <c r="AF40" s="876" t="str">
        <f>IFERROR(__xludf.DUMMYFUNCTION("""COMPUTED_VALUE"""),"Two controlled, randomized trials were carried out: 1) Study 1 tested the efficacy of single dose Mebendazole500 mg in the therapy of hookworm infection in a randomized double-blind placebo-controlled trial among 271 Vietnamese schoolchildren.  2) Study 2"&amp;" carried out a similar randomized trial comparing triple dose mebendazole, single dose albendazole, and triple dose Albendazoleagainst placebo in 209 adults in the same area.")</f>
        <v>Two controlled, randomized trials were carried out: 1) Study 1 tested the efficacy of single dose Mebendazole500 mg in the therapy of hookworm infection in a randomized double-blind placebo-controlled trial among 271 Vietnamese schoolchildren.  2) Study 2 carried out a similar randomized trial comparing triple dose mebendazole, single dose albendazole, and triple dose Albendazoleagainst placebo in 209 adults in the same area.</v>
      </c>
      <c r="AG40" s="876" t="str">
        <f>IFERROR(__xludf.DUMMYFUNCTION("""COMPUTED_VALUE"""),"Flohr, Carsten, Luc Nguyen Tuyen, Sarah Lewis, Truong Tan Minh, Jim Campbell, John Britton, Hywel Williams, Tran Tinh Hien, Jeremy Farrar, and Rupert J. Quinnell. ""Low Efficacy of MebendazoleAgainst Hookworm In Vietnam: Two Randomized Controlled Trials."&amp;""" The American Society of Tropical Medicine and Hygiene 76.4 (2007): 732-36. Web.")</f>
        <v>Flohr, Carsten, Luc Nguyen Tuyen, Sarah Lewis, Truong Tan Minh, Jim Campbell, John Britton, Hywel Williams, Tran Tinh Hien, Jeremy Farrar, and Rupert J. Quinnell. "Low Efficacy of MebendazoleAgainst Hookworm In Vietnam: Two Randomized Controlled Trials." The American Society of Tropical Medicine and Hygiene 76.4 (2007): 732-36. Web.</v>
      </c>
      <c r="AH40" s="876"/>
      <c r="AI40" s="878"/>
      <c r="AJ40" s="888" t="str">
        <f>IFERROR(__xludf.DUMMYFUNCTION("""COMPUTED_VALUE"""),"Diawara et al.")</f>
        <v>Diawara et al.</v>
      </c>
      <c r="AK40" s="880"/>
      <c r="AL40" s="880" t="str">
        <f>IFERROR(__xludf.DUMMYFUNCTION("""COMPUTED_VALUE"""),"Haiti")</f>
        <v>Haiti</v>
      </c>
      <c r="AM40" s="880" t="str">
        <f>IFERROR(__xludf.DUMMYFUNCTION("""COMPUTED_VALUE"""),"Diethylcarbamazine")</f>
        <v>Diethylcarbamazine</v>
      </c>
      <c r="AN40" s="880" t="str">
        <f>IFERROR(__xludf.DUMMYFUNCTION("""COMPUTED_VALUE"""),"Single")</f>
        <v>Single</v>
      </c>
      <c r="AO40" s="880" t="str">
        <f>IFERROR(__xludf.DUMMYFUNCTION("""COMPUTED_VALUE"""),"6 mg")</f>
        <v>6 mg</v>
      </c>
      <c r="AP40" s="880"/>
      <c r="AQ40" s="880" t="str">
        <f>IFERROR(__xludf.DUMMYFUNCTION("""COMPUTED_VALUE"""),"pre-school age children")</f>
        <v>pre-school age children</v>
      </c>
      <c r="AR40" s="880"/>
      <c r="AS40" s="880">
        <f>IFERROR(__xludf.DUMMYFUNCTION("""COMPUTED_VALUE"""),2009.0)</f>
        <v>2009</v>
      </c>
      <c r="AT40" s="880"/>
      <c r="AU40" s="880" t="str">
        <f>IFERROR(__xludf.DUMMYFUNCTION("""COMPUTED_VALUE"""),"No")</f>
        <v>No</v>
      </c>
      <c r="AV40" s="880" t="str">
        <f>IFERROR(__xludf.DUMMYFUNCTION("""COMPUTED_VALUE"""),"No")</f>
        <v>No</v>
      </c>
      <c r="AW40" s="881" t="str">
        <f>IFERROR(__xludf.DUMMYFUNCTION("""COMPUTED_VALUE"""),"three cross-sectional studies, MDA?")</f>
        <v>three cross-sectional studies, MDA?</v>
      </c>
      <c r="AX40" s="863"/>
      <c r="AY40" s="863"/>
      <c r="AZ40" s="863"/>
      <c r="BA40" s="863"/>
      <c r="BB40" s="863"/>
      <c r="BC40" s="863"/>
      <c r="BD40" s="863"/>
      <c r="BE40" s="863"/>
      <c r="BF40" s="863"/>
      <c r="BG40" s="863"/>
      <c r="BH40" s="863"/>
      <c r="BI40" s="863"/>
      <c r="BJ40" s="863"/>
      <c r="BK40" s="863"/>
      <c r="BL40" s="863"/>
      <c r="BM40" s="863"/>
      <c r="BN40" s="863"/>
      <c r="BO40" s="863"/>
      <c r="BP40" s="880" t="str">
        <f>IFERROR(__xludf.DUMMYFUNCTION("""COMPUTED_VALUE"""),"x")</f>
        <v>x</v>
      </c>
      <c r="BQ40" s="863"/>
      <c r="BR40" s="889" t="str">
        <f>IFERROR(__xludf.DUMMYFUNCTION("""COMPUTED_VALUE"""),"Gyorkes et al")</f>
        <v>Gyorkes et al</v>
      </c>
      <c r="BS40" s="883" t="str">
        <f>IFERROR(__xludf.DUMMYFUNCTION("""COMPUTED_VALUE"""),"Peru")</f>
        <v>Peru</v>
      </c>
      <c r="BT40" s="883" t="str">
        <f>IFERROR(__xludf.DUMMYFUNCTION("""COMPUTED_VALUE"""),"Albendazole")</f>
        <v>Albendazole</v>
      </c>
      <c r="BU40" s="883"/>
      <c r="BV40" s="883" t="str">
        <f>IFERROR(__xludf.DUMMYFUNCTION("""COMPUTED_VALUE"""),"Single")</f>
        <v>Single</v>
      </c>
      <c r="BW40" s="883" t="str">
        <f>IFERROR(__xludf.DUMMYFUNCTION("""COMPUTED_VALUE"""),"400 mg")</f>
        <v>400 mg</v>
      </c>
      <c r="BX40" s="883">
        <f>IFERROR(__xludf.DUMMYFUNCTION("""COMPUTED_VALUE"""),385.0)</f>
        <v>385</v>
      </c>
      <c r="BY40" s="883" t="str">
        <f>IFERROR(__xludf.DUMMYFUNCTION("""COMPUTED_VALUE"""),"School children")</f>
        <v>School children</v>
      </c>
      <c r="BZ40" s="883">
        <f>IFERROR(__xludf.DUMMYFUNCTION("""COMPUTED_VALUE"""),2010.0)</f>
        <v>2010</v>
      </c>
      <c r="CA40" s="883" t="str">
        <f>IFERROR(__xludf.DUMMYFUNCTION("""COMPUTED_VALUE"""),"Male:176 Female:209")</f>
        <v>Male:176 Female:209</v>
      </c>
      <c r="CB40" s="883"/>
      <c r="CC40" s="883" t="str">
        <f>IFERROR(__xludf.DUMMYFUNCTION("""COMPUTED_VALUE"""),"Yes")</f>
        <v>Yes</v>
      </c>
      <c r="CD40" s="884">
        <f>IFERROR(__xludf.DUMMYFUNCTION("""COMPUTED_VALUE"""),0.996)</f>
        <v>0.996</v>
      </c>
      <c r="CE40" s="883" t="str">
        <f>IFERROR(__xludf.DUMMYFUNCTION("""COMPUTED_VALUE"""),"Yes")</f>
        <v>Yes</v>
      </c>
      <c r="CF40" s="883"/>
      <c r="CG40" s="883"/>
      <c r="CH40" s="883"/>
      <c r="CI40" s="883"/>
      <c r="CJ40" s="883"/>
      <c r="CK40" s="883"/>
      <c r="CL40" s="883"/>
      <c r="CM40" s="884">
        <f>IFERROR(__xludf.DUMMYFUNCTION("""COMPUTED_VALUE"""),0.998)</f>
        <v>0.998</v>
      </c>
      <c r="CN40" s="883"/>
      <c r="CO40" s="883"/>
      <c r="CP40" s="883"/>
      <c r="CQ40" s="883"/>
      <c r="CR40" s="883"/>
      <c r="CS40" s="883"/>
      <c r="CT40" s="883" t="str">
        <f>IFERROR(__xludf.DUMMYFUNCTION("""COMPUTED_VALUE"""),"Kato Katz Method")</f>
        <v>Kato Katz Method</v>
      </c>
      <c r="CU40" s="883"/>
      <c r="CV40" s="863"/>
      <c r="CW40" s="863"/>
      <c r="CX40" s="863"/>
      <c r="CY40" s="863"/>
      <c r="CZ40" s="863"/>
      <c r="DA40" s="863"/>
      <c r="DB40" s="863"/>
      <c r="DC40" s="863"/>
      <c r="DD40" s="863"/>
      <c r="DE40" s="863"/>
    </row>
    <row r="41">
      <c r="A41" s="887" t="str">
        <f>IFERROR(__xludf.DUMMYFUNCTION("""COMPUTED_VALUE"""),"Flohr et al. Study 1 ")</f>
        <v>Flohr et al. Study 1 </v>
      </c>
      <c r="B41" s="876" t="str">
        <f>IFERROR(__xludf.DUMMYFUNCTION("""COMPUTED_VALUE"""),"Viet Nam")</f>
        <v>Viet Nam</v>
      </c>
      <c r="C41" s="876" t="str">
        <f>IFERROR(__xludf.DUMMYFUNCTION("""COMPUTED_VALUE"""),"Albendazole")</f>
        <v>Albendazole</v>
      </c>
      <c r="D41" s="876" t="str">
        <f>IFERROR(__xludf.DUMMYFUNCTION("""COMPUTED_VALUE"""),"Single")</f>
        <v>Single</v>
      </c>
      <c r="E41" s="876" t="str">
        <f>IFERROR(__xludf.DUMMYFUNCTION("""COMPUTED_VALUE"""),"400 mg")</f>
        <v>400 mg</v>
      </c>
      <c r="F41" s="876">
        <f>IFERROR(__xludf.DUMMYFUNCTION("""COMPUTED_VALUE"""),54.0)</f>
        <v>54</v>
      </c>
      <c r="G41" s="876">
        <f>IFERROR(__xludf.DUMMYFUNCTION("""COMPUTED_VALUE"""),37.0)</f>
        <v>37</v>
      </c>
      <c r="H41" s="876"/>
      <c r="I41" s="876">
        <f>IFERROR(__xludf.DUMMYFUNCTION("""COMPUTED_VALUE"""),2006.0)</f>
        <v>2006</v>
      </c>
      <c r="J41" s="876" t="str">
        <f>IFERROR(__xludf.DUMMYFUNCTION("""COMPUTED_VALUE"""),"Must not be systematically ill or known to be allergic to the trial intervention")</f>
        <v>Must not be systematically ill or known to be allergic to the trial intervention</v>
      </c>
      <c r="K41" s="876" t="str">
        <f>IFERROR(__xludf.DUMMYFUNCTION("""COMPUTED_VALUE"""),"randomized double-blind placebo controlled study")</f>
        <v>randomized double-blind placebo controlled study</v>
      </c>
      <c r="L41" s="876" t="str">
        <f>IFERROR(__xludf.DUMMYFUNCTION("""COMPUTED_VALUE"""),"Yes")</f>
        <v>Yes</v>
      </c>
      <c r="M41" s="876" t="str">
        <f>IFERROR(__xludf.DUMMYFUNCTION("""COMPUTED_VALUE"""),"Yes")</f>
        <v>Yes</v>
      </c>
      <c r="N41" s="877">
        <f>IFERROR(__xludf.DUMMYFUNCTION("""COMPUTED_VALUE"""),0.45)</f>
        <v>0.45</v>
      </c>
      <c r="O41" s="876">
        <f>IFERROR(__xludf.DUMMYFUNCTION("""COMPUTED_VALUE"""),0.45)</f>
        <v>0.45</v>
      </c>
      <c r="P41" s="876"/>
      <c r="Q41" s="876"/>
      <c r="R41" s="876"/>
      <c r="S41" s="876"/>
      <c r="T41" s="876"/>
      <c r="U41" s="876"/>
      <c r="V41" s="876"/>
      <c r="W41" s="876">
        <f>IFERROR(__xludf.DUMMYFUNCTION("""COMPUTED_VALUE"""),0.79)</f>
        <v>0.79</v>
      </c>
      <c r="X41" s="876"/>
      <c r="Y41" s="876"/>
      <c r="Z41" s="876"/>
      <c r="AA41" s="876"/>
      <c r="AB41" s="876"/>
      <c r="AC41" s="876"/>
      <c r="AD41" s="876"/>
      <c r="AE41" s="876" t="str">
        <f>IFERROR(__xludf.DUMMYFUNCTION("""COMPUTED_VALUE"""),"As ALB has a higher efficacy against hookworm infection than MB, they also compared single and triple doses. They found that all three treatments were better than placebo in terms of reduction of fecal egg count, with triple dose ALB being the most effica"&amp;"cious")</f>
        <v>As ALB has a higher efficacy against hookworm infection than MB, they also compared single and triple doses. They found that all three treatments were better than placebo in terms of reduction of fecal egg count, with triple dose ALB being the most efficacious</v>
      </c>
      <c r="AF41" s="876" t="str">
        <f>IFERROR(__xludf.DUMMYFUNCTION("""COMPUTED_VALUE"""),"Two controlled, randomized trials were carried out: 1) Study 1 tested the efficacy of single dose Mebendazole500 mg in the therapy of hookworm infection in a randomized double-blind placebo-controlled trial among 271 Vietnamese schoolchildren.  2) Study 2"&amp;" carried out a similar randomized trial comparing triple dose mebendazole, single dose albendazole, and triple dose Albendazoleagainst placebo in 209 adults in the same area.")</f>
        <v>Two controlled, randomized trials were carried out: 1) Study 1 tested the efficacy of single dose Mebendazole500 mg in the therapy of hookworm infection in a randomized double-blind placebo-controlled trial among 271 Vietnamese schoolchildren.  2) Study 2 carried out a similar randomized trial comparing triple dose mebendazole, single dose albendazole, and triple dose Albendazoleagainst placebo in 209 adults in the same area.</v>
      </c>
      <c r="AG41" s="876" t="str">
        <f>IFERROR(__xludf.DUMMYFUNCTION("""COMPUTED_VALUE"""),"Flohr, Carsten, Luc Nguyen Tuyen, Sarah Lewis, Truong Tan Minh, Jim Campbell, John Britton, Hywel Williams, Tran Tinh Hien, Jeremy Farrar, and Rupert J. Quinnell. ""Low Efficacy of MebendazoleAgainst Hookworm In Vietnam: Two Randomized Controlled Trials."&amp;""" The American Society of Tropical Medicine and Hygiene 76.4 (2007): 732-36. Web.")</f>
        <v>Flohr, Carsten, Luc Nguyen Tuyen, Sarah Lewis, Truong Tan Minh, Jim Campbell, John Britton, Hywel Williams, Tran Tinh Hien, Jeremy Farrar, and Rupert J. Quinnell. "Low Efficacy of MebendazoleAgainst Hookworm In Vietnam: Two Randomized Controlled Trials." The American Society of Tropical Medicine and Hygiene 76.4 (2007): 732-36. Web.</v>
      </c>
      <c r="AH41" s="876"/>
      <c r="AI41" s="878"/>
      <c r="AJ41" s="888" t="str">
        <f>IFERROR(__xludf.DUMMYFUNCTION("""COMPUTED_VALUE"""),"Diawara et al.")</f>
        <v>Diawara et al.</v>
      </c>
      <c r="AK41" s="880" t="str">
        <f>IFERROR(__xludf.DUMMYFUNCTION("""COMPUTED_VALUE"""),"Diawara, Aissatou, Carli M. Halpenny, Thomas S. Churcher, Charles Mwandawiro, Jimmy Kihara, Ray M. Kaplan, Thomas G. Streit, Youssef Idaghdour, Marilyn E. Scott, Maria-Gloria Basanez, and Roger K. Prichard. ""Association Between Response to AlbendazoleTre"&amp;"atment and B-Tubulin Genotype Frequencies in Soil Transmitted Helminths."" PLOS Neglected Tropical Diseases 7.5 (2013): 1-11. Web.")</f>
        <v>Diawara, Aissatou, Carli M. Halpenny, Thomas S. Churcher, Charles Mwandawiro, Jimmy Kihara, Ray M. Kaplan, Thomas G. Streit, Youssef Idaghdour, Marilyn E. Scott, Maria-Gloria Basanez, and Roger K. Prichard. "Association Between Response to AlbendazoleTreatment and B-Tubulin Genotype Frequencies in Soil Transmitted Helminths." PLOS Neglected Tropical Diseases 7.5 (2013): 1-11. Web.</v>
      </c>
      <c r="AL41" s="880" t="str">
        <f>IFERROR(__xludf.DUMMYFUNCTION("""COMPUTED_VALUE"""),"Kenya")</f>
        <v>Kenya</v>
      </c>
      <c r="AM41" s="880" t="str">
        <f>IFERROR(__xludf.DUMMYFUNCTION("""COMPUTED_VALUE"""),"Albendazole")</f>
        <v>Albendazole</v>
      </c>
      <c r="AN41" s="880" t="str">
        <f>IFERROR(__xludf.DUMMYFUNCTION("""COMPUTED_VALUE"""),"Single")</f>
        <v>Single</v>
      </c>
      <c r="AO41" s="880" t="str">
        <f>IFERROR(__xludf.DUMMYFUNCTION("""COMPUTED_VALUE"""),"400 mg")</f>
        <v>400 mg</v>
      </c>
      <c r="AP41" s="880" t="str">
        <f>IFERROR(__xludf.DUMMYFUNCTION("""COMPUTED_VALUE"""),"57/128")</f>
        <v>57/128</v>
      </c>
      <c r="AQ41" s="880" t="str">
        <f>IFERROR(__xludf.DUMMYFUNCTION("""COMPUTED_VALUE"""),"pre-school age children")</f>
        <v>pre-school age children</v>
      </c>
      <c r="AR41" s="880"/>
      <c r="AS41" s="880">
        <f>IFERROR(__xludf.DUMMYFUNCTION("""COMPUTED_VALUE"""),2010.0)</f>
        <v>2010</v>
      </c>
      <c r="AT41" s="880"/>
      <c r="AU41" s="880" t="str">
        <f>IFERROR(__xludf.DUMMYFUNCTION("""COMPUTED_VALUE"""),"No")</f>
        <v>No</v>
      </c>
      <c r="AV41" s="880" t="str">
        <f>IFERROR(__xludf.DUMMYFUNCTION("""COMPUTED_VALUE"""),"No")</f>
        <v>No</v>
      </c>
      <c r="AW41" s="881" t="str">
        <f>IFERROR(__xludf.DUMMYFUNCTION("""COMPUTED_VALUE"""),"three cross-sectional studies")</f>
        <v>three cross-sectional studies</v>
      </c>
      <c r="AX41" s="863"/>
      <c r="AY41" s="863"/>
      <c r="AZ41" s="863"/>
      <c r="BA41" s="863"/>
      <c r="BB41" s="863"/>
      <c r="BC41" s="863"/>
      <c r="BD41" s="863"/>
      <c r="BE41" s="863"/>
      <c r="BF41" s="863"/>
      <c r="BG41" s="863"/>
      <c r="BH41" s="863" t="str">
        <f>IFERROR(__xludf.DUMMYFUNCTION("""COMPUTED_VALUE"""),"McMaster: 86.8% Kato-Katz: 10.1%")</f>
        <v>McMaster: 86.8% Kato-Katz: 10.1%</v>
      </c>
      <c r="BI41" s="863"/>
      <c r="BJ41" s="863"/>
      <c r="BK41" s="863"/>
      <c r="BL41" s="863"/>
      <c r="BM41" s="863"/>
      <c r="BN41" s="863"/>
      <c r="BO41" s="863" t="str">
        <f>IFERROR(__xludf.DUMMYFUNCTION("""COMPUTED_VALUE"""),"McMaster and Kato-katz method")</f>
        <v>McMaster and Kato-katz method</v>
      </c>
      <c r="BP41" s="880" t="str">
        <f>IFERROR(__xludf.DUMMYFUNCTION("""COMPUTED_VALUE"""),"x")</f>
        <v>x</v>
      </c>
      <c r="BQ41" s="863"/>
      <c r="BR41" s="889" t="str">
        <f>IFERROR(__xludf.DUMMYFUNCTION("""COMPUTED_VALUE"""),"Mihrshahi et al.")</f>
        <v>Mihrshahi et al.</v>
      </c>
      <c r="BS41" s="883" t="str">
        <f>IFERROR(__xludf.DUMMYFUNCTION("""COMPUTED_VALUE"""),"Vietnam")</f>
        <v>Vietnam</v>
      </c>
      <c r="BT41" s="883" t="str">
        <f>IFERROR(__xludf.DUMMYFUNCTION("""COMPUTED_VALUE"""),"Albendazole")</f>
        <v>Albendazole</v>
      </c>
      <c r="BU41" s="883"/>
      <c r="BV41" s="883" t="str">
        <f>IFERROR(__xludf.DUMMYFUNCTION("""COMPUTED_VALUE"""),"Single")</f>
        <v>Single</v>
      </c>
      <c r="BW41" s="883" t="str">
        <f>IFERROR(__xludf.DUMMYFUNCTION("""COMPUTED_VALUE"""),"400 mg")</f>
        <v>400 mg</v>
      </c>
      <c r="BX41" s="883">
        <f>IFERROR(__xludf.DUMMYFUNCTION("""COMPUTED_VALUE"""),70.0)</f>
        <v>70</v>
      </c>
      <c r="BY41" s="883">
        <f>IFERROR(__xludf.DUMMYFUNCTION("""COMPUTED_VALUE"""),31.0)</f>
        <v>31</v>
      </c>
      <c r="BZ41" s="883">
        <f>IFERROR(__xludf.DUMMYFUNCTION("""COMPUTED_VALUE"""),2007.0)</f>
        <v>2007</v>
      </c>
      <c r="CA41" s="883" t="str">
        <f>IFERROR(__xludf.DUMMYFUNCTION("""COMPUTED_VALUE"""),"Female")</f>
        <v>Female</v>
      </c>
      <c r="CB41" s="883"/>
      <c r="CC41" s="883" t="str">
        <f>IFERROR(__xludf.DUMMYFUNCTION("""COMPUTED_VALUE"""),"No")</f>
        <v>No</v>
      </c>
      <c r="CD41" s="884">
        <f>IFERROR(__xludf.DUMMYFUNCTION("""COMPUTED_VALUE"""),0.87)</f>
        <v>0.87</v>
      </c>
      <c r="CE41" s="883" t="str">
        <f>IFERROR(__xludf.DUMMYFUNCTION("""COMPUTED_VALUE"""),"No")</f>
        <v>No</v>
      </c>
      <c r="CF41" s="883"/>
      <c r="CG41" s="883"/>
      <c r="CH41" s="883"/>
      <c r="CI41" s="883"/>
      <c r="CJ41" s="883"/>
      <c r="CK41" s="883"/>
      <c r="CL41" s="883"/>
      <c r="CM41" s="883"/>
      <c r="CN41" s="883"/>
      <c r="CO41" s="883"/>
      <c r="CP41" s="883"/>
      <c r="CQ41" s="883"/>
      <c r="CR41" s="883"/>
      <c r="CS41" s="883"/>
      <c r="CT41" s="883" t="str">
        <f>IFERROR(__xludf.DUMMYFUNCTION("""COMPUTED_VALUE"""),"Kato-Katz Method")</f>
        <v>Kato-Katz Method</v>
      </c>
      <c r="CU41" s="883"/>
      <c r="CV41" s="863"/>
      <c r="CW41" s="863"/>
      <c r="CX41" s="863"/>
      <c r="CY41" s="863"/>
      <c r="CZ41" s="863"/>
      <c r="DA41" s="863"/>
      <c r="DB41" s="863"/>
      <c r="DC41" s="863"/>
      <c r="DD41" s="863"/>
      <c r="DE41" s="863"/>
    </row>
    <row r="42">
      <c r="A42" s="887" t="str">
        <f>IFERROR(__xludf.DUMMYFUNCTION("""COMPUTED_VALUE"""),"Flohr et al. Study 1 ")</f>
        <v>Flohr et al. Study 1 </v>
      </c>
      <c r="B42" s="876" t="str">
        <f>IFERROR(__xludf.DUMMYFUNCTION("""COMPUTED_VALUE"""),"Viet Nam")</f>
        <v>Viet Nam</v>
      </c>
      <c r="C42" s="876" t="str">
        <f>IFERROR(__xludf.DUMMYFUNCTION("""COMPUTED_VALUE"""),"Albendazole")</f>
        <v>Albendazole</v>
      </c>
      <c r="D42" s="876" t="str">
        <f>IFERROR(__xludf.DUMMYFUNCTION("""COMPUTED_VALUE"""),"Three")</f>
        <v>Three</v>
      </c>
      <c r="E42" s="876" t="str">
        <f>IFERROR(__xludf.DUMMYFUNCTION("""COMPUTED_VALUE"""),"400 mg")</f>
        <v>400 mg</v>
      </c>
      <c r="F42" s="876">
        <f>IFERROR(__xludf.DUMMYFUNCTION("""COMPUTED_VALUE"""),47.0)</f>
        <v>47</v>
      </c>
      <c r="G42" s="876">
        <f>IFERROR(__xludf.DUMMYFUNCTION("""COMPUTED_VALUE"""),33.0)</f>
        <v>33</v>
      </c>
      <c r="H42" s="876"/>
      <c r="I42" s="876">
        <f>IFERROR(__xludf.DUMMYFUNCTION("""COMPUTED_VALUE"""),2006.0)</f>
        <v>2006</v>
      </c>
      <c r="J42" s="876" t="str">
        <f>IFERROR(__xludf.DUMMYFUNCTION("""COMPUTED_VALUE"""),"Must not be systematically ill or known to be allergic to the trial intervention")</f>
        <v>Must not be systematically ill or known to be allergic to the trial intervention</v>
      </c>
      <c r="K42" s="876" t="str">
        <f>IFERROR(__xludf.DUMMYFUNCTION("""COMPUTED_VALUE"""),"randomized double-blind placebo controlled study")</f>
        <v>randomized double-blind placebo controlled study</v>
      </c>
      <c r="L42" s="876" t="str">
        <f>IFERROR(__xludf.DUMMYFUNCTION("""COMPUTED_VALUE"""),"Yes")</f>
        <v>Yes</v>
      </c>
      <c r="M42" s="876" t="str">
        <f>IFERROR(__xludf.DUMMYFUNCTION("""COMPUTED_VALUE"""),"Yes")</f>
        <v>Yes</v>
      </c>
      <c r="N42" s="877">
        <f>IFERROR(__xludf.DUMMYFUNCTION("""COMPUTED_VALUE"""),0.79)</f>
        <v>0.79</v>
      </c>
      <c r="O42" s="876">
        <f>IFERROR(__xludf.DUMMYFUNCTION("""COMPUTED_VALUE"""),0.79)</f>
        <v>0.79</v>
      </c>
      <c r="P42" s="876"/>
      <c r="Q42" s="876"/>
      <c r="R42" s="876"/>
      <c r="S42" s="876"/>
      <c r="T42" s="876"/>
      <c r="U42" s="876"/>
      <c r="V42" s="876"/>
      <c r="W42" s="876">
        <f>IFERROR(__xludf.DUMMYFUNCTION("""COMPUTED_VALUE"""),0.91)</f>
        <v>0.91</v>
      </c>
      <c r="X42" s="876"/>
      <c r="Y42" s="876"/>
      <c r="Z42" s="876"/>
      <c r="AA42" s="876"/>
      <c r="AB42" s="876"/>
      <c r="AC42" s="876"/>
      <c r="AD42" s="876"/>
      <c r="AE42" s="876" t="str">
        <f>IFERROR(__xludf.DUMMYFUNCTION("""COMPUTED_VALUE"""),"As ALB has a higher efficacy against hookworm infection than MB, they also compared single and triple doses. They found that all three treatments were better than placebo in terms of reduction of fecal egg count, with triple dose ALB being the most effica"&amp;"cious")</f>
        <v>As ALB has a higher efficacy against hookworm infection than MB, they also compared single and triple doses. They found that all three treatments were better than placebo in terms of reduction of fecal egg count, with triple dose ALB being the most efficacious</v>
      </c>
      <c r="AF42" s="876" t="str">
        <f>IFERROR(__xludf.DUMMYFUNCTION("""COMPUTED_VALUE"""),"Two controlled, randomized trials were carried out: 1) Study 1 tested the efficacy of single dose Mebendazole500 mg in the therapy of hookworm infection in a randomized double-blind placebo-controlled trial among 271 Vietnamese schoolchildren.  2) Study 2"&amp;" carried out a similar randomized trial comparing triple dose mebendazole, single dose albendazole, and triple dose Albendazoleagainst placebo in 209 adults in the same area.")</f>
        <v>Two controlled, randomized trials were carried out: 1) Study 1 tested the efficacy of single dose Mebendazole500 mg in the therapy of hookworm infection in a randomized double-blind placebo-controlled trial among 271 Vietnamese schoolchildren.  2) Study 2 carried out a similar randomized trial comparing triple dose mebendazole, single dose albendazole, and triple dose Albendazoleagainst placebo in 209 adults in the same area.</v>
      </c>
      <c r="AG42" s="876" t="str">
        <f>IFERROR(__xludf.DUMMYFUNCTION("""COMPUTED_VALUE"""),"Flohr, Carsten, Luc Nguyen Tuyen, Sarah Lewis, Truong Tan Minh, Jim Campbell, John Britton, Hywel Williams, Tran Tinh Hien, Jeremy Farrar, and Rupert J. Quinnell. ""Low Efficacy of MebendazoleAgainst Hookworm In Vietnam: Two Randomized Controlled Trials."&amp;""" The American Society of Tropical Medicine and Hygiene 76.4 (2007): 732-36. Web.")</f>
        <v>Flohr, Carsten, Luc Nguyen Tuyen, Sarah Lewis, Truong Tan Minh, Jim Campbell, John Britton, Hywel Williams, Tran Tinh Hien, Jeremy Farrar, and Rupert J. Quinnell. "Low Efficacy of MebendazoleAgainst Hookworm In Vietnam: Two Randomized Controlled Trials." The American Society of Tropical Medicine and Hygiene 76.4 (2007): 732-36. Web.</v>
      </c>
      <c r="AH42" s="876"/>
      <c r="AI42" s="878"/>
      <c r="AJ42" s="888" t="str">
        <f>IFERROR(__xludf.DUMMYFUNCTION("""COMPUTED_VALUE"""),"Diawara et al.")</f>
        <v>Diawara et al.</v>
      </c>
      <c r="AK42" s="880" t="str">
        <f>IFERROR(__xludf.DUMMYFUNCTION("""COMPUTED_VALUE"""),"Diawara, Aissatou, Carli M. Halpenny, Thomas S. Churcher, Charles Mwandawiro, Jimmy Kihara, Ray M. Kaplan, Thomas G. Streit, Youssef Idaghdour, Marilyn E. Scott, Maria-Gloria Basanez, and Roger K. Prichard. ""Association Between Response to AlbendazoleTre"&amp;"atment and B-Tubulin Genotype Frequencies in Soil Transmitted Helminths."" PLOS Neglected Tropical Diseases 7.5 (2013): 1-11. Web.")</f>
        <v>Diawara, Aissatou, Carli M. Halpenny, Thomas S. Churcher, Charles Mwandawiro, Jimmy Kihara, Ray M. Kaplan, Thomas G. Streit, Youssef Idaghdour, Marilyn E. Scott, Maria-Gloria Basanez, and Roger K. Prichard. "Association Between Response to AlbendazoleTreatment and B-Tubulin Genotype Frequencies in Soil Transmitted Helminths." PLOS Neglected Tropical Diseases 7.5 (2013): 1-11. Web.</v>
      </c>
      <c r="AL42" s="880" t="str">
        <f>IFERROR(__xludf.DUMMYFUNCTION("""COMPUTED_VALUE"""),"Panama")</f>
        <v>Panama</v>
      </c>
      <c r="AM42" s="880" t="str">
        <f>IFERROR(__xludf.DUMMYFUNCTION("""COMPUTED_VALUE"""),"Albendazole")</f>
        <v>Albendazole</v>
      </c>
      <c r="AN42" s="880" t="str">
        <f>IFERROR(__xludf.DUMMYFUNCTION("""COMPUTED_VALUE"""),"Two")</f>
        <v>Two</v>
      </c>
      <c r="AO42" s="880" t="str">
        <f>IFERROR(__xludf.DUMMYFUNCTION("""COMPUTED_VALUE"""),"200 mg")</f>
        <v>200 mg</v>
      </c>
      <c r="AP42" s="880" t="str">
        <f>IFERROR(__xludf.DUMMYFUNCTION("""COMPUTED_VALUE"""),"25/270")</f>
        <v>25/270</v>
      </c>
      <c r="AQ42" s="880" t="str">
        <f>IFERROR(__xludf.DUMMYFUNCTION("""COMPUTED_VALUE"""),"pre-school age children")</f>
        <v>pre-school age children</v>
      </c>
      <c r="AR42" s="880"/>
      <c r="AS42" s="880">
        <f>IFERROR(__xludf.DUMMYFUNCTION("""COMPUTED_VALUE"""),2009.0)</f>
        <v>2009</v>
      </c>
      <c r="AT42" s="880"/>
      <c r="AU42" s="880" t="str">
        <f>IFERROR(__xludf.DUMMYFUNCTION("""COMPUTED_VALUE"""),"No")</f>
        <v>No</v>
      </c>
      <c r="AV42" s="880" t="str">
        <f>IFERROR(__xludf.DUMMYFUNCTION("""COMPUTED_VALUE"""),"No")</f>
        <v>No</v>
      </c>
      <c r="AW42" s="881" t="str">
        <f>IFERROR(__xludf.DUMMYFUNCTION("""COMPUTED_VALUE"""),"three cross-sectional studies")</f>
        <v>three cross-sectional studies</v>
      </c>
      <c r="AX42" s="863"/>
      <c r="AY42" s="863"/>
      <c r="AZ42" s="863"/>
      <c r="BA42" s="863"/>
      <c r="BB42" s="863"/>
      <c r="BC42" s="863"/>
      <c r="BD42" s="863"/>
      <c r="BE42" s="863"/>
      <c r="BF42" s="863"/>
      <c r="BG42" s="863"/>
      <c r="BH42" s="863" t="str">
        <f>IFERROR(__xludf.DUMMYFUNCTION("""COMPUTED_VALUE"""),"Kato-Katz: 99.5% FLOTAC: 65.1%")</f>
        <v>Kato-Katz: 99.5% FLOTAC: 65.1%</v>
      </c>
      <c r="BI42" s="863"/>
      <c r="BJ42" s="863"/>
      <c r="BK42" s="863"/>
      <c r="BL42" s="863"/>
      <c r="BM42" s="863"/>
      <c r="BN42" s="863"/>
      <c r="BO42" s="863" t="str">
        <f>IFERROR(__xludf.DUMMYFUNCTION("""COMPUTED_VALUE"""),"Kato-katz method and FLOTAC")</f>
        <v>Kato-katz method and FLOTAC</v>
      </c>
      <c r="BP42" s="880" t="str">
        <f>IFERROR(__xludf.DUMMYFUNCTION("""COMPUTED_VALUE"""),"x")</f>
        <v>x</v>
      </c>
      <c r="BQ42" s="863"/>
      <c r="BR42" s="889" t="str">
        <f>IFERROR(__xludf.DUMMYFUNCTION("""COMPUTED_VALUE"""),"Beach et al.")</f>
        <v>Beach et al.</v>
      </c>
      <c r="BS42" s="883" t="str">
        <f>IFERROR(__xludf.DUMMYFUNCTION("""COMPUTED_VALUE"""),"Haiti")</f>
        <v>Haiti</v>
      </c>
      <c r="BT42" s="883" t="str">
        <f>IFERROR(__xludf.DUMMYFUNCTION("""COMPUTED_VALUE"""),"Albendazole")</f>
        <v>Albendazole</v>
      </c>
      <c r="BU42" s="883"/>
      <c r="BV42" s="883" t="str">
        <f>IFERROR(__xludf.DUMMYFUNCTION("""COMPUTED_VALUE"""),"Single")</f>
        <v>Single</v>
      </c>
      <c r="BW42" s="883" t="str">
        <f>IFERROR(__xludf.DUMMYFUNCTION("""COMPUTED_VALUE"""),"400 mg")</f>
        <v>400 mg</v>
      </c>
      <c r="BX42" s="883">
        <f>IFERROR(__xludf.DUMMYFUNCTION("""COMPUTED_VALUE"""),62.0)</f>
        <v>62</v>
      </c>
      <c r="BY42" s="890">
        <f>IFERROR(__xludf.DUMMYFUNCTION("""COMPUTED_VALUE"""),42501.0)</f>
        <v>42501</v>
      </c>
      <c r="BZ42" s="883">
        <f>IFERROR(__xludf.DUMMYFUNCTION("""COMPUTED_VALUE"""),1996.0)</f>
        <v>1996</v>
      </c>
      <c r="CA42" s="883" t="str">
        <f>IFERROR(__xludf.DUMMYFUNCTION("""COMPUTED_VALUE"""),"Female: 47.7%")</f>
        <v>Female: 47.7%</v>
      </c>
      <c r="CB42" s="883"/>
      <c r="CC42" s="883" t="str">
        <f>IFERROR(__xludf.DUMMYFUNCTION("""COMPUTED_VALUE"""),"Yes")</f>
        <v>Yes</v>
      </c>
      <c r="CD42" s="884">
        <f>IFERROR(__xludf.DUMMYFUNCTION("""COMPUTED_VALUE"""),0.9848)</f>
        <v>0.9848</v>
      </c>
      <c r="CE42" s="883" t="str">
        <f>IFERROR(__xludf.DUMMYFUNCTION("""COMPUTED_VALUE"""),"Yes")</f>
        <v>Yes</v>
      </c>
      <c r="CF42" s="883"/>
      <c r="CG42" s="883"/>
      <c r="CH42" s="883"/>
      <c r="CI42" s="883"/>
      <c r="CJ42" s="883"/>
      <c r="CK42" s="883"/>
      <c r="CL42" s="884">
        <f>IFERROR(__xludf.DUMMYFUNCTION("""COMPUTED_VALUE"""),0.804)</f>
        <v>0.804</v>
      </c>
      <c r="CM42" s="883"/>
      <c r="CN42" s="883"/>
      <c r="CO42" s="883"/>
      <c r="CP42" s="891">
        <f>IFERROR(__xludf.DUMMYFUNCTION("""COMPUTED_VALUE"""),1.0)</f>
        <v>1</v>
      </c>
      <c r="CQ42" s="884">
        <f>IFERROR(__xludf.DUMMYFUNCTION("""COMPUTED_VALUE"""),0.786)</f>
        <v>0.786</v>
      </c>
      <c r="CR42" s="883"/>
      <c r="CS42" s="883"/>
      <c r="CT42" s="883" t="str">
        <f>IFERROR(__xludf.DUMMYFUNCTION("""COMPUTED_VALUE"""),"Kato-Katz Method")</f>
        <v>Kato-Katz Method</v>
      </c>
      <c r="CU42" s="883"/>
      <c r="CV42" s="863"/>
      <c r="CW42" s="863"/>
      <c r="CX42" s="863"/>
      <c r="CY42" s="863"/>
      <c r="CZ42" s="863"/>
      <c r="DA42" s="863"/>
      <c r="DB42" s="863"/>
      <c r="DC42" s="863"/>
      <c r="DD42" s="863"/>
      <c r="DE42" s="863"/>
    </row>
    <row r="43">
      <c r="A43" s="887" t="str">
        <f>IFERROR(__xludf.DUMMYFUNCTION("""COMPUTED_VALUE"""),"Fox et al. ")</f>
        <v>Fox et al. </v>
      </c>
      <c r="B43" s="876" t="str">
        <f>IFERROR(__xludf.DUMMYFUNCTION("""COMPUTED_VALUE"""),"Haiti")</f>
        <v>Haiti</v>
      </c>
      <c r="C43" s="876" t="str">
        <f>IFERROR(__xludf.DUMMYFUNCTION("""COMPUTED_VALUE"""),"Placebo (Vit C)")</f>
        <v>Placebo (Vit C)</v>
      </c>
      <c r="D43" s="876"/>
      <c r="E43" s="876"/>
      <c r="F43" s="876">
        <f>IFERROR(__xludf.DUMMYFUNCTION("""COMPUTED_VALUE"""),306.0)</f>
        <v>306</v>
      </c>
      <c r="G43" s="876">
        <f>IFERROR(__xludf.DUMMYFUNCTION("""COMPUTED_VALUE"""),42501.0)</f>
        <v>42501</v>
      </c>
      <c r="H43" s="876"/>
      <c r="I43" s="876">
        <f>IFERROR(__xludf.DUMMYFUNCTION("""COMPUTED_VALUE"""),1998.0)</f>
        <v>1998</v>
      </c>
      <c r="J43" s="876" t="str">
        <f>IFERROR(__xludf.DUMMYFUNCTION("""COMPUTED_VALUE"""),"included: an age of 5–11 years, anthropometric measurements collected before and six months after treatment, stool specimens collected before and five weeks after treatment, MF smears prepared before and six months after treatment, and random assignment t"&amp;"o a treatment group.")</f>
        <v>included: an age of 5–11 years, anthropometric measurements collected before and six months after treatment, stool specimens collected before and five weeks after treatment, MF smears prepared before and six months after treatment, and random assignment to a treatment group.</v>
      </c>
      <c r="K43" s="876" t="str">
        <f>IFERROR(__xludf.DUMMYFUNCTION("""COMPUTED_VALUE"""),"double-blind placebo controlled study")</f>
        <v>double-blind placebo controlled study</v>
      </c>
      <c r="L43" s="876" t="str">
        <f>IFERROR(__xludf.DUMMYFUNCTION("""COMPUTED_VALUE"""),"Yes")</f>
        <v>Yes</v>
      </c>
      <c r="M43" s="876" t="str">
        <f>IFERROR(__xludf.DUMMYFUNCTION("""COMPUTED_VALUE"""),"Yes")</f>
        <v>Yes</v>
      </c>
      <c r="N43" s="877">
        <f>IFERROR(__xludf.DUMMYFUNCTION("""COMPUTED_VALUE"""),0.287)</f>
        <v>0.287</v>
      </c>
      <c r="O43" s="876"/>
      <c r="P43" s="876"/>
      <c r="Q43" s="876"/>
      <c r="R43" s="876"/>
      <c r="S43" s="876"/>
      <c r="T43" s="876"/>
      <c r="U43" s="876">
        <f>IFERROR(__xludf.DUMMYFUNCTION("""COMPUTED_VALUE"""),0.287)</f>
        <v>0.287</v>
      </c>
      <c r="V43" s="876"/>
      <c r="W43" s="876">
        <f>IFERROR(__xludf.DUMMYFUNCTION("""COMPUTED_VALUE"""),0.488)</f>
        <v>0.488</v>
      </c>
      <c r="X43" s="876"/>
      <c r="Y43" s="876"/>
      <c r="Z43" s="876"/>
      <c r="AA43" s="876">
        <f>IFERROR(__xludf.DUMMYFUNCTION("""COMPUTED_VALUE"""),0.488)</f>
        <v>0.488</v>
      </c>
      <c r="AB43" s="876"/>
      <c r="AC43" s="876"/>
      <c r="AD43" s="876"/>
      <c r="AE43" s="876" t="str">
        <f>IFERROR(__xludf.DUMMYFUNCTION("""COMPUTED_VALUE"""),"Combination of DEC and ALB was most effective in all studies conducted. The four treatment groups didn’t differ significantly by age, sex, pretreatment density or circulating filarial antigen density.")</f>
        <v>Combination of DEC and ALB was most effective in all studies conducted. The four treatment groups didn’t differ significantly by age, sex, pretreatment density or circulating filarial antigen density.</v>
      </c>
      <c r="AF43" s="876" t="str">
        <f>IFERROR(__xludf.DUMMYFUNCTION("""COMPUTED_VALUE"""),"Kato-Katz method         The infection was categorized as light (100)")</f>
        <v>Kato-Katz method         The infection was categorized as light (100)</v>
      </c>
      <c r="AG43" s="876" t="str">
        <f>IFERROR(__xludf.DUMMYFUNCTION("""COMPUTED_VALUE"""),"Fox, Leanne M., Bruce W. Furness, Jennifer K. Haser, Dardith Desire, Jean-Marc Brissau, Marie-Denise Milford, Jack Lafontant, Patrick J. Lammie, and Michael J. Beach. ""Tolerance and Efficacy of Combined Diethlcarbamazine and Albendazolefor Treatment of W"&amp;"uchereria Bancrofti and Intestinal Helminth Infections in Haitian Children."" The American Socie of Tropical Medicine and Hygiene 73.1 (2005): 115-21. Web.")</f>
        <v>Fox, Leanne M., Bruce W. Furness, Jennifer K. Haser, Dardith Desire, Jean-Marc Brissau, Marie-Denise Milford, Jack Lafontant, Patrick J. Lammie, and Michael J. Beach. "Tolerance and Efficacy of Combined Diethlcarbamazine and Albendazolefor Treatment of Wuchereria Bancrofti and Intestinal Helminth Infections in Haitian Children." The American Socie of Tropical Medicine and Hygiene 73.1 (2005): 115-21. Web.</v>
      </c>
      <c r="AH43" s="876"/>
      <c r="AI43" s="878"/>
      <c r="AJ43" s="888" t="str">
        <f>IFERROR(__xludf.DUMMYFUNCTION("""COMPUTED_VALUE"""),"Diawara et al.")</f>
        <v>Diawara et al.</v>
      </c>
      <c r="AK43" s="880"/>
      <c r="AL43" s="880" t="str">
        <f>IFERROR(__xludf.DUMMYFUNCTION("""COMPUTED_VALUE"""),"Panama")</f>
        <v>Panama</v>
      </c>
      <c r="AM43" s="880" t="str">
        <f>IFERROR(__xludf.DUMMYFUNCTION("""COMPUTED_VALUE"""),"Albendazole")</f>
        <v>Albendazole</v>
      </c>
      <c r="AN43" s="880" t="str">
        <f>IFERROR(__xludf.DUMMYFUNCTION("""COMPUTED_VALUE"""),"Two")</f>
        <v>Two</v>
      </c>
      <c r="AO43" s="880" t="str">
        <f>IFERROR(__xludf.DUMMYFUNCTION("""COMPUTED_VALUE"""),"400 mg")</f>
        <v>400 mg</v>
      </c>
      <c r="AP43" s="880"/>
      <c r="AQ43" s="880" t="str">
        <f>IFERROR(__xludf.DUMMYFUNCTION("""COMPUTED_VALUE"""),"pre-school age children")</f>
        <v>pre-school age children</v>
      </c>
      <c r="AR43" s="880"/>
      <c r="AS43" s="880">
        <f>IFERROR(__xludf.DUMMYFUNCTION("""COMPUTED_VALUE"""),2009.0)</f>
        <v>2009</v>
      </c>
      <c r="AT43" s="880"/>
      <c r="AU43" s="880" t="str">
        <f>IFERROR(__xludf.DUMMYFUNCTION("""COMPUTED_VALUE"""),"No")</f>
        <v>No</v>
      </c>
      <c r="AV43" s="880" t="str">
        <f>IFERROR(__xludf.DUMMYFUNCTION("""COMPUTED_VALUE"""),"No")</f>
        <v>No</v>
      </c>
      <c r="AW43" s="881" t="str">
        <f>IFERROR(__xludf.DUMMYFUNCTION("""COMPUTED_VALUE"""),"three cross-sectional studies")</f>
        <v>three cross-sectional studies</v>
      </c>
      <c r="AX43" s="863"/>
      <c r="AY43" s="863"/>
      <c r="AZ43" s="863"/>
      <c r="BA43" s="863"/>
      <c r="BB43" s="863"/>
      <c r="BC43" s="863"/>
      <c r="BD43" s="863"/>
      <c r="BE43" s="863"/>
      <c r="BF43" s="863"/>
      <c r="BG43" s="863"/>
      <c r="BH43" s="863"/>
      <c r="BI43" s="863"/>
      <c r="BJ43" s="863"/>
      <c r="BK43" s="863"/>
      <c r="BL43" s="863"/>
      <c r="BM43" s="863"/>
      <c r="BN43" s="863"/>
      <c r="BO43" s="863"/>
      <c r="BP43" s="880" t="str">
        <f>IFERROR(__xludf.DUMMYFUNCTION("""COMPUTED_VALUE"""),"x")</f>
        <v>x</v>
      </c>
      <c r="BQ43" s="863"/>
      <c r="BR43" s="889" t="str">
        <f>IFERROR(__xludf.DUMMYFUNCTION("""COMPUTED_VALUE"""),"Beach et al.")</f>
        <v>Beach et al.</v>
      </c>
      <c r="BS43" s="883" t="str">
        <f>IFERROR(__xludf.DUMMYFUNCTION("""COMPUTED_VALUE"""),"Haiti")</f>
        <v>Haiti</v>
      </c>
      <c r="BT43" s="883" t="str">
        <f>IFERROR(__xludf.DUMMYFUNCTION("""COMPUTED_VALUE"""),"Ivermectin")</f>
        <v>Ivermectin</v>
      </c>
      <c r="BU43" s="883"/>
      <c r="BV43" s="883" t="str">
        <f>IFERROR(__xludf.DUMMYFUNCTION("""COMPUTED_VALUE"""),"Single")</f>
        <v>Single</v>
      </c>
      <c r="BW43" s="883" t="str">
        <f>IFERROR(__xludf.DUMMYFUNCTION("""COMPUTED_VALUE"""),"200 mg; 400 mg")</f>
        <v>200 mg; 400 mg</v>
      </c>
      <c r="BX43" s="883">
        <f>IFERROR(__xludf.DUMMYFUNCTION("""COMPUTED_VALUE"""),52.0)</f>
        <v>52</v>
      </c>
      <c r="BY43" s="883"/>
      <c r="BZ43" s="883">
        <f>IFERROR(__xludf.DUMMYFUNCTION("""COMPUTED_VALUE"""),1996.0)</f>
        <v>1996</v>
      </c>
      <c r="CA43" s="883"/>
      <c r="CB43" s="883"/>
      <c r="CC43" s="883" t="str">
        <f>IFERROR(__xludf.DUMMYFUNCTION("""COMPUTED_VALUE"""),"Yes")</f>
        <v>Yes</v>
      </c>
      <c r="CD43" s="884">
        <f>IFERROR(__xludf.DUMMYFUNCTION("""COMPUTED_VALUE"""),0.9428)</f>
        <v>0.9428</v>
      </c>
      <c r="CE43" s="883" t="str">
        <f>IFERROR(__xludf.DUMMYFUNCTION("""COMPUTED_VALUE"""),"Yes")</f>
        <v>Yes</v>
      </c>
      <c r="CF43" s="883"/>
      <c r="CG43" s="883"/>
      <c r="CH43" s="883"/>
      <c r="CI43" s="883"/>
      <c r="CJ43" s="883"/>
      <c r="CK43" s="883"/>
      <c r="CL43" s="884">
        <f>IFERROR(__xludf.DUMMYFUNCTION("""COMPUTED_VALUE"""),0.82)</f>
        <v>0.82</v>
      </c>
      <c r="CM43" s="883"/>
      <c r="CN43" s="883"/>
      <c r="CO43" s="883"/>
      <c r="CP43" s="891">
        <f>IFERROR(__xludf.DUMMYFUNCTION("""COMPUTED_VALUE"""),1.0)</f>
        <v>1</v>
      </c>
      <c r="CQ43" s="884">
        <f>IFERROR(__xludf.DUMMYFUNCTION("""COMPUTED_VALUE"""),0.754)</f>
        <v>0.754</v>
      </c>
      <c r="CR43" s="883"/>
      <c r="CS43" s="883"/>
      <c r="CT43" s="883"/>
      <c r="CU43" s="883"/>
      <c r="CV43" s="863"/>
      <c r="CW43" s="863"/>
      <c r="CX43" s="863"/>
      <c r="CY43" s="863"/>
      <c r="CZ43" s="863"/>
      <c r="DA43" s="863"/>
      <c r="DB43" s="863"/>
      <c r="DC43" s="863"/>
      <c r="DD43" s="863"/>
      <c r="DE43" s="863"/>
    </row>
    <row r="44">
      <c r="A44" s="887" t="str">
        <f>IFERROR(__xludf.DUMMYFUNCTION("""COMPUTED_VALUE"""),"Fox et al. ")</f>
        <v>Fox et al. </v>
      </c>
      <c r="B44" s="876" t="str">
        <f>IFERROR(__xludf.DUMMYFUNCTION("""COMPUTED_VALUE"""),"Haiti")</f>
        <v>Haiti</v>
      </c>
      <c r="C44" s="876" t="str">
        <f>IFERROR(__xludf.DUMMYFUNCTION("""COMPUTED_VALUE"""),"Albendazole")</f>
        <v>Albendazole</v>
      </c>
      <c r="D44" s="876" t="str">
        <f>IFERROR(__xludf.DUMMYFUNCTION("""COMPUTED_VALUE"""),"Single")</f>
        <v>Single</v>
      </c>
      <c r="E44" s="876" t="str">
        <f>IFERROR(__xludf.DUMMYFUNCTION("""COMPUTED_VALUE"""),"400 mg")</f>
        <v>400 mg</v>
      </c>
      <c r="F44" s="876">
        <f>IFERROR(__xludf.DUMMYFUNCTION("""COMPUTED_VALUE"""),320.0)</f>
        <v>320</v>
      </c>
      <c r="G44" s="876">
        <f>IFERROR(__xludf.DUMMYFUNCTION("""COMPUTED_VALUE"""),42501.0)</f>
        <v>42501</v>
      </c>
      <c r="H44" s="876"/>
      <c r="I44" s="876">
        <f>IFERROR(__xludf.DUMMYFUNCTION("""COMPUTED_VALUE"""),1998.0)</f>
        <v>1998</v>
      </c>
      <c r="J44" s="876" t="str">
        <f>IFERROR(__xludf.DUMMYFUNCTION("""COMPUTED_VALUE"""),"included: an age of 5–11 years, anthropometric measurements collected before and six months after treatment, stool specimens collected before and five weeks after treatment, MF smears prepared before and six months after treatment, and random assignment t"&amp;"o a treatment group.")</f>
        <v>included: an age of 5–11 years, anthropometric measurements collected before and six months after treatment, stool specimens collected before and five weeks after treatment, MF smears prepared before and six months after treatment, and random assignment to a treatment group.</v>
      </c>
      <c r="K44" s="876" t="str">
        <f>IFERROR(__xludf.DUMMYFUNCTION("""COMPUTED_VALUE"""),"double-blind placebo controlled study")</f>
        <v>double-blind placebo controlled study</v>
      </c>
      <c r="L44" s="876" t="str">
        <f>IFERROR(__xludf.DUMMYFUNCTION("""COMPUTED_VALUE"""),"Yes")</f>
        <v>Yes</v>
      </c>
      <c r="M44" s="876" t="str">
        <f>IFERROR(__xludf.DUMMYFUNCTION("""COMPUTED_VALUE"""),"Yes")</f>
        <v>Yes</v>
      </c>
      <c r="N44" s="877">
        <f>IFERROR(__xludf.DUMMYFUNCTION("""COMPUTED_VALUE"""),0.84)</f>
        <v>0.84</v>
      </c>
      <c r="O44" s="876"/>
      <c r="P44" s="876"/>
      <c r="Q44" s="876"/>
      <c r="R44" s="876"/>
      <c r="S44" s="876"/>
      <c r="T44" s="876"/>
      <c r="U44" s="876">
        <f>IFERROR(__xludf.DUMMYFUNCTION("""COMPUTED_VALUE"""),0.84)</f>
        <v>0.84</v>
      </c>
      <c r="V44" s="876"/>
      <c r="W44" s="876">
        <f>IFERROR(__xludf.DUMMYFUNCTION("""COMPUTED_VALUE"""),0.827)</f>
        <v>0.827</v>
      </c>
      <c r="X44" s="876"/>
      <c r="Y44" s="876"/>
      <c r="Z44" s="876"/>
      <c r="AA44" s="876">
        <f>IFERROR(__xludf.DUMMYFUNCTION("""COMPUTED_VALUE"""),0.827)</f>
        <v>0.827</v>
      </c>
      <c r="AB44" s="876"/>
      <c r="AC44" s="876"/>
      <c r="AD44" s="876"/>
      <c r="AE44" s="876" t="str">
        <f>IFERROR(__xludf.DUMMYFUNCTION("""COMPUTED_VALUE"""),"Combination of DEC and ALB was most effective in all studies conducted. The four treatment groups didn’t differ significantly by age, sex, pretreatment density or circulating filarial antigen density.")</f>
        <v>Combination of DEC and ALB was most effective in all studies conducted. The four treatment groups didn’t differ significantly by age, sex, pretreatment density or circulating filarial antigen density.</v>
      </c>
      <c r="AF44" s="876" t="str">
        <f>IFERROR(__xludf.DUMMYFUNCTION("""COMPUTED_VALUE"""),"Kato-Katz method         The infection was categorized as light (100)")</f>
        <v>Kato-Katz method         The infection was categorized as light (100)</v>
      </c>
      <c r="AG44" s="876" t="str">
        <f>IFERROR(__xludf.DUMMYFUNCTION("""COMPUTED_VALUE"""),"Fox, Leanne M., Bruce W. Furness, Jennifer K. Haser, Dardith Desire, Jean-Marc Brissau, Marie-Denise Milford, Jack Lafontant, Patrick J. Lammie, and Michael J. Beach. ""Tolerance and Efficacy of Combined Diethlcarbamazine and Albendazolefor Treatment of W"&amp;"uchereria Bancrofti and Intestinal Helminth Infections in Haitian Children."" The American Socie of Tropical Medicine and Hygiene 73.1 (2005): 115-21. Web.")</f>
        <v>Fox, Leanne M., Bruce W. Furness, Jennifer K. Haser, Dardith Desire, Jean-Marc Brissau, Marie-Denise Milford, Jack Lafontant, Patrick J. Lammie, and Michael J. Beach. "Tolerance and Efficacy of Combined Diethlcarbamazine and Albendazolefor Treatment of Wuchereria Bancrofti and Intestinal Helminth Infections in Haitian Children." The American Socie of Tropical Medicine and Hygiene 73.1 (2005): 115-21. Web.</v>
      </c>
      <c r="AH44" s="876"/>
      <c r="AI44" s="878"/>
      <c r="AJ44" s="888" t="str">
        <f>IFERROR(__xludf.DUMMYFUNCTION("""COMPUTED_VALUE"""),"Beach et al.")</f>
        <v>Beach et al.</v>
      </c>
      <c r="AK44" s="880" t="str">
        <f>IFERROR(__xludf.DUMMYFUNCTION("""COMPUTED_VALUE"""),"Beach, Michael J., Thomas G. Street, David G. Addiss, Rosette Prospere, Jacquelin M. Roberts, and Patrick J. Lammie. ""Assessment of Combined Ivermectinand Albendazolefor Treatment of Intestinal Helminth and Wuchereria Bancrofti Infections in Haitian Scho"&amp;"ol Children."" The American Society of Tropical Medicine and Hygiene 60.3 (1999): 479-86. Web.")</f>
        <v>Beach, Michael J., Thomas G. Street, David G. Addiss, Rosette Prospere, Jacquelin M. Roberts, and Patrick J. Lammie. "Assessment of Combined Ivermectinand Albendazolefor Treatment of Intestinal Helminth and Wuchereria Bancrofti Infections in Haitian School Children." The American Society of Tropical Medicine and Hygiene 60.3 (1999): 479-86. Web.</v>
      </c>
      <c r="AL44" s="880" t="str">
        <f>IFERROR(__xludf.DUMMYFUNCTION("""COMPUTED_VALUE"""),"Haiti")</f>
        <v>Haiti</v>
      </c>
      <c r="AM44" s="880" t="str">
        <f>IFERROR(__xludf.DUMMYFUNCTION("""COMPUTED_VALUE"""),"Placebo 250 mg Vitamin C")</f>
        <v>Placebo 250 mg Vitamin C</v>
      </c>
      <c r="AN44" s="880"/>
      <c r="AO44" s="880"/>
      <c r="AP44" s="880">
        <f>IFERROR(__xludf.DUMMYFUNCTION("""COMPUTED_VALUE"""),200.0)</f>
        <v>200</v>
      </c>
      <c r="AQ44" s="880" t="str">
        <f>IFERROR(__xludf.DUMMYFUNCTION("""COMPUTED_VALUE"""),"7.4 years old")</f>
        <v>7.4 years old</v>
      </c>
      <c r="AR44" s="880" t="str">
        <f>IFERROR(__xludf.DUMMYFUNCTION("""COMPUTED_VALUE"""),"Female:407")</f>
        <v>Female:407</v>
      </c>
      <c r="AS44" s="880">
        <f>IFERROR(__xludf.DUMMYFUNCTION("""COMPUTED_VALUE"""),1996.0)</f>
        <v>1996</v>
      </c>
      <c r="AT44" s="880" t="str">
        <f>IFERROR(__xludf.DUMMYFUNCTION("""COMPUTED_VALUE"""),"Criteria for inclusion: age 5-11 years old, anthropometric measurments before and four months after treatment, stool specimens before and 5 weeks after treatment, random assignment to a treatment group and height, weight, and age within limits if the anth"&amp;"ropometric database.")</f>
        <v>Criteria for inclusion: age 5-11 years old, anthropometric measurments before and four months after treatment, stool specimens before and 5 weeks after treatment, random assignment to a treatment group and height, weight, and age within limits if the anthropometric database.</v>
      </c>
      <c r="AU44" s="880" t="str">
        <f>IFERROR(__xludf.DUMMYFUNCTION("""COMPUTED_VALUE"""),"Yes")</f>
        <v>Yes</v>
      </c>
      <c r="AV44" s="880" t="str">
        <f>IFERROR(__xludf.DUMMYFUNCTION("""COMPUTED_VALUE"""),"Yes")</f>
        <v>Yes</v>
      </c>
      <c r="AW44" s="881" t="str">
        <f>IFERROR(__xludf.DUMMYFUNCTION("""COMPUTED_VALUE"""),"double-blind placebo controlled study")</f>
        <v>double-blind placebo controlled study</v>
      </c>
      <c r="AX44" s="863">
        <f>IFERROR(__xludf.DUMMYFUNCTION("""COMPUTED_VALUE"""),0.279)</f>
        <v>0.279</v>
      </c>
      <c r="AY44" s="863"/>
      <c r="AZ44" s="863"/>
      <c r="BA44" s="863"/>
      <c r="BB44" s="863"/>
      <c r="BC44" s="863"/>
      <c r="BD44" s="863">
        <f>IFERROR(__xludf.DUMMYFUNCTION("""COMPUTED_VALUE"""),0.279)</f>
        <v>0.279</v>
      </c>
      <c r="BE44" s="863"/>
      <c r="BF44" s="863">
        <f>IFERROR(__xludf.DUMMYFUNCTION("""COMPUTED_VALUE"""),27.3)</f>
        <v>27.3</v>
      </c>
      <c r="BG44" s="863"/>
      <c r="BH44" s="863"/>
      <c r="BI44" s="863"/>
      <c r="BJ44" s="863"/>
      <c r="BK44" s="863"/>
      <c r="BL44" s="863"/>
      <c r="BM44" s="863"/>
      <c r="BN44" s="863"/>
      <c r="BO44" s="863" t="str">
        <f>IFERROR(__xludf.DUMMYFUNCTION("""COMPUTED_VALUE"""),"Kato-Katz Method and drug was taken between 8 am and noon under direct investigator observation")</f>
        <v>Kato-Katz Method and drug was taken between 8 am and noon under direct investigator observation</v>
      </c>
      <c r="BP44" s="880"/>
      <c r="BQ44" s="863"/>
      <c r="BR44" s="889" t="str">
        <f>IFERROR(__xludf.DUMMYFUNCTION("""COMPUTED_VALUE"""),"Beach et al.")</f>
        <v>Beach et al.</v>
      </c>
      <c r="BS44" s="883" t="str">
        <f>IFERROR(__xludf.DUMMYFUNCTION("""COMPUTED_VALUE"""),"Haiti")</f>
        <v>Haiti</v>
      </c>
      <c r="BT44" s="883" t="str">
        <f>IFERROR(__xludf.DUMMYFUNCTION("""COMPUTED_VALUE"""),"Albendazole &amp; Ivermectin")</f>
        <v>Albendazole &amp; Ivermectin</v>
      </c>
      <c r="BU44" s="883"/>
      <c r="BV44" s="883" t="str">
        <f>IFERROR(__xludf.DUMMYFUNCTION("""COMPUTED_VALUE"""),"Single")</f>
        <v>Single</v>
      </c>
      <c r="BW44" s="883" t="str">
        <f>IFERROR(__xludf.DUMMYFUNCTION("""COMPUTED_VALUE"""),"200 mg; 400 mg")</f>
        <v>200 mg; 400 mg</v>
      </c>
      <c r="BX44" s="883">
        <f>IFERROR(__xludf.DUMMYFUNCTION("""COMPUTED_VALUE"""),73.0)</f>
        <v>73</v>
      </c>
      <c r="BY44" s="883"/>
      <c r="BZ44" s="883">
        <f>IFERROR(__xludf.DUMMYFUNCTION("""COMPUTED_VALUE"""),1996.0)</f>
        <v>1996</v>
      </c>
      <c r="CA44" s="883"/>
      <c r="CB44" s="883"/>
      <c r="CC44" s="883" t="str">
        <f>IFERROR(__xludf.DUMMYFUNCTION("""COMPUTED_VALUE"""),"Yes")</f>
        <v>Yes</v>
      </c>
      <c r="CD44" s="884">
        <f>IFERROR(__xludf.DUMMYFUNCTION("""COMPUTED_VALUE"""),1.0)</f>
        <v>1</v>
      </c>
      <c r="CE44" s="883" t="str">
        <f>IFERROR(__xludf.DUMMYFUNCTION("""COMPUTED_VALUE"""),"Yes")</f>
        <v>Yes</v>
      </c>
      <c r="CF44" s="883"/>
      <c r="CG44" s="883"/>
      <c r="CH44" s="883"/>
      <c r="CI44" s="883"/>
      <c r="CJ44" s="883"/>
      <c r="CK44" s="883"/>
      <c r="CL44" s="891">
        <f>IFERROR(__xludf.DUMMYFUNCTION("""COMPUTED_VALUE"""),0.818)</f>
        <v>0.818</v>
      </c>
      <c r="CM44" s="883"/>
      <c r="CN44" s="883"/>
      <c r="CO44" s="883"/>
      <c r="CP44" s="891">
        <f>IFERROR(__xludf.DUMMYFUNCTION("""COMPUTED_VALUE"""),1.0)</f>
        <v>1</v>
      </c>
      <c r="CQ44" s="891">
        <f>IFERROR(__xludf.DUMMYFUNCTION("""COMPUTED_VALUE"""),0.76)</f>
        <v>0.76</v>
      </c>
      <c r="CR44" s="883"/>
      <c r="CS44" s="883"/>
      <c r="CT44" s="883"/>
      <c r="CU44" s="883"/>
      <c r="CV44" s="863"/>
      <c r="CW44" s="863"/>
      <c r="CX44" s="863"/>
      <c r="CY44" s="863"/>
      <c r="CZ44" s="863"/>
      <c r="DA44" s="863"/>
      <c r="DB44" s="863"/>
      <c r="DC44" s="863"/>
      <c r="DD44" s="863"/>
      <c r="DE44" s="863"/>
    </row>
    <row r="45">
      <c r="A45" s="887" t="str">
        <f>IFERROR(__xludf.DUMMYFUNCTION("""COMPUTED_VALUE"""),"Fox et al. ")</f>
        <v>Fox et al. </v>
      </c>
      <c r="B45" s="876" t="str">
        <f>IFERROR(__xludf.DUMMYFUNCTION("""COMPUTED_VALUE"""),"Haiti")</f>
        <v>Haiti</v>
      </c>
      <c r="C45" s="876" t="str">
        <f>IFERROR(__xludf.DUMMYFUNCTION("""COMPUTED_VALUE"""),"Diethylcarbamazine")</f>
        <v>Diethylcarbamazine</v>
      </c>
      <c r="D45" s="876" t="str">
        <f>IFERROR(__xludf.DUMMYFUNCTION("""COMPUTED_VALUE"""),"Single")</f>
        <v>Single</v>
      </c>
      <c r="E45" s="876" t="str">
        <f>IFERROR(__xludf.DUMMYFUNCTION("""COMPUTED_VALUE"""),"6 mg/kg")</f>
        <v>6 mg/kg</v>
      </c>
      <c r="F45" s="876">
        <f>IFERROR(__xludf.DUMMYFUNCTION("""COMPUTED_VALUE"""),313.0)</f>
        <v>313</v>
      </c>
      <c r="G45" s="876">
        <f>IFERROR(__xludf.DUMMYFUNCTION("""COMPUTED_VALUE"""),42501.0)</f>
        <v>42501</v>
      </c>
      <c r="H45" s="876"/>
      <c r="I45" s="876">
        <f>IFERROR(__xludf.DUMMYFUNCTION("""COMPUTED_VALUE"""),1998.0)</f>
        <v>1998</v>
      </c>
      <c r="J45" s="876" t="str">
        <f>IFERROR(__xludf.DUMMYFUNCTION("""COMPUTED_VALUE"""),"included: an age of 5–11 years, anthropometric measurements collected before and six months after treatment, stool specimens collected before and five weeks after treatment, MF smears prepared before and six months after treatment, and random assignment t"&amp;"o a treatment group.")</f>
        <v>included: an age of 5–11 years, anthropometric measurements collected before and six months after treatment, stool specimens collected before and five weeks after treatment, MF smears prepared before and six months after treatment, and random assignment to a treatment group.</v>
      </c>
      <c r="K45" s="876" t="str">
        <f>IFERROR(__xludf.DUMMYFUNCTION("""COMPUTED_VALUE"""),"double-blind placebo controlled study")</f>
        <v>double-blind placebo controlled study</v>
      </c>
      <c r="L45" s="876" t="str">
        <f>IFERROR(__xludf.DUMMYFUNCTION("""COMPUTED_VALUE"""),"Yes")</f>
        <v>Yes</v>
      </c>
      <c r="M45" s="876" t="str">
        <f>IFERROR(__xludf.DUMMYFUNCTION("""COMPUTED_VALUE"""),"Yes")</f>
        <v>Yes</v>
      </c>
      <c r="N45" s="877">
        <f>IFERROR(__xludf.DUMMYFUNCTION("""COMPUTED_VALUE"""),0.216)</f>
        <v>0.216</v>
      </c>
      <c r="O45" s="876"/>
      <c r="P45" s="876"/>
      <c r="Q45" s="876"/>
      <c r="R45" s="876"/>
      <c r="S45" s="876"/>
      <c r="T45" s="876"/>
      <c r="U45" s="876">
        <f>IFERROR(__xludf.DUMMYFUNCTION("""COMPUTED_VALUE"""),0.216)</f>
        <v>0.216</v>
      </c>
      <c r="V45" s="876"/>
      <c r="W45" s="876">
        <f>IFERROR(__xludf.DUMMYFUNCTION("""COMPUTED_VALUE"""),0.191)</f>
        <v>0.191</v>
      </c>
      <c r="X45" s="876"/>
      <c r="Y45" s="876"/>
      <c r="Z45" s="876"/>
      <c r="AA45" s="876">
        <f>IFERROR(__xludf.DUMMYFUNCTION("""COMPUTED_VALUE"""),0.191)</f>
        <v>0.191</v>
      </c>
      <c r="AB45" s="876"/>
      <c r="AC45" s="876"/>
      <c r="AD45" s="876"/>
      <c r="AE45" s="876" t="str">
        <f>IFERROR(__xludf.DUMMYFUNCTION("""COMPUTED_VALUE"""),"Combination of DEC and ALB was most effective in all studies conducted. The four treatment groups didn’t differ significantly by age, sex, pretreatment density or circulating filarial antigen density.")</f>
        <v>Combination of DEC and ALB was most effective in all studies conducted. The four treatment groups didn’t differ significantly by age, sex, pretreatment density or circulating filarial antigen density.</v>
      </c>
      <c r="AF45" s="876" t="str">
        <f>IFERROR(__xludf.DUMMYFUNCTION("""COMPUTED_VALUE"""),"Kato-Katz method         The infection was categorized as light (100)")</f>
        <v>Kato-Katz method         The infection was categorized as light (100)</v>
      </c>
      <c r="AG45" s="876" t="str">
        <f>IFERROR(__xludf.DUMMYFUNCTION("""COMPUTED_VALUE"""),"Fox, Leanne M., Bruce W. Furness, Jennifer K. Haser, Dardith Desire, Jean-Marc Brissau, Marie-Denise Milford, Jack Lafontant, Patrick J. Lammie, and Michael J. Beach. ""Tolerance and Efficacy of Combined Diethlcarbamazine and Albendazolefor Treatment of W"&amp;"uchereria Bancrofti and Intestinal Helminth Infections in Haitian Children."" The American Socie of Tropical Medicine and Hygiene 73.1 (2005): 115-21. Web.")</f>
        <v>Fox, Leanne M., Bruce W. Furness, Jennifer K. Haser, Dardith Desire, Jean-Marc Brissau, Marie-Denise Milford, Jack Lafontant, Patrick J. Lammie, and Michael J. Beach. "Tolerance and Efficacy of Combined Diethlcarbamazine and Albendazolefor Treatment of Wuchereria Bancrofti and Intestinal Helminth Infections in Haitian Children." The American Socie of Tropical Medicine and Hygiene 73.1 (2005): 115-21. Web.</v>
      </c>
      <c r="AH45" s="876"/>
      <c r="AI45" s="878"/>
      <c r="AJ45" s="888" t="str">
        <f>IFERROR(__xludf.DUMMYFUNCTION("""COMPUTED_VALUE"""),"Beach et al.")</f>
        <v>Beach et al.</v>
      </c>
      <c r="AK45" s="880"/>
      <c r="AL45" s="880" t="str">
        <f>IFERROR(__xludf.DUMMYFUNCTION("""COMPUTED_VALUE"""),"Haiti")</f>
        <v>Haiti</v>
      </c>
      <c r="AM45" s="880" t="str">
        <f>IFERROR(__xludf.DUMMYFUNCTION("""COMPUTED_VALUE"""),"Albendazole")</f>
        <v>Albendazole</v>
      </c>
      <c r="AN45" s="880" t="str">
        <f>IFERROR(__xludf.DUMMYFUNCTION("""COMPUTED_VALUE"""),"Single")</f>
        <v>Single</v>
      </c>
      <c r="AO45" s="880" t="str">
        <f>IFERROR(__xludf.DUMMYFUNCTION("""COMPUTED_VALUE"""),"400 mg")</f>
        <v>400 mg</v>
      </c>
      <c r="AP45" s="880">
        <f>IFERROR(__xludf.DUMMYFUNCTION("""COMPUTED_VALUE"""),219.0)</f>
        <v>219</v>
      </c>
      <c r="AQ45" s="880" t="str">
        <f>IFERROR(__xludf.DUMMYFUNCTION("""COMPUTED_VALUE"""),"7.4 years old")</f>
        <v>7.4 years old</v>
      </c>
      <c r="AR45" s="880" t="str">
        <f>IFERROR(__xludf.DUMMYFUNCTION("""COMPUTED_VALUE"""),"Female:407")</f>
        <v>Female:407</v>
      </c>
      <c r="AS45" s="880">
        <f>IFERROR(__xludf.DUMMYFUNCTION("""COMPUTED_VALUE"""),1996.0)</f>
        <v>1996</v>
      </c>
      <c r="AT45" s="880" t="str">
        <f>IFERROR(__xludf.DUMMYFUNCTION("""COMPUTED_VALUE"""),"Criteria for inclusion: age 5-11 years old, anthropometric measurments before and four months after treatment, stool specimens before and 5 weeks after treatment, random assignment to a treatment group and height, weight, and age within limits if the anth"&amp;"ropometric database.")</f>
        <v>Criteria for inclusion: age 5-11 years old, anthropometric measurments before and four months after treatment, stool specimens before and 5 weeks after treatment, random assignment to a treatment group and height, weight, and age within limits if the anthropometric database.</v>
      </c>
      <c r="AU45" s="880" t="str">
        <f>IFERROR(__xludf.DUMMYFUNCTION("""COMPUTED_VALUE"""),"Yes")</f>
        <v>Yes</v>
      </c>
      <c r="AV45" s="880" t="str">
        <f>IFERROR(__xludf.DUMMYFUNCTION("""COMPUTED_VALUE"""),"Yes")</f>
        <v>Yes</v>
      </c>
      <c r="AW45" s="881" t="str">
        <f>IFERROR(__xludf.DUMMYFUNCTION("""COMPUTED_VALUE"""),"double-blind placebo controlled study")</f>
        <v>double-blind placebo controlled study</v>
      </c>
      <c r="AX45" s="863">
        <f>IFERROR(__xludf.DUMMYFUNCTION("""COMPUTED_VALUE"""),0.527)</f>
        <v>0.527</v>
      </c>
      <c r="AY45" s="863"/>
      <c r="AZ45" s="863"/>
      <c r="BA45" s="863"/>
      <c r="BB45" s="863"/>
      <c r="BC45" s="863"/>
      <c r="BD45" s="863">
        <f>IFERROR(__xludf.DUMMYFUNCTION("""COMPUTED_VALUE"""),0.527)</f>
        <v>0.527</v>
      </c>
      <c r="BE45" s="863"/>
      <c r="BF45" s="863">
        <f>IFERROR(__xludf.DUMMYFUNCTION("""COMPUTED_VALUE"""),57.5)</f>
        <v>57.5</v>
      </c>
      <c r="BG45" s="863"/>
      <c r="BH45" s="863"/>
      <c r="BI45" s="863"/>
      <c r="BJ45" s="863"/>
      <c r="BK45" s="863"/>
      <c r="BL45" s="863"/>
      <c r="BM45" s="863"/>
      <c r="BN45" s="863"/>
      <c r="BO45" s="863"/>
      <c r="BP45" s="880"/>
      <c r="BQ45" s="863"/>
      <c r="BR45" s="889" t="str">
        <f>IFERROR(__xludf.DUMMYFUNCTION("""COMPUTED_VALUE"""),"Beach et al.")</f>
        <v>Beach et al.</v>
      </c>
      <c r="BS45" s="883" t="str">
        <f>IFERROR(__xludf.DUMMYFUNCTION("""COMPUTED_VALUE"""),"Haiti")</f>
        <v>Haiti</v>
      </c>
      <c r="BT45" s="883" t="str">
        <f>IFERROR(__xludf.DUMMYFUNCTION("""COMPUTED_VALUE"""),"Placebo")</f>
        <v>Placebo</v>
      </c>
      <c r="BU45" s="883"/>
      <c r="BV45" s="883"/>
      <c r="BW45" s="883"/>
      <c r="BX45" s="883">
        <f>IFERROR(__xludf.DUMMYFUNCTION("""COMPUTED_VALUE"""),62.0)</f>
        <v>62</v>
      </c>
      <c r="BY45" s="883"/>
      <c r="BZ45" s="883">
        <f>IFERROR(__xludf.DUMMYFUNCTION("""COMPUTED_VALUE"""),1996.0)</f>
        <v>1996</v>
      </c>
      <c r="CA45" s="883"/>
      <c r="CB45" s="883"/>
      <c r="CC45" s="883" t="str">
        <f>IFERROR(__xludf.DUMMYFUNCTION("""COMPUTED_VALUE"""),"Yes")</f>
        <v>Yes</v>
      </c>
      <c r="CD45" s="884">
        <f>IFERROR(__xludf.DUMMYFUNCTION("""COMPUTED_VALUE"""),0.37)</f>
        <v>0.37</v>
      </c>
      <c r="CE45" s="883" t="str">
        <f>IFERROR(__xludf.DUMMYFUNCTION("""COMPUTED_VALUE"""),"Yes")</f>
        <v>Yes</v>
      </c>
      <c r="CF45" s="883"/>
      <c r="CG45" s="883"/>
      <c r="CH45" s="883"/>
      <c r="CI45" s="883"/>
      <c r="CJ45" s="883"/>
      <c r="CK45" s="883"/>
      <c r="CL45" s="891">
        <f>IFERROR(__xludf.DUMMYFUNCTION("""COMPUTED_VALUE"""),0.404)</f>
        <v>0.404</v>
      </c>
      <c r="CM45" s="883"/>
      <c r="CN45" s="883"/>
      <c r="CO45" s="883"/>
      <c r="CP45" s="884">
        <f>IFERROR(__xludf.DUMMYFUNCTION("""COMPUTED_VALUE"""),0.329)</f>
        <v>0.329</v>
      </c>
      <c r="CQ45" s="884">
        <f>IFERROR(__xludf.DUMMYFUNCTION("""COMPUTED_VALUE"""),0.345)</f>
        <v>0.345</v>
      </c>
      <c r="CR45" s="883"/>
      <c r="CS45" s="883"/>
      <c r="CT45" s="883"/>
      <c r="CU45" s="883"/>
      <c r="CV45" s="863"/>
      <c r="CW45" s="863"/>
      <c r="CX45" s="863"/>
      <c r="CY45" s="863"/>
      <c r="CZ45" s="863"/>
      <c r="DA45" s="863"/>
      <c r="DB45" s="863"/>
      <c r="DC45" s="863"/>
      <c r="DD45" s="863"/>
      <c r="DE45" s="863"/>
    </row>
    <row r="46">
      <c r="A46" s="887" t="str">
        <f>IFERROR(__xludf.DUMMYFUNCTION("""COMPUTED_VALUE"""),"Fox et al. ")</f>
        <v>Fox et al. </v>
      </c>
      <c r="B46" s="876" t="str">
        <f>IFERROR(__xludf.DUMMYFUNCTION("""COMPUTED_VALUE"""),"Haiti")</f>
        <v>Haiti</v>
      </c>
      <c r="C46" s="876" t="str">
        <f>IFERROR(__xludf.DUMMYFUNCTION("""COMPUTED_VALUE"""),"Albendazole &amp; Mebendazole")</f>
        <v>Albendazole &amp; Mebendazole</v>
      </c>
      <c r="D46" s="876" t="str">
        <f>IFERROR(__xludf.DUMMYFUNCTION("""COMPUTED_VALUE"""),"Single")</f>
        <v>Single</v>
      </c>
      <c r="E46" s="876" t="str">
        <f>IFERROR(__xludf.DUMMYFUNCTION("""COMPUTED_VALUE"""),"400 mg; 500 mg")</f>
        <v>400 mg; 500 mg</v>
      </c>
      <c r="F46" s="876">
        <f>IFERROR(__xludf.DUMMYFUNCTION("""COMPUTED_VALUE"""),310.0)</f>
        <v>310</v>
      </c>
      <c r="G46" s="876">
        <f>IFERROR(__xludf.DUMMYFUNCTION("""COMPUTED_VALUE"""),42501.0)</f>
        <v>42501</v>
      </c>
      <c r="H46" s="876"/>
      <c r="I46" s="876">
        <f>IFERROR(__xludf.DUMMYFUNCTION("""COMPUTED_VALUE"""),1998.0)</f>
        <v>1998</v>
      </c>
      <c r="J46" s="876" t="str">
        <f>IFERROR(__xludf.DUMMYFUNCTION("""COMPUTED_VALUE"""),"included: an age of 5–11 years, anthropometric measurements collected before and six months after treatment, stool specimens collected before and five weeks after treatment, MF smears prepared before and six months after treatment, and random assignment t"&amp;"o a treatment group.")</f>
        <v>included: an age of 5–11 years, anthropometric measurements collected before and six months after treatment, stool specimens collected before and five weeks after treatment, MF smears prepared before and six months after treatment, and random assignment to a treatment group.</v>
      </c>
      <c r="K46" s="876" t="str">
        <f>IFERROR(__xludf.DUMMYFUNCTION("""COMPUTED_VALUE"""),"double-blind placebo controlled study")</f>
        <v>double-blind placebo controlled study</v>
      </c>
      <c r="L46" s="876" t="str">
        <f>IFERROR(__xludf.DUMMYFUNCTION("""COMPUTED_VALUE"""),"Yes")</f>
        <v>Yes</v>
      </c>
      <c r="M46" s="876" t="str">
        <f>IFERROR(__xludf.DUMMYFUNCTION("""COMPUTED_VALUE"""),"Yes")</f>
        <v>Yes</v>
      </c>
      <c r="N46" s="877">
        <f>IFERROR(__xludf.DUMMYFUNCTION("""COMPUTED_VALUE"""),0.816)</f>
        <v>0.816</v>
      </c>
      <c r="O46" s="876"/>
      <c r="P46" s="876"/>
      <c r="Q46" s="876"/>
      <c r="R46" s="876"/>
      <c r="S46" s="876"/>
      <c r="T46" s="876"/>
      <c r="U46" s="876">
        <f>IFERROR(__xludf.DUMMYFUNCTION("""COMPUTED_VALUE"""),0.816)</f>
        <v>0.816</v>
      </c>
      <c r="V46" s="876"/>
      <c r="W46" s="876">
        <f>IFERROR(__xludf.DUMMYFUNCTION("""COMPUTED_VALUE"""),0.992)</f>
        <v>0.992</v>
      </c>
      <c r="X46" s="876"/>
      <c r="Y46" s="876"/>
      <c r="Z46" s="876"/>
      <c r="AA46" s="876">
        <f>IFERROR(__xludf.DUMMYFUNCTION("""COMPUTED_VALUE"""),0.992)</f>
        <v>0.992</v>
      </c>
      <c r="AB46" s="876"/>
      <c r="AC46" s="876"/>
      <c r="AD46" s="876"/>
      <c r="AE46" s="876" t="str">
        <f>IFERROR(__xludf.DUMMYFUNCTION("""COMPUTED_VALUE"""),"Combination of DEC and ALB was most effective in all studies conducted. The four treatment groups didn’t differ significantly by age, sex, pretreatment density or circulating filarial antigen density.")</f>
        <v>Combination of DEC and ALB was most effective in all studies conducted. The four treatment groups didn’t differ significantly by age, sex, pretreatment density or circulating filarial antigen density.</v>
      </c>
      <c r="AF46" s="876" t="str">
        <f>IFERROR(__xludf.DUMMYFUNCTION("""COMPUTED_VALUE"""),"Kato-Katz method         The infection was categorized as light (100)")</f>
        <v>Kato-Katz method         The infection was categorized as light (100)</v>
      </c>
      <c r="AG46" s="876" t="str">
        <f>IFERROR(__xludf.DUMMYFUNCTION("""COMPUTED_VALUE"""),"Fox, Leanne M., Bruce W. Furness, Jennifer K. Haser, Dardith Desire, Jean-Marc Brissau, Marie-Denise Milford, Jack Lafontant, Patrick J. Lammie, and Michael J. Beach. ""Tolerance and Efficacy of Combined Diethlcarbamazine and Albendazolefor Treatment of W"&amp;"uchereria Bancrofti and Intestinal Helminth Infections in Haitian Children."" The American Socie of Tropical Medicine and Hygiene 73.1 (2005): 115-21. Web.")</f>
        <v>Fox, Leanne M., Bruce W. Furness, Jennifer K. Haser, Dardith Desire, Jean-Marc Brissau, Marie-Denise Milford, Jack Lafontant, Patrick J. Lammie, and Michael J. Beach. "Tolerance and Efficacy of Combined Diethlcarbamazine and Albendazolefor Treatment of Wuchereria Bancrofti and Intestinal Helminth Infections in Haitian Children." The American Socie of Tropical Medicine and Hygiene 73.1 (2005): 115-21. Web.</v>
      </c>
      <c r="AH46" s="876"/>
      <c r="AI46" s="878"/>
      <c r="AJ46" s="888" t="str">
        <f>IFERROR(__xludf.DUMMYFUNCTION("""COMPUTED_VALUE"""),"Beach et al.")</f>
        <v>Beach et al.</v>
      </c>
      <c r="AK46" s="880"/>
      <c r="AL46" s="880" t="str">
        <f>IFERROR(__xludf.DUMMYFUNCTION("""COMPUTED_VALUE"""),"Haiti")</f>
        <v>Haiti</v>
      </c>
      <c r="AM46" s="880" t="str">
        <f>IFERROR(__xludf.DUMMYFUNCTION("""COMPUTED_VALUE"""),"Ivermectin")</f>
        <v>Ivermectin</v>
      </c>
      <c r="AN46" s="880" t="str">
        <f>IFERROR(__xludf.DUMMYFUNCTION("""COMPUTED_VALUE"""),"Single")</f>
        <v>Single</v>
      </c>
      <c r="AO46" s="880" t="str">
        <f>IFERROR(__xludf.DUMMYFUNCTION("""COMPUTED_VALUE"""),"200-400 mg")</f>
        <v>200-400 mg</v>
      </c>
      <c r="AP46" s="880">
        <f>IFERROR(__xludf.DUMMYFUNCTION("""COMPUTED_VALUE"""),216.0)</f>
        <v>216</v>
      </c>
      <c r="AQ46" s="880" t="str">
        <f>IFERROR(__xludf.DUMMYFUNCTION("""COMPUTED_VALUE"""),"7.4 years old")</f>
        <v>7.4 years old</v>
      </c>
      <c r="AR46" s="880" t="str">
        <f>IFERROR(__xludf.DUMMYFUNCTION("""COMPUTED_VALUE"""),"Female:407")</f>
        <v>Female:407</v>
      </c>
      <c r="AS46" s="880">
        <f>IFERROR(__xludf.DUMMYFUNCTION("""COMPUTED_VALUE"""),1996.0)</f>
        <v>1996</v>
      </c>
      <c r="AT46" s="880" t="str">
        <f>IFERROR(__xludf.DUMMYFUNCTION("""COMPUTED_VALUE"""),"Criteria for inclusion: age 5-11 years old, anthropometric measurments before and four months after treatment, stool specimens before and 5 weeks after treatment, random assignment to a treatment group and height, weight, and age within limits if the anth"&amp;"ropometric database.")</f>
        <v>Criteria for inclusion: age 5-11 years old, anthropometric measurments before and four months after treatment, stool specimens before and 5 weeks after treatment, random assignment to a treatment group and height, weight, and age within limits if the anthropometric database.</v>
      </c>
      <c r="AU46" s="880" t="str">
        <f>IFERROR(__xludf.DUMMYFUNCTION("""COMPUTED_VALUE"""),"Yes")</f>
        <v>Yes</v>
      </c>
      <c r="AV46" s="880" t="str">
        <f>IFERROR(__xludf.DUMMYFUNCTION("""COMPUTED_VALUE"""),"Yes")</f>
        <v>Yes</v>
      </c>
      <c r="AW46" s="881" t="str">
        <f>IFERROR(__xludf.DUMMYFUNCTION("""COMPUTED_VALUE"""),"double-blind placebo controlled study")</f>
        <v>double-blind placebo controlled study</v>
      </c>
      <c r="AX46" s="863">
        <f>IFERROR(__xludf.DUMMYFUNCTION("""COMPUTED_VALUE"""),0.443)</f>
        <v>0.443</v>
      </c>
      <c r="AY46" s="863"/>
      <c r="AZ46" s="863"/>
      <c r="BA46" s="863"/>
      <c r="BB46" s="863"/>
      <c r="BC46" s="863"/>
      <c r="BD46" s="863">
        <f>IFERROR(__xludf.DUMMYFUNCTION("""COMPUTED_VALUE"""),0.443)</f>
        <v>0.443</v>
      </c>
      <c r="BE46" s="863"/>
      <c r="BF46" s="863">
        <f>IFERROR(__xludf.DUMMYFUNCTION("""COMPUTED_VALUE"""),55.2)</f>
        <v>55.2</v>
      </c>
      <c r="BG46" s="863"/>
      <c r="BH46" s="863"/>
      <c r="BI46" s="863"/>
      <c r="BJ46" s="863"/>
      <c r="BK46" s="863"/>
      <c r="BL46" s="863"/>
      <c r="BM46" s="863"/>
      <c r="BN46" s="863"/>
      <c r="BO46" s="863"/>
      <c r="BP46" s="880"/>
      <c r="BQ46" s="863"/>
      <c r="BR46" s="889" t="str">
        <f>IFERROR(__xludf.DUMMYFUNCTION("""COMPUTED_VALUE"""),"Albonico et al.")</f>
        <v>Albonico et al.</v>
      </c>
      <c r="BS46" s="883" t="str">
        <f>IFERROR(__xludf.DUMMYFUNCTION("""COMPUTED_VALUE"""),"Nepal")</f>
        <v>Nepal</v>
      </c>
      <c r="BT46" s="883" t="str">
        <f>IFERROR(__xludf.DUMMYFUNCTION("""COMPUTED_VALUE"""),"Albendazole")</f>
        <v>Albendazole</v>
      </c>
      <c r="BU46" s="883"/>
      <c r="BV46" s="883" t="str">
        <f>IFERROR(__xludf.DUMMYFUNCTION("""COMPUTED_VALUE"""),"Single")</f>
        <v>Single</v>
      </c>
      <c r="BW46" s="883" t="str">
        <f>IFERROR(__xludf.DUMMYFUNCTION("""COMPUTED_VALUE"""),"400 mg")</f>
        <v>400 mg</v>
      </c>
      <c r="BX46" s="883">
        <f>IFERROR(__xludf.DUMMYFUNCTION("""COMPUTED_VALUE"""),429.0)</f>
        <v>429</v>
      </c>
      <c r="BY46" s="883">
        <f>IFERROR(__xludf.DUMMYFUNCTION("""COMPUTED_VALUE"""),11.6)</f>
        <v>11.6</v>
      </c>
      <c r="BZ46" s="883"/>
      <c r="CA46" s="883"/>
      <c r="CB46" s="883"/>
      <c r="CC46" s="883" t="str">
        <f>IFERROR(__xludf.DUMMYFUNCTION("""COMPUTED_VALUE"""),"Yes")</f>
        <v>Yes</v>
      </c>
      <c r="CD46" s="884">
        <f>IFERROR(__xludf.DUMMYFUNCTION("""COMPUTED_VALUE"""),0.826)</f>
        <v>0.826</v>
      </c>
      <c r="CE46" s="883" t="str">
        <f>IFERROR(__xludf.DUMMYFUNCTION("""COMPUTED_VALUE"""),"Yes")</f>
        <v>Yes</v>
      </c>
      <c r="CF46" s="883"/>
      <c r="CG46" s="883"/>
      <c r="CH46" s="883"/>
      <c r="CI46" s="883"/>
      <c r="CJ46" s="883"/>
      <c r="CK46" s="883"/>
      <c r="CL46" s="883"/>
      <c r="CM46" s="884">
        <f>IFERROR(__xludf.DUMMYFUNCTION("""COMPUTED_VALUE"""),0.919)</f>
        <v>0.919</v>
      </c>
      <c r="CN46" s="883"/>
      <c r="CO46" s="883"/>
      <c r="CP46" s="883"/>
      <c r="CQ46" s="883"/>
      <c r="CR46" s="883"/>
      <c r="CS46" s="883"/>
      <c r="CT46" s="883" t="str">
        <f>IFERROR(__xludf.DUMMYFUNCTION("""COMPUTED_VALUE"""),"Kato-Katz Method")</f>
        <v>Kato-Katz Method</v>
      </c>
      <c r="CU46" s="883"/>
      <c r="CV46" s="863"/>
      <c r="CW46" s="863"/>
      <c r="CX46" s="863"/>
      <c r="CY46" s="863"/>
      <c r="CZ46" s="863"/>
      <c r="DA46" s="863"/>
      <c r="DB46" s="863"/>
      <c r="DC46" s="863"/>
      <c r="DD46" s="863"/>
      <c r="DE46" s="863"/>
    </row>
    <row r="47">
      <c r="A47" s="887" t="str">
        <f>IFERROR(__xludf.DUMMYFUNCTION("""COMPUTED_VALUE"""),"Gunawardena et al.")</f>
        <v>Gunawardena et al.</v>
      </c>
      <c r="B47" s="876" t="str">
        <f>IFERROR(__xludf.DUMMYFUNCTION("""COMPUTED_VALUE"""),"Sri Lanka")</f>
        <v>Sri Lanka</v>
      </c>
      <c r="C47" s="876" t="str">
        <f>IFERROR(__xludf.DUMMYFUNCTION("""COMPUTED_VALUE"""),"Mebendazole")</f>
        <v>Mebendazole</v>
      </c>
      <c r="D47" s="876" t="str">
        <f>IFERROR(__xludf.DUMMYFUNCTION("""COMPUTED_VALUE"""),"Single")</f>
        <v>Single</v>
      </c>
      <c r="E47" s="876" t="str">
        <f>IFERROR(__xludf.DUMMYFUNCTION("""COMPUTED_VALUE"""),"500 mg")</f>
        <v>500 mg</v>
      </c>
      <c r="F47" s="876">
        <f>IFERROR(__xludf.DUMMYFUNCTION("""COMPUTED_VALUE"""),74.0)</f>
        <v>74</v>
      </c>
      <c r="G47" s="876" t="str">
        <f>IFERROR(__xludf.DUMMYFUNCTION("""COMPUTED_VALUE"""),"3 years and older; Average Age: 34")</f>
        <v>3 years and older; Average Age: 34</v>
      </c>
      <c r="H47" s="876" t="str">
        <f>IFERROR(__xludf.DUMMYFUNCTION("""COMPUTED_VALUE"""),"100:114")</f>
        <v>100:114</v>
      </c>
      <c r="I47" s="876">
        <f>IFERROR(__xludf.DUMMYFUNCTION("""COMPUTED_VALUE"""),2011.0)</f>
        <v>2011</v>
      </c>
      <c r="J47" s="876" t="str">
        <f>IFERROR(__xludf.DUMMYFUNCTION("""COMPUTED_VALUE"""),"Infants below the age of 2 years, pregnant women, and those with diarrhea on the day of recruitment were excluded from the study.")</f>
        <v>Infants below the age of 2 years, pregnant women, and those with diarrhea on the day of recruitment were excluded from the study.</v>
      </c>
      <c r="K47" s="876" t="str">
        <f>IFERROR(__xludf.DUMMYFUNCTION("""COMPUTED_VALUE"""),"double-blind randomized placebo controlled study")</f>
        <v>double-blind randomized placebo controlled study</v>
      </c>
      <c r="L47" s="876" t="str">
        <f>IFERROR(__xludf.DUMMYFUNCTION("""COMPUTED_VALUE"""),"Yes")</f>
        <v>Yes</v>
      </c>
      <c r="M47" s="876" t="str">
        <f>IFERROR(__xludf.DUMMYFUNCTION("""COMPUTED_VALUE"""),"Yes")</f>
        <v>Yes</v>
      </c>
      <c r="N47" s="877">
        <f>IFERROR(__xludf.DUMMYFUNCTION("""COMPUTED_VALUE"""),0.188)</f>
        <v>0.188</v>
      </c>
      <c r="O47" s="876">
        <f>IFERROR(__xludf.DUMMYFUNCTION("""COMPUTED_VALUE"""),0.188)</f>
        <v>0.188</v>
      </c>
      <c r="P47" s="876"/>
      <c r="Q47" s="876"/>
      <c r="R47" s="876"/>
      <c r="S47" s="876"/>
      <c r="T47" s="876"/>
      <c r="U47" s="876"/>
      <c r="V47" s="876"/>
      <c r="W47" s="876">
        <f>IFERROR(__xludf.DUMMYFUNCTION("""COMPUTED_VALUE"""),0.845)</f>
        <v>0.845</v>
      </c>
      <c r="X47" s="876">
        <f>IFERROR(__xludf.DUMMYFUNCTION("""COMPUTED_VALUE"""),0.845)</f>
        <v>0.845</v>
      </c>
      <c r="Y47" s="876"/>
      <c r="Z47" s="876"/>
      <c r="AA47" s="876"/>
      <c r="AB47" s="876"/>
      <c r="AC47" s="876"/>
      <c r="AD47" s="876"/>
      <c r="AE47" s="876" t="str">
        <f>IFERROR(__xludf.DUMMYFUNCTION("""COMPUTED_VALUE"""),"A single 500mg dose of mebendazole, either as Polymorph C alone, or as a mixture of Polymorphs A and C, has little efficacy in curing hookworm infections. However, both formulations are significantly better than placebo in reducing the intensity of infect"&amp;"ion, with no statistically significant difference between the two formulations.")</f>
        <v>A single 500mg dose of mebendazole, either as Polymorph C alone, or as a mixture of Polymorphs A and C, has little efficacy in curing hookworm infections. However, both formulations are significantly better than placebo in reducing the intensity of infection, with no statistically significant difference between the two formulations.</v>
      </c>
      <c r="AF47" s="876" t="str">
        <f>IFERROR(__xludf.DUMMYFUNCTION("""COMPUTED_VALUE"""),"Kato-Katz Method")</f>
        <v>Kato-Katz Method</v>
      </c>
      <c r="AG47" s="876" t="str">
        <f>IFERROR(__xludf.DUMMYFUNCTION("""COMPUTED_VALUE"""),"Gunawardena N., Kumarendran B., Manamperi N., Senarathna B., Silva M., Pathmeswaran A., and De Silva N. “Randomized Placebo-Controlled Trial of the Efficacy of MebendazolePolymorphs in the Treatment of Hookworm Infections”. The Bulletin of the Sri Lanka C"&amp;"ollege of Microbiologists 11 (2013): 12-13. Web.")</f>
        <v>Gunawardena N., Kumarendran B., Manamperi N., Senarathna B., Silva M., Pathmeswaran A., and De Silva N. “Randomized Placebo-Controlled Trial of the Efficacy of MebendazolePolymorphs in the Treatment of Hookworm Infections”. The Bulletin of the Sri Lanka College of Microbiologists 11 (2013): 12-13. Web.</v>
      </c>
      <c r="AH47" s="876"/>
      <c r="AI47" s="878"/>
      <c r="AJ47" s="888" t="str">
        <f>IFERROR(__xludf.DUMMYFUNCTION("""COMPUTED_VALUE"""),"Beach et al.")</f>
        <v>Beach et al.</v>
      </c>
      <c r="AK47" s="880"/>
      <c r="AL47" s="880" t="str">
        <f>IFERROR(__xludf.DUMMYFUNCTION("""COMPUTED_VALUE"""),"Haiti")</f>
        <v>Haiti</v>
      </c>
      <c r="AM47" s="880" t="str">
        <f>IFERROR(__xludf.DUMMYFUNCTION("""COMPUTED_VALUE"""),"Albendazole &amp; Ivermectin")</f>
        <v>Albendazole &amp; Ivermectin</v>
      </c>
      <c r="AN47" s="880" t="str">
        <f>IFERROR(__xludf.DUMMYFUNCTION("""COMPUTED_VALUE"""),"Single")</f>
        <v>Single</v>
      </c>
      <c r="AO47" s="880" t="str">
        <f>IFERROR(__xludf.DUMMYFUNCTION("""COMPUTED_VALUE"""),"400 mg; 200-400 mg")</f>
        <v>400 mg; 200-400 mg</v>
      </c>
      <c r="AP47" s="880">
        <f>IFERROR(__xludf.DUMMYFUNCTION("""COMPUTED_VALUE"""),218.0)</f>
        <v>218</v>
      </c>
      <c r="AQ47" s="880" t="str">
        <f>IFERROR(__xludf.DUMMYFUNCTION("""COMPUTED_VALUE"""),"7.4 years old")</f>
        <v>7.4 years old</v>
      </c>
      <c r="AR47" s="880" t="str">
        <f>IFERROR(__xludf.DUMMYFUNCTION("""COMPUTED_VALUE"""),"Female:407")</f>
        <v>Female:407</v>
      </c>
      <c r="AS47" s="880">
        <f>IFERROR(__xludf.DUMMYFUNCTION("""COMPUTED_VALUE"""),1996.0)</f>
        <v>1996</v>
      </c>
      <c r="AT47" s="880" t="str">
        <f>IFERROR(__xludf.DUMMYFUNCTION("""COMPUTED_VALUE"""),"Criteria for inclusion: age 5-11 years old, anthropometric measurments before and four months after treatment, stool specimens before and 5 weeks after treatment, random assignment to a treatment group and height, weight, and age within limits if the anth"&amp;"ropometric database.")</f>
        <v>Criteria for inclusion: age 5-11 years old, anthropometric measurments before and four months after treatment, stool specimens before and 5 weeks after treatment, random assignment to a treatment group and height, weight, and age within limits if the anthropometric database.</v>
      </c>
      <c r="AU47" s="880" t="str">
        <f>IFERROR(__xludf.DUMMYFUNCTION("""COMPUTED_VALUE"""),"Yes")</f>
        <v>Yes</v>
      </c>
      <c r="AV47" s="880" t="str">
        <f>IFERROR(__xludf.DUMMYFUNCTION("""COMPUTED_VALUE"""),"Yes")</f>
        <v>Yes</v>
      </c>
      <c r="AW47" s="881" t="str">
        <f>IFERROR(__xludf.DUMMYFUNCTION("""COMPUTED_VALUE"""),"double-blind placebo controlled study")</f>
        <v>double-blind placebo controlled study</v>
      </c>
      <c r="AX47" s="863">
        <f>IFERROR(__xludf.DUMMYFUNCTION("""COMPUTED_VALUE"""),0.796)</f>
        <v>0.796</v>
      </c>
      <c r="AY47" s="863"/>
      <c r="AZ47" s="863"/>
      <c r="BA47" s="863"/>
      <c r="BB47" s="863"/>
      <c r="BC47" s="863"/>
      <c r="BD47" s="863">
        <f>IFERROR(__xludf.DUMMYFUNCTION("""COMPUTED_VALUE"""),0.796)</f>
        <v>0.796</v>
      </c>
      <c r="BE47" s="863"/>
      <c r="BF47" s="863">
        <f>IFERROR(__xludf.DUMMYFUNCTION("""COMPUTED_VALUE"""),79.1)</f>
        <v>79.1</v>
      </c>
      <c r="BG47" s="863"/>
      <c r="BH47" s="863"/>
      <c r="BI47" s="863"/>
      <c r="BJ47" s="863"/>
      <c r="BK47" s="863"/>
      <c r="BL47" s="863"/>
      <c r="BM47" s="863"/>
      <c r="BN47" s="863"/>
      <c r="BO47" s="863"/>
      <c r="BP47" s="880"/>
      <c r="BQ47" s="863"/>
      <c r="BR47" s="889" t="str">
        <f>IFERROR(__xludf.DUMMYFUNCTION("""COMPUTED_VALUE"""),"Albonico et al.")</f>
        <v>Albonico et al.</v>
      </c>
      <c r="BS47" s="883" t="str">
        <f>IFERROR(__xludf.DUMMYFUNCTION("""COMPUTED_VALUE"""),"Nepal")</f>
        <v>Nepal</v>
      </c>
      <c r="BT47" s="883" t="str">
        <f>IFERROR(__xludf.DUMMYFUNCTION("""COMPUTED_VALUE"""),"Albendazole")</f>
        <v>Albendazole</v>
      </c>
      <c r="BU47" s="883"/>
      <c r="BV47" s="883" t="str">
        <f>IFERROR(__xludf.DUMMYFUNCTION("""COMPUTED_VALUE"""),"Single")</f>
        <v>Single</v>
      </c>
      <c r="BW47" s="883" t="str">
        <f>IFERROR(__xludf.DUMMYFUNCTION("""COMPUTED_VALUE"""),"400 mg")</f>
        <v>400 mg</v>
      </c>
      <c r="BX47" s="883">
        <f>IFERROR(__xludf.DUMMYFUNCTION("""COMPUTED_VALUE"""),419.0)</f>
        <v>419</v>
      </c>
      <c r="BY47" s="883">
        <f>IFERROR(__xludf.DUMMYFUNCTION("""COMPUTED_VALUE"""),11.6)</f>
        <v>11.6</v>
      </c>
      <c r="BZ47" s="883"/>
      <c r="CA47" s="883"/>
      <c r="CB47" s="883"/>
      <c r="CC47" s="883" t="str">
        <f>IFERROR(__xludf.DUMMYFUNCTION("""COMPUTED_VALUE"""),"Yes")</f>
        <v>Yes</v>
      </c>
      <c r="CD47" s="884">
        <f>IFERROR(__xludf.DUMMYFUNCTION("""COMPUTED_VALUE"""),0.95)</f>
        <v>0.95</v>
      </c>
      <c r="CE47" s="883" t="str">
        <f>IFERROR(__xludf.DUMMYFUNCTION("""COMPUTED_VALUE"""),"Yes")</f>
        <v>Yes</v>
      </c>
      <c r="CF47" s="883"/>
      <c r="CG47" s="883"/>
      <c r="CH47" s="883"/>
      <c r="CI47" s="883"/>
      <c r="CJ47" s="883"/>
      <c r="CK47" s="883"/>
      <c r="CL47" s="883"/>
      <c r="CM47" s="884">
        <f>IFERROR(__xludf.DUMMYFUNCTION("""COMPUTED_VALUE"""),0.938)</f>
        <v>0.938</v>
      </c>
      <c r="CN47" s="883"/>
      <c r="CO47" s="883"/>
      <c r="CP47" s="883"/>
      <c r="CQ47" s="883"/>
      <c r="CR47" s="883"/>
      <c r="CS47" s="883"/>
      <c r="CT47" s="883" t="str">
        <f>IFERROR(__xludf.DUMMYFUNCTION("""COMPUTED_VALUE"""),"Kato-Katz Method")</f>
        <v>Kato-Katz Method</v>
      </c>
      <c r="CU47" s="883"/>
      <c r="CV47" s="863"/>
      <c r="CW47" s="863"/>
      <c r="CX47" s="863"/>
      <c r="CY47" s="863"/>
      <c r="CZ47" s="863"/>
      <c r="DA47" s="863"/>
      <c r="DB47" s="863"/>
      <c r="DC47" s="863"/>
      <c r="DD47" s="863"/>
      <c r="DE47" s="863"/>
    </row>
    <row r="48">
      <c r="A48" s="887" t="str">
        <f>IFERROR(__xludf.DUMMYFUNCTION("""COMPUTED_VALUE"""),"Gunawardena et al.")</f>
        <v>Gunawardena et al.</v>
      </c>
      <c r="B48" s="876" t="str">
        <f>IFERROR(__xludf.DUMMYFUNCTION("""COMPUTED_VALUE"""),"Sri Lanka")</f>
        <v>Sri Lanka</v>
      </c>
      <c r="C48" s="876" t="str">
        <f>IFERROR(__xludf.DUMMYFUNCTION("""COMPUTED_VALUE"""),"Mebendazole")</f>
        <v>Mebendazole</v>
      </c>
      <c r="D48" s="876" t="str">
        <f>IFERROR(__xludf.DUMMYFUNCTION("""COMPUTED_VALUE"""),"Single")</f>
        <v>Single</v>
      </c>
      <c r="E48" s="876" t="str">
        <f>IFERROR(__xludf.DUMMYFUNCTION("""COMPUTED_VALUE"""),"500 mg")</f>
        <v>500 mg</v>
      </c>
      <c r="F48" s="876">
        <f>IFERROR(__xludf.DUMMYFUNCTION("""COMPUTED_VALUE"""),70.0)</f>
        <v>70</v>
      </c>
      <c r="G48" s="876"/>
      <c r="H48" s="876"/>
      <c r="I48" s="876">
        <f>IFERROR(__xludf.DUMMYFUNCTION("""COMPUTED_VALUE"""),2011.0)</f>
        <v>2011</v>
      </c>
      <c r="J48" s="876" t="str">
        <f>IFERROR(__xludf.DUMMYFUNCTION("""COMPUTED_VALUE"""),"Infants below the age of 2 years, pregnant women, and those with diarrhea on the day of recruitment were excluded from the study.")</f>
        <v>Infants below the age of 2 years, pregnant women, and those with diarrhea on the day of recruitment were excluded from the study.</v>
      </c>
      <c r="K48" s="876" t="str">
        <f>IFERROR(__xludf.DUMMYFUNCTION("""COMPUTED_VALUE"""),"double-blind randomized placebo controlled study")</f>
        <v>double-blind randomized placebo controlled study</v>
      </c>
      <c r="L48" s="876" t="str">
        <f>IFERROR(__xludf.DUMMYFUNCTION("""COMPUTED_VALUE"""),"Yes")</f>
        <v>Yes</v>
      </c>
      <c r="M48" s="876" t="str">
        <f>IFERROR(__xludf.DUMMYFUNCTION("""COMPUTED_VALUE"""),"Yes")</f>
        <v>Yes</v>
      </c>
      <c r="N48" s="877">
        <f>IFERROR(__xludf.DUMMYFUNCTION("""COMPUTED_VALUE"""),0.283)</f>
        <v>0.283</v>
      </c>
      <c r="O48" s="876">
        <f>IFERROR(__xludf.DUMMYFUNCTION("""COMPUTED_VALUE"""),0.283)</f>
        <v>0.283</v>
      </c>
      <c r="P48" s="876"/>
      <c r="Q48" s="876"/>
      <c r="R48" s="876"/>
      <c r="S48" s="876"/>
      <c r="T48" s="876"/>
      <c r="U48" s="876"/>
      <c r="V48" s="876"/>
      <c r="W48" s="876">
        <f>IFERROR(__xludf.DUMMYFUNCTION("""COMPUTED_VALUE"""),0.861)</f>
        <v>0.861</v>
      </c>
      <c r="X48" s="876">
        <f>IFERROR(__xludf.DUMMYFUNCTION("""COMPUTED_VALUE"""),0.861)</f>
        <v>0.861</v>
      </c>
      <c r="Y48" s="876"/>
      <c r="Z48" s="876"/>
      <c r="AA48" s="876"/>
      <c r="AB48" s="876"/>
      <c r="AC48" s="876"/>
      <c r="AD48" s="876"/>
      <c r="AE48" s="876" t="str">
        <f>IFERROR(__xludf.DUMMYFUNCTION("""COMPUTED_VALUE"""),"A single 500mg dose of mebendazole, either as Polymorph C alone, or as a mixture of Polymorphs A and C, has little efficacy in curing hookworm infections. However, both formulations are significantly better than placebo in reducing the intensity of infect"&amp;"ion, with no statistically significant difference between the two formulations.")</f>
        <v>A single 500mg dose of mebendazole, either as Polymorph C alone, or as a mixture of Polymorphs A and C, has little efficacy in curing hookworm infections. However, both formulations are significantly better than placebo in reducing the intensity of infection, with no statistically significant difference between the two formulations.</v>
      </c>
      <c r="AF48" s="876" t="str">
        <f>IFERROR(__xludf.DUMMYFUNCTION("""COMPUTED_VALUE"""),"Kato-Katz Method")</f>
        <v>Kato-Katz Method</v>
      </c>
      <c r="AG48" s="876" t="str">
        <f>IFERROR(__xludf.DUMMYFUNCTION("""COMPUTED_VALUE"""),"Gunawardena N., Kumarendran B., Manamperi N., Senarathna B., Silva M., Pathmeswaran A., and De Silva N. “Randomized Placebo-Controlled Trial of the Efficacy of MebendazolePolymorphs in the Treatment of Hookworm Infections”. The Bulletin of the Sri Lanka C"&amp;"ollege of Microbiologists 11 (2013): 12-13. Web.")</f>
        <v>Gunawardena N., Kumarendran B., Manamperi N., Senarathna B., Silva M., Pathmeswaran A., and De Silva N. “Randomized Placebo-Controlled Trial of the Efficacy of MebendazolePolymorphs in the Treatment of Hookworm Infections”. The Bulletin of the Sri Lanka College of Microbiologists 11 (2013): 12-13. Web.</v>
      </c>
      <c r="AH48" s="876"/>
      <c r="AI48" s="878"/>
      <c r="AJ48" s="888" t="str">
        <f>IFERROR(__xludf.DUMMYFUNCTION("""COMPUTED_VALUE"""),"Fox et al.")</f>
        <v>Fox et al.</v>
      </c>
      <c r="AK48" s="880" t="str">
        <f>IFERROR(__xludf.DUMMYFUNCTION("""COMPUTED_VALUE"""),"Fox, Leanne M., Bruce W. Furness, Jennifer K. Haser, Dardith Desire, Jean-Marc Brissau, Marie-Denise Milford, Jack Lafontant, Patrick J. Lammie, and Michael J. Beach. ""Tolerance and Efficacy of Combined Diethlcarbamazine and Albendazolefor Treatment of W"&amp;"uchereria Bancrofti and Intestinal Helminth Infections in Haitian Children."" The American Socie of Tropical Medicine and Hygiene 73.1 (2005): 115-21. Web.")</f>
        <v>Fox, Leanne M., Bruce W. Furness, Jennifer K. Haser, Dardith Desire, Jean-Marc Brissau, Marie-Denise Milford, Jack Lafontant, Patrick J. Lammie, and Michael J. Beach. "Tolerance and Efficacy of Combined Diethlcarbamazine and Albendazolefor Treatment of Wuchereria Bancrofti and Intestinal Helminth Infections in Haitian Children." The American Socie of Tropical Medicine and Hygiene 73.1 (2005): 115-21. Web.</v>
      </c>
      <c r="AL48" s="880" t="str">
        <f>IFERROR(__xludf.DUMMYFUNCTION("""COMPUTED_VALUE"""),"Haiti")</f>
        <v>Haiti</v>
      </c>
      <c r="AM48" s="880" t="str">
        <f>IFERROR(__xludf.DUMMYFUNCTION("""COMPUTED_VALUE"""),"Placebo 250 mg Vitamin C")</f>
        <v>Placebo 250 mg Vitamin C</v>
      </c>
      <c r="AN48" s="880"/>
      <c r="AO48" s="880"/>
      <c r="AP48" s="880">
        <f>IFERROR(__xludf.DUMMYFUNCTION("""COMPUTED_VALUE"""),306.0)</f>
        <v>306</v>
      </c>
      <c r="AQ48" s="880" t="str">
        <f>IFERROR(__xludf.DUMMYFUNCTION("""COMPUTED_VALUE"""),"5-11 years old")</f>
        <v>5-11 years old</v>
      </c>
      <c r="AR48" s="880" t="str">
        <f>IFERROR(__xludf.DUMMYFUNCTION("""COMPUTED_VALUE"""),"Female:656")</f>
        <v>Female:656</v>
      </c>
      <c r="AS48" s="880">
        <f>IFERROR(__xludf.DUMMYFUNCTION("""COMPUTED_VALUE"""),1998.0)</f>
        <v>1998</v>
      </c>
      <c r="AT48" s="880"/>
      <c r="AU48" s="880" t="str">
        <f>IFERROR(__xludf.DUMMYFUNCTION("""COMPUTED_VALUE"""),"Yes")</f>
        <v>Yes</v>
      </c>
      <c r="AV48" s="880" t="str">
        <f>IFERROR(__xludf.DUMMYFUNCTION("""COMPUTED_VALUE"""),"Yes")</f>
        <v>Yes</v>
      </c>
      <c r="AW48" s="881" t="str">
        <f>IFERROR(__xludf.DUMMYFUNCTION("""COMPUTED_VALUE"""),"clinical trial, double blind")</f>
        <v>clinical trial, double blind</v>
      </c>
      <c r="AX48" s="863">
        <f>IFERROR(__xludf.DUMMYFUNCTION("""COMPUTED_VALUE"""),0.0)</f>
        <v>0</v>
      </c>
      <c r="AY48" s="863"/>
      <c r="AZ48" s="863"/>
      <c r="BA48" s="863"/>
      <c r="BB48" s="863"/>
      <c r="BC48" s="863"/>
      <c r="BD48" s="863">
        <f>IFERROR(__xludf.DUMMYFUNCTION("""COMPUTED_VALUE"""),0.0)</f>
        <v>0</v>
      </c>
      <c r="BE48" s="863"/>
      <c r="BF48" s="863"/>
      <c r="BG48" s="863"/>
      <c r="BH48" s="863" t="str">
        <f>IFERROR(__xludf.DUMMYFUNCTION("""COMPUTED_VALUE"""),"increase 9.6%")</f>
        <v>increase 9.6%</v>
      </c>
      <c r="BI48" s="863"/>
      <c r="BJ48" s="863"/>
      <c r="BK48" s="863"/>
      <c r="BL48" s="863"/>
      <c r="BM48" s="863"/>
      <c r="BN48" s="863"/>
      <c r="BO48" s="863" t="str">
        <f>IFERROR(__xludf.DUMMYFUNCTION("""COMPUTED_VALUE"""),"Kato-Katz Method and Finger Prick")</f>
        <v>Kato-Katz Method and Finger Prick</v>
      </c>
      <c r="BP48" s="880"/>
      <c r="BQ48" s="863"/>
      <c r="BR48" s="889" t="str">
        <f>IFERROR(__xludf.DUMMYFUNCTION("""COMPUTED_VALUE"""),"Albonico et al.")</f>
        <v>Albonico et al.</v>
      </c>
      <c r="BS48" s="883" t="str">
        <f>IFERROR(__xludf.DUMMYFUNCTION("""COMPUTED_VALUE"""),"Nepal")</f>
        <v>Nepal</v>
      </c>
      <c r="BT48" s="883" t="str">
        <f>IFERROR(__xludf.DUMMYFUNCTION("""COMPUTED_VALUE"""),"Albendazole")</f>
        <v>Albendazole</v>
      </c>
      <c r="BU48" s="883"/>
      <c r="BV48" s="883" t="str">
        <f>IFERROR(__xludf.DUMMYFUNCTION("""COMPUTED_VALUE"""),"Single")</f>
        <v>Single</v>
      </c>
      <c r="BW48" s="883" t="str">
        <f>IFERROR(__xludf.DUMMYFUNCTION("""COMPUTED_VALUE"""),"400 mg")</f>
        <v>400 mg</v>
      </c>
      <c r="BX48" s="883">
        <f>IFERROR(__xludf.DUMMYFUNCTION("""COMPUTED_VALUE"""),429.0)</f>
        <v>429</v>
      </c>
      <c r="BY48" s="883">
        <f>IFERROR(__xludf.DUMMYFUNCTION("""COMPUTED_VALUE"""),11.6)</f>
        <v>11.6</v>
      </c>
      <c r="BZ48" s="883"/>
      <c r="CA48" s="883"/>
      <c r="CB48" s="883"/>
      <c r="CC48" s="883" t="str">
        <f>IFERROR(__xludf.DUMMYFUNCTION("""COMPUTED_VALUE"""),"Yes")</f>
        <v>Yes</v>
      </c>
      <c r="CD48" s="884">
        <f>IFERROR(__xludf.DUMMYFUNCTION("""COMPUTED_VALUE"""),0.97)</f>
        <v>0.97</v>
      </c>
      <c r="CE48" s="883" t="str">
        <f>IFERROR(__xludf.DUMMYFUNCTION("""COMPUTED_VALUE"""),"Yes")</f>
        <v>Yes</v>
      </c>
      <c r="CF48" s="883"/>
      <c r="CG48" s="883"/>
      <c r="CH48" s="883"/>
      <c r="CI48" s="883"/>
      <c r="CJ48" s="883"/>
      <c r="CK48" s="883"/>
      <c r="CL48" s="883"/>
      <c r="CM48" s="884">
        <f>IFERROR(__xludf.DUMMYFUNCTION("""COMPUTED_VALUE"""),0.926)</f>
        <v>0.926</v>
      </c>
      <c r="CN48" s="883"/>
      <c r="CO48" s="883"/>
      <c r="CP48" s="883"/>
      <c r="CQ48" s="883"/>
      <c r="CR48" s="883"/>
      <c r="CS48" s="883"/>
      <c r="CT48" s="883" t="str">
        <f>IFERROR(__xludf.DUMMYFUNCTION("""COMPUTED_VALUE"""),"Kato-Katz Method")</f>
        <v>Kato-Katz Method</v>
      </c>
      <c r="CU48" s="883"/>
      <c r="CV48" s="863"/>
      <c r="CW48" s="863"/>
      <c r="CX48" s="863"/>
      <c r="CY48" s="863"/>
      <c r="CZ48" s="863"/>
      <c r="DA48" s="863"/>
      <c r="DB48" s="863"/>
      <c r="DC48" s="863"/>
      <c r="DD48" s="863"/>
      <c r="DE48" s="863"/>
    </row>
    <row r="49">
      <c r="A49" s="887" t="str">
        <f>IFERROR(__xludf.DUMMYFUNCTION("""COMPUTED_VALUE"""),"Gunawardena et al.")</f>
        <v>Gunawardena et al.</v>
      </c>
      <c r="B49" s="876" t="str">
        <f>IFERROR(__xludf.DUMMYFUNCTION("""COMPUTED_VALUE"""),"Sri Lanka")</f>
        <v>Sri Lanka</v>
      </c>
      <c r="C49" s="876" t="str">
        <f>IFERROR(__xludf.DUMMYFUNCTION("""COMPUTED_VALUE"""),"Placebo")</f>
        <v>Placebo</v>
      </c>
      <c r="D49" s="876"/>
      <c r="E49" s="876"/>
      <c r="F49" s="876">
        <f>IFERROR(__xludf.DUMMYFUNCTION("""COMPUTED_VALUE"""),70.0)</f>
        <v>70</v>
      </c>
      <c r="G49" s="876"/>
      <c r="H49" s="876"/>
      <c r="I49" s="876">
        <f>IFERROR(__xludf.DUMMYFUNCTION("""COMPUTED_VALUE"""),2011.0)</f>
        <v>2011</v>
      </c>
      <c r="J49" s="876" t="str">
        <f>IFERROR(__xludf.DUMMYFUNCTION("""COMPUTED_VALUE"""),"Infants below the age of 2 years, pregnant women, and those with diarrhea on the day of recruitment were excluded from the study.")</f>
        <v>Infants below the age of 2 years, pregnant women, and those with diarrhea on the day of recruitment were excluded from the study.</v>
      </c>
      <c r="K49" s="876" t="str">
        <f>IFERROR(__xludf.DUMMYFUNCTION("""COMPUTED_VALUE"""),"double-blind randomized placebo controlled study")</f>
        <v>double-blind randomized placebo controlled study</v>
      </c>
      <c r="L49" s="876" t="str">
        <f>IFERROR(__xludf.DUMMYFUNCTION("""COMPUTED_VALUE"""),"Yes")</f>
        <v>Yes</v>
      </c>
      <c r="M49" s="876" t="str">
        <f>IFERROR(__xludf.DUMMYFUNCTION("""COMPUTED_VALUE"""),"Yes")</f>
        <v>Yes</v>
      </c>
      <c r="N49" s="877">
        <f>IFERROR(__xludf.DUMMYFUNCTION("""COMPUTED_VALUE"""),0.163)</f>
        <v>0.163</v>
      </c>
      <c r="O49" s="876">
        <f>IFERROR(__xludf.DUMMYFUNCTION("""COMPUTED_VALUE"""),0.163)</f>
        <v>0.163</v>
      </c>
      <c r="P49" s="876"/>
      <c r="Q49" s="876"/>
      <c r="R49" s="876"/>
      <c r="S49" s="876"/>
      <c r="T49" s="876"/>
      <c r="U49" s="876"/>
      <c r="V49" s="876"/>
      <c r="W49" s="876">
        <f>IFERROR(__xludf.DUMMYFUNCTION("""COMPUTED_VALUE"""),-0.066)</f>
        <v>-0.066</v>
      </c>
      <c r="X49" s="876">
        <f>IFERROR(__xludf.DUMMYFUNCTION("""COMPUTED_VALUE"""),-0.066)</f>
        <v>-0.066</v>
      </c>
      <c r="Y49" s="876"/>
      <c r="Z49" s="876"/>
      <c r="AA49" s="876"/>
      <c r="AB49" s="876"/>
      <c r="AC49" s="876"/>
      <c r="AD49" s="876"/>
      <c r="AE49" s="876" t="str">
        <f>IFERROR(__xludf.DUMMYFUNCTION("""COMPUTED_VALUE"""),"A single 500mg dose of mebendazole, either as Polymorph C alone, or as a mixture of Polymorphs A and C, has little efficacy in curing hookworm infections. However, both formulations are significantly better than placebo in reducing the intensity of infect"&amp;"ion, with no statistically significant difference between the two formulations.")</f>
        <v>A single 500mg dose of mebendazole, either as Polymorph C alone, or as a mixture of Polymorphs A and C, has little efficacy in curing hookworm infections. However, both formulations are significantly better than placebo in reducing the intensity of infection, with no statistically significant difference between the two formulations.</v>
      </c>
      <c r="AF49" s="876" t="str">
        <f>IFERROR(__xludf.DUMMYFUNCTION("""COMPUTED_VALUE"""),"Kato-Katz Method")</f>
        <v>Kato-Katz Method</v>
      </c>
      <c r="AG49" s="876" t="str">
        <f>IFERROR(__xludf.DUMMYFUNCTION("""COMPUTED_VALUE"""),"Gunawardena N., Kumarendran B., Manamperi N., Senarathna B., Silva M., Pathmeswaran A., and De Silva N. “Randomized Placebo-Controlled Trial of the Efficacy of MebendazolePolymorphs in the Treatment of Hookworm Infections”. The Bulletin of the Sri Lanka C"&amp;"ollege of Microbiologists 11 (2013): 12-13. Web.")</f>
        <v>Gunawardena N., Kumarendran B., Manamperi N., Senarathna B., Silva M., Pathmeswaran A., and De Silva N. “Randomized Placebo-Controlled Trial of the Efficacy of MebendazolePolymorphs in the Treatment of Hookworm Infections”. The Bulletin of the Sri Lanka College of Microbiologists 11 (2013): 12-13. Web.</v>
      </c>
      <c r="AH49" s="876"/>
      <c r="AI49" s="878"/>
      <c r="AJ49" s="888" t="str">
        <f>IFERROR(__xludf.DUMMYFUNCTION("""COMPUTED_VALUE"""),"Fox et al.")</f>
        <v>Fox et al.</v>
      </c>
      <c r="AK49" s="880"/>
      <c r="AL49" s="880" t="str">
        <f>IFERROR(__xludf.DUMMYFUNCTION("""COMPUTED_VALUE"""),"Haiti")</f>
        <v>Haiti</v>
      </c>
      <c r="AM49" s="880" t="str">
        <f>IFERROR(__xludf.DUMMYFUNCTION("""COMPUTED_VALUE"""),"Albendazole")</f>
        <v>Albendazole</v>
      </c>
      <c r="AN49" s="880" t="str">
        <f>IFERROR(__xludf.DUMMYFUNCTION("""COMPUTED_VALUE"""),"Single")</f>
        <v>Single</v>
      </c>
      <c r="AO49" s="880" t="str">
        <f>IFERROR(__xludf.DUMMYFUNCTION("""COMPUTED_VALUE"""),"400 mg")</f>
        <v>400 mg</v>
      </c>
      <c r="AP49" s="880">
        <f>IFERROR(__xludf.DUMMYFUNCTION("""COMPUTED_VALUE"""),320.0)</f>
        <v>320</v>
      </c>
      <c r="AQ49" s="880" t="str">
        <f>IFERROR(__xludf.DUMMYFUNCTION("""COMPUTED_VALUE"""),"5-11 years old")</f>
        <v>5-11 years old</v>
      </c>
      <c r="AR49" s="880" t="str">
        <f>IFERROR(__xludf.DUMMYFUNCTION("""COMPUTED_VALUE"""),"Female:657")</f>
        <v>Female:657</v>
      </c>
      <c r="AS49" s="880">
        <f>IFERROR(__xludf.DUMMYFUNCTION("""COMPUTED_VALUE"""),1998.0)</f>
        <v>1998</v>
      </c>
      <c r="AT49" s="880"/>
      <c r="AU49" s="880" t="str">
        <f>IFERROR(__xludf.DUMMYFUNCTION("""COMPUTED_VALUE"""),"Yes")</f>
        <v>Yes</v>
      </c>
      <c r="AV49" s="880" t="str">
        <f>IFERROR(__xludf.DUMMYFUNCTION("""COMPUTED_VALUE"""),"Yes")</f>
        <v>Yes</v>
      </c>
      <c r="AW49" s="881" t="str">
        <f>IFERROR(__xludf.DUMMYFUNCTION("""COMPUTED_VALUE"""),"clinical trial, double blind")</f>
        <v>clinical trial, double blind</v>
      </c>
      <c r="AX49" s="863">
        <f>IFERROR(__xludf.DUMMYFUNCTION("""COMPUTED_VALUE"""),0.385)</f>
        <v>0.385</v>
      </c>
      <c r="AY49" s="863"/>
      <c r="AZ49" s="863"/>
      <c r="BA49" s="863"/>
      <c r="BB49" s="863"/>
      <c r="BC49" s="863"/>
      <c r="BD49" s="863">
        <f>IFERROR(__xludf.DUMMYFUNCTION("""COMPUTED_VALUE"""),0.385)</f>
        <v>0.385</v>
      </c>
      <c r="BE49" s="863"/>
      <c r="BF49" s="863"/>
      <c r="BG49" s="863"/>
      <c r="BH49" s="863">
        <f>IFERROR(__xludf.DUMMYFUNCTION("""COMPUTED_VALUE"""),0.385)</f>
        <v>0.385</v>
      </c>
      <c r="BI49" s="863"/>
      <c r="BJ49" s="863"/>
      <c r="BK49" s="863"/>
      <c r="BL49" s="863"/>
      <c r="BM49" s="863"/>
      <c r="BN49" s="863"/>
      <c r="BO49" s="863"/>
      <c r="BP49" s="880"/>
      <c r="BQ49" s="863"/>
      <c r="BR49" s="889" t="str">
        <f>IFERROR(__xludf.DUMMYFUNCTION("""COMPUTED_VALUE"""),"Van der Werff et al.")</f>
        <v>Van der Werff et al.</v>
      </c>
      <c r="BS49" s="883" t="str">
        <f>IFERROR(__xludf.DUMMYFUNCTION("""COMPUTED_VALUE"""),"Cuba")</f>
        <v>Cuba</v>
      </c>
      <c r="BT49" s="883" t="str">
        <f>IFERROR(__xludf.DUMMYFUNCTION("""COMPUTED_VALUE"""),"Mebendazole")</f>
        <v>Mebendazole</v>
      </c>
      <c r="BU49" s="883"/>
      <c r="BV49" s="883" t="str">
        <f>IFERROR(__xludf.DUMMYFUNCTION("""COMPUTED_VALUE"""),"Single")</f>
        <v>Single</v>
      </c>
      <c r="BW49" s="883" t="str">
        <f>IFERROR(__xludf.DUMMYFUNCTION("""COMPUTED_VALUE"""),"500 mg")</f>
        <v>500 mg</v>
      </c>
      <c r="BX49" s="883">
        <f>IFERROR(__xludf.DUMMYFUNCTION("""COMPUTED_VALUE"""),55.0)</f>
        <v>55</v>
      </c>
      <c r="BY49" s="890">
        <f>IFERROR(__xludf.DUMMYFUNCTION("""COMPUTED_VALUE"""),42504.0)</f>
        <v>42504</v>
      </c>
      <c r="BZ49" s="883">
        <f>IFERROR(__xludf.DUMMYFUNCTION("""COMPUTED_VALUE"""),2007.0)</f>
        <v>2007</v>
      </c>
      <c r="CA49" s="883"/>
      <c r="CB49" s="883"/>
      <c r="CC49" s="883" t="str">
        <f>IFERROR(__xludf.DUMMYFUNCTION("""COMPUTED_VALUE"""),"No")</f>
        <v>No</v>
      </c>
      <c r="CD49" s="884">
        <f>IFERROR(__xludf.DUMMYFUNCTION("""COMPUTED_VALUE"""),0.769)</f>
        <v>0.769</v>
      </c>
      <c r="CE49" s="883" t="str">
        <f>IFERROR(__xludf.DUMMYFUNCTION("""COMPUTED_VALUE"""),"No")</f>
        <v>No</v>
      </c>
      <c r="CF49" s="883"/>
      <c r="CG49" s="883"/>
      <c r="CH49" s="883"/>
      <c r="CI49" s="883"/>
      <c r="CJ49" s="883"/>
      <c r="CK49" s="883"/>
      <c r="CL49" s="883"/>
      <c r="CM49" s="884">
        <f>IFERROR(__xludf.DUMMYFUNCTION("""COMPUTED_VALUE"""),0.98)</f>
        <v>0.98</v>
      </c>
      <c r="CN49" s="883"/>
      <c r="CO49" s="883"/>
      <c r="CP49" s="883"/>
      <c r="CQ49" s="883"/>
      <c r="CR49" s="883"/>
      <c r="CS49" s="883"/>
      <c r="CT49" s="883" t="str">
        <f>IFERROR(__xludf.DUMMYFUNCTION("""COMPUTED_VALUE"""),"Kato-Katz Method")</f>
        <v>Kato-Katz Method</v>
      </c>
      <c r="CU49" s="883"/>
      <c r="CV49" s="863"/>
      <c r="CW49" s="863"/>
      <c r="CX49" s="863"/>
      <c r="CY49" s="863"/>
      <c r="CZ49" s="863"/>
      <c r="DA49" s="863"/>
      <c r="DB49" s="863"/>
      <c r="DC49" s="863"/>
      <c r="DD49" s="863"/>
      <c r="DE49" s="863"/>
    </row>
    <row r="50">
      <c r="A50" s="887" t="str">
        <f>IFERROR(__xludf.DUMMYFUNCTION("""COMPUTED_VALUE"""),"Heukelbach et al.")</f>
        <v>Heukelbach et al.</v>
      </c>
      <c r="B50" s="876" t="str">
        <f>IFERROR(__xludf.DUMMYFUNCTION("""COMPUTED_VALUE"""),"Brazil")</f>
        <v>Brazil</v>
      </c>
      <c r="C50" s="876" t="str">
        <f>IFERROR(__xludf.DUMMYFUNCTION("""COMPUTED_VALUE"""),"Ivermectin")</f>
        <v>Ivermectin</v>
      </c>
      <c r="D50" s="876" t="str">
        <f>IFERROR(__xludf.DUMMYFUNCTION("""COMPUTED_VALUE"""),"Two")</f>
        <v>Two</v>
      </c>
      <c r="E50" s="876" t="str">
        <f>IFERROR(__xludf.DUMMYFUNCTION("""COMPUTED_VALUE"""),"200 ug/kg")</f>
        <v>200 ug/kg</v>
      </c>
      <c r="F50" s="876">
        <f>IFERROR(__xludf.DUMMYFUNCTION("""COMPUTED_VALUE"""),124.0)</f>
        <v>124</v>
      </c>
      <c r="G50" s="876">
        <f>IFERROR(__xludf.DUMMYFUNCTION("""COMPUTED_VALUE"""),33.2)</f>
        <v>33.2</v>
      </c>
      <c r="H50" s="876" t="str">
        <f>IFERROR(__xludf.DUMMYFUNCTION("""COMPUTED_VALUE"""),"79:45")</f>
        <v>79:45</v>
      </c>
      <c r="I50" s="876">
        <f>IFERROR(__xludf.DUMMYFUNCTION("""COMPUTED_VALUE"""),2004.0)</f>
        <v>2004</v>
      </c>
      <c r="J50" s="876" t="str">
        <f>IFERROR(__xludf.DUMMYFUNCTION("""COMPUTED_VALUE"""),"Children &lt;5 years of age or &lt;15 kg body weight, pregnant, or breastfeeding women and individuals with known renal or hepatic disease were excluded")</f>
        <v>Children &lt;5 years of age or &lt;15 kg body weight, pregnant, or breastfeeding women and individuals with known renal or hepatic disease were excluded</v>
      </c>
      <c r="K50" s="876" t="str">
        <f>IFERROR(__xludf.DUMMYFUNCTION("""COMPUTED_VALUE"""),"open trial")</f>
        <v>open trial</v>
      </c>
      <c r="L50" s="876" t="str">
        <f>IFERROR(__xludf.DUMMYFUNCTION("""COMPUTED_VALUE"""),"No")</f>
        <v>No</v>
      </c>
      <c r="M50" s="876" t="str">
        <f>IFERROR(__xludf.DUMMYFUNCTION("""COMPUTED_VALUE"""),"No")</f>
        <v>No</v>
      </c>
      <c r="N50" s="877">
        <f>IFERROR(__xludf.DUMMYFUNCTION("""COMPUTED_VALUE"""),0.677)</f>
        <v>0.677</v>
      </c>
      <c r="O50" s="876">
        <f>IFERROR(__xludf.DUMMYFUNCTION("""COMPUTED_VALUE"""),0.677)</f>
        <v>0.677</v>
      </c>
      <c r="P50" s="876"/>
      <c r="Q50" s="876"/>
      <c r="R50" s="876"/>
      <c r="S50" s="876"/>
      <c r="T50" s="876"/>
      <c r="U50" s="876"/>
      <c r="V50" s="876"/>
      <c r="W50" s="876"/>
      <c r="X50" s="876"/>
      <c r="Y50" s="876"/>
      <c r="Z50" s="876"/>
      <c r="AA50" s="876"/>
      <c r="AB50" s="876"/>
      <c r="AC50" s="876"/>
      <c r="AD50" s="876"/>
      <c r="AE50" s="876" t="str">
        <f>IFERROR(__xludf.DUMMYFUNCTION("""COMPUTED_VALUE"""),"IVM has been reported to be rather ineffective in hookworm infection with low cure rates but in contrast this study had higher cure rates and that could hace resulted in the fact that two doses were given instead of the usual single dose")</f>
        <v>IVM has been reported to be rather ineffective in hookworm infection with low cure rates but in contrast this study had higher cure rates and that could hace resulted in the fact that two doses were given instead of the usual single dose</v>
      </c>
      <c r="AF50" s="876" t="str">
        <f>IFERROR(__xludf.DUMMYFUNCTION("""COMPUTED_VALUE"""),"Baermann Method")</f>
        <v>Baermann Method</v>
      </c>
      <c r="AG50" s="876" t="str">
        <f>IFERROR(__xludf.DUMMYFUNCTION("""COMPUTED_VALUE"""),"Heukelbach, Jurg, Thomas Wilcke, Benedikt Winter, Fabiola Araujo Sales De Oliveira, Romulo Cesar Sabola Moura, Gundel Harms, Oliver Liesenfeld, and Hermann Feldmier. ""Efficacy of Ivermectin in a Patient Population Concomitantly Infected with Intestinal H"&amp;"elminths and Ectoparasites."" Arzneimittelforschung 54.7 (2004): 416-21. Web.")</f>
        <v>Heukelbach, Jurg, Thomas Wilcke, Benedikt Winter, Fabiola Araujo Sales De Oliveira, Romulo Cesar Sabola Moura, Gundel Harms, Oliver Liesenfeld, and Hermann Feldmier. "Efficacy of Ivermectin in a Patient Population Concomitantly Infected with Intestinal Helminths and Ectoparasites." Arzneimittelforschung 54.7 (2004): 416-21. Web.</v>
      </c>
      <c r="AH50" s="876" t="str">
        <f>IFERROR(__xludf.DUMMYFUNCTION("""COMPUTED_VALUE"""),"x")</f>
        <v>x</v>
      </c>
      <c r="AI50" s="878"/>
      <c r="AJ50" s="888" t="str">
        <f>IFERROR(__xludf.DUMMYFUNCTION("""COMPUTED_VALUE"""),"Fox et al.")</f>
        <v>Fox et al.</v>
      </c>
      <c r="AK50" s="880"/>
      <c r="AL50" s="880" t="str">
        <f>IFERROR(__xludf.DUMMYFUNCTION("""COMPUTED_VALUE"""),"Haiti")</f>
        <v>Haiti</v>
      </c>
      <c r="AM50" s="880" t="str">
        <f>IFERROR(__xludf.DUMMYFUNCTION("""COMPUTED_VALUE"""),"Diethylcarbamazine")</f>
        <v>Diethylcarbamazine</v>
      </c>
      <c r="AN50" s="880" t="str">
        <f>IFERROR(__xludf.DUMMYFUNCTION("""COMPUTED_VALUE"""),"Single")</f>
        <v>Single</v>
      </c>
      <c r="AO50" s="880" t="str">
        <f>IFERROR(__xludf.DUMMYFUNCTION("""COMPUTED_VALUE"""),"6 mg")</f>
        <v>6 mg</v>
      </c>
      <c r="AP50" s="880">
        <f>IFERROR(__xludf.DUMMYFUNCTION("""COMPUTED_VALUE"""),313.0)</f>
        <v>313</v>
      </c>
      <c r="AQ50" s="880" t="str">
        <f>IFERROR(__xludf.DUMMYFUNCTION("""COMPUTED_VALUE"""),"5-11 years old")</f>
        <v>5-11 years old</v>
      </c>
      <c r="AR50" s="880" t="str">
        <f>IFERROR(__xludf.DUMMYFUNCTION("""COMPUTED_VALUE"""),"Female:658")</f>
        <v>Female:658</v>
      </c>
      <c r="AS50" s="880">
        <f>IFERROR(__xludf.DUMMYFUNCTION("""COMPUTED_VALUE"""),1998.0)</f>
        <v>1998</v>
      </c>
      <c r="AT50" s="880"/>
      <c r="AU50" s="880" t="str">
        <f>IFERROR(__xludf.DUMMYFUNCTION("""COMPUTED_VALUE"""),"Yes")</f>
        <v>Yes</v>
      </c>
      <c r="AV50" s="880" t="str">
        <f>IFERROR(__xludf.DUMMYFUNCTION("""COMPUTED_VALUE"""),"Yes")</f>
        <v>Yes</v>
      </c>
      <c r="AW50" s="881" t="str">
        <f>IFERROR(__xludf.DUMMYFUNCTION("""COMPUTED_VALUE"""),"clinical trial, double blind")</f>
        <v>clinical trial, double blind</v>
      </c>
      <c r="AX50" s="863">
        <f>IFERROR(__xludf.DUMMYFUNCTION("""COMPUTED_VALUE"""),0.051)</f>
        <v>0.051</v>
      </c>
      <c r="AY50" s="863"/>
      <c r="AZ50" s="863"/>
      <c r="BA50" s="863"/>
      <c r="BB50" s="863"/>
      <c r="BC50" s="863"/>
      <c r="BD50" s="863">
        <f>IFERROR(__xludf.DUMMYFUNCTION("""COMPUTED_VALUE"""),0.051)</f>
        <v>0.051</v>
      </c>
      <c r="BE50" s="863"/>
      <c r="BF50" s="863"/>
      <c r="BG50" s="863"/>
      <c r="BH50" s="863" t="str">
        <f>IFERROR(__xludf.DUMMYFUNCTION("""COMPUTED_VALUE"""),"increase 5.1%")</f>
        <v>increase 5.1%</v>
      </c>
      <c r="BI50" s="863"/>
      <c r="BJ50" s="863"/>
      <c r="BK50" s="863"/>
      <c r="BL50" s="863"/>
      <c r="BM50" s="863"/>
      <c r="BN50" s="863"/>
      <c r="BO50" s="863"/>
      <c r="BP50" s="880"/>
      <c r="BQ50" s="863"/>
      <c r="BR50" s="889" t="str">
        <f>IFERROR(__xludf.DUMMYFUNCTION("""COMPUTED_VALUE"""),"Albonico et al.")</f>
        <v>Albonico et al.</v>
      </c>
      <c r="BS50" s="883" t="str">
        <f>IFERROR(__xludf.DUMMYFUNCTION("""COMPUTED_VALUE"""),"Zanzibar")</f>
        <v>Zanzibar</v>
      </c>
      <c r="BT50" s="883" t="str">
        <f>IFERROR(__xludf.DUMMYFUNCTION("""COMPUTED_VALUE"""),"Mebendazole")</f>
        <v>Mebendazole</v>
      </c>
      <c r="BU50" s="883"/>
      <c r="BV50" s="883" t="str">
        <f>IFERROR(__xludf.DUMMYFUNCTION("""COMPUTED_VALUE"""),"Single")</f>
        <v>Single</v>
      </c>
      <c r="BW50" s="883" t="str">
        <f>IFERROR(__xludf.DUMMYFUNCTION("""COMPUTED_VALUE"""),"500 mg")</f>
        <v>500 mg</v>
      </c>
      <c r="BX50" s="883">
        <f>IFERROR(__xludf.DUMMYFUNCTION("""COMPUTED_VALUE"""),1120.0)</f>
        <v>1120</v>
      </c>
      <c r="BY50" s="890">
        <f>IFERROR(__xludf.DUMMYFUNCTION("""COMPUTED_VALUE"""),42533.0)</f>
        <v>42533</v>
      </c>
      <c r="BZ50" s="883"/>
      <c r="CA50" s="883"/>
      <c r="CB50" s="883"/>
      <c r="CC50" s="883" t="str">
        <f>IFERROR(__xludf.DUMMYFUNCTION("""COMPUTED_VALUE"""),"Yes")</f>
        <v>Yes</v>
      </c>
      <c r="CD50" s="884">
        <f>IFERROR(__xludf.DUMMYFUNCTION("""COMPUTED_VALUE"""),0.978)</f>
        <v>0.978</v>
      </c>
      <c r="CE50" s="883" t="str">
        <f>IFERROR(__xludf.DUMMYFUNCTION("""COMPUTED_VALUE"""),"Yes")</f>
        <v>Yes</v>
      </c>
      <c r="CF50" s="883"/>
      <c r="CG50" s="883"/>
      <c r="CH50" s="883"/>
      <c r="CI50" s="883"/>
      <c r="CJ50" s="883"/>
      <c r="CK50" s="883"/>
      <c r="CL50" s="883"/>
      <c r="CM50" s="891">
        <f>IFERROR(__xludf.DUMMYFUNCTION("""COMPUTED_VALUE"""),0.993)</f>
        <v>0.993</v>
      </c>
      <c r="CN50" s="883"/>
      <c r="CO50" s="883"/>
      <c r="CP50" s="883"/>
      <c r="CQ50" s="883"/>
      <c r="CR50" s="883"/>
      <c r="CS50" s="883"/>
      <c r="CT50" s="883"/>
      <c r="CU50" s="883" t="str">
        <f>IFERROR(__xludf.DUMMYFUNCTION("""COMPUTED_VALUE""")," ")</f>
        <v> </v>
      </c>
      <c r="CV50" s="863"/>
      <c r="CW50" s="863"/>
      <c r="CX50" s="863"/>
      <c r="CY50" s="863"/>
      <c r="CZ50" s="863"/>
      <c r="DA50" s="863"/>
      <c r="DB50" s="863"/>
      <c r="DC50" s="863"/>
      <c r="DD50" s="863"/>
      <c r="DE50" s="863"/>
    </row>
    <row r="51">
      <c r="A51" s="887" t="str">
        <f>IFERROR(__xludf.DUMMYFUNCTION("""COMPUTED_VALUE"""),"Huang W, Brown H W.")</f>
        <v>Huang W, Brown H W.</v>
      </c>
      <c r="B51" s="876" t="str">
        <f>IFERROR(__xludf.DUMMYFUNCTION("""COMPUTED_VALUE"""),"Taiwan")</f>
        <v>Taiwan</v>
      </c>
      <c r="C51" s="876" t="str">
        <f>IFERROR(__xludf.DUMMYFUNCTION("""COMPUTED_VALUE"""),"Thiabendazole")</f>
        <v>Thiabendazole</v>
      </c>
      <c r="D51" s="876" t="str">
        <f>IFERROR(__xludf.DUMMYFUNCTION("""COMPUTED_VALUE"""),"Single")</f>
        <v>Single</v>
      </c>
      <c r="E51" s="876" t="str">
        <f>IFERROR(__xludf.DUMMYFUNCTION("""COMPUTED_VALUE"""),"40 mg/kg")</f>
        <v>40 mg/kg</v>
      </c>
      <c r="F51" s="876">
        <f>IFERROR(__xludf.DUMMYFUNCTION("""COMPUTED_VALUE"""),16.0)</f>
        <v>16</v>
      </c>
      <c r="G51" s="876" t="str">
        <f>IFERROR(__xludf.DUMMYFUNCTION("""COMPUTED_VALUE"""),"20-66 ")</f>
        <v>20-66 </v>
      </c>
      <c r="H51" s="876" t="str">
        <f>IFERROR(__xludf.DUMMYFUNCTION("""COMPUTED_VALUE"""),"55:3")</f>
        <v>55:3</v>
      </c>
      <c r="I51" s="876">
        <f>IFERROR(__xludf.DUMMYFUNCTION("""COMPUTED_VALUE"""),1963.0)</f>
        <v>1963</v>
      </c>
      <c r="J51" s="876" t="str">
        <f>IFERROR(__xludf.DUMMYFUNCTION("""COMPUTED_VALUE"""),"The participants in this study were inpatients of the Miners' Hospital in Taiwan (Formosa).")</f>
        <v>The participants in this study were inpatients of the Miners' Hospital in Taiwan (Formosa).</v>
      </c>
      <c r="K51" s="876" t="str">
        <f>IFERROR(__xludf.DUMMYFUNCTION("""COMPUTED_VALUE"""),"randomized controlled trial")</f>
        <v>randomized controlled trial</v>
      </c>
      <c r="L51" s="876" t="str">
        <f>IFERROR(__xludf.DUMMYFUNCTION("""COMPUTED_VALUE"""),"Yes")</f>
        <v>Yes</v>
      </c>
      <c r="M51" s="876" t="str">
        <f>IFERROR(__xludf.DUMMYFUNCTION("""COMPUTED_VALUE"""),"No")</f>
        <v>No</v>
      </c>
      <c r="N51" s="877">
        <f>IFERROR(__xludf.DUMMYFUNCTION("""COMPUTED_VALUE"""),0.0)</f>
        <v>0</v>
      </c>
      <c r="O51" s="876">
        <f>IFERROR(__xludf.DUMMYFUNCTION("""COMPUTED_VALUE"""),0.0)</f>
        <v>0</v>
      </c>
      <c r="P51" s="876"/>
      <c r="Q51" s="876"/>
      <c r="R51" s="876"/>
      <c r="S51" s="876"/>
      <c r="T51" s="876"/>
      <c r="U51" s="876"/>
      <c r="V51" s="876"/>
      <c r="W51" s="876">
        <f>IFERROR(__xludf.DUMMYFUNCTION("""COMPUTED_VALUE"""),0.763)</f>
        <v>0.763</v>
      </c>
      <c r="X51" s="876">
        <f>IFERROR(__xludf.DUMMYFUNCTION("""COMPUTED_VALUE"""),0.763)</f>
        <v>0.763</v>
      </c>
      <c r="Y51" s="876"/>
      <c r="Z51" s="876"/>
      <c r="AA51" s="876"/>
      <c r="AB51" s="876"/>
      <c r="AC51" s="876"/>
      <c r="AD51" s="876"/>
      <c r="AE51" s="876" t="str">
        <f>IFERROR(__xludf.DUMMYFUNCTION("""COMPUTED_VALUE"""),"25 mg/kg was less effective than 2 g of Thiabendazole 40 mg/kg.")</f>
        <v>25 mg/kg was less effective than 2 g of Thiabendazole 40 mg/kg.</v>
      </c>
      <c r="AF51" s="876" t="str">
        <f>IFERROR(__xludf.DUMMYFUNCTION("""COMPUTED_VALUE"""),"• The ratio of M:F is based on the original number of participants in the study, including the ones who did not show up (i.e. 58)
• Direct smears, the brine flotation, and Stoll egg-counting technique")</f>
        <v>• The ratio of M:F is based on the original number of participants in the study, including the ones who did not show up (i.e. 58)
• Direct smears, the brine flotation, and Stoll egg-counting technique</v>
      </c>
      <c r="AG51" s="876" t="str">
        <f>IFERROR(__xludf.DUMMYFUNCTION("""COMPUTED_VALUE"""),"Huang W, Brown H W. The Efficacy of Thiabendazole against Hookworm and Ascaris of Man. The Journal of Parasitology JSTOR [Internet]. 1963 [cited 2015 Sep 29]; 49(6): 1014-1018.")</f>
        <v>Huang W, Brown H W. The Efficacy of Thiabendazole against Hookworm and Ascaris of Man. The Journal of Parasitology JSTOR [Internet]. 1963 [cited 2015 Sep 29]; 49(6): 1014-1018.</v>
      </c>
      <c r="AH51" s="876" t="str">
        <f>IFERROR(__xludf.DUMMYFUNCTION("""COMPUTED_VALUE"""),"x")</f>
        <v>x</v>
      </c>
      <c r="AI51" s="878"/>
      <c r="AJ51" s="888" t="str">
        <f>IFERROR(__xludf.DUMMYFUNCTION("""COMPUTED_VALUE"""),"Fox et al.")</f>
        <v>Fox et al.</v>
      </c>
      <c r="AK51" s="880"/>
      <c r="AL51" s="880" t="str">
        <f>IFERROR(__xludf.DUMMYFUNCTION("""COMPUTED_VALUE"""),"Haiti")</f>
        <v>Haiti</v>
      </c>
      <c r="AM51" s="880" t="str">
        <f>IFERROR(__xludf.DUMMYFUNCTION("""COMPUTED_VALUE"""),"Albendazole &amp; Mebendazole")</f>
        <v>Albendazole &amp; Mebendazole</v>
      </c>
      <c r="AN51" s="880" t="str">
        <f>IFERROR(__xludf.DUMMYFUNCTION("""COMPUTED_VALUE"""),"Single")</f>
        <v>Single</v>
      </c>
      <c r="AO51" s="880" t="str">
        <f>IFERROR(__xludf.DUMMYFUNCTION("""COMPUTED_VALUE"""),"400 mg; 500 mg")</f>
        <v>400 mg; 500 mg</v>
      </c>
      <c r="AP51" s="880">
        <f>IFERROR(__xludf.DUMMYFUNCTION("""COMPUTED_VALUE"""),310.0)</f>
        <v>310</v>
      </c>
      <c r="AQ51" s="880" t="str">
        <f>IFERROR(__xludf.DUMMYFUNCTION("""COMPUTED_VALUE"""),"5-11 years old")</f>
        <v>5-11 years old</v>
      </c>
      <c r="AR51" s="880" t="str">
        <f>IFERROR(__xludf.DUMMYFUNCTION("""COMPUTED_VALUE"""),"Female:659")</f>
        <v>Female:659</v>
      </c>
      <c r="AS51" s="880">
        <f>IFERROR(__xludf.DUMMYFUNCTION("""COMPUTED_VALUE"""),1998.0)</f>
        <v>1998</v>
      </c>
      <c r="AT51" s="880"/>
      <c r="AU51" s="880" t="str">
        <f>IFERROR(__xludf.DUMMYFUNCTION("""COMPUTED_VALUE"""),"Yes")</f>
        <v>Yes</v>
      </c>
      <c r="AV51" s="880" t="str">
        <f>IFERROR(__xludf.DUMMYFUNCTION("""COMPUTED_VALUE"""),"Yes")</f>
        <v>Yes</v>
      </c>
      <c r="AW51" s="881" t="str">
        <f>IFERROR(__xludf.DUMMYFUNCTION("""COMPUTED_VALUE"""),"clinical trial, double blind")</f>
        <v>clinical trial, double blind</v>
      </c>
      <c r="AX51" s="863">
        <f>IFERROR(__xludf.DUMMYFUNCTION("""COMPUTED_VALUE"""),0.274)</f>
        <v>0.274</v>
      </c>
      <c r="AY51" s="863"/>
      <c r="AZ51" s="863"/>
      <c r="BA51" s="863"/>
      <c r="BB51" s="863"/>
      <c r="BC51" s="863"/>
      <c r="BD51" s="863">
        <f>IFERROR(__xludf.DUMMYFUNCTION("""COMPUTED_VALUE"""),0.274)</f>
        <v>0.274</v>
      </c>
      <c r="BE51" s="863"/>
      <c r="BF51" s="863"/>
      <c r="BG51" s="863"/>
      <c r="BH51" s="863">
        <f>IFERROR(__xludf.DUMMYFUNCTION("""COMPUTED_VALUE"""),0.274)</f>
        <v>0.274</v>
      </c>
      <c r="BI51" s="863"/>
      <c r="BJ51" s="863"/>
      <c r="BK51" s="863"/>
      <c r="BL51" s="863"/>
      <c r="BM51" s="863"/>
      <c r="BN51" s="863"/>
      <c r="BO51" s="863"/>
      <c r="BP51" s="880"/>
      <c r="BQ51" s="863"/>
      <c r="BR51" s="889" t="str">
        <f>IFERROR(__xludf.DUMMYFUNCTION("""COMPUTED_VALUE"""),"Albonico et al.")</f>
        <v>Albonico et al.</v>
      </c>
      <c r="BS51" s="883" t="str">
        <f>IFERROR(__xludf.DUMMYFUNCTION("""COMPUTED_VALUE"""),"Zanzibar")</f>
        <v>Zanzibar</v>
      </c>
      <c r="BT51" s="883" t="str">
        <f>IFERROR(__xludf.DUMMYFUNCTION("""COMPUTED_VALUE"""),"Albendazole")</f>
        <v>Albendazole</v>
      </c>
      <c r="BU51" s="883"/>
      <c r="BV51" s="883" t="str">
        <f>IFERROR(__xludf.DUMMYFUNCTION("""COMPUTED_VALUE"""),"Single")</f>
        <v>Single</v>
      </c>
      <c r="BW51" s="883" t="str">
        <f>IFERROR(__xludf.DUMMYFUNCTION("""COMPUTED_VALUE"""),"400 mg")</f>
        <v>400 mg</v>
      </c>
      <c r="BX51" s="883">
        <f>IFERROR(__xludf.DUMMYFUNCTION("""COMPUTED_VALUE"""),1174.0)</f>
        <v>1174</v>
      </c>
      <c r="BY51" s="883"/>
      <c r="BZ51" s="883"/>
      <c r="CA51" s="883"/>
      <c r="CB51" s="883"/>
      <c r="CC51" s="883" t="str">
        <f>IFERROR(__xludf.DUMMYFUNCTION("""COMPUTED_VALUE"""),"Yes")</f>
        <v>Yes</v>
      </c>
      <c r="CD51" s="894">
        <f>IFERROR(__xludf.DUMMYFUNCTION("""COMPUTED_VALUE"""),98.9)</f>
        <v>98.9</v>
      </c>
      <c r="CE51" s="883" t="str">
        <f>IFERROR(__xludf.DUMMYFUNCTION("""COMPUTED_VALUE"""),"Yes")</f>
        <v>Yes</v>
      </c>
      <c r="CF51" s="883"/>
      <c r="CG51" s="883"/>
      <c r="CH51" s="883"/>
      <c r="CI51" s="883"/>
      <c r="CJ51" s="883"/>
      <c r="CK51" s="883"/>
      <c r="CL51" s="883"/>
      <c r="CM51" s="891">
        <f>IFERROR(__xludf.DUMMYFUNCTION("""COMPUTED_VALUE"""),0.996)</f>
        <v>0.996</v>
      </c>
      <c r="CN51" s="883"/>
      <c r="CO51" s="883"/>
      <c r="CP51" s="883"/>
      <c r="CQ51" s="883"/>
      <c r="CR51" s="883"/>
      <c r="CS51" s="883"/>
      <c r="CT51" s="883"/>
      <c r="CU51" s="883"/>
      <c r="CV51" s="863"/>
      <c r="CW51" s="863"/>
      <c r="CX51" s="863"/>
      <c r="CY51" s="863"/>
      <c r="CZ51" s="863"/>
      <c r="DA51" s="863"/>
      <c r="DB51" s="863"/>
      <c r="DC51" s="863"/>
      <c r="DD51" s="863"/>
      <c r="DE51" s="863"/>
    </row>
    <row r="52">
      <c r="A52" s="887" t="str">
        <f>IFERROR(__xludf.DUMMYFUNCTION("""COMPUTED_VALUE"""),"Huang W, Brown H W.")</f>
        <v>Huang W, Brown H W.</v>
      </c>
      <c r="B52" s="876" t="str">
        <f>IFERROR(__xludf.DUMMYFUNCTION("""COMPUTED_VALUE"""),"Taiwan")</f>
        <v>Taiwan</v>
      </c>
      <c r="C52" s="876" t="str">
        <f>IFERROR(__xludf.DUMMYFUNCTION("""COMPUTED_VALUE"""),"Thiabendazole")</f>
        <v>Thiabendazole</v>
      </c>
      <c r="D52" s="876" t="str">
        <f>IFERROR(__xludf.DUMMYFUNCTION("""COMPUTED_VALUE"""),"Single")</f>
        <v>Single</v>
      </c>
      <c r="E52" s="876" t="str">
        <f>IFERROR(__xludf.DUMMYFUNCTION("""COMPUTED_VALUE"""),"25 mg/kg")</f>
        <v>25 mg/kg</v>
      </c>
      <c r="F52" s="876">
        <f>IFERROR(__xludf.DUMMYFUNCTION("""COMPUTED_VALUE"""),30.0)</f>
        <v>30</v>
      </c>
      <c r="G52" s="876" t="str">
        <f>IFERROR(__xludf.DUMMYFUNCTION("""COMPUTED_VALUE"""),"14-59")</f>
        <v>14-59</v>
      </c>
      <c r="H52" s="876" t="str">
        <f>IFERROR(__xludf.DUMMYFUNCTION("""COMPUTED_VALUE"""),"55:3")</f>
        <v>55:3</v>
      </c>
      <c r="I52" s="876">
        <f>IFERROR(__xludf.DUMMYFUNCTION("""COMPUTED_VALUE"""),1963.0)</f>
        <v>1963</v>
      </c>
      <c r="J52" s="876" t="str">
        <f>IFERROR(__xludf.DUMMYFUNCTION("""COMPUTED_VALUE"""),"The participants in this study were inpatients of the Miners' Hospital in Taiwan (Formosa).")</f>
        <v>The participants in this study were inpatients of the Miners' Hospital in Taiwan (Formosa).</v>
      </c>
      <c r="K52" s="876" t="str">
        <f>IFERROR(__xludf.DUMMYFUNCTION("""COMPUTED_VALUE"""),"randomized controlled trial")</f>
        <v>randomized controlled trial</v>
      </c>
      <c r="L52" s="876" t="str">
        <f>IFERROR(__xludf.DUMMYFUNCTION("""COMPUTED_VALUE"""),"Yes")</f>
        <v>Yes</v>
      </c>
      <c r="M52" s="876" t="str">
        <f>IFERROR(__xludf.DUMMYFUNCTION("""COMPUTED_VALUE"""),"No")</f>
        <v>No</v>
      </c>
      <c r="N52" s="877">
        <f>IFERROR(__xludf.DUMMYFUNCTION("""COMPUTED_VALUE"""),0.0333)</f>
        <v>0.0333</v>
      </c>
      <c r="O52" s="876">
        <f>IFERROR(__xludf.DUMMYFUNCTION("""COMPUTED_VALUE"""),0.0333)</f>
        <v>0.0333</v>
      </c>
      <c r="P52" s="876"/>
      <c r="Q52" s="876"/>
      <c r="R52" s="876"/>
      <c r="S52" s="876"/>
      <c r="T52" s="876"/>
      <c r="U52" s="876"/>
      <c r="V52" s="876"/>
      <c r="W52" s="876">
        <f>IFERROR(__xludf.DUMMYFUNCTION("""COMPUTED_VALUE"""),0.537)</f>
        <v>0.537</v>
      </c>
      <c r="X52" s="876">
        <f>IFERROR(__xludf.DUMMYFUNCTION("""COMPUTED_VALUE"""),0.537)</f>
        <v>0.537</v>
      </c>
      <c r="Y52" s="876"/>
      <c r="Z52" s="876"/>
      <c r="AA52" s="876"/>
      <c r="AB52" s="876"/>
      <c r="AC52" s="876"/>
      <c r="AD52" s="876"/>
      <c r="AE52" s="876" t="str">
        <f>IFERROR(__xludf.DUMMYFUNCTION("""COMPUTED_VALUE"""),"25 mg/kg was less effective than 2 g of Thiabendazole 40 mg/kg.")</f>
        <v>25 mg/kg was less effective than 2 g of Thiabendazole 40 mg/kg.</v>
      </c>
      <c r="AF52" s="876" t="str">
        <f>IFERROR(__xludf.DUMMYFUNCTION("""COMPUTED_VALUE"""),"• The ratio of M:F is based on the original number of participants in the study, including the ones who did not show up (i.e. 58)
• Direct smears, the brine flotation, and Stoll egg-counting technique")</f>
        <v>• The ratio of M:F is based on the original number of participants in the study, including the ones who did not show up (i.e. 58)
• Direct smears, the brine flotation, and Stoll egg-counting technique</v>
      </c>
      <c r="AG52" s="876" t="str">
        <f>IFERROR(__xludf.DUMMYFUNCTION("""COMPUTED_VALUE"""),"Huang W, Brown H W. The Efficacy of Thiabendazole against Hookworm and Ascaris of Man. The Journal of Parasitology JSTOR [Internet]. 1963 [cited 2015 Sep 29]; 49(6): 1014-1018.")</f>
        <v>Huang W, Brown H W. The Efficacy of Thiabendazole against Hookworm and Ascaris of Man. The Journal of Parasitology JSTOR [Internet]. 1963 [cited 2015 Sep 29]; 49(6): 1014-1018.</v>
      </c>
      <c r="AH52" s="876" t="str">
        <f>IFERROR(__xludf.DUMMYFUNCTION("""COMPUTED_VALUE"""),"x")</f>
        <v>x</v>
      </c>
      <c r="AI52" s="878"/>
      <c r="AJ52" s="888" t="str">
        <f>IFERROR(__xludf.DUMMYFUNCTION("""COMPUTED_VALUE"""),"Levecke et al")</f>
        <v>Levecke et al</v>
      </c>
      <c r="AK52" s="880" t="str">
        <f>IFERROR(__xludf.DUMMYFUNCTION("""COMPUTED_VALUE"""),"Levecke, Bruno, Antonio Montresor, Marco Albonico, Shaali M. Ame, Jerzy M. Behnke, Jeffrey M. Bethony, Calvine D. Noumedem, Dirk Engels, Bertrand Guillard, Andrew C. Kotze, Alejandro J. Krolewiecki, James S. McCarthy, Zeleke Mekonnen, Maria V. Periago, He"&amp;"m Sopheak, Louis Albert Tchuem-Tchuente, Tran Thanh Duong, Nguyen Thu Huong, Ahmed Zeynudin, and Jozef Vercuysse. ""Assessment of Anthelmintic Efficacy of Mebendazolein School Children in Six Countries Where Soil Transmitted Helminths Are Endemic."" PLOS "&amp;"Neglected Tropical Diseases 8.10 (2014): 1-11. Web.")</f>
        <v>Levecke, Bruno, Antonio Montresor, Marco Albonico, Shaali M. Ame, Jerzy M. Behnke, Jeffrey M. Bethony, Calvine D. Noumedem, Dirk Engels, Bertrand Guillard, Andrew C. Kotze, Alejandro J. Krolewiecki, James S. McCarthy, Zeleke Mekonnen, Maria V. Periago, Hem Sopheak, Louis Albert Tchuem-Tchuente, Tran Thanh Duong, Nguyen Thu Huong, Ahmed Zeynudin, and Jozef Vercuysse. "Assessment of Anthelmintic Efficacy of Mebendazolein School Children in Six Countries Where Soil Transmitted Helminths Are Endemic." PLOS Neglected Tropical Diseases 8.10 (2014): 1-11. Web.</v>
      </c>
      <c r="AL52" s="880" t="str">
        <f>IFERROR(__xludf.DUMMYFUNCTION("""COMPUTED_VALUE"""),"Ethiopia")</f>
        <v>Ethiopia</v>
      </c>
      <c r="AM52" s="880" t="str">
        <f>IFERROR(__xludf.DUMMYFUNCTION("""COMPUTED_VALUE"""),"Albendazole")</f>
        <v>Albendazole</v>
      </c>
      <c r="AN52" s="880" t="str">
        <f>IFERROR(__xludf.DUMMYFUNCTION("""COMPUTED_VALUE"""),"Single")</f>
        <v>Single</v>
      </c>
      <c r="AO52" s="880" t="str">
        <f>IFERROR(__xludf.DUMMYFUNCTION("""COMPUTED_VALUE"""),"400 mg")</f>
        <v>400 mg</v>
      </c>
      <c r="AP52" s="880">
        <f>IFERROR(__xludf.DUMMYFUNCTION("""COMPUTED_VALUE"""),105.0)</f>
        <v>105</v>
      </c>
      <c r="AQ52" s="880">
        <f>IFERROR(__xludf.DUMMYFUNCTION("""COMPUTED_VALUE"""),11.1)</f>
        <v>11.1</v>
      </c>
      <c r="AR52" s="880">
        <f>IFERROR(__xludf.DUMMYFUNCTION("""COMPUTED_VALUE"""),0.04861111111111111)</f>
        <v>0.04861111111</v>
      </c>
      <c r="AS52" s="880">
        <f>IFERROR(__xludf.DUMMYFUNCTION("""COMPUTED_VALUE"""),2012.0)</f>
        <v>2012</v>
      </c>
      <c r="AT52" s="880"/>
      <c r="AU52" s="880" t="str">
        <f>IFERROR(__xludf.DUMMYFUNCTION("""COMPUTED_VALUE"""),"No")</f>
        <v>No</v>
      </c>
      <c r="AV52" s="880" t="str">
        <f>IFERROR(__xludf.DUMMYFUNCTION("""COMPUTED_VALUE"""),"No")</f>
        <v>No</v>
      </c>
      <c r="AW52" s="881" t="str">
        <f>IFERROR(__xludf.DUMMYFUNCTION("""COMPUTED_VALUE"""),"multi-center study")</f>
        <v>multi-center study</v>
      </c>
      <c r="AX52" s="863"/>
      <c r="AY52" s="863"/>
      <c r="AZ52" s="863"/>
      <c r="BA52" s="863"/>
      <c r="BB52" s="863"/>
      <c r="BC52" s="863"/>
      <c r="BD52" s="863"/>
      <c r="BE52" s="863"/>
      <c r="BF52" s="863"/>
      <c r="BG52" s="863"/>
      <c r="BH52" s="863">
        <f>IFERROR(__xludf.DUMMYFUNCTION("""COMPUTED_VALUE"""),0.924)</f>
        <v>0.924</v>
      </c>
      <c r="BI52" s="863"/>
      <c r="BJ52" s="863"/>
      <c r="BK52" s="863"/>
      <c r="BL52" s="863"/>
      <c r="BM52" s="863"/>
      <c r="BN52" s="863"/>
      <c r="BO52" s="863" t="str">
        <f>IFERROR(__xludf.DUMMYFUNCTION("""COMPUTED_VALUE"""),"McMaster technique")</f>
        <v>McMaster technique</v>
      </c>
      <c r="BP52" s="880" t="str">
        <f>IFERROR(__xludf.DUMMYFUNCTION("""COMPUTED_VALUE"""),"x")</f>
        <v>x</v>
      </c>
      <c r="BQ52" s="863"/>
      <c r="BR52" s="889" t="str">
        <f>IFERROR(__xludf.DUMMYFUNCTION("""COMPUTED_VALUE"""),"Chan et al.")</f>
        <v>Chan et al.</v>
      </c>
      <c r="BS52" s="883" t="str">
        <f>IFERROR(__xludf.DUMMYFUNCTION("""COMPUTED_VALUE"""),"Malaysia")</f>
        <v>Malaysia</v>
      </c>
      <c r="BT52" s="883" t="str">
        <f>IFERROR(__xludf.DUMMYFUNCTION("""COMPUTED_VALUE"""),"Albendazole")</f>
        <v>Albendazole</v>
      </c>
      <c r="BU52" s="883"/>
      <c r="BV52" s="883" t="str">
        <f>IFERROR(__xludf.DUMMYFUNCTION("""COMPUTED_VALUE"""),"Single")</f>
        <v>Single</v>
      </c>
      <c r="BW52" s="883" t="str">
        <f>IFERROR(__xludf.DUMMYFUNCTION("""COMPUTED_VALUE"""),"400 mg")</f>
        <v>400 mg</v>
      </c>
      <c r="BX52" s="883">
        <f>IFERROR(__xludf.DUMMYFUNCTION("""COMPUTED_VALUE"""),415.0)</f>
        <v>415</v>
      </c>
      <c r="BY52" s="883" t="str">
        <f>IFERROR(__xludf.DUMMYFUNCTION("""COMPUTED_VALUE"""),"2-40+")</f>
        <v>2-40+</v>
      </c>
      <c r="BZ52" s="883">
        <f>IFERROR(__xludf.DUMMYFUNCTION("""COMPUTED_VALUE"""),1990.0)</f>
        <v>1990</v>
      </c>
      <c r="CA52" s="883"/>
      <c r="CB52" s="883" t="str">
        <f>IFERROR(__xludf.DUMMYFUNCTION("""COMPUTED_VALUE"""),"1) Indian families living under slum or squatter conditions who are not likely to move out of the area for a year; 2) families with 3 to 7 children below 15 years of age")</f>
        <v>1) Indian families living under slum or squatter conditions who are not likely to move out of the area for a year; 2) families with 3 to 7 children below 15 years of age</v>
      </c>
      <c r="CC52" s="883" t="str">
        <f>IFERROR(__xludf.DUMMYFUNCTION("""COMPUTED_VALUE"""),"No")</f>
        <v>No</v>
      </c>
      <c r="CD52" s="884">
        <f>IFERROR(__xludf.DUMMYFUNCTION("""COMPUTED_VALUE"""),1.0)</f>
        <v>1</v>
      </c>
      <c r="CE52" s="883" t="str">
        <f>IFERROR(__xludf.DUMMYFUNCTION("""COMPUTED_VALUE"""),"No")</f>
        <v>No</v>
      </c>
      <c r="CF52" s="883"/>
      <c r="CG52" s="883"/>
      <c r="CH52" s="883"/>
      <c r="CI52" s="883"/>
      <c r="CJ52" s="883"/>
      <c r="CK52" s="883"/>
      <c r="CL52" s="883"/>
      <c r="CM52" s="883"/>
      <c r="CN52" s="883"/>
      <c r="CO52" s="883"/>
      <c r="CP52" s="883"/>
      <c r="CQ52" s="883"/>
      <c r="CR52" s="883"/>
      <c r="CS52" s="883"/>
      <c r="CT52" s="883" t="str">
        <f>IFERROR(__xludf.DUMMYFUNCTION("""COMPUTED_VALUE"""),"Kato-Katz technique")</f>
        <v>Kato-Katz technique</v>
      </c>
      <c r="CU52" s="883" t="str">
        <f>IFERROR(__xludf.DUMMYFUNCTION("""COMPUTED_VALUE""")," ")</f>
        <v> </v>
      </c>
      <c r="CV52" s="863"/>
      <c r="CW52" s="863"/>
      <c r="CX52" s="863"/>
      <c r="CY52" s="863"/>
      <c r="CZ52" s="863"/>
      <c r="DA52" s="863"/>
      <c r="DB52" s="863"/>
      <c r="DC52" s="863"/>
      <c r="DD52" s="863"/>
      <c r="DE52" s="863"/>
    </row>
    <row r="53">
      <c r="A53" s="887" t="str">
        <f>IFERROR(__xludf.DUMMYFUNCTION("""COMPUTED_VALUE"""),"Humphries et. al.")</f>
        <v>Humphries et. al.</v>
      </c>
      <c r="B53" s="876" t="str">
        <f>IFERROR(__xludf.DUMMYFUNCTION("""COMPUTED_VALUE"""),"Ghana")</f>
        <v>Ghana</v>
      </c>
      <c r="C53" s="876" t="str">
        <f>IFERROR(__xludf.DUMMYFUNCTION("""COMPUTED_VALUE"""),"Albendazole")</f>
        <v>Albendazole</v>
      </c>
      <c r="D53" s="876" t="str">
        <f>IFERROR(__xludf.DUMMYFUNCTION("""COMPUTED_VALUE"""),"Single")</f>
        <v>Single</v>
      </c>
      <c r="E53" s="876" t="str">
        <f>IFERROR(__xludf.DUMMYFUNCTION("""COMPUTED_VALUE"""),"400 mg")</f>
        <v>400 mg</v>
      </c>
      <c r="F53" s="876">
        <f>IFERROR(__xludf.DUMMYFUNCTION("""COMPUTED_VALUE"""),107.0)</f>
        <v>107</v>
      </c>
      <c r="G53" s="876">
        <f>IFERROR(__xludf.DUMMYFUNCTION("""COMPUTED_VALUE"""),42532.0)</f>
        <v>42532</v>
      </c>
      <c r="H53" s="876"/>
      <c r="I53" s="876" t="str">
        <f>IFERROR(__xludf.DUMMYFUNCTION("""COMPUTED_VALUE""")," 2010")</f>
        <v> 2010</v>
      </c>
      <c r="J53" s="876" t="str">
        <f>IFERROR(__xludf.DUMMYFUNCTION("""COMPUTED_VALUE"""),"Students with HAZ ≤ −1.80 or HAZ ≥ −0.10 were invited to participate in the study. One child was randomly selected from each household to eliminate the potential for clustering effects at the household level.")</f>
        <v>Students with HAZ ≤ −1.80 or HAZ ≥ −0.10 were invited to participate in the study. One child was randomly selected from each household to eliminate the potential for clustering effects at the household level.</v>
      </c>
      <c r="K53" s="876" t="str">
        <f>IFERROR(__xludf.DUMMYFUNCTION("""COMPUTED_VALUE"""),"randomized controlled trial")</f>
        <v>randomized controlled trial</v>
      </c>
      <c r="L53" s="876" t="str">
        <f>IFERROR(__xludf.DUMMYFUNCTION("""COMPUTED_VALUE"""),"Yes")</f>
        <v>Yes</v>
      </c>
      <c r="M53" s="876" t="str">
        <f>IFERROR(__xludf.DUMMYFUNCTION("""COMPUTED_VALUE"""),"No")</f>
        <v>No</v>
      </c>
      <c r="N53" s="877">
        <f>IFERROR(__xludf.DUMMYFUNCTION("""COMPUTED_VALUE"""),0.43)</f>
        <v>0.43</v>
      </c>
      <c r="O53" s="876">
        <f>IFERROR(__xludf.DUMMYFUNCTION("""COMPUTED_VALUE"""),0.43)</f>
        <v>0.43</v>
      </c>
      <c r="P53" s="876"/>
      <c r="Q53" s="876"/>
      <c r="R53" s="876"/>
      <c r="S53" s="876"/>
      <c r="T53" s="876"/>
      <c r="U53" s="876"/>
      <c r="V53" s="876"/>
      <c r="W53" s="876">
        <f>IFERROR(__xludf.DUMMYFUNCTION("""COMPUTED_VALUE"""),0.873)</f>
        <v>0.873</v>
      </c>
      <c r="X53" s="876">
        <f>IFERROR(__xludf.DUMMYFUNCTION("""COMPUTED_VALUE"""),0.873)</f>
        <v>0.873</v>
      </c>
      <c r="Y53" s="876"/>
      <c r="Z53" s="876"/>
      <c r="AA53" s="876"/>
      <c r="AB53" s="876"/>
      <c r="AC53" s="876"/>
      <c r="AD53" s="876"/>
      <c r="AE53" s="876" t="str">
        <f>IFERROR(__xludf.DUMMYFUNCTION("""COMPUTED_VALUE"""),"Although no specific host factors were associated with treatment failure, we observed that post-treatment isolates of N. americanus exhibited reduced in vitro susceptibility to albendazole.")</f>
        <v>Although no specific host factors were associated with treatment failure, we observed that post-treatment isolates of N. americanus exhibited reduced in vitro susceptibility to albendazole.</v>
      </c>
      <c r="AF53" s="876" t="str">
        <f>IFERROR(__xludf.DUMMYFUNCTION("""COMPUTED_VALUE"""),"Kato-Katz Method")</f>
        <v>Kato-Katz Method</v>
      </c>
      <c r="AG53" s="876" t="str">
        <f>IFERROR(__xludf.DUMMYFUNCTION("""COMPUTED_VALUE"""),"Humphries, D., Simms, B., Davey, D., Otchere, J., Quagraine, J., Terryah, S., . . . Cappello, M. (2013). Hookworm Infection among School Age Children in Kintampo North Municipality, Ghana: Nutritional Risk Factors and Response to AlbendazoleTreatment. Ame"&amp;"rican Journal of Tropical Medicine and Hygiene, 8(39), 540-548.")</f>
        <v>Humphries, D., Simms, B., Davey, D., Otchere, J., Quagraine, J., Terryah, S., . . . Cappello, M. (2013). Hookworm Infection among School Age Children in Kintampo North Municipality, Ghana: Nutritional Risk Factors and Response to AlbendazoleTreatment. American Journal of Tropical Medicine and Hygiene, 8(39), 540-548.</v>
      </c>
      <c r="AH53" s="876" t="str">
        <f>IFERROR(__xludf.DUMMYFUNCTION("""COMPUTED_VALUE"""),"x")</f>
        <v>x</v>
      </c>
      <c r="AI53" s="878"/>
      <c r="AJ53" s="888" t="str">
        <f>IFERROR(__xludf.DUMMYFUNCTION("""COMPUTED_VALUE"""),"Levecke et al")</f>
        <v>Levecke et al</v>
      </c>
      <c r="AK53" s="880"/>
      <c r="AL53" s="880" t="str">
        <f>IFERROR(__xludf.DUMMYFUNCTION("""COMPUTED_VALUE"""),"Ethiopia")</f>
        <v>Ethiopia</v>
      </c>
      <c r="AM53" s="880" t="str">
        <f>IFERROR(__xludf.DUMMYFUNCTION("""COMPUTED_VALUE"""),"Mebendazole")</f>
        <v>Mebendazole</v>
      </c>
      <c r="AN53" s="880" t="str">
        <f>IFERROR(__xludf.DUMMYFUNCTION("""COMPUTED_VALUE"""),"Single")</f>
        <v>Single</v>
      </c>
      <c r="AO53" s="880" t="str">
        <f>IFERROR(__xludf.DUMMYFUNCTION("""COMPUTED_VALUE"""),"500 mg")</f>
        <v>500 mg</v>
      </c>
      <c r="AP53" s="880">
        <f>IFERROR(__xludf.DUMMYFUNCTION("""COMPUTED_VALUE"""),326.0)</f>
        <v>326</v>
      </c>
      <c r="AQ53" s="880">
        <f>IFERROR(__xludf.DUMMYFUNCTION("""COMPUTED_VALUE"""),11.4)</f>
        <v>11.4</v>
      </c>
      <c r="AR53" s="880">
        <f>IFERROR(__xludf.DUMMYFUNCTION("""COMPUTED_VALUE"""),0.05277777777777778)</f>
        <v>0.05277777778</v>
      </c>
      <c r="AS53" s="880">
        <f>IFERROR(__xludf.DUMMYFUNCTION("""COMPUTED_VALUE"""),2012.0)</f>
        <v>2012</v>
      </c>
      <c r="AT53" s="880"/>
      <c r="AU53" s="880" t="str">
        <f>IFERROR(__xludf.DUMMYFUNCTION("""COMPUTED_VALUE"""),"No")</f>
        <v>No</v>
      </c>
      <c r="AV53" s="880" t="str">
        <f>IFERROR(__xludf.DUMMYFUNCTION("""COMPUTED_VALUE"""),"No")</f>
        <v>No</v>
      </c>
      <c r="AW53" s="881" t="str">
        <f>IFERROR(__xludf.DUMMYFUNCTION("""COMPUTED_VALUE"""),"multi-center study")</f>
        <v>multi-center study</v>
      </c>
      <c r="AX53" s="863"/>
      <c r="AY53" s="863"/>
      <c r="AZ53" s="863"/>
      <c r="BA53" s="863"/>
      <c r="BB53" s="863"/>
      <c r="BC53" s="863"/>
      <c r="BD53" s="863"/>
      <c r="BE53" s="863"/>
      <c r="BF53" s="863"/>
      <c r="BG53" s="863"/>
      <c r="BH53" s="863">
        <f>IFERROR(__xludf.DUMMYFUNCTION("""COMPUTED_VALUE"""),0.659)</f>
        <v>0.659</v>
      </c>
      <c r="BI53" s="863"/>
      <c r="BJ53" s="863"/>
      <c r="BK53" s="863"/>
      <c r="BL53" s="863"/>
      <c r="BM53" s="863"/>
      <c r="BN53" s="863"/>
      <c r="BO53" s="863"/>
      <c r="BP53" s="880" t="str">
        <f>IFERROR(__xludf.DUMMYFUNCTION("""COMPUTED_VALUE"""),"x")</f>
        <v>x</v>
      </c>
      <c r="BQ53" s="863"/>
      <c r="BR53" s="889" t="str">
        <f>IFERROR(__xludf.DUMMYFUNCTION("""COMPUTED_VALUE"""),"Hall &amp; Nahar")</f>
        <v>Hall &amp; Nahar</v>
      </c>
      <c r="BS53" s="883" t="str">
        <f>IFERROR(__xludf.DUMMYFUNCTION("""COMPUTED_VALUE"""),"Bengladesh")</f>
        <v>Bengladesh</v>
      </c>
      <c r="BT53" s="883" t="str">
        <f>IFERROR(__xludf.DUMMYFUNCTION("""COMPUTED_VALUE"""),"Albendazole")</f>
        <v>Albendazole</v>
      </c>
      <c r="BU53" s="883"/>
      <c r="BV53" s="883" t="str">
        <f>IFERROR(__xludf.DUMMYFUNCTION("""COMPUTED_VALUE"""),"Single")</f>
        <v>Single</v>
      </c>
      <c r="BW53" s="883" t="str">
        <f>IFERROR(__xludf.DUMMYFUNCTION("""COMPUTED_VALUE"""),"600 mg")</f>
        <v>600 mg</v>
      </c>
      <c r="BX53" s="883">
        <f>IFERROR(__xludf.DUMMYFUNCTION("""COMPUTED_VALUE"""),143.0)</f>
        <v>143</v>
      </c>
      <c r="BY53" s="883" t="str">
        <f>IFERROR(__xludf.DUMMYFUNCTION("""COMPUTED_VALUE"""),"School children")</f>
        <v>School children</v>
      </c>
      <c r="BZ53" s="883"/>
      <c r="CA53" s="883"/>
      <c r="CB53" s="883"/>
      <c r="CC53" s="883" t="str">
        <f>IFERROR(__xludf.DUMMYFUNCTION("""COMPUTED_VALUE"""),"Yes")</f>
        <v>Yes</v>
      </c>
      <c r="CD53" s="884">
        <f>IFERROR(__xludf.DUMMYFUNCTION("""COMPUTED_VALUE"""),0.92)</f>
        <v>0.92</v>
      </c>
      <c r="CE53" s="883" t="str">
        <f>IFERROR(__xludf.DUMMYFUNCTION("""COMPUTED_VALUE"""),"No")</f>
        <v>No</v>
      </c>
      <c r="CF53" s="883" t="str">
        <f>IFERROR(__xludf.DUMMYFUNCTION("""COMPUTED_VALUE"""),"92% (Day 7)")</f>
        <v>92% (Day 7)</v>
      </c>
      <c r="CG53" s="883"/>
      <c r="CH53" s="883"/>
      <c r="CI53" s="883"/>
      <c r="CJ53" s="883"/>
      <c r="CK53" s="883"/>
      <c r="CL53" s="883"/>
      <c r="CM53" s="891">
        <f>IFERROR(__xludf.DUMMYFUNCTION("""COMPUTED_VALUE"""),0.88)</f>
        <v>0.88</v>
      </c>
      <c r="CN53" s="883"/>
      <c r="CO53" s="883"/>
      <c r="CP53" s="883"/>
      <c r="CQ53" s="883"/>
      <c r="CR53" s="883"/>
      <c r="CS53" s="883"/>
      <c r="CT53" s="883" t="str">
        <f>IFERROR(__xludf.DUMMYFUNCTION("""COMPUTED_VALUE"""),"Quantitative microscopical technique.")</f>
        <v>Quantitative microscopical technique.</v>
      </c>
      <c r="CU53" s="883" t="str">
        <f>IFERROR(__xludf.DUMMYFUNCTION("""COMPUTED_VALUE""")," ")</f>
        <v> </v>
      </c>
      <c r="CV53" s="863"/>
      <c r="CW53" s="863"/>
      <c r="CX53" s="863"/>
      <c r="CY53" s="863"/>
      <c r="CZ53" s="863"/>
      <c r="DA53" s="863"/>
      <c r="DB53" s="863"/>
      <c r="DC53" s="863"/>
      <c r="DD53" s="863"/>
      <c r="DE53" s="863"/>
    </row>
    <row r="54">
      <c r="A54" s="887" t="str">
        <f>IFERROR(__xludf.DUMMYFUNCTION("""COMPUTED_VALUE"""),"Kihara et al.")</f>
        <v>Kihara et al.</v>
      </c>
      <c r="B54" s="876" t="str">
        <f>IFERROR(__xludf.DUMMYFUNCTION("""COMPUTED_VALUE"""),"Kenya")</f>
        <v>Kenya</v>
      </c>
      <c r="C54" s="876" t="str">
        <f>IFERROR(__xludf.DUMMYFUNCTION("""COMPUTED_VALUE"""),"Albendazole")</f>
        <v>Albendazole</v>
      </c>
      <c r="D54" s="876" t="str">
        <f>IFERROR(__xludf.DUMMYFUNCTION("""COMPUTED_VALUE"""),"Single")</f>
        <v>Single</v>
      </c>
      <c r="E54" s="876" t="str">
        <f>IFERROR(__xludf.DUMMYFUNCTION("""COMPUTED_VALUE"""),"400 mg")</f>
        <v>400 mg</v>
      </c>
      <c r="F54" s="876">
        <f>IFERROR(__xludf.DUMMYFUNCTION("""COMPUTED_VALUE"""),453.0)</f>
        <v>453</v>
      </c>
      <c r="G54" s="876">
        <f>IFERROR(__xludf.DUMMYFUNCTION("""COMPUTED_VALUE"""),42478.0)</f>
        <v>42478</v>
      </c>
      <c r="H54" s="876"/>
      <c r="I54" s="876">
        <f>IFERROR(__xludf.DUMMYFUNCTION("""COMPUTED_VALUE"""),2004.0)</f>
        <v>2004</v>
      </c>
      <c r="J54" s="876" t="str">
        <f>IFERROR(__xludf.DUMMYFUNCTION("""COMPUTED_VALUE"""),"In total 2300 children aged between 4 and 18 years in five primary schools were selected for the study.")</f>
        <v>In total 2300 children aged between 4 and 18 years in five primary schools were selected for the study.</v>
      </c>
      <c r="K54" s="876" t="str">
        <f>IFERROR(__xludf.DUMMYFUNCTION("""COMPUTED_VALUE"""),"randomized trial")</f>
        <v>randomized trial</v>
      </c>
      <c r="L54" s="876" t="str">
        <f>IFERROR(__xludf.DUMMYFUNCTION("""COMPUTED_VALUE"""),"Yes")</f>
        <v>Yes</v>
      </c>
      <c r="M54" s="876" t="str">
        <f>IFERROR(__xludf.DUMMYFUNCTION("""COMPUTED_VALUE"""),"No")</f>
        <v>No</v>
      </c>
      <c r="N54" s="877">
        <f>IFERROR(__xludf.DUMMYFUNCTION("""COMPUTED_VALUE"""),0.957)</f>
        <v>0.957</v>
      </c>
      <c r="O54" s="876"/>
      <c r="P54" s="876"/>
      <c r="Q54" s="876"/>
      <c r="R54" s="876">
        <f>IFERROR(__xludf.DUMMYFUNCTION("""COMPUTED_VALUE"""),0.957)</f>
        <v>0.957</v>
      </c>
      <c r="S54" s="876"/>
      <c r="T54" s="876"/>
      <c r="U54" s="876"/>
      <c r="V54" s="876"/>
      <c r="W54" s="876">
        <f>IFERROR(__xludf.DUMMYFUNCTION("""COMPUTED_VALUE"""),0.96)</f>
        <v>0.96</v>
      </c>
      <c r="X54" s="876"/>
      <c r="Y54" s="876"/>
      <c r="Z54" s="876"/>
      <c r="AA54" s="876"/>
      <c r="AB54" s="876"/>
      <c r="AC54" s="876"/>
      <c r="AD54" s="876"/>
      <c r="AE54" s="876" t="str">
        <f>IFERROR(__xludf.DUMMYFUNCTION("""COMPUTED_VALUE"""),"Albendazolewas very effective against hookworm.")</f>
        <v>Albendazolewas very effective against hookworm.</v>
      </c>
      <c r="AF54" s="876" t="str">
        <f>IFERROR(__xludf.DUMMYFUNCTION("""COMPUTED_VALUE"""),"Kato-Katz method")</f>
        <v>Kato-Katz method</v>
      </c>
      <c r="AG54" s="876" t="str">
        <f>IFERROR(__xludf.DUMMYFUNCTION("""COMPUTED_VALUE"""),"Kihara J H, Muhoho N, Njomo D, Mwobobia I K, Josyline K, Mitsui T, et al. (2007) Drug efficacy of praziquantel and Albendazolein school children in Mwea Division, Central Province, Kenya. Acta Tropica 102(3): 1873-6254.")</f>
        <v>Kihara J H, Muhoho N, Njomo D, Mwobobia I K, Josyline K, Mitsui T, et al. (2007) Drug efficacy of praziquantel and Albendazolein school children in Mwea Division, Central Province, Kenya. Acta Tropica 102(3): 1873-6254.</v>
      </c>
      <c r="AH54" s="876" t="str">
        <f>IFERROR(__xludf.DUMMYFUNCTION("""COMPUTED_VALUE"""),"x")</f>
        <v>x</v>
      </c>
      <c r="AI54" s="878"/>
      <c r="AJ54" s="888" t="str">
        <f>IFERROR(__xludf.DUMMYFUNCTION("""COMPUTED_VALUE"""),"Levecke et al")</f>
        <v>Levecke et al</v>
      </c>
      <c r="AK54" s="880" t="str">
        <f>IFERROR(__xludf.DUMMYFUNCTION("""COMPUTED_VALUE"""),"Levecke, Bruno, Antonio Montresor, Marco Albonico, Shaali M. Ame, Jerzy M. Behnke, Jeffrey M. Bethony, Calvine D. Noumedem, Dirk Engels, Bertrand Guillard, Andrew C. Kotze, Alejandro J. Krolewiecki, James S. McCarthy, Zeleke Mekonnen, Maria V. Periago, He"&amp;"m Sopheak, Louis Albert Tchuem-Tchuente, Tran Thanh Duong, Nguyen Thu Huong, Ahmed Zeynudin, and Jozef Vercuysse. ""Assessment of Anthelmintic Efficacy of Mebendazolein School Children in Six Countries Where Soil Transmitted Helminths Are Endemic."" PLOS "&amp;"Neglected Tropical Diseases 8.10 (2014): 1-11. Web.")</f>
        <v>Levecke, Bruno, Antonio Montresor, Marco Albonico, Shaali M. Ame, Jerzy M. Behnke, Jeffrey M. Bethony, Calvine D. Noumedem, Dirk Engels, Bertrand Guillard, Andrew C. Kotze, Alejandro J. Krolewiecki, James S. McCarthy, Zeleke Mekonnen, Maria V. Periago, Hem Sopheak, Louis Albert Tchuem-Tchuente, Tran Thanh Duong, Nguyen Thu Huong, Ahmed Zeynudin, and Jozef Vercuysse. "Assessment of Anthelmintic Efficacy of Mebendazolein School Children in Six Countries Where Soil Transmitted Helminths Are Endemic." PLOS Neglected Tropical Diseases 8.10 (2014): 1-11. Web.</v>
      </c>
      <c r="AL54" s="880" t="str">
        <f>IFERROR(__xludf.DUMMYFUNCTION("""COMPUTED_VALUE"""),"Cameroon")</f>
        <v>Cameroon</v>
      </c>
      <c r="AM54" s="880" t="str">
        <f>IFERROR(__xludf.DUMMYFUNCTION("""COMPUTED_VALUE"""),"Albendazole")</f>
        <v>Albendazole</v>
      </c>
      <c r="AN54" s="880" t="str">
        <f>IFERROR(__xludf.DUMMYFUNCTION("""COMPUTED_VALUE"""),"Single")</f>
        <v>Single</v>
      </c>
      <c r="AO54" s="880" t="str">
        <f>IFERROR(__xludf.DUMMYFUNCTION("""COMPUTED_VALUE"""),"400 mg")</f>
        <v>400 mg</v>
      </c>
      <c r="AP54" s="880">
        <f>IFERROR(__xludf.DUMMYFUNCTION("""COMPUTED_VALUE"""),386.0)</f>
        <v>386</v>
      </c>
      <c r="AQ54" s="880">
        <f>IFERROR(__xludf.DUMMYFUNCTION("""COMPUTED_VALUE"""),10.7)</f>
        <v>10.7</v>
      </c>
      <c r="AR54" s="880">
        <f>IFERROR(__xludf.DUMMYFUNCTION("""COMPUTED_VALUE"""),0.85)</f>
        <v>0.85</v>
      </c>
      <c r="AS54" s="880">
        <f>IFERROR(__xludf.DUMMYFUNCTION("""COMPUTED_VALUE"""),2012.0)</f>
        <v>2012</v>
      </c>
      <c r="AT54" s="880"/>
      <c r="AU54" s="880" t="str">
        <f>IFERROR(__xludf.DUMMYFUNCTION("""COMPUTED_VALUE"""),"No")</f>
        <v>No</v>
      </c>
      <c r="AV54" s="880" t="str">
        <f>IFERROR(__xludf.DUMMYFUNCTION("""COMPUTED_VALUE"""),"No")</f>
        <v>No</v>
      </c>
      <c r="AW54" s="881" t="str">
        <f>IFERROR(__xludf.DUMMYFUNCTION("""COMPUTED_VALUE"""),"multi-center study")</f>
        <v>multi-center study</v>
      </c>
      <c r="AX54" s="863"/>
      <c r="AY54" s="863"/>
      <c r="AZ54" s="863"/>
      <c r="BA54" s="863"/>
      <c r="BB54" s="863"/>
      <c r="BC54" s="863"/>
      <c r="BD54" s="863"/>
      <c r="BE54" s="863"/>
      <c r="BF54" s="863"/>
      <c r="BG54" s="863"/>
      <c r="BH54" s="863">
        <f>IFERROR(__xludf.DUMMYFUNCTION("""COMPUTED_VALUE"""),0.392)</f>
        <v>0.392</v>
      </c>
      <c r="BI54" s="863"/>
      <c r="BJ54" s="863"/>
      <c r="BK54" s="863"/>
      <c r="BL54" s="863"/>
      <c r="BM54" s="863"/>
      <c r="BN54" s="863"/>
      <c r="BO54" s="863" t="str">
        <f>IFERROR(__xludf.DUMMYFUNCTION("""COMPUTED_VALUE"""),"McMaster technique")</f>
        <v>McMaster technique</v>
      </c>
      <c r="BP54" s="880" t="str">
        <f>IFERROR(__xludf.DUMMYFUNCTION("""COMPUTED_VALUE"""),"x")</f>
        <v>x</v>
      </c>
      <c r="BQ54" s="863"/>
      <c r="BR54" s="889" t="str">
        <f>IFERROR(__xludf.DUMMYFUNCTION("""COMPUTED_VALUE"""),"Hall &amp; Nahar")</f>
        <v>Hall &amp; Nahar</v>
      </c>
      <c r="BS54" s="883" t="str">
        <f>IFERROR(__xludf.DUMMYFUNCTION("""COMPUTED_VALUE"""),"Bengladesh")</f>
        <v>Bengladesh</v>
      </c>
      <c r="BT54" s="883" t="str">
        <f>IFERROR(__xludf.DUMMYFUNCTION("""COMPUTED_VALUE"""),"Albendazole")</f>
        <v>Albendazole</v>
      </c>
      <c r="BU54" s="883"/>
      <c r="BV54" s="883" t="str">
        <f>IFERROR(__xludf.DUMMYFUNCTION("""COMPUTED_VALUE"""),"Single")</f>
        <v>Single</v>
      </c>
      <c r="BW54" s="883" t="str">
        <f>IFERROR(__xludf.DUMMYFUNCTION("""COMPUTED_VALUE"""),"800 mg")</f>
        <v>800 mg</v>
      </c>
      <c r="BX54" s="883"/>
      <c r="BY54" s="883"/>
      <c r="BZ54" s="883"/>
      <c r="CA54" s="883"/>
      <c r="CB54" s="883"/>
      <c r="CC54" s="883" t="str">
        <f>IFERROR(__xludf.DUMMYFUNCTION("""COMPUTED_VALUE"""),"Yes")</f>
        <v>Yes</v>
      </c>
      <c r="CD54" s="884"/>
      <c r="CE54" s="883" t="str">
        <f>IFERROR(__xludf.DUMMYFUNCTION("""COMPUTED_VALUE"""),"No")</f>
        <v>No</v>
      </c>
      <c r="CF54" s="883"/>
      <c r="CG54" s="883"/>
      <c r="CH54" s="883"/>
      <c r="CI54" s="883"/>
      <c r="CJ54" s="883"/>
      <c r="CK54" s="883"/>
      <c r="CL54" s="883"/>
      <c r="CM54" s="883"/>
      <c r="CN54" s="883"/>
      <c r="CO54" s="883"/>
      <c r="CP54" s="883"/>
      <c r="CQ54" s="883"/>
      <c r="CR54" s="883"/>
      <c r="CS54" s="883"/>
      <c r="CT54" s="883"/>
      <c r="CU54" s="883"/>
      <c r="CV54" s="863"/>
      <c r="CW54" s="863"/>
      <c r="CX54" s="863"/>
      <c r="CY54" s="863"/>
      <c r="CZ54" s="863"/>
      <c r="DA54" s="863"/>
      <c r="DB54" s="863"/>
      <c r="DC54" s="863"/>
      <c r="DD54" s="863"/>
      <c r="DE54" s="863"/>
    </row>
    <row r="55">
      <c r="A55" s="887" t="str">
        <f>IFERROR(__xludf.DUMMYFUNCTION("""COMPUTED_VALUE"""),"Kihara et al.")</f>
        <v>Kihara et al.</v>
      </c>
      <c r="B55" s="876" t="str">
        <f>IFERROR(__xludf.DUMMYFUNCTION("""COMPUTED_VALUE"""),"Kenya")</f>
        <v>Kenya</v>
      </c>
      <c r="C55" s="876" t="str">
        <f>IFERROR(__xludf.DUMMYFUNCTION("""COMPUTED_VALUE"""),"Albendazole")</f>
        <v>Albendazole</v>
      </c>
      <c r="D55" s="876" t="str">
        <f>IFERROR(__xludf.DUMMYFUNCTION("""COMPUTED_VALUE"""),"Single")</f>
        <v>Single</v>
      </c>
      <c r="E55" s="876" t="str">
        <f>IFERROR(__xludf.DUMMYFUNCTION("""COMPUTED_VALUE"""),"400 mg")</f>
        <v>400 mg</v>
      </c>
      <c r="F55" s="876">
        <f>IFERROR(__xludf.DUMMYFUNCTION("""COMPUTED_VALUE"""),325.0)</f>
        <v>325</v>
      </c>
      <c r="G55" s="876">
        <f>IFERROR(__xludf.DUMMYFUNCTION("""COMPUTED_VALUE"""),42478.0)</f>
        <v>42478</v>
      </c>
      <c r="H55" s="876"/>
      <c r="I55" s="876">
        <f>IFERROR(__xludf.DUMMYFUNCTION("""COMPUTED_VALUE"""),2004.0)</f>
        <v>2004</v>
      </c>
      <c r="J55" s="876" t="str">
        <f>IFERROR(__xludf.DUMMYFUNCTION("""COMPUTED_VALUE"""),"In total 2300 children aged between 4 and 18 years in five primary schools were selected for the study.")</f>
        <v>In total 2300 children aged between 4 and 18 years in five primary schools were selected for the study.</v>
      </c>
      <c r="K55" s="876" t="str">
        <f>IFERROR(__xludf.DUMMYFUNCTION("""COMPUTED_VALUE"""),"randomized trial")</f>
        <v>randomized trial</v>
      </c>
      <c r="L55" s="876" t="str">
        <f>IFERROR(__xludf.DUMMYFUNCTION("""COMPUTED_VALUE"""),"Yes")</f>
        <v>Yes</v>
      </c>
      <c r="M55" s="876" t="str">
        <f>IFERROR(__xludf.DUMMYFUNCTION("""COMPUTED_VALUE"""),"No")</f>
        <v>No</v>
      </c>
      <c r="N55" s="877">
        <f>IFERROR(__xludf.DUMMYFUNCTION("""COMPUTED_VALUE"""),0.947)</f>
        <v>0.947</v>
      </c>
      <c r="O55" s="876"/>
      <c r="P55" s="876"/>
      <c r="Q55" s="876"/>
      <c r="R55" s="876">
        <f>IFERROR(__xludf.DUMMYFUNCTION("""COMPUTED_VALUE"""),0.947)</f>
        <v>0.947</v>
      </c>
      <c r="S55" s="876"/>
      <c r="T55" s="876"/>
      <c r="U55" s="876"/>
      <c r="V55" s="876"/>
      <c r="W55" s="876"/>
      <c r="X55" s="876"/>
      <c r="Y55" s="876"/>
      <c r="Z55" s="876"/>
      <c r="AA55" s="876"/>
      <c r="AB55" s="876"/>
      <c r="AC55" s="876"/>
      <c r="AD55" s="876"/>
      <c r="AE55" s="876" t="str">
        <f>IFERROR(__xludf.DUMMYFUNCTION("""COMPUTED_VALUE"""),"Albendazolewas very effective against hookworm.")</f>
        <v>Albendazolewas very effective against hookworm.</v>
      </c>
      <c r="AF55" s="876" t="str">
        <f>IFERROR(__xludf.DUMMYFUNCTION("""COMPUTED_VALUE"""),"Kato-Katz method")</f>
        <v>Kato-Katz method</v>
      </c>
      <c r="AG55" s="876" t="str">
        <f>IFERROR(__xludf.DUMMYFUNCTION("""COMPUTED_VALUE"""),"Kihara J H, Muhoho N, Njomo D, Mwobobia I K, Josyline K, Mitsui T, et al. (2007) Drug efficacy of praziquantel and Albendazolein school children in Mwea Division, Central Province, Kenya. Acta Tropica 102(3): 1873-6254.")</f>
        <v>Kihara J H, Muhoho N, Njomo D, Mwobobia I K, Josyline K, Mitsui T, et al. (2007) Drug efficacy of praziquantel and Albendazolein school children in Mwea Division, Central Province, Kenya. Acta Tropica 102(3): 1873-6254.</v>
      </c>
      <c r="AH55" s="876" t="str">
        <f>IFERROR(__xludf.DUMMYFUNCTION("""COMPUTED_VALUE"""),"x")</f>
        <v>x</v>
      </c>
      <c r="AI55" s="878"/>
      <c r="AJ55" s="888" t="str">
        <f>IFERROR(__xludf.DUMMYFUNCTION("""COMPUTED_VALUE"""),"Levecke et al")</f>
        <v>Levecke et al</v>
      </c>
      <c r="AK55" s="880"/>
      <c r="AL55" s="880" t="str">
        <f>IFERROR(__xludf.DUMMYFUNCTION("""COMPUTED_VALUE"""),"Cameroon")</f>
        <v>Cameroon</v>
      </c>
      <c r="AM55" s="880" t="str">
        <f>IFERROR(__xludf.DUMMYFUNCTION("""COMPUTED_VALUE"""),"Mebendazole")</f>
        <v>Mebendazole</v>
      </c>
      <c r="AN55" s="880" t="str">
        <f>IFERROR(__xludf.DUMMYFUNCTION("""COMPUTED_VALUE"""),"Single")</f>
        <v>Single</v>
      </c>
      <c r="AO55" s="880" t="str">
        <f>IFERROR(__xludf.DUMMYFUNCTION("""COMPUTED_VALUE"""),"500 mg")</f>
        <v>500 mg</v>
      </c>
      <c r="AP55" s="880">
        <f>IFERROR(__xludf.DUMMYFUNCTION("""COMPUTED_VALUE"""),175.0)</f>
        <v>175</v>
      </c>
      <c r="AQ55" s="880">
        <f>IFERROR(__xludf.DUMMYFUNCTION("""COMPUTED_VALUE"""),9.9)</f>
        <v>9.9</v>
      </c>
      <c r="AR55" s="880">
        <f>IFERROR(__xludf.DUMMYFUNCTION("""COMPUTED_VALUE"""),0.82)</f>
        <v>0.82</v>
      </c>
      <c r="AS55" s="880">
        <f>IFERROR(__xludf.DUMMYFUNCTION("""COMPUTED_VALUE"""),2012.0)</f>
        <v>2012</v>
      </c>
      <c r="AT55" s="880"/>
      <c r="AU55" s="880" t="str">
        <f>IFERROR(__xludf.DUMMYFUNCTION("""COMPUTED_VALUE"""),"No")</f>
        <v>No</v>
      </c>
      <c r="AV55" s="880" t="str">
        <f>IFERROR(__xludf.DUMMYFUNCTION("""COMPUTED_VALUE"""),"No")</f>
        <v>No</v>
      </c>
      <c r="AW55" s="881" t="str">
        <f>IFERROR(__xludf.DUMMYFUNCTION("""COMPUTED_VALUE"""),"multi-center study")</f>
        <v>multi-center study</v>
      </c>
      <c r="AX55" s="863"/>
      <c r="AY55" s="863"/>
      <c r="AZ55" s="863"/>
      <c r="BA55" s="863"/>
      <c r="BB55" s="863"/>
      <c r="BC55" s="863"/>
      <c r="BD55" s="863"/>
      <c r="BE55" s="863"/>
      <c r="BF55" s="863"/>
      <c r="BG55" s="863"/>
      <c r="BH55" s="863">
        <f>IFERROR(__xludf.DUMMYFUNCTION("""COMPUTED_VALUE"""),0.562)</f>
        <v>0.562</v>
      </c>
      <c r="BI55" s="863"/>
      <c r="BJ55" s="863"/>
      <c r="BK55" s="863"/>
      <c r="BL55" s="863"/>
      <c r="BM55" s="863"/>
      <c r="BN55" s="863"/>
      <c r="BO55" s="863"/>
      <c r="BP55" s="880" t="str">
        <f>IFERROR(__xludf.DUMMYFUNCTION("""COMPUTED_VALUE"""),"x")</f>
        <v>x</v>
      </c>
      <c r="BQ55" s="863"/>
      <c r="BR55" s="889" t="str">
        <f>IFERROR(__xludf.DUMMYFUNCTION("""COMPUTED_VALUE"""),"Hall &amp; Nahar")</f>
        <v>Hall &amp; Nahar</v>
      </c>
      <c r="BS55" s="883" t="str">
        <f>IFERROR(__xludf.DUMMYFUNCTION("""COMPUTED_VALUE"""),"Bengladesh")</f>
        <v>Bengladesh</v>
      </c>
      <c r="BT55" s="883" t="str">
        <f>IFERROR(__xludf.DUMMYFUNCTION("""COMPUTED_VALUE"""),"Albendazole")</f>
        <v>Albendazole</v>
      </c>
      <c r="BU55" s="883"/>
      <c r="BV55" s="883" t="str">
        <f>IFERROR(__xludf.DUMMYFUNCTION("""COMPUTED_VALUE"""),"Single")</f>
        <v>Single</v>
      </c>
      <c r="BW55" s="883" t="str">
        <f>IFERROR(__xludf.DUMMYFUNCTION("""COMPUTED_VALUE"""),"400 mg")</f>
        <v>400 mg</v>
      </c>
      <c r="BX55" s="883" t="str">
        <f>IFERROR(__xludf.DUMMYFUNCTION("""COMPUTED_VALUE""")," ")</f>
        <v> </v>
      </c>
      <c r="BY55" s="883"/>
      <c r="BZ55" s="883"/>
      <c r="CA55" s="883"/>
      <c r="CB55" s="883"/>
      <c r="CC55" s="883" t="str">
        <f>IFERROR(__xludf.DUMMYFUNCTION("""COMPUTED_VALUE"""),"Yes")</f>
        <v>Yes</v>
      </c>
      <c r="CD55" s="884"/>
      <c r="CE55" s="883" t="str">
        <f>IFERROR(__xludf.DUMMYFUNCTION("""COMPUTED_VALUE"""),"No")</f>
        <v>No</v>
      </c>
      <c r="CF55" s="883"/>
      <c r="CG55" s="883"/>
      <c r="CH55" s="883"/>
      <c r="CI55" s="883"/>
      <c r="CJ55" s="883"/>
      <c r="CK55" s="883"/>
      <c r="CL55" s="883"/>
      <c r="CM55" s="883"/>
      <c r="CN55" s="883"/>
      <c r="CO55" s="883"/>
      <c r="CP55" s="883"/>
      <c r="CQ55" s="883"/>
      <c r="CR55" s="883"/>
      <c r="CS55" s="883"/>
      <c r="CT55" s="883"/>
      <c r="CU55" s="883"/>
      <c r="CV55" s="863"/>
      <c r="CW55" s="863"/>
      <c r="CX55" s="863"/>
      <c r="CY55" s="863"/>
      <c r="CZ55" s="863"/>
      <c r="DA55" s="863"/>
      <c r="DB55" s="863"/>
      <c r="DC55" s="863"/>
      <c r="DD55" s="863"/>
      <c r="DE55" s="863"/>
    </row>
    <row r="56">
      <c r="A56" s="887" t="str">
        <f>IFERROR(__xludf.DUMMYFUNCTION("""COMPUTED_VALUE"""),"Kihara et al.")</f>
        <v>Kihara et al.</v>
      </c>
      <c r="B56" s="876" t="str">
        <f>IFERROR(__xludf.DUMMYFUNCTION("""COMPUTED_VALUE"""),"Kenya")</f>
        <v>Kenya</v>
      </c>
      <c r="C56" s="876" t="str">
        <f>IFERROR(__xludf.DUMMYFUNCTION("""COMPUTED_VALUE"""),"Albendazole")</f>
        <v>Albendazole</v>
      </c>
      <c r="D56" s="876" t="str">
        <f>IFERROR(__xludf.DUMMYFUNCTION("""COMPUTED_VALUE"""),"Single")</f>
        <v>Single</v>
      </c>
      <c r="E56" s="876" t="str">
        <f>IFERROR(__xludf.DUMMYFUNCTION("""COMPUTED_VALUE"""),"400 mg")</f>
        <v>400 mg</v>
      </c>
      <c r="F56" s="876">
        <f>IFERROR(__xludf.DUMMYFUNCTION("""COMPUTED_VALUE"""),374.0)</f>
        <v>374</v>
      </c>
      <c r="G56" s="876">
        <f>IFERROR(__xludf.DUMMYFUNCTION("""COMPUTED_VALUE"""),42478.0)</f>
        <v>42478</v>
      </c>
      <c r="H56" s="876"/>
      <c r="I56" s="876">
        <f>IFERROR(__xludf.DUMMYFUNCTION("""COMPUTED_VALUE"""),2004.0)</f>
        <v>2004</v>
      </c>
      <c r="J56" s="876" t="str">
        <f>IFERROR(__xludf.DUMMYFUNCTION("""COMPUTED_VALUE"""),"In total 2300 children aged between 4 and 18 years in five primary schools were selected for the study.")</f>
        <v>In total 2300 children aged between 4 and 18 years in five primary schools were selected for the study.</v>
      </c>
      <c r="K56" s="876" t="str">
        <f>IFERROR(__xludf.DUMMYFUNCTION("""COMPUTED_VALUE"""),"randomized trial")</f>
        <v>randomized trial</v>
      </c>
      <c r="L56" s="876" t="str">
        <f>IFERROR(__xludf.DUMMYFUNCTION("""COMPUTED_VALUE"""),"Yes")</f>
        <v>Yes</v>
      </c>
      <c r="M56" s="876" t="str">
        <f>IFERROR(__xludf.DUMMYFUNCTION("""COMPUTED_VALUE"""),"No")</f>
        <v>No</v>
      </c>
      <c r="N56" s="877">
        <f>IFERROR(__xludf.DUMMYFUNCTION("""COMPUTED_VALUE"""),0.942)</f>
        <v>0.942</v>
      </c>
      <c r="O56" s="876"/>
      <c r="P56" s="876"/>
      <c r="Q56" s="876"/>
      <c r="R56" s="876">
        <f>IFERROR(__xludf.DUMMYFUNCTION("""COMPUTED_VALUE"""),0.942)</f>
        <v>0.942</v>
      </c>
      <c r="S56" s="876"/>
      <c r="T56" s="876"/>
      <c r="U56" s="876"/>
      <c r="V56" s="876"/>
      <c r="W56" s="876"/>
      <c r="X56" s="876"/>
      <c r="Y56" s="876"/>
      <c r="Z56" s="876"/>
      <c r="AA56" s="876"/>
      <c r="AB56" s="876"/>
      <c r="AC56" s="876"/>
      <c r="AD56" s="876"/>
      <c r="AE56" s="876" t="str">
        <f>IFERROR(__xludf.DUMMYFUNCTION("""COMPUTED_VALUE"""),"Albendazolewas very effective against hookworm.")</f>
        <v>Albendazolewas very effective against hookworm.</v>
      </c>
      <c r="AF56" s="876" t="str">
        <f>IFERROR(__xludf.DUMMYFUNCTION("""COMPUTED_VALUE"""),"Kato-Katz method")</f>
        <v>Kato-Katz method</v>
      </c>
      <c r="AG56" s="876" t="str">
        <f>IFERROR(__xludf.DUMMYFUNCTION("""COMPUTED_VALUE"""),"Kihara J H, Muhoho N, Njomo D, Mwobobia I K, Josyline K, Mitsui T, et al. (2007) Drug efficacy of praziquantel and Albendazolein school children in Mwea Division, Central Province, Kenya. Acta Tropica 102(3): 1873-6254.")</f>
        <v>Kihara J H, Muhoho N, Njomo D, Mwobobia I K, Josyline K, Mitsui T, et al. (2007) Drug efficacy of praziquantel and Albendazolein school children in Mwea Division, Central Province, Kenya. Acta Tropica 102(3): 1873-6254.</v>
      </c>
      <c r="AH56" s="876" t="str">
        <f>IFERROR(__xludf.DUMMYFUNCTION("""COMPUTED_VALUE"""),"x")</f>
        <v>x</v>
      </c>
      <c r="AI56" s="878"/>
      <c r="AJ56" s="888" t="str">
        <f>IFERROR(__xludf.DUMMYFUNCTION("""COMPUTED_VALUE"""),"Levecke et al")</f>
        <v>Levecke et al</v>
      </c>
      <c r="AK56" s="880" t="str">
        <f>IFERROR(__xludf.DUMMYFUNCTION("""COMPUTED_VALUE"""),"Levecke, Bruno, Antonio Montresor, Marco Albonico, Shaali M. Ame, Jerzy M. Behnke, Jeffrey M. Bethony, Calvine D. Noumedem, Dirk Engels, Bertrand Guillard, Andrew C. Kotze, Alejandro J. Krolewiecki, James S. McCarthy, Zeleke Mekonnen, Maria V. Periago, He"&amp;"m Sopheak, Louis Albert Tchuem-Tchuente, Tran Thanh Duong, Nguyen Thu Huong, Ahmed Zeynudin, and Jozef Vercuysse. ""Assessment of Anthelmintic Efficacy of Mebendazolein School Children in Six Countries Where Soil Transmitted Helminths Are Endemic."" PLOS "&amp;"Neglected Tropical Diseases 8.10 (2014): 1-11. Web.")</f>
        <v>Levecke, Bruno, Antonio Montresor, Marco Albonico, Shaali M. Ame, Jerzy M. Behnke, Jeffrey M. Bethony, Calvine D. Noumedem, Dirk Engels, Bertrand Guillard, Andrew C. Kotze, Alejandro J. Krolewiecki, James S. McCarthy, Zeleke Mekonnen, Maria V. Periago, Hem Sopheak, Louis Albert Tchuem-Tchuente, Tran Thanh Duong, Nguyen Thu Huong, Ahmed Zeynudin, and Jozef Vercuysse. "Assessment of Anthelmintic Efficacy of Mebendazolein School Children in Six Countries Where Soil Transmitted Helminths Are Endemic." PLOS Neglected Tropical Diseases 8.10 (2014): 1-11. Web.</v>
      </c>
      <c r="AL56" s="880" t="str">
        <f>IFERROR(__xludf.DUMMYFUNCTION("""COMPUTED_VALUE"""),"Tanzania")</f>
        <v>Tanzania</v>
      </c>
      <c r="AM56" s="880" t="str">
        <f>IFERROR(__xludf.DUMMYFUNCTION("""COMPUTED_VALUE"""),"Albendazole")</f>
        <v>Albendazole</v>
      </c>
      <c r="AN56" s="880" t="str">
        <f>IFERROR(__xludf.DUMMYFUNCTION("""COMPUTED_VALUE"""),"Single")</f>
        <v>Single</v>
      </c>
      <c r="AO56" s="880" t="str">
        <f>IFERROR(__xludf.DUMMYFUNCTION("""COMPUTED_VALUE"""),"400 mg")</f>
        <v>400 mg</v>
      </c>
      <c r="AP56" s="880">
        <f>IFERROR(__xludf.DUMMYFUNCTION("""COMPUTED_VALUE"""),396.0)</f>
        <v>396</v>
      </c>
      <c r="AQ56" s="880">
        <f>IFERROR(__xludf.DUMMYFUNCTION("""COMPUTED_VALUE"""),9.7)</f>
        <v>9.7</v>
      </c>
      <c r="AR56" s="880">
        <f>IFERROR(__xludf.DUMMYFUNCTION("""COMPUTED_VALUE"""),0.91)</f>
        <v>0.91</v>
      </c>
      <c r="AS56" s="880">
        <f>IFERROR(__xludf.DUMMYFUNCTION("""COMPUTED_VALUE"""),2012.0)</f>
        <v>2012</v>
      </c>
      <c r="AT56" s="880"/>
      <c r="AU56" s="880" t="str">
        <f>IFERROR(__xludf.DUMMYFUNCTION("""COMPUTED_VALUE"""),"No")</f>
        <v>No</v>
      </c>
      <c r="AV56" s="880" t="str">
        <f>IFERROR(__xludf.DUMMYFUNCTION("""COMPUTED_VALUE"""),"No")</f>
        <v>No</v>
      </c>
      <c r="AW56" s="881" t="str">
        <f>IFERROR(__xludf.DUMMYFUNCTION("""COMPUTED_VALUE"""),"multi-center study")</f>
        <v>multi-center study</v>
      </c>
      <c r="AX56" s="863"/>
      <c r="AY56" s="863"/>
      <c r="AZ56" s="863"/>
      <c r="BA56" s="863"/>
      <c r="BB56" s="863"/>
      <c r="BC56" s="863"/>
      <c r="BD56" s="863"/>
      <c r="BE56" s="863"/>
      <c r="BF56" s="863"/>
      <c r="BG56" s="863"/>
      <c r="BH56" s="863">
        <f>IFERROR(__xludf.DUMMYFUNCTION("""COMPUTED_VALUE"""),0.52)</f>
        <v>0.52</v>
      </c>
      <c r="BI56" s="863"/>
      <c r="BJ56" s="863"/>
      <c r="BK56" s="863"/>
      <c r="BL56" s="863"/>
      <c r="BM56" s="863"/>
      <c r="BN56" s="863"/>
      <c r="BO56" s="863" t="str">
        <f>IFERROR(__xludf.DUMMYFUNCTION("""COMPUTED_VALUE"""),"McMaster technique")</f>
        <v>McMaster technique</v>
      </c>
      <c r="BP56" s="880" t="str">
        <f>IFERROR(__xludf.DUMMYFUNCTION("""COMPUTED_VALUE"""),"x")</f>
        <v>x</v>
      </c>
      <c r="BQ56" s="863"/>
      <c r="BR56" s="889" t="str">
        <f>IFERROR(__xludf.DUMMYFUNCTION("""COMPUTED_VALUE""")," Jongsuksuntigul et al.")</f>
        <v> Jongsuksuntigul et al.</v>
      </c>
      <c r="BS56" s="883" t="str">
        <f>IFERROR(__xludf.DUMMYFUNCTION("""COMPUTED_VALUE"""),"Thailand")</f>
        <v>Thailand</v>
      </c>
      <c r="BT56" s="883" t="str">
        <f>IFERROR(__xludf.DUMMYFUNCTION("""COMPUTED_VALUE"""),"Mebendazole")</f>
        <v>Mebendazole</v>
      </c>
      <c r="BU56" s="883"/>
      <c r="BV56" s="883" t="str">
        <f>IFERROR(__xludf.DUMMYFUNCTION("""COMPUTED_VALUE"""),"Single")</f>
        <v>Single</v>
      </c>
      <c r="BW56" s="883" t="str">
        <f>IFERROR(__xludf.DUMMYFUNCTION("""COMPUTED_VALUE"""),"300 mg")</f>
        <v>300 mg</v>
      </c>
      <c r="BX56" s="883">
        <f>IFERROR(__xludf.DUMMYFUNCTION("""COMPUTED_VALUE"""),12.0)</f>
        <v>12</v>
      </c>
      <c r="BY56" s="883" t="str">
        <f>IFERROR(__xludf.DUMMYFUNCTION("""COMPUTED_VALUE"""),"3-80")</f>
        <v>3-80</v>
      </c>
      <c r="BZ56" s="883">
        <f>IFERROR(__xludf.DUMMYFUNCTION("""COMPUTED_VALUE"""),1991.0)</f>
        <v>1991</v>
      </c>
      <c r="CA56" s="883" t="str">
        <f>IFERROR(__xludf.DUMMYFUNCTION("""COMPUTED_VALUE"""),"Male and Female")</f>
        <v>Male and Female</v>
      </c>
      <c r="CB56" s="883"/>
      <c r="CC56" s="883" t="str">
        <f>IFERROR(__xludf.DUMMYFUNCTION("""COMPUTED_VALUE"""),"Yes")</f>
        <v>Yes</v>
      </c>
      <c r="CD56" s="894" t="str">
        <f>IFERROR(__xludf.DUMMYFUNCTION("""COMPUTED_VALUE"""),"50%%")</f>
        <v>50%%</v>
      </c>
      <c r="CE56" s="883" t="str">
        <f>IFERROR(__xludf.DUMMYFUNCTION("""COMPUTED_VALUE"""),"Yes")</f>
        <v>Yes</v>
      </c>
      <c r="CF56" s="883" t="str">
        <f>IFERROR(__xludf.DUMMYFUNCTION("""COMPUTED_VALUE"""),"50% (Day 14)")</f>
        <v>50% (Day 14)</v>
      </c>
      <c r="CG56" s="883"/>
      <c r="CH56" s="883"/>
      <c r="CI56" s="883"/>
      <c r="CJ56" s="883"/>
      <c r="CK56" s="883"/>
      <c r="CL56" s="883"/>
      <c r="CM56" s="883" t="str">
        <f>IFERROR(__xludf.DUMMYFUNCTION("""COMPUTED_VALUE"""),"87.3% (Day 14)")</f>
        <v>87.3% (Day 14)</v>
      </c>
      <c r="CN56" s="883"/>
      <c r="CO56" s="883"/>
      <c r="CP56" s="883"/>
      <c r="CQ56" s="883"/>
      <c r="CR56" s="883"/>
      <c r="CS56" s="883" t="str">
        <f>IFERROR(__xludf.DUMMYFUNCTION("""COMPUTED_VALUE"""),"Both mebendazole and albendazole are safe and no side effects were observed. The results of this study suggested that albendazole is the preferred benzimidazole derivative for mass treatment of multiple infections with Ascaris.")</f>
        <v>Both mebendazole and albendazole are safe and no side effects were observed. The results of this study suggested that albendazole is the preferred benzimidazole derivative for mass treatment of multiple infections with Ascaris.</v>
      </c>
      <c r="CT56" s="883" t="str">
        <f>IFERROR(__xludf.DUMMYFUNCTION("""COMPUTED_VALUE"""),"Kato-Katz method")</f>
        <v>Kato-Katz method</v>
      </c>
      <c r="CU56" s="883" t="str">
        <f>IFERROR(__xludf.DUMMYFUNCTION("""COMPUTED_VALUE""")," ")</f>
        <v> </v>
      </c>
      <c r="CV56" s="863"/>
      <c r="CW56" s="863"/>
      <c r="CX56" s="863"/>
      <c r="CY56" s="863"/>
      <c r="CZ56" s="863"/>
      <c r="DA56" s="863"/>
      <c r="DB56" s="863"/>
      <c r="DC56" s="863"/>
      <c r="DD56" s="863"/>
      <c r="DE56" s="863"/>
    </row>
    <row r="57">
      <c r="A57" s="887" t="str">
        <f>IFERROR(__xludf.DUMMYFUNCTION("""COMPUTED_VALUE"""),"Kihara et al.")</f>
        <v>Kihara et al.</v>
      </c>
      <c r="B57" s="876" t="str">
        <f>IFERROR(__xludf.DUMMYFUNCTION("""COMPUTED_VALUE"""),"Kenya")</f>
        <v>Kenya</v>
      </c>
      <c r="C57" s="876" t="str">
        <f>IFERROR(__xludf.DUMMYFUNCTION("""COMPUTED_VALUE"""),"Albendazole")</f>
        <v>Albendazole</v>
      </c>
      <c r="D57" s="876" t="str">
        <f>IFERROR(__xludf.DUMMYFUNCTION("""COMPUTED_VALUE"""),"Single")</f>
        <v>Single</v>
      </c>
      <c r="E57" s="876" t="str">
        <f>IFERROR(__xludf.DUMMYFUNCTION("""COMPUTED_VALUE"""),"400 mg")</f>
        <v>400 mg</v>
      </c>
      <c r="F57" s="876">
        <f>IFERROR(__xludf.DUMMYFUNCTION("""COMPUTED_VALUE"""),462.0)</f>
        <v>462</v>
      </c>
      <c r="G57" s="876">
        <f>IFERROR(__xludf.DUMMYFUNCTION("""COMPUTED_VALUE"""),42478.0)</f>
        <v>42478</v>
      </c>
      <c r="H57" s="876"/>
      <c r="I57" s="876">
        <f>IFERROR(__xludf.DUMMYFUNCTION("""COMPUTED_VALUE"""),2004.0)</f>
        <v>2004</v>
      </c>
      <c r="J57" s="876" t="str">
        <f>IFERROR(__xludf.DUMMYFUNCTION("""COMPUTED_VALUE"""),"In total 2300 children aged between 4 and 18 years in five primary schools were selected for the study.")</f>
        <v>In total 2300 children aged between 4 and 18 years in five primary schools were selected for the study.</v>
      </c>
      <c r="K57" s="876" t="str">
        <f>IFERROR(__xludf.DUMMYFUNCTION("""COMPUTED_VALUE"""),"randomized trial")</f>
        <v>randomized trial</v>
      </c>
      <c r="L57" s="876" t="str">
        <f>IFERROR(__xludf.DUMMYFUNCTION("""COMPUTED_VALUE"""),"Yes")</f>
        <v>Yes</v>
      </c>
      <c r="M57" s="876" t="str">
        <f>IFERROR(__xludf.DUMMYFUNCTION("""COMPUTED_VALUE"""),"No")</f>
        <v>No</v>
      </c>
      <c r="N57" s="877">
        <f>IFERROR(__xludf.DUMMYFUNCTION("""COMPUTED_VALUE"""),0.948)</f>
        <v>0.948</v>
      </c>
      <c r="O57" s="876"/>
      <c r="P57" s="876"/>
      <c r="Q57" s="876"/>
      <c r="R57" s="876">
        <f>IFERROR(__xludf.DUMMYFUNCTION("""COMPUTED_VALUE"""),0.948)</f>
        <v>0.948</v>
      </c>
      <c r="S57" s="876"/>
      <c r="T57" s="876"/>
      <c r="U57" s="876"/>
      <c r="V57" s="876"/>
      <c r="W57" s="876"/>
      <c r="X57" s="876"/>
      <c r="Y57" s="876"/>
      <c r="Z57" s="876"/>
      <c r="AA57" s="876"/>
      <c r="AB57" s="876"/>
      <c r="AC57" s="876"/>
      <c r="AD57" s="876"/>
      <c r="AE57" s="876" t="str">
        <f>IFERROR(__xludf.DUMMYFUNCTION("""COMPUTED_VALUE"""),"Albendazolewas very effective against hookworm.")</f>
        <v>Albendazolewas very effective against hookworm.</v>
      </c>
      <c r="AF57" s="876" t="str">
        <f>IFERROR(__xludf.DUMMYFUNCTION("""COMPUTED_VALUE"""),"Kato-Katz method")</f>
        <v>Kato-Katz method</v>
      </c>
      <c r="AG57" s="876" t="str">
        <f>IFERROR(__xludf.DUMMYFUNCTION("""COMPUTED_VALUE"""),"Kihara J H, Muhoho N, Njomo D, Mwobobia I K, Josyline K, Mitsui T, et al. (2007) Drug efficacy of praziquantel and Albendazolein school children in Mwea Division, Central Province, Kenya. Acta Tropica 102(3): 1873-6254.")</f>
        <v>Kihara J H, Muhoho N, Njomo D, Mwobobia I K, Josyline K, Mitsui T, et al. (2007) Drug efficacy of praziquantel and Albendazolein school children in Mwea Division, Central Province, Kenya. Acta Tropica 102(3): 1873-6254.</v>
      </c>
      <c r="AH57" s="876" t="str">
        <f>IFERROR(__xludf.DUMMYFUNCTION("""COMPUTED_VALUE"""),"x")</f>
        <v>x</v>
      </c>
      <c r="AI57" s="878"/>
      <c r="AJ57" s="888" t="str">
        <f>IFERROR(__xludf.DUMMYFUNCTION("""COMPUTED_VALUE"""),"Levecke et al")</f>
        <v>Levecke et al</v>
      </c>
      <c r="AK57" s="880"/>
      <c r="AL57" s="880" t="str">
        <f>IFERROR(__xludf.DUMMYFUNCTION("""COMPUTED_VALUE"""),"Tanzania")</f>
        <v>Tanzania</v>
      </c>
      <c r="AM57" s="880" t="str">
        <f>IFERROR(__xludf.DUMMYFUNCTION("""COMPUTED_VALUE"""),"Mebendazole")</f>
        <v>Mebendazole</v>
      </c>
      <c r="AN57" s="880" t="str">
        <f>IFERROR(__xludf.DUMMYFUNCTION("""COMPUTED_VALUE"""),"Single")</f>
        <v>Single</v>
      </c>
      <c r="AO57" s="880" t="str">
        <f>IFERROR(__xludf.DUMMYFUNCTION("""COMPUTED_VALUE"""),"500 mg")</f>
        <v>500 mg</v>
      </c>
      <c r="AP57" s="880">
        <f>IFERROR(__xludf.DUMMYFUNCTION("""COMPUTED_VALUE"""),505.0)</f>
        <v>505</v>
      </c>
      <c r="AQ57" s="880">
        <f>IFERROR(__xludf.DUMMYFUNCTION("""COMPUTED_VALUE"""),10.7)</f>
        <v>10.7</v>
      </c>
      <c r="AR57" s="880">
        <f>IFERROR(__xludf.DUMMYFUNCTION("""COMPUTED_VALUE"""),0.05625)</f>
        <v>0.05625</v>
      </c>
      <c r="AS57" s="880">
        <f>IFERROR(__xludf.DUMMYFUNCTION("""COMPUTED_VALUE"""),2012.0)</f>
        <v>2012</v>
      </c>
      <c r="AT57" s="880"/>
      <c r="AU57" s="880" t="str">
        <f>IFERROR(__xludf.DUMMYFUNCTION("""COMPUTED_VALUE"""),"No")</f>
        <v>No</v>
      </c>
      <c r="AV57" s="880" t="str">
        <f>IFERROR(__xludf.DUMMYFUNCTION("""COMPUTED_VALUE"""),"No")</f>
        <v>No</v>
      </c>
      <c r="AW57" s="881" t="str">
        <f>IFERROR(__xludf.DUMMYFUNCTION("""COMPUTED_VALUE"""),"multi-center study")</f>
        <v>multi-center study</v>
      </c>
      <c r="AX57" s="863"/>
      <c r="AY57" s="863"/>
      <c r="AZ57" s="863"/>
      <c r="BA57" s="863"/>
      <c r="BB57" s="863"/>
      <c r="BC57" s="863"/>
      <c r="BD57" s="863"/>
      <c r="BE57" s="863"/>
      <c r="BF57" s="863"/>
      <c r="BG57" s="863"/>
      <c r="BH57" s="863">
        <f>IFERROR(__xludf.DUMMYFUNCTION("""COMPUTED_VALUE"""),0.512)</f>
        <v>0.512</v>
      </c>
      <c r="BI57" s="863"/>
      <c r="BJ57" s="863"/>
      <c r="BK57" s="863"/>
      <c r="BL57" s="863"/>
      <c r="BM57" s="863"/>
      <c r="BN57" s="863"/>
      <c r="BO57" s="863"/>
      <c r="BP57" s="880" t="str">
        <f>IFERROR(__xludf.DUMMYFUNCTION("""COMPUTED_VALUE"""),"x")</f>
        <v>x</v>
      </c>
      <c r="BQ57" s="863"/>
      <c r="BR57" s="889" t="str">
        <f>IFERROR(__xludf.DUMMYFUNCTION("""COMPUTED_VALUE""")," Jongsuksuntigul et al.")</f>
        <v> Jongsuksuntigul et al.</v>
      </c>
      <c r="BS57" s="883" t="str">
        <f>IFERROR(__xludf.DUMMYFUNCTION("""COMPUTED_VALUE"""),"Thailand")</f>
        <v>Thailand</v>
      </c>
      <c r="BT57" s="883" t="str">
        <f>IFERROR(__xludf.DUMMYFUNCTION("""COMPUTED_VALUE"""),"Mebendazole")</f>
        <v>Mebendazole</v>
      </c>
      <c r="BU57" s="883"/>
      <c r="BV57" s="883" t="str">
        <f>IFERROR(__xludf.DUMMYFUNCTION("""COMPUTED_VALUE"""),"Single")</f>
        <v>Single</v>
      </c>
      <c r="BW57" s="883" t="str">
        <f>IFERROR(__xludf.DUMMYFUNCTION("""COMPUTED_VALUE"""),"300 mg")</f>
        <v>300 mg</v>
      </c>
      <c r="BX57" s="883">
        <f>IFERROR(__xludf.DUMMYFUNCTION("""COMPUTED_VALUE"""),17.0)</f>
        <v>17</v>
      </c>
      <c r="BY57" s="883" t="str">
        <f>IFERROR(__xludf.DUMMYFUNCTION("""COMPUTED_VALUE"""),"3-80")</f>
        <v>3-80</v>
      </c>
      <c r="BZ57" s="883">
        <f>IFERROR(__xludf.DUMMYFUNCTION("""COMPUTED_VALUE"""),1991.0)</f>
        <v>1991</v>
      </c>
      <c r="CA57" s="883" t="str">
        <f>IFERROR(__xludf.DUMMYFUNCTION("""COMPUTED_VALUE"""),"Male and Female")</f>
        <v>Male and Female</v>
      </c>
      <c r="CB57" s="883"/>
      <c r="CC57" s="883" t="str">
        <f>IFERROR(__xludf.DUMMYFUNCTION("""COMPUTED_VALUE"""),"Yes")</f>
        <v>Yes</v>
      </c>
      <c r="CD57" s="884">
        <f>IFERROR(__xludf.DUMMYFUNCTION("""COMPUTED_VALUE"""),1.0)</f>
        <v>1</v>
      </c>
      <c r="CE57" s="883" t="str">
        <f>IFERROR(__xludf.DUMMYFUNCTION("""COMPUTED_VALUE"""),"Yes")</f>
        <v>Yes</v>
      </c>
      <c r="CF57" s="883" t="str">
        <f>IFERROR(__xludf.DUMMYFUNCTION("""COMPUTED_VALUE"""),"100% (Day 14)")</f>
        <v>100% (Day 14)</v>
      </c>
      <c r="CG57" s="883"/>
      <c r="CH57" s="883"/>
      <c r="CI57" s="883"/>
      <c r="CJ57" s="883"/>
      <c r="CK57" s="883"/>
      <c r="CL57" s="883"/>
      <c r="CM57" s="883" t="str">
        <f>IFERROR(__xludf.DUMMYFUNCTION("""COMPUTED_VALUE"""),"100% (Day 14)")</f>
        <v>100% (Day 14)</v>
      </c>
      <c r="CN57" s="883"/>
      <c r="CO57" s="883"/>
      <c r="CP57" s="883"/>
      <c r="CQ57" s="883"/>
      <c r="CR57" s="883"/>
      <c r="CS57" s="883"/>
      <c r="CT57" s="883" t="str">
        <f>IFERROR(__xludf.DUMMYFUNCTION("""COMPUTED_VALUE"""),"Kato-Katz method")</f>
        <v>Kato-Katz method</v>
      </c>
      <c r="CU57" s="883"/>
      <c r="CV57" s="863"/>
      <c r="CW57" s="863"/>
      <c r="CX57" s="863"/>
      <c r="CY57" s="863"/>
      <c r="CZ57" s="863"/>
      <c r="DA57" s="863"/>
      <c r="DB57" s="863"/>
      <c r="DC57" s="863"/>
      <c r="DD57" s="863"/>
      <c r="DE57" s="863"/>
    </row>
    <row r="58">
      <c r="A58" s="887" t="str">
        <f>IFERROR(__xludf.DUMMYFUNCTION("""COMPUTED_VALUE"""),"Kihara et al.")</f>
        <v>Kihara et al.</v>
      </c>
      <c r="B58" s="876" t="str">
        <f>IFERROR(__xludf.DUMMYFUNCTION("""COMPUTED_VALUE"""),"Kenya")</f>
        <v>Kenya</v>
      </c>
      <c r="C58" s="876" t="str">
        <f>IFERROR(__xludf.DUMMYFUNCTION("""COMPUTED_VALUE"""),"Albendazole")</f>
        <v>Albendazole</v>
      </c>
      <c r="D58" s="876" t="str">
        <f>IFERROR(__xludf.DUMMYFUNCTION("""COMPUTED_VALUE"""),"Single")</f>
        <v>Single</v>
      </c>
      <c r="E58" s="876" t="str">
        <f>IFERROR(__xludf.DUMMYFUNCTION("""COMPUTED_VALUE"""),"400 mg")</f>
        <v>400 mg</v>
      </c>
      <c r="F58" s="876">
        <f>IFERROR(__xludf.DUMMYFUNCTION("""COMPUTED_VALUE"""),328.0)</f>
        <v>328</v>
      </c>
      <c r="G58" s="876">
        <f>IFERROR(__xludf.DUMMYFUNCTION("""COMPUTED_VALUE"""),42478.0)</f>
        <v>42478</v>
      </c>
      <c r="H58" s="876"/>
      <c r="I58" s="876">
        <f>IFERROR(__xludf.DUMMYFUNCTION("""COMPUTED_VALUE"""),2004.0)</f>
        <v>2004</v>
      </c>
      <c r="J58" s="876" t="str">
        <f>IFERROR(__xludf.DUMMYFUNCTION("""COMPUTED_VALUE"""),"In total 2300 children aged between 4 and 18 years in five primary schools were selected for the study.")</f>
        <v>In total 2300 children aged between 4 and 18 years in five primary schools were selected for the study.</v>
      </c>
      <c r="K58" s="876" t="str">
        <f>IFERROR(__xludf.DUMMYFUNCTION("""COMPUTED_VALUE"""),"randomized trial")</f>
        <v>randomized trial</v>
      </c>
      <c r="L58" s="876" t="str">
        <f>IFERROR(__xludf.DUMMYFUNCTION("""COMPUTED_VALUE"""),"Yes")</f>
        <v>Yes</v>
      </c>
      <c r="M58" s="876" t="str">
        <f>IFERROR(__xludf.DUMMYFUNCTION("""COMPUTED_VALUE"""),"No")</f>
        <v>No</v>
      </c>
      <c r="N58" s="877">
        <f>IFERROR(__xludf.DUMMYFUNCTION("""COMPUTED_VALUE"""),0.958)</f>
        <v>0.958</v>
      </c>
      <c r="O58" s="876"/>
      <c r="P58" s="876"/>
      <c r="Q58" s="876"/>
      <c r="R58" s="876">
        <f>IFERROR(__xludf.DUMMYFUNCTION("""COMPUTED_VALUE"""),0.958)</f>
        <v>0.958</v>
      </c>
      <c r="S58" s="876"/>
      <c r="T58" s="876"/>
      <c r="U58" s="876"/>
      <c r="V58" s="876"/>
      <c r="W58" s="876"/>
      <c r="X58" s="876"/>
      <c r="Y58" s="876"/>
      <c r="Z58" s="876"/>
      <c r="AA58" s="876"/>
      <c r="AB58" s="876"/>
      <c r="AC58" s="876"/>
      <c r="AD58" s="876"/>
      <c r="AE58" s="876" t="str">
        <f>IFERROR(__xludf.DUMMYFUNCTION("""COMPUTED_VALUE"""),"Albendazolewas very effective against hookworm.")</f>
        <v>Albendazolewas very effective against hookworm.</v>
      </c>
      <c r="AF58" s="876" t="str">
        <f>IFERROR(__xludf.DUMMYFUNCTION("""COMPUTED_VALUE"""),"Kato-Katz method")</f>
        <v>Kato-Katz method</v>
      </c>
      <c r="AG58" s="876" t="str">
        <f>IFERROR(__xludf.DUMMYFUNCTION("""COMPUTED_VALUE"""),"Kihara J H, Muhoho N, Njomo D, Mwobobia I K, Josyline K, Mitsui T, et al. (2007) Drug efficacy of praziquantel and Albendazolein school children in Mwea Division, Central Province, Kenya. Acta Tropica 102(3): 1873-6254.")</f>
        <v>Kihara J H, Muhoho N, Njomo D, Mwobobia I K, Josyline K, Mitsui T, et al. (2007) Drug efficacy of praziquantel and Albendazolein school children in Mwea Division, Central Province, Kenya. Acta Tropica 102(3): 1873-6254.</v>
      </c>
      <c r="AH58" s="876" t="str">
        <f>IFERROR(__xludf.DUMMYFUNCTION("""COMPUTED_VALUE"""),"x")</f>
        <v>x</v>
      </c>
      <c r="AI58" s="878"/>
      <c r="AJ58" s="888" t="str">
        <f>IFERROR(__xludf.DUMMYFUNCTION("""COMPUTED_VALUE"""),"Levecke et al")</f>
        <v>Levecke et al</v>
      </c>
      <c r="AK58" s="880" t="str">
        <f>IFERROR(__xludf.DUMMYFUNCTION("""COMPUTED_VALUE"""),"Levecke, Bruno, Antonio Montresor, Marco Albonico, Shaali M. Ame, Jerzy M. Behnke, Jeffrey M. Bethony, Calvine D. Noumedem, Dirk Engels, Bertrand Guillard, Andrew C. Kotze, Alejandro J. Krolewiecki, James S. McCarthy, Zeleke Mekonnen, Maria V. Periago, He"&amp;"m Sopheak, Louis Albert Tchuem-Tchuente, Tran Thanh Duong, Nguyen Thu Huong, Ahmed Zeynudin, and Jozef Vercuysse. ""Assessment of Anthelmintic Efficacy of Mebendazolein School Children in Six Countries Where Soil Transmitted Helminths Are Endemic."" PLOS "&amp;"Neglected Tropical Diseases 8.10 (2014): 1-11. Web.")</f>
        <v>Levecke, Bruno, Antonio Montresor, Marco Albonico, Shaali M. Ame, Jerzy M. Behnke, Jeffrey M. Bethony, Calvine D. Noumedem, Dirk Engels, Bertrand Guillard, Andrew C. Kotze, Alejandro J. Krolewiecki, James S. McCarthy, Zeleke Mekonnen, Maria V. Periago, Hem Sopheak, Louis Albert Tchuem-Tchuente, Tran Thanh Duong, Nguyen Thu Huong, Ahmed Zeynudin, and Jozef Vercuysse. "Assessment of Anthelmintic Efficacy of Mebendazolein School Children in Six Countries Where Soil Transmitted Helminths Are Endemic." PLOS Neglected Tropical Diseases 8.10 (2014): 1-11. Web.</v>
      </c>
      <c r="AL58" s="880" t="str">
        <f>IFERROR(__xludf.DUMMYFUNCTION("""COMPUTED_VALUE"""),"Viet Nam")</f>
        <v>Viet Nam</v>
      </c>
      <c r="AM58" s="880" t="str">
        <f>IFERROR(__xludf.DUMMYFUNCTION("""COMPUTED_VALUE"""),"Albendazole")</f>
        <v>Albendazole</v>
      </c>
      <c r="AN58" s="880" t="str">
        <f>IFERROR(__xludf.DUMMYFUNCTION("""COMPUTED_VALUE"""),"Single")</f>
        <v>Single</v>
      </c>
      <c r="AO58" s="880" t="str">
        <f>IFERROR(__xludf.DUMMYFUNCTION("""COMPUTED_VALUE"""),"400 mg")</f>
        <v>400 mg</v>
      </c>
      <c r="AP58" s="880">
        <f>IFERROR(__xludf.DUMMYFUNCTION("""COMPUTED_VALUE"""),138.0)</f>
        <v>138</v>
      </c>
      <c r="AQ58" s="880">
        <f>IFERROR(__xludf.DUMMYFUNCTION("""COMPUTED_VALUE"""),9.4)</f>
        <v>9.4</v>
      </c>
      <c r="AR58" s="880">
        <f>IFERROR(__xludf.DUMMYFUNCTION("""COMPUTED_VALUE"""),0.04375)</f>
        <v>0.04375</v>
      </c>
      <c r="AS58" s="880">
        <f>IFERROR(__xludf.DUMMYFUNCTION("""COMPUTED_VALUE"""),2012.0)</f>
        <v>2012</v>
      </c>
      <c r="AT58" s="880"/>
      <c r="AU58" s="880" t="str">
        <f>IFERROR(__xludf.DUMMYFUNCTION("""COMPUTED_VALUE"""),"No")</f>
        <v>No</v>
      </c>
      <c r="AV58" s="880" t="str">
        <f>IFERROR(__xludf.DUMMYFUNCTION("""COMPUTED_VALUE"""),"No")</f>
        <v>No</v>
      </c>
      <c r="AW58" s="881" t="str">
        <f>IFERROR(__xludf.DUMMYFUNCTION("""COMPUTED_VALUE"""),"multi-center study")</f>
        <v>multi-center study</v>
      </c>
      <c r="AX58" s="863"/>
      <c r="AY58" s="863"/>
      <c r="AZ58" s="863"/>
      <c r="BA58" s="863"/>
      <c r="BB58" s="863"/>
      <c r="BC58" s="863"/>
      <c r="BD58" s="863"/>
      <c r="BE58" s="863"/>
      <c r="BF58" s="863"/>
      <c r="BG58" s="863"/>
      <c r="BH58" s="863">
        <f>IFERROR(__xludf.DUMMYFUNCTION("""COMPUTED_VALUE"""),0.923)</f>
        <v>0.923</v>
      </c>
      <c r="BI58" s="863"/>
      <c r="BJ58" s="863"/>
      <c r="BK58" s="863"/>
      <c r="BL58" s="863"/>
      <c r="BM58" s="863"/>
      <c r="BN58" s="863"/>
      <c r="BO58" s="863" t="str">
        <f>IFERROR(__xludf.DUMMYFUNCTION("""COMPUTED_VALUE"""),"McMaster technique")</f>
        <v>McMaster technique</v>
      </c>
      <c r="BP58" s="880" t="str">
        <f>IFERROR(__xludf.DUMMYFUNCTION("""COMPUTED_VALUE"""),"x")</f>
        <v>x</v>
      </c>
      <c r="BQ58" s="863"/>
      <c r="BR58" s="889" t="str">
        <f>IFERROR(__xludf.DUMMYFUNCTION("""COMPUTED_VALUE""")," Jongsuksuntigul et al.")</f>
        <v> Jongsuksuntigul et al.</v>
      </c>
      <c r="BS58" s="883" t="str">
        <f>IFERROR(__xludf.DUMMYFUNCTION("""COMPUTED_VALUE"""),"Thailand")</f>
        <v>Thailand</v>
      </c>
      <c r="BT58" s="883" t="str">
        <f>IFERROR(__xludf.DUMMYFUNCTION("""COMPUTED_VALUE"""),"Mebendazole")</f>
        <v>Mebendazole</v>
      </c>
      <c r="BU58" s="883"/>
      <c r="BV58" s="883" t="str">
        <f>IFERROR(__xludf.DUMMYFUNCTION("""COMPUTED_VALUE"""),"Single")</f>
        <v>Single</v>
      </c>
      <c r="BW58" s="883" t="str">
        <f>IFERROR(__xludf.DUMMYFUNCTION("""COMPUTED_VALUE"""),"500 mg")</f>
        <v>500 mg</v>
      </c>
      <c r="BX58" s="883">
        <f>IFERROR(__xludf.DUMMYFUNCTION("""COMPUTED_VALUE"""),14.0)</f>
        <v>14</v>
      </c>
      <c r="BY58" s="883" t="str">
        <f>IFERROR(__xludf.DUMMYFUNCTION("""COMPUTED_VALUE"""),"3-80")</f>
        <v>3-80</v>
      </c>
      <c r="BZ58" s="883">
        <f>IFERROR(__xludf.DUMMYFUNCTION("""COMPUTED_VALUE"""),1991.0)</f>
        <v>1991</v>
      </c>
      <c r="CA58" s="883" t="str">
        <f>IFERROR(__xludf.DUMMYFUNCTION("""COMPUTED_VALUE"""),"Male and Female")</f>
        <v>Male and Female</v>
      </c>
      <c r="CB58" s="883"/>
      <c r="CC58" s="883" t="str">
        <f>IFERROR(__xludf.DUMMYFUNCTION("""COMPUTED_VALUE"""),"Yes")</f>
        <v>Yes</v>
      </c>
      <c r="CD58" s="884">
        <f>IFERROR(__xludf.DUMMYFUNCTION("""COMPUTED_VALUE"""),1.0)</f>
        <v>1</v>
      </c>
      <c r="CE58" s="883" t="str">
        <f>IFERROR(__xludf.DUMMYFUNCTION("""COMPUTED_VALUE"""),"Yes")</f>
        <v>Yes</v>
      </c>
      <c r="CF58" s="883" t="str">
        <f>IFERROR(__xludf.DUMMYFUNCTION("""COMPUTED_VALUE"""),"100% (Day 14)")</f>
        <v>100% (Day 14)</v>
      </c>
      <c r="CG58" s="883"/>
      <c r="CH58" s="883"/>
      <c r="CI58" s="883"/>
      <c r="CJ58" s="883"/>
      <c r="CK58" s="883"/>
      <c r="CL58" s="883"/>
      <c r="CM58" s="883" t="str">
        <f>IFERROR(__xludf.DUMMYFUNCTION("""COMPUTED_VALUE"""),"100% (Day 14)")</f>
        <v>100% (Day 14)</v>
      </c>
      <c r="CN58" s="883"/>
      <c r="CO58" s="883"/>
      <c r="CP58" s="883"/>
      <c r="CQ58" s="883"/>
      <c r="CR58" s="883"/>
      <c r="CS58" s="883"/>
      <c r="CT58" s="883" t="str">
        <f>IFERROR(__xludf.DUMMYFUNCTION("""COMPUTED_VALUE"""),"Kato-Katz method")</f>
        <v>Kato-Katz method</v>
      </c>
      <c r="CU58" s="883"/>
      <c r="CV58" s="863"/>
      <c r="CW58" s="863"/>
      <c r="CX58" s="863"/>
      <c r="CY58" s="863"/>
      <c r="CZ58" s="863"/>
      <c r="DA58" s="863"/>
      <c r="DB58" s="863"/>
      <c r="DC58" s="863"/>
      <c r="DD58" s="863"/>
      <c r="DE58" s="863"/>
    </row>
    <row r="59">
      <c r="A59" s="887" t="str">
        <f>IFERROR(__xludf.DUMMYFUNCTION("""COMPUTED_VALUE"""),"Jongsuksuntigul et al.")</f>
        <v>Jongsuksuntigul et al.</v>
      </c>
      <c r="B59" s="876" t="str">
        <f>IFERROR(__xludf.DUMMYFUNCTION("""COMPUTED_VALUE"""),"Thailand")</f>
        <v>Thailand</v>
      </c>
      <c r="C59" s="876" t="str">
        <f>IFERROR(__xludf.DUMMYFUNCTION("""COMPUTED_VALUE"""),"Mebendazole")</f>
        <v>Mebendazole</v>
      </c>
      <c r="D59" s="876" t="str">
        <f>IFERROR(__xludf.DUMMYFUNCTION("""COMPUTED_VALUE"""),"Single")</f>
        <v>Single</v>
      </c>
      <c r="E59" s="876" t="str">
        <f>IFERROR(__xludf.DUMMYFUNCTION("""COMPUTED_VALUE"""),"300 mg")</f>
        <v>300 mg</v>
      </c>
      <c r="F59" s="876">
        <f>IFERROR(__xludf.DUMMYFUNCTION("""COMPUTED_VALUE"""),39.0)</f>
        <v>39</v>
      </c>
      <c r="G59" s="876" t="str">
        <f>IFERROR(__xludf.DUMMYFUNCTION("""COMPUTED_VALUE"""),"3-80 ")</f>
        <v>3-80 </v>
      </c>
      <c r="H59" s="876" t="str">
        <f>IFERROR(__xludf.DUMMYFUNCTION("""COMPUTED_VALUE"""),"1:1")</f>
        <v>1:1</v>
      </c>
      <c r="I59" s="876">
        <f>IFERROR(__xludf.DUMMYFUNCTION("""COMPUTED_VALUE"""),1991.0)</f>
        <v>1991</v>
      </c>
      <c r="J59" s="876" t="str">
        <f>IFERROR(__xludf.DUMMYFUNCTION("""COMPUTED_VALUE"""),"Had single or multiple infections of hookworm")</f>
        <v>Had single or multiple infections of hookworm</v>
      </c>
      <c r="K59" s="876" t="str">
        <f>IFERROR(__xludf.DUMMYFUNCTION("""COMPUTED_VALUE"""),"randomized comparative")</f>
        <v>randomized comparative</v>
      </c>
      <c r="L59" s="876" t="str">
        <f>IFERROR(__xludf.DUMMYFUNCTION("""COMPUTED_VALUE"""),"Yes")</f>
        <v>Yes</v>
      </c>
      <c r="M59" s="876" t="str">
        <f>IFERROR(__xludf.DUMMYFUNCTION("""COMPUTED_VALUE"""),"Yes")</f>
        <v>Yes</v>
      </c>
      <c r="N59" s="877">
        <f>IFERROR(__xludf.DUMMYFUNCTION("""COMPUTED_VALUE"""),0.0)</f>
        <v>0</v>
      </c>
      <c r="O59" s="876">
        <f>IFERROR(__xludf.DUMMYFUNCTION("""COMPUTED_VALUE"""),0.0)</f>
        <v>0</v>
      </c>
      <c r="P59" s="876"/>
      <c r="Q59" s="876"/>
      <c r="R59" s="876"/>
      <c r="S59" s="876"/>
      <c r="T59" s="876"/>
      <c r="U59" s="876"/>
      <c r="V59" s="876"/>
      <c r="W59" s="876">
        <f>IFERROR(__xludf.DUMMYFUNCTION("""COMPUTED_VALUE"""),0.153)</f>
        <v>0.153</v>
      </c>
      <c r="X59" s="876">
        <f>IFERROR(__xludf.DUMMYFUNCTION("""COMPUTED_VALUE"""),0.153)</f>
        <v>0.153</v>
      </c>
      <c r="Y59" s="876"/>
      <c r="Z59" s="876"/>
      <c r="AA59" s="876"/>
      <c r="AB59" s="876"/>
      <c r="AC59" s="876"/>
      <c r="AD59" s="876"/>
      <c r="AE59" s="876" t="str">
        <f>IFERROR(__xludf.DUMMYFUNCTION("""COMPUTED_VALUE"""),"Both MB and ALB are safe and no side effects were observed. Albendazoleis the preferred benzimidazole derivative for hookworm. ")</f>
        <v>Both MB and ALB are safe and no side effects were observed. Albendazoleis the preferred benzimidazole derivative for hookworm. </v>
      </c>
      <c r="AF59" s="876" t="str">
        <f>IFERROR(__xludf.DUMMYFUNCTION("""COMPUTED_VALUE"""),"Kato-Katz technique")</f>
        <v>Kato-Katz technique</v>
      </c>
      <c r="AG59" s="876" t="str">
        <f>IFERROR(__xludf.DUMMYFUNCTION("""COMPUTED_VALUE"""),"Jongsuksuntigul, P., Jeradit, C., Pornpattanakul, S., and Charanasri, U. “A comparative study on the efficacy of Albendazoleand Mebendazolein the treatment of ascariasis, hookworm infection and trichuriasis.” The Southest Asian Journey of Tropical Medicin"&amp;"e and Public Health 24(4) (1994) 724-9. Web.")</f>
        <v>Jongsuksuntigul, P., Jeradit, C., Pornpattanakul, S., and Charanasri, U. “A comparative study on the efficacy of Albendazoleand Mebendazolein the treatment of ascariasis, hookworm infection and trichuriasis.” The Southest Asian Journey of Tropical Medicine and Public Health 24(4) (1994) 724-9. Web.</v>
      </c>
      <c r="AH59" s="876"/>
      <c r="AI59" s="878"/>
      <c r="AJ59" s="888" t="str">
        <f>IFERROR(__xludf.DUMMYFUNCTION("""COMPUTED_VALUE"""),"Levecke et al")</f>
        <v>Levecke et al</v>
      </c>
      <c r="AK59" s="880"/>
      <c r="AL59" s="880" t="str">
        <f>IFERROR(__xludf.DUMMYFUNCTION("""COMPUTED_VALUE"""),"Viet Nam")</f>
        <v>Viet Nam</v>
      </c>
      <c r="AM59" s="880" t="str">
        <f>IFERROR(__xludf.DUMMYFUNCTION("""COMPUTED_VALUE"""),"Mebendazole")</f>
        <v>Mebendazole</v>
      </c>
      <c r="AN59" s="880" t="str">
        <f>IFERROR(__xludf.DUMMYFUNCTION("""COMPUTED_VALUE"""),"Single")</f>
        <v>Single</v>
      </c>
      <c r="AO59" s="880" t="str">
        <f>IFERROR(__xludf.DUMMYFUNCTION("""COMPUTED_VALUE"""),"500 mg")</f>
        <v>500 mg</v>
      </c>
      <c r="AP59" s="880">
        <f>IFERROR(__xludf.DUMMYFUNCTION("""COMPUTED_VALUE"""),69.0)</f>
        <v>69</v>
      </c>
      <c r="AQ59" s="880">
        <f>IFERROR(__xludf.DUMMYFUNCTION("""COMPUTED_VALUE"""),8.3)</f>
        <v>8.3</v>
      </c>
      <c r="AR59" s="880">
        <f>IFERROR(__xludf.DUMMYFUNCTION("""COMPUTED_VALUE"""),0.97)</f>
        <v>0.97</v>
      </c>
      <c r="AS59" s="880">
        <f>IFERROR(__xludf.DUMMYFUNCTION("""COMPUTED_VALUE"""),2012.0)</f>
        <v>2012</v>
      </c>
      <c r="AT59" s="880"/>
      <c r="AU59" s="880" t="str">
        <f>IFERROR(__xludf.DUMMYFUNCTION("""COMPUTED_VALUE"""),"No")</f>
        <v>No</v>
      </c>
      <c r="AV59" s="880" t="str">
        <f>IFERROR(__xludf.DUMMYFUNCTION("""COMPUTED_VALUE"""),"No")</f>
        <v>No</v>
      </c>
      <c r="AW59" s="881" t="str">
        <f>IFERROR(__xludf.DUMMYFUNCTION("""COMPUTED_VALUE"""),"multi-center study")</f>
        <v>multi-center study</v>
      </c>
      <c r="AX59" s="863"/>
      <c r="AY59" s="863"/>
      <c r="AZ59" s="863"/>
      <c r="BA59" s="863"/>
      <c r="BB59" s="863"/>
      <c r="BC59" s="863"/>
      <c r="BD59" s="863"/>
      <c r="BE59" s="863"/>
      <c r="BF59" s="863"/>
      <c r="BG59" s="863"/>
      <c r="BH59" s="863">
        <f>IFERROR(__xludf.DUMMYFUNCTION("""COMPUTED_VALUE"""),0.768)</f>
        <v>0.768</v>
      </c>
      <c r="BI59" s="863"/>
      <c r="BJ59" s="863"/>
      <c r="BK59" s="863"/>
      <c r="BL59" s="863"/>
      <c r="BM59" s="863"/>
      <c r="BN59" s="863"/>
      <c r="BO59" s="863"/>
      <c r="BP59" s="880" t="str">
        <f>IFERROR(__xludf.DUMMYFUNCTION("""COMPUTED_VALUE"""),"x")</f>
        <v>x</v>
      </c>
      <c r="BQ59" s="863"/>
      <c r="BR59" s="889" t="str">
        <f>IFERROR(__xludf.DUMMYFUNCTION("""COMPUTED_VALUE""")," Jongsuksuntigul et al.")</f>
        <v> Jongsuksuntigul et al.</v>
      </c>
      <c r="BS59" s="883" t="str">
        <f>IFERROR(__xludf.DUMMYFUNCTION("""COMPUTED_VALUE"""),"Thailand")</f>
        <v>Thailand</v>
      </c>
      <c r="BT59" s="883" t="str">
        <f>IFERROR(__xludf.DUMMYFUNCTION("""COMPUTED_VALUE"""),"Albendazole")</f>
        <v>Albendazole</v>
      </c>
      <c r="BU59" s="883"/>
      <c r="BV59" s="883" t="str">
        <f>IFERROR(__xludf.DUMMYFUNCTION("""COMPUTED_VALUE"""),"Single")</f>
        <v>Single</v>
      </c>
      <c r="BW59" s="883" t="str">
        <f>IFERROR(__xludf.DUMMYFUNCTION("""COMPUTED_VALUE"""),"400 mg")</f>
        <v>400 mg</v>
      </c>
      <c r="BX59" s="883">
        <f>IFERROR(__xludf.DUMMYFUNCTION("""COMPUTED_VALUE"""),13.0)</f>
        <v>13</v>
      </c>
      <c r="BY59" s="883" t="str">
        <f>IFERROR(__xludf.DUMMYFUNCTION("""COMPUTED_VALUE"""),"3-80")</f>
        <v>3-80</v>
      </c>
      <c r="BZ59" s="883">
        <f>IFERROR(__xludf.DUMMYFUNCTION("""COMPUTED_VALUE"""),1991.0)</f>
        <v>1991</v>
      </c>
      <c r="CA59" s="883" t="str">
        <f>IFERROR(__xludf.DUMMYFUNCTION("""COMPUTED_VALUE"""),"Male and Female")</f>
        <v>Male and Female</v>
      </c>
      <c r="CB59" s="883"/>
      <c r="CC59" s="883" t="str">
        <f>IFERROR(__xludf.DUMMYFUNCTION("""COMPUTED_VALUE"""),"Yes")</f>
        <v>Yes</v>
      </c>
      <c r="CD59" s="884">
        <f>IFERROR(__xludf.DUMMYFUNCTION("""COMPUTED_VALUE"""),1.0)</f>
        <v>1</v>
      </c>
      <c r="CE59" s="883" t="str">
        <f>IFERROR(__xludf.DUMMYFUNCTION("""COMPUTED_VALUE"""),"Yes")</f>
        <v>Yes</v>
      </c>
      <c r="CF59" s="883" t="str">
        <f>IFERROR(__xludf.DUMMYFUNCTION("""COMPUTED_VALUE"""),"100% (Day 14)")</f>
        <v>100% (Day 14)</v>
      </c>
      <c r="CG59" s="883"/>
      <c r="CH59" s="883"/>
      <c r="CI59" s="883"/>
      <c r="CJ59" s="883"/>
      <c r="CK59" s="883"/>
      <c r="CL59" s="883"/>
      <c r="CM59" s="883" t="str">
        <f>IFERROR(__xludf.DUMMYFUNCTION("""COMPUTED_VALUE"""),"100% (Day 14)")</f>
        <v>100% (Day 14)</v>
      </c>
      <c r="CN59" s="883"/>
      <c r="CO59" s="883"/>
      <c r="CP59" s="883"/>
      <c r="CQ59" s="883"/>
      <c r="CR59" s="883"/>
      <c r="CS59" s="883"/>
      <c r="CT59" s="883" t="str">
        <f>IFERROR(__xludf.DUMMYFUNCTION("""COMPUTED_VALUE"""),"Kato-Katz method")</f>
        <v>Kato-Katz method</v>
      </c>
      <c r="CU59" s="883"/>
      <c r="CV59" s="863"/>
      <c r="CW59" s="863"/>
      <c r="CX59" s="863"/>
      <c r="CY59" s="863"/>
      <c r="CZ59" s="863"/>
      <c r="DA59" s="863"/>
      <c r="DB59" s="863"/>
      <c r="DC59" s="863"/>
      <c r="DD59" s="863"/>
      <c r="DE59" s="863"/>
    </row>
    <row r="60">
      <c r="A60" s="887" t="str">
        <f>IFERROR(__xludf.DUMMYFUNCTION("""COMPUTED_VALUE"""),"Jongsuksuntigul et al.")</f>
        <v>Jongsuksuntigul et al.</v>
      </c>
      <c r="B60" s="876" t="str">
        <f>IFERROR(__xludf.DUMMYFUNCTION("""COMPUTED_VALUE"""),"Thailand")</f>
        <v>Thailand</v>
      </c>
      <c r="C60" s="876" t="str">
        <f>IFERROR(__xludf.DUMMYFUNCTION("""COMPUTED_VALUE"""),"Mebendazole")</f>
        <v>Mebendazole</v>
      </c>
      <c r="D60" s="876" t="str">
        <f>IFERROR(__xludf.DUMMYFUNCTION("""COMPUTED_VALUE"""),"Single")</f>
        <v>Single</v>
      </c>
      <c r="E60" s="876" t="str">
        <f>IFERROR(__xludf.DUMMYFUNCTION("""COMPUTED_VALUE"""),"300 mg")</f>
        <v>300 mg</v>
      </c>
      <c r="F60" s="876">
        <f>IFERROR(__xludf.DUMMYFUNCTION("""COMPUTED_VALUE"""),44.0)</f>
        <v>44</v>
      </c>
      <c r="G60" s="876" t="str">
        <f>IFERROR(__xludf.DUMMYFUNCTION("""COMPUTED_VALUE"""),"3-80 ")</f>
        <v>3-80 </v>
      </c>
      <c r="H60" s="876" t="str">
        <f>IFERROR(__xludf.DUMMYFUNCTION("""COMPUTED_VALUE"""),"1:1")</f>
        <v>1:1</v>
      </c>
      <c r="I60" s="876">
        <f>IFERROR(__xludf.DUMMYFUNCTION("""COMPUTED_VALUE"""),1991.0)</f>
        <v>1991</v>
      </c>
      <c r="J60" s="876" t="str">
        <f>IFERROR(__xludf.DUMMYFUNCTION("""COMPUTED_VALUE"""),"Had single or multiple infections of hookworm")</f>
        <v>Had single or multiple infections of hookworm</v>
      </c>
      <c r="K60" s="876" t="str">
        <f>IFERROR(__xludf.DUMMYFUNCTION("""COMPUTED_VALUE"""),"randomized comparative")</f>
        <v>randomized comparative</v>
      </c>
      <c r="L60" s="876" t="str">
        <f>IFERROR(__xludf.DUMMYFUNCTION("""COMPUTED_VALUE"""),"Yes")</f>
        <v>Yes</v>
      </c>
      <c r="M60" s="876" t="str">
        <f>IFERROR(__xludf.DUMMYFUNCTION("""COMPUTED_VALUE"""),"Yes")</f>
        <v>Yes</v>
      </c>
      <c r="N60" s="877">
        <f>IFERROR(__xludf.DUMMYFUNCTION("""COMPUTED_VALUE"""),0.091)</f>
        <v>0.091</v>
      </c>
      <c r="O60" s="876">
        <f>IFERROR(__xludf.DUMMYFUNCTION("""COMPUTED_VALUE"""),0.091)</f>
        <v>0.091</v>
      </c>
      <c r="P60" s="876"/>
      <c r="Q60" s="876"/>
      <c r="R60" s="876"/>
      <c r="S60" s="876"/>
      <c r="T60" s="876"/>
      <c r="U60" s="876"/>
      <c r="V60" s="876"/>
      <c r="W60" s="876">
        <f>IFERROR(__xludf.DUMMYFUNCTION("""COMPUTED_VALUE"""),0.72)</f>
        <v>0.72</v>
      </c>
      <c r="X60" s="876">
        <f>IFERROR(__xludf.DUMMYFUNCTION("""COMPUTED_VALUE"""),0.72)</f>
        <v>0.72</v>
      </c>
      <c r="Y60" s="876"/>
      <c r="Z60" s="876"/>
      <c r="AA60" s="876"/>
      <c r="AB60" s="876"/>
      <c r="AC60" s="876"/>
      <c r="AD60" s="876"/>
      <c r="AE60" s="876" t="str">
        <f>IFERROR(__xludf.DUMMYFUNCTION("""COMPUTED_VALUE"""),"Both MB and ALB are safe and no side effects were observed. Albendazoleis the preferred benzimidazole derivative for hookworm. ")</f>
        <v>Both MB and ALB are safe and no side effects were observed. Albendazoleis the preferred benzimidazole derivative for hookworm. </v>
      </c>
      <c r="AF60" s="876" t="str">
        <f>IFERROR(__xludf.DUMMYFUNCTION("""COMPUTED_VALUE"""),"Kato-Katz technique")</f>
        <v>Kato-Katz technique</v>
      </c>
      <c r="AG60" s="876" t="str">
        <f>IFERROR(__xludf.DUMMYFUNCTION("""COMPUTED_VALUE"""),"Jongsuksuntigul, P., Jeradit, C., Pornpattanakul, S., and Charanasri, U. “A comparative study on the efficacy of Albendazoleand Mebendazolein the treatment of ascariasis, hookworm infection and trichuriasis.” The Southest Asian Journey of Tropical Medicin"&amp;"e and Public Health 24(4) (1994) 724-9. Web.")</f>
        <v>Jongsuksuntigul, P., Jeradit, C., Pornpattanakul, S., and Charanasri, U. “A comparative study on the efficacy of Albendazoleand Mebendazolein the treatment of ascariasis, hookworm infection and trichuriasis.” The Southest Asian Journey of Tropical Medicine and Public Health 24(4) (1994) 724-9. Web.</v>
      </c>
      <c r="AH60" s="876"/>
      <c r="AI60" s="878"/>
      <c r="AJ60" s="888" t="str">
        <f>IFERROR(__xludf.DUMMYFUNCTION("""COMPUTED_VALUE"""),"Heukelbach et al.")</f>
        <v>Heukelbach et al.</v>
      </c>
      <c r="AK60" s="880" t="str">
        <f>IFERROR(__xludf.DUMMYFUNCTION("""COMPUTED_VALUE"""),"Heukelbach, Jurg, Thomas Wilcke, Benedikt Winter, Fabiola Araujo Sales De Oliveira, Romulo Cesar Sabola Moura, Gundel Harms, Oliver Liesenfeld, and Hermann Feldmier. ""Efficacy of Ivermectinin a Patient Population Concomitantly Infected with Intestinal He"&amp;"lminths and Ectoparasites."" Arzneimittelforschung 54.7 (2004): 416-21. Web.")</f>
        <v>Heukelbach, Jurg, Thomas Wilcke, Benedikt Winter, Fabiola Araujo Sales De Oliveira, Romulo Cesar Sabola Moura, Gundel Harms, Oliver Liesenfeld, and Hermann Feldmier. "Efficacy of Ivermectinin a Patient Population Concomitantly Infected with Intestinal Helminths and Ectoparasites." Arzneimittelforschung 54.7 (2004): 416-21. Web.</v>
      </c>
      <c r="AL60" s="880" t="str">
        <f>IFERROR(__xludf.DUMMYFUNCTION("""COMPUTED_VALUE"""),"Brazil")</f>
        <v>Brazil</v>
      </c>
      <c r="AM60" s="880" t="str">
        <f>IFERROR(__xludf.DUMMYFUNCTION("""COMPUTED_VALUE"""),"Ivermectin")</f>
        <v>Ivermectin</v>
      </c>
      <c r="AN60" s="880" t="str">
        <f>IFERROR(__xludf.DUMMYFUNCTION("""COMPUTED_VALUE"""),"Two")</f>
        <v>Two</v>
      </c>
      <c r="AO60" s="880" t="str">
        <f>IFERROR(__xludf.DUMMYFUNCTION("""COMPUTED_VALUE"""),"200 mg")</f>
        <v>200 mg</v>
      </c>
      <c r="AP60" s="880">
        <f>IFERROR(__xludf.DUMMYFUNCTION("""COMPUTED_VALUE"""),63.0)</f>
        <v>63</v>
      </c>
      <c r="AQ60" s="880" t="str">
        <f>IFERROR(__xludf.DUMMYFUNCTION("""COMPUTED_VALUE"""),"5-69 years average:25.3")</f>
        <v>5-69 years average:25.3</v>
      </c>
      <c r="AR60" s="880" t="str">
        <f>IFERROR(__xludf.DUMMYFUNCTION("""COMPUTED_VALUE"""),"Male:25 Female:38")</f>
        <v>Male:25 Female:38</v>
      </c>
      <c r="AS60" s="880">
        <f>IFERROR(__xludf.DUMMYFUNCTION("""COMPUTED_VALUE"""),2004.0)</f>
        <v>2004</v>
      </c>
      <c r="AT60" s="880" t="str">
        <f>IFERROR(__xludf.DUMMYFUNCTION("""COMPUTED_VALUE"""),"All individuals infected with at least one intestinal helminth species or suffering from at least one parasitic skin disease were eligible for the study. Children 5 years old or younger or less than 15 kg body weight, pregnant, or breastfeeding women and "&amp;"individuals with known renal or hepatic disease were excluded.")</f>
        <v>All individuals infected with at least one intestinal helminth species or suffering from at least one parasitic skin disease were eligible for the study. Children 5 years old or younger or less than 15 kg body weight, pregnant, or breastfeeding women and individuals with known renal or hepatic disease were excluded.</v>
      </c>
      <c r="AU60" s="880" t="str">
        <f>IFERROR(__xludf.DUMMYFUNCTION("""COMPUTED_VALUE"""),"No")</f>
        <v>No</v>
      </c>
      <c r="AV60" s="880" t="str">
        <f>IFERROR(__xludf.DUMMYFUNCTION("""COMPUTED_VALUE"""),"No")</f>
        <v>No</v>
      </c>
      <c r="AW60" s="881" t="str">
        <f>IFERROR(__xludf.DUMMYFUNCTION("""COMPUTED_VALUE"""),"open trial")</f>
        <v>open trial</v>
      </c>
      <c r="AX60" s="863">
        <f>IFERROR(__xludf.DUMMYFUNCTION("""COMPUTED_VALUE"""),0.841)</f>
        <v>0.841</v>
      </c>
      <c r="AY60" s="863"/>
      <c r="AZ60" s="863"/>
      <c r="BA60" s="863"/>
      <c r="BB60" s="863"/>
      <c r="BC60" s="863">
        <f>IFERROR(__xludf.DUMMYFUNCTION("""COMPUTED_VALUE"""),0.841)</f>
        <v>0.841</v>
      </c>
      <c r="BD60" s="863"/>
      <c r="BE60" s="863"/>
      <c r="BF60" s="863"/>
      <c r="BG60" s="863"/>
      <c r="BH60" s="863"/>
      <c r="BI60" s="863"/>
      <c r="BJ60" s="863"/>
      <c r="BK60" s="863"/>
      <c r="BL60" s="863"/>
      <c r="BM60" s="863"/>
      <c r="BN60" s="863"/>
      <c r="BO60" s="863" t="str">
        <f>IFERROR(__xludf.DUMMYFUNCTION("""COMPUTED_VALUE"""),"Hoffman and Baermann method")</f>
        <v>Hoffman and Baermann method</v>
      </c>
      <c r="BP60" s="880" t="str">
        <f>IFERROR(__xludf.DUMMYFUNCTION("""COMPUTED_VALUE"""),"x")</f>
        <v>x</v>
      </c>
      <c r="BQ60" s="863"/>
      <c r="BR60" s="889" t="str">
        <f>IFERROR(__xludf.DUMMYFUNCTION("""COMPUTED_VALUE"""),"Oyewole et al.")</f>
        <v>Oyewole et al.</v>
      </c>
      <c r="BS60" s="883" t="str">
        <f>IFERROR(__xludf.DUMMYFUNCTION("""COMPUTED_VALUE"""),"Nigeria")</f>
        <v>Nigeria</v>
      </c>
      <c r="BT60" s="883" t="str">
        <f>IFERROR(__xludf.DUMMYFUNCTION("""COMPUTED_VALUE"""),"Albendazole")</f>
        <v>Albendazole</v>
      </c>
      <c r="BU60" s="883"/>
      <c r="BV60" s="883" t="str">
        <f>IFERROR(__xludf.DUMMYFUNCTION("""COMPUTED_VALUE"""),"Single")</f>
        <v>Single</v>
      </c>
      <c r="BW60" s="883" t="str">
        <f>IFERROR(__xludf.DUMMYFUNCTION("""COMPUTED_VALUE"""),"200 mg")</f>
        <v>200 mg</v>
      </c>
      <c r="BX60" s="883" t="str">
        <f>IFERROR(__xludf.DUMMYFUNCTION("""COMPUTED_VALUE"""),"903 (randomly selected)")</f>
        <v>903 (randomly selected)</v>
      </c>
      <c r="BY60" s="890">
        <f>IFERROR(__xludf.DUMMYFUNCTION("""COMPUTED_VALUE"""),42476.0)</f>
        <v>42476</v>
      </c>
      <c r="BZ60" s="883"/>
      <c r="CA60" s="883"/>
      <c r="CB60" s="883"/>
      <c r="CC60" s="883" t="str">
        <f>IFERROR(__xludf.DUMMYFUNCTION("""COMPUTED_VALUE"""),"No")</f>
        <v>No</v>
      </c>
      <c r="CD60" s="884"/>
      <c r="CE60" s="883" t="str">
        <f>IFERROR(__xludf.DUMMYFUNCTION("""COMPUTED_VALUE"""),"No")</f>
        <v>No</v>
      </c>
      <c r="CF60" s="883"/>
      <c r="CG60" s="883"/>
      <c r="CH60" s="883"/>
      <c r="CI60" s="883"/>
      <c r="CJ60" s="883"/>
      <c r="CK60" s="883"/>
      <c r="CL60" s="883"/>
      <c r="CM60" s="883" t="str">
        <f>IFERROR(__xludf.DUMMYFUNCTION("""COMPUTED_VALUE"""),"95.6% (2 weeks)")</f>
        <v>95.6% (2 weeks)</v>
      </c>
      <c r="CN60" s="883"/>
      <c r="CO60" s="883"/>
      <c r="CP60" s="883"/>
      <c r="CQ60" s="883"/>
      <c r="CR60" s="883"/>
      <c r="CS60" s="883"/>
      <c r="CT60" s="883" t="str">
        <f>IFERROR(__xludf.DUMMYFUNCTION("""COMPUTED_VALUE"""),"Kato-Katz Method")</f>
        <v>Kato-Katz Method</v>
      </c>
      <c r="CU60" s="883"/>
      <c r="CV60" s="863"/>
      <c r="CW60" s="863"/>
      <c r="CX60" s="863"/>
      <c r="CY60" s="863"/>
      <c r="CZ60" s="863"/>
      <c r="DA60" s="863"/>
      <c r="DB60" s="863"/>
      <c r="DC60" s="863"/>
      <c r="DD60" s="863"/>
      <c r="DE60" s="863"/>
    </row>
    <row r="61">
      <c r="A61" s="887" t="str">
        <f>IFERROR(__xludf.DUMMYFUNCTION("""COMPUTED_VALUE"""),"Jongsuksuntigul et al.")</f>
        <v>Jongsuksuntigul et al.</v>
      </c>
      <c r="B61" s="876" t="str">
        <f>IFERROR(__xludf.DUMMYFUNCTION("""COMPUTED_VALUE"""),"Thailand")</f>
        <v>Thailand</v>
      </c>
      <c r="C61" s="876" t="str">
        <f>IFERROR(__xludf.DUMMYFUNCTION("""COMPUTED_VALUE"""),"Mebendazole")</f>
        <v>Mebendazole</v>
      </c>
      <c r="D61" s="876" t="str">
        <f>IFERROR(__xludf.DUMMYFUNCTION("""COMPUTED_VALUE"""),"Single")</f>
        <v>Single</v>
      </c>
      <c r="E61" s="876" t="str">
        <f>IFERROR(__xludf.DUMMYFUNCTION("""COMPUTED_VALUE"""),"500 mg")</f>
        <v>500 mg</v>
      </c>
      <c r="F61" s="876">
        <f>IFERROR(__xludf.DUMMYFUNCTION("""COMPUTED_VALUE"""),53.0)</f>
        <v>53</v>
      </c>
      <c r="G61" s="876" t="str">
        <f>IFERROR(__xludf.DUMMYFUNCTION("""COMPUTED_VALUE"""),"3-80 ")</f>
        <v>3-80 </v>
      </c>
      <c r="H61" s="876" t="str">
        <f>IFERROR(__xludf.DUMMYFUNCTION("""COMPUTED_VALUE"""),"1:1")</f>
        <v>1:1</v>
      </c>
      <c r="I61" s="876">
        <f>IFERROR(__xludf.DUMMYFUNCTION("""COMPUTED_VALUE"""),1991.0)</f>
        <v>1991</v>
      </c>
      <c r="J61" s="876" t="str">
        <f>IFERROR(__xludf.DUMMYFUNCTION("""COMPUTED_VALUE"""),"Had single or multiple infections of hookworm")</f>
        <v>Had single or multiple infections of hookworm</v>
      </c>
      <c r="K61" s="876" t="str">
        <f>IFERROR(__xludf.DUMMYFUNCTION("""COMPUTED_VALUE"""),"randomized comparative")</f>
        <v>randomized comparative</v>
      </c>
      <c r="L61" s="876" t="str">
        <f>IFERROR(__xludf.DUMMYFUNCTION("""COMPUTED_VALUE"""),"Yes")</f>
        <v>Yes</v>
      </c>
      <c r="M61" s="876" t="str">
        <f>IFERROR(__xludf.DUMMYFUNCTION("""COMPUTED_VALUE"""),"Yes")</f>
        <v>Yes</v>
      </c>
      <c r="N61" s="877">
        <f>IFERROR(__xludf.DUMMYFUNCTION("""COMPUTED_VALUE"""),0.302)</f>
        <v>0.302</v>
      </c>
      <c r="O61" s="876">
        <f>IFERROR(__xludf.DUMMYFUNCTION("""COMPUTED_VALUE"""),0.302)</f>
        <v>0.302</v>
      </c>
      <c r="P61" s="876"/>
      <c r="Q61" s="876"/>
      <c r="R61" s="876"/>
      <c r="S61" s="876"/>
      <c r="T61" s="876"/>
      <c r="U61" s="876"/>
      <c r="V61" s="876"/>
      <c r="W61" s="876">
        <f>IFERROR(__xludf.DUMMYFUNCTION("""COMPUTED_VALUE"""),0.704)</f>
        <v>0.704</v>
      </c>
      <c r="X61" s="876">
        <f>IFERROR(__xludf.DUMMYFUNCTION("""COMPUTED_VALUE"""),0.704)</f>
        <v>0.704</v>
      </c>
      <c r="Y61" s="876"/>
      <c r="Z61" s="876"/>
      <c r="AA61" s="876"/>
      <c r="AB61" s="876"/>
      <c r="AC61" s="876"/>
      <c r="AD61" s="876"/>
      <c r="AE61" s="876" t="str">
        <f>IFERROR(__xludf.DUMMYFUNCTION("""COMPUTED_VALUE"""),"Both MB and ALB are safe and no side effects were observed. Albendazoleis the preferred benzimidazole derivative for hookworm. ")</f>
        <v>Both MB and ALB are safe and no side effects were observed. Albendazoleis the preferred benzimidazole derivative for hookworm. </v>
      </c>
      <c r="AF61" s="876" t="str">
        <f>IFERROR(__xludf.DUMMYFUNCTION("""COMPUTED_VALUE"""),"Kato-Katz technique")</f>
        <v>Kato-Katz technique</v>
      </c>
      <c r="AG61" s="876" t="str">
        <f>IFERROR(__xludf.DUMMYFUNCTION("""COMPUTED_VALUE"""),"Jongsuksuntigul, P., Jeradit, C., Pornpattanakul, S., and Charanasri, U. “A comparative study on the efficacy of Albendazoleand Mebendazolein the treatment of ascariasis, hookworm infection and trichuriasis.” The Southest Asian Journey of Tropical Medicin"&amp;"e and Public Health 24(4) (1994) 724-9. Web.")</f>
        <v>Jongsuksuntigul, P., Jeradit, C., Pornpattanakul, S., and Charanasri, U. “A comparative study on the efficacy of Albendazoleand Mebendazolein the treatment of ascariasis, hookworm infection and trichuriasis.” The Southest Asian Journey of Tropical Medicine and Public Health 24(4) (1994) 724-9. Web.</v>
      </c>
      <c r="AH61" s="876"/>
      <c r="AI61" s="878"/>
      <c r="AJ61" s="888" t="str">
        <f>IFERROR(__xludf.DUMMYFUNCTION("""COMPUTED_VALUE"""),"Kurup et al.")</f>
        <v>Kurup et al.</v>
      </c>
      <c r="AK61" s="880" t="str">
        <f>IFERROR(__xludf.DUMMYFUNCTION("""COMPUTED_VALUE"""),"Kurup, Rajini, and Gurdip S. Hunjan. ""Epidemiology and Control of Schistosomiasis and Other Intestinal Parasitic Infections among School Children in Three Rural Villages of South Saint Lucia."" J Vector Borne Dis 47 (2010): 228-34. Web.")</f>
        <v>Kurup, Rajini, and Gurdip S. Hunjan. "Epidemiology and Control of Schistosomiasis and Other Intestinal Parasitic Infections among School Children in Three Rural Villages of South Saint Lucia." J Vector Borne Dis 47 (2010): 228-34. Web.</v>
      </c>
      <c r="AL61" s="880" t="str">
        <f>IFERROR(__xludf.DUMMYFUNCTION("""COMPUTED_VALUE"""),"Saint Lucia")</f>
        <v>Saint Lucia</v>
      </c>
      <c r="AM61" s="880" t="str">
        <f>IFERROR(__xludf.DUMMYFUNCTION("""COMPUTED_VALUE"""),"Albendazole")</f>
        <v>Albendazole</v>
      </c>
      <c r="AN61" s="880" t="str">
        <f>IFERROR(__xludf.DUMMYFUNCTION("""COMPUTED_VALUE"""),"Single")</f>
        <v>Single</v>
      </c>
      <c r="AO61" s="880" t="str">
        <f>IFERROR(__xludf.DUMMYFUNCTION("""COMPUTED_VALUE"""),"400 mg")</f>
        <v>400 mg</v>
      </c>
      <c r="AP61" s="880">
        <f>IFERROR(__xludf.DUMMYFUNCTION("""COMPUTED_VALUE"""),29.0)</f>
        <v>29</v>
      </c>
      <c r="AQ61" s="880" t="str">
        <f>IFERROR(__xludf.DUMMYFUNCTION("""COMPUTED_VALUE"""),"5- 14 years old")</f>
        <v>5- 14 years old</v>
      </c>
      <c r="AR61" s="880" t="str">
        <f>IFERROR(__xludf.DUMMYFUNCTION("""COMPUTED_VALUE"""),"Male:9 Female:20")</f>
        <v>Male:9 Female:20</v>
      </c>
      <c r="AS61" s="880">
        <f>IFERROR(__xludf.DUMMYFUNCTION("""COMPUTED_VALUE"""),2010.0)</f>
        <v>2010</v>
      </c>
      <c r="AT61" s="880"/>
      <c r="AU61" s="880" t="str">
        <f>IFERROR(__xludf.DUMMYFUNCTION("""COMPUTED_VALUE"""),"No")</f>
        <v>No</v>
      </c>
      <c r="AV61" s="880" t="str">
        <f>IFERROR(__xludf.DUMMYFUNCTION("""COMPUTED_VALUE"""),"No")</f>
        <v>No</v>
      </c>
      <c r="AW61" s="881" t="str">
        <f>IFERROR(__xludf.DUMMYFUNCTION("""COMPUTED_VALUE"""),"trial, no control")</f>
        <v>trial, no control</v>
      </c>
      <c r="AX61" s="863"/>
      <c r="AY61" s="863"/>
      <c r="AZ61" s="863"/>
      <c r="BA61" s="863"/>
      <c r="BB61" s="863"/>
      <c r="BC61" s="863"/>
      <c r="BD61" s="863"/>
      <c r="BE61" s="863"/>
      <c r="BF61" s="863">
        <f>IFERROR(__xludf.DUMMYFUNCTION("""COMPUTED_VALUE"""),0.827)</f>
        <v>0.827</v>
      </c>
      <c r="BG61" s="863"/>
      <c r="BH61" s="863">
        <f>IFERROR(__xludf.DUMMYFUNCTION("""COMPUTED_VALUE"""),0.84)</f>
        <v>0.84</v>
      </c>
      <c r="BI61" s="863"/>
      <c r="BJ61" s="863"/>
      <c r="BK61" s="863"/>
      <c r="BL61" s="863"/>
      <c r="BM61" s="863"/>
      <c r="BN61" s="863"/>
      <c r="BO61" s="863" t="str">
        <f>IFERROR(__xludf.DUMMYFUNCTION("""COMPUTED_VALUE"""),"Kato-Katz Method and Parasep concentration")</f>
        <v>Kato-Katz Method and Parasep concentration</v>
      </c>
      <c r="BP61" s="880" t="str">
        <f>IFERROR(__xludf.DUMMYFUNCTION("""COMPUTED_VALUE"""),"x")</f>
        <v>x</v>
      </c>
      <c r="BQ61" s="863"/>
      <c r="BR61" s="889" t="str">
        <f>IFERROR(__xludf.DUMMYFUNCTION("""COMPUTED_VALUE"""),"Roccignol et al.")</f>
        <v>Roccignol et al.</v>
      </c>
      <c r="BS61" s="883" t="str">
        <f>IFERROR(__xludf.DUMMYFUNCTION("""COMPUTED_VALUE"""),"Multi-centre: France, Morocco, Mali, Sengal, Nigeria, Central African Republic, Kenya, Brazil, Peru, Mexico, Phillipines")</f>
        <v>Multi-centre: France, Morocco, Mali, Sengal, Nigeria, Central African Republic, Kenya, Brazil, Peru, Mexico, Phillipines</v>
      </c>
      <c r="BT61" s="883" t="str">
        <f>IFERROR(__xludf.DUMMYFUNCTION("""COMPUTED_VALUE"""),"Albendazole")</f>
        <v>Albendazole</v>
      </c>
      <c r="BU61" s="883"/>
      <c r="BV61" s="883" t="str">
        <f>IFERROR(__xludf.DUMMYFUNCTION("""COMPUTED_VALUE"""),"Single")</f>
        <v>Single</v>
      </c>
      <c r="BW61" s="883" t="str">
        <f>IFERROR(__xludf.DUMMYFUNCTION("""COMPUTED_VALUE"""),"400 mg")</f>
        <v>400 mg</v>
      </c>
      <c r="BX61" s="883">
        <f>IFERROR(__xludf.DUMMYFUNCTION("""COMPUTED_VALUE"""),58.0)</f>
        <v>58</v>
      </c>
      <c r="BY61" s="883" t="str">
        <f>IFERROR(__xludf.DUMMYFUNCTION("""COMPUTED_VALUE"""),"Adults")</f>
        <v>Adults</v>
      </c>
      <c r="BZ61" s="883"/>
      <c r="CA61" s="883" t="str">
        <f>IFERROR(__xludf.DUMMYFUNCTION("""COMPUTED_VALUE"""),"Both Males and Females")</f>
        <v>Both Males and Females</v>
      </c>
      <c r="CB61" s="883"/>
      <c r="CC61" s="883" t="str">
        <f>IFERROR(__xludf.DUMMYFUNCTION("""COMPUTED_VALUE"""),"Yes")</f>
        <v>Yes</v>
      </c>
      <c r="CD61" s="884">
        <f>IFERROR(__xludf.DUMMYFUNCTION("""COMPUTED_VALUE"""),0.965)</f>
        <v>0.965</v>
      </c>
      <c r="CE61" s="883" t="str">
        <f>IFERROR(__xludf.DUMMYFUNCTION("""COMPUTED_VALUE"""),"Yes")</f>
        <v>Yes</v>
      </c>
      <c r="CF61" s="883"/>
      <c r="CG61" s="884">
        <f>IFERROR(__xludf.DUMMYFUNCTION("""COMPUTED_VALUE"""),0.965)</f>
        <v>0.965</v>
      </c>
      <c r="CH61" s="883"/>
      <c r="CI61" s="883"/>
      <c r="CJ61" s="883"/>
      <c r="CK61" s="883"/>
      <c r="CL61" s="883"/>
      <c r="CM61" s="883"/>
      <c r="CN61" s="884">
        <f>IFERROR(__xludf.DUMMYFUNCTION("""COMPUTED_VALUE"""),0.999)</f>
        <v>0.999</v>
      </c>
      <c r="CO61" s="883"/>
      <c r="CP61" s="883"/>
      <c r="CQ61" s="883"/>
      <c r="CR61" s="883"/>
      <c r="CS61" s="883"/>
      <c r="CT61" s="883" t="str">
        <f>IFERROR(__xludf.DUMMYFUNCTION("""COMPUTED_VALUE""")," Cluster randomisation, Kato technique")</f>
        <v> Cluster randomisation, Kato technique</v>
      </c>
      <c r="CU61" s="883" t="str">
        <f>IFERROR(__xludf.DUMMYFUNCTION("""COMPUTED_VALUE""")," ")</f>
        <v> </v>
      </c>
      <c r="CV61" s="863"/>
      <c r="CW61" s="863"/>
      <c r="CX61" s="863"/>
      <c r="CY61" s="863"/>
      <c r="CZ61" s="863"/>
      <c r="DA61" s="863"/>
      <c r="DB61" s="863"/>
      <c r="DC61" s="863"/>
      <c r="DD61" s="863"/>
      <c r="DE61" s="863"/>
    </row>
    <row r="62">
      <c r="A62" s="887" t="str">
        <f>IFERROR(__xludf.DUMMYFUNCTION("""COMPUTED_VALUE"""),"Jongsuksuntigul et al.")</f>
        <v>Jongsuksuntigul et al.</v>
      </c>
      <c r="B62" s="876" t="str">
        <f>IFERROR(__xludf.DUMMYFUNCTION("""COMPUTED_VALUE"""),"Thailand")</f>
        <v>Thailand</v>
      </c>
      <c r="C62" s="876" t="str">
        <f>IFERROR(__xludf.DUMMYFUNCTION("""COMPUTED_VALUE"""),"Albendazole")</f>
        <v>Albendazole</v>
      </c>
      <c r="D62" s="876" t="str">
        <f>IFERROR(__xludf.DUMMYFUNCTION("""COMPUTED_VALUE"""),"Single")</f>
        <v>Single</v>
      </c>
      <c r="E62" s="876" t="str">
        <f>IFERROR(__xludf.DUMMYFUNCTION("""COMPUTED_VALUE"""),"400 mg")</f>
        <v>400 mg</v>
      </c>
      <c r="F62" s="876">
        <f>IFERROR(__xludf.DUMMYFUNCTION("""COMPUTED_VALUE"""),51.0)</f>
        <v>51</v>
      </c>
      <c r="G62" s="876" t="str">
        <f>IFERROR(__xludf.DUMMYFUNCTION("""COMPUTED_VALUE"""),"3-80 ")</f>
        <v>3-80 </v>
      </c>
      <c r="H62" s="876" t="str">
        <f>IFERROR(__xludf.DUMMYFUNCTION("""COMPUTED_VALUE"""),"1:1")</f>
        <v>1:1</v>
      </c>
      <c r="I62" s="876">
        <f>IFERROR(__xludf.DUMMYFUNCTION("""COMPUTED_VALUE"""),1991.0)</f>
        <v>1991</v>
      </c>
      <c r="J62" s="876" t="str">
        <f>IFERROR(__xludf.DUMMYFUNCTION("""COMPUTED_VALUE"""),"Had single or multiple infections of hookworm")</f>
        <v>Had single or multiple infections of hookworm</v>
      </c>
      <c r="K62" s="876" t="str">
        <f>IFERROR(__xludf.DUMMYFUNCTION("""COMPUTED_VALUE"""),"randomized comparative")</f>
        <v>randomized comparative</v>
      </c>
      <c r="L62" s="876" t="str">
        <f>IFERROR(__xludf.DUMMYFUNCTION("""COMPUTED_VALUE"""),"Yes")</f>
        <v>Yes</v>
      </c>
      <c r="M62" s="876" t="str">
        <f>IFERROR(__xludf.DUMMYFUNCTION("""COMPUTED_VALUE"""),"Yes")</f>
        <v>Yes</v>
      </c>
      <c r="N62" s="877">
        <f>IFERROR(__xludf.DUMMYFUNCTION("""COMPUTED_VALUE"""),0.843)</f>
        <v>0.843</v>
      </c>
      <c r="O62" s="876">
        <f>IFERROR(__xludf.DUMMYFUNCTION("""COMPUTED_VALUE"""),0.843)</f>
        <v>0.843</v>
      </c>
      <c r="P62" s="876"/>
      <c r="Q62" s="876"/>
      <c r="R62" s="876"/>
      <c r="S62" s="876"/>
      <c r="T62" s="876"/>
      <c r="U62" s="876"/>
      <c r="V62" s="876"/>
      <c r="W62" s="876">
        <f>IFERROR(__xludf.DUMMYFUNCTION("""COMPUTED_VALUE"""),0.96)</f>
        <v>0.96</v>
      </c>
      <c r="X62" s="876">
        <f>IFERROR(__xludf.DUMMYFUNCTION("""COMPUTED_VALUE"""),0.96)</f>
        <v>0.96</v>
      </c>
      <c r="Y62" s="876"/>
      <c r="Z62" s="876"/>
      <c r="AA62" s="876"/>
      <c r="AB62" s="876"/>
      <c r="AC62" s="876"/>
      <c r="AD62" s="876"/>
      <c r="AE62" s="876" t="str">
        <f>IFERROR(__xludf.DUMMYFUNCTION("""COMPUTED_VALUE"""),"Both MB and ALB are safe and no side effects were observed. Albendazoleis the preferred benzimidazole derivative for hookworm. ")</f>
        <v>Both MB and ALB are safe and no side effects were observed. Albendazoleis the preferred benzimidazole derivative for hookworm. </v>
      </c>
      <c r="AF62" s="876" t="str">
        <f>IFERROR(__xludf.DUMMYFUNCTION("""COMPUTED_VALUE"""),"Kato-Katz technique")</f>
        <v>Kato-Katz technique</v>
      </c>
      <c r="AG62" s="876" t="str">
        <f>IFERROR(__xludf.DUMMYFUNCTION("""COMPUTED_VALUE"""),"Jongsuksuntigul, P., Jeradit, C., Pornpattanakul, S., and Charanasri, U. “A comparative study on the efficacy of Albendazoleand Mebendazolein the treatment of ascariasis, hookworm infection and trichuriasis.” The Southest Asian Journey of Tropical Medicin"&amp;"e and Public Health 24(4) (1994) 724-9. Web.")</f>
        <v>Jongsuksuntigul, P., Jeradit, C., Pornpattanakul, S., and Charanasri, U. “A comparative study on the efficacy of Albendazoleand Mebendazolein the treatment of ascariasis, hookworm infection and trichuriasis.” The Southest Asian Journey of Tropical Medicine and Public Health 24(4) (1994) 724-9. Web.</v>
      </c>
      <c r="AH62" s="876"/>
      <c r="AI62" s="878"/>
      <c r="AJ62" s="888" t="str">
        <f>IFERROR(__xludf.DUMMYFUNCTION("""COMPUTED_VALUE"""),"Vercruysse et al.")</f>
        <v>Vercruysse et al.</v>
      </c>
      <c r="AK62" s="880" t="str">
        <f>IFERROR(__xludf.DUMMYFUNCTION("""COMPUTED_VALUE"""),"Vercruysse, Jozef, Jerzy M. Behnke, Marco Albonico, Shaali Makame Ame, Cecile Angelbault, Jeffrey M. Bethony, Dirk Engels, Bertrand Guillard, Nuyen Thi Viet Hoa, Gagandeep Kang, Deepthi Kattula, Andrew C. Kotze, James S. McCarthy, Zeleke Mekonnen, Antonio"&amp;" Montresor, Maria Victoria Periago, Laurentine Sumo, Louis-Albert Tchuem Tchuente, Dang Thi Cam Thach, Ahmed Zeynudin, and Bruno Levecke. ""Assessment of the Anthelmintic Efficacy of Albendazolein School Children in Seven Countries Where Soil-transmitted "&amp;"Helminths Are Endemic."" PLOS Neglected Tropical Diseases. N.p., n.d. Web. March 2011, Volume 5 Issue 3, Pages 1-10")</f>
        <v>Vercruysse, Jozef, Jerzy M. Behnke, Marco Albonico, Shaali Makame Ame, Cecile Angelbault, Jeffrey M. Bethony, Dirk Engels, Bertrand Guillard, Nuyen Thi Viet Hoa, Gagandeep Kang, Deepthi Kattula, Andrew C. Kotze, James S. McCarthy, Zeleke Mekonnen, Antonio Montresor, Maria Victoria Periago, Laurentine Sumo, Louis-Albert Tchuem Tchuente, Dang Thi Cam Thach, Ahmed Zeynudin, and Bruno Levecke. "Assessment of the Anthelmintic Efficacy of Albendazolein School Children in Seven Countries Where Soil-transmitted Helminths Are Endemic." PLOS Neglected Tropical Diseases. N.p., n.d. Web. March 2011, Volume 5 Issue 3, Pages 1-10</v>
      </c>
      <c r="AL62" s="880" t="str">
        <f>IFERROR(__xludf.DUMMYFUNCTION("""COMPUTED_VALUE"""),"Brazil")</f>
        <v>Brazil</v>
      </c>
      <c r="AM62" s="880" t="str">
        <f>IFERROR(__xludf.DUMMYFUNCTION("""COMPUTED_VALUE"""),"Albendazole")</f>
        <v>Albendazole</v>
      </c>
      <c r="AN62" s="880" t="str">
        <f>IFERROR(__xludf.DUMMYFUNCTION("""COMPUTED_VALUE"""),"Single")</f>
        <v>Single</v>
      </c>
      <c r="AO62" s="880" t="str">
        <f>IFERROR(__xludf.DUMMYFUNCTION("""COMPUTED_VALUE"""),"400 mg")</f>
        <v>400 mg</v>
      </c>
      <c r="AP62" s="880">
        <f>IFERROR(__xludf.DUMMYFUNCTION("""COMPUTED_VALUE"""),94.0)</f>
        <v>94</v>
      </c>
      <c r="AQ62" s="880" t="str">
        <f>IFERROR(__xludf.DUMMYFUNCTION("""COMPUTED_VALUE"""),"4-18 years old")</f>
        <v>4-18 years old</v>
      </c>
      <c r="AR62" s="880" t="str">
        <f>IFERROR(__xludf.DUMMYFUNCTION("""COMPUTED_VALUE"""),"Male:543 Female:503")</f>
        <v>Male:543 Female:503</v>
      </c>
      <c r="AS62" s="880">
        <f>IFERROR(__xludf.DUMMYFUNCTION("""COMPUTED_VALUE"""),2009.0)</f>
        <v>2009</v>
      </c>
      <c r="AT62" s="880"/>
      <c r="AU62" s="880" t="str">
        <f>IFERROR(__xludf.DUMMYFUNCTION("""COMPUTED_VALUE"""),"No")</f>
        <v>No</v>
      </c>
      <c r="AV62" s="880" t="str">
        <f>IFERROR(__xludf.DUMMYFUNCTION("""COMPUTED_VALUE"""),"No")</f>
        <v>No</v>
      </c>
      <c r="AW62" s="881" t="str">
        <f>IFERROR(__xludf.DUMMYFUNCTION("""COMPUTED_VALUE"""),"trial, no control")</f>
        <v>trial, no control</v>
      </c>
      <c r="AX62" s="863">
        <f>IFERROR(__xludf.DUMMYFUNCTION("""COMPUTED_VALUE"""),1.0)</f>
        <v>1</v>
      </c>
      <c r="AY62" s="863"/>
      <c r="AZ62" s="863">
        <f>IFERROR(__xludf.DUMMYFUNCTION("""COMPUTED_VALUE"""),1.0)</f>
        <v>1</v>
      </c>
      <c r="BA62" s="863"/>
      <c r="BB62" s="863"/>
      <c r="BC62" s="863"/>
      <c r="BD62" s="863"/>
      <c r="BE62" s="863"/>
      <c r="BF62" s="863"/>
      <c r="BG62" s="863"/>
      <c r="BH62" s="863">
        <f>IFERROR(__xludf.DUMMYFUNCTION("""COMPUTED_VALUE"""),1.0)</f>
        <v>1</v>
      </c>
      <c r="BI62" s="863"/>
      <c r="BJ62" s="863"/>
      <c r="BK62" s="863"/>
      <c r="BL62" s="863"/>
      <c r="BM62" s="863"/>
      <c r="BN62" s="863"/>
      <c r="BO62" s="863" t="str">
        <f>IFERROR(__xludf.DUMMYFUNCTION("""COMPUTED_VALUE"""),"McMaster Method")</f>
        <v>McMaster Method</v>
      </c>
      <c r="BP62" s="880" t="str">
        <f>IFERROR(__xludf.DUMMYFUNCTION("""COMPUTED_VALUE"""),"x")</f>
        <v>x</v>
      </c>
      <c r="BQ62" s="863"/>
      <c r="BR62" s="889" t="str">
        <f>IFERROR(__xludf.DUMMYFUNCTION("""COMPUTED_VALUE"""),"Roccignol et al.")</f>
        <v>Roccignol et al.</v>
      </c>
      <c r="BS62" s="883" t="str">
        <f>IFERROR(__xludf.DUMMYFUNCTION("""COMPUTED_VALUE"""),"Multi-centre: France, Morocco, Mali, Sengal, Nigeria, Central African Republic, Kenya, Brazil, Peru, Mexico, Phillipines")</f>
        <v>Multi-centre: France, Morocco, Mali, Sengal, Nigeria, Central African Republic, Kenya, Brazil, Peru, Mexico, Phillipines</v>
      </c>
      <c r="BT62" s="883" t="str">
        <f>IFERROR(__xludf.DUMMYFUNCTION("""COMPUTED_VALUE"""),"Albendazole")</f>
        <v>Albendazole</v>
      </c>
      <c r="BU62" s="883"/>
      <c r="BV62" s="883" t="str">
        <f>IFERROR(__xludf.DUMMYFUNCTION("""COMPUTED_VALUE"""),"Single")</f>
        <v>Single</v>
      </c>
      <c r="BW62" s="883" t="str">
        <f>IFERROR(__xludf.DUMMYFUNCTION("""COMPUTED_VALUE"""),"400 mg")</f>
        <v>400 mg</v>
      </c>
      <c r="BX62" s="883">
        <f>IFERROR(__xludf.DUMMYFUNCTION("""COMPUTED_VALUE"""),7.0)</f>
        <v>7</v>
      </c>
      <c r="BY62" s="883" t="str">
        <f>IFERROR(__xludf.DUMMYFUNCTION("""COMPUTED_VALUE"""),"School Children")</f>
        <v>School Children</v>
      </c>
      <c r="BZ62" s="883"/>
      <c r="CA62" s="883"/>
      <c r="CB62" s="883"/>
      <c r="CC62" s="883" t="str">
        <f>IFERROR(__xludf.DUMMYFUNCTION("""COMPUTED_VALUE"""),"Yes")</f>
        <v>Yes</v>
      </c>
      <c r="CD62" s="884">
        <f>IFERROR(__xludf.DUMMYFUNCTION("""COMPUTED_VALUE"""),1.0)</f>
        <v>1</v>
      </c>
      <c r="CE62" s="883" t="str">
        <f>IFERROR(__xludf.DUMMYFUNCTION("""COMPUTED_VALUE"""),"Yes")</f>
        <v>Yes</v>
      </c>
      <c r="CF62" s="883"/>
      <c r="CG62" s="891">
        <f>IFERROR(__xludf.DUMMYFUNCTION("""COMPUTED_VALUE"""),1.0)</f>
        <v>1</v>
      </c>
      <c r="CH62" s="883"/>
      <c r="CI62" s="883"/>
      <c r="CJ62" s="883"/>
      <c r="CK62" s="883"/>
      <c r="CL62" s="883"/>
      <c r="CM62" s="883"/>
      <c r="CN62" s="884">
        <f>IFERROR(__xludf.DUMMYFUNCTION("""COMPUTED_VALUE"""),1.0)</f>
        <v>1</v>
      </c>
      <c r="CO62" s="883"/>
      <c r="CP62" s="883"/>
      <c r="CQ62" s="883"/>
      <c r="CR62" s="883"/>
      <c r="CS62" s="883"/>
      <c r="CT62" s="883"/>
      <c r="CU62" s="883"/>
      <c r="CV62" s="863"/>
      <c r="CW62" s="863"/>
      <c r="CX62" s="863"/>
      <c r="CY62" s="863"/>
      <c r="CZ62" s="863"/>
      <c r="DA62" s="863"/>
      <c r="DB62" s="863"/>
      <c r="DC62" s="863"/>
      <c r="DD62" s="863"/>
      <c r="DE62" s="863"/>
    </row>
    <row r="63">
      <c r="A63" s="887" t="str">
        <f>IFERROR(__xludf.DUMMYFUNCTION("""COMPUTED_VALUE"""),"Kurup et al. ")</f>
        <v>Kurup et al. </v>
      </c>
      <c r="B63" s="876" t="str">
        <f>IFERROR(__xludf.DUMMYFUNCTION("""COMPUTED_VALUE"""),"Saint Lucia")</f>
        <v>Saint Lucia</v>
      </c>
      <c r="C63" s="876" t="str">
        <f>IFERROR(__xludf.DUMMYFUNCTION("""COMPUTED_VALUE"""),"Albendazole &amp; Praziquantel")</f>
        <v>Albendazole &amp; Praziquantel</v>
      </c>
      <c r="D63" s="876" t="str">
        <f>IFERROR(__xludf.DUMMYFUNCTION("""COMPUTED_VALUE"""),"Single")</f>
        <v>Single</v>
      </c>
      <c r="E63" s="876" t="str">
        <f>IFERROR(__xludf.DUMMYFUNCTION("""COMPUTED_VALUE"""),"400 mg; 40 mg")</f>
        <v>400 mg; 40 mg</v>
      </c>
      <c r="F63" s="876">
        <f>IFERROR(__xludf.DUMMYFUNCTION("""COMPUTED_VALUE"""),73.0)</f>
        <v>73</v>
      </c>
      <c r="G63" s="876">
        <f>IFERROR(__xludf.DUMMYFUNCTION("""COMPUTED_VALUE"""),42509.0)</f>
        <v>42509</v>
      </c>
      <c r="H63" s="876" t="str">
        <f>IFERROR(__xludf.DUMMYFUNCTION("""COMPUTED_VALUE"""),"37:36")</f>
        <v>37:36</v>
      </c>
      <c r="I63" s="876">
        <f>IFERROR(__xludf.DUMMYFUNCTION("""COMPUTED_VALUE"""),2006.0)</f>
        <v>2006</v>
      </c>
      <c r="J63" s="876" t="str">
        <f>IFERROR(__xludf.DUMMYFUNCTION("""COMPUTED_VALUE"""),"Bellvue village has one secondary school and 2 day care centers, Grace has one secondary school and Vigier has one primary school. A total of 554 children attending the schools were examined.")</f>
        <v>Bellvue village has one secondary school and 2 day care centers, Grace has one secondary school and Vigier has one primary school. A total of 554 children attending the schools were examined.</v>
      </c>
      <c r="K63" s="876" t="str">
        <f>IFERROR(__xludf.DUMMYFUNCTION("""COMPUTED_VALUE"""),"randomized controlled trial")</f>
        <v>randomized controlled trial</v>
      </c>
      <c r="L63" s="876" t="str">
        <f>IFERROR(__xludf.DUMMYFUNCTION("""COMPUTED_VALUE"""),"Yes")</f>
        <v>Yes</v>
      </c>
      <c r="M63" s="876" t="str">
        <f>IFERROR(__xludf.DUMMYFUNCTION("""COMPUTED_VALUE"""),"No")</f>
        <v>No</v>
      </c>
      <c r="N63" s="877">
        <f>IFERROR(__xludf.DUMMYFUNCTION("""COMPUTED_VALUE"""),1.0)</f>
        <v>1</v>
      </c>
      <c r="O63" s="876"/>
      <c r="P63" s="876"/>
      <c r="Q63" s="876"/>
      <c r="R63" s="876"/>
      <c r="S63" s="876"/>
      <c r="T63" s="876"/>
      <c r="U63" s="876"/>
      <c r="V63" s="876">
        <f>IFERROR(__xludf.DUMMYFUNCTION("""COMPUTED_VALUE"""),1.0)</f>
        <v>1</v>
      </c>
      <c r="W63" s="876"/>
      <c r="X63" s="876"/>
      <c r="Y63" s="876"/>
      <c r="Z63" s="876"/>
      <c r="AA63" s="876"/>
      <c r="AB63" s="876"/>
      <c r="AC63" s="876">
        <f>IFERROR(__xludf.DUMMYFUNCTION("""COMPUTED_VALUE"""),1.0)</f>
        <v>1</v>
      </c>
      <c r="AD63" s="876"/>
      <c r="AE63" s="876" t="str">
        <f>IFERROR(__xludf.DUMMYFUNCTION("""COMPUTED_VALUE"""),"Body weight plays a large role in effectiveness ")</f>
        <v>Body weight plays a large role in effectiveness </v>
      </c>
      <c r="AF63" s="876" t="str">
        <f>IFERROR(__xludf.DUMMYFUNCTION("""COMPUTED_VALUE"""),"Kato-Katz Method and Parasep concentration method")</f>
        <v>Kato-Katz Method and Parasep concentration method</v>
      </c>
      <c r="AG63" s="876" t="str">
        <f>IFERROR(__xludf.DUMMYFUNCTION("""COMPUTED_VALUE"""),"Kurup, Rajini, and Gurdip S. Hunjan. ""Epidemiology and Control of Schistosomiasis and Other Intestinal Parasitic Infections among School Children in Three Rural Villages of South Saint Lucia."" Epidemiology and Control of Schistosomiasis and Other Intest"&amp;"inal Parasitic Infections among School Children in Three Rural Villages of South Saint Lucia 46 (2012): 228-34. PubMed. Web.")</f>
        <v>Kurup, Rajini, and Gurdip S. Hunjan. "Epidemiology and Control of Schistosomiasis and Other Intestinal Parasitic Infections among School Children in Three Rural Villages of South Saint Lucia." Epidemiology and Control of Schistosomiasis and Other Intestinal Parasitic Infections among School Children in Three Rural Villages of South Saint Lucia 46 (2012): 228-34. PubMed. Web.</v>
      </c>
      <c r="AH63" s="876" t="str">
        <f>IFERROR(__xludf.DUMMYFUNCTION("""COMPUTED_VALUE"""),"x")</f>
        <v>x</v>
      </c>
      <c r="AI63" s="878"/>
      <c r="AJ63" s="888" t="str">
        <f>IFERROR(__xludf.DUMMYFUNCTION("""COMPUTED_VALUE"""),"Vercruysse et al.")</f>
        <v>Vercruysse et al.</v>
      </c>
      <c r="AK63" s="880"/>
      <c r="AL63" s="880" t="str">
        <f>IFERROR(__xludf.DUMMYFUNCTION("""COMPUTED_VALUE"""),"Cambodia")</f>
        <v>Cambodia</v>
      </c>
      <c r="AM63" s="880" t="str">
        <f>IFERROR(__xludf.DUMMYFUNCTION("""COMPUTED_VALUE"""),"Albendazole")</f>
        <v>Albendazole</v>
      </c>
      <c r="AN63" s="880" t="str">
        <f>IFERROR(__xludf.DUMMYFUNCTION("""COMPUTED_VALUE"""),"Single")</f>
        <v>Single</v>
      </c>
      <c r="AO63" s="880" t="str">
        <f>IFERROR(__xludf.DUMMYFUNCTION("""COMPUTED_VALUE"""),"400 mg")</f>
        <v>400 mg</v>
      </c>
      <c r="AP63" s="880">
        <f>IFERROR(__xludf.DUMMYFUNCTION("""COMPUTED_VALUE"""),129.0)</f>
        <v>129</v>
      </c>
      <c r="AQ63" s="880" t="str">
        <f>IFERROR(__xludf.DUMMYFUNCTION("""COMPUTED_VALUE"""),"4-18 years old")</f>
        <v>4-18 years old</v>
      </c>
      <c r="AR63" s="880" t="str">
        <f>IFERROR(__xludf.DUMMYFUNCTION("""COMPUTED_VALUE"""),"Male:543 Female:504")</f>
        <v>Male:543 Female:504</v>
      </c>
      <c r="AS63" s="880">
        <f>IFERROR(__xludf.DUMMYFUNCTION("""COMPUTED_VALUE"""),2009.0)</f>
        <v>2009</v>
      </c>
      <c r="AT63" s="880"/>
      <c r="AU63" s="880" t="str">
        <f>IFERROR(__xludf.DUMMYFUNCTION("""COMPUTED_VALUE"""),"No")</f>
        <v>No</v>
      </c>
      <c r="AV63" s="880" t="str">
        <f>IFERROR(__xludf.DUMMYFUNCTION("""COMPUTED_VALUE"""),"No")</f>
        <v>No</v>
      </c>
      <c r="AW63" s="881" t="str">
        <f>IFERROR(__xludf.DUMMYFUNCTION("""COMPUTED_VALUE"""),"trial, no control")</f>
        <v>trial, no control</v>
      </c>
      <c r="AX63" s="863">
        <f>IFERROR(__xludf.DUMMYFUNCTION("""COMPUTED_VALUE"""),1.0)</f>
        <v>1</v>
      </c>
      <c r="AY63" s="863"/>
      <c r="AZ63" s="863">
        <f>IFERROR(__xludf.DUMMYFUNCTION("""COMPUTED_VALUE"""),1.0)</f>
        <v>1</v>
      </c>
      <c r="BA63" s="863"/>
      <c r="BB63" s="863"/>
      <c r="BC63" s="863"/>
      <c r="BD63" s="863"/>
      <c r="BE63" s="863"/>
      <c r="BF63" s="863"/>
      <c r="BG63" s="863"/>
      <c r="BH63" s="863">
        <f>IFERROR(__xludf.DUMMYFUNCTION("""COMPUTED_VALUE"""),1.0)</f>
        <v>1</v>
      </c>
      <c r="BI63" s="863"/>
      <c r="BJ63" s="863"/>
      <c r="BK63" s="863"/>
      <c r="BL63" s="863"/>
      <c r="BM63" s="863"/>
      <c r="BN63" s="863"/>
      <c r="BO63" s="863" t="str">
        <f>IFERROR(__xludf.DUMMYFUNCTION("""COMPUTED_VALUE"""),"McMaster Method")</f>
        <v>McMaster Method</v>
      </c>
      <c r="BP63" s="880" t="str">
        <f>IFERROR(__xludf.DUMMYFUNCTION("""COMPUTED_VALUE"""),"x")</f>
        <v>x</v>
      </c>
      <c r="BQ63" s="863"/>
      <c r="BR63" s="889" t="str">
        <f>IFERROR(__xludf.DUMMYFUNCTION("""COMPUTED_VALUE"""),"Roccignol et al.")</f>
        <v>Roccignol et al.</v>
      </c>
      <c r="BS63" s="883" t="str">
        <f>IFERROR(__xludf.DUMMYFUNCTION("""COMPUTED_VALUE"""),"Multi-centre: France, Morocco, Mali, Sengal, Nigeria, Central African Republic, Kenya, Brazil, Peru, Mexico, Phillipines")</f>
        <v>Multi-centre: France, Morocco, Mali, Sengal, Nigeria, Central African Republic, Kenya, Brazil, Peru, Mexico, Phillipines</v>
      </c>
      <c r="BT63" s="883" t="str">
        <f>IFERROR(__xludf.DUMMYFUNCTION("""COMPUTED_VALUE"""),"Albendazole")</f>
        <v>Albendazole</v>
      </c>
      <c r="BU63" s="883"/>
      <c r="BV63" s="883" t="str">
        <f>IFERROR(__xludf.DUMMYFUNCTION("""COMPUTED_VALUE"""),"Single")</f>
        <v>Single</v>
      </c>
      <c r="BW63" s="883" t="str">
        <f>IFERROR(__xludf.DUMMYFUNCTION("""COMPUTED_VALUE"""),"400 mg")</f>
        <v>400 mg</v>
      </c>
      <c r="BX63" s="883">
        <f>IFERROR(__xludf.DUMMYFUNCTION("""COMPUTED_VALUE"""),40.0)</f>
        <v>40</v>
      </c>
      <c r="BY63" s="883" t="str">
        <f>IFERROR(__xludf.DUMMYFUNCTION("""COMPUTED_VALUE"""),"Adults")</f>
        <v>Adults</v>
      </c>
      <c r="BZ63" s="883"/>
      <c r="CA63" s="883"/>
      <c r="CB63" s="883"/>
      <c r="CC63" s="883" t="str">
        <f>IFERROR(__xludf.DUMMYFUNCTION("""COMPUTED_VALUE"""),"Yes")</f>
        <v>Yes</v>
      </c>
      <c r="CD63" s="884">
        <f>IFERROR(__xludf.DUMMYFUNCTION("""COMPUTED_VALUE"""),0.95)</f>
        <v>0.95</v>
      </c>
      <c r="CE63" s="883" t="str">
        <f>IFERROR(__xludf.DUMMYFUNCTION("""COMPUTED_VALUE"""),"Yes")</f>
        <v>Yes</v>
      </c>
      <c r="CF63" s="883"/>
      <c r="CG63" s="891">
        <f>IFERROR(__xludf.DUMMYFUNCTION("""COMPUTED_VALUE"""),0.95)</f>
        <v>0.95</v>
      </c>
      <c r="CH63" s="883"/>
      <c r="CI63" s="883"/>
      <c r="CJ63" s="883"/>
      <c r="CK63" s="883"/>
      <c r="CL63" s="883"/>
      <c r="CM63" s="883"/>
      <c r="CN63" s="884">
        <f>IFERROR(__xludf.DUMMYFUNCTION("""COMPUTED_VALUE"""),0.999)</f>
        <v>0.999</v>
      </c>
      <c r="CO63" s="883"/>
      <c r="CP63" s="883"/>
      <c r="CQ63" s="883"/>
      <c r="CR63" s="883"/>
      <c r="CS63" s="883"/>
      <c r="CT63" s="883"/>
      <c r="CU63" s="883"/>
      <c r="CV63" s="863"/>
      <c r="CW63" s="863"/>
      <c r="CX63" s="863"/>
      <c r="CY63" s="863"/>
      <c r="CZ63" s="863"/>
      <c r="DA63" s="863"/>
      <c r="DB63" s="863"/>
      <c r="DC63" s="863"/>
      <c r="DD63" s="863"/>
      <c r="DE63" s="863"/>
    </row>
    <row r="64">
      <c r="A64" s="887" t="str">
        <f>IFERROR(__xludf.DUMMYFUNCTION("""COMPUTED_VALUE"""),"Levecke et al.")</f>
        <v>Levecke et al.</v>
      </c>
      <c r="B64" s="876" t="str">
        <f>IFERROR(__xludf.DUMMYFUNCTION("""COMPUTED_VALUE"""),"Tanzania")</f>
        <v>Tanzania</v>
      </c>
      <c r="C64" s="876" t="str">
        <f>IFERROR(__xludf.DUMMYFUNCTION("""COMPUTED_VALUE"""),"Albendazole")</f>
        <v>Albendazole</v>
      </c>
      <c r="D64" s="876" t="str">
        <f>IFERROR(__xludf.DUMMYFUNCTION("""COMPUTED_VALUE"""),"Single")</f>
        <v>Single</v>
      </c>
      <c r="E64" s="876" t="str">
        <f>IFERROR(__xludf.DUMMYFUNCTION("""COMPUTED_VALUE"""),"400 mg")</f>
        <v>400 mg</v>
      </c>
      <c r="F64" s="876">
        <f>IFERROR(__xludf.DUMMYFUNCTION("""COMPUTED_VALUE"""),349.0)</f>
        <v>349</v>
      </c>
      <c r="G64" s="876">
        <f>IFERROR(__xludf.DUMMYFUNCTION("""COMPUTED_VALUE"""),10.8)</f>
        <v>10.8</v>
      </c>
      <c r="H64" s="876" t="str">
        <f>IFERROR(__xludf.DUMMYFUNCTION("""COMPUTED_VALUE"""),"93:0 ")</f>
        <v>93:0 </v>
      </c>
      <c r="I64" s="876">
        <f>IFERROR(__xludf.DUMMYFUNCTION("""COMPUTED_VALUE"""),2012.0)</f>
        <v>2012</v>
      </c>
      <c r="J64" s="876" t="str">
        <f>IFERROR(__xludf.DUMMYFUNCTION("""COMPUTED_VALUE"""),"excluded: Subjects who were not able to provide a stool sample for the follow-up, or who were experiencing a severe intercurrent medical condition or had diarrhea at the time of the first sampling, were excluded from the trial.")</f>
        <v>excluded: Subjects who were not able to provide a stool sample for the follow-up, or who were experiencing a severe intercurrent medical condition or had diarrhea at the time of the first sampling, were excluded from the trial.</v>
      </c>
      <c r="K64" s="876" t="str">
        <f>IFERROR(__xludf.DUMMYFUNCTION("""COMPUTED_VALUE"""),"randomized controlled trial")</f>
        <v>randomized controlled trial</v>
      </c>
      <c r="L64" s="876" t="str">
        <f>IFERROR(__xludf.DUMMYFUNCTION("""COMPUTED_VALUE"""),"Yes")</f>
        <v>Yes</v>
      </c>
      <c r="M64" s="876" t="str">
        <f>IFERROR(__xludf.DUMMYFUNCTION("""COMPUTED_VALUE"""),"No")</f>
        <v>No</v>
      </c>
      <c r="N64" s="877">
        <f>IFERROR(__xludf.DUMMYFUNCTION("""COMPUTED_VALUE"""),0.953)</f>
        <v>0.953</v>
      </c>
      <c r="O64" s="876"/>
      <c r="P64" s="876"/>
      <c r="Q64" s="876"/>
      <c r="R64" s="876"/>
      <c r="S64" s="876"/>
      <c r="T64" s="876"/>
      <c r="U64" s="876"/>
      <c r="V64" s="876"/>
      <c r="W64" s="876"/>
      <c r="X64" s="876"/>
      <c r="Y64" s="876"/>
      <c r="Z64" s="876"/>
      <c r="AA64" s="876"/>
      <c r="AB64" s="876"/>
      <c r="AC64" s="876"/>
      <c r="AD64" s="876"/>
      <c r="AE64" s="876" t="str">
        <f>IFERROR(__xludf.DUMMYFUNCTION("""COMPUTED_VALUE"""),"Overall, ALB resulted in statistically higher FECR rate against hookworm infections verse MEB")</f>
        <v>Overall, ALB resulted in statistically higher FECR rate against hookworm infections verse MEB</v>
      </c>
      <c r="AF64" s="876" t="str">
        <f>IFERROR(__xludf.DUMMYFUNCTION("""COMPUTED_VALUE"""),"McMaster Method                                          For hookworm the FECR of both drugs did not depend significantly on the mean FEC at pre-intervention")</f>
        <v>McMaster Method                                          For hookworm the FECR of both drugs did not depend significantly on the mean FEC at pre-intervention</v>
      </c>
      <c r="AG64" s="876" t="str">
        <f>IFERROR(__xludf.DUMMYFUNCTION("""COMPUTED_VALUE"""),"Levecke, Bruno, Antonio Montresor, Marco Albonico, Shaali M. Ame, Jerzy M. Behnke, Jeffrey M. Bethony, Calvine D. Noumedem, Dirk Engels, Bertrand Guillard, Andrew C. Kotze, Alejandro J. Krolewiecki, James S. McCarthy, Zeleke Mekonnen, Maria V. Periago, He"&amp;"m Sopheak, Louis Albert Tchuem-Tchuente, Tran Thanh Duong, Nguyen Thu Huong, Ahmed Zeynudin, and Jozef Vercuysse. ""Assessment of Anthelmintic Efficacy of Mebendazolein School Children in Six Countries Where Soil Transmitted Helminths Are Endemic."" PLOS "&amp;"Neglected Tropical Diseases 8.10 (2014): 1-11. Web.")</f>
        <v>Levecke, Bruno, Antonio Montresor, Marco Albonico, Shaali M. Ame, Jerzy M. Behnke, Jeffrey M. Bethony, Calvine D. Noumedem, Dirk Engels, Bertrand Guillard, Andrew C. Kotze, Alejandro J. Krolewiecki, James S. McCarthy, Zeleke Mekonnen, Maria V. Periago, Hem Sopheak, Louis Albert Tchuem-Tchuente, Tran Thanh Duong, Nguyen Thu Huong, Ahmed Zeynudin, and Jozef Vercuysse. "Assessment of Anthelmintic Efficacy of Mebendazolein School Children in Six Countries Where Soil Transmitted Helminths Are Endemic." PLOS Neglected Tropical Diseases 8.10 (2014): 1-11. Web.</v>
      </c>
      <c r="AH64" s="876" t="str">
        <f>IFERROR(__xludf.DUMMYFUNCTION("""COMPUTED_VALUE"""),"x")</f>
        <v>x</v>
      </c>
      <c r="AI64" s="878"/>
      <c r="AJ64" s="888" t="str">
        <f>IFERROR(__xludf.DUMMYFUNCTION("""COMPUTED_VALUE"""),"Vercruysse et al.")</f>
        <v>Vercruysse et al.</v>
      </c>
      <c r="AK64" s="880"/>
      <c r="AL64" s="880" t="str">
        <f>IFERROR(__xludf.DUMMYFUNCTION("""COMPUTED_VALUE"""),"Cameroon")</f>
        <v>Cameroon</v>
      </c>
      <c r="AM64" s="880" t="str">
        <f>IFERROR(__xludf.DUMMYFUNCTION("""COMPUTED_VALUE"""),"Albendazole")</f>
        <v>Albendazole</v>
      </c>
      <c r="AN64" s="880" t="str">
        <f>IFERROR(__xludf.DUMMYFUNCTION("""COMPUTED_VALUE"""),"Single")</f>
        <v>Single</v>
      </c>
      <c r="AO64" s="880" t="str">
        <f>IFERROR(__xludf.DUMMYFUNCTION("""COMPUTED_VALUE"""),"400 mg")</f>
        <v>400 mg</v>
      </c>
      <c r="AP64" s="880">
        <f>IFERROR(__xludf.DUMMYFUNCTION("""COMPUTED_VALUE"""),564.0)</f>
        <v>564</v>
      </c>
      <c r="AQ64" s="880" t="str">
        <f>IFERROR(__xludf.DUMMYFUNCTION("""COMPUTED_VALUE"""),"4-18 years old")</f>
        <v>4-18 years old</v>
      </c>
      <c r="AR64" s="880" t="str">
        <f>IFERROR(__xludf.DUMMYFUNCTION("""COMPUTED_VALUE"""),"Male:543 Female:505")</f>
        <v>Male:543 Female:505</v>
      </c>
      <c r="AS64" s="880">
        <f>IFERROR(__xludf.DUMMYFUNCTION("""COMPUTED_VALUE"""),2009.0)</f>
        <v>2009</v>
      </c>
      <c r="AT64" s="880"/>
      <c r="AU64" s="880" t="str">
        <f>IFERROR(__xludf.DUMMYFUNCTION("""COMPUTED_VALUE"""),"No")</f>
        <v>No</v>
      </c>
      <c r="AV64" s="880" t="str">
        <f>IFERROR(__xludf.DUMMYFUNCTION("""COMPUTED_VALUE"""),"No")</f>
        <v>No</v>
      </c>
      <c r="AW64" s="881" t="str">
        <f>IFERROR(__xludf.DUMMYFUNCTION("""COMPUTED_VALUE"""),"trial, no control")</f>
        <v>trial, no control</v>
      </c>
      <c r="AX64" s="863">
        <f>IFERROR(__xludf.DUMMYFUNCTION("""COMPUTED_VALUE"""),0.474)</f>
        <v>0.474</v>
      </c>
      <c r="AY64" s="863"/>
      <c r="AZ64" s="863">
        <f>IFERROR(__xludf.DUMMYFUNCTION("""COMPUTED_VALUE"""),0.474)</f>
        <v>0.474</v>
      </c>
      <c r="BA64" s="863"/>
      <c r="BB64" s="863"/>
      <c r="BC64" s="863"/>
      <c r="BD64" s="863"/>
      <c r="BE64" s="863"/>
      <c r="BF64" s="863"/>
      <c r="BG64" s="863"/>
      <c r="BH64" s="863">
        <f>IFERROR(__xludf.DUMMYFUNCTION("""COMPUTED_VALUE"""),0.392)</f>
        <v>0.392</v>
      </c>
      <c r="BI64" s="863"/>
      <c r="BJ64" s="863"/>
      <c r="BK64" s="863"/>
      <c r="BL64" s="863"/>
      <c r="BM64" s="863"/>
      <c r="BN64" s="863"/>
      <c r="BO64" s="863" t="str">
        <f>IFERROR(__xludf.DUMMYFUNCTION("""COMPUTED_VALUE"""),"McMaster Method")</f>
        <v>McMaster Method</v>
      </c>
      <c r="BP64" s="880" t="str">
        <f>IFERROR(__xludf.DUMMYFUNCTION("""COMPUTED_VALUE"""),"x")</f>
        <v>x</v>
      </c>
      <c r="BQ64" s="863"/>
      <c r="BR64" s="889" t="str">
        <f>IFERROR(__xludf.DUMMYFUNCTION("""COMPUTED_VALUE"""),"Roccignol et al.")</f>
        <v>Roccignol et al.</v>
      </c>
      <c r="BS64" s="883" t="str">
        <f>IFERROR(__xludf.DUMMYFUNCTION("""COMPUTED_VALUE"""),"Multi-centre: France, Morocco, Mali, Sengal, Nigeria, Central African Republic, Kenya, Brazil, Peru, Mexico, Phillipines")</f>
        <v>Multi-centre: France, Morocco, Mali, Sengal, Nigeria, Central African Republic, Kenya, Brazil, Peru, Mexico, Phillipines</v>
      </c>
      <c r="BT64" s="883" t="str">
        <f>IFERROR(__xludf.DUMMYFUNCTION("""COMPUTED_VALUE"""),"Albendazole")</f>
        <v>Albendazole</v>
      </c>
      <c r="BU64" s="883"/>
      <c r="BV64" s="883" t="str">
        <f>IFERROR(__xludf.DUMMYFUNCTION("""COMPUTED_VALUE"""),"Single")</f>
        <v>Single</v>
      </c>
      <c r="BW64" s="883" t="str">
        <f>IFERROR(__xludf.DUMMYFUNCTION("""COMPUTED_VALUE"""),"400 mg")</f>
        <v>400 mg</v>
      </c>
      <c r="BX64" s="883">
        <f>IFERROR(__xludf.DUMMYFUNCTION("""COMPUTED_VALUE"""),15.0)</f>
        <v>15</v>
      </c>
      <c r="BY64" s="883" t="str">
        <f>IFERROR(__xludf.DUMMYFUNCTION("""COMPUTED_VALUE"""),"School Children")</f>
        <v>School Children</v>
      </c>
      <c r="BZ64" s="883"/>
      <c r="CA64" s="883"/>
      <c r="CB64" s="883"/>
      <c r="CC64" s="883" t="str">
        <f>IFERROR(__xludf.DUMMYFUNCTION("""COMPUTED_VALUE"""),"Yes")</f>
        <v>Yes</v>
      </c>
      <c r="CD64" s="884">
        <f>IFERROR(__xludf.DUMMYFUNCTION("""COMPUTED_VALUE"""),0.8)</f>
        <v>0.8</v>
      </c>
      <c r="CE64" s="883" t="str">
        <f>IFERROR(__xludf.DUMMYFUNCTION("""COMPUTED_VALUE"""),"Yes")</f>
        <v>Yes</v>
      </c>
      <c r="CF64" s="883"/>
      <c r="CG64" s="891">
        <f>IFERROR(__xludf.DUMMYFUNCTION("""COMPUTED_VALUE"""),0.8)</f>
        <v>0.8</v>
      </c>
      <c r="CH64" s="883"/>
      <c r="CI64" s="883"/>
      <c r="CJ64" s="883"/>
      <c r="CK64" s="883"/>
      <c r="CL64" s="883"/>
      <c r="CM64" s="883"/>
      <c r="CN64" s="884">
        <f>IFERROR(__xludf.DUMMYFUNCTION("""COMPUTED_VALUE"""),0.917)</f>
        <v>0.917</v>
      </c>
      <c r="CO64" s="883"/>
      <c r="CP64" s="883"/>
      <c r="CQ64" s="883"/>
      <c r="CR64" s="883"/>
      <c r="CS64" s="883"/>
      <c r="CT64" s="883"/>
      <c r="CU64" s="883"/>
      <c r="CV64" s="863"/>
      <c r="CW64" s="863"/>
      <c r="CX64" s="863"/>
      <c r="CY64" s="863"/>
      <c r="CZ64" s="863"/>
      <c r="DA64" s="863"/>
      <c r="DB64" s="863"/>
      <c r="DC64" s="863"/>
      <c r="DD64" s="863"/>
      <c r="DE64" s="863"/>
    </row>
    <row r="65">
      <c r="A65" s="887" t="str">
        <f>IFERROR(__xludf.DUMMYFUNCTION("""COMPUTED_VALUE"""),"Levecke et al.")</f>
        <v>Levecke et al.</v>
      </c>
      <c r="B65" s="876" t="str">
        <f>IFERROR(__xludf.DUMMYFUNCTION("""COMPUTED_VALUE"""),"Tanzania")</f>
        <v>Tanzania</v>
      </c>
      <c r="C65" s="876" t="str">
        <f>IFERROR(__xludf.DUMMYFUNCTION("""COMPUTED_VALUE"""),"Mebendazole")</f>
        <v>Mebendazole</v>
      </c>
      <c r="D65" s="876" t="str">
        <f>IFERROR(__xludf.DUMMYFUNCTION("""COMPUTED_VALUE"""),"Single")</f>
        <v>Single</v>
      </c>
      <c r="E65" s="876" t="str">
        <f>IFERROR(__xludf.DUMMYFUNCTION("""COMPUTED_VALUE"""),"500 mg")</f>
        <v>500 mg</v>
      </c>
      <c r="F65" s="876">
        <f>IFERROR(__xludf.DUMMYFUNCTION("""COMPUTED_VALUE"""),226.0)</f>
        <v>226</v>
      </c>
      <c r="G65" s="876">
        <f>IFERROR(__xludf.DUMMYFUNCTION("""COMPUTED_VALUE"""),10.8)</f>
        <v>10.8</v>
      </c>
      <c r="H65" s="876">
        <f>IFERROR(__xludf.DUMMYFUNCTION("""COMPUTED_VALUE"""),0.06597222222222222)</f>
        <v>0.06597222222</v>
      </c>
      <c r="I65" s="876">
        <f>IFERROR(__xludf.DUMMYFUNCTION("""COMPUTED_VALUE"""),2012.0)</f>
        <v>2012</v>
      </c>
      <c r="J65" s="876"/>
      <c r="K65" s="876" t="str">
        <f>IFERROR(__xludf.DUMMYFUNCTION("""COMPUTED_VALUE"""),"open trial")</f>
        <v>open trial</v>
      </c>
      <c r="L65" s="876" t="str">
        <f>IFERROR(__xludf.DUMMYFUNCTION("""COMPUTED_VALUE"""),"No")</f>
        <v>No</v>
      </c>
      <c r="M65" s="876" t="str">
        <f>IFERROR(__xludf.DUMMYFUNCTION("""COMPUTED_VALUE"""),"No")</f>
        <v>No</v>
      </c>
      <c r="N65" s="877">
        <f>IFERROR(__xludf.DUMMYFUNCTION("""COMPUTED_VALUE"""),0.746)</f>
        <v>0.746</v>
      </c>
      <c r="O65" s="876"/>
      <c r="P65" s="876"/>
      <c r="Q65" s="876"/>
      <c r="R65" s="876"/>
      <c r="S65" s="876"/>
      <c r="T65" s="876"/>
      <c r="U65" s="876"/>
      <c r="V65" s="876"/>
      <c r="W65" s="876"/>
      <c r="X65" s="876"/>
      <c r="Y65" s="876"/>
      <c r="Z65" s="876"/>
      <c r="AA65" s="876"/>
      <c r="AB65" s="876"/>
      <c r="AC65" s="876"/>
      <c r="AD65" s="876"/>
      <c r="AE65" s="876" t="str">
        <f>IFERROR(__xludf.DUMMYFUNCTION("""COMPUTED_VALUE"""),"Overall, ALB resulted in statistically higher FECR rate against hookworm infections verse MEB")</f>
        <v>Overall, ALB resulted in statistically higher FECR rate against hookworm infections verse MEB</v>
      </c>
      <c r="AF65" s="876" t="str">
        <f>IFERROR(__xludf.DUMMYFUNCTION("""COMPUTED_VALUE"""),"McMaster Method                                          For hookworm the FECR of both drugs did not depend significantly on the mean FEC at pre-intervention")</f>
        <v>McMaster Method                                          For hookworm the FECR of both drugs did not depend significantly on the mean FEC at pre-intervention</v>
      </c>
      <c r="AG65" s="876" t="str">
        <f>IFERROR(__xludf.DUMMYFUNCTION("""COMPUTED_VALUE"""),"Levecke, Bruno, Antonio Montresor, Marco Albonico, Shaali M. Ame, Jerzy M. Behnke, Jeffrey M. Bethony, Calvine D. Noumedem, Dirk Engels, Bertrand Guillard, Andrew C. Kotze, Alejandro J. Krolewiecki, James S. McCarthy, Zeleke Mekonnen, Maria V. Periago, He"&amp;"m Sopheak, Louis Albert Tchuem-Tchuente, Tran Thanh Duong, Nguyen Thu Huong, Ahmed Zeynudin, and Jozef Vercuysse. ""Assessment of Anthelmintic Efficacy of Mebendazolein School Children in Six Countries Where Soil Transmitted Helminths Are Endemic."" PLOS "&amp;"Neglected Tropical Diseases 8.10 (2014): 1-11. Web.")</f>
        <v>Levecke, Bruno, Antonio Montresor, Marco Albonico, Shaali M. Ame, Jerzy M. Behnke, Jeffrey M. Bethony, Calvine D. Noumedem, Dirk Engels, Bertrand Guillard, Andrew C. Kotze, Alejandro J. Krolewiecki, James S. McCarthy, Zeleke Mekonnen, Maria V. Periago, Hem Sopheak, Louis Albert Tchuem-Tchuente, Tran Thanh Duong, Nguyen Thu Huong, Ahmed Zeynudin, and Jozef Vercuysse. "Assessment of Anthelmintic Efficacy of Mebendazolein School Children in Six Countries Where Soil Transmitted Helminths Are Endemic." PLOS Neglected Tropical Diseases 8.10 (2014): 1-11. Web.</v>
      </c>
      <c r="AH65" s="876" t="str">
        <f>IFERROR(__xludf.DUMMYFUNCTION("""COMPUTED_VALUE"""),"x")</f>
        <v>x</v>
      </c>
      <c r="AI65" s="878"/>
      <c r="AJ65" s="888" t="str">
        <f>IFERROR(__xludf.DUMMYFUNCTION("""COMPUTED_VALUE"""),"Vercruysse et al.")</f>
        <v>Vercruysse et al.</v>
      </c>
      <c r="AK65" s="880"/>
      <c r="AL65" s="880" t="str">
        <f>IFERROR(__xludf.DUMMYFUNCTION("""COMPUTED_VALUE"""),"Ethiopia")</f>
        <v>Ethiopia</v>
      </c>
      <c r="AM65" s="880" t="str">
        <f>IFERROR(__xludf.DUMMYFUNCTION("""COMPUTED_VALUE"""),"Albendazole")</f>
        <v>Albendazole</v>
      </c>
      <c r="AN65" s="880" t="str">
        <f>IFERROR(__xludf.DUMMYFUNCTION("""COMPUTED_VALUE"""),"Single")</f>
        <v>Single</v>
      </c>
      <c r="AO65" s="880" t="str">
        <f>IFERROR(__xludf.DUMMYFUNCTION("""COMPUTED_VALUE"""),"400 mg")</f>
        <v>400 mg</v>
      </c>
      <c r="AP65" s="880">
        <f>IFERROR(__xludf.DUMMYFUNCTION("""COMPUTED_VALUE"""),249.0)</f>
        <v>249</v>
      </c>
      <c r="AQ65" s="880" t="str">
        <f>IFERROR(__xludf.DUMMYFUNCTION("""COMPUTED_VALUE"""),"4-18 years old")</f>
        <v>4-18 years old</v>
      </c>
      <c r="AR65" s="880" t="str">
        <f>IFERROR(__xludf.DUMMYFUNCTION("""COMPUTED_VALUE"""),"Male:543 Female:506")</f>
        <v>Male:543 Female:506</v>
      </c>
      <c r="AS65" s="880">
        <f>IFERROR(__xludf.DUMMYFUNCTION("""COMPUTED_VALUE"""),2009.0)</f>
        <v>2009</v>
      </c>
      <c r="AT65" s="880"/>
      <c r="AU65" s="880" t="str">
        <f>IFERROR(__xludf.DUMMYFUNCTION("""COMPUTED_VALUE"""),"No")</f>
        <v>No</v>
      </c>
      <c r="AV65" s="880" t="str">
        <f>IFERROR(__xludf.DUMMYFUNCTION("""COMPUTED_VALUE"""),"No")</f>
        <v>No</v>
      </c>
      <c r="AW65" s="881" t="str">
        <f>IFERROR(__xludf.DUMMYFUNCTION("""COMPUTED_VALUE"""),"trial, no control")</f>
        <v>trial, no control</v>
      </c>
      <c r="AX65" s="863">
        <f>IFERROR(__xludf.DUMMYFUNCTION("""COMPUTED_VALUE"""),0.857)</f>
        <v>0.857</v>
      </c>
      <c r="AY65" s="863"/>
      <c r="AZ65" s="863">
        <f>IFERROR(__xludf.DUMMYFUNCTION("""COMPUTED_VALUE"""),0.857)</f>
        <v>0.857</v>
      </c>
      <c r="BA65" s="863"/>
      <c r="BB65" s="863"/>
      <c r="BC65" s="863"/>
      <c r="BD65" s="863"/>
      <c r="BE65" s="863"/>
      <c r="BF65" s="863"/>
      <c r="BG65" s="863"/>
      <c r="BH65" s="863">
        <f>IFERROR(__xludf.DUMMYFUNCTION("""COMPUTED_VALUE"""),0.924)</f>
        <v>0.924</v>
      </c>
      <c r="BI65" s="863"/>
      <c r="BJ65" s="863"/>
      <c r="BK65" s="863"/>
      <c r="BL65" s="863"/>
      <c r="BM65" s="863"/>
      <c r="BN65" s="863"/>
      <c r="BO65" s="863" t="str">
        <f>IFERROR(__xludf.DUMMYFUNCTION("""COMPUTED_VALUE"""),"McMaster Method")</f>
        <v>McMaster Method</v>
      </c>
      <c r="BP65" s="880" t="str">
        <f>IFERROR(__xludf.DUMMYFUNCTION("""COMPUTED_VALUE"""),"x")</f>
        <v>x</v>
      </c>
      <c r="BQ65" s="863"/>
      <c r="BR65" s="889" t="str">
        <f>IFERROR(__xludf.DUMMYFUNCTION("""COMPUTED_VALUE"""),"Roccignol et al.")</f>
        <v>Roccignol et al.</v>
      </c>
      <c r="BS65" s="883" t="str">
        <f>IFERROR(__xludf.DUMMYFUNCTION("""COMPUTED_VALUE"""),"Multi-centre: France, Morocco, Mali, Sengal, Nigeria, Central African Republic, Kenya, Brazil, Peru, Mexico, Phillipines")</f>
        <v>Multi-centre: France, Morocco, Mali, Sengal, Nigeria, Central African Republic, Kenya, Brazil, Peru, Mexico, Phillipines</v>
      </c>
      <c r="BT65" s="883" t="str">
        <f>IFERROR(__xludf.DUMMYFUNCTION("""COMPUTED_VALUE"""),"Albendazole")</f>
        <v>Albendazole</v>
      </c>
      <c r="BU65" s="883"/>
      <c r="BV65" s="883" t="str">
        <f>IFERROR(__xludf.DUMMYFUNCTION("""COMPUTED_VALUE"""),"Single")</f>
        <v>Single</v>
      </c>
      <c r="BW65" s="883" t="str">
        <f>IFERROR(__xludf.DUMMYFUNCTION("""COMPUTED_VALUE"""),"400 mg")</f>
        <v>400 mg</v>
      </c>
      <c r="BX65" s="883">
        <f>IFERROR(__xludf.DUMMYFUNCTION("""COMPUTED_VALUE"""),44.0)</f>
        <v>44</v>
      </c>
      <c r="BY65" s="883" t="str">
        <f>IFERROR(__xludf.DUMMYFUNCTION("""COMPUTED_VALUE"""),"Adults")</f>
        <v>Adults</v>
      </c>
      <c r="BZ65" s="883"/>
      <c r="CA65" s="883"/>
      <c r="CB65" s="883"/>
      <c r="CC65" s="883" t="str">
        <f>IFERROR(__xludf.DUMMYFUNCTION("""COMPUTED_VALUE"""),"Yes")</f>
        <v>Yes</v>
      </c>
      <c r="CD65" s="884">
        <f>IFERROR(__xludf.DUMMYFUNCTION("""COMPUTED_VALUE"""),0.886)</f>
        <v>0.886</v>
      </c>
      <c r="CE65" s="883" t="str">
        <f>IFERROR(__xludf.DUMMYFUNCTION("""COMPUTED_VALUE"""),"Yes")</f>
        <v>Yes</v>
      </c>
      <c r="CF65" s="883"/>
      <c r="CG65" s="884">
        <f>IFERROR(__xludf.DUMMYFUNCTION("""COMPUTED_VALUE"""),0.886)</f>
        <v>0.886</v>
      </c>
      <c r="CH65" s="883"/>
      <c r="CI65" s="883"/>
      <c r="CJ65" s="883"/>
      <c r="CK65" s="883"/>
      <c r="CL65" s="883"/>
      <c r="CM65" s="883"/>
      <c r="CN65" s="884">
        <f>IFERROR(__xludf.DUMMYFUNCTION("""COMPUTED_VALUE"""),0.999)</f>
        <v>0.999</v>
      </c>
      <c r="CO65" s="883"/>
      <c r="CP65" s="883"/>
      <c r="CQ65" s="883"/>
      <c r="CR65" s="883"/>
      <c r="CS65" s="883"/>
      <c r="CT65" s="883"/>
      <c r="CU65" s="883"/>
      <c r="CV65" s="863"/>
      <c r="CW65" s="863"/>
      <c r="CX65" s="863"/>
      <c r="CY65" s="863"/>
      <c r="CZ65" s="863"/>
      <c r="DA65" s="863"/>
      <c r="DB65" s="863"/>
      <c r="DC65" s="863"/>
      <c r="DD65" s="863"/>
      <c r="DE65" s="863"/>
    </row>
    <row r="66">
      <c r="A66" s="887" t="str">
        <f>IFERROR(__xludf.DUMMYFUNCTION("""COMPUTED_VALUE"""),"Levecke et al.")</f>
        <v>Levecke et al.</v>
      </c>
      <c r="B66" s="876" t="str">
        <f>IFERROR(__xludf.DUMMYFUNCTION("""COMPUTED_VALUE"""),"Brazil")</f>
        <v>Brazil</v>
      </c>
      <c r="C66" s="876" t="str">
        <f>IFERROR(__xludf.DUMMYFUNCTION("""COMPUTED_VALUE"""),"Albendazole")</f>
        <v>Albendazole</v>
      </c>
      <c r="D66" s="876" t="str">
        <f>IFERROR(__xludf.DUMMYFUNCTION("""COMPUTED_VALUE"""),"Single")</f>
        <v>Single</v>
      </c>
      <c r="E66" s="876" t="str">
        <f>IFERROR(__xludf.DUMMYFUNCTION("""COMPUTED_VALUE"""),"400 mg")</f>
        <v>400 mg</v>
      </c>
      <c r="F66" s="876">
        <f>IFERROR(__xludf.DUMMYFUNCTION("""COMPUTED_VALUE"""),52.0)</f>
        <v>52</v>
      </c>
      <c r="G66" s="876">
        <f>IFERROR(__xludf.DUMMYFUNCTION("""COMPUTED_VALUE"""),9.9)</f>
        <v>9.9</v>
      </c>
      <c r="H66" s="876" t="str">
        <f>IFERROR(__xludf.DUMMYFUNCTION("""COMPUTED_VALUE"""),"44:0 ")</f>
        <v>44:0 </v>
      </c>
      <c r="I66" s="876">
        <f>IFERROR(__xludf.DUMMYFUNCTION("""COMPUTED_VALUE"""),2012.0)</f>
        <v>2012</v>
      </c>
      <c r="J66" s="876"/>
      <c r="K66" s="876" t="str">
        <f>IFERROR(__xludf.DUMMYFUNCTION("""COMPUTED_VALUE"""),"open trial")</f>
        <v>open trial</v>
      </c>
      <c r="L66" s="876" t="str">
        <f>IFERROR(__xludf.DUMMYFUNCTION("""COMPUTED_VALUE"""),"No")</f>
        <v>No</v>
      </c>
      <c r="M66" s="876" t="str">
        <f>IFERROR(__xludf.DUMMYFUNCTION("""COMPUTED_VALUE"""),"No")</f>
        <v>No</v>
      </c>
      <c r="N66" s="877">
        <f>IFERROR(__xludf.DUMMYFUNCTION("""COMPUTED_VALUE"""),0.975)</f>
        <v>0.975</v>
      </c>
      <c r="O66" s="876"/>
      <c r="P66" s="876"/>
      <c r="Q66" s="876"/>
      <c r="R66" s="876"/>
      <c r="S66" s="876"/>
      <c r="T66" s="876"/>
      <c r="U66" s="876"/>
      <c r="V66" s="876"/>
      <c r="W66" s="876"/>
      <c r="X66" s="876"/>
      <c r="Y66" s="876"/>
      <c r="Z66" s="876"/>
      <c r="AA66" s="876"/>
      <c r="AB66" s="876"/>
      <c r="AC66" s="876"/>
      <c r="AD66" s="876"/>
      <c r="AE66" s="876" t="str">
        <f>IFERROR(__xludf.DUMMYFUNCTION("""COMPUTED_VALUE"""),"Overall, ALB resulted in statistically higher FECR rate against hookworm infections verse MEB")</f>
        <v>Overall, ALB resulted in statistically higher FECR rate against hookworm infections verse MEB</v>
      </c>
      <c r="AF66" s="876" t="str">
        <f>IFERROR(__xludf.DUMMYFUNCTION("""COMPUTED_VALUE"""),"McMaster Method; For hookworm the FECR of both drugs did not depend significantly on the mean FEC at pre-intervention")</f>
        <v>McMaster Method; For hookworm the FECR of both drugs did not depend significantly on the mean FEC at pre-intervention</v>
      </c>
      <c r="AG66" s="876" t="str">
        <f>IFERROR(__xludf.DUMMYFUNCTION("""COMPUTED_VALUE"""),"Levecke, Bruno, Antonio Montresor, Marco Albonico, Shaali M. Ame, Jerzy M. Behnke, Jeffrey M. Bethony, Calvine D. Noumedem, Dirk Engels, Bertrand Guillard, Andrew C. Kotze, Alejandro J. Krolewiecki, James S. McCarthy, Zeleke Mekonnen, Maria V. Periago, He"&amp;"m Sopheak, Louis Albert Tchuem-Tchuente, Tran Thanh Duong, Nguyen Thu Huong, Ahmed Zeynudin, and Jozef Vercuysse. ""Assessment of Anthelmintic Efficacy of Mebendazolein School Children in Six Countries Where Soil Transmitted Helminths Are Endemic."" PLOS "&amp;"Neglected Tropical Diseases 8.10 (2014): 1-11. Web.")</f>
        <v>Levecke, Bruno, Antonio Montresor, Marco Albonico, Shaali M. Ame, Jerzy M. Behnke, Jeffrey M. Bethony, Calvine D. Noumedem, Dirk Engels, Bertrand Guillard, Andrew C. Kotze, Alejandro J. Krolewiecki, James S. McCarthy, Zeleke Mekonnen, Maria V. Periago, Hem Sopheak, Louis Albert Tchuem-Tchuente, Tran Thanh Duong, Nguyen Thu Huong, Ahmed Zeynudin, and Jozef Vercuysse. "Assessment of Anthelmintic Efficacy of Mebendazolein School Children in Six Countries Where Soil Transmitted Helminths Are Endemic." PLOS Neglected Tropical Diseases 8.10 (2014): 1-11. Web.</v>
      </c>
      <c r="AH66" s="876" t="str">
        <f>IFERROR(__xludf.DUMMYFUNCTION("""COMPUTED_VALUE"""),"x")</f>
        <v>x</v>
      </c>
      <c r="AI66" s="878"/>
      <c r="AJ66" s="888" t="str">
        <f>IFERROR(__xludf.DUMMYFUNCTION("""COMPUTED_VALUE"""),"Vercruysse et al.")</f>
        <v>Vercruysse et al.</v>
      </c>
      <c r="AK66" s="880"/>
      <c r="AL66" s="880" t="str">
        <f>IFERROR(__xludf.DUMMYFUNCTION("""COMPUTED_VALUE"""),"India")</f>
        <v>India</v>
      </c>
      <c r="AM66" s="880" t="str">
        <f>IFERROR(__xludf.DUMMYFUNCTION("""COMPUTED_VALUE"""),"Albendazole")</f>
        <v>Albendazole</v>
      </c>
      <c r="AN66" s="880" t="str">
        <f>IFERROR(__xludf.DUMMYFUNCTION("""COMPUTED_VALUE"""),"Single")</f>
        <v>Single</v>
      </c>
      <c r="AO66" s="880" t="str">
        <f>IFERROR(__xludf.DUMMYFUNCTION("""COMPUTED_VALUE"""),"400 mg")</f>
        <v>400 mg</v>
      </c>
      <c r="AP66" s="880">
        <f>IFERROR(__xludf.DUMMYFUNCTION("""COMPUTED_VALUE"""),121.0)</f>
        <v>121</v>
      </c>
      <c r="AQ66" s="880" t="str">
        <f>IFERROR(__xludf.DUMMYFUNCTION("""COMPUTED_VALUE"""),"4-18 years old")</f>
        <v>4-18 years old</v>
      </c>
      <c r="AR66" s="880" t="str">
        <f>IFERROR(__xludf.DUMMYFUNCTION("""COMPUTED_VALUE"""),"Male:543 Female:507")</f>
        <v>Male:543 Female:507</v>
      </c>
      <c r="AS66" s="880">
        <f>IFERROR(__xludf.DUMMYFUNCTION("""COMPUTED_VALUE"""),2009.0)</f>
        <v>2009</v>
      </c>
      <c r="AT66" s="880"/>
      <c r="AU66" s="880" t="str">
        <f>IFERROR(__xludf.DUMMYFUNCTION("""COMPUTED_VALUE"""),"No")</f>
        <v>No</v>
      </c>
      <c r="AV66" s="880" t="str">
        <f>IFERROR(__xludf.DUMMYFUNCTION("""COMPUTED_VALUE"""),"No")</f>
        <v>No</v>
      </c>
      <c r="AW66" s="881" t="str">
        <f>IFERROR(__xludf.DUMMYFUNCTION("""COMPUTED_VALUE"""),"trial, no control")</f>
        <v>trial, no control</v>
      </c>
      <c r="AX66" s="863">
        <f>IFERROR(__xludf.DUMMYFUNCTION("""COMPUTED_VALUE"""),0.889)</f>
        <v>0.889</v>
      </c>
      <c r="AY66" s="863"/>
      <c r="AZ66" s="863">
        <f>IFERROR(__xludf.DUMMYFUNCTION("""COMPUTED_VALUE"""),0.889)</f>
        <v>0.889</v>
      </c>
      <c r="BA66" s="863"/>
      <c r="BB66" s="863"/>
      <c r="BC66" s="863"/>
      <c r="BD66" s="863"/>
      <c r="BE66" s="863"/>
      <c r="BF66" s="863"/>
      <c r="BG66" s="863"/>
      <c r="BH66" s="863">
        <f>IFERROR(__xludf.DUMMYFUNCTION("""COMPUTED_VALUE"""),0.745)</f>
        <v>0.745</v>
      </c>
      <c r="BI66" s="863"/>
      <c r="BJ66" s="863"/>
      <c r="BK66" s="863"/>
      <c r="BL66" s="863"/>
      <c r="BM66" s="863"/>
      <c r="BN66" s="863"/>
      <c r="BO66" s="863" t="str">
        <f>IFERROR(__xludf.DUMMYFUNCTION("""COMPUTED_VALUE"""),"McMaster Method")</f>
        <v>McMaster Method</v>
      </c>
      <c r="BP66" s="880" t="str">
        <f>IFERROR(__xludf.DUMMYFUNCTION("""COMPUTED_VALUE"""),"x")</f>
        <v>x</v>
      </c>
      <c r="BQ66" s="863"/>
      <c r="BR66" s="889" t="str">
        <f>IFERROR(__xludf.DUMMYFUNCTION("""COMPUTED_VALUE"""),"Roccignol et al.")</f>
        <v>Roccignol et al.</v>
      </c>
      <c r="BS66" s="883" t="str">
        <f>IFERROR(__xludf.DUMMYFUNCTION("""COMPUTED_VALUE"""),"Multi-centre: France, Morocco, Mali, Sengal, Nigeria, Central African Republic, Kenya, Brazil, Peru, Mexico, Phillipines")</f>
        <v>Multi-centre: France, Morocco, Mali, Sengal, Nigeria, Central African Republic, Kenya, Brazil, Peru, Mexico, Phillipines</v>
      </c>
      <c r="BT66" s="883" t="str">
        <f>IFERROR(__xludf.DUMMYFUNCTION("""COMPUTED_VALUE"""),"Albendazole")</f>
        <v>Albendazole</v>
      </c>
      <c r="BU66" s="883"/>
      <c r="BV66" s="883" t="str">
        <f>IFERROR(__xludf.DUMMYFUNCTION("""COMPUTED_VALUE"""),"Single")</f>
        <v>Single</v>
      </c>
      <c r="BW66" s="883" t="str">
        <f>IFERROR(__xludf.DUMMYFUNCTION("""COMPUTED_VALUE"""),"400 mg")</f>
        <v>400 mg</v>
      </c>
      <c r="BX66" s="883">
        <f>IFERROR(__xludf.DUMMYFUNCTION("""COMPUTED_VALUE"""),34.0)</f>
        <v>34</v>
      </c>
      <c r="BY66" s="883" t="str">
        <f>IFERROR(__xludf.DUMMYFUNCTION("""COMPUTED_VALUE"""),"School Children")</f>
        <v>School Children</v>
      </c>
      <c r="BZ66" s="883"/>
      <c r="CA66" s="883"/>
      <c r="CB66" s="883"/>
      <c r="CC66" s="883" t="str">
        <f>IFERROR(__xludf.DUMMYFUNCTION("""COMPUTED_VALUE"""),"Yes")</f>
        <v>Yes</v>
      </c>
      <c r="CD66" s="884">
        <f>IFERROR(__xludf.DUMMYFUNCTION("""COMPUTED_VALUE"""),0.975)</f>
        <v>0.975</v>
      </c>
      <c r="CE66" s="883" t="str">
        <f>IFERROR(__xludf.DUMMYFUNCTION("""COMPUTED_VALUE"""),"Yes")</f>
        <v>Yes</v>
      </c>
      <c r="CF66" s="883"/>
      <c r="CG66" s="884">
        <f>IFERROR(__xludf.DUMMYFUNCTION("""COMPUTED_VALUE"""),0.975)</f>
        <v>0.975</v>
      </c>
      <c r="CH66" s="883"/>
      <c r="CI66" s="883"/>
      <c r="CJ66" s="883"/>
      <c r="CK66" s="883"/>
      <c r="CL66" s="883"/>
      <c r="CM66" s="883"/>
      <c r="CN66" s="884">
        <f>IFERROR(__xludf.DUMMYFUNCTION("""COMPUTED_VALUE"""),0.999)</f>
        <v>0.999</v>
      </c>
      <c r="CO66" s="883"/>
      <c r="CP66" s="883"/>
      <c r="CQ66" s="883"/>
      <c r="CR66" s="883"/>
      <c r="CS66" s="883"/>
      <c r="CT66" s="883"/>
      <c r="CU66" s="883"/>
      <c r="CV66" s="863"/>
      <c r="CW66" s="863"/>
      <c r="CX66" s="863"/>
      <c r="CY66" s="863"/>
      <c r="CZ66" s="863"/>
      <c r="DA66" s="863"/>
      <c r="DB66" s="863"/>
      <c r="DC66" s="863"/>
      <c r="DD66" s="863"/>
      <c r="DE66" s="863"/>
    </row>
    <row r="67">
      <c r="A67" s="887" t="str">
        <f>IFERROR(__xludf.DUMMYFUNCTION("""COMPUTED_VALUE"""),"Levecke et al.")</f>
        <v>Levecke et al.</v>
      </c>
      <c r="B67" s="876" t="str">
        <f>IFERROR(__xludf.DUMMYFUNCTION("""COMPUTED_VALUE"""),"Brazil")</f>
        <v>Brazil</v>
      </c>
      <c r="C67" s="876" t="str">
        <f>IFERROR(__xludf.DUMMYFUNCTION("""COMPUTED_VALUE"""),"Mebendazole")</f>
        <v>Mebendazole</v>
      </c>
      <c r="D67" s="876" t="str">
        <f>IFERROR(__xludf.DUMMYFUNCTION("""COMPUTED_VALUE"""),"Single")</f>
        <v>Single</v>
      </c>
      <c r="E67" s="876" t="str">
        <f>IFERROR(__xludf.DUMMYFUNCTION("""COMPUTED_VALUE"""),"500 mg")</f>
        <v>500 mg</v>
      </c>
      <c r="F67" s="876">
        <f>IFERROR(__xludf.DUMMYFUNCTION("""COMPUTED_VALUE"""),172.0)</f>
        <v>172</v>
      </c>
      <c r="G67" s="876">
        <f>IFERROR(__xludf.DUMMYFUNCTION("""COMPUTED_VALUE"""),9.9)</f>
        <v>9.9</v>
      </c>
      <c r="H67" s="876" t="str">
        <f>IFERROR(__xludf.DUMMYFUNCTION("""COMPUTED_VALUE"""),"0:62")</f>
        <v>0:62</v>
      </c>
      <c r="I67" s="876">
        <f>IFERROR(__xludf.DUMMYFUNCTION("""COMPUTED_VALUE"""),2012.0)</f>
        <v>2012</v>
      </c>
      <c r="J67" s="876"/>
      <c r="K67" s="876" t="str">
        <f>IFERROR(__xludf.DUMMYFUNCTION("""COMPUTED_VALUE"""),"open trial")</f>
        <v>open trial</v>
      </c>
      <c r="L67" s="876" t="str">
        <f>IFERROR(__xludf.DUMMYFUNCTION("""COMPUTED_VALUE"""),"No")</f>
        <v>No</v>
      </c>
      <c r="M67" s="876" t="str">
        <f>IFERROR(__xludf.DUMMYFUNCTION("""COMPUTED_VALUE"""),"No")</f>
        <v>No</v>
      </c>
      <c r="N67" s="877">
        <f>IFERROR(__xludf.DUMMYFUNCTION("""COMPUTED_VALUE"""),0.84)</f>
        <v>0.84</v>
      </c>
      <c r="O67" s="876"/>
      <c r="P67" s="876"/>
      <c r="Q67" s="876"/>
      <c r="R67" s="876"/>
      <c r="S67" s="876"/>
      <c r="T67" s="876"/>
      <c r="U67" s="876"/>
      <c r="V67" s="876"/>
      <c r="W67" s="876"/>
      <c r="X67" s="876"/>
      <c r="Y67" s="876"/>
      <c r="Z67" s="876"/>
      <c r="AA67" s="876"/>
      <c r="AB67" s="876"/>
      <c r="AC67" s="876"/>
      <c r="AD67" s="876"/>
      <c r="AE67" s="876" t="str">
        <f>IFERROR(__xludf.DUMMYFUNCTION("""COMPUTED_VALUE"""),"Overall, ALB resulted in statistically higher FECR rate against hookworm infections verse MEB")</f>
        <v>Overall, ALB resulted in statistically higher FECR rate against hookworm infections verse MEB</v>
      </c>
      <c r="AF67" s="876" t="str">
        <f>IFERROR(__xludf.DUMMYFUNCTION("""COMPUTED_VALUE"""),"McMaster Method                                          For hookworm the FECR of both drugs did not depend significantly on the mean FEC at pre-intervention")</f>
        <v>McMaster Method                                          For hookworm the FECR of both drugs did not depend significantly on the mean FEC at pre-intervention</v>
      </c>
      <c r="AG67" s="876" t="str">
        <f>IFERROR(__xludf.DUMMYFUNCTION("""COMPUTED_VALUE"""),"Levecke, Bruno, Antonio Montresor, Marco Albonico, Shaali M. Ame, Jerzy M. Behnke, Jeffrey M. Bethony, Calvine D. Noumedem, Dirk Engels, Bertrand Guillard, Andrew C. Kotze, Alejandro J. Krolewiecki, James S. McCarthy, Zeleke Mekonnen, Maria V. Periago, He"&amp;"m Sopheak, Louis Albert Tchuem-Tchuente, Tran Thanh Duong, Nguyen Thu Huong, Ahmed Zeynudin, and Jozef Vercuysse. ""Assessment of Anthelmintic Efficacy of Mebendazolein School Children in Six Countries Where Soil Transmitted Helminths Are Endemic."" PLOS "&amp;"Neglected Tropical Diseases 8.10 (2014): 1-11. Web.")</f>
        <v>Levecke, Bruno, Antonio Montresor, Marco Albonico, Shaali M. Ame, Jerzy M. Behnke, Jeffrey M. Bethony, Calvine D. Noumedem, Dirk Engels, Bertrand Guillard, Andrew C. Kotze, Alejandro J. Krolewiecki, James S. McCarthy, Zeleke Mekonnen, Maria V. Periago, Hem Sopheak, Louis Albert Tchuem-Tchuente, Tran Thanh Duong, Nguyen Thu Huong, Ahmed Zeynudin, and Jozef Vercuysse. "Assessment of Anthelmintic Efficacy of Mebendazolein School Children in Six Countries Where Soil Transmitted Helminths Are Endemic." PLOS Neglected Tropical Diseases 8.10 (2014): 1-11. Web.</v>
      </c>
      <c r="AH67" s="876" t="str">
        <f>IFERROR(__xludf.DUMMYFUNCTION("""COMPUTED_VALUE"""),"x")</f>
        <v>x</v>
      </c>
      <c r="AI67" s="878"/>
      <c r="AJ67" s="888" t="str">
        <f>IFERROR(__xludf.DUMMYFUNCTION("""COMPUTED_VALUE"""),"Vercruysse et al.")</f>
        <v>Vercruysse et al.</v>
      </c>
      <c r="AK67" s="880"/>
      <c r="AL67" s="880" t="str">
        <f>IFERROR(__xludf.DUMMYFUNCTION("""COMPUTED_VALUE"""),"Tanzania")</f>
        <v>Tanzania</v>
      </c>
      <c r="AM67" s="880" t="str">
        <f>IFERROR(__xludf.DUMMYFUNCTION("""COMPUTED_VALUE"""),"Albendazole")</f>
        <v>Albendazole</v>
      </c>
      <c r="AN67" s="880" t="str">
        <f>IFERROR(__xludf.DUMMYFUNCTION("""COMPUTED_VALUE"""),"Single")</f>
        <v>Single</v>
      </c>
      <c r="AO67" s="880" t="str">
        <f>IFERROR(__xludf.DUMMYFUNCTION("""COMPUTED_VALUE"""),"400 mg")</f>
        <v>400 mg</v>
      </c>
      <c r="AP67" s="880">
        <f>IFERROR(__xludf.DUMMYFUNCTION("""COMPUTED_VALUE"""),419.0)</f>
        <v>419</v>
      </c>
      <c r="AQ67" s="880" t="str">
        <f>IFERROR(__xludf.DUMMYFUNCTION("""COMPUTED_VALUE"""),"4-18 years old")</f>
        <v>4-18 years old</v>
      </c>
      <c r="AR67" s="880" t="str">
        <f>IFERROR(__xludf.DUMMYFUNCTION("""COMPUTED_VALUE"""),"Male:543 Female:508")</f>
        <v>Male:543 Female:508</v>
      </c>
      <c r="AS67" s="880">
        <f>IFERROR(__xludf.DUMMYFUNCTION("""COMPUTED_VALUE"""),2009.0)</f>
        <v>2009</v>
      </c>
      <c r="AT67" s="880"/>
      <c r="AU67" s="880" t="str">
        <f>IFERROR(__xludf.DUMMYFUNCTION("""COMPUTED_VALUE"""),"No")</f>
        <v>No</v>
      </c>
      <c r="AV67" s="880" t="str">
        <f>IFERROR(__xludf.DUMMYFUNCTION("""COMPUTED_VALUE"""),"No")</f>
        <v>No</v>
      </c>
      <c r="AW67" s="881" t="str">
        <f>IFERROR(__xludf.DUMMYFUNCTION("""COMPUTED_VALUE"""),"trial, no control")</f>
        <v>trial, no control</v>
      </c>
      <c r="AX67" s="863">
        <f>IFERROR(__xludf.DUMMYFUNCTION("""COMPUTED_VALUE"""),0.21)</f>
        <v>0.21</v>
      </c>
      <c r="AY67" s="863"/>
      <c r="AZ67" s="863">
        <f>IFERROR(__xludf.DUMMYFUNCTION("""COMPUTED_VALUE"""),0.21)</f>
        <v>0.21</v>
      </c>
      <c r="BA67" s="863"/>
      <c r="BB67" s="863"/>
      <c r="BC67" s="863"/>
      <c r="BD67" s="863"/>
      <c r="BE67" s="863"/>
      <c r="BF67" s="863"/>
      <c r="BG67" s="863"/>
      <c r="BH67" s="863">
        <f>IFERROR(__xludf.DUMMYFUNCTION("""COMPUTED_VALUE"""),0.52)</f>
        <v>0.52</v>
      </c>
      <c r="BI67" s="863"/>
      <c r="BJ67" s="863"/>
      <c r="BK67" s="863"/>
      <c r="BL67" s="863"/>
      <c r="BM67" s="863"/>
      <c r="BN67" s="863"/>
      <c r="BO67" s="863" t="str">
        <f>IFERROR(__xludf.DUMMYFUNCTION("""COMPUTED_VALUE"""),"McMaster Method")</f>
        <v>McMaster Method</v>
      </c>
      <c r="BP67" s="880" t="str">
        <f>IFERROR(__xludf.DUMMYFUNCTION("""COMPUTED_VALUE"""),"x")</f>
        <v>x</v>
      </c>
      <c r="BQ67" s="863"/>
      <c r="BR67" s="889" t="str">
        <f>IFERROR(__xludf.DUMMYFUNCTION("""COMPUTED_VALUE"""),"Roccignol et al.")</f>
        <v>Roccignol et al.</v>
      </c>
      <c r="BS67" s="883" t="str">
        <f>IFERROR(__xludf.DUMMYFUNCTION("""COMPUTED_VALUE"""),"Multi-centre: France, Morocco, Mali, Sengal, Nigeria, Central African Republic, Kenya, Brazil, Peru, Mexico, Phillipines")</f>
        <v>Multi-centre: France, Morocco, Mali, Sengal, Nigeria, Central African Republic, Kenya, Brazil, Peru, Mexico, Phillipines</v>
      </c>
      <c r="BT67" s="883" t="str">
        <f>IFERROR(__xludf.DUMMYFUNCTION("""COMPUTED_VALUE"""),"Placebo")</f>
        <v>Placebo</v>
      </c>
      <c r="BU67" s="883"/>
      <c r="BV67" s="883"/>
      <c r="BW67" s="883"/>
      <c r="BX67" s="883">
        <f>IFERROR(__xludf.DUMMYFUNCTION("""COMPUTED_VALUE"""),413.0)</f>
        <v>413</v>
      </c>
      <c r="BY67" s="883"/>
      <c r="BZ67" s="883"/>
      <c r="CA67" s="883"/>
      <c r="CB67" s="883"/>
      <c r="CC67" s="883" t="str">
        <f>IFERROR(__xludf.DUMMYFUNCTION("""COMPUTED_VALUE"""),"Yes")</f>
        <v>Yes</v>
      </c>
      <c r="CD67" s="884"/>
      <c r="CE67" s="883" t="str">
        <f>IFERROR(__xludf.DUMMYFUNCTION("""COMPUTED_VALUE"""),"Yes")</f>
        <v>Yes</v>
      </c>
      <c r="CF67" s="883"/>
      <c r="CG67" s="883"/>
      <c r="CH67" s="883"/>
      <c r="CI67" s="883"/>
      <c r="CJ67" s="883"/>
      <c r="CK67" s="883"/>
      <c r="CL67" s="883"/>
      <c r="CM67" s="883"/>
      <c r="CN67" s="883"/>
      <c r="CO67" s="883"/>
      <c r="CP67" s="883"/>
      <c r="CQ67" s="883"/>
      <c r="CR67" s="883"/>
      <c r="CS67" s="883"/>
      <c r="CT67" s="883"/>
      <c r="CU67" s="883"/>
      <c r="CV67" s="863"/>
      <c r="CW67" s="863"/>
      <c r="CX67" s="863"/>
      <c r="CY67" s="863"/>
      <c r="CZ67" s="863"/>
      <c r="DA67" s="863"/>
      <c r="DB67" s="863"/>
      <c r="DC67" s="863"/>
      <c r="DD67" s="863"/>
      <c r="DE67" s="863"/>
    </row>
    <row r="68">
      <c r="A68" s="887" t="str">
        <f>IFERROR(__xludf.DUMMYFUNCTION("""COMPUTED_VALUE"""),"Levecke et al.")</f>
        <v>Levecke et al.</v>
      </c>
      <c r="B68" s="876" t="str">
        <f>IFERROR(__xludf.DUMMYFUNCTION("""COMPUTED_VALUE"""),"Viet Nam")</f>
        <v>Viet Nam</v>
      </c>
      <c r="C68" s="876" t="str">
        <f>IFERROR(__xludf.DUMMYFUNCTION("""COMPUTED_VALUE"""),"Albendazole")</f>
        <v>Albendazole</v>
      </c>
      <c r="D68" s="876" t="str">
        <f>IFERROR(__xludf.DUMMYFUNCTION("""COMPUTED_VALUE"""),"Single")</f>
        <v>Single</v>
      </c>
      <c r="E68" s="876" t="str">
        <f>IFERROR(__xludf.DUMMYFUNCTION("""COMPUTED_VALUE"""),"400 mg")</f>
        <v>400 mg</v>
      </c>
      <c r="F68" s="876">
        <f>IFERROR(__xludf.DUMMYFUNCTION("""COMPUTED_VALUE"""),58.0)</f>
        <v>58</v>
      </c>
      <c r="G68" s="876">
        <f>IFERROR(__xludf.DUMMYFUNCTION("""COMPUTED_VALUE"""),8.9)</f>
        <v>8.9</v>
      </c>
      <c r="H68" s="876" t="str">
        <f>IFERROR(__xludf.DUMMYFUNCTION("""COMPUTED_VALUE"""),"71:0 ")</f>
        <v>71:0 </v>
      </c>
      <c r="I68" s="876">
        <f>IFERROR(__xludf.DUMMYFUNCTION("""COMPUTED_VALUE"""),2012.0)</f>
        <v>2012</v>
      </c>
      <c r="J68" s="876"/>
      <c r="K68" s="876" t="str">
        <f>IFERROR(__xludf.DUMMYFUNCTION("""COMPUTED_VALUE"""),"open trial")</f>
        <v>open trial</v>
      </c>
      <c r="L68" s="876" t="str">
        <f>IFERROR(__xludf.DUMMYFUNCTION("""COMPUTED_VALUE"""),"No")</f>
        <v>No</v>
      </c>
      <c r="M68" s="876" t="str">
        <f>IFERROR(__xludf.DUMMYFUNCTION("""COMPUTED_VALUE"""),"No")</f>
        <v>No</v>
      </c>
      <c r="N68" s="877">
        <f>IFERROR(__xludf.DUMMYFUNCTION("""COMPUTED_VALUE"""),1.0)</f>
        <v>1</v>
      </c>
      <c r="O68" s="876"/>
      <c r="P68" s="876"/>
      <c r="Q68" s="876"/>
      <c r="R68" s="876"/>
      <c r="S68" s="876"/>
      <c r="T68" s="876"/>
      <c r="U68" s="876"/>
      <c r="V68" s="876"/>
      <c r="W68" s="876"/>
      <c r="X68" s="876"/>
      <c r="Y68" s="876"/>
      <c r="Z68" s="876"/>
      <c r="AA68" s="876"/>
      <c r="AB68" s="876"/>
      <c r="AC68" s="876"/>
      <c r="AD68" s="876"/>
      <c r="AE68" s="876" t="str">
        <f>IFERROR(__xludf.DUMMYFUNCTION("""COMPUTED_VALUE"""),"Overall, ALB resulted in statistically higher FECR rate against hookworm infections verse MEB")</f>
        <v>Overall, ALB resulted in statistically higher FECR rate against hookworm infections verse MEB</v>
      </c>
      <c r="AF68" s="876" t="str">
        <f>IFERROR(__xludf.DUMMYFUNCTION("""COMPUTED_VALUE"""),"McMaster Method                                          For hookworm the FECR of both drugs did not depend significantly on the mean FEC at pre-intervention")</f>
        <v>McMaster Method                                          For hookworm the FECR of both drugs did not depend significantly on the mean FEC at pre-intervention</v>
      </c>
      <c r="AG68" s="876" t="str">
        <f>IFERROR(__xludf.DUMMYFUNCTION("""COMPUTED_VALUE"""),"Levecke, Bruno, Antonio Montresor, Marco Albonico, Shaali M. Ame, Jerzy M. Behnke, Jeffrey M. Bethony, Calvine D. Noumedem, Dirk Engels, Bertrand Guillard, Andrew C. Kotze, Alejandro J. Krolewiecki, James S. McCarthy, Zeleke Mekonnen, Maria V. Periago, He"&amp;"m Sopheak, Louis Albert Tchuem-Tchuente, Tran Thanh Duong, Nguyen Thu Huong, Ahmed Zeynudin, and Jozef Vercuysse. ""Assessment of Anthelmintic Efficacy of Mebendazolein School Children in Six Countries Where Soil Transmitted Helminths Are Endemic."" PLOS "&amp;"Neglected Tropical Diseases 8.10 (2014): 1-11. Web.")</f>
        <v>Levecke, Bruno, Antonio Montresor, Marco Albonico, Shaali M. Ame, Jerzy M. Behnke, Jeffrey M. Bethony, Calvine D. Noumedem, Dirk Engels, Bertrand Guillard, Andrew C. Kotze, Alejandro J. Krolewiecki, James S. McCarthy, Zeleke Mekonnen, Maria V. Periago, Hem Sopheak, Louis Albert Tchuem-Tchuente, Tran Thanh Duong, Nguyen Thu Huong, Ahmed Zeynudin, and Jozef Vercuysse. "Assessment of Anthelmintic Efficacy of Mebendazolein School Children in Six Countries Where Soil Transmitted Helminths Are Endemic." PLOS Neglected Tropical Diseases 8.10 (2014): 1-11. Web.</v>
      </c>
      <c r="AH68" s="876" t="str">
        <f>IFERROR(__xludf.DUMMYFUNCTION("""COMPUTED_VALUE"""),"x")</f>
        <v>x</v>
      </c>
      <c r="AI68" s="878"/>
      <c r="AJ68" s="888" t="str">
        <f>IFERROR(__xludf.DUMMYFUNCTION("""COMPUTED_VALUE"""),"Vercruysse et al.")</f>
        <v>Vercruysse et al.</v>
      </c>
      <c r="AK68" s="880"/>
      <c r="AL68" s="880" t="str">
        <f>IFERROR(__xludf.DUMMYFUNCTION("""COMPUTED_VALUE"""),"Viet Nam")</f>
        <v>Viet Nam</v>
      </c>
      <c r="AM68" s="880" t="str">
        <f>IFERROR(__xludf.DUMMYFUNCTION("""COMPUTED_VALUE"""),"Albendazole")</f>
        <v>Albendazole</v>
      </c>
      <c r="AN68" s="880" t="str">
        <f>IFERROR(__xludf.DUMMYFUNCTION("""COMPUTED_VALUE"""),"Single")</f>
        <v>Single</v>
      </c>
      <c r="AO68" s="880" t="str">
        <f>IFERROR(__xludf.DUMMYFUNCTION("""COMPUTED_VALUE"""),"400 mg")</f>
        <v>400 mg</v>
      </c>
      <c r="AP68" s="880">
        <f>IFERROR(__xludf.DUMMYFUNCTION("""COMPUTED_VALUE"""),258.0)</f>
        <v>258</v>
      </c>
      <c r="AQ68" s="880" t="str">
        <f>IFERROR(__xludf.DUMMYFUNCTION("""COMPUTED_VALUE"""),"4-18 years old")</f>
        <v>4-18 years old</v>
      </c>
      <c r="AR68" s="880" t="str">
        <f>IFERROR(__xludf.DUMMYFUNCTION("""COMPUTED_VALUE"""),"Male:543 Female:509")</f>
        <v>Male:543 Female:509</v>
      </c>
      <c r="AS68" s="880">
        <f>IFERROR(__xludf.DUMMYFUNCTION("""COMPUTED_VALUE"""),2009.0)</f>
        <v>2009</v>
      </c>
      <c r="AT68" s="880"/>
      <c r="AU68" s="880" t="str">
        <f>IFERROR(__xludf.DUMMYFUNCTION("""COMPUTED_VALUE"""),"No")</f>
        <v>No</v>
      </c>
      <c r="AV68" s="880" t="str">
        <f>IFERROR(__xludf.DUMMYFUNCTION("""COMPUTED_VALUE"""),"No")</f>
        <v>No</v>
      </c>
      <c r="AW68" s="881" t="str">
        <f>IFERROR(__xludf.DUMMYFUNCTION("""COMPUTED_VALUE"""),"trial, no control")</f>
        <v>trial, no control</v>
      </c>
      <c r="AX68" s="863">
        <f>IFERROR(__xludf.DUMMYFUNCTION("""COMPUTED_VALUE"""),0.812)</f>
        <v>0.812</v>
      </c>
      <c r="AY68" s="863"/>
      <c r="AZ68" s="863">
        <f>IFERROR(__xludf.DUMMYFUNCTION("""COMPUTED_VALUE"""),0.812)</f>
        <v>0.812</v>
      </c>
      <c r="BA68" s="863"/>
      <c r="BB68" s="863"/>
      <c r="BC68" s="863"/>
      <c r="BD68" s="863"/>
      <c r="BE68" s="863"/>
      <c r="BF68" s="863"/>
      <c r="BG68" s="863"/>
      <c r="BH68" s="863">
        <f>IFERROR(__xludf.DUMMYFUNCTION("""COMPUTED_VALUE"""),0.923)</f>
        <v>0.923</v>
      </c>
      <c r="BI68" s="863"/>
      <c r="BJ68" s="863"/>
      <c r="BK68" s="863"/>
      <c r="BL68" s="863"/>
      <c r="BM68" s="863"/>
      <c r="BN68" s="863"/>
      <c r="BO68" s="863" t="str">
        <f>IFERROR(__xludf.DUMMYFUNCTION("""COMPUTED_VALUE"""),"McMaster Method")</f>
        <v>McMaster Method</v>
      </c>
      <c r="BP68" s="880" t="str">
        <f>IFERROR(__xludf.DUMMYFUNCTION("""COMPUTED_VALUE"""),"x")</f>
        <v>x</v>
      </c>
      <c r="BQ68" s="863"/>
      <c r="BR68" s="889" t="str">
        <f>IFERROR(__xludf.DUMMYFUNCTION("""COMPUTED_VALUE"""),"Sinniah et al.")</f>
        <v>Sinniah et al.</v>
      </c>
      <c r="BS68" s="883" t="str">
        <f>IFERROR(__xludf.DUMMYFUNCTION("""COMPUTED_VALUE"""),"Malaysia")</f>
        <v>Malaysia</v>
      </c>
      <c r="BT68" s="883" t="str">
        <f>IFERROR(__xludf.DUMMYFUNCTION("""COMPUTED_VALUE"""),"Pyrantel Pamoate")</f>
        <v>Pyrantel Pamoate</v>
      </c>
      <c r="BU68" s="883"/>
      <c r="BV68" s="883" t="str">
        <f>IFERROR(__xludf.DUMMYFUNCTION("""COMPUTED_VALUE"""),"Single")</f>
        <v>Single</v>
      </c>
      <c r="BW68" s="883" t="str">
        <f>IFERROR(__xludf.DUMMYFUNCTION("""COMPUTED_VALUE"""),"10 mg")</f>
        <v>10 mg</v>
      </c>
      <c r="BX68" s="883">
        <f>IFERROR(__xludf.DUMMYFUNCTION("""COMPUTED_VALUE"""),510.0)</f>
        <v>510</v>
      </c>
      <c r="BY68" s="890">
        <f>IFERROR(__xludf.DUMMYFUNCTION("""COMPUTED_VALUE"""),42534.0)</f>
        <v>42534</v>
      </c>
      <c r="BZ68" s="883"/>
      <c r="CA68" s="883"/>
      <c r="CB68" s="883"/>
      <c r="CC68" s="883" t="str">
        <f>IFERROR(__xludf.DUMMYFUNCTION("""COMPUTED_VALUE"""),"Yes")</f>
        <v>Yes</v>
      </c>
      <c r="CD68" s="884">
        <f>IFERROR(__xludf.DUMMYFUNCTION("""COMPUTED_VALUE"""),0.851)</f>
        <v>0.851</v>
      </c>
      <c r="CE68" s="883" t="str">
        <f>IFERROR(__xludf.DUMMYFUNCTION("""COMPUTED_VALUE"""),"No")</f>
        <v>No</v>
      </c>
      <c r="CF68" s="883"/>
      <c r="CG68" s="883"/>
      <c r="CH68" s="883"/>
      <c r="CI68" s="883"/>
      <c r="CJ68" s="883"/>
      <c r="CK68" s="883"/>
      <c r="CL68" s="883"/>
      <c r="CM68" s="884">
        <f>IFERROR(__xludf.DUMMYFUNCTION("""COMPUTED_VALUE"""),0.879)</f>
        <v>0.879</v>
      </c>
      <c r="CN68" s="883"/>
      <c r="CO68" s="883"/>
      <c r="CP68" s="883"/>
      <c r="CQ68" s="883"/>
      <c r="CR68" s="883"/>
      <c r="CS68" s="883"/>
      <c r="CT68" s="883"/>
      <c r="CU68" s="883" t="str">
        <f>IFERROR(__xludf.DUMMYFUNCTION("""COMPUTED_VALUE""")," ")</f>
        <v> </v>
      </c>
      <c r="CV68" s="863"/>
      <c r="CW68" s="863"/>
      <c r="CX68" s="863"/>
      <c r="CY68" s="863"/>
      <c r="CZ68" s="863"/>
      <c r="DA68" s="863"/>
      <c r="DB68" s="863"/>
      <c r="DC68" s="863"/>
      <c r="DD68" s="863"/>
      <c r="DE68" s="863"/>
    </row>
    <row r="69">
      <c r="A69" s="887" t="str">
        <f>IFERROR(__xludf.DUMMYFUNCTION("""COMPUTED_VALUE"""),"Levecke et al.")</f>
        <v>Levecke et al.</v>
      </c>
      <c r="B69" s="876" t="str">
        <f>IFERROR(__xludf.DUMMYFUNCTION("""COMPUTED_VALUE"""),"Viet Nam")</f>
        <v>Viet Nam</v>
      </c>
      <c r="C69" s="876" t="str">
        <f>IFERROR(__xludf.DUMMYFUNCTION("""COMPUTED_VALUE"""),"Mebendazole")</f>
        <v>Mebendazole</v>
      </c>
      <c r="D69" s="876" t="str">
        <f>IFERROR(__xludf.DUMMYFUNCTION("""COMPUTED_VALUE"""),"Single")</f>
        <v>Single</v>
      </c>
      <c r="E69" s="876" t="str">
        <f>IFERROR(__xludf.DUMMYFUNCTION("""COMPUTED_VALUE"""),"500 mg")</f>
        <v>500 mg</v>
      </c>
      <c r="F69" s="876">
        <f>IFERROR(__xludf.DUMMYFUNCTION("""COMPUTED_VALUE"""),80.0)</f>
        <v>80</v>
      </c>
      <c r="G69" s="876">
        <f>IFERROR(__xludf.DUMMYFUNCTION("""COMPUTED_VALUE"""),8.9)</f>
        <v>8.9</v>
      </c>
      <c r="H69" s="876">
        <f>IFERROR(__xludf.DUMMYFUNCTION("""COMPUTED_VALUE"""),0.05416666666666667)</f>
        <v>0.05416666667</v>
      </c>
      <c r="I69" s="876">
        <f>IFERROR(__xludf.DUMMYFUNCTION("""COMPUTED_VALUE"""),2012.0)</f>
        <v>2012</v>
      </c>
      <c r="J69" s="876"/>
      <c r="K69" s="876" t="str">
        <f>IFERROR(__xludf.DUMMYFUNCTION("""COMPUTED_VALUE"""),"open trial")</f>
        <v>open trial</v>
      </c>
      <c r="L69" s="876" t="str">
        <f>IFERROR(__xludf.DUMMYFUNCTION("""COMPUTED_VALUE"""),"No")</f>
        <v>No</v>
      </c>
      <c r="M69" s="876" t="str">
        <f>IFERROR(__xludf.DUMMYFUNCTION("""COMPUTED_VALUE"""),"No")</f>
        <v>No</v>
      </c>
      <c r="N69" s="877">
        <f>IFERROR(__xludf.DUMMYFUNCTION("""COMPUTED_VALUE"""),0.95)</f>
        <v>0.95</v>
      </c>
      <c r="O69" s="876"/>
      <c r="P69" s="876"/>
      <c r="Q69" s="876"/>
      <c r="R69" s="876"/>
      <c r="S69" s="876"/>
      <c r="T69" s="876"/>
      <c r="U69" s="876"/>
      <c r="V69" s="876"/>
      <c r="W69" s="876"/>
      <c r="X69" s="876"/>
      <c r="Y69" s="876"/>
      <c r="Z69" s="876"/>
      <c r="AA69" s="876"/>
      <c r="AB69" s="876"/>
      <c r="AC69" s="876"/>
      <c r="AD69" s="876"/>
      <c r="AE69" s="876" t="str">
        <f>IFERROR(__xludf.DUMMYFUNCTION("""COMPUTED_VALUE"""),"Overall, ALB resulted in statistically higher FECR rate against hookworm infections verse MEB")</f>
        <v>Overall, ALB resulted in statistically higher FECR rate against hookworm infections verse MEB</v>
      </c>
      <c r="AF69" s="876" t="str">
        <f>IFERROR(__xludf.DUMMYFUNCTION("""COMPUTED_VALUE"""),"McMaster Method                                          For hookworm the FECR of both drugs did not depend significantly on the mean FEC at pre-intervention")</f>
        <v>McMaster Method                                          For hookworm the FECR of both drugs did not depend significantly on the mean FEC at pre-intervention</v>
      </c>
      <c r="AG69" s="876" t="str">
        <f>IFERROR(__xludf.DUMMYFUNCTION("""COMPUTED_VALUE"""),"Levecke, Bruno, Antonio Montresor, Marco Albonico, Shaali M. Ame, Jerzy M. Behnke, Jeffrey M. Bethony, Calvine D. Noumedem, Dirk Engels, Bertrand Guillard, Andrew C. Kotze, Alejandro J. Krolewiecki, James S. McCarthy, Zeleke Mekonnen, Maria V. Periago, He"&amp;"m Sopheak, Louis Albert Tchuem-Tchuente, Tran Thanh Duong, Nguyen Thu Huong, Ahmed Zeynudin, and Jozef Vercuysse. ""Assessment of Anthelmintic Efficacy of Mebendazolein School Children in Six Countries Where Soil Transmitted Helminths Are Endemic."" PLOS "&amp;"Neglected Tropical Diseases 8.10 (2014): 1-11. Web.")</f>
        <v>Levecke, Bruno, Antonio Montresor, Marco Albonico, Shaali M. Ame, Jerzy M. Behnke, Jeffrey M. Bethony, Calvine D. Noumedem, Dirk Engels, Bertrand Guillard, Andrew C. Kotze, Alejandro J. Krolewiecki, James S. McCarthy, Zeleke Mekonnen, Maria V. Periago, Hem Sopheak, Louis Albert Tchuem-Tchuente, Tran Thanh Duong, Nguyen Thu Huong, Ahmed Zeynudin, and Jozef Vercuysse. "Assessment of Anthelmintic Efficacy of Mebendazolein School Children in Six Countries Where Soil Transmitted Helminths Are Endemic." PLOS Neglected Tropical Diseases 8.10 (2014): 1-11. Web.</v>
      </c>
      <c r="AH69" s="876" t="str">
        <f>IFERROR(__xludf.DUMMYFUNCTION("""COMPUTED_VALUE"""),"x")</f>
        <v>x</v>
      </c>
      <c r="AI69" s="878"/>
      <c r="AJ69" s="888" t="str">
        <f>IFERROR(__xludf.DUMMYFUNCTION("""COMPUTED_VALUE"""),"Ekenjoku et al.")</f>
        <v>Ekenjoku et al.</v>
      </c>
      <c r="AK69" s="880" t="str">
        <f>IFERROR(__xludf.DUMMYFUNCTION("""COMPUTED_VALUE"""),"Ekenjoku, A. J., C. Oringanje, and M. M. Meremikwu. ""Comparative Efficacy of Levamisole, Mebendazole, and Pyrantel Pamoate against Common Intestinal Nematodes among Children in Calabar, South-south Nigeria."" Institute of Tropical Diseases Research and P"&amp;"revention 40.3 (2013): 217-21. Web.")</f>
        <v>Ekenjoku, A. J., C. Oringanje, and M. M. Meremikwu. "Comparative Efficacy of Levamisole, Mebendazole, and Pyrantel Pamoate against Common Intestinal Nematodes among Children in Calabar, South-south Nigeria." Institute of Tropical Diseases Research and Prevention 40.3 (2013): 217-21. Web.</v>
      </c>
      <c r="AL69" s="880" t="str">
        <f>IFERROR(__xludf.DUMMYFUNCTION("""COMPUTED_VALUE"""),"Nigeria")</f>
        <v>Nigeria</v>
      </c>
      <c r="AM69" s="880" t="str">
        <f>IFERROR(__xludf.DUMMYFUNCTION("""COMPUTED_VALUE"""),"Mebendazole")</f>
        <v>Mebendazole</v>
      </c>
      <c r="AN69" s="880" t="str">
        <f>IFERROR(__xludf.DUMMYFUNCTION("""COMPUTED_VALUE"""),"Single")</f>
        <v>Single</v>
      </c>
      <c r="AO69" s="880" t="str">
        <f>IFERROR(__xludf.DUMMYFUNCTION("""COMPUTED_VALUE"""),"500 mg")</f>
        <v>500 mg</v>
      </c>
      <c r="AP69" s="880" t="str">
        <f>IFERROR(__xludf.DUMMYFUNCTION("""COMPUTED_VALUE"""),"7/49")</f>
        <v>7/49</v>
      </c>
      <c r="AQ69" s="880" t="str">
        <f>IFERROR(__xludf.DUMMYFUNCTION("""COMPUTED_VALUE"""),"4-12 years old")</f>
        <v>4-12 years old</v>
      </c>
      <c r="AR69" s="880" t="str">
        <f>IFERROR(__xludf.DUMMYFUNCTION("""COMPUTED_VALUE"""),"Both")</f>
        <v>Both</v>
      </c>
      <c r="AS69" s="880">
        <f>IFERROR(__xludf.DUMMYFUNCTION("""COMPUTED_VALUE"""),2005.0)</f>
        <v>2005</v>
      </c>
      <c r="AT69" s="880"/>
      <c r="AU69" s="880" t="str">
        <f>IFERROR(__xludf.DUMMYFUNCTION("""COMPUTED_VALUE"""),"Yes")</f>
        <v>Yes</v>
      </c>
      <c r="AV69" s="880" t="str">
        <f>IFERROR(__xludf.DUMMYFUNCTION("""COMPUTED_VALUE"""),"No")</f>
        <v>No</v>
      </c>
      <c r="AW69" s="881" t="str">
        <f>IFERROR(__xludf.DUMMYFUNCTION("""COMPUTED_VALUE"""),"open-label randomized comparative study")</f>
        <v>open-label randomized comparative study</v>
      </c>
      <c r="AX69" s="863">
        <f>IFERROR(__xludf.DUMMYFUNCTION("""COMPUTED_VALUE"""),1.0)</f>
        <v>1</v>
      </c>
      <c r="AY69" s="863">
        <f>IFERROR(__xludf.DUMMYFUNCTION("""COMPUTED_VALUE"""),1.0)</f>
        <v>1</v>
      </c>
      <c r="AZ69" s="863"/>
      <c r="BA69" s="863"/>
      <c r="BB69" s="863"/>
      <c r="BC69" s="863"/>
      <c r="BD69" s="863"/>
      <c r="BE69" s="863"/>
      <c r="BF69" s="863"/>
      <c r="BG69" s="863"/>
      <c r="BH69" s="863"/>
      <c r="BI69" s="863"/>
      <c r="BJ69" s="863"/>
      <c r="BK69" s="863"/>
      <c r="BL69" s="863"/>
      <c r="BM69" s="863"/>
      <c r="BN69" s="863"/>
      <c r="BO69" s="863"/>
      <c r="BP69" s="880"/>
      <c r="BQ69" s="863"/>
      <c r="BR69" s="889" t="str">
        <f>IFERROR(__xludf.DUMMYFUNCTION("""COMPUTED_VALUE"""),"Sinniah et al.")</f>
        <v>Sinniah et al.</v>
      </c>
      <c r="BS69" s="883" t="str">
        <f>IFERROR(__xludf.DUMMYFUNCTION("""COMPUTED_VALUE"""),"Malaysia")</f>
        <v>Malaysia</v>
      </c>
      <c r="BT69" s="883" t="str">
        <f>IFERROR(__xludf.DUMMYFUNCTION("""COMPUTED_VALUE"""),"Oxantel Pyrantel Pamoate")</f>
        <v>Oxantel Pyrantel Pamoate</v>
      </c>
      <c r="BU69" s="883"/>
      <c r="BV69" s="883" t="str">
        <f>IFERROR(__xludf.DUMMYFUNCTION("""COMPUTED_VALUE"""),"Single")</f>
        <v>Single</v>
      </c>
      <c r="BW69" s="883" t="str">
        <f>IFERROR(__xludf.DUMMYFUNCTION("""COMPUTED_VALUE"""),"10 mg")</f>
        <v>10 mg</v>
      </c>
      <c r="BX69" s="883"/>
      <c r="BY69" s="890">
        <f>IFERROR(__xludf.DUMMYFUNCTION("""COMPUTED_VALUE"""),42534.0)</f>
        <v>42534</v>
      </c>
      <c r="BZ69" s="883"/>
      <c r="CA69" s="883"/>
      <c r="CB69" s="883"/>
      <c r="CC69" s="883" t="str">
        <f>IFERROR(__xludf.DUMMYFUNCTION("""COMPUTED_VALUE"""),"Yes")</f>
        <v>Yes</v>
      </c>
      <c r="CD69" s="884">
        <f>IFERROR(__xludf.DUMMYFUNCTION("""COMPUTED_VALUE"""),0.95)</f>
        <v>0.95</v>
      </c>
      <c r="CE69" s="883" t="str">
        <f>IFERROR(__xludf.DUMMYFUNCTION("""COMPUTED_VALUE"""),"No")</f>
        <v>No</v>
      </c>
      <c r="CF69" s="883"/>
      <c r="CG69" s="883"/>
      <c r="CH69" s="883"/>
      <c r="CI69" s="883"/>
      <c r="CJ69" s="883"/>
      <c r="CK69" s="883"/>
      <c r="CL69" s="883"/>
      <c r="CM69" s="884">
        <f>IFERROR(__xludf.DUMMYFUNCTION("""COMPUTED_VALUE"""),0.996)</f>
        <v>0.996</v>
      </c>
      <c r="CN69" s="883"/>
      <c r="CO69" s="883"/>
      <c r="CP69" s="883"/>
      <c r="CQ69" s="883"/>
      <c r="CR69" s="883"/>
      <c r="CS69" s="883"/>
      <c r="CT69" s="883"/>
      <c r="CU69" s="883"/>
      <c r="CV69" s="863"/>
      <c r="CW69" s="863"/>
      <c r="CX69" s="863"/>
      <c r="CY69" s="863"/>
      <c r="CZ69" s="863"/>
      <c r="DA69" s="863"/>
      <c r="DB69" s="863"/>
      <c r="DC69" s="863"/>
      <c r="DD69" s="863"/>
      <c r="DE69" s="863"/>
    </row>
    <row r="70">
      <c r="A70" s="887" t="str">
        <f>IFERROR(__xludf.DUMMYFUNCTION("""COMPUTED_VALUE"""),"Levecke et al.")</f>
        <v>Levecke et al.</v>
      </c>
      <c r="B70" s="876" t="str">
        <f>IFERROR(__xludf.DUMMYFUNCTION("""COMPUTED_VALUE"""),"Cambodia")</f>
        <v>Cambodia</v>
      </c>
      <c r="C70" s="876" t="str">
        <f>IFERROR(__xludf.DUMMYFUNCTION("""COMPUTED_VALUE"""),"Albendazole")</f>
        <v>Albendazole</v>
      </c>
      <c r="D70" s="876" t="str">
        <f>IFERROR(__xludf.DUMMYFUNCTION("""COMPUTED_VALUE"""),"Single")</f>
        <v>Single</v>
      </c>
      <c r="E70" s="876" t="str">
        <f>IFERROR(__xludf.DUMMYFUNCTION("""COMPUTED_VALUE"""),"400 mg")</f>
        <v>400 mg</v>
      </c>
      <c r="F70" s="876">
        <f>IFERROR(__xludf.DUMMYFUNCTION("""COMPUTED_VALUE"""),127.0)</f>
        <v>127</v>
      </c>
      <c r="G70" s="876">
        <f>IFERROR(__xludf.DUMMYFUNCTION("""COMPUTED_VALUE"""),9.4)</f>
        <v>9.4</v>
      </c>
      <c r="H70" s="876" t="str">
        <f>IFERROR(__xludf.DUMMYFUNCTION("""COMPUTED_VALUE"""),"63:0 ")</f>
        <v>63:0 </v>
      </c>
      <c r="I70" s="876">
        <f>IFERROR(__xludf.DUMMYFUNCTION("""COMPUTED_VALUE"""),2012.0)</f>
        <v>2012</v>
      </c>
      <c r="J70" s="876"/>
      <c r="K70" s="876" t="str">
        <f>IFERROR(__xludf.DUMMYFUNCTION("""COMPUTED_VALUE"""),"open trial")</f>
        <v>open trial</v>
      </c>
      <c r="L70" s="876" t="str">
        <f>IFERROR(__xludf.DUMMYFUNCTION("""COMPUTED_VALUE"""),"No")</f>
        <v>No</v>
      </c>
      <c r="M70" s="876" t="str">
        <f>IFERROR(__xludf.DUMMYFUNCTION("""COMPUTED_VALUE"""),"No")</f>
        <v>No</v>
      </c>
      <c r="N70" s="877">
        <f>IFERROR(__xludf.DUMMYFUNCTION("""COMPUTED_VALUE"""),0.976)</f>
        <v>0.976</v>
      </c>
      <c r="O70" s="876"/>
      <c r="P70" s="876"/>
      <c r="Q70" s="876"/>
      <c r="R70" s="876"/>
      <c r="S70" s="876"/>
      <c r="T70" s="876"/>
      <c r="U70" s="876"/>
      <c r="V70" s="876"/>
      <c r="W70" s="876"/>
      <c r="X70" s="876"/>
      <c r="Y70" s="876"/>
      <c r="Z70" s="876"/>
      <c r="AA70" s="876"/>
      <c r="AB70" s="876"/>
      <c r="AC70" s="876"/>
      <c r="AD70" s="876"/>
      <c r="AE70" s="876" t="str">
        <f>IFERROR(__xludf.DUMMYFUNCTION("""COMPUTED_VALUE"""),"Overall, ALB resulted in statistically higher FECR rate against hookworm infections verse MEB")</f>
        <v>Overall, ALB resulted in statistically higher FECR rate against hookworm infections verse MEB</v>
      </c>
      <c r="AF70" s="876" t="str">
        <f>IFERROR(__xludf.DUMMYFUNCTION("""COMPUTED_VALUE"""),"McMaster Method                                          For hookworm the FECR of both drugs did not depend significantly on the mean FEC at pre-intervention")</f>
        <v>McMaster Method                                          For hookworm the FECR of both drugs did not depend significantly on the mean FEC at pre-intervention</v>
      </c>
      <c r="AG70" s="876" t="str">
        <f>IFERROR(__xludf.DUMMYFUNCTION("""COMPUTED_VALUE"""),"Levecke, Bruno, Antonio Montresor, Marco Albonico, Shaali M. Ame, Jerzy M. Behnke, Jeffrey M. Bethony, Calvine D. Noumedem, Dirk Engels, Bertrand Guillard, Andrew C. Kotze, Alejandro J. Krolewiecki, James S. McCarthy, Zeleke Mekonnen, Maria V. Periago, He"&amp;"m Sopheak, Louis Albert Tchuem-Tchuente, Tran Thanh Duong, Nguyen Thu Huong, Ahmed Zeynudin, and Jozef Vercuysse. ""Assessment of Anthelmintic Efficacy of Mebendazolein School Children in Six Countries Where Soil Transmitted Helminths Are Endemic."" PLOS "&amp;"Neglected Tropical Diseases 8.10 (2014): 1-11. Web.")</f>
        <v>Levecke, Bruno, Antonio Montresor, Marco Albonico, Shaali M. Ame, Jerzy M. Behnke, Jeffrey M. Bethony, Calvine D. Noumedem, Dirk Engels, Bertrand Guillard, Andrew C. Kotze, Alejandro J. Krolewiecki, James S. McCarthy, Zeleke Mekonnen, Maria V. Periago, Hem Sopheak, Louis Albert Tchuem-Tchuente, Tran Thanh Duong, Nguyen Thu Huong, Ahmed Zeynudin, and Jozef Vercuysse. "Assessment of Anthelmintic Efficacy of Mebendazolein School Children in Six Countries Where Soil Transmitted Helminths Are Endemic." PLOS Neglected Tropical Diseases 8.10 (2014): 1-11. Web.</v>
      </c>
      <c r="AH70" s="876" t="str">
        <f>IFERROR(__xludf.DUMMYFUNCTION("""COMPUTED_VALUE"""),"x")</f>
        <v>x</v>
      </c>
      <c r="AI70" s="878"/>
      <c r="AJ70" s="888" t="str">
        <f>IFERROR(__xludf.DUMMYFUNCTION("""COMPUTED_VALUE"""),"Ekenjoku et al.")</f>
        <v>Ekenjoku et al.</v>
      </c>
      <c r="AK70" s="880"/>
      <c r="AL70" s="880" t="str">
        <f>IFERROR(__xludf.DUMMYFUNCTION("""COMPUTED_VALUE"""),"Nigeria")</f>
        <v>Nigeria</v>
      </c>
      <c r="AM70" s="880" t="str">
        <f>IFERROR(__xludf.DUMMYFUNCTION("""COMPUTED_VALUE"""),"Pyrantel Embonate")</f>
        <v>Pyrantel Embonate</v>
      </c>
      <c r="AN70" s="880" t="str">
        <f>IFERROR(__xludf.DUMMYFUNCTION("""COMPUTED_VALUE"""),"Single")</f>
        <v>Single</v>
      </c>
      <c r="AO70" s="880" t="str">
        <f>IFERROR(__xludf.DUMMYFUNCTION("""COMPUTED_VALUE"""),"10 mg")</f>
        <v>10 mg</v>
      </c>
      <c r="AP70" s="880" t="str">
        <f>IFERROR(__xludf.DUMMYFUNCTION("""COMPUTED_VALUE"""),"6/47")</f>
        <v>6/47</v>
      </c>
      <c r="AQ70" s="880" t="str">
        <f>IFERROR(__xludf.DUMMYFUNCTION("""COMPUTED_VALUE"""),"4-12 years old")</f>
        <v>4-12 years old</v>
      </c>
      <c r="AR70" s="880" t="str">
        <f>IFERROR(__xludf.DUMMYFUNCTION("""COMPUTED_VALUE"""),"Both")</f>
        <v>Both</v>
      </c>
      <c r="AS70" s="880">
        <f>IFERROR(__xludf.DUMMYFUNCTION("""COMPUTED_VALUE"""),2005.0)</f>
        <v>2005</v>
      </c>
      <c r="AT70" s="880"/>
      <c r="AU70" s="880" t="str">
        <f>IFERROR(__xludf.DUMMYFUNCTION("""COMPUTED_VALUE"""),"Yes")</f>
        <v>Yes</v>
      </c>
      <c r="AV70" s="880" t="str">
        <f>IFERROR(__xludf.DUMMYFUNCTION("""COMPUTED_VALUE"""),"No")</f>
        <v>No</v>
      </c>
      <c r="AW70" s="881" t="str">
        <f>IFERROR(__xludf.DUMMYFUNCTION("""COMPUTED_VALUE"""),"open-label randomized comparative study")</f>
        <v>open-label randomized comparative study</v>
      </c>
      <c r="AX70" s="863">
        <f>IFERROR(__xludf.DUMMYFUNCTION("""COMPUTED_VALUE"""),1.0)</f>
        <v>1</v>
      </c>
      <c r="AY70" s="863">
        <f>IFERROR(__xludf.DUMMYFUNCTION("""COMPUTED_VALUE"""),1.0)</f>
        <v>1</v>
      </c>
      <c r="AZ70" s="863"/>
      <c r="BA70" s="863"/>
      <c r="BB70" s="863"/>
      <c r="BC70" s="863"/>
      <c r="BD70" s="863"/>
      <c r="BE70" s="863"/>
      <c r="BF70" s="863"/>
      <c r="BG70" s="863"/>
      <c r="BH70" s="863"/>
      <c r="BI70" s="863"/>
      <c r="BJ70" s="863"/>
      <c r="BK70" s="863"/>
      <c r="BL70" s="863"/>
      <c r="BM70" s="863"/>
      <c r="BN70" s="863"/>
      <c r="BO70" s="863"/>
      <c r="BP70" s="880"/>
      <c r="BQ70" s="863"/>
      <c r="BR70" s="889" t="str">
        <f>IFERROR(__xludf.DUMMYFUNCTION("""COMPUTED_VALUE"""),"Sinniah et al.")</f>
        <v>Sinniah et al.</v>
      </c>
      <c r="BS70" s="883" t="str">
        <f>IFERROR(__xludf.DUMMYFUNCTION("""COMPUTED_VALUE"""),"Malaysia")</f>
        <v>Malaysia</v>
      </c>
      <c r="BT70" s="883" t="str">
        <f>IFERROR(__xludf.DUMMYFUNCTION("""COMPUTED_VALUE"""),"Mebendazole")</f>
        <v>Mebendazole</v>
      </c>
      <c r="BU70" s="883"/>
      <c r="BV70" s="883" t="str">
        <f>IFERROR(__xludf.DUMMYFUNCTION("""COMPUTED_VALUE"""),"Single")</f>
        <v>Single</v>
      </c>
      <c r="BW70" s="883" t="str">
        <f>IFERROR(__xludf.DUMMYFUNCTION("""COMPUTED_VALUE"""),"200 mg")</f>
        <v>200 mg</v>
      </c>
      <c r="BX70" s="883"/>
      <c r="BY70" s="890">
        <f>IFERROR(__xludf.DUMMYFUNCTION("""COMPUTED_VALUE"""),42534.0)</f>
        <v>42534</v>
      </c>
      <c r="BZ70" s="883"/>
      <c r="CA70" s="883"/>
      <c r="CB70" s="883"/>
      <c r="CC70" s="883" t="str">
        <f>IFERROR(__xludf.DUMMYFUNCTION("""COMPUTED_VALUE"""),"Yes")</f>
        <v>Yes</v>
      </c>
      <c r="CD70" s="884">
        <f>IFERROR(__xludf.DUMMYFUNCTION("""COMPUTED_VALUE"""),0.983)</f>
        <v>0.983</v>
      </c>
      <c r="CE70" s="883" t="str">
        <f>IFERROR(__xludf.DUMMYFUNCTION("""COMPUTED_VALUE"""),"No")</f>
        <v>No</v>
      </c>
      <c r="CF70" s="883"/>
      <c r="CG70" s="883"/>
      <c r="CH70" s="883"/>
      <c r="CI70" s="883"/>
      <c r="CJ70" s="883"/>
      <c r="CK70" s="883"/>
      <c r="CL70" s="883"/>
      <c r="CM70" s="884">
        <f>IFERROR(__xludf.DUMMYFUNCTION("""COMPUTED_VALUE"""),0.999)</f>
        <v>0.999</v>
      </c>
      <c r="CN70" s="883"/>
      <c r="CO70" s="883"/>
      <c r="CP70" s="883"/>
      <c r="CQ70" s="883"/>
      <c r="CR70" s="883"/>
      <c r="CS70" s="883"/>
      <c r="CT70" s="883"/>
      <c r="CU70" s="883"/>
      <c r="CV70" s="863"/>
      <c r="CW70" s="863"/>
      <c r="CX70" s="863"/>
      <c r="CY70" s="863"/>
      <c r="CZ70" s="863"/>
      <c r="DA70" s="863"/>
      <c r="DB70" s="863"/>
      <c r="DC70" s="863"/>
      <c r="DD70" s="863"/>
      <c r="DE70" s="863"/>
    </row>
    <row r="71">
      <c r="A71" s="887" t="str">
        <f>IFERROR(__xludf.DUMMYFUNCTION("""COMPUTED_VALUE"""),"Levecke et al.")</f>
        <v>Levecke et al.</v>
      </c>
      <c r="B71" s="876" t="str">
        <f>IFERROR(__xludf.DUMMYFUNCTION("""COMPUTED_VALUE"""),"Cambodia")</f>
        <v>Cambodia</v>
      </c>
      <c r="C71" s="876" t="str">
        <f>IFERROR(__xludf.DUMMYFUNCTION("""COMPUTED_VALUE"""),"Mebendazole")</f>
        <v>Mebendazole</v>
      </c>
      <c r="D71" s="876" t="str">
        <f>IFERROR(__xludf.DUMMYFUNCTION("""COMPUTED_VALUE"""),"Single")</f>
        <v>Single</v>
      </c>
      <c r="E71" s="876" t="str">
        <f>IFERROR(__xludf.DUMMYFUNCTION("""COMPUTED_VALUE"""),"500 mg")</f>
        <v>500 mg</v>
      </c>
      <c r="F71" s="876">
        <f>IFERROR(__xludf.DUMMYFUNCTION("""COMPUTED_VALUE"""),160.0)</f>
        <v>160</v>
      </c>
      <c r="G71" s="876">
        <f>IFERROR(__xludf.DUMMYFUNCTION("""COMPUTED_VALUE"""),9.4)</f>
        <v>9.4</v>
      </c>
      <c r="H71" s="876" t="str">
        <f>IFERROR(__xludf.DUMMYFUNCTION("""COMPUTED_VALUE"""),"0:74")</f>
        <v>0:74</v>
      </c>
      <c r="I71" s="876">
        <f>IFERROR(__xludf.DUMMYFUNCTION("""COMPUTED_VALUE"""),2012.0)</f>
        <v>2012</v>
      </c>
      <c r="J71" s="876"/>
      <c r="K71" s="876" t="str">
        <f>IFERROR(__xludf.DUMMYFUNCTION("""COMPUTED_VALUE"""),"open trial")</f>
        <v>open trial</v>
      </c>
      <c r="L71" s="876" t="str">
        <f>IFERROR(__xludf.DUMMYFUNCTION("""COMPUTED_VALUE"""),"No")</f>
        <v>No</v>
      </c>
      <c r="M71" s="876" t="str">
        <f>IFERROR(__xludf.DUMMYFUNCTION("""COMPUTED_VALUE"""),"No")</f>
        <v>No</v>
      </c>
      <c r="N71" s="877">
        <f>IFERROR(__xludf.DUMMYFUNCTION("""COMPUTED_VALUE"""),0.797)</f>
        <v>0.797</v>
      </c>
      <c r="O71" s="876"/>
      <c r="P71" s="876"/>
      <c r="Q71" s="876"/>
      <c r="R71" s="876"/>
      <c r="S71" s="876"/>
      <c r="T71" s="876"/>
      <c r="U71" s="876"/>
      <c r="V71" s="876"/>
      <c r="W71" s="876"/>
      <c r="X71" s="876"/>
      <c r="Y71" s="876"/>
      <c r="Z71" s="876"/>
      <c r="AA71" s="876"/>
      <c r="AB71" s="876"/>
      <c r="AC71" s="876"/>
      <c r="AD71" s="876"/>
      <c r="AE71" s="876" t="str">
        <f>IFERROR(__xludf.DUMMYFUNCTION("""COMPUTED_VALUE"""),"Overall, ALB resulted in statistically higher FECR rate against hookworm infections verse MEB")</f>
        <v>Overall, ALB resulted in statistically higher FECR rate against hookworm infections verse MEB</v>
      </c>
      <c r="AF71" s="876" t="str">
        <f>IFERROR(__xludf.DUMMYFUNCTION("""COMPUTED_VALUE"""),"McMaster Method                                          For hookworm the FECR of both drugs did not depend significantly on the mean FEC at pre-intervention")</f>
        <v>McMaster Method                                          For hookworm the FECR of both drugs did not depend significantly on the mean FEC at pre-intervention</v>
      </c>
      <c r="AG71" s="876" t="str">
        <f>IFERROR(__xludf.DUMMYFUNCTION("""COMPUTED_VALUE"""),"Levecke, Bruno, Antonio Montresor, Marco Albonico, Shaali M. Ame, Jerzy M. Behnke, Jeffrey M. Bethony, Calvine D. Noumedem, Dirk Engels, Bertrand Guillard, Andrew C. Kotze, Alejandro J. Krolewiecki, James S. McCarthy, Zeleke Mekonnen, Maria V. Periago, He"&amp;"m Sopheak, Louis Albert Tchuem-Tchuente, Tran Thanh Duong, Nguyen Thu Huong, Ahmed Zeynudin, and Jozef Vercuysse. ""Assessment of Anthelmintic Efficacy of Mebendazolein School Children in Six Countries Where Soil Transmitted Helminths Are Endemic."" PLOS "&amp;"Neglected Tropical Diseases 8.10 (2014): 1-11. Web.")</f>
        <v>Levecke, Bruno, Antonio Montresor, Marco Albonico, Shaali M. Ame, Jerzy M. Behnke, Jeffrey M. Bethony, Calvine D. Noumedem, Dirk Engels, Bertrand Guillard, Andrew C. Kotze, Alejandro J. Krolewiecki, James S. McCarthy, Zeleke Mekonnen, Maria V. Periago, Hem Sopheak, Louis Albert Tchuem-Tchuente, Tran Thanh Duong, Nguyen Thu Huong, Ahmed Zeynudin, and Jozef Vercuysse. "Assessment of Anthelmintic Efficacy of Mebendazolein School Children in Six Countries Where Soil Transmitted Helminths Are Endemic." PLOS Neglected Tropical Diseases 8.10 (2014): 1-11. Web.</v>
      </c>
      <c r="AH71" s="876" t="str">
        <f>IFERROR(__xludf.DUMMYFUNCTION("""COMPUTED_VALUE"""),"x")</f>
        <v>x</v>
      </c>
      <c r="AI71" s="878"/>
      <c r="AJ71" s="888" t="str">
        <f>IFERROR(__xludf.DUMMYFUNCTION("""COMPUTED_VALUE"""),"Ekenjoku et al.")</f>
        <v>Ekenjoku et al.</v>
      </c>
      <c r="AK71" s="880"/>
      <c r="AL71" s="880" t="str">
        <f>IFERROR(__xludf.DUMMYFUNCTION("""COMPUTED_VALUE"""),"Nigeria")</f>
        <v>Nigeria</v>
      </c>
      <c r="AM71" s="880" t="str">
        <f>IFERROR(__xludf.DUMMYFUNCTION("""COMPUTED_VALUE"""),"Levamisole")</f>
        <v>Levamisole</v>
      </c>
      <c r="AN71" s="880" t="str">
        <f>IFERROR(__xludf.DUMMYFUNCTION("""COMPUTED_VALUE"""),"Single")</f>
        <v>Single</v>
      </c>
      <c r="AO71" s="880" t="str">
        <f>IFERROR(__xludf.DUMMYFUNCTION("""COMPUTED_VALUE"""),"2.5 mg")</f>
        <v>2.5 mg</v>
      </c>
      <c r="AP71" s="880" t="str">
        <f>IFERROR(__xludf.DUMMYFUNCTION("""COMPUTED_VALUE"""),"6/42")</f>
        <v>6/42</v>
      </c>
      <c r="AQ71" s="880" t="str">
        <f>IFERROR(__xludf.DUMMYFUNCTION("""COMPUTED_VALUE"""),"4-12 years old")</f>
        <v>4-12 years old</v>
      </c>
      <c r="AR71" s="880" t="str">
        <f>IFERROR(__xludf.DUMMYFUNCTION("""COMPUTED_VALUE"""),"Both")</f>
        <v>Both</v>
      </c>
      <c r="AS71" s="880">
        <f>IFERROR(__xludf.DUMMYFUNCTION("""COMPUTED_VALUE"""),2005.0)</f>
        <v>2005</v>
      </c>
      <c r="AT71" s="880"/>
      <c r="AU71" s="880" t="str">
        <f>IFERROR(__xludf.DUMMYFUNCTION("""COMPUTED_VALUE"""),"Yes")</f>
        <v>Yes</v>
      </c>
      <c r="AV71" s="880" t="str">
        <f>IFERROR(__xludf.DUMMYFUNCTION("""COMPUTED_VALUE"""),"No")</f>
        <v>No</v>
      </c>
      <c r="AW71" s="881" t="str">
        <f>IFERROR(__xludf.DUMMYFUNCTION("""COMPUTED_VALUE"""),"open-label randomized comparative study")</f>
        <v>open-label randomized comparative study</v>
      </c>
      <c r="AX71" s="863">
        <f>IFERROR(__xludf.DUMMYFUNCTION("""COMPUTED_VALUE"""),1.0)</f>
        <v>1</v>
      </c>
      <c r="AY71" s="863">
        <f>IFERROR(__xludf.DUMMYFUNCTION("""COMPUTED_VALUE"""),1.0)</f>
        <v>1</v>
      </c>
      <c r="AZ71" s="863"/>
      <c r="BA71" s="863"/>
      <c r="BB71" s="863"/>
      <c r="BC71" s="863"/>
      <c r="BD71" s="863"/>
      <c r="BE71" s="863"/>
      <c r="BF71" s="863"/>
      <c r="BG71" s="863"/>
      <c r="BH71" s="863"/>
      <c r="BI71" s="863"/>
      <c r="BJ71" s="863"/>
      <c r="BK71" s="863"/>
      <c r="BL71" s="863"/>
      <c r="BM71" s="863"/>
      <c r="BN71" s="863"/>
      <c r="BO71" s="863"/>
      <c r="BP71" s="880"/>
      <c r="BQ71" s="863"/>
      <c r="BR71" s="889" t="str">
        <f>IFERROR(__xludf.DUMMYFUNCTION("""COMPUTED_VALUE"""),"Sinniah et al.")</f>
        <v>Sinniah et al.</v>
      </c>
      <c r="BS71" s="883" t="str">
        <f>IFERROR(__xludf.DUMMYFUNCTION("""COMPUTED_VALUE"""),"Malaysia")</f>
        <v>Malaysia</v>
      </c>
      <c r="BT71" s="883" t="str">
        <f>IFERROR(__xludf.DUMMYFUNCTION("""COMPUTED_VALUE"""),"Mebendazole")</f>
        <v>Mebendazole</v>
      </c>
      <c r="BU71" s="883"/>
      <c r="BV71" s="883" t="str">
        <f>IFERROR(__xludf.DUMMYFUNCTION("""COMPUTED_VALUE"""),"Single")</f>
        <v>Single</v>
      </c>
      <c r="BW71" s="883" t="str">
        <f>IFERROR(__xludf.DUMMYFUNCTION("""COMPUTED_VALUE"""),"400 mg")</f>
        <v>400 mg</v>
      </c>
      <c r="BX71" s="883"/>
      <c r="BY71" s="890">
        <f>IFERROR(__xludf.DUMMYFUNCTION("""COMPUTED_VALUE"""),42534.0)</f>
        <v>42534</v>
      </c>
      <c r="BZ71" s="883"/>
      <c r="CA71" s="883"/>
      <c r="CB71" s="883"/>
      <c r="CC71" s="883" t="str">
        <f>IFERROR(__xludf.DUMMYFUNCTION("""COMPUTED_VALUE"""),"Yes")</f>
        <v>Yes</v>
      </c>
      <c r="CD71" s="884">
        <f>IFERROR(__xludf.DUMMYFUNCTION("""COMPUTED_VALUE"""),0.861)</f>
        <v>0.861</v>
      </c>
      <c r="CE71" s="883" t="str">
        <f>IFERROR(__xludf.DUMMYFUNCTION("""COMPUTED_VALUE"""),"No")</f>
        <v>No</v>
      </c>
      <c r="CF71" s="883"/>
      <c r="CG71" s="883"/>
      <c r="CH71" s="883"/>
      <c r="CI71" s="883"/>
      <c r="CJ71" s="883"/>
      <c r="CK71" s="883"/>
      <c r="CL71" s="883"/>
      <c r="CM71" s="883" t="str">
        <f>IFERROR(__xludf.DUMMYFUNCTION("""COMPUTED_VALUE"""),"99.2%%")</f>
        <v>99.2%%</v>
      </c>
      <c r="CN71" s="883"/>
      <c r="CO71" s="883"/>
      <c r="CP71" s="883"/>
      <c r="CQ71" s="883"/>
      <c r="CR71" s="883"/>
      <c r="CS71" s="883"/>
      <c r="CT71" s="883"/>
      <c r="CU71" s="883"/>
      <c r="CV71" s="863"/>
      <c r="CW71" s="863"/>
      <c r="CX71" s="863"/>
      <c r="CY71" s="863"/>
      <c r="CZ71" s="863"/>
      <c r="DA71" s="863"/>
      <c r="DB71" s="863"/>
      <c r="DC71" s="863"/>
      <c r="DD71" s="863"/>
      <c r="DE71" s="863"/>
    </row>
    <row r="72">
      <c r="A72" s="887" t="str">
        <f>IFERROR(__xludf.DUMMYFUNCTION("""COMPUTED_VALUE"""),"Levecke et al.")</f>
        <v>Levecke et al.</v>
      </c>
      <c r="B72" s="876" t="str">
        <f>IFERROR(__xludf.DUMMYFUNCTION("""COMPUTED_VALUE"""),"Cameroon")</f>
        <v>Cameroon</v>
      </c>
      <c r="C72" s="876" t="str">
        <f>IFERROR(__xludf.DUMMYFUNCTION("""COMPUTED_VALUE"""),"Albendazole")</f>
        <v>Albendazole</v>
      </c>
      <c r="D72" s="876" t="str">
        <f>IFERROR(__xludf.DUMMYFUNCTION("""COMPUTED_VALUE"""),"Single")</f>
        <v>Single</v>
      </c>
      <c r="E72" s="876" t="str">
        <f>IFERROR(__xludf.DUMMYFUNCTION("""COMPUTED_VALUE"""),"400 mg")</f>
        <v>400 mg</v>
      </c>
      <c r="F72" s="876">
        <f>IFERROR(__xludf.DUMMYFUNCTION("""COMPUTED_VALUE"""),140.0)</f>
        <v>140</v>
      </c>
      <c r="G72" s="876">
        <f>IFERROR(__xludf.DUMMYFUNCTION("""COMPUTED_VALUE"""),10.3)</f>
        <v>10.3</v>
      </c>
      <c r="H72" s="876" t="str">
        <f>IFERROR(__xludf.DUMMYFUNCTION("""COMPUTED_VALUE"""),"54:0")</f>
        <v>54:0</v>
      </c>
      <c r="I72" s="876">
        <f>IFERROR(__xludf.DUMMYFUNCTION("""COMPUTED_VALUE"""),2012.0)</f>
        <v>2012</v>
      </c>
      <c r="J72" s="876"/>
      <c r="K72" s="876" t="str">
        <f>IFERROR(__xludf.DUMMYFUNCTION("""COMPUTED_VALUE"""),"open trial")</f>
        <v>open trial</v>
      </c>
      <c r="L72" s="876" t="str">
        <f>IFERROR(__xludf.DUMMYFUNCTION("""COMPUTED_VALUE"""),"No")</f>
        <v>No</v>
      </c>
      <c r="M72" s="876" t="str">
        <f>IFERROR(__xludf.DUMMYFUNCTION("""COMPUTED_VALUE"""),"No")</f>
        <v>No</v>
      </c>
      <c r="N72" s="877">
        <f>IFERROR(__xludf.DUMMYFUNCTION("""COMPUTED_VALUE"""),0.93)</f>
        <v>0.93</v>
      </c>
      <c r="O72" s="876"/>
      <c r="P72" s="876"/>
      <c r="Q72" s="876"/>
      <c r="R72" s="876"/>
      <c r="S72" s="876"/>
      <c r="T72" s="876"/>
      <c r="U72" s="876"/>
      <c r="V72" s="876"/>
      <c r="W72" s="876"/>
      <c r="X72" s="876"/>
      <c r="Y72" s="876"/>
      <c r="Z72" s="876"/>
      <c r="AA72" s="876"/>
      <c r="AB72" s="876"/>
      <c r="AC72" s="876"/>
      <c r="AD72" s="876"/>
      <c r="AE72" s="876" t="str">
        <f>IFERROR(__xludf.DUMMYFUNCTION("""COMPUTED_VALUE"""),"Overall, ALB resulted in statistically higher FECR rate against hookworm infections verse MEB")</f>
        <v>Overall, ALB resulted in statistically higher FECR rate against hookworm infections verse MEB</v>
      </c>
      <c r="AF72" s="876" t="str">
        <f>IFERROR(__xludf.DUMMYFUNCTION("""COMPUTED_VALUE"""),"McMaster Method                                          For hookworm the FECR of both drugs did not depend significantly on the mean FEC at pre-intervention")</f>
        <v>McMaster Method                                          For hookworm the FECR of both drugs did not depend significantly on the mean FEC at pre-intervention</v>
      </c>
      <c r="AG72" s="876" t="str">
        <f>IFERROR(__xludf.DUMMYFUNCTION("""COMPUTED_VALUE"""),"Levecke, Bruno, Antonio Montresor, Marco Albonico, Shaali M. Ame, Jerzy M. Behnke, Jeffrey M. Bethony, Calvine D. Noumedem, Dirk Engels, Bertrand Guillard, Andrew C. Kotze, Alejandro J. Krolewiecki, James S. McCarthy, Zeleke Mekonnen, Maria V. Periago, He"&amp;"m Sopheak, Louis Albert Tchuem-Tchuente, Tran Thanh Duong, Nguyen Thu Huong, Ahmed Zeynudin, and Jozef Vercuysse. ""Assessment of Anthelmintic Efficacy of Mebendazolein School Children in Six Countries Where Soil Transmitted Helminths Are Endemic."" PLOS "&amp;"Neglected Tropical Diseases 8.10 (2014): 1-11. Web.")</f>
        <v>Levecke, Bruno, Antonio Montresor, Marco Albonico, Shaali M. Ame, Jerzy M. Behnke, Jeffrey M. Bethony, Calvine D. Noumedem, Dirk Engels, Bertrand Guillard, Andrew C. Kotze, Alejandro J. Krolewiecki, James S. McCarthy, Zeleke Mekonnen, Maria V. Periago, Hem Sopheak, Louis Albert Tchuem-Tchuente, Tran Thanh Duong, Nguyen Thu Huong, Ahmed Zeynudin, and Jozef Vercuysse. "Assessment of Anthelmintic Efficacy of Mebendazolein School Children in Six Countries Where Soil Transmitted Helminths Are Endemic." PLOS Neglected Tropical Diseases 8.10 (2014): 1-11. Web.</v>
      </c>
      <c r="AH72" s="876" t="str">
        <f>IFERROR(__xludf.DUMMYFUNCTION("""COMPUTED_VALUE"""),"x")</f>
        <v>x</v>
      </c>
      <c r="AI72" s="878"/>
      <c r="AJ72" s="888" t="str">
        <f>IFERROR(__xludf.DUMMYFUNCTION("""COMPUTED_VALUE"""),"Adams et al.")</f>
        <v>Adams et al.</v>
      </c>
      <c r="AK72" s="880" t="str">
        <f>IFERROR(__xludf.DUMMYFUNCTION("""COMPUTED_VALUE"""),"Adams, V. J., C. J. Lombard, M. A. Dhansay, M. B. Markus, and J. E. Fincham. ""Efficy of Albendazoleagainst the Whipworm Trichuris Trichiura- A Randomized Controlled Trial."" Medical Research Council 94.12 (2004): 972-76. Web.")</f>
        <v>Adams, V. J., C. J. Lombard, M. A. Dhansay, M. B. Markus, and J. E. Fincham. "Efficy of Albendazoleagainst the Whipworm Trichuris Trichiura- A Randomized Controlled Trial." Medical Research Council 94.12 (2004): 972-76. Web.</v>
      </c>
      <c r="AL72" s="880" t="str">
        <f>IFERROR(__xludf.DUMMYFUNCTION("""COMPUTED_VALUE"""),"South Africa")</f>
        <v>South Africa</v>
      </c>
      <c r="AM72" s="880" t="str">
        <f>IFERROR(__xludf.DUMMYFUNCTION("""COMPUTED_VALUE"""),"Albendazole")</f>
        <v>Albendazole</v>
      </c>
      <c r="AN72" s="880" t="str">
        <f>IFERROR(__xludf.DUMMYFUNCTION("""COMPUTED_VALUE"""),"Single")</f>
        <v>Single</v>
      </c>
      <c r="AO72" s="880" t="str">
        <f>IFERROR(__xludf.DUMMYFUNCTION("""COMPUTED_VALUE"""),"400 mg")</f>
        <v>400 mg</v>
      </c>
      <c r="AP72" s="880">
        <f>IFERROR(__xludf.DUMMYFUNCTION("""COMPUTED_VALUE"""),50.0)</f>
        <v>50</v>
      </c>
      <c r="AQ72" s="880" t="str">
        <f>IFERROR(__xludf.DUMMYFUNCTION("""COMPUTED_VALUE"""),"6-16 years old Mean age: 10 years old")</f>
        <v>6-16 years old Mean age: 10 years old</v>
      </c>
      <c r="AR72" s="880" t="str">
        <f>IFERROR(__xludf.DUMMYFUNCTION("""COMPUTED_VALUE"""),"Boy/Girl Ratio was 1. Gender did not influence the prevelance or intensity of worm infestation")</f>
        <v>Boy/Girl Ratio was 1. Gender did not influence the prevelance or intensity of worm infestation</v>
      </c>
      <c r="AS72" s="880">
        <f>IFERROR(__xludf.DUMMYFUNCTION("""COMPUTED_VALUE"""),2004.0)</f>
        <v>2004</v>
      </c>
      <c r="AT72" s="880" t="str">
        <f>IFERROR(__xludf.DUMMYFUNCTION("""COMPUTED_VALUE"""),"Exclusion: Chronic prescription medication and/or clinically evident illness")</f>
        <v>Exclusion: Chronic prescription medication and/or clinically evident illness</v>
      </c>
      <c r="AU72" s="880" t="str">
        <f>IFERROR(__xludf.DUMMYFUNCTION("""COMPUTED_VALUE"""),"Yes")</f>
        <v>Yes</v>
      </c>
      <c r="AV72" s="880" t="str">
        <f>IFERROR(__xludf.DUMMYFUNCTION("""COMPUTED_VALUE"""),"Yes")</f>
        <v>Yes</v>
      </c>
      <c r="AW72" s="881" t="str">
        <f>IFERROR(__xludf.DUMMYFUNCTION("""COMPUTED_VALUE"""),"randomized controlled trial, blind")</f>
        <v>randomized controlled trial, blind</v>
      </c>
      <c r="AX72" s="863">
        <f>IFERROR(__xludf.DUMMYFUNCTION("""COMPUTED_VALUE"""),0.226)</f>
        <v>0.226</v>
      </c>
      <c r="AY72" s="863"/>
      <c r="AZ72" s="863"/>
      <c r="BA72" s="863"/>
      <c r="BB72" s="863"/>
      <c r="BC72" s="863"/>
      <c r="BD72" s="863"/>
      <c r="BE72" s="863"/>
      <c r="BF72" s="863"/>
      <c r="BG72" s="863"/>
      <c r="BH72" s="863">
        <f>IFERROR(__xludf.DUMMYFUNCTION("""COMPUTED_VALUE"""),0.968)</f>
        <v>0.968</v>
      </c>
      <c r="BI72" s="863"/>
      <c r="BJ72" s="863"/>
      <c r="BK72" s="863"/>
      <c r="BL72" s="863"/>
      <c r="BM72" s="863"/>
      <c r="BN72" s="863" t="str">
        <f>IFERROR(__xludf.DUMMYFUNCTION("""COMPUTED_VALUE"""),"the 400 mg stat dose had a low cure rate. To repeat the dose on 2 or 3 days would increase cost, reduce compliance, and complicate management. Albedazole cannot be used in deworming pregrammes in south africa because it is a schedule 4 prescription medici"&amp;"ne. De-scheduling is needed urgently, becasue of high efficacy against hookworm in Kwazulu-Natal and neighboring countries")</f>
        <v>the 400 mg stat dose had a low cure rate. To repeat the dose on 2 or 3 days would increase cost, reduce compliance, and complicate management. Albedazole cannot be used in deworming pregrammes in south africa because it is a schedule 4 prescription medicine. De-scheduling is needed urgently, becasue of high efficacy against hookworm in Kwazulu-Natal and neighboring countries</v>
      </c>
      <c r="BO72" s="863"/>
      <c r="BP72" s="880"/>
      <c r="BQ72" s="863"/>
      <c r="BR72" s="889" t="str">
        <f>IFERROR(__xludf.DUMMYFUNCTION("""COMPUTED_VALUE"""),"Sinniah et al.")</f>
        <v>Sinniah et al.</v>
      </c>
      <c r="BS72" s="883" t="str">
        <f>IFERROR(__xludf.DUMMYFUNCTION("""COMPUTED_VALUE"""),"Malaysia")</f>
        <v>Malaysia</v>
      </c>
      <c r="BT72" s="883" t="str">
        <f>IFERROR(__xludf.DUMMYFUNCTION("""COMPUTED_VALUE"""),"Albendazole")</f>
        <v>Albendazole</v>
      </c>
      <c r="BU72" s="883"/>
      <c r="BV72" s="883" t="str">
        <f>IFERROR(__xludf.DUMMYFUNCTION("""COMPUTED_VALUE"""),"Single")</f>
        <v>Single</v>
      </c>
      <c r="BW72" s="883" t="str">
        <f>IFERROR(__xludf.DUMMYFUNCTION("""COMPUTED_VALUE"""),"200 mg")</f>
        <v>200 mg</v>
      </c>
      <c r="BX72" s="883"/>
      <c r="BY72" s="890">
        <f>IFERROR(__xludf.DUMMYFUNCTION("""COMPUTED_VALUE"""),42534.0)</f>
        <v>42534</v>
      </c>
      <c r="BZ72" s="883"/>
      <c r="CA72" s="883"/>
      <c r="CB72" s="883"/>
      <c r="CC72" s="883" t="str">
        <f>IFERROR(__xludf.DUMMYFUNCTION("""COMPUTED_VALUE"""),"Yes")</f>
        <v>Yes</v>
      </c>
      <c r="CD72" s="884" t="str">
        <f>IFERROR(__xludf.DUMMYFUNCTION("""COMPUTED_VALUE"""),"91.1.%")</f>
        <v>91.1.%</v>
      </c>
      <c r="CE72" s="883" t="str">
        <f>IFERROR(__xludf.DUMMYFUNCTION("""COMPUTED_VALUE"""),"No")</f>
        <v>No</v>
      </c>
      <c r="CF72" s="883"/>
      <c r="CG72" s="883"/>
      <c r="CH72" s="883"/>
      <c r="CI72" s="883"/>
      <c r="CJ72" s="883"/>
      <c r="CK72" s="883"/>
      <c r="CL72" s="883"/>
      <c r="CM72" s="884">
        <f>IFERROR(__xludf.DUMMYFUNCTION("""COMPUTED_VALUE"""),0.988)</f>
        <v>0.988</v>
      </c>
      <c r="CN72" s="883"/>
      <c r="CO72" s="883"/>
      <c r="CP72" s="883"/>
      <c r="CQ72" s="883"/>
      <c r="CR72" s="883"/>
      <c r="CS72" s="883"/>
      <c r="CT72" s="883"/>
      <c r="CU72" s="883"/>
      <c r="CV72" s="863"/>
      <c r="CW72" s="863"/>
      <c r="CX72" s="863"/>
      <c r="CY72" s="863"/>
      <c r="CZ72" s="863"/>
      <c r="DA72" s="863"/>
      <c r="DB72" s="863"/>
      <c r="DC72" s="863"/>
      <c r="DD72" s="863"/>
      <c r="DE72" s="863"/>
    </row>
    <row r="73">
      <c r="A73" s="887" t="str">
        <f>IFERROR(__xludf.DUMMYFUNCTION("""COMPUTED_VALUE"""),"Levecke et al.")</f>
        <v>Levecke et al.</v>
      </c>
      <c r="B73" s="876" t="str">
        <f>IFERROR(__xludf.DUMMYFUNCTION("""COMPUTED_VALUE"""),"Cameroon")</f>
        <v>Cameroon</v>
      </c>
      <c r="C73" s="876" t="str">
        <f>IFERROR(__xludf.DUMMYFUNCTION("""COMPUTED_VALUE"""),"Mebendazole")</f>
        <v>Mebendazole</v>
      </c>
      <c r="D73" s="876" t="str">
        <f>IFERROR(__xludf.DUMMYFUNCTION("""COMPUTED_VALUE"""),"Single")</f>
        <v>Single</v>
      </c>
      <c r="E73" s="876" t="str">
        <f>IFERROR(__xludf.DUMMYFUNCTION("""COMPUTED_VALUE"""),"500 mg")</f>
        <v>500 mg</v>
      </c>
      <c r="F73" s="876">
        <f>IFERROR(__xludf.DUMMYFUNCTION("""COMPUTED_VALUE"""),161.0)</f>
        <v>161</v>
      </c>
      <c r="G73" s="876">
        <f>IFERROR(__xludf.DUMMYFUNCTION("""COMPUTED_VALUE"""),10.3)</f>
        <v>10.3</v>
      </c>
      <c r="H73" s="876" t="str">
        <f>IFERROR(__xludf.DUMMYFUNCTION("""COMPUTED_VALUE"""),"0:85")</f>
        <v>0:85</v>
      </c>
      <c r="I73" s="876">
        <f>IFERROR(__xludf.DUMMYFUNCTION("""COMPUTED_VALUE"""),2012.0)</f>
        <v>2012</v>
      </c>
      <c r="J73" s="876"/>
      <c r="K73" s="876" t="str">
        <f>IFERROR(__xludf.DUMMYFUNCTION("""COMPUTED_VALUE"""),"open trial")</f>
        <v>open trial</v>
      </c>
      <c r="L73" s="876" t="str">
        <f>IFERROR(__xludf.DUMMYFUNCTION("""COMPUTED_VALUE"""),"No")</f>
        <v>No</v>
      </c>
      <c r="M73" s="876" t="str">
        <f>IFERROR(__xludf.DUMMYFUNCTION("""COMPUTED_VALUE"""),"No")</f>
        <v>No</v>
      </c>
      <c r="N73" s="877">
        <f>IFERROR(__xludf.DUMMYFUNCTION("""COMPUTED_VALUE"""),0.719)</f>
        <v>0.719</v>
      </c>
      <c r="O73" s="876"/>
      <c r="P73" s="876"/>
      <c r="Q73" s="876"/>
      <c r="R73" s="876"/>
      <c r="S73" s="876"/>
      <c r="T73" s="876"/>
      <c r="U73" s="876"/>
      <c r="V73" s="876"/>
      <c r="W73" s="876"/>
      <c r="X73" s="876"/>
      <c r="Y73" s="876"/>
      <c r="Z73" s="876"/>
      <c r="AA73" s="876"/>
      <c r="AB73" s="876"/>
      <c r="AC73" s="876"/>
      <c r="AD73" s="876"/>
      <c r="AE73" s="876" t="str">
        <f>IFERROR(__xludf.DUMMYFUNCTION("""COMPUTED_VALUE"""),"Overall, ALB resulted in statistically higher FECR rate against hookworm infections verse MEB")</f>
        <v>Overall, ALB resulted in statistically higher FECR rate against hookworm infections verse MEB</v>
      </c>
      <c r="AF73" s="876" t="str">
        <f>IFERROR(__xludf.DUMMYFUNCTION("""COMPUTED_VALUE"""),"McMaster Method                                          For hookworm the FECR of both drugs did not depend significantly on the mean FEC at pre-intervention")</f>
        <v>McMaster Method                                          For hookworm the FECR of both drugs did not depend significantly on the mean FEC at pre-intervention</v>
      </c>
      <c r="AG73" s="876" t="str">
        <f>IFERROR(__xludf.DUMMYFUNCTION("""COMPUTED_VALUE"""),"Levecke, Bruno, Antonio Montresor, Marco Albonico, Shaali M. Ame, Jerzy M. Behnke, Jeffrey M. Bethony, Calvine D. Noumedem, Dirk Engels, Bertrand Guillard, Andrew C. Kotze, Alejandro J. Krolewiecki, James S. McCarthy, Zeleke Mekonnen, Maria V. Periago, He"&amp;"m Sopheak, Louis Albert Tchuem-Tchuente, Tran Thanh Duong, Nguyen Thu Huong, Ahmed Zeynudin, and Jozef Vercuysse. ""Assessment of Anthelmintic Efficacy of Mebendazolein School Children in Six Countries Where Soil Transmitted Helminths Are Endemic."" PLOS "&amp;"Neglected Tropical Diseases 8.10 (2014): 1-11. Web.")</f>
        <v>Levecke, Bruno, Antonio Montresor, Marco Albonico, Shaali M. Ame, Jerzy M. Behnke, Jeffrey M. Bethony, Calvine D. Noumedem, Dirk Engels, Bertrand Guillard, Andrew C. Kotze, Alejandro J. Krolewiecki, James S. McCarthy, Zeleke Mekonnen, Maria V. Periago, Hem Sopheak, Louis Albert Tchuem-Tchuente, Tran Thanh Duong, Nguyen Thu Huong, Ahmed Zeynudin, and Jozef Vercuysse. "Assessment of Anthelmintic Efficacy of Mebendazolein School Children in Six Countries Where Soil Transmitted Helminths Are Endemic." PLOS Neglected Tropical Diseases 8.10 (2014): 1-11. Web.</v>
      </c>
      <c r="AH73" s="876" t="str">
        <f>IFERROR(__xludf.DUMMYFUNCTION("""COMPUTED_VALUE"""),"x")</f>
        <v>x</v>
      </c>
      <c r="AI73" s="878"/>
      <c r="AJ73" s="888" t="str">
        <f>IFERROR(__xludf.DUMMYFUNCTION("""COMPUTED_VALUE"""),"Adams et al.")</f>
        <v>Adams et al.</v>
      </c>
      <c r="AK73" s="880"/>
      <c r="AL73" s="880" t="str">
        <f>IFERROR(__xludf.DUMMYFUNCTION("""COMPUTED_VALUE"""),"South Africa")</f>
        <v>South Africa</v>
      </c>
      <c r="AM73" s="880" t="str">
        <f>IFERROR(__xludf.DUMMYFUNCTION("""COMPUTED_VALUE"""),"Albendazole")</f>
        <v>Albendazole</v>
      </c>
      <c r="AN73" s="880" t="str">
        <f>IFERROR(__xludf.DUMMYFUNCTION("""COMPUTED_VALUE"""),"Two")</f>
        <v>Two</v>
      </c>
      <c r="AO73" s="880" t="str">
        <f>IFERROR(__xludf.DUMMYFUNCTION("""COMPUTED_VALUE"""),"800 mg")</f>
        <v>800 mg</v>
      </c>
      <c r="AP73" s="880">
        <f>IFERROR(__xludf.DUMMYFUNCTION("""COMPUTED_VALUE"""),50.0)</f>
        <v>50</v>
      </c>
      <c r="AQ73" s="880" t="str">
        <f>IFERROR(__xludf.DUMMYFUNCTION("""COMPUTED_VALUE"""),"6-16 years old Mean age: 10 years old")</f>
        <v>6-16 years old Mean age: 10 years old</v>
      </c>
      <c r="AR73" s="880"/>
      <c r="AS73" s="880">
        <f>IFERROR(__xludf.DUMMYFUNCTION("""COMPUTED_VALUE"""),2004.0)</f>
        <v>2004</v>
      </c>
      <c r="AT73" s="880" t="str">
        <f>IFERROR(__xludf.DUMMYFUNCTION("""COMPUTED_VALUE"""),"Exclusion: Chronic prescription medication and/or clinically evident illness")</f>
        <v>Exclusion: Chronic prescription medication and/or clinically evident illness</v>
      </c>
      <c r="AU73" s="880" t="str">
        <f>IFERROR(__xludf.DUMMYFUNCTION("""COMPUTED_VALUE"""),"Yes")</f>
        <v>Yes</v>
      </c>
      <c r="AV73" s="880" t="str">
        <f>IFERROR(__xludf.DUMMYFUNCTION("""COMPUTED_VALUE"""),"Yes")</f>
        <v>Yes</v>
      </c>
      <c r="AW73" s="881" t="str">
        <f>IFERROR(__xludf.DUMMYFUNCTION("""COMPUTED_VALUE"""),"randomized controlled trial, blind")</f>
        <v>randomized controlled trial, blind</v>
      </c>
      <c r="AX73" s="863">
        <f>IFERROR(__xludf.DUMMYFUNCTION("""COMPUTED_VALUE"""),0.56)</f>
        <v>0.56</v>
      </c>
      <c r="AY73" s="863"/>
      <c r="AZ73" s="863"/>
      <c r="BA73" s="863"/>
      <c r="BB73" s="863"/>
      <c r="BC73" s="863"/>
      <c r="BD73" s="863"/>
      <c r="BE73" s="863"/>
      <c r="BF73" s="863"/>
      <c r="BG73" s="863"/>
      <c r="BH73" s="863">
        <f>IFERROR(__xludf.DUMMYFUNCTION("""COMPUTED_VALUE"""),0.993)</f>
        <v>0.993</v>
      </c>
      <c r="BI73" s="863"/>
      <c r="BJ73" s="863"/>
      <c r="BK73" s="863"/>
      <c r="BL73" s="863"/>
      <c r="BM73" s="863"/>
      <c r="BN73" s="863"/>
      <c r="BO73" s="863"/>
      <c r="BP73" s="880"/>
      <c r="BQ73" s="863"/>
      <c r="BR73" s="889" t="str">
        <f>IFERROR(__xludf.DUMMYFUNCTION("""COMPUTED_VALUE"""),"Sinniah et al.")</f>
        <v>Sinniah et al.</v>
      </c>
      <c r="BS73" s="883" t="str">
        <f>IFERROR(__xludf.DUMMYFUNCTION("""COMPUTED_VALUE"""),"Malaysia")</f>
        <v>Malaysia</v>
      </c>
      <c r="BT73" s="883" t="str">
        <f>IFERROR(__xludf.DUMMYFUNCTION("""COMPUTED_VALUE"""),"Albendazole")</f>
        <v>Albendazole</v>
      </c>
      <c r="BU73" s="883"/>
      <c r="BV73" s="883" t="str">
        <f>IFERROR(__xludf.DUMMYFUNCTION("""COMPUTED_VALUE"""),"Single")</f>
        <v>Single</v>
      </c>
      <c r="BW73" s="883" t="str">
        <f>IFERROR(__xludf.DUMMYFUNCTION("""COMPUTED_VALUE"""),"400 mg")</f>
        <v>400 mg</v>
      </c>
      <c r="BX73" s="883"/>
      <c r="BY73" s="890">
        <f>IFERROR(__xludf.DUMMYFUNCTION("""COMPUTED_VALUE"""),42534.0)</f>
        <v>42534</v>
      </c>
      <c r="BZ73" s="883"/>
      <c r="CA73" s="883"/>
      <c r="CB73" s="883"/>
      <c r="CC73" s="883" t="str">
        <f>IFERROR(__xludf.DUMMYFUNCTION("""COMPUTED_VALUE"""),"Yes")</f>
        <v>Yes</v>
      </c>
      <c r="CD73" s="884" t="str">
        <f>IFERROR(__xludf.DUMMYFUNCTION("""COMPUTED_VALUE"""),"91.1.%")</f>
        <v>91.1.%</v>
      </c>
      <c r="CE73" s="883" t="str">
        <f>IFERROR(__xludf.DUMMYFUNCTION("""COMPUTED_VALUE"""),"No")</f>
        <v>No</v>
      </c>
      <c r="CF73" s="883"/>
      <c r="CG73" s="883"/>
      <c r="CH73" s="883"/>
      <c r="CI73" s="883"/>
      <c r="CJ73" s="883"/>
      <c r="CK73" s="883"/>
      <c r="CL73" s="883"/>
      <c r="CM73" s="884">
        <f>IFERROR(__xludf.DUMMYFUNCTION("""COMPUTED_VALUE"""),0.992)</f>
        <v>0.992</v>
      </c>
      <c r="CN73" s="883"/>
      <c r="CO73" s="883"/>
      <c r="CP73" s="883"/>
      <c r="CQ73" s="883"/>
      <c r="CR73" s="883"/>
      <c r="CS73" s="883"/>
      <c r="CT73" s="883"/>
      <c r="CU73" s="883"/>
      <c r="CV73" s="863"/>
      <c r="CW73" s="863"/>
      <c r="CX73" s="863"/>
      <c r="CY73" s="863"/>
      <c r="CZ73" s="863"/>
      <c r="DA73" s="863"/>
      <c r="DB73" s="863"/>
      <c r="DC73" s="863"/>
      <c r="DD73" s="863"/>
      <c r="DE73" s="863"/>
    </row>
    <row r="74">
      <c r="A74" s="887" t="str">
        <f>IFERROR(__xludf.DUMMYFUNCTION("""COMPUTED_VALUE"""),"Levecke et al.")</f>
        <v>Levecke et al.</v>
      </c>
      <c r="B74" s="876" t="str">
        <f>IFERROR(__xludf.DUMMYFUNCTION("""COMPUTED_VALUE"""),"Ethiopia")</f>
        <v>Ethiopia</v>
      </c>
      <c r="C74" s="876" t="str">
        <f>IFERROR(__xludf.DUMMYFUNCTION("""COMPUTED_VALUE"""),"Albendazole")</f>
        <v>Albendazole</v>
      </c>
      <c r="D74" s="876" t="str">
        <f>IFERROR(__xludf.DUMMYFUNCTION("""COMPUTED_VALUE"""),"Single")</f>
        <v>Single</v>
      </c>
      <c r="E74" s="876" t="str">
        <f>IFERROR(__xludf.DUMMYFUNCTION("""COMPUTED_VALUE"""),"400 mg")</f>
        <v>400 mg</v>
      </c>
      <c r="F74" s="876">
        <f>IFERROR(__xludf.DUMMYFUNCTION("""COMPUTED_VALUE"""),91.0)</f>
        <v>91</v>
      </c>
      <c r="G74" s="876">
        <f>IFERROR(__xludf.DUMMYFUNCTION("""COMPUTED_VALUE"""),11.7)</f>
        <v>11.7</v>
      </c>
      <c r="H74" s="876" t="str">
        <f>IFERROR(__xludf.DUMMYFUNCTION("""COMPUTED_VALUE"""),"90:0 ")</f>
        <v>90:0 </v>
      </c>
      <c r="I74" s="876">
        <f>IFERROR(__xludf.DUMMYFUNCTION("""COMPUTED_VALUE"""),2012.0)</f>
        <v>2012</v>
      </c>
      <c r="J74" s="876"/>
      <c r="K74" s="876" t="str">
        <f>IFERROR(__xludf.DUMMYFUNCTION("""COMPUTED_VALUE"""),"open trial")</f>
        <v>open trial</v>
      </c>
      <c r="L74" s="876" t="str">
        <f>IFERROR(__xludf.DUMMYFUNCTION("""COMPUTED_VALUE"""),"No")</f>
        <v>No</v>
      </c>
      <c r="M74" s="876" t="str">
        <f>IFERROR(__xludf.DUMMYFUNCTION("""COMPUTED_VALUE"""),"No")</f>
        <v>No</v>
      </c>
      <c r="N74" s="877">
        <f>IFERROR(__xludf.DUMMYFUNCTION("""COMPUTED_VALUE"""),0.997)</f>
        <v>0.997</v>
      </c>
      <c r="O74" s="876"/>
      <c r="P74" s="876"/>
      <c r="Q74" s="876"/>
      <c r="R74" s="876"/>
      <c r="S74" s="876"/>
      <c r="T74" s="876"/>
      <c r="U74" s="876"/>
      <c r="V74" s="876"/>
      <c r="W74" s="876"/>
      <c r="X74" s="876"/>
      <c r="Y74" s="876"/>
      <c r="Z74" s="876"/>
      <c r="AA74" s="876"/>
      <c r="AB74" s="876"/>
      <c r="AC74" s="876"/>
      <c r="AD74" s="876"/>
      <c r="AE74" s="876" t="str">
        <f>IFERROR(__xludf.DUMMYFUNCTION("""COMPUTED_VALUE"""),"Overall, ALB resulted in statistically higher FECR rate against hookworm infections verse MEB")</f>
        <v>Overall, ALB resulted in statistically higher FECR rate against hookworm infections verse MEB</v>
      </c>
      <c r="AF74" s="876" t="str">
        <f>IFERROR(__xludf.DUMMYFUNCTION("""COMPUTED_VALUE"""),"McMaster Method                                          For hookworm the FECR of both drugs did not depend significantly on the mean FEC at pre-intervention")</f>
        <v>McMaster Method                                          For hookworm the FECR of both drugs did not depend significantly on the mean FEC at pre-intervention</v>
      </c>
      <c r="AG74" s="876" t="str">
        <f>IFERROR(__xludf.DUMMYFUNCTION("""COMPUTED_VALUE"""),"Levecke, Bruno, Antonio Montresor, Marco Albonico, Shaali M. Ame, Jerzy M. Behnke, Jeffrey M. Bethony, Calvine D. Noumedem, Dirk Engels, Bertrand Guillard, Andrew C. Kotze, Alejandro J. Krolewiecki, James S. McCarthy, Zeleke Mekonnen, Maria V. Periago, He"&amp;"m Sopheak, Louis Albert Tchuem-Tchuente, Tran Thanh Duong, Nguyen Thu Huong, Ahmed Zeynudin, and Jozef Vercuysse. ""Assessment of Anthelmintic Efficacy of Mebendazolein School Children in Six Countries Where Soil Transmitted Helminths Are Endemic."" PLOS "&amp;"Neglected Tropical Diseases 8.10 (2014): 1-11. Web.")</f>
        <v>Levecke, Bruno, Antonio Montresor, Marco Albonico, Shaali M. Ame, Jerzy M. Behnke, Jeffrey M. Bethony, Calvine D. Noumedem, Dirk Engels, Bertrand Guillard, Andrew C. Kotze, Alejandro J. Krolewiecki, James S. McCarthy, Zeleke Mekonnen, Maria V. Periago, Hem Sopheak, Louis Albert Tchuem-Tchuente, Tran Thanh Duong, Nguyen Thu Huong, Ahmed Zeynudin, and Jozef Vercuysse. "Assessment of Anthelmintic Efficacy of Mebendazolein School Children in Six Countries Where Soil Transmitted Helminths Are Endemic." PLOS Neglected Tropical Diseases 8.10 (2014): 1-11. Web.</v>
      </c>
      <c r="AH74" s="876" t="str">
        <f>IFERROR(__xludf.DUMMYFUNCTION("""COMPUTED_VALUE"""),"x")</f>
        <v>x</v>
      </c>
      <c r="AI74" s="878"/>
      <c r="AJ74" s="888" t="str">
        <f>IFERROR(__xludf.DUMMYFUNCTION("""COMPUTED_VALUE"""),"Adams et al.")</f>
        <v>Adams et al.</v>
      </c>
      <c r="AK74" s="880"/>
      <c r="AL74" s="880" t="str">
        <f>IFERROR(__xludf.DUMMYFUNCTION("""COMPUTED_VALUE"""),"South Africa")</f>
        <v>South Africa</v>
      </c>
      <c r="AM74" s="880" t="str">
        <f>IFERROR(__xludf.DUMMYFUNCTION("""COMPUTED_VALUE"""),"Albendazole")</f>
        <v>Albendazole</v>
      </c>
      <c r="AN74" s="880" t="str">
        <f>IFERROR(__xludf.DUMMYFUNCTION("""COMPUTED_VALUE"""),"Three")</f>
        <v>Three</v>
      </c>
      <c r="AO74" s="880" t="str">
        <f>IFERROR(__xludf.DUMMYFUNCTION("""COMPUTED_VALUE"""),"1200 mg")</f>
        <v>1200 mg</v>
      </c>
      <c r="AP74" s="880">
        <f>IFERROR(__xludf.DUMMYFUNCTION("""COMPUTED_VALUE"""),50.0)</f>
        <v>50</v>
      </c>
      <c r="AQ74" s="880" t="str">
        <f>IFERROR(__xludf.DUMMYFUNCTION("""COMPUTED_VALUE"""),"6-16 years old Mean age: 10 years old")</f>
        <v>6-16 years old Mean age: 10 years old</v>
      </c>
      <c r="AR74" s="880"/>
      <c r="AS74" s="880">
        <f>IFERROR(__xludf.DUMMYFUNCTION("""COMPUTED_VALUE"""),2004.0)</f>
        <v>2004</v>
      </c>
      <c r="AT74" s="880" t="str">
        <f>IFERROR(__xludf.DUMMYFUNCTION("""COMPUTED_VALUE"""),"Exclusion: Chronic prescription medication and/or clinically evident illness")</f>
        <v>Exclusion: Chronic prescription medication and/or clinically evident illness</v>
      </c>
      <c r="AU74" s="880" t="str">
        <f>IFERROR(__xludf.DUMMYFUNCTION("""COMPUTED_VALUE"""),"Yes")</f>
        <v>Yes</v>
      </c>
      <c r="AV74" s="880" t="str">
        <f>IFERROR(__xludf.DUMMYFUNCTION("""COMPUTED_VALUE"""),"Yes")</f>
        <v>Yes</v>
      </c>
      <c r="AW74" s="881" t="str">
        <f>IFERROR(__xludf.DUMMYFUNCTION("""COMPUTED_VALUE"""),"randomized controlled trial, blind")</f>
        <v>randomized controlled trial, blind</v>
      </c>
      <c r="AX74" s="863">
        <f>IFERROR(__xludf.DUMMYFUNCTION("""COMPUTED_VALUE"""),0.67)</f>
        <v>0.67</v>
      </c>
      <c r="AY74" s="863"/>
      <c r="AZ74" s="863"/>
      <c r="BA74" s="863"/>
      <c r="BB74" s="863"/>
      <c r="BC74" s="863"/>
      <c r="BD74" s="863"/>
      <c r="BE74" s="863"/>
      <c r="BF74" s="863"/>
      <c r="BG74" s="863"/>
      <c r="BH74" s="863">
        <f>IFERROR(__xludf.DUMMYFUNCTION("""COMPUTED_VALUE"""),0.997)</f>
        <v>0.997</v>
      </c>
      <c r="BI74" s="863"/>
      <c r="BJ74" s="863"/>
      <c r="BK74" s="863"/>
      <c r="BL74" s="863"/>
      <c r="BM74" s="863"/>
      <c r="BN74" s="863"/>
      <c r="BO74" s="863"/>
      <c r="BP74" s="880"/>
      <c r="BQ74" s="863"/>
      <c r="BR74" s="889" t="str">
        <f>IFERROR(__xludf.DUMMYFUNCTION("""COMPUTED_VALUE"""),"Sinniah et al.")</f>
        <v>Sinniah et al.</v>
      </c>
      <c r="BS74" s="883" t="str">
        <f>IFERROR(__xludf.DUMMYFUNCTION("""COMPUTED_VALUE"""),"Malaysia")</f>
        <v>Malaysia</v>
      </c>
      <c r="BT74" s="883" t="str">
        <f>IFERROR(__xludf.DUMMYFUNCTION("""COMPUTED_VALUE"""),"Placebo")</f>
        <v>Placebo</v>
      </c>
      <c r="BU74" s="883"/>
      <c r="BV74" s="883"/>
      <c r="BW74" s="883"/>
      <c r="BX74" s="883"/>
      <c r="BY74" s="890">
        <f>IFERROR(__xludf.DUMMYFUNCTION("""COMPUTED_VALUE"""),42534.0)</f>
        <v>42534</v>
      </c>
      <c r="BZ74" s="883"/>
      <c r="CA74" s="883"/>
      <c r="CB74" s="883"/>
      <c r="CC74" s="883" t="str">
        <f>IFERROR(__xludf.DUMMYFUNCTION("""COMPUTED_VALUE"""),"Yes")</f>
        <v>Yes</v>
      </c>
      <c r="CD74" s="884">
        <f>IFERROR(__xludf.DUMMYFUNCTION("""COMPUTED_VALUE"""),0.0)</f>
        <v>0</v>
      </c>
      <c r="CE74" s="883" t="str">
        <f>IFERROR(__xludf.DUMMYFUNCTION("""COMPUTED_VALUE"""),"No")</f>
        <v>No</v>
      </c>
      <c r="CF74" s="883"/>
      <c r="CG74" s="883"/>
      <c r="CH74" s="883"/>
      <c r="CI74" s="883"/>
      <c r="CJ74" s="883"/>
      <c r="CK74" s="883"/>
      <c r="CL74" s="883"/>
      <c r="CM74" s="883" t="str">
        <f>IFERROR(__xludf.DUMMYFUNCTION("""COMPUTED_VALUE"""),"3.12%%")</f>
        <v>3.12%%</v>
      </c>
      <c r="CN74" s="883"/>
      <c r="CO74" s="883"/>
      <c r="CP74" s="883"/>
      <c r="CQ74" s="883"/>
      <c r="CR74" s="883"/>
      <c r="CS74" s="883"/>
      <c r="CT74" s="883"/>
      <c r="CU74" s="883"/>
      <c r="CV74" s="863"/>
      <c r="CW74" s="863"/>
      <c r="CX74" s="863"/>
      <c r="CY74" s="863"/>
      <c r="CZ74" s="863"/>
      <c r="DA74" s="863"/>
      <c r="DB74" s="863"/>
      <c r="DC74" s="863"/>
      <c r="DD74" s="863"/>
      <c r="DE74" s="863"/>
    </row>
    <row r="75">
      <c r="A75" s="887" t="str">
        <f>IFERROR(__xludf.DUMMYFUNCTION("""COMPUTED_VALUE"""),"Levecke et al.")</f>
        <v>Levecke et al.</v>
      </c>
      <c r="B75" s="876" t="str">
        <f>IFERROR(__xludf.DUMMYFUNCTION("""COMPUTED_VALUE"""),"Ethiopia")</f>
        <v>Ethiopia</v>
      </c>
      <c r="C75" s="876" t="str">
        <f>IFERROR(__xludf.DUMMYFUNCTION("""COMPUTED_VALUE"""),"Mebendazole")</f>
        <v>Mebendazole</v>
      </c>
      <c r="D75" s="876" t="str">
        <f>IFERROR(__xludf.DUMMYFUNCTION("""COMPUTED_VALUE"""),"Single")</f>
        <v>Single</v>
      </c>
      <c r="E75" s="876" t="str">
        <f>IFERROR(__xludf.DUMMYFUNCTION("""COMPUTED_VALUE"""),"500 mg")</f>
        <v>500 mg</v>
      </c>
      <c r="F75" s="876">
        <f>IFERROR(__xludf.DUMMYFUNCTION("""COMPUTED_VALUE"""),100.0)</f>
        <v>100</v>
      </c>
      <c r="G75" s="876">
        <f>IFERROR(__xludf.DUMMYFUNCTION("""COMPUTED_VALUE"""),11.7)</f>
        <v>11.7</v>
      </c>
      <c r="H75" s="876">
        <f>IFERROR(__xludf.DUMMYFUNCTION("""COMPUTED_VALUE"""),0.04097222222222222)</f>
        <v>0.04097222222</v>
      </c>
      <c r="I75" s="876">
        <f>IFERROR(__xludf.DUMMYFUNCTION("""COMPUTED_VALUE"""),2012.0)</f>
        <v>2012</v>
      </c>
      <c r="J75" s="876"/>
      <c r="K75" s="876" t="str">
        <f>IFERROR(__xludf.DUMMYFUNCTION("""COMPUTED_VALUE"""),"open trial")</f>
        <v>open trial</v>
      </c>
      <c r="L75" s="876" t="str">
        <f>IFERROR(__xludf.DUMMYFUNCTION("""COMPUTED_VALUE"""),"No")</f>
        <v>No</v>
      </c>
      <c r="M75" s="876" t="str">
        <f>IFERROR(__xludf.DUMMYFUNCTION("""COMPUTED_VALUE"""),"No")</f>
        <v>No</v>
      </c>
      <c r="N75" s="877">
        <f>IFERROR(__xludf.DUMMYFUNCTION("""COMPUTED_VALUE"""),0.654)</f>
        <v>0.654</v>
      </c>
      <c r="O75" s="876"/>
      <c r="P75" s="876"/>
      <c r="Q75" s="876"/>
      <c r="R75" s="876"/>
      <c r="S75" s="876"/>
      <c r="T75" s="876"/>
      <c r="U75" s="876"/>
      <c r="V75" s="876"/>
      <c r="W75" s="876"/>
      <c r="X75" s="876"/>
      <c r="Y75" s="876"/>
      <c r="Z75" s="876"/>
      <c r="AA75" s="876"/>
      <c r="AB75" s="876"/>
      <c r="AC75" s="876"/>
      <c r="AD75" s="876"/>
      <c r="AE75" s="876" t="str">
        <f>IFERROR(__xludf.DUMMYFUNCTION("""COMPUTED_VALUE"""),"Overall, ALB resulted in statistically higher FECR rate against hookworm infections verse MEB")</f>
        <v>Overall, ALB resulted in statistically higher FECR rate against hookworm infections verse MEB</v>
      </c>
      <c r="AF75" s="876" t="str">
        <f>IFERROR(__xludf.DUMMYFUNCTION("""COMPUTED_VALUE"""),"McMaster Method                                          For hookworm the FECR of both drugs did not depend significantly on the mean FEC at pre-intervention")</f>
        <v>McMaster Method                                          For hookworm the FECR of both drugs did not depend significantly on the mean FEC at pre-intervention</v>
      </c>
      <c r="AG75" s="876" t="str">
        <f>IFERROR(__xludf.DUMMYFUNCTION("""COMPUTED_VALUE"""),"Levecke, Bruno, Antonio Montresor, Marco Albonico, Shaali M. Ame, Jerzy M. Behnke, Jeffrey M. Bethony, Calvine D. Noumedem, Dirk Engels, Bertrand Guillard, Andrew C. Kotze, Alejandro J. Krolewiecki, James S. McCarthy, Zeleke Mekonnen, Maria V. Periago, He"&amp;"m Sopheak, Louis Albert Tchuem-Tchuente, Tran Thanh Duong, Nguyen Thu Huong, Ahmed Zeynudin, and Jozef Vercuysse. ""Assessment of Anthelmintic Efficacy of Mebendazolein School Children in Six Countries Where Soil Transmitted Helminths Are Endemic."" PLOS "&amp;"Neglected Tropical Diseases 8.10 (2014): 1-11. Web.")</f>
        <v>Levecke, Bruno, Antonio Montresor, Marco Albonico, Shaali M. Ame, Jerzy M. Behnke, Jeffrey M. Bethony, Calvine D. Noumedem, Dirk Engels, Bertrand Guillard, Andrew C. Kotze, Alejandro J. Krolewiecki, James S. McCarthy, Zeleke Mekonnen, Maria V. Periago, Hem Sopheak, Louis Albert Tchuem-Tchuente, Tran Thanh Duong, Nguyen Thu Huong, Ahmed Zeynudin, and Jozef Vercuysse. "Assessment of Anthelmintic Efficacy of Mebendazolein School Children in Six Countries Where Soil Transmitted Helminths Are Endemic." PLOS Neglected Tropical Diseases 8.10 (2014): 1-11. Web.</v>
      </c>
      <c r="AH75" s="876" t="str">
        <f>IFERROR(__xludf.DUMMYFUNCTION("""COMPUTED_VALUE"""),"x")</f>
        <v>x</v>
      </c>
      <c r="AI75" s="878"/>
      <c r="AJ75" s="888" t="str">
        <f>IFERROR(__xludf.DUMMYFUNCTION("""COMPUTED_VALUE"""),"Steinmann et al.")</f>
        <v>Steinmann et al.</v>
      </c>
      <c r="AK75" s="880" t="str">
        <f>IFERROR(__xludf.DUMMYFUNCTION("""COMPUTED_VALUE"""),"Steinmann, Peter, Xiao-Nong Zhou, Zun-Wei Du, Jin-Yong Jiang, Shu-Hua Xiao, Zhong-Xing Wu, Hui Zhou, and Jurg Utzinger. ""Tribendimidineand Albendazolefor Treating Soil-transmitted Helminths, Strongyloides Stercoralis and Taena Spp.: Open-lable Randomized"&amp;" Trial."" PLOS Neglected Tropical Diseases 2.10 (2008): 1-10. Web.")</f>
        <v>Steinmann, Peter, Xiao-Nong Zhou, Zun-Wei Du, Jin-Yong Jiang, Shu-Hua Xiao, Zhong-Xing Wu, Hui Zhou, and Jurg Utzinger. "Tribendimidineand Albendazolefor Treating Soil-transmitted Helminths, Strongyloides Stercoralis and Taena Spp.: Open-lable Randomized Trial." PLOS Neglected Tropical Diseases 2.10 (2008): 1-10. Web.</v>
      </c>
      <c r="AL75" s="880" t="str">
        <f>IFERROR(__xludf.DUMMYFUNCTION("""COMPUTED_VALUE"""),"China")</f>
        <v>China</v>
      </c>
      <c r="AM75" s="880" t="str">
        <f>IFERROR(__xludf.DUMMYFUNCTION("""COMPUTED_VALUE"""),"Albendazole")</f>
        <v>Albendazole</v>
      </c>
      <c r="AN75" s="880" t="str">
        <f>IFERROR(__xludf.DUMMYFUNCTION("""COMPUTED_VALUE"""),"Single")</f>
        <v>Single</v>
      </c>
      <c r="AO75" s="880" t="str">
        <f>IFERROR(__xludf.DUMMYFUNCTION("""COMPUTED_VALUE"""),"200 mg")</f>
        <v>200 mg</v>
      </c>
      <c r="AP75" s="880" t="str">
        <f>IFERROR(__xludf.DUMMYFUNCTION("""COMPUTED_VALUE"""),"66/123")</f>
        <v>66/123</v>
      </c>
      <c r="AQ75" s="880" t="str">
        <f>IFERROR(__xludf.DUMMYFUNCTION("""COMPUTED_VALUE"""),"5-14 year old")</f>
        <v>5-14 year old</v>
      </c>
      <c r="AR75" s="880" t="str">
        <f>IFERROR(__xludf.DUMMYFUNCTION("""COMPUTED_VALUE"""),"Male:51 Female:57")</f>
        <v>Male:51 Female:57</v>
      </c>
      <c r="AS75" s="880">
        <f>IFERROR(__xludf.DUMMYFUNCTION("""COMPUTED_VALUE"""),2007.0)</f>
        <v>2007</v>
      </c>
      <c r="AT75" s="880"/>
      <c r="AU75" s="880" t="str">
        <f>IFERROR(__xludf.DUMMYFUNCTION("""COMPUTED_VALUE"""),"Yes")</f>
        <v>Yes</v>
      </c>
      <c r="AV75" s="880" t="str">
        <f>IFERROR(__xludf.DUMMYFUNCTION("""COMPUTED_VALUE"""),"No")</f>
        <v>No</v>
      </c>
      <c r="AW75" s="881" t="str">
        <f>IFERROR(__xludf.DUMMYFUNCTION("""COMPUTED_VALUE"""),"open label randomized controlled trial with arms")</f>
        <v>open label randomized controlled trial with arms</v>
      </c>
      <c r="AX75" s="863">
        <f>IFERROR(__xludf.DUMMYFUNCTION("""COMPUTED_VALUE"""),0.117)</f>
        <v>0.117</v>
      </c>
      <c r="AY75" s="863"/>
      <c r="AZ75" s="863"/>
      <c r="BA75" s="863"/>
      <c r="BB75" s="863"/>
      <c r="BC75" s="863"/>
      <c r="BD75" s="863"/>
      <c r="BE75" s="863"/>
      <c r="BF75" s="863"/>
      <c r="BG75" s="863"/>
      <c r="BH75" s="863">
        <f>IFERROR(__xludf.DUMMYFUNCTION("""COMPUTED_VALUE"""),0.106)</f>
        <v>0.106</v>
      </c>
      <c r="BI75" s="863"/>
      <c r="BJ75" s="863"/>
      <c r="BK75" s="863"/>
      <c r="BL75" s="863"/>
      <c r="BM75" s="863"/>
      <c r="BN75" s="863"/>
      <c r="BO75" s="863" t="str">
        <f>IFERROR(__xludf.DUMMYFUNCTION("""COMPUTED_VALUE"""),"Kato-Katz method, koga agar plate, and baermann test")</f>
        <v>Kato-Katz method, koga agar plate, and baermann test</v>
      </c>
      <c r="BP75" s="880"/>
      <c r="BQ75" s="863"/>
      <c r="BR75" s="889" t="str">
        <f>IFERROR(__xludf.DUMMYFUNCTION("""COMPUTED_VALUE"""),"Stephenson et al. ")</f>
        <v>Stephenson et al. </v>
      </c>
      <c r="BS75" s="883" t="str">
        <f>IFERROR(__xludf.DUMMYFUNCTION("""COMPUTED_VALUE"""),"Kenya")</f>
        <v>Kenya</v>
      </c>
      <c r="BT75" s="883" t="str">
        <f>IFERROR(__xludf.DUMMYFUNCTION("""COMPUTED_VALUE"""),"Albendazole")</f>
        <v>Albendazole</v>
      </c>
      <c r="BU75" s="883"/>
      <c r="BV75" s="883" t="str">
        <f>IFERROR(__xludf.DUMMYFUNCTION("""COMPUTED_VALUE"""),"Single")</f>
        <v>Single</v>
      </c>
      <c r="BW75" s="883" t="str">
        <f>IFERROR(__xludf.DUMMYFUNCTION("""COMPUTED_VALUE"""),"400 mg")</f>
        <v>400 mg</v>
      </c>
      <c r="BX75" s="883">
        <f>IFERROR(__xludf.DUMMYFUNCTION("""COMPUTED_VALUE"""),36.0)</f>
        <v>36</v>
      </c>
      <c r="BY75" s="890">
        <f>IFERROR(__xludf.DUMMYFUNCTION("""COMPUTED_VALUE"""),42533.0)</f>
        <v>42533</v>
      </c>
      <c r="BZ75" s="883">
        <f>IFERROR(__xludf.DUMMYFUNCTION("""COMPUTED_VALUE"""),1986.0)</f>
        <v>1986</v>
      </c>
      <c r="CA75" s="883" t="str">
        <f>IFERROR(__xludf.DUMMYFUNCTION("""COMPUTED_VALUE"""),"schoolboys")</f>
        <v>schoolboys</v>
      </c>
      <c r="CB75" s="883"/>
      <c r="CC75" s="883" t="str">
        <f>IFERROR(__xludf.DUMMYFUNCTION("""COMPUTED_VALUE"""),"Yes")</f>
        <v>Yes</v>
      </c>
      <c r="CD75" s="884">
        <f>IFERROR(__xludf.DUMMYFUNCTION("""COMPUTED_VALUE"""),1.0)</f>
        <v>1</v>
      </c>
      <c r="CE75" s="883" t="str">
        <f>IFERROR(__xludf.DUMMYFUNCTION("""COMPUTED_VALUE"""),"Yes")</f>
        <v>Yes</v>
      </c>
      <c r="CF75" s="883"/>
      <c r="CG75" s="883"/>
      <c r="CH75" s="883"/>
      <c r="CI75" s="883"/>
      <c r="CJ75" s="883"/>
      <c r="CK75" s="883"/>
      <c r="CL75" s="883"/>
      <c r="CM75" s="891">
        <f>IFERROR(__xludf.DUMMYFUNCTION("""COMPUTED_VALUE"""),1.0)</f>
        <v>1</v>
      </c>
      <c r="CN75" s="883"/>
      <c r="CO75" s="883"/>
      <c r="CP75" s="883"/>
      <c r="CQ75" s="883"/>
      <c r="CR75" s="883"/>
      <c r="CS75" s="883" t="str">
        <f>IFERROR(__xludf.DUMMYFUNCTION("""COMPUTED_VALUE"""),"single dose treatment with albendazole, despite continual exposure to reinfection, can allow improved physical fitness in schoolboys in areas where soil-transmitted helminths and protein-energy malnutrition are highly prevalent.")</f>
        <v>single dose treatment with albendazole, despite continual exposure to reinfection, can allow improved physical fitness in schoolboys in areas where soil-transmitted helminths and protein-energy malnutrition are highly prevalent.</v>
      </c>
      <c r="CT75" s="883" t="str">
        <f>IFERROR(__xludf.DUMMYFUNCTION("""COMPUTED_VALUE""")," ")</f>
        <v> </v>
      </c>
      <c r="CU75" s="883" t="str">
        <f>IFERROR(__xludf.DUMMYFUNCTION("""COMPUTED_VALUE"""),"
")</f>
        <v>
</v>
      </c>
      <c r="CV75" s="863"/>
      <c r="CW75" s="863"/>
      <c r="CX75" s="863"/>
      <c r="CY75" s="863"/>
      <c r="CZ75" s="863"/>
      <c r="DA75" s="863"/>
      <c r="DB75" s="863"/>
      <c r="DC75" s="863"/>
      <c r="DD75" s="863"/>
      <c r="DE75" s="863"/>
    </row>
    <row r="76">
      <c r="A76" s="887" t="str">
        <f>IFERROR(__xludf.DUMMYFUNCTION("""COMPUTED_VALUE"""),"Lyu et al. ")</f>
        <v>Lyu et al. </v>
      </c>
      <c r="B76" s="876" t="str">
        <f>IFERROR(__xludf.DUMMYFUNCTION("""COMPUTED_VALUE"""),"Republic of Korea")</f>
        <v>Republic of Korea</v>
      </c>
      <c r="C76" s="876" t="str">
        <f>IFERROR(__xludf.DUMMYFUNCTION("""COMPUTED_VALUE"""),"Pyrantel Embonate")</f>
        <v>Pyrantel Embonate</v>
      </c>
      <c r="D76" s="876" t="str">
        <f>IFERROR(__xludf.DUMMYFUNCTION("""COMPUTED_VALUE"""),"Single")</f>
        <v>Single</v>
      </c>
      <c r="E76" s="876" t="str">
        <f>IFERROR(__xludf.DUMMYFUNCTION("""COMPUTED_VALUE"""),"10 mg/kg")</f>
        <v>10 mg/kg</v>
      </c>
      <c r="F76" s="876" t="str">
        <f>IFERROR(__xludf.DUMMYFUNCTION("""COMPUTED_VALUE"""),"49/100")</f>
        <v>49/100</v>
      </c>
      <c r="G76" s="876" t="str">
        <f>IFERROR(__xludf.DUMMYFUNCTION("""COMPUTED_VALUE"""),"8-76 ")</f>
        <v>8-76 </v>
      </c>
      <c r="H76" s="876" t="str">
        <f>IFERROR(__xludf.DUMMYFUNCTION("""COMPUTED_VALUE"""),"54:46")</f>
        <v>54:46</v>
      </c>
      <c r="I76" s="876">
        <f>IFERROR(__xludf.DUMMYFUNCTION("""COMPUTED_VALUE"""),1975.0)</f>
        <v>1975</v>
      </c>
      <c r="J76" s="876"/>
      <c r="K76" s="876" t="str">
        <f>IFERROR(__xludf.DUMMYFUNCTION("""COMPUTED_VALUE"""),"single-blind non cross over randomized")</f>
        <v>single-blind non cross over randomized</v>
      </c>
      <c r="L76" s="876" t="str">
        <f>IFERROR(__xludf.DUMMYFUNCTION("""COMPUTED_VALUE"""),"Yes")</f>
        <v>Yes</v>
      </c>
      <c r="M76" s="876" t="str">
        <f>IFERROR(__xludf.DUMMYFUNCTION("""COMPUTED_VALUE"""),"Yes")</f>
        <v>Yes</v>
      </c>
      <c r="N76" s="877">
        <f>IFERROR(__xludf.DUMMYFUNCTION("""COMPUTED_VALUE"""),0.857)</f>
        <v>0.857</v>
      </c>
      <c r="O76" s="876"/>
      <c r="P76" s="876"/>
      <c r="Q76" s="876"/>
      <c r="R76" s="876"/>
      <c r="S76" s="876"/>
      <c r="T76" s="876"/>
      <c r="U76" s="876"/>
      <c r="V76" s="876"/>
      <c r="W76" s="876">
        <f>IFERROR(__xludf.DUMMYFUNCTION("""COMPUTED_VALUE"""),0.999)</f>
        <v>0.999</v>
      </c>
      <c r="X76" s="876"/>
      <c r="Y76" s="876"/>
      <c r="Z76" s="876"/>
      <c r="AA76" s="876"/>
      <c r="AB76" s="876"/>
      <c r="AC76" s="876"/>
      <c r="AD76" s="876"/>
      <c r="AE76" s="876" t="str">
        <f>IFERROR(__xludf.DUMMYFUNCTION("""COMPUTED_VALUE"""),"Pyrantel is ideal for patients with multople helminth infections")</f>
        <v>Pyrantel is ideal for patients with multople helminth infections</v>
      </c>
      <c r="AF76" s="876" t="str">
        <f>IFERROR(__xludf.DUMMYFUNCTION("""COMPUTED_VALUE"""),"1.Given on empty stomach")</f>
        <v>1.Given on empty stomach</v>
      </c>
      <c r="AG76" s="876" t="str">
        <f>IFERROR(__xludf.DUMMYFUNCTION("""COMPUTED_VALUE"""),"Lim, Jung-Kyoo, Kwang-sa Lyu, Il Hyun, Sun-dae Song, and Han-Jong Rim. ""Pyrantel Embonate and Bephenum Hydroxynaphthoate in the Treatment of Hookworm Infection."" The Korean Journal of Parasitology 13.1 (1975): 19-30. Web.")</f>
        <v>Lim, Jung-Kyoo, Kwang-sa Lyu, Il Hyun, Sun-dae Song, and Han-Jong Rim. "Pyrantel Embonate and Bephenum Hydroxynaphthoate in the Treatment of Hookworm Infection." The Korean Journal of Parasitology 13.1 (1975): 19-30. Web.</v>
      </c>
      <c r="AH76" s="876"/>
      <c r="AI76" s="878"/>
      <c r="AJ76" s="888" t="str">
        <f>IFERROR(__xludf.DUMMYFUNCTION("""COMPUTED_VALUE"""),"Steinmann et al.")</f>
        <v>Steinmann et al.</v>
      </c>
      <c r="AK76" s="880"/>
      <c r="AL76" s="880" t="str">
        <f>IFERROR(__xludf.DUMMYFUNCTION("""COMPUTED_VALUE"""),"China")</f>
        <v>China</v>
      </c>
      <c r="AM76" s="880" t="str">
        <f>IFERROR(__xludf.DUMMYFUNCTION("""COMPUTED_VALUE"""),"Albendazole")</f>
        <v>Albendazole</v>
      </c>
      <c r="AN76" s="880" t="str">
        <f>IFERROR(__xludf.DUMMYFUNCTION("""COMPUTED_VALUE"""),"Single")</f>
        <v>Single</v>
      </c>
      <c r="AO76" s="880" t="str">
        <f>IFERROR(__xludf.DUMMYFUNCTION("""COMPUTED_VALUE"""),"400 mg")</f>
        <v>400 mg</v>
      </c>
      <c r="AP76" s="880"/>
      <c r="AQ76" s="880" t="str">
        <f>IFERROR(__xludf.DUMMYFUNCTION("""COMPUTED_VALUE"""),"15 years old or older")</f>
        <v>15 years old or older</v>
      </c>
      <c r="AR76" s="880" t="str">
        <f>IFERROR(__xludf.DUMMYFUNCTION("""COMPUTED_VALUE"""),"Male:51 Female:58")</f>
        <v>Male:51 Female:58</v>
      </c>
      <c r="AS76" s="880">
        <f>IFERROR(__xludf.DUMMYFUNCTION("""COMPUTED_VALUE"""),2007.0)</f>
        <v>2007</v>
      </c>
      <c r="AT76" s="880"/>
      <c r="AU76" s="880" t="str">
        <f>IFERROR(__xludf.DUMMYFUNCTION("""COMPUTED_VALUE"""),"Yes")</f>
        <v>Yes</v>
      </c>
      <c r="AV76" s="880" t="str">
        <f>IFERROR(__xludf.DUMMYFUNCTION("""COMPUTED_VALUE"""),"No")</f>
        <v>No</v>
      </c>
      <c r="AW76" s="881" t="str">
        <f>IFERROR(__xludf.DUMMYFUNCTION("""COMPUTED_VALUE"""),"open label randomized controlled trial with arms")</f>
        <v>open label randomized controlled trial with arms</v>
      </c>
      <c r="AX76" s="863"/>
      <c r="AY76" s="863"/>
      <c r="AZ76" s="863"/>
      <c r="BA76" s="863"/>
      <c r="BB76" s="863"/>
      <c r="BC76" s="863"/>
      <c r="BD76" s="863"/>
      <c r="BE76" s="863"/>
      <c r="BF76" s="863"/>
      <c r="BG76" s="863"/>
      <c r="BH76" s="863"/>
      <c r="BI76" s="863"/>
      <c r="BJ76" s="863"/>
      <c r="BK76" s="863"/>
      <c r="BL76" s="863"/>
      <c r="BM76" s="863"/>
      <c r="BN76" s="863"/>
      <c r="BO76" s="863"/>
      <c r="BP76" s="880"/>
      <c r="BQ76" s="863"/>
      <c r="BR76" s="889" t="str">
        <f>IFERROR(__xludf.DUMMYFUNCTION("""COMPUTED_VALUE"""),"Stephenson et al. ")</f>
        <v>Stephenson et al. </v>
      </c>
      <c r="BS76" s="883" t="str">
        <f>IFERROR(__xludf.DUMMYFUNCTION("""COMPUTED_VALUE"""),"Kenya")</f>
        <v>Kenya</v>
      </c>
      <c r="BT76" s="883" t="str">
        <f>IFERROR(__xludf.DUMMYFUNCTION("""COMPUTED_VALUE"""),"Placebo")</f>
        <v>Placebo</v>
      </c>
      <c r="BU76" s="883"/>
      <c r="BV76" s="883"/>
      <c r="BW76" s="883"/>
      <c r="BX76" s="883"/>
      <c r="BY76" s="890">
        <f>IFERROR(__xludf.DUMMYFUNCTION("""COMPUTED_VALUE"""),42533.0)</f>
        <v>42533</v>
      </c>
      <c r="BZ76" s="883">
        <f>IFERROR(__xludf.DUMMYFUNCTION("""COMPUTED_VALUE"""),1986.0)</f>
        <v>1986</v>
      </c>
      <c r="CA76" s="883"/>
      <c r="CB76" s="883"/>
      <c r="CC76" s="883" t="str">
        <f>IFERROR(__xludf.DUMMYFUNCTION("""COMPUTED_VALUE"""),"Yes")</f>
        <v>Yes</v>
      </c>
      <c r="CD76" s="884">
        <f>IFERROR(__xludf.DUMMYFUNCTION("""COMPUTED_VALUE"""),0.0)</f>
        <v>0</v>
      </c>
      <c r="CE76" s="883" t="str">
        <f>IFERROR(__xludf.DUMMYFUNCTION("""COMPUTED_VALUE"""),"Yes")</f>
        <v>Yes</v>
      </c>
      <c r="CF76" s="883"/>
      <c r="CG76" s="883"/>
      <c r="CH76" s="883"/>
      <c r="CI76" s="883"/>
      <c r="CJ76" s="883"/>
      <c r="CK76" s="883"/>
      <c r="CL76" s="883"/>
      <c r="CM76" s="891">
        <f>IFERROR(__xludf.DUMMYFUNCTION("""COMPUTED_VALUE"""),-0.2)</f>
        <v>-0.2</v>
      </c>
      <c r="CN76" s="883"/>
      <c r="CO76" s="883"/>
      <c r="CP76" s="883"/>
      <c r="CQ76" s="883"/>
      <c r="CR76" s="883"/>
      <c r="CS76" s="883"/>
      <c r="CT76" s="883"/>
      <c r="CU76" s="883"/>
      <c r="CV76" s="863"/>
      <c r="CW76" s="863"/>
      <c r="CX76" s="863"/>
      <c r="CY76" s="863"/>
      <c r="CZ76" s="863"/>
      <c r="DA76" s="863"/>
      <c r="DB76" s="863"/>
      <c r="DC76" s="863"/>
      <c r="DD76" s="863"/>
      <c r="DE76" s="863"/>
    </row>
    <row r="77">
      <c r="A77" s="887" t="str">
        <f>IFERROR(__xludf.DUMMYFUNCTION("""COMPUTED_VALUE"""),"Mani et al.")</f>
        <v>Mani et al.</v>
      </c>
      <c r="B77" s="876" t="str">
        <f>IFERROR(__xludf.DUMMYFUNCTION("""COMPUTED_VALUE"""),"India")</f>
        <v>India</v>
      </c>
      <c r="C77" s="876" t="str">
        <f>IFERROR(__xludf.DUMMYFUNCTION("""COMPUTED_VALUE"""),"Albendazole &amp; Diethylcarbamazine")</f>
        <v>Albendazole &amp; Diethylcarbamazine</v>
      </c>
      <c r="D77" s="876" t="str">
        <f>IFERROR(__xludf.DUMMYFUNCTION("""COMPUTED_VALUE"""),"Single")</f>
        <v>Single</v>
      </c>
      <c r="E77" s="876" t="str">
        <f>IFERROR(__xludf.DUMMYFUNCTION("""COMPUTED_VALUE"""),"600 mg; 6 mg")</f>
        <v>600 mg; 6 mg</v>
      </c>
      <c r="F77" s="876">
        <f>IFERROR(__xludf.DUMMYFUNCTION("""COMPUTED_VALUE"""),321.0)</f>
        <v>321</v>
      </c>
      <c r="G77" s="876">
        <f>IFERROR(__xludf.DUMMYFUNCTION("""COMPUTED_VALUE"""),42384.0)</f>
        <v>42384</v>
      </c>
      <c r="H77" s="876" t="str">
        <f>IFERROR(__xludf.DUMMYFUNCTION("""COMPUTED_VALUE"""),"144:177")</f>
        <v>144:177</v>
      </c>
      <c r="I77" s="876">
        <f>IFERROR(__xludf.DUMMYFUNCTION("""COMPUTED_VALUE"""),2001.0)</f>
        <v>2001</v>
      </c>
      <c r="J77" s="876"/>
      <c r="K77" s="876" t="str">
        <f>IFERROR(__xludf.DUMMYFUNCTION("""COMPUTED_VALUE"""),"randomized controlled trial")</f>
        <v>randomized controlled trial</v>
      </c>
      <c r="L77" s="876" t="str">
        <f>IFERROR(__xludf.DUMMYFUNCTION("""COMPUTED_VALUE"""),"Yes")</f>
        <v>Yes</v>
      </c>
      <c r="M77" s="876" t="str">
        <f>IFERROR(__xludf.DUMMYFUNCTION("""COMPUTED_VALUE"""),"No")</f>
        <v>No</v>
      </c>
      <c r="N77" s="877">
        <f>IFERROR(__xludf.DUMMYFUNCTION("""COMPUTED_VALUE"""),0.8952)</f>
        <v>0.8952</v>
      </c>
      <c r="O77" s="876"/>
      <c r="P77" s="876"/>
      <c r="Q77" s="876"/>
      <c r="R77" s="876"/>
      <c r="S77" s="876"/>
      <c r="T77" s="876"/>
      <c r="U77" s="876"/>
      <c r="V77" s="876"/>
      <c r="W77" s="876">
        <f>IFERROR(__xludf.DUMMYFUNCTION("""COMPUTED_VALUE"""),0.9418)</f>
        <v>0.9418</v>
      </c>
      <c r="X77" s="876"/>
      <c r="Y77" s="876"/>
      <c r="Z77" s="876"/>
      <c r="AA77" s="876"/>
      <c r="AB77" s="876"/>
      <c r="AC77" s="876"/>
      <c r="AD77" s="876"/>
      <c r="AE77" s="876" t="str">
        <f>IFERROR(__xludf.DUMMYFUNCTION("""COMPUTED_VALUE"""),"DEC alone gave a poor cure (26%) and egg reduction rate (36%) for hookworm infection and was definitely inferior to combination drug therapy.")</f>
        <v>DEC alone gave a poor cure (26%) and egg reduction rate (36%) for hookworm infection and was definitely inferior to combination drug therapy.</v>
      </c>
      <c r="AF77" s="876" t="str">
        <f>IFERROR(__xludf.DUMMYFUNCTION("""COMPUTED_VALUE"""),"Kato-Katz Method")</f>
        <v>Kato-Katz Method</v>
      </c>
      <c r="AG77" s="876" t="str">
        <f>IFERROR(__xludf.DUMMYFUNCTION("""COMPUTED_VALUE"""),"Mani, T. R., Rajendran, R., Munirathinam, A., Sunish, I. P., Abdullah, S. Md., Augustin, D. J., Satyanaryana, K. “Efficacy of co-administration of Albendazoleand diethylcarbamazine against geohelminthiases: a study from South India”. Tropical Medicine and"&amp;" International Health 7 (2002): 541-548. Web.")</f>
        <v>Mani, T. R., Rajendran, R., Munirathinam, A., Sunish, I. P., Abdullah, S. Md., Augustin, D. J., Satyanaryana, K. “Efficacy of co-administration of Albendazoleand diethylcarbamazine against geohelminthiases: a study from South India”. Tropical Medicine and International Health 7 (2002): 541-548. Web.</v>
      </c>
      <c r="AH77" s="876" t="str">
        <f>IFERROR(__xludf.DUMMYFUNCTION("""COMPUTED_VALUE"""),"x")</f>
        <v>x</v>
      </c>
      <c r="AI77" s="878"/>
      <c r="AJ77" s="888" t="str">
        <f>IFERROR(__xludf.DUMMYFUNCTION("""COMPUTED_VALUE"""),"Steinmann et al.")</f>
        <v>Steinmann et al.</v>
      </c>
      <c r="AK77" s="880"/>
      <c r="AL77" s="880" t="str">
        <f>IFERROR(__xludf.DUMMYFUNCTION("""COMPUTED_VALUE"""),"China")</f>
        <v>China</v>
      </c>
      <c r="AM77" s="880" t="str">
        <f>IFERROR(__xludf.DUMMYFUNCTION("""COMPUTED_VALUE"""),"Tribendimidine")</f>
        <v>Tribendimidine</v>
      </c>
      <c r="AN77" s="880" t="str">
        <f>IFERROR(__xludf.DUMMYFUNCTION("""COMPUTED_VALUE"""),"Single")</f>
        <v>Single</v>
      </c>
      <c r="AO77" s="880" t="str">
        <f>IFERROR(__xludf.DUMMYFUNCTION("""COMPUTED_VALUE"""),"200 mg")</f>
        <v>200 mg</v>
      </c>
      <c r="AP77" s="880" t="str">
        <f>IFERROR(__xludf.DUMMYFUNCTION("""COMPUTED_VALUE"""),"57/123")</f>
        <v>57/123</v>
      </c>
      <c r="AQ77" s="880" t="str">
        <f>IFERROR(__xludf.DUMMYFUNCTION("""COMPUTED_VALUE"""),"5- 14 years old")</f>
        <v>5- 14 years old</v>
      </c>
      <c r="AR77" s="880" t="str">
        <f>IFERROR(__xludf.DUMMYFUNCTION("""COMPUTED_VALUE"""),"Male:51 Female:59")</f>
        <v>Male:51 Female:59</v>
      </c>
      <c r="AS77" s="880">
        <f>IFERROR(__xludf.DUMMYFUNCTION("""COMPUTED_VALUE"""),2007.0)</f>
        <v>2007</v>
      </c>
      <c r="AT77" s="880"/>
      <c r="AU77" s="880" t="str">
        <f>IFERROR(__xludf.DUMMYFUNCTION("""COMPUTED_VALUE"""),"Yes")</f>
        <v>Yes</v>
      </c>
      <c r="AV77" s="880" t="str">
        <f>IFERROR(__xludf.DUMMYFUNCTION("""COMPUTED_VALUE"""),"No")</f>
        <v>No</v>
      </c>
      <c r="AW77" s="881" t="str">
        <f>IFERROR(__xludf.DUMMYFUNCTION("""COMPUTED_VALUE"""),"open label randomized controlled trial with arms")</f>
        <v>open label randomized controlled trial with arms</v>
      </c>
      <c r="AX77" s="863">
        <f>IFERROR(__xludf.DUMMYFUNCTION("""COMPUTED_VALUE"""),0.0)</f>
        <v>0</v>
      </c>
      <c r="AY77" s="863"/>
      <c r="AZ77" s="863"/>
      <c r="BA77" s="863"/>
      <c r="BB77" s="863"/>
      <c r="BC77" s="863"/>
      <c r="BD77" s="863"/>
      <c r="BE77" s="863"/>
      <c r="BF77" s="863"/>
      <c r="BG77" s="863"/>
      <c r="BH77" s="863">
        <f>IFERROR(__xludf.DUMMYFUNCTION("""COMPUTED_VALUE"""),0.0)</f>
        <v>0</v>
      </c>
      <c r="BI77" s="863"/>
      <c r="BJ77" s="863"/>
      <c r="BK77" s="863"/>
      <c r="BL77" s="863"/>
      <c r="BM77" s="863"/>
      <c r="BN77" s="863"/>
      <c r="BO77" s="863"/>
      <c r="BP77" s="880"/>
      <c r="BQ77" s="863"/>
      <c r="BR77" s="889" t="str">
        <f>IFERROR(__xludf.DUMMYFUNCTION("""COMPUTED_VALUE"""),"Upatham et al.")</f>
        <v>Upatham et al.</v>
      </c>
      <c r="BS77" s="883" t="str">
        <f>IFERROR(__xludf.DUMMYFUNCTION("""COMPUTED_VALUE"""),"Thiland")</f>
        <v>Thiland</v>
      </c>
      <c r="BT77" s="883" t="str">
        <f>IFERROR(__xludf.DUMMYFUNCTION("""COMPUTED_VALUE"""),"Albendazole")</f>
        <v>Albendazole</v>
      </c>
      <c r="BU77" s="883"/>
      <c r="BV77" s="883" t="str">
        <f>IFERROR(__xludf.DUMMYFUNCTION("""COMPUTED_VALUE"""),"Single")</f>
        <v>Single</v>
      </c>
      <c r="BW77" s="883" t="str">
        <f>IFERROR(__xludf.DUMMYFUNCTION("""COMPUTED_VALUE"""),"200 mg; 400 mg")</f>
        <v>200 mg; 400 mg</v>
      </c>
      <c r="BX77" s="883">
        <f>IFERROR(__xludf.DUMMYFUNCTION("""COMPUTED_VALUE"""),1144.0)</f>
        <v>1144</v>
      </c>
      <c r="BY77" s="883" t="str">
        <f>IFERROR(__xludf.DUMMYFUNCTION("""COMPUTED_VALUE"""),"School Children &amp; Adults")</f>
        <v>School Children &amp; Adults</v>
      </c>
      <c r="BZ77" s="883"/>
      <c r="CA77" s="883"/>
      <c r="CB77" s="883"/>
      <c r="CC77" s="883" t="str">
        <f>IFERROR(__xludf.DUMMYFUNCTION("""COMPUTED_VALUE"""),"No")</f>
        <v>No</v>
      </c>
      <c r="CD77" s="884">
        <f>IFERROR(__xludf.DUMMYFUNCTION("""COMPUTED_VALUE"""),0.924)</f>
        <v>0.924</v>
      </c>
      <c r="CE77" s="883" t="str">
        <f>IFERROR(__xludf.DUMMYFUNCTION("""COMPUTED_VALUE"""),"Yes")</f>
        <v>Yes</v>
      </c>
      <c r="CF77" s="883"/>
      <c r="CG77" s="883"/>
      <c r="CH77" s="883"/>
      <c r="CI77" s="883"/>
      <c r="CJ77" s="883"/>
      <c r="CK77" s="883"/>
      <c r="CL77" s="883"/>
      <c r="CM77" s="891">
        <f>IFERROR(__xludf.DUMMYFUNCTION("""COMPUTED_VALUE"""),0.978)</f>
        <v>0.978</v>
      </c>
      <c r="CN77" s="883"/>
      <c r="CO77" s="883"/>
      <c r="CP77" s="883"/>
      <c r="CQ77" s="883"/>
      <c r="CR77" s="883"/>
      <c r="CS77" s="883"/>
      <c r="CT77" s="883" t="str">
        <f>IFERROR(__xludf.DUMMYFUNCTION("""COMPUTED_VALUE"""),"Kato-Katz Method")</f>
        <v>Kato-Katz Method</v>
      </c>
      <c r="CU77" s="883" t="str">
        <f>IFERROR(__xludf.DUMMYFUNCTION("""COMPUTED_VALUE""")," ")</f>
        <v> </v>
      </c>
      <c r="CV77" s="863"/>
      <c r="CW77" s="863"/>
      <c r="CX77" s="863"/>
      <c r="CY77" s="863"/>
      <c r="CZ77" s="863"/>
      <c r="DA77" s="863"/>
      <c r="DB77" s="863"/>
      <c r="DC77" s="863"/>
      <c r="DD77" s="863"/>
      <c r="DE77" s="863"/>
    </row>
    <row r="78">
      <c r="A78" s="887" t="str">
        <f>IFERROR(__xludf.DUMMYFUNCTION("""COMPUTED_VALUE"""),"Mani et al.")</f>
        <v>Mani et al.</v>
      </c>
      <c r="B78" s="876" t="str">
        <f>IFERROR(__xludf.DUMMYFUNCTION("""COMPUTED_VALUE"""),"India")</f>
        <v>India</v>
      </c>
      <c r="C78" s="876" t="str">
        <f>IFERROR(__xludf.DUMMYFUNCTION("""COMPUTED_VALUE"""),"Diethylcarbamazine")</f>
        <v>Diethylcarbamazine</v>
      </c>
      <c r="D78" s="876" t="str">
        <f>IFERROR(__xludf.DUMMYFUNCTION("""COMPUTED_VALUE"""),"Single")</f>
        <v>Single</v>
      </c>
      <c r="E78" s="876" t="str">
        <f>IFERROR(__xludf.DUMMYFUNCTION("""COMPUTED_VALUE"""),"6 mg/kg")</f>
        <v>6 mg/kg</v>
      </c>
      <c r="F78" s="876"/>
      <c r="G78" s="876"/>
      <c r="H78" s="876" t="str">
        <f>IFERROR(__xludf.DUMMYFUNCTION("""COMPUTED_VALUE"""),"145:180")</f>
        <v>145:180</v>
      </c>
      <c r="I78" s="876">
        <f>IFERROR(__xludf.DUMMYFUNCTION("""COMPUTED_VALUE"""),2001.0)</f>
        <v>2001</v>
      </c>
      <c r="J78" s="876"/>
      <c r="K78" s="876" t="str">
        <f>IFERROR(__xludf.DUMMYFUNCTION("""COMPUTED_VALUE"""),"randomized controlled trial")</f>
        <v>randomized controlled trial</v>
      </c>
      <c r="L78" s="876" t="str">
        <f>IFERROR(__xludf.DUMMYFUNCTION("""COMPUTED_VALUE"""),"Yes")</f>
        <v>Yes</v>
      </c>
      <c r="M78" s="876" t="str">
        <f>IFERROR(__xludf.DUMMYFUNCTION("""COMPUTED_VALUE"""),"No")</f>
        <v>No</v>
      </c>
      <c r="N78" s="877">
        <f>IFERROR(__xludf.DUMMYFUNCTION("""COMPUTED_VALUE"""),0.2599)</f>
        <v>0.2599</v>
      </c>
      <c r="O78" s="876"/>
      <c r="P78" s="876"/>
      <c r="Q78" s="876"/>
      <c r="R78" s="876"/>
      <c r="S78" s="876"/>
      <c r="T78" s="876"/>
      <c r="U78" s="876"/>
      <c r="V78" s="876"/>
      <c r="W78" s="876">
        <f>IFERROR(__xludf.DUMMYFUNCTION("""COMPUTED_VALUE"""),0.3605)</f>
        <v>0.3605</v>
      </c>
      <c r="X78" s="876"/>
      <c r="Y78" s="876"/>
      <c r="Z78" s="876"/>
      <c r="AA78" s="876"/>
      <c r="AB78" s="876"/>
      <c r="AC78" s="876"/>
      <c r="AD78" s="876"/>
      <c r="AE78" s="876" t="str">
        <f>IFERROR(__xludf.DUMMYFUNCTION("""COMPUTED_VALUE"""),"DEC alone gave a poor cure (26%) and egg reduction rate (36%) for hookworm infection and was definitely inferior to combination drug therapy.")</f>
        <v>DEC alone gave a poor cure (26%) and egg reduction rate (36%) for hookworm infection and was definitely inferior to combination drug therapy.</v>
      </c>
      <c r="AF78" s="876" t="str">
        <f>IFERROR(__xludf.DUMMYFUNCTION("""COMPUTED_VALUE"""),"Kato-Katz Method")</f>
        <v>Kato-Katz Method</v>
      </c>
      <c r="AG78" s="876" t="str">
        <f>IFERROR(__xludf.DUMMYFUNCTION("""COMPUTED_VALUE"""),"Mani, T. R., Rajendran, R., Munirathinam, A., Sunish, I. P., Abdullah, S. Md., Augustin, D. J., Satyanaryana, K. “Efficacy of co-administration of Albendazoleand diethylcarbamazine against geohelminthiases: a study from South India”. Tropical Medicine and"&amp;" International Health 7 (2002): 541-548. Web.")</f>
        <v>Mani, T. R., Rajendran, R., Munirathinam, A., Sunish, I. P., Abdullah, S. Md., Augustin, D. J., Satyanaryana, K. “Efficacy of co-administration of Albendazoleand diethylcarbamazine against geohelminthiases: a study from South India”. Tropical Medicine and International Health 7 (2002): 541-548. Web.</v>
      </c>
      <c r="AH78" s="876"/>
      <c r="AI78" s="878"/>
      <c r="AJ78" s="888" t="str">
        <f>IFERROR(__xludf.DUMMYFUNCTION("""COMPUTED_VALUE"""),"Steinmann et al.")</f>
        <v>Steinmann et al.</v>
      </c>
      <c r="AK78" s="880"/>
      <c r="AL78" s="880" t="str">
        <f>IFERROR(__xludf.DUMMYFUNCTION("""COMPUTED_VALUE"""),"China")</f>
        <v>China</v>
      </c>
      <c r="AM78" s="880" t="str">
        <f>IFERROR(__xludf.DUMMYFUNCTION("""COMPUTED_VALUE"""),"Tribendimidine")</f>
        <v>Tribendimidine</v>
      </c>
      <c r="AN78" s="880" t="str">
        <f>IFERROR(__xludf.DUMMYFUNCTION("""COMPUTED_VALUE"""),"Single")</f>
        <v>Single</v>
      </c>
      <c r="AO78" s="880" t="str">
        <f>IFERROR(__xludf.DUMMYFUNCTION("""COMPUTED_VALUE"""),"400 mg")</f>
        <v>400 mg</v>
      </c>
      <c r="AP78" s="880"/>
      <c r="AQ78" s="880" t="str">
        <f>IFERROR(__xludf.DUMMYFUNCTION("""COMPUTED_VALUE"""),"15 years old or older")</f>
        <v>15 years old or older</v>
      </c>
      <c r="AR78" s="880" t="str">
        <f>IFERROR(__xludf.DUMMYFUNCTION("""COMPUTED_VALUE"""),"Male:51 Female:60")</f>
        <v>Male:51 Female:60</v>
      </c>
      <c r="AS78" s="880">
        <f>IFERROR(__xludf.DUMMYFUNCTION("""COMPUTED_VALUE"""),2007.0)</f>
        <v>2007</v>
      </c>
      <c r="AT78" s="880"/>
      <c r="AU78" s="880" t="str">
        <f>IFERROR(__xludf.DUMMYFUNCTION("""COMPUTED_VALUE"""),"Yes")</f>
        <v>Yes</v>
      </c>
      <c r="AV78" s="880" t="str">
        <f>IFERROR(__xludf.DUMMYFUNCTION("""COMPUTED_VALUE"""),"No")</f>
        <v>No</v>
      </c>
      <c r="AW78" s="881" t="str">
        <f>IFERROR(__xludf.DUMMYFUNCTION("""COMPUTED_VALUE"""),"open label randomized controlled trial with arms")</f>
        <v>open label randomized controlled trial with arms</v>
      </c>
      <c r="AX78" s="863"/>
      <c r="AY78" s="863"/>
      <c r="AZ78" s="863"/>
      <c r="BA78" s="863"/>
      <c r="BB78" s="863"/>
      <c r="BC78" s="863"/>
      <c r="BD78" s="863"/>
      <c r="BE78" s="863"/>
      <c r="BF78" s="863"/>
      <c r="BG78" s="863"/>
      <c r="BH78" s="863"/>
      <c r="BI78" s="863"/>
      <c r="BJ78" s="863"/>
      <c r="BK78" s="863"/>
      <c r="BL78" s="863"/>
      <c r="BM78" s="863"/>
      <c r="BN78" s="863"/>
      <c r="BO78" s="863"/>
      <c r="BP78" s="880"/>
      <c r="BQ78" s="863"/>
      <c r="BR78" s="889" t="str">
        <f>IFERROR(__xludf.DUMMYFUNCTION("""COMPUTED_VALUE"""),"Upatham et al.")</f>
        <v>Upatham et al.</v>
      </c>
      <c r="BS78" s="883" t="str">
        <f>IFERROR(__xludf.DUMMYFUNCTION("""COMPUTED_VALUE"""),"Thiland")</f>
        <v>Thiland</v>
      </c>
      <c r="BT78" s="883" t="str">
        <f>IFERROR(__xludf.DUMMYFUNCTION("""COMPUTED_VALUE"""),"Placebo")</f>
        <v>Placebo</v>
      </c>
      <c r="BU78" s="883"/>
      <c r="BV78" s="883"/>
      <c r="BW78" s="883"/>
      <c r="BX78" s="883"/>
      <c r="BY78" s="883" t="str">
        <f>IFERROR(__xludf.DUMMYFUNCTION("""COMPUTED_VALUE"""),"School Children &amp; Adults")</f>
        <v>School Children &amp; Adults</v>
      </c>
      <c r="BZ78" s="883"/>
      <c r="CA78" s="883"/>
      <c r="CB78" s="883"/>
      <c r="CC78" s="883" t="str">
        <f>IFERROR(__xludf.DUMMYFUNCTION("""COMPUTED_VALUE"""),"No")</f>
        <v>No</v>
      </c>
      <c r="CD78" s="884">
        <f>IFERROR(__xludf.DUMMYFUNCTION("""COMPUTED_VALUE"""),0.352)</f>
        <v>0.352</v>
      </c>
      <c r="CE78" s="883" t="str">
        <f>IFERROR(__xludf.DUMMYFUNCTION("""COMPUTED_VALUE"""),"Yes")</f>
        <v>Yes</v>
      </c>
      <c r="CF78" s="883"/>
      <c r="CG78" s="883"/>
      <c r="CH78" s="883"/>
      <c r="CI78" s="883"/>
      <c r="CJ78" s="883"/>
      <c r="CK78" s="883"/>
      <c r="CL78" s="883"/>
      <c r="CM78" s="891">
        <f>IFERROR(__xludf.DUMMYFUNCTION("""COMPUTED_VALUE"""),0.452)</f>
        <v>0.452</v>
      </c>
      <c r="CN78" s="883"/>
      <c r="CO78" s="883"/>
      <c r="CP78" s="883"/>
      <c r="CQ78" s="883"/>
      <c r="CR78" s="883"/>
      <c r="CS78" s="883"/>
      <c r="CT78" s="883"/>
      <c r="CU78" s="883"/>
      <c r="CV78" s="863"/>
      <c r="CW78" s="863"/>
      <c r="CX78" s="863"/>
      <c r="CY78" s="863"/>
      <c r="CZ78" s="863"/>
      <c r="DA78" s="863"/>
      <c r="DB78" s="863"/>
      <c r="DC78" s="863"/>
      <c r="DD78" s="863"/>
      <c r="DE78" s="863"/>
    </row>
    <row r="79">
      <c r="A79" s="887" t="str">
        <f>IFERROR(__xludf.DUMMYFUNCTION("""COMPUTED_VALUE"""),"Morgan et al.")</f>
        <v>Morgan et al.</v>
      </c>
      <c r="B79" s="876" t="str">
        <f>IFERROR(__xludf.DUMMYFUNCTION("""COMPUTED_VALUE"""),"Malawi")</f>
        <v>Malawi</v>
      </c>
      <c r="C79" s="876" t="str">
        <f>IFERROR(__xludf.DUMMYFUNCTION("""COMPUTED_VALUE"""),"Placebo")</f>
        <v>Placebo</v>
      </c>
      <c r="D79" s="876"/>
      <c r="E79" s="876"/>
      <c r="F79" s="876">
        <f>IFERROR(__xludf.DUMMYFUNCTION("""COMPUTED_VALUE"""),25.0)</f>
        <v>25</v>
      </c>
      <c r="G79" s="876">
        <f>IFERROR(__xludf.DUMMYFUNCTION("""COMPUTED_VALUE"""),11.2)</f>
        <v>11.2</v>
      </c>
      <c r="H79" s="876" t="str">
        <f>IFERROR(__xludf.DUMMYFUNCTION("""COMPUTED_VALUE"""),"73:35")</f>
        <v>73:35</v>
      </c>
      <c r="I79" s="876">
        <f>IFERROR(__xludf.DUMMYFUNCTION("""COMPUTED_VALUE"""),1983.0)</f>
        <v>1983</v>
      </c>
      <c r="J79" s="876"/>
      <c r="K79" s="876" t="str">
        <f>IFERROR(__xludf.DUMMYFUNCTION("""COMPUTED_VALUE"""),"double-blind")</f>
        <v>double-blind</v>
      </c>
      <c r="L79" s="876" t="str">
        <f>IFERROR(__xludf.DUMMYFUNCTION("""COMPUTED_VALUE"""),"Yes")</f>
        <v>Yes</v>
      </c>
      <c r="M79" s="876" t="str">
        <f>IFERROR(__xludf.DUMMYFUNCTION("""COMPUTED_VALUE"""),"Yes")</f>
        <v>Yes</v>
      </c>
      <c r="N79" s="877">
        <f>IFERROR(__xludf.DUMMYFUNCTION("""COMPUTED_VALUE"""),0.0)</f>
        <v>0</v>
      </c>
      <c r="O79" s="876"/>
      <c r="P79" s="876"/>
      <c r="Q79" s="876"/>
      <c r="R79" s="876"/>
      <c r="S79" s="876"/>
      <c r="T79" s="876"/>
      <c r="U79" s="876"/>
      <c r="V79" s="876"/>
      <c r="W79" s="876">
        <f>IFERROR(__xludf.DUMMYFUNCTION("""COMPUTED_VALUE"""),0.05)</f>
        <v>0.05</v>
      </c>
      <c r="X79" s="876"/>
      <c r="Y79" s="876"/>
      <c r="Z79" s="876"/>
      <c r="AA79" s="876"/>
      <c r="AB79" s="876"/>
      <c r="AC79" s="876"/>
      <c r="AD79" s="876"/>
      <c r="AE79" s="876" t="str">
        <f>IFERROR(__xludf.DUMMYFUNCTION("""COMPUTED_VALUE"""),"In the study Albendazolewas highly effective in the treatment of hookworm infection. Levamisole was less effective in lowering the egg count within 3 weeks of treatment, although Levamisole was significantly superior to placebo.")</f>
        <v>In the study Albendazolewas highly effective in the treatment of hookworm infection. Levamisole was less effective in lowering the egg count within 3 weeks of treatment, although Levamisole was significantly superior to placebo.</v>
      </c>
      <c r="AF79" s="876" t="str">
        <f>IFERROR(__xludf.DUMMYFUNCTION("""COMPUTED_VALUE"""),"Kato-Katz method")</f>
        <v>Kato-Katz method</v>
      </c>
      <c r="AG79" s="876" t="str">
        <f>IFERROR(__xludf.DUMMYFUNCTION("""COMPUTED_VALUE"""),"Morgan PRF, Yamanmoto M, Teesdale CH, &amp; Pugh RNH. “Albendazole: a new treatment for hookworm”. Medical quarterly: Journal of the Medical Association of Malawi (1983) 4-5. Web.")</f>
        <v>Morgan PRF, Yamanmoto M, Teesdale CH, &amp; Pugh RNH. “Albendazole: a new treatment for hookworm”. Medical quarterly: Journal of the Medical Association of Malawi (1983) 4-5. Web.</v>
      </c>
      <c r="AH79" s="876"/>
      <c r="AI79" s="878"/>
      <c r="AJ79" s="888" t="str">
        <f>IFERROR(__xludf.DUMMYFUNCTION("""COMPUTED_VALUE"""),"Mekonnen et al.")</f>
        <v>Mekonnen et al.</v>
      </c>
      <c r="AK79" s="880" t="str">
        <f>IFERROR(__xludf.DUMMYFUNCTION("""COMPUTED_VALUE"""),"Mekonnen, Z., B. Levecke, G. Boulet, J. P. Bogers, and J. Vercruysse. ""Efficacy of Different Albendazoleand MebendazoleRegimens against Heavy-intensity Trichuris Trichiura Infections in School Children, Jimma Town, Rthiopia."" Pathogens and Global Health"&amp;" 107.4 (2013): 207-09. Web.")</f>
        <v>Mekonnen, Z., B. Levecke, G. Boulet, J. P. Bogers, and J. Vercruysse. "Efficacy of Different Albendazoleand MebendazoleRegimens against Heavy-intensity Trichuris Trichiura Infections in School Children, Jimma Town, Rthiopia." Pathogens and Global Health 107.4 (2013): 207-09. Web.</v>
      </c>
      <c r="AL79" s="880" t="str">
        <f>IFERROR(__xludf.DUMMYFUNCTION("""COMPUTED_VALUE"""),"Ethiopia")</f>
        <v>Ethiopia</v>
      </c>
      <c r="AM79" s="880" t="str">
        <f>IFERROR(__xludf.DUMMYFUNCTION("""COMPUTED_VALUE"""),"Albendazole")</f>
        <v>Albendazole</v>
      </c>
      <c r="AN79" s="880" t="str">
        <f>IFERROR(__xludf.DUMMYFUNCTION("""COMPUTED_VALUE"""),"Single")</f>
        <v>Single</v>
      </c>
      <c r="AO79" s="880" t="str">
        <f>IFERROR(__xludf.DUMMYFUNCTION("""COMPUTED_VALUE"""),"400 mg")</f>
        <v>400 mg</v>
      </c>
      <c r="AP79" s="880">
        <f>IFERROR(__xludf.DUMMYFUNCTION("""COMPUTED_VALUE"""),107.0)</f>
        <v>107</v>
      </c>
      <c r="AQ79" s="880" t="str">
        <f>IFERROR(__xludf.DUMMYFUNCTION("""COMPUTED_VALUE"""),"10.8-11.2 years")</f>
        <v>10.8-11.2 years</v>
      </c>
      <c r="AR79" s="880">
        <f>IFERROR(__xludf.DUMMYFUNCTION("""COMPUTED_VALUE"""),0.06597222222222222)</f>
        <v>0.06597222222</v>
      </c>
      <c r="AS79" s="880">
        <f>IFERROR(__xludf.DUMMYFUNCTION("""COMPUTED_VALUE"""),2011.0)</f>
        <v>2011</v>
      </c>
      <c r="AT79" s="880" t="str">
        <f>IFERROR(__xludf.DUMMYFUNCTION("""COMPUTED_VALUE"""),"Subjects who were unable to provide a stool sample at baseine, experiencing a severe concurrent medical condition, had diarrhea at time of the first sampling, hand known history of allergic reaction to benzimidazoles or were pregnant were excluded from st"&amp;"udy")</f>
        <v>Subjects who were unable to provide a stool sample at baseine, experiencing a severe concurrent medical condition, had diarrhea at time of the first sampling, hand known history of allergic reaction to benzimidazoles or were pregnant were excluded from study</v>
      </c>
      <c r="AU79" s="880" t="str">
        <f>IFERROR(__xludf.DUMMYFUNCTION("""COMPUTED_VALUE"""),"Yes")</f>
        <v>Yes</v>
      </c>
      <c r="AV79" s="880" t="str">
        <f>IFERROR(__xludf.DUMMYFUNCTION("""COMPUTED_VALUE"""),"No")</f>
        <v>No</v>
      </c>
      <c r="AW79" s="881" t="str">
        <f>IFERROR(__xludf.DUMMYFUNCTION("""COMPUTED_VALUE"""),"Randomized multi-arm efficacy trial")</f>
        <v>Randomized multi-arm efficacy trial</v>
      </c>
      <c r="AX79" s="863"/>
      <c r="AY79" s="863"/>
      <c r="AZ79" s="863"/>
      <c r="BA79" s="863"/>
      <c r="BB79" s="863"/>
      <c r="BC79" s="863"/>
      <c r="BD79" s="863"/>
      <c r="BE79" s="863"/>
      <c r="BF79" s="863"/>
      <c r="BG79" s="863"/>
      <c r="BH79" s="863">
        <f>IFERROR(__xludf.DUMMYFUNCTION("""COMPUTED_VALUE"""),0.293)</f>
        <v>0.293</v>
      </c>
      <c r="BI79" s="863"/>
      <c r="BJ79" s="863"/>
      <c r="BK79" s="863"/>
      <c r="BL79" s="863"/>
      <c r="BM79" s="863"/>
      <c r="BN79" s="863"/>
      <c r="BO79" s="863" t="str">
        <f>IFERROR(__xludf.DUMMYFUNCTION("""COMPUTED_VALUE"""),"McMaster Method")</f>
        <v>McMaster Method</v>
      </c>
      <c r="BP79" s="880"/>
      <c r="BQ79" s="863"/>
      <c r="BR79" s="889" t="str">
        <f>IFERROR(__xludf.DUMMYFUNCTION("""COMPUTED_VALUE""")," Wang et al.")</f>
        <v> Wang et al.</v>
      </c>
      <c r="BS79" s="883" t="str">
        <f>IFERROR(__xludf.DUMMYFUNCTION("""COMPUTED_VALUE"""),"China")</f>
        <v>China</v>
      </c>
      <c r="BT79" s="883"/>
      <c r="BU79" s="883"/>
      <c r="BV79" s="883"/>
      <c r="BW79" s="883"/>
      <c r="BX79" s="883" t="str">
        <f>IFERROR(__xludf.DUMMYFUNCTION("""COMPUTED_VALUE"""),"360 students")</f>
        <v>360 students</v>
      </c>
      <c r="BY79" s="883" t="str">
        <f>IFERROR(__xludf.DUMMYFUNCTION("""COMPUTED_VALUE"""),"16-25")</f>
        <v>16-25</v>
      </c>
      <c r="BZ79" s="883"/>
      <c r="CA79" s="883" t="str">
        <f>IFERROR(__xludf.DUMMYFUNCTION("""COMPUTED_VALUE"""),"172 Females, 188 Males")</f>
        <v>172 Females, 188 Males</v>
      </c>
      <c r="CB79" s="883"/>
      <c r="CC79" s="883" t="str">
        <f>IFERROR(__xludf.DUMMYFUNCTION("""COMPUTED_VALUE"""),"No")</f>
        <v>No</v>
      </c>
      <c r="CD79" s="884"/>
      <c r="CE79" s="883" t="str">
        <f>IFERROR(__xludf.DUMMYFUNCTION("""COMPUTED_VALUE"""),"No")</f>
        <v>No</v>
      </c>
      <c r="CF79" s="883"/>
      <c r="CG79" s="883"/>
      <c r="CH79" s="883"/>
      <c r="CI79" s="883"/>
      <c r="CJ79" s="883"/>
      <c r="CK79" s="883"/>
      <c r="CL79" s="883"/>
      <c r="CM79" s="883"/>
      <c r="CN79" s="883"/>
      <c r="CO79" s="883"/>
      <c r="CP79" s="883"/>
      <c r="CQ79" s="883"/>
      <c r="CR79" s="883"/>
      <c r="CS79" s="883"/>
      <c r="CT79" s="883"/>
      <c r="CU79" s="883"/>
      <c r="CV79" s="863"/>
      <c r="CW79" s="863"/>
      <c r="CX79" s="863"/>
      <c r="CY79" s="863"/>
      <c r="CZ79" s="863"/>
      <c r="DA79" s="863"/>
      <c r="DB79" s="863"/>
      <c r="DC79" s="863"/>
      <c r="DD79" s="863"/>
      <c r="DE79" s="863"/>
    </row>
    <row r="80">
      <c r="A80" s="887" t="str">
        <f>IFERROR(__xludf.DUMMYFUNCTION("""COMPUTED_VALUE"""),"Morgan et al.")</f>
        <v>Morgan et al.</v>
      </c>
      <c r="B80" s="876" t="str">
        <f>IFERROR(__xludf.DUMMYFUNCTION("""COMPUTED_VALUE"""),"Malawi")</f>
        <v>Malawi</v>
      </c>
      <c r="C80" s="876" t="str">
        <f>IFERROR(__xludf.DUMMYFUNCTION("""COMPUTED_VALUE"""),"Albendazole")</f>
        <v>Albendazole</v>
      </c>
      <c r="D80" s="876" t="str">
        <f>IFERROR(__xludf.DUMMYFUNCTION("""COMPUTED_VALUE"""),"Single")</f>
        <v>Single</v>
      </c>
      <c r="E80" s="876" t="str">
        <f>IFERROR(__xludf.DUMMYFUNCTION("""COMPUTED_VALUE"""),"200 mg")</f>
        <v>200 mg</v>
      </c>
      <c r="F80" s="876">
        <f>IFERROR(__xludf.DUMMYFUNCTION("""COMPUTED_VALUE"""),25.0)</f>
        <v>25</v>
      </c>
      <c r="G80" s="876">
        <f>IFERROR(__xludf.DUMMYFUNCTION("""COMPUTED_VALUE"""),12.6)</f>
        <v>12.6</v>
      </c>
      <c r="H80" s="876"/>
      <c r="I80" s="876">
        <f>IFERROR(__xludf.DUMMYFUNCTION("""COMPUTED_VALUE"""),1983.0)</f>
        <v>1983</v>
      </c>
      <c r="J80" s="876"/>
      <c r="K80" s="876" t="str">
        <f>IFERROR(__xludf.DUMMYFUNCTION("""COMPUTED_VALUE"""),"double-blind")</f>
        <v>double-blind</v>
      </c>
      <c r="L80" s="876" t="str">
        <f>IFERROR(__xludf.DUMMYFUNCTION("""COMPUTED_VALUE"""),"Yes")</f>
        <v>Yes</v>
      </c>
      <c r="M80" s="876" t="str">
        <f>IFERROR(__xludf.DUMMYFUNCTION("""COMPUTED_VALUE"""),"Yes")</f>
        <v>Yes</v>
      </c>
      <c r="N80" s="877">
        <f>IFERROR(__xludf.DUMMYFUNCTION("""COMPUTED_VALUE"""),0.8)</f>
        <v>0.8</v>
      </c>
      <c r="O80" s="876"/>
      <c r="P80" s="876"/>
      <c r="Q80" s="876"/>
      <c r="R80" s="876"/>
      <c r="S80" s="876"/>
      <c r="T80" s="876"/>
      <c r="U80" s="876"/>
      <c r="V80" s="876"/>
      <c r="W80" s="876">
        <f>IFERROR(__xludf.DUMMYFUNCTION("""COMPUTED_VALUE"""),0.89)</f>
        <v>0.89</v>
      </c>
      <c r="X80" s="876"/>
      <c r="Y80" s="876"/>
      <c r="Z80" s="876"/>
      <c r="AA80" s="876"/>
      <c r="AB80" s="876"/>
      <c r="AC80" s="876"/>
      <c r="AD80" s="876"/>
      <c r="AE80" s="876" t="str">
        <f>IFERROR(__xludf.DUMMYFUNCTION("""COMPUTED_VALUE"""),"In the study Albendazolewas highly effective in the treatment of hookworm infection. Levamisole was less effective in lowering the egg count within 3 weeks of treatment, although Levamisole was significantly superior to placebo.")</f>
        <v>In the study Albendazolewas highly effective in the treatment of hookworm infection. Levamisole was less effective in lowering the egg count within 3 weeks of treatment, although Levamisole was significantly superior to placebo.</v>
      </c>
      <c r="AF80" s="876" t="str">
        <f>IFERROR(__xludf.DUMMYFUNCTION("""COMPUTED_VALUE"""),"Kato-Katz method")</f>
        <v>Kato-Katz method</v>
      </c>
      <c r="AG80" s="876" t="str">
        <f>IFERROR(__xludf.DUMMYFUNCTION("""COMPUTED_VALUE"""),"Morgan PRF, Yamanmoto M, Teesdale CH, &amp; Pugh RNH. “Albendazole: a new treatment for hookworm”. Medical quarterly: Journal of the Medical Association of Malawi (1983) 4-5. Web.")</f>
        <v>Morgan PRF, Yamanmoto M, Teesdale CH, &amp; Pugh RNH. “Albendazole: a new treatment for hookworm”. Medical quarterly: Journal of the Medical Association of Malawi (1983) 4-5. Web.</v>
      </c>
      <c r="AH80" s="876"/>
      <c r="AI80" s="878"/>
      <c r="AJ80" s="888" t="str">
        <f>IFERROR(__xludf.DUMMYFUNCTION("""COMPUTED_VALUE"""),"Mekonnen et al.")</f>
        <v>Mekonnen et al.</v>
      </c>
      <c r="AK80" s="880"/>
      <c r="AL80" s="880" t="str">
        <f>IFERROR(__xludf.DUMMYFUNCTION("""COMPUTED_VALUE"""),"Ethiopia")</f>
        <v>Ethiopia</v>
      </c>
      <c r="AM80" s="880" t="str">
        <f>IFERROR(__xludf.DUMMYFUNCTION("""COMPUTED_VALUE"""),"Albendazole")</f>
        <v>Albendazole</v>
      </c>
      <c r="AN80" s="880" t="str">
        <f>IFERROR(__xludf.DUMMYFUNCTION("""COMPUTED_VALUE"""),"Single")</f>
        <v>Single</v>
      </c>
      <c r="AO80" s="880" t="str">
        <f>IFERROR(__xludf.DUMMYFUNCTION("""COMPUTED_VALUE"""),"400 mg")</f>
        <v>400 mg</v>
      </c>
      <c r="AP80" s="880">
        <f>IFERROR(__xludf.DUMMYFUNCTION("""COMPUTED_VALUE"""),106.0)</f>
        <v>106</v>
      </c>
      <c r="AQ80" s="880" t="str">
        <f>IFERROR(__xludf.DUMMYFUNCTION("""COMPUTED_VALUE"""),"10.8-11.2 years")</f>
        <v>10.8-11.2 years</v>
      </c>
      <c r="AR80" s="880">
        <f>IFERROR(__xludf.DUMMYFUNCTION("""COMPUTED_VALUE"""),0.1076388888888889)</f>
        <v>0.1076388889</v>
      </c>
      <c r="AS80" s="880">
        <f>IFERROR(__xludf.DUMMYFUNCTION("""COMPUTED_VALUE"""),2011.0)</f>
        <v>2011</v>
      </c>
      <c r="AT80" s="880" t="str">
        <f>IFERROR(__xludf.DUMMYFUNCTION("""COMPUTED_VALUE"""),"Subjects who were unable to provide a stool sample at baseine, experiencing a severe concurrent medical condition, had diarrhea at time of the first sampling, hand known history of allergic reaction to benzimidazoles or were pregnant were excluded from st"&amp;"udy")</f>
        <v>Subjects who were unable to provide a stool sample at baseine, experiencing a severe concurrent medical condition, had diarrhea at time of the first sampling, hand known history of allergic reaction to benzimidazoles or were pregnant were excluded from study</v>
      </c>
      <c r="AU80" s="880" t="str">
        <f>IFERROR(__xludf.DUMMYFUNCTION("""COMPUTED_VALUE"""),"Yes")</f>
        <v>Yes</v>
      </c>
      <c r="AV80" s="880" t="str">
        <f>IFERROR(__xludf.DUMMYFUNCTION("""COMPUTED_VALUE"""),"No")</f>
        <v>No</v>
      </c>
      <c r="AW80" s="881" t="str">
        <f>IFERROR(__xludf.DUMMYFUNCTION("""COMPUTED_VALUE"""),"Randomized multi-arm efficacy trial")</f>
        <v>Randomized multi-arm efficacy trial</v>
      </c>
      <c r="AX80" s="863"/>
      <c r="AY80" s="863"/>
      <c r="AZ80" s="863"/>
      <c r="BA80" s="863"/>
      <c r="BB80" s="863"/>
      <c r="BC80" s="863"/>
      <c r="BD80" s="863"/>
      <c r="BE80" s="863"/>
      <c r="BF80" s="863"/>
      <c r="BG80" s="863"/>
      <c r="BH80" s="863">
        <f>IFERROR(__xludf.DUMMYFUNCTION("""COMPUTED_VALUE"""),0.735)</f>
        <v>0.735</v>
      </c>
      <c r="BI80" s="863"/>
      <c r="BJ80" s="863"/>
      <c r="BK80" s="863"/>
      <c r="BL80" s="863"/>
      <c r="BM80" s="863"/>
      <c r="BN80" s="863"/>
      <c r="BO80" s="863" t="str">
        <f>IFERROR(__xludf.DUMMYFUNCTION("""COMPUTED_VALUE"""),"McMaster Method")</f>
        <v>McMaster Method</v>
      </c>
      <c r="BP80" s="880"/>
      <c r="BQ80" s="863"/>
      <c r="BR80" s="889" t="str">
        <f>IFERROR(__xludf.DUMMYFUNCTION("""COMPUTED_VALUE""")," Wang et al.")</f>
        <v> Wang et al.</v>
      </c>
      <c r="BS80" s="883" t="str">
        <f>IFERROR(__xludf.DUMMYFUNCTION("""COMPUTED_VALUE"""),"China")</f>
        <v>China</v>
      </c>
      <c r="BT80" s="883" t="str">
        <f>IFERROR(__xludf.DUMMYFUNCTION("""COMPUTED_VALUE"""),"Thienpydin")</f>
        <v>Thienpydin</v>
      </c>
      <c r="BU80" s="883"/>
      <c r="BV80" s="883" t="str">
        <f>IFERROR(__xludf.DUMMYFUNCTION("""COMPUTED_VALUE"""),"Single")</f>
        <v>Single</v>
      </c>
      <c r="BW80" s="883" t="str">
        <f>IFERROR(__xludf.DUMMYFUNCTION("""COMPUTED_VALUE"""),"250 mg")</f>
        <v>250 mg</v>
      </c>
      <c r="BX80" s="883">
        <f>IFERROR(__xludf.DUMMYFUNCTION("""COMPUTED_VALUE"""),40.0)</f>
        <v>40</v>
      </c>
      <c r="BY80" s="883" t="str">
        <f>IFERROR(__xludf.DUMMYFUNCTION("""COMPUTED_VALUE"""),"16-25")</f>
        <v>16-25</v>
      </c>
      <c r="BZ80" s="883"/>
      <c r="CA80" s="883"/>
      <c r="CB80" s="883"/>
      <c r="CC80" s="883" t="str">
        <f>IFERROR(__xludf.DUMMYFUNCTION("""COMPUTED_VALUE"""),"No")</f>
        <v>No</v>
      </c>
      <c r="CD80" s="884">
        <f>IFERROR(__xludf.DUMMYFUNCTION("""COMPUTED_VALUE"""),0.875)</f>
        <v>0.875</v>
      </c>
      <c r="CE80" s="883" t="str">
        <f>IFERROR(__xludf.DUMMYFUNCTION("""COMPUTED_VALUE"""),"No")</f>
        <v>No</v>
      </c>
      <c r="CF80" s="883" t="str">
        <f>IFERROR(__xludf.DUMMYFUNCTION("""COMPUTED_VALUE"""),"87.5% (Day 10)")</f>
        <v>87.5% (Day 10)</v>
      </c>
      <c r="CG80" s="883"/>
      <c r="CH80" s="883"/>
      <c r="CI80" s="883"/>
      <c r="CJ80" s="883"/>
      <c r="CK80" s="883"/>
      <c r="CL80" s="883"/>
      <c r="CM80" s="883"/>
      <c r="CN80" s="883"/>
      <c r="CO80" s="883"/>
      <c r="CP80" s="883"/>
      <c r="CQ80" s="883"/>
      <c r="CR80" s="883"/>
      <c r="CS80" s="883"/>
      <c r="CT80" s="883"/>
      <c r="CU80" s="883"/>
      <c r="CV80" s="863"/>
      <c r="CW80" s="863"/>
      <c r="CX80" s="863"/>
      <c r="CY80" s="863"/>
      <c r="CZ80" s="863"/>
      <c r="DA80" s="863"/>
      <c r="DB80" s="863"/>
      <c r="DC80" s="863"/>
      <c r="DD80" s="863"/>
      <c r="DE80" s="863"/>
    </row>
    <row r="81">
      <c r="A81" s="887" t="str">
        <f>IFERROR(__xludf.DUMMYFUNCTION("""COMPUTED_VALUE"""),"Morgan et al.")</f>
        <v>Morgan et al.</v>
      </c>
      <c r="B81" s="876" t="str">
        <f>IFERROR(__xludf.DUMMYFUNCTION("""COMPUTED_VALUE"""),"Malawi")</f>
        <v>Malawi</v>
      </c>
      <c r="C81" s="876" t="str">
        <f>IFERROR(__xludf.DUMMYFUNCTION("""COMPUTED_VALUE"""),"Albendazole")</f>
        <v>Albendazole</v>
      </c>
      <c r="D81" s="876" t="str">
        <f>IFERROR(__xludf.DUMMYFUNCTION("""COMPUTED_VALUE"""),"Single")</f>
        <v>Single</v>
      </c>
      <c r="E81" s="876" t="str">
        <f>IFERROR(__xludf.DUMMYFUNCTION("""COMPUTED_VALUE"""),"400 mg")</f>
        <v>400 mg</v>
      </c>
      <c r="F81" s="876">
        <f>IFERROR(__xludf.DUMMYFUNCTION("""COMPUTED_VALUE"""),26.0)</f>
        <v>26</v>
      </c>
      <c r="G81" s="876">
        <f>IFERROR(__xludf.DUMMYFUNCTION("""COMPUTED_VALUE"""),12.4)</f>
        <v>12.4</v>
      </c>
      <c r="H81" s="876"/>
      <c r="I81" s="876">
        <f>IFERROR(__xludf.DUMMYFUNCTION("""COMPUTED_VALUE"""),1983.0)</f>
        <v>1983</v>
      </c>
      <c r="J81" s="876"/>
      <c r="K81" s="876" t="str">
        <f>IFERROR(__xludf.DUMMYFUNCTION("""COMPUTED_VALUE"""),"double-blind")</f>
        <v>double-blind</v>
      </c>
      <c r="L81" s="876" t="str">
        <f>IFERROR(__xludf.DUMMYFUNCTION("""COMPUTED_VALUE"""),"Yes")</f>
        <v>Yes</v>
      </c>
      <c r="M81" s="876" t="str">
        <f>IFERROR(__xludf.DUMMYFUNCTION("""COMPUTED_VALUE"""),"Yes")</f>
        <v>Yes</v>
      </c>
      <c r="N81" s="877">
        <f>IFERROR(__xludf.DUMMYFUNCTION("""COMPUTED_VALUE"""),0.85)</f>
        <v>0.85</v>
      </c>
      <c r="O81" s="876"/>
      <c r="P81" s="876"/>
      <c r="Q81" s="876"/>
      <c r="R81" s="876"/>
      <c r="S81" s="876"/>
      <c r="T81" s="876"/>
      <c r="U81" s="876"/>
      <c r="V81" s="876"/>
      <c r="W81" s="876">
        <f>IFERROR(__xludf.DUMMYFUNCTION("""COMPUTED_VALUE"""),0.95)</f>
        <v>0.95</v>
      </c>
      <c r="X81" s="876"/>
      <c r="Y81" s="876"/>
      <c r="Z81" s="876"/>
      <c r="AA81" s="876"/>
      <c r="AB81" s="876"/>
      <c r="AC81" s="876"/>
      <c r="AD81" s="876"/>
      <c r="AE81" s="876" t="str">
        <f>IFERROR(__xludf.DUMMYFUNCTION("""COMPUTED_VALUE"""),"In the study Albendazolewas highly effective in the treatment of hookworm infection. Levamisole was less effective in lowering the egg count within 3 weeks of treatment, although Levamisole was significantly superior to placebo.")</f>
        <v>In the study Albendazolewas highly effective in the treatment of hookworm infection. Levamisole was less effective in lowering the egg count within 3 weeks of treatment, although Levamisole was significantly superior to placebo.</v>
      </c>
      <c r="AF81" s="876" t="str">
        <f>IFERROR(__xludf.DUMMYFUNCTION("""COMPUTED_VALUE"""),"Kato-Katz method")</f>
        <v>Kato-Katz method</v>
      </c>
      <c r="AG81" s="876" t="str">
        <f>IFERROR(__xludf.DUMMYFUNCTION("""COMPUTED_VALUE"""),"Morgan PRF, Yamanmoto M, Teesdale CH, &amp; Pugh RNH. “Albendazole: a new treatment for hookworm”. Medical quarterly: Journal of the Medical Association of Malawi (1983) 4-5. Web.")</f>
        <v>Morgan PRF, Yamanmoto M, Teesdale CH, &amp; Pugh RNH. “Albendazole: a new treatment for hookworm”. Medical quarterly: Journal of the Medical Association of Malawi (1983) 4-5. Web.</v>
      </c>
      <c r="AH81" s="876"/>
      <c r="AI81" s="878"/>
      <c r="AJ81" s="888" t="str">
        <f>IFERROR(__xludf.DUMMYFUNCTION("""COMPUTED_VALUE"""),"Mekonnen et al.")</f>
        <v>Mekonnen et al.</v>
      </c>
      <c r="AK81" s="880"/>
      <c r="AL81" s="880" t="str">
        <f>IFERROR(__xludf.DUMMYFUNCTION("""COMPUTED_VALUE"""),"Ethiopia")</f>
        <v>Ethiopia</v>
      </c>
      <c r="AM81" s="880" t="str">
        <f>IFERROR(__xludf.DUMMYFUNCTION("""COMPUTED_VALUE"""),"Mebendazole")</f>
        <v>Mebendazole</v>
      </c>
      <c r="AN81" s="880" t="str">
        <f>IFERROR(__xludf.DUMMYFUNCTION("""COMPUTED_VALUE"""),"Single")</f>
        <v>Single</v>
      </c>
      <c r="AO81" s="880" t="str">
        <f>IFERROR(__xludf.DUMMYFUNCTION("""COMPUTED_VALUE"""),"500 mg")</f>
        <v>500 mg</v>
      </c>
      <c r="AP81" s="880">
        <f>IFERROR(__xludf.DUMMYFUNCTION("""COMPUTED_VALUE"""),106.0)</f>
        <v>106</v>
      </c>
      <c r="AQ81" s="880" t="str">
        <f>IFERROR(__xludf.DUMMYFUNCTION("""COMPUTED_VALUE"""),"10.8-11.2 years")</f>
        <v>10.8-11.2 years</v>
      </c>
      <c r="AR81" s="880">
        <f>IFERROR(__xludf.DUMMYFUNCTION("""COMPUTED_VALUE"""),0.14930555555555555)</f>
        <v>0.1493055556</v>
      </c>
      <c r="AS81" s="880">
        <f>IFERROR(__xludf.DUMMYFUNCTION("""COMPUTED_VALUE"""),2011.0)</f>
        <v>2011</v>
      </c>
      <c r="AT81" s="880" t="str">
        <f>IFERROR(__xludf.DUMMYFUNCTION("""COMPUTED_VALUE"""),"Subjects who were unable to provide a stool sample at baseine, experiencing a severe concurrent medical condition, had diarrhea at time of the first sampling, hand known history of allergic reaction to benzimidazoles or were pregnant were excluded from st"&amp;"udy")</f>
        <v>Subjects who were unable to provide a stool sample at baseine, experiencing a severe concurrent medical condition, had diarrhea at time of the first sampling, hand known history of allergic reaction to benzimidazoles or were pregnant were excluded from study</v>
      </c>
      <c r="AU81" s="880" t="str">
        <f>IFERROR(__xludf.DUMMYFUNCTION("""COMPUTED_VALUE"""),"Yes")</f>
        <v>Yes</v>
      </c>
      <c r="AV81" s="880" t="str">
        <f>IFERROR(__xludf.DUMMYFUNCTION("""COMPUTED_VALUE"""),"No")</f>
        <v>No</v>
      </c>
      <c r="AW81" s="881" t="str">
        <f>IFERROR(__xludf.DUMMYFUNCTION("""COMPUTED_VALUE"""),"Randomized multi-arm efficacy trial")</f>
        <v>Randomized multi-arm efficacy trial</v>
      </c>
      <c r="AX81" s="863"/>
      <c r="AY81" s="863"/>
      <c r="AZ81" s="863"/>
      <c r="BA81" s="863"/>
      <c r="BB81" s="863"/>
      <c r="BC81" s="863"/>
      <c r="BD81" s="863"/>
      <c r="BE81" s="863"/>
      <c r="BF81" s="863"/>
      <c r="BG81" s="863"/>
      <c r="BH81" s="863">
        <f>IFERROR(__xludf.DUMMYFUNCTION("""COMPUTED_VALUE"""),0.6)</f>
        <v>0.6</v>
      </c>
      <c r="BI81" s="863"/>
      <c r="BJ81" s="863"/>
      <c r="BK81" s="863"/>
      <c r="BL81" s="863"/>
      <c r="BM81" s="863"/>
      <c r="BN81" s="863"/>
      <c r="BO81" s="863" t="str">
        <f>IFERROR(__xludf.DUMMYFUNCTION("""COMPUTED_VALUE"""),"McMaster Method")</f>
        <v>McMaster Method</v>
      </c>
      <c r="BP81" s="880"/>
      <c r="BQ81" s="863"/>
      <c r="BR81" s="889" t="str">
        <f>IFERROR(__xludf.DUMMYFUNCTION("""COMPUTED_VALUE""")," Wang et al.")</f>
        <v> Wang et al.</v>
      </c>
      <c r="BS81" s="883" t="str">
        <f>IFERROR(__xludf.DUMMYFUNCTION("""COMPUTED_VALUE"""),"China")</f>
        <v>China</v>
      </c>
      <c r="BT81" s="883" t="str">
        <f>IFERROR(__xludf.DUMMYFUNCTION("""COMPUTED_VALUE"""),"Pyrantel Pamoate")</f>
        <v>Pyrantel Pamoate</v>
      </c>
      <c r="BU81" s="883"/>
      <c r="BV81" s="883" t="str">
        <f>IFERROR(__xludf.DUMMYFUNCTION("""COMPUTED_VALUE"""),"Single")</f>
        <v>Single</v>
      </c>
      <c r="BW81" s="883" t="str">
        <f>IFERROR(__xludf.DUMMYFUNCTION("""COMPUTED_VALUE"""),"500 mg")</f>
        <v>500 mg</v>
      </c>
      <c r="BX81" s="883">
        <f>IFERROR(__xludf.DUMMYFUNCTION("""COMPUTED_VALUE"""),42.0)</f>
        <v>42</v>
      </c>
      <c r="BY81" s="883" t="str">
        <f>IFERROR(__xludf.DUMMYFUNCTION("""COMPUTED_VALUE"""),"16-25")</f>
        <v>16-25</v>
      </c>
      <c r="BZ81" s="883"/>
      <c r="CA81" s="883"/>
      <c r="CB81" s="883"/>
      <c r="CC81" s="883" t="str">
        <f>IFERROR(__xludf.DUMMYFUNCTION("""COMPUTED_VALUE"""),"No")</f>
        <v>No</v>
      </c>
      <c r="CD81" s="884">
        <f>IFERROR(__xludf.DUMMYFUNCTION("""COMPUTED_VALUE"""),0.952)</f>
        <v>0.952</v>
      </c>
      <c r="CE81" s="883" t="str">
        <f>IFERROR(__xludf.DUMMYFUNCTION("""COMPUTED_VALUE"""),"No")</f>
        <v>No</v>
      </c>
      <c r="CF81" s="883" t="str">
        <f>IFERROR(__xludf.DUMMYFUNCTION("""COMPUTED_VALUE"""),"95.2% (Day 10)")</f>
        <v>95.2% (Day 10)</v>
      </c>
      <c r="CG81" s="883"/>
      <c r="CH81" s="883"/>
      <c r="CI81" s="883"/>
      <c r="CJ81" s="883"/>
      <c r="CK81" s="883"/>
      <c r="CL81" s="883"/>
      <c r="CM81" s="883"/>
      <c r="CN81" s="883"/>
      <c r="CO81" s="883"/>
      <c r="CP81" s="883"/>
      <c r="CQ81" s="883"/>
      <c r="CR81" s="883"/>
      <c r="CS81" s="883"/>
      <c r="CT81" s="883"/>
      <c r="CU81" s="883"/>
      <c r="CV81" s="863"/>
      <c r="CW81" s="863"/>
      <c r="CX81" s="863"/>
      <c r="CY81" s="863"/>
      <c r="CZ81" s="863"/>
      <c r="DA81" s="863"/>
      <c r="DB81" s="863"/>
      <c r="DC81" s="863"/>
      <c r="DD81" s="863"/>
      <c r="DE81" s="863"/>
    </row>
    <row r="82">
      <c r="A82" s="887" t="str">
        <f>IFERROR(__xludf.DUMMYFUNCTION("""COMPUTED_VALUE"""),"Morgan et al.")</f>
        <v>Morgan et al.</v>
      </c>
      <c r="B82" s="876" t="str">
        <f>IFERROR(__xludf.DUMMYFUNCTION("""COMPUTED_VALUE"""),"Malawi")</f>
        <v>Malawi</v>
      </c>
      <c r="C82" s="876" t="str">
        <f>IFERROR(__xludf.DUMMYFUNCTION("""COMPUTED_VALUE"""),"Levamisole")</f>
        <v>Levamisole</v>
      </c>
      <c r="D82" s="876" t="str">
        <f>IFERROR(__xludf.DUMMYFUNCTION("""COMPUTED_VALUE"""),"Single")</f>
        <v>Single</v>
      </c>
      <c r="E82" s="876" t="str">
        <f>IFERROR(__xludf.DUMMYFUNCTION("""COMPUTED_VALUE"""),"80 mg (or 120 if older than 16 years old)")</f>
        <v>80 mg (or 120 if older than 16 years old)</v>
      </c>
      <c r="F82" s="876">
        <f>IFERROR(__xludf.DUMMYFUNCTION("""COMPUTED_VALUE"""),30.0)</f>
        <v>30</v>
      </c>
      <c r="G82" s="876">
        <f>IFERROR(__xludf.DUMMYFUNCTION("""COMPUTED_VALUE"""),13.7)</f>
        <v>13.7</v>
      </c>
      <c r="H82" s="876"/>
      <c r="I82" s="876">
        <f>IFERROR(__xludf.DUMMYFUNCTION("""COMPUTED_VALUE"""),1983.0)</f>
        <v>1983</v>
      </c>
      <c r="J82" s="876"/>
      <c r="K82" s="876" t="str">
        <f>IFERROR(__xludf.DUMMYFUNCTION("""COMPUTED_VALUE"""),"double-blind")</f>
        <v>double-blind</v>
      </c>
      <c r="L82" s="876" t="str">
        <f>IFERROR(__xludf.DUMMYFUNCTION("""COMPUTED_VALUE"""),"Yes")</f>
        <v>Yes</v>
      </c>
      <c r="M82" s="876" t="str">
        <f>IFERROR(__xludf.DUMMYFUNCTION("""COMPUTED_VALUE"""),"Yes")</f>
        <v>Yes</v>
      </c>
      <c r="N82" s="877">
        <f>IFERROR(__xludf.DUMMYFUNCTION("""COMPUTED_VALUE"""),0.1)</f>
        <v>0.1</v>
      </c>
      <c r="O82" s="876"/>
      <c r="P82" s="876"/>
      <c r="Q82" s="876"/>
      <c r="R82" s="876"/>
      <c r="S82" s="876"/>
      <c r="T82" s="876"/>
      <c r="U82" s="876"/>
      <c r="V82" s="876"/>
      <c r="W82" s="876">
        <f>IFERROR(__xludf.DUMMYFUNCTION("""COMPUTED_VALUE"""),0.64)</f>
        <v>0.64</v>
      </c>
      <c r="X82" s="876"/>
      <c r="Y82" s="876"/>
      <c r="Z82" s="876"/>
      <c r="AA82" s="876"/>
      <c r="AB82" s="876"/>
      <c r="AC82" s="876"/>
      <c r="AD82" s="876"/>
      <c r="AE82" s="876" t="str">
        <f>IFERROR(__xludf.DUMMYFUNCTION("""COMPUTED_VALUE"""),"In the study Albendazolewas highly effective in the treatment of hookworm infection. Levamisole was less effective in lowering the egg count within 3 weeks of treatment, although Levamisole was significantly superior to placebo.")</f>
        <v>In the study Albendazolewas highly effective in the treatment of hookworm infection. Levamisole was less effective in lowering the egg count within 3 weeks of treatment, although Levamisole was significantly superior to placebo.</v>
      </c>
      <c r="AF82" s="876" t="str">
        <f>IFERROR(__xludf.DUMMYFUNCTION("""COMPUTED_VALUE"""),"Kato-Katz method")</f>
        <v>Kato-Katz method</v>
      </c>
      <c r="AG82" s="876" t="str">
        <f>IFERROR(__xludf.DUMMYFUNCTION("""COMPUTED_VALUE"""),"Morgan PRF, Yamanmoto M, Teesdale CH, &amp; Pugh RNH. “Albendazole: a new treatment for hookworm”. Medical quarterly: Journal of the Medical Association of Malawi (1983) 4-5. Web.")</f>
        <v>Morgan PRF, Yamanmoto M, Teesdale CH, &amp; Pugh RNH. “Albendazole: a new treatment for hookworm”. Medical quarterly: Journal of the Medical Association of Malawi (1983) 4-5. Web.</v>
      </c>
      <c r="AH82" s="876"/>
      <c r="AI82" s="878"/>
      <c r="AJ82" s="888" t="str">
        <f>IFERROR(__xludf.DUMMYFUNCTION("""COMPUTED_VALUE"""),"Mekonnen et al.")</f>
        <v>Mekonnen et al.</v>
      </c>
      <c r="AK82" s="880"/>
      <c r="AL82" s="880" t="str">
        <f>IFERROR(__xludf.DUMMYFUNCTION("""COMPUTED_VALUE"""),"Ethiopia")</f>
        <v>Ethiopia</v>
      </c>
      <c r="AM82" s="880" t="str">
        <f>IFERROR(__xludf.DUMMYFUNCTION("""COMPUTED_VALUE"""),"Mebendazole")</f>
        <v>Mebendazole</v>
      </c>
      <c r="AN82" s="880" t="str">
        <f>IFERROR(__xludf.DUMMYFUNCTION("""COMPUTED_VALUE"""),"Single")</f>
        <v>Single</v>
      </c>
      <c r="AO82" s="880" t="str">
        <f>IFERROR(__xludf.DUMMYFUNCTION("""COMPUTED_VALUE"""),"500 mg")</f>
        <v>500 mg</v>
      </c>
      <c r="AP82" s="880">
        <f>IFERROR(__xludf.DUMMYFUNCTION("""COMPUTED_VALUE"""),106.0)</f>
        <v>106</v>
      </c>
      <c r="AQ82" s="880" t="str">
        <f>IFERROR(__xludf.DUMMYFUNCTION("""COMPUTED_VALUE"""),"10.8-11.2 years")</f>
        <v>10.8-11.2 years</v>
      </c>
      <c r="AR82" s="880">
        <f>IFERROR(__xludf.DUMMYFUNCTION("""COMPUTED_VALUE"""),0.1909722222222222)</f>
        <v>0.1909722222</v>
      </c>
      <c r="AS82" s="880">
        <f>IFERROR(__xludf.DUMMYFUNCTION("""COMPUTED_VALUE"""),2011.0)</f>
        <v>2011</v>
      </c>
      <c r="AT82" s="880" t="str">
        <f>IFERROR(__xludf.DUMMYFUNCTION("""COMPUTED_VALUE"""),"Subjects who were unable to provide a stool sample at baseine, experiencing a severe concurrent medical condition, had diarrhea at time of the first sampling, hand known history of allergic reaction to benzimidazoles or were pregnant were excluded from st"&amp;"udy")</f>
        <v>Subjects who were unable to provide a stool sample at baseine, experiencing a severe concurrent medical condition, had diarrhea at time of the first sampling, hand known history of allergic reaction to benzimidazoles or were pregnant were excluded from study</v>
      </c>
      <c r="AU82" s="880" t="str">
        <f>IFERROR(__xludf.DUMMYFUNCTION("""COMPUTED_VALUE"""),"Yes")</f>
        <v>Yes</v>
      </c>
      <c r="AV82" s="880" t="str">
        <f>IFERROR(__xludf.DUMMYFUNCTION("""COMPUTED_VALUE"""),"No")</f>
        <v>No</v>
      </c>
      <c r="AW82" s="881" t="str">
        <f>IFERROR(__xludf.DUMMYFUNCTION("""COMPUTED_VALUE"""),"Randomized multi-arm efficacy trial")</f>
        <v>Randomized multi-arm efficacy trial</v>
      </c>
      <c r="AX82" s="863"/>
      <c r="AY82" s="863"/>
      <c r="AZ82" s="863"/>
      <c r="BA82" s="863"/>
      <c r="BB82" s="863"/>
      <c r="BC82" s="863"/>
      <c r="BD82" s="863"/>
      <c r="BE82" s="863"/>
      <c r="BF82" s="863"/>
      <c r="BG82" s="863"/>
      <c r="BH82" s="863">
        <f>IFERROR(__xludf.DUMMYFUNCTION("""COMPUTED_VALUE"""),0.871)</f>
        <v>0.871</v>
      </c>
      <c r="BI82" s="863"/>
      <c r="BJ82" s="863"/>
      <c r="BK82" s="863"/>
      <c r="BL82" s="863"/>
      <c r="BM82" s="863"/>
      <c r="BN82" s="863"/>
      <c r="BO82" s="863" t="str">
        <f>IFERROR(__xludf.DUMMYFUNCTION("""COMPUTED_VALUE"""),"McMaster Method")</f>
        <v>McMaster Method</v>
      </c>
      <c r="BP82" s="880"/>
      <c r="BQ82" s="863"/>
      <c r="BR82" s="889" t="str">
        <f>IFERROR(__xludf.DUMMYFUNCTION("""COMPUTED_VALUE""")," Wang et al.")</f>
        <v> Wang et al.</v>
      </c>
      <c r="BS82" s="883" t="str">
        <f>IFERROR(__xludf.DUMMYFUNCTION("""COMPUTED_VALUE"""),"China")</f>
        <v>China</v>
      </c>
      <c r="BT82" s="883" t="str">
        <f>IFERROR(__xludf.DUMMYFUNCTION("""COMPUTED_VALUE"""),"Mebendazole")</f>
        <v>Mebendazole</v>
      </c>
      <c r="BU82" s="883"/>
      <c r="BV82" s="883" t="str">
        <f>IFERROR(__xludf.DUMMYFUNCTION("""COMPUTED_VALUE"""),"Single")</f>
        <v>Single</v>
      </c>
      <c r="BW82" s="883" t="str">
        <f>IFERROR(__xludf.DUMMYFUNCTION("""COMPUTED_VALUE"""),"200 mg")</f>
        <v>200 mg</v>
      </c>
      <c r="BX82" s="883">
        <f>IFERROR(__xludf.DUMMYFUNCTION("""COMPUTED_VALUE"""),34.0)</f>
        <v>34</v>
      </c>
      <c r="BY82" s="883" t="str">
        <f>IFERROR(__xludf.DUMMYFUNCTION("""COMPUTED_VALUE"""),"16-25")</f>
        <v>16-25</v>
      </c>
      <c r="BZ82" s="883"/>
      <c r="CA82" s="883"/>
      <c r="CB82" s="883"/>
      <c r="CC82" s="883" t="str">
        <f>IFERROR(__xludf.DUMMYFUNCTION("""COMPUTED_VALUE"""),"No")</f>
        <v>No</v>
      </c>
      <c r="CD82" s="884">
        <f>IFERROR(__xludf.DUMMYFUNCTION("""COMPUTED_VALUE"""),0.765)</f>
        <v>0.765</v>
      </c>
      <c r="CE82" s="883" t="str">
        <f>IFERROR(__xludf.DUMMYFUNCTION("""COMPUTED_VALUE"""),"No")</f>
        <v>No</v>
      </c>
      <c r="CF82" s="883" t="str">
        <f>IFERROR(__xludf.DUMMYFUNCTION("""COMPUTED_VALUE"""),"76.5% (Day 10)")</f>
        <v>76.5% (Day 10)</v>
      </c>
      <c r="CG82" s="883"/>
      <c r="CH82" s="883"/>
      <c r="CI82" s="883"/>
      <c r="CJ82" s="883"/>
      <c r="CK82" s="883"/>
      <c r="CL82" s="883"/>
      <c r="CM82" s="883"/>
      <c r="CN82" s="883"/>
      <c r="CO82" s="883"/>
      <c r="CP82" s="883"/>
      <c r="CQ82" s="883"/>
      <c r="CR82" s="883"/>
      <c r="CS82" s="883"/>
      <c r="CT82" s="883"/>
      <c r="CU82" s="883"/>
      <c r="CV82" s="863"/>
      <c r="CW82" s="863"/>
      <c r="CX82" s="863"/>
      <c r="CY82" s="863"/>
      <c r="CZ82" s="863"/>
      <c r="DA82" s="863"/>
      <c r="DB82" s="863"/>
      <c r="DC82" s="863"/>
      <c r="DD82" s="863"/>
      <c r="DE82" s="863"/>
    </row>
    <row r="83">
      <c r="A83" s="887" t="str">
        <f>IFERROR(__xludf.DUMMYFUNCTION("""COMPUTED_VALUE"""),"Mihrshahi et al.")</f>
        <v>Mihrshahi et al.</v>
      </c>
      <c r="B83" s="876" t="str">
        <f>IFERROR(__xludf.DUMMYFUNCTION("""COMPUTED_VALUE"""),"Viet Nam")</f>
        <v>Viet Nam</v>
      </c>
      <c r="C83" s="876" t="str">
        <f>IFERROR(__xludf.DUMMYFUNCTION("""COMPUTED_VALUE"""),"Albendazole")</f>
        <v>Albendazole</v>
      </c>
      <c r="D83" s="876" t="str">
        <f>IFERROR(__xludf.DUMMYFUNCTION("""COMPUTED_VALUE"""),"Three")</f>
        <v>Three</v>
      </c>
      <c r="E83" s="876" t="str">
        <f>IFERROR(__xludf.DUMMYFUNCTION("""COMPUTED_VALUE"""),"400 mg")</f>
        <v>400 mg</v>
      </c>
      <c r="F83" s="876">
        <f>IFERROR(__xludf.DUMMYFUNCTION("""COMPUTED_VALUE"""),118.0)</f>
        <v>118</v>
      </c>
      <c r="G83" s="876" t="str">
        <f>IFERROR(__xludf.DUMMYFUNCTION("""COMPUTED_VALUE"""),"16-45 ")</f>
        <v>16-45 </v>
      </c>
      <c r="H83" s="876" t="str">
        <f>IFERROR(__xludf.DUMMYFUNCTION("""COMPUTED_VALUE"""),"0:1")</f>
        <v>0:1</v>
      </c>
      <c r="I83" s="876">
        <f>IFERROR(__xludf.DUMMYFUNCTION("""COMPUTED_VALUE"""),2007.0)</f>
        <v>2007</v>
      </c>
      <c r="J83" s="876"/>
      <c r="K83" s="876" t="str">
        <f>IFERROR(__xludf.DUMMYFUNCTION("""COMPUTED_VALUE"""),"randomized trial")</f>
        <v>randomized trial</v>
      </c>
      <c r="L83" s="876" t="str">
        <f>IFERROR(__xludf.DUMMYFUNCTION("""COMPUTED_VALUE"""),"Yes")</f>
        <v>Yes</v>
      </c>
      <c r="M83" s="876" t="str">
        <f>IFERROR(__xludf.DUMMYFUNCTION("""COMPUTED_VALUE"""),"No")</f>
        <v>No</v>
      </c>
      <c r="N83" s="877">
        <f>IFERROR(__xludf.DUMMYFUNCTION("""COMPUTED_VALUE"""),0.713)</f>
        <v>0.713</v>
      </c>
      <c r="O83" s="876"/>
      <c r="P83" s="876"/>
      <c r="Q83" s="876"/>
      <c r="R83" s="876"/>
      <c r="S83" s="876"/>
      <c r="T83" s="876"/>
      <c r="U83" s="876"/>
      <c r="V83" s="876"/>
      <c r="W83" s="876"/>
      <c r="X83" s="876"/>
      <c r="Y83" s="876"/>
      <c r="Z83" s="876"/>
      <c r="AA83" s="876"/>
      <c r="AB83" s="876"/>
      <c r="AC83" s="876"/>
      <c r="AD83" s="876"/>
      <c r="AE83" s="876" t="str">
        <f>IFERROR(__xludf.DUMMYFUNCTION("""COMPUTED_VALUE"""),"This study confirms the high prevalence of STH infection, particularly hookworm infection, among women of reproductive age in north-west Viet Nam and shows a significant reduction in both the prevalence and intensity of STH infection with a single dose of"&amp;" Albendazole(400 mg) given every 4 months over a 12 month period.")</f>
        <v>This study confirms the high prevalence of STH infection, particularly hookworm infection, among women of reproductive age in north-west Viet Nam and shows a significant reduction in both the prevalence and intensity of STH infection with a single dose of Albendazole(400 mg) given every 4 months over a 12 month period.</v>
      </c>
      <c r="AF83" s="876" t="str">
        <f>IFERROR(__xludf.DUMMYFUNCTION("""COMPUTED_VALUE"""),"Kato Katz Method. Albendazole400mg over a 12 month study period and weekly supplementation with ferrous sulphate–folic acid tablets 60/0.4 mg ")</f>
        <v>Kato Katz Method. Albendazole400mg over a 12 month study period and weekly supplementation with ferrous sulphate–folic acid tablets 60/0.4 mg </v>
      </c>
      <c r="AG83" s="876" t="str">
        <f>IFERROR(__xludf.DUMMYFUNCTION("""COMPUTED_VALUE"""),"Mihrshahi, S., Casey, G. J., Montresor, A., Phuc, T. Q., Thach, D. T. C., Tien, N. T., Biggs, B. “The effectiveness of 4 monthly Albendazoletreatment in the reduction of soil-transmitted helminth infections in women of reproductive age in Viet Nam.” Inter"&amp;"national Journal for Parasitology 39 (2009): 1037–1043. Web.")</f>
        <v>Mihrshahi, S., Casey, G. J., Montresor, A., Phuc, T. Q., Thach, D. T. C., Tien, N. T., Biggs, B. “The effectiveness of 4 monthly Albendazoletreatment in the reduction of soil-transmitted helminth infections in women of reproductive age in Viet Nam.” International Journal for Parasitology 39 (2009): 1037–1043. Web.</v>
      </c>
      <c r="AH83" s="876" t="str">
        <f>IFERROR(__xludf.DUMMYFUNCTION("""COMPUTED_VALUE"""),"x")</f>
        <v>x</v>
      </c>
      <c r="AI83" s="878"/>
      <c r="AJ83" s="888" t="str">
        <f>IFERROR(__xludf.DUMMYFUNCTION("""COMPUTED_VALUE"""),"Abadi, K")</f>
        <v>Abadi, K</v>
      </c>
      <c r="AK83" s="880" t="str">
        <f>IFERROR(__xludf.DUMMYFUNCTION("""COMPUTED_VALUE"""),"Abadi, K. “Single dose Mebendazoletherapy for soil-transmitted nematodes”. The American Journal of Tropical Medicine and Hygeine 34 (1985): 129-133. Web.")</f>
        <v>Abadi, K. “Single dose Mebendazoletherapy for soil-transmitted nematodes”. The American Journal of Tropical Medicine and Hygeine 34 (1985): 129-133. Web.</v>
      </c>
      <c r="AL83" s="880" t="str">
        <f>IFERROR(__xludf.DUMMYFUNCTION("""COMPUTED_VALUE"""),"Indonesia")</f>
        <v>Indonesia</v>
      </c>
      <c r="AM83" s="880" t="str">
        <f>IFERROR(__xludf.DUMMYFUNCTION("""COMPUTED_VALUE"""),"Mebendazole")</f>
        <v>Mebendazole</v>
      </c>
      <c r="AN83" s="880" t="str">
        <f>IFERROR(__xludf.DUMMYFUNCTION("""COMPUTED_VALUE"""),"Single")</f>
        <v>Single</v>
      </c>
      <c r="AO83" s="880" t="str">
        <f>IFERROR(__xludf.DUMMYFUNCTION("""COMPUTED_VALUE"""),"500 mg")</f>
        <v>500 mg</v>
      </c>
      <c r="AP83" s="880">
        <f>IFERROR(__xludf.DUMMYFUNCTION("""COMPUTED_VALUE"""),67.0)</f>
        <v>67</v>
      </c>
      <c r="AQ83" s="880" t="str">
        <f>IFERROR(__xludf.DUMMYFUNCTION("""COMPUTED_VALUE"""),"2-70 years old")</f>
        <v>2-70 years old</v>
      </c>
      <c r="AR83" s="880" t="str">
        <f>IFERROR(__xludf.DUMMYFUNCTION("""COMPUTED_VALUE"""),"N/A")</f>
        <v>N/A</v>
      </c>
      <c r="AS83" s="880">
        <f>IFERROR(__xludf.DUMMYFUNCTION("""COMPUTED_VALUE"""),1983.0)</f>
        <v>1983</v>
      </c>
      <c r="AT83" s="880"/>
      <c r="AU83" s="880" t="str">
        <f>IFERROR(__xludf.DUMMYFUNCTION("""COMPUTED_VALUE"""),"Yes")</f>
        <v>Yes</v>
      </c>
      <c r="AV83" s="880" t="str">
        <f>IFERROR(__xludf.DUMMYFUNCTION("""COMPUTED_VALUE"""),"Yes")</f>
        <v>Yes</v>
      </c>
      <c r="AW83" s="881" t="str">
        <f>IFERROR(__xludf.DUMMYFUNCTION("""COMPUTED_VALUE"""),"double-blind")</f>
        <v>double-blind</v>
      </c>
      <c r="AX83" s="863">
        <f>IFERROR(__xludf.DUMMYFUNCTION("""COMPUTED_VALUE"""),0.776)</f>
        <v>0.776</v>
      </c>
      <c r="AY83" s="863"/>
      <c r="AZ83" s="863">
        <f>IFERROR(__xludf.DUMMYFUNCTION("""COMPUTED_VALUE"""),0.776)</f>
        <v>0.776</v>
      </c>
      <c r="BA83" s="863"/>
      <c r="BB83" s="863"/>
      <c r="BC83" s="863"/>
      <c r="BD83" s="863"/>
      <c r="BE83" s="863"/>
      <c r="BF83" s="863"/>
      <c r="BG83" s="863"/>
      <c r="BH83" s="863">
        <f>IFERROR(__xludf.DUMMYFUNCTION("""COMPUTED_VALUE"""),0.928)</f>
        <v>0.928</v>
      </c>
      <c r="BI83" s="863"/>
      <c r="BJ83" s="863"/>
      <c r="BK83" s="863"/>
      <c r="BL83" s="863"/>
      <c r="BM83" s="863"/>
      <c r="BN83" s="863"/>
      <c r="BO83" s="863" t="str">
        <f>IFERROR(__xludf.DUMMYFUNCTION("""COMPUTED_VALUE"""),"Kato-Katz Method")</f>
        <v>Kato-Katz Method</v>
      </c>
      <c r="BP83" s="880" t="str">
        <f>IFERROR(__xludf.DUMMYFUNCTION("""COMPUTED_VALUE"""),"x")</f>
        <v>x</v>
      </c>
      <c r="BQ83" s="863"/>
      <c r="BR83" s="889" t="str">
        <f>IFERROR(__xludf.DUMMYFUNCTION("""COMPUTED_VALUE""")," Wang et al.")</f>
        <v> Wang et al.</v>
      </c>
      <c r="BS83" s="883" t="str">
        <f>IFERROR(__xludf.DUMMYFUNCTION("""COMPUTED_VALUE"""),"China")</f>
        <v>China</v>
      </c>
      <c r="BT83" s="883" t="str">
        <f>IFERROR(__xludf.DUMMYFUNCTION("""COMPUTED_VALUE"""),"Mebendazole")</f>
        <v>Mebendazole</v>
      </c>
      <c r="BU83" s="883"/>
      <c r="BV83" s="883" t="str">
        <f>IFERROR(__xludf.DUMMYFUNCTION("""COMPUTED_VALUE"""),"Single")</f>
        <v>Single</v>
      </c>
      <c r="BW83" s="883" t="str">
        <f>IFERROR(__xludf.DUMMYFUNCTION("""COMPUTED_VALUE"""),"200 mg")</f>
        <v>200 mg</v>
      </c>
      <c r="BX83" s="883">
        <f>IFERROR(__xludf.DUMMYFUNCTION("""COMPUTED_VALUE"""),42.0)</f>
        <v>42</v>
      </c>
      <c r="BY83" s="883" t="str">
        <f>IFERROR(__xludf.DUMMYFUNCTION("""COMPUTED_VALUE"""),"16-25")</f>
        <v>16-25</v>
      </c>
      <c r="BZ83" s="883"/>
      <c r="CA83" s="883"/>
      <c r="CB83" s="883"/>
      <c r="CC83" s="883" t="str">
        <f>IFERROR(__xludf.DUMMYFUNCTION("""COMPUTED_VALUE"""),"No")</f>
        <v>No</v>
      </c>
      <c r="CD83" s="884">
        <f>IFERROR(__xludf.DUMMYFUNCTION("""COMPUTED_VALUE"""),0.81)</f>
        <v>0.81</v>
      </c>
      <c r="CE83" s="883" t="str">
        <f>IFERROR(__xludf.DUMMYFUNCTION("""COMPUTED_VALUE"""),"No")</f>
        <v>No</v>
      </c>
      <c r="CF83" s="883" t="str">
        <f>IFERROR(__xludf.DUMMYFUNCTION("""COMPUTED_VALUE"""),"81.0% (Day 10)")</f>
        <v>81.0% (Day 10)</v>
      </c>
      <c r="CG83" s="883"/>
      <c r="CH83" s="883"/>
      <c r="CI83" s="883"/>
      <c r="CJ83" s="883"/>
      <c r="CK83" s="883"/>
      <c r="CL83" s="883"/>
      <c r="CM83" s="883"/>
      <c r="CN83" s="883"/>
      <c r="CO83" s="883"/>
      <c r="CP83" s="883"/>
      <c r="CQ83" s="883"/>
      <c r="CR83" s="883"/>
      <c r="CS83" s="883"/>
      <c r="CT83" s="883"/>
      <c r="CU83" s="883"/>
      <c r="CV83" s="863"/>
      <c r="CW83" s="863"/>
      <c r="CX83" s="863"/>
      <c r="CY83" s="863"/>
      <c r="CZ83" s="863"/>
      <c r="DA83" s="863"/>
      <c r="DB83" s="863"/>
      <c r="DC83" s="863"/>
      <c r="DD83" s="863"/>
      <c r="DE83" s="863"/>
    </row>
    <row r="84">
      <c r="A84" s="887" t="str">
        <f>IFERROR(__xludf.DUMMYFUNCTION("""COMPUTED_VALUE"""),"Muchiri et al.")</f>
        <v>Muchiri et al.</v>
      </c>
      <c r="B84" s="876" t="str">
        <f>IFERROR(__xludf.DUMMYFUNCTION("""COMPUTED_VALUE"""),"Kenya")</f>
        <v>Kenya</v>
      </c>
      <c r="C84" s="876" t="str">
        <f>IFERROR(__xludf.DUMMYFUNCTION("""COMPUTED_VALUE"""),"Albendazole")</f>
        <v>Albendazole</v>
      </c>
      <c r="D84" s="876" t="str">
        <f>IFERROR(__xludf.DUMMYFUNCTION("""COMPUTED_VALUE"""),"Single")</f>
        <v>Single</v>
      </c>
      <c r="E84" s="876" t="str">
        <f>IFERROR(__xludf.DUMMYFUNCTION("""COMPUTED_VALUE"""),"600 mg")</f>
        <v>600 mg</v>
      </c>
      <c r="F84" s="876" t="str">
        <f>IFERROR(__xludf.DUMMYFUNCTION("""COMPUTED_VALUE"""),"212/373")</f>
        <v>212/373</v>
      </c>
      <c r="G84" s="876">
        <f>IFERROR(__xludf.DUMMYFUNCTION("""COMPUTED_VALUE"""),11.2)</f>
        <v>11.2</v>
      </c>
      <c r="H84" s="876" t="str">
        <f>IFERROR(__xludf.DUMMYFUNCTION("""COMPUTED_VALUE"""),"209:164")</f>
        <v>209:164</v>
      </c>
      <c r="I84" s="876">
        <f>IFERROR(__xludf.DUMMYFUNCTION("""COMPUTED_VALUE"""),1997.0)</f>
        <v>1997</v>
      </c>
      <c r="J84" s="876"/>
      <c r="K84" s="876" t="str">
        <f>IFERROR(__xludf.DUMMYFUNCTION("""COMPUTED_VALUE"""),"randomized trial")</f>
        <v>randomized trial</v>
      </c>
      <c r="L84" s="876" t="str">
        <f>IFERROR(__xludf.DUMMYFUNCTION("""COMPUTED_VALUE"""),"Yes")</f>
        <v>Yes</v>
      </c>
      <c r="M84" s="876" t="str">
        <f>IFERROR(__xludf.DUMMYFUNCTION("""COMPUTED_VALUE"""),"No")</f>
        <v>No</v>
      </c>
      <c r="N84" s="877">
        <f>IFERROR(__xludf.DUMMYFUNCTION("""COMPUTED_VALUE"""),0.924)</f>
        <v>0.924</v>
      </c>
      <c r="O84" s="876"/>
      <c r="P84" s="876"/>
      <c r="Q84" s="876">
        <f>IFERROR(__xludf.DUMMYFUNCTION("""COMPUTED_VALUE"""),0.79)</f>
        <v>0.79</v>
      </c>
      <c r="R84" s="876"/>
      <c r="S84" s="876"/>
      <c r="T84" s="876"/>
      <c r="U84" s="876"/>
      <c r="V84" s="876"/>
      <c r="W84" s="876">
        <f>IFERROR(__xludf.DUMMYFUNCTION("""COMPUTED_VALUE"""),0.985)</f>
        <v>0.985</v>
      </c>
      <c r="X84" s="876"/>
      <c r="Y84" s="876"/>
      <c r="Z84" s="876"/>
      <c r="AA84" s="876"/>
      <c r="AB84" s="876"/>
      <c r="AC84" s="876"/>
      <c r="AD84" s="876"/>
      <c r="AE84" s="876" t="str">
        <f>IFERROR(__xludf.DUMMYFUNCTION("""COMPUTED_VALUE"""),"Overall, ALB resulted in staistically higher FECR and CR rates than MB even after 2 single doses of ALB given at 6-mo intervals, was compared with 2 or 3 doses of mebendazole.")</f>
        <v>Overall, ALB resulted in staistically higher FECR and CR rates than MB even after 2 single doses of ALB given at 6-mo intervals, was compared with 2 or 3 doses of mebendazole.</v>
      </c>
      <c r="AF84" s="876" t="str">
        <f>IFERROR(__xludf.DUMMYFUNCTION("""COMPUTED_VALUE"""),"Modified Kato–Katz method")</f>
        <v>Modified Kato–Katz method</v>
      </c>
      <c r="AG84" s="876" t="str">
        <f>IFERROR(__xludf.DUMMYFUNCTION("""COMPUTED_VALUE"""),"Muchiri, Eric M., Thiong'o, Fredrick W., Magnussen, Pascal and Ouma, John H. “A Comparative Study of Different Albendazoleand MebendazoleRegiments for the Treatment of Intestinal Infections in School Children of Usigu Division, Western Kenya”. Journal of "&amp;"Parasitology 87 (2001): 413-418. Web.")</f>
        <v>Muchiri, Eric M., Thiong'o, Fredrick W., Magnussen, Pascal and Ouma, John H. “A Comparative Study of Different Albendazoleand MebendazoleRegiments for the Treatment of Intestinal Infections in School Children of Usigu Division, Western Kenya”. Journal of Parasitology 87 (2001): 413-418. Web.</v>
      </c>
      <c r="AH84" s="876" t="str">
        <f>IFERROR(__xludf.DUMMYFUNCTION("""COMPUTED_VALUE"""),"x")</f>
        <v>x</v>
      </c>
      <c r="AI84" s="878"/>
      <c r="AJ84" s="888" t="str">
        <f>IFERROR(__xludf.DUMMYFUNCTION("""COMPUTED_VALUE"""),"Abadi, K")</f>
        <v>Abadi, K</v>
      </c>
      <c r="AK84" s="880"/>
      <c r="AL84" s="880" t="str">
        <f>IFERROR(__xludf.DUMMYFUNCTION("""COMPUTED_VALUE"""),"Indonesia")</f>
        <v>Indonesia</v>
      </c>
      <c r="AM84" s="880" t="str">
        <f>IFERROR(__xludf.DUMMYFUNCTION("""COMPUTED_VALUE"""),"Placebo")</f>
        <v>Placebo</v>
      </c>
      <c r="AN84" s="880"/>
      <c r="AO84" s="880"/>
      <c r="AP84" s="880">
        <f>IFERROR(__xludf.DUMMYFUNCTION("""COMPUTED_VALUE"""),38.0)</f>
        <v>38</v>
      </c>
      <c r="AQ84" s="880" t="str">
        <f>IFERROR(__xludf.DUMMYFUNCTION("""COMPUTED_VALUE"""),"2-70 years old")</f>
        <v>2-70 years old</v>
      </c>
      <c r="AR84" s="880" t="str">
        <f>IFERROR(__xludf.DUMMYFUNCTION("""COMPUTED_VALUE"""),"N/A")</f>
        <v>N/A</v>
      </c>
      <c r="AS84" s="880">
        <f>IFERROR(__xludf.DUMMYFUNCTION("""COMPUTED_VALUE"""),1983.0)</f>
        <v>1983</v>
      </c>
      <c r="AT84" s="880"/>
      <c r="AU84" s="880" t="str">
        <f>IFERROR(__xludf.DUMMYFUNCTION("""COMPUTED_VALUE"""),"Yes")</f>
        <v>Yes</v>
      </c>
      <c r="AV84" s="880" t="str">
        <f>IFERROR(__xludf.DUMMYFUNCTION("""COMPUTED_VALUE"""),"Yes")</f>
        <v>Yes</v>
      </c>
      <c r="AW84" s="881" t="str">
        <f>IFERROR(__xludf.DUMMYFUNCTION("""COMPUTED_VALUE"""),"double-blind")</f>
        <v>double-blind</v>
      </c>
      <c r="AX84" s="863"/>
      <c r="AY84" s="863"/>
      <c r="AZ84" s="863"/>
      <c r="BA84" s="863"/>
      <c r="BB84" s="863"/>
      <c r="BC84" s="863"/>
      <c r="BD84" s="863"/>
      <c r="BE84" s="863"/>
      <c r="BF84" s="863"/>
      <c r="BG84" s="863"/>
      <c r="BH84" s="863">
        <f>IFERROR(__xludf.DUMMYFUNCTION("""COMPUTED_VALUE"""),0.107)</f>
        <v>0.107</v>
      </c>
      <c r="BI84" s="863"/>
      <c r="BJ84" s="863"/>
      <c r="BK84" s="863"/>
      <c r="BL84" s="863"/>
      <c r="BM84" s="863"/>
      <c r="BN84" s="863"/>
      <c r="BO84" s="863"/>
      <c r="BP84" s="880" t="str">
        <f>IFERROR(__xludf.DUMMYFUNCTION("""COMPUTED_VALUE"""),"x")</f>
        <v>x</v>
      </c>
      <c r="BQ84" s="863"/>
      <c r="BR84" s="889" t="str">
        <f>IFERROR(__xludf.DUMMYFUNCTION("""COMPUTED_VALUE""")," Wang et al.")</f>
        <v> Wang et al.</v>
      </c>
      <c r="BS84" s="883" t="str">
        <f>IFERROR(__xludf.DUMMYFUNCTION("""COMPUTED_VALUE"""),"China")</f>
        <v>China</v>
      </c>
      <c r="BT84" s="883" t="str">
        <f>IFERROR(__xludf.DUMMYFUNCTION("""COMPUTED_VALUE"""),"Mebendazole")</f>
        <v>Mebendazole</v>
      </c>
      <c r="BU84" s="883"/>
      <c r="BV84" s="883" t="str">
        <f>IFERROR(__xludf.DUMMYFUNCTION("""COMPUTED_VALUE"""),"Single")</f>
        <v>Single</v>
      </c>
      <c r="BW84" s="883" t="str">
        <f>IFERROR(__xludf.DUMMYFUNCTION("""COMPUTED_VALUE"""),"200 mg")</f>
        <v>200 mg</v>
      </c>
      <c r="BX84" s="883">
        <f>IFERROR(__xludf.DUMMYFUNCTION("""COMPUTED_VALUE"""),38.0)</f>
        <v>38</v>
      </c>
      <c r="BY84" s="883" t="str">
        <f>IFERROR(__xludf.DUMMYFUNCTION("""COMPUTED_VALUE"""),"16-25")</f>
        <v>16-25</v>
      </c>
      <c r="BZ84" s="883"/>
      <c r="CA84" s="883"/>
      <c r="CB84" s="883"/>
      <c r="CC84" s="883" t="str">
        <f>IFERROR(__xludf.DUMMYFUNCTION("""COMPUTED_VALUE"""),"No")</f>
        <v>No</v>
      </c>
      <c r="CD84" s="884">
        <f>IFERROR(__xludf.DUMMYFUNCTION("""COMPUTED_VALUE"""),1.0)</f>
        <v>1</v>
      </c>
      <c r="CE84" s="883" t="str">
        <f>IFERROR(__xludf.DUMMYFUNCTION("""COMPUTED_VALUE"""),"No")</f>
        <v>No</v>
      </c>
      <c r="CF84" s="883" t="str">
        <f>IFERROR(__xludf.DUMMYFUNCTION("""COMPUTED_VALUE"""),"100.0% (Day 10)")</f>
        <v>100.0% (Day 10)</v>
      </c>
      <c r="CG84" s="883"/>
      <c r="CH84" s="883"/>
      <c r="CI84" s="883"/>
      <c r="CJ84" s="883"/>
      <c r="CK84" s="883"/>
      <c r="CL84" s="883"/>
      <c r="CM84" s="883"/>
      <c r="CN84" s="883"/>
      <c r="CO84" s="883"/>
      <c r="CP84" s="883"/>
      <c r="CQ84" s="883"/>
      <c r="CR84" s="883"/>
      <c r="CS84" s="883"/>
      <c r="CT84" s="883"/>
      <c r="CU84" s="883"/>
      <c r="CV84" s="863"/>
      <c r="CW84" s="863"/>
      <c r="CX84" s="863"/>
      <c r="CY84" s="863"/>
      <c r="CZ84" s="863"/>
      <c r="DA84" s="863"/>
      <c r="DB84" s="863"/>
      <c r="DC84" s="863"/>
      <c r="DD84" s="863"/>
      <c r="DE84" s="863"/>
    </row>
    <row r="85">
      <c r="A85" s="887" t="str">
        <f>IFERROR(__xludf.DUMMYFUNCTION("""COMPUTED_VALUE"""),"Muchiri et al.")</f>
        <v>Muchiri et al.</v>
      </c>
      <c r="B85" s="876" t="str">
        <f>IFERROR(__xludf.DUMMYFUNCTION("""COMPUTED_VALUE"""),"Kenya")</f>
        <v>Kenya</v>
      </c>
      <c r="C85" s="876" t="str">
        <f>IFERROR(__xludf.DUMMYFUNCTION("""COMPUTED_VALUE"""),"Mebendazole")</f>
        <v>Mebendazole</v>
      </c>
      <c r="D85" s="876" t="str">
        <f>IFERROR(__xludf.DUMMYFUNCTION("""COMPUTED_VALUE"""),"Single")</f>
        <v>Single</v>
      </c>
      <c r="E85" s="876" t="str">
        <f>IFERROR(__xludf.DUMMYFUNCTION("""COMPUTED_VALUE"""),"600 mg")</f>
        <v>600 mg</v>
      </c>
      <c r="F85" s="876" t="str">
        <f>IFERROR(__xludf.DUMMYFUNCTION("""COMPUTED_VALUE"""),"256/416")</f>
        <v>256/416</v>
      </c>
      <c r="G85" s="876">
        <f>IFERROR(__xludf.DUMMYFUNCTION("""COMPUTED_VALUE"""),10.9)</f>
        <v>10.9</v>
      </c>
      <c r="H85" s="876" t="str">
        <f>IFERROR(__xludf.DUMMYFUNCTION("""COMPUTED_VALUE"""),"221:195")</f>
        <v>221:195</v>
      </c>
      <c r="I85" s="876">
        <f>IFERROR(__xludf.DUMMYFUNCTION("""COMPUTED_VALUE"""),1997.0)</f>
        <v>1997</v>
      </c>
      <c r="J85" s="876"/>
      <c r="K85" s="876" t="str">
        <f>IFERROR(__xludf.DUMMYFUNCTION("""COMPUTED_VALUE"""),"randomized trial")</f>
        <v>randomized trial</v>
      </c>
      <c r="L85" s="876" t="str">
        <f>IFERROR(__xludf.DUMMYFUNCTION("""COMPUTED_VALUE"""),"Yes")</f>
        <v>Yes</v>
      </c>
      <c r="M85" s="876" t="str">
        <f>IFERROR(__xludf.DUMMYFUNCTION("""COMPUTED_VALUE"""),"No")</f>
        <v>No</v>
      </c>
      <c r="N85" s="877">
        <f>IFERROR(__xludf.DUMMYFUNCTION("""COMPUTED_VALUE"""),0.5)</f>
        <v>0.5</v>
      </c>
      <c r="O85" s="876"/>
      <c r="P85" s="876"/>
      <c r="Q85" s="876">
        <f>IFERROR(__xludf.DUMMYFUNCTION("""COMPUTED_VALUE"""),0.438)</f>
        <v>0.438</v>
      </c>
      <c r="R85" s="876"/>
      <c r="S85" s="876"/>
      <c r="T85" s="876"/>
      <c r="U85" s="876"/>
      <c r="V85" s="876"/>
      <c r="W85" s="876">
        <f>IFERROR(__xludf.DUMMYFUNCTION("""COMPUTED_VALUE"""),0.863)</f>
        <v>0.863</v>
      </c>
      <c r="X85" s="876"/>
      <c r="Y85" s="876"/>
      <c r="Z85" s="876"/>
      <c r="AA85" s="876"/>
      <c r="AB85" s="876"/>
      <c r="AC85" s="876"/>
      <c r="AD85" s="876"/>
      <c r="AE85" s="876" t="str">
        <f>IFERROR(__xludf.DUMMYFUNCTION("""COMPUTED_VALUE"""),"Overall, ALB resulted in staistically higher FECR and CR rates than MB even after 2 single doses of ALB given at 6-mo intervals, was compared with 2 or 3 doses of mebendazole.")</f>
        <v>Overall, ALB resulted in staistically higher FECR and CR rates than MB even after 2 single doses of ALB given at 6-mo intervals, was compared with 2 or 3 doses of mebendazole.</v>
      </c>
      <c r="AF85" s="876" t="str">
        <f>IFERROR(__xludf.DUMMYFUNCTION("""COMPUTED_VALUE"""),"Mebendazole600 mg 6 mo interval 2x")</f>
        <v>Mebendazole600 mg 6 mo interval 2x</v>
      </c>
      <c r="AG85" s="876" t="str">
        <f>IFERROR(__xludf.DUMMYFUNCTION("""COMPUTED_VALUE"""),"Muchiri, Eric M., Thiong'o, Fredrick W., Magnussen, Pascal and Ouma, John H. “A Comparative Study of Different Albendazoleand MebendazoleRegiments for the Treatment of Intestinal Infections in School Children of Usigu Division, Western Kenya”. Journal of "&amp;"Parasitology 87 (2001): 413-418. Web.")</f>
        <v>Muchiri, Eric M., Thiong'o, Fredrick W., Magnussen, Pascal and Ouma, John H. “A Comparative Study of Different Albendazoleand MebendazoleRegiments for the Treatment of Intestinal Infections in School Children of Usigu Division, Western Kenya”. Journal of Parasitology 87 (2001): 413-418. Web.</v>
      </c>
      <c r="AH85" s="876" t="str">
        <f>IFERROR(__xludf.DUMMYFUNCTION("""COMPUTED_VALUE"""),"x")</f>
        <v>x</v>
      </c>
      <c r="AI85" s="878"/>
      <c r="AJ85" s="888" t="str">
        <f>IFERROR(__xludf.DUMMYFUNCTION("""COMPUTED_VALUE"""),"Bartoloni et al.")</f>
        <v>Bartoloni et al.</v>
      </c>
      <c r="AK85" s="880" t="str">
        <f>IFERROR(__xludf.DUMMYFUNCTION("""COMPUTED_VALUE"""),"Bartoloni A, Guglielmetti P, Cancrini G. “Comparitive efficacy of a single 400 mg dose of Albendazoleor Mebendazolein the treatment of nematode infections in children”. Tropical and Geographical Medicine (1993):114-116. Web.")</f>
        <v>Bartoloni A, Guglielmetti P, Cancrini G. “Comparitive efficacy of a single 400 mg dose of Albendazoleor Mebendazolein the treatment of nematode infections in children”. Tropical and Geographical Medicine (1993):114-116. Web.</v>
      </c>
      <c r="AL85" s="880" t="str">
        <f>IFERROR(__xludf.DUMMYFUNCTION("""COMPUTED_VALUE"""),"Bolivia")</f>
        <v>Bolivia</v>
      </c>
      <c r="AM85" s="880" t="str">
        <f>IFERROR(__xludf.DUMMYFUNCTION("""COMPUTED_VALUE"""),"Albendazole")</f>
        <v>Albendazole</v>
      </c>
      <c r="AN85" s="880" t="str">
        <f>IFERROR(__xludf.DUMMYFUNCTION("""COMPUTED_VALUE"""),"Single")</f>
        <v>Single</v>
      </c>
      <c r="AO85" s="880" t="str">
        <f>IFERROR(__xludf.DUMMYFUNCTION("""COMPUTED_VALUE"""),"400 mg")</f>
        <v>400 mg</v>
      </c>
      <c r="AP85" s="880">
        <f>IFERROR(__xludf.DUMMYFUNCTION("""COMPUTED_VALUE"""),15.0)</f>
        <v>15</v>
      </c>
      <c r="AQ85" s="880" t="str">
        <f>IFERROR(__xludf.DUMMYFUNCTION("""COMPUTED_VALUE"""),"2-9 years old")</f>
        <v>2-9 years old</v>
      </c>
      <c r="AR85" s="880"/>
      <c r="AS85" s="880">
        <f>IFERROR(__xludf.DUMMYFUNCTION("""COMPUTED_VALUE"""),1990.0)</f>
        <v>1990</v>
      </c>
      <c r="AT85" s="880"/>
      <c r="AU85" s="880" t="str">
        <f>IFERROR(__xludf.DUMMYFUNCTION("""COMPUTED_VALUE"""),"Yes")</f>
        <v>Yes</v>
      </c>
      <c r="AV85" s="880" t="str">
        <f>IFERROR(__xludf.DUMMYFUNCTION("""COMPUTED_VALUE"""),"No")</f>
        <v>No</v>
      </c>
      <c r="AW85" s="881" t="str">
        <f>IFERROR(__xludf.DUMMYFUNCTION("""COMPUTED_VALUE"""),"longitudinal study, randomized")</f>
        <v>longitudinal study, randomized</v>
      </c>
      <c r="AX85" s="863">
        <f>IFERROR(__xludf.DUMMYFUNCTION("""COMPUTED_VALUE"""),0.333)</f>
        <v>0.333</v>
      </c>
      <c r="AY85" s="863"/>
      <c r="AZ85" s="863">
        <f>IFERROR(__xludf.DUMMYFUNCTION("""COMPUTED_VALUE"""),0.333)</f>
        <v>0.333</v>
      </c>
      <c r="BA85" s="863"/>
      <c r="BB85" s="863"/>
      <c r="BC85" s="863"/>
      <c r="BD85" s="863"/>
      <c r="BE85" s="863"/>
      <c r="BF85" s="863"/>
      <c r="BG85" s="863"/>
      <c r="BH85" s="863">
        <f>IFERROR(__xludf.DUMMYFUNCTION("""COMPUTED_VALUE"""),0.457)</f>
        <v>0.457</v>
      </c>
      <c r="BI85" s="863"/>
      <c r="BJ85" s="863"/>
      <c r="BK85" s="863"/>
      <c r="BL85" s="863"/>
      <c r="BM85" s="863"/>
      <c r="BN85" s="863"/>
      <c r="BO85" s="863" t="str">
        <f>IFERROR(__xludf.DUMMYFUNCTION("""COMPUTED_VALUE"""),"Kato-Katz Method")</f>
        <v>Kato-Katz Method</v>
      </c>
      <c r="BP85" s="880"/>
      <c r="BQ85" s="863"/>
      <c r="BR85" s="889" t="str">
        <f>IFERROR(__xludf.DUMMYFUNCTION("""COMPUTED_VALUE""")," Wang et al.")</f>
        <v> Wang et al.</v>
      </c>
      <c r="BS85" s="883" t="str">
        <f>IFERROR(__xludf.DUMMYFUNCTION("""COMPUTED_VALUE"""),"China")</f>
        <v>China</v>
      </c>
      <c r="BT85" s="883" t="str">
        <f>IFERROR(__xludf.DUMMYFUNCTION("""COMPUTED_VALUE"""),"Mebendazole &amp; Thienpydin")</f>
        <v>Mebendazole &amp; Thienpydin</v>
      </c>
      <c r="BU85" s="883"/>
      <c r="BV85" s="883" t="str">
        <f>IFERROR(__xludf.DUMMYFUNCTION("""COMPUTED_VALUE"""),"Single")</f>
        <v>Single</v>
      </c>
      <c r="BW85" s="883" t="str">
        <f>IFERROR(__xludf.DUMMYFUNCTION("""COMPUTED_VALUE"""),"125 mg; 100 mg")</f>
        <v>125 mg; 100 mg</v>
      </c>
      <c r="BX85" s="883">
        <f>IFERROR(__xludf.DUMMYFUNCTION("""COMPUTED_VALUE"""),42.0)</f>
        <v>42</v>
      </c>
      <c r="BY85" s="883" t="str">
        <f>IFERROR(__xludf.DUMMYFUNCTION("""COMPUTED_VALUE"""),"16-25")</f>
        <v>16-25</v>
      </c>
      <c r="BZ85" s="883"/>
      <c r="CA85" s="883"/>
      <c r="CB85" s="883"/>
      <c r="CC85" s="883" t="str">
        <f>IFERROR(__xludf.DUMMYFUNCTION("""COMPUTED_VALUE"""),"No")</f>
        <v>No</v>
      </c>
      <c r="CD85" s="884">
        <f>IFERROR(__xludf.DUMMYFUNCTION("""COMPUTED_VALUE"""),0.976)</f>
        <v>0.976</v>
      </c>
      <c r="CE85" s="883" t="str">
        <f>IFERROR(__xludf.DUMMYFUNCTION("""COMPUTED_VALUE"""),"No")</f>
        <v>No</v>
      </c>
      <c r="CF85" s="883" t="str">
        <f>IFERROR(__xludf.DUMMYFUNCTION("""COMPUTED_VALUE"""),"97.6% (Day 10)")</f>
        <v>97.6% (Day 10)</v>
      </c>
      <c r="CG85" s="883"/>
      <c r="CH85" s="883"/>
      <c r="CI85" s="883"/>
      <c r="CJ85" s="883"/>
      <c r="CK85" s="883"/>
      <c r="CL85" s="883"/>
      <c r="CM85" s="883"/>
      <c r="CN85" s="883"/>
      <c r="CO85" s="883"/>
      <c r="CP85" s="883"/>
      <c r="CQ85" s="883"/>
      <c r="CR85" s="883"/>
      <c r="CS85" s="883"/>
      <c r="CT85" s="883"/>
      <c r="CU85" s="883"/>
      <c r="CV85" s="863"/>
      <c r="CW85" s="863"/>
      <c r="CX85" s="863"/>
      <c r="CY85" s="863"/>
      <c r="CZ85" s="863"/>
      <c r="DA85" s="863"/>
      <c r="DB85" s="863"/>
      <c r="DC85" s="863"/>
      <c r="DD85" s="863"/>
      <c r="DE85" s="863"/>
    </row>
    <row r="86">
      <c r="A86" s="887" t="str">
        <f>IFERROR(__xludf.DUMMYFUNCTION("""COMPUTED_VALUE"""),"Muchiri et al.")</f>
        <v>Muchiri et al.</v>
      </c>
      <c r="B86" s="876" t="str">
        <f>IFERROR(__xludf.DUMMYFUNCTION("""COMPUTED_VALUE"""),"Kenya")</f>
        <v>Kenya</v>
      </c>
      <c r="C86" s="876" t="str">
        <f>IFERROR(__xludf.DUMMYFUNCTION("""COMPUTED_VALUE"""),"Mebendazole")</f>
        <v>Mebendazole</v>
      </c>
      <c r="D86" s="876" t="str">
        <f>IFERROR(__xludf.DUMMYFUNCTION("""COMPUTED_VALUE"""),"Single")</f>
        <v>Single</v>
      </c>
      <c r="E86" s="876" t="str">
        <f>IFERROR(__xludf.DUMMYFUNCTION("""COMPUTED_VALUE"""),"600 mg")</f>
        <v>600 mg</v>
      </c>
      <c r="F86" s="876" t="str">
        <f>IFERROR(__xludf.DUMMYFUNCTION("""COMPUTED_VALUE"""),"258/397")</f>
        <v>258/397</v>
      </c>
      <c r="G86" s="876">
        <f>IFERROR(__xludf.DUMMYFUNCTION("""COMPUTED_VALUE"""),10.3)</f>
        <v>10.3</v>
      </c>
      <c r="H86" s="876" t="str">
        <f>IFERROR(__xludf.DUMMYFUNCTION("""COMPUTED_VALUE"""),"196:201")</f>
        <v>196:201</v>
      </c>
      <c r="I86" s="876">
        <f>IFERROR(__xludf.DUMMYFUNCTION("""COMPUTED_VALUE"""),1997.0)</f>
        <v>1997</v>
      </c>
      <c r="J86" s="876"/>
      <c r="K86" s="876" t="str">
        <f>IFERROR(__xludf.DUMMYFUNCTION("""COMPUTED_VALUE"""),"randomized trial")</f>
        <v>randomized trial</v>
      </c>
      <c r="L86" s="876" t="str">
        <f>IFERROR(__xludf.DUMMYFUNCTION("""COMPUTED_VALUE"""),"Yes")</f>
        <v>Yes</v>
      </c>
      <c r="M86" s="876" t="str">
        <f>IFERROR(__xludf.DUMMYFUNCTION("""COMPUTED_VALUE"""),"No")</f>
        <v>No</v>
      </c>
      <c r="N86" s="877">
        <f>IFERROR(__xludf.DUMMYFUNCTION("""COMPUTED_VALUE"""),0.55)</f>
        <v>0.55</v>
      </c>
      <c r="O86" s="876"/>
      <c r="P86" s="876"/>
      <c r="Q86" s="876">
        <f>IFERROR(__xludf.DUMMYFUNCTION("""COMPUTED_VALUE"""),0.466)</f>
        <v>0.466</v>
      </c>
      <c r="R86" s="876"/>
      <c r="S86" s="876"/>
      <c r="T86" s="876"/>
      <c r="U86" s="876"/>
      <c r="V86" s="876"/>
      <c r="W86" s="876">
        <f>IFERROR(__xludf.DUMMYFUNCTION("""COMPUTED_VALUE"""),0.985)</f>
        <v>0.985</v>
      </c>
      <c r="X86" s="876"/>
      <c r="Y86" s="876"/>
      <c r="Z86" s="876"/>
      <c r="AA86" s="876"/>
      <c r="AB86" s="876"/>
      <c r="AC86" s="876"/>
      <c r="AD86" s="876"/>
      <c r="AE86" s="876" t="str">
        <f>IFERROR(__xludf.DUMMYFUNCTION("""COMPUTED_VALUE"""),"Overall, ALB resulted in staistically higher FECR and CR rates than MB even after 2 single doses of ALB given at 6-mo intervals, was compared with 2 or 3 doses of mebendazole.")</f>
        <v>Overall, ALB resulted in staistically higher FECR and CR rates than MB even after 2 single doses of ALB given at 6-mo intervals, was compared with 2 or 3 doses of mebendazole.</v>
      </c>
      <c r="AF86" s="876" t="str">
        <f>IFERROR(__xludf.DUMMYFUNCTION("""COMPUTED_VALUE"""),"Mebendazole600 mg 4 mo interval 3x")</f>
        <v>Mebendazole600 mg 4 mo interval 3x</v>
      </c>
      <c r="AG86" s="876" t="str">
        <f>IFERROR(__xludf.DUMMYFUNCTION("""COMPUTED_VALUE"""),"Muchiri, Eric M., Thiong'o, Fredrick W., Magnussen, Pascal and Ouma, John H. “A Comparative Study of Different Albendazoleand MebendazoleRegiments for the Treatment of Intestinal Infections in School Children of Usigu Division, Western Kenya”. Journal of "&amp;"Parasitology 87 (2001): 413-418. Web.")</f>
        <v>Muchiri, Eric M., Thiong'o, Fredrick W., Magnussen, Pascal and Ouma, John H. “A Comparative Study of Different Albendazoleand MebendazoleRegiments for the Treatment of Intestinal Infections in School Children of Usigu Division, Western Kenya”. Journal of Parasitology 87 (2001): 413-418. Web.</v>
      </c>
      <c r="AH86" s="876" t="str">
        <f>IFERROR(__xludf.DUMMYFUNCTION("""COMPUTED_VALUE"""),"x")</f>
        <v>x</v>
      </c>
      <c r="AI86" s="878"/>
      <c r="AJ86" s="888" t="str">
        <f>IFERROR(__xludf.DUMMYFUNCTION("""COMPUTED_VALUE"""),"Bartoloni et al.")</f>
        <v>Bartoloni et al.</v>
      </c>
      <c r="AK86" s="880"/>
      <c r="AL86" s="880" t="str">
        <f>IFERROR(__xludf.DUMMYFUNCTION("""COMPUTED_VALUE"""),"Bolivia")</f>
        <v>Bolivia</v>
      </c>
      <c r="AM86" s="880" t="str">
        <f>IFERROR(__xludf.DUMMYFUNCTION("""COMPUTED_VALUE"""),"Mebendazole")</f>
        <v>Mebendazole</v>
      </c>
      <c r="AN86" s="880" t="str">
        <f>IFERROR(__xludf.DUMMYFUNCTION("""COMPUTED_VALUE"""),"Single")</f>
        <v>Single</v>
      </c>
      <c r="AO86" s="880" t="str">
        <f>IFERROR(__xludf.DUMMYFUNCTION("""COMPUTED_VALUE"""),"500 mg")</f>
        <v>500 mg</v>
      </c>
      <c r="AP86" s="880">
        <f>IFERROR(__xludf.DUMMYFUNCTION("""COMPUTED_VALUE"""),10.0)</f>
        <v>10</v>
      </c>
      <c r="AQ86" s="880" t="str">
        <f>IFERROR(__xludf.DUMMYFUNCTION("""COMPUTED_VALUE"""),"2-9 years old")</f>
        <v>2-9 years old</v>
      </c>
      <c r="AR86" s="880"/>
      <c r="AS86" s="880">
        <f>IFERROR(__xludf.DUMMYFUNCTION("""COMPUTED_VALUE"""),1990.0)</f>
        <v>1990</v>
      </c>
      <c r="AT86" s="880"/>
      <c r="AU86" s="880" t="str">
        <f>IFERROR(__xludf.DUMMYFUNCTION("""COMPUTED_VALUE"""),"Yes")</f>
        <v>Yes</v>
      </c>
      <c r="AV86" s="880" t="str">
        <f>IFERROR(__xludf.DUMMYFUNCTION("""COMPUTED_VALUE"""),"No")</f>
        <v>No</v>
      </c>
      <c r="AW86" s="881" t="str">
        <f>IFERROR(__xludf.DUMMYFUNCTION("""COMPUTED_VALUE"""),"longitudinal study, randomized")</f>
        <v>longitudinal study, randomized</v>
      </c>
      <c r="AX86" s="863">
        <f>IFERROR(__xludf.DUMMYFUNCTION("""COMPUTED_VALUE"""),0.6)</f>
        <v>0.6</v>
      </c>
      <c r="AY86" s="863"/>
      <c r="AZ86" s="863">
        <f>IFERROR(__xludf.DUMMYFUNCTION("""COMPUTED_VALUE"""),0.6)</f>
        <v>0.6</v>
      </c>
      <c r="BA86" s="863"/>
      <c r="BB86" s="863"/>
      <c r="BC86" s="863"/>
      <c r="BD86" s="863"/>
      <c r="BE86" s="863"/>
      <c r="BF86" s="863"/>
      <c r="BG86" s="863"/>
      <c r="BH86" s="863">
        <f>IFERROR(__xludf.DUMMYFUNCTION("""COMPUTED_VALUE"""),0.15)</f>
        <v>0.15</v>
      </c>
      <c r="BI86" s="863"/>
      <c r="BJ86" s="863"/>
      <c r="BK86" s="863"/>
      <c r="BL86" s="863"/>
      <c r="BM86" s="863"/>
      <c r="BN86" s="863"/>
      <c r="BO86" s="863"/>
      <c r="BP86" s="880"/>
      <c r="BQ86" s="863"/>
      <c r="BR86" s="889" t="str">
        <f>IFERROR(__xludf.DUMMYFUNCTION("""COMPUTED_VALUE""")," Wang et al.")</f>
        <v> Wang et al.</v>
      </c>
      <c r="BS86" s="883" t="str">
        <f>IFERROR(__xludf.DUMMYFUNCTION("""COMPUTED_VALUE"""),"China")</f>
        <v>China</v>
      </c>
      <c r="BT86" s="883" t="str">
        <f>IFERROR(__xludf.DUMMYFUNCTION("""COMPUTED_VALUE"""),"Mebendazole &amp; Pyrantel Pamoate")</f>
        <v>Mebendazole &amp; Pyrantel Pamoate</v>
      </c>
      <c r="BU86" s="883"/>
      <c r="BV86" s="883" t="str">
        <f>IFERROR(__xludf.DUMMYFUNCTION("""COMPUTED_VALUE"""),"Single")</f>
        <v>Single</v>
      </c>
      <c r="BW86" s="883" t="str">
        <f>IFERROR(__xludf.DUMMYFUNCTION("""COMPUTED_VALUE"""),"100 mg; 200 mg ")</f>
        <v>100 mg; 200 mg </v>
      </c>
      <c r="BX86" s="883">
        <f>IFERROR(__xludf.DUMMYFUNCTION("""COMPUTED_VALUE"""),43.0)</f>
        <v>43</v>
      </c>
      <c r="BY86" s="883" t="str">
        <f>IFERROR(__xludf.DUMMYFUNCTION("""COMPUTED_VALUE"""),"16-25")</f>
        <v>16-25</v>
      </c>
      <c r="BZ86" s="883"/>
      <c r="CA86" s="883"/>
      <c r="CB86" s="883"/>
      <c r="CC86" s="883" t="str">
        <f>IFERROR(__xludf.DUMMYFUNCTION("""COMPUTED_VALUE"""),"No")</f>
        <v>No</v>
      </c>
      <c r="CD86" s="884">
        <f>IFERROR(__xludf.DUMMYFUNCTION("""COMPUTED_VALUE"""),0.977)</f>
        <v>0.977</v>
      </c>
      <c r="CE86" s="883" t="str">
        <f>IFERROR(__xludf.DUMMYFUNCTION("""COMPUTED_VALUE"""),"No")</f>
        <v>No</v>
      </c>
      <c r="CF86" s="883" t="str">
        <f>IFERROR(__xludf.DUMMYFUNCTION("""COMPUTED_VALUE"""),"97.7% (Day 10)")</f>
        <v>97.7% (Day 10)</v>
      </c>
      <c r="CG86" s="883"/>
      <c r="CH86" s="883"/>
      <c r="CI86" s="883"/>
      <c r="CJ86" s="883"/>
      <c r="CK86" s="883"/>
      <c r="CL86" s="883"/>
      <c r="CM86" s="883"/>
      <c r="CN86" s="883"/>
      <c r="CO86" s="883"/>
      <c r="CP86" s="883"/>
      <c r="CQ86" s="883"/>
      <c r="CR86" s="883"/>
      <c r="CS86" s="883"/>
      <c r="CT86" s="883"/>
      <c r="CU86" s="883"/>
      <c r="CV86" s="863"/>
      <c r="CW86" s="863"/>
      <c r="CX86" s="863"/>
      <c r="CY86" s="863"/>
      <c r="CZ86" s="863"/>
      <c r="DA86" s="863"/>
      <c r="DB86" s="863"/>
      <c r="DC86" s="863"/>
      <c r="DD86" s="863"/>
      <c r="DE86" s="863"/>
    </row>
    <row r="87">
      <c r="A87" s="887" t="str">
        <f>IFERROR(__xludf.DUMMYFUNCTION("""COMPUTED_VALUE"""),"Ndyomugyenyi et al.")</f>
        <v>Ndyomugyenyi et al.</v>
      </c>
      <c r="B87" s="876" t="str">
        <f>IFERROR(__xludf.DUMMYFUNCTION("""COMPUTED_VALUE"""),"Uganda")</f>
        <v>Uganda</v>
      </c>
      <c r="C87" s="876" t="str">
        <f>IFERROR(__xludf.DUMMYFUNCTION("""COMPUTED_VALUE"""),"Albendazole")</f>
        <v>Albendazole</v>
      </c>
      <c r="D87" s="876" t="str">
        <f>IFERROR(__xludf.DUMMYFUNCTION("""COMPUTED_VALUE"""),"Single")</f>
        <v>Single</v>
      </c>
      <c r="E87" s="876" t="str">
        <f>IFERROR(__xludf.DUMMYFUNCTION("""COMPUTED_VALUE"""),"400 mg")</f>
        <v>400 mg</v>
      </c>
      <c r="F87" s="876" t="str">
        <f>IFERROR(__xludf.DUMMYFUNCTION("""COMPUTED_VALUE"""),"186/834")</f>
        <v>186/834</v>
      </c>
      <c r="G87" s="876" t="str">
        <f>IFERROR(__xludf.DUMMYFUNCTION("""COMPUTED_VALUE"""),"Pregnant Women")</f>
        <v>Pregnant Women</v>
      </c>
      <c r="H87" s="876" t="str">
        <f>IFERROR(__xludf.DUMMYFUNCTION("""COMPUTED_VALUE"""),"0:1")</f>
        <v>0:1</v>
      </c>
      <c r="I87" s="876">
        <f>IFERROR(__xludf.DUMMYFUNCTION("""COMPUTED_VALUE"""),2008.0)</f>
        <v>2008</v>
      </c>
      <c r="J87" s="876" t="str">
        <f>IFERROR(__xludf.DUMMYFUNCTION("""COMPUTED_VALUE"""),"Pregnant Women of any parity attending prenatal care in their second trimester ")</f>
        <v>Pregnant Women of any parity attending prenatal care in their second trimester </v>
      </c>
      <c r="K87" s="876" t="str">
        <f>IFERROR(__xludf.DUMMYFUNCTION("""COMPUTED_VALUE"""),"open label ")</f>
        <v>open label </v>
      </c>
      <c r="L87" s="876" t="str">
        <f>IFERROR(__xludf.DUMMYFUNCTION("""COMPUTED_VALUE"""),"Yes")</f>
        <v>Yes</v>
      </c>
      <c r="M87" s="876" t="str">
        <f>IFERROR(__xludf.DUMMYFUNCTION("""COMPUTED_VALUE"""),"No")</f>
        <v>No</v>
      </c>
      <c r="N87" s="877">
        <f>IFERROR(__xludf.DUMMYFUNCTION("""COMPUTED_VALUE"""),0.955)</f>
        <v>0.955</v>
      </c>
      <c r="O87" s="876"/>
      <c r="P87" s="876">
        <f>IFERROR(__xludf.DUMMYFUNCTION("""COMPUTED_VALUE"""),0.955)</f>
        <v>0.955</v>
      </c>
      <c r="Q87" s="876"/>
      <c r="R87" s="876"/>
      <c r="S87" s="876"/>
      <c r="T87" s="876"/>
      <c r="U87" s="876"/>
      <c r="V87" s="876"/>
      <c r="W87" s="876"/>
      <c r="X87" s="876"/>
      <c r="Y87" s="876"/>
      <c r="Z87" s="876"/>
      <c r="AA87" s="876"/>
      <c r="AB87" s="876"/>
      <c r="AC87" s="876"/>
      <c r="AD87" s="876"/>
      <c r="AE87" s="876" t="str">
        <f>IFERROR(__xludf.DUMMYFUNCTION("""COMPUTED_VALUE"""),"Safe in pregnant women in the first trimester. No adverse reactions occurred in this study. IVM and ALB showed no signs of abnormalities or problems with the birth process. ")</f>
        <v>Safe in pregnant women in the first trimester. No adverse reactions occurred in this study. IVM and ALB showed no signs of abnormalities or problems with the birth process. </v>
      </c>
      <c r="AF87" s="876"/>
      <c r="AG87" s="876" t="str">
        <f>IFERROR(__xludf.DUMMYFUNCTION("""COMPUTED_VALUE"""),"Ndyomugyenyi, Richard, Narcis Kabatereine, Annette Olsen, and Pascal Magnussen. ""Efficacy of Ivermectin and AlbendazoleAone and in Combination for Treatment of Soil-Transmitted Helminths in Pregnancy and Adverse Events: A Randomized Open Label Controlled"&amp;" Intervention Trial in Masindi District, Western Uganda."" The American Society of Tropical Medicine and Hygiene 79.6 (2008): 856-63. Web.")</f>
        <v>Ndyomugyenyi, Richard, Narcis Kabatereine, Annette Olsen, and Pascal Magnussen. "Efficacy of Ivermectin and AlbendazoleAone and in Combination for Treatment of Soil-Transmitted Helminths in Pregnancy and Adverse Events: A Randomized Open Label Controlled Intervention Trial in Masindi District, Western Uganda." The American Society of Tropical Medicine and Hygiene 79.6 (2008): 856-63. Web.</v>
      </c>
      <c r="AH87" s="876" t="str">
        <f>IFERROR(__xludf.DUMMYFUNCTION("""COMPUTED_VALUE"""),"x")</f>
        <v>x</v>
      </c>
      <c r="AI87" s="878"/>
      <c r="AJ87" s="888" t="str">
        <f>IFERROR(__xludf.DUMMYFUNCTION("""COMPUTED_VALUE"""),"Jongsuksuntigul et al.")</f>
        <v>Jongsuksuntigul et al.</v>
      </c>
      <c r="AK87" s="880" t="str">
        <f>IFERROR(__xludf.DUMMYFUNCTION("""COMPUTED_VALUE"""),"Jongsuksuntigul, P., Jeradit, C., Pornpattanakul, S., and Charanasri, U. “A comparative study on the efficacy of Albendazoleand Mebendazolein the treatment of ascariasis, hookworm infection and trichuriasis.” The Southest Asian Journey of Tropical Medicin"&amp;"e and Public Health 24(4) (1994) 724-9. Web.")</f>
        <v>Jongsuksuntigul, P., Jeradit, C., Pornpattanakul, S., and Charanasri, U. “A comparative study on the efficacy of Albendazoleand Mebendazolein the treatment of ascariasis, hookworm infection and trichuriasis.” The Southest Asian Journey of Tropical Medicine and Public Health 24(4) (1994) 724-9. Web.</v>
      </c>
      <c r="AL87" s="880" t="str">
        <f>IFERROR(__xludf.DUMMYFUNCTION("""COMPUTED_VALUE"""),"Thailand")</f>
        <v>Thailand</v>
      </c>
      <c r="AM87" s="880" t="str">
        <f>IFERROR(__xludf.DUMMYFUNCTION("""COMPUTED_VALUE"""),"Mebendazole")</f>
        <v>Mebendazole</v>
      </c>
      <c r="AN87" s="880" t="str">
        <f>IFERROR(__xludf.DUMMYFUNCTION("""COMPUTED_VALUE"""),"Single")</f>
        <v>Single</v>
      </c>
      <c r="AO87" s="880" t="str">
        <f>IFERROR(__xludf.DUMMYFUNCTION("""COMPUTED_VALUE"""),"300 mg")</f>
        <v>300 mg</v>
      </c>
      <c r="AP87" s="880">
        <f>IFERROR(__xludf.DUMMYFUNCTION("""COMPUTED_VALUE"""),33.0)</f>
        <v>33</v>
      </c>
      <c r="AQ87" s="880" t="str">
        <f>IFERROR(__xludf.DUMMYFUNCTION("""COMPUTED_VALUE"""),"3-80 years old")</f>
        <v>3-80 years old</v>
      </c>
      <c r="AR87" s="880" t="str">
        <f>IFERROR(__xludf.DUMMYFUNCTION("""COMPUTED_VALUE"""),"98 males 98 females")</f>
        <v>98 males 98 females</v>
      </c>
      <c r="AS87" s="880">
        <f>IFERROR(__xludf.DUMMYFUNCTION("""COMPUTED_VALUE"""),1991.0)</f>
        <v>1991</v>
      </c>
      <c r="AT87" s="880"/>
      <c r="AU87" s="880" t="str">
        <f>IFERROR(__xludf.DUMMYFUNCTION("""COMPUTED_VALUE"""),"Yes")</f>
        <v>Yes</v>
      </c>
      <c r="AV87" s="880" t="str">
        <f>IFERROR(__xludf.DUMMYFUNCTION("""COMPUTED_VALUE"""),"No")</f>
        <v>No</v>
      </c>
      <c r="AW87" s="881" t="str">
        <f>IFERROR(__xludf.DUMMYFUNCTION("""COMPUTED_VALUE"""),"Randomized trial")</f>
        <v>Randomized trial</v>
      </c>
      <c r="AX87" s="863">
        <f>IFERROR(__xludf.DUMMYFUNCTION("""COMPUTED_VALUE"""),0.0)</f>
        <v>0</v>
      </c>
      <c r="AY87" s="863">
        <f>IFERROR(__xludf.DUMMYFUNCTION("""COMPUTED_VALUE"""),0.0)</f>
        <v>0</v>
      </c>
      <c r="AZ87" s="863"/>
      <c r="BA87" s="863"/>
      <c r="BB87" s="863"/>
      <c r="BC87" s="863"/>
      <c r="BD87" s="863"/>
      <c r="BE87" s="863"/>
      <c r="BF87" s="863"/>
      <c r="BG87" s="863"/>
      <c r="BH87" s="863">
        <f>IFERROR(__xludf.DUMMYFUNCTION("""COMPUTED_VALUE"""),0.283)</f>
        <v>0.283</v>
      </c>
      <c r="BI87" s="863"/>
      <c r="BJ87" s="863"/>
      <c r="BK87" s="863"/>
      <c r="BL87" s="863"/>
      <c r="BM87" s="863"/>
      <c r="BN87" s="863"/>
      <c r="BO87" s="863"/>
      <c r="BP87" s="880"/>
      <c r="BQ87" s="863"/>
      <c r="BR87" s="889" t="str">
        <f>IFERROR(__xludf.DUMMYFUNCTION("""COMPUTED_VALUE""")," Wang et al.")</f>
        <v> Wang et al.</v>
      </c>
      <c r="BS87" s="883" t="str">
        <f>IFERROR(__xludf.DUMMYFUNCTION("""COMPUTED_VALUE"""),"China")</f>
        <v>China</v>
      </c>
      <c r="BT87" s="883" t="str">
        <f>IFERROR(__xludf.DUMMYFUNCTION("""COMPUTED_VALUE"""),"Albendazole")</f>
        <v>Albendazole</v>
      </c>
      <c r="BU87" s="883"/>
      <c r="BV87" s="883" t="str">
        <f>IFERROR(__xludf.DUMMYFUNCTION("""COMPUTED_VALUE"""),"Single")</f>
        <v>Single</v>
      </c>
      <c r="BW87" s="883" t="str">
        <f>IFERROR(__xludf.DUMMYFUNCTION("""COMPUTED_VALUE"""),"400 mg")</f>
        <v>400 mg</v>
      </c>
      <c r="BX87" s="883">
        <f>IFERROR(__xludf.DUMMYFUNCTION("""COMPUTED_VALUE"""),41.0)</f>
        <v>41</v>
      </c>
      <c r="BY87" s="883" t="str">
        <f>IFERROR(__xludf.DUMMYFUNCTION("""COMPUTED_VALUE"""),"16-25")</f>
        <v>16-25</v>
      </c>
      <c r="BZ87" s="883"/>
      <c r="CA87" s="883"/>
      <c r="CB87" s="883"/>
      <c r="CC87" s="883" t="str">
        <f>IFERROR(__xludf.DUMMYFUNCTION("""COMPUTED_VALUE"""),"No")</f>
        <v>No</v>
      </c>
      <c r="CD87" s="884">
        <f>IFERROR(__xludf.DUMMYFUNCTION("""COMPUTED_VALUE"""),0.951)</f>
        <v>0.951</v>
      </c>
      <c r="CE87" s="883" t="str">
        <f>IFERROR(__xludf.DUMMYFUNCTION("""COMPUTED_VALUE"""),"No")</f>
        <v>No</v>
      </c>
      <c r="CF87" s="883" t="str">
        <f>IFERROR(__xludf.DUMMYFUNCTION("""COMPUTED_VALUE"""),"95.1% (Day 10)")</f>
        <v>95.1% (Day 10)</v>
      </c>
      <c r="CG87" s="883"/>
      <c r="CH87" s="883"/>
      <c r="CI87" s="883"/>
      <c r="CJ87" s="883"/>
      <c r="CK87" s="883"/>
      <c r="CL87" s="883"/>
      <c r="CM87" s="883"/>
      <c r="CN87" s="883"/>
      <c r="CO87" s="883"/>
      <c r="CP87" s="883"/>
      <c r="CQ87" s="883"/>
      <c r="CR87" s="883"/>
      <c r="CS87" s="883"/>
      <c r="CT87" s="883"/>
      <c r="CU87" s="883"/>
      <c r="CV87" s="863"/>
      <c r="CW87" s="863"/>
      <c r="CX87" s="863"/>
      <c r="CY87" s="863"/>
      <c r="CZ87" s="863"/>
      <c r="DA87" s="863"/>
      <c r="DB87" s="863"/>
      <c r="DC87" s="863"/>
      <c r="DD87" s="863"/>
      <c r="DE87" s="863"/>
    </row>
    <row r="88">
      <c r="A88" s="887" t="str">
        <f>IFERROR(__xludf.DUMMYFUNCTION("""COMPUTED_VALUE"""),"Ndyomugyenyi et al.")</f>
        <v>Ndyomugyenyi et al.</v>
      </c>
      <c r="B88" s="876" t="str">
        <f>IFERROR(__xludf.DUMMYFUNCTION("""COMPUTED_VALUE"""),"Uganda")</f>
        <v>Uganda</v>
      </c>
      <c r="C88" s="876" t="str">
        <f>IFERROR(__xludf.DUMMYFUNCTION("""COMPUTED_VALUE"""),"Ivermectin")</f>
        <v>Ivermectin</v>
      </c>
      <c r="D88" s="876" t="str">
        <f>IFERROR(__xludf.DUMMYFUNCTION("""COMPUTED_VALUE"""),"Single")</f>
        <v>Single</v>
      </c>
      <c r="E88" s="876" t="str">
        <f>IFERROR(__xludf.DUMMYFUNCTION("""COMPUTED_VALUE"""),"mg according to height")</f>
        <v>mg according to height</v>
      </c>
      <c r="F88" s="876" t="str">
        <f>IFERROR(__xludf.DUMMYFUNCTION("""COMPUTED_VALUE"""),"178/834")</f>
        <v>178/834</v>
      </c>
      <c r="G88" s="876"/>
      <c r="H88" s="876"/>
      <c r="I88" s="876">
        <f>IFERROR(__xludf.DUMMYFUNCTION("""COMPUTED_VALUE"""),2008.0)</f>
        <v>2008</v>
      </c>
      <c r="J88" s="876"/>
      <c r="K88" s="876" t="str">
        <f>IFERROR(__xludf.DUMMYFUNCTION("""COMPUTED_VALUE"""),"open label ")</f>
        <v>open label </v>
      </c>
      <c r="L88" s="876" t="str">
        <f>IFERROR(__xludf.DUMMYFUNCTION("""COMPUTED_VALUE"""),"Yes")</f>
        <v>Yes</v>
      </c>
      <c r="M88" s="876" t="str">
        <f>IFERROR(__xludf.DUMMYFUNCTION("""COMPUTED_VALUE"""),"No")</f>
        <v>No</v>
      </c>
      <c r="N88" s="877">
        <f>IFERROR(__xludf.DUMMYFUNCTION("""COMPUTED_VALUE"""),0.294)</f>
        <v>0.294</v>
      </c>
      <c r="O88" s="876"/>
      <c r="P88" s="876">
        <f>IFERROR(__xludf.DUMMYFUNCTION("""COMPUTED_VALUE"""),0.294)</f>
        <v>0.294</v>
      </c>
      <c r="Q88" s="876"/>
      <c r="R88" s="876"/>
      <c r="S88" s="876"/>
      <c r="T88" s="876"/>
      <c r="U88" s="876"/>
      <c r="V88" s="876"/>
      <c r="W88" s="876"/>
      <c r="X88" s="876"/>
      <c r="Y88" s="876"/>
      <c r="Z88" s="876"/>
      <c r="AA88" s="876"/>
      <c r="AB88" s="876"/>
      <c r="AC88" s="876"/>
      <c r="AD88" s="876"/>
      <c r="AE88" s="876" t="str">
        <f>IFERROR(__xludf.DUMMYFUNCTION("""COMPUTED_VALUE"""),"Safe in pregnant women in the first trimester. No adverse reactions occurred in this study. IVM and ALB showed no signs of abnormalities or problems with the birth process. ")</f>
        <v>Safe in pregnant women in the first trimester. No adverse reactions occurred in this study. IVM and ALB showed no signs of abnormalities or problems with the birth process. </v>
      </c>
      <c r="AF88" s="876"/>
      <c r="AG88" s="876" t="str">
        <f>IFERROR(__xludf.DUMMYFUNCTION("""COMPUTED_VALUE"""),"Ndyomugyenyi, Richard, Narcis Kabatereine, Annette Olsen, and Pascal Magnussen. ""Efficacy of Ivermectin and AlbendazoleAone and in Combination for Treatment of Soil-Transmitted Helminths in Pregnancy and Adverse Events: A Randomized Open Label Controlled"&amp;" Intervention Trial in Masindi District, Western Uganda."" The American Society of Tropical Medicine and Hygiene 79.6 (2008): 856-63. Web.")</f>
        <v>Ndyomugyenyi, Richard, Narcis Kabatereine, Annette Olsen, and Pascal Magnussen. "Efficacy of Ivermectin and AlbendazoleAone and in Combination for Treatment of Soil-Transmitted Helminths in Pregnancy and Adverse Events: A Randomized Open Label Controlled Intervention Trial in Masindi District, Western Uganda." The American Society of Tropical Medicine and Hygiene 79.6 (2008): 856-63. Web.</v>
      </c>
      <c r="AH88" s="876" t="str">
        <f>IFERROR(__xludf.DUMMYFUNCTION("""COMPUTED_VALUE"""),"x")</f>
        <v>x</v>
      </c>
      <c r="AI88" s="878"/>
      <c r="AJ88" s="888" t="str">
        <f>IFERROR(__xludf.DUMMYFUNCTION("""COMPUTED_VALUE"""),"Jongsuksuntigul et al.")</f>
        <v>Jongsuksuntigul et al.</v>
      </c>
      <c r="AK88" s="880"/>
      <c r="AL88" s="880" t="str">
        <f>IFERROR(__xludf.DUMMYFUNCTION("""COMPUTED_VALUE"""),"Thailand")</f>
        <v>Thailand</v>
      </c>
      <c r="AM88" s="880" t="str">
        <f>IFERROR(__xludf.DUMMYFUNCTION("""COMPUTED_VALUE"""),"Mebendazole")</f>
        <v>Mebendazole</v>
      </c>
      <c r="AN88" s="880" t="str">
        <f>IFERROR(__xludf.DUMMYFUNCTION("""COMPUTED_VALUE"""),"Single")</f>
        <v>Single</v>
      </c>
      <c r="AO88" s="880" t="str">
        <f>IFERROR(__xludf.DUMMYFUNCTION("""COMPUTED_VALUE"""),"300 mg")</f>
        <v>300 mg</v>
      </c>
      <c r="AP88" s="880">
        <f>IFERROR(__xludf.DUMMYFUNCTION("""COMPUTED_VALUE"""),30.0)</f>
        <v>30</v>
      </c>
      <c r="AQ88" s="880" t="str">
        <f>IFERROR(__xludf.DUMMYFUNCTION("""COMPUTED_VALUE"""),"3-80 years old")</f>
        <v>3-80 years old</v>
      </c>
      <c r="AR88" s="880" t="str">
        <f>IFERROR(__xludf.DUMMYFUNCTION("""COMPUTED_VALUE"""),"99 males 98 females")</f>
        <v>99 males 98 females</v>
      </c>
      <c r="AS88" s="880">
        <f>IFERROR(__xludf.DUMMYFUNCTION("""COMPUTED_VALUE"""),1991.0)</f>
        <v>1991</v>
      </c>
      <c r="AT88" s="880"/>
      <c r="AU88" s="880" t="str">
        <f>IFERROR(__xludf.DUMMYFUNCTION("""COMPUTED_VALUE"""),"Yes")</f>
        <v>Yes</v>
      </c>
      <c r="AV88" s="880" t="str">
        <f>IFERROR(__xludf.DUMMYFUNCTION("""COMPUTED_VALUE"""),"No")</f>
        <v>No</v>
      </c>
      <c r="AW88" s="881" t="str">
        <f>IFERROR(__xludf.DUMMYFUNCTION("""COMPUTED_VALUE"""),"Randomized trial")</f>
        <v>Randomized trial</v>
      </c>
      <c r="AX88" s="863">
        <f>IFERROR(__xludf.DUMMYFUNCTION("""COMPUTED_VALUE"""),0.433)</f>
        <v>0.433</v>
      </c>
      <c r="AY88" s="863">
        <f>IFERROR(__xludf.DUMMYFUNCTION("""COMPUTED_VALUE"""),0.433)</f>
        <v>0.433</v>
      </c>
      <c r="AZ88" s="863"/>
      <c r="BA88" s="863"/>
      <c r="BB88" s="863"/>
      <c r="BC88" s="863"/>
      <c r="BD88" s="863"/>
      <c r="BE88" s="863"/>
      <c r="BF88" s="863"/>
      <c r="BG88" s="863"/>
      <c r="BH88" s="863">
        <f>IFERROR(__xludf.DUMMYFUNCTION("""COMPUTED_VALUE"""),0.779)</f>
        <v>0.779</v>
      </c>
      <c r="BI88" s="863"/>
      <c r="BJ88" s="863"/>
      <c r="BK88" s="863"/>
      <c r="BL88" s="863"/>
      <c r="BM88" s="863"/>
      <c r="BN88" s="863"/>
      <c r="BO88" s="863"/>
      <c r="BP88" s="880"/>
      <c r="BQ88" s="863"/>
      <c r="BR88" s="889" t="str">
        <f>IFERROR(__xludf.DUMMYFUNCTION("""COMPUTED_VALUE""")," Wang et al.")</f>
        <v> Wang et al.</v>
      </c>
      <c r="BS88" s="883" t="str">
        <f>IFERROR(__xludf.DUMMYFUNCTION("""COMPUTED_VALUE"""),"China")</f>
        <v>China</v>
      </c>
      <c r="BT88" s="883" t="str">
        <f>IFERROR(__xludf.DUMMYFUNCTION("""COMPUTED_VALUE"""),"Albendazole")</f>
        <v>Albendazole</v>
      </c>
      <c r="BU88" s="883"/>
      <c r="BV88" s="883" t="str">
        <f>IFERROR(__xludf.DUMMYFUNCTION("""COMPUTED_VALUE"""),"Single")</f>
        <v>Single</v>
      </c>
      <c r="BW88" s="883" t="str">
        <f>IFERROR(__xludf.DUMMYFUNCTION("""COMPUTED_VALUE"""),"400 mg")</f>
        <v>400 mg</v>
      </c>
      <c r="BX88" s="883">
        <f>IFERROR(__xludf.DUMMYFUNCTION("""COMPUTED_VALUE"""),38.0)</f>
        <v>38</v>
      </c>
      <c r="BY88" s="883" t="str">
        <f>IFERROR(__xludf.DUMMYFUNCTION("""COMPUTED_VALUE"""),"16-25")</f>
        <v>16-25</v>
      </c>
      <c r="BZ88" s="883"/>
      <c r="CA88" s="883"/>
      <c r="CB88" s="883"/>
      <c r="CC88" s="883" t="str">
        <f>IFERROR(__xludf.DUMMYFUNCTION("""COMPUTED_VALUE"""),"No")</f>
        <v>No</v>
      </c>
      <c r="CD88" s="884">
        <f>IFERROR(__xludf.DUMMYFUNCTION("""COMPUTED_VALUE"""),0.895)</f>
        <v>0.895</v>
      </c>
      <c r="CE88" s="883" t="str">
        <f>IFERROR(__xludf.DUMMYFUNCTION("""COMPUTED_VALUE"""),"No")</f>
        <v>No</v>
      </c>
      <c r="CF88" s="883" t="str">
        <f>IFERROR(__xludf.DUMMYFUNCTION("""COMPUTED_VALUE"""),"89.5% (Day 10)")</f>
        <v>89.5% (Day 10)</v>
      </c>
      <c r="CG88" s="883"/>
      <c r="CH88" s="883"/>
      <c r="CI88" s="883"/>
      <c r="CJ88" s="883"/>
      <c r="CK88" s="883"/>
      <c r="CL88" s="883"/>
      <c r="CM88" s="883"/>
      <c r="CN88" s="883"/>
      <c r="CO88" s="883"/>
      <c r="CP88" s="883"/>
      <c r="CQ88" s="883"/>
      <c r="CR88" s="883"/>
      <c r="CS88" s="883"/>
      <c r="CT88" s="883"/>
      <c r="CU88" s="883"/>
      <c r="CV88" s="863"/>
      <c r="CW88" s="863"/>
      <c r="CX88" s="863"/>
      <c r="CY88" s="863"/>
      <c r="CZ88" s="863"/>
      <c r="DA88" s="863"/>
      <c r="DB88" s="863"/>
      <c r="DC88" s="863"/>
      <c r="DD88" s="863"/>
      <c r="DE88" s="863"/>
    </row>
    <row r="89">
      <c r="A89" s="887" t="str">
        <f>IFERROR(__xludf.DUMMYFUNCTION("""COMPUTED_VALUE"""),"Ndyomugyenyi et al.")</f>
        <v>Ndyomugyenyi et al.</v>
      </c>
      <c r="B89" s="876" t="str">
        <f>IFERROR(__xludf.DUMMYFUNCTION("""COMPUTED_VALUE"""),"Uganda")</f>
        <v>Uganda</v>
      </c>
      <c r="C89" s="876" t="str">
        <f>IFERROR(__xludf.DUMMYFUNCTION("""COMPUTED_VALUE"""),"Albendazole &amp; Ivermectin")</f>
        <v>Albendazole &amp; Ivermectin</v>
      </c>
      <c r="D89" s="876" t="str">
        <f>IFERROR(__xludf.DUMMYFUNCTION("""COMPUTED_VALUE"""),"Single")</f>
        <v>Single</v>
      </c>
      <c r="E89" s="876" t="str">
        <f>IFERROR(__xludf.DUMMYFUNCTION("""COMPUTED_VALUE"""),"400 mg; mg according to height")</f>
        <v>400 mg; mg according to height</v>
      </c>
      <c r="F89" s="876" t="str">
        <f>IFERROR(__xludf.DUMMYFUNCTION("""COMPUTED_VALUE"""),"190/834")</f>
        <v>190/834</v>
      </c>
      <c r="G89" s="876"/>
      <c r="H89" s="876"/>
      <c r="I89" s="876">
        <f>IFERROR(__xludf.DUMMYFUNCTION("""COMPUTED_VALUE"""),2008.0)</f>
        <v>2008</v>
      </c>
      <c r="J89" s="876"/>
      <c r="K89" s="876" t="str">
        <f>IFERROR(__xludf.DUMMYFUNCTION("""COMPUTED_VALUE"""),"open label ")</f>
        <v>open label </v>
      </c>
      <c r="L89" s="876" t="str">
        <f>IFERROR(__xludf.DUMMYFUNCTION("""COMPUTED_VALUE"""),"Yes")</f>
        <v>Yes</v>
      </c>
      <c r="M89" s="876" t="str">
        <f>IFERROR(__xludf.DUMMYFUNCTION("""COMPUTED_VALUE"""),"No")</f>
        <v>No</v>
      </c>
      <c r="N89" s="877">
        <f>IFERROR(__xludf.DUMMYFUNCTION("""COMPUTED_VALUE"""),0.926)</f>
        <v>0.926</v>
      </c>
      <c r="O89" s="876"/>
      <c r="P89" s="876">
        <f>IFERROR(__xludf.DUMMYFUNCTION("""COMPUTED_VALUE"""),0.926)</f>
        <v>0.926</v>
      </c>
      <c r="Q89" s="876"/>
      <c r="R89" s="876"/>
      <c r="S89" s="876"/>
      <c r="T89" s="876"/>
      <c r="U89" s="876"/>
      <c r="V89" s="876"/>
      <c r="W89" s="876"/>
      <c r="X89" s="876"/>
      <c r="Y89" s="876"/>
      <c r="Z89" s="876"/>
      <c r="AA89" s="876"/>
      <c r="AB89" s="876"/>
      <c r="AC89" s="876"/>
      <c r="AD89" s="876"/>
      <c r="AE89" s="876" t="str">
        <f>IFERROR(__xludf.DUMMYFUNCTION("""COMPUTED_VALUE"""),"Safe in pregnant women in the first trimester. No adverse reactions occurred in this study. IVM and ALB showed no signs of abnormalities or problems with the birth process. ")</f>
        <v>Safe in pregnant women in the first trimester. No adverse reactions occurred in this study. IVM and ALB showed no signs of abnormalities or problems with the birth process. </v>
      </c>
      <c r="AF89" s="876"/>
      <c r="AG89" s="876" t="str">
        <f>IFERROR(__xludf.DUMMYFUNCTION("""COMPUTED_VALUE"""),"Ndyomugyenyi, Richard, Narcis Kabatereine, Annette Olsen, and Pascal Magnussen. ""Efficacy of Ivermectin and AlbendazoleAone and in Combination for Treatment of Soil-Transmitted Helminths in Pregnancy and Adverse Events: A Randomized Open Label Controlled"&amp;" Intervention Trial in Masindi District, Western Uganda."" The American Society of Tropical Medicine and Hygiene 79.6 (2008): 856-63. Web.")</f>
        <v>Ndyomugyenyi, Richard, Narcis Kabatereine, Annette Olsen, and Pascal Magnussen. "Efficacy of Ivermectin and AlbendazoleAone and in Combination for Treatment of Soil-Transmitted Helminths in Pregnancy and Adverse Events: A Randomized Open Label Controlled Intervention Trial in Masindi District, Western Uganda." The American Society of Tropical Medicine and Hygiene 79.6 (2008): 856-63. Web.</v>
      </c>
      <c r="AH89" s="876" t="str">
        <f>IFERROR(__xludf.DUMMYFUNCTION("""COMPUTED_VALUE"""),"x")</f>
        <v>x</v>
      </c>
      <c r="AI89" s="878"/>
      <c r="AJ89" s="888" t="str">
        <f>IFERROR(__xludf.DUMMYFUNCTION("""COMPUTED_VALUE"""),"Jongsuksuntigul et al.")</f>
        <v>Jongsuksuntigul et al.</v>
      </c>
      <c r="AK89" s="880"/>
      <c r="AL89" s="880" t="str">
        <f>IFERROR(__xludf.DUMMYFUNCTION("""COMPUTED_VALUE"""),"Thailand")</f>
        <v>Thailand</v>
      </c>
      <c r="AM89" s="880" t="str">
        <f>IFERROR(__xludf.DUMMYFUNCTION("""COMPUTED_VALUE"""),"Mebendazole")</f>
        <v>Mebendazole</v>
      </c>
      <c r="AN89" s="880" t="str">
        <f>IFERROR(__xludf.DUMMYFUNCTION("""COMPUTED_VALUE"""),"Single")</f>
        <v>Single</v>
      </c>
      <c r="AO89" s="880" t="str">
        <f>IFERROR(__xludf.DUMMYFUNCTION("""COMPUTED_VALUE"""),"500 mg")</f>
        <v>500 mg</v>
      </c>
      <c r="AP89" s="880">
        <f>IFERROR(__xludf.DUMMYFUNCTION("""COMPUTED_VALUE"""),37.0)</f>
        <v>37</v>
      </c>
      <c r="AQ89" s="880" t="str">
        <f>IFERROR(__xludf.DUMMYFUNCTION("""COMPUTED_VALUE"""),"3-80 years old")</f>
        <v>3-80 years old</v>
      </c>
      <c r="AR89" s="880" t="str">
        <f>IFERROR(__xludf.DUMMYFUNCTION("""COMPUTED_VALUE"""),"100 males 98 females")</f>
        <v>100 males 98 females</v>
      </c>
      <c r="AS89" s="880">
        <f>IFERROR(__xludf.DUMMYFUNCTION("""COMPUTED_VALUE"""),1991.0)</f>
        <v>1991</v>
      </c>
      <c r="AT89" s="880"/>
      <c r="AU89" s="880" t="str">
        <f>IFERROR(__xludf.DUMMYFUNCTION("""COMPUTED_VALUE"""),"Yes")</f>
        <v>Yes</v>
      </c>
      <c r="AV89" s="880" t="str">
        <f>IFERROR(__xludf.DUMMYFUNCTION("""COMPUTED_VALUE"""),"No")</f>
        <v>No</v>
      </c>
      <c r="AW89" s="881" t="str">
        <f>IFERROR(__xludf.DUMMYFUNCTION("""COMPUTED_VALUE"""),"Randomized trial")</f>
        <v>Randomized trial</v>
      </c>
      <c r="AX89" s="863">
        <f>IFERROR(__xludf.DUMMYFUNCTION("""COMPUTED_VALUE"""),0.703)</f>
        <v>0.703</v>
      </c>
      <c r="AY89" s="863">
        <f>IFERROR(__xludf.DUMMYFUNCTION("""COMPUTED_VALUE"""),0.703)</f>
        <v>0.703</v>
      </c>
      <c r="AZ89" s="863"/>
      <c r="BA89" s="863"/>
      <c r="BB89" s="863"/>
      <c r="BC89" s="863"/>
      <c r="BD89" s="863"/>
      <c r="BE89" s="863"/>
      <c r="BF89" s="863"/>
      <c r="BG89" s="863"/>
      <c r="BH89" s="863">
        <f>IFERROR(__xludf.DUMMYFUNCTION("""COMPUTED_VALUE"""),0.899)</f>
        <v>0.899</v>
      </c>
      <c r="BI89" s="863"/>
      <c r="BJ89" s="863"/>
      <c r="BK89" s="863"/>
      <c r="BL89" s="863"/>
      <c r="BM89" s="863"/>
      <c r="BN89" s="863"/>
      <c r="BO89" s="863"/>
      <c r="BP89" s="880"/>
      <c r="BQ89" s="863"/>
      <c r="BR89" s="889" t="str">
        <f>IFERROR(__xludf.DUMMYFUNCTION("""COMPUTED_VALUE"""),"Fox et al.")</f>
        <v>Fox et al.</v>
      </c>
      <c r="BS89" s="883" t="str">
        <f>IFERROR(__xludf.DUMMYFUNCTION("""COMPUTED_VALUE"""),"Haiti")</f>
        <v>Haiti</v>
      </c>
      <c r="BT89" s="883" t="str">
        <f>IFERROR(__xludf.DUMMYFUNCTION("""COMPUTED_VALUE"""),"Placebo")</f>
        <v>Placebo</v>
      </c>
      <c r="BU89" s="883"/>
      <c r="BV89" s="883"/>
      <c r="BW89" s="883"/>
      <c r="BX89" s="883" t="str">
        <f>IFERROR(__xludf.DUMMYFUNCTION("""COMPUTED_VALUE"""),"97/306")</f>
        <v>97/306</v>
      </c>
      <c r="BY89" s="890">
        <f>IFERROR(__xludf.DUMMYFUNCTION("""COMPUTED_VALUE"""),42501.0)</f>
        <v>42501</v>
      </c>
      <c r="BZ89" s="883">
        <f>IFERROR(__xludf.DUMMYFUNCTION("""COMPUTED_VALUE"""),1998.0)</f>
        <v>1998</v>
      </c>
      <c r="CA89" s="883"/>
      <c r="CB89" s="883"/>
      <c r="CC89" s="883" t="str">
        <f>IFERROR(__xludf.DUMMYFUNCTION("""COMPUTED_VALUE"""),"Yes")</f>
        <v>Yes</v>
      </c>
      <c r="CD89" s="884">
        <f>IFERROR(__xludf.DUMMYFUNCTION("""COMPUTED_VALUE"""),0.05)</f>
        <v>0.05</v>
      </c>
      <c r="CE89" s="883" t="str">
        <f>IFERROR(__xludf.DUMMYFUNCTION("""COMPUTED_VALUE"""),"Yes")</f>
        <v>Yes</v>
      </c>
      <c r="CF89" s="883"/>
      <c r="CG89" s="883"/>
      <c r="CH89" s="883"/>
      <c r="CI89" s="883"/>
      <c r="CJ89" s="883"/>
      <c r="CK89" s="883"/>
      <c r="CL89" s="883"/>
      <c r="CM89" s="891">
        <f>IFERROR(__xludf.DUMMYFUNCTION("""COMPUTED_VALUE"""),0.117)</f>
        <v>0.117</v>
      </c>
      <c r="CN89" s="883"/>
      <c r="CO89" s="883"/>
      <c r="CP89" s="883"/>
      <c r="CQ89" s="883"/>
      <c r="CR89" s="883"/>
      <c r="CS89" s="883"/>
      <c r="CT89" s="883" t="str">
        <f>IFERROR(__xludf.DUMMYFUNCTION("""COMPUTED_VALUE"""),"Kato-Katz Method")</f>
        <v>Kato-Katz Method</v>
      </c>
      <c r="CU89" s="883"/>
      <c r="CV89" s="863"/>
      <c r="CW89" s="863"/>
      <c r="CX89" s="863"/>
      <c r="CY89" s="863"/>
      <c r="CZ89" s="863"/>
      <c r="DA89" s="863"/>
      <c r="DB89" s="863"/>
      <c r="DC89" s="863"/>
      <c r="DD89" s="863"/>
      <c r="DE89" s="863"/>
    </row>
    <row r="90">
      <c r="A90" s="887" t="str">
        <f>IFERROR(__xludf.DUMMYFUNCTION("""COMPUTED_VALUE"""),"Norhayati et al.")</f>
        <v>Norhayati et al.</v>
      </c>
      <c r="B90" s="876" t="str">
        <f>IFERROR(__xludf.DUMMYFUNCTION("""COMPUTED_VALUE"""),"Malaysia")</f>
        <v>Malaysia</v>
      </c>
      <c r="C90" s="876" t="str">
        <f>IFERROR(__xludf.DUMMYFUNCTION("""COMPUTED_VALUE"""),"Albendazole")</f>
        <v>Albendazole</v>
      </c>
      <c r="D90" s="876" t="str">
        <f>IFERROR(__xludf.DUMMYFUNCTION("""COMPUTED_VALUE"""),"Single")</f>
        <v>Single</v>
      </c>
      <c r="E90" s="876" t="str">
        <f>IFERROR(__xludf.DUMMYFUNCTION("""COMPUTED_VALUE"""),"400 mg")</f>
        <v>400 mg</v>
      </c>
      <c r="F90" s="876" t="str">
        <f>IFERROR(__xludf.DUMMYFUNCTION("""COMPUTED_VALUE"""),"123/205")</f>
        <v>123/205</v>
      </c>
      <c r="G90" s="876">
        <f>IFERROR(__xludf.DUMMYFUNCTION("""COMPUTED_VALUE"""),42382.0)</f>
        <v>42382</v>
      </c>
      <c r="H90" s="876" t="str">
        <f>IFERROR(__xludf.DUMMYFUNCTION("""COMPUTED_VALUE"""),"95:110")</f>
        <v>95:110</v>
      </c>
      <c r="I90" s="876">
        <f>IFERROR(__xludf.DUMMYFUNCTION("""COMPUTED_VALUE"""),1997.0)</f>
        <v>1997</v>
      </c>
      <c r="J90" s="876"/>
      <c r="K90" s="876" t="str">
        <f>IFERROR(__xludf.DUMMYFUNCTION("""COMPUTED_VALUE"""),"open trial")</f>
        <v>open trial</v>
      </c>
      <c r="L90" s="876" t="str">
        <f>IFERROR(__xludf.DUMMYFUNCTION("""COMPUTED_VALUE"""),"No")</f>
        <v>No</v>
      </c>
      <c r="M90" s="876" t="str">
        <f>IFERROR(__xludf.DUMMYFUNCTION("""COMPUTED_VALUE"""),"No")</f>
        <v>No</v>
      </c>
      <c r="N90" s="877">
        <f>IFERROR(__xludf.DUMMYFUNCTION("""COMPUTED_VALUE"""),0.931)</f>
        <v>0.931</v>
      </c>
      <c r="O90" s="876"/>
      <c r="P90" s="876"/>
      <c r="Q90" s="876" t="str">
        <f>IFERROR(__xludf.DUMMYFUNCTION("""COMPUTED_VALUE"""),"mild: 92.3%")</f>
        <v>mild: 92.3%</v>
      </c>
      <c r="R90" s="876"/>
      <c r="S90" s="876"/>
      <c r="T90" s="876"/>
      <c r="U90" s="876"/>
      <c r="V90" s="876" t="str">
        <f>IFERROR(__xludf.DUMMYFUNCTION("""COMPUTED_VALUE"""),"98.9%; mild: 80%, moderate: 100%")</f>
        <v>98.9%; mild: 80%, moderate: 100%</v>
      </c>
      <c r="W90" s="876">
        <f>IFERROR(__xludf.DUMMYFUNCTION("""COMPUTED_VALUE"""),0.966)</f>
        <v>0.966</v>
      </c>
      <c r="X90" s="876"/>
      <c r="Y90" s="876"/>
      <c r="Z90" s="876"/>
      <c r="AA90" s="876"/>
      <c r="AB90" s="876"/>
      <c r="AC90" s="876"/>
      <c r="AD90" s="876"/>
      <c r="AE90" s="876" t="str">
        <f>IFERROR(__xludf.DUMMYFUNCTION("""COMPUTED_VALUE"""),"Single dose ALB is the usual and comparable to other studies and most effective. It is also seen the single dose ALB is more effective in egg reduction rates rather then cure rates.")</f>
        <v>Single dose ALB is the usual and comparable to other studies and most effective. It is also seen the single dose ALB is more effective in egg reduction rates rather then cure rates.</v>
      </c>
      <c r="AF90" s="876" t="str">
        <f>IFERROR(__xludf.DUMMYFUNCTION("""COMPUTED_VALUE"""),"Kato-Katz Method")</f>
        <v>Kato-Katz Method</v>
      </c>
      <c r="AG90" s="876" t="str">
        <f>IFERROR(__xludf.DUMMYFUNCTION("""COMPUTED_VALUE"""),"Norhayati, M., P. Oothuman, O. Azizi, and MS Fatmah. ""Efficacy of Single Dose Albendazoleon the Prevalence and Intensity of Infection of Soil Transmitted Helminths in Orang Asli Children in Malaysia."" Department of Parasitology 28.3 (1997): 563-68. Web.")</f>
        <v>Norhayati, M., P. Oothuman, O. Azizi, and MS Fatmah. "Efficacy of Single Dose Albendazoleon the Prevalence and Intensity of Infection of Soil Transmitted Helminths in Orang Asli Children in Malaysia." Department of Parasitology 28.3 (1997): 563-68. Web.</v>
      </c>
      <c r="AH90" s="876" t="str">
        <f>IFERROR(__xludf.DUMMYFUNCTION("""COMPUTED_VALUE"""),"x")</f>
        <v>x</v>
      </c>
      <c r="AI90" s="878"/>
      <c r="AJ90" s="888" t="str">
        <f>IFERROR(__xludf.DUMMYFUNCTION("""COMPUTED_VALUE"""),"Jongsuksuntigul et al.")</f>
        <v>Jongsuksuntigul et al.</v>
      </c>
      <c r="AK90" s="880"/>
      <c r="AL90" s="880" t="str">
        <f>IFERROR(__xludf.DUMMYFUNCTION("""COMPUTED_VALUE"""),"Thailand")</f>
        <v>Thailand</v>
      </c>
      <c r="AM90" s="880" t="str">
        <f>IFERROR(__xludf.DUMMYFUNCTION("""COMPUTED_VALUE"""),"Albendazole")</f>
        <v>Albendazole</v>
      </c>
      <c r="AN90" s="880" t="str">
        <f>IFERROR(__xludf.DUMMYFUNCTION("""COMPUTED_VALUE"""),"Single")</f>
        <v>Single</v>
      </c>
      <c r="AO90" s="880" t="str">
        <f>IFERROR(__xludf.DUMMYFUNCTION("""COMPUTED_VALUE"""),"400 mg")</f>
        <v>400 mg</v>
      </c>
      <c r="AP90" s="880">
        <f>IFERROR(__xludf.DUMMYFUNCTION("""COMPUTED_VALUE"""),43.0)</f>
        <v>43</v>
      </c>
      <c r="AQ90" s="880" t="str">
        <f>IFERROR(__xludf.DUMMYFUNCTION("""COMPUTED_VALUE"""),"3-80 years old")</f>
        <v>3-80 years old</v>
      </c>
      <c r="AR90" s="880" t="str">
        <f>IFERROR(__xludf.DUMMYFUNCTION("""COMPUTED_VALUE"""),"101 males 98 females")</f>
        <v>101 males 98 females</v>
      </c>
      <c r="AS90" s="880">
        <f>IFERROR(__xludf.DUMMYFUNCTION("""COMPUTED_VALUE"""),1991.0)</f>
        <v>1991</v>
      </c>
      <c r="AT90" s="880"/>
      <c r="AU90" s="880" t="str">
        <f>IFERROR(__xludf.DUMMYFUNCTION("""COMPUTED_VALUE"""),"Yes")</f>
        <v>Yes</v>
      </c>
      <c r="AV90" s="880" t="str">
        <f>IFERROR(__xludf.DUMMYFUNCTION("""COMPUTED_VALUE"""),"No")</f>
        <v>No</v>
      </c>
      <c r="AW90" s="881" t="str">
        <f>IFERROR(__xludf.DUMMYFUNCTION("""COMPUTED_VALUE"""),"Randomized trial")</f>
        <v>Randomized trial</v>
      </c>
      <c r="AX90" s="863">
        <f>IFERROR(__xludf.DUMMYFUNCTION("""COMPUTED_VALUE"""),0.674)</f>
        <v>0.674</v>
      </c>
      <c r="AY90" s="863">
        <f>IFERROR(__xludf.DUMMYFUNCTION("""COMPUTED_VALUE"""),0.674)</f>
        <v>0.674</v>
      </c>
      <c r="AZ90" s="863"/>
      <c r="BA90" s="863"/>
      <c r="BB90" s="863"/>
      <c r="BC90" s="863"/>
      <c r="BD90" s="863"/>
      <c r="BE90" s="863"/>
      <c r="BF90" s="863"/>
      <c r="BG90" s="863"/>
      <c r="BH90" s="863">
        <f>IFERROR(__xludf.DUMMYFUNCTION("""COMPUTED_VALUE"""),0.87)</f>
        <v>0.87</v>
      </c>
      <c r="BI90" s="863"/>
      <c r="BJ90" s="863"/>
      <c r="BK90" s="863"/>
      <c r="BL90" s="863"/>
      <c r="BM90" s="863"/>
      <c r="BN90" s="863"/>
      <c r="BO90" s="863"/>
      <c r="BP90" s="880"/>
      <c r="BQ90" s="863"/>
      <c r="BR90" s="889" t="str">
        <f>IFERROR(__xludf.DUMMYFUNCTION("""COMPUTED_VALUE"""),"Fox et al.")</f>
        <v>Fox et al.</v>
      </c>
      <c r="BS90" s="883" t="str">
        <f>IFERROR(__xludf.DUMMYFUNCTION("""COMPUTED_VALUE"""),"Haiti")</f>
        <v>Haiti</v>
      </c>
      <c r="BT90" s="883" t="str">
        <f>IFERROR(__xludf.DUMMYFUNCTION("""COMPUTED_VALUE"""),"Albendazole")</f>
        <v>Albendazole</v>
      </c>
      <c r="BU90" s="883"/>
      <c r="BV90" s="883" t="str">
        <f>IFERROR(__xludf.DUMMYFUNCTION("""COMPUTED_VALUE"""),"Single")</f>
        <v>Single</v>
      </c>
      <c r="BW90" s="883" t="str">
        <f>IFERROR(__xludf.DUMMYFUNCTION("""COMPUTED_VALUE"""),"400 mg")</f>
        <v>400 mg</v>
      </c>
      <c r="BX90" s="883" t="str">
        <f>IFERROR(__xludf.DUMMYFUNCTION("""COMPUTED_VALUE"""),"91/320")</f>
        <v>91/320</v>
      </c>
      <c r="BY90" s="890">
        <f>IFERROR(__xludf.DUMMYFUNCTION("""COMPUTED_VALUE"""),42501.0)</f>
        <v>42501</v>
      </c>
      <c r="BZ90" s="883">
        <f>IFERROR(__xludf.DUMMYFUNCTION("""COMPUTED_VALUE"""),1998.0)</f>
        <v>1998</v>
      </c>
      <c r="CA90" s="883"/>
      <c r="CB90" s="883"/>
      <c r="CC90" s="883" t="str">
        <f>IFERROR(__xludf.DUMMYFUNCTION("""COMPUTED_VALUE"""),"Yes")</f>
        <v>Yes</v>
      </c>
      <c r="CD90" s="884">
        <f>IFERROR(__xludf.DUMMYFUNCTION("""COMPUTED_VALUE"""),0.968)</f>
        <v>0.968</v>
      </c>
      <c r="CE90" s="883" t="str">
        <f>IFERROR(__xludf.DUMMYFUNCTION("""COMPUTED_VALUE"""),"Yes")</f>
        <v>Yes</v>
      </c>
      <c r="CF90" s="883"/>
      <c r="CG90" s="883"/>
      <c r="CH90" s="883"/>
      <c r="CI90" s="883"/>
      <c r="CJ90" s="883"/>
      <c r="CK90" s="883"/>
      <c r="CL90" s="883"/>
      <c r="CM90" s="884">
        <f>IFERROR(__xludf.DUMMYFUNCTION("""COMPUTED_VALUE"""),0.998)</f>
        <v>0.998</v>
      </c>
      <c r="CN90" s="883"/>
      <c r="CO90" s="883"/>
      <c r="CP90" s="883"/>
      <c r="CQ90" s="883"/>
      <c r="CR90" s="883"/>
      <c r="CS90" s="883"/>
      <c r="CT90" s="883"/>
      <c r="CU90" s="883"/>
      <c r="CV90" s="863"/>
      <c r="CW90" s="863"/>
      <c r="CX90" s="863"/>
      <c r="CY90" s="863"/>
      <c r="CZ90" s="863"/>
      <c r="DA90" s="863"/>
      <c r="DB90" s="863"/>
      <c r="DC90" s="863"/>
      <c r="DD90" s="863"/>
      <c r="DE90" s="863"/>
    </row>
    <row r="91">
      <c r="A91" s="887" t="str">
        <f>IFERROR(__xludf.DUMMYFUNCTION("""COMPUTED_VALUE"""),"Prasad et al.")</f>
        <v>Prasad et al.</v>
      </c>
      <c r="B91" s="876" t="str">
        <f>IFERROR(__xludf.DUMMYFUNCTION("""COMPUTED_VALUE"""),"India")</f>
        <v>India</v>
      </c>
      <c r="C91" s="876" t="str">
        <f>IFERROR(__xludf.DUMMYFUNCTION("""COMPUTED_VALUE"""),"Albendazole")</f>
        <v>Albendazole</v>
      </c>
      <c r="D91" s="876" t="str">
        <f>IFERROR(__xludf.DUMMYFUNCTION("""COMPUTED_VALUE"""),"Single")</f>
        <v>Single</v>
      </c>
      <c r="E91" s="876" t="str">
        <f>IFERROR(__xludf.DUMMYFUNCTION("""COMPUTED_VALUE"""),"400 mg")</f>
        <v>400 mg</v>
      </c>
      <c r="F91" s="876" t="str">
        <f>IFERROR(__xludf.DUMMYFUNCTION("""COMPUTED_VALUE"""),"39/116")</f>
        <v>39/116</v>
      </c>
      <c r="G91" s="876">
        <f>IFERROR(__xludf.DUMMYFUNCTION("""COMPUTED_VALUE"""),42415.0)</f>
        <v>42415</v>
      </c>
      <c r="H91" s="876" t="str">
        <f>IFERROR(__xludf.DUMMYFUNCTION("""COMPUTED_VALUE"""),"75:41")</f>
        <v>75:41</v>
      </c>
      <c r="I91" s="876">
        <f>IFERROR(__xludf.DUMMYFUNCTION("""COMPUTED_VALUE"""),1985.0)</f>
        <v>1985</v>
      </c>
      <c r="J91" s="876" t="str">
        <f>IFERROR(__xludf.DUMMYFUNCTION("""COMPUTED_VALUE"""),"People who had received anthelmintics seven days before commencement of the present study, those who were acutely ill, and those having proteinura, allergic disorders, or hypersensitivity to any drug were excluded from the study.")</f>
        <v>People who had received anthelmintics seven days before commencement of the present study, those who were acutely ill, and those having proteinura, allergic disorders, or hypersensitivity to any drug were excluded from the study.</v>
      </c>
      <c r="K91" s="876" t="str">
        <f>IFERROR(__xludf.DUMMYFUNCTION("""COMPUTED_VALUE"""),"clinical trial")</f>
        <v>clinical trial</v>
      </c>
      <c r="L91" s="876" t="str">
        <f>IFERROR(__xludf.DUMMYFUNCTION("""COMPUTED_VALUE"""),"No")</f>
        <v>No</v>
      </c>
      <c r="M91" s="876" t="str">
        <f>IFERROR(__xludf.DUMMYFUNCTION("""COMPUTED_VALUE"""),"No")</f>
        <v>No</v>
      </c>
      <c r="N91" s="877">
        <f>IFERROR(__xludf.DUMMYFUNCTION("""COMPUTED_VALUE"""),0.872)</f>
        <v>0.872</v>
      </c>
      <c r="O91" s="876"/>
      <c r="P91" s="876"/>
      <c r="Q91" s="876"/>
      <c r="R91" s="876"/>
      <c r="S91" s="876"/>
      <c r="T91" s="876"/>
      <c r="U91" s="876"/>
      <c r="V91" s="876"/>
      <c r="W91" s="876" t="str">
        <f>IFERROR(__xludf.DUMMYFUNCTION("""COMPUTED_VALUE"""),"90-95%")</f>
        <v>90-95%</v>
      </c>
      <c r="X91" s="876"/>
      <c r="Y91" s="876"/>
      <c r="Z91" s="876"/>
      <c r="AA91" s="876"/>
      <c r="AB91" s="876"/>
      <c r="AC91" s="876"/>
      <c r="AD91" s="876"/>
      <c r="AE91" s="876" t="str">
        <f>IFERROR(__xludf.DUMMYFUNCTION("""COMPUTED_VALUE"""),"Albendazolesuspension was found to be a well tolerated and effective anthelmintic in single-dose theraphy against common helminthic infections.")</f>
        <v>Albendazolesuspension was found to be a well tolerated and effective anthelmintic in single-dose theraphy against common helminthic infections.</v>
      </c>
      <c r="AF91" s="876" t="str">
        <f>IFERROR(__xludf.DUMMYFUNCTION("""COMPUTED_VALUE"""),"Kato-Katz Method")</f>
        <v>Kato-Katz Method</v>
      </c>
      <c r="AG91" s="876" t="str">
        <f>IFERROR(__xludf.DUMMYFUNCTION("""COMPUTED_VALUE"""),"Prasad R, Mathur PP, Tanega VK &amp; Jagota SC. ""Albendazolein the Treatment of Intestinal Helminthiasis in Children:"". Clinical Therapeutics (1985): 164-168. Web.")</f>
        <v>Prasad R, Mathur PP, Tanega VK &amp; Jagota SC. "Albendazolein the Treatment of Intestinal Helminthiasis in Children:". Clinical Therapeutics (1985): 164-168. Web.</v>
      </c>
      <c r="AH91" s="876" t="str">
        <f>IFERROR(__xludf.DUMMYFUNCTION("""COMPUTED_VALUE"""),"x")</f>
        <v>x</v>
      </c>
      <c r="AI91" s="878"/>
      <c r="AJ91" s="888" t="str">
        <f>IFERROR(__xludf.DUMMYFUNCTION("""COMPUTED_VALUE"""),"Muchiri et al.")</f>
        <v>Muchiri et al.</v>
      </c>
      <c r="AK91" s="880" t="str">
        <f>IFERROR(__xludf.DUMMYFUNCTION("""COMPUTED_VALUE"""),"Muchiri, Eric M., Thiong'o, Fredrick W., Magnussen, Pascal and Ouma, John H. “A Comparative Study of Different Albendazoleand MebendazoleRegiments for the Treatment of Intestinal Infections in School Children of Usigu Division, Western Kenya”. Journal of "&amp;"Parasitology 87 (2001): 413-418. Web.")</f>
        <v>Muchiri, Eric M., Thiong'o, Fredrick W., Magnussen, Pascal and Ouma, John H. “A Comparative Study of Different Albendazoleand MebendazoleRegiments for the Treatment of Intestinal Infections in School Children of Usigu Division, Western Kenya”. Journal of Parasitology 87 (2001): 413-418. Web.</v>
      </c>
      <c r="AL91" s="880" t="str">
        <f>IFERROR(__xludf.DUMMYFUNCTION("""COMPUTED_VALUE"""),"Kenya")</f>
        <v>Kenya</v>
      </c>
      <c r="AM91" s="880" t="str">
        <f>IFERROR(__xludf.DUMMYFUNCTION("""COMPUTED_VALUE"""),"Albendazole")</f>
        <v>Albendazole</v>
      </c>
      <c r="AN91" s="880" t="str">
        <f>IFERROR(__xludf.DUMMYFUNCTION("""COMPUTED_VALUE"""),"Single")</f>
        <v>Single</v>
      </c>
      <c r="AO91" s="880" t="str">
        <f>IFERROR(__xludf.DUMMYFUNCTION("""COMPUTED_VALUE"""),"600 mg")</f>
        <v>600 mg</v>
      </c>
      <c r="AP91" s="880" t="str">
        <f>IFERROR(__xludf.DUMMYFUNCTION("""COMPUTED_VALUE"""),"87/373")</f>
        <v>87/373</v>
      </c>
      <c r="AQ91" s="880" t="str">
        <f>IFERROR(__xludf.DUMMYFUNCTION("""COMPUTED_VALUE"""),"4-19 years old")</f>
        <v>4-19 years old</v>
      </c>
      <c r="AR91" s="880" t="str">
        <f>IFERROR(__xludf.DUMMYFUNCTION("""COMPUTED_VALUE"""),"164 female; 209 male")</f>
        <v>164 female; 209 male</v>
      </c>
      <c r="AS91" s="880">
        <f>IFERROR(__xludf.DUMMYFUNCTION("""COMPUTED_VALUE"""),1997.0)</f>
        <v>1997</v>
      </c>
      <c r="AT91" s="880"/>
      <c r="AU91" s="880" t="str">
        <f>IFERROR(__xludf.DUMMYFUNCTION("""COMPUTED_VALUE"""),"Yes")</f>
        <v>Yes</v>
      </c>
      <c r="AV91" s="880" t="str">
        <f>IFERROR(__xludf.DUMMYFUNCTION("""COMPUTED_VALUE"""),"No")</f>
        <v>No</v>
      </c>
      <c r="AW91" s="881" t="str">
        <f>IFERROR(__xludf.DUMMYFUNCTION("""COMPUTED_VALUE"""),"randomized trial (by school)")</f>
        <v>randomized trial (by school)</v>
      </c>
      <c r="AX91" s="863"/>
      <c r="AY91" s="863"/>
      <c r="AZ91" s="863"/>
      <c r="BA91" s="863"/>
      <c r="BB91" s="863"/>
      <c r="BC91" s="863"/>
      <c r="BD91" s="863"/>
      <c r="BE91" s="863"/>
      <c r="BF91" s="863"/>
      <c r="BG91" s="863">
        <f>IFERROR(__xludf.DUMMYFUNCTION("""COMPUTED_VALUE"""),0.678)</f>
        <v>0.678</v>
      </c>
      <c r="BH91" s="863">
        <f>IFERROR(__xludf.DUMMYFUNCTION("""COMPUTED_VALUE"""),0.905)</f>
        <v>0.905</v>
      </c>
      <c r="BI91" s="863"/>
      <c r="BJ91" s="863"/>
      <c r="BK91" s="863"/>
      <c r="BL91" s="863"/>
      <c r="BM91" s="863"/>
      <c r="BN91" s="863"/>
      <c r="BO91" s="863" t="str">
        <f>IFERROR(__xludf.DUMMYFUNCTION("""COMPUTED_VALUE"""),"Modified Kato-Katz Method")</f>
        <v>Modified Kato-Katz Method</v>
      </c>
      <c r="BP91" s="880"/>
      <c r="BQ91" s="863"/>
      <c r="BR91" s="889" t="str">
        <f>IFERROR(__xludf.DUMMYFUNCTION("""COMPUTED_VALUE"""),"Fox et al.")</f>
        <v>Fox et al.</v>
      </c>
      <c r="BS91" s="883" t="str">
        <f>IFERROR(__xludf.DUMMYFUNCTION("""COMPUTED_VALUE"""),"Haiti")</f>
        <v>Haiti</v>
      </c>
      <c r="BT91" s="883" t="str">
        <f>IFERROR(__xludf.DUMMYFUNCTION("""COMPUTED_VALUE"""),"Diethylcarbamazine")</f>
        <v>Diethylcarbamazine</v>
      </c>
      <c r="BU91" s="883"/>
      <c r="BV91" s="883" t="str">
        <f>IFERROR(__xludf.DUMMYFUNCTION("""COMPUTED_VALUE"""),"Single")</f>
        <v>Single</v>
      </c>
      <c r="BW91" s="883" t="str">
        <f>IFERROR(__xludf.DUMMYFUNCTION("""COMPUTED_VALUE"""),"6 mg")</f>
        <v>6 mg</v>
      </c>
      <c r="BX91" s="883" t="str">
        <f>IFERROR(__xludf.DUMMYFUNCTION("""COMPUTED_VALUE"""),"88/313")</f>
        <v>88/313</v>
      </c>
      <c r="BY91" s="890">
        <f>IFERROR(__xludf.DUMMYFUNCTION("""COMPUTED_VALUE"""),42501.0)</f>
        <v>42501</v>
      </c>
      <c r="BZ91" s="883">
        <f>IFERROR(__xludf.DUMMYFUNCTION("""COMPUTED_VALUE"""),1998.0)</f>
        <v>1998</v>
      </c>
      <c r="CA91" s="883"/>
      <c r="CB91" s="883"/>
      <c r="CC91" s="883" t="str">
        <f>IFERROR(__xludf.DUMMYFUNCTION("""COMPUTED_VALUE"""),"Yes")</f>
        <v>Yes</v>
      </c>
      <c r="CD91" s="884">
        <f>IFERROR(__xludf.DUMMYFUNCTION("""COMPUTED_VALUE"""),0.171)</f>
        <v>0.171</v>
      </c>
      <c r="CE91" s="883" t="str">
        <f>IFERROR(__xludf.DUMMYFUNCTION("""COMPUTED_VALUE"""),"Yes")</f>
        <v>Yes</v>
      </c>
      <c r="CF91" s="883"/>
      <c r="CG91" s="883"/>
      <c r="CH91" s="883"/>
      <c r="CI91" s="883"/>
      <c r="CJ91" s="883"/>
      <c r="CK91" s="883"/>
      <c r="CL91" s="883"/>
      <c r="CM91" s="884">
        <f>IFERROR(__xludf.DUMMYFUNCTION("""COMPUTED_VALUE"""),0.18)</f>
        <v>0.18</v>
      </c>
      <c r="CN91" s="883"/>
      <c r="CO91" s="883"/>
      <c r="CP91" s="883"/>
      <c r="CQ91" s="883"/>
      <c r="CR91" s="883"/>
      <c r="CS91" s="883"/>
      <c r="CT91" s="883"/>
      <c r="CU91" s="883"/>
      <c r="CV91" s="863"/>
      <c r="CW91" s="863"/>
      <c r="CX91" s="863"/>
      <c r="CY91" s="863"/>
      <c r="CZ91" s="863"/>
      <c r="DA91" s="863"/>
      <c r="DB91" s="863"/>
      <c r="DC91" s="863"/>
      <c r="DD91" s="863"/>
      <c r="DE91" s="863"/>
    </row>
    <row r="92">
      <c r="A92" s="887" t="str">
        <f>IFERROR(__xludf.DUMMYFUNCTION("""COMPUTED_VALUE"""),"Pugh et al.")</f>
        <v>Pugh et al.</v>
      </c>
      <c r="B92" s="876" t="str">
        <f>IFERROR(__xludf.DUMMYFUNCTION("""COMPUTED_VALUE"""),"Malawi")</f>
        <v>Malawi</v>
      </c>
      <c r="C92" s="876" t="str">
        <f>IFERROR(__xludf.DUMMYFUNCTION("""COMPUTED_VALUE"""),"Placebo (Vit C)")</f>
        <v>Placebo (Vit C)</v>
      </c>
      <c r="D92" s="876"/>
      <c r="E92" s="876"/>
      <c r="F92" s="876">
        <f>IFERROR(__xludf.DUMMYFUNCTION("""COMPUTED_VALUE"""),25.0)</f>
        <v>25</v>
      </c>
      <c r="G92" s="876">
        <f>IFERROR(__xludf.DUMMYFUNCTION("""COMPUTED_VALUE"""),11.2)</f>
        <v>11.2</v>
      </c>
      <c r="H92" s="876"/>
      <c r="I92" s="876">
        <f>IFERROR(__xludf.DUMMYFUNCTION("""COMPUTED_VALUE"""),1986.0)</f>
        <v>1986</v>
      </c>
      <c r="J92" s="876"/>
      <c r="K92" s="876" t="str">
        <f>IFERROR(__xludf.DUMMYFUNCTION("""COMPUTED_VALUE"""),"Blind trial randomized")</f>
        <v>Blind trial randomized</v>
      </c>
      <c r="L92" s="876" t="str">
        <f>IFERROR(__xludf.DUMMYFUNCTION("""COMPUTED_VALUE"""),"Yes")</f>
        <v>Yes</v>
      </c>
      <c r="M92" s="876" t="str">
        <f>IFERROR(__xludf.DUMMYFUNCTION("""COMPUTED_VALUE"""),"Yes")</f>
        <v>Yes</v>
      </c>
      <c r="N92" s="877" t="str">
        <f>IFERROR(__xludf.DUMMYFUNCTION("""COMPUTED_VALUE"""),"4.6% (increase)")</f>
        <v>4.6% (increase)</v>
      </c>
      <c r="O92" s="876"/>
      <c r="P92" s="876"/>
      <c r="Q92" s="876"/>
      <c r="R92" s="876"/>
      <c r="S92" s="876"/>
      <c r="T92" s="876"/>
      <c r="U92" s="876"/>
      <c r="V92" s="876"/>
      <c r="W92" s="876" t="str">
        <f>IFERROR(__xludf.DUMMYFUNCTION("""COMPUTED_VALUE"""),"4.6% (increase)")</f>
        <v>4.6% (increase)</v>
      </c>
      <c r="X92" s="876"/>
      <c r="Y92" s="876"/>
      <c r="Z92" s="876"/>
      <c r="AA92" s="876"/>
      <c r="AB92" s="876"/>
      <c r="AC92" s="876"/>
      <c r="AD92" s="876"/>
      <c r="AE92" s="876" t="str">
        <f>IFERROR(__xludf.DUMMYFUNCTION("""COMPUTED_VALUE"""),"We conclude that AlbendazoleIs hlghly recommended for the convenient treatment of intestinal helminth infections, particularly those that include hookworm.")</f>
        <v>We conclude that AlbendazoleIs hlghly recommended for the convenient treatment of intestinal helminth infections, particularly those that include hookworm.</v>
      </c>
      <c r="AF92" s="876" t="str">
        <f>IFERROR(__xludf.DUMMYFUNCTION("""COMPUTED_VALUE"""),"Kato-Katz Method")</f>
        <v>Kato-Katz Method</v>
      </c>
      <c r="AG92" s="876" t="str">
        <f>IFERROR(__xludf.DUMMYFUNCTION("""COMPUTED_VALUE"""),"Pugh RN, Teesdale CH, &amp; Burnham GM. “Albendazolein children with hookworm infection”. Anna Trop Med Parasitol (1986): 565-567. Web.")</f>
        <v>Pugh RN, Teesdale CH, &amp; Burnham GM. “Albendazolein children with hookworm infection”. Anna Trop Med Parasitol (1986): 565-567. Web.</v>
      </c>
      <c r="AH92" s="876"/>
      <c r="AI92" s="878"/>
      <c r="AJ92" s="888" t="str">
        <f>IFERROR(__xludf.DUMMYFUNCTION("""COMPUTED_VALUE"""),"Muchiri et al.")</f>
        <v>Muchiri et al.</v>
      </c>
      <c r="AK92" s="880"/>
      <c r="AL92" s="880" t="str">
        <f>IFERROR(__xludf.DUMMYFUNCTION("""COMPUTED_VALUE"""),"Kenya")</f>
        <v>Kenya</v>
      </c>
      <c r="AM92" s="880" t="str">
        <f>IFERROR(__xludf.DUMMYFUNCTION("""COMPUTED_VALUE"""),"Mebendazole")</f>
        <v>Mebendazole</v>
      </c>
      <c r="AN92" s="880" t="str">
        <f>IFERROR(__xludf.DUMMYFUNCTION("""COMPUTED_VALUE"""),"Single")</f>
        <v>Single</v>
      </c>
      <c r="AO92" s="880" t="str">
        <f>IFERROR(__xludf.DUMMYFUNCTION("""COMPUTED_VALUE"""),"600 mg")</f>
        <v>600 mg</v>
      </c>
      <c r="AP92" s="880" t="str">
        <f>IFERROR(__xludf.DUMMYFUNCTION("""COMPUTED_VALUE"""),"127/416")</f>
        <v>127/416</v>
      </c>
      <c r="AQ92" s="880" t="str">
        <f>IFERROR(__xludf.DUMMYFUNCTION("""COMPUTED_VALUE"""),"4-19 years old")</f>
        <v>4-19 years old</v>
      </c>
      <c r="AR92" s="880" t="str">
        <f>IFERROR(__xludf.DUMMYFUNCTION("""COMPUTED_VALUE"""),"195 female; 221 male")</f>
        <v>195 female; 221 male</v>
      </c>
      <c r="AS92" s="880">
        <f>IFERROR(__xludf.DUMMYFUNCTION("""COMPUTED_VALUE"""),1997.0)</f>
        <v>1997</v>
      </c>
      <c r="AT92" s="880"/>
      <c r="AU92" s="880" t="str">
        <f>IFERROR(__xludf.DUMMYFUNCTION("""COMPUTED_VALUE"""),"Yes")</f>
        <v>Yes</v>
      </c>
      <c r="AV92" s="880" t="str">
        <f>IFERROR(__xludf.DUMMYFUNCTION("""COMPUTED_VALUE"""),"No")</f>
        <v>No</v>
      </c>
      <c r="AW92" s="881" t="str">
        <f>IFERROR(__xludf.DUMMYFUNCTION("""COMPUTED_VALUE"""),"randomized trial (by school)")</f>
        <v>randomized trial (by school)</v>
      </c>
      <c r="AX92" s="863"/>
      <c r="AY92" s="863"/>
      <c r="AZ92" s="863"/>
      <c r="BA92" s="863"/>
      <c r="BB92" s="863"/>
      <c r="BC92" s="863"/>
      <c r="BD92" s="863"/>
      <c r="BE92" s="863"/>
      <c r="BF92" s="863"/>
      <c r="BG92" s="863">
        <f>IFERROR(__xludf.DUMMYFUNCTION("""COMPUTED_VALUE"""),0.606)</f>
        <v>0.606</v>
      </c>
      <c r="BH92" s="863">
        <f>IFERROR(__xludf.DUMMYFUNCTION("""COMPUTED_VALUE"""),0.934)</f>
        <v>0.934</v>
      </c>
      <c r="BI92" s="863"/>
      <c r="BJ92" s="863"/>
      <c r="BK92" s="863"/>
      <c r="BL92" s="863"/>
      <c r="BM92" s="863"/>
      <c r="BN92" s="863"/>
      <c r="BO92" s="863"/>
      <c r="BP92" s="880"/>
      <c r="BQ92" s="863"/>
      <c r="BR92" s="889" t="str">
        <f>IFERROR(__xludf.DUMMYFUNCTION("""COMPUTED_VALUE"""),"Fox et al.")</f>
        <v>Fox et al.</v>
      </c>
      <c r="BS92" s="883" t="str">
        <f>IFERROR(__xludf.DUMMYFUNCTION("""COMPUTED_VALUE"""),"Haiti")</f>
        <v>Haiti</v>
      </c>
      <c r="BT92" s="883" t="str">
        <f>IFERROR(__xludf.DUMMYFUNCTION("""COMPUTED_VALUE"""),"Albendazole &amp; Diethylcarbamazine")</f>
        <v>Albendazole &amp; Diethylcarbamazine</v>
      </c>
      <c r="BU92" s="883"/>
      <c r="BV92" s="883" t="str">
        <f>IFERROR(__xludf.DUMMYFUNCTION("""COMPUTED_VALUE"""),"Single")</f>
        <v>Single</v>
      </c>
      <c r="BW92" s="883" t="str">
        <f>IFERROR(__xludf.DUMMYFUNCTION("""COMPUTED_VALUE"""),"400 mg; 6 mg")</f>
        <v>400 mg; 6 mg</v>
      </c>
      <c r="BX92" s="883" t="str">
        <f>IFERROR(__xludf.DUMMYFUNCTION("""COMPUTED_VALUE"""),"107/310")</f>
        <v>107/310</v>
      </c>
      <c r="BY92" s="890">
        <f>IFERROR(__xludf.DUMMYFUNCTION("""COMPUTED_VALUE"""),42501.0)</f>
        <v>42501</v>
      </c>
      <c r="BZ92" s="883">
        <f>IFERROR(__xludf.DUMMYFUNCTION("""COMPUTED_VALUE"""),1998.0)</f>
        <v>1998</v>
      </c>
      <c r="CA92" s="883"/>
      <c r="CB92" s="883"/>
      <c r="CC92" s="883" t="str">
        <f>IFERROR(__xludf.DUMMYFUNCTION("""COMPUTED_VALUE"""),"Yes")</f>
        <v>Yes</v>
      </c>
      <c r="CD92" s="884">
        <f>IFERROR(__xludf.DUMMYFUNCTION("""COMPUTED_VALUE"""),0.933)</f>
        <v>0.933</v>
      </c>
      <c r="CE92" s="883" t="str">
        <f>IFERROR(__xludf.DUMMYFUNCTION("""COMPUTED_VALUE"""),"Yes")</f>
        <v>Yes</v>
      </c>
      <c r="CF92" s="883"/>
      <c r="CG92" s="883"/>
      <c r="CH92" s="883"/>
      <c r="CI92" s="883"/>
      <c r="CJ92" s="883"/>
      <c r="CK92" s="883"/>
      <c r="CL92" s="883"/>
      <c r="CM92" s="884">
        <f>IFERROR(__xludf.DUMMYFUNCTION("""COMPUTED_VALUE"""),0.93)</f>
        <v>0.93</v>
      </c>
      <c r="CN92" s="883"/>
      <c r="CO92" s="883"/>
      <c r="CP92" s="883"/>
      <c r="CQ92" s="883"/>
      <c r="CR92" s="883"/>
      <c r="CS92" s="883"/>
      <c r="CT92" s="883"/>
      <c r="CU92" s="883"/>
      <c r="CV92" s="863"/>
      <c r="CW92" s="863"/>
      <c r="CX92" s="863"/>
      <c r="CY92" s="863"/>
      <c r="CZ92" s="863"/>
      <c r="DA92" s="863"/>
      <c r="DB92" s="863"/>
      <c r="DC92" s="863"/>
      <c r="DD92" s="863"/>
      <c r="DE92" s="863"/>
    </row>
    <row r="93">
      <c r="A93" s="887" t="str">
        <f>IFERROR(__xludf.DUMMYFUNCTION("""COMPUTED_VALUE"""),"Pugh et al.")</f>
        <v>Pugh et al.</v>
      </c>
      <c r="B93" s="876" t="str">
        <f>IFERROR(__xludf.DUMMYFUNCTION("""COMPUTED_VALUE"""),"Malawi")</f>
        <v>Malawi</v>
      </c>
      <c r="C93" s="876" t="str">
        <f>IFERROR(__xludf.DUMMYFUNCTION("""COMPUTED_VALUE"""),"Albendazole")</f>
        <v>Albendazole</v>
      </c>
      <c r="D93" s="876" t="str">
        <f>IFERROR(__xludf.DUMMYFUNCTION("""COMPUTED_VALUE"""),"Single")</f>
        <v>Single</v>
      </c>
      <c r="E93" s="876" t="str">
        <f>IFERROR(__xludf.DUMMYFUNCTION("""COMPUTED_VALUE"""),"200 mg")</f>
        <v>200 mg</v>
      </c>
      <c r="F93" s="876">
        <f>IFERROR(__xludf.DUMMYFUNCTION("""COMPUTED_VALUE"""),25.0)</f>
        <v>25</v>
      </c>
      <c r="G93" s="876">
        <f>IFERROR(__xludf.DUMMYFUNCTION("""COMPUTED_VALUE"""),12.6)</f>
        <v>12.6</v>
      </c>
      <c r="H93" s="876"/>
      <c r="I93" s="876">
        <f>IFERROR(__xludf.DUMMYFUNCTION("""COMPUTED_VALUE"""),1986.0)</f>
        <v>1986</v>
      </c>
      <c r="J93" s="876"/>
      <c r="K93" s="876" t="str">
        <f>IFERROR(__xludf.DUMMYFUNCTION("""COMPUTED_VALUE"""),"Blind trial randomized")</f>
        <v>Blind trial randomized</v>
      </c>
      <c r="L93" s="876" t="str">
        <f>IFERROR(__xludf.DUMMYFUNCTION("""COMPUTED_VALUE"""),"Yes")</f>
        <v>Yes</v>
      </c>
      <c r="M93" s="876" t="str">
        <f>IFERROR(__xludf.DUMMYFUNCTION("""COMPUTED_VALUE"""),"Yes")</f>
        <v>Yes</v>
      </c>
      <c r="N93" s="877">
        <f>IFERROR(__xludf.DUMMYFUNCTION("""COMPUTED_VALUE"""),0.891)</f>
        <v>0.891</v>
      </c>
      <c r="O93" s="876"/>
      <c r="P93" s="876"/>
      <c r="Q93" s="876"/>
      <c r="R93" s="876"/>
      <c r="S93" s="876"/>
      <c r="T93" s="876"/>
      <c r="U93" s="876"/>
      <c r="V93" s="876"/>
      <c r="W93" s="876">
        <f>IFERROR(__xludf.DUMMYFUNCTION("""COMPUTED_VALUE"""),0.891)</f>
        <v>0.891</v>
      </c>
      <c r="X93" s="876"/>
      <c r="Y93" s="876"/>
      <c r="Z93" s="876"/>
      <c r="AA93" s="876"/>
      <c r="AB93" s="876"/>
      <c r="AC93" s="876"/>
      <c r="AD93" s="876"/>
      <c r="AE93" s="876" t="str">
        <f>IFERROR(__xludf.DUMMYFUNCTION("""COMPUTED_VALUE"""),"We conclude that AlbendazoleIs hlghly recommended for the convenient treatment of intestinal helminth infections, particularly those that include hookworm.")</f>
        <v>We conclude that AlbendazoleIs hlghly recommended for the convenient treatment of intestinal helminth infections, particularly those that include hookworm.</v>
      </c>
      <c r="AF93" s="876" t="str">
        <f>IFERROR(__xludf.DUMMYFUNCTION("""COMPUTED_VALUE"""),"Kato-Katz Method")</f>
        <v>Kato-Katz Method</v>
      </c>
      <c r="AG93" s="876" t="str">
        <f>IFERROR(__xludf.DUMMYFUNCTION("""COMPUTED_VALUE"""),"Pugh RN, Teesdale CH, &amp; Burnham GM. “Albendazolein children with hookworm infection”. Anna Trop Med Parasitol (1986): 565-567. Web.")</f>
        <v>Pugh RN, Teesdale CH, &amp; Burnham GM. “Albendazolein children with hookworm infection”. Anna Trop Med Parasitol (1986): 565-567. Web.</v>
      </c>
      <c r="AH93" s="876"/>
      <c r="AI93" s="878"/>
      <c r="AJ93" s="888" t="str">
        <f>IFERROR(__xludf.DUMMYFUNCTION("""COMPUTED_VALUE"""),"Muchiri et al.")</f>
        <v>Muchiri et al.</v>
      </c>
      <c r="AK93" s="880"/>
      <c r="AL93" s="880" t="str">
        <f>IFERROR(__xludf.DUMMYFUNCTION("""COMPUTED_VALUE"""),"Kenya")</f>
        <v>Kenya</v>
      </c>
      <c r="AM93" s="880" t="str">
        <f>IFERROR(__xludf.DUMMYFUNCTION("""COMPUTED_VALUE"""),"Mebendazole")</f>
        <v>Mebendazole</v>
      </c>
      <c r="AN93" s="880" t="str">
        <f>IFERROR(__xludf.DUMMYFUNCTION("""COMPUTED_VALUE"""),"Single")</f>
        <v>Single</v>
      </c>
      <c r="AO93" s="880" t="str">
        <f>IFERROR(__xludf.DUMMYFUNCTION("""COMPUTED_VALUE"""),"600 mg")</f>
        <v>600 mg</v>
      </c>
      <c r="AP93" s="880" t="str">
        <f>IFERROR(__xludf.DUMMYFUNCTION("""COMPUTED_VALUE"""),"155/397")</f>
        <v>155/397</v>
      </c>
      <c r="AQ93" s="880" t="str">
        <f>IFERROR(__xludf.DUMMYFUNCTION("""COMPUTED_VALUE"""),"4-19 years old")</f>
        <v>4-19 years old</v>
      </c>
      <c r="AR93" s="880" t="str">
        <f>IFERROR(__xludf.DUMMYFUNCTION("""COMPUTED_VALUE"""),"201 female; 196 male")</f>
        <v>201 female; 196 male</v>
      </c>
      <c r="AS93" s="880">
        <f>IFERROR(__xludf.DUMMYFUNCTION("""COMPUTED_VALUE"""),1997.0)</f>
        <v>1997</v>
      </c>
      <c r="AT93" s="880"/>
      <c r="AU93" s="880" t="str">
        <f>IFERROR(__xludf.DUMMYFUNCTION("""COMPUTED_VALUE"""),"Yes")</f>
        <v>Yes</v>
      </c>
      <c r="AV93" s="880" t="str">
        <f>IFERROR(__xludf.DUMMYFUNCTION("""COMPUTED_VALUE"""),"No")</f>
        <v>No</v>
      </c>
      <c r="AW93" s="881" t="str">
        <f>IFERROR(__xludf.DUMMYFUNCTION("""COMPUTED_VALUE"""),"randomized trial (by school)")</f>
        <v>randomized trial (by school)</v>
      </c>
      <c r="AX93" s="863"/>
      <c r="AY93" s="863"/>
      <c r="AZ93" s="863"/>
      <c r="BA93" s="863"/>
      <c r="BB93" s="863"/>
      <c r="BC93" s="863"/>
      <c r="BD93" s="863"/>
      <c r="BE93" s="863"/>
      <c r="BF93" s="863"/>
      <c r="BG93" s="863">
        <f>IFERROR(__xludf.DUMMYFUNCTION("""COMPUTED_VALUE"""),0.683)</f>
        <v>0.683</v>
      </c>
      <c r="BH93" s="863">
        <f>IFERROR(__xludf.DUMMYFUNCTION("""COMPUTED_VALUE"""),0.94)</f>
        <v>0.94</v>
      </c>
      <c r="BI93" s="863"/>
      <c r="BJ93" s="863"/>
      <c r="BK93" s="863"/>
      <c r="BL93" s="863"/>
      <c r="BM93" s="863"/>
      <c r="BN93" s="863"/>
      <c r="BO93" s="863"/>
      <c r="BP93" s="880"/>
      <c r="BQ93" s="863"/>
      <c r="BR93" s="889" t="str">
        <f>IFERROR(__xludf.DUMMYFUNCTION("""COMPUTED_VALUE"""),"Belew et al.")</f>
        <v>Belew et al.</v>
      </c>
      <c r="BS93" s="883" t="str">
        <f>IFERROR(__xludf.DUMMYFUNCTION("""COMPUTED_VALUE"""),"Ethiopia")</f>
        <v>Ethiopia</v>
      </c>
      <c r="BT93" s="883" t="str">
        <f>IFERROR(__xludf.DUMMYFUNCTION("""COMPUTED_VALUE"""),"Albendazole")</f>
        <v>Albendazole</v>
      </c>
      <c r="BU93" s="883"/>
      <c r="BV93" s="883" t="str">
        <f>IFERROR(__xludf.DUMMYFUNCTION("""COMPUTED_VALUE"""),"Single")</f>
        <v>Single</v>
      </c>
      <c r="BW93" s="883" t="str">
        <f>IFERROR(__xludf.DUMMYFUNCTION("""COMPUTED_VALUE"""),"400 mg")</f>
        <v>400 mg</v>
      </c>
      <c r="BX93" s="883">
        <f>IFERROR(__xludf.DUMMYFUNCTION("""COMPUTED_VALUE"""),106.0)</f>
        <v>106</v>
      </c>
      <c r="BY93" s="890">
        <f>IFERROR(__xludf.DUMMYFUNCTION("""COMPUTED_VALUE"""),42508.0)</f>
        <v>42508</v>
      </c>
      <c r="BZ93" s="883"/>
      <c r="CA93" s="883"/>
      <c r="CB93" s="883"/>
      <c r="CC93" s="883" t="str">
        <f>IFERROR(__xludf.DUMMYFUNCTION("""COMPUTED_VALUE"""),"Yes")</f>
        <v>Yes</v>
      </c>
      <c r="CD93" s="884"/>
      <c r="CE93" s="883" t="str">
        <f>IFERROR(__xludf.DUMMYFUNCTION("""COMPUTED_VALUE"""),"Yes")</f>
        <v>Yes</v>
      </c>
      <c r="CF93" s="883"/>
      <c r="CG93" s="883"/>
      <c r="CH93" s="883"/>
      <c r="CI93" s="883"/>
      <c r="CJ93" s="883"/>
      <c r="CK93" s="883"/>
      <c r="CL93" s="883"/>
      <c r="CM93" s="883" t="str">
        <f>IFERROR(__xludf.DUMMYFUNCTION("""COMPUTED_VALUE"""),"98.7% (2 weeks)")</f>
        <v>98.7% (2 weeks)</v>
      </c>
      <c r="CN93" s="883"/>
      <c r="CO93" s="883"/>
      <c r="CP93" s="883"/>
      <c r="CQ93" s="883"/>
      <c r="CR93" s="883"/>
      <c r="CS93" s="883"/>
      <c r="CT93" s="883" t="str">
        <f>IFERROR(__xludf.DUMMYFUNCTION("""COMPUTED_VALUE"""),"McMaster Method")</f>
        <v>McMaster Method</v>
      </c>
      <c r="CU93" s="883"/>
      <c r="CV93" s="863"/>
      <c r="CW93" s="863"/>
      <c r="CX93" s="863"/>
      <c r="CY93" s="863"/>
      <c r="CZ93" s="863"/>
      <c r="DA93" s="863"/>
      <c r="DB93" s="863"/>
      <c r="DC93" s="863"/>
      <c r="DD93" s="863"/>
      <c r="DE93" s="863"/>
    </row>
    <row r="94">
      <c r="A94" s="887" t="str">
        <f>IFERROR(__xludf.DUMMYFUNCTION("""COMPUTED_VALUE"""),"Pugh et al.")</f>
        <v>Pugh et al.</v>
      </c>
      <c r="B94" s="876" t="str">
        <f>IFERROR(__xludf.DUMMYFUNCTION("""COMPUTED_VALUE"""),"Malawi")</f>
        <v>Malawi</v>
      </c>
      <c r="C94" s="876" t="str">
        <f>IFERROR(__xludf.DUMMYFUNCTION("""COMPUTED_VALUE"""),"Albendazole")</f>
        <v>Albendazole</v>
      </c>
      <c r="D94" s="876" t="str">
        <f>IFERROR(__xludf.DUMMYFUNCTION("""COMPUTED_VALUE"""),"Single")</f>
        <v>Single</v>
      </c>
      <c r="E94" s="876" t="str">
        <f>IFERROR(__xludf.DUMMYFUNCTION("""COMPUTED_VALUE"""),"400 mg")</f>
        <v>400 mg</v>
      </c>
      <c r="F94" s="876">
        <f>IFERROR(__xludf.DUMMYFUNCTION("""COMPUTED_VALUE"""),26.0)</f>
        <v>26</v>
      </c>
      <c r="G94" s="876">
        <f>IFERROR(__xludf.DUMMYFUNCTION("""COMPUTED_VALUE"""),12.4)</f>
        <v>12.4</v>
      </c>
      <c r="H94" s="876"/>
      <c r="I94" s="876">
        <f>IFERROR(__xludf.DUMMYFUNCTION("""COMPUTED_VALUE"""),1986.0)</f>
        <v>1986</v>
      </c>
      <c r="J94" s="876"/>
      <c r="K94" s="876" t="str">
        <f>IFERROR(__xludf.DUMMYFUNCTION("""COMPUTED_VALUE"""),"open trial")</f>
        <v>open trial</v>
      </c>
      <c r="L94" s="876" t="str">
        <f>IFERROR(__xludf.DUMMYFUNCTION("""COMPUTED_VALUE"""),"No")</f>
        <v>No</v>
      </c>
      <c r="M94" s="876" t="str">
        <f>IFERROR(__xludf.DUMMYFUNCTION("""COMPUTED_VALUE"""),"No")</f>
        <v>No</v>
      </c>
      <c r="N94" s="877">
        <f>IFERROR(__xludf.DUMMYFUNCTION("""COMPUTED_VALUE"""),0.949)</f>
        <v>0.949</v>
      </c>
      <c r="O94" s="876"/>
      <c r="P94" s="876"/>
      <c r="Q94" s="876"/>
      <c r="R94" s="876"/>
      <c r="S94" s="876"/>
      <c r="T94" s="876"/>
      <c r="U94" s="876"/>
      <c r="V94" s="876"/>
      <c r="W94" s="876">
        <f>IFERROR(__xludf.DUMMYFUNCTION("""COMPUTED_VALUE"""),0.949)</f>
        <v>0.949</v>
      </c>
      <c r="X94" s="876"/>
      <c r="Y94" s="876"/>
      <c r="Z94" s="876"/>
      <c r="AA94" s="876"/>
      <c r="AB94" s="876"/>
      <c r="AC94" s="876"/>
      <c r="AD94" s="876"/>
      <c r="AE94" s="876" t="str">
        <f>IFERROR(__xludf.DUMMYFUNCTION("""COMPUTED_VALUE"""),"We conclude that AlbendazoleIs hlghly recommended for the convenient treatment of intestinal helminth infections, particularly those that include hookworm.")</f>
        <v>We conclude that AlbendazoleIs hlghly recommended for the convenient treatment of intestinal helminth infections, particularly those that include hookworm.</v>
      </c>
      <c r="AF94" s="876" t="str">
        <f>IFERROR(__xludf.DUMMYFUNCTION("""COMPUTED_VALUE"""),"Kato-Katz Method")</f>
        <v>Kato-Katz Method</v>
      </c>
      <c r="AG94" s="876" t="str">
        <f>IFERROR(__xludf.DUMMYFUNCTION("""COMPUTED_VALUE"""),"Pugh RN, Teesdale CH, &amp; Burnham GM. “Albendazolein children with hookworm infection”. Anna Trop Med Parasitol (1986): 565-567. Web.")</f>
        <v>Pugh RN, Teesdale CH, &amp; Burnham GM. “Albendazolein children with hookworm infection”. Anna Trop Med Parasitol (1986): 565-567. Web.</v>
      </c>
      <c r="AH94" s="876"/>
      <c r="AI94" s="878"/>
      <c r="AJ94" s="888" t="str">
        <f>IFERROR(__xludf.DUMMYFUNCTION("""COMPUTED_VALUE"""),"Wen et al. ")</f>
        <v>Wen et al. </v>
      </c>
      <c r="AK94" s="880" t="str">
        <f>IFERROR(__xludf.DUMMYFUNCTION("""COMPUTED_VALUE"""),"Wen, L., Yan, X., Sun, F., Fang, Y., Yang, M., Lou, L. “A randomized, double-blind, multicenter clinical trial on the efficacy of Ivermectinagainst intestinal nematode infections in China”. Acta Tropica 106 (2008): 190-194. Web.")</f>
        <v>Wen, L., Yan, X., Sun, F., Fang, Y., Yang, M., Lou, L. “A randomized, double-blind, multicenter clinical trial on the efficacy of Ivermectinagainst intestinal nematode infections in China”. Acta Tropica 106 (2008): 190-194. Web.</v>
      </c>
      <c r="AL94" s="880" t="str">
        <f>IFERROR(__xludf.DUMMYFUNCTION("""COMPUTED_VALUE"""),"China")</f>
        <v>China</v>
      </c>
      <c r="AM94" s="880" t="str">
        <f>IFERROR(__xludf.DUMMYFUNCTION("""COMPUTED_VALUE"""),"Ivermectin")</f>
        <v>Ivermectin</v>
      </c>
      <c r="AN94" s="880" t="str">
        <f>IFERROR(__xludf.DUMMYFUNCTION("""COMPUTED_VALUE"""),"Single")</f>
        <v>Single</v>
      </c>
      <c r="AO94" s="880" t="str">
        <f>IFERROR(__xludf.DUMMYFUNCTION("""COMPUTED_VALUE"""),"0.2 mg")</f>
        <v>0.2 mg</v>
      </c>
      <c r="AP94" s="880">
        <f>IFERROR(__xludf.DUMMYFUNCTION("""COMPUTED_VALUE"""),102.0)</f>
        <v>102</v>
      </c>
      <c r="AQ94" s="880" t="str">
        <f>IFERROR(__xludf.DUMMYFUNCTION("""COMPUTED_VALUE"""),"8-70 years old")</f>
        <v>8-70 years old</v>
      </c>
      <c r="AR94" s="880" t="str">
        <f>IFERROR(__xludf.DUMMYFUNCTION("""COMPUTED_VALUE"""),"43 male; 59 female")</f>
        <v>43 male; 59 female</v>
      </c>
      <c r="AS94" s="880">
        <f>IFERROR(__xludf.DUMMYFUNCTION("""COMPUTED_VALUE"""),2006.0)</f>
        <v>2006</v>
      </c>
      <c r="AT94" s="880" t="str">
        <f>IFERROR(__xludf.DUMMYFUNCTION("""COMPUTED_VALUE"""),"Excluded from the study were those with other diseases such as hepatic, renal, cardiovascular diseases, and pregnant or lactating women")</f>
        <v>Excluded from the study were those with other diseases such as hepatic, renal, cardiovascular diseases, and pregnant or lactating women</v>
      </c>
      <c r="AU94" s="880" t="str">
        <f>IFERROR(__xludf.DUMMYFUNCTION("""COMPUTED_VALUE"""),"Yes")</f>
        <v>Yes</v>
      </c>
      <c r="AV94" s="880" t="str">
        <f>IFERROR(__xludf.DUMMYFUNCTION("""COMPUTED_VALUE"""),"Yes")</f>
        <v>Yes</v>
      </c>
      <c r="AW94" s="881" t="str">
        <f>IFERROR(__xludf.DUMMYFUNCTION("""COMPUTED_VALUE"""),"A randomized, double bind, multicenter clinical trial")</f>
        <v>A randomized, double bind, multicenter clinical trial</v>
      </c>
      <c r="AX94" s="863">
        <f>IFERROR(__xludf.DUMMYFUNCTION("""COMPUTED_VALUE"""),0.667)</f>
        <v>0.667</v>
      </c>
      <c r="AY94" s="863"/>
      <c r="AZ94" s="863"/>
      <c r="BA94" s="863">
        <f>IFERROR(__xludf.DUMMYFUNCTION("""COMPUTED_VALUE"""),0.667)</f>
        <v>0.667</v>
      </c>
      <c r="BB94" s="863"/>
      <c r="BC94" s="863"/>
      <c r="BD94" s="863"/>
      <c r="BE94" s="863"/>
      <c r="BF94" s="863"/>
      <c r="BG94" s="863"/>
      <c r="BH94" s="863">
        <f>IFERROR(__xludf.DUMMYFUNCTION("""COMPUTED_VALUE"""),0.8)</f>
        <v>0.8</v>
      </c>
      <c r="BI94" s="863"/>
      <c r="BJ94" s="863"/>
      <c r="BK94" s="863"/>
      <c r="BL94" s="863"/>
      <c r="BM94" s="863"/>
      <c r="BN94" s="863"/>
      <c r="BO94" s="863" t="str">
        <f>IFERROR(__xludf.DUMMYFUNCTION("""COMPUTED_VALUE"""),"Kato-Katz Method")</f>
        <v>Kato-Katz Method</v>
      </c>
      <c r="BP94" s="880"/>
      <c r="BQ94" s="863"/>
      <c r="BR94" s="889" t="str">
        <f>IFERROR(__xludf.DUMMYFUNCTION("""COMPUTED_VALUE"""),"Belew et al.")</f>
        <v>Belew et al.</v>
      </c>
      <c r="BS94" s="883" t="str">
        <f>IFERROR(__xludf.DUMMYFUNCTION("""COMPUTED_VALUE"""),"Ethiopia")</f>
        <v>Ethiopia</v>
      </c>
      <c r="BT94" s="883" t="str">
        <f>IFERROR(__xludf.DUMMYFUNCTION("""COMPUTED_VALUE"""),"Albendazole")</f>
        <v>Albendazole</v>
      </c>
      <c r="BU94" s="883"/>
      <c r="BV94" s="883" t="str">
        <f>IFERROR(__xludf.DUMMYFUNCTION("""COMPUTED_VALUE"""),"Single")</f>
        <v>Single</v>
      </c>
      <c r="BW94" s="883" t="str">
        <f>IFERROR(__xludf.DUMMYFUNCTION("""COMPUTED_VALUE"""),"400 mg")</f>
        <v>400 mg</v>
      </c>
      <c r="BX94" s="883">
        <f>IFERROR(__xludf.DUMMYFUNCTION("""COMPUTED_VALUE"""),101.0)</f>
        <v>101</v>
      </c>
      <c r="BY94" s="890">
        <f>IFERROR(__xludf.DUMMYFUNCTION("""COMPUTED_VALUE"""),42508.0)</f>
        <v>42508</v>
      </c>
      <c r="BZ94" s="883"/>
      <c r="CA94" s="883"/>
      <c r="CB94" s="883"/>
      <c r="CC94" s="883" t="str">
        <f>IFERROR(__xludf.DUMMYFUNCTION("""COMPUTED_VALUE"""),"Yes")</f>
        <v>Yes</v>
      </c>
      <c r="CD94" s="884"/>
      <c r="CE94" s="883" t="str">
        <f>IFERROR(__xludf.DUMMYFUNCTION("""COMPUTED_VALUE"""),"Yes")</f>
        <v>Yes</v>
      </c>
      <c r="CF94" s="883"/>
      <c r="CG94" s="883"/>
      <c r="CH94" s="883"/>
      <c r="CI94" s="883"/>
      <c r="CJ94" s="883"/>
      <c r="CK94" s="883"/>
      <c r="CL94" s="883"/>
      <c r="CM94" s="883" t="str">
        <f>IFERROR(__xludf.DUMMYFUNCTION("""COMPUTED_VALUE"""),"97.8% (2 weeks)")</f>
        <v>97.8% (2 weeks)</v>
      </c>
      <c r="CN94" s="883"/>
      <c r="CO94" s="883"/>
      <c r="CP94" s="883"/>
      <c r="CQ94" s="883"/>
      <c r="CR94" s="883"/>
      <c r="CS94" s="883"/>
      <c r="CT94" s="883"/>
      <c r="CU94" s="883"/>
      <c r="CV94" s="863"/>
      <c r="CW94" s="863"/>
      <c r="CX94" s="863"/>
      <c r="CY94" s="863"/>
      <c r="CZ94" s="863"/>
      <c r="DA94" s="863"/>
      <c r="DB94" s="863"/>
      <c r="DC94" s="863"/>
      <c r="DD94" s="863"/>
      <c r="DE94" s="863"/>
    </row>
    <row r="95">
      <c r="A95" s="887" t="str">
        <f>IFERROR(__xludf.DUMMYFUNCTION("""COMPUTED_VALUE"""),"Pugh et al.")</f>
        <v>Pugh et al.</v>
      </c>
      <c r="B95" s="876" t="str">
        <f>IFERROR(__xludf.DUMMYFUNCTION("""COMPUTED_VALUE"""),"Malawi")</f>
        <v>Malawi</v>
      </c>
      <c r="C95" s="876" t="str">
        <f>IFERROR(__xludf.DUMMYFUNCTION("""COMPUTED_VALUE"""),"Levamisole")</f>
        <v>Levamisole</v>
      </c>
      <c r="D95" s="876" t="str">
        <f>IFERROR(__xludf.DUMMYFUNCTION("""COMPUTED_VALUE"""),"Single")</f>
        <v>Single</v>
      </c>
      <c r="E95" s="876" t="str">
        <f>IFERROR(__xludf.DUMMYFUNCTION("""COMPUTED_VALUE"""),"80 mg (or 120 if older than 16 years old)")</f>
        <v>80 mg (or 120 if older than 16 years old)</v>
      </c>
      <c r="F95" s="876">
        <f>IFERROR(__xludf.DUMMYFUNCTION("""COMPUTED_VALUE"""),30.0)</f>
        <v>30</v>
      </c>
      <c r="G95" s="876">
        <f>IFERROR(__xludf.DUMMYFUNCTION("""COMPUTED_VALUE"""),13.7)</f>
        <v>13.7</v>
      </c>
      <c r="H95" s="876"/>
      <c r="I95" s="876">
        <f>IFERROR(__xludf.DUMMYFUNCTION("""COMPUTED_VALUE"""),1986.0)</f>
        <v>1986</v>
      </c>
      <c r="J95" s="876"/>
      <c r="K95" s="876" t="str">
        <f>IFERROR(__xludf.DUMMYFUNCTION("""COMPUTED_VALUE"""),"Blind trial randomized")</f>
        <v>Blind trial randomized</v>
      </c>
      <c r="L95" s="876" t="str">
        <f>IFERROR(__xludf.DUMMYFUNCTION("""COMPUTED_VALUE"""),"Yes")</f>
        <v>Yes</v>
      </c>
      <c r="M95" s="876" t="str">
        <f>IFERROR(__xludf.DUMMYFUNCTION("""COMPUTED_VALUE"""),"Yes")</f>
        <v>Yes</v>
      </c>
      <c r="N95" s="877">
        <f>IFERROR(__xludf.DUMMYFUNCTION("""COMPUTED_VALUE"""),0.639)</f>
        <v>0.639</v>
      </c>
      <c r="O95" s="876"/>
      <c r="P95" s="876"/>
      <c r="Q95" s="876"/>
      <c r="R95" s="876"/>
      <c r="S95" s="876"/>
      <c r="T95" s="876"/>
      <c r="U95" s="876"/>
      <c r="V95" s="876"/>
      <c r="W95" s="876">
        <f>IFERROR(__xludf.DUMMYFUNCTION("""COMPUTED_VALUE"""),0.639)</f>
        <v>0.639</v>
      </c>
      <c r="X95" s="876"/>
      <c r="Y95" s="876"/>
      <c r="Z95" s="876"/>
      <c r="AA95" s="876"/>
      <c r="AB95" s="876"/>
      <c r="AC95" s="876"/>
      <c r="AD95" s="876"/>
      <c r="AE95" s="876" t="str">
        <f>IFERROR(__xludf.DUMMYFUNCTION("""COMPUTED_VALUE"""),"We conclude that AlbendazoleIs hlghly recommended for the convenient treatment of intestinal helminth infections, particularly those that include hookworm.")</f>
        <v>We conclude that AlbendazoleIs hlghly recommended for the convenient treatment of intestinal helminth infections, particularly those that include hookworm.</v>
      </c>
      <c r="AF95" s="876" t="str">
        <f>IFERROR(__xludf.DUMMYFUNCTION("""COMPUTED_VALUE"""),"Kato-Katz Method")</f>
        <v>Kato-Katz Method</v>
      </c>
      <c r="AG95" s="876" t="str">
        <f>IFERROR(__xludf.DUMMYFUNCTION("""COMPUTED_VALUE"""),"Pugh RN, Teesdale CH, &amp; Burnham GM. “Albendazolein children with hookworm infection”. Anna Trop Med Parasitol (1986): 565-567. Web.")</f>
        <v>Pugh RN, Teesdale CH, &amp; Burnham GM. “Albendazolein children with hookworm infection”. Anna Trop Med Parasitol (1986): 565-567. Web.</v>
      </c>
      <c r="AH95" s="876"/>
      <c r="AI95" s="878"/>
      <c r="AJ95" s="888" t="str">
        <f>IFERROR(__xludf.DUMMYFUNCTION("""COMPUTED_VALUE"""),"Wen et al. ")</f>
        <v>Wen et al. </v>
      </c>
      <c r="AK95" s="880"/>
      <c r="AL95" s="880" t="str">
        <f>IFERROR(__xludf.DUMMYFUNCTION("""COMPUTED_VALUE"""),"China")</f>
        <v>China</v>
      </c>
      <c r="AM95" s="880" t="str">
        <f>IFERROR(__xludf.DUMMYFUNCTION("""COMPUTED_VALUE"""),"Albendazole")</f>
        <v>Albendazole</v>
      </c>
      <c r="AN95" s="880" t="str">
        <f>IFERROR(__xludf.DUMMYFUNCTION("""COMPUTED_VALUE"""),"Single")</f>
        <v>Single</v>
      </c>
      <c r="AO95" s="880" t="str">
        <f>IFERROR(__xludf.DUMMYFUNCTION("""COMPUTED_VALUE"""),"6.7 mg")</f>
        <v>6.7 mg</v>
      </c>
      <c r="AP95" s="880">
        <f>IFERROR(__xludf.DUMMYFUNCTION("""COMPUTED_VALUE"""),102.0)</f>
        <v>102</v>
      </c>
      <c r="AQ95" s="880" t="str">
        <f>IFERROR(__xludf.DUMMYFUNCTION("""COMPUTED_VALUE"""),"8-70 years old")</f>
        <v>8-70 years old</v>
      </c>
      <c r="AR95" s="880" t="str">
        <f>IFERROR(__xludf.DUMMYFUNCTION("""COMPUTED_VALUE"""),"48 male; 54 female")</f>
        <v>48 male; 54 female</v>
      </c>
      <c r="AS95" s="880">
        <f>IFERROR(__xludf.DUMMYFUNCTION("""COMPUTED_VALUE"""),2006.0)</f>
        <v>2006</v>
      </c>
      <c r="AT95" s="880" t="str">
        <f>IFERROR(__xludf.DUMMYFUNCTION("""COMPUTED_VALUE"""),"Excluded from the study were those with other diseases such as hepatic, renal, cardiovascular diseases, and pregnant or lactating women")</f>
        <v>Excluded from the study were those with other diseases such as hepatic, renal, cardiovascular diseases, and pregnant or lactating women</v>
      </c>
      <c r="AU95" s="880" t="str">
        <f>IFERROR(__xludf.DUMMYFUNCTION("""COMPUTED_VALUE"""),"Yes")</f>
        <v>Yes</v>
      </c>
      <c r="AV95" s="880" t="str">
        <f>IFERROR(__xludf.DUMMYFUNCTION("""COMPUTED_VALUE"""),"Yes")</f>
        <v>Yes</v>
      </c>
      <c r="AW95" s="881" t="str">
        <f>IFERROR(__xludf.DUMMYFUNCTION("""COMPUTED_VALUE"""),"A randomized, double bind, multicenter clinical trial")</f>
        <v>A randomized, double bind, multicenter clinical trial</v>
      </c>
      <c r="AX95" s="863">
        <f>IFERROR(__xludf.DUMMYFUNCTION("""COMPUTED_VALUE"""),0.677)</f>
        <v>0.677</v>
      </c>
      <c r="AY95" s="863"/>
      <c r="AZ95" s="863"/>
      <c r="BA95" s="863">
        <f>IFERROR(__xludf.DUMMYFUNCTION("""COMPUTED_VALUE"""),0.677)</f>
        <v>0.677</v>
      </c>
      <c r="BB95" s="863"/>
      <c r="BC95" s="863"/>
      <c r="BD95" s="863"/>
      <c r="BE95" s="863"/>
      <c r="BF95" s="863"/>
      <c r="BG95" s="863"/>
      <c r="BH95" s="863">
        <f>IFERROR(__xludf.DUMMYFUNCTION("""COMPUTED_VALUE"""),0.9)</f>
        <v>0.9</v>
      </c>
      <c r="BI95" s="863"/>
      <c r="BJ95" s="863"/>
      <c r="BK95" s="863"/>
      <c r="BL95" s="863"/>
      <c r="BM95" s="863"/>
      <c r="BN95" s="863"/>
      <c r="BO95" s="863"/>
      <c r="BP95" s="880"/>
      <c r="BQ95" s="863"/>
      <c r="BR95" s="889" t="str">
        <f>IFERROR(__xludf.DUMMYFUNCTION("""COMPUTED_VALUE"""),"Rafi et al.")</f>
        <v>Rafi et al.</v>
      </c>
      <c r="BS95" s="883" t="str">
        <f>IFERROR(__xludf.DUMMYFUNCTION("""COMPUTED_VALUE"""),"Pakistan")</f>
        <v>Pakistan</v>
      </c>
      <c r="BT95" s="883" t="str">
        <f>IFERROR(__xludf.DUMMYFUNCTION("""COMPUTED_VALUE"""),"Mebendazole")</f>
        <v>Mebendazole</v>
      </c>
      <c r="BU95" s="883"/>
      <c r="BV95" s="883" t="str">
        <f>IFERROR(__xludf.DUMMYFUNCTION("""COMPUTED_VALUE"""),"Two")</f>
        <v>Two</v>
      </c>
      <c r="BW95" s="883" t="str">
        <f>IFERROR(__xludf.DUMMYFUNCTION("""COMPUTED_VALUE"""),"100 mg")</f>
        <v>100 mg</v>
      </c>
      <c r="BX95" s="883">
        <f>IFERROR(__xludf.DUMMYFUNCTION("""COMPUTED_VALUE"""),50.0)</f>
        <v>50</v>
      </c>
      <c r="BY95" s="890">
        <f>IFERROR(__xludf.DUMMYFUNCTION("""COMPUTED_VALUE"""),42416.0)</f>
        <v>42416</v>
      </c>
      <c r="BZ95" s="883">
        <f>IFERROR(__xludf.DUMMYFUNCTION("""COMPUTED_VALUE"""),1994.0)</f>
        <v>1994</v>
      </c>
      <c r="CA95" s="883" t="str">
        <f>IFERROR(__xludf.DUMMYFUNCTION("""COMPUTED_VALUE"""),"Females: 13 Males: 37")</f>
        <v>Females: 13 Males: 37</v>
      </c>
      <c r="CB95" s="883"/>
      <c r="CC95" s="883" t="str">
        <f>IFERROR(__xludf.DUMMYFUNCTION("""COMPUTED_VALUE"""),"No")</f>
        <v>No</v>
      </c>
      <c r="CD95" s="884">
        <f>IFERROR(__xludf.DUMMYFUNCTION("""COMPUTED_VALUE"""),1.0)</f>
        <v>1</v>
      </c>
      <c r="CE95" s="883" t="str">
        <f>IFERROR(__xludf.DUMMYFUNCTION("""COMPUTED_VALUE"""),"No")</f>
        <v>No</v>
      </c>
      <c r="CF95" s="883"/>
      <c r="CG95" s="883" t="str">
        <f>IFERROR(__xludf.DUMMYFUNCTION("""COMPUTED_VALUE"""),"100% (15 days)")</f>
        <v>100% (15 days)</v>
      </c>
      <c r="CH95" s="883"/>
      <c r="CI95" s="883"/>
      <c r="CJ95" s="883"/>
      <c r="CK95" s="883"/>
      <c r="CL95" s="883"/>
      <c r="CM95" s="883"/>
      <c r="CN95" s="883"/>
      <c r="CO95" s="883"/>
      <c r="CP95" s="883"/>
      <c r="CQ95" s="883"/>
      <c r="CR95" s="883"/>
      <c r="CS95" s="883"/>
      <c r="CT95" s="883"/>
      <c r="CU95" s="883"/>
      <c r="CV95" s="863"/>
      <c r="CW95" s="863"/>
      <c r="CX95" s="863"/>
      <c r="CY95" s="863"/>
      <c r="CZ95" s="863"/>
      <c r="DA95" s="863"/>
      <c r="DB95" s="863"/>
      <c r="DC95" s="863"/>
      <c r="DD95" s="863"/>
      <c r="DE95" s="863"/>
    </row>
    <row r="96">
      <c r="A96" s="887" t="str">
        <f>IFERROR(__xludf.DUMMYFUNCTION("""COMPUTED_VALUE"""),"Pugh et al.")</f>
        <v>Pugh et al.</v>
      </c>
      <c r="B96" s="876" t="str">
        <f>IFERROR(__xludf.DUMMYFUNCTION("""COMPUTED_VALUE"""),"Malawi")</f>
        <v>Malawi</v>
      </c>
      <c r="C96" s="876" t="str">
        <f>IFERROR(__xludf.DUMMYFUNCTION("""COMPUTED_VALUE"""),"Albendazole")</f>
        <v>Albendazole</v>
      </c>
      <c r="D96" s="876" t="str">
        <f>IFERROR(__xludf.DUMMYFUNCTION("""COMPUTED_VALUE"""),"Single")</f>
        <v>Single</v>
      </c>
      <c r="E96" s="876" t="str">
        <f>IFERROR(__xludf.DUMMYFUNCTION("""COMPUTED_VALUE"""),"400 mg")</f>
        <v>400 mg</v>
      </c>
      <c r="F96" s="876">
        <f>IFERROR(__xludf.DUMMYFUNCTION("""COMPUTED_VALUE"""),15.0)</f>
        <v>15</v>
      </c>
      <c r="G96" s="876">
        <f>IFERROR(__xludf.DUMMYFUNCTION("""COMPUTED_VALUE"""),11.8)</f>
        <v>11.8</v>
      </c>
      <c r="H96" s="876"/>
      <c r="I96" s="876">
        <f>IFERROR(__xludf.DUMMYFUNCTION("""COMPUTED_VALUE"""),1986.0)</f>
        <v>1986</v>
      </c>
      <c r="J96" s="876"/>
      <c r="K96" s="876" t="str">
        <f>IFERROR(__xludf.DUMMYFUNCTION("""COMPUTED_VALUE"""),"Blind trial randomized")</f>
        <v>Blind trial randomized</v>
      </c>
      <c r="L96" s="876" t="str">
        <f>IFERROR(__xludf.DUMMYFUNCTION("""COMPUTED_VALUE"""),"Yes")</f>
        <v>Yes</v>
      </c>
      <c r="M96" s="876" t="str">
        <f>IFERROR(__xludf.DUMMYFUNCTION("""COMPUTED_VALUE"""),"Yes")</f>
        <v>Yes</v>
      </c>
      <c r="N96" s="877">
        <f>IFERROR(__xludf.DUMMYFUNCTION("""COMPUTED_VALUE"""),0.994)</f>
        <v>0.994</v>
      </c>
      <c r="O96" s="876"/>
      <c r="P96" s="876"/>
      <c r="Q96" s="876"/>
      <c r="R96" s="876"/>
      <c r="S96" s="876"/>
      <c r="T96" s="876"/>
      <c r="U96" s="876"/>
      <c r="V96" s="876"/>
      <c r="W96" s="876">
        <f>IFERROR(__xludf.DUMMYFUNCTION("""COMPUTED_VALUE"""),0.994)</f>
        <v>0.994</v>
      </c>
      <c r="X96" s="876"/>
      <c r="Y96" s="876"/>
      <c r="Z96" s="876"/>
      <c r="AA96" s="876"/>
      <c r="AB96" s="876"/>
      <c r="AC96" s="876"/>
      <c r="AD96" s="876"/>
      <c r="AE96" s="876" t="str">
        <f>IFERROR(__xludf.DUMMYFUNCTION("""COMPUTED_VALUE"""),"We conclude that AlbendazoleIs hlghly recommended for the convenient treatment of intestinal helminth infections, particularly those that include hookworm.")</f>
        <v>We conclude that AlbendazoleIs hlghly recommended for the convenient treatment of intestinal helminth infections, particularly those that include hookworm.</v>
      </c>
      <c r="AF96" s="876" t="str">
        <f>IFERROR(__xludf.DUMMYFUNCTION("""COMPUTED_VALUE"""),"Kato-Katz Method")</f>
        <v>Kato-Katz Method</v>
      </c>
      <c r="AG96" s="876" t="str">
        <f>IFERROR(__xludf.DUMMYFUNCTION("""COMPUTED_VALUE"""),"Pugh RN, Teesdale CH, &amp; Burnham GM. “Albendazolein children with hookworm infection”. Anna Trop Med Parasitol (1986): 565-567. Web.")</f>
        <v>Pugh RN, Teesdale CH, &amp; Burnham GM. “Albendazolein children with hookworm infection”. Anna Trop Med Parasitol (1986): 565-567. Web.</v>
      </c>
      <c r="AH96" s="876"/>
      <c r="AI96" s="878"/>
      <c r="AJ96" s="880"/>
      <c r="AK96" s="880"/>
      <c r="AL96" s="880"/>
      <c r="AM96" s="880"/>
      <c r="AN96" s="880"/>
      <c r="AO96" s="880"/>
      <c r="AP96" s="880"/>
      <c r="AQ96" s="880"/>
      <c r="AR96" s="880"/>
      <c r="AS96" s="880"/>
      <c r="AT96" s="880"/>
      <c r="AU96" s="880"/>
      <c r="AV96" s="880"/>
      <c r="AW96" s="881"/>
      <c r="AX96" s="863"/>
      <c r="AY96" s="863"/>
      <c r="AZ96" s="863"/>
      <c r="BA96" s="863"/>
      <c r="BB96" s="863"/>
      <c r="BC96" s="863"/>
      <c r="BD96" s="863"/>
      <c r="BE96" s="863"/>
      <c r="BF96" s="863"/>
      <c r="BG96" s="863"/>
      <c r="BH96" s="863"/>
      <c r="BI96" s="863"/>
      <c r="BJ96" s="863"/>
      <c r="BK96" s="863"/>
      <c r="BL96" s="863"/>
      <c r="BM96" s="863"/>
      <c r="BN96" s="863"/>
      <c r="BO96" s="863"/>
      <c r="BP96" s="880"/>
      <c r="BQ96" s="863"/>
      <c r="BR96" s="889" t="str">
        <f>IFERROR(__xludf.DUMMYFUNCTION("""COMPUTED_VALUE"""),"Kirwan et al.")</f>
        <v>Kirwan et al.</v>
      </c>
      <c r="BS96" s="883" t="str">
        <f>IFERROR(__xludf.DUMMYFUNCTION("""COMPUTED_VALUE"""),"Nigeria")</f>
        <v>Nigeria</v>
      </c>
      <c r="BT96" s="883" t="str">
        <f>IFERROR(__xludf.DUMMYFUNCTION("""COMPUTED_VALUE"""),"Albendazole")</f>
        <v>Albendazole</v>
      </c>
      <c r="BU96" s="883"/>
      <c r="BV96" s="883" t="str">
        <f>IFERROR(__xludf.DUMMYFUNCTION("""COMPUTED_VALUE"""),"Single")</f>
        <v>Single</v>
      </c>
      <c r="BW96" s="883" t="str">
        <f>IFERROR(__xludf.DUMMYFUNCTION("""COMPUTED_VALUE"""),"200 mg")</f>
        <v>200 mg</v>
      </c>
      <c r="BX96" s="883">
        <f>IFERROR(__xludf.DUMMYFUNCTION("""COMPUTED_VALUE"""),194.0)</f>
        <v>194</v>
      </c>
      <c r="BY96" s="883" t="str">
        <f>IFERROR(__xludf.DUMMYFUNCTION("""COMPUTED_VALUE"""),"&lt;1")</f>
        <v>&lt;1</v>
      </c>
      <c r="BZ96" s="883">
        <f>IFERROR(__xludf.DUMMYFUNCTION("""COMPUTED_VALUE"""),2007.0)</f>
        <v>2007</v>
      </c>
      <c r="CA96" s="883" t="str">
        <f>IFERROR(__xludf.DUMMYFUNCTION("""COMPUTED_VALUE"""),"103 Males; 91 Females")</f>
        <v>103 Males; 91 Females</v>
      </c>
      <c r="CB96" s="883"/>
      <c r="CC96" s="883" t="str">
        <f>IFERROR(__xludf.DUMMYFUNCTION("""COMPUTED_VALUE"""),"Yes")</f>
        <v>Yes</v>
      </c>
      <c r="CD96" s="884"/>
      <c r="CE96" s="883" t="str">
        <f>IFERROR(__xludf.DUMMYFUNCTION("""COMPUTED_VALUE"""),"Yes")</f>
        <v>Yes</v>
      </c>
      <c r="CF96" s="883"/>
      <c r="CG96" s="883"/>
      <c r="CH96" s="883"/>
      <c r="CI96" s="883"/>
      <c r="CJ96" s="883"/>
      <c r="CK96" s="883"/>
      <c r="CL96" s="883"/>
      <c r="CM96" s="883">
        <f>IFERROR(__xludf.DUMMYFUNCTION("""COMPUTED_VALUE"""),89.3)</f>
        <v>89.3</v>
      </c>
      <c r="CN96" s="883"/>
      <c r="CO96" s="883"/>
      <c r="CP96" s="883"/>
      <c r="CQ96" s="883"/>
      <c r="CR96" s="883"/>
      <c r="CS96" s="883" t="str">
        <f>IFERROR(__xludf.DUMMYFUNCTION("""COMPUTED_VALUE"""),"double-blind, placebo-controlled, randomized")</f>
        <v>double-blind, placebo-controlled, randomized</v>
      </c>
      <c r="CT96" s="883"/>
      <c r="CU96" s="883"/>
      <c r="CV96" s="863"/>
      <c r="CW96" s="863"/>
      <c r="CX96" s="863"/>
      <c r="CY96" s="863"/>
      <c r="CZ96" s="863"/>
      <c r="DA96" s="863"/>
      <c r="DB96" s="863"/>
      <c r="DC96" s="863"/>
      <c r="DD96" s="863"/>
      <c r="DE96" s="863"/>
    </row>
    <row r="97">
      <c r="A97" s="887" t="str">
        <f>IFERROR(__xludf.DUMMYFUNCTION("""COMPUTED_VALUE"""),"Pugh et al.")</f>
        <v>Pugh et al.</v>
      </c>
      <c r="B97" s="876" t="str">
        <f>IFERROR(__xludf.DUMMYFUNCTION("""COMPUTED_VALUE"""),"Malawi")</f>
        <v>Malawi</v>
      </c>
      <c r="C97" s="876" t="str">
        <f>IFERROR(__xludf.DUMMYFUNCTION("""COMPUTED_VALUE"""),"Mebendazole")</f>
        <v>Mebendazole</v>
      </c>
      <c r="D97" s="876" t="str">
        <f>IFERROR(__xludf.DUMMYFUNCTION("""COMPUTED_VALUE"""),"Single")</f>
        <v>Single</v>
      </c>
      <c r="E97" s="876" t="str">
        <f>IFERROR(__xludf.DUMMYFUNCTION("""COMPUTED_VALUE"""),"600 mg")</f>
        <v>600 mg</v>
      </c>
      <c r="F97" s="876">
        <f>IFERROR(__xludf.DUMMYFUNCTION("""COMPUTED_VALUE"""),19.0)</f>
        <v>19</v>
      </c>
      <c r="G97" s="876">
        <f>IFERROR(__xludf.DUMMYFUNCTION("""COMPUTED_VALUE"""),13.4)</f>
        <v>13.4</v>
      </c>
      <c r="H97" s="876"/>
      <c r="I97" s="876">
        <f>IFERROR(__xludf.DUMMYFUNCTION("""COMPUTED_VALUE"""),1986.0)</f>
        <v>1986</v>
      </c>
      <c r="J97" s="876"/>
      <c r="K97" s="876" t="str">
        <f>IFERROR(__xludf.DUMMYFUNCTION("""COMPUTED_VALUE"""),"Blind trial randomized")</f>
        <v>Blind trial randomized</v>
      </c>
      <c r="L97" s="876" t="str">
        <f>IFERROR(__xludf.DUMMYFUNCTION("""COMPUTED_VALUE"""),"Yes")</f>
        <v>Yes</v>
      </c>
      <c r="M97" s="876" t="str">
        <f>IFERROR(__xludf.DUMMYFUNCTION("""COMPUTED_VALUE"""),"Yes")</f>
        <v>Yes</v>
      </c>
      <c r="N97" s="877">
        <f>IFERROR(__xludf.DUMMYFUNCTION("""COMPUTED_VALUE"""),0.982)</f>
        <v>0.982</v>
      </c>
      <c r="O97" s="876"/>
      <c r="P97" s="876"/>
      <c r="Q97" s="876"/>
      <c r="R97" s="876"/>
      <c r="S97" s="876"/>
      <c r="T97" s="876"/>
      <c r="U97" s="876"/>
      <c r="V97" s="876"/>
      <c r="W97" s="876">
        <f>IFERROR(__xludf.DUMMYFUNCTION("""COMPUTED_VALUE"""),0.982)</f>
        <v>0.982</v>
      </c>
      <c r="X97" s="876"/>
      <c r="Y97" s="876"/>
      <c r="Z97" s="876"/>
      <c r="AA97" s="876"/>
      <c r="AB97" s="876"/>
      <c r="AC97" s="876"/>
      <c r="AD97" s="876"/>
      <c r="AE97" s="876" t="str">
        <f>IFERROR(__xludf.DUMMYFUNCTION("""COMPUTED_VALUE"""),"We conclude that AlbendazoleIs hlghly recommended for the convenient treatment of intestinal helminth infections, particularly those that include hookworm.")</f>
        <v>We conclude that AlbendazoleIs hlghly recommended for the convenient treatment of intestinal helminth infections, particularly those that include hookworm.</v>
      </c>
      <c r="AF97" s="876" t="str">
        <f>IFERROR(__xludf.DUMMYFUNCTION("""COMPUTED_VALUE"""),"Kato-Katz Method. Mebendazole600 mg (100 mg tablets twice daily over three consecutive days)")</f>
        <v>Kato-Katz Method. Mebendazole600 mg (100 mg tablets twice daily over three consecutive days)</v>
      </c>
      <c r="AG97" s="876" t="str">
        <f>IFERROR(__xludf.DUMMYFUNCTION("""COMPUTED_VALUE"""),"Pugh RN, Teesdale CH, &amp; Burnham GM. “Albendazolein children with hookworm infection”. Anna Trop Med Parasitol (1986): 565-567. Web.")</f>
        <v>Pugh RN, Teesdale CH, &amp; Burnham GM. “Albendazolein children with hookworm infection”. Anna Trop Med Parasitol (1986): 565-567. Web.</v>
      </c>
      <c r="AH97" s="876"/>
      <c r="AI97" s="878"/>
      <c r="AJ97" s="888" t="str">
        <f>IFERROR(__xludf.DUMMYFUNCTION("""COMPUTED_VALUE"""),"Horton et al.")</f>
        <v>Horton et al.</v>
      </c>
      <c r="AK97" s="880" t="str">
        <f>IFERROR(__xludf.DUMMYFUNCTION("""COMPUTED_VALUE"""),"Horton, J. ""Albendazole: A Review of Anthelmintic Efficacy and Safety in Humans."" Parasitology (2000): S113-132. Web.")</f>
        <v>Horton, J. "Albendazole: A Review of Anthelmintic Efficacy and Safety in Humans." Parasitology (2000): S113-132. Web.</v>
      </c>
      <c r="AL97" s="880" t="str">
        <f>IFERROR(__xludf.DUMMYFUNCTION("""COMPUTED_VALUE"""),"Unknown")</f>
        <v>Unknown</v>
      </c>
      <c r="AM97" s="880" t="str">
        <f>IFERROR(__xludf.DUMMYFUNCTION("""COMPUTED_VALUE"""),"Albendazole")</f>
        <v>Albendazole</v>
      </c>
      <c r="AN97" s="880" t="str">
        <f>IFERROR(__xludf.DUMMYFUNCTION("""COMPUTED_VALUE"""),"Single")</f>
        <v>Single</v>
      </c>
      <c r="AO97" s="880" t="str">
        <f>IFERROR(__xludf.DUMMYFUNCTION("""COMPUTED_VALUE"""),"400 mg/day for one day")</f>
        <v>400 mg/day for one day</v>
      </c>
      <c r="AP97" s="880">
        <f>IFERROR(__xludf.DUMMYFUNCTION("""COMPUTED_VALUE"""),57.0)</f>
        <v>57</v>
      </c>
      <c r="AQ97" s="880" t="str">
        <f>IFERROR(__xludf.DUMMYFUNCTION("""COMPUTED_VALUE"""),"2-15 years old")</f>
        <v>2-15 years old</v>
      </c>
      <c r="AR97" s="880"/>
      <c r="AS97" s="880">
        <f>IFERROR(__xludf.DUMMYFUNCTION("""COMPUTED_VALUE"""),1998.0)</f>
        <v>1998</v>
      </c>
      <c r="AT97" s="880"/>
      <c r="AU97" s="880" t="str">
        <f>IFERROR(__xludf.DUMMYFUNCTION("""COMPUTED_VALUE"""),"No")</f>
        <v>No</v>
      </c>
      <c r="AV97" s="880"/>
      <c r="AW97" s="881" t="str">
        <f>IFERROR(__xludf.DUMMYFUNCTION("""COMPUTED_VALUE"""),"review")</f>
        <v>review</v>
      </c>
      <c r="AX97" s="863"/>
      <c r="AY97" s="863"/>
      <c r="AZ97" s="863"/>
      <c r="BA97" s="863"/>
      <c r="BB97" s="863"/>
      <c r="BC97" s="863"/>
      <c r="BD97" s="863"/>
      <c r="BE97" s="863"/>
      <c r="BF97" s="863"/>
      <c r="BG97" s="863"/>
      <c r="BH97" s="863"/>
      <c r="BI97" s="863"/>
      <c r="BJ97" s="863"/>
      <c r="BK97" s="863"/>
      <c r="BL97" s="863"/>
      <c r="BM97" s="863"/>
      <c r="BN97" s="863"/>
      <c r="BO97" s="863" t="str">
        <f>IFERROR(__xludf.DUMMYFUNCTION("""COMPUTED_VALUE"""),"kato-Katz method, Baermanns, and Scotch Tape (grahams) test")</f>
        <v>kato-Katz method, Baermanns, and Scotch Tape (grahams) test</v>
      </c>
      <c r="BP97" s="880"/>
      <c r="BQ97" s="863"/>
      <c r="BR97" s="889" t="str">
        <f>IFERROR(__xludf.DUMMYFUNCTION("""COMPUTED_VALUE"""),"Kirwan et al.")</f>
        <v>Kirwan et al.</v>
      </c>
      <c r="BS97" s="883" t="str">
        <f>IFERROR(__xludf.DUMMYFUNCTION("""COMPUTED_VALUE"""),"Nigeria")</f>
        <v>Nigeria</v>
      </c>
      <c r="BT97" s="883" t="str">
        <f>IFERROR(__xludf.DUMMYFUNCTION("""COMPUTED_VALUE"""),"Albendazole")</f>
        <v>Albendazole</v>
      </c>
      <c r="BU97" s="883"/>
      <c r="BV97" s="883" t="str">
        <f>IFERROR(__xludf.DUMMYFUNCTION("""COMPUTED_VALUE"""),"Single")</f>
        <v>Single</v>
      </c>
      <c r="BW97" s="883" t="str">
        <f>IFERROR(__xludf.DUMMYFUNCTION("""COMPUTED_VALUE"""),"400 mg")</f>
        <v>400 mg</v>
      </c>
      <c r="BX97" s="883">
        <f>IFERROR(__xludf.DUMMYFUNCTION("""COMPUTED_VALUE"""),158.0)</f>
        <v>158</v>
      </c>
      <c r="BY97" s="883" t="str">
        <f>IFERROR(__xludf.DUMMYFUNCTION("""COMPUTED_VALUE"""),"24-59 months")</f>
        <v>24-59 months</v>
      </c>
      <c r="BZ97" s="883">
        <f>IFERROR(__xludf.DUMMYFUNCTION("""COMPUTED_VALUE"""),2007.0)</f>
        <v>2007</v>
      </c>
      <c r="CA97" s="883"/>
      <c r="CB97" s="883"/>
      <c r="CC97" s="883" t="str">
        <f>IFERROR(__xludf.DUMMYFUNCTION("""COMPUTED_VALUE"""),"Yes")</f>
        <v>Yes</v>
      </c>
      <c r="CD97" s="884"/>
      <c r="CE97" s="883" t="str">
        <f>IFERROR(__xludf.DUMMYFUNCTION("""COMPUTED_VALUE"""),"Yes")</f>
        <v>Yes</v>
      </c>
      <c r="CF97" s="883"/>
      <c r="CG97" s="883"/>
      <c r="CH97" s="883"/>
      <c r="CI97" s="883"/>
      <c r="CJ97" s="883"/>
      <c r="CK97" s="883"/>
      <c r="CL97" s="883"/>
      <c r="CM97" s="883"/>
      <c r="CN97" s="883"/>
      <c r="CO97" s="883"/>
      <c r="CP97" s="883"/>
      <c r="CQ97" s="883"/>
      <c r="CR97" s="883"/>
      <c r="CS97" s="883"/>
      <c r="CT97" s="883"/>
      <c r="CU97" s="883"/>
      <c r="CV97" s="863"/>
      <c r="CW97" s="863"/>
      <c r="CX97" s="863"/>
      <c r="CY97" s="863"/>
      <c r="CZ97" s="863"/>
      <c r="DA97" s="863"/>
      <c r="DB97" s="863"/>
      <c r="DC97" s="863"/>
      <c r="DD97" s="863"/>
      <c r="DE97" s="863"/>
    </row>
    <row r="98">
      <c r="A98" s="887" t="str">
        <f>IFERROR(__xludf.DUMMYFUNCTION("""COMPUTED_VALUE"""),"Pugh et al.")</f>
        <v>Pugh et al.</v>
      </c>
      <c r="B98" s="876" t="str">
        <f>IFERROR(__xludf.DUMMYFUNCTION("""COMPUTED_VALUE"""),"Malawi")</f>
        <v>Malawi</v>
      </c>
      <c r="C98" s="876" t="str">
        <f>IFERROR(__xludf.DUMMYFUNCTION("""COMPUTED_VALUE"""),"Albendazole")</f>
        <v>Albendazole</v>
      </c>
      <c r="D98" s="876" t="str">
        <f>IFERROR(__xludf.DUMMYFUNCTION("""COMPUTED_VALUE"""),"Single")</f>
        <v>Single</v>
      </c>
      <c r="E98" s="876" t="str">
        <f>IFERROR(__xludf.DUMMYFUNCTION("""COMPUTED_VALUE"""),"400 mg")</f>
        <v>400 mg</v>
      </c>
      <c r="F98" s="876">
        <f>IFERROR(__xludf.DUMMYFUNCTION("""COMPUTED_VALUE"""),27.0)</f>
        <v>27</v>
      </c>
      <c r="G98" s="876">
        <f>IFERROR(__xludf.DUMMYFUNCTION("""COMPUTED_VALUE"""),11.9)</f>
        <v>11.9</v>
      </c>
      <c r="H98" s="876"/>
      <c r="I98" s="876">
        <f>IFERROR(__xludf.DUMMYFUNCTION("""COMPUTED_VALUE"""),1986.0)</f>
        <v>1986</v>
      </c>
      <c r="J98" s="876"/>
      <c r="K98" s="876" t="str">
        <f>IFERROR(__xludf.DUMMYFUNCTION("""COMPUTED_VALUE"""),"open trial")</f>
        <v>open trial</v>
      </c>
      <c r="L98" s="876" t="str">
        <f>IFERROR(__xludf.DUMMYFUNCTION("""COMPUTED_VALUE"""),"No")</f>
        <v>No</v>
      </c>
      <c r="M98" s="876" t="str">
        <f>IFERROR(__xludf.DUMMYFUNCTION("""COMPUTED_VALUE"""),"No")</f>
        <v>No</v>
      </c>
      <c r="N98" s="877">
        <f>IFERROR(__xludf.DUMMYFUNCTION("""COMPUTED_VALUE"""),0.985)</f>
        <v>0.985</v>
      </c>
      <c r="O98" s="876"/>
      <c r="P98" s="876"/>
      <c r="Q98" s="876"/>
      <c r="R98" s="876"/>
      <c r="S98" s="876"/>
      <c r="T98" s="876"/>
      <c r="U98" s="876"/>
      <c r="V98" s="876"/>
      <c r="W98" s="876">
        <f>IFERROR(__xludf.DUMMYFUNCTION("""COMPUTED_VALUE"""),0.985)</f>
        <v>0.985</v>
      </c>
      <c r="X98" s="876"/>
      <c r="Y98" s="876"/>
      <c r="Z98" s="876"/>
      <c r="AA98" s="876"/>
      <c r="AB98" s="876"/>
      <c r="AC98" s="876"/>
      <c r="AD98" s="876"/>
      <c r="AE98" s="876" t="str">
        <f>IFERROR(__xludf.DUMMYFUNCTION("""COMPUTED_VALUE"""),"We conclude that AlbendazoleIs hlghly recommended for the convenient treatment of intestinal helminth infections, particularly those that include hookworm.")</f>
        <v>We conclude that AlbendazoleIs hlghly recommended for the convenient treatment of intestinal helminth infections, particularly those that include hookworm.</v>
      </c>
      <c r="AF98" s="876" t="str">
        <f>IFERROR(__xludf.DUMMYFUNCTION("""COMPUTED_VALUE"""),"Kato-Katz Method")</f>
        <v>Kato-Katz Method</v>
      </c>
      <c r="AG98" s="876" t="str">
        <f>IFERROR(__xludf.DUMMYFUNCTION("""COMPUTED_VALUE"""),"Pugh RN, Teesdale CH, &amp; Burnham GM. “Albendazolein children with hookworm infection”. Anna Trop Med Parasitol (1986): 565-567. Web.")</f>
        <v>Pugh RN, Teesdale CH, &amp; Burnham GM. “Albendazolein children with hookworm infection”. Anna Trop Med Parasitol (1986): 565-567. Web.</v>
      </c>
      <c r="AH98" s="876"/>
      <c r="AI98" s="878"/>
      <c r="AJ98" s="888" t="str">
        <f>IFERROR(__xludf.DUMMYFUNCTION("""COMPUTED_VALUE"""),"Horton et al.")</f>
        <v>Horton et al.</v>
      </c>
      <c r="AK98" s="880"/>
      <c r="AL98" s="880" t="str">
        <f>IFERROR(__xludf.DUMMYFUNCTION("""COMPUTED_VALUE"""),"Unknown")</f>
        <v>Unknown</v>
      </c>
      <c r="AM98" s="880" t="str">
        <f>IFERROR(__xludf.DUMMYFUNCTION("""COMPUTED_VALUE"""),"Albendazole")</f>
        <v>Albendazole</v>
      </c>
      <c r="AN98" s="880" t="str">
        <f>IFERROR(__xludf.DUMMYFUNCTION("""COMPUTED_VALUE"""),"Single")</f>
        <v>Single</v>
      </c>
      <c r="AO98" s="880" t="str">
        <f>IFERROR(__xludf.DUMMYFUNCTION("""COMPUTED_VALUE"""),"400 mg/day for two days")</f>
        <v>400 mg/day for two days</v>
      </c>
      <c r="AP98" s="880"/>
      <c r="AQ98" s="880" t="str">
        <f>IFERROR(__xludf.DUMMYFUNCTION("""COMPUTED_VALUE"""),"2-15 years old")</f>
        <v>2-15 years old</v>
      </c>
      <c r="AR98" s="880"/>
      <c r="AS98" s="880">
        <f>IFERROR(__xludf.DUMMYFUNCTION("""COMPUTED_VALUE"""),1998.0)</f>
        <v>1998</v>
      </c>
      <c r="AT98" s="880"/>
      <c r="AU98" s="880" t="str">
        <f>IFERROR(__xludf.DUMMYFUNCTION("""COMPUTED_VALUE"""),"No")</f>
        <v>No</v>
      </c>
      <c r="AV98" s="880"/>
      <c r="AW98" s="881" t="str">
        <f>IFERROR(__xludf.DUMMYFUNCTION("""COMPUTED_VALUE"""),"review")</f>
        <v>review</v>
      </c>
      <c r="AX98" s="863">
        <f>IFERROR(__xludf.DUMMYFUNCTION("""COMPUTED_VALUE"""),0.982)</f>
        <v>0.982</v>
      </c>
      <c r="AY98" s="863"/>
      <c r="AZ98" s="863"/>
      <c r="BA98" s="863"/>
      <c r="BB98" s="863"/>
      <c r="BC98" s="863"/>
      <c r="BD98" s="863"/>
      <c r="BE98" s="863"/>
      <c r="BF98" s="863"/>
      <c r="BG98" s="863"/>
      <c r="BH98" s="863"/>
      <c r="BI98" s="863"/>
      <c r="BJ98" s="863"/>
      <c r="BK98" s="863"/>
      <c r="BL98" s="863"/>
      <c r="BM98" s="863"/>
      <c r="BN98" s="863"/>
      <c r="BO98" s="863"/>
      <c r="BP98" s="880"/>
      <c r="BQ98" s="863"/>
      <c r="BR98" s="889" t="str">
        <f>IFERROR(__xludf.DUMMYFUNCTION("""COMPUTED_VALUE"""),"Kirwan et al.")</f>
        <v>Kirwan et al.</v>
      </c>
      <c r="BS98" s="883" t="str">
        <f>IFERROR(__xludf.DUMMYFUNCTION("""COMPUTED_VALUE"""),"Nigeria")</f>
        <v>Nigeria</v>
      </c>
      <c r="BT98" s="883" t="str">
        <f>IFERROR(__xludf.DUMMYFUNCTION("""COMPUTED_VALUE"""),"Placebo")</f>
        <v>Placebo</v>
      </c>
      <c r="BU98" s="883"/>
      <c r="BV98" s="883"/>
      <c r="BW98" s="883"/>
      <c r="BX98" s="883">
        <f>IFERROR(__xludf.DUMMYFUNCTION("""COMPUTED_VALUE"""),162.0)</f>
        <v>162</v>
      </c>
      <c r="BY98" s="883"/>
      <c r="BZ98" s="883">
        <f>IFERROR(__xludf.DUMMYFUNCTION("""COMPUTED_VALUE"""),2007.0)</f>
        <v>2007</v>
      </c>
      <c r="CA98" s="883" t="str">
        <f>IFERROR(__xludf.DUMMYFUNCTION("""COMPUTED_VALUE"""),"90 Males; 104 Females")</f>
        <v>90 Males; 104 Females</v>
      </c>
      <c r="CB98" s="883"/>
      <c r="CC98" s="883" t="str">
        <f>IFERROR(__xludf.DUMMYFUNCTION("""COMPUTED_VALUE"""),"Yes")</f>
        <v>Yes</v>
      </c>
      <c r="CD98" s="884"/>
      <c r="CE98" s="883" t="str">
        <f>IFERROR(__xludf.DUMMYFUNCTION("""COMPUTED_VALUE"""),"Yes")</f>
        <v>Yes</v>
      </c>
      <c r="CF98" s="883"/>
      <c r="CG98" s="883"/>
      <c r="CH98" s="883"/>
      <c r="CI98" s="883"/>
      <c r="CJ98" s="883"/>
      <c r="CK98" s="883"/>
      <c r="CL98" s="883"/>
      <c r="CM98" s="883"/>
      <c r="CN98" s="883"/>
      <c r="CO98" s="883"/>
      <c r="CP98" s="883"/>
      <c r="CQ98" s="883"/>
      <c r="CR98" s="883"/>
      <c r="CS98" s="883"/>
      <c r="CT98" s="883"/>
      <c r="CU98" s="883"/>
      <c r="CV98" s="863"/>
      <c r="CW98" s="863"/>
      <c r="CX98" s="863"/>
      <c r="CY98" s="863"/>
      <c r="CZ98" s="863"/>
      <c r="DA98" s="863"/>
      <c r="DB98" s="863"/>
      <c r="DC98" s="863"/>
      <c r="DD98" s="863"/>
      <c r="DE98" s="863"/>
    </row>
    <row r="99">
      <c r="A99" s="887" t="str">
        <f>IFERROR(__xludf.DUMMYFUNCTION("""COMPUTED_VALUE"""),"Pugh et al.")</f>
        <v>Pugh et al.</v>
      </c>
      <c r="B99" s="876" t="str">
        <f>IFERROR(__xludf.DUMMYFUNCTION("""COMPUTED_VALUE"""),"Malawi")</f>
        <v>Malawi</v>
      </c>
      <c r="C99" s="876" t="str">
        <f>IFERROR(__xludf.DUMMYFUNCTION("""COMPUTED_VALUE"""),"Albendazole")</f>
        <v>Albendazole</v>
      </c>
      <c r="D99" s="876" t="str">
        <f>IFERROR(__xludf.DUMMYFUNCTION("""COMPUTED_VALUE"""),"Single")</f>
        <v>Single</v>
      </c>
      <c r="E99" s="876" t="str">
        <f>IFERROR(__xludf.DUMMYFUNCTION("""COMPUTED_VALUE"""),"200 mg")</f>
        <v>200 mg</v>
      </c>
      <c r="F99" s="876">
        <f>IFERROR(__xludf.DUMMYFUNCTION("""COMPUTED_VALUE"""),30.0)</f>
        <v>30</v>
      </c>
      <c r="G99" s="876">
        <f>IFERROR(__xludf.DUMMYFUNCTION("""COMPUTED_VALUE"""),1.5)</f>
        <v>1.5</v>
      </c>
      <c r="H99" s="876"/>
      <c r="I99" s="876">
        <f>IFERROR(__xludf.DUMMYFUNCTION("""COMPUTED_VALUE"""),1986.0)</f>
        <v>1986</v>
      </c>
      <c r="J99" s="876"/>
      <c r="K99" s="876" t="str">
        <f>IFERROR(__xludf.DUMMYFUNCTION("""COMPUTED_VALUE"""),"open trial")</f>
        <v>open trial</v>
      </c>
      <c r="L99" s="876" t="str">
        <f>IFERROR(__xludf.DUMMYFUNCTION("""COMPUTED_VALUE"""),"No")</f>
        <v>No</v>
      </c>
      <c r="M99" s="876" t="str">
        <f>IFERROR(__xludf.DUMMYFUNCTION("""COMPUTED_VALUE"""),"No")</f>
        <v>No</v>
      </c>
      <c r="N99" s="877">
        <f>IFERROR(__xludf.DUMMYFUNCTION("""COMPUTED_VALUE"""),0.992)</f>
        <v>0.992</v>
      </c>
      <c r="O99" s="876"/>
      <c r="P99" s="876"/>
      <c r="Q99" s="876"/>
      <c r="R99" s="876"/>
      <c r="S99" s="876"/>
      <c r="T99" s="876"/>
      <c r="U99" s="876"/>
      <c r="V99" s="876"/>
      <c r="W99" s="876">
        <f>IFERROR(__xludf.DUMMYFUNCTION("""COMPUTED_VALUE"""),0.992)</f>
        <v>0.992</v>
      </c>
      <c r="X99" s="876"/>
      <c r="Y99" s="876"/>
      <c r="Z99" s="876"/>
      <c r="AA99" s="876"/>
      <c r="AB99" s="876"/>
      <c r="AC99" s="876"/>
      <c r="AD99" s="876"/>
      <c r="AE99" s="876" t="str">
        <f>IFERROR(__xludf.DUMMYFUNCTION("""COMPUTED_VALUE"""),"We conclude that AlbendazoleIs hlghly recommended for the convenient treatment of intestinal helminth infections, particularly those that include hookworm.")</f>
        <v>We conclude that AlbendazoleIs hlghly recommended for the convenient treatment of intestinal helminth infections, particularly those that include hookworm.</v>
      </c>
      <c r="AF99" s="876" t="str">
        <f>IFERROR(__xludf.DUMMYFUNCTION("""COMPUTED_VALUE"""),"Kato-Katz Method. Albendazole(syrup)")</f>
        <v>Kato-Katz Method. Albendazole(syrup)</v>
      </c>
      <c r="AG99" s="876" t="str">
        <f>IFERROR(__xludf.DUMMYFUNCTION("""COMPUTED_VALUE"""),"Pugh RN, Teesdale CH, &amp; Burnham GM. “Albendazolein children with hookworm infection”. Anna Trop Med Parasitol (1986): 565-567. Web.")</f>
        <v>Pugh RN, Teesdale CH, &amp; Burnham GM. “Albendazolein children with hookworm infection”. Anna Trop Med Parasitol (1986): 565-567. Web.</v>
      </c>
      <c r="AH99" s="876"/>
      <c r="AI99" s="878"/>
      <c r="AJ99" s="888" t="str">
        <f>IFERROR(__xludf.DUMMYFUNCTION("""COMPUTED_VALUE"""),"Horton et al.")</f>
        <v>Horton et al.</v>
      </c>
      <c r="AK99" s="880"/>
      <c r="AL99" s="880" t="str">
        <f>IFERROR(__xludf.DUMMYFUNCTION("""COMPUTED_VALUE"""),"Unknown")</f>
        <v>Unknown</v>
      </c>
      <c r="AM99" s="880" t="str">
        <f>IFERROR(__xludf.DUMMYFUNCTION("""COMPUTED_VALUE"""),"Albendazole")</f>
        <v>Albendazole</v>
      </c>
      <c r="AN99" s="880" t="str">
        <f>IFERROR(__xludf.DUMMYFUNCTION("""COMPUTED_VALUE"""),"Single")</f>
        <v>Single</v>
      </c>
      <c r="AO99" s="880" t="str">
        <f>IFERROR(__xludf.DUMMYFUNCTION("""COMPUTED_VALUE"""),"400 mg/day for three days")</f>
        <v>400 mg/day for three days</v>
      </c>
      <c r="AP99" s="880"/>
      <c r="AQ99" s="880" t="str">
        <f>IFERROR(__xludf.DUMMYFUNCTION("""COMPUTED_VALUE"""),"2-15 years old")</f>
        <v>2-15 years old</v>
      </c>
      <c r="AR99" s="880"/>
      <c r="AS99" s="880">
        <f>IFERROR(__xludf.DUMMYFUNCTION("""COMPUTED_VALUE"""),1998.0)</f>
        <v>1998</v>
      </c>
      <c r="AT99" s="880"/>
      <c r="AU99" s="880" t="str">
        <f>IFERROR(__xludf.DUMMYFUNCTION("""COMPUTED_VALUE"""),"No")</f>
        <v>No</v>
      </c>
      <c r="AV99" s="880"/>
      <c r="AW99" s="881" t="str">
        <f>IFERROR(__xludf.DUMMYFUNCTION("""COMPUTED_VALUE"""),"review")</f>
        <v>review</v>
      </c>
      <c r="AX99" s="863">
        <f>IFERROR(__xludf.DUMMYFUNCTION("""COMPUTED_VALUE"""),0.791)</f>
        <v>0.791</v>
      </c>
      <c r="AY99" s="863"/>
      <c r="AZ99" s="863"/>
      <c r="BA99" s="863"/>
      <c r="BB99" s="863"/>
      <c r="BC99" s="863"/>
      <c r="BD99" s="863"/>
      <c r="BE99" s="863"/>
      <c r="BF99" s="863"/>
      <c r="BG99" s="863"/>
      <c r="BH99" s="863"/>
      <c r="BI99" s="863"/>
      <c r="BJ99" s="863"/>
      <c r="BK99" s="863"/>
      <c r="BL99" s="863"/>
      <c r="BM99" s="863"/>
      <c r="BN99" s="863"/>
      <c r="BO99" s="863"/>
      <c r="BP99" s="880"/>
      <c r="BQ99" s="863"/>
      <c r="BR99" s="889" t="str">
        <f>IFERROR(__xludf.DUMMYFUNCTION("""COMPUTED_VALUE"""),"Bennett et al.")</f>
        <v>Bennett et al.</v>
      </c>
      <c r="BS99" s="883"/>
      <c r="BT99" s="883" t="str">
        <f>IFERROR(__xludf.DUMMYFUNCTION("""COMPUTED_VALUE"""),"Albendazole")</f>
        <v>Albendazole</v>
      </c>
      <c r="BU99" s="883"/>
      <c r="BV99" s="883" t="str">
        <f>IFERROR(__xludf.DUMMYFUNCTION("""COMPUTED_VALUE"""),"Single")</f>
        <v>Single</v>
      </c>
      <c r="BW99" s="883" t="str">
        <f>IFERROR(__xludf.DUMMYFUNCTION("""COMPUTED_VALUE"""),"400 mg")</f>
        <v>400 mg</v>
      </c>
      <c r="BX99" s="883">
        <f>IFERROR(__xludf.DUMMYFUNCTION("""COMPUTED_VALUE"""),146.0)</f>
        <v>146</v>
      </c>
      <c r="BY99" s="883"/>
      <c r="BZ99" s="883">
        <f>IFERROR(__xludf.DUMMYFUNCTION("""COMPUTED_VALUE"""),2000.0)</f>
        <v>2000</v>
      </c>
      <c r="CA99" s="883"/>
      <c r="CB99" s="883"/>
      <c r="CC99" s="883" t="str">
        <f>IFERROR(__xludf.DUMMYFUNCTION("""COMPUTED_VALUE"""),"No")</f>
        <v>No</v>
      </c>
      <c r="CD99" s="884">
        <f>IFERROR(__xludf.DUMMYFUNCTION("""COMPUTED_VALUE"""),0.97)</f>
        <v>0.97</v>
      </c>
      <c r="CE99" s="883" t="str">
        <f>IFERROR(__xludf.DUMMYFUNCTION("""COMPUTED_VALUE"""),"No")</f>
        <v>No</v>
      </c>
      <c r="CF99" s="883"/>
      <c r="CG99" s="883"/>
      <c r="CH99" s="883"/>
      <c r="CI99" s="883"/>
      <c r="CJ99" s="883"/>
      <c r="CK99" s="883"/>
      <c r="CL99" s="883"/>
      <c r="CM99" s="891">
        <f>IFERROR(__xludf.DUMMYFUNCTION("""COMPUTED_VALUE"""),0.98)</f>
        <v>0.98</v>
      </c>
      <c r="CN99" s="883"/>
      <c r="CO99" s="883"/>
      <c r="CP99" s="883"/>
      <c r="CQ99" s="883"/>
      <c r="CR99" s="883"/>
      <c r="CS99" s="883"/>
      <c r="CT99" s="883" t="str">
        <f>IFERROR(__xludf.DUMMYFUNCTION("""COMPUTED_VALUE"""),"Kato-based Methods")</f>
        <v>Kato-based Methods</v>
      </c>
      <c r="CU99" s="883" t="str">
        <f>IFERROR(__xludf.DUMMYFUNCTION("""COMPUTED_VALUE"""),"x")</f>
        <v>x</v>
      </c>
      <c r="CV99" s="863"/>
      <c r="CW99" s="863"/>
      <c r="CX99" s="863"/>
      <c r="CY99" s="863"/>
      <c r="CZ99" s="863"/>
      <c r="DA99" s="863"/>
      <c r="DB99" s="863"/>
      <c r="DC99" s="863"/>
      <c r="DD99" s="863"/>
      <c r="DE99" s="863"/>
    </row>
    <row r="100">
      <c r="A100" s="887" t="str">
        <f>IFERROR(__xludf.DUMMYFUNCTION("""COMPUTED_VALUE"""),"Rossignol J F &amp; Maisonneuve H")</f>
        <v>Rossignol J F &amp; Maisonneuve H</v>
      </c>
      <c r="B100" s="876" t="str">
        <f>IFERROR(__xludf.DUMMYFUNCTION("""COMPUTED_VALUE"""),"Multi-centre: France, Morocco, Mali, Senegal, Nigeria, Central African Republic, Kenya, Brazil, Peru, Mexico, and the Philippines")</f>
        <v>Multi-centre: France, Morocco, Mali, Senegal, Nigeria, Central African Republic, Kenya, Brazil, Peru, Mexico, and the Philippines</v>
      </c>
      <c r="C100" s="876" t="str">
        <f>IFERROR(__xludf.DUMMYFUNCTION("""COMPUTED_VALUE"""),"Albendazole")</f>
        <v>Albendazole</v>
      </c>
      <c r="D100" s="876" t="str">
        <f>IFERROR(__xludf.DUMMYFUNCTION("""COMPUTED_VALUE"""),"Single")</f>
        <v>Single</v>
      </c>
      <c r="E100" s="876" t="str">
        <f>IFERROR(__xludf.DUMMYFUNCTION("""COMPUTED_VALUE"""),"400 mg")</f>
        <v>400 mg</v>
      </c>
      <c r="F100" s="876">
        <f>IFERROR(__xludf.DUMMYFUNCTION("""COMPUTED_VALUE"""),870.0)</f>
        <v>870</v>
      </c>
      <c r="G100" s="876" t="str">
        <f>IFERROR(__xludf.DUMMYFUNCTION("""COMPUTED_VALUE"""),"3-79 ")</f>
        <v>3-79 </v>
      </c>
      <c r="H100" s="876" t="str">
        <f>IFERROR(__xludf.DUMMYFUNCTION("""COMPUTED_VALUE"""),"525:345")</f>
        <v>525:345</v>
      </c>
      <c r="I100" s="876">
        <f>IFERROR(__xludf.DUMMYFUNCTION("""COMPUTED_VALUE"""),1983.0)</f>
        <v>1983</v>
      </c>
      <c r="J100" s="876" t="str">
        <f>IFERROR(__xludf.DUMMYFUNCTION("""COMPUTED_VALUE"""),"Patients receiving or who had received anthelmintics during the 21 days before commencing the study were excluded, as were those with an acute illness (with or without fever), pregnant females, nursing mothers, children under three years of age, diagnosed"&amp;" epilepsy cases and persons with generalized active skin conditions. In general, patients who experienced high sensitivity to any drug or those receiving long-term therapy or having chronic illnesses or proteinuria also were excluded.")</f>
        <v>Patients receiving or who had received anthelmintics during the 21 days before commencing the study were excluded, as were those with an acute illness (with or without fever), pregnant females, nursing mothers, children under three years of age, diagnosed epilepsy cases and persons with generalized active skin conditions. In general, patients who experienced high sensitivity to any drug or those receiving long-term therapy or having chronic illnesses or proteinuria also were excluded.</v>
      </c>
      <c r="K100" s="876" t="str">
        <f>IFERROR(__xludf.DUMMYFUNCTION("""COMPUTED_VALUE"""),"randomized double-blind placebo controlled study")</f>
        <v>randomized double-blind placebo controlled study</v>
      </c>
      <c r="L100" s="876" t="str">
        <f>IFERROR(__xludf.DUMMYFUNCTION("""COMPUTED_VALUE"""),"Yes")</f>
        <v>Yes</v>
      </c>
      <c r="M100" s="876" t="str">
        <f>IFERROR(__xludf.DUMMYFUNCTION("""COMPUTED_VALUE"""),"Yes")</f>
        <v>Yes</v>
      </c>
      <c r="N100" s="877" t="str">
        <f>IFERROR(__xludf.DUMMYFUNCTION("""COMPUTED_VALUE"""),"81-86%")</f>
        <v>81-86%</v>
      </c>
      <c r="O100" s="876"/>
      <c r="P100" s="876"/>
      <c r="Q100" s="876"/>
      <c r="R100" s="876"/>
      <c r="S100" s="876"/>
      <c r="T100" s="876"/>
      <c r="U100" s="876"/>
      <c r="V100" s="876"/>
      <c r="W100" s="876"/>
      <c r="X100" s="876"/>
      <c r="Y100" s="876"/>
      <c r="Z100" s="876"/>
      <c r="AA100" s="876"/>
      <c r="AB100" s="876"/>
      <c r="AC100" s="876"/>
      <c r="AD100" s="876"/>
      <c r="AE100" s="876" t="str">
        <f>IFERROR(__xludf.DUMMYFUNCTION("""COMPUTED_VALUE"""),"Albendazole, therefore, which produces satisfactory cure rates and egg count reductions is certainly very interesting as a single dose treatment.")</f>
        <v>Albendazole, therefore, which produces satisfactory cure rates and egg count reductions is certainly very interesting as a single dose treatment.</v>
      </c>
      <c r="AF100" s="876" t="str">
        <f>IFERROR(__xludf.DUMMYFUNCTION("""COMPUTED_VALUE"""),"Kato technique")</f>
        <v>Kato technique</v>
      </c>
      <c r="AG100" s="876" t="str">
        <f>IFERROR(__xludf.DUMMYFUNCTION("""COMPUTED_VALUE"""),"Rossignol J F, Maisonneuve H. (1983) Albendazole: placebo-controlled study in 870 patients with intestinal helminthiasis. Transactions of the Royal Society of Tropical Medicine and Hygiene 77 707-711. Web.")</f>
        <v>Rossignol J F, Maisonneuve H. (1983) Albendazole: placebo-controlled study in 870 patients with intestinal helminthiasis. Transactions of the Royal Society of Tropical Medicine and Hygiene 77 707-711. Web.</v>
      </c>
      <c r="AH100" s="876"/>
      <c r="AI100" s="878"/>
      <c r="AJ100" s="888" t="str">
        <f>IFERROR(__xludf.DUMMYFUNCTION("""COMPUTED_VALUE"""),"Horton et al.")</f>
        <v>Horton et al.</v>
      </c>
      <c r="AK100" s="880"/>
      <c r="AL100" s="880" t="str">
        <f>IFERROR(__xludf.DUMMYFUNCTION("""COMPUTED_VALUE"""),"Unknown")</f>
        <v>Unknown</v>
      </c>
      <c r="AM100" s="880" t="str">
        <f>IFERROR(__xludf.DUMMYFUNCTION("""COMPUTED_VALUE"""),"Albendazole")</f>
        <v>Albendazole</v>
      </c>
      <c r="AN100" s="880" t="str">
        <f>IFERROR(__xludf.DUMMYFUNCTION("""COMPUTED_VALUE"""),"Single")</f>
        <v>Single</v>
      </c>
      <c r="AO100" s="880" t="str">
        <f>IFERROR(__xludf.DUMMYFUNCTION("""COMPUTED_VALUE"""),"400 mg/day for five days")</f>
        <v>400 mg/day for five days</v>
      </c>
      <c r="AP100" s="880"/>
      <c r="AQ100" s="880" t="str">
        <f>IFERROR(__xludf.DUMMYFUNCTION("""COMPUTED_VALUE"""),"2-15 years old")</f>
        <v>2-15 years old</v>
      </c>
      <c r="AR100" s="880"/>
      <c r="AS100" s="880">
        <f>IFERROR(__xludf.DUMMYFUNCTION("""COMPUTED_VALUE"""),1998.0)</f>
        <v>1998</v>
      </c>
      <c r="AT100" s="880"/>
      <c r="AU100" s="880" t="str">
        <f>IFERROR(__xludf.DUMMYFUNCTION("""COMPUTED_VALUE"""),"No")</f>
        <v>No</v>
      </c>
      <c r="AV100" s="880"/>
      <c r="AW100" s="881" t="str">
        <f>IFERROR(__xludf.DUMMYFUNCTION("""COMPUTED_VALUE"""),"review")</f>
        <v>review</v>
      </c>
      <c r="AX100" s="863">
        <f>IFERROR(__xludf.DUMMYFUNCTION("""COMPUTED_VALUE"""),0.89)</f>
        <v>0.89</v>
      </c>
      <c r="AY100" s="863"/>
      <c r="AZ100" s="863"/>
      <c r="BA100" s="863"/>
      <c r="BB100" s="863"/>
      <c r="BC100" s="863"/>
      <c r="BD100" s="863"/>
      <c r="BE100" s="863"/>
      <c r="BF100" s="863"/>
      <c r="BG100" s="863"/>
      <c r="BH100" s="863"/>
      <c r="BI100" s="863"/>
      <c r="BJ100" s="863"/>
      <c r="BK100" s="863"/>
      <c r="BL100" s="863"/>
      <c r="BM100" s="863"/>
      <c r="BN100" s="863"/>
      <c r="BO100" s="863"/>
      <c r="BP100" s="880"/>
      <c r="BQ100" s="863"/>
      <c r="BR100" s="889" t="str">
        <f>IFERROR(__xludf.DUMMYFUNCTION("""COMPUTED_VALUE"""),"Bennett et al.")</f>
        <v>Bennett et al.</v>
      </c>
      <c r="BS100" s="883"/>
      <c r="BT100" s="883" t="str">
        <f>IFERROR(__xludf.DUMMYFUNCTION("""COMPUTED_VALUE"""),"Mebendazole")</f>
        <v>Mebendazole</v>
      </c>
      <c r="BU100" s="883"/>
      <c r="BV100" s="883" t="str">
        <f>IFERROR(__xludf.DUMMYFUNCTION("""COMPUTED_VALUE"""),"Single")</f>
        <v>Single</v>
      </c>
      <c r="BW100" s="883" t="str">
        <f>IFERROR(__xludf.DUMMYFUNCTION("""COMPUTED_VALUE"""),"500 mg")</f>
        <v>500 mg</v>
      </c>
      <c r="BX100" s="883"/>
      <c r="BY100" s="883"/>
      <c r="BZ100" s="883">
        <f>IFERROR(__xludf.DUMMYFUNCTION("""COMPUTED_VALUE"""),2000.0)</f>
        <v>2000</v>
      </c>
      <c r="CA100" s="883"/>
      <c r="CB100" s="883"/>
      <c r="CC100" s="883" t="str">
        <f>IFERROR(__xludf.DUMMYFUNCTION("""COMPUTED_VALUE"""),"No")</f>
        <v>No</v>
      </c>
      <c r="CD100" s="884">
        <f>IFERROR(__xludf.DUMMYFUNCTION("""COMPUTED_VALUE"""),0.97)</f>
        <v>0.97</v>
      </c>
      <c r="CE100" s="883" t="str">
        <f>IFERROR(__xludf.DUMMYFUNCTION("""COMPUTED_VALUE"""),"No")</f>
        <v>No</v>
      </c>
      <c r="CF100" s="883"/>
      <c r="CG100" s="883"/>
      <c r="CH100" s="883"/>
      <c r="CI100" s="883"/>
      <c r="CJ100" s="883"/>
      <c r="CK100" s="883"/>
      <c r="CL100" s="883"/>
      <c r="CM100" s="891">
        <f>IFERROR(__xludf.DUMMYFUNCTION("""COMPUTED_VALUE"""),0.99)</f>
        <v>0.99</v>
      </c>
      <c r="CN100" s="883"/>
      <c r="CO100" s="883"/>
      <c r="CP100" s="883"/>
      <c r="CQ100" s="883"/>
      <c r="CR100" s="883"/>
      <c r="CS100" s="883"/>
      <c r="CT100" s="883"/>
      <c r="CU100" s="883" t="str">
        <f>IFERROR(__xludf.DUMMYFUNCTION("""COMPUTED_VALUE"""),"x")</f>
        <v>x</v>
      </c>
      <c r="CV100" s="863"/>
      <c r="CW100" s="863"/>
      <c r="CX100" s="863"/>
      <c r="CY100" s="863"/>
      <c r="CZ100" s="863"/>
      <c r="DA100" s="863"/>
      <c r="DB100" s="863"/>
      <c r="DC100" s="863"/>
      <c r="DD100" s="863"/>
      <c r="DE100" s="863"/>
    </row>
    <row r="101">
      <c r="A101" s="887" t="str">
        <f>IFERROR(__xludf.DUMMYFUNCTION("""COMPUTED_VALUE"""),"Rossignol J F &amp; Maisonneuve H")</f>
        <v>Rossignol J F &amp; Maisonneuve H</v>
      </c>
      <c r="B101" s="876" t="str">
        <f>IFERROR(__xludf.DUMMYFUNCTION("""COMPUTED_VALUE"""),"Multi-centre: France, Morocco, Mali, Senegal, Nigeria, Central African Republic, Kenya, Brazil, Peru, Mexico, and the Philippines")</f>
        <v>Multi-centre: France, Morocco, Mali, Senegal, Nigeria, Central African Republic, Kenya, Brazil, Peru, Mexico, and the Philippines</v>
      </c>
      <c r="C101" s="876" t="str">
        <f>IFERROR(__xludf.DUMMYFUNCTION("""COMPUTED_VALUE"""),"Placebo")</f>
        <v>Placebo</v>
      </c>
      <c r="D101" s="876"/>
      <c r="E101" s="876"/>
      <c r="F101" s="876"/>
      <c r="G101" s="876"/>
      <c r="H101" s="876"/>
      <c r="I101" s="876">
        <f>IFERROR(__xludf.DUMMYFUNCTION("""COMPUTED_VALUE"""),1983.0)</f>
        <v>1983</v>
      </c>
      <c r="J101" s="876"/>
      <c r="K101" s="876" t="str">
        <f>IFERROR(__xludf.DUMMYFUNCTION("""COMPUTED_VALUE"""),"randomized double-blind placebo controlled study")</f>
        <v>randomized double-blind placebo controlled study</v>
      </c>
      <c r="L101" s="876" t="str">
        <f>IFERROR(__xludf.DUMMYFUNCTION("""COMPUTED_VALUE"""),"Yes")</f>
        <v>Yes</v>
      </c>
      <c r="M101" s="876" t="str">
        <f>IFERROR(__xludf.DUMMYFUNCTION("""COMPUTED_VALUE"""),"Yes")</f>
        <v>Yes</v>
      </c>
      <c r="N101" s="877" t="str">
        <f>IFERROR(__xludf.DUMMYFUNCTION("""COMPUTED_VALUE"""),"0-16%")</f>
        <v>0-16%</v>
      </c>
      <c r="O101" s="876"/>
      <c r="P101" s="876"/>
      <c r="Q101" s="876"/>
      <c r="R101" s="876"/>
      <c r="S101" s="876"/>
      <c r="T101" s="876"/>
      <c r="U101" s="876"/>
      <c r="V101" s="876"/>
      <c r="W101" s="876"/>
      <c r="X101" s="876"/>
      <c r="Y101" s="876"/>
      <c r="Z101" s="876"/>
      <c r="AA101" s="876"/>
      <c r="AB101" s="876"/>
      <c r="AC101" s="876"/>
      <c r="AD101" s="876"/>
      <c r="AE101" s="876" t="str">
        <f>IFERROR(__xludf.DUMMYFUNCTION("""COMPUTED_VALUE"""),"Albendazole, therefore, which produces satisfactory cure rates and egg count reductions is certainly very interesting as a single dose treatment.")</f>
        <v>Albendazole, therefore, which produces satisfactory cure rates and egg count reductions is certainly very interesting as a single dose treatment.</v>
      </c>
      <c r="AF101" s="876" t="str">
        <f>IFERROR(__xludf.DUMMYFUNCTION("""COMPUTED_VALUE"""),"Kato technique")</f>
        <v>Kato technique</v>
      </c>
      <c r="AG101" s="876" t="str">
        <f>IFERROR(__xludf.DUMMYFUNCTION("""COMPUTED_VALUE"""),"Rossignol J F, Maisonneuve H. (1983) Albendazole: placebo-controlled study in 870 patients with intestinal helminthiasis. Transactions of the Royal Society of Tropical Medicine and Hygiene 77 707-711. Web.")</f>
        <v>Rossignol J F, Maisonneuve H. (1983) Albendazole: placebo-controlled study in 870 patients with intestinal helminthiasis. Transactions of the Royal Society of Tropical Medicine and Hygiene 77 707-711. Web.</v>
      </c>
      <c r="AH101" s="876"/>
      <c r="AI101" s="878"/>
      <c r="AJ101" s="888" t="str">
        <f>IFERROR(__xludf.DUMMYFUNCTION("""COMPUTED_VALUE"""),"Horton et al.")</f>
        <v>Horton et al.</v>
      </c>
      <c r="AK101" s="880"/>
      <c r="AL101" s="880" t="str">
        <f>IFERROR(__xludf.DUMMYFUNCTION("""COMPUTED_VALUE"""),"Unknown")</f>
        <v>Unknown</v>
      </c>
      <c r="AM101" s="880" t="str">
        <f>IFERROR(__xludf.DUMMYFUNCTION("""COMPUTED_VALUE"""),"Albendazole")</f>
        <v>Albendazole</v>
      </c>
      <c r="AN101" s="880" t="str">
        <f>IFERROR(__xludf.DUMMYFUNCTION("""COMPUTED_VALUE"""),"Single")</f>
        <v>Single</v>
      </c>
      <c r="AO101" s="880" t="str">
        <f>IFERROR(__xludf.DUMMYFUNCTION("""COMPUTED_VALUE"""),"200 mg stat")</f>
        <v>200 mg stat</v>
      </c>
      <c r="AP101" s="880"/>
      <c r="AQ101" s="880" t="str">
        <f>IFERROR(__xludf.DUMMYFUNCTION("""COMPUTED_VALUE"""),"2-15 years old")</f>
        <v>2-15 years old</v>
      </c>
      <c r="AR101" s="880"/>
      <c r="AS101" s="880">
        <f>IFERROR(__xludf.DUMMYFUNCTION("""COMPUTED_VALUE"""),1998.0)</f>
        <v>1998</v>
      </c>
      <c r="AT101" s="880"/>
      <c r="AU101" s="880" t="str">
        <f>IFERROR(__xludf.DUMMYFUNCTION("""COMPUTED_VALUE"""),"No")</f>
        <v>No</v>
      </c>
      <c r="AV101" s="880"/>
      <c r="AW101" s="881" t="str">
        <f>IFERROR(__xludf.DUMMYFUNCTION("""COMPUTED_VALUE"""),"review")</f>
        <v>review</v>
      </c>
      <c r="AX101" s="863">
        <f>IFERROR(__xludf.DUMMYFUNCTION("""COMPUTED_VALUE"""),0.251)</f>
        <v>0.251</v>
      </c>
      <c r="AY101" s="863"/>
      <c r="AZ101" s="863"/>
      <c r="BA101" s="863"/>
      <c r="BB101" s="863"/>
      <c r="BC101" s="863"/>
      <c r="BD101" s="863"/>
      <c r="BE101" s="863"/>
      <c r="BF101" s="863"/>
      <c r="BG101" s="863"/>
      <c r="BH101" s="863">
        <f>IFERROR(__xludf.DUMMYFUNCTION("""COMPUTED_VALUE"""),0.753)</f>
        <v>0.753</v>
      </c>
      <c r="BI101" s="863"/>
      <c r="BJ101" s="863"/>
      <c r="BK101" s="863"/>
      <c r="BL101" s="863"/>
      <c r="BM101" s="863"/>
      <c r="BN101" s="863"/>
      <c r="BO101" s="863"/>
      <c r="BP101" s="880"/>
      <c r="BQ101" s="863"/>
      <c r="BR101" s="889" t="str">
        <f>IFERROR(__xludf.DUMMYFUNCTION("""COMPUTED_VALUE"""),"Bennett et al.")</f>
        <v>Bennett et al.</v>
      </c>
      <c r="BS101" s="883"/>
      <c r="BT101" s="883" t="str">
        <f>IFERROR(__xludf.DUMMYFUNCTION("""COMPUTED_VALUE"""),"Mebendazole")</f>
        <v>Mebendazole</v>
      </c>
      <c r="BU101" s="883"/>
      <c r="BV101" s="883" t="str">
        <f>IFERROR(__xludf.DUMMYFUNCTION("""COMPUTED_VALUE"""),"Two")</f>
        <v>Two</v>
      </c>
      <c r="BW101" s="883" t="str">
        <f>IFERROR(__xludf.DUMMYFUNCTION("""COMPUTED_VALUE"""),"100 mg")</f>
        <v>100 mg</v>
      </c>
      <c r="BX101" s="883"/>
      <c r="BY101" s="883"/>
      <c r="BZ101" s="883">
        <f>IFERROR(__xludf.DUMMYFUNCTION("""COMPUTED_VALUE"""),2000.0)</f>
        <v>2000</v>
      </c>
      <c r="CA101" s="883"/>
      <c r="CB101" s="883"/>
      <c r="CC101" s="883" t="str">
        <f>IFERROR(__xludf.DUMMYFUNCTION("""COMPUTED_VALUE"""),"No")</f>
        <v>No</v>
      </c>
      <c r="CD101" s="884">
        <f>IFERROR(__xludf.DUMMYFUNCTION("""COMPUTED_VALUE"""),0.99)</f>
        <v>0.99</v>
      </c>
      <c r="CE101" s="883" t="str">
        <f>IFERROR(__xludf.DUMMYFUNCTION("""COMPUTED_VALUE"""),"No")</f>
        <v>No</v>
      </c>
      <c r="CF101" s="883"/>
      <c r="CG101" s="883"/>
      <c r="CH101" s="883"/>
      <c r="CI101" s="883"/>
      <c r="CJ101" s="883"/>
      <c r="CK101" s="883"/>
      <c r="CL101" s="883"/>
      <c r="CM101" s="891">
        <f>IFERROR(__xludf.DUMMYFUNCTION("""COMPUTED_VALUE"""),0.98)</f>
        <v>0.98</v>
      </c>
      <c r="CN101" s="883"/>
      <c r="CO101" s="883"/>
      <c r="CP101" s="883"/>
      <c r="CQ101" s="883"/>
      <c r="CR101" s="883"/>
      <c r="CS101" s="883"/>
      <c r="CT101" s="883"/>
      <c r="CU101" s="883" t="str">
        <f>IFERROR(__xludf.DUMMYFUNCTION("""COMPUTED_VALUE"""),"x")</f>
        <v>x</v>
      </c>
      <c r="CV101" s="863"/>
      <c r="CW101" s="863"/>
      <c r="CX101" s="863"/>
      <c r="CY101" s="863"/>
      <c r="CZ101" s="863"/>
      <c r="DA101" s="863"/>
      <c r="DB101" s="863"/>
      <c r="DC101" s="863"/>
      <c r="DD101" s="863"/>
      <c r="DE101" s="863"/>
    </row>
    <row r="102">
      <c r="A102" s="887" t="str">
        <f>IFERROR(__xludf.DUMMYFUNCTION("""COMPUTED_VALUE"""),"Sacko et al.")</f>
        <v>Sacko et al.</v>
      </c>
      <c r="B102" s="876" t="str">
        <f>IFERROR(__xludf.DUMMYFUNCTION("""COMPUTED_VALUE"""),"Mali")</f>
        <v>Mali</v>
      </c>
      <c r="C102" s="876" t="str">
        <f>IFERROR(__xludf.DUMMYFUNCTION("""COMPUTED_VALUE"""),"Pyrantel")</f>
        <v>Pyrantel</v>
      </c>
      <c r="D102" s="876" t="str">
        <f>IFERROR(__xludf.DUMMYFUNCTION("""COMPUTED_VALUE"""),"Single")</f>
        <v>Single</v>
      </c>
      <c r="E102" s="876" t="str">
        <f>IFERROR(__xludf.DUMMYFUNCTION("""COMPUTED_VALUE"""),"125 mg")</f>
        <v>125 mg</v>
      </c>
      <c r="F102" s="876">
        <f>IFERROR(__xludf.DUMMYFUNCTION("""COMPUTED_VALUE"""),37.0)</f>
        <v>37</v>
      </c>
      <c r="G102" s="876" t="str">
        <f>IFERROR(__xludf.DUMMYFUNCTION("""COMPUTED_VALUE"""),"4-71")</f>
        <v>4-71</v>
      </c>
      <c r="H102" s="876" t="str">
        <f>IFERROR(__xludf.DUMMYFUNCTION("""COMPUTED_VALUE"""),"21:16")</f>
        <v>21:16</v>
      </c>
      <c r="I102" s="876">
        <f>IFERROR(__xludf.DUMMYFUNCTION("""COMPUTED_VALUE"""),1998.0)</f>
        <v>1998</v>
      </c>
      <c r="J102" s="876" t="str">
        <f>IFERROR(__xludf.DUMMYFUNCTION("""COMPUTED_VALUE"""),"Pregnant women were excluded from the study. Children under 2 years old were excluded as well")</f>
        <v>Pregnant women were excluded from the study. Children under 2 years old were excluded as well</v>
      </c>
      <c r="K102" s="876" t="str">
        <f>IFERROR(__xludf.DUMMYFUNCTION("""COMPUTED_VALUE"""),"placebo controlled randomized")</f>
        <v>placebo controlled randomized</v>
      </c>
      <c r="L102" s="876" t="str">
        <f>IFERROR(__xludf.DUMMYFUNCTION("""COMPUTED_VALUE"""),"Yes")</f>
        <v>Yes</v>
      </c>
      <c r="M102" s="876" t="str">
        <f>IFERROR(__xludf.DUMMYFUNCTION("""COMPUTED_VALUE"""),"Yes")</f>
        <v>Yes</v>
      </c>
      <c r="N102" s="877">
        <f>IFERROR(__xludf.DUMMYFUNCTION("""COMPUTED_VALUE"""),0.378)</f>
        <v>0.378</v>
      </c>
      <c r="O102" s="876"/>
      <c r="P102" s="876"/>
      <c r="Q102" s="876"/>
      <c r="R102" s="876"/>
      <c r="S102" s="876"/>
      <c r="T102" s="876"/>
      <c r="U102" s="876"/>
      <c r="V102" s="876"/>
      <c r="W102" s="876"/>
      <c r="X102" s="876"/>
      <c r="Y102" s="876"/>
      <c r="Z102" s="876"/>
      <c r="AA102" s="876"/>
      <c r="AB102" s="876"/>
      <c r="AC102" s="876"/>
      <c r="AD102" s="876"/>
      <c r="AE102" s="876" t="str">
        <f>IFERROR(__xludf.DUMMYFUNCTION("""COMPUTED_VALUE"""),"The main conclusion from this trial is that Albendazoleand pyrantel in the treatment of N. americanus infections in southern Mali.")</f>
        <v>The main conclusion from this trial is that Albendazoleand pyrantel in the treatment of N. americanus infections in southern Mali.</v>
      </c>
      <c r="AF102" s="876" t="str">
        <f>IFERROR(__xludf.DUMMYFUNCTION("""COMPUTED_VALUE"""),"Kato-Katz Method")</f>
        <v>Kato-Katz Method</v>
      </c>
      <c r="AG102" s="876" t="str">
        <f>IFERROR(__xludf.DUMMYFUNCTION("""COMPUTED_VALUE"""),"Sacko, M., D. De Clercq, J. M. Behnke, F. S. Gilbert, P. Dorny, and J. Vercuysse. ""Comparison of the Efficacy of Mebendazole, Albendazoleand Pyrantel in Treatment of Human Hookworm Infections in the Southern Region of Mali, West Africa."" Transactions of"&amp;" the Royal Society of Tropical Medicine and Hygiene 93 (1999): 195-203. Web.")</f>
        <v>Sacko, M., D. De Clercq, J. M. Behnke, F. S. Gilbert, P. Dorny, and J. Vercuysse. "Comparison of the Efficacy of Mebendazole, Albendazoleand Pyrantel in Treatment of Human Hookworm Infections in the Southern Region of Mali, West Africa." Transactions of the Royal Society of Tropical Medicine and Hygiene 93 (1999): 195-203. Web.</v>
      </c>
      <c r="AH102" s="876"/>
      <c r="AI102" s="878"/>
      <c r="AJ102" s="888" t="str">
        <f>IFERROR(__xludf.DUMMYFUNCTION("""COMPUTED_VALUE"""),"Horton et al.")</f>
        <v>Horton et al.</v>
      </c>
      <c r="AK102" s="880"/>
      <c r="AL102" s="880" t="str">
        <f>IFERROR(__xludf.DUMMYFUNCTION("""COMPUTED_VALUE"""),"Unknown")</f>
        <v>Unknown</v>
      </c>
      <c r="AM102" s="880" t="str">
        <f>IFERROR(__xludf.DUMMYFUNCTION("""COMPUTED_VALUE"""),"Albendazole")</f>
        <v>Albendazole</v>
      </c>
      <c r="AN102" s="880" t="str">
        <f>IFERROR(__xludf.DUMMYFUNCTION("""COMPUTED_VALUE"""),"Single")</f>
        <v>Single</v>
      </c>
      <c r="AO102" s="880" t="str">
        <f>IFERROR(__xludf.DUMMYFUNCTION("""COMPUTED_VALUE"""),"600 mg stat")</f>
        <v>600 mg stat</v>
      </c>
      <c r="AP102" s="880"/>
      <c r="AQ102" s="880" t="str">
        <f>IFERROR(__xludf.DUMMYFUNCTION("""COMPUTED_VALUE"""),"2-15 years old")</f>
        <v>2-15 years old</v>
      </c>
      <c r="AR102" s="880"/>
      <c r="AS102" s="880">
        <f>IFERROR(__xludf.DUMMYFUNCTION("""COMPUTED_VALUE"""),1998.0)</f>
        <v>1998</v>
      </c>
      <c r="AT102" s="880"/>
      <c r="AU102" s="880" t="str">
        <f>IFERROR(__xludf.DUMMYFUNCTION("""COMPUTED_VALUE"""),"No")</f>
        <v>No</v>
      </c>
      <c r="AV102" s="880"/>
      <c r="AW102" s="881" t="str">
        <f>IFERROR(__xludf.DUMMYFUNCTION("""COMPUTED_VALUE"""),"review")</f>
        <v>review</v>
      </c>
      <c r="AX102" s="863">
        <f>IFERROR(__xludf.DUMMYFUNCTION("""COMPUTED_VALUE"""),0.511)</f>
        <v>0.511</v>
      </c>
      <c r="AY102" s="863"/>
      <c r="AZ102" s="863"/>
      <c r="BA102" s="863"/>
      <c r="BB102" s="863"/>
      <c r="BC102" s="863"/>
      <c r="BD102" s="863"/>
      <c r="BE102" s="863"/>
      <c r="BF102" s="863"/>
      <c r="BG102" s="863"/>
      <c r="BH102" s="863">
        <f>IFERROR(__xludf.DUMMYFUNCTION("""COMPUTED_VALUE"""),0.846)</f>
        <v>0.846</v>
      </c>
      <c r="BI102" s="863"/>
      <c r="BJ102" s="863"/>
      <c r="BK102" s="863"/>
      <c r="BL102" s="863"/>
      <c r="BM102" s="863"/>
      <c r="BN102" s="863"/>
      <c r="BO102" s="863"/>
      <c r="BP102" s="880"/>
      <c r="BQ102" s="863"/>
      <c r="BR102" s="889" t="str">
        <f>IFERROR(__xludf.DUMMYFUNCTION("""COMPUTED_VALUE"""),"Kumar et al.")</f>
        <v>Kumar et al.</v>
      </c>
      <c r="BS102" s="883" t="str">
        <f>IFERROR(__xludf.DUMMYFUNCTION("""COMPUTED_VALUE"""),"India")</f>
        <v>India</v>
      </c>
      <c r="BT102" s="883" t="str">
        <f>IFERROR(__xludf.DUMMYFUNCTION("""COMPUTED_VALUE"""),"Albendazole")</f>
        <v>Albendazole</v>
      </c>
      <c r="BU102" s="883"/>
      <c r="BV102" s="883" t="str">
        <f>IFERROR(__xludf.DUMMYFUNCTION("""COMPUTED_VALUE"""),"Single")</f>
        <v>Single</v>
      </c>
      <c r="BW102" s="883" t="str">
        <f>IFERROR(__xludf.DUMMYFUNCTION("""COMPUTED_VALUE"""),"400 mg")</f>
        <v>400 mg</v>
      </c>
      <c r="BX102" s="883">
        <f>IFERROR(__xludf.DUMMYFUNCTION("""COMPUTED_VALUE"""),2732.0)</f>
        <v>2732</v>
      </c>
      <c r="BY102" s="883" t="str">
        <f>IFERROR(__xludf.DUMMYFUNCTION("""COMPUTED_VALUE"""),"1-50+ years old ")</f>
        <v>1-50+ years old </v>
      </c>
      <c r="BZ102" s="883">
        <f>IFERROR(__xludf.DUMMYFUNCTION("""COMPUTED_VALUE"""),2013.0)</f>
        <v>2013</v>
      </c>
      <c r="CA102" s="883" t="str">
        <f>IFERROR(__xludf.DUMMYFUNCTION("""COMPUTED_VALUE"""),"2656 Males, 76 Females, 6 children")</f>
        <v>2656 Males, 76 Females, 6 children</v>
      </c>
      <c r="CB102" s="883"/>
      <c r="CC102" s="883" t="str">
        <f>IFERROR(__xludf.DUMMYFUNCTION("""COMPUTED_VALUE"""),"No")</f>
        <v>No</v>
      </c>
      <c r="CD102" s="884">
        <f>IFERROR(__xludf.DUMMYFUNCTION("""COMPUTED_VALUE"""),0.66)</f>
        <v>0.66</v>
      </c>
      <c r="CE102" s="883" t="str">
        <f>IFERROR(__xludf.DUMMYFUNCTION("""COMPUTED_VALUE"""),"No")</f>
        <v>No</v>
      </c>
      <c r="CF102" s="883"/>
      <c r="CG102" s="883"/>
      <c r="CH102" s="883"/>
      <c r="CI102" s="883"/>
      <c r="CJ102" s="883"/>
      <c r="CK102" s="883"/>
      <c r="CL102" s="883"/>
      <c r="CM102" s="883"/>
      <c r="CN102" s="883"/>
      <c r="CO102" s="883"/>
      <c r="CP102" s="883"/>
      <c r="CQ102" s="883"/>
      <c r="CR102" s="883"/>
      <c r="CS102" s="883"/>
      <c r="CT102" s="883"/>
      <c r="CU102" s="883"/>
      <c r="CV102" s="863"/>
      <c r="CW102" s="863"/>
      <c r="CX102" s="863"/>
      <c r="CY102" s="863"/>
      <c r="CZ102" s="863"/>
      <c r="DA102" s="863"/>
      <c r="DB102" s="863"/>
      <c r="DC102" s="863"/>
      <c r="DD102" s="863"/>
      <c r="DE102" s="863"/>
    </row>
    <row r="103">
      <c r="A103" s="887" t="str">
        <f>IFERROR(__xludf.DUMMYFUNCTION("""COMPUTED_VALUE"""),"Sacko et al.")</f>
        <v>Sacko et al.</v>
      </c>
      <c r="B103" s="876" t="str">
        <f>IFERROR(__xludf.DUMMYFUNCTION("""COMPUTED_VALUE"""),"Mali")</f>
        <v>Mali</v>
      </c>
      <c r="C103" s="876" t="str">
        <f>IFERROR(__xludf.DUMMYFUNCTION("""COMPUTED_VALUE"""),"Mebendazole")</f>
        <v>Mebendazole</v>
      </c>
      <c r="D103" s="876" t="str">
        <f>IFERROR(__xludf.DUMMYFUNCTION("""COMPUTED_VALUE"""),"Single")</f>
        <v>Single</v>
      </c>
      <c r="E103" s="876" t="str">
        <f>IFERROR(__xludf.DUMMYFUNCTION("""COMPUTED_VALUE"""),"500 mg")</f>
        <v>500 mg</v>
      </c>
      <c r="F103" s="876">
        <f>IFERROR(__xludf.DUMMYFUNCTION("""COMPUTED_VALUE"""),35.0)</f>
        <v>35</v>
      </c>
      <c r="G103" s="876" t="str">
        <f>IFERROR(__xludf.DUMMYFUNCTION("""COMPUTED_VALUE"""),"3-67")</f>
        <v>3-67</v>
      </c>
      <c r="H103" s="876" t="str">
        <f>IFERROR(__xludf.DUMMYFUNCTION("""COMPUTED_VALUE"""),"19:16")</f>
        <v>19:16</v>
      </c>
      <c r="I103" s="876">
        <f>IFERROR(__xludf.DUMMYFUNCTION("""COMPUTED_VALUE"""),1998.0)</f>
        <v>1998</v>
      </c>
      <c r="J103" s="876"/>
      <c r="K103" s="876" t="str">
        <f>IFERROR(__xludf.DUMMYFUNCTION("""COMPUTED_VALUE"""),"placebo controlled randomized")</f>
        <v>placebo controlled randomized</v>
      </c>
      <c r="L103" s="876" t="str">
        <f>IFERROR(__xludf.DUMMYFUNCTION("""COMPUTED_VALUE"""),"Yes")</f>
        <v>Yes</v>
      </c>
      <c r="M103" s="876" t="str">
        <f>IFERROR(__xludf.DUMMYFUNCTION("""COMPUTED_VALUE"""),"Yes")</f>
        <v>Yes</v>
      </c>
      <c r="N103" s="877">
        <f>IFERROR(__xludf.DUMMYFUNCTION("""COMPUTED_VALUE"""),0.514)</f>
        <v>0.514</v>
      </c>
      <c r="O103" s="876"/>
      <c r="P103" s="876"/>
      <c r="Q103" s="876"/>
      <c r="R103" s="876"/>
      <c r="S103" s="876"/>
      <c r="T103" s="876"/>
      <c r="U103" s="876"/>
      <c r="V103" s="876"/>
      <c r="W103" s="876"/>
      <c r="X103" s="876"/>
      <c r="Y103" s="876"/>
      <c r="Z103" s="876"/>
      <c r="AA103" s="876"/>
      <c r="AB103" s="876"/>
      <c r="AC103" s="876"/>
      <c r="AD103" s="876"/>
      <c r="AE103" s="876" t="str">
        <f>IFERROR(__xludf.DUMMYFUNCTION("""COMPUTED_VALUE"""),"The main conclusion from this trial is that Albendazoleand pyrantel in the treatment of N. americanus infections in southern Mali.")</f>
        <v>The main conclusion from this trial is that Albendazoleand pyrantel in the treatment of N. americanus infections in southern Mali.</v>
      </c>
      <c r="AF103" s="876" t="str">
        <f>IFERROR(__xludf.DUMMYFUNCTION("""COMPUTED_VALUE"""),"Kato-Katz Method")</f>
        <v>Kato-Katz Method</v>
      </c>
      <c r="AG103" s="876" t="str">
        <f>IFERROR(__xludf.DUMMYFUNCTION("""COMPUTED_VALUE"""),"Sacko, M., D. De Clercq, J. M. Behnke, F. S. Gilbert, P. Dorny, and J. Vercuysse. ""Comparison of the Efficacy of Mebendazole, Albendazoleand Pyrantel in Treatment of Human Hookworm Infections in the Southern Region of Mali, West Africa."" Transactions of"&amp;" the Royal Society of Tropical Medicine and Hygiene 93 (1999): 195-203. Web.")</f>
        <v>Sacko, M., D. De Clercq, J. M. Behnke, F. S. Gilbert, P. Dorny, and J. Vercuysse. "Comparison of the Efficacy of Mebendazole, Albendazoleand Pyrantel in Treatment of Human Hookworm Infections in the Southern Region of Mali, West Africa." Transactions of the Royal Society of Tropical Medicine and Hygiene 93 (1999): 195-203. Web.</v>
      </c>
      <c r="AH103" s="876"/>
      <c r="AI103" s="878"/>
      <c r="AJ103" s="880"/>
      <c r="AK103" s="880"/>
      <c r="AL103" s="880"/>
      <c r="AM103" s="880"/>
      <c r="AN103" s="880"/>
      <c r="AO103" s="880"/>
      <c r="AP103" s="880"/>
      <c r="AQ103" s="880"/>
      <c r="AR103" s="880"/>
      <c r="AS103" s="880"/>
      <c r="AT103" s="880"/>
      <c r="AU103" s="880"/>
      <c r="AV103" s="880"/>
      <c r="AW103" s="881"/>
      <c r="AX103" s="863"/>
      <c r="AY103" s="863"/>
      <c r="AZ103" s="863"/>
      <c r="BA103" s="863"/>
      <c r="BB103" s="863"/>
      <c r="BC103" s="863"/>
      <c r="BD103" s="863"/>
      <c r="BE103" s="863"/>
      <c r="BF103" s="863"/>
      <c r="BG103" s="863"/>
      <c r="BH103" s="863"/>
      <c r="BI103" s="863"/>
      <c r="BJ103" s="863"/>
      <c r="BK103" s="863"/>
      <c r="BL103" s="863"/>
      <c r="BM103" s="863"/>
      <c r="BN103" s="863"/>
      <c r="BO103" s="863"/>
      <c r="BP103" s="880"/>
      <c r="BQ103" s="863"/>
      <c r="BR103" s="889" t="str">
        <f>IFERROR(__xludf.DUMMYFUNCTION("""COMPUTED_VALUE"""),"Seo et al.")</f>
        <v>Seo et al.</v>
      </c>
      <c r="BS103" s="883" t="str">
        <f>IFERROR(__xludf.DUMMYFUNCTION("""COMPUTED_VALUE"""),"Korea")</f>
        <v>Korea</v>
      </c>
      <c r="BT103" s="883" t="str">
        <f>IFERROR(__xludf.DUMMYFUNCTION("""COMPUTED_VALUE"""),"Mebendazole")</f>
        <v>Mebendazole</v>
      </c>
      <c r="BU103" s="883"/>
      <c r="BV103" s="883" t="str">
        <f>IFERROR(__xludf.DUMMYFUNCTION("""COMPUTED_VALUE"""),"Single")</f>
        <v>Single</v>
      </c>
      <c r="BW103" s="883" t="str">
        <f>IFERROR(__xludf.DUMMYFUNCTION("""COMPUTED_VALUE"""),"100 mg")</f>
        <v>100 mg</v>
      </c>
      <c r="BX103" s="883">
        <f>IFERROR(__xludf.DUMMYFUNCTION("""COMPUTED_VALUE"""),32.0)</f>
        <v>32</v>
      </c>
      <c r="BY103" s="883" t="str">
        <f>IFERROR(__xludf.DUMMYFUNCTION("""COMPUTED_VALUE"""),"1-50+ years old ")</f>
        <v>1-50+ years old </v>
      </c>
      <c r="BZ103" s="883">
        <f>IFERROR(__xludf.DUMMYFUNCTION("""COMPUTED_VALUE"""),1978.0)</f>
        <v>1978</v>
      </c>
      <c r="CA103" s="883"/>
      <c r="CB103" s="883"/>
      <c r="CC103" s="883" t="str">
        <f>IFERROR(__xludf.DUMMYFUNCTION("""COMPUTED_VALUE"""),"No")</f>
        <v>No</v>
      </c>
      <c r="CD103" s="884">
        <f>IFERROR(__xludf.DUMMYFUNCTION("""COMPUTED_VALUE"""),0.875)</f>
        <v>0.875</v>
      </c>
      <c r="CE103" s="883" t="str">
        <f>IFERROR(__xludf.DUMMYFUNCTION("""COMPUTED_VALUE"""),"No")</f>
        <v>No</v>
      </c>
      <c r="CF103" s="883"/>
      <c r="CG103" s="883"/>
      <c r="CH103" s="883"/>
      <c r="CI103" s="883"/>
      <c r="CJ103" s="883"/>
      <c r="CK103" s="883"/>
      <c r="CL103" s="883"/>
      <c r="CM103" s="884">
        <f>IFERROR(__xludf.DUMMYFUNCTION("""COMPUTED_VALUE"""),0.986)</f>
        <v>0.986</v>
      </c>
      <c r="CN103" s="883"/>
      <c r="CO103" s="883"/>
      <c r="CP103" s="883"/>
      <c r="CQ103" s="883"/>
      <c r="CR103" s="883"/>
      <c r="CS103" s="883"/>
      <c r="CT103" s="883" t="str">
        <f>IFERROR(__xludf.DUMMYFUNCTION("""COMPUTED_VALUE"""),"Stroll Techique")</f>
        <v>Stroll Techique</v>
      </c>
      <c r="CU103" s="883"/>
      <c r="CV103" s="863"/>
      <c r="CW103" s="863"/>
      <c r="CX103" s="863"/>
      <c r="CY103" s="863"/>
      <c r="CZ103" s="863"/>
      <c r="DA103" s="863"/>
      <c r="DB103" s="863"/>
      <c r="DC103" s="863"/>
      <c r="DD103" s="863"/>
      <c r="DE103" s="863"/>
    </row>
    <row r="104">
      <c r="A104" s="887" t="str">
        <f>IFERROR(__xludf.DUMMYFUNCTION("""COMPUTED_VALUE"""),"Sacko et al.")</f>
        <v>Sacko et al.</v>
      </c>
      <c r="B104" s="876" t="str">
        <f>IFERROR(__xludf.DUMMYFUNCTION("""COMPUTED_VALUE"""),"Mali")</f>
        <v>Mali</v>
      </c>
      <c r="C104" s="876" t="str">
        <f>IFERROR(__xludf.DUMMYFUNCTION("""COMPUTED_VALUE"""),"Albendazole")</f>
        <v>Albendazole</v>
      </c>
      <c r="D104" s="876" t="str">
        <f>IFERROR(__xludf.DUMMYFUNCTION("""COMPUTED_VALUE"""),"Single")</f>
        <v>Single</v>
      </c>
      <c r="E104" s="876" t="str">
        <f>IFERROR(__xludf.DUMMYFUNCTION("""COMPUTED_VALUE"""),"400 mg")</f>
        <v>400 mg</v>
      </c>
      <c r="F104" s="876">
        <f>IFERROR(__xludf.DUMMYFUNCTION("""COMPUTED_VALUE"""),37.0)</f>
        <v>37</v>
      </c>
      <c r="G104" s="876" t="str">
        <f>IFERROR(__xludf.DUMMYFUNCTION("""COMPUTED_VALUE"""),"3-70")</f>
        <v>3-70</v>
      </c>
      <c r="H104" s="876" t="str">
        <f>IFERROR(__xludf.DUMMYFUNCTION("""COMPUTED_VALUE"""),"22:15")</f>
        <v>22:15</v>
      </c>
      <c r="I104" s="876">
        <f>IFERROR(__xludf.DUMMYFUNCTION("""COMPUTED_VALUE"""),1998.0)</f>
        <v>1998</v>
      </c>
      <c r="J104" s="876"/>
      <c r="K104" s="876" t="str">
        <f>IFERROR(__xludf.DUMMYFUNCTION("""COMPUTED_VALUE"""),"placebo controlled randomized")</f>
        <v>placebo controlled randomized</v>
      </c>
      <c r="L104" s="876" t="str">
        <f>IFERROR(__xludf.DUMMYFUNCTION("""COMPUTED_VALUE"""),"Yes")</f>
        <v>Yes</v>
      </c>
      <c r="M104" s="876" t="str">
        <f>IFERROR(__xludf.DUMMYFUNCTION("""COMPUTED_VALUE"""),"Yes")</f>
        <v>Yes</v>
      </c>
      <c r="N104" s="877">
        <f>IFERROR(__xludf.DUMMYFUNCTION("""COMPUTED_VALUE"""),0.838)</f>
        <v>0.838</v>
      </c>
      <c r="O104" s="876"/>
      <c r="P104" s="876"/>
      <c r="Q104" s="876"/>
      <c r="R104" s="876"/>
      <c r="S104" s="876"/>
      <c r="T104" s="876"/>
      <c r="U104" s="876"/>
      <c r="V104" s="876"/>
      <c r="W104" s="876"/>
      <c r="X104" s="876"/>
      <c r="Y104" s="876"/>
      <c r="Z104" s="876"/>
      <c r="AA104" s="876"/>
      <c r="AB104" s="876"/>
      <c r="AC104" s="876"/>
      <c r="AD104" s="876"/>
      <c r="AE104" s="876" t="str">
        <f>IFERROR(__xludf.DUMMYFUNCTION("""COMPUTED_VALUE"""),"The main conclusion from this trial is that Albendazoleand pyrantel in the treatment of N. americanus infections in southern Mali.")</f>
        <v>The main conclusion from this trial is that Albendazoleand pyrantel in the treatment of N. americanus infections in southern Mali.</v>
      </c>
      <c r="AF104" s="876" t="str">
        <f>IFERROR(__xludf.DUMMYFUNCTION("""COMPUTED_VALUE"""),"Kato-Katz Method")</f>
        <v>Kato-Katz Method</v>
      </c>
      <c r="AG104" s="876" t="str">
        <f>IFERROR(__xludf.DUMMYFUNCTION("""COMPUTED_VALUE"""),"Sacko, M., D. De Clercq, J. M. Behnke, F. S. Gilbert, P. Dorny, and J. Vercuysse. ""Comparison of the Efficacy of Mebendazole, Albendazoleand Pyrantel in Treatment of Human Hookworm Infections in the Southern Region of Mali, West Africa."" Transactions of"&amp;" the Royal Society of Tropical Medicine and Hygiene 93 (1999): 195-203. Web.")</f>
        <v>Sacko, M., D. De Clercq, J. M. Behnke, F. S. Gilbert, P. Dorny, and J. Vercuysse. "Comparison of the Efficacy of Mebendazole, Albendazoleand Pyrantel in Treatment of Human Hookworm Infections in the Southern Region of Mali, West Africa." Transactions of the Royal Society of Tropical Medicine and Hygiene 93 (1999): 195-203. Web.</v>
      </c>
      <c r="AH104" s="876"/>
      <c r="AI104" s="878"/>
      <c r="AJ104" s="888" t="str">
        <f>IFERROR(__xludf.DUMMYFUNCTION("""COMPUTED_VALUE"""),"Keiser et al.")</f>
        <v>Keiser et al.</v>
      </c>
      <c r="AK104" s="880" t="str">
        <f>IFERROR(__xludf.DUMMYFUNCTION("""COMPUTED_VALUE"""),"Keiser, Jennifer, and Jurg Utzinger. ""Efficacy of Current Drugs Against Soil-Transmitted Helminth Infections."" American Medical Associaton 299.16 (2008): 1937-947. Web.")</f>
        <v>Keiser, Jennifer, and Jurg Utzinger. "Efficacy of Current Drugs Against Soil-Transmitted Helminth Infections." American Medical Associaton 299.16 (2008): 1937-947. Web.</v>
      </c>
      <c r="AL104" s="880" t="str">
        <f>IFERROR(__xludf.DUMMYFUNCTION("""COMPUTED_VALUE"""),"Various locations")</f>
        <v>Various locations</v>
      </c>
      <c r="AM104" s="880" t="str">
        <f>IFERROR(__xludf.DUMMYFUNCTION("""COMPUTED_VALUE"""),"Albendazole")</f>
        <v>Albendazole</v>
      </c>
      <c r="AN104" s="880" t="str">
        <f>IFERROR(__xludf.DUMMYFUNCTION("""COMPUTED_VALUE"""),"Single")</f>
        <v>Single</v>
      </c>
      <c r="AO104" s="880" t="str">
        <f>IFERROR(__xludf.DUMMYFUNCTION("""COMPUTED_VALUE"""),"400 mg")</f>
        <v>400 mg</v>
      </c>
      <c r="AP104" s="880">
        <f>IFERROR(__xludf.DUMMYFUNCTION("""COMPUTED_VALUE"""),5147.0)</f>
        <v>5147</v>
      </c>
      <c r="AQ104" s="880" t="str">
        <f>IFERROR(__xludf.DUMMYFUNCTION("""COMPUTED_VALUE"""),"School Children and Adults")</f>
        <v>School Children and Adults</v>
      </c>
      <c r="AR104" s="880"/>
      <c r="AS104" s="880" t="str">
        <f>IFERROR(__xludf.DUMMYFUNCTION("""COMPUTED_VALUE"""),"1974-2007")</f>
        <v>1974-2007</v>
      </c>
      <c r="AT104" s="880"/>
      <c r="AU104" s="880" t="str">
        <f>IFERROR(__xludf.DUMMYFUNCTION("""COMPUTED_VALUE"""),"No")</f>
        <v>No</v>
      </c>
      <c r="AV104" s="880"/>
      <c r="AW104" s="881" t="str">
        <f>IFERROR(__xludf.DUMMYFUNCTION("""COMPUTED_VALUE"""),"Systematic review")</f>
        <v>Systematic review</v>
      </c>
      <c r="AX104" s="863">
        <f>IFERROR(__xludf.DUMMYFUNCTION("""COMPUTED_VALUE"""),0.436)</f>
        <v>0.436</v>
      </c>
      <c r="AY104" s="863"/>
      <c r="AZ104" s="863"/>
      <c r="BA104" s="863"/>
      <c r="BB104" s="863"/>
      <c r="BC104" s="863"/>
      <c r="BD104" s="863"/>
      <c r="BE104" s="863"/>
      <c r="BF104" s="863"/>
      <c r="BG104" s="863"/>
      <c r="BH104" s="863"/>
      <c r="BI104" s="863"/>
      <c r="BJ104" s="863"/>
      <c r="BK104" s="863"/>
      <c r="BL104" s="863"/>
      <c r="BM104" s="863"/>
      <c r="BN104" s="863"/>
      <c r="BO104" s="863"/>
      <c r="BP104" s="880" t="str">
        <f>IFERROR(__xludf.DUMMYFUNCTION("""COMPUTED_VALUE"""),"x")</f>
        <v>x</v>
      </c>
      <c r="BQ104" s="863"/>
      <c r="BR104" s="889" t="str">
        <f>IFERROR(__xludf.DUMMYFUNCTION("""COMPUTED_VALUE"""),"Seo et al.")</f>
        <v>Seo et al.</v>
      </c>
      <c r="BS104" s="883" t="str">
        <f>IFERROR(__xludf.DUMMYFUNCTION("""COMPUTED_VALUE"""),"Korea")</f>
        <v>Korea</v>
      </c>
      <c r="BT104" s="883" t="str">
        <f>IFERROR(__xludf.DUMMYFUNCTION("""COMPUTED_VALUE"""),"Mebendazole")</f>
        <v>Mebendazole</v>
      </c>
      <c r="BU104" s="883"/>
      <c r="BV104" s="883" t="str">
        <f>IFERROR(__xludf.DUMMYFUNCTION("""COMPUTED_VALUE"""),"Single")</f>
        <v>Single</v>
      </c>
      <c r="BW104" s="883" t="str">
        <f>IFERROR(__xludf.DUMMYFUNCTION("""COMPUTED_VALUE"""),"200 mg")</f>
        <v>200 mg</v>
      </c>
      <c r="BX104" s="883">
        <f>IFERROR(__xludf.DUMMYFUNCTION("""COMPUTED_VALUE"""),25.0)</f>
        <v>25</v>
      </c>
      <c r="BY104" s="883" t="str">
        <f>IFERROR(__xludf.DUMMYFUNCTION("""COMPUTED_VALUE"""),"1-50+ years old ")</f>
        <v>1-50+ years old </v>
      </c>
      <c r="BZ104" s="883">
        <f>IFERROR(__xludf.DUMMYFUNCTION("""COMPUTED_VALUE"""),1978.0)</f>
        <v>1978</v>
      </c>
      <c r="CA104" s="883"/>
      <c r="CB104" s="883"/>
      <c r="CC104" s="883" t="str">
        <f>IFERROR(__xludf.DUMMYFUNCTION("""COMPUTED_VALUE"""),"No")</f>
        <v>No</v>
      </c>
      <c r="CD104" s="884">
        <f>IFERROR(__xludf.DUMMYFUNCTION("""COMPUTED_VALUE"""),0.92)</f>
        <v>0.92</v>
      </c>
      <c r="CE104" s="883" t="str">
        <f>IFERROR(__xludf.DUMMYFUNCTION("""COMPUTED_VALUE"""),"No")</f>
        <v>No</v>
      </c>
      <c r="CF104" s="883"/>
      <c r="CG104" s="883"/>
      <c r="CH104" s="883"/>
      <c r="CI104" s="883"/>
      <c r="CJ104" s="883"/>
      <c r="CK104" s="883"/>
      <c r="CL104" s="883"/>
      <c r="CM104" s="884">
        <f>IFERROR(__xludf.DUMMYFUNCTION("""COMPUTED_VALUE"""),0.986)</f>
        <v>0.986</v>
      </c>
      <c r="CN104" s="883"/>
      <c r="CO104" s="883"/>
      <c r="CP104" s="883"/>
      <c r="CQ104" s="883"/>
      <c r="CR104" s="883"/>
      <c r="CS104" s="883"/>
      <c r="CT104" s="883"/>
      <c r="CU104" s="883"/>
      <c r="CV104" s="863"/>
      <c r="CW104" s="863"/>
      <c r="CX104" s="863"/>
      <c r="CY104" s="863"/>
      <c r="CZ104" s="863"/>
      <c r="DA104" s="863"/>
      <c r="DB104" s="863"/>
      <c r="DC104" s="863"/>
      <c r="DD104" s="863"/>
      <c r="DE104" s="863"/>
    </row>
    <row r="105">
      <c r="A105" s="887" t="str">
        <f>IFERROR(__xludf.DUMMYFUNCTION("""COMPUTED_VALUE"""),"Sacko et al.")</f>
        <v>Sacko et al.</v>
      </c>
      <c r="B105" s="876" t="str">
        <f>IFERROR(__xludf.DUMMYFUNCTION("""COMPUTED_VALUE"""),"Mali")</f>
        <v>Mali</v>
      </c>
      <c r="C105" s="876" t="str">
        <f>IFERROR(__xludf.DUMMYFUNCTION("""COMPUTED_VALUE"""),"Placebo")</f>
        <v>Placebo</v>
      </c>
      <c r="D105" s="876"/>
      <c r="E105" s="876"/>
      <c r="F105" s="876">
        <f>IFERROR(__xludf.DUMMYFUNCTION("""COMPUTED_VALUE"""),36.0)</f>
        <v>36</v>
      </c>
      <c r="G105" s="876" t="str">
        <f>IFERROR(__xludf.DUMMYFUNCTION("""COMPUTED_VALUE"""),"3-65")</f>
        <v>3-65</v>
      </c>
      <c r="H105" s="876" t="str">
        <f>IFERROR(__xludf.DUMMYFUNCTION("""COMPUTED_VALUE"""),"22:14")</f>
        <v>22:14</v>
      </c>
      <c r="I105" s="876">
        <f>IFERROR(__xludf.DUMMYFUNCTION("""COMPUTED_VALUE"""),1998.0)</f>
        <v>1998</v>
      </c>
      <c r="J105" s="876"/>
      <c r="K105" s="876" t="str">
        <f>IFERROR(__xludf.DUMMYFUNCTION("""COMPUTED_VALUE"""),"placebo controlled randomized")</f>
        <v>placebo controlled randomized</v>
      </c>
      <c r="L105" s="876" t="str">
        <f>IFERROR(__xludf.DUMMYFUNCTION("""COMPUTED_VALUE"""),"Yes")</f>
        <v>Yes</v>
      </c>
      <c r="M105" s="876" t="str">
        <f>IFERROR(__xludf.DUMMYFUNCTION("""COMPUTED_VALUE"""),"Yes")</f>
        <v>Yes</v>
      </c>
      <c r="N105" s="877">
        <f>IFERROR(__xludf.DUMMYFUNCTION("""COMPUTED_VALUE"""),0.167)</f>
        <v>0.167</v>
      </c>
      <c r="O105" s="876"/>
      <c r="P105" s="876"/>
      <c r="Q105" s="876"/>
      <c r="R105" s="876"/>
      <c r="S105" s="876"/>
      <c r="T105" s="876"/>
      <c r="U105" s="876"/>
      <c r="V105" s="876"/>
      <c r="W105" s="876"/>
      <c r="X105" s="876"/>
      <c r="Y105" s="876"/>
      <c r="Z105" s="876"/>
      <c r="AA105" s="876"/>
      <c r="AB105" s="876"/>
      <c r="AC105" s="876"/>
      <c r="AD105" s="876"/>
      <c r="AE105" s="876" t="str">
        <f>IFERROR(__xludf.DUMMYFUNCTION("""COMPUTED_VALUE"""),"The main conclusion from this trial is that Albendazoleand pyrantel in the treatment of N. americanus infections in southern Mali.")</f>
        <v>The main conclusion from this trial is that Albendazoleand pyrantel in the treatment of N. americanus infections in southern Mali.</v>
      </c>
      <c r="AF105" s="876" t="str">
        <f>IFERROR(__xludf.DUMMYFUNCTION("""COMPUTED_VALUE"""),"Kato-Katz Method")</f>
        <v>Kato-Katz Method</v>
      </c>
      <c r="AG105" s="876" t="str">
        <f>IFERROR(__xludf.DUMMYFUNCTION("""COMPUTED_VALUE"""),"Sacko, M., D. De Clercq, J. M. Behnke, F. S. Gilbert, P. Dorny, and J. Vercuysse. ""Comparison of the Efficacy of Mebendazole, Albendazoleand Pyrantel in Treatment of Human Hookworm Infections in the Southern Region of Mali, West Africa."" Transactions of"&amp;" the Royal Society of Tropical Medicine and Hygiene 93 (1999): 195-203. Web.")</f>
        <v>Sacko, M., D. De Clercq, J. M. Behnke, F. S. Gilbert, P. Dorny, and J. Vercuysse. "Comparison of the Efficacy of Mebendazole, Albendazoleand Pyrantel in Treatment of Human Hookworm Infections in the Southern Region of Mali, West Africa." Transactions of the Royal Society of Tropical Medicine and Hygiene 93 (1999): 195-203. Web.</v>
      </c>
      <c r="AH105" s="876"/>
      <c r="AI105" s="878"/>
      <c r="AJ105" s="888" t="str">
        <f>IFERROR(__xludf.DUMMYFUNCTION("""COMPUTED_VALUE"""),"Keiser et al.")</f>
        <v>Keiser et al.</v>
      </c>
      <c r="AK105" s="880"/>
      <c r="AL105" s="880" t="str">
        <f>IFERROR(__xludf.DUMMYFUNCTION("""COMPUTED_VALUE"""),"Various locations")</f>
        <v>Various locations</v>
      </c>
      <c r="AM105" s="880" t="str">
        <f>IFERROR(__xludf.DUMMYFUNCTION("""COMPUTED_VALUE"""),"Mebendazole")</f>
        <v>Mebendazole</v>
      </c>
      <c r="AN105" s="880" t="str">
        <f>IFERROR(__xludf.DUMMYFUNCTION("""COMPUTED_VALUE"""),"Single")</f>
        <v>Single</v>
      </c>
      <c r="AO105" s="880" t="str">
        <f>IFERROR(__xludf.DUMMYFUNCTION("""COMPUTED_VALUE"""),"500 mg")</f>
        <v>500 mg</v>
      </c>
      <c r="AP105" s="880">
        <f>IFERROR(__xludf.DUMMYFUNCTION("""COMPUTED_VALUE"""),3112.0)</f>
        <v>3112</v>
      </c>
      <c r="AQ105" s="880" t="str">
        <f>IFERROR(__xludf.DUMMYFUNCTION("""COMPUTED_VALUE"""),"School Children and Adults")</f>
        <v>School Children and Adults</v>
      </c>
      <c r="AR105" s="880"/>
      <c r="AS105" s="880" t="str">
        <f>IFERROR(__xludf.DUMMYFUNCTION("""COMPUTED_VALUE"""),"1974-2007")</f>
        <v>1974-2007</v>
      </c>
      <c r="AT105" s="880"/>
      <c r="AU105" s="880" t="str">
        <f>IFERROR(__xludf.DUMMYFUNCTION("""COMPUTED_VALUE"""),"No")</f>
        <v>No</v>
      </c>
      <c r="AV105" s="880"/>
      <c r="AW105" s="881" t="str">
        <f>IFERROR(__xludf.DUMMYFUNCTION("""COMPUTED_VALUE"""),"Systematic review")</f>
        <v>Systematic review</v>
      </c>
      <c r="AX105" s="863">
        <f>IFERROR(__xludf.DUMMYFUNCTION("""COMPUTED_VALUE"""),0.23)</f>
        <v>0.23</v>
      </c>
      <c r="AY105" s="863"/>
      <c r="AZ105" s="863"/>
      <c r="BA105" s="863"/>
      <c r="BB105" s="863"/>
      <c r="BC105" s="863"/>
      <c r="BD105" s="863"/>
      <c r="BE105" s="863"/>
      <c r="BF105" s="863"/>
      <c r="BG105" s="863"/>
      <c r="BH105" s="863"/>
      <c r="BI105" s="863"/>
      <c r="BJ105" s="863"/>
      <c r="BK105" s="863"/>
      <c r="BL105" s="863"/>
      <c r="BM105" s="863"/>
      <c r="BN105" s="863"/>
      <c r="BO105" s="863"/>
      <c r="BP105" s="880" t="str">
        <f>IFERROR(__xludf.DUMMYFUNCTION("""COMPUTED_VALUE"""),"x")</f>
        <v>x</v>
      </c>
      <c r="BQ105" s="863"/>
      <c r="BR105" s="889" t="str">
        <f>IFERROR(__xludf.DUMMYFUNCTION("""COMPUTED_VALUE"""),"Seo et al.")</f>
        <v>Seo et al.</v>
      </c>
      <c r="BS105" s="883" t="str">
        <f>IFERROR(__xludf.DUMMYFUNCTION("""COMPUTED_VALUE"""),"Korea")</f>
        <v>Korea</v>
      </c>
      <c r="BT105" s="883" t="str">
        <f>IFERROR(__xludf.DUMMYFUNCTION("""COMPUTED_VALUE"""),"Mebendazole")</f>
        <v>Mebendazole</v>
      </c>
      <c r="BU105" s="883"/>
      <c r="BV105" s="883" t="str">
        <f>IFERROR(__xludf.DUMMYFUNCTION("""COMPUTED_VALUE"""),"Single")</f>
        <v>Single</v>
      </c>
      <c r="BW105" s="883" t="str">
        <f>IFERROR(__xludf.DUMMYFUNCTION("""COMPUTED_VALUE"""),"300 mg")</f>
        <v>300 mg</v>
      </c>
      <c r="BX105" s="883">
        <f>IFERROR(__xludf.DUMMYFUNCTION("""COMPUTED_VALUE"""),17.0)</f>
        <v>17</v>
      </c>
      <c r="BY105" s="883" t="str">
        <f>IFERROR(__xludf.DUMMYFUNCTION("""COMPUTED_VALUE"""),"1-50+ years old ")</f>
        <v>1-50+ years old </v>
      </c>
      <c r="BZ105" s="883">
        <f>IFERROR(__xludf.DUMMYFUNCTION("""COMPUTED_VALUE"""),1978.0)</f>
        <v>1978</v>
      </c>
      <c r="CA105" s="883"/>
      <c r="CB105" s="883"/>
      <c r="CC105" s="883" t="str">
        <f>IFERROR(__xludf.DUMMYFUNCTION("""COMPUTED_VALUE"""),"No")</f>
        <v>No</v>
      </c>
      <c r="CD105" s="884">
        <f>IFERROR(__xludf.DUMMYFUNCTION("""COMPUTED_VALUE"""),0.941)</f>
        <v>0.941</v>
      </c>
      <c r="CE105" s="883" t="str">
        <f>IFERROR(__xludf.DUMMYFUNCTION("""COMPUTED_VALUE"""),"No")</f>
        <v>No</v>
      </c>
      <c r="CF105" s="883"/>
      <c r="CG105" s="883"/>
      <c r="CH105" s="883"/>
      <c r="CI105" s="883"/>
      <c r="CJ105" s="883"/>
      <c r="CK105" s="883"/>
      <c r="CL105" s="883"/>
      <c r="CM105" s="884">
        <f>IFERROR(__xludf.DUMMYFUNCTION("""COMPUTED_VALUE"""),0.999)</f>
        <v>0.999</v>
      </c>
      <c r="CN105" s="883"/>
      <c r="CO105" s="883"/>
      <c r="CP105" s="883"/>
      <c r="CQ105" s="883"/>
      <c r="CR105" s="883"/>
      <c r="CS105" s="883"/>
      <c r="CT105" s="883"/>
      <c r="CU105" s="883"/>
      <c r="CV105" s="863"/>
      <c r="CW105" s="863"/>
      <c r="CX105" s="863"/>
      <c r="CY105" s="863"/>
      <c r="CZ105" s="863"/>
      <c r="DA105" s="863"/>
      <c r="DB105" s="863"/>
      <c r="DC105" s="863"/>
      <c r="DD105" s="863"/>
      <c r="DE105" s="863"/>
    </row>
    <row r="106">
      <c r="A106" s="887" t="str">
        <f>IFERROR(__xludf.DUMMYFUNCTION("""COMPUTED_VALUE"""),"Samuel et al.")</f>
        <v>Samuel et al.</v>
      </c>
      <c r="B106" s="876" t="str">
        <f>IFERROR(__xludf.DUMMYFUNCTION("""COMPUTED_VALUE"""),"Ethiopia")</f>
        <v>Ethiopia</v>
      </c>
      <c r="C106" s="876" t="str">
        <f>IFERROR(__xludf.DUMMYFUNCTION("""COMPUTED_VALUE"""),"Albendazole")</f>
        <v>Albendazole</v>
      </c>
      <c r="D106" s="876" t="str">
        <f>IFERROR(__xludf.DUMMYFUNCTION("""COMPUTED_VALUE"""),"Single")</f>
        <v>Single</v>
      </c>
      <c r="E106" s="876" t="str">
        <f>IFERROR(__xludf.DUMMYFUNCTION("""COMPUTED_VALUE"""),"400 mg")</f>
        <v>400 mg</v>
      </c>
      <c r="F106" s="876" t="str">
        <f>IFERROR(__xludf.DUMMYFUNCTION("""COMPUTED_VALUE"""),"197/320 screened out of 298")</f>
        <v>197/320 screened out of 298</v>
      </c>
      <c r="G106" s="876">
        <f>IFERROR(__xludf.DUMMYFUNCTION("""COMPUTED_VALUE"""),42506.0)</f>
        <v>42506</v>
      </c>
      <c r="H106" s="876" t="str">
        <f>IFERROR(__xludf.DUMMYFUNCTION("""COMPUTED_VALUE"""),"167:153")</f>
        <v>167:153</v>
      </c>
      <c r="I106" s="876">
        <f>IFERROR(__xludf.DUMMYFUNCTION("""COMPUTED_VALUE"""),2011.0)</f>
        <v>2011</v>
      </c>
      <c r="J106" s="876" t="str">
        <f>IFERROR(__xludf.DUMMYFUNCTION("""COMPUTED_VALUE"""),"Only Children who did not take anthelminthic drugs within 3 months before screening were enrolled")</f>
        <v>Only Children who did not take anthelminthic drugs within 3 months before screening were enrolled</v>
      </c>
      <c r="K106" s="876" t="str">
        <f>IFERROR(__xludf.DUMMYFUNCTION("""COMPUTED_VALUE"""),"open trial")</f>
        <v>open trial</v>
      </c>
      <c r="L106" s="876" t="str">
        <f>IFERROR(__xludf.DUMMYFUNCTION("""COMPUTED_VALUE"""),"No")</f>
        <v>No</v>
      </c>
      <c r="M106" s="876" t="str">
        <f>IFERROR(__xludf.DUMMYFUNCTION("""COMPUTED_VALUE"""),"No")</f>
        <v>No</v>
      </c>
      <c r="N106" s="877">
        <f>IFERROR(__xludf.DUMMYFUNCTION("""COMPUTED_VALUE"""),0.974)</f>
        <v>0.974</v>
      </c>
      <c r="O106" s="876"/>
      <c r="P106" s="876"/>
      <c r="Q106" s="876"/>
      <c r="R106" s="876"/>
      <c r="S106" s="876"/>
      <c r="T106" s="876"/>
      <c r="U106" s="876"/>
      <c r="V106" s="876"/>
      <c r="W106" s="876">
        <f>IFERROR(__xludf.DUMMYFUNCTION("""COMPUTED_VALUE"""),0.998)</f>
        <v>0.998</v>
      </c>
      <c r="X106" s="876"/>
      <c r="Y106" s="876"/>
      <c r="Z106" s="876"/>
      <c r="AA106" s="876"/>
      <c r="AB106" s="876"/>
      <c r="AC106" s="876"/>
      <c r="AD106" s="876"/>
      <c r="AE106" s="876" t="str">
        <f>IFERROR(__xludf.DUMMYFUNCTION("""COMPUTED_VALUE"""),"Notes: Kato technique")</f>
        <v>Notes: Kato technique</v>
      </c>
      <c r="AF106" s="876" t="str">
        <f>IFERROR(__xludf.DUMMYFUNCTION("""COMPUTED_VALUE"""),"Kato-Katz Method")</f>
        <v>Kato-Katz Method</v>
      </c>
      <c r="AG106" s="876" t="str">
        <f>IFERROR(__xludf.DUMMYFUNCTION("""COMPUTED_VALUE"""),"Samuel, AFikreslasie, Abraham Degarege, and Berhanu Erko. ""Efficacy and Side Effects of AlbendazoleCurrently in Use against Ascaris, Trichuris and Hookworm among School Children in Wondo Genet, Southern Ethiopia."" Parasitology International 63 (2014): 4"&amp;"50-55. Web.")</f>
        <v>Samuel, AFikreslasie, Abraham Degarege, and Berhanu Erko. "Efficacy and Side Effects of AlbendazoleCurrently in Use against Ascaris, Trichuris and Hookworm among School Children in Wondo Genet, Southern Ethiopia." Parasitology International 63 (2014): 450-55. Web.</v>
      </c>
      <c r="AH106" s="876" t="str">
        <f>IFERROR(__xludf.DUMMYFUNCTION("""COMPUTED_VALUE"""),"x")</f>
        <v>x</v>
      </c>
      <c r="AI106" s="878"/>
      <c r="AJ106" s="888" t="str">
        <f>IFERROR(__xludf.DUMMYFUNCTION("""COMPUTED_VALUE"""),"Keiser et al.")</f>
        <v>Keiser et al.</v>
      </c>
      <c r="AK106" s="880"/>
      <c r="AL106" s="880" t="str">
        <f>IFERROR(__xludf.DUMMYFUNCTION("""COMPUTED_VALUE"""),"Various locations")</f>
        <v>Various locations</v>
      </c>
      <c r="AM106" s="880" t="str">
        <f>IFERROR(__xludf.DUMMYFUNCTION("""COMPUTED_VALUE"""),"Pyrantel Embonate")</f>
        <v>Pyrantel Embonate</v>
      </c>
      <c r="AN106" s="880" t="str">
        <f>IFERROR(__xludf.DUMMYFUNCTION("""COMPUTED_VALUE"""),"Single")</f>
        <v>Single</v>
      </c>
      <c r="AO106" s="880" t="str">
        <f>IFERROR(__xludf.DUMMYFUNCTION("""COMPUTED_VALUE"""),"10 mg/kg")</f>
        <v>10 mg/kg</v>
      </c>
      <c r="AP106" s="880">
        <f>IFERROR(__xludf.DUMMYFUNCTION("""COMPUTED_VALUE"""),458.0)</f>
        <v>458</v>
      </c>
      <c r="AQ106" s="880" t="str">
        <f>IFERROR(__xludf.DUMMYFUNCTION("""COMPUTED_VALUE"""),"School Children and Adults")</f>
        <v>School Children and Adults</v>
      </c>
      <c r="AR106" s="880"/>
      <c r="AS106" s="880"/>
      <c r="AT106" s="880"/>
      <c r="AU106" s="880" t="str">
        <f>IFERROR(__xludf.DUMMYFUNCTION("""COMPUTED_VALUE"""),"No")</f>
        <v>No</v>
      </c>
      <c r="AV106" s="880"/>
      <c r="AW106" s="881" t="str">
        <f>IFERROR(__xludf.DUMMYFUNCTION("""COMPUTED_VALUE"""),"Systematic review")</f>
        <v>Systematic review</v>
      </c>
      <c r="AX106" s="863">
        <f>IFERROR(__xludf.DUMMYFUNCTION("""COMPUTED_VALUE"""),0.281)</f>
        <v>0.281</v>
      </c>
      <c r="AY106" s="863"/>
      <c r="AZ106" s="863"/>
      <c r="BA106" s="863"/>
      <c r="BB106" s="863"/>
      <c r="BC106" s="863"/>
      <c r="BD106" s="863"/>
      <c r="BE106" s="863"/>
      <c r="BF106" s="863"/>
      <c r="BG106" s="863"/>
      <c r="BH106" s="863"/>
      <c r="BI106" s="863"/>
      <c r="BJ106" s="863"/>
      <c r="BK106" s="863"/>
      <c r="BL106" s="863"/>
      <c r="BM106" s="863"/>
      <c r="BN106" s="863"/>
      <c r="BO106" s="863"/>
      <c r="BP106" s="880" t="str">
        <f>IFERROR(__xludf.DUMMYFUNCTION("""COMPUTED_VALUE"""),"x")</f>
        <v>x</v>
      </c>
      <c r="BQ106" s="863"/>
      <c r="BR106" s="889" t="str">
        <f>IFERROR(__xludf.DUMMYFUNCTION("""COMPUTED_VALUE"""),"Seo et al.")</f>
        <v>Seo et al.</v>
      </c>
      <c r="BS106" s="883" t="str">
        <f>IFERROR(__xludf.DUMMYFUNCTION("""COMPUTED_VALUE"""),"Korea")</f>
        <v>Korea</v>
      </c>
      <c r="BT106" s="883" t="str">
        <f>IFERROR(__xludf.DUMMYFUNCTION("""COMPUTED_VALUE"""),"Mebendazole")</f>
        <v>Mebendazole</v>
      </c>
      <c r="BU106" s="883"/>
      <c r="BV106" s="883" t="str">
        <f>IFERROR(__xludf.DUMMYFUNCTION("""COMPUTED_VALUE"""),"Four")</f>
        <v>Four</v>
      </c>
      <c r="BW106" s="883" t="str">
        <f>IFERROR(__xludf.DUMMYFUNCTION("""COMPUTED_VALUE"""),"400 mg")</f>
        <v>400 mg</v>
      </c>
      <c r="BX106" s="883">
        <f>IFERROR(__xludf.DUMMYFUNCTION("""COMPUTED_VALUE"""),17.0)</f>
        <v>17</v>
      </c>
      <c r="BY106" s="883" t="str">
        <f>IFERROR(__xludf.DUMMYFUNCTION("""COMPUTED_VALUE"""),"1-50+ years old ")</f>
        <v>1-50+ years old </v>
      </c>
      <c r="BZ106" s="883">
        <f>IFERROR(__xludf.DUMMYFUNCTION("""COMPUTED_VALUE"""),1978.0)</f>
        <v>1978</v>
      </c>
      <c r="CA106" s="883"/>
      <c r="CB106" s="883"/>
      <c r="CC106" s="883" t="str">
        <f>IFERROR(__xludf.DUMMYFUNCTION("""COMPUTED_VALUE"""),"No")</f>
        <v>No</v>
      </c>
      <c r="CD106" s="884">
        <f>IFERROR(__xludf.DUMMYFUNCTION("""COMPUTED_VALUE"""),1.0)</f>
        <v>1</v>
      </c>
      <c r="CE106" s="883" t="str">
        <f>IFERROR(__xludf.DUMMYFUNCTION("""COMPUTED_VALUE"""),"No")</f>
        <v>No</v>
      </c>
      <c r="CF106" s="883"/>
      <c r="CG106" s="883"/>
      <c r="CH106" s="883"/>
      <c r="CI106" s="883"/>
      <c r="CJ106" s="883"/>
      <c r="CK106" s="883"/>
      <c r="CL106" s="883"/>
      <c r="CM106" s="891">
        <f>IFERROR(__xludf.DUMMYFUNCTION("""COMPUTED_VALUE"""),1.0)</f>
        <v>1</v>
      </c>
      <c r="CN106" s="883"/>
      <c r="CO106" s="883"/>
      <c r="CP106" s="883"/>
      <c r="CQ106" s="883"/>
      <c r="CR106" s="883"/>
      <c r="CS106" s="883"/>
      <c r="CT106" s="883"/>
      <c r="CU106" s="883"/>
      <c r="CV106" s="863"/>
      <c r="CW106" s="863"/>
      <c r="CX106" s="863"/>
      <c r="CY106" s="863"/>
      <c r="CZ106" s="863"/>
      <c r="DA106" s="863"/>
      <c r="DB106" s="863"/>
      <c r="DC106" s="863"/>
      <c r="DD106" s="863"/>
      <c r="DE106" s="863"/>
    </row>
    <row r="107">
      <c r="A107" s="887" t="str">
        <f>IFERROR(__xludf.DUMMYFUNCTION("""COMPUTED_VALUE"""),"Scherrer et al.")</f>
        <v>Scherrer et al.</v>
      </c>
      <c r="B107" s="876" t="str">
        <f>IFERROR(__xludf.DUMMYFUNCTION("""COMPUTED_VALUE"""),"Cote d'Ivoire")</f>
        <v>Cote d'Ivoire</v>
      </c>
      <c r="C107" s="876" t="str">
        <f>IFERROR(__xludf.DUMMYFUNCTION("""COMPUTED_VALUE"""),"Albendazole")</f>
        <v>Albendazole</v>
      </c>
      <c r="D107" s="876" t="str">
        <f>IFERROR(__xludf.DUMMYFUNCTION("""COMPUTED_VALUE"""),"Single")</f>
        <v>Single</v>
      </c>
      <c r="E107" s="876" t="str">
        <f>IFERROR(__xludf.DUMMYFUNCTION("""COMPUTED_VALUE"""),"400 mg")</f>
        <v>400 mg</v>
      </c>
      <c r="F107" s="876">
        <f>IFERROR(__xludf.DUMMYFUNCTION("""COMPUTED_VALUE"""),52.0)</f>
        <v>52</v>
      </c>
      <c r="G107" s="876">
        <f>IFERROR(__xludf.DUMMYFUNCTION("""COMPUTED_VALUE"""),8.1)</f>
        <v>8.1</v>
      </c>
      <c r="H107" s="876" t="str">
        <f>IFERROR(__xludf.DUMMYFUNCTION("""COMPUTED_VALUE"""),"31:21")</f>
        <v>31:21</v>
      </c>
      <c r="I107" s="876">
        <f>IFERROR(__xludf.DUMMYFUNCTION("""COMPUTED_VALUE"""),2007.0)</f>
        <v>2007</v>
      </c>
      <c r="J107" s="876"/>
      <c r="K107" s="876" t="str">
        <f>IFERROR(__xludf.DUMMYFUNCTION("""COMPUTED_VALUE"""),"randomized trial")</f>
        <v>randomized trial</v>
      </c>
      <c r="L107" s="876" t="str">
        <f>IFERROR(__xludf.DUMMYFUNCTION("""COMPUTED_VALUE"""),"Yes")</f>
        <v>Yes</v>
      </c>
      <c r="M107" s="876" t="str">
        <f>IFERROR(__xludf.DUMMYFUNCTION("""COMPUTED_VALUE"""),"Yes")</f>
        <v>Yes</v>
      </c>
      <c r="N107" s="877">
        <f>IFERROR(__xludf.DUMMYFUNCTION("""COMPUTED_VALUE"""),0.55)</f>
        <v>0.55</v>
      </c>
      <c r="O107" s="876"/>
      <c r="P107" s="876"/>
      <c r="Q107" s="876"/>
      <c r="R107" s="876"/>
      <c r="S107" s="876"/>
      <c r="T107" s="876"/>
      <c r="U107" s="876"/>
      <c r="V107" s="876"/>
      <c r="W107" s="876" t="str">
        <f>IFERROR(__xludf.DUMMYFUNCTION("""COMPUTED_VALUE"""),"44 day trial: 95.2–97.9%")</f>
        <v>44 day trial: 95.2–97.9%</v>
      </c>
      <c r="X107" s="876"/>
      <c r="Y107" s="876"/>
      <c r="Z107" s="876"/>
      <c r="AA107" s="876"/>
      <c r="AB107" s="876"/>
      <c r="AC107" s="876"/>
      <c r="AD107" s="876"/>
      <c r="AE107" s="876" t="str">
        <f>IFERROR(__xludf.DUMMYFUNCTION("""COMPUTED_VALUE"""),"In spite of the rather low cure rates obtained, Albendazoleis appropriate in the large-scale morbidity control of hookworm infections, owing to the high egg reduction rates observed.")</f>
        <v>In spite of the rather low cure rates obtained, Albendazoleis appropriate in the large-scale morbidity control of hookworm infections, owing to the high egg reduction rates observed.</v>
      </c>
      <c r="AF107" s="876" t="str">
        <f>IFERROR(__xludf.DUMMYFUNCTION("""COMPUTED_VALUE"""),"Kato-Katz method")</f>
        <v>Kato-Katz method</v>
      </c>
      <c r="AG107" s="876" t="str">
        <f>IFERROR(__xludf.DUMMYFUNCTION("""COMPUTED_VALUE"""),"Scherrer A U, Sjöberg M K, Allangba A, Traoré M, Lohourignon L K, Tschannen A B, et al. Sequential analysis of helminth egg output in human stool samples following Albendazoleand praziquantel administration. Acta Tropica Elsevier BV [Internet]. 2009 [cite"&amp;"d 2015 Sep 29];109(3): 226-231.")</f>
        <v>Scherrer A U, Sjöberg M K, Allangba A, Traoré M, Lohourignon L K, Tschannen A B, et al. Sequential analysis of helminth egg output in human stool samples following Albendazoleand praziquantel administration. Acta Tropica Elsevier BV [Internet]. 2009 [cited 2015 Sep 29];109(3): 226-231.</v>
      </c>
      <c r="AH107" s="876" t="str">
        <f>IFERROR(__xludf.DUMMYFUNCTION("""COMPUTED_VALUE"""),"x")</f>
        <v>x</v>
      </c>
      <c r="AI107" s="878"/>
      <c r="AJ107" s="888" t="str">
        <f>IFERROR(__xludf.DUMMYFUNCTION("""COMPUTED_VALUE"""),"Keiser et al.")</f>
        <v>Keiser et al.</v>
      </c>
      <c r="AK107" s="880"/>
      <c r="AL107" s="880" t="str">
        <f>IFERROR(__xludf.DUMMYFUNCTION("""COMPUTED_VALUE"""),"Various locations")</f>
        <v>Various locations</v>
      </c>
      <c r="AM107" s="880" t="str">
        <f>IFERROR(__xludf.DUMMYFUNCTION("""COMPUTED_VALUE"""),"Levamisole")</f>
        <v>Levamisole</v>
      </c>
      <c r="AN107" s="880" t="str">
        <f>IFERROR(__xludf.DUMMYFUNCTION("""COMPUTED_VALUE"""),"Single")</f>
        <v>Single</v>
      </c>
      <c r="AO107" s="880" t="str">
        <f>IFERROR(__xludf.DUMMYFUNCTION("""COMPUTED_VALUE"""),"2.5 mg/kg or 80 mg")</f>
        <v>2.5 mg/kg or 80 mg</v>
      </c>
      <c r="AP107" s="880">
        <f>IFERROR(__xludf.DUMMYFUNCTION("""COMPUTED_VALUE"""),186.0)</f>
        <v>186</v>
      </c>
      <c r="AQ107" s="880" t="str">
        <f>IFERROR(__xludf.DUMMYFUNCTION("""COMPUTED_VALUE"""),"School Children and Adults")</f>
        <v>School Children and Adults</v>
      </c>
      <c r="AR107" s="880"/>
      <c r="AS107" s="880"/>
      <c r="AT107" s="880"/>
      <c r="AU107" s="880" t="str">
        <f>IFERROR(__xludf.DUMMYFUNCTION("""COMPUTED_VALUE"""),"No")</f>
        <v>No</v>
      </c>
      <c r="AV107" s="880"/>
      <c r="AW107" s="881" t="str">
        <f>IFERROR(__xludf.DUMMYFUNCTION("""COMPUTED_VALUE"""),"Systematic review")</f>
        <v>Systematic review</v>
      </c>
      <c r="AX107" s="863">
        <f>IFERROR(__xludf.DUMMYFUNCTION("""COMPUTED_VALUE"""),0.086)</f>
        <v>0.086</v>
      </c>
      <c r="AY107" s="863"/>
      <c r="AZ107" s="863"/>
      <c r="BA107" s="863"/>
      <c r="BB107" s="863"/>
      <c r="BC107" s="863"/>
      <c r="BD107" s="863"/>
      <c r="BE107" s="863"/>
      <c r="BF107" s="863"/>
      <c r="BG107" s="863"/>
      <c r="BH107" s="863"/>
      <c r="BI107" s="863"/>
      <c r="BJ107" s="863"/>
      <c r="BK107" s="863"/>
      <c r="BL107" s="863"/>
      <c r="BM107" s="863"/>
      <c r="BN107" s="863"/>
      <c r="BO107" s="863"/>
      <c r="BP107" s="880" t="str">
        <f>IFERROR(__xludf.DUMMYFUNCTION("""COMPUTED_VALUE"""),"x")</f>
        <v>x</v>
      </c>
      <c r="BQ107" s="863"/>
      <c r="BR107" s="889" t="str">
        <f>IFERROR(__xludf.DUMMYFUNCTION("""COMPUTED_VALUE"""),"Seo et al.")</f>
        <v>Seo et al.</v>
      </c>
      <c r="BS107" s="883" t="str">
        <f>IFERROR(__xludf.DUMMYFUNCTION("""COMPUTED_VALUE"""),"Korea")</f>
        <v>Korea</v>
      </c>
      <c r="BT107" s="883" t="str">
        <f>IFERROR(__xludf.DUMMYFUNCTION("""COMPUTED_VALUE"""),"Mebendazole")</f>
        <v>Mebendazole</v>
      </c>
      <c r="BU107" s="883"/>
      <c r="BV107" s="883" t="str">
        <f>IFERROR(__xludf.DUMMYFUNCTION("""COMPUTED_VALUE"""),"Six")</f>
        <v>Six</v>
      </c>
      <c r="BW107" s="883" t="str">
        <f>IFERROR(__xludf.DUMMYFUNCTION("""COMPUTED_VALUE"""),"600 mg")</f>
        <v>600 mg</v>
      </c>
      <c r="BX107" s="883">
        <f>IFERROR(__xludf.DUMMYFUNCTION("""COMPUTED_VALUE"""),20.0)</f>
        <v>20</v>
      </c>
      <c r="BY107" s="883" t="str">
        <f>IFERROR(__xludf.DUMMYFUNCTION("""COMPUTED_VALUE"""),"1-50+ years old ")</f>
        <v>1-50+ years old </v>
      </c>
      <c r="BZ107" s="883">
        <f>IFERROR(__xludf.DUMMYFUNCTION("""COMPUTED_VALUE"""),1978.0)</f>
        <v>1978</v>
      </c>
      <c r="CA107" s="883"/>
      <c r="CB107" s="883"/>
      <c r="CC107" s="883" t="str">
        <f>IFERROR(__xludf.DUMMYFUNCTION("""COMPUTED_VALUE"""),"No")</f>
        <v>No</v>
      </c>
      <c r="CD107" s="884">
        <f>IFERROR(__xludf.DUMMYFUNCTION("""COMPUTED_VALUE"""),1.0)</f>
        <v>1</v>
      </c>
      <c r="CE107" s="883" t="str">
        <f>IFERROR(__xludf.DUMMYFUNCTION("""COMPUTED_VALUE"""),"No")</f>
        <v>No</v>
      </c>
      <c r="CF107" s="883"/>
      <c r="CG107" s="883"/>
      <c r="CH107" s="883"/>
      <c r="CI107" s="883"/>
      <c r="CJ107" s="883"/>
      <c r="CK107" s="883"/>
      <c r="CL107" s="883"/>
      <c r="CM107" s="891">
        <f>IFERROR(__xludf.DUMMYFUNCTION("""COMPUTED_VALUE"""),1.0)</f>
        <v>1</v>
      </c>
      <c r="CN107" s="883"/>
      <c r="CO107" s="883"/>
      <c r="CP107" s="883"/>
      <c r="CQ107" s="883"/>
      <c r="CR107" s="883"/>
      <c r="CS107" s="883"/>
      <c r="CT107" s="883"/>
      <c r="CU107" s="883"/>
      <c r="CV107" s="863"/>
      <c r="CW107" s="863"/>
      <c r="CX107" s="863"/>
      <c r="CY107" s="863"/>
      <c r="CZ107" s="863"/>
      <c r="DA107" s="863"/>
      <c r="DB107" s="863"/>
      <c r="DC107" s="863"/>
      <c r="DD107" s="863"/>
      <c r="DE107" s="863"/>
    </row>
    <row r="108">
      <c r="A108" s="887" t="str">
        <f>IFERROR(__xludf.DUMMYFUNCTION("""COMPUTED_VALUE"""),"Shaw et al.")</f>
        <v>Shaw et al.</v>
      </c>
      <c r="B108" s="876" t="str">
        <f>IFERROR(__xludf.DUMMYFUNCTION("""COMPUTED_VALUE"""),"Philippines")</f>
        <v>Philippines</v>
      </c>
      <c r="C108" s="876" t="str">
        <f>IFERROR(__xludf.DUMMYFUNCTION("""COMPUTED_VALUE"""),"Praziquantel")</f>
        <v>Praziquantel</v>
      </c>
      <c r="D108" s="876" t="str">
        <f>IFERROR(__xludf.DUMMYFUNCTION("""COMPUTED_VALUE"""),"Single")</f>
        <v>Single</v>
      </c>
      <c r="E108" s="876" t="str">
        <f>IFERROR(__xludf.DUMMYFUNCTION("""COMPUTED_VALUE"""),"60 mg")</f>
        <v>60 mg</v>
      </c>
      <c r="F108" s="876">
        <f>IFERROR(__xludf.DUMMYFUNCTION("""COMPUTED_VALUE"""),607.0)</f>
        <v>607</v>
      </c>
      <c r="G108" s="876">
        <f>IFERROR(__xludf.DUMMYFUNCTION("""COMPUTED_VALUE"""),15.0)</f>
        <v>15</v>
      </c>
      <c r="H108" s="876" t="str">
        <f>IFERROR(__xludf.DUMMYFUNCTION("""COMPUTED_VALUE"""),"63.1% male")</f>
        <v>63.1% male</v>
      </c>
      <c r="I108" s="876">
        <f>IFERROR(__xludf.DUMMYFUNCTION("""COMPUTED_VALUE"""),2009.0)</f>
        <v>2009</v>
      </c>
      <c r="J108" s="876" t="str">
        <f>IFERROR(__xludf.DUMMYFUNCTION("""COMPUTED_VALUE"""),"S. japonicum infected 7- to 30-year-old males and non-pregnant females in Leyte, the Philippines were included. Subjects with severe hepatomegaly or grade II or higher hepatic fibrosis on ultrasound examination, as well as subjects with severe anemia (hem"&amp;"oglobin &lt; 7.0 g/dL) or severe wasting (weight for height Z score &lt; −3.0), were excluded from participation.")</f>
        <v>S. japonicum infected 7- to 30-year-old males and non-pregnant females in Leyte, the Philippines were included. Subjects with severe hepatomegaly or grade II or higher hepatic fibrosis on ultrasound examination, as well as subjects with severe anemia (hemoglobin &lt; 7.0 g/dL) or severe wasting (weight for height Z score &lt; −3.0), were excluded from participation.</v>
      </c>
      <c r="K108" s="876" t="str">
        <f>IFERROR(__xludf.DUMMYFUNCTION("""COMPUTED_VALUE"""),"randomized longitudinal")</f>
        <v>randomized longitudinal</v>
      </c>
      <c r="L108" s="876" t="str">
        <f>IFERROR(__xludf.DUMMYFUNCTION("""COMPUTED_VALUE"""),"Yes")</f>
        <v>Yes</v>
      </c>
      <c r="M108" s="876" t="str">
        <f>IFERROR(__xludf.DUMMYFUNCTION("""COMPUTED_VALUE"""),"No")</f>
        <v>No</v>
      </c>
      <c r="N108" s="877">
        <f>IFERROR(__xludf.DUMMYFUNCTION("""COMPUTED_VALUE"""),0.237)</f>
        <v>0.237</v>
      </c>
      <c r="O108" s="876"/>
      <c r="P108" s="876"/>
      <c r="Q108" s="876"/>
      <c r="R108" s="876"/>
      <c r="S108" s="876"/>
      <c r="T108" s="876"/>
      <c r="U108" s="876"/>
      <c r="V108" s="876"/>
      <c r="W108" s="876">
        <f>IFERROR(__xludf.DUMMYFUNCTION("""COMPUTED_VALUE"""),0.408)</f>
        <v>0.408</v>
      </c>
      <c r="X108" s="876"/>
      <c r="Y108" s="876"/>
      <c r="Z108" s="876"/>
      <c r="AA108" s="876"/>
      <c r="AB108" s="876"/>
      <c r="AC108" s="876"/>
      <c r="AD108" s="876"/>
      <c r="AE108" s="876" t="str">
        <f>IFERROR(__xludf.DUMMYFUNCTION("""COMPUTED_VALUE"""),"Treatment with praziquantel was followed by a reduction in hookworm prevalence and intensity of infection for up to 12 months, with prevalence and intensity at consistently lower levels than baseline for 12 months after treatment.")</f>
        <v>Treatment with praziquantel was followed by a reduction in hookworm prevalence and intensity of infection for up to 12 months, with prevalence and intensity at consistently lower levels than baseline for 12 months after treatment.</v>
      </c>
      <c r="AF108" s="876" t="str">
        <f>IFERROR(__xludf.DUMMYFUNCTION("""COMPUTED_VALUE"""),"Kato Katz method")</f>
        <v>Kato Katz method</v>
      </c>
      <c r="AG108" s="876" t="str">
        <f>IFERROR(__xludf.DUMMYFUNCTION("""COMPUTED_VALUE"""),"Shaw, J. G., Aggarwal, N., Acosta, L. P., Jiz, M. A., Wu, H., Leenstra, T., Coutinho, H. M., Olveda, R. M., Kurtis, J. D., McGarvey, S. T., and Friedman, J. F. “Reduction in Hookworm Infection after Praziquantel Treatment among Children and Young Adults i"&amp;"n Leyte, the Philippines”. The American Society of Tropical Medicine and Hygiene 83 (2010): 416–421. Web.")</f>
        <v>Shaw, J. G., Aggarwal, N., Acosta, L. P., Jiz, M. A., Wu, H., Leenstra, T., Coutinho, H. M., Olveda, R. M., Kurtis, J. D., McGarvey, S. T., and Friedman, J. F. “Reduction in Hookworm Infection after Praziquantel Treatment among Children and Young Adults in Leyte, the Philippines”. The American Society of Tropical Medicine and Hygiene 83 (2010): 416–421. Web.</v>
      </c>
      <c r="AH108" s="876" t="str">
        <f>IFERROR(__xludf.DUMMYFUNCTION("""COMPUTED_VALUE"""),"x")</f>
        <v>x</v>
      </c>
      <c r="AI108" s="878"/>
      <c r="AJ108" s="888" t="str">
        <f>IFERROR(__xludf.DUMMYFUNCTION("""COMPUTED_VALUE"""),"Bennet et al.")</f>
        <v>Bennet et al.</v>
      </c>
      <c r="AK108" s="880" t="str">
        <f>IFERROR(__xludf.DUMMYFUNCTION("""COMPUTED_VALUE"""),"Bennett, A., and H. Guyatt. ""Reducing Intestinal Nematode Infection: Efficacy of Albendazoleand Mebendazole."" Parasitology Today 16.2 (2000): 71-74. Web.")</f>
        <v>Bennett, A., and H. Guyatt. "Reducing Intestinal Nematode Infection: Efficacy of Albendazoleand Mebendazole." Parasitology Today 16.2 (2000): 71-74. Web.</v>
      </c>
      <c r="AL108" s="880" t="str">
        <f>IFERROR(__xludf.DUMMYFUNCTION("""COMPUTED_VALUE"""),"Asia")</f>
        <v>Asia</v>
      </c>
      <c r="AM108" s="880" t="str">
        <f>IFERROR(__xludf.DUMMYFUNCTION("""COMPUTED_VALUE"""),"Albendazole")</f>
        <v>Albendazole</v>
      </c>
      <c r="AN108" s="880" t="str">
        <f>IFERROR(__xludf.DUMMYFUNCTION("""COMPUTED_VALUE"""),"Single")</f>
        <v>Single</v>
      </c>
      <c r="AO108" s="880" t="str">
        <f>IFERROR(__xludf.DUMMYFUNCTION("""COMPUTED_VALUE"""),"400 mg")</f>
        <v>400 mg</v>
      </c>
      <c r="AP108" s="880">
        <f>IFERROR(__xludf.DUMMYFUNCTION("""COMPUTED_VALUE"""),161.0)</f>
        <v>161</v>
      </c>
      <c r="AQ108" s="880"/>
      <c r="AR108" s="880"/>
      <c r="AS108" s="880">
        <f>IFERROR(__xludf.DUMMYFUNCTION("""COMPUTED_VALUE"""),2000.0)</f>
        <v>2000</v>
      </c>
      <c r="AT108" s="880"/>
      <c r="AU108" s="880" t="str">
        <f>IFERROR(__xludf.DUMMYFUNCTION("""COMPUTED_VALUE"""),"No")</f>
        <v>No</v>
      </c>
      <c r="AV108" s="880"/>
      <c r="AW108" s="881" t="str">
        <f>IFERROR(__xludf.DUMMYFUNCTION("""COMPUTED_VALUE"""),"review")</f>
        <v>review</v>
      </c>
      <c r="AX108" s="863">
        <f>IFERROR(__xludf.DUMMYFUNCTION("""COMPUTED_VALUE"""),0.31)</f>
        <v>0.31</v>
      </c>
      <c r="AY108" s="863"/>
      <c r="AZ108" s="863"/>
      <c r="BA108" s="863"/>
      <c r="BB108" s="863"/>
      <c r="BC108" s="863"/>
      <c r="BD108" s="863"/>
      <c r="BE108" s="863"/>
      <c r="BF108" s="863"/>
      <c r="BG108" s="863"/>
      <c r="BH108" s="863">
        <f>IFERROR(__xludf.DUMMYFUNCTION("""COMPUTED_VALUE"""),0.8)</f>
        <v>0.8</v>
      </c>
      <c r="BI108" s="863"/>
      <c r="BJ108" s="863"/>
      <c r="BK108" s="863"/>
      <c r="BL108" s="863"/>
      <c r="BM108" s="863"/>
      <c r="BN108" s="863"/>
      <c r="BO108" s="863" t="str">
        <f>IFERROR(__xludf.DUMMYFUNCTION("""COMPUTED_VALUE"""),"Kato-Based Methods")</f>
        <v>Kato-Based Methods</v>
      </c>
      <c r="BP108" s="880" t="str">
        <f>IFERROR(__xludf.DUMMYFUNCTION("""COMPUTED_VALUE"""),"x")</f>
        <v>x</v>
      </c>
      <c r="BQ108" s="863"/>
      <c r="BR108" s="889" t="str">
        <f>IFERROR(__xludf.DUMMYFUNCTION("""COMPUTED_VALUE"""),"Albonico et al.")</f>
        <v>Albonico et al.</v>
      </c>
      <c r="BS108" s="883" t="str">
        <f>IFERROR(__xludf.DUMMYFUNCTION("""COMPUTED_VALUE"""),"Zanzibar")</f>
        <v>Zanzibar</v>
      </c>
      <c r="BT108" s="883" t="str">
        <f>IFERROR(__xludf.DUMMYFUNCTION("""COMPUTED_VALUE"""),"Mebendazole")</f>
        <v>Mebendazole</v>
      </c>
      <c r="BU108" s="883"/>
      <c r="BV108" s="883" t="str">
        <f>IFERROR(__xludf.DUMMYFUNCTION("""COMPUTED_VALUE"""),"Single")</f>
        <v>Single</v>
      </c>
      <c r="BW108" s="883" t="str">
        <f>IFERROR(__xludf.DUMMYFUNCTION("""COMPUTED_VALUE"""),"500 mg")</f>
        <v>500 mg</v>
      </c>
      <c r="BX108" s="883">
        <f>IFERROR(__xludf.DUMMYFUNCTION("""COMPUTED_VALUE"""),116.0)</f>
        <v>116</v>
      </c>
      <c r="BY108" s="883" t="str">
        <f>IFERROR(__xludf.DUMMYFUNCTION("""COMPUTED_VALUE"""),"School children")</f>
        <v>School children</v>
      </c>
      <c r="BZ108" s="883">
        <f>IFERROR(__xludf.DUMMYFUNCTION("""COMPUTED_VALUE"""),2003.0)</f>
        <v>2003</v>
      </c>
      <c r="CA108" s="883"/>
      <c r="CB108" s="883"/>
      <c r="CC108" s="883" t="str">
        <f>IFERROR(__xludf.DUMMYFUNCTION("""COMPUTED_VALUE"""),"No")</f>
        <v>No</v>
      </c>
      <c r="CD108" s="884">
        <f>IFERROR(__xludf.DUMMYFUNCTION("""COMPUTED_VALUE"""),1.0)</f>
        <v>1</v>
      </c>
      <c r="CE108" s="883" t="str">
        <f>IFERROR(__xludf.DUMMYFUNCTION("""COMPUTED_VALUE"""),"Yes")</f>
        <v>Yes</v>
      </c>
      <c r="CF108" s="883"/>
      <c r="CG108" s="883"/>
      <c r="CH108" s="883"/>
      <c r="CI108" s="883"/>
      <c r="CJ108" s="883"/>
      <c r="CK108" s="883"/>
      <c r="CL108" s="883"/>
      <c r="CM108" s="883">
        <f>IFERROR(__xludf.DUMMYFUNCTION("""COMPUTED_VALUE"""),97.9)</f>
        <v>97.9</v>
      </c>
      <c r="CN108" s="883"/>
      <c r="CO108" s="883"/>
      <c r="CP108" s="883"/>
      <c r="CQ108" s="883"/>
      <c r="CR108" s="883"/>
      <c r="CS108" s="883"/>
      <c r="CT108" s="883" t="str">
        <f>IFERROR(__xludf.DUMMYFUNCTION("""COMPUTED_VALUE""")," Kato–Katz technique")</f>
        <v> Kato–Katz technique</v>
      </c>
      <c r="CU108" s="883"/>
      <c r="CV108" s="863"/>
      <c r="CW108" s="863"/>
      <c r="CX108" s="863"/>
      <c r="CY108" s="863"/>
      <c r="CZ108" s="863"/>
      <c r="DA108" s="863"/>
      <c r="DB108" s="863"/>
      <c r="DC108" s="863"/>
      <c r="DD108" s="863"/>
      <c r="DE108" s="863"/>
    </row>
    <row r="109">
      <c r="A109" s="887" t="str">
        <f>IFERROR(__xludf.DUMMYFUNCTION("""COMPUTED_VALUE"""),"Smith et al.")</f>
        <v>Smith et al.</v>
      </c>
      <c r="B109" s="876" t="str">
        <f>IFERROR(__xludf.DUMMYFUNCTION("""COMPUTED_VALUE"""),"Tanzania")</f>
        <v>Tanzania</v>
      </c>
      <c r="C109" s="876" t="str">
        <f>IFERROR(__xludf.DUMMYFUNCTION("""COMPUTED_VALUE"""),"Albendazole")</f>
        <v>Albendazole</v>
      </c>
      <c r="D109" s="876" t="str">
        <f>IFERROR(__xludf.DUMMYFUNCTION("""COMPUTED_VALUE"""),"Single")</f>
        <v>Single</v>
      </c>
      <c r="E109" s="876" t="str">
        <f>IFERROR(__xludf.DUMMYFUNCTION("""COMPUTED_VALUE"""),"400 mg")</f>
        <v>400 mg</v>
      </c>
      <c r="F109" s="876">
        <f>IFERROR(__xludf.DUMMYFUNCTION("""COMPUTED_VALUE"""),377.0)</f>
        <v>377</v>
      </c>
      <c r="G109" s="876"/>
      <c r="H109" s="876"/>
      <c r="I109" s="876">
        <f>IFERROR(__xludf.DUMMYFUNCTION("""COMPUTED_VALUE"""),1994.0)</f>
        <v>1994</v>
      </c>
      <c r="J109" s="876"/>
      <c r="K109" s="876" t="str">
        <f>IFERROR(__xludf.DUMMYFUNCTION("""COMPUTED_VALUE"""),"randomized trial")</f>
        <v>randomized trial</v>
      </c>
      <c r="L109" s="876" t="str">
        <f>IFERROR(__xludf.DUMMYFUNCTION("""COMPUTED_VALUE"""),"Yes")</f>
        <v>Yes</v>
      </c>
      <c r="M109" s="876" t="str">
        <f>IFERROR(__xludf.DUMMYFUNCTION("""COMPUTED_VALUE"""),"No")</f>
        <v>No</v>
      </c>
      <c r="N109" s="877">
        <f>IFERROR(__xludf.DUMMYFUNCTION("""COMPUTED_VALUE"""),0.974)</f>
        <v>0.974</v>
      </c>
      <c r="O109" s="876"/>
      <c r="P109" s="876"/>
      <c r="Q109" s="876"/>
      <c r="R109" s="876"/>
      <c r="S109" s="876"/>
      <c r="T109" s="876"/>
      <c r="U109" s="876"/>
      <c r="V109" s="876"/>
      <c r="W109" s="876">
        <f>IFERROR(__xludf.DUMMYFUNCTION("""COMPUTED_VALUE"""),0.974)</f>
        <v>0.974</v>
      </c>
      <c r="X109" s="876"/>
      <c r="Y109" s="876"/>
      <c r="Z109" s="876"/>
      <c r="AA109" s="876"/>
      <c r="AB109" s="876"/>
      <c r="AC109" s="876"/>
      <c r="AD109" s="876"/>
      <c r="AE109" s="876"/>
      <c r="AF109" s="876" t="str">
        <f>IFERROR(__xludf.DUMMYFUNCTION("""COMPUTED_VALUE"""),"Kato-Katz Technique")</f>
        <v>Kato-Katz Technique</v>
      </c>
      <c r="AG109" s="876" t="str">
        <f>IFERROR(__xludf.DUMMYFUNCTION("""COMPUTED_VALUE"""),"Albonico, Marco, Peter G. Smith, Elena Ercole, Andrew Hall, Hababu M. Chwaya, Kassim S. Alawi, and Lorenzo Savoli. ""Rate of Reinfection with Tenstinal Nematodes after Treatment of Children with Mebendazoleor Albendazolein a Highly Endemic Area."" Transac"&amp;"tions of the Royal Society of Tropical Medicine and Hygiene 89 (1995): 538-41. Web.")</f>
        <v>Albonico, Marco, Peter G. Smith, Elena Ercole, Andrew Hall, Hababu M. Chwaya, Kassim S. Alawi, and Lorenzo Savoli. "Rate of Reinfection with Tenstinal Nematodes after Treatment of Children with Mebendazoleor Albendazolein a Highly Endemic Area." Transactions of the Royal Society of Tropical Medicine and Hygiene 89 (1995): 538-41. Web.</v>
      </c>
      <c r="AH109" s="876"/>
      <c r="AI109" s="878"/>
      <c r="AJ109" s="888" t="str">
        <f>IFERROR(__xludf.DUMMYFUNCTION("""COMPUTED_VALUE"""),"Bennet et al.")</f>
        <v>Bennet et al.</v>
      </c>
      <c r="AK109" s="880"/>
      <c r="AL109" s="880" t="str">
        <f>IFERROR(__xludf.DUMMYFUNCTION("""COMPUTED_VALUE"""),"Asia")</f>
        <v>Asia</v>
      </c>
      <c r="AM109" s="880" t="str">
        <f>IFERROR(__xludf.DUMMYFUNCTION("""COMPUTED_VALUE"""),"Mebendazole")</f>
        <v>Mebendazole</v>
      </c>
      <c r="AN109" s="880" t="str">
        <f>IFERROR(__xludf.DUMMYFUNCTION("""COMPUTED_VALUE"""),"Single")</f>
        <v>Single</v>
      </c>
      <c r="AO109" s="880" t="str">
        <f>IFERROR(__xludf.DUMMYFUNCTION("""COMPUTED_VALUE"""),"500 mg")</f>
        <v>500 mg</v>
      </c>
      <c r="AP109" s="880"/>
      <c r="AQ109" s="880"/>
      <c r="AR109" s="880"/>
      <c r="AS109" s="880">
        <f>IFERROR(__xludf.DUMMYFUNCTION("""COMPUTED_VALUE"""),2000.0)</f>
        <v>2000</v>
      </c>
      <c r="AT109" s="880"/>
      <c r="AU109" s="880" t="str">
        <f>IFERROR(__xludf.DUMMYFUNCTION("""COMPUTED_VALUE"""),"No")</f>
        <v>No</v>
      </c>
      <c r="AV109" s="880"/>
      <c r="AW109" s="881" t="str">
        <f>IFERROR(__xludf.DUMMYFUNCTION("""COMPUTED_VALUE"""),"review")</f>
        <v>review</v>
      </c>
      <c r="AX109" s="863">
        <f>IFERROR(__xludf.DUMMYFUNCTION("""COMPUTED_VALUE"""),0.35)</f>
        <v>0.35</v>
      </c>
      <c r="AY109" s="863"/>
      <c r="AZ109" s="863"/>
      <c r="BA109" s="863"/>
      <c r="BB109" s="863"/>
      <c r="BC109" s="863"/>
      <c r="BD109" s="863"/>
      <c r="BE109" s="863"/>
      <c r="BF109" s="863"/>
      <c r="BG109" s="863"/>
      <c r="BH109" s="863">
        <f>IFERROR(__xludf.DUMMYFUNCTION("""COMPUTED_VALUE"""),0.81)</f>
        <v>0.81</v>
      </c>
      <c r="BI109" s="863"/>
      <c r="BJ109" s="863"/>
      <c r="BK109" s="863"/>
      <c r="BL109" s="863"/>
      <c r="BM109" s="863"/>
      <c r="BN109" s="863"/>
      <c r="BO109" s="863"/>
      <c r="BP109" s="880" t="str">
        <f>IFERROR(__xludf.DUMMYFUNCTION("""COMPUTED_VALUE"""),"x")</f>
        <v>x</v>
      </c>
      <c r="BQ109" s="863"/>
      <c r="BR109" s="889" t="str">
        <f>IFERROR(__xludf.DUMMYFUNCTION("""COMPUTED_VALUE"""),"Albonico et al.")</f>
        <v>Albonico et al.</v>
      </c>
      <c r="BS109" s="883" t="str">
        <f>IFERROR(__xludf.DUMMYFUNCTION("""COMPUTED_VALUE"""),"Zanzibar")</f>
        <v>Zanzibar</v>
      </c>
      <c r="BT109" s="883" t="str">
        <f>IFERROR(__xludf.DUMMYFUNCTION("""COMPUTED_VALUE"""),"Levamisole")</f>
        <v>Levamisole</v>
      </c>
      <c r="BU109" s="883"/>
      <c r="BV109" s="883" t="str">
        <f>IFERROR(__xludf.DUMMYFUNCTION("""COMPUTED_VALUE"""),"Single")</f>
        <v>Single</v>
      </c>
      <c r="BW109" s="883" t="str">
        <f>IFERROR(__xludf.DUMMYFUNCTION("""COMPUTED_VALUE"""),"40 mg; 80 mg")</f>
        <v>40 mg; 80 mg</v>
      </c>
      <c r="BX109" s="883">
        <f>IFERROR(__xludf.DUMMYFUNCTION("""COMPUTED_VALUE"""),112.0)</f>
        <v>112</v>
      </c>
      <c r="BY109" s="883" t="str">
        <f>IFERROR(__xludf.DUMMYFUNCTION("""COMPUTED_VALUE"""),"School children")</f>
        <v>School children</v>
      </c>
      <c r="BZ109" s="883">
        <f>IFERROR(__xludf.DUMMYFUNCTION("""COMPUTED_VALUE"""),2003.0)</f>
        <v>2003</v>
      </c>
      <c r="CA109" s="883"/>
      <c r="CB109" s="883"/>
      <c r="CC109" s="883" t="str">
        <f>IFERROR(__xludf.DUMMYFUNCTION("""COMPUTED_VALUE"""),"No")</f>
        <v>No</v>
      </c>
      <c r="CD109" s="884">
        <f>IFERROR(__xludf.DUMMYFUNCTION("""COMPUTED_VALUE"""),0.875)</f>
        <v>0.875</v>
      </c>
      <c r="CE109" s="883" t="str">
        <f>IFERROR(__xludf.DUMMYFUNCTION("""COMPUTED_VALUE"""),"Yes")</f>
        <v>Yes</v>
      </c>
      <c r="CF109" s="883"/>
      <c r="CG109" s="883"/>
      <c r="CH109" s="883"/>
      <c r="CI109" s="883"/>
      <c r="CJ109" s="883"/>
      <c r="CK109" s="883"/>
      <c r="CL109" s="883"/>
      <c r="CM109" s="883">
        <f>IFERROR(__xludf.DUMMYFUNCTION("""COMPUTED_VALUE"""),96.1)</f>
        <v>96.1</v>
      </c>
      <c r="CN109" s="883"/>
      <c r="CO109" s="883"/>
      <c r="CP109" s="883"/>
      <c r="CQ109" s="883"/>
      <c r="CR109" s="883"/>
      <c r="CS109" s="883"/>
      <c r="CT109" s="883"/>
      <c r="CU109" s="883"/>
      <c r="CV109" s="863"/>
      <c r="CW109" s="863"/>
      <c r="CX109" s="863"/>
      <c r="CY109" s="863"/>
      <c r="CZ109" s="863"/>
      <c r="DA109" s="863"/>
      <c r="DB109" s="863"/>
      <c r="DC109" s="863"/>
      <c r="DD109" s="863"/>
      <c r="DE109" s="863"/>
    </row>
    <row r="110">
      <c r="A110" s="887" t="str">
        <f>IFERROR(__xludf.DUMMYFUNCTION("""COMPUTED_VALUE"""),"Smith et al.")</f>
        <v>Smith et al.</v>
      </c>
      <c r="B110" s="876" t="str">
        <f>IFERROR(__xludf.DUMMYFUNCTION("""COMPUTED_VALUE"""),"Tanzania")</f>
        <v>Tanzania</v>
      </c>
      <c r="C110" s="876" t="str">
        <f>IFERROR(__xludf.DUMMYFUNCTION("""COMPUTED_VALUE"""),"Mebendazole")</f>
        <v>Mebendazole</v>
      </c>
      <c r="D110" s="876" t="str">
        <f>IFERROR(__xludf.DUMMYFUNCTION("""COMPUTED_VALUE"""),"Single")</f>
        <v>Single</v>
      </c>
      <c r="E110" s="876" t="str">
        <f>IFERROR(__xludf.DUMMYFUNCTION("""COMPUTED_VALUE"""),"500 mg")</f>
        <v>500 mg</v>
      </c>
      <c r="F110" s="876">
        <f>IFERROR(__xludf.DUMMYFUNCTION("""COMPUTED_VALUE"""),354.0)</f>
        <v>354</v>
      </c>
      <c r="G110" s="876"/>
      <c r="H110" s="876"/>
      <c r="I110" s="876">
        <f>IFERROR(__xludf.DUMMYFUNCTION("""COMPUTED_VALUE"""),1994.0)</f>
        <v>1994</v>
      </c>
      <c r="J110" s="876"/>
      <c r="K110" s="876" t="str">
        <f>IFERROR(__xludf.DUMMYFUNCTION("""COMPUTED_VALUE"""),"randomized trial")</f>
        <v>randomized trial</v>
      </c>
      <c r="L110" s="876" t="str">
        <f>IFERROR(__xludf.DUMMYFUNCTION("""COMPUTED_VALUE"""),"Yes")</f>
        <v>Yes</v>
      </c>
      <c r="M110" s="876" t="str">
        <f>IFERROR(__xludf.DUMMYFUNCTION("""COMPUTED_VALUE"""),"No")</f>
        <v>No</v>
      </c>
      <c r="N110" s="877">
        <f>IFERROR(__xludf.DUMMYFUNCTION("""COMPUTED_VALUE"""),0.83)</f>
        <v>0.83</v>
      </c>
      <c r="O110" s="876"/>
      <c r="P110" s="876"/>
      <c r="Q110" s="876"/>
      <c r="R110" s="876"/>
      <c r="S110" s="876"/>
      <c r="T110" s="876"/>
      <c r="U110" s="876"/>
      <c r="V110" s="876"/>
      <c r="W110" s="876">
        <f>IFERROR(__xludf.DUMMYFUNCTION("""COMPUTED_VALUE"""),0.83)</f>
        <v>0.83</v>
      </c>
      <c r="X110" s="876"/>
      <c r="Y110" s="876"/>
      <c r="Z110" s="876"/>
      <c r="AA110" s="876"/>
      <c r="AB110" s="876"/>
      <c r="AC110" s="876"/>
      <c r="AD110" s="876"/>
      <c r="AE110" s="876"/>
      <c r="AF110" s="876" t="str">
        <f>IFERROR(__xludf.DUMMYFUNCTION("""COMPUTED_VALUE"""),"Kato-Katz Technique")</f>
        <v>Kato-Katz Technique</v>
      </c>
      <c r="AG110" s="876" t="str">
        <f>IFERROR(__xludf.DUMMYFUNCTION("""COMPUTED_VALUE"""),"Albonico, Marco, Peter G. Smith, Elena Ercole, Andrew Hall, Hababu M. Chwaya, Kassim S. Alawi, and Lorenzo Savoli. ""Rate of Reinfection with Tenstinal Nematodes after Treatment of Children with Mebendazoleor Albendazolein a Highly Endemic Area."" Transac"&amp;"tions of the Royal Society of Tropical Medicine and Hygiene 89 (1995): 538-41. Web.")</f>
        <v>Albonico, Marco, Peter G. Smith, Elena Ercole, Andrew Hall, Hababu M. Chwaya, Kassim S. Alawi, and Lorenzo Savoli. "Rate of Reinfection with Tenstinal Nematodes after Treatment of Children with Mebendazoleor Albendazolein a Highly Endemic Area." Transactions of the Royal Society of Tropical Medicine and Hygiene 89 (1995): 538-41. Web.</v>
      </c>
      <c r="AH110" s="876"/>
      <c r="AI110" s="878"/>
      <c r="AJ110" s="888" t="str">
        <f>IFERROR(__xludf.DUMMYFUNCTION("""COMPUTED_VALUE"""),"Bennet et al.")</f>
        <v>Bennet et al.</v>
      </c>
      <c r="AK110" s="880"/>
      <c r="AL110" s="880" t="str">
        <f>IFERROR(__xludf.DUMMYFUNCTION("""COMPUTED_VALUE"""),"Asia")</f>
        <v>Asia</v>
      </c>
      <c r="AM110" s="880" t="str">
        <f>IFERROR(__xludf.DUMMYFUNCTION("""COMPUTED_VALUE"""),"Mebendazole")</f>
        <v>Mebendazole</v>
      </c>
      <c r="AN110" s="880" t="str">
        <f>IFERROR(__xludf.DUMMYFUNCTION("""COMPUTED_VALUE"""),"Multiple Dose")</f>
        <v>Multiple Dose</v>
      </c>
      <c r="AO110" s="880" t="str">
        <f>IFERROR(__xludf.DUMMYFUNCTION("""COMPUTED_VALUE"""),"(100 mg dose twice daily for three days)")</f>
        <v>(100 mg dose twice daily for three days)</v>
      </c>
      <c r="AP110" s="880"/>
      <c r="AQ110" s="880"/>
      <c r="AR110" s="880"/>
      <c r="AS110" s="880">
        <f>IFERROR(__xludf.DUMMYFUNCTION("""COMPUTED_VALUE"""),2000.0)</f>
        <v>2000</v>
      </c>
      <c r="AT110" s="880"/>
      <c r="AU110" s="880" t="str">
        <f>IFERROR(__xludf.DUMMYFUNCTION("""COMPUTED_VALUE"""),"No")</f>
        <v>No</v>
      </c>
      <c r="AV110" s="880"/>
      <c r="AW110" s="881" t="str">
        <f>IFERROR(__xludf.DUMMYFUNCTION("""COMPUTED_VALUE"""),"review")</f>
        <v>review</v>
      </c>
      <c r="AX110" s="863">
        <f>IFERROR(__xludf.DUMMYFUNCTION("""COMPUTED_VALUE"""),0.75)</f>
        <v>0.75</v>
      </c>
      <c r="AY110" s="863"/>
      <c r="AZ110" s="863"/>
      <c r="BA110" s="863"/>
      <c r="BB110" s="863"/>
      <c r="BC110" s="863"/>
      <c r="BD110" s="863"/>
      <c r="BE110" s="863"/>
      <c r="BF110" s="863"/>
      <c r="BG110" s="863"/>
      <c r="BH110" s="863">
        <f>IFERROR(__xludf.DUMMYFUNCTION("""COMPUTED_VALUE"""),0.95)</f>
        <v>0.95</v>
      </c>
      <c r="BI110" s="863"/>
      <c r="BJ110" s="863"/>
      <c r="BK110" s="863"/>
      <c r="BL110" s="863"/>
      <c r="BM110" s="863"/>
      <c r="BN110" s="863"/>
      <c r="BO110" s="863"/>
      <c r="BP110" s="880" t="str">
        <f>IFERROR(__xludf.DUMMYFUNCTION("""COMPUTED_VALUE"""),"x")</f>
        <v>x</v>
      </c>
      <c r="BQ110" s="863"/>
      <c r="BR110" s="889" t="str">
        <f>IFERROR(__xludf.DUMMYFUNCTION("""COMPUTED_VALUE"""),"Albonico et al.")</f>
        <v>Albonico et al.</v>
      </c>
      <c r="BS110" s="883" t="str">
        <f>IFERROR(__xludf.DUMMYFUNCTION("""COMPUTED_VALUE"""),"Zanzibar")</f>
        <v>Zanzibar</v>
      </c>
      <c r="BT110" s="883" t="str">
        <f>IFERROR(__xludf.DUMMYFUNCTION("""COMPUTED_VALUE"""),"Levamisole &amp; Mebendazole")</f>
        <v>Levamisole &amp; Mebendazole</v>
      </c>
      <c r="BU110" s="883"/>
      <c r="BV110" s="883" t="str">
        <f>IFERROR(__xludf.DUMMYFUNCTION("""COMPUTED_VALUE"""),"Single")</f>
        <v>Single</v>
      </c>
      <c r="BW110" s="883" t="str">
        <f>IFERROR(__xludf.DUMMYFUNCTION("""COMPUTED_VALUE"""),"40 mg; 80 mg &amp; 500 mg")</f>
        <v>40 mg; 80 mg &amp; 500 mg</v>
      </c>
      <c r="BX110" s="883">
        <f>IFERROR(__xludf.DUMMYFUNCTION("""COMPUTED_VALUE"""),108.0)</f>
        <v>108</v>
      </c>
      <c r="BY110" s="883" t="str">
        <f>IFERROR(__xludf.DUMMYFUNCTION("""COMPUTED_VALUE"""),"School children")</f>
        <v>School children</v>
      </c>
      <c r="BZ110" s="883">
        <f>IFERROR(__xludf.DUMMYFUNCTION("""COMPUTED_VALUE"""),2003.0)</f>
        <v>2003</v>
      </c>
      <c r="CA110" s="883"/>
      <c r="CB110" s="883"/>
      <c r="CC110" s="883" t="str">
        <f>IFERROR(__xludf.DUMMYFUNCTION("""COMPUTED_VALUE"""),"No")</f>
        <v>No</v>
      </c>
      <c r="CD110" s="884">
        <f>IFERROR(__xludf.DUMMYFUNCTION("""COMPUTED_VALUE"""),0.967)</f>
        <v>0.967</v>
      </c>
      <c r="CE110" s="883" t="str">
        <f>IFERROR(__xludf.DUMMYFUNCTION("""COMPUTED_VALUE"""),"Yes")</f>
        <v>Yes</v>
      </c>
      <c r="CF110" s="883"/>
      <c r="CG110" s="883"/>
      <c r="CH110" s="883"/>
      <c r="CI110" s="883"/>
      <c r="CJ110" s="883"/>
      <c r="CK110" s="883"/>
      <c r="CL110" s="883"/>
      <c r="CM110" s="883">
        <f>IFERROR(__xludf.DUMMYFUNCTION("""COMPUTED_VALUE"""),98.0)</f>
        <v>98</v>
      </c>
      <c r="CN110" s="883"/>
      <c r="CO110" s="883"/>
      <c r="CP110" s="883"/>
      <c r="CQ110" s="883"/>
      <c r="CR110" s="883"/>
      <c r="CS110" s="883"/>
      <c r="CT110" s="883"/>
      <c r="CU110" s="883"/>
      <c r="CV110" s="863"/>
      <c r="CW110" s="863"/>
      <c r="CX110" s="863"/>
      <c r="CY110" s="863"/>
      <c r="CZ110" s="863"/>
      <c r="DA110" s="863"/>
      <c r="DB110" s="863"/>
      <c r="DC110" s="863"/>
      <c r="DD110" s="863"/>
      <c r="DE110" s="863"/>
    </row>
    <row r="111">
      <c r="A111" s="887" t="str">
        <f>IFERROR(__xludf.DUMMYFUNCTION("""COMPUTED_VALUE"""),"Sorensen et al.")</f>
        <v>Sorensen et al.</v>
      </c>
      <c r="B111" s="876" t="str">
        <f>IFERROR(__xludf.DUMMYFUNCTION("""COMPUTED_VALUE"""),"Sri Lanka")</f>
        <v>Sri Lanka</v>
      </c>
      <c r="C111" s="876" t="str">
        <f>IFERROR(__xludf.DUMMYFUNCTION("""COMPUTED_VALUE"""),"Mebendazole")</f>
        <v>Mebendazole</v>
      </c>
      <c r="D111" s="876" t="str">
        <f>IFERROR(__xludf.DUMMYFUNCTION("""COMPUTED_VALUE"""),"Single")</f>
        <v>Single</v>
      </c>
      <c r="E111" s="876" t="str">
        <f>IFERROR(__xludf.DUMMYFUNCTION("""COMPUTED_VALUE"""),"500 mg")</f>
        <v>500 mg</v>
      </c>
      <c r="F111" s="876">
        <f>IFERROR(__xludf.DUMMYFUNCTION("""COMPUTED_VALUE"""),399.0)</f>
        <v>399</v>
      </c>
      <c r="G111" s="876">
        <f>IFERROR(__xludf.DUMMYFUNCTION("""COMPUTED_VALUE"""),42444.0)</f>
        <v>42444</v>
      </c>
      <c r="H111" s="876"/>
      <c r="I111" s="876">
        <f>IFERROR(__xludf.DUMMYFUNCTION("""COMPUTED_VALUE"""),1994.0)</f>
        <v>1994</v>
      </c>
      <c r="J111" s="876"/>
      <c r="K111" s="876" t="str">
        <f>IFERROR(__xludf.DUMMYFUNCTION("""COMPUTED_VALUE"""),"randomized controlled trial")</f>
        <v>randomized controlled trial</v>
      </c>
      <c r="L111" s="876" t="str">
        <f>IFERROR(__xludf.DUMMYFUNCTION("""COMPUTED_VALUE"""),"Yes")</f>
        <v>Yes</v>
      </c>
      <c r="M111" s="876" t="str">
        <f>IFERROR(__xludf.DUMMYFUNCTION("""COMPUTED_VALUE"""),"No")</f>
        <v>No</v>
      </c>
      <c r="N111" s="877">
        <f>IFERROR(__xludf.DUMMYFUNCTION("""COMPUTED_VALUE"""),0.287)</f>
        <v>0.287</v>
      </c>
      <c r="O111" s="876"/>
      <c r="P111" s="876"/>
      <c r="Q111" s="876"/>
      <c r="R111" s="876"/>
      <c r="S111" s="876"/>
      <c r="T111" s="876"/>
      <c r="U111" s="876"/>
      <c r="V111" s="876"/>
      <c r="W111" s="876">
        <f>IFERROR(__xludf.DUMMYFUNCTION("""COMPUTED_VALUE"""),0.72)</f>
        <v>0.72</v>
      </c>
      <c r="X111" s="876"/>
      <c r="Y111" s="876"/>
      <c r="Z111" s="876"/>
      <c r="AA111" s="876"/>
      <c r="AB111" s="876"/>
      <c r="AC111" s="876"/>
      <c r="AD111" s="876"/>
      <c r="AE111" s="876" t="str">
        <f>IFERROR(__xludf.DUMMYFUNCTION("""COMPUTED_VALUE"""),"Albendazoleis the drug of choice for mass deworming where hookworm disease is prominent. There was no statistically significant difference between the original and locally produced mebendazole.")</f>
        <v>Albendazoleis the drug of choice for mass deworming where hookworm disease is prominent. There was no statistically significant difference between the original and locally produced mebendazole.</v>
      </c>
      <c r="AF111" s="876" t="str">
        <f>IFERROR(__xludf.DUMMYFUNCTION("""COMPUTED_VALUE"""),"Kato-Katz Technique")</f>
        <v>Kato-Katz Technique</v>
      </c>
      <c r="AG111" s="876" t="str">
        <f>IFERROR(__xludf.DUMMYFUNCTION("""COMPUTED_VALUE"""),"Albonico, Marco, Peter G. Smith, Elena Ercole, Andrew Hall, Hababu M. Chwaya, Kassim S. Alawi, and Lorenzo Savoli. ""Rate of Reinfection with Tenstinal Nematodes after Treatment of Children with Mebendazoleor Albendazolein a Highly Endemic Area."" Transac"&amp;"tions of the Royal Society of Tropical Medicine and Hygiene 89 (1995): 538-41. Web.")</f>
        <v>Albonico, Marco, Peter G. Smith, Elena Ercole, Andrew Hall, Hababu M. Chwaya, Kassim S. Alawi, and Lorenzo Savoli. "Rate of Reinfection with Tenstinal Nematodes after Treatment of Children with Mebendazoleor Albendazolein a Highly Endemic Area." Transactions of the Royal Society of Tropical Medicine and Hygiene 89 (1995): 538-41. Web.</v>
      </c>
      <c r="AH111" s="876"/>
      <c r="AI111" s="878"/>
      <c r="AJ111" s="888" t="str">
        <f>IFERROR(__xludf.DUMMYFUNCTION("""COMPUTED_VALUE"""),"Bennet et al.")</f>
        <v>Bennet et al.</v>
      </c>
      <c r="AK111" s="880" t="str">
        <f>IFERROR(__xludf.DUMMYFUNCTION("""COMPUTED_VALUE"""),"Bennett, A., and H. Guyatt. ""Reducing Intestinal Nematode Infection: Efficacy of Albendazoleand Mebendazole."" Parasitology Today 16.2 (2000): 71-74. Web.")</f>
        <v>Bennett, A., and H. Guyatt. "Reducing Intestinal Nematode Infection: Efficacy of Albendazoleand Mebendazole." Parasitology Today 16.2 (2000): 71-74. Web.</v>
      </c>
      <c r="AL111" s="880" t="str">
        <f>IFERROR(__xludf.DUMMYFUNCTION("""COMPUTED_VALUE"""),"America (c&amp;S)")</f>
        <v>America (c&amp;S)</v>
      </c>
      <c r="AM111" s="880" t="str">
        <f>IFERROR(__xludf.DUMMYFUNCTION("""COMPUTED_VALUE"""),"Albendazole")</f>
        <v>Albendazole</v>
      </c>
      <c r="AN111" s="880" t="str">
        <f>IFERROR(__xludf.DUMMYFUNCTION("""COMPUTED_VALUE"""),"Single")</f>
        <v>Single</v>
      </c>
      <c r="AO111" s="880" t="str">
        <f>IFERROR(__xludf.DUMMYFUNCTION("""COMPUTED_VALUE"""),"400 mg")</f>
        <v>400 mg</v>
      </c>
      <c r="AP111" s="880">
        <f>IFERROR(__xludf.DUMMYFUNCTION("""COMPUTED_VALUE"""),161.0)</f>
        <v>161</v>
      </c>
      <c r="AQ111" s="880"/>
      <c r="AR111" s="880"/>
      <c r="AS111" s="880">
        <f>IFERROR(__xludf.DUMMYFUNCTION("""COMPUTED_VALUE"""),2000.0)</f>
        <v>2000</v>
      </c>
      <c r="AT111" s="880"/>
      <c r="AU111" s="880" t="str">
        <f>IFERROR(__xludf.DUMMYFUNCTION("""COMPUTED_VALUE"""),"No")</f>
        <v>No</v>
      </c>
      <c r="AV111" s="880"/>
      <c r="AW111" s="881" t="str">
        <f>IFERROR(__xludf.DUMMYFUNCTION("""COMPUTED_VALUE"""),"review")</f>
        <v>review</v>
      </c>
      <c r="AX111" s="863">
        <f>IFERROR(__xludf.DUMMYFUNCTION("""COMPUTED_VALUE"""),0.31)</f>
        <v>0.31</v>
      </c>
      <c r="AY111" s="863"/>
      <c r="AZ111" s="863"/>
      <c r="BA111" s="863"/>
      <c r="BB111" s="863"/>
      <c r="BC111" s="863"/>
      <c r="BD111" s="863"/>
      <c r="BE111" s="863"/>
      <c r="BF111" s="863"/>
      <c r="BG111" s="863"/>
      <c r="BH111" s="863">
        <f>IFERROR(__xludf.DUMMYFUNCTION("""COMPUTED_VALUE"""),0.8)</f>
        <v>0.8</v>
      </c>
      <c r="BI111" s="863"/>
      <c r="BJ111" s="863"/>
      <c r="BK111" s="863"/>
      <c r="BL111" s="863"/>
      <c r="BM111" s="863"/>
      <c r="BN111" s="863"/>
      <c r="BO111" s="863" t="str">
        <f>IFERROR(__xludf.DUMMYFUNCTION("""COMPUTED_VALUE"""),"Kato-Based Methods")</f>
        <v>Kato-Based Methods</v>
      </c>
      <c r="BP111" s="880" t="str">
        <f>IFERROR(__xludf.DUMMYFUNCTION("""COMPUTED_VALUE"""),"x")</f>
        <v>x</v>
      </c>
      <c r="BQ111" s="863"/>
      <c r="BR111" s="889" t="str">
        <f>IFERROR(__xludf.DUMMYFUNCTION("""COMPUTED_VALUE"""),"Albonico et al.")</f>
        <v>Albonico et al.</v>
      </c>
      <c r="BS111" s="883" t="str">
        <f>IFERROR(__xludf.DUMMYFUNCTION("""COMPUTED_VALUE"""),"Zanzibar")</f>
        <v>Zanzibar</v>
      </c>
      <c r="BT111" s="883" t="str">
        <f>IFERROR(__xludf.DUMMYFUNCTION("""COMPUTED_VALUE"""),"Placebo")</f>
        <v>Placebo</v>
      </c>
      <c r="BU111" s="883"/>
      <c r="BV111" s="883"/>
      <c r="BW111" s="883"/>
      <c r="BX111" s="883">
        <f>IFERROR(__xludf.DUMMYFUNCTION("""COMPUTED_VALUE"""),122.0)</f>
        <v>122</v>
      </c>
      <c r="BY111" s="883" t="str">
        <f>IFERROR(__xludf.DUMMYFUNCTION("""COMPUTED_VALUE"""),"School children")</f>
        <v>School children</v>
      </c>
      <c r="BZ111" s="883">
        <f>IFERROR(__xludf.DUMMYFUNCTION("""COMPUTED_VALUE"""),2003.0)</f>
        <v>2003</v>
      </c>
      <c r="CA111" s="883"/>
      <c r="CB111" s="883"/>
      <c r="CC111" s="883" t="str">
        <f>IFERROR(__xludf.DUMMYFUNCTION("""COMPUTED_VALUE"""),"No")</f>
        <v>No</v>
      </c>
      <c r="CD111" s="884">
        <f>IFERROR(__xludf.DUMMYFUNCTION("""COMPUTED_VALUE"""),0.283)</f>
        <v>0.283</v>
      </c>
      <c r="CE111" s="883" t="str">
        <f>IFERROR(__xludf.DUMMYFUNCTION("""COMPUTED_VALUE"""),"Yes")</f>
        <v>Yes</v>
      </c>
      <c r="CF111" s="883"/>
      <c r="CG111" s="883"/>
      <c r="CH111" s="883"/>
      <c r="CI111" s="883"/>
      <c r="CJ111" s="883"/>
      <c r="CK111" s="883"/>
      <c r="CL111" s="883"/>
      <c r="CM111" s="884">
        <f>IFERROR(__xludf.DUMMYFUNCTION("""COMPUTED_VALUE"""),0.339)</f>
        <v>0.339</v>
      </c>
      <c r="CN111" s="883"/>
      <c r="CO111" s="883"/>
      <c r="CP111" s="883"/>
      <c r="CQ111" s="883"/>
      <c r="CR111" s="883"/>
      <c r="CS111" s="883"/>
      <c r="CT111" s="883"/>
      <c r="CU111" s="883"/>
      <c r="CV111" s="863"/>
      <c r="CW111" s="863"/>
      <c r="CX111" s="863"/>
      <c r="CY111" s="863"/>
      <c r="CZ111" s="863"/>
      <c r="DA111" s="863"/>
      <c r="DB111" s="863"/>
      <c r="DC111" s="863"/>
      <c r="DD111" s="863"/>
      <c r="DE111" s="863"/>
    </row>
    <row r="112">
      <c r="A112" s="887" t="str">
        <f>IFERROR(__xludf.DUMMYFUNCTION("""COMPUTED_VALUE"""),"Sorensen et al.")</f>
        <v>Sorensen et al.</v>
      </c>
      <c r="B112" s="876" t="str">
        <f>IFERROR(__xludf.DUMMYFUNCTION("""COMPUTED_VALUE"""),"Sri Lanka")</f>
        <v>Sri Lanka</v>
      </c>
      <c r="C112" s="876" t="str">
        <f>IFERROR(__xludf.DUMMYFUNCTION("""COMPUTED_VALUE"""),"Mebendazole")</f>
        <v>Mebendazole</v>
      </c>
      <c r="D112" s="876" t="str">
        <f>IFERROR(__xludf.DUMMYFUNCTION("""COMPUTED_VALUE"""),"Single")</f>
        <v>Single</v>
      </c>
      <c r="E112" s="876" t="str">
        <f>IFERROR(__xludf.DUMMYFUNCTION("""COMPUTED_VALUE"""),"500 mg")</f>
        <v>500 mg</v>
      </c>
      <c r="F112" s="876"/>
      <c r="G112" s="876"/>
      <c r="H112" s="876"/>
      <c r="I112" s="876">
        <f>IFERROR(__xludf.DUMMYFUNCTION("""COMPUTED_VALUE"""),1994.0)</f>
        <v>1994</v>
      </c>
      <c r="J112" s="876"/>
      <c r="K112" s="876" t="str">
        <f>IFERROR(__xludf.DUMMYFUNCTION("""COMPUTED_VALUE"""),"randomized controlled trial")</f>
        <v>randomized controlled trial</v>
      </c>
      <c r="L112" s="876" t="str">
        <f>IFERROR(__xludf.DUMMYFUNCTION("""COMPUTED_VALUE"""),"Yes")</f>
        <v>Yes</v>
      </c>
      <c r="M112" s="876" t="str">
        <f>IFERROR(__xludf.DUMMYFUNCTION("""COMPUTED_VALUE"""),"No")</f>
        <v>No</v>
      </c>
      <c r="N112" s="877">
        <f>IFERROR(__xludf.DUMMYFUNCTION("""COMPUTED_VALUE"""),0.358)</f>
        <v>0.358</v>
      </c>
      <c r="O112" s="876"/>
      <c r="P112" s="876"/>
      <c r="Q112" s="876"/>
      <c r="R112" s="876"/>
      <c r="S112" s="876"/>
      <c r="T112" s="876"/>
      <c r="U112" s="876"/>
      <c r="V112" s="876"/>
      <c r="W112" s="876">
        <f>IFERROR(__xludf.DUMMYFUNCTION("""COMPUTED_VALUE"""),0.745)</f>
        <v>0.745</v>
      </c>
      <c r="X112" s="876"/>
      <c r="Y112" s="876"/>
      <c r="Z112" s="876"/>
      <c r="AA112" s="876"/>
      <c r="AB112" s="876"/>
      <c r="AC112" s="876"/>
      <c r="AD112" s="876"/>
      <c r="AE112" s="876" t="str">
        <f>IFERROR(__xludf.DUMMYFUNCTION("""COMPUTED_VALUE"""),"Albendazoleis the drug of choice for mass deworming where hookworm disease is prominent. There was no statistically significant difference between the original and locally produced mebendazole.")</f>
        <v>Albendazoleis the drug of choice for mass deworming where hookworm disease is prominent. There was no statistically significant difference between the original and locally produced mebendazole.</v>
      </c>
      <c r="AF112" s="876" t="str">
        <f>IFERROR(__xludf.DUMMYFUNCTION("""COMPUTED_VALUE"""),"Kato-Katz Technique")</f>
        <v>Kato-Katz Technique</v>
      </c>
      <c r="AG112" s="876" t="str">
        <f>IFERROR(__xludf.DUMMYFUNCTION("""COMPUTED_VALUE"""),"Albonico, Marco, Peter G. Smith, Elena Ercole, Andrew Hall, Hababu M. Chwaya, Kassim S. Alawi, and Lorenzo Savoli. ""Rate of Reinfection with Tenstinal Nematodes after Treatment of Children with Mebendazoleor Albendazolein a Highly Endemic Area."" Transac"&amp;"tions of the Royal Society of Tropical Medicine and Hygiene 89 (1995): 538-41. Web.")</f>
        <v>Albonico, Marco, Peter G. Smith, Elena Ercole, Andrew Hall, Hababu M. Chwaya, Kassim S. Alawi, and Lorenzo Savoli. "Rate of Reinfection with Tenstinal Nematodes after Treatment of Children with Mebendazoleor Albendazolein a Highly Endemic Area." Transactions of the Royal Society of Tropical Medicine and Hygiene 89 (1995): 538-41. Web.</v>
      </c>
      <c r="AH112" s="876"/>
      <c r="AI112" s="878"/>
      <c r="AJ112" s="888" t="str">
        <f>IFERROR(__xludf.DUMMYFUNCTION("""COMPUTED_VALUE"""),"Bennet et al.")</f>
        <v>Bennet et al.</v>
      </c>
      <c r="AK112" s="880"/>
      <c r="AL112" s="880" t="str">
        <f>IFERROR(__xludf.DUMMYFUNCTION("""COMPUTED_VALUE"""),"America (c&amp;S)")</f>
        <v>America (c&amp;S)</v>
      </c>
      <c r="AM112" s="880" t="str">
        <f>IFERROR(__xludf.DUMMYFUNCTION("""COMPUTED_VALUE"""),"Mebendazole")</f>
        <v>Mebendazole</v>
      </c>
      <c r="AN112" s="880" t="str">
        <f>IFERROR(__xludf.DUMMYFUNCTION("""COMPUTED_VALUE"""),"Single")</f>
        <v>Single</v>
      </c>
      <c r="AO112" s="880" t="str">
        <f>IFERROR(__xludf.DUMMYFUNCTION("""COMPUTED_VALUE"""),"500 mg")</f>
        <v>500 mg</v>
      </c>
      <c r="AP112" s="880"/>
      <c r="AQ112" s="880"/>
      <c r="AR112" s="880"/>
      <c r="AS112" s="880">
        <f>IFERROR(__xludf.DUMMYFUNCTION("""COMPUTED_VALUE"""),2000.0)</f>
        <v>2000</v>
      </c>
      <c r="AT112" s="880"/>
      <c r="AU112" s="880" t="str">
        <f>IFERROR(__xludf.DUMMYFUNCTION("""COMPUTED_VALUE"""),"No")</f>
        <v>No</v>
      </c>
      <c r="AV112" s="880"/>
      <c r="AW112" s="881" t="str">
        <f>IFERROR(__xludf.DUMMYFUNCTION("""COMPUTED_VALUE"""),"review")</f>
        <v>review</v>
      </c>
      <c r="AX112" s="863">
        <f>IFERROR(__xludf.DUMMYFUNCTION("""COMPUTED_VALUE"""),0.35)</f>
        <v>0.35</v>
      </c>
      <c r="AY112" s="863"/>
      <c r="AZ112" s="863"/>
      <c r="BA112" s="863"/>
      <c r="BB112" s="863"/>
      <c r="BC112" s="863"/>
      <c r="BD112" s="863"/>
      <c r="BE112" s="863"/>
      <c r="BF112" s="863"/>
      <c r="BG112" s="863"/>
      <c r="BH112" s="863">
        <f>IFERROR(__xludf.DUMMYFUNCTION("""COMPUTED_VALUE"""),0.81)</f>
        <v>0.81</v>
      </c>
      <c r="BI112" s="863"/>
      <c r="BJ112" s="863"/>
      <c r="BK112" s="863"/>
      <c r="BL112" s="863"/>
      <c r="BM112" s="863"/>
      <c r="BN112" s="863"/>
      <c r="BO112" s="863"/>
      <c r="BP112" s="880" t="str">
        <f>IFERROR(__xludf.DUMMYFUNCTION("""COMPUTED_VALUE"""),"x")</f>
        <v>x</v>
      </c>
      <c r="BQ112" s="863"/>
      <c r="BR112" s="889" t="str">
        <f>IFERROR(__xludf.DUMMYFUNCTION("""COMPUTED_VALUE"""),"Prasad et al.")</f>
        <v>Prasad et al.</v>
      </c>
      <c r="BS112" s="883"/>
      <c r="BT112" s="883" t="str">
        <f>IFERROR(__xludf.DUMMYFUNCTION("""COMPUTED_VALUE"""),"Albendazole")</f>
        <v>Albendazole</v>
      </c>
      <c r="BU112" s="883"/>
      <c r="BV112" s="883" t="str">
        <f>IFERROR(__xludf.DUMMYFUNCTION("""COMPUTED_VALUE"""),"Single")</f>
        <v>Single</v>
      </c>
      <c r="BW112" s="883" t="str">
        <f>IFERROR(__xludf.DUMMYFUNCTION("""COMPUTED_VALUE"""),"400 mg")</f>
        <v>400 mg</v>
      </c>
      <c r="BX112" s="883">
        <f>IFERROR(__xludf.DUMMYFUNCTION("""COMPUTED_VALUE"""),74.0)</f>
        <v>74</v>
      </c>
      <c r="BY112" s="890">
        <f>IFERROR(__xludf.DUMMYFUNCTION("""COMPUTED_VALUE"""),42415.0)</f>
        <v>42415</v>
      </c>
      <c r="BZ112" s="883"/>
      <c r="CA112" s="883"/>
      <c r="CB112" s="883"/>
      <c r="CC112" s="883" t="str">
        <f>IFERROR(__xludf.DUMMYFUNCTION("""COMPUTED_VALUE"""),"No")</f>
        <v>No</v>
      </c>
      <c r="CD112" s="884">
        <f>IFERROR(__xludf.DUMMYFUNCTION("""COMPUTED_VALUE"""),0.919)</f>
        <v>0.919</v>
      </c>
      <c r="CE112" s="883" t="str">
        <f>IFERROR(__xludf.DUMMYFUNCTION("""COMPUTED_VALUE"""),"No")</f>
        <v>No</v>
      </c>
      <c r="CF112" s="883"/>
      <c r="CG112" s="883"/>
      <c r="CH112" s="883"/>
      <c r="CI112" s="883"/>
      <c r="CJ112" s="883"/>
      <c r="CK112" s="883"/>
      <c r="CL112" s="883"/>
      <c r="CM112" s="883" t="str">
        <f>IFERROR(__xludf.DUMMYFUNCTION("""COMPUTED_VALUE"""),"85% - 90%")</f>
        <v>85% - 90%</v>
      </c>
      <c r="CN112" s="883"/>
      <c r="CO112" s="883"/>
      <c r="CP112" s="883"/>
      <c r="CQ112" s="883"/>
      <c r="CR112" s="883"/>
      <c r="CS112" s="883" t="str">
        <f>IFERROR(__xludf.DUMMYFUNCTION("""COMPUTED_VALUE"""),"Since the drug is safe and effective as a single-dose treatment of common helminthic infections, it should be considered for mass therapy in the community.")</f>
        <v>Since the drug is safe and effective as a single-dose treatment of common helminthic infections, it should be considered for mass therapy in the community.</v>
      </c>
      <c r="CT112" s="883" t="str">
        <f>IFERROR(__xludf.DUMMYFUNCTION("""COMPUTED_VALUE""")," ")</f>
        <v> </v>
      </c>
      <c r="CU112" s="883"/>
      <c r="CV112" s="863"/>
      <c r="CW112" s="863"/>
      <c r="CX112" s="863"/>
      <c r="CY112" s="863"/>
      <c r="CZ112" s="863"/>
      <c r="DA112" s="863"/>
      <c r="DB112" s="863"/>
      <c r="DC112" s="863"/>
      <c r="DD112" s="863"/>
      <c r="DE112" s="863"/>
    </row>
    <row r="113">
      <c r="A113" s="887" t="str">
        <f>IFERROR(__xludf.DUMMYFUNCTION("""COMPUTED_VALUE"""),"Sorensen et al.")</f>
        <v>Sorensen et al.</v>
      </c>
      <c r="B113" s="876" t="str">
        <f>IFERROR(__xludf.DUMMYFUNCTION("""COMPUTED_VALUE"""),"Sri Lanka")</f>
        <v>Sri Lanka</v>
      </c>
      <c r="C113" s="876" t="str">
        <f>IFERROR(__xludf.DUMMYFUNCTION("""COMPUTED_VALUE"""),"Albendazole")</f>
        <v>Albendazole</v>
      </c>
      <c r="D113" s="876" t="str">
        <f>IFERROR(__xludf.DUMMYFUNCTION("""COMPUTED_VALUE"""),"Single")</f>
        <v>Single</v>
      </c>
      <c r="E113" s="876" t="str">
        <f>IFERROR(__xludf.DUMMYFUNCTION("""COMPUTED_VALUE"""),"200 mg")</f>
        <v>200 mg</v>
      </c>
      <c r="F113" s="876"/>
      <c r="G113" s="876"/>
      <c r="H113" s="876"/>
      <c r="I113" s="876">
        <f>IFERROR(__xludf.DUMMYFUNCTION("""COMPUTED_VALUE"""),1994.0)</f>
        <v>1994</v>
      </c>
      <c r="J113" s="876"/>
      <c r="K113" s="876" t="str">
        <f>IFERROR(__xludf.DUMMYFUNCTION("""COMPUTED_VALUE"""),"randomized controlled trial")</f>
        <v>randomized controlled trial</v>
      </c>
      <c r="L113" s="876" t="str">
        <f>IFERROR(__xludf.DUMMYFUNCTION("""COMPUTED_VALUE"""),"Yes")</f>
        <v>Yes</v>
      </c>
      <c r="M113" s="876" t="str">
        <f>IFERROR(__xludf.DUMMYFUNCTION("""COMPUTED_VALUE"""),"No")</f>
        <v>No</v>
      </c>
      <c r="N113" s="877">
        <f>IFERROR(__xludf.DUMMYFUNCTION("""COMPUTED_VALUE"""),0.779)</f>
        <v>0.779</v>
      </c>
      <c r="O113" s="876"/>
      <c r="P113" s="876"/>
      <c r="Q113" s="876"/>
      <c r="R113" s="876"/>
      <c r="S113" s="876"/>
      <c r="T113" s="876"/>
      <c r="U113" s="876"/>
      <c r="V113" s="876"/>
      <c r="W113" s="876">
        <f>IFERROR(__xludf.DUMMYFUNCTION("""COMPUTED_VALUE"""),0.954)</f>
        <v>0.954</v>
      </c>
      <c r="X113" s="876"/>
      <c r="Y113" s="876"/>
      <c r="Z113" s="876"/>
      <c r="AA113" s="876"/>
      <c r="AB113" s="876"/>
      <c r="AC113" s="876"/>
      <c r="AD113" s="876"/>
      <c r="AE113" s="876" t="str">
        <f>IFERROR(__xludf.DUMMYFUNCTION("""COMPUTED_VALUE"""),"Albendazoleis the drug of choice for mass deworming where hookworm disease is prominent. There was no statistically significant difference between the original and locally produced mebendazole.")</f>
        <v>Albendazoleis the drug of choice for mass deworming where hookworm disease is prominent. There was no statistically significant difference between the original and locally produced mebendazole.</v>
      </c>
      <c r="AF113" s="876" t="str">
        <f>IFERROR(__xludf.DUMMYFUNCTION("""COMPUTED_VALUE"""),"Kato-Katz Technique")</f>
        <v>Kato-Katz Technique</v>
      </c>
      <c r="AG113" s="876" t="str">
        <f>IFERROR(__xludf.DUMMYFUNCTION("""COMPUTED_VALUE"""),"Albonico, Marco, Peter G. Smith, Elena Ercole, Andrew Hall, Hababu M. Chwaya, Kassim S. Alawi, and Lorenzo Savoli. ""Rate of Reinfection with Tenstinal Nematodes after Treatment of Children with Mebendazoleor Albendazolein a Highly Endemic Area."" Transac"&amp;"tions of the Royal Society of Tropical Medicine and Hygiene 89 (1995): 538-41. Web.")</f>
        <v>Albonico, Marco, Peter G. Smith, Elena Ercole, Andrew Hall, Hababu M. Chwaya, Kassim S. Alawi, and Lorenzo Savoli. "Rate of Reinfection with Tenstinal Nematodes after Treatment of Children with Mebendazoleor Albendazolein a Highly Endemic Area." Transactions of the Royal Society of Tropical Medicine and Hygiene 89 (1995): 538-41. Web.</v>
      </c>
      <c r="AH113" s="876"/>
      <c r="AI113" s="878"/>
      <c r="AJ113" s="888" t="str">
        <f>IFERROR(__xludf.DUMMYFUNCTION("""COMPUTED_VALUE"""),"Bennet et al.")</f>
        <v>Bennet et al.</v>
      </c>
      <c r="AK113" s="880"/>
      <c r="AL113" s="880" t="str">
        <f>IFERROR(__xludf.DUMMYFUNCTION("""COMPUTED_VALUE"""),"America (c&amp;S)")</f>
        <v>America (c&amp;S)</v>
      </c>
      <c r="AM113" s="880" t="str">
        <f>IFERROR(__xludf.DUMMYFUNCTION("""COMPUTED_VALUE"""),"Mebendazole")</f>
        <v>Mebendazole</v>
      </c>
      <c r="AN113" s="880" t="str">
        <f>IFERROR(__xludf.DUMMYFUNCTION("""COMPUTED_VALUE"""),"Multiple Dose")</f>
        <v>Multiple Dose</v>
      </c>
      <c r="AO113" s="880" t="str">
        <f>IFERROR(__xludf.DUMMYFUNCTION("""COMPUTED_VALUE"""),"(100 mg dose twice daily for three days)")</f>
        <v>(100 mg dose twice daily for three days)</v>
      </c>
      <c r="AP113" s="880"/>
      <c r="AQ113" s="880"/>
      <c r="AR113" s="880"/>
      <c r="AS113" s="880">
        <f>IFERROR(__xludf.DUMMYFUNCTION("""COMPUTED_VALUE"""),2000.0)</f>
        <v>2000</v>
      </c>
      <c r="AT113" s="880"/>
      <c r="AU113" s="880" t="str">
        <f>IFERROR(__xludf.DUMMYFUNCTION("""COMPUTED_VALUE"""),"No")</f>
        <v>No</v>
      </c>
      <c r="AV113" s="880"/>
      <c r="AW113" s="881" t="str">
        <f>IFERROR(__xludf.DUMMYFUNCTION("""COMPUTED_VALUE"""),"review")</f>
        <v>review</v>
      </c>
      <c r="AX113" s="863">
        <f>IFERROR(__xludf.DUMMYFUNCTION("""COMPUTED_VALUE"""),0.75)</f>
        <v>0.75</v>
      </c>
      <c r="AY113" s="863"/>
      <c r="AZ113" s="863"/>
      <c r="BA113" s="863"/>
      <c r="BB113" s="863"/>
      <c r="BC113" s="863"/>
      <c r="BD113" s="863"/>
      <c r="BE113" s="863"/>
      <c r="BF113" s="863"/>
      <c r="BG113" s="863"/>
      <c r="BH113" s="863">
        <f>IFERROR(__xludf.DUMMYFUNCTION("""COMPUTED_VALUE"""),0.95)</f>
        <v>0.95</v>
      </c>
      <c r="BI113" s="863"/>
      <c r="BJ113" s="863"/>
      <c r="BK113" s="863"/>
      <c r="BL113" s="863"/>
      <c r="BM113" s="863"/>
      <c r="BN113" s="863"/>
      <c r="BO113" s="863"/>
      <c r="BP113" s="880" t="str">
        <f>IFERROR(__xludf.DUMMYFUNCTION("""COMPUTED_VALUE"""),"x")</f>
        <v>x</v>
      </c>
      <c r="BQ113" s="863"/>
      <c r="BR113" s="889" t="str">
        <f>IFERROR(__xludf.DUMMYFUNCTION("""COMPUTED_VALUE"""),"Ramalingam, s et al.")</f>
        <v>Ramalingam, s et al.</v>
      </c>
      <c r="BS113" s="883" t="str">
        <f>IFERROR(__xludf.DUMMYFUNCTION("""COMPUTED_VALUE"""),"Malaysia")</f>
        <v>Malaysia</v>
      </c>
      <c r="BT113" s="883" t="str">
        <f>IFERROR(__xludf.DUMMYFUNCTION("""COMPUTED_VALUE"""),"Albendazole")</f>
        <v>Albendazole</v>
      </c>
      <c r="BU113" s="883"/>
      <c r="BV113" s="883" t="str">
        <f>IFERROR(__xludf.DUMMYFUNCTION("""COMPUTED_VALUE"""),"Single")</f>
        <v>Single</v>
      </c>
      <c r="BW113" s="883" t="str">
        <f>IFERROR(__xludf.DUMMYFUNCTION("""COMPUTED_VALUE"""),"400 mg")</f>
        <v>400 mg</v>
      </c>
      <c r="BX113" s="883">
        <f>IFERROR(__xludf.DUMMYFUNCTION("""COMPUTED_VALUE"""),6.0)</f>
        <v>6</v>
      </c>
      <c r="BY113" s="890">
        <f>IFERROR(__xludf.DUMMYFUNCTION("""COMPUTED_VALUE"""),42533.0)</f>
        <v>42533</v>
      </c>
      <c r="BZ113" s="883"/>
      <c r="CA113" s="883" t="str">
        <f>IFERROR(__xludf.DUMMYFUNCTION("""COMPUTED_VALUE"""),"M:12F:15, M:13F:39, M:38F:98, M:66F:61")</f>
        <v>M:12F:15, M:13F:39, M:38F:98, M:66F:61</v>
      </c>
      <c r="CB113" s="883"/>
      <c r="CC113" s="883" t="str">
        <f>IFERROR(__xludf.DUMMYFUNCTION("""COMPUTED_VALUE"""),"No")</f>
        <v>No</v>
      </c>
      <c r="CD113" s="884">
        <f>IFERROR(__xludf.DUMMYFUNCTION("""COMPUTED_VALUE"""),1.0)</f>
        <v>1</v>
      </c>
      <c r="CE113" s="883" t="str">
        <f>IFERROR(__xludf.DUMMYFUNCTION("""COMPUTED_VALUE"""),"No")</f>
        <v>No</v>
      </c>
      <c r="CF113" s="891">
        <f>IFERROR(__xludf.DUMMYFUNCTION("""COMPUTED_VALUE"""),1.0)</f>
        <v>1</v>
      </c>
      <c r="CG113" s="891">
        <f>IFERROR(__xludf.DUMMYFUNCTION("""COMPUTED_VALUE"""),1.0)</f>
        <v>1</v>
      </c>
      <c r="CH113" s="883"/>
      <c r="CI113" s="883"/>
      <c r="CJ113" s="883"/>
      <c r="CK113" s="883"/>
      <c r="CL113" s="883"/>
      <c r="CM113" s="891">
        <f>IFERROR(__xludf.DUMMYFUNCTION("""COMPUTED_VALUE"""),1.0)</f>
        <v>1</v>
      </c>
      <c r="CN113" s="883"/>
      <c r="CO113" s="883"/>
      <c r="CP113" s="883"/>
      <c r="CQ113" s="883"/>
      <c r="CR113" s="883"/>
      <c r="CS113" s="883" t="str">
        <f>IFERROR(__xludf.DUMMYFUNCTION("""COMPUTED_VALUE"""),"There were no side effects, and biochemical examination of blood and urine did not indicate any unfavourable changes. Based on this trial, the recommended dosage for Ascaris and hookworm is a 400 mg single dose,")</f>
        <v>There were no side effects, and biochemical examination of blood and urine did not indicate any unfavourable changes. Based on this trial, the recommended dosage for Ascaris and hookworm is a 400 mg single dose,</v>
      </c>
      <c r="CT113" s="883"/>
      <c r="CU113" s="883"/>
      <c r="CV113" s="863"/>
      <c r="CW113" s="863"/>
      <c r="CX113" s="863"/>
      <c r="CY113" s="863"/>
      <c r="CZ113" s="863"/>
      <c r="DA113" s="863"/>
      <c r="DB113" s="863"/>
      <c r="DC113" s="863"/>
      <c r="DD113" s="863"/>
      <c r="DE113" s="863"/>
    </row>
    <row r="114">
      <c r="A114" s="887" t="str">
        <f>IFERROR(__xludf.DUMMYFUNCTION("""COMPUTED_VALUE"""),"Soukhathammavong et al. ")</f>
        <v>Soukhathammavong et al. </v>
      </c>
      <c r="B114" s="876" t="str">
        <f>IFERROR(__xludf.DUMMYFUNCTION("""COMPUTED_VALUE"""),"Lao People's Democratic Republic")</f>
        <v>Lao People's Democratic Republic</v>
      </c>
      <c r="C114" s="876" t="str">
        <f>IFERROR(__xludf.DUMMYFUNCTION("""COMPUTED_VALUE"""),"Albendazole")</f>
        <v>Albendazole</v>
      </c>
      <c r="D114" s="876" t="str">
        <f>IFERROR(__xludf.DUMMYFUNCTION("""COMPUTED_VALUE"""),"Single")</f>
        <v>Single</v>
      </c>
      <c r="E114" s="876" t="str">
        <f>IFERROR(__xludf.DUMMYFUNCTION("""COMPUTED_VALUE"""),"400 mg")</f>
        <v>400 mg</v>
      </c>
      <c r="F114" s="876" t="str">
        <f>IFERROR(__xludf.DUMMYFUNCTION("""COMPUTED_VALUE"""),"89/100")</f>
        <v>89/100</v>
      </c>
      <c r="G114" s="876">
        <f>IFERROR(__xludf.DUMMYFUNCTION("""COMPUTED_VALUE"""),9.0)</f>
        <v>9</v>
      </c>
      <c r="H114" s="876" t="str">
        <f>IFERROR(__xludf.DUMMYFUNCTION("""COMPUTED_VALUE"""),"56:33")</f>
        <v>56:33</v>
      </c>
      <c r="I114" s="876">
        <f>IFERROR(__xludf.DUMMYFUNCTION("""COMPUTED_VALUE"""),2009.0)</f>
        <v>2009</v>
      </c>
      <c r="J114" s="876" t="str">
        <f>IFERROR(__xludf.DUMMYFUNCTION("""COMPUTED_VALUE"""),"Children were excluded who had no hookworm eggs in their stool (n = 235) or provided only a single stool sample (n = 30).")</f>
        <v>Children were excluded who had no hookworm eggs in their stool (n = 235) or provided only a single stool sample (n = 30).</v>
      </c>
      <c r="K114" s="876" t="str">
        <f>IFERROR(__xludf.DUMMYFUNCTION("""COMPUTED_VALUE"""),"randomized open-label two-arm trial")</f>
        <v>randomized open-label two-arm trial</v>
      </c>
      <c r="L114" s="876" t="str">
        <f>IFERROR(__xludf.DUMMYFUNCTION("""COMPUTED_VALUE"""),"Yes")</f>
        <v>Yes</v>
      </c>
      <c r="M114" s="876" t="str">
        <f>IFERROR(__xludf.DUMMYFUNCTION("""COMPUTED_VALUE"""),"No")</f>
        <v>No</v>
      </c>
      <c r="N114" s="877">
        <f>IFERROR(__xludf.DUMMYFUNCTION("""COMPUTED_VALUE"""),0.36)</f>
        <v>0.36</v>
      </c>
      <c r="O114" s="876"/>
      <c r="P114" s="876"/>
      <c r="Q114" s="876"/>
      <c r="R114" s="876"/>
      <c r="S114" s="876"/>
      <c r="T114" s="876"/>
      <c r="U114" s="876"/>
      <c r="V114" s="876"/>
      <c r="W114" s="876">
        <f>IFERROR(__xludf.DUMMYFUNCTION("""COMPUTED_VALUE"""),0.867)</f>
        <v>0.867</v>
      </c>
      <c r="X114" s="876"/>
      <c r="Y114" s="876"/>
      <c r="Z114" s="876"/>
      <c r="AA114" s="876"/>
      <c r="AB114" s="876"/>
      <c r="AC114" s="876"/>
      <c r="AD114" s="876"/>
      <c r="AE114" s="876" t="str">
        <f>IFERROR(__xludf.DUMMYFUNCTION("""COMPUTED_VALUE"""),"Both Albendazoleand Mebendazoleshowed disappointing CRs against hookworm, but Albendazolecured infection and reduced intensity of infection with a higher efficacy than mebendazole.")</f>
        <v>Both Albendazoleand Mebendazoleshowed disappointing CRs against hookworm, but Albendazolecured infection and reduced intensity of infection with a higher efficacy than mebendazole.</v>
      </c>
      <c r="AF114" s="876" t="str">
        <f>IFERROR(__xludf.DUMMYFUNCTION("""COMPUTED_VALUE"""),"Kato-Katz Method")</f>
        <v>Kato-Katz Method</v>
      </c>
      <c r="AG114" s="876" t="str">
        <f>IFERROR(__xludf.DUMMYFUNCTION("""COMPUTED_VALUE"""),"Aye Soukhathammavong, Phonepasong, Somphou Sayasone, Khampheng Phongluxa, Vilavanh Xayaseng, Jurg Utzinger, Penelope Vounatsou, Cristoph Hatz, Kongsap Akkhavong, Jennifer Keiser, and Peter Odermatt. ""Low Efficacy of Single-Dose Albendazolel and Mebendazo"&amp;"leagainst Hookworm and Effect on Concomitant Helminth Infection in Lao PDR."" PLOS Neglected Tropical Diseases 6.1 (2012): 1-8. Web.")</f>
        <v>Aye Soukhathammavong, Phonepasong, Somphou Sayasone, Khampheng Phongluxa, Vilavanh Xayaseng, Jurg Utzinger, Penelope Vounatsou, Cristoph Hatz, Kongsap Akkhavong, Jennifer Keiser, and Peter Odermatt. "Low Efficacy of Single-Dose Albendazolel and Mebendazoleagainst Hookworm and Effect on Concomitant Helminth Infection in Lao PDR." PLOS Neglected Tropical Diseases 6.1 (2012): 1-8. Web.</v>
      </c>
      <c r="AH114" s="876"/>
      <c r="AI114" s="878"/>
      <c r="AJ114" s="880"/>
      <c r="AK114" s="880"/>
      <c r="AL114" s="880"/>
      <c r="AM114" s="880"/>
      <c r="AN114" s="880"/>
      <c r="AO114" s="880"/>
      <c r="AP114" s="880"/>
      <c r="AQ114" s="880"/>
      <c r="AR114" s="880"/>
      <c r="AS114" s="880"/>
      <c r="AT114" s="880"/>
      <c r="AU114" s="880"/>
      <c r="AV114" s="880"/>
      <c r="AW114" s="881"/>
      <c r="AX114" s="863"/>
      <c r="AY114" s="863"/>
      <c r="AZ114" s="863"/>
      <c r="BA114" s="863"/>
      <c r="BB114" s="863"/>
      <c r="BC114" s="863"/>
      <c r="BD114" s="863"/>
      <c r="BE114" s="863"/>
      <c r="BF114" s="863"/>
      <c r="BG114" s="863"/>
      <c r="BH114" s="863"/>
      <c r="BI114" s="863"/>
      <c r="BJ114" s="863"/>
      <c r="BK114" s="863"/>
      <c r="BL114" s="863"/>
      <c r="BM114" s="863"/>
      <c r="BN114" s="863"/>
      <c r="BO114" s="863"/>
      <c r="BP114" s="880"/>
      <c r="BQ114" s="863"/>
      <c r="BR114" s="889" t="str">
        <f>IFERROR(__xludf.DUMMYFUNCTION("""COMPUTED_VALUE"""),"Ramalingam, s et al.")</f>
        <v>Ramalingam, s et al.</v>
      </c>
      <c r="BS114" s="883" t="str">
        <f>IFERROR(__xludf.DUMMYFUNCTION("""COMPUTED_VALUE"""),"Malaysia")</f>
        <v>Malaysia</v>
      </c>
      <c r="BT114" s="883" t="str">
        <f>IFERROR(__xludf.DUMMYFUNCTION("""COMPUTED_VALUE"""),"Albendazole")</f>
        <v>Albendazole</v>
      </c>
      <c r="BU114" s="883"/>
      <c r="BV114" s="883" t="str">
        <f>IFERROR(__xludf.DUMMYFUNCTION("""COMPUTED_VALUE"""),"Single")</f>
        <v>Single</v>
      </c>
      <c r="BW114" s="883" t="str">
        <f>IFERROR(__xludf.DUMMYFUNCTION("""COMPUTED_VALUE"""),"600 mg")</f>
        <v>600 mg</v>
      </c>
      <c r="BX114" s="883">
        <f>IFERROR(__xludf.DUMMYFUNCTION("""COMPUTED_VALUE"""),14.0)</f>
        <v>14</v>
      </c>
      <c r="BY114" s="883" t="str">
        <f>IFERROR(__xludf.DUMMYFUNCTION("""COMPUTED_VALUE"""),"13-20")</f>
        <v>13-20</v>
      </c>
      <c r="BZ114" s="883"/>
      <c r="CA114" s="883"/>
      <c r="CB114" s="883"/>
      <c r="CC114" s="883" t="str">
        <f>IFERROR(__xludf.DUMMYFUNCTION("""COMPUTED_VALUE"""),"No")</f>
        <v>No</v>
      </c>
      <c r="CD114" s="884">
        <f>IFERROR(__xludf.DUMMYFUNCTION("""COMPUTED_VALUE"""),1.0)</f>
        <v>1</v>
      </c>
      <c r="CE114" s="883" t="str">
        <f>IFERROR(__xludf.DUMMYFUNCTION("""COMPUTED_VALUE"""),"No")</f>
        <v>No</v>
      </c>
      <c r="CF114" s="891">
        <f>IFERROR(__xludf.DUMMYFUNCTION("""COMPUTED_VALUE"""),1.0)</f>
        <v>1</v>
      </c>
      <c r="CG114" s="891">
        <f>IFERROR(__xludf.DUMMYFUNCTION("""COMPUTED_VALUE"""),1.0)</f>
        <v>1</v>
      </c>
      <c r="CH114" s="883"/>
      <c r="CI114" s="883"/>
      <c r="CJ114" s="883"/>
      <c r="CK114" s="883"/>
      <c r="CL114" s="883"/>
      <c r="CM114" s="891">
        <f>IFERROR(__xludf.DUMMYFUNCTION("""COMPUTED_VALUE"""),1.0)</f>
        <v>1</v>
      </c>
      <c r="CN114" s="883"/>
      <c r="CO114" s="883"/>
      <c r="CP114" s="883"/>
      <c r="CQ114" s="883"/>
      <c r="CR114" s="883"/>
      <c r="CS114" s="883"/>
      <c r="CT114" s="883"/>
      <c r="CU114" s="883"/>
      <c r="CV114" s="863"/>
      <c r="CW114" s="863"/>
      <c r="CX114" s="863"/>
      <c r="CY114" s="863"/>
      <c r="CZ114" s="863"/>
      <c r="DA114" s="863"/>
      <c r="DB114" s="863"/>
      <c r="DC114" s="863"/>
      <c r="DD114" s="863"/>
      <c r="DE114" s="863"/>
    </row>
    <row r="115">
      <c r="A115" s="887" t="str">
        <f>IFERROR(__xludf.DUMMYFUNCTION("""COMPUTED_VALUE"""),"Soukhathammavong et al. ")</f>
        <v>Soukhathammavong et al. </v>
      </c>
      <c r="B115" s="876" t="str">
        <f>IFERROR(__xludf.DUMMYFUNCTION("""COMPUTED_VALUE"""),"Lao People's Democratic Republic")</f>
        <v>Lao People's Democratic Republic</v>
      </c>
      <c r="C115" s="876" t="str">
        <f>IFERROR(__xludf.DUMMYFUNCTION("""COMPUTED_VALUE"""),"Mebendazole")</f>
        <v>Mebendazole</v>
      </c>
      <c r="D115" s="876" t="str">
        <f>IFERROR(__xludf.DUMMYFUNCTION("""COMPUTED_VALUE"""),"Single")</f>
        <v>Single</v>
      </c>
      <c r="E115" s="876" t="str">
        <f>IFERROR(__xludf.DUMMYFUNCTION("""COMPUTED_VALUE"""),"500 mg")</f>
        <v>500 mg</v>
      </c>
      <c r="F115" s="876" t="str">
        <f>IFERROR(__xludf.DUMMYFUNCTION("""COMPUTED_VALUE"""),"82/100")</f>
        <v>82/100</v>
      </c>
      <c r="G115" s="876">
        <f>IFERROR(__xludf.DUMMYFUNCTION("""COMPUTED_VALUE"""),9.0)</f>
        <v>9</v>
      </c>
      <c r="H115" s="876" t="str">
        <f>IFERROR(__xludf.DUMMYFUNCTION("""COMPUTED_VALUE"""),"49:33")</f>
        <v>49:33</v>
      </c>
      <c r="I115" s="876">
        <f>IFERROR(__xludf.DUMMYFUNCTION("""COMPUTED_VALUE"""),2009.0)</f>
        <v>2009</v>
      </c>
      <c r="J115" s="876"/>
      <c r="K115" s="876" t="str">
        <f>IFERROR(__xludf.DUMMYFUNCTION("""COMPUTED_VALUE"""),"randomized open-label two-arm trial")</f>
        <v>randomized open-label two-arm trial</v>
      </c>
      <c r="L115" s="876" t="str">
        <f>IFERROR(__xludf.DUMMYFUNCTION("""COMPUTED_VALUE"""),"Yes")</f>
        <v>Yes</v>
      </c>
      <c r="M115" s="876" t="str">
        <f>IFERROR(__xludf.DUMMYFUNCTION("""COMPUTED_VALUE"""),"No")</f>
        <v>No</v>
      </c>
      <c r="N115" s="877">
        <f>IFERROR(__xludf.DUMMYFUNCTION("""COMPUTED_VALUE"""),0.176)</f>
        <v>0.176</v>
      </c>
      <c r="O115" s="876"/>
      <c r="P115" s="876"/>
      <c r="Q115" s="876"/>
      <c r="R115" s="876"/>
      <c r="S115" s="876"/>
      <c r="T115" s="876"/>
      <c r="U115" s="876"/>
      <c r="V115" s="876"/>
      <c r="W115" s="876">
        <f>IFERROR(__xludf.DUMMYFUNCTION("""COMPUTED_VALUE"""),0.763)</f>
        <v>0.763</v>
      </c>
      <c r="X115" s="876"/>
      <c r="Y115" s="876"/>
      <c r="Z115" s="876"/>
      <c r="AA115" s="876"/>
      <c r="AB115" s="876"/>
      <c r="AC115" s="876"/>
      <c r="AD115" s="876"/>
      <c r="AE115" s="876" t="str">
        <f>IFERROR(__xludf.DUMMYFUNCTION("""COMPUTED_VALUE"""),"Both Albendazoleand Mebendazoleshowed disappointing CRs against hookworm, but Albendazolecured infection and reduced intensity of infection with a higher efficacy than mebendazole.")</f>
        <v>Both Albendazoleand Mebendazoleshowed disappointing CRs against hookworm, but Albendazolecured infection and reduced intensity of infection with a higher efficacy than mebendazole.</v>
      </c>
      <c r="AF115" s="876" t="str">
        <f>IFERROR(__xludf.DUMMYFUNCTION("""COMPUTED_VALUE"""),"Kato-Katz Method")</f>
        <v>Kato-Katz Method</v>
      </c>
      <c r="AG115" s="876" t="str">
        <f>IFERROR(__xludf.DUMMYFUNCTION("""COMPUTED_VALUE"""),"Aye Soukhathammavong, Phonepasong, Somphou Sayasone, Khampheng Phongluxa, Vilavanh Xayaseng, Jurg Utzinger, Penelope Vounatsou, Cristoph Hatz, Kongsap Akkhavong, Jennifer Keiser, and Peter Odermatt. ""Low Efficacy of Single-Dose Albendazolel and Mebendazo"&amp;"leagainst Hookworm and Effect on Concomitant Helminth Infection in Lao PDR."" PLOS Neglected Tropical Diseases 6.1 (2012): 1-8. Web.")</f>
        <v>Aye Soukhathammavong, Phonepasong, Somphou Sayasone, Khampheng Phongluxa, Vilavanh Xayaseng, Jurg Utzinger, Penelope Vounatsou, Cristoph Hatz, Kongsap Akkhavong, Jennifer Keiser, and Peter Odermatt. "Low Efficacy of Single-Dose Albendazolel and Mebendazoleagainst Hookworm and Effect on Concomitant Helminth Infection in Lao PDR." PLOS Neglected Tropical Diseases 6.1 (2012): 1-8. Web.</v>
      </c>
      <c r="AH115" s="876"/>
      <c r="AI115" s="878"/>
      <c r="AJ115" s="888" t="str">
        <f>IFERROR(__xludf.DUMMYFUNCTION("""COMPUTED_VALUE"""),"Speich")</f>
        <v>Speich</v>
      </c>
      <c r="AK115" s="880" t="str">
        <f>IFERROR(__xludf.DUMMYFUNCTION("""COMPUTED_VALUE"""),"Speich, Benjamin, et al. ""Efficacy and safety of Albendazoleplus ivermectin, Albendazoleplus mebendazole, Albendazoleplus oxantel pamoate, and Mebendazolealone against Trichuris trichiura and concomitant soil-transmitted helminth infections: a four-arm, "&amp;"randomised controlled trial."" The Lancet Infectious Diseases 15.3 (2015): 277-284.")</f>
        <v>Speich, Benjamin, et al. "Efficacy and safety of Albendazoleplus ivermectin, Albendazoleplus mebendazole, Albendazoleplus oxantel pamoate, and Mebendazolealone against Trichuris trichiura and concomitant soil-transmitted helminth infections: a four-arm, randomised controlled trial." The Lancet Infectious Diseases 15.3 (2015): 277-284.</v>
      </c>
      <c r="AL115" s="880" t="str">
        <f>IFERROR(__xludf.DUMMYFUNCTION("""COMPUTED_VALUE"""),"Tanzania")</f>
        <v>Tanzania</v>
      </c>
      <c r="AM115" s="880" t="str">
        <f>IFERROR(__xludf.DUMMYFUNCTION("""COMPUTED_VALUE"""),"Albendazole &amp; Ivermectin")</f>
        <v>Albendazole &amp; Ivermectin</v>
      </c>
      <c r="AN115" s="880" t="str">
        <f>IFERROR(__xludf.DUMMYFUNCTION("""COMPUTED_VALUE"""),"Single")</f>
        <v>Single</v>
      </c>
      <c r="AO115" s="880" t="str">
        <f>IFERROR(__xludf.DUMMYFUNCTION("""COMPUTED_VALUE"""),"400 mg; 200 μg/kg")</f>
        <v>400 mg; 200 μg/kg</v>
      </c>
      <c r="AP115" s="880">
        <f>IFERROR(__xludf.DUMMYFUNCTION("""COMPUTED_VALUE"""),110.0)</f>
        <v>110</v>
      </c>
      <c r="AQ115" s="880" t="str">
        <f>IFERROR(__xludf.DUMMYFUNCTION("""COMPUTED_VALUE"""),"9·0")</f>
        <v>9·0</v>
      </c>
      <c r="AR115" s="880" t="str">
        <f>IFERROR(__xludf.DUMMYFUNCTION("""COMPUTED_VALUE"""),"56/54")</f>
        <v>56/54</v>
      </c>
      <c r="AS115" s="880">
        <f>IFERROR(__xludf.DUMMYFUNCTION("""COMPUTED_VALUE"""),2010.0)</f>
        <v>2010</v>
      </c>
      <c r="AT115" s="880" t="str">
        <f>IFERROR(__xludf.DUMMYFUNCTION("""COMPUTED_VALUE"""),"We screened children aged 6–14 years for eligibility. We obtained written informed consent from their parents or guardians; the children themselves gave assent orally. Children who tested positive for T trichiura were deemed eligible for the trial. Oral m"&amp;"edical history and physical examinations were obtained from each child meeting the inclusion criteria.")</f>
        <v>We screened children aged 6–14 years for eligibility. We obtained written informed consent from their parents or guardians; the children themselves gave assent orally. Children who tested positive for T trichiura were deemed eligible for the trial. Oral medical history and physical examinations were obtained from each child meeting the inclusion criteria.</v>
      </c>
      <c r="AU115" s="880" t="str">
        <f>IFERROR(__xludf.DUMMYFUNCTION("""COMPUTED_VALUE"""),"Yes")</f>
        <v>Yes</v>
      </c>
      <c r="AV115" s="880"/>
      <c r="AW115" s="881"/>
      <c r="AX115" s="863" t="str">
        <f>IFERROR(__xludf.DUMMYFUNCTION("""COMPUTED_VALUE"""),"27·5%")</f>
        <v>27·5%</v>
      </c>
      <c r="AY115" s="863"/>
      <c r="AZ115" s="863"/>
      <c r="BA115" s="863"/>
      <c r="BB115" s="863"/>
      <c r="BC115" s="863"/>
      <c r="BD115" s="863"/>
      <c r="BE115" s="863"/>
      <c r="BF115" s="863"/>
      <c r="BG115" s="863"/>
      <c r="BH115" s="863"/>
      <c r="BI115" s="863"/>
      <c r="BJ115" s="863"/>
      <c r="BK115" s="863"/>
      <c r="BL115" s="863"/>
      <c r="BM115" s="863"/>
      <c r="BN115" s="863" t="str">
        <f>IFERROR(__xludf.DUMMYFUNCTION("""COMPUTED_VALUE"""),"In conclusion, we identifi ed two combination therapies against T trichiura that have signifi cantly higher efficacy than the standard treatment of Mebendazolealone: Albendazoleplus oxantel pamoate and Albendazoleplus ivermectin. On one hand, the combinat"&amp;"ion including oxantel pamoate cured a larger proportion of patients than the combination with ivermectin. On the other hand, Ivermectinhas the advantage of also being the standard treatment against S stercoralis, We identified strong evidence, including a"&amp;" systematic review and meta-analysis 7 and some clinical trials,8–12 for the low efficacy of the existing drugs Albendazoleand Mebendazoleagainst T trichiura. We identified three albendazole-based drug combinations (Albendazole[400 mg] plus Ivermectin[200"&amp;" μg/kg],9,15,16 Albendazole[400 mg] plus Mebendazole[500 mg],10 and Albendazole[400 mg] plus oxantel pamoate [20 mg/kg])12 that showed high effi cacy against T trichiura. However, the effi cacy and safety of these three drug combinations had not been asse"&amp;"ssed within a head-to-head clinical trial. Our study provides the first evidence that a combination of Albendazoleplus oxantel pamoate is the most eff ective treatment for infections with T trichiura. By contrast with previous work, our study directly com"&amp;"pared three combined treatments. Our results suggest that Mebendazolealone or combined with Albendazolecannot be recommended as treatment for these infections. The frequency and severity of adverse events noted after combination chemotherapy were similar "&amp;"to those reported for Mebendazolealone.")</f>
        <v>In conclusion, we identifi ed two combination therapies against T trichiura that have signifi cantly higher efficacy than the standard treatment of Mebendazolealone: Albendazoleplus oxantel pamoate and Albendazoleplus ivermectin. On one hand, the combination including oxantel pamoate cured a larger proportion of patients than the combination with ivermectin. On the other hand, Ivermectinhas the advantage of also being the standard treatment against S stercoralis, We identified strong evidence, including a systematic review and meta-analysis 7 and some clinical trials,8–12 for the low efficacy of the existing drugs Albendazoleand Mebendazoleagainst T trichiura. We identified three albendazole-based drug combinations (Albendazole[400 mg] plus Ivermectin[200 μg/kg],9,15,16 Albendazole[400 mg] plus Mebendazole[500 mg],10 and Albendazole[400 mg] plus oxantel pamoate [20 mg/kg])12 that showed high effi cacy against T trichiura. However, the effi cacy and safety of these three drug combinations had not been assessed within a head-to-head clinical trial. Our study provides the first evidence that a combination of Albendazoleplus oxantel pamoate is the most eff ective treatment for infections with T trichiura. By contrast with previous work, our study directly compared three combined treatments. Our results suggest that Mebendazolealone or combined with Albendazolecannot be recommended as treatment for these infections. The frequency and severity of adverse events noted after combination chemotherapy were similar to those reported for Mebendazolealone.</v>
      </c>
      <c r="BO115" s="863"/>
      <c r="BP115" s="880"/>
      <c r="BQ115" s="863"/>
      <c r="BR115" s="889" t="str">
        <f>IFERROR(__xludf.DUMMYFUNCTION("""COMPUTED_VALUE"""),"Ramalingam, s et al.")</f>
        <v>Ramalingam, s et al.</v>
      </c>
      <c r="BS115" s="883" t="str">
        <f>IFERROR(__xludf.DUMMYFUNCTION("""COMPUTED_VALUE"""),"Malaysia")</f>
        <v>Malaysia</v>
      </c>
      <c r="BT115" s="883" t="str">
        <f>IFERROR(__xludf.DUMMYFUNCTION("""COMPUTED_VALUE"""),"Albendazole")</f>
        <v>Albendazole</v>
      </c>
      <c r="BU115" s="883"/>
      <c r="BV115" s="883" t="str">
        <f>IFERROR(__xludf.DUMMYFUNCTION("""COMPUTED_VALUE"""),"Single")</f>
        <v>Single</v>
      </c>
      <c r="BW115" s="883" t="str">
        <f>IFERROR(__xludf.DUMMYFUNCTION("""COMPUTED_VALUE"""),"800 mg")</f>
        <v>800 mg</v>
      </c>
      <c r="BX115" s="883">
        <f>IFERROR(__xludf.DUMMYFUNCTION("""COMPUTED_VALUE"""),12.0)</f>
        <v>12</v>
      </c>
      <c r="BY115" s="883" t="str">
        <f>IFERROR(__xludf.DUMMYFUNCTION("""COMPUTED_VALUE"""),"21-40")</f>
        <v>21-40</v>
      </c>
      <c r="BZ115" s="883"/>
      <c r="CA115" s="883"/>
      <c r="CB115" s="883"/>
      <c r="CC115" s="883" t="str">
        <f>IFERROR(__xludf.DUMMYFUNCTION("""COMPUTED_VALUE"""),"No")</f>
        <v>No</v>
      </c>
      <c r="CD115" s="884">
        <f>IFERROR(__xludf.DUMMYFUNCTION("""COMPUTED_VALUE"""),1.0)</f>
        <v>1</v>
      </c>
      <c r="CE115" s="883" t="str">
        <f>IFERROR(__xludf.DUMMYFUNCTION("""COMPUTED_VALUE"""),"No")</f>
        <v>No</v>
      </c>
      <c r="CF115" s="891">
        <f>IFERROR(__xludf.DUMMYFUNCTION("""COMPUTED_VALUE"""),1.0)</f>
        <v>1</v>
      </c>
      <c r="CG115" s="891">
        <f>IFERROR(__xludf.DUMMYFUNCTION("""COMPUTED_VALUE"""),1.0)</f>
        <v>1</v>
      </c>
      <c r="CH115" s="883"/>
      <c r="CI115" s="883"/>
      <c r="CJ115" s="883"/>
      <c r="CK115" s="883"/>
      <c r="CL115" s="883"/>
      <c r="CM115" s="891">
        <f>IFERROR(__xludf.DUMMYFUNCTION("""COMPUTED_VALUE"""),1.0)</f>
        <v>1</v>
      </c>
      <c r="CN115" s="883"/>
      <c r="CO115" s="883"/>
      <c r="CP115" s="883"/>
      <c r="CQ115" s="883"/>
      <c r="CR115" s="883"/>
      <c r="CS115" s="883"/>
      <c r="CT115" s="883"/>
      <c r="CU115" s="883"/>
      <c r="CV115" s="863"/>
      <c r="CW115" s="863"/>
      <c r="CX115" s="863"/>
      <c r="CY115" s="863"/>
      <c r="CZ115" s="863"/>
      <c r="DA115" s="863"/>
      <c r="DB115" s="863"/>
      <c r="DC115" s="863"/>
      <c r="DD115" s="863"/>
      <c r="DE115" s="863"/>
    </row>
    <row r="116">
      <c r="A116" s="887" t="str">
        <f>IFERROR(__xludf.DUMMYFUNCTION("""COMPUTED_VALUE"""),"Speich et al. ")</f>
        <v>Speich et al. </v>
      </c>
      <c r="B116" s="876" t="str">
        <f>IFERROR(__xludf.DUMMYFUNCTION("""COMPUTED_VALUE"""),"Tanzania")</f>
        <v>Tanzania</v>
      </c>
      <c r="C116" s="876" t="str">
        <f>IFERROR(__xludf.DUMMYFUNCTION("""COMPUTED_VALUE"""),"Albendazole")</f>
        <v>Albendazole</v>
      </c>
      <c r="D116" s="876" t="str">
        <f>IFERROR(__xludf.DUMMYFUNCTION("""COMPUTED_VALUE"""),"Single")</f>
        <v>Single</v>
      </c>
      <c r="E116" s="876" t="str">
        <f>IFERROR(__xludf.DUMMYFUNCTION("""COMPUTED_VALUE"""),"400 mg")</f>
        <v>400 mg</v>
      </c>
      <c r="F116" s="876" t="str">
        <f>IFERROR(__xludf.DUMMYFUNCTION("""COMPUTED_VALUE"""),"11/48")</f>
        <v>11/48</v>
      </c>
      <c r="G116" s="876">
        <f>IFERROR(__xludf.DUMMYFUNCTION("""COMPUTED_VALUE"""),42566.0)</f>
        <v>42566</v>
      </c>
      <c r="H116" s="876" t="str">
        <f>IFERROR(__xludf.DUMMYFUNCTION("""COMPUTED_VALUE"""),"85:92")</f>
        <v>85:92</v>
      </c>
      <c r="I116" s="876">
        <f>IFERROR(__xludf.DUMMYFUNCTION("""COMPUTED_VALUE"""),2011.0)</f>
        <v>2011</v>
      </c>
      <c r="J116" s="876" t="str">
        <f>IFERROR(__xludf.DUMMYFUNCTION("""COMPUTED_VALUE"""),"Exclusion criteria were: presence of any abnormal medical condition, judged by the study physcian, history of acute or severe chronic disease and recent use of anthelminitic drugs within the past 4 weeks")</f>
        <v>Exclusion criteria were: presence of any abnormal medical condition, judged by the study physcian, history of acute or severe chronic disease and recent use of anthelminitic drugs within the past 4 weeks</v>
      </c>
      <c r="K116" s="876" t="str">
        <f>IFERROR(__xludf.DUMMYFUNCTION("""COMPUTED_VALUE"""),"double-blind randomized placebo controlled study")</f>
        <v>double-blind randomized placebo controlled study</v>
      </c>
      <c r="L116" s="876" t="str">
        <f>IFERROR(__xludf.DUMMYFUNCTION("""COMPUTED_VALUE"""),"Yes")</f>
        <v>Yes</v>
      </c>
      <c r="M116" s="876" t="str">
        <f>IFERROR(__xludf.DUMMYFUNCTION("""COMPUTED_VALUE"""),"Yes")</f>
        <v>Yes</v>
      </c>
      <c r="N116" s="877">
        <f>IFERROR(__xludf.DUMMYFUNCTION("""COMPUTED_VALUE"""),0.818)</f>
        <v>0.818</v>
      </c>
      <c r="O116" s="876"/>
      <c r="P116" s="876"/>
      <c r="Q116" s="876"/>
      <c r="R116" s="876"/>
      <c r="S116" s="876"/>
      <c r="T116" s="876"/>
      <c r="U116" s="876"/>
      <c r="V116" s="876"/>
      <c r="W116" s="876"/>
      <c r="X116" s="876"/>
      <c r="Y116" s="876"/>
      <c r="Z116" s="876"/>
      <c r="AA116" s="876"/>
      <c r="AB116" s="876"/>
      <c r="AC116" s="876"/>
      <c r="AD116" s="876"/>
      <c r="AE116" s="876"/>
      <c r="AF116" s="876" t="str">
        <f>IFERROR(__xludf.DUMMYFUNCTION("""COMPUTED_VALUE"""),"Kato-Katz Method and less then 10 percent of the children were infected with hookworm")</f>
        <v>Kato-Katz Method and less then 10 percent of the children were infected with hookworm</v>
      </c>
      <c r="AG116" s="876" t="str">
        <f>IFERROR(__xludf.DUMMYFUNCTION("""COMPUTED_VALUE"""),"Speich, Benjamin, Shaali M. Ame, Said M. Ali, Rainer Alles, Janet Hattendorf, Jurg Utzinger, Marco Albonico, and Jennifer Keisler. ""Efficacy and Safety of Nitazoxanide, Albendazole, and Nitazoxanide-Albendazoleagainst Trichuris Trichiura Infection: A Ran"&amp;"domized Controlled Trial."" PLOS Neglected Tropical Diseases 6.6 (2012): 1-8. Web.")</f>
        <v>Speich, Benjamin, Shaali M. Ame, Said M. Ali, Rainer Alles, Janet Hattendorf, Jurg Utzinger, Marco Albonico, and Jennifer Keisler. "Efficacy and Safety of Nitazoxanide, Albendazole, and Nitazoxanide-Albendazoleagainst Trichuris Trichiura Infection: A Randomized Controlled Trial." PLOS Neglected Tropical Diseases 6.6 (2012): 1-8. Web.</v>
      </c>
      <c r="AH116" s="876"/>
      <c r="AI116" s="878"/>
      <c r="AJ116" s="888" t="str">
        <f>IFERROR(__xludf.DUMMYFUNCTION("""COMPUTED_VALUE"""),"Speich")</f>
        <v>Speich</v>
      </c>
      <c r="AK116" s="880" t="str">
        <f>IFERROR(__xludf.DUMMYFUNCTION("""COMPUTED_VALUE"""),"Speich, Benjamin, et al. ""Efficacy and safety of Albendazoleplus ivermectin, Albendazoleplus mebendazole, Albendazoleplus oxantel pamoate, and Mebendazolealone against Trichuris trichiura and concomitant soil-transmitted helminth infections: a four-arm, "&amp;"randomised controlled trial."" The Lancet Infectious Diseases 15.3 (2015): 277-284.")</f>
        <v>Speich, Benjamin, et al. "Efficacy and safety of Albendazoleplus ivermectin, Albendazoleplus mebendazole, Albendazoleplus oxantel pamoate, and Mebendazolealone against Trichuris trichiura and concomitant soil-transmitted helminth infections: a four-arm, randomised controlled trial." The Lancet Infectious Diseases 15.3 (2015): 277-284.</v>
      </c>
      <c r="AL116" s="880" t="str">
        <f>IFERROR(__xludf.DUMMYFUNCTION("""COMPUTED_VALUE"""),"Tanzania")</f>
        <v>Tanzania</v>
      </c>
      <c r="AM116" s="880" t="str">
        <f>IFERROR(__xludf.DUMMYFUNCTION("""COMPUTED_VALUE"""),"Albendazole &amp; Mebendazole")</f>
        <v>Albendazole &amp; Mebendazole</v>
      </c>
      <c r="AN116" s="880" t="str">
        <f>IFERROR(__xludf.DUMMYFUNCTION("""COMPUTED_VALUE"""),"Single")</f>
        <v>Single</v>
      </c>
      <c r="AO116" s="880" t="str">
        <f>IFERROR(__xludf.DUMMYFUNCTION("""COMPUTED_VALUE"""),"400 mg; 500 mg")</f>
        <v>400 mg; 500 mg</v>
      </c>
      <c r="AP116" s="880">
        <f>IFERROR(__xludf.DUMMYFUNCTION("""COMPUTED_VALUE"""),110.0)</f>
        <v>110</v>
      </c>
      <c r="AQ116" s="880" t="str">
        <f>IFERROR(__xludf.DUMMYFUNCTION("""COMPUTED_VALUE"""),"8·9")</f>
        <v>8·9</v>
      </c>
      <c r="AR116" s="880" t="str">
        <f>IFERROR(__xludf.DUMMYFUNCTION("""COMPUTED_VALUE"""),"57/53")</f>
        <v>57/53</v>
      </c>
      <c r="AS116" s="880">
        <f>IFERROR(__xludf.DUMMYFUNCTION("""COMPUTED_VALUE"""),2010.0)</f>
        <v>2010</v>
      </c>
      <c r="AT116" s="880" t="str">
        <f>IFERROR(__xludf.DUMMYFUNCTION("""COMPUTED_VALUE"""),"We screened children aged 6–14 years for eligibility. We obtained written informed consent from their parents or guardians; the children themselves gave assent orally. Children who tested positive for T trichiura were deemed eligible for the trial. Oral m"&amp;"edical history and physical examinations were obtained from each child meeting the inclusion criteria.")</f>
        <v>We screened children aged 6–14 years for eligibility. We obtained written informed consent from their parents or guardians; the children themselves gave assent orally. Children who tested positive for T trichiura were deemed eligible for the trial. Oral medical history and physical examinations were obtained from each child meeting the inclusion criteria.</v>
      </c>
      <c r="AU116" s="880" t="str">
        <f>IFERROR(__xludf.DUMMYFUNCTION("""COMPUTED_VALUE"""),"Yes")</f>
        <v>Yes</v>
      </c>
      <c r="AV116" s="880"/>
      <c r="AW116" s="881"/>
      <c r="AX116" s="863" t="str">
        <f>IFERROR(__xludf.DUMMYFUNCTION("""COMPUTED_VALUE"""),"8·4%")</f>
        <v>8·4%</v>
      </c>
      <c r="AY116" s="863"/>
      <c r="AZ116" s="863"/>
      <c r="BA116" s="863"/>
      <c r="BB116" s="863"/>
      <c r="BC116" s="863"/>
      <c r="BD116" s="863"/>
      <c r="BE116" s="863"/>
      <c r="BF116" s="863"/>
      <c r="BG116" s="863"/>
      <c r="BH116" s="863"/>
      <c r="BI116" s="863"/>
      <c r="BJ116" s="863"/>
      <c r="BK116" s="863"/>
      <c r="BL116" s="863"/>
      <c r="BM116" s="863"/>
      <c r="BN116" s="863" t="str">
        <f>IFERROR(__xludf.DUMMYFUNCTION("""COMPUTED_VALUE"""),"In conclusion, we identifi ed two combination therapies against T trichiura that have signifi cantly higher efficacy than the standard treatment of Mebendazolealone: Albendazoleplus oxantel pamoate and Albendazoleplus ivermectin. On one hand, the combinat"&amp;"ion including oxantel pamoate cured a larger proportion of patients than the combination with ivermectin. On the other hand, Ivermectinhas the advantage of also being the standard treatment against S stercoralis, We identified strong evidence, including a"&amp;" systematic review and meta-analysis 7 and some clinical trials,8–12 for the low efficacy of the existing drugs Albendazoleand Mebendazoleagainst T trichiura. We identified three albendazole-based drug combinations (Albendazole[400 mg] plus Ivermectin[200"&amp;" μg/kg],9,15,16 Albendazole[400 mg] plus Mebendazole[500 mg],10 and Albendazole[400 mg] plus oxantel pamoate [20 mg/kg])12 that showed high effi cacy against T trichiura. However, the effi cacy and safety of these three drug combinations had not been asse"&amp;"ssed within a head-to-head clinical trial. Our study provides the first evidence that a combination of Albendazoleplus oxantel pamoate is the most eff ective treatment for infections with T trichiura. By contrast with previous work, our study directly com"&amp;"pared three combined treatments. Our results suggest that Mebendazolealone or combined with Albendazolecannot be recommended as treatment for these infections. The frequency and severity of adverse events noted after combination chemotherapy were similar "&amp;"to those reported for Mebendazolealone.")</f>
        <v>In conclusion, we identifi ed two combination therapies against T trichiura that have signifi cantly higher efficacy than the standard treatment of Mebendazolealone: Albendazoleplus oxantel pamoate and Albendazoleplus ivermectin. On one hand, the combination including oxantel pamoate cured a larger proportion of patients than the combination with ivermectin. On the other hand, Ivermectinhas the advantage of also being the standard treatment against S stercoralis, We identified strong evidence, including a systematic review and meta-analysis 7 and some clinical trials,8–12 for the low efficacy of the existing drugs Albendazoleand Mebendazoleagainst T trichiura. We identified three albendazole-based drug combinations (Albendazole[400 mg] plus Ivermectin[200 μg/kg],9,15,16 Albendazole[400 mg] plus Mebendazole[500 mg],10 and Albendazole[400 mg] plus oxantel pamoate [20 mg/kg])12 that showed high effi cacy against T trichiura. However, the effi cacy and safety of these three drug combinations had not been assessed within a head-to-head clinical trial. Our study provides the first evidence that a combination of Albendazoleplus oxantel pamoate is the most eff ective treatment for infections with T trichiura. By contrast with previous work, our study directly compared three combined treatments. Our results suggest that Mebendazolealone or combined with Albendazolecannot be recommended as treatment for these infections. The frequency and severity of adverse events noted after combination chemotherapy were similar to those reported for Mebendazolealone.</v>
      </c>
      <c r="BO116" s="863"/>
      <c r="BP116" s="880"/>
      <c r="BQ116" s="863"/>
      <c r="BR116" s="889" t="str">
        <f>IFERROR(__xludf.DUMMYFUNCTION("""COMPUTED_VALUE"""),"Abadi K. ")</f>
        <v>Abadi K. </v>
      </c>
      <c r="BS116" s="883" t="str">
        <f>IFERROR(__xludf.DUMMYFUNCTION("""COMPUTED_VALUE"""),"Indonesia")</f>
        <v>Indonesia</v>
      </c>
      <c r="BT116" s="883" t="str">
        <f>IFERROR(__xludf.DUMMYFUNCTION("""COMPUTED_VALUE"""),"Mebendazole")</f>
        <v>Mebendazole</v>
      </c>
      <c r="BU116" s="883"/>
      <c r="BV116" s="883" t="str">
        <f>IFERROR(__xludf.DUMMYFUNCTION("""COMPUTED_VALUE"""),"Single")</f>
        <v>Single</v>
      </c>
      <c r="BW116" s="883" t="str">
        <f>IFERROR(__xludf.DUMMYFUNCTION("""COMPUTED_VALUE"""),"500 mg")</f>
        <v>500 mg</v>
      </c>
      <c r="BX116" s="883">
        <f>IFERROR(__xludf.DUMMYFUNCTION("""COMPUTED_VALUE"""),156.0)</f>
        <v>156</v>
      </c>
      <c r="BY116" s="883" t="str">
        <f>IFERROR(__xludf.DUMMYFUNCTION("""COMPUTED_VALUE"""),"40+")</f>
        <v>40+</v>
      </c>
      <c r="BZ116" s="883"/>
      <c r="CA116" s="883"/>
      <c r="CB116" s="883"/>
      <c r="CC116" s="883" t="str">
        <f>IFERROR(__xludf.DUMMYFUNCTION("""COMPUTED_VALUE"""),"No")</f>
        <v>No</v>
      </c>
      <c r="CD116" s="884">
        <f>IFERROR(__xludf.DUMMYFUNCTION("""COMPUTED_VALUE"""),0.934)</f>
        <v>0.934</v>
      </c>
      <c r="CE116" s="883" t="str">
        <f>IFERROR(__xludf.DUMMYFUNCTION("""COMPUTED_VALUE"""),"Yes")</f>
        <v>Yes</v>
      </c>
      <c r="CF116" s="883"/>
      <c r="CG116" s="883"/>
      <c r="CH116" s="883"/>
      <c r="CI116" s="883"/>
      <c r="CJ116" s="883"/>
      <c r="CK116" s="883"/>
      <c r="CL116" s="883"/>
      <c r="CM116" s="884">
        <f>IFERROR(__xludf.DUMMYFUNCTION("""COMPUTED_VALUE"""),0.99)</f>
        <v>0.99</v>
      </c>
      <c r="CN116" s="883"/>
      <c r="CO116" s="883"/>
      <c r="CP116" s="883"/>
      <c r="CQ116" s="883"/>
      <c r="CR116" s="883"/>
      <c r="CS116" s="883"/>
      <c r="CT116" s="883"/>
      <c r="CU116" s="883"/>
      <c r="CV116" s="863"/>
      <c r="CW116" s="863"/>
      <c r="CX116" s="863"/>
      <c r="CY116" s="863"/>
      <c r="CZ116" s="863"/>
      <c r="DA116" s="863"/>
      <c r="DB116" s="863"/>
      <c r="DC116" s="863"/>
      <c r="DD116" s="863"/>
      <c r="DE116" s="863"/>
    </row>
    <row r="117">
      <c r="A117" s="887" t="str">
        <f>IFERROR(__xludf.DUMMYFUNCTION("""COMPUTED_VALUE"""),"Speich et al. ")</f>
        <v>Speich et al. </v>
      </c>
      <c r="B117" s="876" t="str">
        <f>IFERROR(__xludf.DUMMYFUNCTION("""COMPUTED_VALUE"""),"Tanzania")</f>
        <v>Tanzania</v>
      </c>
      <c r="C117" s="876" t="str">
        <f>IFERROR(__xludf.DUMMYFUNCTION("""COMPUTED_VALUE"""),"Nitazoxanide")</f>
        <v>Nitazoxanide</v>
      </c>
      <c r="D117" s="876" t="str">
        <f>IFERROR(__xludf.DUMMYFUNCTION("""COMPUTED_VALUE"""),"Single")</f>
        <v>Single</v>
      </c>
      <c r="E117" s="876" t="str">
        <f>IFERROR(__xludf.DUMMYFUNCTION("""COMPUTED_VALUE"""),"1000 mg")</f>
        <v>1000 mg</v>
      </c>
      <c r="F117" s="876" t="str">
        <f>IFERROR(__xludf.DUMMYFUNCTION("""COMPUTED_VALUE"""),"12/48")</f>
        <v>12/48</v>
      </c>
      <c r="G117" s="876"/>
      <c r="H117" s="876"/>
      <c r="I117" s="876">
        <f>IFERROR(__xludf.DUMMYFUNCTION("""COMPUTED_VALUE"""),2011.0)</f>
        <v>2011</v>
      </c>
      <c r="J117" s="876"/>
      <c r="K117" s="876" t="str">
        <f>IFERROR(__xludf.DUMMYFUNCTION("""COMPUTED_VALUE"""),"double-blind randomized placebo controlled study")</f>
        <v>double-blind randomized placebo controlled study</v>
      </c>
      <c r="L117" s="876" t="str">
        <f>IFERROR(__xludf.DUMMYFUNCTION("""COMPUTED_VALUE"""),"Yes")</f>
        <v>Yes</v>
      </c>
      <c r="M117" s="876" t="str">
        <f>IFERROR(__xludf.DUMMYFUNCTION("""COMPUTED_VALUE"""),"Yes")</f>
        <v>Yes</v>
      </c>
      <c r="N117" s="877">
        <f>IFERROR(__xludf.DUMMYFUNCTION("""COMPUTED_VALUE"""),0.667)</f>
        <v>0.667</v>
      </c>
      <c r="O117" s="876"/>
      <c r="P117" s="876"/>
      <c r="Q117" s="876"/>
      <c r="R117" s="876"/>
      <c r="S117" s="876"/>
      <c r="T117" s="876"/>
      <c r="U117" s="876"/>
      <c r="V117" s="876"/>
      <c r="W117" s="876"/>
      <c r="X117" s="876"/>
      <c r="Y117" s="876"/>
      <c r="Z117" s="876"/>
      <c r="AA117" s="876"/>
      <c r="AB117" s="876"/>
      <c r="AC117" s="876"/>
      <c r="AD117" s="876"/>
      <c r="AE117" s="876"/>
      <c r="AF117" s="876" t="str">
        <f>IFERROR(__xludf.DUMMYFUNCTION("""COMPUTED_VALUE"""),"Kato-Katz Method and less then 10 percent of the children were infected with hookworm")</f>
        <v>Kato-Katz Method and less then 10 percent of the children were infected with hookworm</v>
      </c>
      <c r="AG117" s="876" t="str">
        <f>IFERROR(__xludf.DUMMYFUNCTION("""COMPUTED_VALUE"""),"Speich, Benjamin, Shaali M. Ame, Said M. Ali, Rainer Alles, Janet Hattendorf, Jurg Utzinger, Marco Albonico, and Jennifer Keisler. ""Efficacy and Safety of Nitazoxanide, Albendazole, and Nitazoxanide-Albendazoleagainst Trichuris Trichiura Infection: A Ran"&amp;"domized Controlled Trial."" PLOS Neglected Tropical Diseases 6.6 (2012): 1-8. Web.")</f>
        <v>Speich, Benjamin, Shaali M. Ame, Said M. Ali, Rainer Alles, Janet Hattendorf, Jurg Utzinger, Marco Albonico, and Jennifer Keisler. "Efficacy and Safety of Nitazoxanide, Albendazole, and Nitazoxanide-Albendazoleagainst Trichuris Trichiura Infection: A Randomized Controlled Trial." PLOS Neglected Tropical Diseases 6.6 (2012): 1-8. Web.</v>
      </c>
      <c r="AH117" s="876"/>
      <c r="AI117" s="878"/>
      <c r="AJ117" s="888" t="str">
        <f>IFERROR(__xludf.DUMMYFUNCTION("""COMPUTED_VALUE"""),"Speich")</f>
        <v>Speich</v>
      </c>
      <c r="AK117" s="880" t="str">
        <f>IFERROR(__xludf.DUMMYFUNCTION("""COMPUTED_VALUE"""),"Speich, Benjamin, et al. ""Efficacy and safety of Albendazoleplus ivermectin, Albendazoleplus mebendazole, Albendazoleplus oxantel pamoate, and Mebendazolealone against Trichuris trichiura and concomitant soil-transmitted helminth infections: a four-arm, "&amp;"randomised controlled trial."" The Lancet Infectious Diseases 15.3 (2015): 277-284.")</f>
        <v>Speich, Benjamin, et al. "Efficacy and safety of Albendazoleplus ivermectin, Albendazoleplus mebendazole, Albendazoleplus oxantel pamoate, and Mebendazolealone against Trichuris trichiura and concomitant soil-transmitted helminth infections: a four-arm, randomised controlled trial." The Lancet Infectious Diseases 15.3 (2015): 277-284.</v>
      </c>
      <c r="AL117" s="880" t="str">
        <f>IFERROR(__xludf.DUMMYFUNCTION("""COMPUTED_VALUE"""),"Tanzania")</f>
        <v>Tanzania</v>
      </c>
      <c r="AM117" s="880" t="str">
        <f>IFERROR(__xludf.DUMMYFUNCTION("""COMPUTED_VALUE"""),"Albendazole &amp; Oxantel pamoate")</f>
        <v>Albendazole &amp; Oxantel pamoate</v>
      </c>
      <c r="AN117" s="880" t="str">
        <f>IFERROR(__xludf.DUMMYFUNCTION("""COMPUTED_VALUE"""),"Single")</f>
        <v>Single</v>
      </c>
      <c r="AO117" s="880" t="str">
        <f>IFERROR(__xludf.DUMMYFUNCTION("""COMPUTED_VALUE"""),"400 mg; 20 mg/kg")</f>
        <v>400 mg; 20 mg/kg</v>
      </c>
      <c r="AP117" s="880">
        <f>IFERROR(__xludf.DUMMYFUNCTION("""COMPUTED_VALUE"""),110.0)</f>
        <v>110</v>
      </c>
      <c r="AQ117" s="880" t="str">
        <f>IFERROR(__xludf.DUMMYFUNCTION("""COMPUTED_VALUE"""),"8·9")</f>
        <v>8·9</v>
      </c>
      <c r="AR117" s="880" t="str">
        <f>IFERROR(__xludf.DUMMYFUNCTION("""COMPUTED_VALUE"""),"57/58")</f>
        <v>57/58</v>
      </c>
      <c r="AS117" s="880">
        <f>IFERROR(__xludf.DUMMYFUNCTION("""COMPUTED_VALUE"""),2010.0)</f>
        <v>2010</v>
      </c>
      <c r="AT117" s="880" t="str">
        <f>IFERROR(__xludf.DUMMYFUNCTION("""COMPUTED_VALUE"""),"We screened children aged 6–14 years for eligibility. We obtained written informed consent from their parents or guardians; the children themselves gave assent orally. Children who tested positive for T trichiura were deemed eligible for the trial. Oral m"&amp;"edical history and physical examinations were obtained from each child meeting the inclusion criteria.")</f>
        <v>We screened children aged 6–14 years for eligibility. We obtained written informed consent from their parents or guardians; the children themselves gave assent orally. Children who tested positive for T trichiura were deemed eligible for the trial. Oral medical history and physical examinations were obtained from each child meeting the inclusion criteria.</v>
      </c>
      <c r="AU117" s="880" t="str">
        <f>IFERROR(__xludf.DUMMYFUNCTION("""COMPUTED_VALUE"""),"Yes")</f>
        <v>Yes</v>
      </c>
      <c r="AV117" s="880"/>
      <c r="AW117" s="881"/>
      <c r="AX117" s="863" t="str">
        <f>IFERROR(__xludf.DUMMYFUNCTION("""COMPUTED_VALUE"""),"68·5%")</f>
        <v>68·5%</v>
      </c>
      <c r="AY117" s="863"/>
      <c r="AZ117" s="863"/>
      <c r="BA117" s="863"/>
      <c r="BB117" s="863"/>
      <c r="BC117" s="863"/>
      <c r="BD117" s="863"/>
      <c r="BE117" s="863"/>
      <c r="BF117" s="863"/>
      <c r="BG117" s="863"/>
      <c r="BH117" s="863"/>
      <c r="BI117" s="863"/>
      <c r="BJ117" s="863"/>
      <c r="BK117" s="863"/>
      <c r="BL117" s="863"/>
      <c r="BM117" s="863"/>
      <c r="BN117" s="863" t="str">
        <f>IFERROR(__xludf.DUMMYFUNCTION("""COMPUTED_VALUE"""),"In conclusion, we identifi ed two combination therapies against T trichiura that have signifi cantly higher efficacy than the standard treatment of Mebendazolealone: Albendazoleplus oxantel pamoate and Albendazoleplus ivermectin. On one hand, the combinat"&amp;"ion including oxantel pamoate cured a larger proportion of patients than the combination with ivermectin. On the other hand, Ivermectinhas the advantage of also being the standard treatment against S stercoralis, We identified strong evidence, including a"&amp;" systematic review and meta-analysis 7 and some clinical trials,8–12 for the low efficacy of the existing drugs Albendazoleand Mebendazoleagainst T trichiura. We identified three albendazole-based drug combinations (Albendazole[400 mg] plus Ivermectin[200"&amp;" μg/kg],9,15,16 Albendazole[400 mg] plus Mebendazole[500 mg],10 and Albendazole[400 mg] plus oxantel pamoate [20 mg/kg])12 that showed high effi cacy against T trichiura. However, the effi cacy and safety of these three drug combinations had not been asse"&amp;"ssed within a head-to-head clinical trial. Our study provides the first evidence that a combination of Albendazoleplus oxantel pamoate is the most eff ective treatment for infections with T trichiura. By contrast with previous work, our study directly com"&amp;"pared three combined treatments. Our results suggest that Mebendazolealone or combined with Albendazolecannot be recommended as treatment for these infections. The frequency and severity of adverse events noted after combination chemotherapy were similar "&amp;"to those reported for Mebendazolealone.")</f>
        <v>In conclusion, we identifi ed two combination therapies against T trichiura that have signifi cantly higher efficacy than the standard treatment of Mebendazolealone: Albendazoleplus oxantel pamoate and Albendazoleplus ivermectin. On one hand, the combination including oxantel pamoate cured a larger proportion of patients than the combination with ivermectin. On the other hand, Ivermectinhas the advantage of also being the standard treatment against S stercoralis, We identified strong evidence, including a systematic review and meta-analysis 7 and some clinical trials,8–12 for the low efficacy of the existing drugs Albendazoleand Mebendazoleagainst T trichiura. We identified three albendazole-based drug combinations (Albendazole[400 mg] plus Ivermectin[200 μg/kg],9,15,16 Albendazole[400 mg] plus Mebendazole[500 mg],10 and Albendazole[400 mg] plus oxantel pamoate [20 mg/kg])12 that showed high effi cacy against T trichiura. However, the effi cacy and safety of these three drug combinations had not been assessed within a head-to-head clinical trial. Our study provides the first evidence that a combination of Albendazoleplus oxantel pamoate is the most eff ective treatment for infections with T trichiura. By contrast with previous work, our study directly compared three combined treatments. Our results suggest that Mebendazolealone or combined with Albendazolecannot be recommended as treatment for these infections. The frequency and severity of adverse events noted after combination chemotherapy were similar to those reported for Mebendazolealone.</v>
      </c>
      <c r="BO117" s="863"/>
      <c r="BP117" s="880"/>
      <c r="BQ117" s="863"/>
      <c r="BR117" s="889" t="str">
        <f>IFERROR(__xludf.DUMMYFUNCTION("""COMPUTED_VALUE"""),"Abadi K. ")</f>
        <v>Abadi K. </v>
      </c>
      <c r="BS117" s="883" t="str">
        <f>IFERROR(__xludf.DUMMYFUNCTION("""COMPUTED_VALUE"""),"Indonesia")</f>
        <v>Indonesia</v>
      </c>
      <c r="BT117" s="883" t="str">
        <f>IFERROR(__xludf.DUMMYFUNCTION("""COMPUTED_VALUE"""),"Placebo")</f>
        <v>Placebo</v>
      </c>
      <c r="BU117" s="883"/>
      <c r="BV117" s="883"/>
      <c r="BW117" s="883"/>
      <c r="BX117" s="883">
        <f>IFERROR(__xludf.DUMMYFUNCTION("""COMPUTED_VALUE"""),44.0)</f>
        <v>44</v>
      </c>
      <c r="BY117" s="883"/>
      <c r="BZ117" s="883"/>
      <c r="CA117" s="883"/>
      <c r="CB117" s="883"/>
      <c r="CC117" s="883" t="str">
        <f>IFERROR(__xludf.DUMMYFUNCTION("""COMPUTED_VALUE"""),"No")</f>
        <v>No</v>
      </c>
      <c r="CD117" s="884">
        <f>IFERROR(__xludf.DUMMYFUNCTION("""COMPUTED_VALUE"""),0.0)</f>
        <v>0</v>
      </c>
      <c r="CE117" s="883" t="str">
        <f>IFERROR(__xludf.DUMMYFUNCTION("""COMPUTED_VALUE"""),"Yes")</f>
        <v>Yes</v>
      </c>
      <c r="CF117" s="883"/>
      <c r="CG117" s="883"/>
      <c r="CH117" s="883"/>
      <c r="CI117" s="883"/>
      <c r="CJ117" s="883"/>
      <c r="CK117" s="883"/>
      <c r="CL117" s="883"/>
      <c r="CM117" s="884">
        <f>IFERROR(__xludf.DUMMYFUNCTION("""COMPUTED_VALUE"""),0.06)</f>
        <v>0.06</v>
      </c>
      <c r="CN117" s="883"/>
      <c r="CO117" s="883"/>
      <c r="CP117" s="883"/>
      <c r="CQ117" s="883"/>
      <c r="CR117" s="883"/>
      <c r="CS117" s="883"/>
      <c r="CT117" s="883"/>
      <c r="CU117" s="883"/>
      <c r="CV117" s="863"/>
      <c r="CW117" s="863"/>
      <c r="CX117" s="863"/>
      <c r="CY117" s="863"/>
      <c r="CZ117" s="863"/>
      <c r="DA117" s="863"/>
      <c r="DB117" s="863"/>
      <c r="DC117" s="863"/>
      <c r="DD117" s="863"/>
      <c r="DE117" s="863"/>
    </row>
    <row r="118">
      <c r="A118" s="887" t="str">
        <f>IFERROR(__xludf.DUMMYFUNCTION("""COMPUTED_VALUE"""),"Speich et al. ")</f>
        <v>Speich et al. </v>
      </c>
      <c r="B118" s="876" t="str">
        <f>IFERROR(__xludf.DUMMYFUNCTION("""COMPUTED_VALUE"""),"Tanzania")</f>
        <v>Tanzania</v>
      </c>
      <c r="C118" s="876" t="str">
        <f>IFERROR(__xludf.DUMMYFUNCTION("""COMPUTED_VALUE"""),"Albendazole &amp; Nitazoxanide")</f>
        <v>Albendazole &amp; Nitazoxanide</v>
      </c>
      <c r="D118" s="876" t="str">
        <f>IFERROR(__xludf.DUMMYFUNCTION("""COMPUTED_VALUE"""),"Single")</f>
        <v>Single</v>
      </c>
      <c r="E118" s="876" t="str">
        <f>IFERROR(__xludf.DUMMYFUNCTION("""COMPUTED_VALUE"""),"400 mg; 1000 mg")</f>
        <v>400 mg; 1000 mg</v>
      </c>
      <c r="F118" s="876" t="str">
        <f>IFERROR(__xludf.DUMMYFUNCTION("""COMPUTED_VALUE"""),"14/48")</f>
        <v>14/48</v>
      </c>
      <c r="G118" s="876"/>
      <c r="H118" s="876"/>
      <c r="I118" s="876">
        <f>IFERROR(__xludf.DUMMYFUNCTION("""COMPUTED_VALUE"""),2011.0)</f>
        <v>2011</v>
      </c>
      <c r="J118" s="876"/>
      <c r="K118" s="876" t="str">
        <f>IFERROR(__xludf.DUMMYFUNCTION("""COMPUTED_VALUE"""),"double-blind randomized placebo controlled study")</f>
        <v>double-blind randomized placebo controlled study</v>
      </c>
      <c r="L118" s="876" t="str">
        <f>IFERROR(__xludf.DUMMYFUNCTION("""COMPUTED_VALUE"""),"Yes")</f>
        <v>Yes</v>
      </c>
      <c r="M118" s="876" t="str">
        <f>IFERROR(__xludf.DUMMYFUNCTION("""COMPUTED_VALUE"""),"Yes")</f>
        <v>Yes</v>
      </c>
      <c r="N118" s="877">
        <f>IFERROR(__xludf.DUMMYFUNCTION("""COMPUTED_VALUE"""),0.857)</f>
        <v>0.857</v>
      </c>
      <c r="O118" s="876"/>
      <c r="P118" s="876"/>
      <c r="Q118" s="876"/>
      <c r="R118" s="876"/>
      <c r="S118" s="876"/>
      <c r="T118" s="876"/>
      <c r="U118" s="876"/>
      <c r="V118" s="876"/>
      <c r="W118" s="876"/>
      <c r="X118" s="876"/>
      <c r="Y118" s="876"/>
      <c r="Z118" s="876"/>
      <c r="AA118" s="876"/>
      <c r="AB118" s="876"/>
      <c r="AC118" s="876"/>
      <c r="AD118" s="876"/>
      <c r="AE118" s="876"/>
      <c r="AF118" s="876" t="str">
        <f>IFERROR(__xludf.DUMMYFUNCTION("""COMPUTED_VALUE"""),"Kato-Katz Method and less then 10 percent of the children were infected with hookworm")</f>
        <v>Kato-Katz Method and less then 10 percent of the children were infected with hookworm</v>
      </c>
      <c r="AG118" s="876" t="str">
        <f>IFERROR(__xludf.DUMMYFUNCTION("""COMPUTED_VALUE"""),"Speich, Benjamin, Shaali M. Ame, Said M. Ali, Rainer Alles, Janet Hattendorf, Jurg Utzinger, Marco Albonico, and Jennifer Keisler. ""Efficacy and Safety of Nitazoxanide, Albendazole, and Nitazoxanide-Albendazoleagainst Trichuris Trichiura Infection: A Ran"&amp;"domized Controlled Trial."" PLOS Neglected Tropical Diseases 6.6 (2012): 1-8. Web.")</f>
        <v>Speich, Benjamin, Shaali M. Ame, Said M. Ali, Rainer Alles, Janet Hattendorf, Jurg Utzinger, Marco Albonico, and Jennifer Keisler. "Efficacy and Safety of Nitazoxanide, Albendazole, and Nitazoxanide-Albendazoleagainst Trichuris Trichiura Infection: A Randomized Controlled Trial." PLOS Neglected Tropical Diseases 6.6 (2012): 1-8. Web.</v>
      </c>
      <c r="AH118" s="876"/>
      <c r="AI118" s="878"/>
      <c r="AJ118" s="888" t="str">
        <f>IFERROR(__xludf.DUMMYFUNCTION("""COMPUTED_VALUE"""),"Speich")</f>
        <v>Speich</v>
      </c>
      <c r="AK118" s="880" t="str">
        <f>IFERROR(__xludf.DUMMYFUNCTION("""COMPUTED_VALUE"""),"Speich, Benjamin, et al. ""Efficacy and safety of Albendazoleplus ivermectin, Albendazoleplus mebendazole, Albendazoleplus oxantel pamoate, and Mebendazolealone against Trichuris trichiura and concomitant soil-transmitted helminth infections: a four-arm, "&amp;"randomised controlled trial."" The Lancet Infectious Diseases 15.3 (2015): 277-284.")</f>
        <v>Speich, Benjamin, et al. "Efficacy and safety of Albendazoleplus ivermectin, Albendazoleplus mebendazole, Albendazoleplus oxantel pamoate, and Mebendazolealone against Trichuris trichiura and concomitant soil-transmitted helminth infections: a four-arm, randomised controlled trial." The Lancet Infectious Diseases 15.3 (2015): 277-284.</v>
      </c>
      <c r="AL118" s="880" t="str">
        <f>IFERROR(__xludf.DUMMYFUNCTION("""COMPUTED_VALUE"""),"Tanzania")</f>
        <v>Tanzania</v>
      </c>
      <c r="AM118" s="880" t="str">
        <f>IFERROR(__xludf.DUMMYFUNCTION("""COMPUTED_VALUE"""),"Mebendazole")</f>
        <v>Mebendazole</v>
      </c>
      <c r="AN118" s="880" t="str">
        <f>IFERROR(__xludf.DUMMYFUNCTION("""COMPUTED_VALUE"""),"Single")</f>
        <v>Single</v>
      </c>
      <c r="AO118" s="880" t="str">
        <f>IFERROR(__xludf.DUMMYFUNCTION("""COMPUTED_VALUE"""),"500 mg")</f>
        <v>500 mg</v>
      </c>
      <c r="AP118" s="880">
        <f>IFERROR(__xludf.DUMMYFUNCTION("""COMPUTED_VALUE"""),110.0)</f>
        <v>110</v>
      </c>
      <c r="AQ118" s="880" t="str">
        <f>IFERROR(__xludf.DUMMYFUNCTION("""COMPUTED_VALUE"""),"8·8")</f>
        <v>8·8</v>
      </c>
      <c r="AR118" s="880" t="str">
        <f>IFERROR(__xludf.DUMMYFUNCTION("""COMPUTED_VALUE"""),"55/55")</f>
        <v>55/55</v>
      </c>
      <c r="AS118" s="880">
        <f>IFERROR(__xludf.DUMMYFUNCTION("""COMPUTED_VALUE"""),2010.0)</f>
        <v>2010</v>
      </c>
      <c r="AT118" s="880" t="str">
        <f>IFERROR(__xludf.DUMMYFUNCTION("""COMPUTED_VALUE"""),"We screened children aged 6–14 years for eligibility. We obtained written informed consent from their parents or guardians; the children themselves gave assent orally. Children who tested positive for T trichiura were deemed eligible for the trial. Oral m"&amp;"edical history and physical examinations were obtained from each child meeting the inclusion criteria.")</f>
        <v>We screened children aged 6–14 years for eligibility. We obtained written informed consent from their parents or guardians; the children themselves gave assent orally. Children who tested positive for T trichiura were deemed eligible for the trial. Oral medical history and physical examinations were obtained from each child meeting the inclusion criteria.</v>
      </c>
      <c r="AU118" s="880" t="str">
        <f>IFERROR(__xludf.DUMMYFUNCTION("""COMPUTED_VALUE"""),"Yes")</f>
        <v>Yes</v>
      </c>
      <c r="AV118" s="880"/>
      <c r="AW118" s="881"/>
      <c r="AX118" s="863" t="str">
        <f>IFERROR(__xludf.DUMMYFUNCTION("""COMPUTED_VALUE"""),"8·4%")</f>
        <v>8·4%</v>
      </c>
      <c r="AY118" s="863"/>
      <c r="AZ118" s="863"/>
      <c r="BA118" s="863"/>
      <c r="BB118" s="863"/>
      <c r="BC118" s="863"/>
      <c r="BD118" s="863"/>
      <c r="BE118" s="863"/>
      <c r="BF118" s="863"/>
      <c r="BG118" s="863"/>
      <c r="BH118" s="863"/>
      <c r="BI118" s="863"/>
      <c r="BJ118" s="863"/>
      <c r="BK118" s="863"/>
      <c r="BL118" s="863"/>
      <c r="BM118" s="863"/>
      <c r="BN118" s="863" t="str">
        <f>IFERROR(__xludf.DUMMYFUNCTION("""COMPUTED_VALUE"""),"In conclusion, we identifi ed two combination therapies against T trichiura that have signifi cantly higher efficacy than the standard treatment of Mebendazolealone: Albendazoleplus oxantel pamoate and Albendazoleplus ivermectin. On one hand, the combinat"&amp;"ion including oxantel pamoate cured a larger proportion of patients than the combination with ivermectin. On the other hand, Ivermectinhas the advantage of also being the standard treatment against S stercoralis, We identified strong evidence, including a"&amp;" systematic review and meta-analysis 7 and some clinical trials,8–12 for the low efficacy of the existing drugs Albendazoleand Mebendazoleagainst T trichiura. We identified three albendazole-based drug combinations (Albendazole[400 mg] plus Ivermectin[200"&amp;" μg/kg],9,15,16 Albendazole[400 mg] plus Mebendazole[500 mg],10 and Albendazole[400 mg] plus oxantel pamoate [20 mg/kg])12 that showed high effi cacy against T trichiura. However, the effi cacy and safety of these three drug combinations had not been asse"&amp;"ssed within a head-to-head clinical trial. Our study provides the first evidence that a combination of Albendazoleplus oxantel pamoate is the most eff ective treatment for infections with T trichiura. By contrast with previous work, our study directly com"&amp;"pared three combined treatments. Our results suggest that Mebendazolealone or combined with Albendazolecannot be recommended as treatment for these infections. The frequency and severity of adverse events noted after combination chemotherapy were similar "&amp;"to those reported for Mebendazolealone.")</f>
        <v>In conclusion, we identifi ed two combination therapies against T trichiura that have signifi cantly higher efficacy than the standard treatment of Mebendazolealone: Albendazoleplus oxantel pamoate and Albendazoleplus ivermectin. On one hand, the combination including oxantel pamoate cured a larger proportion of patients than the combination with ivermectin. On the other hand, Ivermectinhas the advantage of also being the standard treatment against S stercoralis, We identified strong evidence, including a systematic review and meta-analysis 7 and some clinical trials,8–12 for the low efficacy of the existing drugs Albendazoleand Mebendazoleagainst T trichiura. We identified three albendazole-based drug combinations (Albendazole[400 mg] plus Ivermectin[200 μg/kg],9,15,16 Albendazole[400 mg] plus Mebendazole[500 mg],10 and Albendazole[400 mg] plus oxantel pamoate [20 mg/kg])12 that showed high effi cacy against T trichiura. However, the effi cacy and safety of these three drug combinations had not been assessed within a head-to-head clinical trial. Our study provides the first evidence that a combination of Albendazoleplus oxantel pamoate is the most eff ective treatment for infections with T trichiura. By contrast with previous work, our study directly compared three combined treatments. Our results suggest that Mebendazolealone or combined with Albendazolecannot be recommended as treatment for these infections. The frequency and severity of adverse events noted after combination chemotherapy were similar to those reported for Mebendazolealone.</v>
      </c>
      <c r="BO118" s="863"/>
      <c r="BP118" s="880"/>
      <c r="BQ118" s="863"/>
      <c r="BR118" s="889" t="str">
        <f>IFERROR(__xludf.DUMMYFUNCTION("""COMPUTED_VALUE"""),"N Ayad El-Masry et al.")</f>
        <v>N Ayad El-Masry et al.</v>
      </c>
      <c r="BS118" s="883" t="str">
        <f>IFERROR(__xludf.DUMMYFUNCTION("""COMPUTED_VALUE""")," ")</f>
        <v> </v>
      </c>
      <c r="BT118" s="883" t="str">
        <f>IFERROR(__xludf.DUMMYFUNCTION("""COMPUTED_VALUE"""),"Albendazole")</f>
        <v>Albendazole</v>
      </c>
      <c r="BU118" s="883"/>
      <c r="BV118" s="883" t="str">
        <f>IFERROR(__xludf.DUMMYFUNCTION("""COMPUTED_VALUE"""),"Single")</f>
        <v>Single</v>
      </c>
      <c r="BW118" s="883" t="str">
        <f>IFERROR(__xludf.DUMMYFUNCTION("""COMPUTED_VALUE"""),"400 mg")</f>
        <v>400 mg</v>
      </c>
      <c r="BX118" s="883">
        <f>IFERROR(__xludf.DUMMYFUNCTION("""COMPUTED_VALUE"""),30.0)</f>
        <v>30</v>
      </c>
      <c r="BY118" s="883">
        <f>IFERROR(__xludf.DUMMYFUNCTION("""COMPUTED_VALUE"""),25.7)</f>
        <v>25.7</v>
      </c>
      <c r="BZ118" s="883">
        <f>IFERROR(__xludf.DUMMYFUNCTION("""COMPUTED_VALUE"""),1982.0)</f>
        <v>1982</v>
      </c>
      <c r="CA118" s="883"/>
      <c r="CB118" s="883"/>
      <c r="CC118" s="883" t="str">
        <f>IFERROR(__xludf.DUMMYFUNCTION("""COMPUTED_VALUE"""),"No")</f>
        <v>No</v>
      </c>
      <c r="CD118" s="884">
        <f>IFERROR(__xludf.DUMMYFUNCTION("""COMPUTED_VALUE"""),1.0)</f>
        <v>1</v>
      </c>
      <c r="CE118" s="883" t="str">
        <f>IFERROR(__xludf.DUMMYFUNCTION("""COMPUTED_VALUE"""),"Yes")</f>
        <v>Yes</v>
      </c>
      <c r="CF118" s="883"/>
      <c r="CG118" s="883"/>
      <c r="CH118" s="883"/>
      <c r="CI118" s="883"/>
      <c r="CJ118" s="883"/>
      <c r="CK118" s="883"/>
      <c r="CL118" s="883"/>
      <c r="CM118" s="883"/>
      <c r="CN118" s="883"/>
      <c r="CO118" s="883"/>
      <c r="CP118" s="883"/>
      <c r="CQ118" s="883"/>
      <c r="CR118" s="883"/>
      <c r="CS118" s="883"/>
      <c r="CT118" s="883"/>
      <c r="CU118" s="883"/>
      <c r="CV118" s="863"/>
      <c r="CW118" s="863"/>
      <c r="CX118" s="863"/>
      <c r="CY118" s="863"/>
      <c r="CZ118" s="863"/>
      <c r="DA118" s="863"/>
      <c r="DB118" s="863"/>
      <c r="DC118" s="863"/>
      <c r="DD118" s="863"/>
      <c r="DE118" s="863"/>
    </row>
    <row r="119">
      <c r="A119" s="887" t="str">
        <f>IFERROR(__xludf.DUMMYFUNCTION("""COMPUTED_VALUE"""),"Speich et al. ")</f>
        <v>Speich et al. </v>
      </c>
      <c r="B119" s="876" t="str">
        <f>IFERROR(__xludf.DUMMYFUNCTION("""COMPUTED_VALUE"""),"Tanzania")</f>
        <v>Tanzania</v>
      </c>
      <c r="C119" s="876" t="str">
        <f>IFERROR(__xludf.DUMMYFUNCTION("""COMPUTED_VALUE"""),"Placebo")</f>
        <v>Placebo</v>
      </c>
      <c r="D119" s="876"/>
      <c r="E119" s="876"/>
      <c r="F119" s="876" t="str">
        <f>IFERROR(__xludf.DUMMYFUNCTION("""COMPUTED_VALUE"""),"9/48")</f>
        <v>9/48</v>
      </c>
      <c r="G119" s="876"/>
      <c r="H119" s="876"/>
      <c r="I119" s="876">
        <f>IFERROR(__xludf.DUMMYFUNCTION("""COMPUTED_VALUE"""),2011.0)</f>
        <v>2011</v>
      </c>
      <c r="J119" s="876"/>
      <c r="K119" s="876" t="str">
        <f>IFERROR(__xludf.DUMMYFUNCTION("""COMPUTED_VALUE"""),"double-blind randomized placebo controlled study")</f>
        <v>double-blind randomized placebo controlled study</v>
      </c>
      <c r="L119" s="876" t="str">
        <f>IFERROR(__xludf.DUMMYFUNCTION("""COMPUTED_VALUE"""),"Yes")</f>
        <v>Yes</v>
      </c>
      <c r="M119" s="876" t="str">
        <f>IFERROR(__xludf.DUMMYFUNCTION("""COMPUTED_VALUE"""),"Yes")</f>
        <v>Yes</v>
      </c>
      <c r="N119" s="877">
        <f>IFERROR(__xludf.DUMMYFUNCTION("""COMPUTED_VALUE"""),0.556)</f>
        <v>0.556</v>
      </c>
      <c r="O119" s="876"/>
      <c r="P119" s="876"/>
      <c r="Q119" s="876"/>
      <c r="R119" s="876"/>
      <c r="S119" s="876"/>
      <c r="T119" s="876"/>
      <c r="U119" s="876"/>
      <c r="V119" s="876"/>
      <c r="W119" s="876"/>
      <c r="X119" s="876"/>
      <c r="Y119" s="876"/>
      <c r="Z119" s="876"/>
      <c r="AA119" s="876"/>
      <c r="AB119" s="876"/>
      <c r="AC119" s="876"/>
      <c r="AD119" s="876"/>
      <c r="AE119" s="876"/>
      <c r="AF119" s="876" t="str">
        <f>IFERROR(__xludf.DUMMYFUNCTION("""COMPUTED_VALUE"""),"Kato-Katz Method and less then 10 percent of the children were infected with hookworm")</f>
        <v>Kato-Katz Method and less then 10 percent of the children were infected with hookworm</v>
      </c>
      <c r="AG119" s="876" t="str">
        <f>IFERROR(__xludf.DUMMYFUNCTION("""COMPUTED_VALUE"""),"Speich, Benjamin, Shaali M. Ame, Said M. Ali, Rainer Alles, Janet Hattendorf, Jurg Utzinger, Marco Albonico, and Jennifer Keisler. ""Efficacy and Safety of Nitazoxanide, Albendazole, and Nitazoxanide-Albendazoleagainst Trichuris Trichiura Infection: A Ran"&amp;"domized Controlled Trial."" PLOS Neglected Tropical Diseases 6.6 (2012): 1-8. Web.")</f>
        <v>Speich, Benjamin, Shaali M. Ame, Said M. Ali, Rainer Alles, Janet Hattendorf, Jurg Utzinger, Marco Albonico, and Jennifer Keisler. "Efficacy and Safety of Nitazoxanide, Albendazole, and Nitazoxanide-Albendazoleagainst Trichuris Trichiura Infection: A Randomized Controlled Trial." PLOS Neglected Tropical Diseases 6.6 (2012): 1-8. Web.</v>
      </c>
      <c r="AH119" s="876"/>
      <c r="AI119" s="878"/>
      <c r="AJ119" s="888" t="str">
        <f>IFERROR(__xludf.DUMMYFUNCTION("""COMPUTED_VALUE"""),"Knopp")</f>
        <v>Knopp</v>
      </c>
      <c r="AK119" s="880" t="str">
        <f>IFERROR(__xludf.DUMMYFUNCTION("""COMPUTED_VALUE"""),"Knopp, Stefanie, et al. ""Albendazoleand Mebendazoleadministered alone or in combination with Ivermectinagainst Trichuris trichiura: a randomized controlled trial."" Clinical infectious diseases 51.12 (2010): 1420-1428.")</f>
        <v>Knopp, Stefanie, et al. "Albendazoleand Mebendazoleadministered alone or in combination with Ivermectinagainst Trichuris trichiura: a randomized controlled trial." Clinical infectious diseases 51.12 (2010): 1420-1428.</v>
      </c>
      <c r="AL119" s="880" t="str">
        <f>IFERROR(__xludf.DUMMYFUNCTION("""COMPUTED_VALUE"""),"Tanzania")</f>
        <v>Tanzania</v>
      </c>
      <c r="AM119" s="880"/>
      <c r="AN119" s="880"/>
      <c r="AO119" s="880"/>
      <c r="AP119" s="880"/>
      <c r="AQ119" s="880"/>
      <c r="AR119" s="880"/>
      <c r="AS119" s="880"/>
      <c r="AT119" s="880"/>
      <c r="AU119" s="880"/>
      <c r="AV119" s="880"/>
      <c r="AW119" s="881"/>
      <c r="AX119" s="863"/>
      <c r="AY119" s="863"/>
      <c r="AZ119" s="863"/>
      <c r="BA119" s="863"/>
      <c r="BB119" s="863"/>
      <c r="BC119" s="863"/>
      <c r="BD119" s="863"/>
      <c r="BE119" s="863"/>
      <c r="BF119" s="863"/>
      <c r="BG119" s="863"/>
      <c r="BH119" s="863"/>
      <c r="BI119" s="863"/>
      <c r="BJ119" s="863"/>
      <c r="BK119" s="863"/>
      <c r="BL119" s="863"/>
      <c r="BM119" s="863"/>
      <c r="BN119" s="863"/>
      <c r="BO119" s="863"/>
      <c r="BP119" s="880"/>
      <c r="BQ119" s="863"/>
      <c r="BR119" s="889" t="str">
        <f>IFERROR(__xludf.DUMMYFUNCTION("""COMPUTED_VALUE"""),"N Ayad El-Masry et al.")</f>
        <v>N Ayad El-Masry et al.</v>
      </c>
      <c r="BS119" s="883"/>
      <c r="BT119" s="883" t="str">
        <f>IFERROR(__xludf.DUMMYFUNCTION("""COMPUTED_VALUE"""),"Placebo")</f>
        <v>Placebo</v>
      </c>
      <c r="BU119" s="883"/>
      <c r="BV119" s="883"/>
      <c r="BW119" s="883"/>
      <c r="BX119" s="883">
        <f>IFERROR(__xludf.DUMMYFUNCTION("""COMPUTED_VALUE"""),30.0)</f>
        <v>30</v>
      </c>
      <c r="BY119" s="883">
        <f>IFERROR(__xludf.DUMMYFUNCTION("""COMPUTED_VALUE"""),23.4)</f>
        <v>23.4</v>
      </c>
      <c r="BZ119" s="883">
        <f>IFERROR(__xludf.DUMMYFUNCTION("""COMPUTED_VALUE"""),1982.0)</f>
        <v>1982</v>
      </c>
      <c r="CA119" s="883"/>
      <c r="CB119" s="883"/>
      <c r="CC119" s="883" t="str">
        <f>IFERROR(__xludf.DUMMYFUNCTION("""COMPUTED_VALUE"""),"No")</f>
        <v>No</v>
      </c>
      <c r="CD119" s="884">
        <f>IFERROR(__xludf.DUMMYFUNCTION("""COMPUTED_VALUE"""),0.0)</f>
        <v>0</v>
      </c>
      <c r="CE119" s="883" t="str">
        <f>IFERROR(__xludf.DUMMYFUNCTION("""COMPUTED_VALUE"""),"Yes")</f>
        <v>Yes</v>
      </c>
      <c r="CF119" s="883"/>
      <c r="CG119" s="883"/>
      <c r="CH119" s="883"/>
      <c r="CI119" s="883"/>
      <c r="CJ119" s="883"/>
      <c r="CK119" s="883"/>
      <c r="CL119" s="883"/>
      <c r="CM119" s="883"/>
      <c r="CN119" s="883"/>
      <c r="CO119" s="883"/>
      <c r="CP119" s="883"/>
      <c r="CQ119" s="883"/>
      <c r="CR119" s="883"/>
      <c r="CS119" s="883"/>
      <c r="CT119" s="883"/>
      <c r="CU119" s="883"/>
      <c r="CV119" s="863"/>
      <c r="CW119" s="863"/>
      <c r="CX119" s="863"/>
      <c r="CY119" s="863"/>
      <c r="CZ119" s="863"/>
      <c r="DA119" s="863"/>
      <c r="DB119" s="863"/>
      <c r="DC119" s="863"/>
      <c r="DD119" s="863"/>
      <c r="DE119" s="863"/>
    </row>
    <row r="120">
      <c r="A120" s="887" t="str">
        <f>IFERROR(__xludf.DUMMYFUNCTION("""COMPUTED_VALUE"""),"Steinmann et al.")</f>
        <v>Steinmann et al.</v>
      </c>
      <c r="B120" s="876" t="str">
        <f>IFERROR(__xludf.DUMMYFUNCTION("""COMPUTED_VALUE"""),"China")</f>
        <v>China</v>
      </c>
      <c r="C120" s="876" t="str">
        <f>IFERROR(__xludf.DUMMYFUNCTION("""COMPUTED_VALUE"""),"Albendazole")</f>
        <v>Albendazole</v>
      </c>
      <c r="D120" s="876" t="str">
        <f>IFERROR(__xludf.DUMMYFUNCTION("""COMPUTED_VALUE"""),"Single")</f>
        <v>Single</v>
      </c>
      <c r="E120" s="876" t="str">
        <f>IFERROR(__xludf.DUMMYFUNCTION("""COMPUTED_VALUE"""),"400 mg")</f>
        <v>400 mg</v>
      </c>
      <c r="F120" s="876" t="str">
        <f>IFERROR(__xludf.DUMMYFUNCTION("""COMPUTED_VALUE"""),"55/82")</f>
        <v>55/82</v>
      </c>
      <c r="G120" s="876" t="str">
        <f>IFERROR(__xludf.DUMMYFUNCTION("""COMPUTED_VALUE"""),"5 years old or older")</f>
        <v>5 years old or older</v>
      </c>
      <c r="H120" s="876" t="str">
        <f>IFERROR(__xludf.DUMMYFUNCTION("""COMPUTED_VALUE"""),"47:35")</f>
        <v>47:35</v>
      </c>
      <c r="I120" s="876">
        <f>IFERROR(__xludf.DUMMYFUNCTION("""COMPUTED_VALUE"""),2008.0)</f>
        <v>2008</v>
      </c>
      <c r="J120" s="876" t="str">
        <f>IFERROR(__xludf.DUMMYFUNCTION("""COMPUTED_VALUE"""),"Does not have: Pregnant, chronic disease, other conditions likely to interfere with helminths, recent history of treatment,  or participation in another trial within 1 month")</f>
        <v>Does not have: Pregnant, chronic disease, other conditions likely to interfere with helminths, recent history of treatment,  or participation in another trial within 1 month</v>
      </c>
      <c r="K120" s="876" t="str">
        <f>IFERROR(__xludf.DUMMYFUNCTION("""COMPUTED_VALUE"""),"community-based open-label outcome assessors-blinded randomized controlled trial")</f>
        <v>community-based open-label outcome assessors-blinded randomized controlled trial</v>
      </c>
      <c r="L120" s="876" t="str">
        <f>IFERROR(__xludf.DUMMYFUNCTION("""COMPUTED_VALUE"""),"Yes")</f>
        <v>Yes</v>
      </c>
      <c r="M120" s="876" t="str">
        <f>IFERROR(__xludf.DUMMYFUNCTION("""COMPUTED_VALUE"""),"Yes")</f>
        <v>Yes</v>
      </c>
      <c r="N120" s="877">
        <f>IFERROR(__xludf.DUMMYFUNCTION("""COMPUTED_VALUE"""),0.691)</f>
        <v>0.691</v>
      </c>
      <c r="O120" s="876"/>
      <c r="P120" s="876"/>
      <c r="Q120" s="876"/>
      <c r="R120" s="876"/>
      <c r="S120" s="876"/>
      <c r="T120" s="876"/>
      <c r="U120" s="876"/>
      <c r="V120" s="876"/>
      <c r="W120" s="876">
        <f>IFERROR(__xludf.DUMMYFUNCTION("""COMPUTED_VALUE"""),0.973)</f>
        <v>0.973</v>
      </c>
      <c r="X120" s="876"/>
      <c r="Y120" s="876"/>
      <c r="Z120" s="876"/>
      <c r="AA120" s="876"/>
      <c r="AB120" s="876"/>
      <c r="AC120" s="876"/>
      <c r="AD120" s="876"/>
      <c r="AE120" s="876" t="str">
        <f>IFERROR(__xludf.DUMMYFUNCTION("""COMPUTED_VALUE"""),"Single oral ALB is more efficacious then single oral MB against hookowrm infection")</f>
        <v>Single oral ALB is more efficacious then single oral MB against hookowrm infection</v>
      </c>
      <c r="AF120" s="876" t="str">
        <f>IFERROR(__xludf.DUMMYFUNCTION("""COMPUTED_VALUE"""),"Kato-Katz thick smear")</f>
        <v>Kato-Katz thick smear</v>
      </c>
      <c r="AG120" s="876" t="str">
        <f>IFERROR(__xludf.DUMMYFUNCTION("""COMPUTED_VALUE"""),"Steinmann, Peter, Jurg Utzinger, Zun-Wei Du, Jin-Yong Jiang, Jia-Xu Chen, Jan Hattendorf, Hui Zhou, and Xiao-Nong Zhou. ""Efficacy of Single Dose and Triple Dose Albendazoleand Mebendazoleagainst Soil Transmitted Helminths and Taenia Spp.: A Randomized Co"&amp;"ntrolled Trial."" PLOS Neglected Tropical Diseases 6.9 (2011): 1-8. Web.")</f>
        <v>Steinmann, Peter, Jurg Utzinger, Zun-Wei Du, Jin-Yong Jiang, Jia-Xu Chen, Jan Hattendorf, Hui Zhou, and Xiao-Nong Zhou. "Efficacy of Single Dose and Triple Dose Albendazoleand Mebendazoleagainst Soil Transmitted Helminths and Taenia Spp.: A Randomized Controlled Trial." PLOS Neglected Tropical Diseases 6.9 (2011): 1-8. Web.</v>
      </c>
      <c r="AH120" s="876"/>
      <c r="AI120" s="878"/>
      <c r="AJ120" s="880" t="str">
        <f>IFERROR(__xludf.DUMMYFUNCTION("""COMPUTED_VALUE"""),"Olsen")</f>
        <v>Olsen</v>
      </c>
      <c r="AK120" s="880" t="str">
        <f>IFERROR(__xludf.DUMMYFUNCTION("""COMPUTED_VALUE"""),"Olsen, Annette, et al. ""Albendazoleand Mebendazolehave low efficacy against Trichuris trichiura in school-age children in Kabale District, Uganda."" Transactions of the Royal Society of Tropical Medicine and Hygiene 103.5 (2009): 443-446.")</f>
        <v>Olsen, Annette, et al. "Albendazoleand Mebendazolehave low efficacy against Trichuris trichiura in school-age children in Kabale District, Uganda." Transactions of the Royal Society of Tropical Medicine and Hygiene 103.5 (2009): 443-446.</v>
      </c>
      <c r="AL120" s="880" t="str">
        <f>IFERROR(__xludf.DUMMYFUNCTION("""COMPUTED_VALUE"""),"Uganda")</f>
        <v>Uganda</v>
      </c>
      <c r="AM120" s="880"/>
      <c r="AN120" s="880"/>
      <c r="AO120" s="880"/>
      <c r="AP120" s="880"/>
      <c r="AQ120" s="880"/>
      <c r="AR120" s="880"/>
      <c r="AS120" s="880"/>
      <c r="AT120" s="880"/>
      <c r="AU120" s="880"/>
      <c r="AV120" s="880"/>
      <c r="AW120" s="881"/>
      <c r="AX120" s="863"/>
      <c r="AY120" s="863"/>
      <c r="AZ120" s="863"/>
      <c r="BA120" s="863"/>
      <c r="BB120" s="863"/>
      <c r="BC120" s="863"/>
      <c r="BD120" s="863"/>
      <c r="BE120" s="863"/>
      <c r="BF120" s="863"/>
      <c r="BG120" s="863"/>
      <c r="BH120" s="863"/>
      <c r="BI120" s="863"/>
      <c r="BJ120" s="863"/>
      <c r="BK120" s="863"/>
      <c r="BL120" s="863"/>
      <c r="BM120" s="863"/>
      <c r="BN120" s="863"/>
      <c r="BO120" s="863"/>
      <c r="BP120" s="880"/>
      <c r="BQ120" s="863"/>
      <c r="BR120" s="889" t="str">
        <f>IFERROR(__xludf.DUMMYFUNCTION("""COMPUTED_VALUE"""),"Ash et al.")</f>
        <v>Ash et al.</v>
      </c>
      <c r="BS120" s="883" t="str">
        <f>IFERROR(__xludf.DUMMYFUNCTION("""COMPUTED_VALUE"""),"Laos")</f>
        <v>Laos</v>
      </c>
      <c r="BT120" s="883" t="str">
        <f>IFERROR(__xludf.DUMMYFUNCTION("""COMPUTED_VALUE"""),"Albendazole")</f>
        <v>Albendazole</v>
      </c>
      <c r="BU120" s="883"/>
      <c r="BV120" s="883" t="str">
        <f>IFERROR(__xludf.DUMMYFUNCTION("""COMPUTED_VALUE"""),"Three")</f>
        <v>Three</v>
      </c>
      <c r="BW120" s="883" t="str">
        <f>IFERROR(__xludf.DUMMYFUNCTION("""COMPUTED_VALUE"""),"400 mg")</f>
        <v>400 mg</v>
      </c>
      <c r="BX120" s="883">
        <f>IFERROR(__xludf.DUMMYFUNCTION("""COMPUTED_VALUE"""),43.0)</f>
        <v>43</v>
      </c>
      <c r="BY120" s="883" t="str">
        <f>IFERROR(__xludf.DUMMYFUNCTION("""COMPUTED_VALUE"""),"6+")</f>
        <v>6+</v>
      </c>
      <c r="BZ120" s="883">
        <f>IFERROR(__xludf.DUMMYFUNCTION("""COMPUTED_VALUE"""),2013.0)</f>
        <v>2013</v>
      </c>
      <c r="CA120" s="883"/>
      <c r="CB120" s="883" t="str">
        <f>IFERROR(__xludf.DUMMYFUNCTION("""COMPUTED_VALUE"""),"Excluded pregnant women and children under 6 yrs old")</f>
        <v>Excluded pregnant women and children under 6 yrs old</v>
      </c>
      <c r="CC120" s="883" t="str">
        <f>IFERROR(__xludf.DUMMYFUNCTION("""COMPUTED_VALUE"""),"No")</f>
        <v>No</v>
      </c>
      <c r="CD120" s="884"/>
      <c r="CE120" s="883" t="str">
        <f>IFERROR(__xludf.DUMMYFUNCTION("""COMPUTED_VALUE"""),"No")</f>
        <v>No</v>
      </c>
      <c r="CF120" s="883"/>
      <c r="CG120" s="883"/>
      <c r="CH120" s="883"/>
      <c r="CI120" s="883"/>
      <c r="CJ120" s="883"/>
      <c r="CK120" s="883"/>
      <c r="CL120" s="883"/>
      <c r="CM120" s="884">
        <f>IFERROR(__xludf.DUMMYFUNCTION("""COMPUTED_VALUE"""),0.994)</f>
        <v>0.994</v>
      </c>
      <c r="CN120" s="883"/>
      <c r="CO120" s="883"/>
      <c r="CP120" s="883"/>
      <c r="CQ120" s="883"/>
      <c r="CR120" s="883"/>
      <c r="CS120" s="883"/>
      <c r="CT120" s="883" t="str">
        <f>IFERROR(__xludf.DUMMYFUNCTION("""COMPUTED_VALUE"""),"McMaster technique")</f>
        <v>McMaster technique</v>
      </c>
      <c r="CU120" s="883" t="str">
        <f>IFERROR(__xludf.DUMMYFUNCTION("""COMPUTED_VALUE"""),"x")</f>
        <v>x</v>
      </c>
      <c r="CV120" s="863"/>
      <c r="CW120" s="863"/>
      <c r="CX120" s="863"/>
      <c r="CY120" s="863"/>
      <c r="CZ120" s="863"/>
      <c r="DA120" s="863"/>
      <c r="DB120" s="863"/>
      <c r="DC120" s="863"/>
      <c r="DD120" s="863"/>
      <c r="DE120" s="863"/>
    </row>
    <row r="121">
      <c r="A121" s="887" t="str">
        <f>IFERROR(__xludf.DUMMYFUNCTION("""COMPUTED_VALUE"""),"Steinmann et al.")</f>
        <v>Steinmann et al.</v>
      </c>
      <c r="B121" s="876" t="str">
        <f>IFERROR(__xludf.DUMMYFUNCTION("""COMPUTED_VALUE"""),"China")</f>
        <v>China</v>
      </c>
      <c r="C121" s="876" t="str">
        <f>IFERROR(__xludf.DUMMYFUNCTION("""COMPUTED_VALUE"""),"Mebendazole")</f>
        <v>Mebendazole</v>
      </c>
      <c r="D121" s="876" t="str">
        <f>IFERROR(__xludf.DUMMYFUNCTION("""COMPUTED_VALUE"""),"Single")</f>
        <v>Single</v>
      </c>
      <c r="E121" s="876" t="str">
        <f>IFERROR(__xludf.DUMMYFUNCTION("""COMPUTED_VALUE"""),"500 mg")</f>
        <v>500 mg</v>
      </c>
      <c r="F121" s="876" t="str">
        <f>IFERROR(__xludf.DUMMYFUNCTION("""COMPUTED_VALUE"""),"58/81")</f>
        <v>58/81</v>
      </c>
      <c r="G121" s="876"/>
      <c r="H121" s="876" t="str">
        <f>IFERROR(__xludf.DUMMYFUNCTION("""COMPUTED_VALUE"""),"42:39")</f>
        <v>42:39</v>
      </c>
      <c r="I121" s="876">
        <f>IFERROR(__xludf.DUMMYFUNCTION("""COMPUTED_VALUE"""),2008.0)</f>
        <v>2008</v>
      </c>
      <c r="J121" s="876"/>
      <c r="K121" s="876" t="str">
        <f>IFERROR(__xludf.DUMMYFUNCTION("""COMPUTED_VALUE"""),"community-based open-label outcome assessors-blinded randomized controlled trial")</f>
        <v>community-based open-label outcome assessors-blinded randomized controlled trial</v>
      </c>
      <c r="L121" s="876" t="str">
        <f>IFERROR(__xludf.DUMMYFUNCTION("""COMPUTED_VALUE"""),"Yes")</f>
        <v>Yes</v>
      </c>
      <c r="M121" s="876" t="str">
        <f>IFERROR(__xludf.DUMMYFUNCTION("""COMPUTED_VALUE"""),"Yes")</f>
        <v>Yes</v>
      </c>
      <c r="N121" s="877">
        <f>IFERROR(__xludf.DUMMYFUNCTION("""COMPUTED_VALUE"""),0.31)</f>
        <v>0.31</v>
      </c>
      <c r="O121" s="876"/>
      <c r="P121" s="876"/>
      <c r="Q121" s="876"/>
      <c r="R121" s="876"/>
      <c r="S121" s="876"/>
      <c r="T121" s="876"/>
      <c r="U121" s="876"/>
      <c r="V121" s="876"/>
      <c r="W121" s="876">
        <f>IFERROR(__xludf.DUMMYFUNCTION("""COMPUTED_VALUE"""),0.836)</f>
        <v>0.836</v>
      </c>
      <c r="X121" s="876"/>
      <c r="Y121" s="876"/>
      <c r="Z121" s="876"/>
      <c r="AA121" s="876"/>
      <c r="AB121" s="876"/>
      <c r="AC121" s="876"/>
      <c r="AD121" s="876"/>
      <c r="AE121" s="876" t="str">
        <f>IFERROR(__xludf.DUMMYFUNCTION("""COMPUTED_VALUE"""),"Single oral ALB is more efficacious then single oral MB against hookowrm infection")</f>
        <v>Single oral ALB is more efficacious then single oral MB against hookowrm infection</v>
      </c>
      <c r="AF121" s="876" t="str">
        <f>IFERROR(__xludf.DUMMYFUNCTION("""COMPUTED_VALUE"""),"Kato-Katz thick smear")</f>
        <v>Kato-Katz thick smear</v>
      </c>
      <c r="AG121" s="876" t="str">
        <f>IFERROR(__xludf.DUMMYFUNCTION("""COMPUTED_VALUE"""),"Steinmann, Peter, Jurg Utzinger, Zun-Wei Du, Jin-Yong Jiang, Jia-Xu Chen, Jan Hattendorf, Hui Zhou, and Xiao-Nong Zhou. ""Efficacy of Single Dose and Triple Dose Albendazoleand Mebendazoleagainst Soil Transmitted Helminths and Taenia Spp.: A Randomized Co"&amp;"ntrolled Trial."" PLOS Neglected Tropical Diseases 6.9 (2011): 1-8. Web.")</f>
        <v>Steinmann, Peter, Jurg Utzinger, Zun-Wei Du, Jin-Yong Jiang, Jia-Xu Chen, Jan Hattendorf, Hui Zhou, and Xiao-Nong Zhou. "Efficacy of Single Dose and Triple Dose Albendazoleand Mebendazoleagainst Soil Transmitted Helminths and Taenia Spp.: A Randomized Controlled Trial." PLOS Neglected Tropical Diseases 6.9 (2011): 1-8. Web.</v>
      </c>
      <c r="AH121" s="876"/>
      <c r="AI121" s="878"/>
      <c r="AJ121" s="880" t="str">
        <f>IFERROR(__xludf.DUMMYFUNCTION("""COMPUTED_VALUE"""),"Ramalingam")</f>
        <v>Ramalingam</v>
      </c>
      <c r="AK121" s="880" t="str">
        <f>IFERROR(__xludf.DUMMYFUNCTION("""COMPUTED_VALUE"""),"Ramalingam, Shivaji, B. Sinniah, and Uma Krishnan. ""Albendazole, an effective single dose, broad spectrum anthelmintic drug."" The American journal of tropical medicine and hygiene 32.5 (1983): 984-989.")</f>
        <v>Ramalingam, Shivaji, B. Sinniah, and Uma Krishnan. "Albendazole, an effective single dose, broad spectrum anthelmintic drug." The American journal of tropical medicine and hygiene 32.5 (1983): 984-989.</v>
      </c>
      <c r="AL121" s="880" t="str">
        <f>IFERROR(__xludf.DUMMYFUNCTION("""COMPUTED_VALUE"""),"Malaysia")</f>
        <v>Malaysia</v>
      </c>
      <c r="AM121" s="880"/>
      <c r="AN121" s="880"/>
      <c r="AO121" s="880"/>
      <c r="AP121" s="880"/>
      <c r="AQ121" s="880"/>
      <c r="AR121" s="880"/>
      <c r="AS121" s="880"/>
      <c r="AT121" s="880"/>
      <c r="AU121" s="880"/>
      <c r="AV121" s="880"/>
      <c r="AW121" s="881"/>
      <c r="AX121" s="863"/>
      <c r="AY121" s="863"/>
      <c r="AZ121" s="863"/>
      <c r="BA121" s="863"/>
      <c r="BB121" s="863"/>
      <c r="BC121" s="863"/>
      <c r="BD121" s="863"/>
      <c r="BE121" s="863"/>
      <c r="BF121" s="863"/>
      <c r="BG121" s="863"/>
      <c r="BH121" s="863"/>
      <c r="BI121" s="863"/>
      <c r="BJ121" s="863"/>
      <c r="BK121" s="863"/>
      <c r="BL121" s="863"/>
      <c r="BM121" s="863"/>
      <c r="BN121" s="863"/>
      <c r="BO121" s="863"/>
      <c r="BP121" s="880"/>
      <c r="BQ121" s="863"/>
      <c r="BR121" s="889" t="str">
        <f>IFERROR(__xludf.DUMMYFUNCTION("""COMPUTED_VALUE"""),"Ash et al.")</f>
        <v>Ash et al.</v>
      </c>
      <c r="BS121" s="883" t="str">
        <f>IFERROR(__xludf.DUMMYFUNCTION("""COMPUTED_VALUE"""),"Laos")</f>
        <v>Laos</v>
      </c>
      <c r="BT121" s="883" t="str">
        <f>IFERROR(__xludf.DUMMYFUNCTION("""COMPUTED_VALUE"""),"Albendazole")</f>
        <v>Albendazole</v>
      </c>
      <c r="BU121" s="883"/>
      <c r="BV121" s="883" t="str">
        <f>IFERROR(__xludf.DUMMYFUNCTION("""COMPUTED_VALUE"""),"Three")</f>
        <v>Three</v>
      </c>
      <c r="BW121" s="883" t="str">
        <f>IFERROR(__xludf.DUMMYFUNCTION("""COMPUTED_VALUE"""),"400 mg")</f>
        <v>400 mg</v>
      </c>
      <c r="BX121" s="883">
        <f>IFERROR(__xludf.DUMMYFUNCTION("""COMPUTED_VALUE"""),19.0)</f>
        <v>19</v>
      </c>
      <c r="BY121" s="883" t="str">
        <f>IFERROR(__xludf.DUMMYFUNCTION("""COMPUTED_VALUE"""),"6+")</f>
        <v>6+</v>
      </c>
      <c r="BZ121" s="883">
        <f>IFERROR(__xludf.DUMMYFUNCTION("""COMPUTED_VALUE"""),2014.0)</f>
        <v>2014</v>
      </c>
      <c r="CA121" s="883"/>
      <c r="CB121" s="883"/>
      <c r="CC121" s="883" t="str">
        <f>IFERROR(__xludf.DUMMYFUNCTION("""COMPUTED_VALUE"""),"No")</f>
        <v>No</v>
      </c>
      <c r="CD121" s="884"/>
      <c r="CE121" s="883" t="str">
        <f>IFERROR(__xludf.DUMMYFUNCTION("""COMPUTED_VALUE"""),"No")</f>
        <v>No</v>
      </c>
      <c r="CF121" s="883"/>
      <c r="CG121" s="883"/>
      <c r="CH121" s="883"/>
      <c r="CI121" s="883"/>
      <c r="CJ121" s="883"/>
      <c r="CK121" s="883"/>
      <c r="CL121" s="883"/>
      <c r="CM121" s="884">
        <f>IFERROR(__xludf.DUMMYFUNCTION("""COMPUTED_VALUE"""),0.993)</f>
        <v>0.993</v>
      </c>
      <c r="CN121" s="883"/>
      <c r="CO121" s="883"/>
      <c r="CP121" s="883"/>
      <c r="CQ121" s="883"/>
      <c r="CR121" s="883"/>
      <c r="CS121" s="883"/>
      <c r="CT121" s="883" t="str">
        <f>IFERROR(__xludf.DUMMYFUNCTION("""COMPUTED_VALUE"""),"McMaster technique")</f>
        <v>McMaster technique</v>
      </c>
      <c r="CU121" s="883" t="str">
        <f>IFERROR(__xludf.DUMMYFUNCTION("""COMPUTED_VALUE"""),"x")</f>
        <v>x</v>
      </c>
      <c r="CV121" s="863"/>
      <c r="CW121" s="863"/>
      <c r="CX121" s="863"/>
      <c r="CY121" s="863"/>
      <c r="CZ121" s="863"/>
      <c r="DA121" s="863"/>
      <c r="DB121" s="863"/>
      <c r="DC121" s="863"/>
      <c r="DD121" s="863"/>
      <c r="DE121" s="863"/>
    </row>
    <row r="122">
      <c r="A122" s="887" t="str">
        <f>IFERROR(__xludf.DUMMYFUNCTION("""COMPUTED_VALUE"""),"Steinmann et al.")</f>
        <v>Steinmann et al.</v>
      </c>
      <c r="B122" s="876" t="str">
        <f>IFERROR(__xludf.DUMMYFUNCTION("""COMPUTED_VALUE"""),"China")</f>
        <v>China</v>
      </c>
      <c r="C122" s="876" t="str">
        <f>IFERROR(__xludf.DUMMYFUNCTION("""COMPUTED_VALUE"""),"Albendazole")</f>
        <v>Albendazole</v>
      </c>
      <c r="D122" s="876" t="str">
        <f>IFERROR(__xludf.DUMMYFUNCTION("""COMPUTED_VALUE"""),"Three")</f>
        <v>Three</v>
      </c>
      <c r="E122" s="876" t="str">
        <f>IFERROR(__xludf.DUMMYFUNCTION("""COMPUTED_VALUE"""),"400 mg")</f>
        <v>400 mg</v>
      </c>
      <c r="F122" s="876" t="str">
        <f>IFERROR(__xludf.DUMMYFUNCTION("""COMPUTED_VALUE"""),"50/68")</f>
        <v>50/68</v>
      </c>
      <c r="G122" s="876"/>
      <c r="H122" s="876" t="str">
        <f>IFERROR(__xludf.DUMMYFUNCTION("""COMPUTED_VALUE"""),"32:36")</f>
        <v>32:36</v>
      </c>
      <c r="I122" s="876">
        <f>IFERROR(__xludf.DUMMYFUNCTION("""COMPUTED_VALUE"""),2008.0)</f>
        <v>2008</v>
      </c>
      <c r="J122" s="876"/>
      <c r="K122" s="876" t="str">
        <f>IFERROR(__xludf.DUMMYFUNCTION("""COMPUTED_VALUE"""),"community-based open-label outcome assessors-blinded randomized controlled trial")</f>
        <v>community-based open-label outcome assessors-blinded randomized controlled trial</v>
      </c>
      <c r="L122" s="876" t="str">
        <f>IFERROR(__xludf.DUMMYFUNCTION("""COMPUTED_VALUE"""),"Yes")</f>
        <v>Yes</v>
      </c>
      <c r="M122" s="876" t="str">
        <f>IFERROR(__xludf.DUMMYFUNCTION("""COMPUTED_VALUE"""),"Yes")</f>
        <v>Yes</v>
      </c>
      <c r="N122" s="877">
        <f>IFERROR(__xludf.DUMMYFUNCTION("""COMPUTED_VALUE"""),0.92)</f>
        <v>0.92</v>
      </c>
      <c r="O122" s="876"/>
      <c r="P122" s="876"/>
      <c r="Q122" s="876"/>
      <c r="R122" s="876"/>
      <c r="S122" s="876"/>
      <c r="T122" s="876"/>
      <c r="U122" s="876"/>
      <c r="V122" s="876"/>
      <c r="W122" s="876">
        <f>IFERROR(__xludf.DUMMYFUNCTION("""COMPUTED_VALUE"""),0.997)</f>
        <v>0.997</v>
      </c>
      <c r="X122" s="876"/>
      <c r="Y122" s="876"/>
      <c r="Z122" s="876"/>
      <c r="AA122" s="876"/>
      <c r="AB122" s="876"/>
      <c r="AC122" s="876"/>
      <c r="AD122" s="876"/>
      <c r="AE122" s="876" t="str">
        <f>IFERROR(__xludf.DUMMYFUNCTION("""COMPUTED_VALUE"""),"Single oral ALB is more efficacious then single oral MB against hookowrm infection")</f>
        <v>Single oral ALB is more efficacious then single oral MB against hookowrm infection</v>
      </c>
      <c r="AF122" s="876" t="str">
        <f>IFERROR(__xludf.DUMMYFUNCTION("""COMPUTED_VALUE"""),"Kato-Katz thick smear")</f>
        <v>Kato-Katz thick smear</v>
      </c>
      <c r="AG122" s="876" t="str">
        <f>IFERROR(__xludf.DUMMYFUNCTION("""COMPUTED_VALUE"""),"Steinmann, Peter, Jurg Utzinger, Zun-Wei Du, Jin-Yong Jiang, Jia-Xu Chen, Jan Hattendorf, Hui Zhou, and Xiao-Nong Zhou. ""Efficacy of Single Dose and Triple Dose Albendazoleand Mebendazoleagainst Soil Transmitted Helminths and Taenia Spp.: A Randomized Co"&amp;"ntrolled Trial."" PLOS Neglected Tropical Diseases 6.9 (2011): 1-8. Web.")</f>
        <v>Steinmann, Peter, Jurg Utzinger, Zun-Wei Du, Jin-Yong Jiang, Jia-Xu Chen, Jan Hattendorf, Hui Zhou, and Xiao-Nong Zhou. "Efficacy of Single Dose and Triple Dose Albendazoleand Mebendazoleagainst Soil Transmitted Helminths and Taenia Spp.: A Randomized Controlled Trial." PLOS Neglected Tropical Diseases 6.9 (2011): 1-8. Web.</v>
      </c>
      <c r="AH122" s="876"/>
      <c r="AI122" s="878"/>
      <c r="AJ122" s="880"/>
      <c r="AK122" s="880"/>
      <c r="AL122" s="880"/>
      <c r="AM122" s="880"/>
      <c r="AN122" s="880"/>
      <c r="AO122" s="880"/>
      <c r="AP122" s="880"/>
      <c r="AQ122" s="880"/>
      <c r="AR122" s="880"/>
      <c r="AS122" s="880"/>
      <c r="AT122" s="880"/>
      <c r="AU122" s="880"/>
      <c r="AV122" s="880"/>
      <c r="AW122" s="881"/>
      <c r="AX122" s="863"/>
      <c r="AY122" s="863"/>
      <c r="AZ122" s="863"/>
      <c r="BA122" s="863"/>
      <c r="BB122" s="863"/>
      <c r="BC122" s="863"/>
      <c r="BD122" s="863"/>
      <c r="BE122" s="863"/>
      <c r="BF122" s="863"/>
      <c r="BG122" s="863"/>
      <c r="BH122" s="863"/>
      <c r="BI122" s="863"/>
      <c r="BJ122" s="863"/>
      <c r="BK122" s="863"/>
      <c r="BL122" s="863"/>
      <c r="BM122" s="863"/>
      <c r="BN122" s="863"/>
      <c r="BO122" s="863"/>
      <c r="BP122" s="880"/>
      <c r="BQ122" s="863"/>
      <c r="BR122" s="889" t="str">
        <f>IFERROR(__xludf.DUMMYFUNCTION("""COMPUTED_VALUE"""),"Bwibo &amp; Pamba")</f>
        <v>Bwibo &amp; Pamba</v>
      </c>
      <c r="BS122" s="883" t="str">
        <f>IFERROR(__xludf.DUMMYFUNCTION("""COMPUTED_VALUE"""),"Kenya")</f>
        <v>Kenya</v>
      </c>
      <c r="BT122" s="883" t="str">
        <f>IFERROR(__xludf.DUMMYFUNCTION("""COMPUTED_VALUE"""),"Albendazole")</f>
        <v>Albendazole</v>
      </c>
      <c r="BU122" s="883"/>
      <c r="BV122" s="883" t="str">
        <f>IFERROR(__xludf.DUMMYFUNCTION("""COMPUTED_VALUE"""),"Single")</f>
        <v>Single</v>
      </c>
      <c r="BW122" s="883" t="str">
        <f>IFERROR(__xludf.DUMMYFUNCTION("""COMPUTED_VALUE"""),"400 mg")</f>
        <v>400 mg</v>
      </c>
      <c r="BX122" s="883">
        <f>IFERROR(__xludf.DUMMYFUNCTION("""COMPUTED_VALUE"""),26.0)</f>
        <v>26</v>
      </c>
      <c r="BY122" s="883" t="str">
        <f>IFERROR(__xludf.DUMMYFUNCTION("""COMPUTED_VALUE"""),"12+")</f>
        <v>12+</v>
      </c>
      <c r="BZ122" s="883"/>
      <c r="CA122" s="883" t="str">
        <f>IFERROR(__xludf.DUMMYFUNCTION("""COMPUTED_VALUE"""),"M &amp; F")</f>
        <v>M &amp; F</v>
      </c>
      <c r="CB122" s="883"/>
      <c r="CC122" s="883" t="str">
        <f>IFERROR(__xludf.DUMMYFUNCTION("""COMPUTED_VALUE"""),"Yes")</f>
        <v>Yes</v>
      </c>
      <c r="CD122" s="884">
        <f>IFERROR(__xludf.DUMMYFUNCTION("""COMPUTED_VALUE"""),0.923)</f>
        <v>0.923</v>
      </c>
      <c r="CE122" s="883" t="str">
        <f>IFERROR(__xludf.DUMMYFUNCTION("""COMPUTED_VALUE"""),"Yes")</f>
        <v>Yes</v>
      </c>
      <c r="CF122" s="883" t="str">
        <f>IFERROR(__xludf.DUMMYFUNCTION("""COMPUTED_VALUE"""),"(Day 7) 69.23%")</f>
        <v>(Day 7) 69.23%</v>
      </c>
      <c r="CG122" s="883"/>
      <c r="CH122" s="883"/>
      <c r="CI122" s="883"/>
      <c r="CJ122" s="883"/>
      <c r="CK122" s="883"/>
      <c r="CL122" s="883"/>
      <c r="CM122" s="884">
        <f>IFERROR(__xludf.DUMMYFUNCTION("""COMPUTED_VALUE"""),0.933)</f>
        <v>0.933</v>
      </c>
      <c r="CN122" s="883"/>
      <c r="CO122" s="883"/>
      <c r="CP122" s="883"/>
      <c r="CQ122" s="883"/>
      <c r="CR122" s="883"/>
      <c r="CS122" s="883"/>
      <c r="CT122" s="883" t="str">
        <f>IFERROR(__xludf.DUMMYFUNCTION("""COMPUTED_VALUE"""),"Kato-Katz Method")</f>
        <v>Kato-Katz Method</v>
      </c>
      <c r="CU122" s="883"/>
      <c r="CV122" s="863"/>
      <c r="CW122" s="863"/>
      <c r="CX122" s="863"/>
      <c r="CY122" s="863"/>
      <c r="CZ122" s="863"/>
      <c r="DA122" s="863"/>
      <c r="DB122" s="863"/>
      <c r="DC122" s="863"/>
      <c r="DD122" s="863"/>
      <c r="DE122" s="863"/>
    </row>
    <row r="123">
      <c r="A123" s="887" t="str">
        <f>IFERROR(__xludf.DUMMYFUNCTION("""COMPUTED_VALUE"""),"Steinmann et al.")</f>
        <v>Steinmann et al.</v>
      </c>
      <c r="B123" s="876" t="str">
        <f>IFERROR(__xludf.DUMMYFUNCTION("""COMPUTED_VALUE"""),"China")</f>
        <v>China</v>
      </c>
      <c r="C123" s="876" t="str">
        <f>IFERROR(__xludf.DUMMYFUNCTION("""COMPUTED_VALUE"""),"Mebendazole")</f>
        <v>Mebendazole</v>
      </c>
      <c r="D123" s="876" t="str">
        <f>IFERROR(__xludf.DUMMYFUNCTION("""COMPUTED_VALUE"""),"Three")</f>
        <v>Three</v>
      </c>
      <c r="E123" s="876" t="str">
        <f>IFERROR(__xludf.DUMMYFUNCTION("""COMPUTED_VALUE"""),"500 mg")</f>
        <v>500 mg</v>
      </c>
      <c r="F123" s="876" t="str">
        <f>IFERROR(__xludf.DUMMYFUNCTION("""COMPUTED_VALUE"""),"65/83")</f>
        <v>65/83</v>
      </c>
      <c r="G123" s="876"/>
      <c r="H123" s="876" t="str">
        <f>IFERROR(__xludf.DUMMYFUNCTION("""COMPUTED_VALUE"""),"42:41")</f>
        <v>42:41</v>
      </c>
      <c r="I123" s="876">
        <f>IFERROR(__xludf.DUMMYFUNCTION("""COMPUTED_VALUE"""),2008.0)</f>
        <v>2008</v>
      </c>
      <c r="J123" s="876"/>
      <c r="K123" s="876" t="str">
        <f>IFERROR(__xludf.DUMMYFUNCTION("""COMPUTED_VALUE"""),"community-based open-label outcome assessors-blinded randomized controlled trial")</f>
        <v>community-based open-label outcome assessors-blinded randomized controlled trial</v>
      </c>
      <c r="L123" s="876" t="str">
        <f>IFERROR(__xludf.DUMMYFUNCTION("""COMPUTED_VALUE"""),"Yes")</f>
        <v>Yes</v>
      </c>
      <c r="M123" s="876" t="str">
        <f>IFERROR(__xludf.DUMMYFUNCTION("""COMPUTED_VALUE"""),"Yes")</f>
        <v>Yes</v>
      </c>
      <c r="N123" s="877">
        <f>IFERROR(__xludf.DUMMYFUNCTION("""COMPUTED_VALUE"""),0.585)</f>
        <v>0.585</v>
      </c>
      <c r="O123" s="876"/>
      <c r="P123" s="876"/>
      <c r="Q123" s="876"/>
      <c r="R123" s="876"/>
      <c r="S123" s="876"/>
      <c r="T123" s="876"/>
      <c r="U123" s="876"/>
      <c r="V123" s="876"/>
      <c r="W123" s="876">
        <f>IFERROR(__xludf.DUMMYFUNCTION("""COMPUTED_VALUE"""),0.964)</f>
        <v>0.964</v>
      </c>
      <c r="X123" s="876"/>
      <c r="Y123" s="876"/>
      <c r="Z123" s="876"/>
      <c r="AA123" s="876"/>
      <c r="AB123" s="876"/>
      <c r="AC123" s="876"/>
      <c r="AD123" s="876"/>
      <c r="AE123" s="876" t="str">
        <f>IFERROR(__xludf.DUMMYFUNCTION("""COMPUTED_VALUE"""),"Single oral ALB is more efficacious then single oral MB against hookowrm infection")</f>
        <v>Single oral ALB is more efficacious then single oral MB against hookowrm infection</v>
      </c>
      <c r="AF123" s="876" t="str">
        <f>IFERROR(__xludf.DUMMYFUNCTION("""COMPUTED_VALUE"""),"Kato-Katz thick smear")</f>
        <v>Kato-Katz thick smear</v>
      </c>
      <c r="AG123" s="876" t="str">
        <f>IFERROR(__xludf.DUMMYFUNCTION("""COMPUTED_VALUE"""),"Steinmann, Peter, Jurg Utzinger, Zun-Wei Du, Jin-Yong Jiang, Jia-Xu Chen, Jan Hattendorf, Hui Zhou, and Xiao-Nong Zhou. ""Efficacy of Single Dose and Triple Dose Albendazoleand Mebendazoleagainst Soil Transmitted Helminths and Taenia Spp.: A Randomized Co"&amp;"ntrolled Trial."" PLOS Neglected Tropical Diseases 6.9 (2011): 1-8. Web.")</f>
        <v>Steinmann, Peter, Jurg Utzinger, Zun-Wei Du, Jin-Yong Jiang, Jia-Xu Chen, Jan Hattendorf, Hui Zhou, and Xiao-Nong Zhou. "Efficacy of Single Dose and Triple Dose Albendazoleand Mebendazoleagainst Soil Transmitted Helminths and Taenia Spp.: A Randomized Controlled Trial." PLOS Neglected Tropical Diseases 6.9 (2011): 1-8. Web.</v>
      </c>
      <c r="AH123" s="876"/>
      <c r="AI123" s="878"/>
      <c r="AJ123" s="880"/>
      <c r="AK123" s="880"/>
      <c r="AL123" s="880"/>
      <c r="AM123" s="880"/>
      <c r="AN123" s="880"/>
      <c r="AO123" s="880"/>
      <c r="AP123" s="880"/>
      <c r="AQ123" s="880"/>
      <c r="AR123" s="880"/>
      <c r="AS123" s="880"/>
      <c r="AT123" s="880"/>
      <c r="AU123" s="880"/>
      <c r="AV123" s="880"/>
      <c r="AW123" s="881"/>
      <c r="AX123" s="863"/>
      <c r="AY123" s="863"/>
      <c r="AZ123" s="863"/>
      <c r="BA123" s="863"/>
      <c r="BB123" s="863"/>
      <c r="BC123" s="863"/>
      <c r="BD123" s="863"/>
      <c r="BE123" s="863"/>
      <c r="BF123" s="863"/>
      <c r="BG123" s="863"/>
      <c r="BH123" s="863"/>
      <c r="BI123" s="863"/>
      <c r="BJ123" s="863"/>
      <c r="BK123" s="863"/>
      <c r="BL123" s="863"/>
      <c r="BM123" s="863"/>
      <c r="BN123" s="863"/>
      <c r="BO123" s="863"/>
      <c r="BP123" s="880"/>
      <c r="BQ123" s="863"/>
      <c r="BR123" s="889" t="str">
        <f>IFERROR(__xludf.DUMMYFUNCTION("""COMPUTED_VALUE"""),"Bwibo &amp; Pamba")</f>
        <v>Bwibo &amp; Pamba</v>
      </c>
      <c r="BS123" s="883" t="str">
        <f>IFERROR(__xludf.DUMMYFUNCTION("""COMPUTED_VALUE"""),"Kenya")</f>
        <v>Kenya</v>
      </c>
      <c r="BT123" s="883" t="str">
        <f>IFERROR(__xludf.DUMMYFUNCTION("""COMPUTED_VALUE"""),"Albendazole")</f>
        <v>Albendazole</v>
      </c>
      <c r="BU123" s="883"/>
      <c r="BV123" s="883" t="str">
        <f>IFERROR(__xludf.DUMMYFUNCTION("""COMPUTED_VALUE"""),"Single")</f>
        <v>Single</v>
      </c>
      <c r="BW123" s="883" t="str">
        <f>IFERROR(__xludf.DUMMYFUNCTION("""COMPUTED_VALUE"""),"400 mg")</f>
        <v>400 mg</v>
      </c>
      <c r="BX123" s="883">
        <f>IFERROR(__xludf.DUMMYFUNCTION("""COMPUTED_VALUE"""),14.0)</f>
        <v>14</v>
      </c>
      <c r="BY123" s="883" t="str">
        <f>IFERROR(__xludf.DUMMYFUNCTION("""COMPUTED_VALUE"""),"12+")</f>
        <v>12+</v>
      </c>
      <c r="BZ123" s="883"/>
      <c r="CA123" s="883"/>
      <c r="CB123" s="883"/>
      <c r="CC123" s="883" t="str">
        <f>IFERROR(__xludf.DUMMYFUNCTION("""COMPUTED_VALUE"""),"Yes")</f>
        <v>Yes</v>
      </c>
      <c r="CD123" s="884">
        <f>IFERROR(__xludf.DUMMYFUNCTION("""COMPUTED_VALUE"""),0.857)</f>
        <v>0.857</v>
      </c>
      <c r="CE123" s="883" t="str">
        <f>IFERROR(__xludf.DUMMYFUNCTION("""COMPUTED_VALUE"""),"Yes")</f>
        <v>Yes</v>
      </c>
      <c r="CF123" s="883" t="str">
        <f>IFERROR(__xludf.DUMMYFUNCTION("""COMPUTED_VALUE"""),"(Day 7) 64.29%")</f>
        <v>(Day 7) 64.29%</v>
      </c>
      <c r="CG123" s="883"/>
      <c r="CH123" s="883"/>
      <c r="CI123" s="883"/>
      <c r="CJ123" s="883"/>
      <c r="CK123" s="883"/>
      <c r="CL123" s="883"/>
      <c r="CM123" s="884">
        <f>IFERROR(__xludf.DUMMYFUNCTION("""COMPUTED_VALUE"""),0.929)</f>
        <v>0.929</v>
      </c>
      <c r="CN123" s="883"/>
      <c r="CO123" s="883"/>
      <c r="CP123" s="883"/>
      <c r="CQ123" s="883"/>
      <c r="CR123" s="883"/>
      <c r="CS123" s="883"/>
      <c r="CT123" s="883"/>
      <c r="CU123" s="883"/>
      <c r="CV123" s="863"/>
      <c r="CW123" s="863"/>
      <c r="CX123" s="863"/>
      <c r="CY123" s="863"/>
      <c r="CZ123" s="863"/>
      <c r="DA123" s="863"/>
      <c r="DB123" s="863"/>
      <c r="DC123" s="863"/>
      <c r="DD123" s="863"/>
      <c r="DE123" s="863"/>
    </row>
    <row r="124">
      <c r="A124" s="887" t="str">
        <f>IFERROR(__xludf.DUMMYFUNCTION("""COMPUTED_VALUE"""),"Steinmann et al.")</f>
        <v>Steinmann et al.</v>
      </c>
      <c r="B124" s="876" t="str">
        <f>IFERROR(__xludf.DUMMYFUNCTION("""COMPUTED_VALUE"""),"China")</f>
        <v>China</v>
      </c>
      <c r="C124" s="876" t="str">
        <f>IFERROR(__xludf.DUMMYFUNCTION("""COMPUTED_VALUE"""),"Albendazole")</f>
        <v>Albendazole</v>
      </c>
      <c r="D124" s="876" t="str">
        <f>IFERROR(__xludf.DUMMYFUNCTION("""COMPUTED_VALUE"""),"Single")</f>
        <v>Single</v>
      </c>
      <c r="E124" s="876" t="str">
        <f>IFERROR(__xludf.DUMMYFUNCTION("""COMPUTED_VALUE"""),"200 mg")</f>
        <v>200 mg</v>
      </c>
      <c r="F124" s="876">
        <f>IFERROR(__xludf.DUMMYFUNCTION("""COMPUTED_VALUE"""),46.0)</f>
        <v>46</v>
      </c>
      <c r="G124" s="876">
        <f>IFERROR(__xludf.DUMMYFUNCTION("""COMPUTED_VALUE"""),42504.0)</f>
        <v>42504</v>
      </c>
      <c r="H124" s="876"/>
      <c r="I124" s="876">
        <f>IFERROR(__xludf.DUMMYFUNCTION("""COMPUTED_VALUE"""),2007.0)</f>
        <v>2007</v>
      </c>
      <c r="J124" s="876"/>
      <c r="K124" s="876" t="str">
        <f>IFERROR(__xludf.DUMMYFUNCTION("""COMPUTED_VALUE"""),"open label randomized controlled trial with  arms")</f>
        <v>open label randomized controlled trial with  arms</v>
      </c>
      <c r="L124" s="876" t="str">
        <f>IFERROR(__xludf.DUMMYFUNCTION("""COMPUTED_VALUE"""),"Yes")</f>
        <v>Yes</v>
      </c>
      <c r="M124" s="876" t="str">
        <f>IFERROR(__xludf.DUMMYFUNCTION("""COMPUTED_VALUE"""),"No")</f>
        <v>No</v>
      </c>
      <c r="N124" s="877">
        <f>IFERROR(__xludf.DUMMYFUNCTION("""COMPUTED_VALUE"""),0.696)</f>
        <v>0.696</v>
      </c>
      <c r="O124" s="876"/>
      <c r="P124" s="876"/>
      <c r="Q124" s="876"/>
      <c r="R124" s="876"/>
      <c r="S124" s="876"/>
      <c r="T124" s="876"/>
      <c r="U124" s="876"/>
      <c r="V124" s="876"/>
      <c r="W124" s="876">
        <f>IFERROR(__xludf.DUMMYFUNCTION("""COMPUTED_VALUE"""),0.485)</f>
        <v>0.485</v>
      </c>
      <c r="X124" s="876"/>
      <c r="Y124" s="876"/>
      <c r="Z124" s="876"/>
      <c r="AA124" s="876"/>
      <c r="AB124" s="876"/>
      <c r="AC124" s="876"/>
      <c r="AD124" s="876"/>
      <c r="AE124" s="876"/>
      <c r="AF124" s="876" t="str">
        <f>IFERROR(__xludf.DUMMYFUNCTION("""COMPUTED_VALUE"""),"Kato-Katz method, koga agar plate, and baermann test")</f>
        <v>Kato-Katz method, koga agar plate, and baermann test</v>
      </c>
      <c r="AG124" s="876" t="str">
        <f>IFERROR(__xludf.DUMMYFUNCTION("""COMPUTED_VALUE"""),"Steinmann, Peter, Xiao-Nong Zhou, Zun-Wei Du, Jin-Yong Jiang, Shu-Hua Xiao, Zhong-Xing Wu, Hui Zhou, and Jurg Utzinger. ""Tribendimidine and Albendazolefor Treating Soil-transmitted Helminths, Strongyloides Stercoralis and Taena Spp.: Open-lable Randomize"&amp;"d Trial."" PLOS Neglected Tropical Diseases 2.10 (2008): 1-10. Web.")</f>
        <v>Steinmann, Peter, Xiao-Nong Zhou, Zun-Wei Du, Jin-Yong Jiang, Shu-Hua Xiao, Zhong-Xing Wu, Hui Zhou, and Jurg Utzinger. "Tribendimidine and Albendazolefor Treating Soil-transmitted Helminths, Strongyloides Stercoralis and Taena Spp.: Open-lable Randomized Trial." PLOS Neglected Tropical Diseases 2.10 (2008): 1-10. Web.</v>
      </c>
      <c r="AH124" s="876"/>
      <c r="AI124" s="878"/>
      <c r="AJ124" s="880" t="str">
        <f>IFERROR(__xludf.DUMMYFUNCTION("""COMPUTED_VALUE"""),"Winter 2020-21")</f>
        <v>Winter 2020-21</v>
      </c>
      <c r="AK124" s="880"/>
      <c r="AL124" s="880"/>
      <c r="AM124" s="880"/>
      <c r="AN124" s="880"/>
      <c r="AO124" s="880"/>
      <c r="AP124" s="880"/>
      <c r="AQ124" s="880"/>
      <c r="AR124" s="880"/>
      <c r="AS124" s="880"/>
      <c r="AT124" s="880"/>
      <c r="AU124" s="880"/>
      <c r="AV124" s="880"/>
      <c r="AW124" s="881"/>
      <c r="AX124" s="863"/>
      <c r="AY124" s="863"/>
      <c r="AZ124" s="863"/>
      <c r="BA124" s="863"/>
      <c r="BB124" s="863"/>
      <c r="BC124" s="863"/>
      <c r="BD124" s="863"/>
      <c r="BE124" s="863"/>
      <c r="BF124" s="863"/>
      <c r="BG124" s="863"/>
      <c r="BH124" s="863"/>
      <c r="BI124" s="863"/>
      <c r="BJ124" s="863"/>
      <c r="BK124" s="863"/>
      <c r="BL124" s="863"/>
      <c r="BM124" s="863"/>
      <c r="BN124" s="863"/>
      <c r="BO124" s="863"/>
      <c r="BP124" s="880"/>
      <c r="BQ124" s="863"/>
      <c r="BR124" s="889" t="str">
        <f>IFERROR(__xludf.DUMMYFUNCTION("""COMPUTED_VALUE"""),"Bwibo &amp; Pamba")</f>
        <v>Bwibo &amp; Pamba</v>
      </c>
      <c r="BS124" s="883" t="str">
        <f>IFERROR(__xludf.DUMMYFUNCTION("""COMPUTED_VALUE"""),"Kenya")</f>
        <v>Kenya</v>
      </c>
      <c r="BT124" s="883" t="str">
        <f>IFERROR(__xludf.DUMMYFUNCTION("""COMPUTED_VALUE"""),"Placebo")</f>
        <v>Placebo</v>
      </c>
      <c r="BU124" s="883"/>
      <c r="BV124" s="883"/>
      <c r="BW124" s="883"/>
      <c r="BX124" s="883">
        <f>IFERROR(__xludf.DUMMYFUNCTION("""COMPUTED_VALUE"""),23.0)</f>
        <v>23</v>
      </c>
      <c r="BY124" s="883" t="str">
        <f>IFERROR(__xludf.DUMMYFUNCTION("""COMPUTED_VALUE"""),"12+")</f>
        <v>12+</v>
      </c>
      <c r="BZ124" s="883"/>
      <c r="CA124" s="883"/>
      <c r="CB124" s="883"/>
      <c r="CC124" s="883" t="str">
        <f>IFERROR(__xludf.DUMMYFUNCTION("""COMPUTED_VALUE"""),"Yes")</f>
        <v>Yes</v>
      </c>
      <c r="CD124" s="884">
        <f>IFERROR(__xludf.DUMMYFUNCTION("""COMPUTED_VALUE"""),0.217)</f>
        <v>0.217</v>
      </c>
      <c r="CE124" s="883" t="str">
        <f>IFERROR(__xludf.DUMMYFUNCTION("""COMPUTED_VALUE"""),"Yes")</f>
        <v>Yes</v>
      </c>
      <c r="CF124" s="883" t="str">
        <f>IFERROR(__xludf.DUMMYFUNCTION("""COMPUTED_VALUE"""),"(Day 7) 17.4%")</f>
        <v>(Day 7) 17.4%</v>
      </c>
      <c r="CG124" s="883"/>
      <c r="CH124" s="883"/>
      <c r="CI124" s="883"/>
      <c r="CJ124" s="883"/>
      <c r="CK124" s="883"/>
      <c r="CL124" s="883"/>
      <c r="CM124" s="884">
        <f>IFERROR(__xludf.DUMMYFUNCTION("""COMPUTED_VALUE"""),0.101)</f>
        <v>0.101</v>
      </c>
      <c r="CN124" s="883"/>
      <c r="CO124" s="883"/>
      <c r="CP124" s="883"/>
      <c r="CQ124" s="883"/>
      <c r="CR124" s="883"/>
      <c r="CS124" s="883"/>
      <c r="CT124" s="883"/>
      <c r="CU124" s="883"/>
      <c r="CV124" s="863"/>
      <c r="CW124" s="863"/>
      <c r="CX124" s="863"/>
      <c r="CY124" s="863"/>
      <c r="CZ124" s="863"/>
      <c r="DA124" s="863"/>
      <c r="DB124" s="863"/>
      <c r="DC124" s="863"/>
      <c r="DD124" s="863"/>
      <c r="DE124" s="863"/>
    </row>
    <row r="125">
      <c r="A125" s="887" t="str">
        <f>IFERROR(__xludf.DUMMYFUNCTION("""COMPUTED_VALUE"""),"Steinmann et al.")</f>
        <v>Steinmann et al.</v>
      </c>
      <c r="B125" s="876" t="str">
        <f>IFERROR(__xludf.DUMMYFUNCTION("""COMPUTED_VALUE"""),"China")</f>
        <v>China</v>
      </c>
      <c r="C125" s="876" t="str">
        <f>IFERROR(__xludf.DUMMYFUNCTION("""COMPUTED_VALUE"""),"Tribendimidine")</f>
        <v>Tribendimidine</v>
      </c>
      <c r="D125" s="876" t="str">
        <f>IFERROR(__xludf.DUMMYFUNCTION("""COMPUTED_VALUE"""),"Single")</f>
        <v>Single</v>
      </c>
      <c r="E125" s="876" t="str">
        <f>IFERROR(__xludf.DUMMYFUNCTION("""COMPUTED_VALUE"""),"200 mg")</f>
        <v>200 mg</v>
      </c>
      <c r="F125" s="876">
        <f>IFERROR(__xludf.DUMMYFUNCTION("""COMPUTED_VALUE"""),46.0)</f>
        <v>46</v>
      </c>
      <c r="G125" s="876">
        <f>IFERROR(__xludf.DUMMYFUNCTION("""COMPUTED_VALUE"""),42504.0)</f>
        <v>42504</v>
      </c>
      <c r="H125" s="876"/>
      <c r="I125" s="876">
        <f>IFERROR(__xludf.DUMMYFUNCTION("""COMPUTED_VALUE"""),2007.0)</f>
        <v>2007</v>
      </c>
      <c r="J125" s="876"/>
      <c r="K125" s="876" t="str">
        <f>IFERROR(__xludf.DUMMYFUNCTION("""COMPUTED_VALUE"""),"open label randomized controlled trial with  arms")</f>
        <v>open label randomized controlled trial with  arms</v>
      </c>
      <c r="L125" s="876" t="str">
        <f>IFERROR(__xludf.DUMMYFUNCTION("""COMPUTED_VALUE"""),"Yes")</f>
        <v>Yes</v>
      </c>
      <c r="M125" s="876" t="str">
        <f>IFERROR(__xludf.DUMMYFUNCTION("""COMPUTED_VALUE"""),"No")</f>
        <v>No</v>
      </c>
      <c r="N125" s="877">
        <f>IFERROR(__xludf.DUMMYFUNCTION("""COMPUTED_VALUE"""),0.522)</f>
        <v>0.522</v>
      </c>
      <c r="O125" s="876"/>
      <c r="P125" s="876"/>
      <c r="Q125" s="876"/>
      <c r="R125" s="876"/>
      <c r="S125" s="876"/>
      <c r="T125" s="876"/>
      <c r="U125" s="876"/>
      <c r="V125" s="876"/>
      <c r="W125" s="876">
        <f>IFERROR(__xludf.DUMMYFUNCTION("""COMPUTED_VALUE"""),0.421)</f>
        <v>0.421</v>
      </c>
      <c r="X125" s="876"/>
      <c r="Y125" s="876"/>
      <c r="Z125" s="876"/>
      <c r="AA125" s="876"/>
      <c r="AB125" s="876"/>
      <c r="AC125" s="876"/>
      <c r="AD125" s="876"/>
      <c r="AE125" s="876"/>
      <c r="AF125" s="876" t="str">
        <f>IFERROR(__xludf.DUMMYFUNCTION("""COMPUTED_VALUE"""),"Kato-Katz method, koga agar plate, and baermann test")</f>
        <v>Kato-Katz method, koga agar plate, and baermann test</v>
      </c>
      <c r="AG125" s="876" t="str">
        <f>IFERROR(__xludf.DUMMYFUNCTION("""COMPUTED_VALUE"""),"Steinmann, Peter, Xiao-Nong Zhou, Zun-Wei Du, Jin-Yong Jiang, Shu-Hua Xiao, Zhong-Xing Wu, Hui Zhou, and Jurg Utzinger. ""Tribendimidine and Albendazolefor Treating Soil-transmitted Helminths, Strongyloides Stercoralis and Taena Spp.: Open-lable Randomize"&amp;"d Trial."" PLOS Neglected Tropical Diseases 2.10 (2008): 1-10. Web.")</f>
        <v>Steinmann, Peter, Xiao-Nong Zhou, Zun-Wei Du, Jin-Yong Jiang, Shu-Hua Xiao, Zhong-Xing Wu, Hui Zhou, and Jurg Utzinger. "Tribendimidine and Albendazolefor Treating Soil-transmitted Helminths, Strongyloides Stercoralis and Taena Spp.: Open-lable Randomized Trial." PLOS Neglected Tropical Diseases 2.10 (2008): 1-10. Web.</v>
      </c>
      <c r="AH125" s="876"/>
      <c r="AI125" s="878"/>
      <c r="AJ125" s="888" t="str">
        <f>IFERROR(__xludf.DUMMYFUNCTION("""COMPUTED_VALUE"""),"Efficacy and Safety of a Single-Dose Mebendazole 500 mg Chewable, Rapidly-Disintegrating Tablet for Ascaris lumbricoides and Trichuris trichiura Infection Treatment in Pediatric Patients: A Double-Blind, Randomized, Placebo-Controlled, Phase 3 Study")</f>
        <v>Efficacy and Safety of a Single-Dose Mebendazole 500 mg Chewable, Rapidly-Disintegrating Tablet for Ascaris lumbricoides and Trichuris trichiura Infection Treatment in Pediatric Patients: A Double-Blind, Randomized, Placebo-Controlled, Phase 3 Study</v>
      </c>
      <c r="AK125" s="880" t="str">
        <f>IFERROR(__xludf.DUMMYFUNCTION("""COMPUTED_VALUE"""),"Silber SA, Diro E, Workneh N, Mekonnen Z, Levecke B, Steinmann P, Umulisa I, Alemu H, Baeten B, Engelen M, Hu P, Friedman A, Baseman A, Mrus J. Efficacy and Safety of a Single-Dose Mebendazole 500 mg Chewable, Rapidly-Disintegrating Tablet for Ascaris lum"&amp;"bricoides and Trichuris trichiura Infection Treatment in Pediatric Patients: A Double-Blind, Randomized, Placebo-Controlled, Phase 3 Study. Am J Trop Med Hyg. 2017 Dec;97(6):1851-1856. doi: 10.4269/ajtmh.17-0108. Epub 2017 Aug 31. PMID: 29016336; PMCID: P"&amp;"MC5805036.")</f>
        <v>Silber SA, Diro E, Workneh N, Mekonnen Z, Levecke B, Steinmann P, Umulisa I, Alemu H, Baeten B, Engelen M, Hu P, Friedman A, Baseman A, Mrus J. Efficacy and Safety of a Single-Dose Mebendazole 500 mg Chewable, Rapidly-Disintegrating Tablet for Ascaris lumbricoides and Trichuris trichiura Infection Treatment in Pediatric Patients: A Double-Blind, Randomized, Placebo-Controlled, Phase 3 Study. Am J Trop Med Hyg. 2017 Dec;97(6):1851-1856. doi: 10.4269/ajtmh.17-0108. Epub 2017 Aug 31. PMID: 29016336; PMCID: PMC5805036.</v>
      </c>
      <c r="AL125" s="880" t="str">
        <f>IFERROR(__xludf.DUMMYFUNCTION("""COMPUTED_VALUE"""),"Ethiopia")</f>
        <v>Ethiopia</v>
      </c>
      <c r="AM125" s="880" t="str">
        <f>IFERROR(__xludf.DUMMYFUNCTION("""COMPUTED_VALUE"""),"Mebendazole")</f>
        <v>Mebendazole</v>
      </c>
      <c r="AN125" s="880" t="str">
        <f>IFERROR(__xludf.DUMMYFUNCTION("""COMPUTED_VALUE"""),"Single")</f>
        <v>Single</v>
      </c>
      <c r="AO125" s="880" t="str">
        <f>IFERROR(__xludf.DUMMYFUNCTION("""COMPUTED_VALUE"""),"500 mg")</f>
        <v>500 mg</v>
      </c>
      <c r="AP125" s="880">
        <f>IFERROR(__xludf.DUMMYFUNCTION("""COMPUTED_VALUE"""),149.0)</f>
        <v>149</v>
      </c>
      <c r="AQ125" s="880">
        <f>IFERROR(__xludf.DUMMYFUNCTION("""COMPUTED_VALUE"""),7.9)</f>
        <v>7.9</v>
      </c>
      <c r="AR125" s="880" t="str">
        <f>IFERROR(__xludf.DUMMYFUNCTION("""COMPUTED_VALUE"""),"71M:78F")</f>
        <v>71M:78F</v>
      </c>
      <c r="AS125" s="880">
        <f>IFERROR(__xludf.DUMMYFUNCTION("""COMPUTED_VALUE"""),2014.0)</f>
        <v>2014</v>
      </c>
      <c r="AT125" s="880" t="str">
        <f>IFERROR(__xludf.DUMMYFUNCTION("""COMPUTED_VALUE"""),"Boys and girls (1–16 years of age) living in high STH-prevalence areas in Ethiopia or Rwanda were screened for STH eggs in stools. Children with A. lumbricoides and/or T. trichiura eggs in their stools were eligible for randomization. Children positive fo"&amp;"r hookworm along with one or both of the previously mentioned STH species were also eligible. Children had to be otherwise healthy based on medical history, physical examination, vital signs, hemoglobin, and concomitant medications for inclusion.")</f>
        <v>Boys and girls (1–16 years of age) living in high STH-prevalence areas in Ethiopia or Rwanda were screened for STH eggs in stools. Children with A. lumbricoides and/or T. trichiura eggs in their stools were eligible for randomization. Children positive for hookworm along with one or both of the previously mentioned STH species were also eligible. Children had to be otherwise healthy based on medical history, physical examination, vital signs, hemoglobin, and concomitant medications for inclusion.</v>
      </c>
      <c r="AU125" s="880" t="str">
        <f>IFERROR(__xludf.DUMMYFUNCTION("""COMPUTED_VALUE"""),"Yes")</f>
        <v>Yes</v>
      </c>
      <c r="AV125" s="880" t="str">
        <f>IFERROR(__xludf.DUMMYFUNCTION("""COMPUTED_VALUE"""),"Yes")</f>
        <v>Yes</v>
      </c>
      <c r="AW125" s="881" t="str">
        <f>IFERROR(__xludf.DUMMYFUNCTION("""COMPUTED_VALUE"""),"Double blind")</f>
        <v>Double blind</v>
      </c>
      <c r="AX125" s="863">
        <f>IFERROR(__xludf.DUMMYFUNCTION("""COMPUTED_VALUE"""),0.339)</f>
        <v>0.339</v>
      </c>
      <c r="AY125" s="863"/>
      <c r="AZ125" s="863"/>
      <c r="BA125" s="863"/>
      <c r="BB125" s="863"/>
      <c r="BC125" s="863"/>
      <c r="BD125" s="863"/>
      <c r="BE125" s="863"/>
      <c r="BF125" s="863"/>
      <c r="BG125" s="863"/>
      <c r="BH125" s="863">
        <f>IFERROR(__xludf.DUMMYFUNCTION("""COMPUTED_VALUE"""),0.597)</f>
        <v>0.597</v>
      </c>
      <c r="BI125" s="863"/>
      <c r="BJ125" s="863"/>
      <c r="BK125" s="863"/>
      <c r="BL125" s="863"/>
      <c r="BM125" s="863"/>
      <c r="BN125" s="863" t="str">
        <f>IFERROR(__xludf.DUMMYFUNCTION("""COMPUTED_VALUE"""),"This chewable, rapidly-disintegrating formulation has a safety and tolerability profile consistent with previous formulations and could facilitate the treatment of young children who have difficulty swallowing a tablet, thus potentially expanding the popu"&amp;"lation of at-risk children that can be effectively treated in mass drug administration programs for STH infections.")</f>
        <v>This chewable, rapidly-disintegrating formulation has a safety and tolerability profile consistent with previous formulations and could facilitate the treatment of young children who have difficulty swallowing a tablet, thus potentially expanding the population of at-risk children that can be effectively treated in mass drug administration programs for STH infections.</v>
      </c>
      <c r="BO125" s="863" t="str">
        <f>IFERROR(__xludf.DUMMYFUNCTION("""COMPUTED_VALUE"""),"Kato-Katz technique")</f>
        <v>Kato-Katz technique</v>
      </c>
      <c r="BP125" s="880"/>
      <c r="BQ125" s="863"/>
      <c r="BR125" s="889" t="str">
        <f>IFERROR(__xludf.DUMMYFUNCTION("""COMPUTED_VALUE"""),"Bwibo &amp; Pamba")</f>
        <v>Bwibo &amp; Pamba</v>
      </c>
      <c r="BS125" s="883" t="str">
        <f>IFERROR(__xludf.DUMMYFUNCTION("""COMPUTED_VALUE"""),"Kenya")</f>
        <v>Kenya</v>
      </c>
      <c r="BT125" s="883" t="str">
        <f>IFERROR(__xludf.DUMMYFUNCTION("""COMPUTED_VALUE"""),"Placebo")</f>
        <v>Placebo</v>
      </c>
      <c r="BU125" s="883"/>
      <c r="BV125" s="883"/>
      <c r="BW125" s="883"/>
      <c r="BX125" s="883">
        <f>IFERROR(__xludf.DUMMYFUNCTION("""COMPUTED_VALUE"""),13.0)</f>
        <v>13</v>
      </c>
      <c r="BY125" s="883" t="str">
        <f>IFERROR(__xludf.DUMMYFUNCTION("""COMPUTED_VALUE"""),"12+")</f>
        <v>12+</v>
      </c>
      <c r="BZ125" s="883"/>
      <c r="CA125" s="883"/>
      <c r="CB125" s="883"/>
      <c r="CC125" s="883" t="str">
        <f>IFERROR(__xludf.DUMMYFUNCTION("""COMPUTED_VALUE"""),"Yes")</f>
        <v>Yes</v>
      </c>
      <c r="CD125" s="884">
        <f>IFERROR(__xludf.DUMMYFUNCTION("""COMPUTED_VALUE"""),0.0)</f>
        <v>0</v>
      </c>
      <c r="CE125" s="883" t="str">
        <f>IFERROR(__xludf.DUMMYFUNCTION("""COMPUTED_VALUE"""),"Yes")</f>
        <v>Yes</v>
      </c>
      <c r="CF125" s="883" t="str">
        <f>IFERROR(__xludf.DUMMYFUNCTION("""COMPUTED_VALUE"""),"(Day 7) 0%")</f>
        <v>(Day 7) 0%</v>
      </c>
      <c r="CG125" s="883"/>
      <c r="CH125" s="883"/>
      <c r="CI125" s="883"/>
      <c r="CJ125" s="883"/>
      <c r="CK125" s="883"/>
      <c r="CL125" s="883"/>
      <c r="CM125" s="884">
        <f>IFERROR(__xludf.DUMMYFUNCTION("""COMPUTED_VALUE"""),0.288)</f>
        <v>0.288</v>
      </c>
      <c r="CN125" s="883"/>
      <c r="CO125" s="883"/>
      <c r="CP125" s="883"/>
      <c r="CQ125" s="883"/>
      <c r="CR125" s="883"/>
      <c r="CS125" s="883"/>
      <c r="CT125" s="883"/>
      <c r="CU125" s="883"/>
      <c r="CV125" s="863"/>
      <c r="CW125" s="863"/>
      <c r="CX125" s="863"/>
      <c r="CY125" s="863"/>
      <c r="CZ125" s="863"/>
      <c r="DA125" s="863"/>
      <c r="DB125" s="863"/>
      <c r="DC125" s="863"/>
      <c r="DD125" s="863"/>
      <c r="DE125" s="863"/>
    </row>
    <row r="126">
      <c r="A126" s="887" t="str">
        <f>IFERROR(__xludf.DUMMYFUNCTION("""COMPUTED_VALUE""")," Udonsi et al.")</f>
        <v> Udonsi et al.</v>
      </c>
      <c r="B126" s="876" t="str">
        <f>IFERROR(__xludf.DUMMYFUNCTION("""COMPUTED_VALUE"""),"Nigeria")</f>
        <v>Nigeria</v>
      </c>
      <c r="C126" s="876" t="str">
        <f>IFERROR(__xludf.DUMMYFUNCTION("""COMPUTED_VALUE"""),"Albendazole &amp; Bephenium")</f>
        <v>Albendazole &amp; Bephenium</v>
      </c>
      <c r="D126" s="876" t="str">
        <f>IFERROR(__xludf.DUMMYFUNCTION("""COMPUTED_VALUE"""),"Single")</f>
        <v>Single</v>
      </c>
      <c r="E126" s="876" t="str">
        <f>IFERROR(__xludf.DUMMYFUNCTION("""COMPUTED_VALUE"""),"400 mg; 5 gm")</f>
        <v>400 mg; 5 gm</v>
      </c>
      <c r="F126" s="876" t="str">
        <f>IFERROR(__xludf.DUMMYFUNCTION("""COMPUTED_VALUE"""),"470 ")</f>
        <v>470 </v>
      </c>
      <c r="G126" s="876">
        <f>IFERROR(__xludf.DUMMYFUNCTION("""COMPUTED_VALUE"""),42546.0)</f>
        <v>42546</v>
      </c>
      <c r="H126" s="876"/>
      <c r="I126" s="876">
        <f>IFERROR(__xludf.DUMMYFUNCTION("""COMPUTED_VALUE"""),1985.0)</f>
        <v>1985</v>
      </c>
      <c r="J126" s="876"/>
      <c r="K126" s="876" t="str">
        <f>IFERROR(__xludf.DUMMYFUNCTION("""COMPUTED_VALUE"""),"randomized longitudinal")</f>
        <v>randomized longitudinal</v>
      </c>
      <c r="L126" s="876" t="str">
        <f>IFERROR(__xludf.DUMMYFUNCTION("""COMPUTED_VALUE"""),"Yes")</f>
        <v>Yes</v>
      </c>
      <c r="M126" s="876" t="str">
        <f>IFERROR(__xludf.DUMMYFUNCTION("""COMPUTED_VALUE"""),"No")</f>
        <v>No</v>
      </c>
      <c r="N126" s="877" t="str">
        <f>IFERROR(__xludf.DUMMYFUNCTION("""COMPUTED_VALUE"""),"Age 6-10 80%, 11-15 88%, 16-20 85%, 21-25 94%")</f>
        <v>Age 6-10 80%, 11-15 88%, 16-20 85%, 21-25 94%</v>
      </c>
      <c r="O126" s="876"/>
      <c r="P126" s="876"/>
      <c r="Q126" s="876"/>
      <c r="R126" s="876"/>
      <c r="S126" s="876"/>
      <c r="T126" s="876"/>
      <c r="U126" s="876"/>
      <c r="V126" s="876"/>
      <c r="W126" s="876" t="str">
        <f>IFERROR(__xludf.DUMMYFUNCTION("""COMPUTED_VALUE"""),"Age 6-10 80%, 11-15 88%, 16-20 85%, 21-25 94%")</f>
        <v>Age 6-10 80%, 11-15 88%, 16-20 85%, 21-25 94%</v>
      </c>
      <c r="X126" s="876"/>
      <c r="Y126" s="876"/>
      <c r="Z126" s="876"/>
      <c r="AA126" s="876"/>
      <c r="AB126" s="876"/>
      <c r="AC126" s="876"/>
      <c r="AD126" s="876"/>
      <c r="AE126" s="876" t="str">
        <f>IFERROR(__xludf.DUMMYFUNCTION("""COMPUTED_VALUE"""),"Continuous MEC in combination with adequate environmental sanitation and health education for a period of 3 years is recommended for the control of human hookworm in any endemic area.")</f>
        <v>Continuous MEC in combination with adequate environmental sanitation and health education for a period of 3 years is recommended for the control of human hookworm in any endemic area.</v>
      </c>
      <c r="AF126" s="876" t="str">
        <f>IFERROR(__xludf.DUMMYFUNCTION("""COMPUTED_VALUE"""),"Kato &amp; Mirua thick smear technique")</f>
        <v>Kato &amp; Mirua thick smear technique</v>
      </c>
      <c r="AG126" s="876" t="str">
        <f>IFERROR(__xludf.DUMMYFUNCTION("""COMPUTED_VALUE"""),"Udonsi J K (1985) Effectiveness of Seasonal Community-based Mass-Expulsion Chemotherapy in the Control of Human Hookworm Infections in Endemic Communities. Publ. Hlth, Lond. 99 295-301. Web. ")</f>
        <v>Udonsi J K (1985) Effectiveness of Seasonal Community-based Mass-Expulsion Chemotherapy in the Control of Human Hookworm Infections in Endemic Communities. Publ. Hlth, Lond. 99 295-301. Web. </v>
      </c>
      <c r="AH126" s="876" t="str">
        <f>IFERROR(__xludf.DUMMYFUNCTION("""COMPUTED_VALUE"""),"x")</f>
        <v>x</v>
      </c>
      <c r="AI126" s="878"/>
      <c r="AJ126" s="888" t="str">
        <f>IFERROR(__xludf.DUMMYFUNCTION("""COMPUTED_VALUE"""),"Efficacy and Safety of a Single-Dose Mebendazole 500 mg Chewable, Rapidly-Disintegrating Tablet for Ascaris lumbricoides and Trichuris trichiura Infection Treatment in Pediatric Patients: A Double-Blind, Randomized, Placebo-Controlled, Phase 3 Study")</f>
        <v>Efficacy and Safety of a Single-Dose Mebendazole 500 mg Chewable, Rapidly-Disintegrating Tablet for Ascaris lumbricoides and Trichuris trichiura Infection Treatment in Pediatric Patients: A Double-Blind, Randomized, Placebo-Controlled, Phase 3 Study</v>
      </c>
      <c r="AK126" s="880" t="str">
        <f>IFERROR(__xludf.DUMMYFUNCTION("""COMPUTED_VALUE"""),"Silber SA, Diro E, Workneh N, Mekonnen Z, Levecke B, Steinmann P, Umulisa I, Alemu H, Baeten B, Engelen M, Hu P, Friedman A, Baseman A, Mrus J. Efficacy and Safety of a Single-Dose Mebendazole 500 mg Chewable, Rapidly-Disintegrating Tablet for Ascaris lum"&amp;"bricoides and Trichuris trichiura Infection Treatment in Pediatric Patients: A Double-Blind, Randomized, Placebo-Controlled, Phase 3 Study. Am J Trop Med Hyg. 2017 Dec;97(6):1851-1856. doi: 10.4269/ajtmh.17-0108. Epub 2017 Aug 31. PMID: 29016336; PMCID: P"&amp;"MC5805036.")</f>
        <v>Silber SA, Diro E, Workneh N, Mekonnen Z, Levecke B, Steinmann P, Umulisa I, Alemu H, Baeten B, Engelen M, Hu P, Friedman A, Baseman A, Mrus J. Efficacy and Safety of a Single-Dose Mebendazole 500 mg Chewable, Rapidly-Disintegrating Tablet for Ascaris lumbricoides and Trichuris trichiura Infection Treatment in Pediatric Patients: A Double-Blind, Randomized, Placebo-Controlled, Phase 3 Study. Am J Trop Med Hyg. 2017 Dec;97(6):1851-1856. doi: 10.4269/ajtmh.17-0108. Epub 2017 Aug 31. PMID: 29016336; PMCID: PMC5805036.</v>
      </c>
      <c r="AL126" s="880" t="str">
        <f>IFERROR(__xludf.DUMMYFUNCTION("""COMPUTED_VALUE"""),"Rwanda")</f>
        <v>Rwanda</v>
      </c>
      <c r="AM126" s="880" t="str">
        <f>IFERROR(__xludf.DUMMYFUNCTION("""COMPUTED_VALUE"""),"Mebendazole")</f>
        <v>Mebendazole</v>
      </c>
      <c r="AN126" s="880" t="str">
        <f>IFERROR(__xludf.DUMMYFUNCTION("""COMPUTED_VALUE"""),"Single")</f>
        <v>Single</v>
      </c>
      <c r="AO126" s="880" t="str">
        <f>IFERROR(__xludf.DUMMYFUNCTION("""COMPUTED_VALUE"""),"500 mg")</f>
        <v>500 mg</v>
      </c>
      <c r="AP126" s="880">
        <f>IFERROR(__xludf.DUMMYFUNCTION("""COMPUTED_VALUE"""),149.0)</f>
        <v>149</v>
      </c>
      <c r="AQ126" s="880">
        <f>IFERROR(__xludf.DUMMYFUNCTION("""COMPUTED_VALUE"""),7.9)</f>
        <v>7.9</v>
      </c>
      <c r="AR126" s="880" t="str">
        <f>IFERROR(__xludf.DUMMYFUNCTION("""COMPUTED_VALUE"""),"71M:78F")</f>
        <v>71M:78F</v>
      </c>
      <c r="AS126" s="880">
        <f>IFERROR(__xludf.DUMMYFUNCTION("""COMPUTED_VALUE"""),2014.0)</f>
        <v>2014</v>
      </c>
      <c r="AT126" s="880" t="str">
        <f>IFERROR(__xludf.DUMMYFUNCTION("""COMPUTED_VALUE"""),"Boys and girls (1–16 years of age) living in high STH-prevalence areas in Ethiopia or Rwanda were screened for STH eggs in stools. Children with A. lumbricoides and/or T. trichiura eggs in their stools were eligible for randomization. Children positive fo"&amp;"r hookworm along with one or both of the previously mentioned STH species were also eligible. Children had to be otherwise healthy based on medical history, physical examination, vital signs, hemoglobin, and concomitant medications for inclusion.")</f>
        <v>Boys and girls (1–16 years of age) living in high STH-prevalence areas in Ethiopia or Rwanda were screened for STH eggs in stools. Children with A. lumbricoides and/or T. trichiura eggs in their stools were eligible for randomization. Children positive for hookworm along with one or both of the previously mentioned STH species were also eligible. Children had to be otherwise healthy based on medical history, physical examination, vital signs, hemoglobin, and concomitant medications for inclusion.</v>
      </c>
      <c r="AU126" s="880" t="str">
        <f>IFERROR(__xludf.DUMMYFUNCTION("""COMPUTED_VALUE"""),"Yes")</f>
        <v>Yes</v>
      </c>
      <c r="AV126" s="880" t="str">
        <f>IFERROR(__xludf.DUMMYFUNCTION("""COMPUTED_VALUE"""),"Yes")</f>
        <v>Yes</v>
      </c>
      <c r="AW126" s="881" t="str">
        <f>IFERROR(__xludf.DUMMYFUNCTION("""COMPUTED_VALUE"""),"Double blind")</f>
        <v>Double blind</v>
      </c>
      <c r="AX126" s="863">
        <f>IFERROR(__xludf.DUMMYFUNCTION("""COMPUTED_VALUE"""),0.339)</f>
        <v>0.339</v>
      </c>
      <c r="AY126" s="863"/>
      <c r="AZ126" s="863"/>
      <c r="BA126" s="863"/>
      <c r="BB126" s="863"/>
      <c r="BC126" s="863"/>
      <c r="BD126" s="863"/>
      <c r="BE126" s="863"/>
      <c r="BF126" s="863"/>
      <c r="BG126" s="863"/>
      <c r="BH126" s="863">
        <f>IFERROR(__xludf.DUMMYFUNCTION("""COMPUTED_VALUE"""),0.902)</f>
        <v>0.902</v>
      </c>
      <c r="BI126" s="863"/>
      <c r="BJ126" s="863"/>
      <c r="BK126" s="863"/>
      <c r="BL126" s="863"/>
      <c r="BM126" s="863"/>
      <c r="BN126" s="863" t="str">
        <f>IFERROR(__xludf.DUMMYFUNCTION("""COMPUTED_VALUE"""),"This chewable, rapidly-disintegrating formulation has a safety and tolerability profile consistent with previous formulations and could facilitate the treatment of young children who have difficulty swallowing a tablet, thus potentially expanding the popu"&amp;"lation of at-risk children that can be effectively treated in mass drug administration programs for STH infections.")</f>
        <v>This chewable, rapidly-disintegrating formulation has a safety and tolerability profile consistent with previous formulations and could facilitate the treatment of young children who have difficulty swallowing a tablet, thus potentially expanding the population of at-risk children that can be effectively treated in mass drug administration programs for STH infections.</v>
      </c>
      <c r="BO126" s="863" t="str">
        <f>IFERROR(__xludf.DUMMYFUNCTION("""COMPUTED_VALUE"""),"Kato-Katz technique")</f>
        <v>Kato-Katz technique</v>
      </c>
      <c r="BP126" s="880"/>
      <c r="BQ126" s="863"/>
      <c r="BR126" s="889" t="str">
        <f>IFERROR(__xludf.DUMMYFUNCTION("""COMPUTED_VALUE"""),"Bwibo &amp; Pamba")</f>
        <v>Bwibo &amp; Pamba</v>
      </c>
      <c r="BS126" s="883" t="str">
        <f>IFERROR(__xludf.DUMMYFUNCTION("""COMPUTED_VALUE"""),"Kenya")</f>
        <v>Kenya</v>
      </c>
      <c r="BT126" s="883" t="str">
        <f>IFERROR(__xludf.DUMMYFUNCTION("""COMPUTED_VALUE"""),"Albendazole")</f>
        <v>Albendazole</v>
      </c>
      <c r="BU126" s="883"/>
      <c r="BV126" s="883" t="str">
        <f>IFERROR(__xludf.DUMMYFUNCTION("""COMPUTED_VALUE"""),"Single")</f>
        <v>Single</v>
      </c>
      <c r="BW126" s="883" t="str">
        <f>IFERROR(__xludf.DUMMYFUNCTION("""COMPUTED_VALUE"""),"200 mg")</f>
        <v>200 mg</v>
      </c>
      <c r="BX126" s="883">
        <f>IFERROR(__xludf.DUMMYFUNCTION("""COMPUTED_VALUE"""),1.0)</f>
        <v>1</v>
      </c>
      <c r="BY126" s="883" t="str">
        <f>IFERROR(__xludf.DUMMYFUNCTION("""COMPUTED_VALUE"""),"12+")</f>
        <v>12+</v>
      </c>
      <c r="BZ126" s="883"/>
      <c r="CA126" s="883"/>
      <c r="CB126" s="883"/>
      <c r="CC126" s="883" t="str">
        <f>IFERROR(__xludf.DUMMYFUNCTION("""COMPUTED_VALUE"""),"Yes")</f>
        <v>Yes</v>
      </c>
      <c r="CD126" s="884">
        <f>IFERROR(__xludf.DUMMYFUNCTION("""COMPUTED_VALUE"""),1.0)</f>
        <v>1</v>
      </c>
      <c r="CE126" s="883" t="str">
        <f>IFERROR(__xludf.DUMMYFUNCTION("""COMPUTED_VALUE"""),"Yes")</f>
        <v>Yes</v>
      </c>
      <c r="CF126" s="883" t="str">
        <f>IFERROR(__xludf.DUMMYFUNCTION("""COMPUTED_VALUE"""),"(Day 7) 0%")</f>
        <v>(Day 7) 0%</v>
      </c>
      <c r="CG126" s="883"/>
      <c r="CH126" s="883"/>
      <c r="CI126" s="883"/>
      <c r="CJ126" s="883"/>
      <c r="CK126" s="883"/>
      <c r="CL126" s="883"/>
      <c r="CM126" s="891">
        <f>IFERROR(__xludf.DUMMYFUNCTION("""COMPUTED_VALUE"""),1.0)</f>
        <v>1</v>
      </c>
      <c r="CN126" s="883"/>
      <c r="CO126" s="883"/>
      <c r="CP126" s="883"/>
      <c r="CQ126" s="883"/>
      <c r="CR126" s="883"/>
      <c r="CS126" s="883"/>
      <c r="CT126" s="883"/>
      <c r="CU126" s="883"/>
      <c r="CV126" s="863"/>
      <c r="CW126" s="863"/>
      <c r="CX126" s="863"/>
      <c r="CY126" s="863"/>
      <c r="CZ126" s="863"/>
      <c r="DA126" s="863"/>
      <c r="DB126" s="863"/>
      <c r="DC126" s="863"/>
      <c r="DD126" s="863"/>
      <c r="DE126" s="863"/>
    </row>
    <row r="127">
      <c r="A127" s="887" t="str">
        <f>IFERROR(__xludf.DUMMYFUNCTION("""COMPUTED_VALUE""")," Udonsi et al.")</f>
        <v> Udonsi et al.</v>
      </c>
      <c r="B127" s="876" t="str">
        <f>IFERROR(__xludf.DUMMYFUNCTION("""COMPUTED_VALUE"""),"Nigeria")</f>
        <v>Nigeria</v>
      </c>
      <c r="C127" s="876" t="str">
        <f>IFERROR(__xludf.DUMMYFUNCTION("""COMPUTED_VALUE"""),"Albendazole &amp; Bephenium")</f>
        <v>Albendazole &amp; Bephenium</v>
      </c>
      <c r="D127" s="876" t="str">
        <f>IFERROR(__xludf.DUMMYFUNCTION("""COMPUTED_VALUE"""),"Single")</f>
        <v>Single</v>
      </c>
      <c r="E127" s="876" t="str">
        <f>IFERROR(__xludf.DUMMYFUNCTION("""COMPUTED_VALUE"""),"400 mg; 5 gm")</f>
        <v>400 mg; 5 gm</v>
      </c>
      <c r="F127" s="876">
        <f>IFERROR(__xludf.DUMMYFUNCTION("""COMPUTED_VALUE"""),465.0)</f>
        <v>465</v>
      </c>
      <c r="G127" s="876"/>
      <c r="H127" s="876"/>
      <c r="I127" s="876">
        <f>IFERROR(__xludf.DUMMYFUNCTION("""COMPUTED_VALUE"""),1985.0)</f>
        <v>1985</v>
      </c>
      <c r="J127" s="876"/>
      <c r="K127" s="876" t="str">
        <f>IFERROR(__xludf.DUMMYFUNCTION("""COMPUTED_VALUE"""),"randomized longitudinal")</f>
        <v>randomized longitudinal</v>
      </c>
      <c r="L127" s="876" t="str">
        <f>IFERROR(__xludf.DUMMYFUNCTION("""COMPUTED_VALUE"""),"Yes")</f>
        <v>Yes</v>
      </c>
      <c r="M127" s="876" t="str">
        <f>IFERROR(__xludf.DUMMYFUNCTION("""COMPUTED_VALUE"""),"No")</f>
        <v>No</v>
      </c>
      <c r="N127" s="877" t="str">
        <f>IFERROR(__xludf.DUMMYFUNCTION("""COMPUTED_VALUE"""),"Age 6-10 83%, 11-15 88%, 16-20 89%, 21-25 95%")</f>
        <v>Age 6-10 83%, 11-15 88%, 16-20 89%, 21-25 95%</v>
      </c>
      <c r="O127" s="876"/>
      <c r="P127" s="876"/>
      <c r="Q127" s="876"/>
      <c r="R127" s="876"/>
      <c r="S127" s="876"/>
      <c r="T127" s="876"/>
      <c r="U127" s="876"/>
      <c r="V127" s="876"/>
      <c r="W127" s="876" t="str">
        <f>IFERROR(__xludf.DUMMYFUNCTION("""COMPUTED_VALUE"""),"Age 6-10 83%, 11-15 88%, 16-20 89%, 21-25 95%")</f>
        <v>Age 6-10 83%, 11-15 88%, 16-20 89%, 21-25 95%</v>
      </c>
      <c r="X127" s="876"/>
      <c r="Y127" s="876"/>
      <c r="Z127" s="876"/>
      <c r="AA127" s="876"/>
      <c r="AB127" s="876"/>
      <c r="AC127" s="876"/>
      <c r="AD127" s="876"/>
      <c r="AE127" s="876" t="str">
        <f>IFERROR(__xludf.DUMMYFUNCTION("""COMPUTED_VALUE"""),"Continuous MEC in combination with adequate environmental sanitation and health education for a period of 3 years is recommended for the control of human hookworm in any endemic area.")</f>
        <v>Continuous MEC in combination with adequate environmental sanitation and health education for a period of 3 years is recommended for the control of human hookworm in any endemic area.</v>
      </c>
      <c r="AF127" s="876" t="str">
        <f>IFERROR(__xludf.DUMMYFUNCTION("""COMPUTED_VALUE"""),"Kato &amp; Mirua thick smear technique")</f>
        <v>Kato &amp; Mirua thick smear technique</v>
      </c>
      <c r="AG127" s="876" t="str">
        <f>IFERROR(__xludf.DUMMYFUNCTION("""COMPUTED_VALUE"""),"Udonsi J K (1985) Effectiveness of Seasonal Community-based Mass-Expulsion Chemotherapy in the Control of Human Hookworm Infections in Endemic Communities. Publ. Hlth, Lond. 99 295-301. Web. ")</f>
        <v>Udonsi J K (1985) Effectiveness of Seasonal Community-based Mass-Expulsion Chemotherapy in the Control of Human Hookworm Infections in Endemic Communities. Publ. Hlth, Lond. 99 295-301. Web. </v>
      </c>
      <c r="AH127" s="876" t="str">
        <f>IFERROR(__xludf.DUMMYFUNCTION("""COMPUTED_VALUE"""),"x")</f>
        <v>x</v>
      </c>
      <c r="AI127" s="878"/>
      <c r="AJ127" s="888" t="str">
        <f>IFERROR(__xludf.DUMMYFUNCTION("""COMPUTED_VALUE"""),"Efficacy and reinfection with soil-transmitted helminths 18-weeks post-treatment with albendazole-ivermectin, albendazole-mebendazole, albendazole-oxantel pamoate and mebendazole")</f>
        <v>Efficacy and reinfection with soil-transmitted helminths 18-weeks post-treatment with albendazole-ivermectin, albendazole-mebendazole, albendazole-oxantel pamoate and mebendazole</v>
      </c>
      <c r="AK127" s="880" t="str">
        <f>IFERROR(__xludf.DUMMYFUNCTION("""COMPUTED_VALUE"""),"Speich B, Moser W, Ali SM, Ame SM, Albonico M, Hattendorf J, Keiser J. Efficacy and reinfection with soil-transmitted helminths 18-weeks post-treatment with albendazole-ivermectin, albendazole-mebendazole, albendazole-oxantel pamoate and mebendazole. Para"&amp;"sit Vectors. 2016 Mar 2;9:123. doi: 10.1186/s13071-016-1406-8. PMID: 26935065; PMCID: PMC4776366.")</f>
        <v>Speich B, Moser W, Ali SM, Ame SM, Albonico M, Hattendorf J, Keiser J. Efficacy and reinfection with soil-transmitted helminths 18-weeks post-treatment with albendazole-ivermectin, albendazole-mebendazole, albendazole-oxantel pamoate and mebendazole. Parasit Vectors. 2016 Mar 2;9:123. doi: 10.1186/s13071-016-1406-8. PMID: 26935065; PMCID: PMC4776366.</v>
      </c>
      <c r="AL127" s="880" t="str">
        <f>IFERROR(__xludf.DUMMYFUNCTION("""COMPUTED_VALUE"""),"Tanzania")</f>
        <v>Tanzania</v>
      </c>
      <c r="AM127" s="880" t="str">
        <f>IFERROR(__xludf.DUMMYFUNCTION("""COMPUTED_VALUE"""),"Albendazole &amp; Ivermectin")</f>
        <v>Albendazole &amp; Ivermectin</v>
      </c>
      <c r="AN127" s="880" t="str">
        <f>IFERROR(__xludf.DUMMYFUNCTION("""COMPUTED_VALUE"""),"Single")</f>
        <v>Single</v>
      </c>
      <c r="AO127" s="880" t="str">
        <f>IFERROR(__xludf.DUMMYFUNCTION("""COMPUTED_VALUE"""),"400 mg;200 μg/kg")</f>
        <v>400 mg;200 μg/kg</v>
      </c>
      <c r="AP127" s="880">
        <f>IFERROR(__xludf.DUMMYFUNCTION("""COMPUTED_VALUE"""),100.0)</f>
        <v>100</v>
      </c>
      <c r="AQ127" s="880"/>
      <c r="AR127" s="880"/>
      <c r="AS127" s="880">
        <f>IFERROR(__xludf.DUMMYFUNCTION("""COMPUTED_VALUE"""),2013.0)</f>
        <v>2013</v>
      </c>
      <c r="AT127" s="880" t="str">
        <f>IFERROR(__xludf.DUMMYFUNCTION("""COMPUTED_VALUE"""),"School-aged children diagnosed positive for T. trichiura")</f>
        <v>School-aged children diagnosed positive for T. trichiura</v>
      </c>
      <c r="AU127" s="880" t="str">
        <f>IFERROR(__xludf.DUMMYFUNCTION("""COMPUTED_VALUE"""),"Yes")</f>
        <v>Yes</v>
      </c>
      <c r="AV127" s="880" t="str">
        <f>IFERROR(__xludf.DUMMYFUNCTION("""COMPUTED_VALUE"""),"No")</f>
        <v>No</v>
      </c>
      <c r="AW127" s="881" t="str">
        <f>IFERROR(__xludf.DUMMYFUNCTION("""COMPUTED_VALUE"""),"No")</f>
        <v>No</v>
      </c>
      <c r="AX127" s="863">
        <f>IFERROR(__xludf.DUMMYFUNCTION("""COMPUTED_VALUE"""),0.2)</f>
        <v>0.2</v>
      </c>
      <c r="AY127" s="863"/>
      <c r="AZ127" s="863">
        <f>IFERROR(__xludf.DUMMYFUNCTION("""COMPUTED_VALUE"""),0.28)</f>
        <v>0.28</v>
      </c>
      <c r="BA127" s="863"/>
      <c r="BB127" s="863"/>
      <c r="BC127" s="863"/>
      <c r="BD127" s="863"/>
      <c r="BE127" s="863"/>
      <c r="BF127" s="863">
        <f>IFERROR(__xludf.DUMMYFUNCTION("""COMPUTED_VALUE"""),0.2)</f>
        <v>0.2</v>
      </c>
      <c r="BG127" s="863"/>
      <c r="BH127" s="863">
        <f>IFERROR(__xludf.DUMMYFUNCTION("""COMPUTED_VALUE"""),0.672)</f>
        <v>0.672</v>
      </c>
      <c r="BI127" s="863"/>
      <c r="BJ127" s="863"/>
      <c r="BK127" s="863"/>
      <c r="BL127" s="863"/>
      <c r="BM127" s="863"/>
      <c r="BN127" s="863" t="str">
        <f>IFERROR(__xludf.DUMMYFUNCTION("""COMPUTED_VALUE"""),"18 weeks after treatment albendazole-oxantel pamoate showed a significantly higher efficacy against T. trichiura. Children treated with albendazole-oxantel pamoate or albendazole-ivermectin had fewer moderate infections compared to children treated with a"&amp;"lbendazole.")</f>
        <v>18 weeks after treatment albendazole-oxantel pamoate showed a significantly higher efficacy against T. trichiura. Children treated with albendazole-oxantel pamoate or albendazole-ivermectin had fewer moderate infections compared to children treated with albendazole.</v>
      </c>
      <c r="BO127" s="863" t="str">
        <f>IFERROR(__xludf.DUMMYFUNCTION("""COMPUTED_VALUE"""),"Kato-Katz technique")</f>
        <v>Kato-Katz technique</v>
      </c>
      <c r="BP127" s="880"/>
      <c r="BQ127" s="863"/>
      <c r="BR127" s="889" t="str">
        <f>IFERROR(__xludf.DUMMYFUNCTION("""COMPUTED_VALUE"""),"Bwibo &amp; Pamba")</f>
        <v>Bwibo &amp; Pamba</v>
      </c>
      <c r="BS127" s="883" t="str">
        <f>IFERROR(__xludf.DUMMYFUNCTION("""COMPUTED_VALUE"""),"Kenya")</f>
        <v>Kenya</v>
      </c>
      <c r="BT127" s="883" t="str">
        <f>IFERROR(__xludf.DUMMYFUNCTION("""COMPUTED_VALUE"""),"Albendazole")</f>
        <v>Albendazole</v>
      </c>
      <c r="BU127" s="883"/>
      <c r="BV127" s="883" t="str">
        <f>IFERROR(__xludf.DUMMYFUNCTION("""COMPUTED_VALUE"""),"Single")</f>
        <v>Single</v>
      </c>
      <c r="BW127" s="883" t="str">
        <f>IFERROR(__xludf.DUMMYFUNCTION("""COMPUTED_VALUE"""),"200 mg")</f>
        <v>200 mg</v>
      </c>
      <c r="BX127" s="883">
        <f>IFERROR(__xludf.DUMMYFUNCTION("""COMPUTED_VALUE"""),1.0)</f>
        <v>1</v>
      </c>
      <c r="BY127" s="883" t="str">
        <f>IFERROR(__xludf.DUMMYFUNCTION("""COMPUTED_VALUE"""),"12+")</f>
        <v>12+</v>
      </c>
      <c r="BZ127" s="883"/>
      <c r="CA127" s="883"/>
      <c r="CB127" s="883"/>
      <c r="CC127" s="883" t="str">
        <f>IFERROR(__xludf.DUMMYFUNCTION("""COMPUTED_VALUE"""),"Yes")</f>
        <v>Yes</v>
      </c>
      <c r="CD127" s="884">
        <f>IFERROR(__xludf.DUMMYFUNCTION("""COMPUTED_VALUE"""),1.0)</f>
        <v>1</v>
      </c>
      <c r="CE127" s="883" t="str">
        <f>IFERROR(__xludf.DUMMYFUNCTION("""COMPUTED_VALUE"""),"Yes")</f>
        <v>Yes</v>
      </c>
      <c r="CF127" s="883" t="str">
        <f>IFERROR(__xludf.DUMMYFUNCTION("""COMPUTED_VALUE"""),"(Day 7) 0%")</f>
        <v>(Day 7) 0%</v>
      </c>
      <c r="CG127" s="883"/>
      <c r="CH127" s="883"/>
      <c r="CI127" s="883"/>
      <c r="CJ127" s="883"/>
      <c r="CK127" s="883"/>
      <c r="CL127" s="883"/>
      <c r="CM127" s="884">
        <f>IFERROR(__xludf.DUMMYFUNCTION("""COMPUTED_VALUE"""),0.972)</f>
        <v>0.972</v>
      </c>
      <c r="CN127" s="883"/>
      <c r="CO127" s="883"/>
      <c r="CP127" s="883"/>
      <c r="CQ127" s="883"/>
      <c r="CR127" s="883"/>
      <c r="CS127" s="883"/>
      <c r="CT127" s="883"/>
      <c r="CU127" s="883"/>
      <c r="CV127" s="863"/>
      <c r="CW127" s="863"/>
      <c r="CX127" s="863"/>
      <c r="CY127" s="863"/>
      <c r="CZ127" s="863"/>
      <c r="DA127" s="863"/>
      <c r="DB127" s="863"/>
      <c r="DC127" s="863"/>
      <c r="DD127" s="863"/>
      <c r="DE127" s="863"/>
    </row>
    <row r="128">
      <c r="A128" s="887" t="str">
        <f>IFERROR(__xludf.DUMMYFUNCTION("""COMPUTED_VALUE""")," Udonsi et al.")</f>
        <v> Udonsi et al.</v>
      </c>
      <c r="B128" s="876" t="str">
        <f>IFERROR(__xludf.DUMMYFUNCTION("""COMPUTED_VALUE"""),"Nigeria")</f>
        <v>Nigeria</v>
      </c>
      <c r="C128" s="876" t="str">
        <f>IFERROR(__xludf.DUMMYFUNCTION("""COMPUTED_VALUE"""),"Albendazole &amp; Bephenium")</f>
        <v>Albendazole &amp; Bephenium</v>
      </c>
      <c r="D128" s="876" t="str">
        <f>IFERROR(__xludf.DUMMYFUNCTION("""COMPUTED_VALUE"""),"Single")</f>
        <v>Single</v>
      </c>
      <c r="E128" s="876" t="str">
        <f>IFERROR(__xludf.DUMMYFUNCTION("""COMPUTED_VALUE"""),"400 mg; 5 gm")</f>
        <v>400 mg; 5 gm</v>
      </c>
      <c r="F128" s="876">
        <f>IFERROR(__xludf.DUMMYFUNCTION("""COMPUTED_VALUE"""),478.0)</f>
        <v>478</v>
      </c>
      <c r="G128" s="876"/>
      <c r="H128" s="876"/>
      <c r="I128" s="876">
        <f>IFERROR(__xludf.DUMMYFUNCTION("""COMPUTED_VALUE"""),1985.0)</f>
        <v>1985</v>
      </c>
      <c r="J128" s="876"/>
      <c r="K128" s="876" t="str">
        <f>IFERROR(__xludf.DUMMYFUNCTION("""COMPUTED_VALUE"""),"randomized longitudinal")</f>
        <v>randomized longitudinal</v>
      </c>
      <c r="L128" s="876" t="str">
        <f>IFERROR(__xludf.DUMMYFUNCTION("""COMPUTED_VALUE"""),"Yes")</f>
        <v>Yes</v>
      </c>
      <c r="M128" s="876" t="str">
        <f>IFERROR(__xludf.DUMMYFUNCTION("""COMPUTED_VALUE"""),"No")</f>
        <v>No</v>
      </c>
      <c r="N128" s="877" t="str">
        <f>IFERROR(__xludf.DUMMYFUNCTION("""COMPUTED_VALUE"""),"Age 6-10 82%, 11-15 90%, 16-20 94% 21-25 96%")</f>
        <v>Age 6-10 82%, 11-15 90%, 16-20 94% 21-25 96%</v>
      </c>
      <c r="O128" s="876"/>
      <c r="P128" s="876"/>
      <c r="Q128" s="876"/>
      <c r="R128" s="876"/>
      <c r="S128" s="876"/>
      <c r="T128" s="876"/>
      <c r="U128" s="876"/>
      <c r="V128" s="876"/>
      <c r="W128" s="876" t="str">
        <f>IFERROR(__xludf.DUMMYFUNCTION("""COMPUTED_VALUE"""),"Age 6-10 82%, 11-15 90%, 16-20 94% 21-25 96%")</f>
        <v>Age 6-10 82%, 11-15 90%, 16-20 94% 21-25 96%</v>
      </c>
      <c r="X128" s="876"/>
      <c r="Y128" s="876"/>
      <c r="Z128" s="876"/>
      <c r="AA128" s="876"/>
      <c r="AB128" s="876"/>
      <c r="AC128" s="876"/>
      <c r="AD128" s="876"/>
      <c r="AE128" s="876" t="str">
        <f>IFERROR(__xludf.DUMMYFUNCTION("""COMPUTED_VALUE"""),"Continuous MEC in combination with adequate environmental sanitation and health education for a period of 3 years is recommended for the control of human hookworm in any endemic area.")</f>
        <v>Continuous MEC in combination with adequate environmental sanitation and health education for a period of 3 years is recommended for the control of human hookworm in any endemic area.</v>
      </c>
      <c r="AF128" s="876" t="str">
        <f>IFERROR(__xludf.DUMMYFUNCTION("""COMPUTED_VALUE"""),"Kato &amp; Mirua thick smear technique")</f>
        <v>Kato &amp; Mirua thick smear technique</v>
      </c>
      <c r="AG128" s="876" t="str">
        <f>IFERROR(__xludf.DUMMYFUNCTION("""COMPUTED_VALUE"""),"Udonsi J K (1985) Effectiveness of Seasonal Community-based Mass-Expulsion Chemotherapy in the Control of Human Hookworm Infections in Endemic Communities. Publ. Hlth, Lond. 99 295-301. Web. ")</f>
        <v>Udonsi J K (1985) Effectiveness of Seasonal Community-based Mass-Expulsion Chemotherapy in the Control of Human Hookworm Infections in Endemic Communities. Publ. Hlth, Lond. 99 295-301. Web. </v>
      </c>
      <c r="AH128" s="876" t="str">
        <f>IFERROR(__xludf.DUMMYFUNCTION("""COMPUTED_VALUE"""),"x")</f>
        <v>x</v>
      </c>
      <c r="AI128" s="878"/>
      <c r="AJ128" s="888" t="str">
        <f>IFERROR(__xludf.DUMMYFUNCTION("""COMPUTED_VALUE"""),"Efficacy and reinfection with soil-transmitted helminths 18-weeks post-treatment with albendazole-ivermectin, albendazole-mebendazole, albendazole-oxantel pamoate and mebendazole")</f>
        <v>Efficacy and reinfection with soil-transmitted helminths 18-weeks post-treatment with albendazole-ivermectin, albendazole-mebendazole, albendazole-oxantel pamoate and mebendazole</v>
      </c>
      <c r="AK128" s="880" t="str">
        <f>IFERROR(__xludf.DUMMYFUNCTION("""COMPUTED_VALUE"""),"Speich B, Moser W, Ali SM, Ame SM, Albonico M, Hattendorf J, Keiser J. Efficacy and reinfection with soil-transmitted helminths 18-weeks post-treatment with albendazole-ivermectin, albendazole-mebendazole, albendazole-oxantel pamoate and mebendazole. Para"&amp;"sit Vectors. 2016 Mar 2;9:123. doi: 10.1186/s13071-016-1406-8. PMID: 26935065; PMCID: PMC4776366.")</f>
        <v>Speich B, Moser W, Ali SM, Ame SM, Albonico M, Hattendorf J, Keiser J. Efficacy and reinfection with soil-transmitted helminths 18-weeks post-treatment with albendazole-ivermectin, albendazole-mebendazole, albendazole-oxantel pamoate and mebendazole. Parasit Vectors. 2016 Mar 2;9:123. doi: 10.1186/s13071-016-1406-8. PMID: 26935065; PMCID: PMC4776366.</v>
      </c>
      <c r="AL128" s="880" t="str">
        <f>IFERROR(__xludf.DUMMYFUNCTION("""COMPUTED_VALUE"""),"Tanzania")</f>
        <v>Tanzania</v>
      </c>
      <c r="AM128" s="880" t="str">
        <f>IFERROR(__xludf.DUMMYFUNCTION("""COMPUTED_VALUE"""),"Albendazole &amp; Mebendazole")</f>
        <v>Albendazole &amp; Mebendazole</v>
      </c>
      <c r="AN128" s="880" t="str">
        <f>IFERROR(__xludf.DUMMYFUNCTION("""COMPUTED_VALUE"""),"Single")</f>
        <v>Single</v>
      </c>
      <c r="AO128" s="880" t="str">
        <f>IFERROR(__xludf.DUMMYFUNCTION("""COMPUTED_VALUE"""),"400 mg; 500 mg")</f>
        <v>400 mg; 500 mg</v>
      </c>
      <c r="AP128" s="880">
        <f>IFERROR(__xludf.DUMMYFUNCTION("""COMPUTED_VALUE"""),101.0)</f>
        <v>101</v>
      </c>
      <c r="AQ128" s="880"/>
      <c r="AR128" s="880"/>
      <c r="AS128" s="880">
        <f>IFERROR(__xludf.DUMMYFUNCTION("""COMPUTED_VALUE"""),2013.0)</f>
        <v>2013</v>
      </c>
      <c r="AT128" s="880" t="str">
        <f>IFERROR(__xludf.DUMMYFUNCTION("""COMPUTED_VALUE"""),"School-aged children diagnosed positive for T. trichiura")</f>
        <v>School-aged children diagnosed positive for T. trichiura</v>
      </c>
      <c r="AU128" s="880" t="str">
        <f>IFERROR(__xludf.DUMMYFUNCTION("""COMPUTED_VALUE"""),"Yes")</f>
        <v>Yes</v>
      </c>
      <c r="AV128" s="880" t="str">
        <f>IFERROR(__xludf.DUMMYFUNCTION("""COMPUTED_VALUE"""),"No")</f>
        <v>No</v>
      </c>
      <c r="AW128" s="881" t="str">
        <f>IFERROR(__xludf.DUMMYFUNCTION("""COMPUTED_VALUE"""),"No")</f>
        <v>No</v>
      </c>
      <c r="AX128" s="863">
        <f>IFERROR(__xludf.DUMMYFUNCTION("""COMPUTED_VALUE"""),0.139)</f>
        <v>0.139</v>
      </c>
      <c r="AY128" s="863"/>
      <c r="AZ128" s="863">
        <f>IFERROR(__xludf.DUMMYFUNCTION("""COMPUTED_VALUE"""),0.089)</f>
        <v>0.089</v>
      </c>
      <c r="BA128" s="863"/>
      <c r="BB128" s="863"/>
      <c r="BC128" s="863"/>
      <c r="BD128" s="863"/>
      <c r="BE128" s="863"/>
      <c r="BF128" s="863">
        <f>IFERROR(__xludf.DUMMYFUNCTION("""COMPUTED_VALUE"""),0.139)</f>
        <v>0.139</v>
      </c>
      <c r="BG128" s="863"/>
      <c r="BH128" s="863">
        <f>IFERROR(__xludf.DUMMYFUNCTION("""COMPUTED_VALUE"""),0.986)</f>
        <v>0.986</v>
      </c>
      <c r="BI128" s="863"/>
      <c r="BJ128" s="863"/>
      <c r="BK128" s="863"/>
      <c r="BL128" s="863"/>
      <c r="BM128" s="863"/>
      <c r="BN128" s="863" t="str">
        <f>IFERROR(__xludf.DUMMYFUNCTION("""COMPUTED_VALUE"""),"18 weeks after treatment albendazole-oxantel pamoate showed a significantly higher efficacy against T. trichiura. Children treated with albendazole-oxantel pamoate or albendazole-ivermectin had fewer moderate infections compared to children treated with a"&amp;"lbendazole.")</f>
        <v>18 weeks after treatment albendazole-oxantel pamoate showed a significantly higher efficacy against T. trichiura. Children treated with albendazole-oxantel pamoate or albendazole-ivermectin had fewer moderate infections compared to children treated with albendazole.</v>
      </c>
      <c r="BO128" s="863" t="str">
        <f>IFERROR(__xludf.DUMMYFUNCTION("""COMPUTED_VALUE"""),"Kato-Katz technique")</f>
        <v>Kato-Katz technique</v>
      </c>
      <c r="BP128" s="880"/>
      <c r="BQ128" s="863"/>
      <c r="BR128" s="889" t="str">
        <f>IFERROR(__xludf.DUMMYFUNCTION("""COMPUTED_VALUE"""),"Bwibo &amp; Pamba")</f>
        <v>Bwibo &amp; Pamba</v>
      </c>
      <c r="BS128" s="883" t="str">
        <f>IFERROR(__xludf.DUMMYFUNCTION("""COMPUTED_VALUE"""),"Kenya")</f>
        <v>Kenya</v>
      </c>
      <c r="BT128" s="883" t="str">
        <f>IFERROR(__xludf.DUMMYFUNCTION("""COMPUTED_VALUE"""),"Placebo")</f>
        <v>Placebo</v>
      </c>
      <c r="BU128" s="883"/>
      <c r="BV128" s="883"/>
      <c r="BW128" s="883"/>
      <c r="BX128" s="883">
        <f>IFERROR(__xludf.DUMMYFUNCTION("""COMPUTED_VALUE"""),5.0)</f>
        <v>5</v>
      </c>
      <c r="BY128" s="883" t="str">
        <f>IFERROR(__xludf.DUMMYFUNCTION("""COMPUTED_VALUE"""),"12+")</f>
        <v>12+</v>
      </c>
      <c r="BZ128" s="883"/>
      <c r="CA128" s="883"/>
      <c r="CB128" s="883"/>
      <c r="CC128" s="883" t="str">
        <f>IFERROR(__xludf.DUMMYFUNCTION("""COMPUTED_VALUE"""),"Yes")</f>
        <v>Yes</v>
      </c>
      <c r="CD128" s="884">
        <f>IFERROR(__xludf.DUMMYFUNCTION("""COMPUTED_VALUE"""),0.4)</f>
        <v>0.4</v>
      </c>
      <c r="CE128" s="883" t="str">
        <f>IFERROR(__xludf.DUMMYFUNCTION("""COMPUTED_VALUE"""),"Yes")</f>
        <v>Yes</v>
      </c>
      <c r="CF128" s="883" t="str">
        <f>IFERROR(__xludf.DUMMYFUNCTION("""COMPUTED_VALUE"""),"(Day 7) 20%")</f>
        <v>(Day 7) 20%</v>
      </c>
      <c r="CG128" s="883"/>
      <c r="CH128" s="883"/>
      <c r="CI128" s="883"/>
      <c r="CJ128" s="883"/>
      <c r="CK128" s="883"/>
      <c r="CL128" s="883"/>
      <c r="CM128" s="884">
        <f>IFERROR(__xludf.DUMMYFUNCTION("""COMPUTED_VALUE"""),0.555)</f>
        <v>0.555</v>
      </c>
      <c r="CN128" s="883"/>
      <c r="CO128" s="883"/>
      <c r="CP128" s="883"/>
      <c r="CQ128" s="883"/>
      <c r="CR128" s="883"/>
      <c r="CS128" s="883"/>
      <c r="CT128" s="883"/>
      <c r="CU128" s="883"/>
      <c r="CV128" s="863"/>
      <c r="CW128" s="863"/>
      <c r="CX128" s="863"/>
      <c r="CY128" s="863"/>
      <c r="CZ128" s="863"/>
      <c r="DA128" s="863"/>
      <c r="DB128" s="863"/>
      <c r="DC128" s="863"/>
      <c r="DD128" s="863"/>
      <c r="DE128" s="863"/>
    </row>
    <row r="129">
      <c r="A129" s="887" t="str">
        <f>IFERROR(__xludf.DUMMYFUNCTION("""COMPUTED_VALUE"""),"Vercruysse et al.")</f>
        <v>Vercruysse et al.</v>
      </c>
      <c r="B129" s="876" t="str">
        <f>IFERROR(__xludf.DUMMYFUNCTION("""COMPUTED_VALUE"""),"Brazil")</f>
        <v>Brazil</v>
      </c>
      <c r="C129" s="876" t="str">
        <f>IFERROR(__xludf.DUMMYFUNCTION("""COMPUTED_VALUE"""),"Albendazole")</f>
        <v>Albendazole</v>
      </c>
      <c r="D129" s="876" t="str">
        <f>IFERROR(__xludf.DUMMYFUNCTION("""COMPUTED_VALUE"""),"Single")</f>
        <v>Single</v>
      </c>
      <c r="E129" s="876" t="str">
        <f>IFERROR(__xludf.DUMMYFUNCTION("""COMPUTED_VALUE"""),"400 mg")</f>
        <v>400 mg</v>
      </c>
      <c r="F129" s="876">
        <f>IFERROR(__xludf.DUMMYFUNCTION("""COMPUTED_VALUE"""),52.0)</f>
        <v>52</v>
      </c>
      <c r="G129" s="876">
        <f>IFERROR(__xludf.DUMMYFUNCTION("""COMPUTED_VALUE"""),42478.0)</f>
        <v>42478</v>
      </c>
      <c r="H129" s="876"/>
      <c r="I129" s="876">
        <f>IFERROR(__xludf.DUMMYFUNCTION("""COMPUTED_VALUE"""),2009.0)</f>
        <v>2009</v>
      </c>
      <c r="J129" s="876" t="str">
        <f>IFERROR(__xludf.DUMMYFUNCTION("""COMPUTED_VALUE"""),"All of the trials Subjects who were unable to provide a stool sample at follow-up, or who were experiencing a severe concurrent medical condition or had diarrhea at time of the first sampling, were excluded from the study")</f>
        <v>All of the trials Subjects who were unable to provide a stool sample at follow-up, or who were experiencing a severe concurrent medical condition or had diarrhea at time of the first sampling, were excluded from the study</v>
      </c>
      <c r="K129" s="876" t="str">
        <f>IFERROR(__xludf.DUMMYFUNCTION("""COMPUTED_VALUE"""),"randomized clinical trial")</f>
        <v>randomized clinical trial</v>
      </c>
      <c r="L129" s="876" t="str">
        <f>IFERROR(__xludf.DUMMYFUNCTION("""COMPUTED_VALUE"""),"Yes")</f>
        <v>Yes</v>
      </c>
      <c r="M129" s="876" t="str">
        <f>IFERROR(__xludf.DUMMYFUNCTION("""COMPUTED_VALUE"""),"No")</f>
        <v>No</v>
      </c>
      <c r="N129" s="877">
        <f>IFERROR(__xludf.DUMMYFUNCTION("""COMPUTED_VALUE"""),0.885)</f>
        <v>0.885</v>
      </c>
      <c r="O129" s="876"/>
      <c r="P129" s="876"/>
      <c r="Q129" s="876"/>
      <c r="R129" s="876"/>
      <c r="S129" s="876"/>
      <c r="T129" s="876"/>
      <c r="U129" s="876"/>
      <c r="V129" s="876"/>
      <c r="W129" s="876">
        <f>IFERROR(__xludf.DUMMYFUNCTION("""COMPUTED_VALUE"""),0.975)</f>
        <v>0.975</v>
      </c>
      <c r="X129" s="876"/>
      <c r="Y129" s="876" t="str">
        <f>IFERROR(__xludf.DUMMYFUNCTION("""COMPUTED_VALUE"""),"Between 14 and 30 days: 99.6%, 97.8%")</f>
        <v>Between 14 and 30 days: 99.6%, 97.8%</v>
      </c>
      <c r="Z129" s="876"/>
      <c r="AA129" s="876"/>
      <c r="AB129" s="876"/>
      <c r="AC129" s="876"/>
      <c r="AD129" s="876"/>
      <c r="AE129" s="876" t="str">
        <f>IFERROR(__xludf.DUMMYFUNCTION("""COMPUTED_VALUE"""),"The results confirm the therapeutic efficacy of this treatment against and hookworms...our findings emphasize the need to revise the WHO recommended efficacy threshold for single dose ALB treatments.")</f>
        <v>The results confirm the therapeutic efficacy of this treatment against and hookworms...our findings emphasize the need to revise the WHO recommended efficacy threshold for single dose ALB treatments.</v>
      </c>
      <c r="AF129" s="876" t="str">
        <f>IFERROR(__xludf.DUMMYFUNCTION("""COMPUTED_VALUE"""),"McMaster Method")</f>
        <v>McMaster Method</v>
      </c>
      <c r="AG129" s="876" t="str">
        <f>IFERROR(__xludf.DUMMYFUNCTION("""COMPUTED_VALUE"""),"Vercruysse, Jozef, Jerzy M. Behnke, Marco Albonico, Shaali Makame Ame, Cecile Angelbault, Jeffrey M. Bethony, Dirk Engels, Bertrand Guillard, Nuyen Thi Viet Hoa, Gagandeep Kang, Deepthi Kattula, Andrew C. Kotze, James S. McCarthy, Zeleke Mekonnen, Antonio"&amp;" Montresor, Maria Victoria Periago, Laurentine Sumo, Louis-Albert Tchuem Tchuente, Dang Thi Cam Thach, Ahmed Zeynudin, and Bruno Levecke. ""Assessment of the Anthelmintic Efficacy of Albendazolein School Children in Seven Countries Where Soil-transmitted "&amp;"Helminths Are Endemic."" PLOS Neglected Tropical Diseases. N.p., n.d. Web. March 2011, Volume 5 Issue 3, Pages 1-10")</f>
        <v>Vercruysse, Jozef, Jerzy M. Behnke, Marco Albonico, Shaali Makame Ame, Cecile Angelbault, Jeffrey M. Bethony, Dirk Engels, Bertrand Guillard, Nuyen Thi Viet Hoa, Gagandeep Kang, Deepthi Kattula, Andrew C. Kotze, James S. McCarthy, Zeleke Mekonnen, Antonio Montresor, Maria Victoria Periago, Laurentine Sumo, Louis-Albert Tchuem Tchuente, Dang Thi Cam Thach, Ahmed Zeynudin, and Bruno Levecke. "Assessment of the Anthelmintic Efficacy of Albendazolein School Children in Seven Countries Where Soil-transmitted Helminths Are Endemic." PLOS Neglected Tropical Diseases. N.p., n.d. Web. March 2011, Volume 5 Issue 3, Pages 1-10</v>
      </c>
      <c r="AH129" s="876" t="str">
        <f>IFERROR(__xludf.DUMMYFUNCTION("""COMPUTED_VALUE"""),"x")</f>
        <v>x</v>
      </c>
      <c r="AI129" s="878"/>
      <c r="AJ129" s="888" t="str">
        <f>IFERROR(__xludf.DUMMYFUNCTION("""COMPUTED_VALUE"""),"Efficacy and reinfection with soil-transmitted helminths 18-weeks post-treatment with albendazole-ivermectin, albendazole-mebendazole, albendazole-oxantel pamoate and mebendazole")</f>
        <v>Efficacy and reinfection with soil-transmitted helminths 18-weeks post-treatment with albendazole-ivermectin, albendazole-mebendazole, albendazole-oxantel pamoate and mebendazole</v>
      </c>
      <c r="AK129" s="880" t="str">
        <f>IFERROR(__xludf.DUMMYFUNCTION("""COMPUTED_VALUE"""),"Speich B, Moser W, Ali SM, Ame SM, Albonico M, Hattendorf J, Keiser J. Efficacy and reinfection with soil-transmitted helminths 18-weeks post-treatment with albendazole-ivermectin, albendazole-mebendazole, albendazole-oxantel pamoate and mebendazole. Para"&amp;"sit Vectors. 2016 Mar 2;9:123. doi: 10.1186/s13071-016-1406-8. PMID: 26935065; PMCID: PMC4776366.")</f>
        <v>Speich B, Moser W, Ali SM, Ame SM, Albonico M, Hattendorf J, Keiser J. Efficacy and reinfection with soil-transmitted helminths 18-weeks post-treatment with albendazole-ivermectin, albendazole-mebendazole, albendazole-oxantel pamoate and mebendazole. Parasit Vectors. 2016 Mar 2;9:123. doi: 10.1186/s13071-016-1406-8. PMID: 26935065; PMCID: PMC4776366.</v>
      </c>
      <c r="AL129" s="880" t="str">
        <f>IFERROR(__xludf.DUMMYFUNCTION("""COMPUTED_VALUE"""),"Tanzania")</f>
        <v>Tanzania</v>
      </c>
      <c r="AM129" s="880" t="str">
        <f>IFERROR(__xludf.DUMMYFUNCTION("""COMPUTED_VALUE"""),"Albendazole &amp; Oxantel pamoate")</f>
        <v>Albendazole &amp; Oxantel pamoate</v>
      </c>
      <c r="AN129" s="880" t="str">
        <f>IFERROR(__xludf.DUMMYFUNCTION("""COMPUTED_VALUE"""),"Single")</f>
        <v>Single</v>
      </c>
      <c r="AO129" s="880" t="str">
        <f>IFERROR(__xludf.DUMMYFUNCTION("""COMPUTED_VALUE"""),"400 mg; 20 mg/kg ")</f>
        <v>400 mg; 20 mg/kg </v>
      </c>
      <c r="AP129" s="880">
        <f>IFERROR(__xludf.DUMMYFUNCTION("""COMPUTED_VALUE"""),100.0)</f>
        <v>100</v>
      </c>
      <c r="AQ129" s="880"/>
      <c r="AR129" s="880"/>
      <c r="AS129" s="880">
        <f>IFERROR(__xludf.DUMMYFUNCTION("""COMPUTED_VALUE"""),2013.0)</f>
        <v>2013</v>
      </c>
      <c r="AT129" s="880" t="str">
        <f>IFERROR(__xludf.DUMMYFUNCTION("""COMPUTED_VALUE"""),"School-aged children diagnosed positive for T. trichiura")</f>
        <v>School-aged children diagnosed positive for T. trichiura</v>
      </c>
      <c r="AU129" s="880" t="str">
        <f>IFERROR(__xludf.DUMMYFUNCTION("""COMPUTED_VALUE"""),"Yes")</f>
        <v>Yes</v>
      </c>
      <c r="AV129" s="880" t="str">
        <f>IFERROR(__xludf.DUMMYFUNCTION("""COMPUTED_VALUE"""),"No")</f>
        <v>No</v>
      </c>
      <c r="AW129" s="881" t="str">
        <f>IFERROR(__xludf.DUMMYFUNCTION("""COMPUTED_VALUE"""),"No")</f>
        <v>No</v>
      </c>
      <c r="AX129" s="863">
        <f>IFERROR(__xludf.DUMMYFUNCTION("""COMPUTED_VALUE"""),0.54)</f>
        <v>0.54</v>
      </c>
      <c r="AY129" s="863"/>
      <c r="AZ129" s="863">
        <f>IFERROR(__xludf.DUMMYFUNCTION("""COMPUTED_VALUE"""),0.68)</f>
        <v>0.68</v>
      </c>
      <c r="BA129" s="863"/>
      <c r="BB129" s="863"/>
      <c r="BC129" s="863"/>
      <c r="BD129" s="863"/>
      <c r="BE129" s="863"/>
      <c r="BF129" s="863">
        <f>IFERROR(__xludf.DUMMYFUNCTION("""COMPUTED_VALUE"""),0.54)</f>
        <v>0.54</v>
      </c>
      <c r="BG129" s="863"/>
      <c r="BH129" s="863">
        <f>IFERROR(__xludf.DUMMYFUNCTION("""COMPUTED_VALUE"""),0.661)</f>
        <v>0.661</v>
      </c>
      <c r="BI129" s="863"/>
      <c r="BJ129" s="863"/>
      <c r="BK129" s="863"/>
      <c r="BL129" s="863"/>
      <c r="BM129" s="863"/>
      <c r="BN129" s="863" t="str">
        <f>IFERROR(__xludf.DUMMYFUNCTION("""COMPUTED_VALUE"""),"18 weeks after treatment albendazole-oxantel pamoate showed a significantly higher efficacy against T. trichiura. Children treated with albendazole-oxantel pamoate or albendazole-ivermectin had fewer moderate infections compared to children treated with a"&amp;"lbendazole.")</f>
        <v>18 weeks after treatment albendazole-oxantel pamoate showed a significantly higher efficacy against T. trichiura. Children treated with albendazole-oxantel pamoate or albendazole-ivermectin had fewer moderate infections compared to children treated with albendazole.</v>
      </c>
      <c r="BO129" s="863" t="str">
        <f>IFERROR(__xludf.DUMMYFUNCTION("""COMPUTED_VALUE"""),"Kato-Katz technique")</f>
        <v>Kato-Katz technique</v>
      </c>
      <c r="BP129" s="880"/>
      <c r="BQ129" s="863"/>
      <c r="BR129" s="889" t="str">
        <f>IFERROR(__xludf.DUMMYFUNCTION("""COMPUTED_VALUE"""),"Bwibo &amp; Pamba")</f>
        <v>Bwibo &amp; Pamba</v>
      </c>
      <c r="BS129" s="883" t="str">
        <f>IFERROR(__xludf.DUMMYFUNCTION("""COMPUTED_VALUE"""),"Kenya")</f>
        <v>Kenya</v>
      </c>
      <c r="BT129" s="883" t="str">
        <f>IFERROR(__xludf.DUMMYFUNCTION("""COMPUTED_VALUE"""),"Placebo")</f>
        <v>Placebo</v>
      </c>
      <c r="BU129" s="883"/>
      <c r="BV129" s="883"/>
      <c r="BW129" s="883"/>
      <c r="BX129" s="883">
        <f>IFERROR(__xludf.DUMMYFUNCTION("""COMPUTED_VALUE"""),4.0)</f>
        <v>4</v>
      </c>
      <c r="BY129" s="883" t="str">
        <f>IFERROR(__xludf.DUMMYFUNCTION("""COMPUTED_VALUE"""),"12+")</f>
        <v>12+</v>
      </c>
      <c r="BZ129" s="883"/>
      <c r="CA129" s="883"/>
      <c r="CB129" s="883"/>
      <c r="CC129" s="883" t="str">
        <f>IFERROR(__xludf.DUMMYFUNCTION("""COMPUTED_VALUE"""),"Yes")</f>
        <v>Yes</v>
      </c>
      <c r="CD129" s="884">
        <f>IFERROR(__xludf.DUMMYFUNCTION("""COMPUTED_VALUE"""),0.0)</f>
        <v>0</v>
      </c>
      <c r="CE129" s="883" t="str">
        <f>IFERROR(__xludf.DUMMYFUNCTION("""COMPUTED_VALUE"""),"Yes")</f>
        <v>Yes</v>
      </c>
      <c r="CF129" s="883" t="str">
        <f>IFERROR(__xludf.DUMMYFUNCTION("""COMPUTED_VALUE"""),"(Day 7) 0%")</f>
        <v>(Day 7) 0%</v>
      </c>
      <c r="CG129" s="883"/>
      <c r="CH129" s="883"/>
      <c r="CI129" s="883"/>
      <c r="CJ129" s="883"/>
      <c r="CK129" s="883"/>
      <c r="CL129" s="883"/>
      <c r="CM129" s="891">
        <f>IFERROR(__xludf.DUMMYFUNCTION("""COMPUTED_VALUE"""),0.19)</f>
        <v>0.19</v>
      </c>
      <c r="CN129" s="883"/>
      <c r="CO129" s="883"/>
      <c r="CP129" s="883"/>
      <c r="CQ129" s="883"/>
      <c r="CR129" s="883"/>
      <c r="CS129" s="883"/>
      <c r="CT129" s="883"/>
      <c r="CU129" s="883"/>
      <c r="CV129" s="863"/>
      <c r="CW129" s="863"/>
      <c r="CX129" s="863"/>
      <c r="CY129" s="863"/>
      <c r="CZ129" s="863"/>
      <c r="DA129" s="863"/>
      <c r="DB129" s="863"/>
      <c r="DC129" s="863"/>
      <c r="DD129" s="863"/>
      <c r="DE129" s="863"/>
    </row>
    <row r="130">
      <c r="A130" s="887" t="str">
        <f>IFERROR(__xludf.DUMMYFUNCTION("""COMPUTED_VALUE"""),"Vercruysse et al.")</f>
        <v>Vercruysse et al.</v>
      </c>
      <c r="B130" s="876" t="str">
        <f>IFERROR(__xludf.DUMMYFUNCTION("""COMPUTED_VALUE"""),"Cambodia")</f>
        <v>Cambodia</v>
      </c>
      <c r="C130" s="876" t="str">
        <f>IFERROR(__xludf.DUMMYFUNCTION("""COMPUTED_VALUE"""),"Albendazole")</f>
        <v>Albendazole</v>
      </c>
      <c r="D130" s="876" t="str">
        <f>IFERROR(__xludf.DUMMYFUNCTION("""COMPUTED_VALUE"""),"Single")</f>
        <v>Single</v>
      </c>
      <c r="E130" s="876" t="str">
        <f>IFERROR(__xludf.DUMMYFUNCTION("""COMPUTED_VALUE"""),"400 mg")</f>
        <v>400 mg</v>
      </c>
      <c r="F130" s="876">
        <f>IFERROR(__xludf.DUMMYFUNCTION("""COMPUTED_VALUE"""),127.0)</f>
        <v>127</v>
      </c>
      <c r="G130" s="876">
        <f>IFERROR(__xludf.DUMMYFUNCTION("""COMPUTED_VALUE"""),42478.0)</f>
        <v>42478</v>
      </c>
      <c r="H130" s="876"/>
      <c r="I130" s="876">
        <f>IFERROR(__xludf.DUMMYFUNCTION("""COMPUTED_VALUE"""),2009.0)</f>
        <v>2009</v>
      </c>
      <c r="J130" s="876"/>
      <c r="K130" s="876" t="str">
        <f>IFERROR(__xludf.DUMMYFUNCTION("""COMPUTED_VALUE"""),"randomized clinical trial")</f>
        <v>randomized clinical trial</v>
      </c>
      <c r="L130" s="876" t="str">
        <f>IFERROR(__xludf.DUMMYFUNCTION("""COMPUTED_VALUE"""),"Yes")</f>
        <v>Yes</v>
      </c>
      <c r="M130" s="876" t="str">
        <f>IFERROR(__xludf.DUMMYFUNCTION("""COMPUTED_VALUE"""),"No")</f>
        <v>No</v>
      </c>
      <c r="N130" s="877">
        <f>IFERROR(__xludf.DUMMYFUNCTION("""COMPUTED_VALUE"""),0.874)</f>
        <v>0.874</v>
      </c>
      <c r="O130" s="876"/>
      <c r="P130" s="876"/>
      <c r="Q130" s="876"/>
      <c r="R130" s="876"/>
      <c r="S130" s="876"/>
      <c r="T130" s="876"/>
      <c r="U130" s="876"/>
      <c r="V130" s="876"/>
      <c r="W130" s="876">
        <f>IFERROR(__xludf.DUMMYFUNCTION("""COMPUTED_VALUE"""),0.976)</f>
        <v>0.976</v>
      </c>
      <c r="X130" s="876"/>
      <c r="Y130" s="876" t="str">
        <f>IFERROR(__xludf.DUMMYFUNCTION("""COMPUTED_VALUE"""),"Between 14 and 30 days: 99.5%, 96.6% ")</f>
        <v>Between 14 and 30 days: 99.5%, 96.6% </v>
      </c>
      <c r="Z130" s="876"/>
      <c r="AA130" s="876"/>
      <c r="AB130" s="876"/>
      <c r="AC130" s="876"/>
      <c r="AD130" s="876"/>
      <c r="AE130" s="876" t="str">
        <f>IFERROR(__xludf.DUMMYFUNCTION("""COMPUTED_VALUE"""),"The results confirm the therapeutic efficacy of this treatment against and hookworms...our findings emphasize the need to revise the WHO recommended efficacy threshold for single dose ALB treatments.")</f>
        <v>The results confirm the therapeutic efficacy of this treatment against and hookworms...our findings emphasize the need to revise the WHO recommended efficacy threshold for single dose ALB treatments.</v>
      </c>
      <c r="AF130" s="876" t="str">
        <f>IFERROR(__xludf.DUMMYFUNCTION("""COMPUTED_VALUE"""),"McMaster Method")</f>
        <v>McMaster Method</v>
      </c>
      <c r="AG130" s="876" t="str">
        <f>IFERROR(__xludf.DUMMYFUNCTION("""COMPUTED_VALUE"""),"Vercruysse, Jozef, Jerzy M. Behnke, Marco Albonico, Shaali Makame Ame, Cecile Angelbault, Jeffrey M. Bethony, Dirk Engels, Bertrand Guillard, Nuyen Thi Viet Hoa, Gagandeep Kang, Deepthi Kattula, Andrew C. Kotze, James S. McCarthy, Zeleke Mekonnen, Antonio"&amp;" Montresor, Maria Victoria Periago, Laurentine Sumo, Louis-Albert Tchuem Tchuente, Dang Thi Cam Thach, Ahmed Zeynudin, and Bruno Levecke. ""Assessment of the Anthelmintic Efficacy of Albendazolein School Children in Seven Countries Where Soil-transmitted "&amp;"Helminths Are Endemic."" PLOS Neglected Tropical Diseases. N.p., n.d. Web. March 2011, Volume 5 Issue 3, Pages 1-11")</f>
        <v>Vercruysse, Jozef, Jerzy M. Behnke, Marco Albonico, Shaali Makame Ame, Cecile Angelbault, Jeffrey M. Bethony, Dirk Engels, Bertrand Guillard, Nuyen Thi Viet Hoa, Gagandeep Kang, Deepthi Kattula, Andrew C. Kotze, James S. McCarthy, Zeleke Mekonnen, Antonio Montresor, Maria Victoria Periago, Laurentine Sumo, Louis-Albert Tchuem Tchuente, Dang Thi Cam Thach, Ahmed Zeynudin, and Bruno Levecke. "Assessment of the Anthelmintic Efficacy of Albendazolein School Children in Seven Countries Where Soil-transmitted Helminths Are Endemic." PLOS Neglected Tropical Diseases. N.p., n.d. Web. March 2011, Volume 5 Issue 3, Pages 1-11</v>
      </c>
      <c r="AH130" s="876" t="str">
        <f>IFERROR(__xludf.DUMMYFUNCTION("""COMPUTED_VALUE"""),"x")</f>
        <v>x</v>
      </c>
      <c r="AI130" s="878"/>
      <c r="AJ130" s="888" t="str">
        <f>IFERROR(__xludf.DUMMYFUNCTION("""COMPUTED_VALUE"""),"Efficacy and reinfection with soil-transmitted helminths 18-weeks post-treatment with albendazole-ivermectin, albendazole-mebendazole, albendazole-oxantel pamoate and mebendazole")</f>
        <v>Efficacy and reinfection with soil-transmitted helminths 18-weeks post-treatment with albendazole-ivermectin, albendazole-mebendazole, albendazole-oxantel pamoate and mebendazole</v>
      </c>
      <c r="AK130" s="880" t="str">
        <f>IFERROR(__xludf.DUMMYFUNCTION("""COMPUTED_VALUE"""),"Speich B, Moser W, Ali SM, Ame SM, Albonico M, Hattendorf J, Keiser J. Efficacy and reinfection with soil-transmitted helminths 18-weeks post-treatment with albendazole-ivermectin, albendazole-mebendazole, albendazole-oxantel pamoate and mebendazole. Para"&amp;"sit Vectors. 2016 Mar 2;9:123. doi: 10.1186/s13071-016-1406-8. PMID: 26935065; PMCID: PMC4776366.")</f>
        <v>Speich B, Moser W, Ali SM, Ame SM, Albonico M, Hattendorf J, Keiser J. Efficacy and reinfection with soil-transmitted helminths 18-weeks post-treatment with albendazole-ivermectin, albendazole-mebendazole, albendazole-oxantel pamoate and mebendazole. Parasit Vectors. 2016 Mar 2;9:123. doi: 10.1186/s13071-016-1406-8. PMID: 26935065; PMCID: PMC4776366.</v>
      </c>
      <c r="AL130" s="880" t="str">
        <f>IFERROR(__xludf.DUMMYFUNCTION("""COMPUTED_VALUE"""),"Tanzania")</f>
        <v>Tanzania</v>
      </c>
      <c r="AM130" s="880" t="str">
        <f>IFERROR(__xludf.DUMMYFUNCTION("""COMPUTED_VALUE"""),"Mebendazole")</f>
        <v>Mebendazole</v>
      </c>
      <c r="AN130" s="880" t="str">
        <f>IFERROR(__xludf.DUMMYFUNCTION("""COMPUTED_VALUE"""),"Single")</f>
        <v>Single</v>
      </c>
      <c r="AO130" s="880" t="str">
        <f>IFERROR(__xludf.DUMMYFUNCTION("""COMPUTED_VALUE"""),"500 mg")</f>
        <v>500 mg</v>
      </c>
      <c r="AP130" s="880">
        <f>IFERROR(__xludf.DUMMYFUNCTION("""COMPUTED_VALUE"""),104.0)</f>
        <v>104</v>
      </c>
      <c r="AQ130" s="880"/>
      <c r="AR130" s="880"/>
      <c r="AS130" s="880">
        <f>IFERROR(__xludf.DUMMYFUNCTION("""COMPUTED_VALUE"""),2013.0)</f>
        <v>2013</v>
      </c>
      <c r="AT130" s="880" t="str">
        <f>IFERROR(__xludf.DUMMYFUNCTION("""COMPUTED_VALUE"""),"School-aged children diagnosed positive for T. trichiura")</f>
        <v>School-aged children diagnosed positive for T. trichiura</v>
      </c>
      <c r="AU130" s="880" t="str">
        <f>IFERROR(__xludf.DUMMYFUNCTION("""COMPUTED_VALUE"""),"Yes")</f>
        <v>Yes</v>
      </c>
      <c r="AV130" s="880" t="str">
        <f>IFERROR(__xludf.DUMMYFUNCTION("""COMPUTED_VALUE"""),"No")</f>
        <v>No</v>
      </c>
      <c r="AW130" s="881" t="str">
        <f>IFERROR(__xludf.DUMMYFUNCTION("""COMPUTED_VALUE"""),"No")</f>
        <v>No</v>
      </c>
      <c r="AX130" s="863">
        <f>IFERROR(__xludf.DUMMYFUNCTION("""COMPUTED_VALUE"""),0.106)</f>
        <v>0.106</v>
      </c>
      <c r="AY130" s="863"/>
      <c r="AZ130" s="863">
        <f>IFERROR(__xludf.DUMMYFUNCTION("""COMPUTED_VALUE"""),0.077)</f>
        <v>0.077</v>
      </c>
      <c r="BA130" s="863"/>
      <c r="BB130" s="863"/>
      <c r="BC130" s="863"/>
      <c r="BD130" s="863"/>
      <c r="BE130" s="863"/>
      <c r="BF130" s="863">
        <f>IFERROR(__xludf.DUMMYFUNCTION("""COMPUTED_VALUE"""),0.106)</f>
        <v>0.106</v>
      </c>
      <c r="BG130" s="863"/>
      <c r="BH130" s="863">
        <f>IFERROR(__xludf.DUMMYFUNCTION("""COMPUTED_VALUE"""),0.985)</f>
        <v>0.985</v>
      </c>
      <c r="BI130" s="863"/>
      <c r="BJ130" s="863"/>
      <c r="BK130" s="863"/>
      <c r="BL130" s="863"/>
      <c r="BM130" s="863"/>
      <c r="BN130" s="863" t="str">
        <f>IFERROR(__xludf.DUMMYFUNCTION("""COMPUTED_VALUE"""),"18 weeks after treatment albendazole-oxantel pamoate showed a significantly higher efficacy against T. trichiura. Children treated with albendazole-oxantel pamoate or albendazole-ivermectin had fewer moderate infections compared to children treated with a"&amp;"lbendazole.")</f>
        <v>18 weeks after treatment albendazole-oxantel pamoate showed a significantly higher efficacy against T. trichiura. Children treated with albendazole-oxantel pamoate or albendazole-ivermectin had fewer moderate infections compared to children treated with albendazole.</v>
      </c>
      <c r="BO130" s="863" t="str">
        <f>IFERROR(__xludf.DUMMYFUNCTION("""COMPUTED_VALUE"""),"Kato-Katz technique")</f>
        <v>Kato-Katz technique</v>
      </c>
      <c r="BP130" s="880"/>
      <c r="BQ130" s="863"/>
      <c r="BR130" s="889" t="str">
        <f>IFERROR(__xludf.DUMMYFUNCTION("""COMPUTED_VALUE"""),"Mekonnen et al.")</f>
        <v>Mekonnen et al.</v>
      </c>
      <c r="BS130" s="883" t="str">
        <f>IFERROR(__xludf.DUMMYFUNCTION("""COMPUTED_VALUE"""),"Ethiopia")</f>
        <v>Ethiopia</v>
      </c>
      <c r="BT130" s="883" t="str">
        <f>IFERROR(__xludf.DUMMYFUNCTION("""COMPUTED_VALUE"""),"Mebendazole")</f>
        <v>Mebendazole</v>
      </c>
      <c r="BU130" s="883"/>
      <c r="BV130" s="883" t="str">
        <f>IFERROR(__xludf.DUMMYFUNCTION("""COMPUTED_VALUE"""),"Single")</f>
        <v>Single</v>
      </c>
      <c r="BW130" s="883" t="str">
        <f>IFERROR(__xludf.DUMMYFUNCTION("""COMPUTED_VALUE"""),"500 mg")</f>
        <v>500 mg</v>
      </c>
      <c r="BX130" s="883">
        <f>IFERROR(__xludf.DUMMYFUNCTION("""COMPUTED_VALUE"""),201.0)</f>
        <v>201</v>
      </c>
      <c r="BY130" s="890">
        <f>IFERROR(__xludf.DUMMYFUNCTION("""COMPUTED_VALUE"""),42508.0)</f>
        <v>42508</v>
      </c>
      <c r="BZ130" s="883">
        <f>IFERROR(__xludf.DUMMYFUNCTION("""COMPUTED_VALUE"""),2011.0)</f>
        <v>2011</v>
      </c>
      <c r="CA130" s="883"/>
      <c r="CB130" s="883"/>
      <c r="CC130" s="883" t="str">
        <f>IFERROR(__xludf.DUMMYFUNCTION("""COMPUTED_VALUE"""),"No")</f>
        <v>No</v>
      </c>
      <c r="CD130" s="884">
        <f>IFERROR(__xludf.DUMMYFUNCTION("""COMPUTED_VALUE"""),0.972)</f>
        <v>0.972</v>
      </c>
      <c r="CE130" s="883" t="str">
        <f>IFERROR(__xludf.DUMMYFUNCTION("""COMPUTED_VALUE"""),"No")</f>
        <v>No</v>
      </c>
      <c r="CF130" s="883"/>
      <c r="CG130" s="883"/>
      <c r="CH130" s="883"/>
      <c r="CI130" s="883"/>
      <c r="CJ130" s="883"/>
      <c r="CK130" s="883"/>
      <c r="CL130" s="883"/>
      <c r="CM130" s="883"/>
      <c r="CN130" s="883"/>
      <c r="CO130" s="883"/>
      <c r="CP130" s="883"/>
      <c r="CQ130" s="883"/>
      <c r="CR130" s="883"/>
      <c r="CS130" s="883"/>
      <c r="CT130" s="883" t="str">
        <f>IFERROR(__xludf.DUMMYFUNCTION("""COMPUTED_VALUE"""),"McMaster Method")</f>
        <v>McMaster Method</v>
      </c>
      <c r="CU130" s="883"/>
      <c r="CV130" s="863"/>
      <c r="CW130" s="863"/>
      <c r="CX130" s="863"/>
      <c r="CY130" s="863"/>
      <c r="CZ130" s="863"/>
      <c r="DA130" s="863"/>
      <c r="DB130" s="863"/>
      <c r="DC130" s="863"/>
      <c r="DD130" s="863"/>
      <c r="DE130" s="863"/>
    </row>
    <row r="131">
      <c r="A131" s="887" t="str">
        <f>IFERROR(__xludf.DUMMYFUNCTION("""COMPUTED_VALUE"""),"Vercruysse et al.")</f>
        <v>Vercruysse et al.</v>
      </c>
      <c r="B131" s="876" t="str">
        <f>IFERROR(__xludf.DUMMYFUNCTION("""COMPUTED_VALUE"""),"Cameroon")</f>
        <v>Cameroon</v>
      </c>
      <c r="C131" s="876" t="str">
        <f>IFERROR(__xludf.DUMMYFUNCTION("""COMPUTED_VALUE"""),"Albendazole")</f>
        <v>Albendazole</v>
      </c>
      <c r="D131" s="876" t="str">
        <f>IFERROR(__xludf.DUMMYFUNCTION("""COMPUTED_VALUE"""),"Single")</f>
        <v>Single</v>
      </c>
      <c r="E131" s="876" t="str">
        <f>IFERROR(__xludf.DUMMYFUNCTION("""COMPUTED_VALUE"""),"400 mg")</f>
        <v>400 mg</v>
      </c>
      <c r="F131" s="876">
        <f>IFERROR(__xludf.DUMMYFUNCTION("""COMPUTED_VALUE"""),140.0)</f>
        <v>140</v>
      </c>
      <c r="G131" s="876">
        <f>IFERROR(__xludf.DUMMYFUNCTION("""COMPUTED_VALUE"""),42478.0)</f>
        <v>42478</v>
      </c>
      <c r="H131" s="876"/>
      <c r="I131" s="876">
        <f>IFERROR(__xludf.DUMMYFUNCTION("""COMPUTED_VALUE"""),2009.0)</f>
        <v>2009</v>
      </c>
      <c r="J131" s="876"/>
      <c r="K131" s="876" t="str">
        <f>IFERROR(__xludf.DUMMYFUNCTION("""COMPUTED_VALUE"""),"randomized clinical trial")</f>
        <v>randomized clinical trial</v>
      </c>
      <c r="L131" s="876" t="str">
        <f>IFERROR(__xludf.DUMMYFUNCTION("""COMPUTED_VALUE"""),"Yes")</f>
        <v>Yes</v>
      </c>
      <c r="M131" s="876" t="str">
        <f>IFERROR(__xludf.DUMMYFUNCTION("""COMPUTED_VALUE"""),"No")</f>
        <v>No</v>
      </c>
      <c r="N131" s="877">
        <f>IFERROR(__xludf.DUMMYFUNCTION("""COMPUTED_VALUE"""),0.871)</f>
        <v>0.871</v>
      </c>
      <c r="O131" s="876"/>
      <c r="P131" s="876"/>
      <c r="Q131" s="876"/>
      <c r="R131" s="876"/>
      <c r="S131" s="876"/>
      <c r="T131" s="876"/>
      <c r="U131" s="876"/>
      <c r="V131" s="876"/>
      <c r="W131" s="876">
        <f>IFERROR(__xludf.DUMMYFUNCTION("""COMPUTED_VALUE"""),0.93)</f>
        <v>0.93</v>
      </c>
      <c r="X131" s="876"/>
      <c r="Y131" s="876" t="str">
        <f>IFERROR(__xludf.DUMMYFUNCTION("""COMPUTED_VALUE"""),"Between 14 and 30 days: 99.2%, 91.9%")</f>
        <v>Between 14 and 30 days: 99.2%, 91.9%</v>
      </c>
      <c r="Z131" s="876"/>
      <c r="AA131" s="876"/>
      <c r="AB131" s="876"/>
      <c r="AC131" s="876"/>
      <c r="AD131" s="876"/>
      <c r="AE131" s="876" t="str">
        <f>IFERROR(__xludf.DUMMYFUNCTION("""COMPUTED_VALUE"""),"The results confirm the therapeutic efficacy of this treatment against and hookworms...our findings emphasize the need to revise the WHO recommended efficacy threshold for single dose ALB treatments.")</f>
        <v>The results confirm the therapeutic efficacy of this treatment against and hookworms...our findings emphasize the need to revise the WHO recommended efficacy threshold for single dose ALB treatments.</v>
      </c>
      <c r="AF131" s="876" t="str">
        <f>IFERROR(__xludf.DUMMYFUNCTION("""COMPUTED_VALUE"""),"McMaster Method")</f>
        <v>McMaster Method</v>
      </c>
      <c r="AG131" s="876" t="str">
        <f>IFERROR(__xludf.DUMMYFUNCTION("""COMPUTED_VALUE"""),"Vercruysse, Jozef, Jerzy M. Behnke, Marco Albonico, Shaali Makame Ame, Cecile Angelbault, Jeffrey M. Bethony, Dirk Engels, Bertrand Guillard, Nuyen Thi Viet Hoa, Gagandeep Kang, Deepthi Kattula, Andrew C. Kotze, James S. McCarthy, Zeleke Mekonnen, Antonio"&amp;" Montresor, Maria Victoria Periago, Laurentine Sumo, Louis-Albert Tchuem Tchuente, Dang Thi Cam Thach, Ahmed Zeynudin, and Bruno Levecke. ""Assessment of the Anthelmintic Efficacy of Albendazolein School Children in Seven Countries Where Soil-transmitted "&amp;"Helminths Are Endemic."" PLOS Neglected Tropical Diseases. N.p., n.d. Web. March 2011, Volume 5 Issue 3, Pages 1-12")</f>
        <v>Vercruysse, Jozef, Jerzy M. Behnke, Marco Albonico, Shaali Makame Ame, Cecile Angelbault, Jeffrey M. Bethony, Dirk Engels, Bertrand Guillard, Nuyen Thi Viet Hoa, Gagandeep Kang, Deepthi Kattula, Andrew C. Kotze, James S. McCarthy, Zeleke Mekonnen, Antonio Montresor, Maria Victoria Periago, Laurentine Sumo, Louis-Albert Tchuem Tchuente, Dang Thi Cam Thach, Ahmed Zeynudin, and Bruno Levecke. "Assessment of the Anthelmintic Efficacy of Albendazolein School Children in Seven Countries Where Soil-transmitted Helminths Are Endemic." PLOS Neglected Tropical Diseases. N.p., n.d. Web. March 2011, Volume 5 Issue 3, Pages 1-12</v>
      </c>
      <c r="AH131" s="876" t="str">
        <f>IFERROR(__xludf.DUMMYFUNCTION("""COMPUTED_VALUE"""),"x")</f>
        <v>x</v>
      </c>
      <c r="AI131" s="878"/>
      <c r="AJ131" s="888" t="str">
        <f>IFERROR(__xludf.DUMMYFUNCTION("""COMPUTED_VALUE"""),"Efficacy and tolerability of moxidectin alone and in co-administration with albendazole and tribendimidine versus albendazole plus oxantel pamoate against Trichuris trichiura infections: a randomised, non-inferiority, single-blind trial")</f>
        <v>Efficacy and tolerability of moxidectin alone and in co-administration with albendazole and tribendimidine versus albendazole plus oxantel pamoate against Trichuris trichiura infections: a randomised, non-inferiority, single-blind trial</v>
      </c>
      <c r="AK131" s="880" t="str">
        <f>IFERROR(__xludf.DUMMYFUNCTION("""COMPUTED_VALUE"""),"Barda B, Ame SM, Ali SM, Albonico M, Puchkov M, Huwyler J, Hattendorf J, Keiser J. Efficacy and tolerability of moxidectin alone and in co-administration with albendazole and tribendimidine versus albendazole plus oxantel pamoate against Trichuris trichiu"&amp;"ra infections: a randomised, non-inferiority, single-blind trial. Lancet Infect Dis. 2018 Aug;18(8):864-873. doi: 10.1016/S1473-3099(18)30233-0. Epub 2018 May 29. PMID: 29858149.")</f>
        <v>Barda B, Ame SM, Ali SM, Albonico M, Puchkov M, Huwyler J, Hattendorf J, Keiser J. Efficacy and tolerability of moxidectin alone and in co-administration with albendazole and tribendimidine versus albendazole plus oxantel pamoate against Trichuris trichiura infections: a randomised, non-inferiority, single-blind trial. Lancet Infect Dis. 2018 Aug;18(8):864-873. doi: 10.1016/S1473-3099(18)30233-0. Epub 2018 May 29. PMID: 29858149.</v>
      </c>
      <c r="AL131" s="880" t="str">
        <f>IFERROR(__xludf.DUMMYFUNCTION("""COMPUTED_VALUE"""),"Tanzania")</f>
        <v>Tanzania</v>
      </c>
      <c r="AM131" s="880" t="str">
        <f>IFERROR(__xludf.DUMMYFUNCTION("""COMPUTED_VALUE"""),"Moxidectin &amp; Albendazole")</f>
        <v>Moxidectin &amp; Albendazole</v>
      </c>
      <c r="AN131" s="880" t="str">
        <f>IFERROR(__xludf.DUMMYFUNCTION("""COMPUTED_VALUE"""),"Single")</f>
        <v>Single</v>
      </c>
      <c r="AO131" s="880" t="str">
        <f>IFERROR(__xludf.DUMMYFUNCTION("""COMPUTED_VALUE"""),"8 mg; 400 mg")</f>
        <v>8 mg; 400 mg</v>
      </c>
      <c r="AP131" s="880">
        <f>IFERROR(__xludf.DUMMYFUNCTION("""COMPUTED_VALUE"""),197.0)</f>
        <v>197</v>
      </c>
      <c r="AQ131" s="880">
        <f>IFERROR(__xludf.DUMMYFUNCTION("""COMPUTED_VALUE"""),14.0)</f>
        <v>14</v>
      </c>
      <c r="AR131" s="880" t="str">
        <f>IFERROR(__xludf.DUMMYFUNCTION("""COMPUTED_VALUE"""),"88M:130F")</f>
        <v>88M:130F</v>
      </c>
      <c r="AS131" s="880">
        <f>IFERROR(__xludf.DUMMYFUNCTION("""COMPUTED_VALUE"""),2017.0)</f>
        <v>2017</v>
      </c>
      <c r="AT131" s="880" t="str">
        <f>IFERROR(__xludf.DUMMYFUNCTION("""COMPUTED_VALUE"""),"Adolescents aged 12–18 years who tested positive for T trichiura")</f>
        <v>Adolescents aged 12–18 years who tested positive for T trichiura</v>
      </c>
      <c r="AU131" s="880" t="str">
        <f>IFERROR(__xludf.DUMMYFUNCTION("""COMPUTED_VALUE"""),"Yes")</f>
        <v>Yes</v>
      </c>
      <c r="AV131" s="880" t="str">
        <f>IFERROR(__xludf.DUMMYFUNCTION("""COMPUTED_VALUE"""),"Yes")</f>
        <v>Yes</v>
      </c>
      <c r="AW131" s="881" t="str">
        <f>IFERROR(__xludf.DUMMYFUNCTION("""COMPUTED_VALUE"""),"Single-blind")</f>
        <v>Single-blind</v>
      </c>
      <c r="AX131" s="863">
        <f>IFERROR(__xludf.DUMMYFUNCTION("""COMPUTED_VALUE"""),0.508)</f>
        <v>0.508</v>
      </c>
      <c r="AY131" s="863"/>
      <c r="AZ131" s="863"/>
      <c r="BA131" s="863"/>
      <c r="BB131" s="863"/>
      <c r="BC131" s="863"/>
      <c r="BD131" s="863"/>
      <c r="BE131" s="863"/>
      <c r="BF131" s="863"/>
      <c r="BG131" s="863"/>
      <c r="BH131" s="863">
        <f>IFERROR(__xludf.DUMMYFUNCTION("""COMPUTED_VALUE"""),0.998)</f>
        <v>0.998</v>
      </c>
      <c r="BI131" s="863"/>
      <c r="BJ131" s="863"/>
      <c r="BK131" s="863"/>
      <c r="BL131" s="863"/>
      <c r="BM131" s="863"/>
      <c r="BN131" s="863" t="str">
        <f>IFERROR(__xludf.DUMMYFUNCTION("""COMPUTED_VALUE"""),"Moxidectin plus albendazole showed non-inferiority to albendazole plus oxantel pamoate in terms of ERR; however, albendazole plus oxantel pamoate showed a considerably higher cure rate.")</f>
        <v>Moxidectin plus albendazole showed non-inferiority to albendazole plus oxantel pamoate in terms of ERR; however, albendazole plus oxantel pamoate showed a considerably higher cure rate.</v>
      </c>
      <c r="BO131" s="863" t="str">
        <f>IFERROR(__xludf.DUMMYFUNCTION("""COMPUTED_VALUE"""),"Kato-Katz technique")</f>
        <v>Kato-Katz technique</v>
      </c>
      <c r="BP131" s="880"/>
      <c r="BQ131" s="863"/>
      <c r="BR131" s="889" t="str">
        <f>IFERROR(__xludf.DUMMYFUNCTION("""COMPUTED_VALUE"""),"Kale")</f>
        <v>Kale</v>
      </c>
      <c r="BS131" s="883" t="str">
        <f>IFERROR(__xludf.DUMMYFUNCTION("""COMPUTED_VALUE"""),"Nigeria")</f>
        <v>Nigeria</v>
      </c>
      <c r="BT131" s="883" t="str">
        <f>IFERROR(__xludf.DUMMYFUNCTION("""COMPUTED_VALUE"""),"Pyrantel Pamoate")</f>
        <v>Pyrantel Pamoate</v>
      </c>
      <c r="BU131" s="883"/>
      <c r="BV131" s="883" t="str">
        <f>IFERROR(__xludf.DUMMYFUNCTION("""COMPUTED_VALUE"""),"Single")</f>
        <v>Single</v>
      </c>
      <c r="BW131" s="883" t="str">
        <f>IFERROR(__xludf.DUMMYFUNCTION("""COMPUTED_VALUE"""),"10 mg")</f>
        <v>10 mg</v>
      </c>
      <c r="BX131" s="883">
        <f>IFERROR(__xludf.DUMMYFUNCTION("""COMPUTED_VALUE"""),40.0)</f>
        <v>40</v>
      </c>
      <c r="BY131" s="890">
        <f>IFERROR(__xludf.DUMMYFUNCTION("""COMPUTED_VALUE"""),42538.0)</f>
        <v>42538</v>
      </c>
      <c r="BZ131" s="883"/>
      <c r="CA131" s="883"/>
      <c r="CB131" s="883"/>
      <c r="CC131" s="883" t="str">
        <f>IFERROR(__xludf.DUMMYFUNCTION("""COMPUTED_VALUE"""),"Yes")</f>
        <v>Yes</v>
      </c>
      <c r="CD131" s="884">
        <f>IFERROR(__xludf.DUMMYFUNCTION("""COMPUTED_VALUE"""),0.828)</f>
        <v>0.828</v>
      </c>
      <c r="CE131" s="883" t="str">
        <f>IFERROR(__xludf.DUMMYFUNCTION("""COMPUTED_VALUE"""),"Yes")</f>
        <v>Yes</v>
      </c>
      <c r="CF131" s="883" t="str">
        <f>IFERROR(__xludf.DUMMYFUNCTION("""COMPUTED_VALUE"""),"(Day 15) 82.8%")</f>
        <v>(Day 15) 82.8%</v>
      </c>
      <c r="CG131" s="883"/>
      <c r="CH131" s="883"/>
      <c r="CI131" s="884">
        <f>IFERROR(__xludf.DUMMYFUNCTION("""COMPUTED_VALUE"""),0.938)</f>
        <v>0.938</v>
      </c>
      <c r="CJ131" s="883"/>
      <c r="CK131" s="883"/>
      <c r="CL131" s="883"/>
      <c r="CM131" s="883"/>
      <c r="CN131" s="883"/>
      <c r="CO131" s="883"/>
      <c r="CP131" s="883"/>
      <c r="CQ131" s="883"/>
      <c r="CR131" s="883"/>
      <c r="CS131" s="883"/>
      <c r="CT131" s="883"/>
      <c r="CU131" s="883"/>
      <c r="CV131" s="863"/>
      <c r="CW131" s="863"/>
      <c r="CX131" s="863"/>
      <c r="CY131" s="863"/>
      <c r="CZ131" s="863"/>
      <c r="DA131" s="863"/>
      <c r="DB131" s="863"/>
      <c r="DC131" s="863"/>
      <c r="DD131" s="863"/>
      <c r="DE131" s="863"/>
    </row>
    <row r="132">
      <c r="A132" s="887" t="str">
        <f>IFERROR(__xludf.DUMMYFUNCTION("""COMPUTED_VALUE"""),"Vercruysse et al.")</f>
        <v>Vercruysse et al.</v>
      </c>
      <c r="B132" s="876" t="str">
        <f>IFERROR(__xludf.DUMMYFUNCTION("""COMPUTED_VALUE"""),"Ethiopia")</f>
        <v>Ethiopia</v>
      </c>
      <c r="C132" s="876" t="str">
        <f>IFERROR(__xludf.DUMMYFUNCTION("""COMPUTED_VALUE"""),"Albendazole")</f>
        <v>Albendazole</v>
      </c>
      <c r="D132" s="876" t="str">
        <f>IFERROR(__xludf.DUMMYFUNCTION("""COMPUTED_VALUE"""),"Single")</f>
        <v>Single</v>
      </c>
      <c r="E132" s="876" t="str">
        <f>IFERROR(__xludf.DUMMYFUNCTION("""COMPUTED_VALUE"""),"400 mg")</f>
        <v>400 mg</v>
      </c>
      <c r="F132" s="876">
        <f>IFERROR(__xludf.DUMMYFUNCTION("""COMPUTED_VALUE"""),91.0)</f>
        <v>91</v>
      </c>
      <c r="G132" s="876">
        <f>IFERROR(__xludf.DUMMYFUNCTION("""COMPUTED_VALUE"""),42478.0)</f>
        <v>42478</v>
      </c>
      <c r="H132" s="876"/>
      <c r="I132" s="876">
        <f>IFERROR(__xludf.DUMMYFUNCTION("""COMPUTED_VALUE"""),2009.0)</f>
        <v>2009</v>
      </c>
      <c r="J132" s="876"/>
      <c r="K132" s="876" t="str">
        <f>IFERROR(__xludf.DUMMYFUNCTION("""COMPUTED_VALUE"""),"randomized clinical trial")</f>
        <v>randomized clinical trial</v>
      </c>
      <c r="L132" s="876" t="str">
        <f>IFERROR(__xludf.DUMMYFUNCTION("""COMPUTED_VALUE"""),"Yes")</f>
        <v>Yes</v>
      </c>
      <c r="M132" s="876" t="str">
        <f>IFERROR(__xludf.DUMMYFUNCTION("""COMPUTED_VALUE"""),"No")</f>
        <v>No</v>
      </c>
      <c r="N132" s="877">
        <f>IFERROR(__xludf.DUMMYFUNCTION("""COMPUTED_VALUE"""),0.989)</f>
        <v>0.989</v>
      </c>
      <c r="O132" s="876"/>
      <c r="P132" s="876"/>
      <c r="Q132" s="876"/>
      <c r="R132" s="876"/>
      <c r="S132" s="876"/>
      <c r="T132" s="876"/>
      <c r="U132" s="876"/>
      <c r="V132" s="876"/>
      <c r="W132" s="876">
        <f>IFERROR(__xludf.DUMMYFUNCTION("""COMPUTED_VALUE"""),0.997)</f>
        <v>0.997</v>
      </c>
      <c r="X132" s="876"/>
      <c r="Y132" s="876" t="str">
        <f>IFERROR(__xludf.DUMMYFUNCTION("""COMPUTED_VALUE"""),"Between 14 and 30 days: 99.6%, 99.9%")</f>
        <v>Between 14 and 30 days: 99.6%, 99.9%</v>
      </c>
      <c r="Z132" s="876"/>
      <c r="AA132" s="876"/>
      <c r="AB132" s="876"/>
      <c r="AC132" s="876"/>
      <c r="AD132" s="876"/>
      <c r="AE132" s="876" t="str">
        <f>IFERROR(__xludf.DUMMYFUNCTION("""COMPUTED_VALUE"""),"The results confirm the therapeutic efficacy of this treatment against and hookworms...our findings emphasize the need to revise the WHO recommended efficacy threshold for single dose ALB treatments.")</f>
        <v>The results confirm the therapeutic efficacy of this treatment against and hookworms...our findings emphasize the need to revise the WHO recommended efficacy threshold for single dose ALB treatments.</v>
      </c>
      <c r="AF132" s="876" t="str">
        <f>IFERROR(__xludf.DUMMYFUNCTION("""COMPUTED_VALUE"""),"McMaster Method")</f>
        <v>McMaster Method</v>
      </c>
      <c r="AG132" s="876" t="str">
        <f>IFERROR(__xludf.DUMMYFUNCTION("""COMPUTED_VALUE"""),"Vercruysse, Jozef, Jerzy M. Behnke, Marco Albonico, Shaali Makame Ame, Cecile Angelbault, Jeffrey M. Bethony, Dirk Engels, Bertrand Guillard, Nuyen Thi Viet Hoa, Gagandeep Kang, Deepthi Kattula, Andrew C. Kotze, James S. McCarthy, Zeleke Mekonnen, Antonio"&amp;" Montresor, Maria Victoria Periago, Laurentine Sumo, Louis-Albert Tchuem Tchuente, Dang Thi Cam Thach, Ahmed Zeynudin, and Bruno Levecke. ""Assessment of the Anthelmintic Efficacy of Albendazolein School Children in Seven Countries Where Soil-transmitted "&amp;"Helminths Are Endemic."" PLOS Neglected Tropical Diseases. N.p., n.d. Web. March 2011, Volume 5 Issue 3, Pages 1-13")</f>
        <v>Vercruysse, Jozef, Jerzy M. Behnke, Marco Albonico, Shaali Makame Ame, Cecile Angelbault, Jeffrey M. Bethony, Dirk Engels, Bertrand Guillard, Nuyen Thi Viet Hoa, Gagandeep Kang, Deepthi Kattula, Andrew C. Kotze, James S. McCarthy, Zeleke Mekonnen, Antonio Montresor, Maria Victoria Periago, Laurentine Sumo, Louis-Albert Tchuem Tchuente, Dang Thi Cam Thach, Ahmed Zeynudin, and Bruno Levecke. "Assessment of the Anthelmintic Efficacy of Albendazolein School Children in Seven Countries Where Soil-transmitted Helminths Are Endemic." PLOS Neglected Tropical Diseases. N.p., n.d. Web. March 2011, Volume 5 Issue 3, Pages 1-13</v>
      </c>
      <c r="AH132" s="876" t="str">
        <f>IFERROR(__xludf.DUMMYFUNCTION("""COMPUTED_VALUE"""),"x")</f>
        <v>x</v>
      </c>
      <c r="AI132" s="878"/>
      <c r="AJ132" s="888" t="str">
        <f>IFERROR(__xludf.DUMMYFUNCTION("""COMPUTED_VALUE"""),"Efficacy and tolerability of moxidectin alone and in co-administration with albendazole and tribendimidine versus albendazole plus oxantel pamoate against Trichuris trichiura infections: a randomised, non-inferiority, single-blind trial")</f>
        <v>Efficacy and tolerability of moxidectin alone and in co-administration with albendazole and tribendimidine versus albendazole plus oxantel pamoate against Trichuris trichiura infections: a randomised, non-inferiority, single-blind trial</v>
      </c>
      <c r="AK132" s="880" t="str">
        <f>IFERROR(__xludf.DUMMYFUNCTION("""COMPUTED_VALUE"""),"Barda B, Ame SM, Ali SM, Albonico M, Puchkov M, Huwyler J, Hattendorf J, Keiser J. Efficacy and tolerability of moxidectin alone and in co-administration with albendazole and tribendimidine versus albendazole plus oxantel pamoate against Trichuris trichiu"&amp;"ra infections: a randomised, non-inferiority, single-blind trial. Lancet Infect Dis. 2018 Aug;18(8):864-873. doi: 10.1016/S1473-3099(18)30233-0. Epub 2018 May 29. PMID: 29858149.")</f>
        <v>Barda B, Ame SM, Ali SM, Albonico M, Puchkov M, Huwyler J, Hattendorf J, Keiser J. Efficacy and tolerability of moxidectin alone and in co-administration with albendazole and tribendimidine versus albendazole plus oxantel pamoate against Trichuris trichiura infections: a randomised, non-inferiority, single-blind trial. Lancet Infect Dis. 2018 Aug;18(8):864-873. doi: 10.1016/S1473-3099(18)30233-0. Epub 2018 May 29. PMID: 29858149.</v>
      </c>
      <c r="AL132" s="880" t="str">
        <f>IFERROR(__xludf.DUMMYFUNCTION("""COMPUTED_VALUE"""),"Tanzania")</f>
        <v>Tanzania</v>
      </c>
      <c r="AM132" s="880" t="str">
        <f>IFERROR(__xludf.DUMMYFUNCTION("""COMPUTED_VALUE"""),"Albendazole &amp; Oxantel pamoate")</f>
        <v>Albendazole &amp; Oxantel pamoate</v>
      </c>
      <c r="AN132" s="880" t="str">
        <f>IFERROR(__xludf.DUMMYFUNCTION("""COMPUTED_VALUE"""),"Single")</f>
        <v>Single</v>
      </c>
      <c r="AO132" s="880" t="str">
        <f>IFERROR(__xludf.DUMMYFUNCTION("""COMPUTED_VALUE"""),"400 mg; 25 mg/kg ")</f>
        <v>400 mg; 25 mg/kg </v>
      </c>
      <c r="AP132" s="880">
        <f>IFERROR(__xludf.DUMMYFUNCTION("""COMPUTED_VALUE"""),200.0)</f>
        <v>200</v>
      </c>
      <c r="AQ132" s="880">
        <f>IFERROR(__xludf.DUMMYFUNCTION("""COMPUTED_VALUE"""),13.9)</f>
        <v>13.9</v>
      </c>
      <c r="AR132" s="880" t="str">
        <f>IFERROR(__xludf.DUMMYFUNCTION("""COMPUTED_VALUE"""),"96M:124F")</f>
        <v>96M:124F</v>
      </c>
      <c r="AS132" s="880">
        <f>IFERROR(__xludf.DUMMYFUNCTION("""COMPUTED_VALUE"""),2017.0)</f>
        <v>2017</v>
      </c>
      <c r="AT132" s="880" t="str">
        <f>IFERROR(__xludf.DUMMYFUNCTION("""COMPUTED_VALUE"""),"Adolescents aged 12–18 years who tested positive for T trichiura")</f>
        <v>Adolescents aged 12–18 years who tested positive for T trichiura</v>
      </c>
      <c r="AU132" s="880" t="str">
        <f>IFERROR(__xludf.DUMMYFUNCTION("""COMPUTED_VALUE"""),"Yes")</f>
        <v>Yes</v>
      </c>
      <c r="AV132" s="880" t="str">
        <f>IFERROR(__xludf.DUMMYFUNCTION("""COMPUTED_VALUE"""),"Yes")</f>
        <v>Yes</v>
      </c>
      <c r="AW132" s="881" t="str">
        <f>IFERROR(__xludf.DUMMYFUNCTION("""COMPUTED_VALUE"""),"Single-blind")</f>
        <v>Single-blind</v>
      </c>
      <c r="AX132" s="863">
        <f>IFERROR(__xludf.DUMMYFUNCTION("""COMPUTED_VALUE"""),0.83)</f>
        <v>0.83</v>
      </c>
      <c r="AY132" s="863"/>
      <c r="AZ132" s="863"/>
      <c r="BA132" s="863"/>
      <c r="BB132" s="863"/>
      <c r="BC132" s="863"/>
      <c r="BD132" s="863"/>
      <c r="BE132" s="863"/>
      <c r="BF132" s="863"/>
      <c r="BG132" s="863"/>
      <c r="BH132" s="863">
        <f>IFERROR(__xludf.DUMMYFUNCTION("""COMPUTED_VALUE"""),0.916)</f>
        <v>0.916</v>
      </c>
      <c r="BI132" s="863"/>
      <c r="BJ132" s="863"/>
      <c r="BK132" s="863"/>
      <c r="BL132" s="863"/>
      <c r="BM132" s="863"/>
      <c r="BN132" s="863" t="str">
        <f>IFERROR(__xludf.DUMMYFUNCTION("""COMPUTED_VALUE"""),"Moxidectin plus albendazole showed non-inferiority to albendazole plus oxantel pamoate in terms of ERR; however, albendazole plus oxantel pamoate showed a considerably higher cure rate.")</f>
        <v>Moxidectin plus albendazole showed non-inferiority to albendazole plus oxantel pamoate in terms of ERR; however, albendazole plus oxantel pamoate showed a considerably higher cure rate.</v>
      </c>
      <c r="BO132" s="863" t="str">
        <f>IFERROR(__xludf.DUMMYFUNCTION("""COMPUTED_VALUE"""),"Kato-Katz technique")</f>
        <v>Kato-Katz technique</v>
      </c>
      <c r="BP132" s="880"/>
      <c r="BQ132" s="863"/>
      <c r="BR132" s="889" t="str">
        <f>IFERROR(__xludf.DUMMYFUNCTION("""COMPUTED_VALUE"""),"Kale")</f>
        <v>Kale</v>
      </c>
      <c r="BS132" s="883" t="str">
        <f>IFERROR(__xludf.DUMMYFUNCTION("""COMPUTED_VALUE"""),"Nigeria")</f>
        <v>Nigeria</v>
      </c>
      <c r="BT132" s="883" t="str">
        <f>IFERROR(__xludf.DUMMYFUNCTION("""COMPUTED_VALUE"""),"Thiabendazole")</f>
        <v>Thiabendazole</v>
      </c>
      <c r="BU132" s="883"/>
      <c r="BV132" s="883" t="str">
        <f>IFERROR(__xludf.DUMMYFUNCTION("""COMPUTED_VALUE"""),"Single")</f>
        <v>Single</v>
      </c>
      <c r="BW132" s="883" t="str">
        <f>IFERROR(__xludf.DUMMYFUNCTION("""COMPUTED_VALUE"""),"25 mg")</f>
        <v>25 mg</v>
      </c>
      <c r="BX132" s="883">
        <f>IFERROR(__xludf.DUMMYFUNCTION("""COMPUTED_VALUE"""),61.0)</f>
        <v>61</v>
      </c>
      <c r="BY132" s="890">
        <f>IFERROR(__xludf.DUMMYFUNCTION("""COMPUTED_VALUE"""),42538.0)</f>
        <v>42538</v>
      </c>
      <c r="BZ132" s="883"/>
      <c r="CA132" s="883"/>
      <c r="CB132" s="883"/>
      <c r="CC132" s="883" t="str">
        <f>IFERROR(__xludf.DUMMYFUNCTION("""COMPUTED_VALUE"""),"Yes")</f>
        <v>Yes</v>
      </c>
      <c r="CD132" s="884">
        <f>IFERROR(__xludf.DUMMYFUNCTION("""COMPUTED_VALUE"""),0.459)</f>
        <v>0.459</v>
      </c>
      <c r="CE132" s="883" t="str">
        <f>IFERROR(__xludf.DUMMYFUNCTION("""COMPUTED_VALUE"""),"Yes")</f>
        <v>Yes</v>
      </c>
      <c r="CF132" s="883" t="str">
        <f>IFERROR(__xludf.DUMMYFUNCTION("""COMPUTED_VALUE"""),"(Day 15)45.9%")</f>
        <v>(Day 15)45.9%</v>
      </c>
      <c r="CG132" s="883"/>
      <c r="CH132" s="883"/>
      <c r="CI132" s="884">
        <f>IFERROR(__xludf.DUMMYFUNCTION("""COMPUTED_VALUE"""),0.443)</f>
        <v>0.443</v>
      </c>
      <c r="CJ132" s="883"/>
      <c r="CK132" s="883"/>
      <c r="CL132" s="883"/>
      <c r="CM132" s="883"/>
      <c r="CN132" s="883"/>
      <c r="CO132" s="883"/>
      <c r="CP132" s="883"/>
      <c r="CQ132" s="883"/>
      <c r="CR132" s="883"/>
      <c r="CS132" s="883"/>
      <c r="CT132" s="883"/>
      <c r="CU132" s="883"/>
      <c r="CV132" s="863"/>
      <c r="CW132" s="863"/>
      <c r="CX132" s="863"/>
      <c r="CY132" s="863"/>
      <c r="CZ132" s="863"/>
      <c r="DA132" s="863"/>
      <c r="DB132" s="863"/>
      <c r="DC132" s="863"/>
      <c r="DD132" s="863"/>
      <c r="DE132" s="863"/>
    </row>
    <row r="133">
      <c r="A133" s="887" t="str">
        <f>IFERROR(__xludf.DUMMYFUNCTION("""COMPUTED_VALUE"""),"Vercruysse et al.")</f>
        <v>Vercruysse et al.</v>
      </c>
      <c r="B133" s="876" t="str">
        <f>IFERROR(__xludf.DUMMYFUNCTION("""COMPUTED_VALUE"""),"India")</f>
        <v>India</v>
      </c>
      <c r="C133" s="876" t="str">
        <f>IFERROR(__xludf.DUMMYFUNCTION("""COMPUTED_VALUE"""),"Albendazole")</f>
        <v>Albendazole</v>
      </c>
      <c r="D133" s="876" t="str">
        <f>IFERROR(__xludf.DUMMYFUNCTION("""COMPUTED_VALUE"""),"Single")</f>
        <v>Single</v>
      </c>
      <c r="E133" s="876" t="str">
        <f>IFERROR(__xludf.DUMMYFUNCTION("""COMPUTED_VALUE"""),"400 mg")</f>
        <v>400 mg</v>
      </c>
      <c r="F133" s="876">
        <f>IFERROR(__xludf.DUMMYFUNCTION("""COMPUTED_VALUE"""),95.0)</f>
        <v>95</v>
      </c>
      <c r="G133" s="876">
        <f>IFERROR(__xludf.DUMMYFUNCTION("""COMPUTED_VALUE"""),42478.0)</f>
        <v>42478</v>
      </c>
      <c r="H133" s="876"/>
      <c r="I133" s="876">
        <f>IFERROR(__xludf.DUMMYFUNCTION("""COMPUTED_VALUE"""),2009.0)</f>
        <v>2009</v>
      </c>
      <c r="J133" s="876"/>
      <c r="K133" s="876" t="str">
        <f>IFERROR(__xludf.DUMMYFUNCTION("""COMPUTED_VALUE"""),"randomized clinical trial")</f>
        <v>randomized clinical trial</v>
      </c>
      <c r="L133" s="876" t="str">
        <f>IFERROR(__xludf.DUMMYFUNCTION("""COMPUTED_VALUE"""),"Yes")</f>
        <v>Yes</v>
      </c>
      <c r="M133" s="876" t="str">
        <f>IFERROR(__xludf.DUMMYFUNCTION("""COMPUTED_VALUE"""),"No")</f>
        <v>No</v>
      </c>
      <c r="N133" s="877">
        <f>IFERROR(__xludf.DUMMYFUNCTION("""COMPUTED_VALUE"""),0.747)</f>
        <v>0.747</v>
      </c>
      <c r="O133" s="876"/>
      <c r="P133" s="876"/>
      <c r="Q133" s="876"/>
      <c r="R133" s="876"/>
      <c r="S133" s="876"/>
      <c r="T133" s="876"/>
      <c r="U133" s="876"/>
      <c r="V133" s="876"/>
      <c r="W133" s="876">
        <f>IFERROR(__xludf.DUMMYFUNCTION("""COMPUTED_VALUE"""),0.871)</f>
        <v>0.871</v>
      </c>
      <c r="X133" s="876"/>
      <c r="Y133" s="876" t="str">
        <f>IFERROR(__xludf.DUMMYFUNCTION("""COMPUTED_VALUE"""),"Between 14 and 30 days: 99.2%, 81.6%")</f>
        <v>Between 14 and 30 days: 99.2%, 81.6%</v>
      </c>
      <c r="Z133" s="876"/>
      <c r="AA133" s="876"/>
      <c r="AB133" s="876"/>
      <c r="AC133" s="876"/>
      <c r="AD133" s="876"/>
      <c r="AE133" s="876" t="str">
        <f>IFERROR(__xludf.DUMMYFUNCTION("""COMPUTED_VALUE"""),"The results confirm the therapeutic efficacy of this treatment against and hookworms...our findings emphasize the need to revise the WHO recommended efficacy threshold for single dose ALB treatments.")</f>
        <v>The results confirm the therapeutic efficacy of this treatment against and hookworms...our findings emphasize the need to revise the WHO recommended efficacy threshold for single dose ALB treatments.</v>
      </c>
      <c r="AF133" s="876" t="str">
        <f>IFERROR(__xludf.DUMMYFUNCTION("""COMPUTED_VALUE"""),"McMaster Method")</f>
        <v>McMaster Method</v>
      </c>
      <c r="AG133" s="876" t="str">
        <f>IFERROR(__xludf.DUMMYFUNCTION("""COMPUTED_VALUE"""),"Vercruysse, Jozef, Jerzy M. Behnke, Marco Albonico, Shaali Makame Ame, Cecile Angelbault, Jeffrey M. Bethony, Dirk Engels, Bertrand Guillard, Nuyen Thi Viet Hoa, Gagandeep Kang, Deepthi Kattula, Andrew C. Kotze, James S. McCarthy, Zeleke Mekonnen, Antonio"&amp;" Montresor, Maria Victoria Periago, Laurentine Sumo, Louis-Albert Tchuem Tchuente, Dang Thi Cam Thach, Ahmed Zeynudin, and Bruno Levecke. ""Assessment of the Anthelmintic Efficacy of Albendazolein School Children in Seven Countries Where Soil-transmitted "&amp;"Helminths Are Endemic."" PLOS Neglected Tropical Diseases. N.p., n.d. Web. March 2011, Volume 5 Issue 3, Pages 1-14")</f>
        <v>Vercruysse, Jozef, Jerzy M. Behnke, Marco Albonico, Shaali Makame Ame, Cecile Angelbault, Jeffrey M. Bethony, Dirk Engels, Bertrand Guillard, Nuyen Thi Viet Hoa, Gagandeep Kang, Deepthi Kattula, Andrew C. Kotze, James S. McCarthy, Zeleke Mekonnen, Antonio Montresor, Maria Victoria Periago, Laurentine Sumo, Louis-Albert Tchuem Tchuente, Dang Thi Cam Thach, Ahmed Zeynudin, and Bruno Levecke. "Assessment of the Anthelmintic Efficacy of Albendazolein School Children in Seven Countries Where Soil-transmitted Helminths Are Endemic." PLOS Neglected Tropical Diseases. N.p., n.d. Web. March 2011, Volume 5 Issue 3, Pages 1-14</v>
      </c>
      <c r="AH133" s="876" t="str">
        <f>IFERROR(__xludf.DUMMYFUNCTION("""COMPUTED_VALUE"""),"x")</f>
        <v>x</v>
      </c>
      <c r="AI133" s="878"/>
      <c r="AJ133" s="888" t="str">
        <f>IFERROR(__xludf.DUMMYFUNCTION("""COMPUTED_VALUE"""),"Efficacy and tolerability of moxidectin alone and in co-administration with albendazole and tribendimidine versus albendazole plus oxantel pamoate against Trichuris trichiura infections: a randomised, non-inferiority, single-blind trial")</f>
        <v>Efficacy and tolerability of moxidectin alone and in co-administration with albendazole and tribendimidine versus albendazole plus oxantel pamoate against Trichuris trichiura infections: a randomised, non-inferiority, single-blind trial</v>
      </c>
      <c r="AK133" s="880" t="str">
        <f>IFERROR(__xludf.DUMMYFUNCTION("""COMPUTED_VALUE"""),"Barda B, Ame SM, Ali SM, Albonico M, Puchkov M, Huwyler J, Hattendorf J, Keiser J. Efficacy and tolerability of moxidectin alone and in co-administration with albendazole and tribendimidine versus albendazole plus oxantel pamoate against Trichuris trichiu"&amp;"ra infections: a randomised, non-inferiority, single-blind trial. Lancet Infect Dis. 2018 Aug;18(8):864-873. doi: 10.1016/S1473-3099(18)30233-0. Epub 2018 May 29. PMID: 29858149.")</f>
        <v>Barda B, Ame SM, Ali SM, Albonico M, Puchkov M, Huwyler J, Hattendorf J, Keiser J. Efficacy and tolerability of moxidectin alone and in co-administration with albendazole and tribendimidine versus albendazole plus oxantel pamoate against Trichuris trichiura infections: a randomised, non-inferiority, single-blind trial. Lancet Infect Dis. 2018 Aug;18(8):864-873. doi: 10.1016/S1473-3099(18)30233-0. Epub 2018 May 29. PMID: 29858149.</v>
      </c>
      <c r="AL133" s="880" t="str">
        <f>IFERROR(__xludf.DUMMYFUNCTION("""COMPUTED_VALUE"""),"Tanzania")</f>
        <v>Tanzania</v>
      </c>
      <c r="AM133" s="880" t="str">
        <f>IFERROR(__xludf.DUMMYFUNCTION("""COMPUTED_VALUE"""),"Moxidectin &amp; Tribendimidine")</f>
        <v>Moxidectin &amp; Tribendimidine</v>
      </c>
      <c r="AN133" s="880" t="str">
        <f>IFERROR(__xludf.DUMMYFUNCTION("""COMPUTED_VALUE"""),"Single")</f>
        <v>Single</v>
      </c>
      <c r="AO133" s="880" t="str">
        <f>IFERROR(__xludf.DUMMYFUNCTION("""COMPUTED_VALUE"""),"8 mg; 200 mg for students younger than 15 years or 400 mg for those older than 15 years)")</f>
        <v>8 mg; 200 mg for students younger than 15 years or 400 mg for those older than 15 years)</v>
      </c>
      <c r="AP133" s="880">
        <f>IFERROR(__xludf.DUMMYFUNCTION("""COMPUTED_VALUE"""),119.0)</f>
        <v>119</v>
      </c>
      <c r="AQ133" s="880">
        <f>IFERROR(__xludf.DUMMYFUNCTION("""COMPUTED_VALUE"""),14.2)</f>
        <v>14.2</v>
      </c>
      <c r="AR133" s="880" t="str">
        <f>IFERROR(__xludf.DUMMYFUNCTION("""COMPUTED_VALUE"""),"59M:71F")</f>
        <v>59M:71F</v>
      </c>
      <c r="AS133" s="880">
        <f>IFERROR(__xludf.DUMMYFUNCTION("""COMPUTED_VALUE"""),2017.0)</f>
        <v>2017</v>
      </c>
      <c r="AT133" s="880" t="str">
        <f>IFERROR(__xludf.DUMMYFUNCTION("""COMPUTED_VALUE"""),"Adolescents aged 12–18 years who tested positive for T trichiura")</f>
        <v>Adolescents aged 12–18 years who tested positive for T trichiura</v>
      </c>
      <c r="AU133" s="880" t="str">
        <f>IFERROR(__xludf.DUMMYFUNCTION("""COMPUTED_VALUE"""),"Yes")</f>
        <v>Yes</v>
      </c>
      <c r="AV133" s="880" t="str">
        <f>IFERROR(__xludf.DUMMYFUNCTION("""COMPUTED_VALUE"""),"Yes")</f>
        <v>Yes</v>
      </c>
      <c r="AW133" s="881" t="str">
        <f>IFERROR(__xludf.DUMMYFUNCTION("""COMPUTED_VALUE"""),"Single-blind")</f>
        <v>Single-blind</v>
      </c>
      <c r="AX133" s="863">
        <f>IFERROR(__xludf.DUMMYFUNCTION("""COMPUTED_VALUE"""),0.227)</f>
        <v>0.227</v>
      </c>
      <c r="AY133" s="863"/>
      <c r="AZ133" s="863"/>
      <c r="BA133" s="863"/>
      <c r="BB133" s="863"/>
      <c r="BC133" s="863"/>
      <c r="BD133" s="863"/>
      <c r="BE133" s="863"/>
      <c r="BF133" s="863"/>
      <c r="BG133" s="863"/>
      <c r="BH133" s="863">
        <f>IFERROR(__xludf.DUMMYFUNCTION("""COMPUTED_VALUE"""),0.832)</f>
        <v>0.832</v>
      </c>
      <c r="BI133" s="863"/>
      <c r="BJ133" s="863"/>
      <c r="BK133" s="863"/>
      <c r="BL133" s="863"/>
      <c r="BM133" s="863"/>
      <c r="BN133" s="863" t="str">
        <f>IFERROR(__xludf.DUMMYFUNCTION("""COMPUTED_VALUE"""),"Moxidectin plus albendazole showed non-inferiority to albendazole plus oxantel pamoate in terms of ERR; however, albendazole plus oxantel pamoate showed a considerably higher cure rate.")</f>
        <v>Moxidectin plus albendazole showed non-inferiority to albendazole plus oxantel pamoate in terms of ERR; however, albendazole plus oxantel pamoate showed a considerably higher cure rate.</v>
      </c>
      <c r="BO133" s="863" t="str">
        <f>IFERROR(__xludf.DUMMYFUNCTION("""COMPUTED_VALUE"""),"Kato-Katz technique")</f>
        <v>Kato-Katz technique</v>
      </c>
      <c r="BP133" s="880"/>
      <c r="BQ133" s="863"/>
      <c r="BR133" s="889" t="str">
        <f>IFERROR(__xludf.DUMMYFUNCTION("""COMPUTED_VALUE"""),"Kale")</f>
        <v>Kale</v>
      </c>
      <c r="BS133" s="883" t="str">
        <f>IFERROR(__xludf.DUMMYFUNCTION("""COMPUTED_VALUE"""),"Nigeria")</f>
        <v>Nigeria</v>
      </c>
      <c r="BT133" s="883" t="str">
        <f>IFERROR(__xludf.DUMMYFUNCTION("""COMPUTED_VALUE"""),"Control")</f>
        <v>Control</v>
      </c>
      <c r="BU133" s="883"/>
      <c r="BV133" s="883"/>
      <c r="BW133" s="883"/>
      <c r="BX133" s="883">
        <f>IFERROR(__xludf.DUMMYFUNCTION("""COMPUTED_VALUE"""),35.0)</f>
        <v>35</v>
      </c>
      <c r="BY133" s="890">
        <f>IFERROR(__xludf.DUMMYFUNCTION("""COMPUTED_VALUE"""),42538.0)</f>
        <v>42538</v>
      </c>
      <c r="BZ133" s="883"/>
      <c r="CA133" s="883"/>
      <c r="CB133" s="883"/>
      <c r="CC133" s="883" t="str">
        <f>IFERROR(__xludf.DUMMYFUNCTION("""COMPUTED_VALUE"""),"Yes")</f>
        <v>Yes</v>
      </c>
      <c r="CD133" s="884">
        <f>IFERROR(__xludf.DUMMYFUNCTION("""COMPUTED_VALUE"""),0.143)</f>
        <v>0.143</v>
      </c>
      <c r="CE133" s="883" t="str">
        <f>IFERROR(__xludf.DUMMYFUNCTION("""COMPUTED_VALUE"""),"Yes")</f>
        <v>Yes</v>
      </c>
      <c r="CF133" s="883"/>
      <c r="CG133" s="883"/>
      <c r="CH133" s="883"/>
      <c r="CI133" s="884">
        <f>IFERROR(__xludf.DUMMYFUNCTION("""COMPUTED_VALUE"""),0.143)</f>
        <v>0.143</v>
      </c>
      <c r="CJ133" s="883"/>
      <c r="CK133" s="883"/>
      <c r="CL133" s="883"/>
      <c r="CM133" s="883"/>
      <c r="CN133" s="883"/>
      <c r="CO133" s="883"/>
      <c r="CP133" s="883"/>
      <c r="CQ133" s="883"/>
      <c r="CR133" s="883"/>
      <c r="CS133" s="883"/>
      <c r="CT133" s="883"/>
      <c r="CU133" s="883"/>
      <c r="CV133" s="863"/>
      <c r="CW133" s="863"/>
      <c r="CX133" s="863"/>
      <c r="CY133" s="863"/>
      <c r="CZ133" s="863"/>
      <c r="DA133" s="863"/>
      <c r="DB133" s="863"/>
      <c r="DC133" s="863"/>
      <c r="DD133" s="863"/>
      <c r="DE133" s="863"/>
    </row>
    <row r="134">
      <c r="A134" s="887" t="str">
        <f>IFERROR(__xludf.DUMMYFUNCTION("""COMPUTED_VALUE"""),"Vercruysse et al.")</f>
        <v>Vercruysse et al.</v>
      </c>
      <c r="B134" s="876" t="str">
        <f>IFERROR(__xludf.DUMMYFUNCTION("""COMPUTED_VALUE"""),"Tanzania")</f>
        <v>Tanzania</v>
      </c>
      <c r="C134" s="876" t="str">
        <f>IFERROR(__xludf.DUMMYFUNCTION("""COMPUTED_VALUE"""),"Albendazole")</f>
        <v>Albendazole</v>
      </c>
      <c r="D134" s="876" t="str">
        <f>IFERROR(__xludf.DUMMYFUNCTION("""COMPUTED_VALUE"""),"Single")</f>
        <v>Single</v>
      </c>
      <c r="E134" s="876" t="str">
        <f>IFERROR(__xludf.DUMMYFUNCTION("""COMPUTED_VALUE"""),"400 mg")</f>
        <v>400 mg</v>
      </c>
      <c r="F134" s="876">
        <f>IFERROR(__xludf.DUMMYFUNCTION("""COMPUTED_VALUE"""),349.0)</f>
        <v>349</v>
      </c>
      <c r="G134" s="876">
        <f>IFERROR(__xludf.DUMMYFUNCTION("""COMPUTED_VALUE"""),42478.0)</f>
        <v>42478</v>
      </c>
      <c r="H134" s="876"/>
      <c r="I134" s="876">
        <f>IFERROR(__xludf.DUMMYFUNCTION("""COMPUTED_VALUE"""),2009.0)</f>
        <v>2009</v>
      </c>
      <c r="J134" s="876"/>
      <c r="K134" s="876" t="str">
        <f>IFERROR(__xludf.DUMMYFUNCTION("""COMPUTED_VALUE"""),"randomized clinical trial")</f>
        <v>randomized clinical trial</v>
      </c>
      <c r="L134" s="876" t="str">
        <f>IFERROR(__xludf.DUMMYFUNCTION("""COMPUTED_VALUE"""),"Yes")</f>
        <v>Yes</v>
      </c>
      <c r="M134" s="876" t="str">
        <f>IFERROR(__xludf.DUMMYFUNCTION("""COMPUTED_VALUE"""),"No")</f>
        <v>No</v>
      </c>
      <c r="N134" s="877">
        <f>IFERROR(__xludf.DUMMYFUNCTION("""COMPUTED_VALUE"""),0.868)</f>
        <v>0.868</v>
      </c>
      <c r="O134" s="876"/>
      <c r="P134" s="876"/>
      <c r="Q134" s="876"/>
      <c r="R134" s="876"/>
      <c r="S134" s="876"/>
      <c r="T134" s="876"/>
      <c r="U134" s="876"/>
      <c r="V134" s="876"/>
      <c r="W134" s="876">
        <f>IFERROR(__xludf.DUMMYFUNCTION("""COMPUTED_VALUE"""),0.953)</f>
        <v>0.953</v>
      </c>
      <c r="X134" s="876"/>
      <c r="Y134" s="876" t="str">
        <f>IFERROR(__xludf.DUMMYFUNCTION("""COMPUTED_VALUE"""),"Between 14 and 30 days: 99.6%, 92.6%")</f>
        <v>Between 14 and 30 days: 99.6%, 92.6%</v>
      </c>
      <c r="Z134" s="876"/>
      <c r="AA134" s="876"/>
      <c r="AB134" s="876"/>
      <c r="AC134" s="876"/>
      <c r="AD134" s="876"/>
      <c r="AE134" s="876" t="str">
        <f>IFERROR(__xludf.DUMMYFUNCTION("""COMPUTED_VALUE"""),"The results confirm the therapeutic efficacy of this treatment against and hookworms...our findings emphasize the need to revise the WHO recommended efficacy threshold for single dose ALB treatments.")</f>
        <v>The results confirm the therapeutic efficacy of this treatment against and hookworms...our findings emphasize the need to revise the WHO recommended efficacy threshold for single dose ALB treatments.</v>
      </c>
      <c r="AF134" s="876" t="str">
        <f>IFERROR(__xludf.DUMMYFUNCTION("""COMPUTED_VALUE"""),"McMaster Method")</f>
        <v>McMaster Method</v>
      </c>
      <c r="AG134" s="876" t="str">
        <f>IFERROR(__xludf.DUMMYFUNCTION("""COMPUTED_VALUE"""),"Vercruysse, Jozef, Jerzy M. Behnke, Marco Albonico, Shaali Makame Ame, Cecile Angelbault, Jeffrey M. Bethony, Dirk Engels, Bertrand Guillard, Nuyen Thi Viet Hoa, Gagandeep Kang, Deepthi Kattula, Andrew C. Kotze, James S. McCarthy, Zeleke Mekonnen, Antonio"&amp;" Montresor, Maria Victoria Periago, Laurentine Sumo, Louis-Albert Tchuem Tchuente, Dang Thi Cam Thach, Ahmed Zeynudin, and Bruno Levecke. ""Assessment of the Anthelmintic Efficacy of Albendazolein School Children in Seven Countries Where Soil-transmitted "&amp;"Helminths Are Endemic."" PLOS Neglected Tropical Diseases. N.p., n.d. Web. March 2011, Volume 5 Issue 3, Pages 1-15")</f>
        <v>Vercruysse, Jozef, Jerzy M. Behnke, Marco Albonico, Shaali Makame Ame, Cecile Angelbault, Jeffrey M. Bethony, Dirk Engels, Bertrand Guillard, Nuyen Thi Viet Hoa, Gagandeep Kang, Deepthi Kattula, Andrew C. Kotze, James S. McCarthy, Zeleke Mekonnen, Antonio Montresor, Maria Victoria Periago, Laurentine Sumo, Louis-Albert Tchuem Tchuente, Dang Thi Cam Thach, Ahmed Zeynudin, and Bruno Levecke. "Assessment of the Anthelmintic Efficacy of Albendazolein School Children in Seven Countries Where Soil-transmitted Helminths Are Endemic." PLOS Neglected Tropical Diseases. N.p., n.d. Web. March 2011, Volume 5 Issue 3, Pages 1-15</v>
      </c>
      <c r="AH134" s="876" t="str">
        <f>IFERROR(__xludf.DUMMYFUNCTION("""COMPUTED_VALUE"""),"x")</f>
        <v>x</v>
      </c>
      <c r="AI134" s="878"/>
      <c r="AJ134" s="888" t="str">
        <f>IFERROR(__xludf.DUMMYFUNCTION("""COMPUTED_VALUE"""),"Efficacy and tolerability of moxidectin alone and in co-administration with albendazole and tribendimidine versus albendazole plus oxantel pamoate against Trichuris trichiura infections: a randomised, non-inferiority, single-blind trial")</f>
        <v>Efficacy and tolerability of moxidectin alone and in co-administration with albendazole and tribendimidine versus albendazole plus oxantel pamoate against Trichuris trichiura infections: a randomised, non-inferiority, single-blind trial</v>
      </c>
      <c r="AK134" s="880" t="str">
        <f>IFERROR(__xludf.DUMMYFUNCTION("""COMPUTED_VALUE"""),"Barda B, Ame SM, Ali SM, Albonico M, Puchkov M, Huwyler J, Hattendorf J, Keiser J. Efficacy and tolerability of moxidectin alone and in co-administration with albendazole and tribendimidine versus albendazole plus oxantel pamoate against Trichuris trichiu"&amp;"ra infections: a randomised, non-inferiority, single-blind trial. Lancet Infect Dis. 2018 Aug;18(8):864-873. doi: 10.1016/S1473-3099(18)30233-0. Epub 2018 May 29. PMID: 29858149.")</f>
        <v>Barda B, Ame SM, Ali SM, Albonico M, Puchkov M, Huwyler J, Hattendorf J, Keiser J. Efficacy and tolerability of moxidectin alone and in co-administration with albendazole and tribendimidine versus albendazole plus oxantel pamoate against Trichuris trichiura infections: a randomised, non-inferiority, single-blind trial. Lancet Infect Dis. 2018 Aug;18(8):864-873. doi: 10.1016/S1473-3099(18)30233-0. Epub 2018 May 29. PMID: 29858149.</v>
      </c>
      <c r="AL134" s="880" t="str">
        <f>IFERROR(__xludf.DUMMYFUNCTION("""COMPUTED_VALUE"""),"Tanzania")</f>
        <v>Tanzania</v>
      </c>
      <c r="AM134" s="880" t="str">
        <f>IFERROR(__xludf.DUMMYFUNCTION("""COMPUTED_VALUE"""),"Moxidectin")</f>
        <v>Moxidectin</v>
      </c>
      <c r="AN134" s="880" t="str">
        <f>IFERROR(__xludf.DUMMYFUNCTION("""COMPUTED_VALUE"""),"Single")</f>
        <v>Single</v>
      </c>
      <c r="AO134" s="880" t="str">
        <f>IFERROR(__xludf.DUMMYFUNCTION("""COMPUTED_VALUE"""),"500 mg")</f>
        <v>500 mg</v>
      </c>
      <c r="AP134" s="880">
        <f>IFERROR(__xludf.DUMMYFUNCTION("""COMPUTED_VALUE"""),118.0)</f>
        <v>118</v>
      </c>
      <c r="AQ134" s="880">
        <f>IFERROR(__xludf.DUMMYFUNCTION("""COMPUTED_VALUE"""),13.9)</f>
        <v>13.9</v>
      </c>
      <c r="AR134" s="880" t="str">
        <f>IFERROR(__xludf.DUMMYFUNCTION("""COMPUTED_VALUE"""),"56M:76F")</f>
        <v>56M:76F</v>
      </c>
      <c r="AS134" s="880">
        <f>IFERROR(__xludf.DUMMYFUNCTION("""COMPUTED_VALUE"""),2017.0)</f>
        <v>2017</v>
      </c>
      <c r="AT134" s="880" t="str">
        <f>IFERROR(__xludf.DUMMYFUNCTION("""COMPUTED_VALUE"""),"Adolescents aged 12–18 years who tested positive for T trichiura")</f>
        <v>Adolescents aged 12–18 years who tested positive for T trichiura</v>
      </c>
      <c r="AU134" s="880" t="str">
        <f>IFERROR(__xludf.DUMMYFUNCTION("""COMPUTED_VALUE"""),"Yes")</f>
        <v>Yes</v>
      </c>
      <c r="AV134" s="880" t="str">
        <f>IFERROR(__xludf.DUMMYFUNCTION("""COMPUTED_VALUE"""),"Yes")</f>
        <v>Yes</v>
      </c>
      <c r="AW134" s="881" t="str">
        <f>IFERROR(__xludf.DUMMYFUNCTION("""COMPUTED_VALUE"""),"Single-blind")</f>
        <v>Single-blind</v>
      </c>
      <c r="AX134" s="863">
        <f>IFERROR(__xludf.DUMMYFUNCTION("""COMPUTED_VALUE"""),0.144)</f>
        <v>0.144</v>
      </c>
      <c r="AY134" s="863"/>
      <c r="AZ134" s="863"/>
      <c r="BA134" s="863"/>
      <c r="BB134" s="863"/>
      <c r="BC134" s="863"/>
      <c r="BD134" s="863"/>
      <c r="BE134" s="863"/>
      <c r="BF134" s="863"/>
      <c r="BG134" s="863"/>
      <c r="BH134" s="863" t="str">
        <f>IFERROR(__xludf.DUMMYFUNCTION("""COMPUTED_VALUE"""),"21st day: 20.40/g")</f>
        <v>21st day: 20.40/g</v>
      </c>
      <c r="BI134" s="863"/>
      <c r="BJ134" s="863"/>
      <c r="BK134" s="863"/>
      <c r="BL134" s="863"/>
      <c r="BM134" s="863"/>
      <c r="BN134" s="863" t="str">
        <f>IFERROR(__xludf.DUMMYFUNCTION("""COMPUTED_VALUE"""),"Moxidectin plus albendazole showed non-inferiority to albendazole plus oxantel pamoate in terms of ERR; however, albendazole plus oxantel pamoate showed a considerably higher cure rate.")</f>
        <v>Moxidectin plus albendazole showed non-inferiority to albendazole plus oxantel pamoate in terms of ERR; however, albendazole plus oxantel pamoate showed a considerably higher cure rate.</v>
      </c>
      <c r="BO134" s="863" t="str">
        <f>IFERROR(__xludf.DUMMYFUNCTION("""COMPUTED_VALUE"""),"Kato-Katz technique")</f>
        <v>Kato-Katz technique</v>
      </c>
      <c r="BP134" s="880"/>
      <c r="BQ134" s="863"/>
      <c r="BR134" s="889" t="str">
        <f>IFERROR(__xludf.DUMMYFUNCTION("""COMPUTED_VALUE"""),"Chege et al.")</f>
        <v>Chege et al.</v>
      </c>
      <c r="BS134" s="883" t="str">
        <f>IFERROR(__xludf.DUMMYFUNCTION("""COMPUTED_VALUE"""),"Kenya")</f>
        <v>Kenya</v>
      </c>
      <c r="BT134" s="883" t="str">
        <f>IFERROR(__xludf.DUMMYFUNCTION("""COMPUTED_VALUE"""),"Bephenium")</f>
        <v>Bephenium</v>
      </c>
      <c r="BU134" s="883"/>
      <c r="BV134" s="883" t="str">
        <f>IFERROR(__xludf.DUMMYFUNCTION("""COMPUTED_VALUE"""),"Single")</f>
        <v>Single</v>
      </c>
      <c r="BW134" s="883" t="str">
        <f>IFERROR(__xludf.DUMMYFUNCTION("""COMPUTED_VALUE"""),"5 gm")</f>
        <v>5 gm</v>
      </c>
      <c r="BX134" s="883">
        <f>IFERROR(__xludf.DUMMYFUNCTION("""COMPUTED_VALUE"""),19.0)</f>
        <v>19</v>
      </c>
      <c r="BY134" s="883" t="str">
        <f>IFERROR(__xludf.DUMMYFUNCTION("""COMPUTED_VALUE"""),"School Children")</f>
        <v>School Children</v>
      </c>
      <c r="BZ134" s="883"/>
      <c r="CA134" s="883" t="str">
        <f>IFERROR(__xludf.DUMMYFUNCTION("""COMPUTED_VALUE"""),"M &amp; F")</f>
        <v>M &amp; F</v>
      </c>
      <c r="CB134" s="883"/>
      <c r="CC134" s="883" t="str">
        <f>IFERROR(__xludf.DUMMYFUNCTION("""COMPUTED_VALUE"""),"Yes")</f>
        <v>Yes</v>
      </c>
      <c r="CD134" s="884">
        <f>IFERROR(__xludf.DUMMYFUNCTION("""COMPUTED_VALUE"""),0.74)</f>
        <v>0.74</v>
      </c>
      <c r="CE134" s="883" t="str">
        <f>IFERROR(__xludf.DUMMYFUNCTION("""COMPUTED_VALUE"""),"Yes")</f>
        <v>Yes</v>
      </c>
      <c r="CF134" s="883"/>
      <c r="CG134" s="883"/>
      <c r="CH134" s="883"/>
      <c r="CI134" s="883"/>
      <c r="CJ134" s="883"/>
      <c r="CK134" s="883"/>
      <c r="CL134" s="883"/>
      <c r="CM134" s="883" t="str">
        <f>IFERROR(__xludf.DUMMYFUNCTION("""COMPUTED_VALUE"""),"Mean Slide: 1.5")</f>
        <v>Mean Slide: 1.5</v>
      </c>
      <c r="CN134" s="883"/>
      <c r="CO134" s="883"/>
      <c r="CP134" s="883"/>
      <c r="CQ134" s="883"/>
      <c r="CR134" s="883"/>
      <c r="CS134" s="883"/>
      <c r="CT134" s="883"/>
      <c r="CU134" s="883"/>
      <c r="CV134" s="863"/>
      <c r="CW134" s="863"/>
      <c r="CX134" s="863"/>
      <c r="CY134" s="863"/>
      <c r="CZ134" s="863"/>
      <c r="DA134" s="863"/>
      <c r="DB134" s="863"/>
      <c r="DC134" s="863"/>
      <c r="DD134" s="863"/>
      <c r="DE134" s="863"/>
    </row>
    <row r="135">
      <c r="A135" s="887" t="str">
        <f>IFERROR(__xludf.DUMMYFUNCTION("""COMPUTED_VALUE"""),"Vercruysse et al.")</f>
        <v>Vercruysse et al.</v>
      </c>
      <c r="B135" s="876" t="str">
        <f>IFERROR(__xludf.DUMMYFUNCTION("""COMPUTED_VALUE"""),"Viet Nam")</f>
        <v>Viet Nam</v>
      </c>
      <c r="C135" s="876" t="str">
        <f>IFERROR(__xludf.DUMMYFUNCTION("""COMPUTED_VALUE"""),"Albendazole")</f>
        <v>Albendazole</v>
      </c>
      <c r="D135" s="876" t="str">
        <f>IFERROR(__xludf.DUMMYFUNCTION("""COMPUTED_VALUE"""),"Single")</f>
        <v>Single</v>
      </c>
      <c r="E135" s="876" t="str">
        <f>IFERROR(__xludf.DUMMYFUNCTION("""COMPUTED_VALUE"""),"400 mg")</f>
        <v>400 mg</v>
      </c>
      <c r="F135" s="876">
        <f>IFERROR(__xludf.DUMMYFUNCTION("""COMPUTED_VALUE"""),58.0)</f>
        <v>58</v>
      </c>
      <c r="G135" s="876">
        <f>IFERROR(__xludf.DUMMYFUNCTION("""COMPUTED_VALUE"""),42478.0)</f>
        <v>42478</v>
      </c>
      <c r="H135" s="876"/>
      <c r="I135" s="876">
        <f>IFERROR(__xludf.DUMMYFUNCTION("""COMPUTED_VALUE"""),2009.0)</f>
        <v>2009</v>
      </c>
      <c r="J135" s="876"/>
      <c r="K135" s="876" t="str">
        <f>IFERROR(__xludf.DUMMYFUNCTION("""COMPUTED_VALUE"""),"randomized clinical trial")</f>
        <v>randomized clinical trial</v>
      </c>
      <c r="L135" s="876" t="str">
        <f>IFERROR(__xludf.DUMMYFUNCTION("""COMPUTED_VALUE"""),"Yes")</f>
        <v>Yes</v>
      </c>
      <c r="M135" s="876" t="str">
        <f>IFERROR(__xludf.DUMMYFUNCTION("""COMPUTED_VALUE"""),"No")</f>
        <v>No</v>
      </c>
      <c r="N135" s="877">
        <f>IFERROR(__xludf.DUMMYFUNCTION("""COMPUTED_VALUE"""),1.0)</f>
        <v>1</v>
      </c>
      <c r="O135" s="876"/>
      <c r="P135" s="876"/>
      <c r="Q135" s="876"/>
      <c r="R135" s="876"/>
      <c r="S135" s="876"/>
      <c r="T135" s="876"/>
      <c r="U135" s="876"/>
      <c r="V135" s="876"/>
      <c r="W135" s="876">
        <f>IFERROR(__xludf.DUMMYFUNCTION("""COMPUTED_VALUE"""),1.0)</f>
        <v>1</v>
      </c>
      <c r="X135" s="876"/>
      <c r="Y135" s="876" t="str">
        <f>IFERROR(__xludf.DUMMYFUNCTION("""COMPUTED_VALUE"""),"Between 14 and 30 days: 99.3%, 100%")</f>
        <v>Between 14 and 30 days: 99.3%, 100%</v>
      </c>
      <c r="Z135" s="876"/>
      <c r="AA135" s="876"/>
      <c r="AB135" s="876"/>
      <c r="AC135" s="876"/>
      <c r="AD135" s="876"/>
      <c r="AE135" s="876" t="str">
        <f>IFERROR(__xludf.DUMMYFUNCTION("""COMPUTED_VALUE"""),"The results confirm the therapeutic efficacy of this treatment against and hookworms...our findings emphasize the need to revise the WHO recommended efficacy threshold for single dose ALB treatments.")</f>
        <v>The results confirm the therapeutic efficacy of this treatment against and hookworms...our findings emphasize the need to revise the WHO recommended efficacy threshold for single dose ALB treatments.</v>
      </c>
      <c r="AF135" s="876" t="str">
        <f>IFERROR(__xludf.DUMMYFUNCTION("""COMPUTED_VALUE"""),"McMaster Method")</f>
        <v>McMaster Method</v>
      </c>
      <c r="AG135" s="876" t="str">
        <f>IFERROR(__xludf.DUMMYFUNCTION("""COMPUTED_VALUE"""),"Vercruysse, Jozef, Jerzy M. Behnke, Marco Albonico, Shaali Makame Ame, Cecile Angelbault, Jeffrey M. Bethony, Dirk Engels, Bertrand Guillard, Nuyen Thi Viet Hoa, Gagandeep Kang, Deepthi Kattula, Andrew C. Kotze, James S. McCarthy, Zeleke Mekonnen, Antonio"&amp;" Montresor, Maria Victoria Periago, Laurentine Sumo, Louis-Albert Tchuem Tchuente, Dang Thi Cam Thach, Ahmed Zeynudin, and Bruno Levecke. ""Assessment of the Anthelmintic Efficacy of Albendazolein School Children in Seven Countries Where Soil-transmitted "&amp;"Helminths Are Endemic."" PLOS Neglected Tropical Diseases. N.p., n.d. Web. March 2011, Volume 5 Issue 3, Pages 1-16")</f>
        <v>Vercruysse, Jozef, Jerzy M. Behnke, Marco Albonico, Shaali Makame Ame, Cecile Angelbault, Jeffrey M. Bethony, Dirk Engels, Bertrand Guillard, Nuyen Thi Viet Hoa, Gagandeep Kang, Deepthi Kattula, Andrew C. Kotze, James S. McCarthy, Zeleke Mekonnen, Antonio Montresor, Maria Victoria Periago, Laurentine Sumo, Louis-Albert Tchuem Tchuente, Dang Thi Cam Thach, Ahmed Zeynudin, and Bruno Levecke. "Assessment of the Anthelmintic Efficacy of Albendazolein School Children in Seven Countries Where Soil-transmitted Helminths Are Endemic." PLOS Neglected Tropical Diseases. N.p., n.d. Web. March 2011, Volume 5 Issue 3, Pages 1-16</v>
      </c>
      <c r="AH135" s="876" t="str">
        <f>IFERROR(__xludf.DUMMYFUNCTION("""COMPUTED_VALUE"""),"x")</f>
        <v>x</v>
      </c>
      <c r="AI135" s="878"/>
      <c r="AJ135" s="888" t="str">
        <f>IFERROR(__xludf.DUMMYFUNCTION("""COMPUTED_VALUE"""),"Efficacy of Albendazole and Mebendazole With or Without Levamisole for Ascariasis and Trichuriasis")</f>
        <v>Efficacy of Albendazole and Mebendazole With or Without Levamisole for Ascariasis and Trichuriasis</v>
      </c>
      <c r="AK135" s="880" t="str">
        <f>IFERROR(__xludf.DUMMYFUNCTION("""COMPUTED_VALUE"""),"Anto EJ, Nugraha SE. Efficacy of Albendazole and Mebendazole With or Without Levamisole for Ascariasis and Trichuriasis. Open Access Maced J Med Sci. 2019 Apr 28;7(8):1299-1302. doi: 10.3889/oamjms.2019.299. PMID: 31110573; PMCID: PMC6514329.")</f>
        <v>Anto EJ, Nugraha SE. Efficacy of Albendazole and Mebendazole With or Without Levamisole for Ascariasis and Trichuriasis. Open Access Maced J Med Sci. 2019 Apr 28;7(8):1299-1302. doi: 10.3889/oamjms.2019.299. PMID: 31110573; PMCID: PMC6514329.</v>
      </c>
      <c r="AL135" s="880" t="str">
        <f>IFERROR(__xludf.DUMMYFUNCTION("""COMPUTED_VALUE"""),"Indonesia")</f>
        <v>Indonesia</v>
      </c>
      <c r="AM135" s="880" t="str">
        <f>IFERROR(__xludf.DUMMYFUNCTION("""COMPUTED_VALUE"""),"Albendazole")</f>
        <v>Albendazole</v>
      </c>
      <c r="AN135" s="880" t="str">
        <f>IFERROR(__xludf.DUMMYFUNCTION("""COMPUTED_VALUE"""),"Single")</f>
        <v>Single</v>
      </c>
      <c r="AO135" s="880" t="str">
        <f>IFERROR(__xludf.DUMMYFUNCTION("""COMPUTED_VALUE"""),"400 mg")</f>
        <v>400 mg</v>
      </c>
      <c r="AP135" s="880">
        <f>IFERROR(__xludf.DUMMYFUNCTION("""COMPUTED_VALUE"""),60.0)</f>
        <v>60</v>
      </c>
      <c r="AQ135" s="880">
        <f>IFERROR(__xludf.DUMMYFUNCTION("""COMPUTED_VALUE"""),9.2)</f>
        <v>9.2</v>
      </c>
      <c r="AR135" s="880" t="str">
        <f>IFERROR(__xludf.DUMMYFUNCTION("""COMPUTED_VALUE"""),"35M:25F")</f>
        <v>35M:25F</v>
      </c>
      <c r="AS135" s="880">
        <f>IFERROR(__xludf.DUMMYFUNCTION("""COMPUTED_VALUE"""),2015.0)</f>
        <v>2015</v>
      </c>
      <c r="AT135" s="880" t="str">
        <f>IFERROR(__xludf.DUMMYFUNCTION("""COMPUTED_VALUE"""),"The sample of this study were 180 elementary-school students at Deli Serdang Regency State Elementary School, Medan, Indonesia")</f>
        <v>The sample of this study were 180 elementary-school students at Deli Serdang Regency State Elementary School, Medan, Indonesia</v>
      </c>
      <c r="AU135" s="880" t="str">
        <f>IFERROR(__xludf.DUMMYFUNCTION("""COMPUTED_VALUE"""),"Yes")</f>
        <v>Yes</v>
      </c>
      <c r="AV135" s="880" t="str">
        <f>IFERROR(__xludf.DUMMYFUNCTION("""COMPUTED_VALUE"""),"Yes")</f>
        <v>Yes</v>
      </c>
      <c r="AW135" s="881" t="str">
        <f>IFERROR(__xludf.DUMMYFUNCTION("""COMPUTED_VALUE"""),"Double blind")</f>
        <v>Double blind</v>
      </c>
      <c r="AX135" s="863">
        <f>IFERROR(__xludf.DUMMYFUNCTION("""COMPUTED_VALUE"""),0.667)</f>
        <v>0.667</v>
      </c>
      <c r="AY135" s="863"/>
      <c r="AZ135" s="863"/>
      <c r="BA135" s="863"/>
      <c r="BB135" s="863"/>
      <c r="BC135" s="863"/>
      <c r="BD135" s="863"/>
      <c r="BE135" s="863"/>
      <c r="BF135" s="863"/>
      <c r="BG135" s="863"/>
      <c r="BH135" s="863" t="str">
        <f>IFERROR(__xludf.DUMMYFUNCTION("""COMPUTED_VALUE"""),"21st day: 7.60/g")</f>
        <v>21st day: 7.60/g</v>
      </c>
      <c r="BI135" s="863"/>
      <c r="BJ135" s="863"/>
      <c r="BK135" s="863"/>
      <c r="BL135" s="863"/>
      <c r="BM135" s="863"/>
      <c r="BN135" s="863" t="str">
        <f>IFERROR(__xludf.DUMMYFUNCTION("""COMPUTED_VALUE"""),"Combination of albendazole and levamisole showed better cure rate for mild trichuriasis and mixed infections. Side effects were similar in all treatment groups.")</f>
        <v>Combination of albendazole and levamisole showed better cure rate for mild trichuriasis and mixed infections. Side effects were similar in all treatment groups.</v>
      </c>
      <c r="BO135" s="863" t="str">
        <f>IFERROR(__xludf.DUMMYFUNCTION("""COMPUTED_VALUE"""),"Kato-Katz technique")</f>
        <v>Kato-Katz technique</v>
      </c>
      <c r="BP135" s="880"/>
      <c r="BQ135" s="863"/>
      <c r="BR135" s="889" t="str">
        <f>IFERROR(__xludf.DUMMYFUNCTION("""COMPUTED_VALUE"""),"Chege et al.")</f>
        <v>Chege et al.</v>
      </c>
      <c r="BS135" s="883" t="str">
        <f>IFERROR(__xludf.DUMMYFUNCTION("""COMPUTED_VALUE"""),"Kenya")</f>
        <v>Kenya</v>
      </c>
      <c r="BT135" s="883" t="str">
        <f>IFERROR(__xludf.DUMMYFUNCTION("""COMPUTED_VALUE"""),"Levamisole")</f>
        <v>Levamisole</v>
      </c>
      <c r="BU135" s="883"/>
      <c r="BV135" s="883" t="str">
        <f>IFERROR(__xludf.DUMMYFUNCTION("""COMPUTED_VALUE"""),"Single")</f>
        <v>Single</v>
      </c>
      <c r="BW135" s="883" t="str">
        <f>IFERROR(__xludf.DUMMYFUNCTION("""COMPUTED_VALUE"""),"8 mg")</f>
        <v>8 mg</v>
      </c>
      <c r="BX135" s="883">
        <f>IFERROR(__xludf.DUMMYFUNCTION("""COMPUTED_VALUE"""),22.0)</f>
        <v>22</v>
      </c>
      <c r="BY135" s="883" t="str">
        <f>IFERROR(__xludf.DUMMYFUNCTION("""COMPUTED_VALUE"""),"School Children")</f>
        <v>School Children</v>
      </c>
      <c r="BZ135" s="883"/>
      <c r="CA135" s="883" t="str">
        <f>IFERROR(__xludf.DUMMYFUNCTION("""COMPUTED_VALUE"""),"M &amp; F")</f>
        <v>M &amp; F</v>
      </c>
      <c r="CB135" s="883"/>
      <c r="CC135" s="883" t="str">
        <f>IFERROR(__xludf.DUMMYFUNCTION("""COMPUTED_VALUE"""),"Yes")</f>
        <v>Yes</v>
      </c>
      <c r="CD135" s="884">
        <f>IFERROR(__xludf.DUMMYFUNCTION("""COMPUTED_VALUE"""),0.86)</f>
        <v>0.86</v>
      </c>
      <c r="CE135" s="883" t="str">
        <f>IFERROR(__xludf.DUMMYFUNCTION("""COMPUTED_VALUE"""),"Yes")</f>
        <v>Yes</v>
      </c>
      <c r="CF135" s="883"/>
      <c r="CG135" s="883"/>
      <c r="CH135" s="883"/>
      <c r="CI135" s="883"/>
      <c r="CJ135" s="883"/>
      <c r="CK135" s="883"/>
      <c r="CL135" s="883"/>
      <c r="CM135" s="883" t="str">
        <f>IFERROR(__xludf.DUMMYFUNCTION("""COMPUTED_VALUE"""),"Mean Slide: 1.9")</f>
        <v>Mean Slide: 1.9</v>
      </c>
      <c r="CN135" s="883"/>
      <c r="CO135" s="883"/>
      <c r="CP135" s="883"/>
      <c r="CQ135" s="883"/>
      <c r="CR135" s="883"/>
      <c r="CS135" s="883"/>
      <c r="CT135" s="883"/>
      <c r="CU135" s="883"/>
      <c r="CV135" s="863"/>
      <c r="CW135" s="863"/>
      <c r="CX135" s="863"/>
      <c r="CY135" s="863"/>
      <c r="CZ135" s="863"/>
      <c r="DA135" s="863"/>
      <c r="DB135" s="863"/>
      <c r="DC135" s="863"/>
      <c r="DD135" s="863"/>
      <c r="DE135" s="863"/>
    </row>
    <row r="136">
      <c r="A136" s="887" t="str">
        <f>IFERROR(__xludf.DUMMYFUNCTION("""COMPUTED_VALUE"""),"Viravan et al.")</f>
        <v>Viravan et al.</v>
      </c>
      <c r="B136" s="876" t="str">
        <f>IFERROR(__xludf.DUMMYFUNCTION("""COMPUTED_VALUE"""),"Thailand")</f>
        <v>Thailand</v>
      </c>
      <c r="C136" s="876" t="str">
        <f>IFERROR(__xludf.DUMMYFUNCTION("""COMPUTED_VALUE"""),"Albendazole")</f>
        <v>Albendazole</v>
      </c>
      <c r="D136" s="876" t="str">
        <f>IFERROR(__xludf.DUMMYFUNCTION("""COMPUTED_VALUE"""),"Single")</f>
        <v>Single</v>
      </c>
      <c r="E136" s="876" t="str">
        <f>IFERROR(__xludf.DUMMYFUNCTION("""COMPUTED_VALUE"""),"400 mg")</f>
        <v>400 mg</v>
      </c>
      <c r="F136" s="876">
        <f>IFERROR(__xludf.DUMMYFUNCTION("""COMPUTED_VALUE"""),22.0)</f>
        <v>22</v>
      </c>
      <c r="G136" s="876" t="str">
        <f>IFERROR(__xludf.DUMMYFUNCTION("""COMPUTED_VALUE"""),"12-57 ")</f>
        <v>12-57 </v>
      </c>
      <c r="H136" s="876" t="str">
        <f>IFERROR(__xludf.DUMMYFUNCTION("""COMPUTED_VALUE"""),"15:7")</f>
        <v>15:7</v>
      </c>
      <c r="I136" s="876">
        <f>IFERROR(__xludf.DUMMYFUNCTION("""COMPUTED_VALUE"""),1981.0)</f>
        <v>1981</v>
      </c>
      <c r="J136" s="876"/>
      <c r="K136" s="876" t="str">
        <f>IFERROR(__xludf.DUMMYFUNCTION("""COMPUTED_VALUE"""),"clinical trial")</f>
        <v>clinical trial</v>
      </c>
      <c r="L136" s="876" t="str">
        <f>IFERROR(__xludf.DUMMYFUNCTION("""COMPUTED_VALUE"""),"No")</f>
        <v>No</v>
      </c>
      <c r="M136" s="876" t="str">
        <f>IFERROR(__xludf.DUMMYFUNCTION("""COMPUTED_VALUE"""),"No")</f>
        <v>No</v>
      </c>
      <c r="N136" s="877">
        <f>IFERROR(__xludf.DUMMYFUNCTION("""COMPUTED_VALUE"""),0.64)</f>
        <v>0.64</v>
      </c>
      <c r="O136" s="876">
        <f>IFERROR(__xludf.DUMMYFUNCTION("""COMPUTED_VALUE"""),0.57)</f>
        <v>0.57</v>
      </c>
      <c r="P136" s="876">
        <f>IFERROR(__xludf.DUMMYFUNCTION("""COMPUTED_VALUE"""),0.64)</f>
        <v>0.64</v>
      </c>
      <c r="Q136" s="876"/>
      <c r="R136" s="876"/>
      <c r="S136" s="876"/>
      <c r="T136" s="876"/>
      <c r="U136" s="876"/>
      <c r="V136" s="876"/>
      <c r="W136" s="876" t="str">
        <f>IFERROR(__xludf.DUMMYFUNCTION("""COMPUTED_VALUE"""),"Day 14: 95.04%, Day 21: 92.79% ")</f>
        <v>Day 14: 95.04%, Day 21: 92.79% </v>
      </c>
      <c r="X136" s="876"/>
      <c r="Y136" s="876"/>
      <c r="Z136" s="876"/>
      <c r="AA136" s="876"/>
      <c r="AB136" s="876"/>
      <c r="AC136" s="876"/>
      <c r="AD136" s="876"/>
      <c r="AE136" s="876"/>
      <c r="AF136" s="876" t="str">
        <f>IFERROR(__xludf.DUMMYFUNCTION("""COMPUTED_VALUE"""),"Stoll egg count")</f>
        <v>Stoll egg count</v>
      </c>
      <c r="AG136" s="876" t="str">
        <f>IFERROR(__xludf.DUMMYFUNCTION("""COMPUTED_VALUE"""),"Viravan C, Migasena S, Bunnag D, Tranakchit H. “Clinical Trial of Albendazolein Hookworm Infection”. The Southeast Asian Journal of Tropical Medicine and Public Health (1982): 654-657. Web.")</f>
        <v>Viravan C, Migasena S, Bunnag D, Tranakchit H. “Clinical Trial of Albendazolein Hookworm Infection”. The Southeast Asian Journal of Tropical Medicine and Public Health (1982): 654-657. Web.</v>
      </c>
      <c r="AH136" s="876"/>
      <c r="AI136" s="878"/>
      <c r="AJ136" s="888" t="str">
        <f>IFERROR(__xludf.DUMMYFUNCTION("""COMPUTED_VALUE"""),"Efficacy of Albendazole and Mebendazole With or Without Levamisole for Ascariasis and Trichuriasis")</f>
        <v>Efficacy of Albendazole and Mebendazole With or Without Levamisole for Ascariasis and Trichuriasis</v>
      </c>
      <c r="AK136" s="880" t="str">
        <f>IFERROR(__xludf.DUMMYFUNCTION("""COMPUTED_VALUE"""),"Anto EJ, Nugraha SE. Efficacy of Albendazole and Mebendazole With or Without Levamisole for Ascariasis and Trichuriasis. Open Access Maced J Med Sci. 2019 Apr 28;7(8):1299-1302. doi: 10.3889/oamjms.2019.299. PMID: 31110573; PMCID: PMC6514329.")</f>
        <v>Anto EJ, Nugraha SE. Efficacy of Albendazole and Mebendazole With or Without Levamisole for Ascariasis and Trichuriasis. Open Access Maced J Med Sci. 2019 Apr 28;7(8):1299-1302. doi: 10.3889/oamjms.2019.299. PMID: 31110573; PMCID: PMC6514329.</v>
      </c>
      <c r="AL136" s="880" t="str">
        <f>IFERROR(__xludf.DUMMYFUNCTION("""COMPUTED_VALUE"""),"Indonesia")</f>
        <v>Indonesia</v>
      </c>
      <c r="AM136" s="880" t="str">
        <f>IFERROR(__xludf.DUMMYFUNCTION("""COMPUTED_VALUE"""),"Albendazole &amp; Levamisole")</f>
        <v>Albendazole &amp; Levamisole</v>
      </c>
      <c r="AN136" s="880" t="str">
        <f>IFERROR(__xludf.DUMMYFUNCTION("""COMPUTED_VALUE"""),"Single")</f>
        <v>Single</v>
      </c>
      <c r="AO136" s="880" t="str">
        <f>IFERROR(__xludf.DUMMYFUNCTION("""COMPUTED_VALUE"""),"400 mg; 2 tablets of 25 mg (for children weighed 10 – 20 kg), 400 mg; 4 tablets of 25 mg(for children weighed 21 – 40 kg), 400 mg; 6 tablets of 25 mg (for children weighed &gt; 40 kg)")</f>
        <v>400 mg; 2 tablets of 25 mg (for children weighed 10 – 20 kg), 400 mg; 4 tablets of 25 mg(for children weighed 21 – 40 kg), 400 mg; 6 tablets of 25 mg (for children weighed &gt; 40 kg)</v>
      </c>
      <c r="AP136" s="880">
        <f>IFERROR(__xludf.DUMMYFUNCTION("""COMPUTED_VALUE"""),60.0)</f>
        <v>60</v>
      </c>
      <c r="AQ136" s="880">
        <f>IFERROR(__xludf.DUMMYFUNCTION("""COMPUTED_VALUE"""),8.9)</f>
        <v>8.9</v>
      </c>
      <c r="AR136" s="880" t="str">
        <f>IFERROR(__xludf.DUMMYFUNCTION("""COMPUTED_VALUE"""),"28M:32F")</f>
        <v>28M:32F</v>
      </c>
      <c r="AS136" s="880">
        <f>IFERROR(__xludf.DUMMYFUNCTION("""COMPUTED_VALUE"""),2015.0)</f>
        <v>2015</v>
      </c>
      <c r="AT136" s="880" t="str">
        <f>IFERROR(__xludf.DUMMYFUNCTION("""COMPUTED_VALUE"""),"The sample of this study were 180 elementary-school students at Deli Serdang Regency State Elementary School, Medan, Indonesia")</f>
        <v>The sample of this study were 180 elementary-school students at Deli Serdang Regency State Elementary School, Medan, Indonesia</v>
      </c>
      <c r="AU136" s="880" t="str">
        <f>IFERROR(__xludf.DUMMYFUNCTION("""COMPUTED_VALUE"""),"Yes")</f>
        <v>Yes</v>
      </c>
      <c r="AV136" s="880" t="str">
        <f>IFERROR(__xludf.DUMMYFUNCTION("""COMPUTED_VALUE"""),"Yes")</f>
        <v>Yes</v>
      </c>
      <c r="AW136" s="881" t="str">
        <f>IFERROR(__xludf.DUMMYFUNCTION("""COMPUTED_VALUE"""),"Double blind")</f>
        <v>Double blind</v>
      </c>
      <c r="AX136" s="863">
        <f>IFERROR(__xludf.DUMMYFUNCTION("""COMPUTED_VALUE"""),0.947)</f>
        <v>0.947</v>
      </c>
      <c r="AY136" s="863"/>
      <c r="AZ136" s="863"/>
      <c r="BA136" s="863"/>
      <c r="BB136" s="863"/>
      <c r="BC136" s="863"/>
      <c r="BD136" s="863"/>
      <c r="BE136" s="863"/>
      <c r="BF136" s="863"/>
      <c r="BG136" s="863"/>
      <c r="BH136" s="863" t="str">
        <f>IFERROR(__xludf.DUMMYFUNCTION("""COMPUTED_VALUE"""),"21st day: 8.80/g")</f>
        <v>21st day: 8.80/g</v>
      </c>
      <c r="BI136" s="863"/>
      <c r="BJ136" s="863"/>
      <c r="BK136" s="863"/>
      <c r="BL136" s="863"/>
      <c r="BM136" s="863"/>
      <c r="BN136" s="863" t="str">
        <f>IFERROR(__xludf.DUMMYFUNCTION("""COMPUTED_VALUE"""),"Combination of albendazole and levamisole showed better cure rate for mild trichuriasis and mixed infections. Side effects were similar in all treatment groups.")</f>
        <v>Combination of albendazole and levamisole showed better cure rate for mild trichuriasis and mixed infections. Side effects were similar in all treatment groups.</v>
      </c>
      <c r="BO136" s="863" t="str">
        <f>IFERROR(__xludf.DUMMYFUNCTION("""COMPUTED_VALUE"""),"Kato-Katz technique")</f>
        <v>Kato-Katz technique</v>
      </c>
      <c r="BP136" s="880"/>
      <c r="BQ136" s="863"/>
      <c r="BR136" s="889" t="str">
        <f>IFERROR(__xludf.DUMMYFUNCTION("""COMPUTED_VALUE"""),"Chege et al.")</f>
        <v>Chege et al.</v>
      </c>
      <c r="BS136" s="883" t="str">
        <f>IFERROR(__xludf.DUMMYFUNCTION("""COMPUTED_VALUE"""),"Kenya")</f>
        <v>Kenya</v>
      </c>
      <c r="BT136" s="883" t="str">
        <f>IFERROR(__xludf.DUMMYFUNCTION("""COMPUTED_VALUE"""),"Pyrantel Pamoate")</f>
        <v>Pyrantel Pamoate</v>
      </c>
      <c r="BU136" s="883"/>
      <c r="BV136" s="883" t="str">
        <f>IFERROR(__xludf.DUMMYFUNCTION("""COMPUTED_VALUE"""),"Single")</f>
        <v>Single</v>
      </c>
      <c r="BW136" s="883" t="str">
        <f>IFERROR(__xludf.DUMMYFUNCTION("""COMPUTED_VALUE"""),"10 mg")</f>
        <v>10 mg</v>
      </c>
      <c r="BX136" s="883">
        <f>IFERROR(__xludf.DUMMYFUNCTION("""COMPUTED_VALUE"""),20.0)</f>
        <v>20</v>
      </c>
      <c r="BY136" s="883" t="str">
        <f>IFERROR(__xludf.DUMMYFUNCTION("""COMPUTED_VALUE"""),"School Children")</f>
        <v>School Children</v>
      </c>
      <c r="BZ136" s="883"/>
      <c r="CA136" s="883" t="str">
        <f>IFERROR(__xludf.DUMMYFUNCTION("""COMPUTED_VALUE"""),"M &amp; F")</f>
        <v>M &amp; F</v>
      </c>
      <c r="CB136" s="883"/>
      <c r="CC136" s="883" t="str">
        <f>IFERROR(__xludf.DUMMYFUNCTION("""COMPUTED_VALUE"""),"Yes")</f>
        <v>Yes</v>
      </c>
      <c r="CD136" s="884">
        <f>IFERROR(__xludf.DUMMYFUNCTION("""COMPUTED_VALUE"""),0.9)</f>
        <v>0.9</v>
      </c>
      <c r="CE136" s="883" t="str">
        <f>IFERROR(__xludf.DUMMYFUNCTION("""COMPUTED_VALUE"""),"Yes")</f>
        <v>Yes</v>
      </c>
      <c r="CF136" s="883"/>
      <c r="CG136" s="883"/>
      <c r="CH136" s="883"/>
      <c r="CI136" s="883"/>
      <c r="CJ136" s="883"/>
      <c r="CK136" s="883"/>
      <c r="CL136" s="883"/>
      <c r="CM136" s="883" t="str">
        <f>IFERROR(__xludf.DUMMYFUNCTION("""COMPUTED_VALUE"""),"Mean Slide: 1.0")</f>
        <v>Mean Slide: 1.0</v>
      </c>
      <c r="CN136" s="883"/>
      <c r="CO136" s="883"/>
      <c r="CP136" s="883"/>
      <c r="CQ136" s="883"/>
      <c r="CR136" s="883"/>
      <c r="CS136" s="883"/>
      <c r="CT136" s="883"/>
      <c r="CU136" s="883"/>
      <c r="CV136" s="863"/>
      <c r="CW136" s="863"/>
      <c r="CX136" s="863"/>
      <c r="CY136" s="863"/>
      <c r="CZ136" s="863"/>
      <c r="DA136" s="863"/>
      <c r="DB136" s="863"/>
      <c r="DC136" s="863"/>
      <c r="DD136" s="863"/>
      <c r="DE136" s="863"/>
    </row>
    <row r="137">
      <c r="A137" s="887" t="str">
        <f>IFERROR(__xludf.DUMMYFUNCTION("""COMPUTED_VALUE"""),"Viravan et al.")</f>
        <v>Viravan et al.</v>
      </c>
      <c r="B137" s="876" t="str">
        <f>IFERROR(__xludf.DUMMYFUNCTION("""COMPUTED_VALUE"""),"Thailand")</f>
        <v>Thailand</v>
      </c>
      <c r="C137" s="876" t="str">
        <f>IFERROR(__xludf.DUMMYFUNCTION("""COMPUTED_VALUE"""),"Albendazole")</f>
        <v>Albendazole</v>
      </c>
      <c r="D137" s="876" t="str">
        <f>IFERROR(__xludf.DUMMYFUNCTION("""COMPUTED_VALUE"""),"Single")</f>
        <v>Single</v>
      </c>
      <c r="E137" s="876" t="str">
        <f>IFERROR(__xludf.DUMMYFUNCTION("""COMPUTED_VALUE"""),"600 mg")</f>
        <v>600 mg</v>
      </c>
      <c r="F137" s="876">
        <f>IFERROR(__xludf.DUMMYFUNCTION("""COMPUTED_VALUE"""),13.0)</f>
        <v>13</v>
      </c>
      <c r="G137" s="876" t="str">
        <f>IFERROR(__xludf.DUMMYFUNCTION("""COMPUTED_VALUE"""),"12-66 ")</f>
        <v>12-66 </v>
      </c>
      <c r="H137" s="876" t="str">
        <f>IFERROR(__xludf.DUMMYFUNCTION("""COMPUTED_VALUE"""),"6:7")</f>
        <v>6:7</v>
      </c>
      <c r="I137" s="876">
        <f>IFERROR(__xludf.DUMMYFUNCTION("""COMPUTED_VALUE"""),1981.0)</f>
        <v>1981</v>
      </c>
      <c r="J137" s="876"/>
      <c r="K137" s="876" t="str">
        <f>IFERROR(__xludf.DUMMYFUNCTION("""COMPUTED_VALUE"""),"clinical trial")</f>
        <v>clinical trial</v>
      </c>
      <c r="L137" s="876" t="str">
        <f>IFERROR(__xludf.DUMMYFUNCTION("""COMPUTED_VALUE"""),"No")</f>
        <v>No</v>
      </c>
      <c r="M137" s="876" t="str">
        <f>IFERROR(__xludf.DUMMYFUNCTION("""COMPUTED_VALUE"""),"No")</f>
        <v>No</v>
      </c>
      <c r="N137" s="877">
        <f>IFERROR(__xludf.DUMMYFUNCTION("""COMPUTED_VALUE"""),0.46)</f>
        <v>0.46</v>
      </c>
      <c r="O137" s="876">
        <f>IFERROR(__xludf.DUMMYFUNCTION("""COMPUTED_VALUE"""),0.62)</f>
        <v>0.62</v>
      </c>
      <c r="P137" s="876">
        <f>IFERROR(__xludf.DUMMYFUNCTION("""COMPUTED_VALUE"""),0.46)</f>
        <v>0.46</v>
      </c>
      <c r="Q137" s="876"/>
      <c r="R137" s="876"/>
      <c r="S137" s="876"/>
      <c r="T137" s="876"/>
      <c r="U137" s="876"/>
      <c r="V137" s="876"/>
      <c r="W137" s="876" t="str">
        <f>IFERROR(__xludf.DUMMYFUNCTION("""COMPUTED_VALUE"""),"Day 14: 95.2%, Day 21: 95.62 %")</f>
        <v>Day 14: 95.2%, Day 21: 95.62 %</v>
      </c>
      <c r="X137" s="876"/>
      <c r="Y137" s="876"/>
      <c r="Z137" s="876"/>
      <c r="AA137" s="876"/>
      <c r="AB137" s="876"/>
      <c r="AC137" s="876"/>
      <c r="AD137" s="876"/>
      <c r="AE137" s="876"/>
      <c r="AF137" s="876" t="str">
        <f>IFERROR(__xludf.DUMMYFUNCTION("""COMPUTED_VALUE"""),"Stoll egg count")</f>
        <v>Stoll egg count</v>
      </c>
      <c r="AG137" s="876" t="str">
        <f>IFERROR(__xludf.DUMMYFUNCTION("""COMPUTED_VALUE"""),"Viravan C, Migasena S, Bunnag D, Tranakchit H. “Clinical Trial of Albendazolein Hookworm Infection”. The Southeast Asian Journal of Tropical Medicine and Public Health (1982): 654-657. Web.")</f>
        <v>Viravan C, Migasena S, Bunnag D, Tranakchit H. “Clinical Trial of Albendazolein Hookworm Infection”. The Southeast Asian Journal of Tropical Medicine and Public Health (1982): 654-657. Web.</v>
      </c>
      <c r="AH137" s="876"/>
      <c r="AI137" s="878"/>
      <c r="AJ137" s="888" t="str">
        <f>IFERROR(__xludf.DUMMYFUNCTION("""COMPUTED_VALUE"""),"Efficacy of Albendazole and Mebendazole With or Without Levamisole for Ascariasis and Trichuriasis")</f>
        <v>Efficacy of Albendazole and Mebendazole With or Without Levamisole for Ascariasis and Trichuriasis</v>
      </c>
      <c r="AK137" s="880" t="str">
        <f>IFERROR(__xludf.DUMMYFUNCTION("""COMPUTED_VALUE"""),"Anto EJ, Nugraha SE. Efficacy of Albendazole and Mebendazole With or Without Levamisole for Ascariasis and Trichuriasis. Open Access Maced J Med Sci. 2019 Apr 28;7(8):1299-1302. doi: 10.3889/oamjms.2019.299. PMID: 31110573; PMCID: PMC6514329.")</f>
        <v>Anto EJ, Nugraha SE. Efficacy of Albendazole and Mebendazole With or Without Levamisole for Ascariasis and Trichuriasis. Open Access Maced J Med Sci. 2019 Apr 28;7(8):1299-1302. doi: 10.3889/oamjms.2019.299. PMID: 31110573; PMCID: PMC6514329.</v>
      </c>
      <c r="AL137" s="880" t="str">
        <f>IFERROR(__xludf.DUMMYFUNCTION("""COMPUTED_VALUE"""),"Indonesia")</f>
        <v>Indonesia</v>
      </c>
      <c r="AM137" s="880" t="str">
        <f>IFERROR(__xludf.DUMMYFUNCTION("""COMPUTED_VALUE"""),"Mebendazole &amp; Levamisole")</f>
        <v>Mebendazole &amp; Levamisole</v>
      </c>
      <c r="AN137" s="880" t="str">
        <f>IFERROR(__xludf.DUMMYFUNCTION("""COMPUTED_VALUE"""),"Single")</f>
        <v>Single</v>
      </c>
      <c r="AO137" s="880" t="str">
        <f>IFERROR(__xludf.DUMMYFUNCTION("""COMPUTED_VALUE"""),"500 mg; 2 tablets of 25 mg (for children weighed 10 – 20 kg), 500 mg; 4 tablets of 25 mg (for children weighed 21 – 40 kg), 500 mg; 6 tablets of 25 mg (for children weighed &gt; 40 kg)")</f>
        <v>500 mg; 2 tablets of 25 mg (for children weighed 10 – 20 kg), 500 mg; 4 tablets of 25 mg (for children weighed 21 – 40 kg), 500 mg; 6 tablets of 25 mg (for children weighed &gt; 40 kg)</v>
      </c>
      <c r="AP137" s="880">
        <f>IFERROR(__xludf.DUMMYFUNCTION("""COMPUTED_VALUE"""),60.0)</f>
        <v>60</v>
      </c>
      <c r="AQ137" s="880">
        <f>IFERROR(__xludf.DUMMYFUNCTION("""COMPUTED_VALUE"""),9.1)</f>
        <v>9.1</v>
      </c>
      <c r="AR137" s="880" t="str">
        <f>IFERROR(__xludf.DUMMYFUNCTION("""COMPUTED_VALUE"""),"31M:29F")</f>
        <v>31M:29F</v>
      </c>
      <c r="AS137" s="880">
        <f>IFERROR(__xludf.DUMMYFUNCTION("""COMPUTED_VALUE"""),2015.0)</f>
        <v>2015</v>
      </c>
      <c r="AT137" s="880" t="str">
        <f>IFERROR(__xludf.DUMMYFUNCTION("""COMPUTED_VALUE"""),"The sample of this study were 180 elementary-school students at Deli Serdang Regency State Elementary School, Medan, Indonesia")</f>
        <v>The sample of this study were 180 elementary-school students at Deli Serdang Regency State Elementary School, Medan, Indonesia</v>
      </c>
      <c r="AU137" s="880" t="str">
        <f>IFERROR(__xludf.DUMMYFUNCTION("""COMPUTED_VALUE"""),"Yes")</f>
        <v>Yes</v>
      </c>
      <c r="AV137" s="880" t="str">
        <f>IFERROR(__xludf.DUMMYFUNCTION("""COMPUTED_VALUE"""),"Yes")</f>
        <v>Yes</v>
      </c>
      <c r="AW137" s="881" t="str">
        <f>IFERROR(__xludf.DUMMYFUNCTION("""COMPUTED_VALUE"""),"Double blind")</f>
        <v>Double blind</v>
      </c>
      <c r="AX137" s="863">
        <f>IFERROR(__xludf.DUMMYFUNCTION("""COMPUTED_VALUE"""),0.923)</f>
        <v>0.923</v>
      </c>
      <c r="AY137" s="863"/>
      <c r="AZ137" s="863"/>
      <c r="BA137" s="863"/>
      <c r="BB137" s="863"/>
      <c r="BC137" s="863"/>
      <c r="BD137" s="863"/>
      <c r="BE137" s="863"/>
      <c r="BF137" s="863"/>
      <c r="BG137" s="863"/>
      <c r="BH137" s="863">
        <f>IFERROR(__xludf.DUMMYFUNCTION("""COMPUTED_VALUE"""),0.531)</f>
        <v>0.531</v>
      </c>
      <c r="BI137" s="863"/>
      <c r="BJ137" s="863"/>
      <c r="BK137" s="863"/>
      <c r="BL137" s="863"/>
      <c r="BM137" s="863"/>
      <c r="BN137" s="863" t="str">
        <f>IFERROR(__xludf.DUMMYFUNCTION("""COMPUTED_VALUE"""),"Combination of albendazole and levamisole showed better cure rate for mild trichuriasis and mixed infections. Side effects were similar in all treatment groups.")</f>
        <v>Combination of albendazole and levamisole showed better cure rate for mild trichuriasis and mixed infections. Side effects were similar in all treatment groups.</v>
      </c>
      <c r="BO137" s="863" t="str">
        <f>IFERROR(__xludf.DUMMYFUNCTION("""COMPUTED_VALUE"""),"Kato-Katz technique")</f>
        <v>Kato-Katz technique</v>
      </c>
      <c r="BP137" s="880"/>
      <c r="BQ137" s="863"/>
      <c r="BR137" s="889" t="str">
        <f>IFERROR(__xludf.DUMMYFUNCTION("""COMPUTED_VALUE"""),"Chege et al.")</f>
        <v>Chege et al.</v>
      </c>
      <c r="BS137" s="883" t="str">
        <f>IFERROR(__xludf.DUMMYFUNCTION("""COMPUTED_VALUE"""),"Kenya")</f>
        <v>Kenya</v>
      </c>
      <c r="BT137" s="883" t="str">
        <f>IFERROR(__xludf.DUMMYFUNCTION("""COMPUTED_VALUE"""),"Phenylene Diisothiocyanate")</f>
        <v>Phenylene Diisothiocyanate</v>
      </c>
      <c r="BU137" s="883"/>
      <c r="BV137" s="883" t="str">
        <f>IFERROR(__xludf.DUMMYFUNCTION("""COMPUTED_VALUE"""),"Single")</f>
        <v>Single</v>
      </c>
      <c r="BW137" s="883" t="str">
        <f>IFERROR(__xludf.DUMMYFUNCTION("""COMPUTED_VALUE"""),"3 mg")</f>
        <v>3 mg</v>
      </c>
      <c r="BX137" s="883">
        <f>IFERROR(__xludf.DUMMYFUNCTION("""COMPUTED_VALUE"""),17.0)</f>
        <v>17</v>
      </c>
      <c r="BY137" s="883" t="str">
        <f>IFERROR(__xludf.DUMMYFUNCTION("""COMPUTED_VALUE"""),"School Children")</f>
        <v>School Children</v>
      </c>
      <c r="BZ137" s="883"/>
      <c r="CA137" s="883" t="str">
        <f>IFERROR(__xludf.DUMMYFUNCTION("""COMPUTED_VALUE"""),"M &amp; F")</f>
        <v>M &amp; F</v>
      </c>
      <c r="CB137" s="883"/>
      <c r="CC137" s="883" t="str">
        <f>IFERROR(__xludf.DUMMYFUNCTION("""COMPUTED_VALUE"""),"Yes")</f>
        <v>Yes</v>
      </c>
      <c r="CD137" s="884">
        <f>IFERROR(__xludf.DUMMYFUNCTION("""COMPUTED_VALUE"""),0.24)</f>
        <v>0.24</v>
      </c>
      <c r="CE137" s="883" t="str">
        <f>IFERROR(__xludf.DUMMYFUNCTION("""COMPUTED_VALUE"""),"Yes")</f>
        <v>Yes</v>
      </c>
      <c r="CF137" s="883"/>
      <c r="CG137" s="883"/>
      <c r="CH137" s="883"/>
      <c r="CI137" s="883"/>
      <c r="CJ137" s="883"/>
      <c r="CK137" s="883"/>
      <c r="CL137" s="883"/>
      <c r="CM137" s="883" t="str">
        <f>IFERROR(__xludf.DUMMYFUNCTION("""COMPUTED_VALUE"""),"Mean Slide: 75.9")</f>
        <v>Mean Slide: 75.9</v>
      </c>
      <c r="CN137" s="883"/>
      <c r="CO137" s="883"/>
      <c r="CP137" s="883"/>
      <c r="CQ137" s="883"/>
      <c r="CR137" s="883"/>
      <c r="CS137" s="883"/>
      <c r="CT137" s="883"/>
      <c r="CU137" s="883"/>
      <c r="CV137" s="863"/>
      <c r="CW137" s="863"/>
      <c r="CX137" s="863"/>
      <c r="CY137" s="863"/>
      <c r="CZ137" s="863"/>
      <c r="DA137" s="863"/>
      <c r="DB137" s="863"/>
      <c r="DC137" s="863"/>
      <c r="DD137" s="863"/>
      <c r="DE137" s="863"/>
    </row>
    <row r="138">
      <c r="A138" s="887" t="str">
        <f>IFERROR(__xludf.DUMMYFUNCTION("""COMPUTED_VALUE"""),"Wen et al.")</f>
        <v>Wen et al.</v>
      </c>
      <c r="B138" s="876" t="str">
        <f>IFERROR(__xludf.DUMMYFUNCTION("""COMPUTED_VALUE"""),"China")</f>
        <v>China</v>
      </c>
      <c r="C138" s="876" t="str">
        <f>IFERROR(__xludf.DUMMYFUNCTION("""COMPUTED_VALUE"""),"Ivermectin")</f>
        <v>Ivermectin</v>
      </c>
      <c r="D138" s="876" t="str">
        <f>IFERROR(__xludf.DUMMYFUNCTION("""COMPUTED_VALUE"""),"Single")</f>
        <v>Single</v>
      </c>
      <c r="E138" s="876" t="str">
        <f>IFERROR(__xludf.DUMMYFUNCTION("""COMPUTED_VALUE"""),"0.2 mg")</f>
        <v>0.2 mg</v>
      </c>
      <c r="F138" s="876">
        <f>IFERROR(__xludf.DUMMYFUNCTION("""COMPUTED_VALUE"""),102.0)</f>
        <v>102</v>
      </c>
      <c r="G138" s="876">
        <f>IFERROR(__xludf.DUMMYFUNCTION("""COMPUTED_VALUE"""),47.4)</f>
        <v>47.4</v>
      </c>
      <c r="H138" s="876" t="str">
        <f>IFERROR(__xludf.DUMMYFUNCTION("""COMPUTED_VALUE"""),"49:53")</f>
        <v>49:53</v>
      </c>
      <c r="I138" s="876">
        <f>IFERROR(__xludf.DUMMYFUNCTION("""COMPUTED_VALUE"""),2005.0)</f>
        <v>2005</v>
      </c>
      <c r="J138" s="876" t="str">
        <f>IFERROR(__xludf.DUMMYFUNCTION("""COMPUTED_VALUE"""),"Excluded from the study were those with other diseases such as hepatic, renal, cardiovascular diseases, and pregnant or lactating women")</f>
        <v>Excluded from the study were those with other diseases such as hepatic, renal, cardiovascular diseases, and pregnant or lactating women</v>
      </c>
      <c r="K138" s="876" t="str">
        <f>IFERROR(__xludf.DUMMYFUNCTION("""COMPUTED_VALUE"""),"randomized double-blind multi-center clinical trial")</f>
        <v>randomized double-blind multi-center clinical trial</v>
      </c>
      <c r="L138" s="876" t="str">
        <f>IFERROR(__xludf.DUMMYFUNCTION("""COMPUTED_VALUE"""),"Yes")</f>
        <v>Yes</v>
      </c>
      <c r="M138" s="876" t="str">
        <f>IFERROR(__xludf.DUMMYFUNCTION("""COMPUTED_VALUE"""),"Yes")</f>
        <v>Yes</v>
      </c>
      <c r="N138" s="877">
        <f>IFERROR(__xludf.DUMMYFUNCTION("""COMPUTED_VALUE"""),0.333)</f>
        <v>0.333</v>
      </c>
      <c r="O138" s="876"/>
      <c r="P138" s="876"/>
      <c r="Q138" s="876"/>
      <c r="R138" s="876"/>
      <c r="S138" s="876"/>
      <c r="T138" s="876"/>
      <c r="U138" s="876"/>
      <c r="V138" s="876"/>
      <c r="W138" s="876">
        <f>IFERROR(__xludf.DUMMYFUNCTION("""COMPUTED_VALUE"""),0.8)</f>
        <v>0.8</v>
      </c>
      <c r="X138" s="876"/>
      <c r="Y138" s="876"/>
      <c r="Z138" s="876"/>
      <c r="AA138" s="876"/>
      <c r="AB138" s="876"/>
      <c r="AC138" s="876"/>
      <c r="AD138" s="876"/>
      <c r="AE138" s="876" t="str">
        <f>IFERROR(__xludf.DUMMYFUNCTION("""COMPUTED_VALUE"""),"The study showed that ivermectin, with few side effects, could be used as an additional treatment tool for intestinal nematodes.")</f>
        <v>The study showed that ivermectin, with few side effects, could be used as an additional treatment tool for intestinal nematodes.</v>
      </c>
      <c r="AF138" s="876" t="str">
        <f>IFERROR(__xludf.DUMMYFUNCTION("""COMPUTED_VALUE"""),"Kato-Katz method")</f>
        <v>Kato-Katz method</v>
      </c>
      <c r="AG138" s="876" t="str">
        <f>IFERROR(__xludf.DUMMYFUNCTION("""COMPUTED_VALUE"""),"Wen, L., Yan, X., Sun, F., Fang, Y., Yang, M., Lou, L. “A randomized, double-blind, multicenter clinical trial on the efficacy of ivermectin against intestinal nematode infections in China”. Acta Tropica 106 (2008): 190-194. Web.")</f>
        <v>Wen, L., Yan, X., Sun, F., Fang, Y., Yang, M., Lou, L. “A randomized, double-blind, multicenter clinical trial on the efficacy of ivermectin against intestinal nematode infections in China”. Acta Tropica 106 (2008): 190-194. Web.</v>
      </c>
      <c r="AH138" s="876"/>
      <c r="AI138" s="878"/>
      <c r="AJ138" s="888" t="str">
        <f>IFERROR(__xludf.DUMMYFUNCTION("""COMPUTED_VALUE"""),"Efficacy and safety of tribendimidine, tribendimidine plus ivermectin, tribendimidine plus oxantel pamoate, and albendazole plus oxantel pamoate against hookworm and concomitant soil-transmitted helminth infections in Tanzania and Côte d'Ivoire: a randomi"&amp;"sed, controlled, single-blinded, non-inferiority trial")</f>
        <v>Efficacy and safety of tribendimidine, tribendimidine plus ivermectin, tribendimidine plus oxantel pamoate, and albendazole plus oxantel pamoate against hookworm and concomitant soil-transmitted helminth infections in Tanzania and Côte d'Ivoire: a randomised, controlled, single-blinded, non-inferiority trial</v>
      </c>
      <c r="AK138" s="880" t="str">
        <f>IFERROR(__xludf.DUMMYFUNCTION("""COMPUTED_VALUE"""),"Moser W, Coulibaly JT, Ali SM, Ame SM, Amour AK, Yapi RB, Albonico M, Puchkov M, Huwyler J, Hattendorf J, Keiser J. Efficacy and safety of tribendimidine, tribendimidine plus ivermectin, tribendimidine plus oxantel pamoate, and albendazole plus oxantel pa"&amp;"moate against hookworm and concomitant soil-transmitted helminth infections in Tanzania and Côte d'Ivoire: a randomised, controlled, single-blinded, non-inferiority trial. Lancet Infect Dis. 2017 Nov;17(11):1162-1171. doi: 10.1016/S1473-3099(17)30487-5. E"&amp;"pub 2017 Aug 29. PMID: 28864027.")</f>
        <v>Moser W, Coulibaly JT, Ali SM, Ame SM, Amour AK, Yapi RB, Albonico M, Puchkov M, Huwyler J, Hattendorf J, Keiser J. Efficacy and safety of tribendimidine, tribendimidine plus ivermectin, tribendimidine plus oxantel pamoate, and albendazole plus oxantel pamoate against hookworm and concomitant soil-transmitted helminth infections in Tanzania and Côte d'Ivoire: a randomised, controlled, single-blinded, non-inferiority trial. Lancet Infect Dis. 2017 Nov;17(11):1162-1171. doi: 10.1016/S1473-3099(17)30487-5. Epub 2017 Aug 29. PMID: 28864027.</v>
      </c>
      <c r="AL138" s="880" t="str">
        <f>IFERROR(__xludf.DUMMYFUNCTION("""COMPUTED_VALUE"""),"Tanzania")</f>
        <v>Tanzania</v>
      </c>
      <c r="AM138" s="880" t="str">
        <f>IFERROR(__xludf.DUMMYFUNCTION("""COMPUTED_VALUE"""),"Tribendimidine")</f>
        <v>Tribendimidine</v>
      </c>
      <c r="AN138" s="880" t="str">
        <f>IFERROR(__xludf.DUMMYFUNCTION("""COMPUTED_VALUE"""),"Single")</f>
        <v>Single</v>
      </c>
      <c r="AO138" s="880" t="str">
        <f>IFERROR(__xludf.DUMMYFUNCTION("""COMPUTED_VALUE"""),"400 mg")</f>
        <v>400 mg</v>
      </c>
      <c r="AP138" s="880">
        <f>IFERROR(__xludf.DUMMYFUNCTION("""COMPUTED_VALUE"""),159.0)</f>
        <v>159</v>
      </c>
      <c r="AQ138" s="880">
        <f>IFERROR(__xludf.DUMMYFUNCTION("""COMPUTED_VALUE"""),15.8)</f>
        <v>15.8</v>
      </c>
      <c r="AR138" s="880" t="str">
        <f>IFERROR(__xludf.DUMMYFUNCTION("""COMPUTED_VALUE"""),"74M:85F")</f>
        <v>74M:85F</v>
      </c>
      <c r="AS138" s="880">
        <f>IFERROR(__xludf.DUMMYFUNCTION("""COMPUTED_VALUE"""),2016.0)</f>
        <v>2016</v>
      </c>
      <c r="AT138" s="880" t="str">
        <f>IFERROR(__xludf.DUMMYFUNCTION("""COMPUTED_VALUE"""),"We recruited adolescents aged 15–18 years from four primary schools on Pemba, and school attendees and non-schoolers from two districts in Côte d’Ivoire")</f>
        <v>We recruited adolescents aged 15–18 years from four primary schools on Pemba, and school attendees and non-schoolers from two districts in Côte d’Ivoire</v>
      </c>
      <c r="AU138" s="880" t="str">
        <f>IFERROR(__xludf.DUMMYFUNCTION("""COMPUTED_VALUE"""),"Yes")</f>
        <v>Yes</v>
      </c>
      <c r="AV138" s="880" t="str">
        <f>IFERROR(__xludf.DUMMYFUNCTION("""COMPUTED_VALUE"""),"Yes")</f>
        <v>Yes</v>
      </c>
      <c r="AW138" s="881" t="str">
        <f>IFERROR(__xludf.DUMMYFUNCTION("""COMPUTED_VALUE"""),"Single-blind")</f>
        <v>Single-blind</v>
      </c>
      <c r="AX138" s="863">
        <f>IFERROR(__xludf.DUMMYFUNCTION("""COMPUTED_VALUE"""),0.082)</f>
        <v>0.082</v>
      </c>
      <c r="AY138" s="863"/>
      <c r="AZ138" s="863"/>
      <c r="BA138" s="863"/>
      <c r="BB138" s="863"/>
      <c r="BC138" s="863"/>
      <c r="BD138" s="863"/>
      <c r="BE138" s="863"/>
      <c r="BF138" s="863"/>
      <c r="BG138" s="863"/>
      <c r="BH138" s="863">
        <f>IFERROR(__xludf.DUMMYFUNCTION("""COMPUTED_VALUE"""),0.964)</f>
        <v>0.964</v>
      </c>
      <c r="BI138" s="863"/>
      <c r="BJ138" s="863"/>
      <c r="BK138" s="863"/>
      <c r="BL138" s="863"/>
      <c r="BM138" s="863"/>
      <c r="BN138" s="863" t="str">
        <f>IFERROR(__xludf.DUMMYFUNCTION("""COMPUTED_VALUE"""),"Tribendimidine showed a similar efficacy profile as albendazole. We recommend tribendimidine to complement albendazole in preventive chemotherapy interventions, to decrease drug pressure on soil-transmitted helminths and avoid the emergence of drug resist"&amp;"ance against benzimidazoles. Moreover, the coadministration of tribendimidine with ivermectin or oxantel pamoate could broaden the spectrum of activity.")</f>
        <v>Tribendimidine showed a similar efficacy profile as albendazole. We recommend tribendimidine to complement albendazole in preventive chemotherapy interventions, to decrease drug pressure on soil-transmitted helminths and avoid the emergence of drug resistance against benzimidazoles. Moreover, the coadministration of tribendimidine with ivermectin or oxantel pamoate could broaden the spectrum of activity.</v>
      </c>
      <c r="BO138" s="863" t="str">
        <f>IFERROR(__xludf.DUMMYFUNCTION("""COMPUTED_VALUE"""),"Kato-Katz technique")</f>
        <v>Kato-Katz technique</v>
      </c>
      <c r="BP138" s="880"/>
      <c r="BQ138" s="863"/>
      <c r="BR138" s="889" t="str">
        <f>IFERROR(__xludf.DUMMYFUNCTION("""COMPUTED_VALUE"""),"Chege et al.")</f>
        <v>Chege et al.</v>
      </c>
      <c r="BS138" s="883" t="str">
        <f>IFERROR(__xludf.DUMMYFUNCTION("""COMPUTED_VALUE"""),"Kenya")</f>
        <v>Kenya</v>
      </c>
      <c r="BT138" s="883" t="str">
        <f>IFERROR(__xludf.DUMMYFUNCTION("""COMPUTED_VALUE"""),"Placebo")</f>
        <v>Placebo</v>
      </c>
      <c r="BU138" s="883"/>
      <c r="BV138" s="883"/>
      <c r="BW138" s="883"/>
      <c r="BX138" s="883">
        <f>IFERROR(__xludf.DUMMYFUNCTION("""COMPUTED_VALUE"""),18.0)</f>
        <v>18</v>
      </c>
      <c r="BY138" s="883" t="str">
        <f>IFERROR(__xludf.DUMMYFUNCTION("""COMPUTED_VALUE"""),"School Children")</f>
        <v>School Children</v>
      </c>
      <c r="BZ138" s="883"/>
      <c r="CA138" s="883" t="str">
        <f>IFERROR(__xludf.DUMMYFUNCTION("""COMPUTED_VALUE"""),"M &amp; F")</f>
        <v>M &amp; F</v>
      </c>
      <c r="CB138" s="883"/>
      <c r="CC138" s="883" t="str">
        <f>IFERROR(__xludf.DUMMYFUNCTION("""COMPUTED_VALUE"""),"Yes")</f>
        <v>Yes</v>
      </c>
      <c r="CD138" s="884">
        <f>IFERROR(__xludf.DUMMYFUNCTION("""COMPUTED_VALUE"""),0.16)</f>
        <v>0.16</v>
      </c>
      <c r="CE138" s="883" t="str">
        <f>IFERROR(__xludf.DUMMYFUNCTION("""COMPUTED_VALUE"""),"Yes")</f>
        <v>Yes</v>
      </c>
      <c r="CF138" s="883"/>
      <c r="CG138" s="883"/>
      <c r="CH138" s="883"/>
      <c r="CI138" s="883"/>
      <c r="CJ138" s="883"/>
      <c r="CK138" s="883"/>
      <c r="CL138" s="883"/>
      <c r="CM138" s="883" t="str">
        <f>IFERROR(__xludf.DUMMYFUNCTION("""COMPUTED_VALUE"""),"Mean Slide: 54.9")</f>
        <v>Mean Slide: 54.9</v>
      </c>
      <c r="CN138" s="883"/>
      <c r="CO138" s="883"/>
      <c r="CP138" s="883"/>
      <c r="CQ138" s="883"/>
      <c r="CR138" s="883"/>
      <c r="CS138" s="883"/>
      <c r="CT138" s="883"/>
      <c r="CU138" s="883"/>
      <c r="CV138" s="863"/>
      <c r="CW138" s="863"/>
      <c r="CX138" s="863"/>
      <c r="CY138" s="863"/>
      <c r="CZ138" s="863"/>
      <c r="DA138" s="863"/>
      <c r="DB138" s="863"/>
      <c r="DC138" s="863"/>
      <c r="DD138" s="863"/>
      <c r="DE138" s="863"/>
    </row>
    <row r="139">
      <c r="A139" s="887" t="str">
        <f>IFERROR(__xludf.DUMMYFUNCTION("""COMPUTED_VALUE"""),"Wen et al.")</f>
        <v>Wen et al.</v>
      </c>
      <c r="B139" s="876" t="str">
        <f>IFERROR(__xludf.DUMMYFUNCTION("""COMPUTED_VALUE"""),"China")</f>
        <v>China</v>
      </c>
      <c r="C139" s="876" t="str">
        <f>IFERROR(__xludf.DUMMYFUNCTION("""COMPUTED_VALUE"""),"Albendazole")</f>
        <v>Albendazole</v>
      </c>
      <c r="D139" s="876" t="str">
        <f>IFERROR(__xludf.DUMMYFUNCTION("""COMPUTED_VALUE"""),"Single")</f>
        <v>Single</v>
      </c>
      <c r="E139" s="876" t="str">
        <f>IFERROR(__xludf.DUMMYFUNCTION("""COMPUTED_VALUE"""),"6.7 mg")</f>
        <v>6.7 mg</v>
      </c>
      <c r="F139" s="876">
        <f>IFERROR(__xludf.DUMMYFUNCTION("""COMPUTED_VALUE"""),102.0)</f>
        <v>102</v>
      </c>
      <c r="G139" s="876">
        <f>IFERROR(__xludf.DUMMYFUNCTION("""COMPUTED_VALUE"""),45.7)</f>
        <v>45.7</v>
      </c>
      <c r="H139" s="876" t="str">
        <f>IFERROR(__xludf.DUMMYFUNCTION("""COMPUTED_VALUE"""),"1:1")</f>
        <v>1:1</v>
      </c>
      <c r="I139" s="876">
        <f>IFERROR(__xludf.DUMMYFUNCTION("""COMPUTED_VALUE"""),2005.0)</f>
        <v>2005</v>
      </c>
      <c r="J139" s="876" t="str">
        <f>IFERROR(__xludf.DUMMYFUNCTION("""COMPUTED_VALUE"""),"Excluded from the study were those with other diseases such as hepatic, renal, cardiovascular diseases, and pregnant or lactating women.")</f>
        <v>Excluded from the study were those with other diseases such as hepatic, renal, cardiovascular diseases, and pregnant or lactating women.</v>
      </c>
      <c r="K139" s="876" t="str">
        <f>IFERROR(__xludf.DUMMYFUNCTION("""COMPUTED_VALUE"""),"randomized double-blind multi-center clinical trial")</f>
        <v>randomized double-blind multi-center clinical trial</v>
      </c>
      <c r="L139" s="876" t="str">
        <f>IFERROR(__xludf.DUMMYFUNCTION("""COMPUTED_VALUE"""),"Yes")</f>
        <v>Yes</v>
      </c>
      <c r="M139" s="876" t="str">
        <f>IFERROR(__xludf.DUMMYFUNCTION("""COMPUTED_VALUE"""),"Yes")</f>
        <v>Yes</v>
      </c>
      <c r="N139" s="877">
        <f>IFERROR(__xludf.DUMMYFUNCTION("""COMPUTED_VALUE"""),0.696)</f>
        <v>0.696</v>
      </c>
      <c r="O139" s="876"/>
      <c r="P139" s="876"/>
      <c r="Q139" s="876"/>
      <c r="R139" s="876"/>
      <c r="S139" s="876"/>
      <c r="T139" s="876"/>
      <c r="U139" s="876"/>
      <c r="V139" s="876"/>
      <c r="W139" s="876">
        <f>IFERROR(__xludf.DUMMYFUNCTION("""COMPUTED_VALUE"""),0.9)</f>
        <v>0.9</v>
      </c>
      <c r="X139" s="876"/>
      <c r="Y139" s="876"/>
      <c r="Z139" s="876"/>
      <c r="AA139" s="876"/>
      <c r="AB139" s="876"/>
      <c r="AC139" s="876"/>
      <c r="AD139" s="876"/>
      <c r="AE139" s="876" t="str">
        <f>IFERROR(__xludf.DUMMYFUNCTION("""COMPUTED_VALUE"""),"The study showed that ivermectin, with few side effects, could be used as an additional treatment tool for intestinal nematodes.")</f>
        <v>The study showed that ivermectin, with few side effects, could be used as an additional treatment tool for intestinal nematodes.</v>
      </c>
      <c r="AF139" s="876" t="str">
        <f>IFERROR(__xludf.DUMMYFUNCTION("""COMPUTED_VALUE"""),"Kato-Katz method")</f>
        <v>Kato-Katz method</v>
      </c>
      <c r="AG139" s="876" t="str">
        <f>IFERROR(__xludf.DUMMYFUNCTION("""COMPUTED_VALUE"""),"Wen, L., Yan, X., Sun, F., Fang, Y., Yang, M., Lou, L. “A randomized, double-blind, multicenter clinical trial on the efficacy of ivermectin against intestinal nematode infections in China”. Acta Tropica 106 (2008): 190-194. Web.")</f>
        <v>Wen, L., Yan, X., Sun, F., Fang, Y., Yang, M., Lou, L. “A randomized, double-blind, multicenter clinical trial on the efficacy of ivermectin against intestinal nematode infections in China”. Acta Tropica 106 (2008): 190-194. Web.</v>
      </c>
      <c r="AH139" s="876"/>
      <c r="AI139" s="878"/>
      <c r="AJ139" s="888" t="str">
        <f>IFERROR(__xludf.DUMMYFUNCTION("""COMPUTED_VALUE"""),"Efficacy and safety of tribendimidine, tribendimidine plus ivermectin, tribendimidine plus oxantel pamoate, and albendazole plus oxantel pamoate against hookworm and concomitant soil-transmitted helminth infections in Tanzania and Côte d'Ivoire: a randomi"&amp;"sed, controlled, single-blinded, non-inferiority trial")</f>
        <v>Efficacy and safety of tribendimidine, tribendimidine plus ivermectin, tribendimidine plus oxantel pamoate, and albendazole plus oxantel pamoate against hookworm and concomitant soil-transmitted helminth infections in Tanzania and Côte d'Ivoire: a randomised, controlled, single-blinded, non-inferiority trial</v>
      </c>
      <c r="AK139" s="880" t="str">
        <f>IFERROR(__xludf.DUMMYFUNCTION("""COMPUTED_VALUE"""),"Moser W, Coulibaly JT, Ali SM, Ame SM, Amour AK, Yapi RB, Albonico M, Puchkov M, Huwyler J, Hattendorf J, Keiser J. Efficacy and safety of tribendimidine, tribendimidine plus ivermectin, tribendimidine plus oxantel pamoate, and albendazole plus oxantel pa"&amp;"moate against hookworm and concomitant soil-transmitted helminth infections in Tanzania and Côte d'Ivoire: a randomised, controlled, single-blinded, non-inferiority trial. Lancet Infect Dis. 2017 Nov;17(11):1162-1171. doi: 10.1016/S1473-3099(17)30487-5. E"&amp;"pub 2017 Aug 29. PMID: 28864027.")</f>
        <v>Moser W, Coulibaly JT, Ali SM, Ame SM, Amour AK, Yapi RB, Albonico M, Puchkov M, Huwyler J, Hattendorf J, Keiser J. Efficacy and safety of tribendimidine, tribendimidine plus ivermectin, tribendimidine plus oxantel pamoate, and albendazole plus oxantel pamoate against hookworm and concomitant soil-transmitted helminth infections in Tanzania and Côte d'Ivoire: a randomised, controlled, single-blinded, non-inferiority trial. Lancet Infect Dis. 2017 Nov;17(11):1162-1171. doi: 10.1016/S1473-3099(17)30487-5. Epub 2017 Aug 29. PMID: 28864027.</v>
      </c>
      <c r="AL139" s="880" t="str">
        <f>IFERROR(__xludf.DUMMYFUNCTION("""COMPUTED_VALUE"""),"Tanzania")</f>
        <v>Tanzania</v>
      </c>
      <c r="AM139" s="880" t="str">
        <f>IFERROR(__xludf.DUMMYFUNCTION("""COMPUTED_VALUE"""),"Tribendimidine &amp; Ivermectin")</f>
        <v>Tribendimidine &amp; Ivermectin</v>
      </c>
      <c r="AN139" s="880" t="str">
        <f>IFERROR(__xludf.DUMMYFUNCTION("""COMPUTED_VALUE"""),"Single")</f>
        <v>Single</v>
      </c>
      <c r="AO139" s="880" t="str">
        <f>IFERROR(__xludf.DUMMYFUNCTION("""COMPUTED_VALUE"""),"400 mg; 200 µg/kg")</f>
        <v>400 mg; 200 µg/kg</v>
      </c>
      <c r="AP139" s="880">
        <f>IFERROR(__xludf.DUMMYFUNCTION("""COMPUTED_VALUE"""),159.0)</f>
        <v>159</v>
      </c>
      <c r="AQ139" s="880">
        <f>IFERROR(__xludf.DUMMYFUNCTION("""COMPUTED_VALUE"""),15.9)</f>
        <v>15.9</v>
      </c>
      <c r="AR139" s="880" t="str">
        <f>IFERROR(__xludf.DUMMYFUNCTION("""COMPUTED_VALUE"""),"65M:94F")</f>
        <v>65M:94F</v>
      </c>
      <c r="AS139" s="880">
        <f>IFERROR(__xludf.DUMMYFUNCTION("""COMPUTED_VALUE"""),2016.0)</f>
        <v>2016</v>
      </c>
      <c r="AT139" s="880" t="str">
        <f>IFERROR(__xludf.DUMMYFUNCTION("""COMPUTED_VALUE"""),"We recruited adolescents aged 15–18 years from four primary schools on Pemba, and school attendees and non-schoolers from two districts in Côte d’Ivoire")</f>
        <v>We recruited adolescents aged 15–18 years from four primary schools on Pemba, and school attendees and non-schoolers from two districts in Côte d’Ivoire</v>
      </c>
      <c r="AU139" s="880" t="str">
        <f>IFERROR(__xludf.DUMMYFUNCTION("""COMPUTED_VALUE"""),"Yes")</f>
        <v>Yes</v>
      </c>
      <c r="AV139" s="880" t="str">
        <f>IFERROR(__xludf.DUMMYFUNCTION("""COMPUTED_VALUE"""),"Yes")</f>
        <v>Yes</v>
      </c>
      <c r="AW139" s="881" t="str">
        <f>IFERROR(__xludf.DUMMYFUNCTION("""COMPUTED_VALUE"""),"Single-blind")</f>
        <v>Single-blind</v>
      </c>
      <c r="AX139" s="863">
        <f>IFERROR(__xludf.DUMMYFUNCTION("""COMPUTED_VALUE"""),0.337)</f>
        <v>0.337</v>
      </c>
      <c r="AY139" s="863"/>
      <c r="AZ139" s="863"/>
      <c r="BA139" s="863"/>
      <c r="BB139" s="863"/>
      <c r="BC139" s="863"/>
      <c r="BD139" s="863"/>
      <c r="BE139" s="863"/>
      <c r="BF139" s="863"/>
      <c r="BG139" s="863"/>
      <c r="BH139" s="863">
        <f>IFERROR(__xludf.DUMMYFUNCTION("""COMPUTED_VALUE"""),0.995)</f>
        <v>0.995</v>
      </c>
      <c r="BI139" s="863"/>
      <c r="BJ139" s="863"/>
      <c r="BK139" s="863"/>
      <c r="BL139" s="863"/>
      <c r="BM139" s="863"/>
      <c r="BN139" s="863" t="str">
        <f>IFERROR(__xludf.DUMMYFUNCTION("""COMPUTED_VALUE"""),"Tribendimidine showed a similar efficacy profile as albendazole. We recommend tribendimidine to complement albendazole in preventive chemotherapy interventions, to decrease drug pressure on soil-transmitted helminths and avoid the emergence of drug resist"&amp;"ance against benzimidazoles. Moreover, the coadministration of tribendimidine with ivermectin or oxantel pamoate could broaden the spectrum of activity.")</f>
        <v>Tribendimidine showed a similar efficacy profile as albendazole. We recommend tribendimidine to complement albendazole in preventive chemotherapy interventions, to decrease drug pressure on soil-transmitted helminths and avoid the emergence of drug resistance against benzimidazoles. Moreover, the coadministration of tribendimidine with ivermectin or oxantel pamoate could broaden the spectrum of activity.</v>
      </c>
      <c r="BO139" s="863" t="str">
        <f>IFERROR(__xludf.DUMMYFUNCTION("""COMPUTED_VALUE"""),"Kato-Katz technique")</f>
        <v>Kato-Katz technique</v>
      </c>
      <c r="BP139" s="880"/>
      <c r="BQ139" s="863"/>
      <c r="BR139" s="889" t="str">
        <f>IFERROR(__xludf.DUMMYFUNCTION("""COMPUTED_VALUE"""),"VY Belizario et al.")</f>
        <v>VY Belizario et al.</v>
      </c>
      <c r="BS139" s="883" t="str">
        <f>IFERROR(__xludf.DUMMYFUNCTION("""COMPUTED_VALUE"""),"Phillipines")</f>
        <v>Phillipines</v>
      </c>
      <c r="BT139" s="883" t="str">
        <f>IFERROR(__xludf.DUMMYFUNCTION("""COMPUTED_VALUE"""),"Albendazole")</f>
        <v>Albendazole</v>
      </c>
      <c r="BU139" s="883"/>
      <c r="BV139" s="883" t="str">
        <f>IFERROR(__xludf.DUMMYFUNCTION("""COMPUTED_VALUE"""),"Single")</f>
        <v>Single</v>
      </c>
      <c r="BW139" s="883" t="str">
        <f>IFERROR(__xludf.DUMMYFUNCTION("""COMPUTED_VALUE"""),"400 mg")</f>
        <v>400 mg</v>
      </c>
      <c r="BX139" s="883">
        <f>IFERROR(__xludf.DUMMYFUNCTION("""COMPUTED_VALUE"""),99.0)</f>
        <v>99</v>
      </c>
      <c r="BY139" s="890">
        <f>IFERROR(__xludf.DUMMYFUNCTION("""COMPUTED_VALUE"""),42533.0)</f>
        <v>42533</v>
      </c>
      <c r="BZ139" s="883">
        <f>IFERROR(__xludf.DUMMYFUNCTION("""COMPUTED_VALUE"""),1998.0)</f>
        <v>1998</v>
      </c>
      <c r="CA139" s="883" t="str">
        <f>IFERROR(__xludf.DUMMYFUNCTION("""COMPUTED_VALUE"""),"M &amp; F")</f>
        <v>M &amp; F</v>
      </c>
      <c r="CB139" s="883"/>
      <c r="CC139" s="883" t="str">
        <f>IFERROR(__xludf.DUMMYFUNCTION("""COMPUTED_VALUE"""),"Yes")</f>
        <v>Yes</v>
      </c>
      <c r="CD139" s="884">
        <f>IFERROR(__xludf.DUMMYFUNCTION("""COMPUTED_VALUE"""),0.697)</f>
        <v>0.697</v>
      </c>
      <c r="CE139" s="883" t="str">
        <f>IFERROR(__xludf.DUMMYFUNCTION("""COMPUTED_VALUE"""),"Yes")</f>
        <v>Yes</v>
      </c>
      <c r="CF139" s="884">
        <f>IFERROR(__xludf.DUMMYFUNCTION("""COMPUTED_VALUE"""),0.697)</f>
        <v>0.697</v>
      </c>
      <c r="CG139" s="883"/>
      <c r="CH139" s="883"/>
      <c r="CI139" s="883"/>
      <c r="CJ139" s="883"/>
      <c r="CK139" s="883"/>
      <c r="CL139" s="883"/>
      <c r="CM139" s="891">
        <f>IFERROR(__xludf.DUMMYFUNCTION("""COMPUTED_VALUE"""),0.93)</f>
        <v>0.93</v>
      </c>
      <c r="CN139" s="883"/>
      <c r="CO139" s="883"/>
      <c r="CP139" s="883"/>
      <c r="CQ139" s="883"/>
      <c r="CR139" s="883"/>
      <c r="CS139" s="883"/>
      <c r="CT139" s="883" t="str">
        <f>IFERROR(__xludf.DUMMYFUNCTION("""COMPUTED_VALUE"""),"Kato-Katz Method")</f>
        <v>Kato-Katz Method</v>
      </c>
      <c r="CU139" s="883"/>
      <c r="CV139" s="863"/>
      <c r="CW139" s="863"/>
      <c r="CX139" s="863"/>
      <c r="CY139" s="863"/>
      <c r="CZ139" s="863"/>
      <c r="DA139" s="863"/>
      <c r="DB139" s="863"/>
      <c r="DC139" s="863"/>
      <c r="DD139" s="863"/>
      <c r="DE139" s="863"/>
    </row>
    <row r="140">
      <c r="A140" s="887" t="str">
        <f>IFERROR(__xludf.DUMMYFUNCTION("""COMPUTED_VALUE"""),"Xiao et al.")</f>
        <v>Xiao et al.</v>
      </c>
      <c r="B140" s="876" t="str">
        <f>IFERROR(__xludf.DUMMYFUNCTION("""COMPUTED_VALUE"""),"China")</f>
        <v>China</v>
      </c>
      <c r="C140" s="876" t="str">
        <f>IFERROR(__xludf.DUMMYFUNCTION("""COMPUTED_VALUE"""),"Tribendimidine")</f>
        <v>Tribendimidine</v>
      </c>
      <c r="D140" s="876" t="str">
        <f>IFERROR(__xludf.DUMMYFUNCTION("""COMPUTED_VALUE"""),"Single")</f>
        <v>Single</v>
      </c>
      <c r="E140" s="876" t="str">
        <f>IFERROR(__xludf.DUMMYFUNCTION("""COMPUTED_VALUE"""),"200 mg")</f>
        <v>200 mg</v>
      </c>
      <c r="F140" s="876">
        <f>IFERROR(__xludf.DUMMYFUNCTION("""COMPUTED_VALUE"""),528.0)</f>
        <v>528</v>
      </c>
      <c r="G140" s="876" t="str">
        <f>IFERROR(__xludf.DUMMYFUNCTION("""COMPUTED_VALUE"""),"4- 14 ")</f>
        <v>4- 14 </v>
      </c>
      <c r="H140" s="876"/>
      <c r="I140" s="876">
        <f>IFERROR(__xludf.DUMMYFUNCTION("""COMPUTED_VALUE"""),2007.0)</f>
        <v>2007</v>
      </c>
      <c r="J140" s="876"/>
      <c r="K140" s="876" t="str">
        <f>IFERROR(__xludf.DUMMYFUNCTION("""COMPUTED_VALUE"""),"open multi-center clinical trial")</f>
        <v>open multi-center clinical trial</v>
      </c>
      <c r="L140" s="876" t="str">
        <f>IFERROR(__xludf.DUMMYFUNCTION("""COMPUTED_VALUE"""),"No")</f>
        <v>No</v>
      </c>
      <c r="M140" s="876" t="str">
        <f>IFERROR(__xludf.DUMMYFUNCTION("""COMPUTED_VALUE"""),"No")</f>
        <v>No</v>
      </c>
      <c r="N140" s="877">
        <f>IFERROR(__xludf.DUMMYFUNCTION("""COMPUTED_VALUE"""),0.82)</f>
        <v>0.82</v>
      </c>
      <c r="O140" s="876"/>
      <c r="P140" s="876"/>
      <c r="Q140" s="876"/>
      <c r="R140" s="876"/>
      <c r="S140" s="876" t="str">
        <f>IFERROR(__xludf.DUMMYFUNCTION("""COMPUTED_VALUE"""),"3-4 weeks: 82%")</f>
        <v>3-4 weeks: 82%</v>
      </c>
      <c r="T140" s="876"/>
      <c r="U140" s="876"/>
      <c r="V140" s="876"/>
      <c r="W140" s="876"/>
      <c r="X140" s="876"/>
      <c r="Y140" s="876"/>
      <c r="Z140" s="876"/>
      <c r="AA140" s="876"/>
      <c r="AB140" s="876"/>
      <c r="AC140" s="876"/>
      <c r="AD140" s="876"/>
      <c r="AE140" s="876" t="str">
        <f>IFERROR(__xludf.DUMMYFUNCTION("""COMPUTED_VALUE"""),"Tribendimidine given at a single dose of 200 mg exhibits lower adverse effect rate and potential efficacy in the treatment of children with hookworm.")</f>
        <v>Tribendimidine given at a single dose of 200 mg exhibits lower adverse effect rate and potential efficacy in the treatment of children with hookworm.</v>
      </c>
      <c r="AF140" s="876" t="str">
        <f>IFERROR(__xludf.DUMMYFUNCTION("""COMPUTED_VALUE"""),"Kato-Katz Method")</f>
        <v>Kato-Katz Method</v>
      </c>
      <c r="AG140" s="876" t="str">
        <f>IFERROR(__xludf.DUMMYFUNCTION("""COMPUTED_VALUE"""),"Xiao, S. H., Whu, Z. X., Zhang, J. H., Wang S. Q., Wang S. H., Qiu, D.C., and Wang, C. “[Clinical observation on 899 children infected with intestinal nematodes and treated with tribendimidine enteric coated tablets]”. Chinese Journal of Parasitology &amp; Pa"&amp;"rasitic Diseases 25 (2007): 372-375. Web.")</f>
        <v>Xiao, S. H., Whu, Z. X., Zhang, J. H., Wang S. Q., Wang S. H., Qiu, D.C., and Wang, C. “[Clinical observation on 899 children infected with intestinal nematodes and treated with tribendimidine enteric coated tablets]”. Chinese Journal of Parasitology &amp; Parasitic Diseases 25 (2007): 372-375. Web.</v>
      </c>
      <c r="AH140" s="876" t="str">
        <f>IFERROR(__xludf.DUMMYFUNCTION("""COMPUTED_VALUE"""),"x")</f>
        <v>x</v>
      </c>
      <c r="AI140" s="878"/>
      <c r="AJ140" s="888" t="str">
        <f>IFERROR(__xludf.DUMMYFUNCTION("""COMPUTED_VALUE"""),"Efficacy and safety of tribendimidine, tribendimidine plus ivermectin, tribendimidine plus oxantel pamoate, and albendazole plus oxantel pamoate against hookworm and concomitant soil-transmitted helminth infections in Tanzania and Côte d'Ivoire: a randomi"&amp;"sed, controlled, single-blinded, non-inferiority trial")</f>
        <v>Efficacy and safety of tribendimidine, tribendimidine plus ivermectin, tribendimidine plus oxantel pamoate, and albendazole plus oxantel pamoate against hookworm and concomitant soil-transmitted helminth infections in Tanzania and Côte d'Ivoire: a randomised, controlled, single-blinded, non-inferiority trial</v>
      </c>
      <c r="AK140" s="880" t="str">
        <f>IFERROR(__xludf.DUMMYFUNCTION("""COMPUTED_VALUE"""),"Moser W, Coulibaly JT, Ali SM, Ame SM, Amour AK, Yapi RB, Albonico M, Puchkov M, Huwyler J, Hattendorf J, Keiser J. Efficacy and safety of tribendimidine, tribendimidine plus ivermectin, tribendimidine plus oxantel pamoate, and albendazole plus oxantel pa"&amp;"moate against hookworm and concomitant soil-transmitted helminth infections in Tanzania and Côte d'Ivoire: a randomised, controlled, single-blinded, non-inferiority trial. Lancet Infect Dis. 2017 Nov;17(11):1162-1171. doi: 10.1016/S1473-3099(17)30487-5. E"&amp;"pub 2017 Aug 29. PMID: 28864027.")</f>
        <v>Moser W, Coulibaly JT, Ali SM, Ame SM, Amour AK, Yapi RB, Albonico M, Puchkov M, Huwyler J, Hattendorf J, Keiser J. Efficacy and safety of tribendimidine, tribendimidine plus ivermectin, tribendimidine plus oxantel pamoate, and albendazole plus oxantel pamoate against hookworm and concomitant soil-transmitted helminth infections in Tanzania and Côte d'Ivoire: a randomised, controlled, single-blinded, non-inferiority trial. Lancet Infect Dis. 2017 Nov;17(11):1162-1171. doi: 10.1016/S1473-3099(17)30487-5. Epub 2017 Aug 29. PMID: 28864027.</v>
      </c>
      <c r="AL140" s="880" t="str">
        <f>IFERROR(__xludf.DUMMYFUNCTION("""COMPUTED_VALUE"""),"Tanzania")</f>
        <v>Tanzania</v>
      </c>
      <c r="AM140" s="880" t="str">
        <f>IFERROR(__xludf.DUMMYFUNCTION("""COMPUTED_VALUE"""),"Tribendimidine &amp; Oxantel pamoate")</f>
        <v>Tribendimidine &amp; Oxantel pamoate</v>
      </c>
      <c r="AN140" s="880" t="str">
        <f>IFERROR(__xludf.DUMMYFUNCTION("""COMPUTED_VALUE"""),"Single")</f>
        <v>Single</v>
      </c>
      <c r="AO140" s="880" t="str">
        <f>IFERROR(__xludf.DUMMYFUNCTION("""COMPUTED_VALUE"""),"400 mg; 25 mg/kg")</f>
        <v>400 mg; 25 mg/kg</v>
      </c>
      <c r="AP140" s="880">
        <f>IFERROR(__xludf.DUMMYFUNCTION("""COMPUTED_VALUE"""),157.0)</f>
        <v>157</v>
      </c>
      <c r="AQ140" s="880">
        <f>IFERROR(__xludf.DUMMYFUNCTION("""COMPUTED_VALUE"""),15.9)</f>
        <v>15.9</v>
      </c>
      <c r="AR140" s="880" t="str">
        <f>IFERROR(__xludf.DUMMYFUNCTION("""COMPUTED_VALUE"""),"84M:73F")</f>
        <v>84M:73F</v>
      </c>
      <c r="AS140" s="880">
        <f>IFERROR(__xludf.DUMMYFUNCTION("""COMPUTED_VALUE"""),2016.0)</f>
        <v>2016</v>
      </c>
      <c r="AT140" s="880" t="str">
        <f>IFERROR(__xludf.DUMMYFUNCTION("""COMPUTED_VALUE"""),"We recruited adolescents aged 15–18 years from four primary schools on Pemba, and school attendees and non-schoolers from two districts in Côte d’Ivoire")</f>
        <v>We recruited adolescents aged 15–18 years from four primary schools on Pemba, and school attendees and non-schoolers from two districts in Côte d’Ivoire</v>
      </c>
      <c r="AU140" s="880" t="str">
        <f>IFERROR(__xludf.DUMMYFUNCTION("""COMPUTED_VALUE"""),"Yes")</f>
        <v>Yes</v>
      </c>
      <c r="AV140" s="880" t="str">
        <f>IFERROR(__xludf.DUMMYFUNCTION("""COMPUTED_VALUE"""),"Yes")</f>
        <v>Yes</v>
      </c>
      <c r="AW140" s="881" t="str">
        <f>IFERROR(__xludf.DUMMYFUNCTION("""COMPUTED_VALUE"""),"Single-blind")</f>
        <v>Single-blind</v>
      </c>
      <c r="AX140" s="863">
        <f>IFERROR(__xludf.DUMMYFUNCTION("""COMPUTED_VALUE"""),0.663)</f>
        <v>0.663</v>
      </c>
      <c r="AY140" s="863"/>
      <c r="AZ140" s="863"/>
      <c r="BA140" s="863"/>
      <c r="BB140" s="863"/>
      <c r="BC140" s="863"/>
      <c r="BD140" s="863"/>
      <c r="BE140" s="863"/>
      <c r="BF140" s="863"/>
      <c r="BG140" s="863"/>
      <c r="BH140" s="863">
        <f>IFERROR(__xludf.DUMMYFUNCTION("""COMPUTED_VALUE"""),0.998)</f>
        <v>0.998</v>
      </c>
      <c r="BI140" s="863"/>
      <c r="BJ140" s="863"/>
      <c r="BK140" s="863"/>
      <c r="BL140" s="863"/>
      <c r="BM140" s="863"/>
      <c r="BN140" s="863" t="str">
        <f>IFERROR(__xludf.DUMMYFUNCTION("""COMPUTED_VALUE"""),"Tribendimidine showed a similar efficacy profile as albendazole. We recommend tribendimidine to complement albendazole in preventive chemotherapy interventions, to decrease drug pressure on soil-transmitted helminths and avoid the emergence of drug resist"&amp;"ance against benzimidazoles. Moreover, the coadministration of tribendimidine with ivermectin or oxantel pamoate could broaden the spectrum of activity.")</f>
        <v>Tribendimidine showed a similar efficacy profile as albendazole. We recommend tribendimidine to complement albendazole in preventive chemotherapy interventions, to decrease drug pressure on soil-transmitted helminths and avoid the emergence of drug resistance against benzimidazoles. Moreover, the coadministration of tribendimidine with ivermectin or oxantel pamoate could broaden the spectrum of activity.</v>
      </c>
      <c r="BO140" s="863" t="str">
        <f>IFERROR(__xludf.DUMMYFUNCTION("""COMPUTED_VALUE"""),"Kato-Katz technique")</f>
        <v>Kato-Katz technique</v>
      </c>
      <c r="BP140" s="880"/>
      <c r="BQ140" s="863"/>
      <c r="BR140" s="889" t="str">
        <f>IFERROR(__xludf.DUMMYFUNCTION("""COMPUTED_VALUE"""),"VY Belizario et al.")</f>
        <v>VY Belizario et al.</v>
      </c>
      <c r="BS140" s="883" t="str">
        <f>IFERROR(__xludf.DUMMYFUNCTION("""COMPUTED_VALUE"""),"Phillipines")</f>
        <v>Phillipines</v>
      </c>
      <c r="BT140" s="883" t="str">
        <f>IFERROR(__xludf.DUMMYFUNCTION("""COMPUTED_VALUE"""),"Ivermectin")</f>
        <v>Ivermectin</v>
      </c>
      <c r="BU140" s="883"/>
      <c r="BV140" s="883" t="str">
        <f>IFERROR(__xludf.DUMMYFUNCTION("""COMPUTED_VALUE"""),"Single")</f>
        <v>Single</v>
      </c>
      <c r="BW140" s="883" t="str">
        <f>IFERROR(__xludf.DUMMYFUNCTION("""COMPUTED_VALUE"""),"200 mg")</f>
        <v>200 mg</v>
      </c>
      <c r="BX140" s="883">
        <f>IFERROR(__xludf.DUMMYFUNCTION("""COMPUTED_VALUE"""),102.0)</f>
        <v>102</v>
      </c>
      <c r="BY140" s="890">
        <f>IFERROR(__xludf.DUMMYFUNCTION("""COMPUTED_VALUE"""),42533.0)</f>
        <v>42533</v>
      </c>
      <c r="BZ140" s="883">
        <f>IFERROR(__xludf.DUMMYFUNCTION("""COMPUTED_VALUE"""),1998.0)</f>
        <v>1998</v>
      </c>
      <c r="CA140" s="883"/>
      <c r="CB140" s="883"/>
      <c r="CC140" s="883" t="str">
        <f>IFERROR(__xludf.DUMMYFUNCTION("""COMPUTED_VALUE"""),"Yes")</f>
        <v>Yes</v>
      </c>
      <c r="CD140" s="884">
        <f>IFERROR(__xludf.DUMMYFUNCTION("""COMPUTED_VALUE"""),0.784)</f>
        <v>0.784</v>
      </c>
      <c r="CE140" s="883" t="str">
        <f>IFERROR(__xludf.DUMMYFUNCTION("""COMPUTED_VALUE"""),"Yes")</f>
        <v>Yes</v>
      </c>
      <c r="CF140" s="884">
        <f>IFERROR(__xludf.DUMMYFUNCTION("""COMPUTED_VALUE"""),0.784)</f>
        <v>0.784</v>
      </c>
      <c r="CG140" s="883"/>
      <c r="CH140" s="883"/>
      <c r="CI140" s="883"/>
      <c r="CJ140" s="883"/>
      <c r="CK140" s="883"/>
      <c r="CL140" s="883"/>
      <c r="CM140" s="884">
        <f>IFERROR(__xludf.DUMMYFUNCTION("""COMPUTED_VALUE"""),0.943)</f>
        <v>0.943</v>
      </c>
      <c r="CN140" s="883"/>
      <c r="CO140" s="883"/>
      <c r="CP140" s="883"/>
      <c r="CQ140" s="883"/>
      <c r="CR140" s="883"/>
      <c r="CS140" s="883"/>
      <c r="CT140" s="883"/>
      <c r="CU140" s="883"/>
      <c r="CV140" s="863"/>
      <c r="CW140" s="863"/>
      <c r="CX140" s="863"/>
      <c r="CY140" s="863"/>
      <c r="CZ140" s="863"/>
      <c r="DA140" s="863"/>
      <c r="DB140" s="863"/>
      <c r="DC140" s="863"/>
      <c r="DD140" s="863"/>
      <c r="DE140" s="863"/>
    </row>
    <row r="141">
      <c r="A141" s="887" t="str">
        <f>IFERROR(__xludf.DUMMYFUNCTION("""COMPUTED_VALUE"""),"Khieu")</f>
        <v>Khieu</v>
      </c>
      <c r="B141" s="876" t="str">
        <f>IFERROR(__xludf.DUMMYFUNCTION("""COMPUTED_VALUE"""),"Cambodia")</f>
        <v>Cambodia</v>
      </c>
      <c r="C141" s="876" t="str">
        <f>IFERROR(__xludf.DUMMYFUNCTION("""COMPUTED_VALUE"""),"Ivermectin")</f>
        <v>Ivermectin</v>
      </c>
      <c r="D141" s="876" t="str">
        <f>IFERROR(__xludf.DUMMYFUNCTION("""COMPUTED_VALUE"""),"Single")</f>
        <v>Single</v>
      </c>
      <c r="E141" s="876" t="str">
        <f>IFERROR(__xludf.DUMMYFUNCTION("""COMPUTED_VALUE"""),"100 mg")</f>
        <v>100 mg</v>
      </c>
      <c r="F141" s="876">
        <f>IFERROR(__xludf.DUMMYFUNCTION("""COMPUTED_VALUE"""),458.0)</f>
        <v>458</v>
      </c>
      <c r="G141" s="876">
        <f>IFERROR(__xludf.DUMMYFUNCTION("""COMPUTED_VALUE"""),42540.0)</f>
        <v>42540</v>
      </c>
      <c r="H141" s="876" t="str">
        <f>IFERROR(__xludf.DUMMYFUNCTION("""COMPUTED_VALUE"""),"227 were girls, 49.6%")</f>
        <v>227 were girls, 49.6%</v>
      </c>
      <c r="I141" s="876">
        <f>IFERROR(__xludf.DUMMYFUNCTION("""COMPUTED_VALUE"""),2009.0)</f>
        <v>2009</v>
      </c>
      <c r="J141" s="876" t="str">
        <f>IFERROR(__xludf.DUMMYFUNCTION("""COMPUTED_VALUE"""),"Many of the cases of s. stercoralis were co-infected with hookworm, then after being treated with ivermectin with s. stercoralis, were treated with mebendazole")</f>
        <v>Many of the cases of s. stercoralis were co-infected with hookworm, then after being treated with ivermectin with s. stercoralis, were treated with mebendazole</v>
      </c>
      <c r="K141" s="876" t="str">
        <f>IFERROR(__xludf.DUMMYFUNCTION("""COMPUTED_VALUE"""),"cross-sectional study")</f>
        <v>cross-sectional study</v>
      </c>
      <c r="L141" s="876" t="str">
        <f>IFERROR(__xludf.DUMMYFUNCTION("""COMPUTED_VALUE"""),"No")</f>
        <v>No</v>
      </c>
      <c r="M141" s="876" t="str">
        <f>IFERROR(__xludf.DUMMYFUNCTION("""COMPUTED_VALUE"""),"No")</f>
        <v>No</v>
      </c>
      <c r="N141" s="877">
        <f>IFERROR(__xludf.DUMMYFUNCTION("""COMPUTED_VALUE"""),0.33)</f>
        <v>0.33</v>
      </c>
      <c r="O141" s="876"/>
      <c r="P141" s="876"/>
      <c r="Q141" s="876"/>
      <c r="R141" s="876"/>
      <c r="S141" s="876"/>
      <c r="T141" s="876"/>
      <c r="U141" s="876"/>
      <c r="V141" s="876"/>
      <c r="W141" s="876"/>
      <c r="X141" s="876"/>
      <c r="Y141" s="876"/>
      <c r="Z141" s="876"/>
      <c r="AA141" s="876"/>
      <c r="AB141" s="876"/>
      <c r="AC141" s="876"/>
      <c r="AD141" s="876"/>
      <c r="AE141" s="876" t="str">
        <f>IFERROR(__xludf.DUMMYFUNCTION("""COMPUTED_VALUE"""),"One third of cases were clear of hookworm after three weeks of single dose Mebendazoletreatment. Our observed low cure rate of single dose Mebendazoleis coinciding with the recent control trial study among school-aged children in Lao PDR [52]. Our study d"&amp;"id not determine the efficacy of ivermectin against other STH infections. Nevertheless, ivermectin has shown low efficacy against hookworm and T. trichiura infections, except A. lumbricoides")</f>
        <v>One third of cases were clear of hookworm after three weeks of single dose Mebendazoletreatment. Our observed low cure rate of single dose Mebendazoleis coinciding with the recent control trial study among school-aged children in Lao PDR [52]. Our study did not determine the efficacy of ivermectin against other STH infections. Nevertheless, ivermectin has shown low efficacy against hookworm and T. trichiura infections, except A. lumbricoides</v>
      </c>
      <c r="AF141" s="876" t="str">
        <f>IFERROR(__xludf.DUMMYFUNCTION("""COMPUTED_VALUE"""),"We performed a cross-sectional study in 458 children from four primary schools in semi-rural villages in Kandal province. Ivermectin  100 ug/kg/  two days Kato-Katz")</f>
        <v>We performed a cross-sectional study in 458 children from four primary schools in semi-rural villages in Kandal province. Ivermectin  100 ug/kg/  two days Kato-Katz</v>
      </c>
      <c r="AG141" s="876" t="str">
        <f>IFERROR(__xludf.DUMMYFUNCTION("""COMPUTED_VALUE"""),"Khieu, V., Schär, F., Marti, H., Sayasone, S., Duong, S., Muth, S., &amp; Odermatt, P. (2013). Diagnosis, Treatment and Risk Factors of Strongyloides stercoralis in Schoolchildren in Cambodia. PLoS Negl Trop Dis PLoS Neglected Tropical Diseases,7(2), E2035-E2"&amp;"035.")</f>
        <v>Khieu, V., Schär, F., Marti, H., Sayasone, S., Duong, S., Muth, S., &amp; Odermatt, P. (2013). Diagnosis, Treatment and Risk Factors of Strongyloides stercoralis in Schoolchildren in Cambodia. PLoS Negl Trop Dis PLoS Neglected Tropical Diseases,7(2), E2035-E2035.</v>
      </c>
      <c r="AH141" s="876" t="str">
        <f>IFERROR(__xludf.DUMMYFUNCTION("""COMPUTED_VALUE"""),"x")</f>
        <v>x</v>
      </c>
      <c r="AI141" s="878"/>
      <c r="AJ141" s="888" t="str">
        <f>IFERROR(__xludf.DUMMYFUNCTION("""COMPUTED_VALUE"""),"Efficacy and safety of tribendimidine, tribendimidine plus ivermectin, tribendimidine plus oxantel pamoate, and albendazole plus oxantel pamoate against hookworm and concomitant soil-transmitted helminth infections in Tanzania and Côte d'Ivoire: a randomi"&amp;"sed, controlled, single-blinded, non-inferiority trial")</f>
        <v>Efficacy and safety of tribendimidine, tribendimidine plus ivermectin, tribendimidine plus oxantel pamoate, and albendazole plus oxantel pamoate against hookworm and concomitant soil-transmitted helminth infections in Tanzania and Côte d'Ivoire: a randomised, controlled, single-blinded, non-inferiority trial</v>
      </c>
      <c r="AK141" s="880" t="str">
        <f>IFERROR(__xludf.DUMMYFUNCTION("""COMPUTED_VALUE"""),"Moser W, Coulibaly JT, Ali SM, Ame SM, Amour AK, Yapi RB, Albonico M, Puchkov M, Huwyler J, Hattendorf J, Keiser J. Efficacy and safety of tribendimidine, tribendimidine plus ivermectin, tribendimidine plus oxantel pamoate, and albendazole plus oxantel pa"&amp;"moate against hookworm and concomitant soil-transmitted helminth infections in Tanzania and Côte d'Ivoire: a randomised, controlled, single-blinded, non-inferiority trial. Lancet Infect Dis. 2017 Nov;17(11):1162-1171. doi: 10.1016/S1473-3099(17)30487-5. E"&amp;"pub 2017 Aug 29. PMID: 28864027.")</f>
        <v>Moser W, Coulibaly JT, Ali SM, Ame SM, Amour AK, Yapi RB, Albonico M, Puchkov M, Huwyler J, Hattendorf J, Keiser J. Efficacy and safety of tribendimidine, tribendimidine plus ivermectin, tribendimidine plus oxantel pamoate, and albendazole plus oxantel pamoate against hookworm and concomitant soil-transmitted helminth infections in Tanzania and Côte d'Ivoire: a randomised, controlled, single-blinded, non-inferiority trial. Lancet Infect Dis. 2017 Nov;17(11):1162-1171. doi: 10.1016/S1473-3099(17)30487-5. Epub 2017 Aug 29. PMID: 28864027.</v>
      </c>
      <c r="AL141" s="880" t="str">
        <f>IFERROR(__xludf.DUMMYFUNCTION("""COMPUTED_VALUE"""),"Tanzania")</f>
        <v>Tanzania</v>
      </c>
      <c r="AM141" s="880" t="str">
        <f>IFERROR(__xludf.DUMMYFUNCTION("""COMPUTED_VALUE"""),"Albendazole &amp; Oxantel pamoate")</f>
        <v>Albendazole &amp; Oxantel pamoate</v>
      </c>
      <c r="AN141" s="880" t="str">
        <f>IFERROR(__xludf.DUMMYFUNCTION("""COMPUTED_VALUE"""),"Single")</f>
        <v>Single</v>
      </c>
      <c r="AO141" s="880" t="str">
        <f>IFERROR(__xludf.DUMMYFUNCTION("""COMPUTED_VALUE"""),"400 mg; 25 mg/kg")</f>
        <v>400 mg; 25 mg/kg</v>
      </c>
      <c r="AP141" s="880">
        <f>IFERROR(__xludf.DUMMYFUNCTION("""COMPUTED_VALUE"""),161.0)</f>
        <v>161</v>
      </c>
      <c r="AQ141" s="880">
        <f>IFERROR(__xludf.DUMMYFUNCTION("""COMPUTED_VALUE"""),15.8)</f>
        <v>15.8</v>
      </c>
      <c r="AR141" s="880" t="str">
        <f>IFERROR(__xludf.DUMMYFUNCTION("""COMPUTED_VALUE"""),"75M:86F")</f>
        <v>75M:86F</v>
      </c>
      <c r="AS141" s="880">
        <f>IFERROR(__xludf.DUMMYFUNCTION("""COMPUTED_VALUE"""),2016.0)</f>
        <v>2016</v>
      </c>
      <c r="AT141" s="880" t="str">
        <f>IFERROR(__xludf.DUMMYFUNCTION("""COMPUTED_VALUE"""),"We recruited adolescents aged 15–18 years from four primary schools on Pemba, and school attendees and non-schoolers from two districts in Côte d’Ivoire")</f>
        <v>We recruited adolescents aged 15–18 years from four primary schools on Pemba, and school attendees and non-schoolers from two districts in Côte d’Ivoire</v>
      </c>
      <c r="AU141" s="880" t="str">
        <f>IFERROR(__xludf.DUMMYFUNCTION("""COMPUTED_VALUE"""),"Yes")</f>
        <v>Yes</v>
      </c>
      <c r="AV141" s="880" t="str">
        <f>IFERROR(__xludf.DUMMYFUNCTION("""COMPUTED_VALUE"""),"Yes")</f>
        <v>Yes</v>
      </c>
      <c r="AW141" s="881" t="str">
        <f>IFERROR(__xludf.DUMMYFUNCTION("""COMPUTED_VALUE"""),"Single-blind")</f>
        <v>Single-blind</v>
      </c>
      <c r="AX141" s="863">
        <f>IFERROR(__xludf.DUMMYFUNCTION("""COMPUTED_VALUE"""),0.828)</f>
        <v>0.828</v>
      </c>
      <c r="AY141" s="863"/>
      <c r="AZ141" s="863"/>
      <c r="BA141" s="863"/>
      <c r="BB141" s="863"/>
      <c r="BC141" s="863"/>
      <c r="BD141" s="863"/>
      <c r="BE141" s="863"/>
      <c r="BF141" s="863"/>
      <c r="BG141" s="863"/>
      <c r="BH141" s="863">
        <f>IFERROR(__xludf.DUMMYFUNCTION("""COMPUTED_VALUE"""),0.531)</f>
        <v>0.531</v>
      </c>
      <c r="BI141" s="863"/>
      <c r="BJ141" s="863"/>
      <c r="BK141" s="863"/>
      <c r="BL141" s="863"/>
      <c r="BM141" s="863"/>
      <c r="BN141" s="863" t="str">
        <f>IFERROR(__xludf.DUMMYFUNCTION("""COMPUTED_VALUE"""),"Tribendimidine showed a similar efficacy profile as albendazole. We recommend tribendimidine to complement albendazole in preventive chemotherapy interventions, to decrease drug pressure on soil-transmitted helminths and avoid the emergence of drug resist"&amp;"ance against benzimidazoles. Moreover, the coadministration of tribendimidine with ivermectin or oxantel pamoate could broaden the spectrum of activity.")</f>
        <v>Tribendimidine showed a similar efficacy profile as albendazole. We recommend tribendimidine to complement albendazole in preventive chemotherapy interventions, to decrease drug pressure on soil-transmitted helminths and avoid the emergence of drug resistance against benzimidazoles. Moreover, the coadministration of tribendimidine with ivermectin or oxantel pamoate could broaden the spectrum of activity.</v>
      </c>
      <c r="BO141" s="863" t="str">
        <f>IFERROR(__xludf.DUMMYFUNCTION("""COMPUTED_VALUE"""),"Kato-Katz technique")</f>
        <v>Kato-Katz technique</v>
      </c>
      <c r="BP141" s="880"/>
      <c r="BQ141" s="863"/>
      <c r="BR141" s="889" t="str">
        <f>IFERROR(__xludf.DUMMYFUNCTION("""COMPUTED_VALUE"""),"VY Belizario et al.")</f>
        <v>VY Belizario et al.</v>
      </c>
      <c r="BS141" s="883" t="str">
        <f>IFERROR(__xludf.DUMMYFUNCTION("""COMPUTED_VALUE"""),"Phillipines")</f>
        <v>Phillipines</v>
      </c>
      <c r="BT141" s="883" t="str">
        <f>IFERROR(__xludf.DUMMYFUNCTION("""COMPUTED_VALUE"""),"Diethylcarbamazine")</f>
        <v>Diethylcarbamazine</v>
      </c>
      <c r="BU141" s="883"/>
      <c r="BV141" s="883" t="str">
        <f>IFERROR(__xludf.DUMMYFUNCTION("""COMPUTED_VALUE"""),"Single")</f>
        <v>Single</v>
      </c>
      <c r="BW141" s="883" t="str">
        <f>IFERROR(__xludf.DUMMYFUNCTION("""COMPUTED_VALUE"""),"150 mg")</f>
        <v>150 mg</v>
      </c>
      <c r="BX141" s="883">
        <f>IFERROR(__xludf.DUMMYFUNCTION("""COMPUTED_VALUE"""),102.0)</f>
        <v>102</v>
      </c>
      <c r="BY141" s="890">
        <f>IFERROR(__xludf.DUMMYFUNCTION("""COMPUTED_VALUE"""),42533.0)</f>
        <v>42533</v>
      </c>
      <c r="BZ141" s="883">
        <f>IFERROR(__xludf.DUMMYFUNCTION("""COMPUTED_VALUE"""),1998.0)</f>
        <v>1998</v>
      </c>
      <c r="CA141" s="883"/>
      <c r="CB141" s="883"/>
      <c r="CC141" s="883" t="str">
        <f>IFERROR(__xludf.DUMMYFUNCTION("""COMPUTED_VALUE"""),"Yes")</f>
        <v>Yes</v>
      </c>
      <c r="CD141" s="884">
        <f>IFERROR(__xludf.DUMMYFUNCTION("""COMPUTED_VALUE"""),0.235)</f>
        <v>0.235</v>
      </c>
      <c r="CE141" s="883" t="str">
        <f>IFERROR(__xludf.DUMMYFUNCTION("""COMPUTED_VALUE"""),"Yes")</f>
        <v>Yes</v>
      </c>
      <c r="CF141" s="884">
        <f>IFERROR(__xludf.DUMMYFUNCTION("""COMPUTED_VALUE"""),0.235)</f>
        <v>0.235</v>
      </c>
      <c r="CG141" s="883"/>
      <c r="CH141" s="883"/>
      <c r="CI141" s="883"/>
      <c r="CJ141" s="883"/>
      <c r="CK141" s="883"/>
      <c r="CL141" s="883"/>
      <c r="CM141" s="884">
        <f>IFERROR(__xludf.DUMMYFUNCTION("""COMPUTED_VALUE"""),0.335)</f>
        <v>0.335</v>
      </c>
      <c r="CN141" s="883"/>
      <c r="CO141" s="883"/>
      <c r="CP141" s="883"/>
      <c r="CQ141" s="883"/>
      <c r="CR141" s="883"/>
      <c r="CS141" s="883"/>
      <c r="CT141" s="883"/>
      <c r="CU141" s="883"/>
      <c r="CV141" s="863"/>
      <c r="CW141" s="863"/>
      <c r="CX141" s="863"/>
      <c r="CY141" s="863"/>
      <c r="CZ141" s="863"/>
      <c r="DA141" s="863"/>
      <c r="DB141" s="863"/>
      <c r="DC141" s="863"/>
      <c r="DD141" s="863"/>
      <c r="DE141" s="863"/>
    </row>
    <row r="142">
      <c r="A142" s="876"/>
      <c r="B142" s="876"/>
      <c r="C142" s="876"/>
      <c r="D142" s="876"/>
      <c r="E142" s="876"/>
      <c r="F142" s="876"/>
      <c r="G142" s="876"/>
      <c r="H142" s="876"/>
      <c r="I142" s="876"/>
      <c r="J142" s="876"/>
      <c r="K142" s="876"/>
      <c r="L142" s="876"/>
      <c r="M142" s="876"/>
      <c r="N142" s="877"/>
      <c r="O142" s="876"/>
      <c r="P142" s="876"/>
      <c r="Q142" s="876"/>
      <c r="R142" s="876"/>
      <c r="S142" s="876"/>
      <c r="T142" s="876"/>
      <c r="U142" s="876"/>
      <c r="V142" s="876"/>
      <c r="W142" s="876"/>
      <c r="X142" s="876"/>
      <c r="Y142" s="876"/>
      <c r="Z142" s="876"/>
      <c r="AA142" s="876"/>
      <c r="AB142" s="876"/>
      <c r="AC142" s="876"/>
      <c r="AD142" s="876"/>
      <c r="AE142" s="876"/>
      <c r="AF142" s="876"/>
      <c r="AG142" s="876"/>
      <c r="AH142" s="876"/>
      <c r="AI142" s="878"/>
      <c r="AJ142" s="888" t="str">
        <f>IFERROR(__xludf.DUMMYFUNCTION("""COMPUTED_VALUE"""),"Efficacy and safety of tribendimidine, tribendimidine plus ivermectin, tribendimidine plus oxantel pamoate, and albendazole plus oxantel pamoate against hookworm and concomitant soil-transmitted helminth infections in Tanzania and Côte d'Ivoire: a randomi"&amp;"sed, controlled, single-blinded, non-inferiority trial")</f>
        <v>Efficacy and safety of tribendimidine, tribendimidine plus ivermectin, tribendimidine plus oxantel pamoate, and albendazole plus oxantel pamoate against hookworm and concomitant soil-transmitted helminth infections in Tanzania and Côte d'Ivoire: a randomised, controlled, single-blinded, non-inferiority trial</v>
      </c>
      <c r="AK142" s="880" t="str">
        <f>IFERROR(__xludf.DUMMYFUNCTION("""COMPUTED_VALUE"""),"Moser W, Coulibaly JT, Ali SM, Ame SM, Amour AK, Yapi RB, Albonico M, Puchkov M, Huwyler J, Hattendorf J, Keiser J. Efficacy and safety of tribendimidine, tribendimidine plus ivermectin, tribendimidine plus oxantel pamoate, and albendazole plus oxantel pa"&amp;"moate against hookworm and concomitant soil-transmitted helminth infections in Tanzania and Côte d'Ivoire: a randomised, controlled, single-blinded, non-inferiority trial. Lancet Infect Dis. 2017 Nov;17(11):1162-1171. doi: 10.1016/S1473-3099(17)30487-5. E"&amp;"pub 2017 Aug 29. PMID: 28864027.")</f>
        <v>Moser W, Coulibaly JT, Ali SM, Ame SM, Amour AK, Yapi RB, Albonico M, Puchkov M, Huwyler J, Hattendorf J, Keiser J. Efficacy and safety of tribendimidine, tribendimidine plus ivermectin, tribendimidine plus oxantel pamoate, and albendazole plus oxantel pamoate against hookworm and concomitant soil-transmitted helminth infections in Tanzania and Côte d'Ivoire: a randomised, controlled, single-blinded, non-inferiority trial. Lancet Infect Dis. 2017 Nov;17(11):1162-1171. doi: 10.1016/S1473-3099(17)30487-5. Epub 2017 Aug 29. PMID: 28864027.</v>
      </c>
      <c r="AL142" s="880" t="str">
        <f>IFERROR(__xludf.DUMMYFUNCTION("""COMPUTED_VALUE"""),"Côte d’Ivoire")</f>
        <v>Côte d’Ivoire</v>
      </c>
      <c r="AM142" s="880" t="str">
        <f>IFERROR(__xludf.DUMMYFUNCTION("""COMPUTED_VALUE"""),"Tribendimidine")</f>
        <v>Tribendimidine</v>
      </c>
      <c r="AN142" s="880" t="str">
        <f>IFERROR(__xludf.DUMMYFUNCTION("""COMPUTED_VALUE"""),"Single")</f>
        <v>Single</v>
      </c>
      <c r="AO142" s="880" t="str">
        <f>IFERROR(__xludf.DUMMYFUNCTION("""COMPUTED_VALUE"""),"400 mg")</f>
        <v>400 mg</v>
      </c>
      <c r="AP142" s="880">
        <f>IFERROR(__xludf.DUMMYFUNCTION("""COMPUTED_VALUE"""),159.0)</f>
        <v>159</v>
      </c>
      <c r="AQ142" s="880">
        <f>IFERROR(__xludf.DUMMYFUNCTION("""COMPUTED_VALUE"""),15.8)</f>
        <v>15.8</v>
      </c>
      <c r="AR142" s="880" t="str">
        <f>IFERROR(__xludf.DUMMYFUNCTION("""COMPUTED_VALUE"""),"74M:85F")</f>
        <v>74M:85F</v>
      </c>
      <c r="AS142" s="880">
        <f>IFERROR(__xludf.DUMMYFUNCTION("""COMPUTED_VALUE"""),2016.0)</f>
        <v>2016</v>
      </c>
      <c r="AT142" s="880" t="str">
        <f>IFERROR(__xludf.DUMMYFUNCTION("""COMPUTED_VALUE"""),"We recruited adolescents aged 15–18 years from four primary schools on Pemba, and school attendees and non-schoolers from two districts in Côte d’Ivoire")</f>
        <v>We recruited adolescents aged 15–18 years from four primary schools on Pemba, and school attendees and non-schoolers from two districts in Côte d’Ivoire</v>
      </c>
      <c r="AU142" s="880" t="str">
        <f>IFERROR(__xludf.DUMMYFUNCTION("""COMPUTED_VALUE"""),"Yes")</f>
        <v>Yes</v>
      </c>
      <c r="AV142" s="880" t="str">
        <f>IFERROR(__xludf.DUMMYFUNCTION("""COMPUTED_VALUE"""),"Yes")</f>
        <v>Yes</v>
      </c>
      <c r="AW142" s="881" t="str">
        <f>IFERROR(__xludf.DUMMYFUNCTION("""COMPUTED_VALUE"""),"Single-blind")</f>
        <v>Single-blind</v>
      </c>
      <c r="AX142" s="863">
        <f>IFERROR(__xludf.DUMMYFUNCTION("""COMPUTED_VALUE"""),0.082)</f>
        <v>0.082</v>
      </c>
      <c r="AY142" s="863"/>
      <c r="AZ142" s="863"/>
      <c r="BA142" s="863"/>
      <c r="BB142" s="863"/>
      <c r="BC142" s="863"/>
      <c r="BD142" s="863"/>
      <c r="BE142" s="863"/>
      <c r="BF142" s="863"/>
      <c r="BG142" s="863"/>
      <c r="BH142" s="863">
        <f>IFERROR(__xludf.DUMMYFUNCTION("""COMPUTED_VALUE"""),0.964)</f>
        <v>0.964</v>
      </c>
      <c r="BI142" s="863"/>
      <c r="BJ142" s="863"/>
      <c r="BK142" s="863"/>
      <c r="BL142" s="863"/>
      <c r="BM142" s="863"/>
      <c r="BN142" s="863" t="str">
        <f>IFERROR(__xludf.DUMMYFUNCTION("""COMPUTED_VALUE"""),"Tribendimidine showed a similar efficacy profile as albendazole. We recommend tribendimidine to complement albendazole in preventive chemotherapy interventions, to decrease drug pressure on soil-transmitted helminths and avoid the emergence of drug resist"&amp;"ance against benzimidazoles. Moreover, the coadministration of tribendimidine with ivermectin or oxantel pamoate could broaden the spectrum of activity.")</f>
        <v>Tribendimidine showed a similar efficacy profile as albendazole. We recommend tribendimidine to complement albendazole in preventive chemotherapy interventions, to decrease drug pressure on soil-transmitted helminths and avoid the emergence of drug resistance against benzimidazoles. Moreover, the coadministration of tribendimidine with ivermectin or oxantel pamoate could broaden the spectrum of activity.</v>
      </c>
      <c r="BO142" s="863" t="str">
        <f>IFERROR(__xludf.DUMMYFUNCTION("""COMPUTED_VALUE"""),"Kato-Katz technique")</f>
        <v>Kato-Katz technique</v>
      </c>
      <c r="BP142" s="880"/>
      <c r="BQ142" s="863"/>
      <c r="BR142" s="889" t="str">
        <f>IFERROR(__xludf.DUMMYFUNCTION("""COMPUTED_VALUE"""),"VY Belizario et al.")</f>
        <v>VY Belizario et al.</v>
      </c>
      <c r="BS142" s="883" t="str">
        <f>IFERROR(__xludf.DUMMYFUNCTION("""COMPUTED_VALUE"""),"Phillipines")</f>
        <v>Phillipines</v>
      </c>
      <c r="BT142" s="883" t="str">
        <f>IFERROR(__xludf.DUMMYFUNCTION("""COMPUTED_VALUE"""),"Albendazole &amp; Ivermectin")</f>
        <v>Albendazole &amp; Ivermectin</v>
      </c>
      <c r="BU142" s="883"/>
      <c r="BV142" s="883" t="str">
        <f>IFERROR(__xludf.DUMMYFUNCTION("""COMPUTED_VALUE"""),"Single")</f>
        <v>Single</v>
      </c>
      <c r="BW142" s="883" t="str">
        <f>IFERROR(__xludf.DUMMYFUNCTION("""COMPUTED_VALUE"""),"400 mg; 200 mg")</f>
        <v>400 mg; 200 mg</v>
      </c>
      <c r="BX142" s="883">
        <f>IFERROR(__xludf.DUMMYFUNCTION("""COMPUTED_VALUE"""),105.0)</f>
        <v>105</v>
      </c>
      <c r="BY142" s="890">
        <f>IFERROR(__xludf.DUMMYFUNCTION("""COMPUTED_VALUE"""),42533.0)</f>
        <v>42533</v>
      </c>
      <c r="BZ142" s="883">
        <f>IFERROR(__xludf.DUMMYFUNCTION("""COMPUTED_VALUE"""),1998.0)</f>
        <v>1998</v>
      </c>
      <c r="CA142" s="883"/>
      <c r="CB142" s="883"/>
      <c r="CC142" s="883" t="str">
        <f>IFERROR(__xludf.DUMMYFUNCTION("""COMPUTED_VALUE"""),"Yes")</f>
        <v>Yes</v>
      </c>
      <c r="CD142" s="884">
        <f>IFERROR(__xludf.DUMMYFUNCTION("""COMPUTED_VALUE"""),0.781)</f>
        <v>0.781</v>
      </c>
      <c r="CE142" s="883" t="str">
        <f>IFERROR(__xludf.DUMMYFUNCTION("""COMPUTED_VALUE"""),"Yes")</f>
        <v>Yes</v>
      </c>
      <c r="CF142" s="884">
        <f>IFERROR(__xludf.DUMMYFUNCTION("""COMPUTED_VALUE"""),0.781)</f>
        <v>0.781</v>
      </c>
      <c r="CG142" s="883"/>
      <c r="CH142" s="883"/>
      <c r="CI142" s="883"/>
      <c r="CJ142" s="883"/>
      <c r="CK142" s="883"/>
      <c r="CL142" s="883"/>
      <c r="CM142" s="884">
        <f>IFERROR(__xludf.DUMMYFUNCTION("""COMPUTED_VALUE"""),0.995)</f>
        <v>0.995</v>
      </c>
      <c r="CN142" s="883"/>
      <c r="CO142" s="883"/>
      <c r="CP142" s="883"/>
      <c r="CQ142" s="883"/>
      <c r="CR142" s="883"/>
      <c r="CS142" s="883"/>
      <c r="CT142" s="883"/>
      <c r="CU142" s="883"/>
      <c r="CV142" s="863"/>
      <c r="CW142" s="863"/>
      <c r="CX142" s="863"/>
      <c r="CY142" s="863"/>
      <c r="CZ142" s="863"/>
      <c r="DA142" s="863"/>
      <c r="DB142" s="863"/>
      <c r="DC142" s="863"/>
      <c r="DD142" s="863"/>
      <c r="DE142" s="863"/>
    </row>
    <row r="143">
      <c r="A143" s="876"/>
      <c r="B143" s="876"/>
      <c r="C143" s="876"/>
      <c r="D143" s="876"/>
      <c r="E143" s="876"/>
      <c r="F143" s="876"/>
      <c r="G143" s="876"/>
      <c r="H143" s="876"/>
      <c r="I143" s="876"/>
      <c r="J143" s="876"/>
      <c r="K143" s="876"/>
      <c r="L143" s="876"/>
      <c r="M143" s="876"/>
      <c r="N143" s="877"/>
      <c r="O143" s="876"/>
      <c r="P143" s="876"/>
      <c r="Q143" s="876"/>
      <c r="R143" s="876"/>
      <c r="S143" s="876"/>
      <c r="T143" s="876"/>
      <c r="U143" s="876"/>
      <c r="V143" s="876"/>
      <c r="W143" s="876"/>
      <c r="X143" s="876"/>
      <c r="Y143" s="876"/>
      <c r="Z143" s="876"/>
      <c r="AA143" s="876"/>
      <c r="AB143" s="876"/>
      <c r="AC143" s="876"/>
      <c r="AD143" s="876"/>
      <c r="AE143" s="876"/>
      <c r="AF143" s="876"/>
      <c r="AG143" s="876"/>
      <c r="AH143" s="876"/>
      <c r="AI143" s="878"/>
      <c r="AJ143" s="888" t="str">
        <f>IFERROR(__xludf.DUMMYFUNCTION("""COMPUTED_VALUE"""),"Efficacy and safety of tribendimidine, tribendimidine plus ivermectin, tribendimidine plus oxantel pamoate, and albendazole plus oxantel pamoate against hookworm and concomitant soil-transmitted helminth infections in Tanzania and Côte d'Ivoire: a randomi"&amp;"sed, controlled, single-blinded, non-inferiority trial")</f>
        <v>Efficacy and safety of tribendimidine, tribendimidine plus ivermectin, tribendimidine plus oxantel pamoate, and albendazole plus oxantel pamoate against hookworm and concomitant soil-transmitted helminth infections in Tanzania and Côte d'Ivoire: a randomised, controlled, single-blinded, non-inferiority trial</v>
      </c>
      <c r="AK143" s="880" t="str">
        <f>IFERROR(__xludf.DUMMYFUNCTION("""COMPUTED_VALUE"""),"Moser W, Coulibaly JT, Ali SM, Ame SM, Amour AK, Yapi RB, Albonico M, Puchkov M, Huwyler J, Hattendorf J, Keiser J. Efficacy and safety of tribendimidine, tribendimidine plus ivermectin, tribendimidine plus oxantel pamoate, and albendazole plus oxantel pa"&amp;"moate against hookworm and concomitant soil-transmitted helminth infections in Tanzania and Côte d'Ivoire: a randomised, controlled, single-blinded, non-inferiority trial. Lancet Infect Dis. 2017 Nov;17(11):1162-1171. doi: 10.1016/S1473-3099(17)30487-5. E"&amp;"pub 2017 Aug 29. PMID: 28864027.")</f>
        <v>Moser W, Coulibaly JT, Ali SM, Ame SM, Amour AK, Yapi RB, Albonico M, Puchkov M, Huwyler J, Hattendorf J, Keiser J. Efficacy and safety of tribendimidine, tribendimidine plus ivermectin, tribendimidine plus oxantel pamoate, and albendazole plus oxantel pamoate against hookworm and concomitant soil-transmitted helminth infections in Tanzania and Côte d'Ivoire: a randomised, controlled, single-blinded, non-inferiority trial. Lancet Infect Dis. 2017 Nov;17(11):1162-1171. doi: 10.1016/S1473-3099(17)30487-5. Epub 2017 Aug 29. PMID: 28864027.</v>
      </c>
      <c r="AL143" s="880" t="str">
        <f>IFERROR(__xludf.DUMMYFUNCTION("""COMPUTED_VALUE"""),"Côte d’Ivoire")</f>
        <v>Côte d’Ivoire</v>
      </c>
      <c r="AM143" s="880" t="str">
        <f>IFERROR(__xludf.DUMMYFUNCTION("""COMPUTED_VALUE"""),"Tribendimidine &amp; Ivermectin")</f>
        <v>Tribendimidine &amp; Ivermectin</v>
      </c>
      <c r="AN143" s="880" t="str">
        <f>IFERROR(__xludf.DUMMYFUNCTION("""COMPUTED_VALUE"""),"Single")</f>
        <v>Single</v>
      </c>
      <c r="AO143" s="880" t="str">
        <f>IFERROR(__xludf.DUMMYFUNCTION("""COMPUTED_VALUE"""),"400 mg; 200 µg/kg")</f>
        <v>400 mg; 200 µg/kg</v>
      </c>
      <c r="AP143" s="880">
        <f>IFERROR(__xludf.DUMMYFUNCTION("""COMPUTED_VALUE"""),159.0)</f>
        <v>159</v>
      </c>
      <c r="AQ143" s="880">
        <f>IFERROR(__xludf.DUMMYFUNCTION("""COMPUTED_VALUE"""),15.9)</f>
        <v>15.9</v>
      </c>
      <c r="AR143" s="880" t="str">
        <f>IFERROR(__xludf.DUMMYFUNCTION("""COMPUTED_VALUE"""),"65M:94F")</f>
        <v>65M:94F</v>
      </c>
      <c r="AS143" s="880">
        <f>IFERROR(__xludf.DUMMYFUNCTION("""COMPUTED_VALUE"""),2016.0)</f>
        <v>2016</v>
      </c>
      <c r="AT143" s="880" t="str">
        <f>IFERROR(__xludf.DUMMYFUNCTION("""COMPUTED_VALUE"""),"We recruited adolescents aged 15–18 years from four primary schools on Pemba, and school attendees and non-schoolers from two districts in Côte d’Ivoire")</f>
        <v>We recruited adolescents aged 15–18 years from four primary schools on Pemba, and school attendees and non-schoolers from two districts in Côte d’Ivoire</v>
      </c>
      <c r="AU143" s="880" t="str">
        <f>IFERROR(__xludf.DUMMYFUNCTION("""COMPUTED_VALUE"""),"Yes")</f>
        <v>Yes</v>
      </c>
      <c r="AV143" s="880" t="str">
        <f>IFERROR(__xludf.DUMMYFUNCTION("""COMPUTED_VALUE"""),"Yes")</f>
        <v>Yes</v>
      </c>
      <c r="AW143" s="881" t="str">
        <f>IFERROR(__xludf.DUMMYFUNCTION("""COMPUTED_VALUE"""),"Single-blind")</f>
        <v>Single-blind</v>
      </c>
      <c r="AX143" s="863">
        <f>IFERROR(__xludf.DUMMYFUNCTION("""COMPUTED_VALUE"""),0.337)</f>
        <v>0.337</v>
      </c>
      <c r="AY143" s="863"/>
      <c r="AZ143" s="863"/>
      <c r="BA143" s="863"/>
      <c r="BB143" s="863"/>
      <c r="BC143" s="863"/>
      <c r="BD143" s="863"/>
      <c r="BE143" s="863"/>
      <c r="BF143" s="863"/>
      <c r="BG143" s="863"/>
      <c r="BH143" s="863">
        <f>IFERROR(__xludf.DUMMYFUNCTION("""COMPUTED_VALUE"""),0.995)</f>
        <v>0.995</v>
      </c>
      <c r="BI143" s="863"/>
      <c r="BJ143" s="863"/>
      <c r="BK143" s="863"/>
      <c r="BL143" s="863"/>
      <c r="BM143" s="863"/>
      <c r="BN143" s="863" t="str">
        <f>IFERROR(__xludf.DUMMYFUNCTION("""COMPUTED_VALUE"""),"Tribendimidine showed a similar efficacy profile as albendazole. We recommend tribendimidine to complement albendazole in preventive chemotherapy interventions, to decrease drug pressure on soil-transmitted helminths and avoid the emergence of drug resist"&amp;"ance against benzimidazoles. Moreover, the coadministration of tribendimidine with ivermectin or oxantel pamoate could broaden the spectrum of activity.")</f>
        <v>Tribendimidine showed a similar efficacy profile as albendazole. We recommend tribendimidine to complement albendazole in preventive chemotherapy interventions, to decrease drug pressure on soil-transmitted helminths and avoid the emergence of drug resistance against benzimidazoles. Moreover, the coadministration of tribendimidine with ivermectin or oxantel pamoate could broaden the spectrum of activity.</v>
      </c>
      <c r="BO143" s="863" t="str">
        <f>IFERROR(__xludf.DUMMYFUNCTION("""COMPUTED_VALUE"""),"Kato-Katz technique")</f>
        <v>Kato-Katz technique</v>
      </c>
      <c r="BP143" s="880"/>
      <c r="BQ143" s="863"/>
      <c r="BR143" s="889" t="str">
        <f>IFERROR(__xludf.DUMMYFUNCTION("""COMPUTED_VALUE"""),"VY Belizario et al.")</f>
        <v>VY Belizario et al.</v>
      </c>
      <c r="BS143" s="883" t="str">
        <f>IFERROR(__xludf.DUMMYFUNCTION("""COMPUTED_VALUE"""),"Phillipines")</f>
        <v>Phillipines</v>
      </c>
      <c r="BT143" s="883" t="str">
        <f>IFERROR(__xludf.DUMMYFUNCTION("""COMPUTED_VALUE"""),"Albendazole &amp; Diethylcarbamazine")</f>
        <v>Albendazole &amp; Diethylcarbamazine</v>
      </c>
      <c r="BU143" s="883"/>
      <c r="BV143" s="883" t="str">
        <f>IFERROR(__xludf.DUMMYFUNCTION("""COMPUTED_VALUE"""),"Single")</f>
        <v>Single</v>
      </c>
      <c r="BW143" s="883" t="str">
        <f>IFERROR(__xludf.DUMMYFUNCTION("""COMPUTED_VALUE"""),"400 mg; 150 mg")</f>
        <v>400 mg; 150 mg</v>
      </c>
      <c r="BX143" s="883">
        <f>IFERROR(__xludf.DUMMYFUNCTION("""COMPUTED_VALUE"""),120.0)</f>
        <v>120</v>
      </c>
      <c r="BY143" s="890">
        <f>IFERROR(__xludf.DUMMYFUNCTION("""COMPUTED_VALUE"""),42533.0)</f>
        <v>42533</v>
      </c>
      <c r="BZ143" s="883">
        <f>IFERROR(__xludf.DUMMYFUNCTION("""COMPUTED_VALUE"""),1998.0)</f>
        <v>1998</v>
      </c>
      <c r="CA143" s="883"/>
      <c r="CB143" s="883"/>
      <c r="CC143" s="883" t="str">
        <f>IFERROR(__xludf.DUMMYFUNCTION("""COMPUTED_VALUE"""),"Yes")</f>
        <v>Yes</v>
      </c>
      <c r="CD143" s="884">
        <f>IFERROR(__xludf.DUMMYFUNCTION("""COMPUTED_VALUE"""),0.775)</f>
        <v>0.775</v>
      </c>
      <c r="CE143" s="883" t="str">
        <f>IFERROR(__xludf.DUMMYFUNCTION("""COMPUTED_VALUE"""),"Yes")</f>
        <v>Yes</v>
      </c>
      <c r="CF143" s="884">
        <f>IFERROR(__xludf.DUMMYFUNCTION("""COMPUTED_VALUE"""),0.775)</f>
        <v>0.775</v>
      </c>
      <c r="CG143" s="883"/>
      <c r="CH143" s="883"/>
      <c r="CI143" s="883"/>
      <c r="CJ143" s="883"/>
      <c r="CK143" s="883"/>
      <c r="CL143" s="883"/>
      <c r="CM143" s="884">
        <f>IFERROR(__xludf.DUMMYFUNCTION("""COMPUTED_VALUE"""),0.966)</f>
        <v>0.966</v>
      </c>
      <c r="CN143" s="883"/>
      <c r="CO143" s="883"/>
      <c r="CP143" s="883"/>
      <c r="CQ143" s="883"/>
      <c r="CR143" s="883"/>
      <c r="CS143" s="883"/>
      <c r="CT143" s="883"/>
      <c r="CU143" s="883"/>
      <c r="CV143" s="863"/>
      <c r="CW143" s="863"/>
      <c r="CX143" s="863"/>
      <c r="CY143" s="863"/>
      <c r="CZ143" s="863"/>
      <c r="DA143" s="863"/>
      <c r="DB143" s="863"/>
      <c r="DC143" s="863"/>
      <c r="DD143" s="863"/>
      <c r="DE143" s="863"/>
    </row>
    <row r="144">
      <c r="A144" s="876"/>
      <c r="B144" s="876"/>
      <c r="C144" s="876"/>
      <c r="D144" s="876"/>
      <c r="E144" s="876"/>
      <c r="F144" s="876"/>
      <c r="G144" s="876"/>
      <c r="H144" s="876"/>
      <c r="I144" s="876"/>
      <c r="J144" s="876"/>
      <c r="K144" s="876"/>
      <c r="L144" s="876"/>
      <c r="M144" s="876"/>
      <c r="N144" s="877"/>
      <c r="O144" s="876"/>
      <c r="P144" s="876"/>
      <c r="Q144" s="876"/>
      <c r="R144" s="876"/>
      <c r="S144" s="876"/>
      <c r="T144" s="876"/>
      <c r="U144" s="876"/>
      <c r="V144" s="876"/>
      <c r="W144" s="876"/>
      <c r="X144" s="876"/>
      <c r="Y144" s="876"/>
      <c r="Z144" s="876"/>
      <c r="AA144" s="876"/>
      <c r="AB144" s="876"/>
      <c r="AC144" s="876"/>
      <c r="AD144" s="876"/>
      <c r="AE144" s="876"/>
      <c r="AF144" s="876"/>
      <c r="AG144" s="876"/>
      <c r="AH144" s="876"/>
      <c r="AI144" s="878"/>
      <c r="AJ144" s="888" t="str">
        <f>IFERROR(__xludf.DUMMYFUNCTION("""COMPUTED_VALUE"""),"Efficacy and safety of tribendimidine, tribendimidine plus ivermectin, tribendimidine plus oxantel pamoate, and albendazole plus oxantel pamoate against hookworm and concomitant soil-transmitted helminth infections in Tanzania and Côte d'Ivoire: a randomi"&amp;"sed, controlled, single-blinded, non-inferiority trial")</f>
        <v>Efficacy and safety of tribendimidine, tribendimidine plus ivermectin, tribendimidine plus oxantel pamoate, and albendazole plus oxantel pamoate against hookworm and concomitant soil-transmitted helminth infections in Tanzania and Côte d'Ivoire: a randomised, controlled, single-blinded, non-inferiority trial</v>
      </c>
      <c r="AK144" s="880" t="str">
        <f>IFERROR(__xludf.DUMMYFUNCTION("""COMPUTED_VALUE"""),"Moser W, Coulibaly JT, Ali SM, Ame SM, Amour AK, Yapi RB, Albonico M, Puchkov M, Huwyler J, Hattendorf J, Keiser J. Efficacy and safety of tribendimidine, tribendimidine plus ivermectin, tribendimidine plus oxantel pamoate, and albendazole plus oxantel pa"&amp;"moate against hookworm and concomitant soil-transmitted helminth infections in Tanzania and Côte d'Ivoire: a randomised, controlled, single-blinded, non-inferiority trial. Lancet Infect Dis. 2017 Nov;17(11):1162-1171. doi: 10.1016/S1473-3099(17)30487-5. E"&amp;"pub 2017 Aug 29. PMID: 28864027.")</f>
        <v>Moser W, Coulibaly JT, Ali SM, Ame SM, Amour AK, Yapi RB, Albonico M, Puchkov M, Huwyler J, Hattendorf J, Keiser J. Efficacy and safety of tribendimidine, tribendimidine plus ivermectin, tribendimidine plus oxantel pamoate, and albendazole plus oxantel pamoate against hookworm and concomitant soil-transmitted helminth infections in Tanzania and Côte d'Ivoire: a randomised, controlled, single-blinded, non-inferiority trial. Lancet Infect Dis. 2017 Nov;17(11):1162-1171. doi: 10.1016/S1473-3099(17)30487-5. Epub 2017 Aug 29. PMID: 28864027.</v>
      </c>
      <c r="AL144" s="880" t="str">
        <f>IFERROR(__xludf.DUMMYFUNCTION("""COMPUTED_VALUE"""),"Côte d’Ivoire")</f>
        <v>Côte d’Ivoire</v>
      </c>
      <c r="AM144" s="880" t="str">
        <f>IFERROR(__xludf.DUMMYFUNCTION("""COMPUTED_VALUE"""),"Tribendimidine &amp; Oxantel pamoate")</f>
        <v>Tribendimidine &amp; Oxantel pamoate</v>
      </c>
      <c r="AN144" s="880" t="str">
        <f>IFERROR(__xludf.DUMMYFUNCTION("""COMPUTED_VALUE"""),"Single")</f>
        <v>Single</v>
      </c>
      <c r="AO144" s="880" t="str">
        <f>IFERROR(__xludf.DUMMYFUNCTION("""COMPUTED_VALUE"""),"400 mg; 25 mg/kg")</f>
        <v>400 mg; 25 mg/kg</v>
      </c>
      <c r="AP144" s="880">
        <f>IFERROR(__xludf.DUMMYFUNCTION("""COMPUTED_VALUE"""),157.0)</f>
        <v>157</v>
      </c>
      <c r="AQ144" s="880">
        <f>IFERROR(__xludf.DUMMYFUNCTION("""COMPUTED_VALUE"""),15.9)</f>
        <v>15.9</v>
      </c>
      <c r="AR144" s="880" t="str">
        <f>IFERROR(__xludf.DUMMYFUNCTION("""COMPUTED_VALUE"""),"84M:73F")</f>
        <v>84M:73F</v>
      </c>
      <c r="AS144" s="880">
        <f>IFERROR(__xludf.DUMMYFUNCTION("""COMPUTED_VALUE"""),2016.0)</f>
        <v>2016</v>
      </c>
      <c r="AT144" s="880" t="str">
        <f>IFERROR(__xludf.DUMMYFUNCTION("""COMPUTED_VALUE"""),"We recruited adolescents aged 15–18 years from four primary schools on Pemba, and school attendees and non-schoolers from two districts in Côte d’Ivoire")</f>
        <v>We recruited adolescents aged 15–18 years from four primary schools on Pemba, and school attendees and non-schoolers from two districts in Côte d’Ivoire</v>
      </c>
      <c r="AU144" s="880" t="str">
        <f>IFERROR(__xludf.DUMMYFUNCTION("""COMPUTED_VALUE"""),"Yes")</f>
        <v>Yes</v>
      </c>
      <c r="AV144" s="880" t="str">
        <f>IFERROR(__xludf.DUMMYFUNCTION("""COMPUTED_VALUE"""),"Yes")</f>
        <v>Yes</v>
      </c>
      <c r="AW144" s="881" t="str">
        <f>IFERROR(__xludf.DUMMYFUNCTION("""COMPUTED_VALUE"""),"Single-blind")</f>
        <v>Single-blind</v>
      </c>
      <c r="AX144" s="863">
        <f>IFERROR(__xludf.DUMMYFUNCTION("""COMPUTED_VALUE"""),0.663)</f>
        <v>0.663</v>
      </c>
      <c r="AY144" s="863"/>
      <c r="AZ144" s="863"/>
      <c r="BA144" s="863"/>
      <c r="BB144" s="863"/>
      <c r="BC144" s="863"/>
      <c r="BD144" s="863"/>
      <c r="BE144" s="863"/>
      <c r="BF144" s="863"/>
      <c r="BG144" s="863"/>
      <c r="BH144" s="863">
        <f>IFERROR(__xludf.DUMMYFUNCTION("""COMPUTED_VALUE"""),0.998)</f>
        <v>0.998</v>
      </c>
      <c r="BI144" s="863"/>
      <c r="BJ144" s="863"/>
      <c r="BK144" s="863"/>
      <c r="BL144" s="863"/>
      <c r="BM144" s="863"/>
      <c r="BN144" s="863" t="str">
        <f>IFERROR(__xludf.DUMMYFUNCTION("""COMPUTED_VALUE"""),"Tribendimidine showed a similar efficacy profile as albendazole. We recommend tribendimidine to complement albendazole in preventive chemotherapy interventions, to decrease drug pressure on soil-transmitted helminths and avoid the emergence of drug resist"&amp;"ance against benzimidazoles. Moreover, the coadministration of tribendimidine with ivermectin or oxantel pamoate could broaden the spectrum of activity.")</f>
        <v>Tribendimidine showed a similar efficacy profile as albendazole. We recommend tribendimidine to complement albendazole in preventive chemotherapy interventions, to decrease drug pressure on soil-transmitted helminths and avoid the emergence of drug resistance against benzimidazoles. Moreover, the coadministration of tribendimidine with ivermectin or oxantel pamoate could broaden the spectrum of activity.</v>
      </c>
      <c r="BO144" s="863" t="str">
        <f>IFERROR(__xludf.DUMMYFUNCTION("""COMPUTED_VALUE"""),"Kato-Katz technique")</f>
        <v>Kato-Katz technique</v>
      </c>
      <c r="BP144" s="880"/>
      <c r="BQ144" s="863"/>
      <c r="BR144" s="889" t="str">
        <f>IFERROR(__xludf.DUMMYFUNCTION("""COMPUTED_VALUE"""),"Ismail MM et al.")</f>
        <v>Ismail MM et al.</v>
      </c>
      <c r="BS144" s="883"/>
      <c r="BT144" s="883" t="str">
        <f>IFERROR(__xludf.DUMMYFUNCTION("""COMPUTED_VALUE"""),"Albendazole")</f>
        <v>Albendazole</v>
      </c>
      <c r="BU144" s="883"/>
      <c r="BV144" s="883" t="str">
        <f>IFERROR(__xludf.DUMMYFUNCTION("""COMPUTED_VALUE"""),"Single")</f>
        <v>Single</v>
      </c>
      <c r="BW144" s="883" t="str">
        <f>IFERROR(__xludf.DUMMYFUNCTION("""COMPUTED_VALUE"""),"400 mg")</f>
        <v>400 mg</v>
      </c>
      <c r="BX144" s="883">
        <f>IFERROR(__xludf.DUMMYFUNCTION("""COMPUTED_VALUE"""),667.0)</f>
        <v>667</v>
      </c>
      <c r="BY144" s="890">
        <f>IFERROR(__xludf.DUMMYFUNCTION("""COMPUTED_VALUE"""),42441.0)</f>
        <v>42441</v>
      </c>
      <c r="BZ144" s="883"/>
      <c r="CA144" s="883" t="str">
        <f>IFERROR(__xludf.DUMMYFUNCTION("""COMPUTED_VALUE"""),"M &amp; F")</f>
        <v>M &amp; F</v>
      </c>
      <c r="CB144" s="883"/>
      <c r="CC144" s="883" t="str">
        <f>IFERROR(__xludf.DUMMYFUNCTION("""COMPUTED_VALUE"""),"No")</f>
        <v>No</v>
      </c>
      <c r="CD144" s="884">
        <f>IFERROR(__xludf.DUMMYFUNCTION("""COMPUTED_VALUE"""),0.956)</f>
        <v>0.956</v>
      </c>
      <c r="CE144" s="883" t="str">
        <f>IFERROR(__xludf.DUMMYFUNCTION("""COMPUTED_VALUE"""),"No")</f>
        <v>No</v>
      </c>
      <c r="CF144" s="883"/>
      <c r="CG144" s="883"/>
      <c r="CH144" s="883"/>
      <c r="CI144" s="883"/>
      <c r="CJ144" s="883"/>
      <c r="CK144" s="883"/>
      <c r="CL144" s="883"/>
      <c r="CM144" s="884">
        <f>IFERROR(__xludf.DUMMYFUNCTION("""COMPUTED_VALUE"""),0.997)</f>
        <v>0.997</v>
      </c>
      <c r="CN144" s="883"/>
      <c r="CO144" s="883"/>
      <c r="CP144" s="883"/>
      <c r="CQ144" s="883"/>
      <c r="CR144" s="883"/>
      <c r="CS144" s="883"/>
      <c r="CT144" s="883"/>
      <c r="CU144" s="883"/>
      <c r="CV144" s="863"/>
      <c r="CW144" s="863"/>
      <c r="CX144" s="863"/>
      <c r="CY144" s="863"/>
      <c r="CZ144" s="863"/>
      <c r="DA144" s="863"/>
      <c r="DB144" s="863"/>
      <c r="DC144" s="863"/>
      <c r="DD144" s="863"/>
      <c r="DE144" s="863"/>
    </row>
    <row r="145">
      <c r="A145" s="876"/>
      <c r="B145" s="876"/>
      <c r="C145" s="876"/>
      <c r="D145" s="876"/>
      <c r="E145" s="876"/>
      <c r="F145" s="876"/>
      <c r="G145" s="876"/>
      <c r="H145" s="876"/>
      <c r="I145" s="876"/>
      <c r="J145" s="876"/>
      <c r="K145" s="876"/>
      <c r="L145" s="876"/>
      <c r="M145" s="876"/>
      <c r="N145" s="877"/>
      <c r="O145" s="876"/>
      <c r="P145" s="876"/>
      <c r="Q145" s="876"/>
      <c r="R145" s="876"/>
      <c r="S145" s="876"/>
      <c r="T145" s="876"/>
      <c r="U145" s="876"/>
      <c r="V145" s="876"/>
      <c r="W145" s="876"/>
      <c r="X145" s="876"/>
      <c r="Y145" s="876"/>
      <c r="Z145" s="876"/>
      <c r="AA145" s="876"/>
      <c r="AB145" s="876"/>
      <c r="AC145" s="876"/>
      <c r="AD145" s="876"/>
      <c r="AE145" s="876"/>
      <c r="AF145" s="876"/>
      <c r="AG145" s="876"/>
      <c r="AH145" s="876"/>
      <c r="AI145" s="878"/>
      <c r="AJ145" s="888" t="str">
        <f>IFERROR(__xludf.DUMMYFUNCTION("""COMPUTED_VALUE"""),"Efficacy and safety of tribendimidine, tribendimidine plus ivermectin, tribendimidine plus oxantel pamoate, and albendazole plus oxantel pamoate against hookworm and concomitant soil-transmitted helminth infections in Tanzania and Côte d'Ivoire: a randomi"&amp;"sed, controlled, single-blinded, non-inferiority trial")</f>
        <v>Efficacy and safety of tribendimidine, tribendimidine plus ivermectin, tribendimidine plus oxantel pamoate, and albendazole plus oxantel pamoate against hookworm and concomitant soil-transmitted helminth infections in Tanzania and Côte d'Ivoire: a randomised, controlled, single-blinded, non-inferiority trial</v>
      </c>
      <c r="AK145" s="880" t="str">
        <f>IFERROR(__xludf.DUMMYFUNCTION("""COMPUTED_VALUE"""),"Moser W, Coulibaly JT, Ali SM, Ame SM, Amour AK, Yapi RB, Albonico M, Puchkov M, Huwyler J, Hattendorf J, Keiser J. Efficacy and safety of tribendimidine, tribendimidine plus ivermectin, tribendimidine plus oxantel pamoate, and albendazole plus oxantel pa"&amp;"moate against hookworm and concomitant soil-transmitted helminth infections in Tanzania and Côte d'Ivoire: a randomised, controlled, single-blinded, non-inferiority trial. Lancet Infect Dis. 2017 Nov;17(11):1162-1171. doi: 10.1016/S1473-3099(17)30487-5. E"&amp;"pub 2017 Aug 29. PMID: 28864027.")</f>
        <v>Moser W, Coulibaly JT, Ali SM, Ame SM, Amour AK, Yapi RB, Albonico M, Puchkov M, Huwyler J, Hattendorf J, Keiser J. Efficacy and safety of tribendimidine, tribendimidine plus ivermectin, tribendimidine plus oxantel pamoate, and albendazole plus oxantel pamoate against hookworm and concomitant soil-transmitted helminth infections in Tanzania and Côte d'Ivoire: a randomised, controlled, single-blinded, non-inferiority trial. Lancet Infect Dis. 2017 Nov;17(11):1162-1171. doi: 10.1016/S1473-3099(17)30487-5. Epub 2017 Aug 29. PMID: 28864027.</v>
      </c>
      <c r="AL145" s="880" t="str">
        <f>IFERROR(__xludf.DUMMYFUNCTION("""COMPUTED_VALUE"""),"Côte d’Ivoire")</f>
        <v>Côte d’Ivoire</v>
      </c>
      <c r="AM145" s="880" t="str">
        <f>IFERROR(__xludf.DUMMYFUNCTION("""COMPUTED_VALUE"""),"Albendazole &amp; Oxantel pamoate")</f>
        <v>Albendazole &amp; Oxantel pamoate</v>
      </c>
      <c r="AN145" s="880" t="str">
        <f>IFERROR(__xludf.DUMMYFUNCTION("""COMPUTED_VALUE"""),"Single")</f>
        <v>Single</v>
      </c>
      <c r="AO145" s="880" t="str">
        <f>IFERROR(__xludf.DUMMYFUNCTION("""COMPUTED_VALUE"""),"400 mg; 25 mg/kg")</f>
        <v>400 mg; 25 mg/kg</v>
      </c>
      <c r="AP145" s="880">
        <f>IFERROR(__xludf.DUMMYFUNCTION("""COMPUTED_VALUE"""),161.0)</f>
        <v>161</v>
      </c>
      <c r="AQ145" s="880">
        <f>IFERROR(__xludf.DUMMYFUNCTION("""COMPUTED_VALUE"""),15.8)</f>
        <v>15.8</v>
      </c>
      <c r="AR145" s="880" t="str">
        <f>IFERROR(__xludf.DUMMYFUNCTION("""COMPUTED_VALUE"""),"75M:86F")</f>
        <v>75M:86F</v>
      </c>
      <c r="AS145" s="880">
        <f>IFERROR(__xludf.DUMMYFUNCTION("""COMPUTED_VALUE"""),2016.0)</f>
        <v>2016</v>
      </c>
      <c r="AT145" s="880" t="str">
        <f>IFERROR(__xludf.DUMMYFUNCTION("""COMPUTED_VALUE"""),"We recruited adolescents aged 15–18 years from four primary schools on Pemba, and school attendees and non-schoolers from two districts in Côte d’Ivoire")</f>
        <v>We recruited adolescents aged 15–18 years from four primary schools on Pemba, and school attendees and non-schoolers from two districts in Côte d’Ivoire</v>
      </c>
      <c r="AU145" s="880" t="str">
        <f>IFERROR(__xludf.DUMMYFUNCTION("""COMPUTED_VALUE"""),"Yes")</f>
        <v>Yes</v>
      </c>
      <c r="AV145" s="880" t="str">
        <f>IFERROR(__xludf.DUMMYFUNCTION("""COMPUTED_VALUE"""),"Yes")</f>
        <v>Yes</v>
      </c>
      <c r="AW145" s="881" t="str">
        <f>IFERROR(__xludf.DUMMYFUNCTION("""COMPUTED_VALUE"""),"Single-blind")</f>
        <v>Single-blind</v>
      </c>
      <c r="AX145" s="863">
        <f>IFERROR(__xludf.DUMMYFUNCTION("""COMPUTED_VALUE"""),0.828)</f>
        <v>0.828</v>
      </c>
      <c r="AY145" s="863"/>
      <c r="AZ145" s="863"/>
      <c r="BA145" s="863"/>
      <c r="BB145" s="863"/>
      <c r="BC145" s="863"/>
      <c r="BD145" s="863"/>
      <c r="BE145" s="863"/>
      <c r="BF145" s="863"/>
      <c r="BG145" s="863"/>
      <c r="BH145" s="863">
        <f>IFERROR(__xludf.DUMMYFUNCTION("""COMPUTED_VALUE"""),0.85)</f>
        <v>0.85</v>
      </c>
      <c r="BI145" s="863"/>
      <c r="BJ145" s="863"/>
      <c r="BK145" s="863"/>
      <c r="BL145" s="863"/>
      <c r="BM145" s="863"/>
      <c r="BN145" s="863" t="str">
        <f>IFERROR(__xludf.DUMMYFUNCTION("""COMPUTED_VALUE"""),"Tribendimidine showed a similar efficacy profile as albendazole. We recommend tribendimidine to complement albendazole in preventive chemotherapy interventions, to decrease drug pressure on soil-transmitted helminths and avoid the emergence of drug resist"&amp;"ance against benzimidazoles. Moreover, the coadministration of tribendimidine with ivermectin or oxantel pamoate could broaden the spectrum of activity.")</f>
        <v>Tribendimidine showed a similar efficacy profile as albendazole. We recommend tribendimidine to complement albendazole in preventive chemotherapy interventions, to decrease drug pressure on soil-transmitted helminths and avoid the emergence of drug resistance against benzimidazoles. Moreover, the coadministration of tribendimidine with ivermectin or oxantel pamoate could broaden the spectrum of activity.</v>
      </c>
      <c r="BO145" s="863" t="str">
        <f>IFERROR(__xludf.DUMMYFUNCTION("""COMPUTED_VALUE"""),"Kato-Katz technique")</f>
        <v>Kato-Katz technique</v>
      </c>
      <c r="BP145" s="880"/>
      <c r="BQ145" s="863"/>
      <c r="BR145" s="889" t="str">
        <f>IFERROR(__xludf.DUMMYFUNCTION("""COMPUTED_VALUE"""),"Ismail MM et al.")</f>
        <v>Ismail MM et al.</v>
      </c>
      <c r="BS145" s="883"/>
      <c r="BT145" s="883" t="str">
        <f>IFERROR(__xludf.DUMMYFUNCTION("""COMPUTED_VALUE"""),"Levamisole")</f>
        <v>Levamisole</v>
      </c>
      <c r="BU145" s="883"/>
      <c r="BV145" s="883" t="str">
        <f>IFERROR(__xludf.DUMMYFUNCTION("""COMPUTED_VALUE"""),"Single")</f>
        <v>Single</v>
      </c>
      <c r="BW145" s="883" t="str">
        <f>IFERROR(__xludf.DUMMYFUNCTION("""COMPUTED_VALUE"""),"2.5 mg")</f>
        <v>2.5 mg</v>
      </c>
      <c r="BX145" s="883"/>
      <c r="BY145" s="890">
        <f>IFERROR(__xludf.DUMMYFUNCTION("""COMPUTED_VALUE"""),42441.0)</f>
        <v>42441</v>
      </c>
      <c r="BZ145" s="883"/>
      <c r="CA145" s="883"/>
      <c r="CB145" s="883"/>
      <c r="CC145" s="883" t="str">
        <f>IFERROR(__xludf.DUMMYFUNCTION("""COMPUTED_VALUE"""),"No")</f>
        <v>No</v>
      </c>
      <c r="CD145" s="884">
        <f>IFERROR(__xludf.DUMMYFUNCTION("""COMPUTED_VALUE"""),0.863)</f>
        <v>0.863</v>
      </c>
      <c r="CE145" s="883" t="str">
        <f>IFERROR(__xludf.DUMMYFUNCTION("""COMPUTED_VALUE"""),"No")</f>
        <v>No</v>
      </c>
      <c r="CF145" s="883"/>
      <c r="CG145" s="883"/>
      <c r="CH145" s="883"/>
      <c r="CI145" s="883"/>
      <c r="CJ145" s="883"/>
      <c r="CK145" s="883"/>
      <c r="CL145" s="883"/>
      <c r="CM145" s="884">
        <f>IFERROR(__xludf.DUMMYFUNCTION("""COMPUTED_VALUE"""),0.959)</f>
        <v>0.959</v>
      </c>
      <c r="CN145" s="883"/>
      <c r="CO145" s="883"/>
      <c r="CP145" s="883"/>
      <c r="CQ145" s="883"/>
      <c r="CR145" s="883"/>
      <c r="CS145" s="883"/>
      <c r="CT145" s="883"/>
      <c r="CU145" s="883"/>
      <c r="CV145" s="863"/>
      <c r="CW145" s="863"/>
      <c r="CX145" s="863"/>
      <c r="CY145" s="863"/>
      <c r="CZ145" s="863"/>
      <c r="DA145" s="863"/>
      <c r="DB145" s="863"/>
      <c r="DC145" s="863"/>
      <c r="DD145" s="863"/>
      <c r="DE145" s="863"/>
    </row>
    <row r="146">
      <c r="A146" s="876"/>
      <c r="B146" s="876"/>
      <c r="C146" s="876"/>
      <c r="D146" s="876"/>
      <c r="E146" s="876"/>
      <c r="F146" s="876"/>
      <c r="G146" s="876"/>
      <c r="H146" s="876"/>
      <c r="I146" s="876"/>
      <c r="J146" s="876"/>
      <c r="K146" s="876"/>
      <c r="L146" s="876"/>
      <c r="M146" s="876"/>
      <c r="N146" s="877"/>
      <c r="O146" s="876"/>
      <c r="P146" s="876"/>
      <c r="Q146" s="876"/>
      <c r="R146" s="876"/>
      <c r="S146" s="876"/>
      <c r="T146" s="876"/>
      <c r="U146" s="876"/>
      <c r="V146" s="876"/>
      <c r="W146" s="876"/>
      <c r="X146" s="876"/>
      <c r="Y146" s="876"/>
      <c r="Z146" s="876"/>
      <c r="AA146" s="876"/>
      <c r="AB146" s="876"/>
      <c r="AC146" s="876"/>
      <c r="AD146" s="876"/>
      <c r="AE146" s="876"/>
      <c r="AF146" s="876"/>
      <c r="AG146" s="876"/>
      <c r="AH146" s="876"/>
      <c r="AI146" s="878"/>
      <c r="AJ146" s="888" t="str">
        <f>IFERROR(__xludf.DUMMYFUNCTION("""COMPUTED_VALUE"""),"Efficacy and safety of oxantel pamoate in school-aged children infected with Trichuris trichiura on Pemba Island, Tanzania: a parallel, randomised, controlled, dose-ranging study")</f>
        <v>Efficacy and safety of oxantel pamoate in school-aged children infected with Trichuris trichiura on Pemba Island, Tanzania: a parallel, randomised, controlled, dose-ranging study</v>
      </c>
      <c r="AK146" s="880" t="str">
        <f>IFERROR(__xludf.DUMMYFUNCTION("""COMPUTED_VALUE"""),"Moser W, Ali SM, Ame SM, Speich B, Puchkov M, Huwyler J, Albonico M, Hattendorf J, Keiser J. Efficacy and safety of oxantel pamoate in school-aged children infected with Trichuris trichiura on Pemba Island, Tanzania: a parallel, randomised, controlled, do"&amp;"se-ranging study. Lancet Infect Dis. 2016 Jan;16(1):53-60. doi: 10.1016/S1473-3099(15)00271-6. Epub 2015 Sep 18. PMID: 26388169.")</f>
        <v>Moser W, Ali SM, Ame SM, Speich B, Puchkov M, Huwyler J, Albonico M, Hattendorf J, Keiser J. Efficacy and safety of oxantel pamoate in school-aged children infected with Trichuris trichiura on Pemba Island, Tanzania: a parallel, randomised, controlled, dose-ranging study. Lancet Infect Dis. 2016 Jan;16(1):53-60. doi: 10.1016/S1473-3099(15)00271-6. Epub 2015 Sep 18. PMID: 26388169.</v>
      </c>
      <c r="AL146" s="880" t="str">
        <f>IFERROR(__xludf.DUMMYFUNCTION("""COMPUTED_VALUE"""),"Tanzania")</f>
        <v>Tanzania</v>
      </c>
      <c r="AM146" s="880" t="str">
        <f>IFERROR(__xludf.DUMMYFUNCTION("""COMPUTED_VALUE"""),"Oxantel pamoate")</f>
        <v>Oxantel pamoate</v>
      </c>
      <c r="AN146" s="880" t="str">
        <f>IFERROR(__xludf.DUMMYFUNCTION("""COMPUTED_VALUE"""),"Single")</f>
        <v>Single</v>
      </c>
      <c r="AO146" s="880" t="str">
        <f>IFERROR(__xludf.DUMMYFUNCTION("""COMPUTED_VALUE"""),"5 mg/kg")</f>
        <v>5 mg/kg</v>
      </c>
      <c r="AP146" s="880">
        <f>IFERROR(__xludf.DUMMYFUNCTION("""COMPUTED_VALUE"""),48.0)</f>
        <v>48</v>
      </c>
      <c r="AQ146" s="880">
        <f>IFERROR(__xludf.DUMMYFUNCTION("""COMPUTED_VALUE"""),10.6)</f>
        <v>10.6</v>
      </c>
      <c r="AR146" s="880" t="str">
        <f>IFERROR(__xludf.DUMMYFUNCTION("""COMPUTED_VALUE"""),"20M:28F")</f>
        <v>20M:28F</v>
      </c>
      <c r="AS146" s="880">
        <f>IFERROR(__xludf.DUMMYFUNCTION("""COMPUTED_VALUE"""),2014.0)</f>
        <v>2014</v>
      </c>
      <c r="AT146" s="880" t="str">
        <f>IFERROR(__xludf.DUMMYFUNCTION("""COMPUTED_VALUE"""),"School-aged children (aged 6–14 years) infected with T trichiura on Pemba Island, Tanzania.")</f>
        <v>School-aged children (aged 6–14 years) infected with T trichiura on Pemba Island, Tanzania.</v>
      </c>
      <c r="AU146" s="880" t="str">
        <f>IFERROR(__xludf.DUMMYFUNCTION("""COMPUTED_VALUE"""),"Yes")</f>
        <v>Yes</v>
      </c>
      <c r="AV146" s="880" t="str">
        <f>IFERROR(__xludf.DUMMYFUNCTION("""COMPUTED_VALUE"""),"Yes")</f>
        <v>Yes</v>
      </c>
      <c r="AW146" s="881" t="str">
        <f>IFERROR(__xludf.DUMMYFUNCTION("""COMPUTED_VALUE"""),"Single-blind")</f>
        <v>Single-blind</v>
      </c>
      <c r="AX146" s="863">
        <f>IFERROR(__xludf.DUMMYFUNCTION("""COMPUTED_VALUE"""),0.22)</f>
        <v>0.22</v>
      </c>
      <c r="AY146" s="863"/>
      <c r="AZ146" s="863"/>
      <c r="BA146" s="863"/>
      <c r="BB146" s="863"/>
      <c r="BC146" s="863"/>
      <c r="BD146" s="863"/>
      <c r="BE146" s="863"/>
      <c r="BF146" s="863"/>
      <c r="BG146" s="863"/>
      <c r="BH146" s="863">
        <f>IFERROR(__xludf.DUMMYFUNCTION("""COMPUTED_VALUE"""),0.864)</f>
        <v>0.864</v>
      </c>
      <c r="BI146" s="863"/>
      <c r="BJ146" s="863"/>
      <c r="BK146" s="863"/>
      <c r="BL146" s="863"/>
      <c r="BM146" s="863"/>
      <c r="BN146" s="863" t="str">
        <f>IFERROR(__xludf.DUMMYFUNCTION("""COMPUTED_VALUE"""),"Our dose-finding study revealed an excellent tolerability profile of oxantel pamoate in children infected with T trichiura. An optimum therapeutic dose range of 15–30 mg/kg oxantel pamoate was defined.")</f>
        <v>Our dose-finding study revealed an excellent tolerability profile of oxantel pamoate in children infected with T trichiura. An optimum therapeutic dose range of 15–30 mg/kg oxantel pamoate was defined.</v>
      </c>
      <c r="BO146" s="863"/>
      <c r="BP146" s="880"/>
      <c r="BQ146" s="863"/>
      <c r="BR146" s="889" t="str">
        <f>IFERROR(__xludf.DUMMYFUNCTION("""COMPUTED_VALUE"""),"Ismail MM et al.")</f>
        <v>Ismail MM et al.</v>
      </c>
      <c r="BS146" s="883"/>
      <c r="BT146" s="883" t="str">
        <f>IFERROR(__xludf.DUMMYFUNCTION("""COMPUTED_VALUE"""),"Mebendazole")</f>
        <v>Mebendazole</v>
      </c>
      <c r="BU146" s="883"/>
      <c r="BV146" s="883" t="str">
        <f>IFERROR(__xludf.DUMMYFUNCTION("""COMPUTED_VALUE"""),"Single")</f>
        <v>Single</v>
      </c>
      <c r="BW146" s="883" t="str">
        <f>IFERROR(__xludf.DUMMYFUNCTION("""COMPUTED_VALUE"""),"200 mg")</f>
        <v>200 mg</v>
      </c>
      <c r="BX146" s="883"/>
      <c r="BY146" s="890">
        <f>IFERROR(__xludf.DUMMYFUNCTION("""COMPUTED_VALUE"""),42441.0)</f>
        <v>42441</v>
      </c>
      <c r="BZ146" s="883"/>
      <c r="CA146" s="883"/>
      <c r="CB146" s="883"/>
      <c r="CC146" s="883" t="str">
        <f>IFERROR(__xludf.DUMMYFUNCTION("""COMPUTED_VALUE"""),"No")</f>
        <v>No</v>
      </c>
      <c r="CD146" s="884">
        <f>IFERROR(__xludf.DUMMYFUNCTION("""COMPUTED_VALUE"""),0.934)</f>
        <v>0.934</v>
      </c>
      <c r="CE146" s="883" t="str">
        <f>IFERROR(__xludf.DUMMYFUNCTION("""COMPUTED_VALUE"""),"No")</f>
        <v>No</v>
      </c>
      <c r="CF146" s="883"/>
      <c r="CG146" s="883"/>
      <c r="CH146" s="883"/>
      <c r="CI146" s="883"/>
      <c r="CJ146" s="883"/>
      <c r="CK146" s="883"/>
      <c r="CL146" s="883"/>
      <c r="CM146" s="884">
        <f>IFERROR(__xludf.DUMMYFUNCTION("""COMPUTED_VALUE"""),0.992)</f>
        <v>0.992</v>
      </c>
      <c r="CN146" s="883"/>
      <c r="CO146" s="883"/>
      <c r="CP146" s="883"/>
      <c r="CQ146" s="883"/>
      <c r="CR146" s="883"/>
      <c r="CS146" s="883"/>
      <c r="CT146" s="883"/>
      <c r="CU146" s="883"/>
      <c r="CV146" s="863"/>
      <c r="CW146" s="863"/>
      <c r="CX146" s="863"/>
      <c r="CY146" s="863"/>
      <c r="CZ146" s="863"/>
      <c r="DA146" s="863"/>
      <c r="DB146" s="863"/>
      <c r="DC146" s="863"/>
      <c r="DD146" s="863"/>
      <c r="DE146" s="863"/>
    </row>
    <row r="147">
      <c r="A147" s="876"/>
      <c r="B147" s="876"/>
      <c r="C147" s="876"/>
      <c r="D147" s="876"/>
      <c r="E147" s="876"/>
      <c r="F147" s="876"/>
      <c r="G147" s="876"/>
      <c r="H147" s="876"/>
      <c r="I147" s="876"/>
      <c r="J147" s="876"/>
      <c r="K147" s="876"/>
      <c r="L147" s="876"/>
      <c r="M147" s="876"/>
      <c r="N147" s="877"/>
      <c r="O147" s="876"/>
      <c r="P147" s="876"/>
      <c r="Q147" s="876"/>
      <c r="R147" s="876"/>
      <c r="S147" s="876"/>
      <c r="T147" s="876"/>
      <c r="U147" s="876"/>
      <c r="V147" s="876"/>
      <c r="W147" s="876"/>
      <c r="X147" s="876"/>
      <c r="Y147" s="876"/>
      <c r="Z147" s="876"/>
      <c r="AA147" s="876"/>
      <c r="AB147" s="876"/>
      <c r="AC147" s="876"/>
      <c r="AD147" s="876"/>
      <c r="AE147" s="876"/>
      <c r="AF147" s="876"/>
      <c r="AG147" s="876"/>
      <c r="AH147" s="876"/>
      <c r="AI147" s="878"/>
      <c r="AJ147" s="888" t="str">
        <f>IFERROR(__xludf.DUMMYFUNCTION("""COMPUTED_VALUE"""),"Efficacy and safety of oxantel pamoate in school-aged children infected with Trichuris trichiura on Pemba Island, Tanzania: a parallel, randomised, controlled, dose-ranging study")</f>
        <v>Efficacy and safety of oxantel pamoate in school-aged children infected with Trichuris trichiura on Pemba Island, Tanzania: a parallel, randomised, controlled, dose-ranging study</v>
      </c>
      <c r="AK147" s="880" t="str">
        <f>IFERROR(__xludf.DUMMYFUNCTION("""COMPUTED_VALUE"""),"Moser W, Ali SM, Ame SM, Speich B, Puchkov M, Huwyler J, Albonico M, Hattendorf J, Keiser J. Efficacy and safety of oxantel pamoate in school-aged children infected with Trichuris trichiura on Pemba Island, Tanzania: a parallel, randomised, controlled, do"&amp;"se-ranging study. Lancet Infect Dis. 2016 Jan;16(1):53-60. doi: 10.1016/S1473-3099(15)00271-6. Epub 2015 Sep 18. PMID: 26388169.")</f>
        <v>Moser W, Ali SM, Ame SM, Speich B, Puchkov M, Huwyler J, Albonico M, Hattendorf J, Keiser J. Efficacy and safety of oxantel pamoate in school-aged children infected with Trichuris trichiura on Pemba Island, Tanzania: a parallel, randomised, controlled, dose-ranging study. Lancet Infect Dis. 2016 Jan;16(1):53-60. doi: 10.1016/S1473-3099(15)00271-6. Epub 2015 Sep 18. PMID: 26388169.</v>
      </c>
      <c r="AL147" s="880" t="str">
        <f>IFERROR(__xludf.DUMMYFUNCTION("""COMPUTED_VALUE"""),"Tanzania")</f>
        <v>Tanzania</v>
      </c>
      <c r="AM147" s="880" t="str">
        <f>IFERROR(__xludf.DUMMYFUNCTION("""COMPUTED_VALUE"""),"Oxantel pamoate")</f>
        <v>Oxantel pamoate</v>
      </c>
      <c r="AN147" s="880" t="str">
        <f>IFERROR(__xludf.DUMMYFUNCTION("""COMPUTED_VALUE"""),"Single")</f>
        <v>Single</v>
      </c>
      <c r="AO147" s="880" t="str">
        <f>IFERROR(__xludf.DUMMYFUNCTION("""COMPUTED_VALUE"""),"10 mg/kg")</f>
        <v>10 mg/kg</v>
      </c>
      <c r="AP147" s="880">
        <f>IFERROR(__xludf.DUMMYFUNCTION("""COMPUTED_VALUE"""),51.0)</f>
        <v>51</v>
      </c>
      <c r="AQ147" s="880">
        <f>IFERROR(__xludf.DUMMYFUNCTION("""COMPUTED_VALUE"""),10.2)</f>
        <v>10.2</v>
      </c>
      <c r="AR147" s="880" t="str">
        <f>IFERROR(__xludf.DUMMYFUNCTION("""COMPUTED_VALUE"""),"25M:26F")</f>
        <v>25M:26F</v>
      </c>
      <c r="AS147" s="880">
        <f>IFERROR(__xludf.DUMMYFUNCTION("""COMPUTED_VALUE"""),2014.0)</f>
        <v>2014</v>
      </c>
      <c r="AT147" s="880" t="str">
        <f>IFERROR(__xludf.DUMMYFUNCTION("""COMPUTED_VALUE"""),"School-aged children (aged 6–14 years) infected with T trichiura on Pemba Island, Tanzania.")</f>
        <v>School-aged children (aged 6–14 years) infected with T trichiura on Pemba Island, Tanzania.</v>
      </c>
      <c r="AU147" s="880" t="str">
        <f>IFERROR(__xludf.DUMMYFUNCTION("""COMPUTED_VALUE"""),"Yes")</f>
        <v>Yes</v>
      </c>
      <c r="AV147" s="880" t="str">
        <f>IFERROR(__xludf.DUMMYFUNCTION("""COMPUTED_VALUE"""),"Yes")</f>
        <v>Yes</v>
      </c>
      <c r="AW147" s="881" t="str">
        <f>IFERROR(__xludf.DUMMYFUNCTION("""COMPUTED_VALUE"""),"Single-blind")</f>
        <v>Single-blind</v>
      </c>
      <c r="AX147" s="863">
        <f>IFERROR(__xludf.DUMMYFUNCTION("""COMPUTED_VALUE"""),0.22)</f>
        <v>0.22</v>
      </c>
      <c r="AY147" s="863"/>
      <c r="AZ147" s="863"/>
      <c r="BA147" s="863"/>
      <c r="BB147" s="863"/>
      <c r="BC147" s="863"/>
      <c r="BD147" s="863"/>
      <c r="BE147" s="863"/>
      <c r="BF147" s="863"/>
      <c r="BG147" s="863"/>
      <c r="BH147" s="863">
        <f>IFERROR(__xludf.DUMMYFUNCTION("""COMPUTED_VALUE"""),0.971)</f>
        <v>0.971</v>
      </c>
      <c r="BI147" s="863"/>
      <c r="BJ147" s="863"/>
      <c r="BK147" s="863"/>
      <c r="BL147" s="863"/>
      <c r="BM147" s="863"/>
      <c r="BN147" s="863" t="str">
        <f>IFERROR(__xludf.DUMMYFUNCTION("""COMPUTED_VALUE"""),"Our dose-finding study revealed an excellent tolerability profile of oxantel pamoate in children infected with T trichiura. An optimum therapeutic dose range of 15–30 mg/kg oxantel pamoate was defined.")</f>
        <v>Our dose-finding study revealed an excellent tolerability profile of oxantel pamoate in children infected with T trichiura. An optimum therapeutic dose range of 15–30 mg/kg oxantel pamoate was defined.</v>
      </c>
      <c r="BO147" s="863"/>
      <c r="BP147" s="880"/>
      <c r="BQ147" s="863"/>
      <c r="BR147" s="889" t="str">
        <f>IFERROR(__xludf.DUMMYFUNCTION("""COMPUTED_VALUE"""),"Ismail MM et al.")</f>
        <v>Ismail MM et al.</v>
      </c>
      <c r="BS147" s="883"/>
      <c r="BT147" s="883" t="str">
        <f>IFERROR(__xludf.DUMMYFUNCTION("""COMPUTED_VALUE"""),"Mebendazole")</f>
        <v>Mebendazole</v>
      </c>
      <c r="BU147" s="883"/>
      <c r="BV147" s="883" t="str">
        <f>IFERROR(__xludf.DUMMYFUNCTION("""COMPUTED_VALUE"""),"Single")</f>
        <v>Single</v>
      </c>
      <c r="BW147" s="883" t="str">
        <f>IFERROR(__xludf.DUMMYFUNCTION("""COMPUTED_VALUE"""),"500 mg")</f>
        <v>500 mg</v>
      </c>
      <c r="BX147" s="883"/>
      <c r="BY147" s="890">
        <f>IFERROR(__xludf.DUMMYFUNCTION("""COMPUTED_VALUE"""),42441.0)</f>
        <v>42441</v>
      </c>
      <c r="BZ147" s="883"/>
      <c r="CA147" s="883"/>
      <c r="CB147" s="883"/>
      <c r="CC147" s="883" t="str">
        <f>IFERROR(__xludf.DUMMYFUNCTION("""COMPUTED_VALUE"""),"No")</f>
        <v>No</v>
      </c>
      <c r="CD147" s="884">
        <f>IFERROR(__xludf.DUMMYFUNCTION("""COMPUTED_VALUE"""),0.974)</f>
        <v>0.974</v>
      </c>
      <c r="CE147" s="883" t="str">
        <f>IFERROR(__xludf.DUMMYFUNCTION("""COMPUTED_VALUE"""),"No")</f>
        <v>No</v>
      </c>
      <c r="CF147" s="883"/>
      <c r="CG147" s="883"/>
      <c r="CH147" s="883"/>
      <c r="CI147" s="883"/>
      <c r="CJ147" s="883"/>
      <c r="CK147" s="883"/>
      <c r="CL147" s="883"/>
      <c r="CM147" s="884">
        <f>IFERROR(__xludf.DUMMYFUNCTION("""COMPUTED_VALUE"""),0.99)</f>
        <v>0.99</v>
      </c>
      <c r="CN147" s="883"/>
      <c r="CO147" s="883"/>
      <c r="CP147" s="883"/>
      <c r="CQ147" s="883"/>
      <c r="CR147" s="883"/>
      <c r="CS147" s="883"/>
      <c r="CT147" s="883"/>
      <c r="CU147" s="883"/>
      <c r="CV147" s="863"/>
      <c r="CW147" s="863"/>
      <c r="CX147" s="863"/>
      <c r="CY147" s="863"/>
      <c r="CZ147" s="863"/>
      <c r="DA147" s="863"/>
      <c r="DB147" s="863"/>
      <c r="DC147" s="863"/>
      <c r="DD147" s="863"/>
      <c r="DE147" s="863"/>
    </row>
    <row r="148">
      <c r="A148" s="876"/>
      <c r="B148" s="876"/>
      <c r="C148" s="876"/>
      <c r="D148" s="876"/>
      <c r="E148" s="876"/>
      <c r="F148" s="876"/>
      <c r="G148" s="876"/>
      <c r="H148" s="876"/>
      <c r="I148" s="876"/>
      <c r="J148" s="876"/>
      <c r="K148" s="876"/>
      <c r="L148" s="876"/>
      <c r="M148" s="876"/>
      <c r="N148" s="877"/>
      <c r="O148" s="876"/>
      <c r="P148" s="876"/>
      <c r="Q148" s="876"/>
      <c r="R148" s="876"/>
      <c r="S148" s="876"/>
      <c r="T148" s="876"/>
      <c r="U148" s="876"/>
      <c r="V148" s="876"/>
      <c r="W148" s="876"/>
      <c r="X148" s="876"/>
      <c r="Y148" s="876"/>
      <c r="Z148" s="876"/>
      <c r="AA148" s="876"/>
      <c r="AB148" s="876"/>
      <c r="AC148" s="876"/>
      <c r="AD148" s="876"/>
      <c r="AE148" s="876"/>
      <c r="AF148" s="876"/>
      <c r="AG148" s="876"/>
      <c r="AH148" s="876"/>
      <c r="AI148" s="878"/>
      <c r="AJ148" s="888" t="str">
        <f>IFERROR(__xludf.DUMMYFUNCTION("""COMPUTED_VALUE"""),"Efficacy and safety of oxantel pamoate in school-aged children infected with Trichuris trichiura on Pemba Island, Tanzania: a parallel, randomised, controlled, dose-ranging study")</f>
        <v>Efficacy and safety of oxantel pamoate in school-aged children infected with Trichuris trichiura on Pemba Island, Tanzania: a parallel, randomised, controlled, dose-ranging study</v>
      </c>
      <c r="AK148" s="880" t="str">
        <f>IFERROR(__xludf.DUMMYFUNCTION("""COMPUTED_VALUE"""),"Moser W, Ali SM, Ame SM, Speich B, Puchkov M, Huwyler J, Albonico M, Hattendorf J, Keiser J. Efficacy and safety of oxantel pamoate in school-aged children infected with Trichuris trichiura on Pemba Island, Tanzania: a parallel, randomised, controlled, do"&amp;"se-ranging study. Lancet Infect Dis. 2016 Jan;16(1):53-60. doi: 10.1016/S1473-3099(15)00271-6. Epub 2015 Sep 18. PMID: 26388169.")</f>
        <v>Moser W, Ali SM, Ame SM, Speich B, Puchkov M, Huwyler J, Albonico M, Hattendorf J, Keiser J. Efficacy and safety of oxantel pamoate in school-aged children infected with Trichuris trichiura on Pemba Island, Tanzania: a parallel, randomised, controlled, dose-ranging study. Lancet Infect Dis. 2016 Jan;16(1):53-60. doi: 10.1016/S1473-3099(15)00271-6. Epub 2015 Sep 18. PMID: 26388169.</v>
      </c>
      <c r="AL148" s="880" t="str">
        <f>IFERROR(__xludf.DUMMYFUNCTION("""COMPUTED_VALUE"""),"Tanzania")</f>
        <v>Tanzania</v>
      </c>
      <c r="AM148" s="880" t="str">
        <f>IFERROR(__xludf.DUMMYFUNCTION("""COMPUTED_VALUE"""),"Oxantel pamoate")</f>
        <v>Oxantel pamoate</v>
      </c>
      <c r="AN148" s="880" t="str">
        <f>IFERROR(__xludf.DUMMYFUNCTION("""COMPUTED_VALUE"""),"Single")</f>
        <v>Single</v>
      </c>
      <c r="AO148" s="880" t="str">
        <f>IFERROR(__xludf.DUMMYFUNCTION("""COMPUTED_VALUE"""),"15 mg/kg")</f>
        <v>15 mg/kg</v>
      </c>
      <c r="AP148" s="880">
        <f>IFERROR(__xludf.DUMMYFUNCTION("""COMPUTED_VALUE"""),51.0)</f>
        <v>51</v>
      </c>
      <c r="AQ148" s="880">
        <f>IFERROR(__xludf.DUMMYFUNCTION("""COMPUTED_VALUE"""),10.4)</f>
        <v>10.4</v>
      </c>
      <c r="AR148" s="880" t="str">
        <f>IFERROR(__xludf.DUMMYFUNCTION("""COMPUTED_VALUE"""),"22M:29F")</f>
        <v>22M:29F</v>
      </c>
      <c r="AS148" s="880">
        <f>IFERROR(__xludf.DUMMYFUNCTION("""COMPUTED_VALUE"""),2014.0)</f>
        <v>2014</v>
      </c>
      <c r="AT148" s="880" t="str">
        <f>IFERROR(__xludf.DUMMYFUNCTION("""COMPUTED_VALUE"""),"School-aged children (aged 6–14 years) infected with T trichiura on Pemba Island, Tanzania.")</f>
        <v>School-aged children (aged 6–14 years) infected with T trichiura on Pemba Island, Tanzania.</v>
      </c>
      <c r="AU148" s="880" t="str">
        <f>IFERROR(__xludf.DUMMYFUNCTION("""COMPUTED_VALUE"""),"Yes")</f>
        <v>Yes</v>
      </c>
      <c r="AV148" s="880" t="str">
        <f>IFERROR(__xludf.DUMMYFUNCTION("""COMPUTED_VALUE"""),"Yes")</f>
        <v>Yes</v>
      </c>
      <c r="AW148" s="881" t="str">
        <f>IFERROR(__xludf.DUMMYFUNCTION("""COMPUTED_VALUE"""),"Single-blind")</f>
        <v>Single-blind</v>
      </c>
      <c r="AX148" s="863">
        <f>IFERROR(__xludf.DUMMYFUNCTION("""COMPUTED_VALUE"""),0.49)</f>
        <v>0.49</v>
      </c>
      <c r="AY148" s="863"/>
      <c r="AZ148" s="863"/>
      <c r="BA148" s="863"/>
      <c r="BB148" s="863"/>
      <c r="BC148" s="863"/>
      <c r="BD148" s="863"/>
      <c r="BE148" s="863"/>
      <c r="BF148" s="863"/>
      <c r="BG148" s="863"/>
      <c r="BH148" s="863">
        <f>IFERROR(__xludf.DUMMYFUNCTION("""COMPUTED_VALUE"""),0.977)</f>
        <v>0.977</v>
      </c>
      <c r="BI148" s="863"/>
      <c r="BJ148" s="863"/>
      <c r="BK148" s="863"/>
      <c r="BL148" s="863"/>
      <c r="BM148" s="863"/>
      <c r="BN148" s="863" t="str">
        <f>IFERROR(__xludf.DUMMYFUNCTION("""COMPUTED_VALUE"""),"Our dose-finding study revealed an excellent tolerability profile of oxantel pamoate in children infected with T trichiura. An optimum therapeutic dose range of 15–30 mg/kg oxantel pamoate was defined.")</f>
        <v>Our dose-finding study revealed an excellent tolerability profile of oxantel pamoate in children infected with T trichiura. An optimum therapeutic dose range of 15–30 mg/kg oxantel pamoate was defined.</v>
      </c>
      <c r="BO148" s="863"/>
      <c r="BP148" s="880"/>
      <c r="BQ148" s="863"/>
      <c r="BR148" s="889" t="str">
        <f>IFERROR(__xludf.DUMMYFUNCTION("""COMPUTED_VALUE"""),"Ismail MM et al.")</f>
        <v>Ismail MM et al.</v>
      </c>
      <c r="BS148" s="883"/>
      <c r="BT148" s="883" t="str">
        <f>IFERROR(__xludf.DUMMYFUNCTION("""COMPUTED_VALUE"""),"Pyrantel Pamoate")</f>
        <v>Pyrantel Pamoate</v>
      </c>
      <c r="BU148" s="883"/>
      <c r="BV148" s="883" t="str">
        <f>IFERROR(__xludf.DUMMYFUNCTION("""COMPUTED_VALUE"""),"Single")</f>
        <v>Single</v>
      </c>
      <c r="BW148" s="883" t="str">
        <f>IFERROR(__xludf.DUMMYFUNCTION("""COMPUTED_VALUE"""),"10 mg")</f>
        <v>10 mg</v>
      </c>
      <c r="BX148" s="883"/>
      <c r="BY148" s="890">
        <f>IFERROR(__xludf.DUMMYFUNCTION("""COMPUTED_VALUE"""),42441.0)</f>
        <v>42441</v>
      </c>
      <c r="BZ148" s="883"/>
      <c r="CA148" s="883"/>
      <c r="CB148" s="883"/>
      <c r="CC148" s="883" t="str">
        <f>IFERROR(__xludf.DUMMYFUNCTION("""COMPUTED_VALUE"""),"No")</f>
        <v>No</v>
      </c>
      <c r="CD148" s="884">
        <f>IFERROR(__xludf.DUMMYFUNCTION("""COMPUTED_VALUE"""),0.941)</f>
        <v>0.941</v>
      </c>
      <c r="CE148" s="883" t="str">
        <f>IFERROR(__xludf.DUMMYFUNCTION("""COMPUTED_VALUE"""),"No")</f>
        <v>No</v>
      </c>
      <c r="CF148" s="883"/>
      <c r="CG148" s="883"/>
      <c r="CH148" s="883"/>
      <c r="CI148" s="883"/>
      <c r="CJ148" s="883"/>
      <c r="CK148" s="883"/>
      <c r="CL148" s="883"/>
      <c r="CM148" s="884">
        <f>IFERROR(__xludf.DUMMYFUNCTION("""COMPUTED_VALUE"""),0.989)</f>
        <v>0.989</v>
      </c>
      <c r="CN148" s="883"/>
      <c r="CO148" s="883"/>
      <c r="CP148" s="883"/>
      <c r="CQ148" s="883"/>
      <c r="CR148" s="883"/>
      <c r="CS148" s="883"/>
      <c r="CT148" s="883"/>
      <c r="CU148" s="883"/>
      <c r="CV148" s="863"/>
      <c r="CW148" s="863"/>
      <c r="CX148" s="863"/>
      <c r="CY148" s="863"/>
      <c r="CZ148" s="863"/>
      <c r="DA148" s="863"/>
      <c r="DB148" s="863"/>
      <c r="DC148" s="863"/>
      <c r="DD148" s="863"/>
      <c r="DE148" s="863"/>
    </row>
    <row r="149">
      <c r="A149" s="876"/>
      <c r="B149" s="876"/>
      <c r="C149" s="876"/>
      <c r="D149" s="876"/>
      <c r="E149" s="876"/>
      <c r="F149" s="876"/>
      <c r="G149" s="876"/>
      <c r="H149" s="876"/>
      <c r="I149" s="876"/>
      <c r="J149" s="876"/>
      <c r="K149" s="876"/>
      <c r="L149" s="876"/>
      <c r="M149" s="876"/>
      <c r="N149" s="877"/>
      <c r="O149" s="876"/>
      <c r="P149" s="876"/>
      <c r="Q149" s="876"/>
      <c r="R149" s="876"/>
      <c r="S149" s="876"/>
      <c r="T149" s="876"/>
      <c r="U149" s="876"/>
      <c r="V149" s="876"/>
      <c r="W149" s="876"/>
      <c r="X149" s="876"/>
      <c r="Y149" s="876"/>
      <c r="Z149" s="876"/>
      <c r="AA149" s="876"/>
      <c r="AB149" s="876"/>
      <c r="AC149" s="876"/>
      <c r="AD149" s="876"/>
      <c r="AE149" s="876"/>
      <c r="AF149" s="876"/>
      <c r="AG149" s="876"/>
      <c r="AH149" s="876"/>
      <c r="AI149" s="878"/>
      <c r="AJ149" s="888" t="str">
        <f>IFERROR(__xludf.DUMMYFUNCTION("""COMPUTED_VALUE"""),"Efficacy and safety of oxantel pamoate in school-aged children infected with Trichuris trichiura on Pemba Island, Tanzania: a parallel, randomised, controlled, dose-ranging study")</f>
        <v>Efficacy and safety of oxantel pamoate in school-aged children infected with Trichuris trichiura on Pemba Island, Tanzania: a parallel, randomised, controlled, dose-ranging study</v>
      </c>
      <c r="AK149" s="880" t="str">
        <f>IFERROR(__xludf.DUMMYFUNCTION("""COMPUTED_VALUE"""),"Moser W, Ali SM, Ame SM, Speich B, Puchkov M, Huwyler J, Albonico M, Hattendorf J, Keiser J. Efficacy and safety of oxantel pamoate in school-aged children infected with Trichuris trichiura on Pemba Island, Tanzania: a parallel, randomised, controlled, do"&amp;"se-ranging study. Lancet Infect Dis. 2016 Jan;16(1):53-60. doi: 10.1016/S1473-3099(15)00271-6. Epub 2015 Sep 18. PMID: 26388169.")</f>
        <v>Moser W, Ali SM, Ame SM, Speich B, Puchkov M, Huwyler J, Albonico M, Hattendorf J, Keiser J. Efficacy and safety of oxantel pamoate in school-aged children infected with Trichuris trichiura on Pemba Island, Tanzania: a parallel, randomised, controlled, dose-ranging study. Lancet Infect Dis. 2016 Jan;16(1):53-60. doi: 10.1016/S1473-3099(15)00271-6. Epub 2015 Sep 18. PMID: 26388169.</v>
      </c>
      <c r="AL149" s="880" t="str">
        <f>IFERROR(__xludf.DUMMYFUNCTION("""COMPUTED_VALUE"""),"Tanzania")</f>
        <v>Tanzania</v>
      </c>
      <c r="AM149" s="880" t="str">
        <f>IFERROR(__xludf.DUMMYFUNCTION("""COMPUTED_VALUE"""),"Oxantel pamoate")</f>
        <v>Oxantel pamoate</v>
      </c>
      <c r="AN149" s="880" t="str">
        <f>IFERROR(__xludf.DUMMYFUNCTION("""COMPUTED_VALUE"""),"Single")</f>
        <v>Single</v>
      </c>
      <c r="AO149" s="880" t="str">
        <f>IFERROR(__xludf.DUMMYFUNCTION("""COMPUTED_VALUE"""),"20 mg/kg")</f>
        <v>20 mg/kg</v>
      </c>
      <c r="AP149" s="880">
        <f>IFERROR(__xludf.DUMMYFUNCTION("""COMPUTED_VALUE"""),50.0)</f>
        <v>50</v>
      </c>
      <c r="AQ149" s="880">
        <f>IFERROR(__xludf.DUMMYFUNCTION("""COMPUTED_VALUE"""),10.5)</f>
        <v>10.5</v>
      </c>
      <c r="AR149" s="880" t="str">
        <f>IFERROR(__xludf.DUMMYFUNCTION("""COMPUTED_VALUE"""),"20M:30F")</f>
        <v>20M:30F</v>
      </c>
      <c r="AS149" s="880">
        <f>IFERROR(__xludf.DUMMYFUNCTION("""COMPUTED_VALUE"""),2014.0)</f>
        <v>2014</v>
      </c>
      <c r="AT149" s="880" t="str">
        <f>IFERROR(__xludf.DUMMYFUNCTION("""COMPUTED_VALUE"""),"School-aged children (aged 6–14 years) infected with T trichiura on Pemba Island, Tanzania.")</f>
        <v>School-aged children (aged 6–14 years) infected with T trichiura on Pemba Island, Tanzania.</v>
      </c>
      <c r="AU149" s="880" t="str">
        <f>IFERROR(__xludf.DUMMYFUNCTION("""COMPUTED_VALUE"""),"Yes")</f>
        <v>Yes</v>
      </c>
      <c r="AV149" s="880" t="str">
        <f>IFERROR(__xludf.DUMMYFUNCTION("""COMPUTED_VALUE"""),"Yes")</f>
        <v>Yes</v>
      </c>
      <c r="AW149" s="881" t="str">
        <f>IFERROR(__xludf.DUMMYFUNCTION("""COMPUTED_VALUE"""),"Single-blind")</f>
        <v>Single-blind</v>
      </c>
      <c r="AX149" s="863">
        <f>IFERROR(__xludf.DUMMYFUNCTION("""COMPUTED_VALUE"""),0.5)</f>
        <v>0.5</v>
      </c>
      <c r="AY149" s="863"/>
      <c r="AZ149" s="863"/>
      <c r="BA149" s="863"/>
      <c r="BB149" s="863"/>
      <c r="BC149" s="863"/>
      <c r="BD149" s="863"/>
      <c r="BE149" s="863"/>
      <c r="BF149" s="863"/>
      <c r="BG149" s="863"/>
      <c r="BH149" s="863">
        <f>IFERROR(__xludf.DUMMYFUNCTION("""COMPUTED_VALUE"""),0.975)</f>
        <v>0.975</v>
      </c>
      <c r="BI149" s="863"/>
      <c r="BJ149" s="863"/>
      <c r="BK149" s="863"/>
      <c r="BL149" s="863"/>
      <c r="BM149" s="863"/>
      <c r="BN149" s="863" t="str">
        <f>IFERROR(__xludf.DUMMYFUNCTION("""COMPUTED_VALUE"""),"Our dose-finding study revealed an excellent tolerability profile of oxantel pamoate in children infected with T trichiura. An optimum therapeutic dose range of 15–30 mg/kg oxantel pamoate was defined.")</f>
        <v>Our dose-finding study revealed an excellent tolerability profile of oxantel pamoate in children infected with T trichiura. An optimum therapeutic dose range of 15–30 mg/kg oxantel pamoate was defined.</v>
      </c>
      <c r="BO149" s="863"/>
      <c r="BP149" s="880"/>
      <c r="BQ149" s="863"/>
      <c r="BR149" s="889" t="str">
        <f>IFERROR(__xludf.DUMMYFUNCTION("""COMPUTED_VALUE"""),"Ekenjoku et al.")</f>
        <v>Ekenjoku et al.</v>
      </c>
      <c r="BS149" s="883" t="str">
        <f>IFERROR(__xludf.DUMMYFUNCTION("""COMPUTED_VALUE"""),"Nigeria")</f>
        <v>Nigeria</v>
      </c>
      <c r="BT149" s="883" t="str">
        <f>IFERROR(__xludf.DUMMYFUNCTION("""COMPUTED_VALUE"""),"Mebendazole")</f>
        <v>Mebendazole</v>
      </c>
      <c r="BU149" s="883"/>
      <c r="BV149" s="883" t="str">
        <f>IFERROR(__xludf.DUMMYFUNCTION("""COMPUTED_VALUE"""),"Single")</f>
        <v>Single</v>
      </c>
      <c r="BW149" s="883" t="str">
        <f>IFERROR(__xludf.DUMMYFUNCTION("""COMPUTED_VALUE"""),"500 mg")</f>
        <v>500 mg</v>
      </c>
      <c r="BX149" s="883">
        <f>IFERROR(__xludf.DUMMYFUNCTION("""COMPUTED_VALUE"""),19.0)</f>
        <v>19</v>
      </c>
      <c r="BY149" s="890">
        <f>IFERROR(__xludf.DUMMYFUNCTION("""COMPUTED_VALUE"""),42472.0)</f>
        <v>42472</v>
      </c>
      <c r="BZ149" s="883">
        <f>IFERROR(__xludf.DUMMYFUNCTION("""COMPUTED_VALUE"""),2005.0)</f>
        <v>2005</v>
      </c>
      <c r="CA149" s="883"/>
      <c r="CB149" s="883"/>
      <c r="CC149" s="883" t="str">
        <f>IFERROR(__xludf.DUMMYFUNCTION("""COMPUTED_VALUE"""),"Yes")</f>
        <v>Yes</v>
      </c>
      <c r="CD149" s="884">
        <f>IFERROR(__xludf.DUMMYFUNCTION("""COMPUTED_VALUE"""),1.0)</f>
        <v>1</v>
      </c>
      <c r="CE149" s="883" t="str">
        <f>IFERROR(__xludf.DUMMYFUNCTION("""COMPUTED_VALUE"""),"Yes")</f>
        <v>Yes</v>
      </c>
      <c r="CF149" s="883"/>
      <c r="CG149" s="883"/>
      <c r="CH149" s="883"/>
      <c r="CI149" s="883"/>
      <c r="CJ149" s="883"/>
      <c r="CK149" s="883"/>
      <c r="CL149" s="883"/>
      <c r="CM149" s="883"/>
      <c r="CN149" s="883"/>
      <c r="CO149" s="883"/>
      <c r="CP149" s="883"/>
      <c r="CQ149" s="883"/>
      <c r="CR149" s="883"/>
      <c r="CS149" s="883"/>
      <c r="CT149" s="883"/>
      <c r="CU149" s="883"/>
      <c r="CV149" s="863"/>
      <c r="CW149" s="863"/>
      <c r="CX149" s="863"/>
      <c r="CY149" s="863"/>
      <c r="CZ149" s="863"/>
      <c r="DA149" s="863"/>
      <c r="DB149" s="863"/>
      <c r="DC149" s="863"/>
      <c r="DD149" s="863"/>
      <c r="DE149" s="863"/>
    </row>
    <row r="150">
      <c r="A150" s="876"/>
      <c r="B150" s="876"/>
      <c r="C150" s="876"/>
      <c r="D150" s="876"/>
      <c r="E150" s="876"/>
      <c r="F150" s="876"/>
      <c r="G150" s="876"/>
      <c r="H150" s="876"/>
      <c r="I150" s="876"/>
      <c r="J150" s="876"/>
      <c r="K150" s="876"/>
      <c r="L150" s="876"/>
      <c r="M150" s="876"/>
      <c r="N150" s="877"/>
      <c r="O150" s="876"/>
      <c r="P150" s="876"/>
      <c r="Q150" s="876"/>
      <c r="R150" s="876"/>
      <c r="S150" s="876"/>
      <c r="T150" s="876"/>
      <c r="U150" s="876"/>
      <c r="V150" s="876"/>
      <c r="W150" s="876"/>
      <c r="X150" s="876"/>
      <c r="Y150" s="876"/>
      <c r="Z150" s="876"/>
      <c r="AA150" s="876"/>
      <c r="AB150" s="876"/>
      <c r="AC150" s="876"/>
      <c r="AD150" s="876"/>
      <c r="AE150" s="876"/>
      <c r="AF150" s="876"/>
      <c r="AG150" s="876"/>
      <c r="AH150" s="876"/>
      <c r="AI150" s="878"/>
      <c r="AJ150" s="888" t="str">
        <f>IFERROR(__xludf.DUMMYFUNCTION("""COMPUTED_VALUE"""),"Efficacy and safety of oxantel pamoate in school-aged children infected with Trichuris trichiura on Pemba Island, Tanzania: a parallel, randomised, controlled, dose-ranging study")</f>
        <v>Efficacy and safety of oxantel pamoate in school-aged children infected with Trichuris trichiura on Pemba Island, Tanzania: a parallel, randomised, controlled, dose-ranging study</v>
      </c>
      <c r="AK150" s="880" t="str">
        <f>IFERROR(__xludf.DUMMYFUNCTION("""COMPUTED_VALUE"""),"Moser W, Ali SM, Ame SM, Speich B, Puchkov M, Huwyler J, Albonico M, Hattendorf J, Keiser J. Efficacy and safety of oxantel pamoate in school-aged children infected with Trichuris trichiura on Pemba Island, Tanzania: a parallel, randomised, controlled, do"&amp;"se-ranging study. Lancet Infect Dis. 2016 Jan;16(1):53-60. doi: 10.1016/S1473-3099(15)00271-6. Epub 2015 Sep 18. PMID: 26388169.")</f>
        <v>Moser W, Ali SM, Ame SM, Speich B, Puchkov M, Huwyler J, Albonico M, Hattendorf J, Keiser J. Efficacy and safety of oxantel pamoate in school-aged children infected with Trichuris trichiura on Pemba Island, Tanzania: a parallel, randomised, controlled, dose-ranging study. Lancet Infect Dis. 2016 Jan;16(1):53-60. doi: 10.1016/S1473-3099(15)00271-6. Epub 2015 Sep 18. PMID: 26388169.</v>
      </c>
      <c r="AL150" s="880" t="str">
        <f>IFERROR(__xludf.DUMMYFUNCTION("""COMPUTED_VALUE"""),"Tanzania")</f>
        <v>Tanzania</v>
      </c>
      <c r="AM150" s="880" t="str">
        <f>IFERROR(__xludf.DUMMYFUNCTION("""COMPUTED_VALUE"""),"Oxantel pamoate")</f>
        <v>Oxantel pamoate</v>
      </c>
      <c r="AN150" s="880" t="str">
        <f>IFERROR(__xludf.DUMMYFUNCTION("""COMPUTED_VALUE"""),"Single")</f>
        <v>Single</v>
      </c>
      <c r="AO150" s="880" t="str">
        <f>IFERROR(__xludf.DUMMYFUNCTION("""COMPUTED_VALUE"""),"25 mg/kg")</f>
        <v>25 mg/kg</v>
      </c>
      <c r="AP150" s="880">
        <f>IFERROR(__xludf.DUMMYFUNCTION("""COMPUTED_VALUE"""),50.0)</f>
        <v>50</v>
      </c>
      <c r="AQ150" s="880">
        <f>IFERROR(__xludf.DUMMYFUNCTION("""COMPUTED_VALUE"""),10.7)</f>
        <v>10.7</v>
      </c>
      <c r="AR150" s="880" t="str">
        <f>IFERROR(__xludf.DUMMYFUNCTION("""COMPUTED_VALUE"""),"22M:28F")</f>
        <v>22M:28F</v>
      </c>
      <c r="AS150" s="880">
        <f>IFERROR(__xludf.DUMMYFUNCTION("""COMPUTED_VALUE"""),2014.0)</f>
        <v>2014</v>
      </c>
      <c r="AT150" s="880" t="str">
        <f>IFERROR(__xludf.DUMMYFUNCTION("""COMPUTED_VALUE"""),"School-aged children (aged 6–14 years) infected with T trichiura on Pemba Island, Tanzania.")</f>
        <v>School-aged children (aged 6–14 years) infected with T trichiura on Pemba Island, Tanzania.</v>
      </c>
      <c r="AU150" s="880" t="str">
        <f>IFERROR(__xludf.DUMMYFUNCTION("""COMPUTED_VALUE"""),"Yes")</f>
        <v>Yes</v>
      </c>
      <c r="AV150" s="880" t="str">
        <f>IFERROR(__xludf.DUMMYFUNCTION("""COMPUTED_VALUE"""),"Yes")</f>
        <v>Yes</v>
      </c>
      <c r="AW150" s="881" t="str">
        <f>IFERROR(__xludf.DUMMYFUNCTION("""COMPUTED_VALUE"""),"Single-blind")</f>
        <v>Single-blind</v>
      </c>
      <c r="AX150" s="863">
        <f>IFERROR(__xludf.DUMMYFUNCTION("""COMPUTED_VALUE"""),0.6)</f>
        <v>0.6</v>
      </c>
      <c r="AY150" s="863"/>
      <c r="AZ150" s="863"/>
      <c r="BA150" s="863"/>
      <c r="BB150" s="863"/>
      <c r="BC150" s="863"/>
      <c r="BD150" s="863"/>
      <c r="BE150" s="863"/>
      <c r="BF150" s="863"/>
      <c r="BG150" s="863"/>
      <c r="BH150" s="863">
        <f>IFERROR(__xludf.DUMMYFUNCTION("""COMPUTED_VALUE"""),0.988)</f>
        <v>0.988</v>
      </c>
      <c r="BI150" s="863"/>
      <c r="BJ150" s="863"/>
      <c r="BK150" s="863"/>
      <c r="BL150" s="863"/>
      <c r="BM150" s="863"/>
      <c r="BN150" s="863" t="str">
        <f>IFERROR(__xludf.DUMMYFUNCTION("""COMPUTED_VALUE"""),"Our dose-finding study revealed an excellent tolerability profile of oxantel pamoate in children infected with T trichiura. An optimum therapeutic dose range of 15–30 mg/kg oxantel pamoate was defined.")</f>
        <v>Our dose-finding study revealed an excellent tolerability profile of oxantel pamoate in children infected with T trichiura. An optimum therapeutic dose range of 15–30 mg/kg oxantel pamoate was defined.</v>
      </c>
      <c r="BO150" s="863"/>
      <c r="BP150" s="880"/>
      <c r="BQ150" s="863"/>
      <c r="BR150" s="889" t="str">
        <f>IFERROR(__xludf.DUMMYFUNCTION("""COMPUTED_VALUE"""),"Ekenjoku et al.")</f>
        <v>Ekenjoku et al.</v>
      </c>
      <c r="BS150" s="883" t="str">
        <f>IFERROR(__xludf.DUMMYFUNCTION("""COMPUTED_VALUE"""),"Nigeria")</f>
        <v>Nigeria</v>
      </c>
      <c r="BT150" s="883" t="str">
        <f>IFERROR(__xludf.DUMMYFUNCTION("""COMPUTED_VALUE"""),"Pyrantel Pamoate")</f>
        <v>Pyrantel Pamoate</v>
      </c>
      <c r="BU150" s="883"/>
      <c r="BV150" s="883" t="str">
        <f>IFERROR(__xludf.DUMMYFUNCTION("""COMPUTED_VALUE"""),"Single")</f>
        <v>Single</v>
      </c>
      <c r="BW150" s="883" t="str">
        <f>IFERROR(__xludf.DUMMYFUNCTION("""COMPUTED_VALUE"""),"10 mg")</f>
        <v>10 mg</v>
      </c>
      <c r="BX150" s="883">
        <f>IFERROR(__xludf.DUMMYFUNCTION("""COMPUTED_VALUE"""),31.0)</f>
        <v>31</v>
      </c>
      <c r="BY150" s="890">
        <f>IFERROR(__xludf.DUMMYFUNCTION("""COMPUTED_VALUE"""),42472.0)</f>
        <v>42472</v>
      </c>
      <c r="BZ150" s="883">
        <f>IFERROR(__xludf.DUMMYFUNCTION("""COMPUTED_VALUE"""),2005.0)</f>
        <v>2005</v>
      </c>
      <c r="CA150" s="883"/>
      <c r="CB150" s="883"/>
      <c r="CC150" s="883" t="str">
        <f>IFERROR(__xludf.DUMMYFUNCTION("""COMPUTED_VALUE"""),"Yes")</f>
        <v>Yes</v>
      </c>
      <c r="CD150" s="884">
        <f>IFERROR(__xludf.DUMMYFUNCTION("""COMPUTED_VALUE"""),1.0)</f>
        <v>1</v>
      </c>
      <c r="CE150" s="883" t="str">
        <f>IFERROR(__xludf.DUMMYFUNCTION("""COMPUTED_VALUE"""),"Yes")</f>
        <v>Yes</v>
      </c>
      <c r="CF150" s="883"/>
      <c r="CG150" s="883"/>
      <c r="CH150" s="883"/>
      <c r="CI150" s="883"/>
      <c r="CJ150" s="883"/>
      <c r="CK150" s="883"/>
      <c r="CL150" s="883"/>
      <c r="CM150" s="883"/>
      <c r="CN150" s="883"/>
      <c r="CO150" s="883"/>
      <c r="CP150" s="883"/>
      <c r="CQ150" s="883"/>
      <c r="CR150" s="883"/>
      <c r="CS150" s="883"/>
      <c r="CT150" s="883"/>
      <c r="CU150" s="883"/>
      <c r="CV150" s="863"/>
      <c r="CW150" s="863"/>
      <c r="CX150" s="863"/>
      <c r="CY150" s="863"/>
      <c r="CZ150" s="863"/>
      <c r="DA150" s="863"/>
      <c r="DB150" s="863"/>
      <c r="DC150" s="863"/>
      <c r="DD150" s="863"/>
      <c r="DE150" s="863"/>
    </row>
    <row r="151">
      <c r="A151" s="876"/>
      <c r="B151" s="876"/>
      <c r="C151" s="876"/>
      <c r="D151" s="876"/>
      <c r="E151" s="876"/>
      <c r="F151" s="876"/>
      <c r="G151" s="876"/>
      <c r="H151" s="876"/>
      <c r="I151" s="876"/>
      <c r="J151" s="876"/>
      <c r="K151" s="876"/>
      <c r="L151" s="876"/>
      <c r="M151" s="876"/>
      <c r="N151" s="877"/>
      <c r="O151" s="876"/>
      <c r="P151" s="876"/>
      <c r="Q151" s="876"/>
      <c r="R151" s="876"/>
      <c r="S151" s="876"/>
      <c r="T151" s="876"/>
      <c r="U151" s="876"/>
      <c r="V151" s="876"/>
      <c r="W151" s="876"/>
      <c r="X151" s="876"/>
      <c r="Y151" s="876"/>
      <c r="Z151" s="876"/>
      <c r="AA151" s="876"/>
      <c r="AB151" s="876"/>
      <c r="AC151" s="876"/>
      <c r="AD151" s="876"/>
      <c r="AE151" s="876"/>
      <c r="AF151" s="876"/>
      <c r="AG151" s="876"/>
      <c r="AH151" s="876"/>
      <c r="AI151" s="878"/>
      <c r="AJ151" s="888" t="str">
        <f>IFERROR(__xludf.DUMMYFUNCTION("""COMPUTED_VALUE"""),"Efficacy and safety of oxantel pamoate in school-aged children infected with Trichuris trichiura on Pemba Island, Tanzania: a parallel, randomised, controlled, dose-ranging study")</f>
        <v>Efficacy and safety of oxantel pamoate in school-aged children infected with Trichuris trichiura on Pemba Island, Tanzania: a parallel, randomised, controlled, dose-ranging study</v>
      </c>
      <c r="AK151" s="880" t="str">
        <f>IFERROR(__xludf.DUMMYFUNCTION("""COMPUTED_VALUE"""),"Moser W, Ali SM, Ame SM, Speich B, Puchkov M, Huwyler J, Albonico M, Hattendorf J, Keiser J. Efficacy and safety of oxantel pamoate in school-aged children infected with Trichuris trichiura on Pemba Island, Tanzania: a parallel, randomised, controlled, do"&amp;"se-ranging study. Lancet Infect Dis. 2016 Jan;16(1):53-60. doi: 10.1016/S1473-3099(15)00271-6. Epub 2015 Sep 18. PMID: 26388169.")</f>
        <v>Moser W, Ali SM, Ame SM, Speich B, Puchkov M, Huwyler J, Albonico M, Hattendorf J, Keiser J. Efficacy and safety of oxantel pamoate in school-aged children infected with Trichuris trichiura on Pemba Island, Tanzania: a parallel, randomised, controlled, dose-ranging study. Lancet Infect Dis. 2016 Jan;16(1):53-60. doi: 10.1016/S1473-3099(15)00271-6. Epub 2015 Sep 18. PMID: 26388169.</v>
      </c>
      <c r="AL151" s="880" t="str">
        <f>IFERROR(__xludf.DUMMYFUNCTION("""COMPUTED_VALUE"""),"Tanzania")</f>
        <v>Tanzania</v>
      </c>
      <c r="AM151" s="880" t="str">
        <f>IFERROR(__xludf.DUMMYFUNCTION("""COMPUTED_VALUE"""),"Oxantel pamoate")</f>
        <v>Oxantel pamoate</v>
      </c>
      <c r="AN151" s="880" t="str">
        <f>IFERROR(__xludf.DUMMYFUNCTION("""COMPUTED_VALUE"""),"Single")</f>
        <v>Single</v>
      </c>
      <c r="AO151" s="880" t="str">
        <f>IFERROR(__xludf.DUMMYFUNCTION("""COMPUTED_VALUE"""),"30 mg/kg")</f>
        <v>30 mg/kg</v>
      </c>
      <c r="AP151" s="880">
        <f>IFERROR(__xludf.DUMMYFUNCTION("""COMPUTED_VALUE"""),50.0)</f>
        <v>50</v>
      </c>
      <c r="AQ151" s="880">
        <f>IFERROR(__xludf.DUMMYFUNCTION("""COMPUTED_VALUE"""),10.7)</f>
        <v>10.7</v>
      </c>
      <c r="AR151" s="880" t="str">
        <f>IFERROR(__xludf.DUMMYFUNCTION("""COMPUTED_VALUE"""),"25M:25F")</f>
        <v>25M:25F</v>
      </c>
      <c r="AS151" s="880">
        <f>IFERROR(__xludf.DUMMYFUNCTION("""COMPUTED_VALUE"""),2014.0)</f>
        <v>2014</v>
      </c>
      <c r="AT151" s="880" t="str">
        <f>IFERROR(__xludf.DUMMYFUNCTION("""COMPUTED_VALUE"""),"School-aged children (aged 6–14 years) infected with T trichiura on Pemba Island, Tanzania.")</f>
        <v>School-aged children (aged 6–14 years) infected with T trichiura on Pemba Island, Tanzania.</v>
      </c>
      <c r="AU151" s="880" t="str">
        <f>IFERROR(__xludf.DUMMYFUNCTION("""COMPUTED_VALUE"""),"Yes")</f>
        <v>Yes</v>
      </c>
      <c r="AV151" s="880" t="str">
        <f>IFERROR(__xludf.DUMMYFUNCTION("""COMPUTED_VALUE"""),"Yes")</f>
        <v>Yes</v>
      </c>
      <c r="AW151" s="881" t="str">
        <f>IFERROR(__xludf.DUMMYFUNCTION("""COMPUTED_VALUE"""),"Single-blind")</f>
        <v>Single-blind</v>
      </c>
      <c r="AX151" s="863">
        <f>IFERROR(__xludf.DUMMYFUNCTION("""COMPUTED_VALUE"""),0.59)</f>
        <v>0.59</v>
      </c>
      <c r="AY151" s="863"/>
      <c r="AZ151" s="863"/>
      <c r="BA151" s="863"/>
      <c r="BB151" s="863"/>
      <c r="BC151" s="863"/>
      <c r="BD151" s="863"/>
      <c r="BE151" s="863"/>
      <c r="BF151" s="863"/>
      <c r="BG151" s="863"/>
      <c r="BH151" s="863">
        <f>IFERROR(__xludf.DUMMYFUNCTION("""COMPUTED_VALUE"""),0.945)</f>
        <v>0.945</v>
      </c>
      <c r="BI151" s="863"/>
      <c r="BJ151" s="863"/>
      <c r="BK151" s="863"/>
      <c r="BL151" s="863"/>
      <c r="BM151" s="863"/>
      <c r="BN151" s="863" t="str">
        <f>IFERROR(__xludf.DUMMYFUNCTION("""COMPUTED_VALUE"""),"Our dose-finding study revealed an excellent tolerability profile of oxantel pamoate in children infected with T trichiura. An optimum therapeutic dose range of 15–30 mg/kg oxantel pamoate was defined.")</f>
        <v>Our dose-finding study revealed an excellent tolerability profile of oxantel pamoate in children infected with T trichiura. An optimum therapeutic dose range of 15–30 mg/kg oxantel pamoate was defined.</v>
      </c>
      <c r="BO151" s="863"/>
      <c r="BP151" s="880"/>
      <c r="BQ151" s="863"/>
      <c r="BR151" s="889" t="str">
        <f>IFERROR(__xludf.DUMMYFUNCTION("""COMPUTED_VALUE"""),"Ekenjoku et al.")</f>
        <v>Ekenjoku et al.</v>
      </c>
      <c r="BS151" s="883" t="str">
        <f>IFERROR(__xludf.DUMMYFUNCTION("""COMPUTED_VALUE"""),"Nigeria")</f>
        <v>Nigeria</v>
      </c>
      <c r="BT151" s="883" t="str">
        <f>IFERROR(__xludf.DUMMYFUNCTION("""COMPUTED_VALUE"""),"Levamisole")</f>
        <v>Levamisole</v>
      </c>
      <c r="BU151" s="883"/>
      <c r="BV151" s="883" t="str">
        <f>IFERROR(__xludf.DUMMYFUNCTION("""COMPUTED_VALUE"""),"Single")</f>
        <v>Single</v>
      </c>
      <c r="BW151" s="883" t="str">
        <f>IFERROR(__xludf.DUMMYFUNCTION("""COMPUTED_VALUE"""),"2.5 mg")</f>
        <v>2.5 mg</v>
      </c>
      <c r="BX151" s="883">
        <f>IFERROR(__xludf.DUMMYFUNCTION("""COMPUTED_VALUE"""),24.0)</f>
        <v>24</v>
      </c>
      <c r="BY151" s="890">
        <f>IFERROR(__xludf.DUMMYFUNCTION("""COMPUTED_VALUE"""),42472.0)</f>
        <v>42472</v>
      </c>
      <c r="BZ151" s="883">
        <f>IFERROR(__xludf.DUMMYFUNCTION("""COMPUTED_VALUE"""),2005.0)</f>
        <v>2005</v>
      </c>
      <c r="CA151" s="883"/>
      <c r="CB151" s="883"/>
      <c r="CC151" s="883" t="str">
        <f>IFERROR(__xludf.DUMMYFUNCTION("""COMPUTED_VALUE"""),"Yes")</f>
        <v>Yes</v>
      </c>
      <c r="CD151" s="884">
        <f>IFERROR(__xludf.DUMMYFUNCTION("""COMPUTED_VALUE"""),1.0)</f>
        <v>1</v>
      </c>
      <c r="CE151" s="883" t="str">
        <f>IFERROR(__xludf.DUMMYFUNCTION("""COMPUTED_VALUE"""),"Yes")</f>
        <v>Yes</v>
      </c>
      <c r="CF151" s="883"/>
      <c r="CG151" s="883"/>
      <c r="CH151" s="883"/>
      <c r="CI151" s="883"/>
      <c r="CJ151" s="883"/>
      <c r="CK151" s="883"/>
      <c r="CL151" s="883"/>
      <c r="CM151" s="883"/>
      <c r="CN151" s="883"/>
      <c r="CO151" s="883"/>
      <c r="CP151" s="883"/>
      <c r="CQ151" s="883"/>
      <c r="CR151" s="883"/>
      <c r="CS151" s="883"/>
      <c r="CT151" s="883"/>
      <c r="CU151" s="883"/>
      <c r="CV151" s="863"/>
      <c r="CW151" s="863"/>
      <c r="CX151" s="863"/>
      <c r="CY151" s="863"/>
      <c r="CZ151" s="863"/>
      <c r="DA151" s="863"/>
      <c r="DB151" s="863"/>
      <c r="DC151" s="863"/>
      <c r="DD151" s="863"/>
      <c r="DE151" s="863"/>
    </row>
    <row r="152">
      <c r="A152" s="876"/>
      <c r="B152" s="876"/>
      <c r="C152" s="876"/>
      <c r="D152" s="876"/>
      <c r="E152" s="876"/>
      <c r="F152" s="876"/>
      <c r="G152" s="876"/>
      <c r="H152" s="876"/>
      <c r="I152" s="876"/>
      <c r="J152" s="876"/>
      <c r="K152" s="876"/>
      <c r="L152" s="876"/>
      <c r="M152" s="876"/>
      <c r="N152" s="877"/>
      <c r="O152" s="876"/>
      <c r="P152" s="876"/>
      <c r="Q152" s="876"/>
      <c r="R152" s="876"/>
      <c r="S152" s="876"/>
      <c r="T152" s="876"/>
      <c r="U152" s="876"/>
      <c r="V152" s="876"/>
      <c r="W152" s="876"/>
      <c r="X152" s="876"/>
      <c r="Y152" s="876"/>
      <c r="Z152" s="876"/>
      <c r="AA152" s="876"/>
      <c r="AB152" s="876"/>
      <c r="AC152" s="876"/>
      <c r="AD152" s="876"/>
      <c r="AE152" s="876"/>
      <c r="AF152" s="876"/>
      <c r="AG152" s="876"/>
      <c r="AH152" s="876"/>
      <c r="AI152" s="878"/>
      <c r="AJ152" s="888" t="str">
        <f>IFERROR(__xludf.DUMMYFUNCTION("""COMPUTED_VALUE"""),"Efficacy and safety of albendazole plus ivermectin, albendazole plus mebendazole, albendazole plus oxantel pamoate, and mebendazole alone against Trichuris trichiura and concomitant soil-transmitted helminth infections: a four-arm, randomised controlled t"&amp;"rial")</f>
        <v>Efficacy and safety of albendazole plus ivermectin, albendazole plus mebendazole, albendazole plus oxantel pamoate, and mebendazole alone against Trichuris trichiura and concomitant soil-transmitted helminth infections: a four-arm, randomised controlled trial</v>
      </c>
      <c r="AK152" s="880" t="str">
        <f>IFERROR(__xludf.DUMMYFUNCTION("""COMPUTED_VALUE"""),"Speich B, Ali SM, Ame SM, Bogoch II, Alles R, Huwyler J, Albonico M, Hattendorf J, Utzinger J, Keiser J. Efficacy and safety of albendazole plus ivermectin, albendazole plus mebendazole, albendazole plus oxantel pamoate, and mebendazole alone against Tric"&amp;"huris trichiura and concomitant soil-transmitted helminth infections: a four-arm, randomised controlled trial. Lancet Infect Dis. 2015 Mar;15(3):277-84. doi: 10.1016/S1473-3099(14)71050-3. Epub 2015 Jan 12. PMID: 25589326.")</f>
        <v>Speich B, Ali SM, Ame SM, Bogoch II, Alles R, Huwyler J, Albonico M, Hattendorf J, Utzinger J, Keiser J. Efficacy and safety of albendazole plus ivermectin, albendazole plus mebendazole, albendazole plus oxantel pamoate, and mebendazole alone against Trichuris trichiura and concomitant soil-transmitted helminth infections: a four-arm, randomised controlled trial. Lancet Infect Dis. 2015 Mar;15(3):277-84. doi: 10.1016/S1473-3099(14)71050-3. Epub 2015 Jan 12. PMID: 25589326.</v>
      </c>
      <c r="AL152" s="880" t="str">
        <f>IFERROR(__xludf.DUMMYFUNCTION("""COMPUTED_VALUE"""),"Tanzania")</f>
        <v>Tanzania</v>
      </c>
      <c r="AM152" s="880" t="str">
        <f>IFERROR(__xludf.DUMMYFUNCTION("""COMPUTED_VALUE"""),"Albendazole &amp; Ivermectin")</f>
        <v>Albendazole &amp; Ivermectin</v>
      </c>
      <c r="AN152" s="880" t="str">
        <f>IFERROR(__xludf.DUMMYFUNCTION("""COMPUTED_VALUE"""),"Single")</f>
        <v>Single</v>
      </c>
      <c r="AO152" s="880" t="str">
        <f>IFERROR(__xludf.DUMMYFUNCTION("""COMPUTED_VALUE"""),"400 mg; 200 μg/kg")</f>
        <v>400 mg; 200 μg/kg</v>
      </c>
      <c r="AP152" s="880">
        <f>IFERROR(__xludf.DUMMYFUNCTION("""COMPUTED_VALUE"""),110.0)</f>
        <v>110</v>
      </c>
      <c r="AQ152" s="880">
        <f>IFERROR(__xludf.DUMMYFUNCTION("""COMPUTED_VALUE"""),9.0)</f>
        <v>9</v>
      </c>
      <c r="AR152" s="880" t="str">
        <f>IFERROR(__xludf.DUMMYFUNCTION("""COMPUTED_VALUE"""),"56M:54F")</f>
        <v>56M:54F</v>
      </c>
      <c r="AS152" s="880">
        <f>IFERROR(__xludf.DUMMYFUNCTION("""COMPUTED_VALUE"""),2013.0)</f>
        <v>2013</v>
      </c>
      <c r="AT152" s="880" t="str">
        <f>IFERROR(__xludf.DUMMYFUNCTION("""COMPUTED_VALUE"""),"Children who tested positive for T trichiura were deemed eligible for the trial. Oral medical history and physical examinations were obtained from each child meeting the inclusion criteria.")</f>
        <v>Children who tested positive for T trichiura were deemed eligible for the trial. Oral medical history and physical examinations were obtained from each child meeting the inclusion criteria.</v>
      </c>
      <c r="AU152" s="880" t="str">
        <f>IFERROR(__xludf.DUMMYFUNCTION("""COMPUTED_VALUE"""),"Yes")</f>
        <v>Yes</v>
      </c>
      <c r="AV152" s="880" t="str">
        <f>IFERROR(__xludf.DUMMYFUNCTION("""COMPUTED_VALUE"""),"No")</f>
        <v>No</v>
      </c>
      <c r="AW152" s="881" t="str">
        <f>IFERROR(__xludf.DUMMYFUNCTION("""COMPUTED_VALUE"""),"No")</f>
        <v>No</v>
      </c>
      <c r="AX152" s="863">
        <f>IFERROR(__xludf.DUMMYFUNCTION("""COMPUTED_VALUE"""),0.275)</f>
        <v>0.275</v>
      </c>
      <c r="AY152" s="863"/>
      <c r="AZ152" s="863"/>
      <c r="BA152" s="863"/>
      <c r="BB152" s="863"/>
      <c r="BC152" s="863"/>
      <c r="BD152" s="863"/>
      <c r="BE152" s="863"/>
      <c r="BF152" s="863"/>
      <c r="BG152" s="863"/>
      <c r="BH152" s="863">
        <f>IFERROR(__xludf.DUMMYFUNCTION("""COMPUTED_VALUE"""),0.516)</f>
        <v>0.516</v>
      </c>
      <c r="BI152" s="863"/>
      <c r="BJ152" s="863"/>
      <c r="BK152" s="863"/>
      <c r="BL152" s="863"/>
      <c r="BM152" s="863"/>
      <c r="BN152" s="863" t="str">
        <f>IFERROR(__xludf.DUMMYFUNCTION("""COMPUTED_VALUE"""),"Our head-to-head comparison of three combination chemotherapies showed the highest effi cacy for albendazole plus oxantel pamoate for the treatment of infection with T trichiura.")</f>
        <v>Our head-to-head comparison of three combination chemotherapies showed the highest effi cacy for albendazole plus oxantel pamoate for the treatment of infection with T trichiura.</v>
      </c>
      <c r="BO152" s="863"/>
      <c r="BP152" s="880"/>
      <c r="BQ152" s="863"/>
      <c r="BR152" s="889" t="str">
        <f>IFERROR(__xludf.DUMMYFUNCTION("""COMPUTED_VALUE"""),"Farid et al.")</f>
        <v>Farid et al.</v>
      </c>
      <c r="BS152" s="883" t="str">
        <f>IFERROR(__xludf.DUMMYFUNCTION("""COMPUTED_VALUE"""),"Egypt")</f>
        <v>Egypt</v>
      </c>
      <c r="BT152" s="883" t="str">
        <f>IFERROR(__xludf.DUMMYFUNCTION("""COMPUTED_VALUE"""),"Levamisole")</f>
        <v>Levamisole</v>
      </c>
      <c r="BU152" s="883"/>
      <c r="BV152" s="883" t="str">
        <f>IFERROR(__xludf.DUMMYFUNCTION("""COMPUTED_VALUE"""),"Single")</f>
        <v>Single</v>
      </c>
      <c r="BW152" s="883" t="str">
        <f>IFERROR(__xludf.DUMMYFUNCTION("""COMPUTED_VALUE"""),"150 mg")</f>
        <v>150 mg</v>
      </c>
      <c r="BX152" s="883">
        <f>IFERROR(__xludf.DUMMYFUNCTION("""COMPUTED_VALUE"""),20.0)</f>
        <v>20</v>
      </c>
      <c r="BY152" s="883" t="str">
        <f>IFERROR(__xludf.DUMMYFUNCTION("""COMPUTED_VALUE"""),"7-45")</f>
        <v>7-45</v>
      </c>
      <c r="BZ152" s="883">
        <f>IFERROR(__xludf.DUMMYFUNCTION("""COMPUTED_VALUE"""),1997.0)</f>
        <v>1997</v>
      </c>
      <c r="CA152" s="883" t="str">
        <f>IFERROR(__xludf.DUMMYFUNCTION("""COMPUTED_VALUE"""),"male farmers")</f>
        <v>male farmers</v>
      </c>
      <c r="CB152" s="883"/>
      <c r="CC152" s="883" t="str">
        <f>IFERROR(__xludf.DUMMYFUNCTION("""COMPUTED_VALUE"""),"No")</f>
        <v>No</v>
      </c>
      <c r="CD152" s="884">
        <f>IFERROR(__xludf.DUMMYFUNCTION("""COMPUTED_VALUE"""),1.0)</f>
        <v>1</v>
      </c>
      <c r="CE152" s="883" t="str">
        <f>IFERROR(__xludf.DUMMYFUNCTION("""COMPUTED_VALUE"""),"No")</f>
        <v>No</v>
      </c>
      <c r="CF152" s="883"/>
      <c r="CG152" s="891">
        <f>IFERROR(__xludf.DUMMYFUNCTION("""COMPUTED_VALUE"""),1.0)</f>
        <v>1</v>
      </c>
      <c r="CH152" s="883"/>
      <c r="CI152" s="883"/>
      <c r="CJ152" s="883"/>
      <c r="CK152" s="883"/>
      <c r="CL152" s="883"/>
      <c r="CM152" s="883"/>
      <c r="CN152" s="883"/>
      <c r="CO152" s="883"/>
      <c r="CP152" s="883"/>
      <c r="CQ152" s="883"/>
      <c r="CR152" s="883"/>
      <c r="CS152" s="883"/>
      <c r="CT152" s="883"/>
      <c r="CU152" s="883"/>
      <c r="CV152" s="863"/>
      <c r="CW152" s="863"/>
      <c r="CX152" s="863"/>
      <c r="CY152" s="863"/>
      <c r="CZ152" s="863"/>
      <c r="DA152" s="863"/>
      <c r="DB152" s="863"/>
      <c r="DC152" s="863"/>
      <c r="DD152" s="863"/>
      <c r="DE152" s="863"/>
    </row>
    <row r="153">
      <c r="A153" s="876"/>
      <c r="B153" s="876"/>
      <c r="C153" s="876"/>
      <c r="D153" s="876"/>
      <c r="E153" s="876"/>
      <c r="F153" s="876"/>
      <c r="G153" s="876"/>
      <c r="H153" s="876"/>
      <c r="I153" s="876"/>
      <c r="J153" s="876"/>
      <c r="K153" s="876"/>
      <c r="L153" s="876"/>
      <c r="M153" s="876"/>
      <c r="N153" s="877"/>
      <c r="O153" s="876"/>
      <c r="P153" s="876"/>
      <c r="Q153" s="876"/>
      <c r="R153" s="876"/>
      <c r="S153" s="876"/>
      <c r="T153" s="876"/>
      <c r="U153" s="876"/>
      <c r="V153" s="876"/>
      <c r="W153" s="876"/>
      <c r="X153" s="876"/>
      <c r="Y153" s="876"/>
      <c r="Z153" s="876"/>
      <c r="AA153" s="876"/>
      <c r="AB153" s="876"/>
      <c r="AC153" s="876"/>
      <c r="AD153" s="876"/>
      <c r="AE153" s="876"/>
      <c r="AF153" s="876"/>
      <c r="AG153" s="876"/>
      <c r="AH153" s="876"/>
      <c r="AI153" s="878"/>
      <c r="AJ153" s="888" t="str">
        <f>IFERROR(__xludf.DUMMYFUNCTION("""COMPUTED_VALUE"""),"Efficacy and safety of albendazole plus ivermectin, albendazole plus mebendazole, albendazole plus oxantel pamoate, and mebendazole alone against Trichuris trichiura and concomitant soil-transmitted helminth infections: a four-arm, randomised controlled t"&amp;"rial")</f>
        <v>Efficacy and safety of albendazole plus ivermectin, albendazole plus mebendazole, albendazole plus oxantel pamoate, and mebendazole alone against Trichuris trichiura and concomitant soil-transmitted helminth infections: a four-arm, randomised controlled trial</v>
      </c>
      <c r="AK153" s="880" t="str">
        <f>IFERROR(__xludf.DUMMYFUNCTION("""COMPUTED_VALUE"""),"Speich B, Ali SM, Ame SM, Bogoch II, Alles R, Huwyler J, Albonico M, Hattendorf J, Utzinger J, Keiser J. Efficacy and safety of albendazole plus ivermectin, albendazole plus mebendazole, albendazole plus oxantel pamoate, and mebendazole alone against Tric"&amp;"huris trichiura and concomitant soil-transmitted helminth infections: a four-arm, randomised controlled trial. Lancet Infect Dis. 2015 Mar;15(3):277-84. doi: 10.1016/S1473-3099(14)71050-3. Epub 2015 Jan 12. PMID: 25589326.")</f>
        <v>Speich B, Ali SM, Ame SM, Bogoch II, Alles R, Huwyler J, Albonico M, Hattendorf J, Utzinger J, Keiser J. Efficacy and safety of albendazole plus ivermectin, albendazole plus mebendazole, albendazole plus oxantel pamoate, and mebendazole alone against Trichuris trichiura and concomitant soil-transmitted helminth infections: a four-arm, randomised controlled trial. Lancet Infect Dis. 2015 Mar;15(3):277-84. doi: 10.1016/S1473-3099(14)71050-3. Epub 2015 Jan 12. PMID: 25589326.</v>
      </c>
      <c r="AL153" s="880" t="str">
        <f>IFERROR(__xludf.DUMMYFUNCTION("""COMPUTED_VALUE"""),"Tanzania")</f>
        <v>Tanzania</v>
      </c>
      <c r="AM153" s="880" t="str">
        <f>IFERROR(__xludf.DUMMYFUNCTION("""COMPUTED_VALUE"""),"Albendazole &amp; Mebendazole")</f>
        <v>Albendazole &amp; Mebendazole</v>
      </c>
      <c r="AN153" s="880" t="str">
        <f>IFERROR(__xludf.DUMMYFUNCTION("""COMPUTED_VALUE"""),"Single")</f>
        <v>Single</v>
      </c>
      <c r="AO153" s="880" t="str">
        <f>IFERROR(__xludf.DUMMYFUNCTION("""COMPUTED_VALUE"""),"400 mg; 500 mg")</f>
        <v>400 mg; 500 mg</v>
      </c>
      <c r="AP153" s="880">
        <f>IFERROR(__xludf.DUMMYFUNCTION("""COMPUTED_VALUE"""),110.0)</f>
        <v>110</v>
      </c>
      <c r="AQ153" s="880">
        <f>IFERROR(__xludf.DUMMYFUNCTION("""COMPUTED_VALUE"""),8.9)</f>
        <v>8.9</v>
      </c>
      <c r="AR153" s="880" t="str">
        <f>IFERROR(__xludf.DUMMYFUNCTION("""COMPUTED_VALUE"""),"57M:53F")</f>
        <v>57M:53F</v>
      </c>
      <c r="AS153" s="880">
        <f>IFERROR(__xludf.DUMMYFUNCTION("""COMPUTED_VALUE"""),2013.0)</f>
        <v>2013</v>
      </c>
      <c r="AT153" s="880" t="str">
        <f>IFERROR(__xludf.DUMMYFUNCTION("""COMPUTED_VALUE"""),"Children who tested positive for T trichiura were deemed eligible for the trial. Oral medical history and physical examinations were obtained from each child meeting the inclusion criteria.")</f>
        <v>Children who tested positive for T trichiura were deemed eligible for the trial. Oral medical history and physical examinations were obtained from each child meeting the inclusion criteria.</v>
      </c>
      <c r="AU153" s="880" t="str">
        <f>IFERROR(__xludf.DUMMYFUNCTION("""COMPUTED_VALUE"""),"Yes")</f>
        <v>Yes</v>
      </c>
      <c r="AV153" s="880" t="str">
        <f>IFERROR(__xludf.DUMMYFUNCTION("""COMPUTED_VALUE"""),"No")</f>
        <v>No</v>
      </c>
      <c r="AW153" s="881" t="str">
        <f>IFERROR(__xludf.DUMMYFUNCTION("""COMPUTED_VALUE"""),"No")</f>
        <v>No</v>
      </c>
      <c r="AX153" s="863">
        <f>IFERROR(__xludf.DUMMYFUNCTION("""COMPUTED_VALUE"""),0.084)</f>
        <v>0.084</v>
      </c>
      <c r="AY153" s="863"/>
      <c r="AZ153" s="863"/>
      <c r="BA153" s="863"/>
      <c r="BB153" s="863"/>
      <c r="BC153" s="863"/>
      <c r="BD153" s="863"/>
      <c r="BE153" s="863"/>
      <c r="BF153" s="863"/>
      <c r="BG153" s="863"/>
      <c r="BH153" s="863">
        <f>IFERROR(__xludf.DUMMYFUNCTION("""COMPUTED_VALUE"""),0.992)</f>
        <v>0.992</v>
      </c>
      <c r="BI153" s="863"/>
      <c r="BJ153" s="863"/>
      <c r="BK153" s="863"/>
      <c r="BL153" s="863"/>
      <c r="BM153" s="863"/>
      <c r="BN153" s="863" t="str">
        <f>IFERROR(__xludf.DUMMYFUNCTION("""COMPUTED_VALUE"""),"Our head-to-head comparison of three combination chemotherapies showed the highest effi cacy for albendazole plus oxantel pamoate for the treatment of infection with T trichiura.")</f>
        <v>Our head-to-head comparison of three combination chemotherapies showed the highest effi cacy for albendazole plus oxantel pamoate for the treatment of infection with T trichiura.</v>
      </c>
      <c r="BO153" s="863"/>
      <c r="BP153" s="880"/>
      <c r="BQ153" s="863"/>
      <c r="BR153" s="889" t="str">
        <f>IFERROR(__xludf.DUMMYFUNCTION("""COMPUTED_VALUE"""),"Farid et al.")</f>
        <v>Farid et al.</v>
      </c>
      <c r="BS153" s="883" t="str">
        <f>IFERROR(__xludf.DUMMYFUNCTION("""COMPUTED_VALUE"""),"Egypt")</f>
        <v>Egypt</v>
      </c>
      <c r="BT153" s="883" t="str">
        <f>IFERROR(__xludf.DUMMYFUNCTION("""COMPUTED_VALUE"""),"Pyrantel Pamoate")</f>
        <v>Pyrantel Pamoate</v>
      </c>
      <c r="BU153" s="883"/>
      <c r="BV153" s="883" t="str">
        <f>IFERROR(__xludf.DUMMYFUNCTION("""COMPUTED_VALUE"""),"Single")</f>
        <v>Single</v>
      </c>
      <c r="BW153" s="883" t="str">
        <f>IFERROR(__xludf.DUMMYFUNCTION("""COMPUTED_VALUE"""),"750 mg")</f>
        <v>750 mg</v>
      </c>
      <c r="BX153" s="883">
        <f>IFERROR(__xludf.DUMMYFUNCTION("""COMPUTED_VALUE"""),20.0)</f>
        <v>20</v>
      </c>
      <c r="BY153" s="883" t="str">
        <f>IFERROR(__xludf.DUMMYFUNCTION("""COMPUTED_VALUE"""),"7-45")</f>
        <v>7-45</v>
      </c>
      <c r="BZ153" s="883">
        <f>IFERROR(__xludf.DUMMYFUNCTION("""COMPUTED_VALUE"""),1997.0)</f>
        <v>1997</v>
      </c>
      <c r="CA153" s="883"/>
      <c r="CB153" s="883"/>
      <c r="CC153" s="883" t="str">
        <f>IFERROR(__xludf.DUMMYFUNCTION("""COMPUTED_VALUE"""),"No")</f>
        <v>No</v>
      </c>
      <c r="CD153" s="884">
        <f>IFERROR(__xludf.DUMMYFUNCTION("""COMPUTED_VALUE"""),0.9)</f>
        <v>0.9</v>
      </c>
      <c r="CE153" s="883" t="str">
        <f>IFERROR(__xludf.DUMMYFUNCTION("""COMPUTED_VALUE"""),"No")</f>
        <v>No</v>
      </c>
      <c r="CF153" s="883"/>
      <c r="CG153" s="891">
        <f>IFERROR(__xludf.DUMMYFUNCTION("""COMPUTED_VALUE"""),0.9)</f>
        <v>0.9</v>
      </c>
      <c r="CH153" s="883"/>
      <c r="CI153" s="883"/>
      <c r="CJ153" s="883"/>
      <c r="CK153" s="883"/>
      <c r="CL153" s="883"/>
      <c r="CM153" s="883"/>
      <c r="CN153" s="883"/>
      <c r="CO153" s="883"/>
      <c r="CP153" s="883"/>
      <c r="CQ153" s="883"/>
      <c r="CR153" s="883"/>
      <c r="CS153" s="883"/>
      <c r="CT153" s="883"/>
      <c r="CU153" s="883"/>
      <c r="CV153" s="863"/>
      <c r="CW153" s="863"/>
      <c r="CX153" s="863"/>
      <c r="CY153" s="863"/>
      <c r="CZ153" s="863"/>
      <c r="DA153" s="863"/>
      <c r="DB153" s="863"/>
      <c r="DC153" s="863"/>
      <c r="DD153" s="863"/>
      <c r="DE153" s="863"/>
    </row>
    <row r="154">
      <c r="A154" s="876"/>
      <c r="B154" s="876"/>
      <c r="C154" s="876"/>
      <c r="D154" s="876"/>
      <c r="E154" s="876"/>
      <c r="F154" s="876"/>
      <c r="G154" s="876"/>
      <c r="H154" s="876"/>
      <c r="I154" s="876"/>
      <c r="J154" s="876"/>
      <c r="K154" s="876"/>
      <c r="L154" s="876"/>
      <c r="M154" s="876"/>
      <c r="N154" s="877"/>
      <c r="O154" s="876"/>
      <c r="P154" s="876"/>
      <c r="Q154" s="876"/>
      <c r="R154" s="876"/>
      <c r="S154" s="876"/>
      <c r="T154" s="876"/>
      <c r="U154" s="876"/>
      <c r="V154" s="876"/>
      <c r="W154" s="876"/>
      <c r="X154" s="876"/>
      <c r="Y154" s="876"/>
      <c r="Z154" s="876"/>
      <c r="AA154" s="876"/>
      <c r="AB154" s="876"/>
      <c r="AC154" s="876"/>
      <c r="AD154" s="876"/>
      <c r="AE154" s="876"/>
      <c r="AF154" s="876"/>
      <c r="AG154" s="876"/>
      <c r="AH154" s="876"/>
      <c r="AI154" s="878"/>
      <c r="AJ154" s="888" t="str">
        <f>IFERROR(__xludf.DUMMYFUNCTION("""COMPUTED_VALUE"""),"Efficacy and safety of albendazole plus ivermectin, albendazole plus mebendazole, albendazole plus oxantel pamoate, and mebendazole alone against Trichuris trichiura and concomitant soil-transmitted helminth infections: a four-arm, randomised controlled t"&amp;"rial")</f>
        <v>Efficacy and safety of albendazole plus ivermectin, albendazole plus mebendazole, albendazole plus oxantel pamoate, and mebendazole alone against Trichuris trichiura and concomitant soil-transmitted helminth infections: a four-arm, randomised controlled trial</v>
      </c>
      <c r="AK154" s="880" t="str">
        <f>IFERROR(__xludf.DUMMYFUNCTION("""COMPUTED_VALUE"""),"Speich B, Ali SM, Ame SM, Bogoch II, Alles R, Huwyler J, Albonico M, Hattendorf J, Utzinger J, Keiser J. Efficacy and safety of albendazole plus ivermectin, albendazole plus mebendazole, albendazole plus oxantel pamoate, and mebendazole alone against Tric"&amp;"huris trichiura and concomitant soil-transmitted helminth infections: a four-arm, randomised controlled trial. Lancet Infect Dis. 2015 Mar;15(3):277-84. doi: 10.1016/S1473-3099(14)71050-3. Epub 2015 Jan 12. PMID: 25589326.")</f>
        <v>Speich B, Ali SM, Ame SM, Bogoch II, Alles R, Huwyler J, Albonico M, Hattendorf J, Utzinger J, Keiser J. Efficacy and safety of albendazole plus ivermectin, albendazole plus mebendazole, albendazole plus oxantel pamoate, and mebendazole alone against Trichuris trichiura and concomitant soil-transmitted helminth infections: a four-arm, randomised controlled trial. Lancet Infect Dis. 2015 Mar;15(3):277-84. doi: 10.1016/S1473-3099(14)71050-3. Epub 2015 Jan 12. PMID: 25589326.</v>
      </c>
      <c r="AL154" s="880" t="str">
        <f>IFERROR(__xludf.DUMMYFUNCTION("""COMPUTED_VALUE"""),"Tanzania")</f>
        <v>Tanzania</v>
      </c>
      <c r="AM154" s="880" t="str">
        <f>IFERROR(__xludf.DUMMYFUNCTION("""COMPUTED_VALUE"""),"Albendazole &amp; Oxantel pamoate")</f>
        <v>Albendazole &amp; Oxantel pamoate</v>
      </c>
      <c r="AN154" s="880" t="str">
        <f>IFERROR(__xludf.DUMMYFUNCTION("""COMPUTED_VALUE"""),"Single")</f>
        <v>Single</v>
      </c>
      <c r="AO154" s="880" t="str">
        <f>IFERROR(__xludf.DUMMYFUNCTION("""COMPUTED_VALUE"""),"400 mg; 20 mg/kg")</f>
        <v>400 mg; 20 mg/kg</v>
      </c>
      <c r="AP154" s="880">
        <f>IFERROR(__xludf.DUMMYFUNCTION("""COMPUTED_VALUE"""),110.0)</f>
        <v>110</v>
      </c>
      <c r="AQ154" s="880">
        <f>IFERROR(__xludf.DUMMYFUNCTION("""COMPUTED_VALUE"""),8.9)</f>
        <v>8.9</v>
      </c>
      <c r="AR154" s="880" t="str">
        <f>IFERROR(__xludf.DUMMYFUNCTION("""COMPUTED_VALUE"""),"58M:52F")</f>
        <v>58M:52F</v>
      </c>
      <c r="AS154" s="880">
        <f>IFERROR(__xludf.DUMMYFUNCTION("""COMPUTED_VALUE"""),2013.0)</f>
        <v>2013</v>
      </c>
      <c r="AT154" s="880" t="str">
        <f>IFERROR(__xludf.DUMMYFUNCTION("""COMPUTED_VALUE"""),"Children who tested positive for T trichiura were deemed eligible for the trial. Oral medical history and physical examinations were obtained from each child meeting the inclusion criteria.")</f>
        <v>Children who tested positive for T trichiura were deemed eligible for the trial. Oral medical history and physical examinations were obtained from each child meeting the inclusion criteria.</v>
      </c>
      <c r="AU154" s="880" t="str">
        <f>IFERROR(__xludf.DUMMYFUNCTION("""COMPUTED_VALUE"""),"Yes")</f>
        <v>Yes</v>
      </c>
      <c r="AV154" s="880" t="str">
        <f>IFERROR(__xludf.DUMMYFUNCTION("""COMPUTED_VALUE"""),"No")</f>
        <v>No</v>
      </c>
      <c r="AW154" s="881" t="str">
        <f>IFERROR(__xludf.DUMMYFUNCTION("""COMPUTED_VALUE"""),"No")</f>
        <v>No</v>
      </c>
      <c r="AX154" s="863">
        <f>IFERROR(__xludf.DUMMYFUNCTION("""COMPUTED_VALUE"""),0.685)</f>
        <v>0.685</v>
      </c>
      <c r="AY154" s="863"/>
      <c r="AZ154" s="863"/>
      <c r="BA154" s="863"/>
      <c r="BB154" s="863"/>
      <c r="BC154" s="863"/>
      <c r="BD154" s="863"/>
      <c r="BE154" s="863"/>
      <c r="BF154" s="863"/>
      <c r="BG154" s="863"/>
      <c r="BH154" s="863">
        <f>IFERROR(__xludf.DUMMYFUNCTION("""COMPUTED_VALUE"""),0.585)</f>
        <v>0.585</v>
      </c>
      <c r="BI154" s="863"/>
      <c r="BJ154" s="863"/>
      <c r="BK154" s="863"/>
      <c r="BL154" s="863"/>
      <c r="BM154" s="863"/>
      <c r="BN154" s="863" t="str">
        <f>IFERROR(__xludf.DUMMYFUNCTION("""COMPUTED_VALUE"""),"Our head-to-head comparison of three combination chemotherapies showed the highest effi cacy for albendazole plus oxantel pamoate for the treatment of infection with T trichiura.")</f>
        <v>Our head-to-head comparison of three combination chemotherapies showed the highest effi cacy for albendazole plus oxantel pamoate for the treatment of infection with T trichiura.</v>
      </c>
      <c r="BO154" s="863"/>
      <c r="BP154" s="880"/>
      <c r="BQ154" s="863"/>
      <c r="BR154" s="889" t="str">
        <f>IFERROR(__xludf.DUMMYFUNCTION("""COMPUTED_VALUE"""),"Farid et al.")</f>
        <v>Farid et al.</v>
      </c>
      <c r="BS154" s="883" t="str">
        <f>IFERROR(__xludf.DUMMYFUNCTION("""COMPUTED_VALUE"""),"Egypt")</f>
        <v>Egypt</v>
      </c>
      <c r="BT154" s="883" t="str">
        <f>IFERROR(__xludf.DUMMYFUNCTION("""COMPUTED_VALUE"""),"Bephenium")</f>
        <v>Bephenium</v>
      </c>
      <c r="BU154" s="883"/>
      <c r="BV154" s="883" t="str">
        <f>IFERROR(__xludf.DUMMYFUNCTION("""COMPUTED_VALUE"""),"Single")</f>
        <v>Single</v>
      </c>
      <c r="BW154" s="883" t="str">
        <f>IFERROR(__xludf.DUMMYFUNCTION("""COMPUTED_VALUE"""),"5 gm")</f>
        <v>5 gm</v>
      </c>
      <c r="BX154" s="883">
        <f>IFERROR(__xludf.DUMMYFUNCTION("""COMPUTED_VALUE"""),15.0)</f>
        <v>15</v>
      </c>
      <c r="BY154" s="883" t="str">
        <f>IFERROR(__xludf.DUMMYFUNCTION("""COMPUTED_VALUE"""),"7-45")</f>
        <v>7-45</v>
      </c>
      <c r="BZ154" s="883">
        <f>IFERROR(__xludf.DUMMYFUNCTION("""COMPUTED_VALUE"""),1997.0)</f>
        <v>1997</v>
      </c>
      <c r="CA154" s="883"/>
      <c r="CB154" s="883"/>
      <c r="CC154" s="883" t="str">
        <f>IFERROR(__xludf.DUMMYFUNCTION("""COMPUTED_VALUE"""),"No")</f>
        <v>No</v>
      </c>
      <c r="CD154" s="884">
        <f>IFERROR(__xludf.DUMMYFUNCTION("""COMPUTED_VALUE"""),0.73)</f>
        <v>0.73</v>
      </c>
      <c r="CE154" s="883" t="str">
        <f>IFERROR(__xludf.DUMMYFUNCTION("""COMPUTED_VALUE"""),"No")</f>
        <v>No</v>
      </c>
      <c r="CF154" s="883"/>
      <c r="CG154" s="891">
        <f>IFERROR(__xludf.DUMMYFUNCTION("""COMPUTED_VALUE"""),0.73)</f>
        <v>0.73</v>
      </c>
      <c r="CH154" s="883"/>
      <c r="CI154" s="883"/>
      <c r="CJ154" s="883"/>
      <c r="CK154" s="883"/>
      <c r="CL154" s="883"/>
      <c r="CM154" s="883"/>
      <c r="CN154" s="883"/>
      <c r="CO154" s="883"/>
      <c r="CP154" s="883"/>
      <c r="CQ154" s="883"/>
      <c r="CR154" s="883"/>
      <c r="CS154" s="883"/>
      <c r="CT154" s="883"/>
      <c r="CU154" s="883"/>
      <c r="CV154" s="863"/>
      <c r="CW154" s="863"/>
      <c r="CX154" s="863"/>
      <c r="CY154" s="863"/>
      <c r="CZ154" s="863"/>
      <c r="DA154" s="863"/>
      <c r="DB154" s="863"/>
      <c r="DC154" s="863"/>
      <c r="DD154" s="863"/>
      <c r="DE154" s="863"/>
    </row>
    <row r="155">
      <c r="A155" s="876"/>
      <c r="B155" s="876"/>
      <c r="C155" s="876"/>
      <c r="D155" s="876"/>
      <c r="E155" s="876"/>
      <c r="F155" s="876"/>
      <c r="G155" s="876"/>
      <c r="H155" s="876"/>
      <c r="I155" s="876"/>
      <c r="J155" s="876"/>
      <c r="K155" s="876"/>
      <c r="L155" s="876"/>
      <c r="M155" s="876"/>
      <c r="N155" s="877"/>
      <c r="O155" s="876"/>
      <c r="P155" s="876"/>
      <c r="Q155" s="876"/>
      <c r="R155" s="876"/>
      <c r="S155" s="876"/>
      <c r="T155" s="876"/>
      <c r="U155" s="876"/>
      <c r="V155" s="876"/>
      <c r="W155" s="876"/>
      <c r="X155" s="876"/>
      <c r="Y155" s="876"/>
      <c r="Z155" s="876"/>
      <c r="AA155" s="876"/>
      <c r="AB155" s="876"/>
      <c r="AC155" s="876"/>
      <c r="AD155" s="876"/>
      <c r="AE155" s="876"/>
      <c r="AF155" s="876"/>
      <c r="AG155" s="876"/>
      <c r="AH155" s="876"/>
      <c r="AI155" s="878"/>
      <c r="AJ155" s="888" t="str">
        <f>IFERROR(__xludf.DUMMYFUNCTION("""COMPUTED_VALUE"""),"Efficacy and safety of albendazole plus ivermectin, albendazole plus mebendazole, albendazole plus oxantel pamoate, and mebendazole alone against Trichuris trichiura and concomitant soil-transmitted helminth infections: a four-arm, randomised controlled t"&amp;"rial")</f>
        <v>Efficacy and safety of albendazole plus ivermectin, albendazole plus mebendazole, albendazole plus oxantel pamoate, and mebendazole alone against Trichuris trichiura and concomitant soil-transmitted helminth infections: a four-arm, randomised controlled trial</v>
      </c>
      <c r="AK155" s="880" t="str">
        <f>IFERROR(__xludf.DUMMYFUNCTION("""COMPUTED_VALUE"""),"Speich B, Ali SM, Ame SM, Bogoch II, Alles R, Huwyler J, Albonico M, Hattendorf J, Utzinger J, Keiser J. Efficacy and safety of albendazole plus ivermectin, albendazole plus mebendazole, albendazole plus oxantel pamoate, and mebendazole alone against Tric"&amp;"huris trichiura and concomitant soil-transmitted helminth infections: a four-arm, randomised controlled trial. Lancet Infect Dis. 2015 Mar;15(3):277-84. doi: 10.1016/S1473-3099(14)71050-3. Epub 2015 Jan 12. PMID: 25589326.")</f>
        <v>Speich B, Ali SM, Ame SM, Bogoch II, Alles R, Huwyler J, Albonico M, Hattendorf J, Utzinger J, Keiser J. Efficacy and safety of albendazole plus ivermectin, albendazole plus mebendazole, albendazole plus oxantel pamoate, and mebendazole alone against Trichuris trichiura and concomitant soil-transmitted helminth infections: a four-arm, randomised controlled trial. Lancet Infect Dis. 2015 Mar;15(3):277-84. doi: 10.1016/S1473-3099(14)71050-3. Epub 2015 Jan 12. PMID: 25589326.</v>
      </c>
      <c r="AL155" s="880" t="str">
        <f>IFERROR(__xludf.DUMMYFUNCTION("""COMPUTED_VALUE"""),"Tanzania")</f>
        <v>Tanzania</v>
      </c>
      <c r="AM155" s="880" t="str">
        <f>IFERROR(__xludf.DUMMYFUNCTION("""COMPUTED_VALUE"""),"Mebendazole")</f>
        <v>Mebendazole</v>
      </c>
      <c r="AN155" s="880" t="str">
        <f>IFERROR(__xludf.DUMMYFUNCTION("""COMPUTED_VALUE"""),"Single")</f>
        <v>Single</v>
      </c>
      <c r="AO155" s="880" t="str">
        <f>IFERROR(__xludf.DUMMYFUNCTION("""COMPUTED_VALUE"""),"500 mg")</f>
        <v>500 mg</v>
      </c>
      <c r="AP155" s="880">
        <f>IFERROR(__xludf.DUMMYFUNCTION("""COMPUTED_VALUE"""),110.0)</f>
        <v>110</v>
      </c>
      <c r="AQ155" s="880">
        <f>IFERROR(__xludf.DUMMYFUNCTION("""COMPUTED_VALUE"""),8.8)</f>
        <v>8.8</v>
      </c>
      <c r="AR155" s="880" t="str">
        <f>IFERROR(__xludf.DUMMYFUNCTION("""COMPUTED_VALUE"""),"55M:55F")</f>
        <v>55M:55F</v>
      </c>
      <c r="AS155" s="880">
        <f>IFERROR(__xludf.DUMMYFUNCTION("""COMPUTED_VALUE"""),2013.0)</f>
        <v>2013</v>
      </c>
      <c r="AT155" s="880" t="str">
        <f>IFERROR(__xludf.DUMMYFUNCTION("""COMPUTED_VALUE"""),"Children who tested positive for T trichiura were deemed eligible for the trial. Oral medical history and physical examinations were obtained from each child meeting the inclusion criteria.")</f>
        <v>Children who tested positive for T trichiura were deemed eligible for the trial. Oral medical history and physical examinations were obtained from each child meeting the inclusion criteria.</v>
      </c>
      <c r="AU155" s="880" t="str">
        <f>IFERROR(__xludf.DUMMYFUNCTION("""COMPUTED_VALUE"""),"Yes")</f>
        <v>Yes</v>
      </c>
      <c r="AV155" s="880" t="str">
        <f>IFERROR(__xludf.DUMMYFUNCTION("""COMPUTED_VALUE"""),"No")</f>
        <v>No</v>
      </c>
      <c r="AW155" s="881" t="str">
        <f>IFERROR(__xludf.DUMMYFUNCTION("""COMPUTED_VALUE"""),"No")</f>
        <v>No</v>
      </c>
      <c r="AX155" s="863">
        <f>IFERROR(__xludf.DUMMYFUNCTION("""COMPUTED_VALUE"""),0.084)</f>
        <v>0.084</v>
      </c>
      <c r="AY155" s="863"/>
      <c r="AZ155" s="863"/>
      <c r="BA155" s="863"/>
      <c r="BB155" s="863"/>
      <c r="BC155" s="863"/>
      <c r="BD155" s="863"/>
      <c r="BE155" s="863"/>
      <c r="BF155" s="863"/>
      <c r="BG155" s="863"/>
      <c r="BH155" s="863">
        <f>IFERROR(__xludf.DUMMYFUNCTION("""COMPUTED_VALUE"""),0.634)</f>
        <v>0.634</v>
      </c>
      <c r="BI155" s="863"/>
      <c r="BJ155" s="863"/>
      <c r="BK155" s="863"/>
      <c r="BL155" s="863"/>
      <c r="BM155" s="863"/>
      <c r="BN155" s="863" t="str">
        <f>IFERROR(__xludf.DUMMYFUNCTION("""COMPUTED_VALUE"""),"Our head-to-head comparison of three combination chemotherapies showed the highest effi cacy for albendazole plus oxantel pamoate for the treatment of infection with T trichiura.")</f>
        <v>Our head-to-head comparison of three combination chemotherapies showed the highest effi cacy for albendazole plus oxantel pamoate for the treatment of infection with T trichiura.</v>
      </c>
      <c r="BO155" s="863"/>
      <c r="BP155" s="880"/>
      <c r="BQ155" s="863"/>
      <c r="BR155" s="889" t="str">
        <f>IFERROR(__xludf.DUMMYFUNCTION("""COMPUTED_VALUE"""),"Kurup et al.")</f>
        <v>Kurup et al.</v>
      </c>
      <c r="BS155" s="883" t="str">
        <f>IFERROR(__xludf.DUMMYFUNCTION("""COMPUTED_VALUE"""),"Saint Lucia")</f>
        <v>Saint Lucia</v>
      </c>
      <c r="BT155" s="883" t="str">
        <f>IFERROR(__xludf.DUMMYFUNCTION("""COMPUTED_VALUE"""),"Albendazole &amp; Praziquental")</f>
        <v>Albendazole &amp; Praziquental</v>
      </c>
      <c r="BU155" s="883"/>
      <c r="BV155" s="883" t="str">
        <f>IFERROR(__xludf.DUMMYFUNCTION("""COMPUTED_VALUE"""),"Single")</f>
        <v>Single</v>
      </c>
      <c r="BW155" s="883" t="str">
        <f>IFERROR(__xludf.DUMMYFUNCTION("""COMPUTED_VALUE"""),"400 mg; 40 mg")</f>
        <v>400 mg; 40 mg</v>
      </c>
      <c r="BX155" s="883">
        <f>IFERROR(__xludf.DUMMYFUNCTION("""COMPUTED_VALUE"""),97.0)</f>
        <v>97</v>
      </c>
      <c r="BY155" s="890">
        <f>IFERROR(__xludf.DUMMYFUNCTION("""COMPUTED_VALUE"""),42448.0)</f>
        <v>42448</v>
      </c>
      <c r="BZ155" s="883">
        <f>IFERROR(__xludf.DUMMYFUNCTION("""COMPUTED_VALUE"""),2006.0)</f>
        <v>2006</v>
      </c>
      <c r="CA155" s="883" t="str">
        <f>IFERROR(__xludf.DUMMYFUNCTION("""COMPUTED_VALUE"""),"31 males; 66 females")</f>
        <v>31 males; 66 females</v>
      </c>
      <c r="CB155" s="883"/>
      <c r="CC155" s="883" t="str">
        <f>IFERROR(__xludf.DUMMYFUNCTION("""COMPUTED_VALUE"""),"No")</f>
        <v>No</v>
      </c>
      <c r="CD155" s="884">
        <f>IFERROR(__xludf.DUMMYFUNCTION("""COMPUTED_VALUE"""),0.969)</f>
        <v>0.969</v>
      </c>
      <c r="CE155" s="883" t="str">
        <f>IFERROR(__xludf.DUMMYFUNCTION("""COMPUTED_VALUE"""),"No")</f>
        <v>No</v>
      </c>
      <c r="CF155" s="883"/>
      <c r="CG155" s="883"/>
      <c r="CH155" s="883"/>
      <c r="CI155" s="883"/>
      <c r="CJ155" s="883"/>
      <c r="CK155" s="883"/>
      <c r="CL155" s="884">
        <f>IFERROR(__xludf.DUMMYFUNCTION("""COMPUTED_VALUE"""),0.969)</f>
        <v>0.969</v>
      </c>
      <c r="CM155" s="883"/>
      <c r="CN155" s="883"/>
      <c r="CO155" s="883"/>
      <c r="CP155" s="883"/>
      <c r="CQ155" s="891">
        <f>IFERROR(__xludf.DUMMYFUNCTION("""COMPUTED_VALUE"""),0.96)</f>
        <v>0.96</v>
      </c>
      <c r="CR155" s="883"/>
      <c r="CS155" s="883"/>
      <c r="CT155" s="883"/>
      <c r="CU155" s="883"/>
      <c r="CV155" s="863"/>
      <c r="CW155" s="863"/>
      <c r="CX155" s="863"/>
      <c r="CY155" s="863"/>
      <c r="CZ155" s="863"/>
      <c r="DA155" s="863"/>
      <c r="DB155" s="863"/>
      <c r="DC155" s="863"/>
      <c r="DD155" s="863"/>
      <c r="DE155" s="863"/>
    </row>
    <row r="156">
      <c r="A156" s="876"/>
      <c r="B156" s="876"/>
      <c r="C156" s="876"/>
      <c r="D156" s="876"/>
      <c r="E156" s="876"/>
      <c r="F156" s="876"/>
      <c r="G156" s="876"/>
      <c r="H156" s="876"/>
      <c r="I156" s="876"/>
      <c r="J156" s="876"/>
      <c r="K156" s="876"/>
      <c r="L156" s="876"/>
      <c r="M156" s="876"/>
      <c r="N156" s="877"/>
      <c r="O156" s="876"/>
      <c r="P156" s="876"/>
      <c r="Q156" s="876"/>
      <c r="R156" s="876"/>
      <c r="S156" s="876"/>
      <c r="T156" s="876"/>
      <c r="U156" s="876"/>
      <c r="V156" s="876"/>
      <c r="W156" s="876"/>
      <c r="X156" s="876"/>
      <c r="Y156" s="876"/>
      <c r="Z156" s="876"/>
      <c r="AA156" s="876"/>
      <c r="AB156" s="876"/>
      <c r="AC156" s="876"/>
      <c r="AD156" s="876"/>
      <c r="AE156" s="876"/>
      <c r="AF156" s="876"/>
      <c r="AG156" s="876"/>
      <c r="AH156" s="876"/>
      <c r="AI156" s="878"/>
      <c r="AJ156" s="888" t="str">
        <f>IFERROR(__xludf.DUMMYFUNCTION("""COMPUTED_VALUE"""),"Efficacy and Safety of Ivermectin Against Trichuris trichiura in Preschool-aged and School-aged Children: A Randomized Controlled Dose-finding Trial")</f>
        <v>Efficacy and Safety of Ivermectin Against Trichuris trichiura in Preschool-aged and School-aged Children: A Randomized Controlled Dose-finding Trial</v>
      </c>
      <c r="AK156" s="880" t="str">
        <f>IFERROR(__xludf.DUMMYFUNCTION("""COMPUTED_VALUE"""),"Wimmersberger D, Coulibaly JT, Schulz JD, Puchkow M, Huwyler J, N'Gbesso Y, Hattendorf J, Keiser J. Efficacy and Safety of Ivermectin Against Trichuris trichiura in Preschool-aged and School-aged Children: A Randomized Controlled Dose-finding Trial. Clin "&amp;"Infect Dis. 2018 Sep 28;67(8):1247-1255. doi: 10.1093/cid/ciy246. PMID: 29617737.")</f>
        <v>Wimmersberger D, Coulibaly JT, Schulz JD, Puchkow M, Huwyler J, N'Gbesso Y, Hattendorf J, Keiser J. Efficacy and Safety of Ivermectin Against Trichuris trichiura in Preschool-aged and School-aged Children: A Randomized Controlled Dose-finding Trial. Clin Infect Dis. 2018 Sep 28;67(8):1247-1255. doi: 10.1093/cid/ciy246. PMID: 29617737.</v>
      </c>
      <c r="AL156" s="880" t="str">
        <f>IFERROR(__xludf.DUMMYFUNCTION("""COMPUTED_VALUE"""),"Côte d’Ivoire")</f>
        <v>Côte d’Ivoire</v>
      </c>
      <c r="AM156" s="880" t="str">
        <f>IFERROR(__xludf.DUMMYFUNCTION("""COMPUTED_VALUE"""),"Ivermectin")</f>
        <v>Ivermectin</v>
      </c>
      <c r="AN156" s="880" t="str">
        <f>IFERROR(__xludf.DUMMYFUNCTION("""COMPUTED_VALUE"""),"Single")</f>
        <v>Single</v>
      </c>
      <c r="AO156" s="880" t="str">
        <f>IFERROR(__xludf.DUMMYFUNCTION("""COMPUTED_VALUE"""),"100 µg/kg")</f>
        <v>100 µg/kg</v>
      </c>
      <c r="AP156" s="880">
        <f>IFERROR(__xludf.DUMMYFUNCTION("""COMPUTED_VALUE"""),44.0)</f>
        <v>44</v>
      </c>
      <c r="AQ156" s="880">
        <f>IFERROR(__xludf.DUMMYFUNCTION("""COMPUTED_VALUE"""),4.0)</f>
        <v>4</v>
      </c>
      <c r="AR156" s="880" t="str">
        <f>IFERROR(__xludf.DUMMYFUNCTION("""COMPUTED_VALUE"""),"21M:23F")</f>
        <v>21M:23F</v>
      </c>
      <c r="AS156" s="880">
        <f>IFERROR(__xludf.DUMMYFUNCTION("""COMPUTED_VALUE"""),2017.0)</f>
        <v>2017</v>
      </c>
      <c r="AT156" s="880" t="str">
        <f>IFERROR(__xludf.DUMMYFUNCTION("""COMPUTED_VALUE"""),"Children 2–12 years of age who were T. trichiura positive were considered eligible for the trial. To avoid high CRs in the placebo arms [25], only children with T. trichiura infection intensities of &gt;60 eggs per gram of stool (EPG) in PSAC and 100 EPG in "&amp;"SAC were included.")</f>
        <v>Children 2–12 years of age who were T. trichiura positive were considered eligible for the trial. To avoid high CRs in the placebo arms [25], only children with T. trichiura infection intensities of &gt;60 eggs per gram of stool (EPG) in PSAC and 100 EPG in SAC were included.</v>
      </c>
      <c r="AU156" s="880" t="str">
        <f>IFERROR(__xludf.DUMMYFUNCTION("""COMPUTED_VALUE"""),"Yes")</f>
        <v>Yes</v>
      </c>
      <c r="AV156" s="880" t="str">
        <f>IFERROR(__xludf.DUMMYFUNCTION("""COMPUTED_VALUE"""),"Yes")</f>
        <v>Yes</v>
      </c>
      <c r="AW156" s="881" t="str">
        <f>IFERROR(__xludf.DUMMYFUNCTION("""COMPUTED_VALUE"""),"Single-blind")</f>
        <v>Single-blind</v>
      </c>
      <c r="AX156" s="863">
        <f>IFERROR(__xludf.DUMMYFUNCTION("""COMPUTED_VALUE"""),0.119)</f>
        <v>0.119</v>
      </c>
      <c r="AY156" s="863"/>
      <c r="AZ156" s="863"/>
      <c r="BA156" s="863"/>
      <c r="BB156" s="863"/>
      <c r="BC156" s="863"/>
      <c r="BD156" s="863"/>
      <c r="BE156" s="863"/>
      <c r="BF156" s="863"/>
      <c r="BG156" s="863"/>
      <c r="BH156" s="863">
        <f>IFERROR(__xludf.DUMMYFUNCTION("""COMPUTED_VALUE"""),0.786)</f>
        <v>0.786</v>
      </c>
      <c r="BI156" s="863"/>
      <c r="BJ156" s="863"/>
      <c r="BK156" s="863"/>
      <c r="BL156" s="863"/>
      <c r="BM156" s="863"/>
      <c r="BN156" s="863" t="str">
        <f>IFERROR(__xludf.DUMMYFUNCTION("""COMPUTED_VALUE"""),"Ivermectin can be administered safely to PSAC with trichuriasis. Given the low efficacy of ivermectin monotherapy against T. trichiura infection, further research should investigate the optimal drug combinations and dosages with ivermectin against soil-tr"&amp;"ansmitted helminthiasis.")</f>
        <v>Ivermectin can be administered safely to PSAC with trichuriasis. Given the low efficacy of ivermectin monotherapy against T. trichiura infection, further research should investigate the optimal drug combinations and dosages with ivermectin against soil-transmitted helminthiasis.</v>
      </c>
      <c r="BO156" s="863" t="str">
        <f>IFERROR(__xludf.DUMMYFUNCTION("""COMPUTED_VALUE"""),"Kato-Katz technique")</f>
        <v>Kato-Katz technique</v>
      </c>
      <c r="BP156" s="880"/>
      <c r="BQ156" s="863"/>
      <c r="BR156" s="889" t="str">
        <f>IFERROR(__xludf.DUMMYFUNCTION("""COMPUTED_VALUE"""),"Mani et al. ")</f>
        <v>Mani et al. </v>
      </c>
      <c r="BS156" s="883" t="str">
        <f>IFERROR(__xludf.DUMMYFUNCTION("""COMPUTED_VALUE"""),"India")</f>
        <v>India</v>
      </c>
      <c r="BT156" s="883" t="str">
        <f>IFERROR(__xludf.DUMMYFUNCTION("""COMPUTED_VALUE"""),"Albendazole &amp; Diethylcarbamazine")</f>
        <v>Albendazole &amp; Diethylcarbamazine</v>
      </c>
      <c r="BU156" s="883"/>
      <c r="BV156" s="883" t="str">
        <f>IFERROR(__xludf.DUMMYFUNCTION("""COMPUTED_VALUE"""),"Single")</f>
        <v>Single</v>
      </c>
      <c r="BW156" s="883" t="str">
        <f>IFERROR(__xludf.DUMMYFUNCTION("""COMPUTED_VALUE"""),"600 mg; 6 mg")</f>
        <v>600 mg; 6 mg</v>
      </c>
      <c r="BX156" s="883">
        <f>IFERROR(__xludf.DUMMYFUNCTION("""COMPUTED_VALUE"""),321.0)</f>
        <v>321</v>
      </c>
      <c r="BY156" s="883" t="str">
        <f>IFERROR(__xludf.DUMMYFUNCTION("""COMPUTED_VALUE"""),"0-15")</f>
        <v>0-15</v>
      </c>
      <c r="BZ156" s="883">
        <f>IFERROR(__xludf.DUMMYFUNCTION("""COMPUTED_VALUE"""),2001.0)</f>
        <v>2001</v>
      </c>
      <c r="CA156" s="883"/>
      <c r="CB156" s="883"/>
      <c r="CC156" s="883" t="str">
        <f>IFERROR(__xludf.DUMMYFUNCTION("""COMPUTED_VALUE"""),"No")</f>
        <v>No</v>
      </c>
      <c r="CD156" s="884">
        <f>IFERROR(__xludf.DUMMYFUNCTION("""COMPUTED_VALUE"""),0.7425)</f>
        <v>0.7425</v>
      </c>
      <c r="CE156" s="883" t="str">
        <f>IFERROR(__xludf.DUMMYFUNCTION("""COMPUTED_VALUE"""),"No")</f>
        <v>No</v>
      </c>
      <c r="CF156" s="883"/>
      <c r="CG156" s="883"/>
      <c r="CH156" s="883"/>
      <c r="CI156" s="883"/>
      <c r="CJ156" s="883"/>
      <c r="CK156" s="883"/>
      <c r="CL156" s="883"/>
      <c r="CM156" s="884">
        <f>IFERROR(__xludf.DUMMYFUNCTION("""COMPUTED_VALUE"""),0.9655)</f>
        <v>0.9655</v>
      </c>
      <c r="CN156" s="883"/>
      <c r="CO156" s="883"/>
      <c r="CP156" s="883"/>
      <c r="CQ156" s="883"/>
      <c r="CR156" s="883"/>
      <c r="CS156" s="883"/>
      <c r="CT156" s="883"/>
      <c r="CU156" s="883" t="str">
        <f>IFERROR(__xludf.DUMMYFUNCTION("""COMPUTED_VALUE"""),"x")</f>
        <v>x</v>
      </c>
      <c r="CV156" s="863"/>
      <c r="CW156" s="863"/>
      <c r="CX156" s="863"/>
      <c r="CY156" s="863"/>
      <c r="CZ156" s="863"/>
      <c r="DA156" s="863"/>
      <c r="DB156" s="863"/>
      <c r="DC156" s="863"/>
      <c r="DD156" s="863"/>
      <c r="DE156" s="863"/>
    </row>
    <row r="157">
      <c r="A157" s="876"/>
      <c r="B157" s="876"/>
      <c r="C157" s="876"/>
      <c r="D157" s="876"/>
      <c r="E157" s="876"/>
      <c r="F157" s="876"/>
      <c r="G157" s="876"/>
      <c r="H157" s="876"/>
      <c r="I157" s="876"/>
      <c r="J157" s="876"/>
      <c r="K157" s="876"/>
      <c r="L157" s="876"/>
      <c r="M157" s="876"/>
      <c r="N157" s="877"/>
      <c r="O157" s="876"/>
      <c r="P157" s="876"/>
      <c r="Q157" s="876"/>
      <c r="R157" s="876"/>
      <c r="S157" s="876"/>
      <c r="T157" s="876"/>
      <c r="U157" s="876"/>
      <c r="V157" s="876"/>
      <c r="W157" s="876"/>
      <c r="X157" s="876"/>
      <c r="Y157" s="876"/>
      <c r="Z157" s="876"/>
      <c r="AA157" s="876"/>
      <c r="AB157" s="876"/>
      <c r="AC157" s="876"/>
      <c r="AD157" s="876"/>
      <c r="AE157" s="876"/>
      <c r="AF157" s="876"/>
      <c r="AG157" s="876"/>
      <c r="AH157" s="876"/>
      <c r="AI157" s="878"/>
      <c r="AJ157" s="888" t="str">
        <f>IFERROR(__xludf.DUMMYFUNCTION("""COMPUTED_VALUE"""),"Efficacy and Safety of Ivermectin Against Trichuris trichiura in Preschool-aged and School-aged Children: A Randomized Controlled Dose-finding Trial")</f>
        <v>Efficacy and Safety of Ivermectin Against Trichuris trichiura in Preschool-aged and School-aged Children: A Randomized Controlled Dose-finding Trial</v>
      </c>
      <c r="AK157" s="880" t="str">
        <f>IFERROR(__xludf.DUMMYFUNCTION("""COMPUTED_VALUE"""),"Wimmersberger D, Coulibaly JT, Schulz JD, Puchkow M, Huwyler J, N'Gbesso Y, Hattendorf J, Keiser J. Efficacy and Safety of Ivermectin Against Trichuris trichiura in Preschool-aged and School-aged Children: A Randomized Controlled Dose-finding Trial. Clin "&amp;"Infect Dis. 2018 Sep 28;67(8):1247-1255. doi: 10.1093/cid/ciy246. PMID: 29617737.")</f>
        <v>Wimmersberger D, Coulibaly JT, Schulz JD, Puchkow M, Huwyler J, N'Gbesso Y, Hattendorf J, Keiser J. Efficacy and Safety of Ivermectin Against Trichuris trichiura in Preschool-aged and School-aged Children: A Randomized Controlled Dose-finding Trial. Clin Infect Dis. 2018 Sep 28;67(8):1247-1255. doi: 10.1093/cid/ciy246. PMID: 29617737.</v>
      </c>
      <c r="AL157" s="880" t="str">
        <f>IFERROR(__xludf.DUMMYFUNCTION("""COMPUTED_VALUE"""),"Côte d’Ivoire")</f>
        <v>Côte d’Ivoire</v>
      </c>
      <c r="AM157" s="880" t="str">
        <f>IFERROR(__xludf.DUMMYFUNCTION("""COMPUTED_VALUE"""),"Ivermectin")</f>
        <v>Ivermectin</v>
      </c>
      <c r="AN157" s="880" t="str">
        <f>IFERROR(__xludf.DUMMYFUNCTION("""COMPUTED_VALUE"""),"Single")</f>
        <v>Single</v>
      </c>
      <c r="AO157" s="880" t="str">
        <f>IFERROR(__xludf.DUMMYFUNCTION("""COMPUTED_VALUE"""),"200 µg/kg")</f>
        <v>200 µg/kg</v>
      </c>
      <c r="AP157" s="880">
        <f>IFERROR(__xludf.DUMMYFUNCTION("""COMPUTED_VALUE"""),45.0)</f>
        <v>45</v>
      </c>
      <c r="AQ157" s="880">
        <f>IFERROR(__xludf.DUMMYFUNCTION("""COMPUTED_VALUE"""),3.7)</f>
        <v>3.7</v>
      </c>
      <c r="AR157" s="880" t="str">
        <f>IFERROR(__xludf.DUMMYFUNCTION("""COMPUTED_VALUE"""),"24M:21F")</f>
        <v>24M:21F</v>
      </c>
      <c r="AS157" s="880">
        <f>IFERROR(__xludf.DUMMYFUNCTION("""COMPUTED_VALUE"""),2017.0)</f>
        <v>2017</v>
      </c>
      <c r="AT157" s="880" t="str">
        <f>IFERROR(__xludf.DUMMYFUNCTION("""COMPUTED_VALUE"""),"Children 2–12 years of age who were T. trichiura positive were considered eligible for the trial. To avoid high CRs in the placebo arms [25], only children with T. trichiura infection intensities of &gt;60 eggs per gram of stool (EPG) in PSAC and 100 EPG in "&amp;"SAC were included.")</f>
        <v>Children 2–12 years of age who were T. trichiura positive were considered eligible for the trial. To avoid high CRs in the placebo arms [25], only children with T. trichiura infection intensities of &gt;60 eggs per gram of stool (EPG) in PSAC and 100 EPG in SAC were included.</v>
      </c>
      <c r="AU157" s="880" t="str">
        <f>IFERROR(__xludf.DUMMYFUNCTION("""COMPUTED_VALUE"""),"Yes")</f>
        <v>Yes</v>
      </c>
      <c r="AV157" s="880" t="str">
        <f>IFERROR(__xludf.DUMMYFUNCTION("""COMPUTED_VALUE"""),"Yes")</f>
        <v>Yes</v>
      </c>
      <c r="AW157" s="881" t="str">
        <f>IFERROR(__xludf.DUMMYFUNCTION("""COMPUTED_VALUE"""),"Single-blind")</f>
        <v>Single-blind</v>
      </c>
      <c r="AX157" s="863">
        <f>IFERROR(__xludf.DUMMYFUNCTION("""COMPUTED_VALUE"""),0.209)</f>
        <v>0.209</v>
      </c>
      <c r="AY157" s="863"/>
      <c r="AZ157" s="863"/>
      <c r="BA157" s="863"/>
      <c r="BB157" s="863"/>
      <c r="BC157" s="863"/>
      <c r="BD157" s="863"/>
      <c r="BE157" s="863"/>
      <c r="BF157" s="863"/>
      <c r="BG157" s="863"/>
      <c r="BH157" s="863">
        <f>IFERROR(__xludf.DUMMYFUNCTION("""COMPUTED_VALUE"""),0.542)</f>
        <v>0.542</v>
      </c>
      <c r="BI157" s="863"/>
      <c r="BJ157" s="863"/>
      <c r="BK157" s="863"/>
      <c r="BL157" s="863"/>
      <c r="BM157" s="863"/>
      <c r="BN157" s="863" t="str">
        <f>IFERROR(__xludf.DUMMYFUNCTION("""COMPUTED_VALUE"""),"Ivermectin can be administered safely to PSAC with trichuriasis. Given the low efficacy of ivermectin monotherapy against T. trichiura infection, further research should investigate the optimal drug combinations and dosages with ivermectin against soil-tr"&amp;"ansmitted helminthiasis.")</f>
        <v>Ivermectin can be administered safely to PSAC with trichuriasis. Given the low efficacy of ivermectin monotherapy against T. trichiura infection, further research should investigate the optimal drug combinations and dosages with ivermectin against soil-transmitted helminthiasis.</v>
      </c>
      <c r="BO157" s="863" t="str">
        <f>IFERROR(__xludf.DUMMYFUNCTION("""COMPUTED_VALUE"""),"Kato-Katz technique")</f>
        <v>Kato-Katz technique</v>
      </c>
      <c r="BP157" s="880"/>
      <c r="BQ157" s="863"/>
      <c r="BR157" s="889" t="str">
        <f>IFERROR(__xludf.DUMMYFUNCTION("""COMPUTED_VALUE"""),"Mani et al. ")</f>
        <v>Mani et al. </v>
      </c>
      <c r="BS157" s="883" t="str">
        <f>IFERROR(__xludf.DUMMYFUNCTION("""COMPUTED_VALUE"""),"India")</f>
        <v>India</v>
      </c>
      <c r="BT157" s="883" t="str">
        <f>IFERROR(__xludf.DUMMYFUNCTION("""COMPUTED_VALUE"""),"Diethylcarbamazine")</f>
        <v>Diethylcarbamazine</v>
      </c>
      <c r="BU157" s="883"/>
      <c r="BV157" s="883" t="str">
        <f>IFERROR(__xludf.DUMMYFUNCTION("""COMPUTED_VALUE"""),"Single")</f>
        <v>Single</v>
      </c>
      <c r="BW157" s="883" t="str">
        <f>IFERROR(__xludf.DUMMYFUNCTION("""COMPUTED_VALUE"""),"6 mg")</f>
        <v>6 mg</v>
      </c>
      <c r="BX157" s="883"/>
      <c r="BY157" s="883" t="str">
        <f>IFERROR(__xludf.DUMMYFUNCTION("""COMPUTED_VALUE"""),"0-15")</f>
        <v>0-15</v>
      </c>
      <c r="BZ157" s="883">
        <f>IFERROR(__xludf.DUMMYFUNCTION("""COMPUTED_VALUE"""),2001.0)</f>
        <v>2001</v>
      </c>
      <c r="CA157" s="883"/>
      <c r="CB157" s="883"/>
      <c r="CC157" s="883" t="str">
        <f>IFERROR(__xludf.DUMMYFUNCTION("""COMPUTED_VALUE"""),"No")</f>
        <v>No</v>
      </c>
      <c r="CD157" s="884">
        <f>IFERROR(__xludf.DUMMYFUNCTION("""COMPUTED_VALUE"""),0.308)</f>
        <v>0.308</v>
      </c>
      <c r="CE157" s="883" t="str">
        <f>IFERROR(__xludf.DUMMYFUNCTION("""COMPUTED_VALUE"""),"No")</f>
        <v>No</v>
      </c>
      <c r="CF157" s="883"/>
      <c r="CG157" s="883"/>
      <c r="CH157" s="883"/>
      <c r="CI157" s="883"/>
      <c r="CJ157" s="883"/>
      <c r="CK157" s="883"/>
      <c r="CL157" s="883"/>
      <c r="CM157" s="884">
        <f>IFERROR(__xludf.DUMMYFUNCTION("""COMPUTED_VALUE"""),0.7664)</f>
        <v>0.7664</v>
      </c>
      <c r="CN157" s="883"/>
      <c r="CO157" s="883"/>
      <c r="CP157" s="883"/>
      <c r="CQ157" s="883"/>
      <c r="CR157" s="883"/>
      <c r="CS157" s="883"/>
      <c r="CT157" s="883"/>
      <c r="CU157" s="883" t="str">
        <f>IFERROR(__xludf.DUMMYFUNCTION("""COMPUTED_VALUE"""),"x")</f>
        <v>x</v>
      </c>
      <c r="CV157" s="863"/>
      <c r="CW157" s="863"/>
      <c r="CX157" s="863"/>
      <c r="CY157" s="863"/>
      <c r="CZ157" s="863"/>
      <c r="DA157" s="863"/>
      <c r="DB157" s="863"/>
      <c r="DC157" s="863"/>
      <c r="DD157" s="863"/>
      <c r="DE157" s="863"/>
    </row>
    <row r="158">
      <c r="A158" s="876"/>
      <c r="B158" s="876"/>
      <c r="C158" s="876"/>
      <c r="D158" s="876"/>
      <c r="E158" s="876"/>
      <c r="F158" s="876"/>
      <c r="G158" s="876"/>
      <c r="H158" s="876"/>
      <c r="I158" s="876"/>
      <c r="J158" s="876"/>
      <c r="K158" s="876"/>
      <c r="L158" s="876"/>
      <c r="M158" s="876"/>
      <c r="N158" s="877"/>
      <c r="O158" s="876"/>
      <c r="P158" s="876"/>
      <c r="Q158" s="876"/>
      <c r="R158" s="876"/>
      <c r="S158" s="876"/>
      <c r="T158" s="876"/>
      <c r="U158" s="876"/>
      <c r="V158" s="876"/>
      <c r="W158" s="876"/>
      <c r="X158" s="876"/>
      <c r="Y158" s="876"/>
      <c r="Z158" s="876"/>
      <c r="AA158" s="876"/>
      <c r="AB158" s="876"/>
      <c r="AC158" s="876"/>
      <c r="AD158" s="876"/>
      <c r="AE158" s="876"/>
      <c r="AF158" s="876"/>
      <c r="AG158" s="876"/>
      <c r="AH158" s="876"/>
      <c r="AI158" s="878"/>
      <c r="AJ158" s="888" t="str">
        <f>IFERROR(__xludf.DUMMYFUNCTION("""COMPUTED_VALUE"""),"Efficacy and Safety of Ivermectin Against Trichuris trichiura in Preschool-aged and School-aged Children: A Randomized Controlled Dose-finding Trial")</f>
        <v>Efficacy and Safety of Ivermectin Against Trichuris trichiura in Preschool-aged and School-aged Children: A Randomized Controlled Dose-finding Trial</v>
      </c>
      <c r="AK158" s="880" t="str">
        <f>IFERROR(__xludf.DUMMYFUNCTION("""COMPUTED_VALUE"""),"Wimmersberger D, Coulibaly JT, Schulz JD, Puchkow M, Huwyler J, N'Gbesso Y, Hattendorf J, Keiser J. Efficacy and Safety of Ivermectin Against Trichuris trichiura in Preschool-aged and School-aged Children: A Randomized Controlled Dose-finding Trial. Clin "&amp;"Infect Dis. 2018 Sep 28;67(8):1247-1255. doi: 10.1093/cid/ciy246. PMID: 29617737.")</f>
        <v>Wimmersberger D, Coulibaly JT, Schulz JD, Puchkow M, Huwyler J, N'Gbesso Y, Hattendorf J, Keiser J. Efficacy and Safety of Ivermectin Against Trichuris trichiura in Preschool-aged and School-aged Children: A Randomized Controlled Dose-finding Trial. Clin Infect Dis. 2018 Sep 28;67(8):1247-1255. doi: 10.1093/cid/ciy246. PMID: 29617737.</v>
      </c>
      <c r="AL158" s="880" t="str">
        <f>IFERROR(__xludf.DUMMYFUNCTION("""COMPUTED_VALUE"""),"Côte d’Ivoire")</f>
        <v>Côte d’Ivoire</v>
      </c>
      <c r="AM158" s="880" t="str">
        <f>IFERROR(__xludf.DUMMYFUNCTION("""COMPUTED_VALUE"""),"Ivermectin")</f>
        <v>Ivermectin</v>
      </c>
      <c r="AN158" s="880" t="str">
        <f>IFERROR(__xludf.DUMMYFUNCTION("""COMPUTED_VALUE"""),"Single")</f>
        <v>Single</v>
      </c>
      <c r="AO158" s="880" t="str">
        <f>IFERROR(__xludf.DUMMYFUNCTION("""COMPUTED_VALUE"""),"200 µg/kg")</f>
        <v>200 µg/kg</v>
      </c>
      <c r="AP158" s="880">
        <f>IFERROR(__xludf.DUMMYFUNCTION("""COMPUTED_VALUE"""),43.0)</f>
        <v>43</v>
      </c>
      <c r="AQ158" s="880">
        <f>IFERROR(__xludf.DUMMYFUNCTION("""COMPUTED_VALUE"""),8.5)</f>
        <v>8.5</v>
      </c>
      <c r="AR158" s="880" t="str">
        <f>IFERROR(__xludf.DUMMYFUNCTION("""COMPUTED_VALUE"""),"28M:15F")</f>
        <v>28M:15F</v>
      </c>
      <c r="AS158" s="880">
        <f>IFERROR(__xludf.DUMMYFUNCTION("""COMPUTED_VALUE"""),2017.0)</f>
        <v>2017</v>
      </c>
      <c r="AT158" s="880" t="str">
        <f>IFERROR(__xludf.DUMMYFUNCTION("""COMPUTED_VALUE"""),"Children 2–12 years of age who were T. trichiura positive were considered eligible for the trial. To avoid high CRs in the placebo arms [25], only children with T. trichiura infection intensities of &gt;60 eggs per gram of stool (EPG) in PSAC and 100 EPG in "&amp;"SAC were included.")</f>
        <v>Children 2–12 years of age who were T. trichiura positive were considered eligible for the trial. To avoid high CRs in the placebo arms [25], only children with T. trichiura infection intensities of &gt;60 eggs per gram of stool (EPG) in PSAC and 100 EPG in SAC were included.</v>
      </c>
      <c r="AU158" s="880" t="str">
        <f>IFERROR(__xludf.DUMMYFUNCTION("""COMPUTED_VALUE"""),"Yes")</f>
        <v>Yes</v>
      </c>
      <c r="AV158" s="880" t="str">
        <f>IFERROR(__xludf.DUMMYFUNCTION("""COMPUTED_VALUE"""),"Yes")</f>
        <v>Yes</v>
      </c>
      <c r="AW158" s="881" t="str">
        <f>IFERROR(__xludf.DUMMYFUNCTION("""COMPUTED_VALUE"""),"Single-blind")</f>
        <v>Single-blind</v>
      </c>
      <c r="AX158" s="863">
        <f>IFERROR(__xludf.DUMMYFUNCTION("""COMPUTED_VALUE"""),0.024)</f>
        <v>0.024</v>
      </c>
      <c r="AY158" s="863"/>
      <c r="AZ158" s="863"/>
      <c r="BA158" s="863"/>
      <c r="BB158" s="863"/>
      <c r="BC158" s="863"/>
      <c r="BD158" s="863"/>
      <c r="BE158" s="863"/>
      <c r="BF158" s="863"/>
      <c r="BG158" s="863"/>
      <c r="BH158" s="863">
        <f>IFERROR(__xludf.DUMMYFUNCTION("""COMPUTED_VALUE"""),0.476)</f>
        <v>0.476</v>
      </c>
      <c r="BI158" s="863"/>
      <c r="BJ158" s="863"/>
      <c r="BK158" s="863"/>
      <c r="BL158" s="863"/>
      <c r="BM158" s="863"/>
      <c r="BN158" s="863" t="str">
        <f>IFERROR(__xludf.DUMMYFUNCTION("""COMPUTED_VALUE"""),"Ivermectin can be administered safely to PSAC with trichuriasis. Given the low efficacy of ivermectin monotherapy against T. trichiura infection, further research should investigate the optimal drug combinations and dosages with ivermectin against soil-tr"&amp;"ansmitted helminthiasis.")</f>
        <v>Ivermectin can be administered safely to PSAC with trichuriasis. Given the low efficacy of ivermectin monotherapy against T. trichiura infection, further research should investigate the optimal drug combinations and dosages with ivermectin against soil-transmitted helminthiasis.</v>
      </c>
      <c r="BO158" s="863" t="str">
        <f>IFERROR(__xludf.DUMMYFUNCTION("""COMPUTED_VALUE"""),"Kato-Katz technique")</f>
        <v>Kato-Katz technique</v>
      </c>
      <c r="BP158" s="880"/>
      <c r="BQ158" s="863"/>
      <c r="BR158" s="889" t="str">
        <f>IFERROR(__xludf.DUMMYFUNCTION("""COMPUTED_VALUE"""),"Muchiri et al.")</f>
        <v>Muchiri et al.</v>
      </c>
      <c r="BS158" s="883" t="str">
        <f>IFERROR(__xludf.DUMMYFUNCTION("""COMPUTED_VALUE"""),"Kenya")</f>
        <v>Kenya</v>
      </c>
      <c r="BT158" s="883" t="str">
        <f>IFERROR(__xludf.DUMMYFUNCTION("""COMPUTED_VALUE"""),"Albendazole")</f>
        <v>Albendazole</v>
      </c>
      <c r="BU158" s="883"/>
      <c r="BV158" s="883" t="str">
        <f>IFERROR(__xludf.DUMMYFUNCTION("""COMPUTED_VALUE"""),"Single")</f>
        <v>Single</v>
      </c>
      <c r="BW158" s="883" t="str">
        <f>IFERROR(__xludf.DUMMYFUNCTION("""COMPUTED_VALUE"""),"600 mg")</f>
        <v>600 mg</v>
      </c>
      <c r="BX158" s="883">
        <f>IFERROR(__xludf.DUMMYFUNCTION("""COMPUTED_VALUE"""),139.0)</f>
        <v>139</v>
      </c>
      <c r="BY158" s="890">
        <f>IFERROR(__xludf.DUMMYFUNCTION("""COMPUTED_VALUE"""),42479.0)</f>
        <v>42479</v>
      </c>
      <c r="BZ158" s="883">
        <f>IFERROR(__xludf.DUMMYFUNCTION("""COMPUTED_VALUE"""),1997.0)</f>
        <v>1997</v>
      </c>
      <c r="CA158" s="883"/>
      <c r="CB158" s="883"/>
      <c r="CC158" s="883" t="str">
        <f>IFERROR(__xludf.DUMMYFUNCTION("""COMPUTED_VALUE"""),"Yes")</f>
        <v>Yes</v>
      </c>
      <c r="CD158" s="884">
        <f>IFERROR(__xludf.DUMMYFUNCTION("""COMPUTED_VALUE"""),0.758)</f>
        <v>0.758</v>
      </c>
      <c r="CE158" s="883" t="str">
        <f>IFERROR(__xludf.DUMMYFUNCTION("""COMPUTED_VALUE"""),"No")</f>
        <v>No</v>
      </c>
      <c r="CF158" s="883"/>
      <c r="CG158" s="883"/>
      <c r="CH158" s="884">
        <f>IFERROR(__xludf.DUMMYFUNCTION("""COMPUTED_VALUE"""),0.909)</f>
        <v>0.909</v>
      </c>
      <c r="CI158" s="883"/>
      <c r="CJ158" s="883"/>
      <c r="CK158" s="883"/>
      <c r="CL158" s="883"/>
      <c r="CM158" s="884">
        <f>IFERROR(__xludf.DUMMYFUNCTION("""COMPUTED_VALUE"""),0.996)</f>
        <v>0.996</v>
      </c>
      <c r="CN158" s="883"/>
      <c r="CO158" s="883"/>
      <c r="CP158" s="883"/>
      <c r="CQ158" s="883"/>
      <c r="CR158" s="883"/>
      <c r="CS158" s="883"/>
      <c r="CT158" s="883" t="str">
        <f>IFERROR(__xludf.DUMMYFUNCTION("""COMPUTED_VALUE"""),"Kato-Katz Method")</f>
        <v>Kato-Katz Method</v>
      </c>
      <c r="CU158" s="883"/>
      <c r="CV158" s="863"/>
      <c r="CW158" s="863"/>
      <c r="CX158" s="863"/>
      <c r="CY158" s="863"/>
      <c r="CZ158" s="863"/>
      <c r="DA158" s="863"/>
      <c r="DB158" s="863"/>
      <c r="DC158" s="863"/>
      <c r="DD158" s="863"/>
      <c r="DE158" s="863"/>
    </row>
    <row r="159">
      <c r="A159" s="876"/>
      <c r="B159" s="876"/>
      <c r="C159" s="876"/>
      <c r="D159" s="876"/>
      <c r="E159" s="876"/>
      <c r="F159" s="876"/>
      <c r="G159" s="876"/>
      <c r="H159" s="876"/>
      <c r="I159" s="876"/>
      <c r="J159" s="876"/>
      <c r="K159" s="876"/>
      <c r="L159" s="876"/>
      <c r="M159" s="876"/>
      <c r="N159" s="877"/>
      <c r="O159" s="876"/>
      <c r="P159" s="876"/>
      <c r="Q159" s="876"/>
      <c r="R159" s="876"/>
      <c r="S159" s="876"/>
      <c r="T159" s="876"/>
      <c r="U159" s="876"/>
      <c r="V159" s="876"/>
      <c r="W159" s="876"/>
      <c r="X159" s="876"/>
      <c r="Y159" s="876"/>
      <c r="Z159" s="876"/>
      <c r="AA159" s="876"/>
      <c r="AB159" s="876"/>
      <c r="AC159" s="876"/>
      <c r="AD159" s="876"/>
      <c r="AE159" s="876"/>
      <c r="AF159" s="876"/>
      <c r="AG159" s="876"/>
      <c r="AH159" s="876"/>
      <c r="AI159" s="878"/>
      <c r="AJ159" s="888" t="str">
        <f>IFERROR(__xludf.DUMMYFUNCTION("""COMPUTED_VALUE"""),"Efficacy and Safety of Ivermectin Against Trichuris trichiura in Preschool-aged and School-aged Children: A Randomized Controlled Dose-finding Trial")</f>
        <v>Efficacy and Safety of Ivermectin Against Trichuris trichiura in Preschool-aged and School-aged Children: A Randomized Controlled Dose-finding Trial</v>
      </c>
      <c r="AK159" s="880" t="str">
        <f>IFERROR(__xludf.DUMMYFUNCTION("""COMPUTED_VALUE"""),"Wimmersberger D, Coulibaly JT, Schulz JD, Puchkow M, Huwyler J, N'Gbesso Y, Hattendorf J, Keiser J. Efficacy and Safety of Ivermectin Against Trichuris trichiura in Preschool-aged and School-aged Children: A Randomized Controlled Dose-finding Trial. Clin "&amp;"Infect Dis. 2018 Sep 28;67(8):1247-1255. doi: 10.1093/cid/ciy246. PMID: 29617737.")</f>
        <v>Wimmersberger D, Coulibaly JT, Schulz JD, Puchkow M, Huwyler J, N'Gbesso Y, Hattendorf J, Keiser J. Efficacy and Safety of Ivermectin Against Trichuris trichiura in Preschool-aged and School-aged Children: A Randomized Controlled Dose-finding Trial. Clin Infect Dis. 2018 Sep 28;67(8):1247-1255. doi: 10.1093/cid/ciy246. PMID: 29617737.</v>
      </c>
      <c r="AL159" s="880" t="str">
        <f>IFERROR(__xludf.DUMMYFUNCTION("""COMPUTED_VALUE"""),"Côte d’Ivoire")</f>
        <v>Côte d’Ivoire</v>
      </c>
      <c r="AM159" s="880" t="str">
        <f>IFERROR(__xludf.DUMMYFUNCTION("""COMPUTED_VALUE"""),"Ivermectin")</f>
        <v>Ivermectin</v>
      </c>
      <c r="AN159" s="880" t="str">
        <f>IFERROR(__xludf.DUMMYFUNCTION("""COMPUTED_VALUE"""),"Single")</f>
        <v>Single</v>
      </c>
      <c r="AO159" s="880" t="str">
        <f>IFERROR(__xludf.DUMMYFUNCTION("""COMPUTED_VALUE"""),"400 µg/kg")</f>
        <v>400 µg/kg</v>
      </c>
      <c r="AP159" s="880">
        <f>IFERROR(__xludf.DUMMYFUNCTION("""COMPUTED_VALUE"""),43.0)</f>
        <v>43</v>
      </c>
      <c r="AQ159" s="880">
        <f>IFERROR(__xludf.DUMMYFUNCTION("""COMPUTED_VALUE"""),8.4)</f>
        <v>8.4</v>
      </c>
      <c r="AR159" s="880" t="str">
        <f>IFERROR(__xludf.DUMMYFUNCTION("""COMPUTED_VALUE"""),"23M:20F")</f>
        <v>23M:20F</v>
      </c>
      <c r="AS159" s="880">
        <f>IFERROR(__xludf.DUMMYFUNCTION("""COMPUTED_VALUE"""),2017.0)</f>
        <v>2017</v>
      </c>
      <c r="AT159" s="880" t="str">
        <f>IFERROR(__xludf.DUMMYFUNCTION("""COMPUTED_VALUE"""),"Children 2–12 years of age who were T. trichiura positive were considered eligible for the trial. To avoid high CRs in the placebo arms [25], only children with T. trichiura infection intensities of &gt;60 eggs per gram of stool (EPG) in PSAC and 100 EPG in "&amp;"SAC were included.")</f>
        <v>Children 2–12 years of age who were T. trichiura positive were considered eligible for the trial. To avoid high CRs in the placebo arms [25], only children with T. trichiura infection intensities of &gt;60 eggs per gram of stool (EPG) in PSAC and 100 EPG in SAC were included.</v>
      </c>
      <c r="AU159" s="880" t="str">
        <f>IFERROR(__xludf.DUMMYFUNCTION("""COMPUTED_VALUE"""),"Yes")</f>
        <v>Yes</v>
      </c>
      <c r="AV159" s="880" t="str">
        <f>IFERROR(__xludf.DUMMYFUNCTION("""COMPUTED_VALUE"""),"Yes")</f>
        <v>Yes</v>
      </c>
      <c r="AW159" s="881" t="str">
        <f>IFERROR(__xludf.DUMMYFUNCTION("""COMPUTED_VALUE"""),"Single-blind")</f>
        <v>Single-blind</v>
      </c>
      <c r="AX159" s="863">
        <f>IFERROR(__xludf.DUMMYFUNCTION("""COMPUTED_VALUE"""),0.024)</f>
        <v>0.024</v>
      </c>
      <c r="AY159" s="863"/>
      <c r="AZ159" s="863"/>
      <c r="BA159" s="863"/>
      <c r="BB159" s="863"/>
      <c r="BC159" s="863"/>
      <c r="BD159" s="863"/>
      <c r="BE159" s="863"/>
      <c r="BF159" s="863"/>
      <c r="BG159" s="863"/>
      <c r="BH159" s="863">
        <f>IFERROR(__xludf.DUMMYFUNCTION("""COMPUTED_VALUE"""),0.663)</f>
        <v>0.663</v>
      </c>
      <c r="BI159" s="863"/>
      <c r="BJ159" s="863"/>
      <c r="BK159" s="863"/>
      <c r="BL159" s="863"/>
      <c r="BM159" s="863"/>
      <c r="BN159" s="863" t="str">
        <f>IFERROR(__xludf.DUMMYFUNCTION("""COMPUTED_VALUE"""),"Ivermectin can be administered safely to PSAC with trichuriasis. Given the low efficacy of ivermectin monotherapy against T. trichiura infection, further research should investigate the optimal drug combinations and dosages with ivermectin against soil-tr"&amp;"ansmitted helminthiasis.")</f>
        <v>Ivermectin can be administered safely to PSAC with trichuriasis. Given the low efficacy of ivermectin monotherapy against T. trichiura infection, further research should investigate the optimal drug combinations and dosages with ivermectin against soil-transmitted helminthiasis.</v>
      </c>
      <c r="BO159" s="863" t="str">
        <f>IFERROR(__xludf.DUMMYFUNCTION("""COMPUTED_VALUE"""),"Kato-Katz technique")</f>
        <v>Kato-Katz technique</v>
      </c>
      <c r="BP159" s="880"/>
      <c r="BQ159" s="863"/>
      <c r="BR159" s="889" t="str">
        <f>IFERROR(__xludf.DUMMYFUNCTION("""COMPUTED_VALUE"""),"Muchiri et al.")</f>
        <v>Muchiri et al.</v>
      </c>
      <c r="BS159" s="883" t="str">
        <f>IFERROR(__xludf.DUMMYFUNCTION("""COMPUTED_VALUE"""),"Kenya")</f>
        <v>Kenya</v>
      </c>
      <c r="BT159" s="883" t="str">
        <f>IFERROR(__xludf.DUMMYFUNCTION("""COMPUTED_VALUE"""),"Mebendazole")</f>
        <v>Mebendazole</v>
      </c>
      <c r="BU159" s="883"/>
      <c r="BV159" s="883" t="str">
        <f>IFERROR(__xludf.DUMMYFUNCTION("""COMPUTED_VALUE"""),"Two")</f>
        <v>Two</v>
      </c>
      <c r="BW159" s="883" t="str">
        <f>IFERROR(__xludf.DUMMYFUNCTION("""COMPUTED_VALUE"""),"600 mg")</f>
        <v>600 mg</v>
      </c>
      <c r="BX159" s="883">
        <f>IFERROR(__xludf.DUMMYFUNCTION("""COMPUTED_VALUE"""),197.0)</f>
        <v>197</v>
      </c>
      <c r="BY159" s="890">
        <f>IFERROR(__xludf.DUMMYFUNCTION("""COMPUTED_VALUE"""),42479.0)</f>
        <v>42479</v>
      </c>
      <c r="BZ159" s="883">
        <f>IFERROR(__xludf.DUMMYFUNCTION("""COMPUTED_VALUE"""),1997.0)</f>
        <v>1997</v>
      </c>
      <c r="CA159" s="883"/>
      <c r="CB159" s="883"/>
      <c r="CC159" s="883" t="str">
        <f>IFERROR(__xludf.DUMMYFUNCTION("""COMPUTED_VALUE"""),"Yes")</f>
        <v>Yes</v>
      </c>
      <c r="CD159" s="884">
        <f>IFERROR(__xludf.DUMMYFUNCTION("""COMPUTED_VALUE"""),0.754)</f>
        <v>0.754</v>
      </c>
      <c r="CE159" s="883" t="str">
        <f>IFERROR(__xludf.DUMMYFUNCTION("""COMPUTED_VALUE"""),"No")</f>
        <v>No</v>
      </c>
      <c r="CF159" s="883"/>
      <c r="CG159" s="883"/>
      <c r="CH159" s="884">
        <f>IFERROR(__xludf.DUMMYFUNCTION("""COMPUTED_VALUE"""),0.912)</f>
        <v>0.912</v>
      </c>
      <c r="CI159" s="883"/>
      <c r="CJ159" s="883"/>
      <c r="CK159" s="883"/>
      <c r="CL159" s="883"/>
      <c r="CM159" s="884">
        <f>IFERROR(__xludf.DUMMYFUNCTION("""COMPUTED_VALUE"""),0.994)</f>
        <v>0.994</v>
      </c>
      <c r="CN159" s="883"/>
      <c r="CO159" s="883"/>
      <c r="CP159" s="883"/>
      <c r="CQ159" s="883"/>
      <c r="CR159" s="883"/>
      <c r="CS159" s="883"/>
      <c r="CT159" s="883"/>
      <c r="CU159" s="883"/>
      <c r="CV159" s="863"/>
      <c r="CW159" s="863"/>
      <c r="CX159" s="863"/>
      <c r="CY159" s="863"/>
      <c r="CZ159" s="863"/>
      <c r="DA159" s="863"/>
      <c r="DB159" s="863"/>
      <c r="DC159" s="863"/>
      <c r="DD159" s="863"/>
      <c r="DE159" s="863"/>
    </row>
    <row r="160">
      <c r="A160" s="876"/>
      <c r="B160" s="876"/>
      <c r="C160" s="876"/>
      <c r="D160" s="876"/>
      <c r="E160" s="876"/>
      <c r="F160" s="876"/>
      <c r="G160" s="876"/>
      <c r="H160" s="876"/>
      <c r="I160" s="876"/>
      <c r="J160" s="876"/>
      <c r="K160" s="876"/>
      <c r="L160" s="876"/>
      <c r="M160" s="876"/>
      <c r="N160" s="877"/>
      <c r="O160" s="876"/>
      <c r="P160" s="876"/>
      <c r="Q160" s="876"/>
      <c r="R160" s="876"/>
      <c r="S160" s="876"/>
      <c r="T160" s="876"/>
      <c r="U160" s="876"/>
      <c r="V160" s="876"/>
      <c r="W160" s="876"/>
      <c r="X160" s="876"/>
      <c r="Y160" s="876"/>
      <c r="Z160" s="876"/>
      <c r="AA160" s="876"/>
      <c r="AB160" s="876"/>
      <c r="AC160" s="876"/>
      <c r="AD160" s="876"/>
      <c r="AE160" s="876"/>
      <c r="AF160" s="876"/>
      <c r="AG160" s="876"/>
      <c r="AH160" s="876"/>
      <c r="AI160" s="878"/>
      <c r="AJ160" s="888" t="str">
        <f>IFERROR(__xludf.DUMMYFUNCTION("""COMPUTED_VALUE"""),"Efficacy and Safety of Ivermectin Against Trichuris trichiura in Preschool-aged and School-aged Children: A Randomized Controlled Dose-finding Trial")</f>
        <v>Efficacy and Safety of Ivermectin Against Trichuris trichiura in Preschool-aged and School-aged Children: A Randomized Controlled Dose-finding Trial</v>
      </c>
      <c r="AK160" s="880" t="str">
        <f>IFERROR(__xludf.DUMMYFUNCTION("""COMPUTED_VALUE"""),"Wimmersberger D, Coulibaly JT, Schulz JD, Puchkow M, Huwyler J, N'Gbesso Y, Hattendorf J, Keiser J. Efficacy and Safety of Ivermectin Against Trichuris trichiura in Preschool-aged and School-aged Children: A Randomized Controlled Dose-finding Trial. Clin "&amp;"Infect Dis. 2018 Sep 28;67(8):1247-1255. doi: 10.1093/cid/ciy246. PMID: 29617737.")</f>
        <v>Wimmersberger D, Coulibaly JT, Schulz JD, Puchkow M, Huwyler J, N'Gbesso Y, Hattendorf J, Keiser J. Efficacy and Safety of Ivermectin Against Trichuris trichiura in Preschool-aged and School-aged Children: A Randomized Controlled Dose-finding Trial. Clin Infect Dis. 2018 Sep 28;67(8):1247-1255. doi: 10.1093/cid/ciy246. PMID: 29617737.</v>
      </c>
      <c r="AL160" s="880" t="str">
        <f>IFERROR(__xludf.DUMMYFUNCTION("""COMPUTED_VALUE"""),"Côte d’Ivoire")</f>
        <v>Côte d’Ivoire</v>
      </c>
      <c r="AM160" s="880" t="str">
        <f>IFERROR(__xludf.DUMMYFUNCTION("""COMPUTED_VALUE"""),"Ivermectin")</f>
        <v>Ivermectin</v>
      </c>
      <c r="AN160" s="880" t="str">
        <f>IFERROR(__xludf.DUMMYFUNCTION("""COMPUTED_VALUE"""),"Single")</f>
        <v>Single</v>
      </c>
      <c r="AO160" s="880" t="str">
        <f>IFERROR(__xludf.DUMMYFUNCTION("""COMPUTED_VALUE"""),"600 µg/kg")</f>
        <v>600 µg/kg</v>
      </c>
      <c r="AP160" s="880">
        <f>IFERROR(__xludf.DUMMYFUNCTION("""COMPUTED_VALUE"""),42.0)</f>
        <v>42</v>
      </c>
      <c r="AQ160" s="880">
        <f>IFERROR(__xludf.DUMMYFUNCTION("""COMPUTED_VALUE"""),8.4)</f>
        <v>8.4</v>
      </c>
      <c r="AR160" s="880" t="str">
        <f>IFERROR(__xludf.DUMMYFUNCTION("""COMPUTED_VALUE"""),"24M:18F")</f>
        <v>24M:18F</v>
      </c>
      <c r="AS160" s="880">
        <f>IFERROR(__xludf.DUMMYFUNCTION("""COMPUTED_VALUE"""),2017.0)</f>
        <v>2017</v>
      </c>
      <c r="AT160" s="880" t="str">
        <f>IFERROR(__xludf.DUMMYFUNCTION("""COMPUTED_VALUE"""),"Children 2–12 years of age who were T. trichiura positive were considered eligible for the trial. To avoid high CRs in the placebo arms [25], only children with T. trichiura infection intensities of &gt;60 eggs per gram of stool (EPG) in PSAC and 100 EPG in "&amp;"SAC were included.")</f>
        <v>Children 2–12 years of age who were T. trichiura positive were considered eligible for the trial. To avoid high CRs in the placebo arms [25], only children with T. trichiura infection intensities of &gt;60 eggs per gram of stool (EPG) in PSAC and 100 EPG in SAC were included.</v>
      </c>
      <c r="AU160" s="880" t="str">
        <f>IFERROR(__xludf.DUMMYFUNCTION("""COMPUTED_VALUE"""),"Yes")</f>
        <v>Yes</v>
      </c>
      <c r="AV160" s="880" t="str">
        <f>IFERROR(__xludf.DUMMYFUNCTION("""COMPUTED_VALUE"""),"Yes")</f>
        <v>Yes</v>
      </c>
      <c r="AW160" s="881" t="str">
        <f>IFERROR(__xludf.DUMMYFUNCTION("""COMPUTED_VALUE"""),"Single-blind")</f>
        <v>Single-blind</v>
      </c>
      <c r="AX160" s="863">
        <f>IFERROR(__xludf.DUMMYFUNCTION("""COMPUTED_VALUE"""),0.122)</f>
        <v>0.122</v>
      </c>
      <c r="AY160" s="863"/>
      <c r="AZ160" s="863"/>
      <c r="BA160" s="863"/>
      <c r="BB160" s="863"/>
      <c r="BC160" s="863"/>
      <c r="BD160" s="863"/>
      <c r="BE160" s="863"/>
      <c r="BF160" s="863"/>
      <c r="BG160" s="863"/>
      <c r="BH160" s="863">
        <f>IFERROR(__xludf.DUMMYFUNCTION("""COMPUTED_VALUE"""),0.717)</f>
        <v>0.717</v>
      </c>
      <c r="BI160" s="863"/>
      <c r="BJ160" s="863"/>
      <c r="BK160" s="863"/>
      <c r="BL160" s="863"/>
      <c r="BM160" s="863"/>
      <c r="BN160" s="863" t="str">
        <f>IFERROR(__xludf.DUMMYFUNCTION("""COMPUTED_VALUE"""),"Ivermectin can be administered safely to PSAC with trichuriasis. Given the low efficacy of ivermectin monotherapy against T. trichiura infection, further research should investigate the optimal drug combinations and dosages with ivermectin against soil-tr"&amp;"ansmitted helminthiasis.")</f>
        <v>Ivermectin can be administered safely to PSAC with trichuriasis. Given the low efficacy of ivermectin monotherapy against T. trichiura infection, further research should investigate the optimal drug combinations and dosages with ivermectin against soil-transmitted helminthiasis.</v>
      </c>
      <c r="BO160" s="863" t="str">
        <f>IFERROR(__xludf.DUMMYFUNCTION("""COMPUTED_VALUE"""),"Kato-Katz technique")</f>
        <v>Kato-Katz technique</v>
      </c>
      <c r="BP160" s="880"/>
      <c r="BQ160" s="863"/>
      <c r="BR160" s="889" t="str">
        <f>IFERROR(__xludf.DUMMYFUNCTION("""COMPUTED_VALUE"""),"Muchiri et al.")</f>
        <v>Muchiri et al.</v>
      </c>
      <c r="BS160" s="883" t="str">
        <f>IFERROR(__xludf.DUMMYFUNCTION("""COMPUTED_VALUE"""),"Kenya")</f>
        <v>Kenya</v>
      </c>
      <c r="BT160" s="883" t="str">
        <f>IFERROR(__xludf.DUMMYFUNCTION("""COMPUTED_VALUE"""),"Mebendazole")</f>
        <v>Mebendazole</v>
      </c>
      <c r="BU160" s="883"/>
      <c r="BV160" s="883" t="str">
        <f>IFERROR(__xludf.DUMMYFUNCTION("""COMPUTED_VALUE"""),"Three")</f>
        <v>Three</v>
      </c>
      <c r="BW160" s="883" t="str">
        <f>IFERROR(__xludf.DUMMYFUNCTION("""COMPUTED_VALUE"""),"600 mg")</f>
        <v>600 mg</v>
      </c>
      <c r="BX160" s="883">
        <f>IFERROR(__xludf.DUMMYFUNCTION("""COMPUTED_VALUE"""),161.0)</f>
        <v>161</v>
      </c>
      <c r="BY160" s="890">
        <f>IFERROR(__xludf.DUMMYFUNCTION("""COMPUTED_VALUE"""),42479.0)</f>
        <v>42479</v>
      </c>
      <c r="BZ160" s="883">
        <f>IFERROR(__xludf.DUMMYFUNCTION("""COMPUTED_VALUE"""),1997.0)</f>
        <v>1997</v>
      </c>
      <c r="CA160" s="883"/>
      <c r="CB160" s="883"/>
      <c r="CC160" s="883" t="str">
        <f>IFERROR(__xludf.DUMMYFUNCTION("""COMPUTED_VALUE"""),"Yes")</f>
        <v>Yes</v>
      </c>
      <c r="CD160" s="884">
        <f>IFERROR(__xludf.DUMMYFUNCTION("""COMPUTED_VALUE"""),0.956)</f>
        <v>0.956</v>
      </c>
      <c r="CE160" s="883" t="str">
        <f>IFERROR(__xludf.DUMMYFUNCTION("""COMPUTED_VALUE"""),"No")</f>
        <v>No</v>
      </c>
      <c r="CF160" s="883"/>
      <c r="CG160" s="883"/>
      <c r="CH160" s="884">
        <f>IFERROR(__xludf.DUMMYFUNCTION("""COMPUTED_VALUE"""),0.897)</f>
        <v>0.897</v>
      </c>
      <c r="CI160" s="883"/>
      <c r="CJ160" s="883"/>
      <c r="CK160" s="883"/>
      <c r="CL160" s="883"/>
      <c r="CM160" s="884">
        <f>IFERROR(__xludf.DUMMYFUNCTION("""COMPUTED_VALUE"""),0.999)</f>
        <v>0.999</v>
      </c>
      <c r="CN160" s="883"/>
      <c r="CO160" s="883"/>
      <c r="CP160" s="883"/>
      <c r="CQ160" s="883"/>
      <c r="CR160" s="883"/>
      <c r="CS160" s="883"/>
      <c r="CT160" s="883"/>
      <c r="CU160" s="883"/>
      <c r="CV160" s="863"/>
      <c r="CW160" s="863"/>
      <c r="CX160" s="863"/>
      <c r="CY160" s="863"/>
      <c r="CZ160" s="863"/>
      <c r="DA160" s="863"/>
      <c r="DB160" s="863"/>
      <c r="DC160" s="863"/>
      <c r="DD160" s="863"/>
      <c r="DE160" s="863"/>
    </row>
    <row r="161">
      <c r="A161" s="876"/>
      <c r="B161" s="876"/>
      <c r="C161" s="876"/>
      <c r="D161" s="876"/>
      <c r="E161" s="876"/>
      <c r="F161" s="876"/>
      <c r="G161" s="876"/>
      <c r="H161" s="876"/>
      <c r="I161" s="876"/>
      <c r="J161" s="876"/>
      <c r="K161" s="876"/>
      <c r="L161" s="876"/>
      <c r="M161" s="876"/>
      <c r="N161" s="877"/>
      <c r="O161" s="876"/>
      <c r="P161" s="876"/>
      <c r="Q161" s="876"/>
      <c r="R161" s="876"/>
      <c r="S161" s="876"/>
      <c r="T161" s="876"/>
      <c r="U161" s="876"/>
      <c r="V161" s="876"/>
      <c r="W161" s="876"/>
      <c r="X161" s="876"/>
      <c r="Y161" s="876"/>
      <c r="Z161" s="876"/>
      <c r="AA161" s="876"/>
      <c r="AB161" s="876"/>
      <c r="AC161" s="876"/>
      <c r="AD161" s="876"/>
      <c r="AE161" s="876"/>
      <c r="AF161" s="876"/>
      <c r="AG161" s="876"/>
      <c r="AH161" s="876"/>
      <c r="AI161" s="878"/>
      <c r="AJ161" s="888" t="str">
        <f>IFERROR(__xludf.DUMMYFUNCTION("""COMPUTED_VALUE"""),"Efficacy and Safety of a Single Dose versus a Multiple Dose Regimen of Mebendazole against Hookworm Infections in Children: A Randomised, Double-blind Trial")</f>
        <v>Efficacy and Safety of a Single Dose versus a Multiple Dose Regimen of Mebendazole against Hookworm Infections in Children: A Randomised, Double-blind Trial</v>
      </c>
      <c r="AK161" s="880" t="str">
        <f>IFERROR(__xludf.DUMMYFUNCTION("""COMPUTED_VALUE"""),"Palmeirim MS, Ame SM, Ali SM, Hattendorf J, Keiser J. Efficacy and Safety of a Single Dose versus a Multiple Dose Regimen of Mebendazole against Hookworm Infections in Children: A Randomised, Double-blind Trial. EClinicalMedicine. 2018 Jul 11;1:7-13. doi:"&amp;" 10.1016/j.eclinm.2018.06.004. PMID: 31193620; PMCID: PMC6537524.")</f>
        <v>Palmeirim MS, Ame SM, Ali SM, Hattendorf J, Keiser J. Efficacy and Safety of a Single Dose versus a Multiple Dose Regimen of Mebendazole against Hookworm Infections in Children: A Randomised, Double-blind Trial. EClinicalMedicine. 2018 Jul 11;1:7-13. doi: 10.1016/j.eclinm.2018.06.004. PMID: 31193620; PMCID: PMC6537524.</v>
      </c>
      <c r="AL161" s="880" t="str">
        <f>IFERROR(__xludf.DUMMYFUNCTION("""COMPUTED_VALUE"""),"Tanzania")</f>
        <v>Tanzania</v>
      </c>
      <c r="AM161" s="880" t="str">
        <f>IFERROR(__xludf.DUMMYFUNCTION("""COMPUTED_VALUE"""),"Mebendazole")</f>
        <v>Mebendazole</v>
      </c>
      <c r="AN161" s="880" t="str">
        <f>IFERROR(__xludf.DUMMYFUNCTION("""COMPUTED_VALUE"""),"Single")</f>
        <v>Single</v>
      </c>
      <c r="AO161" s="880" t="str">
        <f>IFERROR(__xludf.DUMMYFUNCTION("""COMPUTED_VALUE"""),"500 mg")</f>
        <v>500 mg</v>
      </c>
      <c r="AP161" s="880">
        <f>IFERROR(__xludf.DUMMYFUNCTION("""COMPUTED_VALUE"""),93.0)</f>
        <v>93</v>
      </c>
      <c r="AQ161" s="880">
        <f>IFERROR(__xludf.DUMMYFUNCTION("""COMPUTED_VALUE"""),10.1)</f>
        <v>10.1</v>
      </c>
      <c r="AR161" s="880" t="str">
        <f>IFERROR(__xludf.DUMMYFUNCTION("""COMPUTED_VALUE"""),"54M:39F")</f>
        <v>54M:39F</v>
      </c>
      <c r="AS161" s="880">
        <f>IFERROR(__xludf.DUMMYFUNCTION("""COMPUTED_VALUE"""),2017.0)</f>
        <v>2017</v>
      </c>
      <c r="AT161" s="880" t="str">
        <f>IFERROR(__xludf.DUMMYFUNCTION("""COMPUTED_VALUE"""),"Consenting school-aged children (6-12 yrs) were eligible if they had provided two stool samples, were positive for hookworm eggs in the stool (≥ 100 eggs per gram [EPG] or at least two Kato-Katz thick smears slides with more than one hookworm egg).")</f>
        <v>Consenting school-aged children (6-12 yrs) were eligible if they had provided two stool samples, were positive for hookworm eggs in the stool (≥ 100 eggs per gram [EPG] or at least two Kato-Katz thick smears slides with more than one hookworm egg).</v>
      </c>
      <c r="AU161" s="880" t="str">
        <f>IFERROR(__xludf.DUMMYFUNCTION("""COMPUTED_VALUE"""),"Yes")</f>
        <v>Yes</v>
      </c>
      <c r="AV161" s="880" t="str">
        <f>IFERROR(__xludf.DUMMYFUNCTION("""COMPUTED_VALUE"""),"Yes")</f>
        <v>Yes</v>
      </c>
      <c r="AW161" s="881" t="str">
        <f>IFERROR(__xludf.DUMMYFUNCTION("""COMPUTED_VALUE"""),"Double blind")</f>
        <v>Double blind</v>
      </c>
      <c r="AX161" s="863">
        <f>IFERROR(__xludf.DUMMYFUNCTION("""COMPUTED_VALUE"""),0.068)</f>
        <v>0.068</v>
      </c>
      <c r="AY161" s="863"/>
      <c r="AZ161" s="863"/>
      <c r="BA161" s="863"/>
      <c r="BB161" s="863"/>
      <c r="BC161" s="863"/>
      <c r="BD161" s="863"/>
      <c r="BE161" s="863"/>
      <c r="BF161" s="863"/>
      <c r="BG161" s="863"/>
      <c r="BH161" s="863">
        <f>IFERROR(__xludf.DUMMYFUNCTION("""COMPUTED_VALUE"""),0.981)</f>
        <v>0.981</v>
      </c>
      <c r="BI161" s="863"/>
      <c r="BJ161" s="863"/>
      <c r="BK161" s="863"/>
      <c r="BL161" s="863"/>
      <c r="BM161" s="863"/>
      <c r="BN161" s="863" t="str">
        <f>IFERROR(__xludf.DUMMYFUNCTION("""COMPUTED_VALUE"""),"In conclusion, our study has shown that the multiple dose regimen of mebendazole is unarguably more effective against hookworm and concomitant T. trichiura infections.")</f>
        <v>In conclusion, our study has shown that the multiple dose regimen of mebendazole is unarguably more effective against hookworm and concomitant T. trichiura infections.</v>
      </c>
      <c r="BO161" s="863" t="str">
        <f>IFERROR(__xludf.DUMMYFUNCTION("""COMPUTED_VALUE"""),"Kato-Katz technique")</f>
        <v>Kato-Katz technique</v>
      </c>
      <c r="BP161" s="880"/>
      <c r="BQ161" s="863"/>
      <c r="BR161" s="889" t="str">
        <f>IFERROR(__xludf.DUMMYFUNCTION("""COMPUTED_VALUE"""),"Soukhathammavong et al.")</f>
        <v>Soukhathammavong et al.</v>
      </c>
      <c r="BS161" s="883" t="str">
        <f>IFERROR(__xludf.DUMMYFUNCTION("""COMPUTED_VALUE"""),"Laos")</f>
        <v>Laos</v>
      </c>
      <c r="BT161" s="883" t="str">
        <f>IFERROR(__xludf.DUMMYFUNCTION("""COMPUTED_VALUE"""),"Albendazole")</f>
        <v>Albendazole</v>
      </c>
      <c r="BU161" s="883"/>
      <c r="BV161" s="883" t="str">
        <f>IFERROR(__xludf.DUMMYFUNCTION("""COMPUTED_VALUE"""),"Single")</f>
        <v>Single</v>
      </c>
      <c r="BW161" s="883" t="str">
        <f>IFERROR(__xludf.DUMMYFUNCTION("""COMPUTED_VALUE"""),"400 mg")</f>
        <v>400 mg</v>
      </c>
      <c r="BX161" s="883" t="str">
        <f>IFERROR(__xludf.DUMMYFUNCTION("""COMPUTED_VALUE"""),"28/100")</f>
        <v>28/100</v>
      </c>
      <c r="BY161" s="883">
        <f>IFERROR(__xludf.DUMMYFUNCTION("""COMPUTED_VALUE"""),9.0)</f>
        <v>9</v>
      </c>
      <c r="BZ161" s="883">
        <f>IFERROR(__xludf.DUMMYFUNCTION("""COMPUTED_VALUE"""),2009.0)</f>
        <v>2009</v>
      </c>
      <c r="CA161" s="883" t="str">
        <f>IFERROR(__xludf.DUMMYFUNCTION("""COMPUTED_VALUE"""),"Male:56 Female:33")</f>
        <v>Male:56 Female:33</v>
      </c>
      <c r="CB161" s="883" t="str">
        <f>IFERROR(__xludf.DUMMYFUNCTION("""COMPUTED_VALUE"""),"Children were excluded if they had fever, or showed signs of severe malnutrion. Also the presence of any abnormal medical condition such as cardiac, vascular, pulmonary, gastrointestinal, endocrine, neurologic, hematologic, rheumatologic, psychiatric, or "&amp;"metabolic distrubances, recent history of anthelmintic treatment (albendazole, mebendazole, pyrantel pamoate, levamisole, ivermectin, and praziquental, attending other clinical trials during this study, or reported hypersensitivity to albendazole or meben"&amp;"dazole")</f>
        <v>Children were excluded if they had fever, or showed signs of severe malnutrion. Also the presence of any abnormal medical condition such as cardiac, vascular, pulmonary, gastrointestinal, endocrine, neurologic, hematologic, rheumatologic, psychiatric, or metabolic distrubances, recent history of anthelmintic treatment (albendazole, mebendazole, pyrantel pamoate, levamisole, ivermectin, and praziquental, attending other clinical trials during this study, or reported hypersensitivity to albendazole or mebendazole</v>
      </c>
      <c r="CC161" s="883" t="str">
        <f>IFERROR(__xludf.DUMMYFUNCTION("""COMPUTED_VALUE"""),"Yes")</f>
        <v>Yes</v>
      </c>
      <c r="CD161" s="884">
        <f>IFERROR(__xludf.DUMMYFUNCTION("""COMPUTED_VALUE"""),0.929)</f>
        <v>0.929</v>
      </c>
      <c r="CE161" s="883" t="str">
        <f>IFERROR(__xludf.DUMMYFUNCTION("""COMPUTED_VALUE"""),"Yes")</f>
        <v>Yes</v>
      </c>
      <c r="CF161" s="883"/>
      <c r="CG161" s="883" t="str">
        <f>IFERROR(__xludf.DUMMYFUNCTION("""COMPUTED_VALUE"""),"92.9% (Day 21–23)")</f>
        <v>92.9% (Day 21–23)</v>
      </c>
      <c r="CH161" s="883"/>
      <c r="CI161" s="883"/>
      <c r="CJ161" s="883"/>
      <c r="CK161" s="883"/>
      <c r="CL161" s="883"/>
      <c r="CM161" s="884">
        <f>IFERROR(__xludf.DUMMYFUNCTION("""COMPUTED_VALUE"""),1.0)</f>
        <v>1</v>
      </c>
      <c r="CN161" s="883"/>
      <c r="CO161" s="883"/>
      <c r="CP161" s="883"/>
      <c r="CQ161" s="883"/>
      <c r="CR161" s="883"/>
      <c r="CS161" s="883"/>
      <c r="CT161" s="883" t="str">
        <f>IFERROR(__xludf.DUMMYFUNCTION("""COMPUTED_VALUE"""),"Kato-Katz Method")</f>
        <v>Kato-Katz Method</v>
      </c>
      <c r="CU161" s="883"/>
      <c r="CV161" s="863"/>
      <c r="CW161" s="863"/>
      <c r="CX161" s="863"/>
      <c r="CY161" s="863"/>
      <c r="CZ161" s="863"/>
      <c r="DA161" s="863"/>
      <c r="DB161" s="863"/>
      <c r="DC161" s="863"/>
      <c r="DD161" s="863"/>
      <c r="DE161" s="863"/>
    </row>
    <row r="162">
      <c r="A162" s="876"/>
      <c r="B162" s="876"/>
      <c r="C162" s="876"/>
      <c r="D162" s="876"/>
      <c r="E162" s="876"/>
      <c r="F162" s="876"/>
      <c r="G162" s="876"/>
      <c r="H162" s="876"/>
      <c r="I162" s="876"/>
      <c r="J162" s="876"/>
      <c r="K162" s="876"/>
      <c r="L162" s="876"/>
      <c r="M162" s="876"/>
      <c r="N162" s="877"/>
      <c r="O162" s="876"/>
      <c r="P162" s="876"/>
      <c r="Q162" s="876"/>
      <c r="R162" s="876"/>
      <c r="S162" s="876"/>
      <c r="T162" s="876"/>
      <c r="U162" s="876"/>
      <c r="V162" s="876"/>
      <c r="W162" s="876"/>
      <c r="X162" s="876"/>
      <c r="Y162" s="876"/>
      <c r="Z162" s="876"/>
      <c r="AA162" s="876"/>
      <c r="AB162" s="876"/>
      <c r="AC162" s="876"/>
      <c r="AD162" s="876"/>
      <c r="AE162" s="876"/>
      <c r="AF162" s="876"/>
      <c r="AG162" s="876"/>
      <c r="AH162" s="876"/>
      <c r="AI162" s="878"/>
      <c r="AJ162" s="888" t="str">
        <f>IFERROR(__xludf.DUMMYFUNCTION("""COMPUTED_VALUE"""),"Efficacy and Safety of a Single Dose versus a Multiple Dose Regimen of Mebendazole against Hookworm Infections in Children: A Randomised, Double-blind Trial")</f>
        <v>Efficacy and Safety of a Single Dose versus a Multiple Dose Regimen of Mebendazole against Hookworm Infections in Children: A Randomised, Double-blind Trial</v>
      </c>
      <c r="AK162" s="880" t="str">
        <f>IFERROR(__xludf.DUMMYFUNCTION("""COMPUTED_VALUE"""),"Palmeirim MS, Ame SM, Ali SM, Hattendorf J, Keiser J. Efficacy and Safety of a Single Dose versus a Multiple Dose Regimen of Mebendazole against Hookworm Infections in Children: A Randomised, Double-blind Trial. EClinicalMedicine. 2018 Jul 11;1:7-13. doi:"&amp;" 10.1016/j.eclinm.2018.06.004. PMID: 31193620; PMCID: PMC6537524.")</f>
        <v>Palmeirim MS, Ame SM, Ali SM, Hattendorf J, Keiser J. Efficacy and Safety of a Single Dose versus a Multiple Dose Regimen of Mebendazole against Hookworm Infections in Children: A Randomised, Double-blind Trial. EClinicalMedicine. 2018 Jul 11;1:7-13. doi: 10.1016/j.eclinm.2018.06.004. PMID: 31193620; PMCID: PMC6537524.</v>
      </c>
      <c r="AL162" s="880" t="str">
        <f>IFERROR(__xludf.DUMMYFUNCTION("""COMPUTED_VALUE"""),"Tanzania")</f>
        <v>Tanzania</v>
      </c>
      <c r="AM162" s="880" t="str">
        <f>IFERROR(__xludf.DUMMYFUNCTION("""COMPUTED_VALUE"""),"Mebendazole")</f>
        <v>Mebendazole</v>
      </c>
      <c r="AN162" s="880" t="str">
        <f>IFERROR(__xludf.DUMMYFUNCTION("""COMPUTED_VALUE"""),"Multiple Dose: 3")</f>
        <v>Multiple Dose: 3</v>
      </c>
      <c r="AO162" s="880" t="str">
        <f>IFERROR(__xludf.DUMMYFUNCTION("""COMPUTED_VALUE"""),"200 mg (100 mg 2x/day)")</f>
        <v>200 mg (100 mg 2x/day)</v>
      </c>
      <c r="AP162" s="880">
        <f>IFERROR(__xludf.DUMMYFUNCTION("""COMPUTED_VALUE"""),93.0)</f>
        <v>93</v>
      </c>
      <c r="AQ162" s="880">
        <f>IFERROR(__xludf.DUMMYFUNCTION("""COMPUTED_VALUE"""),10.1)</f>
        <v>10.1</v>
      </c>
      <c r="AR162" s="880" t="str">
        <f>IFERROR(__xludf.DUMMYFUNCTION("""COMPUTED_VALUE"""),"47M:46F")</f>
        <v>47M:46F</v>
      </c>
      <c r="AS162" s="880">
        <f>IFERROR(__xludf.DUMMYFUNCTION("""COMPUTED_VALUE"""),2017.0)</f>
        <v>2017</v>
      </c>
      <c r="AT162" s="880" t="str">
        <f>IFERROR(__xludf.DUMMYFUNCTION("""COMPUTED_VALUE"""),"Consenting school-aged children (6-12 yrs) were eligible if they had provided two stool samples, were positive for hookworm eggs in the stool (≥ 100 eggs per gram [EPG] or at least two Kato-Katz thick smears slides with more than one hookworm egg).")</f>
        <v>Consenting school-aged children (6-12 yrs) were eligible if they had provided two stool samples, were positive for hookworm eggs in the stool (≥ 100 eggs per gram [EPG] or at least two Kato-Katz thick smears slides with more than one hookworm egg).</v>
      </c>
      <c r="AU162" s="880" t="str">
        <f>IFERROR(__xludf.DUMMYFUNCTION("""COMPUTED_VALUE"""),"Yes")</f>
        <v>Yes</v>
      </c>
      <c r="AV162" s="880" t="str">
        <f>IFERROR(__xludf.DUMMYFUNCTION("""COMPUTED_VALUE"""),"Yes")</f>
        <v>Yes</v>
      </c>
      <c r="AW162" s="881" t="str">
        <f>IFERROR(__xludf.DUMMYFUNCTION("""COMPUTED_VALUE"""),"Double blind")</f>
        <v>Double blind</v>
      </c>
      <c r="AX162" s="863">
        <f>IFERROR(__xludf.DUMMYFUNCTION("""COMPUTED_VALUE"""),0.429)</f>
        <v>0.429</v>
      </c>
      <c r="AY162" s="863"/>
      <c r="AZ162" s="863"/>
      <c r="BA162" s="863"/>
      <c r="BB162" s="863"/>
      <c r="BC162" s="863"/>
      <c r="BD162" s="863"/>
      <c r="BE162" s="863"/>
      <c r="BF162" s="863"/>
      <c r="BG162" s="863"/>
      <c r="BH162" s="863">
        <f>IFERROR(__xludf.DUMMYFUNCTION("""COMPUTED_VALUE"""),0.943)</f>
        <v>0.943</v>
      </c>
      <c r="BI162" s="863"/>
      <c r="BJ162" s="863"/>
      <c r="BK162" s="863"/>
      <c r="BL162" s="863"/>
      <c r="BM162" s="863"/>
      <c r="BN162" s="863" t="str">
        <f>IFERROR(__xludf.DUMMYFUNCTION("""COMPUTED_VALUE"""),"In conclusion, our study has shown that the multiple dose regimen of mebendazole is unarguably more effective against hookworm and concomitant T. trichiura infections.")</f>
        <v>In conclusion, our study has shown that the multiple dose regimen of mebendazole is unarguably more effective against hookworm and concomitant T. trichiura infections.</v>
      </c>
      <c r="BO162" s="863" t="str">
        <f>IFERROR(__xludf.DUMMYFUNCTION("""COMPUTED_VALUE"""),"Kato-Katz technique")</f>
        <v>Kato-Katz technique</v>
      </c>
      <c r="BP162" s="880"/>
      <c r="BQ162" s="863"/>
      <c r="BR162" s="889" t="str">
        <f>IFERROR(__xludf.DUMMYFUNCTION("""COMPUTED_VALUE"""),"Soukhathammavong et al.")</f>
        <v>Soukhathammavong et al.</v>
      </c>
      <c r="BS162" s="883" t="str">
        <f>IFERROR(__xludf.DUMMYFUNCTION("""COMPUTED_VALUE"""),"Laos")</f>
        <v>Laos</v>
      </c>
      <c r="BT162" s="883" t="str">
        <f>IFERROR(__xludf.DUMMYFUNCTION("""COMPUTED_VALUE"""),"Mebendazole")</f>
        <v>Mebendazole</v>
      </c>
      <c r="BU162" s="883"/>
      <c r="BV162" s="883" t="str">
        <f>IFERROR(__xludf.DUMMYFUNCTION("""COMPUTED_VALUE"""),"Single")</f>
        <v>Single</v>
      </c>
      <c r="BW162" s="883" t="str">
        <f>IFERROR(__xludf.DUMMYFUNCTION("""COMPUTED_VALUE"""),"500 mg")</f>
        <v>500 mg</v>
      </c>
      <c r="BX162" s="883" t="str">
        <f>IFERROR(__xludf.DUMMYFUNCTION("""COMPUTED_VALUE"""),"30/100")</f>
        <v>30/100</v>
      </c>
      <c r="BY162" s="883">
        <f>IFERROR(__xludf.DUMMYFUNCTION("""COMPUTED_VALUE"""),9.0)</f>
        <v>9</v>
      </c>
      <c r="BZ162" s="883">
        <f>IFERROR(__xludf.DUMMYFUNCTION("""COMPUTED_VALUE"""),2009.0)</f>
        <v>2009</v>
      </c>
      <c r="CA162" s="883" t="str">
        <f>IFERROR(__xludf.DUMMYFUNCTION("""COMPUTED_VALUE"""),"Male:49 Female:33")</f>
        <v>Male:49 Female:33</v>
      </c>
      <c r="CB162" s="883"/>
      <c r="CC162" s="883" t="str">
        <f>IFERROR(__xludf.DUMMYFUNCTION("""COMPUTED_VALUE"""),"Yes")</f>
        <v>Yes</v>
      </c>
      <c r="CD162" s="884">
        <f>IFERROR(__xludf.DUMMYFUNCTION("""COMPUTED_VALUE"""),0.933)</f>
        <v>0.933</v>
      </c>
      <c r="CE162" s="883" t="str">
        <f>IFERROR(__xludf.DUMMYFUNCTION("""COMPUTED_VALUE"""),"Yes")</f>
        <v>Yes</v>
      </c>
      <c r="CF162" s="883"/>
      <c r="CG162" s="883" t="str">
        <f>IFERROR(__xludf.DUMMYFUNCTION("""COMPUTED_VALUE"""),"93.3% (Day 21-23) ")</f>
        <v>93.3% (Day 21-23) </v>
      </c>
      <c r="CH162" s="883"/>
      <c r="CI162" s="883"/>
      <c r="CJ162" s="883"/>
      <c r="CK162" s="883"/>
      <c r="CL162" s="883"/>
      <c r="CM162" s="884">
        <f>IFERROR(__xludf.DUMMYFUNCTION("""COMPUTED_VALUE"""),0.67)</f>
        <v>0.67</v>
      </c>
      <c r="CN162" s="883"/>
      <c r="CO162" s="883"/>
      <c r="CP162" s="883"/>
      <c r="CQ162" s="883"/>
      <c r="CR162" s="883"/>
      <c r="CS162" s="883"/>
      <c r="CT162" s="883"/>
      <c r="CU162" s="883"/>
      <c r="CV162" s="863"/>
      <c r="CW162" s="863"/>
      <c r="CX162" s="863"/>
      <c r="CY162" s="863"/>
      <c r="CZ162" s="863"/>
      <c r="DA162" s="863"/>
      <c r="DB162" s="863"/>
      <c r="DC162" s="863"/>
      <c r="DD162" s="863"/>
      <c r="DE162" s="863"/>
    </row>
    <row r="163">
      <c r="A163" s="876"/>
      <c r="B163" s="876"/>
      <c r="C163" s="876"/>
      <c r="D163" s="876"/>
      <c r="E163" s="876"/>
      <c r="F163" s="876"/>
      <c r="G163" s="876"/>
      <c r="H163" s="876"/>
      <c r="I163" s="876"/>
      <c r="J163" s="876"/>
      <c r="K163" s="876"/>
      <c r="L163" s="876"/>
      <c r="M163" s="876"/>
      <c r="N163" s="877"/>
      <c r="O163" s="876"/>
      <c r="P163" s="876"/>
      <c r="Q163" s="876"/>
      <c r="R163" s="876"/>
      <c r="S163" s="876"/>
      <c r="T163" s="876"/>
      <c r="U163" s="876"/>
      <c r="V163" s="876"/>
      <c r="W163" s="876"/>
      <c r="X163" s="876"/>
      <c r="Y163" s="876"/>
      <c r="Z163" s="876"/>
      <c r="AA163" s="876"/>
      <c r="AB163" s="876"/>
      <c r="AC163" s="876"/>
      <c r="AD163" s="876"/>
      <c r="AE163" s="876"/>
      <c r="AF163" s="876"/>
      <c r="AG163" s="876"/>
      <c r="AH163" s="876"/>
      <c r="AI163" s="878"/>
      <c r="AJ163" s="888" t="str">
        <f>IFERROR(__xludf.DUMMYFUNCTION("""COMPUTED_VALUE"""),"Efficacy and Safety of Ascending Dosages of Moxidectin and Moxidectin-albendazole Against Trichuris trichiura in Adolescents: A Randomized Controlled Trial")</f>
        <v>Efficacy and Safety of Ascending Dosages of Moxidectin and Moxidectin-albendazole Against Trichuris trichiura in Adolescents: A Randomized Controlled Trial</v>
      </c>
      <c r="AK163" s="880" t="str">
        <f>IFERROR(__xludf.DUMMYFUNCTION("""COMPUTED_VALUE"""),"Keller L, Palmeirim MS, Ame SM, Ali SM, Puchkov M, Huwyler J, Hattendorf J, Keiser J. Efficacy and Safety of Ascending Dosages of Moxidectin and Moxidectin-albendazole Against Trichuris trichiura in Adolescents: A Randomized Controlled Trial. Clin Infect "&amp;"Dis. 2020 Mar 3;70(6):1193-1201. doi: 10.1093/cid/ciz326. PMID: 31044235.")</f>
        <v>Keller L, Palmeirim MS, Ame SM, Ali SM, Puchkov M, Huwyler J, Hattendorf J, Keiser J. Efficacy and Safety of Ascending Dosages of Moxidectin and Moxidectin-albendazole Against Trichuris trichiura in Adolescents: A Randomized Controlled Trial. Clin Infect Dis. 2020 Mar 3;70(6):1193-1201. doi: 10.1093/cid/ciz326. PMID: 31044235.</v>
      </c>
      <c r="AL163" s="880" t="str">
        <f>IFERROR(__xludf.DUMMYFUNCTION("""COMPUTED_VALUE"""),"Tanzania")</f>
        <v>Tanzania</v>
      </c>
      <c r="AM163" s="880" t="str">
        <f>IFERROR(__xludf.DUMMYFUNCTION("""COMPUTED_VALUE"""),"Moxidectin")</f>
        <v>Moxidectin</v>
      </c>
      <c r="AN163" s="880" t="str">
        <f>IFERROR(__xludf.DUMMYFUNCTION("""COMPUTED_VALUE"""),"Single")</f>
        <v>Single</v>
      </c>
      <c r="AO163" s="880" t="str">
        <f>IFERROR(__xludf.DUMMYFUNCTION("""COMPUTED_VALUE"""),"8 mg")</f>
        <v>8 mg</v>
      </c>
      <c r="AP163" s="880">
        <f>IFERROR(__xludf.DUMMYFUNCTION("""COMPUTED_VALUE"""),42.0)</f>
        <v>42</v>
      </c>
      <c r="AQ163" s="880">
        <f>IFERROR(__xludf.DUMMYFUNCTION("""COMPUTED_VALUE"""),16.7)</f>
        <v>16.7</v>
      </c>
      <c r="AR163" s="880" t="str">
        <f>IFERROR(__xludf.DUMMYFUNCTION("""COMPUTED_VALUE"""),"26M:16F")</f>
        <v>26M:16F</v>
      </c>
      <c r="AS163" s="880">
        <f>IFERROR(__xludf.DUMMYFUNCTION("""COMPUTED_VALUE"""),2018.0)</f>
        <v>2018</v>
      </c>
      <c r="AT163" s="880" t="str">
        <f>IFERROR(__xludf.DUMMYFUNCTION("""COMPUTED_VALUE"""),"Adolescents (16–18  years old) were eligible if they provided 2 stool samples and were positive for T. trichiura.")</f>
        <v>Adolescents (16–18  years old) were eligible if they provided 2 stool samples and were positive for T. trichiura.</v>
      </c>
      <c r="AU163" s="880" t="str">
        <f>IFERROR(__xludf.DUMMYFUNCTION("""COMPUTED_VALUE"""),"Yes")</f>
        <v>Yes</v>
      </c>
      <c r="AV163" s="880" t="str">
        <f>IFERROR(__xludf.DUMMYFUNCTION("""COMPUTED_VALUE"""),"Yes")</f>
        <v>Yes</v>
      </c>
      <c r="AW163" s="881" t="str">
        <f>IFERROR(__xludf.DUMMYFUNCTION("""COMPUTED_VALUE"""),"Single-blind")</f>
        <v>Single-blind</v>
      </c>
      <c r="AX163" s="863">
        <f>IFERROR(__xludf.DUMMYFUNCTION("""COMPUTED_VALUE"""),0.463)</f>
        <v>0.463</v>
      </c>
      <c r="AY163" s="863"/>
      <c r="AZ163" s="863"/>
      <c r="BA163" s="863"/>
      <c r="BB163" s="863"/>
      <c r="BC163" s="863"/>
      <c r="BD163" s="863"/>
      <c r="BE163" s="863"/>
      <c r="BF163" s="863"/>
      <c r="BG163" s="863"/>
      <c r="BH163" s="863">
        <f>IFERROR(__xludf.DUMMYFUNCTION("""COMPUTED_VALUE"""),0.95)</f>
        <v>0.95</v>
      </c>
      <c r="BI163" s="863"/>
      <c r="BJ163" s="863"/>
      <c r="BK163" s="863"/>
      <c r="BL163" s="863"/>
      <c r="BM163" s="863"/>
      <c r="BN163" s="863" t="str">
        <f>IFERROR(__xludf.DUMMYFUNCTION("""COMPUTED_VALUE"""),"Moxidectin-albendazole is superior to moxidectin. There is no benefit of using doses above 8 mg, which is the recommended dose for onchocerciasis. The moxidectin-albendazole combination of 8 mg plus 400 mg should be investigated further to develop recomme"&amp;"ndations for appropriate control of STH infections.")</f>
        <v>Moxidectin-albendazole is superior to moxidectin. There is no benefit of using doses above 8 mg, which is the recommended dose for onchocerciasis. The moxidectin-albendazole combination of 8 mg plus 400 mg should be investigated further to develop recommendations for appropriate control of STH infections.</v>
      </c>
      <c r="BO163" s="863" t="str">
        <f>IFERROR(__xludf.DUMMYFUNCTION("""COMPUTED_VALUE"""),"Kato-Katz technique")</f>
        <v>Kato-Katz technique</v>
      </c>
      <c r="BP163" s="880"/>
      <c r="BQ163" s="863"/>
      <c r="BR163" s="889" t="str">
        <f>IFERROR(__xludf.DUMMYFUNCTION("""COMPUTED_VALUE"""),"Lyu et al.")</f>
        <v>Lyu et al.</v>
      </c>
      <c r="BS163" s="883" t="str">
        <f>IFERROR(__xludf.DUMMYFUNCTION("""COMPUTED_VALUE"""),"North Korea")</f>
        <v>North Korea</v>
      </c>
      <c r="BT163" s="883" t="str">
        <f>IFERROR(__xludf.DUMMYFUNCTION("""COMPUTED_VALUE"""),"Pyrantel Embonate")</f>
        <v>Pyrantel Embonate</v>
      </c>
      <c r="BU163" s="883"/>
      <c r="BV163" s="883" t="str">
        <f>IFERROR(__xludf.DUMMYFUNCTION("""COMPUTED_VALUE"""),"Single")</f>
        <v>Single</v>
      </c>
      <c r="BW163" s="883" t="str">
        <f>IFERROR(__xludf.DUMMYFUNCTION("""COMPUTED_VALUE"""),"10 mg")</f>
        <v>10 mg</v>
      </c>
      <c r="BX163" s="883">
        <f>IFERROR(__xludf.DUMMYFUNCTION("""COMPUTED_VALUE"""),39.0)</f>
        <v>39</v>
      </c>
      <c r="BY163" s="883" t="str">
        <f>IFERROR(__xludf.DUMMYFUNCTION("""COMPUTED_VALUE"""),"1-81")</f>
        <v>1-81</v>
      </c>
      <c r="BZ163" s="883">
        <f>IFERROR(__xludf.DUMMYFUNCTION("""COMPUTED_VALUE"""),1975.0)</f>
        <v>1975</v>
      </c>
      <c r="CA163" s="883"/>
      <c r="CB163" s="883"/>
      <c r="CC163" s="883" t="str">
        <f>IFERROR(__xludf.DUMMYFUNCTION("""COMPUTED_VALUE"""),"Yes")</f>
        <v>Yes</v>
      </c>
      <c r="CD163" s="884">
        <f>IFERROR(__xludf.DUMMYFUNCTION("""COMPUTED_VALUE"""),1.0)</f>
        <v>1</v>
      </c>
      <c r="CE163" s="883" t="str">
        <f>IFERROR(__xludf.DUMMYFUNCTION("""COMPUTED_VALUE"""),"Yes")</f>
        <v>Yes</v>
      </c>
      <c r="CF163" s="883"/>
      <c r="CG163" s="883"/>
      <c r="CH163" s="884">
        <f>IFERROR(__xludf.DUMMYFUNCTION("""COMPUTED_VALUE"""),1.0)</f>
        <v>1</v>
      </c>
      <c r="CI163" s="883"/>
      <c r="CJ163" s="883"/>
      <c r="CK163" s="883"/>
      <c r="CL163" s="883"/>
      <c r="CM163" s="884">
        <f>IFERROR(__xludf.DUMMYFUNCTION("""COMPUTED_VALUE"""),1.0)</f>
        <v>1</v>
      </c>
      <c r="CN163" s="883"/>
      <c r="CO163" s="883"/>
      <c r="CP163" s="883"/>
      <c r="CQ163" s="883"/>
      <c r="CR163" s="883"/>
      <c r="CS163" s="883"/>
      <c r="CT163" s="883"/>
      <c r="CU163" s="883"/>
      <c r="CV163" s="863"/>
      <c r="CW163" s="863"/>
      <c r="CX163" s="863"/>
      <c r="CY163" s="863"/>
      <c r="CZ163" s="863"/>
      <c r="DA163" s="863"/>
      <c r="DB163" s="863"/>
      <c r="DC163" s="863"/>
      <c r="DD163" s="863"/>
      <c r="DE163" s="863"/>
    </row>
    <row r="164">
      <c r="A164" s="876"/>
      <c r="B164" s="876"/>
      <c r="C164" s="876"/>
      <c r="D164" s="876"/>
      <c r="E164" s="876"/>
      <c r="F164" s="876"/>
      <c r="G164" s="876"/>
      <c r="H164" s="876"/>
      <c r="I164" s="876"/>
      <c r="J164" s="876"/>
      <c r="K164" s="876"/>
      <c r="L164" s="876"/>
      <c r="M164" s="876"/>
      <c r="N164" s="877"/>
      <c r="O164" s="876"/>
      <c r="P164" s="876"/>
      <c r="Q164" s="876"/>
      <c r="R164" s="876"/>
      <c r="S164" s="876"/>
      <c r="T164" s="876"/>
      <c r="U164" s="876"/>
      <c r="V164" s="876"/>
      <c r="W164" s="876"/>
      <c r="X164" s="876"/>
      <c r="Y164" s="876"/>
      <c r="Z164" s="876"/>
      <c r="AA164" s="876"/>
      <c r="AB164" s="876"/>
      <c r="AC164" s="876"/>
      <c r="AD164" s="876"/>
      <c r="AE164" s="876"/>
      <c r="AF164" s="876"/>
      <c r="AG164" s="876"/>
      <c r="AH164" s="876"/>
      <c r="AI164" s="878"/>
      <c r="AJ164" s="888" t="str">
        <f>IFERROR(__xludf.DUMMYFUNCTION("""COMPUTED_VALUE"""),"Efficacy and Safety of Ascending Dosages of Moxidectin and Moxidectin-albendazole Against Trichuris trichiura in Adolescents: A Randomized Controlled Trial")</f>
        <v>Efficacy and Safety of Ascending Dosages of Moxidectin and Moxidectin-albendazole Against Trichuris trichiura in Adolescents: A Randomized Controlled Trial</v>
      </c>
      <c r="AK164" s="880" t="str">
        <f>IFERROR(__xludf.DUMMYFUNCTION("""COMPUTED_VALUE"""),"Keller L, Palmeirim MS, Ame SM, Ali SM, Puchkov M, Huwyler J, Hattendorf J, Keiser J. Efficacy and Safety of Ascending Dosages of Moxidectin and Moxidectin-albendazole Against Trichuris trichiura in Adolescents: A Randomized Controlled Trial. Clin Infect "&amp;"Dis. 2020 Mar 3;70(6):1193-1201. doi: 10.1093/cid/ciz326. PMID: 31044235.")</f>
        <v>Keller L, Palmeirim MS, Ame SM, Ali SM, Puchkov M, Huwyler J, Hattendorf J, Keiser J. Efficacy and Safety of Ascending Dosages of Moxidectin and Moxidectin-albendazole Against Trichuris trichiura in Adolescents: A Randomized Controlled Trial. Clin Infect Dis. 2020 Mar 3;70(6):1193-1201. doi: 10.1093/cid/ciz326. PMID: 31044235.</v>
      </c>
      <c r="AL164" s="880" t="str">
        <f>IFERROR(__xludf.DUMMYFUNCTION("""COMPUTED_VALUE"""),"Tanzania")</f>
        <v>Tanzania</v>
      </c>
      <c r="AM164" s="880" t="str">
        <f>IFERROR(__xludf.DUMMYFUNCTION("""COMPUTED_VALUE"""),"Moxidectin")</f>
        <v>Moxidectin</v>
      </c>
      <c r="AN164" s="880" t="str">
        <f>IFERROR(__xludf.DUMMYFUNCTION("""COMPUTED_VALUE"""),"Single")</f>
        <v>Single</v>
      </c>
      <c r="AO164" s="880" t="str">
        <f>IFERROR(__xludf.DUMMYFUNCTION("""COMPUTED_VALUE"""),"16 mg")</f>
        <v>16 mg</v>
      </c>
      <c r="AP164" s="880">
        <f>IFERROR(__xludf.DUMMYFUNCTION("""COMPUTED_VALUE"""),41.0)</f>
        <v>41</v>
      </c>
      <c r="AQ164" s="880">
        <f>IFERROR(__xludf.DUMMYFUNCTION("""COMPUTED_VALUE"""),16.9)</f>
        <v>16.9</v>
      </c>
      <c r="AR164" s="880" t="str">
        <f>IFERROR(__xludf.DUMMYFUNCTION("""COMPUTED_VALUE"""),"29M:12F")</f>
        <v>29M:12F</v>
      </c>
      <c r="AS164" s="880">
        <f>IFERROR(__xludf.DUMMYFUNCTION("""COMPUTED_VALUE"""),2018.0)</f>
        <v>2018</v>
      </c>
      <c r="AT164" s="880" t="str">
        <f>IFERROR(__xludf.DUMMYFUNCTION("""COMPUTED_VALUE"""),"Adolescents (16–18  years old) were eligible if they provided 2 stool samples and were positive for T. trichiura.")</f>
        <v>Adolescents (16–18  years old) were eligible if they provided 2 stool samples and were positive for T. trichiura.</v>
      </c>
      <c r="AU164" s="880" t="str">
        <f>IFERROR(__xludf.DUMMYFUNCTION("""COMPUTED_VALUE"""),"Yes")</f>
        <v>Yes</v>
      </c>
      <c r="AV164" s="880" t="str">
        <f>IFERROR(__xludf.DUMMYFUNCTION("""COMPUTED_VALUE"""),"Yes")</f>
        <v>Yes</v>
      </c>
      <c r="AW164" s="881" t="str">
        <f>IFERROR(__xludf.DUMMYFUNCTION("""COMPUTED_VALUE"""),"Single-blind")</f>
        <v>Single-blind</v>
      </c>
      <c r="AX164" s="863">
        <f>IFERROR(__xludf.DUMMYFUNCTION("""COMPUTED_VALUE"""),0.5)</f>
        <v>0.5</v>
      </c>
      <c r="AY164" s="863"/>
      <c r="AZ164" s="863"/>
      <c r="BA164" s="863"/>
      <c r="BB164" s="863"/>
      <c r="BC164" s="863"/>
      <c r="BD164" s="863"/>
      <c r="BE164" s="863"/>
      <c r="BF164" s="863"/>
      <c r="BG164" s="863"/>
      <c r="BH164" s="863">
        <f>IFERROR(__xludf.DUMMYFUNCTION("""COMPUTED_VALUE"""),0.957)</f>
        <v>0.957</v>
      </c>
      <c r="BI164" s="863"/>
      <c r="BJ164" s="863"/>
      <c r="BK164" s="863"/>
      <c r="BL164" s="863"/>
      <c r="BM164" s="863"/>
      <c r="BN164" s="863" t="str">
        <f>IFERROR(__xludf.DUMMYFUNCTION("""COMPUTED_VALUE"""),"Moxidectin-albendazole is superior to moxidectin. There is no benefit of using doses above 8 mg, which is the recommended dose for onchocerciasis. The moxidectin-albendazole combination of 8 mg plus 400 mg should be investigated further to develop recomme"&amp;"ndations for appropriate control of STH infections.")</f>
        <v>Moxidectin-albendazole is superior to moxidectin. There is no benefit of using doses above 8 mg, which is the recommended dose for onchocerciasis. The moxidectin-albendazole combination of 8 mg plus 400 mg should be investigated further to develop recommendations for appropriate control of STH infections.</v>
      </c>
      <c r="BO164" s="863" t="str">
        <f>IFERROR(__xludf.DUMMYFUNCTION("""COMPUTED_VALUE"""),"Kato-Katz technique")</f>
        <v>Kato-Katz technique</v>
      </c>
      <c r="BP164" s="880"/>
      <c r="BQ164" s="863"/>
      <c r="BR164" s="889" t="str">
        <f>IFERROR(__xludf.DUMMYFUNCTION("""COMPUTED_VALUE"""),"Lyu et al.")</f>
        <v>Lyu et al.</v>
      </c>
      <c r="BS164" s="883" t="str">
        <f>IFERROR(__xludf.DUMMYFUNCTION("""COMPUTED_VALUE"""),"North Korea")</f>
        <v>North Korea</v>
      </c>
      <c r="BT164" s="883" t="str">
        <f>IFERROR(__xludf.DUMMYFUNCTION("""COMPUTED_VALUE"""),"Bephenium")</f>
        <v>Bephenium</v>
      </c>
      <c r="BU164" s="883"/>
      <c r="BV164" s="883" t="str">
        <f>IFERROR(__xludf.DUMMYFUNCTION("""COMPUTED_VALUE"""),"Single")</f>
        <v>Single</v>
      </c>
      <c r="BW164" s="883" t="str">
        <f>IFERROR(__xludf.DUMMYFUNCTION("""COMPUTED_VALUE"""),"2.5 gm")</f>
        <v>2.5 gm</v>
      </c>
      <c r="BX164" s="883">
        <f>IFERROR(__xludf.DUMMYFUNCTION("""COMPUTED_VALUE"""),28.0)</f>
        <v>28</v>
      </c>
      <c r="BY164" s="883" t="str">
        <f>IFERROR(__xludf.DUMMYFUNCTION("""COMPUTED_VALUE"""),"1-81")</f>
        <v>1-81</v>
      </c>
      <c r="BZ164" s="883">
        <f>IFERROR(__xludf.DUMMYFUNCTION("""COMPUTED_VALUE"""),1975.0)</f>
        <v>1975</v>
      </c>
      <c r="CA164" s="883"/>
      <c r="CB164" s="883"/>
      <c r="CC164" s="883" t="str">
        <f>IFERROR(__xludf.DUMMYFUNCTION("""COMPUTED_VALUE"""),"Yes")</f>
        <v>Yes</v>
      </c>
      <c r="CD164" s="884">
        <f>IFERROR(__xludf.DUMMYFUNCTION("""COMPUTED_VALUE"""),0.607)</f>
        <v>0.607</v>
      </c>
      <c r="CE164" s="883" t="str">
        <f>IFERROR(__xludf.DUMMYFUNCTION("""COMPUTED_VALUE"""),"Yes")</f>
        <v>Yes</v>
      </c>
      <c r="CF164" s="883"/>
      <c r="CG164" s="883"/>
      <c r="CH164" s="884">
        <f>IFERROR(__xludf.DUMMYFUNCTION("""COMPUTED_VALUE"""),0.607)</f>
        <v>0.607</v>
      </c>
      <c r="CI164" s="883"/>
      <c r="CJ164" s="883"/>
      <c r="CK164" s="883"/>
      <c r="CL164" s="883"/>
      <c r="CM164" s="884">
        <f>IFERROR(__xludf.DUMMYFUNCTION("""COMPUTED_VALUE"""),0.74)</f>
        <v>0.74</v>
      </c>
      <c r="CN164" s="883"/>
      <c r="CO164" s="883"/>
      <c r="CP164" s="883"/>
      <c r="CQ164" s="883"/>
      <c r="CR164" s="883"/>
      <c r="CS164" s="883"/>
      <c r="CT164" s="883"/>
      <c r="CU164" s="883"/>
      <c r="CV164" s="863"/>
      <c r="CW164" s="863"/>
      <c r="CX164" s="863"/>
      <c r="CY164" s="863"/>
      <c r="CZ164" s="863"/>
      <c r="DA164" s="863"/>
      <c r="DB164" s="863"/>
      <c r="DC164" s="863"/>
      <c r="DD164" s="863"/>
      <c r="DE164" s="863"/>
    </row>
    <row r="165">
      <c r="A165" s="876"/>
      <c r="B165" s="876"/>
      <c r="C165" s="876"/>
      <c r="D165" s="876"/>
      <c r="E165" s="876"/>
      <c r="F165" s="876"/>
      <c r="G165" s="876"/>
      <c r="H165" s="876"/>
      <c r="I165" s="876"/>
      <c r="J165" s="876"/>
      <c r="K165" s="876"/>
      <c r="L165" s="876"/>
      <c r="M165" s="876"/>
      <c r="N165" s="877"/>
      <c r="O165" s="876"/>
      <c r="P165" s="876"/>
      <c r="Q165" s="876"/>
      <c r="R165" s="876"/>
      <c r="S165" s="876"/>
      <c r="T165" s="876"/>
      <c r="U165" s="876"/>
      <c r="V165" s="876"/>
      <c r="W165" s="876"/>
      <c r="X165" s="876"/>
      <c r="Y165" s="876"/>
      <c r="Z165" s="876"/>
      <c r="AA165" s="876"/>
      <c r="AB165" s="876"/>
      <c r="AC165" s="876"/>
      <c r="AD165" s="876"/>
      <c r="AE165" s="876"/>
      <c r="AF165" s="876"/>
      <c r="AG165" s="876"/>
      <c r="AH165" s="876"/>
      <c r="AI165" s="878"/>
      <c r="AJ165" s="888" t="str">
        <f>IFERROR(__xludf.DUMMYFUNCTION("""COMPUTED_VALUE"""),"Efficacy and Safety of Ascending Dosages of Moxidectin and Moxidectin-albendazole Against Trichuris trichiura in Adolescents: A Randomized Controlled Trial")</f>
        <v>Efficacy and Safety of Ascending Dosages of Moxidectin and Moxidectin-albendazole Against Trichuris trichiura in Adolescents: A Randomized Controlled Trial</v>
      </c>
      <c r="AK165" s="880" t="str">
        <f>IFERROR(__xludf.DUMMYFUNCTION("""COMPUTED_VALUE"""),"Keller L, Palmeirim MS, Ame SM, Ali SM, Puchkov M, Huwyler J, Hattendorf J, Keiser J. Efficacy and Safety of Ascending Dosages of Moxidectin and Moxidectin-albendazole Against Trichuris trichiura in Adolescents: A Randomized Controlled Trial. Clin Infect "&amp;"Dis. 2020 Mar 3;70(6):1193-1201. doi: 10.1093/cid/ciz326. PMID: 31044235.")</f>
        <v>Keller L, Palmeirim MS, Ame SM, Ali SM, Puchkov M, Huwyler J, Hattendorf J, Keiser J. Efficacy and Safety of Ascending Dosages of Moxidectin and Moxidectin-albendazole Against Trichuris trichiura in Adolescents: A Randomized Controlled Trial. Clin Infect Dis. 2020 Mar 3;70(6):1193-1201. doi: 10.1093/cid/ciz326. PMID: 31044235.</v>
      </c>
      <c r="AL165" s="880" t="str">
        <f>IFERROR(__xludf.DUMMYFUNCTION("""COMPUTED_VALUE"""),"Tanzania")</f>
        <v>Tanzania</v>
      </c>
      <c r="AM165" s="880" t="str">
        <f>IFERROR(__xludf.DUMMYFUNCTION("""COMPUTED_VALUE"""),"Moxidectin")</f>
        <v>Moxidectin</v>
      </c>
      <c r="AN165" s="880" t="str">
        <f>IFERROR(__xludf.DUMMYFUNCTION("""COMPUTED_VALUE"""),"Single")</f>
        <v>Single</v>
      </c>
      <c r="AO165" s="880" t="str">
        <f>IFERROR(__xludf.DUMMYFUNCTION("""COMPUTED_VALUE"""),"24 mg")</f>
        <v>24 mg</v>
      </c>
      <c r="AP165" s="880">
        <f>IFERROR(__xludf.DUMMYFUNCTION("""COMPUTED_VALUE"""),41.0)</f>
        <v>41</v>
      </c>
      <c r="AQ165" s="880">
        <f>IFERROR(__xludf.DUMMYFUNCTION("""COMPUTED_VALUE"""),16.9)</f>
        <v>16.9</v>
      </c>
      <c r="AR165" s="880" t="str">
        <f>IFERROR(__xludf.DUMMYFUNCTION("""COMPUTED_VALUE"""),"29M:12F")</f>
        <v>29M:12F</v>
      </c>
      <c r="AS165" s="880">
        <f>IFERROR(__xludf.DUMMYFUNCTION("""COMPUTED_VALUE"""),2018.0)</f>
        <v>2018</v>
      </c>
      <c r="AT165" s="880" t="str">
        <f>IFERROR(__xludf.DUMMYFUNCTION("""COMPUTED_VALUE"""),"Adolescents (16–18  years old) were eligible if they provided 2 stool samples and were positive for T. trichiura.")</f>
        <v>Adolescents (16–18  years old) were eligible if they provided 2 stool samples and were positive for T. trichiura.</v>
      </c>
      <c r="AU165" s="880" t="str">
        <f>IFERROR(__xludf.DUMMYFUNCTION("""COMPUTED_VALUE"""),"Yes")</f>
        <v>Yes</v>
      </c>
      <c r="AV165" s="880" t="str">
        <f>IFERROR(__xludf.DUMMYFUNCTION("""COMPUTED_VALUE"""),"Yes")</f>
        <v>Yes</v>
      </c>
      <c r="AW165" s="881" t="str">
        <f>IFERROR(__xludf.DUMMYFUNCTION("""COMPUTED_VALUE"""),"Single-blind")</f>
        <v>Single-blind</v>
      </c>
      <c r="AX165" s="863">
        <f>IFERROR(__xludf.DUMMYFUNCTION("""COMPUTED_VALUE"""),0.439)</f>
        <v>0.439</v>
      </c>
      <c r="AY165" s="863"/>
      <c r="AZ165" s="863"/>
      <c r="BA165" s="863"/>
      <c r="BB165" s="863"/>
      <c r="BC165" s="863"/>
      <c r="BD165" s="863"/>
      <c r="BE165" s="863"/>
      <c r="BF165" s="863"/>
      <c r="BG165" s="863"/>
      <c r="BH165" s="863">
        <f>IFERROR(__xludf.DUMMYFUNCTION("""COMPUTED_VALUE"""),0.974)</f>
        <v>0.974</v>
      </c>
      <c r="BI165" s="863"/>
      <c r="BJ165" s="863"/>
      <c r="BK165" s="863"/>
      <c r="BL165" s="863"/>
      <c r="BM165" s="863"/>
      <c r="BN165" s="863" t="str">
        <f>IFERROR(__xludf.DUMMYFUNCTION("""COMPUTED_VALUE"""),"Moxidectin-albendazole is superior to moxidectin. There is no benefit of using doses above 8 mg, which is the recommended dose for onchocerciasis. The moxidectin-albendazole combination of 8 mg plus 400 mg should be investigated further to develop recomme"&amp;"ndations for appropriate control of STH infections.")</f>
        <v>Moxidectin-albendazole is superior to moxidectin. There is no benefit of using doses above 8 mg, which is the recommended dose for onchocerciasis. The moxidectin-albendazole combination of 8 mg plus 400 mg should be investigated further to develop recommendations for appropriate control of STH infections.</v>
      </c>
      <c r="BO165" s="863" t="str">
        <f>IFERROR(__xludf.DUMMYFUNCTION("""COMPUTED_VALUE"""),"Kato-Katz technique")</f>
        <v>Kato-Katz technique</v>
      </c>
      <c r="BP165" s="880"/>
      <c r="BQ165" s="863"/>
      <c r="BR165" s="889" t="str">
        <f>IFERROR(__xludf.DUMMYFUNCTION("""COMPUTED_VALUE"""),"Vercruysse et al.")</f>
        <v>Vercruysse et al.</v>
      </c>
      <c r="BS165" s="883" t="str">
        <f>IFERROR(__xludf.DUMMYFUNCTION("""COMPUTED_VALUE"""),"Brazil")</f>
        <v>Brazil</v>
      </c>
      <c r="BT165" s="883" t="str">
        <f>IFERROR(__xludf.DUMMYFUNCTION("""COMPUTED_VALUE"""),"Albendazole")</f>
        <v>Albendazole</v>
      </c>
      <c r="BU165" s="883"/>
      <c r="BV165" s="883" t="str">
        <f>IFERROR(__xludf.DUMMYFUNCTION("""COMPUTED_VALUE"""),"Single")</f>
        <v>Single</v>
      </c>
      <c r="BW165" s="883" t="str">
        <f>IFERROR(__xludf.DUMMYFUNCTION("""COMPUTED_VALUE"""),"400 mg")</f>
        <v>400 mg</v>
      </c>
      <c r="BX165" s="883">
        <f>IFERROR(__xludf.DUMMYFUNCTION("""COMPUTED_VALUE"""),50.0)</f>
        <v>50</v>
      </c>
      <c r="BY165" s="890">
        <f>IFERROR(__xludf.DUMMYFUNCTION("""COMPUTED_VALUE"""),42478.0)</f>
        <v>42478</v>
      </c>
      <c r="BZ165" s="883"/>
      <c r="CA165" s="883" t="str">
        <f>IFERROR(__xludf.DUMMYFUNCTION("""COMPUTED_VALUE"""),"Male:462 Female:490")</f>
        <v>Male:462 Female:490</v>
      </c>
      <c r="CB165" s="883"/>
      <c r="CC165" s="883" t="str">
        <f>IFERROR(__xludf.DUMMYFUNCTION("""COMPUTED_VALUE"""),"No")</f>
        <v>No</v>
      </c>
      <c r="CD165" s="884">
        <f>IFERROR(__xludf.DUMMYFUNCTION("""COMPUTED_VALUE"""),0.98)</f>
        <v>0.98</v>
      </c>
      <c r="CE165" s="883" t="str">
        <f>IFERROR(__xludf.DUMMYFUNCTION("""COMPUTED_VALUE"""),"No")</f>
        <v>No</v>
      </c>
      <c r="CF165" s="883"/>
      <c r="CG165" s="883" t="str">
        <f>IFERROR(__xludf.DUMMYFUNCTION("""COMPUTED_VALUE"""),"98% (Day 14-30)")</f>
        <v>98% (Day 14-30)</v>
      </c>
      <c r="CH165" s="883"/>
      <c r="CI165" s="883"/>
      <c r="CJ165" s="883"/>
      <c r="CK165" s="883"/>
      <c r="CL165" s="883"/>
      <c r="CM165" s="891">
        <f>IFERROR(__xludf.DUMMYFUNCTION("""COMPUTED_VALUE"""),1.0)</f>
        <v>1</v>
      </c>
      <c r="CN165" s="883"/>
      <c r="CO165" s="883"/>
      <c r="CP165" s="883"/>
      <c r="CQ165" s="883"/>
      <c r="CR165" s="883"/>
      <c r="CS165" s="883"/>
      <c r="CT165" s="883" t="str">
        <f>IFERROR(__xludf.DUMMYFUNCTION("""COMPUTED_VALUE"""),"McMaster Method")</f>
        <v>McMaster Method</v>
      </c>
      <c r="CU165" s="883"/>
      <c r="CV165" s="863"/>
      <c r="CW165" s="863"/>
      <c r="CX165" s="863"/>
      <c r="CY165" s="863"/>
      <c r="CZ165" s="863"/>
      <c r="DA165" s="863"/>
      <c r="DB165" s="863"/>
      <c r="DC165" s="863"/>
      <c r="DD165" s="863"/>
      <c r="DE165" s="863"/>
    </row>
    <row r="166">
      <c r="A166" s="876"/>
      <c r="B166" s="876"/>
      <c r="C166" s="876"/>
      <c r="D166" s="876"/>
      <c r="E166" s="876"/>
      <c r="F166" s="876"/>
      <c r="G166" s="876"/>
      <c r="H166" s="876"/>
      <c r="I166" s="876"/>
      <c r="J166" s="876"/>
      <c r="K166" s="876"/>
      <c r="L166" s="876"/>
      <c r="M166" s="876"/>
      <c r="N166" s="877"/>
      <c r="O166" s="876"/>
      <c r="P166" s="876"/>
      <c r="Q166" s="876"/>
      <c r="R166" s="876"/>
      <c r="S166" s="876"/>
      <c r="T166" s="876"/>
      <c r="U166" s="876"/>
      <c r="V166" s="876"/>
      <c r="W166" s="876"/>
      <c r="X166" s="876"/>
      <c r="Y166" s="876"/>
      <c r="Z166" s="876"/>
      <c r="AA166" s="876"/>
      <c r="AB166" s="876"/>
      <c r="AC166" s="876"/>
      <c r="AD166" s="876"/>
      <c r="AE166" s="876"/>
      <c r="AF166" s="876"/>
      <c r="AG166" s="876"/>
      <c r="AH166" s="876"/>
      <c r="AI166" s="878"/>
      <c r="AJ166" s="888" t="str">
        <f>IFERROR(__xludf.DUMMYFUNCTION("""COMPUTED_VALUE"""),"Efficacy and Safety of Ascending Dosages of Moxidectin and Moxidectin-albendazole Against Trichuris trichiura in Adolescents: A Randomized Controlled Trial")</f>
        <v>Efficacy and Safety of Ascending Dosages of Moxidectin and Moxidectin-albendazole Against Trichuris trichiura in Adolescents: A Randomized Controlled Trial</v>
      </c>
      <c r="AK166" s="880" t="str">
        <f>IFERROR(__xludf.DUMMYFUNCTION("""COMPUTED_VALUE"""),"Keller L, Palmeirim MS, Ame SM, Ali SM, Puchkov M, Huwyler J, Hattendorf J, Keiser J. Efficacy and Safety of Ascending Dosages of Moxidectin and Moxidectin-albendazole Against Trichuris trichiura in Adolescents: A Randomized Controlled Trial. Clin Infect "&amp;"Dis. 2020 Mar 3;70(6):1193-1201. doi: 10.1093/cid/ciz326. PMID: 31044235.")</f>
        <v>Keller L, Palmeirim MS, Ame SM, Ali SM, Puchkov M, Huwyler J, Hattendorf J, Keiser J. Efficacy and Safety of Ascending Dosages of Moxidectin and Moxidectin-albendazole Against Trichuris trichiura in Adolescents: A Randomized Controlled Trial. Clin Infect Dis. 2020 Mar 3;70(6):1193-1201. doi: 10.1093/cid/ciz326. PMID: 31044235.</v>
      </c>
      <c r="AL166" s="880" t="str">
        <f>IFERROR(__xludf.DUMMYFUNCTION("""COMPUTED_VALUE"""),"Tanzania")</f>
        <v>Tanzania</v>
      </c>
      <c r="AM166" s="880" t="str">
        <f>IFERROR(__xludf.DUMMYFUNCTION("""COMPUTED_VALUE"""),"Moxidectin &amp; Albendazole")</f>
        <v>Moxidectin &amp; Albendazole</v>
      </c>
      <c r="AN166" s="880" t="str">
        <f>IFERROR(__xludf.DUMMYFUNCTION("""COMPUTED_VALUE"""),"Single")</f>
        <v>Single</v>
      </c>
      <c r="AO166" s="880" t="str">
        <f>IFERROR(__xludf.DUMMYFUNCTION("""COMPUTED_VALUE"""),"8 mg; 400 mg")</f>
        <v>8 mg; 400 mg</v>
      </c>
      <c r="AP166" s="880">
        <f>IFERROR(__xludf.DUMMYFUNCTION("""COMPUTED_VALUE"""),42.0)</f>
        <v>42</v>
      </c>
      <c r="AQ166" s="880">
        <f>IFERROR(__xludf.DUMMYFUNCTION("""COMPUTED_VALUE"""),16.8)</f>
        <v>16.8</v>
      </c>
      <c r="AR166" s="880" t="str">
        <f>IFERROR(__xludf.DUMMYFUNCTION("""COMPUTED_VALUE"""),"30M:12F")</f>
        <v>30M:12F</v>
      </c>
      <c r="AS166" s="880">
        <f>IFERROR(__xludf.DUMMYFUNCTION("""COMPUTED_VALUE"""),2018.0)</f>
        <v>2018</v>
      </c>
      <c r="AT166" s="880" t="str">
        <f>IFERROR(__xludf.DUMMYFUNCTION("""COMPUTED_VALUE"""),"Adolescents (16–18  years old) were eligible if they provided 2 stool samples and were positive for T. trichiura.")</f>
        <v>Adolescents (16–18  years old) were eligible if they provided 2 stool samples and were positive for T. trichiura.</v>
      </c>
      <c r="AU166" s="880" t="str">
        <f>IFERROR(__xludf.DUMMYFUNCTION("""COMPUTED_VALUE"""),"Yes")</f>
        <v>Yes</v>
      </c>
      <c r="AV166" s="880" t="str">
        <f>IFERROR(__xludf.DUMMYFUNCTION("""COMPUTED_VALUE"""),"Yes")</f>
        <v>Yes</v>
      </c>
      <c r="AW166" s="881" t="str">
        <f>IFERROR(__xludf.DUMMYFUNCTION("""COMPUTED_VALUE"""),"Single-blind")</f>
        <v>Single-blind</v>
      </c>
      <c r="AX166" s="863">
        <f>IFERROR(__xludf.DUMMYFUNCTION("""COMPUTED_VALUE"""),0.625)</f>
        <v>0.625</v>
      </c>
      <c r="AY166" s="863"/>
      <c r="AZ166" s="863"/>
      <c r="BA166" s="863"/>
      <c r="BB166" s="863"/>
      <c r="BC166" s="863"/>
      <c r="BD166" s="863"/>
      <c r="BE166" s="863"/>
      <c r="BF166" s="863"/>
      <c r="BG166" s="863"/>
      <c r="BH166" s="863">
        <f>IFERROR(__xludf.DUMMYFUNCTION("""COMPUTED_VALUE"""),0.984)</f>
        <v>0.984</v>
      </c>
      <c r="BI166" s="863"/>
      <c r="BJ166" s="863"/>
      <c r="BK166" s="863"/>
      <c r="BL166" s="863"/>
      <c r="BM166" s="863"/>
      <c r="BN166" s="863" t="str">
        <f>IFERROR(__xludf.DUMMYFUNCTION("""COMPUTED_VALUE"""),"Moxidectin-albendazole is superior to moxidectin. There is no benefit of using doses above 8 mg, which is the recommended dose for onchocerciasis. The moxidectin-albendazole combination of 8 mg plus 400 mg should be investigated further to develop recomme"&amp;"ndations for appropriate control of STH infections.")</f>
        <v>Moxidectin-albendazole is superior to moxidectin. There is no benefit of using doses above 8 mg, which is the recommended dose for onchocerciasis. The moxidectin-albendazole combination of 8 mg plus 400 mg should be investigated further to develop recommendations for appropriate control of STH infections.</v>
      </c>
      <c r="BO166" s="863" t="str">
        <f>IFERROR(__xludf.DUMMYFUNCTION("""COMPUTED_VALUE"""),"Kato-Katz technique")</f>
        <v>Kato-Katz technique</v>
      </c>
      <c r="BP166" s="880"/>
      <c r="BQ166" s="863"/>
      <c r="BR166" s="889" t="str">
        <f>IFERROR(__xludf.DUMMYFUNCTION("""COMPUTED_VALUE"""),"Vercruysse et al.")</f>
        <v>Vercruysse et al.</v>
      </c>
      <c r="BS166" s="883" t="str">
        <f>IFERROR(__xludf.DUMMYFUNCTION("""COMPUTED_VALUE"""),"Cambodia")</f>
        <v>Cambodia</v>
      </c>
      <c r="BT166" s="883" t="str">
        <f>IFERROR(__xludf.DUMMYFUNCTION("""COMPUTED_VALUE"""),"Albendazole")</f>
        <v>Albendazole</v>
      </c>
      <c r="BU166" s="883"/>
      <c r="BV166" s="883" t="str">
        <f>IFERROR(__xludf.DUMMYFUNCTION("""COMPUTED_VALUE"""),"Single")</f>
        <v>Single</v>
      </c>
      <c r="BW166" s="883" t="str">
        <f>IFERROR(__xludf.DUMMYFUNCTION("""COMPUTED_VALUE"""),"400 mg")</f>
        <v>400 mg</v>
      </c>
      <c r="BX166" s="883">
        <f>IFERROR(__xludf.DUMMYFUNCTION("""COMPUTED_VALUE"""),5.0)</f>
        <v>5</v>
      </c>
      <c r="BY166" s="890">
        <f>IFERROR(__xludf.DUMMYFUNCTION("""COMPUTED_VALUE"""),42478.0)</f>
        <v>42478</v>
      </c>
      <c r="BZ166" s="883"/>
      <c r="CA166" s="883"/>
      <c r="CB166" s="883"/>
      <c r="CC166" s="883" t="str">
        <f>IFERROR(__xludf.DUMMYFUNCTION("""COMPUTED_VALUE"""),"No")</f>
        <v>No</v>
      </c>
      <c r="CD166" s="884">
        <f>IFERROR(__xludf.DUMMYFUNCTION("""COMPUTED_VALUE"""),1.0)</f>
        <v>1</v>
      </c>
      <c r="CE166" s="883" t="str">
        <f>IFERROR(__xludf.DUMMYFUNCTION("""COMPUTED_VALUE"""),"No")</f>
        <v>No</v>
      </c>
      <c r="CF166" s="883"/>
      <c r="CG166" s="883" t="str">
        <f>IFERROR(__xludf.DUMMYFUNCTION("""COMPUTED_VALUE"""),"100% (Day 14-30)")</f>
        <v>100% (Day 14-30)</v>
      </c>
      <c r="CH166" s="883"/>
      <c r="CI166" s="883"/>
      <c r="CJ166" s="883"/>
      <c r="CK166" s="883"/>
      <c r="CL166" s="883"/>
      <c r="CM166" s="891">
        <f>IFERROR(__xludf.DUMMYFUNCTION("""COMPUTED_VALUE"""),1.0)</f>
        <v>1</v>
      </c>
      <c r="CN166" s="883"/>
      <c r="CO166" s="883"/>
      <c r="CP166" s="883"/>
      <c r="CQ166" s="883"/>
      <c r="CR166" s="883"/>
      <c r="CS166" s="883"/>
      <c r="CT166" s="883"/>
      <c r="CU166" s="883"/>
      <c r="CV166" s="863"/>
      <c r="CW166" s="863"/>
      <c r="CX166" s="863"/>
      <c r="CY166" s="863"/>
      <c r="CZ166" s="863"/>
      <c r="DA166" s="863"/>
      <c r="DB166" s="863"/>
      <c r="DC166" s="863"/>
      <c r="DD166" s="863"/>
      <c r="DE166" s="863"/>
    </row>
    <row r="167">
      <c r="A167" s="876"/>
      <c r="B167" s="876"/>
      <c r="C167" s="876"/>
      <c r="D167" s="876"/>
      <c r="E167" s="876"/>
      <c r="F167" s="876"/>
      <c r="G167" s="876"/>
      <c r="H167" s="876"/>
      <c r="I167" s="876"/>
      <c r="J167" s="876"/>
      <c r="K167" s="876"/>
      <c r="L167" s="876"/>
      <c r="M167" s="876"/>
      <c r="N167" s="877"/>
      <c r="O167" s="876"/>
      <c r="P167" s="876"/>
      <c r="Q167" s="876"/>
      <c r="R167" s="876"/>
      <c r="S167" s="876"/>
      <c r="T167" s="876"/>
      <c r="U167" s="876"/>
      <c r="V167" s="876"/>
      <c r="W167" s="876"/>
      <c r="X167" s="876"/>
      <c r="Y167" s="876"/>
      <c r="Z167" s="876"/>
      <c r="AA167" s="876"/>
      <c r="AB167" s="876"/>
      <c r="AC167" s="876"/>
      <c r="AD167" s="876"/>
      <c r="AE167" s="876"/>
      <c r="AF167" s="876"/>
      <c r="AG167" s="876"/>
      <c r="AH167" s="876"/>
      <c r="AI167" s="878"/>
      <c r="AJ167" s="888" t="str">
        <f>IFERROR(__xludf.DUMMYFUNCTION("""COMPUTED_VALUE"""),"Efficacy and Safety of Ascending Dosages of Moxidectin and Moxidectin-albendazole Against Trichuris trichiura in Adolescents: A Randomized Controlled Trial")</f>
        <v>Efficacy and Safety of Ascending Dosages of Moxidectin and Moxidectin-albendazole Against Trichuris trichiura in Adolescents: A Randomized Controlled Trial</v>
      </c>
      <c r="AK167" s="880" t="str">
        <f>IFERROR(__xludf.DUMMYFUNCTION("""COMPUTED_VALUE"""),"Keller L, Palmeirim MS, Ame SM, Ali SM, Puchkov M, Huwyler J, Hattendorf J, Keiser J. Efficacy and Safety of Ascending Dosages of Moxidectin and Moxidectin-albendazole Against Trichuris trichiura in Adolescents: A Randomized Controlled Trial. Clin Infect "&amp;"Dis. 2020 Mar 3;70(6):1193-1201. doi: 10.1093/cid/ciz326. PMID: 31044235.")</f>
        <v>Keller L, Palmeirim MS, Ame SM, Ali SM, Puchkov M, Huwyler J, Hattendorf J, Keiser J. Efficacy and Safety of Ascending Dosages of Moxidectin and Moxidectin-albendazole Against Trichuris trichiura in Adolescents: A Randomized Controlled Trial. Clin Infect Dis. 2020 Mar 3;70(6):1193-1201. doi: 10.1093/cid/ciz326. PMID: 31044235.</v>
      </c>
      <c r="AL167" s="880" t="str">
        <f>IFERROR(__xludf.DUMMYFUNCTION("""COMPUTED_VALUE"""),"Tanzania")</f>
        <v>Tanzania</v>
      </c>
      <c r="AM167" s="880" t="str">
        <f>IFERROR(__xludf.DUMMYFUNCTION("""COMPUTED_VALUE"""),"Moxidectin &amp; Albendazole")</f>
        <v>Moxidectin &amp; Albendazole</v>
      </c>
      <c r="AN167" s="880" t="str">
        <f>IFERROR(__xludf.DUMMYFUNCTION("""COMPUTED_VALUE"""),"Single")</f>
        <v>Single</v>
      </c>
      <c r="AO167" s="880" t="str">
        <f>IFERROR(__xludf.DUMMYFUNCTION("""COMPUTED_VALUE"""),"16 mg; 400 mg")</f>
        <v>16 mg; 400 mg</v>
      </c>
      <c r="AP167" s="880">
        <f>IFERROR(__xludf.DUMMYFUNCTION("""COMPUTED_VALUE"""),42.0)</f>
        <v>42</v>
      </c>
      <c r="AQ167" s="880">
        <f>IFERROR(__xludf.DUMMYFUNCTION("""COMPUTED_VALUE"""),16.8)</f>
        <v>16.8</v>
      </c>
      <c r="AR167" s="880" t="str">
        <f>IFERROR(__xludf.DUMMYFUNCTION("""COMPUTED_VALUE"""),"26M:16F")</f>
        <v>26M:16F</v>
      </c>
      <c r="AS167" s="880">
        <f>IFERROR(__xludf.DUMMYFUNCTION("""COMPUTED_VALUE"""),2018.0)</f>
        <v>2018</v>
      </c>
      <c r="AT167" s="880" t="str">
        <f>IFERROR(__xludf.DUMMYFUNCTION("""COMPUTED_VALUE"""),"Adolescents (16–18  years old) were eligible if they provided 2 stool samples and were positive for T. trichiura.")</f>
        <v>Adolescents (16–18  years old) were eligible if they provided 2 stool samples and were positive for T. trichiura.</v>
      </c>
      <c r="AU167" s="880" t="str">
        <f>IFERROR(__xludf.DUMMYFUNCTION("""COMPUTED_VALUE"""),"Yes")</f>
        <v>Yes</v>
      </c>
      <c r="AV167" s="880" t="str">
        <f>IFERROR(__xludf.DUMMYFUNCTION("""COMPUTED_VALUE"""),"Yes")</f>
        <v>Yes</v>
      </c>
      <c r="AW167" s="881" t="str">
        <f>IFERROR(__xludf.DUMMYFUNCTION("""COMPUTED_VALUE"""),"Single-blind")</f>
        <v>Single-blind</v>
      </c>
      <c r="AX167" s="863">
        <f>IFERROR(__xludf.DUMMYFUNCTION("""COMPUTED_VALUE"""),0.619)</f>
        <v>0.619</v>
      </c>
      <c r="AY167" s="863"/>
      <c r="AZ167" s="863"/>
      <c r="BA167" s="863"/>
      <c r="BB167" s="863"/>
      <c r="BC167" s="863"/>
      <c r="BD167" s="863"/>
      <c r="BE167" s="863"/>
      <c r="BF167" s="863"/>
      <c r="BG167" s="863"/>
      <c r="BH167" s="863">
        <f>IFERROR(__xludf.DUMMYFUNCTION("""COMPUTED_VALUE"""),0.986)</f>
        <v>0.986</v>
      </c>
      <c r="BI167" s="863"/>
      <c r="BJ167" s="863"/>
      <c r="BK167" s="863"/>
      <c r="BL167" s="863"/>
      <c r="BM167" s="863"/>
      <c r="BN167" s="863" t="str">
        <f>IFERROR(__xludf.DUMMYFUNCTION("""COMPUTED_VALUE"""),"Moxidectin-albendazole is superior to moxidectin. There is no benefit of using doses above 8 mg, which is the recommended dose for onchocerciasis. The moxidectin-albendazole combination of 8 mg plus 400 mg should be investigated further to develop recomme"&amp;"ndations for appropriate control of STH infections.")</f>
        <v>Moxidectin-albendazole is superior to moxidectin. There is no benefit of using doses above 8 mg, which is the recommended dose for onchocerciasis. The moxidectin-albendazole combination of 8 mg plus 400 mg should be investigated further to develop recommendations for appropriate control of STH infections.</v>
      </c>
      <c r="BO167" s="863" t="str">
        <f>IFERROR(__xludf.DUMMYFUNCTION("""COMPUTED_VALUE"""),"Kato-Katz technique")</f>
        <v>Kato-Katz technique</v>
      </c>
      <c r="BP167" s="880"/>
      <c r="BQ167" s="863"/>
      <c r="BR167" s="889" t="str">
        <f>IFERROR(__xludf.DUMMYFUNCTION("""COMPUTED_VALUE"""),"Vercruysse et al.")</f>
        <v>Vercruysse et al.</v>
      </c>
      <c r="BS167" s="883" t="str">
        <f>IFERROR(__xludf.DUMMYFUNCTION("""COMPUTED_VALUE"""),"Cameroon")</f>
        <v>Cameroon</v>
      </c>
      <c r="BT167" s="883" t="str">
        <f>IFERROR(__xludf.DUMMYFUNCTION("""COMPUTED_VALUE"""),"Albendazole")</f>
        <v>Albendazole</v>
      </c>
      <c r="BU167" s="883"/>
      <c r="BV167" s="883" t="str">
        <f>IFERROR(__xludf.DUMMYFUNCTION("""COMPUTED_VALUE"""),"Single")</f>
        <v>Single</v>
      </c>
      <c r="BW167" s="883" t="str">
        <f>IFERROR(__xludf.DUMMYFUNCTION("""COMPUTED_VALUE"""),"400 mg")</f>
        <v>400 mg</v>
      </c>
      <c r="BX167" s="883">
        <f>IFERROR(__xludf.DUMMYFUNCTION("""COMPUTED_VALUE"""),298.0)</f>
        <v>298</v>
      </c>
      <c r="BY167" s="890">
        <f>IFERROR(__xludf.DUMMYFUNCTION("""COMPUTED_VALUE"""),42478.0)</f>
        <v>42478</v>
      </c>
      <c r="BZ167" s="883"/>
      <c r="CA167" s="883"/>
      <c r="CB167" s="883"/>
      <c r="CC167" s="883" t="str">
        <f>IFERROR(__xludf.DUMMYFUNCTION("""COMPUTED_VALUE"""),"No")</f>
        <v>No</v>
      </c>
      <c r="CD167" s="884">
        <f>IFERROR(__xludf.DUMMYFUNCTION("""COMPUTED_VALUE"""),0.99)</f>
        <v>0.99</v>
      </c>
      <c r="CE167" s="883" t="str">
        <f>IFERROR(__xludf.DUMMYFUNCTION("""COMPUTED_VALUE"""),"No")</f>
        <v>No</v>
      </c>
      <c r="CF167" s="883"/>
      <c r="CG167" s="883" t="str">
        <f>IFERROR(__xludf.DUMMYFUNCTION("""COMPUTED_VALUE"""),"99% (Day 14-30)")</f>
        <v>99% (Day 14-30)</v>
      </c>
      <c r="CH167" s="883"/>
      <c r="CI167" s="883"/>
      <c r="CJ167" s="883"/>
      <c r="CK167" s="883"/>
      <c r="CL167" s="883"/>
      <c r="CM167" s="891">
        <f>IFERROR(__xludf.DUMMYFUNCTION("""COMPUTED_VALUE"""),0.992)</f>
        <v>0.992</v>
      </c>
      <c r="CN167" s="883"/>
      <c r="CO167" s="883"/>
      <c r="CP167" s="883"/>
      <c r="CQ167" s="883"/>
      <c r="CR167" s="883"/>
      <c r="CS167" s="883"/>
      <c r="CT167" s="883"/>
      <c r="CU167" s="883"/>
      <c r="CV167" s="863"/>
      <c r="CW167" s="863"/>
      <c r="CX167" s="863"/>
      <c r="CY167" s="863"/>
      <c r="CZ167" s="863"/>
      <c r="DA167" s="863"/>
      <c r="DB167" s="863"/>
      <c r="DC167" s="863"/>
      <c r="DD167" s="863"/>
      <c r="DE167" s="863"/>
    </row>
    <row r="168">
      <c r="A168" s="876"/>
      <c r="B168" s="876"/>
      <c r="C168" s="876"/>
      <c r="D168" s="876"/>
      <c r="E168" s="876"/>
      <c r="F168" s="876"/>
      <c r="G168" s="876"/>
      <c r="H168" s="876"/>
      <c r="I168" s="876"/>
      <c r="J168" s="876"/>
      <c r="K168" s="876"/>
      <c r="L168" s="876"/>
      <c r="M168" s="876"/>
      <c r="N168" s="877"/>
      <c r="O168" s="876"/>
      <c r="P168" s="876"/>
      <c r="Q168" s="876"/>
      <c r="R168" s="876"/>
      <c r="S168" s="876"/>
      <c r="T168" s="876"/>
      <c r="U168" s="876"/>
      <c r="V168" s="876"/>
      <c r="W168" s="876"/>
      <c r="X168" s="876"/>
      <c r="Y168" s="876"/>
      <c r="Z168" s="876"/>
      <c r="AA168" s="876"/>
      <c r="AB168" s="876"/>
      <c r="AC168" s="876"/>
      <c r="AD168" s="876"/>
      <c r="AE168" s="876"/>
      <c r="AF168" s="876"/>
      <c r="AG168" s="876"/>
      <c r="AH168" s="876"/>
      <c r="AI168" s="878"/>
      <c r="AJ168" s="888" t="str">
        <f>IFERROR(__xludf.DUMMYFUNCTION("""COMPUTED_VALUE"""),"Efficacy and Safety of Ascending Dosages of Moxidectin and Moxidectin-albendazole Against Trichuris trichiura in Adolescents: A Randomized Controlled Trial")</f>
        <v>Efficacy and Safety of Ascending Dosages of Moxidectin and Moxidectin-albendazole Against Trichuris trichiura in Adolescents: A Randomized Controlled Trial</v>
      </c>
      <c r="AK168" s="880" t="str">
        <f>IFERROR(__xludf.DUMMYFUNCTION("""COMPUTED_VALUE"""),"Keller L, Palmeirim MS, Ame SM, Ali SM, Puchkov M, Huwyler J, Hattendorf J, Keiser J. Efficacy and Safety of Ascending Dosages of Moxidectin and Moxidectin-albendazole Against Trichuris trichiura in Adolescents: A Randomized Controlled Trial. Clin Infect "&amp;"Dis. 2020 Mar 3;70(6):1193-1201. doi: 10.1093/cid/ciz326. PMID: 31044235.")</f>
        <v>Keller L, Palmeirim MS, Ame SM, Ali SM, Puchkov M, Huwyler J, Hattendorf J, Keiser J. Efficacy and Safety of Ascending Dosages of Moxidectin and Moxidectin-albendazole Against Trichuris trichiura in Adolescents: A Randomized Controlled Trial. Clin Infect Dis. 2020 Mar 3;70(6):1193-1201. doi: 10.1093/cid/ciz326. PMID: 31044235.</v>
      </c>
      <c r="AL168" s="880" t="str">
        <f>IFERROR(__xludf.DUMMYFUNCTION("""COMPUTED_VALUE"""),"Tanzania")</f>
        <v>Tanzania</v>
      </c>
      <c r="AM168" s="880" t="str">
        <f>IFERROR(__xludf.DUMMYFUNCTION("""COMPUTED_VALUE"""),"Moxidectin &amp; Albendazole")</f>
        <v>Moxidectin &amp; Albendazole</v>
      </c>
      <c r="AN168" s="880" t="str">
        <f>IFERROR(__xludf.DUMMYFUNCTION("""COMPUTED_VALUE"""),"Single")</f>
        <v>Single</v>
      </c>
      <c r="AO168" s="880" t="str">
        <f>IFERROR(__xludf.DUMMYFUNCTION("""COMPUTED_VALUE"""),"24 mg; 400 mg ")</f>
        <v>24 mg; 400 mg </v>
      </c>
      <c r="AP168" s="880">
        <f>IFERROR(__xludf.DUMMYFUNCTION("""COMPUTED_VALUE"""),41.0)</f>
        <v>41</v>
      </c>
      <c r="AQ168" s="880">
        <f>IFERROR(__xludf.DUMMYFUNCTION("""COMPUTED_VALUE"""),17.0)</f>
        <v>17</v>
      </c>
      <c r="AR168" s="880" t="str">
        <f>IFERROR(__xludf.DUMMYFUNCTION("""COMPUTED_VALUE"""),"28M:13F")</f>
        <v>28M:13F</v>
      </c>
      <c r="AS168" s="880">
        <f>IFERROR(__xludf.DUMMYFUNCTION("""COMPUTED_VALUE"""),2018.0)</f>
        <v>2018</v>
      </c>
      <c r="AT168" s="880" t="str">
        <f>IFERROR(__xludf.DUMMYFUNCTION("""COMPUTED_VALUE"""),"Adolescents (16–18  years old) were eligible if they provided 2 stool samples and were positive for T. trichiura.")</f>
        <v>Adolescents (16–18  years old) were eligible if they provided 2 stool samples and were positive for T. trichiura.</v>
      </c>
      <c r="AU168" s="880" t="str">
        <f>IFERROR(__xludf.DUMMYFUNCTION("""COMPUTED_VALUE"""),"Yes")</f>
        <v>Yes</v>
      </c>
      <c r="AV168" s="880" t="str">
        <f>IFERROR(__xludf.DUMMYFUNCTION("""COMPUTED_VALUE"""),"Yes")</f>
        <v>Yes</v>
      </c>
      <c r="AW168" s="881" t="str">
        <f>IFERROR(__xludf.DUMMYFUNCTION("""COMPUTED_VALUE"""),"Single-blind")</f>
        <v>Single-blind</v>
      </c>
      <c r="AX168" s="863">
        <f>IFERROR(__xludf.DUMMYFUNCTION("""COMPUTED_VALUE"""),0.692)</f>
        <v>0.692</v>
      </c>
      <c r="AY168" s="863"/>
      <c r="AZ168" s="863"/>
      <c r="BA168" s="863"/>
      <c r="BB168" s="863"/>
      <c r="BC168" s="863"/>
      <c r="BD168" s="863"/>
      <c r="BE168" s="863"/>
      <c r="BF168" s="863"/>
      <c r="BG168" s="863"/>
      <c r="BH168" s="863">
        <f>IFERROR(__xludf.DUMMYFUNCTION("""COMPUTED_VALUE"""),0.638)</f>
        <v>0.638</v>
      </c>
      <c r="BI168" s="863"/>
      <c r="BJ168" s="863"/>
      <c r="BK168" s="863"/>
      <c r="BL168" s="863"/>
      <c r="BM168" s="863"/>
      <c r="BN168" s="863" t="str">
        <f>IFERROR(__xludf.DUMMYFUNCTION("""COMPUTED_VALUE"""),"Moxidectin-albendazole is superior to moxidectin. There is no benefit of using doses above 8 mg, which is the recommended dose for onchocerciasis. The moxidectin-albendazole combination of 8 mg plus 400 mg should be investigated further to develop recomme"&amp;"ndations for appropriate control of STH infections.")</f>
        <v>Moxidectin-albendazole is superior to moxidectin. There is no benefit of using doses above 8 mg, which is the recommended dose for onchocerciasis. The moxidectin-albendazole combination of 8 mg plus 400 mg should be investigated further to develop recommendations for appropriate control of STH infections.</v>
      </c>
      <c r="BO168" s="863" t="str">
        <f>IFERROR(__xludf.DUMMYFUNCTION("""COMPUTED_VALUE"""),"Kato-Katz technique")</f>
        <v>Kato-Katz technique</v>
      </c>
      <c r="BP168" s="880"/>
      <c r="BQ168" s="863"/>
      <c r="BR168" s="889" t="str">
        <f>IFERROR(__xludf.DUMMYFUNCTION("""COMPUTED_VALUE"""),"Vercruysse et al.")</f>
        <v>Vercruysse et al.</v>
      </c>
      <c r="BS168" s="883" t="str">
        <f>IFERROR(__xludf.DUMMYFUNCTION("""COMPUTED_VALUE"""),"Ethiopia")</f>
        <v>Ethiopia</v>
      </c>
      <c r="BT168" s="883" t="str">
        <f>IFERROR(__xludf.DUMMYFUNCTION("""COMPUTED_VALUE"""),"Albendazole")</f>
        <v>Albendazole</v>
      </c>
      <c r="BU168" s="883"/>
      <c r="BV168" s="883" t="str">
        <f>IFERROR(__xludf.DUMMYFUNCTION("""COMPUTED_VALUE"""),"Single")</f>
        <v>Single</v>
      </c>
      <c r="BW168" s="883" t="str">
        <f>IFERROR(__xludf.DUMMYFUNCTION("""COMPUTED_VALUE"""),"400 mg")</f>
        <v>400 mg</v>
      </c>
      <c r="BX168" s="883">
        <f>IFERROR(__xludf.DUMMYFUNCTION("""COMPUTED_VALUE"""),151.0)</f>
        <v>151</v>
      </c>
      <c r="BY168" s="890">
        <f>IFERROR(__xludf.DUMMYFUNCTION("""COMPUTED_VALUE"""),42478.0)</f>
        <v>42478</v>
      </c>
      <c r="BZ168" s="883"/>
      <c r="CA168" s="883"/>
      <c r="CB168" s="883"/>
      <c r="CC168" s="883" t="str">
        <f>IFERROR(__xludf.DUMMYFUNCTION("""COMPUTED_VALUE"""),"No")</f>
        <v>No</v>
      </c>
      <c r="CD168" s="884">
        <f>IFERROR(__xludf.DUMMYFUNCTION("""COMPUTED_VALUE"""),0.99)</f>
        <v>0.99</v>
      </c>
      <c r="CE168" s="883" t="str">
        <f>IFERROR(__xludf.DUMMYFUNCTION("""COMPUTED_VALUE"""),"No")</f>
        <v>No</v>
      </c>
      <c r="CF168" s="883"/>
      <c r="CG168" s="883" t="str">
        <f>IFERROR(__xludf.DUMMYFUNCTION("""COMPUTED_VALUE"""),"99% (Day 14-30)")</f>
        <v>99% (Day 14-30)</v>
      </c>
      <c r="CH168" s="883"/>
      <c r="CI168" s="883"/>
      <c r="CJ168" s="883"/>
      <c r="CK168" s="883"/>
      <c r="CL168" s="883"/>
      <c r="CM168" s="891">
        <f>IFERROR(__xludf.DUMMYFUNCTION("""COMPUTED_VALUE"""),1.0)</f>
        <v>1</v>
      </c>
      <c r="CN168" s="883"/>
      <c r="CO168" s="883"/>
      <c r="CP168" s="883"/>
      <c r="CQ168" s="883"/>
      <c r="CR168" s="883"/>
      <c r="CS168" s="883"/>
      <c r="CT168" s="883"/>
      <c r="CU168" s="883"/>
      <c r="CV168" s="863"/>
      <c r="CW168" s="863"/>
      <c r="CX168" s="863"/>
      <c r="CY168" s="863"/>
      <c r="CZ168" s="863"/>
      <c r="DA168" s="863"/>
      <c r="DB168" s="863"/>
      <c r="DC168" s="863"/>
      <c r="DD168" s="863"/>
      <c r="DE168" s="863"/>
    </row>
    <row r="169">
      <c r="A169" s="876"/>
      <c r="B169" s="876"/>
      <c r="C169" s="876"/>
      <c r="D169" s="876"/>
      <c r="E169" s="876"/>
      <c r="F169" s="876"/>
      <c r="G169" s="876"/>
      <c r="H169" s="876"/>
      <c r="I169" s="876"/>
      <c r="J169" s="876"/>
      <c r="K169" s="876"/>
      <c r="L169" s="876"/>
      <c r="M169" s="876"/>
      <c r="N169" s="877"/>
      <c r="O169" s="876"/>
      <c r="P169" s="876"/>
      <c r="Q169" s="876"/>
      <c r="R169" s="876"/>
      <c r="S169" s="876"/>
      <c r="T169" s="876"/>
      <c r="U169" s="876"/>
      <c r="V169" s="876"/>
      <c r="W169" s="876"/>
      <c r="X169" s="876"/>
      <c r="Y169" s="876"/>
      <c r="Z169" s="876"/>
      <c r="AA169" s="876"/>
      <c r="AB169" s="876"/>
      <c r="AC169" s="876"/>
      <c r="AD169" s="876"/>
      <c r="AE169" s="876"/>
      <c r="AF169" s="876"/>
      <c r="AG169" s="876"/>
      <c r="AH169" s="876"/>
      <c r="AI169" s="878"/>
      <c r="AJ169" s="888" t="str">
        <f>IFERROR(__xludf.DUMMYFUNCTION("""COMPUTED_VALUE"""),"Efficacy and safety of ascending dosages of albendazole against Trichuris trichiura in preschool-aged children, school-aged children and adults: A multi-cohort randomized controlled trial")</f>
        <v>Efficacy and safety of ascending dosages of albendazole against Trichuris trichiura in preschool-aged children, school-aged children and adults: A multi-cohort randomized controlled trial</v>
      </c>
      <c r="AK169" s="880" t="str">
        <f>IFERROR(__xludf.DUMMYFUNCTION("""COMPUTED_VALUE"""),"Patel C, Coulibaly JT, Schulz JD, N'Gbesso Y, Hattendorf J, Keiser J. Efficacy and safety of ascending dosages of albendazole against Trichuris trichiura in preschool-aged children, school-aged children and adults: A multi-cohort randomized controlled tri"&amp;"al. EClinicalMedicine. 2020 May 5;22:100335. doi: 10.1016/j.eclinm.2020.100335. PMID: 32405623; PMCID: PMC7210508.")</f>
        <v>Patel C, Coulibaly JT, Schulz JD, N'Gbesso Y, Hattendorf J, Keiser J. Efficacy and safety of ascending dosages of albendazole against Trichuris trichiura in preschool-aged children, school-aged children and adults: A multi-cohort randomized controlled trial. EClinicalMedicine. 2020 May 5;22:100335. doi: 10.1016/j.eclinm.2020.100335. PMID: 32405623; PMCID: PMC7210508.</v>
      </c>
      <c r="AL169" s="880" t="str">
        <f>IFERROR(__xludf.DUMMYFUNCTION("""COMPUTED_VALUE"""),"Côte d'Ivoire")</f>
        <v>Côte d'Ivoire</v>
      </c>
      <c r="AM169" s="880" t="str">
        <f>IFERROR(__xludf.DUMMYFUNCTION("""COMPUTED_VALUE"""),"Albendazole")</f>
        <v>Albendazole</v>
      </c>
      <c r="AN169" s="880" t="str">
        <f>IFERROR(__xludf.DUMMYFUNCTION("""COMPUTED_VALUE"""),"Single")</f>
        <v>Single</v>
      </c>
      <c r="AO169" s="880" t="str">
        <f>IFERROR(__xludf.DUMMYFUNCTION("""COMPUTED_VALUE"""),"200 mg")</f>
        <v>200 mg</v>
      </c>
      <c r="AP169" s="880">
        <f>IFERROR(__xludf.DUMMYFUNCTION("""COMPUTED_VALUE"""),27.0)</f>
        <v>27</v>
      </c>
      <c r="AQ169" s="880">
        <f>IFERROR(__xludf.DUMMYFUNCTION("""COMPUTED_VALUE"""),4.0)</f>
        <v>4</v>
      </c>
      <c r="AR169" s="880" t="str">
        <f>IFERROR(__xludf.DUMMYFUNCTION("""COMPUTED_VALUE"""),"9M:18F")</f>
        <v>9M:18F</v>
      </c>
      <c r="AS169" s="880">
        <f>IFERROR(__xludf.DUMMYFUNCTION("""COMPUTED_VALUE"""),2018.0)</f>
        <v>2018</v>
      </c>
      <c r="AT169" s="880" t="str">
        <f>IFERROR(__xludf.DUMMYFUNCTION("""COMPUTED_VALUE"""),"PSAC, SAC, and adults were eligible if they provided two stool samples and were positive for T. trichiura. Only PSAC with T. trichiura infection intensities 60 eggs per gram of stool (EPG) and SAC and adults with T. trichiura infection intensities 100 EPG"&amp;" were included in the trial.")</f>
        <v>PSAC, SAC, and adults were eligible if they provided two stool samples and were positive for T. trichiura. Only PSAC with T. trichiura infection intensities 60 eggs per gram of stool (EPG) and SAC and adults with T. trichiura infection intensities 100 EPG were included in the trial.</v>
      </c>
      <c r="AU169" s="880" t="str">
        <f>IFERROR(__xludf.DUMMYFUNCTION("""COMPUTED_VALUE"""),"Yes")</f>
        <v>Yes</v>
      </c>
      <c r="AV169" s="880" t="str">
        <f>IFERROR(__xludf.DUMMYFUNCTION("""COMPUTED_VALUE"""),"Yes")</f>
        <v>Yes</v>
      </c>
      <c r="AW169" s="881" t="str">
        <f>IFERROR(__xludf.DUMMYFUNCTION("""COMPUTED_VALUE"""),"Single-blind")</f>
        <v>Single-blind</v>
      </c>
      <c r="AX169" s="863">
        <f>IFERROR(__xludf.DUMMYFUNCTION("""COMPUTED_VALUE"""),0.095)</f>
        <v>0.095</v>
      </c>
      <c r="AY169" s="863"/>
      <c r="AZ169" s="863"/>
      <c r="BA169" s="863"/>
      <c r="BB169" s="863"/>
      <c r="BC169" s="863"/>
      <c r="BD169" s="863"/>
      <c r="BE169" s="863"/>
      <c r="BF169" s="863"/>
      <c r="BG169" s="863"/>
      <c r="BH169" s="863">
        <f>IFERROR(__xludf.DUMMYFUNCTION("""COMPUTED_VALUE"""),0.871)</f>
        <v>0.871</v>
      </c>
      <c r="BI169" s="863"/>
      <c r="BJ169" s="863"/>
      <c r="BK169" s="863"/>
      <c r="BL169" s="863"/>
      <c r="BM169" s="863"/>
      <c r="BN169" s="863" t="str">
        <f>IFERROR(__xludf.DUMMYFUNCTION("""COMPUTED_VALUE"""),"Albendazole shows low efficacy against T. trichiura in all populations and doses studied, though findings for PSAC and adults should be carefully interpreted as recruitment targets were not met. New drugs, treatment regimens, and combinations are needed i"&amp;"n the management of T. trichiura infections")</f>
        <v>Albendazole shows low efficacy against T. trichiura in all populations and doses studied, though findings for PSAC and adults should be carefully interpreted as recruitment targets were not met. New drugs, treatment regimens, and combinations are needed in the management of T. trichiura infections</v>
      </c>
      <c r="BO169" s="863" t="str">
        <f>IFERROR(__xludf.DUMMYFUNCTION("""COMPUTED_VALUE"""),"Kato-Katz technique")</f>
        <v>Kato-Katz technique</v>
      </c>
      <c r="BP169" s="880"/>
      <c r="BQ169" s="863"/>
      <c r="BR169" s="889" t="str">
        <f>IFERROR(__xludf.DUMMYFUNCTION("""COMPUTED_VALUE"""),"Vercruysse et al.")</f>
        <v>Vercruysse et al.</v>
      </c>
      <c r="BS169" s="883" t="str">
        <f>IFERROR(__xludf.DUMMYFUNCTION("""COMPUTED_VALUE"""),"India")</f>
        <v>India</v>
      </c>
      <c r="BT169" s="883" t="str">
        <f>IFERROR(__xludf.DUMMYFUNCTION("""COMPUTED_VALUE"""),"Albendazole")</f>
        <v>Albendazole</v>
      </c>
      <c r="BU169" s="883"/>
      <c r="BV169" s="883" t="str">
        <f>IFERROR(__xludf.DUMMYFUNCTION("""COMPUTED_VALUE"""),"Single")</f>
        <v>Single</v>
      </c>
      <c r="BW169" s="883" t="str">
        <f>IFERROR(__xludf.DUMMYFUNCTION("""COMPUTED_VALUE"""),"400 mg")</f>
        <v>400 mg</v>
      </c>
      <c r="BX169" s="883">
        <f>IFERROR(__xludf.DUMMYFUNCTION("""COMPUTED_VALUE"""),21.0)</f>
        <v>21</v>
      </c>
      <c r="BY169" s="890">
        <f>IFERROR(__xludf.DUMMYFUNCTION("""COMPUTED_VALUE"""),42478.0)</f>
        <v>42478</v>
      </c>
      <c r="BZ169" s="883"/>
      <c r="CA169" s="883"/>
      <c r="CB169" s="883"/>
      <c r="CC169" s="883" t="str">
        <f>IFERROR(__xludf.DUMMYFUNCTION("""COMPUTED_VALUE"""),"No")</f>
        <v>No</v>
      </c>
      <c r="CD169" s="884">
        <f>IFERROR(__xludf.DUMMYFUNCTION("""COMPUTED_VALUE"""),0.95)</f>
        <v>0.95</v>
      </c>
      <c r="CE169" s="883" t="str">
        <f>IFERROR(__xludf.DUMMYFUNCTION("""COMPUTED_VALUE"""),"No")</f>
        <v>No</v>
      </c>
      <c r="CF169" s="883"/>
      <c r="CG169" s="883" t="str">
        <f>IFERROR(__xludf.DUMMYFUNCTION("""COMPUTED_VALUE"""),"95% (Day 14-30)")</f>
        <v>95% (Day 14-30)</v>
      </c>
      <c r="CH169" s="883"/>
      <c r="CI169" s="883"/>
      <c r="CJ169" s="883"/>
      <c r="CK169" s="883"/>
      <c r="CL169" s="883"/>
      <c r="CM169" s="891">
        <f>IFERROR(__xludf.DUMMYFUNCTION("""COMPUTED_VALUE"""),0.989)</f>
        <v>0.989</v>
      </c>
      <c r="CN169" s="883"/>
      <c r="CO169" s="883"/>
      <c r="CP169" s="883"/>
      <c r="CQ169" s="883"/>
      <c r="CR169" s="883"/>
      <c r="CS169" s="883"/>
      <c r="CT169" s="883"/>
      <c r="CU169" s="883"/>
      <c r="CV169" s="863"/>
      <c r="CW169" s="863"/>
      <c r="CX169" s="863"/>
      <c r="CY169" s="863"/>
      <c r="CZ169" s="863"/>
      <c r="DA169" s="863"/>
      <c r="DB169" s="863"/>
      <c r="DC169" s="863"/>
      <c r="DD169" s="863"/>
      <c r="DE169" s="863"/>
    </row>
    <row r="170">
      <c r="A170" s="876"/>
      <c r="B170" s="876"/>
      <c r="C170" s="876"/>
      <c r="D170" s="876"/>
      <c r="E170" s="876"/>
      <c r="F170" s="876"/>
      <c r="G170" s="876"/>
      <c r="H170" s="876"/>
      <c r="I170" s="876"/>
      <c r="J170" s="876"/>
      <c r="K170" s="876"/>
      <c r="L170" s="876"/>
      <c r="M170" s="876"/>
      <c r="N170" s="877"/>
      <c r="O170" s="876"/>
      <c r="P170" s="876"/>
      <c r="Q170" s="876"/>
      <c r="R170" s="876"/>
      <c r="S170" s="876"/>
      <c r="T170" s="876"/>
      <c r="U170" s="876"/>
      <c r="V170" s="876"/>
      <c r="W170" s="876"/>
      <c r="X170" s="876"/>
      <c r="Y170" s="876"/>
      <c r="Z170" s="876"/>
      <c r="AA170" s="876"/>
      <c r="AB170" s="876"/>
      <c r="AC170" s="876"/>
      <c r="AD170" s="876"/>
      <c r="AE170" s="876"/>
      <c r="AF170" s="876"/>
      <c r="AG170" s="876"/>
      <c r="AH170" s="876"/>
      <c r="AI170" s="878"/>
      <c r="AJ170" s="888" t="str">
        <f>IFERROR(__xludf.DUMMYFUNCTION("""COMPUTED_VALUE"""),"Efficacy and safety of ascending dosages of albendazole against Trichuris trichiura in preschool-aged children, school-aged children and adults: A multi-cohort randomized controlled trial")</f>
        <v>Efficacy and safety of ascending dosages of albendazole against Trichuris trichiura in preschool-aged children, school-aged children and adults: A multi-cohort randomized controlled trial</v>
      </c>
      <c r="AK170" s="880" t="str">
        <f>IFERROR(__xludf.DUMMYFUNCTION("""COMPUTED_VALUE"""),"Patel C, Coulibaly JT, Schulz JD, N'Gbesso Y, Hattendorf J, Keiser J. Efficacy and safety of ascending dosages of albendazole against Trichuris trichiura in preschool-aged children, school-aged children and adults: A multi-cohort randomized controlled tri"&amp;"al. EClinicalMedicine. 2020 May 5;22:100335. doi: 10.1016/j.eclinm.2020.100335. PMID: 32405623; PMCID: PMC7210508.")</f>
        <v>Patel C, Coulibaly JT, Schulz JD, N'Gbesso Y, Hattendorf J, Keiser J. Efficacy and safety of ascending dosages of albendazole against Trichuris trichiura in preschool-aged children, school-aged children and adults: A multi-cohort randomized controlled trial. EClinicalMedicine. 2020 May 5;22:100335. doi: 10.1016/j.eclinm.2020.100335. PMID: 32405623; PMCID: PMC7210508.</v>
      </c>
      <c r="AL170" s="880" t="str">
        <f>IFERROR(__xludf.DUMMYFUNCTION("""COMPUTED_VALUE"""),"Côte d'Ivoire")</f>
        <v>Côte d'Ivoire</v>
      </c>
      <c r="AM170" s="880" t="str">
        <f>IFERROR(__xludf.DUMMYFUNCTION("""COMPUTED_VALUE"""),"Albendazole")</f>
        <v>Albendazole</v>
      </c>
      <c r="AN170" s="880" t="str">
        <f>IFERROR(__xludf.DUMMYFUNCTION("""COMPUTED_VALUE"""),"Single")</f>
        <v>Single</v>
      </c>
      <c r="AO170" s="880" t="str">
        <f>IFERROR(__xludf.DUMMYFUNCTION("""COMPUTED_VALUE"""),"400 mg")</f>
        <v>400 mg</v>
      </c>
      <c r="AP170" s="880">
        <f>IFERROR(__xludf.DUMMYFUNCTION("""COMPUTED_VALUE"""),30.0)</f>
        <v>30</v>
      </c>
      <c r="AQ170" s="880">
        <f>IFERROR(__xludf.DUMMYFUNCTION("""COMPUTED_VALUE"""),3.8)</f>
        <v>3.8</v>
      </c>
      <c r="AR170" s="880" t="str">
        <f>IFERROR(__xludf.DUMMYFUNCTION("""COMPUTED_VALUE"""),"14M:16F")</f>
        <v>14M:16F</v>
      </c>
      <c r="AS170" s="880">
        <f>IFERROR(__xludf.DUMMYFUNCTION("""COMPUTED_VALUE"""),2018.0)</f>
        <v>2018</v>
      </c>
      <c r="AT170" s="880" t="str">
        <f>IFERROR(__xludf.DUMMYFUNCTION("""COMPUTED_VALUE"""),"PSAC, SAC, and adults were eligible if they provided two stool samples and were positive for T. trichiura. Only PSAC with T. trichiura infection intensities 60 eggs per gram of stool (EPG) and SAC and adults with T. trichiura infection intensities 100 EPG"&amp;" were included in the trial.")</f>
        <v>PSAC, SAC, and adults were eligible if they provided two stool samples and were positive for T. trichiura. Only PSAC with T. trichiura infection intensities 60 eggs per gram of stool (EPG) and SAC and adults with T. trichiura infection intensities 100 EPG were included in the trial.</v>
      </c>
      <c r="AU170" s="880" t="str">
        <f>IFERROR(__xludf.DUMMYFUNCTION("""COMPUTED_VALUE"""),"Yes")</f>
        <v>Yes</v>
      </c>
      <c r="AV170" s="880" t="str">
        <f>IFERROR(__xludf.DUMMYFUNCTION("""COMPUTED_VALUE"""),"Yes")</f>
        <v>Yes</v>
      </c>
      <c r="AW170" s="881" t="str">
        <f>IFERROR(__xludf.DUMMYFUNCTION("""COMPUTED_VALUE"""),"Single-blind")</f>
        <v>Single-blind</v>
      </c>
      <c r="AX170" s="863">
        <f>IFERROR(__xludf.DUMMYFUNCTION("""COMPUTED_VALUE"""),0.174)</f>
        <v>0.174</v>
      </c>
      <c r="AY170" s="863"/>
      <c r="AZ170" s="863"/>
      <c r="BA170" s="863"/>
      <c r="BB170" s="863"/>
      <c r="BC170" s="863"/>
      <c r="BD170" s="863"/>
      <c r="BE170" s="863"/>
      <c r="BF170" s="863"/>
      <c r="BG170" s="863"/>
      <c r="BH170" s="863">
        <f>IFERROR(__xludf.DUMMYFUNCTION("""COMPUTED_VALUE"""),0.885)</f>
        <v>0.885</v>
      </c>
      <c r="BI170" s="863"/>
      <c r="BJ170" s="863"/>
      <c r="BK170" s="863"/>
      <c r="BL170" s="863"/>
      <c r="BM170" s="863"/>
      <c r="BN170" s="863" t="str">
        <f>IFERROR(__xludf.DUMMYFUNCTION("""COMPUTED_VALUE"""),"Albendazole shows low efficacy against T. trichiura in all populations and doses studied, though findings for PSAC and adults should be carefully interpreted as recruitment targets were not met. New drugs, treatment regimens, and combinations are needed i"&amp;"n the management of T. trichiura infections")</f>
        <v>Albendazole shows low efficacy against T. trichiura in all populations and doses studied, though findings for PSAC and adults should be carefully interpreted as recruitment targets were not met. New drugs, treatment regimens, and combinations are needed in the management of T. trichiura infections</v>
      </c>
      <c r="BO170" s="863" t="str">
        <f>IFERROR(__xludf.DUMMYFUNCTION("""COMPUTED_VALUE"""),"Kato-Katz technique")</f>
        <v>Kato-Katz technique</v>
      </c>
      <c r="BP170" s="880"/>
      <c r="BQ170" s="863"/>
      <c r="BR170" s="889" t="str">
        <f>IFERROR(__xludf.DUMMYFUNCTION("""COMPUTED_VALUE"""),"Vercruysse et al.")</f>
        <v>Vercruysse et al.</v>
      </c>
      <c r="BS170" s="883" t="str">
        <f>IFERROR(__xludf.DUMMYFUNCTION("""COMPUTED_VALUE"""),"Tanzania")</f>
        <v>Tanzania</v>
      </c>
      <c r="BT170" s="883" t="str">
        <f>IFERROR(__xludf.DUMMYFUNCTION("""COMPUTED_VALUE"""),"Albendazole")</f>
        <v>Albendazole</v>
      </c>
      <c r="BU170" s="883"/>
      <c r="BV170" s="883" t="str">
        <f>IFERROR(__xludf.DUMMYFUNCTION("""COMPUTED_VALUE"""),"Single")</f>
        <v>Single</v>
      </c>
      <c r="BW170" s="883" t="str">
        <f>IFERROR(__xludf.DUMMYFUNCTION("""COMPUTED_VALUE"""),"400 mg")</f>
        <v>400 mg</v>
      </c>
      <c r="BX170" s="883">
        <f>IFERROR(__xludf.DUMMYFUNCTION("""COMPUTED_VALUE"""),279.0)</f>
        <v>279</v>
      </c>
      <c r="BY170" s="890">
        <f>IFERROR(__xludf.DUMMYFUNCTION("""COMPUTED_VALUE"""),42478.0)</f>
        <v>42478</v>
      </c>
      <c r="BZ170" s="883"/>
      <c r="CA170" s="883"/>
      <c r="CB170" s="883"/>
      <c r="CC170" s="883" t="str">
        <f>IFERROR(__xludf.DUMMYFUNCTION("""COMPUTED_VALUE"""),"No")</f>
        <v>No</v>
      </c>
      <c r="CD170" s="884">
        <f>IFERROR(__xludf.DUMMYFUNCTION("""COMPUTED_VALUE"""),0.96)</f>
        <v>0.96</v>
      </c>
      <c r="CE170" s="883" t="str">
        <f>IFERROR(__xludf.DUMMYFUNCTION("""COMPUTED_VALUE"""),"No")</f>
        <v>No</v>
      </c>
      <c r="CF170" s="883"/>
      <c r="CG170" s="883" t="str">
        <f>IFERROR(__xludf.DUMMYFUNCTION("""COMPUTED_VALUE"""),"96% (Day 14-30)")</f>
        <v>96% (Day 14-30)</v>
      </c>
      <c r="CH170" s="883"/>
      <c r="CI170" s="883"/>
      <c r="CJ170" s="883"/>
      <c r="CK170" s="883"/>
      <c r="CL170" s="883"/>
      <c r="CM170" s="891">
        <f>IFERROR(__xludf.DUMMYFUNCTION("""COMPUTED_VALUE"""),1.0)</f>
        <v>1</v>
      </c>
      <c r="CN170" s="883"/>
      <c r="CO170" s="883"/>
      <c r="CP170" s="883"/>
      <c r="CQ170" s="883"/>
      <c r="CR170" s="883"/>
      <c r="CS170" s="883"/>
      <c r="CT170" s="883"/>
      <c r="CU170" s="883"/>
      <c r="CV170" s="863"/>
      <c r="CW170" s="863"/>
      <c r="CX170" s="863"/>
      <c r="CY170" s="863"/>
      <c r="CZ170" s="863"/>
      <c r="DA170" s="863"/>
      <c r="DB170" s="863"/>
      <c r="DC170" s="863"/>
      <c r="DD170" s="863"/>
      <c r="DE170" s="863"/>
    </row>
    <row r="171">
      <c r="A171" s="876"/>
      <c r="B171" s="876"/>
      <c r="C171" s="876"/>
      <c r="D171" s="876"/>
      <c r="E171" s="876"/>
      <c r="F171" s="876"/>
      <c r="G171" s="876"/>
      <c r="H171" s="876"/>
      <c r="I171" s="876"/>
      <c r="J171" s="876"/>
      <c r="K171" s="876"/>
      <c r="L171" s="876"/>
      <c r="M171" s="876"/>
      <c r="N171" s="877"/>
      <c r="O171" s="876"/>
      <c r="P171" s="876"/>
      <c r="Q171" s="876"/>
      <c r="R171" s="876"/>
      <c r="S171" s="876"/>
      <c r="T171" s="876"/>
      <c r="U171" s="876"/>
      <c r="V171" s="876"/>
      <c r="W171" s="876"/>
      <c r="X171" s="876"/>
      <c r="Y171" s="876"/>
      <c r="Z171" s="876"/>
      <c r="AA171" s="876"/>
      <c r="AB171" s="876"/>
      <c r="AC171" s="876"/>
      <c r="AD171" s="876"/>
      <c r="AE171" s="876"/>
      <c r="AF171" s="876"/>
      <c r="AG171" s="876"/>
      <c r="AH171" s="876"/>
      <c r="AI171" s="878"/>
      <c r="AJ171" s="888" t="str">
        <f>IFERROR(__xludf.DUMMYFUNCTION("""COMPUTED_VALUE"""),"Efficacy and safety of ascending dosages of albendazole against Trichuris trichiura in preschool-aged children, school-aged children and adults: A multi-cohort randomized controlled trial")</f>
        <v>Efficacy and safety of ascending dosages of albendazole against Trichuris trichiura in preschool-aged children, school-aged children and adults: A multi-cohort randomized controlled trial</v>
      </c>
      <c r="AK171" s="880" t="str">
        <f>IFERROR(__xludf.DUMMYFUNCTION("""COMPUTED_VALUE"""),"Patel C, Coulibaly JT, Schulz JD, N'Gbesso Y, Hattendorf J, Keiser J. Efficacy and safety of ascending dosages of albendazole against Trichuris trichiura in preschool-aged children, school-aged children and adults: A multi-cohort randomized controlled tri"&amp;"al. EClinicalMedicine. 2020 May 5;22:100335. doi: 10.1016/j.eclinm.2020.100335. PMID: 32405623; PMCID: PMC7210508.")</f>
        <v>Patel C, Coulibaly JT, Schulz JD, N'Gbesso Y, Hattendorf J, Keiser J. Efficacy and safety of ascending dosages of albendazole against Trichuris trichiura in preschool-aged children, school-aged children and adults: A multi-cohort randomized controlled trial. EClinicalMedicine. 2020 May 5;22:100335. doi: 10.1016/j.eclinm.2020.100335. PMID: 32405623; PMCID: PMC7210508.</v>
      </c>
      <c r="AL171" s="880" t="str">
        <f>IFERROR(__xludf.DUMMYFUNCTION("""COMPUTED_VALUE"""),"Côte d'Ivoire")</f>
        <v>Côte d'Ivoire</v>
      </c>
      <c r="AM171" s="880" t="str">
        <f>IFERROR(__xludf.DUMMYFUNCTION("""COMPUTED_VALUE"""),"Albendazole")</f>
        <v>Albendazole</v>
      </c>
      <c r="AN171" s="880" t="str">
        <f>IFERROR(__xludf.DUMMYFUNCTION("""COMPUTED_VALUE"""),"Single")</f>
        <v>Single</v>
      </c>
      <c r="AO171" s="880" t="str">
        <f>IFERROR(__xludf.DUMMYFUNCTION("""COMPUTED_VALUE"""),"600 mg")</f>
        <v>600 mg</v>
      </c>
      <c r="AP171" s="880">
        <f>IFERROR(__xludf.DUMMYFUNCTION("""COMPUTED_VALUE"""),27.0)</f>
        <v>27</v>
      </c>
      <c r="AQ171" s="880">
        <f>IFERROR(__xludf.DUMMYFUNCTION("""COMPUTED_VALUE"""),4.0)</f>
        <v>4</v>
      </c>
      <c r="AR171" s="880" t="str">
        <f>IFERROR(__xludf.DUMMYFUNCTION("""COMPUTED_VALUE"""),"9M:18F")</f>
        <v>9M:18F</v>
      </c>
      <c r="AS171" s="880">
        <f>IFERROR(__xludf.DUMMYFUNCTION("""COMPUTED_VALUE"""),2018.0)</f>
        <v>2018</v>
      </c>
      <c r="AT171" s="880" t="str">
        <f>IFERROR(__xludf.DUMMYFUNCTION("""COMPUTED_VALUE"""),"PSAC, SAC, and adults were eligible if they provided two stool samples and were positive for T. trichiura. Only PSAC with T. trichiura infection intensities 60 eggs per gram of stool (EPG) and SAC and adults with T. trichiura infection intensities 100 EPG"&amp;" were included in the trial.")</f>
        <v>PSAC, SAC, and adults were eligible if they provided two stool samples and were positive for T. trichiura. Only PSAC with T. trichiura infection intensities 60 eggs per gram of stool (EPG) and SAC and adults with T. trichiura infection intensities 100 EPG were included in the trial.</v>
      </c>
      <c r="AU171" s="880" t="str">
        <f>IFERROR(__xludf.DUMMYFUNCTION("""COMPUTED_VALUE"""),"Yes")</f>
        <v>Yes</v>
      </c>
      <c r="AV171" s="880" t="str">
        <f>IFERROR(__xludf.DUMMYFUNCTION("""COMPUTED_VALUE"""),"Yes")</f>
        <v>Yes</v>
      </c>
      <c r="AW171" s="881" t="str">
        <f>IFERROR(__xludf.DUMMYFUNCTION("""COMPUTED_VALUE"""),"Single-blind")</f>
        <v>Single-blind</v>
      </c>
      <c r="AX171" s="863">
        <f>IFERROR(__xludf.DUMMYFUNCTION("""COMPUTED_VALUE"""),0.278)</f>
        <v>0.278</v>
      </c>
      <c r="AY171" s="863"/>
      <c r="AZ171" s="863"/>
      <c r="BA171" s="863"/>
      <c r="BB171" s="863"/>
      <c r="BC171" s="863"/>
      <c r="BD171" s="863"/>
      <c r="BE171" s="863"/>
      <c r="BF171" s="863"/>
      <c r="BG171" s="863"/>
      <c r="BH171" s="863">
        <f>IFERROR(__xludf.DUMMYFUNCTION("""COMPUTED_VALUE"""),0.82)</f>
        <v>0.82</v>
      </c>
      <c r="BI171" s="863"/>
      <c r="BJ171" s="863"/>
      <c r="BK171" s="863"/>
      <c r="BL171" s="863"/>
      <c r="BM171" s="863"/>
      <c r="BN171" s="863" t="str">
        <f>IFERROR(__xludf.DUMMYFUNCTION("""COMPUTED_VALUE"""),"Albendazole shows low efficacy against T. trichiura in all populations and doses studied, though findings for PSAC and adults should be carefully interpreted as recruitment targets were not met. New drugs, treatment regimens, and combinations are needed i"&amp;"n the management of T. trichiura infections")</f>
        <v>Albendazole shows low efficacy against T. trichiura in all populations and doses studied, though findings for PSAC and adults should be carefully interpreted as recruitment targets were not met. New drugs, treatment regimens, and combinations are needed in the management of T. trichiura infections</v>
      </c>
      <c r="BO171" s="863" t="str">
        <f>IFERROR(__xludf.DUMMYFUNCTION("""COMPUTED_VALUE"""),"Kato-Katz technique")</f>
        <v>Kato-Katz technique</v>
      </c>
      <c r="BP171" s="880"/>
      <c r="BQ171" s="863"/>
      <c r="BR171" s="889" t="str">
        <f>IFERROR(__xludf.DUMMYFUNCTION("""COMPUTED_VALUE"""),"Vercruysse et al.")</f>
        <v>Vercruysse et al.</v>
      </c>
      <c r="BS171" s="883" t="str">
        <f>IFERROR(__xludf.DUMMYFUNCTION("""COMPUTED_VALUE"""),"Vietnam")</f>
        <v>Vietnam</v>
      </c>
      <c r="BT171" s="883" t="str">
        <f>IFERROR(__xludf.DUMMYFUNCTION("""COMPUTED_VALUE"""),"Albendazole")</f>
        <v>Albendazole</v>
      </c>
      <c r="BU171" s="883"/>
      <c r="BV171" s="883" t="str">
        <f>IFERROR(__xludf.DUMMYFUNCTION("""COMPUTED_VALUE"""),"Single")</f>
        <v>Single</v>
      </c>
      <c r="BW171" s="883" t="str">
        <f>IFERROR(__xludf.DUMMYFUNCTION("""COMPUTED_VALUE"""),"400 mg")</f>
        <v>400 mg</v>
      </c>
      <c r="BX171" s="883">
        <f>IFERROR(__xludf.DUMMYFUNCTION("""COMPUTED_VALUE"""),148.0)</f>
        <v>148</v>
      </c>
      <c r="BY171" s="890">
        <f>IFERROR(__xludf.DUMMYFUNCTION("""COMPUTED_VALUE"""),42478.0)</f>
        <v>42478</v>
      </c>
      <c r="BZ171" s="883"/>
      <c r="CA171" s="883"/>
      <c r="CB171" s="883"/>
      <c r="CC171" s="883" t="str">
        <f>IFERROR(__xludf.DUMMYFUNCTION("""COMPUTED_VALUE"""),"No")</f>
        <v>No</v>
      </c>
      <c r="CD171" s="884">
        <f>IFERROR(__xludf.DUMMYFUNCTION("""COMPUTED_VALUE"""),0.99)</f>
        <v>0.99</v>
      </c>
      <c r="CE171" s="883" t="str">
        <f>IFERROR(__xludf.DUMMYFUNCTION("""COMPUTED_VALUE"""),"No")</f>
        <v>No</v>
      </c>
      <c r="CF171" s="883"/>
      <c r="CG171" s="883" t="str">
        <f>IFERROR(__xludf.DUMMYFUNCTION("""COMPUTED_VALUE"""),"99% (Day 14-30)")</f>
        <v>99% (Day 14-30)</v>
      </c>
      <c r="CH171" s="883"/>
      <c r="CI171" s="883"/>
      <c r="CJ171" s="883"/>
      <c r="CK171" s="883"/>
      <c r="CL171" s="883"/>
      <c r="CM171" s="891">
        <f>IFERROR(__xludf.DUMMYFUNCTION("""COMPUTED_VALUE"""),1.0)</f>
        <v>1</v>
      </c>
      <c r="CN171" s="883"/>
      <c r="CO171" s="883"/>
      <c r="CP171" s="883"/>
      <c r="CQ171" s="883"/>
      <c r="CR171" s="883"/>
      <c r="CS171" s="883"/>
      <c r="CT171" s="883"/>
      <c r="CU171" s="883"/>
      <c r="CV171" s="863"/>
      <c r="CW171" s="863"/>
      <c r="CX171" s="863"/>
      <c r="CY171" s="863"/>
      <c r="CZ171" s="863"/>
      <c r="DA171" s="863"/>
      <c r="DB171" s="863"/>
      <c r="DC171" s="863"/>
      <c r="DD171" s="863"/>
      <c r="DE171" s="863"/>
    </row>
    <row r="172">
      <c r="A172" s="876"/>
      <c r="B172" s="876"/>
      <c r="C172" s="876"/>
      <c r="D172" s="876"/>
      <c r="E172" s="876"/>
      <c r="F172" s="876"/>
      <c r="G172" s="876"/>
      <c r="H172" s="876"/>
      <c r="I172" s="876"/>
      <c r="J172" s="876"/>
      <c r="K172" s="876"/>
      <c r="L172" s="876"/>
      <c r="M172" s="876"/>
      <c r="N172" s="877"/>
      <c r="O172" s="876"/>
      <c r="P172" s="876"/>
      <c r="Q172" s="876"/>
      <c r="R172" s="876"/>
      <c r="S172" s="876"/>
      <c r="T172" s="876"/>
      <c r="U172" s="876"/>
      <c r="V172" s="876"/>
      <c r="W172" s="876"/>
      <c r="X172" s="876"/>
      <c r="Y172" s="876"/>
      <c r="Z172" s="876"/>
      <c r="AA172" s="876"/>
      <c r="AB172" s="876"/>
      <c r="AC172" s="876"/>
      <c r="AD172" s="876"/>
      <c r="AE172" s="876"/>
      <c r="AF172" s="876"/>
      <c r="AG172" s="876"/>
      <c r="AH172" s="876"/>
      <c r="AI172" s="878"/>
      <c r="AJ172" s="888" t="str">
        <f>IFERROR(__xludf.DUMMYFUNCTION("""COMPUTED_VALUE"""),"Efficacy and safety of ascending dosages of albendazole against Trichuris trichiura in preschool-aged children, school-aged children and adults: A multi-cohort randomized controlled trial")</f>
        <v>Efficacy and safety of ascending dosages of albendazole against Trichuris trichiura in preschool-aged children, school-aged children and adults: A multi-cohort randomized controlled trial</v>
      </c>
      <c r="AK172" s="880" t="str">
        <f>IFERROR(__xludf.DUMMYFUNCTION("""COMPUTED_VALUE"""),"Patel C, Coulibaly JT, Schulz JD, N'Gbesso Y, Hattendorf J, Keiser J. Efficacy and safety of ascending dosages of albendazole against Trichuris trichiura in preschool-aged children, school-aged children and adults: A multi-cohort randomized controlled tri"&amp;"al. EClinicalMedicine. 2020 May 5;22:100335. doi: 10.1016/j.eclinm.2020.100335. PMID: 32405623; PMCID: PMC7210508.")</f>
        <v>Patel C, Coulibaly JT, Schulz JD, N'Gbesso Y, Hattendorf J, Keiser J. Efficacy and safety of ascending dosages of albendazole against Trichuris trichiura in preschool-aged children, school-aged children and adults: A multi-cohort randomized controlled trial. EClinicalMedicine. 2020 May 5;22:100335. doi: 10.1016/j.eclinm.2020.100335. PMID: 32405623; PMCID: PMC7210508.</v>
      </c>
      <c r="AL172" s="880" t="str">
        <f>IFERROR(__xludf.DUMMYFUNCTION("""COMPUTED_VALUE"""),"Côte d'Ivoire")</f>
        <v>Côte d'Ivoire</v>
      </c>
      <c r="AM172" s="880" t="str">
        <f>IFERROR(__xludf.DUMMYFUNCTION("""COMPUTED_VALUE"""),"Albendazole")</f>
        <v>Albendazole</v>
      </c>
      <c r="AN172" s="880" t="str">
        <f>IFERROR(__xludf.DUMMYFUNCTION("""COMPUTED_VALUE"""),"Single")</f>
        <v>Single</v>
      </c>
      <c r="AO172" s="880" t="str">
        <f>IFERROR(__xludf.DUMMYFUNCTION("""COMPUTED_VALUE"""),"400 mg")</f>
        <v>400 mg</v>
      </c>
      <c r="AP172" s="880">
        <f>IFERROR(__xludf.DUMMYFUNCTION("""COMPUTED_VALUE"""),45.0)</f>
        <v>45</v>
      </c>
      <c r="AQ172" s="880">
        <f>IFERROR(__xludf.DUMMYFUNCTION("""COMPUTED_VALUE"""),8.9)</f>
        <v>8.9</v>
      </c>
      <c r="AR172" s="880" t="str">
        <f>IFERROR(__xludf.DUMMYFUNCTION("""COMPUTED_VALUE"""),"30M:15F")</f>
        <v>30M:15F</v>
      </c>
      <c r="AS172" s="880">
        <f>IFERROR(__xludf.DUMMYFUNCTION("""COMPUTED_VALUE"""),2018.0)</f>
        <v>2018</v>
      </c>
      <c r="AT172" s="880" t="str">
        <f>IFERROR(__xludf.DUMMYFUNCTION("""COMPUTED_VALUE"""),"PSAC, SAC, and adults were eligible if they provided two stool samples and were positive for T. trichiura. Only PSAC with T. trichiura infection intensities 60 eggs per gram of stool (EPG) and SAC and adults with T. trichiura infection intensities 100 EPG"&amp;" were included in the trial.")</f>
        <v>PSAC, SAC, and adults were eligible if they provided two stool samples and were positive for T. trichiura. Only PSAC with T. trichiura infection intensities 60 eggs per gram of stool (EPG) and SAC and adults with T. trichiura infection intensities 100 EPG were included in the trial.</v>
      </c>
      <c r="AU172" s="880" t="str">
        <f>IFERROR(__xludf.DUMMYFUNCTION("""COMPUTED_VALUE"""),"Yes")</f>
        <v>Yes</v>
      </c>
      <c r="AV172" s="880" t="str">
        <f>IFERROR(__xludf.DUMMYFUNCTION("""COMPUTED_VALUE"""),"Yes")</f>
        <v>Yes</v>
      </c>
      <c r="AW172" s="881" t="str">
        <f>IFERROR(__xludf.DUMMYFUNCTION("""COMPUTED_VALUE"""),"Single-blind")</f>
        <v>Single-blind</v>
      </c>
      <c r="AX172" s="863">
        <f>IFERROR(__xludf.DUMMYFUNCTION("""COMPUTED_VALUE"""),0.163)</f>
        <v>0.163</v>
      </c>
      <c r="AY172" s="863"/>
      <c r="AZ172" s="863"/>
      <c r="BA172" s="863"/>
      <c r="BB172" s="863"/>
      <c r="BC172" s="863"/>
      <c r="BD172" s="863"/>
      <c r="BE172" s="863"/>
      <c r="BF172" s="863"/>
      <c r="BG172" s="863"/>
      <c r="BH172" s="863">
        <f>IFERROR(__xludf.DUMMYFUNCTION("""COMPUTED_VALUE"""),0.884)</f>
        <v>0.884</v>
      </c>
      <c r="BI172" s="863"/>
      <c r="BJ172" s="863"/>
      <c r="BK172" s="863"/>
      <c r="BL172" s="863"/>
      <c r="BM172" s="863"/>
      <c r="BN172" s="863" t="str">
        <f>IFERROR(__xludf.DUMMYFUNCTION("""COMPUTED_VALUE"""),"Albendazole shows low efficacy against T. trichiura in all populations and doses studied, though findings for PSAC and adults should be carefully interpreted as recruitment targets were not met. New drugs, treatment regimens, and combinations are needed i"&amp;"n the management of T. trichiura infections")</f>
        <v>Albendazole shows low efficacy against T. trichiura in all populations and doses studied, though findings for PSAC and adults should be carefully interpreted as recruitment targets were not met. New drugs, treatment regimens, and combinations are needed in the management of T. trichiura infections</v>
      </c>
      <c r="BO172" s="863" t="str">
        <f>IFERROR(__xludf.DUMMYFUNCTION("""COMPUTED_VALUE"""),"Kato-Katz technique")</f>
        <v>Kato-Katz technique</v>
      </c>
      <c r="BP172" s="880"/>
      <c r="BQ172" s="863"/>
      <c r="BR172" s="889" t="str">
        <f>IFERROR(__xludf.DUMMYFUNCTION("""COMPUTED_VALUE"""),"Norhayati et al.")</f>
        <v>Norhayati et al.</v>
      </c>
      <c r="BS172" s="883" t="str">
        <f>IFERROR(__xludf.DUMMYFUNCTION("""COMPUTED_VALUE"""),"Malaysia")</f>
        <v>Malaysia</v>
      </c>
      <c r="BT172" s="883" t="str">
        <f>IFERROR(__xludf.DUMMYFUNCTION("""COMPUTED_VALUE"""),"Albendazole")</f>
        <v>Albendazole</v>
      </c>
      <c r="BU172" s="883"/>
      <c r="BV172" s="883" t="str">
        <f>IFERROR(__xludf.DUMMYFUNCTION("""COMPUTED_VALUE"""),"Single")</f>
        <v>Single</v>
      </c>
      <c r="BW172" s="883" t="str">
        <f>IFERROR(__xludf.DUMMYFUNCTION("""COMPUTED_VALUE"""),"400 mg")</f>
        <v>400 mg</v>
      </c>
      <c r="BX172" s="883">
        <f>IFERROR(__xludf.DUMMYFUNCTION("""COMPUTED_VALUE"""),123.0)</f>
        <v>123</v>
      </c>
      <c r="BY172" s="890">
        <f>IFERROR(__xludf.DUMMYFUNCTION("""COMPUTED_VALUE"""),42382.0)</f>
        <v>42382</v>
      </c>
      <c r="BZ172" s="883">
        <f>IFERROR(__xludf.DUMMYFUNCTION("""COMPUTED_VALUE"""),1997.0)</f>
        <v>1997</v>
      </c>
      <c r="CA172" s="883"/>
      <c r="CB172" s="883"/>
      <c r="CC172" s="883" t="str">
        <f>IFERROR(__xludf.DUMMYFUNCTION("""COMPUTED_VALUE"""),"No")</f>
        <v>No</v>
      </c>
      <c r="CD172" s="884">
        <f>IFERROR(__xludf.DUMMYFUNCTION("""COMPUTED_VALUE"""),0.974)</f>
        <v>0.974</v>
      </c>
      <c r="CE172" s="883" t="str">
        <f>IFERROR(__xludf.DUMMYFUNCTION("""COMPUTED_VALUE"""),"No")</f>
        <v>No</v>
      </c>
      <c r="CF172" s="883"/>
      <c r="CG172" s="883"/>
      <c r="CH172" s="884">
        <f>IFERROR(__xludf.DUMMYFUNCTION("""COMPUTED_VALUE"""),0.974)</f>
        <v>0.974</v>
      </c>
      <c r="CI172" s="883"/>
      <c r="CJ172" s="883"/>
      <c r="CK172" s="883"/>
      <c r="CL172" s="884">
        <f>IFERROR(__xludf.DUMMYFUNCTION("""COMPUTED_VALUE"""),0.4286)</f>
        <v>0.4286</v>
      </c>
      <c r="CM172" s="884">
        <f>IFERROR(__xludf.DUMMYFUNCTION("""COMPUTED_VALUE"""),0.999)</f>
        <v>0.999</v>
      </c>
      <c r="CN172" s="883"/>
      <c r="CO172" s="883"/>
      <c r="CP172" s="883"/>
      <c r="CQ172" s="883"/>
      <c r="CR172" s="883"/>
      <c r="CS172" s="883"/>
      <c r="CT172" s="883" t="str">
        <f>IFERROR(__xludf.DUMMYFUNCTION("""COMPUTED_VALUE"""),"Kato-Katz Method")</f>
        <v>Kato-Katz Method</v>
      </c>
      <c r="CU172" s="883"/>
      <c r="CV172" s="863"/>
      <c r="CW172" s="863"/>
      <c r="CX172" s="863"/>
      <c r="CY172" s="863"/>
      <c r="CZ172" s="863"/>
      <c r="DA172" s="863"/>
      <c r="DB172" s="863"/>
      <c r="DC172" s="863"/>
      <c r="DD172" s="863"/>
      <c r="DE172" s="863"/>
    </row>
    <row r="173">
      <c r="A173" s="876"/>
      <c r="B173" s="876"/>
      <c r="C173" s="876"/>
      <c r="D173" s="876"/>
      <c r="E173" s="876"/>
      <c r="F173" s="876"/>
      <c r="G173" s="876"/>
      <c r="H173" s="876"/>
      <c r="I173" s="876"/>
      <c r="J173" s="876"/>
      <c r="K173" s="876"/>
      <c r="L173" s="876"/>
      <c r="M173" s="876"/>
      <c r="N173" s="877"/>
      <c r="O173" s="876"/>
      <c r="P173" s="876"/>
      <c r="Q173" s="876"/>
      <c r="R173" s="876"/>
      <c r="S173" s="876"/>
      <c r="T173" s="876"/>
      <c r="U173" s="876"/>
      <c r="V173" s="876"/>
      <c r="W173" s="876"/>
      <c r="X173" s="876"/>
      <c r="Y173" s="876"/>
      <c r="Z173" s="876"/>
      <c r="AA173" s="876"/>
      <c r="AB173" s="876"/>
      <c r="AC173" s="876"/>
      <c r="AD173" s="876"/>
      <c r="AE173" s="876"/>
      <c r="AF173" s="876"/>
      <c r="AG173" s="876"/>
      <c r="AH173" s="876"/>
      <c r="AI173" s="878"/>
      <c r="AJ173" s="888" t="str">
        <f>IFERROR(__xludf.DUMMYFUNCTION("""COMPUTED_VALUE"""),"Efficacy and safety of ascending dosages of albendazole against Trichuris trichiura in preschool-aged children, school-aged children and adults: A multi-cohort randomized controlled trial")</f>
        <v>Efficacy and safety of ascending dosages of albendazole against Trichuris trichiura in preschool-aged children, school-aged children and adults: A multi-cohort randomized controlled trial</v>
      </c>
      <c r="AK173" s="880" t="str">
        <f>IFERROR(__xludf.DUMMYFUNCTION("""COMPUTED_VALUE"""),"Patel C, Coulibaly JT, Schulz JD, N'Gbesso Y, Hattendorf J, Keiser J. Efficacy and safety of ascending dosages of albendazole against Trichuris trichiura in preschool-aged children, school-aged children and adults: A multi-cohort randomized controlled tri"&amp;"al. EClinicalMedicine. 2020 May 5;22:100335. doi: 10.1016/j.eclinm.2020.100335. PMID: 32405623; PMCID: PMC7210508.")</f>
        <v>Patel C, Coulibaly JT, Schulz JD, N'Gbesso Y, Hattendorf J, Keiser J. Efficacy and safety of ascending dosages of albendazole against Trichuris trichiura in preschool-aged children, school-aged children and adults: A multi-cohort randomized controlled trial. EClinicalMedicine. 2020 May 5;22:100335. doi: 10.1016/j.eclinm.2020.100335. PMID: 32405623; PMCID: PMC7210508.</v>
      </c>
      <c r="AL173" s="880" t="str">
        <f>IFERROR(__xludf.DUMMYFUNCTION("""COMPUTED_VALUE"""),"Côte d'Ivoire")</f>
        <v>Côte d'Ivoire</v>
      </c>
      <c r="AM173" s="880" t="str">
        <f>IFERROR(__xludf.DUMMYFUNCTION("""COMPUTED_VALUE"""),"Albendazole")</f>
        <v>Albendazole</v>
      </c>
      <c r="AN173" s="880" t="str">
        <f>IFERROR(__xludf.DUMMYFUNCTION("""COMPUTED_VALUE"""),"Single")</f>
        <v>Single</v>
      </c>
      <c r="AO173" s="880" t="str">
        <f>IFERROR(__xludf.DUMMYFUNCTION("""COMPUTED_VALUE"""),"600 mg")</f>
        <v>600 mg</v>
      </c>
      <c r="AP173" s="880">
        <f>IFERROR(__xludf.DUMMYFUNCTION("""COMPUTED_VALUE"""),46.0)</f>
        <v>46</v>
      </c>
      <c r="AQ173" s="880">
        <f>IFERROR(__xludf.DUMMYFUNCTION("""COMPUTED_VALUE"""),8.7)</f>
        <v>8.7</v>
      </c>
      <c r="AR173" s="880" t="str">
        <f>IFERROR(__xludf.DUMMYFUNCTION("""COMPUTED_VALUE"""),"27M:19F")</f>
        <v>27M:19F</v>
      </c>
      <c r="AS173" s="880">
        <f>IFERROR(__xludf.DUMMYFUNCTION("""COMPUTED_VALUE"""),2018.0)</f>
        <v>2018</v>
      </c>
      <c r="AT173" s="880" t="str">
        <f>IFERROR(__xludf.DUMMYFUNCTION("""COMPUTED_VALUE"""),"PSAC, SAC, and adults were eligible if they provided two stool samples and were positive for T. trichiura. Only PSAC with T. trichiura infection intensities 60 eggs per gram of stool (EPG) and SAC and adults with T. trichiura infection intensities 100 EPG"&amp;" were included in the trial.")</f>
        <v>PSAC, SAC, and adults were eligible if they provided two stool samples and were positive for T. trichiura. Only PSAC with T. trichiura infection intensities 60 eggs per gram of stool (EPG) and SAC and adults with T. trichiura infection intensities 100 EPG were included in the trial.</v>
      </c>
      <c r="AU173" s="880" t="str">
        <f>IFERROR(__xludf.DUMMYFUNCTION("""COMPUTED_VALUE"""),"Yes")</f>
        <v>Yes</v>
      </c>
      <c r="AV173" s="880" t="str">
        <f>IFERROR(__xludf.DUMMYFUNCTION("""COMPUTED_VALUE"""),"Yes")</f>
        <v>Yes</v>
      </c>
      <c r="AW173" s="881" t="str">
        <f>IFERROR(__xludf.DUMMYFUNCTION("""COMPUTED_VALUE"""),"Single-blind")</f>
        <v>Single-blind</v>
      </c>
      <c r="AX173" s="863">
        <f>IFERROR(__xludf.DUMMYFUNCTION("""COMPUTED_VALUE"""),0.256)</f>
        <v>0.256</v>
      </c>
      <c r="AY173" s="863"/>
      <c r="AZ173" s="863"/>
      <c r="BA173" s="863"/>
      <c r="BB173" s="863"/>
      <c r="BC173" s="863"/>
      <c r="BD173" s="863"/>
      <c r="BE173" s="863"/>
      <c r="BF173" s="863"/>
      <c r="BG173" s="863"/>
      <c r="BH173" s="863">
        <f>IFERROR(__xludf.DUMMYFUNCTION("""COMPUTED_VALUE"""),0.788)</f>
        <v>0.788</v>
      </c>
      <c r="BI173" s="863"/>
      <c r="BJ173" s="863"/>
      <c r="BK173" s="863"/>
      <c r="BL173" s="863"/>
      <c r="BM173" s="863"/>
      <c r="BN173" s="863" t="str">
        <f>IFERROR(__xludf.DUMMYFUNCTION("""COMPUTED_VALUE"""),"Albendazole shows low efficacy against T. trichiura in all populations and doses studied, though findings for PSAC and adults should be carefully interpreted as recruitment targets were not met. New drugs, treatment regimens, and combinations are needed i"&amp;"n the management of T. trichiura infections")</f>
        <v>Albendazole shows low efficacy against T. trichiura in all populations and doses studied, though findings for PSAC and adults should be carefully interpreted as recruitment targets were not met. New drugs, treatment regimens, and combinations are needed in the management of T. trichiura infections</v>
      </c>
      <c r="BO173" s="863" t="str">
        <f>IFERROR(__xludf.DUMMYFUNCTION("""COMPUTED_VALUE"""),"Kato-Katz technique")</f>
        <v>Kato-Katz technique</v>
      </c>
      <c r="BP173" s="880"/>
      <c r="BQ173" s="863"/>
      <c r="BR173" s="889" t="str">
        <f>IFERROR(__xludf.DUMMYFUNCTION("""COMPUTED_VALUE"""),"Wen et al.")</f>
        <v>Wen et al.</v>
      </c>
      <c r="BS173" s="883" t="str">
        <f>IFERROR(__xludf.DUMMYFUNCTION("""COMPUTED_VALUE"""),"China")</f>
        <v>China</v>
      </c>
      <c r="BT173" s="883" t="str">
        <f>IFERROR(__xludf.DUMMYFUNCTION("""COMPUTED_VALUE"""),"Ivermectin")</f>
        <v>Ivermectin</v>
      </c>
      <c r="BU173" s="883"/>
      <c r="BV173" s="883" t="str">
        <f>IFERROR(__xludf.DUMMYFUNCTION("""COMPUTED_VALUE"""),"Single")</f>
        <v>Single</v>
      </c>
      <c r="BW173" s="883" t="str">
        <f>IFERROR(__xludf.DUMMYFUNCTION("""COMPUTED_VALUE"""),"0.2 mg")</f>
        <v>0.2 mg</v>
      </c>
      <c r="BX173" s="883">
        <f>IFERROR(__xludf.DUMMYFUNCTION("""COMPUTED_VALUE"""),102.0)</f>
        <v>102</v>
      </c>
      <c r="BY173" s="890">
        <f>IFERROR(__xludf.DUMMYFUNCTION("""COMPUTED_VALUE"""),42382.0)</f>
        <v>42382</v>
      </c>
      <c r="BZ173" s="883"/>
      <c r="CA173" s="883" t="str">
        <f>IFERROR(__xludf.DUMMYFUNCTION("""COMPUTED_VALUE"""),"36 male; 66 female")</f>
        <v>36 male; 66 female</v>
      </c>
      <c r="CB173" s="883"/>
      <c r="CC173" s="883" t="str">
        <f>IFERROR(__xludf.DUMMYFUNCTION("""COMPUTED_VALUE"""),"Yes")</f>
        <v>Yes</v>
      </c>
      <c r="CD173" s="884">
        <f>IFERROR(__xludf.DUMMYFUNCTION("""COMPUTED_VALUE"""),1.0)</f>
        <v>1</v>
      </c>
      <c r="CE173" s="883" t="str">
        <f>IFERROR(__xludf.DUMMYFUNCTION("""COMPUTED_VALUE"""),"Yes")</f>
        <v>Yes</v>
      </c>
      <c r="CF173" s="883"/>
      <c r="CG173" s="883"/>
      <c r="CH173" s="883"/>
      <c r="CI173" s="883"/>
      <c r="CJ173" s="883"/>
      <c r="CK173" s="883"/>
      <c r="CL173" s="883"/>
      <c r="CM173" s="884">
        <f>IFERROR(__xludf.DUMMYFUNCTION("""COMPUTED_VALUE"""),1.0)</f>
        <v>1</v>
      </c>
      <c r="CN173" s="883"/>
      <c r="CO173" s="883"/>
      <c r="CP173" s="883"/>
      <c r="CQ173" s="883"/>
      <c r="CR173" s="883"/>
      <c r="CS173" s="883"/>
      <c r="CT173" s="883" t="str">
        <f>IFERROR(__xludf.DUMMYFUNCTION("""COMPUTED_VALUE"""),"Kato-Katz Method")</f>
        <v>Kato-Katz Method</v>
      </c>
      <c r="CU173" s="883"/>
      <c r="CV173" s="863"/>
      <c r="CW173" s="863"/>
      <c r="CX173" s="863"/>
      <c r="CY173" s="863"/>
      <c r="CZ173" s="863"/>
      <c r="DA173" s="863"/>
      <c r="DB173" s="863"/>
      <c r="DC173" s="863"/>
      <c r="DD173" s="863"/>
      <c r="DE173" s="863"/>
    </row>
    <row r="174">
      <c r="A174" s="876"/>
      <c r="B174" s="876"/>
      <c r="C174" s="876"/>
      <c r="D174" s="876"/>
      <c r="E174" s="876"/>
      <c r="F174" s="876"/>
      <c r="G174" s="876"/>
      <c r="H174" s="876"/>
      <c r="I174" s="876"/>
      <c r="J174" s="876"/>
      <c r="K174" s="876"/>
      <c r="L174" s="876"/>
      <c r="M174" s="876"/>
      <c r="N174" s="877"/>
      <c r="O174" s="876"/>
      <c r="P174" s="876"/>
      <c r="Q174" s="876"/>
      <c r="R174" s="876"/>
      <c r="S174" s="876"/>
      <c r="T174" s="876"/>
      <c r="U174" s="876"/>
      <c r="V174" s="876"/>
      <c r="W174" s="876"/>
      <c r="X174" s="876"/>
      <c r="Y174" s="876"/>
      <c r="Z174" s="876"/>
      <c r="AA174" s="876"/>
      <c r="AB174" s="876"/>
      <c r="AC174" s="876"/>
      <c r="AD174" s="876"/>
      <c r="AE174" s="876"/>
      <c r="AF174" s="876"/>
      <c r="AG174" s="876"/>
      <c r="AH174" s="876"/>
      <c r="AI174" s="878"/>
      <c r="AJ174" s="888" t="str">
        <f>IFERROR(__xludf.DUMMYFUNCTION("""COMPUTED_VALUE"""),"Efficacy and safety of ascending dosages of albendazole against Trichuris trichiura in preschool-aged children, school-aged children and adults: A multi-cohort randomized controlled trial")</f>
        <v>Efficacy and safety of ascending dosages of albendazole against Trichuris trichiura in preschool-aged children, school-aged children and adults: A multi-cohort randomized controlled trial</v>
      </c>
      <c r="AK174" s="880" t="str">
        <f>IFERROR(__xludf.DUMMYFUNCTION("""COMPUTED_VALUE"""),"Patel C, Coulibaly JT, Schulz JD, N'Gbesso Y, Hattendorf J, Keiser J. Efficacy and safety of ascending dosages of albendazole against Trichuris trichiura in preschool-aged children, school-aged children and adults: A multi-cohort randomized controlled tri"&amp;"al. EClinicalMedicine. 2020 May 5;22:100335. doi: 10.1016/j.eclinm.2020.100335. PMID: 32405623; PMCID: PMC7210508.")</f>
        <v>Patel C, Coulibaly JT, Schulz JD, N'Gbesso Y, Hattendorf J, Keiser J. Efficacy and safety of ascending dosages of albendazole against Trichuris trichiura in preschool-aged children, school-aged children and adults: A multi-cohort randomized controlled trial. EClinicalMedicine. 2020 May 5;22:100335. doi: 10.1016/j.eclinm.2020.100335. PMID: 32405623; PMCID: PMC7210508.</v>
      </c>
      <c r="AL174" s="880" t="str">
        <f>IFERROR(__xludf.DUMMYFUNCTION("""COMPUTED_VALUE"""),"Côte d'Ivoire")</f>
        <v>Côte d'Ivoire</v>
      </c>
      <c r="AM174" s="880" t="str">
        <f>IFERROR(__xludf.DUMMYFUNCTION("""COMPUTED_VALUE"""),"Albendazole")</f>
        <v>Albendazole</v>
      </c>
      <c r="AN174" s="880" t="str">
        <f>IFERROR(__xludf.DUMMYFUNCTION("""COMPUTED_VALUE"""),"Single")</f>
        <v>Single</v>
      </c>
      <c r="AO174" s="880" t="str">
        <f>IFERROR(__xludf.DUMMYFUNCTION("""COMPUTED_VALUE"""),"800 mg")</f>
        <v>800 mg</v>
      </c>
      <c r="AP174" s="880">
        <f>IFERROR(__xludf.DUMMYFUNCTION("""COMPUTED_VALUE"""),43.0)</f>
        <v>43</v>
      </c>
      <c r="AQ174" s="880">
        <f>IFERROR(__xludf.DUMMYFUNCTION("""COMPUTED_VALUE"""),8.8)</f>
        <v>8.8</v>
      </c>
      <c r="AR174" s="880" t="str">
        <f>IFERROR(__xludf.DUMMYFUNCTION("""COMPUTED_VALUE"""),"26M:17F")</f>
        <v>26M:17F</v>
      </c>
      <c r="AS174" s="880">
        <f>IFERROR(__xludf.DUMMYFUNCTION("""COMPUTED_VALUE"""),2018.0)</f>
        <v>2018</v>
      </c>
      <c r="AT174" s="880" t="str">
        <f>IFERROR(__xludf.DUMMYFUNCTION("""COMPUTED_VALUE"""),"PSAC, SAC, and adults were eligible if they provided two stool samples and were positive for T. trichiura. Only PSAC with T. trichiura infection intensities 60 eggs per gram of stool (EPG) and SAC and adults with T. trichiura infection intensities 100 EPG"&amp;" were included in the trial.")</f>
        <v>PSAC, SAC, and adults were eligible if they provided two stool samples and were positive for T. trichiura. Only PSAC with T. trichiura infection intensities 60 eggs per gram of stool (EPG) and SAC and adults with T. trichiura infection intensities 100 EPG were included in the trial.</v>
      </c>
      <c r="AU174" s="880" t="str">
        <f>IFERROR(__xludf.DUMMYFUNCTION("""COMPUTED_VALUE"""),"Yes")</f>
        <v>Yes</v>
      </c>
      <c r="AV174" s="880" t="str">
        <f>IFERROR(__xludf.DUMMYFUNCTION("""COMPUTED_VALUE"""),"Yes")</f>
        <v>Yes</v>
      </c>
      <c r="AW174" s="881" t="str">
        <f>IFERROR(__xludf.DUMMYFUNCTION("""COMPUTED_VALUE"""),"Single-blind")</f>
        <v>Single-blind</v>
      </c>
      <c r="AX174" s="863">
        <f>IFERROR(__xludf.DUMMYFUNCTION("""COMPUTED_VALUE"""),0.171)</f>
        <v>0.171</v>
      </c>
      <c r="AY174" s="863"/>
      <c r="AZ174" s="863"/>
      <c r="BA174" s="863"/>
      <c r="BB174" s="863"/>
      <c r="BC174" s="863"/>
      <c r="BD174" s="863"/>
      <c r="BE174" s="863"/>
      <c r="BF174" s="863"/>
      <c r="BG174" s="863"/>
      <c r="BH174" s="863">
        <f>IFERROR(__xludf.DUMMYFUNCTION("""COMPUTED_VALUE"""),0.977)</f>
        <v>0.977</v>
      </c>
      <c r="BI174" s="863"/>
      <c r="BJ174" s="863"/>
      <c r="BK174" s="863"/>
      <c r="BL174" s="863"/>
      <c r="BM174" s="863"/>
      <c r="BN174" s="863" t="str">
        <f>IFERROR(__xludf.DUMMYFUNCTION("""COMPUTED_VALUE"""),"Albendazole shows low efficacy against T. trichiura in all populations and doses studied, though findings for PSAC and adults should be carefully interpreted as recruitment targets were not met. New drugs, treatment regimens, and combinations are needed i"&amp;"n the management of T. trichiura infections")</f>
        <v>Albendazole shows low efficacy against T. trichiura in all populations and doses studied, though findings for PSAC and adults should be carefully interpreted as recruitment targets were not met. New drugs, treatment regimens, and combinations are needed in the management of T. trichiura infections</v>
      </c>
      <c r="BO174" s="863" t="str">
        <f>IFERROR(__xludf.DUMMYFUNCTION("""COMPUTED_VALUE"""),"Kato-Katz technique")</f>
        <v>Kato-Katz technique</v>
      </c>
      <c r="BP174" s="880"/>
      <c r="BQ174" s="863"/>
      <c r="BR174" s="889" t="str">
        <f>IFERROR(__xludf.DUMMYFUNCTION("""COMPUTED_VALUE"""),"Wen et al.")</f>
        <v>Wen et al.</v>
      </c>
      <c r="BS174" s="883" t="str">
        <f>IFERROR(__xludf.DUMMYFUNCTION("""COMPUTED_VALUE"""),"China")</f>
        <v>China</v>
      </c>
      <c r="BT174" s="883" t="str">
        <f>IFERROR(__xludf.DUMMYFUNCTION("""COMPUTED_VALUE"""),"Albendazole")</f>
        <v>Albendazole</v>
      </c>
      <c r="BU174" s="883"/>
      <c r="BV174" s="883" t="str">
        <f>IFERROR(__xludf.DUMMYFUNCTION("""COMPUTED_VALUE"""),"Single")</f>
        <v>Single</v>
      </c>
      <c r="BW174" s="883" t="str">
        <f>IFERROR(__xludf.DUMMYFUNCTION("""COMPUTED_VALUE"""),"6.7 mg")</f>
        <v>6.7 mg</v>
      </c>
      <c r="BX174" s="883">
        <f>IFERROR(__xludf.DUMMYFUNCTION("""COMPUTED_VALUE"""),102.0)</f>
        <v>102</v>
      </c>
      <c r="BY174" s="890">
        <f>IFERROR(__xludf.DUMMYFUNCTION("""COMPUTED_VALUE"""),42382.0)</f>
        <v>42382</v>
      </c>
      <c r="BZ174" s="883"/>
      <c r="CA174" s="883" t="str">
        <f>IFERROR(__xludf.DUMMYFUNCTION("""COMPUTED_VALUE"""),"43 male; 59 female")</f>
        <v>43 male; 59 female</v>
      </c>
      <c r="CB174" s="883"/>
      <c r="CC174" s="883" t="str">
        <f>IFERROR(__xludf.DUMMYFUNCTION("""COMPUTED_VALUE"""),"Yes")</f>
        <v>Yes</v>
      </c>
      <c r="CD174" s="884">
        <f>IFERROR(__xludf.DUMMYFUNCTION("""COMPUTED_VALUE"""),0.99)</f>
        <v>0.99</v>
      </c>
      <c r="CE174" s="883" t="str">
        <f>IFERROR(__xludf.DUMMYFUNCTION("""COMPUTED_VALUE"""),"Yes")</f>
        <v>Yes</v>
      </c>
      <c r="CF174" s="883"/>
      <c r="CG174" s="883"/>
      <c r="CH174" s="883"/>
      <c r="CI174" s="883"/>
      <c r="CJ174" s="883"/>
      <c r="CK174" s="883"/>
      <c r="CL174" s="883"/>
      <c r="CM174" s="884">
        <f>IFERROR(__xludf.DUMMYFUNCTION("""COMPUTED_VALUE"""),0.985)</f>
        <v>0.985</v>
      </c>
      <c r="CN174" s="883"/>
      <c r="CO174" s="883"/>
      <c r="CP174" s="883"/>
      <c r="CQ174" s="883"/>
      <c r="CR174" s="883"/>
      <c r="CS174" s="883"/>
      <c r="CT174" s="883"/>
      <c r="CU174" s="883"/>
      <c r="CV174" s="863"/>
      <c r="CW174" s="863"/>
      <c r="CX174" s="863"/>
      <c r="CY174" s="863"/>
      <c r="CZ174" s="863"/>
      <c r="DA174" s="863"/>
      <c r="DB174" s="863"/>
      <c r="DC174" s="863"/>
      <c r="DD174" s="863"/>
      <c r="DE174" s="863"/>
    </row>
    <row r="175">
      <c r="A175" s="876"/>
      <c r="B175" s="876"/>
      <c r="C175" s="876"/>
      <c r="D175" s="876"/>
      <c r="E175" s="876"/>
      <c r="F175" s="876"/>
      <c r="G175" s="876"/>
      <c r="H175" s="876"/>
      <c r="I175" s="876"/>
      <c r="J175" s="876"/>
      <c r="K175" s="876"/>
      <c r="L175" s="876"/>
      <c r="M175" s="876"/>
      <c r="N175" s="877"/>
      <c r="O175" s="876"/>
      <c r="P175" s="876"/>
      <c r="Q175" s="876"/>
      <c r="R175" s="876"/>
      <c r="S175" s="876"/>
      <c r="T175" s="876"/>
      <c r="U175" s="876"/>
      <c r="V175" s="876"/>
      <c r="W175" s="876"/>
      <c r="X175" s="876"/>
      <c r="Y175" s="876"/>
      <c r="Z175" s="876"/>
      <c r="AA175" s="876"/>
      <c r="AB175" s="876"/>
      <c r="AC175" s="876"/>
      <c r="AD175" s="876"/>
      <c r="AE175" s="876"/>
      <c r="AF175" s="876"/>
      <c r="AG175" s="876"/>
      <c r="AH175" s="876"/>
      <c r="AI175" s="878"/>
      <c r="AJ175" s="888" t="str">
        <f>IFERROR(__xludf.DUMMYFUNCTION("""COMPUTED_VALUE"""),"Efficacy and safety of ascending dosages of albendazole against Trichuris trichiura in preschool-aged children, school-aged children and adults: A multi-cohort randomized controlled trial")</f>
        <v>Efficacy and safety of ascending dosages of albendazole against Trichuris trichiura in preschool-aged children, school-aged children and adults: A multi-cohort randomized controlled trial</v>
      </c>
      <c r="AK175" s="880" t="str">
        <f>IFERROR(__xludf.DUMMYFUNCTION("""COMPUTED_VALUE"""),"Patel C, Coulibaly JT, Schulz JD, N'Gbesso Y, Hattendorf J, Keiser J. Efficacy and safety of ascending dosages of albendazole against Trichuris trichiura in preschool-aged children, school-aged children and adults: A multi-cohort randomized controlled tri"&amp;"al. EClinicalMedicine. 2020 May 5;22:100335. doi: 10.1016/j.eclinm.2020.100335. PMID: 32405623; PMCID: PMC7210508.")</f>
        <v>Patel C, Coulibaly JT, Schulz JD, N'Gbesso Y, Hattendorf J, Keiser J. Efficacy and safety of ascending dosages of albendazole against Trichuris trichiura in preschool-aged children, school-aged children and adults: A multi-cohort randomized controlled trial. EClinicalMedicine. 2020 May 5;22:100335. doi: 10.1016/j.eclinm.2020.100335. PMID: 32405623; PMCID: PMC7210508.</v>
      </c>
      <c r="AL175" s="880" t="str">
        <f>IFERROR(__xludf.DUMMYFUNCTION("""COMPUTED_VALUE"""),"Côte d'Ivoire")</f>
        <v>Côte d'Ivoire</v>
      </c>
      <c r="AM175" s="880" t="str">
        <f>IFERROR(__xludf.DUMMYFUNCTION("""COMPUTED_VALUE"""),"Albendazole")</f>
        <v>Albendazole</v>
      </c>
      <c r="AN175" s="880" t="str">
        <f>IFERROR(__xludf.DUMMYFUNCTION("""COMPUTED_VALUE"""),"Single")</f>
        <v>Single</v>
      </c>
      <c r="AO175" s="880" t="str">
        <f>IFERROR(__xludf.DUMMYFUNCTION("""COMPUTED_VALUE"""),"400 mg")</f>
        <v>400 mg</v>
      </c>
      <c r="AP175" s="880">
        <f>IFERROR(__xludf.DUMMYFUNCTION("""COMPUTED_VALUE"""),11.0)</f>
        <v>11</v>
      </c>
      <c r="AQ175" s="880">
        <f>IFERROR(__xludf.DUMMYFUNCTION("""COMPUTED_VALUE"""),40.5)</f>
        <v>40.5</v>
      </c>
      <c r="AR175" s="880" t="str">
        <f>IFERROR(__xludf.DUMMYFUNCTION("""COMPUTED_VALUE"""),"2M:9F")</f>
        <v>2M:9F</v>
      </c>
      <c r="AS175" s="880">
        <f>IFERROR(__xludf.DUMMYFUNCTION("""COMPUTED_VALUE"""),2018.0)</f>
        <v>2018</v>
      </c>
      <c r="AT175" s="880" t="str">
        <f>IFERROR(__xludf.DUMMYFUNCTION("""COMPUTED_VALUE"""),"PSAC, SAC, and adults were eligible if they provided two stool samples and were positive for T. trichiura. Only PSAC with T. trichiura infection intensities 60 eggs per gram of stool (EPG) and SAC and adults with T. trichiura infection intensities 100 EPG"&amp;" were included in the trial.")</f>
        <v>PSAC, SAC, and adults were eligible if they provided two stool samples and were positive for T. trichiura. Only PSAC with T. trichiura infection intensities 60 eggs per gram of stool (EPG) and SAC and adults with T. trichiura infection intensities 100 EPG were included in the trial.</v>
      </c>
      <c r="AU175" s="880" t="str">
        <f>IFERROR(__xludf.DUMMYFUNCTION("""COMPUTED_VALUE"""),"Yes")</f>
        <v>Yes</v>
      </c>
      <c r="AV175" s="880" t="str">
        <f>IFERROR(__xludf.DUMMYFUNCTION("""COMPUTED_VALUE"""),"Yes")</f>
        <v>Yes</v>
      </c>
      <c r="AW175" s="881" t="str">
        <f>IFERROR(__xludf.DUMMYFUNCTION("""COMPUTED_VALUE"""),"Single-blind")</f>
        <v>Single-blind</v>
      </c>
      <c r="AX175" s="863">
        <f>IFERROR(__xludf.DUMMYFUNCTION("""COMPUTED_VALUE"""),0.556)</f>
        <v>0.556</v>
      </c>
      <c r="AY175" s="863"/>
      <c r="AZ175" s="863"/>
      <c r="BA175" s="863"/>
      <c r="BB175" s="863"/>
      <c r="BC175" s="863"/>
      <c r="BD175" s="863"/>
      <c r="BE175" s="863"/>
      <c r="BF175" s="863"/>
      <c r="BG175" s="863"/>
      <c r="BH175" s="863">
        <f>IFERROR(__xludf.DUMMYFUNCTION("""COMPUTED_VALUE"""),0.947)</f>
        <v>0.947</v>
      </c>
      <c r="BI175" s="863"/>
      <c r="BJ175" s="863"/>
      <c r="BK175" s="863"/>
      <c r="BL175" s="863"/>
      <c r="BM175" s="863"/>
      <c r="BN175" s="863" t="str">
        <f>IFERROR(__xludf.DUMMYFUNCTION("""COMPUTED_VALUE"""),"Albendazole shows low efficacy against T. trichiura in all populations and doses studied, though findings for PSAC and adults should be carefully interpreted as recruitment targets were not met. New drugs, treatment regimens, and combinations are needed i"&amp;"n the management of T. trichiura infections")</f>
        <v>Albendazole shows low efficacy against T. trichiura in all populations and doses studied, though findings for PSAC and adults should be carefully interpreted as recruitment targets were not met. New drugs, treatment regimens, and combinations are needed in the management of T. trichiura infections</v>
      </c>
      <c r="BO175" s="863" t="str">
        <f>IFERROR(__xludf.DUMMYFUNCTION("""COMPUTED_VALUE"""),"Kato-Katz technique")</f>
        <v>Kato-Katz technique</v>
      </c>
      <c r="BP175" s="880"/>
      <c r="BQ175" s="863"/>
      <c r="BR175" s="889" t="str">
        <f>IFERROR(__xludf.DUMMYFUNCTION("""COMPUTED_VALUE"""),"Das et al")</f>
        <v>Das et al</v>
      </c>
      <c r="BS175" s="883" t="str">
        <f>IFERROR(__xludf.DUMMYFUNCTION("""COMPUTED_VALUE"""),"India ")</f>
        <v>India </v>
      </c>
      <c r="BT175" s="883" t="str">
        <f>IFERROR(__xludf.DUMMYFUNCTION("""COMPUTED_VALUE"""),"Diethylcarbamazine")</f>
        <v>Diethylcarbamazine</v>
      </c>
      <c r="BU175" s="883"/>
      <c r="BV175" s="883" t="str">
        <f>IFERROR(__xludf.DUMMYFUNCTION("""COMPUTED_VALUE"""),"Single")</f>
        <v>Single</v>
      </c>
      <c r="BW175" s="883" t="str">
        <f>IFERROR(__xludf.DUMMYFUNCTION("""COMPUTED_VALUE"""),"6 mg")</f>
        <v>6 mg</v>
      </c>
      <c r="BX175" s="883">
        <f>IFERROR(__xludf.DUMMYFUNCTION("""COMPUTED_VALUE"""),711.0)</f>
        <v>711</v>
      </c>
      <c r="BY175" s="883"/>
      <c r="BZ175" s="883">
        <f>IFERROR(__xludf.DUMMYFUNCTION("""COMPUTED_VALUE"""),1998.0)</f>
        <v>1998</v>
      </c>
      <c r="CA175" s="883"/>
      <c r="CB175" s="883"/>
      <c r="CC175" s="883" t="str">
        <f>IFERROR(__xludf.DUMMYFUNCTION("""COMPUTED_VALUE"""),"Yes")</f>
        <v>Yes</v>
      </c>
      <c r="CD175" s="884">
        <f>IFERROR(__xludf.DUMMYFUNCTION("""COMPUTED_VALUE"""),0.48)</f>
        <v>0.48</v>
      </c>
      <c r="CE175" s="883" t="str">
        <f>IFERROR(__xludf.DUMMYFUNCTION("""COMPUTED_VALUE"""),"Yes")</f>
        <v>Yes</v>
      </c>
      <c r="CF175" s="883"/>
      <c r="CG175" s="883"/>
      <c r="CH175" s="883"/>
      <c r="CI175" s="883"/>
      <c r="CJ175" s="883"/>
      <c r="CK175" s="883"/>
      <c r="CL175" s="883"/>
      <c r="CM175" s="891">
        <f>IFERROR(__xludf.DUMMYFUNCTION("""COMPUTED_VALUE"""),0.65)</f>
        <v>0.65</v>
      </c>
      <c r="CN175" s="883"/>
      <c r="CO175" s="883"/>
      <c r="CP175" s="883"/>
      <c r="CQ175" s="883"/>
      <c r="CR175" s="883"/>
      <c r="CS175" s="883"/>
      <c r="CT175" s="883"/>
      <c r="CU175" s="883"/>
      <c r="CV175" s="863"/>
      <c r="CW175" s="863"/>
      <c r="CX175" s="863"/>
      <c r="CY175" s="863"/>
      <c r="CZ175" s="863"/>
      <c r="DA175" s="863"/>
      <c r="DB175" s="863"/>
      <c r="DC175" s="863"/>
      <c r="DD175" s="863"/>
      <c r="DE175" s="863"/>
    </row>
    <row r="176">
      <c r="A176" s="876"/>
      <c r="B176" s="876"/>
      <c r="C176" s="876"/>
      <c r="D176" s="876"/>
      <c r="E176" s="876"/>
      <c r="F176" s="876"/>
      <c r="G176" s="876"/>
      <c r="H176" s="876"/>
      <c r="I176" s="876"/>
      <c r="J176" s="876"/>
      <c r="K176" s="876"/>
      <c r="L176" s="876"/>
      <c r="M176" s="876"/>
      <c r="N176" s="877"/>
      <c r="O176" s="876"/>
      <c r="P176" s="876"/>
      <c r="Q176" s="876"/>
      <c r="R176" s="876"/>
      <c r="S176" s="876"/>
      <c r="T176" s="876"/>
      <c r="U176" s="876"/>
      <c r="V176" s="876"/>
      <c r="W176" s="876"/>
      <c r="X176" s="876"/>
      <c r="Y176" s="876"/>
      <c r="Z176" s="876"/>
      <c r="AA176" s="876"/>
      <c r="AB176" s="876"/>
      <c r="AC176" s="876"/>
      <c r="AD176" s="876"/>
      <c r="AE176" s="876"/>
      <c r="AF176" s="876"/>
      <c r="AG176" s="876"/>
      <c r="AH176" s="876"/>
      <c r="AI176" s="878"/>
      <c r="AJ176" s="888" t="str">
        <f>IFERROR(__xludf.DUMMYFUNCTION("""COMPUTED_VALUE"""),"Efficacy and safety of ascending dosages of albendazole against Trichuris trichiura in preschool-aged children, school-aged children and adults: A multi-cohort randomized controlled trial")</f>
        <v>Efficacy and safety of ascending dosages of albendazole against Trichuris trichiura in preschool-aged children, school-aged children and adults: A multi-cohort randomized controlled trial</v>
      </c>
      <c r="AK176" s="880" t="str">
        <f>IFERROR(__xludf.DUMMYFUNCTION("""COMPUTED_VALUE"""),"Patel C, Coulibaly JT, Schulz JD, N'Gbesso Y, Hattendorf J, Keiser J. Efficacy and safety of ascending dosages of albendazole against Trichuris trichiura in preschool-aged children, school-aged children and adults: A multi-cohort randomized controlled tri"&amp;"al. EClinicalMedicine. 2020 May 5;22:100335. doi: 10.1016/j.eclinm.2020.100335. PMID: 32405623; PMCID: PMC7210508.")</f>
        <v>Patel C, Coulibaly JT, Schulz JD, N'Gbesso Y, Hattendorf J, Keiser J. Efficacy and safety of ascending dosages of albendazole against Trichuris trichiura in preschool-aged children, school-aged children and adults: A multi-cohort randomized controlled trial. EClinicalMedicine. 2020 May 5;22:100335. doi: 10.1016/j.eclinm.2020.100335. PMID: 32405623; PMCID: PMC7210508.</v>
      </c>
      <c r="AL176" s="880" t="str">
        <f>IFERROR(__xludf.DUMMYFUNCTION("""COMPUTED_VALUE"""),"Côte d'Ivoire")</f>
        <v>Côte d'Ivoire</v>
      </c>
      <c r="AM176" s="880" t="str">
        <f>IFERROR(__xludf.DUMMYFUNCTION("""COMPUTED_VALUE"""),"Albendazole")</f>
        <v>Albendazole</v>
      </c>
      <c r="AN176" s="880" t="str">
        <f>IFERROR(__xludf.DUMMYFUNCTION("""COMPUTED_VALUE"""),"Single")</f>
        <v>Single</v>
      </c>
      <c r="AO176" s="880" t="str">
        <f>IFERROR(__xludf.DUMMYFUNCTION("""COMPUTED_VALUE"""),"600 mg")</f>
        <v>600 mg</v>
      </c>
      <c r="AP176" s="880">
        <f>IFERROR(__xludf.DUMMYFUNCTION("""COMPUTED_VALUE"""),9.0)</f>
        <v>9</v>
      </c>
      <c r="AQ176" s="880">
        <f>IFERROR(__xludf.DUMMYFUNCTION("""COMPUTED_VALUE"""),36.6)</f>
        <v>36.6</v>
      </c>
      <c r="AR176" s="880" t="str">
        <f>IFERROR(__xludf.DUMMYFUNCTION("""COMPUTED_VALUE"""),"2M:7F")</f>
        <v>2M:7F</v>
      </c>
      <c r="AS176" s="880">
        <f>IFERROR(__xludf.DUMMYFUNCTION("""COMPUTED_VALUE"""),2018.0)</f>
        <v>2018</v>
      </c>
      <c r="AT176" s="880" t="str">
        <f>IFERROR(__xludf.DUMMYFUNCTION("""COMPUTED_VALUE"""),"PSAC, SAC, and adults were eligible if they provided two stool samples and were positive for T. trichiura. Only PSAC with T. trichiura infection intensities 60 eggs per gram of stool (EPG) and SAC and adults with T. trichiura infection intensities 100 EPG"&amp;" were included in the trial.")</f>
        <v>PSAC, SAC, and adults were eligible if they provided two stool samples and were positive for T. trichiura. Only PSAC with T. trichiura infection intensities 60 eggs per gram of stool (EPG) and SAC and adults with T. trichiura infection intensities 100 EPG were included in the trial.</v>
      </c>
      <c r="AU176" s="880" t="str">
        <f>IFERROR(__xludf.DUMMYFUNCTION("""COMPUTED_VALUE"""),"Yes")</f>
        <v>Yes</v>
      </c>
      <c r="AV176" s="880" t="str">
        <f>IFERROR(__xludf.DUMMYFUNCTION("""COMPUTED_VALUE"""),"Yes")</f>
        <v>Yes</v>
      </c>
      <c r="AW176" s="881" t="str">
        <f>IFERROR(__xludf.DUMMYFUNCTION("""COMPUTED_VALUE"""),"Single-blind")</f>
        <v>Single-blind</v>
      </c>
      <c r="AX176" s="863">
        <f>IFERROR(__xludf.DUMMYFUNCTION("""COMPUTED_VALUE"""),0.5)</f>
        <v>0.5</v>
      </c>
      <c r="AY176" s="863"/>
      <c r="AZ176" s="863"/>
      <c r="BA176" s="863"/>
      <c r="BB176" s="863"/>
      <c r="BC176" s="863"/>
      <c r="BD176" s="863"/>
      <c r="BE176" s="863"/>
      <c r="BF176" s="863"/>
      <c r="BG176" s="863"/>
      <c r="BH176" s="863">
        <f>IFERROR(__xludf.DUMMYFUNCTION("""COMPUTED_VALUE"""),0.926)</f>
        <v>0.926</v>
      </c>
      <c r="BI176" s="863"/>
      <c r="BJ176" s="863"/>
      <c r="BK176" s="863"/>
      <c r="BL176" s="863"/>
      <c r="BM176" s="863"/>
      <c r="BN176" s="863" t="str">
        <f>IFERROR(__xludf.DUMMYFUNCTION("""COMPUTED_VALUE"""),"Albendazole shows low efficacy against T. trichiura in all populations and doses studied, though findings for PSAC and adults should be carefully interpreted as recruitment targets were not met. New drugs, treatment regimens, and combinations are needed i"&amp;"n the management of T. trichiura infections")</f>
        <v>Albendazole shows low efficacy against T. trichiura in all populations and doses studied, though findings for PSAC and adults should be carefully interpreted as recruitment targets were not met. New drugs, treatment regimens, and combinations are needed in the management of T. trichiura infections</v>
      </c>
      <c r="BO176" s="863" t="str">
        <f>IFERROR(__xludf.DUMMYFUNCTION("""COMPUTED_VALUE"""),"Kato-Katz technique")</f>
        <v>Kato-Katz technique</v>
      </c>
      <c r="BP176" s="880"/>
      <c r="BQ176" s="863"/>
      <c r="BR176" s="889" t="str">
        <f>IFERROR(__xludf.DUMMYFUNCTION("""COMPUTED_VALUE"""),"Das et al")</f>
        <v>Das et al</v>
      </c>
      <c r="BS176" s="883" t="str">
        <f>IFERROR(__xludf.DUMMYFUNCTION("""COMPUTED_VALUE"""),"India")</f>
        <v>India</v>
      </c>
      <c r="BT176" s="883" t="str">
        <f>IFERROR(__xludf.DUMMYFUNCTION("""COMPUTED_VALUE"""),"Ivermectin")</f>
        <v>Ivermectin</v>
      </c>
      <c r="BU176" s="883"/>
      <c r="BV176" s="883" t="str">
        <f>IFERROR(__xludf.DUMMYFUNCTION("""COMPUTED_VALUE"""),"Single")</f>
        <v>Single</v>
      </c>
      <c r="BW176" s="883" t="str">
        <f>IFERROR(__xludf.DUMMYFUNCTION("""COMPUTED_VALUE"""),"400 mg")</f>
        <v>400 mg</v>
      </c>
      <c r="BX176" s="883">
        <f>IFERROR(__xludf.DUMMYFUNCTION("""COMPUTED_VALUE"""),614.0)</f>
        <v>614</v>
      </c>
      <c r="BY176" s="883"/>
      <c r="BZ176" s="883">
        <f>IFERROR(__xludf.DUMMYFUNCTION("""COMPUTED_VALUE"""),1998.0)</f>
        <v>1998</v>
      </c>
      <c r="CA176" s="883"/>
      <c r="CB176" s="883"/>
      <c r="CC176" s="883" t="str">
        <f>IFERROR(__xludf.DUMMYFUNCTION("""COMPUTED_VALUE"""),"Yes")</f>
        <v>Yes</v>
      </c>
      <c r="CD176" s="884">
        <f>IFERROR(__xludf.DUMMYFUNCTION("""COMPUTED_VALUE"""),0.6)</f>
        <v>0.6</v>
      </c>
      <c r="CE176" s="883" t="str">
        <f>IFERROR(__xludf.DUMMYFUNCTION("""COMPUTED_VALUE"""),"Yes")</f>
        <v>Yes</v>
      </c>
      <c r="CF176" s="883"/>
      <c r="CG176" s="883"/>
      <c r="CH176" s="883"/>
      <c r="CI176" s="883"/>
      <c r="CJ176" s="883"/>
      <c r="CK176" s="883"/>
      <c r="CL176" s="883"/>
      <c r="CM176" s="891">
        <f>IFERROR(__xludf.DUMMYFUNCTION("""COMPUTED_VALUE"""),0.8)</f>
        <v>0.8</v>
      </c>
      <c r="CN176" s="883"/>
      <c r="CO176" s="883"/>
      <c r="CP176" s="883"/>
      <c r="CQ176" s="883"/>
      <c r="CR176" s="883"/>
      <c r="CS176" s="883"/>
      <c r="CT176" s="883"/>
      <c r="CU176" s="883"/>
      <c r="CV176" s="863"/>
      <c r="CW176" s="863"/>
      <c r="CX176" s="863"/>
      <c r="CY176" s="863"/>
      <c r="CZ176" s="863"/>
      <c r="DA176" s="863"/>
      <c r="DB176" s="863"/>
      <c r="DC176" s="863"/>
      <c r="DD176" s="863"/>
      <c r="DE176" s="863"/>
    </row>
    <row r="177">
      <c r="A177" s="876"/>
      <c r="B177" s="876"/>
      <c r="C177" s="876"/>
      <c r="D177" s="876"/>
      <c r="E177" s="876"/>
      <c r="F177" s="876"/>
      <c r="G177" s="876"/>
      <c r="H177" s="876"/>
      <c r="I177" s="876"/>
      <c r="J177" s="876"/>
      <c r="K177" s="876"/>
      <c r="L177" s="876"/>
      <c r="M177" s="876"/>
      <c r="N177" s="877"/>
      <c r="O177" s="876"/>
      <c r="P177" s="876"/>
      <c r="Q177" s="876"/>
      <c r="R177" s="876"/>
      <c r="S177" s="876"/>
      <c r="T177" s="876"/>
      <c r="U177" s="876"/>
      <c r="V177" s="876"/>
      <c r="W177" s="876"/>
      <c r="X177" s="876"/>
      <c r="Y177" s="876"/>
      <c r="Z177" s="876"/>
      <c r="AA177" s="876"/>
      <c r="AB177" s="876"/>
      <c r="AC177" s="876"/>
      <c r="AD177" s="876"/>
      <c r="AE177" s="876"/>
      <c r="AF177" s="876"/>
      <c r="AG177" s="876"/>
      <c r="AH177" s="876"/>
      <c r="AI177" s="878"/>
      <c r="AJ177" s="888" t="str">
        <f>IFERROR(__xludf.DUMMYFUNCTION("""COMPUTED_VALUE"""),"Efficacy and safety of ascending dosages of albendazole against Trichuris trichiura in preschool-aged children, school-aged children and adults: A multi-cohort randomized controlled trial")</f>
        <v>Efficacy and safety of ascending dosages of albendazole against Trichuris trichiura in preschool-aged children, school-aged children and adults: A multi-cohort randomized controlled trial</v>
      </c>
      <c r="AK177" s="880" t="str">
        <f>IFERROR(__xludf.DUMMYFUNCTION("""COMPUTED_VALUE"""),"Patel C, Coulibaly JT, Schulz JD, N'Gbesso Y, Hattendorf J, Keiser J. Efficacy and safety of ascending dosages of albendazole against Trichuris trichiura in preschool-aged children, school-aged children and adults: A multi-cohort randomized controlled tri"&amp;"al. EClinicalMedicine. 2020 May 5;22:100335. doi: 10.1016/j.eclinm.2020.100335. PMID: 32405623; PMCID: PMC7210508.")</f>
        <v>Patel C, Coulibaly JT, Schulz JD, N'Gbesso Y, Hattendorf J, Keiser J. Efficacy and safety of ascending dosages of albendazole against Trichuris trichiura in preschool-aged children, school-aged children and adults: A multi-cohort randomized controlled trial. EClinicalMedicine. 2020 May 5;22:100335. doi: 10.1016/j.eclinm.2020.100335. PMID: 32405623; PMCID: PMC7210508.</v>
      </c>
      <c r="AL177" s="880" t="str">
        <f>IFERROR(__xludf.DUMMYFUNCTION("""COMPUTED_VALUE"""),"Côte d'Ivoire")</f>
        <v>Côte d'Ivoire</v>
      </c>
      <c r="AM177" s="880" t="str">
        <f>IFERROR(__xludf.DUMMYFUNCTION("""COMPUTED_VALUE"""),"Albendazole")</f>
        <v>Albendazole</v>
      </c>
      <c r="AN177" s="880" t="str">
        <f>IFERROR(__xludf.DUMMYFUNCTION("""COMPUTED_VALUE"""),"Single")</f>
        <v>Single</v>
      </c>
      <c r="AO177" s="880" t="str">
        <f>IFERROR(__xludf.DUMMYFUNCTION("""COMPUTED_VALUE"""),"800 mg")</f>
        <v>800 mg</v>
      </c>
      <c r="AP177" s="880">
        <f>IFERROR(__xludf.DUMMYFUNCTION("""COMPUTED_VALUE"""),12.0)</f>
        <v>12</v>
      </c>
      <c r="AQ177" s="880">
        <f>IFERROR(__xludf.DUMMYFUNCTION("""COMPUTED_VALUE"""),44.8)</f>
        <v>44.8</v>
      </c>
      <c r="AR177" s="880" t="str">
        <f>IFERROR(__xludf.DUMMYFUNCTION("""COMPUTED_VALUE"""),"4M:8F")</f>
        <v>4M:8F</v>
      </c>
      <c r="AS177" s="880">
        <f>IFERROR(__xludf.DUMMYFUNCTION("""COMPUTED_VALUE"""),2018.0)</f>
        <v>2018</v>
      </c>
      <c r="AT177" s="880" t="str">
        <f>IFERROR(__xludf.DUMMYFUNCTION("""COMPUTED_VALUE"""),"PSAC, SAC, and adults were eligible if they provided two stool samples and were positive for T. trichiura. Only PSAC with T. trichiura infection intensities 60 eggs per gram of stool (EPG) and SAC and adults with T. trichiura infection intensities 100 EPG"&amp;" were included in the trial.")</f>
        <v>PSAC, SAC, and adults were eligible if they provided two stool samples and were positive for T. trichiura. Only PSAC with T. trichiura infection intensities 60 eggs per gram of stool (EPG) and SAC and adults with T. trichiura infection intensities 100 EPG were included in the trial.</v>
      </c>
      <c r="AU177" s="880" t="str">
        <f>IFERROR(__xludf.DUMMYFUNCTION("""COMPUTED_VALUE"""),"Yes")</f>
        <v>Yes</v>
      </c>
      <c r="AV177" s="880" t="str">
        <f>IFERROR(__xludf.DUMMYFUNCTION("""COMPUTED_VALUE"""),"Yes")</f>
        <v>Yes</v>
      </c>
      <c r="AW177" s="881" t="str">
        <f>IFERROR(__xludf.DUMMYFUNCTION("""COMPUTED_VALUE"""),"Single-blind")</f>
        <v>Single-blind</v>
      </c>
      <c r="AX177" s="863">
        <f>IFERROR(__xludf.DUMMYFUNCTION("""COMPUTED_VALUE"""),0.273)</f>
        <v>0.273</v>
      </c>
      <c r="AY177" s="863"/>
      <c r="AZ177" s="863"/>
      <c r="BA177" s="863"/>
      <c r="BB177" s="863"/>
      <c r="BC177" s="863"/>
      <c r="BD177" s="863"/>
      <c r="BE177" s="863"/>
      <c r="BF177" s="863"/>
      <c r="BG177" s="863"/>
      <c r="BH177" s="863">
        <f>IFERROR(__xludf.DUMMYFUNCTION("""COMPUTED_VALUE"""),0.836)</f>
        <v>0.836</v>
      </c>
      <c r="BI177" s="863"/>
      <c r="BJ177" s="863"/>
      <c r="BK177" s="863"/>
      <c r="BL177" s="863"/>
      <c r="BM177" s="863"/>
      <c r="BN177" s="863" t="str">
        <f>IFERROR(__xludf.DUMMYFUNCTION("""COMPUTED_VALUE"""),"Albendazole shows low efficacy against T. trichiura in all populations and doses studied, though findings for PSAC and adults should be carefully interpreted as recruitment targets were not met. New drugs, treatment regimens, and combinations are needed i"&amp;"n the management of T. trichiura infections")</f>
        <v>Albendazole shows low efficacy against T. trichiura in all populations and doses studied, though findings for PSAC and adults should be carefully interpreted as recruitment targets were not met. New drugs, treatment regimens, and combinations are needed in the management of T. trichiura infections</v>
      </c>
      <c r="BO177" s="863" t="str">
        <f>IFERROR(__xludf.DUMMYFUNCTION("""COMPUTED_VALUE"""),"Kato-Katz technique")</f>
        <v>Kato-Katz technique</v>
      </c>
      <c r="BP177" s="880"/>
      <c r="BQ177" s="863"/>
      <c r="BR177" s="889" t="str">
        <f>IFERROR(__xludf.DUMMYFUNCTION("""COMPUTED_VALUE"""),"Das et al")</f>
        <v>Das et al</v>
      </c>
      <c r="BS177" s="883" t="str">
        <f>IFERROR(__xludf.DUMMYFUNCTION("""COMPUTED_VALUE"""),"India ")</f>
        <v>India </v>
      </c>
      <c r="BT177" s="883" t="str">
        <f>IFERROR(__xludf.DUMMYFUNCTION("""COMPUTED_VALUE"""),"Placebo")</f>
        <v>Placebo</v>
      </c>
      <c r="BU177" s="883"/>
      <c r="BV177" s="883"/>
      <c r="BW177" s="883"/>
      <c r="BX177" s="883">
        <f>IFERROR(__xludf.DUMMYFUNCTION("""COMPUTED_VALUE"""),605.0)</f>
        <v>605</v>
      </c>
      <c r="BY177" s="883"/>
      <c r="BZ177" s="883">
        <f>IFERROR(__xludf.DUMMYFUNCTION("""COMPUTED_VALUE"""),1998.0)</f>
        <v>1998</v>
      </c>
      <c r="CA177" s="883"/>
      <c r="CB177" s="883"/>
      <c r="CC177" s="883" t="str">
        <f>IFERROR(__xludf.DUMMYFUNCTION("""COMPUTED_VALUE"""),"Yes")</f>
        <v>Yes</v>
      </c>
      <c r="CD177" s="884">
        <f>IFERROR(__xludf.DUMMYFUNCTION("""COMPUTED_VALUE"""),0.28)</f>
        <v>0.28</v>
      </c>
      <c r="CE177" s="883" t="str">
        <f>IFERROR(__xludf.DUMMYFUNCTION("""COMPUTED_VALUE"""),"Yes")</f>
        <v>Yes</v>
      </c>
      <c r="CF177" s="883"/>
      <c r="CG177" s="883"/>
      <c r="CH177" s="883"/>
      <c r="CI177" s="883"/>
      <c r="CJ177" s="883"/>
      <c r="CK177" s="883"/>
      <c r="CL177" s="883"/>
      <c r="CM177" s="891">
        <f>IFERROR(__xludf.DUMMYFUNCTION("""COMPUTED_VALUE"""),0.35)</f>
        <v>0.35</v>
      </c>
      <c r="CN177" s="883"/>
      <c r="CO177" s="883"/>
      <c r="CP177" s="883"/>
      <c r="CQ177" s="883"/>
      <c r="CR177" s="883"/>
      <c r="CS177" s="883"/>
      <c r="CT177" s="883"/>
      <c r="CU177" s="883"/>
      <c r="CV177" s="863"/>
      <c r="CW177" s="863"/>
      <c r="CX177" s="863"/>
      <c r="CY177" s="863"/>
      <c r="CZ177" s="863"/>
      <c r="DA177" s="863"/>
      <c r="DB177" s="863"/>
      <c r="DC177" s="863"/>
      <c r="DD177" s="863"/>
      <c r="DE177" s="863"/>
    </row>
    <row r="178">
      <c r="A178" s="876"/>
      <c r="B178" s="876"/>
      <c r="C178" s="876"/>
      <c r="D178" s="876"/>
      <c r="E178" s="876"/>
      <c r="F178" s="876"/>
      <c r="G178" s="876"/>
      <c r="H178" s="876"/>
      <c r="I178" s="876"/>
      <c r="J178" s="876"/>
      <c r="K178" s="876"/>
      <c r="L178" s="876"/>
      <c r="M178" s="876"/>
      <c r="N178" s="877"/>
      <c r="O178" s="876"/>
      <c r="P178" s="876"/>
      <c r="Q178" s="876"/>
      <c r="R178" s="876"/>
      <c r="S178" s="876"/>
      <c r="T178" s="876"/>
      <c r="U178" s="876"/>
      <c r="V178" s="876"/>
      <c r="W178" s="876"/>
      <c r="X178" s="876"/>
      <c r="Y178" s="876"/>
      <c r="Z178" s="876"/>
      <c r="AA178" s="876"/>
      <c r="AB178" s="876"/>
      <c r="AC178" s="876"/>
      <c r="AD178" s="876"/>
      <c r="AE178" s="876"/>
      <c r="AF178" s="876"/>
      <c r="AG178" s="876"/>
      <c r="AH178" s="876"/>
      <c r="AI178" s="878"/>
      <c r="AJ178" s="888" t="str">
        <f>IFERROR(__xludf.DUMMYFUNCTION("""COMPUTED_VALUE"""),"Evaluation of the efficacy of pyrantel-oxantel for the treatment of soil-transmitted nematode infections")</f>
        <v>Evaluation of the efficacy of pyrantel-oxantel for the treatment of soil-transmitted nematode infections</v>
      </c>
      <c r="AK178" s="880" t="str">
        <f>IFERROR(__xludf.DUMMYFUNCTION("""COMPUTED_VALUE"""),"Albonico, M., Bickle, Q., Haji, H. J., Ramsan, M., Khatib, K. J., Montresor, A., Savioli, L., &amp; Taylor, M. (2002). Evaluation of the efficacy of pyrantel-oxantel for the treatment of soil-transmitted nematode infections. Transactions of the Royal Society "&amp;"of Tropical Medicine and Hygiene, 96(6), 685–690. https://doi.org/10.1016/s0035-9203(02)90352-4")</f>
        <v>Albonico, M., Bickle, Q., Haji, H. J., Ramsan, M., Khatib, K. J., Montresor, A., Savioli, L., &amp; Taylor, M. (2002). Evaluation of the efficacy of pyrantel-oxantel for the treatment of soil-transmitted nematode infections. Transactions of the Royal Society of Tropical Medicine and Hygiene, 96(6), 685–690. https://doi.org/10.1016/s0035-9203(02)90352-4</v>
      </c>
      <c r="AL178" s="880" t="str">
        <f>IFERROR(__xludf.DUMMYFUNCTION("""COMPUTED_VALUE"""),"Tanzania")</f>
        <v>Tanzania</v>
      </c>
      <c r="AM178" s="880" t="str">
        <f>IFERROR(__xludf.DUMMYFUNCTION("""COMPUTED_VALUE"""),"Mebendazole")</f>
        <v>Mebendazole</v>
      </c>
      <c r="AN178" s="880" t="str">
        <f>IFERROR(__xludf.DUMMYFUNCTION("""COMPUTED_VALUE"""),"Single")</f>
        <v>Single</v>
      </c>
      <c r="AO178" s="880" t="str">
        <f>IFERROR(__xludf.DUMMYFUNCTION("""COMPUTED_VALUE"""),"500 mg")</f>
        <v>500 mg</v>
      </c>
      <c r="AP178" s="880">
        <f>IFERROR(__xludf.DUMMYFUNCTION("""COMPUTED_VALUE"""),448.0)</f>
        <v>448</v>
      </c>
      <c r="AQ178" s="880">
        <f>IFERROR(__xludf.DUMMYFUNCTION("""COMPUTED_VALUE"""),9.5)</f>
        <v>9.5</v>
      </c>
      <c r="AR178" s="880" t="str">
        <f>IFERROR(__xludf.DUMMYFUNCTION("""COMPUTED_VALUE"""),"46.4M:53.6F")</f>
        <v>46.4M:53.6F</v>
      </c>
      <c r="AS178" s="880">
        <f>IFERROR(__xludf.DUMMYFUNCTION("""COMPUTED_VALUE"""),2000.0)</f>
        <v>2000</v>
      </c>
      <c r="AT178" s="880" t="str">
        <f>IFERROR(__xludf.DUMMYFUNCTION("""COMPUTED_VALUE"""),"The schools were randomly selected from the 72 schools on the island. All children were included in the national helminth control programme and Standard 1 children had received 1 round of treatment with mebendazole 500 mg in March 2000. Standard 2 childre"&amp;"n had received 2 doses of mebendazole in 1999 and a third dose in March 2000. not have parental or guardian permission to participate; (ii) did not provide a stool sample; (iii) had significant co-morbidities (e.g. severe diarrhoea, severe anaemia, high f"&amp;"ever); and (iv) had received anthelminthic treatment in the previous month.")</f>
        <v>The schools were randomly selected from the 72 schools on the island. All children were included in the national helminth control programme and Standard 1 children had received 1 round of treatment with mebendazole 500 mg in March 2000. Standard 2 children had received 2 doses of mebendazole in 1999 and a third dose in March 2000. not have parental or guardian permission to participate; (ii) did not provide a stool sample; (iii) had significant co-morbidities (e.g. severe diarrhoea, severe anaemia, high fever); and (iv) had received anthelminthic treatment in the previous month.</v>
      </c>
      <c r="AU178" s="880" t="str">
        <f>IFERROR(__xludf.DUMMYFUNCTION("""COMPUTED_VALUE"""),"Yes")</f>
        <v>Yes</v>
      </c>
      <c r="AV178" s="880" t="str">
        <f>IFERROR(__xludf.DUMMYFUNCTION("""COMPUTED_VALUE"""),"Yes")</f>
        <v>Yes</v>
      </c>
      <c r="AW178" s="881" t="str">
        <f>IFERROR(__xludf.DUMMYFUNCTION("""COMPUTED_VALUE"""),"Laboratory Assesor Blind")</f>
        <v>Laboratory Assesor Blind</v>
      </c>
      <c r="AX178" s="863">
        <f>IFERROR(__xludf.DUMMYFUNCTION("""COMPUTED_VALUE"""),0.252)</f>
        <v>0.252</v>
      </c>
      <c r="AY178" s="863"/>
      <c r="AZ178" s="863">
        <f>IFERROR(__xludf.DUMMYFUNCTION("""COMPUTED_VALUE"""),0.836)</f>
        <v>0.836</v>
      </c>
      <c r="BA178" s="863"/>
      <c r="BB178" s="863"/>
      <c r="BC178" s="863"/>
      <c r="BD178" s="863"/>
      <c r="BE178" s="863"/>
      <c r="BF178" s="863"/>
      <c r="BG178" s="863"/>
      <c r="BH178" s="863">
        <f>IFERROR(__xludf.DUMMYFUNCTION("""COMPUTED_VALUE"""),0.869)</f>
        <v>0.869</v>
      </c>
      <c r="BI178" s="863"/>
      <c r="BJ178" s="863"/>
      <c r="BK178" s="863"/>
      <c r="BL178" s="863"/>
      <c r="BM178" s="863"/>
      <c r="BN178" s="863" t="str">
        <f>IFERROR(__xludf.DUMMYFUNCTION("""COMPUTED_VALUE"""),"The results of this trial have significant implications for the use of targeted chemotherapy at the community and at school level for the control of STHs. Pyrantel-oxantel has been shown to have comparable efficacy to mebendazole (500 mg) in treating STHs"&amp;", and to have a better efficacy in curing T. trichiura infections. Pyrantel-oxantel is available in Indonesia for targeted treatment of schoolchildren at a cost of only few US cents per tablet (A. Sasongko, personal communication) and competes with the ve"&amp;"ry low cost of mebendazole as a generic product (ALBONICO et al., 1994). A possible disadvantage of pyrantel-oxantel *is that patients need to be weighed, though the producing company does give alternative indications to treat based on weight and/or age. "&amp;"Furthermore, pyrantel-oxantel is not contraindicated in young children, and prescribing information indicates administration of 1 tablet of 150 mg to children between 6 months and 2 years. Pyrantel-oxantel is also available as a suspension containing 20 m"&amp;"g of each base drug (pyrantel pamoate and oxantel pamoate) per mL.")</f>
        <v>The results of this trial have significant implications for the use of targeted chemotherapy at the community and at school level for the control of STHs. Pyrantel-oxantel has been shown to have comparable efficacy to mebendazole (500 mg) in treating STHs, and to have a better efficacy in curing T. trichiura infections. Pyrantel-oxantel is available in Indonesia for targeted treatment of schoolchildren at a cost of only few US cents per tablet (A. Sasongko, personal communication) and competes with the very low cost of mebendazole as a generic product (ALBONICO et al., 1994). A possible disadvantage of pyrantel-oxantel *is that patients need to be weighed, though the producing company does give alternative indications to treat based on weight and/or age. Furthermore, pyrantel-oxantel is not contraindicated in young children, and prescribing information indicates administration of 1 tablet of 150 mg to children between 6 months and 2 years. Pyrantel-oxantel is also available as a suspension containing 20 mg of each base drug (pyrantel pamoate and oxantel pamoate) per mL.</v>
      </c>
      <c r="BO178" s="863" t="str">
        <f>IFERROR(__xludf.DUMMYFUNCTION("""COMPUTED_VALUE"""),"Kato-Katz technique")</f>
        <v>Kato-Katz technique</v>
      </c>
      <c r="BP178" s="880"/>
      <c r="BQ178" s="863"/>
      <c r="BR178" s="889" t="str">
        <f>IFERROR(__xludf.DUMMYFUNCTION("""COMPUTED_VALUE"""),"Ahmad et al.")</f>
        <v>Ahmad et al.</v>
      </c>
      <c r="BS178" s="883"/>
      <c r="BT178" s="883" t="str">
        <f>IFERROR(__xludf.DUMMYFUNCTION("""COMPUTED_VALUE"""),"Albendazole")</f>
        <v>Albendazole</v>
      </c>
      <c r="BU178" s="883"/>
      <c r="BV178" s="883" t="str">
        <f>IFERROR(__xludf.DUMMYFUNCTION("""COMPUTED_VALUE"""),"Single")</f>
        <v>Single</v>
      </c>
      <c r="BW178" s="883" t="str">
        <f>IFERROR(__xludf.DUMMYFUNCTION("""COMPUTED_VALUE"""),"400 mg")</f>
        <v>400 mg</v>
      </c>
      <c r="BX178" s="883" t="str">
        <f>IFERROR(__xludf.DUMMYFUNCTION("""COMPUTED_VALUE"""),"37/100")</f>
        <v>37/100</v>
      </c>
      <c r="BY178" s="890">
        <f>IFERROR(__xludf.DUMMYFUNCTION("""COMPUTED_VALUE"""),42414.0)</f>
        <v>42414</v>
      </c>
      <c r="BZ178" s="883"/>
      <c r="CA178" s="883" t="str">
        <f>IFERROR(__xludf.DUMMYFUNCTION("""COMPUTED_VALUE"""),"65 male; 35 female")</f>
        <v>65 male; 35 female</v>
      </c>
      <c r="CB178" s="883"/>
      <c r="CC178" s="883" t="str">
        <f>IFERROR(__xludf.DUMMYFUNCTION("""COMPUTED_VALUE"""),"No")</f>
        <v>No</v>
      </c>
      <c r="CD178" s="884">
        <f>IFERROR(__xludf.DUMMYFUNCTION("""COMPUTED_VALUE"""),1.0)</f>
        <v>1</v>
      </c>
      <c r="CE178" s="883" t="str">
        <f>IFERROR(__xludf.DUMMYFUNCTION("""COMPUTED_VALUE"""),"No")</f>
        <v>No</v>
      </c>
      <c r="CF178" s="884">
        <f>IFERROR(__xludf.DUMMYFUNCTION("""COMPUTED_VALUE"""),0.8927)</f>
        <v>0.8927</v>
      </c>
      <c r="CG178" s="891">
        <f>IFERROR(__xludf.DUMMYFUNCTION("""COMPUTED_VALUE"""),1.0)</f>
        <v>1</v>
      </c>
      <c r="CH178" s="883"/>
      <c r="CI178" s="883"/>
      <c r="CJ178" s="883"/>
      <c r="CK178" s="883"/>
      <c r="CL178" s="883"/>
      <c r="CM178" s="883"/>
      <c r="CN178" s="883"/>
      <c r="CO178" s="883"/>
      <c r="CP178" s="883"/>
      <c r="CQ178" s="883"/>
      <c r="CR178" s="883"/>
      <c r="CS178" s="883"/>
      <c r="CT178" s="883"/>
      <c r="CU178" s="883"/>
      <c r="CV178" s="863"/>
      <c r="CW178" s="863"/>
      <c r="CX178" s="863"/>
      <c r="CY178" s="863"/>
      <c r="CZ178" s="863"/>
      <c r="DA178" s="863"/>
      <c r="DB178" s="863"/>
      <c r="DC178" s="863"/>
      <c r="DD178" s="863"/>
      <c r="DE178" s="863"/>
    </row>
    <row r="179">
      <c r="A179" s="876"/>
      <c r="B179" s="876"/>
      <c r="C179" s="876"/>
      <c r="D179" s="876"/>
      <c r="E179" s="876"/>
      <c r="F179" s="876"/>
      <c r="G179" s="876"/>
      <c r="H179" s="876"/>
      <c r="I179" s="876"/>
      <c r="J179" s="876"/>
      <c r="K179" s="876"/>
      <c r="L179" s="876"/>
      <c r="M179" s="876"/>
      <c r="N179" s="877"/>
      <c r="O179" s="876"/>
      <c r="P179" s="876"/>
      <c r="Q179" s="876"/>
      <c r="R179" s="876"/>
      <c r="S179" s="876"/>
      <c r="T179" s="876"/>
      <c r="U179" s="876"/>
      <c r="V179" s="876"/>
      <c r="W179" s="876"/>
      <c r="X179" s="876"/>
      <c r="Y179" s="876"/>
      <c r="Z179" s="876"/>
      <c r="AA179" s="876"/>
      <c r="AB179" s="876"/>
      <c r="AC179" s="876"/>
      <c r="AD179" s="876"/>
      <c r="AE179" s="876"/>
      <c r="AF179" s="876"/>
      <c r="AG179" s="876"/>
      <c r="AH179" s="876"/>
      <c r="AI179" s="878"/>
      <c r="AJ179" s="888" t="str">
        <f>IFERROR(__xludf.DUMMYFUNCTION("""COMPUTED_VALUE"""),"Evaluation of the efficacy of pyrantel-oxantel for the treatment of soil-transmitted nematode infections")</f>
        <v>Evaluation of the efficacy of pyrantel-oxantel for the treatment of soil-transmitted nematode infections</v>
      </c>
      <c r="AK179" s="880" t="str">
        <f>IFERROR(__xludf.DUMMYFUNCTION("""COMPUTED_VALUE"""),"Albonico, M., Bickle, Q., Haji, H. J., Ramsan, M., Khatib, K. J., Montresor, A., Savioli, L., &amp; Taylor, M. (2002). Evaluation of the efficacy of pyrantel-oxantel for the treatment of soil-transmitted nematode infections. Transactions of the Royal Society "&amp;"of Tropical Medicine and Hygiene, 96(6), 685–690. https://doi.org/10.1016/s0035-9203(02)90352-5")</f>
        <v>Albonico, M., Bickle, Q., Haji, H. J., Ramsan, M., Khatib, K. J., Montresor, A., Savioli, L., &amp; Taylor, M. (2002). Evaluation of the efficacy of pyrantel-oxantel for the treatment of soil-transmitted nematode infections. Transactions of the Royal Society of Tropical Medicine and Hygiene, 96(6), 685–690. https://doi.org/10.1016/s0035-9203(02)90352-5</v>
      </c>
      <c r="AL179" s="880" t="str">
        <f>IFERROR(__xludf.DUMMYFUNCTION("""COMPUTED_VALUE"""),"Tanzania")</f>
        <v>Tanzania</v>
      </c>
      <c r="AM179" s="880" t="str">
        <f>IFERROR(__xludf.DUMMYFUNCTION("""COMPUTED_VALUE"""),"Pyrantel oxantel")</f>
        <v>Pyrantel oxantel</v>
      </c>
      <c r="AN179" s="880" t="str">
        <f>IFERROR(__xludf.DUMMYFUNCTION("""COMPUTED_VALUE"""),"Single")</f>
        <v>Single</v>
      </c>
      <c r="AO179" s="880" t="str">
        <f>IFERROR(__xludf.DUMMYFUNCTION("""COMPUTED_VALUE"""),"10 mg/kg [15-20 kg receiving one tablet (150 mg), 21-30 kg receiving 2 tablets (300 mg), 31-40 kg receiving 3 tablets (450 mg)]")</f>
        <v>10 mg/kg [15-20 kg receiving one tablet (150 mg), 21-30 kg receiving 2 tablets (300 mg), 31-40 kg receiving 3 tablets (450 mg)]</v>
      </c>
      <c r="AP179" s="880">
        <f>IFERROR(__xludf.DUMMYFUNCTION("""COMPUTED_VALUE"""),440.0)</f>
        <v>440</v>
      </c>
      <c r="AQ179" s="880">
        <f>IFERROR(__xludf.DUMMYFUNCTION("""COMPUTED_VALUE"""),9.5)</f>
        <v>9.5</v>
      </c>
      <c r="AR179" s="880" t="str">
        <f>IFERROR(__xludf.DUMMYFUNCTION("""COMPUTED_VALUE"""),"47.5M:52.5F")</f>
        <v>47.5M:52.5F</v>
      </c>
      <c r="AS179" s="880">
        <f>IFERROR(__xludf.DUMMYFUNCTION("""COMPUTED_VALUE"""),2000.0)</f>
        <v>2000</v>
      </c>
      <c r="AT179" s="880" t="str">
        <f>IFERROR(__xludf.DUMMYFUNCTION("""COMPUTED_VALUE"""),"The schools were randomly selected from the 72 schools on the island. All children were included in the national helminth control programme and Standard 1 children had received 1 round of treatment with mebendazole 500 mg in March 2000. Standard 2 childre"&amp;"n had received 2 doses of mebendazole in 1999 and a third dose in March 2000. not have parental or guardian permission to participate; (ii) did not provide a stool sample; (iii) had significant co-morbidities (e.g. severe diarrhoea, severe anaemia, high f"&amp;"ever); and (iv) had received anthelminthic treatment in the previous month.")</f>
        <v>The schools were randomly selected from the 72 schools on the island. All children were included in the national helminth control programme and Standard 1 children had received 1 round of treatment with mebendazole 500 mg in March 2000. Standard 2 children had received 2 doses of mebendazole in 1999 and a third dose in March 2000. not have parental or guardian permission to participate; (ii) did not provide a stool sample; (iii) had significant co-morbidities (e.g. severe diarrhoea, severe anaemia, high fever); and (iv) had received anthelminthic treatment in the previous month.</v>
      </c>
      <c r="AU179" s="880" t="str">
        <f>IFERROR(__xludf.DUMMYFUNCTION("""COMPUTED_VALUE"""),"Yes")</f>
        <v>Yes</v>
      </c>
      <c r="AV179" s="880" t="str">
        <f>IFERROR(__xludf.DUMMYFUNCTION("""COMPUTED_VALUE"""),"Yes")</f>
        <v>Yes</v>
      </c>
      <c r="AW179" s="881" t="str">
        <f>IFERROR(__xludf.DUMMYFUNCTION("""COMPUTED_VALUE"""),"Laboratory Assesor Blind")</f>
        <v>Laboratory Assesor Blind</v>
      </c>
      <c r="AX179" s="863">
        <f>IFERROR(__xludf.DUMMYFUNCTION("""COMPUTED_VALUE"""),0.315)</f>
        <v>0.315</v>
      </c>
      <c r="AY179" s="863"/>
      <c r="AZ179" s="863">
        <f>IFERROR(__xludf.DUMMYFUNCTION("""COMPUTED_VALUE"""),0.869)</f>
        <v>0.869</v>
      </c>
      <c r="BA179" s="863"/>
      <c r="BB179" s="863"/>
      <c r="BC179" s="863"/>
      <c r="BD179" s="863"/>
      <c r="BE179" s="863"/>
      <c r="BF179" s="863"/>
      <c r="BG179" s="863"/>
      <c r="BH179" s="863">
        <f>IFERROR(__xludf.DUMMYFUNCTION("""COMPUTED_VALUE"""),0.99)</f>
        <v>0.99</v>
      </c>
      <c r="BI179" s="863"/>
      <c r="BJ179" s="863"/>
      <c r="BK179" s="863"/>
      <c r="BL179" s="863"/>
      <c r="BM179" s="863"/>
      <c r="BN179" s="863" t="str">
        <f>IFERROR(__xludf.DUMMYFUNCTION("""COMPUTED_VALUE"""),"The results of this trial have significant implications for the use of targeted chemotherapy at the community and at school level for the control of STHs. Pyrantel-oxantel has been shown to have comparable efficacy to mebendazole (500 mg) in treating STHs"&amp;", and to have a better efficacy in curing T. trichiura infections. Pyrantel-oxantel is available in Indonesia for targeted treatment of schoolchildren at a cost of only few US cents per tablet (A. Sasongko, personal communication) and competes with the ve"&amp;"ry low cost of mebendazole as a generic product (ALBONICO et al., 1994). A possible disadvantage of pyrantel-oxantel *is that patients need to be weighed, though the producing company does give alternative indications to treat based on weight and/or age. "&amp;"Furthermore, pyrantel-oxantel is not contraindicated in young children, and prescribing information indicates administration of 1 tablet of 150 mg to children between 6 months and 2 years. Pyrantel-oxantel is also available as a suspension containing 20 m"&amp;"g of each base drug (pyrantel pamoate and oxantel pamoate) per mL.")</f>
        <v>The results of this trial have significant implications for the use of targeted chemotherapy at the community and at school level for the control of STHs. Pyrantel-oxantel has been shown to have comparable efficacy to mebendazole (500 mg) in treating STHs, and to have a better efficacy in curing T. trichiura infections. Pyrantel-oxantel is available in Indonesia for targeted treatment of schoolchildren at a cost of only few US cents per tablet (A. Sasongko, personal communication) and competes with the very low cost of mebendazole as a generic product (ALBONICO et al., 1994). A possible disadvantage of pyrantel-oxantel *is that patients need to be weighed, though the producing company does give alternative indications to treat based on weight and/or age. Furthermore, pyrantel-oxantel is not contraindicated in young children, and prescribing information indicates administration of 1 tablet of 150 mg to children between 6 months and 2 years. Pyrantel-oxantel is also available as a suspension containing 20 mg of each base drug (pyrantel pamoate and oxantel pamoate) per mL.</v>
      </c>
      <c r="BO179" s="863" t="str">
        <f>IFERROR(__xludf.DUMMYFUNCTION("""COMPUTED_VALUE"""),"Kato-Katz technique")</f>
        <v>Kato-Katz technique</v>
      </c>
      <c r="BP179" s="880"/>
      <c r="BQ179" s="863"/>
      <c r="BR179" s="889" t="str">
        <f>IFERROR(__xludf.DUMMYFUNCTION("""COMPUTED_VALUE"""),"Maisonneuve et al.")</f>
        <v>Maisonneuve et al.</v>
      </c>
      <c r="BS179" s="883" t="str">
        <f>IFERROR(__xludf.DUMMYFUNCTION("""COMPUTED_VALUE"""),"Tunisia")</f>
        <v>Tunisia</v>
      </c>
      <c r="BT179" s="883" t="str">
        <f>IFERROR(__xludf.DUMMYFUNCTION("""COMPUTED_VALUE"""),"Albendazole")</f>
        <v>Albendazole</v>
      </c>
      <c r="BU179" s="883"/>
      <c r="BV179" s="883" t="str">
        <f>IFERROR(__xludf.DUMMYFUNCTION("""COMPUTED_VALUE"""),"Single")</f>
        <v>Single</v>
      </c>
      <c r="BW179" s="883" t="str">
        <f>IFERROR(__xludf.DUMMYFUNCTION("""COMPUTED_VALUE"""),"400 mg")</f>
        <v>400 mg</v>
      </c>
      <c r="BX179" s="883">
        <f>IFERROR(__xludf.DUMMYFUNCTION("""COMPUTED_VALUE"""),76.0)</f>
        <v>76</v>
      </c>
      <c r="BY179" s="883" t="str">
        <f>IFERROR(__xludf.DUMMYFUNCTION("""COMPUTED_VALUE"""),"School Children &amp; Adults")</f>
        <v>School Children &amp; Adults</v>
      </c>
      <c r="BZ179" s="883"/>
      <c r="CA179" s="883"/>
      <c r="CB179" s="883"/>
      <c r="CC179" s="883" t="str">
        <f>IFERROR(__xludf.DUMMYFUNCTION("""COMPUTED_VALUE"""),"No")</f>
        <v>No</v>
      </c>
      <c r="CD179" s="884">
        <f>IFERROR(__xludf.DUMMYFUNCTION("""COMPUTED_VALUE"""),0.88)</f>
        <v>0.88</v>
      </c>
      <c r="CE179" s="883" t="str">
        <f>IFERROR(__xludf.DUMMYFUNCTION("""COMPUTED_VALUE"""),"No")</f>
        <v>No</v>
      </c>
      <c r="CF179" s="883"/>
      <c r="CG179" s="883"/>
      <c r="CH179" s="883"/>
      <c r="CI179" s="883"/>
      <c r="CJ179" s="883"/>
      <c r="CK179" s="883"/>
      <c r="CL179" s="883"/>
      <c r="CM179" s="891">
        <f>IFERROR(__xludf.DUMMYFUNCTION("""COMPUTED_VALUE"""),0.93)</f>
        <v>0.93</v>
      </c>
      <c r="CN179" s="883"/>
      <c r="CO179" s="883"/>
      <c r="CP179" s="883"/>
      <c r="CQ179" s="883"/>
      <c r="CR179" s="883"/>
      <c r="CS179" s="883"/>
      <c r="CT179" s="883" t="str">
        <f>IFERROR(__xludf.DUMMYFUNCTION("""COMPUTED_VALUE"""),"Kato-Katz Method")</f>
        <v>Kato-Katz Method</v>
      </c>
      <c r="CU179" s="883"/>
      <c r="CV179" s="863"/>
      <c r="CW179" s="863"/>
      <c r="CX179" s="863"/>
      <c r="CY179" s="863"/>
      <c r="CZ179" s="863"/>
      <c r="DA179" s="863"/>
      <c r="DB179" s="863"/>
      <c r="DC179" s="863"/>
      <c r="DD179" s="863"/>
      <c r="DE179" s="863"/>
    </row>
    <row r="180">
      <c r="A180" s="876"/>
      <c r="B180" s="876"/>
      <c r="C180" s="876"/>
      <c r="D180" s="876"/>
      <c r="E180" s="876"/>
      <c r="F180" s="876"/>
      <c r="G180" s="876"/>
      <c r="H180" s="876"/>
      <c r="I180" s="876"/>
      <c r="J180" s="876"/>
      <c r="K180" s="876"/>
      <c r="L180" s="876"/>
      <c r="M180" s="876"/>
      <c r="N180" s="877"/>
      <c r="O180" s="876"/>
      <c r="P180" s="876"/>
      <c r="Q180" s="876"/>
      <c r="R180" s="876"/>
      <c r="S180" s="876"/>
      <c r="T180" s="876"/>
      <c r="U180" s="876"/>
      <c r="V180" s="876"/>
      <c r="W180" s="876"/>
      <c r="X180" s="876"/>
      <c r="Y180" s="876"/>
      <c r="Z180" s="876"/>
      <c r="AA180" s="876"/>
      <c r="AB180" s="876"/>
      <c r="AC180" s="876"/>
      <c r="AD180" s="876"/>
      <c r="AE180" s="876"/>
      <c r="AF180" s="876"/>
      <c r="AG180" s="876"/>
      <c r="AH180" s="876"/>
      <c r="AI180" s="878"/>
      <c r="AJ180" s="888" t="str">
        <f>IFERROR(__xludf.DUMMYFUNCTION("""COMPUTED_VALUE"""),"Comparative Efficacy and Reinfection of Albendazole-mebendazole, Albendazole-pyrantel Pamoate, and Mebendazole on Soil-transmitted Helminths")</f>
        <v>Comparative Efficacy and Reinfection of Albendazole-mebendazole, Albendazole-pyrantel Pamoate, and Mebendazole on Soil-transmitted Helminths</v>
      </c>
      <c r="AK180" s="880" t="str">
        <f>IFERROR(__xludf.DUMMYFUNCTION("""COMPUTED_VALUE"""),"Husin N, Pasaribu AP, Ali M, Suteno E, Wijaya W, Pasaribu S. Comparative Efficacy and Reinfection of Albendazole-mebendazole, Albendazole-pyrantel Pamoate, and Mebendazole on Soil-transmitted Helminths. Open Access Maced J Med Sci [Internet]. 2020Nov.19 ["&amp;"cited 2021Jan.15];8(B):978-82. Available from: https://www.id-press.eu/mjms/article/view/5110")</f>
        <v>Husin N, Pasaribu AP, Ali M, Suteno E, Wijaya W, Pasaribu S. Comparative Efficacy and Reinfection of Albendazole-mebendazole, Albendazole-pyrantel Pamoate, and Mebendazole on Soil-transmitted Helminths. Open Access Maced J Med Sci [Internet]. 2020Nov.19 [cited 2021Jan.15];8(B):978-82. Available from: https://www.id-press.eu/mjms/article/view/5110</v>
      </c>
      <c r="AL180" s="880" t="str">
        <f>IFERROR(__xludf.DUMMYFUNCTION("""COMPUTED_VALUE"""),"Indonesia")</f>
        <v>Indonesia</v>
      </c>
      <c r="AM180" s="880" t="str">
        <f>IFERROR(__xludf.DUMMYFUNCTION("""COMPUTED_VALUE"""),"Albendazole &amp; Mebendazole")</f>
        <v>Albendazole &amp; Mebendazole</v>
      </c>
      <c r="AN180" s="880" t="str">
        <f>IFERROR(__xludf.DUMMYFUNCTION("""COMPUTED_VALUE"""),"Single")</f>
        <v>Single</v>
      </c>
      <c r="AO180" s="880" t="str">
        <f>IFERROR(__xludf.DUMMYFUNCTION("""COMPUTED_VALUE"""),"400 mg; 500 mg ")</f>
        <v>400 mg; 500 mg </v>
      </c>
      <c r="AP180" s="880">
        <f>IFERROR(__xludf.DUMMYFUNCTION("""COMPUTED_VALUE"""),103.0)</f>
        <v>103</v>
      </c>
      <c r="AQ180" s="880">
        <f>IFERROR(__xludf.DUMMYFUNCTION("""COMPUTED_VALUE"""),8.3)</f>
        <v>8.3</v>
      </c>
      <c r="AR180" s="880"/>
      <c r="AS180" s="880">
        <f>IFERROR(__xludf.DUMMYFUNCTION("""COMPUTED_VALUE"""),2018.0)</f>
        <v>2018</v>
      </c>
      <c r="AT180" s="880" t="str">
        <f>IFERROR(__xludf.DUMMYFUNCTION("""COMPUTED_VALUE"""),"Children  between  6  and  12  years  of  age whose stool samples were positive for single infection or co-infection with either A. lumbricoides, T. trichiura, or and hookworm were considered eligible. Exclusion: Children who have used anthemintics 1 mont"&amp;"h before the study were excluded from the study.")</f>
        <v>Children  between  6  and  12  years  of  age whose stool samples were positive for single infection or co-infection with either A. lumbricoides, T. trichiura, or and hookworm were considered eligible. Exclusion: Children who have used anthemintics 1 month before the study were excluded from the study.</v>
      </c>
      <c r="AU180" s="880" t="str">
        <f>IFERROR(__xludf.DUMMYFUNCTION("""COMPUTED_VALUE"""),"Yes")</f>
        <v>Yes</v>
      </c>
      <c r="AV180" s="880" t="str">
        <f>IFERROR(__xludf.DUMMYFUNCTION("""COMPUTED_VALUE"""),"No")</f>
        <v>No</v>
      </c>
      <c r="AW180" s="881" t="str">
        <f>IFERROR(__xludf.DUMMYFUNCTION("""COMPUTED_VALUE"""),"No")</f>
        <v>No</v>
      </c>
      <c r="AX180" s="863">
        <f>IFERROR(__xludf.DUMMYFUNCTION("""COMPUTED_VALUE"""),0.692)</f>
        <v>0.692</v>
      </c>
      <c r="AY180" s="863"/>
      <c r="AZ180" s="863"/>
      <c r="BA180" s="863"/>
      <c r="BB180" s="863"/>
      <c r="BC180" s="863"/>
      <c r="BD180" s="863"/>
      <c r="BE180" s="863"/>
      <c r="BF180" s="863"/>
      <c r="BG180" s="863"/>
      <c r="BH180" s="863">
        <f>IFERROR(__xludf.DUMMYFUNCTION("""COMPUTED_VALUE"""),0.99)</f>
        <v>0.99</v>
      </c>
      <c r="BI180" s="863"/>
      <c r="BJ180" s="863"/>
      <c r="BK180" s="863"/>
      <c r="BL180" s="863"/>
      <c r="BM180" s="863"/>
      <c r="BN180" s="863" t="str">
        <f>IFERROR(__xludf.DUMMYFUNCTION("""COMPUTED_VALUE"""),"This study showed the excellent efficacy of an albendazole-pyrantel pamoate combination against STHs  infections. The  highest  reinfection  rate  was  found  in  albendazole-pyrantel  pamoate  group  for T.  trichiurainfection.")</f>
        <v>This study showed the excellent efficacy of an albendazole-pyrantel pamoate combination against STHs  infections. The  highest  reinfection  rate  was  found  in  albendazole-pyrantel  pamoate  group  for T.  trichiurainfection.</v>
      </c>
      <c r="BO180" s="863" t="str">
        <f>IFERROR(__xludf.DUMMYFUNCTION("""COMPUTED_VALUE"""),"Kato-Katz technique")</f>
        <v>Kato-Katz technique</v>
      </c>
      <c r="BP180" s="880"/>
      <c r="BQ180" s="863"/>
      <c r="BR180" s="889" t="str">
        <f>IFERROR(__xludf.DUMMYFUNCTION("""COMPUTED_VALUE"""),"Maisonneuve et al.")</f>
        <v>Maisonneuve et al.</v>
      </c>
      <c r="BS180" s="883" t="str">
        <f>IFERROR(__xludf.DUMMYFUNCTION("""COMPUTED_VALUE"""),"Tunisia")</f>
        <v>Tunisia</v>
      </c>
      <c r="BT180" s="883" t="str">
        <f>IFERROR(__xludf.DUMMYFUNCTION("""COMPUTED_VALUE"""),"Albendazole")</f>
        <v>Albendazole</v>
      </c>
      <c r="BU180" s="883"/>
      <c r="BV180" s="883" t="str">
        <f>IFERROR(__xludf.DUMMYFUNCTION("""COMPUTED_VALUE"""),"Single")</f>
        <v>Single</v>
      </c>
      <c r="BW180" s="883" t="str">
        <f>IFERROR(__xludf.DUMMYFUNCTION("""COMPUTED_VALUE"""),"400 mg")</f>
        <v>400 mg</v>
      </c>
      <c r="BX180" s="883">
        <f>IFERROR(__xludf.DUMMYFUNCTION("""COMPUTED_VALUE"""),57.0)</f>
        <v>57</v>
      </c>
      <c r="BY180" s="883" t="str">
        <f>IFERROR(__xludf.DUMMYFUNCTION("""COMPUTED_VALUE"""),"School Children &amp; Adults")</f>
        <v>School Children &amp; Adults</v>
      </c>
      <c r="BZ180" s="883"/>
      <c r="CA180" s="883"/>
      <c r="CB180" s="883"/>
      <c r="CC180" s="883" t="str">
        <f>IFERROR(__xludf.DUMMYFUNCTION("""COMPUTED_VALUE"""),"No")</f>
        <v>No</v>
      </c>
      <c r="CD180" s="884">
        <f>IFERROR(__xludf.DUMMYFUNCTION("""COMPUTED_VALUE"""),0.93)</f>
        <v>0.93</v>
      </c>
      <c r="CE180" s="883" t="str">
        <f>IFERROR(__xludf.DUMMYFUNCTION("""COMPUTED_VALUE"""),"No")</f>
        <v>No</v>
      </c>
      <c r="CF180" s="883"/>
      <c r="CG180" s="883"/>
      <c r="CH180" s="883"/>
      <c r="CI180" s="883"/>
      <c r="CJ180" s="883"/>
      <c r="CK180" s="883"/>
      <c r="CL180" s="883"/>
      <c r="CM180" s="891">
        <f>IFERROR(__xludf.DUMMYFUNCTION("""COMPUTED_VALUE"""),0.99)</f>
        <v>0.99</v>
      </c>
      <c r="CN180" s="883"/>
      <c r="CO180" s="883"/>
      <c r="CP180" s="883"/>
      <c r="CQ180" s="883"/>
      <c r="CR180" s="883"/>
      <c r="CS180" s="883"/>
      <c r="CT180" s="883" t="str">
        <f>IFERROR(__xludf.DUMMYFUNCTION("""COMPUTED_VALUE"""),"Kato-Katz Method")</f>
        <v>Kato-Katz Method</v>
      </c>
      <c r="CU180" s="883"/>
      <c r="CV180" s="863"/>
      <c r="CW180" s="863"/>
      <c r="CX180" s="863"/>
      <c r="CY180" s="863"/>
      <c r="CZ180" s="863"/>
      <c r="DA180" s="863"/>
      <c r="DB180" s="863"/>
      <c r="DC180" s="863"/>
      <c r="DD180" s="863"/>
      <c r="DE180" s="863"/>
    </row>
    <row r="181">
      <c r="A181" s="876"/>
      <c r="B181" s="876"/>
      <c r="C181" s="876"/>
      <c r="D181" s="876"/>
      <c r="E181" s="876"/>
      <c r="F181" s="876"/>
      <c r="G181" s="876"/>
      <c r="H181" s="876"/>
      <c r="I181" s="876"/>
      <c r="J181" s="876"/>
      <c r="K181" s="876"/>
      <c r="L181" s="876"/>
      <c r="M181" s="876"/>
      <c r="N181" s="877"/>
      <c r="O181" s="876"/>
      <c r="P181" s="876"/>
      <c r="Q181" s="876"/>
      <c r="R181" s="876"/>
      <c r="S181" s="876"/>
      <c r="T181" s="876"/>
      <c r="U181" s="876"/>
      <c r="V181" s="876"/>
      <c r="W181" s="876"/>
      <c r="X181" s="876"/>
      <c r="Y181" s="876"/>
      <c r="Z181" s="876"/>
      <c r="AA181" s="876"/>
      <c r="AB181" s="876"/>
      <c r="AC181" s="876"/>
      <c r="AD181" s="876"/>
      <c r="AE181" s="876"/>
      <c r="AF181" s="876"/>
      <c r="AG181" s="876"/>
      <c r="AH181" s="876"/>
      <c r="AI181" s="878"/>
      <c r="AJ181" s="888" t="str">
        <f>IFERROR(__xludf.DUMMYFUNCTION("""COMPUTED_VALUE"""),"Comparative Efficacy and Reinfection of Albendazole-mebendazole, Albendazole-pyrantel Pamoate, and Mebendazole on Soil-transmitted Helminths")</f>
        <v>Comparative Efficacy and Reinfection of Albendazole-mebendazole, Albendazole-pyrantel Pamoate, and Mebendazole on Soil-transmitted Helminths</v>
      </c>
      <c r="AK181" s="880" t="str">
        <f>IFERROR(__xludf.DUMMYFUNCTION("""COMPUTED_VALUE"""),"Husin N, Pasaribu AP, Ali M, Suteno E, Wijaya W, Pasaribu S. Comparative Efficacy and Reinfection of Albendazole-mebendazole, Albendazole-pyrantel Pamoate, and Mebendazole on Soil-transmitted Helminths. Open Access Maced J Med Sci [Internet]. 2020Nov.19 ["&amp;"cited 2021Jan.15];8(B):978-82. Available from: https://www.id-press.eu/mjms/article/view/5110")</f>
        <v>Husin N, Pasaribu AP, Ali M, Suteno E, Wijaya W, Pasaribu S. Comparative Efficacy and Reinfection of Albendazole-mebendazole, Albendazole-pyrantel Pamoate, and Mebendazole on Soil-transmitted Helminths. Open Access Maced J Med Sci [Internet]. 2020Nov.19 [cited 2021Jan.15];8(B):978-82. Available from: https://www.id-press.eu/mjms/article/view/5110</v>
      </c>
      <c r="AL181" s="880" t="str">
        <f>IFERROR(__xludf.DUMMYFUNCTION("""COMPUTED_VALUE"""),"Indonesia")</f>
        <v>Indonesia</v>
      </c>
      <c r="AM181" s="880" t="str">
        <f>IFERROR(__xludf.DUMMYFUNCTION("""COMPUTED_VALUE"""),"Albendazole &amp; Pyrantel pamoate")</f>
        <v>Albendazole &amp; Pyrantel pamoate</v>
      </c>
      <c r="AN181" s="880" t="str">
        <f>IFERROR(__xludf.DUMMYFUNCTION("""COMPUTED_VALUE"""),"Single")</f>
        <v>Single</v>
      </c>
      <c r="AO181" s="880" t="str">
        <f>IFERROR(__xludf.DUMMYFUNCTION("""COMPUTED_VALUE"""),"400 mg; 10 mg/kg")</f>
        <v>400 mg; 10 mg/kg</v>
      </c>
      <c r="AP181" s="880">
        <f>IFERROR(__xludf.DUMMYFUNCTION("""COMPUTED_VALUE"""),97.0)</f>
        <v>97</v>
      </c>
      <c r="AQ181" s="880">
        <f>IFERROR(__xludf.DUMMYFUNCTION("""COMPUTED_VALUE"""),8.9)</f>
        <v>8.9</v>
      </c>
      <c r="AR181" s="880"/>
      <c r="AS181" s="880">
        <f>IFERROR(__xludf.DUMMYFUNCTION("""COMPUTED_VALUE"""),2018.0)</f>
        <v>2018</v>
      </c>
      <c r="AT181" s="880" t="str">
        <f>IFERROR(__xludf.DUMMYFUNCTION("""COMPUTED_VALUE"""),"Children  between  6  and  12  years  of  age whose stool samples were positive for single infection or co-infection with either A. lumbricoides, T. trichiura, or and hookworm were considered eligible. Exclusion: Children who have used anthemintics 1 mont"&amp;"h before the study were excluded from the study.")</f>
        <v>Children  between  6  and  12  years  of  age whose stool samples were positive for single infection or co-infection with either A. lumbricoides, T. trichiura, or and hookworm were considered eligible. Exclusion: Children who have used anthemintics 1 month before the study were excluded from the study.</v>
      </c>
      <c r="AU181" s="880" t="str">
        <f>IFERROR(__xludf.DUMMYFUNCTION("""COMPUTED_VALUE"""),"Yes")</f>
        <v>Yes</v>
      </c>
      <c r="AV181" s="880" t="str">
        <f>IFERROR(__xludf.DUMMYFUNCTION("""COMPUTED_VALUE"""),"No")</f>
        <v>No</v>
      </c>
      <c r="AW181" s="881" t="str">
        <f>IFERROR(__xludf.DUMMYFUNCTION("""COMPUTED_VALUE"""),"No")</f>
        <v>No</v>
      </c>
      <c r="AX181" s="863">
        <f>IFERROR(__xludf.DUMMYFUNCTION("""COMPUTED_VALUE"""),0.814)</f>
        <v>0.814</v>
      </c>
      <c r="AY181" s="863"/>
      <c r="AZ181" s="863"/>
      <c r="BA181" s="863"/>
      <c r="BB181" s="863"/>
      <c r="BC181" s="863"/>
      <c r="BD181" s="863"/>
      <c r="BE181" s="863"/>
      <c r="BF181" s="863"/>
      <c r="BG181" s="863"/>
      <c r="BH181" s="863">
        <f>IFERROR(__xludf.DUMMYFUNCTION("""COMPUTED_VALUE"""),1.0)</f>
        <v>1</v>
      </c>
      <c r="BI181" s="863"/>
      <c r="BJ181" s="863"/>
      <c r="BK181" s="863"/>
      <c r="BL181" s="863"/>
      <c r="BM181" s="863"/>
      <c r="BN181" s="863" t="str">
        <f>IFERROR(__xludf.DUMMYFUNCTION("""COMPUTED_VALUE"""),"This study showed the excellent efficacy of an albendazole-pyrantel pamoate combination against STHs  infections. The  highest  reinfection  rate  was  found  in  albendazole-pyrantel  pamoate  group  for T.  trichiurainfection.")</f>
        <v>This study showed the excellent efficacy of an albendazole-pyrantel pamoate combination against STHs  infections. The  highest  reinfection  rate  was  found  in  albendazole-pyrantel  pamoate  group  for T.  trichiurainfection.</v>
      </c>
      <c r="BO181" s="863" t="str">
        <f>IFERROR(__xludf.DUMMYFUNCTION("""COMPUTED_VALUE"""),"Kato-Katz technique")</f>
        <v>Kato-Katz technique</v>
      </c>
      <c r="BP181" s="880"/>
      <c r="BQ181" s="863"/>
      <c r="BR181" s="889" t="str">
        <f>IFERROR(__xludf.DUMMYFUNCTION("""COMPUTED_VALUE"""),"Maisonneuve et al.")</f>
        <v>Maisonneuve et al.</v>
      </c>
      <c r="BS181" s="883" t="str">
        <f>IFERROR(__xludf.DUMMYFUNCTION("""COMPUTED_VALUE"""),"Tunisia")</f>
        <v>Tunisia</v>
      </c>
      <c r="BT181" s="883" t="str">
        <f>IFERROR(__xludf.DUMMYFUNCTION("""COMPUTED_VALUE"""),"Albendazole")</f>
        <v>Albendazole</v>
      </c>
      <c r="BU181" s="883"/>
      <c r="BV181" s="883" t="str">
        <f>IFERROR(__xludf.DUMMYFUNCTION("""COMPUTED_VALUE"""),"Single")</f>
        <v>Single</v>
      </c>
      <c r="BW181" s="883" t="str">
        <f>IFERROR(__xludf.DUMMYFUNCTION("""COMPUTED_VALUE"""),"400 mg")</f>
        <v>400 mg</v>
      </c>
      <c r="BX181" s="883">
        <f>IFERROR(__xludf.DUMMYFUNCTION("""COMPUTED_VALUE"""),14.0)</f>
        <v>14</v>
      </c>
      <c r="BY181" s="883" t="str">
        <f>IFERROR(__xludf.DUMMYFUNCTION("""COMPUTED_VALUE"""),"School Children &amp; Adults")</f>
        <v>School Children &amp; Adults</v>
      </c>
      <c r="BZ181" s="883"/>
      <c r="CA181" s="883"/>
      <c r="CB181" s="883"/>
      <c r="CC181" s="883" t="str">
        <f>IFERROR(__xludf.DUMMYFUNCTION("""COMPUTED_VALUE"""),"No")</f>
        <v>No</v>
      </c>
      <c r="CD181" s="884">
        <f>IFERROR(__xludf.DUMMYFUNCTION("""COMPUTED_VALUE"""),0.86)</f>
        <v>0.86</v>
      </c>
      <c r="CE181" s="883" t="str">
        <f>IFERROR(__xludf.DUMMYFUNCTION("""COMPUTED_VALUE"""),"No")</f>
        <v>No</v>
      </c>
      <c r="CF181" s="883"/>
      <c r="CG181" s="883"/>
      <c r="CH181" s="883"/>
      <c r="CI181" s="883"/>
      <c r="CJ181" s="883"/>
      <c r="CK181" s="883"/>
      <c r="CL181" s="883"/>
      <c r="CM181" s="891">
        <f>IFERROR(__xludf.DUMMYFUNCTION("""COMPUTED_VALUE"""),0.99)</f>
        <v>0.99</v>
      </c>
      <c r="CN181" s="883"/>
      <c r="CO181" s="883"/>
      <c r="CP181" s="883"/>
      <c r="CQ181" s="883"/>
      <c r="CR181" s="883"/>
      <c r="CS181" s="883"/>
      <c r="CT181" s="883" t="str">
        <f>IFERROR(__xludf.DUMMYFUNCTION("""COMPUTED_VALUE"""),"Kato-Katz Method")</f>
        <v>Kato-Katz Method</v>
      </c>
      <c r="CU181" s="883"/>
      <c r="CV181" s="863"/>
      <c r="CW181" s="863"/>
      <c r="CX181" s="863"/>
      <c r="CY181" s="863"/>
      <c r="CZ181" s="863"/>
      <c r="DA181" s="863"/>
      <c r="DB181" s="863"/>
      <c r="DC181" s="863"/>
      <c r="DD181" s="863"/>
      <c r="DE181" s="863"/>
    </row>
    <row r="182">
      <c r="A182" s="876"/>
      <c r="B182" s="876"/>
      <c r="C182" s="876"/>
      <c r="D182" s="876"/>
      <c r="E182" s="876"/>
      <c r="F182" s="876"/>
      <c r="G182" s="876"/>
      <c r="H182" s="876"/>
      <c r="I182" s="876"/>
      <c r="J182" s="876"/>
      <c r="K182" s="876"/>
      <c r="L182" s="876"/>
      <c r="M182" s="876"/>
      <c r="N182" s="877"/>
      <c r="O182" s="876"/>
      <c r="P182" s="876"/>
      <c r="Q182" s="876"/>
      <c r="R182" s="876"/>
      <c r="S182" s="876"/>
      <c r="T182" s="876"/>
      <c r="U182" s="876"/>
      <c r="V182" s="876"/>
      <c r="W182" s="876"/>
      <c r="X182" s="876"/>
      <c r="Y182" s="876"/>
      <c r="Z182" s="876"/>
      <c r="AA182" s="876"/>
      <c r="AB182" s="876"/>
      <c r="AC182" s="876"/>
      <c r="AD182" s="876"/>
      <c r="AE182" s="876"/>
      <c r="AF182" s="876"/>
      <c r="AG182" s="876"/>
      <c r="AH182" s="876"/>
      <c r="AI182" s="878"/>
      <c r="AJ182" s="888" t="str">
        <f>IFERROR(__xludf.DUMMYFUNCTION("""COMPUTED_VALUE"""),"Comparative Efficacy and Reinfection of Albendazole-mebendazole, Albendazole-pyrantel Pamoate, and Mebendazole on Soil-transmitted Helminths")</f>
        <v>Comparative Efficacy and Reinfection of Albendazole-mebendazole, Albendazole-pyrantel Pamoate, and Mebendazole on Soil-transmitted Helminths</v>
      </c>
      <c r="AK182" s="880" t="str">
        <f>IFERROR(__xludf.DUMMYFUNCTION("""COMPUTED_VALUE"""),"Husin N, Pasaribu AP, Ali M, Suteno E, Wijaya W, Pasaribu S. Comparative Efficacy and Reinfection of Albendazole-mebendazole, Albendazole-pyrantel Pamoate, and Mebendazole on Soil-transmitted Helminths. Open Access Maced J Med Sci [Internet]. 2020Nov.19 ["&amp;"cited 2021Jan.15];8(B):978-82. Available from: https://www.id-press.eu/mjms/article/view/5110")</f>
        <v>Husin N, Pasaribu AP, Ali M, Suteno E, Wijaya W, Pasaribu S. Comparative Efficacy and Reinfection of Albendazole-mebendazole, Albendazole-pyrantel Pamoate, and Mebendazole on Soil-transmitted Helminths. Open Access Maced J Med Sci [Internet]. 2020Nov.19 [cited 2021Jan.15];8(B):978-82. Available from: https://www.id-press.eu/mjms/article/view/5110</v>
      </c>
      <c r="AL182" s="880" t="str">
        <f>IFERROR(__xludf.DUMMYFUNCTION("""COMPUTED_VALUE"""),"Indonesia")</f>
        <v>Indonesia</v>
      </c>
      <c r="AM182" s="880" t="str">
        <f>IFERROR(__xludf.DUMMYFUNCTION("""COMPUTED_VALUE"""),"Mebendazole")</f>
        <v>Mebendazole</v>
      </c>
      <c r="AN182" s="880" t="str">
        <f>IFERROR(__xludf.DUMMYFUNCTION("""COMPUTED_VALUE"""),"Single")</f>
        <v>Single</v>
      </c>
      <c r="AO182" s="880" t="str">
        <f>IFERROR(__xludf.DUMMYFUNCTION("""COMPUTED_VALUE"""),"500 mg")</f>
        <v>500 mg</v>
      </c>
      <c r="AP182" s="880">
        <f>IFERROR(__xludf.DUMMYFUNCTION("""COMPUTED_VALUE"""),93.0)</f>
        <v>93</v>
      </c>
      <c r="AQ182" s="880">
        <f>IFERROR(__xludf.DUMMYFUNCTION("""COMPUTED_VALUE"""),8.8)</f>
        <v>8.8</v>
      </c>
      <c r="AR182" s="880"/>
      <c r="AS182" s="880">
        <f>IFERROR(__xludf.DUMMYFUNCTION("""COMPUTED_VALUE"""),2018.0)</f>
        <v>2018</v>
      </c>
      <c r="AT182" s="880" t="str">
        <f>IFERROR(__xludf.DUMMYFUNCTION("""COMPUTED_VALUE"""),"Children  between  6  and  12  years  of  age whose stool samples were positive for single infection or co-infection with either A. lumbricoides, T. trichiura, or and hookworm were considered eligible. Exclusion: Children who have used anthemintics 1 mont"&amp;"h before the study were excluded from the study.")</f>
        <v>Children  between  6  and  12  years  of  age whose stool samples were positive for single infection or co-infection with either A. lumbricoides, T. trichiura, or and hookworm were considered eligible. Exclusion: Children who have used anthemintics 1 month before the study were excluded from the study.</v>
      </c>
      <c r="AU182" s="880" t="str">
        <f>IFERROR(__xludf.DUMMYFUNCTION("""COMPUTED_VALUE"""),"Yes")</f>
        <v>Yes</v>
      </c>
      <c r="AV182" s="880" t="str">
        <f>IFERROR(__xludf.DUMMYFUNCTION("""COMPUTED_VALUE"""),"No")</f>
        <v>No</v>
      </c>
      <c r="AW182" s="881" t="str">
        <f>IFERROR(__xludf.DUMMYFUNCTION("""COMPUTED_VALUE"""),"No")</f>
        <v>No</v>
      </c>
      <c r="AX182" s="863">
        <f>IFERROR(__xludf.DUMMYFUNCTION("""COMPUTED_VALUE"""),0.656)</f>
        <v>0.656</v>
      </c>
      <c r="AY182" s="863"/>
      <c r="AZ182" s="863"/>
      <c r="BA182" s="863"/>
      <c r="BB182" s="863"/>
      <c r="BC182" s="863"/>
      <c r="BD182" s="863"/>
      <c r="BE182" s="863"/>
      <c r="BF182" s="863"/>
      <c r="BG182" s="863"/>
      <c r="BH182" s="863">
        <f>IFERROR(__xludf.DUMMYFUNCTION("""COMPUTED_VALUE"""),0.447)</f>
        <v>0.447</v>
      </c>
      <c r="BI182" s="863"/>
      <c r="BJ182" s="863"/>
      <c r="BK182" s="863"/>
      <c r="BL182" s="863"/>
      <c r="BM182" s="863"/>
      <c r="BN182" s="863" t="str">
        <f>IFERROR(__xludf.DUMMYFUNCTION("""COMPUTED_VALUE"""),"This study showed the excellent efficacy of an albendazole-pyrantel pamoate combination against STHs  infections. The  highest  reinfection  rate  was  found  in  albendazole-pyrantel  pamoate  group  for T.  trichiurainfection.")</f>
        <v>This study showed the excellent efficacy of an albendazole-pyrantel pamoate combination against STHs  infections. The  highest  reinfection  rate  was  found  in  albendazole-pyrantel  pamoate  group  for T.  trichiurainfection.</v>
      </c>
      <c r="BO182" s="863" t="str">
        <f>IFERROR(__xludf.DUMMYFUNCTION("""COMPUTED_VALUE"""),"Kato-Katz technique")</f>
        <v>Kato-Katz technique</v>
      </c>
      <c r="BP182" s="880"/>
      <c r="BQ182" s="863"/>
      <c r="BR182" s="889" t="str">
        <f>IFERROR(__xludf.DUMMYFUNCTION("""COMPUTED_VALUE"""),"Gazder &amp; Roy")</f>
        <v>Gazder &amp; Roy</v>
      </c>
      <c r="BS182" s="883" t="str">
        <f>IFERROR(__xludf.DUMMYFUNCTION("""COMPUTED_VALUE"""),"India ")</f>
        <v>India </v>
      </c>
      <c r="BT182" s="883" t="str">
        <f>IFERROR(__xludf.DUMMYFUNCTION("""COMPUTED_VALUE"""),"Albendazole")</f>
        <v>Albendazole</v>
      </c>
      <c r="BU182" s="883"/>
      <c r="BV182" s="883" t="str">
        <f>IFERROR(__xludf.DUMMYFUNCTION("""COMPUTED_VALUE"""),"Single")</f>
        <v>Single</v>
      </c>
      <c r="BW182" s="883" t="str">
        <f>IFERROR(__xludf.DUMMYFUNCTION("""COMPUTED_VALUE"""),"400 mg")</f>
        <v>400 mg</v>
      </c>
      <c r="BX182" s="883">
        <f>IFERROR(__xludf.DUMMYFUNCTION("""COMPUTED_VALUE"""),7.0)</f>
        <v>7</v>
      </c>
      <c r="BY182" s="890">
        <f>IFERROR(__xludf.DUMMYFUNCTION("""COMPUTED_VALUE"""),42412.0)</f>
        <v>42412</v>
      </c>
      <c r="BZ182" s="883"/>
      <c r="CA182" s="883"/>
      <c r="CB182" s="883" t="str">
        <f>IFERROR(__xludf.DUMMYFUNCTION("""COMPUTED_VALUE"""),"Patients who had received anthelmintics over the seven days prior to commencing the study or who had an acute illness, epilepsy, known hypoersensitivty to any drug, generalized active skin lesions, long-term drug therapy, or proteinura were excluded from "&amp;"this study.")</f>
        <v>Patients who had received anthelmintics over the seven days prior to commencing the study or who had an acute illness, epilepsy, known hypoersensitivty to any drug, generalized active skin lesions, long-term drug therapy, or proteinura were excluded from this study.</v>
      </c>
      <c r="CC182" s="883" t="str">
        <f>IFERROR(__xludf.DUMMYFUNCTION("""COMPUTED_VALUE"""),"Yes")</f>
        <v>Yes</v>
      </c>
      <c r="CD182" s="884">
        <f>IFERROR(__xludf.DUMMYFUNCTION("""COMPUTED_VALUE"""),1.0)</f>
        <v>1</v>
      </c>
      <c r="CE182" s="883" t="str">
        <f>IFERROR(__xludf.DUMMYFUNCTION("""COMPUTED_VALUE"""),"No")</f>
        <v>No</v>
      </c>
      <c r="CF182" s="883"/>
      <c r="CG182" s="891">
        <f>IFERROR(__xludf.DUMMYFUNCTION("""COMPUTED_VALUE"""),1.0)</f>
        <v>1</v>
      </c>
      <c r="CH182" s="883"/>
      <c r="CI182" s="883"/>
      <c r="CJ182" s="883"/>
      <c r="CK182" s="883"/>
      <c r="CL182" s="883"/>
      <c r="CM182" s="883"/>
      <c r="CN182" s="883"/>
      <c r="CO182" s="883"/>
      <c r="CP182" s="883"/>
      <c r="CQ182" s="883"/>
      <c r="CR182" s="883"/>
      <c r="CS182" s="883" t="str">
        <f>IFERROR(__xludf.DUMMYFUNCTION("""COMPUTED_VALUE"""),"The drug appears to be a safe and active treatment for intestinal helminthiasis in pediatric patients.")</f>
        <v>The drug appears to be a safe and active treatment for intestinal helminthiasis in pediatric patients.</v>
      </c>
      <c r="CT182" s="883"/>
      <c r="CU182" s="883"/>
      <c r="CV182" s="863"/>
      <c r="CW182" s="863"/>
      <c r="CX182" s="863"/>
      <c r="CY182" s="863"/>
      <c r="CZ182" s="863"/>
      <c r="DA182" s="863"/>
      <c r="DB182" s="863"/>
      <c r="DC182" s="863"/>
      <c r="DD182" s="863"/>
      <c r="DE182" s="863"/>
    </row>
    <row r="183">
      <c r="A183" s="876"/>
      <c r="B183" s="876"/>
      <c r="C183" s="876"/>
      <c r="D183" s="876"/>
      <c r="E183" s="876"/>
      <c r="F183" s="876"/>
      <c r="G183" s="876"/>
      <c r="H183" s="876"/>
      <c r="I183" s="876"/>
      <c r="J183" s="876"/>
      <c r="K183" s="876"/>
      <c r="L183" s="876"/>
      <c r="M183" s="876"/>
      <c r="N183" s="877"/>
      <c r="O183" s="876"/>
      <c r="P183" s="876"/>
      <c r="Q183" s="876"/>
      <c r="R183" s="876"/>
      <c r="S183" s="876"/>
      <c r="T183" s="876"/>
      <c r="U183" s="876"/>
      <c r="V183" s="876"/>
      <c r="W183" s="876"/>
      <c r="X183" s="876"/>
      <c r="Y183" s="876"/>
      <c r="Z183" s="876"/>
      <c r="AA183" s="876"/>
      <c r="AB183" s="876"/>
      <c r="AC183" s="876"/>
      <c r="AD183" s="876"/>
      <c r="AE183" s="876"/>
      <c r="AF183" s="876"/>
      <c r="AG183" s="876"/>
      <c r="AH183" s="876"/>
      <c r="AI183" s="878"/>
      <c r="AJ183" s="888" t="str">
        <f>IFERROR(__xludf.DUMMYFUNCTION("""COMPUTED_VALUE"""),"Efficacy of Albendazole-Pyrantel Pamoate Compared to Albendazole Alone for Trichuris trichiura Infection in Children: A Double Blind Randomised Controlled Trial")</f>
        <v>Efficacy of Albendazole-Pyrantel Pamoate Compared to Albendazole Alone for Trichuris trichiura Infection in Children: A Double Blind Randomised Controlled Trial</v>
      </c>
      <c r="AK183" s="880" t="str">
        <f>IFERROR(__xludf.DUMMYFUNCTION("""COMPUTED_VALUE"""),"Sapulete, E., de Dwi Lingga Utama, I., Sanjaya Putra, I., Kanya Wati, D., Arimbawa, I. M., &amp; Gustawan, I. W. (2020). Efficacy of Albendazole-Pyrantel Pamoate Compared to Albendazole Alone for Trichuris trichiura Infection in Children: A Double Blind Rando"&amp;"mised Controlled Trial. The Malaysian journal of medical sciences : MJMS, 27(3), 67–74. https://doi.org/10.21315/mjms2020.27.3.7")</f>
        <v>Sapulete, E., de Dwi Lingga Utama, I., Sanjaya Putra, I., Kanya Wati, D., Arimbawa, I. M., &amp; Gustawan, I. W. (2020). Efficacy of Albendazole-Pyrantel Pamoate Compared to Albendazole Alone for Trichuris trichiura Infection in Children: A Double Blind Randomised Controlled Trial. The Malaysian journal of medical sciences : MJMS, 27(3), 67–74. https://doi.org/10.21315/mjms2020.27.3.7</v>
      </c>
      <c r="AL183" s="880" t="str">
        <f>IFERROR(__xludf.DUMMYFUNCTION("""COMPUTED_VALUE"""),"Indonesia")</f>
        <v>Indonesia</v>
      </c>
      <c r="AM183" s="880" t="str">
        <f>IFERROR(__xludf.DUMMYFUNCTION("""COMPUTED_VALUE"""),"Albendazole &amp; Pyrantel pamoate")</f>
        <v>Albendazole &amp; Pyrantel pamoate</v>
      </c>
      <c r="AN183" s="880" t="str">
        <f>IFERROR(__xludf.DUMMYFUNCTION("""COMPUTED_VALUE"""),"Multiple Dose: 3")</f>
        <v>Multiple Dose: 3</v>
      </c>
      <c r="AO183" s="880" t="str">
        <f>IFERROR(__xludf.DUMMYFUNCTION("""COMPUTED_VALUE"""),"400 mg;10 mg/kg body weight")</f>
        <v>400 mg;10 mg/kg body weight</v>
      </c>
      <c r="AP183" s="880">
        <f>IFERROR(__xludf.DUMMYFUNCTION("""COMPUTED_VALUE"""),30.0)</f>
        <v>30</v>
      </c>
      <c r="AQ183" s="880">
        <f>IFERROR(__xludf.DUMMYFUNCTION("""COMPUTED_VALUE"""),9.43)</f>
        <v>9.43</v>
      </c>
      <c r="AR183" s="880" t="str">
        <f>IFERROR(__xludf.DUMMYFUNCTION("""COMPUTED_VALUE"""),"14M:16F")</f>
        <v>14M:16F</v>
      </c>
      <c r="AS183" s="880">
        <f>IFERROR(__xludf.DUMMYFUNCTION("""COMPUTED_VALUE"""),2017.0)</f>
        <v>2017</v>
      </c>
      <c r="AT183" s="880" t="str">
        <f>IFERROR(__xludf.DUMMYFUNCTION("""COMPUTED_VALUE"""),"Children who were 8–12 years old were invited to provide stool samples, and children who tested positive for Trichuris trichiura were considered eligible for inclusion in the trial. Exclusion: Children who had diarrhoea, combination of STH infection, were"&amp;" taking STH medication within the past two months, vomiting within one hour after admiration of the drug, and the usage of certain drugs (benzimidazole and tetrahydropyrimidine) related to an allergic history were excluded.")</f>
        <v>Children who were 8–12 years old were invited to provide stool samples, and children who tested positive for Trichuris trichiura were considered eligible for inclusion in the trial. Exclusion: Children who had diarrhoea, combination of STH infection, were taking STH medication within the past two months, vomiting within one hour after admiration of the drug, and the usage of certain drugs (benzimidazole and tetrahydropyrimidine) related to an allergic history were excluded.</v>
      </c>
      <c r="AU183" s="880" t="str">
        <f>IFERROR(__xludf.DUMMYFUNCTION("""COMPUTED_VALUE"""),"Yes")</f>
        <v>Yes</v>
      </c>
      <c r="AV183" s="880" t="str">
        <f>IFERROR(__xludf.DUMMYFUNCTION("""COMPUTED_VALUE"""),"Yes")</f>
        <v>Yes</v>
      </c>
      <c r="AW183" s="881" t="str">
        <f>IFERROR(__xludf.DUMMYFUNCTION("""COMPUTED_VALUE"""),"Double blind")</f>
        <v>Double blind</v>
      </c>
      <c r="AX183" s="863">
        <f>IFERROR(__xludf.DUMMYFUNCTION("""COMPUTED_VALUE"""),0.4)</f>
        <v>0.4</v>
      </c>
      <c r="AY183" s="863"/>
      <c r="AZ183" s="863"/>
      <c r="BA183" s="863"/>
      <c r="BB183" s="863"/>
      <c r="BC183" s="863"/>
      <c r="BD183" s="863"/>
      <c r="BE183" s="863"/>
      <c r="BF183" s="863"/>
      <c r="BG183" s="863"/>
      <c r="BH183" s="863">
        <f>IFERROR(__xludf.DUMMYFUNCTION("""COMPUTED_VALUE"""),0.553)</f>
        <v>0.553</v>
      </c>
      <c r="BI183" s="863"/>
      <c r="BJ183" s="863"/>
      <c r="BK183" s="863"/>
      <c r="BL183" s="863"/>
      <c r="BM183" s="863"/>
      <c r="BN183" s="863" t="str">
        <f>IFERROR(__xludf.DUMMYFUNCTION("""COMPUTED_VALUE"""),"The study indicated that a combination of albendazole and pyrantel pamoate does not improve cure rate or egg reduction rate in 8–12 years old children with Trichuris trichiura infection.")</f>
        <v>The study indicated that a combination of albendazole and pyrantel pamoate does not improve cure rate or egg reduction rate in 8–12 years old children with Trichuris trichiura infection.</v>
      </c>
      <c r="BO183" s="863" t="str">
        <f>IFERROR(__xludf.DUMMYFUNCTION("""COMPUTED_VALUE"""),"Kato-Katz technique")</f>
        <v>Kato-Katz technique</v>
      </c>
      <c r="BP183" s="880"/>
      <c r="BQ183" s="863"/>
      <c r="BR183" s="889" t="str">
        <f>IFERROR(__xludf.DUMMYFUNCTION("""COMPUTED_VALUE"""),"Gazder &amp; Roy")</f>
        <v>Gazder &amp; Roy</v>
      </c>
      <c r="BS183" s="883" t="str">
        <f>IFERROR(__xludf.DUMMYFUNCTION("""COMPUTED_VALUE"""),"India ")</f>
        <v>India </v>
      </c>
      <c r="BT183" s="883" t="str">
        <f>IFERROR(__xludf.DUMMYFUNCTION("""COMPUTED_VALUE"""),"Albendazole")</f>
        <v>Albendazole</v>
      </c>
      <c r="BU183" s="883"/>
      <c r="BV183" s="883" t="str">
        <f>IFERROR(__xludf.DUMMYFUNCTION("""COMPUTED_VALUE"""),"Single")</f>
        <v>Single</v>
      </c>
      <c r="BW183" s="883" t="str">
        <f>IFERROR(__xludf.DUMMYFUNCTION("""COMPUTED_VALUE"""),"400 mg")</f>
        <v>400 mg</v>
      </c>
      <c r="BX183" s="883">
        <f>IFERROR(__xludf.DUMMYFUNCTION("""COMPUTED_VALUE"""),34.0)</f>
        <v>34</v>
      </c>
      <c r="BY183" s="890">
        <f>IFERROR(__xludf.DUMMYFUNCTION("""COMPUTED_VALUE"""),42412.0)</f>
        <v>42412</v>
      </c>
      <c r="BZ183" s="883"/>
      <c r="CA183" s="883"/>
      <c r="CB183" s="883" t="str">
        <f>IFERROR(__xludf.DUMMYFUNCTION("""COMPUTED_VALUE"""),"Patients who had received anthelmintics over the seven days prior to commencing the study or who had an acute illness, epilepsy, known hypoersensitivty to any drug, generalized active skin lesions, long-term drug therapy, or proteinura were excluded from "&amp;"this study.")</f>
        <v>Patients who had received anthelmintics over the seven days prior to commencing the study or who had an acute illness, epilepsy, known hypoersensitivty to any drug, generalized active skin lesions, long-term drug therapy, or proteinura were excluded from this study.</v>
      </c>
      <c r="CC183" s="883" t="str">
        <f>IFERROR(__xludf.DUMMYFUNCTION("""COMPUTED_VALUE"""),"Yes")</f>
        <v>Yes</v>
      </c>
      <c r="CD183" s="884">
        <f>IFERROR(__xludf.DUMMYFUNCTION("""COMPUTED_VALUE"""),0.94)</f>
        <v>0.94</v>
      </c>
      <c r="CE183" s="883" t="str">
        <f>IFERROR(__xludf.DUMMYFUNCTION("""COMPUTED_VALUE"""),"No")</f>
        <v>No</v>
      </c>
      <c r="CF183" s="883"/>
      <c r="CG183" s="891">
        <f>IFERROR(__xludf.DUMMYFUNCTION("""COMPUTED_VALUE"""),0.941)</f>
        <v>0.941</v>
      </c>
      <c r="CH183" s="883"/>
      <c r="CI183" s="883"/>
      <c r="CJ183" s="883"/>
      <c r="CK183" s="883"/>
      <c r="CL183" s="883"/>
      <c r="CM183" s="883"/>
      <c r="CN183" s="883"/>
      <c r="CO183" s="883"/>
      <c r="CP183" s="883"/>
      <c r="CQ183" s="883"/>
      <c r="CR183" s="883"/>
      <c r="CS183" s="883" t="str">
        <f>IFERROR(__xludf.DUMMYFUNCTION("""COMPUTED_VALUE"""),"The drug appears to be a safe and active treatment for intestinal helminthiasis in pediatric patients.")</f>
        <v>The drug appears to be a safe and active treatment for intestinal helminthiasis in pediatric patients.</v>
      </c>
      <c r="CT183" s="883"/>
      <c r="CU183" s="883"/>
      <c r="CV183" s="863"/>
      <c r="CW183" s="863"/>
      <c r="CX183" s="863"/>
      <c r="CY183" s="863"/>
      <c r="CZ183" s="863"/>
      <c r="DA183" s="863"/>
      <c r="DB183" s="863"/>
      <c r="DC183" s="863"/>
      <c r="DD183" s="863"/>
      <c r="DE183" s="863"/>
    </row>
    <row r="184">
      <c r="A184" s="876"/>
      <c r="B184" s="876"/>
      <c r="C184" s="876"/>
      <c r="D184" s="876"/>
      <c r="E184" s="876"/>
      <c r="F184" s="876"/>
      <c r="G184" s="876"/>
      <c r="H184" s="876"/>
      <c r="I184" s="876"/>
      <c r="J184" s="876"/>
      <c r="K184" s="876"/>
      <c r="L184" s="876"/>
      <c r="M184" s="876"/>
      <c r="N184" s="877"/>
      <c r="O184" s="876"/>
      <c r="P184" s="876"/>
      <c r="Q184" s="876"/>
      <c r="R184" s="876"/>
      <c r="S184" s="876"/>
      <c r="T184" s="876"/>
      <c r="U184" s="876"/>
      <c r="V184" s="876"/>
      <c r="W184" s="876"/>
      <c r="X184" s="876"/>
      <c r="Y184" s="876"/>
      <c r="Z184" s="876"/>
      <c r="AA184" s="876"/>
      <c r="AB184" s="876"/>
      <c r="AC184" s="876"/>
      <c r="AD184" s="876"/>
      <c r="AE184" s="876"/>
      <c r="AF184" s="876"/>
      <c r="AG184" s="876"/>
      <c r="AH184" s="876"/>
      <c r="AI184" s="878"/>
      <c r="AJ184" s="888" t="str">
        <f>IFERROR(__xludf.DUMMYFUNCTION("""COMPUTED_VALUE"""),"Efficacy of Albendazole-Pyrantel Pamoate Compared to Albendazole Alone for Trichuris trichiura Infection in Children: A Double Blind Randomised Controlled Trial")</f>
        <v>Efficacy of Albendazole-Pyrantel Pamoate Compared to Albendazole Alone for Trichuris trichiura Infection in Children: A Double Blind Randomised Controlled Trial</v>
      </c>
      <c r="AK184" s="880" t="str">
        <f>IFERROR(__xludf.DUMMYFUNCTION("""COMPUTED_VALUE"""),"Sapulete, E., de Dwi Lingga Utama, I., Sanjaya Putra, I., Kanya Wati, D., Arimbawa, I. M., &amp; Gustawan, I. W. (2020). Efficacy of Albendazole-Pyrantel Pamoate Compared to Albendazole Alone for Trichuris trichiura Infection in Children: A Double Blind Rando"&amp;"mised Controlled Trial. The Malaysian journal of medical sciences : MJMS, 27(3), 67–74. https://doi.org/10.21315/mjms2020.27.3.7")</f>
        <v>Sapulete, E., de Dwi Lingga Utama, I., Sanjaya Putra, I., Kanya Wati, D., Arimbawa, I. M., &amp; Gustawan, I. W. (2020). Efficacy of Albendazole-Pyrantel Pamoate Compared to Albendazole Alone for Trichuris trichiura Infection in Children: A Double Blind Randomised Controlled Trial. The Malaysian journal of medical sciences : MJMS, 27(3), 67–74. https://doi.org/10.21315/mjms2020.27.3.7</v>
      </c>
      <c r="AL184" s="880" t="str">
        <f>IFERROR(__xludf.DUMMYFUNCTION("""COMPUTED_VALUE"""),"Indonesia")</f>
        <v>Indonesia</v>
      </c>
      <c r="AM184" s="880" t="str">
        <f>IFERROR(__xludf.DUMMYFUNCTION("""COMPUTED_VALUE"""),"Albendazole")</f>
        <v>Albendazole</v>
      </c>
      <c r="AN184" s="880" t="str">
        <f>IFERROR(__xludf.DUMMYFUNCTION("""COMPUTED_VALUE"""),"Multiple Dose: 3")</f>
        <v>Multiple Dose: 3</v>
      </c>
      <c r="AO184" s="880" t="str">
        <f>IFERROR(__xludf.DUMMYFUNCTION("""COMPUTED_VALUE"""),"400 mg")</f>
        <v>400 mg</v>
      </c>
      <c r="AP184" s="880">
        <f>IFERROR(__xludf.DUMMYFUNCTION("""COMPUTED_VALUE"""),30.0)</f>
        <v>30</v>
      </c>
      <c r="AQ184" s="880">
        <f>IFERROR(__xludf.DUMMYFUNCTION("""COMPUTED_VALUE"""),9.33)</f>
        <v>9.33</v>
      </c>
      <c r="AR184" s="880" t="str">
        <f>IFERROR(__xludf.DUMMYFUNCTION("""COMPUTED_VALUE"""),"19M:11F")</f>
        <v>19M:11F</v>
      </c>
      <c r="AS184" s="880">
        <f>IFERROR(__xludf.DUMMYFUNCTION("""COMPUTED_VALUE"""),2017.0)</f>
        <v>2017</v>
      </c>
      <c r="AT184" s="880" t="str">
        <f>IFERROR(__xludf.DUMMYFUNCTION("""COMPUTED_VALUE"""),"Children who were 8–12 years old were invited to provide stool samples, and children who tested positive for Trichuris trichiura were considered eligible for inclusion in the trial. Exclusion: Children who had diarrhoea, combination of STH infection, were"&amp;" taking STH medication within the past two months, vomiting within one hour after admiration of the drug, and the usage of certain drugs (benzimidazole and tetrahydropyrimidine) related to an allergic history were excluded.")</f>
        <v>Children who were 8–12 years old were invited to provide stool samples, and children who tested positive for Trichuris trichiura were considered eligible for inclusion in the trial. Exclusion: Children who had diarrhoea, combination of STH infection, were taking STH medication within the past two months, vomiting within one hour after admiration of the drug, and the usage of certain drugs (benzimidazole and tetrahydropyrimidine) related to an allergic history were excluded.</v>
      </c>
      <c r="AU184" s="880" t="str">
        <f>IFERROR(__xludf.DUMMYFUNCTION("""COMPUTED_VALUE"""),"Yes")</f>
        <v>Yes</v>
      </c>
      <c r="AV184" s="880" t="str">
        <f>IFERROR(__xludf.DUMMYFUNCTION("""COMPUTED_VALUE"""),"Yes")</f>
        <v>Yes</v>
      </c>
      <c r="AW184" s="881" t="str">
        <f>IFERROR(__xludf.DUMMYFUNCTION("""COMPUTED_VALUE"""),"Double blind")</f>
        <v>Double blind</v>
      </c>
      <c r="AX184" s="863">
        <f>IFERROR(__xludf.DUMMYFUNCTION("""COMPUTED_VALUE"""),0.6)</f>
        <v>0.6</v>
      </c>
      <c r="AY184" s="863"/>
      <c r="AZ184" s="863"/>
      <c r="BA184" s="863"/>
      <c r="BB184" s="863"/>
      <c r="BC184" s="863"/>
      <c r="BD184" s="863"/>
      <c r="BE184" s="863"/>
      <c r="BF184" s="863"/>
      <c r="BG184" s="863"/>
      <c r="BH184" s="863">
        <f>IFERROR(__xludf.DUMMYFUNCTION("""COMPUTED_VALUE"""),0.961)</f>
        <v>0.961</v>
      </c>
      <c r="BI184" s="863"/>
      <c r="BJ184" s="863"/>
      <c r="BK184" s="863"/>
      <c r="BL184" s="863"/>
      <c r="BM184" s="863"/>
      <c r="BN184" s="863" t="str">
        <f>IFERROR(__xludf.DUMMYFUNCTION("""COMPUTED_VALUE"""),"The study indicated that a combination of albendazole and pyrantel pamoate does not improve cure rate or egg reduction rate in 8–12 years old children with Trichuris trichiura infection.")</f>
        <v>The study indicated that a combination of albendazole and pyrantel pamoate does not improve cure rate or egg reduction rate in 8–12 years old children with Trichuris trichiura infection.</v>
      </c>
      <c r="BO184" s="863" t="str">
        <f>IFERROR(__xludf.DUMMYFUNCTION("""COMPUTED_VALUE"""),"Kato-Katz technique")</f>
        <v>Kato-Katz technique</v>
      </c>
      <c r="BP184" s="880"/>
      <c r="BQ184" s="863"/>
      <c r="BR184" s="889" t="str">
        <f>IFERROR(__xludf.DUMMYFUNCTION("""COMPUTED_VALUE"""),"Gazder &amp; Roy")</f>
        <v>Gazder &amp; Roy</v>
      </c>
      <c r="BS184" s="883" t="str">
        <f>IFERROR(__xludf.DUMMYFUNCTION("""COMPUTED_VALUE"""),"India ")</f>
        <v>India </v>
      </c>
      <c r="BT184" s="883" t="str">
        <f>IFERROR(__xludf.DUMMYFUNCTION("""COMPUTED_VALUE"""),"Albendazole")</f>
        <v>Albendazole</v>
      </c>
      <c r="BU184" s="883"/>
      <c r="BV184" s="883" t="str">
        <f>IFERROR(__xludf.DUMMYFUNCTION("""COMPUTED_VALUE"""),"Single")</f>
        <v>Single</v>
      </c>
      <c r="BW184" s="883" t="str">
        <f>IFERROR(__xludf.DUMMYFUNCTION("""COMPUTED_VALUE"""),"400 mg")</f>
        <v>400 mg</v>
      </c>
      <c r="BX184" s="883">
        <f>IFERROR(__xludf.DUMMYFUNCTION("""COMPUTED_VALUE"""),2.0)</f>
        <v>2</v>
      </c>
      <c r="BY184" s="890">
        <f>IFERROR(__xludf.DUMMYFUNCTION("""COMPUTED_VALUE"""),42412.0)</f>
        <v>42412</v>
      </c>
      <c r="BZ184" s="883"/>
      <c r="CA184" s="883"/>
      <c r="CB184" s="883" t="str">
        <f>IFERROR(__xludf.DUMMYFUNCTION("""COMPUTED_VALUE"""),"Patients who had received anthelmintics over the seven days prior to commencing the study or who had an acute illness, epilepsy, known hypoersensitivty to any drug, generalized active skin lesions, long-term drug therapy, or proteinura were excluded from "&amp;"this study.")</f>
        <v>Patients who had received anthelmintics over the seven days prior to commencing the study or who had an acute illness, epilepsy, known hypoersensitivty to any drug, generalized active skin lesions, long-term drug therapy, or proteinura were excluded from this study.</v>
      </c>
      <c r="CC184" s="883" t="str">
        <f>IFERROR(__xludf.DUMMYFUNCTION("""COMPUTED_VALUE"""),"Yes")</f>
        <v>Yes</v>
      </c>
      <c r="CD184" s="884">
        <f>IFERROR(__xludf.DUMMYFUNCTION("""COMPUTED_VALUE"""),1.0)</f>
        <v>1</v>
      </c>
      <c r="CE184" s="883" t="str">
        <f>IFERROR(__xludf.DUMMYFUNCTION("""COMPUTED_VALUE"""),"No")</f>
        <v>No</v>
      </c>
      <c r="CF184" s="883"/>
      <c r="CG184" s="891">
        <f>IFERROR(__xludf.DUMMYFUNCTION("""COMPUTED_VALUE"""),1.0)</f>
        <v>1</v>
      </c>
      <c r="CH184" s="883"/>
      <c r="CI184" s="883"/>
      <c r="CJ184" s="883"/>
      <c r="CK184" s="883"/>
      <c r="CL184" s="883"/>
      <c r="CM184" s="883"/>
      <c r="CN184" s="883"/>
      <c r="CO184" s="883"/>
      <c r="CP184" s="883"/>
      <c r="CQ184" s="883"/>
      <c r="CR184" s="883"/>
      <c r="CS184" s="883" t="str">
        <f>IFERROR(__xludf.DUMMYFUNCTION("""COMPUTED_VALUE"""),"The drug appears to be a safe and active treatment for intestinal helminthiasis in pediatric patients.")</f>
        <v>The drug appears to be a safe and active treatment for intestinal helminthiasis in pediatric patients.</v>
      </c>
      <c r="CT184" s="883"/>
      <c r="CU184" s="883"/>
      <c r="CV184" s="863"/>
      <c r="CW184" s="863"/>
      <c r="CX184" s="863"/>
      <c r="CY184" s="863"/>
      <c r="CZ184" s="863"/>
      <c r="DA184" s="863"/>
      <c r="DB184" s="863"/>
      <c r="DC184" s="863"/>
      <c r="DD184" s="863"/>
      <c r="DE184" s="863"/>
    </row>
    <row r="185">
      <c r="A185" s="876"/>
      <c r="B185" s="876"/>
      <c r="C185" s="876"/>
      <c r="D185" s="876"/>
      <c r="E185" s="876"/>
      <c r="F185" s="876"/>
      <c r="G185" s="876"/>
      <c r="H185" s="876"/>
      <c r="I185" s="876"/>
      <c r="J185" s="876"/>
      <c r="K185" s="876"/>
      <c r="L185" s="876"/>
      <c r="M185" s="876"/>
      <c r="N185" s="877"/>
      <c r="O185" s="876"/>
      <c r="P185" s="876"/>
      <c r="Q185" s="876"/>
      <c r="R185" s="876"/>
      <c r="S185" s="876"/>
      <c r="T185" s="876"/>
      <c r="U185" s="876"/>
      <c r="V185" s="876"/>
      <c r="W185" s="876"/>
      <c r="X185" s="876"/>
      <c r="Y185" s="876"/>
      <c r="Z185" s="876"/>
      <c r="AA185" s="876"/>
      <c r="AB185" s="876"/>
      <c r="AC185" s="876"/>
      <c r="AD185" s="876"/>
      <c r="AE185" s="876"/>
      <c r="AF185" s="876"/>
      <c r="AG185" s="876"/>
      <c r="AH185" s="876"/>
      <c r="AI185" s="878"/>
      <c r="AJ185" s="888" t="str">
        <f>IFERROR(__xludf.DUMMYFUNCTION("""COMPUTED_VALUE"""),"The effectiveness of triple-dose albendazole in comparison with mebendazole for the treatment of trichuriasis in children")</f>
        <v>The effectiveness of triple-dose albendazole in comparison with mebendazole for the treatment of trichuriasis in children</v>
      </c>
      <c r="AK185" s="880" t="str">
        <f>IFERROR(__xludf.DUMMYFUNCTION("""COMPUTED_VALUE"""),"SUNGKAR S, IRMAWATI FP, HASWINZKY RA, DWINASTITI YA, WAHDINI S, FIRMANSYAH NE, ADAWIYAH R, BUNTARAN S, KEKALIH A, KUSUMOWIDAGDO G. THE EFFECTIVENESS OF TRIPLE-DOSE ALBENDAZOLE IN COMPARISON WITH MEBENDAZOLE FOR THE TREATMENT OF TRICHURIASIS IN CHILDREN. I"&amp;"nt J App Pharm [Internet]. 2019Dec.15 [cited 2021Jan.15];11(6):104-7. Available from: https://innovareacademics.in/journals/index.php/ijap/article/view/33559")</f>
        <v>SUNGKAR S, IRMAWATI FP, HASWINZKY RA, DWINASTITI YA, WAHDINI S, FIRMANSYAH NE, ADAWIYAH R, BUNTARAN S, KEKALIH A, KUSUMOWIDAGDO G. THE EFFECTIVENESS OF TRIPLE-DOSE ALBENDAZOLE IN COMPARISON WITH MEBENDAZOLE FOR THE TREATMENT OF TRICHURIASIS IN CHILDREN. Int J App Pharm [Internet]. 2019Dec.15 [cited 2021Jan.15];11(6):104-7. Available from: https://innovareacademics.in/journals/index.php/ijap/article/view/33559</v>
      </c>
      <c r="AL185" s="880" t="str">
        <f>IFERROR(__xludf.DUMMYFUNCTION("""COMPUTED_VALUE"""),"Indonesia")</f>
        <v>Indonesia</v>
      </c>
      <c r="AM185" s="880" t="str">
        <f>IFERROR(__xludf.DUMMYFUNCTION("""COMPUTED_VALUE"""),"Albendazole")</f>
        <v>Albendazole</v>
      </c>
      <c r="AN185" s="880" t="str">
        <f>IFERROR(__xludf.DUMMYFUNCTION("""COMPUTED_VALUE"""),"Multiple Dose: 3")</f>
        <v>Multiple Dose: 3</v>
      </c>
      <c r="AO185" s="880" t="str">
        <f>IFERROR(__xludf.DUMMYFUNCTION("""COMPUTED_VALUE"""),"400 mg")</f>
        <v>400 mg</v>
      </c>
      <c r="AP185" s="880"/>
      <c r="AQ185" s="880"/>
      <c r="AR185" s="880"/>
      <c r="AS185" s="880">
        <f>IFERROR(__xludf.DUMMYFUNCTION("""COMPUTED_VALUE"""),2018.0)</f>
        <v>2018</v>
      </c>
      <c r="AT185" s="880" t="str">
        <f>IFERROR(__xludf.DUMMYFUNCTION("""COMPUTED_VALUE"""),"Subjects  were  children  aged  6–12   y   who   tested   positive   for   T. trichiura eggs based on fecal examination Exclusion: Children with fever were excluded. ")</f>
        <v>Subjects  were  children  aged  6–12   y   who   tested   positive   for   T. trichiura eggs based on fecal examination Exclusion: Children with fever were excluded. </v>
      </c>
      <c r="AU185" s="880" t="str">
        <f>IFERROR(__xludf.DUMMYFUNCTION("""COMPUTED_VALUE"""),"Yes")</f>
        <v>Yes</v>
      </c>
      <c r="AV185" s="880" t="str">
        <f>IFERROR(__xludf.DUMMYFUNCTION("""COMPUTED_VALUE"""),"Yes")</f>
        <v>Yes</v>
      </c>
      <c r="AW185" s="881" t="str">
        <f>IFERROR(__xludf.DUMMYFUNCTION("""COMPUTED_VALUE"""),"Single-blind")</f>
        <v>Single-blind</v>
      </c>
      <c r="AX185" s="863">
        <f>IFERROR(__xludf.DUMMYFUNCTION("""COMPUTED_VALUE"""),0.854)</f>
        <v>0.854</v>
      </c>
      <c r="AY185" s="863"/>
      <c r="AZ185" s="863"/>
      <c r="BA185" s="863"/>
      <c r="BB185" s="863"/>
      <c r="BC185" s="863"/>
      <c r="BD185" s="863"/>
      <c r="BE185" s="863"/>
      <c r="BF185" s="863"/>
      <c r="BG185" s="863"/>
      <c r="BH185" s="863">
        <f>IFERROR(__xludf.DUMMYFUNCTION("""COMPUTED_VALUE"""),0.992)</f>
        <v>0.992</v>
      </c>
      <c r="BI185" s="863"/>
      <c r="BJ185" s="863"/>
      <c r="BK185" s="863"/>
      <c r="BL185" s="863"/>
      <c r="BM185" s="863"/>
      <c r="BN185" s="863" t="str">
        <f>IFERROR(__xludf.DUMMYFUNCTION("""COMPUTED_VALUE"""),"Triple-dose albendazole was as effective as triple-dose mebendazole in treating trichuriasis.")</f>
        <v>Triple-dose albendazole was as effective as triple-dose mebendazole in treating trichuriasis.</v>
      </c>
      <c r="BO185" s="863" t="str">
        <f>IFERROR(__xludf.DUMMYFUNCTION("""COMPUTED_VALUE"""),"Kato-Katz technique")</f>
        <v>Kato-Katz technique</v>
      </c>
      <c r="BP185" s="880"/>
      <c r="BQ185" s="863"/>
      <c r="BR185" s="889" t="str">
        <f>IFERROR(__xludf.DUMMYFUNCTION("""COMPUTED_VALUE"""),"Misra et al.")</f>
        <v>Misra et al.</v>
      </c>
      <c r="BS185" s="883" t="str">
        <f>IFERROR(__xludf.DUMMYFUNCTION("""COMPUTED_VALUE"""),"India ")</f>
        <v>India </v>
      </c>
      <c r="BT185" s="883" t="str">
        <f>IFERROR(__xludf.DUMMYFUNCTION("""COMPUTED_VALUE"""),"Albendazole")</f>
        <v>Albendazole</v>
      </c>
      <c r="BU185" s="883"/>
      <c r="BV185" s="883" t="str">
        <f>IFERROR(__xludf.DUMMYFUNCTION("""COMPUTED_VALUE"""),"Single")</f>
        <v>Single</v>
      </c>
      <c r="BW185" s="883" t="str">
        <f>IFERROR(__xludf.DUMMYFUNCTION("""COMPUTED_VALUE"""),"400 mg")</f>
        <v>400 mg</v>
      </c>
      <c r="BX185" s="883">
        <f>IFERROR(__xludf.DUMMYFUNCTION("""COMPUTED_VALUE"""),41.0)</f>
        <v>41</v>
      </c>
      <c r="BY185" s="890">
        <f>IFERROR(__xludf.DUMMYFUNCTION("""COMPUTED_VALUE"""),42412.0)</f>
        <v>42412</v>
      </c>
      <c r="BZ185" s="883"/>
      <c r="CA185" s="883" t="str">
        <f>IFERROR(__xludf.DUMMYFUNCTION("""COMPUTED_VALUE"""),"MF")</f>
        <v>MF</v>
      </c>
      <c r="CB185" s="883" t="str">
        <f>IFERROR(__xludf.DUMMYFUNCTION("""COMPUTED_VALUE"""),"Patients below 2 years of age, patients receiving or already treated with an anthelmintic 7 days prior to te commencement of the present therapy, patients with any acute illness, patients with proteinuria, patients with known hypersensitivity to other dru"&amp;"gs, and patients who had generalized skin conditions were excluded from the study.")</f>
        <v>Patients below 2 years of age, patients receiving or already treated with an anthelmintic 7 days prior to te commencement of the present therapy, patients with any acute illness, patients with proteinuria, patients with known hypersensitivity to other drugs, and patients who had generalized skin conditions were excluded from the study.</v>
      </c>
      <c r="CC185" s="883" t="str">
        <f>IFERROR(__xludf.DUMMYFUNCTION("""COMPUTED_VALUE"""),"No")</f>
        <v>No</v>
      </c>
      <c r="CD185" s="884">
        <f>IFERROR(__xludf.DUMMYFUNCTION("""COMPUTED_VALUE"""),1.0)</f>
        <v>1</v>
      </c>
      <c r="CE185" s="883" t="str">
        <f>IFERROR(__xludf.DUMMYFUNCTION("""COMPUTED_VALUE"""),"No")</f>
        <v>No</v>
      </c>
      <c r="CF185" s="883"/>
      <c r="CG185" s="891">
        <f>IFERROR(__xludf.DUMMYFUNCTION("""COMPUTED_VALUE"""),1.0)</f>
        <v>1</v>
      </c>
      <c r="CH185" s="883"/>
      <c r="CI185" s="883"/>
      <c r="CJ185" s="883"/>
      <c r="CK185" s="883"/>
      <c r="CL185" s="883"/>
      <c r="CM185" s="891">
        <f>IFERROR(__xludf.DUMMYFUNCTION("""COMPUTED_VALUE"""),1.0)</f>
        <v>1</v>
      </c>
      <c r="CN185" s="883"/>
      <c r="CO185" s="883"/>
      <c r="CP185" s="883"/>
      <c r="CQ185" s="883"/>
      <c r="CR185" s="883"/>
      <c r="CS185" s="883" t="str">
        <f>IFERROR(__xludf.DUMMYFUNCTION("""COMPUTED_VALUE"""),"The results of our study are consistent with the findings of earlier investigators that albendazole is a well-tolerated and effective anthelmintic in treating infections caused by round worms, hook worms, pin worms and whip worms when given as a single 40"&amp;"0 mg dose.")</f>
        <v>The results of our study are consistent with the findings of earlier investigators that albendazole is a well-tolerated and effective anthelmintic in treating infections caused by round worms, hook worms, pin worms and whip worms when given as a single 400 mg dose.</v>
      </c>
      <c r="CT185" s="883" t="str">
        <f>IFERROR(__xludf.DUMMYFUNCTION("""COMPUTED_VALUE"""),"Kato-Katz Method")</f>
        <v>Kato-Katz Method</v>
      </c>
      <c r="CU185" s="883"/>
      <c r="CV185" s="863"/>
      <c r="CW185" s="863"/>
      <c r="CX185" s="863"/>
      <c r="CY185" s="863"/>
      <c r="CZ185" s="863"/>
      <c r="DA185" s="863"/>
      <c r="DB185" s="863"/>
      <c r="DC185" s="863"/>
      <c r="DD185" s="863"/>
      <c r="DE185" s="863"/>
    </row>
    <row r="186">
      <c r="A186" s="876"/>
      <c r="B186" s="876"/>
      <c r="C186" s="876"/>
      <c r="D186" s="876"/>
      <c r="E186" s="876"/>
      <c r="F186" s="876"/>
      <c r="G186" s="876"/>
      <c r="H186" s="876"/>
      <c r="I186" s="876"/>
      <c r="J186" s="876"/>
      <c r="K186" s="876"/>
      <c r="L186" s="876"/>
      <c r="M186" s="876"/>
      <c r="N186" s="877"/>
      <c r="O186" s="876"/>
      <c r="P186" s="876"/>
      <c r="Q186" s="876"/>
      <c r="R186" s="876"/>
      <c r="S186" s="876"/>
      <c r="T186" s="876"/>
      <c r="U186" s="876"/>
      <c r="V186" s="876"/>
      <c r="W186" s="876"/>
      <c r="X186" s="876"/>
      <c r="Y186" s="876"/>
      <c r="Z186" s="876"/>
      <c r="AA186" s="876"/>
      <c r="AB186" s="876"/>
      <c r="AC186" s="876"/>
      <c r="AD186" s="876"/>
      <c r="AE186" s="876"/>
      <c r="AF186" s="876"/>
      <c r="AG186" s="876"/>
      <c r="AH186" s="876"/>
      <c r="AI186" s="878"/>
      <c r="AJ186" s="888" t="str">
        <f>IFERROR(__xludf.DUMMYFUNCTION("""COMPUTED_VALUE"""),"The effectiveness of triple-dose albendazole in comparison with mebendazole for the treatment of trichuriasis in children")</f>
        <v>The effectiveness of triple-dose albendazole in comparison with mebendazole for the treatment of trichuriasis in children</v>
      </c>
      <c r="AK186" s="880" t="str">
        <f>IFERROR(__xludf.DUMMYFUNCTION("""COMPUTED_VALUE"""),"SUNGKAR S, IRMAWATI FP, HASWINZKY RA, DWINASTITI YA, WAHDINI S, FIRMANSYAH NE, ADAWIYAH R, BUNTARAN S, KEKALIH A, KUSUMOWIDAGDO G. THE EFFECTIVENESS OF TRIPLE-DOSE ALBENDAZOLE IN COMPARISON WITH MEBENDAZOLE FOR THE TREATMENT OF TRICHURIASIS IN CHILDREN. I"&amp;"nt J App Pharm [Internet]. 2019Dec.15 [cited 2021Jan.15];11(6):104-7. Available from: https://innovareacademics.in/journals/index.php/ijap/article/view/33559")</f>
        <v>SUNGKAR S, IRMAWATI FP, HASWINZKY RA, DWINASTITI YA, WAHDINI S, FIRMANSYAH NE, ADAWIYAH R, BUNTARAN S, KEKALIH A, KUSUMOWIDAGDO G. THE EFFECTIVENESS OF TRIPLE-DOSE ALBENDAZOLE IN COMPARISON WITH MEBENDAZOLE FOR THE TREATMENT OF TRICHURIASIS IN CHILDREN. Int J App Pharm [Internet]. 2019Dec.15 [cited 2021Jan.15];11(6):104-7. Available from: https://innovareacademics.in/journals/index.php/ijap/article/view/33559</v>
      </c>
      <c r="AL186" s="880" t="str">
        <f>IFERROR(__xludf.DUMMYFUNCTION("""COMPUTED_VALUE"""),"Indonesia")</f>
        <v>Indonesia</v>
      </c>
      <c r="AM186" s="880" t="str">
        <f>IFERROR(__xludf.DUMMYFUNCTION("""COMPUTED_VALUE"""),"Mebendazole")</f>
        <v>Mebendazole</v>
      </c>
      <c r="AN186" s="880" t="str">
        <f>IFERROR(__xludf.DUMMYFUNCTION("""COMPUTED_VALUE"""),"Multiple Dose: 3")</f>
        <v>Multiple Dose: 3</v>
      </c>
      <c r="AO186" s="880" t="str">
        <f>IFERROR(__xludf.DUMMYFUNCTION("""COMPUTED_VALUE"""),"500 mg")</f>
        <v>500 mg</v>
      </c>
      <c r="AP186" s="880"/>
      <c r="AQ186" s="880"/>
      <c r="AR186" s="880"/>
      <c r="AS186" s="880">
        <f>IFERROR(__xludf.DUMMYFUNCTION("""COMPUTED_VALUE"""),2018.0)</f>
        <v>2018</v>
      </c>
      <c r="AT186" s="880" t="str">
        <f>IFERROR(__xludf.DUMMYFUNCTION("""COMPUTED_VALUE"""),"Subjects  were  children  aged  6–12   y   who   tested   positive   for   T. trichiura eggs based on fecal examination Exclusion: Children with fever were excluded. ")</f>
        <v>Subjects  were  children  aged  6–12   y   who   tested   positive   for   T. trichiura eggs based on fecal examination Exclusion: Children with fever were excluded. </v>
      </c>
      <c r="AU186" s="880" t="str">
        <f>IFERROR(__xludf.DUMMYFUNCTION("""COMPUTED_VALUE"""),"Yes")</f>
        <v>Yes</v>
      </c>
      <c r="AV186" s="880" t="str">
        <f>IFERROR(__xludf.DUMMYFUNCTION("""COMPUTED_VALUE"""),"Yes")</f>
        <v>Yes</v>
      </c>
      <c r="AW186" s="881" t="str">
        <f>IFERROR(__xludf.DUMMYFUNCTION("""COMPUTED_VALUE"""),"Single-blind")</f>
        <v>Single-blind</v>
      </c>
      <c r="AX186" s="863">
        <f>IFERROR(__xludf.DUMMYFUNCTION("""COMPUTED_VALUE"""),0.959)</f>
        <v>0.959</v>
      </c>
      <c r="AY186" s="863"/>
      <c r="AZ186" s="863"/>
      <c r="BA186" s="863"/>
      <c r="BB186" s="863"/>
      <c r="BC186" s="863"/>
      <c r="BD186" s="863"/>
      <c r="BE186" s="863"/>
      <c r="BF186" s="863"/>
      <c r="BG186" s="863"/>
      <c r="BH186" s="863">
        <f>IFERROR(__xludf.DUMMYFUNCTION("""COMPUTED_VALUE"""),0.974)</f>
        <v>0.974</v>
      </c>
      <c r="BI186" s="863"/>
      <c r="BJ186" s="863"/>
      <c r="BK186" s="863"/>
      <c r="BL186" s="863"/>
      <c r="BM186" s="863"/>
      <c r="BN186" s="863" t="str">
        <f>IFERROR(__xludf.DUMMYFUNCTION("""COMPUTED_VALUE"""),"Triple-dose albendazole was as effective as triple-dose mebendazole in treating trichuriasis.")</f>
        <v>Triple-dose albendazole was as effective as triple-dose mebendazole in treating trichuriasis.</v>
      </c>
      <c r="BO186" s="863" t="str">
        <f>IFERROR(__xludf.DUMMYFUNCTION("""COMPUTED_VALUE"""),"Kato-Katz technique")</f>
        <v>Kato-Katz technique</v>
      </c>
      <c r="BP186" s="880"/>
      <c r="BQ186" s="863"/>
      <c r="BR186" s="889" t="str">
        <f>IFERROR(__xludf.DUMMYFUNCTION("""COMPUTED_VALUE"""),"Misra et al.")</f>
        <v>Misra et al.</v>
      </c>
      <c r="BS186" s="883" t="str">
        <f>IFERROR(__xludf.DUMMYFUNCTION("""COMPUTED_VALUE"""),"India ")</f>
        <v>India </v>
      </c>
      <c r="BT186" s="883" t="str">
        <f>IFERROR(__xludf.DUMMYFUNCTION("""COMPUTED_VALUE"""),"Albendazole")</f>
        <v>Albendazole</v>
      </c>
      <c r="BU186" s="883"/>
      <c r="BV186" s="883" t="str">
        <f>IFERROR(__xludf.DUMMYFUNCTION("""COMPUTED_VALUE"""),"Single")</f>
        <v>Single</v>
      </c>
      <c r="BW186" s="883" t="str">
        <f>IFERROR(__xludf.DUMMYFUNCTION("""COMPUTED_VALUE"""),"400 mg")</f>
        <v>400 mg</v>
      </c>
      <c r="BX186" s="883">
        <f>IFERROR(__xludf.DUMMYFUNCTION("""COMPUTED_VALUE"""),13.0)</f>
        <v>13</v>
      </c>
      <c r="BY186" s="890">
        <f>IFERROR(__xludf.DUMMYFUNCTION("""COMPUTED_VALUE"""),42412.0)</f>
        <v>42412</v>
      </c>
      <c r="BZ186" s="883"/>
      <c r="CA186" s="883" t="str">
        <f>IFERROR(__xludf.DUMMYFUNCTION("""COMPUTED_VALUE"""),"MF")</f>
        <v>MF</v>
      </c>
      <c r="CB186" s="883" t="str">
        <f>IFERROR(__xludf.DUMMYFUNCTION("""COMPUTED_VALUE"""),"Patients below 2 years of age, patients receiving or already treated with an anthelmintic 7 days prior to te commencement of the present therapy, patients with any acute illness, patients with proteinuria, patients with known hypersensitivity to other dru"&amp;"gs, and patients who had generalized skin conditions were excluded from the study.")</f>
        <v>Patients below 2 years of age, patients receiving or already treated with an anthelmintic 7 days prior to te commencement of the present therapy, patients with any acute illness, patients with proteinuria, patients with known hypersensitivity to other drugs, and patients who had generalized skin conditions were excluded from the study.</v>
      </c>
      <c r="CC186" s="883" t="str">
        <f>IFERROR(__xludf.DUMMYFUNCTION("""COMPUTED_VALUE"""),"No")</f>
        <v>No</v>
      </c>
      <c r="CD186" s="884">
        <f>IFERROR(__xludf.DUMMYFUNCTION("""COMPUTED_VALUE"""),0.846)</f>
        <v>0.846</v>
      </c>
      <c r="CE186" s="883" t="str">
        <f>IFERROR(__xludf.DUMMYFUNCTION("""COMPUTED_VALUE"""),"No")</f>
        <v>No</v>
      </c>
      <c r="CF186" s="883"/>
      <c r="CG186" s="884">
        <f>IFERROR(__xludf.DUMMYFUNCTION("""COMPUTED_VALUE"""),0.846)</f>
        <v>0.846</v>
      </c>
      <c r="CH186" s="883"/>
      <c r="CI186" s="883"/>
      <c r="CJ186" s="883"/>
      <c r="CK186" s="883"/>
      <c r="CL186" s="883"/>
      <c r="CM186" s="884">
        <f>IFERROR(__xludf.DUMMYFUNCTION("""COMPUTED_VALUE"""),0.909)</f>
        <v>0.909</v>
      </c>
      <c r="CN186" s="883"/>
      <c r="CO186" s="883"/>
      <c r="CP186" s="883"/>
      <c r="CQ186" s="883"/>
      <c r="CR186" s="883"/>
      <c r="CS186" s="883" t="str">
        <f>IFERROR(__xludf.DUMMYFUNCTION("""COMPUTED_VALUE"""),"The results of our study are consistent with the findings of earlier investigators that albendazole is a well-tolerated and effective anthelmintic in treating infections caused by round worms, hook worms, pin worms and whip worms when given as a single 40"&amp;"0 mg dose.")</f>
        <v>The results of our study are consistent with the findings of earlier investigators that albendazole is a well-tolerated and effective anthelmintic in treating infections caused by round worms, hook worms, pin worms and whip worms when given as a single 400 mg dose.</v>
      </c>
      <c r="CT186" s="883" t="str">
        <f>IFERROR(__xludf.DUMMYFUNCTION("""COMPUTED_VALUE"""),"Kato-Katz Method")</f>
        <v>Kato-Katz Method</v>
      </c>
      <c r="CU186" s="883"/>
      <c r="CV186" s="863"/>
      <c r="CW186" s="863"/>
      <c r="CX186" s="863"/>
      <c r="CY186" s="863"/>
      <c r="CZ186" s="863"/>
      <c r="DA186" s="863"/>
      <c r="DB186" s="863"/>
      <c r="DC186" s="863"/>
      <c r="DD186" s="863"/>
      <c r="DE186" s="863"/>
    </row>
    <row r="187">
      <c r="A187" s="876"/>
      <c r="B187" s="876"/>
      <c r="C187" s="876"/>
      <c r="D187" s="876"/>
      <c r="E187" s="876"/>
      <c r="F187" s="876"/>
      <c r="G187" s="876"/>
      <c r="H187" s="876"/>
      <c r="I187" s="876"/>
      <c r="J187" s="876"/>
      <c r="K187" s="876"/>
      <c r="L187" s="876"/>
      <c r="M187" s="876"/>
      <c r="N187" s="877"/>
      <c r="O187" s="876"/>
      <c r="P187" s="876"/>
      <c r="Q187" s="876"/>
      <c r="R187" s="876"/>
      <c r="S187" s="876"/>
      <c r="T187" s="876"/>
      <c r="U187" s="876"/>
      <c r="V187" s="876"/>
      <c r="W187" s="876"/>
      <c r="X187" s="876"/>
      <c r="Y187" s="876"/>
      <c r="Z187" s="876"/>
      <c r="AA187" s="876"/>
      <c r="AB187" s="876"/>
      <c r="AC187" s="876"/>
      <c r="AD187" s="876"/>
      <c r="AE187" s="876"/>
      <c r="AF187" s="876"/>
      <c r="AG187" s="876"/>
      <c r="AH187" s="876"/>
      <c r="AI187" s="878"/>
      <c r="AJ187" s="888" t="str">
        <f>IFERROR(__xludf.DUMMYFUNCTION("""COMPUTED_VALUE"""),"Two or Three Consecutive Days Albendazole Treatment Has Better Efficacy than Single-Dose Albendazole Treatment for Trichuriasis")</f>
        <v>Two or Three Consecutive Days Albendazole Treatment Has Better Efficacy than Single-Dose Albendazole Treatment for Trichuriasis</v>
      </c>
      <c r="AK187" s="880" t="str">
        <f>IFERROR(__xludf.DUMMYFUNCTION("""COMPUTED_VALUE"""),"Gultom DE, Ali M, Pasaribu AP, Pasaribu S. Two or Three Consecutive Days Albendazole Treatment Has Better Efficacy than Single-Dose Albendazole Treatment for Trichuriasis [Internet]. The Indonesian Biomedical Journal. [cited 2021Jan15]. Available from: ht"&amp;"tps://www.inabj.org/index.php/ibj/article/view/920 ")</f>
        <v>Gultom DE, Ali M, Pasaribu AP, Pasaribu S. Two or Three Consecutive Days Albendazole Treatment Has Better Efficacy than Single-Dose Albendazole Treatment for Trichuriasis [Internet]. The Indonesian Biomedical Journal. [cited 2021Jan15]. Available from: https://www.inabj.org/index.php/ibj/article/view/920 </v>
      </c>
      <c r="AL187" s="880" t="str">
        <f>IFERROR(__xludf.DUMMYFUNCTION("""COMPUTED_VALUE"""),"Indonesia")</f>
        <v>Indonesia</v>
      </c>
      <c r="AM187" s="880" t="str">
        <f>IFERROR(__xludf.DUMMYFUNCTION("""COMPUTED_VALUE"""),"Albendazole")</f>
        <v>Albendazole</v>
      </c>
      <c r="AN187" s="880" t="str">
        <f>IFERROR(__xludf.DUMMYFUNCTION("""COMPUTED_VALUE"""),"Multiple Dose: 3")</f>
        <v>Multiple Dose: 3</v>
      </c>
      <c r="AO187" s="880" t="str">
        <f>IFERROR(__xludf.DUMMYFUNCTION("""COMPUTED_VALUE"""),"400 mg")</f>
        <v>400 mg</v>
      </c>
      <c r="AP187" s="880">
        <f>IFERROR(__xludf.DUMMYFUNCTION("""COMPUTED_VALUE"""),3.0)</f>
        <v>3</v>
      </c>
      <c r="AQ187" s="880">
        <f>IFERROR(__xludf.DUMMYFUNCTION("""COMPUTED_VALUE"""),8.2)</f>
        <v>8.2</v>
      </c>
      <c r="AR187" s="880"/>
      <c r="AS187" s="880">
        <f>IFERROR(__xludf.DUMMYFUNCTION("""COMPUTED_VALUE"""),2018.0)</f>
        <v>2018</v>
      </c>
      <c r="AT187" s="880" t="str">
        <f>IFERROR(__xludf.DUMMYFUNCTION("""COMPUTED_VALUE"""),"The inclusion criteria were children aged 6 to 12 years, one or a combination of STH (A. lumbricoides, T. trichiura or hookworms) eggs were found from Kato-Katz methods stool examination and did not consume any anthelmintic for one month before and during"&amp;" the study. Exclusion: Children that were not following research procedures, such as not collecting stool samples or refusing to take anthelmintic were excluded from this study.")</f>
        <v>The inclusion criteria were children aged 6 to 12 years, one or a combination of STH (A. lumbricoides, T. trichiura or hookworms) eggs were found from Kato-Katz methods stool examination and did not consume any anthelmintic for one month before and during the study. Exclusion: Children that were not following research procedures, such as not collecting stool samples or refusing to take anthelmintic were excluded from this study.</v>
      </c>
      <c r="AU187" s="880" t="str">
        <f>IFERROR(__xludf.DUMMYFUNCTION("""COMPUTED_VALUE"""),"Yes")</f>
        <v>Yes</v>
      </c>
      <c r="AV187" s="880" t="str">
        <f>IFERROR(__xludf.DUMMYFUNCTION("""COMPUTED_VALUE"""),"Yes")</f>
        <v>Yes</v>
      </c>
      <c r="AW187" s="881" t="str">
        <f>IFERROR(__xludf.DUMMYFUNCTION("""COMPUTED_VALUE"""),"Laboratory Assesor Blind")</f>
        <v>Laboratory Assesor Blind</v>
      </c>
      <c r="AX187" s="863">
        <f>IFERROR(__xludf.DUMMYFUNCTION("""COMPUTED_VALUE"""),0.795)</f>
        <v>0.795</v>
      </c>
      <c r="AY187" s="863"/>
      <c r="AZ187" s="863"/>
      <c r="BA187" s="863"/>
      <c r="BB187" s="863"/>
      <c r="BC187" s="863"/>
      <c r="BD187" s="863"/>
      <c r="BE187" s="863"/>
      <c r="BF187" s="863"/>
      <c r="BG187" s="863"/>
      <c r="BH187" s="863">
        <f>IFERROR(__xludf.DUMMYFUNCTION("""COMPUTED_VALUE"""),0.919)</f>
        <v>0.919</v>
      </c>
      <c r="BI187" s="863"/>
      <c r="BJ187" s="863"/>
      <c r="BK187" s="863"/>
      <c r="BL187" s="863"/>
      <c r="BM187" s="863"/>
      <c r="BN187" s="863" t="str">
        <f>IFERROR(__xludf.DUMMYFUNCTION("""COMPUTED_VALUE"""),"Three and two consecutive days albendazole have better efficacy than single-dose of albendazole for trichuriasis, but not for ascariasis or hookworm infection. Two consecutive days albendazole is better choice for treating trichuriasis with more adherence"&amp;" and less side effect than three consecutive days regimen.")</f>
        <v>Three and two consecutive days albendazole have better efficacy than single-dose of albendazole for trichuriasis, but not for ascariasis or hookworm infection. Two consecutive days albendazole is better choice for treating trichuriasis with more adherence and less side effect than three consecutive days regimen.</v>
      </c>
      <c r="BO187" s="863" t="str">
        <f>IFERROR(__xludf.DUMMYFUNCTION("""COMPUTED_VALUE"""),"Kato-Katz technique")</f>
        <v>Kato-Katz technique</v>
      </c>
      <c r="BP187" s="880"/>
      <c r="BQ187" s="863"/>
      <c r="BR187" s="889" t="str">
        <f>IFERROR(__xludf.DUMMYFUNCTION("""COMPUTED_VALUE"""),"Misra et al.")</f>
        <v>Misra et al.</v>
      </c>
      <c r="BS187" s="883" t="str">
        <f>IFERROR(__xludf.DUMMYFUNCTION("""COMPUTED_VALUE"""),"India ")</f>
        <v>India </v>
      </c>
      <c r="BT187" s="883" t="str">
        <f>IFERROR(__xludf.DUMMYFUNCTION("""COMPUTED_VALUE"""),"Albendazole")</f>
        <v>Albendazole</v>
      </c>
      <c r="BU187" s="883"/>
      <c r="BV187" s="883" t="str">
        <f>IFERROR(__xludf.DUMMYFUNCTION("""COMPUTED_VALUE"""),"Single")</f>
        <v>Single</v>
      </c>
      <c r="BW187" s="883" t="str">
        <f>IFERROR(__xludf.DUMMYFUNCTION("""COMPUTED_VALUE"""),"400 mg")</f>
        <v>400 mg</v>
      </c>
      <c r="BX187" s="883">
        <f>IFERROR(__xludf.DUMMYFUNCTION("""COMPUTED_VALUE"""),2.0)</f>
        <v>2</v>
      </c>
      <c r="BY187" s="890">
        <f>IFERROR(__xludf.DUMMYFUNCTION("""COMPUTED_VALUE"""),42412.0)</f>
        <v>42412</v>
      </c>
      <c r="BZ187" s="883"/>
      <c r="CA187" s="883" t="str">
        <f>IFERROR(__xludf.DUMMYFUNCTION("""COMPUTED_VALUE"""),"MF")</f>
        <v>MF</v>
      </c>
      <c r="CB187" s="883" t="str">
        <f>IFERROR(__xludf.DUMMYFUNCTION("""COMPUTED_VALUE"""),"Patients below 2 years of age, patients receiving or already treated with an anthelmintic 7 days prior to te commencement of the present therapy, patients with any acute illness, patients with proteinuria, patients with known hypersensitivity to other dru"&amp;"gs, and patients who had generalized skin conditions were excluded from the study.")</f>
        <v>Patients below 2 years of age, patients receiving or already treated with an anthelmintic 7 days prior to te commencement of the present therapy, patients with any acute illness, patients with proteinuria, patients with known hypersensitivity to other drugs, and patients who had generalized skin conditions were excluded from the study.</v>
      </c>
      <c r="CC187" s="883" t="str">
        <f>IFERROR(__xludf.DUMMYFUNCTION("""COMPUTED_VALUE"""),"No")</f>
        <v>No</v>
      </c>
      <c r="CD187" s="884">
        <f>IFERROR(__xludf.DUMMYFUNCTION("""COMPUTED_VALUE"""),1.0)</f>
        <v>1</v>
      </c>
      <c r="CE187" s="883" t="str">
        <f>IFERROR(__xludf.DUMMYFUNCTION("""COMPUTED_VALUE"""),"No")</f>
        <v>No</v>
      </c>
      <c r="CF187" s="883"/>
      <c r="CG187" s="891">
        <f>IFERROR(__xludf.DUMMYFUNCTION("""COMPUTED_VALUE"""),1.0)</f>
        <v>1</v>
      </c>
      <c r="CH187" s="883"/>
      <c r="CI187" s="883"/>
      <c r="CJ187" s="883"/>
      <c r="CK187" s="883"/>
      <c r="CL187" s="883"/>
      <c r="CM187" s="891">
        <f>IFERROR(__xludf.DUMMYFUNCTION("""COMPUTED_VALUE"""),1.0)</f>
        <v>1</v>
      </c>
      <c r="CN187" s="883"/>
      <c r="CO187" s="883"/>
      <c r="CP187" s="883"/>
      <c r="CQ187" s="883"/>
      <c r="CR187" s="883"/>
      <c r="CS187" s="883" t="str">
        <f>IFERROR(__xludf.DUMMYFUNCTION("""COMPUTED_VALUE"""),"The results of our study are consistent with the findings of earlier investigators that albendazole is a well-tolerated and effective anthelmintic in treating infections caused by round worms, hook worms, pin worms and whip worms when given as a single 40"&amp;"0 mg dose.")</f>
        <v>The results of our study are consistent with the findings of earlier investigators that albendazole is a well-tolerated and effective anthelmintic in treating infections caused by round worms, hook worms, pin worms and whip worms when given as a single 400 mg dose.</v>
      </c>
      <c r="CT187" s="883" t="str">
        <f>IFERROR(__xludf.DUMMYFUNCTION("""COMPUTED_VALUE"""),"Kato-Katz Method")</f>
        <v>Kato-Katz Method</v>
      </c>
      <c r="CU187" s="883"/>
      <c r="CV187" s="863"/>
      <c r="CW187" s="863"/>
      <c r="CX187" s="863"/>
      <c r="CY187" s="863"/>
      <c r="CZ187" s="863"/>
      <c r="DA187" s="863"/>
      <c r="DB187" s="863"/>
      <c r="DC187" s="863"/>
      <c r="DD187" s="863"/>
      <c r="DE187" s="863"/>
    </row>
    <row r="188">
      <c r="A188" s="876"/>
      <c r="B188" s="876"/>
      <c r="C188" s="876"/>
      <c r="D188" s="876"/>
      <c r="E188" s="876"/>
      <c r="F188" s="876"/>
      <c r="G188" s="876"/>
      <c r="H188" s="876"/>
      <c r="I188" s="876"/>
      <c r="J188" s="876"/>
      <c r="K188" s="876"/>
      <c r="L188" s="876"/>
      <c r="M188" s="876"/>
      <c r="N188" s="877"/>
      <c r="O188" s="876"/>
      <c r="P188" s="876"/>
      <c r="Q188" s="876"/>
      <c r="R188" s="876"/>
      <c r="S188" s="876"/>
      <c r="T188" s="876"/>
      <c r="U188" s="876"/>
      <c r="V188" s="876"/>
      <c r="W188" s="876"/>
      <c r="X188" s="876"/>
      <c r="Y188" s="876"/>
      <c r="Z188" s="876"/>
      <c r="AA188" s="876"/>
      <c r="AB188" s="876"/>
      <c r="AC188" s="876"/>
      <c r="AD188" s="876"/>
      <c r="AE188" s="876"/>
      <c r="AF188" s="876"/>
      <c r="AG188" s="876"/>
      <c r="AH188" s="876"/>
      <c r="AI188" s="878"/>
      <c r="AJ188" s="888" t="str">
        <f>IFERROR(__xludf.DUMMYFUNCTION("""COMPUTED_VALUE"""),"Two or Three Consecutive Days Albendazole Treatment Has Better Efficacy than Single-Dose Albendazole Treatment for Trichuriasis")</f>
        <v>Two or Three Consecutive Days Albendazole Treatment Has Better Efficacy than Single-Dose Albendazole Treatment for Trichuriasis</v>
      </c>
      <c r="AK188" s="880" t="str">
        <f>IFERROR(__xludf.DUMMYFUNCTION("""COMPUTED_VALUE"""),"Gultom DE, Ali M, Pasaribu AP, Pasaribu S. Two or Three Consecutive Days Albendazole Treatment Has Better Efficacy than Single-Dose Albendazole Treatment for Trichuriasis [Internet]. The Indonesian Biomedical Journal. [cited 2021Jan15]. Available from: ht"&amp;"tps://www.inabj.org/index.php/ibj/article/view/920 ")</f>
        <v>Gultom DE, Ali M, Pasaribu AP, Pasaribu S. Two or Three Consecutive Days Albendazole Treatment Has Better Efficacy than Single-Dose Albendazole Treatment for Trichuriasis [Internet]. The Indonesian Biomedical Journal. [cited 2021Jan15]. Available from: https://www.inabj.org/index.php/ibj/article/view/920 </v>
      </c>
      <c r="AL188" s="880" t="str">
        <f>IFERROR(__xludf.DUMMYFUNCTION("""COMPUTED_VALUE"""),"Indonesia")</f>
        <v>Indonesia</v>
      </c>
      <c r="AM188" s="880" t="str">
        <f>IFERROR(__xludf.DUMMYFUNCTION("""COMPUTED_VALUE"""),"Albendazole")</f>
        <v>Albendazole</v>
      </c>
      <c r="AN188" s="880" t="str">
        <f>IFERROR(__xludf.DUMMYFUNCTION("""COMPUTED_VALUE"""),"Multiple Dose: 2")</f>
        <v>Multiple Dose: 2</v>
      </c>
      <c r="AO188" s="880" t="str">
        <f>IFERROR(__xludf.DUMMYFUNCTION("""COMPUTED_VALUE"""),"400 mg")</f>
        <v>400 mg</v>
      </c>
      <c r="AP188" s="880">
        <f>IFERROR(__xludf.DUMMYFUNCTION("""COMPUTED_VALUE"""),3.0)</f>
        <v>3</v>
      </c>
      <c r="AQ188" s="880">
        <f>IFERROR(__xludf.DUMMYFUNCTION("""COMPUTED_VALUE"""),8.9)</f>
        <v>8.9</v>
      </c>
      <c r="AR188" s="880"/>
      <c r="AS188" s="880">
        <f>IFERROR(__xludf.DUMMYFUNCTION("""COMPUTED_VALUE"""),2018.0)</f>
        <v>2018</v>
      </c>
      <c r="AT188" s="880" t="str">
        <f>IFERROR(__xludf.DUMMYFUNCTION("""COMPUTED_VALUE"""),"The inclusion criteria were children aged 6 to 12 years, one or a combination of STH (A. lumbricoides, T. trichiura or hookworms) eggs were found from Kato-Katz methods stool examination and did not consume any anthelmintic for one month before and during"&amp;" the study. Exclusion: Children that were not following research procedures, such as not collecting stool samples or refusing to take anthelmintic were excluded from this study.")</f>
        <v>The inclusion criteria were children aged 6 to 12 years, one or a combination of STH (A. lumbricoides, T. trichiura or hookworms) eggs were found from Kato-Katz methods stool examination and did not consume any anthelmintic for one month before and during the study. Exclusion: Children that were not following research procedures, such as not collecting stool samples or refusing to take anthelmintic were excluded from this study.</v>
      </c>
      <c r="AU188" s="880" t="str">
        <f>IFERROR(__xludf.DUMMYFUNCTION("""COMPUTED_VALUE"""),"Yes")</f>
        <v>Yes</v>
      </c>
      <c r="AV188" s="880" t="str">
        <f>IFERROR(__xludf.DUMMYFUNCTION("""COMPUTED_VALUE"""),"Yes")</f>
        <v>Yes</v>
      </c>
      <c r="AW188" s="881" t="str">
        <f>IFERROR(__xludf.DUMMYFUNCTION("""COMPUTED_VALUE"""),"Laboratory Assesor Blind")</f>
        <v>Laboratory Assesor Blind</v>
      </c>
      <c r="AX188" s="863">
        <f>IFERROR(__xludf.DUMMYFUNCTION("""COMPUTED_VALUE"""),0.703)</f>
        <v>0.703</v>
      </c>
      <c r="AY188" s="863"/>
      <c r="AZ188" s="863"/>
      <c r="BA188" s="863"/>
      <c r="BB188" s="863"/>
      <c r="BC188" s="863"/>
      <c r="BD188" s="863"/>
      <c r="BE188" s="863"/>
      <c r="BF188" s="863"/>
      <c r="BG188" s="863"/>
      <c r="BH188" s="863">
        <f>IFERROR(__xludf.DUMMYFUNCTION("""COMPUTED_VALUE"""),0.746)</f>
        <v>0.746</v>
      </c>
      <c r="BI188" s="863"/>
      <c r="BJ188" s="863"/>
      <c r="BK188" s="863"/>
      <c r="BL188" s="863"/>
      <c r="BM188" s="863"/>
      <c r="BN188" s="863" t="str">
        <f>IFERROR(__xludf.DUMMYFUNCTION("""COMPUTED_VALUE"""),"Three and two consecutive days albendazole have better efficacy than single-dose of albendazole for trichuriasis, but not for ascariasis or hookworm infection. Two consecutive days albendazole is better choice for treating trichuriasis with more adherence"&amp;" and less side effect than three consecutive days regimen.")</f>
        <v>Three and two consecutive days albendazole have better efficacy than single-dose of albendazole for trichuriasis, but not for ascariasis or hookworm infection. Two consecutive days albendazole is better choice for treating trichuriasis with more adherence and less side effect than three consecutive days regimen.</v>
      </c>
      <c r="BO188" s="863" t="str">
        <f>IFERROR(__xludf.DUMMYFUNCTION("""COMPUTED_VALUE"""),"Kato-Katz technique")</f>
        <v>Kato-Katz technique</v>
      </c>
      <c r="BP188" s="880"/>
      <c r="BQ188" s="863"/>
      <c r="BR188" s="889" t="str">
        <f>IFERROR(__xludf.DUMMYFUNCTION("""COMPUTED_VALUE"""),"Rahman et al.")</f>
        <v>Rahman et al.</v>
      </c>
      <c r="BS188" s="883" t="str">
        <f>IFERROR(__xludf.DUMMYFUNCTION("""COMPUTED_VALUE"""),"Malayisa")</f>
        <v>Malayisa</v>
      </c>
      <c r="BT188" s="883" t="str">
        <f>IFERROR(__xludf.DUMMYFUNCTION("""COMPUTED_VALUE"""),"Albendazole")</f>
        <v>Albendazole</v>
      </c>
      <c r="BU188" s="883"/>
      <c r="BV188" s="883" t="str">
        <f>IFERROR(__xludf.DUMMYFUNCTION("""COMPUTED_VALUE"""),"Single")</f>
        <v>Single</v>
      </c>
      <c r="BW188" s="883" t="str">
        <f>IFERROR(__xludf.DUMMYFUNCTION("""COMPUTED_VALUE"""),"400 mg")</f>
        <v>400 mg</v>
      </c>
      <c r="BX188" s="883">
        <f>IFERROR(__xludf.DUMMYFUNCTION("""COMPUTED_VALUE"""),96.0)</f>
        <v>96</v>
      </c>
      <c r="BY188" s="883" t="str">
        <f>IFERROR(__xludf.DUMMYFUNCTION("""COMPUTED_VALUE"""),"School Children")</f>
        <v>School Children</v>
      </c>
      <c r="BZ188" s="883">
        <f>IFERROR(__xludf.DUMMYFUNCTION("""COMPUTED_VALUE"""),1990.0)</f>
        <v>1990</v>
      </c>
      <c r="CA188" s="883"/>
      <c r="CB188" s="883"/>
      <c r="CC188" s="883" t="str">
        <f>IFERROR(__xludf.DUMMYFUNCTION("""COMPUTED_VALUE"""),"Yes")</f>
        <v>Yes</v>
      </c>
      <c r="CD188" s="884">
        <f>IFERROR(__xludf.DUMMYFUNCTION("""COMPUTED_VALUE"""),0.873)</f>
        <v>0.873</v>
      </c>
      <c r="CE188" s="883" t="str">
        <f>IFERROR(__xludf.DUMMYFUNCTION("""COMPUTED_VALUE"""),"No")</f>
        <v>No</v>
      </c>
      <c r="CF188" s="883"/>
      <c r="CG188" s="883"/>
      <c r="CH188" s="884">
        <f>IFERROR(__xludf.DUMMYFUNCTION("""COMPUTED_VALUE"""),0.873)</f>
        <v>0.873</v>
      </c>
      <c r="CI188" s="883"/>
      <c r="CJ188" s="883"/>
      <c r="CK188" s="883"/>
      <c r="CL188" s="883"/>
      <c r="CM188" s="883"/>
      <c r="CN188" s="883"/>
      <c r="CO188" s="883"/>
      <c r="CP188" s="883"/>
      <c r="CQ188" s="883"/>
      <c r="CR188" s="883"/>
      <c r="CS188" s="883" t="str">
        <f>IFERROR(__xludf.DUMMYFUNCTION("""COMPUTED_VALUE"""),"Albendazole and mebendazole were eqully effective in treating trichuriasis and ascariasis.")</f>
        <v>Albendazole and mebendazole were eqully effective in treating trichuriasis and ascariasis.</v>
      </c>
      <c r="CT188" s="883"/>
      <c r="CU188" s="883" t="str">
        <f>IFERROR(__xludf.DUMMYFUNCTION("""COMPUTED_VALUE"""),"x")</f>
        <v>x</v>
      </c>
      <c r="CV188" s="863"/>
      <c r="CW188" s="863"/>
      <c r="CX188" s="863"/>
      <c r="CY188" s="863"/>
      <c r="CZ188" s="863"/>
      <c r="DA188" s="863"/>
      <c r="DB188" s="863"/>
      <c r="DC188" s="863"/>
      <c r="DD188" s="863"/>
      <c r="DE188" s="863"/>
    </row>
    <row r="189">
      <c r="A189" s="876"/>
      <c r="B189" s="876"/>
      <c r="C189" s="876"/>
      <c r="D189" s="876"/>
      <c r="E189" s="876"/>
      <c r="F189" s="876"/>
      <c r="G189" s="876"/>
      <c r="H189" s="876"/>
      <c r="I189" s="876"/>
      <c r="J189" s="876"/>
      <c r="K189" s="876"/>
      <c r="L189" s="876"/>
      <c r="M189" s="876"/>
      <c r="N189" s="877"/>
      <c r="O189" s="876"/>
      <c r="P189" s="876"/>
      <c r="Q189" s="876"/>
      <c r="R189" s="876"/>
      <c r="S189" s="876"/>
      <c r="T189" s="876"/>
      <c r="U189" s="876"/>
      <c r="V189" s="876"/>
      <c r="W189" s="876"/>
      <c r="X189" s="876"/>
      <c r="Y189" s="876"/>
      <c r="Z189" s="876"/>
      <c r="AA189" s="876"/>
      <c r="AB189" s="876"/>
      <c r="AC189" s="876"/>
      <c r="AD189" s="876"/>
      <c r="AE189" s="876"/>
      <c r="AF189" s="876"/>
      <c r="AG189" s="876"/>
      <c r="AH189" s="876"/>
      <c r="AI189" s="878"/>
      <c r="AJ189" s="888" t="str">
        <f>IFERROR(__xludf.DUMMYFUNCTION("""COMPUTED_VALUE"""),"Two or Three Consecutive Days Albendazole Treatment Has Better Efficacy than Single-Dose Albendazole Treatment for Trichuriasis")</f>
        <v>Two or Three Consecutive Days Albendazole Treatment Has Better Efficacy than Single-Dose Albendazole Treatment for Trichuriasis</v>
      </c>
      <c r="AK189" s="880" t="str">
        <f>IFERROR(__xludf.DUMMYFUNCTION("""COMPUTED_VALUE"""),"Gultom DE, Ali M, Pasaribu AP, Pasaribu S. Two or Three Consecutive Days Albendazole Treatment Has Better Efficacy than Single-Dose Albendazole Treatment for Trichuriasis [Internet]. The Indonesian Biomedical Journal. [cited 2021Jan15]. Available from: ht"&amp;"tps://www.inabj.org/index.php/ibj/article/view/920 ")</f>
        <v>Gultom DE, Ali M, Pasaribu AP, Pasaribu S. Two or Three Consecutive Days Albendazole Treatment Has Better Efficacy than Single-Dose Albendazole Treatment for Trichuriasis [Internet]. The Indonesian Biomedical Journal. [cited 2021Jan15]. Available from: https://www.inabj.org/index.php/ibj/article/view/920 </v>
      </c>
      <c r="AL189" s="880" t="str">
        <f>IFERROR(__xludf.DUMMYFUNCTION("""COMPUTED_VALUE"""),"Indonesia")</f>
        <v>Indonesia</v>
      </c>
      <c r="AM189" s="880" t="str">
        <f>IFERROR(__xludf.DUMMYFUNCTION("""COMPUTED_VALUE"""),"Albendazole")</f>
        <v>Albendazole</v>
      </c>
      <c r="AN189" s="880" t="str">
        <f>IFERROR(__xludf.DUMMYFUNCTION("""COMPUTED_VALUE"""),"Single")</f>
        <v>Single</v>
      </c>
      <c r="AO189" s="880" t="str">
        <f>IFERROR(__xludf.DUMMYFUNCTION("""COMPUTED_VALUE"""),"400 mg")</f>
        <v>400 mg</v>
      </c>
      <c r="AP189" s="880">
        <f>IFERROR(__xludf.DUMMYFUNCTION("""COMPUTED_VALUE"""),4.0)</f>
        <v>4</v>
      </c>
      <c r="AQ189" s="880">
        <f>IFERROR(__xludf.DUMMYFUNCTION("""COMPUTED_VALUE"""),9.2)</f>
        <v>9.2</v>
      </c>
      <c r="AR189" s="880"/>
      <c r="AS189" s="880">
        <f>IFERROR(__xludf.DUMMYFUNCTION("""COMPUTED_VALUE"""),2018.0)</f>
        <v>2018</v>
      </c>
      <c r="AT189" s="880" t="str">
        <f>IFERROR(__xludf.DUMMYFUNCTION("""COMPUTED_VALUE"""),"The inclusion criteria were children aged 6 to 12 years, one or a combination of STH (A. lumbricoides, T. trichiura or hookworms) eggs were found from Kato-Katz methods stool examination and did not consume any anthelmintic for one month before and during"&amp;" the study. Exclusion: Children that were not following research procedures, such as not collecting stool samples or refusing to take anthelmintic were excluded from this study.")</f>
        <v>The inclusion criteria were children aged 6 to 12 years, one or a combination of STH (A. lumbricoides, T. trichiura or hookworms) eggs were found from Kato-Katz methods stool examination and did not consume any anthelmintic for one month before and during the study. Exclusion: Children that were not following research procedures, such as not collecting stool samples or refusing to take anthelmintic were excluded from this study.</v>
      </c>
      <c r="AU189" s="880" t="str">
        <f>IFERROR(__xludf.DUMMYFUNCTION("""COMPUTED_VALUE"""),"Yes")</f>
        <v>Yes</v>
      </c>
      <c r="AV189" s="880" t="str">
        <f>IFERROR(__xludf.DUMMYFUNCTION("""COMPUTED_VALUE"""),"Yes")</f>
        <v>Yes</v>
      </c>
      <c r="AW189" s="881" t="str">
        <f>IFERROR(__xludf.DUMMYFUNCTION("""COMPUTED_VALUE"""),"Laboratory Assesor Blind")</f>
        <v>Laboratory Assesor Blind</v>
      </c>
      <c r="AX189" s="863">
        <f>IFERROR(__xludf.DUMMYFUNCTION("""COMPUTED_VALUE"""),0.323)</f>
        <v>0.323</v>
      </c>
      <c r="AY189" s="863"/>
      <c r="AZ189" s="863"/>
      <c r="BA189" s="863"/>
      <c r="BB189" s="863"/>
      <c r="BC189" s="863"/>
      <c r="BD189" s="863"/>
      <c r="BE189" s="863"/>
      <c r="BF189" s="863"/>
      <c r="BG189" s="863"/>
      <c r="BH189" s="863">
        <f>IFERROR(__xludf.DUMMYFUNCTION("""COMPUTED_VALUE"""),0.996)</f>
        <v>0.996</v>
      </c>
      <c r="BI189" s="863"/>
      <c r="BJ189" s="863"/>
      <c r="BK189" s="863"/>
      <c r="BL189" s="863"/>
      <c r="BM189" s="863"/>
      <c r="BN189" s="863" t="str">
        <f>IFERROR(__xludf.DUMMYFUNCTION("""COMPUTED_VALUE"""),"Three and two consecutive days albendazole have better efficacy than single-dose of albendazole for trichuriasis, but not for ascariasis or hookworm infection. Two consecutive days albendazole is better choice for treating trichuriasis with more adherence"&amp;" and less side effect than three consecutive days regimen.")</f>
        <v>Three and two consecutive days albendazole have better efficacy than single-dose of albendazole for trichuriasis, but not for ascariasis or hookworm infection. Two consecutive days albendazole is better choice for treating trichuriasis with more adherence and less side effect than three consecutive days regimen.</v>
      </c>
      <c r="BO189" s="863" t="str">
        <f>IFERROR(__xludf.DUMMYFUNCTION("""COMPUTED_VALUE"""),"Kato-Katz technique")</f>
        <v>Kato-Katz technique</v>
      </c>
      <c r="BP189" s="880"/>
      <c r="BQ189" s="863"/>
      <c r="BR189" s="889" t="str">
        <f>IFERROR(__xludf.DUMMYFUNCTION("""COMPUTED_VALUE"""),"Rahman et al.")</f>
        <v>Rahman et al.</v>
      </c>
      <c r="BS189" s="883" t="str">
        <f>IFERROR(__xludf.DUMMYFUNCTION("""COMPUTED_VALUE"""),"Malayisa")</f>
        <v>Malayisa</v>
      </c>
      <c r="BT189" s="883" t="str">
        <f>IFERROR(__xludf.DUMMYFUNCTION("""COMPUTED_VALUE"""),"Mebendazole")</f>
        <v>Mebendazole</v>
      </c>
      <c r="BU189" s="883"/>
      <c r="BV189" s="883" t="str">
        <f>IFERROR(__xludf.DUMMYFUNCTION("""COMPUTED_VALUE"""),"Single")</f>
        <v>Single</v>
      </c>
      <c r="BW189" s="883" t="str">
        <f>IFERROR(__xludf.DUMMYFUNCTION("""COMPUTED_VALUE"""),"400 mg")</f>
        <v>400 mg</v>
      </c>
      <c r="BX189" s="883">
        <f>IFERROR(__xludf.DUMMYFUNCTION("""COMPUTED_VALUE"""),96.0)</f>
        <v>96</v>
      </c>
      <c r="BY189" s="883" t="str">
        <f>IFERROR(__xludf.DUMMYFUNCTION("""COMPUTED_VALUE"""),"School Children")</f>
        <v>School Children</v>
      </c>
      <c r="BZ189" s="883">
        <f>IFERROR(__xludf.DUMMYFUNCTION("""COMPUTED_VALUE"""),1990.0)</f>
        <v>1990</v>
      </c>
      <c r="CA189" s="883"/>
      <c r="CB189" s="883"/>
      <c r="CC189" s="883" t="str">
        <f>IFERROR(__xludf.DUMMYFUNCTION("""COMPUTED_VALUE"""),"Yes")</f>
        <v>Yes</v>
      </c>
      <c r="CD189" s="884">
        <f>IFERROR(__xludf.DUMMYFUNCTION("""COMPUTED_VALUE"""),0.812)</f>
        <v>0.812</v>
      </c>
      <c r="CE189" s="883" t="str">
        <f>IFERROR(__xludf.DUMMYFUNCTION("""COMPUTED_VALUE"""),"No")</f>
        <v>No</v>
      </c>
      <c r="CF189" s="883"/>
      <c r="CG189" s="883"/>
      <c r="CH189" s="884">
        <f>IFERROR(__xludf.DUMMYFUNCTION("""COMPUTED_VALUE"""),0.812)</f>
        <v>0.812</v>
      </c>
      <c r="CI189" s="883"/>
      <c r="CJ189" s="883"/>
      <c r="CK189" s="883"/>
      <c r="CL189" s="883"/>
      <c r="CM189" s="883"/>
      <c r="CN189" s="883"/>
      <c r="CO189" s="883"/>
      <c r="CP189" s="883"/>
      <c r="CQ189" s="883"/>
      <c r="CR189" s="883"/>
      <c r="CS189" s="883" t="str">
        <f>IFERROR(__xludf.DUMMYFUNCTION("""COMPUTED_VALUE"""),"Albendazole and mebendazole were eqully effective in treating trichuriasis and ascariasis.")</f>
        <v>Albendazole and mebendazole were eqully effective in treating trichuriasis and ascariasis.</v>
      </c>
      <c r="CT189" s="883"/>
      <c r="CU189" s="883" t="str">
        <f>IFERROR(__xludf.DUMMYFUNCTION("""COMPUTED_VALUE"""),"x")</f>
        <v>x</v>
      </c>
      <c r="CV189" s="863"/>
      <c r="CW189" s="863"/>
      <c r="CX189" s="863"/>
      <c r="CY189" s="863"/>
      <c r="CZ189" s="863"/>
      <c r="DA189" s="863"/>
      <c r="DB189" s="863"/>
      <c r="DC189" s="863"/>
      <c r="DD189" s="863"/>
      <c r="DE189" s="863"/>
    </row>
    <row r="190">
      <c r="A190" s="876"/>
      <c r="B190" s="876"/>
      <c r="C190" s="876"/>
      <c r="D190" s="876"/>
      <c r="E190" s="876"/>
      <c r="F190" s="876"/>
      <c r="G190" s="876"/>
      <c r="H190" s="876"/>
      <c r="I190" s="876"/>
      <c r="J190" s="876"/>
      <c r="K190" s="876"/>
      <c r="L190" s="876"/>
      <c r="M190" s="876"/>
      <c r="N190" s="877"/>
      <c r="O190" s="876"/>
      <c r="P190" s="876"/>
      <c r="Q190" s="876"/>
      <c r="R190" s="876"/>
      <c r="S190" s="876"/>
      <c r="T190" s="876"/>
      <c r="U190" s="876"/>
      <c r="V190" s="876"/>
      <c r="W190" s="876"/>
      <c r="X190" s="876"/>
      <c r="Y190" s="876"/>
      <c r="Z190" s="876"/>
      <c r="AA190" s="876"/>
      <c r="AB190" s="876"/>
      <c r="AC190" s="876"/>
      <c r="AD190" s="876"/>
      <c r="AE190" s="876"/>
      <c r="AF190" s="876"/>
      <c r="AG190" s="876"/>
      <c r="AH190" s="876"/>
      <c r="AI190" s="878"/>
      <c r="AJ190" s="888" t="str">
        <f>IFERROR(__xludf.DUMMYFUNCTION("""COMPUTED_VALUE"""),"Efficacy and tolerability of triple drug therapy with albendazole, pyrantel pamoate, and oxantel pamoate compared with albendazole plus oxantel pamoate, pyrantel pamoate plus oxantel pamoate, and mebendazole plus pyrantel pamoate and oxantel pamoate again"&amp;"st hookworm infections in school-aged children in Laos: a randomised, single-blind trial")</f>
        <v>Efficacy and tolerability of triple drug therapy with albendazole, pyrantel pamoate, and oxantel pamoate compared with albendazole plus oxantel pamoate, pyrantel pamoate plus oxantel pamoate, and mebendazole plus pyrantel pamoate and oxantel pamoate against hookworm infections in school-aged children in Laos: a randomised, single-blind trial</v>
      </c>
      <c r="AK190" s="880" t="str">
        <f>IFERROR(__xludf.DUMMYFUNCTION("""COMPUTED_VALUE"""),"Moser W, Sayasone S, Xayavong S, Bounheuang B, Puchkov M, Huwyler J, et al. Efficacy and tolerability of triple drug therapy with albendazole, pyrantel pamoate, and oxantel pamoate compared with albendazole plus oxantel pamoate, pyrantel pamoate plus oxan"&amp;"tel pamoate, and mebendazole plus pyrantel pamoate and oxantel pamoate against hookworm infections in school-aged children in Laos: a randomised, single-blind trial [Internet]. The Lancet Infectious Diseases. Elsevier; 2018 [cited 2021Jan15]. Available fr"&amp;"om: https://www.sciencedirect.coM:science/article/pii/S1473309918302202 ")</f>
        <v>Moser W, Sayasone S, Xayavong S, Bounheuang B, Puchkov M, Huwyler J, et al. Efficacy and tolerability of triple drug therapy with albendazole, pyrantel pamoate, and oxantel pamoate compared with albendazole plus oxantel pamoate, pyrantel pamoate plus oxantel pamoate, and mebendazole plus pyrantel pamoate and oxantel pamoate against hookworm infections in school-aged children in Laos: a randomised, single-blind trial [Internet]. The Lancet Infectious Diseases. Elsevier; 2018 [cited 2021Jan15]. Available from: https://www.sciencedirect.coM:science/article/pii/S1473309918302202 </v>
      </c>
      <c r="AL190" s="880" t="str">
        <f>IFERROR(__xludf.DUMMYFUNCTION("""COMPUTED_VALUE"""),"Laos")</f>
        <v>Laos</v>
      </c>
      <c r="AM190" s="880" t="str">
        <f>IFERROR(__xludf.DUMMYFUNCTION("""COMPUTED_VALUE"""),"Albendazole &amp; Pyrantel pamoate &amp; Oxantel pamoate")</f>
        <v>Albendazole &amp; Pyrantel pamoate &amp; Oxantel pamoate</v>
      </c>
      <c r="AN190" s="880" t="str">
        <f>IFERROR(__xludf.DUMMYFUNCTION("""COMPUTED_VALUE"""),"Single")</f>
        <v>Single</v>
      </c>
      <c r="AO190" s="880" t="str">
        <f>IFERROR(__xludf.DUMMYFUNCTION("""COMPUTED_VALUE"""),"400 mg; 20 mg/kg; 20 mg/kg")</f>
        <v>400 mg; 20 mg/kg; 20 mg/kg</v>
      </c>
      <c r="AP190" s="880">
        <f>IFERROR(__xludf.DUMMYFUNCTION("""COMPUTED_VALUE"""),43.0)</f>
        <v>43</v>
      </c>
      <c r="AQ190" s="880">
        <f>IFERROR(__xludf.DUMMYFUNCTION("""COMPUTED_VALUE"""),12.3)</f>
        <v>12.3</v>
      </c>
      <c r="AR190" s="880"/>
      <c r="AS190" s="880">
        <f>IFERROR(__xludf.DUMMYFUNCTION("""COMPUTED_VALUE"""),2017.0)</f>
        <v>2017</v>
      </c>
      <c r="AT190" s="880" t="str">
        <f>IFERROR(__xludf.DUMMYFUNCTION("""COMPUTED_VALUE"""),"Children were deemed eligible if they provided two stool samples and were hookworm positive (eggs per gram of stool [EPG] &gt;100), passed a physical and clinical examination, had no chronic illness, had no anthelmintic treatment in the past 4 weeks, and, if"&amp;" female, were not pregnant (≥12 years)")</f>
        <v>Children were deemed eligible if they provided two stool samples and were hookworm positive (eggs per gram of stool [EPG] &gt;100), passed a physical and clinical examination, had no chronic illness, had no anthelmintic treatment in the past 4 weeks, and, if female, were not pregnant (≥12 years)</v>
      </c>
      <c r="AU190" s="880" t="str">
        <f>IFERROR(__xludf.DUMMYFUNCTION("""COMPUTED_VALUE"""),"Yes")</f>
        <v>Yes</v>
      </c>
      <c r="AV190" s="880" t="str">
        <f>IFERROR(__xludf.DUMMYFUNCTION("""COMPUTED_VALUE"""),"Yes")</f>
        <v>Yes</v>
      </c>
      <c r="AW190" s="881" t="str">
        <f>IFERROR(__xludf.DUMMYFUNCTION("""COMPUTED_VALUE"""),"Single-blind")</f>
        <v>Single-blind</v>
      </c>
      <c r="AX190" s="863">
        <f>IFERROR(__xludf.DUMMYFUNCTION("""COMPUTED_VALUE"""),0.93)</f>
        <v>0.93</v>
      </c>
      <c r="AY190" s="863"/>
      <c r="AZ190" s="863"/>
      <c r="BA190" s="863"/>
      <c r="BB190" s="863"/>
      <c r="BC190" s="863"/>
      <c r="BD190" s="863"/>
      <c r="BE190" s="863"/>
      <c r="BF190" s="863"/>
      <c r="BG190" s="863"/>
      <c r="BH190" s="863">
        <f>IFERROR(__xludf.DUMMYFUNCTION("""COMPUTED_VALUE"""),1.0)</f>
        <v>1</v>
      </c>
      <c r="BI190" s="863"/>
      <c r="BJ190" s="863"/>
      <c r="BK190" s="863"/>
      <c r="BL190" s="863"/>
      <c r="BM190" s="863"/>
      <c r="BN190" s="863" t="str">
        <f>IFERROR(__xludf.DUMMYFUNCTION("""COMPUTED_VALUE"""),"TDT with albendazole, pyrantel pamoate, and oxantel pamoate could make a difference, in particular in the context of soil-transmitted helminth elimination. Pyrantel pamoate might be a useful alternative to prevent benzimidazole resistance; however, larger"&amp;" trials are needed to confirm this finding.")</f>
        <v>TDT with albendazole, pyrantel pamoate, and oxantel pamoate could make a difference, in particular in the context of soil-transmitted helminth elimination. Pyrantel pamoate might be a useful alternative to prevent benzimidazole resistance; however, larger trials are needed to confirm this finding.</v>
      </c>
      <c r="BO190" s="863" t="str">
        <f>IFERROR(__xludf.DUMMYFUNCTION("""COMPUTED_VALUE"""),"Kato-Katz technique")</f>
        <v>Kato-Katz technique</v>
      </c>
      <c r="BP190" s="880"/>
      <c r="BQ190" s="863"/>
      <c r="BR190" s="889" t="str">
        <f>IFERROR(__xludf.DUMMYFUNCTION("""COMPUTED_VALUE"""),"Maissonneuve &amp; Rossignol")</f>
        <v>Maissonneuve &amp; Rossignol</v>
      </c>
      <c r="BS190" s="883"/>
      <c r="BT190" s="883" t="str">
        <f>IFERROR(__xludf.DUMMYFUNCTION("""COMPUTED_VALUE"""),"Albendazole")</f>
        <v>Albendazole</v>
      </c>
      <c r="BU190" s="883"/>
      <c r="BV190" s="883" t="str">
        <f>IFERROR(__xludf.DUMMYFUNCTION("""COMPUTED_VALUE"""),"Single")</f>
        <v>Single</v>
      </c>
      <c r="BW190" s="883" t="str">
        <f>IFERROR(__xludf.DUMMYFUNCTION("""COMPUTED_VALUE"""),"400 mg")</f>
        <v>400 mg</v>
      </c>
      <c r="BX190" s="883">
        <f>IFERROR(__xludf.DUMMYFUNCTION("""COMPUTED_VALUE"""),10.0)</f>
        <v>10</v>
      </c>
      <c r="BY190" s="883" t="str">
        <f>IFERROR(__xludf.DUMMYFUNCTION("""COMPUTED_VALUE"""),"6-50")</f>
        <v>6-50</v>
      </c>
      <c r="BZ190" s="883"/>
      <c r="CA190" s="883" t="str">
        <f>IFERROR(__xludf.DUMMYFUNCTION("""COMPUTED_VALUE"""),"MF")</f>
        <v>MF</v>
      </c>
      <c r="CB190" s="883"/>
      <c r="CC190" s="883" t="str">
        <f>IFERROR(__xludf.DUMMYFUNCTION("""COMPUTED_VALUE"""),"No")</f>
        <v>No</v>
      </c>
      <c r="CD190" s="884">
        <f>IFERROR(__xludf.DUMMYFUNCTION("""COMPUTED_VALUE"""),1.0)</f>
        <v>1</v>
      </c>
      <c r="CE190" s="883" t="str">
        <f>IFERROR(__xludf.DUMMYFUNCTION("""COMPUTED_VALUE"""),"No")</f>
        <v>No</v>
      </c>
      <c r="CF190" s="883"/>
      <c r="CG190" s="883"/>
      <c r="CH190" s="883"/>
      <c r="CI190" s="883"/>
      <c r="CJ190" s="883"/>
      <c r="CK190" s="883"/>
      <c r="CL190" s="883"/>
      <c r="CM190" s="883"/>
      <c r="CN190" s="883"/>
      <c r="CO190" s="883"/>
      <c r="CP190" s="883"/>
      <c r="CQ190" s="883"/>
      <c r="CR190" s="883"/>
      <c r="CS190" s="883"/>
      <c r="CT190" s="883" t="str">
        <f>IFERROR(__xludf.DUMMYFUNCTION("""COMPUTED_VALUE"""),"Kato-Katz Method")</f>
        <v>Kato-Katz Method</v>
      </c>
      <c r="CU190" s="883"/>
      <c r="CV190" s="863"/>
      <c r="CW190" s="863"/>
      <c r="CX190" s="863"/>
      <c r="CY190" s="863"/>
      <c r="CZ190" s="863"/>
      <c r="DA190" s="863"/>
      <c r="DB190" s="863"/>
      <c r="DC190" s="863"/>
      <c r="DD190" s="863"/>
      <c r="DE190" s="863"/>
    </row>
    <row r="191">
      <c r="A191" s="876"/>
      <c r="B191" s="876"/>
      <c r="C191" s="876"/>
      <c r="D191" s="876"/>
      <c r="E191" s="876"/>
      <c r="F191" s="876"/>
      <c r="G191" s="876"/>
      <c r="H191" s="876"/>
      <c r="I191" s="876"/>
      <c r="J191" s="876"/>
      <c r="K191" s="876"/>
      <c r="L191" s="876"/>
      <c r="M191" s="876"/>
      <c r="N191" s="877"/>
      <c r="O191" s="876"/>
      <c r="P191" s="876"/>
      <c r="Q191" s="876"/>
      <c r="R191" s="876"/>
      <c r="S191" s="876"/>
      <c r="T191" s="876"/>
      <c r="U191" s="876"/>
      <c r="V191" s="876"/>
      <c r="W191" s="876"/>
      <c r="X191" s="876"/>
      <c r="Y191" s="876"/>
      <c r="Z191" s="876"/>
      <c r="AA191" s="876"/>
      <c r="AB191" s="876"/>
      <c r="AC191" s="876"/>
      <c r="AD191" s="876"/>
      <c r="AE191" s="876"/>
      <c r="AF191" s="876"/>
      <c r="AG191" s="876"/>
      <c r="AH191" s="876"/>
      <c r="AI191" s="878"/>
      <c r="AJ191" s="888" t="str">
        <f>IFERROR(__xludf.DUMMYFUNCTION("""COMPUTED_VALUE"""),"Efficacy and tolerability of triple drug therapy with albendazole, pyrantel pamoate, and oxantel pamoate compared with albendazole plus oxantel pamoate, pyrantel pamoate plus oxantel pamoate, and mebendazole plus pyrantel pamoate and oxantel pamoate again"&amp;"st hookworm infections in school-aged children in Laos: a randomised, single-blind trial")</f>
        <v>Efficacy and tolerability of triple drug therapy with albendazole, pyrantel pamoate, and oxantel pamoate compared with albendazole plus oxantel pamoate, pyrantel pamoate plus oxantel pamoate, and mebendazole plus pyrantel pamoate and oxantel pamoate against hookworm infections in school-aged children in Laos: a randomised, single-blind trial</v>
      </c>
      <c r="AK191" s="880" t="str">
        <f>IFERROR(__xludf.DUMMYFUNCTION("""COMPUTED_VALUE"""),"Moser W, Sayasone S, Xayavong S, Bounheuang B, Puchkov M, Huwyler J, et al. Efficacy and tolerability of triple drug therapy with albendazole, pyrantel pamoate, and oxantel pamoate compared with albendazole plus oxantel pamoate, pyrantel pamoate plus oxan"&amp;"tel pamoate, and mebendazole plus pyrantel pamoate and oxantel pamoate against hookworm infections in school-aged children in Laos: a randomised, single-blind trial [Internet]. The Lancet Infectious Diseases. Elsevier; 2018 [cited 2021Jan15]. Available fr"&amp;"om: https://www.sciencedirect.coM:science/article/pii/S1473309918302202 ")</f>
        <v>Moser W, Sayasone S, Xayavong S, Bounheuang B, Puchkov M, Huwyler J, et al. Efficacy and tolerability of triple drug therapy with albendazole, pyrantel pamoate, and oxantel pamoate compared with albendazole plus oxantel pamoate, pyrantel pamoate plus oxantel pamoate, and mebendazole plus pyrantel pamoate and oxantel pamoate against hookworm infections in school-aged children in Laos: a randomised, single-blind trial [Internet]. The Lancet Infectious Diseases. Elsevier; 2018 [cited 2021Jan15]. Available from: https://www.sciencedirect.coM:science/article/pii/S1473309918302202 </v>
      </c>
      <c r="AL191" s="880" t="str">
        <f>IFERROR(__xludf.DUMMYFUNCTION("""COMPUTED_VALUE"""),"Laos")</f>
        <v>Laos</v>
      </c>
      <c r="AM191" s="880" t="str">
        <f>IFERROR(__xludf.DUMMYFUNCTION("""COMPUTED_VALUE"""),"Albendazole &amp; Oxantel pamoate")</f>
        <v>Albendazole &amp; Oxantel pamoate</v>
      </c>
      <c r="AN191" s="880" t="str">
        <f>IFERROR(__xludf.DUMMYFUNCTION("""COMPUTED_VALUE"""),"Single")</f>
        <v>Single</v>
      </c>
      <c r="AO191" s="880" t="str">
        <f>IFERROR(__xludf.DUMMYFUNCTION("""COMPUTED_VALUE"""),"400 mg; 20 mg/kg")</f>
        <v>400 mg; 20 mg/kg</v>
      </c>
      <c r="AP191" s="880">
        <f>IFERROR(__xludf.DUMMYFUNCTION("""COMPUTED_VALUE"""),52.0)</f>
        <v>52</v>
      </c>
      <c r="AQ191" s="880">
        <f>IFERROR(__xludf.DUMMYFUNCTION("""COMPUTED_VALUE"""),12.4)</f>
        <v>12.4</v>
      </c>
      <c r="AR191" s="880"/>
      <c r="AS191" s="880">
        <f>IFERROR(__xludf.DUMMYFUNCTION("""COMPUTED_VALUE"""),2017.0)</f>
        <v>2017</v>
      </c>
      <c r="AT191" s="880" t="str">
        <f>IFERROR(__xludf.DUMMYFUNCTION("""COMPUTED_VALUE"""),"Children were deemed eligible if they provided two stool samples and were hookworm positive (eggs per gram of stool [EPG] &gt;100), passed a physical and clinical examination, had no chronic illness, had no anthelmintic treatment in the past 4 weeks, and, if"&amp;" female, were not pregnant (≥12 years)")</f>
        <v>Children were deemed eligible if they provided two stool samples and were hookworm positive (eggs per gram of stool [EPG] &gt;100), passed a physical and clinical examination, had no chronic illness, had no anthelmintic treatment in the past 4 weeks, and, if female, were not pregnant (≥12 years)</v>
      </c>
      <c r="AU191" s="880" t="str">
        <f>IFERROR(__xludf.DUMMYFUNCTION("""COMPUTED_VALUE"""),"Yes")</f>
        <v>Yes</v>
      </c>
      <c r="AV191" s="880" t="str">
        <f>IFERROR(__xludf.DUMMYFUNCTION("""COMPUTED_VALUE"""),"Yes")</f>
        <v>Yes</v>
      </c>
      <c r="AW191" s="881" t="str">
        <f>IFERROR(__xludf.DUMMYFUNCTION("""COMPUTED_VALUE"""),"Single-blind")</f>
        <v>Single-blind</v>
      </c>
      <c r="AX191" s="863">
        <f>IFERROR(__xludf.DUMMYFUNCTION("""COMPUTED_VALUE"""),1.0)</f>
        <v>1</v>
      </c>
      <c r="AY191" s="863"/>
      <c r="AZ191" s="863"/>
      <c r="BA191" s="863"/>
      <c r="BB191" s="863"/>
      <c r="BC191" s="863"/>
      <c r="BD191" s="863"/>
      <c r="BE191" s="863"/>
      <c r="BF191" s="863"/>
      <c r="BG191" s="863"/>
      <c r="BH191" s="863">
        <f>IFERROR(__xludf.DUMMYFUNCTION("""COMPUTED_VALUE"""),0.979)</f>
        <v>0.979</v>
      </c>
      <c r="BI191" s="863"/>
      <c r="BJ191" s="863"/>
      <c r="BK191" s="863"/>
      <c r="BL191" s="863"/>
      <c r="BM191" s="863"/>
      <c r="BN191" s="863" t="str">
        <f>IFERROR(__xludf.DUMMYFUNCTION("""COMPUTED_VALUE"""),"TDT with albendazole, pyrantel pamoate, and oxantel pamoate could make a difference, in particular in the context of soil-transmitted helminth elimination. Pyrantel pamoate might be a useful alternative to prevent benzimidazole resistance; however, larger"&amp;" trials are needed to confirm this finding.")</f>
        <v>TDT with albendazole, pyrantel pamoate, and oxantel pamoate could make a difference, in particular in the context of soil-transmitted helminth elimination. Pyrantel pamoate might be a useful alternative to prevent benzimidazole resistance; however, larger trials are needed to confirm this finding.</v>
      </c>
      <c r="BO191" s="863" t="str">
        <f>IFERROR(__xludf.DUMMYFUNCTION("""COMPUTED_VALUE"""),"Kato-Katz technique")</f>
        <v>Kato-Katz technique</v>
      </c>
      <c r="BP191" s="880"/>
      <c r="BQ191" s="863"/>
      <c r="BR191" s="889" t="str">
        <f>IFERROR(__xludf.DUMMYFUNCTION("""COMPUTED_VALUE"""),"Bassily et al.")</f>
        <v>Bassily et al.</v>
      </c>
      <c r="BS191" s="883" t="str">
        <f>IFERROR(__xludf.DUMMYFUNCTION("""COMPUTED_VALUE"""),"Egypt")</f>
        <v>Egypt</v>
      </c>
      <c r="BT191" s="883" t="str">
        <f>IFERROR(__xludf.DUMMYFUNCTION("""COMPUTED_VALUE"""),"Albendazole")</f>
        <v>Albendazole</v>
      </c>
      <c r="BU191" s="883"/>
      <c r="BV191" s="883" t="str">
        <f>IFERROR(__xludf.DUMMYFUNCTION("""COMPUTED_VALUE"""),"Single")</f>
        <v>Single</v>
      </c>
      <c r="BW191" s="883" t="str">
        <f>IFERROR(__xludf.DUMMYFUNCTION("""COMPUTED_VALUE"""),"400 mg")</f>
        <v>400 mg</v>
      </c>
      <c r="BX191" s="883">
        <f>IFERROR(__xludf.DUMMYFUNCTION("""COMPUTED_VALUE"""),14.0)</f>
        <v>14</v>
      </c>
      <c r="BY191" s="883"/>
      <c r="BZ191" s="883"/>
      <c r="CA191" s="883"/>
      <c r="CB191" s="883"/>
      <c r="CC191" s="883" t="str">
        <f>IFERROR(__xludf.DUMMYFUNCTION("""COMPUTED_VALUE"""),"No")</f>
        <v>No</v>
      </c>
      <c r="CD191" s="884">
        <f>IFERROR(__xludf.DUMMYFUNCTION("""COMPUTED_VALUE"""),0.93)</f>
        <v>0.93</v>
      </c>
      <c r="CE191" s="883" t="str">
        <f>IFERROR(__xludf.DUMMYFUNCTION("""COMPUTED_VALUE"""),"Yes")</f>
        <v>Yes</v>
      </c>
      <c r="CF191" s="883"/>
      <c r="CG191" s="883"/>
      <c r="CH191" s="883"/>
      <c r="CI191" s="883"/>
      <c r="CJ191" s="883"/>
      <c r="CK191" s="883"/>
      <c r="CL191" s="883"/>
      <c r="CM191" s="891">
        <f>IFERROR(__xludf.DUMMYFUNCTION("""COMPUTED_VALUE"""),0.95)</f>
        <v>0.95</v>
      </c>
      <c r="CN191" s="883"/>
      <c r="CO191" s="883"/>
      <c r="CP191" s="883"/>
      <c r="CQ191" s="883"/>
      <c r="CR191" s="883"/>
      <c r="CS191" s="883"/>
      <c r="CT191" s="883"/>
      <c r="CU191" s="883"/>
      <c r="CV191" s="863"/>
      <c r="CW191" s="863"/>
      <c r="CX191" s="863"/>
      <c r="CY191" s="863"/>
      <c r="CZ191" s="863"/>
      <c r="DA191" s="863"/>
      <c r="DB191" s="863"/>
      <c r="DC191" s="863"/>
      <c r="DD191" s="863"/>
      <c r="DE191" s="863"/>
    </row>
    <row r="192">
      <c r="A192" s="876"/>
      <c r="B192" s="876"/>
      <c r="C192" s="876"/>
      <c r="D192" s="876"/>
      <c r="E192" s="876"/>
      <c r="F192" s="876"/>
      <c r="G192" s="876"/>
      <c r="H192" s="876"/>
      <c r="I192" s="876"/>
      <c r="J192" s="876"/>
      <c r="K192" s="876"/>
      <c r="L192" s="876"/>
      <c r="M192" s="876"/>
      <c r="N192" s="877"/>
      <c r="O192" s="876"/>
      <c r="P192" s="876"/>
      <c r="Q192" s="876"/>
      <c r="R192" s="876"/>
      <c r="S192" s="876"/>
      <c r="T192" s="876"/>
      <c r="U192" s="876"/>
      <c r="V192" s="876"/>
      <c r="W192" s="876"/>
      <c r="X192" s="876"/>
      <c r="Y192" s="876"/>
      <c r="Z192" s="876"/>
      <c r="AA192" s="876"/>
      <c r="AB192" s="876"/>
      <c r="AC192" s="876"/>
      <c r="AD192" s="876"/>
      <c r="AE192" s="876"/>
      <c r="AF192" s="876"/>
      <c r="AG192" s="876"/>
      <c r="AH192" s="876"/>
      <c r="AI192" s="878"/>
      <c r="AJ192" s="888" t="str">
        <f>IFERROR(__xludf.DUMMYFUNCTION("""COMPUTED_VALUE"""),"Efficacy and tolerability of triple drug therapy with albendazole, pyrantel pamoate, and oxantel pamoate compared with albendazole plus oxantel pamoate, pyrantel pamoate plus oxantel pamoate, and mebendazole plus pyrantel pamoate and oxantel pamoate again"&amp;"st hookworm infections in school-aged children in Laos: a randomised, single-blind trial")</f>
        <v>Efficacy and tolerability of triple drug therapy with albendazole, pyrantel pamoate, and oxantel pamoate compared with albendazole plus oxantel pamoate, pyrantel pamoate plus oxantel pamoate, and mebendazole plus pyrantel pamoate and oxantel pamoate against hookworm infections in school-aged children in Laos: a randomised, single-blind trial</v>
      </c>
      <c r="AK192" s="880" t="str">
        <f>IFERROR(__xludf.DUMMYFUNCTION("""COMPUTED_VALUE"""),"Moser W, Sayasone S, Xayavong S, Bounheuang B, Puchkov M, Huwyler J, et al. Efficacy and tolerability of triple drug therapy with albendazole, pyrantel pamoate, and oxantel pamoate compared with albendazole plus oxantel pamoate, pyrantel pamoate plus oxan"&amp;"tel pamoate, and mebendazole plus pyrantel pamoate and oxantel pamoate against hookworm infections in school-aged children in Laos: a randomised, single-blind trial [Internet]. The Lancet Infectious Diseases. Elsevier; 2018 [cited 2021Jan15]. Available fr"&amp;"om: https://www.sciencedirect.coM:science/article/pii/S1473309918302202 ")</f>
        <v>Moser W, Sayasone S, Xayavong S, Bounheuang B, Puchkov M, Huwyler J, et al. Efficacy and tolerability of triple drug therapy with albendazole, pyrantel pamoate, and oxantel pamoate compared with albendazole plus oxantel pamoate, pyrantel pamoate plus oxantel pamoate, and mebendazole plus pyrantel pamoate and oxantel pamoate against hookworm infections in school-aged children in Laos: a randomised, single-blind trial [Internet]. The Lancet Infectious Diseases. Elsevier; 2018 [cited 2021Jan15]. Available from: https://www.sciencedirect.coM:science/article/pii/S1473309918302202 </v>
      </c>
      <c r="AL192" s="880" t="str">
        <f>IFERROR(__xludf.DUMMYFUNCTION("""COMPUTED_VALUE"""),"Laos")</f>
        <v>Laos</v>
      </c>
      <c r="AM192" s="880" t="str">
        <f>IFERROR(__xludf.DUMMYFUNCTION("""COMPUTED_VALUE"""),"Pyrantel pamoate &amp; Oxantel pamoate")</f>
        <v>Pyrantel pamoate &amp; Oxantel pamoate</v>
      </c>
      <c r="AN192" s="880" t="str">
        <f>IFERROR(__xludf.DUMMYFUNCTION("""COMPUTED_VALUE"""),"Single")</f>
        <v>Single</v>
      </c>
      <c r="AO192" s="880" t="str">
        <f>IFERROR(__xludf.DUMMYFUNCTION("""COMPUTED_VALUE"""),"20 mg/kg; 20 mg/kg")</f>
        <v>20 mg/kg; 20 mg/kg</v>
      </c>
      <c r="AP192" s="880">
        <f>IFERROR(__xludf.DUMMYFUNCTION("""COMPUTED_VALUE"""),31.0)</f>
        <v>31</v>
      </c>
      <c r="AQ192" s="880">
        <f>IFERROR(__xludf.DUMMYFUNCTION("""COMPUTED_VALUE"""),12.4)</f>
        <v>12.4</v>
      </c>
      <c r="AR192" s="880"/>
      <c r="AS192" s="880">
        <f>IFERROR(__xludf.DUMMYFUNCTION("""COMPUTED_VALUE"""),2017.0)</f>
        <v>2017</v>
      </c>
      <c r="AT192" s="880" t="str">
        <f>IFERROR(__xludf.DUMMYFUNCTION("""COMPUTED_VALUE"""),"Children were deemed eligible if they provided two stool samples and were hookworm positive (eggs per gram of stool [EPG] &gt;100), passed a physical and clinical examination, had no chronic illness, had no anthelmintic treatment in the past 4 weeks, and, if"&amp;" female, were not pregnant (≥12 years)")</f>
        <v>Children were deemed eligible if they provided two stool samples and were hookworm positive (eggs per gram of stool [EPG] &gt;100), passed a physical and clinical examination, had no chronic illness, had no anthelmintic treatment in the past 4 weeks, and, if female, were not pregnant (≥12 years)</v>
      </c>
      <c r="AU192" s="880" t="str">
        <f>IFERROR(__xludf.DUMMYFUNCTION("""COMPUTED_VALUE"""),"Yes")</f>
        <v>Yes</v>
      </c>
      <c r="AV192" s="880" t="str">
        <f>IFERROR(__xludf.DUMMYFUNCTION("""COMPUTED_VALUE"""),"Yes")</f>
        <v>Yes</v>
      </c>
      <c r="AW192" s="881" t="str">
        <f>IFERROR(__xludf.DUMMYFUNCTION("""COMPUTED_VALUE"""),"Single-blind")</f>
        <v>Single-blind</v>
      </c>
      <c r="AX192" s="863">
        <f>IFERROR(__xludf.DUMMYFUNCTION("""COMPUTED_VALUE"""),0.742)</f>
        <v>0.742</v>
      </c>
      <c r="AY192" s="863"/>
      <c r="AZ192" s="863"/>
      <c r="BA192" s="863"/>
      <c r="BB192" s="863"/>
      <c r="BC192" s="863"/>
      <c r="BD192" s="863"/>
      <c r="BE192" s="863"/>
      <c r="BF192" s="863"/>
      <c r="BG192" s="863"/>
      <c r="BH192" s="863">
        <f>IFERROR(__xludf.DUMMYFUNCTION("""COMPUTED_VALUE"""),0.988)</f>
        <v>0.988</v>
      </c>
      <c r="BI192" s="863"/>
      <c r="BJ192" s="863"/>
      <c r="BK192" s="863"/>
      <c r="BL192" s="863"/>
      <c r="BM192" s="863"/>
      <c r="BN192" s="863" t="str">
        <f>IFERROR(__xludf.DUMMYFUNCTION("""COMPUTED_VALUE"""),"TDT with albendazole, pyrantel pamoate, and oxantel pamoate could make a difference, in particular in the context of soil-transmitted helminth elimination. Pyrantel pamoate might be a useful alternative to prevent benzimidazole resistance; however, larger"&amp;" trials are needed to confirm this finding.")</f>
        <v>TDT with albendazole, pyrantel pamoate, and oxantel pamoate could make a difference, in particular in the context of soil-transmitted helminth elimination. Pyrantel pamoate might be a useful alternative to prevent benzimidazole resistance; however, larger trials are needed to confirm this finding.</v>
      </c>
      <c r="BO192" s="863" t="str">
        <f>IFERROR(__xludf.DUMMYFUNCTION("""COMPUTED_VALUE"""),"Kato-Katz technique")</f>
        <v>Kato-Katz technique</v>
      </c>
      <c r="BP192" s="880"/>
      <c r="BQ192" s="863"/>
      <c r="BR192" s="889" t="str">
        <f>IFERROR(__xludf.DUMMYFUNCTION("""COMPUTED_VALUE"""),"Bassily et al.")</f>
        <v>Bassily et al.</v>
      </c>
      <c r="BS192" s="883" t="str">
        <f>IFERROR(__xludf.DUMMYFUNCTION("""COMPUTED_VALUE"""),"Egypt")</f>
        <v>Egypt</v>
      </c>
      <c r="BT192" s="883" t="str">
        <f>IFERROR(__xludf.DUMMYFUNCTION("""COMPUTED_VALUE"""),"Albendazole")</f>
        <v>Albendazole</v>
      </c>
      <c r="BU192" s="883"/>
      <c r="BV192" s="883" t="str">
        <f>IFERROR(__xludf.DUMMYFUNCTION("""COMPUTED_VALUE"""),"Three")</f>
        <v>Three</v>
      </c>
      <c r="BW192" s="883" t="str">
        <f>IFERROR(__xludf.DUMMYFUNCTION("""COMPUTED_VALUE"""),"200 mg")</f>
        <v>200 mg</v>
      </c>
      <c r="BX192" s="883">
        <f>IFERROR(__xludf.DUMMYFUNCTION("""COMPUTED_VALUE"""),12.0)</f>
        <v>12</v>
      </c>
      <c r="BY192" s="883"/>
      <c r="BZ192" s="883"/>
      <c r="CA192" s="883"/>
      <c r="CB192" s="883"/>
      <c r="CC192" s="883" t="str">
        <f>IFERROR(__xludf.DUMMYFUNCTION("""COMPUTED_VALUE"""),"No")</f>
        <v>No</v>
      </c>
      <c r="CD192" s="884">
        <f>IFERROR(__xludf.DUMMYFUNCTION("""COMPUTED_VALUE"""),1.0)</f>
        <v>1</v>
      </c>
      <c r="CE192" s="883" t="str">
        <f>IFERROR(__xludf.DUMMYFUNCTION("""COMPUTED_VALUE"""),"Yes")</f>
        <v>Yes</v>
      </c>
      <c r="CF192" s="883"/>
      <c r="CG192" s="883"/>
      <c r="CH192" s="883"/>
      <c r="CI192" s="883"/>
      <c r="CJ192" s="883"/>
      <c r="CK192" s="883"/>
      <c r="CL192" s="883"/>
      <c r="CM192" s="891">
        <f>IFERROR(__xludf.DUMMYFUNCTION("""COMPUTED_VALUE"""),1.0)</f>
        <v>1</v>
      </c>
      <c r="CN192" s="883"/>
      <c r="CO192" s="883"/>
      <c r="CP192" s="883"/>
      <c r="CQ192" s="883"/>
      <c r="CR192" s="883"/>
      <c r="CS192" s="883" t="str">
        <f>IFERROR(__xludf.DUMMYFUNCTION("""COMPUTED_VALUE"""),"For mass therapy of ancylostomiasis and ascariasis in Egypt a single dose of 400 109 of Albendazole is adequate. When 100% cure is desired for ancylostomiasis, 200 mg given for three days is preferable.")</f>
        <v>For mass therapy of ancylostomiasis and ascariasis in Egypt a single dose of 400 109 of Albendazole is adequate. When 100% cure is desired for ancylostomiasis, 200 mg given for three days is preferable.</v>
      </c>
      <c r="CT192" s="883"/>
      <c r="CU192" s="883"/>
      <c r="CV192" s="863"/>
      <c r="CW192" s="863"/>
      <c r="CX192" s="863"/>
      <c r="CY192" s="863"/>
      <c r="CZ192" s="863"/>
      <c r="DA192" s="863"/>
      <c r="DB192" s="863"/>
      <c r="DC192" s="863"/>
      <c r="DD192" s="863"/>
      <c r="DE192" s="863"/>
    </row>
    <row r="193">
      <c r="A193" s="876"/>
      <c r="B193" s="876"/>
      <c r="C193" s="876"/>
      <c r="D193" s="876"/>
      <c r="E193" s="876"/>
      <c r="F193" s="876"/>
      <c r="G193" s="876"/>
      <c r="H193" s="876"/>
      <c r="I193" s="876"/>
      <c r="J193" s="876"/>
      <c r="K193" s="876"/>
      <c r="L193" s="876"/>
      <c r="M193" s="876"/>
      <c r="N193" s="877"/>
      <c r="O193" s="876"/>
      <c r="P193" s="876"/>
      <c r="Q193" s="876"/>
      <c r="R193" s="876"/>
      <c r="S193" s="876"/>
      <c r="T193" s="876"/>
      <c r="U193" s="876"/>
      <c r="V193" s="876"/>
      <c r="W193" s="876"/>
      <c r="X193" s="876"/>
      <c r="Y193" s="876"/>
      <c r="Z193" s="876"/>
      <c r="AA193" s="876"/>
      <c r="AB193" s="876"/>
      <c r="AC193" s="876"/>
      <c r="AD193" s="876"/>
      <c r="AE193" s="876"/>
      <c r="AF193" s="876"/>
      <c r="AG193" s="876"/>
      <c r="AH193" s="876"/>
      <c r="AI193" s="878"/>
      <c r="AJ193" s="888" t="str">
        <f>IFERROR(__xludf.DUMMYFUNCTION("""COMPUTED_VALUE"""),"Efficacy and tolerability of triple drug therapy with albendazole, pyrantel pamoate, and oxantel pamoate compared with albendazole plus oxantel pamoate, pyrantel pamoate plus oxantel pamoate, and mebendazole plus pyrantel pamoate and oxantel pamoate again"&amp;"st hookworm infections in school-aged children in Laos: a randomised, single-blind trial")</f>
        <v>Efficacy and tolerability of triple drug therapy with albendazole, pyrantel pamoate, and oxantel pamoate compared with albendazole plus oxantel pamoate, pyrantel pamoate plus oxantel pamoate, and mebendazole plus pyrantel pamoate and oxantel pamoate against hookworm infections in school-aged children in Laos: a randomised, single-blind trial</v>
      </c>
      <c r="AK193" s="880" t="str">
        <f>IFERROR(__xludf.DUMMYFUNCTION("""COMPUTED_VALUE"""),"Moser W, Sayasone S, Xayavong S, Bounheuang B, Puchkov M, Huwyler J, et al. Efficacy and tolerability of triple drug therapy with albendazole, pyrantel pamoate, and oxantel pamoate compared with albendazole plus oxantel pamoate, pyrantel pamoate plus oxan"&amp;"tel pamoate, and mebendazole plus pyrantel pamoate and oxantel pamoate against hookworm infections in school-aged children in Laos: a randomised, single-blind trial [Internet]. The Lancet Infectious Diseases. Elsevier; 2018 [cited 2021Jan15]. Available fr"&amp;"om: https://www.sciencedirect.coM:science/article/pii/S1473309918302202 ")</f>
        <v>Moser W, Sayasone S, Xayavong S, Bounheuang B, Puchkov M, Huwyler J, et al. Efficacy and tolerability of triple drug therapy with albendazole, pyrantel pamoate, and oxantel pamoate compared with albendazole plus oxantel pamoate, pyrantel pamoate plus oxantel pamoate, and mebendazole plus pyrantel pamoate and oxantel pamoate against hookworm infections in school-aged children in Laos: a randomised, single-blind trial [Internet]. The Lancet Infectious Diseases. Elsevier; 2018 [cited 2021Jan15]. Available from: https://www.sciencedirect.coM:science/article/pii/S1473309918302202 </v>
      </c>
      <c r="AL193" s="880" t="str">
        <f>IFERROR(__xludf.DUMMYFUNCTION("""COMPUTED_VALUE"""),"Laos")</f>
        <v>Laos</v>
      </c>
      <c r="AM193" s="880" t="str">
        <f>IFERROR(__xludf.DUMMYFUNCTION("""COMPUTED_VALUE"""),"Mebendazole &amp; Pyrantel pamoate &amp; Oxantel pamoate")</f>
        <v>Mebendazole &amp; Pyrantel pamoate &amp; Oxantel pamoate</v>
      </c>
      <c r="AN193" s="880" t="str">
        <f>IFERROR(__xludf.DUMMYFUNCTION("""COMPUTED_VALUE"""),"Single")</f>
        <v>Single</v>
      </c>
      <c r="AO193" s="880" t="str">
        <f>IFERROR(__xludf.DUMMYFUNCTION("""COMPUTED_VALUE"""),"500 mg; 20 mg/kg; 20 mg/kg")</f>
        <v>500 mg; 20 mg/kg; 20 mg/kg</v>
      </c>
      <c r="AP193" s="880">
        <f>IFERROR(__xludf.DUMMYFUNCTION("""COMPUTED_VALUE"""),26.0)</f>
        <v>26</v>
      </c>
      <c r="AQ193" s="880">
        <f>IFERROR(__xludf.DUMMYFUNCTION("""COMPUTED_VALUE"""),12.2)</f>
        <v>12.2</v>
      </c>
      <c r="AR193" s="880"/>
      <c r="AS193" s="880">
        <f>IFERROR(__xludf.DUMMYFUNCTION("""COMPUTED_VALUE"""),2017.0)</f>
        <v>2017</v>
      </c>
      <c r="AT193" s="880" t="str">
        <f>IFERROR(__xludf.DUMMYFUNCTION("""COMPUTED_VALUE"""),"Children were deemed eligible if they provided two stool samples and were hookworm positive (eggs per gram of stool [EPG] &gt;100), passed a physical and clinical examination, had no chronic illness, had no anthelmintic treatment in the past 4 weeks, and, if"&amp;" female, were not pregnant (≥12 years)")</f>
        <v>Children were deemed eligible if they provided two stool samples and were hookworm positive (eggs per gram of stool [EPG] &gt;100), passed a physical and clinical examination, had no chronic illness, had no anthelmintic treatment in the past 4 weeks, and, if female, were not pregnant (≥12 years)</v>
      </c>
      <c r="AU193" s="880" t="str">
        <f>IFERROR(__xludf.DUMMYFUNCTION("""COMPUTED_VALUE"""),"Yes")</f>
        <v>Yes</v>
      </c>
      <c r="AV193" s="880" t="str">
        <f>IFERROR(__xludf.DUMMYFUNCTION("""COMPUTED_VALUE"""),"Yes")</f>
        <v>Yes</v>
      </c>
      <c r="AW193" s="881" t="str">
        <f>IFERROR(__xludf.DUMMYFUNCTION("""COMPUTED_VALUE"""),"Single-blind")</f>
        <v>Single-blind</v>
      </c>
      <c r="AX193" s="863">
        <f>IFERROR(__xludf.DUMMYFUNCTION("""COMPUTED_VALUE"""),0.885)</f>
        <v>0.885</v>
      </c>
      <c r="AY193" s="863"/>
      <c r="AZ193" s="863"/>
      <c r="BA193" s="863"/>
      <c r="BB193" s="863"/>
      <c r="BC193" s="863"/>
      <c r="BD193" s="863"/>
      <c r="BE193" s="863"/>
      <c r="BF193" s="863"/>
      <c r="BG193" s="863"/>
      <c r="BH193" s="863">
        <f>IFERROR(__xludf.DUMMYFUNCTION("""COMPUTED_VALUE"""),0.589)</f>
        <v>0.589</v>
      </c>
      <c r="BI193" s="863"/>
      <c r="BJ193" s="863"/>
      <c r="BK193" s="863"/>
      <c r="BL193" s="863"/>
      <c r="BM193" s="863"/>
      <c r="BN193" s="863" t="str">
        <f>IFERROR(__xludf.DUMMYFUNCTION("""COMPUTED_VALUE"""),"TDT with albendazole, pyrantel pamoate, and oxantel pamoate could make a difference, in particular in the context of soil-transmitted helminth elimination. Pyrantel pamoate might be a useful alternative to prevent benzimidazole resistance; however, larger"&amp;" trials are needed to confirm this finding.")</f>
        <v>TDT with albendazole, pyrantel pamoate, and oxantel pamoate could make a difference, in particular in the context of soil-transmitted helminth elimination. Pyrantel pamoate might be a useful alternative to prevent benzimidazole resistance; however, larger trials are needed to confirm this finding.</v>
      </c>
      <c r="BO193" s="863" t="str">
        <f>IFERROR(__xludf.DUMMYFUNCTION("""COMPUTED_VALUE"""),"Kato-Katz technique")</f>
        <v>Kato-Katz technique</v>
      </c>
      <c r="BP193" s="880"/>
      <c r="BQ193" s="863"/>
      <c r="BR193" s="889" t="str">
        <f>IFERROR(__xludf.DUMMYFUNCTION("""COMPUTED_VALUE"""),"Jagota et al.")</f>
        <v>Jagota et al.</v>
      </c>
      <c r="BS193" s="883" t="str">
        <f>IFERROR(__xludf.DUMMYFUNCTION("""COMPUTED_VALUE"""),"India")</f>
        <v>India</v>
      </c>
      <c r="BT193" s="883" t="str">
        <f>IFERROR(__xludf.DUMMYFUNCTION("""COMPUTED_VALUE"""),"Albendazole")</f>
        <v>Albendazole</v>
      </c>
      <c r="BU193" s="883"/>
      <c r="BV193" s="883" t="str">
        <f>IFERROR(__xludf.DUMMYFUNCTION("""COMPUTED_VALUE"""),"Two")</f>
        <v>Two</v>
      </c>
      <c r="BW193" s="883" t="str">
        <f>IFERROR(__xludf.DUMMYFUNCTION("""COMPUTED_VALUE"""),"200 mg")</f>
        <v>200 mg</v>
      </c>
      <c r="BX193" s="883" t="str">
        <f>IFERROR(__xludf.DUMMYFUNCTION("""COMPUTED_VALUE"""),"258/480")</f>
        <v>258/480</v>
      </c>
      <c r="BY193" s="883" t="str">
        <f>IFERROR(__xludf.DUMMYFUNCTION("""COMPUTED_VALUE"""),"2-60")</f>
        <v>2-60</v>
      </c>
      <c r="BZ193" s="883"/>
      <c r="CA193" s="883" t="str">
        <f>IFERROR(__xludf.DUMMYFUNCTION("""COMPUTED_VALUE"""),"309 M; 171 F")</f>
        <v>309 M; 171 F</v>
      </c>
      <c r="CB193" s="883" t="str">
        <f>IFERROR(__xludf.DUMMYFUNCTION("""COMPUTED_VALUE"""),"Adults and children over the age of 2 years with intestinal helminthiasis (nematodes and cestodes) having positive fecal egg counts. Patients who had received anthelmintics seven days before the beginning of the trial; those having an acute illness, aller"&amp;"gic disorders, or proteinuria; and pregnant and nursing mothers were excluded.")</f>
        <v>Adults and children over the age of 2 years with intestinal helminthiasis (nematodes and cestodes) having positive fecal egg counts. Patients who had received anthelmintics seven days before the beginning of the trial; those having an acute illness, allergic disorders, or proteinuria; and pregnant and nursing mothers were excluded.</v>
      </c>
      <c r="CC193" s="883" t="str">
        <f>IFERROR(__xludf.DUMMYFUNCTION("""COMPUTED_VALUE"""),"No")</f>
        <v>No</v>
      </c>
      <c r="CD193" s="884">
        <f>IFERROR(__xludf.DUMMYFUNCTION("""COMPUTED_VALUE"""),0.953)</f>
        <v>0.953</v>
      </c>
      <c r="CE193" s="883" t="str">
        <f>IFERROR(__xludf.DUMMYFUNCTION("""COMPUTED_VALUE"""),"No")</f>
        <v>No</v>
      </c>
      <c r="CF193" s="883"/>
      <c r="CG193" s="884">
        <f>IFERROR(__xludf.DUMMYFUNCTION("""COMPUTED_VALUE"""),0.953)</f>
        <v>0.953</v>
      </c>
      <c r="CH193" s="883"/>
      <c r="CI193" s="883"/>
      <c r="CJ193" s="883"/>
      <c r="CK193" s="883"/>
      <c r="CL193" s="883"/>
      <c r="CM193" s="883" t="str">
        <f>IFERROR(__xludf.DUMMYFUNCTION("""COMPUTED_VALUE"""),"85-98%")</f>
        <v>85-98%</v>
      </c>
      <c r="CN193" s="883"/>
      <c r="CO193" s="883"/>
      <c r="CP193" s="883"/>
      <c r="CQ193" s="883"/>
      <c r="CR193" s="883"/>
      <c r="CS193" s="883" t="str">
        <f>IFERROR(__xludf.DUMMYFUNCTION("""COMPUTED_VALUE"""),"Albendazole appears to be a safe and effective broad-spectrum anthelminitc.")</f>
        <v>Albendazole appears to be a safe and effective broad-spectrum anthelminitc.</v>
      </c>
      <c r="CT193" s="883" t="str">
        <f>IFERROR(__xludf.DUMMYFUNCTION("""COMPUTED_VALUE"""),"Kato-Katz Method")</f>
        <v>Kato-Katz Method</v>
      </c>
      <c r="CU193" s="883"/>
      <c r="CV193" s="863"/>
      <c r="CW193" s="863"/>
      <c r="CX193" s="863"/>
      <c r="CY193" s="863"/>
      <c r="CZ193" s="863"/>
      <c r="DA193" s="863"/>
      <c r="DB193" s="863"/>
      <c r="DC193" s="863"/>
      <c r="DD193" s="863"/>
      <c r="DE193" s="863"/>
    </row>
    <row r="194">
      <c r="A194" s="876"/>
      <c r="B194" s="876"/>
      <c r="C194" s="876"/>
      <c r="D194" s="876"/>
      <c r="E194" s="876"/>
      <c r="F194" s="876"/>
      <c r="G194" s="876"/>
      <c r="H194" s="876"/>
      <c r="I194" s="876"/>
      <c r="J194" s="876"/>
      <c r="K194" s="876"/>
      <c r="L194" s="876"/>
      <c r="M194" s="876"/>
      <c r="N194" s="877"/>
      <c r="O194" s="876"/>
      <c r="P194" s="876"/>
      <c r="Q194" s="876"/>
      <c r="R194" s="876"/>
      <c r="S194" s="876"/>
      <c r="T194" s="876"/>
      <c r="U194" s="876"/>
      <c r="V194" s="876"/>
      <c r="W194" s="876"/>
      <c r="X194" s="876"/>
      <c r="Y194" s="876"/>
      <c r="Z194" s="876"/>
      <c r="AA194" s="876"/>
      <c r="AB194" s="876"/>
      <c r="AC194" s="876"/>
      <c r="AD194" s="876"/>
      <c r="AE194" s="876"/>
      <c r="AF194" s="876"/>
      <c r="AG194" s="876"/>
      <c r="AH194" s="876"/>
      <c r="AI194" s="878"/>
      <c r="AJ194" s="888" t="str">
        <f>IFERROR(__xludf.DUMMYFUNCTION("""COMPUTED_VALUE"""),"A comparative trial of a single-dose ivermectin versus three days of albendazole for treatment of Strongyloides stercoralis and other soil-transmitted helminth infections in children.")</f>
        <v>A comparative trial of a single-dose ivermectin versus three days of albendazole for treatment of Strongyloides stercoralis and other soil-transmitted helminth infections in children.</v>
      </c>
      <c r="AK194" s="880" t="str">
        <f>IFERROR(__xludf.DUMMYFUNCTION("""COMPUTED_VALUE"""),"Marti H, Haji HJ, Savioli L, Chwaya HM, Mgeni AF, Ameir JS, Hatz C. A comparative trial of a single-dose ivermectin versus three days of albendazole for treatment of Strongyloides stercoralis and other soil-transmitted helminth infections in children. Am "&amp;"J Trop Med Hyg. 1996 Nov;55(5):477-81. doi: 10.4269/ajtmh.1996.55.477. PMID: 8940976.")</f>
        <v>Marti H, Haji HJ, Savioli L, Chwaya HM, Mgeni AF, Ameir JS, Hatz C. A comparative trial of a single-dose ivermectin versus three days of albendazole for treatment of Strongyloides stercoralis and other soil-transmitted helminth infections in children. Am J Trop Med Hyg. 1996 Nov;55(5):477-81. doi: 10.4269/ajtmh.1996.55.477. PMID: 8940976.</v>
      </c>
      <c r="AL194" s="880" t="str">
        <f>IFERROR(__xludf.DUMMYFUNCTION("""COMPUTED_VALUE"""),"Tanzania")</f>
        <v>Tanzania</v>
      </c>
      <c r="AM194" s="880" t="str">
        <f>IFERROR(__xludf.DUMMYFUNCTION("""COMPUTED_VALUE"""),"Ivermectin ")</f>
        <v>Ivermectin </v>
      </c>
      <c r="AN194" s="880" t="str">
        <f>IFERROR(__xludf.DUMMYFUNCTION("""COMPUTED_VALUE"""),"Single")</f>
        <v>Single</v>
      </c>
      <c r="AO194" s="880" t="str">
        <f>IFERROR(__xludf.DUMMYFUNCTION("""COMPUTED_VALUE"""),"200 µg/kg")</f>
        <v>200 µg/kg</v>
      </c>
      <c r="AP194" s="880">
        <f>IFERROR(__xludf.DUMMYFUNCTION("""COMPUTED_VALUE"""),208.0)</f>
        <v>208</v>
      </c>
      <c r="AQ194" s="880"/>
      <c r="AR194" s="880" t="str">
        <f>IFERROR(__xludf.DUMMYFUNCTION("""COMPUTED_VALUE"""),"59M:94F")</f>
        <v>59M:94F</v>
      </c>
      <c r="AS194" s="880">
        <f>IFERROR(__xludf.DUMMYFUNCTION("""COMPUTED_VALUE"""),1994.0)</f>
        <v>1994</v>
      </c>
      <c r="AT194" s="880" t="str">
        <f>IFERROR(__xludf.DUMMYFUNCTION("""COMPUTED_VALUE"""),"The following day each child was physically examined by the MA for exclusion criteria, which were 1) consent not given; 2) fever or other signs of acute illness; 3) severe neurological disorders; 4) severe liver disorders; and 5) pregnancy. ")</f>
        <v>The following day each child was physically examined by the MA for exclusion criteria, which were 1) consent not given; 2) fever or other signs of acute illness; 3) severe neurological disorders; 4) severe liver disorders; and 5) pregnancy. </v>
      </c>
      <c r="AU194" s="880" t="str">
        <f>IFERROR(__xludf.DUMMYFUNCTION("""COMPUTED_VALUE"""),"Yes")</f>
        <v>Yes</v>
      </c>
      <c r="AV194" s="880" t="str">
        <f>IFERROR(__xludf.DUMMYFUNCTION("""COMPUTED_VALUE"""),"No")</f>
        <v>No</v>
      </c>
      <c r="AW194" s="881" t="str">
        <f>IFERROR(__xludf.DUMMYFUNCTION("""COMPUTED_VALUE"""),"No")</f>
        <v>No</v>
      </c>
      <c r="AX194" s="863">
        <f>IFERROR(__xludf.DUMMYFUNCTION("""COMPUTED_VALUE"""),0.113)</f>
        <v>0.113</v>
      </c>
      <c r="AY194" s="863"/>
      <c r="AZ194" s="863"/>
      <c r="BA194" s="863"/>
      <c r="BB194" s="863"/>
      <c r="BC194" s="863"/>
      <c r="BD194" s="863"/>
      <c r="BE194" s="863"/>
      <c r="BF194" s="863"/>
      <c r="BG194" s="863"/>
      <c r="BH194" s="863">
        <f>IFERROR(__xludf.DUMMYFUNCTION("""COMPUTED_VALUE"""),0.922)</f>
        <v>0.922</v>
      </c>
      <c r="BI194" s="863"/>
      <c r="BJ194" s="863"/>
      <c r="BK194" s="863"/>
      <c r="BL194" s="863"/>
      <c r="BM194" s="863"/>
      <c r="BN194" s="863" t="str">
        <f>IFERROR(__xludf.DUMMYFUNCTION("""COMPUTED_VALUE"""),"The efficacy and the advantage of a single dose treatment favors ivermectin as treatment of choice for uncomplicatecd strongyloidiasis, especially given the low frequency of mild side effects observed. Our results open the opportunity to evaluate the impa"&amp;"ct of invermectin treatment on infection and morbidity in S/ stercoralis-infected populations, which will contribute to a better understanding of this neglected disease. ")</f>
        <v>The efficacy and the advantage of a single dose treatment favors ivermectin as treatment of choice for uncomplicatecd strongyloidiasis, especially given the low frequency of mild side effects observed. Our results open the opportunity to evaluate the impact of invermectin treatment on infection and morbidity in S/ stercoralis-infected populations, which will contribute to a better understanding of this neglected disease. </v>
      </c>
      <c r="BO194" s="863" t="str">
        <f>IFERROR(__xludf.DUMMYFUNCTION("""COMPUTED_VALUE"""),"Kato-Katz technique")</f>
        <v>Kato-Katz technique</v>
      </c>
      <c r="BP194" s="880"/>
      <c r="BQ194" s="863"/>
      <c r="BR194" s="889" t="str">
        <f>IFERROR(__xludf.DUMMYFUNCTION("""COMPUTED_VALUE"""),"Oyediran &amp; Oyejide")</f>
        <v>Oyediran &amp; Oyejide</v>
      </c>
      <c r="BS194" s="883" t="str">
        <f>IFERROR(__xludf.DUMMYFUNCTION("""COMPUTED_VALUE"""),"Nigeria ")</f>
        <v>Nigeria </v>
      </c>
      <c r="BT194" s="883" t="str">
        <f>IFERROR(__xludf.DUMMYFUNCTION("""COMPUTED_VALUE"""),"Albendazole")</f>
        <v>Albendazole</v>
      </c>
      <c r="BU194" s="883"/>
      <c r="BV194" s="883" t="str">
        <f>IFERROR(__xludf.DUMMYFUNCTION("""COMPUTED_VALUE"""),"Single")</f>
        <v>Single</v>
      </c>
      <c r="BW194" s="883" t="str">
        <f>IFERROR(__xludf.DUMMYFUNCTION("""COMPUTED_VALUE"""),"200 mg")</f>
        <v>200 mg</v>
      </c>
      <c r="BX194" s="883">
        <f>IFERROR(__xludf.DUMMYFUNCTION("""COMPUTED_VALUE"""),27.0)</f>
        <v>27</v>
      </c>
      <c r="BY194" s="890">
        <f>IFERROR(__xludf.DUMMYFUNCTION("""COMPUTED_VALUE"""),42660.0)</f>
        <v>42660</v>
      </c>
      <c r="BZ194" s="883"/>
      <c r="CA194" s="883" t="str">
        <f>IFERROR(__xludf.DUMMYFUNCTION("""COMPUTED_VALUE"""),"17 M; 13 F")</f>
        <v>17 M; 13 F</v>
      </c>
      <c r="CB194" s="883" t="str">
        <f>IFERROR(__xludf.DUMMYFUNCTION("""COMPUTED_VALUE"""),"The children recruited into this study were those who had not had anthelmintic treatment in the 2 weeks preceding the trial, those who were not on any regular medication, who were clinically well and who had no history of epilepsy and fainting.")</f>
        <v>The children recruited into this study were those who had not had anthelmintic treatment in the 2 weeks preceding the trial, those who were not on any regular medication, who were clinically well and who had no history of epilepsy and fainting.</v>
      </c>
      <c r="CC194" s="883" t="str">
        <f>IFERROR(__xludf.DUMMYFUNCTION("""COMPUTED_VALUE"""),"Yes")</f>
        <v>Yes</v>
      </c>
      <c r="CD194" s="884">
        <f>IFERROR(__xludf.DUMMYFUNCTION("""COMPUTED_VALUE"""),0.815)</f>
        <v>0.815</v>
      </c>
      <c r="CE194" s="883" t="str">
        <f>IFERROR(__xludf.DUMMYFUNCTION("""COMPUTED_VALUE"""),"Yes")</f>
        <v>Yes</v>
      </c>
      <c r="CF194" s="883"/>
      <c r="CG194" s="883"/>
      <c r="CH194" s="883"/>
      <c r="CI194" s="883"/>
      <c r="CJ194" s="883"/>
      <c r="CK194" s="883"/>
      <c r="CL194" s="883"/>
      <c r="CM194" s="891">
        <f>IFERROR(__xludf.DUMMYFUNCTION("""COMPUTED_VALUE"""),0.99)</f>
        <v>0.99</v>
      </c>
      <c r="CN194" s="883"/>
      <c r="CO194" s="883"/>
      <c r="CP194" s="883"/>
      <c r="CQ194" s="883"/>
      <c r="CR194" s="883"/>
      <c r="CS194" s="883"/>
      <c r="CT194" s="883" t="str">
        <f>IFERROR(__xludf.DUMMYFUNCTION("""COMPUTED_VALUE"""),"direct fecal examination; examination after stool concentration; Kato-Katz method")</f>
        <v>direct fecal examination; examination after stool concentration; Kato-Katz method</v>
      </c>
      <c r="CU194" s="883"/>
      <c r="CV194" s="863"/>
      <c r="CW194" s="863"/>
      <c r="CX194" s="863"/>
      <c r="CY194" s="863"/>
      <c r="CZ194" s="863"/>
      <c r="DA194" s="863"/>
      <c r="DB194" s="863"/>
      <c r="DC194" s="863"/>
      <c r="DD194" s="863"/>
      <c r="DE194" s="863"/>
    </row>
    <row r="195">
      <c r="A195" s="876"/>
      <c r="B195" s="876"/>
      <c r="C195" s="876"/>
      <c r="D195" s="876"/>
      <c r="E195" s="876"/>
      <c r="F195" s="876"/>
      <c r="G195" s="876"/>
      <c r="H195" s="876"/>
      <c r="I195" s="876"/>
      <c r="J195" s="876"/>
      <c r="K195" s="876"/>
      <c r="L195" s="876"/>
      <c r="M195" s="876"/>
      <c r="N195" s="877"/>
      <c r="O195" s="876"/>
      <c r="P195" s="876"/>
      <c r="Q195" s="876"/>
      <c r="R195" s="876"/>
      <c r="S195" s="876"/>
      <c r="T195" s="876"/>
      <c r="U195" s="876"/>
      <c r="V195" s="876"/>
      <c r="W195" s="876"/>
      <c r="X195" s="876"/>
      <c r="Y195" s="876"/>
      <c r="Z195" s="876"/>
      <c r="AA195" s="876"/>
      <c r="AB195" s="876"/>
      <c r="AC195" s="876"/>
      <c r="AD195" s="876"/>
      <c r="AE195" s="876"/>
      <c r="AF195" s="876"/>
      <c r="AG195" s="876"/>
      <c r="AH195" s="876"/>
      <c r="AI195" s="878"/>
      <c r="AJ195" s="888" t="str">
        <f>IFERROR(__xludf.DUMMYFUNCTION("""COMPUTED_VALUE"""),"A comparative trial of a single-dose ivermectin versus three days of albendazole for treatment of Strongyloides stercoralis and other soil-transmitted helminth infections in children.")</f>
        <v>A comparative trial of a single-dose ivermectin versus three days of albendazole for treatment of Strongyloides stercoralis and other soil-transmitted helminth infections in children.</v>
      </c>
      <c r="AK195" s="880" t="str">
        <f>IFERROR(__xludf.DUMMYFUNCTION("""COMPUTED_VALUE"""),"Marti H, Haji HJ, Savioli L, Chwaya HM, Mgeni AF, Ameir JS, Hatz C. A comparative trial of a single-dose ivermectin versus three days of albendazole for treatment of Strongyloides stercoralis and other soil-transmitted helminth infections in children. Am "&amp;"J Trop Med Hyg. 1996 Nov;55(5):477-81. doi: 10.4269/ajtmh.1996.55.477. PMID: 8940976.")</f>
        <v>Marti H, Haji HJ, Savioli L, Chwaya HM, Mgeni AF, Ameir JS, Hatz C. A comparative trial of a single-dose ivermectin versus three days of albendazole for treatment of Strongyloides stercoralis and other soil-transmitted helminth infections in children. Am J Trop Med Hyg. 1996 Nov;55(5):477-81. doi: 10.4269/ajtmh.1996.55.477. PMID: 8940976.</v>
      </c>
      <c r="AL195" s="880" t="str">
        <f>IFERROR(__xludf.DUMMYFUNCTION("""COMPUTED_VALUE"""),"Tanzania")</f>
        <v>Tanzania</v>
      </c>
      <c r="AM195" s="880" t="str">
        <f>IFERROR(__xludf.DUMMYFUNCTION("""COMPUTED_VALUE"""),"Albendazole")</f>
        <v>Albendazole</v>
      </c>
      <c r="AN195" s="880" t="str">
        <f>IFERROR(__xludf.DUMMYFUNCTION("""COMPUTED_VALUE"""),"Multiple Dose: 3")</f>
        <v>Multiple Dose: 3</v>
      </c>
      <c r="AO195" s="880" t="str">
        <f>IFERROR(__xludf.DUMMYFUNCTION("""COMPUTED_VALUE"""),"400 mg ")</f>
        <v>400 mg </v>
      </c>
      <c r="AP195" s="880" t="str">
        <f>IFERROR(__xludf.DUMMYFUNCTION("""COMPUTED_VALUE"""),"209")</f>
        <v>209</v>
      </c>
      <c r="AQ195" s="880"/>
      <c r="AR195" s="880" t="str">
        <f>IFERROR(__xludf.DUMMYFUNCTION("""COMPUTED_VALUE"""),"67M:82F")</f>
        <v>67M:82F</v>
      </c>
      <c r="AS195" s="880">
        <f>IFERROR(__xludf.DUMMYFUNCTION("""COMPUTED_VALUE"""),1994.0)</f>
        <v>1994</v>
      </c>
      <c r="AT195" s="880" t="str">
        <f>IFERROR(__xludf.DUMMYFUNCTION("""COMPUTED_VALUE"""),"The following day each child was physically examined by the MA for exclusion criteria, which were 1) consent not given; 2) fever or other signs of acute illness; 3) severe neurological disorders; 4) severe liver disorders; and 5) pregnancy. ")</f>
        <v>The following day each child was physically examined by the MA for exclusion criteria, which were 1) consent not given; 2) fever or other signs of acute illness; 3) severe neurological disorders; 4) severe liver disorders; and 5) pregnancy. </v>
      </c>
      <c r="AU195" s="880" t="str">
        <f>IFERROR(__xludf.DUMMYFUNCTION("""COMPUTED_VALUE"""),"Yes")</f>
        <v>Yes</v>
      </c>
      <c r="AV195" s="880" t="str">
        <f>IFERROR(__xludf.DUMMYFUNCTION("""COMPUTED_VALUE"""),"No")</f>
        <v>No</v>
      </c>
      <c r="AW195" s="881" t="str">
        <f>IFERROR(__xludf.DUMMYFUNCTION("""COMPUTED_VALUE"""),"No")</f>
        <v>No</v>
      </c>
      <c r="AX195" s="863">
        <f>IFERROR(__xludf.DUMMYFUNCTION("""COMPUTED_VALUE"""),0.426)</f>
        <v>0.426</v>
      </c>
      <c r="AY195" s="863"/>
      <c r="AZ195" s="863"/>
      <c r="BA195" s="863"/>
      <c r="BB195" s="863"/>
      <c r="BC195" s="863"/>
      <c r="BD195" s="863"/>
      <c r="BE195" s="863"/>
      <c r="BF195" s="863"/>
      <c r="BG195" s="863"/>
      <c r="BH195" s="863">
        <f>IFERROR(__xludf.DUMMYFUNCTION("""COMPUTED_VALUE"""),0.698)</f>
        <v>0.698</v>
      </c>
      <c r="BI195" s="863"/>
      <c r="BJ195" s="863"/>
      <c r="BK195" s="863"/>
      <c r="BL195" s="863"/>
      <c r="BM195" s="863"/>
      <c r="BN195" s="863" t="str">
        <f>IFERROR(__xludf.DUMMYFUNCTION("""COMPUTED_VALUE"""),"The efficacy and the advantage of a single dose treatment favors ivermectin as treatment of choice for uncomplicatecd strongyloidiasis, especially given the low frequency of mild side effects observed. Our results open the opportunity to evaluate the impa"&amp;"ct of invermectin treatment on infection and morbidity in S/ stercoralis-infected populations, which will contribute to a better understanding of this neglected disease. ")</f>
        <v>The efficacy and the advantage of a single dose treatment favors ivermectin as treatment of choice for uncomplicatecd strongyloidiasis, especially given the low frequency of mild side effects observed. Our results open the opportunity to evaluate the impact of invermectin treatment on infection and morbidity in S/ stercoralis-infected populations, which will contribute to a better understanding of this neglected disease. </v>
      </c>
      <c r="BO195" s="863" t="str">
        <f>IFERROR(__xludf.DUMMYFUNCTION("""COMPUTED_VALUE"""),"Kato-Katz technique")</f>
        <v>Kato-Katz technique</v>
      </c>
      <c r="BP195" s="880"/>
      <c r="BQ195" s="863"/>
      <c r="BR195" s="889" t="str">
        <f>IFERROR(__xludf.DUMMYFUNCTION("""COMPUTED_VALUE"""),"Oyediran &amp; Oyejide")</f>
        <v>Oyediran &amp; Oyejide</v>
      </c>
      <c r="BS195" s="883" t="str">
        <f>IFERROR(__xludf.DUMMYFUNCTION("""COMPUTED_VALUE"""),"Nigeria ")</f>
        <v>Nigeria </v>
      </c>
      <c r="BT195" s="883" t="str">
        <f>IFERROR(__xludf.DUMMYFUNCTION("""COMPUTED_VALUE"""),"Albendazole")</f>
        <v>Albendazole</v>
      </c>
      <c r="BU195" s="883"/>
      <c r="BV195" s="883" t="str">
        <f>IFERROR(__xludf.DUMMYFUNCTION("""COMPUTED_VALUE"""),"Single")</f>
        <v>Single</v>
      </c>
      <c r="BW195" s="883" t="str">
        <f>IFERROR(__xludf.DUMMYFUNCTION("""COMPUTED_VALUE"""),"400 mg")</f>
        <v>400 mg</v>
      </c>
      <c r="BX195" s="883">
        <f>IFERROR(__xludf.DUMMYFUNCTION("""COMPUTED_VALUE"""),30.0)</f>
        <v>30</v>
      </c>
      <c r="BY195" s="890">
        <f>IFERROR(__xludf.DUMMYFUNCTION("""COMPUTED_VALUE"""),42630.0)</f>
        <v>42630</v>
      </c>
      <c r="BZ195" s="883"/>
      <c r="CA195" s="883" t="str">
        <f>IFERROR(__xludf.DUMMYFUNCTION("""COMPUTED_VALUE"""),"20 M; 10 F")</f>
        <v>20 M; 10 F</v>
      </c>
      <c r="CB195" s="883" t="str">
        <f>IFERROR(__xludf.DUMMYFUNCTION("""COMPUTED_VALUE"""),"The children recruited into this study were those who had not had anthelmintic treatment in the 2 weeks preceding the trial, those who were not on any regular medication, who were clinically well and who had no history of epilepsy and fainting.")</f>
        <v>The children recruited into this study were those who had not had anthelmintic treatment in the 2 weeks preceding the trial, those who were not on any regular medication, who were clinically well and who had no history of epilepsy and fainting.</v>
      </c>
      <c r="CC195" s="883" t="str">
        <f>IFERROR(__xludf.DUMMYFUNCTION("""COMPUTED_VALUE"""),"Yes")</f>
        <v>Yes</v>
      </c>
      <c r="CD195" s="884">
        <f>IFERROR(__xludf.DUMMYFUNCTION("""COMPUTED_VALUE"""),0.852)</f>
        <v>0.852</v>
      </c>
      <c r="CE195" s="883" t="str">
        <f>IFERROR(__xludf.DUMMYFUNCTION("""COMPUTED_VALUE"""),"Yes")</f>
        <v>Yes</v>
      </c>
      <c r="CF195" s="883"/>
      <c r="CG195" s="883"/>
      <c r="CH195" s="883"/>
      <c r="CI195" s="883"/>
      <c r="CJ195" s="883"/>
      <c r="CK195" s="883"/>
      <c r="CL195" s="883"/>
      <c r="CM195" s="884">
        <f>IFERROR(__xludf.DUMMYFUNCTION("""COMPUTED_VALUE"""),0.996)</f>
        <v>0.996</v>
      </c>
      <c r="CN195" s="883"/>
      <c r="CO195" s="883"/>
      <c r="CP195" s="883"/>
      <c r="CQ195" s="883"/>
      <c r="CR195" s="883"/>
      <c r="CS195" s="883"/>
      <c r="CT195" s="883" t="str">
        <f>IFERROR(__xludf.DUMMYFUNCTION("""COMPUTED_VALUE"""),"direct fecal examination; examination after stool concentration; Kato-Katz method")</f>
        <v>direct fecal examination; examination after stool concentration; Kato-Katz method</v>
      </c>
      <c r="CU195" s="883"/>
      <c r="CV195" s="863"/>
      <c r="CW195" s="863"/>
      <c r="CX195" s="863"/>
      <c r="CY195" s="863"/>
      <c r="CZ195" s="863"/>
      <c r="DA195" s="863"/>
      <c r="DB195" s="863"/>
      <c r="DC195" s="863"/>
      <c r="DD195" s="863"/>
      <c r="DE195" s="863"/>
    </row>
    <row r="196">
      <c r="A196" s="876"/>
      <c r="B196" s="876"/>
      <c r="C196" s="876"/>
      <c r="D196" s="876"/>
      <c r="E196" s="876"/>
      <c r="F196" s="876"/>
      <c r="G196" s="876"/>
      <c r="H196" s="876"/>
      <c r="I196" s="876"/>
      <c r="J196" s="876"/>
      <c r="K196" s="876"/>
      <c r="L196" s="876"/>
      <c r="M196" s="876"/>
      <c r="N196" s="877"/>
      <c r="O196" s="876"/>
      <c r="P196" s="876"/>
      <c r="Q196" s="876"/>
      <c r="R196" s="876"/>
      <c r="S196" s="876"/>
      <c r="T196" s="876"/>
      <c r="U196" s="876"/>
      <c r="V196" s="876"/>
      <c r="W196" s="876"/>
      <c r="X196" s="876"/>
      <c r="Y196" s="876"/>
      <c r="Z196" s="876"/>
      <c r="AA196" s="876"/>
      <c r="AB196" s="876"/>
      <c r="AC196" s="876"/>
      <c r="AD196" s="876"/>
      <c r="AE196" s="876"/>
      <c r="AF196" s="876"/>
      <c r="AG196" s="876"/>
      <c r="AH196" s="876"/>
      <c r="AI196" s="878"/>
      <c r="AJ196" s="888" t="str">
        <f>IFERROR(__xludf.DUMMYFUNCTION("""COMPUTED_VALUE"""),"COMPARATIVE EFFICACY OF ALBENDAZOLE AND THREE BRANDS OF MEBENDAZOLE")</f>
        <v>COMPARATIVE EFFICACY OF ALBENDAZOLE AND THREE BRANDS OF MEBENDAZOLE</v>
      </c>
      <c r="AK196" s="880" t="str">
        <f>IFERROR(__xludf.DUMMYFUNCTION("""COMPUTED_VALUE"""),"Legesse M, Erko B, Medhin G. Comparative efficacy of albendazole and three brands of mebendazole in the treatment of ascariasis and trichuriasis. East Afr Med J. 2004 Mar;81(3):134-8. doi: 10.4314/eamj.v81i3.9142. PMID: 15293971.")</f>
        <v>Legesse M, Erko B, Medhin G. Comparative efficacy of albendazole and three brands of mebendazole in the treatment of ascariasis and trichuriasis. East Afr Med J. 2004 Mar;81(3):134-8. doi: 10.4314/eamj.v81i3.9142. PMID: 15293971.</v>
      </c>
      <c r="AL196" s="880" t="str">
        <f>IFERROR(__xludf.DUMMYFUNCTION("""COMPUTED_VALUE"""),"Ethiopia ")</f>
        <v>Ethiopia </v>
      </c>
      <c r="AM196" s="880" t="str">
        <f>IFERROR(__xludf.DUMMYFUNCTION("""COMPUTED_VALUE"""),"Albendazole")</f>
        <v>Albendazole</v>
      </c>
      <c r="AN196" s="880" t="str">
        <f>IFERROR(__xludf.DUMMYFUNCTION("""COMPUTED_VALUE"""),"Single")</f>
        <v>Single</v>
      </c>
      <c r="AO196" s="880" t="str">
        <f>IFERROR(__xludf.DUMMYFUNCTION("""COMPUTED_VALUE"""),"400 mg")</f>
        <v>400 mg</v>
      </c>
      <c r="AP196" s="880">
        <f>IFERROR(__xludf.DUMMYFUNCTION("""COMPUTED_VALUE"""),130.0)</f>
        <v>130</v>
      </c>
      <c r="AQ196" s="880">
        <f>IFERROR(__xludf.DUMMYFUNCTION("""COMPUTED_VALUE"""),10.5)</f>
        <v>10.5</v>
      </c>
      <c r="AR196" s="880" t="str">
        <f>IFERROR(__xludf.DUMMYFUNCTION("""COMPUTED_VALUE"""),"55M:75F")</f>
        <v>55M:75F</v>
      </c>
      <c r="AS196" s="880">
        <f>IFERROR(__xludf.DUMMYFUNCTION("""COMPUTED_VALUE"""),2003.0)</f>
        <v>2003</v>
      </c>
      <c r="AT196" s="880" t="str">
        <f>IFERROR(__xludf.DUMMYFUNCTION("""COMPUTED_VALUE"""),"A cross-sectional parasitological survey was conducted in two schools (Shesha Kekel and Wondo Wosha) to identify positive subjects to be randomised into four treatment arms. In the survey, stool specimens were collected from 730 children (387 males and 34"&amp;"3 females) age ranged from six to nineteen years. After examining the stool specimens all subjects positive for Ascaris lumbricoides and/ or Trichuris trichiura infections were randomised into four groups")</f>
        <v>A cross-sectional parasitological survey was conducted in two schools (Shesha Kekel and Wondo Wosha) to identify positive subjects to be randomised into four treatment arms. In the survey, stool specimens were collected from 730 children (387 males and 343 females) age ranged from six to nineteen years. After examining the stool specimens all subjects positive for Ascaris lumbricoides and/ or Trichuris trichiura infections were randomised into four groups</v>
      </c>
      <c r="AU196" s="880" t="str">
        <f>IFERROR(__xludf.DUMMYFUNCTION("""COMPUTED_VALUE"""),"Yes")</f>
        <v>Yes</v>
      </c>
      <c r="AV196" s="880" t="str">
        <f>IFERROR(__xludf.DUMMYFUNCTION("""COMPUTED_VALUE"""),"No")</f>
        <v>No</v>
      </c>
      <c r="AW196" s="881" t="str">
        <f>IFERROR(__xludf.DUMMYFUNCTION("""COMPUTED_VALUE"""),"No")</f>
        <v>No</v>
      </c>
      <c r="AX196" s="863">
        <f>IFERROR(__xludf.DUMMYFUNCTION("""COMPUTED_VALUE"""),0.171)</f>
        <v>0.171</v>
      </c>
      <c r="AY196" s="863"/>
      <c r="AZ196" s="863">
        <f>IFERROR(__xludf.DUMMYFUNCTION("""COMPUTED_VALUE"""),0.171)</f>
        <v>0.171</v>
      </c>
      <c r="BA196" s="863"/>
      <c r="BB196" s="863"/>
      <c r="BC196" s="863"/>
      <c r="BD196" s="863"/>
      <c r="BE196" s="863"/>
      <c r="BF196" s="863"/>
      <c r="BG196" s="863"/>
      <c r="BH196" s="863">
        <f>IFERROR(__xludf.DUMMYFUNCTION("""COMPUTED_VALUE"""),0.885)</f>
        <v>0.885</v>
      </c>
      <c r="BI196" s="863"/>
      <c r="BJ196" s="863"/>
      <c r="BK196" s="863"/>
      <c r="BL196" s="863"/>
      <c r="BM196" s="863"/>
      <c r="BN196" s="863" t="str">
        <f>IFERROR(__xludf.DUMMYFUNCTION("""COMPUTED_VALUE"""),"In conclusion, the present study provides useful information on the comparative efficacy of albendazole and mebendazole from three brands in the treatment of ascariasis and trichuriasis. Nevertheless, the comparative efficacy of these drugs was not assess"&amp;"ed against hookworm infection. In areas of single or mixed infections with Trichuris trichiura and Ascaris lumbricoides are common public health problems and where laboratory facilities are not available to make parasite identification, mebendazole (parti"&amp;"cularly, vermox a product of Janssen laboratory) would be the drug of choice to treat trichuriasis and ascariasis. In areas where")</f>
        <v>In conclusion, the present study provides useful information on the comparative efficacy of albendazole and mebendazole from three brands in the treatment of ascariasis and trichuriasis. Nevertheless, the comparative efficacy of these drugs was not assessed against hookworm infection. In areas of single or mixed infections with Trichuris trichiura and Ascaris lumbricoides are common public health problems and where laboratory facilities are not available to make parasite identification, mebendazole (particularly, vermox a product of Janssen laboratory) would be the drug of choice to treat trichuriasis and ascariasis. In areas where</v>
      </c>
      <c r="BO196" s="863" t="str">
        <f>IFERROR(__xludf.DUMMYFUNCTION("""COMPUTED_VALUE"""),"Kato-Katz technique")</f>
        <v>Kato-Katz technique</v>
      </c>
      <c r="BP196" s="880"/>
      <c r="BQ196" s="863"/>
      <c r="BR196" s="889" t="str">
        <f>IFERROR(__xludf.DUMMYFUNCTION("""COMPUTED_VALUE"""),"Oyediran &amp; Oyejide")</f>
        <v>Oyediran &amp; Oyejide</v>
      </c>
      <c r="BS196" s="883" t="str">
        <f>IFERROR(__xludf.DUMMYFUNCTION("""COMPUTED_VALUE"""),"Nigeria ")</f>
        <v>Nigeria </v>
      </c>
      <c r="BT196" s="883" t="str">
        <f>IFERROR(__xludf.DUMMYFUNCTION("""COMPUTED_VALUE"""),"Placebo")</f>
        <v>Placebo</v>
      </c>
      <c r="BU196" s="883"/>
      <c r="BV196" s="883"/>
      <c r="BW196" s="883"/>
      <c r="BX196" s="883">
        <f>IFERROR(__xludf.DUMMYFUNCTION("""COMPUTED_VALUE"""),24.0)</f>
        <v>24</v>
      </c>
      <c r="BY196" s="890">
        <f>IFERROR(__xludf.DUMMYFUNCTION("""COMPUTED_VALUE"""),42598.0)</f>
        <v>42598</v>
      </c>
      <c r="BZ196" s="883"/>
      <c r="CA196" s="883" t="str">
        <f>IFERROR(__xludf.DUMMYFUNCTION("""COMPUTED_VALUE"""),"21 M; 9 F")</f>
        <v>21 M; 9 F</v>
      </c>
      <c r="CB196" s="883" t="str">
        <f>IFERROR(__xludf.DUMMYFUNCTION("""COMPUTED_VALUE"""),"The children recruited into this study were those who had not had anthelmintic treatment in the 2 weeks preceding the trial, those who were not on any regular medication, who were clinically well and who had no history of epilepsy and fainting.")</f>
        <v>The children recruited into this study were those who had not had anthelmintic treatment in the 2 weeks preceding the trial, those who were not on any regular medication, who were clinically well and who had no history of epilepsy and fainting.</v>
      </c>
      <c r="CC196" s="883" t="str">
        <f>IFERROR(__xludf.DUMMYFUNCTION("""COMPUTED_VALUE"""),"Yes")</f>
        <v>Yes</v>
      </c>
      <c r="CD196" s="884">
        <f>IFERROR(__xludf.DUMMYFUNCTION("""COMPUTED_VALUE"""),0.083)</f>
        <v>0.083</v>
      </c>
      <c r="CE196" s="883" t="str">
        <f>IFERROR(__xludf.DUMMYFUNCTION("""COMPUTED_VALUE"""),"Yes")</f>
        <v>Yes</v>
      </c>
      <c r="CF196" s="883"/>
      <c r="CG196" s="883"/>
      <c r="CH196" s="883"/>
      <c r="CI196" s="883"/>
      <c r="CJ196" s="883"/>
      <c r="CK196" s="883"/>
      <c r="CL196" s="883"/>
      <c r="CM196" s="883"/>
      <c r="CN196" s="883"/>
      <c r="CO196" s="883"/>
      <c r="CP196" s="883"/>
      <c r="CQ196" s="883"/>
      <c r="CR196" s="883"/>
      <c r="CS196" s="883"/>
      <c r="CT196" s="883" t="str">
        <f>IFERROR(__xludf.DUMMYFUNCTION("""COMPUTED_VALUE"""),"direct fecal examination; examination after stool concentration; Kato-Katz method")</f>
        <v>direct fecal examination; examination after stool concentration; Kato-Katz method</v>
      </c>
      <c r="CU196" s="883"/>
      <c r="CV196" s="863"/>
      <c r="CW196" s="863"/>
      <c r="CX196" s="863"/>
      <c r="CY196" s="863"/>
      <c r="CZ196" s="863"/>
      <c r="DA196" s="863"/>
      <c r="DB196" s="863"/>
      <c r="DC196" s="863"/>
      <c r="DD196" s="863"/>
      <c r="DE196" s="863"/>
    </row>
    <row r="197">
      <c r="A197" s="876"/>
      <c r="B197" s="876"/>
      <c r="C197" s="876"/>
      <c r="D197" s="876"/>
      <c r="E197" s="876"/>
      <c r="F197" s="876"/>
      <c r="G197" s="876"/>
      <c r="H197" s="876"/>
      <c r="I197" s="876"/>
      <c r="J197" s="876"/>
      <c r="K197" s="876"/>
      <c r="L197" s="876"/>
      <c r="M197" s="876"/>
      <c r="N197" s="877"/>
      <c r="O197" s="876"/>
      <c r="P197" s="876"/>
      <c r="Q197" s="876"/>
      <c r="R197" s="876"/>
      <c r="S197" s="876"/>
      <c r="T197" s="876"/>
      <c r="U197" s="876"/>
      <c r="V197" s="876"/>
      <c r="W197" s="876"/>
      <c r="X197" s="876"/>
      <c r="Y197" s="876"/>
      <c r="Z197" s="876"/>
      <c r="AA197" s="876"/>
      <c r="AB197" s="876"/>
      <c r="AC197" s="876"/>
      <c r="AD197" s="876"/>
      <c r="AE197" s="876"/>
      <c r="AF197" s="876"/>
      <c r="AG197" s="876"/>
      <c r="AH197" s="876"/>
      <c r="AI197" s="878"/>
      <c r="AJ197" s="888" t="str">
        <f>IFERROR(__xludf.DUMMYFUNCTION("""COMPUTED_VALUE"""),"COMPARATIVE EFFICACY OF ALBENDAZOLE AND THREE BRANDS OF MEBENDAZOLE")</f>
        <v>COMPARATIVE EFFICACY OF ALBENDAZOLE AND THREE BRANDS OF MEBENDAZOLE</v>
      </c>
      <c r="AK197" s="880" t="str">
        <f>IFERROR(__xludf.DUMMYFUNCTION("""COMPUTED_VALUE"""),"Legesse M, Erko B, Medhin G. Comparative efficacy of albendazole and three brands of mebendazole in the treatment of ascariasis and trichuriasis. East Afr Med J. 2004 Mar;81(3):134-8. doi: 10.4314/eamj.v81i3.9142. PMID: 15293971.")</f>
        <v>Legesse M, Erko B, Medhin G. Comparative efficacy of albendazole and three brands of mebendazole in the treatment of ascariasis and trichuriasis. East Afr Med J. 2004 Mar;81(3):134-8. doi: 10.4314/eamj.v81i3.9142. PMID: 15293971.</v>
      </c>
      <c r="AL197" s="880" t="str">
        <f>IFERROR(__xludf.DUMMYFUNCTION("""COMPUTED_VALUE"""),"Ethiopia ")</f>
        <v>Ethiopia </v>
      </c>
      <c r="AM197" s="880" t="str">
        <f>IFERROR(__xludf.DUMMYFUNCTION("""COMPUTED_VALUE"""),"Mebendazole")</f>
        <v>Mebendazole</v>
      </c>
      <c r="AN197" s="880" t="str">
        <f>IFERROR(__xludf.DUMMYFUNCTION("""COMPUTED_VALUE"""),"Multiple Dose: 6")</f>
        <v>Multiple Dose: 6</v>
      </c>
      <c r="AO197" s="880" t="str">
        <f>IFERROR(__xludf.DUMMYFUNCTION("""COMPUTED_VALUE"""),"100 mg")</f>
        <v>100 mg</v>
      </c>
      <c r="AP197" s="880">
        <f>IFERROR(__xludf.DUMMYFUNCTION("""COMPUTED_VALUE"""),143.0)</f>
        <v>143</v>
      </c>
      <c r="AQ197" s="880">
        <f>IFERROR(__xludf.DUMMYFUNCTION("""COMPUTED_VALUE"""),10.1)</f>
        <v>10.1</v>
      </c>
      <c r="AR197" s="880" t="str">
        <f>IFERROR(__xludf.DUMMYFUNCTION("""COMPUTED_VALUE"""),"53M:90F")</f>
        <v>53M:90F</v>
      </c>
      <c r="AS197" s="880">
        <f>IFERROR(__xludf.DUMMYFUNCTION("""COMPUTED_VALUE"""),2003.0)</f>
        <v>2003</v>
      </c>
      <c r="AT197" s="880" t="str">
        <f>IFERROR(__xludf.DUMMYFUNCTION("""COMPUTED_VALUE"""),"A cross-sectional parasitological survey was conducted in two schools (Shesha Kekel and Wondo Wosha) to identify positive subjects to be randomised into four treatment arms. In the survey, stool specimens were collected from 730 children (387 males and 34"&amp;"3 females) age ranged from six to nineteen years. After examining the stool specimens all subjects positive for Ascaris lumbricoides and/ or Trichuris trichiura infections were randomised into four groups")</f>
        <v>A cross-sectional parasitological survey was conducted in two schools (Shesha Kekel and Wondo Wosha) to identify positive subjects to be randomised into four treatment arms. In the survey, stool specimens were collected from 730 children (387 males and 343 females) age ranged from six to nineteen years. After examining the stool specimens all subjects positive for Ascaris lumbricoides and/ or Trichuris trichiura infections were randomised into four groups</v>
      </c>
      <c r="AU197" s="880" t="str">
        <f>IFERROR(__xludf.DUMMYFUNCTION("""COMPUTED_VALUE"""),"Yes")</f>
        <v>Yes</v>
      </c>
      <c r="AV197" s="880" t="str">
        <f>IFERROR(__xludf.DUMMYFUNCTION("""COMPUTED_VALUE"""),"No")</f>
        <v>No</v>
      </c>
      <c r="AW197" s="881" t="str">
        <f>IFERROR(__xludf.DUMMYFUNCTION("""COMPUTED_VALUE"""),"No")</f>
        <v>No</v>
      </c>
      <c r="AX197" s="863">
        <f>IFERROR(__xludf.DUMMYFUNCTION("""COMPUTED_VALUE"""),0.279)</f>
        <v>0.279</v>
      </c>
      <c r="AY197" s="863"/>
      <c r="AZ197" s="863">
        <f>IFERROR(__xludf.DUMMYFUNCTION("""COMPUTED_VALUE"""),0.279)</f>
        <v>0.279</v>
      </c>
      <c r="BA197" s="863"/>
      <c r="BB197" s="863"/>
      <c r="BC197" s="863"/>
      <c r="BD197" s="863"/>
      <c r="BE197" s="863"/>
      <c r="BF197" s="863"/>
      <c r="BG197" s="863"/>
      <c r="BH197" s="863">
        <f>IFERROR(__xludf.DUMMYFUNCTION("""COMPUTED_VALUE"""),0.965)</f>
        <v>0.965</v>
      </c>
      <c r="BI197" s="863"/>
      <c r="BJ197" s="863"/>
      <c r="BK197" s="863"/>
      <c r="BL197" s="863"/>
      <c r="BM197" s="863"/>
      <c r="BN197" s="863" t="str">
        <f>IFERROR(__xludf.DUMMYFUNCTION("""COMPUTED_VALUE"""),"In conclusion, the present study provides useful information on the comparative efficacy of albendazole and mebendazole from three brands in the treatment of ascariasis and trichuriasis. Nevertheless, the comparative efficacy of these drugs was not assess"&amp;"ed against hookworm infection. In areas of single or mixed infections with Trichuris trichiura and Ascaris lumbricoides are common public health problems and where laboratory facilities are not available to make parasite identification, mebendazole (parti"&amp;"cularly, vermox a product of Janssen laboratory) would be the drug of choice to treat trichuriasis and ascariasis. In areas where")</f>
        <v>In conclusion, the present study provides useful information on the comparative efficacy of albendazole and mebendazole from three brands in the treatment of ascariasis and trichuriasis. Nevertheless, the comparative efficacy of these drugs was not assessed against hookworm infection. In areas of single or mixed infections with Trichuris trichiura and Ascaris lumbricoides are common public health problems and where laboratory facilities are not available to make parasite identification, mebendazole (particularly, vermox a product of Janssen laboratory) would be the drug of choice to treat trichuriasis and ascariasis. In areas where</v>
      </c>
      <c r="BO197" s="863" t="str">
        <f>IFERROR(__xludf.DUMMYFUNCTION("""COMPUTED_VALUE"""),"Kato-Katz technique")</f>
        <v>Kato-Katz technique</v>
      </c>
      <c r="BP197" s="880"/>
      <c r="BQ197" s="863"/>
      <c r="BR197" s="889" t="str">
        <f>IFERROR(__xludf.DUMMYFUNCTION("""COMPUTED_VALUE"""),"Chien et al.")</f>
        <v>Chien et al.</v>
      </c>
      <c r="BS197" s="883"/>
      <c r="BT197" s="883" t="str">
        <f>IFERROR(__xludf.DUMMYFUNCTION("""COMPUTED_VALUE"""),"Albendazole")</f>
        <v>Albendazole</v>
      </c>
      <c r="BU197" s="883"/>
      <c r="BV197" s="883" t="str">
        <f>IFERROR(__xludf.DUMMYFUNCTION("""COMPUTED_VALUE"""),"Single")</f>
        <v>Single</v>
      </c>
      <c r="BW197" s="883" t="str">
        <f>IFERROR(__xludf.DUMMYFUNCTION("""COMPUTED_VALUE"""),"400 mg")</f>
        <v>400 mg</v>
      </c>
      <c r="BX197" s="883">
        <f>IFERROR(__xludf.DUMMYFUNCTION("""COMPUTED_VALUE"""),41.0)</f>
        <v>41</v>
      </c>
      <c r="BY197" s="890">
        <f>IFERROR(__xludf.DUMMYFUNCTION("""COMPUTED_VALUE"""),42591.0)</f>
        <v>42591</v>
      </c>
      <c r="BZ197" s="883"/>
      <c r="CA197" s="883" t="str">
        <f>IFERROR(__xludf.DUMMYFUNCTION("""COMPUTED_VALUE"""),"MF")</f>
        <v>MF</v>
      </c>
      <c r="CB197" s="883"/>
      <c r="CC197" s="883" t="str">
        <f>IFERROR(__xludf.DUMMYFUNCTION("""COMPUTED_VALUE"""),"Yes")</f>
        <v>Yes</v>
      </c>
      <c r="CD197" s="884">
        <f>IFERROR(__xludf.DUMMYFUNCTION("""COMPUTED_VALUE"""),0.902)</f>
        <v>0.902</v>
      </c>
      <c r="CE197" s="883" t="str">
        <f>IFERROR(__xludf.DUMMYFUNCTION("""COMPUTED_VALUE"""),"Yes")</f>
        <v>Yes</v>
      </c>
      <c r="CF197" s="883"/>
      <c r="CG197" s="883"/>
      <c r="CH197" s="883"/>
      <c r="CI197" s="883"/>
      <c r="CJ197" s="883"/>
      <c r="CK197" s="884">
        <f>IFERROR(__xludf.DUMMYFUNCTION("""COMPUTED_VALUE"""),0.902)</f>
        <v>0.902</v>
      </c>
      <c r="CL197" s="883"/>
      <c r="CM197" s="883"/>
      <c r="CN197" s="883"/>
      <c r="CO197" s="884">
        <f>IFERROR(__xludf.DUMMYFUNCTION("""COMPUTED_VALUE"""),0.865)</f>
        <v>0.865</v>
      </c>
      <c r="CP197" s="883"/>
      <c r="CQ197" s="883"/>
      <c r="CR197" s="883"/>
      <c r="CS197" s="883"/>
      <c r="CT197" s="883"/>
      <c r="CU197" s="883"/>
      <c r="CV197" s="863"/>
      <c r="CW197" s="863"/>
      <c r="CX197" s="863"/>
      <c r="CY197" s="863"/>
      <c r="CZ197" s="863"/>
      <c r="DA197" s="863"/>
      <c r="DB197" s="863"/>
      <c r="DC197" s="863"/>
      <c r="DD197" s="863"/>
      <c r="DE197" s="863"/>
    </row>
    <row r="198">
      <c r="A198" s="876"/>
      <c r="B198" s="876"/>
      <c r="C198" s="876"/>
      <c r="D198" s="876"/>
      <c r="E198" s="876"/>
      <c r="F198" s="876"/>
      <c r="G198" s="876"/>
      <c r="H198" s="876"/>
      <c r="I198" s="876"/>
      <c r="J198" s="876"/>
      <c r="K198" s="876"/>
      <c r="L198" s="876"/>
      <c r="M198" s="876"/>
      <c r="N198" s="877"/>
      <c r="O198" s="876"/>
      <c r="P198" s="876"/>
      <c r="Q198" s="876"/>
      <c r="R198" s="876"/>
      <c r="S198" s="876"/>
      <c r="T198" s="876"/>
      <c r="U198" s="876"/>
      <c r="V198" s="876"/>
      <c r="W198" s="876"/>
      <c r="X198" s="876"/>
      <c r="Y198" s="876"/>
      <c r="Z198" s="876"/>
      <c r="AA198" s="876"/>
      <c r="AB198" s="876"/>
      <c r="AC198" s="876"/>
      <c r="AD198" s="876"/>
      <c r="AE198" s="876"/>
      <c r="AF198" s="876"/>
      <c r="AG198" s="876"/>
      <c r="AH198" s="876"/>
      <c r="AI198" s="878"/>
      <c r="AJ198" s="888" t="str">
        <f>IFERROR(__xludf.DUMMYFUNCTION("""COMPUTED_VALUE"""),"COMPARATIVE EFFICACY OF ALBENDAZOLE AND THREE BRANDS OF MEBENDAZOLE")</f>
        <v>COMPARATIVE EFFICACY OF ALBENDAZOLE AND THREE BRANDS OF MEBENDAZOLE</v>
      </c>
      <c r="AK198" s="880" t="str">
        <f>IFERROR(__xludf.DUMMYFUNCTION("""COMPUTED_VALUE"""),"Legesse M, Erko B, Medhin G. Comparative efficacy of albendazole and three brands of mebendazole in the treatment of ascariasis and trichuriasis. East Afr Med J. 2004 Mar;81(3):134-8. doi: 10.4314/eamj.v81i3.9142. PMID: 15293971.")</f>
        <v>Legesse M, Erko B, Medhin G. Comparative efficacy of albendazole and three brands of mebendazole in the treatment of ascariasis and trichuriasis. East Afr Med J. 2004 Mar;81(3):134-8. doi: 10.4314/eamj.v81i3.9142. PMID: 15293971.</v>
      </c>
      <c r="AL198" s="880" t="str">
        <f>IFERROR(__xludf.DUMMYFUNCTION("""COMPUTED_VALUE"""),"Ethiopia ")</f>
        <v>Ethiopia </v>
      </c>
      <c r="AM198" s="880" t="str">
        <f>IFERROR(__xludf.DUMMYFUNCTION("""COMPUTED_VALUE"""),"Mebendazole")</f>
        <v>Mebendazole</v>
      </c>
      <c r="AN198" s="880" t="str">
        <f>IFERROR(__xludf.DUMMYFUNCTION("""COMPUTED_VALUE"""),"Multiple Dose: 6")</f>
        <v>Multiple Dose: 6</v>
      </c>
      <c r="AO198" s="880" t="str">
        <f>IFERROR(__xludf.DUMMYFUNCTION("""COMPUTED_VALUE"""),"100 mg")</f>
        <v>100 mg</v>
      </c>
      <c r="AP198" s="880">
        <f>IFERROR(__xludf.DUMMYFUNCTION("""COMPUTED_VALUE"""),123.0)</f>
        <v>123</v>
      </c>
      <c r="AQ198" s="880">
        <f>IFERROR(__xludf.DUMMYFUNCTION("""COMPUTED_VALUE"""),10.9)</f>
        <v>10.9</v>
      </c>
      <c r="AR198" s="880" t="str">
        <f>IFERROR(__xludf.DUMMYFUNCTION("""COMPUTED_VALUE"""),"47M:76F")</f>
        <v>47M:76F</v>
      </c>
      <c r="AS198" s="880">
        <f>IFERROR(__xludf.DUMMYFUNCTION("""COMPUTED_VALUE"""),2003.0)</f>
        <v>2003</v>
      </c>
      <c r="AT198" s="880" t="str">
        <f>IFERROR(__xludf.DUMMYFUNCTION("""COMPUTED_VALUE"""),"A cross-sectional parasitological survey was conducted in two schools (Shesha Kekel and Wondo Wosha) to identify positive subjects to be randomised into four treatment arms. In the survey, stool specimens were collected from 730 children (387 males and 34"&amp;"3 females) age ranged from six to nineteen years. After examining the stool specimens all subjects positive for Ascaris lumbricoides and/ or Trichuris trichiura infections were randomised into four groups")</f>
        <v>A cross-sectional parasitological survey was conducted in two schools (Shesha Kekel and Wondo Wosha) to identify positive subjects to be randomised into four treatment arms. In the survey, stool specimens were collected from 730 children (387 males and 343 females) age ranged from six to nineteen years. After examining the stool specimens all subjects positive for Ascaris lumbricoides and/ or Trichuris trichiura infections were randomised into four groups</v>
      </c>
      <c r="AU198" s="880" t="str">
        <f>IFERROR(__xludf.DUMMYFUNCTION("""COMPUTED_VALUE"""),"Yes")</f>
        <v>Yes</v>
      </c>
      <c r="AV198" s="880" t="str">
        <f>IFERROR(__xludf.DUMMYFUNCTION("""COMPUTED_VALUE"""),"No")</f>
        <v>No</v>
      </c>
      <c r="AW198" s="881" t="str">
        <f>IFERROR(__xludf.DUMMYFUNCTION("""COMPUTED_VALUE"""),"No")</f>
        <v>No</v>
      </c>
      <c r="AX198" s="863">
        <f>IFERROR(__xludf.DUMMYFUNCTION("""COMPUTED_VALUE"""),0.535)</f>
        <v>0.535</v>
      </c>
      <c r="AY198" s="863"/>
      <c r="AZ198" s="863">
        <f>IFERROR(__xludf.DUMMYFUNCTION("""COMPUTED_VALUE"""),0.535)</f>
        <v>0.535</v>
      </c>
      <c r="BA198" s="863"/>
      <c r="BB198" s="863"/>
      <c r="BC198" s="863"/>
      <c r="BD198" s="863"/>
      <c r="BE198" s="863"/>
      <c r="BF198" s="863"/>
      <c r="BG198" s="863"/>
      <c r="BH198" s="863">
        <f>IFERROR(__xludf.DUMMYFUNCTION("""COMPUTED_VALUE"""),0.991)</f>
        <v>0.991</v>
      </c>
      <c r="BI198" s="863"/>
      <c r="BJ198" s="863"/>
      <c r="BK198" s="863"/>
      <c r="BL198" s="863"/>
      <c r="BM198" s="863"/>
      <c r="BN198" s="863" t="str">
        <f>IFERROR(__xludf.DUMMYFUNCTION("""COMPUTED_VALUE"""),"In conclusion, the present study provides useful information on the comparative efficacy of albendazole and mebendazole from three brands in the treatment of ascariasis and trichuriasis. Nevertheless, the comparative efficacy of these drugs was not assess"&amp;"ed against hookworm infection. In areas of single or mixed infections with Trichuris trichiura and Ascaris lumbricoides are common public health problems and where laboratory facilities are not available to make parasite identification, mebendazole (parti"&amp;"cularly, vermox a product of Janssen laboratory) would be the drug of choice to treat trichuriasis and ascariasis. In areas where")</f>
        <v>In conclusion, the present study provides useful information on the comparative efficacy of albendazole and mebendazole from three brands in the treatment of ascariasis and trichuriasis. Nevertheless, the comparative efficacy of these drugs was not assessed against hookworm infection. In areas of single or mixed infections with Trichuris trichiura and Ascaris lumbricoides are common public health problems and where laboratory facilities are not available to make parasite identification, mebendazole (particularly, vermox a product of Janssen laboratory) would be the drug of choice to treat trichuriasis and ascariasis. In areas where</v>
      </c>
      <c r="BO198" s="863" t="str">
        <f>IFERROR(__xludf.DUMMYFUNCTION("""COMPUTED_VALUE"""),"Kato-Katz technique")</f>
        <v>Kato-Katz technique</v>
      </c>
      <c r="BP198" s="880"/>
      <c r="BQ198" s="863"/>
      <c r="BR198" s="889" t="str">
        <f>IFERROR(__xludf.DUMMYFUNCTION("""COMPUTED_VALUE"""),"Chien et al.")</f>
        <v>Chien et al.</v>
      </c>
      <c r="BS198" s="883"/>
      <c r="BT198" s="883" t="str">
        <f>IFERROR(__xludf.DUMMYFUNCTION("""COMPUTED_VALUE"""),"Placebo")</f>
        <v>Placebo</v>
      </c>
      <c r="BU198" s="883"/>
      <c r="BV198" s="883"/>
      <c r="BW198" s="883"/>
      <c r="BX198" s="883">
        <f>IFERROR(__xludf.DUMMYFUNCTION("""COMPUTED_VALUE"""),41.0)</f>
        <v>41</v>
      </c>
      <c r="BY198" s="890">
        <f>IFERROR(__xludf.DUMMYFUNCTION("""COMPUTED_VALUE"""),42591.0)</f>
        <v>42591</v>
      </c>
      <c r="BZ198" s="883"/>
      <c r="CA198" s="883" t="str">
        <f>IFERROR(__xludf.DUMMYFUNCTION("""COMPUTED_VALUE"""),"MF")</f>
        <v>MF</v>
      </c>
      <c r="CB198" s="883"/>
      <c r="CC198" s="883" t="str">
        <f>IFERROR(__xludf.DUMMYFUNCTION("""COMPUTED_VALUE"""),"Yes")</f>
        <v>Yes</v>
      </c>
      <c r="CD198" s="884">
        <f>IFERROR(__xludf.DUMMYFUNCTION("""COMPUTED_VALUE"""),0.293)</f>
        <v>0.293</v>
      </c>
      <c r="CE198" s="883" t="str">
        <f>IFERROR(__xludf.DUMMYFUNCTION("""COMPUTED_VALUE"""),"Yes")</f>
        <v>Yes</v>
      </c>
      <c r="CF198" s="883"/>
      <c r="CG198" s="883"/>
      <c r="CH198" s="883"/>
      <c r="CI198" s="883"/>
      <c r="CJ198" s="883"/>
      <c r="CK198" s="884">
        <f>IFERROR(__xludf.DUMMYFUNCTION("""COMPUTED_VALUE"""),0.293)</f>
        <v>0.293</v>
      </c>
      <c r="CL198" s="883"/>
      <c r="CM198" s="883"/>
      <c r="CN198" s="883"/>
      <c r="CO198" s="883" t="str">
        <f>IFERROR(__xludf.DUMMYFUNCTION("""COMPUTED_VALUE"""),"increase 29.5%")</f>
        <v>increase 29.5%</v>
      </c>
      <c r="CP198" s="883"/>
      <c r="CQ198" s="883"/>
      <c r="CR198" s="883"/>
      <c r="CS198" s="883"/>
      <c r="CT198" s="883"/>
      <c r="CU198" s="883"/>
      <c r="CV198" s="863"/>
      <c r="CW198" s="863"/>
      <c r="CX198" s="863"/>
      <c r="CY198" s="863"/>
      <c r="CZ198" s="863"/>
      <c r="DA198" s="863"/>
      <c r="DB198" s="863"/>
      <c r="DC198" s="863"/>
      <c r="DD198" s="863"/>
      <c r="DE198" s="863"/>
    </row>
    <row r="199">
      <c r="A199" s="876"/>
      <c r="B199" s="876"/>
      <c r="C199" s="876"/>
      <c r="D199" s="876"/>
      <c r="E199" s="876"/>
      <c r="F199" s="876"/>
      <c r="G199" s="876"/>
      <c r="H199" s="876"/>
      <c r="I199" s="876"/>
      <c r="J199" s="876"/>
      <c r="K199" s="876"/>
      <c r="L199" s="876"/>
      <c r="M199" s="876"/>
      <c r="N199" s="877"/>
      <c r="O199" s="876"/>
      <c r="P199" s="876"/>
      <c r="Q199" s="876"/>
      <c r="R199" s="876"/>
      <c r="S199" s="876"/>
      <c r="T199" s="876"/>
      <c r="U199" s="876"/>
      <c r="V199" s="876"/>
      <c r="W199" s="876"/>
      <c r="X199" s="876"/>
      <c r="Y199" s="876"/>
      <c r="Z199" s="876"/>
      <c r="AA199" s="876"/>
      <c r="AB199" s="876"/>
      <c r="AC199" s="876"/>
      <c r="AD199" s="876"/>
      <c r="AE199" s="876"/>
      <c r="AF199" s="876"/>
      <c r="AG199" s="876"/>
      <c r="AH199" s="876"/>
      <c r="AI199" s="878"/>
      <c r="AJ199" s="888" t="str">
        <f>IFERROR(__xludf.DUMMYFUNCTION("""COMPUTED_VALUE"""),"COMPARATIVE EFFICACY OF ALBENDAZOLE AND THREE BRANDS OF MEBENDAZOLE")</f>
        <v>COMPARATIVE EFFICACY OF ALBENDAZOLE AND THREE BRANDS OF MEBENDAZOLE</v>
      </c>
      <c r="AK199" s="880" t="str">
        <f>IFERROR(__xludf.DUMMYFUNCTION("""COMPUTED_VALUE"""),"Legesse M, Erko B, Medhin G. Comparative efficacy of albendazole and three brands of mebendazole in the treatment of ascariasis and trichuriasis. East Afr Med J. 2004 Mar;81(3):134-8. doi: 10.4314/eamj.v81i3.9142. PMID: 15293971.")</f>
        <v>Legesse M, Erko B, Medhin G. Comparative efficacy of albendazole and three brands of mebendazole in the treatment of ascariasis and trichuriasis. East Afr Med J. 2004 Mar;81(3):134-8. doi: 10.4314/eamj.v81i3.9142. PMID: 15293971.</v>
      </c>
      <c r="AL199" s="880" t="str">
        <f>IFERROR(__xludf.DUMMYFUNCTION("""COMPUTED_VALUE"""),"Ethiopia ")</f>
        <v>Ethiopia </v>
      </c>
      <c r="AM199" s="880" t="str">
        <f>IFERROR(__xludf.DUMMYFUNCTION("""COMPUTED_VALUE"""),"Mebendazole")</f>
        <v>Mebendazole</v>
      </c>
      <c r="AN199" s="880" t="str">
        <f>IFERROR(__xludf.DUMMYFUNCTION("""COMPUTED_VALUE"""),"Multiple Dose: 6")</f>
        <v>Multiple Dose: 6</v>
      </c>
      <c r="AO199" s="880" t="str">
        <f>IFERROR(__xludf.DUMMYFUNCTION("""COMPUTED_VALUE"""),"100 mg")</f>
        <v>100 mg</v>
      </c>
      <c r="AP199" s="880">
        <f>IFERROR(__xludf.DUMMYFUNCTION("""COMPUTED_VALUE"""),138.0)</f>
        <v>138</v>
      </c>
      <c r="AQ199" s="880">
        <f>IFERROR(__xludf.DUMMYFUNCTION("""COMPUTED_VALUE"""),11.1)</f>
        <v>11.1</v>
      </c>
      <c r="AR199" s="880" t="str">
        <f>IFERROR(__xludf.DUMMYFUNCTION("""COMPUTED_VALUE"""),"54M:84F")</f>
        <v>54M:84F</v>
      </c>
      <c r="AS199" s="880">
        <f>IFERROR(__xludf.DUMMYFUNCTION("""COMPUTED_VALUE"""),2003.0)</f>
        <v>2003</v>
      </c>
      <c r="AT199" s="880" t="str">
        <f>IFERROR(__xludf.DUMMYFUNCTION("""COMPUTED_VALUE"""),"A cross-sectional parasitological survey was conducted in two schools (Shesha Kekel and Wondo Wosha) to identify positive subjects to be randomised into four treatment arms. In the survey, stool specimens were collected from 730 children (387 males and 34"&amp;"3 females) age ranged from six to nineteen years. After examining the stool specimens all subjects positive for Ascaris lumbricoides and/ or Trichuris trichiura infections were randomised into four groups")</f>
        <v>A cross-sectional parasitological survey was conducted in two schools (Shesha Kekel and Wondo Wosha) to identify positive subjects to be randomised into four treatment arms. In the survey, stool specimens were collected from 730 children (387 males and 343 females) age ranged from six to nineteen years. After examining the stool specimens all subjects positive for Ascaris lumbricoides and/ or Trichuris trichiura infections were randomised into four groups</v>
      </c>
      <c r="AU199" s="880" t="str">
        <f>IFERROR(__xludf.DUMMYFUNCTION("""COMPUTED_VALUE"""),"Yes")</f>
        <v>Yes</v>
      </c>
      <c r="AV199" s="880" t="str">
        <f>IFERROR(__xludf.DUMMYFUNCTION("""COMPUTED_VALUE"""),"No")</f>
        <v>No</v>
      </c>
      <c r="AW199" s="881" t="str">
        <f>IFERROR(__xludf.DUMMYFUNCTION("""COMPUTED_VALUE"""),"No")</f>
        <v>No</v>
      </c>
      <c r="AX199" s="863">
        <f>IFERROR(__xludf.DUMMYFUNCTION("""COMPUTED_VALUE"""),0.898)</f>
        <v>0.898</v>
      </c>
      <c r="AY199" s="863"/>
      <c r="AZ199" s="863">
        <f>IFERROR(__xludf.DUMMYFUNCTION("""COMPUTED_VALUE"""),0.898)</f>
        <v>0.898</v>
      </c>
      <c r="BA199" s="863"/>
      <c r="BB199" s="863"/>
      <c r="BC199" s="863"/>
      <c r="BD199" s="863"/>
      <c r="BE199" s="863"/>
      <c r="BF199" s="863"/>
      <c r="BG199" s="863"/>
      <c r="BH199" s="863">
        <f>IFERROR(__xludf.DUMMYFUNCTION("""COMPUTED_VALUE"""),0.531)</f>
        <v>0.531</v>
      </c>
      <c r="BI199" s="863"/>
      <c r="BJ199" s="863"/>
      <c r="BK199" s="863"/>
      <c r="BL199" s="863"/>
      <c r="BM199" s="863"/>
      <c r="BN199" s="863" t="str">
        <f>IFERROR(__xludf.DUMMYFUNCTION("""COMPUTED_VALUE"""),"In conclusion, the present study provides useful information on the comparative efficacy of albendazole and mebendazole from three brands in the treatment of ascariasis and trichuriasis. Nevertheless, the comparative efficacy of these drugs was not assess"&amp;"ed against hookworm infection. In areas of single or mixed infections with Trichuris trichiura and Ascaris lumbricoides are common public health problems and where laboratory facilities are not available to make parasite identification, mebendazole (parti"&amp;"cularly, vermox a product of Janssen laboratory) would be the drug of choice to treat trichuriasis and ascariasis. In areas where")</f>
        <v>In conclusion, the present study provides useful information on the comparative efficacy of albendazole and mebendazole from three brands in the treatment of ascariasis and trichuriasis. Nevertheless, the comparative efficacy of these drugs was not assessed against hookworm infection. In areas of single or mixed infections with Trichuris trichiura and Ascaris lumbricoides are common public health problems and where laboratory facilities are not available to make parasite identification, mebendazole (particularly, vermox a product of Janssen laboratory) would be the drug of choice to treat trichuriasis and ascariasis. In areas where</v>
      </c>
      <c r="BO199" s="863" t="str">
        <f>IFERROR(__xludf.DUMMYFUNCTION("""COMPUTED_VALUE"""),"Kato-Katz technique")</f>
        <v>Kato-Katz technique</v>
      </c>
      <c r="BP199" s="880"/>
      <c r="BQ199" s="863"/>
      <c r="BR199" s="889" t="str">
        <f>IFERROR(__xludf.DUMMYFUNCTION("""COMPUTED_VALUE"""),"Ai-Issa et al.")</f>
        <v>Ai-Issa et al.</v>
      </c>
      <c r="BS199" s="883" t="str">
        <f>IFERROR(__xludf.DUMMYFUNCTION("""COMPUTED_VALUE"""),"Iraq")</f>
        <v>Iraq</v>
      </c>
      <c r="BT199" s="883" t="str">
        <f>IFERROR(__xludf.DUMMYFUNCTION("""COMPUTED_VALUE"""),"Albendazole")</f>
        <v>Albendazole</v>
      </c>
      <c r="BU199" s="883"/>
      <c r="BV199" s="883" t="str">
        <f>IFERROR(__xludf.DUMMYFUNCTION("""COMPUTED_VALUE"""),"Single")</f>
        <v>Single</v>
      </c>
      <c r="BW199" s="883" t="str">
        <f>IFERROR(__xludf.DUMMYFUNCTION("""COMPUTED_VALUE"""),"400 mg")</f>
        <v>400 mg</v>
      </c>
      <c r="BX199" s="883">
        <f>IFERROR(__xludf.DUMMYFUNCTION("""COMPUTED_VALUE"""),21.0)</f>
        <v>21</v>
      </c>
      <c r="BY199" s="883" t="str">
        <f>IFERROR(__xludf.DUMMYFUNCTION("""COMPUTED_VALUE"""),"School children &amp; Adults")</f>
        <v>School children &amp; Adults</v>
      </c>
      <c r="BZ199" s="883">
        <f>IFERROR(__xludf.DUMMYFUNCTION("""COMPUTED_VALUE"""),1984.0)</f>
        <v>1984</v>
      </c>
      <c r="CA199" s="883" t="str">
        <f>IFERROR(__xludf.DUMMYFUNCTION("""COMPUTED_VALUE"""),"5 M; 16 F")</f>
        <v>5 M; 16 F</v>
      </c>
      <c r="CB199" s="883"/>
      <c r="CC199" s="883" t="str">
        <f>IFERROR(__xludf.DUMMYFUNCTION("""COMPUTED_VALUE"""),"No")</f>
        <v>No</v>
      </c>
      <c r="CD199" s="884">
        <f>IFERROR(__xludf.DUMMYFUNCTION("""COMPUTED_VALUE"""),0.955)</f>
        <v>0.955</v>
      </c>
      <c r="CE199" s="883" t="str">
        <f>IFERROR(__xludf.DUMMYFUNCTION("""COMPUTED_VALUE"""),"No")</f>
        <v>No</v>
      </c>
      <c r="CF199" s="884">
        <f>IFERROR(__xludf.DUMMYFUNCTION("""COMPUTED_VALUE"""),0.955)</f>
        <v>0.955</v>
      </c>
      <c r="CG199" s="883"/>
      <c r="CH199" s="883"/>
      <c r="CI199" s="883"/>
      <c r="CJ199" s="883"/>
      <c r="CK199" s="883"/>
      <c r="CL199" s="883"/>
      <c r="CM199" s="883"/>
      <c r="CN199" s="883"/>
      <c r="CO199" s="883"/>
      <c r="CP199" s="883"/>
      <c r="CQ199" s="883"/>
      <c r="CR199" s="883"/>
      <c r="CS199" s="883"/>
      <c r="CT199" s="883"/>
      <c r="CU199" s="883"/>
      <c r="CV199" s="863"/>
      <c r="CW199" s="863"/>
      <c r="CX199" s="863"/>
      <c r="CY199" s="863"/>
      <c r="CZ199" s="863"/>
      <c r="DA199" s="863"/>
      <c r="DB199" s="863"/>
      <c r="DC199" s="863"/>
      <c r="DD199" s="863"/>
      <c r="DE199" s="863"/>
    </row>
    <row r="200">
      <c r="A200" s="876"/>
      <c r="B200" s="876"/>
      <c r="C200" s="876"/>
      <c r="D200" s="876"/>
      <c r="E200" s="876"/>
      <c r="F200" s="876"/>
      <c r="G200" s="876"/>
      <c r="H200" s="876"/>
      <c r="I200" s="876"/>
      <c r="J200" s="876"/>
      <c r="K200" s="876"/>
      <c r="L200" s="876"/>
      <c r="M200" s="876"/>
      <c r="N200" s="877"/>
      <c r="O200" s="876"/>
      <c r="P200" s="876"/>
      <c r="Q200" s="876"/>
      <c r="R200" s="876"/>
      <c r="S200" s="876"/>
      <c r="T200" s="876"/>
      <c r="U200" s="876"/>
      <c r="V200" s="876"/>
      <c r="W200" s="876"/>
      <c r="X200" s="876"/>
      <c r="Y200" s="876"/>
      <c r="Z200" s="876"/>
      <c r="AA200" s="876"/>
      <c r="AB200" s="876"/>
      <c r="AC200" s="876"/>
      <c r="AD200" s="876"/>
      <c r="AE200" s="876"/>
      <c r="AF200" s="876"/>
      <c r="AG200" s="876"/>
      <c r="AH200" s="876"/>
      <c r="AI200" s="878"/>
      <c r="AJ200" s="888" t="str">
        <f>IFERROR(__xludf.DUMMYFUNCTION("""COMPUTED_VALUE"""),"Efficacy and Safety of Praziquantel, Tribendimidine and Mebendazole in Patients with Co-infection of Clonorchis sinensis and Other Helminths")</f>
        <v>Efficacy and Safety of Praziquantel, Tribendimidine and Mebendazole in Patients with Co-infection of Clonorchis sinensis and Other Helminths</v>
      </c>
      <c r="AK200" s="880" t="str">
        <f>IFERROR(__xludf.DUMMYFUNCTION("""COMPUTED_VALUE"""),"Xu LL, Jiang B, Duan JH, Zhuang SF, Liu YC, Zhu SQ, Zhang LP, Zhang HB, Xiao SH, Zhou XN. Efficacy and safety of praziquantel, tribendimidine and mebendazole in patients with co-infection of Clonorchis sinensis and other helminths. PLoS Negl Trop Dis. 201"&amp;"4 Aug 14;8(8):e3046. doi: 10.1371/journal.pntd.0003046. PMID: 25122121; PMCID: PMC4133228.")</f>
        <v>Xu LL, Jiang B, Duan JH, Zhuang SF, Liu YC, Zhu SQ, Zhang LP, Zhang HB, Xiao SH, Zhou XN. Efficacy and safety of praziquantel, tribendimidine and mebendazole in patients with co-infection of Clonorchis sinensis and other helminths. PLoS Negl Trop Dis. 2014 Aug 14;8(8):e3046. doi: 10.1371/journal.pntd.0003046. PMID: 25122121; PMCID: PMC4133228.</v>
      </c>
      <c r="AL200" s="880" t="str">
        <f>IFERROR(__xludf.DUMMYFUNCTION("""COMPUTED_VALUE"""),"China")</f>
        <v>China</v>
      </c>
      <c r="AM200" s="880" t="str">
        <f>IFERROR(__xludf.DUMMYFUNCTION("""COMPUTED_VALUE"""),"Praziquantel")</f>
        <v>Praziquantel</v>
      </c>
      <c r="AN200" s="880" t="str">
        <f>IFERROR(__xludf.DUMMYFUNCTION("""COMPUTED_VALUE"""),"Multiple Dose: 4")</f>
        <v>Multiple Dose: 4</v>
      </c>
      <c r="AO200" s="880" t="str">
        <f>IFERROR(__xludf.DUMMYFUNCTION("""COMPUTED_VALUE"""),"75 mg/kg")</f>
        <v>75 mg/kg</v>
      </c>
      <c r="AP200" s="880">
        <f>IFERROR(__xludf.DUMMYFUNCTION("""COMPUTED_VALUE"""),39.0)</f>
        <v>39</v>
      </c>
      <c r="AQ200" s="880">
        <f>IFERROR(__xludf.DUMMYFUNCTION("""COMPUTED_VALUE"""),56.1)</f>
        <v>56.1</v>
      </c>
      <c r="AR200" s="880" t="str">
        <f>IFERROR(__xludf.DUMMYFUNCTION("""COMPUTED_VALUE"""),"19M:20F")</f>
        <v>19M:20F</v>
      </c>
      <c r="AS200" s="880">
        <f>IFERROR(__xludf.DUMMYFUNCTION("""COMPUTED_VALUE"""),2012.0)</f>
        <v>2012</v>
      </c>
      <c r="AT200" s="880" t="str">
        <f>IFERROR(__xludf.DUMMYFUNCTION("""COMPUTED_VALUE"""),"Eligible for inclusion were those who were infected with more than one species of helminth and provided the written informed consent in preliminary survey, and then submitted the second stool sample before the treatment. Participants could be excluded fro"&amp;"m treatment if fulfilling any of the following exclusion criteria: who was pregnant (of the females), present of any abnormal medical disorder (i.e., fever and hepatomegaly), historical record of any acute or sever chronic disease, was psychiatric and neu"&amp;"rological disorders, and gave anthelmintic treatment within the previous 4 weeks.")</f>
        <v>Eligible for inclusion were those who were infected with more than one species of helminth and provided the written informed consent in preliminary survey, and then submitted the second stool sample before the treatment. Participants could be excluded from treatment if fulfilling any of the following exclusion criteria: who was pregnant (of the females), present of any abnormal medical disorder (i.e., fever and hepatomegaly), historical record of any acute or sever chronic disease, was psychiatric and neurological disorders, and gave anthelmintic treatment within the previous 4 weeks.</v>
      </c>
      <c r="AU200" s="880" t="str">
        <f>IFERROR(__xludf.DUMMYFUNCTION("""COMPUTED_VALUE"""),"Yes")</f>
        <v>Yes</v>
      </c>
      <c r="AV200" s="880" t="str">
        <f>IFERROR(__xludf.DUMMYFUNCTION("""COMPUTED_VALUE"""),"No")</f>
        <v>No</v>
      </c>
      <c r="AW200" s="881" t="str">
        <f>IFERROR(__xludf.DUMMYFUNCTION("""COMPUTED_VALUE"""),"No")</f>
        <v>No</v>
      </c>
      <c r="AX200" s="863">
        <f>IFERROR(__xludf.DUMMYFUNCTION("""COMPUTED_VALUE"""),0.0)</f>
        <v>0</v>
      </c>
      <c r="AY200" s="863"/>
      <c r="AZ200" s="863"/>
      <c r="BA200" s="863"/>
      <c r="BB200" s="863"/>
      <c r="BC200" s="863"/>
      <c r="BD200" s="863"/>
      <c r="BE200" s="863"/>
      <c r="BF200" s="863"/>
      <c r="BG200" s="863"/>
      <c r="BH200" s="863">
        <f>IFERROR(__xludf.DUMMYFUNCTION("""COMPUTED_VALUE"""),0.779)</f>
        <v>0.779</v>
      </c>
      <c r="BI200" s="863"/>
      <c r="BJ200" s="863"/>
      <c r="BK200" s="863"/>
      <c r="BL200" s="863"/>
      <c r="BM200" s="863"/>
      <c r="BN200" s="863" t="str">
        <f>IFERROR(__xludf.DUMMYFUNCTION("""COMPUTED_VALUE"""),"In conclusion, one single dose of 400 mg tribendimidine shows similar therapeutic profiles as praziquantel against C. sinensis in this trial. It is benefit for preventive chemotherapy of C. sinensis infections in places with high prevalence. However, larg"&amp;"e-scale clinical study is warrant to perform in order to further verify the efficacy and appraise the safety. Meanwhile, taking into account of good efficacy of tribendimidine against hookworm, it has particularly noticed that tribendimidine is a better c"&amp;"hoice to cure patients with co-infection of C. sinensis and hookworm")</f>
        <v>In conclusion, one single dose of 400 mg tribendimidine shows similar therapeutic profiles as praziquantel against C. sinensis in this trial. It is benefit for preventive chemotherapy of C. sinensis infections in places with high prevalence. However, large-scale clinical study is warrant to perform in order to further verify the efficacy and appraise the safety. Meanwhile, taking into account of good efficacy of tribendimidine against hookworm, it has particularly noticed that tribendimidine is a better choice to cure patients with co-infection of C. sinensis and hookworm</v>
      </c>
      <c r="BO200" s="863" t="str">
        <f>IFERROR(__xludf.DUMMYFUNCTION("""COMPUTED_VALUE"""),"Kato-Katz technique")</f>
        <v>Kato-Katz technique</v>
      </c>
      <c r="BP200" s="880"/>
      <c r="BQ200" s="863"/>
      <c r="BR200" s="889" t="str">
        <f>IFERROR(__xludf.DUMMYFUNCTION("""COMPUTED_VALUE"""),"Saif")</f>
        <v>Saif</v>
      </c>
      <c r="BS200" s="883" t="str">
        <f>IFERROR(__xludf.DUMMYFUNCTION("""COMPUTED_VALUE"""),"Egypt")</f>
        <v>Egypt</v>
      </c>
      <c r="BT200" s="883" t="str">
        <f>IFERROR(__xludf.DUMMYFUNCTION("""COMPUTED_VALUE"""),"Albendazole")</f>
        <v>Albendazole</v>
      </c>
      <c r="BU200" s="883"/>
      <c r="BV200" s="883" t="str">
        <f>IFERROR(__xludf.DUMMYFUNCTION("""COMPUTED_VALUE"""),"Single")</f>
        <v>Single</v>
      </c>
      <c r="BW200" s="883" t="str">
        <f>IFERROR(__xludf.DUMMYFUNCTION("""COMPUTED_VALUE"""),"400 mg")</f>
        <v>400 mg</v>
      </c>
      <c r="BX200" s="883">
        <f>IFERROR(__xludf.DUMMYFUNCTION("""COMPUTED_VALUE"""),25.0)</f>
        <v>25</v>
      </c>
      <c r="BY200" s="883"/>
      <c r="BZ200" s="883"/>
      <c r="CA200" s="883"/>
      <c r="CB200" s="883"/>
      <c r="CC200" s="883" t="str">
        <f>IFERROR(__xludf.DUMMYFUNCTION("""COMPUTED_VALUE"""),"No")</f>
        <v>No</v>
      </c>
      <c r="CD200" s="884">
        <f>IFERROR(__xludf.DUMMYFUNCTION("""COMPUTED_VALUE"""),1.0)</f>
        <v>1</v>
      </c>
      <c r="CE200" s="883" t="str">
        <f>IFERROR(__xludf.DUMMYFUNCTION("""COMPUTED_VALUE"""),"No")</f>
        <v>No</v>
      </c>
      <c r="CF200" s="883"/>
      <c r="CG200" s="891">
        <f>IFERROR(__xludf.DUMMYFUNCTION("""COMPUTED_VALUE"""),1.0)</f>
        <v>1</v>
      </c>
      <c r="CH200" s="883"/>
      <c r="CI200" s="883"/>
      <c r="CJ200" s="883"/>
      <c r="CK200" s="883"/>
      <c r="CL200" s="883"/>
      <c r="CM200" s="883"/>
      <c r="CN200" s="883"/>
      <c r="CO200" s="883"/>
      <c r="CP200" s="883"/>
      <c r="CQ200" s="883"/>
      <c r="CR200" s="883"/>
      <c r="CS200" s="883"/>
      <c r="CT200" s="883"/>
      <c r="CU200" s="883"/>
      <c r="CV200" s="863"/>
      <c r="CW200" s="863"/>
      <c r="CX200" s="863"/>
      <c r="CY200" s="863"/>
      <c r="CZ200" s="863"/>
      <c r="DA200" s="863"/>
      <c r="DB200" s="863"/>
      <c r="DC200" s="863"/>
      <c r="DD200" s="863"/>
      <c r="DE200" s="863"/>
    </row>
    <row r="201">
      <c r="A201" s="876"/>
      <c r="B201" s="876"/>
      <c r="C201" s="876"/>
      <c r="D201" s="876"/>
      <c r="E201" s="876"/>
      <c r="F201" s="876"/>
      <c r="G201" s="876"/>
      <c r="H201" s="876"/>
      <c r="I201" s="876"/>
      <c r="J201" s="876"/>
      <c r="K201" s="876"/>
      <c r="L201" s="876"/>
      <c r="M201" s="876"/>
      <c r="N201" s="877"/>
      <c r="O201" s="876"/>
      <c r="P201" s="876"/>
      <c r="Q201" s="876"/>
      <c r="R201" s="876"/>
      <c r="S201" s="876"/>
      <c r="T201" s="876"/>
      <c r="U201" s="876"/>
      <c r="V201" s="876"/>
      <c r="W201" s="876"/>
      <c r="X201" s="876"/>
      <c r="Y201" s="876"/>
      <c r="Z201" s="876"/>
      <c r="AA201" s="876"/>
      <c r="AB201" s="876"/>
      <c r="AC201" s="876"/>
      <c r="AD201" s="876"/>
      <c r="AE201" s="876"/>
      <c r="AF201" s="876"/>
      <c r="AG201" s="876"/>
      <c r="AH201" s="876"/>
      <c r="AI201" s="878"/>
      <c r="AJ201" s="880"/>
      <c r="AK201" s="880"/>
      <c r="AL201" s="880"/>
      <c r="AM201" s="880"/>
      <c r="AN201" s="880"/>
      <c r="AO201" s="880"/>
      <c r="AP201" s="880"/>
      <c r="AQ201" s="880"/>
      <c r="AR201" s="880"/>
      <c r="AS201" s="880"/>
      <c r="AT201" s="880"/>
      <c r="AU201" s="880"/>
      <c r="AV201" s="880"/>
      <c r="AW201" s="881"/>
      <c r="AX201" s="863"/>
      <c r="AY201" s="863"/>
      <c r="AZ201" s="863"/>
      <c r="BA201" s="863"/>
      <c r="BB201" s="863"/>
      <c r="BC201" s="863"/>
      <c r="BD201" s="863"/>
      <c r="BE201" s="863"/>
      <c r="BF201" s="863"/>
      <c r="BG201" s="863"/>
      <c r="BH201" s="863"/>
      <c r="BI201" s="863"/>
      <c r="BJ201" s="863"/>
      <c r="BK201" s="863"/>
      <c r="BL201" s="863"/>
      <c r="BM201" s="863"/>
      <c r="BN201" s="863"/>
      <c r="BO201" s="863"/>
      <c r="BP201" s="880"/>
      <c r="BQ201" s="863"/>
      <c r="BR201" s="889" t="str">
        <f>IFERROR(__xludf.DUMMYFUNCTION("""COMPUTED_VALUE"""),"Saif")</f>
        <v>Saif</v>
      </c>
      <c r="BS201" s="883" t="str">
        <f>IFERROR(__xludf.DUMMYFUNCTION("""COMPUTED_VALUE"""),"Egypt")</f>
        <v>Egypt</v>
      </c>
      <c r="BT201" s="883" t="str">
        <f>IFERROR(__xludf.DUMMYFUNCTION("""COMPUTED_VALUE"""),"Albendazole")</f>
        <v>Albendazole</v>
      </c>
      <c r="BU201" s="883"/>
      <c r="BV201" s="883" t="str">
        <f>IFERROR(__xludf.DUMMYFUNCTION("""COMPUTED_VALUE"""),"Single ")</f>
        <v>Single </v>
      </c>
      <c r="BW201" s="883" t="str">
        <f>IFERROR(__xludf.DUMMYFUNCTION("""COMPUTED_VALUE"""),"400 mg")</f>
        <v>400 mg</v>
      </c>
      <c r="BX201" s="883">
        <f>IFERROR(__xludf.DUMMYFUNCTION("""COMPUTED_VALUE"""),57.0)</f>
        <v>57</v>
      </c>
      <c r="BY201" s="883"/>
      <c r="BZ201" s="883"/>
      <c r="CA201" s="883"/>
      <c r="CB201" s="883"/>
      <c r="CC201" s="883" t="str">
        <f>IFERROR(__xludf.DUMMYFUNCTION("""COMPUTED_VALUE"""),"No")</f>
        <v>No</v>
      </c>
      <c r="CD201" s="884">
        <f>IFERROR(__xludf.DUMMYFUNCTION("""COMPUTED_VALUE"""),0.86)</f>
        <v>0.86</v>
      </c>
      <c r="CE201" s="883" t="str">
        <f>IFERROR(__xludf.DUMMYFUNCTION("""COMPUTED_VALUE"""),"No")</f>
        <v>No</v>
      </c>
      <c r="CF201" s="883"/>
      <c r="CG201" s="891">
        <f>IFERROR(__xludf.DUMMYFUNCTION("""COMPUTED_VALUE"""),0.86)</f>
        <v>0.86</v>
      </c>
      <c r="CH201" s="883"/>
      <c r="CI201" s="883"/>
      <c r="CJ201" s="883"/>
      <c r="CK201" s="883"/>
      <c r="CL201" s="883"/>
      <c r="CM201" s="883"/>
      <c r="CN201" s="883"/>
      <c r="CO201" s="883"/>
      <c r="CP201" s="883"/>
      <c r="CQ201" s="883"/>
      <c r="CR201" s="883"/>
      <c r="CS201" s="883"/>
      <c r="CT201" s="883"/>
      <c r="CU201" s="883"/>
      <c r="CV201" s="863"/>
      <c r="CW201" s="863"/>
      <c r="CX201" s="863"/>
      <c r="CY201" s="863"/>
      <c r="CZ201" s="863"/>
      <c r="DA201" s="863"/>
      <c r="DB201" s="863"/>
      <c r="DC201" s="863"/>
      <c r="DD201" s="863"/>
      <c r="DE201" s="863"/>
    </row>
    <row r="202">
      <c r="A202" s="876"/>
      <c r="B202" s="876"/>
      <c r="C202" s="876"/>
      <c r="D202" s="876"/>
      <c r="E202" s="876"/>
      <c r="F202" s="876"/>
      <c r="G202" s="876"/>
      <c r="H202" s="876"/>
      <c r="I202" s="876"/>
      <c r="J202" s="876"/>
      <c r="K202" s="876"/>
      <c r="L202" s="876"/>
      <c r="M202" s="876"/>
      <c r="N202" s="877"/>
      <c r="O202" s="876"/>
      <c r="P202" s="876"/>
      <c r="Q202" s="876"/>
      <c r="R202" s="876"/>
      <c r="S202" s="876"/>
      <c r="T202" s="876"/>
      <c r="U202" s="876"/>
      <c r="V202" s="876"/>
      <c r="W202" s="876"/>
      <c r="X202" s="876"/>
      <c r="Y202" s="876"/>
      <c r="Z202" s="876"/>
      <c r="AA202" s="876"/>
      <c r="AB202" s="876"/>
      <c r="AC202" s="876"/>
      <c r="AD202" s="876"/>
      <c r="AE202" s="876"/>
      <c r="AF202" s="876"/>
      <c r="AG202" s="876"/>
      <c r="AH202" s="876"/>
      <c r="AI202" s="878"/>
      <c r="AJ202" s="880"/>
      <c r="AK202" s="880"/>
      <c r="AL202" s="880"/>
      <c r="AM202" s="880"/>
      <c r="AN202" s="880"/>
      <c r="AO202" s="880"/>
      <c r="AP202" s="880"/>
      <c r="AQ202" s="880"/>
      <c r="AR202" s="880"/>
      <c r="AS202" s="880"/>
      <c r="AT202" s="880"/>
      <c r="AU202" s="880"/>
      <c r="AV202" s="880"/>
      <c r="AW202" s="881"/>
      <c r="AX202" s="863"/>
      <c r="AY202" s="863"/>
      <c r="AZ202" s="863"/>
      <c r="BA202" s="863"/>
      <c r="BB202" s="863"/>
      <c r="BC202" s="863"/>
      <c r="BD202" s="863"/>
      <c r="BE202" s="863"/>
      <c r="BF202" s="863"/>
      <c r="BG202" s="863"/>
      <c r="BH202" s="863"/>
      <c r="BI202" s="863"/>
      <c r="BJ202" s="863"/>
      <c r="BK202" s="863"/>
      <c r="BL202" s="863"/>
      <c r="BM202" s="863"/>
      <c r="BN202" s="863"/>
      <c r="BO202" s="863"/>
      <c r="BP202" s="880"/>
      <c r="BQ202" s="863"/>
      <c r="BR202" s="889" t="str">
        <f>IFERROR(__xludf.DUMMYFUNCTION("""COMPUTED_VALUE"""),"Saif")</f>
        <v>Saif</v>
      </c>
      <c r="BS202" s="883" t="str">
        <f>IFERROR(__xludf.DUMMYFUNCTION("""COMPUTED_VALUE"""),"Egypt")</f>
        <v>Egypt</v>
      </c>
      <c r="BT202" s="883" t="str">
        <f>IFERROR(__xludf.DUMMYFUNCTION("""COMPUTED_VALUE"""),"Albendazole")</f>
        <v>Albendazole</v>
      </c>
      <c r="BU202" s="883"/>
      <c r="BV202" s="883" t="str">
        <f>IFERROR(__xludf.DUMMYFUNCTION("""COMPUTED_VALUE"""),"Three")</f>
        <v>Three</v>
      </c>
      <c r="BW202" s="883" t="str">
        <f>IFERROR(__xludf.DUMMYFUNCTION("""COMPUTED_VALUE"""),"400 mg")</f>
        <v>400 mg</v>
      </c>
      <c r="BX202" s="883">
        <f>IFERROR(__xludf.DUMMYFUNCTION("""COMPUTED_VALUE"""),9.0)</f>
        <v>9</v>
      </c>
      <c r="BY202" s="883"/>
      <c r="BZ202" s="883"/>
      <c r="CA202" s="883"/>
      <c r="CB202" s="883"/>
      <c r="CC202" s="883" t="str">
        <f>IFERROR(__xludf.DUMMYFUNCTION("""COMPUTED_VALUE"""),"No")</f>
        <v>No</v>
      </c>
      <c r="CD202" s="884">
        <f>IFERROR(__xludf.DUMMYFUNCTION("""COMPUTED_VALUE"""),1.0)</f>
        <v>1</v>
      </c>
      <c r="CE202" s="883" t="str">
        <f>IFERROR(__xludf.DUMMYFUNCTION("""COMPUTED_VALUE"""),"No")</f>
        <v>No</v>
      </c>
      <c r="CF202" s="883"/>
      <c r="CG202" s="891">
        <f>IFERROR(__xludf.DUMMYFUNCTION("""COMPUTED_VALUE"""),1.0)</f>
        <v>1</v>
      </c>
      <c r="CH202" s="883"/>
      <c r="CI202" s="883"/>
      <c r="CJ202" s="883"/>
      <c r="CK202" s="883"/>
      <c r="CL202" s="883"/>
      <c r="CM202" s="883"/>
      <c r="CN202" s="883"/>
      <c r="CO202" s="883"/>
      <c r="CP202" s="883"/>
      <c r="CQ202" s="883"/>
      <c r="CR202" s="883"/>
      <c r="CS202" s="883"/>
      <c r="CT202" s="883"/>
      <c r="CU202" s="883"/>
      <c r="CV202" s="863"/>
      <c r="CW202" s="863"/>
      <c r="CX202" s="863"/>
      <c r="CY202" s="863"/>
      <c r="CZ202" s="863"/>
      <c r="DA202" s="863"/>
      <c r="DB202" s="863"/>
      <c r="DC202" s="863"/>
      <c r="DD202" s="863"/>
      <c r="DE202" s="863"/>
    </row>
    <row r="203">
      <c r="A203" s="876"/>
      <c r="B203" s="876"/>
      <c r="C203" s="876"/>
      <c r="D203" s="876"/>
      <c r="E203" s="876"/>
      <c r="F203" s="876"/>
      <c r="G203" s="876"/>
      <c r="H203" s="876"/>
      <c r="I203" s="876"/>
      <c r="J203" s="876"/>
      <c r="K203" s="876"/>
      <c r="L203" s="876"/>
      <c r="M203" s="876"/>
      <c r="N203" s="877"/>
      <c r="O203" s="876"/>
      <c r="P203" s="876"/>
      <c r="Q203" s="876"/>
      <c r="R203" s="876"/>
      <c r="S203" s="876"/>
      <c r="T203" s="876"/>
      <c r="U203" s="876"/>
      <c r="V203" s="876"/>
      <c r="W203" s="876"/>
      <c r="X203" s="876"/>
      <c r="Y203" s="876"/>
      <c r="Z203" s="876"/>
      <c r="AA203" s="876"/>
      <c r="AB203" s="876"/>
      <c r="AC203" s="876"/>
      <c r="AD203" s="876"/>
      <c r="AE203" s="876"/>
      <c r="AF203" s="876"/>
      <c r="AG203" s="876"/>
      <c r="AH203" s="876"/>
      <c r="AI203" s="878"/>
      <c r="AJ203" s="880"/>
      <c r="AK203" s="880"/>
      <c r="AL203" s="880"/>
      <c r="AM203" s="880"/>
      <c r="AN203" s="880"/>
      <c r="AO203" s="880"/>
      <c r="AP203" s="880"/>
      <c r="AQ203" s="880"/>
      <c r="AR203" s="880"/>
      <c r="AS203" s="880"/>
      <c r="AT203" s="880"/>
      <c r="AU203" s="880"/>
      <c r="AV203" s="880"/>
      <c r="AW203" s="881"/>
      <c r="AX203" s="863"/>
      <c r="AY203" s="863"/>
      <c r="AZ203" s="863"/>
      <c r="BA203" s="863"/>
      <c r="BB203" s="863"/>
      <c r="BC203" s="863"/>
      <c r="BD203" s="863"/>
      <c r="BE203" s="863"/>
      <c r="BF203" s="863"/>
      <c r="BG203" s="863"/>
      <c r="BH203" s="863"/>
      <c r="BI203" s="863"/>
      <c r="BJ203" s="863"/>
      <c r="BK203" s="863"/>
      <c r="BL203" s="863"/>
      <c r="BM203" s="863"/>
      <c r="BN203" s="863"/>
      <c r="BO203" s="863"/>
      <c r="BP203" s="880"/>
      <c r="BQ203" s="863"/>
      <c r="BR203" s="889" t="str">
        <f>IFERROR(__xludf.DUMMYFUNCTION("""COMPUTED_VALUE"""),"Saif")</f>
        <v>Saif</v>
      </c>
      <c r="BS203" s="883" t="str">
        <f>IFERROR(__xludf.DUMMYFUNCTION("""COMPUTED_VALUE"""),"Egypt")</f>
        <v>Egypt</v>
      </c>
      <c r="BT203" s="883" t="str">
        <f>IFERROR(__xludf.DUMMYFUNCTION("""COMPUTED_VALUE"""),"Albendazole")</f>
        <v>Albendazole</v>
      </c>
      <c r="BU203" s="883"/>
      <c r="BV203" s="883" t="str">
        <f>IFERROR(__xludf.DUMMYFUNCTION("""COMPUTED_VALUE"""),"Three")</f>
        <v>Three</v>
      </c>
      <c r="BW203" s="883" t="str">
        <f>IFERROR(__xludf.DUMMYFUNCTION("""COMPUTED_VALUE"""),"400 mg")</f>
        <v>400 mg</v>
      </c>
      <c r="BX203" s="883">
        <f>IFERROR(__xludf.DUMMYFUNCTION("""COMPUTED_VALUE"""),14.0)</f>
        <v>14</v>
      </c>
      <c r="BY203" s="883"/>
      <c r="BZ203" s="883"/>
      <c r="CA203" s="883"/>
      <c r="CB203" s="883"/>
      <c r="CC203" s="883" t="str">
        <f>IFERROR(__xludf.DUMMYFUNCTION("""COMPUTED_VALUE"""),"No")</f>
        <v>No</v>
      </c>
      <c r="CD203" s="884">
        <f>IFERROR(__xludf.DUMMYFUNCTION("""COMPUTED_VALUE"""),1.0)</f>
        <v>1</v>
      </c>
      <c r="CE203" s="883" t="str">
        <f>IFERROR(__xludf.DUMMYFUNCTION("""COMPUTED_VALUE"""),"No")</f>
        <v>No</v>
      </c>
      <c r="CF203" s="883"/>
      <c r="CG203" s="891">
        <f>IFERROR(__xludf.DUMMYFUNCTION("""COMPUTED_VALUE"""),1.0)</f>
        <v>1</v>
      </c>
      <c r="CH203" s="883"/>
      <c r="CI203" s="883"/>
      <c r="CJ203" s="883"/>
      <c r="CK203" s="883"/>
      <c r="CL203" s="883"/>
      <c r="CM203" s="883"/>
      <c r="CN203" s="883"/>
      <c r="CO203" s="883"/>
      <c r="CP203" s="883"/>
      <c r="CQ203" s="883"/>
      <c r="CR203" s="883"/>
      <c r="CS203" s="883"/>
      <c r="CT203" s="883"/>
      <c r="CU203" s="883"/>
      <c r="CV203" s="863"/>
      <c r="CW203" s="863"/>
      <c r="CX203" s="863"/>
      <c r="CY203" s="863"/>
      <c r="CZ203" s="863"/>
      <c r="DA203" s="863"/>
      <c r="DB203" s="863"/>
      <c r="DC203" s="863"/>
      <c r="DD203" s="863"/>
      <c r="DE203" s="863"/>
    </row>
    <row r="204">
      <c r="A204" s="876"/>
      <c r="B204" s="876"/>
      <c r="C204" s="876"/>
      <c r="D204" s="876"/>
      <c r="E204" s="876"/>
      <c r="F204" s="876"/>
      <c r="G204" s="876"/>
      <c r="H204" s="876"/>
      <c r="I204" s="876"/>
      <c r="J204" s="876"/>
      <c r="K204" s="876"/>
      <c r="L204" s="876"/>
      <c r="M204" s="876"/>
      <c r="N204" s="877"/>
      <c r="O204" s="876"/>
      <c r="P204" s="876"/>
      <c r="Q204" s="876"/>
      <c r="R204" s="876"/>
      <c r="S204" s="876"/>
      <c r="T204" s="876"/>
      <c r="U204" s="876"/>
      <c r="V204" s="876"/>
      <c r="W204" s="876"/>
      <c r="X204" s="876"/>
      <c r="Y204" s="876"/>
      <c r="Z204" s="876"/>
      <c r="AA204" s="876"/>
      <c r="AB204" s="876"/>
      <c r="AC204" s="876"/>
      <c r="AD204" s="876"/>
      <c r="AE204" s="876"/>
      <c r="AF204" s="876"/>
      <c r="AG204" s="876"/>
      <c r="AH204" s="876"/>
      <c r="AI204" s="878"/>
      <c r="AJ204" s="880"/>
      <c r="AK204" s="880"/>
      <c r="AL204" s="880"/>
      <c r="AM204" s="880"/>
      <c r="AN204" s="880"/>
      <c r="AO204" s="880"/>
      <c r="AP204" s="880"/>
      <c r="AQ204" s="880"/>
      <c r="AR204" s="880"/>
      <c r="AS204" s="880"/>
      <c r="AT204" s="880"/>
      <c r="AU204" s="880"/>
      <c r="AV204" s="880"/>
      <c r="AW204" s="881"/>
      <c r="AX204" s="863"/>
      <c r="AY204" s="863"/>
      <c r="AZ204" s="863"/>
      <c r="BA204" s="863"/>
      <c r="BB204" s="863"/>
      <c r="BC204" s="863"/>
      <c r="BD204" s="863"/>
      <c r="BE204" s="863"/>
      <c r="BF204" s="863"/>
      <c r="BG204" s="863"/>
      <c r="BH204" s="863"/>
      <c r="BI204" s="863"/>
      <c r="BJ204" s="863"/>
      <c r="BK204" s="863"/>
      <c r="BL204" s="863"/>
      <c r="BM204" s="863"/>
      <c r="BN204" s="863"/>
      <c r="BO204" s="863"/>
      <c r="BP204" s="880"/>
      <c r="BQ204" s="863"/>
      <c r="BR204" s="889" t="str">
        <f>IFERROR(__xludf.DUMMYFUNCTION("""COMPUTED_VALUE"""),"Zawde")</f>
        <v>Zawde</v>
      </c>
      <c r="BS204" s="883" t="str">
        <f>IFERROR(__xludf.DUMMYFUNCTION("""COMPUTED_VALUE"""),"Ethiopia")</f>
        <v>Ethiopia</v>
      </c>
      <c r="BT204" s="883" t="str">
        <f>IFERROR(__xludf.DUMMYFUNCTION("""COMPUTED_VALUE"""),"Albendazole")</f>
        <v>Albendazole</v>
      </c>
      <c r="BU204" s="883"/>
      <c r="BV204" s="883" t="str">
        <f>IFERROR(__xludf.DUMMYFUNCTION("""COMPUTED_VALUE"""),"Single")</f>
        <v>Single</v>
      </c>
      <c r="BW204" s="883" t="str">
        <f>IFERROR(__xludf.DUMMYFUNCTION("""COMPUTED_VALUE"""),"400 mg")</f>
        <v>400 mg</v>
      </c>
      <c r="BX204" s="883">
        <f>IFERROR(__xludf.DUMMYFUNCTION("""COMPUTED_VALUE"""),35.0)</f>
        <v>35</v>
      </c>
      <c r="BY204" s="883" t="str">
        <f>IFERROR(__xludf.DUMMYFUNCTION("""COMPUTED_VALUE"""),"9-52")</f>
        <v>9-52</v>
      </c>
      <c r="BZ204" s="883"/>
      <c r="CA204" s="883" t="str">
        <f>IFERROR(__xludf.DUMMYFUNCTION("""COMPUTED_VALUE"""),"MF")</f>
        <v>MF</v>
      </c>
      <c r="CB204" s="883"/>
      <c r="CC204" s="883" t="str">
        <f>IFERROR(__xludf.DUMMYFUNCTION("""COMPUTED_VALUE"""),"No")</f>
        <v>No</v>
      </c>
      <c r="CD204" s="884">
        <f>IFERROR(__xludf.DUMMYFUNCTION("""COMPUTED_VALUE"""),0.97)</f>
        <v>0.97</v>
      </c>
      <c r="CE204" s="883" t="str">
        <f>IFERROR(__xludf.DUMMYFUNCTION("""COMPUTED_VALUE"""),"No")</f>
        <v>No</v>
      </c>
      <c r="CF204" s="883"/>
      <c r="CG204" s="883"/>
      <c r="CH204" s="883"/>
      <c r="CI204" s="883"/>
      <c r="CJ204" s="883"/>
      <c r="CK204" s="883"/>
      <c r="CL204" s="883"/>
      <c r="CM204" s="883"/>
      <c r="CN204" s="883"/>
      <c r="CO204" s="883"/>
      <c r="CP204" s="883"/>
      <c r="CQ204" s="883"/>
      <c r="CR204" s="883"/>
      <c r="CS204" s="883"/>
      <c r="CT204" s="883"/>
      <c r="CU204" s="883"/>
      <c r="CV204" s="863"/>
      <c r="CW204" s="863"/>
      <c r="CX204" s="863"/>
      <c r="CY204" s="863"/>
      <c r="CZ204" s="863"/>
      <c r="DA204" s="863"/>
      <c r="DB204" s="863"/>
      <c r="DC204" s="863"/>
      <c r="DD204" s="863"/>
      <c r="DE204" s="863"/>
    </row>
    <row r="205">
      <c r="A205" s="876"/>
      <c r="B205" s="876"/>
      <c r="C205" s="876"/>
      <c r="D205" s="876"/>
      <c r="E205" s="876"/>
      <c r="F205" s="876"/>
      <c r="G205" s="876"/>
      <c r="H205" s="876"/>
      <c r="I205" s="876"/>
      <c r="J205" s="876"/>
      <c r="K205" s="876"/>
      <c r="L205" s="876"/>
      <c r="M205" s="876"/>
      <c r="N205" s="877"/>
      <c r="O205" s="876"/>
      <c r="P205" s="876"/>
      <c r="Q205" s="876"/>
      <c r="R205" s="876"/>
      <c r="S205" s="876"/>
      <c r="T205" s="876"/>
      <c r="U205" s="876"/>
      <c r="V205" s="876"/>
      <c r="W205" s="876"/>
      <c r="X205" s="876"/>
      <c r="Y205" s="876"/>
      <c r="Z205" s="876"/>
      <c r="AA205" s="876"/>
      <c r="AB205" s="876"/>
      <c r="AC205" s="876"/>
      <c r="AD205" s="876"/>
      <c r="AE205" s="876"/>
      <c r="AF205" s="876"/>
      <c r="AG205" s="876"/>
      <c r="AH205" s="876"/>
      <c r="AI205" s="878"/>
      <c r="AJ205" s="880"/>
      <c r="AK205" s="880"/>
      <c r="AL205" s="880"/>
      <c r="AM205" s="880"/>
      <c r="AN205" s="880"/>
      <c r="AO205" s="880"/>
      <c r="AP205" s="880"/>
      <c r="AQ205" s="880"/>
      <c r="AR205" s="880"/>
      <c r="AS205" s="880"/>
      <c r="AT205" s="880"/>
      <c r="AU205" s="880"/>
      <c r="AV205" s="880"/>
      <c r="AW205" s="881"/>
      <c r="AX205" s="863"/>
      <c r="AY205" s="863"/>
      <c r="AZ205" s="863"/>
      <c r="BA205" s="863"/>
      <c r="BB205" s="863"/>
      <c r="BC205" s="863"/>
      <c r="BD205" s="863"/>
      <c r="BE205" s="863"/>
      <c r="BF205" s="863"/>
      <c r="BG205" s="863"/>
      <c r="BH205" s="863"/>
      <c r="BI205" s="863"/>
      <c r="BJ205" s="863"/>
      <c r="BK205" s="863"/>
      <c r="BL205" s="863"/>
      <c r="BM205" s="863"/>
      <c r="BN205" s="863"/>
      <c r="BO205" s="863"/>
      <c r="BP205" s="880"/>
      <c r="BQ205" s="863"/>
      <c r="BR205" s="889" t="str">
        <f>IFERROR(__xludf.DUMMYFUNCTION("""COMPUTED_VALUE"""),"Okelo")</f>
        <v>Okelo</v>
      </c>
      <c r="BS205" s="883" t="str">
        <f>IFERROR(__xludf.DUMMYFUNCTION("""COMPUTED_VALUE"""),"Kenya")</f>
        <v>Kenya</v>
      </c>
      <c r="BT205" s="883" t="str">
        <f>IFERROR(__xludf.DUMMYFUNCTION("""COMPUTED_VALUE"""),"Albendazole")</f>
        <v>Albendazole</v>
      </c>
      <c r="BU205" s="883"/>
      <c r="BV205" s="883" t="str">
        <f>IFERROR(__xludf.DUMMYFUNCTION("""COMPUTED_VALUE"""),"Single")</f>
        <v>Single</v>
      </c>
      <c r="BW205" s="883" t="str">
        <f>IFERROR(__xludf.DUMMYFUNCTION("""COMPUTED_VALUE"""),"400 mg")</f>
        <v>400 mg</v>
      </c>
      <c r="BX205" s="883">
        <f>IFERROR(__xludf.DUMMYFUNCTION("""COMPUTED_VALUE"""),15.0)</f>
        <v>15</v>
      </c>
      <c r="BY205" s="883" t="str">
        <f>IFERROR(__xludf.DUMMYFUNCTION("""COMPUTED_VALUE"""),"15-52")</f>
        <v>15-52</v>
      </c>
      <c r="BZ205" s="883"/>
      <c r="CA205" s="883" t="str">
        <f>IFERROR(__xludf.DUMMYFUNCTION("""COMPUTED_VALUE"""),"MF")</f>
        <v>MF</v>
      </c>
      <c r="CB205" s="883"/>
      <c r="CC205" s="883" t="str">
        <f>IFERROR(__xludf.DUMMYFUNCTION("""COMPUTED_VALUE"""),"No")</f>
        <v>No</v>
      </c>
      <c r="CD205" s="884">
        <f>IFERROR(__xludf.DUMMYFUNCTION("""COMPUTED_VALUE"""),0.913)</f>
        <v>0.913</v>
      </c>
      <c r="CE205" s="883" t="str">
        <f>IFERROR(__xludf.DUMMYFUNCTION("""COMPUTED_VALUE"""),"No")</f>
        <v>No</v>
      </c>
      <c r="CF205" s="883"/>
      <c r="CG205" s="883"/>
      <c r="CH205" s="883"/>
      <c r="CI205" s="883"/>
      <c r="CJ205" s="883"/>
      <c r="CK205" s="883"/>
      <c r="CL205" s="883"/>
      <c r="CM205" s="883"/>
      <c r="CN205" s="883"/>
      <c r="CO205" s="883"/>
      <c r="CP205" s="883"/>
      <c r="CQ205" s="883"/>
      <c r="CR205" s="883"/>
      <c r="CS205" s="883"/>
      <c r="CT205" s="883"/>
      <c r="CU205" s="883"/>
      <c r="CV205" s="863"/>
      <c r="CW205" s="863"/>
      <c r="CX205" s="863"/>
      <c r="CY205" s="863"/>
      <c r="CZ205" s="863"/>
      <c r="DA205" s="863"/>
      <c r="DB205" s="863"/>
      <c r="DC205" s="863"/>
      <c r="DD205" s="863"/>
      <c r="DE205" s="863"/>
    </row>
    <row r="206">
      <c r="A206" s="876"/>
      <c r="B206" s="876"/>
      <c r="C206" s="876"/>
      <c r="D206" s="876"/>
      <c r="E206" s="876"/>
      <c r="F206" s="876"/>
      <c r="G206" s="876"/>
      <c r="H206" s="876"/>
      <c r="I206" s="876"/>
      <c r="J206" s="876"/>
      <c r="K206" s="876"/>
      <c r="L206" s="876"/>
      <c r="M206" s="876"/>
      <c r="N206" s="877"/>
      <c r="O206" s="876"/>
      <c r="P206" s="876"/>
      <c r="Q206" s="876"/>
      <c r="R206" s="876"/>
      <c r="S206" s="876"/>
      <c r="T206" s="876"/>
      <c r="U206" s="876"/>
      <c r="V206" s="876"/>
      <c r="W206" s="876"/>
      <c r="X206" s="876"/>
      <c r="Y206" s="876"/>
      <c r="Z206" s="876"/>
      <c r="AA206" s="876"/>
      <c r="AB206" s="876"/>
      <c r="AC206" s="876"/>
      <c r="AD206" s="876"/>
      <c r="AE206" s="876"/>
      <c r="AF206" s="876"/>
      <c r="AG206" s="876"/>
      <c r="AH206" s="876"/>
      <c r="AI206" s="878"/>
      <c r="AJ206" s="880"/>
      <c r="AK206" s="880"/>
      <c r="AL206" s="880"/>
      <c r="AM206" s="880"/>
      <c r="AN206" s="880"/>
      <c r="AO206" s="880"/>
      <c r="AP206" s="880"/>
      <c r="AQ206" s="880"/>
      <c r="AR206" s="880"/>
      <c r="AS206" s="880"/>
      <c r="AT206" s="880"/>
      <c r="AU206" s="880"/>
      <c r="AV206" s="880"/>
      <c r="AW206" s="881"/>
      <c r="AX206" s="863"/>
      <c r="AY206" s="863"/>
      <c r="AZ206" s="863"/>
      <c r="BA206" s="863"/>
      <c r="BB206" s="863"/>
      <c r="BC206" s="863"/>
      <c r="BD206" s="863"/>
      <c r="BE206" s="863"/>
      <c r="BF206" s="863"/>
      <c r="BG206" s="863"/>
      <c r="BH206" s="863"/>
      <c r="BI206" s="863"/>
      <c r="BJ206" s="863"/>
      <c r="BK206" s="863"/>
      <c r="BL206" s="863"/>
      <c r="BM206" s="863"/>
      <c r="BN206" s="863"/>
      <c r="BO206" s="863"/>
      <c r="BP206" s="880"/>
      <c r="BQ206" s="863"/>
      <c r="BR206" s="889" t="str">
        <f>IFERROR(__xludf.DUMMYFUNCTION("""COMPUTED_VALUE"""),"Okelo")</f>
        <v>Okelo</v>
      </c>
      <c r="BS206" s="883" t="str">
        <f>IFERROR(__xludf.DUMMYFUNCTION("""COMPUTED_VALUE"""),"Kenya")</f>
        <v>Kenya</v>
      </c>
      <c r="BT206" s="883" t="str">
        <f>IFERROR(__xludf.DUMMYFUNCTION("""COMPUTED_VALUE"""),"Albendazole")</f>
        <v>Albendazole</v>
      </c>
      <c r="BU206" s="883"/>
      <c r="BV206" s="883" t="str">
        <f>IFERROR(__xludf.DUMMYFUNCTION("""COMPUTED_VALUE"""),"Three")</f>
        <v>Three</v>
      </c>
      <c r="BW206" s="883" t="str">
        <f>IFERROR(__xludf.DUMMYFUNCTION("""COMPUTED_VALUE"""),"400 mg")</f>
        <v>400 mg</v>
      </c>
      <c r="BX206" s="883">
        <f>IFERROR(__xludf.DUMMYFUNCTION("""COMPUTED_VALUE"""),2.0)</f>
        <v>2</v>
      </c>
      <c r="BY206" s="883" t="str">
        <f>IFERROR(__xludf.DUMMYFUNCTION("""COMPUTED_VALUE"""),"15-52")</f>
        <v>15-52</v>
      </c>
      <c r="BZ206" s="883"/>
      <c r="CA206" s="883" t="str">
        <f>IFERROR(__xludf.DUMMYFUNCTION("""COMPUTED_VALUE"""),"MF")</f>
        <v>MF</v>
      </c>
      <c r="CB206" s="883"/>
      <c r="CC206" s="883" t="str">
        <f>IFERROR(__xludf.DUMMYFUNCTION("""COMPUTED_VALUE"""),"No")</f>
        <v>No</v>
      </c>
      <c r="CD206" s="884">
        <f>IFERROR(__xludf.DUMMYFUNCTION("""COMPUTED_VALUE"""),0.8)</f>
        <v>0.8</v>
      </c>
      <c r="CE206" s="883" t="str">
        <f>IFERROR(__xludf.DUMMYFUNCTION("""COMPUTED_VALUE"""),"No")</f>
        <v>No</v>
      </c>
      <c r="CF206" s="883"/>
      <c r="CG206" s="883"/>
      <c r="CH206" s="883"/>
      <c r="CI206" s="883"/>
      <c r="CJ206" s="883"/>
      <c r="CK206" s="883"/>
      <c r="CL206" s="883"/>
      <c r="CM206" s="883"/>
      <c r="CN206" s="883"/>
      <c r="CO206" s="883"/>
      <c r="CP206" s="883"/>
      <c r="CQ206" s="883"/>
      <c r="CR206" s="883"/>
      <c r="CS206" s="883"/>
      <c r="CT206" s="883"/>
      <c r="CU206" s="883"/>
      <c r="CV206" s="863"/>
      <c r="CW206" s="863"/>
      <c r="CX206" s="863"/>
      <c r="CY206" s="863"/>
      <c r="CZ206" s="863"/>
      <c r="DA206" s="863"/>
      <c r="DB206" s="863"/>
      <c r="DC206" s="863"/>
      <c r="DD206" s="863"/>
      <c r="DE206" s="863"/>
    </row>
    <row r="207">
      <c r="A207" s="876"/>
      <c r="B207" s="876"/>
      <c r="C207" s="876"/>
      <c r="D207" s="876"/>
      <c r="E207" s="876"/>
      <c r="F207" s="876"/>
      <c r="G207" s="876"/>
      <c r="H207" s="876"/>
      <c r="I207" s="876"/>
      <c r="J207" s="876"/>
      <c r="K207" s="876"/>
      <c r="L207" s="876"/>
      <c r="M207" s="876"/>
      <c r="N207" s="877"/>
      <c r="O207" s="876"/>
      <c r="P207" s="876"/>
      <c r="Q207" s="876"/>
      <c r="R207" s="876"/>
      <c r="S207" s="876"/>
      <c r="T207" s="876"/>
      <c r="U207" s="876"/>
      <c r="V207" s="876"/>
      <c r="W207" s="876"/>
      <c r="X207" s="876"/>
      <c r="Y207" s="876"/>
      <c r="Z207" s="876"/>
      <c r="AA207" s="876"/>
      <c r="AB207" s="876"/>
      <c r="AC207" s="876"/>
      <c r="AD207" s="876"/>
      <c r="AE207" s="876"/>
      <c r="AF207" s="876"/>
      <c r="AG207" s="876"/>
      <c r="AH207" s="876"/>
      <c r="AI207" s="878"/>
      <c r="AJ207" s="880"/>
      <c r="AK207" s="880"/>
      <c r="AL207" s="880"/>
      <c r="AM207" s="880"/>
      <c r="AN207" s="880"/>
      <c r="AO207" s="880"/>
      <c r="AP207" s="880"/>
      <c r="AQ207" s="880"/>
      <c r="AR207" s="880"/>
      <c r="AS207" s="880"/>
      <c r="AT207" s="880"/>
      <c r="AU207" s="880"/>
      <c r="AV207" s="880"/>
      <c r="AW207" s="881"/>
      <c r="AX207" s="863"/>
      <c r="AY207" s="863"/>
      <c r="AZ207" s="863"/>
      <c r="BA207" s="863"/>
      <c r="BB207" s="863"/>
      <c r="BC207" s="863"/>
      <c r="BD207" s="863"/>
      <c r="BE207" s="863"/>
      <c r="BF207" s="863"/>
      <c r="BG207" s="863"/>
      <c r="BH207" s="863"/>
      <c r="BI207" s="863"/>
      <c r="BJ207" s="863"/>
      <c r="BK207" s="863"/>
      <c r="BL207" s="863"/>
      <c r="BM207" s="863"/>
      <c r="BN207" s="863"/>
      <c r="BO207" s="863"/>
      <c r="BP207" s="880"/>
      <c r="BQ207" s="863"/>
      <c r="BR207" s="889" t="str">
        <f>IFERROR(__xludf.DUMMYFUNCTION("""COMPUTED_VALUE"""),"Okelo")</f>
        <v>Okelo</v>
      </c>
      <c r="BS207" s="883" t="str">
        <f>IFERROR(__xludf.DUMMYFUNCTION("""COMPUTED_VALUE"""),"Kenya")</f>
        <v>Kenya</v>
      </c>
      <c r="BT207" s="883" t="str">
        <f>IFERROR(__xludf.DUMMYFUNCTION("""COMPUTED_VALUE"""),"Albendazole")</f>
        <v>Albendazole</v>
      </c>
      <c r="BU207" s="883"/>
      <c r="BV207" s="883" t="str">
        <f>IFERROR(__xludf.DUMMYFUNCTION("""COMPUTED_VALUE"""),"Single")</f>
        <v>Single</v>
      </c>
      <c r="BW207" s="883" t="str">
        <f>IFERROR(__xludf.DUMMYFUNCTION("""COMPUTED_VALUE"""),"400 mg")</f>
        <v>400 mg</v>
      </c>
      <c r="BX207" s="883">
        <f>IFERROR(__xludf.DUMMYFUNCTION("""COMPUTED_VALUE"""),6.0)</f>
        <v>6</v>
      </c>
      <c r="BY207" s="883" t="str">
        <f>IFERROR(__xludf.DUMMYFUNCTION("""COMPUTED_VALUE"""),"15-52")</f>
        <v>15-52</v>
      </c>
      <c r="BZ207" s="883"/>
      <c r="CA207" s="883" t="str">
        <f>IFERROR(__xludf.DUMMYFUNCTION("""COMPUTED_VALUE"""),"MF")</f>
        <v>MF</v>
      </c>
      <c r="CB207" s="883"/>
      <c r="CC207" s="883" t="str">
        <f>IFERROR(__xludf.DUMMYFUNCTION("""COMPUTED_VALUE"""),"Yes")</f>
        <v>Yes</v>
      </c>
      <c r="CD207" s="884">
        <f>IFERROR(__xludf.DUMMYFUNCTION("""COMPUTED_VALUE"""),0.8667)</f>
        <v>0.8667</v>
      </c>
      <c r="CE207" s="883" t="str">
        <f>IFERROR(__xludf.DUMMYFUNCTION("""COMPUTED_VALUE"""),"Yes")</f>
        <v>Yes</v>
      </c>
      <c r="CF207" s="883"/>
      <c r="CG207" s="883"/>
      <c r="CH207" s="883"/>
      <c r="CI207" s="883"/>
      <c r="CJ207" s="883"/>
      <c r="CK207" s="883"/>
      <c r="CL207" s="883"/>
      <c r="CM207" s="883"/>
      <c r="CN207" s="883"/>
      <c r="CO207" s="883"/>
      <c r="CP207" s="883"/>
      <c r="CQ207" s="883"/>
      <c r="CR207" s="883"/>
      <c r="CS207" s="883"/>
      <c r="CT207" s="883"/>
      <c r="CU207" s="883"/>
      <c r="CV207" s="863"/>
      <c r="CW207" s="863"/>
      <c r="CX207" s="863"/>
      <c r="CY207" s="863"/>
      <c r="CZ207" s="863"/>
      <c r="DA207" s="863"/>
      <c r="DB207" s="863"/>
      <c r="DC207" s="863"/>
      <c r="DD207" s="863"/>
      <c r="DE207" s="863"/>
    </row>
    <row r="208">
      <c r="A208" s="876"/>
      <c r="B208" s="876"/>
      <c r="C208" s="876"/>
      <c r="D208" s="876"/>
      <c r="E208" s="876"/>
      <c r="F208" s="876"/>
      <c r="G208" s="876"/>
      <c r="H208" s="876"/>
      <c r="I208" s="876"/>
      <c r="J208" s="876"/>
      <c r="K208" s="876"/>
      <c r="L208" s="876"/>
      <c r="M208" s="876"/>
      <c r="N208" s="877"/>
      <c r="O208" s="876"/>
      <c r="P208" s="876"/>
      <c r="Q208" s="876"/>
      <c r="R208" s="876"/>
      <c r="S208" s="876"/>
      <c r="T208" s="876"/>
      <c r="U208" s="876"/>
      <c r="V208" s="876"/>
      <c r="W208" s="876"/>
      <c r="X208" s="876"/>
      <c r="Y208" s="876"/>
      <c r="Z208" s="876"/>
      <c r="AA208" s="876"/>
      <c r="AB208" s="876"/>
      <c r="AC208" s="876"/>
      <c r="AD208" s="876"/>
      <c r="AE208" s="876"/>
      <c r="AF208" s="876"/>
      <c r="AG208" s="876"/>
      <c r="AH208" s="876"/>
      <c r="AI208" s="878"/>
      <c r="AJ208" s="880"/>
      <c r="AK208" s="880"/>
      <c r="AL208" s="880"/>
      <c r="AM208" s="880"/>
      <c r="AN208" s="880"/>
      <c r="AO208" s="880"/>
      <c r="AP208" s="880"/>
      <c r="AQ208" s="880"/>
      <c r="AR208" s="880"/>
      <c r="AS208" s="880"/>
      <c r="AT208" s="880"/>
      <c r="AU208" s="880"/>
      <c r="AV208" s="880"/>
      <c r="AW208" s="881"/>
      <c r="AX208" s="863"/>
      <c r="AY208" s="863"/>
      <c r="AZ208" s="863"/>
      <c r="BA208" s="863"/>
      <c r="BB208" s="863"/>
      <c r="BC208" s="863"/>
      <c r="BD208" s="863"/>
      <c r="BE208" s="863"/>
      <c r="BF208" s="863"/>
      <c r="BG208" s="863"/>
      <c r="BH208" s="863"/>
      <c r="BI208" s="863"/>
      <c r="BJ208" s="863"/>
      <c r="BK208" s="863"/>
      <c r="BL208" s="863"/>
      <c r="BM208" s="863"/>
      <c r="BN208" s="863"/>
      <c r="BO208" s="863"/>
      <c r="BP208" s="880"/>
      <c r="BQ208" s="863"/>
      <c r="BR208" s="889" t="str">
        <f>IFERROR(__xludf.DUMMYFUNCTION("""COMPUTED_VALUE"""),"Okelo")</f>
        <v>Okelo</v>
      </c>
      <c r="BS208" s="883" t="str">
        <f>IFERROR(__xludf.DUMMYFUNCTION("""COMPUTED_VALUE"""),"Kenya")</f>
        <v>Kenya</v>
      </c>
      <c r="BT208" s="883" t="str">
        <f>IFERROR(__xludf.DUMMYFUNCTION("""COMPUTED_VALUE"""),"Albendazole")</f>
        <v>Albendazole</v>
      </c>
      <c r="BU208" s="883"/>
      <c r="BV208" s="883" t="str">
        <f>IFERROR(__xludf.DUMMYFUNCTION("""COMPUTED_VALUE"""),"Three")</f>
        <v>Three</v>
      </c>
      <c r="BW208" s="883" t="str">
        <f>IFERROR(__xludf.DUMMYFUNCTION("""COMPUTED_VALUE"""),"400 mg")</f>
        <v>400 mg</v>
      </c>
      <c r="BX208" s="883">
        <f>IFERROR(__xludf.DUMMYFUNCTION("""COMPUTED_VALUE"""),1.0)</f>
        <v>1</v>
      </c>
      <c r="BY208" s="883" t="str">
        <f>IFERROR(__xludf.DUMMYFUNCTION("""COMPUTED_VALUE"""),"15-52")</f>
        <v>15-52</v>
      </c>
      <c r="BZ208" s="883"/>
      <c r="CA208" s="883" t="str">
        <f>IFERROR(__xludf.DUMMYFUNCTION("""COMPUTED_VALUE"""),"MF")</f>
        <v>MF</v>
      </c>
      <c r="CB208" s="883"/>
      <c r="CC208" s="883" t="str">
        <f>IFERROR(__xludf.DUMMYFUNCTION("""COMPUTED_VALUE"""),"Yes")</f>
        <v>Yes</v>
      </c>
      <c r="CD208" s="884">
        <f>IFERROR(__xludf.DUMMYFUNCTION("""COMPUTED_VALUE"""),0.6667)</f>
        <v>0.6667</v>
      </c>
      <c r="CE208" s="883" t="str">
        <f>IFERROR(__xludf.DUMMYFUNCTION("""COMPUTED_VALUE"""),"Yes")</f>
        <v>Yes</v>
      </c>
      <c r="CF208" s="883"/>
      <c r="CG208" s="883"/>
      <c r="CH208" s="883"/>
      <c r="CI208" s="883"/>
      <c r="CJ208" s="883"/>
      <c r="CK208" s="883"/>
      <c r="CL208" s="883"/>
      <c r="CM208" s="883"/>
      <c r="CN208" s="883"/>
      <c r="CO208" s="883"/>
      <c r="CP208" s="883"/>
      <c r="CQ208" s="883"/>
      <c r="CR208" s="883"/>
      <c r="CS208" s="883"/>
      <c r="CT208" s="883"/>
      <c r="CU208" s="883"/>
      <c r="CV208" s="863"/>
      <c r="CW208" s="863"/>
      <c r="CX208" s="863"/>
      <c r="CY208" s="863"/>
      <c r="CZ208" s="863"/>
      <c r="DA208" s="863"/>
      <c r="DB208" s="863"/>
      <c r="DC208" s="863"/>
      <c r="DD208" s="863"/>
      <c r="DE208" s="863"/>
    </row>
    <row r="209">
      <c r="A209" s="876"/>
      <c r="B209" s="876"/>
      <c r="C209" s="876"/>
      <c r="D209" s="876"/>
      <c r="E209" s="876"/>
      <c r="F209" s="876"/>
      <c r="G209" s="876"/>
      <c r="H209" s="876"/>
      <c r="I209" s="876"/>
      <c r="J209" s="876"/>
      <c r="K209" s="876"/>
      <c r="L209" s="876"/>
      <c r="M209" s="876"/>
      <c r="N209" s="877"/>
      <c r="O209" s="876"/>
      <c r="P209" s="876"/>
      <c r="Q209" s="876"/>
      <c r="R209" s="876"/>
      <c r="S209" s="876"/>
      <c r="T209" s="876"/>
      <c r="U209" s="876"/>
      <c r="V209" s="876"/>
      <c r="W209" s="876"/>
      <c r="X209" s="876"/>
      <c r="Y209" s="876"/>
      <c r="Z209" s="876"/>
      <c r="AA209" s="876"/>
      <c r="AB209" s="876"/>
      <c r="AC209" s="876"/>
      <c r="AD209" s="876"/>
      <c r="AE209" s="876"/>
      <c r="AF209" s="876"/>
      <c r="AG209" s="876"/>
      <c r="AH209" s="876"/>
      <c r="AI209" s="878"/>
      <c r="AJ209" s="880"/>
      <c r="AK209" s="880"/>
      <c r="AL209" s="880"/>
      <c r="AM209" s="880"/>
      <c r="AN209" s="880"/>
      <c r="AO209" s="880"/>
      <c r="AP209" s="880"/>
      <c r="AQ209" s="880"/>
      <c r="AR209" s="880"/>
      <c r="AS209" s="880"/>
      <c r="AT209" s="880"/>
      <c r="AU209" s="880"/>
      <c r="AV209" s="880"/>
      <c r="AW209" s="881"/>
      <c r="AX209" s="863"/>
      <c r="AY209" s="863"/>
      <c r="AZ209" s="863"/>
      <c r="BA209" s="863"/>
      <c r="BB209" s="863"/>
      <c r="BC209" s="863"/>
      <c r="BD209" s="863"/>
      <c r="BE209" s="863"/>
      <c r="BF209" s="863"/>
      <c r="BG209" s="863"/>
      <c r="BH209" s="863"/>
      <c r="BI209" s="863"/>
      <c r="BJ209" s="863"/>
      <c r="BK209" s="863"/>
      <c r="BL209" s="863"/>
      <c r="BM209" s="863"/>
      <c r="BN209" s="863"/>
      <c r="BO209" s="863"/>
      <c r="BP209" s="880"/>
      <c r="BQ209" s="863"/>
      <c r="BR209" s="883" t="str">
        <f>IFERROR(__xludf.DUMMYFUNCTION("""COMPUTED_VALUE"""),"Yongyuth")</f>
        <v>Yongyuth</v>
      </c>
      <c r="BS209" s="883" t="str">
        <f>IFERROR(__xludf.DUMMYFUNCTION("""COMPUTED_VALUE"""),"Thailand")</f>
        <v>Thailand</v>
      </c>
      <c r="BT209" s="883"/>
      <c r="BU209" s="883"/>
      <c r="BV209" s="883"/>
      <c r="BW209" s="883"/>
      <c r="BX209" s="883"/>
      <c r="BY209" s="883"/>
      <c r="BZ209" s="883"/>
      <c r="CA209" s="883"/>
      <c r="CB209" s="883"/>
      <c r="CC209" s="883"/>
      <c r="CD209" s="884"/>
      <c r="CE209" s="883"/>
      <c r="CF209" s="883"/>
      <c r="CG209" s="883"/>
      <c r="CH209" s="883"/>
      <c r="CI209" s="883"/>
      <c r="CJ209" s="883"/>
      <c r="CK209" s="883"/>
      <c r="CL209" s="883"/>
      <c r="CM209" s="883"/>
      <c r="CN209" s="883"/>
      <c r="CO209" s="883"/>
      <c r="CP209" s="883"/>
      <c r="CQ209" s="883"/>
      <c r="CR209" s="883"/>
      <c r="CS209" s="883"/>
      <c r="CT209" s="883"/>
      <c r="CU209" s="883"/>
      <c r="CV209" s="863"/>
      <c r="CW209" s="863"/>
      <c r="CX209" s="863"/>
      <c r="CY209" s="863"/>
      <c r="CZ209" s="863"/>
      <c r="DA209" s="863"/>
      <c r="DB209" s="863"/>
      <c r="DC209" s="863"/>
      <c r="DD209" s="863"/>
      <c r="DE209" s="863"/>
    </row>
    <row r="210">
      <c r="A210" s="876"/>
      <c r="B210" s="876"/>
      <c r="C210" s="876"/>
      <c r="D210" s="876"/>
      <c r="E210" s="876"/>
      <c r="F210" s="876"/>
      <c r="G210" s="876"/>
      <c r="H210" s="876"/>
      <c r="I210" s="876"/>
      <c r="J210" s="876"/>
      <c r="K210" s="876"/>
      <c r="L210" s="876"/>
      <c r="M210" s="876"/>
      <c r="N210" s="877"/>
      <c r="O210" s="876"/>
      <c r="P210" s="876"/>
      <c r="Q210" s="876"/>
      <c r="R210" s="876"/>
      <c r="S210" s="876"/>
      <c r="T210" s="876"/>
      <c r="U210" s="876"/>
      <c r="V210" s="876"/>
      <c r="W210" s="876"/>
      <c r="X210" s="876"/>
      <c r="Y210" s="876"/>
      <c r="Z210" s="876"/>
      <c r="AA210" s="876"/>
      <c r="AB210" s="876"/>
      <c r="AC210" s="876"/>
      <c r="AD210" s="876"/>
      <c r="AE210" s="876"/>
      <c r="AF210" s="876"/>
      <c r="AG210" s="876"/>
      <c r="AH210" s="876"/>
      <c r="AI210" s="878"/>
      <c r="AJ210" s="880"/>
      <c r="AK210" s="880"/>
      <c r="AL210" s="880"/>
      <c r="AM210" s="880"/>
      <c r="AN210" s="880"/>
      <c r="AO210" s="880"/>
      <c r="AP210" s="880"/>
      <c r="AQ210" s="880"/>
      <c r="AR210" s="880"/>
      <c r="AS210" s="880"/>
      <c r="AT210" s="880"/>
      <c r="AU210" s="880"/>
      <c r="AV210" s="880"/>
      <c r="AW210" s="881"/>
      <c r="AX210" s="863"/>
      <c r="AY210" s="863"/>
      <c r="AZ210" s="863"/>
      <c r="BA210" s="863"/>
      <c r="BB210" s="863"/>
      <c r="BC210" s="863"/>
      <c r="BD210" s="863"/>
      <c r="BE210" s="863"/>
      <c r="BF210" s="863"/>
      <c r="BG210" s="863"/>
      <c r="BH210" s="863"/>
      <c r="BI210" s="863"/>
      <c r="BJ210" s="863"/>
      <c r="BK210" s="863"/>
      <c r="BL210" s="863"/>
      <c r="BM210" s="863"/>
      <c r="BN210" s="863"/>
      <c r="BO210" s="863"/>
      <c r="BP210" s="880"/>
      <c r="BQ210" s="863"/>
      <c r="BR210" s="883" t="str">
        <f>IFERROR(__xludf.DUMMYFUNCTION("""COMPUTED_VALUE"""),"Siriaut")</f>
        <v>Siriaut</v>
      </c>
      <c r="BS210" s="883" t="str">
        <f>IFERROR(__xludf.DUMMYFUNCTION("""COMPUTED_VALUE"""),"Thailand")</f>
        <v>Thailand</v>
      </c>
      <c r="BT210" s="883"/>
      <c r="BU210" s="883"/>
      <c r="BV210" s="883"/>
      <c r="BW210" s="883"/>
      <c r="BX210" s="883"/>
      <c r="BY210" s="883"/>
      <c r="BZ210" s="883"/>
      <c r="CA210" s="883"/>
      <c r="CB210" s="883"/>
      <c r="CC210" s="883"/>
      <c r="CD210" s="884"/>
      <c r="CE210" s="883"/>
      <c r="CF210" s="883"/>
      <c r="CG210" s="883"/>
      <c r="CH210" s="883"/>
      <c r="CI210" s="883"/>
      <c r="CJ210" s="883"/>
      <c r="CK210" s="883"/>
      <c r="CL210" s="883"/>
      <c r="CM210" s="883"/>
      <c r="CN210" s="883"/>
      <c r="CO210" s="883"/>
      <c r="CP210" s="883"/>
      <c r="CQ210" s="883"/>
      <c r="CR210" s="883"/>
      <c r="CS210" s="883"/>
      <c r="CT210" s="883"/>
      <c r="CU210" s="883"/>
      <c r="CV210" s="863"/>
      <c r="CW210" s="863"/>
      <c r="CX210" s="863"/>
      <c r="CY210" s="863"/>
      <c r="CZ210" s="863"/>
      <c r="DA210" s="863"/>
      <c r="DB210" s="863"/>
      <c r="DC210" s="863"/>
      <c r="DD210" s="863"/>
      <c r="DE210" s="863"/>
    </row>
    <row r="211">
      <c r="A211" s="876"/>
      <c r="B211" s="876"/>
      <c r="C211" s="876"/>
      <c r="D211" s="876"/>
      <c r="E211" s="876"/>
      <c r="F211" s="876"/>
      <c r="G211" s="876"/>
      <c r="H211" s="876"/>
      <c r="I211" s="876"/>
      <c r="J211" s="876"/>
      <c r="K211" s="876"/>
      <c r="L211" s="876"/>
      <c r="M211" s="876"/>
      <c r="N211" s="877"/>
      <c r="O211" s="876"/>
      <c r="P211" s="876"/>
      <c r="Q211" s="876"/>
      <c r="R211" s="876"/>
      <c r="S211" s="876"/>
      <c r="T211" s="876"/>
      <c r="U211" s="876"/>
      <c r="V211" s="876"/>
      <c r="W211" s="876"/>
      <c r="X211" s="876"/>
      <c r="Y211" s="876"/>
      <c r="Z211" s="876"/>
      <c r="AA211" s="876"/>
      <c r="AB211" s="876"/>
      <c r="AC211" s="876"/>
      <c r="AD211" s="876"/>
      <c r="AE211" s="876"/>
      <c r="AF211" s="876"/>
      <c r="AG211" s="876"/>
      <c r="AH211" s="876"/>
      <c r="AI211" s="878"/>
      <c r="AJ211" s="880"/>
      <c r="AK211" s="880"/>
      <c r="AL211" s="880"/>
      <c r="AM211" s="880"/>
      <c r="AN211" s="880"/>
      <c r="AO211" s="880"/>
      <c r="AP211" s="880"/>
      <c r="AQ211" s="880"/>
      <c r="AR211" s="880"/>
      <c r="AS211" s="880"/>
      <c r="AT211" s="880"/>
      <c r="AU211" s="880"/>
      <c r="AV211" s="880"/>
      <c r="AW211" s="881"/>
      <c r="AX211" s="863"/>
      <c r="AY211" s="863"/>
      <c r="AZ211" s="863"/>
      <c r="BA211" s="863"/>
      <c r="BB211" s="863"/>
      <c r="BC211" s="863"/>
      <c r="BD211" s="863"/>
      <c r="BE211" s="863"/>
      <c r="BF211" s="863"/>
      <c r="BG211" s="863"/>
      <c r="BH211" s="863"/>
      <c r="BI211" s="863"/>
      <c r="BJ211" s="863"/>
      <c r="BK211" s="863"/>
      <c r="BL211" s="863"/>
      <c r="BM211" s="863"/>
      <c r="BN211" s="863"/>
      <c r="BO211" s="863"/>
      <c r="BP211" s="880"/>
      <c r="BQ211" s="863"/>
      <c r="BR211" s="883" t="str">
        <f>IFERROR(__xludf.DUMMYFUNCTION("""COMPUTED_VALUE"""),"Bhumiratana")</f>
        <v>Bhumiratana</v>
      </c>
      <c r="BS211" s="883" t="str">
        <f>IFERROR(__xludf.DUMMYFUNCTION("""COMPUTED_VALUE"""),"Thailand")</f>
        <v>Thailand</v>
      </c>
      <c r="BT211" s="883"/>
      <c r="BU211" s="883"/>
      <c r="BV211" s="883"/>
      <c r="BW211" s="883"/>
      <c r="BX211" s="883"/>
      <c r="BY211" s="883"/>
      <c r="BZ211" s="883"/>
      <c r="CA211" s="883"/>
      <c r="CB211" s="883"/>
      <c r="CC211" s="883"/>
      <c r="CD211" s="884"/>
      <c r="CE211" s="883"/>
      <c r="CF211" s="883"/>
      <c r="CG211" s="883"/>
      <c r="CH211" s="883"/>
      <c r="CI211" s="883"/>
      <c r="CJ211" s="883"/>
      <c r="CK211" s="883"/>
      <c r="CL211" s="883"/>
      <c r="CM211" s="883"/>
      <c r="CN211" s="883"/>
      <c r="CO211" s="883"/>
      <c r="CP211" s="883"/>
      <c r="CQ211" s="883"/>
      <c r="CR211" s="883"/>
      <c r="CS211" s="883"/>
      <c r="CT211" s="883"/>
      <c r="CU211" s="883"/>
      <c r="CV211" s="863"/>
      <c r="CW211" s="863"/>
      <c r="CX211" s="863"/>
      <c r="CY211" s="863"/>
      <c r="CZ211" s="863"/>
      <c r="DA211" s="863"/>
      <c r="DB211" s="863"/>
      <c r="DC211" s="863"/>
      <c r="DD211" s="863"/>
      <c r="DE211" s="863"/>
    </row>
    <row r="212">
      <c r="A212" s="876"/>
      <c r="B212" s="876"/>
      <c r="C212" s="876"/>
      <c r="D212" s="876"/>
      <c r="E212" s="876"/>
      <c r="F212" s="876"/>
      <c r="G212" s="876"/>
      <c r="H212" s="876"/>
      <c r="I212" s="876"/>
      <c r="J212" s="876"/>
      <c r="K212" s="876"/>
      <c r="L212" s="876"/>
      <c r="M212" s="876"/>
      <c r="N212" s="877"/>
      <c r="O212" s="876"/>
      <c r="P212" s="876"/>
      <c r="Q212" s="876"/>
      <c r="R212" s="876"/>
      <c r="S212" s="876"/>
      <c r="T212" s="876"/>
      <c r="U212" s="876"/>
      <c r="V212" s="876"/>
      <c r="W212" s="876"/>
      <c r="X212" s="876"/>
      <c r="Y212" s="876"/>
      <c r="Z212" s="876"/>
      <c r="AA212" s="876"/>
      <c r="AB212" s="876"/>
      <c r="AC212" s="876"/>
      <c r="AD212" s="876"/>
      <c r="AE212" s="876"/>
      <c r="AF212" s="876"/>
      <c r="AG212" s="876"/>
      <c r="AH212" s="876"/>
      <c r="AI212" s="878"/>
      <c r="AJ212" s="880"/>
      <c r="AK212" s="880"/>
      <c r="AL212" s="880"/>
      <c r="AM212" s="880"/>
      <c r="AN212" s="880"/>
      <c r="AO212" s="880"/>
      <c r="AP212" s="880"/>
      <c r="AQ212" s="880"/>
      <c r="AR212" s="880"/>
      <c r="AS212" s="880"/>
      <c r="AT212" s="880"/>
      <c r="AU212" s="880"/>
      <c r="AV212" s="880"/>
      <c r="AW212" s="881"/>
      <c r="AX212" s="863"/>
      <c r="AY212" s="863"/>
      <c r="AZ212" s="863"/>
      <c r="BA212" s="863"/>
      <c r="BB212" s="863"/>
      <c r="BC212" s="863"/>
      <c r="BD212" s="863"/>
      <c r="BE212" s="863"/>
      <c r="BF212" s="863"/>
      <c r="BG212" s="863"/>
      <c r="BH212" s="863"/>
      <c r="BI212" s="863"/>
      <c r="BJ212" s="863"/>
      <c r="BK212" s="863"/>
      <c r="BL212" s="863"/>
      <c r="BM212" s="863"/>
      <c r="BN212" s="863"/>
      <c r="BO212" s="863"/>
      <c r="BP212" s="880"/>
      <c r="BQ212" s="863"/>
      <c r="BR212" s="883" t="str">
        <f>IFERROR(__xludf.DUMMYFUNCTION("""COMPUTED_VALUE"""),"Yongyuth")</f>
        <v>Yongyuth</v>
      </c>
      <c r="BS212" s="883" t="str">
        <f>IFERROR(__xludf.DUMMYFUNCTION("""COMPUTED_VALUE"""),"Thailand")</f>
        <v>Thailand</v>
      </c>
      <c r="BT212" s="883"/>
      <c r="BU212" s="883"/>
      <c r="BV212" s="883"/>
      <c r="BW212" s="883"/>
      <c r="BX212" s="883"/>
      <c r="BY212" s="883"/>
      <c r="BZ212" s="883"/>
      <c r="CA212" s="883"/>
      <c r="CB212" s="883"/>
      <c r="CC212" s="883"/>
      <c r="CD212" s="884"/>
      <c r="CE212" s="883"/>
      <c r="CF212" s="883"/>
      <c r="CG212" s="883"/>
      <c r="CH212" s="883"/>
      <c r="CI212" s="883"/>
      <c r="CJ212" s="883"/>
      <c r="CK212" s="883"/>
      <c r="CL212" s="883"/>
      <c r="CM212" s="883"/>
      <c r="CN212" s="883"/>
      <c r="CO212" s="883"/>
      <c r="CP212" s="883"/>
      <c r="CQ212" s="883"/>
      <c r="CR212" s="883"/>
      <c r="CS212" s="883"/>
      <c r="CT212" s="883"/>
      <c r="CU212" s="883"/>
      <c r="CV212" s="863"/>
      <c r="CW212" s="863"/>
      <c r="CX212" s="863"/>
      <c r="CY212" s="863"/>
      <c r="CZ212" s="863"/>
      <c r="DA212" s="863"/>
      <c r="DB212" s="863"/>
      <c r="DC212" s="863"/>
      <c r="DD212" s="863"/>
      <c r="DE212" s="863"/>
    </row>
    <row r="213">
      <c r="A213" s="876"/>
      <c r="B213" s="876"/>
      <c r="C213" s="876"/>
      <c r="D213" s="876"/>
      <c r="E213" s="876"/>
      <c r="F213" s="876"/>
      <c r="G213" s="876"/>
      <c r="H213" s="876"/>
      <c r="I213" s="876"/>
      <c r="J213" s="876"/>
      <c r="K213" s="876"/>
      <c r="L213" s="876"/>
      <c r="M213" s="876"/>
      <c r="N213" s="877"/>
      <c r="O213" s="876"/>
      <c r="P213" s="876"/>
      <c r="Q213" s="876"/>
      <c r="R213" s="876"/>
      <c r="S213" s="876"/>
      <c r="T213" s="876"/>
      <c r="U213" s="876"/>
      <c r="V213" s="876"/>
      <c r="W213" s="876"/>
      <c r="X213" s="876"/>
      <c r="Y213" s="876"/>
      <c r="Z213" s="876"/>
      <c r="AA213" s="876"/>
      <c r="AB213" s="876"/>
      <c r="AC213" s="876"/>
      <c r="AD213" s="876"/>
      <c r="AE213" s="876"/>
      <c r="AF213" s="876"/>
      <c r="AG213" s="876"/>
      <c r="AH213" s="876"/>
      <c r="AI213" s="878"/>
      <c r="AJ213" s="880"/>
      <c r="AK213" s="880"/>
      <c r="AL213" s="880"/>
      <c r="AM213" s="880"/>
      <c r="AN213" s="880"/>
      <c r="AO213" s="880"/>
      <c r="AP213" s="880"/>
      <c r="AQ213" s="880"/>
      <c r="AR213" s="880"/>
      <c r="AS213" s="880"/>
      <c r="AT213" s="880"/>
      <c r="AU213" s="880"/>
      <c r="AV213" s="880"/>
      <c r="AW213" s="881"/>
      <c r="AX213" s="863"/>
      <c r="AY213" s="863"/>
      <c r="AZ213" s="863"/>
      <c r="BA213" s="863"/>
      <c r="BB213" s="863"/>
      <c r="BC213" s="863"/>
      <c r="BD213" s="863"/>
      <c r="BE213" s="863"/>
      <c r="BF213" s="863"/>
      <c r="BG213" s="863"/>
      <c r="BH213" s="863"/>
      <c r="BI213" s="863"/>
      <c r="BJ213" s="863"/>
      <c r="BK213" s="863"/>
      <c r="BL213" s="863"/>
      <c r="BM213" s="863"/>
      <c r="BN213" s="863"/>
      <c r="BO213" s="863"/>
      <c r="BP213" s="880"/>
      <c r="BQ213" s="863"/>
      <c r="BR213" s="883" t="str">
        <f>IFERROR(__xludf.DUMMYFUNCTION("""COMPUTED_VALUE""")," Koyadun")</f>
        <v> Koyadun</v>
      </c>
      <c r="BS213" s="883" t="str">
        <f>IFERROR(__xludf.DUMMYFUNCTION("""COMPUTED_VALUE"""),"Thailand")</f>
        <v>Thailand</v>
      </c>
      <c r="BT213" s="883"/>
      <c r="BU213" s="883"/>
      <c r="BV213" s="883"/>
      <c r="BW213" s="883"/>
      <c r="BX213" s="883"/>
      <c r="BY213" s="883"/>
      <c r="BZ213" s="883"/>
      <c r="CA213" s="883"/>
      <c r="CB213" s="883"/>
      <c r="CC213" s="883"/>
      <c r="CD213" s="884"/>
      <c r="CE213" s="883"/>
      <c r="CF213" s="883"/>
      <c r="CG213" s="883"/>
      <c r="CH213" s="883"/>
      <c r="CI213" s="883"/>
      <c r="CJ213" s="883"/>
      <c r="CK213" s="883"/>
      <c r="CL213" s="883"/>
      <c r="CM213" s="883"/>
      <c r="CN213" s="883"/>
      <c r="CO213" s="883"/>
      <c r="CP213" s="883"/>
      <c r="CQ213" s="883"/>
      <c r="CR213" s="883"/>
      <c r="CS213" s="883"/>
      <c r="CT213" s="883"/>
      <c r="CU213" s="883"/>
      <c r="CV213" s="863"/>
      <c r="CW213" s="863"/>
      <c r="CX213" s="863"/>
      <c r="CY213" s="863"/>
      <c r="CZ213" s="863"/>
      <c r="DA213" s="863"/>
      <c r="DB213" s="863"/>
      <c r="DC213" s="863"/>
      <c r="DD213" s="863"/>
      <c r="DE213" s="863"/>
    </row>
    <row r="214">
      <c r="A214" s="876"/>
      <c r="B214" s="876"/>
      <c r="C214" s="876"/>
      <c r="D214" s="876"/>
      <c r="E214" s="876"/>
      <c r="F214" s="876"/>
      <c r="G214" s="876"/>
      <c r="H214" s="876"/>
      <c r="I214" s="876"/>
      <c r="J214" s="876"/>
      <c r="K214" s="876"/>
      <c r="L214" s="876"/>
      <c r="M214" s="876"/>
      <c r="N214" s="877"/>
      <c r="O214" s="876"/>
      <c r="P214" s="876"/>
      <c r="Q214" s="876"/>
      <c r="R214" s="876"/>
      <c r="S214" s="876"/>
      <c r="T214" s="876"/>
      <c r="U214" s="876"/>
      <c r="V214" s="876"/>
      <c r="W214" s="876"/>
      <c r="X214" s="876"/>
      <c r="Y214" s="876"/>
      <c r="Z214" s="876"/>
      <c r="AA214" s="876"/>
      <c r="AB214" s="876"/>
      <c r="AC214" s="876"/>
      <c r="AD214" s="876"/>
      <c r="AE214" s="876"/>
      <c r="AF214" s="876"/>
      <c r="AG214" s="876"/>
      <c r="AH214" s="876"/>
      <c r="AI214" s="878"/>
      <c r="AJ214" s="880"/>
      <c r="AK214" s="880"/>
      <c r="AL214" s="880"/>
      <c r="AM214" s="880"/>
      <c r="AN214" s="880"/>
      <c r="AO214" s="880"/>
      <c r="AP214" s="880"/>
      <c r="AQ214" s="880"/>
      <c r="AR214" s="880"/>
      <c r="AS214" s="880"/>
      <c r="AT214" s="880"/>
      <c r="AU214" s="880"/>
      <c r="AV214" s="880"/>
      <c r="AW214" s="881"/>
      <c r="AX214" s="863"/>
      <c r="AY214" s="863"/>
      <c r="AZ214" s="863"/>
      <c r="BA214" s="863"/>
      <c r="BB214" s="863"/>
      <c r="BC214" s="863"/>
      <c r="BD214" s="863"/>
      <c r="BE214" s="863"/>
      <c r="BF214" s="863"/>
      <c r="BG214" s="863"/>
      <c r="BH214" s="863"/>
      <c r="BI214" s="863"/>
      <c r="BJ214" s="863"/>
      <c r="BK214" s="863"/>
      <c r="BL214" s="863"/>
      <c r="BM214" s="863"/>
      <c r="BN214" s="863"/>
      <c r="BO214" s="863"/>
      <c r="BP214" s="880"/>
      <c r="BQ214" s="863"/>
      <c r="BR214" s="883"/>
      <c r="BS214" s="883"/>
      <c r="BT214" s="883"/>
      <c r="BU214" s="883"/>
      <c r="BV214" s="883"/>
      <c r="BW214" s="883"/>
      <c r="BX214" s="883"/>
      <c r="BY214" s="883"/>
      <c r="BZ214" s="883"/>
      <c r="CA214" s="883"/>
      <c r="CB214" s="883"/>
      <c r="CC214" s="883"/>
      <c r="CD214" s="884"/>
      <c r="CE214" s="883"/>
      <c r="CF214" s="883"/>
      <c r="CG214" s="883"/>
      <c r="CH214" s="883"/>
      <c r="CI214" s="883"/>
      <c r="CJ214" s="883"/>
      <c r="CK214" s="883"/>
      <c r="CL214" s="883"/>
      <c r="CM214" s="883"/>
      <c r="CN214" s="883"/>
      <c r="CO214" s="883"/>
      <c r="CP214" s="883"/>
      <c r="CQ214" s="883"/>
      <c r="CR214" s="883"/>
      <c r="CS214" s="883"/>
      <c r="CT214" s="883"/>
      <c r="CU214" s="883"/>
      <c r="CV214" s="863"/>
      <c r="CW214" s="863"/>
      <c r="CX214" s="863"/>
      <c r="CY214" s="863"/>
      <c r="CZ214" s="863"/>
      <c r="DA214" s="863"/>
      <c r="DB214" s="863"/>
      <c r="DC214" s="863"/>
      <c r="DD214" s="863"/>
      <c r="DE214" s="863"/>
    </row>
    <row r="215">
      <c r="A215" s="876"/>
      <c r="B215" s="876"/>
      <c r="C215" s="876"/>
      <c r="D215" s="876"/>
      <c r="E215" s="876"/>
      <c r="F215" s="876"/>
      <c r="G215" s="876"/>
      <c r="H215" s="876"/>
      <c r="I215" s="876"/>
      <c r="J215" s="876"/>
      <c r="K215" s="876"/>
      <c r="L215" s="876"/>
      <c r="M215" s="876"/>
      <c r="N215" s="877"/>
      <c r="O215" s="876"/>
      <c r="P215" s="876"/>
      <c r="Q215" s="876"/>
      <c r="R215" s="876"/>
      <c r="S215" s="876"/>
      <c r="T215" s="876"/>
      <c r="U215" s="876"/>
      <c r="V215" s="876"/>
      <c r="W215" s="876"/>
      <c r="X215" s="876"/>
      <c r="Y215" s="876"/>
      <c r="Z215" s="876"/>
      <c r="AA215" s="876"/>
      <c r="AB215" s="876"/>
      <c r="AC215" s="876"/>
      <c r="AD215" s="876"/>
      <c r="AE215" s="876"/>
      <c r="AF215" s="876"/>
      <c r="AG215" s="876"/>
      <c r="AH215" s="876"/>
      <c r="AI215" s="878"/>
      <c r="AJ215" s="880"/>
      <c r="AK215" s="880"/>
      <c r="AL215" s="880"/>
      <c r="AM215" s="880"/>
      <c r="AN215" s="880"/>
      <c r="AO215" s="880"/>
      <c r="AP215" s="880"/>
      <c r="AQ215" s="880"/>
      <c r="AR215" s="880"/>
      <c r="AS215" s="880"/>
      <c r="AT215" s="880"/>
      <c r="AU215" s="880"/>
      <c r="AV215" s="880"/>
      <c r="AW215" s="881"/>
      <c r="AX215" s="863"/>
      <c r="AY215" s="863"/>
      <c r="AZ215" s="863"/>
      <c r="BA215" s="863"/>
      <c r="BB215" s="863"/>
      <c r="BC215" s="863"/>
      <c r="BD215" s="863"/>
      <c r="BE215" s="863"/>
      <c r="BF215" s="863"/>
      <c r="BG215" s="863"/>
      <c r="BH215" s="863"/>
      <c r="BI215" s="863"/>
      <c r="BJ215" s="863"/>
      <c r="BK215" s="863"/>
      <c r="BL215" s="863"/>
      <c r="BM215" s="863"/>
      <c r="BN215" s="863"/>
      <c r="BO215" s="863"/>
      <c r="BP215" s="880"/>
      <c r="BQ215" s="863"/>
      <c r="BR215" s="883"/>
      <c r="BS215" s="883"/>
      <c r="BT215" s="883"/>
      <c r="BU215" s="883"/>
      <c r="BV215" s="883"/>
      <c r="BW215" s="883"/>
      <c r="BX215" s="883"/>
      <c r="BY215" s="883"/>
      <c r="BZ215" s="883"/>
      <c r="CA215" s="883"/>
      <c r="CB215" s="883"/>
      <c r="CC215" s="883"/>
      <c r="CD215" s="884"/>
      <c r="CE215" s="883"/>
      <c r="CF215" s="883"/>
      <c r="CG215" s="883"/>
      <c r="CH215" s="883"/>
      <c r="CI215" s="883"/>
      <c r="CJ215" s="883"/>
      <c r="CK215" s="883"/>
      <c r="CL215" s="883"/>
      <c r="CM215" s="883"/>
      <c r="CN215" s="883"/>
      <c r="CO215" s="883"/>
      <c r="CP215" s="883"/>
      <c r="CQ215" s="883"/>
      <c r="CR215" s="883"/>
      <c r="CS215" s="883"/>
      <c r="CT215" s="883"/>
      <c r="CU215" s="883"/>
      <c r="CV215" s="863"/>
      <c r="CW215" s="863"/>
      <c r="CX215" s="863"/>
      <c r="CY215" s="863"/>
      <c r="CZ215" s="863"/>
      <c r="DA215" s="863"/>
      <c r="DB215" s="863"/>
      <c r="DC215" s="863"/>
      <c r="DD215" s="863"/>
      <c r="DE215" s="863"/>
    </row>
    <row r="216">
      <c r="A216" s="876"/>
      <c r="B216" s="876"/>
      <c r="C216" s="876"/>
      <c r="D216" s="876"/>
      <c r="E216" s="876"/>
      <c r="F216" s="876"/>
      <c r="G216" s="876"/>
      <c r="H216" s="876"/>
      <c r="I216" s="876"/>
      <c r="J216" s="876"/>
      <c r="K216" s="876"/>
      <c r="L216" s="876"/>
      <c r="M216" s="876"/>
      <c r="N216" s="877"/>
      <c r="O216" s="876"/>
      <c r="P216" s="876"/>
      <c r="Q216" s="876"/>
      <c r="R216" s="876"/>
      <c r="S216" s="876"/>
      <c r="T216" s="876"/>
      <c r="U216" s="876"/>
      <c r="V216" s="876"/>
      <c r="W216" s="876"/>
      <c r="X216" s="876"/>
      <c r="Y216" s="876"/>
      <c r="Z216" s="876"/>
      <c r="AA216" s="876"/>
      <c r="AB216" s="876"/>
      <c r="AC216" s="876"/>
      <c r="AD216" s="876"/>
      <c r="AE216" s="876"/>
      <c r="AF216" s="876"/>
      <c r="AG216" s="876"/>
      <c r="AH216" s="876"/>
      <c r="AI216" s="878"/>
      <c r="AJ216" s="880"/>
      <c r="AK216" s="880"/>
      <c r="AL216" s="880"/>
      <c r="AM216" s="880"/>
      <c r="AN216" s="880"/>
      <c r="AO216" s="880"/>
      <c r="AP216" s="880"/>
      <c r="AQ216" s="880"/>
      <c r="AR216" s="880"/>
      <c r="AS216" s="880"/>
      <c r="AT216" s="880"/>
      <c r="AU216" s="880"/>
      <c r="AV216" s="880"/>
      <c r="AW216" s="881"/>
      <c r="AX216" s="863"/>
      <c r="AY216" s="863"/>
      <c r="AZ216" s="863"/>
      <c r="BA216" s="863"/>
      <c r="BB216" s="863"/>
      <c r="BC216" s="863"/>
      <c r="BD216" s="863"/>
      <c r="BE216" s="863"/>
      <c r="BF216" s="863"/>
      <c r="BG216" s="863"/>
      <c r="BH216" s="863"/>
      <c r="BI216" s="863"/>
      <c r="BJ216" s="863"/>
      <c r="BK216" s="863"/>
      <c r="BL216" s="863"/>
      <c r="BM216" s="863"/>
      <c r="BN216" s="863"/>
      <c r="BO216" s="863"/>
      <c r="BP216" s="880"/>
      <c r="BQ216" s="863"/>
      <c r="BR216" s="883"/>
      <c r="BS216" s="883"/>
      <c r="BT216" s="883"/>
      <c r="BU216" s="883"/>
      <c r="BV216" s="883"/>
      <c r="BW216" s="883"/>
      <c r="BX216" s="883"/>
      <c r="BY216" s="883"/>
      <c r="BZ216" s="883"/>
      <c r="CA216" s="883"/>
      <c r="CB216" s="883"/>
      <c r="CC216" s="883"/>
      <c r="CD216" s="884"/>
      <c r="CE216" s="883"/>
      <c r="CF216" s="883"/>
      <c r="CG216" s="883"/>
      <c r="CH216" s="883"/>
      <c r="CI216" s="883"/>
      <c r="CJ216" s="883"/>
      <c r="CK216" s="883"/>
      <c r="CL216" s="883"/>
      <c r="CM216" s="883"/>
      <c r="CN216" s="883"/>
      <c r="CO216" s="883"/>
      <c r="CP216" s="883"/>
      <c r="CQ216" s="883"/>
      <c r="CR216" s="883"/>
      <c r="CS216" s="883"/>
      <c r="CT216" s="883"/>
      <c r="CU216" s="883"/>
      <c r="CV216" s="863"/>
      <c r="CW216" s="863"/>
      <c r="CX216" s="863"/>
      <c r="CY216" s="863"/>
      <c r="CZ216" s="863"/>
      <c r="DA216" s="863"/>
      <c r="DB216" s="863"/>
      <c r="DC216" s="863"/>
      <c r="DD216" s="863"/>
      <c r="DE216" s="863"/>
    </row>
    <row r="217">
      <c r="A217" s="876"/>
      <c r="B217" s="876"/>
      <c r="C217" s="876"/>
      <c r="D217" s="876"/>
      <c r="E217" s="876"/>
      <c r="F217" s="876"/>
      <c r="G217" s="876"/>
      <c r="H217" s="876"/>
      <c r="I217" s="876"/>
      <c r="J217" s="876"/>
      <c r="K217" s="876"/>
      <c r="L217" s="876"/>
      <c r="M217" s="876"/>
      <c r="N217" s="877"/>
      <c r="O217" s="876"/>
      <c r="P217" s="876"/>
      <c r="Q217" s="876"/>
      <c r="R217" s="876"/>
      <c r="S217" s="876"/>
      <c r="T217" s="876"/>
      <c r="U217" s="876"/>
      <c r="V217" s="876"/>
      <c r="W217" s="876"/>
      <c r="X217" s="876"/>
      <c r="Y217" s="876"/>
      <c r="Z217" s="876"/>
      <c r="AA217" s="876"/>
      <c r="AB217" s="876"/>
      <c r="AC217" s="876"/>
      <c r="AD217" s="876"/>
      <c r="AE217" s="876"/>
      <c r="AF217" s="876"/>
      <c r="AG217" s="876"/>
      <c r="AH217" s="876"/>
      <c r="AI217" s="878"/>
      <c r="AJ217" s="880"/>
      <c r="AK217" s="880"/>
      <c r="AL217" s="880"/>
      <c r="AM217" s="880"/>
      <c r="AN217" s="880"/>
      <c r="AO217" s="880"/>
      <c r="AP217" s="880"/>
      <c r="AQ217" s="880"/>
      <c r="AR217" s="880"/>
      <c r="AS217" s="880"/>
      <c r="AT217" s="880"/>
      <c r="AU217" s="880"/>
      <c r="AV217" s="880"/>
      <c r="AW217" s="881"/>
      <c r="AX217" s="863"/>
      <c r="AY217" s="863"/>
      <c r="AZ217" s="863"/>
      <c r="BA217" s="863"/>
      <c r="BB217" s="863"/>
      <c r="BC217" s="863"/>
      <c r="BD217" s="863"/>
      <c r="BE217" s="863"/>
      <c r="BF217" s="863"/>
      <c r="BG217" s="863"/>
      <c r="BH217" s="863"/>
      <c r="BI217" s="863"/>
      <c r="BJ217" s="863"/>
      <c r="BK217" s="863"/>
      <c r="BL217" s="863"/>
      <c r="BM217" s="863"/>
      <c r="BN217" s="863"/>
      <c r="BO217" s="863"/>
      <c r="BP217" s="880"/>
      <c r="BQ217" s="863"/>
      <c r="BR217" s="883"/>
      <c r="BS217" s="883"/>
      <c r="BT217" s="883"/>
      <c r="BU217" s="883"/>
      <c r="BV217" s="883"/>
      <c r="BW217" s="883"/>
      <c r="BX217" s="883"/>
      <c r="BY217" s="883"/>
      <c r="BZ217" s="883"/>
      <c r="CA217" s="883"/>
      <c r="CB217" s="883"/>
      <c r="CC217" s="883"/>
      <c r="CD217" s="884"/>
      <c r="CE217" s="883"/>
      <c r="CF217" s="883"/>
      <c r="CG217" s="883"/>
      <c r="CH217" s="883"/>
      <c r="CI217" s="883"/>
      <c r="CJ217" s="883"/>
      <c r="CK217" s="883"/>
      <c r="CL217" s="883"/>
      <c r="CM217" s="883"/>
      <c r="CN217" s="883"/>
      <c r="CO217" s="883"/>
      <c r="CP217" s="883"/>
      <c r="CQ217" s="883"/>
      <c r="CR217" s="883"/>
      <c r="CS217" s="883"/>
      <c r="CT217" s="883"/>
      <c r="CU217" s="883"/>
      <c r="CV217" s="863"/>
      <c r="CW217" s="863"/>
      <c r="CX217" s="863"/>
      <c r="CY217" s="863"/>
      <c r="CZ217" s="863"/>
      <c r="DA217" s="863"/>
      <c r="DB217" s="863"/>
      <c r="DC217" s="863"/>
      <c r="DD217" s="863"/>
      <c r="DE217" s="863"/>
    </row>
    <row r="218">
      <c r="A218" s="876"/>
      <c r="B218" s="876"/>
      <c r="C218" s="876"/>
      <c r="D218" s="876"/>
      <c r="E218" s="876"/>
      <c r="F218" s="876"/>
      <c r="G218" s="876"/>
      <c r="H218" s="876"/>
      <c r="I218" s="876"/>
      <c r="J218" s="876"/>
      <c r="K218" s="876"/>
      <c r="L218" s="876"/>
      <c r="M218" s="876"/>
      <c r="N218" s="877"/>
      <c r="O218" s="876"/>
      <c r="P218" s="876"/>
      <c r="Q218" s="876"/>
      <c r="R218" s="876"/>
      <c r="S218" s="876"/>
      <c r="T218" s="876"/>
      <c r="U218" s="876"/>
      <c r="V218" s="876"/>
      <c r="W218" s="876"/>
      <c r="X218" s="876"/>
      <c r="Y218" s="876"/>
      <c r="Z218" s="876"/>
      <c r="AA218" s="876"/>
      <c r="AB218" s="876"/>
      <c r="AC218" s="876"/>
      <c r="AD218" s="876"/>
      <c r="AE218" s="876"/>
      <c r="AF218" s="876"/>
      <c r="AG218" s="876"/>
      <c r="AH218" s="876"/>
      <c r="AI218" s="878"/>
      <c r="AJ218" s="880"/>
      <c r="AK218" s="880"/>
      <c r="AL218" s="880"/>
      <c r="AM218" s="880"/>
      <c r="AN218" s="880"/>
      <c r="AO218" s="880"/>
      <c r="AP218" s="880"/>
      <c r="AQ218" s="880"/>
      <c r="AR218" s="880"/>
      <c r="AS218" s="880"/>
      <c r="AT218" s="880"/>
      <c r="AU218" s="880"/>
      <c r="AV218" s="880"/>
      <c r="AW218" s="881"/>
      <c r="AX218" s="863"/>
      <c r="AY218" s="863"/>
      <c r="AZ218" s="863"/>
      <c r="BA218" s="863"/>
      <c r="BB218" s="863"/>
      <c r="BC218" s="863"/>
      <c r="BD218" s="863"/>
      <c r="BE218" s="863"/>
      <c r="BF218" s="863"/>
      <c r="BG218" s="863"/>
      <c r="BH218" s="863"/>
      <c r="BI218" s="863"/>
      <c r="BJ218" s="863"/>
      <c r="BK218" s="863"/>
      <c r="BL218" s="863"/>
      <c r="BM218" s="863"/>
      <c r="BN218" s="863"/>
      <c r="BO218" s="863"/>
      <c r="BP218" s="880"/>
      <c r="BQ218" s="863"/>
      <c r="BR218" s="883"/>
      <c r="BS218" s="883"/>
      <c r="BT218" s="883"/>
      <c r="BU218" s="883"/>
      <c r="BV218" s="883"/>
      <c r="BW218" s="883"/>
      <c r="BX218" s="883"/>
      <c r="BY218" s="883"/>
      <c r="BZ218" s="883"/>
      <c r="CA218" s="883"/>
      <c r="CB218" s="883"/>
      <c r="CC218" s="883"/>
      <c r="CD218" s="884"/>
      <c r="CE218" s="883"/>
      <c r="CF218" s="883"/>
      <c r="CG218" s="883"/>
      <c r="CH218" s="883"/>
      <c r="CI218" s="883"/>
      <c r="CJ218" s="883"/>
      <c r="CK218" s="883"/>
      <c r="CL218" s="883"/>
      <c r="CM218" s="883"/>
      <c r="CN218" s="883"/>
      <c r="CO218" s="883"/>
      <c r="CP218" s="883"/>
      <c r="CQ218" s="883"/>
      <c r="CR218" s="883"/>
      <c r="CS218" s="883"/>
      <c r="CT218" s="883"/>
      <c r="CU218" s="883"/>
      <c r="CV218" s="863"/>
      <c r="CW218" s="863"/>
      <c r="CX218" s="863"/>
      <c r="CY218" s="863"/>
      <c r="CZ218" s="863"/>
      <c r="DA218" s="863"/>
      <c r="DB218" s="863"/>
      <c r="DC218" s="863"/>
      <c r="DD218" s="863"/>
      <c r="DE218" s="863"/>
    </row>
    <row r="219">
      <c r="A219" s="876"/>
      <c r="B219" s="876"/>
      <c r="C219" s="876"/>
      <c r="D219" s="876"/>
      <c r="E219" s="876"/>
      <c r="F219" s="876"/>
      <c r="G219" s="876"/>
      <c r="H219" s="876"/>
      <c r="I219" s="876"/>
      <c r="J219" s="876"/>
      <c r="K219" s="876"/>
      <c r="L219" s="876"/>
      <c r="M219" s="876"/>
      <c r="N219" s="877"/>
      <c r="O219" s="876"/>
      <c r="P219" s="876"/>
      <c r="Q219" s="876"/>
      <c r="R219" s="876"/>
      <c r="S219" s="876"/>
      <c r="T219" s="876"/>
      <c r="U219" s="876"/>
      <c r="V219" s="876"/>
      <c r="W219" s="876"/>
      <c r="X219" s="876"/>
      <c r="Y219" s="876"/>
      <c r="Z219" s="876"/>
      <c r="AA219" s="876"/>
      <c r="AB219" s="876"/>
      <c r="AC219" s="876"/>
      <c r="AD219" s="876"/>
      <c r="AE219" s="876"/>
      <c r="AF219" s="876"/>
      <c r="AG219" s="876"/>
      <c r="AH219" s="876"/>
      <c r="AI219" s="878"/>
      <c r="AJ219" s="880"/>
      <c r="AK219" s="880"/>
      <c r="AL219" s="880"/>
      <c r="AM219" s="880"/>
      <c r="AN219" s="880"/>
      <c r="AO219" s="880"/>
      <c r="AP219" s="880"/>
      <c r="AQ219" s="880"/>
      <c r="AR219" s="880"/>
      <c r="AS219" s="880"/>
      <c r="AT219" s="880"/>
      <c r="AU219" s="880"/>
      <c r="AV219" s="880"/>
      <c r="AW219" s="881"/>
      <c r="AX219" s="863"/>
      <c r="AY219" s="863"/>
      <c r="AZ219" s="863"/>
      <c r="BA219" s="863"/>
      <c r="BB219" s="863"/>
      <c r="BC219" s="863"/>
      <c r="BD219" s="863"/>
      <c r="BE219" s="863"/>
      <c r="BF219" s="863"/>
      <c r="BG219" s="863"/>
      <c r="BH219" s="863"/>
      <c r="BI219" s="863"/>
      <c r="BJ219" s="863"/>
      <c r="BK219" s="863"/>
      <c r="BL219" s="863"/>
      <c r="BM219" s="863"/>
      <c r="BN219" s="863"/>
      <c r="BO219" s="863"/>
      <c r="BP219" s="880"/>
      <c r="BQ219" s="863"/>
      <c r="BR219" s="883"/>
      <c r="BS219" s="883"/>
      <c r="BT219" s="883"/>
      <c r="BU219" s="883"/>
      <c r="BV219" s="883"/>
      <c r="BW219" s="883"/>
      <c r="BX219" s="883"/>
      <c r="BY219" s="883"/>
      <c r="BZ219" s="883"/>
      <c r="CA219" s="883"/>
      <c r="CB219" s="883"/>
      <c r="CC219" s="883"/>
      <c r="CD219" s="884"/>
      <c r="CE219" s="883"/>
      <c r="CF219" s="883"/>
      <c r="CG219" s="883"/>
      <c r="CH219" s="883"/>
      <c r="CI219" s="883"/>
      <c r="CJ219" s="883"/>
      <c r="CK219" s="883"/>
      <c r="CL219" s="883"/>
      <c r="CM219" s="883"/>
      <c r="CN219" s="883"/>
      <c r="CO219" s="883"/>
      <c r="CP219" s="883"/>
      <c r="CQ219" s="883"/>
      <c r="CR219" s="883"/>
      <c r="CS219" s="883"/>
      <c r="CT219" s="883"/>
      <c r="CU219" s="883"/>
      <c r="CV219" s="863"/>
      <c r="CW219" s="863"/>
      <c r="CX219" s="863"/>
      <c r="CY219" s="863"/>
      <c r="CZ219" s="863"/>
      <c r="DA219" s="863"/>
      <c r="DB219" s="863"/>
      <c r="DC219" s="863"/>
      <c r="DD219" s="863"/>
      <c r="DE219" s="863"/>
    </row>
    <row r="220">
      <c r="A220" s="876"/>
      <c r="B220" s="876"/>
      <c r="C220" s="876"/>
      <c r="D220" s="876"/>
      <c r="E220" s="876"/>
      <c r="F220" s="876"/>
      <c r="G220" s="876"/>
      <c r="H220" s="876"/>
      <c r="I220" s="876"/>
      <c r="J220" s="876"/>
      <c r="K220" s="876"/>
      <c r="L220" s="876"/>
      <c r="M220" s="876"/>
      <c r="N220" s="877"/>
      <c r="O220" s="876"/>
      <c r="P220" s="876"/>
      <c r="Q220" s="876"/>
      <c r="R220" s="876"/>
      <c r="S220" s="876"/>
      <c r="T220" s="876"/>
      <c r="U220" s="876"/>
      <c r="V220" s="876"/>
      <c r="W220" s="876"/>
      <c r="X220" s="876"/>
      <c r="Y220" s="876"/>
      <c r="Z220" s="876"/>
      <c r="AA220" s="876"/>
      <c r="AB220" s="876"/>
      <c r="AC220" s="876"/>
      <c r="AD220" s="876"/>
      <c r="AE220" s="876"/>
      <c r="AF220" s="876"/>
      <c r="AG220" s="876"/>
      <c r="AH220" s="876"/>
      <c r="AI220" s="878"/>
      <c r="AJ220" s="880"/>
      <c r="AK220" s="880"/>
      <c r="AL220" s="880"/>
      <c r="AM220" s="880"/>
      <c r="AN220" s="880"/>
      <c r="AO220" s="880"/>
      <c r="AP220" s="880"/>
      <c r="AQ220" s="880"/>
      <c r="AR220" s="880"/>
      <c r="AS220" s="880"/>
      <c r="AT220" s="880"/>
      <c r="AU220" s="880"/>
      <c r="AV220" s="880"/>
      <c r="AW220" s="881"/>
      <c r="AX220" s="863"/>
      <c r="AY220" s="863"/>
      <c r="AZ220" s="863"/>
      <c r="BA220" s="863"/>
      <c r="BB220" s="863"/>
      <c r="BC220" s="863"/>
      <c r="BD220" s="863"/>
      <c r="BE220" s="863"/>
      <c r="BF220" s="863"/>
      <c r="BG220" s="863"/>
      <c r="BH220" s="863"/>
      <c r="BI220" s="863"/>
      <c r="BJ220" s="863"/>
      <c r="BK220" s="863"/>
      <c r="BL220" s="863"/>
      <c r="BM220" s="863"/>
      <c r="BN220" s="863"/>
      <c r="BO220" s="863"/>
      <c r="BP220" s="880"/>
      <c r="BQ220" s="863"/>
      <c r="BR220" s="883"/>
      <c r="BS220" s="883"/>
      <c r="BT220" s="883"/>
      <c r="BU220" s="883"/>
      <c r="BV220" s="883"/>
      <c r="BW220" s="883"/>
      <c r="BX220" s="883"/>
      <c r="BY220" s="883"/>
      <c r="BZ220" s="883"/>
      <c r="CA220" s="883"/>
      <c r="CB220" s="883"/>
      <c r="CC220" s="883"/>
      <c r="CD220" s="884"/>
      <c r="CE220" s="883"/>
      <c r="CF220" s="883"/>
      <c r="CG220" s="883"/>
      <c r="CH220" s="883"/>
      <c r="CI220" s="883"/>
      <c r="CJ220" s="883"/>
      <c r="CK220" s="883"/>
      <c r="CL220" s="883"/>
      <c r="CM220" s="883"/>
      <c r="CN220" s="883"/>
      <c r="CO220" s="883"/>
      <c r="CP220" s="883"/>
      <c r="CQ220" s="883"/>
      <c r="CR220" s="883"/>
      <c r="CS220" s="883"/>
      <c r="CT220" s="883"/>
      <c r="CU220" s="883"/>
      <c r="CV220" s="863"/>
      <c r="CW220" s="863"/>
      <c r="CX220" s="863"/>
      <c r="CY220" s="863"/>
      <c r="CZ220" s="863"/>
      <c r="DA220" s="863"/>
      <c r="DB220" s="863"/>
      <c r="DC220" s="863"/>
      <c r="DD220" s="863"/>
      <c r="DE220" s="863"/>
    </row>
    <row r="221">
      <c r="A221" s="876"/>
      <c r="B221" s="876"/>
      <c r="C221" s="876"/>
      <c r="D221" s="876"/>
      <c r="E221" s="876"/>
      <c r="F221" s="876"/>
      <c r="G221" s="876"/>
      <c r="H221" s="876"/>
      <c r="I221" s="876"/>
      <c r="J221" s="876"/>
      <c r="K221" s="876"/>
      <c r="L221" s="876"/>
      <c r="M221" s="876"/>
      <c r="N221" s="877"/>
      <c r="O221" s="876"/>
      <c r="P221" s="876"/>
      <c r="Q221" s="876"/>
      <c r="R221" s="876"/>
      <c r="S221" s="876"/>
      <c r="T221" s="876"/>
      <c r="U221" s="876"/>
      <c r="V221" s="876"/>
      <c r="W221" s="876"/>
      <c r="X221" s="876"/>
      <c r="Y221" s="876"/>
      <c r="Z221" s="876"/>
      <c r="AA221" s="876"/>
      <c r="AB221" s="876"/>
      <c r="AC221" s="876"/>
      <c r="AD221" s="876"/>
      <c r="AE221" s="876"/>
      <c r="AF221" s="876"/>
      <c r="AG221" s="876"/>
      <c r="AH221" s="876"/>
      <c r="AI221" s="878"/>
      <c r="AJ221" s="880"/>
      <c r="AK221" s="880"/>
      <c r="AL221" s="880"/>
      <c r="AM221" s="880"/>
      <c r="AN221" s="880"/>
      <c r="AO221" s="880"/>
      <c r="AP221" s="880"/>
      <c r="AQ221" s="880"/>
      <c r="AR221" s="880"/>
      <c r="AS221" s="880"/>
      <c r="AT221" s="880"/>
      <c r="AU221" s="880"/>
      <c r="AV221" s="880"/>
      <c r="AW221" s="881"/>
      <c r="AX221" s="863"/>
      <c r="AY221" s="863"/>
      <c r="AZ221" s="863"/>
      <c r="BA221" s="863"/>
      <c r="BB221" s="863"/>
      <c r="BC221" s="863"/>
      <c r="BD221" s="863"/>
      <c r="BE221" s="863"/>
      <c r="BF221" s="863"/>
      <c r="BG221" s="863"/>
      <c r="BH221" s="863"/>
      <c r="BI221" s="863"/>
      <c r="BJ221" s="863"/>
      <c r="BK221" s="863"/>
      <c r="BL221" s="863"/>
      <c r="BM221" s="863"/>
      <c r="BN221" s="863"/>
      <c r="BO221" s="863"/>
      <c r="BP221" s="880"/>
      <c r="BQ221" s="863"/>
      <c r="BR221" s="883"/>
      <c r="BS221" s="883"/>
      <c r="BT221" s="883"/>
      <c r="BU221" s="883"/>
      <c r="BV221" s="883"/>
      <c r="BW221" s="883"/>
      <c r="BX221" s="883"/>
      <c r="BY221" s="883"/>
      <c r="BZ221" s="883"/>
      <c r="CA221" s="883"/>
      <c r="CB221" s="883"/>
      <c r="CC221" s="883"/>
      <c r="CD221" s="884"/>
      <c r="CE221" s="883"/>
      <c r="CF221" s="883"/>
      <c r="CG221" s="883"/>
      <c r="CH221" s="883"/>
      <c r="CI221" s="883"/>
      <c r="CJ221" s="883"/>
      <c r="CK221" s="883"/>
      <c r="CL221" s="883"/>
      <c r="CM221" s="883"/>
      <c r="CN221" s="883"/>
      <c r="CO221" s="883"/>
      <c r="CP221" s="883"/>
      <c r="CQ221" s="883"/>
      <c r="CR221" s="883"/>
      <c r="CS221" s="883"/>
      <c r="CT221" s="883"/>
      <c r="CU221" s="883"/>
      <c r="CV221" s="863"/>
      <c r="CW221" s="863"/>
      <c r="CX221" s="863"/>
      <c r="CY221" s="863"/>
      <c r="CZ221" s="863"/>
      <c r="DA221" s="863"/>
      <c r="DB221" s="863"/>
      <c r="DC221" s="863"/>
      <c r="DD221" s="863"/>
      <c r="DE221" s="863"/>
    </row>
    <row r="222">
      <c r="A222" s="876"/>
      <c r="B222" s="876"/>
      <c r="C222" s="876"/>
      <c r="D222" s="876"/>
      <c r="E222" s="876"/>
      <c r="F222" s="876"/>
      <c r="G222" s="876"/>
      <c r="H222" s="876"/>
      <c r="I222" s="876"/>
      <c r="J222" s="876"/>
      <c r="K222" s="876"/>
      <c r="L222" s="876"/>
      <c r="M222" s="876"/>
      <c r="N222" s="877"/>
      <c r="O222" s="876"/>
      <c r="P222" s="876"/>
      <c r="Q222" s="876"/>
      <c r="R222" s="876"/>
      <c r="S222" s="876"/>
      <c r="T222" s="876"/>
      <c r="U222" s="876"/>
      <c r="V222" s="876"/>
      <c r="W222" s="876"/>
      <c r="X222" s="876"/>
      <c r="Y222" s="876"/>
      <c r="Z222" s="876"/>
      <c r="AA222" s="876"/>
      <c r="AB222" s="876"/>
      <c r="AC222" s="876"/>
      <c r="AD222" s="876"/>
      <c r="AE222" s="876"/>
      <c r="AF222" s="876"/>
      <c r="AG222" s="876"/>
      <c r="AH222" s="876"/>
      <c r="AI222" s="878"/>
      <c r="AJ222" s="880"/>
      <c r="AK222" s="880"/>
      <c r="AL222" s="880"/>
      <c r="AM222" s="880"/>
      <c r="AN222" s="880"/>
      <c r="AO222" s="880"/>
      <c r="AP222" s="880"/>
      <c r="AQ222" s="880"/>
      <c r="AR222" s="880"/>
      <c r="AS222" s="880"/>
      <c r="AT222" s="880"/>
      <c r="AU222" s="880"/>
      <c r="AV222" s="880"/>
      <c r="AW222" s="881"/>
      <c r="AX222" s="863"/>
      <c r="AY222" s="863"/>
      <c r="AZ222" s="863"/>
      <c r="BA222" s="863"/>
      <c r="BB222" s="863"/>
      <c r="BC222" s="863"/>
      <c r="BD222" s="863"/>
      <c r="BE222" s="863"/>
      <c r="BF222" s="863"/>
      <c r="BG222" s="863"/>
      <c r="BH222" s="863"/>
      <c r="BI222" s="863"/>
      <c r="BJ222" s="863"/>
      <c r="BK222" s="863"/>
      <c r="BL222" s="863"/>
      <c r="BM222" s="863"/>
      <c r="BN222" s="863"/>
      <c r="BO222" s="863"/>
      <c r="BP222" s="880"/>
      <c r="BQ222" s="863"/>
      <c r="BR222" s="883" t="str">
        <f>IFERROR(__xludf.DUMMYFUNCTION("""COMPUTED_VALUE"""),"Before 1990")</f>
        <v>Before 1990</v>
      </c>
      <c r="BS222" s="883"/>
      <c r="BT222" s="883"/>
      <c r="BU222" s="883"/>
      <c r="BV222" s="883"/>
      <c r="BW222" s="883"/>
      <c r="BX222" s="883"/>
      <c r="BY222" s="883"/>
      <c r="BZ222" s="883"/>
      <c r="CA222" s="883"/>
      <c r="CB222" s="883"/>
      <c r="CC222" s="883"/>
      <c r="CD222" s="884"/>
      <c r="CE222" s="883"/>
      <c r="CF222" s="883"/>
      <c r="CG222" s="883"/>
      <c r="CH222" s="883"/>
      <c r="CI222" s="883"/>
      <c r="CJ222" s="883"/>
      <c r="CK222" s="883"/>
      <c r="CL222" s="883"/>
      <c r="CM222" s="883"/>
      <c r="CN222" s="883"/>
      <c r="CO222" s="883"/>
      <c r="CP222" s="883"/>
      <c r="CQ222" s="883"/>
      <c r="CR222" s="883"/>
      <c r="CS222" s="883"/>
      <c r="CT222" s="883"/>
      <c r="CU222" s="883"/>
      <c r="CV222" s="863"/>
      <c r="CW222" s="863"/>
      <c r="CX222" s="863"/>
      <c r="CY222" s="863"/>
      <c r="CZ222" s="863"/>
      <c r="DA222" s="863"/>
      <c r="DB222" s="863"/>
      <c r="DC222" s="863"/>
      <c r="DD222" s="863"/>
      <c r="DE222" s="863"/>
    </row>
    <row r="223">
      <c r="A223" s="876"/>
      <c r="B223" s="876"/>
      <c r="C223" s="876"/>
      <c r="D223" s="876"/>
      <c r="E223" s="876"/>
      <c r="F223" s="876"/>
      <c r="G223" s="876"/>
      <c r="H223" s="876"/>
      <c r="I223" s="876"/>
      <c r="J223" s="876"/>
      <c r="K223" s="876"/>
      <c r="L223" s="876"/>
      <c r="M223" s="876"/>
      <c r="N223" s="877"/>
      <c r="O223" s="876"/>
      <c r="P223" s="876"/>
      <c r="Q223" s="876"/>
      <c r="R223" s="876"/>
      <c r="S223" s="876"/>
      <c r="T223" s="876"/>
      <c r="U223" s="876"/>
      <c r="V223" s="876"/>
      <c r="W223" s="876"/>
      <c r="X223" s="876"/>
      <c r="Y223" s="876"/>
      <c r="Z223" s="876"/>
      <c r="AA223" s="876"/>
      <c r="AB223" s="876"/>
      <c r="AC223" s="876"/>
      <c r="AD223" s="876"/>
      <c r="AE223" s="876"/>
      <c r="AF223" s="876"/>
      <c r="AG223" s="876"/>
      <c r="AH223" s="876"/>
      <c r="AI223" s="878"/>
      <c r="AJ223" s="880"/>
      <c r="AK223" s="880"/>
      <c r="AL223" s="880"/>
      <c r="AM223" s="880"/>
      <c r="AN223" s="880"/>
      <c r="AO223" s="880"/>
      <c r="AP223" s="880"/>
      <c r="AQ223" s="880"/>
      <c r="AR223" s="880"/>
      <c r="AS223" s="880"/>
      <c r="AT223" s="880"/>
      <c r="AU223" s="880"/>
      <c r="AV223" s="880"/>
      <c r="AW223" s="881"/>
      <c r="AX223" s="863"/>
      <c r="AY223" s="863"/>
      <c r="AZ223" s="863"/>
      <c r="BA223" s="863"/>
      <c r="BB223" s="863"/>
      <c r="BC223" s="863"/>
      <c r="BD223" s="863"/>
      <c r="BE223" s="863"/>
      <c r="BF223" s="863"/>
      <c r="BG223" s="863"/>
      <c r="BH223" s="863"/>
      <c r="BI223" s="863"/>
      <c r="BJ223" s="863"/>
      <c r="BK223" s="863"/>
      <c r="BL223" s="863"/>
      <c r="BM223" s="863"/>
      <c r="BN223" s="863"/>
      <c r="BO223" s="863"/>
      <c r="BP223" s="880"/>
      <c r="BQ223" s="863"/>
      <c r="BR223" s="883" t="str">
        <f>IFERROR(__xludf.DUMMYFUNCTION("""COMPUTED_VALUE"""),"1990-2000")</f>
        <v>1990-2000</v>
      </c>
      <c r="BS223" s="883"/>
      <c r="BT223" s="883"/>
      <c r="BU223" s="883"/>
      <c r="BV223" s="883"/>
      <c r="BW223" s="883"/>
      <c r="BX223" s="883"/>
      <c r="BY223" s="883"/>
      <c r="BZ223" s="883"/>
      <c r="CA223" s="883"/>
      <c r="CB223" s="883"/>
      <c r="CC223" s="883"/>
      <c r="CD223" s="884"/>
      <c r="CE223" s="883"/>
      <c r="CF223" s="883"/>
      <c r="CG223" s="883"/>
      <c r="CH223" s="883"/>
      <c r="CI223" s="883"/>
      <c r="CJ223" s="883"/>
      <c r="CK223" s="883"/>
      <c r="CL223" s="883"/>
      <c r="CM223" s="883"/>
      <c r="CN223" s="883"/>
      <c r="CO223" s="883"/>
      <c r="CP223" s="883"/>
      <c r="CQ223" s="883"/>
      <c r="CR223" s="883"/>
      <c r="CS223" s="883"/>
      <c r="CT223" s="883"/>
      <c r="CU223" s="883"/>
      <c r="CV223" s="863"/>
      <c r="CW223" s="863"/>
      <c r="CX223" s="863"/>
      <c r="CY223" s="863"/>
      <c r="CZ223" s="863"/>
      <c r="DA223" s="863"/>
      <c r="DB223" s="863"/>
      <c r="DC223" s="863"/>
      <c r="DD223" s="863"/>
      <c r="DE223" s="863"/>
    </row>
    <row r="224">
      <c r="A224" s="876"/>
      <c r="B224" s="876"/>
      <c r="C224" s="876"/>
      <c r="D224" s="876"/>
      <c r="E224" s="876"/>
      <c r="F224" s="876"/>
      <c r="G224" s="876"/>
      <c r="H224" s="876"/>
      <c r="I224" s="876"/>
      <c r="J224" s="876"/>
      <c r="K224" s="876"/>
      <c r="L224" s="876"/>
      <c r="M224" s="876"/>
      <c r="N224" s="877"/>
      <c r="O224" s="876"/>
      <c r="P224" s="876"/>
      <c r="Q224" s="876"/>
      <c r="R224" s="876"/>
      <c r="S224" s="876"/>
      <c r="T224" s="876"/>
      <c r="U224" s="876"/>
      <c r="V224" s="876"/>
      <c r="W224" s="876"/>
      <c r="X224" s="876"/>
      <c r="Y224" s="876"/>
      <c r="Z224" s="876"/>
      <c r="AA224" s="876"/>
      <c r="AB224" s="876"/>
      <c r="AC224" s="876"/>
      <c r="AD224" s="876"/>
      <c r="AE224" s="876"/>
      <c r="AF224" s="876"/>
      <c r="AG224" s="876"/>
      <c r="AH224" s="876"/>
      <c r="AI224" s="878"/>
      <c r="AJ224" s="880"/>
      <c r="AK224" s="880"/>
      <c r="AL224" s="880"/>
      <c r="AM224" s="880"/>
      <c r="AN224" s="880"/>
      <c r="AO224" s="880"/>
      <c r="AP224" s="880"/>
      <c r="AQ224" s="880"/>
      <c r="AR224" s="880"/>
      <c r="AS224" s="880"/>
      <c r="AT224" s="880"/>
      <c r="AU224" s="880"/>
      <c r="AV224" s="880"/>
      <c r="AW224" s="881"/>
      <c r="AX224" s="863"/>
      <c r="AY224" s="863"/>
      <c r="AZ224" s="863"/>
      <c r="BA224" s="863"/>
      <c r="BB224" s="863"/>
      <c r="BC224" s="863"/>
      <c r="BD224" s="863"/>
      <c r="BE224" s="863"/>
      <c r="BF224" s="863"/>
      <c r="BG224" s="863"/>
      <c r="BH224" s="863"/>
      <c r="BI224" s="863"/>
      <c r="BJ224" s="863"/>
      <c r="BK224" s="863"/>
      <c r="BL224" s="863"/>
      <c r="BM224" s="863"/>
      <c r="BN224" s="863"/>
      <c r="BO224" s="863"/>
      <c r="BP224" s="880"/>
      <c r="BQ224" s="863"/>
      <c r="BR224" s="883" t="str">
        <f>IFERROR(__xludf.DUMMYFUNCTION("""COMPUTED_VALUE"""),"2000-present")</f>
        <v>2000-present</v>
      </c>
      <c r="BS224" s="883"/>
      <c r="BT224" s="883"/>
      <c r="BU224" s="883"/>
      <c r="BV224" s="883"/>
      <c r="BW224" s="883"/>
      <c r="BX224" s="883"/>
      <c r="BY224" s="883"/>
      <c r="BZ224" s="883"/>
      <c r="CA224" s="883"/>
      <c r="CB224" s="883"/>
      <c r="CC224" s="883"/>
      <c r="CD224" s="884"/>
      <c r="CE224" s="883"/>
      <c r="CF224" s="883"/>
      <c r="CG224" s="883"/>
      <c r="CH224" s="883"/>
      <c r="CI224" s="883"/>
      <c r="CJ224" s="883"/>
      <c r="CK224" s="883"/>
      <c r="CL224" s="883"/>
      <c r="CM224" s="883"/>
      <c r="CN224" s="883"/>
      <c r="CO224" s="883"/>
      <c r="CP224" s="883"/>
      <c r="CQ224" s="883"/>
      <c r="CR224" s="883"/>
      <c r="CS224" s="883"/>
      <c r="CT224" s="883"/>
      <c r="CU224" s="883"/>
      <c r="CV224" s="863"/>
      <c r="CW224" s="863"/>
      <c r="CX224" s="863"/>
      <c r="CY224" s="863"/>
      <c r="CZ224" s="863"/>
      <c r="DA224" s="863"/>
      <c r="DB224" s="863"/>
      <c r="DC224" s="863"/>
      <c r="DD224" s="863"/>
      <c r="DE224" s="863"/>
    </row>
    <row r="225">
      <c r="A225" s="876"/>
      <c r="B225" s="876"/>
      <c r="C225" s="876"/>
      <c r="D225" s="876"/>
      <c r="E225" s="876"/>
      <c r="F225" s="876"/>
      <c r="G225" s="876"/>
      <c r="H225" s="876"/>
      <c r="I225" s="876"/>
      <c r="J225" s="876"/>
      <c r="K225" s="876"/>
      <c r="L225" s="876"/>
      <c r="M225" s="876"/>
      <c r="N225" s="877"/>
      <c r="O225" s="876"/>
      <c r="P225" s="876"/>
      <c r="Q225" s="876"/>
      <c r="R225" s="876"/>
      <c r="S225" s="876"/>
      <c r="T225" s="876"/>
      <c r="U225" s="876"/>
      <c r="V225" s="876"/>
      <c r="W225" s="876"/>
      <c r="X225" s="876"/>
      <c r="Y225" s="876"/>
      <c r="Z225" s="876"/>
      <c r="AA225" s="876"/>
      <c r="AB225" s="876"/>
      <c r="AC225" s="876"/>
      <c r="AD225" s="876"/>
      <c r="AE225" s="876"/>
      <c r="AF225" s="876"/>
      <c r="AG225" s="876"/>
      <c r="AH225" s="876"/>
      <c r="AI225" s="878"/>
      <c r="AJ225" s="880"/>
      <c r="AK225" s="880"/>
      <c r="AL225" s="880"/>
      <c r="AM225" s="880"/>
      <c r="AN225" s="880"/>
      <c r="AO225" s="880"/>
      <c r="AP225" s="880"/>
      <c r="AQ225" s="880"/>
      <c r="AR225" s="880"/>
      <c r="AS225" s="880"/>
      <c r="AT225" s="880"/>
      <c r="AU225" s="880"/>
      <c r="AV225" s="880"/>
      <c r="AW225" s="881"/>
      <c r="AX225" s="863"/>
      <c r="AY225" s="863"/>
      <c r="AZ225" s="863"/>
      <c r="BA225" s="863"/>
      <c r="BB225" s="863"/>
      <c r="BC225" s="863"/>
      <c r="BD225" s="863"/>
      <c r="BE225" s="863"/>
      <c r="BF225" s="863"/>
      <c r="BG225" s="863"/>
      <c r="BH225" s="863"/>
      <c r="BI225" s="863"/>
      <c r="BJ225" s="863"/>
      <c r="BK225" s="863"/>
      <c r="BL225" s="863"/>
      <c r="BM225" s="863"/>
      <c r="BN225" s="863"/>
      <c r="BO225" s="863"/>
      <c r="BP225" s="880"/>
      <c r="BQ225" s="863"/>
      <c r="BR225" s="883" t="str">
        <f>IFERROR(__xludf.DUMMYFUNCTION("""COMPUTED_VALUE"""),"Included Pregnant Women")</f>
        <v>Included Pregnant Women</v>
      </c>
      <c r="BS225" s="883"/>
      <c r="BT225" s="883"/>
      <c r="BU225" s="883"/>
      <c r="BV225" s="883"/>
      <c r="BW225" s="883"/>
      <c r="BX225" s="883"/>
      <c r="BY225" s="883"/>
      <c r="BZ225" s="883"/>
      <c r="CA225" s="883"/>
      <c r="CB225" s="883"/>
      <c r="CC225" s="883"/>
      <c r="CD225" s="884"/>
      <c r="CE225" s="883"/>
      <c r="CF225" s="883"/>
      <c r="CG225" s="883"/>
      <c r="CH225" s="883"/>
      <c r="CI225" s="883"/>
      <c r="CJ225" s="883"/>
      <c r="CK225" s="883"/>
      <c r="CL225" s="883"/>
      <c r="CM225" s="883"/>
      <c r="CN225" s="883"/>
      <c r="CO225" s="883"/>
      <c r="CP225" s="883"/>
      <c r="CQ225" s="883"/>
      <c r="CR225" s="883"/>
      <c r="CS225" s="883"/>
      <c r="CT225" s="883"/>
      <c r="CU225" s="883"/>
      <c r="CV225" s="863"/>
      <c r="CW225" s="863"/>
      <c r="CX225" s="863"/>
      <c r="CY225" s="863"/>
      <c r="CZ225" s="863"/>
      <c r="DA225" s="863"/>
      <c r="DB225" s="863"/>
      <c r="DC225" s="863"/>
      <c r="DD225" s="863"/>
      <c r="DE225" s="863"/>
    </row>
    <row r="226">
      <c r="A226" s="876"/>
      <c r="B226" s="876"/>
      <c r="C226" s="876"/>
      <c r="D226" s="876"/>
      <c r="E226" s="876"/>
      <c r="F226" s="876"/>
      <c r="G226" s="876"/>
      <c r="H226" s="876"/>
      <c r="I226" s="876"/>
      <c r="J226" s="876"/>
      <c r="K226" s="876"/>
      <c r="L226" s="876"/>
      <c r="M226" s="876"/>
      <c r="N226" s="877"/>
      <c r="O226" s="876"/>
      <c r="P226" s="876"/>
      <c r="Q226" s="876"/>
      <c r="R226" s="876"/>
      <c r="S226" s="876"/>
      <c r="T226" s="876"/>
      <c r="U226" s="876"/>
      <c r="V226" s="876"/>
      <c r="W226" s="876"/>
      <c r="X226" s="876"/>
      <c r="Y226" s="876"/>
      <c r="Z226" s="876"/>
      <c r="AA226" s="876"/>
      <c r="AB226" s="876"/>
      <c r="AC226" s="876"/>
      <c r="AD226" s="876"/>
      <c r="AE226" s="876"/>
      <c r="AF226" s="876"/>
      <c r="AG226" s="876"/>
      <c r="AH226" s="876"/>
      <c r="AI226" s="878"/>
      <c r="AJ226" s="880"/>
      <c r="AK226" s="880"/>
      <c r="AL226" s="880"/>
      <c r="AM226" s="880"/>
      <c r="AN226" s="880"/>
      <c r="AO226" s="880"/>
      <c r="AP226" s="880"/>
      <c r="AQ226" s="880"/>
      <c r="AR226" s="880"/>
      <c r="AS226" s="880"/>
      <c r="AT226" s="880"/>
      <c r="AU226" s="880"/>
      <c r="AV226" s="880"/>
      <c r="AW226" s="881"/>
      <c r="AX226" s="863"/>
      <c r="AY226" s="863"/>
      <c r="AZ226" s="863"/>
      <c r="BA226" s="863"/>
      <c r="BB226" s="863"/>
      <c r="BC226" s="863"/>
      <c r="BD226" s="863"/>
      <c r="BE226" s="863"/>
      <c r="BF226" s="863"/>
      <c r="BG226" s="863"/>
      <c r="BH226" s="863"/>
      <c r="BI226" s="863"/>
      <c r="BJ226" s="863"/>
      <c r="BK226" s="863"/>
      <c r="BL226" s="863"/>
      <c r="BM226" s="863"/>
      <c r="BN226" s="863"/>
      <c r="BO226" s="863"/>
      <c r="BP226" s="880"/>
      <c r="BQ226" s="863"/>
      <c r="BR226" s="883" t="str">
        <f>IFERROR(__xludf.DUMMYFUNCTION("""COMPUTED_VALUE"""),"only woman ")</f>
        <v>only woman </v>
      </c>
      <c r="BS226" s="883"/>
      <c r="BT226" s="883"/>
      <c r="BU226" s="883"/>
      <c r="BV226" s="883"/>
      <c r="BW226" s="883"/>
      <c r="BX226" s="883"/>
      <c r="BY226" s="883"/>
      <c r="BZ226" s="883"/>
      <c r="CA226" s="883"/>
      <c r="CB226" s="883"/>
      <c r="CC226" s="883"/>
      <c r="CD226" s="884"/>
      <c r="CE226" s="883"/>
      <c r="CF226" s="883"/>
      <c r="CG226" s="883"/>
      <c r="CH226" s="883"/>
      <c r="CI226" s="883"/>
      <c r="CJ226" s="883"/>
      <c r="CK226" s="883"/>
      <c r="CL226" s="883"/>
      <c r="CM226" s="883"/>
      <c r="CN226" s="883"/>
      <c r="CO226" s="883"/>
      <c r="CP226" s="883"/>
      <c r="CQ226" s="883"/>
      <c r="CR226" s="883"/>
      <c r="CS226" s="883"/>
      <c r="CT226" s="883"/>
      <c r="CU226" s="883"/>
      <c r="CV226" s="863"/>
      <c r="CW226" s="863"/>
      <c r="CX226" s="863"/>
      <c r="CY226" s="863"/>
      <c r="CZ226" s="863"/>
      <c r="DA226" s="863"/>
      <c r="DB226" s="863"/>
      <c r="DC226" s="863"/>
      <c r="DD226" s="863"/>
      <c r="DE226" s="863"/>
    </row>
    <row r="227">
      <c r="A227" s="876"/>
      <c r="B227" s="876"/>
      <c r="C227" s="876"/>
      <c r="D227" s="876"/>
      <c r="E227" s="876"/>
      <c r="F227" s="876"/>
      <c r="G227" s="876"/>
      <c r="H227" s="876"/>
      <c r="I227" s="876"/>
      <c r="J227" s="876"/>
      <c r="K227" s="876"/>
      <c r="L227" s="876"/>
      <c r="M227" s="876"/>
      <c r="N227" s="877"/>
      <c r="O227" s="876"/>
      <c r="P227" s="876"/>
      <c r="Q227" s="876"/>
      <c r="R227" s="876"/>
      <c r="S227" s="876"/>
      <c r="T227" s="876"/>
      <c r="U227" s="876"/>
      <c r="V227" s="876"/>
      <c r="W227" s="876"/>
      <c r="X227" s="876"/>
      <c r="Y227" s="876"/>
      <c r="Z227" s="876"/>
      <c r="AA227" s="876"/>
      <c r="AB227" s="876"/>
      <c r="AC227" s="876"/>
      <c r="AD227" s="876"/>
      <c r="AE227" s="876"/>
      <c r="AF227" s="876"/>
      <c r="AG227" s="876"/>
      <c r="AH227" s="876"/>
      <c r="AI227" s="878"/>
      <c r="AJ227" s="880"/>
      <c r="AK227" s="880"/>
      <c r="AL227" s="880"/>
      <c r="AM227" s="880"/>
      <c r="AN227" s="880"/>
      <c r="AO227" s="880"/>
      <c r="AP227" s="880"/>
      <c r="AQ227" s="880"/>
      <c r="AR227" s="880"/>
      <c r="AS227" s="880"/>
      <c r="AT227" s="880"/>
      <c r="AU227" s="880"/>
      <c r="AV227" s="880"/>
      <c r="AW227" s="881"/>
      <c r="AX227" s="863"/>
      <c r="AY227" s="863"/>
      <c r="AZ227" s="863"/>
      <c r="BA227" s="863"/>
      <c r="BB227" s="863"/>
      <c r="BC227" s="863"/>
      <c r="BD227" s="863"/>
      <c r="BE227" s="863"/>
      <c r="BF227" s="863"/>
      <c r="BG227" s="863"/>
      <c r="BH227" s="863"/>
      <c r="BI227" s="863"/>
      <c r="BJ227" s="863"/>
      <c r="BK227" s="863"/>
      <c r="BL227" s="863"/>
      <c r="BM227" s="863"/>
      <c r="BN227" s="863"/>
      <c r="BO227" s="863"/>
      <c r="BP227" s="880"/>
      <c r="BQ227" s="863"/>
      <c r="BR227" s="883" t="str">
        <f>IFERROR(__xludf.DUMMYFUNCTION("""COMPUTED_VALUE"""),"only men")</f>
        <v>only men</v>
      </c>
      <c r="BS227" s="883"/>
      <c r="BT227" s="883"/>
      <c r="BU227" s="883"/>
      <c r="BV227" s="883"/>
      <c r="BW227" s="883"/>
      <c r="BX227" s="883"/>
      <c r="BY227" s="883"/>
      <c r="BZ227" s="883"/>
      <c r="CA227" s="883"/>
      <c r="CB227" s="883"/>
      <c r="CC227" s="883"/>
      <c r="CD227" s="884"/>
      <c r="CE227" s="883"/>
      <c r="CF227" s="883"/>
      <c r="CG227" s="883"/>
      <c r="CH227" s="883"/>
      <c r="CI227" s="883"/>
      <c r="CJ227" s="883"/>
      <c r="CK227" s="883"/>
      <c r="CL227" s="883"/>
      <c r="CM227" s="883"/>
      <c r="CN227" s="883"/>
      <c r="CO227" s="883"/>
      <c r="CP227" s="883"/>
      <c r="CQ227" s="883"/>
      <c r="CR227" s="883"/>
      <c r="CS227" s="883"/>
      <c r="CT227" s="883"/>
      <c r="CU227" s="883"/>
      <c r="CV227" s="863"/>
      <c r="CW227" s="863"/>
      <c r="CX227" s="863"/>
      <c r="CY227" s="863"/>
      <c r="CZ227" s="863"/>
      <c r="DA227" s="863"/>
      <c r="DB227" s="863"/>
      <c r="DC227" s="863"/>
      <c r="DD227" s="863"/>
      <c r="DE227" s="863"/>
    </row>
    <row r="228">
      <c r="A228" s="876"/>
      <c r="B228" s="876"/>
      <c r="C228" s="876"/>
      <c r="D228" s="876"/>
      <c r="E228" s="876"/>
      <c r="F228" s="876"/>
      <c r="G228" s="876"/>
      <c r="H228" s="876"/>
      <c r="I228" s="876"/>
      <c r="J228" s="876"/>
      <c r="K228" s="876"/>
      <c r="L228" s="876"/>
      <c r="M228" s="876"/>
      <c r="N228" s="877"/>
      <c r="O228" s="876"/>
      <c r="P228" s="876"/>
      <c r="Q228" s="876"/>
      <c r="R228" s="876"/>
      <c r="S228" s="876"/>
      <c r="T228" s="876"/>
      <c r="U228" s="876"/>
      <c r="V228" s="876"/>
      <c r="W228" s="876"/>
      <c r="X228" s="876"/>
      <c r="Y228" s="876"/>
      <c r="Z228" s="876"/>
      <c r="AA228" s="876"/>
      <c r="AB228" s="876"/>
      <c r="AC228" s="876"/>
      <c r="AD228" s="876"/>
      <c r="AE228" s="876"/>
      <c r="AF228" s="876"/>
      <c r="AG228" s="876"/>
      <c r="AH228" s="876"/>
      <c r="AI228" s="878"/>
      <c r="AJ228" s="880"/>
      <c r="AK228" s="880"/>
      <c r="AL228" s="880"/>
      <c r="AM228" s="880"/>
      <c r="AN228" s="880"/>
      <c r="AO228" s="880"/>
      <c r="AP228" s="880"/>
      <c r="AQ228" s="880"/>
      <c r="AR228" s="880"/>
      <c r="AS228" s="880"/>
      <c r="AT228" s="880"/>
      <c r="AU228" s="880"/>
      <c r="AV228" s="880"/>
      <c r="AW228" s="881"/>
      <c r="AX228" s="863"/>
      <c r="AY228" s="863"/>
      <c r="AZ228" s="863"/>
      <c r="BA228" s="863"/>
      <c r="BB228" s="863"/>
      <c r="BC228" s="863"/>
      <c r="BD228" s="863"/>
      <c r="BE228" s="863"/>
      <c r="BF228" s="863"/>
      <c r="BG228" s="863"/>
      <c r="BH228" s="863"/>
      <c r="BI228" s="863"/>
      <c r="BJ228" s="863"/>
      <c r="BK228" s="863"/>
      <c r="BL228" s="863"/>
      <c r="BM228" s="863"/>
      <c r="BN228" s="863"/>
      <c r="BO228" s="863"/>
      <c r="BP228" s="880"/>
      <c r="BQ228" s="863"/>
      <c r="BR228" s="883" t="str">
        <f>IFERROR(__xludf.DUMMYFUNCTION("""COMPUTED_VALUE"""),"double-blind study")</f>
        <v>double-blind study</v>
      </c>
      <c r="BS228" s="883"/>
      <c r="BT228" s="883"/>
      <c r="BU228" s="883"/>
      <c r="BV228" s="883"/>
      <c r="BW228" s="883"/>
      <c r="BX228" s="883"/>
      <c r="BY228" s="883"/>
      <c r="BZ228" s="883"/>
      <c r="CA228" s="883"/>
      <c r="CB228" s="883"/>
      <c r="CC228" s="883"/>
      <c r="CD228" s="884"/>
      <c r="CE228" s="883"/>
      <c r="CF228" s="883"/>
      <c r="CG228" s="883"/>
      <c r="CH228" s="883"/>
      <c r="CI228" s="883"/>
      <c r="CJ228" s="883"/>
      <c r="CK228" s="883"/>
      <c r="CL228" s="883"/>
      <c r="CM228" s="883"/>
      <c r="CN228" s="883"/>
      <c r="CO228" s="883"/>
      <c r="CP228" s="883"/>
      <c r="CQ228" s="883"/>
      <c r="CR228" s="883"/>
      <c r="CS228" s="883"/>
      <c r="CT228" s="883"/>
      <c r="CU228" s="883"/>
      <c r="CV228" s="863"/>
      <c r="CW228" s="863"/>
      <c r="CX228" s="863"/>
      <c r="CY228" s="863"/>
      <c r="CZ228" s="863"/>
      <c r="DA228" s="863"/>
      <c r="DB228" s="863"/>
      <c r="DC228" s="863"/>
      <c r="DD228" s="863"/>
      <c r="DE228" s="863"/>
    </row>
    <row r="229">
      <c r="A229" s="876"/>
      <c r="B229" s="876"/>
      <c r="C229" s="876"/>
      <c r="D229" s="876"/>
      <c r="E229" s="876"/>
      <c r="F229" s="876"/>
      <c r="G229" s="876"/>
      <c r="H229" s="876"/>
      <c r="I229" s="876"/>
      <c r="J229" s="876"/>
      <c r="K229" s="876"/>
      <c r="L229" s="876"/>
      <c r="M229" s="876"/>
      <c r="N229" s="877"/>
      <c r="O229" s="876"/>
      <c r="P229" s="876"/>
      <c r="Q229" s="876"/>
      <c r="R229" s="876"/>
      <c r="S229" s="876"/>
      <c r="T229" s="876"/>
      <c r="U229" s="876"/>
      <c r="V229" s="876"/>
      <c r="W229" s="876"/>
      <c r="X229" s="876"/>
      <c r="Y229" s="876"/>
      <c r="Z229" s="876"/>
      <c r="AA229" s="876"/>
      <c r="AB229" s="876"/>
      <c r="AC229" s="876"/>
      <c r="AD229" s="876"/>
      <c r="AE229" s="876"/>
      <c r="AF229" s="876"/>
      <c r="AG229" s="876"/>
      <c r="AH229" s="876"/>
      <c r="AI229" s="878"/>
      <c r="AJ229" s="880"/>
      <c r="AK229" s="880"/>
      <c r="AL229" s="880"/>
      <c r="AM229" s="880"/>
      <c r="AN229" s="880"/>
      <c r="AO229" s="880"/>
      <c r="AP229" s="880"/>
      <c r="AQ229" s="880"/>
      <c r="AR229" s="880"/>
      <c r="AS229" s="880"/>
      <c r="AT229" s="880"/>
      <c r="AU229" s="880"/>
      <c r="AV229" s="880"/>
      <c r="AW229" s="881"/>
      <c r="AX229" s="863"/>
      <c r="AY229" s="863"/>
      <c r="AZ229" s="863"/>
      <c r="BA229" s="863"/>
      <c r="BB229" s="863"/>
      <c r="BC229" s="863"/>
      <c r="BD229" s="863"/>
      <c r="BE229" s="863"/>
      <c r="BF229" s="863"/>
      <c r="BG229" s="863"/>
      <c r="BH229" s="863"/>
      <c r="BI229" s="863"/>
      <c r="BJ229" s="863"/>
      <c r="BK229" s="863"/>
      <c r="BL229" s="863"/>
      <c r="BM229" s="863"/>
      <c r="BN229" s="863"/>
      <c r="BO229" s="863"/>
      <c r="BP229" s="880"/>
      <c r="BQ229" s="863"/>
      <c r="BR229" s="883" t="str">
        <f>IFERROR(__xludf.DUMMYFUNCTION("""COMPUTED_VALUE"""),"random single blind/assessor blind")</f>
        <v>random single blind/assessor blind</v>
      </c>
      <c r="BS229" s="883"/>
      <c r="BT229" s="883"/>
      <c r="BU229" s="883"/>
      <c r="BV229" s="883"/>
      <c r="BW229" s="883"/>
      <c r="BX229" s="883"/>
      <c r="BY229" s="883"/>
      <c r="BZ229" s="883"/>
      <c r="CA229" s="883"/>
      <c r="CB229" s="883"/>
      <c r="CC229" s="883"/>
      <c r="CD229" s="884"/>
      <c r="CE229" s="883"/>
      <c r="CF229" s="883"/>
      <c r="CG229" s="883"/>
      <c r="CH229" s="883"/>
      <c r="CI229" s="883"/>
      <c r="CJ229" s="883"/>
      <c r="CK229" s="883"/>
      <c r="CL229" s="883"/>
      <c r="CM229" s="883"/>
      <c r="CN229" s="883"/>
      <c r="CO229" s="883"/>
      <c r="CP229" s="883"/>
      <c r="CQ229" s="883"/>
      <c r="CR229" s="883"/>
      <c r="CS229" s="883"/>
      <c r="CT229" s="883"/>
      <c r="CU229" s="883"/>
      <c r="CV229" s="863"/>
      <c r="CW229" s="863"/>
      <c r="CX229" s="863"/>
      <c r="CY229" s="863"/>
      <c r="CZ229" s="863"/>
      <c r="DA229" s="863"/>
      <c r="DB229" s="863"/>
      <c r="DC229" s="863"/>
      <c r="DD229" s="863"/>
      <c r="DE229" s="863"/>
    </row>
    <row r="230">
      <c r="A230" s="876"/>
      <c r="B230" s="876"/>
      <c r="C230" s="876"/>
      <c r="D230" s="876"/>
      <c r="E230" s="876"/>
      <c r="F230" s="876"/>
      <c r="G230" s="876"/>
      <c r="H230" s="876"/>
      <c r="I230" s="876"/>
      <c r="J230" s="876"/>
      <c r="K230" s="876"/>
      <c r="L230" s="876"/>
      <c r="M230" s="876"/>
      <c r="N230" s="877"/>
      <c r="O230" s="876"/>
      <c r="P230" s="876"/>
      <c r="Q230" s="876"/>
      <c r="R230" s="876"/>
      <c r="S230" s="876"/>
      <c r="T230" s="876"/>
      <c r="U230" s="876"/>
      <c r="V230" s="876"/>
      <c r="W230" s="876"/>
      <c r="X230" s="876"/>
      <c r="Y230" s="876"/>
      <c r="Z230" s="876"/>
      <c r="AA230" s="876"/>
      <c r="AB230" s="876"/>
      <c r="AC230" s="876"/>
      <c r="AD230" s="876"/>
      <c r="AE230" s="876"/>
      <c r="AF230" s="876"/>
      <c r="AG230" s="876"/>
      <c r="AH230" s="876"/>
      <c r="AI230" s="878"/>
      <c r="AJ230" s="880"/>
      <c r="AK230" s="880"/>
      <c r="AL230" s="880"/>
      <c r="AM230" s="880"/>
      <c r="AN230" s="880"/>
      <c r="AO230" s="880"/>
      <c r="AP230" s="880"/>
      <c r="AQ230" s="880"/>
      <c r="AR230" s="880"/>
      <c r="AS230" s="880"/>
      <c r="AT230" s="880"/>
      <c r="AU230" s="880"/>
      <c r="AV230" s="880"/>
      <c r="AW230" s="881"/>
      <c r="AX230" s="863"/>
      <c r="AY230" s="863"/>
      <c r="AZ230" s="863"/>
      <c r="BA230" s="863"/>
      <c r="BB230" s="863"/>
      <c r="BC230" s="863"/>
      <c r="BD230" s="863"/>
      <c r="BE230" s="863"/>
      <c r="BF230" s="863"/>
      <c r="BG230" s="863"/>
      <c r="BH230" s="863"/>
      <c r="BI230" s="863"/>
      <c r="BJ230" s="863"/>
      <c r="BK230" s="863"/>
      <c r="BL230" s="863"/>
      <c r="BM230" s="863"/>
      <c r="BN230" s="863"/>
      <c r="BO230" s="863"/>
      <c r="BP230" s="880"/>
      <c r="BQ230" s="863"/>
      <c r="BR230" s="883" t="str">
        <f>IFERROR(__xludf.DUMMYFUNCTION("""COMPUTED_VALUE"""),"Placebo ")</f>
        <v>Placebo </v>
      </c>
      <c r="BS230" s="883"/>
      <c r="BT230" s="883"/>
      <c r="BU230" s="883"/>
      <c r="BV230" s="883"/>
      <c r="BW230" s="883"/>
      <c r="BX230" s="883"/>
      <c r="BY230" s="883"/>
      <c r="BZ230" s="883"/>
      <c r="CA230" s="883"/>
      <c r="CB230" s="883"/>
      <c r="CC230" s="883"/>
      <c r="CD230" s="884"/>
      <c r="CE230" s="883"/>
      <c r="CF230" s="883"/>
      <c r="CG230" s="883"/>
      <c r="CH230" s="883"/>
      <c r="CI230" s="883"/>
      <c r="CJ230" s="883"/>
      <c r="CK230" s="883"/>
      <c r="CL230" s="883"/>
      <c r="CM230" s="883"/>
      <c r="CN230" s="883"/>
      <c r="CO230" s="883"/>
      <c r="CP230" s="883"/>
      <c r="CQ230" s="883"/>
      <c r="CR230" s="883"/>
      <c r="CS230" s="883"/>
      <c r="CT230" s="883"/>
      <c r="CU230" s="883"/>
      <c r="CV230" s="863"/>
      <c r="CW230" s="863"/>
      <c r="CX230" s="863"/>
      <c r="CY230" s="863"/>
      <c r="CZ230" s="863"/>
      <c r="DA230" s="863"/>
      <c r="DB230" s="863"/>
      <c r="DC230" s="863"/>
      <c r="DD230" s="863"/>
      <c r="DE230" s="863"/>
    </row>
    <row r="231">
      <c r="A231" s="876"/>
      <c r="B231" s="876"/>
      <c r="C231" s="876"/>
      <c r="D231" s="876"/>
      <c r="E231" s="876"/>
      <c r="F231" s="876"/>
      <c r="G231" s="876"/>
      <c r="H231" s="876"/>
      <c r="I231" s="876"/>
      <c r="J231" s="876"/>
      <c r="K231" s="876"/>
      <c r="L231" s="876"/>
      <c r="M231" s="876"/>
      <c r="N231" s="877"/>
      <c r="O231" s="876"/>
      <c r="P231" s="876"/>
      <c r="Q231" s="876"/>
      <c r="R231" s="876"/>
      <c r="S231" s="876"/>
      <c r="T231" s="876"/>
      <c r="U231" s="876"/>
      <c r="V231" s="876"/>
      <c r="W231" s="876"/>
      <c r="X231" s="876"/>
      <c r="Y231" s="876"/>
      <c r="Z231" s="876"/>
      <c r="AA231" s="876"/>
      <c r="AB231" s="876"/>
      <c r="AC231" s="876"/>
      <c r="AD231" s="876"/>
      <c r="AE231" s="876"/>
      <c r="AF231" s="876"/>
      <c r="AG231" s="876"/>
      <c r="AH231" s="876"/>
      <c r="AI231" s="878"/>
      <c r="AJ231" s="880"/>
      <c r="AK231" s="880"/>
      <c r="AL231" s="880"/>
      <c r="AM231" s="880"/>
      <c r="AN231" s="880"/>
      <c r="AO231" s="880"/>
      <c r="AP231" s="880"/>
      <c r="AQ231" s="880"/>
      <c r="AR231" s="880"/>
      <c r="AS231" s="880"/>
      <c r="AT231" s="880"/>
      <c r="AU231" s="880"/>
      <c r="AV231" s="880"/>
      <c r="AW231" s="881"/>
      <c r="AX231" s="863"/>
      <c r="AY231" s="863"/>
      <c r="AZ231" s="863"/>
      <c r="BA231" s="863"/>
      <c r="BB231" s="863"/>
      <c r="BC231" s="863"/>
      <c r="BD231" s="863"/>
      <c r="BE231" s="863"/>
      <c r="BF231" s="863"/>
      <c r="BG231" s="863"/>
      <c r="BH231" s="863"/>
      <c r="BI231" s="863"/>
      <c r="BJ231" s="863"/>
      <c r="BK231" s="863"/>
      <c r="BL231" s="863"/>
      <c r="BM231" s="863"/>
      <c r="BN231" s="863"/>
      <c r="BO231" s="863"/>
      <c r="BP231" s="880"/>
      <c r="BQ231" s="863"/>
      <c r="BR231" s="883" t="str">
        <f>IFERROR(__xludf.DUMMYFUNCTION("""COMPUTED_VALUE"""),"Sample Size: 0-100")</f>
        <v>Sample Size: 0-100</v>
      </c>
      <c r="BS231" s="883"/>
      <c r="BT231" s="883"/>
      <c r="BU231" s="883"/>
      <c r="BV231" s="883"/>
      <c r="BW231" s="883"/>
      <c r="BX231" s="883"/>
      <c r="BY231" s="883"/>
      <c r="BZ231" s="883"/>
      <c r="CA231" s="883"/>
      <c r="CB231" s="883"/>
      <c r="CC231" s="883"/>
      <c r="CD231" s="884"/>
      <c r="CE231" s="883"/>
      <c r="CF231" s="883"/>
      <c r="CG231" s="883"/>
      <c r="CH231" s="883"/>
      <c r="CI231" s="883"/>
      <c r="CJ231" s="883"/>
      <c r="CK231" s="883"/>
      <c r="CL231" s="883"/>
      <c r="CM231" s="883"/>
      <c r="CN231" s="883"/>
      <c r="CO231" s="883"/>
      <c r="CP231" s="883"/>
      <c r="CQ231" s="883"/>
      <c r="CR231" s="883"/>
      <c r="CS231" s="883"/>
      <c r="CT231" s="883"/>
      <c r="CU231" s="883"/>
      <c r="CV231" s="863"/>
      <c r="CW231" s="863"/>
      <c r="CX231" s="863"/>
      <c r="CY231" s="863"/>
      <c r="CZ231" s="863"/>
      <c r="DA231" s="863"/>
      <c r="DB231" s="863"/>
      <c r="DC231" s="863"/>
      <c r="DD231" s="863"/>
      <c r="DE231" s="863"/>
    </row>
    <row r="232">
      <c r="A232" s="876"/>
      <c r="B232" s="876"/>
      <c r="C232" s="876"/>
      <c r="D232" s="876"/>
      <c r="E232" s="876"/>
      <c r="F232" s="876"/>
      <c r="G232" s="876"/>
      <c r="H232" s="876"/>
      <c r="I232" s="876"/>
      <c r="J232" s="876"/>
      <c r="K232" s="876"/>
      <c r="L232" s="876"/>
      <c r="M232" s="876"/>
      <c r="N232" s="877"/>
      <c r="O232" s="876"/>
      <c r="P232" s="876"/>
      <c r="Q232" s="876"/>
      <c r="R232" s="876"/>
      <c r="S232" s="876"/>
      <c r="T232" s="876"/>
      <c r="U232" s="876"/>
      <c r="V232" s="876"/>
      <c r="W232" s="876"/>
      <c r="X232" s="876"/>
      <c r="Y232" s="876"/>
      <c r="Z232" s="876"/>
      <c r="AA232" s="876"/>
      <c r="AB232" s="876"/>
      <c r="AC232" s="876"/>
      <c r="AD232" s="876"/>
      <c r="AE232" s="876"/>
      <c r="AF232" s="876"/>
      <c r="AG232" s="876"/>
      <c r="AH232" s="876"/>
      <c r="AI232" s="878"/>
      <c r="AJ232" s="880"/>
      <c r="AK232" s="880"/>
      <c r="AL232" s="880"/>
      <c r="AM232" s="880"/>
      <c r="AN232" s="880"/>
      <c r="AO232" s="880"/>
      <c r="AP232" s="880"/>
      <c r="AQ232" s="880"/>
      <c r="AR232" s="880"/>
      <c r="AS232" s="880"/>
      <c r="AT232" s="880"/>
      <c r="AU232" s="880"/>
      <c r="AV232" s="880"/>
      <c r="AW232" s="881"/>
      <c r="AX232" s="863"/>
      <c r="AY232" s="863"/>
      <c r="AZ232" s="863"/>
      <c r="BA232" s="863"/>
      <c r="BB232" s="863"/>
      <c r="BC232" s="863"/>
      <c r="BD232" s="863"/>
      <c r="BE232" s="863"/>
      <c r="BF232" s="863"/>
      <c r="BG232" s="863"/>
      <c r="BH232" s="863"/>
      <c r="BI232" s="863"/>
      <c r="BJ232" s="863"/>
      <c r="BK232" s="863"/>
      <c r="BL232" s="863"/>
      <c r="BM232" s="863"/>
      <c r="BN232" s="863"/>
      <c r="BO232" s="863"/>
      <c r="BP232" s="880"/>
      <c r="BQ232" s="863"/>
      <c r="BR232" s="883" t="str">
        <f>IFERROR(__xludf.DUMMYFUNCTION("""COMPUTED_VALUE"""),"Sample Size: 100-500")</f>
        <v>Sample Size: 100-500</v>
      </c>
      <c r="BS232" s="883"/>
      <c r="BT232" s="883"/>
      <c r="BU232" s="883"/>
      <c r="BV232" s="883"/>
      <c r="BW232" s="883"/>
      <c r="BX232" s="883"/>
      <c r="BY232" s="883"/>
      <c r="BZ232" s="883"/>
      <c r="CA232" s="883"/>
      <c r="CB232" s="883"/>
      <c r="CC232" s="883"/>
      <c r="CD232" s="884"/>
      <c r="CE232" s="883"/>
      <c r="CF232" s="883"/>
      <c r="CG232" s="883"/>
      <c r="CH232" s="883"/>
      <c r="CI232" s="883"/>
      <c r="CJ232" s="883"/>
      <c r="CK232" s="883"/>
      <c r="CL232" s="883"/>
      <c r="CM232" s="883"/>
      <c r="CN232" s="883"/>
      <c r="CO232" s="883"/>
      <c r="CP232" s="883"/>
      <c r="CQ232" s="883"/>
      <c r="CR232" s="883"/>
      <c r="CS232" s="883"/>
      <c r="CT232" s="883"/>
      <c r="CU232" s="883"/>
      <c r="CV232" s="863"/>
      <c r="CW232" s="863"/>
      <c r="CX232" s="863"/>
      <c r="CY232" s="863"/>
      <c r="CZ232" s="863"/>
      <c r="DA232" s="863"/>
      <c r="DB232" s="863"/>
      <c r="DC232" s="863"/>
      <c r="DD232" s="863"/>
      <c r="DE232" s="863"/>
    </row>
    <row r="233">
      <c r="A233" s="876"/>
      <c r="B233" s="876"/>
      <c r="C233" s="876"/>
      <c r="D233" s="876"/>
      <c r="E233" s="876"/>
      <c r="F233" s="876"/>
      <c r="G233" s="876"/>
      <c r="H233" s="876"/>
      <c r="I233" s="876"/>
      <c r="J233" s="876"/>
      <c r="K233" s="876"/>
      <c r="L233" s="876"/>
      <c r="M233" s="876"/>
      <c r="N233" s="877"/>
      <c r="O233" s="876"/>
      <c r="P233" s="876"/>
      <c r="Q233" s="876"/>
      <c r="R233" s="876"/>
      <c r="S233" s="876"/>
      <c r="T233" s="876"/>
      <c r="U233" s="876"/>
      <c r="V233" s="876"/>
      <c r="W233" s="876"/>
      <c r="X233" s="876"/>
      <c r="Y233" s="876"/>
      <c r="Z233" s="876"/>
      <c r="AA233" s="876"/>
      <c r="AB233" s="876"/>
      <c r="AC233" s="876"/>
      <c r="AD233" s="876"/>
      <c r="AE233" s="876"/>
      <c r="AF233" s="876"/>
      <c r="AG233" s="876"/>
      <c r="AH233" s="876"/>
      <c r="AI233" s="878"/>
      <c r="AJ233" s="880"/>
      <c r="AK233" s="880"/>
      <c r="AL233" s="880"/>
      <c r="AM233" s="880"/>
      <c r="AN233" s="880"/>
      <c r="AO233" s="880"/>
      <c r="AP233" s="880"/>
      <c r="AQ233" s="880"/>
      <c r="AR233" s="880"/>
      <c r="AS233" s="880"/>
      <c r="AT233" s="880"/>
      <c r="AU233" s="880"/>
      <c r="AV233" s="880"/>
      <c r="AW233" s="881"/>
      <c r="AX233" s="863"/>
      <c r="AY233" s="863"/>
      <c r="AZ233" s="863"/>
      <c r="BA233" s="863"/>
      <c r="BB233" s="863"/>
      <c r="BC233" s="863"/>
      <c r="BD233" s="863"/>
      <c r="BE233" s="863"/>
      <c r="BF233" s="863"/>
      <c r="BG233" s="863"/>
      <c r="BH233" s="863"/>
      <c r="BI233" s="863"/>
      <c r="BJ233" s="863"/>
      <c r="BK233" s="863"/>
      <c r="BL233" s="863"/>
      <c r="BM233" s="863"/>
      <c r="BN233" s="863"/>
      <c r="BO233" s="863"/>
      <c r="BP233" s="880"/>
      <c r="BQ233" s="863"/>
      <c r="BR233" s="883" t="str">
        <f>IFERROR(__xludf.DUMMYFUNCTION("""COMPUTED_VALUE"""),"Sample Size: 500- and up")</f>
        <v>Sample Size: 500- and up</v>
      </c>
      <c r="BS233" s="883"/>
      <c r="BT233" s="883"/>
      <c r="BU233" s="883"/>
      <c r="BV233" s="883"/>
      <c r="BW233" s="883"/>
      <c r="BX233" s="883"/>
      <c r="BY233" s="883"/>
      <c r="BZ233" s="883"/>
      <c r="CA233" s="883"/>
      <c r="CB233" s="883"/>
      <c r="CC233" s="883"/>
      <c r="CD233" s="884"/>
      <c r="CE233" s="883"/>
      <c r="CF233" s="883"/>
      <c r="CG233" s="883"/>
      <c r="CH233" s="883"/>
      <c r="CI233" s="883"/>
      <c r="CJ233" s="883"/>
      <c r="CK233" s="883"/>
      <c r="CL233" s="883"/>
      <c r="CM233" s="883"/>
      <c r="CN233" s="883"/>
      <c r="CO233" s="883"/>
      <c r="CP233" s="883"/>
      <c r="CQ233" s="883"/>
      <c r="CR233" s="883"/>
      <c r="CS233" s="883"/>
      <c r="CT233" s="883"/>
      <c r="CU233" s="883"/>
      <c r="CV233" s="863"/>
      <c r="CW233" s="863"/>
      <c r="CX233" s="863"/>
      <c r="CY233" s="863"/>
      <c r="CZ233" s="863"/>
      <c r="DA233" s="863"/>
      <c r="DB233" s="863"/>
      <c r="DC233" s="863"/>
      <c r="DD233" s="863"/>
      <c r="DE233" s="863"/>
    </row>
    <row r="234">
      <c r="A234" s="876"/>
      <c r="B234" s="876"/>
      <c r="C234" s="876"/>
      <c r="D234" s="876"/>
      <c r="E234" s="876"/>
      <c r="F234" s="876"/>
      <c r="G234" s="876"/>
      <c r="H234" s="876"/>
      <c r="I234" s="876"/>
      <c r="J234" s="876"/>
      <c r="K234" s="876"/>
      <c r="L234" s="876"/>
      <c r="M234" s="876"/>
      <c r="N234" s="877"/>
      <c r="O234" s="876"/>
      <c r="P234" s="876"/>
      <c r="Q234" s="876"/>
      <c r="R234" s="876"/>
      <c r="S234" s="876"/>
      <c r="T234" s="876"/>
      <c r="U234" s="876"/>
      <c r="V234" s="876"/>
      <c r="W234" s="876"/>
      <c r="X234" s="876"/>
      <c r="Y234" s="876"/>
      <c r="Z234" s="876"/>
      <c r="AA234" s="876"/>
      <c r="AB234" s="876"/>
      <c r="AC234" s="876"/>
      <c r="AD234" s="876"/>
      <c r="AE234" s="876"/>
      <c r="AF234" s="876"/>
      <c r="AG234" s="876"/>
      <c r="AH234" s="876"/>
      <c r="AI234" s="878"/>
      <c r="AJ234" s="880"/>
      <c r="AK234" s="880"/>
      <c r="AL234" s="880"/>
      <c r="AM234" s="880"/>
      <c r="AN234" s="880"/>
      <c r="AO234" s="880"/>
      <c r="AP234" s="880"/>
      <c r="AQ234" s="880"/>
      <c r="AR234" s="880"/>
      <c r="AS234" s="880"/>
      <c r="AT234" s="880"/>
      <c r="AU234" s="880"/>
      <c r="AV234" s="880"/>
      <c r="AW234" s="881"/>
      <c r="AX234" s="863"/>
      <c r="AY234" s="863"/>
      <c r="AZ234" s="863"/>
      <c r="BA234" s="863"/>
      <c r="BB234" s="863"/>
      <c r="BC234" s="863"/>
      <c r="BD234" s="863"/>
      <c r="BE234" s="863"/>
      <c r="BF234" s="863"/>
      <c r="BG234" s="863"/>
      <c r="BH234" s="863"/>
      <c r="BI234" s="863"/>
      <c r="BJ234" s="863"/>
      <c r="BK234" s="863"/>
      <c r="BL234" s="863"/>
      <c r="BM234" s="863"/>
      <c r="BN234" s="863"/>
      <c r="BO234" s="863"/>
      <c r="BP234" s="880"/>
      <c r="BQ234" s="863"/>
      <c r="BR234" s="883" t="str">
        <f>IFERROR(__xludf.DUMMYFUNCTION("""COMPUTED_VALUE"""),"Meta ")</f>
        <v>Meta </v>
      </c>
      <c r="BS234" s="883"/>
      <c r="BT234" s="883"/>
      <c r="BU234" s="883"/>
      <c r="BV234" s="883"/>
      <c r="BW234" s="883"/>
      <c r="BX234" s="883"/>
      <c r="BY234" s="883"/>
      <c r="BZ234" s="883"/>
      <c r="CA234" s="883"/>
      <c r="CB234" s="883"/>
      <c r="CC234" s="883"/>
      <c r="CD234" s="884"/>
      <c r="CE234" s="883"/>
      <c r="CF234" s="883"/>
      <c r="CG234" s="883"/>
      <c r="CH234" s="883"/>
      <c r="CI234" s="883"/>
      <c r="CJ234" s="883"/>
      <c r="CK234" s="883"/>
      <c r="CL234" s="883"/>
      <c r="CM234" s="883"/>
      <c r="CN234" s="883"/>
      <c r="CO234" s="883"/>
      <c r="CP234" s="883"/>
      <c r="CQ234" s="883"/>
      <c r="CR234" s="883"/>
      <c r="CS234" s="883"/>
      <c r="CT234" s="883"/>
      <c r="CU234" s="883"/>
      <c r="CV234" s="863"/>
      <c r="CW234" s="863"/>
      <c r="CX234" s="863"/>
      <c r="CY234" s="863"/>
      <c r="CZ234" s="863"/>
      <c r="DA234" s="863"/>
      <c r="DB234" s="863"/>
      <c r="DC234" s="863"/>
      <c r="DD234" s="863"/>
      <c r="DE234" s="863"/>
    </row>
    <row r="235">
      <c r="A235" s="876"/>
      <c r="B235" s="876"/>
      <c r="C235" s="876"/>
      <c r="D235" s="876"/>
      <c r="E235" s="876"/>
      <c r="F235" s="876"/>
      <c r="G235" s="876"/>
      <c r="H235" s="876"/>
      <c r="I235" s="876"/>
      <c r="J235" s="876"/>
      <c r="K235" s="876"/>
      <c r="L235" s="876"/>
      <c r="M235" s="876"/>
      <c r="N235" s="877"/>
      <c r="O235" s="876"/>
      <c r="P235" s="876"/>
      <c r="Q235" s="876"/>
      <c r="R235" s="876"/>
      <c r="S235" s="876"/>
      <c r="T235" s="876"/>
      <c r="U235" s="876"/>
      <c r="V235" s="876"/>
      <c r="W235" s="876"/>
      <c r="X235" s="876"/>
      <c r="Y235" s="876"/>
      <c r="Z235" s="876"/>
      <c r="AA235" s="876"/>
      <c r="AB235" s="876"/>
      <c r="AC235" s="876"/>
      <c r="AD235" s="876"/>
      <c r="AE235" s="876"/>
      <c r="AF235" s="876"/>
      <c r="AG235" s="876"/>
      <c r="AH235" s="876"/>
      <c r="AI235" s="878"/>
      <c r="AJ235" s="880"/>
      <c r="AK235" s="880"/>
      <c r="AL235" s="880"/>
      <c r="AM235" s="880"/>
      <c r="AN235" s="880"/>
      <c r="AO235" s="880"/>
      <c r="AP235" s="880"/>
      <c r="AQ235" s="880"/>
      <c r="AR235" s="880"/>
      <c r="AS235" s="880"/>
      <c r="AT235" s="880"/>
      <c r="AU235" s="880"/>
      <c r="AV235" s="880"/>
      <c r="AW235" s="881"/>
      <c r="AX235" s="863"/>
      <c r="AY235" s="863"/>
      <c r="AZ235" s="863"/>
      <c r="BA235" s="863"/>
      <c r="BB235" s="863"/>
      <c r="BC235" s="863"/>
      <c r="BD235" s="863"/>
      <c r="BE235" s="863"/>
      <c r="BF235" s="863"/>
      <c r="BG235" s="863"/>
      <c r="BH235" s="863"/>
      <c r="BI235" s="863"/>
      <c r="BJ235" s="863"/>
      <c r="BK235" s="863"/>
      <c r="BL235" s="863"/>
      <c r="BM235" s="863"/>
      <c r="BN235" s="863"/>
      <c r="BO235" s="863"/>
      <c r="BP235" s="880"/>
      <c r="BQ235" s="863"/>
      <c r="BR235" s="883" t="str">
        <f>IFERROR(__xludf.DUMMYFUNCTION("""COMPUTED_VALUE"""),"Adults(older than 18) ")</f>
        <v>Adults(older than 18) </v>
      </c>
      <c r="BS235" s="883"/>
      <c r="BT235" s="883"/>
      <c r="BU235" s="883"/>
      <c r="BV235" s="883"/>
      <c r="BW235" s="883"/>
      <c r="BX235" s="883"/>
      <c r="BY235" s="883"/>
      <c r="BZ235" s="883"/>
      <c r="CA235" s="883"/>
      <c r="CB235" s="883"/>
      <c r="CC235" s="883"/>
      <c r="CD235" s="884"/>
      <c r="CE235" s="883"/>
      <c r="CF235" s="883"/>
      <c r="CG235" s="883"/>
      <c r="CH235" s="883"/>
      <c r="CI235" s="883"/>
      <c r="CJ235" s="883"/>
      <c r="CK235" s="883"/>
      <c r="CL235" s="883"/>
      <c r="CM235" s="883"/>
      <c r="CN235" s="883"/>
      <c r="CO235" s="883"/>
      <c r="CP235" s="883"/>
      <c r="CQ235" s="883"/>
      <c r="CR235" s="883"/>
      <c r="CS235" s="883"/>
      <c r="CT235" s="883"/>
      <c r="CU235" s="883"/>
      <c r="CV235" s="863"/>
      <c r="CW235" s="863"/>
      <c r="CX235" s="863"/>
      <c r="CY235" s="863"/>
      <c r="CZ235" s="863"/>
      <c r="DA235" s="863"/>
      <c r="DB235" s="863"/>
      <c r="DC235" s="863"/>
      <c r="DD235" s="863"/>
      <c r="DE235" s="863"/>
    </row>
    <row r="236">
      <c r="A236" s="876"/>
      <c r="B236" s="876"/>
      <c r="C236" s="876"/>
      <c r="D236" s="876"/>
      <c r="E236" s="876"/>
      <c r="F236" s="876"/>
      <c r="G236" s="876"/>
      <c r="H236" s="876"/>
      <c r="I236" s="876"/>
      <c r="J236" s="876"/>
      <c r="K236" s="876"/>
      <c r="L236" s="876"/>
      <c r="M236" s="876"/>
      <c r="N236" s="877"/>
      <c r="O236" s="876"/>
      <c r="P236" s="876"/>
      <c r="Q236" s="876"/>
      <c r="R236" s="876"/>
      <c r="S236" s="876"/>
      <c r="T236" s="876"/>
      <c r="U236" s="876"/>
      <c r="V236" s="876"/>
      <c r="W236" s="876"/>
      <c r="X236" s="876"/>
      <c r="Y236" s="876"/>
      <c r="Z236" s="876"/>
      <c r="AA236" s="876"/>
      <c r="AB236" s="876"/>
      <c r="AC236" s="876"/>
      <c r="AD236" s="876"/>
      <c r="AE236" s="876"/>
      <c r="AF236" s="876"/>
      <c r="AG236" s="876"/>
      <c r="AH236" s="876"/>
      <c r="AI236" s="878"/>
      <c r="AJ236" s="880"/>
      <c r="AK236" s="880"/>
      <c r="AL236" s="880"/>
      <c r="AM236" s="880"/>
      <c r="AN236" s="880"/>
      <c r="AO236" s="880"/>
      <c r="AP236" s="880"/>
      <c r="AQ236" s="880"/>
      <c r="AR236" s="880"/>
      <c r="AS236" s="880"/>
      <c r="AT236" s="880"/>
      <c r="AU236" s="880"/>
      <c r="AV236" s="880"/>
      <c r="AW236" s="881"/>
      <c r="AX236" s="863"/>
      <c r="AY236" s="863"/>
      <c r="AZ236" s="863"/>
      <c r="BA236" s="863"/>
      <c r="BB236" s="863"/>
      <c r="BC236" s="863"/>
      <c r="BD236" s="863"/>
      <c r="BE236" s="863"/>
      <c r="BF236" s="863"/>
      <c r="BG236" s="863"/>
      <c r="BH236" s="863"/>
      <c r="BI236" s="863"/>
      <c r="BJ236" s="863"/>
      <c r="BK236" s="863"/>
      <c r="BL236" s="863"/>
      <c r="BM236" s="863"/>
      <c r="BN236" s="863"/>
      <c r="BO236" s="863"/>
      <c r="BP236" s="880"/>
      <c r="BQ236" s="863"/>
      <c r="BR236" s="883" t="str">
        <f>IFERROR(__xludf.DUMMYFUNCTION("""COMPUTED_VALUE"""),"School Children and Adults")</f>
        <v>School Children and Adults</v>
      </c>
      <c r="BS236" s="883"/>
      <c r="BT236" s="883"/>
      <c r="BU236" s="883"/>
      <c r="BV236" s="883"/>
      <c r="BW236" s="883"/>
      <c r="BX236" s="883"/>
      <c r="BY236" s="883"/>
      <c r="BZ236" s="883"/>
      <c r="CA236" s="883"/>
      <c r="CB236" s="883"/>
      <c r="CC236" s="883"/>
      <c r="CD236" s="884"/>
      <c r="CE236" s="883"/>
      <c r="CF236" s="883"/>
      <c r="CG236" s="883"/>
      <c r="CH236" s="883"/>
      <c r="CI236" s="883"/>
      <c r="CJ236" s="883"/>
      <c r="CK236" s="883"/>
      <c r="CL236" s="883"/>
      <c r="CM236" s="883"/>
      <c r="CN236" s="883"/>
      <c r="CO236" s="883"/>
      <c r="CP236" s="883"/>
      <c r="CQ236" s="883"/>
      <c r="CR236" s="883"/>
      <c r="CS236" s="883"/>
      <c r="CT236" s="883"/>
      <c r="CU236" s="883"/>
      <c r="CV236" s="863"/>
      <c r="CW236" s="863"/>
      <c r="CX236" s="863"/>
      <c r="CY236" s="863"/>
      <c r="CZ236" s="863"/>
      <c r="DA236" s="863"/>
      <c r="DB236" s="863"/>
      <c r="DC236" s="863"/>
      <c r="DD236" s="863"/>
      <c r="DE236" s="863"/>
    </row>
    <row r="237">
      <c r="A237" s="876"/>
      <c r="B237" s="876"/>
      <c r="C237" s="876"/>
      <c r="D237" s="876"/>
      <c r="E237" s="876"/>
      <c r="F237" s="876"/>
      <c r="G237" s="876"/>
      <c r="H237" s="876"/>
      <c r="I237" s="876"/>
      <c r="J237" s="876"/>
      <c r="K237" s="876"/>
      <c r="L237" s="876"/>
      <c r="M237" s="876"/>
      <c r="N237" s="877"/>
      <c r="O237" s="876"/>
      <c r="P237" s="876"/>
      <c r="Q237" s="876"/>
      <c r="R237" s="876"/>
      <c r="S237" s="876"/>
      <c r="T237" s="876"/>
      <c r="U237" s="876"/>
      <c r="V237" s="876"/>
      <c r="W237" s="876"/>
      <c r="X237" s="876"/>
      <c r="Y237" s="876"/>
      <c r="Z237" s="876"/>
      <c r="AA237" s="876"/>
      <c r="AB237" s="876"/>
      <c r="AC237" s="876"/>
      <c r="AD237" s="876"/>
      <c r="AE237" s="876"/>
      <c r="AF237" s="876"/>
      <c r="AG237" s="876"/>
      <c r="AH237" s="876"/>
      <c r="AI237" s="878"/>
      <c r="AJ237" s="880"/>
      <c r="AK237" s="880"/>
      <c r="AL237" s="880"/>
      <c r="AM237" s="880"/>
      <c r="AN237" s="880"/>
      <c r="AO237" s="880"/>
      <c r="AP237" s="880"/>
      <c r="AQ237" s="880"/>
      <c r="AR237" s="880"/>
      <c r="AS237" s="880"/>
      <c r="AT237" s="880"/>
      <c r="AU237" s="880"/>
      <c r="AV237" s="880"/>
      <c r="AW237" s="881"/>
      <c r="AX237" s="863"/>
      <c r="AY237" s="863"/>
      <c r="AZ237" s="863"/>
      <c r="BA237" s="863"/>
      <c r="BB237" s="863"/>
      <c r="BC237" s="863"/>
      <c r="BD237" s="863"/>
      <c r="BE237" s="863"/>
      <c r="BF237" s="863"/>
      <c r="BG237" s="863"/>
      <c r="BH237" s="863"/>
      <c r="BI237" s="863"/>
      <c r="BJ237" s="863"/>
      <c r="BK237" s="863"/>
      <c r="BL237" s="863"/>
      <c r="BM237" s="863"/>
      <c r="BN237" s="863"/>
      <c r="BO237" s="863"/>
      <c r="BP237" s="880"/>
      <c r="BQ237" s="863"/>
      <c r="BR237" s="883" t="str">
        <f>IFERROR(__xludf.DUMMYFUNCTION("""COMPUTED_VALUE"""),"School Children(under 18)")</f>
        <v>School Children(under 18)</v>
      </c>
      <c r="BS237" s="883"/>
      <c r="BT237" s="883"/>
      <c r="BU237" s="883"/>
      <c r="BV237" s="883"/>
      <c r="BW237" s="883"/>
      <c r="BX237" s="883"/>
      <c r="BY237" s="883"/>
      <c r="BZ237" s="883"/>
      <c r="CA237" s="883"/>
      <c r="CB237" s="883"/>
      <c r="CC237" s="883"/>
      <c r="CD237" s="884"/>
      <c r="CE237" s="883"/>
      <c r="CF237" s="883"/>
      <c r="CG237" s="883"/>
      <c r="CH237" s="883"/>
      <c r="CI237" s="883"/>
      <c r="CJ237" s="883"/>
      <c r="CK237" s="883"/>
      <c r="CL237" s="883"/>
      <c r="CM237" s="883"/>
      <c r="CN237" s="883"/>
      <c r="CO237" s="883"/>
      <c r="CP237" s="883"/>
      <c r="CQ237" s="883"/>
      <c r="CR237" s="883"/>
      <c r="CS237" s="883"/>
      <c r="CT237" s="883"/>
      <c r="CU237" s="883"/>
      <c r="CV237" s="863"/>
      <c r="CW237" s="863"/>
      <c r="CX237" s="863"/>
      <c r="CY237" s="863"/>
      <c r="CZ237" s="863"/>
      <c r="DA237" s="863"/>
      <c r="DB237" s="863"/>
      <c r="DC237" s="863"/>
      <c r="DD237" s="863"/>
      <c r="DE237" s="863"/>
    </row>
    <row r="238">
      <c r="A238" s="876"/>
      <c r="B238" s="876"/>
      <c r="C238" s="876"/>
      <c r="D238" s="876"/>
      <c r="E238" s="876"/>
      <c r="F238" s="876"/>
      <c r="G238" s="876"/>
      <c r="H238" s="876"/>
      <c r="I238" s="876"/>
      <c r="J238" s="876"/>
      <c r="K238" s="876"/>
      <c r="L238" s="876"/>
      <c r="M238" s="876"/>
      <c r="N238" s="877"/>
      <c r="O238" s="876"/>
      <c r="P238" s="876"/>
      <c r="Q238" s="876"/>
      <c r="R238" s="876"/>
      <c r="S238" s="876"/>
      <c r="T238" s="876"/>
      <c r="U238" s="876"/>
      <c r="V238" s="876"/>
      <c r="W238" s="876"/>
      <c r="X238" s="876"/>
      <c r="Y238" s="876"/>
      <c r="Z238" s="876"/>
      <c r="AA238" s="876"/>
      <c r="AB238" s="876"/>
      <c r="AC238" s="876"/>
      <c r="AD238" s="876"/>
      <c r="AE238" s="876"/>
      <c r="AF238" s="876"/>
      <c r="AG238" s="876"/>
      <c r="AH238" s="876"/>
      <c r="AI238" s="878"/>
      <c r="AJ238" s="880"/>
      <c r="AK238" s="880"/>
      <c r="AL238" s="880"/>
      <c r="AM238" s="880"/>
      <c r="AN238" s="880"/>
      <c r="AO238" s="880"/>
      <c r="AP238" s="880"/>
      <c r="AQ238" s="880"/>
      <c r="AR238" s="880"/>
      <c r="AS238" s="880"/>
      <c r="AT238" s="880"/>
      <c r="AU238" s="880"/>
      <c r="AV238" s="880"/>
      <c r="AW238" s="881"/>
      <c r="AX238" s="863"/>
      <c r="AY238" s="863"/>
      <c r="AZ238" s="863"/>
      <c r="BA238" s="863"/>
      <c r="BB238" s="863"/>
      <c r="BC238" s="863"/>
      <c r="BD238" s="863"/>
      <c r="BE238" s="863"/>
      <c r="BF238" s="863"/>
      <c r="BG238" s="863"/>
      <c r="BH238" s="863"/>
      <c r="BI238" s="863"/>
      <c r="BJ238" s="863"/>
      <c r="BK238" s="863"/>
      <c r="BL238" s="863"/>
      <c r="BM238" s="863"/>
      <c r="BN238" s="863"/>
      <c r="BO238" s="863"/>
      <c r="BP238" s="880"/>
      <c r="BQ238" s="863"/>
      <c r="BR238" s="883"/>
      <c r="BS238" s="883"/>
      <c r="BT238" s="883"/>
      <c r="BU238" s="883"/>
      <c r="BV238" s="883"/>
      <c r="BW238" s="883"/>
      <c r="BX238" s="883"/>
      <c r="BY238" s="883"/>
      <c r="BZ238" s="883"/>
      <c r="CA238" s="883"/>
      <c r="CB238" s="883"/>
      <c r="CC238" s="883"/>
      <c r="CD238" s="884"/>
      <c r="CE238" s="883"/>
      <c r="CF238" s="883"/>
      <c r="CG238" s="883"/>
      <c r="CH238" s="883"/>
      <c r="CI238" s="883"/>
      <c r="CJ238" s="883"/>
      <c r="CK238" s="883"/>
      <c r="CL238" s="883"/>
      <c r="CM238" s="883"/>
      <c r="CN238" s="883"/>
      <c r="CO238" s="883"/>
      <c r="CP238" s="883"/>
      <c r="CQ238" s="883"/>
      <c r="CR238" s="883"/>
      <c r="CS238" s="883"/>
      <c r="CT238" s="883"/>
      <c r="CU238" s="883"/>
      <c r="CV238" s="863"/>
      <c r="CW238" s="863"/>
      <c r="CX238" s="863"/>
      <c r="CY238" s="863"/>
      <c r="CZ238" s="863"/>
      <c r="DA238" s="863"/>
      <c r="DB238" s="863"/>
      <c r="DC238" s="863"/>
      <c r="DD238" s="863"/>
      <c r="DE238" s="863"/>
    </row>
    <row r="239">
      <c r="A239" s="876"/>
      <c r="B239" s="876"/>
      <c r="C239" s="876"/>
      <c r="D239" s="876"/>
      <c r="E239" s="876"/>
      <c r="F239" s="876"/>
      <c r="G239" s="876"/>
      <c r="H239" s="876"/>
      <c r="I239" s="876"/>
      <c r="J239" s="876"/>
      <c r="K239" s="876"/>
      <c r="L239" s="876"/>
      <c r="M239" s="876"/>
      <c r="N239" s="877"/>
      <c r="O239" s="876"/>
      <c r="P239" s="876"/>
      <c r="Q239" s="876"/>
      <c r="R239" s="876"/>
      <c r="S239" s="876"/>
      <c r="T239" s="876"/>
      <c r="U239" s="876"/>
      <c r="V239" s="876"/>
      <c r="W239" s="876"/>
      <c r="X239" s="876"/>
      <c r="Y239" s="876"/>
      <c r="Z239" s="876"/>
      <c r="AA239" s="876"/>
      <c r="AB239" s="876"/>
      <c r="AC239" s="876"/>
      <c r="AD239" s="876"/>
      <c r="AE239" s="876"/>
      <c r="AF239" s="876"/>
      <c r="AG239" s="876"/>
      <c r="AH239" s="876"/>
      <c r="AI239" s="878"/>
      <c r="AJ239" s="880"/>
      <c r="AK239" s="880"/>
      <c r="AL239" s="880"/>
      <c r="AM239" s="880"/>
      <c r="AN239" s="880"/>
      <c r="AO239" s="880"/>
      <c r="AP239" s="880"/>
      <c r="AQ239" s="880"/>
      <c r="AR239" s="880"/>
      <c r="AS239" s="880"/>
      <c r="AT239" s="880"/>
      <c r="AU239" s="880"/>
      <c r="AV239" s="880"/>
      <c r="AW239" s="881"/>
      <c r="AX239" s="863"/>
      <c r="AY239" s="863"/>
      <c r="AZ239" s="863"/>
      <c r="BA239" s="863"/>
      <c r="BB239" s="863"/>
      <c r="BC239" s="863"/>
      <c r="BD239" s="863"/>
      <c r="BE239" s="863"/>
      <c r="BF239" s="863"/>
      <c r="BG239" s="863"/>
      <c r="BH239" s="863"/>
      <c r="BI239" s="863"/>
      <c r="BJ239" s="863"/>
      <c r="BK239" s="863"/>
      <c r="BL239" s="863"/>
      <c r="BM239" s="863"/>
      <c r="BN239" s="863"/>
      <c r="BO239" s="863"/>
      <c r="BP239" s="880"/>
      <c r="BQ239" s="863"/>
      <c r="BR239" s="883" t="str">
        <f>IFERROR(__xludf.DUMMYFUNCTION("""COMPUTED_VALUE"""),"WInter 2021 Data ")</f>
        <v>WInter 2021 Data </v>
      </c>
      <c r="BS239" s="883"/>
      <c r="BT239" s="883"/>
      <c r="BU239" s="883"/>
      <c r="BV239" s="883"/>
      <c r="BW239" s="883"/>
      <c r="BX239" s="883"/>
      <c r="BY239" s="883"/>
      <c r="BZ239" s="883"/>
      <c r="CA239" s="883"/>
      <c r="CB239" s="883"/>
      <c r="CC239" s="883"/>
      <c r="CD239" s="884"/>
      <c r="CE239" s="883"/>
      <c r="CF239" s="883"/>
      <c r="CG239" s="883"/>
      <c r="CH239" s="883"/>
      <c r="CI239" s="883"/>
      <c r="CJ239" s="883"/>
      <c r="CK239" s="883"/>
      <c r="CL239" s="883"/>
      <c r="CM239" s="883"/>
      <c r="CN239" s="883"/>
      <c r="CO239" s="883"/>
      <c r="CP239" s="883"/>
      <c r="CQ239" s="883"/>
      <c r="CR239" s="883"/>
      <c r="CS239" s="883"/>
      <c r="CT239" s="883"/>
      <c r="CU239" s="883"/>
      <c r="CV239" s="863"/>
      <c r="CW239" s="863"/>
      <c r="CX239" s="863"/>
      <c r="CY239" s="863"/>
      <c r="CZ239" s="863"/>
      <c r="DA239" s="863"/>
      <c r="DB239" s="863"/>
      <c r="DC239" s="863"/>
      <c r="DD239" s="863"/>
      <c r="DE239" s="863"/>
    </row>
    <row r="240">
      <c r="A240" s="876"/>
      <c r="B240" s="876"/>
      <c r="C240" s="876"/>
      <c r="D240" s="876"/>
      <c r="E240" s="876"/>
      <c r="F240" s="876"/>
      <c r="G240" s="876"/>
      <c r="H240" s="876"/>
      <c r="I240" s="876"/>
      <c r="J240" s="876"/>
      <c r="K240" s="876"/>
      <c r="L240" s="876"/>
      <c r="M240" s="876"/>
      <c r="N240" s="877"/>
      <c r="O240" s="876"/>
      <c r="P240" s="876"/>
      <c r="Q240" s="876"/>
      <c r="R240" s="876"/>
      <c r="S240" s="876"/>
      <c r="T240" s="876"/>
      <c r="U240" s="876"/>
      <c r="V240" s="876"/>
      <c r="W240" s="876"/>
      <c r="X240" s="876"/>
      <c r="Y240" s="876"/>
      <c r="Z240" s="876"/>
      <c r="AA240" s="876"/>
      <c r="AB240" s="876"/>
      <c r="AC240" s="876"/>
      <c r="AD240" s="876"/>
      <c r="AE240" s="876"/>
      <c r="AF240" s="876"/>
      <c r="AG240" s="876"/>
      <c r="AH240" s="876"/>
      <c r="AI240" s="878"/>
      <c r="AJ240" s="880"/>
      <c r="AK240" s="880"/>
      <c r="AL240" s="880"/>
      <c r="AM240" s="880"/>
      <c r="AN240" s="880"/>
      <c r="AO240" s="880"/>
      <c r="AP240" s="880"/>
      <c r="AQ240" s="880"/>
      <c r="AR240" s="880"/>
      <c r="AS240" s="880"/>
      <c r="AT240" s="880"/>
      <c r="AU240" s="880"/>
      <c r="AV240" s="880"/>
      <c r="AW240" s="881"/>
      <c r="AX240" s="863"/>
      <c r="AY240" s="863"/>
      <c r="AZ240" s="863"/>
      <c r="BA240" s="863"/>
      <c r="BB240" s="863"/>
      <c r="BC240" s="863"/>
      <c r="BD240" s="863"/>
      <c r="BE240" s="863"/>
      <c r="BF240" s="863"/>
      <c r="BG240" s="863"/>
      <c r="BH240" s="863"/>
      <c r="BI240" s="863"/>
      <c r="BJ240" s="863"/>
      <c r="BK240" s="863"/>
      <c r="BL240" s="863"/>
      <c r="BM240" s="863"/>
      <c r="BN240" s="863"/>
      <c r="BO240" s="863"/>
      <c r="BP240" s="880"/>
      <c r="BQ240" s="863"/>
      <c r="BR240" s="889" t="str">
        <f>IFERROR(__xludf.DUMMYFUNCTION("""COMPUTED_VALUE"""),"Silber et al.")</f>
        <v>Silber et al.</v>
      </c>
      <c r="BS240" s="883" t="str">
        <f>IFERROR(__xludf.DUMMYFUNCTION("""COMPUTED_VALUE"""),"Ethiopia")</f>
        <v>Ethiopia</v>
      </c>
      <c r="BT240" s="883" t="str">
        <f>IFERROR(__xludf.DUMMYFUNCTION("""COMPUTED_VALUE"""),"Mebendazole")</f>
        <v>Mebendazole</v>
      </c>
      <c r="BU240" s="883"/>
      <c r="BV240" s="883" t="str">
        <f>IFERROR(__xludf.DUMMYFUNCTION("""COMPUTED_VALUE"""),"Single")</f>
        <v>Single</v>
      </c>
      <c r="BW240" s="883" t="str">
        <f>IFERROR(__xludf.DUMMYFUNCTION("""COMPUTED_VALUE"""),"500 mg")</f>
        <v>500 mg</v>
      </c>
      <c r="BX240" s="883">
        <f>IFERROR(__xludf.DUMMYFUNCTION("""COMPUTED_VALUE"""),86.0)</f>
        <v>86</v>
      </c>
      <c r="BY240" s="883">
        <f>IFERROR(__xludf.DUMMYFUNCTION("""COMPUTED_VALUE"""),7.9)</f>
        <v>7.9</v>
      </c>
      <c r="BZ240" s="883">
        <f>IFERROR(__xludf.DUMMYFUNCTION("""COMPUTED_VALUE"""),2015.0)</f>
        <v>2015</v>
      </c>
      <c r="CA240" s="883" t="str">
        <f>IFERROR(__xludf.DUMMYFUNCTION("""COMPUTED_VALUE"""),"Male:71 Female:78 ")</f>
        <v>Male:71 Female:78 </v>
      </c>
      <c r="CB240" s="883" t="str">
        <f>IFERROR(__xludf.DUMMYFUNCTION("""COMPUTED_VALUE"""),"Boys and girls (1-16 years of age) living in high STH- prevalence areas in Ethiopia or Rawanda were screened for STH eggs in stools for A. Lumbricoides. Children had to be otherwise healthy based on medical history, physical examindation, vital signs, hem"&amp;"oglobin, adn concomitant medications")</f>
        <v>Boys and girls (1-16 years of age) living in high STH- prevalence areas in Ethiopia or Rawanda were screened for STH eggs in stools for A. Lumbricoides. Children had to be otherwise healthy based on medical history, physical examindation, vital signs, hemoglobin, adn concomitant medications</v>
      </c>
      <c r="CC240" s="883" t="str">
        <f>IFERROR(__xludf.DUMMYFUNCTION("""COMPUTED_VALUE"""),"Yes")</f>
        <v>Yes</v>
      </c>
      <c r="CD240" s="884">
        <f>IFERROR(__xludf.DUMMYFUNCTION("""COMPUTED_VALUE"""),0.837)</f>
        <v>0.837</v>
      </c>
      <c r="CE240" s="883" t="str">
        <f>IFERROR(__xludf.DUMMYFUNCTION("""COMPUTED_VALUE"""),"Yes")</f>
        <v>Yes</v>
      </c>
      <c r="CF240" s="883"/>
      <c r="CG240" s="883"/>
      <c r="CH240" s="883"/>
      <c r="CI240" s="883"/>
      <c r="CJ240" s="883"/>
      <c r="CK240" s="883"/>
      <c r="CL240" s="883"/>
      <c r="CM240" s="884">
        <f>IFERROR(__xludf.DUMMYFUNCTION("""COMPUTED_VALUE"""),0.979)</f>
        <v>0.979</v>
      </c>
      <c r="CN240" s="883"/>
      <c r="CO240" s="883"/>
      <c r="CP240" s="883"/>
      <c r="CQ240" s="883"/>
      <c r="CR240" s="883"/>
      <c r="CS240" s="883" t="str">
        <f>IFERROR(__xludf.DUMMYFUNCTION("""COMPUTED_VALUE"""),"A 500mg chewable MBZ tablet was more efficacious than placebo")</f>
        <v>A 500mg chewable MBZ tablet was more efficacious than placebo</v>
      </c>
      <c r="CT240" s="883" t="str">
        <f>IFERROR(__xludf.DUMMYFUNCTION("""COMPUTED_VALUE"""),"Kato-Katz")</f>
        <v>Kato-Katz</v>
      </c>
      <c r="CU240" s="883"/>
      <c r="CV240" s="863"/>
      <c r="CW240" s="863"/>
      <c r="CX240" s="863"/>
      <c r="CY240" s="863"/>
      <c r="CZ240" s="863"/>
      <c r="DA240" s="863"/>
      <c r="DB240" s="863"/>
      <c r="DC240" s="863"/>
      <c r="DD240" s="863"/>
      <c r="DE240" s="863"/>
    </row>
    <row r="241">
      <c r="A241" s="876"/>
      <c r="B241" s="876"/>
      <c r="C241" s="876"/>
      <c r="D241" s="876"/>
      <c r="E241" s="876"/>
      <c r="F241" s="876"/>
      <c r="G241" s="876"/>
      <c r="H241" s="876"/>
      <c r="I241" s="876"/>
      <c r="J241" s="876"/>
      <c r="K241" s="876"/>
      <c r="L241" s="876"/>
      <c r="M241" s="876"/>
      <c r="N241" s="877"/>
      <c r="O241" s="876"/>
      <c r="P241" s="876"/>
      <c r="Q241" s="876"/>
      <c r="R241" s="876"/>
      <c r="S241" s="876"/>
      <c r="T241" s="876"/>
      <c r="U241" s="876"/>
      <c r="V241" s="876"/>
      <c r="W241" s="876"/>
      <c r="X241" s="876"/>
      <c r="Y241" s="876"/>
      <c r="Z241" s="876"/>
      <c r="AA241" s="876"/>
      <c r="AB241" s="876"/>
      <c r="AC241" s="876"/>
      <c r="AD241" s="876"/>
      <c r="AE241" s="876"/>
      <c r="AF241" s="876"/>
      <c r="AG241" s="876"/>
      <c r="AH241" s="876"/>
      <c r="AI241" s="878"/>
      <c r="AJ241" s="880"/>
      <c r="AK241" s="880"/>
      <c r="AL241" s="880"/>
      <c r="AM241" s="880"/>
      <c r="AN241" s="880"/>
      <c r="AO241" s="880"/>
      <c r="AP241" s="880"/>
      <c r="AQ241" s="880"/>
      <c r="AR241" s="880"/>
      <c r="AS241" s="880"/>
      <c r="AT241" s="880"/>
      <c r="AU241" s="880"/>
      <c r="AV241" s="880"/>
      <c r="AW241" s="881"/>
      <c r="AX241" s="863"/>
      <c r="AY241" s="863"/>
      <c r="AZ241" s="863"/>
      <c r="BA241" s="863"/>
      <c r="BB241" s="863"/>
      <c r="BC241" s="863"/>
      <c r="BD241" s="863"/>
      <c r="BE241" s="863"/>
      <c r="BF241" s="863"/>
      <c r="BG241" s="863"/>
      <c r="BH241" s="863"/>
      <c r="BI241" s="863"/>
      <c r="BJ241" s="863"/>
      <c r="BK241" s="863"/>
      <c r="BL241" s="863"/>
      <c r="BM241" s="863"/>
      <c r="BN241" s="863"/>
      <c r="BO241" s="863"/>
      <c r="BP241" s="880"/>
      <c r="BQ241" s="863"/>
      <c r="BR241" s="889" t="str">
        <f>IFERROR(__xludf.DUMMYFUNCTION("""COMPUTED_VALUE"""),"Silber et al.")</f>
        <v>Silber et al.</v>
      </c>
      <c r="BS241" s="883" t="str">
        <f>IFERROR(__xludf.DUMMYFUNCTION("""COMPUTED_VALUE"""),"Rawanda")</f>
        <v>Rawanda</v>
      </c>
      <c r="BT241" s="883" t="str">
        <f>IFERROR(__xludf.DUMMYFUNCTION("""COMPUTED_VALUE"""),"Mebendazole")</f>
        <v>Mebendazole</v>
      </c>
      <c r="BU241" s="883"/>
      <c r="BV241" s="883" t="str">
        <f>IFERROR(__xludf.DUMMYFUNCTION("""COMPUTED_VALUE"""),"Single")</f>
        <v>Single</v>
      </c>
      <c r="BW241" s="883" t="str">
        <f>IFERROR(__xludf.DUMMYFUNCTION("""COMPUTED_VALUE"""),"500 mg")</f>
        <v>500 mg</v>
      </c>
      <c r="BX241" s="883">
        <f>IFERROR(__xludf.DUMMYFUNCTION("""COMPUTED_VALUE"""),86.0)</f>
        <v>86</v>
      </c>
      <c r="BY241" s="883">
        <f>IFERROR(__xludf.DUMMYFUNCTION("""COMPUTED_VALUE"""),7.9)</f>
        <v>7.9</v>
      </c>
      <c r="BZ241" s="883">
        <f>IFERROR(__xludf.DUMMYFUNCTION("""COMPUTED_VALUE"""),2015.0)</f>
        <v>2015</v>
      </c>
      <c r="CA241" s="883" t="str">
        <f>IFERROR(__xludf.DUMMYFUNCTION("""COMPUTED_VALUE"""),"Male:71 Female:79")</f>
        <v>Male:71 Female:79</v>
      </c>
      <c r="CB241" s="891" t="str">
        <f>IFERROR(__xludf.DUMMYFUNCTION("""COMPUTED_VALUE"""),"Boys and girls (1-16 years of age) living in high STH- prevalence areas in Ethiopia or Rawanda were screened for STH eggs in stools for A. Lumbricoides. Children had to be otherwise healthy based on medical history, physical examindation, vital signs, hem"&amp;"oglobin, adn concomitant medications")</f>
        <v>Boys and girls (1-16 years of age) living in high STH- prevalence areas in Ethiopia or Rawanda were screened for STH eggs in stools for A. Lumbricoides. Children had to be otherwise healthy based on medical history, physical examindation, vital signs, hemoglobin, adn concomitant medications</v>
      </c>
      <c r="CC241" s="891" t="str">
        <f>IFERROR(__xludf.DUMMYFUNCTION("""COMPUTED_VALUE"""),"Yes")</f>
        <v>Yes</v>
      </c>
      <c r="CD241" s="884">
        <f>IFERROR(__xludf.DUMMYFUNCTION("""COMPUTED_VALUE"""),0.837)</f>
        <v>0.837</v>
      </c>
      <c r="CE241" s="891" t="str">
        <f>IFERROR(__xludf.DUMMYFUNCTION("""COMPUTED_VALUE"""),"Yes")</f>
        <v>Yes</v>
      </c>
      <c r="CF241" s="883"/>
      <c r="CG241" s="883"/>
      <c r="CH241" s="883"/>
      <c r="CI241" s="883"/>
      <c r="CJ241" s="883"/>
      <c r="CK241" s="883"/>
      <c r="CL241" s="883"/>
      <c r="CM241" s="884">
        <f>IFERROR(__xludf.DUMMYFUNCTION("""COMPUTED_VALUE"""),0.979)</f>
        <v>0.979</v>
      </c>
      <c r="CN241" s="883"/>
      <c r="CO241" s="883"/>
      <c r="CP241" s="883"/>
      <c r="CQ241" s="883"/>
      <c r="CR241" s="883"/>
      <c r="CS241" s="883" t="str">
        <f>IFERROR(__xludf.DUMMYFUNCTION("""COMPUTED_VALUE"""),"A 500mg chewable MBZ tablet was more efficacious than placebo")</f>
        <v>A 500mg chewable MBZ tablet was more efficacious than placebo</v>
      </c>
      <c r="CT241" s="883" t="str">
        <f>IFERROR(__xludf.DUMMYFUNCTION("""COMPUTED_VALUE"""),"Kato-Katz")</f>
        <v>Kato-Katz</v>
      </c>
      <c r="CU241" s="883"/>
      <c r="CV241" s="863"/>
      <c r="CW241" s="863"/>
      <c r="CX241" s="863"/>
      <c r="CY241" s="863"/>
      <c r="CZ241" s="863"/>
      <c r="DA241" s="863"/>
      <c r="DB241" s="863"/>
      <c r="DC241" s="863"/>
      <c r="DD241" s="863"/>
      <c r="DE241" s="863"/>
    </row>
    <row r="242">
      <c r="A242" s="876"/>
      <c r="B242" s="876"/>
      <c r="C242" s="876"/>
      <c r="D242" s="876"/>
      <c r="E242" s="876"/>
      <c r="F242" s="876"/>
      <c r="G242" s="876"/>
      <c r="H242" s="876"/>
      <c r="I242" s="876"/>
      <c r="J242" s="876"/>
      <c r="K242" s="876"/>
      <c r="L242" s="876"/>
      <c r="M242" s="876"/>
      <c r="N242" s="877"/>
      <c r="O242" s="876"/>
      <c r="P242" s="876"/>
      <c r="Q242" s="876"/>
      <c r="R242" s="876"/>
      <c r="S242" s="876"/>
      <c r="T242" s="876"/>
      <c r="U242" s="876"/>
      <c r="V242" s="876"/>
      <c r="W242" s="876"/>
      <c r="X242" s="876"/>
      <c r="Y242" s="876"/>
      <c r="Z242" s="876"/>
      <c r="AA242" s="876"/>
      <c r="AB242" s="876"/>
      <c r="AC242" s="876"/>
      <c r="AD242" s="876"/>
      <c r="AE242" s="876"/>
      <c r="AF242" s="876"/>
      <c r="AG242" s="876"/>
      <c r="AH242" s="876"/>
      <c r="AI242" s="878"/>
      <c r="AJ242" s="880"/>
      <c r="AK242" s="880"/>
      <c r="AL242" s="880"/>
      <c r="AM242" s="880"/>
      <c r="AN242" s="880"/>
      <c r="AO242" s="880"/>
      <c r="AP242" s="880"/>
      <c r="AQ242" s="880"/>
      <c r="AR242" s="880"/>
      <c r="AS242" s="880"/>
      <c r="AT242" s="880"/>
      <c r="AU242" s="880"/>
      <c r="AV242" s="880"/>
      <c r="AW242" s="881"/>
      <c r="AX242" s="863"/>
      <c r="AY242" s="863"/>
      <c r="AZ242" s="863"/>
      <c r="BA242" s="863"/>
      <c r="BB242" s="863"/>
      <c r="BC242" s="863"/>
      <c r="BD242" s="863"/>
      <c r="BE242" s="863"/>
      <c r="BF242" s="863"/>
      <c r="BG242" s="863"/>
      <c r="BH242" s="863"/>
      <c r="BI242" s="863"/>
      <c r="BJ242" s="863"/>
      <c r="BK242" s="863"/>
      <c r="BL242" s="863"/>
      <c r="BM242" s="863"/>
      <c r="BN242" s="863"/>
      <c r="BO242" s="863"/>
      <c r="BP242" s="880"/>
      <c r="BQ242" s="863"/>
      <c r="BR242" s="889" t="str">
        <f>IFERROR(__xludf.DUMMYFUNCTION("""COMPUTED_VALUE"""),"Speich et al.")</f>
        <v>Speich et al.</v>
      </c>
      <c r="BS242" s="883" t="str">
        <f>IFERROR(__xludf.DUMMYFUNCTION("""COMPUTED_VALUE"""),"Tanzania")</f>
        <v>Tanzania</v>
      </c>
      <c r="BT242" s="883" t="str">
        <f>IFERROR(__xludf.DUMMYFUNCTION("""COMPUTED_VALUE"""),"Albendazole &amp; Ivermectin")</f>
        <v>Albendazole &amp; Ivermectin</v>
      </c>
      <c r="BU242" s="883"/>
      <c r="BV242" s="883" t="str">
        <f>IFERROR(__xludf.DUMMYFUNCTION("""COMPUTED_VALUE"""),"Single")</f>
        <v>Single</v>
      </c>
      <c r="BW242" s="883" t="str">
        <f>IFERROR(__xludf.DUMMYFUNCTION("""COMPUTED_VALUE"""),"400 mg; 200 μg/kg")</f>
        <v>400 mg; 200 μg/kg</v>
      </c>
      <c r="BX242" s="883">
        <f>IFERROR(__xludf.DUMMYFUNCTION("""COMPUTED_VALUE"""),100.0)</f>
        <v>100</v>
      </c>
      <c r="BY242" s="883"/>
      <c r="BZ242" s="883">
        <f>IFERROR(__xludf.DUMMYFUNCTION("""COMPUTED_VALUE"""),2014.0)</f>
        <v>2014</v>
      </c>
      <c r="CA242" s="883"/>
      <c r="CB242" s="883" t="str">
        <f>IFERROR(__xludf.DUMMYFUNCTION("""COMPUTED_VALUE"""),"School-aged children diagnosed positive for Roundworm")</f>
        <v>School-aged children diagnosed positive for Roundworm</v>
      </c>
      <c r="CC242" s="883" t="str">
        <f>IFERROR(__xludf.DUMMYFUNCTION("""COMPUTED_VALUE"""),"Yes")</f>
        <v>Yes</v>
      </c>
      <c r="CD242" s="884">
        <f>IFERROR(__xludf.DUMMYFUNCTION("""COMPUTED_VALUE"""),0.696)</f>
        <v>0.696</v>
      </c>
      <c r="CE242" s="883" t="str">
        <f>IFERROR(__xludf.DUMMYFUNCTION("""COMPUTED_VALUE"""),"No")</f>
        <v>No</v>
      </c>
      <c r="CF242" s="883"/>
      <c r="CG242" s="883"/>
      <c r="CH242" s="883"/>
      <c r="CI242" s="883"/>
      <c r="CJ242" s="884">
        <f>IFERROR(__xludf.DUMMYFUNCTION("""COMPUTED_VALUE"""),0.978)</f>
        <v>0.978</v>
      </c>
      <c r="CK242" s="883"/>
      <c r="CL242" s="883"/>
      <c r="CM242" s="884">
        <f>IFERROR(__xludf.DUMMYFUNCTION("""COMPUTED_VALUE"""),0.997)</f>
        <v>0.997</v>
      </c>
      <c r="CN242" s="883"/>
      <c r="CO242" s="883"/>
      <c r="CP242" s="883"/>
      <c r="CQ242" s="883"/>
      <c r="CR242" s="883"/>
      <c r="CS242" s="883" t="str">
        <f>IFERROR(__xludf.DUMMYFUNCTION("""COMPUTED_VALUE"""),"All treatment arms achieved high CRs at the first follow up. CRs decreased for all treatment arms 18 weeks post-treatment. Overall, the reinfection rate was fast and combination chemotherapy might achieve decreased morbidity in children since in the alben"&amp;"dazole plus oxantel pamoate and the albendazole plus ivermectin treatment arms only a few moderate remains")</f>
        <v>All treatment arms achieved high CRs at the first follow up. CRs decreased for all treatment arms 18 weeks post-treatment. Overall, the reinfection rate was fast and combination chemotherapy might achieve decreased morbidity in children since in the albendazole plus oxantel pamoate and the albendazole plus ivermectin treatment arms only a few moderate remains</v>
      </c>
      <c r="CT242" s="883" t="str">
        <f>IFERROR(__xludf.DUMMYFUNCTION("""COMPUTED_VALUE"""),"Kato-Katz")</f>
        <v>Kato-Katz</v>
      </c>
      <c r="CU242" s="883"/>
      <c r="CV242" s="863"/>
      <c r="CW242" s="863"/>
      <c r="CX242" s="863"/>
      <c r="CY242" s="863"/>
      <c r="CZ242" s="863"/>
      <c r="DA242" s="863"/>
      <c r="DB242" s="863"/>
      <c r="DC242" s="863"/>
      <c r="DD242" s="863"/>
      <c r="DE242" s="863"/>
    </row>
    <row r="243">
      <c r="A243" s="876"/>
      <c r="B243" s="876"/>
      <c r="C243" s="876"/>
      <c r="D243" s="876"/>
      <c r="E243" s="876"/>
      <c r="F243" s="876"/>
      <c r="G243" s="876"/>
      <c r="H243" s="876"/>
      <c r="I243" s="876"/>
      <c r="J243" s="876"/>
      <c r="K243" s="876"/>
      <c r="L243" s="876"/>
      <c r="M243" s="876"/>
      <c r="N243" s="877"/>
      <c r="O243" s="876"/>
      <c r="P243" s="876"/>
      <c r="Q243" s="876"/>
      <c r="R243" s="876"/>
      <c r="S243" s="876"/>
      <c r="T243" s="876"/>
      <c r="U243" s="876"/>
      <c r="V243" s="876"/>
      <c r="W243" s="876"/>
      <c r="X243" s="876"/>
      <c r="Y243" s="876"/>
      <c r="Z243" s="876"/>
      <c r="AA243" s="876"/>
      <c r="AB243" s="876"/>
      <c r="AC243" s="876"/>
      <c r="AD243" s="876"/>
      <c r="AE243" s="876"/>
      <c r="AF243" s="876"/>
      <c r="AG243" s="876"/>
      <c r="AH243" s="876"/>
      <c r="AI243" s="878"/>
      <c r="AJ243" s="880"/>
      <c r="AK243" s="880"/>
      <c r="AL243" s="880"/>
      <c r="AM243" s="880"/>
      <c r="AN243" s="880"/>
      <c r="AO243" s="880"/>
      <c r="AP243" s="880"/>
      <c r="AQ243" s="880"/>
      <c r="AR243" s="880"/>
      <c r="AS243" s="880"/>
      <c r="AT243" s="880"/>
      <c r="AU243" s="880"/>
      <c r="AV243" s="880"/>
      <c r="AW243" s="881"/>
      <c r="AX243" s="863"/>
      <c r="AY243" s="863"/>
      <c r="AZ243" s="863"/>
      <c r="BA243" s="863"/>
      <c r="BB243" s="863"/>
      <c r="BC243" s="863"/>
      <c r="BD243" s="863"/>
      <c r="BE243" s="863"/>
      <c r="BF243" s="863"/>
      <c r="BG243" s="863"/>
      <c r="BH243" s="863"/>
      <c r="BI243" s="863"/>
      <c r="BJ243" s="863"/>
      <c r="BK243" s="863"/>
      <c r="BL243" s="863"/>
      <c r="BM243" s="863"/>
      <c r="BN243" s="863"/>
      <c r="BO243" s="863"/>
      <c r="BP243" s="880"/>
      <c r="BQ243" s="863"/>
      <c r="BR243" s="889" t="str">
        <f>IFERROR(__xludf.DUMMYFUNCTION("""COMPUTED_VALUE"""),"Speich et al.")</f>
        <v>Speich et al.</v>
      </c>
      <c r="BS243" s="883" t="str">
        <f>IFERROR(__xludf.DUMMYFUNCTION("""COMPUTED_VALUE"""),"Tanzania")</f>
        <v>Tanzania</v>
      </c>
      <c r="BT243" s="883" t="str">
        <f>IFERROR(__xludf.DUMMYFUNCTION("""COMPUTED_VALUE"""),"Albendazole &amp; Mebendazole")</f>
        <v>Albendazole &amp; Mebendazole</v>
      </c>
      <c r="BU243" s="883"/>
      <c r="BV243" s="883" t="str">
        <f>IFERROR(__xludf.DUMMYFUNCTION("""COMPUTED_VALUE"""),"Single")</f>
        <v>Single</v>
      </c>
      <c r="BW243" s="883" t="str">
        <f>IFERROR(__xludf.DUMMYFUNCTION("""COMPUTED_VALUE"""),"400 mg; 500 mg ")</f>
        <v>400 mg; 500 mg </v>
      </c>
      <c r="BX243" s="883">
        <f>IFERROR(__xludf.DUMMYFUNCTION("""COMPUTED_VALUE"""),101.0)</f>
        <v>101</v>
      </c>
      <c r="BY243" s="883"/>
      <c r="BZ243" s="883">
        <f>IFERROR(__xludf.DUMMYFUNCTION("""COMPUTED_VALUE"""),2014.0)</f>
        <v>2014</v>
      </c>
      <c r="CA243" s="883"/>
      <c r="CB243" s="883" t="str">
        <f>IFERROR(__xludf.DUMMYFUNCTION("""COMPUTED_VALUE"""),"School-aged children diagnosed positive for Roundworm")</f>
        <v>School-aged children diagnosed positive for Roundworm</v>
      </c>
      <c r="CC243" s="883" t="str">
        <f>IFERROR(__xludf.DUMMYFUNCTION("""COMPUTED_VALUE"""),"Yes")</f>
        <v>Yes</v>
      </c>
      <c r="CD243" s="884">
        <f>IFERROR(__xludf.DUMMYFUNCTION("""COMPUTED_VALUE"""),0.694)</f>
        <v>0.694</v>
      </c>
      <c r="CE243" s="883" t="str">
        <f>IFERROR(__xludf.DUMMYFUNCTION("""COMPUTED_VALUE"""),"No")</f>
        <v>No</v>
      </c>
      <c r="CF243" s="883"/>
      <c r="CG243" s="883"/>
      <c r="CH243" s="883"/>
      <c r="CI243" s="883"/>
      <c r="CJ243" s="884">
        <f>IFERROR(__xludf.DUMMYFUNCTION("""COMPUTED_VALUE"""),1.0)</f>
        <v>1</v>
      </c>
      <c r="CK243" s="883"/>
      <c r="CL243" s="883"/>
      <c r="CM243" s="884">
        <f>IFERROR(__xludf.DUMMYFUNCTION("""COMPUTED_VALUE"""),0.992)</f>
        <v>0.992</v>
      </c>
      <c r="CN243" s="883"/>
      <c r="CO243" s="883"/>
      <c r="CP243" s="883"/>
      <c r="CQ243" s="883"/>
      <c r="CR243" s="883"/>
      <c r="CS243" s="883" t="str">
        <f>IFERROR(__xludf.DUMMYFUNCTION("""COMPUTED_VALUE"""),"All treatment arms achieved high CRs at the first follow up. CRs decreased for all treatment arms 18 weeks post-treatment. Overall, the reinfection rate was fast and combination chemotherapy might achieve decreased morbidity in children since in the alben"&amp;"dazole plus oxantel pamoate and the albendazole plus ivermectin treatment arms only a few moderate remains")</f>
        <v>All treatment arms achieved high CRs at the first follow up. CRs decreased for all treatment arms 18 weeks post-treatment. Overall, the reinfection rate was fast and combination chemotherapy might achieve decreased morbidity in children since in the albendazole plus oxantel pamoate and the albendazole plus ivermectin treatment arms only a few moderate remains</v>
      </c>
      <c r="CT243" s="883" t="str">
        <f>IFERROR(__xludf.DUMMYFUNCTION("""COMPUTED_VALUE"""),"Kato-Katz")</f>
        <v>Kato-Katz</v>
      </c>
      <c r="CU243" s="883"/>
      <c r="CV243" s="863"/>
      <c r="CW243" s="863"/>
      <c r="CX243" s="863"/>
      <c r="CY243" s="863"/>
      <c r="CZ243" s="863"/>
      <c r="DA243" s="863"/>
      <c r="DB243" s="863"/>
      <c r="DC243" s="863"/>
      <c r="DD243" s="863"/>
      <c r="DE243" s="863"/>
    </row>
    <row r="244">
      <c r="A244" s="876"/>
      <c r="B244" s="876"/>
      <c r="C244" s="876"/>
      <c r="D244" s="876"/>
      <c r="E244" s="876"/>
      <c r="F244" s="876"/>
      <c r="G244" s="876"/>
      <c r="H244" s="876"/>
      <c r="I244" s="876"/>
      <c r="J244" s="876"/>
      <c r="K244" s="876"/>
      <c r="L244" s="876"/>
      <c r="M244" s="876"/>
      <c r="N244" s="877"/>
      <c r="O244" s="876"/>
      <c r="P244" s="876"/>
      <c r="Q244" s="876"/>
      <c r="R244" s="876"/>
      <c r="S244" s="876"/>
      <c r="T244" s="876"/>
      <c r="U244" s="876"/>
      <c r="V244" s="876"/>
      <c r="W244" s="876"/>
      <c r="X244" s="876"/>
      <c r="Y244" s="876"/>
      <c r="Z244" s="876"/>
      <c r="AA244" s="876"/>
      <c r="AB244" s="876"/>
      <c r="AC244" s="876"/>
      <c r="AD244" s="876"/>
      <c r="AE244" s="876"/>
      <c r="AF244" s="876"/>
      <c r="AG244" s="876"/>
      <c r="AH244" s="876"/>
      <c r="AI244" s="878"/>
      <c r="AJ244" s="880"/>
      <c r="AK244" s="880"/>
      <c r="AL244" s="880"/>
      <c r="AM244" s="880"/>
      <c r="AN244" s="880"/>
      <c r="AO244" s="880"/>
      <c r="AP244" s="880"/>
      <c r="AQ244" s="880"/>
      <c r="AR244" s="880"/>
      <c r="AS244" s="880"/>
      <c r="AT244" s="880"/>
      <c r="AU244" s="880"/>
      <c r="AV244" s="880"/>
      <c r="AW244" s="881"/>
      <c r="AX244" s="863"/>
      <c r="AY244" s="863"/>
      <c r="AZ244" s="863"/>
      <c r="BA244" s="863"/>
      <c r="BB244" s="863"/>
      <c r="BC244" s="863"/>
      <c r="BD244" s="863"/>
      <c r="BE244" s="863"/>
      <c r="BF244" s="863"/>
      <c r="BG244" s="863"/>
      <c r="BH244" s="863"/>
      <c r="BI244" s="863"/>
      <c r="BJ244" s="863"/>
      <c r="BK244" s="863"/>
      <c r="BL244" s="863"/>
      <c r="BM244" s="863"/>
      <c r="BN244" s="863"/>
      <c r="BO244" s="863"/>
      <c r="BP244" s="880"/>
      <c r="BQ244" s="863"/>
      <c r="BR244" s="889" t="str">
        <f>IFERROR(__xludf.DUMMYFUNCTION("""COMPUTED_VALUE"""),"Speich et al.")</f>
        <v>Speich et al.</v>
      </c>
      <c r="BS244" s="883" t="str">
        <f>IFERROR(__xludf.DUMMYFUNCTION("""COMPUTED_VALUE"""),"Tanzania")</f>
        <v>Tanzania</v>
      </c>
      <c r="BT244" s="883" t="str">
        <f>IFERROR(__xludf.DUMMYFUNCTION("""COMPUTED_VALUE"""),"Albendazole &amp; Oxantel Pamoate")</f>
        <v>Albendazole &amp; Oxantel Pamoate</v>
      </c>
      <c r="BU244" s="883"/>
      <c r="BV244" s="883" t="str">
        <f>IFERROR(__xludf.DUMMYFUNCTION("""COMPUTED_VALUE"""),"Single")</f>
        <v>Single</v>
      </c>
      <c r="BW244" s="883" t="str">
        <f>IFERROR(__xludf.DUMMYFUNCTION("""COMPUTED_VALUE"""),"400 mg; 20 mg/kg")</f>
        <v>400 mg; 20 mg/kg</v>
      </c>
      <c r="BX244" s="883">
        <f>IFERROR(__xludf.DUMMYFUNCTION("""COMPUTED_VALUE"""),100.0)</f>
        <v>100</v>
      </c>
      <c r="BY244" s="883"/>
      <c r="BZ244" s="883">
        <f>IFERROR(__xludf.DUMMYFUNCTION("""COMPUTED_VALUE"""),2014.0)</f>
        <v>2014</v>
      </c>
      <c r="CA244" s="883"/>
      <c r="CB244" s="883" t="str">
        <f>IFERROR(__xludf.DUMMYFUNCTION("""COMPUTED_VALUE"""),"School-aged children diagnosed positive for Roundworm")</f>
        <v>School-aged children diagnosed positive for Roundworm</v>
      </c>
      <c r="CC244" s="883" t="str">
        <f>IFERROR(__xludf.DUMMYFUNCTION("""COMPUTED_VALUE"""),"Yes")</f>
        <v>Yes</v>
      </c>
      <c r="CD244" s="884">
        <f>IFERROR(__xludf.DUMMYFUNCTION("""COMPUTED_VALUE"""),0.614)</f>
        <v>0.614</v>
      </c>
      <c r="CE244" s="883" t="str">
        <f>IFERROR(__xludf.DUMMYFUNCTION("""COMPUTED_VALUE"""),"No")</f>
        <v>No</v>
      </c>
      <c r="CF244" s="883"/>
      <c r="CG244" s="883"/>
      <c r="CH244" s="883"/>
      <c r="CI244" s="883"/>
      <c r="CJ244" s="884">
        <f>IFERROR(__xludf.DUMMYFUNCTION("""COMPUTED_VALUE"""),0.977)</f>
        <v>0.977</v>
      </c>
      <c r="CK244" s="883"/>
      <c r="CL244" s="883"/>
      <c r="CM244" s="884">
        <f>IFERROR(__xludf.DUMMYFUNCTION("""COMPUTED_VALUE"""),0.992)</f>
        <v>0.992</v>
      </c>
      <c r="CN244" s="883"/>
      <c r="CO244" s="883"/>
      <c r="CP244" s="883"/>
      <c r="CQ244" s="883"/>
      <c r="CR244" s="883"/>
      <c r="CS244" s="883" t="str">
        <f>IFERROR(__xludf.DUMMYFUNCTION("""COMPUTED_VALUE"""),"All treatment arms achieved high CRs at the first follow up. CRs decreased for all treatment arms 18 weeks post-treatment. Overall, the reinfection rate was fast and combination chemotherapy might achieve decreased morbidity in children since in the alben"&amp;"dazole plus oxantel pamoate and the albendazole plus ivermectin treatment arms only a few moderate remains")</f>
        <v>All treatment arms achieved high CRs at the first follow up. CRs decreased for all treatment arms 18 weeks post-treatment. Overall, the reinfection rate was fast and combination chemotherapy might achieve decreased morbidity in children since in the albendazole plus oxantel pamoate and the albendazole plus ivermectin treatment arms only a few moderate remains</v>
      </c>
      <c r="CT244" s="883" t="str">
        <f>IFERROR(__xludf.DUMMYFUNCTION("""COMPUTED_VALUE"""),"Kato-Katz")</f>
        <v>Kato-Katz</v>
      </c>
      <c r="CU244" s="883"/>
      <c r="CV244" s="863"/>
      <c r="CW244" s="863"/>
      <c r="CX244" s="863"/>
      <c r="CY244" s="863"/>
      <c r="CZ244" s="863"/>
      <c r="DA244" s="863"/>
      <c r="DB244" s="863"/>
      <c r="DC244" s="863"/>
      <c r="DD244" s="863"/>
      <c r="DE244" s="863"/>
    </row>
    <row r="245">
      <c r="A245" s="876"/>
      <c r="B245" s="876"/>
      <c r="C245" s="876"/>
      <c r="D245" s="876"/>
      <c r="E245" s="876"/>
      <c r="F245" s="876"/>
      <c r="G245" s="876"/>
      <c r="H245" s="876"/>
      <c r="I245" s="876"/>
      <c r="J245" s="876"/>
      <c r="K245" s="876"/>
      <c r="L245" s="876"/>
      <c r="M245" s="876"/>
      <c r="N245" s="877"/>
      <c r="O245" s="876"/>
      <c r="P245" s="876"/>
      <c r="Q245" s="876"/>
      <c r="R245" s="876"/>
      <c r="S245" s="876"/>
      <c r="T245" s="876"/>
      <c r="U245" s="876"/>
      <c r="V245" s="876"/>
      <c r="W245" s="876"/>
      <c r="X245" s="876"/>
      <c r="Y245" s="876"/>
      <c r="Z245" s="876"/>
      <c r="AA245" s="876"/>
      <c r="AB245" s="876"/>
      <c r="AC245" s="876"/>
      <c r="AD245" s="876"/>
      <c r="AE245" s="876"/>
      <c r="AF245" s="876"/>
      <c r="AG245" s="876"/>
      <c r="AH245" s="876"/>
      <c r="AI245" s="878"/>
      <c r="AJ245" s="880"/>
      <c r="AK245" s="880"/>
      <c r="AL245" s="880"/>
      <c r="AM245" s="880"/>
      <c r="AN245" s="880"/>
      <c r="AO245" s="880"/>
      <c r="AP245" s="880"/>
      <c r="AQ245" s="880"/>
      <c r="AR245" s="880"/>
      <c r="AS245" s="880"/>
      <c r="AT245" s="880"/>
      <c r="AU245" s="880"/>
      <c r="AV245" s="880"/>
      <c r="AW245" s="881"/>
      <c r="AX245" s="863"/>
      <c r="AY245" s="863"/>
      <c r="AZ245" s="863"/>
      <c r="BA245" s="863"/>
      <c r="BB245" s="863"/>
      <c r="BC245" s="863"/>
      <c r="BD245" s="863"/>
      <c r="BE245" s="863"/>
      <c r="BF245" s="863"/>
      <c r="BG245" s="863"/>
      <c r="BH245" s="863"/>
      <c r="BI245" s="863"/>
      <c r="BJ245" s="863"/>
      <c r="BK245" s="863"/>
      <c r="BL245" s="863"/>
      <c r="BM245" s="863"/>
      <c r="BN245" s="863"/>
      <c r="BO245" s="863"/>
      <c r="BP245" s="880"/>
      <c r="BQ245" s="863"/>
      <c r="BR245" s="889" t="str">
        <f>IFERROR(__xludf.DUMMYFUNCTION("""COMPUTED_VALUE"""),"Speich et al.")</f>
        <v>Speich et al.</v>
      </c>
      <c r="BS245" s="883" t="str">
        <f>IFERROR(__xludf.DUMMYFUNCTION("""COMPUTED_VALUE"""),"Tanzania")</f>
        <v>Tanzania</v>
      </c>
      <c r="BT245" s="883" t="str">
        <f>IFERROR(__xludf.DUMMYFUNCTION("""COMPUTED_VALUE"""),"Mebendazole")</f>
        <v>Mebendazole</v>
      </c>
      <c r="BU245" s="883"/>
      <c r="BV245" s="883" t="str">
        <f>IFERROR(__xludf.DUMMYFUNCTION("""COMPUTED_VALUE"""),"Single")</f>
        <v>Single</v>
      </c>
      <c r="BW245" s="883" t="str">
        <f>IFERROR(__xludf.DUMMYFUNCTION("""COMPUTED_VALUE"""),"500 mg")</f>
        <v>500 mg</v>
      </c>
      <c r="BX245" s="883">
        <f>IFERROR(__xludf.DUMMYFUNCTION("""COMPUTED_VALUE"""),104.0)</f>
        <v>104</v>
      </c>
      <c r="BY245" s="883"/>
      <c r="BZ245" s="883">
        <f>IFERROR(__xludf.DUMMYFUNCTION("""COMPUTED_VALUE"""),2014.0)</f>
        <v>2014</v>
      </c>
      <c r="CA245" s="883"/>
      <c r="CB245" s="883" t="str">
        <f>IFERROR(__xludf.DUMMYFUNCTION("""COMPUTED_VALUE"""),"School-aged children diagnosed positive for Roundworm")</f>
        <v>School-aged children diagnosed positive for Roundworm</v>
      </c>
      <c r="CC245" s="883" t="str">
        <f>IFERROR(__xludf.DUMMYFUNCTION("""COMPUTED_VALUE"""),"Yes")</f>
        <v>Yes</v>
      </c>
      <c r="CD245" s="884">
        <f>IFERROR(__xludf.DUMMYFUNCTION("""COMPUTED_VALUE"""),0.605)</f>
        <v>0.605</v>
      </c>
      <c r="CE245" s="883" t="str">
        <f>IFERROR(__xludf.DUMMYFUNCTION("""COMPUTED_VALUE"""),"No")</f>
        <v>No</v>
      </c>
      <c r="CF245" s="883"/>
      <c r="CG245" s="883"/>
      <c r="CH245" s="883"/>
      <c r="CI245" s="883"/>
      <c r="CJ245" s="884">
        <f>IFERROR(__xludf.DUMMYFUNCTION("""COMPUTED_VALUE"""),0.954)</f>
        <v>0.954</v>
      </c>
      <c r="CK245" s="883"/>
      <c r="CL245" s="883"/>
      <c r="CM245" s="884">
        <f>IFERROR(__xludf.DUMMYFUNCTION("""COMPUTED_VALUE"""),0.99)</f>
        <v>0.99</v>
      </c>
      <c r="CN245" s="883"/>
      <c r="CO245" s="883"/>
      <c r="CP245" s="883"/>
      <c r="CQ245" s="883"/>
      <c r="CR245" s="883"/>
      <c r="CS245" s="883" t="str">
        <f>IFERROR(__xludf.DUMMYFUNCTION("""COMPUTED_VALUE"""),"All treatment arms achieved high CRs at the first follow up. CRs decreased for all treatment arms 18 weeks post-treatment. Overall, the reinfection rate was fast and combination chemotherapy might achieve decreased morbidity in children since in the alben"&amp;"dazole plus oxantel pamoate and the albendazole plus ivermectin treatment arms only a few moderate remains")</f>
        <v>All treatment arms achieved high CRs at the first follow up. CRs decreased for all treatment arms 18 weeks post-treatment. Overall, the reinfection rate was fast and combination chemotherapy might achieve decreased morbidity in children since in the albendazole plus oxantel pamoate and the albendazole plus ivermectin treatment arms only a few moderate remains</v>
      </c>
      <c r="CT245" s="883" t="str">
        <f>IFERROR(__xludf.DUMMYFUNCTION("""COMPUTED_VALUE"""),"Kato-Katz")</f>
        <v>Kato-Katz</v>
      </c>
      <c r="CU245" s="883"/>
      <c r="CV245" s="863"/>
      <c r="CW245" s="863"/>
      <c r="CX245" s="863"/>
      <c r="CY245" s="863"/>
      <c r="CZ245" s="863"/>
      <c r="DA245" s="863"/>
      <c r="DB245" s="863"/>
      <c r="DC245" s="863"/>
      <c r="DD245" s="863"/>
      <c r="DE245" s="863"/>
    </row>
    <row r="246">
      <c r="A246" s="876"/>
      <c r="B246" s="876"/>
      <c r="C246" s="876"/>
      <c r="D246" s="876"/>
      <c r="E246" s="876"/>
      <c r="F246" s="876"/>
      <c r="G246" s="876"/>
      <c r="H246" s="876"/>
      <c r="I246" s="876"/>
      <c r="J246" s="876"/>
      <c r="K246" s="876"/>
      <c r="L246" s="876"/>
      <c r="M246" s="876"/>
      <c r="N246" s="877"/>
      <c r="O246" s="876"/>
      <c r="P246" s="876"/>
      <c r="Q246" s="876"/>
      <c r="R246" s="876"/>
      <c r="S246" s="876"/>
      <c r="T246" s="876"/>
      <c r="U246" s="876"/>
      <c r="V246" s="876"/>
      <c r="W246" s="876"/>
      <c r="X246" s="876"/>
      <c r="Y246" s="876"/>
      <c r="Z246" s="876"/>
      <c r="AA246" s="876"/>
      <c r="AB246" s="876"/>
      <c r="AC246" s="876"/>
      <c r="AD246" s="876"/>
      <c r="AE246" s="876"/>
      <c r="AF246" s="876"/>
      <c r="AG246" s="876"/>
      <c r="AH246" s="876"/>
      <c r="AI246" s="878"/>
      <c r="AJ246" s="880"/>
      <c r="AK246" s="880"/>
      <c r="AL246" s="880"/>
      <c r="AM246" s="880"/>
      <c r="AN246" s="880"/>
      <c r="AO246" s="880"/>
      <c r="AP246" s="880"/>
      <c r="AQ246" s="880"/>
      <c r="AR246" s="880"/>
      <c r="AS246" s="880"/>
      <c r="AT246" s="880"/>
      <c r="AU246" s="880"/>
      <c r="AV246" s="880"/>
      <c r="AW246" s="881"/>
      <c r="AX246" s="863"/>
      <c r="AY246" s="863"/>
      <c r="AZ246" s="863"/>
      <c r="BA246" s="863"/>
      <c r="BB246" s="863"/>
      <c r="BC246" s="863"/>
      <c r="BD246" s="863"/>
      <c r="BE246" s="863"/>
      <c r="BF246" s="863"/>
      <c r="BG246" s="863"/>
      <c r="BH246" s="863"/>
      <c r="BI246" s="863"/>
      <c r="BJ246" s="863"/>
      <c r="BK246" s="863"/>
      <c r="BL246" s="863"/>
      <c r="BM246" s="863"/>
      <c r="BN246" s="863"/>
      <c r="BO246" s="863"/>
      <c r="BP246" s="880"/>
      <c r="BQ246" s="863"/>
      <c r="BR246" s="889" t="str">
        <f>IFERROR(__xludf.DUMMYFUNCTION("""COMPUTED_VALUE"""),"Palmeirim et al.")</f>
        <v>Palmeirim et al.</v>
      </c>
      <c r="BS246" s="883" t="str">
        <f>IFERROR(__xludf.DUMMYFUNCTION("""COMPUTED_VALUE"""),"Tanzania")</f>
        <v>Tanzania</v>
      </c>
      <c r="BT246" s="883" t="str">
        <f>IFERROR(__xludf.DUMMYFUNCTION("""COMPUTED_VALUE"""),"Mebendazole")</f>
        <v>Mebendazole</v>
      </c>
      <c r="BU246" s="883"/>
      <c r="BV246" s="883" t="str">
        <f>IFERROR(__xludf.DUMMYFUNCTION("""COMPUTED_VALUE"""),"Single")</f>
        <v>Single</v>
      </c>
      <c r="BW246" s="883" t="str">
        <f>IFERROR(__xludf.DUMMYFUNCTION("""COMPUTED_VALUE"""),"500 mg")</f>
        <v>500 mg</v>
      </c>
      <c r="BX246" s="883">
        <f>IFERROR(__xludf.DUMMYFUNCTION("""COMPUTED_VALUE"""),47.0)</f>
        <v>47</v>
      </c>
      <c r="BY246" s="883">
        <f>IFERROR(__xludf.DUMMYFUNCTION("""COMPUTED_VALUE"""),10.1)</f>
        <v>10.1</v>
      </c>
      <c r="BZ246" s="883">
        <f>IFERROR(__xludf.DUMMYFUNCTION("""COMPUTED_VALUE"""),2017.0)</f>
        <v>2017</v>
      </c>
      <c r="CA246" s="883"/>
      <c r="CB246" s="883" t="str">
        <f>IFERROR(__xludf.DUMMYFUNCTION("""COMPUTED_VALUE"""),"Concenting children between the ages of 6-12 yrs old attending the primary school of piki village were eligible if the had provided two stool samples, were positive for Roundworm eggs in the stool")</f>
        <v>Concenting children between the ages of 6-12 yrs old attending the primary school of piki village were eligible if the had provided two stool samples, were positive for Roundworm eggs in the stool</v>
      </c>
      <c r="CC246" s="883" t="str">
        <f>IFERROR(__xludf.DUMMYFUNCTION("""COMPUTED_VALUE"""),"Yes")</f>
        <v>Yes</v>
      </c>
      <c r="CD246" s="884">
        <f>IFERROR(__xludf.DUMMYFUNCTION("""COMPUTED_VALUE"""),1.0)</f>
        <v>1</v>
      </c>
      <c r="CE246" s="883" t="str">
        <f>IFERROR(__xludf.DUMMYFUNCTION("""COMPUTED_VALUE"""),"Yes")</f>
        <v>Yes</v>
      </c>
      <c r="CF246" s="883"/>
      <c r="CG246" s="883"/>
      <c r="CH246" s="883"/>
      <c r="CI246" s="883"/>
      <c r="CJ246" s="883"/>
      <c r="CK246" s="883"/>
      <c r="CL246" s="883"/>
      <c r="CM246" s="891">
        <f>IFERROR(__xludf.DUMMYFUNCTION("""COMPUTED_VALUE"""),1.0)</f>
        <v>1</v>
      </c>
      <c r="CN246" s="883"/>
      <c r="CO246" s="883"/>
      <c r="CP246" s="883"/>
      <c r="CQ246" s="883"/>
      <c r="CR246" s="883"/>
      <c r="CS246" s="883" t="str">
        <f>IFERROR(__xludf.DUMMYFUNCTION("""COMPUTED_VALUE"""),"Unlike the two other worm within the study, a multidose of mebendazole does not present an advantage against A.lumbricoides infections over a single mebendazole dose. The high efficacy in both doses show great cure rates due to the mebendazole")</f>
        <v>Unlike the two other worm within the study, a multidose of mebendazole does not present an advantage against A.lumbricoides infections over a single mebendazole dose. The high efficacy in both doses show great cure rates due to the mebendazole</v>
      </c>
      <c r="CT246" s="883" t="str">
        <f>IFERROR(__xludf.DUMMYFUNCTION("""COMPUTED_VALUE"""),"Kato-Katz")</f>
        <v>Kato-Katz</v>
      </c>
      <c r="CU246" s="883"/>
      <c r="CV246" s="863"/>
      <c r="CW246" s="863"/>
      <c r="CX246" s="863"/>
      <c r="CY246" s="863"/>
      <c r="CZ246" s="863"/>
      <c r="DA246" s="863"/>
      <c r="DB246" s="863"/>
      <c r="DC246" s="863"/>
      <c r="DD246" s="863"/>
      <c r="DE246" s="863"/>
    </row>
    <row r="247">
      <c r="A247" s="876"/>
      <c r="B247" s="876"/>
      <c r="C247" s="876"/>
      <c r="D247" s="876"/>
      <c r="E247" s="876"/>
      <c r="F247" s="876"/>
      <c r="G247" s="876"/>
      <c r="H247" s="876"/>
      <c r="I247" s="876"/>
      <c r="J247" s="876"/>
      <c r="K247" s="876"/>
      <c r="L247" s="876"/>
      <c r="M247" s="876"/>
      <c r="N247" s="877"/>
      <c r="O247" s="876"/>
      <c r="P247" s="876"/>
      <c r="Q247" s="876"/>
      <c r="R247" s="876"/>
      <c r="S247" s="876"/>
      <c r="T247" s="876"/>
      <c r="U247" s="876"/>
      <c r="V247" s="876"/>
      <c r="W247" s="876"/>
      <c r="X247" s="876"/>
      <c r="Y247" s="876"/>
      <c r="Z247" s="876"/>
      <c r="AA247" s="876"/>
      <c r="AB247" s="876"/>
      <c r="AC247" s="876"/>
      <c r="AD247" s="876"/>
      <c r="AE247" s="876"/>
      <c r="AF247" s="876"/>
      <c r="AG247" s="876"/>
      <c r="AH247" s="876"/>
      <c r="AI247" s="878"/>
      <c r="AJ247" s="880"/>
      <c r="AK247" s="880"/>
      <c r="AL247" s="880"/>
      <c r="AM247" s="880"/>
      <c r="AN247" s="880"/>
      <c r="AO247" s="880"/>
      <c r="AP247" s="880"/>
      <c r="AQ247" s="880"/>
      <c r="AR247" s="880"/>
      <c r="AS247" s="880"/>
      <c r="AT247" s="880"/>
      <c r="AU247" s="880"/>
      <c r="AV247" s="880"/>
      <c r="AW247" s="881"/>
      <c r="AX247" s="863"/>
      <c r="AY247" s="863"/>
      <c r="AZ247" s="863"/>
      <c r="BA247" s="863"/>
      <c r="BB247" s="863"/>
      <c r="BC247" s="863"/>
      <c r="BD247" s="863"/>
      <c r="BE247" s="863"/>
      <c r="BF247" s="863"/>
      <c r="BG247" s="863"/>
      <c r="BH247" s="863"/>
      <c r="BI247" s="863"/>
      <c r="BJ247" s="863"/>
      <c r="BK247" s="863"/>
      <c r="BL247" s="863"/>
      <c r="BM247" s="863"/>
      <c r="BN247" s="863"/>
      <c r="BO247" s="863"/>
      <c r="BP247" s="880"/>
      <c r="BQ247" s="863"/>
      <c r="BR247" s="889" t="str">
        <f>IFERROR(__xludf.DUMMYFUNCTION("""COMPUTED_VALUE"""),"Palmeirim et al.")</f>
        <v>Palmeirim et al.</v>
      </c>
      <c r="BS247" s="883" t="str">
        <f>IFERROR(__xludf.DUMMYFUNCTION("""COMPUTED_VALUE"""),"Tanzania")</f>
        <v>Tanzania</v>
      </c>
      <c r="BT247" s="883" t="str">
        <f>IFERROR(__xludf.DUMMYFUNCTION("""COMPUTED_VALUE"""),"Mebendazole")</f>
        <v>Mebendazole</v>
      </c>
      <c r="BU247" s="883"/>
      <c r="BV247" s="883" t="str">
        <f>IFERROR(__xludf.DUMMYFUNCTION("""COMPUTED_VALUE"""),"Three")</f>
        <v>Three</v>
      </c>
      <c r="BW247" s="883" t="str">
        <f>IFERROR(__xludf.DUMMYFUNCTION("""COMPUTED_VALUE"""),"200 mg")</f>
        <v>200 mg</v>
      </c>
      <c r="BX247" s="883">
        <f>IFERROR(__xludf.DUMMYFUNCTION("""COMPUTED_VALUE"""),51.0)</f>
        <v>51</v>
      </c>
      <c r="BY247" s="883">
        <f>IFERROR(__xludf.DUMMYFUNCTION("""COMPUTED_VALUE"""),10.1)</f>
        <v>10.1</v>
      </c>
      <c r="BZ247" s="883">
        <f>IFERROR(__xludf.DUMMYFUNCTION("""COMPUTED_VALUE"""),2017.0)</f>
        <v>2017</v>
      </c>
      <c r="CA247" s="883"/>
      <c r="CB247" s="883" t="str">
        <f>IFERROR(__xludf.DUMMYFUNCTION("""COMPUTED_VALUE"""),"Concenting children between the ages of 6-12 yrs old attending the primary school of piki village were eligible if the had provided two stool samples, were positive for Roundworm eggs in the stool")</f>
        <v>Concenting children between the ages of 6-12 yrs old attending the primary school of piki village were eligible if the had provided two stool samples, were positive for Roundworm eggs in the stool</v>
      </c>
      <c r="CC247" s="883" t="str">
        <f>IFERROR(__xludf.DUMMYFUNCTION("""COMPUTED_VALUE"""),"Yes")</f>
        <v>Yes</v>
      </c>
      <c r="CD247" s="884">
        <f>IFERROR(__xludf.DUMMYFUNCTION("""COMPUTED_VALUE"""),0.98)</f>
        <v>0.98</v>
      </c>
      <c r="CE247" s="883" t="str">
        <f>IFERROR(__xludf.DUMMYFUNCTION("""COMPUTED_VALUE"""),"Yes")</f>
        <v>Yes</v>
      </c>
      <c r="CF247" s="883"/>
      <c r="CG247" s="883"/>
      <c r="CH247" s="883"/>
      <c r="CI247" s="883"/>
      <c r="CJ247" s="883"/>
      <c r="CK247" s="883"/>
      <c r="CL247" s="883"/>
      <c r="CM247" s="891">
        <f>IFERROR(__xludf.DUMMYFUNCTION("""COMPUTED_VALUE"""),1.0)</f>
        <v>1</v>
      </c>
      <c r="CN247" s="883"/>
      <c r="CO247" s="883"/>
      <c r="CP247" s="883"/>
      <c r="CQ247" s="883"/>
      <c r="CR247" s="883"/>
      <c r="CS247" s="883" t="str">
        <f>IFERROR(__xludf.DUMMYFUNCTION("""COMPUTED_VALUE"""),"Unlike the two other worm within the study, a multidose of mebendazole does not present an advantage against A.lumbricoides infections over a single mebendazole dose. The high efficacy in both doses show great cure rates due to the mebendazole")</f>
        <v>Unlike the two other worm within the study, a multidose of mebendazole does not present an advantage against A.lumbricoides infections over a single mebendazole dose. The high efficacy in both doses show great cure rates due to the mebendazole</v>
      </c>
      <c r="CT247" s="883" t="str">
        <f>IFERROR(__xludf.DUMMYFUNCTION("""COMPUTED_VALUE"""),"Kato-Katz")</f>
        <v>Kato-Katz</v>
      </c>
      <c r="CU247" s="883"/>
      <c r="CV247" s="863"/>
      <c r="CW247" s="863"/>
      <c r="CX247" s="863"/>
      <c r="CY247" s="863"/>
      <c r="CZ247" s="863"/>
      <c r="DA247" s="863"/>
      <c r="DB247" s="863"/>
      <c r="DC247" s="863"/>
      <c r="DD247" s="863"/>
      <c r="DE247" s="863"/>
    </row>
    <row r="248">
      <c r="A248" s="876"/>
      <c r="B248" s="876"/>
      <c r="C248" s="876"/>
      <c r="D248" s="876"/>
      <c r="E248" s="876"/>
      <c r="F248" s="876"/>
      <c r="G248" s="876"/>
      <c r="H248" s="876"/>
      <c r="I248" s="876"/>
      <c r="J248" s="876"/>
      <c r="K248" s="876"/>
      <c r="L248" s="876"/>
      <c r="M248" s="876"/>
      <c r="N248" s="877"/>
      <c r="O248" s="876"/>
      <c r="P248" s="876"/>
      <c r="Q248" s="876"/>
      <c r="R248" s="876"/>
      <c r="S248" s="876"/>
      <c r="T248" s="876"/>
      <c r="U248" s="876"/>
      <c r="V248" s="876"/>
      <c r="W248" s="876"/>
      <c r="X248" s="876"/>
      <c r="Y248" s="876"/>
      <c r="Z248" s="876"/>
      <c r="AA248" s="876"/>
      <c r="AB248" s="876"/>
      <c r="AC248" s="876"/>
      <c r="AD248" s="876"/>
      <c r="AE248" s="876"/>
      <c r="AF248" s="876"/>
      <c r="AG248" s="876"/>
      <c r="AH248" s="876"/>
      <c r="AI248" s="878"/>
      <c r="AJ248" s="880"/>
      <c r="AK248" s="880"/>
      <c r="AL248" s="880"/>
      <c r="AM248" s="880"/>
      <c r="AN248" s="880"/>
      <c r="AO248" s="880"/>
      <c r="AP248" s="880"/>
      <c r="AQ248" s="880"/>
      <c r="AR248" s="880"/>
      <c r="AS248" s="880"/>
      <c r="AT248" s="880"/>
      <c r="AU248" s="880"/>
      <c r="AV248" s="880"/>
      <c r="AW248" s="881"/>
      <c r="AX248" s="863"/>
      <c r="AY248" s="863"/>
      <c r="AZ248" s="863"/>
      <c r="BA248" s="863"/>
      <c r="BB248" s="863"/>
      <c r="BC248" s="863"/>
      <c r="BD248" s="863"/>
      <c r="BE248" s="863"/>
      <c r="BF248" s="863"/>
      <c r="BG248" s="863"/>
      <c r="BH248" s="863"/>
      <c r="BI248" s="863"/>
      <c r="BJ248" s="863"/>
      <c r="BK248" s="863"/>
      <c r="BL248" s="863"/>
      <c r="BM248" s="863"/>
      <c r="BN248" s="863"/>
      <c r="BO248" s="863"/>
      <c r="BP248" s="880"/>
      <c r="BQ248" s="863"/>
      <c r="BR248" s="889" t="str">
        <f>IFERROR(__xludf.DUMMYFUNCTION("""COMPUTED_VALUE"""),"Albonico et al.")</f>
        <v>Albonico et al.</v>
      </c>
      <c r="BS248" s="883" t="str">
        <f>IFERROR(__xludf.DUMMYFUNCTION("""COMPUTED_VALUE"""),"Tanzania")</f>
        <v>Tanzania</v>
      </c>
      <c r="BT248" s="883" t="str">
        <f>IFERROR(__xludf.DUMMYFUNCTION("""COMPUTED_VALUE"""),"Mebendazole")</f>
        <v>Mebendazole</v>
      </c>
      <c r="BU248" s="883"/>
      <c r="BV248" s="883" t="str">
        <f>IFERROR(__xludf.DUMMYFUNCTION("""COMPUTED_VALUE"""),"Single")</f>
        <v>Single</v>
      </c>
      <c r="BW248" s="883" t="str">
        <f>IFERROR(__xludf.DUMMYFUNCTION("""COMPUTED_VALUE"""),"500 mg")</f>
        <v>500 mg</v>
      </c>
      <c r="BX248" s="883">
        <f>IFERROR(__xludf.DUMMYFUNCTION("""COMPUTED_VALUE"""),236.0)</f>
        <v>236</v>
      </c>
      <c r="BY248" s="883">
        <f>IFERROR(__xludf.DUMMYFUNCTION("""COMPUTED_VALUE"""),11.5)</f>
        <v>11.5</v>
      </c>
      <c r="BZ248" s="883">
        <f>IFERROR(__xludf.DUMMYFUNCTION("""COMPUTED_VALUE"""),1999.0)</f>
        <v>1999</v>
      </c>
      <c r="CA248" s="883" t="str">
        <f>IFERROR(__xludf.DUMMYFUNCTION("""COMPUTED_VALUE"""),"48.4%M")</f>
        <v>48.4%M</v>
      </c>
      <c r="CB248" s="883" t="str">
        <f>IFERROR(__xludf.DUMMYFUNCTION("""COMPUTED_VALUE"""),"Children enrolled in first (Standard 1) and fifth grade (Standard 5) of 10 public schools on Pemba Island. Children at standard 1 had not yet been treated with mebendazole in school, whereas children at standard 5 had been exposed to 15 rounds of mebendaz"&amp;"ole treatment. They were required to have parental or guardian permission to participate, provide a stool sample, and had to be a resident of Zanzibar")</f>
        <v>Children enrolled in first (Standard 1) and fifth grade (Standard 5) of 10 public schools on Pemba Island. Children at standard 1 had not yet been treated with mebendazole in school, whereas children at standard 5 had been exposed to 15 rounds of mebendazole treatment. They were required to have parental or guardian permission to participate, provide a stool sample, and had to be a resident of Zanzibar</v>
      </c>
      <c r="CC248" s="883" t="str">
        <f>IFERROR(__xludf.DUMMYFUNCTION("""COMPUTED_VALUE"""),"Yes")</f>
        <v>Yes</v>
      </c>
      <c r="CD248" s="884">
        <f>IFERROR(__xludf.DUMMYFUNCTION("""COMPUTED_VALUE"""),0.965)</f>
        <v>0.965</v>
      </c>
      <c r="CE248" s="883" t="str">
        <f>IFERROR(__xludf.DUMMYFUNCTION("""COMPUTED_VALUE"""),"Yes")</f>
        <v>Yes</v>
      </c>
      <c r="CF248" s="883"/>
      <c r="CG248" s="883"/>
      <c r="CH248" s="883"/>
      <c r="CI248" s="883"/>
      <c r="CJ248" s="883"/>
      <c r="CK248" s="883"/>
      <c r="CL248" s="883"/>
      <c r="CM248" s="891">
        <f>IFERROR(__xludf.DUMMYFUNCTION("""COMPUTED_VALUE"""),0.99)</f>
        <v>0.99</v>
      </c>
      <c r="CN248" s="883"/>
      <c r="CO248" s="883"/>
      <c r="CP248" s="883"/>
      <c r="CQ248" s="883"/>
      <c r="CR248" s="883"/>
      <c r="CS248" s="883" t="str">
        <f>IFERROR(__xludf.DUMMYFUNCTION("""COMPUTED_VALUE"""),"The overall efficacy of mebendazole against Roundworm infections after periodic chemotherapy is reduced. The efficacy of benzimidazoles in chemotherapy-based control programmes should be monitored closely. Combined treatment with mebendazole and levamisol"&amp;"e may be useful as a tool to delay the development of benzimidazole resistance ")</f>
        <v>The overall efficacy of mebendazole against Roundworm infections after periodic chemotherapy is reduced. The efficacy of benzimidazoles in chemotherapy-based control programmes should be monitored closely. Combined treatment with mebendazole and levamisole may be useful as a tool to delay the development of benzimidazole resistance </v>
      </c>
      <c r="CT248" s="883" t="str">
        <f>IFERROR(__xludf.DUMMYFUNCTION("""COMPUTED_VALUE"""),"Kato-Katz")</f>
        <v>Kato-Katz</v>
      </c>
      <c r="CU248" s="883" t="str">
        <f>IFERROR(__xludf.DUMMYFUNCTION("""COMPUTED_VALUE"""),"x")</f>
        <v>x</v>
      </c>
      <c r="CV248" s="863"/>
      <c r="CW248" s="863"/>
      <c r="CX248" s="863"/>
      <c r="CY248" s="863"/>
      <c r="CZ248" s="863"/>
      <c r="DA248" s="863"/>
      <c r="DB248" s="863"/>
      <c r="DC248" s="863"/>
      <c r="DD248" s="863"/>
      <c r="DE248" s="863"/>
    </row>
    <row r="249">
      <c r="A249" s="876"/>
      <c r="B249" s="876"/>
      <c r="C249" s="876"/>
      <c r="D249" s="876"/>
      <c r="E249" s="876"/>
      <c r="F249" s="876"/>
      <c r="G249" s="876"/>
      <c r="H249" s="876"/>
      <c r="I249" s="876"/>
      <c r="J249" s="876"/>
      <c r="K249" s="876"/>
      <c r="L249" s="876"/>
      <c r="M249" s="876"/>
      <c r="N249" s="877"/>
      <c r="O249" s="876"/>
      <c r="P249" s="876"/>
      <c r="Q249" s="876"/>
      <c r="R249" s="876"/>
      <c r="S249" s="876"/>
      <c r="T249" s="876"/>
      <c r="U249" s="876"/>
      <c r="V249" s="876"/>
      <c r="W249" s="876"/>
      <c r="X249" s="876"/>
      <c r="Y249" s="876"/>
      <c r="Z249" s="876"/>
      <c r="AA249" s="876"/>
      <c r="AB249" s="876"/>
      <c r="AC249" s="876"/>
      <c r="AD249" s="876"/>
      <c r="AE249" s="876"/>
      <c r="AF249" s="876"/>
      <c r="AG249" s="876"/>
      <c r="AH249" s="876"/>
      <c r="AI249" s="878"/>
      <c r="AJ249" s="880"/>
      <c r="AK249" s="880"/>
      <c r="AL249" s="880"/>
      <c r="AM249" s="880"/>
      <c r="AN249" s="880"/>
      <c r="AO249" s="880"/>
      <c r="AP249" s="880"/>
      <c r="AQ249" s="880"/>
      <c r="AR249" s="880"/>
      <c r="AS249" s="880"/>
      <c r="AT249" s="880"/>
      <c r="AU249" s="880"/>
      <c r="AV249" s="880"/>
      <c r="AW249" s="881"/>
      <c r="AX249" s="863"/>
      <c r="AY249" s="863"/>
      <c r="AZ249" s="863"/>
      <c r="BA249" s="863"/>
      <c r="BB249" s="863"/>
      <c r="BC249" s="863"/>
      <c r="BD249" s="863"/>
      <c r="BE249" s="863"/>
      <c r="BF249" s="863"/>
      <c r="BG249" s="863"/>
      <c r="BH249" s="863"/>
      <c r="BI249" s="863"/>
      <c r="BJ249" s="863"/>
      <c r="BK249" s="863"/>
      <c r="BL249" s="863"/>
      <c r="BM249" s="863"/>
      <c r="BN249" s="863"/>
      <c r="BO249" s="863"/>
      <c r="BP249" s="880"/>
      <c r="BQ249" s="863"/>
      <c r="BR249" s="889" t="str">
        <f>IFERROR(__xludf.DUMMYFUNCTION("""COMPUTED_VALUE"""),"Albonico et al.")</f>
        <v>Albonico et al.</v>
      </c>
      <c r="BS249" s="883" t="str">
        <f>IFERROR(__xludf.DUMMYFUNCTION("""COMPUTED_VALUE"""),"Tanzania")</f>
        <v>Tanzania</v>
      </c>
      <c r="BT249" s="883" t="str">
        <f>IFERROR(__xludf.DUMMYFUNCTION("""COMPUTED_VALUE"""),"Levamisole")</f>
        <v>Levamisole</v>
      </c>
      <c r="BU249" s="883"/>
      <c r="BV249" s="883" t="str">
        <f>IFERROR(__xludf.DUMMYFUNCTION("""COMPUTED_VALUE"""),"Single")</f>
        <v>Single</v>
      </c>
      <c r="BW249" s="883" t="str">
        <f>IFERROR(__xludf.DUMMYFUNCTION("""COMPUTED_VALUE"""),"40 mg (15-20 kg) OR 80 mg (21-60 kg)")</f>
        <v>40 mg (15-20 kg) OR 80 mg (21-60 kg)</v>
      </c>
      <c r="BX249" s="883">
        <f>IFERROR(__xludf.DUMMYFUNCTION("""COMPUTED_VALUE"""),210.0)</f>
        <v>210</v>
      </c>
      <c r="BY249" s="890">
        <f>IFERROR(__xludf.DUMMYFUNCTION("""COMPUTED_VALUE"""),11.7)</f>
        <v>11.7</v>
      </c>
      <c r="BZ249" s="883">
        <f>IFERROR(__xludf.DUMMYFUNCTION("""COMPUTED_VALUE"""),1999.0)</f>
        <v>1999</v>
      </c>
      <c r="CA249" s="883" t="str">
        <f>IFERROR(__xludf.DUMMYFUNCTION("""COMPUTED_VALUE"""),"54.2%M")</f>
        <v>54.2%M</v>
      </c>
      <c r="CB249" s="883" t="str">
        <f>IFERROR(__xludf.DUMMYFUNCTION("""COMPUTED_VALUE"""),"Children enrolled in first (Standard 1) and fifth grade (Standard 5) of 10 public schools on Pemba Island. Children at standard 1 had not yet been treated with mebendazole in school, whereas children at standard 5 had been exposed to 15 rounds of mebendaz"&amp;"ole treatment. They were required to have parental or guardian permission to participate, provide a stool sample, and had to be a resident of Zanzibar")</f>
        <v>Children enrolled in first (Standard 1) and fifth grade (Standard 5) of 10 public schools on Pemba Island. Children at standard 1 had not yet been treated with mebendazole in school, whereas children at standard 5 had been exposed to 15 rounds of mebendazole treatment. They were required to have parental or guardian permission to participate, provide a stool sample, and had to be a resident of Zanzibar</v>
      </c>
      <c r="CC249" s="883" t="str">
        <f>IFERROR(__xludf.DUMMYFUNCTION("""COMPUTED_VALUE"""),"Yes")</f>
        <v>Yes</v>
      </c>
      <c r="CD249" s="884">
        <f>IFERROR(__xludf.DUMMYFUNCTION("""COMPUTED_VALUE"""),0.912)</f>
        <v>0.912</v>
      </c>
      <c r="CE249" s="883" t="str">
        <f>IFERROR(__xludf.DUMMYFUNCTION("""COMPUTED_VALUE"""),"Yes")</f>
        <v>Yes</v>
      </c>
      <c r="CF249" s="883"/>
      <c r="CG249" s="883"/>
      <c r="CH249" s="883"/>
      <c r="CI249" s="883"/>
      <c r="CJ249" s="883"/>
      <c r="CK249" s="883"/>
      <c r="CL249" s="883"/>
      <c r="CM249" s="884">
        <f>IFERROR(__xludf.DUMMYFUNCTION("""COMPUTED_VALUE"""),0.985)</f>
        <v>0.985</v>
      </c>
      <c r="CN249" s="883"/>
      <c r="CO249" s="883"/>
      <c r="CP249" s="883"/>
      <c r="CQ249" s="883"/>
      <c r="CR249" s="883"/>
      <c r="CS249" s="883" t="str">
        <f>IFERROR(__xludf.DUMMYFUNCTION("""COMPUTED_VALUE"""),"The overall efficacy of mebendazole against Roundworm infections after periodic chemotherapy is reduced. The efficacy of benzimidazoles in chemotherapy-based control programmes should be monitored closely. Combined treatment with mebendazole and levamisol"&amp;"e may be useful as a tool to delay the development of benzimidazole resistance ")</f>
        <v>The overall efficacy of mebendazole against Roundworm infections after periodic chemotherapy is reduced. The efficacy of benzimidazoles in chemotherapy-based control programmes should be monitored closely. Combined treatment with mebendazole and levamisole may be useful as a tool to delay the development of benzimidazole resistance </v>
      </c>
      <c r="CT249" s="883" t="str">
        <f>IFERROR(__xludf.DUMMYFUNCTION("""COMPUTED_VALUE"""),"Kato-Katz")</f>
        <v>Kato-Katz</v>
      </c>
      <c r="CU249" s="883" t="str">
        <f>IFERROR(__xludf.DUMMYFUNCTION("""COMPUTED_VALUE"""),"x")</f>
        <v>x</v>
      </c>
      <c r="CV249" s="863"/>
      <c r="CW249" s="863"/>
      <c r="CX249" s="863"/>
      <c r="CY249" s="863"/>
      <c r="CZ249" s="863"/>
      <c r="DA249" s="863"/>
      <c r="DB249" s="863"/>
      <c r="DC249" s="863"/>
      <c r="DD249" s="863"/>
      <c r="DE249" s="863"/>
    </row>
    <row r="250">
      <c r="A250" s="876"/>
      <c r="B250" s="876"/>
      <c r="C250" s="876"/>
      <c r="D250" s="876"/>
      <c r="E250" s="876"/>
      <c r="F250" s="876"/>
      <c r="G250" s="876"/>
      <c r="H250" s="876"/>
      <c r="I250" s="876"/>
      <c r="J250" s="876"/>
      <c r="K250" s="876"/>
      <c r="L250" s="876"/>
      <c r="M250" s="876"/>
      <c r="N250" s="877"/>
      <c r="O250" s="876"/>
      <c r="P250" s="876"/>
      <c r="Q250" s="876"/>
      <c r="R250" s="876"/>
      <c r="S250" s="876"/>
      <c r="T250" s="876"/>
      <c r="U250" s="876"/>
      <c r="V250" s="876"/>
      <c r="W250" s="876"/>
      <c r="X250" s="876"/>
      <c r="Y250" s="876"/>
      <c r="Z250" s="876"/>
      <c r="AA250" s="876"/>
      <c r="AB250" s="876"/>
      <c r="AC250" s="876"/>
      <c r="AD250" s="876"/>
      <c r="AE250" s="876"/>
      <c r="AF250" s="876"/>
      <c r="AG250" s="876"/>
      <c r="AH250" s="876"/>
      <c r="AI250" s="878"/>
      <c r="AJ250" s="880"/>
      <c r="AK250" s="880"/>
      <c r="AL250" s="880"/>
      <c r="AM250" s="880"/>
      <c r="AN250" s="880"/>
      <c r="AO250" s="880"/>
      <c r="AP250" s="880"/>
      <c r="AQ250" s="880"/>
      <c r="AR250" s="880"/>
      <c r="AS250" s="880"/>
      <c r="AT250" s="880"/>
      <c r="AU250" s="880"/>
      <c r="AV250" s="880"/>
      <c r="AW250" s="881"/>
      <c r="AX250" s="863"/>
      <c r="AY250" s="863"/>
      <c r="AZ250" s="863"/>
      <c r="BA250" s="863"/>
      <c r="BB250" s="863"/>
      <c r="BC250" s="863"/>
      <c r="BD250" s="863"/>
      <c r="BE250" s="863"/>
      <c r="BF250" s="863"/>
      <c r="BG250" s="863"/>
      <c r="BH250" s="863"/>
      <c r="BI250" s="863"/>
      <c r="BJ250" s="863"/>
      <c r="BK250" s="863"/>
      <c r="BL250" s="863"/>
      <c r="BM250" s="863"/>
      <c r="BN250" s="863"/>
      <c r="BO250" s="863"/>
      <c r="BP250" s="880"/>
      <c r="BQ250" s="863"/>
      <c r="BR250" s="889" t="str">
        <f>IFERROR(__xludf.DUMMYFUNCTION("""COMPUTED_VALUE"""),"Albonico et al.")</f>
        <v>Albonico et al.</v>
      </c>
      <c r="BS250" s="883" t="str">
        <f>IFERROR(__xludf.DUMMYFUNCTION("""COMPUTED_VALUE"""),"Tanzania")</f>
        <v>Tanzania</v>
      </c>
      <c r="BT250" s="883" t="str">
        <f>IFERROR(__xludf.DUMMYFUNCTION("""COMPUTED_VALUE"""),"Mebendazole &amp; Levamisole")</f>
        <v>Mebendazole &amp; Levamisole</v>
      </c>
      <c r="BU250" s="883"/>
      <c r="BV250" s="883" t="str">
        <f>IFERROR(__xludf.DUMMYFUNCTION("""COMPUTED_VALUE"""),"Single")</f>
        <v>Single</v>
      </c>
      <c r="BW250" s="883" t="str">
        <f>IFERROR(__xludf.DUMMYFUNCTION("""COMPUTED_VALUE"""),"500 mg; 40 mg")</f>
        <v>500 mg; 40 mg</v>
      </c>
      <c r="BX250" s="883">
        <f>IFERROR(__xludf.DUMMYFUNCTION("""COMPUTED_VALUE"""),216.0)</f>
        <v>216</v>
      </c>
      <c r="BY250" s="883">
        <f>IFERROR(__xludf.DUMMYFUNCTION("""COMPUTED_VALUE"""),11.7)</f>
        <v>11.7</v>
      </c>
      <c r="BZ250" s="883">
        <f>IFERROR(__xludf.DUMMYFUNCTION("""COMPUTED_VALUE"""),1999.0)</f>
        <v>1999</v>
      </c>
      <c r="CA250" s="883" t="str">
        <f>IFERROR(__xludf.DUMMYFUNCTION("""COMPUTED_VALUE"""),"11.7%M")</f>
        <v>11.7%M</v>
      </c>
      <c r="CB250" s="883" t="str">
        <f>IFERROR(__xludf.DUMMYFUNCTION("""COMPUTED_VALUE"""),"Children enrolled in first (Standard 1) and fifth grade (Standard 5) of 10 public schools on Pemba Island. Children at standard 1 had not yet been treated with mebendazole in school, whereas children at standard 5 had been exposed to 15 rounds of mebendaz"&amp;"ole treatment. They were required to have parental or guardian permission to participate, provide a stool sample, and had to be a resident of Zanzibar")</f>
        <v>Children enrolled in first (Standard 1) and fifth grade (Standard 5) of 10 public schools on Pemba Island. Children at standard 1 had not yet been treated with mebendazole in school, whereas children at standard 5 had been exposed to 15 rounds of mebendazole treatment. They were required to have parental or guardian permission to participate, provide a stool sample, and had to be a resident of Zanzibar</v>
      </c>
      <c r="CC250" s="883" t="str">
        <f>IFERROR(__xludf.DUMMYFUNCTION("""COMPUTED_VALUE"""),"Yes")</f>
        <v>Yes</v>
      </c>
      <c r="CD250" s="884">
        <f>IFERROR(__xludf.DUMMYFUNCTION("""COMPUTED_VALUE"""),0.985)</f>
        <v>0.985</v>
      </c>
      <c r="CE250" s="883" t="str">
        <f>IFERROR(__xludf.DUMMYFUNCTION("""COMPUTED_VALUE"""),"Yes")</f>
        <v>Yes</v>
      </c>
      <c r="CF250" s="883"/>
      <c r="CG250" s="883"/>
      <c r="CH250" s="883"/>
      <c r="CI250" s="883"/>
      <c r="CJ250" s="883"/>
      <c r="CK250" s="883"/>
      <c r="CL250" s="883"/>
      <c r="CM250" s="884">
        <f>IFERROR(__xludf.DUMMYFUNCTION("""COMPUTED_VALUE"""),0.991)</f>
        <v>0.991</v>
      </c>
      <c r="CN250" s="883"/>
      <c r="CO250" s="883"/>
      <c r="CP250" s="883"/>
      <c r="CQ250" s="883"/>
      <c r="CR250" s="883"/>
      <c r="CS250" s="883" t="str">
        <f>IFERROR(__xludf.DUMMYFUNCTION("""COMPUTED_VALUE"""),"The overall efficacy of mebendazole against Roundworm infections after periodic chemotherapy is reduced. The efficacy of benzimidazoles in chemotherapy-based control programmes should be monitored closely. Combined treatment with mebendazole and levamisol"&amp;"e may be useful as a tool to delay the development of benzimidazole resistance ")</f>
        <v>The overall efficacy of mebendazole against Roundworm infections after periodic chemotherapy is reduced. The efficacy of benzimidazoles in chemotherapy-based control programmes should be monitored closely. Combined treatment with mebendazole and levamisole may be useful as a tool to delay the development of benzimidazole resistance </v>
      </c>
      <c r="CT250" s="883" t="str">
        <f>IFERROR(__xludf.DUMMYFUNCTION("""COMPUTED_VALUE"""),"Kato-Katz")</f>
        <v>Kato-Katz</v>
      </c>
      <c r="CU250" s="883" t="str">
        <f>IFERROR(__xludf.DUMMYFUNCTION("""COMPUTED_VALUE"""),"x")</f>
        <v>x</v>
      </c>
      <c r="CV250" s="863"/>
      <c r="CW250" s="863"/>
      <c r="CX250" s="863"/>
      <c r="CY250" s="863"/>
      <c r="CZ250" s="863"/>
      <c r="DA250" s="863"/>
      <c r="DB250" s="863"/>
      <c r="DC250" s="863"/>
      <c r="DD250" s="863"/>
      <c r="DE250" s="863"/>
    </row>
    <row r="251">
      <c r="A251" s="876"/>
      <c r="B251" s="876"/>
      <c r="C251" s="876"/>
      <c r="D251" s="876"/>
      <c r="E251" s="876"/>
      <c r="F251" s="876"/>
      <c r="G251" s="876"/>
      <c r="H251" s="876"/>
      <c r="I251" s="876"/>
      <c r="J251" s="876"/>
      <c r="K251" s="876"/>
      <c r="L251" s="876"/>
      <c r="M251" s="876"/>
      <c r="N251" s="877"/>
      <c r="O251" s="876"/>
      <c r="P251" s="876"/>
      <c r="Q251" s="876"/>
      <c r="R251" s="876"/>
      <c r="S251" s="876"/>
      <c r="T251" s="876"/>
      <c r="U251" s="876"/>
      <c r="V251" s="876"/>
      <c r="W251" s="876"/>
      <c r="X251" s="876"/>
      <c r="Y251" s="876"/>
      <c r="Z251" s="876"/>
      <c r="AA251" s="876"/>
      <c r="AB251" s="876"/>
      <c r="AC251" s="876"/>
      <c r="AD251" s="876"/>
      <c r="AE251" s="876"/>
      <c r="AF251" s="876"/>
      <c r="AG251" s="876"/>
      <c r="AH251" s="876"/>
      <c r="AI251" s="878"/>
      <c r="AJ251" s="880"/>
      <c r="AK251" s="880"/>
      <c r="AL251" s="880"/>
      <c r="AM251" s="880"/>
      <c r="AN251" s="880"/>
      <c r="AO251" s="880"/>
      <c r="AP251" s="880"/>
      <c r="AQ251" s="880"/>
      <c r="AR251" s="880"/>
      <c r="AS251" s="880"/>
      <c r="AT251" s="880"/>
      <c r="AU251" s="880"/>
      <c r="AV251" s="880"/>
      <c r="AW251" s="881"/>
      <c r="AX251" s="863"/>
      <c r="AY251" s="863"/>
      <c r="AZ251" s="863"/>
      <c r="BA251" s="863"/>
      <c r="BB251" s="863"/>
      <c r="BC251" s="863"/>
      <c r="BD251" s="863"/>
      <c r="BE251" s="863"/>
      <c r="BF251" s="863"/>
      <c r="BG251" s="863"/>
      <c r="BH251" s="863"/>
      <c r="BI251" s="863"/>
      <c r="BJ251" s="863"/>
      <c r="BK251" s="863"/>
      <c r="BL251" s="863"/>
      <c r="BM251" s="863"/>
      <c r="BN251" s="863"/>
      <c r="BO251" s="863"/>
      <c r="BP251" s="880"/>
      <c r="BQ251" s="863"/>
      <c r="BR251" s="889" t="str">
        <f>IFERROR(__xludf.DUMMYFUNCTION("""COMPUTED_VALUE"""),"Keller et al.")</f>
        <v>Keller et al.</v>
      </c>
      <c r="BS251" s="883" t="str">
        <f>IFERROR(__xludf.DUMMYFUNCTION("""COMPUTED_VALUE"""),"Tanzania")</f>
        <v>Tanzania</v>
      </c>
      <c r="BT251" s="883" t="str">
        <f>IFERROR(__xludf.DUMMYFUNCTION("""COMPUTED_VALUE"""),"Moxidectin")</f>
        <v>Moxidectin</v>
      </c>
      <c r="BU251" s="883"/>
      <c r="BV251" s="883" t="str">
        <f>IFERROR(__xludf.DUMMYFUNCTION("""COMPUTED_VALUE"""),"Single")</f>
        <v>Single</v>
      </c>
      <c r="BW251" s="883" t="str">
        <f>IFERROR(__xludf.DUMMYFUNCTION("""COMPUTED_VALUE"""),"8 mg")</f>
        <v>8 mg</v>
      </c>
      <c r="BX251" s="883">
        <f>IFERROR(__xludf.DUMMYFUNCTION("""COMPUTED_VALUE"""),4.0)</f>
        <v>4</v>
      </c>
      <c r="BY251" s="883"/>
      <c r="BZ251" s="883">
        <f>IFERROR(__xludf.DUMMYFUNCTION("""COMPUTED_VALUE"""),2018.0)</f>
        <v>2018</v>
      </c>
      <c r="CA251" s="883"/>
      <c r="CB251" s="883" t="str">
        <f>IFERROR(__xludf.DUMMYFUNCTION("""COMPUTED_VALUE"""),"Adolescents (16–18  years old) were eligible if they provided 2 stool samples and were positive for T. trichiura.")</f>
        <v>Adolescents (16–18  years old) were eligible if they provided 2 stool samples and were positive for T. trichiura.</v>
      </c>
      <c r="CC251" s="883" t="str">
        <f>IFERROR(__xludf.DUMMYFUNCTION("""COMPUTED_VALUE"""),"Yes")</f>
        <v>Yes</v>
      </c>
      <c r="CD251" s="894">
        <f>IFERROR(__xludf.DUMMYFUNCTION("""COMPUTED_VALUE"""),1.0)</f>
        <v>1</v>
      </c>
      <c r="CE251" s="883" t="str">
        <f>IFERROR(__xludf.DUMMYFUNCTION("""COMPUTED_VALUE"""),"Yes")</f>
        <v>Yes</v>
      </c>
      <c r="CF251" s="883"/>
      <c r="CG251" s="883"/>
      <c r="CH251" s="883"/>
      <c r="CI251" s="883"/>
      <c r="CJ251" s="883"/>
      <c r="CK251" s="883"/>
      <c r="CL251" s="883"/>
      <c r="CM251" s="891">
        <f>IFERROR(__xludf.DUMMYFUNCTION("""COMPUTED_VALUE"""),1.0)</f>
        <v>1</v>
      </c>
      <c r="CN251" s="883"/>
      <c r="CO251" s="883"/>
      <c r="CP251" s="883"/>
      <c r="CQ251" s="883"/>
      <c r="CR251" s="883"/>
      <c r="CS251" s="883" t="str">
        <f>IFERROR(__xludf.DUMMYFUNCTION("""COMPUTED_VALUE"""),"Moxidectin-albendazole is superior to moxidectin. There is no benefit of using doses above 8 mg, which is the recommended dose for onchocerciasis. The moxidectin-albendazole combination of 8 mg plus 400 mg should be investigated further to develop recomme"&amp;"ndations for appropriate control of STH infections.")</f>
        <v>Moxidectin-albendazole is superior to moxidectin. There is no benefit of using doses above 8 mg, which is the recommended dose for onchocerciasis. The moxidectin-albendazole combination of 8 mg plus 400 mg should be investigated further to develop recommendations for appropriate control of STH infections.</v>
      </c>
      <c r="CT251" s="883" t="str">
        <f>IFERROR(__xludf.DUMMYFUNCTION("""COMPUTED_VALUE"""),"Kato-Katz technique")</f>
        <v>Kato-Katz technique</v>
      </c>
      <c r="CU251" s="883"/>
      <c r="CV251" s="863"/>
      <c r="CW251" s="863"/>
      <c r="CX251" s="863"/>
      <c r="CY251" s="863"/>
      <c r="CZ251" s="863"/>
      <c r="DA251" s="863"/>
      <c r="DB251" s="863"/>
      <c r="DC251" s="863"/>
      <c r="DD251" s="863"/>
      <c r="DE251" s="863"/>
    </row>
    <row r="252">
      <c r="A252" s="876"/>
      <c r="B252" s="876"/>
      <c r="C252" s="876"/>
      <c r="D252" s="876"/>
      <c r="E252" s="876"/>
      <c r="F252" s="876"/>
      <c r="G252" s="876"/>
      <c r="H252" s="876"/>
      <c r="I252" s="876"/>
      <c r="J252" s="876"/>
      <c r="K252" s="876"/>
      <c r="L252" s="876"/>
      <c r="M252" s="876"/>
      <c r="N252" s="877"/>
      <c r="O252" s="876"/>
      <c r="P252" s="876"/>
      <c r="Q252" s="876"/>
      <c r="R252" s="876"/>
      <c r="S252" s="876"/>
      <c r="T252" s="876"/>
      <c r="U252" s="876"/>
      <c r="V252" s="876"/>
      <c r="W252" s="876"/>
      <c r="X252" s="876"/>
      <c r="Y252" s="876"/>
      <c r="Z252" s="876"/>
      <c r="AA252" s="876"/>
      <c r="AB252" s="876"/>
      <c r="AC252" s="876"/>
      <c r="AD252" s="876"/>
      <c r="AE252" s="876"/>
      <c r="AF252" s="876"/>
      <c r="AG252" s="876"/>
      <c r="AH252" s="876"/>
      <c r="AI252" s="878"/>
      <c r="AJ252" s="880"/>
      <c r="AK252" s="880"/>
      <c r="AL252" s="880"/>
      <c r="AM252" s="880"/>
      <c r="AN252" s="880"/>
      <c r="AO252" s="880"/>
      <c r="AP252" s="880"/>
      <c r="AQ252" s="880"/>
      <c r="AR252" s="880"/>
      <c r="AS252" s="880"/>
      <c r="AT252" s="880"/>
      <c r="AU252" s="880"/>
      <c r="AV252" s="880"/>
      <c r="AW252" s="881"/>
      <c r="AX252" s="863"/>
      <c r="AY252" s="863"/>
      <c r="AZ252" s="863"/>
      <c r="BA252" s="863"/>
      <c r="BB252" s="863"/>
      <c r="BC252" s="863"/>
      <c r="BD252" s="863"/>
      <c r="BE252" s="863"/>
      <c r="BF252" s="863"/>
      <c r="BG252" s="863"/>
      <c r="BH252" s="863"/>
      <c r="BI252" s="863"/>
      <c r="BJ252" s="863"/>
      <c r="BK252" s="863"/>
      <c r="BL252" s="863"/>
      <c r="BM252" s="863"/>
      <c r="BN252" s="863"/>
      <c r="BO252" s="863"/>
      <c r="BP252" s="880"/>
      <c r="BQ252" s="863"/>
      <c r="BR252" s="889" t="str">
        <f>IFERROR(__xludf.DUMMYFUNCTION("""COMPUTED_VALUE"""),"Keller et al.")</f>
        <v>Keller et al.</v>
      </c>
      <c r="BS252" s="883" t="str">
        <f>IFERROR(__xludf.DUMMYFUNCTION("""COMPUTED_VALUE"""),"Tanzania")</f>
        <v>Tanzania</v>
      </c>
      <c r="BT252" s="883" t="str">
        <f>IFERROR(__xludf.DUMMYFUNCTION("""COMPUTED_VALUE"""),"Moxidectin")</f>
        <v>Moxidectin</v>
      </c>
      <c r="BU252" s="883"/>
      <c r="BV252" s="883" t="str">
        <f>IFERROR(__xludf.DUMMYFUNCTION("""COMPUTED_VALUE"""),"Single")</f>
        <v>Single</v>
      </c>
      <c r="BW252" s="883" t="str">
        <f>IFERROR(__xludf.DUMMYFUNCTION("""COMPUTED_VALUE"""),"16 mg")</f>
        <v>16 mg</v>
      </c>
      <c r="BX252" s="883">
        <f>IFERROR(__xludf.DUMMYFUNCTION("""COMPUTED_VALUE"""),4.0)</f>
        <v>4</v>
      </c>
      <c r="BY252" s="883"/>
      <c r="BZ252" s="883">
        <f>IFERROR(__xludf.DUMMYFUNCTION("""COMPUTED_VALUE"""),2018.0)</f>
        <v>2018</v>
      </c>
      <c r="CA252" s="883"/>
      <c r="CB252" s="883" t="str">
        <f>IFERROR(__xludf.DUMMYFUNCTION("""COMPUTED_VALUE"""),"Adolescents (16–18  years old) were eligible if they provided 2 stool samples and were positive for T. trichiura.")</f>
        <v>Adolescents (16–18  years old) were eligible if they provided 2 stool samples and were positive for T. trichiura.</v>
      </c>
      <c r="CC252" s="883" t="str">
        <f>IFERROR(__xludf.DUMMYFUNCTION("""COMPUTED_VALUE"""),"Yes")</f>
        <v>Yes</v>
      </c>
      <c r="CD252" s="884">
        <f>IFERROR(__xludf.DUMMYFUNCTION("""COMPUTED_VALUE"""),0.75)</f>
        <v>0.75</v>
      </c>
      <c r="CE252" s="883" t="str">
        <f>IFERROR(__xludf.DUMMYFUNCTION("""COMPUTED_VALUE"""),"Yes")</f>
        <v>Yes</v>
      </c>
      <c r="CF252" s="883"/>
      <c r="CG252" s="883"/>
      <c r="CH252" s="883"/>
      <c r="CI252" s="883"/>
      <c r="CJ252" s="883"/>
      <c r="CK252" s="883"/>
      <c r="CL252" s="883"/>
      <c r="CM252" s="891">
        <f>IFERROR(__xludf.DUMMYFUNCTION("""COMPUTED_VALUE"""),1.0)</f>
        <v>1</v>
      </c>
      <c r="CN252" s="883"/>
      <c r="CO252" s="883"/>
      <c r="CP252" s="883"/>
      <c r="CQ252" s="883"/>
      <c r="CR252" s="883"/>
      <c r="CS252" s="883" t="str">
        <f>IFERROR(__xludf.DUMMYFUNCTION("""COMPUTED_VALUE"""),"Moxidectin-albendazole is superior to moxidectin. There is no benefit of using doses above 8 mg, which is the recommended dose for onchocerciasis. The moxidectin-albendazole combination of 8 mg plus 400 mg should be investigated further to develop recomme"&amp;"ndations for appropriate control of STH infections.")</f>
        <v>Moxidectin-albendazole is superior to moxidectin. There is no benefit of using doses above 8 mg, which is the recommended dose for onchocerciasis. The moxidectin-albendazole combination of 8 mg plus 400 mg should be investigated further to develop recommendations for appropriate control of STH infections.</v>
      </c>
      <c r="CT252" s="883" t="str">
        <f>IFERROR(__xludf.DUMMYFUNCTION("""COMPUTED_VALUE"""),"Kato-Katz technique")</f>
        <v>Kato-Katz technique</v>
      </c>
      <c r="CU252" s="883"/>
      <c r="CV252" s="863"/>
      <c r="CW252" s="863"/>
      <c r="CX252" s="863"/>
      <c r="CY252" s="863"/>
      <c r="CZ252" s="863"/>
      <c r="DA252" s="863"/>
      <c r="DB252" s="863"/>
      <c r="DC252" s="863"/>
      <c r="DD252" s="863"/>
      <c r="DE252" s="863"/>
    </row>
    <row r="253">
      <c r="A253" s="876"/>
      <c r="B253" s="876"/>
      <c r="C253" s="876"/>
      <c r="D253" s="876"/>
      <c r="E253" s="876"/>
      <c r="F253" s="876"/>
      <c r="G253" s="876"/>
      <c r="H253" s="876"/>
      <c r="I253" s="876"/>
      <c r="J253" s="876"/>
      <c r="K253" s="876"/>
      <c r="L253" s="876"/>
      <c r="M253" s="876"/>
      <c r="N253" s="877"/>
      <c r="O253" s="876"/>
      <c r="P253" s="876"/>
      <c r="Q253" s="876"/>
      <c r="R253" s="876"/>
      <c r="S253" s="876"/>
      <c r="T253" s="876"/>
      <c r="U253" s="876"/>
      <c r="V253" s="876"/>
      <c r="W253" s="876"/>
      <c r="X253" s="876"/>
      <c r="Y253" s="876"/>
      <c r="Z253" s="876"/>
      <c r="AA253" s="876"/>
      <c r="AB253" s="876"/>
      <c r="AC253" s="876"/>
      <c r="AD253" s="876"/>
      <c r="AE253" s="876"/>
      <c r="AF253" s="876"/>
      <c r="AG253" s="876"/>
      <c r="AH253" s="876"/>
      <c r="AI253" s="878"/>
      <c r="AJ253" s="880"/>
      <c r="AK253" s="880"/>
      <c r="AL253" s="880"/>
      <c r="AM253" s="880"/>
      <c r="AN253" s="880"/>
      <c r="AO253" s="880"/>
      <c r="AP253" s="880"/>
      <c r="AQ253" s="880"/>
      <c r="AR253" s="880"/>
      <c r="AS253" s="880"/>
      <c r="AT253" s="880"/>
      <c r="AU253" s="880"/>
      <c r="AV253" s="880"/>
      <c r="AW253" s="881"/>
      <c r="AX253" s="863"/>
      <c r="AY253" s="863"/>
      <c r="AZ253" s="863"/>
      <c r="BA253" s="863"/>
      <c r="BB253" s="863"/>
      <c r="BC253" s="863"/>
      <c r="BD253" s="863"/>
      <c r="BE253" s="863"/>
      <c r="BF253" s="863"/>
      <c r="BG253" s="863"/>
      <c r="BH253" s="863"/>
      <c r="BI253" s="863"/>
      <c r="BJ253" s="863"/>
      <c r="BK253" s="863"/>
      <c r="BL253" s="863"/>
      <c r="BM253" s="863"/>
      <c r="BN253" s="863"/>
      <c r="BO253" s="863"/>
      <c r="BP253" s="880"/>
      <c r="BQ253" s="863"/>
      <c r="BR253" s="889" t="str">
        <f>IFERROR(__xludf.DUMMYFUNCTION("""COMPUTED_VALUE"""),"Keller et al.")</f>
        <v>Keller et al.</v>
      </c>
      <c r="BS253" s="883" t="str">
        <f>IFERROR(__xludf.DUMMYFUNCTION("""COMPUTED_VALUE"""),"Tanzania")</f>
        <v>Tanzania</v>
      </c>
      <c r="BT253" s="883" t="str">
        <f>IFERROR(__xludf.DUMMYFUNCTION("""COMPUTED_VALUE"""),"Moxidectin")</f>
        <v>Moxidectin</v>
      </c>
      <c r="BU253" s="883"/>
      <c r="BV253" s="883" t="str">
        <f>IFERROR(__xludf.DUMMYFUNCTION("""COMPUTED_VALUE"""),"Single")</f>
        <v>Single</v>
      </c>
      <c r="BW253" s="883" t="str">
        <f>IFERROR(__xludf.DUMMYFUNCTION("""COMPUTED_VALUE"""),"24 mg")</f>
        <v>24 mg</v>
      </c>
      <c r="BX253" s="883">
        <f>IFERROR(__xludf.DUMMYFUNCTION("""COMPUTED_VALUE"""),6.0)</f>
        <v>6</v>
      </c>
      <c r="BY253" s="883"/>
      <c r="BZ253" s="883">
        <f>IFERROR(__xludf.DUMMYFUNCTION("""COMPUTED_VALUE"""),2018.0)</f>
        <v>2018</v>
      </c>
      <c r="CA253" s="883"/>
      <c r="CB253" s="883" t="str">
        <f>IFERROR(__xludf.DUMMYFUNCTION("""COMPUTED_VALUE"""),"Adolescents (16–18  years old) were eligible if they provided 2 stool samples and were positive for T. trichiura.")</f>
        <v>Adolescents (16–18  years old) were eligible if they provided 2 stool samples and were positive for T. trichiura.</v>
      </c>
      <c r="CC253" s="883" t="str">
        <f>IFERROR(__xludf.DUMMYFUNCTION("""COMPUTED_VALUE"""),"Yes")</f>
        <v>Yes</v>
      </c>
      <c r="CD253" s="884">
        <f>IFERROR(__xludf.DUMMYFUNCTION("""COMPUTED_VALUE"""),1.0)</f>
        <v>1</v>
      </c>
      <c r="CE253" s="883" t="str">
        <f>IFERROR(__xludf.DUMMYFUNCTION("""COMPUTED_VALUE"""),"Yes")</f>
        <v>Yes</v>
      </c>
      <c r="CF253" s="883"/>
      <c r="CG253" s="883"/>
      <c r="CH253" s="883"/>
      <c r="CI253" s="883"/>
      <c r="CJ253" s="883"/>
      <c r="CK253" s="883"/>
      <c r="CL253" s="883"/>
      <c r="CM253" s="891">
        <f>IFERROR(__xludf.DUMMYFUNCTION("""COMPUTED_VALUE"""),1.0)</f>
        <v>1</v>
      </c>
      <c r="CN253" s="883"/>
      <c r="CO253" s="883"/>
      <c r="CP253" s="883"/>
      <c r="CQ253" s="883"/>
      <c r="CR253" s="883"/>
      <c r="CS253" s="883" t="str">
        <f>IFERROR(__xludf.DUMMYFUNCTION("""COMPUTED_VALUE"""),"Moxidectin-albendazole is superior to moxidectin. There is no benefit of using doses above 8 mg, which is the recommended dose for onchocerciasis. The moxidectin-albendazole combination of 8 mg plus 400 mg should be investigated further to develop recomme"&amp;"ndations for appropriate control of STH infections.")</f>
        <v>Moxidectin-albendazole is superior to moxidectin. There is no benefit of using doses above 8 mg, which is the recommended dose for onchocerciasis. The moxidectin-albendazole combination of 8 mg plus 400 mg should be investigated further to develop recommendations for appropriate control of STH infections.</v>
      </c>
      <c r="CT253" s="883" t="str">
        <f>IFERROR(__xludf.DUMMYFUNCTION("""COMPUTED_VALUE"""),"Kato-Katz technique")</f>
        <v>Kato-Katz technique</v>
      </c>
      <c r="CU253" s="883"/>
      <c r="CV253" s="863"/>
      <c r="CW253" s="863"/>
      <c r="CX253" s="863"/>
      <c r="CY253" s="863"/>
      <c r="CZ253" s="863"/>
      <c r="DA253" s="863"/>
      <c r="DB253" s="863"/>
      <c r="DC253" s="863"/>
      <c r="DD253" s="863"/>
      <c r="DE253" s="863"/>
    </row>
    <row r="254">
      <c r="A254" s="876"/>
      <c r="B254" s="876"/>
      <c r="C254" s="876"/>
      <c r="D254" s="876"/>
      <c r="E254" s="876"/>
      <c r="F254" s="876"/>
      <c r="G254" s="876"/>
      <c r="H254" s="876"/>
      <c r="I254" s="876"/>
      <c r="J254" s="876"/>
      <c r="K254" s="876"/>
      <c r="L254" s="876"/>
      <c r="M254" s="876"/>
      <c r="N254" s="877"/>
      <c r="O254" s="876"/>
      <c r="P254" s="876"/>
      <c r="Q254" s="876"/>
      <c r="R254" s="876"/>
      <c r="S254" s="876"/>
      <c r="T254" s="876"/>
      <c r="U254" s="876"/>
      <c r="V254" s="876"/>
      <c r="W254" s="876"/>
      <c r="X254" s="876"/>
      <c r="Y254" s="876"/>
      <c r="Z254" s="876"/>
      <c r="AA254" s="876"/>
      <c r="AB254" s="876"/>
      <c r="AC254" s="876"/>
      <c r="AD254" s="876"/>
      <c r="AE254" s="876"/>
      <c r="AF254" s="876"/>
      <c r="AG254" s="876"/>
      <c r="AH254" s="876"/>
      <c r="AI254" s="878"/>
      <c r="AJ254" s="880"/>
      <c r="AK254" s="880"/>
      <c r="AL254" s="880"/>
      <c r="AM254" s="880"/>
      <c r="AN254" s="880"/>
      <c r="AO254" s="880"/>
      <c r="AP254" s="880"/>
      <c r="AQ254" s="880"/>
      <c r="AR254" s="880"/>
      <c r="AS254" s="880"/>
      <c r="AT254" s="880"/>
      <c r="AU254" s="880"/>
      <c r="AV254" s="880"/>
      <c r="AW254" s="881"/>
      <c r="AX254" s="863"/>
      <c r="AY254" s="863"/>
      <c r="AZ254" s="863"/>
      <c r="BA254" s="863"/>
      <c r="BB254" s="863"/>
      <c r="BC254" s="863"/>
      <c r="BD254" s="863"/>
      <c r="BE254" s="863"/>
      <c r="BF254" s="863"/>
      <c r="BG254" s="863"/>
      <c r="BH254" s="863"/>
      <c r="BI254" s="863"/>
      <c r="BJ254" s="863"/>
      <c r="BK254" s="863"/>
      <c r="BL254" s="863"/>
      <c r="BM254" s="863"/>
      <c r="BN254" s="863"/>
      <c r="BO254" s="863"/>
      <c r="BP254" s="880"/>
      <c r="BQ254" s="863"/>
      <c r="BR254" s="889" t="str">
        <f>IFERROR(__xludf.DUMMYFUNCTION("""COMPUTED_VALUE"""),"Keller et al.")</f>
        <v>Keller et al.</v>
      </c>
      <c r="BS254" s="883" t="str">
        <f>IFERROR(__xludf.DUMMYFUNCTION("""COMPUTED_VALUE"""),"Tanzania")</f>
        <v>Tanzania</v>
      </c>
      <c r="BT254" s="883" t="str">
        <f>IFERROR(__xludf.DUMMYFUNCTION("""COMPUTED_VALUE"""),"Moxidectin &amp; Albendazole")</f>
        <v>Moxidectin &amp; Albendazole</v>
      </c>
      <c r="BU254" s="883"/>
      <c r="BV254" s="883" t="str">
        <f>IFERROR(__xludf.DUMMYFUNCTION("""COMPUTED_VALUE"""),"Single")</f>
        <v>Single</v>
      </c>
      <c r="BW254" s="883" t="str">
        <f>IFERROR(__xludf.DUMMYFUNCTION("""COMPUTED_VALUE"""),"8 mg; 400 mg")</f>
        <v>8 mg; 400 mg</v>
      </c>
      <c r="BX254" s="883">
        <f>IFERROR(__xludf.DUMMYFUNCTION("""COMPUTED_VALUE"""),7.0)</f>
        <v>7</v>
      </c>
      <c r="BY254" s="883"/>
      <c r="BZ254" s="883">
        <f>IFERROR(__xludf.DUMMYFUNCTION("""COMPUTED_VALUE"""),2018.0)</f>
        <v>2018</v>
      </c>
      <c r="CA254" s="883"/>
      <c r="CB254" s="883" t="str">
        <f>IFERROR(__xludf.DUMMYFUNCTION("""COMPUTED_VALUE"""),"Adolescents (16–18  years old) were eligible if they provided 2 stool samples and were positive for T. trichiura.")</f>
        <v>Adolescents (16–18  years old) were eligible if they provided 2 stool samples and were positive for T. trichiura.</v>
      </c>
      <c r="CC254" s="883" t="str">
        <f>IFERROR(__xludf.DUMMYFUNCTION("""COMPUTED_VALUE"""),"Yes")</f>
        <v>Yes</v>
      </c>
      <c r="CD254" s="884">
        <f>IFERROR(__xludf.DUMMYFUNCTION("""COMPUTED_VALUE"""),1.0)</f>
        <v>1</v>
      </c>
      <c r="CE254" s="883" t="str">
        <f>IFERROR(__xludf.DUMMYFUNCTION("""COMPUTED_VALUE"""),"Yes")</f>
        <v>Yes</v>
      </c>
      <c r="CF254" s="883"/>
      <c r="CG254" s="883"/>
      <c r="CH254" s="883"/>
      <c r="CI254" s="883"/>
      <c r="CJ254" s="883"/>
      <c r="CK254" s="883"/>
      <c r="CL254" s="883"/>
      <c r="CM254" s="891">
        <f>IFERROR(__xludf.DUMMYFUNCTION("""COMPUTED_VALUE"""),1.0)</f>
        <v>1</v>
      </c>
      <c r="CN254" s="883"/>
      <c r="CO254" s="883"/>
      <c r="CP254" s="883"/>
      <c r="CQ254" s="883"/>
      <c r="CR254" s="883"/>
      <c r="CS254" s="883" t="str">
        <f>IFERROR(__xludf.DUMMYFUNCTION("""COMPUTED_VALUE"""),"Moxidectin-albendazole is superior to moxidectin. There is no benefit of using doses above 8 mg, which is the recommended dose for onchocerciasis. The moxidectin-albendazole combination of 8 mg plus 400 mg should be investigated further to develop recomme"&amp;"ndations for appropriate control of STH infections.")</f>
        <v>Moxidectin-albendazole is superior to moxidectin. There is no benefit of using doses above 8 mg, which is the recommended dose for onchocerciasis. The moxidectin-albendazole combination of 8 mg plus 400 mg should be investigated further to develop recommendations for appropriate control of STH infections.</v>
      </c>
      <c r="CT254" s="883" t="str">
        <f>IFERROR(__xludf.DUMMYFUNCTION("""COMPUTED_VALUE"""),"Kato-Katz technique")</f>
        <v>Kato-Katz technique</v>
      </c>
      <c r="CU254" s="883"/>
      <c r="CV254" s="863"/>
      <c r="CW254" s="863"/>
      <c r="CX254" s="863"/>
      <c r="CY254" s="863"/>
      <c r="CZ254" s="863"/>
      <c r="DA254" s="863"/>
      <c r="DB254" s="863"/>
      <c r="DC254" s="863"/>
      <c r="DD254" s="863"/>
      <c r="DE254" s="863"/>
    </row>
    <row r="255">
      <c r="A255" s="876"/>
      <c r="B255" s="876"/>
      <c r="C255" s="876"/>
      <c r="D255" s="876"/>
      <c r="E255" s="876"/>
      <c r="F255" s="876"/>
      <c r="G255" s="876"/>
      <c r="H255" s="876"/>
      <c r="I255" s="876"/>
      <c r="J255" s="876"/>
      <c r="K255" s="876"/>
      <c r="L255" s="876"/>
      <c r="M255" s="876"/>
      <c r="N255" s="877"/>
      <c r="O255" s="876"/>
      <c r="P255" s="876"/>
      <c r="Q255" s="876"/>
      <c r="R255" s="876"/>
      <c r="S255" s="876"/>
      <c r="T255" s="876"/>
      <c r="U255" s="876"/>
      <c r="V255" s="876"/>
      <c r="W255" s="876"/>
      <c r="X255" s="876"/>
      <c r="Y255" s="876"/>
      <c r="Z255" s="876"/>
      <c r="AA255" s="876"/>
      <c r="AB255" s="876"/>
      <c r="AC255" s="876"/>
      <c r="AD255" s="876"/>
      <c r="AE255" s="876"/>
      <c r="AF255" s="876"/>
      <c r="AG255" s="876"/>
      <c r="AH255" s="876"/>
      <c r="AI255" s="878"/>
      <c r="AJ255" s="880"/>
      <c r="AK255" s="880"/>
      <c r="AL255" s="880"/>
      <c r="AM255" s="880"/>
      <c r="AN255" s="880"/>
      <c r="AO255" s="880"/>
      <c r="AP255" s="880"/>
      <c r="AQ255" s="880"/>
      <c r="AR255" s="880"/>
      <c r="AS255" s="880"/>
      <c r="AT255" s="880"/>
      <c r="AU255" s="880"/>
      <c r="AV255" s="880"/>
      <c r="AW255" s="881"/>
      <c r="AX255" s="863"/>
      <c r="AY255" s="863"/>
      <c r="AZ255" s="863"/>
      <c r="BA255" s="863"/>
      <c r="BB255" s="863"/>
      <c r="BC255" s="863"/>
      <c r="BD255" s="863"/>
      <c r="BE255" s="863"/>
      <c r="BF255" s="863"/>
      <c r="BG255" s="863"/>
      <c r="BH255" s="863"/>
      <c r="BI255" s="863"/>
      <c r="BJ255" s="863"/>
      <c r="BK255" s="863"/>
      <c r="BL255" s="863"/>
      <c r="BM255" s="863"/>
      <c r="BN255" s="863"/>
      <c r="BO255" s="863"/>
      <c r="BP255" s="880"/>
      <c r="BQ255" s="863"/>
      <c r="BR255" s="889" t="str">
        <f>IFERROR(__xludf.DUMMYFUNCTION("""COMPUTED_VALUE"""),"Keller et al.")</f>
        <v>Keller et al.</v>
      </c>
      <c r="BS255" s="883" t="str">
        <f>IFERROR(__xludf.DUMMYFUNCTION("""COMPUTED_VALUE"""),"Tanzania")</f>
        <v>Tanzania</v>
      </c>
      <c r="BT255" s="883" t="str">
        <f>IFERROR(__xludf.DUMMYFUNCTION("""COMPUTED_VALUE"""),"Moxidectin &amp; Albendazole")</f>
        <v>Moxidectin &amp; Albendazole</v>
      </c>
      <c r="BU255" s="883"/>
      <c r="BV255" s="883" t="str">
        <f>IFERROR(__xludf.DUMMYFUNCTION("""COMPUTED_VALUE"""),"Single")</f>
        <v>Single</v>
      </c>
      <c r="BW255" s="883" t="str">
        <f>IFERROR(__xludf.DUMMYFUNCTION("""COMPUTED_VALUE"""),"16 mg; 400 mg")</f>
        <v>16 mg; 400 mg</v>
      </c>
      <c r="BX255" s="883">
        <f>IFERROR(__xludf.DUMMYFUNCTION("""COMPUTED_VALUE"""),4.0)</f>
        <v>4</v>
      </c>
      <c r="BY255" s="883"/>
      <c r="BZ255" s="883">
        <f>IFERROR(__xludf.DUMMYFUNCTION("""COMPUTED_VALUE"""),2018.0)</f>
        <v>2018</v>
      </c>
      <c r="CA255" s="883"/>
      <c r="CB255" s="883" t="str">
        <f>IFERROR(__xludf.DUMMYFUNCTION("""COMPUTED_VALUE"""),"Adolescents (16–18  years old) were eligible if they provided 2 stool samples and were positive for T. trichiura.")</f>
        <v>Adolescents (16–18  years old) were eligible if they provided 2 stool samples and were positive for T. trichiura.</v>
      </c>
      <c r="CC255" s="883" t="str">
        <f>IFERROR(__xludf.DUMMYFUNCTION("""COMPUTED_VALUE"""),"Yes")</f>
        <v>Yes</v>
      </c>
      <c r="CD255" s="884">
        <f>IFERROR(__xludf.DUMMYFUNCTION("""COMPUTED_VALUE"""),0.75)</f>
        <v>0.75</v>
      </c>
      <c r="CE255" s="883" t="str">
        <f>IFERROR(__xludf.DUMMYFUNCTION("""COMPUTED_VALUE"""),"Yes")</f>
        <v>Yes</v>
      </c>
      <c r="CF255" s="883"/>
      <c r="CG255" s="883"/>
      <c r="CH255" s="883"/>
      <c r="CI255" s="883"/>
      <c r="CJ255" s="883"/>
      <c r="CK255" s="883"/>
      <c r="CL255" s="883"/>
      <c r="CM255" s="891">
        <f>IFERROR(__xludf.DUMMYFUNCTION("""COMPUTED_VALUE"""),1.0)</f>
        <v>1</v>
      </c>
      <c r="CN255" s="883"/>
      <c r="CO255" s="883"/>
      <c r="CP255" s="883"/>
      <c r="CQ255" s="883"/>
      <c r="CR255" s="883"/>
      <c r="CS255" s="883" t="str">
        <f>IFERROR(__xludf.DUMMYFUNCTION("""COMPUTED_VALUE"""),"Moxidectin-albendazole is superior to moxidectin. There is no benefit of using doses above 8 mg, which is the recommended dose for onchocerciasis. The moxidectin-albendazole combination of 8 mg plus 400 mg should be investigated further to develop recomme"&amp;"ndations for appropriate control of STH infections.")</f>
        <v>Moxidectin-albendazole is superior to moxidectin. There is no benefit of using doses above 8 mg, which is the recommended dose for onchocerciasis. The moxidectin-albendazole combination of 8 mg plus 400 mg should be investigated further to develop recommendations for appropriate control of STH infections.</v>
      </c>
      <c r="CT255" s="883" t="str">
        <f>IFERROR(__xludf.DUMMYFUNCTION("""COMPUTED_VALUE"""),"Kato-Katz technique")</f>
        <v>Kato-Katz technique</v>
      </c>
      <c r="CU255" s="883"/>
      <c r="CV255" s="863"/>
      <c r="CW255" s="863"/>
      <c r="CX255" s="863"/>
      <c r="CY255" s="863"/>
      <c r="CZ255" s="863"/>
      <c r="DA255" s="863"/>
      <c r="DB255" s="863"/>
      <c r="DC255" s="863"/>
      <c r="DD255" s="863"/>
      <c r="DE255" s="863"/>
    </row>
    <row r="256">
      <c r="A256" s="876"/>
      <c r="B256" s="876"/>
      <c r="C256" s="876"/>
      <c r="D256" s="876"/>
      <c r="E256" s="876"/>
      <c r="F256" s="876"/>
      <c r="G256" s="876"/>
      <c r="H256" s="876"/>
      <c r="I256" s="876"/>
      <c r="J256" s="876"/>
      <c r="K256" s="876"/>
      <c r="L256" s="876"/>
      <c r="M256" s="876"/>
      <c r="N256" s="877"/>
      <c r="O256" s="876"/>
      <c r="P256" s="876"/>
      <c r="Q256" s="876"/>
      <c r="R256" s="876"/>
      <c r="S256" s="876"/>
      <c r="T256" s="876"/>
      <c r="U256" s="876"/>
      <c r="V256" s="876"/>
      <c r="W256" s="876"/>
      <c r="X256" s="876"/>
      <c r="Y256" s="876"/>
      <c r="Z256" s="876"/>
      <c r="AA256" s="876"/>
      <c r="AB256" s="876"/>
      <c r="AC256" s="876"/>
      <c r="AD256" s="876"/>
      <c r="AE256" s="876"/>
      <c r="AF256" s="876"/>
      <c r="AG256" s="876"/>
      <c r="AH256" s="876"/>
      <c r="AI256" s="878"/>
      <c r="AJ256" s="880"/>
      <c r="AK256" s="880"/>
      <c r="AL256" s="880"/>
      <c r="AM256" s="880"/>
      <c r="AN256" s="880"/>
      <c r="AO256" s="880"/>
      <c r="AP256" s="880"/>
      <c r="AQ256" s="880"/>
      <c r="AR256" s="880"/>
      <c r="AS256" s="880"/>
      <c r="AT256" s="880"/>
      <c r="AU256" s="880"/>
      <c r="AV256" s="880"/>
      <c r="AW256" s="881"/>
      <c r="AX256" s="863"/>
      <c r="AY256" s="863"/>
      <c r="AZ256" s="863"/>
      <c r="BA256" s="863"/>
      <c r="BB256" s="863"/>
      <c r="BC256" s="863"/>
      <c r="BD256" s="863"/>
      <c r="BE256" s="863"/>
      <c r="BF256" s="863"/>
      <c r="BG256" s="863"/>
      <c r="BH256" s="863"/>
      <c r="BI256" s="863"/>
      <c r="BJ256" s="863"/>
      <c r="BK256" s="863"/>
      <c r="BL256" s="863"/>
      <c r="BM256" s="863"/>
      <c r="BN256" s="863"/>
      <c r="BO256" s="863"/>
      <c r="BP256" s="880"/>
      <c r="BQ256" s="863"/>
      <c r="BR256" s="889" t="str">
        <f>IFERROR(__xludf.DUMMYFUNCTION("""COMPUTED_VALUE"""),"Keller et al.")</f>
        <v>Keller et al.</v>
      </c>
      <c r="BS256" s="883" t="str">
        <f>IFERROR(__xludf.DUMMYFUNCTION("""COMPUTED_VALUE"""),"Tanzania")</f>
        <v>Tanzania</v>
      </c>
      <c r="BT256" s="883" t="str">
        <f>IFERROR(__xludf.DUMMYFUNCTION("""COMPUTED_VALUE"""),"Moxidectin &amp; Albendazole")</f>
        <v>Moxidectin &amp; Albendazole</v>
      </c>
      <c r="BU256" s="883"/>
      <c r="BV256" s="883" t="str">
        <f>IFERROR(__xludf.DUMMYFUNCTION("""COMPUTED_VALUE"""),"Single")</f>
        <v>Single</v>
      </c>
      <c r="BW256" s="883" t="str">
        <f>IFERROR(__xludf.DUMMYFUNCTION("""COMPUTED_VALUE"""),"24 mg; 400 mg")</f>
        <v>24 mg; 400 mg</v>
      </c>
      <c r="BX256" s="883">
        <f>IFERROR(__xludf.DUMMYFUNCTION("""COMPUTED_VALUE"""),7.0)</f>
        <v>7</v>
      </c>
      <c r="BY256" s="883"/>
      <c r="BZ256" s="883">
        <f>IFERROR(__xludf.DUMMYFUNCTION("""COMPUTED_VALUE"""),2018.0)</f>
        <v>2018</v>
      </c>
      <c r="CA256" s="883"/>
      <c r="CB256" s="883" t="str">
        <f>IFERROR(__xludf.DUMMYFUNCTION("""COMPUTED_VALUE"""),"Adolescents (16–18  years old) were eligible if they provided 2 stool samples and were positive for T. trichiura.")</f>
        <v>Adolescents (16–18  years old) were eligible if they provided 2 stool samples and were positive for T. trichiura.</v>
      </c>
      <c r="CC256" s="883" t="str">
        <f>IFERROR(__xludf.DUMMYFUNCTION("""COMPUTED_VALUE"""),"Yes")</f>
        <v>Yes</v>
      </c>
      <c r="CD256" s="884">
        <f>IFERROR(__xludf.DUMMYFUNCTION("""COMPUTED_VALUE"""),1.0)</f>
        <v>1</v>
      </c>
      <c r="CE256" s="883" t="str">
        <f>IFERROR(__xludf.DUMMYFUNCTION("""COMPUTED_VALUE"""),"Yes")</f>
        <v>Yes</v>
      </c>
      <c r="CF256" s="883"/>
      <c r="CG256" s="883"/>
      <c r="CH256" s="883"/>
      <c r="CI256" s="883"/>
      <c r="CJ256" s="883"/>
      <c r="CK256" s="883"/>
      <c r="CL256" s="883"/>
      <c r="CM256" s="891">
        <f>IFERROR(__xludf.DUMMYFUNCTION("""COMPUTED_VALUE"""),1.0)</f>
        <v>1</v>
      </c>
      <c r="CN256" s="883"/>
      <c r="CO256" s="883"/>
      <c r="CP256" s="883"/>
      <c r="CQ256" s="883"/>
      <c r="CR256" s="883"/>
      <c r="CS256" s="883" t="str">
        <f>IFERROR(__xludf.DUMMYFUNCTION("""COMPUTED_VALUE"""),"Moxidectin-albendazole is superior to moxidectin. There is no benefit of using doses above 8 mg, which is the recommended dose for onchocerciasis. The moxidectin-albendazole combination of 8 mg plus 400 mg should be investigated further to develop recomme"&amp;"ndations for appropriate control of STH infections.")</f>
        <v>Moxidectin-albendazole is superior to moxidectin. There is no benefit of using doses above 8 mg, which is the recommended dose for onchocerciasis. The moxidectin-albendazole combination of 8 mg plus 400 mg should be investigated further to develop recommendations for appropriate control of STH infections.</v>
      </c>
      <c r="CT256" s="883" t="str">
        <f>IFERROR(__xludf.DUMMYFUNCTION("""COMPUTED_VALUE"""),"Kato-Katz technique")</f>
        <v>Kato-Katz technique</v>
      </c>
      <c r="CU256" s="883"/>
      <c r="CV256" s="863"/>
      <c r="CW256" s="863"/>
      <c r="CX256" s="863"/>
      <c r="CY256" s="863"/>
      <c r="CZ256" s="863"/>
      <c r="DA256" s="863"/>
      <c r="DB256" s="863"/>
      <c r="DC256" s="863"/>
      <c r="DD256" s="863"/>
      <c r="DE256" s="863"/>
    </row>
    <row r="257">
      <c r="A257" s="876"/>
      <c r="B257" s="876"/>
      <c r="C257" s="876"/>
      <c r="D257" s="876"/>
      <c r="E257" s="876"/>
      <c r="F257" s="876"/>
      <c r="G257" s="876"/>
      <c r="H257" s="876"/>
      <c r="I257" s="876"/>
      <c r="J257" s="876"/>
      <c r="K257" s="876"/>
      <c r="L257" s="876"/>
      <c r="M257" s="876"/>
      <c r="N257" s="877"/>
      <c r="O257" s="876"/>
      <c r="P257" s="876"/>
      <c r="Q257" s="876"/>
      <c r="R257" s="876"/>
      <c r="S257" s="876"/>
      <c r="T257" s="876"/>
      <c r="U257" s="876"/>
      <c r="V257" s="876"/>
      <c r="W257" s="876"/>
      <c r="X257" s="876"/>
      <c r="Y257" s="876"/>
      <c r="Z257" s="876"/>
      <c r="AA257" s="876"/>
      <c r="AB257" s="876"/>
      <c r="AC257" s="876"/>
      <c r="AD257" s="876"/>
      <c r="AE257" s="876"/>
      <c r="AF257" s="876"/>
      <c r="AG257" s="876"/>
      <c r="AH257" s="876"/>
      <c r="AI257" s="878"/>
      <c r="AJ257" s="880"/>
      <c r="AK257" s="880"/>
      <c r="AL257" s="880"/>
      <c r="AM257" s="880"/>
      <c r="AN257" s="880"/>
      <c r="AO257" s="880"/>
      <c r="AP257" s="880"/>
      <c r="AQ257" s="880"/>
      <c r="AR257" s="880"/>
      <c r="AS257" s="880"/>
      <c r="AT257" s="880"/>
      <c r="AU257" s="880"/>
      <c r="AV257" s="880"/>
      <c r="AW257" s="881"/>
      <c r="AX257" s="863"/>
      <c r="AY257" s="863"/>
      <c r="AZ257" s="863"/>
      <c r="BA257" s="863"/>
      <c r="BB257" s="863"/>
      <c r="BC257" s="863"/>
      <c r="BD257" s="863"/>
      <c r="BE257" s="863"/>
      <c r="BF257" s="863"/>
      <c r="BG257" s="863"/>
      <c r="BH257" s="863"/>
      <c r="BI257" s="863"/>
      <c r="BJ257" s="863"/>
      <c r="BK257" s="863"/>
      <c r="BL257" s="863"/>
      <c r="BM257" s="863"/>
      <c r="BN257" s="863"/>
      <c r="BO257" s="863"/>
      <c r="BP257" s="880"/>
      <c r="BQ257" s="863"/>
      <c r="BR257" s="889" t="str">
        <f>IFERROR(__xludf.DUMMYFUNCTION("""COMPUTED_VALUE"""),"Patel et al.")</f>
        <v>Patel et al.</v>
      </c>
      <c r="BS257" s="883" t="str">
        <f>IFERROR(__xludf.DUMMYFUNCTION("""COMPUTED_VALUE"""),"Côte d'Ivoire")</f>
        <v>Côte d'Ivoire</v>
      </c>
      <c r="BT257" s="883" t="str">
        <f>IFERROR(__xludf.DUMMYFUNCTION("""COMPUTED_VALUE"""),"Albendazole")</f>
        <v>Albendazole</v>
      </c>
      <c r="BU257" s="883"/>
      <c r="BV257" s="883" t="str">
        <f>IFERROR(__xludf.DUMMYFUNCTION("""COMPUTED_VALUE"""),"Single")</f>
        <v>Single</v>
      </c>
      <c r="BW257" s="883" t="str">
        <f>IFERROR(__xludf.DUMMYFUNCTION("""COMPUTED_VALUE"""),"200 mg")</f>
        <v>200 mg</v>
      </c>
      <c r="BX257" s="883">
        <f>IFERROR(__xludf.DUMMYFUNCTION("""COMPUTED_VALUE"""),8.0)</f>
        <v>8</v>
      </c>
      <c r="BY257" s="883"/>
      <c r="BZ257" s="883">
        <f>IFERROR(__xludf.DUMMYFUNCTION("""COMPUTED_VALUE"""),2018.0)</f>
        <v>2018</v>
      </c>
      <c r="CA257" s="883"/>
      <c r="CB257" s="883" t="str">
        <f>IFERROR(__xludf.DUMMYFUNCTION("""COMPUTED_VALUE"""),"PSAC, SAC, and adults were eligible if they provided two stool samples and were positive for T. trichiura. Only PSAC with T. trichiura infection intensities 60 eggs per gram of stool (EPG) and SAC and adults with T. trichiura infection intensities 100 EPG"&amp;" were included in the trial.")</f>
        <v>PSAC, SAC, and adults were eligible if they provided two stool samples and were positive for T. trichiura. Only PSAC with T. trichiura infection intensities 60 eggs per gram of stool (EPG) and SAC and adults with T. trichiura infection intensities 100 EPG were included in the trial.</v>
      </c>
      <c r="CC257" s="883" t="str">
        <f>IFERROR(__xludf.DUMMYFUNCTION("""COMPUTED_VALUE"""),"Yes")</f>
        <v>Yes</v>
      </c>
      <c r="CD257" s="884">
        <f>IFERROR(__xludf.DUMMYFUNCTION("""COMPUTED_VALUE"""),0.833)</f>
        <v>0.833</v>
      </c>
      <c r="CE257" s="883" t="str">
        <f>IFERROR(__xludf.DUMMYFUNCTION("""COMPUTED_VALUE"""),"Yes")</f>
        <v>Yes</v>
      </c>
      <c r="CF257" s="883"/>
      <c r="CG257" s="883"/>
      <c r="CH257" s="883"/>
      <c r="CI257" s="883"/>
      <c r="CJ257" s="883"/>
      <c r="CK257" s="883"/>
      <c r="CL257" s="883"/>
      <c r="CM257" s="884">
        <f>IFERROR(__xludf.DUMMYFUNCTION("""COMPUTED_VALUE"""),0.999)</f>
        <v>0.999</v>
      </c>
      <c r="CN257" s="883"/>
      <c r="CO257" s="883"/>
      <c r="CP257" s="883"/>
      <c r="CQ257" s="883"/>
      <c r="CR257" s="883"/>
      <c r="CS257" s="883" t="str">
        <f>IFERROR(__xludf.DUMMYFUNCTION("""COMPUTED_VALUE"""),"Albendazole shows low efficacy against T. trichiura in all populations and doses studied, though findings for PSAC and adults should be carefully interpreted as recruitment targets were not met. New drugs, treatment regimens, and combinations are needed i"&amp;"n the management of T. trichiura infections")</f>
        <v>Albendazole shows low efficacy against T. trichiura in all populations and doses studied, though findings for PSAC and adults should be carefully interpreted as recruitment targets were not met. New drugs, treatment regimens, and combinations are needed in the management of T. trichiura infections</v>
      </c>
      <c r="CT257" s="883" t="str">
        <f>IFERROR(__xludf.DUMMYFUNCTION("""COMPUTED_VALUE"""),"Kato-Katz technique")</f>
        <v>Kato-Katz technique</v>
      </c>
      <c r="CU257" s="883"/>
      <c r="CV257" s="863"/>
      <c r="CW257" s="863"/>
      <c r="CX257" s="863"/>
      <c r="CY257" s="863"/>
      <c r="CZ257" s="863"/>
      <c r="DA257" s="863"/>
      <c r="DB257" s="863"/>
      <c r="DC257" s="863"/>
      <c r="DD257" s="863"/>
      <c r="DE257" s="863"/>
    </row>
    <row r="258">
      <c r="A258" s="876"/>
      <c r="B258" s="876"/>
      <c r="C258" s="876"/>
      <c r="D258" s="876"/>
      <c r="E258" s="876"/>
      <c r="F258" s="876"/>
      <c r="G258" s="876"/>
      <c r="H258" s="876"/>
      <c r="I258" s="876"/>
      <c r="J258" s="876"/>
      <c r="K258" s="876"/>
      <c r="L258" s="876"/>
      <c r="M258" s="876"/>
      <c r="N258" s="877"/>
      <c r="O258" s="876"/>
      <c r="P258" s="876"/>
      <c r="Q258" s="876"/>
      <c r="R258" s="876"/>
      <c r="S258" s="876"/>
      <c r="T258" s="876"/>
      <c r="U258" s="876"/>
      <c r="V258" s="876"/>
      <c r="W258" s="876"/>
      <c r="X258" s="876"/>
      <c r="Y258" s="876"/>
      <c r="Z258" s="876"/>
      <c r="AA258" s="876"/>
      <c r="AB258" s="876"/>
      <c r="AC258" s="876"/>
      <c r="AD258" s="876"/>
      <c r="AE258" s="876"/>
      <c r="AF258" s="876"/>
      <c r="AG258" s="876"/>
      <c r="AH258" s="876"/>
      <c r="AI258" s="878"/>
      <c r="AJ258" s="880"/>
      <c r="AK258" s="880"/>
      <c r="AL258" s="880"/>
      <c r="AM258" s="880"/>
      <c r="AN258" s="880"/>
      <c r="AO258" s="880"/>
      <c r="AP258" s="880"/>
      <c r="AQ258" s="880"/>
      <c r="AR258" s="880"/>
      <c r="AS258" s="880"/>
      <c r="AT258" s="880"/>
      <c r="AU258" s="880"/>
      <c r="AV258" s="880"/>
      <c r="AW258" s="881"/>
      <c r="AX258" s="863"/>
      <c r="AY258" s="863"/>
      <c r="AZ258" s="863"/>
      <c r="BA258" s="863"/>
      <c r="BB258" s="863"/>
      <c r="BC258" s="863"/>
      <c r="BD258" s="863"/>
      <c r="BE258" s="863"/>
      <c r="BF258" s="863"/>
      <c r="BG258" s="863"/>
      <c r="BH258" s="863"/>
      <c r="BI258" s="863"/>
      <c r="BJ258" s="863"/>
      <c r="BK258" s="863"/>
      <c r="BL258" s="863"/>
      <c r="BM258" s="863"/>
      <c r="BN258" s="863"/>
      <c r="BO258" s="863"/>
      <c r="BP258" s="880"/>
      <c r="BQ258" s="863"/>
      <c r="BR258" s="889" t="str">
        <f>IFERROR(__xludf.DUMMYFUNCTION("""COMPUTED_VALUE"""),"Patel et al.")</f>
        <v>Patel et al.</v>
      </c>
      <c r="BS258" s="883" t="str">
        <f>IFERROR(__xludf.DUMMYFUNCTION("""COMPUTED_VALUE"""),"Côte d'Ivoire")</f>
        <v>Côte d'Ivoire</v>
      </c>
      <c r="BT258" s="883" t="str">
        <f>IFERROR(__xludf.DUMMYFUNCTION("""COMPUTED_VALUE"""),"Albendazole")</f>
        <v>Albendazole</v>
      </c>
      <c r="BU258" s="883"/>
      <c r="BV258" s="883" t="str">
        <f>IFERROR(__xludf.DUMMYFUNCTION("""COMPUTED_VALUE"""),"Single")</f>
        <v>Single</v>
      </c>
      <c r="BW258" s="883" t="str">
        <f>IFERROR(__xludf.DUMMYFUNCTION("""COMPUTED_VALUE"""),"400 mg")</f>
        <v>400 mg</v>
      </c>
      <c r="BX258" s="883">
        <f>IFERROR(__xludf.DUMMYFUNCTION("""COMPUTED_VALUE"""),5.0)</f>
        <v>5</v>
      </c>
      <c r="BY258" s="883"/>
      <c r="BZ258" s="883">
        <f>IFERROR(__xludf.DUMMYFUNCTION("""COMPUTED_VALUE"""),2018.0)</f>
        <v>2018</v>
      </c>
      <c r="CA258" s="883"/>
      <c r="CB258" s="883" t="str">
        <f>IFERROR(__xludf.DUMMYFUNCTION("""COMPUTED_VALUE"""),"PSAC, SAC, and adults were eligible if they provided two stool samples and were positive for T. trichiura. Only PSAC with T. trichiura infection intensities 60 eggs per gram of stool (EPG) and SAC and adults with T. trichiura infection intensities 100 EPG"&amp;" were included in the trial.")</f>
        <v>PSAC, SAC, and adults were eligible if they provided two stool samples and were positive for T. trichiura. Only PSAC with T. trichiura infection intensities 60 eggs per gram of stool (EPG) and SAC and adults with T. trichiura infection intensities 100 EPG were included in the trial.</v>
      </c>
      <c r="CC258" s="883" t="str">
        <f>IFERROR(__xludf.DUMMYFUNCTION("""COMPUTED_VALUE"""),"Yes")</f>
        <v>Yes</v>
      </c>
      <c r="CD258" s="884">
        <f>IFERROR(__xludf.DUMMYFUNCTION("""COMPUTED_VALUE"""),0.667)</f>
        <v>0.667</v>
      </c>
      <c r="CE258" s="883" t="str">
        <f>IFERROR(__xludf.DUMMYFUNCTION("""COMPUTED_VALUE"""),"Yes")</f>
        <v>Yes</v>
      </c>
      <c r="CF258" s="883"/>
      <c r="CG258" s="883"/>
      <c r="CH258" s="883"/>
      <c r="CI258" s="883"/>
      <c r="CJ258" s="883"/>
      <c r="CK258" s="883"/>
      <c r="CL258" s="883"/>
      <c r="CM258" s="884">
        <f>IFERROR(__xludf.DUMMYFUNCTION("""COMPUTED_VALUE"""),0.996)</f>
        <v>0.996</v>
      </c>
      <c r="CN258" s="883"/>
      <c r="CO258" s="883"/>
      <c r="CP258" s="883"/>
      <c r="CQ258" s="883"/>
      <c r="CR258" s="883"/>
      <c r="CS258" s="883" t="str">
        <f>IFERROR(__xludf.DUMMYFUNCTION("""COMPUTED_VALUE"""),"Albendazole shows low efficacy against T. trichiura in all populations and doses studied, though findings for PSAC and adults should be carefully interpreted as recruitment targets were not met. New drugs, treatment regimens, and combinations are needed i"&amp;"n the management of T. trichiura infections")</f>
        <v>Albendazole shows low efficacy against T. trichiura in all populations and doses studied, though findings for PSAC and adults should be carefully interpreted as recruitment targets were not met. New drugs, treatment regimens, and combinations are needed in the management of T. trichiura infections</v>
      </c>
      <c r="CT258" s="883" t="str">
        <f>IFERROR(__xludf.DUMMYFUNCTION("""COMPUTED_VALUE"""),"Kato-Katz technique")</f>
        <v>Kato-Katz technique</v>
      </c>
      <c r="CU258" s="883"/>
      <c r="CV258" s="863"/>
      <c r="CW258" s="863"/>
      <c r="CX258" s="863"/>
      <c r="CY258" s="863"/>
      <c r="CZ258" s="863"/>
      <c r="DA258" s="863"/>
      <c r="DB258" s="863"/>
      <c r="DC258" s="863"/>
      <c r="DD258" s="863"/>
      <c r="DE258" s="863"/>
    </row>
    <row r="259">
      <c r="A259" s="876"/>
      <c r="B259" s="876"/>
      <c r="C259" s="876"/>
      <c r="D259" s="876"/>
      <c r="E259" s="876"/>
      <c r="F259" s="876"/>
      <c r="G259" s="876"/>
      <c r="H259" s="876"/>
      <c r="I259" s="876"/>
      <c r="J259" s="876"/>
      <c r="K259" s="876"/>
      <c r="L259" s="876"/>
      <c r="M259" s="876"/>
      <c r="N259" s="877"/>
      <c r="O259" s="876"/>
      <c r="P259" s="876"/>
      <c r="Q259" s="876"/>
      <c r="R259" s="876"/>
      <c r="S259" s="876"/>
      <c r="T259" s="876"/>
      <c r="U259" s="876"/>
      <c r="V259" s="876"/>
      <c r="W259" s="876"/>
      <c r="X259" s="876"/>
      <c r="Y259" s="876"/>
      <c r="Z259" s="876"/>
      <c r="AA259" s="876"/>
      <c r="AB259" s="876"/>
      <c r="AC259" s="876"/>
      <c r="AD259" s="876"/>
      <c r="AE259" s="876"/>
      <c r="AF259" s="876"/>
      <c r="AG259" s="876"/>
      <c r="AH259" s="876"/>
      <c r="AI259" s="878"/>
      <c r="AJ259" s="880"/>
      <c r="AK259" s="880"/>
      <c r="AL259" s="880"/>
      <c r="AM259" s="880"/>
      <c r="AN259" s="880"/>
      <c r="AO259" s="880"/>
      <c r="AP259" s="880"/>
      <c r="AQ259" s="880"/>
      <c r="AR259" s="880"/>
      <c r="AS259" s="880"/>
      <c r="AT259" s="880"/>
      <c r="AU259" s="880"/>
      <c r="AV259" s="880"/>
      <c r="AW259" s="881"/>
      <c r="AX259" s="863"/>
      <c r="AY259" s="863"/>
      <c r="AZ259" s="863"/>
      <c r="BA259" s="863"/>
      <c r="BB259" s="863"/>
      <c r="BC259" s="863"/>
      <c r="BD259" s="863"/>
      <c r="BE259" s="863"/>
      <c r="BF259" s="863"/>
      <c r="BG259" s="863"/>
      <c r="BH259" s="863"/>
      <c r="BI259" s="863"/>
      <c r="BJ259" s="863"/>
      <c r="BK259" s="863"/>
      <c r="BL259" s="863"/>
      <c r="BM259" s="863"/>
      <c r="BN259" s="863"/>
      <c r="BO259" s="863"/>
      <c r="BP259" s="880"/>
      <c r="BQ259" s="863"/>
      <c r="BR259" s="889" t="str">
        <f>IFERROR(__xludf.DUMMYFUNCTION("""COMPUTED_VALUE"""),"Patel et al.")</f>
        <v>Patel et al.</v>
      </c>
      <c r="BS259" s="883" t="str">
        <f>IFERROR(__xludf.DUMMYFUNCTION("""COMPUTED_VALUE"""),"Côte d'Ivoire")</f>
        <v>Côte d'Ivoire</v>
      </c>
      <c r="BT259" s="883" t="str">
        <f>IFERROR(__xludf.DUMMYFUNCTION("""COMPUTED_VALUE"""),"Albendazole")</f>
        <v>Albendazole</v>
      </c>
      <c r="BU259" s="883"/>
      <c r="BV259" s="883" t="str">
        <f>IFERROR(__xludf.DUMMYFUNCTION("""COMPUTED_VALUE"""),"Single")</f>
        <v>Single</v>
      </c>
      <c r="BW259" s="883" t="str">
        <f>IFERROR(__xludf.DUMMYFUNCTION("""COMPUTED_VALUE"""),"600 mg")</f>
        <v>600 mg</v>
      </c>
      <c r="BX259" s="883">
        <f>IFERROR(__xludf.DUMMYFUNCTION("""COMPUTED_VALUE"""),3.0)</f>
        <v>3</v>
      </c>
      <c r="BY259" s="883"/>
      <c r="BZ259" s="883">
        <f>IFERROR(__xludf.DUMMYFUNCTION("""COMPUTED_VALUE"""),2018.0)</f>
        <v>2018</v>
      </c>
      <c r="CA259" s="883"/>
      <c r="CB259" s="883" t="str">
        <f>IFERROR(__xludf.DUMMYFUNCTION("""COMPUTED_VALUE"""),"PSAC, SAC, and adults were eligible if they provided two stool samples and were positive for T. trichiura. Only PSAC with T. trichiura infection intensities 60 eggs per gram of stool (EPG) and SAC and adults with T. trichiura infection intensities 100 EPG"&amp;" were included in the trial.")</f>
        <v>PSAC, SAC, and adults were eligible if they provided two stool samples and were positive for T. trichiura. Only PSAC with T. trichiura infection intensities 60 eggs per gram of stool (EPG) and SAC and adults with T. trichiura infection intensities 100 EPG were included in the trial.</v>
      </c>
      <c r="CC259" s="883" t="str">
        <f>IFERROR(__xludf.DUMMYFUNCTION("""COMPUTED_VALUE"""),"Yes")</f>
        <v>Yes</v>
      </c>
      <c r="CD259" s="884">
        <f>IFERROR(__xludf.DUMMYFUNCTION("""COMPUTED_VALUE"""),1.0)</f>
        <v>1</v>
      </c>
      <c r="CE259" s="883" t="str">
        <f>IFERROR(__xludf.DUMMYFUNCTION("""COMPUTED_VALUE"""),"Yes")</f>
        <v>Yes</v>
      </c>
      <c r="CF259" s="883"/>
      <c r="CG259" s="883"/>
      <c r="CH259" s="883"/>
      <c r="CI259" s="883"/>
      <c r="CJ259" s="883"/>
      <c r="CK259" s="883"/>
      <c r="CL259" s="883"/>
      <c r="CM259" s="884">
        <f>IFERROR(__xludf.DUMMYFUNCTION("""COMPUTED_VALUE"""),1.0)</f>
        <v>1</v>
      </c>
      <c r="CN259" s="883"/>
      <c r="CO259" s="883"/>
      <c r="CP259" s="883"/>
      <c r="CQ259" s="883"/>
      <c r="CR259" s="883"/>
      <c r="CS259" s="883" t="str">
        <f>IFERROR(__xludf.DUMMYFUNCTION("""COMPUTED_VALUE"""),"Albendazole shows low efficacy against T. trichiura in all populations and doses studied, though findings for PSAC and adults should be carefully interpreted as recruitment targets were not met. New drugs, treatment regimens, and combinations are needed i"&amp;"n the management of T. trichiura infections")</f>
        <v>Albendazole shows low efficacy against T. trichiura in all populations and doses studied, though findings for PSAC and adults should be carefully interpreted as recruitment targets were not met. New drugs, treatment regimens, and combinations are needed in the management of T. trichiura infections</v>
      </c>
      <c r="CT259" s="883" t="str">
        <f>IFERROR(__xludf.DUMMYFUNCTION("""COMPUTED_VALUE"""),"Kato-Katz technique")</f>
        <v>Kato-Katz technique</v>
      </c>
      <c r="CU259" s="883"/>
      <c r="CV259" s="863"/>
      <c r="CW259" s="863"/>
      <c r="CX259" s="863"/>
      <c r="CY259" s="863"/>
      <c r="CZ259" s="863"/>
      <c r="DA259" s="863"/>
      <c r="DB259" s="863"/>
      <c r="DC259" s="863"/>
      <c r="DD259" s="863"/>
      <c r="DE259" s="863"/>
    </row>
    <row r="260">
      <c r="A260" s="876"/>
      <c r="B260" s="876"/>
      <c r="C260" s="876"/>
      <c r="D260" s="876"/>
      <c r="E260" s="876"/>
      <c r="F260" s="876"/>
      <c r="G260" s="876"/>
      <c r="H260" s="876"/>
      <c r="I260" s="876"/>
      <c r="J260" s="876"/>
      <c r="K260" s="876"/>
      <c r="L260" s="876"/>
      <c r="M260" s="876"/>
      <c r="N260" s="877"/>
      <c r="O260" s="876"/>
      <c r="P260" s="876"/>
      <c r="Q260" s="876"/>
      <c r="R260" s="876"/>
      <c r="S260" s="876"/>
      <c r="T260" s="876"/>
      <c r="U260" s="876"/>
      <c r="V260" s="876"/>
      <c r="W260" s="876"/>
      <c r="X260" s="876"/>
      <c r="Y260" s="876"/>
      <c r="Z260" s="876"/>
      <c r="AA260" s="876"/>
      <c r="AB260" s="876"/>
      <c r="AC260" s="876"/>
      <c r="AD260" s="876"/>
      <c r="AE260" s="876"/>
      <c r="AF260" s="876"/>
      <c r="AG260" s="876"/>
      <c r="AH260" s="876"/>
      <c r="AI260" s="878"/>
      <c r="AJ260" s="880"/>
      <c r="AK260" s="880"/>
      <c r="AL260" s="880"/>
      <c r="AM260" s="880"/>
      <c r="AN260" s="880"/>
      <c r="AO260" s="880"/>
      <c r="AP260" s="880"/>
      <c r="AQ260" s="880"/>
      <c r="AR260" s="880"/>
      <c r="AS260" s="880"/>
      <c r="AT260" s="880"/>
      <c r="AU260" s="880"/>
      <c r="AV260" s="880"/>
      <c r="AW260" s="881"/>
      <c r="AX260" s="863"/>
      <c r="AY260" s="863"/>
      <c r="AZ260" s="863"/>
      <c r="BA260" s="863"/>
      <c r="BB260" s="863"/>
      <c r="BC260" s="863"/>
      <c r="BD260" s="863"/>
      <c r="BE260" s="863"/>
      <c r="BF260" s="863"/>
      <c r="BG260" s="863"/>
      <c r="BH260" s="863"/>
      <c r="BI260" s="863"/>
      <c r="BJ260" s="863"/>
      <c r="BK260" s="863"/>
      <c r="BL260" s="863"/>
      <c r="BM260" s="863"/>
      <c r="BN260" s="863"/>
      <c r="BO260" s="863"/>
      <c r="BP260" s="880"/>
      <c r="BQ260" s="863"/>
      <c r="BR260" s="889" t="str">
        <f>IFERROR(__xludf.DUMMYFUNCTION("""COMPUTED_VALUE"""),"Patel et al.")</f>
        <v>Patel et al.</v>
      </c>
      <c r="BS260" s="883" t="str">
        <f>IFERROR(__xludf.DUMMYFUNCTION("""COMPUTED_VALUE"""),"Côte d'Ivoire")</f>
        <v>Côte d'Ivoire</v>
      </c>
      <c r="BT260" s="883" t="str">
        <f>IFERROR(__xludf.DUMMYFUNCTION("""COMPUTED_VALUE"""),"Albendazole")</f>
        <v>Albendazole</v>
      </c>
      <c r="BU260" s="883"/>
      <c r="BV260" s="883" t="str">
        <f>IFERROR(__xludf.DUMMYFUNCTION("""COMPUTED_VALUE"""),"Single")</f>
        <v>Single</v>
      </c>
      <c r="BW260" s="883" t="str">
        <f>IFERROR(__xludf.DUMMYFUNCTION("""COMPUTED_VALUE"""),"400 mg")</f>
        <v>400 mg</v>
      </c>
      <c r="BX260" s="883">
        <f>IFERROR(__xludf.DUMMYFUNCTION("""COMPUTED_VALUE"""),18.0)</f>
        <v>18</v>
      </c>
      <c r="BY260" s="883"/>
      <c r="BZ260" s="883">
        <f>IFERROR(__xludf.DUMMYFUNCTION("""COMPUTED_VALUE"""),2018.0)</f>
        <v>2018</v>
      </c>
      <c r="CA260" s="883"/>
      <c r="CB260" s="883" t="str">
        <f>IFERROR(__xludf.DUMMYFUNCTION("""COMPUTED_VALUE"""),"PSAC, SAC, and adults were eligible if they provided two stool samples and were positive for T. trichiura. Only PSAC with T. trichiura infection intensities 60 eggs per gram of stool (EPG) and SAC and adults with T. trichiura infection intensities 100 EPG"&amp;" were included in the trial.")</f>
        <v>PSAC, SAC, and adults were eligible if they provided two stool samples and were positive for T. trichiura. Only PSAC with T. trichiura infection intensities 60 eggs per gram of stool (EPG) and SAC and adults with T. trichiura infection intensities 100 EPG were included in the trial.</v>
      </c>
      <c r="CC260" s="883" t="str">
        <f>IFERROR(__xludf.DUMMYFUNCTION("""COMPUTED_VALUE"""),"Yes")</f>
        <v>Yes</v>
      </c>
      <c r="CD260" s="884">
        <f>IFERROR(__xludf.DUMMYFUNCTION("""COMPUTED_VALUE"""),0.889)</f>
        <v>0.889</v>
      </c>
      <c r="CE260" s="883" t="str">
        <f>IFERROR(__xludf.DUMMYFUNCTION("""COMPUTED_VALUE"""),"Yes")</f>
        <v>Yes</v>
      </c>
      <c r="CF260" s="883"/>
      <c r="CG260" s="883"/>
      <c r="CH260" s="883"/>
      <c r="CI260" s="883"/>
      <c r="CJ260" s="883"/>
      <c r="CK260" s="883"/>
      <c r="CL260" s="883"/>
      <c r="CM260" s="884">
        <f>IFERROR(__xludf.DUMMYFUNCTION("""COMPUTED_VALUE"""),0.999)</f>
        <v>0.999</v>
      </c>
      <c r="CN260" s="883"/>
      <c r="CO260" s="883"/>
      <c r="CP260" s="883"/>
      <c r="CQ260" s="883"/>
      <c r="CR260" s="883"/>
      <c r="CS260" s="883" t="str">
        <f>IFERROR(__xludf.DUMMYFUNCTION("""COMPUTED_VALUE"""),"Albendazole shows low efficacy against T. trichiura in all populations and doses studied, though findings for PSAC and adults should be carefully interpreted as recruitment targets were not met. New drugs, treatment regimens, and combinations are needed i"&amp;"n the management of T. trichiura infections")</f>
        <v>Albendazole shows low efficacy against T. trichiura in all populations and doses studied, though findings for PSAC and adults should be carefully interpreted as recruitment targets were not met. New drugs, treatment regimens, and combinations are needed in the management of T. trichiura infections</v>
      </c>
      <c r="CT260" s="883" t="str">
        <f>IFERROR(__xludf.DUMMYFUNCTION("""COMPUTED_VALUE"""),"Kato-Katz technique")</f>
        <v>Kato-Katz technique</v>
      </c>
      <c r="CU260" s="883"/>
      <c r="CV260" s="863"/>
      <c r="CW260" s="863"/>
      <c r="CX260" s="863"/>
      <c r="CY260" s="863"/>
      <c r="CZ260" s="863"/>
      <c r="DA260" s="863"/>
      <c r="DB260" s="863"/>
      <c r="DC260" s="863"/>
      <c r="DD260" s="863"/>
      <c r="DE260" s="863"/>
    </row>
    <row r="261">
      <c r="A261" s="876"/>
      <c r="B261" s="876"/>
      <c r="C261" s="876"/>
      <c r="D261" s="876"/>
      <c r="E261" s="876"/>
      <c r="F261" s="876"/>
      <c r="G261" s="876"/>
      <c r="H261" s="876"/>
      <c r="I261" s="876"/>
      <c r="J261" s="876"/>
      <c r="K261" s="876"/>
      <c r="L261" s="876"/>
      <c r="M261" s="876"/>
      <c r="N261" s="877"/>
      <c r="O261" s="876"/>
      <c r="P261" s="876"/>
      <c r="Q261" s="876"/>
      <c r="R261" s="876"/>
      <c r="S261" s="876"/>
      <c r="T261" s="876"/>
      <c r="U261" s="876"/>
      <c r="V261" s="876"/>
      <c r="W261" s="876"/>
      <c r="X261" s="876"/>
      <c r="Y261" s="876"/>
      <c r="Z261" s="876"/>
      <c r="AA261" s="876"/>
      <c r="AB261" s="876"/>
      <c r="AC261" s="876"/>
      <c r="AD261" s="876"/>
      <c r="AE261" s="876"/>
      <c r="AF261" s="876"/>
      <c r="AG261" s="876"/>
      <c r="AH261" s="876"/>
      <c r="AI261" s="878"/>
      <c r="AJ261" s="880"/>
      <c r="AK261" s="880"/>
      <c r="AL261" s="880"/>
      <c r="AM261" s="880"/>
      <c r="AN261" s="880"/>
      <c r="AO261" s="880"/>
      <c r="AP261" s="880"/>
      <c r="AQ261" s="880"/>
      <c r="AR261" s="880"/>
      <c r="AS261" s="880"/>
      <c r="AT261" s="880"/>
      <c r="AU261" s="880"/>
      <c r="AV261" s="880"/>
      <c r="AW261" s="881"/>
      <c r="AX261" s="863"/>
      <c r="AY261" s="863"/>
      <c r="AZ261" s="863"/>
      <c r="BA261" s="863"/>
      <c r="BB261" s="863"/>
      <c r="BC261" s="863"/>
      <c r="BD261" s="863"/>
      <c r="BE261" s="863"/>
      <c r="BF261" s="863"/>
      <c r="BG261" s="863"/>
      <c r="BH261" s="863"/>
      <c r="BI261" s="863"/>
      <c r="BJ261" s="863"/>
      <c r="BK261" s="863"/>
      <c r="BL261" s="863"/>
      <c r="BM261" s="863"/>
      <c r="BN261" s="863"/>
      <c r="BO261" s="863"/>
      <c r="BP261" s="880"/>
      <c r="BQ261" s="863"/>
      <c r="BR261" s="889" t="str">
        <f>IFERROR(__xludf.DUMMYFUNCTION("""COMPUTED_VALUE"""),"Patel et al.")</f>
        <v>Patel et al.</v>
      </c>
      <c r="BS261" s="883" t="str">
        <f>IFERROR(__xludf.DUMMYFUNCTION("""COMPUTED_VALUE"""),"Côte d'Ivoire")</f>
        <v>Côte d'Ivoire</v>
      </c>
      <c r="BT261" s="883" t="str">
        <f>IFERROR(__xludf.DUMMYFUNCTION("""COMPUTED_VALUE"""),"Albendazole")</f>
        <v>Albendazole</v>
      </c>
      <c r="BU261" s="883"/>
      <c r="BV261" s="883" t="str">
        <f>IFERROR(__xludf.DUMMYFUNCTION("""COMPUTED_VALUE"""),"Single")</f>
        <v>Single</v>
      </c>
      <c r="BW261" s="883" t="str">
        <f>IFERROR(__xludf.DUMMYFUNCTION("""COMPUTED_VALUE"""),"600 mg")</f>
        <v>600 mg</v>
      </c>
      <c r="BX261" s="883">
        <f>IFERROR(__xludf.DUMMYFUNCTION("""COMPUTED_VALUE"""),10.0)</f>
        <v>10</v>
      </c>
      <c r="BY261" s="883"/>
      <c r="BZ261" s="883">
        <f>IFERROR(__xludf.DUMMYFUNCTION("""COMPUTED_VALUE"""),2018.0)</f>
        <v>2018</v>
      </c>
      <c r="CA261" s="883"/>
      <c r="CB261" s="883" t="str">
        <f>IFERROR(__xludf.DUMMYFUNCTION("""COMPUTED_VALUE"""),"PSAC, SAC, and adults were eligible if they provided two stool samples and were positive for T. trichiura. Only PSAC with T. trichiura infection intensities 60 eggs per gram of stool (EPG) and SAC and adults with T. trichiura infection intensities 100 EPG"&amp;" were included in the trial.")</f>
        <v>PSAC, SAC, and adults were eligible if they provided two stool samples and were positive for T. trichiura. Only PSAC with T. trichiura infection intensities 60 eggs per gram of stool (EPG) and SAC and adults with T. trichiura infection intensities 100 EPG were included in the trial.</v>
      </c>
      <c r="CC261" s="883" t="str">
        <f>IFERROR(__xludf.DUMMYFUNCTION("""COMPUTED_VALUE"""),"Yes")</f>
        <v>Yes</v>
      </c>
      <c r="CD261" s="884">
        <f>IFERROR(__xludf.DUMMYFUNCTION("""COMPUTED_VALUE"""),1.0)</f>
        <v>1</v>
      </c>
      <c r="CE261" s="883" t="str">
        <f>IFERROR(__xludf.DUMMYFUNCTION("""COMPUTED_VALUE"""),"Yes")</f>
        <v>Yes</v>
      </c>
      <c r="CF261" s="883"/>
      <c r="CG261" s="883"/>
      <c r="CH261" s="883"/>
      <c r="CI261" s="883"/>
      <c r="CJ261" s="883"/>
      <c r="CK261" s="883"/>
      <c r="CL261" s="883"/>
      <c r="CM261" s="884">
        <f>IFERROR(__xludf.DUMMYFUNCTION("""COMPUTED_VALUE"""),1.0)</f>
        <v>1</v>
      </c>
      <c r="CN261" s="883"/>
      <c r="CO261" s="883"/>
      <c r="CP261" s="883"/>
      <c r="CQ261" s="883"/>
      <c r="CR261" s="883"/>
      <c r="CS261" s="883" t="str">
        <f>IFERROR(__xludf.DUMMYFUNCTION("""COMPUTED_VALUE"""),"Albendazole shows low efficacy against T. trichiura in all populations and doses studied, though findings for PSAC and adults should be carefully interpreted as recruitment targets were not met. New drugs, treatment regimens, and combinations are needed i"&amp;"n the management of T. trichiura infections")</f>
        <v>Albendazole shows low efficacy against T. trichiura in all populations and doses studied, though findings for PSAC and adults should be carefully interpreted as recruitment targets were not met. New drugs, treatment regimens, and combinations are needed in the management of T. trichiura infections</v>
      </c>
      <c r="CT261" s="883" t="str">
        <f>IFERROR(__xludf.DUMMYFUNCTION("""COMPUTED_VALUE"""),"Kato-Katz technique")</f>
        <v>Kato-Katz technique</v>
      </c>
      <c r="CU261" s="883"/>
      <c r="CV261" s="863"/>
      <c r="CW261" s="863"/>
      <c r="CX261" s="863"/>
      <c r="CY261" s="863"/>
      <c r="CZ261" s="863"/>
      <c r="DA261" s="863"/>
      <c r="DB261" s="863"/>
      <c r="DC261" s="863"/>
      <c r="DD261" s="863"/>
      <c r="DE261" s="863"/>
    </row>
    <row r="262">
      <c r="A262" s="876"/>
      <c r="B262" s="876"/>
      <c r="C262" s="876"/>
      <c r="D262" s="876"/>
      <c r="E262" s="876"/>
      <c r="F262" s="876"/>
      <c r="G262" s="876"/>
      <c r="H262" s="876"/>
      <c r="I262" s="876"/>
      <c r="J262" s="876"/>
      <c r="K262" s="876"/>
      <c r="L262" s="876"/>
      <c r="M262" s="876"/>
      <c r="N262" s="877"/>
      <c r="O262" s="876"/>
      <c r="P262" s="876"/>
      <c r="Q262" s="876"/>
      <c r="R262" s="876"/>
      <c r="S262" s="876"/>
      <c r="T262" s="876"/>
      <c r="U262" s="876"/>
      <c r="V262" s="876"/>
      <c r="W262" s="876"/>
      <c r="X262" s="876"/>
      <c r="Y262" s="876"/>
      <c r="Z262" s="876"/>
      <c r="AA262" s="876"/>
      <c r="AB262" s="876"/>
      <c r="AC262" s="876"/>
      <c r="AD262" s="876"/>
      <c r="AE262" s="876"/>
      <c r="AF262" s="876"/>
      <c r="AG262" s="876"/>
      <c r="AH262" s="876"/>
      <c r="AI262" s="878"/>
      <c r="AJ262" s="880"/>
      <c r="AK262" s="880"/>
      <c r="AL262" s="880"/>
      <c r="AM262" s="880"/>
      <c r="AN262" s="880"/>
      <c r="AO262" s="880"/>
      <c r="AP262" s="880"/>
      <c r="AQ262" s="880"/>
      <c r="AR262" s="880"/>
      <c r="AS262" s="880"/>
      <c r="AT262" s="880"/>
      <c r="AU262" s="880"/>
      <c r="AV262" s="880"/>
      <c r="AW262" s="881"/>
      <c r="AX262" s="863"/>
      <c r="AY262" s="863"/>
      <c r="AZ262" s="863"/>
      <c r="BA262" s="863"/>
      <c r="BB262" s="863"/>
      <c r="BC262" s="863"/>
      <c r="BD262" s="863"/>
      <c r="BE262" s="863"/>
      <c r="BF262" s="863"/>
      <c r="BG262" s="863"/>
      <c r="BH262" s="863"/>
      <c r="BI262" s="863"/>
      <c r="BJ262" s="863"/>
      <c r="BK262" s="863"/>
      <c r="BL262" s="863"/>
      <c r="BM262" s="863"/>
      <c r="BN262" s="863"/>
      <c r="BO262" s="863"/>
      <c r="BP262" s="880"/>
      <c r="BQ262" s="863"/>
      <c r="BR262" s="889" t="str">
        <f>IFERROR(__xludf.DUMMYFUNCTION("""COMPUTED_VALUE"""),"Patel et al.")</f>
        <v>Patel et al.</v>
      </c>
      <c r="BS262" s="883" t="str">
        <f>IFERROR(__xludf.DUMMYFUNCTION("""COMPUTED_VALUE"""),"Côte d'Ivoire")</f>
        <v>Côte d'Ivoire</v>
      </c>
      <c r="BT262" s="883" t="str">
        <f>IFERROR(__xludf.DUMMYFUNCTION("""COMPUTED_VALUE"""),"Albendazole")</f>
        <v>Albendazole</v>
      </c>
      <c r="BU262" s="883"/>
      <c r="BV262" s="883" t="str">
        <f>IFERROR(__xludf.DUMMYFUNCTION("""COMPUTED_VALUE"""),"Single")</f>
        <v>Single</v>
      </c>
      <c r="BW262" s="883" t="str">
        <f>IFERROR(__xludf.DUMMYFUNCTION("""COMPUTED_VALUE"""),"800 mg")</f>
        <v>800 mg</v>
      </c>
      <c r="BX262" s="883">
        <f>IFERROR(__xludf.DUMMYFUNCTION("""COMPUTED_VALUE"""),13.0)</f>
        <v>13</v>
      </c>
      <c r="BY262" s="883"/>
      <c r="BZ262" s="883">
        <f>IFERROR(__xludf.DUMMYFUNCTION("""COMPUTED_VALUE"""),2018.0)</f>
        <v>2018</v>
      </c>
      <c r="CA262" s="883"/>
      <c r="CB262" s="883" t="str">
        <f>IFERROR(__xludf.DUMMYFUNCTION("""COMPUTED_VALUE"""),"PSAC, SAC, and adults were eligible if they provided two stool samples and were positive for T. trichiura. Only PSAC with T. trichiura infection intensities 60 eggs per gram of stool (EPG) and SAC and adults with T. trichiura infection intensities 100 EPG"&amp;" were included in the trial.")</f>
        <v>PSAC, SAC, and adults were eligible if they provided two stool samples and were positive for T. trichiura. Only PSAC with T. trichiura infection intensities 60 eggs per gram of stool (EPG) and SAC and adults with T. trichiura infection intensities 100 EPG were included in the trial.</v>
      </c>
      <c r="CC262" s="883" t="str">
        <f>IFERROR(__xludf.DUMMYFUNCTION("""COMPUTED_VALUE"""),"Yes")</f>
        <v>Yes</v>
      </c>
      <c r="CD262" s="884">
        <f>IFERROR(__xludf.DUMMYFUNCTION("""COMPUTED_VALUE"""),0.846)</f>
        <v>0.846</v>
      </c>
      <c r="CE262" s="883" t="str">
        <f>IFERROR(__xludf.DUMMYFUNCTION("""COMPUTED_VALUE"""),"Yes")</f>
        <v>Yes</v>
      </c>
      <c r="CF262" s="883"/>
      <c r="CG262" s="883"/>
      <c r="CH262" s="883"/>
      <c r="CI262" s="883"/>
      <c r="CJ262" s="883"/>
      <c r="CK262" s="883"/>
      <c r="CL262" s="883"/>
      <c r="CM262" s="884">
        <f>IFERROR(__xludf.DUMMYFUNCTION("""COMPUTED_VALUE"""),0.999)</f>
        <v>0.999</v>
      </c>
      <c r="CN262" s="883"/>
      <c r="CO262" s="883"/>
      <c r="CP262" s="883"/>
      <c r="CQ262" s="883"/>
      <c r="CR262" s="883"/>
      <c r="CS262" s="883" t="str">
        <f>IFERROR(__xludf.DUMMYFUNCTION("""COMPUTED_VALUE"""),"Albendazole shows low efficacy against T. trichiura in all populations and doses studied, though findings for PSAC and adults should be carefully interpreted as recruitment targets were not met. New drugs, treatment regimens, and combinations are needed i"&amp;"n the management of T. trichiura infections")</f>
        <v>Albendazole shows low efficacy against T. trichiura in all populations and doses studied, though findings for PSAC and adults should be carefully interpreted as recruitment targets were not met. New drugs, treatment regimens, and combinations are needed in the management of T. trichiura infections</v>
      </c>
      <c r="CT262" s="883" t="str">
        <f>IFERROR(__xludf.DUMMYFUNCTION("""COMPUTED_VALUE"""),"Kato-Katz technique")</f>
        <v>Kato-Katz technique</v>
      </c>
      <c r="CU262" s="883"/>
      <c r="CV262" s="863"/>
      <c r="CW262" s="863"/>
      <c r="CX262" s="863"/>
      <c r="CY262" s="863"/>
      <c r="CZ262" s="863"/>
      <c r="DA262" s="863"/>
      <c r="DB262" s="863"/>
      <c r="DC262" s="863"/>
      <c r="DD262" s="863"/>
      <c r="DE262" s="863"/>
    </row>
    <row r="263">
      <c r="A263" s="876"/>
      <c r="B263" s="876"/>
      <c r="C263" s="876"/>
      <c r="D263" s="876"/>
      <c r="E263" s="876"/>
      <c r="F263" s="876"/>
      <c r="G263" s="876"/>
      <c r="H263" s="876"/>
      <c r="I263" s="876"/>
      <c r="J263" s="876"/>
      <c r="K263" s="876"/>
      <c r="L263" s="876"/>
      <c r="M263" s="876"/>
      <c r="N263" s="877"/>
      <c r="O263" s="876"/>
      <c r="P263" s="876"/>
      <c r="Q263" s="876"/>
      <c r="R263" s="876"/>
      <c r="S263" s="876"/>
      <c r="T263" s="876"/>
      <c r="U263" s="876"/>
      <c r="V263" s="876"/>
      <c r="W263" s="876"/>
      <c r="X263" s="876"/>
      <c r="Y263" s="876"/>
      <c r="Z263" s="876"/>
      <c r="AA263" s="876"/>
      <c r="AB263" s="876"/>
      <c r="AC263" s="876"/>
      <c r="AD263" s="876"/>
      <c r="AE263" s="876"/>
      <c r="AF263" s="876"/>
      <c r="AG263" s="876"/>
      <c r="AH263" s="876"/>
      <c r="AI263" s="878"/>
      <c r="AJ263" s="880"/>
      <c r="AK263" s="880"/>
      <c r="AL263" s="880"/>
      <c r="AM263" s="880"/>
      <c r="AN263" s="880"/>
      <c r="AO263" s="880"/>
      <c r="AP263" s="880"/>
      <c r="AQ263" s="880"/>
      <c r="AR263" s="880"/>
      <c r="AS263" s="880"/>
      <c r="AT263" s="880"/>
      <c r="AU263" s="880"/>
      <c r="AV263" s="880"/>
      <c r="AW263" s="881"/>
      <c r="AX263" s="863"/>
      <c r="AY263" s="863"/>
      <c r="AZ263" s="863"/>
      <c r="BA263" s="863"/>
      <c r="BB263" s="863"/>
      <c r="BC263" s="863"/>
      <c r="BD263" s="863"/>
      <c r="BE263" s="863"/>
      <c r="BF263" s="863"/>
      <c r="BG263" s="863"/>
      <c r="BH263" s="863"/>
      <c r="BI263" s="863"/>
      <c r="BJ263" s="863"/>
      <c r="BK263" s="863"/>
      <c r="BL263" s="863"/>
      <c r="BM263" s="863"/>
      <c r="BN263" s="863"/>
      <c r="BO263" s="863"/>
      <c r="BP263" s="880"/>
      <c r="BQ263" s="863"/>
      <c r="BR263" s="889" t="str">
        <f>IFERROR(__xludf.DUMMYFUNCTION("""COMPUTED_VALUE"""),"Patel et al.")</f>
        <v>Patel et al.</v>
      </c>
      <c r="BS263" s="883" t="str">
        <f>IFERROR(__xludf.DUMMYFUNCTION("""COMPUTED_VALUE"""),"Côte d'Ivoire")</f>
        <v>Côte d'Ivoire</v>
      </c>
      <c r="BT263" s="883" t="str">
        <f>IFERROR(__xludf.DUMMYFUNCTION("""COMPUTED_VALUE"""),"Albendazole")</f>
        <v>Albendazole</v>
      </c>
      <c r="BU263" s="883"/>
      <c r="BV263" s="883" t="str">
        <f>IFERROR(__xludf.DUMMYFUNCTION("""COMPUTED_VALUE"""),"Single")</f>
        <v>Single</v>
      </c>
      <c r="BW263" s="883" t="str">
        <f>IFERROR(__xludf.DUMMYFUNCTION("""COMPUTED_VALUE"""),"400 mg")</f>
        <v>400 mg</v>
      </c>
      <c r="BX263" s="883">
        <f>IFERROR(__xludf.DUMMYFUNCTION("""COMPUTED_VALUE"""),3.0)</f>
        <v>3</v>
      </c>
      <c r="BY263" s="883"/>
      <c r="BZ263" s="883">
        <f>IFERROR(__xludf.DUMMYFUNCTION("""COMPUTED_VALUE"""),2018.0)</f>
        <v>2018</v>
      </c>
      <c r="CA263" s="883"/>
      <c r="CB263" s="883" t="str">
        <f>IFERROR(__xludf.DUMMYFUNCTION("""COMPUTED_VALUE"""),"PSAC, SAC, and adults were eligible if they provided two stool samples and were positive for T. trichiura. Only PSAC with T. trichiura infection intensities 60 eggs per gram of stool (EPG) and SAC and adults with T. trichiura infection intensities 100 EPG"&amp;" were included in the trial.")</f>
        <v>PSAC, SAC, and adults were eligible if they provided two stool samples and were positive for T. trichiura. Only PSAC with T. trichiura infection intensities 60 eggs per gram of stool (EPG) and SAC and adults with T. trichiura infection intensities 100 EPG were included in the trial.</v>
      </c>
      <c r="CC263" s="883" t="str">
        <f>IFERROR(__xludf.DUMMYFUNCTION("""COMPUTED_VALUE"""),"Yes")</f>
        <v>Yes</v>
      </c>
      <c r="CD263" s="884">
        <f>IFERROR(__xludf.DUMMYFUNCTION("""COMPUTED_VALUE"""),1.0)</f>
        <v>1</v>
      </c>
      <c r="CE263" s="883" t="str">
        <f>IFERROR(__xludf.DUMMYFUNCTION("""COMPUTED_VALUE"""),"Yes")</f>
        <v>Yes</v>
      </c>
      <c r="CF263" s="883"/>
      <c r="CG263" s="883"/>
      <c r="CH263" s="883"/>
      <c r="CI263" s="883"/>
      <c r="CJ263" s="883"/>
      <c r="CK263" s="883"/>
      <c r="CL263" s="883"/>
      <c r="CM263" s="884">
        <f>IFERROR(__xludf.DUMMYFUNCTION("""COMPUTED_VALUE"""),1.0)</f>
        <v>1</v>
      </c>
      <c r="CN263" s="883"/>
      <c r="CO263" s="883"/>
      <c r="CP263" s="883"/>
      <c r="CQ263" s="883"/>
      <c r="CR263" s="883"/>
      <c r="CS263" s="883" t="str">
        <f>IFERROR(__xludf.DUMMYFUNCTION("""COMPUTED_VALUE"""),"Albendazole shows low efficacy against T. trichiura in all populations and doses studied, though findings for PSAC and adults should be carefully interpreted as recruitment targets were not met. New drugs, treatment regimens, and combinations are needed i"&amp;"n the management of T. trichiura infections")</f>
        <v>Albendazole shows low efficacy against T. trichiura in all populations and doses studied, though findings for PSAC and adults should be carefully interpreted as recruitment targets were not met. New drugs, treatment regimens, and combinations are needed in the management of T. trichiura infections</v>
      </c>
      <c r="CT263" s="883" t="str">
        <f>IFERROR(__xludf.DUMMYFUNCTION("""COMPUTED_VALUE"""),"Kato-Katz technique")</f>
        <v>Kato-Katz technique</v>
      </c>
      <c r="CU263" s="883"/>
      <c r="CV263" s="863"/>
      <c r="CW263" s="863"/>
      <c r="CX263" s="863"/>
      <c r="CY263" s="863"/>
      <c r="CZ263" s="863"/>
      <c r="DA263" s="863"/>
      <c r="DB263" s="863"/>
      <c r="DC263" s="863"/>
      <c r="DD263" s="863"/>
      <c r="DE263" s="863"/>
    </row>
    <row r="264">
      <c r="A264" s="876"/>
      <c r="B264" s="876"/>
      <c r="C264" s="876"/>
      <c r="D264" s="876"/>
      <c r="E264" s="876"/>
      <c r="F264" s="876"/>
      <c r="G264" s="876"/>
      <c r="H264" s="876"/>
      <c r="I264" s="876"/>
      <c r="J264" s="876"/>
      <c r="K264" s="876"/>
      <c r="L264" s="876"/>
      <c r="M264" s="876"/>
      <c r="N264" s="877"/>
      <c r="O264" s="876"/>
      <c r="P264" s="876"/>
      <c r="Q264" s="876"/>
      <c r="R264" s="876"/>
      <c r="S264" s="876"/>
      <c r="T264" s="876"/>
      <c r="U264" s="876"/>
      <c r="V264" s="876"/>
      <c r="W264" s="876"/>
      <c r="X264" s="876"/>
      <c r="Y264" s="876"/>
      <c r="Z264" s="876"/>
      <c r="AA264" s="876"/>
      <c r="AB264" s="876"/>
      <c r="AC264" s="876"/>
      <c r="AD264" s="876"/>
      <c r="AE264" s="876"/>
      <c r="AF264" s="876"/>
      <c r="AG264" s="876"/>
      <c r="AH264" s="876"/>
      <c r="AI264" s="878"/>
      <c r="AJ264" s="880"/>
      <c r="AK264" s="880"/>
      <c r="AL264" s="880"/>
      <c r="AM264" s="880"/>
      <c r="AN264" s="880"/>
      <c r="AO264" s="880"/>
      <c r="AP264" s="880"/>
      <c r="AQ264" s="880"/>
      <c r="AR264" s="880"/>
      <c r="AS264" s="880"/>
      <c r="AT264" s="880"/>
      <c r="AU264" s="880"/>
      <c r="AV264" s="880"/>
      <c r="AW264" s="881"/>
      <c r="AX264" s="863"/>
      <c r="AY264" s="863"/>
      <c r="AZ264" s="863"/>
      <c r="BA264" s="863"/>
      <c r="BB264" s="863"/>
      <c r="BC264" s="863"/>
      <c r="BD264" s="863"/>
      <c r="BE264" s="863"/>
      <c r="BF264" s="863"/>
      <c r="BG264" s="863"/>
      <c r="BH264" s="863"/>
      <c r="BI264" s="863"/>
      <c r="BJ264" s="863"/>
      <c r="BK264" s="863"/>
      <c r="BL264" s="863"/>
      <c r="BM264" s="863"/>
      <c r="BN264" s="863"/>
      <c r="BO264" s="863"/>
      <c r="BP264" s="880"/>
      <c r="BQ264" s="863"/>
      <c r="BR264" s="889" t="str">
        <f>IFERROR(__xludf.DUMMYFUNCTION("""COMPUTED_VALUE"""),"Patel et al.")</f>
        <v>Patel et al.</v>
      </c>
      <c r="BS264" s="883" t="str">
        <f>IFERROR(__xludf.DUMMYFUNCTION("""COMPUTED_VALUE"""),"Côte d'Ivoire")</f>
        <v>Côte d'Ivoire</v>
      </c>
      <c r="BT264" s="883" t="str">
        <f>IFERROR(__xludf.DUMMYFUNCTION("""COMPUTED_VALUE"""),"Albendazole")</f>
        <v>Albendazole</v>
      </c>
      <c r="BU264" s="883"/>
      <c r="BV264" s="883" t="str">
        <f>IFERROR(__xludf.DUMMYFUNCTION("""COMPUTED_VALUE"""),"Single")</f>
        <v>Single</v>
      </c>
      <c r="BW264" s="883" t="str">
        <f>IFERROR(__xludf.DUMMYFUNCTION("""COMPUTED_VALUE"""),"800 mg")</f>
        <v>800 mg</v>
      </c>
      <c r="BX264" s="883">
        <f>IFERROR(__xludf.DUMMYFUNCTION("""COMPUTED_VALUE"""),3.0)</f>
        <v>3</v>
      </c>
      <c r="BY264" s="883"/>
      <c r="BZ264" s="883">
        <f>IFERROR(__xludf.DUMMYFUNCTION("""COMPUTED_VALUE"""),2018.0)</f>
        <v>2018</v>
      </c>
      <c r="CA264" s="883"/>
      <c r="CB264" s="883" t="str">
        <f>IFERROR(__xludf.DUMMYFUNCTION("""COMPUTED_VALUE"""),"PSAC, SAC, and adults were eligible if they provided two stool samples and were positive for T. trichiura. Only PSAC with T. trichiura infection intensities 60 eggs per gram of stool (EPG) and SAC and adults with T. trichiura infection intensities 100 EPG"&amp;" were included in the trial.")</f>
        <v>PSAC, SAC, and adults were eligible if they provided two stool samples and were positive for T. trichiura. Only PSAC with T. trichiura infection intensities 60 eggs per gram of stool (EPG) and SAC and adults with T. trichiura infection intensities 100 EPG were included in the trial.</v>
      </c>
      <c r="CC264" s="883" t="str">
        <f>IFERROR(__xludf.DUMMYFUNCTION("""COMPUTED_VALUE"""),"Yes")</f>
        <v>Yes</v>
      </c>
      <c r="CD264" s="884">
        <f>IFERROR(__xludf.DUMMYFUNCTION("""COMPUTED_VALUE"""),1.0)</f>
        <v>1</v>
      </c>
      <c r="CE264" s="883" t="str">
        <f>IFERROR(__xludf.DUMMYFUNCTION("""COMPUTED_VALUE"""),"Yes")</f>
        <v>Yes</v>
      </c>
      <c r="CF264" s="883"/>
      <c r="CG264" s="883"/>
      <c r="CH264" s="883"/>
      <c r="CI264" s="883"/>
      <c r="CJ264" s="883"/>
      <c r="CK264" s="883"/>
      <c r="CL264" s="883"/>
      <c r="CM264" s="884">
        <f>IFERROR(__xludf.DUMMYFUNCTION("""COMPUTED_VALUE"""),1.0)</f>
        <v>1</v>
      </c>
      <c r="CN264" s="883"/>
      <c r="CO264" s="883"/>
      <c r="CP264" s="883"/>
      <c r="CQ264" s="883"/>
      <c r="CR264" s="883"/>
      <c r="CS264" s="883" t="str">
        <f>IFERROR(__xludf.DUMMYFUNCTION("""COMPUTED_VALUE"""),"Albendazole shows low efficacy against T. trichiura in all populations and doses studied, though findings for PSAC and adults should be carefully interpreted as recruitment targets were not met. New drugs, treatment regimens, and combinations are needed i"&amp;"n the management of T. trichiura infections")</f>
        <v>Albendazole shows low efficacy against T. trichiura in all populations and doses studied, though findings for PSAC and adults should be carefully interpreted as recruitment targets were not met. New drugs, treatment regimens, and combinations are needed in the management of T. trichiura infections</v>
      </c>
      <c r="CT264" s="883" t="str">
        <f>IFERROR(__xludf.DUMMYFUNCTION("""COMPUTED_VALUE"""),"Kato-Katz technique")</f>
        <v>Kato-Katz technique</v>
      </c>
      <c r="CU264" s="883"/>
      <c r="CV264" s="863"/>
      <c r="CW264" s="863"/>
      <c r="CX264" s="863"/>
      <c r="CY264" s="863"/>
      <c r="CZ264" s="863"/>
      <c r="DA264" s="863"/>
      <c r="DB264" s="863"/>
      <c r="DC264" s="863"/>
      <c r="DD264" s="863"/>
      <c r="DE264" s="863"/>
    </row>
    <row r="265">
      <c r="A265" s="876"/>
      <c r="B265" s="876"/>
      <c r="C265" s="876"/>
      <c r="D265" s="876"/>
      <c r="E265" s="876"/>
      <c r="F265" s="876"/>
      <c r="G265" s="876"/>
      <c r="H265" s="876"/>
      <c r="I265" s="876"/>
      <c r="J265" s="876"/>
      <c r="K265" s="876"/>
      <c r="L265" s="876"/>
      <c r="M265" s="876"/>
      <c r="N265" s="877"/>
      <c r="O265" s="876"/>
      <c r="P265" s="876"/>
      <c r="Q265" s="876"/>
      <c r="R265" s="876"/>
      <c r="S265" s="876"/>
      <c r="T265" s="876"/>
      <c r="U265" s="876"/>
      <c r="V265" s="876"/>
      <c r="W265" s="876"/>
      <c r="X265" s="876"/>
      <c r="Y265" s="876"/>
      <c r="Z265" s="876"/>
      <c r="AA265" s="876"/>
      <c r="AB265" s="876"/>
      <c r="AC265" s="876"/>
      <c r="AD265" s="876"/>
      <c r="AE265" s="876"/>
      <c r="AF265" s="876"/>
      <c r="AG265" s="876"/>
      <c r="AH265" s="876"/>
      <c r="AI265" s="878"/>
      <c r="AJ265" s="880"/>
      <c r="AK265" s="880"/>
      <c r="AL265" s="880"/>
      <c r="AM265" s="880"/>
      <c r="AN265" s="880"/>
      <c r="AO265" s="880"/>
      <c r="AP265" s="880"/>
      <c r="AQ265" s="880"/>
      <c r="AR265" s="880"/>
      <c r="AS265" s="880"/>
      <c r="AT265" s="880"/>
      <c r="AU265" s="880"/>
      <c r="AV265" s="880"/>
      <c r="AW265" s="881"/>
      <c r="AX265" s="863"/>
      <c r="AY265" s="863"/>
      <c r="AZ265" s="863"/>
      <c r="BA265" s="863"/>
      <c r="BB265" s="863"/>
      <c r="BC265" s="863"/>
      <c r="BD265" s="863"/>
      <c r="BE265" s="863"/>
      <c r="BF265" s="863"/>
      <c r="BG265" s="863"/>
      <c r="BH265" s="863"/>
      <c r="BI265" s="863"/>
      <c r="BJ265" s="863"/>
      <c r="BK265" s="863"/>
      <c r="BL265" s="863"/>
      <c r="BM265" s="863"/>
      <c r="BN265" s="863"/>
      <c r="BO265" s="863"/>
      <c r="BP265" s="880"/>
      <c r="BQ265" s="863"/>
      <c r="BR265" s="889" t="str">
        <f>IFERROR(__xludf.DUMMYFUNCTION("""COMPUTED_VALUE"""),"Husin et al.")</f>
        <v>Husin et al.</v>
      </c>
      <c r="BS265" s="883" t="str">
        <f>IFERROR(__xludf.DUMMYFUNCTION("""COMPUTED_VALUE"""),"Indonesia")</f>
        <v>Indonesia</v>
      </c>
      <c r="BT265" s="883" t="str">
        <f>IFERROR(__xludf.DUMMYFUNCTION("""COMPUTED_VALUE"""),"Albendazole &amp; Mebendazole")</f>
        <v>Albendazole &amp; Mebendazole</v>
      </c>
      <c r="BU265" s="883"/>
      <c r="BV265" s="883" t="str">
        <f>IFERROR(__xludf.DUMMYFUNCTION("""COMPUTED_VALUE"""),"Single")</f>
        <v>Single</v>
      </c>
      <c r="BW265" s="883" t="str">
        <f>IFERROR(__xludf.DUMMYFUNCTION("""COMPUTED_VALUE"""),"400 mg; 500 mg")</f>
        <v>400 mg; 500 mg</v>
      </c>
      <c r="BX265" s="883">
        <f>IFERROR(__xludf.DUMMYFUNCTION("""COMPUTED_VALUE"""),28.0)</f>
        <v>28</v>
      </c>
      <c r="BY265" s="883">
        <f>IFERROR(__xludf.DUMMYFUNCTION("""COMPUTED_VALUE"""),8.3)</f>
        <v>8.3</v>
      </c>
      <c r="BZ265" s="883">
        <f>IFERROR(__xludf.DUMMYFUNCTION("""COMPUTED_VALUE"""),2018.0)</f>
        <v>2018</v>
      </c>
      <c r="CA265" s="883"/>
      <c r="CB265" s="883" t="str">
        <f>IFERROR(__xludf.DUMMYFUNCTION("""COMPUTED_VALUE"""),"Children  between  6  and  12  years  of  age whose stool samples were positive for single infection or co-infection with either A. lumbricoides, T. trichiura, or and hookworm were considered eligible.")</f>
        <v>Children  between  6  and  12  years  of  age whose stool samples were positive for single infection or co-infection with either A. lumbricoides, T. trichiura, or and hookworm were considered eligible.</v>
      </c>
      <c r="CC265" s="883" t="str">
        <f>IFERROR(__xludf.DUMMYFUNCTION("""COMPUTED_VALUE"""),"Yes")</f>
        <v>Yes</v>
      </c>
      <c r="CD265" s="884">
        <f>IFERROR(__xludf.DUMMYFUNCTION("""COMPUTED_VALUE"""),0.571)</f>
        <v>0.571</v>
      </c>
      <c r="CE265" s="883" t="str">
        <f>IFERROR(__xludf.DUMMYFUNCTION("""COMPUTED_VALUE"""),"No")</f>
        <v>No</v>
      </c>
      <c r="CF265" s="883"/>
      <c r="CG265" s="883"/>
      <c r="CH265" s="883"/>
      <c r="CI265" s="883"/>
      <c r="CJ265" s="883"/>
      <c r="CK265" s="883"/>
      <c r="CL265" s="883"/>
      <c r="CM265" s="891">
        <f>IFERROR(__xludf.DUMMYFUNCTION("""COMPUTED_VALUE"""),1.0)</f>
        <v>1</v>
      </c>
      <c r="CN265" s="883"/>
      <c r="CO265" s="883"/>
      <c r="CP265" s="883"/>
      <c r="CQ265" s="883"/>
      <c r="CR265" s="883"/>
      <c r="CS265" s="883" t="str">
        <f>IFERROR(__xludf.DUMMYFUNCTION("""COMPUTED_VALUE"""),"This study showed the excellent efficacy of an albendazole-pyrantel pamoate combination against STHs  infections. The  highest  reinfection  rate  was  found  in  albendazole-pyrantel  pamoate  group  for T.  trichiurainfection.")</f>
        <v>This study showed the excellent efficacy of an albendazole-pyrantel pamoate combination against STHs  infections. The  highest  reinfection  rate  was  found  in  albendazole-pyrantel  pamoate  group  for T.  trichiurainfection.</v>
      </c>
      <c r="CT265" s="883" t="str">
        <f>IFERROR(__xludf.DUMMYFUNCTION("""COMPUTED_VALUE"""),"Kato-Katz technique")</f>
        <v>Kato-Katz technique</v>
      </c>
      <c r="CU265" s="883"/>
      <c r="CV265" s="863"/>
      <c r="CW265" s="863"/>
      <c r="CX265" s="863"/>
      <c r="CY265" s="863"/>
      <c r="CZ265" s="863"/>
      <c r="DA265" s="863"/>
      <c r="DB265" s="863"/>
      <c r="DC265" s="863"/>
      <c r="DD265" s="863"/>
      <c r="DE265" s="863"/>
    </row>
    <row r="266">
      <c r="A266" s="876"/>
      <c r="B266" s="876"/>
      <c r="C266" s="876"/>
      <c r="D266" s="876"/>
      <c r="E266" s="876"/>
      <c r="F266" s="876"/>
      <c r="G266" s="876"/>
      <c r="H266" s="876"/>
      <c r="I266" s="876"/>
      <c r="J266" s="876"/>
      <c r="K266" s="876"/>
      <c r="L266" s="876"/>
      <c r="M266" s="876"/>
      <c r="N266" s="877"/>
      <c r="O266" s="876"/>
      <c r="P266" s="876"/>
      <c r="Q266" s="876"/>
      <c r="R266" s="876"/>
      <c r="S266" s="876"/>
      <c r="T266" s="876"/>
      <c r="U266" s="876"/>
      <c r="V266" s="876"/>
      <c r="W266" s="876"/>
      <c r="X266" s="876"/>
      <c r="Y266" s="876"/>
      <c r="Z266" s="876"/>
      <c r="AA266" s="876"/>
      <c r="AB266" s="876"/>
      <c r="AC266" s="876"/>
      <c r="AD266" s="876"/>
      <c r="AE266" s="876"/>
      <c r="AF266" s="876"/>
      <c r="AG266" s="876"/>
      <c r="AH266" s="876"/>
      <c r="AI266" s="878"/>
      <c r="AJ266" s="880"/>
      <c r="AK266" s="880"/>
      <c r="AL266" s="880"/>
      <c r="AM266" s="880"/>
      <c r="AN266" s="880"/>
      <c r="AO266" s="880"/>
      <c r="AP266" s="880"/>
      <c r="AQ266" s="880"/>
      <c r="AR266" s="880"/>
      <c r="AS266" s="880"/>
      <c r="AT266" s="880"/>
      <c r="AU266" s="880"/>
      <c r="AV266" s="880"/>
      <c r="AW266" s="881"/>
      <c r="AX266" s="863"/>
      <c r="AY266" s="863"/>
      <c r="AZ266" s="863"/>
      <c r="BA266" s="863"/>
      <c r="BB266" s="863"/>
      <c r="BC266" s="863"/>
      <c r="BD266" s="863"/>
      <c r="BE266" s="863"/>
      <c r="BF266" s="863"/>
      <c r="BG266" s="863"/>
      <c r="BH266" s="863"/>
      <c r="BI266" s="863"/>
      <c r="BJ266" s="863"/>
      <c r="BK266" s="863"/>
      <c r="BL266" s="863"/>
      <c r="BM266" s="863"/>
      <c r="BN266" s="863"/>
      <c r="BO266" s="863"/>
      <c r="BP266" s="880"/>
      <c r="BQ266" s="863"/>
      <c r="BR266" s="889" t="str">
        <f>IFERROR(__xludf.DUMMYFUNCTION("""COMPUTED_VALUE"""),"Husin et al.")</f>
        <v>Husin et al.</v>
      </c>
      <c r="BS266" s="883" t="str">
        <f>IFERROR(__xludf.DUMMYFUNCTION("""COMPUTED_VALUE"""),"Indonesia")</f>
        <v>Indonesia</v>
      </c>
      <c r="BT266" s="883" t="str">
        <f>IFERROR(__xludf.DUMMYFUNCTION("""COMPUTED_VALUE"""),"Albendazole &amp; Pyrantel Pamoate")</f>
        <v>Albendazole &amp; Pyrantel Pamoate</v>
      </c>
      <c r="BU266" s="883"/>
      <c r="BV266" s="883" t="str">
        <f>IFERROR(__xludf.DUMMYFUNCTION("""COMPUTED_VALUE"""),"Single")</f>
        <v>Single</v>
      </c>
      <c r="BW266" s="883" t="str">
        <f>IFERROR(__xludf.DUMMYFUNCTION("""COMPUTED_VALUE"""),"400 mg; 10 mg/kg ")</f>
        <v>400 mg; 10 mg/kg </v>
      </c>
      <c r="BX266" s="883">
        <f>IFERROR(__xludf.DUMMYFUNCTION("""COMPUTED_VALUE"""),31.0)</f>
        <v>31</v>
      </c>
      <c r="BY266" s="883">
        <f>IFERROR(__xludf.DUMMYFUNCTION("""COMPUTED_VALUE"""),8.9)</f>
        <v>8.9</v>
      </c>
      <c r="BZ266" s="883">
        <f>IFERROR(__xludf.DUMMYFUNCTION("""COMPUTED_VALUE"""),2018.0)</f>
        <v>2018</v>
      </c>
      <c r="CA266" s="883"/>
      <c r="CB266" s="883" t="str">
        <f>IFERROR(__xludf.DUMMYFUNCTION("""COMPUTED_VALUE"""),"Children  between  6  and  12  years  of  age whose stool samples were positive for single infection or co-infection with either A. lumbricoides, T. trichiura, or and hookworm were considered eligible.")</f>
        <v>Children  between  6  and  12  years  of  age whose stool samples were positive for single infection or co-infection with either A. lumbricoides, T. trichiura, or and hookworm were considered eligible.</v>
      </c>
      <c r="CC266" s="883" t="str">
        <f>IFERROR(__xludf.DUMMYFUNCTION("""COMPUTED_VALUE"""),"Yes")</f>
        <v>Yes</v>
      </c>
      <c r="CD266" s="884">
        <f>IFERROR(__xludf.DUMMYFUNCTION("""COMPUTED_VALUE"""),0.935)</f>
        <v>0.935</v>
      </c>
      <c r="CE266" s="883" t="str">
        <f>IFERROR(__xludf.DUMMYFUNCTION("""COMPUTED_VALUE"""),"No")</f>
        <v>No</v>
      </c>
      <c r="CF266" s="883"/>
      <c r="CG266" s="883"/>
      <c r="CH266" s="883"/>
      <c r="CI266" s="883"/>
      <c r="CJ266" s="883"/>
      <c r="CK266" s="883"/>
      <c r="CL266" s="883"/>
      <c r="CM266" s="891">
        <f>IFERROR(__xludf.DUMMYFUNCTION("""COMPUTED_VALUE"""),1.0)</f>
        <v>1</v>
      </c>
      <c r="CN266" s="883"/>
      <c r="CO266" s="883"/>
      <c r="CP266" s="883"/>
      <c r="CQ266" s="883"/>
      <c r="CR266" s="883"/>
      <c r="CS266" s="883" t="str">
        <f>IFERROR(__xludf.DUMMYFUNCTION("""COMPUTED_VALUE"""),"This study showed the excellent efficacy of an albendazole-pyrantel pamoate combination against STHs  infections. The  highest  reinfection  rate  was  found  in  albendazole-pyrantel  pamoate  group  for T.  trichiurainfection.")</f>
        <v>This study showed the excellent efficacy of an albendazole-pyrantel pamoate combination against STHs  infections. The  highest  reinfection  rate  was  found  in  albendazole-pyrantel  pamoate  group  for T.  trichiurainfection.</v>
      </c>
      <c r="CT266" s="883" t="str">
        <f>IFERROR(__xludf.DUMMYFUNCTION("""COMPUTED_VALUE"""),"Kato-Katz technique")</f>
        <v>Kato-Katz technique</v>
      </c>
      <c r="CU266" s="883"/>
      <c r="CV266" s="863"/>
      <c r="CW266" s="863"/>
      <c r="CX266" s="863"/>
      <c r="CY266" s="863"/>
      <c r="CZ266" s="863"/>
      <c r="DA266" s="863"/>
      <c r="DB266" s="863"/>
      <c r="DC266" s="863"/>
      <c r="DD266" s="863"/>
      <c r="DE266" s="863"/>
    </row>
    <row r="267">
      <c r="A267" s="876"/>
      <c r="B267" s="876"/>
      <c r="C267" s="876"/>
      <c r="D267" s="876"/>
      <c r="E267" s="876"/>
      <c r="F267" s="876"/>
      <c r="G267" s="876"/>
      <c r="H267" s="876"/>
      <c r="I267" s="876"/>
      <c r="J267" s="876"/>
      <c r="K267" s="876"/>
      <c r="L267" s="876"/>
      <c r="M267" s="876"/>
      <c r="N267" s="877"/>
      <c r="O267" s="876"/>
      <c r="P267" s="876"/>
      <c r="Q267" s="876"/>
      <c r="R267" s="876"/>
      <c r="S267" s="876"/>
      <c r="T267" s="876"/>
      <c r="U267" s="876"/>
      <c r="V267" s="876"/>
      <c r="W267" s="876"/>
      <c r="X267" s="876"/>
      <c r="Y267" s="876"/>
      <c r="Z267" s="876"/>
      <c r="AA267" s="876"/>
      <c r="AB267" s="876"/>
      <c r="AC267" s="876"/>
      <c r="AD267" s="876"/>
      <c r="AE267" s="876"/>
      <c r="AF267" s="876"/>
      <c r="AG267" s="876"/>
      <c r="AH267" s="876"/>
      <c r="AI267" s="878"/>
      <c r="AJ267" s="880"/>
      <c r="AK267" s="880"/>
      <c r="AL267" s="880"/>
      <c r="AM267" s="880"/>
      <c r="AN267" s="880"/>
      <c r="AO267" s="880"/>
      <c r="AP267" s="880"/>
      <c r="AQ267" s="880"/>
      <c r="AR267" s="880"/>
      <c r="AS267" s="880"/>
      <c r="AT267" s="880"/>
      <c r="AU267" s="880"/>
      <c r="AV267" s="880"/>
      <c r="AW267" s="881"/>
      <c r="AX267" s="863"/>
      <c r="AY267" s="863"/>
      <c r="AZ267" s="863"/>
      <c r="BA267" s="863"/>
      <c r="BB267" s="863"/>
      <c r="BC267" s="863"/>
      <c r="BD267" s="863"/>
      <c r="BE267" s="863"/>
      <c r="BF267" s="863"/>
      <c r="BG267" s="863"/>
      <c r="BH267" s="863"/>
      <c r="BI267" s="863"/>
      <c r="BJ267" s="863"/>
      <c r="BK267" s="863"/>
      <c r="BL267" s="863"/>
      <c r="BM267" s="863"/>
      <c r="BN267" s="863"/>
      <c r="BO267" s="863"/>
      <c r="BP267" s="880"/>
      <c r="BQ267" s="863"/>
      <c r="BR267" s="889" t="str">
        <f>IFERROR(__xludf.DUMMYFUNCTION("""COMPUTED_VALUE"""),"Husin et al.")</f>
        <v>Husin et al.</v>
      </c>
      <c r="BS267" s="883" t="str">
        <f>IFERROR(__xludf.DUMMYFUNCTION("""COMPUTED_VALUE"""),"Indonesia")</f>
        <v>Indonesia</v>
      </c>
      <c r="BT267" s="883" t="str">
        <f>IFERROR(__xludf.DUMMYFUNCTION("""COMPUTED_VALUE"""),"Mebendazole")</f>
        <v>Mebendazole</v>
      </c>
      <c r="BU267" s="883"/>
      <c r="BV267" s="883" t="str">
        <f>IFERROR(__xludf.DUMMYFUNCTION("""COMPUTED_VALUE"""),"Single")</f>
        <v>Single</v>
      </c>
      <c r="BW267" s="883" t="str">
        <f>IFERROR(__xludf.DUMMYFUNCTION("""COMPUTED_VALUE"""),"500 mg")</f>
        <v>500 mg</v>
      </c>
      <c r="BX267" s="883">
        <f>IFERROR(__xludf.DUMMYFUNCTION("""COMPUTED_VALUE"""),29.0)</f>
        <v>29</v>
      </c>
      <c r="BY267" s="883">
        <f>IFERROR(__xludf.DUMMYFUNCTION("""COMPUTED_VALUE"""),8.8)</f>
        <v>8.8</v>
      </c>
      <c r="BZ267" s="883">
        <f>IFERROR(__xludf.DUMMYFUNCTION("""COMPUTED_VALUE"""),2018.0)</f>
        <v>2018</v>
      </c>
      <c r="CA267" s="883"/>
      <c r="CB267" s="883" t="str">
        <f>IFERROR(__xludf.DUMMYFUNCTION("""COMPUTED_VALUE"""),"Children  between  6  and  12  years  of  age whose stool samples were positive for single infection or co-infection with either A. lumbricoides, T. trichiura, or and hookworm were considered eligible.")</f>
        <v>Children  between  6  and  12  years  of  age whose stool samples were positive for single infection or co-infection with either A. lumbricoides, T. trichiura, or and hookworm were considered eligible.</v>
      </c>
      <c r="CC267" s="883" t="str">
        <f>IFERROR(__xludf.DUMMYFUNCTION("""COMPUTED_VALUE"""),"Yes")</f>
        <v>Yes</v>
      </c>
      <c r="CD267" s="884">
        <f>IFERROR(__xludf.DUMMYFUNCTION("""COMPUTED_VALUE"""),0.276)</f>
        <v>0.276</v>
      </c>
      <c r="CE267" s="883" t="str">
        <f>IFERROR(__xludf.DUMMYFUNCTION("""COMPUTED_VALUE"""),"No")</f>
        <v>No</v>
      </c>
      <c r="CF267" s="883"/>
      <c r="CG267" s="883"/>
      <c r="CH267" s="883"/>
      <c r="CI267" s="883"/>
      <c r="CJ267" s="883"/>
      <c r="CK267" s="883"/>
      <c r="CL267" s="883"/>
      <c r="CM267" s="891">
        <f>IFERROR(__xludf.DUMMYFUNCTION("""COMPUTED_VALUE"""),0.97)</f>
        <v>0.97</v>
      </c>
      <c r="CN267" s="883"/>
      <c r="CO267" s="883"/>
      <c r="CP267" s="883"/>
      <c r="CQ267" s="883"/>
      <c r="CR267" s="883"/>
      <c r="CS267" s="883" t="str">
        <f>IFERROR(__xludf.DUMMYFUNCTION("""COMPUTED_VALUE"""),"This study showed the excellent efficacy of an albendazole-pyrantel pamoate combination against STHs  infections. The  highest  reinfection  rate  was  found  in  albendazole-pyrantel  pamoate  group  for T.  trichiurainfection.")</f>
        <v>This study showed the excellent efficacy of an albendazole-pyrantel pamoate combination against STHs  infections. The  highest  reinfection  rate  was  found  in  albendazole-pyrantel  pamoate  group  for T.  trichiurainfection.</v>
      </c>
      <c r="CT267" s="883" t="str">
        <f>IFERROR(__xludf.DUMMYFUNCTION("""COMPUTED_VALUE"""),"Kato-Katz technique")</f>
        <v>Kato-Katz technique</v>
      </c>
      <c r="CU267" s="883"/>
      <c r="CV267" s="863"/>
      <c r="CW267" s="863"/>
      <c r="CX267" s="863"/>
      <c r="CY267" s="863"/>
      <c r="CZ267" s="863"/>
      <c r="DA267" s="863"/>
      <c r="DB267" s="863"/>
      <c r="DC267" s="863"/>
      <c r="DD267" s="863"/>
      <c r="DE267" s="863"/>
    </row>
    <row r="268">
      <c r="A268" s="876"/>
      <c r="B268" s="876"/>
      <c r="C268" s="876"/>
      <c r="D268" s="876"/>
      <c r="E268" s="876"/>
      <c r="F268" s="876"/>
      <c r="G268" s="876"/>
      <c r="H268" s="876"/>
      <c r="I268" s="876"/>
      <c r="J268" s="876"/>
      <c r="K268" s="876"/>
      <c r="L268" s="876"/>
      <c r="M268" s="876"/>
      <c r="N268" s="877"/>
      <c r="O268" s="876"/>
      <c r="P268" s="876"/>
      <c r="Q268" s="876"/>
      <c r="R268" s="876"/>
      <c r="S268" s="876"/>
      <c r="T268" s="876"/>
      <c r="U268" s="876"/>
      <c r="V268" s="876"/>
      <c r="W268" s="876"/>
      <c r="X268" s="876"/>
      <c r="Y268" s="876"/>
      <c r="Z268" s="876"/>
      <c r="AA268" s="876"/>
      <c r="AB268" s="876"/>
      <c r="AC268" s="876"/>
      <c r="AD268" s="876"/>
      <c r="AE268" s="876"/>
      <c r="AF268" s="876"/>
      <c r="AG268" s="876"/>
      <c r="AH268" s="876"/>
      <c r="AI268" s="878"/>
      <c r="AJ268" s="880"/>
      <c r="AK268" s="880"/>
      <c r="AL268" s="880"/>
      <c r="AM268" s="880"/>
      <c r="AN268" s="880"/>
      <c r="AO268" s="880"/>
      <c r="AP268" s="880"/>
      <c r="AQ268" s="880"/>
      <c r="AR268" s="880"/>
      <c r="AS268" s="880"/>
      <c r="AT268" s="880"/>
      <c r="AU268" s="880"/>
      <c r="AV268" s="880"/>
      <c r="AW268" s="881"/>
      <c r="AX268" s="863"/>
      <c r="AY268" s="863"/>
      <c r="AZ268" s="863"/>
      <c r="BA268" s="863"/>
      <c r="BB268" s="863"/>
      <c r="BC268" s="863"/>
      <c r="BD268" s="863"/>
      <c r="BE268" s="863"/>
      <c r="BF268" s="863"/>
      <c r="BG268" s="863"/>
      <c r="BH268" s="863"/>
      <c r="BI268" s="863"/>
      <c r="BJ268" s="863"/>
      <c r="BK268" s="863"/>
      <c r="BL268" s="863"/>
      <c r="BM268" s="863"/>
      <c r="BN268" s="863"/>
      <c r="BO268" s="863"/>
      <c r="BP268" s="880"/>
      <c r="BQ268" s="863"/>
      <c r="BR268" s="889" t="str">
        <f>IFERROR(__xludf.DUMMYFUNCTION("""COMPUTED_VALUE"""),"Gultom et al.")</f>
        <v>Gultom et al.</v>
      </c>
      <c r="BS268" s="883" t="str">
        <f>IFERROR(__xludf.DUMMYFUNCTION("""COMPUTED_VALUE"""),"Indonesia")</f>
        <v>Indonesia</v>
      </c>
      <c r="BT268" s="883" t="str">
        <f>IFERROR(__xludf.DUMMYFUNCTION("""COMPUTED_VALUE"""),"Albendazole")</f>
        <v>Albendazole</v>
      </c>
      <c r="BU268" s="883"/>
      <c r="BV268" s="883" t="str">
        <f>IFERROR(__xludf.DUMMYFUNCTION("""COMPUTED_VALUE"""),"Three")</f>
        <v>Three</v>
      </c>
      <c r="BW268" s="883" t="str">
        <f>IFERROR(__xludf.DUMMYFUNCTION("""COMPUTED_VALUE"""),"400 mg")</f>
        <v>400 mg</v>
      </c>
      <c r="BX268" s="883">
        <f>IFERROR(__xludf.DUMMYFUNCTION("""COMPUTED_VALUE"""),65.0)</f>
        <v>65</v>
      </c>
      <c r="BY268" s="883">
        <f>IFERROR(__xludf.DUMMYFUNCTION("""COMPUTED_VALUE"""),8.2)</f>
        <v>8.2</v>
      </c>
      <c r="BZ268" s="883">
        <f>IFERROR(__xludf.DUMMYFUNCTION("""COMPUTED_VALUE"""),2018.0)</f>
        <v>2018</v>
      </c>
      <c r="CA268" s="883"/>
      <c r="CB268" s="883" t="str">
        <f>IFERROR(__xludf.DUMMYFUNCTION("""COMPUTED_VALUE"""),"The inclusion criteria were children aged 6 to 12 years, one or a combination of STH (A. lumbricoides, T. trichiura or hookworms) eggs were found from Kato-Katz methods stool examination and did not consume any anthelmintic for one month before and during"&amp;" the study.")</f>
        <v>The inclusion criteria were children aged 6 to 12 years, one or a combination of STH (A. lumbricoides, T. trichiura or hookworms) eggs were found from Kato-Katz methods stool examination and did not consume any anthelmintic for one month before and during the study.</v>
      </c>
      <c r="CC268" s="883" t="str">
        <f>IFERROR(__xludf.DUMMYFUNCTION("""COMPUTED_VALUE"""),"Yes")</f>
        <v>Yes</v>
      </c>
      <c r="CD268" s="884">
        <f>IFERROR(__xludf.DUMMYFUNCTION("""COMPUTED_VALUE"""),0.903)</f>
        <v>0.903</v>
      </c>
      <c r="CE268" s="883" t="str">
        <f>IFERROR(__xludf.DUMMYFUNCTION("""COMPUTED_VALUE"""),"Yes")</f>
        <v>Yes</v>
      </c>
      <c r="CF268" s="883"/>
      <c r="CG268" s="883"/>
      <c r="CH268" s="883"/>
      <c r="CI268" s="883"/>
      <c r="CJ268" s="883"/>
      <c r="CK268" s="883"/>
      <c r="CL268" s="883"/>
      <c r="CM268" s="884">
        <f>IFERROR(__xludf.DUMMYFUNCTION("""COMPUTED_VALUE"""),0.968)</f>
        <v>0.968</v>
      </c>
      <c r="CN268" s="883"/>
      <c r="CO268" s="883"/>
      <c r="CP268" s="883"/>
      <c r="CQ268" s="883"/>
      <c r="CR268" s="883"/>
      <c r="CS268" s="883" t="str">
        <f>IFERROR(__xludf.DUMMYFUNCTION("""COMPUTED_VALUE"""),"Three and two consecutive days albendazole have better efficacy than single-dose of albendazole for trichuriasis, but not for ascariasis or hookworm infection. Two consecutive days albendazole is better choice for treating trichuriasis with more adherence"&amp;" and less side effect than three consecutive days regimen.")</f>
        <v>Three and two consecutive days albendazole have better efficacy than single-dose of albendazole for trichuriasis, but not for ascariasis or hookworm infection. Two consecutive days albendazole is better choice for treating trichuriasis with more adherence and less side effect than three consecutive days regimen.</v>
      </c>
      <c r="CT268" s="883" t="str">
        <f>IFERROR(__xludf.DUMMYFUNCTION("""COMPUTED_VALUE"""),"Kato-Katz technique")</f>
        <v>Kato-Katz technique</v>
      </c>
      <c r="CU268" s="883"/>
      <c r="CV268" s="863"/>
      <c r="CW268" s="863"/>
      <c r="CX268" s="863"/>
      <c r="CY268" s="863"/>
      <c r="CZ268" s="863"/>
      <c r="DA268" s="863"/>
      <c r="DB268" s="863"/>
      <c r="DC268" s="863"/>
      <c r="DD268" s="863"/>
      <c r="DE268" s="863"/>
    </row>
    <row r="269">
      <c r="A269" s="876"/>
      <c r="B269" s="876"/>
      <c r="C269" s="876"/>
      <c r="D269" s="876"/>
      <c r="E269" s="876"/>
      <c r="F269" s="876"/>
      <c r="G269" s="876"/>
      <c r="H269" s="876"/>
      <c r="I269" s="876"/>
      <c r="J269" s="876"/>
      <c r="K269" s="876"/>
      <c r="L269" s="876"/>
      <c r="M269" s="876"/>
      <c r="N269" s="877"/>
      <c r="O269" s="876"/>
      <c r="P269" s="876"/>
      <c r="Q269" s="876"/>
      <c r="R269" s="876"/>
      <c r="S269" s="876"/>
      <c r="T269" s="876"/>
      <c r="U269" s="876"/>
      <c r="V269" s="876"/>
      <c r="W269" s="876"/>
      <c r="X269" s="876"/>
      <c r="Y269" s="876"/>
      <c r="Z269" s="876"/>
      <c r="AA269" s="876"/>
      <c r="AB269" s="876"/>
      <c r="AC269" s="876"/>
      <c r="AD269" s="876"/>
      <c r="AE269" s="876"/>
      <c r="AF269" s="876"/>
      <c r="AG269" s="876"/>
      <c r="AH269" s="876"/>
      <c r="AI269" s="878"/>
      <c r="AJ269" s="880"/>
      <c r="AK269" s="880"/>
      <c r="AL269" s="880"/>
      <c r="AM269" s="880"/>
      <c r="AN269" s="880"/>
      <c r="AO269" s="880"/>
      <c r="AP269" s="880"/>
      <c r="AQ269" s="880"/>
      <c r="AR269" s="880"/>
      <c r="AS269" s="880"/>
      <c r="AT269" s="880"/>
      <c r="AU269" s="880"/>
      <c r="AV269" s="880"/>
      <c r="AW269" s="881"/>
      <c r="AX269" s="863"/>
      <c r="AY269" s="863"/>
      <c r="AZ269" s="863"/>
      <c r="BA269" s="863"/>
      <c r="BB269" s="863"/>
      <c r="BC269" s="863"/>
      <c r="BD269" s="863"/>
      <c r="BE269" s="863"/>
      <c r="BF269" s="863"/>
      <c r="BG269" s="863"/>
      <c r="BH269" s="863"/>
      <c r="BI269" s="863"/>
      <c r="BJ269" s="863"/>
      <c r="BK269" s="863"/>
      <c r="BL269" s="863"/>
      <c r="BM269" s="863"/>
      <c r="BN269" s="863"/>
      <c r="BO269" s="863"/>
      <c r="BP269" s="880"/>
      <c r="BQ269" s="863"/>
      <c r="BR269" s="889" t="str">
        <f>IFERROR(__xludf.DUMMYFUNCTION("""COMPUTED_VALUE"""),"Gultom et al.")</f>
        <v>Gultom et al.</v>
      </c>
      <c r="BS269" s="883" t="str">
        <f>IFERROR(__xludf.DUMMYFUNCTION("""COMPUTED_VALUE"""),"Indonesia")</f>
        <v>Indonesia</v>
      </c>
      <c r="BT269" s="883" t="str">
        <f>IFERROR(__xludf.DUMMYFUNCTION("""COMPUTED_VALUE"""),"Albendazole")</f>
        <v>Albendazole</v>
      </c>
      <c r="BU269" s="883"/>
      <c r="BV269" s="883" t="str">
        <f>IFERROR(__xludf.DUMMYFUNCTION("""COMPUTED_VALUE"""),"Two")</f>
        <v>Two</v>
      </c>
      <c r="BW269" s="883" t="str">
        <f>IFERROR(__xludf.DUMMYFUNCTION("""COMPUTED_VALUE"""),"400 mg")</f>
        <v>400 mg</v>
      </c>
      <c r="BX269" s="883">
        <f>IFERROR(__xludf.DUMMYFUNCTION("""COMPUTED_VALUE"""),65.0)</f>
        <v>65</v>
      </c>
      <c r="BY269" s="883">
        <f>IFERROR(__xludf.DUMMYFUNCTION("""COMPUTED_VALUE"""),8.9)</f>
        <v>8.9</v>
      </c>
      <c r="BZ269" s="883">
        <f>IFERROR(__xludf.DUMMYFUNCTION("""COMPUTED_VALUE"""),2018.0)</f>
        <v>2018</v>
      </c>
      <c r="CA269" s="883"/>
      <c r="CB269" s="883" t="str">
        <f>IFERROR(__xludf.DUMMYFUNCTION("""COMPUTED_VALUE"""),"The inclusion criteria were children aged 6 to 12 years, one or a combination of STH (A. lumbricoides, T. trichiura or hookworms) eggs were found from Kato-Katz methods stool examination and did not consume any anthelmintic for one month before and during"&amp;" the study.")</f>
        <v>The inclusion criteria were children aged 6 to 12 years, one or a combination of STH (A. lumbricoides, T. trichiura or hookworms) eggs were found from Kato-Katz methods stool examination and did not consume any anthelmintic for one month before and during the study.</v>
      </c>
      <c r="CC269" s="883" t="str">
        <f>IFERROR(__xludf.DUMMYFUNCTION("""COMPUTED_VALUE"""),"Yes")</f>
        <v>Yes</v>
      </c>
      <c r="CD269" s="884">
        <f>IFERROR(__xludf.DUMMYFUNCTION("""COMPUTED_VALUE"""),0.886)</f>
        <v>0.886</v>
      </c>
      <c r="CE269" s="883" t="str">
        <f>IFERROR(__xludf.DUMMYFUNCTION("""COMPUTED_VALUE"""),"Yes")</f>
        <v>Yes</v>
      </c>
      <c r="CF269" s="883"/>
      <c r="CG269" s="883"/>
      <c r="CH269" s="883"/>
      <c r="CI269" s="883"/>
      <c r="CJ269" s="883"/>
      <c r="CK269" s="883"/>
      <c r="CL269" s="883"/>
      <c r="CM269" s="884">
        <f>IFERROR(__xludf.DUMMYFUNCTION("""COMPUTED_VALUE"""),0.972)</f>
        <v>0.972</v>
      </c>
      <c r="CN269" s="883"/>
      <c r="CO269" s="883"/>
      <c r="CP269" s="883"/>
      <c r="CQ269" s="883"/>
      <c r="CR269" s="883"/>
      <c r="CS269" s="883" t="str">
        <f>IFERROR(__xludf.DUMMYFUNCTION("""COMPUTED_VALUE"""),"Three and two consecutive days albendazole have better efficacy than single-dose of albendazole for trichuriasis, but not for ascariasis or hookworm infection. Two consecutive days albendazole is better choice for treating trichuriasis with more adherence"&amp;" and less side effect than three consecutive days regimen.")</f>
        <v>Three and two consecutive days albendazole have better efficacy than single-dose of albendazole for trichuriasis, but not for ascariasis or hookworm infection. Two consecutive days albendazole is better choice for treating trichuriasis with more adherence and less side effect than three consecutive days regimen.</v>
      </c>
      <c r="CT269" s="883" t="str">
        <f>IFERROR(__xludf.DUMMYFUNCTION("""COMPUTED_VALUE"""),"Kato-Katz technique")</f>
        <v>Kato-Katz technique</v>
      </c>
      <c r="CU269" s="883"/>
      <c r="CV269" s="863"/>
      <c r="CW269" s="863"/>
      <c r="CX269" s="863"/>
      <c r="CY269" s="863"/>
      <c r="CZ269" s="863"/>
      <c r="DA269" s="863"/>
      <c r="DB269" s="863"/>
      <c r="DC269" s="863"/>
      <c r="DD269" s="863"/>
      <c r="DE269" s="863"/>
    </row>
    <row r="270">
      <c r="A270" s="876"/>
      <c r="B270" s="876"/>
      <c r="C270" s="876"/>
      <c r="D270" s="876"/>
      <c r="E270" s="876"/>
      <c r="F270" s="876"/>
      <c r="G270" s="876"/>
      <c r="H270" s="876"/>
      <c r="I270" s="876"/>
      <c r="J270" s="876"/>
      <c r="K270" s="876"/>
      <c r="L270" s="876"/>
      <c r="M270" s="876"/>
      <c r="N270" s="877"/>
      <c r="O270" s="876"/>
      <c r="P270" s="876"/>
      <c r="Q270" s="876"/>
      <c r="R270" s="876"/>
      <c r="S270" s="876"/>
      <c r="T270" s="876"/>
      <c r="U270" s="876"/>
      <c r="V270" s="876"/>
      <c r="W270" s="876"/>
      <c r="X270" s="876"/>
      <c r="Y270" s="876"/>
      <c r="Z270" s="876"/>
      <c r="AA270" s="876"/>
      <c r="AB270" s="876"/>
      <c r="AC270" s="876"/>
      <c r="AD270" s="876"/>
      <c r="AE270" s="876"/>
      <c r="AF270" s="876"/>
      <c r="AG270" s="876"/>
      <c r="AH270" s="876"/>
      <c r="AI270" s="878"/>
      <c r="AJ270" s="880"/>
      <c r="AK270" s="880"/>
      <c r="AL270" s="880"/>
      <c r="AM270" s="880"/>
      <c r="AN270" s="880"/>
      <c r="AO270" s="880"/>
      <c r="AP270" s="880"/>
      <c r="AQ270" s="880"/>
      <c r="AR270" s="880"/>
      <c r="AS270" s="880"/>
      <c r="AT270" s="880"/>
      <c r="AU270" s="880"/>
      <c r="AV270" s="880"/>
      <c r="AW270" s="881"/>
      <c r="AX270" s="863"/>
      <c r="AY270" s="863"/>
      <c r="AZ270" s="863"/>
      <c r="BA270" s="863"/>
      <c r="BB270" s="863"/>
      <c r="BC270" s="863"/>
      <c r="BD270" s="863"/>
      <c r="BE270" s="863"/>
      <c r="BF270" s="863"/>
      <c r="BG270" s="863"/>
      <c r="BH270" s="863"/>
      <c r="BI270" s="863"/>
      <c r="BJ270" s="863"/>
      <c r="BK270" s="863"/>
      <c r="BL270" s="863"/>
      <c r="BM270" s="863"/>
      <c r="BN270" s="863"/>
      <c r="BO270" s="863"/>
      <c r="BP270" s="880"/>
      <c r="BQ270" s="863"/>
      <c r="BR270" s="889" t="str">
        <f>IFERROR(__xludf.DUMMYFUNCTION("""COMPUTED_VALUE"""),"Gultom et al.")</f>
        <v>Gultom et al.</v>
      </c>
      <c r="BS270" s="883" t="str">
        <f>IFERROR(__xludf.DUMMYFUNCTION("""COMPUTED_VALUE"""),"Indonesia")</f>
        <v>Indonesia</v>
      </c>
      <c r="BT270" s="883" t="str">
        <f>IFERROR(__xludf.DUMMYFUNCTION("""COMPUTED_VALUE"""),"Albendazole")</f>
        <v>Albendazole</v>
      </c>
      <c r="BU270" s="883"/>
      <c r="BV270" s="883" t="str">
        <f>IFERROR(__xludf.DUMMYFUNCTION("""COMPUTED_VALUE"""),"Single")</f>
        <v>Single</v>
      </c>
      <c r="BW270" s="883" t="str">
        <f>IFERROR(__xludf.DUMMYFUNCTION("""COMPUTED_VALUE"""),"400 mg")</f>
        <v>400 mg</v>
      </c>
      <c r="BX270" s="883">
        <f>IFERROR(__xludf.DUMMYFUNCTION("""COMPUTED_VALUE"""),65.0)</f>
        <v>65</v>
      </c>
      <c r="BY270" s="883">
        <f>IFERROR(__xludf.DUMMYFUNCTION("""COMPUTED_VALUE"""),9.2)</f>
        <v>9.2</v>
      </c>
      <c r="BZ270" s="883">
        <f>IFERROR(__xludf.DUMMYFUNCTION("""COMPUTED_VALUE"""),2018.0)</f>
        <v>2018</v>
      </c>
      <c r="CA270" s="883"/>
      <c r="CB270" s="883" t="str">
        <f>IFERROR(__xludf.DUMMYFUNCTION("""COMPUTED_VALUE"""),"The inclusion criteria were children aged 6 to 12 years, one or a combination of STH (A. lumbricoides, T. trichiura or hookworms) eggs were found from Kato-Katz methods stool examination and did not consume any anthelmintic for one month before and during"&amp;" the study.")</f>
        <v>The inclusion criteria were children aged 6 to 12 years, one or a combination of STH (A. lumbricoides, T. trichiura or hookworms) eggs were found from Kato-Katz methods stool examination and did not consume any anthelmintic for one month before and during the study.</v>
      </c>
      <c r="CC270" s="883" t="str">
        <f>IFERROR(__xludf.DUMMYFUNCTION("""COMPUTED_VALUE"""),"Yes")</f>
        <v>Yes</v>
      </c>
      <c r="CD270" s="884">
        <f>IFERROR(__xludf.DUMMYFUNCTION("""COMPUTED_VALUE"""),0.947)</f>
        <v>0.947</v>
      </c>
      <c r="CE270" s="883" t="str">
        <f>IFERROR(__xludf.DUMMYFUNCTION("""COMPUTED_VALUE"""),"Yes")</f>
        <v>Yes</v>
      </c>
      <c r="CF270" s="883"/>
      <c r="CG270" s="883"/>
      <c r="CH270" s="883"/>
      <c r="CI270" s="883"/>
      <c r="CJ270" s="883"/>
      <c r="CK270" s="883"/>
      <c r="CL270" s="883"/>
      <c r="CM270" s="884">
        <f>IFERROR(__xludf.DUMMYFUNCTION("""COMPUTED_VALUE"""),1.0)</f>
        <v>1</v>
      </c>
      <c r="CN270" s="883"/>
      <c r="CO270" s="883"/>
      <c r="CP270" s="883"/>
      <c r="CQ270" s="883"/>
      <c r="CR270" s="883"/>
      <c r="CS270" s="883" t="str">
        <f>IFERROR(__xludf.DUMMYFUNCTION("""COMPUTED_VALUE"""),"Three and two consecutive days albendazole have better efficacy than single-dose of albendazole for trichuriasis, but not for ascariasis or hookworm infection. Two consecutive days albendazole is better choice for treating trichuriasis with more adherence"&amp;" and less side effect than three consecutive days regimen.")</f>
        <v>Three and two consecutive days albendazole have better efficacy than single-dose of albendazole for trichuriasis, but not for ascariasis or hookworm infection. Two consecutive days albendazole is better choice for treating trichuriasis with more adherence and less side effect than three consecutive days regimen.</v>
      </c>
      <c r="CT270" s="883" t="str">
        <f>IFERROR(__xludf.DUMMYFUNCTION("""COMPUTED_VALUE"""),"Kato-Katz technique")</f>
        <v>Kato-Katz technique</v>
      </c>
      <c r="CU270" s="883"/>
      <c r="CV270" s="863"/>
      <c r="CW270" s="863"/>
      <c r="CX270" s="863"/>
      <c r="CY270" s="863"/>
      <c r="CZ270" s="863"/>
      <c r="DA270" s="863"/>
      <c r="DB270" s="863"/>
      <c r="DC270" s="863"/>
      <c r="DD270" s="863"/>
      <c r="DE270" s="863"/>
    </row>
    <row r="271">
      <c r="A271" s="876"/>
      <c r="B271" s="876"/>
      <c r="C271" s="876"/>
      <c r="D271" s="876"/>
      <c r="E271" s="876"/>
      <c r="F271" s="876"/>
      <c r="G271" s="876"/>
      <c r="H271" s="876"/>
      <c r="I271" s="876"/>
      <c r="J271" s="876"/>
      <c r="K271" s="876"/>
      <c r="L271" s="876"/>
      <c r="M271" s="876"/>
      <c r="N271" s="877"/>
      <c r="O271" s="876"/>
      <c r="P271" s="876"/>
      <c r="Q271" s="876"/>
      <c r="R271" s="876"/>
      <c r="S271" s="876"/>
      <c r="T271" s="876"/>
      <c r="U271" s="876"/>
      <c r="V271" s="876"/>
      <c r="W271" s="876"/>
      <c r="X271" s="876"/>
      <c r="Y271" s="876"/>
      <c r="Z271" s="876"/>
      <c r="AA271" s="876"/>
      <c r="AB271" s="876"/>
      <c r="AC271" s="876"/>
      <c r="AD271" s="876"/>
      <c r="AE271" s="876"/>
      <c r="AF271" s="876"/>
      <c r="AG271" s="876"/>
      <c r="AH271" s="876"/>
      <c r="AI271" s="878"/>
      <c r="AJ271" s="880"/>
      <c r="AK271" s="880"/>
      <c r="AL271" s="880"/>
      <c r="AM271" s="880"/>
      <c r="AN271" s="880"/>
      <c r="AO271" s="880"/>
      <c r="AP271" s="880"/>
      <c r="AQ271" s="880"/>
      <c r="AR271" s="880"/>
      <c r="AS271" s="880"/>
      <c r="AT271" s="880"/>
      <c r="AU271" s="880"/>
      <c r="AV271" s="880"/>
      <c r="AW271" s="881"/>
      <c r="AX271" s="863"/>
      <c r="AY271" s="863"/>
      <c r="AZ271" s="863"/>
      <c r="BA271" s="863"/>
      <c r="BB271" s="863"/>
      <c r="BC271" s="863"/>
      <c r="BD271" s="863"/>
      <c r="BE271" s="863"/>
      <c r="BF271" s="863"/>
      <c r="BG271" s="863"/>
      <c r="BH271" s="863"/>
      <c r="BI271" s="863"/>
      <c r="BJ271" s="863"/>
      <c r="BK271" s="863"/>
      <c r="BL271" s="863"/>
      <c r="BM271" s="863"/>
      <c r="BN271" s="863"/>
      <c r="BO271" s="863"/>
      <c r="BP271" s="880"/>
      <c r="BQ271" s="863"/>
      <c r="BR271" s="889" t="str">
        <f>IFERROR(__xludf.DUMMYFUNCTION("""COMPUTED_VALUE"""),"Moser et al.")</f>
        <v>Moser et al.</v>
      </c>
      <c r="BS271" s="883" t="str">
        <f>IFERROR(__xludf.DUMMYFUNCTION("""COMPUTED_VALUE"""),"Laos")</f>
        <v>Laos</v>
      </c>
      <c r="BT271" s="883" t="str">
        <f>IFERROR(__xludf.DUMMYFUNCTION("""COMPUTED_VALUE"""),"Albendazole &amp; Pyrantel Pamoate &amp; Oxantel Pamoate")</f>
        <v>Albendazole &amp; Pyrantel Pamoate &amp; Oxantel Pamoate</v>
      </c>
      <c r="BU271" s="883"/>
      <c r="BV271" s="883" t="str">
        <f>IFERROR(__xludf.DUMMYFUNCTION("""COMPUTED_VALUE"""),"Single")</f>
        <v>Single</v>
      </c>
      <c r="BW271" s="883" t="str">
        <f>IFERROR(__xludf.DUMMYFUNCTION("""COMPUTED_VALUE"""),"400 mg; 20 mg/kg; 20 mg/kg")</f>
        <v>400 mg; 20 mg/kg; 20 mg/kg</v>
      </c>
      <c r="BX271" s="895" t="str">
        <f>IFERROR(__xludf.DUMMYFUNCTION("""COMPUTED_VALUE"""),"22")</f>
        <v>22</v>
      </c>
      <c r="BY271" s="895" t="str">
        <f>IFERROR(__xludf.DUMMYFUNCTION("""COMPUTED_VALUE"""),"12.3")</f>
        <v>12.3</v>
      </c>
      <c r="BZ271" s="895" t="str">
        <f>IFERROR(__xludf.DUMMYFUNCTION("""COMPUTED_VALUE"""),"2017")</f>
        <v>2017</v>
      </c>
      <c r="CA271" s="883"/>
      <c r="CB271" s="883" t="str">
        <f>IFERROR(__xludf.DUMMYFUNCTION("""COMPUTED_VALUE"""),"Children were deemed eligible if they provided two stool samples and were hookworm positive (eggs per gram of stool [EPG] &gt;100), passed a physical and clinical examination, had no chronic illness, had no anthelmintic treatment in the past 4 weeks, and, if"&amp;" female, were not pregnant (≥12 years)")</f>
        <v>Children were deemed eligible if they provided two stool samples and were hookworm positive (eggs per gram of stool [EPG] &gt;100), passed a physical and clinical examination, had no chronic illness, had no anthelmintic treatment in the past 4 weeks, and, if female, were not pregnant (≥12 years)</v>
      </c>
      <c r="CC271" s="895" t="str">
        <f>IFERROR(__xludf.DUMMYFUNCTION("""COMPUTED_VALUE"""),"Yes")</f>
        <v>Yes</v>
      </c>
      <c r="CD271" s="884" t="str">
        <f>IFERROR(__xludf.DUMMYFUNCTION("""COMPUTED_VALUE"""),"90.9%")</f>
        <v>90.9%</v>
      </c>
      <c r="CE271" s="895" t="str">
        <f>IFERROR(__xludf.DUMMYFUNCTION("""COMPUTED_VALUE"""),"Yes")</f>
        <v>Yes</v>
      </c>
      <c r="CF271" s="883"/>
      <c r="CG271" s="883"/>
      <c r="CH271" s="883"/>
      <c r="CI271" s="883"/>
      <c r="CJ271" s="883"/>
      <c r="CK271" s="883"/>
      <c r="CL271" s="883"/>
      <c r="CM271" s="895" t="str">
        <f>IFERROR(__xludf.DUMMYFUNCTION("""COMPUTED_VALUE"""),"99.90%")</f>
        <v>99.90%</v>
      </c>
      <c r="CN271" s="883"/>
      <c r="CO271" s="883"/>
      <c r="CP271" s="883"/>
      <c r="CQ271" s="883"/>
      <c r="CR271" s="883"/>
      <c r="CS271" s="883" t="str">
        <f>IFERROR(__xludf.DUMMYFUNCTION("""COMPUTED_VALUE"""),"TDT with albendazole, pyrantel pamoate, and oxantel pamoate could make a difference, in particular in the context of soil-transmitted helminth elimination. Pyrantel pamoate might be a useful alternative to prevent benzimidazole resistance; however, larger"&amp;" trials are needed to confirm this finding.")</f>
        <v>TDT with albendazole, pyrantel pamoate, and oxantel pamoate could make a difference, in particular in the context of soil-transmitted helminth elimination. Pyrantel pamoate might be a useful alternative to prevent benzimidazole resistance; however, larger trials are needed to confirm this finding.</v>
      </c>
      <c r="CT271" s="883" t="str">
        <f>IFERROR(__xludf.DUMMYFUNCTION("""COMPUTED_VALUE"""),"Kato-Katz technique")</f>
        <v>Kato-Katz technique</v>
      </c>
      <c r="CU271" s="883"/>
      <c r="CV271" s="863"/>
      <c r="CW271" s="863"/>
      <c r="CX271" s="863"/>
      <c r="CY271" s="863"/>
      <c r="CZ271" s="863"/>
      <c r="DA271" s="863"/>
      <c r="DB271" s="863"/>
      <c r="DC271" s="863"/>
      <c r="DD271" s="863"/>
      <c r="DE271" s="863"/>
    </row>
    <row r="272">
      <c r="A272" s="876"/>
      <c r="B272" s="876"/>
      <c r="C272" s="876"/>
      <c r="D272" s="876"/>
      <c r="E272" s="876"/>
      <c r="F272" s="876"/>
      <c r="G272" s="876"/>
      <c r="H272" s="876"/>
      <c r="I272" s="876"/>
      <c r="J272" s="876"/>
      <c r="K272" s="876"/>
      <c r="L272" s="876"/>
      <c r="M272" s="876"/>
      <c r="N272" s="877"/>
      <c r="O272" s="876"/>
      <c r="P272" s="876"/>
      <c r="Q272" s="876"/>
      <c r="R272" s="876"/>
      <c r="S272" s="876"/>
      <c r="T272" s="876"/>
      <c r="U272" s="876"/>
      <c r="V272" s="876"/>
      <c r="W272" s="876"/>
      <c r="X272" s="876"/>
      <c r="Y272" s="876"/>
      <c r="Z272" s="876"/>
      <c r="AA272" s="876"/>
      <c r="AB272" s="876"/>
      <c r="AC272" s="876"/>
      <c r="AD272" s="876"/>
      <c r="AE272" s="876"/>
      <c r="AF272" s="876"/>
      <c r="AG272" s="876"/>
      <c r="AH272" s="876"/>
      <c r="AI272" s="878"/>
      <c r="AJ272" s="880"/>
      <c r="AK272" s="880"/>
      <c r="AL272" s="880"/>
      <c r="AM272" s="880"/>
      <c r="AN272" s="880"/>
      <c r="AO272" s="880"/>
      <c r="AP272" s="880"/>
      <c r="AQ272" s="880"/>
      <c r="AR272" s="880"/>
      <c r="AS272" s="880"/>
      <c r="AT272" s="880"/>
      <c r="AU272" s="880"/>
      <c r="AV272" s="880"/>
      <c r="AW272" s="881"/>
      <c r="AX272" s="863"/>
      <c r="AY272" s="863"/>
      <c r="AZ272" s="863"/>
      <c r="BA272" s="863"/>
      <c r="BB272" s="863"/>
      <c r="BC272" s="863"/>
      <c r="BD272" s="863"/>
      <c r="BE272" s="863"/>
      <c r="BF272" s="863"/>
      <c r="BG272" s="863"/>
      <c r="BH272" s="863"/>
      <c r="BI272" s="863"/>
      <c r="BJ272" s="863"/>
      <c r="BK272" s="863"/>
      <c r="BL272" s="863"/>
      <c r="BM272" s="863"/>
      <c r="BN272" s="863"/>
      <c r="BO272" s="863"/>
      <c r="BP272" s="880"/>
      <c r="BQ272" s="863"/>
      <c r="BR272" s="889" t="str">
        <f>IFERROR(__xludf.DUMMYFUNCTION("""COMPUTED_VALUE"""),"Moser et al.")</f>
        <v>Moser et al.</v>
      </c>
      <c r="BS272" s="883" t="str">
        <f>IFERROR(__xludf.DUMMYFUNCTION("""COMPUTED_VALUE"""),"Laos")</f>
        <v>Laos</v>
      </c>
      <c r="BT272" s="883" t="str">
        <f>IFERROR(__xludf.DUMMYFUNCTION("""COMPUTED_VALUE"""),"Albendazole &amp; Oxantel Pamoate")</f>
        <v>Albendazole &amp; Oxantel Pamoate</v>
      </c>
      <c r="BU272" s="883"/>
      <c r="BV272" s="883" t="str">
        <f>IFERROR(__xludf.DUMMYFUNCTION("""COMPUTED_VALUE"""),"Single")</f>
        <v>Single</v>
      </c>
      <c r="BW272" s="883" t="str">
        <f>IFERROR(__xludf.DUMMYFUNCTION("""COMPUTED_VALUE"""),"400 mg; 20 mg/kg")</f>
        <v>400 mg; 20 mg/kg</v>
      </c>
      <c r="BX272" s="895" t="str">
        <f>IFERROR(__xludf.DUMMYFUNCTION("""COMPUTED_VALUE"""),"24")</f>
        <v>24</v>
      </c>
      <c r="BY272" s="895" t="str">
        <f>IFERROR(__xludf.DUMMYFUNCTION("""COMPUTED_VALUE"""),"12.4")</f>
        <v>12.4</v>
      </c>
      <c r="BZ272" s="895" t="str">
        <f>IFERROR(__xludf.DUMMYFUNCTION("""COMPUTED_VALUE"""),"2017")</f>
        <v>2017</v>
      </c>
      <c r="CA272" s="883"/>
      <c r="CB272" s="883" t="str">
        <f>IFERROR(__xludf.DUMMYFUNCTION("""COMPUTED_VALUE"""),"Children were deemed eligible if they provided two stool samples and were hookworm positive (eggs per gram of stool [EPG] &gt;100), passed a physical and clinical examination, had no chronic illness, had no anthelmintic treatment in the past 4 weeks, and, if"&amp;" female, were not pregnant (≥12 years)")</f>
        <v>Children were deemed eligible if they provided two stool samples and were hookworm positive (eggs per gram of stool [EPG] &gt;100), passed a physical and clinical examination, had no chronic illness, had no anthelmintic treatment in the past 4 weeks, and, if female, were not pregnant (≥12 years)</v>
      </c>
      <c r="CC272" s="895" t="str">
        <f>IFERROR(__xludf.DUMMYFUNCTION("""COMPUTED_VALUE"""),"Yes")</f>
        <v>Yes</v>
      </c>
      <c r="CD272" s="884" t="str">
        <f>IFERROR(__xludf.DUMMYFUNCTION("""COMPUTED_VALUE"""),"95.8%")</f>
        <v>95.8%</v>
      </c>
      <c r="CE272" s="895" t="str">
        <f>IFERROR(__xludf.DUMMYFUNCTION("""COMPUTED_VALUE"""),"Yes")</f>
        <v>Yes</v>
      </c>
      <c r="CF272" s="883"/>
      <c r="CG272" s="883"/>
      <c r="CH272" s="883"/>
      <c r="CI272" s="883"/>
      <c r="CJ272" s="883"/>
      <c r="CK272" s="883"/>
      <c r="CL272" s="883"/>
      <c r="CM272" s="895" t="str">
        <f>IFERROR(__xludf.DUMMYFUNCTION("""COMPUTED_VALUE"""),"99.90%")</f>
        <v>99.90%</v>
      </c>
      <c r="CN272" s="883"/>
      <c r="CO272" s="883"/>
      <c r="CP272" s="883"/>
      <c r="CQ272" s="883"/>
      <c r="CR272" s="883"/>
      <c r="CS272" s="883" t="str">
        <f>IFERROR(__xludf.DUMMYFUNCTION("""COMPUTED_VALUE"""),"TDT with albendazole, pyrantel pamoate, and oxantel pamoate could make a difference, in particular in the context of soil-transmitted helminth elimination. Pyrantel pamoate might be a useful alternative to prevent benzimidazole resistance; however, larger"&amp;" trials are needed to confirm this finding.")</f>
        <v>TDT with albendazole, pyrantel pamoate, and oxantel pamoate could make a difference, in particular in the context of soil-transmitted helminth elimination. Pyrantel pamoate might be a useful alternative to prevent benzimidazole resistance; however, larger trials are needed to confirm this finding.</v>
      </c>
      <c r="CT272" s="883" t="str">
        <f>IFERROR(__xludf.DUMMYFUNCTION("""COMPUTED_VALUE"""),"Kato-Katz technique")</f>
        <v>Kato-Katz technique</v>
      </c>
      <c r="CU272" s="883"/>
      <c r="CV272" s="863"/>
      <c r="CW272" s="863"/>
      <c r="CX272" s="863"/>
      <c r="CY272" s="863"/>
      <c r="CZ272" s="863"/>
      <c r="DA272" s="863"/>
      <c r="DB272" s="863"/>
      <c r="DC272" s="863"/>
      <c r="DD272" s="863"/>
      <c r="DE272" s="863"/>
    </row>
    <row r="273">
      <c r="A273" s="876"/>
      <c r="B273" s="876"/>
      <c r="C273" s="876"/>
      <c r="D273" s="876"/>
      <c r="E273" s="876"/>
      <c r="F273" s="876"/>
      <c r="G273" s="876"/>
      <c r="H273" s="876"/>
      <c r="I273" s="876"/>
      <c r="J273" s="876"/>
      <c r="K273" s="876"/>
      <c r="L273" s="876"/>
      <c r="M273" s="876"/>
      <c r="N273" s="877"/>
      <c r="O273" s="876"/>
      <c r="P273" s="876"/>
      <c r="Q273" s="876"/>
      <c r="R273" s="876"/>
      <c r="S273" s="876"/>
      <c r="T273" s="876"/>
      <c r="U273" s="876"/>
      <c r="V273" s="876"/>
      <c r="W273" s="876"/>
      <c r="X273" s="876"/>
      <c r="Y273" s="876"/>
      <c r="Z273" s="876"/>
      <c r="AA273" s="876"/>
      <c r="AB273" s="876"/>
      <c r="AC273" s="876"/>
      <c r="AD273" s="876"/>
      <c r="AE273" s="876"/>
      <c r="AF273" s="876"/>
      <c r="AG273" s="876"/>
      <c r="AH273" s="876"/>
      <c r="AI273" s="878"/>
      <c r="AJ273" s="880"/>
      <c r="AK273" s="880"/>
      <c r="AL273" s="880"/>
      <c r="AM273" s="880"/>
      <c r="AN273" s="880"/>
      <c r="AO273" s="880"/>
      <c r="AP273" s="880"/>
      <c r="AQ273" s="880"/>
      <c r="AR273" s="880"/>
      <c r="AS273" s="880"/>
      <c r="AT273" s="880"/>
      <c r="AU273" s="880"/>
      <c r="AV273" s="880"/>
      <c r="AW273" s="881"/>
      <c r="AX273" s="863"/>
      <c r="AY273" s="863"/>
      <c r="AZ273" s="863"/>
      <c r="BA273" s="863"/>
      <c r="BB273" s="863"/>
      <c r="BC273" s="863"/>
      <c r="BD273" s="863"/>
      <c r="BE273" s="863"/>
      <c r="BF273" s="863"/>
      <c r="BG273" s="863"/>
      <c r="BH273" s="863"/>
      <c r="BI273" s="863"/>
      <c r="BJ273" s="863"/>
      <c r="BK273" s="863"/>
      <c r="BL273" s="863"/>
      <c r="BM273" s="863"/>
      <c r="BN273" s="863"/>
      <c r="BO273" s="863"/>
      <c r="BP273" s="880"/>
      <c r="BQ273" s="863"/>
      <c r="BR273" s="889" t="str">
        <f>IFERROR(__xludf.DUMMYFUNCTION("""COMPUTED_VALUE"""),"Moser et al.")</f>
        <v>Moser et al.</v>
      </c>
      <c r="BS273" s="883" t="str">
        <f>IFERROR(__xludf.DUMMYFUNCTION("""COMPUTED_VALUE"""),"Laos")</f>
        <v>Laos</v>
      </c>
      <c r="BT273" s="883" t="str">
        <f>IFERROR(__xludf.DUMMYFUNCTION("""COMPUTED_VALUE"""),"Pyrantel Pamoate &amp; Oxantel Pamoate")</f>
        <v>Pyrantel Pamoate &amp; Oxantel Pamoate</v>
      </c>
      <c r="BU273" s="883"/>
      <c r="BV273" s="883" t="str">
        <f>IFERROR(__xludf.DUMMYFUNCTION("""COMPUTED_VALUE"""),"Single")</f>
        <v>Single</v>
      </c>
      <c r="BW273" s="883" t="str">
        <f>IFERROR(__xludf.DUMMYFUNCTION("""COMPUTED_VALUE"""),"20 mg/kg; 20 mg/kg ")</f>
        <v>20 mg/kg; 20 mg/kg </v>
      </c>
      <c r="BX273" s="895" t="str">
        <f>IFERROR(__xludf.DUMMYFUNCTION("""COMPUTED_VALUE"""),"13")</f>
        <v>13</v>
      </c>
      <c r="BY273" s="895" t="str">
        <f>IFERROR(__xludf.DUMMYFUNCTION("""COMPUTED_VALUE"""),"12.4")</f>
        <v>12.4</v>
      </c>
      <c r="BZ273" s="895" t="str">
        <f>IFERROR(__xludf.DUMMYFUNCTION("""COMPUTED_VALUE"""),"2017")</f>
        <v>2017</v>
      </c>
      <c r="CA273" s="883"/>
      <c r="CB273" s="883" t="str">
        <f>IFERROR(__xludf.DUMMYFUNCTION("""COMPUTED_VALUE"""),"Children were deemed eligible if they provided two stool samples and were hookworm positive (eggs per gram of stool [EPG] &gt;100), passed a physical and clinical examination, had no chronic illness, had no anthelmintic treatment in the past 4 weeks, and, if"&amp;" female, were not pregnant (≥12 years)")</f>
        <v>Children were deemed eligible if they provided two stool samples and were hookworm positive (eggs per gram of stool [EPG] &gt;100), passed a physical and clinical examination, had no chronic illness, had no anthelmintic treatment in the past 4 weeks, and, if female, were not pregnant (≥12 years)</v>
      </c>
      <c r="CC273" s="895" t="str">
        <f>IFERROR(__xludf.DUMMYFUNCTION("""COMPUTED_VALUE"""),"Yes")</f>
        <v>Yes</v>
      </c>
      <c r="CD273" s="884" t="str">
        <f>IFERROR(__xludf.DUMMYFUNCTION("""COMPUTED_VALUE"""),"100.00%")</f>
        <v>100.00%</v>
      </c>
      <c r="CE273" s="895" t="str">
        <f>IFERROR(__xludf.DUMMYFUNCTION("""COMPUTED_VALUE"""),"Yes")</f>
        <v>Yes</v>
      </c>
      <c r="CF273" s="883"/>
      <c r="CG273" s="883"/>
      <c r="CH273" s="883"/>
      <c r="CI273" s="883"/>
      <c r="CJ273" s="883"/>
      <c r="CK273" s="883"/>
      <c r="CL273" s="883"/>
      <c r="CM273" s="895" t="str">
        <f>IFERROR(__xludf.DUMMYFUNCTION("""COMPUTED_VALUE"""),"100.00%")</f>
        <v>100.00%</v>
      </c>
      <c r="CN273" s="883"/>
      <c r="CO273" s="883"/>
      <c r="CP273" s="883"/>
      <c r="CQ273" s="883"/>
      <c r="CR273" s="883"/>
      <c r="CS273" s="883" t="str">
        <f>IFERROR(__xludf.DUMMYFUNCTION("""COMPUTED_VALUE"""),"TDT with albendazole, pyrantel pamoate, and oxantel pamoate could make a difference, in particular in the context of soil-transmitted helminth elimination. Pyrantel pamoate might be a useful alternative to prevent benzimidazole resistance; however, larger"&amp;" trials are needed to confirm this finding.")</f>
        <v>TDT with albendazole, pyrantel pamoate, and oxantel pamoate could make a difference, in particular in the context of soil-transmitted helminth elimination. Pyrantel pamoate might be a useful alternative to prevent benzimidazole resistance; however, larger trials are needed to confirm this finding.</v>
      </c>
      <c r="CT273" s="883" t="str">
        <f>IFERROR(__xludf.DUMMYFUNCTION("""COMPUTED_VALUE"""),"Kato-Katz technique")</f>
        <v>Kato-Katz technique</v>
      </c>
      <c r="CU273" s="883"/>
      <c r="CV273" s="863"/>
      <c r="CW273" s="863"/>
      <c r="CX273" s="863"/>
      <c r="CY273" s="863"/>
      <c r="CZ273" s="863"/>
      <c r="DA273" s="863"/>
      <c r="DB273" s="863"/>
      <c r="DC273" s="863"/>
      <c r="DD273" s="863"/>
      <c r="DE273" s="863"/>
    </row>
    <row r="274">
      <c r="A274" s="876"/>
      <c r="B274" s="876"/>
      <c r="C274" s="876"/>
      <c r="D274" s="876"/>
      <c r="E274" s="876"/>
      <c r="F274" s="876"/>
      <c r="G274" s="876"/>
      <c r="H274" s="876"/>
      <c r="I274" s="876"/>
      <c r="J274" s="876"/>
      <c r="K274" s="876"/>
      <c r="L274" s="876"/>
      <c r="M274" s="876"/>
      <c r="N274" s="877"/>
      <c r="O274" s="876"/>
      <c r="P274" s="876"/>
      <c r="Q274" s="876"/>
      <c r="R274" s="876"/>
      <c r="S274" s="876"/>
      <c r="T274" s="876"/>
      <c r="U274" s="876"/>
      <c r="V274" s="876"/>
      <c r="W274" s="876"/>
      <c r="X274" s="876"/>
      <c r="Y274" s="876"/>
      <c r="Z274" s="876"/>
      <c r="AA274" s="876"/>
      <c r="AB274" s="876"/>
      <c r="AC274" s="876"/>
      <c r="AD274" s="876"/>
      <c r="AE274" s="876"/>
      <c r="AF274" s="876"/>
      <c r="AG274" s="876"/>
      <c r="AH274" s="876"/>
      <c r="AI274" s="878"/>
      <c r="AJ274" s="880"/>
      <c r="AK274" s="880"/>
      <c r="AL274" s="880"/>
      <c r="AM274" s="880"/>
      <c r="AN274" s="880"/>
      <c r="AO274" s="880"/>
      <c r="AP274" s="880"/>
      <c r="AQ274" s="880"/>
      <c r="AR274" s="880"/>
      <c r="AS274" s="880"/>
      <c r="AT274" s="880"/>
      <c r="AU274" s="880"/>
      <c r="AV274" s="880"/>
      <c r="AW274" s="881"/>
      <c r="AX274" s="863"/>
      <c r="AY274" s="863"/>
      <c r="AZ274" s="863"/>
      <c r="BA274" s="863"/>
      <c r="BB274" s="863"/>
      <c r="BC274" s="863"/>
      <c r="BD274" s="863"/>
      <c r="BE274" s="863"/>
      <c r="BF274" s="863"/>
      <c r="BG274" s="863"/>
      <c r="BH274" s="863"/>
      <c r="BI274" s="863"/>
      <c r="BJ274" s="863"/>
      <c r="BK274" s="863"/>
      <c r="BL274" s="863"/>
      <c r="BM274" s="863"/>
      <c r="BN274" s="863"/>
      <c r="BO274" s="863"/>
      <c r="BP274" s="880"/>
      <c r="BQ274" s="863"/>
      <c r="BR274" s="889" t="str">
        <f>IFERROR(__xludf.DUMMYFUNCTION("""COMPUTED_VALUE"""),"Moser et al.")</f>
        <v>Moser et al.</v>
      </c>
      <c r="BS274" s="883" t="str">
        <f>IFERROR(__xludf.DUMMYFUNCTION("""COMPUTED_VALUE"""),"Laos")</f>
        <v>Laos</v>
      </c>
      <c r="BT274" s="883" t="str">
        <f>IFERROR(__xludf.DUMMYFUNCTION("""COMPUTED_VALUE"""),"Mebendazole &amp; Pyrantel Pamoate &amp; Oxantel Pamoate")</f>
        <v>Mebendazole &amp; Pyrantel Pamoate &amp; Oxantel Pamoate</v>
      </c>
      <c r="BU274" s="883"/>
      <c r="BV274" s="883" t="str">
        <f>IFERROR(__xludf.DUMMYFUNCTION("""COMPUTED_VALUE"""),"Single")</f>
        <v>Single</v>
      </c>
      <c r="BW274" s="883" t="str">
        <f>IFERROR(__xludf.DUMMYFUNCTION("""COMPUTED_VALUE"""),"500 mg; 20 mg/kg; 20 mg/kg")</f>
        <v>500 mg; 20 mg/kg; 20 mg/kg</v>
      </c>
      <c r="BX274" s="895" t="str">
        <f>IFERROR(__xludf.DUMMYFUNCTION("""COMPUTED_VALUE"""),"15")</f>
        <v>15</v>
      </c>
      <c r="BY274" s="895" t="str">
        <f>IFERROR(__xludf.DUMMYFUNCTION("""COMPUTED_VALUE"""),"12.2")</f>
        <v>12.2</v>
      </c>
      <c r="BZ274" s="895" t="str">
        <f>IFERROR(__xludf.DUMMYFUNCTION("""COMPUTED_VALUE"""),"2017")</f>
        <v>2017</v>
      </c>
      <c r="CA274" s="883"/>
      <c r="CB274" s="883" t="str">
        <f>IFERROR(__xludf.DUMMYFUNCTION("""COMPUTED_VALUE"""),"Children were deemed eligible if they provided two stool samples and were hookworm positive (eggs per gram of stool [EPG] &gt;100), passed a physical and clinical examination, had no chronic illness, had no anthelmintic treatment in the past 4 weeks, and, if"&amp;" female, were not pregnant (≥12 years)")</f>
        <v>Children were deemed eligible if they provided two stool samples and were hookworm positive (eggs per gram of stool [EPG] &gt;100), passed a physical and clinical examination, had no chronic illness, had no anthelmintic treatment in the past 4 weeks, and, if female, were not pregnant (≥12 years)</v>
      </c>
      <c r="CC274" s="895" t="str">
        <f>IFERROR(__xludf.DUMMYFUNCTION("""COMPUTED_VALUE"""),"Yes")</f>
        <v>Yes</v>
      </c>
      <c r="CD274" s="884" t="str">
        <f>IFERROR(__xludf.DUMMYFUNCTION("""COMPUTED_VALUE"""),"100.00%")</f>
        <v>100.00%</v>
      </c>
      <c r="CE274" s="895" t="str">
        <f>IFERROR(__xludf.DUMMYFUNCTION("""COMPUTED_VALUE"""),"Yes")</f>
        <v>Yes</v>
      </c>
      <c r="CF274" s="883"/>
      <c r="CG274" s="883"/>
      <c r="CH274" s="883"/>
      <c r="CI274" s="883"/>
      <c r="CJ274" s="883"/>
      <c r="CK274" s="883"/>
      <c r="CL274" s="883"/>
      <c r="CM274" s="895" t="str">
        <f>IFERROR(__xludf.DUMMYFUNCTION("""COMPUTED_VALUE"""),"100.00%")</f>
        <v>100.00%</v>
      </c>
      <c r="CN274" s="883"/>
      <c r="CO274" s="883"/>
      <c r="CP274" s="883"/>
      <c r="CQ274" s="883"/>
      <c r="CR274" s="883"/>
      <c r="CS274" s="883" t="str">
        <f>IFERROR(__xludf.DUMMYFUNCTION("""COMPUTED_VALUE"""),"TDT with albendazole, pyrantel pamoate, and oxantel pamoate could make a difference, in particular in the context of soil-transmitted helminth elimination. Pyrantel pamoate might be a useful alternative to prevent benzimidazole resistance; however, larger"&amp;" trials are needed to confirm this finding.")</f>
        <v>TDT with albendazole, pyrantel pamoate, and oxantel pamoate could make a difference, in particular in the context of soil-transmitted helminth elimination. Pyrantel pamoate might be a useful alternative to prevent benzimidazole resistance; however, larger trials are needed to confirm this finding.</v>
      </c>
      <c r="CT274" s="883" t="str">
        <f>IFERROR(__xludf.DUMMYFUNCTION("""COMPUTED_VALUE"""),"Kato-Katz technique")</f>
        <v>Kato-Katz technique</v>
      </c>
      <c r="CU274" s="883"/>
      <c r="CV274" s="863"/>
      <c r="CW274" s="863"/>
      <c r="CX274" s="863"/>
      <c r="CY274" s="863"/>
      <c r="CZ274" s="863"/>
      <c r="DA274" s="863"/>
      <c r="DB274" s="863"/>
      <c r="DC274" s="863"/>
      <c r="DD274" s="863"/>
      <c r="DE274" s="863"/>
    </row>
    <row r="275">
      <c r="A275" s="876"/>
      <c r="B275" s="876"/>
      <c r="C275" s="876"/>
      <c r="D275" s="876"/>
      <c r="E275" s="876"/>
      <c r="F275" s="876"/>
      <c r="G275" s="876"/>
      <c r="H275" s="876"/>
      <c r="I275" s="876"/>
      <c r="J275" s="876"/>
      <c r="K275" s="876"/>
      <c r="L275" s="876"/>
      <c r="M275" s="876"/>
      <c r="N275" s="877"/>
      <c r="O275" s="876"/>
      <c r="P275" s="876"/>
      <c r="Q275" s="876"/>
      <c r="R275" s="876"/>
      <c r="S275" s="876"/>
      <c r="T275" s="876"/>
      <c r="U275" s="876"/>
      <c r="V275" s="876"/>
      <c r="W275" s="876"/>
      <c r="X275" s="876"/>
      <c r="Y275" s="876"/>
      <c r="Z275" s="876"/>
      <c r="AA275" s="876"/>
      <c r="AB275" s="876"/>
      <c r="AC275" s="876"/>
      <c r="AD275" s="876"/>
      <c r="AE275" s="876"/>
      <c r="AF275" s="876"/>
      <c r="AG275" s="876"/>
      <c r="AH275" s="876"/>
      <c r="AI275" s="878"/>
      <c r="AJ275" s="880"/>
      <c r="AK275" s="880"/>
      <c r="AL275" s="880"/>
      <c r="AM275" s="880"/>
      <c r="AN275" s="880"/>
      <c r="AO275" s="880"/>
      <c r="AP275" s="880"/>
      <c r="AQ275" s="880"/>
      <c r="AR275" s="880"/>
      <c r="AS275" s="880"/>
      <c r="AT275" s="880"/>
      <c r="AU275" s="880"/>
      <c r="AV275" s="880"/>
      <c r="AW275" s="881"/>
      <c r="AX275" s="863"/>
      <c r="AY275" s="863"/>
      <c r="AZ275" s="863"/>
      <c r="BA275" s="863"/>
      <c r="BB275" s="863"/>
      <c r="BC275" s="863"/>
      <c r="BD275" s="863"/>
      <c r="BE275" s="863"/>
      <c r="BF275" s="863"/>
      <c r="BG275" s="863"/>
      <c r="BH275" s="863"/>
      <c r="BI275" s="863"/>
      <c r="BJ275" s="863"/>
      <c r="BK275" s="863"/>
      <c r="BL275" s="863"/>
      <c r="BM275" s="863"/>
      <c r="BN275" s="863"/>
      <c r="BO275" s="863"/>
      <c r="BP275" s="880"/>
      <c r="BQ275" s="863"/>
      <c r="BR275" s="889" t="str">
        <f>IFERROR(__xludf.DUMMYFUNCTION("""COMPUTED_VALUE"""),"Speich et al.")</f>
        <v>Speich et al.</v>
      </c>
      <c r="BS275" s="883" t="str">
        <f>IFERROR(__xludf.DUMMYFUNCTION("""COMPUTED_VALUE"""),"Tanziana")</f>
        <v>Tanziana</v>
      </c>
      <c r="BT275" s="883" t="str">
        <f>IFERROR(__xludf.DUMMYFUNCTION("""COMPUTED_VALUE"""),"Oxantel Pamoate &amp; Albendazole")</f>
        <v>Oxantel Pamoate &amp; Albendazole</v>
      </c>
      <c r="BU275" s="883"/>
      <c r="BV275" s="883" t="str">
        <f>IFERROR(__xludf.DUMMYFUNCTION("""COMPUTED_VALUE"""),"Single")</f>
        <v>Single</v>
      </c>
      <c r="BW275" s="883" t="str">
        <f>IFERROR(__xludf.DUMMYFUNCTION("""COMPUTED_VALUE"""),"20 mg/kg; 400 mg")</f>
        <v>20 mg/kg; 400 mg</v>
      </c>
      <c r="BX275" s="895" t="str">
        <f>IFERROR(__xludf.DUMMYFUNCTION("""COMPUTED_VALUE"""),"119")</f>
        <v>119</v>
      </c>
      <c r="BY275" s="895" t="str">
        <f>IFERROR(__xludf.DUMMYFUNCTION("""COMPUTED_VALUE"""),"9.6")</f>
        <v>9.6</v>
      </c>
      <c r="BZ275" s="895" t="str">
        <f>IFERROR(__xludf.DUMMYFUNCTION("""COMPUTED_VALUE"""),"2012")</f>
        <v>2012</v>
      </c>
      <c r="CA275" s="895" t="str">
        <f>IFERROR(__xludf.DUMMYFUNCTION("""COMPUTED_VALUE"""),"61M:58F")</f>
        <v>61M:58F</v>
      </c>
      <c r="CB275" s="883" t="str">
        <f>IFERROR(__xludf.DUMMYFUNCTION("""COMPUTED_VALUE"""),"Children from 6 to 14 years of age provided two stool samples and children positive for roundworm were considered eligible for inclusion. Additionally, the researchers were required to obtain written informed consent from all the parents ro guardians adn "&amp;"all the children must provide verbal assent")</f>
        <v>Children from 6 to 14 years of age provided two stool samples and children positive for roundworm were considered eligible for inclusion. Additionally, the researchers were required to obtain written informed consent from all the parents ro guardians adn all the children must provide verbal assent</v>
      </c>
      <c r="CC275" s="895" t="str">
        <f>IFERROR(__xludf.DUMMYFUNCTION("""COMPUTED_VALUE"""),"Yes")</f>
        <v>Yes</v>
      </c>
      <c r="CD275" s="884" t="str">
        <f>IFERROR(__xludf.DUMMYFUNCTION("""COMPUTED_VALUE"""),"94.40%")</f>
        <v>94.40%</v>
      </c>
      <c r="CE275" s="895" t="str">
        <f>IFERROR(__xludf.DUMMYFUNCTION("""COMPUTED_VALUE"""),"Yes")</f>
        <v>Yes</v>
      </c>
      <c r="CF275" s="883"/>
      <c r="CG275" s="883"/>
      <c r="CH275" s="883"/>
      <c r="CI275" s="883"/>
      <c r="CJ275" s="883"/>
      <c r="CK275" s="883"/>
      <c r="CL275" s="883"/>
      <c r="CM275" s="895" t="str">
        <f>IFERROR(__xludf.DUMMYFUNCTION("""COMPUTED_VALUE"""),"99.98%")</f>
        <v>99.98%</v>
      </c>
      <c r="CN275" s="883"/>
      <c r="CO275" s="883"/>
      <c r="CP275" s="883"/>
      <c r="CQ275" s="883"/>
      <c r="CR275" s="883"/>
      <c r="CS275" s="883" t="str">
        <f>IFERROR(__xludf.DUMMYFUNCTION("""COMPUTED_VALUE"""),"The combination of oxantel pamoate and albendazole had a significantly higher efficacy compared to just oxantel pamoate. Hence, Oxantel pamoate with the combination of albendazole could be useful in the global stratefy for the control of soil-transmitted "&amp;"helminthiasis")</f>
        <v>The combination of oxantel pamoate and albendazole had a significantly higher efficacy compared to just oxantel pamoate. Hence, Oxantel pamoate with the combination of albendazole could be useful in the global stratefy for the control of soil-transmitted helminthiasis</v>
      </c>
      <c r="CT275" s="883" t="str">
        <f>IFERROR(__xludf.DUMMYFUNCTION("""COMPUTED_VALUE"""),"Kato-Katz technique")</f>
        <v>Kato-Katz technique</v>
      </c>
      <c r="CU275" s="883"/>
      <c r="CV275" s="863"/>
      <c r="CW275" s="863"/>
      <c r="CX275" s="863"/>
      <c r="CY275" s="863"/>
      <c r="CZ275" s="863"/>
      <c r="DA275" s="863"/>
      <c r="DB275" s="863"/>
      <c r="DC275" s="863"/>
      <c r="DD275" s="863"/>
      <c r="DE275" s="863"/>
    </row>
    <row r="276">
      <c r="A276" s="876"/>
      <c r="B276" s="876"/>
      <c r="C276" s="876"/>
      <c r="D276" s="876"/>
      <c r="E276" s="876"/>
      <c r="F276" s="876"/>
      <c r="G276" s="876"/>
      <c r="H276" s="876"/>
      <c r="I276" s="876"/>
      <c r="J276" s="876"/>
      <c r="K276" s="876"/>
      <c r="L276" s="876"/>
      <c r="M276" s="876"/>
      <c r="N276" s="877"/>
      <c r="O276" s="876"/>
      <c r="P276" s="876"/>
      <c r="Q276" s="876"/>
      <c r="R276" s="876"/>
      <c r="S276" s="876"/>
      <c r="T276" s="876"/>
      <c r="U276" s="876"/>
      <c r="V276" s="876"/>
      <c r="W276" s="876"/>
      <c r="X276" s="876"/>
      <c r="Y276" s="876"/>
      <c r="Z276" s="876"/>
      <c r="AA276" s="876"/>
      <c r="AB276" s="876"/>
      <c r="AC276" s="876"/>
      <c r="AD276" s="876"/>
      <c r="AE276" s="876"/>
      <c r="AF276" s="876"/>
      <c r="AG276" s="876"/>
      <c r="AH276" s="876"/>
      <c r="AI276" s="878"/>
      <c r="AJ276" s="880"/>
      <c r="AK276" s="880"/>
      <c r="AL276" s="880"/>
      <c r="AM276" s="880"/>
      <c r="AN276" s="880"/>
      <c r="AO276" s="880"/>
      <c r="AP276" s="880"/>
      <c r="AQ276" s="880"/>
      <c r="AR276" s="880"/>
      <c r="AS276" s="880"/>
      <c r="AT276" s="880"/>
      <c r="AU276" s="880"/>
      <c r="AV276" s="880"/>
      <c r="AW276" s="881"/>
      <c r="AX276" s="863"/>
      <c r="AY276" s="863"/>
      <c r="AZ276" s="863"/>
      <c r="BA276" s="863"/>
      <c r="BB276" s="863"/>
      <c r="BC276" s="863"/>
      <c r="BD276" s="863"/>
      <c r="BE276" s="863"/>
      <c r="BF276" s="863"/>
      <c r="BG276" s="863"/>
      <c r="BH276" s="863"/>
      <c r="BI276" s="863"/>
      <c r="BJ276" s="863"/>
      <c r="BK276" s="863"/>
      <c r="BL276" s="863"/>
      <c r="BM276" s="863"/>
      <c r="BN276" s="863"/>
      <c r="BO276" s="863"/>
      <c r="BP276" s="880"/>
      <c r="BQ276" s="863"/>
      <c r="BR276" s="889" t="str">
        <f>IFERROR(__xludf.DUMMYFUNCTION("""COMPUTED_VALUE"""),"Speich et al.")</f>
        <v>Speich et al.</v>
      </c>
      <c r="BS276" s="883" t="str">
        <f>IFERROR(__xludf.DUMMYFUNCTION("""COMPUTED_VALUE"""),"Tanziana")</f>
        <v>Tanziana</v>
      </c>
      <c r="BT276" s="883" t="str">
        <f>IFERROR(__xludf.DUMMYFUNCTION("""COMPUTED_VALUE"""),"Oxantel Pamoate")</f>
        <v>Oxantel Pamoate</v>
      </c>
      <c r="BU276" s="883"/>
      <c r="BV276" s="883" t="str">
        <f>IFERROR(__xludf.DUMMYFUNCTION("""COMPUTED_VALUE"""),"Single")</f>
        <v>Single</v>
      </c>
      <c r="BW276" s="883" t="str">
        <f>IFERROR(__xludf.DUMMYFUNCTION("""COMPUTED_VALUE"""),"20 mg/kg")</f>
        <v>20 mg/kg</v>
      </c>
      <c r="BX276" s="895" t="str">
        <f>IFERROR(__xludf.DUMMYFUNCTION("""COMPUTED_VALUE"""),"121")</f>
        <v>121</v>
      </c>
      <c r="BY276" s="895" t="str">
        <f>IFERROR(__xludf.DUMMYFUNCTION("""COMPUTED_VALUE"""),"9.9")</f>
        <v>9.9</v>
      </c>
      <c r="BZ276" s="895" t="str">
        <f>IFERROR(__xludf.DUMMYFUNCTION("""COMPUTED_VALUE"""),"2012")</f>
        <v>2012</v>
      </c>
      <c r="CA276" s="895" t="str">
        <f>IFERROR(__xludf.DUMMYFUNCTION("""COMPUTED_VALUE"""),"62M:59F")</f>
        <v>62M:59F</v>
      </c>
      <c r="CB276" s="883" t="str">
        <f>IFERROR(__xludf.DUMMYFUNCTION("""COMPUTED_VALUE"""),"Children from 6 to 14 years of age provided two stool samples and children positive for roundworm were considered eligible for inclusion. Additionally, the researchers were required to obtain written informed consent from all the parents ro guardians adn "&amp;"all the children must provide verbal assent")</f>
        <v>Children from 6 to 14 years of age provided two stool samples and children positive for roundworm were considered eligible for inclusion. Additionally, the researchers were required to obtain written informed consent from all the parents ro guardians adn all the children must provide verbal assent</v>
      </c>
      <c r="CC276" s="895" t="str">
        <f>IFERROR(__xludf.DUMMYFUNCTION("""COMPUTED_VALUE"""),"Yes")</f>
        <v>Yes</v>
      </c>
      <c r="CD276" s="884" t="str">
        <f>IFERROR(__xludf.DUMMYFUNCTION("""COMPUTED_VALUE"""),"10.10%")</f>
        <v>10.10%</v>
      </c>
      <c r="CE276" s="895" t="str">
        <f>IFERROR(__xludf.DUMMYFUNCTION("""COMPUTED_VALUE"""),"Yes")</f>
        <v>Yes</v>
      </c>
      <c r="CF276" s="883"/>
      <c r="CG276" s="883"/>
      <c r="CH276" s="883"/>
      <c r="CI276" s="883"/>
      <c r="CJ276" s="883"/>
      <c r="CK276" s="883"/>
      <c r="CL276" s="883"/>
      <c r="CM276" s="895" t="str">
        <f>IFERROR(__xludf.DUMMYFUNCTION("""COMPUTED_VALUE"""),"28.4%")</f>
        <v>28.4%</v>
      </c>
      <c r="CN276" s="883"/>
      <c r="CO276" s="883"/>
      <c r="CP276" s="883"/>
      <c r="CQ276" s="883"/>
      <c r="CR276" s="883"/>
      <c r="CS276" s="883" t="str">
        <f>IFERROR(__xludf.DUMMYFUNCTION("""COMPUTED_VALUE"""),"The combination of oxantel pamoate and albendazole had a significantly higher efficacy compared to just oxantel pamoate. Hence, Oxantel pamoate with the combination of albendazole could be useful in the global stratefy for the control of soil-transmitted "&amp;"helminthiasis")</f>
        <v>The combination of oxantel pamoate and albendazole had a significantly higher efficacy compared to just oxantel pamoate. Hence, Oxantel pamoate with the combination of albendazole could be useful in the global stratefy for the control of soil-transmitted helminthiasis</v>
      </c>
      <c r="CT276" s="883" t="str">
        <f>IFERROR(__xludf.DUMMYFUNCTION("""COMPUTED_VALUE"""),"Kato-Katz technique")</f>
        <v>Kato-Katz technique</v>
      </c>
      <c r="CU276" s="883"/>
      <c r="CV276" s="863"/>
      <c r="CW276" s="863"/>
      <c r="CX276" s="863"/>
      <c r="CY276" s="863"/>
      <c r="CZ276" s="863"/>
      <c r="DA276" s="863"/>
      <c r="DB276" s="863"/>
      <c r="DC276" s="863"/>
      <c r="DD276" s="863"/>
      <c r="DE276" s="863"/>
    </row>
    <row r="277">
      <c r="A277" s="876"/>
      <c r="B277" s="876"/>
      <c r="C277" s="876"/>
      <c r="D277" s="876"/>
      <c r="E277" s="876"/>
      <c r="F277" s="876"/>
      <c r="G277" s="876"/>
      <c r="H277" s="876"/>
      <c r="I277" s="876"/>
      <c r="J277" s="876"/>
      <c r="K277" s="876"/>
      <c r="L277" s="876"/>
      <c r="M277" s="876"/>
      <c r="N277" s="877"/>
      <c r="O277" s="876"/>
      <c r="P277" s="876"/>
      <c r="Q277" s="876"/>
      <c r="R277" s="876"/>
      <c r="S277" s="876"/>
      <c r="T277" s="876"/>
      <c r="U277" s="876"/>
      <c r="V277" s="876"/>
      <c r="W277" s="876"/>
      <c r="X277" s="876"/>
      <c r="Y277" s="876"/>
      <c r="Z277" s="876"/>
      <c r="AA277" s="876"/>
      <c r="AB277" s="876"/>
      <c r="AC277" s="876"/>
      <c r="AD277" s="876"/>
      <c r="AE277" s="876"/>
      <c r="AF277" s="876"/>
      <c r="AG277" s="876"/>
      <c r="AH277" s="876"/>
      <c r="AI277" s="878"/>
      <c r="AJ277" s="880"/>
      <c r="AK277" s="880"/>
      <c r="AL277" s="880"/>
      <c r="AM277" s="880"/>
      <c r="AN277" s="880"/>
      <c r="AO277" s="880"/>
      <c r="AP277" s="880"/>
      <c r="AQ277" s="880"/>
      <c r="AR277" s="880"/>
      <c r="AS277" s="880"/>
      <c r="AT277" s="880"/>
      <c r="AU277" s="880"/>
      <c r="AV277" s="880"/>
      <c r="AW277" s="881"/>
      <c r="AX277" s="863"/>
      <c r="AY277" s="863"/>
      <c r="AZ277" s="863"/>
      <c r="BA277" s="863"/>
      <c r="BB277" s="863"/>
      <c r="BC277" s="863"/>
      <c r="BD277" s="863"/>
      <c r="BE277" s="863"/>
      <c r="BF277" s="863"/>
      <c r="BG277" s="863"/>
      <c r="BH277" s="863"/>
      <c r="BI277" s="863"/>
      <c r="BJ277" s="863"/>
      <c r="BK277" s="863"/>
      <c r="BL277" s="863"/>
      <c r="BM277" s="863"/>
      <c r="BN277" s="863"/>
      <c r="BO277" s="863"/>
      <c r="BP277" s="880"/>
      <c r="BQ277" s="863"/>
      <c r="BR277" s="889" t="str">
        <f>IFERROR(__xludf.DUMMYFUNCTION("""COMPUTED_VALUE"""),"Speich et al.")</f>
        <v>Speich et al.</v>
      </c>
      <c r="BS277" s="883" t="str">
        <f>IFERROR(__xludf.DUMMYFUNCTION("""COMPUTED_VALUE"""),"Tanziana")</f>
        <v>Tanziana</v>
      </c>
      <c r="BT277" s="883" t="str">
        <f>IFERROR(__xludf.DUMMYFUNCTION("""COMPUTED_VALUE"""),"Albendazole")</f>
        <v>Albendazole</v>
      </c>
      <c r="BU277" s="883"/>
      <c r="BV277" s="883" t="str">
        <f>IFERROR(__xludf.DUMMYFUNCTION("""COMPUTED_VALUE"""),"Single")</f>
        <v>Single</v>
      </c>
      <c r="BW277" s="883" t="str">
        <f>IFERROR(__xludf.DUMMYFUNCTION("""COMPUTED_VALUE"""),"400 mg")</f>
        <v>400 mg</v>
      </c>
      <c r="BX277" s="895" t="str">
        <f>IFERROR(__xludf.DUMMYFUNCTION("""COMPUTED_VALUE"""),"120")</f>
        <v>120</v>
      </c>
      <c r="BY277" s="895" t="str">
        <f>IFERROR(__xludf.DUMMYFUNCTION("""COMPUTED_VALUE"""),"9.9")</f>
        <v>9.9</v>
      </c>
      <c r="BZ277" s="895" t="str">
        <f>IFERROR(__xludf.DUMMYFUNCTION("""COMPUTED_VALUE"""),"2012")</f>
        <v>2012</v>
      </c>
      <c r="CA277" s="895" t="str">
        <f>IFERROR(__xludf.DUMMYFUNCTION("""COMPUTED_VALUE"""),"65M:55F")</f>
        <v>65M:55F</v>
      </c>
      <c r="CB277" s="883" t="str">
        <f>IFERROR(__xludf.DUMMYFUNCTION("""COMPUTED_VALUE"""),"Children from 6 to 14 years of age provided two stool samples and children positive for roundworm were considered eligible for inclusion. Additionally, the researchers were required to obtain written informed consent from all the parents ro guardians adn "&amp;"all the children must provide verbal assent")</f>
        <v>Children from 6 to 14 years of age provided two stool samples and children positive for roundworm were considered eligible for inclusion. Additionally, the researchers were required to obtain written informed consent from all the parents ro guardians adn all the children must provide verbal assent</v>
      </c>
      <c r="CC277" s="895" t="str">
        <f>IFERROR(__xludf.DUMMYFUNCTION("""COMPUTED_VALUE"""),"Yes")</f>
        <v>Yes</v>
      </c>
      <c r="CD277" s="884" t="str">
        <f>IFERROR(__xludf.DUMMYFUNCTION("""COMPUTED_VALUE"""),"92.00%")</f>
        <v>92.00%</v>
      </c>
      <c r="CE277" s="895" t="str">
        <f>IFERROR(__xludf.DUMMYFUNCTION("""COMPUTED_VALUE"""),"Yes")</f>
        <v>Yes</v>
      </c>
      <c r="CF277" s="883"/>
      <c r="CG277" s="883"/>
      <c r="CH277" s="883"/>
      <c r="CI277" s="883"/>
      <c r="CJ277" s="883"/>
      <c r="CK277" s="883"/>
      <c r="CL277" s="883"/>
      <c r="CM277" s="895" t="str">
        <f>IFERROR(__xludf.DUMMYFUNCTION("""COMPUTED_VALUE"""),"99.97%")</f>
        <v>99.97%</v>
      </c>
      <c r="CN277" s="883"/>
      <c r="CO277" s="883"/>
      <c r="CP277" s="883"/>
      <c r="CQ277" s="883"/>
      <c r="CR277" s="883"/>
      <c r="CS277" s="883" t="str">
        <f>IFERROR(__xludf.DUMMYFUNCTION("""COMPUTED_VALUE"""),"The combination of oxantel pamoate and albendazole had a significantly higher efficacy compared to just oxantel pamoate. Hence, Oxantel pamoate with the combination of albendazole could be useful in the global stratefy for the control of soil-transmitted "&amp;"helminthiasis")</f>
        <v>The combination of oxantel pamoate and albendazole had a significantly higher efficacy compared to just oxantel pamoate. Hence, Oxantel pamoate with the combination of albendazole could be useful in the global stratefy for the control of soil-transmitted helminthiasis</v>
      </c>
      <c r="CT277" s="883" t="str">
        <f>IFERROR(__xludf.DUMMYFUNCTION("""COMPUTED_VALUE"""),"Kato-Katz technique")</f>
        <v>Kato-Katz technique</v>
      </c>
      <c r="CU277" s="883"/>
      <c r="CV277" s="863"/>
      <c r="CW277" s="863"/>
      <c r="CX277" s="863"/>
      <c r="CY277" s="863"/>
      <c r="CZ277" s="863"/>
      <c r="DA277" s="863"/>
      <c r="DB277" s="863"/>
      <c r="DC277" s="863"/>
      <c r="DD277" s="863"/>
      <c r="DE277" s="863"/>
    </row>
    <row r="278">
      <c r="A278" s="876"/>
      <c r="B278" s="876"/>
      <c r="C278" s="876"/>
      <c r="D278" s="876"/>
      <c r="E278" s="876"/>
      <c r="F278" s="876"/>
      <c r="G278" s="876"/>
      <c r="H278" s="876"/>
      <c r="I278" s="876"/>
      <c r="J278" s="876"/>
      <c r="K278" s="876"/>
      <c r="L278" s="876"/>
      <c r="M278" s="876"/>
      <c r="N278" s="877"/>
      <c r="O278" s="876"/>
      <c r="P278" s="876"/>
      <c r="Q278" s="876"/>
      <c r="R278" s="876"/>
      <c r="S278" s="876"/>
      <c r="T278" s="876"/>
      <c r="U278" s="876"/>
      <c r="V278" s="876"/>
      <c r="W278" s="876"/>
      <c r="X278" s="876"/>
      <c r="Y278" s="876"/>
      <c r="Z278" s="876"/>
      <c r="AA278" s="876"/>
      <c r="AB278" s="876"/>
      <c r="AC278" s="876"/>
      <c r="AD278" s="876"/>
      <c r="AE278" s="876"/>
      <c r="AF278" s="876"/>
      <c r="AG278" s="876"/>
      <c r="AH278" s="876"/>
      <c r="AI278" s="878"/>
      <c r="AJ278" s="880"/>
      <c r="AK278" s="880"/>
      <c r="AL278" s="880"/>
      <c r="AM278" s="880"/>
      <c r="AN278" s="880"/>
      <c r="AO278" s="880"/>
      <c r="AP278" s="880"/>
      <c r="AQ278" s="880"/>
      <c r="AR278" s="880"/>
      <c r="AS278" s="880"/>
      <c r="AT278" s="880"/>
      <c r="AU278" s="880"/>
      <c r="AV278" s="880"/>
      <c r="AW278" s="881"/>
      <c r="AX278" s="863"/>
      <c r="AY278" s="863"/>
      <c r="AZ278" s="863"/>
      <c r="BA278" s="863"/>
      <c r="BB278" s="863"/>
      <c r="BC278" s="863"/>
      <c r="BD278" s="863"/>
      <c r="BE278" s="863"/>
      <c r="BF278" s="863"/>
      <c r="BG278" s="863"/>
      <c r="BH278" s="863"/>
      <c r="BI278" s="863"/>
      <c r="BJ278" s="863"/>
      <c r="BK278" s="863"/>
      <c r="BL278" s="863"/>
      <c r="BM278" s="863"/>
      <c r="BN278" s="863"/>
      <c r="BO278" s="863"/>
      <c r="BP278" s="880"/>
      <c r="BQ278" s="863"/>
      <c r="BR278" s="889" t="str">
        <f>IFERROR(__xludf.DUMMYFUNCTION("""COMPUTED_VALUE"""),"Speich et al.")</f>
        <v>Speich et al.</v>
      </c>
      <c r="BS278" s="883" t="str">
        <f>IFERROR(__xludf.DUMMYFUNCTION("""COMPUTED_VALUE"""),"Tanziana")</f>
        <v>Tanziana</v>
      </c>
      <c r="BT278" s="883" t="str">
        <f>IFERROR(__xludf.DUMMYFUNCTION("""COMPUTED_VALUE"""),"Medbendazole")</f>
        <v>Medbendazole</v>
      </c>
      <c r="BU278" s="883"/>
      <c r="BV278" s="883" t="str">
        <f>IFERROR(__xludf.DUMMYFUNCTION("""COMPUTED_VALUE"""),"Single")</f>
        <v>Single</v>
      </c>
      <c r="BW278" s="883" t="str">
        <f>IFERROR(__xludf.DUMMYFUNCTION("""COMPUTED_VALUE"""),"500 mg")</f>
        <v>500 mg</v>
      </c>
      <c r="BX278" s="895" t="str">
        <f>IFERROR(__xludf.DUMMYFUNCTION("""COMPUTED_VALUE"""),"120")</f>
        <v>120</v>
      </c>
      <c r="BY278" s="895" t="str">
        <f>IFERROR(__xludf.DUMMYFUNCTION("""COMPUTED_VALUE"""),"9.6")</f>
        <v>9.6</v>
      </c>
      <c r="BZ278" s="895" t="str">
        <f>IFERROR(__xludf.DUMMYFUNCTION("""COMPUTED_VALUE"""),"2012")</f>
        <v>2012</v>
      </c>
      <c r="CA278" s="895" t="str">
        <f>IFERROR(__xludf.DUMMYFUNCTION("""COMPUTED_VALUE"""),"59M:61F")</f>
        <v>59M:61F</v>
      </c>
      <c r="CB278" s="883" t="str">
        <f>IFERROR(__xludf.DUMMYFUNCTION("""COMPUTED_VALUE"""),"Children from 6 to 14 years of age provided two stool samples and children positive for roundworm were considered eligible for inclusion. Additionally, the researchers were required to obtain written informed consent from all the parents ro guardians adn "&amp;"all the children must provide verbal assent")</f>
        <v>Children from 6 to 14 years of age provided two stool samples and children positive for roundworm were considered eligible for inclusion. Additionally, the researchers were required to obtain written informed consent from all the parents ro guardians adn all the children must provide verbal assent</v>
      </c>
      <c r="CC278" s="895" t="str">
        <f>IFERROR(__xludf.DUMMYFUNCTION("""COMPUTED_VALUE"""),"Yes")</f>
        <v>Yes</v>
      </c>
      <c r="CD278" s="884" t="str">
        <f>IFERROR(__xludf.DUMMYFUNCTION("""COMPUTED_VALUE"""),"91.20%")</f>
        <v>91.20%</v>
      </c>
      <c r="CE278" s="895" t="str">
        <f>IFERROR(__xludf.DUMMYFUNCTION("""COMPUTED_VALUE"""),"Yes")</f>
        <v>Yes</v>
      </c>
      <c r="CF278" s="883"/>
      <c r="CG278" s="883"/>
      <c r="CH278" s="883"/>
      <c r="CI278" s="883"/>
      <c r="CJ278" s="883"/>
      <c r="CK278" s="883"/>
      <c r="CL278" s="883"/>
      <c r="CM278" s="895" t="str">
        <f>IFERROR(__xludf.DUMMYFUNCTION("""COMPUTED_VALUE"""),"99.94%")</f>
        <v>99.94%</v>
      </c>
      <c r="CN278" s="883"/>
      <c r="CO278" s="883"/>
      <c r="CP278" s="883"/>
      <c r="CQ278" s="883"/>
      <c r="CR278" s="883"/>
      <c r="CS278" s="883" t="str">
        <f>IFERROR(__xludf.DUMMYFUNCTION("""COMPUTED_VALUE"""),"The combination of oxantel pamoate and albendazole had a significantly higher efficacy compared to just oxantel pamoate. Hence, Oxantel pamoate with the combination of albendazole could be useful in the global stratefy for the control of soil-transmitted "&amp;"helminthiasis")</f>
        <v>The combination of oxantel pamoate and albendazole had a significantly higher efficacy compared to just oxantel pamoate. Hence, Oxantel pamoate with the combination of albendazole could be useful in the global stratefy for the control of soil-transmitted helminthiasis</v>
      </c>
      <c r="CT278" s="883" t="str">
        <f>IFERROR(__xludf.DUMMYFUNCTION("""COMPUTED_VALUE"""),"Kato-Katz technique")</f>
        <v>Kato-Katz technique</v>
      </c>
      <c r="CU278" s="883"/>
      <c r="CV278" s="863"/>
      <c r="CW278" s="863"/>
      <c r="CX278" s="863"/>
      <c r="CY278" s="863"/>
      <c r="CZ278" s="863"/>
      <c r="DA278" s="863"/>
      <c r="DB278" s="863"/>
      <c r="DC278" s="863"/>
      <c r="DD278" s="863"/>
      <c r="DE278" s="863"/>
    </row>
    <row r="279">
      <c r="A279" s="876"/>
      <c r="B279" s="876"/>
      <c r="C279" s="876"/>
      <c r="D279" s="876"/>
      <c r="E279" s="876"/>
      <c r="F279" s="876"/>
      <c r="G279" s="876"/>
      <c r="H279" s="876"/>
      <c r="I279" s="876"/>
      <c r="J279" s="876"/>
      <c r="K279" s="876"/>
      <c r="L279" s="876"/>
      <c r="M279" s="876"/>
      <c r="N279" s="877"/>
      <c r="O279" s="876"/>
      <c r="P279" s="876"/>
      <c r="Q279" s="876"/>
      <c r="R279" s="876"/>
      <c r="S279" s="876"/>
      <c r="T279" s="876"/>
      <c r="U279" s="876"/>
      <c r="V279" s="876"/>
      <c r="W279" s="876"/>
      <c r="X279" s="876"/>
      <c r="Y279" s="876"/>
      <c r="Z279" s="876"/>
      <c r="AA279" s="876"/>
      <c r="AB279" s="876"/>
      <c r="AC279" s="876"/>
      <c r="AD279" s="876"/>
      <c r="AE279" s="876"/>
      <c r="AF279" s="876"/>
      <c r="AG279" s="876"/>
      <c r="AH279" s="876"/>
      <c r="AI279" s="878"/>
      <c r="AJ279" s="880"/>
      <c r="AK279" s="880"/>
      <c r="AL279" s="880"/>
      <c r="AM279" s="880"/>
      <c r="AN279" s="880"/>
      <c r="AO279" s="880"/>
      <c r="AP279" s="880"/>
      <c r="AQ279" s="880"/>
      <c r="AR279" s="880"/>
      <c r="AS279" s="880"/>
      <c r="AT279" s="880"/>
      <c r="AU279" s="880"/>
      <c r="AV279" s="880"/>
      <c r="AW279" s="881"/>
      <c r="AX279" s="863"/>
      <c r="AY279" s="863"/>
      <c r="AZ279" s="863"/>
      <c r="BA279" s="863"/>
      <c r="BB279" s="863"/>
      <c r="BC279" s="863"/>
      <c r="BD279" s="863"/>
      <c r="BE279" s="863"/>
      <c r="BF279" s="863"/>
      <c r="BG279" s="863"/>
      <c r="BH279" s="863"/>
      <c r="BI279" s="863"/>
      <c r="BJ279" s="863"/>
      <c r="BK279" s="863"/>
      <c r="BL279" s="863"/>
      <c r="BM279" s="863"/>
      <c r="BN279" s="863"/>
      <c r="BO279" s="863"/>
      <c r="BP279" s="880"/>
      <c r="BQ279" s="863"/>
      <c r="BR279" s="889" t="str">
        <f>IFERROR(__xludf.DUMMYFUNCTION("""COMPUTED_VALUE"""),"Barda et al.")</f>
        <v>Barda et al.</v>
      </c>
      <c r="BS279" s="883" t="str">
        <f>IFERROR(__xludf.DUMMYFUNCTION("""COMPUTED_VALUE"""),"Laos")</f>
        <v>Laos</v>
      </c>
      <c r="BT279" s="883" t="str">
        <f>IFERROR(__xludf.DUMMYFUNCTION("""COMPUTED_VALUE"""),"Moxidectin")</f>
        <v>Moxidectin</v>
      </c>
      <c r="BU279" s="883"/>
      <c r="BV279" s="883" t="str">
        <f>IFERROR(__xludf.DUMMYFUNCTION("""COMPUTED_VALUE"""),"Single")</f>
        <v>Single</v>
      </c>
      <c r="BW279" s="883" t="str">
        <f>IFERROR(__xludf.DUMMYFUNCTION("""COMPUTED_VALUE"""),"8 mg")</f>
        <v>8 mg</v>
      </c>
      <c r="BX279" s="895" t="str">
        <f>IFERROR(__xludf.DUMMYFUNCTION("""COMPUTED_VALUE"""),"64")</f>
        <v>64</v>
      </c>
      <c r="BY279" s="895" t="str">
        <f>IFERROR(__xludf.DUMMYFUNCTION("""COMPUTED_VALUE"""),"39.4")</f>
        <v>39.4</v>
      </c>
      <c r="BZ279" s="895" t="str">
        <f>IFERROR(__xludf.DUMMYFUNCTION("""COMPUTED_VALUE"""),"2016")</f>
        <v>2016</v>
      </c>
      <c r="CA279" s="895" t="str">
        <f>IFERROR(__xludf.DUMMYFUNCTION("""COMPUTED_VALUE"""),"31M:33F")</f>
        <v>31M:33F</v>
      </c>
      <c r="CB279" s="883" t="str">
        <f>IFERROR(__xludf.DUMMYFUNCTION("""COMPUTED_VALUE"""),"Only participants positive for the infection were included in the study")</f>
        <v>Only participants positive for the infection were included in the study</v>
      </c>
      <c r="CC279" s="895" t="str">
        <f>IFERROR(__xludf.DUMMYFUNCTION("""COMPUTED_VALUE"""),"Yes")</f>
        <v>Yes</v>
      </c>
      <c r="CD279" s="884" t="str">
        <f>IFERROR(__xludf.DUMMYFUNCTION("""COMPUTED_VALUE"""),"93.60%")</f>
        <v>93.60%</v>
      </c>
      <c r="CE279" s="895" t="str">
        <f>IFERROR(__xludf.DUMMYFUNCTION("""COMPUTED_VALUE"""),"Yes")</f>
        <v>Yes</v>
      </c>
      <c r="CF279" s="883"/>
      <c r="CG279" s="883"/>
      <c r="CH279" s="883"/>
      <c r="CI279" s="883"/>
      <c r="CJ279" s="883"/>
      <c r="CK279" s="883"/>
      <c r="CL279" s="883"/>
      <c r="CM279" s="883"/>
      <c r="CN279" s="883"/>
      <c r="CO279" s="883"/>
      <c r="CP279" s="883"/>
      <c r="CQ279" s="883"/>
      <c r="CR279" s="883"/>
      <c r="CS279" s="883" t="str">
        <f>IFERROR(__xludf.DUMMYFUNCTION("""COMPUTED_VALUE"""),"Moxidectin might be a safe and efficacious alternative to ivermectin for the treatment of S. stercoralis infection, given that only slight differences in CRs were observed. However, noninferiority could not be demonstrated. Larger clinical trials should b"&amp;"e conducted once the drug is marketed")</f>
        <v>Moxidectin might be a safe and efficacious alternative to ivermectin for the treatment of S. stercoralis infection, given that only slight differences in CRs were observed. However, noninferiority could not be demonstrated. Larger clinical trials should be conducted once the drug is marketed</v>
      </c>
      <c r="CT279" s="883" t="str">
        <f>IFERROR(__xludf.DUMMYFUNCTION("""COMPUTED_VALUE"""),"Kato-Katz technique")</f>
        <v>Kato-Katz technique</v>
      </c>
      <c r="CU279" s="883"/>
      <c r="CV279" s="863"/>
      <c r="CW279" s="863"/>
      <c r="CX279" s="863"/>
      <c r="CY279" s="863"/>
      <c r="CZ279" s="863"/>
      <c r="DA279" s="863"/>
      <c r="DB279" s="863"/>
      <c r="DC279" s="863"/>
      <c r="DD279" s="863"/>
      <c r="DE279" s="863"/>
    </row>
    <row r="280">
      <c r="A280" s="876"/>
      <c r="B280" s="876"/>
      <c r="C280" s="876"/>
      <c r="D280" s="876"/>
      <c r="E280" s="876"/>
      <c r="F280" s="876"/>
      <c r="G280" s="876"/>
      <c r="H280" s="876"/>
      <c r="I280" s="876"/>
      <c r="J280" s="876"/>
      <c r="K280" s="876"/>
      <c r="L280" s="876"/>
      <c r="M280" s="876"/>
      <c r="N280" s="877"/>
      <c r="O280" s="876"/>
      <c r="P280" s="876"/>
      <c r="Q280" s="876"/>
      <c r="R280" s="876"/>
      <c r="S280" s="876"/>
      <c r="T280" s="876"/>
      <c r="U280" s="876"/>
      <c r="V280" s="876"/>
      <c r="W280" s="876"/>
      <c r="X280" s="876"/>
      <c r="Y280" s="876"/>
      <c r="Z280" s="876"/>
      <c r="AA280" s="876"/>
      <c r="AB280" s="876"/>
      <c r="AC280" s="876"/>
      <c r="AD280" s="876"/>
      <c r="AE280" s="876"/>
      <c r="AF280" s="876"/>
      <c r="AG280" s="876"/>
      <c r="AH280" s="876"/>
      <c r="AI280" s="878"/>
      <c r="AJ280" s="880"/>
      <c r="AK280" s="880"/>
      <c r="AL280" s="880"/>
      <c r="AM280" s="880"/>
      <c r="AN280" s="880"/>
      <c r="AO280" s="880"/>
      <c r="AP280" s="880"/>
      <c r="AQ280" s="880"/>
      <c r="AR280" s="880"/>
      <c r="AS280" s="880"/>
      <c r="AT280" s="880"/>
      <c r="AU280" s="880"/>
      <c r="AV280" s="880"/>
      <c r="AW280" s="881"/>
      <c r="AX280" s="863"/>
      <c r="AY280" s="863"/>
      <c r="AZ280" s="863"/>
      <c r="BA280" s="863"/>
      <c r="BB280" s="863"/>
      <c r="BC280" s="863"/>
      <c r="BD280" s="863"/>
      <c r="BE280" s="863"/>
      <c r="BF280" s="863"/>
      <c r="BG280" s="863"/>
      <c r="BH280" s="863"/>
      <c r="BI280" s="863"/>
      <c r="BJ280" s="863"/>
      <c r="BK280" s="863"/>
      <c r="BL280" s="863"/>
      <c r="BM280" s="863"/>
      <c r="BN280" s="863"/>
      <c r="BO280" s="863"/>
      <c r="BP280" s="880"/>
      <c r="BQ280" s="863"/>
      <c r="BR280" s="889" t="str">
        <f>IFERROR(__xludf.DUMMYFUNCTION("""COMPUTED_VALUE"""),"Barda et al.")</f>
        <v>Barda et al.</v>
      </c>
      <c r="BS280" s="883" t="str">
        <f>IFERROR(__xludf.DUMMYFUNCTION("""COMPUTED_VALUE"""),"Laos")</f>
        <v>Laos</v>
      </c>
      <c r="BT280" s="883" t="str">
        <f>IFERROR(__xludf.DUMMYFUNCTION("""COMPUTED_VALUE"""),"Ivermectin")</f>
        <v>Ivermectin</v>
      </c>
      <c r="BU280" s="883"/>
      <c r="BV280" s="883" t="str">
        <f>IFERROR(__xludf.DUMMYFUNCTION("""COMPUTED_VALUE"""),"Single")</f>
        <v>Single</v>
      </c>
      <c r="BW280" s="883" t="str">
        <f>IFERROR(__xludf.DUMMYFUNCTION("""COMPUTED_VALUE"""),"200 µg/kg")</f>
        <v>200 µg/kg</v>
      </c>
      <c r="BX280" s="895" t="str">
        <f>IFERROR(__xludf.DUMMYFUNCTION("""COMPUTED_VALUE"""),"63")</f>
        <v>63</v>
      </c>
      <c r="BY280" s="895" t="str">
        <f>IFERROR(__xludf.DUMMYFUNCTION("""COMPUTED_VALUE"""),"40.7")</f>
        <v>40.7</v>
      </c>
      <c r="BZ280" s="895" t="str">
        <f>IFERROR(__xludf.DUMMYFUNCTION("""COMPUTED_VALUE"""),"2016")</f>
        <v>2016</v>
      </c>
      <c r="CA280" s="895" t="str">
        <f>IFERROR(__xludf.DUMMYFUNCTION("""COMPUTED_VALUE"""),"34M:29F")</f>
        <v>34M:29F</v>
      </c>
      <c r="CB280" s="883" t="str">
        <f>IFERROR(__xludf.DUMMYFUNCTION("""COMPUTED_VALUE"""),"Only participants positive for the infection were included in the study")</f>
        <v>Only participants positive for the infection were included in the study</v>
      </c>
      <c r="CC280" s="895" t="str">
        <f>IFERROR(__xludf.DUMMYFUNCTION("""COMPUTED_VALUE"""),"Yes")</f>
        <v>Yes</v>
      </c>
      <c r="CD280" s="884" t="str">
        <f>IFERROR(__xludf.DUMMYFUNCTION("""COMPUTED_VALUE"""),"95.10%")</f>
        <v>95.10%</v>
      </c>
      <c r="CE280" s="895" t="str">
        <f>IFERROR(__xludf.DUMMYFUNCTION("""COMPUTED_VALUE"""),"Yes")</f>
        <v>Yes</v>
      </c>
      <c r="CF280" s="883"/>
      <c r="CG280" s="883"/>
      <c r="CH280" s="883"/>
      <c r="CI280" s="883"/>
      <c r="CJ280" s="883"/>
      <c r="CK280" s="883"/>
      <c r="CL280" s="883"/>
      <c r="CM280" s="883"/>
      <c r="CN280" s="883"/>
      <c r="CO280" s="883"/>
      <c r="CP280" s="883"/>
      <c r="CQ280" s="883"/>
      <c r="CR280" s="883"/>
      <c r="CS280" s="883" t="str">
        <f>IFERROR(__xludf.DUMMYFUNCTION("""COMPUTED_VALUE"""),"Moxidectin might be a safe and efficacious alternative to ivermectin for the treatment of S. stercoralis infection, given that only slight differences in CRs were observed. However, noninferiority could not be demonstrated. Larger clinical trials should b"&amp;"e conducted once the drug is marketed")</f>
        <v>Moxidectin might be a safe and efficacious alternative to ivermectin for the treatment of S. stercoralis infection, given that only slight differences in CRs were observed. However, noninferiority could not be demonstrated. Larger clinical trials should be conducted once the drug is marketed</v>
      </c>
      <c r="CT280" s="883" t="str">
        <f>IFERROR(__xludf.DUMMYFUNCTION("""COMPUTED_VALUE"""),"Kato-Katz technique")</f>
        <v>Kato-Katz technique</v>
      </c>
      <c r="CU280" s="883"/>
      <c r="CV280" s="863"/>
      <c r="CW280" s="863"/>
      <c r="CX280" s="863"/>
      <c r="CY280" s="863"/>
      <c r="CZ280" s="863"/>
      <c r="DA280" s="863"/>
      <c r="DB280" s="863"/>
      <c r="DC280" s="863"/>
      <c r="DD280" s="863"/>
      <c r="DE280" s="863"/>
    </row>
    <row r="281">
      <c r="A281" s="876"/>
      <c r="B281" s="876"/>
      <c r="C281" s="876"/>
      <c r="D281" s="876"/>
      <c r="E281" s="876"/>
      <c r="F281" s="876"/>
      <c r="G281" s="876"/>
      <c r="H281" s="876"/>
      <c r="I281" s="876"/>
      <c r="J281" s="876"/>
      <c r="K281" s="876"/>
      <c r="L281" s="876"/>
      <c r="M281" s="876"/>
      <c r="N281" s="877"/>
      <c r="O281" s="876"/>
      <c r="P281" s="876"/>
      <c r="Q281" s="876"/>
      <c r="R281" s="876"/>
      <c r="S281" s="876"/>
      <c r="T281" s="876"/>
      <c r="U281" s="876"/>
      <c r="V281" s="876"/>
      <c r="W281" s="876"/>
      <c r="X281" s="876"/>
      <c r="Y281" s="876"/>
      <c r="Z281" s="876"/>
      <c r="AA281" s="876"/>
      <c r="AB281" s="876"/>
      <c r="AC281" s="876"/>
      <c r="AD281" s="876"/>
      <c r="AE281" s="876"/>
      <c r="AF281" s="876"/>
      <c r="AG281" s="876"/>
      <c r="AH281" s="876"/>
      <c r="AI281" s="878"/>
      <c r="AJ281" s="880"/>
      <c r="AK281" s="880"/>
      <c r="AL281" s="880"/>
      <c r="AM281" s="880"/>
      <c r="AN281" s="880"/>
      <c r="AO281" s="880"/>
      <c r="AP281" s="880"/>
      <c r="AQ281" s="880"/>
      <c r="AR281" s="880"/>
      <c r="AS281" s="880"/>
      <c r="AT281" s="880"/>
      <c r="AU281" s="880"/>
      <c r="AV281" s="880"/>
      <c r="AW281" s="881"/>
      <c r="AX281" s="863"/>
      <c r="AY281" s="863"/>
      <c r="AZ281" s="863"/>
      <c r="BA281" s="863"/>
      <c r="BB281" s="863"/>
      <c r="BC281" s="863"/>
      <c r="BD281" s="863"/>
      <c r="BE281" s="863"/>
      <c r="BF281" s="863"/>
      <c r="BG281" s="863"/>
      <c r="BH281" s="863"/>
      <c r="BI281" s="863"/>
      <c r="BJ281" s="863"/>
      <c r="BK281" s="863"/>
      <c r="BL281" s="863"/>
      <c r="BM281" s="863"/>
      <c r="BN281" s="863"/>
      <c r="BO281" s="863"/>
      <c r="BP281" s="880"/>
      <c r="BQ281" s="863"/>
      <c r="BR281" s="889" t="str">
        <f>IFERROR(__xludf.DUMMYFUNCTION("""COMPUTED_VALUE"""),"Belew et al.")</f>
        <v>Belew et al.</v>
      </c>
      <c r="BS281" s="883" t="str">
        <f>IFERROR(__xludf.DUMMYFUNCTION("""COMPUTED_VALUE"""),"Ethiopia")</f>
        <v>Ethiopia</v>
      </c>
      <c r="BT281" s="883" t="str">
        <f>IFERROR(__xludf.DUMMYFUNCTION("""COMPUTED_VALUE"""),"Albendazole")</f>
        <v>Albendazole</v>
      </c>
      <c r="BU281" s="883"/>
      <c r="BV281" s="883" t="str">
        <f>IFERROR(__xludf.DUMMYFUNCTION("""COMPUTED_VALUE"""),"Single")</f>
        <v>Single</v>
      </c>
      <c r="BW281" s="883" t="str">
        <f>IFERROR(__xludf.DUMMYFUNCTION("""COMPUTED_VALUE"""),"400 mg")</f>
        <v>400 mg</v>
      </c>
      <c r="BX281" s="895" t="str">
        <f>IFERROR(__xludf.DUMMYFUNCTION("""COMPUTED_VALUE"""),"106")</f>
        <v>106</v>
      </c>
      <c r="BY281" s="895" t="str">
        <f>IFERROR(__xludf.DUMMYFUNCTION("""COMPUTED_VALUE"""),"10.3")</f>
        <v>10.3</v>
      </c>
      <c r="BZ281" s="895" t="str">
        <f>IFERROR(__xludf.DUMMYFUNCTION("""COMPUTED_VALUE"""),"2014")</f>
        <v>2014</v>
      </c>
      <c r="CA281" s="883"/>
      <c r="CB281" s="883" t="str">
        <f>IFERROR(__xludf.DUMMYFUNCTION("""COMPUTED_VALUE"""),"Age: 5-18 years old. Sex: males and females. Signed of written informed consent sheet by parents/or guardians, and those who volunteered to comply with study procedures (stool submission, drug treatment). Females: was not pregnant (as verbally assessed by"&amp;" clinician upon enrolled to treatment).")</f>
        <v>Age: 5-18 years old. Sex: males and females. Signed of written informed consent sheet by parents/or guardians, and those who volunteered to comply with study procedures (stool submission, drug treatment). Females: was not pregnant (as verbally assessed by clinician upon enrolled to treatment).</v>
      </c>
      <c r="CC281" s="895" t="str">
        <f>IFERROR(__xludf.DUMMYFUNCTION("""COMPUTED_VALUE"""),"Yes")</f>
        <v>Yes</v>
      </c>
      <c r="CD281" s="884" t="str">
        <f>IFERROR(__xludf.DUMMYFUNCTION("""COMPUTED_VALUE"""),"98.70%")</f>
        <v>98.70%</v>
      </c>
      <c r="CE281" s="895" t="str">
        <f>IFERROR(__xludf.DUMMYFUNCTION("""COMPUTED_VALUE"""),"No")</f>
        <v>No</v>
      </c>
      <c r="CF281" s="883"/>
      <c r="CG281" s="883"/>
      <c r="CH281" s="883"/>
      <c r="CI281" s="883"/>
      <c r="CJ281" s="883"/>
      <c r="CK281" s="883"/>
      <c r="CL281" s="883"/>
      <c r="CM281" s="883"/>
      <c r="CN281" s="883"/>
      <c r="CO281" s="883"/>
      <c r="CP281" s="883"/>
      <c r="CQ281" s="883"/>
      <c r="CR281" s="883"/>
      <c r="CS281" s="883" t="str">
        <f>IFERROR(__xludf.DUMMYFUNCTION("""COMPUTED_VALUE"""),"The study revealed that differences in efficacy between the two brands of albendazole (ABZ) tablets against hookworm are linked to the differences in the in-vitro drug release profile.")</f>
        <v>The study revealed that differences in efficacy between the two brands of albendazole (ABZ) tablets against hookworm are linked to the differences in the in-vitro drug release profile.</v>
      </c>
      <c r="CT281" s="883" t="str">
        <f>IFERROR(__xludf.DUMMYFUNCTION("""COMPUTED_VALUE"""),"McMaster egg counting method")</f>
        <v>McMaster egg counting method</v>
      </c>
      <c r="CU281" s="883"/>
      <c r="CV281" s="863"/>
      <c r="CW281" s="863"/>
      <c r="CX281" s="863"/>
      <c r="CY281" s="863"/>
      <c r="CZ281" s="863"/>
      <c r="DA281" s="863"/>
      <c r="DB281" s="863"/>
      <c r="DC281" s="863"/>
      <c r="DD281" s="863"/>
      <c r="DE281" s="863"/>
    </row>
    <row r="282">
      <c r="A282" s="876"/>
      <c r="B282" s="876"/>
      <c r="C282" s="876"/>
      <c r="D282" s="876"/>
      <c r="E282" s="876"/>
      <c r="F282" s="876"/>
      <c r="G282" s="876"/>
      <c r="H282" s="876"/>
      <c r="I282" s="876"/>
      <c r="J282" s="876"/>
      <c r="K282" s="876"/>
      <c r="L282" s="876"/>
      <c r="M282" s="876"/>
      <c r="N282" s="877"/>
      <c r="O282" s="876"/>
      <c r="P282" s="876"/>
      <c r="Q282" s="876"/>
      <c r="R282" s="876"/>
      <c r="S282" s="876"/>
      <c r="T282" s="876"/>
      <c r="U282" s="876"/>
      <c r="V282" s="876"/>
      <c r="W282" s="876"/>
      <c r="X282" s="876"/>
      <c r="Y282" s="876"/>
      <c r="Z282" s="876"/>
      <c r="AA282" s="876"/>
      <c r="AB282" s="876"/>
      <c r="AC282" s="876"/>
      <c r="AD282" s="876"/>
      <c r="AE282" s="876"/>
      <c r="AF282" s="876"/>
      <c r="AG282" s="876"/>
      <c r="AH282" s="876"/>
      <c r="AI282" s="878"/>
      <c r="AJ282" s="880"/>
      <c r="AK282" s="880"/>
      <c r="AL282" s="880"/>
      <c r="AM282" s="880"/>
      <c r="AN282" s="880"/>
      <c r="AO282" s="880"/>
      <c r="AP282" s="880"/>
      <c r="AQ282" s="880"/>
      <c r="AR282" s="880"/>
      <c r="AS282" s="880"/>
      <c r="AT282" s="880"/>
      <c r="AU282" s="880"/>
      <c r="AV282" s="880"/>
      <c r="AW282" s="881"/>
      <c r="AX282" s="863"/>
      <c r="AY282" s="863"/>
      <c r="AZ282" s="863"/>
      <c r="BA282" s="863"/>
      <c r="BB282" s="863"/>
      <c r="BC282" s="863"/>
      <c r="BD282" s="863"/>
      <c r="BE282" s="863"/>
      <c r="BF282" s="863"/>
      <c r="BG282" s="863"/>
      <c r="BH282" s="863"/>
      <c r="BI282" s="863"/>
      <c r="BJ282" s="863"/>
      <c r="BK282" s="863"/>
      <c r="BL282" s="863"/>
      <c r="BM282" s="863"/>
      <c r="BN282" s="863"/>
      <c r="BO282" s="863"/>
      <c r="BP282" s="880"/>
      <c r="BQ282" s="863"/>
      <c r="BR282" s="889" t="str">
        <f>IFERROR(__xludf.DUMMYFUNCTION("""COMPUTED_VALUE"""),"Belew et al.")</f>
        <v>Belew et al.</v>
      </c>
      <c r="BS282" s="883" t="str">
        <f>IFERROR(__xludf.DUMMYFUNCTION("""COMPUTED_VALUE"""),"Ethiopia")</f>
        <v>Ethiopia</v>
      </c>
      <c r="BT282" s="883" t="str">
        <f>IFERROR(__xludf.DUMMYFUNCTION("""COMPUTED_VALUE"""),"Albendazole")</f>
        <v>Albendazole</v>
      </c>
      <c r="BU282" s="883"/>
      <c r="BV282" s="883" t="str">
        <f>IFERROR(__xludf.DUMMYFUNCTION("""COMPUTED_VALUE"""),"Single")</f>
        <v>Single</v>
      </c>
      <c r="BW282" s="883" t="str">
        <f>IFERROR(__xludf.DUMMYFUNCTION("""COMPUTED_VALUE"""),"400 mg")</f>
        <v>400 mg</v>
      </c>
      <c r="BX282" s="895" t="str">
        <f>IFERROR(__xludf.DUMMYFUNCTION("""COMPUTED_VALUE"""),"101")</f>
        <v>101</v>
      </c>
      <c r="BY282" s="895" t="str">
        <f>IFERROR(__xludf.DUMMYFUNCTION("""COMPUTED_VALUE"""),"10.3")</f>
        <v>10.3</v>
      </c>
      <c r="BZ282" s="895" t="str">
        <f>IFERROR(__xludf.DUMMYFUNCTION("""COMPUTED_VALUE"""),"2014")</f>
        <v>2014</v>
      </c>
      <c r="CA282" s="883"/>
      <c r="CB282" s="883" t="str">
        <f>IFERROR(__xludf.DUMMYFUNCTION("""COMPUTED_VALUE"""),"Age: 5-18 years old. Sex: males and females. Signed of written informed consent sheet by parents/or guardians, and those who volunteered to comply with study procedures (stool submission, drug treatment). Females: was not pregnant (as verbally assessed by"&amp;" clinician upon enrolled to treatment).")</f>
        <v>Age: 5-18 years old. Sex: males and females. Signed of written informed consent sheet by parents/or guardians, and those who volunteered to comply with study procedures (stool submission, drug treatment). Females: was not pregnant (as verbally assessed by clinician upon enrolled to treatment).</v>
      </c>
      <c r="CC282" s="895" t="str">
        <f>IFERROR(__xludf.DUMMYFUNCTION("""COMPUTED_VALUE"""),"Yes")</f>
        <v>Yes</v>
      </c>
      <c r="CD282" s="884" t="str">
        <f>IFERROR(__xludf.DUMMYFUNCTION("""COMPUTED_VALUE"""),"97.80%")</f>
        <v>97.80%</v>
      </c>
      <c r="CE282" s="895" t="str">
        <f>IFERROR(__xludf.DUMMYFUNCTION("""COMPUTED_VALUE"""),"No")</f>
        <v>No</v>
      </c>
      <c r="CF282" s="883"/>
      <c r="CG282" s="883"/>
      <c r="CH282" s="883"/>
      <c r="CI282" s="883"/>
      <c r="CJ282" s="883"/>
      <c r="CK282" s="883"/>
      <c r="CL282" s="883"/>
      <c r="CM282" s="883"/>
      <c r="CN282" s="883"/>
      <c r="CO282" s="883"/>
      <c r="CP282" s="883"/>
      <c r="CQ282" s="883"/>
      <c r="CR282" s="883"/>
      <c r="CS282" s="883" t="str">
        <f>IFERROR(__xludf.DUMMYFUNCTION("""COMPUTED_VALUE"""),"The study revealed that differences in efficacy between the two brands of albendazole (ABZ) tablets against hookworm are linked to the differences in the in-vitro drug release profile.")</f>
        <v>The study revealed that differences in efficacy between the two brands of albendazole (ABZ) tablets against hookworm are linked to the differences in the in-vitro drug release profile.</v>
      </c>
      <c r="CT282" s="883" t="str">
        <f>IFERROR(__xludf.DUMMYFUNCTION("""COMPUTED_VALUE"""),"McMaster egg counting method")</f>
        <v>McMaster egg counting method</v>
      </c>
      <c r="CU282" s="883"/>
      <c r="CV282" s="863"/>
      <c r="CW282" s="863"/>
      <c r="CX282" s="863"/>
      <c r="CY282" s="863"/>
      <c r="CZ282" s="863"/>
      <c r="DA282" s="863"/>
      <c r="DB282" s="863"/>
      <c r="DC282" s="863"/>
      <c r="DD282" s="863"/>
      <c r="DE282" s="863"/>
    </row>
    <row r="283">
      <c r="A283" s="876"/>
      <c r="B283" s="876"/>
      <c r="C283" s="876"/>
      <c r="D283" s="876"/>
      <c r="E283" s="876"/>
      <c r="F283" s="876"/>
      <c r="G283" s="876"/>
      <c r="H283" s="876"/>
      <c r="I283" s="876"/>
      <c r="J283" s="876"/>
      <c r="K283" s="876"/>
      <c r="L283" s="876"/>
      <c r="M283" s="876"/>
      <c r="N283" s="877"/>
      <c r="O283" s="876"/>
      <c r="P283" s="876"/>
      <c r="Q283" s="876"/>
      <c r="R283" s="876"/>
      <c r="S283" s="876"/>
      <c r="T283" s="876"/>
      <c r="U283" s="876"/>
      <c r="V283" s="876"/>
      <c r="W283" s="876"/>
      <c r="X283" s="876"/>
      <c r="Y283" s="876"/>
      <c r="Z283" s="876"/>
      <c r="AA283" s="876"/>
      <c r="AB283" s="876"/>
      <c r="AC283" s="876"/>
      <c r="AD283" s="876"/>
      <c r="AE283" s="876"/>
      <c r="AF283" s="876"/>
      <c r="AG283" s="876"/>
      <c r="AH283" s="876"/>
      <c r="AI283" s="878"/>
      <c r="AJ283" s="880"/>
      <c r="AK283" s="880"/>
      <c r="AL283" s="880"/>
      <c r="AM283" s="880"/>
      <c r="AN283" s="880"/>
      <c r="AO283" s="880"/>
      <c r="AP283" s="880"/>
      <c r="AQ283" s="880"/>
      <c r="AR283" s="880"/>
      <c r="AS283" s="880"/>
      <c r="AT283" s="880"/>
      <c r="AU283" s="880"/>
      <c r="AV283" s="880"/>
      <c r="AW283" s="881"/>
      <c r="AX283" s="863"/>
      <c r="AY283" s="863"/>
      <c r="AZ283" s="863"/>
      <c r="BA283" s="863"/>
      <c r="BB283" s="863"/>
      <c r="BC283" s="863"/>
      <c r="BD283" s="863"/>
      <c r="BE283" s="863"/>
      <c r="BF283" s="863"/>
      <c r="BG283" s="863"/>
      <c r="BH283" s="863"/>
      <c r="BI283" s="863"/>
      <c r="BJ283" s="863"/>
      <c r="BK283" s="863"/>
      <c r="BL283" s="863"/>
      <c r="BM283" s="863"/>
      <c r="BN283" s="863"/>
      <c r="BO283" s="863"/>
      <c r="BP283" s="880"/>
      <c r="BQ283" s="863"/>
      <c r="BR283" s="889" t="str">
        <f>IFERROR(__xludf.DUMMYFUNCTION("""COMPUTED_VALUE"""),"Tefera et al.")</f>
        <v>Tefera et al.</v>
      </c>
      <c r="BS283" s="883" t="str">
        <f>IFERROR(__xludf.DUMMYFUNCTION("""COMPUTED_VALUE"""),"Ethiopia")</f>
        <v>Ethiopia</v>
      </c>
      <c r="BT283" s="883" t="str">
        <f>IFERROR(__xludf.DUMMYFUNCTION("""COMPUTED_VALUE"""),"Albendazole")</f>
        <v>Albendazole</v>
      </c>
      <c r="BU283" s="883"/>
      <c r="BV283" s="883" t="str">
        <f>IFERROR(__xludf.DUMMYFUNCTION("""COMPUTED_VALUE"""),"Single")</f>
        <v>Single</v>
      </c>
      <c r="BW283" s="883" t="str">
        <f>IFERROR(__xludf.DUMMYFUNCTION("""COMPUTED_VALUE"""),"400 mg")</f>
        <v>400 mg</v>
      </c>
      <c r="BX283" s="895" t="str">
        <f>IFERROR(__xludf.DUMMYFUNCTION("""COMPUTED_VALUE"""),"48")</f>
        <v>48</v>
      </c>
      <c r="BY283" s="883"/>
      <c r="BZ283" s="895" t="str">
        <f>IFERROR(__xludf.DUMMYFUNCTION("""COMPUTED_VALUE"""),"2010")</f>
        <v>2010</v>
      </c>
      <c r="CA283" s="883"/>
      <c r="CB283" s="883" t="str">
        <f>IFERROR(__xludf.DUMMYFUNCTION("""COMPUTED_VALUE"""),"Student at Mendera Elementary School")</f>
        <v>Student at Mendera Elementary School</v>
      </c>
      <c r="CC283" s="895" t="str">
        <f>IFERROR(__xludf.DUMMYFUNCTION("""COMPUTED_VALUE"""),"Yes")</f>
        <v>Yes</v>
      </c>
      <c r="CD283" s="884" t="str">
        <f>IFERROR(__xludf.DUMMYFUNCTION("""COMPUTED_VALUE"""),"100.00%")</f>
        <v>100.00%</v>
      </c>
      <c r="CE283" s="895" t="str">
        <f>IFERROR(__xludf.DUMMYFUNCTION("""COMPUTED_VALUE"""),"No")</f>
        <v>No</v>
      </c>
      <c r="CF283" s="883"/>
      <c r="CG283" s="883"/>
      <c r="CH283" s="883"/>
      <c r="CI283" s="883"/>
      <c r="CJ283" s="883"/>
      <c r="CK283" s="883"/>
      <c r="CL283" s="883"/>
      <c r="CM283" s="883"/>
      <c r="CN283" s="883"/>
      <c r="CO283" s="883"/>
      <c r="CP283" s="883"/>
      <c r="CQ283" s="883"/>
      <c r="CR283" s="883"/>
      <c r="CS283" s="883" t="str">
        <f>IFERROR(__xludf.DUMMYFUNCTION("""COMPUTED_VALUE"""),"All the three brands of Albendazole tested regardless of the brand type were therapeutically efficacious for Ascariasis, Trichuriasis and Hookworm infections irrespective of the infection status whether it was single or multiple.")</f>
        <v>All the three brands of Albendazole tested regardless of the brand type were therapeutically efficacious for Ascariasis, Trichuriasis and Hookworm infections irrespective of the infection status whether it was single or multiple.</v>
      </c>
      <c r="CT283" s="883" t="str">
        <f>IFERROR(__xludf.DUMMYFUNCTION("""COMPUTED_VALUE"""),"McMaster egg counting method")</f>
        <v>McMaster egg counting method</v>
      </c>
      <c r="CU283" s="883"/>
      <c r="CV283" s="863"/>
      <c r="CW283" s="863"/>
      <c r="CX283" s="863"/>
      <c r="CY283" s="863"/>
      <c r="CZ283" s="863"/>
      <c r="DA283" s="863"/>
      <c r="DB283" s="863"/>
      <c r="DC283" s="863"/>
      <c r="DD283" s="863"/>
      <c r="DE283" s="863"/>
    </row>
    <row r="284">
      <c r="A284" s="876"/>
      <c r="B284" s="876"/>
      <c r="C284" s="876"/>
      <c r="D284" s="876"/>
      <c r="E284" s="876"/>
      <c r="F284" s="876"/>
      <c r="G284" s="876"/>
      <c r="H284" s="876"/>
      <c r="I284" s="876"/>
      <c r="J284" s="876"/>
      <c r="K284" s="876"/>
      <c r="L284" s="876"/>
      <c r="M284" s="876"/>
      <c r="N284" s="877"/>
      <c r="O284" s="876"/>
      <c r="P284" s="876"/>
      <c r="Q284" s="876"/>
      <c r="R284" s="876"/>
      <c r="S284" s="876"/>
      <c r="T284" s="876"/>
      <c r="U284" s="876"/>
      <c r="V284" s="876"/>
      <c r="W284" s="876"/>
      <c r="X284" s="876"/>
      <c r="Y284" s="876"/>
      <c r="Z284" s="876"/>
      <c r="AA284" s="876"/>
      <c r="AB284" s="876"/>
      <c r="AC284" s="876"/>
      <c r="AD284" s="876"/>
      <c r="AE284" s="876"/>
      <c r="AF284" s="876"/>
      <c r="AG284" s="876"/>
      <c r="AH284" s="876"/>
      <c r="AI284" s="878"/>
      <c r="AJ284" s="880"/>
      <c r="AK284" s="880"/>
      <c r="AL284" s="880"/>
      <c r="AM284" s="880"/>
      <c r="AN284" s="880"/>
      <c r="AO284" s="880"/>
      <c r="AP284" s="880"/>
      <c r="AQ284" s="880"/>
      <c r="AR284" s="880"/>
      <c r="AS284" s="880"/>
      <c r="AT284" s="880"/>
      <c r="AU284" s="880"/>
      <c r="AV284" s="880"/>
      <c r="AW284" s="881"/>
      <c r="AX284" s="863"/>
      <c r="AY284" s="863"/>
      <c r="AZ284" s="863"/>
      <c r="BA284" s="863"/>
      <c r="BB284" s="863"/>
      <c r="BC284" s="863"/>
      <c r="BD284" s="863"/>
      <c r="BE284" s="863"/>
      <c r="BF284" s="863"/>
      <c r="BG284" s="863"/>
      <c r="BH284" s="863"/>
      <c r="BI284" s="863"/>
      <c r="BJ284" s="863"/>
      <c r="BK284" s="863"/>
      <c r="BL284" s="863"/>
      <c r="BM284" s="863"/>
      <c r="BN284" s="863"/>
      <c r="BO284" s="863"/>
      <c r="BP284" s="880"/>
      <c r="BQ284" s="863"/>
      <c r="BR284" s="889" t="str">
        <f>IFERROR(__xludf.DUMMYFUNCTION("""COMPUTED_VALUE"""),"Tefera et al.")</f>
        <v>Tefera et al.</v>
      </c>
      <c r="BS284" s="883" t="str">
        <f>IFERROR(__xludf.DUMMYFUNCTION("""COMPUTED_VALUE"""),"Ethiopia")</f>
        <v>Ethiopia</v>
      </c>
      <c r="BT284" s="883" t="str">
        <f>IFERROR(__xludf.DUMMYFUNCTION("""COMPUTED_VALUE"""),"Albendazole")</f>
        <v>Albendazole</v>
      </c>
      <c r="BU284" s="883"/>
      <c r="BV284" s="883" t="str">
        <f>IFERROR(__xludf.DUMMYFUNCTION("""COMPUTED_VALUE"""),"Single")</f>
        <v>Single</v>
      </c>
      <c r="BW284" s="883" t="str">
        <f>IFERROR(__xludf.DUMMYFUNCTION("""COMPUTED_VALUE"""),"400 mg")</f>
        <v>400 mg</v>
      </c>
      <c r="BX284" s="895" t="str">
        <f>IFERROR(__xludf.DUMMYFUNCTION("""COMPUTED_VALUE"""),"64")</f>
        <v>64</v>
      </c>
      <c r="BY284" s="883"/>
      <c r="BZ284" s="895" t="str">
        <f>IFERROR(__xludf.DUMMYFUNCTION("""COMPUTED_VALUE"""),"2010")</f>
        <v>2010</v>
      </c>
      <c r="CA284" s="883"/>
      <c r="CB284" s="883" t="str">
        <f>IFERROR(__xludf.DUMMYFUNCTION("""COMPUTED_VALUE"""),"Student at Mendera Elementary School")</f>
        <v>Student at Mendera Elementary School</v>
      </c>
      <c r="CC284" s="895" t="str">
        <f>IFERROR(__xludf.DUMMYFUNCTION("""COMPUTED_VALUE"""),"Yes")</f>
        <v>Yes</v>
      </c>
      <c r="CD284" s="884" t="str">
        <f>IFERROR(__xludf.DUMMYFUNCTION("""COMPUTED_VALUE"""),"100.00%")</f>
        <v>100.00%</v>
      </c>
      <c r="CE284" s="895" t="str">
        <f>IFERROR(__xludf.DUMMYFUNCTION("""COMPUTED_VALUE"""),"No")</f>
        <v>No</v>
      </c>
      <c r="CF284" s="883"/>
      <c r="CG284" s="883"/>
      <c r="CH284" s="883"/>
      <c r="CI284" s="883"/>
      <c r="CJ284" s="883"/>
      <c r="CK284" s="883"/>
      <c r="CL284" s="883"/>
      <c r="CM284" s="883"/>
      <c r="CN284" s="883"/>
      <c r="CO284" s="883"/>
      <c r="CP284" s="883"/>
      <c r="CQ284" s="883"/>
      <c r="CR284" s="883"/>
      <c r="CS284" s="883" t="str">
        <f>IFERROR(__xludf.DUMMYFUNCTION("""COMPUTED_VALUE"""),"All the three brands of Albendazole tested regardless of the brand type were therapeutically efficacious for Ascariasis, Trichuriasis and Hookworm infections irrespective of the infection status whether it was single or multiple.")</f>
        <v>All the three brands of Albendazole tested regardless of the brand type were therapeutically efficacious for Ascariasis, Trichuriasis and Hookworm infections irrespective of the infection status whether it was single or multiple.</v>
      </c>
      <c r="CT284" s="883" t="str">
        <f>IFERROR(__xludf.DUMMYFUNCTION("""COMPUTED_VALUE"""),"McMaster egg counting method")</f>
        <v>McMaster egg counting method</v>
      </c>
      <c r="CU284" s="883"/>
      <c r="CV284" s="863"/>
      <c r="CW284" s="863"/>
      <c r="CX284" s="863"/>
      <c r="CY284" s="863"/>
      <c r="CZ284" s="863"/>
      <c r="DA284" s="863"/>
      <c r="DB284" s="863"/>
      <c r="DC284" s="863"/>
      <c r="DD284" s="863"/>
      <c r="DE284" s="863"/>
    </row>
    <row r="285">
      <c r="A285" s="876"/>
      <c r="B285" s="876"/>
      <c r="C285" s="876"/>
      <c r="D285" s="876"/>
      <c r="E285" s="876"/>
      <c r="F285" s="876"/>
      <c r="G285" s="876"/>
      <c r="H285" s="876"/>
      <c r="I285" s="876"/>
      <c r="J285" s="876"/>
      <c r="K285" s="876"/>
      <c r="L285" s="876"/>
      <c r="M285" s="876"/>
      <c r="N285" s="877"/>
      <c r="O285" s="876"/>
      <c r="P285" s="876"/>
      <c r="Q285" s="876"/>
      <c r="R285" s="876"/>
      <c r="S285" s="876"/>
      <c r="T285" s="876"/>
      <c r="U285" s="876"/>
      <c r="V285" s="876"/>
      <c r="W285" s="876"/>
      <c r="X285" s="876"/>
      <c r="Y285" s="876"/>
      <c r="Z285" s="876"/>
      <c r="AA285" s="876"/>
      <c r="AB285" s="876"/>
      <c r="AC285" s="876"/>
      <c r="AD285" s="876"/>
      <c r="AE285" s="876"/>
      <c r="AF285" s="876"/>
      <c r="AG285" s="876"/>
      <c r="AH285" s="876"/>
      <c r="AI285" s="878"/>
      <c r="AJ285" s="880"/>
      <c r="AK285" s="880"/>
      <c r="AL285" s="880"/>
      <c r="AM285" s="880"/>
      <c r="AN285" s="880"/>
      <c r="AO285" s="880"/>
      <c r="AP285" s="880"/>
      <c r="AQ285" s="880"/>
      <c r="AR285" s="880"/>
      <c r="AS285" s="880"/>
      <c r="AT285" s="880"/>
      <c r="AU285" s="880"/>
      <c r="AV285" s="880"/>
      <c r="AW285" s="881"/>
      <c r="AX285" s="863"/>
      <c r="AY285" s="863"/>
      <c r="AZ285" s="863"/>
      <c r="BA285" s="863"/>
      <c r="BB285" s="863"/>
      <c r="BC285" s="863"/>
      <c r="BD285" s="863"/>
      <c r="BE285" s="863"/>
      <c r="BF285" s="863"/>
      <c r="BG285" s="863"/>
      <c r="BH285" s="863"/>
      <c r="BI285" s="863"/>
      <c r="BJ285" s="863"/>
      <c r="BK285" s="863"/>
      <c r="BL285" s="863"/>
      <c r="BM285" s="863"/>
      <c r="BN285" s="863"/>
      <c r="BO285" s="863"/>
      <c r="BP285" s="880"/>
      <c r="BQ285" s="863"/>
      <c r="BR285" s="889" t="str">
        <f>IFERROR(__xludf.DUMMYFUNCTION("""COMPUTED_VALUE"""),"Tefera et al.")</f>
        <v>Tefera et al.</v>
      </c>
      <c r="BS285" s="883" t="str">
        <f>IFERROR(__xludf.DUMMYFUNCTION("""COMPUTED_VALUE"""),"Ethiopia")</f>
        <v>Ethiopia</v>
      </c>
      <c r="BT285" s="883" t="str">
        <f>IFERROR(__xludf.DUMMYFUNCTION("""COMPUTED_VALUE"""),"Albendazole")</f>
        <v>Albendazole</v>
      </c>
      <c r="BU285" s="883"/>
      <c r="BV285" s="883" t="str">
        <f>IFERROR(__xludf.DUMMYFUNCTION("""COMPUTED_VALUE"""),"Single")</f>
        <v>Single</v>
      </c>
      <c r="BW285" s="883" t="str">
        <f>IFERROR(__xludf.DUMMYFUNCTION("""COMPUTED_VALUE"""),"400 mg")</f>
        <v>400 mg</v>
      </c>
      <c r="BX285" s="895" t="str">
        <f>IFERROR(__xludf.DUMMYFUNCTION("""COMPUTED_VALUE"""),"50")</f>
        <v>50</v>
      </c>
      <c r="BY285" s="883"/>
      <c r="BZ285" s="895" t="str">
        <f>IFERROR(__xludf.DUMMYFUNCTION("""COMPUTED_VALUE"""),"2010")</f>
        <v>2010</v>
      </c>
      <c r="CA285" s="883"/>
      <c r="CB285" s="883" t="str">
        <f>IFERROR(__xludf.DUMMYFUNCTION("""COMPUTED_VALUE"""),"Student at Mendera Elementary School")</f>
        <v>Student at Mendera Elementary School</v>
      </c>
      <c r="CC285" s="895" t="str">
        <f>IFERROR(__xludf.DUMMYFUNCTION("""COMPUTED_VALUE"""),"Yes")</f>
        <v>Yes</v>
      </c>
      <c r="CD285" s="884" t="str">
        <f>IFERROR(__xludf.DUMMYFUNCTION("""COMPUTED_VALUE"""),"98.00%")</f>
        <v>98.00%</v>
      </c>
      <c r="CE285" s="895" t="str">
        <f>IFERROR(__xludf.DUMMYFUNCTION("""COMPUTED_VALUE"""),"No")</f>
        <v>No</v>
      </c>
      <c r="CF285" s="883"/>
      <c r="CG285" s="883"/>
      <c r="CH285" s="883"/>
      <c r="CI285" s="883"/>
      <c r="CJ285" s="883"/>
      <c r="CK285" s="883"/>
      <c r="CL285" s="883"/>
      <c r="CM285" s="883"/>
      <c r="CN285" s="883"/>
      <c r="CO285" s="883"/>
      <c r="CP285" s="883"/>
      <c r="CQ285" s="883"/>
      <c r="CR285" s="883"/>
      <c r="CS285" s="883" t="str">
        <f>IFERROR(__xludf.DUMMYFUNCTION("""COMPUTED_VALUE"""),"All the three brands of Albendazole tested regardless of the brand type were therapeutically efficacious for Ascariasis, Trichuriasis and Hookworm infections irrespective of the infection status whether it was single or multiple.")</f>
        <v>All the three brands of Albendazole tested regardless of the brand type were therapeutically efficacious for Ascariasis, Trichuriasis and Hookworm infections irrespective of the infection status whether it was single or multiple.</v>
      </c>
      <c r="CT285" s="883" t="str">
        <f>IFERROR(__xludf.DUMMYFUNCTION("""COMPUTED_VALUE"""),"McMaster egg counting method")</f>
        <v>McMaster egg counting method</v>
      </c>
      <c r="CU285" s="883"/>
      <c r="CV285" s="863"/>
      <c r="CW285" s="863"/>
      <c r="CX285" s="863"/>
      <c r="CY285" s="863"/>
      <c r="CZ285" s="863"/>
      <c r="DA285" s="863"/>
      <c r="DB285" s="863"/>
      <c r="DC285" s="863"/>
      <c r="DD285" s="863"/>
      <c r="DE285" s="863"/>
    </row>
    <row r="286">
      <c r="A286" s="876"/>
      <c r="B286" s="876"/>
      <c r="C286" s="876"/>
      <c r="D286" s="876"/>
      <c r="E286" s="876"/>
      <c r="F286" s="876"/>
      <c r="G286" s="876"/>
      <c r="H286" s="876"/>
      <c r="I286" s="876"/>
      <c r="J286" s="876"/>
      <c r="K286" s="876"/>
      <c r="L286" s="876"/>
      <c r="M286" s="876"/>
      <c r="N286" s="877"/>
      <c r="O286" s="876"/>
      <c r="P286" s="876"/>
      <c r="Q286" s="876"/>
      <c r="R286" s="876"/>
      <c r="S286" s="876"/>
      <c r="T286" s="876"/>
      <c r="U286" s="876"/>
      <c r="V286" s="876"/>
      <c r="W286" s="876"/>
      <c r="X286" s="876"/>
      <c r="Y286" s="876"/>
      <c r="Z286" s="876"/>
      <c r="AA286" s="876"/>
      <c r="AB286" s="876"/>
      <c r="AC286" s="876"/>
      <c r="AD286" s="876"/>
      <c r="AE286" s="876"/>
      <c r="AF286" s="876"/>
      <c r="AG286" s="876"/>
      <c r="AH286" s="876"/>
      <c r="AI286" s="878"/>
      <c r="AJ286" s="880"/>
      <c r="AK286" s="880"/>
      <c r="AL286" s="880"/>
      <c r="AM286" s="880"/>
      <c r="AN286" s="880"/>
      <c r="AO286" s="880"/>
      <c r="AP286" s="880"/>
      <c r="AQ286" s="880"/>
      <c r="AR286" s="880"/>
      <c r="AS286" s="880"/>
      <c r="AT286" s="880"/>
      <c r="AU286" s="880"/>
      <c r="AV286" s="880"/>
      <c r="AW286" s="881"/>
      <c r="AX286" s="863"/>
      <c r="AY286" s="863"/>
      <c r="AZ286" s="863"/>
      <c r="BA286" s="863"/>
      <c r="BB286" s="863"/>
      <c r="BC286" s="863"/>
      <c r="BD286" s="863"/>
      <c r="BE286" s="863"/>
      <c r="BF286" s="863"/>
      <c r="BG286" s="863"/>
      <c r="BH286" s="863"/>
      <c r="BI286" s="863"/>
      <c r="BJ286" s="863"/>
      <c r="BK286" s="863"/>
      <c r="BL286" s="863"/>
      <c r="BM286" s="863"/>
      <c r="BN286" s="863"/>
      <c r="BO286" s="863"/>
      <c r="BP286" s="880"/>
      <c r="BQ286" s="863"/>
      <c r="BR286" s="889" t="str">
        <f>IFERROR(__xludf.DUMMYFUNCTION("""COMPUTED_VALUE"""),"Anto et al.")</f>
        <v>Anto et al.</v>
      </c>
      <c r="BS286" s="883" t="str">
        <f>IFERROR(__xludf.DUMMYFUNCTION("""COMPUTED_VALUE"""),"Indonesia")</f>
        <v>Indonesia</v>
      </c>
      <c r="BT286" s="883" t="str">
        <f>IFERROR(__xludf.DUMMYFUNCTION("""COMPUTED_VALUE"""),"Albendazole")</f>
        <v>Albendazole</v>
      </c>
      <c r="BU286" s="883"/>
      <c r="BV286" s="883" t="str">
        <f>IFERROR(__xludf.DUMMYFUNCTION("""COMPUTED_VALUE"""),"Single")</f>
        <v>Single</v>
      </c>
      <c r="BW286" s="883" t="str">
        <f>IFERROR(__xludf.DUMMYFUNCTION("""COMPUTED_VALUE"""),"400 mg")</f>
        <v>400 mg</v>
      </c>
      <c r="BX286" s="895" t="str">
        <f>IFERROR(__xludf.DUMMYFUNCTION("""COMPUTED_VALUE"""),"60")</f>
        <v>60</v>
      </c>
      <c r="BY286" s="895" t="str">
        <f>IFERROR(__xludf.DUMMYFUNCTION("""COMPUTED_VALUE"""),"9.2 ")</f>
        <v>9.2 </v>
      </c>
      <c r="BZ286" s="895" t="str">
        <f>IFERROR(__xludf.DUMMYFUNCTION("""COMPUTED_VALUE"""),"2015")</f>
        <v>2015</v>
      </c>
      <c r="CA286" s="895" t="str">
        <f>IFERROR(__xludf.DUMMYFUNCTION("""COMPUTED_VALUE"""),"35M:25F")</f>
        <v>35M:25F</v>
      </c>
      <c r="CB286" s="883" t="str">
        <f>IFERROR(__xludf.DUMMYFUNCTION("""COMPUTED_VALUE"""),"Elementary school studens with written informed concent from subjects parents or guardian. ")</f>
        <v>Elementary school studens with written informed concent from subjects parents or guardian. </v>
      </c>
      <c r="CC286" s="895" t="str">
        <f>IFERROR(__xludf.DUMMYFUNCTION("""COMPUTED_VALUE"""),"Yes")</f>
        <v>Yes</v>
      </c>
      <c r="CD286" s="894" t="str">
        <f>IFERROR(__xludf.DUMMYFUNCTION("""COMPUTED_VALUE"""),"100.00%")</f>
        <v>100.00%</v>
      </c>
      <c r="CE286" s="895" t="str">
        <f>IFERROR(__xludf.DUMMYFUNCTION("""COMPUTED_VALUE"""),"Yes")</f>
        <v>Yes</v>
      </c>
      <c r="CF286" s="883"/>
      <c r="CG286" s="883"/>
      <c r="CH286" s="883"/>
      <c r="CI286" s="883"/>
      <c r="CJ286" s="883"/>
      <c r="CK286" s="883"/>
      <c r="CL286" s="883"/>
      <c r="CM286" s="883"/>
      <c r="CN286" s="883"/>
      <c r="CO286" s="883"/>
      <c r="CP286" s="883"/>
      <c r="CQ286" s="883"/>
      <c r="CR286" s="883"/>
      <c r="CS286" s="883" t="str">
        <f>IFERROR(__xludf.DUMMYFUNCTION("""COMPUTED_VALUE"""),"Single-dose albendazole, a combination of albendazole and levamisole, and the combination of mebendazole and levamisole had similar efficacy in reducing egg count in helminthiasis. Combination of albendazole and levamisole showed better cure rate for mild"&amp;" trichuriasis and mixed infections. Side effects were similar in all treatment groups.")</f>
        <v>Single-dose albendazole, a combination of albendazole and levamisole, and the combination of mebendazole and levamisole had similar efficacy in reducing egg count in helminthiasis. Combination of albendazole and levamisole showed better cure rate for mild trichuriasis and mixed infections. Side effects were similar in all treatment groups.</v>
      </c>
      <c r="CT286" s="883" t="str">
        <f>IFERROR(__xludf.DUMMYFUNCTION("""COMPUTED_VALUE"""),"Kato-Katz technique")</f>
        <v>Kato-Katz technique</v>
      </c>
      <c r="CU286" s="883"/>
      <c r="CV286" s="863"/>
      <c r="CW286" s="863"/>
      <c r="CX286" s="863"/>
      <c r="CY286" s="863"/>
      <c r="CZ286" s="863"/>
      <c r="DA286" s="863"/>
      <c r="DB286" s="863"/>
      <c r="DC286" s="863"/>
      <c r="DD286" s="863"/>
      <c r="DE286" s="863"/>
    </row>
    <row r="287">
      <c r="A287" s="876"/>
      <c r="B287" s="876"/>
      <c r="C287" s="876"/>
      <c r="D287" s="876"/>
      <c r="E287" s="876"/>
      <c r="F287" s="876"/>
      <c r="G287" s="876"/>
      <c r="H287" s="876"/>
      <c r="I287" s="876"/>
      <c r="J287" s="876"/>
      <c r="K287" s="876"/>
      <c r="L287" s="876"/>
      <c r="M287" s="876"/>
      <c r="N287" s="877"/>
      <c r="O287" s="876"/>
      <c r="P287" s="876"/>
      <c r="Q287" s="876"/>
      <c r="R287" s="876"/>
      <c r="S287" s="876"/>
      <c r="T287" s="876"/>
      <c r="U287" s="876"/>
      <c r="V287" s="876"/>
      <c r="W287" s="876"/>
      <c r="X287" s="876"/>
      <c r="Y287" s="876"/>
      <c r="Z287" s="876"/>
      <c r="AA287" s="876"/>
      <c r="AB287" s="876"/>
      <c r="AC287" s="876"/>
      <c r="AD287" s="876"/>
      <c r="AE287" s="876"/>
      <c r="AF287" s="876"/>
      <c r="AG287" s="876"/>
      <c r="AH287" s="876"/>
      <c r="AI287" s="878"/>
      <c r="AJ287" s="880"/>
      <c r="AK287" s="880"/>
      <c r="AL287" s="880"/>
      <c r="AM287" s="880"/>
      <c r="AN287" s="880"/>
      <c r="AO287" s="880"/>
      <c r="AP287" s="880"/>
      <c r="AQ287" s="880"/>
      <c r="AR287" s="880"/>
      <c r="AS287" s="880"/>
      <c r="AT287" s="880"/>
      <c r="AU287" s="880"/>
      <c r="AV287" s="880"/>
      <c r="AW287" s="881"/>
      <c r="AX287" s="863"/>
      <c r="AY287" s="863"/>
      <c r="AZ287" s="863"/>
      <c r="BA287" s="863"/>
      <c r="BB287" s="863"/>
      <c r="BC287" s="863"/>
      <c r="BD287" s="863"/>
      <c r="BE287" s="863"/>
      <c r="BF287" s="863"/>
      <c r="BG287" s="863"/>
      <c r="BH287" s="863"/>
      <c r="BI287" s="863"/>
      <c r="BJ287" s="863"/>
      <c r="BK287" s="863"/>
      <c r="BL287" s="863"/>
      <c r="BM287" s="863"/>
      <c r="BN287" s="863"/>
      <c r="BO287" s="863"/>
      <c r="BP287" s="880"/>
      <c r="BQ287" s="863"/>
      <c r="BR287" s="889" t="str">
        <f>IFERROR(__xludf.DUMMYFUNCTION("""COMPUTED_VALUE"""),"Anto et al.")</f>
        <v>Anto et al.</v>
      </c>
      <c r="BS287" s="883" t="str">
        <f>IFERROR(__xludf.DUMMYFUNCTION("""COMPUTED_VALUE"""),"Indonesia")</f>
        <v>Indonesia</v>
      </c>
      <c r="BT287" s="883" t="str">
        <f>IFERROR(__xludf.DUMMYFUNCTION("""COMPUTED_VALUE"""),"Albendazole &amp; Levamisole")</f>
        <v>Albendazole &amp; Levamisole</v>
      </c>
      <c r="BU287" s="883"/>
      <c r="BV287" s="883" t="str">
        <f>IFERROR(__xludf.DUMMYFUNCTION("""COMPUTED_VALUE"""),"Single")</f>
        <v>Single</v>
      </c>
      <c r="BW287" s="883" t="str">
        <f>IFERROR(__xludf.DUMMYFUNCTION("""COMPUTED_VALUE"""),"400 mg; 50 mg (weight 10-20 kg) OR 100 mg (Weight 21-40 kg) OR 150 mg (Weight &gt; 40 kg)")</f>
        <v>400 mg; 50 mg (weight 10-20 kg) OR 100 mg (Weight 21-40 kg) OR 150 mg (Weight &gt; 40 kg)</v>
      </c>
      <c r="BX287" s="895" t="str">
        <f>IFERROR(__xludf.DUMMYFUNCTION("""COMPUTED_VALUE"""),"60")</f>
        <v>60</v>
      </c>
      <c r="BY287" s="895" t="str">
        <f>IFERROR(__xludf.DUMMYFUNCTION("""COMPUTED_VALUE"""),"8.9 ")</f>
        <v>8.9 </v>
      </c>
      <c r="BZ287" s="895" t="str">
        <f>IFERROR(__xludf.DUMMYFUNCTION("""COMPUTED_VALUE"""),"2015")</f>
        <v>2015</v>
      </c>
      <c r="CA287" s="895" t="str">
        <f>IFERROR(__xludf.DUMMYFUNCTION("""COMPUTED_VALUE"""),"28M:32F")</f>
        <v>28M:32F</v>
      </c>
      <c r="CB287" s="883" t="str">
        <f>IFERROR(__xludf.DUMMYFUNCTION("""COMPUTED_VALUE"""),"Elementary school studens with written informed concent from subjects parents or guardian. ")</f>
        <v>Elementary school studens with written informed concent from subjects parents or guardian. </v>
      </c>
      <c r="CC287" s="895" t="str">
        <f>IFERROR(__xludf.DUMMYFUNCTION("""COMPUTED_VALUE"""),"Yes")</f>
        <v>Yes</v>
      </c>
      <c r="CD287" s="884" t="str">
        <f>IFERROR(__xludf.DUMMYFUNCTION("""COMPUTED_VALUE"""),"100.00%")</f>
        <v>100.00%</v>
      </c>
      <c r="CE287" s="895" t="str">
        <f>IFERROR(__xludf.DUMMYFUNCTION("""COMPUTED_VALUE"""),"Yes")</f>
        <v>Yes</v>
      </c>
      <c r="CF287" s="883"/>
      <c r="CG287" s="883"/>
      <c r="CH287" s="883"/>
      <c r="CI287" s="883"/>
      <c r="CJ287" s="883"/>
      <c r="CK287" s="883"/>
      <c r="CL287" s="883"/>
      <c r="CM287" s="883"/>
      <c r="CN287" s="883"/>
      <c r="CO287" s="883"/>
      <c r="CP287" s="883"/>
      <c r="CQ287" s="883"/>
      <c r="CR287" s="883"/>
      <c r="CS287" s="883" t="str">
        <f>IFERROR(__xludf.DUMMYFUNCTION("""COMPUTED_VALUE"""),"Single-dose albendazole, a combination of albendazole and levamisole, and the combination of mebendazole and levamisole had similar efficacy in reducing egg count in helminthiasis. Combination of albendazole and levamisole showed better cure rate for mild"&amp;" trichuriasis and mixed infections. Side effects were similar in all treatment groups.")</f>
        <v>Single-dose albendazole, a combination of albendazole and levamisole, and the combination of mebendazole and levamisole had similar efficacy in reducing egg count in helminthiasis. Combination of albendazole and levamisole showed better cure rate for mild trichuriasis and mixed infections. Side effects were similar in all treatment groups.</v>
      </c>
      <c r="CT287" s="883" t="str">
        <f>IFERROR(__xludf.DUMMYFUNCTION("""COMPUTED_VALUE"""),"Kato-Katz technique")</f>
        <v>Kato-Katz technique</v>
      </c>
      <c r="CU287" s="883"/>
      <c r="CV287" s="863"/>
      <c r="CW287" s="863"/>
      <c r="CX287" s="863"/>
      <c r="CY287" s="863"/>
      <c r="CZ287" s="863"/>
      <c r="DA287" s="863"/>
      <c r="DB287" s="863"/>
      <c r="DC287" s="863"/>
      <c r="DD287" s="863"/>
      <c r="DE287" s="863"/>
    </row>
    <row r="288">
      <c r="A288" s="876"/>
      <c r="B288" s="876"/>
      <c r="C288" s="876"/>
      <c r="D288" s="876"/>
      <c r="E288" s="876"/>
      <c r="F288" s="876"/>
      <c r="G288" s="876"/>
      <c r="H288" s="876"/>
      <c r="I288" s="876"/>
      <c r="J288" s="876"/>
      <c r="K288" s="876"/>
      <c r="L288" s="876"/>
      <c r="M288" s="876"/>
      <c r="N288" s="877"/>
      <c r="O288" s="876"/>
      <c r="P288" s="876"/>
      <c r="Q288" s="876"/>
      <c r="R288" s="876"/>
      <c r="S288" s="876"/>
      <c r="T288" s="876"/>
      <c r="U288" s="876"/>
      <c r="V288" s="876"/>
      <c r="W288" s="876"/>
      <c r="X288" s="876"/>
      <c r="Y288" s="876"/>
      <c r="Z288" s="876"/>
      <c r="AA288" s="876"/>
      <c r="AB288" s="876"/>
      <c r="AC288" s="876"/>
      <c r="AD288" s="876"/>
      <c r="AE288" s="876"/>
      <c r="AF288" s="876"/>
      <c r="AG288" s="876"/>
      <c r="AH288" s="876"/>
      <c r="AI288" s="878"/>
      <c r="AJ288" s="880"/>
      <c r="AK288" s="880"/>
      <c r="AL288" s="880"/>
      <c r="AM288" s="880"/>
      <c r="AN288" s="880"/>
      <c r="AO288" s="880"/>
      <c r="AP288" s="880"/>
      <c r="AQ288" s="880"/>
      <c r="AR288" s="880"/>
      <c r="AS288" s="880"/>
      <c r="AT288" s="880"/>
      <c r="AU288" s="880"/>
      <c r="AV288" s="880"/>
      <c r="AW288" s="881"/>
      <c r="AX288" s="863"/>
      <c r="AY288" s="863"/>
      <c r="AZ288" s="863"/>
      <c r="BA288" s="863"/>
      <c r="BB288" s="863"/>
      <c r="BC288" s="863"/>
      <c r="BD288" s="863"/>
      <c r="BE288" s="863"/>
      <c r="BF288" s="863"/>
      <c r="BG288" s="863"/>
      <c r="BH288" s="863"/>
      <c r="BI288" s="863"/>
      <c r="BJ288" s="863"/>
      <c r="BK288" s="863"/>
      <c r="BL288" s="863"/>
      <c r="BM288" s="863"/>
      <c r="BN288" s="863"/>
      <c r="BO288" s="863"/>
      <c r="BP288" s="880"/>
      <c r="BQ288" s="863"/>
      <c r="BR288" s="889" t="str">
        <f>IFERROR(__xludf.DUMMYFUNCTION("""COMPUTED_VALUE"""),"Anto et al.")</f>
        <v>Anto et al.</v>
      </c>
      <c r="BS288" s="883" t="str">
        <f>IFERROR(__xludf.DUMMYFUNCTION("""COMPUTED_VALUE"""),"Indonesia")</f>
        <v>Indonesia</v>
      </c>
      <c r="BT288" s="883" t="str">
        <f>IFERROR(__xludf.DUMMYFUNCTION("""COMPUTED_VALUE"""),"Mebendazole &amp; Levamisole")</f>
        <v>Mebendazole &amp; Levamisole</v>
      </c>
      <c r="BU288" s="883"/>
      <c r="BV288" s="883" t="str">
        <f>IFERROR(__xludf.DUMMYFUNCTION("""COMPUTED_VALUE"""),"Single")</f>
        <v>Single</v>
      </c>
      <c r="BW288" s="890" t="str">
        <f>IFERROR(__xludf.DUMMYFUNCTION("""COMPUTED_VALUE"""),"500 mg; 50 mg (weight 10-20 kg) OR 100 mg (Weight 21-40 kg) OR 150 mg (Weight &gt; 40 kg)")</f>
        <v>500 mg; 50 mg (weight 10-20 kg) OR 100 mg (Weight 21-40 kg) OR 150 mg (Weight &gt; 40 kg)</v>
      </c>
      <c r="BX288" s="895" t="str">
        <f>IFERROR(__xludf.DUMMYFUNCTION("""COMPUTED_VALUE"""),"60")</f>
        <v>60</v>
      </c>
      <c r="BY288" s="895" t="str">
        <f>IFERROR(__xludf.DUMMYFUNCTION("""COMPUTED_VALUE"""),"9.1 ")</f>
        <v>9.1 </v>
      </c>
      <c r="BZ288" s="895" t="str">
        <f>IFERROR(__xludf.DUMMYFUNCTION("""COMPUTED_VALUE"""),"2015")</f>
        <v>2015</v>
      </c>
      <c r="CA288" s="895" t="str">
        <f>IFERROR(__xludf.DUMMYFUNCTION("""COMPUTED_VALUE"""),"31M:29F")</f>
        <v>31M:29F</v>
      </c>
      <c r="CB288" s="883" t="str">
        <f>IFERROR(__xludf.DUMMYFUNCTION("""COMPUTED_VALUE"""),"Elementary school studens with written informed concent from subjects parents or guardian. ")</f>
        <v>Elementary school studens with written informed concent from subjects parents or guardian. </v>
      </c>
      <c r="CC288" s="895" t="str">
        <f>IFERROR(__xludf.DUMMYFUNCTION("""COMPUTED_VALUE"""),"Yes")</f>
        <v>Yes</v>
      </c>
      <c r="CD288" s="884" t="str">
        <f>IFERROR(__xludf.DUMMYFUNCTION("""COMPUTED_VALUE"""),"100.00%")</f>
        <v>100.00%</v>
      </c>
      <c r="CE288" s="895" t="str">
        <f>IFERROR(__xludf.DUMMYFUNCTION("""COMPUTED_VALUE"""),"Yes")</f>
        <v>Yes</v>
      </c>
      <c r="CF288" s="883"/>
      <c r="CG288" s="883"/>
      <c r="CH288" s="883"/>
      <c r="CI288" s="883"/>
      <c r="CJ288" s="883"/>
      <c r="CK288" s="883"/>
      <c r="CL288" s="883"/>
      <c r="CM288" s="883"/>
      <c r="CN288" s="883"/>
      <c r="CO288" s="883"/>
      <c r="CP288" s="883"/>
      <c r="CQ288" s="883"/>
      <c r="CR288" s="883"/>
      <c r="CS288" s="883" t="str">
        <f>IFERROR(__xludf.DUMMYFUNCTION("""COMPUTED_VALUE"""),"Single-dose albendazole, a combination of albendazole and levamisole, and the combination of mebendazole and levamisole had similar efficacy in reducing egg count in helminthiasis. Combination of albendazole and levamisole showed better cure rate for mild"&amp;" trichuriasis and mixed infections. Side effects were similar in all treatment groups.")</f>
        <v>Single-dose albendazole, a combination of albendazole and levamisole, and the combination of mebendazole and levamisole had similar efficacy in reducing egg count in helminthiasis. Combination of albendazole and levamisole showed better cure rate for mild trichuriasis and mixed infections. Side effects were similar in all treatment groups.</v>
      </c>
      <c r="CT288" s="883" t="str">
        <f>IFERROR(__xludf.DUMMYFUNCTION("""COMPUTED_VALUE"""),"Kato-Katz technique")</f>
        <v>Kato-Katz technique</v>
      </c>
      <c r="CU288" s="883"/>
      <c r="CV288" s="863"/>
      <c r="CW288" s="863"/>
      <c r="CX288" s="863"/>
      <c r="CY288" s="863"/>
      <c r="CZ288" s="863"/>
      <c r="DA288" s="863"/>
      <c r="DB288" s="863"/>
      <c r="DC288" s="863"/>
      <c r="DD288" s="863"/>
      <c r="DE288" s="863"/>
    </row>
    <row r="289">
      <c r="A289" s="876"/>
      <c r="B289" s="876"/>
      <c r="C289" s="876"/>
      <c r="D289" s="876"/>
      <c r="E289" s="876"/>
      <c r="F289" s="876"/>
      <c r="G289" s="876"/>
      <c r="H289" s="876"/>
      <c r="I289" s="876"/>
      <c r="J289" s="876"/>
      <c r="K289" s="876"/>
      <c r="L289" s="876"/>
      <c r="M289" s="876"/>
      <c r="N289" s="877"/>
      <c r="O289" s="876"/>
      <c r="P289" s="876"/>
      <c r="Q289" s="876"/>
      <c r="R289" s="876"/>
      <c r="S289" s="876"/>
      <c r="T289" s="876"/>
      <c r="U289" s="876"/>
      <c r="V289" s="876"/>
      <c r="W289" s="876"/>
      <c r="X289" s="876"/>
      <c r="Y289" s="876"/>
      <c r="Z289" s="876"/>
      <c r="AA289" s="876"/>
      <c r="AB289" s="876"/>
      <c r="AC289" s="876"/>
      <c r="AD289" s="876"/>
      <c r="AE289" s="876"/>
      <c r="AF289" s="876"/>
      <c r="AG289" s="876"/>
      <c r="AH289" s="876"/>
      <c r="AI289" s="878"/>
      <c r="AJ289" s="880"/>
      <c r="AK289" s="880"/>
      <c r="AL289" s="880"/>
      <c r="AM289" s="880"/>
      <c r="AN289" s="880"/>
      <c r="AO289" s="880"/>
      <c r="AP289" s="880"/>
      <c r="AQ289" s="880"/>
      <c r="AR289" s="880"/>
      <c r="AS289" s="880"/>
      <c r="AT289" s="880"/>
      <c r="AU289" s="880"/>
      <c r="AV289" s="880"/>
      <c r="AW289" s="881"/>
      <c r="AX289" s="863"/>
      <c r="AY289" s="863"/>
      <c r="AZ289" s="863"/>
      <c r="BA289" s="863"/>
      <c r="BB289" s="863"/>
      <c r="BC289" s="863"/>
      <c r="BD289" s="863"/>
      <c r="BE289" s="863"/>
      <c r="BF289" s="863"/>
      <c r="BG289" s="863"/>
      <c r="BH289" s="863"/>
      <c r="BI289" s="863"/>
      <c r="BJ289" s="863"/>
      <c r="BK289" s="863"/>
      <c r="BL289" s="863"/>
      <c r="BM289" s="863"/>
      <c r="BN289" s="863"/>
      <c r="BO289" s="863"/>
      <c r="BP289" s="880"/>
      <c r="BQ289" s="863"/>
      <c r="BR289" s="889" t="str">
        <f>IFERROR(__xludf.DUMMYFUNCTION("""COMPUTED_VALUE"""),"Knopp et al.")</f>
        <v>Knopp et al.</v>
      </c>
      <c r="BS289" s="883" t="str">
        <f>IFERROR(__xludf.DUMMYFUNCTION("""COMPUTED_VALUE"""),"Tanziana")</f>
        <v>Tanziana</v>
      </c>
      <c r="BT289" s="883" t="str">
        <f>IFERROR(__xludf.DUMMYFUNCTION("""COMPUTED_VALUE"""),"Albendazole")</f>
        <v>Albendazole</v>
      </c>
      <c r="BU289" s="883"/>
      <c r="BV289" s="883" t="str">
        <f>IFERROR(__xludf.DUMMYFUNCTION("""COMPUTED_VALUE"""),"Single")</f>
        <v>Single</v>
      </c>
      <c r="BW289" s="883" t="str">
        <f>IFERROR(__xludf.DUMMYFUNCTION("""COMPUTED_VALUE"""),"400 mg")</f>
        <v>400 mg</v>
      </c>
      <c r="BX289" s="895" t="str">
        <f>IFERROR(__xludf.DUMMYFUNCTION("""COMPUTED_VALUE"""),"19")</f>
        <v>19</v>
      </c>
      <c r="BY289" s="895" t="str">
        <f>IFERROR(__xludf.DUMMYFUNCTION("""COMPUTED_VALUE"""),"10.9")</f>
        <v>10.9</v>
      </c>
      <c r="BZ289" s="895" t="str">
        <f>IFERROR(__xludf.DUMMYFUNCTION("""COMPUTED_VALUE"""),"2009")</f>
        <v>2009</v>
      </c>
      <c r="CA289" s="883"/>
      <c r="CB289" s="883" t="str">
        <f>IFERROR(__xludf.DUMMYFUNCTION("""COMPUTED_VALUE"""),"Children attending grades 1-7 in two schools were eligible if they provided written consent by a parent or guardian, age of 5 years or older, sufficiently large stool sample to perform kato-katz thick smears adn infected with roundworm")</f>
        <v>Children attending grades 1-7 in two schools were eligible if they provided written consent by a parent or guardian, age of 5 years or older, sufficiently large stool sample to perform kato-katz thick smears adn infected with roundworm</v>
      </c>
      <c r="CC289" s="895" t="str">
        <f>IFERROR(__xludf.DUMMYFUNCTION("""COMPUTED_VALUE"""),"Yes")</f>
        <v>Yes</v>
      </c>
      <c r="CD289" s="884">
        <f>IFERROR(__xludf.DUMMYFUNCTION("""COMPUTED_VALUE"""),1.0)</f>
        <v>1</v>
      </c>
      <c r="CE289" s="895" t="str">
        <f>IFERROR(__xludf.DUMMYFUNCTION("""COMPUTED_VALUE"""),"No")</f>
        <v>No</v>
      </c>
      <c r="CF289" s="883"/>
      <c r="CG289" s="883"/>
      <c r="CH289" s="883"/>
      <c r="CI289" s="883"/>
      <c r="CJ289" s="883"/>
      <c r="CK289" s="883"/>
      <c r="CL289" s="883"/>
      <c r="CM289" s="884">
        <f>IFERROR(__xludf.DUMMYFUNCTION("""COMPUTED_VALUE"""),1.0)</f>
        <v>1</v>
      </c>
      <c r="CN289" s="883"/>
      <c r="CO289" s="883"/>
      <c r="CP289" s="883"/>
      <c r="CQ289" s="883"/>
      <c r="CR289" s="883"/>
      <c r="CS289" s="883" t="str">
        <f>IFERROR(__xludf.DUMMYFUNCTION("""COMPUTED_VALUE"""),"The highest decrease in both prevalence and infection intensity was achieved with albendazole, regardless of whether it was combined with ivermectin. No drug combination was superior to albendazole treatment against A. lumbricoides")</f>
        <v>The highest decrease in both prevalence and infection intensity was achieved with albendazole, regardless of whether it was combined with ivermectin. No drug combination was superior to albendazole treatment against A. lumbricoides</v>
      </c>
      <c r="CT289" s="883" t="str">
        <f>IFERROR(__xludf.DUMMYFUNCTION("""COMPUTED_VALUE"""),"Kato-Katz technique")</f>
        <v>Kato-Katz technique</v>
      </c>
      <c r="CU289" s="883"/>
      <c r="CV289" s="863"/>
      <c r="CW289" s="863"/>
      <c r="CX289" s="863"/>
      <c r="CY289" s="863"/>
      <c r="CZ289" s="863"/>
      <c r="DA289" s="863"/>
      <c r="DB289" s="863"/>
      <c r="DC289" s="863"/>
      <c r="DD289" s="863"/>
      <c r="DE289" s="863"/>
    </row>
    <row r="290">
      <c r="A290" s="876"/>
      <c r="B290" s="876"/>
      <c r="C290" s="876"/>
      <c r="D290" s="876"/>
      <c r="E290" s="876"/>
      <c r="F290" s="876"/>
      <c r="G290" s="876"/>
      <c r="H290" s="876"/>
      <c r="I290" s="876"/>
      <c r="J290" s="876"/>
      <c r="K290" s="876"/>
      <c r="L290" s="876"/>
      <c r="M290" s="876"/>
      <c r="N290" s="877"/>
      <c r="O290" s="876"/>
      <c r="P290" s="876"/>
      <c r="Q290" s="876"/>
      <c r="R290" s="876"/>
      <c r="S290" s="876"/>
      <c r="T290" s="876"/>
      <c r="U290" s="876"/>
      <c r="V290" s="876"/>
      <c r="W290" s="876"/>
      <c r="X290" s="876"/>
      <c r="Y290" s="876"/>
      <c r="Z290" s="876"/>
      <c r="AA290" s="876"/>
      <c r="AB290" s="876"/>
      <c r="AC290" s="876"/>
      <c r="AD290" s="876"/>
      <c r="AE290" s="876"/>
      <c r="AF290" s="876"/>
      <c r="AG290" s="876"/>
      <c r="AH290" s="876"/>
      <c r="AI290" s="878"/>
      <c r="AJ290" s="880"/>
      <c r="AK290" s="880"/>
      <c r="AL290" s="880"/>
      <c r="AM290" s="880"/>
      <c r="AN290" s="880"/>
      <c r="AO290" s="880"/>
      <c r="AP290" s="880"/>
      <c r="AQ290" s="880"/>
      <c r="AR290" s="880"/>
      <c r="AS290" s="880"/>
      <c r="AT290" s="880"/>
      <c r="AU290" s="880"/>
      <c r="AV290" s="880"/>
      <c r="AW290" s="881"/>
      <c r="AX290" s="863"/>
      <c r="AY290" s="863"/>
      <c r="AZ290" s="863"/>
      <c r="BA290" s="863"/>
      <c r="BB290" s="863"/>
      <c r="BC290" s="863"/>
      <c r="BD290" s="863"/>
      <c r="BE290" s="863"/>
      <c r="BF290" s="863"/>
      <c r="BG290" s="863"/>
      <c r="BH290" s="863"/>
      <c r="BI290" s="863"/>
      <c r="BJ290" s="863"/>
      <c r="BK290" s="863"/>
      <c r="BL290" s="863"/>
      <c r="BM290" s="863"/>
      <c r="BN290" s="863"/>
      <c r="BO290" s="863"/>
      <c r="BP290" s="880"/>
      <c r="BQ290" s="863"/>
      <c r="BR290" s="889" t="str">
        <f>IFERROR(__xludf.DUMMYFUNCTION("""COMPUTED_VALUE"""),"Knopp et al.")</f>
        <v>Knopp et al.</v>
      </c>
      <c r="BS290" s="883" t="str">
        <f>IFERROR(__xludf.DUMMYFUNCTION("""COMPUTED_VALUE"""),"Tanziana")</f>
        <v>Tanziana</v>
      </c>
      <c r="BT290" s="883" t="str">
        <f>IFERROR(__xludf.DUMMYFUNCTION("""COMPUTED_VALUE"""),"Albendazole &amp; Ivermectin")</f>
        <v>Albendazole &amp; Ivermectin</v>
      </c>
      <c r="BU290" s="883"/>
      <c r="BV290" s="883" t="str">
        <f>IFERROR(__xludf.DUMMYFUNCTION("""COMPUTED_VALUE"""),"Single")</f>
        <v>Single</v>
      </c>
      <c r="BW290" s="890" t="str">
        <f>IFERROR(__xludf.DUMMYFUNCTION("""COMPUTED_VALUE"""),"400 mg; 200 µg/kg")</f>
        <v>400 mg; 200 µg/kg</v>
      </c>
      <c r="BX290" s="895" t="str">
        <f>IFERROR(__xludf.DUMMYFUNCTION("""COMPUTED_VALUE"""),"15")</f>
        <v>15</v>
      </c>
      <c r="BY290" s="895" t="str">
        <f>IFERROR(__xludf.DUMMYFUNCTION("""COMPUTED_VALUE"""),"11.0")</f>
        <v>11.0</v>
      </c>
      <c r="BZ290" s="895" t="str">
        <f>IFERROR(__xludf.DUMMYFUNCTION("""COMPUTED_VALUE"""),"2009")</f>
        <v>2009</v>
      </c>
      <c r="CA290" s="883"/>
      <c r="CB290" s="883" t="str">
        <f>IFERROR(__xludf.DUMMYFUNCTION("""COMPUTED_VALUE"""),"Children attending grades 1-7 in two schools were eligible if they provided written consent by a parent or guardian, age of 5 years or older, sufficiently large stool sample to perform kato-katz thick smears adn infected with roundworm")</f>
        <v>Children attending grades 1-7 in two schools were eligible if they provided written consent by a parent or guardian, age of 5 years or older, sufficiently large stool sample to perform kato-katz thick smears adn infected with roundworm</v>
      </c>
      <c r="CC290" s="895" t="str">
        <f>IFERROR(__xludf.DUMMYFUNCTION("""COMPUTED_VALUE"""),"Yes")</f>
        <v>Yes</v>
      </c>
      <c r="CD290" s="884">
        <f>IFERROR(__xludf.DUMMYFUNCTION("""COMPUTED_VALUE"""),0.929)</f>
        <v>0.929</v>
      </c>
      <c r="CE290" s="895" t="str">
        <f>IFERROR(__xludf.DUMMYFUNCTION("""COMPUTED_VALUE"""),"No")</f>
        <v>No</v>
      </c>
      <c r="CF290" s="883"/>
      <c r="CG290" s="883"/>
      <c r="CH290" s="883"/>
      <c r="CI290" s="883"/>
      <c r="CJ290" s="883"/>
      <c r="CK290" s="883"/>
      <c r="CL290" s="883"/>
      <c r="CM290" s="884">
        <f>IFERROR(__xludf.DUMMYFUNCTION("""COMPUTED_VALUE"""),0.999)</f>
        <v>0.999</v>
      </c>
      <c r="CN290" s="883"/>
      <c r="CO290" s="883"/>
      <c r="CP290" s="883"/>
      <c r="CQ290" s="883"/>
      <c r="CR290" s="883"/>
      <c r="CS290" s="883" t="str">
        <f>IFERROR(__xludf.DUMMYFUNCTION("""COMPUTED_VALUE"""),"The highest decrease in both prevalence and infection intensity was achieved with albendazole, regardless of whether it was combined with ivermectin. No drug combination was superior to albendazole treatment against A. lumbricoides")</f>
        <v>The highest decrease in both prevalence and infection intensity was achieved with albendazole, regardless of whether it was combined with ivermectin. No drug combination was superior to albendazole treatment against A. lumbricoides</v>
      </c>
      <c r="CT290" s="883" t="str">
        <f>IFERROR(__xludf.DUMMYFUNCTION("""COMPUTED_VALUE"""),"Kato-Katz technique")</f>
        <v>Kato-Katz technique</v>
      </c>
      <c r="CU290" s="883"/>
      <c r="CV290" s="863"/>
      <c r="CW290" s="863"/>
      <c r="CX290" s="863"/>
      <c r="CY290" s="863"/>
      <c r="CZ290" s="863"/>
      <c r="DA290" s="863"/>
      <c r="DB290" s="863"/>
      <c r="DC290" s="863"/>
      <c r="DD290" s="863"/>
      <c r="DE290" s="863"/>
    </row>
    <row r="291">
      <c r="A291" s="876"/>
      <c r="B291" s="876"/>
      <c r="C291" s="876"/>
      <c r="D291" s="876"/>
      <c r="E291" s="876"/>
      <c r="F291" s="876"/>
      <c r="G291" s="876"/>
      <c r="H291" s="876"/>
      <c r="I291" s="876"/>
      <c r="J291" s="876"/>
      <c r="K291" s="876"/>
      <c r="L291" s="876"/>
      <c r="M291" s="876"/>
      <c r="N291" s="877"/>
      <c r="O291" s="876"/>
      <c r="P291" s="876"/>
      <c r="Q291" s="876"/>
      <c r="R291" s="876"/>
      <c r="S291" s="876"/>
      <c r="T291" s="876"/>
      <c r="U291" s="876"/>
      <c r="V291" s="876"/>
      <c r="W291" s="876"/>
      <c r="X291" s="876"/>
      <c r="Y291" s="876"/>
      <c r="Z291" s="876"/>
      <c r="AA291" s="876"/>
      <c r="AB291" s="876"/>
      <c r="AC291" s="876"/>
      <c r="AD291" s="876"/>
      <c r="AE291" s="876"/>
      <c r="AF291" s="876"/>
      <c r="AG291" s="876"/>
      <c r="AH291" s="876"/>
      <c r="AI291" s="878"/>
      <c r="AJ291" s="880"/>
      <c r="AK291" s="880"/>
      <c r="AL291" s="880"/>
      <c r="AM291" s="880"/>
      <c r="AN291" s="880"/>
      <c r="AO291" s="880"/>
      <c r="AP291" s="880"/>
      <c r="AQ291" s="880"/>
      <c r="AR291" s="880"/>
      <c r="AS291" s="880"/>
      <c r="AT291" s="880"/>
      <c r="AU291" s="880"/>
      <c r="AV291" s="880"/>
      <c r="AW291" s="881"/>
      <c r="AX291" s="863"/>
      <c r="AY291" s="863"/>
      <c r="AZ291" s="863"/>
      <c r="BA291" s="863"/>
      <c r="BB291" s="863"/>
      <c r="BC291" s="863"/>
      <c r="BD291" s="863"/>
      <c r="BE291" s="863"/>
      <c r="BF291" s="863"/>
      <c r="BG291" s="863"/>
      <c r="BH291" s="863"/>
      <c r="BI291" s="863"/>
      <c r="BJ291" s="863"/>
      <c r="BK291" s="863"/>
      <c r="BL291" s="863"/>
      <c r="BM291" s="863"/>
      <c r="BN291" s="863"/>
      <c r="BO291" s="863"/>
      <c r="BP291" s="880"/>
      <c r="BQ291" s="863"/>
      <c r="BR291" s="889" t="str">
        <f>IFERROR(__xludf.DUMMYFUNCTION("""COMPUTED_VALUE"""),"Knopp et al.")</f>
        <v>Knopp et al.</v>
      </c>
      <c r="BS291" s="883" t="str">
        <f>IFERROR(__xludf.DUMMYFUNCTION("""COMPUTED_VALUE"""),"Tanziana")</f>
        <v>Tanziana</v>
      </c>
      <c r="BT291" s="883" t="str">
        <f>IFERROR(__xludf.DUMMYFUNCTION("""COMPUTED_VALUE"""),"Mebendazole")</f>
        <v>Mebendazole</v>
      </c>
      <c r="BU291" s="883"/>
      <c r="BV291" s="883" t="str">
        <f>IFERROR(__xludf.DUMMYFUNCTION("""COMPUTED_VALUE"""),"Single")</f>
        <v>Single</v>
      </c>
      <c r="BW291" s="883" t="str">
        <f>IFERROR(__xludf.DUMMYFUNCTION("""COMPUTED_VALUE"""),"500 mg ")</f>
        <v>500 mg </v>
      </c>
      <c r="BX291" s="895" t="str">
        <f>IFERROR(__xludf.DUMMYFUNCTION("""COMPUTED_VALUE"""),"19")</f>
        <v>19</v>
      </c>
      <c r="BY291" s="895" t="str">
        <f>IFERROR(__xludf.DUMMYFUNCTION("""COMPUTED_VALUE"""),"10.8")</f>
        <v>10.8</v>
      </c>
      <c r="BZ291" s="895" t="str">
        <f>IFERROR(__xludf.DUMMYFUNCTION("""COMPUTED_VALUE"""),"2009")</f>
        <v>2009</v>
      </c>
      <c r="CA291" s="883"/>
      <c r="CB291" s="883" t="str">
        <f>IFERROR(__xludf.DUMMYFUNCTION("""COMPUTED_VALUE"""),"Children attending grades 1-7 in two schools were eligible if they provided written consent by a parent or guardian, age of 5 years or older, sufficiently large stool sample to perform kato-katz thick smears adn infected with roundworm")</f>
        <v>Children attending grades 1-7 in two schools were eligible if they provided written consent by a parent or guardian, age of 5 years or older, sufficiently large stool sample to perform kato-katz thick smears adn infected with roundworm</v>
      </c>
      <c r="CC291" s="895" t="str">
        <f>IFERROR(__xludf.DUMMYFUNCTION("""COMPUTED_VALUE"""),"Yes")</f>
        <v>Yes</v>
      </c>
      <c r="CD291" s="884">
        <f>IFERROR(__xludf.DUMMYFUNCTION("""COMPUTED_VALUE"""),0.778)</f>
        <v>0.778</v>
      </c>
      <c r="CE291" s="895" t="str">
        <f>IFERROR(__xludf.DUMMYFUNCTION("""COMPUTED_VALUE"""),"No")</f>
        <v>No</v>
      </c>
      <c r="CF291" s="883"/>
      <c r="CG291" s="883"/>
      <c r="CH291" s="883"/>
      <c r="CI291" s="883"/>
      <c r="CJ291" s="883"/>
      <c r="CK291" s="883"/>
      <c r="CL291" s="883"/>
      <c r="CM291" s="884">
        <f>IFERROR(__xludf.DUMMYFUNCTION("""COMPUTED_VALUE"""),0.998)</f>
        <v>0.998</v>
      </c>
      <c r="CN291" s="883"/>
      <c r="CO291" s="883"/>
      <c r="CP291" s="883"/>
      <c r="CQ291" s="883"/>
      <c r="CR291" s="883"/>
      <c r="CS291" s="883" t="str">
        <f>IFERROR(__xludf.DUMMYFUNCTION("""COMPUTED_VALUE"""),"The highest decrease in both prevalence and infection intensity was achieved with albendazole, regardless of whether it was combined with ivermectin. No drug combination was superior to albendazole treatment against A. lumbricoides")</f>
        <v>The highest decrease in both prevalence and infection intensity was achieved with albendazole, regardless of whether it was combined with ivermectin. No drug combination was superior to albendazole treatment against A. lumbricoides</v>
      </c>
      <c r="CT291" s="883" t="str">
        <f>IFERROR(__xludf.DUMMYFUNCTION("""COMPUTED_VALUE"""),"Kato-Katz technique")</f>
        <v>Kato-Katz technique</v>
      </c>
      <c r="CU291" s="883"/>
      <c r="CV291" s="863"/>
      <c r="CW291" s="863"/>
      <c r="CX291" s="863"/>
      <c r="CY291" s="863"/>
      <c r="CZ291" s="863"/>
      <c r="DA291" s="863"/>
      <c r="DB291" s="863"/>
      <c r="DC291" s="863"/>
      <c r="DD291" s="863"/>
      <c r="DE291" s="863"/>
    </row>
    <row r="292">
      <c r="A292" s="876"/>
      <c r="B292" s="876"/>
      <c r="C292" s="876"/>
      <c r="D292" s="876"/>
      <c r="E292" s="876"/>
      <c r="F292" s="876"/>
      <c r="G292" s="876"/>
      <c r="H292" s="876"/>
      <c r="I292" s="876"/>
      <c r="J292" s="876"/>
      <c r="K292" s="876"/>
      <c r="L292" s="876"/>
      <c r="M292" s="876"/>
      <c r="N292" s="877"/>
      <c r="O292" s="876"/>
      <c r="P292" s="876"/>
      <c r="Q292" s="876"/>
      <c r="R292" s="876"/>
      <c r="S292" s="876"/>
      <c r="T292" s="876"/>
      <c r="U292" s="876"/>
      <c r="V292" s="876"/>
      <c r="W292" s="876"/>
      <c r="X292" s="876"/>
      <c r="Y292" s="876"/>
      <c r="Z292" s="876"/>
      <c r="AA292" s="876"/>
      <c r="AB292" s="876"/>
      <c r="AC292" s="876"/>
      <c r="AD292" s="876"/>
      <c r="AE292" s="876"/>
      <c r="AF292" s="876"/>
      <c r="AG292" s="876"/>
      <c r="AH292" s="876"/>
      <c r="AI292" s="878"/>
      <c r="AJ292" s="880"/>
      <c r="AK292" s="880"/>
      <c r="AL292" s="880"/>
      <c r="AM292" s="880"/>
      <c r="AN292" s="880"/>
      <c r="AO292" s="880"/>
      <c r="AP292" s="880"/>
      <c r="AQ292" s="880"/>
      <c r="AR292" s="880"/>
      <c r="AS292" s="880"/>
      <c r="AT292" s="880"/>
      <c r="AU292" s="880"/>
      <c r="AV292" s="880"/>
      <c r="AW292" s="881"/>
      <c r="AX292" s="863"/>
      <c r="AY292" s="863"/>
      <c r="AZ292" s="863"/>
      <c r="BA292" s="863"/>
      <c r="BB292" s="863"/>
      <c r="BC292" s="863"/>
      <c r="BD292" s="863"/>
      <c r="BE292" s="863"/>
      <c r="BF292" s="863"/>
      <c r="BG292" s="863"/>
      <c r="BH292" s="863"/>
      <c r="BI292" s="863"/>
      <c r="BJ292" s="863"/>
      <c r="BK292" s="863"/>
      <c r="BL292" s="863"/>
      <c r="BM292" s="863"/>
      <c r="BN292" s="863"/>
      <c r="BO292" s="863"/>
      <c r="BP292" s="880"/>
      <c r="BQ292" s="863"/>
      <c r="BR292" s="889" t="str">
        <f>IFERROR(__xludf.DUMMYFUNCTION("""COMPUTED_VALUE"""),"Knopp et al.")</f>
        <v>Knopp et al.</v>
      </c>
      <c r="BS292" s="883" t="str">
        <f>IFERROR(__xludf.DUMMYFUNCTION("""COMPUTED_VALUE"""),"Tanziana")</f>
        <v>Tanziana</v>
      </c>
      <c r="BT292" s="883" t="str">
        <f>IFERROR(__xludf.DUMMYFUNCTION("""COMPUTED_VALUE"""),"Mebendazole &amp; Ivermectin")</f>
        <v>Mebendazole &amp; Ivermectin</v>
      </c>
      <c r="BU292" s="883"/>
      <c r="BV292" s="883" t="str">
        <f>IFERROR(__xludf.DUMMYFUNCTION("""COMPUTED_VALUE"""),"Single")</f>
        <v>Single</v>
      </c>
      <c r="BW292" s="883" t="str">
        <f>IFERROR(__xludf.DUMMYFUNCTION("""COMPUTED_VALUE"""),"500 mg; 200 µg/kg ")</f>
        <v>500 mg; 200 µg/kg </v>
      </c>
      <c r="BX292" s="895" t="str">
        <f>IFERROR(__xludf.DUMMYFUNCTION("""COMPUTED_VALUE"""),"20")</f>
        <v>20</v>
      </c>
      <c r="BY292" s="895" t="str">
        <f>IFERROR(__xludf.DUMMYFUNCTION("""COMPUTED_VALUE"""),"11.0")</f>
        <v>11.0</v>
      </c>
      <c r="BZ292" s="895" t="str">
        <f>IFERROR(__xludf.DUMMYFUNCTION("""COMPUTED_VALUE"""),"2009")</f>
        <v>2009</v>
      </c>
      <c r="CA292" s="883"/>
      <c r="CB292" s="883" t="str">
        <f>IFERROR(__xludf.DUMMYFUNCTION("""COMPUTED_VALUE"""),"Children attending grades 1-7 in two schools were eligible if they provided written consent by a parent or guardian, age of 5 years or older, sufficiently large stool sample to perform kato-katz thick smears adn infected with roundworm")</f>
        <v>Children attending grades 1-7 in two schools were eligible if they provided written consent by a parent or guardian, age of 5 years or older, sufficiently large stool sample to perform kato-katz thick smears adn infected with roundworm</v>
      </c>
      <c r="CC292" s="895" t="str">
        <f>IFERROR(__xludf.DUMMYFUNCTION("""COMPUTED_VALUE"""),"Yes")</f>
        <v>Yes</v>
      </c>
      <c r="CD292" s="884">
        <f>IFERROR(__xludf.DUMMYFUNCTION("""COMPUTED_VALUE"""),1.0)</f>
        <v>1</v>
      </c>
      <c r="CE292" s="895" t="str">
        <f>IFERROR(__xludf.DUMMYFUNCTION("""COMPUTED_VALUE"""),"No")</f>
        <v>No</v>
      </c>
      <c r="CF292" s="883"/>
      <c r="CG292" s="883"/>
      <c r="CH292" s="883"/>
      <c r="CI292" s="883"/>
      <c r="CJ292" s="883"/>
      <c r="CK292" s="883"/>
      <c r="CL292" s="883"/>
      <c r="CM292" s="884">
        <f>IFERROR(__xludf.DUMMYFUNCTION("""COMPUTED_VALUE"""),1.0)</f>
        <v>1</v>
      </c>
      <c r="CN292" s="883"/>
      <c r="CO292" s="883"/>
      <c r="CP292" s="883"/>
      <c r="CQ292" s="883"/>
      <c r="CR292" s="883"/>
      <c r="CS292" s="883" t="str">
        <f>IFERROR(__xludf.DUMMYFUNCTION("""COMPUTED_VALUE"""),"The highest decrease in both prevalence and infection intensity was achieved with albendazole, regardless of whether it was combined with ivermectin. No drug combination was superior to albendazole treatment against A. lumbricoides")</f>
        <v>The highest decrease in both prevalence and infection intensity was achieved with albendazole, regardless of whether it was combined with ivermectin. No drug combination was superior to albendazole treatment against A. lumbricoides</v>
      </c>
      <c r="CT292" s="883" t="str">
        <f>IFERROR(__xludf.DUMMYFUNCTION("""COMPUTED_VALUE"""),"Kato-Katz technique")</f>
        <v>Kato-Katz technique</v>
      </c>
      <c r="CU292" s="883"/>
      <c r="CV292" s="863"/>
      <c r="CW292" s="863"/>
      <c r="CX292" s="863"/>
      <c r="CY292" s="863"/>
      <c r="CZ292" s="863"/>
      <c r="DA292" s="863"/>
      <c r="DB292" s="863"/>
      <c r="DC292" s="863"/>
      <c r="DD292" s="863"/>
      <c r="DE292" s="863"/>
    </row>
    <row r="293">
      <c r="A293" s="876"/>
      <c r="B293" s="876"/>
      <c r="C293" s="876"/>
      <c r="D293" s="876"/>
      <c r="E293" s="876"/>
      <c r="F293" s="876"/>
      <c r="G293" s="876"/>
      <c r="H293" s="876"/>
      <c r="I293" s="876"/>
      <c r="J293" s="876"/>
      <c r="K293" s="876"/>
      <c r="L293" s="876"/>
      <c r="M293" s="876"/>
      <c r="N293" s="877"/>
      <c r="O293" s="876"/>
      <c r="P293" s="876"/>
      <c r="Q293" s="876"/>
      <c r="R293" s="876"/>
      <c r="S293" s="876"/>
      <c r="T293" s="876"/>
      <c r="U293" s="876"/>
      <c r="V293" s="876"/>
      <c r="W293" s="876"/>
      <c r="X293" s="876"/>
      <c r="Y293" s="876"/>
      <c r="Z293" s="876"/>
      <c r="AA293" s="876"/>
      <c r="AB293" s="876"/>
      <c r="AC293" s="876"/>
      <c r="AD293" s="876"/>
      <c r="AE293" s="876"/>
      <c r="AF293" s="876"/>
      <c r="AG293" s="876"/>
      <c r="AH293" s="876"/>
      <c r="AI293" s="878"/>
      <c r="AJ293" s="880"/>
      <c r="AK293" s="880"/>
      <c r="AL293" s="880"/>
      <c r="AM293" s="880"/>
      <c r="AN293" s="880"/>
      <c r="AO293" s="880"/>
      <c r="AP293" s="880"/>
      <c r="AQ293" s="880"/>
      <c r="AR293" s="880"/>
      <c r="AS293" s="880"/>
      <c r="AT293" s="880"/>
      <c r="AU293" s="880"/>
      <c r="AV293" s="880"/>
      <c r="AW293" s="881"/>
      <c r="AX293" s="863"/>
      <c r="AY293" s="863"/>
      <c r="AZ293" s="863"/>
      <c r="BA293" s="863"/>
      <c r="BB293" s="863"/>
      <c r="BC293" s="863"/>
      <c r="BD293" s="863"/>
      <c r="BE293" s="863"/>
      <c r="BF293" s="863"/>
      <c r="BG293" s="863"/>
      <c r="BH293" s="863"/>
      <c r="BI293" s="863"/>
      <c r="BJ293" s="863"/>
      <c r="BK293" s="863"/>
      <c r="BL293" s="863"/>
      <c r="BM293" s="863"/>
      <c r="BN293" s="863"/>
      <c r="BO293" s="863"/>
      <c r="BP293" s="880"/>
      <c r="BQ293" s="863"/>
      <c r="BR293" s="889" t="str">
        <f>IFERROR(__xludf.DUMMYFUNCTION("""COMPUTED_VALUE"""),"Wimmersberger et al.")</f>
        <v>Wimmersberger et al.</v>
      </c>
      <c r="BS293" s="883" t="str">
        <f>IFERROR(__xludf.DUMMYFUNCTION("""COMPUTED_VALUE"""),"Côte d'Ivoire")</f>
        <v>Côte d'Ivoire</v>
      </c>
      <c r="BT293" s="883" t="str">
        <f>IFERROR(__xludf.DUMMYFUNCTION("""COMPUTED_VALUE"""),"Ivermectin")</f>
        <v>Ivermectin</v>
      </c>
      <c r="BU293" s="883"/>
      <c r="BV293" s="883" t="str">
        <f>IFERROR(__xludf.DUMMYFUNCTION("""COMPUTED_VALUE"""),"Single")</f>
        <v>Single</v>
      </c>
      <c r="BW293" s="883" t="str">
        <f>IFERROR(__xludf.DUMMYFUNCTION("""COMPUTED_VALUE"""),"100 µg/kg")</f>
        <v>100 µg/kg</v>
      </c>
      <c r="BX293" s="895" t="str">
        <f>IFERROR(__xludf.DUMMYFUNCTION("""COMPUTED_VALUE"""),"44")</f>
        <v>44</v>
      </c>
      <c r="BY293" s="895" t="str">
        <f>IFERROR(__xludf.DUMMYFUNCTION("""COMPUTED_VALUE"""),"4.0")</f>
        <v>4.0</v>
      </c>
      <c r="BZ293" s="895" t="str">
        <f>IFERROR(__xludf.DUMMYFUNCTION("""COMPUTED_VALUE"""),"2017")</f>
        <v>2017</v>
      </c>
      <c r="CA293" s="895" t="str">
        <f>IFERROR(__xludf.DUMMYFUNCTION("""COMPUTED_VALUE"""),"21M:23F")</f>
        <v>21M:23F</v>
      </c>
      <c r="CB293" s="883" t="str">
        <f>IFERROR(__xludf.DUMMYFUNCTION("""COMPUTED_VALUE"""),"Children 2-12 years of age who were positive for roundworm were eligible. To avoid high CRs children &gt; 60 eggs per gram of stool in PSAC and 100 EPG in SAC were included")</f>
        <v>Children 2-12 years of age who were positive for roundworm were eligible. To avoid high CRs children &gt; 60 eggs per gram of stool in PSAC and 100 EPG in SAC were included</v>
      </c>
      <c r="CC293" s="895" t="str">
        <f>IFERROR(__xludf.DUMMYFUNCTION("""COMPUTED_VALUE"""),"Yes")</f>
        <v>Yes</v>
      </c>
      <c r="CD293" s="884">
        <f>IFERROR(__xludf.DUMMYFUNCTION("""COMPUTED_VALUE"""),1.0)</f>
        <v>1</v>
      </c>
      <c r="CE293" s="895" t="str">
        <f>IFERROR(__xludf.DUMMYFUNCTION("""COMPUTED_VALUE"""),"Yes")</f>
        <v>Yes</v>
      </c>
      <c r="CF293" s="883"/>
      <c r="CG293" s="883"/>
      <c r="CH293" s="883"/>
      <c r="CI293" s="883"/>
      <c r="CJ293" s="883"/>
      <c r="CK293" s="883"/>
      <c r="CL293" s="883"/>
      <c r="CM293" s="884">
        <f>IFERROR(__xludf.DUMMYFUNCTION("""COMPUTED_VALUE"""),1.0)</f>
        <v>1</v>
      </c>
      <c r="CN293" s="883"/>
      <c r="CO293" s="883"/>
      <c r="CP293" s="883"/>
      <c r="CQ293" s="883"/>
      <c r="CR293" s="883"/>
      <c r="CS293" s="883" t="str">
        <f>IFERROR(__xludf.DUMMYFUNCTION("""COMPUTED_VALUE"""),"High efficacy of ivermectin against A. lumbricoides is in agreement with previous conclusions that ivermectin has a few side effects and is very effective in treating ascaris")</f>
        <v>High efficacy of ivermectin against A. lumbricoides is in agreement with previous conclusions that ivermectin has a few side effects and is very effective in treating ascaris</v>
      </c>
      <c r="CT293" s="883" t="str">
        <f>IFERROR(__xludf.DUMMYFUNCTION("""COMPUTED_VALUE"""),"Kato-Katz technique")</f>
        <v>Kato-Katz technique</v>
      </c>
      <c r="CU293" s="883"/>
      <c r="CV293" s="863"/>
      <c r="CW293" s="863"/>
      <c r="CX293" s="863"/>
      <c r="CY293" s="863"/>
      <c r="CZ293" s="863"/>
      <c r="DA293" s="863"/>
      <c r="DB293" s="863"/>
      <c r="DC293" s="863"/>
      <c r="DD293" s="863"/>
      <c r="DE293" s="863"/>
    </row>
    <row r="294">
      <c r="A294" s="876"/>
      <c r="B294" s="876"/>
      <c r="C294" s="876"/>
      <c r="D294" s="876"/>
      <c r="E294" s="876"/>
      <c r="F294" s="876"/>
      <c r="G294" s="876"/>
      <c r="H294" s="876"/>
      <c r="I294" s="876"/>
      <c r="J294" s="876"/>
      <c r="K294" s="876"/>
      <c r="L294" s="876"/>
      <c r="M294" s="876"/>
      <c r="N294" s="877"/>
      <c r="O294" s="876"/>
      <c r="P294" s="876"/>
      <c r="Q294" s="876"/>
      <c r="R294" s="876"/>
      <c r="S294" s="876"/>
      <c r="T294" s="876"/>
      <c r="U294" s="876"/>
      <c r="V294" s="876"/>
      <c r="W294" s="876"/>
      <c r="X294" s="876"/>
      <c r="Y294" s="876"/>
      <c r="Z294" s="876"/>
      <c r="AA294" s="876"/>
      <c r="AB294" s="876"/>
      <c r="AC294" s="876"/>
      <c r="AD294" s="876"/>
      <c r="AE294" s="876"/>
      <c r="AF294" s="876"/>
      <c r="AG294" s="876"/>
      <c r="AH294" s="876"/>
      <c r="AI294" s="878"/>
      <c r="AJ294" s="880"/>
      <c r="AK294" s="880"/>
      <c r="AL294" s="880"/>
      <c r="AM294" s="880"/>
      <c r="AN294" s="880"/>
      <c r="AO294" s="880"/>
      <c r="AP294" s="880"/>
      <c r="AQ294" s="880"/>
      <c r="AR294" s="880"/>
      <c r="AS294" s="880"/>
      <c r="AT294" s="880"/>
      <c r="AU294" s="880"/>
      <c r="AV294" s="880"/>
      <c r="AW294" s="881"/>
      <c r="AX294" s="863"/>
      <c r="AY294" s="863"/>
      <c r="AZ294" s="863"/>
      <c r="BA294" s="863"/>
      <c r="BB294" s="863"/>
      <c r="BC294" s="863"/>
      <c r="BD294" s="863"/>
      <c r="BE294" s="863"/>
      <c r="BF294" s="863"/>
      <c r="BG294" s="863"/>
      <c r="BH294" s="863"/>
      <c r="BI294" s="863"/>
      <c r="BJ294" s="863"/>
      <c r="BK294" s="863"/>
      <c r="BL294" s="863"/>
      <c r="BM294" s="863"/>
      <c r="BN294" s="863"/>
      <c r="BO294" s="863"/>
      <c r="BP294" s="880"/>
      <c r="BQ294" s="863"/>
      <c r="BR294" s="889" t="str">
        <f>IFERROR(__xludf.DUMMYFUNCTION("""COMPUTED_VALUE"""),"Wimmersberger et al.")</f>
        <v>Wimmersberger et al.</v>
      </c>
      <c r="BS294" s="883" t="str">
        <f>IFERROR(__xludf.DUMMYFUNCTION("""COMPUTED_VALUE"""),"Côte d'Ivoire")</f>
        <v>Côte d'Ivoire</v>
      </c>
      <c r="BT294" s="883" t="str">
        <f>IFERROR(__xludf.DUMMYFUNCTION("""COMPUTED_VALUE"""),"Ivermectin")</f>
        <v>Ivermectin</v>
      </c>
      <c r="BU294" s="883"/>
      <c r="BV294" s="883" t="str">
        <f>IFERROR(__xludf.DUMMYFUNCTION("""COMPUTED_VALUE"""),"Single")</f>
        <v>Single</v>
      </c>
      <c r="BW294" s="883" t="str">
        <f>IFERROR(__xludf.DUMMYFUNCTION("""COMPUTED_VALUE"""),"200 µg/kg")</f>
        <v>200 µg/kg</v>
      </c>
      <c r="BX294" s="895" t="str">
        <f>IFERROR(__xludf.DUMMYFUNCTION("""COMPUTED_VALUE"""),"45")</f>
        <v>45</v>
      </c>
      <c r="BY294" s="895" t="str">
        <f>IFERROR(__xludf.DUMMYFUNCTION("""COMPUTED_VALUE"""),"3.7")</f>
        <v>3.7</v>
      </c>
      <c r="BZ294" s="895" t="str">
        <f>IFERROR(__xludf.DUMMYFUNCTION("""COMPUTED_VALUE"""),"2017")</f>
        <v>2017</v>
      </c>
      <c r="CA294" s="895" t="str">
        <f>IFERROR(__xludf.DUMMYFUNCTION("""COMPUTED_VALUE"""),"24M:21F")</f>
        <v>24M:21F</v>
      </c>
      <c r="CB294" s="883" t="str">
        <f>IFERROR(__xludf.DUMMYFUNCTION("""COMPUTED_VALUE"""),"Children 2-12 years of age who were positive for roundworm were eligible. To avoid high CRs children &gt; 60 eggs per gram of stool in PSAC and 100 EPG in SAC were included")</f>
        <v>Children 2-12 years of age who were positive for roundworm were eligible. To avoid high CRs children &gt; 60 eggs per gram of stool in PSAC and 100 EPG in SAC were included</v>
      </c>
      <c r="CC294" s="895" t="str">
        <f>IFERROR(__xludf.DUMMYFUNCTION("""COMPUTED_VALUE"""),"Yes")</f>
        <v>Yes</v>
      </c>
      <c r="CD294" s="884">
        <f>IFERROR(__xludf.DUMMYFUNCTION("""COMPUTED_VALUE"""),1.0)</f>
        <v>1</v>
      </c>
      <c r="CE294" s="895" t="str">
        <f>IFERROR(__xludf.DUMMYFUNCTION("""COMPUTED_VALUE"""),"Yes")</f>
        <v>Yes</v>
      </c>
      <c r="CF294" s="883"/>
      <c r="CG294" s="883"/>
      <c r="CH294" s="883"/>
      <c r="CI294" s="883"/>
      <c r="CJ294" s="883"/>
      <c r="CK294" s="883"/>
      <c r="CL294" s="883"/>
      <c r="CM294" s="884">
        <f>IFERROR(__xludf.DUMMYFUNCTION("""COMPUTED_VALUE"""),1.0)</f>
        <v>1</v>
      </c>
      <c r="CN294" s="883"/>
      <c r="CO294" s="883"/>
      <c r="CP294" s="883"/>
      <c r="CQ294" s="883"/>
      <c r="CR294" s="883"/>
      <c r="CS294" s="883" t="str">
        <f>IFERROR(__xludf.DUMMYFUNCTION("""COMPUTED_VALUE"""),"High efficacy of ivermectin against A. lumbricoides is in agreement with previous conclusions that ivermectin has a few side effects and is very effective in treating ascaris")</f>
        <v>High efficacy of ivermectin against A. lumbricoides is in agreement with previous conclusions that ivermectin has a few side effects and is very effective in treating ascaris</v>
      </c>
      <c r="CT294" s="883" t="str">
        <f>IFERROR(__xludf.DUMMYFUNCTION("""COMPUTED_VALUE"""),"Kato-Katz technique")</f>
        <v>Kato-Katz technique</v>
      </c>
      <c r="CU294" s="883"/>
      <c r="CV294" s="863"/>
      <c r="CW294" s="863"/>
      <c r="CX294" s="863"/>
      <c r="CY294" s="863"/>
      <c r="CZ294" s="863"/>
      <c r="DA294" s="863"/>
      <c r="DB294" s="863"/>
      <c r="DC294" s="863"/>
      <c r="DD294" s="863"/>
      <c r="DE294" s="863"/>
    </row>
    <row r="295">
      <c r="A295" s="876"/>
      <c r="B295" s="876"/>
      <c r="C295" s="876"/>
      <c r="D295" s="876"/>
      <c r="E295" s="876"/>
      <c r="F295" s="876"/>
      <c r="G295" s="876"/>
      <c r="H295" s="876"/>
      <c r="I295" s="876"/>
      <c r="J295" s="876"/>
      <c r="K295" s="876"/>
      <c r="L295" s="876"/>
      <c r="M295" s="876"/>
      <c r="N295" s="877"/>
      <c r="O295" s="876"/>
      <c r="P295" s="876"/>
      <c r="Q295" s="876"/>
      <c r="R295" s="876"/>
      <c r="S295" s="876"/>
      <c r="T295" s="876"/>
      <c r="U295" s="876"/>
      <c r="V295" s="876"/>
      <c r="W295" s="876"/>
      <c r="X295" s="876"/>
      <c r="Y295" s="876"/>
      <c r="Z295" s="876"/>
      <c r="AA295" s="876"/>
      <c r="AB295" s="876"/>
      <c r="AC295" s="876"/>
      <c r="AD295" s="876"/>
      <c r="AE295" s="876"/>
      <c r="AF295" s="876"/>
      <c r="AG295" s="876"/>
      <c r="AH295" s="876"/>
      <c r="AI295" s="878"/>
      <c r="AJ295" s="880"/>
      <c r="AK295" s="880"/>
      <c r="AL295" s="880"/>
      <c r="AM295" s="880"/>
      <c r="AN295" s="880"/>
      <c r="AO295" s="880"/>
      <c r="AP295" s="880"/>
      <c r="AQ295" s="880"/>
      <c r="AR295" s="880"/>
      <c r="AS295" s="880"/>
      <c r="AT295" s="880"/>
      <c r="AU295" s="880"/>
      <c r="AV295" s="880"/>
      <c r="AW295" s="881"/>
      <c r="AX295" s="863"/>
      <c r="AY295" s="863"/>
      <c r="AZ295" s="863"/>
      <c r="BA295" s="863"/>
      <c r="BB295" s="863"/>
      <c r="BC295" s="863"/>
      <c r="BD295" s="863"/>
      <c r="BE295" s="863"/>
      <c r="BF295" s="863"/>
      <c r="BG295" s="863"/>
      <c r="BH295" s="863"/>
      <c r="BI295" s="863"/>
      <c r="BJ295" s="863"/>
      <c r="BK295" s="863"/>
      <c r="BL295" s="863"/>
      <c r="BM295" s="863"/>
      <c r="BN295" s="863"/>
      <c r="BO295" s="863"/>
      <c r="BP295" s="880"/>
      <c r="BQ295" s="863"/>
      <c r="BR295" s="889" t="str">
        <f>IFERROR(__xludf.DUMMYFUNCTION("""COMPUTED_VALUE"""),"Wimmersberger et al.")</f>
        <v>Wimmersberger et al.</v>
      </c>
      <c r="BS295" s="883" t="str">
        <f>IFERROR(__xludf.DUMMYFUNCTION("""COMPUTED_VALUE"""),"Côte d'Ivoire")</f>
        <v>Côte d'Ivoire</v>
      </c>
      <c r="BT295" s="883" t="str">
        <f>IFERROR(__xludf.DUMMYFUNCTION("""COMPUTED_VALUE"""),"Ivermectin")</f>
        <v>Ivermectin</v>
      </c>
      <c r="BU295" s="883"/>
      <c r="BV295" s="883" t="str">
        <f>IFERROR(__xludf.DUMMYFUNCTION("""COMPUTED_VALUE"""),"Single")</f>
        <v>Single</v>
      </c>
      <c r="BW295" s="883" t="str">
        <f>IFERROR(__xludf.DUMMYFUNCTION("""COMPUTED_VALUE"""),"200 µg/kg")</f>
        <v>200 µg/kg</v>
      </c>
      <c r="BX295" s="895" t="str">
        <f>IFERROR(__xludf.DUMMYFUNCTION("""COMPUTED_VALUE"""),"43")</f>
        <v>43</v>
      </c>
      <c r="BY295" s="895" t="str">
        <f>IFERROR(__xludf.DUMMYFUNCTION("""COMPUTED_VALUE"""),"8.5")</f>
        <v>8.5</v>
      </c>
      <c r="BZ295" s="895" t="str">
        <f>IFERROR(__xludf.DUMMYFUNCTION("""COMPUTED_VALUE"""),"2017")</f>
        <v>2017</v>
      </c>
      <c r="CA295" s="895" t="str">
        <f>IFERROR(__xludf.DUMMYFUNCTION("""COMPUTED_VALUE"""),"28M:15F")</f>
        <v>28M:15F</v>
      </c>
      <c r="CB295" s="883" t="str">
        <f>IFERROR(__xludf.DUMMYFUNCTION("""COMPUTED_VALUE"""),"Children 2-12 years of age who were positive for roundworm were eligible. To avoid high CRs children &gt; 60 eggs per gram of stool in PSAC and 100 EPG in SAC were included")</f>
        <v>Children 2-12 years of age who were positive for roundworm were eligible. To avoid high CRs children &gt; 60 eggs per gram of stool in PSAC and 100 EPG in SAC were included</v>
      </c>
      <c r="CC295" s="895" t="str">
        <f>IFERROR(__xludf.DUMMYFUNCTION("""COMPUTED_VALUE"""),"Yes")</f>
        <v>Yes</v>
      </c>
      <c r="CD295" s="884">
        <f>IFERROR(__xludf.DUMMYFUNCTION("""COMPUTED_VALUE"""),1.0)</f>
        <v>1</v>
      </c>
      <c r="CE295" s="895" t="str">
        <f>IFERROR(__xludf.DUMMYFUNCTION("""COMPUTED_VALUE"""),"Yes")</f>
        <v>Yes</v>
      </c>
      <c r="CF295" s="883"/>
      <c r="CG295" s="883"/>
      <c r="CH295" s="883"/>
      <c r="CI295" s="883"/>
      <c r="CJ295" s="883"/>
      <c r="CK295" s="883"/>
      <c r="CL295" s="883"/>
      <c r="CM295" s="884">
        <f>IFERROR(__xludf.DUMMYFUNCTION("""COMPUTED_VALUE"""),1.0)</f>
        <v>1</v>
      </c>
      <c r="CN295" s="883"/>
      <c r="CO295" s="883"/>
      <c r="CP295" s="883"/>
      <c r="CQ295" s="883"/>
      <c r="CR295" s="883"/>
      <c r="CS295" s="883" t="str">
        <f>IFERROR(__xludf.DUMMYFUNCTION("""COMPUTED_VALUE"""),"High efficacy of ivermectin against A. lumbricoides is in agreement with previous conclusions that ivermectin has a few side effects and is very effective in treating ascaris")</f>
        <v>High efficacy of ivermectin against A. lumbricoides is in agreement with previous conclusions that ivermectin has a few side effects and is very effective in treating ascaris</v>
      </c>
      <c r="CT295" s="883" t="str">
        <f>IFERROR(__xludf.DUMMYFUNCTION("""COMPUTED_VALUE"""),"Kato-Katz technique")</f>
        <v>Kato-Katz technique</v>
      </c>
      <c r="CU295" s="883"/>
      <c r="CV295" s="863"/>
      <c r="CW295" s="863"/>
      <c r="CX295" s="863"/>
      <c r="CY295" s="863"/>
      <c r="CZ295" s="863"/>
      <c r="DA295" s="863"/>
      <c r="DB295" s="863"/>
      <c r="DC295" s="863"/>
      <c r="DD295" s="863"/>
      <c r="DE295" s="863"/>
    </row>
    <row r="296">
      <c r="A296" s="876"/>
      <c r="B296" s="876"/>
      <c r="C296" s="876"/>
      <c r="D296" s="876"/>
      <c r="E296" s="876"/>
      <c r="F296" s="876"/>
      <c r="G296" s="876"/>
      <c r="H296" s="876"/>
      <c r="I296" s="876"/>
      <c r="J296" s="876"/>
      <c r="K296" s="876"/>
      <c r="L296" s="876"/>
      <c r="M296" s="876"/>
      <c r="N296" s="877"/>
      <c r="O296" s="876"/>
      <c r="P296" s="876"/>
      <c r="Q296" s="876"/>
      <c r="R296" s="876"/>
      <c r="S296" s="876"/>
      <c r="T296" s="876"/>
      <c r="U296" s="876"/>
      <c r="V296" s="876"/>
      <c r="W296" s="876"/>
      <c r="X296" s="876"/>
      <c r="Y296" s="876"/>
      <c r="Z296" s="876"/>
      <c r="AA296" s="876"/>
      <c r="AB296" s="876"/>
      <c r="AC296" s="876"/>
      <c r="AD296" s="876"/>
      <c r="AE296" s="876"/>
      <c r="AF296" s="876"/>
      <c r="AG296" s="876"/>
      <c r="AH296" s="876"/>
      <c r="AI296" s="878"/>
      <c r="AJ296" s="880"/>
      <c r="AK296" s="880"/>
      <c r="AL296" s="880"/>
      <c r="AM296" s="880"/>
      <c r="AN296" s="880"/>
      <c r="AO296" s="880"/>
      <c r="AP296" s="880"/>
      <c r="AQ296" s="880"/>
      <c r="AR296" s="880"/>
      <c r="AS296" s="880"/>
      <c r="AT296" s="880"/>
      <c r="AU296" s="880"/>
      <c r="AV296" s="880"/>
      <c r="AW296" s="881"/>
      <c r="AX296" s="863"/>
      <c r="AY296" s="863"/>
      <c r="AZ296" s="863"/>
      <c r="BA296" s="863"/>
      <c r="BB296" s="863"/>
      <c r="BC296" s="863"/>
      <c r="BD296" s="863"/>
      <c r="BE296" s="863"/>
      <c r="BF296" s="863"/>
      <c r="BG296" s="863"/>
      <c r="BH296" s="863"/>
      <c r="BI296" s="863"/>
      <c r="BJ296" s="863"/>
      <c r="BK296" s="863"/>
      <c r="BL296" s="863"/>
      <c r="BM296" s="863"/>
      <c r="BN296" s="863"/>
      <c r="BO296" s="863"/>
      <c r="BP296" s="880"/>
      <c r="BQ296" s="863"/>
      <c r="BR296" s="889" t="str">
        <f>IFERROR(__xludf.DUMMYFUNCTION("""COMPUTED_VALUE"""),"Wimmersberger et al.")</f>
        <v>Wimmersberger et al.</v>
      </c>
      <c r="BS296" s="883" t="str">
        <f>IFERROR(__xludf.DUMMYFUNCTION("""COMPUTED_VALUE"""),"Côte d'Ivoire")</f>
        <v>Côte d'Ivoire</v>
      </c>
      <c r="BT296" s="883" t="str">
        <f>IFERROR(__xludf.DUMMYFUNCTION("""COMPUTED_VALUE"""),"Ivermectin")</f>
        <v>Ivermectin</v>
      </c>
      <c r="BU296" s="883"/>
      <c r="BV296" s="883" t="str">
        <f>IFERROR(__xludf.DUMMYFUNCTION("""COMPUTED_VALUE"""),"Single")</f>
        <v>Single</v>
      </c>
      <c r="BW296" s="883" t="str">
        <f>IFERROR(__xludf.DUMMYFUNCTION("""COMPUTED_VALUE"""),"400 µg/kg")</f>
        <v>400 µg/kg</v>
      </c>
      <c r="BX296" s="895" t="str">
        <f>IFERROR(__xludf.DUMMYFUNCTION("""COMPUTED_VALUE"""),"43")</f>
        <v>43</v>
      </c>
      <c r="BY296" s="895" t="str">
        <f>IFERROR(__xludf.DUMMYFUNCTION("""COMPUTED_VALUE"""),"8.5")</f>
        <v>8.5</v>
      </c>
      <c r="BZ296" s="895" t="str">
        <f>IFERROR(__xludf.DUMMYFUNCTION("""COMPUTED_VALUE"""),"2017")</f>
        <v>2017</v>
      </c>
      <c r="CA296" s="895" t="str">
        <f>IFERROR(__xludf.DUMMYFUNCTION("""COMPUTED_VALUE"""),"23M:20F")</f>
        <v>23M:20F</v>
      </c>
      <c r="CB296" s="884" t="str">
        <f>IFERROR(__xludf.DUMMYFUNCTION("""COMPUTED_VALUE"""),"Children 2-12 years of age who were positive for roundworm were eligible. To avoid high CRs children &gt; 60 eggs per gram of stool in PSAC and 100 EPG in SAC were included")</f>
        <v>Children 2-12 years of age who were positive for roundworm were eligible. To avoid high CRs children &gt; 60 eggs per gram of stool in PSAC and 100 EPG in SAC were included</v>
      </c>
      <c r="CC296" s="895" t="str">
        <f>IFERROR(__xludf.DUMMYFUNCTION("""COMPUTED_VALUE"""),"Yes")</f>
        <v>Yes</v>
      </c>
      <c r="CD296" s="884">
        <f>IFERROR(__xludf.DUMMYFUNCTION("""COMPUTED_VALUE"""),0.923)</f>
        <v>0.923</v>
      </c>
      <c r="CE296" s="895" t="str">
        <f>IFERROR(__xludf.DUMMYFUNCTION("""COMPUTED_VALUE"""),"Yes")</f>
        <v>Yes</v>
      </c>
      <c r="CF296" s="883"/>
      <c r="CG296" s="883"/>
      <c r="CH296" s="883"/>
      <c r="CI296" s="883"/>
      <c r="CJ296" s="883"/>
      <c r="CK296" s="883"/>
      <c r="CL296" s="883"/>
      <c r="CM296" s="884">
        <f>IFERROR(__xludf.DUMMYFUNCTION("""COMPUTED_VALUE"""),1.0)</f>
        <v>1</v>
      </c>
      <c r="CN296" s="883"/>
      <c r="CO296" s="883"/>
      <c r="CP296" s="883"/>
      <c r="CQ296" s="883"/>
      <c r="CR296" s="883"/>
      <c r="CS296" s="883" t="str">
        <f>IFERROR(__xludf.DUMMYFUNCTION("""COMPUTED_VALUE"""),"High efficacy of ivermectin against A. lumbricoides is in agreement with previous conclusions that ivermectin has a few side effects and is very effective in treating ascaris")</f>
        <v>High efficacy of ivermectin against A. lumbricoides is in agreement with previous conclusions that ivermectin has a few side effects and is very effective in treating ascaris</v>
      </c>
      <c r="CT296" s="883" t="str">
        <f>IFERROR(__xludf.DUMMYFUNCTION("""COMPUTED_VALUE"""),"Kato-Katz technique")</f>
        <v>Kato-Katz technique</v>
      </c>
      <c r="CU296" s="883"/>
      <c r="CV296" s="863"/>
      <c r="CW296" s="863"/>
      <c r="CX296" s="863"/>
      <c r="CY296" s="863"/>
      <c r="CZ296" s="863"/>
      <c r="DA296" s="863"/>
      <c r="DB296" s="863"/>
      <c r="DC296" s="863"/>
      <c r="DD296" s="863"/>
      <c r="DE296" s="863"/>
    </row>
    <row r="297">
      <c r="A297" s="876"/>
      <c r="B297" s="876"/>
      <c r="C297" s="876"/>
      <c r="D297" s="876"/>
      <c r="E297" s="876"/>
      <c r="F297" s="876"/>
      <c r="G297" s="876"/>
      <c r="H297" s="876"/>
      <c r="I297" s="876"/>
      <c r="J297" s="876"/>
      <c r="K297" s="876"/>
      <c r="L297" s="876"/>
      <c r="M297" s="876"/>
      <c r="N297" s="877"/>
      <c r="O297" s="876"/>
      <c r="P297" s="876"/>
      <c r="Q297" s="876"/>
      <c r="R297" s="876"/>
      <c r="S297" s="876"/>
      <c r="T297" s="876"/>
      <c r="U297" s="876"/>
      <c r="V297" s="876"/>
      <c r="W297" s="876"/>
      <c r="X297" s="876"/>
      <c r="Y297" s="876"/>
      <c r="Z297" s="876"/>
      <c r="AA297" s="876"/>
      <c r="AB297" s="876"/>
      <c r="AC297" s="876"/>
      <c r="AD297" s="876"/>
      <c r="AE297" s="876"/>
      <c r="AF297" s="876"/>
      <c r="AG297" s="876"/>
      <c r="AH297" s="876"/>
      <c r="AI297" s="878"/>
      <c r="AJ297" s="880"/>
      <c r="AK297" s="880"/>
      <c r="AL297" s="880"/>
      <c r="AM297" s="880"/>
      <c r="AN297" s="880"/>
      <c r="AO297" s="880"/>
      <c r="AP297" s="880"/>
      <c r="AQ297" s="880"/>
      <c r="AR297" s="880"/>
      <c r="AS297" s="880"/>
      <c r="AT297" s="880"/>
      <c r="AU297" s="880"/>
      <c r="AV297" s="880"/>
      <c r="AW297" s="881"/>
      <c r="AX297" s="863"/>
      <c r="AY297" s="863"/>
      <c r="AZ297" s="863"/>
      <c r="BA297" s="863"/>
      <c r="BB297" s="863"/>
      <c r="BC297" s="863"/>
      <c r="BD297" s="863"/>
      <c r="BE297" s="863"/>
      <c r="BF297" s="863"/>
      <c r="BG297" s="863"/>
      <c r="BH297" s="863"/>
      <c r="BI297" s="863"/>
      <c r="BJ297" s="863"/>
      <c r="BK297" s="863"/>
      <c r="BL297" s="863"/>
      <c r="BM297" s="863"/>
      <c r="BN297" s="863"/>
      <c r="BO297" s="863"/>
      <c r="BP297" s="880"/>
      <c r="BQ297" s="863"/>
      <c r="BR297" s="889" t="str">
        <f>IFERROR(__xludf.DUMMYFUNCTION("""COMPUTED_VALUE"""),"Wimmersberger et al.")</f>
        <v>Wimmersberger et al.</v>
      </c>
      <c r="BS297" s="883" t="str">
        <f>IFERROR(__xludf.DUMMYFUNCTION("""COMPUTED_VALUE"""),"Côte d'Ivoire")</f>
        <v>Côte d'Ivoire</v>
      </c>
      <c r="BT297" s="883" t="str">
        <f>IFERROR(__xludf.DUMMYFUNCTION("""COMPUTED_VALUE"""),"Ivermectin")</f>
        <v>Ivermectin</v>
      </c>
      <c r="BU297" s="883"/>
      <c r="BV297" s="883" t="str">
        <f>IFERROR(__xludf.DUMMYFUNCTION("""COMPUTED_VALUE"""),"Single")</f>
        <v>Single</v>
      </c>
      <c r="BW297" s="883" t="str">
        <f>IFERROR(__xludf.DUMMYFUNCTION("""COMPUTED_VALUE"""),"600 µg/kg")</f>
        <v>600 µg/kg</v>
      </c>
      <c r="BX297" s="895" t="str">
        <f>IFERROR(__xludf.DUMMYFUNCTION("""COMPUTED_VALUE"""),"42")</f>
        <v>42</v>
      </c>
      <c r="BY297" s="895" t="str">
        <f>IFERROR(__xludf.DUMMYFUNCTION("""COMPUTED_VALUE"""),"8.4")</f>
        <v>8.4</v>
      </c>
      <c r="BZ297" s="895" t="str">
        <f>IFERROR(__xludf.DUMMYFUNCTION("""COMPUTED_VALUE"""),"2017")</f>
        <v>2017</v>
      </c>
      <c r="CA297" s="895" t="str">
        <f>IFERROR(__xludf.DUMMYFUNCTION("""COMPUTED_VALUE"""),"24M:18F")</f>
        <v>24M:18F</v>
      </c>
      <c r="CB297" s="884" t="str">
        <f>IFERROR(__xludf.DUMMYFUNCTION("""COMPUTED_VALUE"""),"Children 2-12 years of age who were positive for roundworm were eligible. To avoid high CRs children &gt; 60 eggs per gram of stool in PSAC and 100 EPG in SAC were included")</f>
        <v>Children 2-12 years of age who were positive for roundworm were eligible. To avoid high CRs children &gt; 60 eggs per gram of stool in PSAC and 100 EPG in SAC were included</v>
      </c>
      <c r="CC297" s="895" t="str">
        <f>IFERROR(__xludf.DUMMYFUNCTION("""COMPUTED_VALUE"""),"Yes")</f>
        <v>Yes</v>
      </c>
      <c r="CD297" s="884">
        <f>IFERROR(__xludf.DUMMYFUNCTION("""COMPUTED_VALUE"""),0.875)</f>
        <v>0.875</v>
      </c>
      <c r="CE297" s="895" t="str">
        <f>IFERROR(__xludf.DUMMYFUNCTION("""COMPUTED_VALUE"""),"Yes")</f>
        <v>Yes</v>
      </c>
      <c r="CF297" s="883"/>
      <c r="CG297" s="883"/>
      <c r="CH297" s="883"/>
      <c r="CI297" s="883"/>
      <c r="CJ297" s="883"/>
      <c r="CK297" s="883"/>
      <c r="CL297" s="883"/>
      <c r="CM297" s="884">
        <f>IFERROR(__xludf.DUMMYFUNCTION("""COMPUTED_VALUE"""),1.0)</f>
        <v>1</v>
      </c>
      <c r="CN297" s="883"/>
      <c r="CO297" s="883"/>
      <c r="CP297" s="883"/>
      <c r="CQ297" s="883"/>
      <c r="CR297" s="883"/>
      <c r="CS297" s="883" t="str">
        <f>IFERROR(__xludf.DUMMYFUNCTION("""COMPUTED_VALUE"""),"High efficacy of ivermectin against A. lumbricoides is in agreement with previous conclusions that ivermectin has a few side effects and is very effective in treating ascaris")</f>
        <v>High efficacy of ivermectin against A. lumbricoides is in agreement with previous conclusions that ivermectin has a few side effects and is very effective in treating ascaris</v>
      </c>
      <c r="CT297" s="883" t="str">
        <f>IFERROR(__xludf.DUMMYFUNCTION("""COMPUTED_VALUE"""),"Kato-Katz technique")</f>
        <v>Kato-Katz technique</v>
      </c>
      <c r="CU297" s="883"/>
      <c r="CV297" s="863"/>
      <c r="CW297" s="863"/>
      <c r="CX297" s="863"/>
      <c r="CY297" s="863"/>
      <c r="CZ297" s="863"/>
      <c r="DA297" s="863"/>
      <c r="DB297" s="863"/>
      <c r="DC297" s="863"/>
      <c r="DD297" s="863"/>
      <c r="DE297" s="863"/>
    </row>
    <row r="298">
      <c r="A298" s="876"/>
      <c r="B298" s="876"/>
      <c r="C298" s="876"/>
      <c r="D298" s="876"/>
      <c r="E298" s="876"/>
      <c r="F298" s="876"/>
      <c r="G298" s="876"/>
      <c r="H298" s="876"/>
      <c r="I298" s="876"/>
      <c r="J298" s="876"/>
      <c r="K298" s="876"/>
      <c r="L298" s="876"/>
      <c r="M298" s="876"/>
      <c r="N298" s="877"/>
      <c r="O298" s="876"/>
      <c r="P298" s="876"/>
      <c r="Q298" s="876"/>
      <c r="R298" s="876"/>
      <c r="S298" s="876"/>
      <c r="T298" s="876"/>
      <c r="U298" s="876"/>
      <c r="V298" s="876"/>
      <c r="W298" s="876"/>
      <c r="X298" s="876"/>
      <c r="Y298" s="876"/>
      <c r="Z298" s="876"/>
      <c r="AA298" s="876"/>
      <c r="AB298" s="876"/>
      <c r="AC298" s="876"/>
      <c r="AD298" s="876"/>
      <c r="AE298" s="876"/>
      <c r="AF298" s="876"/>
      <c r="AG298" s="876"/>
      <c r="AH298" s="876"/>
      <c r="AI298" s="878"/>
      <c r="AJ298" s="880"/>
      <c r="AK298" s="880"/>
      <c r="AL298" s="880"/>
      <c r="AM298" s="880"/>
      <c r="AN298" s="880"/>
      <c r="AO298" s="880"/>
      <c r="AP298" s="880"/>
      <c r="AQ298" s="880"/>
      <c r="AR298" s="880"/>
      <c r="AS298" s="880"/>
      <c r="AT298" s="880"/>
      <c r="AU298" s="880"/>
      <c r="AV298" s="880"/>
      <c r="AW298" s="881"/>
      <c r="AX298" s="863"/>
      <c r="AY298" s="863"/>
      <c r="AZ298" s="863"/>
      <c r="BA298" s="863"/>
      <c r="BB298" s="863"/>
      <c r="BC298" s="863"/>
      <c r="BD298" s="863"/>
      <c r="BE298" s="863"/>
      <c r="BF298" s="863"/>
      <c r="BG298" s="863"/>
      <c r="BH298" s="863"/>
      <c r="BI298" s="863"/>
      <c r="BJ298" s="863"/>
      <c r="BK298" s="863"/>
      <c r="BL298" s="863"/>
      <c r="BM298" s="863"/>
      <c r="BN298" s="863"/>
      <c r="BO298" s="863"/>
      <c r="BP298" s="880"/>
      <c r="BQ298" s="863"/>
      <c r="BR298" s="889" t="str">
        <f>IFERROR(__xludf.DUMMYFUNCTION("""COMPUTED_VALUE"""),"Albonico et al.")</f>
        <v>Albonico et al.</v>
      </c>
      <c r="BS298" s="883" t="str">
        <f>IFERROR(__xludf.DUMMYFUNCTION("""COMPUTED_VALUE"""),"Zanzibar ")</f>
        <v>Zanzibar </v>
      </c>
      <c r="BT298" s="883" t="str">
        <f>IFERROR(__xludf.DUMMYFUNCTION("""COMPUTED_VALUE"""),"Mebendazole")</f>
        <v>Mebendazole</v>
      </c>
      <c r="BU298" s="883"/>
      <c r="BV298" s="883" t="str">
        <f>IFERROR(__xludf.DUMMYFUNCTION("""COMPUTED_VALUE"""),"Single")</f>
        <v>Single</v>
      </c>
      <c r="BW298" s="883" t="str">
        <f>IFERROR(__xludf.DUMMYFUNCTION("""COMPUTED_VALUE"""),"500 mg")</f>
        <v>500 mg</v>
      </c>
      <c r="BX298" s="895" t="str">
        <f>IFERROR(__xludf.DUMMYFUNCTION("""COMPUTED_VALUE"""),"448")</f>
        <v>448</v>
      </c>
      <c r="BY298" s="895" t="str">
        <f>IFERROR(__xludf.DUMMYFUNCTION("""COMPUTED_VALUE"""),"9.5")</f>
        <v>9.5</v>
      </c>
      <c r="BZ298" s="895" t="str">
        <f>IFERROR(__xludf.DUMMYFUNCTION("""COMPUTED_VALUE"""),"2000")</f>
        <v>2000</v>
      </c>
      <c r="CA298" s="883"/>
      <c r="CB298" s="883" t="str">
        <f>IFERROR(__xludf.DUMMYFUNCTION("""COMPUTED_VALUE"""),"Children 6-9 Years of age in pemba Island who provided a stool sample, positive for roundworm, and had parental or guardian permission to participate")</f>
        <v>Children 6-9 Years of age in pemba Island who provided a stool sample, positive for roundworm, and had parental or guardian permission to participate</v>
      </c>
      <c r="CC298" s="895" t="str">
        <f>IFERROR(__xludf.DUMMYFUNCTION("""COMPUTED_VALUE"""),"Yes")</f>
        <v>Yes</v>
      </c>
      <c r="CD298" s="884">
        <f>IFERROR(__xludf.DUMMYFUNCTION("""COMPUTED_VALUE"""),0.98)</f>
        <v>0.98</v>
      </c>
      <c r="CE298" s="895" t="str">
        <f>IFERROR(__xludf.DUMMYFUNCTION("""COMPUTED_VALUE"""),"Yes")</f>
        <v>Yes</v>
      </c>
      <c r="CF298" s="883"/>
      <c r="CG298" s="883"/>
      <c r="CH298" s="883"/>
      <c r="CI298" s="883"/>
      <c r="CJ298" s="883"/>
      <c r="CK298" s="883"/>
      <c r="CL298" s="883"/>
      <c r="CM298" s="884">
        <f>IFERROR(__xludf.DUMMYFUNCTION("""COMPUTED_VALUE"""),0.961)</f>
        <v>0.961</v>
      </c>
      <c r="CN298" s="883"/>
      <c r="CO298" s="883"/>
      <c r="CP298" s="883"/>
      <c r="CQ298" s="883"/>
      <c r="CR298" s="883"/>
      <c r="CS298" s="883" t="str">
        <f>IFERROR(__xludf.DUMMYFUNCTION("""COMPUTED_VALUE"""),"Both mebendazole and pyrantel-oxantel are highly effective single-dose treatment for A. lumbricoides infection with mean egg counts after treatment being reduced by more than 95%")</f>
        <v>Both mebendazole and pyrantel-oxantel are highly effective single-dose treatment for A. lumbricoides infection with mean egg counts after treatment being reduced by more than 95%</v>
      </c>
      <c r="CT298" s="883" t="str">
        <f>IFERROR(__xludf.DUMMYFUNCTION("""COMPUTED_VALUE"""),"Kate-Katz Technique")</f>
        <v>Kate-Katz Technique</v>
      </c>
      <c r="CU298" s="883"/>
      <c r="CV298" s="863"/>
      <c r="CW298" s="863"/>
      <c r="CX298" s="863"/>
      <c r="CY298" s="863"/>
      <c r="CZ298" s="863"/>
      <c r="DA298" s="863"/>
      <c r="DB298" s="863"/>
      <c r="DC298" s="863"/>
      <c r="DD298" s="863"/>
      <c r="DE298" s="863"/>
    </row>
    <row r="299">
      <c r="A299" s="876"/>
      <c r="B299" s="876"/>
      <c r="C299" s="876"/>
      <c r="D299" s="876"/>
      <c r="E299" s="876"/>
      <c r="F299" s="876"/>
      <c r="G299" s="876"/>
      <c r="H299" s="876"/>
      <c r="I299" s="876"/>
      <c r="J299" s="876"/>
      <c r="K299" s="876"/>
      <c r="L299" s="876"/>
      <c r="M299" s="876"/>
      <c r="N299" s="877"/>
      <c r="O299" s="876"/>
      <c r="P299" s="876"/>
      <c r="Q299" s="876"/>
      <c r="R299" s="876"/>
      <c r="S299" s="876"/>
      <c r="T299" s="876"/>
      <c r="U299" s="876"/>
      <c r="V299" s="876"/>
      <c r="W299" s="876"/>
      <c r="X299" s="876"/>
      <c r="Y299" s="876"/>
      <c r="Z299" s="876"/>
      <c r="AA299" s="876"/>
      <c r="AB299" s="876"/>
      <c r="AC299" s="876"/>
      <c r="AD299" s="876"/>
      <c r="AE299" s="876"/>
      <c r="AF299" s="876"/>
      <c r="AG299" s="876"/>
      <c r="AH299" s="876"/>
      <c r="AI299" s="878"/>
      <c r="AJ299" s="880"/>
      <c r="AK299" s="880"/>
      <c r="AL299" s="880"/>
      <c r="AM299" s="880"/>
      <c r="AN299" s="880"/>
      <c r="AO299" s="880"/>
      <c r="AP299" s="880"/>
      <c r="AQ299" s="880"/>
      <c r="AR299" s="880"/>
      <c r="AS299" s="880"/>
      <c r="AT299" s="880"/>
      <c r="AU299" s="880"/>
      <c r="AV299" s="880"/>
      <c r="AW299" s="881"/>
      <c r="AX299" s="863"/>
      <c r="AY299" s="863"/>
      <c r="AZ299" s="863"/>
      <c r="BA299" s="863"/>
      <c r="BB299" s="863"/>
      <c r="BC299" s="863"/>
      <c r="BD299" s="863"/>
      <c r="BE299" s="863"/>
      <c r="BF299" s="863"/>
      <c r="BG299" s="863"/>
      <c r="BH299" s="863"/>
      <c r="BI299" s="863"/>
      <c r="BJ299" s="863"/>
      <c r="BK299" s="863"/>
      <c r="BL299" s="863"/>
      <c r="BM299" s="863"/>
      <c r="BN299" s="863"/>
      <c r="BO299" s="863"/>
      <c r="BP299" s="880"/>
      <c r="BQ299" s="863"/>
      <c r="BR299" s="889" t="str">
        <f>IFERROR(__xludf.DUMMYFUNCTION("""COMPUTED_VALUE"""),"Albonico et al.")</f>
        <v>Albonico et al.</v>
      </c>
      <c r="BS299" s="883" t="str">
        <f>IFERROR(__xludf.DUMMYFUNCTION("""COMPUTED_VALUE"""),"Zanzibar ")</f>
        <v>Zanzibar </v>
      </c>
      <c r="BT299" s="883" t="str">
        <f>IFERROR(__xludf.DUMMYFUNCTION("""COMPUTED_VALUE"""),"Pyrantel Oxantel")</f>
        <v>Pyrantel Oxantel</v>
      </c>
      <c r="BU299" s="883"/>
      <c r="BV299" s="883" t="str">
        <f>IFERROR(__xludf.DUMMYFUNCTION("""COMPUTED_VALUE"""),"Single")</f>
        <v>Single</v>
      </c>
      <c r="BW299" s="883" t="str">
        <f>IFERROR(__xludf.DUMMYFUNCTION("""COMPUTED_VALUE"""),"10mg/kg")</f>
        <v>10mg/kg</v>
      </c>
      <c r="BX299" s="895" t="str">
        <f>IFERROR(__xludf.DUMMYFUNCTION("""COMPUTED_VALUE"""),"440")</f>
        <v>440</v>
      </c>
      <c r="BY299" s="895" t="str">
        <f>IFERROR(__xludf.DUMMYFUNCTION("""COMPUTED_VALUE"""),"9.5")</f>
        <v>9.5</v>
      </c>
      <c r="BZ299" s="895" t="str">
        <f>IFERROR(__xludf.DUMMYFUNCTION("""COMPUTED_VALUE"""),"2000")</f>
        <v>2000</v>
      </c>
      <c r="CA299" s="883"/>
      <c r="CB299" s="883" t="str">
        <f>IFERROR(__xludf.DUMMYFUNCTION("""COMPUTED_VALUE"""),"Children 6-9 Years of age in pemba Island who provided a stool sample, positive for roundworm, and had parental or guardian permission to participate")</f>
        <v>Children 6-9 Years of age in pemba Island who provided a stool sample, positive for roundworm, and had parental or guardian permission to participate</v>
      </c>
      <c r="CC299" s="895" t="str">
        <f>IFERROR(__xludf.DUMMYFUNCTION("""COMPUTED_VALUE"""),"Yes")</f>
        <v>Yes</v>
      </c>
      <c r="CD299" s="884">
        <f>IFERROR(__xludf.DUMMYFUNCTION("""COMPUTED_VALUE"""),0.963)</f>
        <v>0.963</v>
      </c>
      <c r="CE299" s="895" t="str">
        <f>IFERROR(__xludf.DUMMYFUNCTION("""COMPUTED_VALUE"""),"Yes")</f>
        <v>Yes</v>
      </c>
      <c r="CF299" s="883"/>
      <c r="CG299" s="883"/>
      <c r="CH299" s="883"/>
      <c r="CI299" s="883"/>
      <c r="CJ299" s="883"/>
      <c r="CK299" s="883"/>
      <c r="CL299" s="883"/>
      <c r="CM299" s="884">
        <f>IFERROR(__xludf.DUMMYFUNCTION("""COMPUTED_VALUE"""),0.951)</f>
        <v>0.951</v>
      </c>
      <c r="CN299" s="883"/>
      <c r="CO299" s="883"/>
      <c r="CP299" s="883"/>
      <c r="CQ299" s="883"/>
      <c r="CR299" s="883"/>
      <c r="CS299" s="883" t="str">
        <f>IFERROR(__xludf.DUMMYFUNCTION("""COMPUTED_VALUE"""),"Both mebendazole and pyrantel-oxantel are highly effective single-dose treatment for A. lumbricoides infection with mean egg counts after treatment being reduced by more than 95%")</f>
        <v>Both mebendazole and pyrantel-oxantel are highly effective single-dose treatment for A. lumbricoides infection with mean egg counts after treatment being reduced by more than 95%</v>
      </c>
      <c r="CT299" s="883" t="str">
        <f>IFERROR(__xludf.DUMMYFUNCTION("""COMPUTED_VALUE"""),"Kate-Katz Technique")</f>
        <v>Kate-Katz Technique</v>
      </c>
      <c r="CU299" s="883"/>
      <c r="CV299" s="863"/>
      <c r="CW299" s="863"/>
      <c r="CX299" s="863"/>
      <c r="CY299" s="863"/>
      <c r="CZ299" s="863"/>
      <c r="DA299" s="863"/>
      <c r="DB299" s="863"/>
      <c r="DC299" s="863"/>
      <c r="DD299" s="863"/>
      <c r="DE299" s="863"/>
    </row>
    <row r="300">
      <c r="A300" s="876"/>
      <c r="B300" s="876"/>
      <c r="C300" s="876"/>
      <c r="D300" s="876"/>
      <c r="E300" s="876"/>
      <c r="F300" s="876"/>
      <c r="G300" s="876"/>
      <c r="H300" s="876"/>
      <c r="I300" s="876"/>
      <c r="J300" s="876"/>
      <c r="K300" s="876"/>
      <c r="L300" s="876"/>
      <c r="M300" s="876"/>
      <c r="N300" s="877"/>
      <c r="O300" s="876"/>
      <c r="P300" s="876"/>
      <c r="Q300" s="876"/>
      <c r="R300" s="876"/>
      <c r="S300" s="876"/>
      <c r="T300" s="876"/>
      <c r="U300" s="876"/>
      <c r="V300" s="876"/>
      <c r="W300" s="876"/>
      <c r="X300" s="876"/>
      <c r="Y300" s="876"/>
      <c r="Z300" s="876"/>
      <c r="AA300" s="876"/>
      <c r="AB300" s="876"/>
      <c r="AC300" s="876"/>
      <c r="AD300" s="876"/>
      <c r="AE300" s="876"/>
      <c r="AF300" s="876"/>
      <c r="AG300" s="876"/>
      <c r="AH300" s="876"/>
      <c r="AI300" s="878"/>
      <c r="AJ300" s="880"/>
      <c r="AK300" s="880"/>
      <c r="AL300" s="880"/>
      <c r="AM300" s="880"/>
      <c r="AN300" s="880"/>
      <c r="AO300" s="880"/>
      <c r="AP300" s="880"/>
      <c r="AQ300" s="880"/>
      <c r="AR300" s="880"/>
      <c r="AS300" s="880"/>
      <c r="AT300" s="880"/>
      <c r="AU300" s="880"/>
      <c r="AV300" s="880"/>
      <c r="AW300" s="881"/>
      <c r="AX300" s="863"/>
      <c r="AY300" s="863"/>
      <c r="AZ300" s="863"/>
      <c r="BA300" s="863"/>
      <c r="BB300" s="863"/>
      <c r="BC300" s="863"/>
      <c r="BD300" s="863"/>
      <c r="BE300" s="863"/>
      <c r="BF300" s="863"/>
      <c r="BG300" s="863"/>
      <c r="BH300" s="863"/>
      <c r="BI300" s="863"/>
      <c r="BJ300" s="863"/>
      <c r="BK300" s="863"/>
      <c r="BL300" s="863"/>
      <c r="BM300" s="863"/>
      <c r="BN300" s="863"/>
      <c r="BO300" s="863"/>
      <c r="BP300" s="880"/>
      <c r="BQ300" s="863"/>
      <c r="BR300" s="889" t="str">
        <f>IFERROR(__xludf.DUMMYFUNCTION("""COMPUTED_VALUE"""),"Marti et al.")</f>
        <v>Marti et al.</v>
      </c>
      <c r="BS300" s="883" t="str">
        <f>IFERROR(__xludf.DUMMYFUNCTION("""COMPUTED_VALUE"""),"Tanziana")</f>
        <v>Tanziana</v>
      </c>
      <c r="BT300" s="883" t="str">
        <f>IFERROR(__xludf.DUMMYFUNCTION("""COMPUTED_VALUE"""),"Ivermectin")</f>
        <v>Ivermectin</v>
      </c>
      <c r="BU300" s="883"/>
      <c r="BV300" s="883" t="str">
        <f>IFERROR(__xludf.DUMMYFUNCTION("""COMPUTED_VALUE"""),"Single")</f>
        <v>Single</v>
      </c>
      <c r="BW300" s="883" t="str">
        <f>IFERROR(__xludf.DUMMYFUNCTION("""COMPUTED_VALUE"""),"200 µg/kg")</f>
        <v>200 µg/kg</v>
      </c>
      <c r="BX300" s="895" t="str">
        <f>IFERROR(__xludf.DUMMYFUNCTION("""COMPUTED_VALUE"""),"152")</f>
        <v>152</v>
      </c>
      <c r="BY300" s="883"/>
      <c r="BZ300" s="895" t="str">
        <f>IFERROR(__xludf.DUMMYFUNCTION("""COMPUTED_VALUE"""),"1994")</f>
        <v>1994</v>
      </c>
      <c r="CA300" s="895" t="str">
        <f>IFERROR(__xludf.DUMMYFUNCTION("""COMPUTED_VALUE"""),"58M:94F")</f>
        <v>58M:94F</v>
      </c>
      <c r="CB300" s="883" t="str">
        <f>IFERROR(__xludf.DUMMYFUNCTION("""COMPUTED_VALUE"""),"Children 4-10 years of age with written informed consent from parent or guardian and positive for Roundworm")</f>
        <v>Children 4-10 years of age with written informed consent from parent or guardian and positive for Roundworm</v>
      </c>
      <c r="CC300" s="895" t="str">
        <f>IFERROR(__xludf.DUMMYFUNCTION("""COMPUTED_VALUE"""),"Yes")</f>
        <v>Yes</v>
      </c>
      <c r="CD300" s="884" t="str">
        <f>IFERROR(__xludf.DUMMYFUNCTION("""COMPUTED_VALUE"""),"100.00%")</f>
        <v>100.00%</v>
      </c>
      <c r="CE300" s="895" t="str">
        <f>IFERROR(__xludf.DUMMYFUNCTION("""COMPUTED_VALUE"""),"No")</f>
        <v>No</v>
      </c>
      <c r="CF300" s="883"/>
      <c r="CG300" s="883"/>
      <c r="CH300" s="883"/>
      <c r="CI300" s="883"/>
      <c r="CJ300" s="883"/>
      <c r="CK300" s="883"/>
      <c r="CL300" s="883"/>
      <c r="CM300" s="895" t="str">
        <f>IFERROR(__xludf.DUMMYFUNCTION("""COMPUTED_VALUE"""),"100.00%")</f>
        <v>100.00%</v>
      </c>
      <c r="CN300" s="883"/>
      <c r="CO300" s="883"/>
      <c r="CP300" s="883"/>
      <c r="CQ300" s="883"/>
      <c r="CR300" s="883"/>
      <c r="CS300" s="883" t="str">
        <f>IFERROR(__xludf.DUMMYFUNCTION("""COMPUTED_VALUE"""),"Ivermectin provides a safe and highly effective single dose treatment for roundworm")</f>
        <v>Ivermectin provides a safe and highly effective single dose treatment for roundworm</v>
      </c>
      <c r="CT300" s="883" t="str">
        <f>IFERROR(__xludf.DUMMYFUNCTION("""COMPUTED_VALUE"""),"Kato-Katz Technique")</f>
        <v>Kato-Katz Technique</v>
      </c>
      <c r="CU300" s="883"/>
      <c r="CV300" s="863"/>
      <c r="CW300" s="863"/>
      <c r="CX300" s="863"/>
      <c r="CY300" s="863"/>
      <c r="CZ300" s="863"/>
      <c r="DA300" s="863"/>
      <c r="DB300" s="863"/>
      <c r="DC300" s="863"/>
      <c r="DD300" s="863"/>
      <c r="DE300" s="863"/>
    </row>
    <row r="301">
      <c r="A301" s="876"/>
      <c r="B301" s="876"/>
      <c r="C301" s="876"/>
      <c r="D301" s="876"/>
      <c r="E301" s="876"/>
      <c r="F301" s="876"/>
      <c r="G301" s="876"/>
      <c r="H301" s="876"/>
      <c r="I301" s="876"/>
      <c r="J301" s="876"/>
      <c r="K301" s="876"/>
      <c r="L301" s="876"/>
      <c r="M301" s="876"/>
      <c r="N301" s="877"/>
      <c r="O301" s="876"/>
      <c r="P301" s="876"/>
      <c r="Q301" s="876"/>
      <c r="R301" s="876"/>
      <c r="S301" s="876"/>
      <c r="T301" s="876"/>
      <c r="U301" s="876"/>
      <c r="V301" s="876"/>
      <c r="W301" s="876"/>
      <c r="X301" s="876"/>
      <c r="Y301" s="876"/>
      <c r="Z301" s="876"/>
      <c r="AA301" s="876"/>
      <c r="AB301" s="876"/>
      <c r="AC301" s="876"/>
      <c r="AD301" s="876"/>
      <c r="AE301" s="876"/>
      <c r="AF301" s="876"/>
      <c r="AG301" s="876"/>
      <c r="AH301" s="876"/>
      <c r="AI301" s="878"/>
      <c r="AJ301" s="880"/>
      <c r="AK301" s="880"/>
      <c r="AL301" s="880"/>
      <c r="AM301" s="880"/>
      <c r="AN301" s="880"/>
      <c r="AO301" s="880"/>
      <c r="AP301" s="880"/>
      <c r="AQ301" s="880"/>
      <c r="AR301" s="880"/>
      <c r="AS301" s="880"/>
      <c r="AT301" s="880"/>
      <c r="AU301" s="880"/>
      <c r="AV301" s="880"/>
      <c r="AW301" s="881"/>
      <c r="AX301" s="863"/>
      <c r="AY301" s="863"/>
      <c r="AZ301" s="863"/>
      <c r="BA301" s="863"/>
      <c r="BB301" s="863"/>
      <c r="BC301" s="863"/>
      <c r="BD301" s="863"/>
      <c r="BE301" s="863"/>
      <c r="BF301" s="863"/>
      <c r="BG301" s="863"/>
      <c r="BH301" s="863"/>
      <c r="BI301" s="863"/>
      <c r="BJ301" s="863"/>
      <c r="BK301" s="863"/>
      <c r="BL301" s="863"/>
      <c r="BM301" s="863"/>
      <c r="BN301" s="863"/>
      <c r="BO301" s="863"/>
      <c r="BP301" s="880"/>
      <c r="BQ301" s="863"/>
      <c r="BR301" s="889" t="str">
        <f>IFERROR(__xludf.DUMMYFUNCTION("""COMPUTED_VALUE"""),"Marti et al.")</f>
        <v>Marti et al.</v>
      </c>
      <c r="BS301" s="883" t="str">
        <f>IFERROR(__xludf.DUMMYFUNCTION("""COMPUTED_VALUE"""),"Tanziana")</f>
        <v>Tanziana</v>
      </c>
      <c r="BT301" s="883" t="str">
        <f>IFERROR(__xludf.DUMMYFUNCTION("""COMPUTED_VALUE"""),"Albendazole")</f>
        <v>Albendazole</v>
      </c>
      <c r="BU301" s="883"/>
      <c r="BV301" s="883" t="str">
        <f>IFERROR(__xludf.DUMMYFUNCTION("""COMPUTED_VALUE"""),"Three")</f>
        <v>Three</v>
      </c>
      <c r="BW301" s="883" t="str">
        <f>IFERROR(__xludf.DUMMYFUNCTION("""COMPUTED_VALUE"""),"400 mg ")</f>
        <v>400 mg </v>
      </c>
      <c r="BX301" s="895" t="str">
        <f>IFERROR(__xludf.DUMMYFUNCTION("""COMPUTED_VALUE"""),"149")</f>
        <v>149</v>
      </c>
      <c r="BY301" s="883"/>
      <c r="BZ301" s="895" t="str">
        <f>IFERROR(__xludf.DUMMYFUNCTION("""COMPUTED_VALUE"""),"1994")</f>
        <v>1994</v>
      </c>
      <c r="CA301" s="895" t="str">
        <f>IFERROR(__xludf.DUMMYFUNCTION("""COMPUTED_VALUE"""),"67M:82F")</f>
        <v>67M:82F</v>
      </c>
      <c r="CB301" s="883" t="str">
        <f>IFERROR(__xludf.DUMMYFUNCTION("""COMPUTED_VALUE"""),"Children 4-10 years of age with written informed consent from parent or guardian and positive for Roundworm")</f>
        <v>Children 4-10 years of age with written informed consent from parent or guardian and positive for Roundworm</v>
      </c>
      <c r="CC301" s="895" t="str">
        <f>IFERROR(__xludf.DUMMYFUNCTION("""COMPUTED_VALUE"""),"Yes")</f>
        <v>Yes</v>
      </c>
      <c r="CD301" s="884" t="str">
        <f>IFERROR(__xludf.DUMMYFUNCTION("""COMPUTED_VALUE"""),"99.00%")</f>
        <v>99.00%</v>
      </c>
      <c r="CE301" s="895" t="str">
        <f>IFERROR(__xludf.DUMMYFUNCTION("""COMPUTED_VALUE"""),"No")</f>
        <v>No</v>
      </c>
      <c r="CF301" s="883"/>
      <c r="CG301" s="883"/>
      <c r="CH301" s="883"/>
      <c r="CI301" s="883"/>
      <c r="CJ301" s="883"/>
      <c r="CK301" s="883"/>
      <c r="CL301" s="883"/>
      <c r="CM301" s="895" t="str">
        <f>IFERROR(__xludf.DUMMYFUNCTION("""COMPUTED_VALUE"""),"99.70%")</f>
        <v>99.70%</v>
      </c>
      <c r="CN301" s="883"/>
      <c r="CO301" s="883"/>
      <c r="CP301" s="883"/>
      <c r="CQ301" s="883"/>
      <c r="CR301" s="883"/>
      <c r="CS301" s="883" t="str">
        <f>IFERROR(__xludf.DUMMYFUNCTION("""COMPUTED_VALUE"""),"Ivermectin provides a safe and highly effective single dose treatment for roundworm")</f>
        <v>Ivermectin provides a safe and highly effective single dose treatment for roundworm</v>
      </c>
      <c r="CT301" s="883" t="str">
        <f>IFERROR(__xludf.DUMMYFUNCTION("""COMPUTED_VALUE"""),"Kato-Katz Technique")</f>
        <v>Kato-Katz Technique</v>
      </c>
      <c r="CU301" s="883"/>
      <c r="CV301" s="863"/>
      <c r="CW301" s="863"/>
      <c r="CX301" s="863"/>
      <c r="CY301" s="863"/>
      <c r="CZ301" s="863"/>
      <c r="DA301" s="863"/>
      <c r="DB301" s="863"/>
      <c r="DC301" s="863"/>
      <c r="DD301" s="863"/>
      <c r="DE301" s="863"/>
    </row>
    <row r="302">
      <c r="A302" s="876"/>
      <c r="B302" s="876"/>
      <c r="C302" s="876"/>
      <c r="D302" s="876"/>
      <c r="E302" s="876"/>
      <c r="F302" s="876"/>
      <c r="G302" s="876"/>
      <c r="H302" s="876"/>
      <c r="I302" s="876"/>
      <c r="J302" s="876"/>
      <c r="K302" s="876"/>
      <c r="L302" s="876"/>
      <c r="M302" s="876"/>
      <c r="N302" s="877"/>
      <c r="O302" s="876"/>
      <c r="P302" s="876"/>
      <c r="Q302" s="876"/>
      <c r="R302" s="876"/>
      <c r="S302" s="876"/>
      <c r="T302" s="876"/>
      <c r="U302" s="876"/>
      <c r="V302" s="876"/>
      <c r="W302" s="876"/>
      <c r="X302" s="876"/>
      <c r="Y302" s="876"/>
      <c r="Z302" s="876"/>
      <c r="AA302" s="876"/>
      <c r="AB302" s="876"/>
      <c r="AC302" s="876"/>
      <c r="AD302" s="876"/>
      <c r="AE302" s="876"/>
      <c r="AF302" s="876"/>
      <c r="AG302" s="876"/>
      <c r="AH302" s="876"/>
      <c r="AI302" s="878"/>
      <c r="AJ302" s="880"/>
      <c r="AK302" s="880"/>
      <c r="AL302" s="880"/>
      <c r="AM302" s="880"/>
      <c r="AN302" s="880"/>
      <c r="AO302" s="880"/>
      <c r="AP302" s="880"/>
      <c r="AQ302" s="880"/>
      <c r="AR302" s="880"/>
      <c r="AS302" s="880"/>
      <c r="AT302" s="880"/>
      <c r="AU302" s="880"/>
      <c r="AV302" s="880"/>
      <c r="AW302" s="881"/>
      <c r="AX302" s="863"/>
      <c r="AY302" s="863"/>
      <c r="AZ302" s="863"/>
      <c r="BA302" s="863"/>
      <c r="BB302" s="863"/>
      <c r="BC302" s="863"/>
      <c r="BD302" s="863"/>
      <c r="BE302" s="863"/>
      <c r="BF302" s="863"/>
      <c r="BG302" s="863"/>
      <c r="BH302" s="863"/>
      <c r="BI302" s="863"/>
      <c r="BJ302" s="863"/>
      <c r="BK302" s="863"/>
      <c r="BL302" s="863"/>
      <c r="BM302" s="863"/>
      <c r="BN302" s="863"/>
      <c r="BO302" s="863"/>
      <c r="BP302" s="880"/>
      <c r="BQ302" s="863"/>
      <c r="BR302" s="889" t="str">
        <f>IFERROR(__xludf.DUMMYFUNCTION("""COMPUTED_VALUE"""),"Moser et al.")</f>
        <v>Moser et al.</v>
      </c>
      <c r="BS302" s="883" t="str">
        <f>IFERROR(__xludf.DUMMYFUNCTION("""COMPUTED_VALUE"""),"Côte d'Ivoire")</f>
        <v>Côte d'Ivoire</v>
      </c>
      <c r="BT302" s="883" t="str">
        <f>IFERROR(__xludf.DUMMYFUNCTION("""COMPUTED_VALUE"""),"Tribendimidine ")</f>
        <v>Tribendimidine </v>
      </c>
      <c r="BU302" s="883"/>
      <c r="BV302" s="883" t="str">
        <f>IFERROR(__xludf.DUMMYFUNCTION("""COMPUTED_VALUE"""),"Single")</f>
        <v>Single</v>
      </c>
      <c r="BW302" s="883" t="str">
        <f>IFERROR(__xludf.DUMMYFUNCTION("""COMPUTED_VALUE"""),"400 mg")</f>
        <v>400 mg</v>
      </c>
      <c r="BX302" s="895" t="str">
        <f>IFERROR(__xludf.DUMMYFUNCTION("""COMPUTED_VALUE"""),"72")</f>
        <v>72</v>
      </c>
      <c r="BY302" s="895" t="str">
        <f>IFERROR(__xludf.DUMMYFUNCTION("""COMPUTED_VALUE"""),"15.8")</f>
        <v>15.8</v>
      </c>
      <c r="BZ302" s="895" t="str">
        <f>IFERROR(__xludf.DUMMYFUNCTION("""COMPUTED_VALUE"""),"2016")</f>
        <v>2016</v>
      </c>
      <c r="CA302" s="883"/>
      <c r="CB302" s="883" t="str">
        <f>IFERROR(__xludf.DUMMYFUNCTION("""COMPUTED_VALUE"""),"Adolescents aged 15-18 years from primary schools on Pemba, and school attendees and non-schoolers from two distrcits in cote d-Ivoire. Participants were asked to provide two stool samples adn only participants who tested positive for hookworm were eligib"&amp;"le")</f>
        <v>Adolescents aged 15-18 years from primary schools on Pemba, and school attendees and non-schoolers from two distrcits in cote d-Ivoire. Participants were asked to provide two stool samples adn only participants who tested positive for hookworm were eligible</v>
      </c>
      <c r="CC302" s="895" t="str">
        <f>IFERROR(__xludf.DUMMYFUNCTION("""COMPUTED_VALUE"""),"Yes")</f>
        <v>Yes</v>
      </c>
      <c r="CD302" s="884" t="str">
        <f>IFERROR(__xludf.DUMMYFUNCTION("""COMPUTED_VALUE"""),"98.60%")</f>
        <v>98.60%</v>
      </c>
      <c r="CE302" s="895" t="str">
        <f>IFERROR(__xludf.DUMMYFUNCTION("""COMPUTED_VALUE"""),"Yes")</f>
        <v>Yes</v>
      </c>
      <c r="CF302" s="883"/>
      <c r="CG302" s="883"/>
      <c r="CH302" s="883"/>
      <c r="CI302" s="883"/>
      <c r="CJ302" s="883"/>
      <c r="CK302" s="883"/>
      <c r="CL302" s="883"/>
      <c r="CM302" s="895" t="str">
        <f>IFERROR(__xludf.DUMMYFUNCTION("""COMPUTED_VALUE"""),"&gt;99.99%")</f>
        <v>&gt;99.99%</v>
      </c>
      <c r="CN302" s="883"/>
      <c r="CO302" s="883"/>
      <c r="CP302" s="883"/>
      <c r="CQ302" s="883"/>
      <c r="CR302" s="883"/>
      <c r="CS302" s="883" t="str">
        <f>IFERROR(__xludf.DUMMYFUNCTION("""COMPUTED_VALUE"""),"Tribendimidine in combination with either ivermectin or oxantel amoate had a similar, non-inferior efficacy profile as albendazole plus oxantel pamoate, hence tribendimidine will be a useful addition to the deplete danthelmintic drug armamentarium")</f>
        <v>Tribendimidine in combination with either ivermectin or oxantel amoate had a similar, non-inferior efficacy profile as albendazole plus oxantel pamoate, hence tribendimidine will be a useful addition to the deplete danthelmintic drug armamentarium</v>
      </c>
      <c r="CT302" s="883" t="str">
        <f>IFERROR(__xludf.DUMMYFUNCTION("""COMPUTED_VALUE"""),"Kato-Katz Technique")</f>
        <v>Kato-Katz Technique</v>
      </c>
      <c r="CU302" s="883"/>
      <c r="CV302" s="863"/>
      <c r="CW302" s="863"/>
      <c r="CX302" s="863"/>
      <c r="CY302" s="863"/>
      <c r="CZ302" s="863"/>
      <c r="DA302" s="863"/>
      <c r="DB302" s="863"/>
      <c r="DC302" s="863"/>
      <c r="DD302" s="863"/>
      <c r="DE302" s="863"/>
    </row>
    <row r="303">
      <c r="A303" s="876"/>
      <c r="B303" s="876"/>
      <c r="C303" s="876"/>
      <c r="D303" s="876"/>
      <c r="E303" s="876"/>
      <c r="F303" s="876"/>
      <c r="G303" s="876"/>
      <c r="H303" s="876"/>
      <c r="I303" s="876"/>
      <c r="J303" s="876"/>
      <c r="K303" s="876"/>
      <c r="L303" s="876"/>
      <c r="M303" s="876"/>
      <c r="N303" s="877"/>
      <c r="O303" s="876"/>
      <c r="P303" s="876"/>
      <c r="Q303" s="876"/>
      <c r="R303" s="876"/>
      <c r="S303" s="876"/>
      <c r="T303" s="876"/>
      <c r="U303" s="876"/>
      <c r="V303" s="876"/>
      <c r="W303" s="876"/>
      <c r="X303" s="876"/>
      <c r="Y303" s="876"/>
      <c r="Z303" s="876"/>
      <c r="AA303" s="876"/>
      <c r="AB303" s="876"/>
      <c r="AC303" s="876"/>
      <c r="AD303" s="876"/>
      <c r="AE303" s="876"/>
      <c r="AF303" s="876"/>
      <c r="AG303" s="876"/>
      <c r="AH303" s="876"/>
      <c r="AI303" s="878"/>
      <c r="AJ303" s="880"/>
      <c r="AK303" s="880"/>
      <c r="AL303" s="880"/>
      <c r="AM303" s="880"/>
      <c r="AN303" s="880"/>
      <c r="AO303" s="880"/>
      <c r="AP303" s="880"/>
      <c r="AQ303" s="880"/>
      <c r="AR303" s="880"/>
      <c r="AS303" s="880"/>
      <c r="AT303" s="880"/>
      <c r="AU303" s="880"/>
      <c r="AV303" s="880"/>
      <c r="AW303" s="881"/>
      <c r="AX303" s="863"/>
      <c r="AY303" s="863"/>
      <c r="AZ303" s="863"/>
      <c r="BA303" s="863"/>
      <c r="BB303" s="863"/>
      <c r="BC303" s="863"/>
      <c r="BD303" s="863"/>
      <c r="BE303" s="863"/>
      <c r="BF303" s="863"/>
      <c r="BG303" s="863"/>
      <c r="BH303" s="863"/>
      <c r="BI303" s="863"/>
      <c r="BJ303" s="863"/>
      <c r="BK303" s="863"/>
      <c r="BL303" s="863"/>
      <c r="BM303" s="863"/>
      <c r="BN303" s="863"/>
      <c r="BO303" s="863"/>
      <c r="BP303" s="880"/>
      <c r="BQ303" s="863"/>
      <c r="BR303" s="889" t="str">
        <f>IFERROR(__xludf.DUMMYFUNCTION("""COMPUTED_VALUE"""),"Moser et al.")</f>
        <v>Moser et al.</v>
      </c>
      <c r="BS303" s="883" t="str">
        <f>IFERROR(__xludf.DUMMYFUNCTION("""COMPUTED_VALUE"""),"Côte d'Ivoire")</f>
        <v>Côte d'Ivoire</v>
      </c>
      <c r="BT303" s="883" t="str">
        <f>IFERROR(__xludf.DUMMYFUNCTION("""COMPUTED_VALUE"""),"Tribendimidine &amp; Ivermectin")</f>
        <v>Tribendimidine &amp; Ivermectin</v>
      </c>
      <c r="BU303" s="883"/>
      <c r="BV303" s="883" t="str">
        <f>IFERROR(__xludf.DUMMYFUNCTION("""COMPUTED_VALUE"""),"Single")</f>
        <v>Single</v>
      </c>
      <c r="BW303" s="883" t="str">
        <f>IFERROR(__xludf.DUMMYFUNCTION("""COMPUTED_VALUE"""),"400 mg; 200 µg/kg ")</f>
        <v>400 mg; 200 µg/kg </v>
      </c>
      <c r="BX303" s="895" t="str">
        <f>IFERROR(__xludf.DUMMYFUNCTION("""COMPUTED_VALUE"""),"76")</f>
        <v>76</v>
      </c>
      <c r="BY303" s="895" t="str">
        <f>IFERROR(__xludf.DUMMYFUNCTION("""COMPUTED_VALUE"""),"15.9")</f>
        <v>15.9</v>
      </c>
      <c r="BZ303" s="895" t="str">
        <f>IFERROR(__xludf.DUMMYFUNCTION("""COMPUTED_VALUE"""),"2016")</f>
        <v>2016</v>
      </c>
      <c r="CA303" s="883"/>
      <c r="CB303" s="883" t="str">
        <f>IFERROR(__xludf.DUMMYFUNCTION("""COMPUTED_VALUE"""),"Adolescents aged 15-18 years from primary schools on Pemba, and school attendees and non-schoolers from two distrcits in cote d-Ivoire. Participants were asked to provide two stool samples adn only participants who tested positive for hookworm were eligib"&amp;"le")</f>
        <v>Adolescents aged 15-18 years from primary schools on Pemba, and school attendees and non-schoolers from two distrcits in cote d-Ivoire. Participants were asked to provide two stool samples adn only participants who tested positive for hookworm were eligible</v>
      </c>
      <c r="CC303" s="895" t="str">
        <f>IFERROR(__xludf.DUMMYFUNCTION("""COMPUTED_VALUE"""),"Yes")</f>
        <v>Yes</v>
      </c>
      <c r="CD303" s="894" t="str">
        <f>IFERROR(__xludf.DUMMYFUNCTION("""COMPUTED_VALUE"""),"98.70%")</f>
        <v>98.70%</v>
      </c>
      <c r="CE303" s="895" t="str">
        <f>IFERROR(__xludf.DUMMYFUNCTION("""COMPUTED_VALUE"""),"Yes")</f>
        <v>Yes</v>
      </c>
      <c r="CF303" s="883"/>
      <c r="CG303" s="883"/>
      <c r="CH303" s="883"/>
      <c r="CI303" s="883"/>
      <c r="CJ303" s="883"/>
      <c r="CK303" s="883"/>
      <c r="CL303" s="883"/>
      <c r="CM303" s="895" t="str">
        <f>IFERROR(__xludf.DUMMYFUNCTION("""COMPUTED_VALUE"""),"&gt;99.99%")</f>
        <v>&gt;99.99%</v>
      </c>
      <c r="CN303" s="883"/>
      <c r="CO303" s="883"/>
      <c r="CP303" s="883"/>
      <c r="CQ303" s="883"/>
      <c r="CR303" s="883"/>
      <c r="CS303" s="883" t="str">
        <f>IFERROR(__xludf.DUMMYFUNCTION("""COMPUTED_VALUE"""),"Tribendimidine in combination with either ivermectin or oxantel amoate had a similar, non-inferior efficacy profile as albendazole plus oxantel pamoate, hence tribendimidine will be a useful addition to the deplete danthelmintic drug armamentarium")</f>
        <v>Tribendimidine in combination with either ivermectin or oxantel amoate had a similar, non-inferior efficacy profile as albendazole plus oxantel pamoate, hence tribendimidine will be a useful addition to the deplete danthelmintic drug armamentarium</v>
      </c>
      <c r="CT303" s="883" t="str">
        <f>IFERROR(__xludf.DUMMYFUNCTION("""COMPUTED_VALUE"""),"Kato-Katz Technique")</f>
        <v>Kato-Katz Technique</v>
      </c>
      <c r="CU303" s="883"/>
      <c r="CV303" s="863"/>
      <c r="CW303" s="863"/>
      <c r="CX303" s="863"/>
      <c r="CY303" s="863"/>
      <c r="CZ303" s="863"/>
      <c r="DA303" s="863"/>
      <c r="DB303" s="863"/>
      <c r="DC303" s="863"/>
      <c r="DD303" s="863"/>
      <c r="DE303" s="863"/>
    </row>
    <row r="304">
      <c r="A304" s="876"/>
      <c r="B304" s="876"/>
      <c r="C304" s="876"/>
      <c r="D304" s="876"/>
      <c r="E304" s="876"/>
      <c r="F304" s="876"/>
      <c r="G304" s="876"/>
      <c r="H304" s="876"/>
      <c r="I304" s="876"/>
      <c r="J304" s="876"/>
      <c r="K304" s="876"/>
      <c r="L304" s="876"/>
      <c r="M304" s="876"/>
      <c r="N304" s="877"/>
      <c r="O304" s="876"/>
      <c r="P304" s="876"/>
      <c r="Q304" s="876"/>
      <c r="R304" s="876"/>
      <c r="S304" s="876"/>
      <c r="T304" s="876"/>
      <c r="U304" s="876"/>
      <c r="V304" s="876"/>
      <c r="W304" s="876"/>
      <c r="X304" s="876"/>
      <c r="Y304" s="876"/>
      <c r="Z304" s="876"/>
      <c r="AA304" s="876"/>
      <c r="AB304" s="876"/>
      <c r="AC304" s="876"/>
      <c r="AD304" s="876"/>
      <c r="AE304" s="876"/>
      <c r="AF304" s="876"/>
      <c r="AG304" s="876"/>
      <c r="AH304" s="876"/>
      <c r="AI304" s="878"/>
      <c r="AJ304" s="880"/>
      <c r="AK304" s="880"/>
      <c r="AL304" s="880"/>
      <c r="AM304" s="880"/>
      <c r="AN304" s="880"/>
      <c r="AO304" s="880"/>
      <c r="AP304" s="880"/>
      <c r="AQ304" s="880"/>
      <c r="AR304" s="880"/>
      <c r="AS304" s="880"/>
      <c r="AT304" s="880"/>
      <c r="AU304" s="880"/>
      <c r="AV304" s="880"/>
      <c r="AW304" s="881"/>
      <c r="AX304" s="863"/>
      <c r="AY304" s="863"/>
      <c r="AZ304" s="863"/>
      <c r="BA304" s="863"/>
      <c r="BB304" s="863"/>
      <c r="BC304" s="863"/>
      <c r="BD304" s="863"/>
      <c r="BE304" s="863"/>
      <c r="BF304" s="863"/>
      <c r="BG304" s="863"/>
      <c r="BH304" s="863"/>
      <c r="BI304" s="863"/>
      <c r="BJ304" s="863"/>
      <c r="BK304" s="863"/>
      <c r="BL304" s="863"/>
      <c r="BM304" s="863"/>
      <c r="BN304" s="863"/>
      <c r="BO304" s="863"/>
      <c r="BP304" s="880"/>
      <c r="BQ304" s="863"/>
      <c r="BR304" s="889" t="str">
        <f>IFERROR(__xludf.DUMMYFUNCTION("""COMPUTED_VALUE"""),"Moser et al.")</f>
        <v>Moser et al.</v>
      </c>
      <c r="BS304" s="883" t="str">
        <f>IFERROR(__xludf.DUMMYFUNCTION("""COMPUTED_VALUE"""),"Côte d'Ivoire")</f>
        <v>Côte d'Ivoire</v>
      </c>
      <c r="BT304" s="883" t="str">
        <f>IFERROR(__xludf.DUMMYFUNCTION("""COMPUTED_VALUE"""),"Tribendimidine &amp; Oxantel pamoate")</f>
        <v>Tribendimidine &amp; Oxantel pamoate</v>
      </c>
      <c r="BU304" s="883"/>
      <c r="BV304" s="883" t="str">
        <f>IFERROR(__xludf.DUMMYFUNCTION("""COMPUTED_VALUE"""),"Single")</f>
        <v>Single</v>
      </c>
      <c r="BW304" s="883" t="str">
        <f>IFERROR(__xludf.DUMMYFUNCTION("""COMPUTED_VALUE"""),"400 mg; 25 mg/kg")</f>
        <v>400 mg; 25 mg/kg</v>
      </c>
      <c r="BX304" s="895" t="str">
        <f>IFERROR(__xludf.DUMMYFUNCTION("""COMPUTED_VALUE"""),"70")</f>
        <v>70</v>
      </c>
      <c r="BY304" s="895" t="str">
        <f>IFERROR(__xludf.DUMMYFUNCTION("""COMPUTED_VALUE"""),"15.9")</f>
        <v>15.9</v>
      </c>
      <c r="BZ304" s="895" t="str">
        <f>IFERROR(__xludf.DUMMYFUNCTION("""COMPUTED_VALUE"""),"2016")</f>
        <v>2016</v>
      </c>
      <c r="CA304" s="883"/>
      <c r="CB304" s="883" t="str">
        <f>IFERROR(__xludf.DUMMYFUNCTION("""COMPUTED_VALUE"""),"Adolescents aged 15-18 years from primary schools on Pemba, and school attendees and non-schoolers from two distrcits in cote d-Ivoire. Participants were asked to provide two stool samples adn only participants who tested positive for hookworm were eligib"&amp;"le")</f>
        <v>Adolescents aged 15-18 years from primary schools on Pemba, and school attendees and non-schoolers from two distrcits in cote d-Ivoire. Participants were asked to provide two stool samples adn only participants who tested positive for hookworm were eligible</v>
      </c>
      <c r="CC304" s="895" t="str">
        <f>IFERROR(__xludf.DUMMYFUNCTION("""COMPUTED_VALUE"""),"Yes")</f>
        <v>Yes</v>
      </c>
      <c r="CD304" s="884" t="str">
        <f>IFERROR(__xludf.DUMMYFUNCTION("""COMPUTED_VALUE"""),"94.30%")</f>
        <v>94.30%</v>
      </c>
      <c r="CE304" s="895" t="str">
        <f>IFERROR(__xludf.DUMMYFUNCTION("""COMPUTED_VALUE"""),"Yes")</f>
        <v>Yes</v>
      </c>
      <c r="CF304" s="883"/>
      <c r="CG304" s="883"/>
      <c r="CH304" s="883"/>
      <c r="CI304" s="883"/>
      <c r="CJ304" s="883"/>
      <c r="CK304" s="883"/>
      <c r="CL304" s="883"/>
      <c r="CM304" s="895" t="str">
        <f>IFERROR(__xludf.DUMMYFUNCTION("""COMPUTED_VALUE"""),"99.98%")</f>
        <v>99.98%</v>
      </c>
      <c r="CN304" s="883"/>
      <c r="CO304" s="883"/>
      <c r="CP304" s="883"/>
      <c r="CQ304" s="883"/>
      <c r="CR304" s="883"/>
      <c r="CS304" s="883" t="str">
        <f>IFERROR(__xludf.DUMMYFUNCTION("""COMPUTED_VALUE"""),"Tribendimidine in combination with either ivermectin or oxantel amoate had a similar, non-inferior efficacy profile as albendazole plus oxantel pamoate, hence tribendimidine will be a useful addition to the deplete danthelmintic drug armamentarium")</f>
        <v>Tribendimidine in combination with either ivermectin or oxantel amoate had a similar, non-inferior efficacy profile as albendazole plus oxantel pamoate, hence tribendimidine will be a useful addition to the deplete danthelmintic drug armamentarium</v>
      </c>
      <c r="CT304" s="883" t="str">
        <f>IFERROR(__xludf.DUMMYFUNCTION("""COMPUTED_VALUE"""),"Kato-Katz Technique")</f>
        <v>Kato-Katz Technique</v>
      </c>
      <c r="CU304" s="883"/>
      <c r="CV304" s="863"/>
      <c r="CW304" s="863"/>
      <c r="CX304" s="863"/>
      <c r="CY304" s="863"/>
      <c r="CZ304" s="863"/>
      <c r="DA304" s="863"/>
      <c r="DB304" s="863"/>
      <c r="DC304" s="863"/>
      <c r="DD304" s="863"/>
      <c r="DE304" s="863"/>
    </row>
    <row r="305">
      <c r="A305" s="876"/>
      <c r="B305" s="876"/>
      <c r="C305" s="876"/>
      <c r="D305" s="876"/>
      <c r="E305" s="876"/>
      <c r="F305" s="876"/>
      <c r="G305" s="876"/>
      <c r="H305" s="876"/>
      <c r="I305" s="876"/>
      <c r="J305" s="876"/>
      <c r="K305" s="876"/>
      <c r="L305" s="876"/>
      <c r="M305" s="876"/>
      <c r="N305" s="877"/>
      <c r="O305" s="876"/>
      <c r="P305" s="876"/>
      <c r="Q305" s="876"/>
      <c r="R305" s="876"/>
      <c r="S305" s="876"/>
      <c r="T305" s="876"/>
      <c r="U305" s="876"/>
      <c r="V305" s="876"/>
      <c r="W305" s="876"/>
      <c r="X305" s="876"/>
      <c r="Y305" s="876"/>
      <c r="Z305" s="876"/>
      <c r="AA305" s="876"/>
      <c r="AB305" s="876"/>
      <c r="AC305" s="876"/>
      <c r="AD305" s="876"/>
      <c r="AE305" s="876"/>
      <c r="AF305" s="876"/>
      <c r="AG305" s="876"/>
      <c r="AH305" s="876"/>
      <c r="AI305" s="878"/>
      <c r="AJ305" s="880"/>
      <c r="AK305" s="880"/>
      <c r="AL305" s="880"/>
      <c r="AM305" s="880"/>
      <c r="AN305" s="880"/>
      <c r="AO305" s="880"/>
      <c r="AP305" s="880"/>
      <c r="AQ305" s="880"/>
      <c r="AR305" s="880"/>
      <c r="AS305" s="880"/>
      <c r="AT305" s="880"/>
      <c r="AU305" s="880"/>
      <c r="AV305" s="880"/>
      <c r="AW305" s="881"/>
      <c r="AX305" s="863"/>
      <c r="AY305" s="863"/>
      <c r="AZ305" s="863"/>
      <c r="BA305" s="863"/>
      <c r="BB305" s="863"/>
      <c r="BC305" s="863"/>
      <c r="BD305" s="863"/>
      <c r="BE305" s="863"/>
      <c r="BF305" s="863"/>
      <c r="BG305" s="863"/>
      <c r="BH305" s="863"/>
      <c r="BI305" s="863"/>
      <c r="BJ305" s="863"/>
      <c r="BK305" s="863"/>
      <c r="BL305" s="863"/>
      <c r="BM305" s="863"/>
      <c r="BN305" s="863"/>
      <c r="BO305" s="863"/>
      <c r="BP305" s="880"/>
      <c r="BQ305" s="863"/>
      <c r="BR305" s="889" t="str">
        <f>IFERROR(__xludf.DUMMYFUNCTION("""COMPUTED_VALUE"""),"Moser et al.")</f>
        <v>Moser et al.</v>
      </c>
      <c r="BS305" s="883" t="str">
        <f>IFERROR(__xludf.DUMMYFUNCTION("""COMPUTED_VALUE"""),"Côte d'Ivoire")</f>
        <v>Côte d'Ivoire</v>
      </c>
      <c r="BT305" s="883" t="str">
        <f>IFERROR(__xludf.DUMMYFUNCTION("""COMPUTED_VALUE"""),"Albendazole &amp; Oxantel pamoate")</f>
        <v>Albendazole &amp; Oxantel pamoate</v>
      </c>
      <c r="BU305" s="883"/>
      <c r="BV305" s="883" t="str">
        <f>IFERROR(__xludf.DUMMYFUNCTION("""COMPUTED_VALUE"""),"Single")</f>
        <v>Single</v>
      </c>
      <c r="BW305" s="883" t="str">
        <f>IFERROR(__xludf.DUMMYFUNCTION("""COMPUTED_VALUE"""),"400 mg; 25 mg/kg ")</f>
        <v>400 mg; 25 mg/kg </v>
      </c>
      <c r="BX305" s="895" t="str">
        <f>IFERROR(__xludf.DUMMYFUNCTION("""COMPUTED_VALUE"""),"78")</f>
        <v>78</v>
      </c>
      <c r="BY305" s="895" t="str">
        <f>IFERROR(__xludf.DUMMYFUNCTION("""COMPUTED_VALUE"""),"15.8")</f>
        <v>15.8</v>
      </c>
      <c r="BZ305" s="895" t="str">
        <f>IFERROR(__xludf.DUMMYFUNCTION("""COMPUTED_VALUE"""),"2016")</f>
        <v>2016</v>
      </c>
      <c r="CA305" s="883"/>
      <c r="CB305" s="883" t="str">
        <f>IFERROR(__xludf.DUMMYFUNCTION("""COMPUTED_VALUE"""),"Adolescents aged 15-18 years from primary schools on Pemba, and school attendees and non-schoolers from two distrcits in cote d-Ivoire. Participants were asked to provide two stool samples adn only participants who tested positive for hookworm were eligib"&amp;"le")</f>
        <v>Adolescents aged 15-18 years from primary schools on Pemba, and school attendees and non-schoolers from two distrcits in cote d-Ivoire. Participants were asked to provide two stool samples adn only participants who tested positive for hookworm were eligible</v>
      </c>
      <c r="CC305" s="895" t="str">
        <f>IFERROR(__xludf.DUMMYFUNCTION("""COMPUTED_VALUE"""),"Yes")</f>
        <v>Yes</v>
      </c>
      <c r="CD305" s="884" t="str">
        <f>IFERROR(__xludf.DUMMYFUNCTION("""COMPUTED_VALUE"""),"93.60%")</f>
        <v>93.60%</v>
      </c>
      <c r="CE305" s="895" t="str">
        <f>IFERROR(__xludf.DUMMYFUNCTION("""COMPUTED_VALUE"""),"Yes")</f>
        <v>Yes</v>
      </c>
      <c r="CF305" s="883"/>
      <c r="CG305" s="883"/>
      <c r="CH305" s="883"/>
      <c r="CI305" s="883"/>
      <c r="CJ305" s="883"/>
      <c r="CK305" s="883"/>
      <c r="CL305" s="883"/>
      <c r="CM305" s="895" t="str">
        <f>IFERROR(__xludf.DUMMYFUNCTION("""COMPUTED_VALUE"""),"99.99%")</f>
        <v>99.99%</v>
      </c>
      <c r="CN305" s="883"/>
      <c r="CO305" s="883"/>
      <c r="CP305" s="883"/>
      <c r="CQ305" s="883"/>
      <c r="CR305" s="883"/>
      <c r="CS305" s="883" t="str">
        <f>IFERROR(__xludf.DUMMYFUNCTION("""COMPUTED_VALUE"""),"Tribendimidine in combination with either ivermectin or oxantel amoate had a similar, non-inferior efficacy profile as albendazole plus oxantel pamoate, hence tribendimidine will be a useful addition to the deplete danthelmintic drug armamentarium")</f>
        <v>Tribendimidine in combination with either ivermectin or oxantel amoate had a similar, non-inferior efficacy profile as albendazole plus oxantel pamoate, hence tribendimidine will be a useful addition to the deplete danthelmintic drug armamentarium</v>
      </c>
      <c r="CT305" s="883" t="str">
        <f>IFERROR(__xludf.DUMMYFUNCTION("""COMPUTED_VALUE"""),"Kato-Katz Technique")</f>
        <v>Kato-Katz Technique</v>
      </c>
      <c r="CU305" s="883"/>
      <c r="CV305" s="863"/>
      <c r="CW305" s="863"/>
      <c r="CX305" s="863"/>
      <c r="CY305" s="863"/>
      <c r="CZ305" s="863"/>
      <c r="DA305" s="863"/>
      <c r="DB305" s="863"/>
      <c r="DC305" s="863"/>
      <c r="DD305" s="863"/>
      <c r="DE305" s="863"/>
    </row>
    <row r="306">
      <c r="A306" s="876"/>
      <c r="B306" s="876"/>
      <c r="C306" s="876"/>
      <c r="D306" s="876"/>
      <c r="E306" s="876"/>
      <c r="F306" s="876"/>
      <c r="G306" s="876"/>
      <c r="H306" s="876"/>
      <c r="I306" s="876"/>
      <c r="J306" s="876"/>
      <c r="K306" s="876"/>
      <c r="L306" s="876"/>
      <c r="M306" s="876"/>
      <c r="N306" s="877"/>
      <c r="O306" s="876"/>
      <c r="P306" s="876"/>
      <c r="Q306" s="876"/>
      <c r="R306" s="876"/>
      <c r="S306" s="876"/>
      <c r="T306" s="876"/>
      <c r="U306" s="876"/>
      <c r="V306" s="876"/>
      <c r="W306" s="876"/>
      <c r="X306" s="876"/>
      <c r="Y306" s="876"/>
      <c r="Z306" s="876"/>
      <c r="AA306" s="876"/>
      <c r="AB306" s="876"/>
      <c r="AC306" s="876"/>
      <c r="AD306" s="876"/>
      <c r="AE306" s="876"/>
      <c r="AF306" s="876"/>
      <c r="AG306" s="876"/>
      <c r="AH306" s="876"/>
      <c r="AI306" s="878"/>
      <c r="AJ306" s="880"/>
      <c r="AK306" s="880"/>
      <c r="AL306" s="880"/>
      <c r="AM306" s="880"/>
      <c r="AN306" s="880"/>
      <c r="AO306" s="880"/>
      <c r="AP306" s="880"/>
      <c r="AQ306" s="880"/>
      <c r="AR306" s="880"/>
      <c r="AS306" s="880"/>
      <c r="AT306" s="880"/>
      <c r="AU306" s="880"/>
      <c r="AV306" s="880"/>
      <c r="AW306" s="881"/>
      <c r="AX306" s="863"/>
      <c r="AY306" s="863"/>
      <c r="AZ306" s="863"/>
      <c r="BA306" s="863"/>
      <c r="BB306" s="863"/>
      <c r="BC306" s="863"/>
      <c r="BD306" s="863"/>
      <c r="BE306" s="863"/>
      <c r="BF306" s="863"/>
      <c r="BG306" s="863"/>
      <c r="BH306" s="863"/>
      <c r="BI306" s="863"/>
      <c r="BJ306" s="863"/>
      <c r="BK306" s="863"/>
      <c r="BL306" s="863"/>
      <c r="BM306" s="863"/>
      <c r="BN306" s="863"/>
      <c r="BO306" s="863"/>
      <c r="BP306" s="880"/>
      <c r="BQ306" s="863"/>
      <c r="BR306" s="889" t="str">
        <f>IFERROR(__xludf.DUMMYFUNCTION("""COMPUTED_VALUE"""),"Moser et al.")</f>
        <v>Moser et al.</v>
      </c>
      <c r="BS306" s="883" t="str">
        <f>IFERROR(__xludf.DUMMYFUNCTION("""COMPUTED_VALUE"""),"Tanziana")</f>
        <v>Tanziana</v>
      </c>
      <c r="BT306" s="883" t="str">
        <f>IFERROR(__xludf.DUMMYFUNCTION("""COMPUTED_VALUE"""),"Tribendimidine ")</f>
        <v>Tribendimidine </v>
      </c>
      <c r="BU306" s="883"/>
      <c r="BV306" s="883" t="str">
        <f>IFERROR(__xludf.DUMMYFUNCTION("""COMPUTED_VALUE"""),"Single")</f>
        <v>Single</v>
      </c>
      <c r="BW306" s="883" t="str">
        <f>IFERROR(__xludf.DUMMYFUNCTION("""COMPUTED_VALUE"""),"400 mg")</f>
        <v>400 mg</v>
      </c>
      <c r="BX306" s="895" t="str">
        <f>IFERROR(__xludf.DUMMYFUNCTION("""COMPUTED_VALUE"""),"72")</f>
        <v>72</v>
      </c>
      <c r="BY306" s="895" t="str">
        <f>IFERROR(__xludf.DUMMYFUNCTION("""COMPUTED_VALUE"""),"15.8")</f>
        <v>15.8</v>
      </c>
      <c r="BZ306" s="895" t="str">
        <f>IFERROR(__xludf.DUMMYFUNCTION("""COMPUTED_VALUE"""),"2016")</f>
        <v>2016</v>
      </c>
      <c r="CA306" s="883"/>
      <c r="CB306" s="883" t="str">
        <f>IFERROR(__xludf.DUMMYFUNCTION("""COMPUTED_VALUE"""),"Adolescents aged 15-18 years from primary schools on Pemba, and school attendees and non-schoolers from two distrcits in cote d-Ivoire. Participants were asked to provide two stool samples adn only participants who tested positive for hookworm were eligib"&amp;"le")</f>
        <v>Adolescents aged 15-18 years from primary schools on Pemba, and school attendees and non-schoolers from two distrcits in cote d-Ivoire. Participants were asked to provide two stool samples adn only participants who tested positive for hookworm were eligible</v>
      </c>
      <c r="CC306" s="895" t="str">
        <f>IFERROR(__xludf.DUMMYFUNCTION("""COMPUTED_VALUE"""),"Yes")</f>
        <v>Yes</v>
      </c>
      <c r="CD306" s="884" t="str">
        <f>IFERROR(__xludf.DUMMYFUNCTION("""COMPUTED_VALUE"""),"98.60%")</f>
        <v>98.60%</v>
      </c>
      <c r="CE306" s="895" t="str">
        <f>IFERROR(__xludf.DUMMYFUNCTION("""COMPUTED_VALUE"""),"Yes")</f>
        <v>Yes</v>
      </c>
      <c r="CF306" s="883"/>
      <c r="CG306" s="883"/>
      <c r="CH306" s="883"/>
      <c r="CI306" s="883"/>
      <c r="CJ306" s="883"/>
      <c r="CK306" s="883"/>
      <c r="CL306" s="883"/>
      <c r="CM306" s="895" t="str">
        <f>IFERROR(__xludf.DUMMYFUNCTION("""COMPUTED_VALUE"""),"&gt;99.99%")</f>
        <v>&gt;99.99%</v>
      </c>
      <c r="CN306" s="883"/>
      <c r="CO306" s="883"/>
      <c r="CP306" s="883"/>
      <c r="CQ306" s="883"/>
      <c r="CR306" s="883"/>
      <c r="CS306" s="883" t="str">
        <f>IFERROR(__xludf.DUMMYFUNCTION("""COMPUTED_VALUE"""),"Tribendimidine in combination with either ivermectin or oxantel amoate had a similar, non-inferior efficacy profile as albendazole plus oxantel pamoate, hence tribendimidine will be a useful addition to the deplete danthelmintic drug armamentarium")</f>
        <v>Tribendimidine in combination with either ivermectin or oxantel amoate had a similar, non-inferior efficacy profile as albendazole plus oxantel pamoate, hence tribendimidine will be a useful addition to the deplete danthelmintic drug armamentarium</v>
      </c>
      <c r="CT306" s="883" t="str">
        <f>IFERROR(__xludf.DUMMYFUNCTION("""COMPUTED_VALUE"""),"Kato-Katz Technique")</f>
        <v>Kato-Katz Technique</v>
      </c>
      <c r="CU306" s="883"/>
      <c r="CV306" s="863"/>
      <c r="CW306" s="863"/>
      <c r="CX306" s="863"/>
      <c r="CY306" s="863"/>
      <c r="CZ306" s="863"/>
      <c r="DA306" s="863"/>
      <c r="DB306" s="863"/>
      <c r="DC306" s="863"/>
      <c r="DD306" s="863"/>
      <c r="DE306" s="863"/>
    </row>
    <row r="307">
      <c r="A307" s="876"/>
      <c r="B307" s="876"/>
      <c r="C307" s="876"/>
      <c r="D307" s="876"/>
      <c r="E307" s="876"/>
      <c r="F307" s="876"/>
      <c r="G307" s="876"/>
      <c r="H307" s="876"/>
      <c r="I307" s="876"/>
      <c r="J307" s="876"/>
      <c r="K307" s="876"/>
      <c r="L307" s="876"/>
      <c r="M307" s="876"/>
      <c r="N307" s="877"/>
      <c r="O307" s="876"/>
      <c r="P307" s="876"/>
      <c r="Q307" s="876"/>
      <c r="R307" s="876"/>
      <c r="S307" s="876"/>
      <c r="T307" s="876"/>
      <c r="U307" s="876"/>
      <c r="V307" s="876"/>
      <c r="W307" s="876"/>
      <c r="X307" s="876"/>
      <c r="Y307" s="876"/>
      <c r="Z307" s="876"/>
      <c r="AA307" s="876"/>
      <c r="AB307" s="876"/>
      <c r="AC307" s="876"/>
      <c r="AD307" s="876"/>
      <c r="AE307" s="876"/>
      <c r="AF307" s="876"/>
      <c r="AG307" s="876"/>
      <c r="AH307" s="876"/>
      <c r="AI307" s="878"/>
      <c r="AJ307" s="880"/>
      <c r="AK307" s="880"/>
      <c r="AL307" s="880"/>
      <c r="AM307" s="880"/>
      <c r="AN307" s="880"/>
      <c r="AO307" s="880"/>
      <c r="AP307" s="880"/>
      <c r="AQ307" s="880"/>
      <c r="AR307" s="880"/>
      <c r="AS307" s="880"/>
      <c r="AT307" s="880"/>
      <c r="AU307" s="880"/>
      <c r="AV307" s="880"/>
      <c r="AW307" s="881"/>
      <c r="AX307" s="863"/>
      <c r="AY307" s="863"/>
      <c r="AZ307" s="863"/>
      <c r="BA307" s="863"/>
      <c r="BB307" s="863"/>
      <c r="BC307" s="863"/>
      <c r="BD307" s="863"/>
      <c r="BE307" s="863"/>
      <c r="BF307" s="863"/>
      <c r="BG307" s="863"/>
      <c r="BH307" s="863"/>
      <c r="BI307" s="863"/>
      <c r="BJ307" s="863"/>
      <c r="BK307" s="863"/>
      <c r="BL307" s="863"/>
      <c r="BM307" s="863"/>
      <c r="BN307" s="863"/>
      <c r="BO307" s="863"/>
      <c r="BP307" s="880"/>
      <c r="BQ307" s="863"/>
      <c r="BR307" s="889" t="str">
        <f>IFERROR(__xludf.DUMMYFUNCTION("""COMPUTED_VALUE"""),"Moser et al.")</f>
        <v>Moser et al.</v>
      </c>
      <c r="BS307" s="883" t="str">
        <f>IFERROR(__xludf.DUMMYFUNCTION("""COMPUTED_VALUE"""),"Tanziana")</f>
        <v>Tanziana</v>
      </c>
      <c r="BT307" s="883" t="str">
        <f>IFERROR(__xludf.DUMMYFUNCTION("""COMPUTED_VALUE"""),"Tribendimidine &amp; Ivermectin")</f>
        <v>Tribendimidine &amp; Ivermectin</v>
      </c>
      <c r="BU307" s="883"/>
      <c r="BV307" s="883" t="str">
        <f>IFERROR(__xludf.DUMMYFUNCTION("""COMPUTED_VALUE"""),"Single")</f>
        <v>Single</v>
      </c>
      <c r="BW307" s="883" t="str">
        <f>IFERROR(__xludf.DUMMYFUNCTION("""COMPUTED_VALUE"""),"400 mg; 200 µg/kg ")</f>
        <v>400 mg; 200 µg/kg </v>
      </c>
      <c r="BX307" s="895" t="str">
        <f>IFERROR(__xludf.DUMMYFUNCTION("""COMPUTED_VALUE"""),"76")</f>
        <v>76</v>
      </c>
      <c r="BY307" s="895" t="str">
        <f>IFERROR(__xludf.DUMMYFUNCTION("""COMPUTED_VALUE"""),"15.9")</f>
        <v>15.9</v>
      </c>
      <c r="BZ307" s="895" t="str">
        <f>IFERROR(__xludf.DUMMYFUNCTION("""COMPUTED_VALUE"""),"2016")</f>
        <v>2016</v>
      </c>
      <c r="CA307" s="883"/>
      <c r="CB307" s="883" t="str">
        <f>IFERROR(__xludf.DUMMYFUNCTION("""COMPUTED_VALUE"""),"Adolescents aged 15-18 years from primary schools on Pemba, and school attendees and non-schoolers from two distrcits in cote d-Ivoire. Participants were asked to provide two stool samples adn only participants who tested positive for hookworm were eligib"&amp;"le")</f>
        <v>Adolescents aged 15-18 years from primary schools on Pemba, and school attendees and non-schoolers from two distrcits in cote d-Ivoire. Participants were asked to provide two stool samples adn only participants who tested positive for hookworm were eligible</v>
      </c>
      <c r="CC307" s="895" t="str">
        <f>IFERROR(__xludf.DUMMYFUNCTION("""COMPUTED_VALUE"""),"Yes")</f>
        <v>Yes</v>
      </c>
      <c r="CD307" s="884" t="str">
        <f>IFERROR(__xludf.DUMMYFUNCTION("""COMPUTED_VALUE"""),"98.70%")</f>
        <v>98.70%</v>
      </c>
      <c r="CE307" s="895" t="str">
        <f>IFERROR(__xludf.DUMMYFUNCTION("""COMPUTED_VALUE"""),"Yes")</f>
        <v>Yes</v>
      </c>
      <c r="CF307" s="883"/>
      <c r="CG307" s="883"/>
      <c r="CH307" s="883"/>
      <c r="CI307" s="883"/>
      <c r="CJ307" s="883"/>
      <c r="CK307" s="883"/>
      <c r="CL307" s="883"/>
      <c r="CM307" s="895" t="str">
        <f>IFERROR(__xludf.DUMMYFUNCTION("""COMPUTED_VALUE"""),"&gt;99.99%")</f>
        <v>&gt;99.99%</v>
      </c>
      <c r="CN307" s="883"/>
      <c r="CO307" s="883"/>
      <c r="CP307" s="883"/>
      <c r="CQ307" s="883"/>
      <c r="CR307" s="883"/>
      <c r="CS307" s="883" t="str">
        <f>IFERROR(__xludf.DUMMYFUNCTION("""COMPUTED_VALUE"""),"Tribendimidine in combination with either ivermectin or oxantel amoate had a similar, non-inferior efficacy profile as albendazole plus oxantel pamoate, hence tribendimidine will be a useful addition to the deplete danthelmintic drug armamentarium")</f>
        <v>Tribendimidine in combination with either ivermectin or oxantel amoate had a similar, non-inferior efficacy profile as albendazole plus oxantel pamoate, hence tribendimidine will be a useful addition to the deplete danthelmintic drug armamentarium</v>
      </c>
      <c r="CT307" s="883" t="str">
        <f>IFERROR(__xludf.DUMMYFUNCTION("""COMPUTED_VALUE"""),"Kato-Katz Technique")</f>
        <v>Kato-Katz Technique</v>
      </c>
      <c r="CU307" s="883"/>
      <c r="CV307" s="863"/>
      <c r="CW307" s="863"/>
      <c r="CX307" s="863"/>
      <c r="CY307" s="863"/>
      <c r="CZ307" s="863"/>
      <c r="DA307" s="863"/>
      <c r="DB307" s="863"/>
      <c r="DC307" s="863"/>
      <c r="DD307" s="863"/>
      <c r="DE307" s="863"/>
    </row>
    <row r="308">
      <c r="A308" s="876"/>
      <c r="B308" s="876"/>
      <c r="C308" s="876"/>
      <c r="D308" s="876"/>
      <c r="E308" s="876"/>
      <c r="F308" s="876"/>
      <c r="G308" s="876"/>
      <c r="H308" s="876"/>
      <c r="I308" s="876"/>
      <c r="J308" s="876"/>
      <c r="K308" s="876"/>
      <c r="L308" s="876"/>
      <c r="M308" s="876"/>
      <c r="N308" s="877"/>
      <c r="O308" s="876"/>
      <c r="P308" s="876"/>
      <c r="Q308" s="876"/>
      <c r="R308" s="876"/>
      <c r="S308" s="876"/>
      <c r="T308" s="876"/>
      <c r="U308" s="876"/>
      <c r="V308" s="876"/>
      <c r="W308" s="876"/>
      <c r="X308" s="876"/>
      <c r="Y308" s="876"/>
      <c r="Z308" s="876"/>
      <c r="AA308" s="876"/>
      <c r="AB308" s="876"/>
      <c r="AC308" s="876"/>
      <c r="AD308" s="876"/>
      <c r="AE308" s="876"/>
      <c r="AF308" s="876"/>
      <c r="AG308" s="876"/>
      <c r="AH308" s="876"/>
      <c r="AI308" s="878"/>
      <c r="AJ308" s="880"/>
      <c r="AK308" s="880"/>
      <c r="AL308" s="880"/>
      <c r="AM308" s="880"/>
      <c r="AN308" s="880"/>
      <c r="AO308" s="880"/>
      <c r="AP308" s="880"/>
      <c r="AQ308" s="880"/>
      <c r="AR308" s="880"/>
      <c r="AS308" s="880"/>
      <c r="AT308" s="880"/>
      <c r="AU308" s="880"/>
      <c r="AV308" s="880"/>
      <c r="AW308" s="881"/>
      <c r="AX308" s="863"/>
      <c r="AY308" s="863"/>
      <c r="AZ308" s="863"/>
      <c r="BA308" s="863"/>
      <c r="BB308" s="863"/>
      <c r="BC308" s="863"/>
      <c r="BD308" s="863"/>
      <c r="BE308" s="863"/>
      <c r="BF308" s="863"/>
      <c r="BG308" s="863"/>
      <c r="BH308" s="863"/>
      <c r="BI308" s="863"/>
      <c r="BJ308" s="863"/>
      <c r="BK308" s="863"/>
      <c r="BL308" s="863"/>
      <c r="BM308" s="863"/>
      <c r="BN308" s="863"/>
      <c r="BO308" s="863"/>
      <c r="BP308" s="880"/>
      <c r="BQ308" s="863"/>
      <c r="BR308" s="889" t="str">
        <f>IFERROR(__xludf.DUMMYFUNCTION("""COMPUTED_VALUE"""),"Moser et al.")</f>
        <v>Moser et al.</v>
      </c>
      <c r="BS308" s="883" t="str">
        <f>IFERROR(__xludf.DUMMYFUNCTION("""COMPUTED_VALUE"""),"Tanziana")</f>
        <v>Tanziana</v>
      </c>
      <c r="BT308" s="883" t="str">
        <f>IFERROR(__xludf.DUMMYFUNCTION("""COMPUTED_VALUE"""),"Tribendimidine &amp; Oxantel pamoate")</f>
        <v>Tribendimidine &amp; Oxantel pamoate</v>
      </c>
      <c r="BU308" s="883"/>
      <c r="BV308" s="883" t="str">
        <f>IFERROR(__xludf.DUMMYFUNCTION("""COMPUTED_VALUE"""),"Single")</f>
        <v>Single</v>
      </c>
      <c r="BW308" s="883" t="str">
        <f>IFERROR(__xludf.DUMMYFUNCTION("""COMPUTED_VALUE"""),"400 mg; 25 mg/kg")</f>
        <v>400 mg; 25 mg/kg</v>
      </c>
      <c r="BX308" s="895" t="str">
        <f>IFERROR(__xludf.DUMMYFUNCTION("""COMPUTED_VALUE"""),"70")</f>
        <v>70</v>
      </c>
      <c r="BY308" s="895" t="str">
        <f>IFERROR(__xludf.DUMMYFUNCTION("""COMPUTED_VALUE"""),"15.9")</f>
        <v>15.9</v>
      </c>
      <c r="BZ308" s="895" t="str">
        <f>IFERROR(__xludf.DUMMYFUNCTION("""COMPUTED_VALUE"""),"2016")</f>
        <v>2016</v>
      </c>
      <c r="CA308" s="883"/>
      <c r="CB308" s="883" t="str">
        <f>IFERROR(__xludf.DUMMYFUNCTION("""COMPUTED_VALUE"""),"Adolescents aged 15-18 years from primary schools on Pemba, and school attendees and non-schoolers from two distrcits in cote d-Ivoire. Participants were asked to provide two stool samples adn only participants who tested positive for hookworm were eligib"&amp;"le")</f>
        <v>Adolescents aged 15-18 years from primary schools on Pemba, and school attendees and non-schoolers from two distrcits in cote d-Ivoire. Participants were asked to provide two stool samples adn only participants who tested positive for hookworm were eligible</v>
      </c>
      <c r="CC308" s="895" t="str">
        <f>IFERROR(__xludf.DUMMYFUNCTION("""COMPUTED_VALUE"""),"Yes")</f>
        <v>Yes</v>
      </c>
      <c r="CD308" s="884" t="str">
        <f>IFERROR(__xludf.DUMMYFUNCTION("""COMPUTED_VALUE"""),"94.30%")</f>
        <v>94.30%</v>
      </c>
      <c r="CE308" s="895" t="str">
        <f>IFERROR(__xludf.DUMMYFUNCTION("""COMPUTED_VALUE"""),"Yes")</f>
        <v>Yes</v>
      </c>
      <c r="CF308" s="883"/>
      <c r="CG308" s="883"/>
      <c r="CH308" s="883"/>
      <c r="CI308" s="883"/>
      <c r="CJ308" s="883"/>
      <c r="CK308" s="883"/>
      <c r="CL308" s="883"/>
      <c r="CM308" s="895" t="str">
        <f>IFERROR(__xludf.DUMMYFUNCTION("""COMPUTED_VALUE"""),"99.98%")</f>
        <v>99.98%</v>
      </c>
      <c r="CN308" s="883"/>
      <c r="CO308" s="883"/>
      <c r="CP308" s="883"/>
      <c r="CQ308" s="883"/>
      <c r="CR308" s="883"/>
      <c r="CS308" s="883" t="str">
        <f>IFERROR(__xludf.DUMMYFUNCTION("""COMPUTED_VALUE"""),"Tribendimidine in combination with either ivermectin or oxantel amoate had a similar, non-inferior efficacy profile as albendazole plus oxantel pamoate, hence tribendimidine will be a useful addition to the deplete danthelmintic drug armamentarium")</f>
        <v>Tribendimidine in combination with either ivermectin or oxantel amoate had a similar, non-inferior efficacy profile as albendazole plus oxantel pamoate, hence tribendimidine will be a useful addition to the deplete danthelmintic drug armamentarium</v>
      </c>
      <c r="CT308" s="883" t="str">
        <f>IFERROR(__xludf.DUMMYFUNCTION("""COMPUTED_VALUE"""),"Kato-Katz Technique")</f>
        <v>Kato-Katz Technique</v>
      </c>
      <c r="CU308" s="883"/>
      <c r="CV308" s="863"/>
      <c r="CW308" s="863"/>
      <c r="CX308" s="863"/>
      <c r="CY308" s="863"/>
      <c r="CZ308" s="863"/>
      <c r="DA308" s="863"/>
      <c r="DB308" s="863"/>
      <c r="DC308" s="863"/>
      <c r="DD308" s="863"/>
      <c r="DE308" s="863"/>
    </row>
    <row r="309">
      <c r="A309" s="876"/>
      <c r="B309" s="876"/>
      <c r="C309" s="876"/>
      <c r="D309" s="876"/>
      <c r="E309" s="876"/>
      <c r="F309" s="876"/>
      <c r="G309" s="876"/>
      <c r="H309" s="876"/>
      <c r="I309" s="876"/>
      <c r="J309" s="876"/>
      <c r="K309" s="876"/>
      <c r="L309" s="876"/>
      <c r="M309" s="876"/>
      <c r="N309" s="877"/>
      <c r="O309" s="876"/>
      <c r="P309" s="876"/>
      <c r="Q309" s="876"/>
      <c r="R309" s="876"/>
      <c r="S309" s="876"/>
      <c r="T309" s="876"/>
      <c r="U309" s="876"/>
      <c r="V309" s="876"/>
      <c r="W309" s="876"/>
      <c r="X309" s="876"/>
      <c r="Y309" s="876"/>
      <c r="Z309" s="876"/>
      <c r="AA309" s="876"/>
      <c r="AB309" s="876"/>
      <c r="AC309" s="876"/>
      <c r="AD309" s="876"/>
      <c r="AE309" s="876"/>
      <c r="AF309" s="876"/>
      <c r="AG309" s="876"/>
      <c r="AH309" s="876"/>
      <c r="AI309" s="878"/>
      <c r="AJ309" s="880"/>
      <c r="AK309" s="880"/>
      <c r="AL309" s="880"/>
      <c r="AM309" s="880"/>
      <c r="AN309" s="880"/>
      <c r="AO309" s="880"/>
      <c r="AP309" s="880"/>
      <c r="AQ309" s="880"/>
      <c r="AR309" s="880"/>
      <c r="AS309" s="880"/>
      <c r="AT309" s="880"/>
      <c r="AU309" s="880"/>
      <c r="AV309" s="880"/>
      <c r="AW309" s="881"/>
      <c r="AX309" s="863"/>
      <c r="AY309" s="863"/>
      <c r="AZ309" s="863"/>
      <c r="BA309" s="863"/>
      <c r="BB309" s="863"/>
      <c r="BC309" s="863"/>
      <c r="BD309" s="863"/>
      <c r="BE309" s="863"/>
      <c r="BF309" s="863"/>
      <c r="BG309" s="863"/>
      <c r="BH309" s="863"/>
      <c r="BI309" s="863"/>
      <c r="BJ309" s="863"/>
      <c r="BK309" s="863"/>
      <c r="BL309" s="863"/>
      <c r="BM309" s="863"/>
      <c r="BN309" s="863"/>
      <c r="BO309" s="863"/>
      <c r="BP309" s="880"/>
      <c r="BQ309" s="863"/>
      <c r="BR309" s="889" t="str">
        <f>IFERROR(__xludf.DUMMYFUNCTION("""COMPUTED_VALUE"""),"Moser et al.")</f>
        <v>Moser et al.</v>
      </c>
      <c r="BS309" s="883" t="str">
        <f>IFERROR(__xludf.DUMMYFUNCTION("""COMPUTED_VALUE"""),"Tanziana")</f>
        <v>Tanziana</v>
      </c>
      <c r="BT309" s="883" t="str">
        <f>IFERROR(__xludf.DUMMYFUNCTION("""COMPUTED_VALUE"""),"Albendazole &amp; Oxantel pamoate")</f>
        <v>Albendazole &amp; Oxantel pamoate</v>
      </c>
      <c r="BU309" s="883"/>
      <c r="BV309" s="883" t="str">
        <f>IFERROR(__xludf.DUMMYFUNCTION("""COMPUTED_VALUE"""),"Single")</f>
        <v>Single</v>
      </c>
      <c r="BW309" s="883" t="str">
        <f>IFERROR(__xludf.DUMMYFUNCTION("""COMPUTED_VALUE"""),"400 mg; 25 mg/kg")</f>
        <v>400 mg; 25 mg/kg</v>
      </c>
      <c r="BX309" s="895" t="str">
        <f>IFERROR(__xludf.DUMMYFUNCTION("""COMPUTED_VALUE"""),"78")</f>
        <v>78</v>
      </c>
      <c r="BY309" s="895" t="str">
        <f>IFERROR(__xludf.DUMMYFUNCTION("""COMPUTED_VALUE"""),"15.8")</f>
        <v>15.8</v>
      </c>
      <c r="BZ309" s="895" t="str">
        <f>IFERROR(__xludf.DUMMYFUNCTION("""COMPUTED_VALUE"""),"2016")</f>
        <v>2016</v>
      </c>
      <c r="CA309" s="883"/>
      <c r="CB309" s="883" t="str">
        <f>IFERROR(__xludf.DUMMYFUNCTION("""COMPUTED_VALUE"""),"Adolescents aged 15-18 years from primary schools on Pemba, and school attendees and non-schoolers from two distrcits in cote d-Ivoire. Participants were asked to provide two stool samples adn only participants who tested positive for hookworm and roundwo"&amp;"rm were eligible")</f>
        <v>Adolescents aged 15-18 years from primary schools on Pemba, and school attendees and non-schoolers from two distrcits in cote d-Ivoire. Participants were asked to provide two stool samples adn only participants who tested positive for hookworm and roundworm were eligible</v>
      </c>
      <c r="CC309" s="895" t="str">
        <f>IFERROR(__xludf.DUMMYFUNCTION("""COMPUTED_VALUE"""),"Yes")</f>
        <v>Yes</v>
      </c>
      <c r="CD309" s="884" t="str">
        <f>IFERROR(__xludf.DUMMYFUNCTION("""COMPUTED_VALUE"""),"93.60%")</f>
        <v>93.60%</v>
      </c>
      <c r="CE309" s="895" t="str">
        <f>IFERROR(__xludf.DUMMYFUNCTION("""COMPUTED_VALUE"""),"Yes")</f>
        <v>Yes</v>
      </c>
      <c r="CF309" s="883"/>
      <c r="CG309" s="883"/>
      <c r="CH309" s="883"/>
      <c r="CI309" s="883"/>
      <c r="CJ309" s="883"/>
      <c r="CK309" s="883"/>
      <c r="CL309" s="883"/>
      <c r="CM309" s="895" t="str">
        <f>IFERROR(__xludf.DUMMYFUNCTION("""COMPUTED_VALUE"""),"99.99%")</f>
        <v>99.99%</v>
      </c>
      <c r="CN309" s="883"/>
      <c r="CO309" s="883"/>
      <c r="CP309" s="883"/>
      <c r="CQ309" s="883"/>
      <c r="CR309" s="883"/>
      <c r="CS309" s="883" t="str">
        <f>IFERROR(__xludf.DUMMYFUNCTION("""COMPUTED_VALUE"""),"Tribendimidine in combination with either ivermectin or oxantel amoate had a similar, non-inferior efficacy profile as albendazole plus oxantel pamoate, hence tribendimidine will be a useful addition to the deplete danthelmintic drug armamentarium")</f>
        <v>Tribendimidine in combination with either ivermectin or oxantel amoate had a similar, non-inferior efficacy profile as albendazole plus oxantel pamoate, hence tribendimidine will be a useful addition to the deplete danthelmintic drug armamentarium</v>
      </c>
      <c r="CT309" s="883" t="str">
        <f>IFERROR(__xludf.DUMMYFUNCTION("""COMPUTED_VALUE"""),"Kato-Katz Technique")</f>
        <v>Kato-Katz Technique</v>
      </c>
      <c r="CU309" s="883"/>
      <c r="CV309" s="863"/>
      <c r="CW309" s="863"/>
      <c r="CX309" s="863"/>
      <c r="CY309" s="863"/>
      <c r="CZ309" s="863"/>
      <c r="DA309" s="863"/>
      <c r="DB309" s="863"/>
      <c r="DC309" s="863"/>
      <c r="DD309" s="863"/>
      <c r="DE309" s="863"/>
    </row>
    <row r="310">
      <c r="A310" s="876"/>
      <c r="B310" s="876"/>
      <c r="C310" s="876"/>
      <c r="D310" s="876"/>
      <c r="E310" s="876"/>
      <c r="F310" s="876"/>
      <c r="G310" s="876"/>
      <c r="H310" s="876"/>
      <c r="I310" s="876"/>
      <c r="J310" s="876"/>
      <c r="K310" s="876"/>
      <c r="L310" s="876"/>
      <c r="M310" s="876"/>
      <c r="N310" s="877"/>
      <c r="O310" s="876"/>
      <c r="P310" s="876"/>
      <c r="Q310" s="876"/>
      <c r="R310" s="876"/>
      <c r="S310" s="876"/>
      <c r="T310" s="876"/>
      <c r="U310" s="876"/>
      <c r="V310" s="876"/>
      <c r="W310" s="876"/>
      <c r="X310" s="876"/>
      <c r="Y310" s="876"/>
      <c r="Z310" s="876"/>
      <c r="AA310" s="876"/>
      <c r="AB310" s="876"/>
      <c r="AC310" s="876"/>
      <c r="AD310" s="876"/>
      <c r="AE310" s="876"/>
      <c r="AF310" s="876"/>
      <c r="AG310" s="876"/>
      <c r="AH310" s="876"/>
      <c r="AI310" s="878"/>
      <c r="AJ310" s="880"/>
      <c r="AK310" s="880"/>
      <c r="AL310" s="880"/>
      <c r="AM310" s="880"/>
      <c r="AN310" s="880"/>
      <c r="AO310" s="880"/>
      <c r="AP310" s="880"/>
      <c r="AQ310" s="880"/>
      <c r="AR310" s="880"/>
      <c r="AS310" s="880"/>
      <c r="AT310" s="880"/>
      <c r="AU310" s="880"/>
      <c r="AV310" s="880"/>
      <c r="AW310" s="881"/>
      <c r="AX310" s="863"/>
      <c r="AY310" s="863"/>
      <c r="AZ310" s="863"/>
      <c r="BA310" s="863"/>
      <c r="BB310" s="863"/>
      <c r="BC310" s="863"/>
      <c r="BD310" s="863"/>
      <c r="BE310" s="863"/>
      <c r="BF310" s="863"/>
      <c r="BG310" s="863"/>
      <c r="BH310" s="863"/>
      <c r="BI310" s="863"/>
      <c r="BJ310" s="863"/>
      <c r="BK310" s="863"/>
      <c r="BL310" s="863"/>
      <c r="BM310" s="863"/>
      <c r="BN310" s="863"/>
      <c r="BO310" s="863"/>
      <c r="BP310" s="880"/>
      <c r="BQ310" s="863"/>
      <c r="BR310" s="889" t="str">
        <f>IFERROR(__xludf.DUMMYFUNCTION("""COMPUTED_VALUE"""),"Barda et al.")</f>
        <v>Barda et al.</v>
      </c>
      <c r="BS310" s="883" t="str">
        <f>IFERROR(__xludf.DUMMYFUNCTION("""COMPUTED_VALUE"""),"Tanziana")</f>
        <v>Tanziana</v>
      </c>
      <c r="BT310" s="883" t="str">
        <f>IFERROR(__xludf.DUMMYFUNCTION("""COMPUTED_VALUE"""),"Moxidectin &amp; Albendazole")</f>
        <v>Moxidectin &amp; Albendazole</v>
      </c>
      <c r="BU310" s="883"/>
      <c r="BV310" s="883" t="str">
        <f>IFERROR(__xludf.DUMMYFUNCTION("""COMPUTED_VALUE"""),"Single")</f>
        <v>Single</v>
      </c>
      <c r="BW310" s="883" t="str">
        <f>IFERROR(__xludf.DUMMYFUNCTION("""COMPUTED_VALUE"""),"8 mg; 400 mg")</f>
        <v>8 mg; 400 mg</v>
      </c>
      <c r="BX310" s="895" t="str">
        <f>IFERROR(__xludf.DUMMYFUNCTION("""COMPUTED_VALUE"""),"118")</f>
        <v>118</v>
      </c>
      <c r="BY310" s="895" t="str">
        <f>IFERROR(__xludf.DUMMYFUNCTION("""COMPUTED_VALUE"""),"14")</f>
        <v>14</v>
      </c>
      <c r="BZ310" s="895" t="str">
        <f>IFERROR(__xludf.DUMMYFUNCTION("""COMPUTED_VALUE"""),"2017")</f>
        <v>2017</v>
      </c>
      <c r="CA310" s="883"/>
      <c r="CB310" s="883" t="str">
        <f>IFERROR(__xludf.DUMMYFUNCTION("""COMPUTED_VALUE"""),"Aldolescents aged 12-18 years who provided two stool samples and tested positive for both T. trichiura and Roundworm")</f>
        <v>Aldolescents aged 12-18 years who provided two stool samples and tested positive for both T. trichiura and Roundworm</v>
      </c>
      <c r="CC310" s="895" t="str">
        <f>IFERROR(__xludf.DUMMYFUNCTION("""COMPUTED_VALUE"""),"Yes")</f>
        <v>Yes</v>
      </c>
      <c r="CD310" s="884" t="str">
        <f>IFERROR(__xludf.DUMMYFUNCTION("""COMPUTED_VALUE"""),"96.60%")</f>
        <v>96.60%</v>
      </c>
      <c r="CE310" s="895" t="str">
        <f>IFERROR(__xludf.DUMMYFUNCTION("""COMPUTED_VALUE"""),"Yes")</f>
        <v>Yes</v>
      </c>
      <c r="CF310" s="883"/>
      <c r="CG310" s="883"/>
      <c r="CH310" s="883"/>
      <c r="CI310" s="883"/>
      <c r="CJ310" s="883"/>
      <c r="CK310" s="883"/>
      <c r="CL310" s="883"/>
      <c r="CM310" s="895" t="str">
        <f>IFERROR(__xludf.DUMMYFUNCTION("""COMPUTED_VALUE"""),"99.20%")</f>
        <v>99.20%</v>
      </c>
      <c r="CN310" s="883"/>
      <c r="CO310" s="883"/>
      <c r="CP310" s="883"/>
      <c r="CQ310" s="883"/>
      <c r="CR310" s="883"/>
      <c r="CS310" s="883" t="str">
        <f>IFERROR(__xludf.DUMMYFUNCTION("""COMPUTED_VALUE"""),"A. lumbricoides had higher efficacy in co-administration than moxidectin which suggests a synergistic effect. The synergisim might be explained by the pathways of the efflux of these drugs")</f>
        <v>A. lumbricoides had higher efficacy in co-administration than moxidectin which suggests a synergistic effect. The synergisim might be explained by the pathways of the efflux of these drugs</v>
      </c>
      <c r="CT310" s="883" t="str">
        <f>IFERROR(__xludf.DUMMYFUNCTION("""COMPUTED_VALUE"""),"Kato-Katz Technique")</f>
        <v>Kato-Katz Technique</v>
      </c>
      <c r="CU310" s="883"/>
      <c r="CV310" s="863"/>
      <c r="CW310" s="863"/>
      <c r="CX310" s="863"/>
      <c r="CY310" s="863"/>
      <c r="CZ310" s="863"/>
      <c r="DA310" s="863"/>
      <c r="DB310" s="863"/>
      <c r="DC310" s="863"/>
      <c r="DD310" s="863"/>
      <c r="DE310" s="863"/>
    </row>
    <row r="311">
      <c r="A311" s="876"/>
      <c r="B311" s="876"/>
      <c r="C311" s="876"/>
      <c r="D311" s="876"/>
      <c r="E311" s="876"/>
      <c r="F311" s="876"/>
      <c r="G311" s="876"/>
      <c r="H311" s="876"/>
      <c r="I311" s="876"/>
      <c r="J311" s="876"/>
      <c r="K311" s="876"/>
      <c r="L311" s="876"/>
      <c r="M311" s="876"/>
      <c r="N311" s="877"/>
      <c r="O311" s="876"/>
      <c r="P311" s="876"/>
      <c r="Q311" s="876"/>
      <c r="R311" s="876"/>
      <c r="S311" s="876"/>
      <c r="T311" s="876"/>
      <c r="U311" s="876"/>
      <c r="V311" s="876"/>
      <c r="W311" s="876"/>
      <c r="X311" s="876"/>
      <c r="Y311" s="876"/>
      <c r="Z311" s="876"/>
      <c r="AA311" s="876"/>
      <c r="AB311" s="876"/>
      <c r="AC311" s="876"/>
      <c r="AD311" s="876"/>
      <c r="AE311" s="876"/>
      <c r="AF311" s="876"/>
      <c r="AG311" s="876"/>
      <c r="AH311" s="876"/>
      <c r="AI311" s="878"/>
      <c r="AJ311" s="880"/>
      <c r="AK311" s="880"/>
      <c r="AL311" s="880"/>
      <c r="AM311" s="880"/>
      <c r="AN311" s="880"/>
      <c r="AO311" s="880"/>
      <c r="AP311" s="880"/>
      <c r="AQ311" s="880"/>
      <c r="AR311" s="880"/>
      <c r="AS311" s="880"/>
      <c r="AT311" s="880"/>
      <c r="AU311" s="880"/>
      <c r="AV311" s="880"/>
      <c r="AW311" s="881"/>
      <c r="AX311" s="863"/>
      <c r="AY311" s="863"/>
      <c r="AZ311" s="863"/>
      <c r="BA311" s="863"/>
      <c r="BB311" s="863"/>
      <c r="BC311" s="863"/>
      <c r="BD311" s="863"/>
      <c r="BE311" s="863"/>
      <c r="BF311" s="863"/>
      <c r="BG311" s="863"/>
      <c r="BH311" s="863"/>
      <c r="BI311" s="863"/>
      <c r="BJ311" s="863"/>
      <c r="BK311" s="863"/>
      <c r="BL311" s="863"/>
      <c r="BM311" s="863"/>
      <c r="BN311" s="863"/>
      <c r="BO311" s="863"/>
      <c r="BP311" s="880"/>
      <c r="BQ311" s="863"/>
      <c r="BR311" s="889" t="str">
        <f>IFERROR(__xludf.DUMMYFUNCTION("""COMPUTED_VALUE"""),"Barda et al.")</f>
        <v>Barda et al.</v>
      </c>
      <c r="BS311" s="883" t="str">
        <f>IFERROR(__xludf.DUMMYFUNCTION("""COMPUTED_VALUE"""),"Tanziana")</f>
        <v>Tanziana</v>
      </c>
      <c r="BT311" s="883" t="str">
        <f>IFERROR(__xludf.DUMMYFUNCTION("""COMPUTED_VALUE"""),"Albendazole &amp; Oxantel pamoate")</f>
        <v>Albendazole &amp; Oxantel pamoate</v>
      </c>
      <c r="BU311" s="883"/>
      <c r="BV311" s="883" t="str">
        <f>IFERROR(__xludf.DUMMYFUNCTION("""COMPUTED_VALUE"""),"Single")</f>
        <v>Single</v>
      </c>
      <c r="BW311" s="883" t="str">
        <f>IFERROR(__xludf.DUMMYFUNCTION("""COMPUTED_VALUE"""),"400 mg; 25mg/kg")</f>
        <v>400 mg; 25mg/kg</v>
      </c>
      <c r="BX311" s="895" t="str">
        <f>IFERROR(__xludf.DUMMYFUNCTION("""COMPUTED_VALUE"""),"116")</f>
        <v>116</v>
      </c>
      <c r="BY311" s="895" t="str">
        <f>IFERROR(__xludf.DUMMYFUNCTION("""COMPUTED_VALUE"""),"13.9")</f>
        <v>13.9</v>
      </c>
      <c r="BZ311" s="895" t="str">
        <f>IFERROR(__xludf.DUMMYFUNCTION("""COMPUTED_VALUE"""),"2017")</f>
        <v>2017</v>
      </c>
      <c r="CA311" s="883"/>
      <c r="CB311" s="883" t="str">
        <f>IFERROR(__xludf.DUMMYFUNCTION("""COMPUTED_VALUE"""),"Aldolescents aged 12-18 years who provided two stool samples and tested positive for both T. trichiura and Roundworm")</f>
        <v>Aldolescents aged 12-18 years who provided two stool samples and tested positive for both T. trichiura and Roundworm</v>
      </c>
      <c r="CC311" s="895" t="str">
        <f>IFERROR(__xludf.DUMMYFUNCTION("""COMPUTED_VALUE"""),"Yes")</f>
        <v>Yes</v>
      </c>
      <c r="CD311" s="884" t="str">
        <f>IFERROR(__xludf.DUMMYFUNCTION("""COMPUTED_VALUE"""),"96.60%")</f>
        <v>96.60%</v>
      </c>
      <c r="CE311" s="895" t="str">
        <f>IFERROR(__xludf.DUMMYFUNCTION("""COMPUTED_VALUE"""),"Yes")</f>
        <v>Yes</v>
      </c>
      <c r="CF311" s="883"/>
      <c r="CG311" s="883"/>
      <c r="CH311" s="883"/>
      <c r="CI311" s="883"/>
      <c r="CJ311" s="883"/>
      <c r="CK311" s="883"/>
      <c r="CL311" s="883"/>
      <c r="CM311" s="895" t="str">
        <f>IFERROR(__xludf.DUMMYFUNCTION("""COMPUTED_VALUE"""),"&gt;99.99%")</f>
        <v>&gt;99.99%</v>
      </c>
      <c r="CN311" s="883"/>
      <c r="CO311" s="883"/>
      <c r="CP311" s="883"/>
      <c r="CQ311" s="883"/>
      <c r="CR311" s="883"/>
      <c r="CS311" s="883" t="str">
        <f>IFERROR(__xludf.DUMMYFUNCTION("""COMPUTED_VALUE"""),"A. lumbricoides had higher efficacy in co-administration than moxidectin which suggests a synergistic effect. The synergisim might be explained by the pathways of the efflux of these drugs")</f>
        <v>A. lumbricoides had higher efficacy in co-administration than moxidectin which suggests a synergistic effect. The synergisim might be explained by the pathways of the efflux of these drugs</v>
      </c>
      <c r="CT311" s="883" t="str">
        <f>IFERROR(__xludf.DUMMYFUNCTION("""COMPUTED_VALUE"""),"Kato-Katz Technique")</f>
        <v>Kato-Katz Technique</v>
      </c>
      <c r="CU311" s="883"/>
      <c r="CV311" s="863"/>
      <c r="CW311" s="863"/>
      <c r="CX311" s="863"/>
      <c r="CY311" s="863"/>
      <c r="CZ311" s="863"/>
      <c r="DA311" s="863"/>
      <c r="DB311" s="863"/>
      <c r="DC311" s="863"/>
      <c r="DD311" s="863"/>
      <c r="DE311" s="863"/>
    </row>
    <row r="312">
      <c r="A312" s="876"/>
      <c r="B312" s="876"/>
      <c r="C312" s="876"/>
      <c r="D312" s="876"/>
      <c r="E312" s="876"/>
      <c r="F312" s="876"/>
      <c r="G312" s="876"/>
      <c r="H312" s="876"/>
      <c r="I312" s="876"/>
      <c r="J312" s="876"/>
      <c r="K312" s="876"/>
      <c r="L312" s="876"/>
      <c r="M312" s="876"/>
      <c r="N312" s="877"/>
      <c r="O312" s="876"/>
      <c r="P312" s="876"/>
      <c r="Q312" s="876"/>
      <c r="R312" s="876"/>
      <c r="S312" s="876"/>
      <c r="T312" s="876"/>
      <c r="U312" s="876"/>
      <c r="V312" s="876"/>
      <c r="W312" s="876"/>
      <c r="X312" s="876"/>
      <c r="Y312" s="876"/>
      <c r="Z312" s="876"/>
      <c r="AA312" s="876"/>
      <c r="AB312" s="876"/>
      <c r="AC312" s="876"/>
      <c r="AD312" s="876"/>
      <c r="AE312" s="876"/>
      <c r="AF312" s="876"/>
      <c r="AG312" s="876"/>
      <c r="AH312" s="876"/>
      <c r="AI312" s="878"/>
      <c r="AJ312" s="880"/>
      <c r="AK312" s="880"/>
      <c r="AL312" s="880"/>
      <c r="AM312" s="880"/>
      <c r="AN312" s="880"/>
      <c r="AO312" s="880"/>
      <c r="AP312" s="880"/>
      <c r="AQ312" s="880"/>
      <c r="AR312" s="880"/>
      <c r="AS312" s="880"/>
      <c r="AT312" s="880"/>
      <c r="AU312" s="880"/>
      <c r="AV312" s="880"/>
      <c r="AW312" s="881"/>
      <c r="AX312" s="863"/>
      <c r="AY312" s="863"/>
      <c r="AZ312" s="863"/>
      <c r="BA312" s="863"/>
      <c r="BB312" s="863"/>
      <c r="BC312" s="863"/>
      <c r="BD312" s="863"/>
      <c r="BE312" s="863"/>
      <c r="BF312" s="863"/>
      <c r="BG312" s="863"/>
      <c r="BH312" s="863"/>
      <c r="BI312" s="863"/>
      <c r="BJ312" s="863"/>
      <c r="BK312" s="863"/>
      <c r="BL312" s="863"/>
      <c r="BM312" s="863"/>
      <c r="BN312" s="863"/>
      <c r="BO312" s="863"/>
      <c r="BP312" s="880"/>
      <c r="BQ312" s="863"/>
      <c r="BR312" s="889" t="str">
        <f>IFERROR(__xludf.DUMMYFUNCTION("""COMPUTED_VALUE"""),"Barda et al.")</f>
        <v>Barda et al.</v>
      </c>
      <c r="BS312" s="883" t="str">
        <f>IFERROR(__xludf.DUMMYFUNCTION("""COMPUTED_VALUE"""),"Tanziana")</f>
        <v>Tanziana</v>
      </c>
      <c r="BT312" s="883" t="str">
        <f>IFERROR(__xludf.DUMMYFUNCTION("""COMPUTED_VALUE"""),"Moxidectin &amp; Tribendimidine")</f>
        <v>Moxidectin &amp; Tribendimidine</v>
      </c>
      <c r="BU312" s="883"/>
      <c r="BV312" s="883" t="str">
        <f>IFERROR(__xludf.DUMMYFUNCTION("""COMPUTED_VALUE"""),"Single")</f>
        <v>Single</v>
      </c>
      <c r="BW312" s="883" t="str">
        <f>IFERROR(__xludf.DUMMYFUNCTION("""COMPUTED_VALUE"""),"8 mg; 200 mg (younger than 15) or 400 mg (older than 15)")</f>
        <v>8 mg; 200 mg (younger than 15) or 400 mg (older than 15)</v>
      </c>
      <c r="BX312" s="895" t="str">
        <f>IFERROR(__xludf.DUMMYFUNCTION("""COMPUTED_VALUE"""),"71")</f>
        <v>71</v>
      </c>
      <c r="BY312" s="895" t="str">
        <f>IFERROR(__xludf.DUMMYFUNCTION("""COMPUTED_VALUE"""),"14.2")</f>
        <v>14.2</v>
      </c>
      <c r="BZ312" s="895" t="str">
        <f>IFERROR(__xludf.DUMMYFUNCTION("""COMPUTED_VALUE"""),"2017")</f>
        <v>2017</v>
      </c>
      <c r="CA312" s="883"/>
      <c r="CB312" s="891" t="str">
        <f>IFERROR(__xludf.DUMMYFUNCTION("""COMPUTED_VALUE"""),"Aldolescents aged 12-18 years who provided two stool samples and tested positive for both T. trichiura and Roundworm")</f>
        <v>Aldolescents aged 12-18 years who provided two stool samples and tested positive for both T. trichiura and Roundworm</v>
      </c>
      <c r="CC312" s="895" t="str">
        <f>IFERROR(__xludf.DUMMYFUNCTION("""COMPUTED_VALUE"""),"Yes")</f>
        <v>Yes</v>
      </c>
      <c r="CD312" s="884" t="str">
        <f>IFERROR(__xludf.DUMMYFUNCTION("""COMPUTED_VALUE"""),"97.10%")</f>
        <v>97.10%</v>
      </c>
      <c r="CE312" s="895" t="str">
        <f>IFERROR(__xludf.DUMMYFUNCTION("""COMPUTED_VALUE"""),"Yes")</f>
        <v>Yes</v>
      </c>
      <c r="CF312" s="883"/>
      <c r="CG312" s="883"/>
      <c r="CH312" s="883"/>
      <c r="CI312" s="883"/>
      <c r="CJ312" s="883"/>
      <c r="CK312" s="883"/>
      <c r="CL312" s="883"/>
      <c r="CM312" s="895" t="str">
        <f>IFERROR(__xludf.DUMMYFUNCTION("""COMPUTED_VALUE"""),"&gt;99.99%")</f>
        <v>&gt;99.99%</v>
      </c>
      <c r="CN312" s="883"/>
      <c r="CO312" s="883"/>
      <c r="CP312" s="883"/>
      <c r="CQ312" s="883"/>
      <c r="CR312" s="883"/>
      <c r="CS312" s="883" t="str">
        <f>IFERROR(__xludf.DUMMYFUNCTION("""COMPUTED_VALUE"""),"A. lumbricoides had higher efficacy in co-administration than moxidectin which suggests a synergistic effect. The synergisim might be explained by the pathways of the efflux of these drugs")</f>
        <v>A. lumbricoides had higher efficacy in co-administration than moxidectin which suggests a synergistic effect. The synergisim might be explained by the pathways of the efflux of these drugs</v>
      </c>
      <c r="CT312" s="883" t="str">
        <f>IFERROR(__xludf.DUMMYFUNCTION("""COMPUTED_VALUE"""),"Kato-Katz Technique")</f>
        <v>Kato-Katz Technique</v>
      </c>
      <c r="CU312" s="883"/>
      <c r="CV312" s="863"/>
      <c r="CW312" s="863"/>
      <c r="CX312" s="863"/>
      <c r="CY312" s="863"/>
      <c r="CZ312" s="863"/>
      <c r="DA312" s="863"/>
      <c r="DB312" s="863"/>
      <c r="DC312" s="863"/>
      <c r="DD312" s="863"/>
      <c r="DE312" s="863"/>
    </row>
    <row r="313">
      <c r="A313" s="876"/>
      <c r="B313" s="876"/>
      <c r="C313" s="876"/>
      <c r="D313" s="876"/>
      <c r="E313" s="876"/>
      <c r="F313" s="876"/>
      <c r="G313" s="876"/>
      <c r="H313" s="876"/>
      <c r="I313" s="876"/>
      <c r="J313" s="876"/>
      <c r="K313" s="876"/>
      <c r="L313" s="876"/>
      <c r="M313" s="876"/>
      <c r="N313" s="877"/>
      <c r="O313" s="876"/>
      <c r="P313" s="876"/>
      <c r="Q313" s="876"/>
      <c r="R313" s="876"/>
      <c r="S313" s="876"/>
      <c r="T313" s="876"/>
      <c r="U313" s="876"/>
      <c r="V313" s="876"/>
      <c r="W313" s="876"/>
      <c r="X313" s="876"/>
      <c r="Y313" s="876"/>
      <c r="Z313" s="876"/>
      <c r="AA313" s="876"/>
      <c r="AB313" s="876"/>
      <c r="AC313" s="876"/>
      <c r="AD313" s="876"/>
      <c r="AE313" s="876"/>
      <c r="AF313" s="876"/>
      <c r="AG313" s="876"/>
      <c r="AH313" s="876"/>
      <c r="AI313" s="878"/>
      <c r="AJ313" s="880"/>
      <c r="AK313" s="880"/>
      <c r="AL313" s="880"/>
      <c r="AM313" s="880"/>
      <c r="AN313" s="880"/>
      <c r="AO313" s="880"/>
      <c r="AP313" s="880"/>
      <c r="AQ313" s="880"/>
      <c r="AR313" s="880"/>
      <c r="AS313" s="880"/>
      <c r="AT313" s="880"/>
      <c r="AU313" s="880"/>
      <c r="AV313" s="880"/>
      <c r="AW313" s="881"/>
      <c r="AX313" s="863"/>
      <c r="AY313" s="863"/>
      <c r="AZ313" s="863"/>
      <c r="BA313" s="863"/>
      <c r="BB313" s="863"/>
      <c r="BC313" s="863"/>
      <c r="BD313" s="863"/>
      <c r="BE313" s="863"/>
      <c r="BF313" s="863"/>
      <c r="BG313" s="863"/>
      <c r="BH313" s="863"/>
      <c r="BI313" s="863"/>
      <c r="BJ313" s="863"/>
      <c r="BK313" s="863"/>
      <c r="BL313" s="863"/>
      <c r="BM313" s="863"/>
      <c r="BN313" s="863"/>
      <c r="BO313" s="863"/>
      <c r="BP313" s="880"/>
      <c r="BQ313" s="863"/>
      <c r="BR313" s="889" t="str">
        <f>IFERROR(__xludf.DUMMYFUNCTION("""COMPUTED_VALUE"""),"Barda et al.")</f>
        <v>Barda et al.</v>
      </c>
      <c r="BS313" s="883" t="str">
        <f>IFERROR(__xludf.DUMMYFUNCTION("""COMPUTED_VALUE"""),"Tanziana")</f>
        <v>Tanziana</v>
      </c>
      <c r="BT313" s="883" t="str">
        <f>IFERROR(__xludf.DUMMYFUNCTION("""COMPUTED_VALUE"""),"Moxidectin")</f>
        <v>Moxidectin</v>
      </c>
      <c r="BU313" s="883"/>
      <c r="BV313" s="883" t="str">
        <f>IFERROR(__xludf.DUMMYFUNCTION("""COMPUTED_VALUE"""),"Single")</f>
        <v>Single</v>
      </c>
      <c r="BW313" s="883" t="str">
        <f>IFERROR(__xludf.DUMMYFUNCTION("""COMPUTED_VALUE"""),"8 mg")</f>
        <v>8 mg</v>
      </c>
      <c r="BX313" s="895" t="str">
        <f>IFERROR(__xludf.DUMMYFUNCTION("""COMPUTED_VALUE"""),"63")</f>
        <v>63</v>
      </c>
      <c r="BY313" s="895" t="str">
        <f>IFERROR(__xludf.DUMMYFUNCTION("""COMPUTED_VALUE"""),"13.9")</f>
        <v>13.9</v>
      </c>
      <c r="BZ313" s="895" t="str">
        <f>IFERROR(__xludf.DUMMYFUNCTION("""COMPUTED_VALUE"""),"2017")</f>
        <v>2017</v>
      </c>
      <c r="CA313" s="883"/>
      <c r="CB313" s="891" t="str">
        <f>IFERROR(__xludf.DUMMYFUNCTION("""COMPUTED_VALUE"""),"Aldolescents aged 12-18 years who provided two stool samples and tested positive for both T. trichiura and Roundworm")</f>
        <v>Aldolescents aged 12-18 years who provided two stool samples and tested positive for both T. trichiura and Roundworm</v>
      </c>
      <c r="CC313" s="895" t="str">
        <f>IFERROR(__xludf.DUMMYFUNCTION("""COMPUTED_VALUE"""),"Yes")</f>
        <v>Yes</v>
      </c>
      <c r="CD313" s="884" t="str">
        <f>IFERROR(__xludf.DUMMYFUNCTION("""COMPUTED_VALUE"""),"98.40%")</f>
        <v>98.40%</v>
      </c>
      <c r="CE313" s="895" t="str">
        <f>IFERROR(__xludf.DUMMYFUNCTION("""COMPUTED_VALUE"""),"Yes")</f>
        <v>Yes</v>
      </c>
      <c r="CF313" s="883"/>
      <c r="CG313" s="883"/>
      <c r="CH313" s="883"/>
      <c r="CI313" s="883"/>
      <c r="CJ313" s="883"/>
      <c r="CK313" s="883"/>
      <c r="CL313" s="883"/>
      <c r="CM313" s="895" t="str">
        <f>IFERROR(__xludf.DUMMYFUNCTION("""COMPUTED_VALUE"""),"&gt;99.99%")</f>
        <v>&gt;99.99%</v>
      </c>
      <c r="CN313" s="883"/>
      <c r="CO313" s="883"/>
      <c r="CP313" s="883"/>
      <c r="CQ313" s="883"/>
      <c r="CR313" s="883"/>
      <c r="CS313" s="883" t="str">
        <f>IFERROR(__xludf.DUMMYFUNCTION("""COMPUTED_VALUE"""),"A. lumbricoides had higher efficacy in co-administration than moxidectin which suggests a synergistic effect. The synergisim might be explained by the pathways of the efflux of these drugs")</f>
        <v>A. lumbricoides had higher efficacy in co-administration than moxidectin which suggests a synergistic effect. The synergisim might be explained by the pathways of the efflux of these drugs</v>
      </c>
      <c r="CT313" s="883" t="str">
        <f>IFERROR(__xludf.DUMMYFUNCTION("""COMPUTED_VALUE"""),"Kato-Katz Technique")</f>
        <v>Kato-Katz Technique</v>
      </c>
      <c r="CU313" s="883"/>
      <c r="CV313" s="863"/>
      <c r="CW313" s="863"/>
      <c r="CX313" s="863"/>
      <c r="CY313" s="863"/>
      <c r="CZ313" s="863"/>
      <c r="DA313" s="863"/>
      <c r="DB313" s="863"/>
      <c r="DC313" s="863"/>
      <c r="DD313" s="863"/>
      <c r="DE313" s="863"/>
    </row>
    <row r="314">
      <c r="A314" s="876"/>
      <c r="B314" s="876"/>
      <c r="C314" s="876"/>
      <c r="D314" s="876"/>
      <c r="E314" s="876"/>
      <c r="F314" s="876"/>
      <c r="G314" s="876"/>
      <c r="H314" s="876"/>
      <c r="I314" s="876"/>
      <c r="J314" s="876"/>
      <c r="K314" s="876"/>
      <c r="L314" s="876"/>
      <c r="M314" s="876"/>
      <c r="N314" s="877"/>
      <c r="O314" s="876"/>
      <c r="P314" s="876"/>
      <c r="Q314" s="876"/>
      <c r="R314" s="876"/>
      <c r="S314" s="876"/>
      <c r="T314" s="876"/>
      <c r="U314" s="876"/>
      <c r="V314" s="876"/>
      <c r="W314" s="876"/>
      <c r="X314" s="876"/>
      <c r="Y314" s="876"/>
      <c r="Z314" s="876"/>
      <c r="AA314" s="876"/>
      <c r="AB314" s="876"/>
      <c r="AC314" s="876"/>
      <c r="AD314" s="876"/>
      <c r="AE314" s="876"/>
      <c r="AF314" s="876"/>
      <c r="AG314" s="876"/>
      <c r="AH314" s="876"/>
      <c r="AI314" s="878"/>
      <c r="AJ314" s="880"/>
      <c r="AK314" s="880"/>
      <c r="AL314" s="880"/>
      <c r="AM314" s="880"/>
      <c r="AN314" s="880"/>
      <c r="AO314" s="880"/>
      <c r="AP314" s="880"/>
      <c r="AQ314" s="880"/>
      <c r="AR314" s="880"/>
      <c r="AS314" s="880"/>
      <c r="AT314" s="880"/>
      <c r="AU314" s="880"/>
      <c r="AV314" s="880"/>
      <c r="AW314" s="881"/>
      <c r="AX314" s="863"/>
      <c r="AY314" s="863"/>
      <c r="AZ314" s="863"/>
      <c r="BA314" s="863"/>
      <c r="BB314" s="863"/>
      <c r="BC314" s="863"/>
      <c r="BD314" s="863"/>
      <c r="BE314" s="863"/>
      <c r="BF314" s="863"/>
      <c r="BG314" s="863"/>
      <c r="BH314" s="863"/>
      <c r="BI314" s="863"/>
      <c r="BJ314" s="863"/>
      <c r="BK314" s="863"/>
      <c r="BL314" s="863"/>
      <c r="BM314" s="863"/>
      <c r="BN314" s="863"/>
      <c r="BO314" s="863"/>
      <c r="BP314" s="880"/>
      <c r="BQ314" s="863"/>
      <c r="BR314" s="889" t="str">
        <f>IFERROR(__xludf.DUMMYFUNCTION("""COMPUTED_VALUE"""),"Zeleke et al.")</f>
        <v>Zeleke et al.</v>
      </c>
      <c r="BS314" s="883" t="str">
        <f>IFERROR(__xludf.DUMMYFUNCTION("""COMPUTED_VALUE"""),"Ethiopia")</f>
        <v>Ethiopia</v>
      </c>
      <c r="BT314" s="883" t="str">
        <f>IFERROR(__xludf.DUMMYFUNCTION("""COMPUTED_VALUE"""),"Mebendazole")</f>
        <v>Mebendazole</v>
      </c>
      <c r="BU314" s="883"/>
      <c r="BV314" s="883" t="str">
        <f>IFERROR(__xludf.DUMMYFUNCTION("""COMPUTED_VALUE"""),"Single")</f>
        <v>Single</v>
      </c>
      <c r="BW314" s="883" t="str">
        <f>IFERROR(__xludf.DUMMYFUNCTION("""COMPUTED_VALUE"""),"500 mg")</f>
        <v>500 mg</v>
      </c>
      <c r="BX314" s="895" t="str">
        <f>IFERROR(__xludf.DUMMYFUNCTION("""COMPUTED_VALUE"""),"64")</f>
        <v>64</v>
      </c>
      <c r="BY314" s="883"/>
      <c r="BZ314" s="895" t="str">
        <f>IFERROR(__xludf.DUMMYFUNCTION("""COMPUTED_VALUE"""),"2018")</f>
        <v>2018</v>
      </c>
      <c r="CA314" s="883"/>
      <c r="CB314" s="891" t="str">
        <f>IFERROR(__xludf.DUMMYFUNCTION("""COMPUTED_VALUE"""),"All children positive of roundworm with a single informed consent and who did not have any additional health problems were included")</f>
        <v>All children positive of roundworm with a single informed consent and who did not have any additional health problems were included</v>
      </c>
      <c r="CC314" s="895" t="str">
        <f>IFERROR(__xludf.DUMMYFUNCTION("""COMPUTED_VALUE"""),"Yes")</f>
        <v>Yes</v>
      </c>
      <c r="CD314" s="884" t="str">
        <f>IFERROR(__xludf.DUMMYFUNCTION("""COMPUTED_VALUE"""),"96.90%")</f>
        <v>96.90%</v>
      </c>
      <c r="CE314" s="895" t="str">
        <f>IFERROR(__xludf.DUMMYFUNCTION("""COMPUTED_VALUE"""),"No")</f>
        <v>No</v>
      </c>
      <c r="CF314" s="883"/>
      <c r="CG314" s="883"/>
      <c r="CH314" s="883"/>
      <c r="CI314" s="883"/>
      <c r="CJ314" s="883"/>
      <c r="CK314" s="883"/>
      <c r="CL314" s="883"/>
      <c r="CM314" s="895" t="str">
        <f>IFERROR(__xludf.DUMMYFUNCTION("""COMPUTED_VALUE"""),"99.99%")</f>
        <v>99.99%</v>
      </c>
      <c r="CN314" s="883"/>
      <c r="CO314" s="883"/>
      <c r="CP314" s="883"/>
      <c r="CQ314" s="883"/>
      <c r="CR314" s="883"/>
      <c r="CS314" s="883" t="str">
        <f>IFERROR(__xludf.DUMMYFUNCTION("""COMPUTED_VALUE"""),"Mebendazole was found to be highly effective against A. lumbricoides")</f>
        <v>Mebendazole was found to be highly effective against A. lumbricoides</v>
      </c>
      <c r="CT314" s="883" t="str">
        <f>IFERROR(__xludf.DUMMYFUNCTION("""COMPUTED_VALUE"""),"Kato-Katz Technique")</f>
        <v>Kato-Katz Technique</v>
      </c>
      <c r="CU314" s="883"/>
      <c r="CV314" s="863"/>
      <c r="CW314" s="863"/>
      <c r="CX314" s="863"/>
      <c r="CY314" s="863"/>
      <c r="CZ314" s="863"/>
      <c r="DA314" s="863"/>
      <c r="DB314" s="863"/>
      <c r="DC314" s="863"/>
      <c r="DD314" s="863"/>
      <c r="DE314" s="863"/>
    </row>
    <row r="315">
      <c r="A315" s="876"/>
      <c r="B315" s="876"/>
      <c r="C315" s="876"/>
      <c r="D315" s="876"/>
      <c r="E315" s="876"/>
      <c r="F315" s="876"/>
      <c r="G315" s="876"/>
      <c r="H315" s="876"/>
      <c r="I315" s="876"/>
      <c r="J315" s="876"/>
      <c r="K315" s="876"/>
      <c r="L315" s="876"/>
      <c r="M315" s="876"/>
      <c r="N315" s="877"/>
      <c r="O315" s="876"/>
      <c r="P315" s="876"/>
      <c r="Q315" s="876"/>
      <c r="R315" s="876"/>
      <c r="S315" s="876"/>
      <c r="T315" s="876"/>
      <c r="U315" s="876"/>
      <c r="V315" s="876"/>
      <c r="W315" s="876"/>
      <c r="X315" s="876"/>
      <c r="Y315" s="876"/>
      <c r="Z315" s="876"/>
      <c r="AA315" s="876"/>
      <c r="AB315" s="876"/>
      <c r="AC315" s="876"/>
      <c r="AD315" s="876"/>
      <c r="AE315" s="876"/>
      <c r="AF315" s="876"/>
      <c r="AG315" s="876"/>
      <c r="AH315" s="876"/>
      <c r="AI315" s="878"/>
      <c r="AJ315" s="880"/>
      <c r="AK315" s="880"/>
      <c r="AL315" s="880"/>
      <c r="AM315" s="880"/>
      <c r="AN315" s="880"/>
      <c r="AO315" s="880"/>
      <c r="AP315" s="880"/>
      <c r="AQ315" s="880"/>
      <c r="AR315" s="880"/>
      <c r="AS315" s="880"/>
      <c r="AT315" s="880"/>
      <c r="AU315" s="880"/>
      <c r="AV315" s="880"/>
      <c r="AW315" s="881"/>
      <c r="AX315" s="863"/>
      <c r="AY315" s="863"/>
      <c r="AZ315" s="863"/>
      <c r="BA315" s="863"/>
      <c r="BB315" s="863"/>
      <c r="BC315" s="863"/>
      <c r="BD315" s="863"/>
      <c r="BE315" s="863"/>
      <c r="BF315" s="863"/>
      <c r="BG315" s="863"/>
      <c r="BH315" s="863"/>
      <c r="BI315" s="863"/>
      <c r="BJ315" s="863"/>
      <c r="BK315" s="863"/>
      <c r="BL315" s="863"/>
      <c r="BM315" s="863"/>
      <c r="BN315" s="863"/>
      <c r="BO315" s="863"/>
      <c r="BP315" s="880"/>
      <c r="BQ315" s="863"/>
      <c r="BR315" s="883"/>
      <c r="BS315" s="883"/>
      <c r="BT315" s="883"/>
      <c r="BU315" s="883"/>
      <c r="BV315" s="883"/>
      <c r="BW315" s="883"/>
      <c r="BX315" s="883"/>
      <c r="BY315" s="883"/>
      <c r="BZ315" s="883"/>
      <c r="CA315" s="883"/>
      <c r="CB315" s="883"/>
      <c r="CC315" s="883"/>
      <c r="CD315" s="884"/>
      <c r="CE315" s="883"/>
      <c r="CF315" s="883"/>
      <c r="CG315" s="883"/>
      <c r="CH315" s="883"/>
      <c r="CI315" s="883"/>
      <c r="CJ315" s="883"/>
      <c r="CK315" s="883"/>
      <c r="CL315" s="883"/>
      <c r="CM315" s="883"/>
      <c r="CN315" s="883"/>
      <c r="CO315" s="883"/>
      <c r="CP315" s="883"/>
      <c r="CQ315" s="883"/>
      <c r="CR315" s="883"/>
      <c r="CS315" s="883"/>
      <c r="CT315" s="883"/>
      <c r="CU315" s="883"/>
      <c r="CV315" s="863"/>
      <c r="CW315" s="863"/>
      <c r="CX315" s="863"/>
      <c r="CY315" s="863"/>
      <c r="CZ315" s="863"/>
      <c r="DA315" s="863"/>
      <c r="DB315" s="863"/>
      <c r="DC315" s="863"/>
      <c r="DD315" s="863"/>
      <c r="DE315" s="863"/>
    </row>
    <row r="316">
      <c r="A316" s="876"/>
      <c r="B316" s="876"/>
      <c r="C316" s="876"/>
      <c r="D316" s="876"/>
      <c r="E316" s="876"/>
      <c r="F316" s="876"/>
      <c r="G316" s="876"/>
      <c r="H316" s="876"/>
      <c r="I316" s="876"/>
      <c r="J316" s="876"/>
      <c r="K316" s="876"/>
      <c r="L316" s="876"/>
      <c r="M316" s="876"/>
      <c r="N316" s="877"/>
      <c r="O316" s="876"/>
      <c r="P316" s="876"/>
      <c r="Q316" s="876"/>
      <c r="R316" s="876"/>
      <c r="S316" s="876"/>
      <c r="T316" s="876"/>
      <c r="U316" s="876"/>
      <c r="V316" s="876"/>
      <c r="W316" s="876"/>
      <c r="X316" s="876"/>
      <c r="Y316" s="876"/>
      <c r="Z316" s="876"/>
      <c r="AA316" s="876"/>
      <c r="AB316" s="876"/>
      <c r="AC316" s="876"/>
      <c r="AD316" s="876"/>
      <c r="AE316" s="876"/>
      <c r="AF316" s="876"/>
      <c r="AG316" s="876"/>
      <c r="AH316" s="876"/>
      <c r="AI316" s="878"/>
      <c r="AJ316" s="880"/>
      <c r="AK316" s="880"/>
      <c r="AL316" s="880"/>
      <c r="AM316" s="880"/>
      <c r="AN316" s="880"/>
      <c r="AO316" s="880"/>
      <c r="AP316" s="880"/>
      <c r="AQ316" s="880"/>
      <c r="AR316" s="880"/>
      <c r="AS316" s="880"/>
      <c r="AT316" s="880"/>
      <c r="AU316" s="880"/>
      <c r="AV316" s="880"/>
      <c r="AW316" s="881"/>
      <c r="AX316" s="863"/>
      <c r="AY316" s="863"/>
      <c r="AZ316" s="863"/>
      <c r="BA316" s="863"/>
      <c r="BB316" s="863"/>
      <c r="BC316" s="863"/>
      <c r="BD316" s="863"/>
      <c r="BE316" s="863"/>
      <c r="BF316" s="863"/>
      <c r="BG316" s="863"/>
      <c r="BH316" s="863"/>
      <c r="BI316" s="863"/>
      <c r="BJ316" s="863"/>
      <c r="BK316" s="863"/>
      <c r="BL316" s="863"/>
      <c r="BM316" s="863"/>
      <c r="BN316" s="863"/>
      <c r="BO316" s="863"/>
      <c r="BP316" s="880"/>
      <c r="BQ316" s="863"/>
      <c r="BR316" s="883"/>
      <c r="BS316" s="883"/>
      <c r="BT316" s="883"/>
      <c r="BU316" s="883"/>
      <c r="BV316" s="883"/>
      <c r="BW316" s="883"/>
      <c r="BX316" s="883"/>
      <c r="BY316" s="883"/>
      <c r="BZ316" s="883"/>
      <c r="CA316" s="883"/>
      <c r="CB316" s="883"/>
      <c r="CC316" s="883"/>
      <c r="CD316" s="884"/>
      <c r="CE316" s="883"/>
      <c r="CF316" s="883"/>
      <c r="CG316" s="883"/>
      <c r="CH316" s="883"/>
      <c r="CI316" s="883"/>
      <c r="CJ316" s="883"/>
      <c r="CK316" s="883"/>
      <c r="CL316" s="883"/>
      <c r="CM316" s="883"/>
      <c r="CN316" s="883"/>
      <c r="CO316" s="883"/>
      <c r="CP316" s="883"/>
      <c r="CQ316" s="883"/>
      <c r="CR316" s="883"/>
      <c r="CS316" s="883"/>
      <c r="CT316" s="883"/>
      <c r="CU316" s="883"/>
      <c r="CV316" s="863"/>
      <c r="CW316" s="863"/>
      <c r="CX316" s="863"/>
      <c r="CY316" s="863"/>
      <c r="CZ316" s="863"/>
      <c r="DA316" s="863"/>
      <c r="DB316" s="863"/>
      <c r="DC316" s="863"/>
      <c r="DD316" s="863"/>
      <c r="DE316" s="863"/>
    </row>
    <row r="317">
      <c r="A317" s="876"/>
      <c r="B317" s="876"/>
      <c r="C317" s="876"/>
      <c r="D317" s="876"/>
      <c r="E317" s="876"/>
      <c r="F317" s="876"/>
      <c r="G317" s="876"/>
      <c r="H317" s="876"/>
      <c r="I317" s="876"/>
      <c r="J317" s="876"/>
      <c r="K317" s="876"/>
      <c r="L317" s="876"/>
      <c r="M317" s="876"/>
      <c r="N317" s="877"/>
      <c r="O317" s="876"/>
      <c r="P317" s="876"/>
      <c r="Q317" s="876"/>
      <c r="R317" s="876"/>
      <c r="S317" s="876"/>
      <c r="T317" s="876"/>
      <c r="U317" s="876"/>
      <c r="V317" s="876"/>
      <c r="W317" s="876"/>
      <c r="X317" s="876"/>
      <c r="Y317" s="876"/>
      <c r="Z317" s="876"/>
      <c r="AA317" s="876"/>
      <c r="AB317" s="876"/>
      <c r="AC317" s="876"/>
      <c r="AD317" s="876"/>
      <c r="AE317" s="876"/>
      <c r="AF317" s="876"/>
      <c r="AG317" s="876"/>
      <c r="AH317" s="876"/>
      <c r="AI317" s="878"/>
      <c r="AJ317" s="880"/>
      <c r="AK317" s="880"/>
      <c r="AL317" s="880"/>
      <c r="AM317" s="880"/>
      <c r="AN317" s="880"/>
      <c r="AO317" s="880"/>
      <c r="AP317" s="880"/>
      <c r="AQ317" s="880"/>
      <c r="AR317" s="880"/>
      <c r="AS317" s="880"/>
      <c r="AT317" s="880"/>
      <c r="AU317" s="880"/>
      <c r="AV317" s="880"/>
      <c r="AW317" s="881"/>
      <c r="AX317" s="863"/>
      <c r="AY317" s="863"/>
      <c r="AZ317" s="863"/>
      <c r="BA317" s="863"/>
      <c r="BB317" s="863"/>
      <c r="BC317" s="863"/>
      <c r="BD317" s="863"/>
      <c r="BE317" s="863"/>
      <c r="BF317" s="863"/>
      <c r="BG317" s="863"/>
      <c r="BH317" s="863"/>
      <c r="BI317" s="863"/>
      <c r="BJ317" s="863"/>
      <c r="BK317" s="863"/>
      <c r="BL317" s="863"/>
      <c r="BM317" s="863"/>
      <c r="BN317" s="863"/>
      <c r="BO317" s="863"/>
      <c r="BP317" s="880"/>
      <c r="BQ317" s="863"/>
      <c r="BR317" s="883"/>
      <c r="BS317" s="883"/>
      <c r="BT317" s="883"/>
      <c r="BU317" s="883"/>
      <c r="BV317" s="883"/>
      <c r="BW317" s="883"/>
      <c r="BX317" s="883"/>
      <c r="BY317" s="883"/>
      <c r="BZ317" s="883"/>
      <c r="CA317" s="883"/>
      <c r="CB317" s="883"/>
      <c r="CC317" s="883"/>
      <c r="CD317" s="884"/>
      <c r="CE317" s="883"/>
      <c r="CF317" s="883"/>
      <c r="CG317" s="883"/>
      <c r="CH317" s="883"/>
      <c r="CI317" s="883"/>
      <c r="CJ317" s="883"/>
      <c r="CK317" s="883"/>
      <c r="CL317" s="883"/>
      <c r="CM317" s="883"/>
      <c r="CN317" s="883"/>
      <c r="CO317" s="883"/>
      <c r="CP317" s="883"/>
      <c r="CQ317" s="883"/>
      <c r="CR317" s="883"/>
      <c r="CS317" s="883"/>
      <c r="CT317" s="883"/>
      <c r="CU317" s="883"/>
      <c r="CV317" s="863"/>
      <c r="CW317" s="863"/>
      <c r="CX317" s="863"/>
      <c r="CY317" s="863"/>
      <c r="CZ317" s="863"/>
      <c r="DA317" s="863"/>
      <c r="DB317" s="863"/>
      <c r="DC317" s="863"/>
      <c r="DD317" s="863"/>
      <c r="DE317" s="863"/>
    </row>
    <row r="318">
      <c r="A318" s="876"/>
      <c r="B318" s="876"/>
      <c r="C318" s="876"/>
      <c r="D318" s="876"/>
      <c r="E318" s="876"/>
      <c r="F318" s="876"/>
      <c r="G318" s="876"/>
      <c r="H318" s="876"/>
      <c r="I318" s="876"/>
      <c r="J318" s="876"/>
      <c r="K318" s="876"/>
      <c r="L318" s="876"/>
      <c r="M318" s="876"/>
      <c r="N318" s="877"/>
      <c r="O318" s="876"/>
      <c r="P318" s="876"/>
      <c r="Q318" s="876"/>
      <c r="R318" s="876"/>
      <c r="S318" s="876"/>
      <c r="T318" s="876"/>
      <c r="U318" s="876"/>
      <c r="V318" s="876"/>
      <c r="W318" s="876"/>
      <c r="X318" s="876"/>
      <c r="Y318" s="876"/>
      <c r="Z318" s="876"/>
      <c r="AA318" s="876"/>
      <c r="AB318" s="876"/>
      <c r="AC318" s="876"/>
      <c r="AD318" s="876"/>
      <c r="AE318" s="876"/>
      <c r="AF318" s="876"/>
      <c r="AG318" s="876"/>
      <c r="AH318" s="876"/>
      <c r="AI318" s="878"/>
      <c r="AJ318" s="880"/>
      <c r="AK318" s="880"/>
      <c r="AL318" s="880"/>
      <c r="AM318" s="880"/>
      <c r="AN318" s="880"/>
      <c r="AO318" s="880"/>
      <c r="AP318" s="880"/>
      <c r="AQ318" s="880"/>
      <c r="AR318" s="880"/>
      <c r="AS318" s="880"/>
      <c r="AT318" s="880"/>
      <c r="AU318" s="880"/>
      <c r="AV318" s="880"/>
      <c r="AW318" s="881"/>
      <c r="AX318" s="863"/>
      <c r="AY318" s="863"/>
      <c r="AZ318" s="863"/>
      <c r="BA318" s="863"/>
      <c r="BB318" s="863"/>
      <c r="BC318" s="863"/>
      <c r="BD318" s="863"/>
      <c r="BE318" s="863"/>
      <c r="BF318" s="863"/>
      <c r="BG318" s="863"/>
      <c r="BH318" s="863"/>
      <c r="BI318" s="863"/>
      <c r="BJ318" s="863"/>
      <c r="BK318" s="863"/>
      <c r="BL318" s="863"/>
      <c r="BM318" s="863"/>
      <c r="BN318" s="863"/>
      <c r="BO318" s="863"/>
      <c r="BP318" s="880"/>
      <c r="BQ318" s="863"/>
      <c r="BR318" s="883"/>
      <c r="BS318" s="883"/>
      <c r="BT318" s="883"/>
      <c r="BU318" s="883"/>
      <c r="BV318" s="883"/>
      <c r="BW318" s="883"/>
      <c r="BX318" s="883"/>
      <c r="BY318" s="883"/>
      <c r="BZ318" s="883"/>
      <c r="CA318" s="883"/>
      <c r="CB318" s="883"/>
      <c r="CC318" s="883"/>
      <c r="CD318" s="884"/>
      <c r="CE318" s="883"/>
      <c r="CF318" s="883"/>
      <c r="CG318" s="883"/>
      <c r="CH318" s="883"/>
      <c r="CI318" s="883"/>
      <c r="CJ318" s="883"/>
      <c r="CK318" s="883"/>
      <c r="CL318" s="883"/>
      <c r="CM318" s="883"/>
      <c r="CN318" s="883"/>
      <c r="CO318" s="883"/>
      <c r="CP318" s="883"/>
      <c r="CQ318" s="883"/>
      <c r="CR318" s="883"/>
      <c r="CS318" s="883"/>
      <c r="CT318" s="883"/>
      <c r="CU318" s="883"/>
      <c r="CV318" s="863"/>
      <c r="CW318" s="863"/>
      <c r="CX318" s="863"/>
      <c r="CY318" s="863"/>
      <c r="CZ318" s="863"/>
      <c r="DA318" s="863"/>
      <c r="DB318" s="863"/>
      <c r="DC318" s="863"/>
      <c r="DD318" s="863"/>
      <c r="DE318" s="863"/>
    </row>
    <row r="319">
      <c r="A319" s="876"/>
      <c r="B319" s="876"/>
      <c r="C319" s="876"/>
      <c r="D319" s="876"/>
      <c r="E319" s="876"/>
      <c r="F319" s="876"/>
      <c r="G319" s="876"/>
      <c r="H319" s="876"/>
      <c r="I319" s="876"/>
      <c r="J319" s="876"/>
      <c r="K319" s="876"/>
      <c r="L319" s="876"/>
      <c r="M319" s="876"/>
      <c r="N319" s="877"/>
      <c r="O319" s="876"/>
      <c r="P319" s="876"/>
      <c r="Q319" s="876"/>
      <c r="R319" s="876"/>
      <c r="S319" s="876"/>
      <c r="T319" s="876"/>
      <c r="U319" s="876"/>
      <c r="V319" s="876"/>
      <c r="W319" s="876"/>
      <c r="X319" s="876"/>
      <c r="Y319" s="876"/>
      <c r="Z319" s="876"/>
      <c r="AA319" s="876"/>
      <c r="AB319" s="876"/>
      <c r="AC319" s="876"/>
      <c r="AD319" s="876"/>
      <c r="AE319" s="876"/>
      <c r="AF319" s="876"/>
      <c r="AG319" s="876"/>
      <c r="AH319" s="876"/>
      <c r="AI319" s="878"/>
      <c r="AJ319" s="880"/>
      <c r="AK319" s="880"/>
      <c r="AL319" s="880"/>
      <c r="AM319" s="880"/>
      <c r="AN319" s="880"/>
      <c r="AO319" s="880"/>
      <c r="AP319" s="880"/>
      <c r="AQ319" s="880"/>
      <c r="AR319" s="880"/>
      <c r="AS319" s="880"/>
      <c r="AT319" s="880"/>
      <c r="AU319" s="880"/>
      <c r="AV319" s="880"/>
      <c r="AW319" s="881"/>
      <c r="AX319" s="863"/>
      <c r="AY319" s="863"/>
      <c r="AZ319" s="863"/>
      <c r="BA319" s="863"/>
      <c r="BB319" s="863"/>
      <c r="BC319" s="863"/>
      <c r="BD319" s="863"/>
      <c r="BE319" s="863"/>
      <c r="BF319" s="863"/>
      <c r="BG319" s="863"/>
      <c r="BH319" s="863"/>
      <c r="BI319" s="863"/>
      <c r="BJ319" s="863"/>
      <c r="BK319" s="863"/>
      <c r="BL319" s="863"/>
      <c r="BM319" s="863"/>
      <c r="BN319" s="863"/>
      <c r="BO319" s="863"/>
      <c r="BP319" s="880"/>
      <c r="BQ319" s="863"/>
      <c r="BR319" s="883" t="str">
        <f>IFERROR(__xludf.DUMMYFUNCTION("""COMPUTED_VALUE"""),"NEW STUDIES ")</f>
        <v>NEW STUDIES </v>
      </c>
      <c r="BS319" s="883"/>
      <c r="BT319" s="883"/>
      <c r="BU319" s="883"/>
      <c r="BV319" s="883"/>
      <c r="BW319" s="883"/>
      <c r="BX319" s="883"/>
      <c r="BY319" s="883"/>
      <c r="BZ319" s="883"/>
      <c r="CA319" s="883"/>
      <c r="CB319" s="883"/>
      <c r="CC319" s="883"/>
      <c r="CD319" s="884"/>
      <c r="CE319" s="883"/>
      <c r="CF319" s="883"/>
      <c r="CG319" s="883"/>
      <c r="CH319" s="883"/>
      <c r="CI319" s="883"/>
      <c r="CJ319" s="883"/>
      <c r="CK319" s="883"/>
      <c r="CL319" s="883"/>
      <c r="CM319" s="883"/>
      <c r="CN319" s="883"/>
      <c r="CO319" s="883"/>
      <c r="CP319" s="883"/>
      <c r="CQ319" s="883"/>
      <c r="CR319" s="883"/>
      <c r="CS319" s="883"/>
      <c r="CT319" s="883"/>
      <c r="CU319" s="883"/>
      <c r="CV319" s="863"/>
      <c r="CW319" s="863"/>
      <c r="CX319" s="863"/>
      <c r="CY319" s="863"/>
      <c r="CZ319" s="863"/>
      <c r="DA319" s="863"/>
      <c r="DB319" s="863"/>
      <c r="DC319" s="863"/>
      <c r="DD319" s="863"/>
      <c r="DE319" s="863"/>
    </row>
    <row r="320">
      <c r="A320" s="876"/>
      <c r="B320" s="876"/>
      <c r="C320" s="876"/>
      <c r="D320" s="876"/>
      <c r="E320" s="876"/>
      <c r="F320" s="876"/>
      <c r="G320" s="876"/>
      <c r="H320" s="876"/>
      <c r="I320" s="876"/>
      <c r="J320" s="876"/>
      <c r="K320" s="876"/>
      <c r="L320" s="876"/>
      <c r="M320" s="876"/>
      <c r="N320" s="877"/>
      <c r="O320" s="876"/>
      <c r="P320" s="876"/>
      <c r="Q320" s="876"/>
      <c r="R320" s="876"/>
      <c r="S320" s="876"/>
      <c r="T320" s="876"/>
      <c r="U320" s="876"/>
      <c r="V320" s="876"/>
      <c r="W320" s="876"/>
      <c r="X320" s="876"/>
      <c r="Y320" s="876"/>
      <c r="Z320" s="876"/>
      <c r="AA320" s="876"/>
      <c r="AB320" s="876"/>
      <c r="AC320" s="876"/>
      <c r="AD320" s="876"/>
      <c r="AE320" s="876"/>
      <c r="AF320" s="876"/>
      <c r="AG320" s="876"/>
      <c r="AH320" s="876"/>
      <c r="AI320" s="878"/>
      <c r="AJ320" s="880"/>
      <c r="AK320" s="880"/>
      <c r="AL320" s="880"/>
      <c r="AM320" s="880"/>
      <c r="AN320" s="880"/>
      <c r="AO320" s="880"/>
      <c r="AP320" s="880"/>
      <c r="AQ320" s="880"/>
      <c r="AR320" s="880"/>
      <c r="AS320" s="880"/>
      <c r="AT320" s="880"/>
      <c r="AU320" s="880"/>
      <c r="AV320" s="880"/>
      <c r="AW320" s="881"/>
      <c r="AX320" s="863"/>
      <c r="AY320" s="863"/>
      <c r="AZ320" s="863"/>
      <c r="BA320" s="863"/>
      <c r="BB320" s="863"/>
      <c r="BC320" s="863"/>
      <c r="BD320" s="863"/>
      <c r="BE320" s="863"/>
      <c r="BF320" s="863"/>
      <c r="BG320" s="863"/>
      <c r="BH320" s="863"/>
      <c r="BI320" s="863"/>
      <c r="BJ320" s="863"/>
      <c r="BK320" s="863"/>
      <c r="BL320" s="863"/>
      <c r="BM320" s="863"/>
      <c r="BN320" s="863"/>
      <c r="BO320" s="863"/>
      <c r="BP320" s="880"/>
      <c r="BQ320" s="863"/>
      <c r="BR320" s="889" t="str">
        <f>IFERROR(__xludf.DUMMYFUNCTION("""COMPUTED_VALUE"""),"Kar SK")</f>
        <v>Kar SK</v>
      </c>
      <c r="BS320" s="883" t="str">
        <f>IFERROR(__xludf.DUMMYFUNCTION("""COMPUTED_VALUE"""),"India")</f>
        <v>India</v>
      </c>
      <c r="BT320" s="883" t="str">
        <f>IFERROR(__xludf.DUMMYFUNCTION("""COMPUTED_VALUE"""),"Albendazole &amp; DiethylCarbamazine")</f>
        <v>Albendazole &amp; DiethylCarbamazine</v>
      </c>
      <c r="BU320" s="883"/>
      <c r="BV320" s="883" t="str">
        <f>IFERROR(__xludf.DUMMYFUNCTION("""COMPUTED_VALUE"""),"Single")</f>
        <v>Single</v>
      </c>
      <c r="BW320" s="883" t="str">
        <f>IFERROR(__xludf.DUMMYFUNCTION("""COMPUTED_VALUE"""),"400 mg; 300 mg")</f>
        <v>400 mg; 300 mg</v>
      </c>
      <c r="BX320" s="883">
        <f>IFERROR(__xludf.DUMMYFUNCTION("""COMPUTED_VALUE"""),104.0)</f>
        <v>104</v>
      </c>
      <c r="BY320" s="883" t="str">
        <f>IFERROR(__xludf.DUMMYFUNCTION("""COMPUTED_VALUE"""),"33.7±11.6")</f>
        <v>33.7±11.6</v>
      </c>
      <c r="BZ320" s="883">
        <f>IFERROR(__xludf.DUMMYFUNCTION("""COMPUTED_VALUE"""),2012.0)</f>
        <v>2012</v>
      </c>
      <c r="CA320" s="883" t="str">
        <f>IFERROR(__xludf.DUMMYFUNCTION("""COMPUTED_VALUE"""),"Male:83% Female:17%")</f>
        <v>Male:83% Female:17%</v>
      </c>
      <c r="CB320" s="883"/>
      <c r="CC320" s="883" t="str">
        <f>IFERROR(__xludf.DUMMYFUNCTION("""COMPUTED_VALUE"""),"Yes")</f>
        <v>Yes</v>
      </c>
      <c r="CD320" s="884">
        <f>IFERROR(__xludf.DUMMYFUNCTION("""COMPUTED_VALUE"""),0.077)</f>
        <v>0.077</v>
      </c>
      <c r="CE320" s="883" t="str">
        <f>IFERROR(__xludf.DUMMYFUNCTION("""COMPUTED_VALUE"""),"No")</f>
        <v>No</v>
      </c>
      <c r="CF320" s="883"/>
      <c r="CG320" s="883"/>
      <c r="CH320" s="883"/>
      <c r="CI320" s="883"/>
      <c r="CJ320" s="883"/>
      <c r="CK320" s="883"/>
      <c r="CL320" s="883"/>
      <c r="CM320" s="883"/>
      <c r="CN320" s="883"/>
      <c r="CO320" s="883"/>
      <c r="CP320" s="883"/>
      <c r="CQ320" s="883"/>
      <c r="CR320" s="883"/>
      <c r="CS320" s="883" t="str">
        <f>IFERROR(__xludf.DUMMYFUNCTION("""COMPUTED_VALUE"""),"The results of this study have important implications for GPELF in areas where onchocerci- asis is not co-endemic. The annual low dose regimen performed well in this study and clearly remains the treatment of choice for the majority of situations. However"&amp;", the availability of an alternative DEC-based regimen that uses a higher dose of albendazole with increased frequency could assist programmes to meet their elimination targets. In particular, this regimen may find use in areas/countries where MDA program"&amp;"mes are yet to be initiated, in “hot spots” identified during surveillance of ongoing programmes and in arresting transmission within shorter time frames [6].")</f>
        <v>The results of this study have important implications for GPELF in areas where onchocerci- asis is not co-endemic. The annual low dose regimen performed well in this study and clearly remains the treatment of choice for the majority of situations. However, the availability of an alternative DEC-based regimen that uses a higher dose of albendazole with increased frequency could assist programmes to meet their elimination targets. In particular, this regimen may find use in areas/countries where MDA programmes are yet to be initiated, in “hot spots” identified during surveillance of ongoing programmes and in arresting transmission within shorter time frames [6].</v>
      </c>
      <c r="CT320" s="883"/>
      <c r="CU320" s="883"/>
      <c r="CV320" s="863"/>
      <c r="CW320" s="863"/>
      <c r="CX320" s="863"/>
      <c r="CY320" s="863"/>
      <c r="CZ320" s="863"/>
      <c r="DA320" s="863"/>
      <c r="DB320" s="863"/>
      <c r="DC320" s="863"/>
      <c r="DD320" s="863"/>
      <c r="DE320" s="863"/>
    </row>
    <row r="321">
      <c r="A321" s="876"/>
      <c r="B321" s="876"/>
      <c r="C321" s="876"/>
      <c r="D321" s="876"/>
      <c r="E321" s="876"/>
      <c r="F321" s="876"/>
      <c r="G321" s="876"/>
      <c r="H321" s="876"/>
      <c r="I321" s="876"/>
      <c r="J321" s="876"/>
      <c r="K321" s="876"/>
      <c r="L321" s="876"/>
      <c r="M321" s="876"/>
      <c r="N321" s="877"/>
      <c r="O321" s="876"/>
      <c r="P321" s="876"/>
      <c r="Q321" s="876"/>
      <c r="R321" s="876"/>
      <c r="S321" s="876"/>
      <c r="T321" s="876"/>
      <c r="U321" s="876"/>
      <c r="V321" s="876"/>
      <c r="W321" s="876"/>
      <c r="X321" s="876"/>
      <c r="Y321" s="876"/>
      <c r="Z321" s="876"/>
      <c r="AA321" s="876"/>
      <c r="AB321" s="876"/>
      <c r="AC321" s="876"/>
      <c r="AD321" s="876"/>
      <c r="AE321" s="876"/>
      <c r="AF321" s="876"/>
      <c r="AG321" s="876"/>
      <c r="AH321" s="876"/>
      <c r="AI321" s="878"/>
      <c r="AJ321" s="880"/>
      <c r="AK321" s="880"/>
      <c r="AL321" s="880"/>
      <c r="AM321" s="880"/>
      <c r="AN321" s="880"/>
      <c r="AO321" s="880"/>
      <c r="AP321" s="880"/>
      <c r="AQ321" s="880"/>
      <c r="AR321" s="880"/>
      <c r="AS321" s="880"/>
      <c r="AT321" s="880"/>
      <c r="AU321" s="880"/>
      <c r="AV321" s="880"/>
      <c r="AW321" s="881"/>
      <c r="AX321" s="863"/>
      <c r="AY321" s="863"/>
      <c r="AZ321" s="863"/>
      <c r="BA321" s="863"/>
      <c r="BB321" s="863"/>
      <c r="BC321" s="863"/>
      <c r="BD321" s="863"/>
      <c r="BE321" s="863"/>
      <c r="BF321" s="863"/>
      <c r="BG321" s="863"/>
      <c r="BH321" s="863"/>
      <c r="BI321" s="863"/>
      <c r="BJ321" s="863"/>
      <c r="BK321" s="863"/>
      <c r="BL321" s="863"/>
      <c r="BM321" s="863"/>
      <c r="BN321" s="863"/>
      <c r="BO321" s="863"/>
      <c r="BP321" s="880"/>
      <c r="BQ321" s="863"/>
      <c r="BR321" s="889" t="str">
        <f>IFERROR(__xludf.DUMMYFUNCTION("""COMPUTED_VALUE"""),"Kar SK")</f>
        <v>Kar SK</v>
      </c>
      <c r="BS321" s="883" t="str">
        <f>IFERROR(__xludf.DUMMYFUNCTION("""COMPUTED_VALUE"""),"India")</f>
        <v>India</v>
      </c>
      <c r="BT321" s="883" t="str">
        <f>IFERROR(__xludf.DUMMYFUNCTION("""COMPUTED_VALUE"""),"Albendazole &amp; DiethylCarbamazine")</f>
        <v>Albendazole &amp; DiethylCarbamazine</v>
      </c>
      <c r="BU321" s="883"/>
      <c r="BV321" s="883" t="str">
        <f>IFERROR(__xludf.DUMMYFUNCTION("""COMPUTED_VALUE"""),"Two")</f>
        <v>Two</v>
      </c>
      <c r="BW321" s="883" t="str">
        <f>IFERROR(__xludf.DUMMYFUNCTION("""COMPUTED_VALUE"""),"400 mg; 300 mg")</f>
        <v>400 mg; 300 mg</v>
      </c>
      <c r="BX321" s="883">
        <f>IFERROR(__xludf.DUMMYFUNCTION("""COMPUTED_VALUE"""),104.0)</f>
        <v>104</v>
      </c>
      <c r="BY321" s="883" t="str">
        <f>IFERROR(__xludf.DUMMYFUNCTION("""COMPUTED_VALUE"""),"31.5±11.5")</f>
        <v>31.5±11.5</v>
      </c>
      <c r="BZ321" s="883">
        <f>IFERROR(__xludf.DUMMYFUNCTION("""COMPUTED_VALUE"""),2012.0)</f>
        <v>2012</v>
      </c>
      <c r="CA321" s="883" t="str">
        <f>IFERROR(__xludf.DUMMYFUNCTION("""COMPUTED_VALUE"""),"Male:83% Female:17%")</f>
        <v>Male:83% Female:17%</v>
      </c>
      <c r="CB321" s="883"/>
      <c r="CC321" s="883" t="str">
        <f>IFERROR(__xludf.DUMMYFUNCTION("""COMPUTED_VALUE"""),"Yes")</f>
        <v>Yes</v>
      </c>
      <c r="CD321" s="884">
        <f>IFERROR(__xludf.DUMMYFUNCTION("""COMPUTED_VALUE"""),0.038)</f>
        <v>0.038</v>
      </c>
      <c r="CE321" s="883" t="str">
        <f>IFERROR(__xludf.DUMMYFUNCTION("""COMPUTED_VALUE"""),"No")</f>
        <v>No</v>
      </c>
      <c r="CF321" s="883"/>
      <c r="CG321" s="883"/>
      <c r="CH321" s="883"/>
      <c r="CI321" s="883"/>
      <c r="CJ321" s="883"/>
      <c r="CK321" s="883"/>
      <c r="CL321" s="883"/>
      <c r="CM321" s="883"/>
      <c r="CN321" s="883"/>
      <c r="CO321" s="883"/>
      <c r="CP321" s="883"/>
      <c r="CQ321" s="883"/>
      <c r="CR321" s="883"/>
      <c r="CS321" s="883" t="str">
        <f>IFERROR(__xludf.DUMMYFUNCTION("""COMPUTED_VALUE"""),"The results of this study have important implications for GPELF in areas where onchocerci- asis is not co-endemic. The annual low dose regimen performed well in this study and clearly remains the treatment of choice for the majority of situations. However"&amp;", the availability of an alternative DEC-based regimen that uses a higher dose of albendazole with increased frequency could assist programmes to meet their elimination targets. In particular, this regimen may find use in areas/countries where MDA program"&amp;"mes are yet to be initiated, in “hot spots” identified during surveillance of ongoing programmes and in arresting transmission within shorter time frames [6].")</f>
        <v>The results of this study have important implications for GPELF in areas where onchocerci- asis is not co-endemic. The annual low dose regimen performed well in this study and clearly remains the treatment of choice for the majority of situations. However, the availability of an alternative DEC-based regimen that uses a higher dose of albendazole with increased frequency could assist programmes to meet their elimination targets. In particular, this regimen may find use in areas/countries where MDA programmes are yet to be initiated, in “hot spots” identified during surveillance of ongoing programmes and in arresting transmission within shorter time frames [6].</v>
      </c>
      <c r="CT321" s="883"/>
      <c r="CU321" s="883"/>
      <c r="CV321" s="863"/>
      <c r="CW321" s="863"/>
      <c r="CX321" s="863"/>
      <c r="CY321" s="863"/>
      <c r="CZ321" s="863"/>
      <c r="DA321" s="863"/>
      <c r="DB321" s="863"/>
      <c r="DC321" s="863"/>
      <c r="DD321" s="863"/>
      <c r="DE321" s="863"/>
    </row>
    <row r="322">
      <c r="A322" s="876"/>
      <c r="B322" s="876"/>
      <c r="C322" s="876"/>
      <c r="D322" s="876"/>
      <c r="E322" s="876"/>
      <c r="F322" s="876"/>
      <c r="G322" s="876"/>
      <c r="H322" s="876"/>
      <c r="I322" s="876"/>
      <c r="J322" s="876"/>
      <c r="K322" s="876"/>
      <c r="L322" s="876"/>
      <c r="M322" s="876"/>
      <c r="N322" s="877"/>
      <c r="O322" s="876"/>
      <c r="P322" s="876"/>
      <c r="Q322" s="876"/>
      <c r="R322" s="876"/>
      <c r="S322" s="876"/>
      <c r="T322" s="876"/>
      <c r="U322" s="876"/>
      <c r="V322" s="876"/>
      <c r="W322" s="876"/>
      <c r="X322" s="876"/>
      <c r="Y322" s="876"/>
      <c r="Z322" s="876"/>
      <c r="AA322" s="876"/>
      <c r="AB322" s="876"/>
      <c r="AC322" s="876"/>
      <c r="AD322" s="876"/>
      <c r="AE322" s="876"/>
      <c r="AF322" s="876"/>
      <c r="AG322" s="876"/>
      <c r="AH322" s="876"/>
      <c r="AI322" s="878"/>
      <c r="AJ322" s="880"/>
      <c r="AK322" s="880"/>
      <c r="AL322" s="880"/>
      <c r="AM322" s="880"/>
      <c r="AN322" s="880"/>
      <c r="AO322" s="880"/>
      <c r="AP322" s="880"/>
      <c r="AQ322" s="880"/>
      <c r="AR322" s="880"/>
      <c r="AS322" s="880"/>
      <c r="AT322" s="880"/>
      <c r="AU322" s="880"/>
      <c r="AV322" s="880"/>
      <c r="AW322" s="881"/>
      <c r="AX322" s="863"/>
      <c r="AY322" s="863"/>
      <c r="AZ322" s="863"/>
      <c r="BA322" s="863"/>
      <c r="BB322" s="863"/>
      <c r="BC322" s="863"/>
      <c r="BD322" s="863"/>
      <c r="BE322" s="863"/>
      <c r="BF322" s="863"/>
      <c r="BG322" s="863"/>
      <c r="BH322" s="863"/>
      <c r="BI322" s="863"/>
      <c r="BJ322" s="863"/>
      <c r="BK322" s="863"/>
      <c r="BL322" s="863"/>
      <c r="BM322" s="863"/>
      <c r="BN322" s="863"/>
      <c r="BO322" s="863"/>
      <c r="BP322" s="880"/>
      <c r="BQ322" s="863"/>
      <c r="BR322" s="889" t="str">
        <f>IFERROR(__xludf.DUMMYFUNCTION("""COMPUTED_VALUE"""),"Kar SK")</f>
        <v>Kar SK</v>
      </c>
      <c r="BS322" s="883" t="str">
        <f>IFERROR(__xludf.DUMMYFUNCTION("""COMPUTED_VALUE"""),"India")</f>
        <v>India</v>
      </c>
      <c r="BT322" s="883" t="str">
        <f>IFERROR(__xludf.DUMMYFUNCTION("""COMPUTED_VALUE"""),"Albendazole &amp; DiethylCarbamazine")</f>
        <v>Albendazole &amp; DiethylCarbamazine</v>
      </c>
      <c r="BU322" s="883"/>
      <c r="BV322" s="883" t="str">
        <f>IFERROR(__xludf.DUMMYFUNCTION("""COMPUTED_VALUE"""),"Single")</f>
        <v>Single</v>
      </c>
      <c r="BW322" s="883" t="str">
        <f>IFERROR(__xludf.DUMMYFUNCTION("""COMPUTED_VALUE"""),"800 mg; 300 mg")</f>
        <v>800 mg; 300 mg</v>
      </c>
      <c r="BX322" s="883">
        <f>IFERROR(__xludf.DUMMYFUNCTION("""COMPUTED_VALUE"""),104.0)</f>
        <v>104</v>
      </c>
      <c r="BY322" s="883" t="str">
        <f>IFERROR(__xludf.DUMMYFUNCTION("""COMPUTED_VALUE"""),"28.2±10.5")</f>
        <v>28.2±10.5</v>
      </c>
      <c r="BZ322" s="883">
        <f>IFERROR(__xludf.DUMMYFUNCTION("""COMPUTED_VALUE"""),2012.0)</f>
        <v>2012</v>
      </c>
      <c r="CA322" s="883" t="str">
        <f>IFERROR(__xludf.DUMMYFUNCTION("""COMPUTED_VALUE"""),"Male:83% Female:17%")</f>
        <v>Male:83% Female:17%</v>
      </c>
      <c r="CB322" s="883"/>
      <c r="CC322" s="883" t="str">
        <f>IFERROR(__xludf.DUMMYFUNCTION("""COMPUTED_VALUE"""),"Yes")</f>
        <v>Yes</v>
      </c>
      <c r="CD322" s="884">
        <f>IFERROR(__xludf.DUMMYFUNCTION("""COMPUTED_VALUE"""),0.115)</f>
        <v>0.115</v>
      </c>
      <c r="CE322" s="883" t="str">
        <f>IFERROR(__xludf.DUMMYFUNCTION("""COMPUTED_VALUE"""),"No")</f>
        <v>No</v>
      </c>
      <c r="CF322" s="883"/>
      <c r="CG322" s="883"/>
      <c r="CH322" s="883"/>
      <c r="CI322" s="883"/>
      <c r="CJ322" s="883"/>
      <c r="CK322" s="883"/>
      <c r="CL322" s="883"/>
      <c r="CM322" s="883"/>
      <c r="CN322" s="883"/>
      <c r="CO322" s="883"/>
      <c r="CP322" s="883"/>
      <c r="CQ322" s="883"/>
      <c r="CR322" s="883"/>
      <c r="CS322" s="883" t="str">
        <f>IFERROR(__xludf.DUMMYFUNCTION("""COMPUTED_VALUE"""),"The results of this study have important implications for GPELF in areas where onchocerci- asis is not co-endemic. The annual low dose regimen performed well in this study and clearly remains the treatment of choice for the majority of situations. However"&amp;", the availability of an alternative DEC-based regimen that uses a higher dose of albendazole with increased frequency could assist programmes to meet their elimination targets. In particular, this regimen may find use in areas/countries where MDA program"&amp;"mes are yet to be initiated, in “hot spots” identified during surveillance of ongoing programmes and in arresting transmission within shorter time frames [6].")</f>
        <v>The results of this study have important implications for GPELF in areas where onchocerci- asis is not co-endemic. The annual low dose regimen performed well in this study and clearly remains the treatment of choice for the majority of situations. However, the availability of an alternative DEC-based regimen that uses a higher dose of albendazole with increased frequency could assist programmes to meet their elimination targets. In particular, this regimen may find use in areas/countries where MDA programmes are yet to be initiated, in “hot spots” identified during surveillance of ongoing programmes and in arresting transmission within shorter time frames [6].</v>
      </c>
      <c r="CT322" s="883"/>
      <c r="CU322" s="883"/>
      <c r="CV322" s="863"/>
      <c r="CW322" s="863"/>
      <c r="CX322" s="863"/>
      <c r="CY322" s="863"/>
      <c r="CZ322" s="863"/>
      <c r="DA322" s="863"/>
      <c r="DB322" s="863"/>
      <c r="DC322" s="863"/>
      <c r="DD322" s="863"/>
      <c r="DE322" s="863"/>
    </row>
    <row r="323">
      <c r="A323" s="876"/>
      <c r="B323" s="876"/>
      <c r="C323" s="876"/>
      <c r="D323" s="876"/>
      <c r="E323" s="876"/>
      <c r="F323" s="876"/>
      <c r="G323" s="876"/>
      <c r="H323" s="876"/>
      <c r="I323" s="876"/>
      <c r="J323" s="876"/>
      <c r="K323" s="876"/>
      <c r="L323" s="876"/>
      <c r="M323" s="876"/>
      <c r="N323" s="877"/>
      <c r="O323" s="876"/>
      <c r="P323" s="876"/>
      <c r="Q323" s="876"/>
      <c r="R323" s="876"/>
      <c r="S323" s="876"/>
      <c r="T323" s="876"/>
      <c r="U323" s="876"/>
      <c r="V323" s="876"/>
      <c r="W323" s="876"/>
      <c r="X323" s="876"/>
      <c r="Y323" s="876"/>
      <c r="Z323" s="876"/>
      <c r="AA323" s="876"/>
      <c r="AB323" s="876"/>
      <c r="AC323" s="876"/>
      <c r="AD323" s="876"/>
      <c r="AE323" s="876"/>
      <c r="AF323" s="876"/>
      <c r="AG323" s="876"/>
      <c r="AH323" s="876"/>
      <c r="AI323" s="878"/>
      <c r="AJ323" s="880"/>
      <c r="AK323" s="880"/>
      <c r="AL323" s="880"/>
      <c r="AM323" s="880"/>
      <c r="AN323" s="880"/>
      <c r="AO323" s="880"/>
      <c r="AP323" s="880"/>
      <c r="AQ323" s="880"/>
      <c r="AR323" s="880"/>
      <c r="AS323" s="880"/>
      <c r="AT323" s="880"/>
      <c r="AU323" s="880"/>
      <c r="AV323" s="880"/>
      <c r="AW323" s="881"/>
      <c r="AX323" s="863"/>
      <c r="AY323" s="863"/>
      <c r="AZ323" s="863"/>
      <c r="BA323" s="863"/>
      <c r="BB323" s="863"/>
      <c r="BC323" s="863"/>
      <c r="BD323" s="863"/>
      <c r="BE323" s="863"/>
      <c r="BF323" s="863"/>
      <c r="BG323" s="863"/>
      <c r="BH323" s="863"/>
      <c r="BI323" s="863"/>
      <c r="BJ323" s="863"/>
      <c r="BK323" s="863"/>
      <c r="BL323" s="863"/>
      <c r="BM323" s="863"/>
      <c r="BN323" s="863"/>
      <c r="BO323" s="863"/>
      <c r="BP323" s="880"/>
      <c r="BQ323" s="863"/>
      <c r="BR323" s="889" t="str">
        <f>IFERROR(__xludf.DUMMYFUNCTION("""COMPUTED_VALUE"""),"Kar SK")</f>
        <v>Kar SK</v>
      </c>
      <c r="BS323" s="883" t="str">
        <f>IFERROR(__xludf.DUMMYFUNCTION("""COMPUTED_VALUE"""),"India")</f>
        <v>India</v>
      </c>
      <c r="BT323" s="883" t="str">
        <f>IFERROR(__xludf.DUMMYFUNCTION("""COMPUTED_VALUE"""),"Albendazole &amp; DiethylCarbamazine")</f>
        <v>Albendazole &amp; DiethylCarbamazine</v>
      </c>
      <c r="BU323" s="883"/>
      <c r="BV323" s="883" t="str">
        <f>IFERROR(__xludf.DUMMYFUNCTION("""COMPUTED_VALUE"""),"Two")</f>
        <v>Two</v>
      </c>
      <c r="BW323" s="883" t="str">
        <f>IFERROR(__xludf.DUMMYFUNCTION("""COMPUTED_VALUE"""),"400 mg; 300 mg")</f>
        <v>400 mg; 300 mg</v>
      </c>
      <c r="BX323" s="883">
        <f>IFERROR(__xludf.DUMMYFUNCTION("""COMPUTED_VALUE"""),104.0)</f>
        <v>104</v>
      </c>
      <c r="BY323" s="883" t="str">
        <f>IFERROR(__xludf.DUMMYFUNCTION("""COMPUTED_VALUE"""),"34.4±12.9")</f>
        <v>34.4±12.9</v>
      </c>
      <c r="BZ323" s="883">
        <f>IFERROR(__xludf.DUMMYFUNCTION("""COMPUTED_VALUE"""),2012.0)</f>
        <v>2012</v>
      </c>
      <c r="CA323" s="883" t="str">
        <f>IFERROR(__xludf.DUMMYFUNCTION("""COMPUTED_VALUE"""),"Male:83% Female:17%")</f>
        <v>Male:83% Female:17%</v>
      </c>
      <c r="CB323" s="883"/>
      <c r="CC323" s="883" t="str">
        <f>IFERROR(__xludf.DUMMYFUNCTION("""COMPUTED_VALUE"""),"Yes")</f>
        <v>Yes</v>
      </c>
      <c r="CD323" s="884">
        <f>IFERROR(__xludf.DUMMYFUNCTION("""COMPUTED_VALUE"""),0.115)</f>
        <v>0.115</v>
      </c>
      <c r="CE323" s="883" t="str">
        <f>IFERROR(__xludf.DUMMYFUNCTION("""COMPUTED_VALUE"""),"No")</f>
        <v>No</v>
      </c>
      <c r="CF323" s="883"/>
      <c r="CG323" s="883"/>
      <c r="CH323" s="883"/>
      <c r="CI323" s="883"/>
      <c r="CJ323" s="883"/>
      <c r="CK323" s="883"/>
      <c r="CL323" s="883"/>
      <c r="CM323" s="883"/>
      <c r="CN323" s="883"/>
      <c r="CO323" s="883"/>
      <c r="CP323" s="883"/>
      <c r="CQ323" s="883"/>
      <c r="CR323" s="883"/>
      <c r="CS323" s="883" t="str">
        <f>IFERROR(__xludf.DUMMYFUNCTION("""COMPUTED_VALUE"""),"The results of this study have important implications for GPELF in areas where onchocerci- asis is not co-endemic. The annual low dose regimen performed well in this study and clearly remains the treatment of choice for the majority of situations. However"&amp;", the availability of an alternative DEC-based regimen that uses a higher dose of albendazole with increased frequency could assist programmes to meet their elimination targets. In particular, this regimen may find use in areas/countries where MDA program"&amp;"mes are yet to be initiated, in “hot spots” identified during surveillance of ongoing programmes and in arresting transmission within shorter time frames [6].")</f>
        <v>The results of this study have important implications for GPELF in areas where onchocerci- asis is not co-endemic. The annual low dose regimen performed well in this study and clearly remains the treatment of choice for the majority of situations. However, the availability of an alternative DEC-based regimen that uses a higher dose of albendazole with increased frequency could assist programmes to meet their elimination targets. In particular, this regimen may find use in areas/countries where MDA programmes are yet to be initiated, in “hot spots” identified during surveillance of ongoing programmes and in arresting transmission within shorter time frames [6].</v>
      </c>
      <c r="CT323" s="883"/>
      <c r="CU323" s="883"/>
      <c r="CV323" s="863"/>
      <c r="CW323" s="863"/>
      <c r="CX323" s="863"/>
      <c r="CY323" s="863"/>
      <c r="CZ323" s="863"/>
      <c r="DA323" s="863"/>
      <c r="DB323" s="863"/>
      <c r="DC323" s="863"/>
      <c r="DD323" s="863"/>
      <c r="DE323" s="863"/>
    </row>
    <row r="324">
      <c r="A324" s="876"/>
      <c r="B324" s="876"/>
      <c r="C324" s="876"/>
      <c r="D324" s="876"/>
      <c r="E324" s="876"/>
      <c r="F324" s="876"/>
      <c r="G324" s="876"/>
      <c r="H324" s="876"/>
      <c r="I324" s="876"/>
      <c r="J324" s="876"/>
      <c r="K324" s="876"/>
      <c r="L324" s="876"/>
      <c r="M324" s="876"/>
      <c r="N324" s="877"/>
      <c r="O324" s="876"/>
      <c r="P324" s="876"/>
      <c r="Q324" s="876"/>
      <c r="R324" s="876"/>
      <c r="S324" s="876"/>
      <c r="T324" s="876"/>
      <c r="U324" s="876"/>
      <c r="V324" s="876"/>
      <c r="W324" s="876"/>
      <c r="X324" s="876"/>
      <c r="Y324" s="876"/>
      <c r="Z324" s="876"/>
      <c r="AA324" s="876"/>
      <c r="AB324" s="876"/>
      <c r="AC324" s="876"/>
      <c r="AD324" s="876"/>
      <c r="AE324" s="876"/>
      <c r="AF324" s="876"/>
      <c r="AG324" s="876"/>
      <c r="AH324" s="876"/>
      <c r="AI324" s="878"/>
      <c r="AJ324" s="880"/>
      <c r="AK324" s="880"/>
      <c r="AL324" s="880"/>
      <c r="AM324" s="880"/>
      <c r="AN324" s="880"/>
      <c r="AO324" s="880"/>
      <c r="AP324" s="880"/>
      <c r="AQ324" s="880"/>
      <c r="AR324" s="880"/>
      <c r="AS324" s="880"/>
      <c r="AT324" s="880"/>
      <c r="AU324" s="880"/>
      <c r="AV324" s="880"/>
      <c r="AW324" s="881"/>
      <c r="AX324" s="863"/>
      <c r="AY324" s="863"/>
      <c r="AZ324" s="863"/>
      <c r="BA324" s="863"/>
      <c r="BB324" s="863"/>
      <c r="BC324" s="863"/>
      <c r="BD324" s="863"/>
      <c r="BE324" s="863"/>
      <c r="BF324" s="863"/>
      <c r="BG324" s="863"/>
      <c r="BH324" s="863"/>
      <c r="BI324" s="863"/>
      <c r="BJ324" s="863"/>
      <c r="BK324" s="863"/>
      <c r="BL324" s="863"/>
      <c r="BM324" s="863"/>
      <c r="BN324" s="863"/>
      <c r="BO324" s="863"/>
      <c r="BP324" s="880"/>
      <c r="BQ324" s="863"/>
      <c r="BR324" s="889" t="str">
        <f>IFERROR(__xludf.DUMMYFUNCTION("""COMPUTED_VALUE"""),"Dreyer et al.")</f>
        <v>Dreyer et al.</v>
      </c>
      <c r="BS324" s="883" t="str">
        <f>IFERROR(__xludf.DUMMYFUNCTION("""COMPUTED_VALUE"""),"Africa")</f>
        <v>Africa</v>
      </c>
      <c r="BT324" s="883" t="str">
        <f>IFERROR(__xludf.DUMMYFUNCTION("""COMPUTED_VALUE"""),"DiethylCarbamazine")</f>
        <v>DiethylCarbamazine</v>
      </c>
      <c r="BU324" s="883"/>
      <c r="BV324" s="883" t="str">
        <f>IFERROR(__xludf.DUMMYFUNCTION("""COMPUTED_VALUE"""),"Single")</f>
        <v>Single</v>
      </c>
      <c r="BW324" s="883" t="str">
        <f>IFERROR(__xludf.DUMMYFUNCTION("""COMPUTED_VALUE"""),"6 mg/kg")</f>
        <v>6 mg/kg</v>
      </c>
      <c r="BX324" s="883">
        <f>IFERROR(__xludf.DUMMYFUNCTION("""COMPUTED_VALUE"""),24.0)</f>
        <v>24</v>
      </c>
      <c r="BY324" s="883" t="str">
        <f>IFERROR(__xludf.DUMMYFUNCTION("""COMPUTED_VALUE"""),"19-34")</f>
        <v>19-34</v>
      </c>
      <c r="BZ324" s="883">
        <f>IFERROR(__xludf.DUMMYFUNCTION("""COMPUTED_VALUE"""),2006.0)</f>
        <v>2006</v>
      </c>
      <c r="CA324" s="883" t="str">
        <f>IFERROR(__xludf.DUMMYFUNCTION("""COMPUTED_VALUE"""),"M")</f>
        <v>M</v>
      </c>
      <c r="CB324" s="883" t="str">
        <f>IFERROR(__xludf.DUMMYFUNCTION("""COMPUTED_VALUE"""),"(1) were at least 18 years of age; (2) had reproducibility of the FDS confirmed by two independent investigators on three separate occasions (several days apart) before treatment; (3) had no hydro- cele or genital lymphoedema; (4) had never been treated f"&amp;"or filarial infection with DEC or ivermectin; (5) received no anthelminthic drugs during the follow-up period; and (6) adhered to the follow-up schedule for physical and ultra- sound examinations.")</f>
        <v>(1) were at least 18 years of age; (2) had reproducibility of the FDS confirmed by two independent investigators on three separate occasions (several days apart) before treatment; (3) had no hydro- cele or genital lymphoedema; (4) had never been treated for filarial infection with DEC or ivermectin; (5) received no anthelminthic drugs during the follow-up period; and (6) adhered to the follow-up schedule for physical and ultra- sound examinations.</v>
      </c>
      <c r="CC324" s="883" t="str">
        <f>IFERROR(__xludf.DUMMYFUNCTION("""COMPUTED_VALUE"""),"Yes")</f>
        <v>Yes</v>
      </c>
      <c r="CD324" s="884">
        <f>IFERROR(__xludf.DUMMYFUNCTION("""COMPUTED_VALUE"""),0.348)</f>
        <v>0.348</v>
      </c>
      <c r="CE324" s="883" t="str">
        <f>IFERROR(__xludf.DUMMYFUNCTION("""COMPUTED_VALUE"""),"Yes")</f>
        <v>Yes</v>
      </c>
      <c r="CF324" s="883"/>
      <c r="CG324" s="883"/>
      <c r="CH324" s="883"/>
      <c r="CI324" s="883"/>
      <c r="CJ324" s="883"/>
      <c r="CK324" s="883"/>
      <c r="CL324" s="883"/>
      <c r="CM324" s="884">
        <f>IFERROR(__xludf.DUMMYFUNCTION("""COMPUTED_VALUE"""),0.671)</f>
        <v>0.671</v>
      </c>
      <c r="CN324" s="883"/>
      <c r="CO324" s="883"/>
      <c r="CP324" s="883"/>
      <c r="CQ324" s="883"/>
      <c r="CR324" s="883"/>
      <c r="CS324" s="883" t="str">
        <f>IFERROR(__xludf.DUMMYFUNCTION("""COMPUTED_VALUE"""),"Seven days post treatment, intrascrotal nodules were detected at the site of 21 (46.7%) adult worm nests in men who received DEC alone compared with 2 (6.1%) sites in men who received DEC and albendazole (P = 0.002). One year after treatment, 10 (22.2%) o"&amp;"riginal adult worm nests remained detectable by ultrasound among men who received DEC alone compared with 18/32 (56.3%) nests among men who received both drugs (P = 0.016). Microfilaraemia prevalence and density decreased to a similar extent in both group"&amp;"s. Addition of albendazole appeared to decrease the macrofilaricidal effect of DEC against W. bancrofti, with no detectable enhancement in microfilarial suppression.")</f>
        <v>Seven days post treatment, intrascrotal nodules were detected at the site of 21 (46.7%) adult worm nests in men who received DEC alone compared with 2 (6.1%) sites in men who received DEC and albendazole (P = 0.002). One year after treatment, 10 (22.2%) original adult worm nests remained detectable by ultrasound among men who received DEC alone compared with 18/32 (56.3%) nests among men who received both drugs (P = 0.016). Microfilaraemia prevalence and density decreased to a similar extent in both groups. Addition of albendazole appeared to decrease the macrofilaricidal effect of DEC against W. bancrofti, with no detectable enhancement in microfilarial suppression.</v>
      </c>
      <c r="CT324" s="883"/>
      <c r="CU324" s="883"/>
      <c r="CV324" s="863"/>
      <c r="CW324" s="863"/>
      <c r="CX324" s="863"/>
      <c r="CY324" s="863"/>
      <c r="CZ324" s="863"/>
      <c r="DA324" s="863"/>
      <c r="DB324" s="863"/>
      <c r="DC324" s="863"/>
      <c r="DD324" s="863"/>
      <c r="DE324" s="863"/>
    </row>
    <row r="325">
      <c r="A325" s="876"/>
      <c r="B325" s="876"/>
      <c r="C325" s="876"/>
      <c r="D325" s="876"/>
      <c r="E325" s="876"/>
      <c r="F325" s="876"/>
      <c r="G325" s="876"/>
      <c r="H325" s="876"/>
      <c r="I325" s="876"/>
      <c r="J325" s="876"/>
      <c r="K325" s="876"/>
      <c r="L325" s="876"/>
      <c r="M325" s="876"/>
      <c r="N325" s="877"/>
      <c r="O325" s="876"/>
      <c r="P325" s="876"/>
      <c r="Q325" s="876"/>
      <c r="R325" s="876"/>
      <c r="S325" s="876"/>
      <c r="T325" s="876"/>
      <c r="U325" s="876"/>
      <c r="V325" s="876"/>
      <c r="W325" s="876"/>
      <c r="X325" s="876"/>
      <c r="Y325" s="876"/>
      <c r="Z325" s="876"/>
      <c r="AA325" s="876"/>
      <c r="AB325" s="876"/>
      <c r="AC325" s="876"/>
      <c r="AD325" s="876"/>
      <c r="AE325" s="876"/>
      <c r="AF325" s="876"/>
      <c r="AG325" s="876"/>
      <c r="AH325" s="876"/>
      <c r="AI325" s="878"/>
      <c r="AJ325" s="880"/>
      <c r="AK325" s="880"/>
      <c r="AL325" s="880"/>
      <c r="AM325" s="880"/>
      <c r="AN325" s="880"/>
      <c r="AO325" s="880"/>
      <c r="AP325" s="880"/>
      <c r="AQ325" s="880"/>
      <c r="AR325" s="880"/>
      <c r="AS325" s="880"/>
      <c r="AT325" s="880"/>
      <c r="AU325" s="880"/>
      <c r="AV325" s="880"/>
      <c r="AW325" s="881"/>
      <c r="AX325" s="863"/>
      <c r="AY325" s="863"/>
      <c r="AZ325" s="863"/>
      <c r="BA325" s="863"/>
      <c r="BB325" s="863"/>
      <c r="BC325" s="863"/>
      <c r="BD325" s="863"/>
      <c r="BE325" s="863"/>
      <c r="BF325" s="863"/>
      <c r="BG325" s="863"/>
      <c r="BH325" s="863"/>
      <c r="BI325" s="863"/>
      <c r="BJ325" s="863"/>
      <c r="BK325" s="863"/>
      <c r="BL325" s="863"/>
      <c r="BM325" s="863"/>
      <c r="BN325" s="863"/>
      <c r="BO325" s="863"/>
      <c r="BP325" s="880"/>
      <c r="BQ325" s="863"/>
      <c r="BR325" s="889" t="str">
        <f>IFERROR(__xludf.DUMMYFUNCTION("""COMPUTED_VALUE"""),"Dreyer et al.")</f>
        <v>Dreyer et al.</v>
      </c>
      <c r="BS325" s="883" t="str">
        <f>IFERROR(__xludf.DUMMYFUNCTION("""COMPUTED_VALUE"""),"Africa")</f>
        <v>Africa</v>
      </c>
      <c r="BT325" s="883" t="str">
        <f>IFERROR(__xludf.DUMMYFUNCTION("""COMPUTED_VALUE"""),"Albendazole &amp; DiethylCarbamazine")</f>
        <v>Albendazole &amp; DiethylCarbamazine</v>
      </c>
      <c r="BU325" s="883"/>
      <c r="BV325" s="883" t="str">
        <f>IFERROR(__xludf.DUMMYFUNCTION("""COMPUTED_VALUE"""),"Single")</f>
        <v>Single</v>
      </c>
      <c r="BW325" s="883" t="str">
        <f>IFERROR(__xludf.DUMMYFUNCTION("""COMPUTED_VALUE"""),"400 mg; 6 mg/kg")</f>
        <v>400 mg; 6 mg/kg</v>
      </c>
      <c r="BX325" s="883">
        <f>IFERROR(__xludf.DUMMYFUNCTION("""COMPUTED_VALUE"""),19.0)</f>
        <v>19</v>
      </c>
      <c r="BY325" s="883" t="str">
        <f>IFERROR(__xludf.DUMMYFUNCTION("""COMPUTED_VALUE"""),"16-66")</f>
        <v>16-66</v>
      </c>
      <c r="BZ325" s="883">
        <f>IFERROR(__xludf.DUMMYFUNCTION("""COMPUTED_VALUE"""),2006.0)</f>
        <v>2006</v>
      </c>
      <c r="CA325" s="883" t="str">
        <f>IFERROR(__xludf.DUMMYFUNCTION("""COMPUTED_VALUE"""),"M")</f>
        <v>M</v>
      </c>
      <c r="CB325" s="883" t="str">
        <f>IFERROR(__xludf.DUMMYFUNCTION("""COMPUTED_VALUE"""),"(1) were at least 18 years of age; (2) had reproducibility of the FDS confirmed by two independent investigators on three separate occasions (several days apart) before treatment; (3) had no hydro- cele or genital lymphoedema; (4) had never been treated f"&amp;"or filarial infection with DEC or ivermectin; (5) received no anthelminthic drugs during the follow-up period; and (6) adhered to the follow-up schedule for physical and ultra- sound examinations.")</f>
        <v>(1) were at least 18 years of age; (2) had reproducibility of the FDS confirmed by two independent investigators on three separate occasions (several days apart) before treatment; (3) had no hydro- cele or genital lymphoedema; (4) had never been treated for filarial infection with DEC or ivermectin; (5) received no anthelminthic drugs during the follow-up period; and (6) adhered to the follow-up schedule for physical and ultra- sound examinations.</v>
      </c>
      <c r="CC325" s="883" t="str">
        <f>IFERROR(__xludf.DUMMYFUNCTION("""COMPUTED_VALUE"""),"Yes")</f>
        <v>Yes</v>
      </c>
      <c r="CD325" s="884">
        <f>IFERROR(__xludf.DUMMYFUNCTION("""COMPUTED_VALUE"""),0.286)</f>
        <v>0.286</v>
      </c>
      <c r="CE325" s="883" t="str">
        <f>IFERROR(__xludf.DUMMYFUNCTION("""COMPUTED_VALUE"""),"Yes")</f>
        <v>Yes</v>
      </c>
      <c r="CF325" s="883"/>
      <c r="CG325" s="883"/>
      <c r="CH325" s="883"/>
      <c r="CI325" s="883"/>
      <c r="CJ325" s="883"/>
      <c r="CK325" s="883"/>
      <c r="CL325" s="883"/>
      <c r="CM325" s="884">
        <f>IFERROR(__xludf.DUMMYFUNCTION("""COMPUTED_VALUE"""),0.535)</f>
        <v>0.535</v>
      </c>
      <c r="CN325" s="883"/>
      <c r="CO325" s="883"/>
      <c r="CP325" s="883"/>
      <c r="CQ325" s="883"/>
      <c r="CR325" s="883"/>
      <c r="CS325" s="883" t="str">
        <f>IFERROR(__xludf.DUMMYFUNCTION("""COMPUTED_VALUE"""),"Seven days post treatment, intrascrotal nodules were detected at the site of 21 (46.7%) adult worm nests in men who received DEC alone compared with 2 (6.1%) sites in men who received DEC and albendazole (P = 0.002). One year after treatment, 10 (22.2%) o"&amp;"riginal adult worm nests remained detectable by ultrasound among men who received DEC alone compared with 18/32 (56.3%) nests among men who received both drugs (P = 0.016). Microfilaraemia prevalence and density decreased to a similar extent in both group"&amp;"s. Addition of albendazole appeared to decrease the macrofilaricidal effect of DEC against W. bancrofti, with no detectable enhancement in microfilarial suppression.")</f>
        <v>Seven days post treatment, intrascrotal nodules were detected at the site of 21 (46.7%) adult worm nests in men who received DEC alone compared with 2 (6.1%) sites in men who received DEC and albendazole (P = 0.002). One year after treatment, 10 (22.2%) original adult worm nests remained detectable by ultrasound among men who received DEC alone compared with 18/32 (56.3%) nests among men who received both drugs (P = 0.016). Microfilaraemia prevalence and density decreased to a similar extent in both groups. Addition of albendazole appeared to decrease the macrofilaricidal effect of DEC against W. bancrofti, with no detectable enhancement in microfilarial suppression.</v>
      </c>
      <c r="CT325" s="883"/>
      <c r="CU325" s="883"/>
      <c r="CV325" s="863"/>
      <c r="CW325" s="863"/>
      <c r="CX325" s="863"/>
      <c r="CY325" s="863"/>
      <c r="CZ325" s="863"/>
      <c r="DA325" s="863"/>
      <c r="DB325" s="863"/>
      <c r="DC325" s="863"/>
      <c r="DD325" s="863"/>
      <c r="DE325" s="863"/>
    </row>
    <row r="326">
      <c r="A326" s="876"/>
      <c r="B326" s="876"/>
      <c r="C326" s="876"/>
      <c r="D326" s="876"/>
      <c r="E326" s="876"/>
      <c r="F326" s="876"/>
      <c r="G326" s="876"/>
      <c r="H326" s="876"/>
      <c r="I326" s="876"/>
      <c r="J326" s="876"/>
      <c r="K326" s="876"/>
      <c r="L326" s="876"/>
      <c r="M326" s="876"/>
      <c r="N326" s="877"/>
      <c r="O326" s="876"/>
      <c r="P326" s="876"/>
      <c r="Q326" s="876"/>
      <c r="R326" s="876"/>
      <c r="S326" s="876"/>
      <c r="T326" s="876"/>
      <c r="U326" s="876"/>
      <c r="V326" s="876"/>
      <c r="W326" s="876"/>
      <c r="X326" s="876"/>
      <c r="Y326" s="876"/>
      <c r="Z326" s="876"/>
      <c r="AA326" s="876"/>
      <c r="AB326" s="876"/>
      <c r="AC326" s="876"/>
      <c r="AD326" s="876"/>
      <c r="AE326" s="876"/>
      <c r="AF326" s="876"/>
      <c r="AG326" s="876"/>
      <c r="AH326" s="876"/>
      <c r="AI326" s="878"/>
      <c r="AJ326" s="880"/>
      <c r="AK326" s="880"/>
      <c r="AL326" s="880"/>
      <c r="AM326" s="880"/>
      <c r="AN326" s="880"/>
      <c r="AO326" s="880"/>
      <c r="AP326" s="880"/>
      <c r="AQ326" s="880"/>
      <c r="AR326" s="880"/>
      <c r="AS326" s="880"/>
      <c r="AT326" s="880"/>
      <c r="AU326" s="880"/>
      <c r="AV326" s="880"/>
      <c r="AW326" s="881"/>
      <c r="AX326" s="863"/>
      <c r="AY326" s="863"/>
      <c r="AZ326" s="863"/>
      <c r="BA326" s="863"/>
      <c r="BB326" s="863"/>
      <c r="BC326" s="863"/>
      <c r="BD326" s="863"/>
      <c r="BE326" s="863"/>
      <c r="BF326" s="863"/>
      <c r="BG326" s="863"/>
      <c r="BH326" s="863"/>
      <c r="BI326" s="863"/>
      <c r="BJ326" s="863"/>
      <c r="BK326" s="863"/>
      <c r="BL326" s="863"/>
      <c r="BM326" s="863"/>
      <c r="BN326" s="863"/>
      <c r="BO326" s="863"/>
      <c r="BP326" s="880"/>
      <c r="BQ326" s="863"/>
      <c r="BR326" s="883" t="str">
        <f>IFERROR(__xludf.DUMMYFUNCTION("""COMPUTED_VALUE"""),"Oqueka et al.")</f>
        <v>Oqueka et al.</v>
      </c>
      <c r="BS326" s="883" t="str">
        <f>IFERROR(__xludf.DUMMYFUNCTION("""COMPUTED_VALUE"""),"Indonesia")</f>
        <v>Indonesia</v>
      </c>
      <c r="BT326" s="883" t="str">
        <f>IFERROR(__xludf.DUMMYFUNCTION("""COMPUTED_VALUE"""),"Albendazole &amp; DiethylCarbamazine")</f>
        <v>Albendazole &amp; DiethylCarbamazine</v>
      </c>
      <c r="BU326" s="883"/>
      <c r="BV326" s="883"/>
      <c r="BW326" s="883"/>
      <c r="BX326" s="883"/>
      <c r="BY326" s="883"/>
      <c r="BZ326" s="883"/>
      <c r="CA326" s="883"/>
      <c r="CB326" s="883"/>
      <c r="CC326" s="883"/>
      <c r="CD326" s="884"/>
      <c r="CE326" s="883"/>
      <c r="CF326" s="883"/>
      <c r="CG326" s="883"/>
      <c r="CH326" s="883"/>
      <c r="CI326" s="883"/>
      <c r="CJ326" s="883"/>
      <c r="CK326" s="883"/>
      <c r="CL326" s="883"/>
      <c r="CM326" s="883"/>
      <c r="CN326" s="883"/>
      <c r="CO326" s="883"/>
      <c r="CP326" s="883"/>
      <c r="CQ326" s="883"/>
      <c r="CR326" s="883"/>
      <c r="CS326" s="883"/>
      <c r="CT326" s="883"/>
      <c r="CU326" s="883"/>
      <c r="CV326" s="863"/>
      <c r="CW326" s="863"/>
      <c r="CX326" s="863"/>
      <c r="CY326" s="863"/>
      <c r="CZ326" s="863"/>
      <c r="DA326" s="863"/>
      <c r="DB326" s="863"/>
      <c r="DC326" s="863"/>
      <c r="DD326" s="863"/>
      <c r="DE326" s="863"/>
    </row>
    <row r="327">
      <c r="A327" s="876"/>
      <c r="B327" s="876"/>
      <c r="C327" s="876"/>
      <c r="D327" s="876"/>
      <c r="E327" s="876"/>
      <c r="F327" s="876"/>
      <c r="G327" s="876"/>
      <c r="H327" s="876"/>
      <c r="I327" s="876"/>
      <c r="J327" s="876"/>
      <c r="K327" s="876"/>
      <c r="L327" s="876"/>
      <c r="M327" s="876"/>
      <c r="N327" s="877"/>
      <c r="O327" s="876"/>
      <c r="P327" s="876"/>
      <c r="Q327" s="876"/>
      <c r="R327" s="876"/>
      <c r="S327" s="876"/>
      <c r="T327" s="876"/>
      <c r="U327" s="876"/>
      <c r="V327" s="876"/>
      <c r="W327" s="876"/>
      <c r="X327" s="876"/>
      <c r="Y327" s="876"/>
      <c r="Z327" s="876"/>
      <c r="AA327" s="876"/>
      <c r="AB327" s="876"/>
      <c r="AC327" s="876"/>
      <c r="AD327" s="876"/>
      <c r="AE327" s="876"/>
      <c r="AF327" s="876"/>
      <c r="AG327" s="876"/>
      <c r="AH327" s="876"/>
      <c r="AI327" s="878"/>
      <c r="AJ327" s="880"/>
      <c r="AK327" s="880"/>
      <c r="AL327" s="880"/>
      <c r="AM327" s="880"/>
      <c r="AN327" s="880"/>
      <c r="AO327" s="880"/>
      <c r="AP327" s="880"/>
      <c r="AQ327" s="880"/>
      <c r="AR327" s="880"/>
      <c r="AS327" s="880"/>
      <c r="AT327" s="880"/>
      <c r="AU327" s="880"/>
      <c r="AV327" s="880"/>
      <c r="AW327" s="881"/>
      <c r="AX327" s="863"/>
      <c r="AY327" s="863"/>
      <c r="AZ327" s="863"/>
      <c r="BA327" s="863"/>
      <c r="BB327" s="863"/>
      <c r="BC327" s="863"/>
      <c r="BD327" s="863"/>
      <c r="BE327" s="863"/>
      <c r="BF327" s="863"/>
      <c r="BG327" s="863"/>
      <c r="BH327" s="863"/>
      <c r="BI327" s="863"/>
      <c r="BJ327" s="863"/>
      <c r="BK327" s="863"/>
      <c r="BL327" s="863"/>
      <c r="BM327" s="863"/>
      <c r="BN327" s="863"/>
      <c r="BO327" s="863"/>
      <c r="BP327" s="880"/>
      <c r="BQ327" s="863"/>
      <c r="BR327" s="889" t="str">
        <f>IFERROR(__xludf.DUMMYFUNCTION("""COMPUTED_VALUE"""),"Kihara")</f>
        <v>Kihara</v>
      </c>
      <c r="BS327" s="883" t="str">
        <f>IFERROR(__xludf.DUMMYFUNCTION("""COMPUTED_VALUE"""),"Kenya")</f>
        <v>Kenya</v>
      </c>
      <c r="BT327" s="883" t="str">
        <f>IFERROR(__xludf.DUMMYFUNCTION("""COMPUTED_VALUE"""),"Albendazole &amp; Praziquantel ")</f>
        <v>Albendazole &amp; Praziquantel </v>
      </c>
      <c r="BU327" s="883"/>
      <c r="BV327" s="883" t="str">
        <f>IFERROR(__xludf.DUMMYFUNCTION("""COMPUTED_VALUE"""),"Single")</f>
        <v>Single</v>
      </c>
      <c r="BW327" s="883" t="str">
        <f>IFERROR(__xludf.DUMMYFUNCTION("""COMPUTED_VALUE"""),"400 mg; 600 mg")</f>
        <v>400 mg; 600 mg</v>
      </c>
      <c r="BX327" s="883">
        <f>IFERROR(__xludf.DUMMYFUNCTION("""COMPUTED_VALUE"""),44.0)</f>
        <v>44</v>
      </c>
      <c r="BY327" s="890">
        <f>IFERROR(__xludf.DUMMYFUNCTION("""COMPUTED_VALUE"""),42478.0)</f>
        <v>42478</v>
      </c>
      <c r="BZ327" s="883">
        <f>IFERROR(__xludf.DUMMYFUNCTION("""COMPUTED_VALUE"""),2004.0)</f>
        <v>2004</v>
      </c>
      <c r="CA327" s="883"/>
      <c r="CB327" s="883" t="str">
        <f>IFERROR(__xludf.DUMMYFUNCTION("""COMPUTED_VALUE"""),"N/A")</f>
        <v>N/A</v>
      </c>
      <c r="CC327" s="883" t="str">
        <f>IFERROR(__xludf.DUMMYFUNCTION("""COMPUTED_VALUE"""),"No")</f>
        <v>No</v>
      </c>
      <c r="CD327" s="884">
        <f>IFERROR(__xludf.DUMMYFUNCTION("""COMPUTED_VALUE"""),1.0)</f>
        <v>1</v>
      </c>
      <c r="CE327" s="883"/>
      <c r="CF327" s="883"/>
      <c r="CG327" s="883"/>
      <c r="CH327" s="883"/>
      <c r="CI327" s="883"/>
      <c r="CJ327" s="883"/>
      <c r="CK327" s="883"/>
      <c r="CL327" s="883"/>
      <c r="CM327" s="891">
        <f>IFERROR(__xludf.DUMMYFUNCTION("""COMPUTED_VALUE"""),1.0)</f>
        <v>1</v>
      </c>
      <c r="CN327" s="883"/>
      <c r="CO327" s="883"/>
      <c r="CP327" s="883"/>
      <c r="CQ327" s="883"/>
      <c r="CR327" s="883"/>
      <c r="CS327" s="883" t="str">
        <f>IFERROR(__xludf.DUMMYFUNCTION("""COMPUTED_VALUE"""),"A single dose of praziquantel was very effective against S. mansoni, although in some schools the cure rate was low. This could be attributed to immature worms, which were not killed by the drug and continued to excrete eggs in the stool after treatment. "&amp;"In all schools, intensity reduced by more than 90% after treatment for hookworm and schistosomiasis and 100% for Ascariasis. Albendazole was very effective against Ascariasis and hookworm. A single dose of albendazole had little effect on T. trichiura, wi"&amp;"th a reduction rate of only 24.5%. Such observation had also been noted by Pascal et al. (1997) who reported Trichuriasis reduction of 23% after treatment with a single dose of albendazole. With the observed cure rates of 100% for A. lumri- coides, 18.2% "&amp;"for T. trichiura, 95% for hookworm and 92.6% for S. mansoni in the five schools, the programme achieved its objectives in the first year. A single dose treatment by praziquantel and albendazole for schistoso- miasis and soil transmitted helminthes was eff"&amp;"ective in reducing prevalence and intensity of parasitic infection in school age children in Mwea. From these results, two or three repeated doses of Albendazole for treatment of Trichuriasis in school children will have better effect in reducing prevalen"&amp;"ce and intensity especially in selective treatment.")</f>
        <v>A single dose of praziquantel was very effective against S. mansoni, although in some schools the cure rate was low. This could be attributed to immature worms, which were not killed by the drug and continued to excrete eggs in the stool after treatment. In all schools, intensity reduced by more than 90% after treatment for hookworm and schistosomiasis and 100% for Ascariasis. Albendazole was very effective against Ascariasis and hookworm. A single dose of albendazole had little effect on T. trichiura, with a reduction rate of only 24.5%. Such observation had also been noted by Pascal et al. (1997) who reported Trichuriasis reduction of 23% after treatment with a single dose of albendazole. With the observed cure rates of 100% for A. lumri- coides, 18.2% for T. trichiura, 95% for hookworm and 92.6% for S. mansoni in the five schools, the programme achieved its objectives in the first year. A single dose treatment by praziquantel and albendazole for schistoso- miasis and soil transmitted helminthes was effective in reducing prevalence and intensity of parasitic infection in school age children in Mwea. From these results, two or three repeated doses of Albendazole for treatment of Trichuriasis in school children will have better effect in reducing prevalence and intensity especially in selective treatment.</v>
      </c>
      <c r="CT327" s="883"/>
      <c r="CU327" s="883"/>
      <c r="CV327" s="863"/>
      <c r="CW327" s="863"/>
      <c r="CX327" s="863"/>
      <c r="CY327" s="863"/>
      <c r="CZ327" s="863"/>
      <c r="DA327" s="863"/>
      <c r="DB327" s="863"/>
      <c r="DC327" s="863"/>
      <c r="DD327" s="863"/>
      <c r="DE327" s="863"/>
    </row>
    <row r="328">
      <c r="A328" s="876"/>
      <c r="B328" s="876"/>
      <c r="C328" s="876"/>
      <c r="D328" s="876"/>
      <c r="E328" s="876"/>
      <c r="F328" s="876"/>
      <c r="G328" s="876"/>
      <c r="H328" s="876"/>
      <c r="I328" s="876"/>
      <c r="J328" s="876"/>
      <c r="K328" s="876"/>
      <c r="L328" s="876"/>
      <c r="M328" s="876"/>
      <c r="N328" s="877"/>
      <c r="O328" s="876"/>
      <c r="P328" s="876"/>
      <c r="Q328" s="876"/>
      <c r="R328" s="876"/>
      <c r="S328" s="876"/>
      <c r="T328" s="876"/>
      <c r="U328" s="876"/>
      <c r="V328" s="876"/>
      <c r="W328" s="876"/>
      <c r="X328" s="876"/>
      <c r="Y328" s="876"/>
      <c r="Z328" s="876"/>
      <c r="AA328" s="876"/>
      <c r="AB328" s="876"/>
      <c r="AC328" s="876"/>
      <c r="AD328" s="876"/>
      <c r="AE328" s="876"/>
      <c r="AF328" s="876"/>
      <c r="AG328" s="876"/>
      <c r="AH328" s="876"/>
      <c r="AI328" s="878"/>
      <c r="AJ328" s="880"/>
      <c r="AK328" s="880"/>
      <c r="AL328" s="880"/>
      <c r="AM328" s="880"/>
      <c r="AN328" s="880"/>
      <c r="AO328" s="880"/>
      <c r="AP328" s="880"/>
      <c r="AQ328" s="880"/>
      <c r="AR328" s="880"/>
      <c r="AS328" s="880"/>
      <c r="AT328" s="880"/>
      <c r="AU328" s="880"/>
      <c r="AV328" s="880"/>
      <c r="AW328" s="881"/>
      <c r="AX328" s="863"/>
      <c r="AY328" s="863"/>
      <c r="AZ328" s="863"/>
      <c r="BA328" s="863"/>
      <c r="BB328" s="863"/>
      <c r="BC328" s="863"/>
      <c r="BD328" s="863"/>
      <c r="BE328" s="863"/>
      <c r="BF328" s="863"/>
      <c r="BG328" s="863"/>
      <c r="BH328" s="863"/>
      <c r="BI328" s="863"/>
      <c r="BJ328" s="863"/>
      <c r="BK328" s="863"/>
      <c r="BL328" s="863"/>
      <c r="BM328" s="863"/>
      <c r="BN328" s="863"/>
      <c r="BO328" s="863"/>
      <c r="BP328" s="880"/>
      <c r="BQ328" s="863"/>
      <c r="BR328" s="883" t="str">
        <f>IFERROR(__xludf.DUMMYFUNCTION("""COMPUTED_VALUE"""),"Kilpatrick")</f>
        <v>Kilpatrick</v>
      </c>
      <c r="BS328" s="883" t="str">
        <f>IFERROR(__xludf.DUMMYFUNCTION("""COMPUTED_VALUE"""),"Egypt")</f>
        <v>Egypt</v>
      </c>
      <c r="BT328" s="883"/>
      <c r="BU328" s="883"/>
      <c r="BV328" s="883"/>
      <c r="BW328" s="883"/>
      <c r="BX328" s="883"/>
      <c r="BY328" s="883"/>
      <c r="BZ328" s="883"/>
      <c r="CA328" s="883"/>
      <c r="CB328" s="883"/>
      <c r="CC328" s="883"/>
      <c r="CD328" s="884"/>
      <c r="CE328" s="883"/>
      <c r="CF328" s="883"/>
      <c r="CG328" s="883"/>
      <c r="CH328" s="883"/>
      <c r="CI328" s="883"/>
      <c r="CJ328" s="883"/>
      <c r="CK328" s="883"/>
      <c r="CL328" s="883"/>
      <c r="CM328" s="883"/>
      <c r="CN328" s="883"/>
      <c r="CO328" s="883"/>
      <c r="CP328" s="883"/>
      <c r="CQ328" s="883"/>
      <c r="CR328" s="883"/>
      <c r="CS328" s="883"/>
      <c r="CT328" s="883"/>
      <c r="CU328" s="883"/>
      <c r="CV328" s="863"/>
      <c r="CW328" s="863"/>
      <c r="CX328" s="863"/>
      <c r="CY328" s="863"/>
      <c r="CZ328" s="863"/>
      <c r="DA328" s="863"/>
      <c r="DB328" s="863"/>
      <c r="DC328" s="863"/>
      <c r="DD328" s="863"/>
      <c r="DE328" s="863"/>
    </row>
    <row r="329">
      <c r="A329" s="876"/>
      <c r="B329" s="876"/>
      <c r="C329" s="876"/>
      <c r="D329" s="876"/>
      <c r="E329" s="876"/>
      <c r="F329" s="876"/>
      <c r="G329" s="876"/>
      <c r="H329" s="876"/>
      <c r="I329" s="876"/>
      <c r="J329" s="876"/>
      <c r="K329" s="876"/>
      <c r="L329" s="876"/>
      <c r="M329" s="876"/>
      <c r="N329" s="877"/>
      <c r="O329" s="876"/>
      <c r="P329" s="876"/>
      <c r="Q329" s="876"/>
      <c r="R329" s="876"/>
      <c r="S329" s="876"/>
      <c r="T329" s="876"/>
      <c r="U329" s="876"/>
      <c r="V329" s="876"/>
      <c r="W329" s="876"/>
      <c r="X329" s="876"/>
      <c r="Y329" s="876"/>
      <c r="Z329" s="876"/>
      <c r="AA329" s="876"/>
      <c r="AB329" s="876"/>
      <c r="AC329" s="876"/>
      <c r="AD329" s="876"/>
      <c r="AE329" s="876"/>
      <c r="AF329" s="876"/>
      <c r="AG329" s="876"/>
      <c r="AH329" s="876"/>
      <c r="AI329" s="878"/>
      <c r="AJ329" s="880"/>
      <c r="AK329" s="880"/>
      <c r="AL329" s="880"/>
      <c r="AM329" s="880"/>
      <c r="AN329" s="880"/>
      <c r="AO329" s="880"/>
      <c r="AP329" s="880"/>
      <c r="AQ329" s="880"/>
      <c r="AR329" s="880"/>
      <c r="AS329" s="880"/>
      <c r="AT329" s="880"/>
      <c r="AU329" s="880"/>
      <c r="AV329" s="880"/>
      <c r="AW329" s="881"/>
      <c r="AX329" s="863"/>
      <c r="AY329" s="863"/>
      <c r="AZ329" s="863"/>
      <c r="BA329" s="863"/>
      <c r="BB329" s="863"/>
      <c r="BC329" s="863"/>
      <c r="BD329" s="863"/>
      <c r="BE329" s="863"/>
      <c r="BF329" s="863"/>
      <c r="BG329" s="863"/>
      <c r="BH329" s="863"/>
      <c r="BI329" s="863"/>
      <c r="BJ329" s="863"/>
      <c r="BK329" s="863"/>
      <c r="BL329" s="863"/>
      <c r="BM329" s="863"/>
      <c r="BN329" s="863"/>
      <c r="BO329" s="863"/>
      <c r="BP329" s="880"/>
      <c r="BQ329" s="863"/>
      <c r="BR329" s="889" t="str">
        <f>IFERROR(__xludf.DUMMYFUNCTION("""COMPUTED_VALUE"""),"Miller MJ")</f>
        <v>Miller MJ</v>
      </c>
      <c r="BS329" s="883" t="str">
        <f>IFERROR(__xludf.DUMMYFUNCTION("""COMPUTED_VALUE"""),"Brazil, Iran and US")</f>
        <v>Brazil, Iran and US</v>
      </c>
      <c r="BT329" s="883" t="str">
        <f>IFERROR(__xludf.DUMMYFUNCTION("""COMPUTED_VALUE"""),"Levamisole")</f>
        <v>Levamisole</v>
      </c>
      <c r="BU329" s="883"/>
      <c r="BV329" s="883" t="str">
        <f>IFERROR(__xludf.DUMMYFUNCTION("""COMPUTED_VALUE"""),"Once")</f>
        <v>Once</v>
      </c>
      <c r="BW329" s="883" t="str">
        <f>IFERROR(__xludf.DUMMYFUNCTION("""COMPUTED_VALUE"""),"Depending it could be 50 mg, 100 mg, 150 mg")</f>
        <v>Depending it could be 50 mg, 100 mg, 150 mg</v>
      </c>
      <c r="BX329" s="883">
        <f>IFERROR(__xludf.DUMMYFUNCTION("""COMPUTED_VALUE"""),950.0)</f>
        <v>950</v>
      </c>
      <c r="BY329" s="890">
        <f>IFERROR(__xludf.DUMMYFUNCTION("""COMPUTED_VALUE"""),42415.0)</f>
        <v>42415</v>
      </c>
      <c r="BZ329" s="883">
        <f>IFERROR(__xludf.DUMMYFUNCTION("""COMPUTED_VALUE"""),1978.0)</f>
        <v>1978</v>
      </c>
      <c r="CA329" s="883" t="str">
        <f>IFERROR(__xludf.DUMMYFUNCTION("""COMPUTED_VALUE"""),"Moslty 50/50")</f>
        <v>Moslty 50/50</v>
      </c>
      <c r="CB329" s="883"/>
      <c r="CC329" s="883"/>
      <c r="CD329" s="884" t="str">
        <f>IFERROR(__xludf.DUMMYFUNCTION("""COMPUTED_VALUE"""),"92% and 98%")</f>
        <v>92% and 98%</v>
      </c>
      <c r="CE329" s="883"/>
      <c r="CF329" s="883"/>
      <c r="CG329" s="883"/>
      <c r="CH329" s="883"/>
      <c r="CI329" s="883"/>
      <c r="CJ329" s="883"/>
      <c r="CK329" s="883"/>
      <c r="CL329" s="883"/>
      <c r="CM329" s="883"/>
      <c r="CN329" s="883"/>
      <c r="CO329" s="883"/>
      <c r="CP329" s="883"/>
      <c r="CQ329" s="883"/>
      <c r="CR329" s="883"/>
      <c r="CS329" s="883" t="str">
        <f>IFERROR(__xludf.DUMMYFUNCTION("""COMPUTED_VALUE"""),"Because of its high efficacy, relative freedom from side effects and ease of administration, levamisol should be particularly useful for mass chemotherapy in Ascaris control program.")</f>
        <v>Because of its high efficacy, relative freedom from side effects and ease of administration, levamisol should be particularly useful for mass chemotherapy in Ascaris control program.</v>
      </c>
      <c r="CT329" s="883"/>
      <c r="CU329" s="883"/>
      <c r="CV329" s="863"/>
      <c r="CW329" s="863"/>
      <c r="CX329" s="863"/>
      <c r="CY329" s="863"/>
      <c r="CZ329" s="863"/>
      <c r="DA329" s="863"/>
      <c r="DB329" s="863"/>
      <c r="DC329" s="863"/>
      <c r="DD329" s="863"/>
      <c r="DE329" s="863"/>
    </row>
    <row r="330">
      <c r="A330" s="876"/>
      <c r="B330" s="876"/>
      <c r="C330" s="876"/>
      <c r="D330" s="876"/>
      <c r="E330" s="876"/>
      <c r="F330" s="876"/>
      <c r="G330" s="876"/>
      <c r="H330" s="876"/>
      <c r="I330" s="876"/>
      <c r="J330" s="876"/>
      <c r="K330" s="876"/>
      <c r="L330" s="876"/>
      <c r="M330" s="876"/>
      <c r="N330" s="877"/>
      <c r="O330" s="876"/>
      <c r="P330" s="876"/>
      <c r="Q330" s="876"/>
      <c r="R330" s="876"/>
      <c r="S330" s="876"/>
      <c r="T330" s="876"/>
      <c r="U330" s="876"/>
      <c r="V330" s="876"/>
      <c r="W330" s="876"/>
      <c r="X330" s="876"/>
      <c r="Y330" s="876"/>
      <c r="Z330" s="876"/>
      <c r="AA330" s="876"/>
      <c r="AB330" s="876"/>
      <c r="AC330" s="876"/>
      <c r="AD330" s="876"/>
      <c r="AE330" s="876"/>
      <c r="AF330" s="876"/>
      <c r="AG330" s="876"/>
      <c r="AH330" s="876"/>
      <c r="AI330" s="878"/>
      <c r="AJ330" s="880"/>
      <c r="AK330" s="880"/>
      <c r="AL330" s="880"/>
      <c r="AM330" s="880"/>
      <c r="AN330" s="880"/>
      <c r="AO330" s="880"/>
      <c r="AP330" s="880"/>
      <c r="AQ330" s="880"/>
      <c r="AR330" s="880"/>
      <c r="AS330" s="880"/>
      <c r="AT330" s="880"/>
      <c r="AU330" s="880"/>
      <c r="AV330" s="880"/>
      <c r="AW330" s="881"/>
      <c r="AX330" s="863"/>
      <c r="AY330" s="863"/>
      <c r="AZ330" s="863"/>
      <c r="BA330" s="863"/>
      <c r="BB330" s="863"/>
      <c r="BC330" s="863"/>
      <c r="BD330" s="863"/>
      <c r="BE330" s="863"/>
      <c r="BF330" s="863"/>
      <c r="BG330" s="863"/>
      <c r="BH330" s="863"/>
      <c r="BI330" s="863"/>
      <c r="BJ330" s="863"/>
      <c r="BK330" s="863"/>
      <c r="BL330" s="863"/>
      <c r="BM330" s="863"/>
      <c r="BN330" s="863"/>
      <c r="BO330" s="863"/>
      <c r="BP330" s="880"/>
      <c r="BQ330" s="863"/>
      <c r="BR330" s="883"/>
      <c r="BS330" s="883"/>
      <c r="BT330" s="883" t="str">
        <f>IFERROR(__xludf.DUMMYFUNCTION("""COMPUTED_VALUE"""),"Levamisole")</f>
        <v>Levamisole</v>
      </c>
      <c r="BU330" s="883"/>
      <c r="BV330" s="883"/>
      <c r="BW330" s="883"/>
      <c r="BX330" s="883"/>
      <c r="BY330" s="883"/>
      <c r="BZ330" s="883"/>
      <c r="CA330" s="883"/>
      <c r="CB330" s="883"/>
      <c r="CC330" s="883"/>
      <c r="CD330" s="884"/>
      <c r="CE330" s="883"/>
      <c r="CF330" s="883"/>
      <c r="CG330" s="883"/>
      <c r="CH330" s="883"/>
      <c r="CI330" s="883"/>
      <c r="CJ330" s="883"/>
      <c r="CK330" s="883"/>
      <c r="CL330" s="883"/>
      <c r="CM330" s="883"/>
      <c r="CN330" s="883"/>
      <c r="CO330" s="883"/>
      <c r="CP330" s="883"/>
      <c r="CQ330" s="883"/>
      <c r="CR330" s="883"/>
      <c r="CS330" s="883"/>
      <c r="CT330" s="883"/>
      <c r="CU330" s="883"/>
      <c r="CV330" s="863"/>
      <c r="CW330" s="863"/>
      <c r="CX330" s="863"/>
      <c r="CY330" s="863"/>
      <c r="CZ330" s="863"/>
      <c r="DA330" s="863"/>
      <c r="DB330" s="863"/>
      <c r="DC330" s="863"/>
      <c r="DD330" s="863"/>
      <c r="DE330" s="863"/>
    </row>
    <row r="331">
      <c r="A331" s="876"/>
      <c r="B331" s="876"/>
      <c r="C331" s="876"/>
      <c r="D331" s="876"/>
      <c r="E331" s="876"/>
      <c r="F331" s="876"/>
      <c r="G331" s="876"/>
      <c r="H331" s="876"/>
      <c r="I331" s="876"/>
      <c r="J331" s="876"/>
      <c r="K331" s="876"/>
      <c r="L331" s="876"/>
      <c r="M331" s="876"/>
      <c r="N331" s="877"/>
      <c r="O331" s="876"/>
      <c r="P331" s="876"/>
      <c r="Q331" s="876"/>
      <c r="R331" s="876"/>
      <c r="S331" s="876"/>
      <c r="T331" s="876"/>
      <c r="U331" s="876"/>
      <c r="V331" s="876"/>
      <c r="W331" s="876"/>
      <c r="X331" s="876"/>
      <c r="Y331" s="876"/>
      <c r="Z331" s="876"/>
      <c r="AA331" s="876"/>
      <c r="AB331" s="876"/>
      <c r="AC331" s="876"/>
      <c r="AD331" s="876"/>
      <c r="AE331" s="876"/>
      <c r="AF331" s="876"/>
      <c r="AG331" s="876"/>
      <c r="AH331" s="876"/>
      <c r="AI331" s="878"/>
      <c r="AJ331" s="880"/>
      <c r="AK331" s="880"/>
      <c r="AL331" s="880"/>
      <c r="AM331" s="880"/>
      <c r="AN331" s="880"/>
      <c r="AO331" s="880"/>
      <c r="AP331" s="880"/>
      <c r="AQ331" s="880"/>
      <c r="AR331" s="880"/>
      <c r="AS331" s="880"/>
      <c r="AT331" s="880"/>
      <c r="AU331" s="880"/>
      <c r="AV331" s="880"/>
      <c r="AW331" s="881"/>
      <c r="AX331" s="863"/>
      <c r="AY331" s="863"/>
      <c r="AZ331" s="863"/>
      <c r="BA331" s="863"/>
      <c r="BB331" s="863"/>
      <c r="BC331" s="863"/>
      <c r="BD331" s="863"/>
      <c r="BE331" s="863"/>
      <c r="BF331" s="863"/>
      <c r="BG331" s="863"/>
      <c r="BH331" s="863"/>
      <c r="BI331" s="863"/>
      <c r="BJ331" s="863"/>
      <c r="BK331" s="863"/>
      <c r="BL331" s="863"/>
      <c r="BM331" s="863"/>
      <c r="BN331" s="863"/>
      <c r="BO331" s="863"/>
      <c r="BP331" s="880"/>
      <c r="BQ331" s="863"/>
      <c r="BR331" s="883"/>
      <c r="BS331" s="883"/>
      <c r="BT331" s="883" t="str">
        <f>IFERROR(__xludf.DUMMYFUNCTION("""COMPUTED_VALUE"""),"Levamisole")</f>
        <v>Levamisole</v>
      </c>
      <c r="BU331" s="883"/>
      <c r="BV331" s="883"/>
      <c r="BW331" s="883"/>
      <c r="BX331" s="883"/>
      <c r="BY331" s="883"/>
      <c r="BZ331" s="883"/>
      <c r="CA331" s="883"/>
      <c r="CB331" s="883"/>
      <c r="CC331" s="883"/>
      <c r="CD331" s="884"/>
      <c r="CE331" s="883"/>
      <c r="CF331" s="883"/>
      <c r="CG331" s="883"/>
      <c r="CH331" s="883"/>
      <c r="CI331" s="883"/>
      <c r="CJ331" s="883"/>
      <c r="CK331" s="883"/>
      <c r="CL331" s="883"/>
      <c r="CM331" s="883"/>
      <c r="CN331" s="883"/>
      <c r="CO331" s="883"/>
      <c r="CP331" s="883"/>
      <c r="CQ331" s="883"/>
      <c r="CR331" s="883"/>
      <c r="CS331" s="883"/>
      <c r="CT331" s="883"/>
      <c r="CU331" s="883"/>
      <c r="CV331" s="863"/>
      <c r="CW331" s="863"/>
      <c r="CX331" s="863"/>
      <c r="CY331" s="863"/>
      <c r="CZ331" s="863"/>
      <c r="DA331" s="863"/>
      <c r="DB331" s="863"/>
      <c r="DC331" s="863"/>
      <c r="DD331" s="863"/>
      <c r="DE331" s="863"/>
    </row>
    <row r="332">
      <c r="A332" s="876"/>
      <c r="B332" s="876"/>
      <c r="C332" s="876"/>
      <c r="D332" s="876"/>
      <c r="E332" s="876"/>
      <c r="F332" s="876"/>
      <c r="G332" s="876"/>
      <c r="H332" s="876"/>
      <c r="I332" s="876"/>
      <c r="J332" s="876"/>
      <c r="K332" s="876"/>
      <c r="L332" s="876"/>
      <c r="M332" s="876"/>
      <c r="N332" s="877"/>
      <c r="O332" s="876"/>
      <c r="P332" s="876"/>
      <c r="Q332" s="876"/>
      <c r="R332" s="876"/>
      <c r="S332" s="876"/>
      <c r="T332" s="876"/>
      <c r="U332" s="876"/>
      <c r="V332" s="876"/>
      <c r="W332" s="876"/>
      <c r="X332" s="876"/>
      <c r="Y332" s="876"/>
      <c r="Z332" s="876"/>
      <c r="AA332" s="876"/>
      <c r="AB332" s="876"/>
      <c r="AC332" s="876"/>
      <c r="AD332" s="876"/>
      <c r="AE332" s="876"/>
      <c r="AF332" s="876"/>
      <c r="AG332" s="876"/>
      <c r="AH332" s="876"/>
      <c r="AI332" s="878"/>
      <c r="AJ332" s="880"/>
      <c r="AK332" s="880"/>
      <c r="AL332" s="880"/>
      <c r="AM332" s="880"/>
      <c r="AN332" s="880"/>
      <c r="AO332" s="880"/>
      <c r="AP332" s="880"/>
      <c r="AQ332" s="880"/>
      <c r="AR332" s="880"/>
      <c r="AS332" s="880"/>
      <c r="AT332" s="880"/>
      <c r="AU332" s="880"/>
      <c r="AV332" s="880"/>
      <c r="AW332" s="881"/>
      <c r="AX332" s="863"/>
      <c r="AY332" s="863"/>
      <c r="AZ332" s="863"/>
      <c r="BA332" s="863"/>
      <c r="BB332" s="863"/>
      <c r="BC332" s="863"/>
      <c r="BD332" s="863"/>
      <c r="BE332" s="863"/>
      <c r="BF332" s="863"/>
      <c r="BG332" s="863"/>
      <c r="BH332" s="863"/>
      <c r="BI332" s="863"/>
      <c r="BJ332" s="863"/>
      <c r="BK332" s="863"/>
      <c r="BL332" s="863"/>
      <c r="BM332" s="863"/>
      <c r="BN332" s="863"/>
      <c r="BO332" s="863"/>
      <c r="BP332" s="880"/>
      <c r="BQ332" s="863"/>
      <c r="BR332" s="889" t="str">
        <f>IFERROR(__xludf.DUMMYFUNCTION("""COMPUTED_VALUE"""),"Xu")</f>
        <v>Xu</v>
      </c>
      <c r="BS332" s="883" t="str">
        <f>IFERROR(__xludf.DUMMYFUNCTION("""COMPUTED_VALUE"""),"China")</f>
        <v>China</v>
      </c>
      <c r="BT332" s="883" t="str">
        <f>IFERROR(__xludf.DUMMYFUNCTION("""COMPUTED_VALUE"""),"Tribendimidine")</f>
        <v>Tribendimidine</v>
      </c>
      <c r="BU332" s="883"/>
      <c r="BV332" s="883" t="str">
        <f>IFERROR(__xludf.DUMMYFUNCTION("""COMPUTED_VALUE"""),"Once")</f>
        <v>Once</v>
      </c>
      <c r="BW332" s="883" t="str">
        <f>IFERROR(__xludf.DUMMYFUNCTION("""COMPUTED_VALUE"""),"400 mg")</f>
        <v>400 mg</v>
      </c>
      <c r="BX332" s="883">
        <f>IFERROR(__xludf.DUMMYFUNCTION("""COMPUTED_VALUE"""),39.0)</f>
        <v>39</v>
      </c>
      <c r="BY332" s="883" t="str">
        <f>IFERROR(__xludf.DUMMYFUNCTION("""COMPUTED_VALUE"""),"Mean age of 56.1")</f>
        <v>Mean age of 56.1</v>
      </c>
      <c r="BZ332" s="883">
        <f>IFERROR(__xludf.DUMMYFUNCTION("""COMPUTED_VALUE"""),2012.0)</f>
        <v>2012</v>
      </c>
      <c r="CA332" s="893">
        <f>IFERROR(__xludf.DUMMYFUNCTION("""COMPUTED_VALUE"""),0.8055555555555556)</f>
        <v>0.8055555556</v>
      </c>
      <c r="CB332" s="883" t="str">
        <f>IFERROR(__xludf.DUMMYFUNCTION("""COMPUTED_VALUE"""),"Eligible for inclusion were those who were infected with more than one species of helminth and provided the written informed consent in preliminary survey, and then submitted the second stool sample before the treatment.")</f>
        <v>Eligible for inclusion were those who were infected with more than one species of helminth and provided the written informed consent in preliminary survey, and then submitted the second stool sample before the treatment.</v>
      </c>
      <c r="CC332" s="883" t="str">
        <f>IFERROR(__xludf.DUMMYFUNCTION("""COMPUTED_VALUE"""),"Yes")</f>
        <v>Yes</v>
      </c>
      <c r="CD332" s="884"/>
      <c r="CE332" s="883"/>
      <c r="CF332" s="883"/>
      <c r="CG332" s="883"/>
      <c r="CH332" s="883"/>
      <c r="CI332" s="883"/>
      <c r="CJ332" s="883"/>
      <c r="CK332" s="883"/>
      <c r="CL332" s="883"/>
      <c r="CM332" s="883"/>
      <c r="CN332" s="883"/>
      <c r="CO332" s="883"/>
      <c r="CP332" s="883"/>
      <c r="CQ332" s="883"/>
      <c r="CR332" s="883"/>
      <c r="CS332" s="883" t="str">
        <f>IFERROR(__xludf.DUMMYFUNCTION("""COMPUTED_VALUE"""),"Conclusion: Single-dose tribendimidine showed similar efficacy against C. sinensis as praziquantel with less adverse events,and achieved significantly higher cure rate in the treatment for hookworm than those of praziquantel and mebendazole.Low cure rates"&amp;", which were still higher than other drugs, were obtained in the treatment of single-dose tribendimidine against Ascaris lumbricoides and Trichuris trichiura.")</f>
        <v>Conclusion: Single-dose tribendimidine showed similar efficacy against C. sinensis as praziquantel with less adverse events,and achieved significantly higher cure rate in the treatment for hookworm than those of praziquantel and mebendazole.Low cure rates, which were still higher than other drugs, were obtained in the treatment of single-dose tribendimidine against Ascaris lumbricoides and Trichuris trichiura.</v>
      </c>
      <c r="CT332" s="883"/>
      <c r="CU332" s="883"/>
      <c r="CV332" s="863"/>
      <c r="CW332" s="863"/>
      <c r="CX332" s="863"/>
      <c r="CY332" s="863"/>
      <c r="CZ332" s="863"/>
      <c r="DA332" s="863"/>
      <c r="DB332" s="863"/>
      <c r="DC332" s="863"/>
      <c r="DD332" s="863"/>
      <c r="DE332" s="863"/>
    </row>
    <row r="333">
      <c r="A333" s="876"/>
      <c r="B333" s="876"/>
      <c r="C333" s="876"/>
      <c r="D333" s="876"/>
      <c r="E333" s="876"/>
      <c r="F333" s="876"/>
      <c r="G333" s="876"/>
      <c r="H333" s="876"/>
      <c r="I333" s="876"/>
      <c r="J333" s="876"/>
      <c r="K333" s="876"/>
      <c r="L333" s="876"/>
      <c r="M333" s="876"/>
      <c r="N333" s="877"/>
      <c r="O333" s="876"/>
      <c r="P333" s="876"/>
      <c r="Q333" s="876"/>
      <c r="R333" s="876"/>
      <c r="S333" s="876"/>
      <c r="T333" s="876"/>
      <c r="U333" s="876"/>
      <c r="V333" s="876"/>
      <c r="W333" s="876"/>
      <c r="X333" s="876"/>
      <c r="Y333" s="876"/>
      <c r="Z333" s="876"/>
      <c r="AA333" s="876"/>
      <c r="AB333" s="876"/>
      <c r="AC333" s="876"/>
      <c r="AD333" s="876"/>
      <c r="AE333" s="876"/>
      <c r="AF333" s="876"/>
      <c r="AG333" s="876"/>
      <c r="AH333" s="876"/>
      <c r="AI333" s="878"/>
      <c r="AJ333" s="880"/>
      <c r="AK333" s="880"/>
      <c r="AL333" s="880"/>
      <c r="AM333" s="880"/>
      <c r="AN333" s="880"/>
      <c r="AO333" s="880"/>
      <c r="AP333" s="880"/>
      <c r="AQ333" s="880"/>
      <c r="AR333" s="880"/>
      <c r="AS333" s="880"/>
      <c r="AT333" s="880"/>
      <c r="AU333" s="880"/>
      <c r="AV333" s="880"/>
      <c r="AW333" s="881"/>
      <c r="AX333" s="863"/>
      <c r="AY333" s="863"/>
      <c r="AZ333" s="863"/>
      <c r="BA333" s="863"/>
      <c r="BB333" s="863"/>
      <c r="BC333" s="863"/>
      <c r="BD333" s="863"/>
      <c r="BE333" s="863"/>
      <c r="BF333" s="863"/>
      <c r="BG333" s="863"/>
      <c r="BH333" s="863"/>
      <c r="BI333" s="863"/>
      <c r="BJ333" s="863"/>
      <c r="BK333" s="863"/>
      <c r="BL333" s="863"/>
      <c r="BM333" s="863"/>
      <c r="BN333" s="863"/>
      <c r="BO333" s="863"/>
      <c r="BP333" s="880"/>
      <c r="BQ333" s="863"/>
      <c r="BR333" s="889" t="str">
        <f>IFERROR(__xludf.DUMMYFUNCTION("""COMPUTED_VALUE"""),"Xu")</f>
        <v>Xu</v>
      </c>
      <c r="BS333" s="883" t="str">
        <f>IFERROR(__xludf.DUMMYFUNCTION("""COMPUTED_VALUE"""),"China")</f>
        <v>China</v>
      </c>
      <c r="BT333" s="883" t="str">
        <f>IFERROR(__xludf.DUMMYFUNCTION("""COMPUTED_VALUE"""),"Tribendimidine")</f>
        <v>Tribendimidine</v>
      </c>
      <c r="BU333" s="883"/>
      <c r="BV333" s="883" t="str">
        <f>IFERROR(__xludf.DUMMYFUNCTION("""COMPUTED_VALUE"""),"Two")</f>
        <v>Two</v>
      </c>
      <c r="BW333" s="883" t="str">
        <f>IFERROR(__xludf.DUMMYFUNCTION("""COMPUTED_VALUE"""),"200 mg")</f>
        <v>200 mg</v>
      </c>
      <c r="BX333" s="883">
        <f>IFERROR(__xludf.DUMMYFUNCTION("""COMPUTED_VALUE"""),39.0)</f>
        <v>39</v>
      </c>
      <c r="BY333" s="883" t="str">
        <f>IFERROR(__xludf.DUMMYFUNCTION("""COMPUTED_VALUE"""),"Mean age of 54.9")</f>
        <v>Mean age of 54.9</v>
      </c>
      <c r="BZ333" s="883">
        <f>IFERROR(__xludf.DUMMYFUNCTION("""COMPUTED_VALUE"""),2012.0)</f>
        <v>2012</v>
      </c>
      <c r="CA333" s="893">
        <f>IFERROR(__xludf.DUMMYFUNCTION("""COMPUTED_VALUE"""),0.7236111111111111)</f>
        <v>0.7236111111</v>
      </c>
      <c r="CB333" s="883" t="str">
        <f>IFERROR(__xludf.DUMMYFUNCTION("""COMPUTED_VALUE"""),"Eligible for inclusion were those who were infected with more than one species of helminth and provided the written informed consent in preliminary survey, and then submitted the second stool sample before the treatment.")</f>
        <v>Eligible for inclusion were those who were infected with more than one species of helminth and provided the written informed consent in preliminary survey, and then submitted the second stool sample before the treatment.</v>
      </c>
      <c r="CC333" s="883" t="str">
        <f>IFERROR(__xludf.DUMMYFUNCTION("""COMPUTED_VALUE"""),"Yes")</f>
        <v>Yes</v>
      </c>
      <c r="CD333" s="884"/>
      <c r="CE333" s="883"/>
      <c r="CF333" s="883"/>
      <c r="CG333" s="883"/>
      <c r="CH333" s="883"/>
      <c r="CI333" s="883"/>
      <c r="CJ333" s="883"/>
      <c r="CK333" s="883"/>
      <c r="CL333" s="883"/>
      <c r="CM333" s="883"/>
      <c r="CN333" s="883"/>
      <c r="CO333" s="883"/>
      <c r="CP333" s="883"/>
      <c r="CQ333" s="883"/>
      <c r="CR333" s="883"/>
      <c r="CS333" s="883" t="str">
        <f>IFERROR(__xludf.DUMMYFUNCTION("""COMPUTED_VALUE"""),"Conclusion: Single-dose tribendimidine showed similar efficacy against C. sinensis as praziquantel with less adverse events,and achieved significantly higher cure rate in the treatment for hookworm than those of praziquantel and mebendazole.Low cure rates"&amp;", which were still higher than other drugs, were obtained in the treatment of single-dose tribendimidine against Ascaris lumbricoides and Trichuris trichiura.")</f>
        <v>Conclusion: Single-dose tribendimidine showed similar efficacy against C. sinensis as praziquantel with less adverse events,and achieved significantly higher cure rate in the treatment for hookworm than those of praziquantel and mebendazole.Low cure rates, which were still higher than other drugs, were obtained in the treatment of single-dose tribendimidine against Ascaris lumbricoides and Trichuris trichiura.</v>
      </c>
      <c r="CT333" s="883"/>
      <c r="CU333" s="883"/>
      <c r="CV333" s="863"/>
      <c r="CW333" s="863"/>
      <c r="CX333" s="863"/>
      <c r="CY333" s="863"/>
      <c r="CZ333" s="863"/>
      <c r="DA333" s="863"/>
      <c r="DB333" s="863"/>
      <c r="DC333" s="863"/>
      <c r="DD333" s="863"/>
      <c r="DE333" s="863"/>
    </row>
    <row r="334">
      <c r="A334" s="876"/>
      <c r="B334" s="876"/>
      <c r="C334" s="876"/>
      <c r="D334" s="876"/>
      <c r="E334" s="876"/>
      <c r="F334" s="876"/>
      <c r="G334" s="876"/>
      <c r="H334" s="876"/>
      <c r="I334" s="876"/>
      <c r="J334" s="876"/>
      <c r="K334" s="876"/>
      <c r="L334" s="876"/>
      <c r="M334" s="876"/>
      <c r="N334" s="877"/>
      <c r="O334" s="876"/>
      <c r="P334" s="876"/>
      <c r="Q334" s="876"/>
      <c r="R334" s="876"/>
      <c r="S334" s="876"/>
      <c r="T334" s="876"/>
      <c r="U334" s="876"/>
      <c r="V334" s="876"/>
      <c r="W334" s="876"/>
      <c r="X334" s="876"/>
      <c r="Y334" s="876"/>
      <c r="Z334" s="876"/>
      <c r="AA334" s="876"/>
      <c r="AB334" s="876"/>
      <c r="AC334" s="876"/>
      <c r="AD334" s="876"/>
      <c r="AE334" s="876"/>
      <c r="AF334" s="876"/>
      <c r="AG334" s="876"/>
      <c r="AH334" s="876"/>
      <c r="AI334" s="878"/>
      <c r="AJ334" s="880"/>
      <c r="AK334" s="880"/>
      <c r="AL334" s="880"/>
      <c r="AM334" s="880"/>
      <c r="AN334" s="880"/>
      <c r="AO334" s="880"/>
      <c r="AP334" s="880"/>
      <c r="AQ334" s="880"/>
      <c r="AR334" s="880"/>
      <c r="AS334" s="880"/>
      <c r="AT334" s="880"/>
      <c r="AU334" s="880"/>
      <c r="AV334" s="880"/>
      <c r="AW334" s="881"/>
      <c r="AX334" s="863"/>
      <c r="AY334" s="863"/>
      <c r="AZ334" s="863"/>
      <c r="BA334" s="863"/>
      <c r="BB334" s="863"/>
      <c r="BC334" s="863"/>
      <c r="BD334" s="863"/>
      <c r="BE334" s="863"/>
      <c r="BF334" s="863"/>
      <c r="BG334" s="863"/>
      <c r="BH334" s="863"/>
      <c r="BI334" s="863"/>
      <c r="BJ334" s="863"/>
      <c r="BK334" s="863"/>
      <c r="BL334" s="863"/>
      <c r="BM334" s="863"/>
      <c r="BN334" s="863"/>
      <c r="BO334" s="863"/>
      <c r="BP334" s="880"/>
      <c r="BQ334" s="863"/>
      <c r="BR334" s="889" t="str">
        <f>IFERROR(__xludf.DUMMYFUNCTION("""COMPUTED_VALUE"""),"Xu")</f>
        <v>Xu</v>
      </c>
      <c r="BS334" s="883" t="str">
        <f>IFERROR(__xludf.DUMMYFUNCTION("""COMPUTED_VALUE"""),"China")</f>
        <v>China</v>
      </c>
      <c r="BT334" s="883" t="str">
        <f>IFERROR(__xludf.DUMMYFUNCTION("""COMPUTED_VALUE"""),"Praziquantel")</f>
        <v>Praziquantel</v>
      </c>
      <c r="BU334" s="883"/>
      <c r="BV334" s="883" t="str">
        <f>IFERROR(__xludf.DUMMYFUNCTION("""COMPUTED_VALUE"""),"Once")</f>
        <v>Once</v>
      </c>
      <c r="BW334" s="883" t="str">
        <f>IFERROR(__xludf.DUMMYFUNCTION("""COMPUTED_VALUE"""),"75 mg")</f>
        <v>75 mg</v>
      </c>
      <c r="BX334" s="883">
        <f>IFERROR(__xludf.DUMMYFUNCTION("""COMPUTED_VALUE"""),39.0)</f>
        <v>39</v>
      </c>
      <c r="BY334" s="883" t="str">
        <f>IFERROR(__xludf.DUMMYFUNCTION("""COMPUTED_VALUE"""),"Mean age of 52.4")</f>
        <v>Mean age of 52.4</v>
      </c>
      <c r="BZ334" s="883">
        <f>IFERROR(__xludf.DUMMYFUNCTION("""COMPUTED_VALUE"""),2012.0)</f>
        <v>2012</v>
      </c>
      <c r="CA334" s="893">
        <f>IFERROR(__xludf.DUMMYFUNCTION("""COMPUTED_VALUE"""),0.6826388888888889)</f>
        <v>0.6826388889</v>
      </c>
      <c r="CB334" s="883" t="str">
        <f>IFERROR(__xludf.DUMMYFUNCTION("""COMPUTED_VALUE"""),"Eligible for inclusion were those who were infected with more than one species of helminth and provided the written informed consent in preliminary survey, and then submitted the second stool sample before the treatment.")</f>
        <v>Eligible for inclusion were those who were infected with more than one species of helminth and provided the written informed consent in preliminary survey, and then submitted the second stool sample before the treatment.</v>
      </c>
      <c r="CC334" s="883" t="str">
        <f>IFERROR(__xludf.DUMMYFUNCTION("""COMPUTED_VALUE"""),"Yes")</f>
        <v>Yes</v>
      </c>
      <c r="CD334" s="884"/>
      <c r="CE334" s="883"/>
      <c r="CF334" s="883"/>
      <c r="CG334" s="883"/>
      <c r="CH334" s="883"/>
      <c r="CI334" s="883"/>
      <c r="CJ334" s="883"/>
      <c r="CK334" s="883"/>
      <c r="CL334" s="883"/>
      <c r="CM334" s="883"/>
      <c r="CN334" s="883"/>
      <c r="CO334" s="883"/>
      <c r="CP334" s="883"/>
      <c r="CQ334" s="883"/>
      <c r="CR334" s="883"/>
      <c r="CS334" s="883" t="str">
        <f>IFERROR(__xludf.DUMMYFUNCTION("""COMPUTED_VALUE"""),"Conclusion: Single-dose tribendimidine showed similar efficacy against C. sinensis as praziquantel with less adverse events,and achieved significantly higher cure rate in the treatment for hookworm than those of praziquantel and mebendazole.Low cure rates"&amp;", which were still higher than other drugs, were obtained in the treatment of single-dose tribendimidine against Ascaris lumbricoides and Trichuris trichiura.")</f>
        <v>Conclusion: Single-dose tribendimidine showed similar efficacy against C. sinensis as praziquantel with less adverse events,and achieved significantly higher cure rate in the treatment for hookworm than those of praziquantel and mebendazole.Low cure rates, which were still higher than other drugs, were obtained in the treatment of single-dose tribendimidine against Ascaris lumbricoides and Trichuris trichiura.</v>
      </c>
      <c r="CT334" s="883"/>
      <c r="CU334" s="883"/>
      <c r="CV334" s="863"/>
      <c r="CW334" s="863"/>
      <c r="CX334" s="863"/>
      <c r="CY334" s="863"/>
      <c r="CZ334" s="863"/>
      <c r="DA334" s="863"/>
      <c r="DB334" s="863"/>
      <c r="DC334" s="863"/>
      <c r="DD334" s="863"/>
      <c r="DE334" s="863"/>
    </row>
    <row r="335">
      <c r="A335" s="876"/>
      <c r="B335" s="876"/>
      <c r="C335" s="876"/>
      <c r="D335" s="876"/>
      <c r="E335" s="876"/>
      <c r="F335" s="876"/>
      <c r="G335" s="876"/>
      <c r="H335" s="876"/>
      <c r="I335" s="876"/>
      <c r="J335" s="876"/>
      <c r="K335" s="876"/>
      <c r="L335" s="876"/>
      <c r="M335" s="876"/>
      <c r="N335" s="877"/>
      <c r="O335" s="876"/>
      <c r="P335" s="876"/>
      <c r="Q335" s="876"/>
      <c r="R335" s="876"/>
      <c r="S335" s="876"/>
      <c r="T335" s="876"/>
      <c r="U335" s="876"/>
      <c r="V335" s="876"/>
      <c r="W335" s="876"/>
      <c r="X335" s="876"/>
      <c r="Y335" s="876"/>
      <c r="Z335" s="876"/>
      <c r="AA335" s="876"/>
      <c r="AB335" s="876"/>
      <c r="AC335" s="876"/>
      <c r="AD335" s="876"/>
      <c r="AE335" s="876"/>
      <c r="AF335" s="876"/>
      <c r="AG335" s="876"/>
      <c r="AH335" s="876"/>
      <c r="AI335" s="878"/>
      <c r="AJ335" s="880"/>
      <c r="AK335" s="880"/>
      <c r="AL335" s="880"/>
      <c r="AM335" s="880"/>
      <c r="AN335" s="880"/>
      <c r="AO335" s="880"/>
      <c r="AP335" s="880"/>
      <c r="AQ335" s="880"/>
      <c r="AR335" s="880"/>
      <c r="AS335" s="880"/>
      <c r="AT335" s="880"/>
      <c r="AU335" s="880"/>
      <c r="AV335" s="880"/>
      <c r="AW335" s="881"/>
      <c r="AX335" s="863"/>
      <c r="AY335" s="863"/>
      <c r="AZ335" s="863"/>
      <c r="BA335" s="863"/>
      <c r="BB335" s="863"/>
      <c r="BC335" s="863"/>
      <c r="BD335" s="863"/>
      <c r="BE335" s="863"/>
      <c r="BF335" s="863"/>
      <c r="BG335" s="863"/>
      <c r="BH335" s="863"/>
      <c r="BI335" s="863"/>
      <c r="BJ335" s="863"/>
      <c r="BK335" s="863"/>
      <c r="BL335" s="863"/>
      <c r="BM335" s="863"/>
      <c r="BN335" s="863"/>
      <c r="BO335" s="863"/>
      <c r="BP335" s="880"/>
      <c r="BQ335" s="863"/>
      <c r="BR335" s="889" t="str">
        <f>IFERROR(__xludf.DUMMYFUNCTION("""COMPUTED_VALUE"""),"Xu")</f>
        <v>Xu</v>
      </c>
      <c r="BS335" s="883" t="str">
        <f>IFERROR(__xludf.DUMMYFUNCTION("""COMPUTED_VALUE"""),"China")</f>
        <v>China</v>
      </c>
      <c r="BT335" s="883" t="str">
        <f>IFERROR(__xludf.DUMMYFUNCTION("""COMPUTED_VALUE"""),"Mebendazole")</f>
        <v>Mebendazole</v>
      </c>
      <c r="BU335" s="883"/>
      <c r="BV335" s="883" t="str">
        <f>IFERROR(__xludf.DUMMYFUNCTION("""COMPUTED_VALUE"""),"Four")</f>
        <v>Four</v>
      </c>
      <c r="BW335" s="883" t="str">
        <f>IFERROR(__xludf.DUMMYFUNCTION("""COMPUTED_VALUE"""),"400 mg")</f>
        <v>400 mg</v>
      </c>
      <c r="BX335" s="883">
        <f>IFERROR(__xludf.DUMMYFUNCTION("""COMPUTED_VALUE"""),39.0)</f>
        <v>39</v>
      </c>
      <c r="BY335" s="883" t="str">
        <f>IFERROR(__xludf.DUMMYFUNCTION("""COMPUTED_VALUE"""),"Mean age of 50.5")</f>
        <v>Mean age of 50.5</v>
      </c>
      <c r="BZ335" s="883">
        <f>IFERROR(__xludf.DUMMYFUNCTION("""COMPUTED_VALUE"""),2012.0)</f>
        <v>2012</v>
      </c>
      <c r="CA335" s="893">
        <f>IFERROR(__xludf.DUMMYFUNCTION("""COMPUTED_VALUE"""),0.9284722222222223)</f>
        <v>0.9284722222</v>
      </c>
      <c r="CB335" s="883" t="str">
        <f>IFERROR(__xludf.DUMMYFUNCTION("""COMPUTED_VALUE"""),"Eligible for inclusion were those who were infected with more than one species of helminth and provided the written informed consent in preliminary survey, and then submitted the second stool sample before the treatment.")</f>
        <v>Eligible for inclusion were those who were infected with more than one species of helminth and provided the written informed consent in preliminary survey, and then submitted the second stool sample before the treatment.</v>
      </c>
      <c r="CC335" s="883" t="str">
        <f>IFERROR(__xludf.DUMMYFUNCTION("""COMPUTED_VALUE"""),"Yes")</f>
        <v>Yes</v>
      </c>
      <c r="CD335" s="884"/>
      <c r="CE335" s="883"/>
      <c r="CF335" s="883"/>
      <c r="CG335" s="883"/>
      <c r="CH335" s="883"/>
      <c r="CI335" s="883"/>
      <c r="CJ335" s="883"/>
      <c r="CK335" s="883"/>
      <c r="CL335" s="883"/>
      <c r="CM335" s="883"/>
      <c r="CN335" s="883"/>
      <c r="CO335" s="883"/>
      <c r="CP335" s="883"/>
      <c r="CQ335" s="883"/>
      <c r="CR335" s="883"/>
      <c r="CS335" s="883" t="str">
        <f>IFERROR(__xludf.DUMMYFUNCTION("""COMPUTED_VALUE"""),"Conclusion: Single-dose tribendimidine showed similar efficacy against C. sinensis as praziquantel with less adverse events,and achieved significantly higher cure rate in the treatment for hookworm than those of praziquantel and mebendazole.Low cure rates"&amp;", which were still higher than other drugs, were obtained in the treatment of single-dose tribendimidine against Ascaris lumbricoides and Trichuris trichiura.")</f>
        <v>Conclusion: Single-dose tribendimidine showed similar efficacy against C. sinensis as praziquantel with less adverse events,and achieved significantly higher cure rate in the treatment for hookworm than those of praziquantel and mebendazole.Low cure rates, which were still higher than other drugs, were obtained in the treatment of single-dose tribendimidine against Ascaris lumbricoides and Trichuris trichiura.</v>
      </c>
      <c r="CT335" s="883"/>
      <c r="CU335" s="883"/>
      <c r="CV335" s="863"/>
      <c r="CW335" s="863"/>
      <c r="CX335" s="863"/>
      <c r="CY335" s="863"/>
      <c r="CZ335" s="863"/>
      <c r="DA335" s="863"/>
      <c r="DB335" s="863"/>
      <c r="DC335" s="863"/>
      <c r="DD335" s="863"/>
      <c r="DE335" s="863"/>
    </row>
    <row r="336">
      <c r="A336" s="876"/>
      <c r="B336" s="876"/>
      <c r="C336" s="876"/>
      <c r="D336" s="876"/>
      <c r="E336" s="876"/>
      <c r="F336" s="876"/>
      <c r="G336" s="876"/>
      <c r="H336" s="876"/>
      <c r="I336" s="876"/>
      <c r="J336" s="876"/>
      <c r="K336" s="876"/>
      <c r="L336" s="876"/>
      <c r="M336" s="876"/>
      <c r="N336" s="877"/>
      <c r="O336" s="876"/>
      <c r="P336" s="876"/>
      <c r="Q336" s="876"/>
      <c r="R336" s="876"/>
      <c r="S336" s="876"/>
      <c r="T336" s="876"/>
      <c r="U336" s="876"/>
      <c r="V336" s="876"/>
      <c r="W336" s="876"/>
      <c r="X336" s="876"/>
      <c r="Y336" s="876"/>
      <c r="Z336" s="876"/>
      <c r="AA336" s="876"/>
      <c r="AB336" s="876"/>
      <c r="AC336" s="876"/>
      <c r="AD336" s="876"/>
      <c r="AE336" s="876"/>
      <c r="AF336" s="876"/>
      <c r="AG336" s="876"/>
      <c r="AH336" s="876"/>
      <c r="AI336" s="878"/>
      <c r="AJ336" s="880"/>
      <c r="AK336" s="880"/>
      <c r="AL336" s="880"/>
      <c r="AM336" s="880"/>
      <c r="AN336" s="880"/>
      <c r="AO336" s="880"/>
      <c r="AP336" s="880"/>
      <c r="AQ336" s="880"/>
      <c r="AR336" s="880"/>
      <c r="AS336" s="880"/>
      <c r="AT336" s="880"/>
      <c r="AU336" s="880"/>
      <c r="AV336" s="880"/>
      <c r="AW336" s="881"/>
      <c r="AX336" s="863"/>
      <c r="AY336" s="863"/>
      <c r="AZ336" s="863"/>
      <c r="BA336" s="863"/>
      <c r="BB336" s="863"/>
      <c r="BC336" s="863"/>
      <c r="BD336" s="863"/>
      <c r="BE336" s="863"/>
      <c r="BF336" s="863"/>
      <c r="BG336" s="863"/>
      <c r="BH336" s="863"/>
      <c r="BI336" s="863"/>
      <c r="BJ336" s="863"/>
      <c r="BK336" s="863"/>
      <c r="BL336" s="863"/>
      <c r="BM336" s="863"/>
      <c r="BN336" s="863"/>
      <c r="BO336" s="863"/>
      <c r="BP336" s="880"/>
      <c r="BQ336" s="863"/>
      <c r="BR336" s="889" t="str">
        <f>IFERROR(__xludf.DUMMYFUNCTION("""COMPUTED_VALUE"""),"Wesche")</f>
        <v>Wesche</v>
      </c>
      <c r="BS336" s="883" t="str">
        <f>IFERROR(__xludf.DUMMYFUNCTION("""COMPUTED_VALUE"""),"New Guinea")</f>
        <v>New Guinea</v>
      </c>
      <c r="BT336" s="883" t="str">
        <f>IFERROR(__xludf.DUMMYFUNCTION("""COMPUTED_VALUE"""),"Mebendazole")</f>
        <v>Mebendazole</v>
      </c>
      <c r="BU336" s="883"/>
      <c r="BV336" s="883" t="str">
        <f>IFERROR(__xludf.DUMMYFUNCTION("""COMPUTED_VALUE"""),"Six")</f>
        <v>Six</v>
      </c>
      <c r="BW336" s="883" t="str">
        <f>IFERROR(__xludf.DUMMYFUNCTION("""COMPUTED_VALUE"""),"100 mg")</f>
        <v>100 mg</v>
      </c>
      <c r="BX336" s="883">
        <f>IFERROR(__xludf.DUMMYFUNCTION("""COMPUTED_VALUE"""),22.0)</f>
        <v>22</v>
      </c>
      <c r="BY336" s="890">
        <f>IFERROR(__xludf.DUMMYFUNCTION("""COMPUTED_VALUE"""),42595.0)</f>
        <v>42595</v>
      </c>
      <c r="BZ336" s="883">
        <f>IFERROR(__xludf.DUMMYFUNCTION("""COMPUTED_VALUE"""),1985.0)</f>
        <v>1985</v>
      </c>
      <c r="CA336" s="883"/>
      <c r="CB336" s="883"/>
      <c r="CC336" s="883" t="str">
        <f>IFERROR(__xludf.DUMMYFUNCTION("""COMPUTED_VALUE"""),"Yes")</f>
        <v>Yes</v>
      </c>
      <c r="CD336" s="884">
        <f>IFERROR(__xludf.DUMMYFUNCTION("""COMPUTED_VALUE"""),0.95)</f>
        <v>0.95</v>
      </c>
      <c r="CE336" s="883" t="str">
        <f>IFERROR(__xludf.DUMMYFUNCTION("""COMPUTED_VALUE"""),"Yes")</f>
        <v>Yes</v>
      </c>
      <c r="CF336" s="883"/>
      <c r="CG336" s="883"/>
      <c r="CH336" s="883"/>
      <c r="CI336" s="883"/>
      <c r="CJ336" s="883"/>
      <c r="CK336" s="883"/>
      <c r="CL336" s="883"/>
      <c r="CM336" s="884">
        <f>IFERROR(__xludf.DUMMYFUNCTION("""COMPUTED_VALUE"""),0.999)</f>
        <v>0.999</v>
      </c>
      <c r="CN336" s="883"/>
      <c r="CO336" s="883"/>
      <c r="CP336" s="883"/>
      <c r="CQ336" s="883"/>
      <c r="CR336" s="883"/>
      <c r="CS336" s="883" t="str">
        <f>IFERROR(__xludf.DUMMYFUNCTION("""COMPUTED_VALUE"""),"In conclusion, only the Janssen brand of mebendazole given twice daily for 3 days was of value in ‘curing’ hookworm and was,therefore, more effective overall in the treat-ment ofintestinal helminthiasis. Based on this study, the use of the Janssen formula"&amp;"tion of mebendazole would be preferable.")</f>
        <v>In conclusion, only the Janssen brand of mebendazole given twice daily for 3 days was of value in ‘curing’ hookworm and was,therefore, more effective overall in the treat-ment ofintestinal helminthiasis. Based on this study, the use of the Janssen formulation of mebendazole would be preferable.</v>
      </c>
      <c r="CT336" s="883"/>
      <c r="CU336" s="883"/>
      <c r="CV336" s="863"/>
      <c r="CW336" s="863"/>
      <c r="CX336" s="863"/>
      <c r="CY336" s="863"/>
      <c r="CZ336" s="863"/>
      <c r="DA336" s="863"/>
      <c r="DB336" s="863"/>
      <c r="DC336" s="863"/>
      <c r="DD336" s="863"/>
      <c r="DE336" s="863"/>
    </row>
    <row r="337">
      <c r="A337" s="876"/>
      <c r="B337" s="876"/>
      <c r="C337" s="876"/>
      <c r="D337" s="876"/>
      <c r="E337" s="876"/>
      <c r="F337" s="876"/>
      <c r="G337" s="876"/>
      <c r="H337" s="876"/>
      <c r="I337" s="876"/>
      <c r="J337" s="876"/>
      <c r="K337" s="876"/>
      <c r="L337" s="876"/>
      <c r="M337" s="876"/>
      <c r="N337" s="877"/>
      <c r="O337" s="876"/>
      <c r="P337" s="876"/>
      <c r="Q337" s="876"/>
      <c r="R337" s="876"/>
      <c r="S337" s="876"/>
      <c r="T337" s="876"/>
      <c r="U337" s="876"/>
      <c r="V337" s="876"/>
      <c r="W337" s="876"/>
      <c r="X337" s="876"/>
      <c r="Y337" s="876"/>
      <c r="Z337" s="876"/>
      <c r="AA337" s="876"/>
      <c r="AB337" s="876"/>
      <c r="AC337" s="876"/>
      <c r="AD337" s="876"/>
      <c r="AE337" s="876"/>
      <c r="AF337" s="876"/>
      <c r="AG337" s="876"/>
      <c r="AH337" s="876"/>
      <c r="AI337" s="878"/>
      <c r="AJ337" s="880"/>
      <c r="AK337" s="880"/>
      <c r="AL337" s="880"/>
      <c r="AM337" s="880"/>
      <c r="AN337" s="880"/>
      <c r="AO337" s="880"/>
      <c r="AP337" s="880"/>
      <c r="AQ337" s="880"/>
      <c r="AR337" s="880"/>
      <c r="AS337" s="880"/>
      <c r="AT337" s="880"/>
      <c r="AU337" s="880"/>
      <c r="AV337" s="880"/>
      <c r="AW337" s="881"/>
      <c r="AX337" s="863"/>
      <c r="AY337" s="863"/>
      <c r="AZ337" s="863"/>
      <c r="BA337" s="863"/>
      <c r="BB337" s="863"/>
      <c r="BC337" s="863"/>
      <c r="BD337" s="863"/>
      <c r="BE337" s="863"/>
      <c r="BF337" s="863"/>
      <c r="BG337" s="863"/>
      <c r="BH337" s="863"/>
      <c r="BI337" s="863"/>
      <c r="BJ337" s="863"/>
      <c r="BK337" s="863"/>
      <c r="BL337" s="863"/>
      <c r="BM337" s="863"/>
      <c r="BN337" s="863"/>
      <c r="BO337" s="863"/>
      <c r="BP337" s="880"/>
      <c r="BQ337" s="863"/>
      <c r="BR337" s="889" t="str">
        <f>IFERROR(__xludf.DUMMYFUNCTION("""COMPUTED_VALUE"""),"Wesche")</f>
        <v>Wesche</v>
      </c>
      <c r="BS337" s="883" t="str">
        <f>IFERROR(__xludf.DUMMYFUNCTION("""COMPUTED_VALUE"""),"New Guinea")</f>
        <v>New Guinea</v>
      </c>
      <c r="BT337" s="883" t="str">
        <f>IFERROR(__xludf.DUMMYFUNCTION("""COMPUTED_VALUE"""),"Mebendazole")</f>
        <v>Mebendazole</v>
      </c>
      <c r="BU337" s="883"/>
      <c r="BV337" s="883" t="str">
        <f>IFERROR(__xludf.DUMMYFUNCTION("""COMPUTED_VALUE"""),"Six")</f>
        <v>Six</v>
      </c>
      <c r="BW337" s="883" t="str">
        <f>IFERROR(__xludf.DUMMYFUNCTION("""COMPUTED_VALUE"""),"100 mg")</f>
        <v>100 mg</v>
      </c>
      <c r="BX337" s="883">
        <f>IFERROR(__xludf.DUMMYFUNCTION("""COMPUTED_VALUE"""),21.0)</f>
        <v>21</v>
      </c>
      <c r="BY337" s="890">
        <f>IFERROR(__xludf.DUMMYFUNCTION("""COMPUTED_VALUE"""),42960.0)</f>
        <v>42960</v>
      </c>
      <c r="BZ337" s="883">
        <f>IFERROR(__xludf.DUMMYFUNCTION("""COMPUTED_VALUE"""),1985.0)</f>
        <v>1985</v>
      </c>
      <c r="CA337" s="883"/>
      <c r="CB337" s="883"/>
      <c r="CC337" s="883" t="str">
        <f>IFERROR(__xludf.DUMMYFUNCTION("""COMPUTED_VALUE"""),"Yes")</f>
        <v>Yes</v>
      </c>
      <c r="CD337" s="884">
        <f>IFERROR(__xludf.DUMMYFUNCTION("""COMPUTED_VALUE"""),0.83)</f>
        <v>0.83</v>
      </c>
      <c r="CE337" s="883" t="str">
        <f>IFERROR(__xludf.DUMMYFUNCTION("""COMPUTED_VALUE"""),"Yes")</f>
        <v>Yes</v>
      </c>
      <c r="CF337" s="883"/>
      <c r="CG337" s="883"/>
      <c r="CH337" s="883"/>
      <c r="CI337" s="883"/>
      <c r="CJ337" s="883"/>
      <c r="CK337" s="883"/>
      <c r="CL337" s="883"/>
      <c r="CM337" s="884">
        <f>IFERROR(__xludf.DUMMYFUNCTION("""COMPUTED_VALUE"""),0.999)</f>
        <v>0.999</v>
      </c>
      <c r="CN337" s="883"/>
      <c r="CO337" s="883"/>
      <c r="CP337" s="883"/>
      <c r="CQ337" s="883"/>
      <c r="CR337" s="883"/>
      <c r="CS337" s="883" t="str">
        <f>IFERROR(__xludf.DUMMYFUNCTION("""COMPUTED_VALUE"""),"In conclusion, only the Janssen brand of mebendazole given twice daily for 3 days was of value in ‘curing’ hookworm and was,therefore, more effective overall in the treat-ment ofintestinal helminthiasis. Based on this study, the use of the Janssen formula"&amp;"tion of mebendazole would be preferable.")</f>
        <v>In conclusion, only the Janssen brand of mebendazole given twice daily for 3 days was of value in ‘curing’ hookworm and was,therefore, more effective overall in the treat-ment ofintestinal helminthiasis. Based on this study, the use of the Janssen formulation of mebendazole would be preferable.</v>
      </c>
      <c r="CT337" s="883"/>
      <c r="CU337" s="883"/>
      <c r="CV337" s="863"/>
      <c r="CW337" s="863"/>
      <c r="CX337" s="863"/>
      <c r="CY337" s="863"/>
      <c r="CZ337" s="863"/>
      <c r="DA337" s="863"/>
      <c r="DB337" s="863"/>
      <c r="DC337" s="863"/>
      <c r="DD337" s="863"/>
      <c r="DE337" s="863"/>
    </row>
    <row r="338">
      <c r="A338" s="876"/>
      <c r="B338" s="876"/>
      <c r="C338" s="876"/>
      <c r="D338" s="876"/>
      <c r="E338" s="876"/>
      <c r="F338" s="876"/>
      <c r="G338" s="876"/>
      <c r="H338" s="876"/>
      <c r="I338" s="876"/>
      <c r="J338" s="876"/>
      <c r="K338" s="876"/>
      <c r="L338" s="876"/>
      <c r="M338" s="876"/>
      <c r="N338" s="877"/>
      <c r="O338" s="876"/>
      <c r="P338" s="876"/>
      <c r="Q338" s="876"/>
      <c r="R338" s="876"/>
      <c r="S338" s="876"/>
      <c r="T338" s="876"/>
      <c r="U338" s="876"/>
      <c r="V338" s="876"/>
      <c r="W338" s="876"/>
      <c r="X338" s="876"/>
      <c r="Y338" s="876"/>
      <c r="Z338" s="876"/>
      <c r="AA338" s="876"/>
      <c r="AB338" s="876"/>
      <c r="AC338" s="876"/>
      <c r="AD338" s="876"/>
      <c r="AE338" s="876"/>
      <c r="AF338" s="876"/>
      <c r="AG338" s="876"/>
      <c r="AH338" s="876"/>
      <c r="AI338" s="878"/>
      <c r="AJ338" s="880"/>
      <c r="AK338" s="880"/>
      <c r="AL338" s="880"/>
      <c r="AM338" s="880"/>
      <c r="AN338" s="880"/>
      <c r="AO338" s="880"/>
      <c r="AP338" s="880"/>
      <c r="AQ338" s="880"/>
      <c r="AR338" s="880"/>
      <c r="AS338" s="880"/>
      <c r="AT338" s="880"/>
      <c r="AU338" s="880"/>
      <c r="AV338" s="880"/>
      <c r="AW338" s="881"/>
      <c r="AX338" s="863"/>
      <c r="AY338" s="863"/>
      <c r="AZ338" s="863"/>
      <c r="BA338" s="863"/>
      <c r="BB338" s="863"/>
      <c r="BC338" s="863"/>
      <c r="BD338" s="863"/>
      <c r="BE338" s="863"/>
      <c r="BF338" s="863"/>
      <c r="BG338" s="863"/>
      <c r="BH338" s="863"/>
      <c r="BI338" s="863"/>
      <c r="BJ338" s="863"/>
      <c r="BK338" s="863"/>
      <c r="BL338" s="863"/>
      <c r="BM338" s="863"/>
      <c r="BN338" s="863"/>
      <c r="BO338" s="863"/>
      <c r="BP338" s="880"/>
      <c r="BQ338" s="863"/>
      <c r="BR338" s="889" t="str">
        <f>IFERROR(__xludf.DUMMYFUNCTION("""COMPUTED_VALUE"""),"Wesche")</f>
        <v>Wesche</v>
      </c>
      <c r="BS338" s="883" t="str">
        <f>IFERROR(__xludf.DUMMYFUNCTION("""COMPUTED_VALUE"""),"New Guinea")</f>
        <v>New Guinea</v>
      </c>
      <c r="BT338" s="883" t="str">
        <f>IFERROR(__xludf.DUMMYFUNCTION("""COMPUTED_VALUE"""),"Mebendazole")</f>
        <v>Mebendazole</v>
      </c>
      <c r="BU338" s="883"/>
      <c r="BV338" s="883" t="str">
        <f>IFERROR(__xludf.DUMMYFUNCTION("""COMPUTED_VALUE"""),"One")</f>
        <v>One</v>
      </c>
      <c r="BW338" s="883" t="str">
        <f>IFERROR(__xludf.DUMMYFUNCTION("""COMPUTED_VALUE"""),"400 mg")</f>
        <v>400 mg</v>
      </c>
      <c r="BX338" s="883">
        <f>IFERROR(__xludf.DUMMYFUNCTION("""COMPUTED_VALUE"""),16.0)</f>
        <v>16</v>
      </c>
      <c r="BY338" s="890">
        <f>IFERROR(__xludf.DUMMYFUNCTION("""COMPUTED_VALUE"""),42595.0)</f>
        <v>42595</v>
      </c>
      <c r="BZ338" s="883">
        <f>IFERROR(__xludf.DUMMYFUNCTION("""COMPUTED_VALUE"""),1985.0)</f>
        <v>1985</v>
      </c>
      <c r="CA338" s="883"/>
      <c r="CB338" s="883"/>
      <c r="CC338" s="883" t="str">
        <f>IFERROR(__xludf.DUMMYFUNCTION("""COMPUTED_VALUE"""),"Yes")</f>
        <v>Yes</v>
      </c>
      <c r="CD338" s="884">
        <f>IFERROR(__xludf.DUMMYFUNCTION("""COMPUTED_VALUE"""),0.91)</f>
        <v>0.91</v>
      </c>
      <c r="CE338" s="883" t="str">
        <f>IFERROR(__xludf.DUMMYFUNCTION("""COMPUTED_VALUE"""),"Yes")</f>
        <v>Yes</v>
      </c>
      <c r="CF338" s="883"/>
      <c r="CG338" s="883"/>
      <c r="CH338" s="883"/>
      <c r="CI338" s="883"/>
      <c r="CJ338" s="883"/>
      <c r="CK338" s="883"/>
      <c r="CL338" s="883"/>
      <c r="CM338" s="884">
        <f>IFERROR(__xludf.DUMMYFUNCTION("""COMPUTED_VALUE"""),0.999)</f>
        <v>0.999</v>
      </c>
      <c r="CN338" s="883"/>
      <c r="CO338" s="883"/>
      <c r="CP338" s="883"/>
      <c r="CQ338" s="883"/>
      <c r="CR338" s="883"/>
      <c r="CS338" s="883" t="str">
        <f>IFERROR(__xludf.DUMMYFUNCTION("""COMPUTED_VALUE"""),"In conclusion, only the Janssen brand of mebendazole given twice daily for 3 days was of value in ‘curing’ hookworm and was,therefore, more effective overall in the treat-ment ofintestinal helminthiasis. Based on this study, the use of the Janssen formula"&amp;"tion of mebendazole would be preferable.")</f>
        <v>In conclusion, only the Janssen brand of mebendazole given twice daily for 3 days was of value in ‘curing’ hookworm and was,therefore, more effective overall in the treat-ment ofintestinal helminthiasis. Based on this study, the use of the Janssen formulation of mebendazole would be preferable.</v>
      </c>
      <c r="CT338" s="883"/>
      <c r="CU338" s="883"/>
      <c r="CV338" s="863"/>
      <c r="CW338" s="863"/>
      <c r="CX338" s="863"/>
      <c r="CY338" s="863"/>
      <c r="CZ338" s="863"/>
      <c r="DA338" s="863"/>
      <c r="DB338" s="863"/>
      <c r="DC338" s="863"/>
      <c r="DD338" s="863"/>
      <c r="DE338" s="863"/>
    </row>
    <row r="339">
      <c r="A339" s="876"/>
      <c r="B339" s="876"/>
      <c r="C339" s="876"/>
      <c r="D339" s="876"/>
      <c r="E339" s="876"/>
      <c r="F339" s="876"/>
      <c r="G339" s="876"/>
      <c r="H339" s="876"/>
      <c r="I339" s="876"/>
      <c r="J339" s="876"/>
      <c r="K339" s="876"/>
      <c r="L339" s="876"/>
      <c r="M339" s="876"/>
      <c r="N339" s="877"/>
      <c r="O339" s="876"/>
      <c r="P339" s="876"/>
      <c r="Q339" s="876"/>
      <c r="R339" s="876"/>
      <c r="S339" s="876"/>
      <c r="T339" s="876"/>
      <c r="U339" s="876"/>
      <c r="V339" s="876"/>
      <c r="W339" s="876"/>
      <c r="X339" s="876"/>
      <c r="Y339" s="876"/>
      <c r="Z339" s="876"/>
      <c r="AA339" s="876"/>
      <c r="AB339" s="876"/>
      <c r="AC339" s="876"/>
      <c r="AD339" s="876"/>
      <c r="AE339" s="876"/>
      <c r="AF339" s="876"/>
      <c r="AG339" s="876"/>
      <c r="AH339" s="876"/>
      <c r="AI339" s="878"/>
      <c r="AJ339" s="880"/>
      <c r="AK339" s="880"/>
      <c r="AL339" s="880"/>
      <c r="AM339" s="880"/>
      <c r="AN339" s="880"/>
      <c r="AO339" s="880"/>
      <c r="AP339" s="880"/>
      <c r="AQ339" s="880"/>
      <c r="AR339" s="880"/>
      <c r="AS339" s="880"/>
      <c r="AT339" s="880"/>
      <c r="AU339" s="880"/>
      <c r="AV339" s="880"/>
      <c r="AW339" s="881"/>
      <c r="AX339" s="863"/>
      <c r="AY339" s="863"/>
      <c r="AZ339" s="863"/>
      <c r="BA339" s="863"/>
      <c r="BB339" s="863"/>
      <c r="BC339" s="863"/>
      <c r="BD339" s="863"/>
      <c r="BE339" s="863"/>
      <c r="BF339" s="863"/>
      <c r="BG339" s="863"/>
      <c r="BH339" s="863"/>
      <c r="BI339" s="863"/>
      <c r="BJ339" s="863"/>
      <c r="BK339" s="863"/>
      <c r="BL339" s="863"/>
      <c r="BM339" s="863"/>
      <c r="BN339" s="863"/>
      <c r="BO339" s="863"/>
      <c r="BP339" s="880"/>
      <c r="BQ339" s="863"/>
      <c r="BR339" s="883" t="str">
        <f>IFERROR(__xludf.DUMMYFUNCTION("""COMPUTED_VALUE"""),"Sur D")</f>
        <v>Sur D</v>
      </c>
      <c r="BS339" s="883"/>
      <c r="BT339" s="883"/>
      <c r="BU339" s="883"/>
      <c r="BV339" s="883"/>
      <c r="BW339" s="883"/>
      <c r="BX339" s="883"/>
      <c r="BY339" s="883"/>
      <c r="BZ339" s="883"/>
      <c r="CA339" s="883"/>
      <c r="CB339" s="883"/>
      <c r="CC339" s="883"/>
      <c r="CD339" s="884"/>
      <c r="CE339" s="883"/>
      <c r="CF339" s="883"/>
      <c r="CG339" s="883"/>
      <c r="CH339" s="883"/>
      <c r="CI339" s="883"/>
      <c r="CJ339" s="883"/>
      <c r="CK339" s="883"/>
      <c r="CL339" s="883"/>
      <c r="CM339" s="883"/>
      <c r="CN339" s="883"/>
      <c r="CO339" s="883"/>
      <c r="CP339" s="883"/>
      <c r="CQ339" s="883"/>
      <c r="CR339" s="883"/>
      <c r="CS339" s="883"/>
      <c r="CT339" s="883"/>
      <c r="CU339" s="883"/>
      <c r="CV339" s="863"/>
      <c r="CW339" s="863"/>
      <c r="CX339" s="863"/>
      <c r="CY339" s="863"/>
      <c r="CZ339" s="863"/>
      <c r="DA339" s="863"/>
      <c r="DB339" s="863"/>
      <c r="DC339" s="863"/>
      <c r="DD339" s="863"/>
      <c r="DE339" s="863"/>
    </row>
    <row r="340">
      <c r="A340" s="876"/>
      <c r="B340" s="876"/>
      <c r="C340" s="876"/>
      <c r="D340" s="876"/>
      <c r="E340" s="876"/>
      <c r="F340" s="876"/>
      <c r="G340" s="876"/>
      <c r="H340" s="876"/>
      <c r="I340" s="876"/>
      <c r="J340" s="876"/>
      <c r="K340" s="876"/>
      <c r="L340" s="876"/>
      <c r="M340" s="876"/>
      <c r="N340" s="877"/>
      <c r="O340" s="876"/>
      <c r="P340" s="876"/>
      <c r="Q340" s="876"/>
      <c r="R340" s="876"/>
      <c r="S340" s="876"/>
      <c r="T340" s="876"/>
      <c r="U340" s="876"/>
      <c r="V340" s="876"/>
      <c r="W340" s="876"/>
      <c r="X340" s="876"/>
      <c r="Y340" s="876"/>
      <c r="Z340" s="876"/>
      <c r="AA340" s="876"/>
      <c r="AB340" s="876"/>
      <c r="AC340" s="876"/>
      <c r="AD340" s="876"/>
      <c r="AE340" s="876"/>
      <c r="AF340" s="876"/>
      <c r="AG340" s="876"/>
      <c r="AH340" s="876"/>
      <c r="AI340" s="878"/>
      <c r="AJ340" s="880"/>
      <c r="AK340" s="880"/>
      <c r="AL340" s="880"/>
      <c r="AM340" s="880"/>
      <c r="AN340" s="880"/>
      <c r="AO340" s="880"/>
      <c r="AP340" s="880"/>
      <c r="AQ340" s="880"/>
      <c r="AR340" s="880"/>
      <c r="AS340" s="880"/>
      <c r="AT340" s="880"/>
      <c r="AU340" s="880"/>
      <c r="AV340" s="880"/>
      <c r="AW340" s="881"/>
      <c r="AX340" s="863"/>
      <c r="AY340" s="863"/>
      <c r="AZ340" s="863"/>
      <c r="BA340" s="863"/>
      <c r="BB340" s="863"/>
      <c r="BC340" s="863"/>
      <c r="BD340" s="863"/>
      <c r="BE340" s="863"/>
      <c r="BF340" s="863"/>
      <c r="BG340" s="863"/>
      <c r="BH340" s="863"/>
      <c r="BI340" s="863"/>
      <c r="BJ340" s="863"/>
      <c r="BK340" s="863"/>
      <c r="BL340" s="863"/>
      <c r="BM340" s="863"/>
      <c r="BN340" s="863"/>
      <c r="BO340" s="863"/>
      <c r="BP340" s="880"/>
      <c r="BQ340" s="863"/>
      <c r="BR340" s="883" t="str">
        <f>IFERROR(__xludf.DUMMYFUNCTION("""COMPUTED_VALUE"""),"Hoti SL")</f>
        <v>Hoti SL</v>
      </c>
      <c r="BS340" s="883"/>
      <c r="BT340" s="883"/>
      <c r="BU340" s="883"/>
      <c r="BV340" s="883"/>
      <c r="BW340" s="883"/>
      <c r="BX340" s="883"/>
      <c r="BY340" s="883"/>
      <c r="BZ340" s="883"/>
      <c r="CA340" s="883"/>
      <c r="CB340" s="883"/>
      <c r="CC340" s="883"/>
      <c r="CD340" s="884"/>
      <c r="CE340" s="883"/>
      <c r="CF340" s="883"/>
      <c r="CG340" s="883"/>
      <c r="CH340" s="883"/>
      <c r="CI340" s="883"/>
      <c r="CJ340" s="883"/>
      <c r="CK340" s="883"/>
      <c r="CL340" s="883"/>
      <c r="CM340" s="883"/>
      <c r="CN340" s="883"/>
      <c r="CO340" s="883"/>
      <c r="CP340" s="883"/>
      <c r="CQ340" s="883"/>
      <c r="CR340" s="883"/>
      <c r="CS340" s="883"/>
      <c r="CT340" s="883"/>
      <c r="CU340" s="883"/>
      <c r="CV340" s="863"/>
      <c r="CW340" s="863"/>
      <c r="CX340" s="863"/>
      <c r="CY340" s="863"/>
      <c r="CZ340" s="863"/>
      <c r="DA340" s="863"/>
      <c r="DB340" s="863"/>
      <c r="DC340" s="863"/>
      <c r="DD340" s="863"/>
      <c r="DE340" s="863"/>
    </row>
    <row r="341">
      <c r="A341" s="876"/>
      <c r="B341" s="876"/>
      <c r="C341" s="876"/>
      <c r="D341" s="876"/>
      <c r="E341" s="876"/>
      <c r="F341" s="876"/>
      <c r="G341" s="876"/>
      <c r="H341" s="876"/>
      <c r="I341" s="876"/>
      <c r="J341" s="876"/>
      <c r="K341" s="876"/>
      <c r="L341" s="876"/>
      <c r="M341" s="876"/>
      <c r="N341" s="877"/>
      <c r="O341" s="876"/>
      <c r="P341" s="876"/>
      <c r="Q341" s="876"/>
      <c r="R341" s="876"/>
      <c r="S341" s="876"/>
      <c r="T341" s="876"/>
      <c r="U341" s="876"/>
      <c r="V341" s="876"/>
      <c r="W341" s="876"/>
      <c r="X341" s="876"/>
      <c r="Y341" s="876"/>
      <c r="Z341" s="876"/>
      <c r="AA341" s="876"/>
      <c r="AB341" s="876"/>
      <c r="AC341" s="876"/>
      <c r="AD341" s="876"/>
      <c r="AE341" s="876"/>
      <c r="AF341" s="876"/>
      <c r="AG341" s="876"/>
      <c r="AH341" s="876"/>
      <c r="AI341" s="878"/>
      <c r="AJ341" s="880"/>
      <c r="AK341" s="880"/>
      <c r="AL341" s="880"/>
      <c r="AM341" s="880"/>
      <c r="AN341" s="880"/>
      <c r="AO341" s="880"/>
      <c r="AP341" s="880"/>
      <c r="AQ341" s="880"/>
      <c r="AR341" s="880"/>
      <c r="AS341" s="880"/>
      <c r="AT341" s="880"/>
      <c r="AU341" s="880"/>
      <c r="AV341" s="880"/>
      <c r="AW341" s="881"/>
      <c r="AX341" s="863"/>
      <c r="AY341" s="863"/>
      <c r="AZ341" s="863"/>
      <c r="BA341" s="863"/>
      <c r="BB341" s="863"/>
      <c r="BC341" s="863"/>
      <c r="BD341" s="863"/>
      <c r="BE341" s="863"/>
      <c r="BF341" s="863"/>
      <c r="BG341" s="863"/>
      <c r="BH341" s="863"/>
      <c r="BI341" s="863"/>
      <c r="BJ341" s="863"/>
      <c r="BK341" s="863"/>
      <c r="BL341" s="863"/>
      <c r="BM341" s="863"/>
      <c r="BN341" s="863"/>
      <c r="BO341" s="863"/>
      <c r="BP341" s="880"/>
      <c r="BQ341" s="863"/>
      <c r="BR341" s="883" t="str">
        <f>IFERROR(__xludf.DUMMYFUNCTION("""COMPUTED_VALUE"""),"Datry")</f>
        <v>Datry</v>
      </c>
      <c r="BS341" s="883"/>
      <c r="BT341" s="883"/>
      <c r="BU341" s="883"/>
      <c r="BV341" s="883"/>
      <c r="BW341" s="883"/>
      <c r="BX341" s="883"/>
      <c r="BY341" s="883"/>
      <c r="BZ341" s="883"/>
      <c r="CA341" s="883"/>
      <c r="CB341" s="883"/>
      <c r="CC341" s="883"/>
      <c r="CD341" s="884"/>
      <c r="CE341" s="883"/>
      <c r="CF341" s="883"/>
      <c r="CG341" s="883"/>
      <c r="CH341" s="883"/>
      <c r="CI341" s="883"/>
      <c r="CJ341" s="883"/>
      <c r="CK341" s="883"/>
      <c r="CL341" s="883"/>
      <c r="CM341" s="883"/>
      <c r="CN341" s="883"/>
      <c r="CO341" s="883"/>
      <c r="CP341" s="883"/>
      <c r="CQ341" s="883"/>
      <c r="CR341" s="883"/>
      <c r="CS341" s="883"/>
      <c r="CT341" s="883"/>
      <c r="CU341" s="883"/>
      <c r="CV341" s="863"/>
      <c r="CW341" s="863"/>
      <c r="CX341" s="863"/>
      <c r="CY341" s="863"/>
      <c r="CZ341" s="863"/>
      <c r="DA341" s="863"/>
      <c r="DB341" s="863"/>
      <c r="DC341" s="863"/>
      <c r="DD341" s="863"/>
      <c r="DE341" s="863"/>
    </row>
    <row r="342">
      <c r="A342" s="876"/>
      <c r="B342" s="876"/>
      <c r="C342" s="876"/>
      <c r="D342" s="876"/>
      <c r="E342" s="876"/>
      <c r="F342" s="876"/>
      <c r="G342" s="876"/>
      <c r="H342" s="876"/>
      <c r="I342" s="876"/>
      <c r="J342" s="876"/>
      <c r="K342" s="876"/>
      <c r="L342" s="876"/>
      <c r="M342" s="876"/>
      <c r="N342" s="877"/>
      <c r="O342" s="876"/>
      <c r="P342" s="876"/>
      <c r="Q342" s="876"/>
      <c r="R342" s="876"/>
      <c r="S342" s="876"/>
      <c r="T342" s="876"/>
      <c r="U342" s="876"/>
      <c r="V342" s="876"/>
      <c r="W342" s="876"/>
      <c r="X342" s="876"/>
      <c r="Y342" s="876"/>
      <c r="Z342" s="876"/>
      <c r="AA342" s="876"/>
      <c r="AB342" s="876"/>
      <c r="AC342" s="876"/>
      <c r="AD342" s="876"/>
      <c r="AE342" s="876"/>
      <c r="AF342" s="876"/>
      <c r="AG342" s="876"/>
      <c r="AH342" s="876"/>
      <c r="AI342" s="878"/>
      <c r="AJ342" s="880"/>
      <c r="AK342" s="880"/>
      <c r="AL342" s="880"/>
      <c r="AM342" s="880"/>
      <c r="AN342" s="880"/>
      <c r="AO342" s="880"/>
      <c r="AP342" s="880"/>
      <c r="AQ342" s="880"/>
      <c r="AR342" s="880"/>
      <c r="AS342" s="880"/>
      <c r="AT342" s="880"/>
      <c r="AU342" s="880"/>
      <c r="AV342" s="880"/>
      <c r="AW342" s="881"/>
      <c r="AX342" s="863"/>
      <c r="AY342" s="863"/>
      <c r="AZ342" s="863"/>
      <c r="BA342" s="863"/>
      <c r="BB342" s="863"/>
      <c r="BC342" s="863"/>
      <c r="BD342" s="863"/>
      <c r="BE342" s="863"/>
      <c r="BF342" s="863"/>
      <c r="BG342" s="863"/>
      <c r="BH342" s="863"/>
      <c r="BI342" s="863"/>
      <c r="BJ342" s="863"/>
      <c r="BK342" s="863"/>
      <c r="BL342" s="863"/>
      <c r="BM342" s="863"/>
      <c r="BN342" s="863"/>
      <c r="BO342" s="863"/>
      <c r="BP342" s="880"/>
      <c r="BQ342" s="863"/>
      <c r="BR342" s="883" t="str">
        <f>IFERROR(__xludf.DUMMYFUNCTION("""COMPUTED_VALUE"""),"Kazura")</f>
        <v>Kazura</v>
      </c>
      <c r="BS342" s="883"/>
      <c r="BT342" s="883"/>
      <c r="BU342" s="883"/>
      <c r="BV342" s="883"/>
      <c r="BW342" s="883"/>
      <c r="BX342" s="883"/>
      <c r="BY342" s="883" t="str">
        <f>IFERROR(__xludf.DUMMYFUNCTION("""COMPUTED_VALUE"""),"mean age was 64 ± 12 years.")</f>
        <v>mean age was 64 ± 12 years.</v>
      </c>
      <c r="BZ342" s="883"/>
      <c r="CA342" s="883"/>
      <c r="CB342" s="883"/>
      <c r="CC342" s="883"/>
      <c r="CD342" s="884"/>
      <c r="CE342" s="883"/>
      <c r="CF342" s="883"/>
      <c r="CG342" s="883"/>
      <c r="CH342" s="883"/>
      <c r="CI342" s="883"/>
      <c r="CJ342" s="883"/>
      <c r="CK342" s="883"/>
      <c r="CL342" s="883"/>
      <c r="CM342" s="883"/>
      <c r="CN342" s="883"/>
      <c r="CO342" s="883"/>
      <c r="CP342" s="883"/>
      <c r="CQ342" s="883"/>
      <c r="CR342" s="883"/>
      <c r="CS342" s="883"/>
      <c r="CT342" s="883"/>
      <c r="CU342" s="883"/>
      <c r="CV342" s="863"/>
      <c r="CW342" s="863"/>
      <c r="CX342" s="863"/>
      <c r="CY342" s="863"/>
      <c r="CZ342" s="863"/>
      <c r="DA342" s="863"/>
      <c r="DB342" s="863"/>
      <c r="DC342" s="863"/>
      <c r="DD342" s="863"/>
      <c r="DE342" s="863"/>
    </row>
    <row r="343">
      <c r="A343" s="876"/>
      <c r="B343" s="876"/>
      <c r="C343" s="876"/>
      <c r="D343" s="876"/>
      <c r="E343" s="876"/>
      <c r="F343" s="876"/>
      <c r="G343" s="876"/>
      <c r="H343" s="876"/>
      <c r="I343" s="876"/>
      <c r="J343" s="876"/>
      <c r="K343" s="876"/>
      <c r="L343" s="876"/>
      <c r="M343" s="876"/>
      <c r="N343" s="877"/>
      <c r="O343" s="876"/>
      <c r="P343" s="876"/>
      <c r="Q343" s="876"/>
      <c r="R343" s="876"/>
      <c r="S343" s="876"/>
      <c r="T343" s="876"/>
      <c r="U343" s="876"/>
      <c r="V343" s="876"/>
      <c r="W343" s="876"/>
      <c r="X343" s="876"/>
      <c r="Y343" s="876"/>
      <c r="Z343" s="876"/>
      <c r="AA343" s="876"/>
      <c r="AB343" s="876"/>
      <c r="AC343" s="876"/>
      <c r="AD343" s="876"/>
      <c r="AE343" s="876"/>
      <c r="AF343" s="876"/>
      <c r="AG343" s="876"/>
      <c r="AH343" s="876"/>
      <c r="AI343" s="878"/>
      <c r="AJ343" s="880"/>
      <c r="AK343" s="880"/>
      <c r="AL343" s="880"/>
      <c r="AM343" s="880"/>
      <c r="AN343" s="880"/>
      <c r="AO343" s="880"/>
      <c r="AP343" s="880"/>
      <c r="AQ343" s="880"/>
      <c r="AR343" s="880"/>
      <c r="AS343" s="880"/>
      <c r="AT343" s="880"/>
      <c r="AU343" s="880"/>
      <c r="AV343" s="880"/>
      <c r="AW343" s="881"/>
      <c r="AX343" s="863"/>
      <c r="AY343" s="863"/>
      <c r="AZ343" s="863"/>
      <c r="BA343" s="863"/>
      <c r="BB343" s="863"/>
      <c r="BC343" s="863"/>
      <c r="BD343" s="863"/>
      <c r="BE343" s="863"/>
      <c r="BF343" s="863"/>
      <c r="BG343" s="863"/>
      <c r="BH343" s="863"/>
      <c r="BI343" s="863"/>
      <c r="BJ343" s="863"/>
      <c r="BK343" s="863"/>
      <c r="BL343" s="863"/>
      <c r="BM343" s="863"/>
      <c r="BN343" s="863"/>
      <c r="BO343" s="863"/>
      <c r="BP343" s="880"/>
      <c r="BQ343" s="863"/>
      <c r="BR343" s="883" t="str">
        <f>IFERROR(__xludf.DUMMYFUNCTION("""COMPUTED_VALUE"""),"Addiss")</f>
        <v>Addiss</v>
      </c>
      <c r="BS343" s="883"/>
      <c r="BT343" s="883"/>
      <c r="BU343" s="883"/>
      <c r="BV343" s="883"/>
      <c r="BW343" s="883"/>
      <c r="BX343" s="883"/>
      <c r="BY343" s="883"/>
      <c r="BZ343" s="883"/>
      <c r="CA343" s="883"/>
      <c r="CB343" s="883"/>
      <c r="CC343" s="883"/>
      <c r="CD343" s="884"/>
      <c r="CE343" s="883"/>
      <c r="CF343" s="883"/>
      <c r="CG343" s="883"/>
      <c r="CH343" s="883"/>
      <c r="CI343" s="883"/>
      <c r="CJ343" s="883"/>
      <c r="CK343" s="883"/>
      <c r="CL343" s="883"/>
      <c r="CM343" s="883"/>
      <c r="CN343" s="883"/>
      <c r="CO343" s="883"/>
      <c r="CP343" s="883"/>
      <c r="CQ343" s="883"/>
      <c r="CR343" s="883"/>
      <c r="CS343" s="883"/>
      <c r="CT343" s="883"/>
      <c r="CU343" s="883"/>
      <c r="CV343" s="863"/>
      <c r="CW343" s="863"/>
      <c r="CX343" s="863"/>
      <c r="CY343" s="863"/>
      <c r="CZ343" s="863"/>
      <c r="DA343" s="863"/>
      <c r="DB343" s="863"/>
      <c r="DC343" s="863"/>
      <c r="DD343" s="863"/>
      <c r="DE343" s="863"/>
    </row>
    <row r="344">
      <c r="A344" s="876"/>
      <c r="B344" s="876"/>
      <c r="C344" s="876"/>
      <c r="D344" s="876"/>
      <c r="E344" s="876"/>
      <c r="F344" s="876"/>
      <c r="G344" s="876"/>
      <c r="H344" s="876"/>
      <c r="I344" s="876"/>
      <c r="J344" s="876"/>
      <c r="K344" s="876"/>
      <c r="L344" s="876"/>
      <c r="M344" s="876"/>
      <c r="N344" s="877"/>
      <c r="O344" s="876"/>
      <c r="P344" s="876"/>
      <c r="Q344" s="876"/>
      <c r="R344" s="876"/>
      <c r="S344" s="876"/>
      <c r="T344" s="876"/>
      <c r="U344" s="876"/>
      <c r="V344" s="876"/>
      <c r="W344" s="876"/>
      <c r="X344" s="876"/>
      <c r="Y344" s="876"/>
      <c r="Z344" s="876"/>
      <c r="AA344" s="876"/>
      <c r="AB344" s="876"/>
      <c r="AC344" s="876"/>
      <c r="AD344" s="876"/>
      <c r="AE344" s="876"/>
      <c r="AF344" s="876"/>
      <c r="AG344" s="876"/>
      <c r="AH344" s="876"/>
      <c r="AI344" s="878"/>
      <c r="AJ344" s="880"/>
      <c r="AK344" s="880"/>
      <c r="AL344" s="880"/>
      <c r="AM344" s="880"/>
      <c r="AN344" s="880"/>
      <c r="AO344" s="880"/>
      <c r="AP344" s="880"/>
      <c r="AQ344" s="880"/>
      <c r="AR344" s="880"/>
      <c r="AS344" s="880"/>
      <c r="AT344" s="880"/>
      <c r="AU344" s="880"/>
      <c r="AV344" s="880"/>
      <c r="AW344" s="881"/>
      <c r="AX344" s="863"/>
      <c r="AY344" s="863"/>
      <c r="AZ344" s="863"/>
      <c r="BA344" s="863"/>
      <c r="BB344" s="863"/>
      <c r="BC344" s="863"/>
      <c r="BD344" s="863"/>
      <c r="BE344" s="863"/>
      <c r="BF344" s="863"/>
      <c r="BG344" s="863"/>
      <c r="BH344" s="863"/>
      <c r="BI344" s="863"/>
      <c r="BJ344" s="863"/>
      <c r="BK344" s="863"/>
      <c r="BL344" s="863"/>
      <c r="BM344" s="863"/>
      <c r="BN344" s="863"/>
      <c r="BO344" s="863"/>
      <c r="BP344" s="880"/>
      <c r="BQ344" s="863"/>
      <c r="BR344" s="883" t="str">
        <f>IFERROR(__xludf.DUMMYFUNCTION("""COMPUTED_VALUE"""),"Dreyer")</f>
        <v>Dreyer</v>
      </c>
      <c r="BS344" s="883"/>
      <c r="BT344" s="883"/>
      <c r="BU344" s="883"/>
      <c r="BV344" s="883"/>
      <c r="BW344" s="883"/>
      <c r="BX344" s="883"/>
      <c r="BY344" s="883"/>
      <c r="BZ344" s="883"/>
      <c r="CA344" s="883"/>
      <c r="CB344" s="883"/>
      <c r="CC344" s="883"/>
      <c r="CD344" s="884"/>
      <c r="CE344" s="883"/>
      <c r="CF344" s="883"/>
      <c r="CG344" s="883"/>
      <c r="CH344" s="883"/>
      <c r="CI344" s="883"/>
      <c r="CJ344" s="883"/>
      <c r="CK344" s="883"/>
      <c r="CL344" s="883"/>
      <c r="CM344" s="883"/>
      <c r="CN344" s="883"/>
      <c r="CO344" s="883"/>
      <c r="CP344" s="883"/>
      <c r="CQ344" s="883"/>
      <c r="CR344" s="883"/>
      <c r="CS344" s="883"/>
      <c r="CT344" s="883"/>
      <c r="CU344" s="883"/>
      <c r="CV344" s="863"/>
      <c r="CW344" s="863"/>
      <c r="CX344" s="863"/>
      <c r="CY344" s="863"/>
      <c r="CZ344" s="863"/>
      <c r="DA344" s="863"/>
      <c r="DB344" s="863"/>
      <c r="DC344" s="863"/>
      <c r="DD344" s="863"/>
      <c r="DE344" s="863"/>
    </row>
    <row r="345">
      <c r="A345" s="876"/>
      <c r="B345" s="876"/>
      <c r="C345" s="876"/>
      <c r="D345" s="876"/>
      <c r="E345" s="876"/>
      <c r="F345" s="876"/>
      <c r="G345" s="876"/>
      <c r="H345" s="876"/>
      <c r="I345" s="876"/>
      <c r="J345" s="876"/>
      <c r="K345" s="876"/>
      <c r="L345" s="876"/>
      <c r="M345" s="876"/>
      <c r="N345" s="877"/>
      <c r="O345" s="876"/>
      <c r="P345" s="876"/>
      <c r="Q345" s="876"/>
      <c r="R345" s="876"/>
      <c r="S345" s="876"/>
      <c r="T345" s="876"/>
      <c r="U345" s="876"/>
      <c r="V345" s="876"/>
      <c r="W345" s="876"/>
      <c r="X345" s="876"/>
      <c r="Y345" s="876"/>
      <c r="Z345" s="876"/>
      <c r="AA345" s="876"/>
      <c r="AB345" s="876"/>
      <c r="AC345" s="876"/>
      <c r="AD345" s="876"/>
      <c r="AE345" s="876"/>
      <c r="AF345" s="876"/>
      <c r="AG345" s="876"/>
      <c r="AH345" s="876"/>
      <c r="AI345" s="878"/>
      <c r="AJ345" s="880"/>
      <c r="AK345" s="880"/>
      <c r="AL345" s="880"/>
      <c r="AM345" s="880"/>
      <c r="AN345" s="880"/>
      <c r="AO345" s="880"/>
      <c r="AP345" s="880"/>
      <c r="AQ345" s="880"/>
      <c r="AR345" s="880"/>
      <c r="AS345" s="880"/>
      <c r="AT345" s="880"/>
      <c r="AU345" s="880"/>
      <c r="AV345" s="880"/>
      <c r="AW345" s="881"/>
      <c r="AX345" s="863"/>
      <c r="AY345" s="863"/>
      <c r="AZ345" s="863"/>
      <c r="BA345" s="863"/>
      <c r="BB345" s="863"/>
      <c r="BC345" s="863"/>
      <c r="BD345" s="863"/>
      <c r="BE345" s="863"/>
      <c r="BF345" s="863"/>
      <c r="BG345" s="863"/>
      <c r="BH345" s="863"/>
      <c r="BI345" s="863"/>
      <c r="BJ345" s="863"/>
      <c r="BK345" s="863"/>
      <c r="BL345" s="863"/>
      <c r="BM345" s="863"/>
      <c r="BN345" s="863"/>
      <c r="BO345" s="863"/>
      <c r="BP345" s="880"/>
      <c r="BQ345" s="863"/>
      <c r="BR345" s="883" t="str">
        <f>IFERROR(__xludf.DUMMYFUNCTION("""COMPUTED_VALUE"""),"Ramalingam")</f>
        <v>Ramalingam</v>
      </c>
      <c r="BS345" s="883" t="str">
        <f>IFERROR(__xludf.DUMMYFUNCTION("""COMPUTED_VALUE"""),"Malaysia")</f>
        <v>Malaysia</v>
      </c>
      <c r="BT345" s="883"/>
      <c r="BU345" s="883"/>
      <c r="BV345" s="883"/>
      <c r="BW345" s="883"/>
      <c r="BX345" s="883"/>
      <c r="BY345" s="883"/>
      <c r="BZ345" s="883"/>
      <c r="CA345" s="883"/>
      <c r="CB345" s="883"/>
      <c r="CC345" s="883"/>
      <c r="CD345" s="884"/>
      <c r="CE345" s="883"/>
      <c r="CF345" s="883"/>
      <c r="CG345" s="883"/>
      <c r="CH345" s="883"/>
      <c r="CI345" s="883"/>
      <c r="CJ345" s="883"/>
      <c r="CK345" s="883"/>
      <c r="CL345" s="883"/>
      <c r="CM345" s="883"/>
      <c r="CN345" s="883"/>
      <c r="CO345" s="883"/>
      <c r="CP345" s="883"/>
      <c r="CQ345" s="883"/>
      <c r="CR345" s="883"/>
      <c r="CS345" s="883"/>
      <c r="CT345" s="883"/>
      <c r="CU345" s="883"/>
      <c r="CV345" s="863"/>
      <c r="CW345" s="863"/>
      <c r="CX345" s="863"/>
      <c r="CY345" s="863"/>
      <c r="CZ345" s="863"/>
      <c r="DA345" s="863"/>
      <c r="DB345" s="863"/>
      <c r="DC345" s="863"/>
      <c r="DD345" s="863"/>
      <c r="DE345" s="863"/>
    </row>
    <row r="346">
      <c r="A346" s="876"/>
      <c r="B346" s="876"/>
      <c r="C346" s="876"/>
      <c r="D346" s="876"/>
      <c r="E346" s="876"/>
      <c r="F346" s="876"/>
      <c r="G346" s="876"/>
      <c r="H346" s="876"/>
      <c r="I346" s="876"/>
      <c r="J346" s="876"/>
      <c r="K346" s="876"/>
      <c r="L346" s="876"/>
      <c r="M346" s="876"/>
      <c r="N346" s="877"/>
      <c r="O346" s="876"/>
      <c r="P346" s="876"/>
      <c r="Q346" s="876"/>
      <c r="R346" s="876"/>
      <c r="S346" s="876"/>
      <c r="T346" s="876"/>
      <c r="U346" s="876"/>
      <c r="V346" s="876"/>
      <c r="W346" s="876"/>
      <c r="X346" s="876"/>
      <c r="Y346" s="876"/>
      <c r="Z346" s="876"/>
      <c r="AA346" s="876"/>
      <c r="AB346" s="876"/>
      <c r="AC346" s="876"/>
      <c r="AD346" s="876"/>
      <c r="AE346" s="876"/>
      <c r="AF346" s="876"/>
      <c r="AG346" s="876"/>
      <c r="AH346" s="876"/>
      <c r="AI346" s="878"/>
      <c r="AJ346" s="880"/>
      <c r="AK346" s="880"/>
      <c r="AL346" s="880"/>
      <c r="AM346" s="880"/>
      <c r="AN346" s="880"/>
      <c r="AO346" s="880"/>
      <c r="AP346" s="880"/>
      <c r="AQ346" s="880"/>
      <c r="AR346" s="880"/>
      <c r="AS346" s="880"/>
      <c r="AT346" s="880"/>
      <c r="AU346" s="880"/>
      <c r="AV346" s="880"/>
      <c r="AW346" s="881"/>
      <c r="AX346" s="863"/>
      <c r="AY346" s="863"/>
      <c r="AZ346" s="863"/>
      <c r="BA346" s="863"/>
      <c r="BB346" s="863"/>
      <c r="BC346" s="863"/>
      <c r="BD346" s="863"/>
      <c r="BE346" s="863"/>
      <c r="BF346" s="863"/>
      <c r="BG346" s="863"/>
      <c r="BH346" s="863"/>
      <c r="BI346" s="863"/>
      <c r="BJ346" s="863"/>
      <c r="BK346" s="863"/>
      <c r="BL346" s="863"/>
      <c r="BM346" s="863"/>
      <c r="BN346" s="863"/>
      <c r="BO346" s="863"/>
      <c r="BP346" s="880"/>
      <c r="BQ346" s="863"/>
      <c r="BR346" s="883" t="str">
        <f>IFERROR(__xludf.DUMMYFUNCTION("""COMPUTED_VALUE"""),"Nicolas")</f>
        <v>Nicolas</v>
      </c>
      <c r="BS346" s="883"/>
      <c r="BT346" s="883"/>
      <c r="BU346" s="883"/>
      <c r="BV346" s="883"/>
      <c r="BW346" s="883"/>
      <c r="BX346" s="883"/>
      <c r="BY346" s="883"/>
      <c r="BZ346" s="883"/>
      <c r="CA346" s="883"/>
      <c r="CB346" s="883"/>
      <c r="CC346" s="883"/>
      <c r="CD346" s="884"/>
      <c r="CE346" s="883"/>
      <c r="CF346" s="883"/>
      <c r="CG346" s="883"/>
      <c r="CH346" s="883"/>
      <c r="CI346" s="883"/>
      <c r="CJ346" s="883"/>
      <c r="CK346" s="883"/>
      <c r="CL346" s="883"/>
      <c r="CM346" s="883"/>
      <c r="CN346" s="883"/>
      <c r="CO346" s="883"/>
      <c r="CP346" s="883"/>
      <c r="CQ346" s="883"/>
      <c r="CR346" s="883"/>
      <c r="CS346" s="883"/>
      <c r="CT346" s="883"/>
      <c r="CU346" s="883"/>
      <c r="CV346" s="863"/>
      <c r="CW346" s="863"/>
      <c r="CX346" s="863"/>
      <c r="CY346" s="863"/>
      <c r="CZ346" s="863"/>
      <c r="DA346" s="863"/>
      <c r="DB346" s="863"/>
      <c r="DC346" s="863"/>
      <c r="DD346" s="863"/>
      <c r="DE346" s="863"/>
    </row>
    <row r="347">
      <c r="A347" s="876"/>
      <c r="B347" s="876"/>
      <c r="C347" s="876"/>
      <c r="D347" s="876"/>
      <c r="E347" s="876"/>
      <c r="F347" s="876"/>
      <c r="G347" s="876"/>
      <c r="H347" s="876"/>
      <c r="I347" s="876"/>
      <c r="J347" s="876"/>
      <c r="K347" s="876"/>
      <c r="L347" s="876"/>
      <c r="M347" s="876"/>
      <c r="N347" s="877"/>
      <c r="O347" s="876"/>
      <c r="P347" s="876"/>
      <c r="Q347" s="876"/>
      <c r="R347" s="876"/>
      <c r="S347" s="876"/>
      <c r="T347" s="876"/>
      <c r="U347" s="876"/>
      <c r="V347" s="876"/>
      <c r="W347" s="876"/>
      <c r="X347" s="876"/>
      <c r="Y347" s="876"/>
      <c r="Z347" s="876"/>
      <c r="AA347" s="876"/>
      <c r="AB347" s="876"/>
      <c r="AC347" s="876"/>
      <c r="AD347" s="876"/>
      <c r="AE347" s="876"/>
      <c r="AF347" s="876"/>
      <c r="AG347" s="876"/>
      <c r="AH347" s="876"/>
      <c r="AI347" s="878"/>
      <c r="AJ347" s="880"/>
      <c r="AK347" s="880"/>
      <c r="AL347" s="880"/>
      <c r="AM347" s="880"/>
      <c r="AN347" s="880"/>
      <c r="AO347" s="880"/>
      <c r="AP347" s="880"/>
      <c r="AQ347" s="880"/>
      <c r="AR347" s="880"/>
      <c r="AS347" s="880"/>
      <c r="AT347" s="880"/>
      <c r="AU347" s="880"/>
      <c r="AV347" s="880"/>
      <c r="AW347" s="881"/>
      <c r="AX347" s="863"/>
      <c r="AY347" s="863"/>
      <c r="AZ347" s="863"/>
      <c r="BA347" s="863"/>
      <c r="BB347" s="863"/>
      <c r="BC347" s="863"/>
      <c r="BD347" s="863"/>
      <c r="BE347" s="863"/>
      <c r="BF347" s="863"/>
      <c r="BG347" s="863"/>
      <c r="BH347" s="863"/>
      <c r="BI347" s="863"/>
      <c r="BJ347" s="863"/>
      <c r="BK347" s="863"/>
      <c r="BL347" s="863"/>
      <c r="BM347" s="863"/>
      <c r="BN347" s="863"/>
      <c r="BO347" s="863"/>
      <c r="BP347" s="880"/>
      <c r="BQ347" s="863"/>
      <c r="BR347" s="883" t="str">
        <f>IFERROR(__xludf.DUMMYFUNCTION("""COMPUTED_VALUE""")," Moulia-Pelat")</f>
        <v> Moulia-Pelat</v>
      </c>
      <c r="BS347" s="883" t="str">
        <f>IFERROR(__xludf.DUMMYFUNCTION("""COMPUTED_VALUE"""),"Polynesia")</f>
        <v>Polynesia</v>
      </c>
      <c r="BT347" s="883"/>
      <c r="BU347" s="883"/>
      <c r="BV347" s="883"/>
      <c r="BW347" s="883"/>
      <c r="BX347" s="883"/>
      <c r="BY347" s="883"/>
      <c r="BZ347" s="883"/>
      <c r="CA347" s="883"/>
      <c r="CB347" s="883"/>
      <c r="CC347" s="883"/>
      <c r="CD347" s="884"/>
      <c r="CE347" s="883"/>
      <c r="CF347" s="883"/>
      <c r="CG347" s="883"/>
      <c r="CH347" s="883"/>
      <c r="CI347" s="883"/>
      <c r="CJ347" s="883"/>
      <c r="CK347" s="883"/>
      <c r="CL347" s="883"/>
      <c r="CM347" s="883"/>
      <c r="CN347" s="883"/>
      <c r="CO347" s="883"/>
      <c r="CP347" s="883"/>
      <c r="CQ347" s="883"/>
      <c r="CR347" s="883"/>
      <c r="CS347" s="883"/>
      <c r="CT347" s="883"/>
      <c r="CU347" s="883"/>
      <c r="CV347" s="863"/>
      <c r="CW347" s="863"/>
      <c r="CX347" s="863"/>
      <c r="CY347" s="863"/>
      <c r="CZ347" s="863"/>
      <c r="DA347" s="863"/>
      <c r="DB347" s="863"/>
      <c r="DC347" s="863"/>
      <c r="DD347" s="863"/>
      <c r="DE347" s="863"/>
    </row>
    <row r="348">
      <c r="A348" s="876"/>
      <c r="B348" s="876"/>
      <c r="C348" s="876"/>
      <c r="D348" s="876"/>
      <c r="E348" s="876"/>
      <c r="F348" s="876"/>
      <c r="G348" s="876"/>
      <c r="H348" s="876"/>
      <c r="I348" s="876"/>
      <c r="J348" s="876"/>
      <c r="K348" s="876"/>
      <c r="L348" s="876"/>
      <c r="M348" s="876"/>
      <c r="N348" s="877"/>
      <c r="O348" s="876"/>
      <c r="P348" s="876"/>
      <c r="Q348" s="876"/>
      <c r="R348" s="876"/>
      <c r="S348" s="876"/>
      <c r="T348" s="876"/>
      <c r="U348" s="876"/>
      <c r="V348" s="876"/>
      <c r="W348" s="876"/>
      <c r="X348" s="876"/>
      <c r="Y348" s="876"/>
      <c r="Z348" s="876"/>
      <c r="AA348" s="876"/>
      <c r="AB348" s="876"/>
      <c r="AC348" s="876"/>
      <c r="AD348" s="876"/>
      <c r="AE348" s="876"/>
      <c r="AF348" s="876"/>
      <c r="AG348" s="876"/>
      <c r="AH348" s="876"/>
      <c r="AI348" s="878"/>
      <c r="AJ348" s="880"/>
      <c r="AK348" s="880"/>
      <c r="AL348" s="880"/>
      <c r="AM348" s="880"/>
      <c r="AN348" s="880"/>
      <c r="AO348" s="880"/>
      <c r="AP348" s="880"/>
      <c r="AQ348" s="880"/>
      <c r="AR348" s="880"/>
      <c r="AS348" s="880"/>
      <c r="AT348" s="880"/>
      <c r="AU348" s="880"/>
      <c r="AV348" s="880"/>
      <c r="AW348" s="881"/>
      <c r="AX348" s="863"/>
      <c r="AY348" s="863"/>
      <c r="AZ348" s="863"/>
      <c r="BA348" s="863"/>
      <c r="BB348" s="863"/>
      <c r="BC348" s="863"/>
      <c r="BD348" s="863"/>
      <c r="BE348" s="863"/>
      <c r="BF348" s="863"/>
      <c r="BG348" s="863"/>
      <c r="BH348" s="863"/>
      <c r="BI348" s="863"/>
      <c r="BJ348" s="863"/>
      <c r="BK348" s="863"/>
      <c r="BL348" s="863"/>
      <c r="BM348" s="863"/>
      <c r="BN348" s="863"/>
      <c r="BO348" s="863"/>
      <c r="BP348" s="880"/>
      <c r="BQ348" s="863"/>
      <c r="BR348" s="883" t="str">
        <f>IFERROR(__xludf.DUMMYFUNCTION("""COMPUTED_VALUE"""),"Ottesen")</f>
        <v>Ottesen</v>
      </c>
      <c r="BS348" s="883"/>
      <c r="BT348" s="883"/>
      <c r="BU348" s="883"/>
      <c r="BV348" s="883"/>
      <c r="BW348" s="883"/>
      <c r="BX348" s="883"/>
      <c r="BY348" s="883"/>
      <c r="BZ348" s="883"/>
      <c r="CA348" s="883"/>
      <c r="CB348" s="883"/>
      <c r="CC348" s="883"/>
      <c r="CD348" s="884"/>
      <c r="CE348" s="883"/>
      <c r="CF348" s="883"/>
      <c r="CG348" s="883"/>
      <c r="CH348" s="883"/>
      <c r="CI348" s="883"/>
      <c r="CJ348" s="883"/>
      <c r="CK348" s="883"/>
      <c r="CL348" s="883"/>
      <c r="CM348" s="883"/>
      <c r="CN348" s="883"/>
      <c r="CO348" s="883"/>
      <c r="CP348" s="883"/>
      <c r="CQ348" s="883"/>
      <c r="CR348" s="883"/>
      <c r="CS348" s="883"/>
      <c r="CT348" s="883"/>
      <c r="CU348" s="883"/>
      <c r="CV348" s="863"/>
      <c r="CW348" s="863"/>
      <c r="CX348" s="863"/>
      <c r="CY348" s="863"/>
      <c r="CZ348" s="863"/>
      <c r="DA348" s="863"/>
      <c r="DB348" s="863"/>
      <c r="DC348" s="863"/>
      <c r="DD348" s="863"/>
      <c r="DE348" s="863"/>
    </row>
    <row r="349">
      <c r="A349" s="876"/>
      <c r="B349" s="876"/>
      <c r="C349" s="876"/>
      <c r="D349" s="876"/>
      <c r="E349" s="876"/>
      <c r="F349" s="876"/>
      <c r="G349" s="876"/>
      <c r="H349" s="876"/>
      <c r="I349" s="876"/>
      <c r="J349" s="876"/>
      <c r="K349" s="876"/>
      <c r="L349" s="876"/>
      <c r="M349" s="876"/>
      <c r="N349" s="877"/>
      <c r="O349" s="876"/>
      <c r="P349" s="876"/>
      <c r="Q349" s="876"/>
      <c r="R349" s="876"/>
      <c r="S349" s="876"/>
      <c r="T349" s="876"/>
      <c r="U349" s="876"/>
      <c r="V349" s="876"/>
      <c r="W349" s="876"/>
      <c r="X349" s="876"/>
      <c r="Y349" s="876"/>
      <c r="Z349" s="876"/>
      <c r="AA349" s="876"/>
      <c r="AB349" s="876"/>
      <c r="AC349" s="876"/>
      <c r="AD349" s="876"/>
      <c r="AE349" s="876"/>
      <c r="AF349" s="876"/>
      <c r="AG349" s="876"/>
      <c r="AH349" s="876"/>
      <c r="AI349" s="878"/>
      <c r="AJ349" s="880"/>
      <c r="AK349" s="880"/>
      <c r="AL349" s="880"/>
      <c r="AM349" s="880"/>
      <c r="AN349" s="880"/>
      <c r="AO349" s="880"/>
      <c r="AP349" s="880"/>
      <c r="AQ349" s="880"/>
      <c r="AR349" s="880"/>
      <c r="AS349" s="880"/>
      <c r="AT349" s="880"/>
      <c r="AU349" s="880"/>
      <c r="AV349" s="880"/>
      <c r="AW349" s="881"/>
      <c r="AX349" s="863"/>
      <c r="AY349" s="863"/>
      <c r="AZ349" s="863"/>
      <c r="BA349" s="863"/>
      <c r="BB349" s="863"/>
      <c r="BC349" s="863"/>
      <c r="BD349" s="863"/>
      <c r="BE349" s="863"/>
      <c r="BF349" s="863"/>
      <c r="BG349" s="863"/>
      <c r="BH349" s="863"/>
      <c r="BI349" s="863"/>
      <c r="BJ349" s="863"/>
      <c r="BK349" s="863"/>
      <c r="BL349" s="863"/>
      <c r="BM349" s="863"/>
      <c r="BN349" s="863"/>
      <c r="BO349" s="863"/>
      <c r="BP349" s="880"/>
      <c r="BQ349" s="863"/>
      <c r="BR349" s="883" t="str">
        <f>IFERROR(__xludf.DUMMYFUNCTION("""COMPUTED_VALUE"""),"Simonsen PE")</f>
        <v>Simonsen PE</v>
      </c>
      <c r="BS349" s="883" t="str">
        <f>IFERROR(__xludf.DUMMYFUNCTION("""COMPUTED_VALUE"""),"Tanzania")</f>
        <v>Tanzania</v>
      </c>
      <c r="BT349" s="883"/>
      <c r="BU349" s="883"/>
      <c r="BV349" s="883"/>
      <c r="BW349" s="883"/>
      <c r="BX349" s="883"/>
      <c r="BY349" s="883"/>
      <c r="BZ349" s="883"/>
      <c r="CA349" s="883"/>
      <c r="CB349" s="883"/>
      <c r="CC349" s="883"/>
      <c r="CD349" s="884"/>
      <c r="CE349" s="883"/>
      <c r="CF349" s="883"/>
      <c r="CG349" s="883"/>
      <c r="CH349" s="883"/>
      <c r="CI349" s="883"/>
      <c r="CJ349" s="883"/>
      <c r="CK349" s="883"/>
      <c r="CL349" s="883"/>
      <c r="CM349" s="883"/>
      <c r="CN349" s="883"/>
      <c r="CO349" s="883"/>
      <c r="CP349" s="883"/>
      <c r="CQ349" s="883"/>
      <c r="CR349" s="883"/>
      <c r="CS349" s="883"/>
      <c r="CT349" s="883"/>
      <c r="CU349" s="883"/>
      <c r="CV349" s="863"/>
      <c r="CW349" s="863"/>
      <c r="CX349" s="863"/>
      <c r="CY349" s="863"/>
      <c r="CZ349" s="863"/>
      <c r="DA349" s="863"/>
      <c r="DB349" s="863"/>
      <c r="DC349" s="863"/>
      <c r="DD349" s="863"/>
      <c r="DE349" s="863"/>
    </row>
    <row r="350">
      <c r="A350" s="876"/>
      <c r="B350" s="876"/>
      <c r="C350" s="876"/>
      <c r="D350" s="876"/>
      <c r="E350" s="876"/>
      <c r="F350" s="876"/>
      <c r="G350" s="876"/>
      <c r="H350" s="876"/>
      <c r="I350" s="876"/>
      <c r="J350" s="876"/>
      <c r="K350" s="876"/>
      <c r="L350" s="876"/>
      <c r="M350" s="876"/>
      <c r="N350" s="877"/>
      <c r="O350" s="876"/>
      <c r="P350" s="876"/>
      <c r="Q350" s="876"/>
      <c r="R350" s="876"/>
      <c r="S350" s="876"/>
      <c r="T350" s="876"/>
      <c r="U350" s="876"/>
      <c r="V350" s="876"/>
      <c r="W350" s="876"/>
      <c r="X350" s="876"/>
      <c r="Y350" s="876"/>
      <c r="Z350" s="876"/>
      <c r="AA350" s="876"/>
      <c r="AB350" s="876"/>
      <c r="AC350" s="876"/>
      <c r="AD350" s="876"/>
      <c r="AE350" s="876"/>
      <c r="AF350" s="876"/>
      <c r="AG350" s="876"/>
      <c r="AH350" s="876"/>
      <c r="AI350" s="878"/>
      <c r="AJ350" s="880"/>
      <c r="AK350" s="880"/>
      <c r="AL350" s="880"/>
      <c r="AM350" s="880"/>
      <c r="AN350" s="880"/>
      <c r="AO350" s="880"/>
      <c r="AP350" s="880"/>
      <c r="AQ350" s="880"/>
      <c r="AR350" s="880"/>
      <c r="AS350" s="880"/>
      <c r="AT350" s="880"/>
      <c r="AU350" s="880"/>
      <c r="AV350" s="880"/>
      <c r="AW350" s="881"/>
      <c r="AX350" s="863"/>
      <c r="AY350" s="863"/>
      <c r="AZ350" s="863"/>
      <c r="BA350" s="863"/>
      <c r="BB350" s="863"/>
      <c r="BC350" s="863"/>
      <c r="BD350" s="863"/>
      <c r="BE350" s="863"/>
      <c r="BF350" s="863"/>
      <c r="BG350" s="863"/>
      <c r="BH350" s="863"/>
      <c r="BI350" s="863"/>
      <c r="BJ350" s="863"/>
      <c r="BK350" s="863"/>
      <c r="BL350" s="863"/>
      <c r="BM350" s="863"/>
      <c r="BN350" s="863"/>
      <c r="BO350" s="863"/>
      <c r="BP350" s="880"/>
      <c r="BQ350" s="863"/>
      <c r="BR350" s="883" t="str">
        <f>IFERROR(__xludf.DUMMYFUNCTION("""COMPUTED_VALUE"""),"Cabada")</f>
        <v>Cabada</v>
      </c>
      <c r="BS350" s="883" t="str">
        <f>IFERROR(__xludf.DUMMYFUNCTION("""COMPUTED_VALUE"""),"Peru")</f>
        <v>Peru</v>
      </c>
      <c r="BT350" s="883"/>
      <c r="BU350" s="883"/>
      <c r="BV350" s="883"/>
      <c r="BW350" s="883"/>
      <c r="BX350" s="883"/>
      <c r="BY350" s="883"/>
      <c r="BZ350" s="883"/>
      <c r="CA350" s="883"/>
      <c r="CB350" s="883"/>
      <c r="CC350" s="883"/>
      <c r="CD350" s="884"/>
      <c r="CE350" s="883"/>
      <c r="CF350" s="883"/>
      <c r="CG350" s="883"/>
      <c r="CH350" s="883"/>
      <c r="CI350" s="883"/>
      <c r="CJ350" s="883"/>
      <c r="CK350" s="883"/>
      <c r="CL350" s="883"/>
      <c r="CM350" s="883"/>
      <c r="CN350" s="883"/>
      <c r="CO350" s="883"/>
      <c r="CP350" s="883"/>
      <c r="CQ350" s="883"/>
      <c r="CR350" s="883"/>
      <c r="CS350" s="883"/>
      <c r="CT350" s="883"/>
      <c r="CU350" s="883"/>
      <c r="CV350" s="863"/>
      <c r="CW350" s="863"/>
      <c r="CX350" s="863"/>
      <c r="CY350" s="863"/>
      <c r="CZ350" s="863"/>
      <c r="DA350" s="863"/>
      <c r="DB350" s="863"/>
      <c r="DC350" s="863"/>
      <c r="DD350" s="863"/>
      <c r="DE350" s="863"/>
    </row>
    <row r="351">
      <c r="A351" s="876"/>
      <c r="B351" s="876"/>
      <c r="C351" s="876"/>
      <c r="D351" s="876"/>
      <c r="E351" s="876"/>
      <c r="F351" s="876"/>
      <c r="G351" s="876"/>
      <c r="H351" s="876"/>
      <c r="I351" s="876"/>
      <c r="J351" s="876"/>
      <c r="K351" s="876"/>
      <c r="L351" s="876"/>
      <c r="M351" s="876"/>
      <c r="N351" s="877"/>
      <c r="O351" s="876"/>
      <c r="P351" s="876"/>
      <c r="Q351" s="876"/>
      <c r="R351" s="876"/>
      <c r="S351" s="876"/>
      <c r="T351" s="876"/>
      <c r="U351" s="876"/>
      <c r="V351" s="876"/>
      <c r="W351" s="876"/>
      <c r="X351" s="876"/>
      <c r="Y351" s="876"/>
      <c r="Z351" s="876"/>
      <c r="AA351" s="876"/>
      <c r="AB351" s="876"/>
      <c r="AC351" s="876"/>
      <c r="AD351" s="876"/>
      <c r="AE351" s="876"/>
      <c r="AF351" s="876"/>
      <c r="AG351" s="876"/>
      <c r="AH351" s="876"/>
      <c r="AI351" s="878"/>
      <c r="AJ351" s="880"/>
      <c r="AK351" s="880"/>
      <c r="AL351" s="880"/>
      <c r="AM351" s="880"/>
      <c r="AN351" s="880"/>
      <c r="AO351" s="880"/>
      <c r="AP351" s="880"/>
      <c r="AQ351" s="880"/>
      <c r="AR351" s="880"/>
      <c r="AS351" s="880"/>
      <c r="AT351" s="880"/>
      <c r="AU351" s="880"/>
      <c r="AV351" s="880"/>
      <c r="AW351" s="881"/>
      <c r="AX351" s="863"/>
      <c r="AY351" s="863"/>
      <c r="AZ351" s="863"/>
      <c r="BA351" s="863"/>
      <c r="BB351" s="863"/>
      <c r="BC351" s="863"/>
      <c r="BD351" s="863"/>
      <c r="BE351" s="863"/>
      <c r="BF351" s="863"/>
      <c r="BG351" s="863"/>
      <c r="BH351" s="863"/>
      <c r="BI351" s="863"/>
      <c r="BJ351" s="863"/>
      <c r="BK351" s="863"/>
      <c r="BL351" s="863"/>
      <c r="BM351" s="863"/>
      <c r="BN351" s="863"/>
      <c r="BO351" s="863"/>
      <c r="BP351" s="880"/>
      <c r="BQ351" s="863"/>
      <c r="BR351" s="883" t="str">
        <f>IFERROR(__xludf.DUMMYFUNCTION("""COMPUTED_VALUE"""),"Kimura")</f>
        <v>Kimura</v>
      </c>
      <c r="BS351" s="883" t="str">
        <f>IFERROR(__xludf.DUMMYFUNCTION("""COMPUTED_VALUE"""),"Samoa")</f>
        <v>Samoa</v>
      </c>
      <c r="BT351" s="883"/>
      <c r="BU351" s="883"/>
      <c r="BV351" s="883"/>
      <c r="BW351" s="883"/>
      <c r="BX351" s="883"/>
      <c r="BY351" s="883"/>
      <c r="BZ351" s="883"/>
      <c r="CA351" s="883"/>
      <c r="CB351" s="883"/>
      <c r="CC351" s="883"/>
      <c r="CD351" s="884"/>
      <c r="CE351" s="883"/>
      <c r="CF351" s="883"/>
      <c r="CG351" s="883"/>
      <c r="CH351" s="883"/>
      <c r="CI351" s="883"/>
      <c r="CJ351" s="883"/>
      <c r="CK351" s="883"/>
      <c r="CL351" s="883"/>
      <c r="CM351" s="883"/>
      <c r="CN351" s="883"/>
      <c r="CO351" s="883"/>
      <c r="CP351" s="883"/>
      <c r="CQ351" s="883"/>
      <c r="CR351" s="883"/>
      <c r="CS351" s="883"/>
      <c r="CT351" s="883"/>
      <c r="CU351" s="883"/>
      <c r="CV351" s="863"/>
      <c r="CW351" s="863"/>
      <c r="CX351" s="863"/>
      <c r="CY351" s="863"/>
      <c r="CZ351" s="863"/>
      <c r="DA351" s="863"/>
      <c r="DB351" s="863"/>
      <c r="DC351" s="863"/>
      <c r="DD351" s="863"/>
      <c r="DE351" s="863"/>
    </row>
    <row r="352">
      <c r="A352" s="876"/>
      <c r="B352" s="876"/>
      <c r="C352" s="876"/>
      <c r="D352" s="876"/>
      <c r="E352" s="876"/>
      <c r="F352" s="876"/>
      <c r="G352" s="876"/>
      <c r="H352" s="876"/>
      <c r="I352" s="876"/>
      <c r="J352" s="876"/>
      <c r="K352" s="876"/>
      <c r="L352" s="876"/>
      <c r="M352" s="876"/>
      <c r="N352" s="877"/>
      <c r="O352" s="876"/>
      <c r="P352" s="876"/>
      <c r="Q352" s="876"/>
      <c r="R352" s="876"/>
      <c r="S352" s="876"/>
      <c r="T352" s="876"/>
      <c r="U352" s="876"/>
      <c r="V352" s="876"/>
      <c r="W352" s="876"/>
      <c r="X352" s="876"/>
      <c r="Y352" s="876"/>
      <c r="Z352" s="876"/>
      <c r="AA352" s="876"/>
      <c r="AB352" s="876"/>
      <c r="AC352" s="876"/>
      <c r="AD352" s="876"/>
      <c r="AE352" s="876"/>
      <c r="AF352" s="876"/>
      <c r="AG352" s="876"/>
      <c r="AH352" s="876"/>
      <c r="AI352" s="878"/>
      <c r="AJ352" s="880"/>
      <c r="AK352" s="880"/>
      <c r="AL352" s="880"/>
      <c r="AM352" s="880"/>
      <c r="AN352" s="880"/>
      <c r="AO352" s="880"/>
      <c r="AP352" s="880"/>
      <c r="AQ352" s="880"/>
      <c r="AR352" s="880"/>
      <c r="AS352" s="880"/>
      <c r="AT352" s="880"/>
      <c r="AU352" s="880"/>
      <c r="AV352" s="880"/>
      <c r="AW352" s="881"/>
      <c r="AX352" s="863"/>
      <c r="AY352" s="863"/>
      <c r="AZ352" s="863"/>
      <c r="BA352" s="863"/>
      <c r="BB352" s="863"/>
      <c r="BC352" s="863"/>
      <c r="BD352" s="863"/>
      <c r="BE352" s="863"/>
      <c r="BF352" s="863"/>
      <c r="BG352" s="863"/>
      <c r="BH352" s="863"/>
      <c r="BI352" s="863"/>
      <c r="BJ352" s="863"/>
      <c r="BK352" s="863"/>
      <c r="BL352" s="863"/>
      <c r="BM352" s="863"/>
      <c r="BN352" s="863"/>
      <c r="BO352" s="863"/>
      <c r="BP352" s="880"/>
      <c r="BQ352" s="863"/>
      <c r="BR352" s="883" t="str">
        <f>IFERROR(__xludf.DUMMYFUNCTION("""COMPUTED_VALUE"""),"Kimura")</f>
        <v>Kimura</v>
      </c>
      <c r="BS352" s="883" t="str">
        <f>IFERROR(__xludf.DUMMYFUNCTION("""COMPUTED_VALUE"""),"Samoa")</f>
        <v>Samoa</v>
      </c>
      <c r="BT352" s="883"/>
      <c r="BU352" s="883"/>
      <c r="BV352" s="883"/>
      <c r="BW352" s="883"/>
      <c r="BX352" s="883"/>
      <c r="BY352" s="883"/>
      <c r="BZ352" s="883"/>
      <c r="CA352" s="883"/>
      <c r="CB352" s="883"/>
      <c r="CC352" s="883"/>
      <c r="CD352" s="884"/>
      <c r="CE352" s="883"/>
      <c r="CF352" s="883"/>
      <c r="CG352" s="883"/>
      <c r="CH352" s="883"/>
      <c r="CI352" s="883"/>
      <c r="CJ352" s="883"/>
      <c r="CK352" s="883"/>
      <c r="CL352" s="883"/>
      <c r="CM352" s="883"/>
      <c r="CN352" s="883"/>
      <c r="CO352" s="883"/>
      <c r="CP352" s="883"/>
      <c r="CQ352" s="883"/>
      <c r="CR352" s="883"/>
      <c r="CS352" s="883"/>
      <c r="CT352" s="883"/>
      <c r="CU352" s="883"/>
      <c r="CV352" s="863"/>
      <c r="CW352" s="863"/>
      <c r="CX352" s="863"/>
      <c r="CY352" s="863"/>
      <c r="CZ352" s="863"/>
      <c r="DA352" s="863"/>
      <c r="DB352" s="863"/>
      <c r="DC352" s="863"/>
      <c r="DD352" s="863"/>
      <c r="DE352" s="863"/>
    </row>
    <row r="353">
      <c r="A353" s="876"/>
      <c r="B353" s="876"/>
      <c r="C353" s="876"/>
      <c r="D353" s="876"/>
      <c r="E353" s="876"/>
      <c r="F353" s="876"/>
      <c r="G353" s="876"/>
      <c r="H353" s="876"/>
      <c r="I353" s="876"/>
      <c r="J353" s="876"/>
      <c r="K353" s="876"/>
      <c r="L353" s="876"/>
      <c r="M353" s="876"/>
      <c r="N353" s="877"/>
      <c r="O353" s="876"/>
      <c r="P353" s="876"/>
      <c r="Q353" s="876"/>
      <c r="R353" s="876"/>
      <c r="S353" s="876"/>
      <c r="T353" s="876"/>
      <c r="U353" s="876"/>
      <c r="V353" s="876"/>
      <c r="W353" s="876"/>
      <c r="X353" s="876"/>
      <c r="Y353" s="876"/>
      <c r="Z353" s="876"/>
      <c r="AA353" s="876"/>
      <c r="AB353" s="876"/>
      <c r="AC353" s="876"/>
      <c r="AD353" s="876"/>
      <c r="AE353" s="876"/>
      <c r="AF353" s="876"/>
      <c r="AG353" s="876"/>
      <c r="AH353" s="876"/>
      <c r="AI353" s="878"/>
      <c r="AJ353" s="880"/>
      <c r="AK353" s="880"/>
      <c r="AL353" s="880"/>
      <c r="AM353" s="880"/>
      <c r="AN353" s="880"/>
      <c r="AO353" s="880"/>
      <c r="AP353" s="880"/>
      <c r="AQ353" s="880"/>
      <c r="AR353" s="880"/>
      <c r="AS353" s="880"/>
      <c r="AT353" s="880"/>
      <c r="AU353" s="880"/>
      <c r="AV353" s="880"/>
      <c r="AW353" s="881"/>
      <c r="AX353" s="863"/>
      <c r="AY353" s="863"/>
      <c r="AZ353" s="863"/>
      <c r="BA353" s="863"/>
      <c r="BB353" s="863"/>
      <c r="BC353" s="863"/>
      <c r="BD353" s="863"/>
      <c r="BE353" s="863"/>
      <c r="BF353" s="863"/>
      <c r="BG353" s="863"/>
      <c r="BH353" s="863"/>
      <c r="BI353" s="863"/>
      <c r="BJ353" s="863"/>
      <c r="BK353" s="863"/>
      <c r="BL353" s="863"/>
      <c r="BM353" s="863"/>
      <c r="BN353" s="863"/>
      <c r="BO353" s="863"/>
      <c r="BP353" s="880"/>
      <c r="BQ353" s="863"/>
      <c r="BR353" s="883" t="str">
        <f>IFERROR(__xludf.DUMMYFUNCTION("""COMPUTED_VALUE"""),"Komora")</f>
        <v>Komora</v>
      </c>
      <c r="BS353" s="883" t="str">
        <f>IFERROR(__xludf.DUMMYFUNCTION("""COMPUTED_VALUE"""),"Sierra Leone")</f>
        <v>Sierra Leone</v>
      </c>
      <c r="BT353" s="883"/>
      <c r="BU353" s="883"/>
      <c r="BV353" s="883"/>
      <c r="BW353" s="883"/>
      <c r="BX353" s="883"/>
      <c r="BY353" s="883"/>
      <c r="BZ353" s="883"/>
      <c r="CA353" s="883"/>
      <c r="CB353" s="883"/>
      <c r="CC353" s="883"/>
      <c r="CD353" s="884"/>
      <c r="CE353" s="883"/>
      <c r="CF353" s="883"/>
      <c r="CG353" s="883"/>
      <c r="CH353" s="883"/>
      <c r="CI353" s="883"/>
      <c r="CJ353" s="883"/>
      <c r="CK353" s="883"/>
      <c r="CL353" s="883"/>
      <c r="CM353" s="883"/>
      <c r="CN353" s="883"/>
      <c r="CO353" s="883"/>
      <c r="CP353" s="883"/>
      <c r="CQ353" s="883"/>
      <c r="CR353" s="883"/>
      <c r="CS353" s="883"/>
      <c r="CT353" s="883"/>
      <c r="CU353" s="883"/>
      <c r="CV353" s="863"/>
      <c r="CW353" s="863"/>
      <c r="CX353" s="863"/>
      <c r="CY353" s="863"/>
      <c r="CZ353" s="863"/>
      <c r="DA353" s="863"/>
      <c r="DB353" s="863"/>
      <c r="DC353" s="863"/>
      <c r="DD353" s="863"/>
      <c r="DE353" s="863"/>
    </row>
    <row r="354">
      <c r="A354" s="876"/>
      <c r="B354" s="876"/>
      <c r="C354" s="876"/>
      <c r="D354" s="876"/>
      <c r="E354" s="876"/>
      <c r="F354" s="876"/>
      <c r="G354" s="876"/>
      <c r="H354" s="876"/>
      <c r="I354" s="876"/>
      <c r="J354" s="876"/>
      <c r="K354" s="876"/>
      <c r="L354" s="876"/>
      <c r="M354" s="876"/>
      <c r="N354" s="877"/>
      <c r="O354" s="876"/>
      <c r="P354" s="876"/>
      <c r="Q354" s="876"/>
      <c r="R354" s="876"/>
      <c r="S354" s="876"/>
      <c r="T354" s="876"/>
      <c r="U354" s="876"/>
      <c r="V354" s="876"/>
      <c r="W354" s="876"/>
      <c r="X354" s="876"/>
      <c r="Y354" s="876"/>
      <c r="Z354" s="876"/>
      <c r="AA354" s="876"/>
      <c r="AB354" s="876"/>
      <c r="AC354" s="876"/>
      <c r="AD354" s="876"/>
      <c r="AE354" s="876"/>
      <c r="AF354" s="876"/>
      <c r="AG354" s="876"/>
      <c r="AH354" s="876"/>
      <c r="AI354" s="878"/>
      <c r="AJ354" s="880"/>
      <c r="AK354" s="880"/>
      <c r="AL354" s="880"/>
      <c r="AM354" s="880"/>
      <c r="AN354" s="880"/>
      <c r="AO354" s="880"/>
      <c r="AP354" s="880"/>
      <c r="AQ354" s="880"/>
      <c r="AR354" s="880"/>
      <c r="AS354" s="880"/>
      <c r="AT354" s="880"/>
      <c r="AU354" s="880"/>
      <c r="AV354" s="880"/>
      <c r="AW354" s="881"/>
      <c r="AX354" s="863"/>
      <c r="AY354" s="863"/>
      <c r="AZ354" s="863"/>
      <c r="BA354" s="863"/>
      <c r="BB354" s="863"/>
      <c r="BC354" s="863"/>
      <c r="BD354" s="863"/>
      <c r="BE354" s="863"/>
      <c r="BF354" s="863"/>
      <c r="BG354" s="863"/>
      <c r="BH354" s="863"/>
      <c r="BI354" s="863"/>
      <c r="BJ354" s="863"/>
      <c r="BK354" s="863"/>
      <c r="BL354" s="863"/>
      <c r="BM354" s="863"/>
      <c r="BN354" s="863"/>
      <c r="BO354" s="863"/>
      <c r="BP354" s="880"/>
      <c r="BQ354" s="863"/>
      <c r="BR354" s="883"/>
      <c r="BS354" s="883"/>
      <c r="BT354" s="883"/>
      <c r="BU354" s="883"/>
      <c r="BV354" s="883"/>
      <c r="BW354" s="883"/>
      <c r="BX354" s="883"/>
      <c r="BY354" s="883"/>
      <c r="BZ354" s="883"/>
      <c r="CA354" s="883"/>
      <c r="CB354" s="883"/>
      <c r="CC354" s="883"/>
      <c r="CD354" s="884"/>
      <c r="CE354" s="883"/>
      <c r="CF354" s="883"/>
      <c r="CG354" s="883"/>
      <c r="CH354" s="883"/>
      <c r="CI354" s="883"/>
      <c r="CJ354" s="883"/>
      <c r="CK354" s="883"/>
      <c r="CL354" s="883"/>
      <c r="CM354" s="883"/>
      <c r="CN354" s="883"/>
      <c r="CO354" s="883"/>
      <c r="CP354" s="883"/>
      <c r="CQ354" s="883"/>
      <c r="CR354" s="883"/>
      <c r="CS354" s="883"/>
      <c r="CT354" s="883"/>
      <c r="CU354" s="883"/>
      <c r="CV354" s="863"/>
      <c r="CW354" s="863"/>
      <c r="CX354" s="863"/>
      <c r="CY354" s="863"/>
      <c r="CZ354" s="863"/>
      <c r="DA354" s="863"/>
      <c r="DB354" s="863"/>
      <c r="DC354" s="863"/>
      <c r="DD354" s="863"/>
      <c r="DE354" s="863"/>
    </row>
    <row r="355">
      <c r="A355" s="876"/>
      <c r="B355" s="876"/>
      <c r="C355" s="876"/>
      <c r="D355" s="876"/>
      <c r="E355" s="876"/>
      <c r="F355" s="876"/>
      <c r="G355" s="876"/>
      <c r="H355" s="876"/>
      <c r="I355" s="876"/>
      <c r="J355" s="876"/>
      <c r="K355" s="876"/>
      <c r="L355" s="876"/>
      <c r="M355" s="876"/>
      <c r="N355" s="877"/>
      <c r="O355" s="876"/>
      <c r="P355" s="876"/>
      <c r="Q355" s="876"/>
      <c r="R355" s="876"/>
      <c r="S355" s="876"/>
      <c r="T355" s="876"/>
      <c r="U355" s="876"/>
      <c r="V355" s="876"/>
      <c r="W355" s="876"/>
      <c r="X355" s="876"/>
      <c r="Y355" s="876"/>
      <c r="Z355" s="876"/>
      <c r="AA355" s="876"/>
      <c r="AB355" s="876"/>
      <c r="AC355" s="876"/>
      <c r="AD355" s="876"/>
      <c r="AE355" s="876"/>
      <c r="AF355" s="876"/>
      <c r="AG355" s="876"/>
      <c r="AH355" s="876"/>
      <c r="AI355" s="878"/>
      <c r="AJ355" s="880"/>
      <c r="AK355" s="880"/>
      <c r="AL355" s="880"/>
      <c r="AM355" s="880"/>
      <c r="AN355" s="880"/>
      <c r="AO355" s="880"/>
      <c r="AP355" s="880"/>
      <c r="AQ355" s="880"/>
      <c r="AR355" s="880"/>
      <c r="AS355" s="880"/>
      <c r="AT355" s="880"/>
      <c r="AU355" s="880"/>
      <c r="AV355" s="880"/>
      <c r="AW355" s="881"/>
      <c r="AX355" s="863"/>
      <c r="AY355" s="863"/>
      <c r="AZ355" s="863"/>
      <c r="BA355" s="863"/>
      <c r="BB355" s="863"/>
      <c r="BC355" s="863"/>
      <c r="BD355" s="863"/>
      <c r="BE355" s="863"/>
      <c r="BF355" s="863"/>
      <c r="BG355" s="863"/>
      <c r="BH355" s="863"/>
      <c r="BI355" s="863"/>
      <c r="BJ355" s="863"/>
      <c r="BK355" s="863"/>
      <c r="BL355" s="863"/>
      <c r="BM355" s="863"/>
      <c r="BN355" s="863"/>
      <c r="BO355" s="863"/>
      <c r="BP355" s="880"/>
      <c r="BQ355" s="863"/>
      <c r="BR355" s="883"/>
      <c r="BS355" s="883"/>
      <c r="BT355" s="883"/>
      <c r="BU355" s="883"/>
      <c r="BV355" s="883"/>
      <c r="BW355" s="883"/>
      <c r="BX355" s="883"/>
      <c r="BY355" s="883"/>
      <c r="BZ355" s="883"/>
      <c r="CA355" s="883"/>
      <c r="CB355" s="883"/>
      <c r="CC355" s="883"/>
      <c r="CD355" s="884"/>
      <c r="CE355" s="883"/>
      <c r="CF355" s="883"/>
      <c r="CG355" s="883"/>
      <c r="CH355" s="883"/>
      <c r="CI355" s="883"/>
      <c r="CJ355" s="883"/>
      <c r="CK355" s="883"/>
      <c r="CL355" s="883"/>
      <c r="CM355" s="883"/>
      <c r="CN355" s="883"/>
      <c r="CO355" s="883"/>
      <c r="CP355" s="883"/>
      <c r="CQ355" s="883"/>
      <c r="CR355" s="883"/>
      <c r="CS355" s="883"/>
      <c r="CT355" s="883"/>
      <c r="CU355" s="883"/>
      <c r="CV355" s="863"/>
      <c r="CW355" s="863"/>
      <c r="CX355" s="863"/>
      <c r="CY355" s="863"/>
      <c r="CZ355" s="863"/>
      <c r="DA355" s="863"/>
      <c r="DB355" s="863"/>
      <c r="DC355" s="863"/>
      <c r="DD355" s="863"/>
      <c r="DE355" s="863"/>
    </row>
    <row r="356">
      <c r="A356" s="876"/>
      <c r="B356" s="876"/>
      <c r="C356" s="876"/>
      <c r="D356" s="876"/>
      <c r="E356" s="876"/>
      <c r="F356" s="876"/>
      <c r="G356" s="876"/>
      <c r="H356" s="876"/>
      <c r="I356" s="876"/>
      <c r="J356" s="876"/>
      <c r="K356" s="876"/>
      <c r="L356" s="876"/>
      <c r="M356" s="876"/>
      <c r="N356" s="877"/>
      <c r="O356" s="876"/>
      <c r="P356" s="876"/>
      <c r="Q356" s="876"/>
      <c r="R356" s="876"/>
      <c r="S356" s="876"/>
      <c r="T356" s="876"/>
      <c r="U356" s="876"/>
      <c r="V356" s="876"/>
      <c r="W356" s="876"/>
      <c r="X356" s="876"/>
      <c r="Y356" s="876"/>
      <c r="Z356" s="876"/>
      <c r="AA356" s="876"/>
      <c r="AB356" s="876"/>
      <c r="AC356" s="876"/>
      <c r="AD356" s="876"/>
      <c r="AE356" s="876"/>
      <c r="AF356" s="876"/>
      <c r="AG356" s="876"/>
      <c r="AH356" s="876"/>
      <c r="AI356" s="878"/>
      <c r="AJ356" s="880"/>
      <c r="AK356" s="880"/>
      <c r="AL356" s="880"/>
      <c r="AM356" s="880"/>
      <c r="AN356" s="880"/>
      <c r="AO356" s="880"/>
      <c r="AP356" s="880"/>
      <c r="AQ356" s="880"/>
      <c r="AR356" s="880"/>
      <c r="AS356" s="880"/>
      <c r="AT356" s="880"/>
      <c r="AU356" s="880"/>
      <c r="AV356" s="880"/>
      <c r="AW356" s="881"/>
      <c r="AX356" s="863"/>
      <c r="AY356" s="863"/>
      <c r="AZ356" s="863"/>
      <c r="BA356" s="863"/>
      <c r="BB356" s="863"/>
      <c r="BC356" s="863"/>
      <c r="BD356" s="863"/>
      <c r="BE356" s="863"/>
      <c r="BF356" s="863"/>
      <c r="BG356" s="863"/>
      <c r="BH356" s="863"/>
      <c r="BI356" s="863"/>
      <c r="BJ356" s="863"/>
      <c r="BK356" s="863"/>
      <c r="BL356" s="863"/>
      <c r="BM356" s="863"/>
      <c r="BN356" s="863"/>
      <c r="BO356" s="863"/>
      <c r="BP356" s="880"/>
      <c r="BQ356" s="863"/>
      <c r="BR356" s="883" t="str">
        <f>IFERROR(__xludf.DUMMYFUNCTION("""COMPUTED_VALUE"""),"MDA's (exclude)")</f>
        <v>MDA's (exclude)</v>
      </c>
      <c r="BS356" s="883"/>
      <c r="BT356" s="883"/>
      <c r="BU356" s="883"/>
      <c r="BV356" s="883"/>
      <c r="BW356" s="883"/>
      <c r="BX356" s="883"/>
      <c r="BY356" s="883"/>
      <c r="BZ356" s="883"/>
      <c r="CA356" s="883"/>
      <c r="CB356" s="883"/>
      <c r="CC356" s="883"/>
      <c r="CD356" s="884"/>
      <c r="CE356" s="883"/>
      <c r="CF356" s="883"/>
      <c r="CG356" s="883"/>
      <c r="CH356" s="883"/>
      <c r="CI356" s="883"/>
      <c r="CJ356" s="883"/>
      <c r="CK356" s="883"/>
      <c r="CL356" s="883"/>
      <c r="CM356" s="883"/>
      <c r="CN356" s="883"/>
      <c r="CO356" s="883"/>
      <c r="CP356" s="883"/>
      <c r="CQ356" s="883"/>
      <c r="CR356" s="883"/>
      <c r="CS356" s="883"/>
      <c r="CT356" s="883"/>
      <c r="CU356" s="883"/>
      <c r="CV356" s="863"/>
      <c r="CW356" s="863"/>
      <c r="CX356" s="863"/>
      <c r="CY356" s="863"/>
      <c r="CZ356" s="863"/>
      <c r="DA356" s="863"/>
      <c r="DB356" s="863"/>
      <c r="DC356" s="863"/>
      <c r="DD356" s="863"/>
      <c r="DE356" s="863"/>
    </row>
    <row r="357">
      <c r="A357" s="876"/>
      <c r="B357" s="876"/>
      <c r="C357" s="876"/>
      <c r="D357" s="876"/>
      <c r="E357" s="876"/>
      <c r="F357" s="876"/>
      <c r="G357" s="876"/>
      <c r="H357" s="876"/>
      <c r="I357" s="876"/>
      <c r="J357" s="876"/>
      <c r="K357" s="876"/>
      <c r="L357" s="876"/>
      <c r="M357" s="876"/>
      <c r="N357" s="877"/>
      <c r="O357" s="876"/>
      <c r="P357" s="876"/>
      <c r="Q357" s="876"/>
      <c r="R357" s="876"/>
      <c r="S357" s="876"/>
      <c r="T357" s="876"/>
      <c r="U357" s="876"/>
      <c r="V357" s="876"/>
      <c r="W357" s="876"/>
      <c r="X357" s="876"/>
      <c r="Y357" s="876"/>
      <c r="Z357" s="876"/>
      <c r="AA357" s="876"/>
      <c r="AB357" s="876"/>
      <c r="AC357" s="876"/>
      <c r="AD357" s="876"/>
      <c r="AE357" s="876"/>
      <c r="AF357" s="876"/>
      <c r="AG357" s="876"/>
      <c r="AH357" s="876"/>
      <c r="AI357" s="878"/>
      <c r="AJ357" s="880"/>
      <c r="AK357" s="880"/>
      <c r="AL357" s="880"/>
      <c r="AM357" s="880"/>
      <c r="AN357" s="880"/>
      <c r="AO357" s="880"/>
      <c r="AP357" s="880"/>
      <c r="AQ357" s="880"/>
      <c r="AR357" s="880"/>
      <c r="AS357" s="880"/>
      <c r="AT357" s="880"/>
      <c r="AU357" s="880"/>
      <c r="AV357" s="880"/>
      <c r="AW357" s="881"/>
      <c r="AX357" s="863"/>
      <c r="AY357" s="863"/>
      <c r="AZ357" s="863"/>
      <c r="BA357" s="863"/>
      <c r="BB357" s="863"/>
      <c r="BC357" s="863"/>
      <c r="BD357" s="863"/>
      <c r="BE357" s="863"/>
      <c r="BF357" s="863"/>
      <c r="BG357" s="863"/>
      <c r="BH357" s="863"/>
      <c r="BI357" s="863"/>
      <c r="BJ357" s="863"/>
      <c r="BK357" s="863"/>
      <c r="BL357" s="863"/>
      <c r="BM357" s="863"/>
      <c r="BN357" s="863"/>
      <c r="BO357" s="863"/>
      <c r="BP357" s="880"/>
      <c r="BQ357" s="863"/>
      <c r="BR357" s="889" t="str">
        <f>IFERROR(__xludf.DUMMYFUNCTION("""COMPUTED_VALUE"""),"Vlaminck et al.")</f>
        <v>Vlaminck et al.</v>
      </c>
      <c r="BS357" s="883" t="str">
        <f>IFERROR(__xludf.DUMMYFUNCTION("""COMPUTED_VALUE"""),"Indonesia")</f>
        <v>Indonesia</v>
      </c>
      <c r="BT357" s="883" t="str">
        <f>IFERROR(__xludf.DUMMYFUNCTION("""COMPUTED_VALUE"""),"Albendazole &amp; DiethylCarbamazine")</f>
        <v>Albendazole &amp; DiethylCarbamazine</v>
      </c>
      <c r="BU357" s="883"/>
      <c r="BV357" s="883"/>
      <c r="BW357" s="883"/>
      <c r="BX357" s="883">
        <f>IFERROR(__xludf.DUMMYFUNCTION("""COMPUTED_VALUE"""),599.0)</f>
        <v>599</v>
      </c>
      <c r="BY357" s="883"/>
      <c r="BZ357" s="883"/>
      <c r="CA357" s="883"/>
      <c r="CB357" s="883"/>
      <c r="CC357" s="883"/>
      <c r="CD357" s="884"/>
      <c r="CE357" s="883"/>
      <c r="CF357" s="883"/>
      <c r="CG357" s="883"/>
      <c r="CH357" s="883"/>
      <c r="CI357" s="883"/>
      <c r="CJ357" s="883"/>
      <c r="CK357" s="883"/>
      <c r="CL357" s="883"/>
      <c r="CM357" s="883"/>
      <c r="CN357" s="883"/>
      <c r="CO357" s="883"/>
      <c r="CP357" s="883"/>
      <c r="CQ357" s="883"/>
      <c r="CR357" s="883"/>
      <c r="CS357" s="883" t="str">
        <f>IFERROR(__xludf.DUMMYFUNCTION("""COMPUTED_VALUE"""),"IgG4 antibody levels to AsHb appear to reflect recent exposure to Ascaris. The antibody prevalence rate may be a useful indicator for Ascaris transmission intensity in communities that can be used to assess the impact of control measures on the force of t"&amp;"ransmission.
 ")</f>
        <v>IgG4 antibody levels to AsHb appear to reflect recent exposure to Ascaris. The antibody prevalence rate may be a useful indicator for Ascaris transmission intensity in communities that can be used to assess the impact of control measures on the force of transmission.
 </v>
      </c>
      <c r="CT357" s="883"/>
      <c r="CU357" s="883" t="str">
        <f>IFERROR(__xludf.DUMMYFUNCTION("""COMPUTED_VALUE"""),"x")</f>
        <v>x</v>
      </c>
      <c r="CV357" s="863"/>
      <c r="CW357" s="863"/>
      <c r="CX357" s="863"/>
      <c r="CY357" s="863"/>
      <c r="CZ357" s="863"/>
      <c r="DA357" s="863"/>
      <c r="DB357" s="863"/>
      <c r="DC357" s="863"/>
      <c r="DD357" s="863"/>
      <c r="DE357" s="863"/>
    </row>
    <row r="358">
      <c r="A358" s="876"/>
      <c r="B358" s="876"/>
      <c r="C358" s="876"/>
      <c r="D358" s="876"/>
      <c r="E358" s="876"/>
      <c r="F358" s="876"/>
      <c r="G358" s="876"/>
      <c r="H358" s="876"/>
      <c r="I358" s="876"/>
      <c r="J358" s="876"/>
      <c r="K358" s="876"/>
      <c r="L358" s="876"/>
      <c r="M358" s="876"/>
      <c r="N358" s="877"/>
      <c r="O358" s="876"/>
      <c r="P358" s="876"/>
      <c r="Q358" s="876"/>
      <c r="R358" s="876"/>
      <c r="S358" s="876"/>
      <c r="T358" s="876"/>
      <c r="U358" s="876"/>
      <c r="V358" s="876"/>
      <c r="W358" s="876"/>
      <c r="X358" s="876"/>
      <c r="Y358" s="876"/>
      <c r="Z358" s="876"/>
      <c r="AA358" s="876"/>
      <c r="AB358" s="876"/>
      <c r="AC358" s="876"/>
      <c r="AD358" s="876"/>
      <c r="AE358" s="876"/>
      <c r="AF358" s="876"/>
      <c r="AG358" s="876"/>
      <c r="AH358" s="876"/>
      <c r="AI358" s="878"/>
      <c r="AJ358" s="880"/>
      <c r="AK358" s="880"/>
      <c r="AL358" s="880"/>
      <c r="AM358" s="880"/>
      <c r="AN358" s="880"/>
      <c r="AO358" s="880"/>
      <c r="AP358" s="880"/>
      <c r="AQ358" s="880"/>
      <c r="AR358" s="880"/>
      <c r="AS358" s="880"/>
      <c r="AT358" s="880"/>
      <c r="AU358" s="880"/>
      <c r="AV358" s="880"/>
      <c r="AW358" s="881"/>
      <c r="AX358" s="863"/>
      <c r="AY358" s="863"/>
      <c r="AZ358" s="863"/>
      <c r="BA358" s="863"/>
      <c r="BB358" s="863"/>
      <c r="BC358" s="863"/>
      <c r="BD358" s="863"/>
      <c r="BE358" s="863"/>
      <c r="BF358" s="863"/>
      <c r="BG358" s="863"/>
      <c r="BH358" s="863"/>
      <c r="BI358" s="863"/>
      <c r="BJ358" s="863"/>
      <c r="BK358" s="863"/>
      <c r="BL358" s="863"/>
      <c r="BM358" s="863"/>
      <c r="BN358" s="863"/>
      <c r="BO358" s="863"/>
      <c r="BP358" s="880"/>
      <c r="BQ358" s="863"/>
      <c r="BR358" s="883" t="str">
        <f>IFERROR(__xludf.DUMMYFUNCTION("""COMPUTED_VALUE"""),"Sunish et al.")</f>
        <v>Sunish et al.</v>
      </c>
      <c r="BS358" s="883" t="str">
        <f>IFERROR(__xludf.DUMMYFUNCTION("""COMPUTED_VALUE"""),"South India")</f>
        <v>South India</v>
      </c>
      <c r="BT358" s="883" t="str">
        <f>IFERROR(__xludf.DUMMYFUNCTION("""COMPUTED_VALUE"""),"Albendazole &amp; DiethylCarbamazine")</f>
        <v>Albendazole &amp; DiethylCarbamazine</v>
      </c>
      <c r="BU358" s="883"/>
      <c r="BV358" s="883"/>
      <c r="BW358" s="883"/>
      <c r="BX358" s="883"/>
      <c r="BY358" s="883"/>
      <c r="BZ358" s="883"/>
      <c r="CA358" s="883"/>
      <c r="CB358" s="883"/>
      <c r="CC358" s="883"/>
      <c r="CD358" s="884"/>
      <c r="CE358" s="883"/>
      <c r="CF358" s="883"/>
      <c r="CG358" s="883"/>
      <c r="CH358" s="883"/>
      <c r="CI358" s="883"/>
      <c r="CJ358" s="883"/>
      <c r="CK358" s="883"/>
      <c r="CL358" s="883"/>
      <c r="CM358" s="883"/>
      <c r="CN358" s="883"/>
      <c r="CO358" s="883"/>
      <c r="CP358" s="883"/>
      <c r="CQ358" s="883"/>
      <c r="CR358" s="883"/>
      <c r="CS358" s="883"/>
      <c r="CT358" s="883"/>
      <c r="CU358" s="883" t="str">
        <f>IFERROR(__xludf.DUMMYFUNCTION("""COMPUTED_VALUE"""),"x")</f>
        <v>x</v>
      </c>
      <c r="CV358" s="863"/>
      <c r="CW358" s="863"/>
      <c r="CX358" s="863"/>
      <c r="CY358" s="863"/>
      <c r="CZ358" s="863"/>
      <c r="DA358" s="863"/>
      <c r="DB358" s="863"/>
      <c r="DC358" s="863"/>
      <c r="DD358" s="863"/>
      <c r="DE358" s="863"/>
    </row>
    <row r="359">
      <c r="A359" s="876"/>
      <c r="B359" s="876"/>
      <c r="C359" s="876"/>
      <c r="D359" s="876"/>
      <c r="E359" s="876"/>
      <c r="F359" s="876"/>
      <c r="G359" s="876"/>
      <c r="H359" s="876"/>
      <c r="I359" s="876"/>
      <c r="J359" s="876"/>
      <c r="K359" s="876"/>
      <c r="L359" s="876"/>
      <c r="M359" s="876"/>
      <c r="N359" s="877"/>
      <c r="O359" s="876"/>
      <c r="P359" s="876"/>
      <c r="Q359" s="876"/>
      <c r="R359" s="876"/>
      <c r="S359" s="876"/>
      <c r="T359" s="876"/>
      <c r="U359" s="876"/>
      <c r="V359" s="876"/>
      <c r="W359" s="876"/>
      <c r="X359" s="876"/>
      <c r="Y359" s="876"/>
      <c r="Z359" s="876"/>
      <c r="AA359" s="876"/>
      <c r="AB359" s="876"/>
      <c r="AC359" s="876"/>
      <c r="AD359" s="876"/>
      <c r="AE359" s="876"/>
      <c r="AF359" s="876"/>
      <c r="AG359" s="876"/>
      <c r="AH359" s="876"/>
      <c r="AI359" s="878"/>
      <c r="AJ359" s="880"/>
      <c r="AK359" s="880"/>
      <c r="AL359" s="880"/>
      <c r="AM359" s="880"/>
      <c r="AN359" s="880"/>
      <c r="AO359" s="880"/>
      <c r="AP359" s="880"/>
      <c r="AQ359" s="880"/>
      <c r="AR359" s="880"/>
      <c r="AS359" s="880"/>
      <c r="AT359" s="880"/>
      <c r="AU359" s="880"/>
      <c r="AV359" s="880"/>
      <c r="AW359" s="881"/>
      <c r="AX359" s="863"/>
      <c r="AY359" s="863"/>
      <c r="AZ359" s="863"/>
      <c r="BA359" s="863"/>
      <c r="BB359" s="863"/>
      <c r="BC359" s="863"/>
      <c r="BD359" s="863"/>
      <c r="BE359" s="863"/>
      <c r="BF359" s="863"/>
      <c r="BG359" s="863"/>
      <c r="BH359" s="863"/>
      <c r="BI359" s="863"/>
      <c r="BJ359" s="863"/>
      <c r="BK359" s="863"/>
      <c r="BL359" s="863"/>
      <c r="BM359" s="863"/>
      <c r="BN359" s="863"/>
      <c r="BO359" s="863"/>
      <c r="BP359" s="880"/>
      <c r="BQ359" s="863"/>
      <c r="BR359" s="889" t="str">
        <f>IFERROR(__xludf.DUMMYFUNCTION("""COMPUTED_VALUE"""),"Supali et al.")</f>
        <v>Supali et al.</v>
      </c>
      <c r="BS359" s="883" t="str">
        <f>IFERROR(__xludf.DUMMYFUNCTION("""COMPUTED_VALUE"""),"Indonesia")</f>
        <v>Indonesia</v>
      </c>
      <c r="BT359" s="883" t="str">
        <f>IFERROR(__xludf.DUMMYFUNCTION("""COMPUTED_VALUE"""),"Albendazole &amp; DiethylCarbamazine")</f>
        <v>Albendazole &amp; DiethylCarbamazine</v>
      </c>
      <c r="BU359" s="883"/>
      <c r="BV359" s="883"/>
      <c r="BW359" s="883"/>
      <c r="BX359" s="883" t="str">
        <f>IFERROR(__xludf.DUMMYFUNCTION("""COMPUTED_VALUE"""),"600-750")</f>
        <v>600-750</v>
      </c>
      <c r="BY359" s="883" t="str">
        <f>IFERROR(__xludf.DUMMYFUNCTION("""COMPUTED_VALUE"""),"School Children and Adults")</f>
        <v>School Children and Adults</v>
      </c>
      <c r="BZ359" s="883">
        <f>IFERROR(__xludf.DUMMYFUNCTION("""COMPUTED_VALUE"""),2009.0)</f>
        <v>2009</v>
      </c>
      <c r="CA359" s="883"/>
      <c r="CB359" s="883"/>
      <c r="CC359" s="883"/>
      <c r="CD359" s="884"/>
      <c r="CE359" s="883"/>
      <c r="CF359" s="883"/>
      <c r="CG359" s="883"/>
      <c r="CH359" s="883"/>
      <c r="CI359" s="883"/>
      <c r="CJ359" s="883"/>
      <c r="CK359" s="883"/>
      <c r="CL359" s="883"/>
      <c r="CM359" s="883"/>
      <c r="CN359" s="883"/>
      <c r="CO359" s="883"/>
      <c r="CP359" s="883"/>
      <c r="CQ359" s="883"/>
      <c r="CR359" s="883"/>
      <c r="CS359" s="883" t="str">
        <f>IFERROR(__xludf.DUMMYFUNCTION("""COMPUTED_VALUE"""),"MDA with DEC/albendazole has had a major impact on B. timori MF and IgG4 antibody rates, providing a proof of principle that elimination is feasible. We also documented the value of annual DEC/albendazole as a mass de-worming intervention and the importan"&amp;"ce of continuing some form of STH control after cessation of MDA for filariasis.")</f>
        <v>MDA with DEC/albendazole has had a major impact on B. timori MF and IgG4 antibody rates, providing a proof of principle that elimination is feasible. We also documented the value of annual DEC/albendazole as a mass de-worming intervention and the importance of continuing some form of STH control after cessation of MDA for filariasis.</v>
      </c>
      <c r="CT359" s="883"/>
      <c r="CU359" s="883" t="str">
        <f>IFERROR(__xludf.DUMMYFUNCTION("""COMPUTED_VALUE"""),"x")</f>
        <v>x</v>
      </c>
      <c r="CV359" s="863"/>
      <c r="CW359" s="863"/>
      <c r="CX359" s="863"/>
      <c r="CY359" s="863"/>
      <c r="CZ359" s="863"/>
      <c r="DA359" s="863"/>
      <c r="DB359" s="863"/>
      <c r="DC359" s="863"/>
      <c r="DD359" s="863"/>
      <c r="DE359" s="863"/>
    </row>
    <row r="360">
      <c r="A360" s="876"/>
      <c r="B360" s="876"/>
      <c r="C360" s="876"/>
      <c r="D360" s="876"/>
      <c r="E360" s="876"/>
      <c r="F360" s="876"/>
      <c r="G360" s="876"/>
      <c r="H360" s="876"/>
      <c r="I360" s="876"/>
      <c r="J360" s="876"/>
      <c r="K360" s="876"/>
      <c r="L360" s="876"/>
      <c r="M360" s="876"/>
      <c r="N360" s="877"/>
      <c r="O360" s="876"/>
      <c r="P360" s="876"/>
      <c r="Q360" s="876"/>
      <c r="R360" s="876"/>
      <c r="S360" s="876"/>
      <c r="T360" s="876"/>
      <c r="U360" s="876"/>
      <c r="V360" s="876"/>
      <c r="W360" s="876"/>
      <c r="X360" s="876"/>
      <c r="Y360" s="876"/>
      <c r="Z360" s="876"/>
      <c r="AA360" s="876"/>
      <c r="AB360" s="876"/>
      <c r="AC360" s="876"/>
      <c r="AD360" s="876"/>
      <c r="AE360" s="876"/>
      <c r="AF360" s="876"/>
      <c r="AG360" s="876"/>
      <c r="AH360" s="876"/>
      <c r="AI360" s="878"/>
      <c r="AJ360" s="880"/>
      <c r="AK360" s="880"/>
      <c r="AL360" s="880"/>
      <c r="AM360" s="880"/>
      <c r="AN360" s="880"/>
      <c r="AO360" s="880"/>
      <c r="AP360" s="880"/>
      <c r="AQ360" s="880"/>
      <c r="AR360" s="880"/>
      <c r="AS360" s="880"/>
      <c r="AT360" s="880"/>
      <c r="AU360" s="880"/>
      <c r="AV360" s="880"/>
      <c r="AW360" s="881"/>
      <c r="AX360" s="863"/>
      <c r="AY360" s="863"/>
      <c r="AZ360" s="863"/>
      <c r="BA360" s="863"/>
      <c r="BB360" s="863"/>
      <c r="BC360" s="863"/>
      <c r="BD360" s="863"/>
      <c r="BE360" s="863"/>
      <c r="BF360" s="863"/>
      <c r="BG360" s="863"/>
      <c r="BH360" s="863"/>
      <c r="BI360" s="863"/>
      <c r="BJ360" s="863"/>
      <c r="BK360" s="863"/>
      <c r="BL360" s="863"/>
      <c r="BM360" s="863"/>
      <c r="BN360" s="863"/>
      <c r="BO360" s="863"/>
      <c r="BP360" s="880"/>
      <c r="BQ360" s="863"/>
      <c r="BR360" s="889" t="str">
        <f>IFERROR(__xludf.DUMMYFUNCTION("""COMPUTED_VALUE"""),"Elaziz et al.")</f>
        <v>Elaziz et al.</v>
      </c>
      <c r="BS360" s="883" t="str">
        <f>IFERROR(__xludf.DUMMYFUNCTION("""COMPUTED_VALUE"""),"Egypt")</f>
        <v>Egypt</v>
      </c>
      <c r="BT360" s="883" t="str">
        <f>IFERROR(__xludf.DUMMYFUNCTION("""COMPUTED_VALUE"""),"Albendazole &amp; DiethylCarbamazine")</f>
        <v>Albendazole &amp; DiethylCarbamazine</v>
      </c>
      <c r="BU360" s="883"/>
      <c r="BV360" s="883"/>
      <c r="BW360" s="883"/>
      <c r="BX360" s="883">
        <f>IFERROR(__xludf.DUMMYFUNCTION("""COMPUTED_VALUE"""),2859.0)</f>
        <v>2859</v>
      </c>
      <c r="BY360" s="883" t="str">
        <f>IFERROR(__xludf.DUMMYFUNCTION("""COMPUTED_VALUE"""),"&lt;30 years of age")</f>
        <v>&lt;30 years of age</v>
      </c>
      <c r="BZ360" s="883">
        <f>IFERROR(__xludf.DUMMYFUNCTION("""COMPUTED_VALUE"""),2000.0)</f>
        <v>2000</v>
      </c>
      <c r="CA360" s="883" t="str">
        <f>IFERROR(__xludf.DUMMYFUNCTION("""COMPUTED_VALUE"""),"Male:1304 Female:1555")</f>
        <v>Male:1304 Female:1555</v>
      </c>
      <c r="CB360" s="883" t="str">
        <f>IFERROR(__xludf.DUMMYFUNCTION("""COMPUTED_VALUE"""),"This finding may be explained in part by our inclusion of persons who were not eligible for MDA in our compliance calculation. ")</f>
        <v>This finding may be explained in part by our inclusion of persons who were not eligible for MDA in our compliance calculation. </v>
      </c>
      <c r="CC360" s="883"/>
      <c r="CD360" s="884"/>
      <c r="CE360" s="883"/>
      <c r="CF360" s="883"/>
      <c r="CG360" s="883"/>
      <c r="CH360" s="883"/>
      <c r="CI360" s="883"/>
      <c r="CJ360" s="883"/>
      <c r="CK360" s="883"/>
      <c r="CL360" s="883"/>
      <c r="CM360" s="883"/>
      <c r="CN360" s="883"/>
      <c r="CO360" s="883"/>
      <c r="CP360" s="883"/>
      <c r="CQ360" s="883"/>
      <c r="CR360" s="883"/>
      <c r="CS360" s="883"/>
      <c r="CT360" s="883"/>
      <c r="CU360" s="883" t="str">
        <f>IFERROR(__xludf.DUMMYFUNCTION("""COMPUTED_VALUE"""),"x")</f>
        <v>x</v>
      </c>
      <c r="CV360" s="863"/>
      <c r="CW360" s="863"/>
      <c r="CX360" s="863"/>
      <c r="CY360" s="863"/>
      <c r="CZ360" s="863"/>
      <c r="DA360" s="863"/>
      <c r="DB360" s="863"/>
      <c r="DC360" s="863"/>
      <c r="DD360" s="863"/>
      <c r="DE360" s="863"/>
    </row>
    <row r="361">
      <c r="A361" s="876"/>
      <c r="B361" s="876"/>
      <c r="C361" s="876"/>
      <c r="D361" s="876"/>
      <c r="E361" s="876"/>
      <c r="F361" s="876"/>
      <c r="G361" s="876"/>
      <c r="H361" s="876"/>
      <c r="I361" s="876"/>
      <c r="J361" s="876"/>
      <c r="K361" s="876"/>
      <c r="L361" s="876"/>
      <c r="M361" s="876"/>
      <c r="N361" s="877"/>
      <c r="O361" s="876"/>
      <c r="P361" s="876"/>
      <c r="Q361" s="876"/>
      <c r="R361" s="876"/>
      <c r="S361" s="876"/>
      <c r="T361" s="876"/>
      <c r="U361" s="876"/>
      <c r="V361" s="876"/>
      <c r="W361" s="876"/>
      <c r="X361" s="876"/>
      <c r="Y361" s="876"/>
      <c r="Z361" s="876"/>
      <c r="AA361" s="876"/>
      <c r="AB361" s="876"/>
      <c r="AC361" s="876"/>
      <c r="AD361" s="876"/>
      <c r="AE361" s="876"/>
      <c r="AF361" s="876"/>
      <c r="AG361" s="876"/>
      <c r="AH361" s="876"/>
      <c r="AI361" s="878"/>
      <c r="AJ361" s="880"/>
      <c r="AK361" s="880"/>
      <c r="AL361" s="880"/>
      <c r="AM361" s="880"/>
      <c r="AN361" s="880"/>
      <c r="AO361" s="880"/>
      <c r="AP361" s="880"/>
      <c r="AQ361" s="880"/>
      <c r="AR361" s="880"/>
      <c r="AS361" s="880"/>
      <c r="AT361" s="880"/>
      <c r="AU361" s="880"/>
      <c r="AV361" s="880"/>
      <c r="AW361" s="881"/>
      <c r="AX361" s="863"/>
      <c r="AY361" s="863"/>
      <c r="AZ361" s="863"/>
      <c r="BA361" s="863"/>
      <c r="BB361" s="863"/>
      <c r="BC361" s="863"/>
      <c r="BD361" s="863"/>
      <c r="BE361" s="863"/>
      <c r="BF361" s="863"/>
      <c r="BG361" s="863"/>
      <c r="BH361" s="863"/>
      <c r="BI361" s="863"/>
      <c r="BJ361" s="863"/>
      <c r="BK361" s="863"/>
      <c r="BL361" s="863"/>
      <c r="BM361" s="863"/>
      <c r="BN361" s="863"/>
      <c r="BO361" s="863"/>
      <c r="BP361" s="880"/>
      <c r="BQ361" s="863"/>
      <c r="BR361" s="889" t="str">
        <f>IFERROR(__xludf.DUMMYFUNCTION("""COMPUTED_VALUE"""),"Sunish et al.")</f>
        <v>Sunish et al.</v>
      </c>
      <c r="BS361" s="883" t="str">
        <f>IFERROR(__xludf.DUMMYFUNCTION("""COMPUTED_VALUE"""),"Andaman and Nicobar islands")</f>
        <v>Andaman and Nicobar islands</v>
      </c>
      <c r="BT361" s="883" t="str">
        <f>IFERROR(__xludf.DUMMYFUNCTION("""COMPUTED_VALUE"""),"Albendazole &amp; DiethylCarbamazine")</f>
        <v>Albendazole &amp; DiethylCarbamazine</v>
      </c>
      <c r="BU361" s="883"/>
      <c r="BV361" s="883"/>
      <c r="BW361" s="883"/>
      <c r="BX361" s="883">
        <f>IFERROR(__xludf.DUMMYFUNCTION("""COMPUTED_VALUE"""),2732.0)</f>
        <v>2732</v>
      </c>
      <c r="BY361" s="883" t="str">
        <f>IFERROR(__xludf.DUMMYFUNCTION("""COMPUTED_VALUE"""),"Adult and Children above 2")</f>
        <v>Adult and Children above 2</v>
      </c>
      <c r="BZ361" s="883">
        <f>IFERROR(__xludf.DUMMYFUNCTION("""COMPUTED_VALUE"""),2004.0)</f>
        <v>2004</v>
      </c>
      <c r="CA361" s="883"/>
      <c r="CB361" s="883"/>
      <c r="CC361" s="883"/>
      <c r="CD361" s="884"/>
      <c r="CE361" s="883"/>
      <c r="CF361" s="883"/>
      <c r="CG361" s="883"/>
      <c r="CH361" s="883"/>
      <c r="CI361" s="883"/>
      <c r="CJ361" s="883"/>
      <c r="CK361" s="883"/>
      <c r="CL361" s="883"/>
      <c r="CM361" s="883"/>
      <c r="CN361" s="883"/>
      <c r="CO361" s="883"/>
      <c r="CP361" s="883"/>
      <c r="CQ361" s="883"/>
      <c r="CR361" s="883"/>
      <c r="CS361" s="883" t="str">
        <f>IFERROR(__xludf.DUMMYFUNCTION("""COMPUTED_VALUE"""),"After eight rounds of MDA, the prevalence of DspWb infec- tion in the lone foci of the Nancowry islands reduced signifi- cantly (11% to 3%). However, efforts should be made to increase the drug coverage. In our study, 95.3% of the respondents reported the"&amp;" drug distributor as the source of the MDA message: Ashwini et al.9 and Mukhopadhyay et al.10 reported 31.7% and 77.8%, respectively. The role of this group is important and should, therefore, be included in programmes for the education of communities at "&amp;"risk of acquiring filarial infection. Improved drug compliance,
motivating drug distributors and community awareness would eliminate this lone focus of diurnal sub-periodic form of LF in India.")</f>
        <v>After eight rounds of MDA, the prevalence of DspWb infec- tion in the lone foci of the Nancowry islands reduced signifi- cantly (11% to 3%). However, efforts should be made to increase the drug coverage. In our study, 95.3% of the respondents reported the drug distributor as the source of the MDA message: Ashwini et al.9 and Mukhopadhyay et al.10 reported 31.7% and 77.8%, respectively. The role of this group is important and should, therefore, be included in programmes for the education of communities at risk of acquiring filarial infection. Improved drug compliance,
motivating drug distributors and community awareness would eliminate this lone focus of diurnal sub-periodic form of LF in India.</v>
      </c>
      <c r="CT361" s="883"/>
      <c r="CU361" s="883" t="str">
        <f>IFERROR(__xludf.DUMMYFUNCTION("""COMPUTED_VALUE"""),"x")</f>
        <v>x</v>
      </c>
      <c r="CV361" s="863"/>
      <c r="CW361" s="863"/>
      <c r="CX361" s="863"/>
      <c r="CY361" s="863"/>
      <c r="CZ361" s="863"/>
      <c r="DA361" s="863"/>
      <c r="DB361" s="863"/>
      <c r="DC361" s="863"/>
      <c r="DD361" s="863"/>
      <c r="DE361" s="863"/>
    </row>
    <row r="362">
      <c r="A362" s="876"/>
      <c r="B362" s="876"/>
      <c r="C362" s="876"/>
      <c r="D362" s="876"/>
      <c r="E362" s="876"/>
      <c r="F362" s="876"/>
      <c r="G362" s="876"/>
      <c r="H362" s="876"/>
      <c r="I362" s="876"/>
      <c r="J362" s="876"/>
      <c r="K362" s="876"/>
      <c r="L362" s="876"/>
      <c r="M362" s="876"/>
      <c r="N362" s="877"/>
      <c r="O362" s="876"/>
      <c r="P362" s="876"/>
      <c r="Q362" s="876"/>
      <c r="R362" s="876"/>
      <c r="S362" s="876"/>
      <c r="T362" s="876"/>
      <c r="U362" s="876"/>
      <c r="V362" s="876"/>
      <c r="W362" s="876"/>
      <c r="X362" s="876"/>
      <c r="Y362" s="876"/>
      <c r="Z362" s="876"/>
      <c r="AA362" s="876"/>
      <c r="AB362" s="876"/>
      <c r="AC362" s="876"/>
      <c r="AD362" s="876"/>
      <c r="AE362" s="876"/>
      <c r="AF362" s="876"/>
      <c r="AG362" s="876"/>
      <c r="AH362" s="876"/>
      <c r="AI362" s="878"/>
      <c r="AJ362" s="880"/>
      <c r="AK362" s="880"/>
      <c r="AL362" s="880"/>
      <c r="AM362" s="880"/>
      <c r="AN362" s="880"/>
      <c r="AO362" s="880"/>
      <c r="AP362" s="880"/>
      <c r="AQ362" s="880"/>
      <c r="AR362" s="880"/>
      <c r="AS362" s="880"/>
      <c r="AT362" s="880"/>
      <c r="AU362" s="880"/>
      <c r="AV362" s="880"/>
      <c r="AW362" s="881"/>
      <c r="AX362" s="863"/>
      <c r="AY362" s="863"/>
      <c r="AZ362" s="863"/>
      <c r="BA362" s="863"/>
      <c r="BB362" s="863"/>
      <c r="BC362" s="863"/>
      <c r="BD362" s="863"/>
      <c r="BE362" s="863"/>
      <c r="BF362" s="863"/>
      <c r="BG362" s="863"/>
      <c r="BH362" s="863"/>
      <c r="BI362" s="863"/>
      <c r="BJ362" s="863"/>
      <c r="BK362" s="863"/>
      <c r="BL362" s="863"/>
      <c r="BM362" s="863"/>
      <c r="BN362" s="863"/>
      <c r="BO362" s="863"/>
      <c r="BP362" s="880"/>
      <c r="BQ362" s="863"/>
      <c r="BR362" s="889" t="str">
        <f>IFERROR(__xludf.DUMMYFUNCTION("""COMPUTED_VALUE"""),"De Kraker et al.")</f>
        <v>De Kraker et al.</v>
      </c>
      <c r="BS362" s="883" t="str">
        <f>IFERROR(__xludf.DUMMYFUNCTION("""COMPUTED_VALUE"""),"India, Sri Lanka and Egypt ")</f>
        <v>India, Sri Lanka and Egypt </v>
      </c>
      <c r="BT362" s="883" t="str">
        <f>IFERROR(__xludf.DUMMYFUNCTION("""COMPUTED_VALUE"""),"Albendazole &amp; DiethylCarbamazine")</f>
        <v>Albendazole &amp; DiethylCarbamazine</v>
      </c>
      <c r="BU362" s="883"/>
      <c r="BV362" s="883"/>
      <c r="BW362" s="883"/>
      <c r="BX362" s="883">
        <f>IFERROR(__xludf.DUMMYFUNCTION("""COMPUTED_VALUE"""),105.0)</f>
        <v>105</v>
      </c>
      <c r="BY362" s="883" t="str">
        <f>IFERROR(__xludf.DUMMYFUNCTION("""COMPUTED_VALUE"""),"10-58")</f>
        <v>10-58</v>
      </c>
      <c r="BZ362" s="883">
        <f>IFERROR(__xludf.DUMMYFUNCTION("""COMPUTED_VALUE"""),2005.0)</f>
        <v>2005</v>
      </c>
      <c r="CA362" s="883"/>
      <c r="CB362" s="883"/>
      <c r="CC362" s="883"/>
      <c r="CD362" s="884"/>
      <c r="CE362" s="883"/>
      <c r="CF362" s="883"/>
      <c r="CG362" s="883"/>
      <c r="CH362" s="883"/>
      <c r="CI362" s="883"/>
      <c r="CJ362" s="883"/>
      <c r="CK362" s="883"/>
      <c r="CL362" s="883"/>
      <c r="CM362" s="883"/>
      <c r="CN362" s="883"/>
      <c r="CO362" s="883"/>
      <c r="CP362" s="883"/>
      <c r="CQ362" s="883"/>
      <c r="CR362" s="883"/>
      <c r="CS362" s="883" t="str">
        <f>IFERROR(__xludf.DUMMYFUNCTION("""COMPUTED_VALUE"""),"In conclusion, treatment with combinations of IVM– ALB or DEC–ALB results in a strong reduction in mf density for long periods. The estimated mf loss and worm- productivity loss after treatment with either of the combi- nations were very high, even if unc"&amp;"ertainties and possible overestimation of the effect because of the use of geometric means are taken into account. Applied in yearly MDA, these drug combinations can have a strong impact on lymphatic filariasis transmission, provided that coverage and com"&amp;"pliance are sufficiently high.")</f>
        <v>In conclusion, treatment with combinations of IVM– ALB or DEC–ALB results in a strong reduction in mf density for long periods. The estimated mf loss and worm- productivity loss after treatment with either of the combi- nations were very high, even if uncertainties and possible overestimation of the effect because of the use of geometric means are taken into account. Applied in yearly MDA, these drug combinations can have a strong impact on lymphatic filariasis transmission, provided that coverage and compliance are sufficiently high.</v>
      </c>
      <c r="CT362" s="883"/>
      <c r="CU362" s="883" t="str">
        <f>IFERROR(__xludf.DUMMYFUNCTION("""COMPUTED_VALUE"""),"x")</f>
        <v>x</v>
      </c>
      <c r="CV362" s="863"/>
      <c r="CW362" s="863"/>
      <c r="CX362" s="863"/>
      <c r="CY362" s="863"/>
      <c r="CZ362" s="863"/>
      <c r="DA362" s="863"/>
      <c r="DB362" s="863"/>
      <c r="DC362" s="863"/>
      <c r="DD362" s="863"/>
      <c r="DE362" s="863"/>
    </row>
    <row r="363">
      <c r="A363" s="876"/>
      <c r="B363" s="876"/>
      <c r="C363" s="876"/>
      <c r="D363" s="876"/>
      <c r="E363" s="876"/>
      <c r="F363" s="876"/>
      <c r="G363" s="876"/>
      <c r="H363" s="876"/>
      <c r="I363" s="876"/>
      <c r="J363" s="876"/>
      <c r="K363" s="876"/>
      <c r="L363" s="876"/>
      <c r="M363" s="876"/>
      <c r="N363" s="877"/>
      <c r="O363" s="876"/>
      <c r="P363" s="876"/>
      <c r="Q363" s="876"/>
      <c r="R363" s="876"/>
      <c r="S363" s="876"/>
      <c r="T363" s="876"/>
      <c r="U363" s="876"/>
      <c r="V363" s="876"/>
      <c r="W363" s="876"/>
      <c r="X363" s="876"/>
      <c r="Y363" s="876"/>
      <c r="Z363" s="876"/>
      <c r="AA363" s="876"/>
      <c r="AB363" s="876"/>
      <c r="AC363" s="876"/>
      <c r="AD363" s="876"/>
      <c r="AE363" s="876"/>
      <c r="AF363" s="876"/>
      <c r="AG363" s="876"/>
      <c r="AH363" s="876"/>
      <c r="AI363" s="878"/>
      <c r="AJ363" s="880"/>
      <c r="AK363" s="880"/>
      <c r="AL363" s="880"/>
      <c r="AM363" s="880"/>
      <c r="AN363" s="880"/>
      <c r="AO363" s="880"/>
      <c r="AP363" s="880"/>
      <c r="AQ363" s="880"/>
      <c r="AR363" s="880"/>
      <c r="AS363" s="880"/>
      <c r="AT363" s="880"/>
      <c r="AU363" s="880"/>
      <c r="AV363" s="880"/>
      <c r="AW363" s="881"/>
      <c r="AX363" s="863"/>
      <c r="AY363" s="863"/>
      <c r="AZ363" s="863"/>
      <c r="BA363" s="863"/>
      <c r="BB363" s="863"/>
      <c r="BC363" s="863"/>
      <c r="BD363" s="863"/>
      <c r="BE363" s="863"/>
      <c r="BF363" s="863"/>
      <c r="BG363" s="863"/>
      <c r="BH363" s="863"/>
      <c r="BI363" s="863"/>
      <c r="BJ363" s="863"/>
      <c r="BK363" s="863"/>
      <c r="BL363" s="863"/>
      <c r="BM363" s="863"/>
      <c r="BN363" s="863"/>
      <c r="BO363" s="863"/>
      <c r="BP363" s="880"/>
      <c r="BQ363" s="863"/>
      <c r="BR363" s="889" t="str">
        <f>IFERROR(__xludf.DUMMYFUNCTION("""COMPUTED_VALUE"""),"Yahathugoda")</f>
        <v>Yahathugoda</v>
      </c>
      <c r="BS363" s="883" t="str">
        <f>IFERROR(__xludf.DUMMYFUNCTION("""COMPUTED_VALUE"""),"Sri Lanka")</f>
        <v>Sri Lanka</v>
      </c>
      <c r="BT363" s="883" t="str">
        <f>IFERROR(__xludf.DUMMYFUNCTION("""COMPUTED_VALUE"""),"Albendazole &amp; DiethylCarbamazine")</f>
        <v>Albendazole &amp; DiethylCarbamazine</v>
      </c>
      <c r="BU363" s="883"/>
      <c r="BV363" s="883"/>
      <c r="BW363" s="883"/>
      <c r="BX363" s="883">
        <f>IFERROR(__xludf.DUMMYFUNCTION("""COMPUTED_VALUE"""),852.0)</f>
        <v>852</v>
      </c>
      <c r="BY363" s="883" t="str">
        <f>IFERROR(__xludf.DUMMYFUNCTION("""COMPUTED_VALUE"""),"median 35")</f>
        <v>median 35</v>
      </c>
      <c r="BZ363" s="883">
        <f>IFERROR(__xludf.DUMMYFUNCTION("""COMPUTED_VALUE"""),2000.0)</f>
        <v>2000</v>
      </c>
      <c r="CA363" s="883" t="str">
        <f>IFERROR(__xludf.DUMMYFUNCTION("""COMPUTED_VALUE"""),"Male: 43% Female: 57%")</f>
        <v>Male: 43% Female: 57%</v>
      </c>
      <c r="CB363" s="883"/>
      <c r="CC363" s="883" t="str">
        <f>IFERROR(__xludf.DUMMYFUNCTION("""COMPUTED_VALUE"""),"No")</f>
        <v>No</v>
      </c>
      <c r="CD363" s="884"/>
      <c r="CE363" s="883"/>
      <c r="CF363" s="883"/>
      <c r="CG363" s="883"/>
      <c r="CH363" s="883"/>
      <c r="CI363" s="883"/>
      <c r="CJ363" s="883"/>
      <c r="CK363" s="883"/>
      <c r="CL363" s="883"/>
      <c r="CM363" s="883"/>
      <c r="CN363" s="883"/>
      <c r="CO363" s="883"/>
      <c r="CP363" s="883"/>
      <c r="CQ363" s="883"/>
      <c r="CR363" s="883"/>
      <c r="CS363" s="883" t="str">
        <f>IFERROR(__xludf.DUMMYFUNCTION("""COMPUTED_VALUE"""),"
Results from this study support the idea of using the FTS instead of the Card Test in LF elimination pro- grams. The smaller blood requirement (75 μl), lower cost, and longer shelf life of the FTS also favor the switch. It would be helpful if the FTS kit"&amp;"s could be modified to make them more user-friendly. As with any new point of care test, technicians should be provided with training and practical experience performing the test before it is deployed in national surveys. Special training materials might "&amp;"help to ease the transition from the Card Test to the FTS.")</f>
        <v>
Results from this study support the idea of using the FTS instead of the Card Test in LF elimination pro- grams. The smaller blood requirement (75 μl), lower cost, and longer shelf life of the FTS also favor the switch. It would be helpful if the FTS kits could be modified to make them more user-friendly. As with any new point of care test, technicians should be provided with training and practical experience performing the test before it is deployed in national surveys. Special training materials might help to ease the transition from the Card Test to the FTS.</v>
      </c>
      <c r="CT363" s="883"/>
      <c r="CU363" s="883" t="str">
        <f>IFERROR(__xludf.DUMMYFUNCTION("""COMPUTED_VALUE"""),"x")</f>
        <v>x</v>
      </c>
      <c r="CV363" s="863"/>
      <c r="CW363" s="863"/>
      <c r="CX363" s="863"/>
      <c r="CY363" s="863"/>
      <c r="CZ363" s="863"/>
      <c r="DA363" s="863"/>
      <c r="DB363" s="863"/>
      <c r="DC363" s="863"/>
      <c r="DD363" s="863"/>
      <c r="DE363" s="863"/>
    </row>
    <row r="364">
      <c r="A364" s="876"/>
      <c r="B364" s="876"/>
      <c r="C364" s="876"/>
      <c r="D364" s="876"/>
      <c r="E364" s="876"/>
      <c r="F364" s="876"/>
      <c r="G364" s="876"/>
      <c r="H364" s="876"/>
      <c r="I364" s="876"/>
      <c r="J364" s="876"/>
      <c r="K364" s="876"/>
      <c r="L364" s="876"/>
      <c r="M364" s="876"/>
      <c r="N364" s="877"/>
      <c r="O364" s="876"/>
      <c r="P364" s="876"/>
      <c r="Q364" s="876"/>
      <c r="R364" s="876"/>
      <c r="S364" s="876"/>
      <c r="T364" s="876"/>
      <c r="U364" s="876"/>
      <c r="V364" s="876"/>
      <c r="W364" s="876"/>
      <c r="X364" s="876"/>
      <c r="Y364" s="876"/>
      <c r="Z364" s="876"/>
      <c r="AA364" s="876"/>
      <c r="AB364" s="876"/>
      <c r="AC364" s="876"/>
      <c r="AD364" s="876"/>
      <c r="AE364" s="876"/>
      <c r="AF364" s="876"/>
      <c r="AG364" s="876"/>
      <c r="AH364" s="876"/>
      <c r="AI364" s="878"/>
      <c r="AJ364" s="880"/>
      <c r="AK364" s="880"/>
      <c r="AL364" s="880"/>
      <c r="AM364" s="880"/>
      <c r="AN364" s="880"/>
      <c r="AO364" s="880"/>
      <c r="AP364" s="880"/>
      <c r="AQ364" s="880"/>
      <c r="AR364" s="880"/>
      <c r="AS364" s="880"/>
      <c r="AT364" s="880"/>
      <c r="AU364" s="880"/>
      <c r="AV364" s="880"/>
      <c r="AW364" s="881"/>
      <c r="AX364" s="863"/>
      <c r="AY364" s="863"/>
      <c r="AZ364" s="863"/>
      <c r="BA364" s="863"/>
      <c r="BB364" s="863"/>
      <c r="BC364" s="863"/>
      <c r="BD364" s="863"/>
      <c r="BE364" s="863"/>
      <c r="BF364" s="863"/>
      <c r="BG364" s="863"/>
      <c r="BH364" s="863"/>
      <c r="BI364" s="863"/>
      <c r="BJ364" s="863"/>
      <c r="BK364" s="863"/>
      <c r="BL364" s="863"/>
      <c r="BM364" s="863"/>
      <c r="BN364" s="863"/>
      <c r="BO364" s="863"/>
      <c r="BP364" s="880"/>
      <c r="BQ364" s="863"/>
      <c r="BR364" s="889" t="str">
        <f>IFERROR(__xludf.DUMMYFUNCTION("""COMPUTED_VALUE"""),"Sunish , Johhny")</f>
        <v>Sunish , Johhny</v>
      </c>
      <c r="BS364" s="883" t="str">
        <f>IFERROR(__xludf.DUMMYFUNCTION("""COMPUTED_VALUE"""),"India")</f>
        <v>India</v>
      </c>
      <c r="BT364" s="883" t="str">
        <f>IFERROR(__xludf.DUMMYFUNCTION("""COMPUTED_VALUE"""),"Albendazole &amp; DiethylCarbamazine")</f>
        <v>Albendazole &amp; DiethylCarbamazine</v>
      </c>
      <c r="BU364" s="883"/>
      <c r="BV364" s="883"/>
      <c r="BW364" s="883"/>
      <c r="BX364" s="883">
        <f>IFERROR(__xludf.DUMMYFUNCTION("""COMPUTED_VALUE"""),321.0)</f>
        <v>321</v>
      </c>
      <c r="BY364" s="890">
        <f>IFERROR(__xludf.DUMMYFUNCTION("""COMPUTED_VALUE"""),42623.0)</f>
        <v>42623</v>
      </c>
      <c r="BZ364" s="883">
        <f>IFERROR(__xludf.DUMMYFUNCTION("""COMPUTED_VALUE"""),2010.0)</f>
        <v>2010</v>
      </c>
      <c r="CA364" s="883"/>
      <c r="CB364" s="883"/>
      <c r="CC364" s="883" t="str">
        <f>IFERROR(__xludf.DUMMYFUNCTION("""COMPUTED_VALUE"""),"No")</f>
        <v>No</v>
      </c>
      <c r="CD364" s="884">
        <f>IFERROR(__xludf.DUMMYFUNCTION("""COMPUTED_VALUE"""),97.3)</f>
        <v>97.3</v>
      </c>
      <c r="CE364" s="883"/>
      <c r="CF364" s="883"/>
      <c r="CG364" s="883"/>
      <c r="CH364" s="883"/>
      <c r="CI364" s="883"/>
      <c r="CJ364" s="883"/>
      <c r="CK364" s="883"/>
      <c r="CL364" s="883"/>
      <c r="CM364" s="883"/>
      <c r="CN364" s="883"/>
      <c r="CO364" s="883"/>
      <c r="CP364" s="883"/>
      <c r="CQ364" s="883"/>
      <c r="CR364" s="883"/>
      <c r="CS364" s="883" t="str">
        <f>IFERROR(__xludf.DUMMYFUNCTION("""COMPUTED_VALUE"""),"In conclusion, the present results showed that after 10 years of repeated annual rounds of MDA, the transmission indices reached negligible levels in both the treatment arms. Signi cant reduction was observed in the prevalence and infection intensity by &gt;"&amp;"80 per cent for each STH infection in the present study. However, complete elimination of the parasite from the community could not be achieved. More studies are required to determine the optimum rounds (annually) of drug administration (with a combinatio"&amp;"n of DEC +ALB), essential for complete cessation of STH transmission. The implementation of complementary measures such as improved environmental sanitation and hygiene, which aim to improve factors that contribute to the transmission of STHs is essential"&amp;" to consolidate the gains achieved by the MDA.")</f>
        <v>In conclusion, the present results showed that after 10 years of repeated annual rounds of MDA, the transmission indices reached negligible levels in both the treatment arms. Signi cant reduction was observed in the prevalence and infection intensity by &gt;80 per cent for each STH infection in the present study. However, complete elimination of the parasite from the community could not be achieved. More studies are required to determine the optimum rounds (annually) of drug administration (with a combination of DEC +ALB), essential for complete cessation of STH transmission. The implementation of complementary measures such as improved environmental sanitation and hygiene, which aim to improve factors that contribute to the transmission of STHs is essential to consolidate the gains achieved by the MDA.</v>
      </c>
      <c r="CT364" s="883"/>
      <c r="CU364" s="883" t="str">
        <f>IFERROR(__xludf.DUMMYFUNCTION("""COMPUTED_VALUE"""),"x")</f>
        <v>x</v>
      </c>
      <c r="CV364" s="863"/>
      <c r="CW364" s="863"/>
      <c r="CX364" s="863"/>
      <c r="CY364" s="863"/>
      <c r="CZ364" s="863"/>
      <c r="DA364" s="863"/>
      <c r="DB364" s="863"/>
      <c r="DC364" s="863"/>
      <c r="DD364" s="863"/>
      <c r="DE364" s="863"/>
    </row>
    <row r="365">
      <c r="A365" s="876"/>
      <c r="B365" s="876"/>
      <c r="C365" s="876"/>
      <c r="D365" s="876"/>
      <c r="E365" s="876"/>
      <c r="F365" s="876"/>
      <c r="G365" s="876"/>
      <c r="H365" s="876"/>
      <c r="I365" s="876"/>
      <c r="J365" s="876"/>
      <c r="K365" s="876"/>
      <c r="L365" s="876"/>
      <c r="M365" s="876"/>
      <c r="N365" s="877"/>
      <c r="O365" s="876"/>
      <c r="P365" s="876"/>
      <c r="Q365" s="876"/>
      <c r="R365" s="876"/>
      <c r="S365" s="876"/>
      <c r="T365" s="876"/>
      <c r="U365" s="876"/>
      <c r="V365" s="876"/>
      <c r="W365" s="876"/>
      <c r="X365" s="876"/>
      <c r="Y365" s="876"/>
      <c r="Z365" s="876"/>
      <c r="AA365" s="876"/>
      <c r="AB365" s="876"/>
      <c r="AC365" s="876"/>
      <c r="AD365" s="876"/>
      <c r="AE365" s="876"/>
      <c r="AF365" s="876"/>
      <c r="AG365" s="876"/>
      <c r="AH365" s="876"/>
      <c r="AI365" s="878"/>
      <c r="AJ365" s="880"/>
      <c r="AK365" s="880"/>
      <c r="AL365" s="880"/>
      <c r="AM365" s="880"/>
      <c r="AN365" s="880"/>
      <c r="AO365" s="880"/>
      <c r="AP365" s="880"/>
      <c r="AQ365" s="880"/>
      <c r="AR365" s="880"/>
      <c r="AS365" s="880"/>
      <c r="AT365" s="880"/>
      <c r="AU365" s="880"/>
      <c r="AV365" s="880"/>
      <c r="AW365" s="881"/>
      <c r="AX365" s="863"/>
      <c r="AY365" s="863"/>
      <c r="AZ365" s="863"/>
      <c r="BA365" s="863"/>
      <c r="BB365" s="863"/>
      <c r="BC365" s="863"/>
      <c r="BD365" s="863"/>
      <c r="BE365" s="863"/>
      <c r="BF365" s="863"/>
      <c r="BG365" s="863"/>
      <c r="BH365" s="863"/>
      <c r="BI365" s="863"/>
      <c r="BJ365" s="863"/>
      <c r="BK365" s="863"/>
      <c r="BL365" s="863"/>
      <c r="BM365" s="863"/>
      <c r="BN365" s="863"/>
      <c r="BO365" s="863"/>
      <c r="BP365" s="880"/>
      <c r="BQ365" s="863"/>
      <c r="BR365" s="889" t="str">
        <f>IFERROR(__xludf.DUMMYFUNCTION("""COMPUTED_VALUE"""),"Mani TR")</f>
        <v>Mani TR</v>
      </c>
      <c r="BS365" s="883" t="str">
        <f>IFERROR(__xludf.DUMMYFUNCTION("""COMPUTED_VALUE"""),"India")</f>
        <v>India</v>
      </c>
      <c r="BT365" s="883" t="str">
        <f>IFERROR(__xludf.DUMMYFUNCTION("""COMPUTED_VALUE"""),"Albendazole &amp; DiethylCarbamazine")</f>
        <v>Albendazole &amp; DiethylCarbamazine</v>
      </c>
      <c r="BU365" s="883"/>
      <c r="BV365" s="883"/>
      <c r="BW365" s="883"/>
      <c r="BX365" s="883" t="str">
        <f>IFERROR(__xludf.DUMMYFUNCTION("""COMPUTED_VALUE"""),"325-500")</f>
        <v>325-500</v>
      </c>
      <c r="BY365" s="890">
        <f>IFERROR(__xludf.DUMMYFUNCTION("""COMPUTED_VALUE"""),42623.0)</f>
        <v>42623</v>
      </c>
      <c r="BZ365" s="883">
        <f>IFERROR(__xludf.DUMMYFUNCTION("""COMPUTED_VALUE"""),2002.0)</f>
        <v>2002</v>
      </c>
      <c r="CA365" s="883"/>
      <c r="CB365" s="883"/>
      <c r="CC365" s="883" t="str">
        <f>IFERROR(__xludf.DUMMYFUNCTION("""COMPUTED_VALUE"""),"No")</f>
        <v>No</v>
      </c>
      <c r="CD365" s="884"/>
      <c r="CE365" s="883"/>
      <c r="CF365" s="883"/>
      <c r="CG365" s="883"/>
      <c r="CH365" s="883"/>
      <c r="CI365" s="883"/>
      <c r="CJ365" s="883"/>
      <c r="CK365" s="883"/>
      <c r="CL365" s="883"/>
      <c r="CM365" s="883"/>
      <c r="CN365" s="883"/>
      <c r="CO365" s="883"/>
      <c r="CP365" s="883"/>
      <c r="CQ365" s="883"/>
      <c r="CR365" s="883"/>
      <c r="CS365" s="883" t="str">
        <f>IFERROR(__xludf.DUMMYFUNCTION("""COMPUTED_VALUE"""),"We conclude by presenting rationales and evidences to justify that the synergistic effects of once yearly mass drug treatment with one dose of two drugs could sustain reductions in prevalence and intensity levels associated with reduced morbidity and redu"&amp;"ced transmis- sion in areas where both these helminthic diseases are sympatric. Therefore, the public health professionals should rationalize ‘the window of opportunity’ provided by the global programme (GPELF) and alliance (GAELF) and harmonize the strat"&amp;"egies for LF elimination and STHs control for high-impact improvements in health outcomes.
")</f>
        <v>We conclude by presenting rationales and evidences to justify that the synergistic effects of once yearly mass drug treatment with one dose of two drugs could sustain reductions in prevalence and intensity levels associated with reduced morbidity and reduced transmis- sion in areas where both these helminthic diseases are sympatric. Therefore, the public health professionals should rationalize ‘the window of opportunity’ provided by the global programme (GPELF) and alliance (GAELF) and harmonize the strategies for LF elimination and STHs control for high-impact improvements in health outcomes.
</v>
      </c>
      <c r="CT365" s="883"/>
      <c r="CU365" s="883" t="str">
        <f>IFERROR(__xludf.DUMMYFUNCTION("""COMPUTED_VALUE"""),"x")</f>
        <v>x</v>
      </c>
      <c r="CV365" s="863"/>
      <c r="CW365" s="863"/>
      <c r="CX365" s="863"/>
      <c r="CY365" s="863"/>
      <c r="CZ365" s="863"/>
      <c r="DA365" s="863"/>
      <c r="DB365" s="863"/>
      <c r="DC365" s="863"/>
      <c r="DD365" s="863"/>
      <c r="DE365" s="863"/>
    </row>
    <row r="366">
      <c r="A366" s="876"/>
      <c r="B366" s="876"/>
      <c r="C366" s="876"/>
      <c r="D366" s="876"/>
      <c r="E366" s="876"/>
      <c r="F366" s="876"/>
      <c r="G366" s="876"/>
      <c r="H366" s="876"/>
      <c r="I366" s="876"/>
      <c r="J366" s="876"/>
      <c r="K366" s="876"/>
      <c r="L366" s="876"/>
      <c r="M366" s="876"/>
      <c r="N366" s="877"/>
      <c r="O366" s="876"/>
      <c r="P366" s="876"/>
      <c r="Q366" s="876"/>
      <c r="R366" s="876"/>
      <c r="S366" s="876"/>
      <c r="T366" s="876"/>
      <c r="U366" s="876"/>
      <c r="V366" s="876"/>
      <c r="W366" s="876"/>
      <c r="X366" s="876"/>
      <c r="Y366" s="876"/>
      <c r="Z366" s="876"/>
      <c r="AA366" s="876"/>
      <c r="AB366" s="876"/>
      <c r="AC366" s="876"/>
      <c r="AD366" s="876"/>
      <c r="AE366" s="876"/>
      <c r="AF366" s="876"/>
      <c r="AG366" s="876"/>
      <c r="AH366" s="876"/>
      <c r="AI366" s="878"/>
      <c r="AJ366" s="880"/>
      <c r="AK366" s="880"/>
      <c r="AL366" s="880"/>
      <c r="AM366" s="880"/>
      <c r="AN366" s="880"/>
      <c r="AO366" s="880"/>
      <c r="AP366" s="880"/>
      <c r="AQ366" s="880"/>
      <c r="AR366" s="880"/>
      <c r="AS366" s="880"/>
      <c r="AT366" s="880"/>
      <c r="AU366" s="880"/>
      <c r="AV366" s="880"/>
      <c r="AW366" s="881"/>
      <c r="AX366" s="863"/>
      <c r="AY366" s="863"/>
      <c r="AZ366" s="863"/>
      <c r="BA366" s="863"/>
      <c r="BB366" s="863"/>
      <c r="BC366" s="863"/>
      <c r="BD366" s="863"/>
      <c r="BE366" s="863"/>
      <c r="BF366" s="863"/>
      <c r="BG366" s="863"/>
      <c r="BH366" s="863"/>
      <c r="BI366" s="863"/>
      <c r="BJ366" s="863"/>
      <c r="BK366" s="863"/>
      <c r="BL366" s="863"/>
      <c r="BM366" s="863"/>
      <c r="BN366" s="863"/>
      <c r="BO366" s="863"/>
      <c r="BP366" s="880"/>
      <c r="BQ366" s="863"/>
      <c r="BR366" s="889" t="str">
        <f>IFERROR(__xludf.DUMMYFUNCTION("""COMPUTED_VALUE"""),"Mani et al.")</f>
        <v>Mani et al.</v>
      </c>
      <c r="BS366" s="883" t="str">
        <f>IFERROR(__xludf.DUMMYFUNCTION("""COMPUTED_VALUE"""),"South India")</f>
        <v>South India</v>
      </c>
      <c r="BT366" s="883" t="str">
        <f>IFERROR(__xludf.DUMMYFUNCTION("""COMPUTED_VALUE"""),"Albendazole &amp; DiethylCarbamazine")</f>
        <v>Albendazole &amp; DiethylCarbamazine</v>
      </c>
      <c r="BU366" s="883"/>
      <c r="BV366" s="883"/>
      <c r="BW366" s="883"/>
      <c r="BX366" s="883">
        <f>IFERROR(__xludf.DUMMYFUNCTION("""COMPUTED_VALUE"""),646.0)</f>
        <v>646</v>
      </c>
      <c r="BY366" s="890">
        <f>IFERROR(__xludf.DUMMYFUNCTION("""COMPUTED_VALUE"""),42384.0)</f>
        <v>42384</v>
      </c>
      <c r="BZ366" s="883">
        <f>IFERROR(__xludf.DUMMYFUNCTION("""COMPUTED_VALUE"""),2000.0)</f>
        <v>2000</v>
      </c>
      <c r="CA366" s="883"/>
      <c r="CB366" s="883"/>
      <c r="CC366" s="883"/>
      <c r="CD366" s="884"/>
      <c r="CE366" s="883"/>
      <c r="CF366" s="883"/>
      <c r="CG366" s="883"/>
      <c r="CH366" s="883"/>
      <c r="CI366" s="883"/>
      <c r="CJ366" s="883"/>
      <c r="CK366" s="883"/>
      <c r="CL366" s="883"/>
      <c r="CM366" s="883"/>
      <c r="CN366" s="883"/>
      <c r="CO366" s="883"/>
      <c r="CP366" s="883"/>
      <c r="CQ366" s="883"/>
      <c r="CR366" s="883"/>
      <c r="CS366" s="883" t="str">
        <f>IFERROR(__xludf.DUMMYFUNCTION("""COMPUTED_VALUE"""),"In our study, the odds of cure with combination therapy were significantly higher than odds of cure with DEC alone for roundworm (5.3 times) and hookworms (3.5 times). This was also true for odds of cure (5.7 times) for any of three geohelminths, between "&amp;"arms, giving a distinct advantage to combination therapy. The combination resulted in enhanced efficacy of the broad-spectrum activity against geohelminths, especially against Ascaris and hookworms, and a greater proportion of school children (53.5% again"&amp;"st 20.9%) under the combination drug therapy of DEC + ALB perceived the benefits of deworming. These positive factors could in turn lead to greater participation and sustained compliance at higher level by the community in forthcoming MDAs.")</f>
        <v>In our study, the odds of cure with combination therapy were significantly higher than odds of cure with DEC alone for roundworm (5.3 times) and hookworms (3.5 times). This was also true for odds of cure (5.7 times) for any of three geohelminths, between arms, giving a distinct advantage to combination therapy. The combination resulted in enhanced efficacy of the broad-spectrum activity against geohelminths, especially against Ascaris and hookworms, and a greater proportion of school children (53.5% against 20.9%) under the combination drug therapy of DEC + ALB perceived the benefits of deworming. These positive factors could in turn lead to greater participation and sustained compliance at higher level by the community in forthcoming MDAs.</v>
      </c>
      <c r="CT366" s="883"/>
      <c r="CU366" s="883" t="str">
        <f>IFERROR(__xludf.DUMMYFUNCTION("""COMPUTED_VALUE"""),"x")</f>
        <v>x</v>
      </c>
      <c r="CV366" s="863"/>
      <c r="CW366" s="863"/>
      <c r="CX366" s="863"/>
      <c r="CY366" s="863"/>
      <c r="CZ366" s="863"/>
      <c r="DA366" s="863"/>
      <c r="DB366" s="863"/>
      <c r="DC366" s="863"/>
      <c r="DD366" s="863"/>
      <c r="DE366" s="863"/>
    </row>
    <row r="367">
      <c r="A367" s="876"/>
      <c r="B367" s="876"/>
      <c r="C367" s="876"/>
      <c r="D367" s="876"/>
      <c r="E367" s="876"/>
      <c r="F367" s="876"/>
      <c r="G367" s="876"/>
      <c r="H367" s="876"/>
      <c r="I367" s="876"/>
      <c r="J367" s="876"/>
      <c r="K367" s="876"/>
      <c r="L367" s="876"/>
      <c r="M367" s="876"/>
      <c r="N367" s="877"/>
      <c r="O367" s="876"/>
      <c r="P367" s="876"/>
      <c r="Q367" s="876"/>
      <c r="R367" s="876"/>
      <c r="S367" s="876"/>
      <c r="T367" s="876"/>
      <c r="U367" s="876"/>
      <c r="V367" s="876"/>
      <c r="W367" s="876"/>
      <c r="X367" s="876"/>
      <c r="Y367" s="876"/>
      <c r="Z367" s="876"/>
      <c r="AA367" s="876"/>
      <c r="AB367" s="876"/>
      <c r="AC367" s="876"/>
      <c r="AD367" s="876"/>
      <c r="AE367" s="876"/>
      <c r="AF367" s="876"/>
      <c r="AG367" s="876"/>
      <c r="AH367" s="876"/>
      <c r="AI367" s="878"/>
      <c r="AJ367" s="880"/>
      <c r="AK367" s="880"/>
      <c r="AL367" s="880"/>
      <c r="AM367" s="880"/>
      <c r="AN367" s="880"/>
      <c r="AO367" s="880"/>
      <c r="AP367" s="880"/>
      <c r="AQ367" s="880"/>
      <c r="AR367" s="880"/>
      <c r="AS367" s="880"/>
      <c r="AT367" s="880"/>
      <c r="AU367" s="880"/>
      <c r="AV367" s="880"/>
      <c r="AW367" s="881"/>
      <c r="AX367" s="863"/>
      <c r="AY367" s="863"/>
      <c r="AZ367" s="863"/>
      <c r="BA367" s="863"/>
      <c r="BB367" s="863"/>
      <c r="BC367" s="863"/>
      <c r="BD367" s="863"/>
      <c r="BE367" s="863"/>
      <c r="BF367" s="863"/>
      <c r="BG367" s="863"/>
      <c r="BH367" s="863"/>
      <c r="BI367" s="863"/>
      <c r="BJ367" s="863"/>
      <c r="BK367" s="863"/>
      <c r="BL367" s="863"/>
      <c r="BM367" s="863"/>
      <c r="BN367" s="863"/>
      <c r="BO367" s="863"/>
      <c r="BP367" s="880"/>
      <c r="BQ367" s="863"/>
      <c r="BR367" s="889" t="str">
        <f>IFERROR(__xludf.DUMMYFUNCTION("""COMPUTED_VALUE"""),"Ramzy et al.")</f>
        <v>Ramzy et al.</v>
      </c>
      <c r="BS367" s="883" t="str">
        <f>IFERROR(__xludf.DUMMYFUNCTION("""COMPUTED_VALUE"""),"Egypt")</f>
        <v>Egypt</v>
      </c>
      <c r="BT367" s="883" t="str">
        <f>IFERROR(__xludf.DUMMYFUNCTION("""COMPUTED_VALUE"""),"Albendazole &amp; DiethylCarbamazine")</f>
        <v>Albendazole &amp; DiethylCarbamazine</v>
      </c>
      <c r="BU367" s="883"/>
      <c r="BV367" s="883"/>
      <c r="BW367" s="883"/>
      <c r="BX367" s="883">
        <f>IFERROR(__xludf.DUMMYFUNCTION("""COMPUTED_VALUE"""),500.0)</f>
        <v>500</v>
      </c>
      <c r="BY367" s="883" t="str">
        <f>IFERROR(__xludf.DUMMYFUNCTION("""COMPUTED_VALUE"""),"Older than 4")</f>
        <v>Older than 4</v>
      </c>
      <c r="BZ367" s="883"/>
      <c r="CA367" s="883"/>
      <c r="CB367" s="883"/>
      <c r="CC367" s="883"/>
      <c r="CD367" s="884"/>
      <c r="CE367" s="883"/>
      <c r="CF367" s="883"/>
      <c r="CG367" s="883"/>
      <c r="CH367" s="883"/>
      <c r="CI367" s="883"/>
      <c r="CJ367" s="883"/>
      <c r="CK367" s="883"/>
      <c r="CL367" s="883"/>
      <c r="CM367" s="883"/>
      <c r="CN367" s="883"/>
      <c r="CO367" s="883"/>
      <c r="CP367" s="883"/>
      <c r="CQ367" s="883"/>
      <c r="CR367" s="883"/>
      <c r="CS367" s="883" t="str">
        <f>IFERROR(__xludf.DUMMYFUNCTION("""COMPUTED_VALUE"""),"
The present study has also shown the value of following antibody rates in young children to assess changes in lymphatic filariasis transmission after MDA. As with antigen testing, antibody rates can take several years to fall to low levels, but our study"&amp;" has shown that rates can fall and approach zero after several years of effective MDA. Positive antibody tests in young children indicate recent exposure or transmission of the parasite. Conversely, very low antibody rates show that filariasis transmissio"&amp;"n has been largely interrupted. We believe that antibody testing can complement molecular xenomonitoring to monitor changes in filariasis transmission during and after PELFs.")</f>
        <v>
The present study has also shown the value of following antibody rates in young children to assess changes in lymphatic filariasis transmission after MDA. As with antigen testing, antibody rates can take several years to fall to low levels, but our study has shown that rates can fall and approach zero after several years of effective MDA. Positive antibody tests in young children indicate recent exposure or transmission of the parasite. Conversely, very low antibody rates show that filariasis transmission has been largely interrupted. We believe that antibody testing can complement molecular xenomonitoring to monitor changes in filariasis transmission during and after PELFs.</v>
      </c>
      <c r="CT367" s="883"/>
      <c r="CU367" s="883" t="str">
        <f>IFERROR(__xludf.DUMMYFUNCTION("""COMPUTED_VALUE"""),"x")</f>
        <v>x</v>
      </c>
      <c r="CV367" s="863"/>
      <c r="CW367" s="863"/>
      <c r="CX367" s="863"/>
      <c r="CY367" s="863"/>
      <c r="CZ367" s="863"/>
      <c r="DA367" s="863"/>
      <c r="DB367" s="863"/>
      <c r="DC367" s="863"/>
      <c r="DD367" s="863"/>
      <c r="DE367" s="863"/>
    </row>
    <row r="368">
      <c r="A368" s="876"/>
      <c r="B368" s="876"/>
      <c r="C368" s="876"/>
      <c r="D368" s="876"/>
      <c r="E368" s="876"/>
      <c r="F368" s="876"/>
      <c r="G368" s="876"/>
      <c r="H368" s="876"/>
      <c r="I368" s="876"/>
      <c r="J368" s="876"/>
      <c r="K368" s="876"/>
      <c r="L368" s="876"/>
      <c r="M368" s="876"/>
      <c r="N368" s="877"/>
      <c r="O368" s="876"/>
      <c r="P368" s="876"/>
      <c r="Q368" s="876"/>
      <c r="R368" s="876"/>
      <c r="S368" s="876"/>
      <c r="T368" s="876"/>
      <c r="U368" s="876"/>
      <c r="V368" s="876"/>
      <c r="W368" s="876"/>
      <c r="X368" s="876"/>
      <c r="Y368" s="876"/>
      <c r="Z368" s="876"/>
      <c r="AA368" s="876"/>
      <c r="AB368" s="876"/>
      <c r="AC368" s="876"/>
      <c r="AD368" s="876"/>
      <c r="AE368" s="876"/>
      <c r="AF368" s="876"/>
      <c r="AG368" s="876"/>
      <c r="AH368" s="876"/>
      <c r="AI368" s="878"/>
      <c r="AJ368" s="880"/>
      <c r="AK368" s="880"/>
      <c r="AL368" s="880"/>
      <c r="AM368" s="880"/>
      <c r="AN368" s="880"/>
      <c r="AO368" s="880"/>
      <c r="AP368" s="880"/>
      <c r="AQ368" s="880"/>
      <c r="AR368" s="880"/>
      <c r="AS368" s="880"/>
      <c r="AT368" s="880"/>
      <c r="AU368" s="880"/>
      <c r="AV368" s="880"/>
      <c r="AW368" s="881"/>
      <c r="AX368" s="863"/>
      <c r="AY368" s="863"/>
      <c r="AZ368" s="863"/>
      <c r="BA368" s="863"/>
      <c r="BB368" s="863"/>
      <c r="BC368" s="863"/>
      <c r="BD368" s="863"/>
      <c r="BE368" s="863"/>
      <c r="BF368" s="863"/>
      <c r="BG368" s="863"/>
      <c r="BH368" s="863"/>
      <c r="BI368" s="863"/>
      <c r="BJ368" s="863"/>
      <c r="BK368" s="863"/>
      <c r="BL368" s="863"/>
      <c r="BM368" s="863"/>
      <c r="BN368" s="863"/>
      <c r="BO368" s="863"/>
      <c r="BP368" s="880"/>
      <c r="BQ368" s="863"/>
      <c r="BR368" s="889" t="str">
        <f>IFERROR(__xludf.DUMMYFUNCTION("""COMPUTED_VALUE"""),"Rajendran et al.")</f>
        <v>Rajendran et al.</v>
      </c>
      <c r="BS368" s="883" t="str">
        <f>IFERROR(__xludf.DUMMYFUNCTION("""COMPUTED_VALUE"""),"South India")</f>
        <v>South India</v>
      </c>
      <c r="BT368" s="883" t="str">
        <f>IFERROR(__xludf.DUMMYFUNCTION("""COMPUTED_VALUE"""),"Albendazole &amp; DiethylCarbamazine")</f>
        <v>Albendazole &amp; DiethylCarbamazine</v>
      </c>
      <c r="BU368" s="883"/>
      <c r="BV368" s="883"/>
      <c r="BW368" s="883"/>
      <c r="BX368" s="883">
        <f>IFERROR(__xludf.DUMMYFUNCTION("""COMPUTED_VALUE"""),2501.0)</f>
        <v>2501</v>
      </c>
      <c r="BY368" s="890">
        <f>IFERROR(__xludf.DUMMYFUNCTION("""COMPUTED_VALUE"""),42425.0)</f>
        <v>42425</v>
      </c>
      <c r="BZ368" s="883">
        <f>IFERROR(__xludf.DUMMYFUNCTION("""COMPUTED_VALUE"""),2001.0)</f>
        <v>2001</v>
      </c>
      <c r="CA368" s="883"/>
      <c r="CB368" s="883"/>
      <c r="CC368" s="883"/>
      <c r="CD368" s="884"/>
      <c r="CE368" s="883"/>
      <c r="CF368" s="883"/>
      <c r="CG368" s="883"/>
      <c r="CH368" s="883"/>
      <c r="CI368" s="883"/>
      <c r="CJ368" s="883"/>
      <c r="CK368" s="883"/>
      <c r="CL368" s="883"/>
      <c r="CM368" s="883"/>
      <c r="CN368" s="883"/>
      <c r="CO368" s="883"/>
      <c r="CP368" s="883"/>
      <c r="CQ368" s="883"/>
      <c r="CR368" s="883"/>
      <c r="CS368" s="883" t="str">
        <f>IFERROR(__xludf.DUMMYFUNCTION("""COMPUTED_VALUE"""),"Our results suggest that the annual, single-dose combination (DEC + ALB) mass treatment regimen has an enhanced effect against bancroftian filariasis compared to single-drug therapy.")</f>
        <v>Our results suggest that the annual, single-dose combination (DEC + ALB) mass treatment regimen has an enhanced effect against bancroftian filariasis compared to single-drug therapy.</v>
      </c>
      <c r="CT368" s="883"/>
      <c r="CU368" s="883" t="str">
        <f>IFERROR(__xludf.DUMMYFUNCTION("""COMPUTED_VALUE"""),"x")</f>
        <v>x</v>
      </c>
      <c r="CV368" s="863"/>
      <c r="CW368" s="863"/>
      <c r="CX368" s="863"/>
      <c r="CY368" s="863"/>
      <c r="CZ368" s="863"/>
      <c r="DA368" s="863"/>
      <c r="DB368" s="863"/>
      <c r="DC368" s="863"/>
      <c r="DD368" s="863"/>
      <c r="DE368" s="863"/>
    </row>
    <row r="369">
      <c r="A369" s="876"/>
      <c r="B369" s="876"/>
      <c r="C369" s="876"/>
      <c r="D369" s="876"/>
      <c r="E369" s="876"/>
      <c r="F369" s="876"/>
      <c r="G369" s="876"/>
      <c r="H369" s="876"/>
      <c r="I369" s="876"/>
      <c r="J369" s="876"/>
      <c r="K369" s="876"/>
      <c r="L369" s="876"/>
      <c r="M369" s="876"/>
      <c r="N369" s="877"/>
      <c r="O369" s="876"/>
      <c r="P369" s="876"/>
      <c r="Q369" s="876"/>
      <c r="R369" s="876"/>
      <c r="S369" s="876"/>
      <c r="T369" s="876"/>
      <c r="U369" s="876"/>
      <c r="V369" s="876"/>
      <c r="W369" s="876"/>
      <c r="X369" s="876"/>
      <c r="Y369" s="876"/>
      <c r="Z369" s="876"/>
      <c r="AA369" s="876"/>
      <c r="AB369" s="876"/>
      <c r="AC369" s="876"/>
      <c r="AD369" s="876"/>
      <c r="AE369" s="876"/>
      <c r="AF369" s="876"/>
      <c r="AG369" s="876"/>
      <c r="AH369" s="876"/>
      <c r="AI369" s="878"/>
      <c r="AJ369" s="880"/>
      <c r="AK369" s="880"/>
      <c r="AL369" s="880"/>
      <c r="AM369" s="880"/>
      <c r="AN369" s="880"/>
      <c r="AO369" s="880"/>
      <c r="AP369" s="880"/>
      <c r="AQ369" s="880"/>
      <c r="AR369" s="880"/>
      <c r="AS369" s="880"/>
      <c r="AT369" s="880"/>
      <c r="AU369" s="880"/>
      <c r="AV369" s="880"/>
      <c r="AW369" s="881"/>
      <c r="AX369" s="863"/>
      <c r="AY369" s="863"/>
      <c r="AZ369" s="863"/>
      <c r="BA369" s="863"/>
      <c r="BB369" s="863"/>
      <c r="BC369" s="863"/>
      <c r="BD369" s="863"/>
      <c r="BE369" s="863"/>
      <c r="BF369" s="863"/>
      <c r="BG369" s="863"/>
      <c r="BH369" s="863"/>
      <c r="BI369" s="863"/>
      <c r="BJ369" s="863"/>
      <c r="BK369" s="863"/>
      <c r="BL369" s="863"/>
      <c r="BM369" s="863"/>
      <c r="BN369" s="863"/>
      <c r="BO369" s="863"/>
      <c r="BP369" s="880"/>
      <c r="BQ369" s="863"/>
      <c r="BR369" s="889" t="str">
        <f>IFERROR(__xludf.DUMMYFUNCTION("""COMPUTED_VALUE"""),"Njenga et al.")</f>
        <v>Njenga et al.</v>
      </c>
      <c r="BS369" s="883" t="str">
        <f>IFERROR(__xludf.DUMMYFUNCTION("""COMPUTED_VALUE"""),"Kenya")</f>
        <v>Kenya</v>
      </c>
      <c r="BT369" s="883" t="str">
        <f>IFERROR(__xludf.DUMMYFUNCTION("""COMPUTED_VALUE"""),"Albendazole &amp; DiethylCarbamazine")</f>
        <v>Albendazole &amp; DiethylCarbamazine</v>
      </c>
      <c r="BU369" s="883"/>
      <c r="BV369" s="883"/>
      <c r="BW369" s="883"/>
      <c r="BX369" s="883">
        <f>IFERROR(__xludf.DUMMYFUNCTION("""COMPUTED_VALUE"""),797.0)</f>
        <v>797</v>
      </c>
      <c r="BY369" s="883" t="str">
        <f>IFERROR(__xludf.DUMMYFUNCTION("""COMPUTED_VALUE"""),"26.1 average")</f>
        <v>26.1 average</v>
      </c>
      <c r="BZ369" s="883">
        <f>IFERROR(__xludf.DUMMYFUNCTION("""COMPUTED_VALUE"""),2002.0)</f>
        <v>2002</v>
      </c>
      <c r="CA369" s="883" t="str">
        <f>IFERROR(__xludf.DUMMYFUNCTION("""COMPUTED_VALUE"""),"Male: 330 Female:418")</f>
        <v>Male: 330 Female:418</v>
      </c>
      <c r="CB369" s="883"/>
      <c r="CC369" s="883"/>
      <c r="CD369" s="884"/>
      <c r="CE369" s="883"/>
      <c r="CF369" s="883"/>
      <c r="CG369" s="883"/>
      <c r="CH369" s="883"/>
      <c r="CI369" s="883"/>
      <c r="CJ369" s="883"/>
      <c r="CK369" s="883"/>
      <c r="CL369" s="883"/>
      <c r="CM369" s="883"/>
      <c r="CN369" s="883"/>
      <c r="CO369" s="883"/>
      <c r="CP369" s="883"/>
      <c r="CQ369" s="883"/>
      <c r="CR369" s="883"/>
      <c r="CS369" s="883" t="str">
        <f>IFERROR(__xludf.DUMMYFUNCTION("""COMPUTED_VALUE"""),"Different conclusions were reached in a review of 20 stud- ies designed to assess the efficacy and safety of two-drug regimens used in filariasis elimination programmes (Gyapong et al., 2005). This review concluded that the suppression of microfilaraemia "&amp;"is significantly enhanced by the addition of albendazole to DEC or ivermectin compared to either drug alone. In support of enhanced effectiveness of DEC after addition of albendazole, a community-based study in Tamil Nadu, south India reported a significa"&amp;"ntly greater decline in microfilaraemia and antigenaemia in communities treated with a DEC/albendazole combination compared to those treated with DEC alone (Rajendran et al., 2004). The results of the present study indicate a relatively high effec- tivene"&amp;"ss of mass chemotherapy using a DEC/albendazole combination against W. bancrofti infection and therefore it may be a useful strategy to eliminate lymphatic filariasis in onchocerciasis-free areas.
")</f>
        <v>Different conclusions were reached in a review of 20 stud- ies designed to assess the efficacy and safety of two-drug regimens used in filariasis elimination programmes (Gyapong et al., 2005). This review concluded that the suppression of microfilaraemia is significantly enhanced by the addition of albendazole to DEC or ivermectin compared to either drug alone. In support of enhanced effectiveness of DEC after addition of albendazole, a community-based study in Tamil Nadu, south India reported a significantly greater decline in microfilaraemia and antigenaemia in communities treated with a DEC/albendazole combination compared to those treated with DEC alone (Rajendran et al., 2004). The results of the present study indicate a relatively high effec- tiveness of mass chemotherapy using a DEC/albendazole combination against W. bancrofti infection and therefore it may be a useful strategy to eliminate lymphatic filariasis in onchocerciasis-free areas.
</v>
      </c>
      <c r="CT369" s="883"/>
      <c r="CU369" s="883" t="str">
        <f>IFERROR(__xludf.DUMMYFUNCTION("""COMPUTED_VALUE"""),"x")</f>
        <v>x</v>
      </c>
      <c r="CV369" s="863"/>
      <c r="CW369" s="863"/>
      <c r="CX369" s="863"/>
      <c r="CY369" s="863"/>
      <c r="CZ369" s="863"/>
      <c r="DA369" s="863"/>
      <c r="DB369" s="863"/>
      <c r="DC369" s="863"/>
      <c r="DD369" s="863"/>
      <c r="DE369" s="863"/>
    </row>
    <row r="370">
      <c r="A370" s="876"/>
      <c r="B370" s="876"/>
      <c r="C370" s="876"/>
      <c r="D370" s="876"/>
      <c r="E370" s="876"/>
      <c r="F370" s="876"/>
      <c r="G370" s="876"/>
      <c r="H370" s="876"/>
      <c r="I370" s="876"/>
      <c r="J370" s="876"/>
      <c r="K370" s="876"/>
      <c r="L370" s="876"/>
      <c r="M370" s="876"/>
      <c r="N370" s="877"/>
      <c r="O370" s="876"/>
      <c r="P370" s="876"/>
      <c r="Q370" s="876"/>
      <c r="R370" s="876"/>
      <c r="S370" s="876"/>
      <c r="T370" s="876"/>
      <c r="U370" s="876"/>
      <c r="V370" s="876"/>
      <c r="W370" s="876"/>
      <c r="X370" s="876"/>
      <c r="Y370" s="876"/>
      <c r="Z370" s="876"/>
      <c r="AA370" s="876"/>
      <c r="AB370" s="876"/>
      <c r="AC370" s="876"/>
      <c r="AD370" s="876"/>
      <c r="AE370" s="876"/>
      <c r="AF370" s="876"/>
      <c r="AG370" s="876"/>
      <c r="AH370" s="876"/>
      <c r="AI370" s="878"/>
      <c r="AJ370" s="880"/>
      <c r="AK370" s="880"/>
      <c r="AL370" s="880"/>
      <c r="AM370" s="880"/>
      <c r="AN370" s="880"/>
      <c r="AO370" s="880"/>
      <c r="AP370" s="880"/>
      <c r="AQ370" s="880"/>
      <c r="AR370" s="880"/>
      <c r="AS370" s="880"/>
      <c r="AT370" s="880"/>
      <c r="AU370" s="880"/>
      <c r="AV370" s="880"/>
      <c r="AW370" s="881"/>
      <c r="AX370" s="863"/>
      <c r="AY370" s="863"/>
      <c r="AZ370" s="863"/>
      <c r="BA370" s="863"/>
      <c r="BB370" s="863"/>
      <c r="BC370" s="863"/>
      <c r="BD370" s="863"/>
      <c r="BE370" s="863"/>
      <c r="BF370" s="863"/>
      <c r="BG370" s="863"/>
      <c r="BH370" s="863"/>
      <c r="BI370" s="863"/>
      <c r="BJ370" s="863"/>
      <c r="BK370" s="863"/>
      <c r="BL370" s="863"/>
      <c r="BM370" s="863"/>
      <c r="BN370" s="863"/>
      <c r="BO370" s="863"/>
      <c r="BP370" s="880"/>
      <c r="BQ370" s="863"/>
      <c r="BR370" s="889" t="str">
        <f>IFERROR(__xludf.DUMMYFUNCTION("""COMPUTED_VALUE"""),"Ramaiah et al.")</f>
        <v>Ramaiah et al.</v>
      </c>
      <c r="BS370" s="883"/>
      <c r="BT370" s="883" t="str">
        <f>IFERROR(__xludf.DUMMYFUNCTION("""COMPUTED_VALUE"""),"Albendazole &amp; DiethylCarbamazine")</f>
        <v>Albendazole &amp; DiethylCarbamazine</v>
      </c>
      <c r="BU370" s="883"/>
      <c r="BV370" s="883"/>
      <c r="BW370" s="883"/>
      <c r="BX370" s="883">
        <f>IFERROR(__xludf.DUMMYFUNCTION("""COMPUTED_VALUE"""),44.0)</f>
        <v>44</v>
      </c>
      <c r="BY370" s="883" t="str">
        <f>IFERROR(__xludf.DUMMYFUNCTION("""COMPUTED_VALUE"""),"4 and 8 average")</f>
        <v>4 and 8 average</v>
      </c>
      <c r="BZ370" s="883">
        <f>IFERROR(__xludf.DUMMYFUNCTION("""COMPUTED_VALUE"""),2002.0)</f>
        <v>2002</v>
      </c>
      <c r="CA370" s="883"/>
      <c r="CB370" s="883"/>
      <c r="CC370" s="883"/>
      <c r="CD370" s="884"/>
      <c r="CE370" s="883"/>
      <c r="CF370" s="883"/>
      <c r="CG370" s="883"/>
      <c r="CH370" s="883"/>
      <c r="CI370" s="883"/>
      <c r="CJ370" s="883"/>
      <c r="CK370" s="883"/>
      <c r="CL370" s="883"/>
      <c r="CM370" s="883"/>
      <c r="CN370" s="883"/>
      <c r="CO370" s="883"/>
      <c r="CP370" s="883"/>
      <c r="CQ370" s="883"/>
      <c r="CR370" s="883"/>
      <c r="CS370" s="883" t="str">
        <f>IFERROR(__xludf.DUMMYFUNCTION("""COMPUTED_VALUE"""),"The treatment coverage of 55 to 75%, observed in the present study village, is similar to that observed in many LF elimination programmes (Babu and Kar, 2004; de Rochars et al., 2005; Ramaiah et al., 2000) but is less than the effective treatment coverage"&amp;" of 80%. Effective treatment coverage may yield better results than those reported in this study.
We conclude that six to seven DEC treatments per individ- ual have the potential to totally suppress micfofilaraemia in all individuals, except in some of th"&amp;"ose with heavy infection. Slightly less than half of the pre-MDA mf carriers continue to be positive for CFA, but a vast majority of them turned amicrofilaraemic. More follow-up studies in highly endemic villages may be necessary to understand the course "&amp;"of infec- tion in individuals with high intensities of infection and the prospects of elimination of LF.")</f>
        <v>The treatment coverage of 55 to 75%, observed in the present study village, is similar to that observed in many LF elimination programmes (Babu and Kar, 2004; de Rochars et al., 2005; Ramaiah et al., 2000) but is less than the effective treatment coverage of 80%. Effective treatment coverage may yield better results than those reported in this study.
We conclude that six to seven DEC treatments per individ- ual have the potential to totally suppress micfofilaraemia in all individuals, except in some of those with heavy infection. Slightly less than half of the pre-MDA mf carriers continue to be positive for CFA, but a vast majority of them turned amicrofilaraemic. More follow-up studies in highly endemic villages may be necessary to understand the course of infec- tion in individuals with high intensities of infection and the prospects of elimination of LF.</v>
      </c>
      <c r="CT370" s="883"/>
      <c r="CU370" s="883" t="str">
        <f>IFERROR(__xludf.DUMMYFUNCTION("""COMPUTED_VALUE"""),"x")</f>
        <v>x</v>
      </c>
      <c r="CV370" s="863"/>
      <c r="CW370" s="863"/>
      <c r="CX370" s="863"/>
      <c r="CY370" s="863"/>
      <c r="CZ370" s="863"/>
      <c r="DA370" s="863"/>
      <c r="DB370" s="863"/>
      <c r="DC370" s="863"/>
      <c r="DD370" s="863"/>
      <c r="DE370" s="863"/>
    </row>
    <row r="371">
      <c r="A371" s="876"/>
      <c r="B371" s="876"/>
      <c r="C371" s="876"/>
      <c r="D371" s="876"/>
      <c r="E371" s="876"/>
      <c r="F371" s="876"/>
      <c r="G371" s="876"/>
      <c r="H371" s="876"/>
      <c r="I371" s="876"/>
      <c r="J371" s="876"/>
      <c r="K371" s="876"/>
      <c r="L371" s="876"/>
      <c r="M371" s="876"/>
      <c r="N371" s="877"/>
      <c r="O371" s="876"/>
      <c r="P371" s="876"/>
      <c r="Q371" s="876"/>
      <c r="R371" s="876"/>
      <c r="S371" s="876"/>
      <c r="T371" s="876"/>
      <c r="U371" s="876"/>
      <c r="V371" s="876"/>
      <c r="W371" s="876"/>
      <c r="X371" s="876"/>
      <c r="Y371" s="876"/>
      <c r="Z371" s="876"/>
      <c r="AA371" s="876"/>
      <c r="AB371" s="876"/>
      <c r="AC371" s="876"/>
      <c r="AD371" s="876"/>
      <c r="AE371" s="876"/>
      <c r="AF371" s="876"/>
      <c r="AG371" s="876"/>
      <c r="AH371" s="876"/>
      <c r="AI371" s="878"/>
      <c r="AJ371" s="880"/>
      <c r="AK371" s="880"/>
      <c r="AL371" s="880"/>
      <c r="AM371" s="880"/>
      <c r="AN371" s="880"/>
      <c r="AO371" s="880"/>
      <c r="AP371" s="880"/>
      <c r="AQ371" s="880"/>
      <c r="AR371" s="880"/>
      <c r="AS371" s="880"/>
      <c r="AT371" s="880"/>
      <c r="AU371" s="880"/>
      <c r="AV371" s="880"/>
      <c r="AW371" s="881"/>
      <c r="AX371" s="863"/>
      <c r="AY371" s="863"/>
      <c r="AZ371" s="863"/>
      <c r="BA371" s="863"/>
      <c r="BB371" s="863"/>
      <c r="BC371" s="863"/>
      <c r="BD371" s="863"/>
      <c r="BE371" s="863"/>
      <c r="BF371" s="863"/>
      <c r="BG371" s="863"/>
      <c r="BH371" s="863"/>
      <c r="BI371" s="863"/>
      <c r="BJ371" s="863"/>
      <c r="BK371" s="863"/>
      <c r="BL371" s="863"/>
      <c r="BM371" s="863"/>
      <c r="BN371" s="863"/>
      <c r="BO371" s="863"/>
      <c r="BP371" s="880"/>
      <c r="BQ371" s="863"/>
      <c r="BR371" s="889" t="str">
        <f>IFERROR(__xludf.DUMMYFUNCTION("""COMPUTED_VALUE"""),"Njomo")</f>
        <v>Njomo</v>
      </c>
      <c r="BS371" s="883" t="str">
        <f>IFERROR(__xludf.DUMMYFUNCTION("""COMPUTED_VALUE"""),"Kenya")</f>
        <v>Kenya</v>
      </c>
      <c r="BT371" s="883" t="str">
        <f>IFERROR(__xludf.DUMMYFUNCTION("""COMPUTED_VALUE"""),"Albendazole &amp; Praziquantel ")</f>
        <v>Albendazole &amp; Praziquantel </v>
      </c>
      <c r="BU371" s="883"/>
      <c r="BV371" s="883"/>
      <c r="BW371" s="883"/>
      <c r="BX371" s="883">
        <f>IFERROR(__xludf.DUMMYFUNCTION("""COMPUTED_VALUE"""),73.0)</f>
        <v>73</v>
      </c>
      <c r="BY371" s="883" t="str">
        <f>IFERROR(__xludf.DUMMYFUNCTION("""COMPUTED_VALUE"""),"mean 11.4")</f>
        <v>mean 11.4</v>
      </c>
      <c r="BZ371" s="883">
        <f>IFERROR(__xludf.DUMMYFUNCTION("""COMPUTED_VALUE"""),2005.0)</f>
        <v>2005</v>
      </c>
      <c r="CA371" s="883" t="str">
        <f>IFERROR(__xludf.DUMMYFUNCTION("""COMPUTED_VALUE"""),"Male: 39 Female: 34")</f>
        <v>Male: 39 Female: 34</v>
      </c>
      <c r="CB371" s="883"/>
      <c r="CC371" s="883" t="str">
        <f>IFERROR(__xludf.DUMMYFUNCTION("""COMPUTED_VALUE"""),"No")</f>
        <v>No</v>
      </c>
      <c r="CD371" s="884"/>
      <c r="CE371" s="883"/>
      <c r="CF371" s="883"/>
      <c r="CG371" s="883"/>
      <c r="CH371" s="883"/>
      <c r="CI371" s="883"/>
      <c r="CJ371" s="883"/>
      <c r="CK371" s="883"/>
      <c r="CL371" s="883"/>
      <c r="CM371" s="883"/>
      <c r="CN371" s="883"/>
      <c r="CO371" s="883"/>
      <c r="CP371" s="883"/>
      <c r="CQ371" s="883"/>
      <c r="CR371" s="883"/>
      <c r="CS371" s="883" t="str">
        <f>IFERROR(__xludf.DUMMYFUNCTION("""COMPUTED_VALUE"""),"This study shows that both ALB and PZQ have minor side effects, trained schoolteachers can however use the two drugs in MDA for control of S. mansoni and STHs since schools provide an efficient and effective channel to reach large portions of the populati"&amp;"on within a short time, which makes a programme cost effective. The school children experienced minor side effects, which were temporal and required resting under a shade until they subsided. However, the health/medical personnel should be involved in the"&amp;" programme so that they can give moral support and be on standby to handle any severe side effects should they arise. This approach is cost effective and should be adopted for a national de- worming programme.
")</f>
        <v>This study shows that both ALB and PZQ have minor side effects, trained schoolteachers can however use the two drugs in MDA for control of S. mansoni and STHs since schools provide an efficient and effective channel to reach large portions of the population within a short time, which makes a programme cost effective. The school children experienced minor side effects, which were temporal and required resting under a shade until they subsided. However, the health/medical personnel should be involved in the programme so that they can give moral support and be on standby to handle any severe side effects should they arise. This approach is cost effective and should be adopted for a national de- worming programme.
</v>
      </c>
      <c r="CT371" s="883"/>
      <c r="CU371" s="883" t="str">
        <f>IFERROR(__xludf.DUMMYFUNCTION("""COMPUTED_VALUE"""),"x")</f>
        <v>x</v>
      </c>
      <c r="CV371" s="863"/>
      <c r="CW371" s="863"/>
      <c r="CX371" s="863"/>
      <c r="CY371" s="863"/>
      <c r="CZ371" s="863"/>
      <c r="DA371" s="863"/>
      <c r="DB371" s="863"/>
      <c r="DC371" s="863"/>
      <c r="DD371" s="863"/>
      <c r="DE371" s="863"/>
    </row>
    <row r="372">
      <c r="A372" s="876"/>
      <c r="B372" s="876"/>
      <c r="C372" s="876"/>
      <c r="D372" s="876"/>
      <c r="E372" s="876"/>
      <c r="F372" s="876"/>
      <c r="G372" s="876"/>
      <c r="H372" s="876"/>
      <c r="I372" s="876"/>
      <c r="J372" s="876"/>
      <c r="K372" s="876"/>
      <c r="L372" s="876"/>
      <c r="M372" s="876"/>
      <c r="N372" s="877"/>
      <c r="O372" s="876"/>
      <c r="P372" s="876"/>
      <c r="Q372" s="876"/>
      <c r="R372" s="876"/>
      <c r="S372" s="876"/>
      <c r="T372" s="876"/>
      <c r="U372" s="876"/>
      <c r="V372" s="876"/>
      <c r="W372" s="876"/>
      <c r="X372" s="876"/>
      <c r="Y372" s="876"/>
      <c r="Z372" s="876"/>
      <c r="AA372" s="876"/>
      <c r="AB372" s="876"/>
      <c r="AC372" s="876"/>
      <c r="AD372" s="876"/>
      <c r="AE372" s="876"/>
      <c r="AF372" s="876"/>
      <c r="AG372" s="876"/>
      <c r="AH372" s="876"/>
      <c r="AI372" s="878"/>
      <c r="AJ372" s="880"/>
      <c r="AK372" s="880"/>
      <c r="AL372" s="880"/>
      <c r="AM372" s="880"/>
      <c r="AN372" s="880"/>
      <c r="AO372" s="880"/>
      <c r="AP372" s="880"/>
      <c r="AQ372" s="880"/>
      <c r="AR372" s="880"/>
      <c r="AS372" s="880"/>
      <c r="AT372" s="880"/>
      <c r="AU372" s="880"/>
      <c r="AV372" s="880"/>
      <c r="AW372" s="881"/>
      <c r="AX372" s="863"/>
      <c r="AY372" s="863"/>
      <c r="AZ372" s="863"/>
      <c r="BA372" s="863"/>
      <c r="BB372" s="863"/>
      <c r="BC372" s="863"/>
      <c r="BD372" s="863"/>
      <c r="BE372" s="863"/>
      <c r="BF372" s="863"/>
      <c r="BG372" s="863"/>
      <c r="BH372" s="863"/>
      <c r="BI372" s="863"/>
      <c r="BJ372" s="863"/>
      <c r="BK372" s="863"/>
      <c r="BL372" s="863"/>
      <c r="BM372" s="863"/>
      <c r="BN372" s="863"/>
      <c r="BO372" s="863"/>
      <c r="BP372" s="880"/>
      <c r="BQ372" s="863"/>
      <c r="BR372" s="883"/>
      <c r="BS372" s="883"/>
      <c r="BT372" s="883"/>
      <c r="BU372" s="883"/>
      <c r="BV372" s="883"/>
      <c r="BW372" s="883"/>
      <c r="BX372" s="883"/>
      <c r="BY372" s="883"/>
      <c r="BZ372" s="883"/>
      <c r="CA372" s="883"/>
      <c r="CB372" s="883"/>
      <c r="CC372" s="883"/>
      <c r="CD372" s="884"/>
      <c r="CE372" s="883"/>
      <c r="CF372" s="883"/>
      <c r="CG372" s="883"/>
      <c r="CH372" s="883"/>
      <c r="CI372" s="883"/>
      <c r="CJ372" s="883"/>
      <c r="CK372" s="883"/>
      <c r="CL372" s="883"/>
      <c r="CM372" s="883"/>
      <c r="CN372" s="883"/>
      <c r="CO372" s="883"/>
      <c r="CP372" s="883"/>
      <c r="CQ372" s="883"/>
      <c r="CR372" s="883"/>
      <c r="CS372" s="883"/>
      <c r="CT372" s="883"/>
      <c r="CU372" s="883"/>
      <c r="CV372" s="863"/>
      <c r="CW372" s="863"/>
      <c r="CX372" s="863"/>
      <c r="CY372" s="863"/>
      <c r="CZ372" s="863"/>
      <c r="DA372" s="863"/>
      <c r="DB372" s="863"/>
      <c r="DC372" s="863"/>
      <c r="DD372" s="863"/>
      <c r="DE372" s="863"/>
    </row>
    <row r="373">
      <c r="A373" s="876"/>
      <c r="B373" s="876"/>
      <c r="C373" s="876"/>
      <c r="D373" s="876"/>
      <c r="E373" s="876"/>
      <c r="F373" s="876"/>
      <c r="G373" s="876"/>
      <c r="H373" s="876"/>
      <c r="I373" s="876"/>
      <c r="J373" s="876"/>
      <c r="K373" s="876"/>
      <c r="L373" s="876"/>
      <c r="M373" s="876"/>
      <c r="N373" s="877"/>
      <c r="O373" s="876"/>
      <c r="P373" s="876"/>
      <c r="Q373" s="876"/>
      <c r="R373" s="876"/>
      <c r="S373" s="876"/>
      <c r="T373" s="876"/>
      <c r="U373" s="876"/>
      <c r="V373" s="876"/>
      <c r="W373" s="876"/>
      <c r="X373" s="876"/>
      <c r="Y373" s="876"/>
      <c r="Z373" s="876"/>
      <c r="AA373" s="876"/>
      <c r="AB373" s="876"/>
      <c r="AC373" s="876"/>
      <c r="AD373" s="876"/>
      <c r="AE373" s="876"/>
      <c r="AF373" s="876"/>
      <c r="AG373" s="876"/>
      <c r="AH373" s="876"/>
      <c r="AI373" s="878"/>
      <c r="AJ373" s="880"/>
      <c r="AK373" s="880"/>
      <c r="AL373" s="880"/>
      <c r="AM373" s="880"/>
      <c r="AN373" s="880"/>
      <c r="AO373" s="880"/>
      <c r="AP373" s="880"/>
      <c r="AQ373" s="880"/>
      <c r="AR373" s="880"/>
      <c r="AS373" s="880"/>
      <c r="AT373" s="880"/>
      <c r="AU373" s="880"/>
      <c r="AV373" s="880"/>
      <c r="AW373" s="881"/>
      <c r="AX373" s="863"/>
      <c r="AY373" s="863"/>
      <c r="AZ373" s="863"/>
      <c r="BA373" s="863"/>
      <c r="BB373" s="863"/>
      <c r="BC373" s="863"/>
      <c r="BD373" s="863"/>
      <c r="BE373" s="863"/>
      <c r="BF373" s="863"/>
      <c r="BG373" s="863"/>
      <c r="BH373" s="863"/>
      <c r="BI373" s="863"/>
      <c r="BJ373" s="863"/>
      <c r="BK373" s="863"/>
      <c r="BL373" s="863"/>
      <c r="BM373" s="863"/>
      <c r="BN373" s="863"/>
      <c r="BO373" s="863"/>
      <c r="BP373" s="880"/>
      <c r="BQ373" s="863"/>
      <c r="BR373" s="883" t="str">
        <f>IFERROR(__xludf.DUMMYFUNCTION("""COMPUTED_VALUE"""),"Not Roundworm, exclude")</f>
        <v>Not Roundworm, exclude</v>
      </c>
      <c r="BS373" s="883"/>
      <c r="BT373" s="883"/>
      <c r="BU373" s="883"/>
      <c r="BV373" s="883"/>
      <c r="BW373" s="883"/>
      <c r="BX373" s="883"/>
      <c r="BY373" s="883"/>
      <c r="BZ373" s="883"/>
      <c r="CA373" s="883"/>
      <c r="CB373" s="883"/>
      <c r="CC373" s="883"/>
      <c r="CD373" s="884"/>
      <c r="CE373" s="883"/>
      <c r="CF373" s="883"/>
      <c r="CG373" s="883"/>
      <c r="CH373" s="883"/>
      <c r="CI373" s="883"/>
      <c r="CJ373" s="883"/>
      <c r="CK373" s="883"/>
      <c r="CL373" s="883"/>
      <c r="CM373" s="883"/>
      <c r="CN373" s="883"/>
      <c r="CO373" s="883"/>
      <c r="CP373" s="883"/>
      <c r="CQ373" s="883"/>
      <c r="CR373" s="883"/>
      <c r="CS373" s="883"/>
      <c r="CT373" s="883"/>
      <c r="CU373" s="883"/>
      <c r="CV373" s="863"/>
      <c r="CW373" s="863"/>
      <c r="CX373" s="863"/>
      <c r="CY373" s="863"/>
      <c r="CZ373" s="863"/>
      <c r="DA373" s="863"/>
      <c r="DB373" s="863"/>
      <c r="DC373" s="863"/>
      <c r="DD373" s="863"/>
      <c r="DE373" s="863"/>
    </row>
    <row r="374">
      <c r="A374" s="876"/>
      <c r="B374" s="876"/>
      <c r="C374" s="876"/>
      <c r="D374" s="876"/>
      <c r="E374" s="876"/>
      <c r="F374" s="876"/>
      <c r="G374" s="876"/>
      <c r="H374" s="876"/>
      <c r="I374" s="876"/>
      <c r="J374" s="876"/>
      <c r="K374" s="876"/>
      <c r="L374" s="876"/>
      <c r="M374" s="876"/>
      <c r="N374" s="877"/>
      <c r="O374" s="876"/>
      <c r="P374" s="876"/>
      <c r="Q374" s="876"/>
      <c r="R374" s="876"/>
      <c r="S374" s="876"/>
      <c r="T374" s="876"/>
      <c r="U374" s="876"/>
      <c r="V374" s="876"/>
      <c r="W374" s="876"/>
      <c r="X374" s="876"/>
      <c r="Y374" s="876"/>
      <c r="Z374" s="876"/>
      <c r="AA374" s="876"/>
      <c r="AB374" s="876"/>
      <c r="AC374" s="876"/>
      <c r="AD374" s="876"/>
      <c r="AE374" s="876"/>
      <c r="AF374" s="876"/>
      <c r="AG374" s="876"/>
      <c r="AH374" s="876"/>
      <c r="AI374" s="878"/>
      <c r="AJ374" s="880"/>
      <c r="AK374" s="880"/>
      <c r="AL374" s="880"/>
      <c r="AM374" s="880"/>
      <c r="AN374" s="880"/>
      <c r="AO374" s="880"/>
      <c r="AP374" s="880"/>
      <c r="AQ374" s="880"/>
      <c r="AR374" s="880"/>
      <c r="AS374" s="880"/>
      <c r="AT374" s="880"/>
      <c r="AU374" s="880"/>
      <c r="AV374" s="880"/>
      <c r="AW374" s="881"/>
      <c r="AX374" s="863"/>
      <c r="AY374" s="863"/>
      <c r="AZ374" s="863"/>
      <c r="BA374" s="863"/>
      <c r="BB374" s="863"/>
      <c r="BC374" s="863"/>
      <c r="BD374" s="863"/>
      <c r="BE374" s="863"/>
      <c r="BF374" s="863"/>
      <c r="BG374" s="863"/>
      <c r="BH374" s="863"/>
      <c r="BI374" s="863"/>
      <c r="BJ374" s="863"/>
      <c r="BK374" s="863"/>
      <c r="BL374" s="863"/>
      <c r="BM374" s="863"/>
      <c r="BN374" s="863"/>
      <c r="BO374" s="863"/>
      <c r="BP374" s="880"/>
      <c r="BQ374" s="863"/>
      <c r="BR374" s="889" t="str">
        <f>IFERROR(__xludf.DUMMYFUNCTION("""COMPUTED_VALUE"""),"Sirivichayakul et al.")</f>
        <v>Sirivichayakul et al.</v>
      </c>
      <c r="BS374" s="883"/>
      <c r="BT374" s="883" t="str">
        <f>IFERROR(__xludf.DUMMYFUNCTION("""COMPUTED_VALUE"""),"Albendazole &amp; Praziquantel ")</f>
        <v>Albendazole &amp; Praziquantel </v>
      </c>
      <c r="BU374" s="883"/>
      <c r="BV374" s="883">
        <f>IFERROR(__xludf.DUMMYFUNCTION("""COMPUTED_VALUE"""),34.0)</f>
        <v>34</v>
      </c>
      <c r="BW374" s="883" t="str">
        <f>IFERROR(__xludf.DUMMYFUNCTION("""COMPUTED_VALUE"""),"Mean 19.2")</f>
        <v>Mean 19.2</v>
      </c>
      <c r="BX374" s="883" t="str">
        <f>IFERROR(__xludf.DUMMYFUNCTION("""COMPUTED_VALUE"""),"Male: 29 Female: 5")</f>
        <v>Male: 29 Female: 5</v>
      </c>
      <c r="BY374" s="883">
        <f>IFERROR(__xludf.DUMMYFUNCTION("""COMPUTED_VALUE"""),1991.0)</f>
        <v>1991</v>
      </c>
      <c r="BZ374" s="883"/>
      <c r="CA374" s="883" t="str">
        <f>IFERROR(__xludf.DUMMYFUNCTION("""COMPUTED_VALUE"""),"age more than 4 years; no history of allergic reaction to albendazole or praziquantel; no history of cysticercosis; no concurrent pregnancy, active liver or renal diseases, on other serious infectious illnesses.")</f>
        <v>age more than 4 years; no history of allergic reaction to albendazole or praziquantel; no history of cysticercosis; no concurrent pregnancy, active liver or renal diseases, on other serious infectious illnesses.</v>
      </c>
      <c r="CB374" s="884">
        <f>IFERROR(__xludf.DUMMYFUNCTION("""COMPUTED_VALUE"""),0.029)</f>
        <v>0.029</v>
      </c>
      <c r="CC374" s="883" t="str">
        <f>IFERROR(__xludf.DUMMYFUNCTION("""COMPUTED_VALUE"""),"No")</f>
        <v>No</v>
      </c>
      <c r="CD374" s="884"/>
      <c r="CE374" s="883"/>
      <c r="CF374" s="883"/>
      <c r="CG374" s="883"/>
      <c r="CH374" s="883"/>
      <c r="CI374" s="883"/>
      <c r="CJ374" s="883"/>
      <c r="CK374" s="883"/>
      <c r="CL374" s="883"/>
      <c r="CM374" s="883"/>
      <c r="CN374" s="883"/>
      <c r="CO374" s="883"/>
      <c r="CP374" s="883"/>
      <c r="CQ374" s="883"/>
      <c r="CR374" s="883"/>
      <c r="CS374" s="883" t="str">
        <f>IFERROR(__xludf.DUMMYFUNCTION("""COMPUTED_VALUE"""),"
In conclusion, a regimen of 400 mg albendazole daily for 3 days was found to be the most suitable therapy for Trichuris infec- tion. Combination of praziquantel and albendazole was not found to be better or worse than albendazole alone for the treat- men"&amp;"t of Trichuris infection.
")</f>
        <v>
In conclusion, a regimen of 400 mg albendazole daily for 3 days was found to be the most suitable therapy for Trichuris infec- tion. Combination of praziquantel and albendazole was not found to be better or worse than albendazole alone for the treat- ment of Trichuris infection.
</v>
      </c>
      <c r="CT374" s="883"/>
      <c r="CU374" s="883"/>
      <c r="CV374" s="863"/>
      <c r="CW374" s="863"/>
      <c r="CX374" s="863"/>
      <c r="CY374" s="863"/>
      <c r="CZ374" s="863"/>
      <c r="DA374" s="863"/>
      <c r="DB374" s="863"/>
      <c r="DC374" s="863"/>
      <c r="DD374" s="863"/>
      <c r="DE374" s="863"/>
    </row>
    <row r="375">
      <c r="A375" s="876"/>
      <c r="B375" s="876"/>
      <c r="C375" s="876"/>
      <c r="D375" s="876"/>
      <c r="E375" s="876"/>
      <c r="F375" s="876"/>
      <c r="G375" s="876"/>
      <c r="H375" s="876"/>
      <c r="I375" s="876"/>
      <c r="J375" s="876"/>
      <c r="K375" s="876"/>
      <c r="L375" s="876"/>
      <c r="M375" s="876"/>
      <c r="N375" s="877"/>
      <c r="O375" s="876"/>
      <c r="P375" s="876"/>
      <c r="Q375" s="876"/>
      <c r="R375" s="876"/>
      <c r="S375" s="876"/>
      <c r="T375" s="876"/>
      <c r="U375" s="876"/>
      <c r="V375" s="876"/>
      <c r="W375" s="876"/>
      <c r="X375" s="876"/>
      <c r="Y375" s="876"/>
      <c r="Z375" s="876"/>
      <c r="AA375" s="876"/>
      <c r="AB375" s="876"/>
      <c r="AC375" s="876"/>
      <c r="AD375" s="876"/>
      <c r="AE375" s="876"/>
      <c r="AF375" s="876"/>
      <c r="AG375" s="876"/>
      <c r="AH375" s="876"/>
      <c r="AI375" s="878"/>
      <c r="AJ375" s="880"/>
      <c r="AK375" s="880"/>
      <c r="AL375" s="880"/>
      <c r="AM375" s="880"/>
      <c r="AN375" s="880"/>
      <c r="AO375" s="880"/>
      <c r="AP375" s="880"/>
      <c r="AQ375" s="880"/>
      <c r="AR375" s="880"/>
      <c r="AS375" s="880"/>
      <c r="AT375" s="880"/>
      <c r="AU375" s="880"/>
      <c r="AV375" s="880"/>
      <c r="AW375" s="881"/>
      <c r="AX375" s="863"/>
      <c r="AY375" s="863"/>
      <c r="AZ375" s="863"/>
      <c r="BA375" s="863"/>
      <c r="BB375" s="863"/>
      <c r="BC375" s="863"/>
      <c r="BD375" s="863"/>
      <c r="BE375" s="863"/>
      <c r="BF375" s="863"/>
      <c r="BG375" s="863"/>
      <c r="BH375" s="863"/>
      <c r="BI375" s="863"/>
      <c r="BJ375" s="863"/>
      <c r="BK375" s="863"/>
      <c r="BL375" s="863"/>
      <c r="BM375" s="863"/>
      <c r="BN375" s="863"/>
      <c r="BO375" s="863"/>
      <c r="BP375" s="880"/>
      <c r="BQ375" s="863"/>
      <c r="BR375" s="889" t="str">
        <f>IFERROR(__xludf.DUMMYFUNCTION("""COMPUTED_VALUE"""),"Sirivichayakul et al.")</f>
        <v>Sirivichayakul et al.</v>
      </c>
      <c r="BS375" s="883"/>
      <c r="BT375" s="883" t="str">
        <f>IFERROR(__xludf.DUMMYFUNCTION("""COMPUTED_VALUE"""),"Albendazole &amp; Praziquantel ")</f>
        <v>Albendazole &amp; Praziquantel </v>
      </c>
      <c r="BU375" s="883"/>
      <c r="BV375" s="883">
        <f>IFERROR(__xludf.DUMMYFUNCTION("""COMPUTED_VALUE"""),36.0)</f>
        <v>36</v>
      </c>
      <c r="BW375" s="883" t="str">
        <f>IFERROR(__xludf.DUMMYFUNCTION("""COMPUTED_VALUE"""),"Mean 18.1")</f>
        <v>Mean 18.1</v>
      </c>
      <c r="BX375" s="883" t="str">
        <f>IFERROR(__xludf.DUMMYFUNCTION("""COMPUTED_VALUE"""),"Male: 30 Female: 9")</f>
        <v>Male: 30 Female: 9</v>
      </c>
      <c r="BY375" s="883">
        <f>IFERROR(__xludf.DUMMYFUNCTION("""COMPUTED_VALUE"""),1991.0)</f>
        <v>1991</v>
      </c>
      <c r="BZ375" s="883"/>
      <c r="CA375" s="883" t="str">
        <f>IFERROR(__xludf.DUMMYFUNCTION("""COMPUTED_VALUE"""),"age more than 4 years; no history of allergic reaction to albendazole or praziquantel; no history of cysticercosis; no concurrent pregnancy, active liver or renal diseases, on other serious infectious illnesses.")</f>
        <v>age more than 4 years; no history of allergic reaction to albendazole or praziquantel; no history of cysticercosis; no concurrent pregnancy, active liver or renal diseases, on other serious infectious illnesses.</v>
      </c>
      <c r="CB375" s="884">
        <f>IFERROR(__xludf.DUMMYFUNCTION("""COMPUTED_VALUE"""),0.167)</f>
        <v>0.167</v>
      </c>
      <c r="CC375" s="883" t="str">
        <f>IFERROR(__xludf.DUMMYFUNCTION("""COMPUTED_VALUE"""),"No")</f>
        <v>No</v>
      </c>
      <c r="CD375" s="884"/>
      <c r="CE375" s="883"/>
      <c r="CF375" s="883"/>
      <c r="CG375" s="883"/>
      <c r="CH375" s="883"/>
      <c r="CI375" s="883"/>
      <c r="CJ375" s="883"/>
      <c r="CK375" s="883"/>
      <c r="CL375" s="883"/>
      <c r="CM375" s="883"/>
      <c r="CN375" s="883"/>
      <c r="CO375" s="883"/>
      <c r="CP375" s="883"/>
      <c r="CQ375" s="883"/>
      <c r="CR375" s="883"/>
      <c r="CS375" s="883" t="str">
        <f>IFERROR(__xludf.DUMMYFUNCTION("""COMPUTED_VALUE"""),"
In conclusion, a regimen of 400 mg albendazole daily for 3 days was found to be the most suitable therapy for Trichuris infec- tion. Combination of praziquantel and albendazole was not found to be better or worse than albendazole alone for the treat- men"&amp;"t of Trichuris infection.
")</f>
        <v>
In conclusion, a regimen of 400 mg albendazole daily for 3 days was found to be the most suitable therapy for Trichuris infec- tion. Combination of praziquantel and albendazole was not found to be better or worse than albendazole alone for the treat- ment of Trichuris infection.
</v>
      </c>
      <c r="CT375" s="883"/>
      <c r="CU375" s="883"/>
      <c r="CV375" s="863"/>
      <c r="CW375" s="863"/>
      <c r="CX375" s="863"/>
      <c r="CY375" s="863"/>
      <c r="CZ375" s="863"/>
      <c r="DA375" s="863"/>
      <c r="DB375" s="863"/>
      <c r="DC375" s="863"/>
      <c r="DD375" s="863"/>
      <c r="DE375" s="863"/>
    </row>
    <row r="376">
      <c r="A376" s="876"/>
      <c r="B376" s="876"/>
      <c r="C376" s="876"/>
      <c r="D376" s="876"/>
      <c r="E376" s="876"/>
      <c r="F376" s="876"/>
      <c r="G376" s="876"/>
      <c r="H376" s="876"/>
      <c r="I376" s="876"/>
      <c r="J376" s="876"/>
      <c r="K376" s="876"/>
      <c r="L376" s="876"/>
      <c r="M376" s="876"/>
      <c r="N376" s="877"/>
      <c r="O376" s="876"/>
      <c r="P376" s="876"/>
      <c r="Q376" s="876"/>
      <c r="R376" s="876"/>
      <c r="S376" s="876"/>
      <c r="T376" s="876"/>
      <c r="U376" s="876"/>
      <c r="V376" s="876"/>
      <c r="W376" s="876"/>
      <c r="X376" s="876"/>
      <c r="Y376" s="876"/>
      <c r="Z376" s="876"/>
      <c r="AA376" s="876"/>
      <c r="AB376" s="876"/>
      <c r="AC376" s="876"/>
      <c r="AD376" s="876"/>
      <c r="AE376" s="876"/>
      <c r="AF376" s="876"/>
      <c r="AG376" s="876"/>
      <c r="AH376" s="876"/>
      <c r="AI376" s="878"/>
      <c r="AJ376" s="880"/>
      <c r="AK376" s="880"/>
      <c r="AL376" s="880"/>
      <c r="AM376" s="880"/>
      <c r="AN376" s="880"/>
      <c r="AO376" s="880"/>
      <c r="AP376" s="880"/>
      <c r="AQ376" s="880"/>
      <c r="AR376" s="880"/>
      <c r="AS376" s="880"/>
      <c r="AT376" s="880"/>
      <c r="AU376" s="880"/>
      <c r="AV376" s="880"/>
      <c r="AW376" s="881"/>
      <c r="AX376" s="863"/>
      <c r="AY376" s="863"/>
      <c r="AZ376" s="863"/>
      <c r="BA376" s="863"/>
      <c r="BB376" s="863"/>
      <c r="BC376" s="863"/>
      <c r="BD376" s="863"/>
      <c r="BE376" s="863"/>
      <c r="BF376" s="863"/>
      <c r="BG376" s="863"/>
      <c r="BH376" s="863"/>
      <c r="BI376" s="863"/>
      <c r="BJ376" s="863"/>
      <c r="BK376" s="863"/>
      <c r="BL376" s="863"/>
      <c r="BM376" s="863"/>
      <c r="BN376" s="863"/>
      <c r="BO376" s="863"/>
      <c r="BP376" s="880"/>
      <c r="BQ376" s="863"/>
      <c r="BR376" s="889" t="str">
        <f>IFERROR(__xludf.DUMMYFUNCTION("""COMPUTED_VALUE"""),"Mpairwe")</f>
        <v>Mpairwe</v>
      </c>
      <c r="BS376" s="883" t="str">
        <f>IFERROR(__xludf.DUMMYFUNCTION("""COMPUTED_VALUE"""),"Uganda")</f>
        <v>Uganda</v>
      </c>
      <c r="BT376" s="883" t="str">
        <f>IFERROR(__xludf.DUMMYFUNCTION("""COMPUTED_VALUE"""),"Albendazole &amp; Praziquantel ")</f>
        <v>Albendazole &amp; Praziquantel </v>
      </c>
      <c r="BU376" s="883"/>
      <c r="BV376" s="883"/>
      <c r="BW376" s="883"/>
      <c r="BX376" s="883">
        <f>IFERROR(__xludf.DUMMYFUNCTION("""COMPUTED_VALUE"""),628.0)</f>
        <v>628</v>
      </c>
      <c r="BY376" s="883" t="str">
        <f>IFERROR(__xludf.DUMMYFUNCTION("""COMPUTED_VALUE"""),"median 24.5")</f>
        <v>median 24.5</v>
      </c>
      <c r="BZ376" s="883">
        <f>IFERROR(__xludf.DUMMYFUNCTION("""COMPUTED_VALUE"""),2002.0)</f>
        <v>2002</v>
      </c>
      <c r="CA376" s="883"/>
      <c r="CB376" s="883"/>
      <c r="CC376" s="883" t="str">
        <f>IFERROR(__xludf.DUMMYFUNCTION("""COMPUTED_VALUE"""),"Yes")</f>
        <v>Yes</v>
      </c>
      <c r="CD376" s="884"/>
      <c r="CE376" s="883" t="str">
        <f>IFERROR(__xludf.DUMMYFUNCTION("""COMPUTED_VALUE"""),"Yes")</f>
        <v>Yes</v>
      </c>
      <c r="CF376" s="883"/>
      <c r="CG376" s="883"/>
      <c r="CH376" s="883"/>
      <c r="CI376" s="883"/>
      <c r="CJ376" s="883"/>
      <c r="CK376" s="883"/>
      <c r="CL376" s="883"/>
      <c r="CM376" s="883"/>
      <c r="CN376" s="883"/>
      <c r="CO376" s="883"/>
      <c r="CP376" s="883"/>
      <c r="CQ376" s="883"/>
      <c r="CR376" s="883"/>
      <c r="CS376" s="883" t="str">
        <f>IFERROR(__xludf.DUMMYFUNCTION("""COMPUTED_VALUE"""),"The detrimental effects of treatment suggest that exposure to maternal worm infections in utero may protect against eczema and wheeze in infancy. The results for albendazole are also consistent with a direct drug effect. Further studies are required to in"&amp;"vestigate mechanisms of these effects, possible benefits of worms or worm products in primary prevention of allergy, and the possibility that routine deworming during pregnancy may promote allergic disease in the offspring.")</f>
        <v>The detrimental effects of treatment suggest that exposure to maternal worm infections in utero may protect against eczema and wheeze in infancy. The results for albendazole are also consistent with a direct drug effect. Further studies are required to investigate mechanisms of these effects, possible benefits of worms or worm products in primary prevention of allergy, and the possibility that routine deworming during pregnancy may promote allergic disease in the offspring.</v>
      </c>
      <c r="CT376" s="883"/>
      <c r="CU376" s="883"/>
      <c r="CV376" s="863"/>
      <c r="CW376" s="863"/>
      <c r="CX376" s="863"/>
      <c r="CY376" s="863"/>
      <c r="CZ376" s="863"/>
      <c r="DA376" s="863"/>
      <c r="DB376" s="863"/>
      <c r="DC376" s="863"/>
      <c r="DD376" s="863"/>
      <c r="DE376" s="863"/>
    </row>
    <row r="377">
      <c r="A377" s="876"/>
      <c r="B377" s="876"/>
      <c r="C377" s="876"/>
      <c r="D377" s="876"/>
      <c r="E377" s="876"/>
      <c r="F377" s="876"/>
      <c r="G377" s="876"/>
      <c r="H377" s="876"/>
      <c r="I377" s="876"/>
      <c r="J377" s="876"/>
      <c r="K377" s="876"/>
      <c r="L377" s="876"/>
      <c r="M377" s="876"/>
      <c r="N377" s="877"/>
      <c r="O377" s="876"/>
      <c r="P377" s="876"/>
      <c r="Q377" s="876"/>
      <c r="R377" s="876"/>
      <c r="S377" s="876"/>
      <c r="T377" s="876"/>
      <c r="U377" s="876"/>
      <c r="V377" s="876"/>
      <c r="W377" s="876"/>
      <c r="X377" s="876"/>
      <c r="Y377" s="876"/>
      <c r="Z377" s="876"/>
      <c r="AA377" s="876"/>
      <c r="AB377" s="876"/>
      <c r="AC377" s="876"/>
      <c r="AD377" s="876"/>
      <c r="AE377" s="876"/>
      <c r="AF377" s="876"/>
      <c r="AG377" s="876"/>
      <c r="AH377" s="876"/>
      <c r="AI377" s="878"/>
      <c r="AJ377" s="880"/>
      <c r="AK377" s="880"/>
      <c r="AL377" s="880"/>
      <c r="AM377" s="880"/>
      <c r="AN377" s="880"/>
      <c r="AO377" s="880"/>
      <c r="AP377" s="880"/>
      <c r="AQ377" s="880"/>
      <c r="AR377" s="880"/>
      <c r="AS377" s="880"/>
      <c r="AT377" s="880"/>
      <c r="AU377" s="880"/>
      <c r="AV377" s="880"/>
      <c r="AW377" s="881"/>
      <c r="AX377" s="863"/>
      <c r="AY377" s="863"/>
      <c r="AZ377" s="863"/>
      <c r="BA377" s="863"/>
      <c r="BB377" s="863"/>
      <c r="BC377" s="863"/>
      <c r="BD377" s="863"/>
      <c r="BE377" s="863"/>
      <c r="BF377" s="863"/>
      <c r="BG377" s="863"/>
      <c r="BH377" s="863"/>
      <c r="BI377" s="863"/>
      <c r="BJ377" s="863"/>
      <c r="BK377" s="863"/>
      <c r="BL377" s="863"/>
      <c r="BM377" s="863"/>
      <c r="BN377" s="863"/>
      <c r="BO377" s="863"/>
      <c r="BP377" s="880"/>
      <c r="BQ377" s="863"/>
      <c r="BR377" s="889" t="str">
        <f>IFERROR(__xludf.DUMMYFUNCTION("""COMPUTED_VALUE"""),"Chachage")</f>
        <v>Chachage</v>
      </c>
      <c r="BS377" s="883" t="str">
        <f>IFERROR(__xludf.DUMMYFUNCTION("""COMPUTED_VALUE"""),"Israel")</f>
        <v>Israel</v>
      </c>
      <c r="BT377" s="883" t="str">
        <f>IFERROR(__xludf.DUMMYFUNCTION("""COMPUTED_VALUE"""),"Albendazole &amp; Praziquantel ")</f>
        <v>Albendazole &amp; Praziquantel </v>
      </c>
      <c r="BU377" s="883"/>
      <c r="BV377" s="883"/>
      <c r="BW377" s="883"/>
      <c r="BX377" s="883">
        <f>IFERROR(__xludf.DUMMYFUNCTION("""COMPUTED_VALUE"""),386.0)</f>
        <v>386</v>
      </c>
      <c r="BY377" s="883" t="str">
        <f>IFERROR(__xludf.DUMMYFUNCTION("""COMPUTED_VALUE"""),"median 34.7")</f>
        <v>median 34.7</v>
      </c>
      <c r="BZ377" s="883">
        <f>IFERROR(__xludf.DUMMYFUNCTION("""COMPUTED_VALUE"""),1995.0)</f>
        <v>1995</v>
      </c>
      <c r="CA377" s="883" t="str">
        <f>IFERROR(__xludf.DUMMYFUNCTION("""COMPUTED_VALUE"""),"Male: 151 Female: 235")</f>
        <v>Male: 151 Female: 235</v>
      </c>
      <c r="CB377" s="883" t="str">
        <f>IFERROR(__xludf.DUMMYFUNCTION("""COMPUTED_VALUE"""),"We only included subjects with no detectable helminth infection post-treatment (n=177) into this analysis. We first studied the effect of one dose of Albendazole/Praziquantel treatment on eosinophil counts to determine whether helminth treatment has an ef"&amp;"fect on helminth-induced eosinophilia (Table 3).")</f>
        <v>We only included subjects with no detectable helminth infection post-treatment (n=177) into this analysis. We first studied the effect of one dose of Albendazole/Praziquantel treatment on eosinophil counts to determine whether helminth treatment has an effect on helminth-induced eosinophilia (Table 3).</v>
      </c>
      <c r="CC377" s="883" t="str">
        <f>IFERROR(__xludf.DUMMYFUNCTION("""COMPUTED_VALUE"""),"No")</f>
        <v>No</v>
      </c>
      <c r="CD377" s="884"/>
      <c r="CE377" s="883"/>
      <c r="CF377" s="883"/>
      <c r="CG377" s="883"/>
      <c r="CH377" s="883"/>
      <c r="CI377" s="883"/>
      <c r="CJ377" s="883"/>
      <c r="CK377" s="883"/>
      <c r="CL377" s="883"/>
      <c r="CM377" s="883"/>
      <c r="CN377" s="883"/>
      <c r="CO377" s="883"/>
      <c r="CP377" s="883"/>
      <c r="CQ377" s="883"/>
      <c r="CR377" s="883"/>
      <c r="CS377" s="883" t="str">
        <f>IFERROR(__xludf.DUMMYFUNCTION("""COMPUTED_VALUE"""),"
Conclusions: Increased expression of T cell activation markers was associated with Trichuris and Ascaris infections with relatively little effect of helminth treatment.")</f>
        <v>
Conclusions: Increased expression of T cell activation markers was associated with Trichuris and Ascaris infections with relatively little effect of helminth treatment.</v>
      </c>
      <c r="CT377" s="883"/>
      <c r="CU377" s="883"/>
      <c r="CV377" s="863"/>
      <c r="CW377" s="863"/>
      <c r="CX377" s="863"/>
      <c r="CY377" s="863"/>
      <c r="CZ377" s="863"/>
      <c r="DA377" s="863"/>
      <c r="DB377" s="863"/>
      <c r="DC377" s="863"/>
      <c r="DD377" s="863"/>
      <c r="DE377" s="863"/>
    </row>
    <row r="378">
      <c r="A378" s="876"/>
      <c r="B378" s="876"/>
      <c r="C378" s="876"/>
      <c r="D378" s="876"/>
      <c r="E378" s="876"/>
      <c r="F378" s="876"/>
      <c r="G378" s="876"/>
      <c r="H378" s="876"/>
      <c r="I378" s="876"/>
      <c r="J378" s="876"/>
      <c r="K378" s="876"/>
      <c r="L378" s="876"/>
      <c r="M378" s="876"/>
      <c r="N378" s="877"/>
      <c r="O378" s="876"/>
      <c r="P378" s="876"/>
      <c r="Q378" s="876"/>
      <c r="R378" s="876"/>
      <c r="S378" s="876"/>
      <c r="T378" s="876"/>
      <c r="U378" s="876"/>
      <c r="V378" s="876"/>
      <c r="W378" s="876"/>
      <c r="X378" s="876"/>
      <c r="Y378" s="876"/>
      <c r="Z378" s="876"/>
      <c r="AA378" s="876"/>
      <c r="AB378" s="876"/>
      <c r="AC378" s="876"/>
      <c r="AD378" s="876"/>
      <c r="AE378" s="876"/>
      <c r="AF378" s="876"/>
      <c r="AG378" s="876"/>
      <c r="AH378" s="876"/>
      <c r="AI378" s="878"/>
      <c r="AJ378" s="880"/>
      <c r="AK378" s="880"/>
      <c r="AL378" s="880"/>
      <c r="AM378" s="880"/>
      <c r="AN378" s="880"/>
      <c r="AO378" s="880"/>
      <c r="AP378" s="880"/>
      <c r="AQ378" s="880"/>
      <c r="AR378" s="880"/>
      <c r="AS378" s="880"/>
      <c r="AT378" s="880"/>
      <c r="AU378" s="880"/>
      <c r="AV378" s="880"/>
      <c r="AW378" s="881"/>
      <c r="AX378" s="863"/>
      <c r="AY378" s="863"/>
      <c r="AZ378" s="863"/>
      <c r="BA378" s="863"/>
      <c r="BB378" s="863"/>
      <c r="BC378" s="863"/>
      <c r="BD378" s="863"/>
      <c r="BE378" s="863"/>
      <c r="BF378" s="863"/>
      <c r="BG378" s="863"/>
      <c r="BH378" s="863"/>
      <c r="BI378" s="863"/>
      <c r="BJ378" s="863"/>
      <c r="BK378" s="863"/>
      <c r="BL378" s="863"/>
      <c r="BM378" s="863"/>
      <c r="BN378" s="863"/>
      <c r="BO378" s="863"/>
      <c r="BP378" s="880"/>
      <c r="BQ378" s="863"/>
      <c r="BR378" s="889" t="str">
        <f>IFERROR(__xludf.DUMMYFUNCTION("""COMPUTED_VALUE"""),"Scherrer")</f>
        <v>Scherrer</v>
      </c>
      <c r="BS378" s="883" t="str">
        <f>IFERROR(__xludf.DUMMYFUNCTION("""COMPUTED_VALUE"""),"Developing regions in Africa, Asia and Latin America")</f>
        <v>Developing regions in Africa, Asia and Latin America</v>
      </c>
      <c r="BT378" s="883" t="str">
        <f>IFERROR(__xludf.DUMMYFUNCTION("""COMPUTED_VALUE"""),"Albendazole &amp; Praziquantel ")</f>
        <v>Albendazole &amp; Praziquantel </v>
      </c>
      <c r="BU378" s="883"/>
      <c r="BV378" s="883"/>
      <c r="BW378" s="883"/>
      <c r="BX378" s="883"/>
      <c r="BY378" s="883" t="str">
        <f>IFERROR(__xludf.DUMMYFUNCTION("""COMPUTED_VALUE"""),"School age children")</f>
        <v>School age children</v>
      </c>
      <c r="BZ378" s="883">
        <f>IFERROR(__xludf.DUMMYFUNCTION("""COMPUTED_VALUE"""),2004.0)</f>
        <v>2004</v>
      </c>
      <c r="CA378" s="883"/>
      <c r="CB378" s="883"/>
      <c r="CC378" s="883" t="str">
        <f>IFERROR(__xludf.DUMMYFUNCTION("""COMPUTED_VALUE"""),"No")</f>
        <v>No</v>
      </c>
      <c r="CD378" s="884">
        <f>IFERROR(__xludf.DUMMYFUNCTION("""COMPUTED_VALUE"""),0.97)</f>
        <v>0.97</v>
      </c>
      <c r="CE378" s="883"/>
      <c r="CF378" s="883"/>
      <c r="CG378" s="883"/>
      <c r="CH378" s="883"/>
      <c r="CI378" s="883"/>
      <c r="CJ378" s="883"/>
      <c r="CK378" s="883"/>
      <c r="CL378" s="883"/>
      <c r="CM378" s="883"/>
      <c r="CN378" s="883"/>
      <c r="CO378" s="883"/>
      <c r="CP378" s="883"/>
      <c r="CQ378" s="883"/>
      <c r="CR378" s="883"/>
      <c r="CS378" s="883" t="str">
        <f>IFERROR(__xludf.DUMMYFUNCTION("""COMPUTED_VALUE"""),"In spite of the rather low cure rates obtained, albendazole and praziquantel are regarded appropriate in the large-scale morbidity control of hookworm and S. mansoni infections, owing to the high egg reduction rates observed. However, drug efficacy and de"&amp;"velop-ment of drug resistance should be monitored closely in order to assure sustainable morbidity reduction.")</f>
        <v>In spite of the rather low cure rates obtained, albendazole and praziquantel are regarded appropriate in the large-scale morbidity control of hookworm and S. mansoni infections, owing to the high egg reduction rates observed. However, drug efficacy and develop-ment of drug resistance should be monitored closely in order to assure sustainable morbidity reduction.</v>
      </c>
      <c r="CT378" s="883"/>
      <c r="CU378" s="883"/>
      <c r="CV378" s="863"/>
      <c r="CW378" s="863"/>
      <c r="CX378" s="863"/>
      <c r="CY378" s="863"/>
      <c r="CZ378" s="863"/>
      <c r="DA378" s="863"/>
      <c r="DB378" s="863"/>
      <c r="DC378" s="863"/>
      <c r="DD378" s="863"/>
      <c r="DE378" s="863"/>
    </row>
    <row r="379">
      <c r="A379" s="876"/>
      <c r="B379" s="876"/>
      <c r="C379" s="876"/>
      <c r="D379" s="876"/>
      <c r="E379" s="876"/>
      <c r="F379" s="876"/>
      <c r="G379" s="876"/>
      <c r="H379" s="876"/>
      <c r="I379" s="876"/>
      <c r="J379" s="876"/>
      <c r="K379" s="876"/>
      <c r="L379" s="876"/>
      <c r="M379" s="876"/>
      <c r="N379" s="877"/>
      <c r="O379" s="876"/>
      <c r="P379" s="876"/>
      <c r="Q379" s="876"/>
      <c r="R379" s="876"/>
      <c r="S379" s="876"/>
      <c r="T379" s="876"/>
      <c r="U379" s="876"/>
      <c r="V379" s="876"/>
      <c r="W379" s="876"/>
      <c r="X379" s="876"/>
      <c r="Y379" s="876"/>
      <c r="Z379" s="876"/>
      <c r="AA379" s="876"/>
      <c r="AB379" s="876"/>
      <c r="AC379" s="876"/>
      <c r="AD379" s="876"/>
      <c r="AE379" s="876"/>
      <c r="AF379" s="876"/>
      <c r="AG379" s="876"/>
      <c r="AH379" s="876"/>
      <c r="AI379" s="878"/>
      <c r="AJ379" s="880"/>
      <c r="AK379" s="880"/>
      <c r="AL379" s="880"/>
      <c r="AM379" s="880"/>
      <c r="AN379" s="880"/>
      <c r="AO379" s="880"/>
      <c r="AP379" s="880"/>
      <c r="AQ379" s="880"/>
      <c r="AR379" s="880"/>
      <c r="AS379" s="880"/>
      <c r="AT379" s="880"/>
      <c r="AU379" s="880"/>
      <c r="AV379" s="880"/>
      <c r="AW379" s="881"/>
      <c r="AX379" s="863"/>
      <c r="AY379" s="863"/>
      <c r="AZ379" s="863"/>
      <c r="BA379" s="863"/>
      <c r="BB379" s="863"/>
      <c r="BC379" s="863"/>
      <c r="BD379" s="863"/>
      <c r="BE379" s="863"/>
      <c r="BF379" s="863"/>
      <c r="BG379" s="863"/>
      <c r="BH379" s="863"/>
      <c r="BI379" s="863"/>
      <c r="BJ379" s="863"/>
      <c r="BK379" s="863"/>
      <c r="BL379" s="863"/>
      <c r="BM379" s="863"/>
      <c r="BN379" s="863"/>
      <c r="BO379" s="863"/>
      <c r="BP379" s="880"/>
      <c r="BQ379" s="863"/>
      <c r="BR379" s="889" t="str">
        <f>IFERROR(__xludf.DUMMYFUNCTION("""COMPUTED_VALUE"""),"Webb")</f>
        <v>Webb</v>
      </c>
      <c r="BS379" s="883" t="str">
        <f>IFERROR(__xludf.DUMMYFUNCTION("""COMPUTED_VALUE"""),"Uganda")</f>
        <v>Uganda</v>
      </c>
      <c r="BT379" s="883" t="str">
        <f>IFERROR(__xludf.DUMMYFUNCTION("""COMPUTED_VALUE"""),"Albendazole &amp; Praziquantel ")</f>
        <v>Albendazole &amp; Praziquantel </v>
      </c>
      <c r="BU379" s="883"/>
      <c r="BV379" s="883"/>
      <c r="BW379" s="883"/>
      <c r="BX379" s="883">
        <f>IFERROR(__xludf.DUMMYFUNCTION("""COMPUTED_VALUE"""),628.0)</f>
        <v>628</v>
      </c>
      <c r="BY379" s="883" t="str">
        <f>IFERROR(__xludf.DUMMYFUNCTION("""COMPUTED_VALUE"""),"20-35 yrs old")</f>
        <v>20-35 yrs old</v>
      </c>
      <c r="BZ379" s="883">
        <f>IFERROR(__xludf.DUMMYFUNCTION("""COMPUTED_VALUE"""),2003.0)</f>
        <v>2003</v>
      </c>
      <c r="CA379" s="883" t="str">
        <f>IFERROR(__xludf.DUMMYFUNCTION("""COMPUTED_VALUE"""),"Female: 100%")</f>
        <v>Female: 100%</v>
      </c>
      <c r="CB379" s="883" t="str">
        <f>IFERROR(__xludf.DUMMYFUNCTION("""COMPUTED_VALUE"""),"The study population consisted of pregnant women who presented at the government- funded antenatal clinic at Entebbe General Hospital between April 9, 2003, and Nov 24, 2005, where roughly 70% of pregnant women from the study area received antenatal care."&amp;"21 Women were included if resident in the study area, planning to deliver in the hospital, willing to know their HIV status, and in the second or third trimester of pregnancy.")</f>
        <v>The study population consisted of pregnant women who presented at the government- funded antenatal clinic at Entebbe General Hospital between April 9, 2003, and Nov 24, 2005, where roughly 70% of pregnant women from the study area received antenatal care.21 Women were included if resident in the study area, planning to deliver in the hospital, willing to know their HIV status, and in the second or third trimester of pregnancy.</v>
      </c>
      <c r="CC379" s="883" t="str">
        <f>IFERROR(__xludf.DUMMYFUNCTION("""COMPUTED_VALUE"""),"Yes")</f>
        <v>Yes</v>
      </c>
      <c r="CD379" s="884"/>
      <c r="CE379" s="883"/>
      <c r="CF379" s="883"/>
      <c r="CG379" s="883"/>
      <c r="CH379" s="883"/>
      <c r="CI379" s="883"/>
      <c r="CJ379" s="883"/>
      <c r="CK379" s="883"/>
      <c r="CL379" s="883"/>
      <c r="CM379" s="883"/>
      <c r="CN379" s="883"/>
      <c r="CO379" s="883"/>
      <c r="CP379" s="883"/>
      <c r="CQ379" s="883"/>
      <c r="CR379" s="883"/>
      <c r="CS379" s="883" t="str">
        <f>IFERROR(__xludf.DUMMYFUNCTION("""COMPUTED_VALUE"""),"Our results are generalisable to areas with high prevalence but low intensity of helminth infection in young adults, which is a common pattern in areas that are endemic for helminth infection. Findings might differ in populations with higher infection int"&amp;"ensities. These results suggest that, in settings such as Entebbe Municipality and Katabi subcounty, single-dose anthelmintic treatment during pregnancy has no benefit for an infant’s response to immunisation, or for their health and development.")</f>
        <v>Our results are generalisable to areas with high prevalence but low intensity of helminth infection in young adults, which is a common pattern in areas that are endemic for helminth infection. Findings might differ in populations with higher infection intensities. These results suggest that, in settings such as Entebbe Municipality and Katabi subcounty, single-dose anthelmintic treatment during pregnancy has no benefit for an infant’s response to immunisation, or for their health and development.</v>
      </c>
      <c r="CT379" s="883"/>
      <c r="CU379" s="883"/>
      <c r="CV379" s="863"/>
      <c r="CW379" s="863"/>
      <c r="CX379" s="863"/>
      <c r="CY379" s="863"/>
      <c r="CZ379" s="863"/>
      <c r="DA379" s="863"/>
      <c r="DB379" s="863"/>
      <c r="DC379" s="863"/>
      <c r="DD379" s="863"/>
      <c r="DE379" s="863"/>
    </row>
    <row r="380">
      <c r="A380" s="876"/>
      <c r="B380" s="876"/>
      <c r="C380" s="876"/>
      <c r="D380" s="876"/>
      <c r="E380" s="876"/>
      <c r="F380" s="876"/>
      <c r="G380" s="876"/>
      <c r="H380" s="876"/>
      <c r="I380" s="876"/>
      <c r="J380" s="876"/>
      <c r="K380" s="876"/>
      <c r="L380" s="876"/>
      <c r="M380" s="876"/>
      <c r="N380" s="877"/>
      <c r="O380" s="876"/>
      <c r="P380" s="876"/>
      <c r="Q380" s="876"/>
      <c r="R380" s="876"/>
      <c r="S380" s="876"/>
      <c r="T380" s="876"/>
      <c r="U380" s="876"/>
      <c r="V380" s="876"/>
      <c r="W380" s="876"/>
      <c r="X380" s="876"/>
      <c r="Y380" s="876"/>
      <c r="Z380" s="876"/>
      <c r="AA380" s="876"/>
      <c r="AB380" s="876"/>
      <c r="AC380" s="876"/>
      <c r="AD380" s="876"/>
      <c r="AE380" s="876"/>
      <c r="AF380" s="876"/>
      <c r="AG380" s="876"/>
      <c r="AH380" s="876"/>
      <c r="AI380" s="878"/>
      <c r="AJ380" s="880"/>
      <c r="AK380" s="880"/>
      <c r="AL380" s="880"/>
      <c r="AM380" s="880"/>
      <c r="AN380" s="880"/>
      <c r="AO380" s="880"/>
      <c r="AP380" s="880"/>
      <c r="AQ380" s="880"/>
      <c r="AR380" s="880"/>
      <c r="AS380" s="880"/>
      <c r="AT380" s="880"/>
      <c r="AU380" s="880"/>
      <c r="AV380" s="880"/>
      <c r="AW380" s="881"/>
      <c r="AX380" s="863"/>
      <c r="AY380" s="863"/>
      <c r="AZ380" s="863"/>
      <c r="BA380" s="863"/>
      <c r="BB380" s="863"/>
      <c r="BC380" s="863"/>
      <c r="BD380" s="863"/>
      <c r="BE380" s="863"/>
      <c r="BF380" s="863"/>
      <c r="BG380" s="863"/>
      <c r="BH380" s="863"/>
      <c r="BI380" s="863"/>
      <c r="BJ380" s="863"/>
      <c r="BK380" s="863"/>
      <c r="BL380" s="863"/>
      <c r="BM380" s="863"/>
      <c r="BN380" s="863"/>
      <c r="BO380" s="863"/>
      <c r="BP380" s="880"/>
      <c r="BQ380" s="863"/>
      <c r="BR380" s="889" t="str">
        <f>IFERROR(__xludf.DUMMYFUNCTION("""COMPUTED_VALUE"""),"Jamshidi")</f>
        <v>Jamshidi</v>
      </c>
      <c r="BS380" s="883"/>
      <c r="BT380" s="883" t="str">
        <f>IFERROR(__xludf.DUMMYFUNCTION("""COMPUTED_VALUE"""),"Albendazole &amp; Praziquantel ")</f>
        <v>Albendazole &amp; Praziquantel </v>
      </c>
      <c r="BU380" s="883"/>
      <c r="BV380" s="883"/>
      <c r="BW380" s="883"/>
      <c r="BX380" s="883">
        <f>IFERROR(__xludf.DUMMYFUNCTION("""COMPUTED_VALUE"""),9.0)</f>
        <v>9</v>
      </c>
      <c r="BY380" s="883"/>
      <c r="BZ380" s="883"/>
      <c r="CA380" s="883" t="str">
        <f>IFERROR(__xludf.DUMMYFUNCTION("""COMPUTED_VALUE"""),"Male: 9 Female: 5")</f>
        <v>Male: 9 Female: 5</v>
      </c>
      <c r="CB380" s="883" t="str">
        <f>IFERROR(__xludf.DUMMYFUNCTION("""COMPUTED_VALUE"""),"(1) multiple hydatid cysts diagnosed with one of the radiolog- ical methods (computed axial tomography (CT scan), sonography, or simple radiography), (2) confirmed hydatid cyst diagnosis by indirect immunoflorescent antibody (IFA) serology test, (3) singl"&amp;"e cystic lesion (only when the patient disagreed with surgery or the surgery was of high risk for the patient), (4) age over 10 years old, (5) absence of underlying hepatic disease, (6) negative beta-human chori- onic gonadotropin test for women of childb"&amp;"earing age, and (7) agreement to participate in the study and follow-up. After completing a consent form, a questionnaire including demographic information such as age, sex, job and history, physical examination results, medical records with primary labor"&amp;"atory findings (hydatid cyst serology test, peripheral blood leukocytes count, and liver function tests), and radiological findings reports was filled up for each patient.")</f>
        <v>(1) multiple hydatid cysts diagnosed with one of the radiolog- ical methods (computed axial tomography (CT scan), sonography, or simple radiography), (2) confirmed hydatid cyst diagnosis by indirect immunoflorescent antibody (IFA) serology test, (3) single cystic lesion (only when the patient disagreed with surgery or the surgery was of high risk for the patient), (4) age over 10 years old, (5) absence of underlying hepatic disease, (6) negative beta-human chori- onic gonadotropin test for women of childbearing age, and (7) agreement to participate in the study and follow-up. After completing a consent form, a questionnaire including demographic information such as age, sex, job and history, physical examination results, medical records with primary laboratory findings (hydatid cyst serology test, peripheral blood leukocytes count, and liver function tests), and radiological findings reports was filled up for each patient.</v>
      </c>
      <c r="CC380" s="883" t="str">
        <f>IFERROR(__xludf.DUMMYFUNCTION("""COMPUTED_VALUE"""),"No")</f>
        <v>No</v>
      </c>
      <c r="CD380" s="884"/>
      <c r="CE380" s="883"/>
      <c r="CF380" s="883"/>
      <c r="CG380" s="883"/>
      <c r="CH380" s="883"/>
      <c r="CI380" s="883"/>
      <c r="CJ380" s="883"/>
      <c r="CK380" s="883"/>
      <c r="CL380" s="883"/>
      <c r="CM380" s="883"/>
      <c r="CN380" s="883"/>
      <c r="CO380" s="883"/>
      <c r="CP380" s="883"/>
      <c r="CQ380" s="883"/>
      <c r="CR380" s="883"/>
      <c r="CS380" s="883" t="str">
        <f>IFERROR(__xludf.DUMMYFUNCTION("""COMPUTED_VALUE"""),"Regarding the absence of recurrence, it seems that medications may be used as a good alternative to surgery in these patients. On the other hand, because there are some cases with postoperational recurrence or second- ary diffusion, using a combination of"&amp;" scolicidal drugs before and after surgery may prevent postoperational recurrence. Further clinical studies (case–control) are needed in the field of combination therapy and prevention with these combinations to declare the effectiveness of this treatment"&amp;".")</f>
        <v>Regarding the absence of recurrence, it seems that medications may be used as a good alternative to surgery in these patients. On the other hand, because there are some cases with postoperational recurrence or second- ary diffusion, using a combination of scolicidal drugs before and after surgery may prevent postoperational recurrence. Further clinical studies (case–control) are needed in the field of combination therapy and prevention with these combinations to declare the effectiveness of this treatment.</v>
      </c>
      <c r="CT380" s="883"/>
      <c r="CU380" s="883"/>
      <c r="CV380" s="863"/>
      <c r="CW380" s="863"/>
      <c r="CX380" s="863"/>
      <c r="CY380" s="863"/>
      <c r="CZ380" s="863"/>
      <c r="DA380" s="863"/>
      <c r="DB380" s="863"/>
      <c r="DC380" s="863"/>
      <c r="DD380" s="863"/>
      <c r="DE380" s="863"/>
    </row>
    <row r="381">
      <c r="A381" s="876"/>
      <c r="B381" s="876"/>
      <c r="C381" s="876"/>
      <c r="D381" s="876"/>
      <c r="E381" s="876"/>
      <c r="F381" s="876"/>
      <c r="G381" s="876"/>
      <c r="H381" s="876"/>
      <c r="I381" s="876"/>
      <c r="J381" s="876"/>
      <c r="K381" s="876"/>
      <c r="L381" s="876"/>
      <c r="M381" s="876"/>
      <c r="N381" s="877"/>
      <c r="O381" s="876"/>
      <c r="P381" s="876"/>
      <c r="Q381" s="876"/>
      <c r="R381" s="876"/>
      <c r="S381" s="876"/>
      <c r="T381" s="876"/>
      <c r="U381" s="876"/>
      <c r="V381" s="876"/>
      <c r="W381" s="876"/>
      <c r="X381" s="876"/>
      <c r="Y381" s="876"/>
      <c r="Z381" s="876"/>
      <c r="AA381" s="876"/>
      <c r="AB381" s="876"/>
      <c r="AC381" s="876"/>
      <c r="AD381" s="876"/>
      <c r="AE381" s="876"/>
      <c r="AF381" s="876"/>
      <c r="AG381" s="876"/>
      <c r="AH381" s="876"/>
      <c r="AI381" s="878"/>
      <c r="AJ381" s="880"/>
      <c r="AK381" s="880"/>
      <c r="AL381" s="880"/>
      <c r="AM381" s="880"/>
      <c r="AN381" s="880"/>
      <c r="AO381" s="880"/>
      <c r="AP381" s="880"/>
      <c r="AQ381" s="880"/>
      <c r="AR381" s="880"/>
      <c r="AS381" s="880"/>
      <c r="AT381" s="880"/>
      <c r="AU381" s="880"/>
      <c r="AV381" s="880"/>
      <c r="AW381" s="881"/>
      <c r="AX381" s="863"/>
      <c r="AY381" s="863"/>
      <c r="AZ381" s="863"/>
      <c r="BA381" s="863"/>
      <c r="BB381" s="863"/>
      <c r="BC381" s="863"/>
      <c r="BD381" s="863"/>
      <c r="BE381" s="863"/>
      <c r="BF381" s="863"/>
      <c r="BG381" s="863"/>
      <c r="BH381" s="863"/>
      <c r="BI381" s="863"/>
      <c r="BJ381" s="863"/>
      <c r="BK381" s="863"/>
      <c r="BL381" s="863"/>
      <c r="BM381" s="863"/>
      <c r="BN381" s="863"/>
      <c r="BO381" s="863"/>
      <c r="BP381" s="880"/>
      <c r="BQ381" s="863"/>
      <c r="BR381" s="889" t="str">
        <f>IFERROR(__xludf.DUMMYFUNCTION("""COMPUTED_VALUE"""),"Nahmias")</f>
        <v>Nahmias</v>
      </c>
      <c r="BS381" s="883" t="str">
        <f>IFERROR(__xludf.DUMMYFUNCTION("""COMPUTED_VALUE"""),"Israel")</f>
        <v>Israel</v>
      </c>
      <c r="BT381" s="883" t="str">
        <f>IFERROR(__xludf.DUMMYFUNCTION("""COMPUTED_VALUE"""),"Albendazole &amp; Praziquantel ")</f>
        <v>Albendazole &amp; Praziquantel </v>
      </c>
      <c r="BU381" s="883"/>
      <c r="BV381" s="883"/>
      <c r="BW381" s="883"/>
      <c r="BX381" s="883">
        <f>IFERROR(__xludf.DUMMYFUNCTION("""COMPUTED_VALUE"""),5412.0)</f>
        <v>5412</v>
      </c>
      <c r="BY381" s="883"/>
      <c r="BZ381" s="883">
        <f>IFERROR(__xludf.DUMMYFUNCTION("""COMPUTED_VALUE"""),1990.0)</f>
        <v>1990</v>
      </c>
      <c r="CA381" s="883"/>
      <c r="CB381" s="883"/>
      <c r="CC381" s="883" t="str">
        <f>IFERROR(__xludf.DUMMYFUNCTION("""COMPUTED_VALUE"""),"No")</f>
        <v>No</v>
      </c>
      <c r="CD381" s="884" t="str">
        <f>IFERROR(__xludf.DUMMYFUNCTION("""COMPUTED_VALUE"""),"84.4%, 100%")</f>
        <v>84.4%, 100%</v>
      </c>
      <c r="CE381" s="883"/>
      <c r="CF381" s="883"/>
      <c r="CG381" s="883"/>
      <c r="CH381" s="883"/>
      <c r="CI381" s="883"/>
      <c r="CJ381" s="883"/>
      <c r="CK381" s="883"/>
      <c r="CL381" s="883"/>
      <c r="CM381" s="883"/>
      <c r="CN381" s="883"/>
      <c r="CO381" s="883"/>
      <c r="CP381" s="883"/>
      <c r="CQ381" s="883"/>
      <c r="CR381" s="883"/>
      <c r="CS381" s="883" t="str">
        <f>IFERROR(__xludf.DUMMYFUNCTION("""COMPUTED_VALUE"""),"In order to reduce morbidity and local transmission of instestinal parasites, mass treatment should be carried out with albendazole 400 mg and praziquantel 40 mg/kg body weight in a single dose. Intestinal protozoa do not justify mass treatment, but food "&amp;"workers and children in kindergartens or nursery schools should be exmined and treated individually.")</f>
        <v>In order to reduce morbidity and local transmission of instestinal parasites, mass treatment should be carried out with albendazole 400 mg and praziquantel 40 mg/kg body weight in a single dose. Intestinal protozoa do not justify mass treatment, but food workers and children in kindergartens or nursery schools should be exmined and treated individually.</v>
      </c>
      <c r="CT381" s="883"/>
      <c r="CU381" s="883"/>
      <c r="CV381" s="863"/>
      <c r="CW381" s="863"/>
      <c r="CX381" s="863"/>
      <c r="CY381" s="863"/>
      <c r="CZ381" s="863"/>
      <c r="DA381" s="863"/>
      <c r="DB381" s="863"/>
      <c r="DC381" s="863"/>
      <c r="DD381" s="863"/>
      <c r="DE381" s="863"/>
    </row>
    <row r="382">
      <c r="A382" s="876"/>
      <c r="B382" s="876"/>
      <c r="C382" s="876"/>
      <c r="D382" s="876"/>
      <c r="E382" s="876"/>
      <c r="F382" s="876"/>
      <c r="G382" s="876"/>
      <c r="H382" s="876"/>
      <c r="I382" s="876"/>
      <c r="J382" s="876"/>
      <c r="K382" s="876"/>
      <c r="L382" s="876"/>
      <c r="M382" s="876"/>
      <c r="N382" s="877"/>
      <c r="O382" s="876"/>
      <c r="P382" s="876"/>
      <c r="Q382" s="876"/>
      <c r="R382" s="876"/>
      <c r="S382" s="876"/>
      <c r="T382" s="876"/>
      <c r="U382" s="876"/>
      <c r="V382" s="876"/>
      <c r="W382" s="876"/>
      <c r="X382" s="876"/>
      <c r="Y382" s="876"/>
      <c r="Z382" s="876"/>
      <c r="AA382" s="876"/>
      <c r="AB382" s="876"/>
      <c r="AC382" s="876"/>
      <c r="AD382" s="876"/>
      <c r="AE382" s="876"/>
      <c r="AF382" s="876"/>
      <c r="AG382" s="876"/>
      <c r="AH382" s="876"/>
      <c r="AI382" s="878"/>
      <c r="AJ382" s="880"/>
      <c r="AK382" s="880"/>
      <c r="AL382" s="880"/>
      <c r="AM382" s="880"/>
      <c r="AN382" s="880"/>
      <c r="AO382" s="880"/>
      <c r="AP382" s="880"/>
      <c r="AQ382" s="880"/>
      <c r="AR382" s="880"/>
      <c r="AS382" s="880"/>
      <c r="AT382" s="880"/>
      <c r="AU382" s="880"/>
      <c r="AV382" s="880"/>
      <c r="AW382" s="881"/>
      <c r="AX382" s="863"/>
      <c r="AY382" s="863"/>
      <c r="AZ382" s="863"/>
      <c r="BA382" s="863"/>
      <c r="BB382" s="863"/>
      <c r="BC382" s="863"/>
      <c r="BD382" s="863"/>
      <c r="BE382" s="863"/>
      <c r="BF382" s="863"/>
      <c r="BG382" s="863"/>
      <c r="BH382" s="863"/>
      <c r="BI382" s="863"/>
      <c r="BJ382" s="863"/>
      <c r="BK382" s="863"/>
      <c r="BL382" s="863"/>
      <c r="BM382" s="863"/>
      <c r="BN382" s="863"/>
      <c r="BO382" s="863"/>
      <c r="BP382" s="880"/>
      <c r="BQ382" s="863"/>
      <c r="BR382" s="889" t="str">
        <f>IFERROR(__xludf.DUMMYFUNCTION("""COMPUTED_VALUE"""),"Siza")</f>
        <v>Siza</v>
      </c>
      <c r="BS382" s="883" t="str">
        <f>IFERROR(__xludf.DUMMYFUNCTION("""COMPUTED_VALUE"""),"Tanzania")</f>
        <v>Tanzania</v>
      </c>
      <c r="BT382" s="883" t="str">
        <f>IFERROR(__xludf.DUMMYFUNCTION("""COMPUTED_VALUE"""),"Albendazole &amp; Praziquantel ")</f>
        <v>Albendazole &amp; Praziquantel </v>
      </c>
      <c r="BU382" s="883"/>
      <c r="BV382" s="883"/>
      <c r="BW382" s="883"/>
      <c r="BX382" s="883">
        <f>IFERROR(__xludf.DUMMYFUNCTION("""COMPUTED_VALUE"""),1606.0)</f>
        <v>1606</v>
      </c>
      <c r="BY382" s="883"/>
      <c r="BZ382" s="883">
        <f>IFERROR(__xludf.DUMMYFUNCTION("""COMPUTED_VALUE"""),2010.0)</f>
        <v>2010</v>
      </c>
      <c r="CA382" s="883" t="str">
        <f>IFERROR(__xludf.DUMMYFUNCTION("""COMPUTED_VALUE"""),"Male: 50% Female: 50%")</f>
        <v>Male: 50% Female: 50%</v>
      </c>
      <c r="CB382" s="883"/>
      <c r="CC382" s="883" t="str">
        <f>IFERROR(__xludf.DUMMYFUNCTION("""COMPUTED_VALUE"""),"No")</f>
        <v>No</v>
      </c>
      <c r="CD382" s="884"/>
      <c r="CE382" s="883"/>
      <c r="CF382" s="883"/>
      <c r="CG382" s="883"/>
      <c r="CH382" s="883"/>
      <c r="CI382" s="883"/>
      <c r="CJ382" s="883"/>
      <c r="CK382" s="883"/>
      <c r="CL382" s="883"/>
      <c r="CM382" s="883"/>
      <c r="CN382" s="883"/>
      <c r="CO382" s="883"/>
      <c r="CP382" s="883"/>
      <c r="CQ382" s="883"/>
      <c r="CR382" s="883"/>
      <c r="CS382" s="883" t="str">
        <f>IFERROR(__xludf.DUMMYFUNCTION("""COMPUTED_VALUE"""),"The study results showed that schistosomiasis and 3 STHs infections (hookworms, Ascaris, and Trichuris) were co-endem- ic in Lake Victoria basin in Tanzania with a high probability of polyparasitism in the study participants. The prevalence of S. mansoni,"&amp;" S. haematobium, and STHs ranged from low to mod- erate in most parts of the study area. Intestinal schistosomiasis was prevalent along the Lake Victoria shores and decreased with distance from it. Conversely, the prevalence of urogenital schistosomiasis "&amp;"increased with distance from the Lake. The distributions of both schistosome and geohelminth infections have important implications for integrated intervention in- cluding periodic community deworming programmes, provi- sion of safe water supply, and prop"&amp;"er health education relevant to good personal hygiene and good sanitary practices. These activities will facilitate the reduction of both prevalence and intensity of infections of schistosomiasis and STHs in such en- demic communities. Pre- and post-inter"&amp;"vention studies to as- sess knowledge, attitude, and practices of the concerned popu- lation cannot be overemphasized.")</f>
        <v>The study results showed that schistosomiasis and 3 STHs infections (hookworms, Ascaris, and Trichuris) were co-endem- ic in Lake Victoria basin in Tanzania with a high probability of polyparasitism in the study participants. The prevalence of S. mansoni, S. haematobium, and STHs ranged from low to mod- erate in most parts of the study area. Intestinal schistosomiasis was prevalent along the Lake Victoria shores and decreased with distance from it. Conversely, the prevalence of urogenital schistosomiasis increased with distance from the Lake. The distributions of both schistosome and geohelminth infections have important implications for integrated intervention in- cluding periodic community deworming programmes, provi- sion of safe water supply, and proper health education relevant to good personal hygiene and good sanitary practices. These activities will facilitate the reduction of both prevalence and intensity of infections of schistosomiasis and STHs in such en- demic communities. Pre- and post-intervention studies to as- sess knowledge, attitude, and practices of the concerned popu- lation cannot be overemphasized.</v>
      </c>
      <c r="CT382" s="883"/>
      <c r="CU382" s="883"/>
      <c r="CV382" s="863"/>
      <c r="CW382" s="863"/>
      <c r="CX382" s="863"/>
      <c r="CY382" s="863"/>
      <c r="CZ382" s="863"/>
      <c r="DA382" s="863"/>
      <c r="DB382" s="863"/>
      <c r="DC382" s="863"/>
      <c r="DD382" s="863"/>
      <c r="DE382" s="863"/>
    </row>
    <row r="383">
      <c r="A383" s="876"/>
      <c r="B383" s="876"/>
      <c r="C383" s="876"/>
      <c r="D383" s="876"/>
      <c r="E383" s="876"/>
      <c r="F383" s="876"/>
      <c r="G383" s="876"/>
      <c r="H383" s="876"/>
      <c r="I383" s="876"/>
      <c r="J383" s="876"/>
      <c r="K383" s="876"/>
      <c r="L383" s="876"/>
      <c r="M383" s="876"/>
      <c r="N383" s="877"/>
      <c r="O383" s="876"/>
      <c r="P383" s="876"/>
      <c r="Q383" s="876"/>
      <c r="R383" s="876"/>
      <c r="S383" s="876"/>
      <c r="T383" s="876"/>
      <c r="U383" s="876"/>
      <c r="V383" s="876"/>
      <c r="W383" s="876"/>
      <c r="X383" s="876"/>
      <c r="Y383" s="876"/>
      <c r="Z383" s="876"/>
      <c r="AA383" s="876"/>
      <c r="AB383" s="876"/>
      <c r="AC383" s="876"/>
      <c r="AD383" s="876"/>
      <c r="AE383" s="876"/>
      <c r="AF383" s="876"/>
      <c r="AG383" s="876"/>
      <c r="AH383" s="876"/>
      <c r="AI383" s="878"/>
      <c r="AJ383" s="880"/>
      <c r="AK383" s="880"/>
      <c r="AL383" s="880"/>
      <c r="AM383" s="880"/>
      <c r="AN383" s="880"/>
      <c r="AO383" s="880"/>
      <c r="AP383" s="880"/>
      <c r="AQ383" s="880"/>
      <c r="AR383" s="880"/>
      <c r="AS383" s="880"/>
      <c r="AT383" s="880"/>
      <c r="AU383" s="880"/>
      <c r="AV383" s="880"/>
      <c r="AW383" s="881"/>
      <c r="AX383" s="863"/>
      <c r="AY383" s="863"/>
      <c r="AZ383" s="863"/>
      <c r="BA383" s="863"/>
      <c r="BB383" s="863"/>
      <c r="BC383" s="863"/>
      <c r="BD383" s="863"/>
      <c r="BE383" s="863"/>
      <c r="BF383" s="863"/>
      <c r="BG383" s="863"/>
      <c r="BH383" s="863"/>
      <c r="BI383" s="863"/>
      <c r="BJ383" s="863"/>
      <c r="BK383" s="863"/>
      <c r="BL383" s="863"/>
      <c r="BM383" s="863"/>
      <c r="BN383" s="863"/>
      <c r="BO383" s="863"/>
      <c r="BP383" s="880"/>
      <c r="BQ383" s="863"/>
      <c r="BR383" s="889" t="str">
        <f>IFERROR(__xludf.DUMMYFUNCTION("""COMPUTED_VALUE"""),"Siza et al")</f>
        <v>Siza et al</v>
      </c>
      <c r="BS383" s="883" t="str">
        <f>IFERROR(__xludf.DUMMYFUNCTION("""COMPUTED_VALUE"""),"Tanzania")</f>
        <v>Tanzania</v>
      </c>
      <c r="BT383" s="883" t="str">
        <f>IFERROR(__xludf.DUMMYFUNCTION("""COMPUTED_VALUE"""),"Albendazole &amp; Praziquantel ")</f>
        <v>Albendazole &amp; Praziquantel </v>
      </c>
      <c r="BU383" s="883"/>
      <c r="BV383" s="883"/>
      <c r="BW383" s="883"/>
      <c r="BX383" s="896">
        <f>IFERROR(__xludf.DUMMYFUNCTION("""COMPUTED_VALUE"""),5952.0)</f>
        <v>5952</v>
      </c>
      <c r="BY383" s="883"/>
      <c r="BZ383" s="883">
        <f>IFERROR(__xludf.DUMMYFUNCTION("""COMPUTED_VALUE"""),2010.0)</f>
        <v>2010</v>
      </c>
      <c r="CA383" s="883"/>
      <c r="CB383" s="883"/>
      <c r="CC383" s="883" t="str">
        <f>IFERROR(__xludf.DUMMYFUNCTION("""COMPUTED_VALUE"""),"No")</f>
        <v>No</v>
      </c>
      <c r="CD383" s="884"/>
      <c r="CE383" s="883"/>
      <c r="CF383" s="883"/>
      <c r="CG383" s="883"/>
      <c r="CH383" s="883"/>
      <c r="CI383" s="883"/>
      <c r="CJ383" s="883"/>
      <c r="CK383" s="883"/>
      <c r="CL383" s="883"/>
      <c r="CM383" s="883"/>
      <c r="CN383" s="883"/>
      <c r="CO383" s="883"/>
      <c r="CP383" s="883"/>
      <c r="CQ383" s="883"/>
      <c r="CR383" s="883"/>
      <c r="CS383" s="883" t="str">
        <f>IFERROR(__xludf.DUMMYFUNCTION("""COMPUTED_VALUE"""),"From the study findings, we recommend the followings to control schistosomiasis in the study area. First, there is a need for provision of health education to community members. This could be given in a participatory manner so that each member gets engage"&amp;"d in the learning process especially through peer educators. Second, study teams need to conduct regular research in order to control incidence and reinfection rates in the area by carrying out regular treatment exercises. Third, community-based provision"&amp;" of adequate safe water sup- ply and sanitation facilities are imperative. Water supply could be done through construction/drilling of wells at each sub-vil- lage, institutions, and health facility.")</f>
        <v>From the study findings, we recommend the followings to control schistosomiasis in the study area. First, there is a need for provision of health education to community members. This could be given in a participatory manner so that each member gets engaged in the learning process especially through peer educators. Second, study teams need to conduct regular research in order to control incidence and reinfection rates in the area by carrying out regular treatment exercises. Third, community-based provision of adequate safe water sup- ply and sanitation facilities are imperative. Water supply could be done through construction/drilling of wells at each sub-vil- lage, institutions, and health facility.</v>
      </c>
      <c r="CT383" s="883"/>
      <c r="CU383" s="883"/>
      <c r="CV383" s="863"/>
      <c r="CW383" s="863"/>
      <c r="CX383" s="863"/>
      <c r="CY383" s="863"/>
      <c r="CZ383" s="863"/>
      <c r="DA383" s="863"/>
      <c r="DB383" s="863"/>
      <c r="DC383" s="863"/>
      <c r="DD383" s="863"/>
      <c r="DE383" s="863"/>
    </row>
    <row r="384">
      <c r="A384" s="876"/>
      <c r="B384" s="876"/>
      <c r="C384" s="876"/>
      <c r="D384" s="876"/>
      <c r="E384" s="876"/>
      <c r="F384" s="876"/>
      <c r="G384" s="876"/>
      <c r="H384" s="876"/>
      <c r="I384" s="876"/>
      <c r="J384" s="876"/>
      <c r="K384" s="876"/>
      <c r="L384" s="876"/>
      <c r="M384" s="876"/>
      <c r="N384" s="877"/>
      <c r="O384" s="876"/>
      <c r="P384" s="876"/>
      <c r="Q384" s="876"/>
      <c r="R384" s="876"/>
      <c r="S384" s="876"/>
      <c r="T384" s="876"/>
      <c r="U384" s="876"/>
      <c r="V384" s="876"/>
      <c r="W384" s="876"/>
      <c r="X384" s="876"/>
      <c r="Y384" s="876"/>
      <c r="Z384" s="876"/>
      <c r="AA384" s="876"/>
      <c r="AB384" s="876"/>
      <c r="AC384" s="876"/>
      <c r="AD384" s="876"/>
      <c r="AE384" s="876"/>
      <c r="AF384" s="876"/>
      <c r="AG384" s="876"/>
      <c r="AH384" s="876"/>
      <c r="AI384" s="878"/>
      <c r="AJ384" s="880"/>
      <c r="AK384" s="880"/>
      <c r="AL384" s="880"/>
      <c r="AM384" s="880"/>
      <c r="AN384" s="880"/>
      <c r="AO384" s="880"/>
      <c r="AP384" s="880"/>
      <c r="AQ384" s="880"/>
      <c r="AR384" s="880"/>
      <c r="AS384" s="880"/>
      <c r="AT384" s="880"/>
      <c r="AU384" s="880"/>
      <c r="AV384" s="880"/>
      <c r="AW384" s="881"/>
      <c r="AX384" s="863"/>
      <c r="AY384" s="863"/>
      <c r="AZ384" s="863"/>
      <c r="BA384" s="863"/>
      <c r="BB384" s="863"/>
      <c r="BC384" s="863"/>
      <c r="BD384" s="863"/>
      <c r="BE384" s="863"/>
      <c r="BF384" s="863"/>
      <c r="BG384" s="863"/>
      <c r="BH384" s="863"/>
      <c r="BI384" s="863"/>
      <c r="BJ384" s="863"/>
      <c r="BK384" s="863"/>
      <c r="BL384" s="863"/>
      <c r="BM384" s="863"/>
      <c r="BN384" s="863"/>
      <c r="BO384" s="863"/>
      <c r="BP384" s="880"/>
      <c r="BQ384" s="863"/>
      <c r="BR384" s="889" t="str">
        <f>IFERROR(__xludf.DUMMYFUNCTION("""COMPUTED_VALUE"""),"Kinung’hi")</f>
        <v>Kinung’hi</v>
      </c>
      <c r="BS384" s="883" t="str">
        <f>IFERROR(__xludf.DUMMYFUNCTION("""COMPUTED_VALUE"""),"Tanzania")</f>
        <v>Tanzania</v>
      </c>
      <c r="BT384" s="883" t="str">
        <f>IFERROR(__xludf.DUMMYFUNCTION("""COMPUTED_VALUE"""),"Albendazole &amp; Praziquantel ")</f>
        <v>Albendazole &amp; Praziquantel </v>
      </c>
      <c r="BU384" s="883"/>
      <c r="BV384" s="883"/>
      <c r="BW384" s="883"/>
      <c r="BX384" s="883">
        <f>IFERROR(__xludf.DUMMYFUNCTION("""COMPUTED_VALUE"""),1546.0)</f>
        <v>1546</v>
      </c>
      <c r="BY384" s="883" t="str">
        <f>IFERROR(__xludf.DUMMYFUNCTION("""COMPUTED_VALUE"""),"mean 7")</f>
        <v>mean 7</v>
      </c>
      <c r="BZ384" s="883">
        <f>IFERROR(__xludf.DUMMYFUNCTION("""COMPUTED_VALUE"""),2007.0)</f>
        <v>2007</v>
      </c>
      <c r="CA384" s="883" t="str">
        <f>IFERROR(__xludf.DUMMYFUNCTION("""COMPUTED_VALUE"""),"Male: 392 Female: 373")</f>
        <v>Male: 392 Female: 373</v>
      </c>
      <c r="CB384" s="883" t="str">
        <f>IFERROR(__xludf.DUMMYFUNCTION("""COMPUTED_VALUE""")," The inclusion criteria were: Being pre-school children (age 3 to 5 years) or school children (age 6 to 13 years) living in the se- lected villages for at least one year. In addition, selected children were those infected with either S. mansoni or S. haem"&amp;"atobium or both. ")</f>
        <v> The inclusion criteria were: Being pre-school children (age 3 to 5 years) or school children (age 6 to 13 years) living in the se- lected villages for at least one year. In addition, selected children were those infected with either S. mansoni or S. haematobium or both. </v>
      </c>
      <c r="CC384" s="883" t="str">
        <f>IFERROR(__xludf.DUMMYFUNCTION("""COMPUTED_VALUE"""),"No")</f>
        <v>No</v>
      </c>
      <c r="CD384" s="884"/>
      <c r="CE384" s="883"/>
      <c r="CF384" s="883"/>
      <c r="CG384" s="883"/>
      <c r="CH384" s="883"/>
      <c r="CI384" s="883"/>
      <c r="CJ384" s="883"/>
      <c r="CK384" s="883"/>
      <c r="CL384" s="883"/>
      <c r="CM384" s="883"/>
      <c r="CN384" s="883"/>
      <c r="CO384" s="883"/>
      <c r="CP384" s="883"/>
      <c r="CQ384" s="883"/>
      <c r="CR384" s="883"/>
      <c r="CS384" s="883" t="str">
        <f>IFERROR(__xludf.DUMMYFUNCTION("""COMPUTED_VALUE"""),"In conclusion, findings of the current study show that repeated anthelmintic treatment did not have a direct impact on malaria infection (prevalence, malaria parasite density and frequency of malaria attacks) as compared to single dose annual treatment. H"&amp;"owever, both treat- ments had an overall impact in terms of improvements of haemoglobin levels and hence reductions in preva- lence of anaemia.")</f>
        <v>In conclusion, findings of the current study show that repeated anthelmintic treatment did not have a direct impact on malaria infection (prevalence, malaria parasite density and frequency of malaria attacks) as compared to single dose annual treatment. However, both treat- ments had an overall impact in terms of improvements of haemoglobin levels and hence reductions in preva- lence of anaemia.</v>
      </c>
      <c r="CT384" s="883"/>
      <c r="CU384" s="883"/>
      <c r="CV384" s="863"/>
      <c r="CW384" s="863"/>
      <c r="CX384" s="863"/>
      <c r="CY384" s="863"/>
      <c r="CZ384" s="863"/>
      <c r="DA384" s="863"/>
      <c r="DB384" s="863"/>
      <c r="DC384" s="863"/>
      <c r="DD384" s="863"/>
      <c r="DE384" s="863"/>
    </row>
    <row r="385">
      <c r="A385" s="876"/>
      <c r="B385" s="876"/>
      <c r="C385" s="876"/>
      <c r="D385" s="876"/>
      <c r="E385" s="876"/>
      <c r="F385" s="876"/>
      <c r="G385" s="876"/>
      <c r="H385" s="876"/>
      <c r="I385" s="876"/>
      <c r="J385" s="876"/>
      <c r="K385" s="876"/>
      <c r="L385" s="876"/>
      <c r="M385" s="876"/>
      <c r="N385" s="877"/>
      <c r="O385" s="876"/>
      <c r="P385" s="876"/>
      <c r="Q385" s="876"/>
      <c r="R385" s="876"/>
      <c r="S385" s="876"/>
      <c r="T385" s="876"/>
      <c r="U385" s="876"/>
      <c r="V385" s="876"/>
      <c r="W385" s="876"/>
      <c r="X385" s="876"/>
      <c r="Y385" s="876"/>
      <c r="Z385" s="876"/>
      <c r="AA385" s="876"/>
      <c r="AB385" s="876"/>
      <c r="AC385" s="876"/>
      <c r="AD385" s="876"/>
      <c r="AE385" s="876"/>
      <c r="AF385" s="876"/>
      <c r="AG385" s="876"/>
      <c r="AH385" s="876"/>
      <c r="AI385" s="878"/>
      <c r="AJ385" s="880"/>
      <c r="AK385" s="880"/>
      <c r="AL385" s="880"/>
      <c r="AM385" s="880"/>
      <c r="AN385" s="880"/>
      <c r="AO385" s="880"/>
      <c r="AP385" s="880"/>
      <c r="AQ385" s="880"/>
      <c r="AR385" s="880"/>
      <c r="AS385" s="880"/>
      <c r="AT385" s="880"/>
      <c r="AU385" s="880"/>
      <c r="AV385" s="880"/>
      <c r="AW385" s="881"/>
      <c r="AX385" s="863"/>
      <c r="AY385" s="863"/>
      <c r="AZ385" s="863"/>
      <c r="BA385" s="863"/>
      <c r="BB385" s="863"/>
      <c r="BC385" s="863"/>
      <c r="BD385" s="863"/>
      <c r="BE385" s="863"/>
      <c r="BF385" s="863"/>
      <c r="BG385" s="863"/>
      <c r="BH385" s="863"/>
      <c r="BI385" s="863"/>
      <c r="BJ385" s="863"/>
      <c r="BK385" s="863"/>
      <c r="BL385" s="863"/>
      <c r="BM385" s="863"/>
      <c r="BN385" s="863"/>
      <c r="BO385" s="863"/>
      <c r="BP385" s="880"/>
      <c r="BQ385" s="863"/>
      <c r="BR385" s="889" t="str">
        <f>IFERROR(__xludf.DUMMYFUNCTION("""COMPUTED_VALUE"""),"Hürlimann")</f>
        <v>Hürlimann</v>
      </c>
      <c r="BS385" s="883" t="str">
        <f>IFERROR(__xludf.DUMMYFUNCTION("""COMPUTED_VALUE"""),"Côte
d’Ivoire")</f>
        <v>Côte
d’Ivoire</v>
      </c>
      <c r="BT385" s="883" t="str">
        <f>IFERROR(__xludf.DUMMYFUNCTION("""COMPUTED_VALUE"""),"Albendazole &amp; Praziquantel ")</f>
        <v>Albendazole &amp; Praziquantel </v>
      </c>
      <c r="BU385" s="883"/>
      <c r="BV385" s="883"/>
      <c r="BW385" s="883"/>
      <c r="BX385" s="883">
        <f>IFERROR(__xludf.DUMMYFUNCTION("""COMPUTED_VALUE"""),76.0)</f>
        <v>76</v>
      </c>
      <c r="BY385" s="883" t="str">
        <f>IFERROR(__xludf.DUMMYFUNCTION("""COMPUTED_VALUE"""),"mean 10.6")</f>
        <v>mean 10.6</v>
      </c>
      <c r="BZ385" s="883">
        <f>IFERROR(__xludf.DUMMYFUNCTION("""COMPUTED_VALUE"""),2012.0)</f>
        <v>2012</v>
      </c>
      <c r="CA385" s="883" t="str">
        <f>IFERROR(__xludf.DUMMYFUNCTION("""COMPUTED_VALUE"""),"Male: 134 Female: 123")</f>
        <v>Male: 134 Female: 123</v>
      </c>
      <c r="CB385" s="883"/>
      <c r="CC385" s="883" t="str">
        <f>IFERROR(__xludf.DUMMYFUNCTION("""COMPUTED_VALUE"""),"No")</f>
        <v>No</v>
      </c>
      <c r="CD385" s="884">
        <f>IFERROR(__xludf.DUMMYFUNCTION("""COMPUTED_VALUE"""),0.79)</f>
        <v>0.79</v>
      </c>
      <c r="CE385" s="883"/>
      <c r="CF385" s="883"/>
      <c r="CG385" s="883"/>
      <c r="CH385" s="883"/>
      <c r="CI385" s="883"/>
      <c r="CJ385" s="883" t="str">
        <f>IFERROR(__xludf.DUMMYFUNCTION("""COMPUTED_VALUE"""),"For S. mansoni and hookworm, we found ERRs of 98.6% and 99.6%, respectively")</f>
        <v>For S. mansoni and hookworm, we found ERRs of 98.6% and 99.6%, respectively</v>
      </c>
      <c r="CK385" s="883"/>
      <c r="CL385" s="883"/>
      <c r="CM385" s="883"/>
      <c r="CN385" s="883"/>
      <c r="CO385" s="883"/>
      <c r="CP385" s="883"/>
      <c r="CQ385" s="883"/>
      <c r="CR385" s="883"/>
      <c r="CS385" s="883" t="str">
        <f>IFERROR(__xludf.DUMMYFUNCTION("""COMPUTED_VALUE"""),"Our study could not identify major detrimental effects on Plasmodium-related pathology in helminth co-infected individuals, a potential increase of Plasmodium para- sitaemia in S. mansoni-infected children, however, was indicated after two rounds of dewor"&amp;"ming. For future intervention studies assessing effects on clinical and subtle morbidity in helminth-malaria co-endemic settings different interventions and study designs could be an op- tion to consider. These may include the use of supplemen- tary treat"&amp;"ment besides deworming, which also impact on Plasmodium spp. infection and directly on clinical out- comes (e.g. IPT or administration of iron-fortified food products), implemented as a longitudinal cohort study with a follow-up period of at least 2 years"&amp;". We regard the mea- sures used to assess physical and cognitive impairment as appropriate, but future studies may profit from a repeated measures approach and a prolonged follow-up period to strengthen findings and to assess not only potential short- ter"&amp;"m effects. With regard to control and morbidity reduc- tion, our findings highlight the need of combined strat- egies for achieving greater impact and forestalling potential exacerbating effects in settings with stable mal- aria transmission.
")</f>
        <v>Our study could not identify major detrimental effects on Plasmodium-related pathology in helminth co-infected individuals, a potential increase of Plasmodium para- sitaemia in S. mansoni-infected children, however, was indicated after two rounds of deworming. For future intervention studies assessing effects on clinical and subtle morbidity in helminth-malaria co-endemic settings different interventions and study designs could be an op- tion to consider. These may include the use of supplemen- tary treatment besides deworming, which also impact on Plasmodium spp. infection and directly on clinical out- comes (e.g. IPT or administration of iron-fortified food products), implemented as a longitudinal cohort study with a follow-up period of at least 2 years. We regard the mea- sures used to assess physical and cognitive impairment as appropriate, but future studies may profit from a repeated measures approach and a prolonged follow-up period to strengthen findings and to assess not only potential short- term effects. With regard to control and morbidity reduc- tion, our findings highlight the need of combined strat- egies for achieving greater impact and forestalling potential exacerbating effects in settings with stable mal- aria transmission.
</v>
      </c>
      <c r="CT385" s="883"/>
      <c r="CU385" s="883"/>
      <c r="CV385" s="863"/>
      <c r="CW385" s="863"/>
      <c r="CX385" s="863"/>
      <c r="CY385" s="863"/>
      <c r="CZ385" s="863"/>
      <c r="DA385" s="863"/>
      <c r="DB385" s="863"/>
      <c r="DC385" s="863"/>
      <c r="DD385" s="863"/>
      <c r="DE385" s="863"/>
    </row>
    <row r="386">
      <c r="A386" s="876"/>
      <c r="B386" s="876"/>
      <c r="C386" s="876"/>
      <c r="D386" s="876"/>
      <c r="E386" s="876"/>
      <c r="F386" s="876"/>
      <c r="G386" s="876"/>
      <c r="H386" s="876"/>
      <c r="I386" s="876"/>
      <c r="J386" s="876"/>
      <c r="K386" s="876"/>
      <c r="L386" s="876"/>
      <c r="M386" s="876"/>
      <c r="N386" s="877"/>
      <c r="O386" s="876"/>
      <c r="P386" s="876"/>
      <c r="Q386" s="876"/>
      <c r="R386" s="876"/>
      <c r="S386" s="876"/>
      <c r="T386" s="876"/>
      <c r="U386" s="876"/>
      <c r="V386" s="876"/>
      <c r="W386" s="876"/>
      <c r="X386" s="876"/>
      <c r="Y386" s="876"/>
      <c r="Z386" s="876"/>
      <c r="AA386" s="876"/>
      <c r="AB386" s="876"/>
      <c r="AC386" s="876"/>
      <c r="AD386" s="876"/>
      <c r="AE386" s="876"/>
      <c r="AF386" s="876"/>
      <c r="AG386" s="876"/>
      <c r="AH386" s="876"/>
      <c r="AI386" s="878"/>
      <c r="AJ386" s="880"/>
      <c r="AK386" s="880"/>
      <c r="AL386" s="880"/>
      <c r="AM386" s="880"/>
      <c r="AN386" s="880"/>
      <c r="AO386" s="880"/>
      <c r="AP386" s="880"/>
      <c r="AQ386" s="880"/>
      <c r="AR386" s="880"/>
      <c r="AS386" s="880"/>
      <c r="AT386" s="880"/>
      <c r="AU386" s="880"/>
      <c r="AV386" s="880"/>
      <c r="AW386" s="881"/>
      <c r="AX386" s="863"/>
      <c r="AY386" s="863"/>
      <c r="AZ386" s="863"/>
      <c r="BA386" s="863"/>
      <c r="BB386" s="863"/>
      <c r="BC386" s="863"/>
      <c r="BD386" s="863"/>
      <c r="BE386" s="863"/>
      <c r="BF386" s="863"/>
      <c r="BG386" s="863"/>
      <c r="BH386" s="863"/>
      <c r="BI386" s="863"/>
      <c r="BJ386" s="863"/>
      <c r="BK386" s="863"/>
      <c r="BL386" s="863"/>
      <c r="BM386" s="863"/>
      <c r="BN386" s="863"/>
      <c r="BO386" s="863"/>
      <c r="BP386" s="880"/>
      <c r="BQ386" s="863"/>
      <c r="BR386" s="889" t="str">
        <f>IFERROR(__xludf.DUMMYFUNCTION("""COMPUTED_VALUE"""),"Dunyo")</f>
        <v>Dunyo</v>
      </c>
      <c r="BS386" s="883" t="str">
        <f>IFERROR(__xludf.DUMMYFUNCTION("""COMPUTED_VALUE"""),"Ghana")</f>
        <v>Ghana</v>
      </c>
      <c r="BT386" s="883" t="str">
        <f>IFERROR(__xludf.DUMMYFUNCTION("""COMPUTED_VALUE"""),"Ivermectin &amp; Albendazole")</f>
        <v>Ivermectin &amp; Albendazole</v>
      </c>
      <c r="BU386" s="883"/>
      <c r="BV386" s="883" t="str">
        <f>IFERROR(__xludf.DUMMYFUNCTION("""COMPUTED_VALUE"""),"Once")</f>
        <v>Once</v>
      </c>
      <c r="BW386" s="883" t="str">
        <f>IFERROR(__xludf.DUMMYFUNCTION("""COMPUTED_VALUE"""),"(150-200 &amp;kg bodyweight) + 400 mg")</f>
        <v>(150-200 &amp;kg bodyweight) + 400 mg</v>
      </c>
      <c r="BX386" s="883">
        <f>IFERROR(__xludf.DUMMYFUNCTION("""COMPUTED_VALUE"""),370.0)</f>
        <v>370</v>
      </c>
      <c r="BY386" s="883" t="str">
        <f>IFERROR(__xludf.DUMMYFUNCTION("""COMPUTED_VALUE"""),"Mean age of 26.9")</f>
        <v>Mean age of 26.9</v>
      </c>
      <c r="BZ386" s="883">
        <f>IFERROR(__xludf.DUMMYFUNCTION("""COMPUTED_VALUE"""),1996.0)</f>
        <v>1996</v>
      </c>
      <c r="CA386" s="883" t="str">
        <f>IFERROR(__xludf.DUMMYFUNCTION("""COMPUTED_VALUE"""),"(193/177)")</f>
        <v>(193/177)</v>
      </c>
      <c r="CB386" s="883"/>
      <c r="CC386" s="883" t="str">
        <f>IFERROR(__xludf.DUMMYFUNCTION("""COMPUTED_VALUE"""),"Yes")</f>
        <v>Yes</v>
      </c>
      <c r="CD386" s="884"/>
      <c r="CE386" s="883" t="str">
        <f>IFERROR(__xludf.DUMMYFUNCTION("""COMPUTED_VALUE"""),"Yes")</f>
        <v>Yes</v>
      </c>
      <c r="CF386" s="883"/>
      <c r="CG386" s="883"/>
      <c r="CH386" s="883"/>
      <c r="CI386" s="883"/>
      <c r="CJ386" s="883"/>
      <c r="CK386" s="883"/>
      <c r="CL386" s="883"/>
      <c r="CM386" s="883"/>
      <c r="CN386" s="883"/>
      <c r="CO386" s="883"/>
      <c r="CP386" s="883"/>
      <c r="CQ386" s="883"/>
      <c r="CR386" s="883"/>
      <c r="CS386" s="883" t="str">
        <f>IFERROR(__xludf.DUMMYFUNCTION("""COMPUTED_VALUE"""),"The combination of albendazole and ivermectin produced a profound and statistically significant reduction in W bancroft microfilaraemias up to 12 months after treatment. Thus, mf GMIs were reduced to 0*9%, 6.9% and 11.4% ofpre-treatment values at 3,6 and "&amp;"12 months, respectively; 37.0%, 19.6% and 14.1% of those infected before treatment were cleared of mf at the same time points. However, when compared to the treatment with ivermectin alone, the combination treatment was only statistically significantly mo"&amp;"re effective in reducing microfilaraemias at 3 months after treatment, but not at the critical time points of 6 and 12 months after treatment.Furthermore, an ‘area under the curve’ analysis, which summarizes and compares individual responses to treatment "&amp;"over the l-year follow-up period, showed no difference between the ivermectin and combination-treatment groups.")</f>
        <v>The combination of albendazole and ivermectin produced a profound and statistically significant reduction in W bancroft microfilaraemias up to 12 months after treatment. Thus, mf GMIs were reduced to 0*9%, 6.9% and 11.4% ofpre-treatment values at 3,6 and 12 months, respectively; 37.0%, 19.6% and 14.1% of those infected before treatment were cleared of mf at the same time points. However, when compared to the treatment with ivermectin alone, the combination treatment was only statistically significantly more effective in reducing microfilaraemias at 3 months after treatment, but not at the critical time points of 6 and 12 months after treatment.Furthermore, an ‘area under the curve’ analysis, which summarizes and compares individual responses to treatment over the l-year follow-up period, showed no difference between the ivermectin and combination-treatment groups.</v>
      </c>
      <c r="CT386" s="883"/>
      <c r="CU386" s="883"/>
      <c r="CV386" s="863"/>
      <c r="CW386" s="863"/>
      <c r="CX386" s="863"/>
      <c r="CY386" s="863"/>
      <c r="CZ386" s="863"/>
      <c r="DA386" s="863"/>
      <c r="DB386" s="863"/>
      <c r="DC386" s="863"/>
      <c r="DD386" s="863"/>
      <c r="DE386" s="863"/>
    </row>
    <row r="387">
      <c r="A387" s="876"/>
      <c r="B387" s="876"/>
      <c r="C387" s="876"/>
      <c r="D387" s="876"/>
      <c r="E387" s="876"/>
      <c r="F387" s="876"/>
      <c r="G387" s="876"/>
      <c r="H387" s="876"/>
      <c r="I387" s="876"/>
      <c r="J387" s="876"/>
      <c r="K387" s="876"/>
      <c r="L387" s="876"/>
      <c r="M387" s="876"/>
      <c r="N387" s="877"/>
      <c r="O387" s="876"/>
      <c r="P387" s="876"/>
      <c r="Q387" s="876"/>
      <c r="R387" s="876"/>
      <c r="S387" s="876"/>
      <c r="T387" s="876"/>
      <c r="U387" s="876"/>
      <c r="V387" s="876"/>
      <c r="W387" s="876"/>
      <c r="X387" s="876"/>
      <c r="Y387" s="876"/>
      <c r="Z387" s="876"/>
      <c r="AA387" s="876"/>
      <c r="AB387" s="876"/>
      <c r="AC387" s="876"/>
      <c r="AD387" s="876"/>
      <c r="AE387" s="876"/>
      <c r="AF387" s="876"/>
      <c r="AG387" s="876"/>
      <c r="AH387" s="876"/>
      <c r="AI387" s="878"/>
      <c r="AJ387" s="880"/>
      <c r="AK387" s="880"/>
      <c r="AL387" s="880"/>
      <c r="AM387" s="880"/>
      <c r="AN387" s="880"/>
      <c r="AO387" s="880"/>
      <c r="AP387" s="880"/>
      <c r="AQ387" s="880"/>
      <c r="AR387" s="880"/>
      <c r="AS387" s="880"/>
      <c r="AT387" s="880"/>
      <c r="AU387" s="880"/>
      <c r="AV387" s="880"/>
      <c r="AW387" s="881"/>
      <c r="AX387" s="863"/>
      <c r="AY387" s="863"/>
      <c r="AZ387" s="863"/>
      <c r="BA387" s="863"/>
      <c r="BB387" s="863"/>
      <c r="BC387" s="863"/>
      <c r="BD387" s="863"/>
      <c r="BE387" s="863"/>
      <c r="BF387" s="863"/>
      <c r="BG387" s="863"/>
      <c r="BH387" s="863"/>
      <c r="BI387" s="863"/>
      <c r="BJ387" s="863"/>
      <c r="BK387" s="863"/>
      <c r="BL387" s="863"/>
      <c r="BM387" s="863"/>
      <c r="BN387" s="863"/>
      <c r="BO387" s="863"/>
      <c r="BP387" s="880"/>
      <c r="BQ387" s="863"/>
      <c r="BR387" s="889" t="str">
        <f>IFERROR(__xludf.DUMMYFUNCTION("""COMPUTED_VALUE"""),"Dunyo")</f>
        <v>Dunyo</v>
      </c>
      <c r="BS387" s="883" t="str">
        <f>IFERROR(__xludf.DUMMYFUNCTION("""COMPUTED_VALUE"""),"Ghana")</f>
        <v>Ghana</v>
      </c>
      <c r="BT387" s="883" t="str">
        <f>IFERROR(__xludf.DUMMYFUNCTION("""COMPUTED_VALUE"""),"Albendazole")</f>
        <v>Albendazole</v>
      </c>
      <c r="BU387" s="883"/>
      <c r="BV387" s="883" t="str">
        <f>IFERROR(__xludf.DUMMYFUNCTION("""COMPUTED_VALUE"""),"Once")</f>
        <v>Once</v>
      </c>
      <c r="BW387" s="883" t="str">
        <f>IFERROR(__xludf.DUMMYFUNCTION("""COMPUTED_VALUE"""),"400 mg")</f>
        <v>400 mg</v>
      </c>
      <c r="BX387" s="883">
        <f>IFERROR(__xludf.DUMMYFUNCTION("""COMPUTED_VALUE"""),369.0)</f>
        <v>369</v>
      </c>
      <c r="BY387" s="883" t="str">
        <f>IFERROR(__xludf.DUMMYFUNCTION("""COMPUTED_VALUE"""),"Mean age of 25.8")</f>
        <v>Mean age of 25.8</v>
      </c>
      <c r="BZ387" s="883">
        <f>IFERROR(__xludf.DUMMYFUNCTION("""COMPUTED_VALUE"""),1996.0)</f>
        <v>1996</v>
      </c>
      <c r="CA387" s="883" t="str">
        <f>IFERROR(__xludf.DUMMYFUNCTION("""COMPUTED_VALUE"""),"(175/194)")</f>
        <v>(175/194)</v>
      </c>
      <c r="CB387" s="883"/>
      <c r="CC387" s="883" t="str">
        <f>IFERROR(__xludf.DUMMYFUNCTION("""COMPUTED_VALUE"""),"Yes")</f>
        <v>Yes</v>
      </c>
      <c r="CD387" s="884"/>
      <c r="CE387" s="883" t="str">
        <f>IFERROR(__xludf.DUMMYFUNCTION("""COMPUTED_VALUE"""),"Yes")</f>
        <v>Yes</v>
      </c>
      <c r="CF387" s="883"/>
      <c r="CG387" s="883"/>
      <c r="CH387" s="883"/>
      <c r="CI387" s="883"/>
      <c r="CJ387" s="883"/>
      <c r="CK387" s="883"/>
      <c r="CL387" s="883"/>
      <c r="CM387" s="883"/>
      <c r="CN387" s="883"/>
      <c r="CO387" s="883"/>
      <c r="CP387" s="883"/>
      <c r="CQ387" s="883"/>
      <c r="CR387" s="883"/>
      <c r="CS387" s="883" t="str">
        <f>IFERROR(__xludf.DUMMYFUNCTION("""COMPUTED_VALUE"""),"The combination of albendazole and ivermectin produced a profound and statistically significant reduction in W bancroft microfilaraemias up to 12 months after treatment. Thus, mf GMIs were reduced to 0*9%, 6.9% and 11.4% ofpre-treatment values at 3,6 and "&amp;"12 months, respectively; 37.0%, 19.6% and 14.1% of those infected before treatment were cleared of mf at the same time points. However, when compared to the treatment with ivermectin alone, the combination treatment was only statistically significantly mo"&amp;"re effective in reducing microfilaraemias at 3 months after treatment, but not at the critical time points of 6 and 12 months after treatment.Furthermore, an ‘area under the curve’ analysis, which summarizes and compares individual responses to treatment "&amp;"over the l-year follow-up period, showed no difference between the ivermectin and combination-treatment groups.")</f>
        <v>The combination of albendazole and ivermectin produced a profound and statistically significant reduction in W bancroft microfilaraemias up to 12 months after treatment. Thus, mf GMIs were reduced to 0*9%, 6.9% and 11.4% ofpre-treatment values at 3,6 and 12 months, respectively; 37.0%, 19.6% and 14.1% of those infected before treatment were cleared of mf at the same time points. However, when compared to the treatment with ivermectin alone, the combination treatment was only statistically significantly more effective in reducing microfilaraemias at 3 months after treatment, but not at the critical time points of 6 and 12 months after treatment.Furthermore, an ‘area under the curve’ analysis, which summarizes and compares individual responses to treatment over the l-year follow-up period, showed no difference between the ivermectin and combination-treatment groups.</v>
      </c>
      <c r="CT387" s="883"/>
      <c r="CU387" s="883"/>
      <c r="CV387" s="863"/>
      <c r="CW387" s="863"/>
      <c r="CX387" s="863"/>
      <c r="CY387" s="863"/>
      <c r="CZ387" s="863"/>
      <c r="DA387" s="863"/>
      <c r="DB387" s="863"/>
      <c r="DC387" s="863"/>
      <c r="DD387" s="863"/>
      <c r="DE387" s="863"/>
    </row>
    <row r="388">
      <c r="A388" s="876"/>
      <c r="B388" s="876"/>
      <c r="C388" s="876"/>
      <c r="D388" s="876"/>
      <c r="E388" s="876"/>
      <c r="F388" s="876"/>
      <c r="G388" s="876"/>
      <c r="H388" s="876"/>
      <c r="I388" s="876"/>
      <c r="J388" s="876"/>
      <c r="K388" s="876"/>
      <c r="L388" s="876"/>
      <c r="M388" s="876"/>
      <c r="N388" s="877"/>
      <c r="O388" s="876"/>
      <c r="P388" s="876"/>
      <c r="Q388" s="876"/>
      <c r="R388" s="876"/>
      <c r="S388" s="876"/>
      <c r="T388" s="876"/>
      <c r="U388" s="876"/>
      <c r="V388" s="876"/>
      <c r="W388" s="876"/>
      <c r="X388" s="876"/>
      <c r="Y388" s="876"/>
      <c r="Z388" s="876"/>
      <c r="AA388" s="876"/>
      <c r="AB388" s="876"/>
      <c r="AC388" s="876"/>
      <c r="AD388" s="876"/>
      <c r="AE388" s="876"/>
      <c r="AF388" s="876"/>
      <c r="AG388" s="876"/>
      <c r="AH388" s="876"/>
      <c r="AI388" s="878"/>
      <c r="AJ388" s="880"/>
      <c r="AK388" s="880"/>
      <c r="AL388" s="880"/>
      <c r="AM388" s="880"/>
      <c r="AN388" s="880"/>
      <c r="AO388" s="880"/>
      <c r="AP388" s="880"/>
      <c r="AQ388" s="880"/>
      <c r="AR388" s="880"/>
      <c r="AS388" s="880"/>
      <c r="AT388" s="880"/>
      <c r="AU388" s="880"/>
      <c r="AV388" s="880"/>
      <c r="AW388" s="881"/>
      <c r="AX388" s="863"/>
      <c r="AY388" s="863"/>
      <c r="AZ388" s="863"/>
      <c r="BA388" s="863"/>
      <c r="BB388" s="863"/>
      <c r="BC388" s="863"/>
      <c r="BD388" s="863"/>
      <c r="BE388" s="863"/>
      <c r="BF388" s="863"/>
      <c r="BG388" s="863"/>
      <c r="BH388" s="863"/>
      <c r="BI388" s="863"/>
      <c r="BJ388" s="863"/>
      <c r="BK388" s="863"/>
      <c r="BL388" s="863"/>
      <c r="BM388" s="863"/>
      <c r="BN388" s="863"/>
      <c r="BO388" s="863"/>
      <c r="BP388" s="880"/>
      <c r="BQ388" s="863"/>
      <c r="BR388" s="889" t="str">
        <f>IFERROR(__xludf.DUMMYFUNCTION("""COMPUTED_VALUE"""),"Dunyo")</f>
        <v>Dunyo</v>
      </c>
      <c r="BS388" s="883" t="str">
        <f>IFERROR(__xludf.DUMMYFUNCTION("""COMPUTED_VALUE"""),"Ghana")</f>
        <v>Ghana</v>
      </c>
      <c r="BT388" s="883" t="str">
        <f>IFERROR(__xludf.DUMMYFUNCTION("""COMPUTED_VALUE"""),"Ivermectin")</f>
        <v>Ivermectin</v>
      </c>
      <c r="BU388" s="883"/>
      <c r="BV388" s="883" t="str">
        <f>IFERROR(__xludf.DUMMYFUNCTION("""COMPUTED_VALUE"""),"Once")</f>
        <v>Once</v>
      </c>
      <c r="BW388" s="883" t="str">
        <f>IFERROR(__xludf.DUMMYFUNCTION("""COMPUTED_VALUE"""),"(150-200 &amp;kg bodyweight)")</f>
        <v>(150-200 &amp;kg bodyweight)</v>
      </c>
      <c r="BX388" s="883">
        <f>IFERROR(__xludf.DUMMYFUNCTION("""COMPUTED_VALUE"""),336.0)</f>
        <v>336</v>
      </c>
      <c r="BY388" s="883" t="str">
        <f>IFERROR(__xludf.DUMMYFUNCTION("""COMPUTED_VALUE"""),"Mean age of 26.8")</f>
        <v>Mean age of 26.8</v>
      </c>
      <c r="BZ388" s="883">
        <f>IFERROR(__xludf.DUMMYFUNCTION("""COMPUTED_VALUE"""),1996.0)</f>
        <v>1996</v>
      </c>
      <c r="CA388" s="883" t="str">
        <f>IFERROR(__xludf.DUMMYFUNCTION("""COMPUTED_VALUE"""),"(175/161)")</f>
        <v>(175/161)</v>
      </c>
      <c r="CB388" s="883"/>
      <c r="CC388" s="883" t="str">
        <f>IFERROR(__xludf.DUMMYFUNCTION("""COMPUTED_VALUE"""),"Yes")</f>
        <v>Yes</v>
      </c>
      <c r="CD388" s="884"/>
      <c r="CE388" s="883" t="str">
        <f>IFERROR(__xludf.DUMMYFUNCTION("""COMPUTED_VALUE"""),"Yes")</f>
        <v>Yes</v>
      </c>
      <c r="CF388" s="883"/>
      <c r="CG388" s="883"/>
      <c r="CH388" s="883"/>
      <c r="CI388" s="883"/>
      <c r="CJ388" s="883"/>
      <c r="CK388" s="883"/>
      <c r="CL388" s="883"/>
      <c r="CM388" s="883"/>
      <c r="CN388" s="883"/>
      <c r="CO388" s="883"/>
      <c r="CP388" s="883"/>
      <c r="CQ388" s="883"/>
      <c r="CR388" s="883"/>
      <c r="CS388" s="883" t="str">
        <f>IFERROR(__xludf.DUMMYFUNCTION("""COMPUTED_VALUE"""),"The combination of albendazole and ivermectin produced a profound and statistically significant reduction in W bancroft microfilaraemias up to 12 months after treatment. Thus, mf GMIs were reduced to 0*9%, 6.9% and 11.4% ofpre-treatment values at 3,6 and "&amp;"12 months, respectively; 37.0%, 19.6% and 14.1% of those infected before treatment were cleared of mf at the same time points. However, when compared to the treatment with ivermectin alone, the combination treatment was only statistically significantly mo"&amp;"re effective in reducing microfilaraemias at 3 months after treatment, but not at the critical time points of 6 and 12 months after treatment.Furthermore, an ‘area under the curve’ analysis, which summarizes and compares individual responses to treatment "&amp;"over the l-year follow-up period, showed no difference between the ivermectin and combination-treatment groups.")</f>
        <v>The combination of albendazole and ivermectin produced a profound and statistically significant reduction in W bancroft microfilaraemias up to 12 months after treatment. Thus, mf GMIs were reduced to 0*9%, 6.9% and 11.4% ofpre-treatment values at 3,6 and 12 months, respectively; 37.0%, 19.6% and 14.1% of those infected before treatment were cleared of mf at the same time points. However, when compared to the treatment with ivermectin alone, the combination treatment was only statistically significantly more effective in reducing microfilaraemias at 3 months after treatment, but not at the critical time points of 6 and 12 months after treatment.Furthermore, an ‘area under the curve’ analysis, which summarizes and compares individual responses to treatment over the l-year follow-up period, showed no difference between the ivermectin and combination-treatment groups.</v>
      </c>
      <c r="CT388" s="883"/>
      <c r="CU388" s="883"/>
      <c r="CV388" s="863"/>
      <c r="CW388" s="863"/>
      <c r="CX388" s="863"/>
      <c r="CY388" s="863"/>
      <c r="CZ388" s="863"/>
      <c r="DA388" s="863"/>
      <c r="DB388" s="863"/>
      <c r="DC388" s="863"/>
      <c r="DD388" s="863"/>
      <c r="DE388" s="863"/>
    </row>
    <row r="389">
      <c r="A389" s="876"/>
      <c r="B389" s="876"/>
      <c r="C389" s="876"/>
      <c r="D389" s="876"/>
      <c r="E389" s="876"/>
      <c r="F389" s="876"/>
      <c r="G389" s="876"/>
      <c r="H389" s="876"/>
      <c r="I389" s="876"/>
      <c r="J389" s="876"/>
      <c r="K389" s="876"/>
      <c r="L389" s="876"/>
      <c r="M389" s="876"/>
      <c r="N389" s="877"/>
      <c r="O389" s="876"/>
      <c r="P389" s="876"/>
      <c r="Q389" s="876"/>
      <c r="R389" s="876"/>
      <c r="S389" s="876"/>
      <c r="T389" s="876"/>
      <c r="U389" s="876"/>
      <c r="V389" s="876"/>
      <c r="W389" s="876"/>
      <c r="X389" s="876"/>
      <c r="Y389" s="876"/>
      <c r="Z389" s="876"/>
      <c r="AA389" s="876"/>
      <c r="AB389" s="876"/>
      <c r="AC389" s="876"/>
      <c r="AD389" s="876"/>
      <c r="AE389" s="876"/>
      <c r="AF389" s="876"/>
      <c r="AG389" s="876"/>
      <c r="AH389" s="876"/>
      <c r="AI389" s="878"/>
      <c r="AJ389" s="880"/>
      <c r="AK389" s="880"/>
      <c r="AL389" s="880"/>
      <c r="AM389" s="880"/>
      <c r="AN389" s="880"/>
      <c r="AO389" s="880"/>
      <c r="AP389" s="880"/>
      <c r="AQ389" s="880"/>
      <c r="AR389" s="880"/>
      <c r="AS389" s="880"/>
      <c r="AT389" s="880"/>
      <c r="AU389" s="880"/>
      <c r="AV389" s="880"/>
      <c r="AW389" s="881"/>
      <c r="AX389" s="863"/>
      <c r="AY389" s="863"/>
      <c r="AZ389" s="863"/>
      <c r="BA389" s="863"/>
      <c r="BB389" s="863"/>
      <c r="BC389" s="863"/>
      <c r="BD389" s="863"/>
      <c r="BE389" s="863"/>
      <c r="BF389" s="863"/>
      <c r="BG389" s="863"/>
      <c r="BH389" s="863"/>
      <c r="BI389" s="863"/>
      <c r="BJ389" s="863"/>
      <c r="BK389" s="863"/>
      <c r="BL389" s="863"/>
      <c r="BM389" s="863"/>
      <c r="BN389" s="863"/>
      <c r="BO389" s="863"/>
      <c r="BP389" s="880"/>
      <c r="BQ389" s="863"/>
      <c r="BR389" s="889" t="str">
        <f>IFERROR(__xludf.DUMMYFUNCTION("""COMPUTED_VALUE"""),"Gayen")</f>
        <v>Gayen</v>
      </c>
      <c r="BS389" s="883"/>
      <c r="BT389" s="883"/>
      <c r="BU389" s="883"/>
      <c r="BV389" s="883"/>
      <c r="BW389" s="883"/>
      <c r="BX389" s="883"/>
      <c r="BY389" s="883"/>
      <c r="BZ389" s="883"/>
      <c r="CA389" s="883"/>
      <c r="CB389" s="883"/>
      <c r="CC389" s="883"/>
      <c r="CD389" s="884"/>
      <c r="CE389" s="883"/>
      <c r="CF389" s="883"/>
      <c r="CG389" s="883"/>
      <c r="CH389" s="883"/>
      <c r="CI389" s="883"/>
      <c r="CJ389" s="883"/>
      <c r="CK389" s="883"/>
      <c r="CL389" s="883"/>
      <c r="CM389" s="883"/>
      <c r="CN389" s="883"/>
      <c r="CO389" s="883"/>
      <c r="CP389" s="883"/>
      <c r="CQ389" s="883"/>
      <c r="CR389" s="883"/>
      <c r="CS389" s="883"/>
      <c r="CT389" s="883"/>
      <c r="CU389" s="883"/>
      <c r="CV389" s="863"/>
      <c r="CW389" s="863"/>
      <c r="CX389" s="863"/>
      <c r="CY389" s="863"/>
      <c r="CZ389" s="863"/>
      <c r="DA389" s="863"/>
      <c r="DB389" s="863"/>
      <c r="DC389" s="863"/>
      <c r="DD389" s="863"/>
      <c r="DE389" s="863"/>
    </row>
    <row r="390">
      <c r="A390" s="876"/>
      <c r="B390" s="876"/>
      <c r="C390" s="876"/>
      <c r="D390" s="876"/>
      <c r="E390" s="876"/>
      <c r="F390" s="876"/>
      <c r="G390" s="876"/>
      <c r="H390" s="876"/>
      <c r="I390" s="876"/>
      <c r="J390" s="876"/>
      <c r="K390" s="876"/>
      <c r="L390" s="876"/>
      <c r="M390" s="876"/>
      <c r="N390" s="877"/>
      <c r="O390" s="876"/>
      <c r="P390" s="876"/>
      <c r="Q390" s="876"/>
      <c r="R390" s="876"/>
      <c r="S390" s="876"/>
      <c r="T390" s="876"/>
      <c r="U390" s="876"/>
      <c r="V390" s="876"/>
      <c r="W390" s="876"/>
      <c r="X390" s="876"/>
      <c r="Y390" s="876"/>
      <c r="Z390" s="876"/>
      <c r="AA390" s="876"/>
      <c r="AB390" s="876"/>
      <c r="AC390" s="876"/>
      <c r="AD390" s="876"/>
      <c r="AE390" s="876"/>
      <c r="AF390" s="876"/>
      <c r="AG390" s="876"/>
      <c r="AH390" s="876"/>
      <c r="AI390" s="878"/>
      <c r="AJ390" s="880"/>
      <c r="AK390" s="880"/>
      <c r="AL390" s="880"/>
      <c r="AM390" s="880"/>
      <c r="AN390" s="880"/>
      <c r="AO390" s="880"/>
      <c r="AP390" s="880"/>
      <c r="AQ390" s="880"/>
      <c r="AR390" s="880"/>
      <c r="AS390" s="880"/>
      <c r="AT390" s="880"/>
      <c r="AU390" s="880"/>
      <c r="AV390" s="880"/>
      <c r="AW390" s="881"/>
      <c r="AX390" s="863"/>
      <c r="AY390" s="863"/>
      <c r="AZ390" s="863"/>
      <c r="BA390" s="863"/>
      <c r="BB390" s="863"/>
      <c r="BC390" s="863"/>
      <c r="BD390" s="863"/>
      <c r="BE390" s="863"/>
      <c r="BF390" s="863"/>
      <c r="BG390" s="863"/>
      <c r="BH390" s="863"/>
      <c r="BI390" s="863"/>
      <c r="BJ390" s="863"/>
      <c r="BK390" s="863"/>
      <c r="BL390" s="863"/>
      <c r="BM390" s="863"/>
      <c r="BN390" s="863"/>
      <c r="BO390" s="863"/>
      <c r="BP390" s="880"/>
      <c r="BQ390" s="863"/>
      <c r="BR390" s="889" t="str">
        <f>IFERROR(__xludf.DUMMYFUNCTION("""COMPUTED_VALUE"""),"Adenusi")</f>
        <v>Adenusi</v>
      </c>
      <c r="BS390" s="883" t="str">
        <f>IFERROR(__xludf.DUMMYFUNCTION("""COMPUTED_VALUE"""),"Nigeria.")</f>
        <v>Nigeria.</v>
      </c>
      <c r="BT390" s="883" t="str">
        <f>IFERROR(__xludf.DUMMYFUNCTION("""COMPUTED_VALUE"""),"Ivermectin")</f>
        <v>Ivermectin</v>
      </c>
      <c r="BU390" s="883"/>
      <c r="BV390" s="883" t="str">
        <f>IFERROR(__xludf.DUMMYFUNCTION("""COMPUTED_VALUE"""),"Once")</f>
        <v>Once</v>
      </c>
      <c r="BW390" s="883" t="str">
        <f>IFERROR(__xludf.DUMMYFUNCTION("""COMPUTED_VALUE"""),"(200 μg/kg)")</f>
        <v>(200 μg/kg)</v>
      </c>
      <c r="BX390" s="883">
        <f>IFERROR(__xludf.DUMMYFUNCTION("""COMPUTED_VALUE"""),126.0)</f>
        <v>126</v>
      </c>
      <c r="BY390" s="883"/>
      <c r="BZ390" s="883"/>
      <c r="CA390" s="883" t="str">
        <f>IFERROR(__xludf.DUMMYFUNCTION("""COMPUTED_VALUE"""),"59/54")</f>
        <v>59/54</v>
      </c>
      <c r="CB390" s="883"/>
      <c r="CC390" s="883"/>
      <c r="CD390" s="884">
        <f>IFERROR(__xludf.DUMMYFUNCTION("""COMPUTED_VALUE"""),0.84)</f>
        <v>0.84</v>
      </c>
      <c r="CE390" s="883"/>
      <c r="CF390" s="883" t="str">
        <f>IFERROR(__xludf.DUMMYFUNCTION("""COMPUTED_VALUE"""),"107/122")</f>
        <v>107/122</v>
      </c>
      <c r="CG390" s="883" t="str">
        <f>IFERROR(__xludf.DUMMYFUNCTION("""COMPUTED_VALUE"""),"98/116")</f>
        <v>98/116</v>
      </c>
      <c r="CH390" s="883" t="str">
        <f>IFERROR(__xludf.DUMMYFUNCTION("""COMPUTED_VALUE"""),"95/113")</f>
        <v>95/113</v>
      </c>
      <c r="CI390" s="883"/>
      <c r="CJ390" s="883"/>
      <c r="CK390" s="883"/>
      <c r="CL390" s="883"/>
      <c r="CM390" s="883"/>
      <c r="CN390" s="883"/>
      <c r="CO390" s="883"/>
      <c r="CP390" s="883"/>
      <c r="CQ390" s="883"/>
      <c r="CR390" s="883"/>
      <c r="CS390" s="883" t="str">
        <f>IFERROR(__xludf.DUMMYFUNCTION("""COMPUTED_VALUE"""),"The cure rate recorded for ivermectin in the present study is within the range reported by previous workers using ivermectin in similar dosages, either in noncomparative studies (Freedman et al., 1989; Naquira etal, 1989) or in comparative studies with ot"&amp;"her drugs (Datry et al., 1994; Gann et al., 1994; Marti et al., 1996) in the treatment of uncomplicated, human strongyloidiasis. Similarly, the cure rate recorded for thiabendazole in the present study fall within those reported by previous workers (Nauen"&amp;"berg et al., 1970;Grove, 1982), although the drug has been reported not to be curative (Most, 1984). Although ivermectin recorded a higher cure rate than thiabendazole in the present study, this difference was not significant. Gann et al. (1994) found ive"&amp;"rmectin to be at least as effective as thiabendazole in the treatment of uncomplicated strongyloidiasis.")</f>
        <v>The cure rate recorded for ivermectin in the present study is within the range reported by previous workers using ivermectin in similar dosages, either in noncomparative studies (Freedman et al., 1989; Naquira etal, 1989) or in comparative studies with other drugs (Datry et al., 1994; Gann et al., 1994; Marti et al., 1996) in the treatment of uncomplicated, human strongyloidiasis. Similarly, the cure rate recorded for thiabendazole in the present study fall within those reported by previous workers (Nauenberg et al., 1970;Grove, 1982), although the drug has been reported not to be curative (Most, 1984). Although ivermectin recorded a higher cure rate than thiabendazole in the present study, this difference was not significant. Gann et al. (1994) found ivermectin to be at least as effective as thiabendazole in the treatment of uncomplicated strongyloidiasis.</v>
      </c>
      <c r="CT390" s="883"/>
      <c r="CU390" s="883"/>
      <c r="CV390" s="863"/>
      <c r="CW390" s="863"/>
      <c r="CX390" s="863"/>
      <c r="CY390" s="863"/>
      <c r="CZ390" s="863"/>
      <c r="DA390" s="863"/>
      <c r="DB390" s="863"/>
      <c r="DC390" s="863"/>
      <c r="DD390" s="863"/>
      <c r="DE390" s="863"/>
    </row>
    <row r="391">
      <c r="A391" s="876"/>
      <c r="B391" s="876"/>
      <c r="C391" s="876"/>
      <c r="D391" s="876"/>
      <c r="E391" s="876"/>
      <c r="F391" s="876"/>
      <c r="G391" s="876"/>
      <c r="H391" s="876"/>
      <c r="I391" s="876"/>
      <c r="J391" s="876"/>
      <c r="K391" s="876"/>
      <c r="L391" s="876"/>
      <c r="M391" s="876"/>
      <c r="N391" s="877"/>
      <c r="O391" s="876"/>
      <c r="P391" s="876"/>
      <c r="Q391" s="876"/>
      <c r="R391" s="876"/>
      <c r="S391" s="876"/>
      <c r="T391" s="876"/>
      <c r="U391" s="876"/>
      <c r="V391" s="876"/>
      <c r="W391" s="876"/>
      <c r="X391" s="876"/>
      <c r="Y391" s="876"/>
      <c r="Z391" s="876"/>
      <c r="AA391" s="876"/>
      <c r="AB391" s="876"/>
      <c r="AC391" s="876"/>
      <c r="AD391" s="876"/>
      <c r="AE391" s="876"/>
      <c r="AF391" s="876"/>
      <c r="AG391" s="876"/>
      <c r="AH391" s="876"/>
      <c r="AI391" s="878"/>
      <c r="AJ391" s="880"/>
      <c r="AK391" s="880"/>
      <c r="AL391" s="880"/>
      <c r="AM391" s="880"/>
      <c r="AN391" s="880"/>
      <c r="AO391" s="880"/>
      <c r="AP391" s="880"/>
      <c r="AQ391" s="880"/>
      <c r="AR391" s="880"/>
      <c r="AS391" s="880"/>
      <c r="AT391" s="880"/>
      <c r="AU391" s="880"/>
      <c r="AV391" s="880"/>
      <c r="AW391" s="881"/>
      <c r="AX391" s="863"/>
      <c r="AY391" s="863"/>
      <c r="AZ391" s="863"/>
      <c r="BA391" s="863"/>
      <c r="BB391" s="863"/>
      <c r="BC391" s="863"/>
      <c r="BD391" s="863"/>
      <c r="BE391" s="863"/>
      <c r="BF391" s="863"/>
      <c r="BG391" s="863"/>
      <c r="BH391" s="863"/>
      <c r="BI391" s="863"/>
      <c r="BJ391" s="863"/>
      <c r="BK391" s="863"/>
      <c r="BL391" s="863"/>
      <c r="BM391" s="863"/>
      <c r="BN391" s="863"/>
      <c r="BO391" s="863"/>
      <c r="BP391" s="880"/>
      <c r="BQ391" s="863"/>
      <c r="BR391" s="889" t="str">
        <f>IFERROR(__xludf.DUMMYFUNCTION("""COMPUTED_VALUE"""),"Adenusi")</f>
        <v>Adenusi</v>
      </c>
      <c r="BS391" s="883" t="str">
        <f>IFERROR(__xludf.DUMMYFUNCTION("""COMPUTED_VALUE"""),"Nigeria.")</f>
        <v>Nigeria.</v>
      </c>
      <c r="BT391" s="883" t="str">
        <f>IFERROR(__xludf.DUMMYFUNCTION("""COMPUTED_VALUE"""),"Thiabendazole")</f>
        <v>Thiabendazole</v>
      </c>
      <c r="BU391" s="883"/>
      <c r="BV391" s="883" t="str">
        <f>IFERROR(__xludf.DUMMYFUNCTION("""COMPUTED_VALUE"""),"Two")</f>
        <v>Two</v>
      </c>
      <c r="BW391" s="883" t="str">
        <f>IFERROR(__xludf.DUMMYFUNCTION("""COMPUTED_VALUE"""),"25 mg/kg,")</f>
        <v>25 mg/kg,</v>
      </c>
      <c r="BX391" s="883">
        <f>IFERROR(__xludf.DUMMYFUNCTION("""COMPUTED_VALUE"""),126.0)</f>
        <v>126</v>
      </c>
      <c r="BY391" s="883"/>
      <c r="BZ391" s="883"/>
      <c r="CA391" s="883" t="str">
        <f>IFERROR(__xludf.DUMMYFUNCTION("""COMPUTED_VALUE"""),"55/48")</f>
        <v>55/48</v>
      </c>
      <c r="CB391" s="883"/>
      <c r="CC391" s="883"/>
      <c r="CD391" s="884">
        <f>IFERROR(__xludf.DUMMYFUNCTION("""COMPUTED_VALUE"""),0.78)</f>
        <v>0.78</v>
      </c>
      <c r="CE391" s="883"/>
      <c r="CF391" s="883" t="str">
        <f>IFERROR(__xludf.DUMMYFUNCTION("""COMPUTED_VALUE"""),"85/109")</f>
        <v>85/109</v>
      </c>
      <c r="CG391" s="883" t="str">
        <f>IFERROR(__xludf.DUMMYFUNCTION("""COMPUTED_VALUE"""),"81/105")</f>
        <v>81/105</v>
      </c>
      <c r="CH391" s="883" t="str">
        <f>IFERROR(__xludf.DUMMYFUNCTION("""COMPUTED_VALUE"""),"81/103")</f>
        <v>81/103</v>
      </c>
      <c r="CI391" s="883"/>
      <c r="CJ391" s="883"/>
      <c r="CK391" s="883"/>
      <c r="CL391" s="883"/>
      <c r="CM391" s="883"/>
      <c r="CN391" s="883"/>
      <c r="CO391" s="883"/>
      <c r="CP391" s="883"/>
      <c r="CQ391" s="883"/>
      <c r="CR391" s="883"/>
      <c r="CS391" s="883" t="str">
        <f>IFERROR(__xludf.DUMMYFUNCTION("""COMPUTED_VALUE"""),"The cure rate recorded for ivermectin in the present study is within the range reported by previous workers using ivermectin in similar dosages, either in noncomparative studies (Freedman et al., 1989; Naquira etal, 1989) or in comparative studies with ot"&amp;"her drugs (Datry et al., 1994; Gann et al., 1994; Marti et al., 1996) in the treatment of uncomplicated, human strongyloidiasis. Similarly, the cure rate recorded for thiabendazole in the present study fall within those reported by previous workers (Nauen"&amp;"berg et al., 1970;Grove, 1982), although the drug has been reported not to be curative (Most, 1984). Although ivermectin recorded a higher cure rate than thiabendazole in the present study, this difference was not significant. Gann et al. (1994) found ive"&amp;"rmectin to be at least as effective as thiabendazole in the treatment of uncomplicated strongyloidiasis.")</f>
        <v>The cure rate recorded for ivermectin in the present study is within the range reported by previous workers using ivermectin in similar dosages, either in noncomparative studies (Freedman et al., 1989; Naquira etal, 1989) or in comparative studies with other drugs (Datry et al., 1994; Gann et al., 1994; Marti et al., 1996) in the treatment of uncomplicated, human strongyloidiasis. Similarly, the cure rate recorded for thiabendazole in the present study fall within those reported by previous workers (Nauenberg et al., 1970;Grove, 1982), although the drug has been reported not to be curative (Most, 1984). Although ivermectin recorded a higher cure rate than thiabendazole in the present study, this difference was not significant. Gann et al. (1994) found ivermectin to be at least as effective as thiabendazole in the treatment of uncomplicated strongyloidiasis.</v>
      </c>
      <c r="CT391" s="883"/>
      <c r="CU391" s="883"/>
      <c r="CV391" s="863"/>
      <c r="CW391" s="863"/>
      <c r="CX391" s="863"/>
      <c r="CY391" s="863"/>
      <c r="CZ391" s="863"/>
      <c r="DA391" s="863"/>
      <c r="DB391" s="863"/>
      <c r="DC391" s="863"/>
      <c r="DD391" s="863"/>
      <c r="DE391" s="863"/>
    </row>
    <row r="392">
      <c r="A392" s="876"/>
      <c r="B392" s="876"/>
      <c r="C392" s="876"/>
      <c r="D392" s="876"/>
      <c r="E392" s="876"/>
      <c r="F392" s="876"/>
      <c r="G392" s="876"/>
      <c r="H392" s="876"/>
      <c r="I392" s="876"/>
      <c r="J392" s="876"/>
      <c r="K392" s="876"/>
      <c r="L392" s="876"/>
      <c r="M392" s="876"/>
      <c r="N392" s="877"/>
      <c r="O392" s="876"/>
      <c r="P392" s="876"/>
      <c r="Q392" s="876"/>
      <c r="R392" s="876"/>
      <c r="S392" s="876"/>
      <c r="T392" s="876"/>
      <c r="U392" s="876"/>
      <c r="V392" s="876"/>
      <c r="W392" s="876"/>
      <c r="X392" s="876"/>
      <c r="Y392" s="876"/>
      <c r="Z392" s="876"/>
      <c r="AA392" s="876"/>
      <c r="AB392" s="876"/>
      <c r="AC392" s="876"/>
      <c r="AD392" s="876"/>
      <c r="AE392" s="876"/>
      <c r="AF392" s="876"/>
      <c r="AG392" s="876"/>
      <c r="AH392" s="876"/>
      <c r="AI392" s="878"/>
      <c r="AJ392" s="880"/>
      <c r="AK392" s="880"/>
      <c r="AL392" s="880"/>
      <c r="AM392" s="880"/>
      <c r="AN392" s="880"/>
      <c r="AO392" s="880"/>
      <c r="AP392" s="880"/>
      <c r="AQ392" s="880"/>
      <c r="AR392" s="880"/>
      <c r="AS392" s="880"/>
      <c r="AT392" s="880"/>
      <c r="AU392" s="880"/>
      <c r="AV392" s="880"/>
      <c r="AW392" s="881"/>
      <c r="AX392" s="863"/>
      <c r="AY392" s="863"/>
      <c r="AZ392" s="863"/>
      <c r="BA392" s="863"/>
      <c r="BB392" s="863"/>
      <c r="BC392" s="863"/>
      <c r="BD392" s="863"/>
      <c r="BE392" s="863"/>
      <c r="BF392" s="863"/>
      <c r="BG392" s="863"/>
      <c r="BH392" s="863"/>
      <c r="BI392" s="863"/>
      <c r="BJ392" s="863"/>
      <c r="BK392" s="863"/>
      <c r="BL392" s="863"/>
      <c r="BM392" s="863"/>
      <c r="BN392" s="863"/>
      <c r="BO392" s="863"/>
      <c r="BP392" s="880"/>
      <c r="BQ392" s="863"/>
      <c r="BR392" s="889" t="str">
        <f>IFERROR(__xludf.DUMMYFUNCTION("""COMPUTED_VALUE"""),"Gann, ")</f>
        <v>Gann, </v>
      </c>
      <c r="BS392" s="883" t="str">
        <f>IFERROR(__xludf.DUMMYFUNCTION("""COMPUTED_VALUE"""),"Cambodia")</f>
        <v>Cambodia</v>
      </c>
      <c r="BT392" s="883" t="str">
        <f>IFERROR(__xludf.DUMMYFUNCTION("""COMPUTED_VALUE"""),"Ivermectin")</f>
        <v>Ivermectin</v>
      </c>
      <c r="BU392" s="883"/>
      <c r="BV392" s="883" t="str">
        <f>IFERROR(__xludf.DUMMYFUNCTION("""COMPUTED_VALUE"""),"Once")</f>
        <v>Once</v>
      </c>
      <c r="BW392" s="883" t="str">
        <f>IFERROR(__xludf.DUMMYFUNCTION("""COMPUTED_VALUE"""),"(200 /Lg/kg)")</f>
        <v>(200 /Lg/kg)</v>
      </c>
      <c r="BX392" s="883">
        <f>IFERROR(__xludf.DUMMYFUNCTION("""COMPUTED_VALUE"""),16.0)</f>
        <v>16</v>
      </c>
      <c r="BY392" s="883" t="str">
        <f>IFERROR(__xludf.DUMMYFUNCTION("""COMPUTED_VALUE"""),"Mean age of 35.8")</f>
        <v>Mean age of 35.8</v>
      </c>
      <c r="BZ392" s="883">
        <f>IFERROR(__xludf.DUMMYFUNCTION("""COMPUTED_VALUE"""),1994.0)</f>
        <v>1994</v>
      </c>
      <c r="CA392" s="897">
        <f>IFERROR(__xludf.DUMMYFUNCTION("""COMPUTED_VALUE"""),42620.0)</f>
        <v>42620</v>
      </c>
      <c r="CB392" s="883"/>
      <c r="CC392" s="883" t="str">
        <f>IFERROR(__xludf.DUMMYFUNCTION("""COMPUTED_VALUE"""),"Yes")</f>
        <v>Yes</v>
      </c>
      <c r="CD392" s="884"/>
      <c r="CE392" s="883" t="str">
        <f>IFERROR(__xludf.DUMMYFUNCTION("""COMPUTED_VALUE"""),"No")</f>
        <v>No</v>
      </c>
      <c r="CF392" s="883" t="str">
        <f>IFERROR(__xludf.DUMMYFUNCTION("""COMPUTED_VALUE"""),"0/15")</f>
        <v>0/15</v>
      </c>
      <c r="CG392" s="883"/>
      <c r="CH392" s="883"/>
      <c r="CI392" s="883"/>
      <c r="CJ392" s="883"/>
      <c r="CK392" s="883"/>
      <c r="CL392" s="883"/>
      <c r="CM392" s="883"/>
      <c r="CN392" s="883"/>
      <c r="CO392" s="883"/>
      <c r="CP392" s="883"/>
      <c r="CQ392" s="883"/>
      <c r="CR392" s="883" t="str">
        <f>IFERROR(__xludf.DUMMYFUNCTION("""COMPUTED_VALUE"""),"0/15")</f>
        <v>0/15</v>
      </c>
      <c r="CS392" s="883" t="str">
        <f>IFERROR(__xludf.DUMMYFUNCTION("""COMPUTED_VALUE"""),"Although eradication of S. stercoralis is difficult to ascertain, ivermectin and thiabendazole appeared to have equivalent efficacy against uncomplicated chronic infection. To be considered cured in this study, a patient had to have at least three consecu"&amp;"tive stools negative for larvae by Baermann testing over at least 3 months and total relief from symptoms. Single-dose ivermectin therapy was as safe and efficacious as the two-dose therapy. In this trial, the sensitivity of stool testing was increased by"&amp;" using a modified Baermann technique on stools collected at several times over a period of ~2 years. Since worm burden fluctuates, sampling that is spread over time might have a higher sensitivity for detecting infection than sampling that is tightly clus"&amp;"tered. The modified Baermann technique samples larvae from -30 g of fresh stool; &lt;I g of stool is sampled with formalin concentration methods [9]. Therefore, the chances of false-negative stool tests due to sampling during a period of low excretion of lar"&amp;"vae were reduced in our study. The negligible likelihood of reinfection in this population, in which strongyloidiasis is presumably nonendemic, strengthens our conclusions regarding drug efficacy. We believe that the higher success rate achieved with thia"&amp;"bendazole in our study compared with rates in previous studies [ I, 4] is partly due to the absence of reinfection and to careful monitoring of compliance over 3 days of treatment.")</f>
        <v>Although eradication of S. stercoralis is difficult to ascertain, ivermectin and thiabendazole appeared to have equivalent efficacy against uncomplicated chronic infection. To be considered cured in this study, a patient had to have at least three consecutive stools negative for larvae by Baermann testing over at least 3 months and total relief from symptoms. Single-dose ivermectin therapy was as safe and efficacious as the two-dose therapy. In this trial, the sensitivity of stool testing was increased by using a modified Baermann technique on stools collected at several times over a period of ~2 years. Since worm burden fluctuates, sampling that is spread over time might have a higher sensitivity for detecting infection than sampling that is tightly clustered. The modified Baermann technique samples larvae from -30 g of fresh stool; &lt;I g of stool is sampled with formalin concentration methods [9]. Therefore, the chances of false-negative stool tests due to sampling during a period of low excretion of larvae were reduced in our study. The negligible likelihood of reinfection in this population, in which strongyloidiasis is presumably nonendemic, strengthens our conclusions regarding drug efficacy. We believe that the higher success rate achieved with thiabendazole in our study compared with rates in previous studies [ I, 4] is partly due to the absence of reinfection and to careful monitoring of compliance over 3 days of treatment.</v>
      </c>
      <c r="CT392" s="883"/>
      <c r="CU392" s="883"/>
      <c r="CV392" s="863"/>
      <c r="CW392" s="863"/>
      <c r="CX392" s="863"/>
      <c r="CY392" s="863"/>
      <c r="CZ392" s="863"/>
      <c r="DA392" s="863"/>
      <c r="DB392" s="863"/>
      <c r="DC392" s="863"/>
      <c r="DD392" s="863"/>
      <c r="DE392" s="863"/>
    </row>
    <row r="393">
      <c r="A393" s="876"/>
      <c r="B393" s="876"/>
      <c r="C393" s="876"/>
      <c r="D393" s="876"/>
      <c r="E393" s="876"/>
      <c r="F393" s="876"/>
      <c r="G393" s="876"/>
      <c r="H393" s="876"/>
      <c r="I393" s="876"/>
      <c r="J393" s="876"/>
      <c r="K393" s="876"/>
      <c r="L393" s="876"/>
      <c r="M393" s="876"/>
      <c r="N393" s="877"/>
      <c r="O393" s="876"/>
      <c r="P393" s="876"/>
      <c r="Q393" s="876"/>
      <c r="R393" s="876"/>
      <c r="S393" s="876"/>
      <c r="T393" s="876"/>
      <c r="U393" s="876"/>
      <c r="V393" s="876"/>
      <c r="W393" s="876"/>
      <c r="X393" s="876"/>
      <c r="Y393" s="876"/>
      <c r="Z393" s="876"/>
      <c r="AA393" s="876"/>
      <c r="AB393" s="876"/>
      <c r="AC393" s="876"/>
      <c r="AD393" s="876"/>
      <c r="AE393" s="876"/>
      <c r="AF393" s="876"/>
      <c r="AG393" s="876"/>
      <c r="AH393" s="876"/>
      <c r="AI393" s="878"/>
      <c r="AJ393" s="880"/>
      <c r="AK393" s="880"/>
      <c r="AL393" s="880"/>
      <c r="AM393" s="880"/>
      <c r="AN393" s="880"/>
      <c r="AO393" s="880"/>
      <c r="AP393" s="880"/>
      <c r="AQ393" s="880"/>
      <c r="AR393" s="880"/>
      <c r="AS393" s="880"/>
      <c r="AT393" s="880"/>
      <c r="AU393" s="880"/>
      <c r="AV393" s="880"/>
      <c r="AW393" s="881"/>
      <c r="AX393" s="863"/>
      <c r="AY393" s="863"/>
      <c r="AZ393" s="863"/>
      <c r="BA393" s="863"/>
      <c r="BB393" s="863"/>
      <c r="BC393" s="863"/>
      <c r="BD393" s="863"/>
      <c r="BE393" s="863"/>
      <c r="BF393" s="863"/>
      <c r="BG393" s="863"/>
      <c r="BH393" s="863"/>
      <c r="BI393" s="863"/>
      <c r="BJ393" s="863"/>
      <c r="BK393" s="863"/>
      <c r="BL393" s="863"/>
      <c r="BM393" s="863"/>
      <c r="BN393" s="863"/>
      <c r="BO393" s="863"/>
      <c r="BP393" s="880"/>
      <c r="BQ393" s="863"/>
      <c r="BR393" s="889" t="str">
        <f>IFERROR(__xludf.DUMMYFUNCTION("""COMPUTED_VALUE"""),"Gann, ")</f>
        <v>Gann, </v>
      </c>
      <c r="BS393" s="883" t="str">
        <f>IFERROR(__xludf.DUMMYFUNCTION("""COMPUTED_VALUE"""),"Cambodia")</f>
        <v>Cambodia</v>
      </c>
      <c r="BT393" s="883" t="str">
        <f>IFERROR(__xludf.DUMMYFUNCTION("""COMPUTED_VALUE"""),"Ivermectin")</f>
        <v>Ivermectin</v>
      </c>
      <c r="BU393" s="883"/>
      <c r="BV393" s="883" t="str">
        <f>IFERROR(__xludf.DUMMYFUNCTION("""COMPUTED_VALUE"""),"Two")</f>
        <v>Two</v>
      </c>
      <c r="BW393" s="883" t="str">
        <f>IFERROR(__xludf.DUMMYFUNCTION("""COMPUTED_VALUE"""),"(200 /Lg/kg)")</f>
        <v>(200 /Lg/kg)</v>
      </c>
      <c r="BX393" s="883">
        <f>IFERROR(__xludf.DUMMYFUNCTION("""COMPUTED_VALUE"""),18.0)</f>
        <v>18</v>
      </c>
      <c r="BY393" s="883" t="str">
        <f>IFERROR(__xludf.DUMMYFUNCTION("""COMPUTED_VALUE"""),"Mean age of 39")</f>
        <v>Mean age of 39</v>
      </c>
      <c r="BZ393" s="883">
        <f>IFERROR(__xludf.DUMMYFUNCTION("""COMPUTED_VALUE"""),1994.0)</f>
        <v>1994</v>
      </c>
      <c r="CA393" s="897">
        <f>IFERROR(__xludf.DUMMYFUNCTION("""COMPUTED_VALUE"""),42533.0)</f>
        <v>42533</v>
      </c>
      <c r="CB393" s="883"/>
      <c r="CC393" s="883" t="str">
        <f>IFERROR(__xludf.DUMMYFUNCTION("""COMPUTED_VALUE"""),"Yes")</f>
        <v>Yes</v>
      </c>
      <c r="CD393" s="884"/>
      <c r="CE393" s="883" t="str">
        <f>IFERROR(__xludf.DUMMYFUNCTION("""COMPUTED_VALUE"""),"No")</f>
        <v>No</v>
      </c>
      <c r="CF393" s="883" t="str">
        <f>IFERROR(__xludf.DUMMYFUNCTION("""COMPUTED_VALUE"""),"0/18")</f>
        <v>0/18</v>
      </c>
      <c r="CG393" s="883"/>
      <c r="CH393" s="883"/>
      <c r="CI393" s="883"/>
      <c r="CJ393" s="883"/>
      <c r="CK393" s="883"/>
      <c r="CL393" s="883"/>
      <c r="CM393" s="883"/>
      <c r="CN393" s="883"/>
      <c r="CO393" s="883"/>
      <c r="CP393" s="883"/>
      <c r="CQ393" s="883"/>
      <c r="CR393" s="883" t="str">
        <f>IFERROR(__xludf.DUMMYFUNCTION("""COMPUTED_VALUE"""),"0/17")</f>
        <v>0/17</v>
      </c>
      <c r="CS393" s="883" t="str">
        <f>IFERROR(__xludf.DUMMYFUNCTION("""COMPUTED_VALUE"""),"Although eradication of S. stercoralis is difficult to ascertain, ivermectin and thiabendazole appeared to have equivalent efficacy against uncomplicated chronic infection. To be considered cured in this study, a patient had to have at least three consecu"&amp;"tive stools negative for larvae by Baermann testing over at least 3 months and total relief from symptoms. Single-dose ivermectin therapy was as safe and efficacious as the two-dose therapy. In this trial, the sensitivity of stool testing was increased by"&amp;" using a modified Baermann technique on stools collected at several times over a period of ~2 years. Since worm burden fluctuates, sampling that is spread over time might have a higher sensitivity for detecting infection than sampling that is tightly clus"&amp;"tered. The modified Baermann technique samples larvae from -30 g of fresh stool; &lt;I g of stool is sampled with formalin concentration methods [9]. Therefore, the chances of false-negative stool tests due to sampling during a period of low excretion of lar"&amp;"vae were reduced in our study. The negligible likelihood of reinfection in this population, in which strongyloidiasis is presumably nonendemic, strengthens our conclusions regarding drug efficacy. We believe that the higher success rate achieved with thia"&amp;"bendazole in our study compared with rates in previous studies [ I, 4] is partly due to the absence of reinfection and to careful monitoring of compliance over 3 days of treatment.")</f>
        <v>Although eradication of S. stercoralis is difficult to ascertain, ivermectin and thiabendazole appeared to have equivalent efficacy against uncomplicated chronic infection. To be considered cured in this study, a patient had to have at least three consecutive stools negative for larvae by Baermann testing over at least 3 months and total relief from symptoms. Single-dose ivermectin therapy was as safe and efficacious as the two-dose therapy. In this trial, the sensitivity of stool testing was increased by using a modified Baermann technique on stools collected at several times over a period of ~2 years. Since worm burden fluctuates, sampling that is spread over time might have a higher sensitivity for detecting infection than sampling that is tightly clustered. The modified Baermann technique samples larvae from -30 g of fresh stool; &lt;I g of stool is sampled with formalin concentration methods [9]. Therefore, the chances of false-negative stool tests due to sampling during a period of low excretion of larvae were reduced in our study. The negligible likelihood of reinfection in this population, in which strongyloidiasis is presumably nonendemic, strengthens our conclusions regarding drug efficacy. We believe that the higher success rate achieved with thiabendazole in our study compared with rates in previous studies [ I, 4] is partly due to the absence of reinfection and to careful monitoring of compliance over 3 days of treatment.</v>
      </c>
      <c r="CT393" s="883"/>
      <c r="CU393" s="883"/>
      <c r="CV393" s="863"/>
      <c r="CW393" s="863"/>
      <c r="CX393" s="863"/>
      <c r="CY393" s="863"/>
      <c r="CZ393" s="863"/>
      <c r="DA393" s="863"/>
      <c r="DB393" s="863"/>
      <c r="DC393" s="863"/>
      <c r="DD393" s="863"/>
      <c r="DE393" s="863"/>
    </row>
    <row r="394">
      <c r="A394" s="876"/>
      <c r="B394" s="876"/>
      <c r="C394" s="876"/>
      <c r="D394" s="876"/>
      <c r="E394" s="876"/>
      <c r="F394" s="876"/>
      <c r="G394" s="876"/>
      <c r="H394" s="876"/>
      <c r="I394" s="876"/>
      <c r="J394" s="876"/>
      <c r="K394" s="876"/>
      <c r="L394" s="876"/>
      <c r="M394" s="876"/>
      <c r="N394" s="877"/>
      <c r="O394" s="876"/>
      <c r="P394" s="876"/>
      <c r="Q394" s="876"/>
      <c r="R394" s="876"/>
      <c r="S394" s="876"/>
      <c r="T394" s="876"/>
      <c r="U394" s="876"/>
      <c r="V394" s="876"/>
      <c r="W394" s="876"/>
      <c r="X394" s="876"/>
      <c r="Y394" s="876"/>
      <c r="Z394" s="876"/>
      <c r="AA394" s="876"/>
      <c r="AB394" s="876"/>
      <c r="AC394" s="876"/>
      <c r="AD394" s="876"/>
      <c r="AE394" s="876"/>
      <c r="AF394" s="876"/>
      <c r="AG394" s="876"/>
      <c r="AH394" s="876"/>
      <c r="AI394" s="878"/>
      <c r="AJ394" s="880"/>
      <c r="AK394" s="880"/>
      <c r="AL394" s="880"/>
      <c r="AM394" s="880"/>
      <c r="AN394" s="880"/>
      <c r="AO394" s="880"/>
      <c r="AP394" s="880"/>
      <c r="AQ394" s="880"/>
      <c r="AR394" s="880"/>
      <c r="AS394" s="880"/>
      <c r="AT394" s="880"/>
      <c r="AU394" s="880"/>
      <c r="AV394" s="880"/>
      <c r="AW394" s="881"/>
      <c r="AX394" s="863"/>
      <c r="AY394" s="863"/>
      <c r="AZ394" s="863"/>
      <c r="BA394" s="863"/>
      <c r="BB394" s="863"/>
      <c r="BC394" s="863"/>
      <c r="BD394" s="863"/>
      <c r="BE394" s="863"/>
      <c r="BF394" s="863"/>
      <c r="BG394" s="863"/>
      <c r="BH394" s="863"/>
      <c r="BI394" s="863"/>
      <c r="BJ394" s="863"/>
      <c r="BK394" s="863"/>
      <c r="BL394" s="863"/>
      <c r="BM394" s="863"/>
      <c r="BN394" s="863"/>
      <c r="BO394" s="863"/>
      <c r="BP394" s="880"/>
      <c r="BQ394" s="863"/>
      <c r="BR394" s="889" t="str">
        <f>IFERROR(__xludf.DUMMYFUNCTION("""COMPUTED_VALUE"""),"Gann, ")</f>
        <v>Gann, </v>
      </c>
      <c r="BS394" s="883" t="str">
        <f>IFERROR(__xludf.DUMMYFUNCTION("""COMPUTED_VALUE"""),"Cambodia")</f>
        <v>Cambodia</v>
      </c>
      <c r="BT394" s="883" t="str">
        <f>IFERROR(__xludf.DUMMYFUNCTION("""COMPUTED_VALUE"""),"Thiabendazole")</f>
        <v>Thiabendazole</v>
      </c>
      <c r="BU394" s="883"/>
      <c r="BV394" s="883" t="str">
        <f>IFERROR(__xludf.DUMMYFUNCTION("""COMPUTED_VALUE"""),"Two")</f>
        <v>Two</v>
      </c>
      <c r="BW394" s="883" t="str">
        <f>IFERROR(__xludf.DUMMYFUNCTION("""COMPUTED_VALUE"""),"(50 rug/kg/day)")</f>
        <v>(50 rug/kg/day)</v>
      </c>
      <c r="BX394" s="883">
        <f>IFERROR(__xludf.DUMMYFUNCTION("""COMPUTED_VALUE"""),19.0)</f>
        <v>19</v>
      </c>
      <c r="BY394" s="883" t="str">
        <f>IFERROR(__xludf.DUMMYFUNCTION("""COMPUTED_VALUE"""),"Mean age of 36.4")</f>
        <v>Mean age of 36.4</v>
      </c>
      <c r="BZ394" s="883">
        <f>IFERROR(__xludf.DUMMYFUNCTION("""COMPUTED_VALUE"""),1994.0)</f>
        <v>1994</v>
      </c>
      <c r="CA394" s="897">
        <f>IFERROR(__xludf.DUMMYFUNCTION("""COMPUTED_VALUE"""),42563.0)</f>
        <v>42563</v>
      </c>
      <c r="CB394" s="883"/>
      <c r="CC394" s="883" t="str">
        <f>IFERROR(__xludf.DUMMYFUNCTION("""COMPUTED_VALUE"""),"Yes")</f>
        <v>Yes</v>
      </c>
      <c r="CD394" s="884"/>
      <c r="CE394" s="883" t="str">
        <f>IFERROR(__xludf.DUMMYFUNCTION("""COMPUTED_VALUE"""),"No")</f>
        <v>No</v>
      </c>
      <c r="CF394" s="897">
        <f>IFERROR(__xludf.DUMMYFUNCTION("""COMPUTED_VALUE"""),42388.0)</f>
        <v>42388</v>
      </c>
      <c r="CG394" s="883"/>
      <c r="CH394" s="883"/>
      <c r="CI394" s="883"/>
      <c r="CJ394" s="883"/>
      <c r="CK394" s="883"/>
      <c r="CL394" s="883"/>
      <c r="CM394" s="883"/>
      <c r="CN394" s="883"/>
      <c r="CO394" s="883"/>
      <c r="CP394" s="883"/>
      <c r="CQ394" s="883"/>
      <c r="CR394" s="883" t="str">
        <f>IFERROR(__xludf.DUMMYFUNCTION("""COMPUTED_VALUE"""),"0/16")</f>
        <v>0/16</v>
      </c>
      <c r="CS394" s="883" t="str">
        <f>IFERROR(__xludf.DUMMYFUNCTION("""COMPUTED_VALUE"""),"Although eradication of S. stercoralis is difficult to ascertain, ivermectin and thiabendazole appeared to have equivalent efficacy against uncomplicated chronic infection. To be considered cured in this study, a patient had to have at least three consecu"&amp;"tive stools negative for larvae by Baermann testing over at least 3 months and total relief from symptoms. Single-dose ivermectin therapy was as safe and efficacious as the two-dose therapy. In this trial, the sensitivity of stool testing was increased by"&amp;" using a modified Baermann technique on stools collected at several times over a period of ~2 years. Since worm burden fluctuates, sampling that is spread over time might have a higher sensitivity for detecting infection than sampling that is tightly clus"&amp;"tered. The modified Baermann technique samples larvae from -30 g of fresh stool; &lt;I g of stool is sampled with formalin concentration methods [9]. Therefore, the chances of false-negative stool tests due to sampling during a period of low excretion of lar"&amp;"vae were reduced in our study. The negligible likelihood of reinfection in this population, in which strongyloidiasis is presumably nonendemic, strengthens our conclusions regarding drug efficacy. We believe that the higher success rate achieved with thia"&amp;"bendazole in our study compared with rates in previous studies [ I, 4] is partly due to the absence of reinfection and to careful monitoring of compliance over 3 days of treatment.")</f>
        <v>Although eradication of S. stercoralis is difficult to ascertain, ivermectin and thiabendazole appeared to have equivalent efficacy against uncomplicated chronic infection. To be considered cured in this study, a patient had to have at least three consecutive stools negative for larvae by Baermann testing over at least 3 months and total relief from symptoms. Single-dose ivermectin therapy was as safe and efficacious as the two-dose therapy. In this trial, the sensitivity of stool testing was increased by using a modified Baermann technique on stools collected at several times over a period of ~2 years. Since worm burden fluctuates, sampling that is spread over time might have a higher sensitivity for detecting infection than sampling that is tightly clustered. The modified Baermann technique samples larvae from -30 g of fresh stool; &lt;I g of stool is sampled with formalin concentration methods [9]. Therefore, the chances of false-negative stool tests due to sampling during a period of low excretion of larvae were reduced in our study. The negligible likelihood of reinfection in this population, in which strongyloidiasis is presumably nonendemic, strengthens our conclusions regarding drug efficacy. We believe that the higher success rate achieved with thiabendazole in our study compared with rates in previous studies [ I, 4] is partly due to the absence of reinfection and to careful monitoring of compliance over 3 days of treatment.</v>
      </c>
      <c r="CT394" s="883"/>
      <c r="CU394" s="883"/>
      <c r="CV394" s="863"/>
      <c r="CW394" s="863"/>
      <c r="CX394" s="863"/>
      <c r="CY394" s="863"/>
      <c r="CZ394" s="863"/>
      <c r="DA394" s="863"/>
      <c r="DB394" s="863"/>
      <c r="DC394" s="863"/>
      <c r="DD394" s="863"/>
      <c r="DE394" s="863"/>
    </row>
    <row r="395">
      <c r="A395" s="876"/>
      <c r="B395" s="876"/>
      <c r="C395" s="876"/>
      <c r="D395" s="876"/>
      <c r="E395" s="876"/>
      <c r="F395" s="876"/>
      <c r="G395" s="876"/>
      <c r="H395" s="876"/>
      <c r="I395" s="876"/>
      <c r="J395" s="876"/>
      <c r="K395" s="876"/>
      <c r="L395" s="876"/>
      <c r="M395" s="876"/>
      <c r="N395" s="877"/>
      <c r="O395" s="876"/>
      <c r="P395" s="876"/>
      <c r="Q395" s="876"/>
      <c r="R395" s="876"/>
      <c r="S395" s="876"/>
      <c r="T395" s="876"/>
      <c r="U395" s="876"/>
      <c r="V395" s="876"/>
      <c r="W395" s="876"/>
      <c r="X395" s="876"/>
      <c r="Y395" s="876"/>
      <c r="Z395" s="876"/>
      <c r="AA395" s="876"/>
      <c r="AB395" s="876"/>
      <c r="AC395" s="876"/>
      <c r="AD395" s="876"/>
      <c r="AE395" s="876"/>
      <c r="AF395" s="876"/>
      <c r="AG395" s="876"/>
      <c r="AH395" s="876"/>
      <c r="AI395" s="878"/>
      <c r="AJ395" s="880"/>
      <c r="AK395" s="880"/>
      <c r="AL395" s="880"/>
      <c r="AM395" s="880"/>
      <c r="AN395" s="880"/>
      <c r="AO395" s="880"/>
      <c r="AP395" s="880"/>
      <c r="AQ395" s="880"/>
      <c r="AR395" s="880"/>
      <c r="AS395" s="880"/>
      <c r="AT395" s="880"/>
      <c r="AU395" s="880"/>
      <c r="AV395" s="880"/>
      <c r="AW395" s="881"/>
      <c r="AX395" s="863"/>
      <c r="AY395" s="863"/>
      <c r="AZ395" s="863"/>
      <c r="BA395" s="863"/>
      <c r="BB395" s="863"/>
      <c r="BC395" s="863"/>
      <c r="BD395" s="863"/>
      <c r="BE395" s="863"/>
      <c r="BF395" s="863"/>
      <c r="BG395" s="863"/>
      <c r="BH395" s="863"/>
      <c r="BI395" s="863"/>
      <c r="BJ395" s="863"/>
      <c r="BK395" s="863"/>
      <c r="BL395" s="863"/>
      <c r="BM395" s="863"/>
      <c r="BN395" s="863"/>
      <c r="BO395" s="863"/>
      <c r="BP395" s="880"/>
      <c r="BQ395" s="863"/>
      <c r="BR395" s="889" t="str">
        <f>IFERROR(__xludf.DUMMYFUNCTION("""COMPUTED_VALUE"""),"Igual-Adell")</f>
        <v>Igual-Adell</v>
      </c>
      <c r="BS395" s="883" t="str">
        <f>IFERROR(__xludf.DUMMYFUNCTION("""COMPUTED_VALUE"""),"Spain")</f>
        <v>Spain</v>
      </c>
      <c r="BT395" s="883" t="str">
        <f>IFERROR(__xludf.DUMMYFUNCTION("""COMPUTED_VALUE"""),"Thiabendazole")</f>
        <v>Thiabendazole</v>
      </c>
      <c r="BU395" s="883"/>
      <c r="BV395" s="883" t="str">
        <f>IFERROR(__xludf.DUMMYFUNCTION("""COMPUTED_VALUE"""),"Three")</f>
        <v>Three</v>
      </c>
      <c r="BW395" s="883" t="str">
        <f>IFERROR(__xludf.DUMMYFUNCTION("""COMPUTED_VALUE"""),"25 mg/kg/12 h")</f>
        <v>25 mg/kg/12 h</v>
      </c>
      <c r="BX395" s="883">
        <f>IFERROR(__xludf.DUMMYFUNCTION("""COMPUTED_VALUE"""),31.0)</f>
        <v>31</v>
      </c>
      <c r="BY395" s="883"/>
      <c r="BZ395" s="883">
        <f>IFERROR(__xludf.DUMMYFUNCTION("""COMPUTED_VALUE"""),2002.0)</f>
        <v>2002</v>
      </c>
      <c r="CA395" s="883" t="str">
        <f>IFERROR(__xludf.DUMMYFUNCTION("""COMPUTED_VALUE"""),"Male 27
Female 4")</f>
        <v>Male 27
Female 4</v>
      </c>
      <c r="CB395" s="883"/>
      <c r="CC395" s="883" t="str">
        <f>IFERROR(__xludf.DUMMYFUNCTION("""COMPUTED_VALUE"""),"No")</f>
        <v>No</v>
      </c>
      <c r="CD395" s="884"/>
      <c r="CE395" s="883" t="str">
        <f>IFERROR(__xludf.DUMMYFUNCTION("""COMPUTED_VALUE"""),"No")</f>
        <v>No</v>
      </c>
      <c r="CF395" s="883"/>
      <c r="CG395" s="883"/>
      <c r="CH395" s="883"/>
      <c r="CI395" s="883"/>
      <c r="CJ395" s="883"/>
      <c r="CK395" s="883"/>
      <c r="CL395" s="883"/>
      <c r="CM395" s="883"/>
      <c r="CN395" s="883"/>
      <c r="CO395" s="883"/>
      <c r="CP395" s="883"/>
      <c r="CQ395" s="883"/>
      <c r="CR395" s="883"/>
      <c r="CS395" s="883" t="str">
        <f>IFERROR(__xludf.DUMMYFUNCTION("""COMPUTED_VALUE"""),"In conclusion, ivermectin 200 μg/kg/day for 2 consecutive days, was an adequate therapeutic regimen in the treatment of chronic uncomplicated strongyloidiasis, and we will request from the relevant authorities that ivermectin is marketed in Spain, taking "&amp;"into account that recent findings suggest the existence of other endemic areas in this country [24].")</f>
        <v>In conclusion, ivermectin 200 μg/kg/day for 2 consecutive days, was an adequate therapeutic regimen in the treatment of chronic uncomplicated strongyloidiasis, and we will request from the relevant authorities that ivermectin is marketed in Spain, taking into account that recent findings suggest the existence of other endemic areas in this country [24].</v>
      </c>
      <c r="CT395" s="883"/>
      <c r="CU395" s="883"/>
      <c r="CV395" s="863"/>
      <c r="CW395" s="863"/>
      <c r="CX395" s="863"/>
      <c r="CY395" s="863"/>
      <c r="CZ395" s="863"/>
      <c r="DA395" s="863"/>
      <c r="DB395" s="863"/>
      <c r="DC395" s="863"/>
      <c r="DD395" s="863"/>
      <c r="DE395" s="863"/>
    </row>
    <row r="396">
      <c r="A396" s="876"/>
      <c r="B396" s="876"/>
      <c r="C396" s="876"/>
      <c r="D396" s="876"/>
      <c r="E396" s="876"/>
      <c r="F396" s="876"/>
      <c r="G396" s="876"/>
      <c r="H396" s="876"/>
      <c r="I396" s="876"/>
      <c r="J396" s="876"/>
      <c r="K396" s="876"/>
      <c r="L396" s="876"/>
      <c r="M396" s="876"/>
      <c r="N396" s="877"/>
      <c r="O396" s="876"/>
      <c r="P396" s="876"/>
      <c r="Q396" s="876"/>
      <c r="R396" s="876"/>
      <c r="S396" s="876"/>
      <c r="T396" s="876"/>
      <c r="U396" s="876"/>
      <c r="V396" s="876"/>
      <c r="W396" s="876"/>
      <c r="X396" s="876"/>
      <c r="Y396" s="876"/>
      <c r="Z396" s="876"/>
      <c r="AA396" s="876"/>
      <c r="AB396" s="876"/>
      <c r="AC396" s="876"/>
      <c r="AD396" s="876"/>
      <c r="AE396" s="876"/>
      <c r="AF396" s="876"/>
      <c r="AG396" s="876"/>
      <c r="AH396" s="876"/>
      <c r="AI396" s="878"/>
      <c r="AJ396" s="880"/>
      <c r="AK396" s="880"/>
      <c r="AL396" s="880"/>
      <c r="AM396" s="880"/>
      <c r="AN396" s="880"/>
      <c r="AO396" s="880"/>
      <c r="AP396" s="880"/>
      <c r="AQ396" s="880"/>
      <c r="AR396" s="880"/>
      <c r="AS396" s="880"/>
      <c r="AT396" s="880"/>
      <c r="AU396" s="880"/>
      <c r="AV396" s="880"/>
      <c r="AW396" s="881"/>
      <c r="AX396" s="863"/>
      <c r="AY396" s="863"/>
      <c r="AZ396" s="863"/>
      <c r="BA396" s="863"/>
      <c r="BB396" s="863"/>
      <c r="BC396" s="863"/>
      <c r="BD396" s="863"/>
      <c r="BE396" s="863"/>
      <c r="BF396" s="863"/>
      <c r="BG396" s="863"/>
      <c r="BH396" s="863"/>
      <c r="BI396" s="863"/>
      <c r="BJ396" s="863"/>
      <c r="BK396" s="863"/>
      <c r="BL396" s="863"/>
      <c r="BM396" s="863"/>
      <c r="BN396" s="863"/>
      <c r="BO396" s="863"/>
      <c r="BP396" s="880"/>
      <c r="BQ396" s="863"/>
      <c r="BR396" s="889" t="str">
        <f>IFERROR(__xludf.DUMMYFUNCTION("""COMPUTED_VALUE"""),"Igual-Adell")</f>
        <v>Igual-Adell</v>
      </c>
      <c r="BS396" s="883" t="str">
        <f>IFERROR(__xludf.DUMMYFUNCTION("""COMPUTED_VALUE"""),"Spain")</f>
        <v>Spain</v>
      </c>
      <c r="BT396" s="883" t="str">
        <f>IFERROR(__xludf.DUMMYFUNCTION("""COMPUTED_VALUE"""),"Ivermectin")</f>
        <v>Ivermectin</v>
      </c>
      <c r="BU396" s="883"/>
      <c r="BV396" s="883" t="str">
        <f>IFERROR(__xludf.DUMMYFUNCTION("""COMPUTED_VALUE"""),"Once")</f>
        <v>Once</v>
      </c>
      <c r="BW396" s="883" t="str">
        <f>IFERROR(__xludf.DUMMYFUNCTION("""COMPUTED_VALUE"""),"200 μg/kg")</f>
        <v>200 μg/kg</v>
      </c>
      <c r="BX396" s="883">
        <f>IFERROR(__xludf.DUMMYFUNCTION("""COMPUTED_VALUE"""),22.0)</f>
        <v>22</v>
      </c>
      <c r="BY396" s="883" t="str">
        <f>IFERROR(__xludf.DUMMYFUNCTION("""COMPUTED_VALUE"""),"mean age was 64 ± 12 years.")</f>
        <v>mean age was 64 ± 12 years.</v>
      </c>
      <c r="BZ396" s="883">
        <f>IFERROR(__xludf.DUMMYFUNCTION("""COMPUTED_VALUE"""),2002.0)</f>
        <v>2002</v>
      </c>
      <c r="CA396" s="883" t="str">
        <f>IFERROR(__xludf.DUMMYFUNCTION("""COMPUTED_VALUE"""),"Male 12
Female 10")</f>
        <v>Male 12
Female 10</v>
      </c>
      <c r="CB396" s="883"/>
      <c r="CC396" s="883" t="str">
        <f>IFERROR(__xludf.DUMMYFUNCTION("""COMPUTED_VALUE"""),"No")</f>
        <v>No</v>
      </c>
      <c r="CD396" s="884">
        <f>IFERROR(__xludf.DUMMYFUNCTION("""COMPUTED_VALUE"""),0.98)</f>
        <v>0.98</v>
      </c>
      <c r="CE396" s="883" t="str">
        <f>IFERROR(__xludf.DUMMYFUNCTION("""COMPUTED_VALUE"""),"No")</f>
        <v>No</v>
      </c>
      <c r="CF396" s="883"/>
      <c r="CG396" s="883"/>
      <c r="CH396" s="883"/>
      <c r="CI396" s="883"/>
      <c r="CJ396" s="883"/>
      <c r="CK396" s="883"/>
      <c r="CL396" s="883"/>
      <c r="CM396" s="883"/>
      <c r="CN396" s="883"/>
      <c r="CO396" s="883"/>
      <c r="CP396" s="883"/>
      <c r="CQ396" s="883"/>
      <c r="CR396" s="883"/>
      <c r="CS396" s="883" t="str">
        <f>IFERROR(__xludf.DUMMYFUNCTION("""COMPUTED_VALUE"""),"In conclusion, ivermectin 200 μg/kg/day for 2 consecutive days, was an adequate therapeutic regimen in the treatment of chronic uncomplicated strongyloidiasis, and we will request from the relevant authorities that ivermectin is marketed in Spain, taking "&amp;"into account that recent findings suggest the existence of other endemic areas in this country [24].")</f>
        <v>In conclusion, ivermectin 200 μg/kg/day for 2 consecutive days, was an adequate therapeutic regimen in the treatment of chronic uncomplicated strongyloidiasis, and we will request from the relevant authorities that ivermectin is marketed in Spain, taking into account that recent findings suggest the existence of other endemic areas in this country [24].</v>
      </c>
      <c r="CT396" s="883"/>
      <c r="CU396" s="883"/>
      <c r="CV396" s="863"/>
      <c r="CW396" s="863"/>
      <c r="CX396" s="863"/>
      <c r="CY396" s="863"/>
      <c r="CZ396" s="863"/>
      <c r="DA396" s="863"/>
      <c r="DB396" s="863"/>
      <c r="DC396" s="863"/>
      <c r="DD396" s="863"/>
      <c r="DE396" s="863"/>
    </row>
    <row r="397">
      <c r="A397" s="876"/>
      <c r="B397" s="876"/>
      <c r="C397" s="876"/>
      <c r="D397" s="876"/>
      <c r="E397" s="876"/>
      <c r="F397" s="876"/>
      <c r="G397" s="876"/>
      <c r="H397" s="876"/>
      <c r="I397" s="876"/>
      <c r="J397" s="876"/>
      <c r="K397" s="876"/>
      <c r="L397" s="876"/>
      <c r="M397" s="876"/>
      <c r="N397" s="877"/>
      <c r="O397" s="876"/>
      <c r="P397" s="876"/>
      <c r="Q397" s="876"/>
      <c r="R397" s="876"/>
      <c r="S397" s="876"/>
      <c r="T397" s="876"/>
      <c r="U397" s="876"/>
      <c r="V397" s="876"/>
      <c r="W397" s="876"/>
      <c r="X397" s="876"/>
      <c r="Y397" s="876"/>
      <c r="Z397" s="876"/>
      <c r="AA397" s="876"/>
      <c r="AB397" s="876"/>
      <c r="AC397" s="876"/>
      <c r="AD397" s="876"/>
      <c r="AE397" s="876"/>
      <c r="AF397" s="876"/>
      <c r="AG397" s="876"/>
      <c r="AH397" s="876"/>
      <c r="AI397" s="878"/>
      <c r="AJ397" s="880"/>
      <c r="AK397" s="880"/>
      <c r="AL397" s="880"/>
      <c r="AM397" s="880"/>
      <c r="AN397" s="880"/>
      <c r="AO397" s="880"/>
      <c r="AP397" s="880"/>
      <c r="AQ397" s="880"/>
      <c r="AR397" s="880"/>
      <c r="AS397" s="880"/>
      <c r="AT397" s="880"/>
      <c r="AU397" s="880"/>
      <c r="AV397" s="880"/>
      <c r="AW397" s="881"/>
      <c r="AX397" s="863"/>
      <c r="AY397" s="863"/>
      <c r="AZ397" s="863"/>
      <c r="BA397" s="863"/>
      <c r="BB397" s="863"/>
      <c r="BC397" s="863"/>
      <c r="BD397" s="863"/>
      <c r="BE397" s="863"/>
      <c r="BF397" s="863"/>
      <c r="BG397" s="863"/>
      <c r="BH397" s="863"/>
      <c r="BI397" s="863"/>
      <c r="BJ397" s="863"/>
      <c r="BK397" s="863"/>
      <c r="BL397" s="863"/>
      <c r="BM397" s="863"/>
      <c r="BN397" s="863"/>
      <c r="BO397" s="863"/>
      <c r="BP397" s="880"/>
      <c r="BQ397" s="863"/>
      <c r="BR397" s="889" t="str">
        <f>IFERROR(__xludf.DUMMYFUNCTION("""COMPUTED_VALUE"""),"Igual-Adell")</f>
        <v>Igual-Adell</v>
      </c>
      <c r="BS397" s="883" t="str">
        <f>IFERROR(__xludf.DUMMYFUNCTION("""COMPUTED_VALUE"""),"Spain")</f>
        <v>Spain</v>
      </c>
      <c r="BT397" s="883" t="str">
        <f>IFERROR(__xludf.DUMMYFUNCTION("""COMPUTED_VALUE"""),"Ivermectin")</f>
        <v>Ivermectin</v>
      </c>
      <c r="BU397" s="883"/>
      <c r="BV397" s="883" t="str">
        <f>IFERROR(__xludf.DUMMYFUNCTION("""COMPUTED_VALUE"""),"Two")</f>
        <v>Two</v>
      </c>
      <c r="BW397" s="883" t="str">
        <f>IFERROR(__xludf.DUMMYFUNCTION("""COMPUTED_VALUE"""),"200 μg/kg for 2d")</f>
        <v>200 μg/kg for 2d</v>
      </c>
      <c r="BX397" s="883">
        <f>IFERROR(__xludf.DUMMYFUNCTION("""COMPUTED_VALUE"""),35.0)</f>
        <v>35</v>
      </c>
      <c r="BY397" s="883" t="str">
        <f>IFERROR(__xludf.DUMMYFUNCTION("""COMPUTED_VALUE"""),"mean age was 64 ± 12 years.")</f>
        <v>mean age was 64 ± 12 years.</v>
      </c>
      <c r="BZ397" s="883">
        <f>IFERROR(__xludf.DUMMYFUNCTION("""COMPUTED_VALUE"""),2002.0)</f>
        <v>2002</v>
      </c>
      <c r="CA397" s="883" t="str">
        <f>IFERROR(__xludf.DUMMYFUNCTION("""COMPUTED_VALUE"""),"Male 26
Female 9")</f>
        <v>Male 26
Female 9</v>
      </c>
      <c r="CB397" s="883"/>
      <c r="CC397" s="883" t="str">
        <f>IFERROR(__xludf.DUMMYFUNCTION("""COMPUTED_VALUE"""),"No")</f>
        <v>No</v>
      </c>
      <c r="CD397" s="884">
        <f>IFERROR(__xludf.DUMMYFUNCTION("""COMPUTED_VALUE"""),0.94)</f>
        <v>0.94</v>
      </c>
      <c r="CE397" s="883" t="str">
        <f>IFERROR(__xludf.DUMMYFUNCTION("""COMPUTED_VALUE"""),"No")</f>
        <v>No</v>
      </c>
      <c r="CF397" s="883"/>
      <c r="CG397" s="883"/>
      <c r="CH397" s="883"/>
      <c r="CI397" s="883"/>
      <c r="CJ397" s="883"/>
      <c r="CK397" s="883"/>
      <c r="CL397" s="883"/>
      <c r="CM397" s="883"/>
      <c r="CN397" s="883"/>
      <c r="CO397" s="883"/>
      <c r="CP397" s="883"/>
      <c r="CQ397" s="883"/>
      <c r="CR397" s="883"/>
      <c r="CS397" s="883" t="str">
        <f>IFERROR(__xludf.DUMMYFUNCTION("""COMPUTED_VALUE"""),"In conclusion, ivermectin 200 μg/kg/day for 2 consecutive days, was an adequate therapeutic regimen in the treatment of chronic uncomplicated strongyloidiasis, and we will request from the relevant authorities that ivermectin is marketed in Spain, taking "&amp;"into account that recent findings suggest the existence of other endemic areas in this country [24].")</f>
        <v>In conclusion, ivermectin 200 μg/kg/day for 2 consecutive days, was an adequate therapeutic regimen in the treatment of chronic uncomplicated strongyloidiasis, and we will request from the relevant authorities that ivermectin is marketed in Spain, taking into account that recent findings suggest the existence of other endemic areas in this country [24].</v>
      </c>
      <c r="CT397" s="883"/>
      <c r="CU397" s="883"/>
      <c r="CV397" s="863"/>
      <c r="CW397" s="863"/>
      <c r="CX397" s="863"/>
      <c r="CY397" s="863"/>
      <c r="CZ397" s="863"/>
      <c r="DA397" s="863"/>
      <c r="DB397" s="863"/>
      <c r="DC397" s="863"/>
      <c r="DD397" s="863"/>
      <c r="DE397" s="863"/>
    </row>
    <row r="398">
      <c r="A398" s="876"/>
      <c r="B398" s="876"/>
      <c r="C398" s="876"/>
      <c r="D398" s="876"/>
      <c r="E398" s="876"/>
      <c r="F398" s="876"/>
      <c r="G398" s="876"/>
      <c r="H398" s="876"/>
      <c r="I398" s="876"/>
      <c r="J398" s="876"/>
      <c r="K398" s="876"/>
      <c r="L398" s="876"/>
      <c r="M398" s="876"/>
      <c r="N398" s="877"/>
      <c r="O398" s="876"/>
      <c r="P398" s="876"/>
      <c r="Q398" s="876"/>
      <c r="R398" s="876"/>
      <c r="S398" s="876"/>
      <c r="T398" s="876"/>
      <c r="U398" s="876"/>
      <c r="V398" s="876"/>
      <c r="W398" s="876"/>
      <c r="X398" s="876"/>
      <c r="Y398" s="876"/>
      <c r="Z398" s="876"/>
      <c r="AA398" s="876"/>
      <c r="AB398" s="876"/>
      <c r="AC398" s="876"/>
      <c r="AD398" s="876"/>
      <c r="AE398" s="876"/>
      <c r="AF398" s="876"/>
      <c r="AG398" s="876"/>
      <c r="AH398" s="876"/>
      <c r="AI398" s="878"/>
      <c r="AJ398" s="880"/>
      <c r="AK398" s="880"/>
      <c r="AL398" s="880"/>
      <c r="AM398" s="880"/>
      <c r="AN398" s="880"/>
      <c r="AO398" s="880"/>
      <c r="AP398" s="880"/>
      <c r="AQ398" s="880"/>
      <c r="AR398" s="880"/>
      <c r="AS398" s="880"/>
      <c r="AT398" s="880"/>
      <c r="AU398" s="880"/>
      <c r="AV398" s="880"/>
      <c r="AW398" s="881"/>
      <c r="AX398" s="863"/>
      <c r="AY398" s="863"/>
      <c r="AZ398" s="863"/>
      <c r="BA398" s="863"/>
      <c r="BB398" s="863"/>
      <c r="BC398" s="863"/>
      <c r="BD398" s="863"/>
      <c r="BE398" s="863"/>
      <c r="BF398" s="863"/>
      <c r="BG398" s="863"/>
      <c r="BH398" s="863"/>
      <c r="BI398" s="863"/>
      <c r="BJ398" s="863"/>
      <c r="BK398" s="863"/>
      <c r="BL398" s="863"/>
      <c r="BM398" s="863"/>
      <c r="BN398" s="863"/>
      <c r="BO398" s="863"/>
      <c r="BP398" s="880"/>
      <c r="BQ398" s="863"/>
      <c r="BR398" s="889" t="str">
        <f>IFERROR(__xludf.DUMMYFUNCTION("""COMPUTED_VALUE"""),"Bockarie")</f>
        <v>Bockarie</v>
      </c>
      <c r="BS398" s="883" t="str">
        <f>IFERROR(__xludf.DUMMYFUNCTION("""COMPUTED_VALUE"""),"Papua New Guinea")</f>
        <v>Papua New Guinea</v>
      </c>
      <c r="BT398" s="883" t="str">
        <f>IFERROR(__xludf.DUMMYFUNCTION("""COMPUTED_VALUE"""),"Diethylcarbamazine")</f>
        <v>Diethylcarbamazine</v>
      </c>
      <c r="BU398" s="883"/>
      <c r="BV398" s="883" t="str">
        <f>IFERROR(__xludf.DUMMYFUNCTION("""COMPUTED_VALUE"""),"Once")</f>
        <v>Once</v>
      </c>
      <c r="BW398" s="883" t="str">
        <f>IFERROR(__xludf.DUMMYFUNCTION("""COMPUTED_VALUE"""),"(6 mg/kg of body weight)")</f>
        <v>(6 mg/kg of body weight)</v>
      </c>
      <c r="BX398" s="883">
        <f>IFERROR(__xludf.DUMMYFUNCTION("""COMPUTED_VALUE"""),497.0)</f>
        <v>497</v>
      </c>
      <c r="BY398" s="883" t="str">
        <f>IFERROR(__xludf.DUMMYFUNCTION("""COMPUTED_VALUE"""),"Mean age of 23.4")</f>
        <v>Mean age of 23.4</v>
      </c>
      <c r="BZ398" s="883">
        <f>IFERROR(__xludf.DUMMYFUNCTION("""COMPUTED_VALUE"""),2001.0)</f>
        <v>2001</v>
      </c>
      <c r="CA398" s="883" t="str">
        <f>IFERROR(__xludf.DUMMYFUNCTION("""COMPUTED_VALUE"""),"260/237")</f>
        <v>260/237</v>
      </c>
      <c r="CB398" s="883"/>
      <c r="CC398" s="883" t="str">
        <f>IFERROR(__xludf.DUMMYFUNCTION("""COMPUTED_VALUE"""),"Yes")</f>
        <v>Yes</v>
      </c>
      <c r="CD398" s="884"/>
      <c r="CE398" s="883" t="str">
        <f>IFERROR(__xludf.DUMMYFUNCTION("""COMPUTED_VALUE"""),"No")</f>
        <v>No</v>
      </c>
      <c r="CF398" s="883"/>
      <c r="CG398" s="883"/>
      <c r="CH398" s="883"/>
      <c r="CI398" s="883"/>
      <c r="CJ398" s="883"/>
      <c r="CK398" s="883"/>
      <c r="CL398" s="883"/>
      <c r="CM398" s="883"/>
      <c r="CN398" s="883"/>
      <c r="CO398" s="883"/>
      <c r="CP398" s="883"/>
      <c r="CQ398" s="883"/>
      <c r="CR398" s="883"/>
      <c r="CS398" s="883" t="str">
        <f>IFERROR(__xludf.DUMMYFUNCTION("""COMPUTED_VALUE"""),"Considering the superior efficacy of single dose DEC plus ALB over DEC alone demonstrated here in reducing W. bancrofti antigenemia and the added benefit of ALB on treating childhood geohelminth infections and improving nutrition,7 our results support the"&amp;" recommendation that ALB be included in filariasis MDA programs. In addition, since these and other data provide more field-based information to quantify the relative efficacy of the three MDA regimens recommended by GPELF, it is hoped they can be used to"&amp;" refine mathematical models of filariasis transmission that will inform decisions concerned with continuation and termination of national and regional elimination programs.")</f>
        <v>Considering the superior efficacy of single dose DEC plus ALB over DEC alone demonstrated here in reducing W. bancrofti antigenemia and the added benefit of ALB on treating childhood geohelminth infections and improving nutrition,7 our results support the recommendation that ALB be included in filariasis MDA programs. In addition, since these and other data provide more field-based information to quantify the relative efficacy of the three MDA regimens recommended by GPELF, it is hoped they can be used to refine mathematical models of filariasis transmission that will inform decisions concerned with continuation and termination of national and regional elimination programs.</v>
      </c>
      <c r="CT398" s="883"/>
      <c r="CU398" s="883"/>
      <c r="CV398" s="863"/>
      <c r="CW398" s="863"/>
      <c r="CX398" s="863"/>
      <c r="CY398" s="863"/>
      <c r="CZ398" s="863"/>
      <c r="DA398" s="863"/>
      <c r="DB398" s="863"/>
      <c r="DC398" s="863"/>
      <c r="DD398" s="863"/>
      <c r="DE398" s="863"/>
    </row>
    <row r="399">
      <c r="A399" s="876"/>
      <c r="B399" s="876"/>
      <c r="C399" s="876"/>
      <c r="D399" s="876"/>
      <c r="E399" s="876"/>
      <c r="F399" s="876"/>
      <c r="G399" s="876"/>
      <c r="H399" s="876"/>
      <c r="I399" s="876"/>
      <c r="J399" s="876"/>
      <c r="K399" s="876"/>
      <c r="L399" s="876"/>
      <c r="M399" s="876"/>
      <c r="N399" s="877"/>
      <c r="O399" s="876"/>
      <c r="P399" s="876"/>
      <c r="Q399" s="876"/>
      <c r="R399" s="876"/>
      <c r="S399" s="876"/>
      <c r="T399" s="876"/>
      <c r="U399" s="876"/>
      <c r="V399" s="876"/>
      <c r="W399" s="876"/>
      <c r="X399" s="876"/>
      <c r="Y399" s="876"/>
      <c r="Z399" s="876"/>
      <c r="AA399" s="876"/>
      <c r="AB399" s="876"/>
      <c r="AC399" s="876"/>
      <c r="AD399" s="876"/>
      <c r="AE399" s="876"/>
      <c r="AF399" s="876"/>
      <c r="AG399" s="876"/>
      <c r="AH399" s="876"/>
      <c r="AI399" s="878"/>
      <c r="AJ399" s="880"/>
      <c r="AK399" s="880"/>
      <c r="AL399" s="880"/>
      <c r="AM399" s="880"/>
      <c r="AN399" s="880"/>
      <c r="AO399" s="880"/>
      <c r="AP399" s="880"/>
      <c r="AQ399" s="880"/>
      <c r="AR399" s="880"/>
      <c r="AS399" s="880"/>
      <c r="AT399" s="880"/>
      <c r="AU399" s="880"/>
      <c r="AV399" s="880"/>
      <c r="AW399" s="881"/>
      <c r="AX399" s="863"/>
      <c r="AY399" s="863"/>
      <c r="AZ399" s="863"/>
      <c r="BA399" s="863"/>
      <c r="BB399" s="863"/>
      <c r="BC399" s="863"/>
      <c r="BD399" s="863"/>
      <c r="BE399" s="863"/>
      <c r="BF399" s="863"/>
      <c r="BG399" s="863"/>
      <c r="BH399" s="863"/>
      <c r="BI399" s="863"/>
      <c r="BJ399" s="863"/>
      <c r="BK399" s="863"/>
      <c r="BL399" s="863"/>
      <c r="BM399" s="863"/>
      <c r="BN399" s="863"/>
      <c r="BO399" s="863"/>
      <c r="BP399" s="880"/>
      <c r="BQ399" s="863"/>
      <c r="BR399" s="889" t="str">
        <f>IFERROR(__xludf.DUMMYFUNCTION("""COMPUTED_VALUE"""),"Bockarie")</f>
        <v>Bockarie</v>
      </c>
      <c r="BS399" s="883" t="str">
        <f>IFERROR(__xludf.DUMMYFUNCTION("""COMPUTED_VALUE"""),"Papua New Guinea")</f>
        <v>Papua New Guinea</v>
      </c>
      <c r="BT399" s="883" t="str">
        <f>IFERROR(__xludf.DUMMYFUNCTION("""COMPUTED_VALUE"""),"Diethylcarbamazine &amp; Albendazole")</f>
        <v>Diethylcarbamazine &amp; Albendazole</v>
      </c>
      <c r="BU399" s="883"/>
      <c r="BV399" s="883" t="str">
        <f>IFERROR(__xludf.DUMMYFUNCTION("""COMPUTED_VALUE"""),"Once")</f>
        <v>Once</v>
      </c>
      <c r="BW399" s="883" t="str">
        <f>IFERROR(__xludf.DUMMYFUNCTION("""COMPUTED_VALUE"""),"(400 mg given as a single dose regardless of body weight).")</f>
        <v>(400 mg given as a single dose regardless of body weight).</v>
      </c>
      <c r="BX399" s="883">
        <f>IFERROR(__xludf.DUMMYFUNCTION("""COMPUTED_VALUE"""),510.0)</f>
        <v>510</v>
      </c>
      <c r="BY399" s="883" t="str">
        <f>IFERROR(__xludf.DUMMYFUNCTION("""COMPUTED_VALUE"""),"Mean age of 24.7")</f>
        <v>Mean age of 24.7</v>
      </c>
      <c r="BZ399" s="883">
        <f>IFERROR(__xludf.DUMMYFUNCTION("""COMPUTED_VALUE"""),2001.0)</f>
        <v>2001</v>
      </c>
      <c r="CA399" s="883" t="str">
        <f>IFERROR(__xludf.DUMMYFUNCTION("""COMPUTED_VALUE"""),"268/242")</f>
        <v>268/242</v>
      </c>
      <c r="CB399" s="883"/>
      <c r="CC399" s="883" t="str">
        <f>IFERROR(__xludf.DUMMYFUNCTION("""COMPUTED_VALUE"""),"Yes")</f>
        <v>Yes</v>
      </c>
      <c r="CD399" s="884"/>
      <c r="CE399" s="883" t="str">
        <f>IFERROR(__xludf.DUMMYFUNCTION("""COMPUTED_VALUE"""),"No")</f>
        <v>No</v>
      </c>
      <c r="CF399" s="883"/>
      <c r="CG399" s="883"/>
      <c r="CH399" s="883"/>
      <c r="CI399" s="883"/>
      <c r="CJ399" s="883"/>
      <c r="CK399" s="883"/>
      <c r="CL399" s="883"/>
      <c r="CM399" s="883"/>
      <c r="CN399" s="883"/>
      <c r="CO399" s="883"/>
      <c r="CP399" s="883"/>
      <c r="CQ399" s="883"/>
      <c r="CR399" s="883"/>
      <c r="CS399" s="883" t="str">
        <f>IFERROR(__xludf.DUMMYFUNCTION("""COMPUTED_VALUE"""),"Considering the superior efficacy of single dose DEC plus ALB over DEC alone demonstrated here in reducing W. bancrofti antigenemia and the added benefit of ALB on treating childhood geohelminth infections and improving nutrition,7 our results support the"&amp;" recommendation that ALB be included in filariasis MDA programs. In addition, since these and other data provide more field-based information to quantify the relative efficacy of the three MDA regimens recommended by GPELF, it is hoped they can be used to"&amp;" refine mathematical models of filariasis transmission that will inform decisions concerned with continuation and termination of national and regional elimination programs.")</f>
        <v>Considering the superior efficacy of single dose DEC plus ALB over DEC alone demonstrated here in reducing W. bancrofti antigenemia and the added benefit of ALB on treating childhood geohelminth infections and improving nutrition,7 our results support the recommendation that ALB be included in filariasis MDA programs. In addition, since these and other data provide more field-based information to quantify the relative efficacy of the three MDA regimens recommended by GPELF, it is hoped they can be used to refine mathematical models of filariasis transmission that will inform decisions concerned with continuation and termination of national and regional elimination programs.</v>
      </c>
      <c r="CT399" s="883"/>
      <c r="CU399" s="883"/>
      <c r="CV399" s="863"/>
      <c r="CW399" s="863"/>
      <c r="CX399" s="863"/>
      <c r="CY399" s="863"/>
      <c r="CZ399" s="863"/>
      <c r="DA399" s="863"/>
      <c r="DB399" s="863"/>
      <c r="DC399" s="863"/>
      <c r="DD399" s="863"/>
      <c r="DE399" s="863"/>
    </row>
    <row r="400">
      <c r="A400" s="876"/>
      <c r="B400" s="876"/>
      <c r="C400" s="876"/>
      <c r="D400" s="876"/>
      <c r="E400" s="876"/>
      <c r="F400" s="876"/>
      <c r="G400" s="876"/>
      <c r="H400" s="876"/>
      <c r="I400" s="876"/>
      <c r="J400" s="876"/>
      <c r="K400" s="876"/>
      <c r="L400" s="876"/>
      <c r="M400" s="876"/>
      <c r="N400" s="877"/>
      <c r="O400" s="876"/>
      <c r="P400" s="876"/>
      <c r="Q400" s="876"/>
      <c r="R400" s="876"/>
      <c r="S400" s="876"/>
      <c r="T400" s="876"/>
      <c r="U400" s="876"/>
      <c r="V400" s="876"/>
      <c r="W400" s="876"/>
      <c r="X400" s="876"/>
      <c r="Y400" s="876"/>
      <c r="Z400" s="876"/>
      <c r="AA400" s="876"/>
      <c r="AB400" s="876"/>
      <c r="AC400" s="876"/>
      <c r="AD400" s="876"/>
      <c r="AE400" s="876"/>
      <c r="AF400" s="876"/>
      <c r="AG400" s="876"/>
      <c r="AH400" s="876"/>
      <c r="AI400" s="878"/>
      <c r="AJ400" s="880"/>
      <c r="AK400" s="880"/>
      <c r="AL400" s="880"/>
      <c r="AM400" s="880"/>
      <c r="AN400" s="880"/>
      <c r="AO400" s="880"/>
      <c r="AP400" s="880"/>
      <c r="AQ400" s="880"/>
      <c r="AR400" s="880"/>
      <c r="AS400" s="880"/>
      <c r="AT400" s="880"/>
      <c r="AU400" s="880"/>
      <c r="AV400" s="880"/>
      <c r="AW400" s="881"/>
      <c r="AX400" s="863"/>
      <c r="AY400" s="863"/>
      <c r="AZ400" s="863"/>
      <c r="BA400" s="863"/>
      <c r="BB400" s="863"/>
      <c r="BC400" s="863"/>
      <c r="BD400" s="863"/>
      <c r="BE400" s="863"/>
      <c r="BF400" s="863"/>
      <c r="BG400" s="863"/>
      <c r="BH400" s="863"/>
      <c r="BI400" s="863"/>
      <c r="BJ400" s="863"/>
      <c r="BK400" s="863"/>
      <c r="BL400" s="863"/>
      <c r="BM400" s="863"/>
      <c r="BN400" s="863"/>
      <c r="BO400" s="863"/>
      <c r="BP400" s="880"/>
      <c r="BQ400" s="863"/>
      <c r="BR400" s="883"/>
      <c r="BS400" s="883"/>
      <c r="BT400" s="883"/>
      <c r="BU400" s="883"/>
      <c r="BV400" s="883"/>
      <c r="BW400" s="883"/>
      <c r="BX400" s="883"/>
      <c r="BY400" s="883"/>
      <c r="BZ400" s="883"/>
      <c r="CA400" s="883"/>
      <c r="CB400" s="883"/>
      <c r="CC400" s="883"/>
      <c r="CD400" s="884"/>
      <c r="CE400" s="883"/>
      <c r="CF400" s="883"/>
      <c r="CG400" s="883"/>
      <c r="CH400" s="883"/>
      <c r="CI400" s="883"/>
      <c r="CJ400" s="883"/>
      <c r="CK400" s="883"/>
      <c r="CL400" s="883"/>
      <c r="CM400" s="883"/>
      <c r="CN400" s="883"/>
      <c r="CO400" s="883"/>
      <c r="CP400" s="883"/>
      <c r="CQ400" s="883"/>
      <c r="CR400" s="883"/>
      <c r="CS400" s="883"/>
      <c r="CT400" s="883"/>
      <c r="CU400" s="883"/>
      <c r="CV400" s="863"/>
      <c r="CW400" s="863"/>
      <c r="CX400" s="863"/>
      <c r="CY400" s="863"/>
      <c r="CZ400" s="863"/>
      <c r="DA400" s="863"/>
      <c r="DB400" s="863"/>
      <c r="DC400" s="863"/>
      <c r="DD400" s="863"/>
      <c r="DE400" s="863"/>
    </row>
    <row r="401">
      <c r="A401" s="876"/>
      <c r="B401" s="876"/>
      <c r="C401" s="876"/>
      <c r="D401" s="876"/>
      <c r="E401" s="876"/>
      <c r="F401" s="876"/>
      <c r="G401" s="876"/>
      <c r="H401" s="876"/>
      <c r="I401" s="876"/>
      <c r="J401" s="876"/>
      <c r="K401" s="876"/>
      <c r="L401" s="876"/>
      <c r="M401" s="876"/>
      <c r="N401" s="877"/>
      <c r="O401" s="876"/>
      <c r="P401" s="876"/>
      <c r="Q401" s="876"/>
      <c r="R401" s="876"/>
      <c r="S401" s="876"/>
      <c r="T401" s="876"/>
      <c r="U401" s="876"/>
      <c r="V401" s="876"/>
      <c r="W401" s="876"/>
      <c r="X401" s="876"/>
      <c r="Y401" s="876"/>
      <c r="Z401" s="876"/>
      <c r="AA401" s="876"/>
      <c r="AB401" s="876"/>
      <c r="AC401" s="876"/>
      <c r="AD401" s="876"/>
      <c r="AE401" s="876"/>
      <c r="AF401" s="876"/>
      <c r="AG401" s="876"/>
      <c r="AH401" s="876"/>
      <c r="AI401" s="878"/>
      <c r="AJ401" s="880"/>
      <c r="AK401" s="880"/>
      <c r="AL401" s="880"/>
      <c r="AM401" s="880"/>
      <c r="AN401" s="880"/>
      <c r="AO401" s="880"/>
      <c r="AP401" s="880"/>
      <c r="AQ401" s="880"/>
      <c r="AR401" s="880"/>
      <c r="AS401" s="880"/>
      <c r="AT401" s="880"/>
      <c r="AU401" s="880"/>
      <c r="AV401" s="880"/>
      <c r="AW401" s="881"/>
      <c r="AX401" s="863"/>
      <c r="AY401" s="863"/>
      <c r="AZ401" s="863"/>
      <c r="BA401" s="863"/>
      <c r="BB401" s="863"/>
      <c r="BC401" s="863"/>
      <c r="BD401" s="863"/>
      <c r="BE401" s="863"/>
      <c r="BF401" s="863"/>
      <c r="BG401" s="863"/>
      <c r="BH401" s="863"/>
      <c r="BI401" s="863"/>
      <c r="BJ401" s="863"/>
      <c r="BK401" s="863"/>
      <c r="BL401" s="863"/>
      <c r="BM401" s="863"/>
      <c r="BN401" s="863"/>
      <c r="BO401" s="863"/>
      <c r="BP401" s="880"/>
      <c r="BQ401" s="863"/>
      <c r="BR401" s="883"/>
      <c r="BS401" s="883"/>
      <c r="BT401" s="883"/>
      <c r="BU401" s="883"/>
      <c r="BV401" s="883"/>
      <c r="BW401" s="883"/>
      <c r="BX401" s="883"/>
      <c r="BY401" s="883"/>
      <c r="BZ401" s="883"/>
      <c r="CA401" s="883"/>
      <c r="CB401" s="883"/>
      <c r="CC401" s="883"/>
      <c r="CD401" s="884"/>
      <c r="CE401" s="883"/>
      <c r="CF401" s="883"/>
      <c r="CG401" s="883"/>
      <c r="CH401" s="883"/>
      <c r="CI401" s="883"/>
      <c r="CJ401" s="883"/>
      <c r="CK401" s="883"/>
      <c r="CL401" s="883"/>
      <c r="CM401" s="883"/>
      <c r="CN401" s="883"/>
      <c r="CO401" s="883"/>
      <c r="CP401" s="883"/>
      <c r="CQ401" s="883"/>
      <c r="CR401" s="883"/>
      <c r="CS401" s="883"/>
      <c r="CT401" s="883"/>
      <c r="CU401" s="883"/>
      <c r="CV401" s="863"/>
      <c r="CW401" s="863"/>
      <c r="CX401" s="863"/>
      <c r="CY401" s="863"/>
      <c r="CZ401" s="863"/>
      <c r="DA401" s="863"/>
      <c r="DB401" s="863"/>
      <c r="DC401" s="863"/>
      <c r="DD401" s="863"/>
      <c r="DE401" s="863"/>
    </row>
    <row r="402">
      <c r="A402" s="876"/>
      <c r="B402" s="876"/>
      <c r="C402" s="876"/>
      <c r="D402" s="876"/>
      <c r="E402" s="876"/>
      <c r="F402" s="876"/>
      <c r="G402" s="876"/>
      <c r="H402" s="876"/>
      <c r="I402" s="876"/>
      <c r="J402" s="876"/>
      <c r="K402" s="876"/>
      <c r="L402" s="876"/>
      <c r="M402" s="876"/>
      <c r="N402" s="877"/>
      <c r="O402" s="876"/>
      <c r="P402" s="876"/>
      <c r="Q402" s="876"/>
      <c r="R402" s="876"/>
      <c r="S402" s="876"/>
      <c r="T402" s="876"/>
      <c r="U402" s="876"/>
      <c r="V402" s="876"/>
      <c r="W402" s="876"/>
      <c r="X402" s="876"/>
      <c r="Y402" s="876"/>
      <c r="Z402" s="876"/>
      <c r="AA402" s="876"/>
      <c r="AB402" s="876"/>
      <c r="AC402" s="876"/>
      <c r="AD402" s="876"/>
      <c r="AE402" s="876"/>
      <c r="AF402" s="876"/>
      <c r="AG402" s="876"/>
      <c r="AH402" s="876"/>
      <c r="AI402" s="878"/>
      <c r="AJ402" s="880"/>
      <c r="AK402" s="880"/>
      <c r="AL402" s="880"/>
      <c r="AM402" s="880"/>
      <c r="AN402" s="880"/>
      <c r="AO402" s="880"/>
      <c r="AP402" s="880"/>
      <c r="AQ402" s="880"/>
      <c r="AR402" s="880"/>
      <c r="AS402" s="880"/>
      <c r="AT402" s="880"/>
      <c r="AU402" s="880"/>
      <c r="AV402" s="880"/>
      <c r="AW402" s="881"/>
      <c r="AX402" s="863"/>
      <c r="AY402" s="863"/>
      <c r="AZ402" s="863"/>
      <c r="BA402" s="863"/>
      <c r="BB402" s="863"/>
      <c r="BC402" s="863"/>
      <c r="BD402" s="863"/>
      <c r="BE402" s="863"/>
      <c r="BF402" s="863"/>
      <c r="BG402" s="863"/>
      <c r="BH402" s="863"/>
      <c r="BI402" s="863"/>
      <c r="BJ402" s="863"/>
      <c r="BK402" s="863"/>
      <c r="BL402" s="863"/>
      <c r="BM402" s="863"/>
      <c r="BN402" s="863"/>
      <c r="BO402" s="863"/>
      <c r="BP402" s="880"/>
      <c r="BQ402" s="863"/>
      <c r="BR402" s="883"/>
      <c r="BS402" s="883"/>
      <c r="BT402" s="883"/>
      <c r="BU402" s="883"/>
      <c r="BV402" s="883"/>
      <c r="BW402" s="883"/>
      <c r="BX402" s="883"/>
      <c r="BY402" s="883"/>
      <c r="BZ402" s="883"/>
      <c r="CA402" s="883"/>
      <c r="CB402" s="883"/>
      <c r="CC402" s="883"/>
      <c r="CD402" s="884"/>
      <c r="CE402" s="883"/>
      <c r="CF402" s="883"/>
      <c r="CG402" s="883"/>
      <c r="CH402" s="883"/>
      <c r="CI402" s="883"/>
      <c r="CJ402" s="883"/>
      <c r="CK402" s="883"/>
      <c r="CL402" s="883"/>
      <c r="CM402" s="883"/>
      <c r="CN402" s="883"/>
      <c r="CO402" s="883"/>
      <c r="CP402" s="883"/>
      <c r="CQ402" s="883"/>
      <c r="CR402" s="883"/>
      <c r="CS402" s="883"/>
      <c r="CT402" s="883"/>
      <c r="CU402" s="883"/>
      <c r="CV402" s="863"/>
      <c r="CW402" s="863"/>
      <c r="CX402" s="863"/>
      <c r="CY402" s="863"/>
      <c r="CZ402" s="863"/>
      <c r="DA402" s="863"/>
      <c r="DB402" s="863"/>
      <c r="DC402" s="863"/>
      <c r="DD402" s="863"/>
      <c r="DE402" s="863"/>
    </row>
    <row r="403">
      <c r="A403" s="876"/>
      <c r="B403" s="876"/>
      <c r="C403" s="876"/>
      <c r="D403" s="876"/>
      <c r="E403" s="876"/>
      <c r="F403" s="876"/>
      <c r="G403" s="876"/>
      <c r="H403" s="876"/>
      <c r="I403" s="876"/>
      <c r="J403" s="876"/>
      <c r="K403" s="876"/>
      <c r="L403" s="876"/>
      <c r="M403" s="876"/>
      <c r="N403" s="877"/>
      <c r="O403" s="876"/>
      <c r="P403" s="876"/>
      <c r="Q403" s="876"/>
      <c r="R403" s="876"/>
      <c r="S403" s="876"/>
      <c r="T403" s="876"/>
      <c r="U403" s="876"/>
      <c r="V403" s="876"/>
      <c r="W403" s="876"/>
      <c r="X403" s="876"/>
      <c r="Y403" s="876"/>
      <c r="Z403" s="876"/>
      <c r="AA403" s="876"/>
      <c r="AB403" s="876"/>
      <c r="AC403" s="876"/>
      <c r="AD403" s="876"/>
      <c r="AE403" s="876"/>
      <c r="AF403" s="876"/>
      <c r="AG403" s="876"/>
      <c r="AH403" s="876"/>
      <c r="AI403" s="878"/>
      <c r="AJ403" s="880"/>
      <c r="AK403" s="880"/>
      <c r="AL403" s="880"/>
      <c r="AM403" s="880"/>
      <c r="AN403" s="880"/>
      <c r="AO403" s="880"/>
      <c r="AP403" s="880"/>
      <c r="AQ403" s="880"/>
      <c r="AR403" s="880"/>
      <c r="AS403" s="880"/>
      <c r="AT403" s="880"/>
      <c r="AU403" s="880"/>
      <c r="AV403" s="880"/>
      <c r="AW403" s="881"/>
      <c r="AX403" s="863"/>
      <c r="AY403" s="863"/>
      <c r="AZ403" s="863"/>
      <c r="BA403" s="863"/>
      <c r="BB403" s="863"/>
      <c r="BC403" s="863"/>
      <c r="BD403" s="863"/>
      <c r="BE403" s="863"/>
      <c r="BF403" s="863"/>
      <c r="BG403" s="863"/>
      <c r="BH403" s="863"/>
      <c r="BI403" s="863"/>
      <c r="BJ403" s="863"/>
      <c r="BK403" s="863"/>
      <c r="BL403" s="863"/>
      <c r="BM403" s="863"/>
      <c r="BN403" s="863"/>
      <c r="BO403" s="863"/>
      <c r="BP403" s="880"/>
      <c r="BQ403" s="863"/>
      <c r="BR403" s="883"/>
      <c r="BS403" s="883"/>
      <c r="BT403" s="883"/>
      <c r="BU403" s="883"/>
      <c r="BV403" s="883"/>
      <c r="BW403" s="883"/>
      <c r="BX403" s="883"/>
      <c r="BY403" s="883"/>
      <c r="BZ403" s="883"/>
      <c r="CA403" s="883"/>
      <c r="CB403" s="883"/>
      <c r="CC403" s="883"/>
      <c r="CD403" s="884"/>
      <c r="CE403" s="883"/>
      <c r="CF403" s="883"/>
      <c r="CG403" s="883"/>
      <c r="CH403" s="883"/>
      <c r="CI403" s="883"/>
      <c r="CJ403" s="883"/>
      <c r="CK403" s="883"/>
      <c r="CL403" s="883"/>
      <c r="CM403" s="883"/>
      <c r="CN403" s="883"/>
      <c r="CO403" s="883"/>
      <c r="CP403" s="883"/>
      <c r="CQ403" s="883"/>
      <c r="CR403" s="883"/>
      <c r="CS403" s="883"/>
      <c r="CT403" s="883"/>
      <c r="CU403" s="883"/>
      <c r="CV403" s="863"/>
      <c r="CW403" s="863"/>
      <c r="CX403" s="863"/>
      <c r="CY403" s="863"/>
      <c r="CZ403" s="863"/>
      <c r="DA403" s="863"/>
      <c r="DB403" s="863"/>
      <c r="DC403" s="863"/>
      <c r="DD403" s="863"/>
      <c r="DE403" s="863"/>
    </row>
    <row r="404">
      <c r="A404" s="876"/>
      <c r="B404" s="876"/>
      <c r="C404" s="876"/>
      <c r="D404" s="876"/>
      <c r="E404" s="876"/>
      <c r="F404" s="876"/>
      <c r="G404" s="876"/>
      <c r="H404" s="876"/>
      <c r="I404" s="876"/>
      <c r="J404" s="876"/>
      <c r="K404" s="876"/>
      <c r="L404" s="876"/>
      <c r="M404" s="876"/>
      <c r="N404" s="877"/>
      <c r="O404" s="876"/>
      <c r="P404" s="876"/>
      <c r="Q404" s="876"/>
      <c r="R404" s="876"/>
      <c r="S404" s="876"/>
      <c r="T404" s="876"/>
      <c r="U404" s="876"/>
      <c r="V404" s="876"/>
      <c r="W404" s="876"/>
      <c r="X404" s="876"/>
      <c r="Y404" s="876"/>
      <c r="Z404" s="876"/>
      <c r="AA404" s="876"/>
      <c r="AB404" s="876"/>
      <c r="AC404" s="876"/>
      <c r="AD404" s="876"/>
      <c r="AE404" s="876"/>
      <c r="AF404" s="876"/>
      <c r="AG404" s="876"/>
      <c r="AH404" s="876"/>
      <c r="AI404" s="878"/>
      <c r="AJ404" s="880"/>
      <c r="AK404" s="880"/>
      <c r="AL404" s="880"/>
      <c r="AM404" s="880"/>
      <c r="AN404" s="880"/>
      <c r="AO404" s="880"/>
      <c r="AP404" s="880"/>
      <c r="AQ404" s="880"/>
      <c r="AR404" s="880"/>
      <c r="AS404" s="880"/>
      <c r="AT404" s="880"/>
      <c r="AU404" s="880"/>
      <c r="AV404" s="880"/>
      <c r="AW404" s="881"/>
      <c r="AX404" s="863"/>
      <c r="AY404" s="863"/>
      <c r="AZ404" s="863"/>
      <c r="BA404" s="863"/>
      <c r="BB404" s="863"/>
      <c r="BC404" s="863"/>
      <c r="BD404" s="863"/>
      <c r="BE404" s="863"/>
      <c r="BF404" s="863"/>
      <c r="BG404" s="863"/>
      <c r="BH404" s="863"/>
      <c r="BI404" s="863"/>
      <c r="BJ404" s="863"/>
      <c r="BK404" s="863"/>
      <c r="BL404" s="863"/>
      <c r="BM404" s="863"/>
      <c r="BN404" s="863"/>
      <c r="BO404" s="863"/>
      <c r="BP404" s="880"/>
      <c r="BQ404" s="863"/>
      <c r="BR404" s="883"/>
      <c r="BS404" s="883"/>
      <c r="BT404" s="883"/>
      <c r="BU404" s="883"/>
      <c r="BV404" s="883"/>
      <c r="BW404" s="883"/>
      <c r="BX404" s="883"/>
      <c r="BY404" s="883"/>
      <c r="BZ404" s="883"/>
      <c r="CA404" s="883"/>
      <c r="CB404" s="883"/>
      <c r="CC404" s="883"/>
      <c r="CD404" s="884"/>
      <c r="CE404" s="883"/>
      <c r="CF404" s="883"/>
      <c r="CG404" s="883"/>
      <c r="CH404" s="883"/>
      <c r="CI404" s="883"/>
      <c r="CJ404" s="883"/>
      <c r="CK404" s="883"/>
      <c r="CL404" s="883"/>
      <c r="CM404" s="883"/>
      <c r="CN404" s="883"/>
      <c r="CO404" s="883"/>
      <c r="CP404" s="883"/>
      <c r="CQ404" s="883"/>
      <c r="CR404" s="883"/>
      <c r="CS404" s="883"/>
      <c r="CT404" s="883"/>
      <c r="CU404" s="883"/>
      <c r="CV404" s="863"/>
      <c r="CW404" s="863"/>
      <c r="CX404" s="863"/>
      <c r="CY404" s="863"/>
      <c r="CZ404" s="863"/>
      <c r="DA404" s="863"/>
      <c r="DB404" s="863"/>
      <c r="DC404" s="863"/>
      <c r="DD404" s="863"/>
      <c r="DE404" s="863"/>
    </row>
    <row r="405">
      <c r="A405" s="876"/>
      <c r="B405" s="876"/>
      <c r="C405" s="876"/>
      <c r="D405" s="876"/>
      <c r="E405" s="876"/>
      <c r="F405" s="876"/>
      <c r="G405" s="876"/>
      <c r="H405" s="876"/>
      <c r="I405" s="876"/>
      <c r="J405" s="876"/>
      <c r="K405" s="876"/>
      <c r="L405" s="876"/>
      <c r="M405" s="876"/>
      <c r="N405" s="877"/>
      <c r="O405" s="876"/>
      <c r="P405" s="876"/>
      <c r="Q405" s="876"/>
      <c r="R405" s="876"/>
      <c r="S405" s="876"/>
      <c r="T405" s="876"/>
      <c r="U405" s="876"/>
      <c r="V405" s="876"/>
      <c r="W405" s="876"/>
      <c r="X405" s="876"/>
      <c r="Y405" s="876"/>
      <c r="Z405" s="876"/>
      <c r="AA405" s="876"/>
      <c r="AB405" s="876"/>
      <c r="AC405" s="876"/>
      <c r="AD405" s="876"/>
      <c r="AE405" s="876"/>
      <c r="AF405" s="876"/>
      <c r="AG405" s="876"/>
      <c r="AH405" s="876"/>
      <c r="AI405" s="878"/>
      <c r="AJ405" s="880"/>
      <c r="AK405" s="880"/>
      <c r="AL405" s="880"/>
      <c r="AM405" s="880"/>
      <c r="AN405" s="880"/>
      <c r="AO405" s="880"/>
      <c r="AP405" s="880"/>
      <c r="AQ405" s="880"/>
      <c r="AR405" s="880"/>
      <c r="AS405" s="880"/>
      <c r="AT405" s="880"/>
      <c r="AU405" s="880"/>
      <c r="AV405" s="880"/>
      <c r="AW405" s="881"/>
      <c r="AX405" s="863"/>
      <c r="AY405" s="863"/>
      <c r="AZ405" s="863"/>
      <c r="BA405" s="863"/>
      <c r="BB405" s="863"/>
      <c r="BC405" s="863"/>
      <c r="BD405" s="863"/>
      <c r="BE405" s="863"/>
      <c r="BF405" s="863"/>
      <c r="BG405" s="863"/>
      <c r="BH405" s="863"/>
      <c r="BI405" s="863"/>
      <c r="BJ405" s="863"/>
      <c r="BK405" s="863"/>
      <c r="BL405" s="863"/>
      <c r="BM405" s="863"/>
      <c r="BN405" s="863"/>
      <c r="BO405" s="863"/>
      <c r="BP405" s="880"/>
      <c r="BQ405" s="863"/>
      <c r="BR405" s="883"/>
      <c r="BS405" s="883"/>
      <c r="BT405" s="883"/>
      <c r="BU405" s="883"/>
      <c r="BV405" s="883"/>
      <c r="BW405" s="883"/>
      <c r="BX405" s="883"/>
      <c r="BY405" s="883"/>
      <c r="BZ405" s="883"/>
      <c r="CA405" s="883"/>
      <c r="CB405" s="883"/>
      <c r="CC405" s="883"/>
      <c r="CD405" s="884"/>
      <c r="CE405" s="883"/>
      <c r="CF405" s="883"/>
      <c r="CG405" s="883"/>
      <c r="CH405" s="883"/>
      <c r="CI405" s="883"/>
      <c r="CJ405" s="883"/>
      <c r="CK405" s="883"/>
      <c r="CL405" s="883"/>
      <c r="CM405" s="883"/>
      <c r="CN405" s="883"/>
      <c r="CO405" s="883"/>
      <c r="CP405" s="883"/>
      <c r="CQ405" s="883"/>
      <c r="CR405" s="883"/>
      <c r="CS405" s="883"/>
      <c r="CT405" s="883"/>
      <c r="CU405" s="883"/>
      <c r="CV405" s="863"/>
      <c r="CW405" s="863"/>
      <c r="CX405" s="863"/>
      <c r="CY405" s="863"/>
      <c r="CZ405" s="863"/>
      <c r="DA405" s="863"/>
      <c r="DB405" s="863"/>
      <c r="DC405" s="863"/>
      <c r="DD405" s="863"/>
      <c r="DE405" s="863"/>
    </row>
    <row r="406">
      <c r="A406" s="876"/>
      <c r="B406" s="876"/>
      <c r="C406" s="876"/>
      <c r="D406" s="876"/>
      <c r="E406" s="876"/>
      <c r="F406" s="876"/>
      <c r="G406" s="876"/>
      <c r="H406" s="876"/>
      <c r="I406" s="876"/>
      <c r="J406" s="876"/>
      <c r="K406" s="876"/>
      <c r="L406" s="876"/>
      <c r="M406" s="876"/>
      <c r="N406" s="877"/>
      <c r="O406" s="876"/>
      <c r="P406" s="876"/>
      <c r="Q406" s="876"/>
      <c r="R406" s="876"/>
      <c r="S406" s="876"/>
      <c r="T406" s="876"/>
      <c r="U406" s="876"/>
      <c r="V406" s="876"/>
      <c r="W406" s="876"/>
      <c r="X406" s="876"/>
      <c r="Y406" s="876"/>
      <c r="Z406" s="876"/>
      <c r="AA406" s="876"/>
      <c r="AB406" s="876"/>
      <c r="AC406" s="876"/>
      <c r="AD406" s="876"/>
      <c r="AE406" s="876"/>
      <c r="AF406" s="876"/>
      <c r="AG406" s="876"/>
      <c r="AH406" s="876"/>
      <c r="AI406" s="878"/>
      <c r="AJ406" s="880"/>
      <c r="AK406" s="880"/>
      <c r="AL406" s="880"/>
      <c r="AM406" s="880"/>
      <c r="AN406" s="880"/>
      <c r="AO406" s="880"/>
      <c r="AP406" s="880"/>
      <c r="AQ406" s="880"/>
      <c r="AR406" s="880"/>
      <c r="AS406" s="880"/>
      <c r="AT406" s="880"/>
      <c r="AU406" s="880"/>
      <c r="AV406" s="880"/>
      <c r="AW406" s="881"/>
      <c r="AX406" s="863"/>
      <c r="AY406" s="863"/>
      <c r="AZ406" s="863"/>
      <c r="BA406" s="863"/>
      <c r="BB406" s="863"/>
      <c r="BC406" s="863"/>
      <c r="BD406" s="863"/>
      <c r="BE406" s="863"/>
      <c r="BF406" s="863"/>
      <c r="BG406" s="863"/>
      <c r="BH406" s="863"/>
      <c r="BI406" s="863"/>
      <c r="BJ406" s="863"/>
      <c r="BK406" s="863"/>
      <c r="BL406" s="863"/>
      <c r="BM406" s="863"/>
      <c r="BN406" s="863"/>
      <c r="BO406" s="863"/>
      <c r="BP406" s="880"/>
      <c r="BQ406" s="863"/>
      <c r="BR406" s="883"/>
      <c r="BS406" s="883"/>
      <c r="BT406" s="883"/>
      <c r="BU406" s="883"/>
      <c r="BV406" s="883"/>
      <c r="BW406" s="883"/>
      <c r="BX406" s="883"/>
      <c r="BY406" s="883"/>
      <c r="BZ406" s="883"/>
      <c r="CA406" s="883"/>
      <c r="CB406" s="883"/>
      <c r="CC406" s="883"/>
      <c r="CD406" s="884"/>
      <c r="CE406" s="883"/>
      <c r="CF406" s="883"/>
      <c r="CG406" s="883"/>
      <c r="CH406" s="883"/>
      <c r="CI406" s="883"/>
      <c r="CJ406" s="883"/>
      <c r="CK406" s="883"/>
      <c r="CL406" s="883"/>
      <c r="CM406" s="883"/>
      <c r="CN406" s="883"/>
      <c r="CO406" s="883"/>
      <c r="CP406" s="883"/>
      <c r="CQ406" s="883"/>
      <c r="CR406" s="883"/>
      <c r="CS406" s="883"/>
      <c r="CT406" s="883"/>
      <c r="CU406" s="883"/>
      <c r="CV406" s="863"/>
      <c r="CW406" s="863"/>
      <c r="CX406" s="863"/>
      <c r="CY406" s="863"/>
      <c r="CZ406" s="863"/>
      <c r="DA406" s="863"/>
      <c r="DB406" s="863"/>
      <c r="DC406" s="863"/>
      <c r="DD406" s="863"/>
      <c r="DE406" s="863"/>
    </row>
    <row r="407">
      <c r="A407" s="876"/>
      <c r="B407" s="876"/>
      <c r="C407" s="876"/>
      <c r="D407" s="876"/>
      <c r="E407" s="876"/>
      <c r="F407" s="876"/>
      <c r="G407" s="876"/>
      <c r="H407" s="876"/>
      <c r="I407" s="876"/>
      <c r="J407" s="876"/>
      <c r="K407" s="876"/>
      <c r="L407" s="876"/>
      <c r="M407" s="876"/>
      <c r="N407" s="877"/>
      <c r="O407" s="876"/>
      <c r="P407" s="876"/>
      <c r="Q407" s="876"/>
      <c r="R407" s="876"/>
      <c r="S407" s="876"/>
      <c r="T407" s="876"/>
      <c r="U407" s="876"/>
      <c r="V407" s="876"/>
      <c r="W407" s="876"/>
      <c r="X407" s="876"/>
      <c r="Y407" s="876"/>
      <c r="Z407" s="876"/>
      <c r="AA407" s="876"/>
      <c r="AB407" s="876"/>
      <c r="AC407" s="876"/>
      <c r="AD407" s="876"/>
      <c r="AE407" s="876"/>
      <c r="AF407" s="876"/>
      <c r="AG407" s="876"/>
      <c r="AH407" s="876"/>
      <c r="AI407" s="878"/>
      <c r="AJ407" s="880"/>
      <c r="AK407" s="880"/>
      <c r="AL407" s="880"/>
      <c r="AM407" s="880"/>
      <c r="AN407" s="880"/>
      <c r="AO407" s="880"/>
      <c r="AP407" s="880"/>
      <c r="AQ407" s="880"/>
      <c r="AR407" s="880"/>
      <c r="AS407" s="880"/>
      <c r="AT407" s="880"/>
      <c r="AU407" s="880"/>
      <c r="AV407" s="880"/>
      <c r="AW407" s="881"/>
      <c r="AX407" s="863"/>
      <c r="AY407" s="863"/>
      <c r="AZ407" s="863"/>
      <c r="BA407" s="863"/>
      <c r="BB407" s="863"/>
      <c r="BC407" s="863"/>
      <c r="BD407" s="863"/>
      <c r="BE407" s="863"/>
      <c r="BF407" s="863"/>
      <c r="BG407" s="863"/>
      <c r="BH407" s="863"/>
      <c r="BI407" s="863"/>
      <c r="BJ407" s="863"/>
      <c r="BK407" s="863"/>
      <c r="BL407" s="863"/>
      <c r="BM407" s="863"/>
      <c r="BN407" s="863"/>
      <c r="BO407" s="863"/>
      <c r="BP407" s="880"/>
      <c r="BQ407" s="863"/>
      <c r="BR407" s="883"/>
      <c r="BS407" s="883"/>
      <c r="BT407" s="883"/>
      <c r="BU407" s="883"/>
      <c r="BV407" s="883"/>
      <c r="BW407" s="883"/>
      <c r="BX407" s="883"/>
      <c r="BY407" s="883"/>
      <c r="BZ407" s="883"/>
      <c r="CA407" s="883"/>
      <c r="CB407" s="883"/>
      <c r="CC407" s="883"/>
      <c r="CD407" s="884"/>
      <c r="CE407" s="883"/>
      <c r="CF407" s="883"/>
      <c r="CG407" s="883"/>
      <c r="CH407" s="883"/>
      <c r="CI407" s="883"/>
      <c r="CJ407" s="883"/>
      <c r="CK407" s="883"/>
      <c r="CL407" s="883"/>
      <c r="CM407" s="883"/>
      <c r="CN407" s="883"/>
      <c r="CO407" s="883"/>
      <c r="CP407" s="883"/>
      <c r="CQ407" s="883"/>
      <c r="CR407" s="883"/>
      <c r="CS407" s="883"/>
      <c r="CT407" s="883"/>
      <c r="CU407" s="883"/>
      <c r="CV407" s="863"/>
      <c r="CW407" s="863"/>
      <c r="CX407" s="863"/>
      <c r="CY407" s="863"/>
      <c r="CZ407" s="863"/>
      <c r="DA407" s="863"/>
      <c r="DB407" s="863"/>
      <c r="DC407" s="863"/>
      <c r="DD407" s="863"/>
      <c r="DE407" s="863"/>
    </row>
    <row r="408">
      <c r="A408" s="876"/>
      <c r="B408" s="876"/>
      <c r="C408" s="876"/>
      <c r="D408" s="876"/>
      <c r="E408" s="876"/>
      <c r="F408" s="876"/>
      <c r="G408" s="876"/>
      <c r="H408" s="876"/>
      <c r="I408" s="876"/>
      <c r="J408" s="876"/>
      <c r="K408" s="876"/>
      <c r="L408" s="876"/>
      <c r="M408" s="876"/>
      <c r="N408" s="877"/>
      <c r="O408" s="876"/>
      <c r="P408" s="876"/>
      <c r="Q408" s="876"/>
      <c r="R408" s="876"/>
      <c r="S408" s="876"/>
      <c r="T408" s="876"/>
      <c r="U408" s="876"/>
      <c r="V408" s="876"/>
      <c r="W408" s="876"/>
      <c r="X408" s="876"/>
      <c r="Y408" s="876"/>
      <c r="Z408" s="876"/>
      <c r="AA408" s="876"/>
      <c r="AB408" s="876"/>
      <c r="AC408" s="876"/>
      <c r="AD408" s="876"/>
      <c r="AE408" s="876"/>
      <c r="AF408" s="876"/>
      <c r="AG408" s="876"/>
      <c r="AH408" s="876"/>
      <c r="AI408" s="878"/>
      <c r="AJ408" s="880"/>
      <c r="AK408" s="880"/>
      <c r="AL408" s="880"/>
      <c r="AM408" s="880"/>
      <c r="AN408" s="880"/>
      <c r="AO408" s="880"/>
      <c r="AP408" s="880"/>
      <c r="AQ408" s="880"/>
      <c r="AR408" s="880"/>
      <c r="AS408" s="880"/>
      <c r="AT408" s="880"/>
      <c r="AU408" s="880"/>
      <c r="AV408" s="880"/>
      <c r="AW408" s="881"/>
      <c r="AX408" s="863"/>
      <c r="AY408" s="863"/>
      <c r="AZ408" s="863"/>
      <c r="BA408" s="863"/>
      <c r="BB408" s="863"/>
      <c r="BC408" s="863"/>
      <c r="BD408" s="863"/>
      <c r="BE408" s="863"/>
      <c r="BF408" s="863"/>
      <c r="BG408" s="863"/>
      <c r="BH408" s="863"/>
      <c r="BI408" s="863"/>
      <c r="BJ408" s="863"/>
      <c r="BK408" s="863"/>
      <c r="BL408" s="863"/>
      <c r="BM408" s="863"/>
      <c r="BN408" s="863"/>
      <c r="BO408" s="863"/>
      <c r="BP408" s="880"/>
      <c r="BQ408" s="863"/>
      <c r="BR408" s="883"/>
      <c r="BS408" s="883"/>
      <c r="BT408" s="883"/>
      <c r="BU408" s="883"/>
      <c r="BV408" s="883"/>
      <c r="BW408" s="883"/>
      <c r="BX408" s="883"/>
      <c r="BY408" s="883"/>
      <c r="BZ408" s="883"/>
      <c r="CA408" s="883"/>
      <c r="CB408" s="883"/>
      <c r="CC408" s="883"/>
      <c r="CD408" s="884"/>
      <c r="CE408" s="883"/>
      <c r="CF408" s="883"/>
      <c r="CG408" s="883"/>
      <c r="CH408" s="883"/>
      <c r="CI408" s="883"/>
      <c r="CJ408" s="883"/>
      <c r="CK408" s="883"/>
      <c r="CL408" s="883"/>
      <c r="CM408" s="883"/>
      <c r="CN408" s="883"/>
      <c r="CO408" s="883"/>
      <c r="CP408" s="883"/>
      <c r="CQ408" s="883"/>
      <c r="CR408" s="883"/>
      <c r="CS408" s="883"/>
      <c r="CT408" s="883"/>
      <c r="CU408" s="883"/>
      <c r="CV408" s="863"/>
      <c r="CW408" s="863"/>
      <c r="CX408" s="863"/>
      <c r="CY408" s="863"/>
      <c r="CZ408" s="863"/>
      <c r="DA408" s="863"/>
      <c r="DB408" s="863"/>
      <c r="DC408" s="863"/>
      <c r="DD408" s="863"/>
      <c r="DE408" s="863"/>
    </row>
    <row r="409">
      <c r="A409" s="876"/>
      <c r="B409" s="876"/>
      <c r="C409" s="876"/>
      <c r="D409" s="876"/>
      <c r="E409" s="876"/>
      <c r="F409" s="876"/>
      <c r="G409" s="876"/>
      <c r="H409" s="876"/>
      <c r="I409" s="876"/>
      <c r="J409" s="876"/>
      <c r="K409" s="876"/>
      <c r="L409" s="876"/>
      <c r="M409" s="876"/>
      <c r="N409" s="877"/>
      <c r="O409" s="876"/>
      <c r="P409" s="876"/>
      <c r="Q409" s="876"/>
      <c r="R409" s="876"/>
      <c r="S409" s="876"/>
      <c r="T409" s="876"/>
      <c r="U409" s="876"/>
      <c r="V409" s="876"/>
      <c r="W409" s="876"/>
      <c r="X409" s="876"/>
      <c r="Y409" s="876"/>
      <c r="Z409" s="876"/>
      <c r="AA409" s="876"/>
      <c r="AB409" s="876"/>
      <c r="AC409" s="876"/>
      <c r="AD409" s="876"/>
      <c r="AE409" s="876"/>
      <c r="AF409" s="876"/>
      <c r="AG409" s="876"/>
      <c r="AH409" s="876"/>
      <c r="AI409" s="878"/>
      <c r="AJ409" s="880"/>
      <c r="AK409" s="880"/>
      <c r="AL409" s="880"/>
      <c r="AM409" s="880"/>
      <c r="AN409" s="880"/>
      <c r="AO409" s="880"/>
      <c r="AP409" s="880"/>
      <c r="AQ409" s="880"/>
      <c r="AR409" s="880"/>
      <c r="AS409" s="880"/>
      <c r="AT409" s="880"/>
      <c r="AU409" s="880"/>
      <c r="AV409" s="880"/>
      <c r="AW409" s="881"/>
      <c r="AX409" s="863"/>
      <c r="AY409" s="863"/>
      <c r="AZ409" s="863"/>
      <c r="BA409" s="863"/>
      <c r="BB409" s="863"/>
      <c r="BC409" s="863"/>
      <c r="BD409" s="863"/>
      <c r="BE409" s="863"/>
      <c r="BF409" s="863"/>
      <c r="BG409" s="863"/>
      <c r="BH409" s="863"/>
      <c r="BI409" s="863"/>
      <c r="BJ409" s="863"/>
      <c r="BK409" s="863"/>
      <c r="BL409" s="863"/>
      <c r="BM409" s="863"/>
      <c r="BN409" s="863"/>
      <c r="BO409" s="863"/>
      <c r="BP409" s="880"/>
      <c r="BQ409" s="863"/>
      <c r="BR409" s="883"/>
      <c r="BS409" s="883"/>
      <c r="BT409" s="883"/>
      <c r="BU409" s="883"/>
      <c r="BV409" s="883"/>
      <c r="BW409" s="883"/>
      <c r="BX409" s="883"/>
      <c r="BY409" s="883"/>
      <c r="BZ409" s="883"/>
      <c r="CA409" s="883"/>
      <c r="CB409" s="883"/>
      <c r="CC409" s="883"/>
      <c r="CD409" s="884"/>
      <c r="CE409" s="883"/>
      <c r="CF409" s="883"/>
      <c r="CG409" s="883"/>
      <c r="CH409" s="883"/>
      <c r="CI409" s="883"/>
      <c r="CJ409" s="883"/>
      <c r="CK409" s="883"/>
      <c r="CL409" s="883"/>
      <c r="CM409" s="883"/>
      <c r="CN409" s="883"/>
      <c r="CO409" s="883"/>
      <c r="CP409" s="883"/>
      <c r="CQ409" s="883"/>
      <c r="CR409" s="883"/>
      <c r="CS409" s="883"/>
      <c r="CT409" s="883"/>
      <c r="CU409" s="883"/>
      <c r="CV409" s="863"/>
      <c r="CW409" s="863"/>
      <c r="CX409" s="863"/>
      <c r="CY409" s="863"/>
      <c r="CZ409" s="863"/>
      <c r="DA409" s="863"/>
      <c r="DB409" s="863"/>
      <c r="DC409" s="863"/>
      <c r="DD409" s="863"/>
      <c r="DE409" s="863"/>
    </row>
    <row r="410">
      <c r="A410" s="876"/>
      <c r="B410" s="876"/>
      <c r="C410" s="876"/>
      <c r="D410" s="876"/>
      <c r="E410" s="876"/>
      <c r="F410" s="876"/>
      <c r="G410" s="876"/>
      <c r="H410" s="876"/>
      <c r="I410" s="876"/>
      <c r="J410" s="876"/>
      <c r="K410" s="876"/>
      <c r="L410" s="876"/>
      <c r="M410" s="876"/>
      <c r="N410" s="877"/>
      <c r="O410" s="876"/>
      <c r="P410" s="876"/>
      <c r="Q410" s="876"/>
      <c r="R410" s="876"/>
      <c r="S410" s="876"/>
      <c r="T410" s="876"/>
      <c r="U410" s="876"/>
      <c r="V410" s="876"/>
      <c r="W410" s="876"/>
      <c r="X410" s="876"/>
      <c r="Y410" s="876"/>
      <c r="Z410" s="876"/>
      <c r="AA410" s="876"/>
      <c r="AB410" s="876"/>
      <c r="AC410" s="876"/>
      <c r="AD410" s="876"/>
      <c r="AE410" s="876"/>
      <c r="AF410" s="876"/>
      <c r="AG410" s="876"/>
      <c r="AH410" s="876"/>
      <c r="AI410" s="878"/>
      <c r="AJ410" s="880"/>
      <c r="AK410" s="880"/>
      <c r="AL410" s="880"/>
      <c r="AM410" s="880"/>
      <c r="AN410" s="880"/>
      <c r="AO410" s="880"/>
      <c r="AP410" s="880"/>
      <c r="AQ410" s="880"/>
      <c r="AR410" s="880"/>
      <c r="AS410" s="880"/>
      <c r="AT410" s="880"/>
      <c r="AU410" s="880"/>
      <c r="AV410" s="880"/>
      <c r="AW410" s="881"/>
      <c r="AX410" s="863"/>
      <c r="AY410" s="863"/>
      <c r="AZ410" s="863"/>
      <c r="BA410" s="863"/>
      <c r="BB410" s="863"/>
      <c r="BC410" s="863"/>
      <c r="BD410" s="863"/>
      <c r="BE410" s="863"/>
      <c r="BF410" s="863"/>
      <c r="BG410" s="863"/>
      <c r="BH410" s="863"/>
      <c r="BI410" s="863"/>
      <c r="BJ410" s="863"/>
      <c r="BK410" s="863"/>
      <c r="BL410" s="863"/>
      <c r="BM410" s="863"/>
      <c r="BN410" s="863"/>
      <c r="BO410" s="863"/>
      <c r="BP410" s="880"/>
      <c r="BQ410" s="863"/>
      <c r="BR410" s="883"/>
      <c r="BS410" s="883"/>
      <c r="BT410" s="883"/>
      <c r="BU410" s="883"/>
      <c r="BV410" s="883"/>
      <c r="BW410" s="883"/>
      <c r="BX410" s="883"/>
      <c r="BY410" s="883"/>
      <c r="BZ410" s="883"/>
      <c r="CA410" s="883"/>
      <c r="CB410" s="883"/>
      <c r="CC410" s="883"/>
      <c r="CD410" s="884"/>
      <c r="CE410" s="883"/>
      <c r="CF410" s="883"/>
      <c r="CG410" s="883"/>
      <c r="CH410" s="883"/>
      <c r="CI410" s="883"/>
      <c r="CJ410" s="883"/>
      <c r="CK410" s="883"/>
      <c r="CL410" s="883"/>
      <c r="CM410" s="883"/>
      <c r="CN410" s="883"/>
      <c r="CO410" s="883"/>
      <c r="CP410" s="883"/>
      <c r="CQ410" s="883"/>
      <c r="CR410" s="883"/>
      <c r="CS410" s="883"/>
      <c r="CT410" s="883"/>
      <c r="CU410" s="883"/>
      <c r="CV410" s="863"/>
      <c r="CW410" s="863"/>
      <c r="CX410" s="863"/>
      <c r="CY410" s="863"/>
      <c r="CZ410" s="863"/>
      <c r="DA410" s="863"/>
      <c r="DB410" s="863"/>
      <c r="DC410" s="863"/>
      <c r="DD410" s="863"/>
      <c r="DE410" s="863"/>
    </row>
    <row r="411">
      <c r="A411" s="876"/>
      <c r="B411" s="876"/>
      <c r="C411" s="876"/>
      <c r="D411" s="876"/>
      <c r="E411" s="876"/>
      <c r="F411" s="876"/>
      <c r="G411" s="876"/>
      <c r="H411" s="876"/>
      <c r="I411" s="876"/>
      <c r="J411" s="876"/>
      <c r="K411" s="876"/>
      <c r="L411" s="876"/>
      <c r="M411" s="876"/>
      <c r="N411" s="877"/>
      <c r="O411" s="876"/>
      <c r="P411" s="876"/>
      <c r="Q411" s="876"/>
      <c r="R411" s="876"/>
      <c r="S411" s="876"/>
      <c r="T411" s="876"/>
      <c r="U411" s="876"/>
      <c r="V411" s="876"/>
      <c r="W411" s="876"/>
      <c r="X411" s="876"/>
      <c r="Y411" s="876"/>
      <c r="Z411" s="876"/>
      <c r="AA411" s="876"/>
      <c r="AB411" s="876"/>
      <c r="AC411" s="876"/>
      <c r="AD411" s="876"/>
      <c r="AE411" s="876"/>
      <c r="AF411" s="876"/>
      <c r="AG411" s="876"/>
      <c r="AH411" s="876"/>
      <c r="AI411" s="878"/>
      <c r="AJ411" s="880"/>
      <c r="AK411" s="880"/>
      <c r="AL411" s="880"/>
      <c r="AM411" s="880"/>
      <c r="AN411" s="880"/>
      <c r="AO411" s="880"/>
      <c r="AP411" s="880"/>
      <c r="AQ411" s="880"/>
      <c r="AR411" s="880"/>
      <c r="AS411" s="880"/>
      <c r="AT411" s="880"/>
      <c r="AU411" s="880"/>
      <c r="AV411" s="880"/>
      <c r="AW411" s="881"/>
      <c r="AX411" s="863"/>
      <c r="AY411" s="863"/>
      <c r="AZ411" s="863"/>
      <c r="BA411" s="863"/>
      <c r="BB411" s="863"/>
      <c r="BC411" s="863"/>
      <c r="BD411" s="863"/>
      <c r="BE411" s="863"/>
      <c r="BF411" s="863"/>
      <c r="BG411" s="863"/>
      <c r="BH411" s="863"/>
      <c r="BI411" s="863"/>
      <c r="BJ411" s="863"/>
      <c r="BK411" s="863"/>
      <c r="BL411" s="863"/>
      <c r="BM411" s="863"/>
      <c r="BN411" s="863"/>
      <c r="BO411" s="863"/>
      <c r="BP411" s="880"/>
      <c r="BQ411" s="863"/>
      <c r="BR411" s="883"/>
      <c r="BS411" s="883"/>
      <c r="BT411" s="883"/>
      <c r="BU411" s="883"/>
      <c r="BV411" s="883"/>
      <c r="BW411" s="883"/>
      <c r="BX411" s="883"/>
      <c r="BY411" s="883"/>
      <c r="BZ411" s="883"/>
      <c r="CA411" s="883"/>
      <c r="CB411" s="883"/>
      <c r="CC411" s="883"/>
      <c r="CD411" s="884"/>
      <c r="CE411" s="883"/>
      <c r="CF411" s="883"/>
      <c r="CG411" s="883"/>
      <c r="CH411" s="883"/>
      <c r="CI411" s="883"/>
      <c r="CJ411" s="883"/>
      <c r="CK411" s="883"/>
      <c r="CL411" s="883"/>
      <c r="CM411" s="883"/>
      <c r="CN411" s="883"/>
      <c r="CO411" s="883"/>
      <c r="CP411" s="883"/>
      <c r="CQ411" s="883"/>
      <c r="CR411" s="883"/>
      <c r="CS411" s="883"/>
      <c r="CT411" s="883"/>
      <c r="CU411" s="883"/>
      <c r="CV411" s="863"/>
      <c r="CW411" s="863"/>
      <c r="CX411" s="863"/>
      <c r="CY411" s="863"/>
      <c r="CZ411" s="863"/>
      <c r="DA411" s="863"/>
      <c r="DB411" s="863"/>
      <c r="DC411" s="863"/>
      <c r="DD411" s="863"/>
      <c r="DE411" s="863"/>
    </row>
    <row r="412">
      <c r="A412" s="876"/>
      <c r="B412" s="876"/>
      <c r="C412" s="876"/>
      <c r="D412" s="876"/>
      <c r="E412" s="876"/>
      <c r="F412" s="876"/>
      <c r="G412" s="876"/>
      <c r="H412" s="876"/>
      <c r="I412" s="876"/>
      <c r="J412" s="876"/>
      <c r="K412" s="876"/>
      <c r="L412" s="876"/>
      <c r="M412" s="876"/>
      <c r="N412" s="877"/>
      <c r="O412" s="876"/>
      <c r="P412" s="876"/>
      <c r="Q412" s="876"/>
      <c r="R412" s="876"/>
      <c r="S412" s="876"/>
      <c r="T412" s="876"/>
      <c r="U412" s="876"/>
      <c r="V412" s="876"/>
      <c r="W412" s="876"/>
      <c r="X412" s="876"/>
      <c r="Y412" s="876"/>
      <c r="Z412" s="876"/>
      <c r="AA412" s="876"/>
      <c r="AB412" s="876"/>
      <c r="AC412" s="876"/>
      <c r="AD412" s="876"/>
      <c r="AE412" s="876"/>
      <c r="AF412" s="876"/>
      <c r="AG412" s="876"/>
      <c r="AH412" s="876"/>
      <c r="AI412" s="878"/>
      <c r="AJ412" s="880"/>
      <c r="AK412" s="880"/>
      <c r="AL412" s="880"/>
      <c r="AM412" s="880"/>
      <c r="AN412" s="880"/>
      <c r="AO412" s="880"/>
      <c r="AP412" s="880"/>
      <c r="AQ412" s="880"/>
      <c r="AR412" s="880"/>
      <c r="AS412" s="880"/>
      <c r="AT412" s="880"/>
      <c r="AU412" s="880"/>
      <c r="AV412" s="880"/>
      <c r="AW412" s="881"/>
      <c r="AX412" s="863"/>
      <c r="AY412" s="863"/>
      <c r="AZ412" s="863"/>
      <c r="BA412" s="863"/>
      <c r="BB412" s="863"/>
      <c r="BC412" s="863"/>
      <c r="BD412" s="863"/>
      <c r="BE412" s="863"/>
      <c r="BF412" s="863"/>
      <c r="BG412" s="863"/>
      <c r="BH412" s="863"/>
      <c r="BI412" s="863"/>
      <c r="BJ412" s="863"/>
      <c r="BK412" s="863"/>
      <c r="BL412" s="863"/>
      <c r="BM412" s="863"/>
      <c r="BN412" s="863"/>
      <c r="BO412" s="863"/>
      <c r="BP412" s="880"/>
      <c r="BQ412" s="863"/>
      <c r="BR412" s="883"/>
      <c r="BS412" s="883"/>
      <c r="BT412" s="883"/>
      <c r="BU412" s="883"/>
      <c r="BV412" s="883"/>
      <c r="BW412" s="883"/>
      <c r="BX412" s="883"/>
      <c r="BY412" s="883"/>
      <c r="BZ412" s="883"/>
      <c r="CA412" s="883"/>
      <c r="CB412" s="883"/>
      <c r="CC412" s="883"/>
      <c r="CD412" s="884"/>
      <c r="CE412" s="883"/>
      <c r="CF412" s="883"/>
      <c r="CG412" s="883"/>
      <c r="CH412" s="883"/>
      <c r="CI412" s="883"/>
      <c r="CJ412" s="883"/>
      <c r="CK412" s="883"/>
      <c r="CL412" s="883"/>
      <c r="CM412" s="883"/>
      <c r="CN412" s="883"/>
      <c r="CO412" s="883"/>
      <c r="CP412" s="883"/>
      <c r="CQ412" s="883"/>
      <c r="CR412" s="883"/>
      <c r="CS412" s="883"/>
      <c r="CT412" s="883"/>
      <c r="CU412" s="883"/>
      <c r="CV412" s="863"/>
      <c r="CW412" s="863"/>
      <c r="CX412" s="863"/>
      <c r="CY412" s="863"/>
      <c r="CZ412" s="863"/>
      <c r="DA412" s="863"/>
      <c r="DB412" s="863"/>
      <c r="DC412" s="863"/>
      <c r="DD412" s="863"/>
      <c r="DE412" s="863"/>
    </row>
    <row r="413">
      <c r="A413" s="876"/>
      <c r="B413" s="876"/>
      <c r="C413" s="876"/>
      <c r="D413" s="876"/>
      <c r="E413" s="876"/>
      <c r="F413" s="876"/>
      <c r="G413" s="876"/>
      <c r="H413" s="876"/>
      <c r="I413" s="876"/>
      <c r="J413" s="876"/>
      <c r="K413" s="876"/>
      <c r="L413" s="876"/>
      <c r="M413" s="876"/>
      <c r="N413" s="877"/>
      <c r="O413" s="876"/>
      <c r="P413" s="876"/>
      <c r="Q413" s="876"/>
      <c r="R413" s="876"/>
      <c r="S413" s="876"/>
      <c r="T413" s="876"/>
      <c r="U413" s="876"/>
      <c r="V413" s="876"/>
      <c r="W413" s="876"/>
      <c r="X413" s="876"/>
      <c r="Y413" s="876"/>
      <c r="Z413" s="876"/>
      <c r="AA413" s="876"/>
      <c r="AB413" s="876"/>
      <c r="AC413" s="876"/>
      <c r="AD413" s="876"/>
      <c r="AE413" s="876"/>
      <c r="AF413" s="876"/>
      <c r="AG413" s="876"/>
      <c r="AH413" s="876"/>
      <c r="AI413" s="878"/>
      <c r="AJ413" s="880"/>
      <c r="AK413" s="880"/>
      <c r="AL413" s="880"/>
      <c r="AM413" s="880"/>
      <c r="AN413" s="880"/>
      <c r="AO413" s="880"/>
      <c r="AP413" s="880"/>
      <c r="AQ413" s="880"/>
      <c r="AR413" s="880"/>
      <c r="AS413" s="880"/>
      <c r="AT413" s="880"/>
      <c r="AU413" s="880"/>
      <c r="AV413" s="880"/>
      <c r="AW413" s="881"/>
      <c r="AX413" s="863"/>
      <c r="AY413" s="863"/>
      <c r="AZ413" s="863"/>
      <c r="BA413" s="863"/>
      <c r="BB413" s="863"/>
      <c r="BC413" s="863"/>
      <c r="BD413" s="863"/>
      <c r="BE413" s="863"/>
      <c r="BF413" s="863"/>
      <c r="BG413" s="863"/>
      <c r="BH413" s="863"/>
      <c r="BI413" s="863"/>
      <c r="BJ413" s="863"/>
      <c r="BK413" s="863"/>
      <c r="BL413" s="863"/>
      <c r="BM413" s="863"/>
      <c r="BN413" s="863"/>
      <c r="BO413" s="863"/>
      <c r="BP413" s="880"/>
      <c r="BQ413" s="863"/>
      <c r="BR413" s="883"/>
      <c r="BS413" s="883"/>
      <c r="BT413" s="883"/>
      <c r="BU413" s="883"/>
      <c r="BV413" s="883"/>
      <c r="BW413" s="883"/>
      <c r="BX413" s="883"/>
      <c r="BY413" s="883"/>
      <c r="BZ413" s="883"/>
      <c r="CA413" s="883"/>
      <c r="CB413" s="883"/>
      <c r="CC413" s="883"/>
      <c r="CD413" s="884"/>
      <c r="CE413" s="883"/>
      <c r="CF413" s="883"/>
      <c r="CG413" s="883"/>
      <c r="CH413" s="883"/>
      <c r="CI413" s="883"/>
      <c r="CJ413" s="883"/>
      <c r="CK413" s="883"/>
      <c r="CL413" s="883"/>
      <c r="CM413" s="883"/>
      <c r="CN413" s="883"/>
      <c r="CO413" s="883"/>
      <c r="CP413" s="883"/>
      <c r="CQ413" s="883"/>
      <c r="CR413" s="883"/>
      <c r="CS413" s="883"/>
      <c r="CT413" s="883"/>
      <c r="CU413" s="883"/>
      <c r="CV413" s="863"/>
      <c r="CW413" s="863"/>
      <c r="CX413" s="863"/>
      <c r="CY413" s="863"/>
      <c r="CZ413" s="863"/>
      <c r="DA413" s="863"/>
      <c r="DB413" s="863"/>
      <c r="DC413" s="863"/>
      <c r="DD413" s="863"/>
      <c r="DE413" s="863"/>
    </row>
    <row r="414">
      <c r="A414" s="876"/>
      <c r="B414" s="876"/>
      <c r="C414" s="876"/>
      <c r="D414" s="876"/>
      <c r="E414" s="876"/>
      <c r="F414" s="876"/>
      <c r="G414" s="876"/>
      <c r="H414" s="876"/>
      <c r="I414" s="876"/>
      <c r="J414" s="876"/>
      <c r="K414" s="876"/>
      <c r="L414" s="876"/>
      <c r="M414" s="876"/>
      <c r="N414" s="877"/>
      <c r="O414" s="876"/>
      <c r="P414" s="876"/>
      <c r="Q414" s="876"/>
      <c r="R414" s="876"/>
      <c r="S414" s="876"/>
      <c r="T414" s="876"/>
      <c r="U414" s="876"/>
      <c r="V414" s="876"/>
      <c r="W414" s="876"/>
      <c r="X414" s="876"/>
      <c r="Y414" s="876"/>
      <c r="Z414" s="876"/>
      <c r="AA414" s="876"/>
      <c r="AB414" s="876"/>
      <c r="AC414" s="876"/>
      <c r="AD414" s="876"/>
      <c r="AE414" s="876"/>
      <c r="AF414" s="876"/>
      <c r="AG414" s="876"/>
      <c r="AH414" s="876"/>
      <c r="AI414" s="878"/>
      <c r="AJ414" s="880"/>
      <c r="AK414" s="880"/>
      <c r="AL414" s="880"/>
      <c r="AM414" s="880"/>
      <c r="AN414" s="880"/>
      <c r="AO414" s="880"/>
      <c r="AP414" s="880"/>
      <c r="AQ414" s="880"/>
      <c r="AR414" s="880"/>
      <c r="AS414" s="880"/>
      <c r="AT414" s="880"/>
      <c r="AU414" s="880"/>
      <c r="AV414" s="880"/>
      <c r="AW414" s="881"/>
      <c r="AX414" s="863"/>
      <c r="AY414" s="863"/>
      <c r="AZ414" s="863"/>
      <c r="BA414" s="863"/>
      <c r="BB414" s="863"/>
      <c r="BC414" s="863"/>
      <c r="BD414" s="863"/>
      <c r="BE414" s="863"/>
      <c r="BF414" s="863"/>
      <c r="BG414" s="863"/>
      <c r="BH414" s="863"/>
      <c r="BI414" s="863"/>
      <c r="BJ414" s="863"/>
      <c r="BK414" s="863"/>
      <c r="BL414" s="863"/>
      <c r="BM414" s="863"/>
      <c r="BN414" s="863"/>
      <c r="BO414" s="863"/>
      <c r="BP414" s="880"/>
      <c r="BQ414" s="863"/>
      <c r="BR414" s="883"/>
      <c r="BS414" s="883"/>
      <c r="BT414" s="883"/>
      <c r="BU414" s="883"/>
      <c r="BV414" s="883"/>
      <c r="BW414" s="883"/>
      <c r="BX414" s="883"/>
      <c r="BY414" s="883"/>
      <c r="BZ414" s="883"/>
      <c r="CA414" s="883"/>
      <c r="CB414" s="883"/>
      <c r="CC414" s="883"/>
      <c r="CD414" s="884"/>
      <c r="CE414" s="883"/>
      <c r="CF414" s="883"/>
      <c r="CG414" s="883"/>
      <c r="CH414" s="883"/>
      <c r="CI414" s="883"/>
      <c r="CJ414" s="883"/>
      <c r="CK414" s="883"/>
      <c r="CL414" s="883"/>
      <c r="CM414" s="883"/>
      <c r="CN414" s="883"/>
      <c r="CO414" s="883"/>
      <c r="CP414" s="883"/>
      <c r="CQ414" s="883"/>
      <c r="CR414" s="883"/>
      <c r="CS414" s="883"/>
      <c r="CT414" s="883"/>
      <c r="CU414" s="883"/>
      <c r="CV414" s="863"/>
      <c r="CW414" s="863"/>
      <c r="CX414" s="863"/>
      <c r="CY414" s="863"/>
      <c r="CZ414" s="863"/>
      <c r="DA414" s="863"/>
      <c r="DB414" s="863"/>
      <c r="DC414" s="863"/>
      <c r="DD414" s="863"/>
      <c r="DE414" s="863"/>
    </row>
    <row r="415">
      <c r="A415" s="876"/>
      <c r="B415" s="876"/>
      <c r="C415" s="876"/>
      <c r="D415" s="876"/>
      <c r="E415" s="876"/>
      <c r="F415" s="876"/>
      <c r="G415" s="876"/>
      <c r="H415" s="876"/>
      <c r="I415" s="876"/>
      <c r="J415" s="876"/>
      <c r="K415" s="876"/>
      <c r="L415" s="876"/>
      <c r="M415" s="876"/>
      <c r="N415" s="877"/>
      <c r="O415" s="876"/>
      <c r="P415" s="876"/>
      <c r="Q415" s="876"/>
      <c r="R415" s="876"/>
      <c r="S415" s="876"/>
      <c r="T415" s="876"/>
      <c r="U415" s="876"/>
      <c r="V415" s="876"/>
      <c r="W415" s="876"/>
      <c r="X415" s="876"/>
      <c r="Y415" s="876"/>
      <c r="Z415" s="876"/>
      <c r="AA415" s="876"/>
      <c r="AB415" s="876"/>
      <c r="AC415" s="876"/>
      <c r="AD415" s="876"/>
      <c r="AE415" s="876"/>
      <c r="AF415" s="876"/>
      <c r="AG415" s="876"/>
      <c r="AH415" s="876"/>
      <c r="AI415" s="878"/>
      <c r="AJ415" s="880"/>
      <c r="AK415" s="880"/>
      <c r="AL415" s="880"/>
      <c r="AM415" s="880"/>
      <c r="AN415" s="880"/>
      <c r="AO415" s="880"/>
      <c r="AP415" s="880"/>
      <c r="AQ415" s="880"/>
      <c r="AR415" s="880"/>
      <c r="AS415" s="880"/>
      <c r="AT415" s="880"/>
      <c r="AU415" s="880"/>
      <c r="AV415" s="880"/>
      <c r="AW415" s="881"/>
      <c r="AX415" s="863"/>
      <c r="AY415" s="863"/>
      <c r="AZ415" s="863"/>
      <c r="BA415" s="863"/>
      <c r="BB415" s="863"/>
      <c r="BC415" s="863"/>
      <c r="BD415" s="863"/>
      <c r="BE415" s="863"/>
      <c r="BF415" s="863"/>
      <c r="BG415" s="863"/>
      <c r="BH415" s="863"/>
      <c r="BI415" s="863"/>
      <c r="BJ415" s="863"/>
      <c r="BK415" s="863"/>
      <c r="BL415" s="863"/>
      <c r="BM415" s="863"/>
      <c r="BN415" s="863"/>
      <c r="BO415" s="863"/>
      <c r="BP415" s="880"/>
      <c r="BQ415" s="863"/>
      <c r="BR415" s="883"/>
      <c r="BS415" s="883"/>
      <c r="BT415" s="883"/>
      <c r="BU415" s="883"/>
      <c r="BV415" s="883"/>
      <c r="BW415" s="883"/>
      <c r="BX415" s="883"/>
      <c r="BY415" s="883"/>
      <c r="BZ415" s="883"/>
      <c r="CA415" s="883"/>
      <c r="CB415" s="883"/>
      <c r="CC415" s="883"/>
      <c r="CD415" s="884"/>
      <c r="CE415" s="883"/>
      <c r="CF415" s="883"/>
      <c r="CG415" s="883"/>
      <c r="CH415" s="883"/>
      <c r="CI415" s="883"/>
      <c r="CJ415" s="883"/>
      <c r="CK415" s="883"/>
      <c r="CL415" s="883"/>
      <c r="CM415" s="883"/>
      <c r="CN415" s="883"/>
      <c r="CO415" s="883"/>
      <c r="CP415" s="883"/>
      <c r="CQ415" s="883"/>
      <c r="CR415" s="883"/>
      <c r="CS415" s="883"/>
      <c r="CT415" s="883"/>
      <c r="CU415" s="883"/>
      <c r="CV415" s="863"/>
      <c r="CW415" s="863"/>
      <c r="CX415" s="863"/>
      <c r="CY415" s="863"/>
      <c r="CZ415" s="863"/>
      <c r="DA415" s="863"/>
      <c r="DB415" s="863"/>
      <c r="DC415" s="863"/>
      <c r="DD415" s="863"/>
      <c r="DE415" s="863"/>
    </row>
    <row r="416">
      <c r="A416" s="876"/>
      <c r="B416" s="876"/>
      <c r="C416" s="876"/>
      <c r="D416" s="876"/>
      <c r="E416" s="876"/>
      <c r="F416" s="876"/>
      <c r="G416" s="876"/>
      <c r="H416" s="876"/>
      <c r="I416" s="876"/>
      <c r="J416" s="876"/>
      <c r="K416" s="876"/>
      <c r="L416" s="876"/>
      <c r="M416" s="876"/>
      <c r="N416" s="877"/>
      <c r="O416" s="876"/>
      <c r="P416" s="876"/>
      <c r="Q416" s="876"/>
      <c r="R416" s="876"/>
      <c r="S416" s="876"/>
      <c r="T416" s="876"/>
      <c r="U416" s="876"/>
      <c r="V416" s="876"/>
      <c r="W416" s="876"/>
      <c r="X416" s="876"/>
      <c r="Y416" s="876"/>
      <c r="Z416" s="876"/>
      <c r="AA416" s="876"/>
      <c r="AB416" s="876"/>
      <c r="AC416" s="876"/>
      <c r="AD416" s="876"/>
      <c r="AE416" s="876"/>
      <c r="AF416" s="876"/>
      <c r="AG416" s="876"/>
      <c r="AH416" s="876"/>
      <c r="AI416" s="878"/>
      <c r="AJ416" s="880"/>
      <c r="AK416" s="880"/>
      <c r="AL416" s="880"/>
      <c r="AM416" s="880"/>
      <c r="AN416" s="880"/>
      <c r="AO416" s="880"/>
      <c r="AP416" s="880"/>
      <c r="AQ416" s="880"/>
      <c r="AR416" s="880"/>
      <c r="AS416" s="880"/>
      <c r="AT416" s="880"/>
      <c r="AU416" s="880"/>
      <c r="AV416" s="880"/>
      <c r="AW416" s="881"/>
      <c r="AX416" s="863"/>
      <c r="AY416" s="863"/>
      <c r="AZ416" s="863"/>
      <c r="BA416" s="863"/>
      <c r="BB416" s="863"/>
      <c r="BC416" s="863"/>
      <c r="BD416" s="863"/>
      <c r="BE416" s="863"/>
      <c r="BF416" s="863"/>
      <c r="BG416" s="863"/>
      <c r="BH416" s="863"/>
      <c r="BI416" s="863"/>
      <c r="BJ416" s="863"/>
      <c r="BK416" s="863"/>
      <c r="BL416" s="863"/>
      <c r="BM416" s="863"/>
      <c r="BN416" s="863"/>
      <c r="BO416" s="863"/>
      <c r="BP416" s="880"/>
      <c r="BQ416" s="863"/>
      <c r="BR416" s="883"/>
      <c r="BS416" s="883"/>
      <c r="BT416" s="883"/>
      <c r="BU416" s="883"/>
      <c r="BV416" s="883"/>
      <c r="BW416" s="883"/>
      <c r="BX416" s="883"/>
      <c r="BY416" s="883"/>
      <c r="BZ416" s="883"/>
      <c r="CA416" s="883"/>
      <c r="CB416" s="883"/>
      <c r="CC416" s="883"/>
      <c r="CD416" s="884"/>
      <c r="CE416" s="883"/>
      <c r="CF416" s="883"/>
      <c r="CG416" s="883"/>
      <c r="CH416" s="883"/>
      <c r="CI416" s="883"/>
      <c r="CJ416" s="883"/>
      <c r="CK416" s="883"/>
      <c r="CL416" s="883"/>
      <c r="CM416" s="883"/>
      <c r="CN416" s="883"/>
      <c r="CO416" s="883"/>
      <c r="CP416" s="883"/>
      <c r="CQ416" s="883"/>
      <c r="CR416" s="883"/>
      <c r="CS416" s="883"/>
      <c r="CT416" s="883"/>
      <c r="CU416" s="883"/>
      <c r="CV416" s="863"/>
      <c r="CW416" s="863"/>
      <c r="CX416" s="863"/>
      <c r="CY416" s="863"/>
      <c r="CZ416" s="863"/>
      <c r="DA416" s="863"/>
      <c r="DB416" s="863"/>
      <c r="DC416" s="863"/>
      <c r="DD416" s="863"/>
      <c r="DE416" s="863"/>
    </row>
    <row r="417">
      <c r="A417" s="876"/>
      <c r="B417" s="876"/>
      <c r="C417" s="876"/>
      <c r="D417" s="876"/>
      <c r="E417" s="876"/>
      <c r="F417" s="876"/>
      <c r="G417" s="876"/>
      <c r="H417" s="876"/>
      <c r="I417" s="876"/>
      <c r="J417" s="876"/>
      <c r="K417" s="876"/>
      <c r="L417" s="876"/>
      <c r="M417" s="876"/>
      <c r="N417" s="877"/>
      <c r="O417" s="876"/>
      <c r="P417" s="876"/>
      <c r="Q417" s="876"/>
      <c r="R417" s="876"/>
      <c r="S417" s="876"/>
      <c r="T417" s="876"/>
      <c r="U417" s="876"/>
      <c r="V417" s="876"/>
      <c r="W417" s="876"/>
      <c r="X417" s="876"/>
      <c r="Y417" s="876"/>
      <c r="Z417" s="876"/>
      <c r="AA417" s="876"/>
      <c r="AB417" s="876"/>
      <c r="AC417" s="876"/>
      <c r="AD417" s="876"/>
      <c r="AE417" s="876"/>
      <c r="AF417" s="876"/>
      <c r="AG417" s="876"/>
      <c r="AH417" s="876"/>
      <c r="AI417" s="878"/>
      <c r="AJ417" s="880"/>
      <c r="AK417" s="880"/>
      <c r="AL417" s="880"/>
      <c r="AM417" s="880"/>
      <c r="AN417" s="880"/>
      <c r="AO417" s="880"/>
      <c r="AP417" s="880"/>
      <c r="AQ417" s="880"/>
      <c r="AR417" s="880"/>
      <c r="AS417" s="880"/>
      <c r="AT417" s="880"/>
      <c r="AU417" s="880"/>
      <c r="AV417" s="880"/>
      <c r="AW417" s="881"/>
      <c r="AX417" s="863"/>
      <c r="AY417" s="863"/>
      <c r="AZ417" s="863"/>
      <c r="BA417" s="863"/>
      <c r="BB417" s="863"/>
      <c r="BC417" s="863"/>
      <c r="BD417" s="863"/>
      <c r="BE417" s="863"/>
      <c r="BF417" s="863"/>
      <c r="BG417" s="863"/>
      <c r="BH417" s="863"/>
      <c r="BI417" s="863"/>
      <c r="BJ417" s="863"/>
      <c r="BK417" s="863"/>
      <c r="BL417" s="863"/>
      <c r="BM417" s="863"/>
      <c r="BN417" s="863"/>
      <c r="BO417" s="863"/>
      <c r="BP417" s="880"/>
      <c r="BQ417" s="863"/>
      <c r="BR417" s="883"/>
      <c r="BS417" s="883"/>
      <c r="BT417" s="883"/>
      <c r="BU417" s="883"/>
      <c r="BV417" s="883"/>
      <c r="BW417" s="883"/>
      <c r="BX417" s="883"/>
      <c r="BY417" s="883"/>
      <c r="BZ417" s="883"/>
      <c r="CA417" s="883"/>
      <c r="CB417" s="883"/>
      <c r="CC417" s="883"/>
      <c r="CD417" s="884"/>
      <c r="CE417" s="883"/>
      <c r="CF417" s="883"/>
      <c r="CG417" s="883"/>
      <c r="CH417" s="883"/>
      <c r="CI417" s="883"/>
      <c r="CJ417" s="883"/>
      <c r="CK417" s="883"/>
      <c r="CL417" s="883"/>
      <c r="CM417" s="883"/>
      <c r="CN417" s="883"/>
      <c r="CO417" s="883"/>
      <c r="CP417" s="883"/>
      <c r="CQ417" s="883"/>
      <c r="CR417" s="883"/>
      <c r="CS417" s="883"/>
      <c r="CT417" s="883"/>
      <c r="CU417" s="883"/>
      <c r="CV417" s="863"/>
      <c r="CW417" s="863"/>
      <c r="CX417" s="863"/>
      <c r="CY417" s="863"/>
      <c r="CZ417" s="863"/>
      <c r="DA417" s="863"/>
      <c r="DB417" s="863"/>
      <c r="DC417" s="863"/>
      <c r="DD417" s="863"/>
      <c r="DE417" s="863"/>
    </row>
    <row r="418">
      <c r="A418" s="876"/>
      <c r="B418" s="876"/>
      <c r="C418" s="876"/>
      <c r="D418" s="876"/>
      <c r="E418" s="876"/>
      <c r="F418" s="876"/>
      <c r="G418" s="876"/>
      <c r="H418" s="876"/>
      <c r="I418" s="876"/>
      <c r="J418" s="876"/>
      <c r="K418" s="876"/>
      <c r="L418" s="876"/>
      <c r="M418" s="876"/>
      <c r="N418" s="877"/>
      <c r="O418" s="876"/>
      <c r="P418" s="876"/>
      <c r="Q418" s="876"/>
      <c r="R418" s="876"/>
      <c r="S418" s="876"/>
      <c r="T418" s="876"/>
      <c r="U418" s="876"/>
      <c r="V418" s="876"/>
      <c r="W418" s="876"/>
      <c r="X418" s="876"/>
      <c r="Y418" s="876"/>
      <c r="Z418" s="876"/>
      <c r="AA418" s="876"/>
      <c r="AB418" s="876"/>
      <c r="AC418" s="876"/>
      <c r="AD418" s="876"/>
      <c r="AE418" s="876"/>
      <c r="AF418" s="876"/>
      <c r="AG418" s="876"/>
      <c r="AH418" s="876"/>
      <c r="AI418" s="878"/>
      <c r="AJ418" s="880"/>
      <c r="AK418" s="880"/>
      <c r="AL418" s="880"/>
      <c r="AM418" s="880"/>
      <c r="AN418" s="880"/>
      <c r="AO418" s="880"/>
      <c r="AP418" s="880"/>
      <c r="AQ418" s="880"/>
      <c r="AR418" s="880"/>
      <c r="AS418" s="880"/>
      <c r="AT418" s="880"/>
      <c r="AU418" s="880"/>
      <c r="AV418" s="880"/>
      <c r="AW418" s="881"/>
      <c r="AX418" s="863"/>
      <c r="AY418" s="863"/>
      <c r="AZ418" s="863"/>
      <c r="BA418" s="863"/>
      <c r="BB418" s="863"/>
      <c r="BC418" s="863"/>
      <c r="BD418" s="863"/>
      <c r="BE418" s="863"/>
      <c r="BF418" s="863"/>
      <c r="BG418" s="863"/>
      <c r="BH418" s="863"/>
      <c r="BI418" s="863"/>
      <c r="BJ418" s="863"/>
      <c r="BK418" s="863"/>
      <c r="BL418" s="863"/>
      <c r="BM418" s="863"/>
      <c r="BN418" s="863"/>
      <c r="BO418" s="863"/>
      <c r="BP418" s="880"/>
      <c r="BQ418" s="863"/>
      <c r="BR418" s="883"/>
      <c r="BS418" s="883"/>
      <c r="BT418" s="883"/>
      <c r="BU418" s="883"/>
      <c r="BV418" s="883"/>
      <c r="BW418" s="883"/>
      <c r="BX418" s="883"/>
      <c r="BY418" s="883"/>
      <c r="BZ418" s="883"/>
      <c r="CA418" s="883"/>
      <c r="CB418" s="883"/>
      <c r="CC418" s="883"/>
      <c r="CD418" s="884"/>
      <c r="CE418" s="883"/>
      <c r="CF418" s="883"/>
      <c r="CG418" s="883"/>
      <c r="CH418" s="883"/>
      <c r="CI418" s="883"/>
      <c r="CJ418" s="883"/>
      <c r="CK418" s="883"/>
      <c r="CL418" s="883"/>
      <c r="CM418" s="883"/>
      <c r="CN418" s="883"/>
      <c r="CO418" s="883"/>
      <c r="CP418" s="883"/>
      <c r="CQ418" s="883"/>
      <c r="CR418" s="883"/>
      <c r="CS418" s="883"/>
      <c r="CT418" s="883"/>
      <c r="CU418" s="883"/>
      <c r="CV418" s="863"/>
      <c r="CW418" s="863"/>
      <c r="CX418" s="863"/>
      <c r="CY418" s="863"/>
      <c r="CZ418" s="863"/>
      <c r="DA418" s="863"/>
      <c r="DB418" s="863"/>
      <c r="DC418" s="863"/>
      <c r="DD418" s="863"/>
      <c r="DE418" s="863"/>
    </row>
    <row r="419">
      <c r="A419" s="876"/>
      <c r="B419" s="876"/>
      <c r="C419" s="876"/>
      <c r="D419" s="876"/>
      <c r="E419" s="876"/>
      <c r="F419" s="876"/>
      <c r="G419" s="876"/>
      <c r="H419" s="876"/>
      <c r="I419" s="876"/>
      <c r="J419" s="876"/>
      <c r="K419" s="876"/>
      <c r="L419" s="876"/>
      <c r="M419" s="876"/>
      <c r="N419" s="877"/>
      <c r="O419" s="876"/>
      <c r="P419" s="876"/>
      <c r="Q419" s="876"/>
      <c r="R419" s="876"/>
      <c r="S419" s="876"/>
      <c r="T419" s="876"/>
      <c r="U419" s="876"/>
      <c r="V419" s="876"/>
      <c r="W419" s="876"/>
      <c r="X419" s="876"/>
      <c r="Y419" s="876"/>
      <c r="Z419" s="876"/>
      <c r="AA419" s="876"/>
      <c r="AB419" s="876"/>
      <c r="AC419" s="876"/>
      <c r="AD419" s="876"/>
      <c r="AE419" s="876"/>
      <c r="AF419" s="876"/>
      <c r="AG419" s="876"/>
      <c r="AH419" s="876"/>
      <c r="AI419" s="878"/>
      <c r="AJ419" s="880"/>
      <c r="AK419" s="880"/>
      <c r="AL419" s="880"/>
      <c r="AM419" s="880"/>
      <c r="AN419" s="880"/>
      <c r="AO419" s="880"/>
      <c r="AP419" s="880"/>
      <c r="AQ419" s="880"/>
      <c r="AR419" s="880"/>
      <c r="AS419" s="880"/>
      <c r="AT419" s="880"/>
      <c r="AU419" s="880"/>
      <c r="AV419" s="880"/>
      <c r="AW419" s="881"/>
      <c r="AX419" s="863"/>
      <c r="AY419" s="863"/>
      <c r="AZ419" s="863"/>
      <c r="BA419" s="863"/>
      <c r="BB419" s="863"/>
      <c r="BC419" s="863"/>
      <c r="BD419" s="863"/>
      <c r="BE419" s="863"/>
      <c r="BF419" s="863"/>
      <c r="BG419" s="863"/>
      <c r="BH419" s="863"/>
      <c r="BI419" s="863"/>
      <c r="BJ419" s="863"/>
      <c r="BK419" s="863"/>
      <c r="BL419" s="863"/>
      <c r="BM419" s="863"/>
      <c r="BN419" s="863"/>
      <c r="BO419" s="863"/>
      <c r="BP419" s="880"/>
      <c r="BQ419" s="863"/>
      <c r="BR419" s="883"/>
      <c r="BS419" s="883"/>
      <c r="BT419" s="883"/>
      <c r="BU419" s="883"/>
      <c r="BV419" s="883"/>
      <c r="BW419" s="883"/>
      <c r="BX419" s="883"/>
      <c r="BY419" s="883"/>
      <c r="BZ419" s="883"/>
      <c r="CA419" s="883"/>
      <c r="CB419" s="883"/>
      <c r="CC419" s="883"/>
      <c r="CD419" s="884"/>
      <c r="CE419" s="883"/>
      <c r="CF419" s="883"/>
      <c r="CG419" s="883"/>
      <c r="CH419" s="883"/>
      <c r="CI419" s="883"/>
      <c r="CJ419" s="883"/>
      <c r="CK419" s="883"/>
      <c r="CL419" s="883"/>
      <c r="CM419" s="883"/>
      <c r="CN419" s="883"/>
      <c r="CO419" s="883"/>
      <c r="CP419" s="883"/>
      <c r="CQ419" s="883"/>
      <c r="CR419" s="883"/>
      <c r="CS419" s="883"/>
      <c r="CT419" s="883"/>
      <c r="CU419" s="883"/>
      <c r="CV419" s="863"/>
      <c r="CW419" s="863"/>
      <c r="CX419" s="863"/>
      <c r="CY419" s="863"/>
      <c r="CZ419" s="863"/>
      <c r="DA419" s="863"/>
      <c r="DB419" s="863"/>
      <c r="DC419" s="863"/>
      <c r="DD419" s="863"/>
      <c r="DE419" s="863"/>
    </row>
    <row r="420">
      <c r="A420" s="876"/>
      <c r="B420" s="876"/>
      <c r="C420" s="876"/>
      <c r="D420" s="876"/>
      <c r="E420" s="876"/>
      <c r="F420" s="876"/>
      <c r="G420" s="876"/>
      <c r="H420" s="876"/>
      <c r="I420" s="876"/>
      <c r="J420" s="876"/>
      <c r="K420" s="876"/>
      <c r="L420" s="876"/>
      <c r="M420" s="876"/>
      <c r="N420" s="877"/>
      <c r="O420" s="876"/>
      <c r="P420" s="876"/>
      <c r="Q420" s="876"/>
      <c r="R420" s="876"/>
      <c r="S420" s="876"/>
      <c r="T420" s="876"/>
      <c r="U420" s="876"/>
      <c r="V420" s="876"/>
      <c r="W420" s="876"/>
      <c r="X420" s="876"/>
      <c r="Y420" s="876"/>
      <c r="Z420" s="876"/>
      <c r="AA420" s="876"/>
      <c r="AB420" s="876"/>
      <c r="AC420" s="876"/>
      <c r="AD420" s="876"/>
      <c r="AE420" s="876"/>
      <c r="AF420" s="876"/>
      <c r="AG420" s="876"/>
      <c r="AH420" s="876"/>
      <c r="AI420" s="878"/>
      <c r="AJ420" s="880"/>
      <c r="AK420" s="880"/>
      <c r="AL420" s="880"/>
      <c r="AM420" s="880"/>
      <c r="AN420" s="880"/>
      <c r="AO420" s="880"/>
      <c r="AP420" s="880"/>
      <c r="AQ420" s="880"/>
      <c r="AR420" s="880"/>
      <c r="AS420" s="880"/>
      <c r="AT420" s="880"/>
      <c r="AU420" s="880"/>
      <c r="AV420" s="880"/>
      <c r="AW420" s="881"/>
      <c r="AX420" s="863"/>
      <c r="AY420" s="863"/>
      <c r="AZ420" s="863"/>
      <c r="BA420" s="863"/>
      <c r="BB420" s="863"/>
      <c r="BC420" s="863"/>
      <c r="BD420" s="863"/>
      <c r="BE420" s="863"/>
      <c r="BF420" s="863"/>
      <c r="BG420" s="863"/>
      <c r="BH420" s="863"/>
      <c r="BI420" s="863"/>
      <c r="BJ420" s="863"/>
      <c r="BK420" s="863"/>
      <c r="BL420" s="863"/>
      <c r="BM420" s="863"/>
      <c r="BN420" s="863"/>
      <c r="BO420" s="863"/>
      <c r="BP420" s="880"/>
      <c r="BQ420" s="863"/>
      <c r="BR420" s="883"/>
      <c r="BS420" s="883"/>
      <c r="BT420" s="883"/>
      <c r="BU420" s="883"/>
      <c r="BV420" s="883"/>
      <c r="BW420" s="883"/>
      <c r="BX420" s="883"/>
      <c r="BY420" s="883"/>
      <c r="BZ420" s="883"/>
      <c r="CA420" s="883"/>
      <c r="CB420" s="883"/>
      <c r="CC420" s="883"/>
      <c r="CD420" s="884"/>
      <c r="CE420" s="883"/>
      <c r="CF420" s="883"/>
      <c r="CG420" s="883"/>
      <c r="CH420" s="883"/>
      <c r="CI420" s="883"/>
      <c r="CJ420" s="883"/>
      <c r="CK420" s="883"/>
      <c r="CL420" s="883"/>
      <c r="CM420" s="883"/>
      <c r="CN420" s="883"/>
      <c r="CO420" s="883"/>
      <c r="CP420" s="883"/>
      <c r="CQ420" s="883"/>
      <c r="CR420" s="883"/>
      <c r="CS420" s="883"/>
      <c r="CT420" s="883"/>
      <c r="CU420" s="883"/>
      <c r="CV420" s="863"/>
      <c r="CW420" s="863"/>
      <c r="CX420" s="863"/>
      <c r="CY420" s="863"/>
      <c r="CZ420" s="863"/>
      <c r="DA420" s="863"/>
      <c r="DB420" s="863"/>
      <c r="DC420" s="863"/>
      <c r="DD420" s="863"/>
      <c r="DE420" s="863"/>
    </row>
    <row r="421">
      <c r="A421" s="876"/>
      <c r="B421" s="876"/>
      <c r="C421" s="876"/>
      <c r="D421" s="876"/>
      <c r="E421" s="876"/>
      <c r="F421" s="876"/>
      <c r="G421" s="876"/>
      <c r="H421" s="876"/>
      <c r="I421" s="876"/>
      <c r="J421" s="876"/>
      <c r="K421" s="876"/>
      <c r="L421" s="876"/>
      <c r="M421" s="876"/>
      <c r="N421" s="877"/>
      <c r="O421" s="876"/>
      <c r="P421" s="876"/>
      <c r="Q421" s="876"/>
      <c r="R421" s="876"/>
      <c r="S421" s="876"/>
      <c r="T421" s="876"/>
      <c r="U421" s="876"/>
      <c r="V421" s="876"/>
      <c r="W421" s="876"/>
      <c r="X421" s="876"/>
      <c r="Y421" s="876"/>
      <c r="Z421" s="876"/>
      <c r="AA421" s="876"/>
      <c r="AB421" s="876"/>
      <c r="AC421" s="876"/>
      <c r="AD421" s="876"/>
      <c r="AE421" s="876"/>
      <c r="AF421" s="876"/>
      <c r="AG421" s="876"/>
      <c r="AH421" s="876"/>
      <c r="AI421" s="878"/>
      <c r="AJ421" s="880"/>
      <c r="AK421" s="880"/>
      <c r="AL421" s="880"/>
      <c r="AM421" s="880"/>
      <c r="AN421" s="880"/>
      <c r="AO421" s="880"/>
      <c r="AP421" s="880"/>
      <c r="AQ421" s="880"/>
      <c r="AR421" s="880"/>
      <c r="AS421" s="880"/>
      <c r="AT421" s="880"/>
      <c r="AU421" s="880"/>
      <c r="AV421" s="880"/>
      <c r="AW421" s="881"/>
      <c r="AX421" s="863"/>
      <c r="AY421" s="863"/>
      <c r="AZ421" s="863"/>
      <c r="BA421" s="863"/>
      <c r="BB421" s="863"/>
      <c r="BC421" s="863"/>
      <c r="BD421" s="863"/>
      <c r="BE421" s="863"/>
      <c r="BF421" s="863"/>
      <c r="BG421" s="863"/>
      <c r="BH421" s="863"/>
      <c r="BI421" s="863"/>
      <c r="BJ421" s="863"/>
      <c r="BK421" s="863"/>
      <c r="BL421" s="863"/>
      <c r="BM421" s="863"/>
      <c r="BN421" s="863"/>
      <c r="BO421" s="863"/>
      <c r="BP421" s="880"/>
      <c r="BQ421" s="863"/>
      <c r="BR421" s="883"/>
      <c r="BS421" s="883"/>
      <c r="BT421" s="883"/>
      <c r="BU421" s="883"/>
      <c r="BV421" s="883"/>
      <c r="BW421" s="883"/>
      <c r="BX421" s="883"/>
      <c r="BY421" s="883"/>
      <c r="BZ421" s="883"/>
      <c r="CA421" s="883"/>
      <c r="CB421" s="883"/>
      <c r="CC421" s="883"/>
      <c r="CD421" s="884"/>
      <c r="CE421" s="883"/>
      <c r="CF421" s="883"/>
      <c r="CG421" s="883"/>
      <c r="CH421" s="883"/>
      <c r="CI421" s="883"/>
      <c r="CJ421" s="883"/>
      <c r="CK421" s="883"/>
      <c r="CL421" s="883"/>
      <c r="CM421" s="883"/>
      <c r="CN421" s="883"/>
      <c r="CO421" s="883"/>
      <c r="CP421" s="883"/>
      <c r="CQ421" s="883"/>
      <c r="CR421" s="883"/>
      <c r="CS421" s="883"/>
      <c r="CT421" s="883"/>
      <c r="CU421" s="883"/>
      <c r="CV421" s="863"/>
      <c r="CW421" s="863"/>
      <c r="CX421" s="863"/>
      <c r="CY421" s="863"/>
      <c r="CZ421" s="863"/>
      <c r="DA421" s="863"/>
      <c r="DB421" s="863"/>
      <c r="DC421" s="863"/>
      <c r="DD421" s="863"/>
      <c r="DE421" s="863"/>
    </row>
    <row r="422">
      <c r="A422" s="876"/>
      <c r="B422" s="876"/>
      <c r="C422" s="876"/>
      <c r="D422" s="876"/>
      <c r="E422" s="876"/>
      <c r="F422" s="876"/>
      <c r="G422" s="876"/>
      <c r="H422" s="876"/>
      <c r="I422" s="876"/>
      <c r="J422" s="876"/>
      <c r="K422" s="876"/>
      <c r="L422" s="876"/>
      <c r="M422" s="876"/>
      <c r="N422" s="877"/>
      <c r="O422" s="876"/>
      <c r="P422" s="876"/>
      <c r="Q422" s="876"/>
      <c r="R422" s="876"/>
      <c r="S422" s="876"/>
      <c r="T422" s="876"/>
      <c r="U422" s="876"/>
      <c r="V422" s="876"/>
      <c r="W422" s="876"/>
      <c r="X422" s="876"/>
      <c r="Y422" s="876"/>
      <c r="Z422" s="876"/>
      <c r="AA422" s="876"/>
      <c r="AB422" s="876"/>
      <c r="AC422" s="876"/>
      <c r="AD422" s="876"/>
      <c r="AE422" s="876"/>
      <c r="AF422" s="876"/>
      <c r="AG422" s="876"/>
      <c r="AH422" s="876"/>
      <c r="AI422" s="878"/>
      <c r="AJ422" s="880"/>
      <c r="AK422" s="880"/>
      <c r="AL422" s="880"/>
      <c r="AM422" s="880"/>
      <c r="AN422" s="880"/>
      <c r="AO422" s="880"/>
      <c r="AP422" s="880"/>
      <c r="AQ422" s="880"/>
      <c r="AR422" s="880"/>
      <c r="AS422" s="880"/>
      <c r="AT422" s="880"/>
      <c r="AU422" s="880"/>
      <c r="AV422" s="880"/>
      <c r="AW422" s="881"/>
      <c r="AX422" s="863"/>
      <c r="AY422" s="863"/>
      <c r="AZ422" s="863"/>
      <c r="BA422" s="863"/>
      <c r="BB422" s="863"/>
      <c r="BC422" s="863"/>
      <c r="BD422" s="863"/>
      <c r="BE422" s="863"/>
      <c r="BF422" s="863"/>
      <c r="BG422" s="863"/>
      <c r="BH422" s="863"/>
      <c r="BI422" s="863"/>
      <c r="BJ422" s="863"/>
      <c r="BK422" s="863"/>
      <c r="BL422" s="863"/>
      <c r="BM422" s="863"/>
      <c r="BN422" s="863"/>
      <c r="BO422" s="863"/>
      <c r="BP422" s="880"/>
      <c r="BQ422" s="863"/>
      <c r="BR422" s="883"/>
      <c r="BS422" s="883"/>
      <c r="BT422" s="883"/>
      <c r="BU422" s="883"/>
      <c r="BV422" s="883"/>
      <c r="BW422" s="883"/>
      <c r="BX422" s="883"/>
      <c r="BY422" s="883"/>
      <c r="BZ422" s="883"/>
      <c r="CA422" s="883"/>
      <c r="CB422" s="883"/>
      <c r="CC422" s="883"/>
      <c r="CD422" s="884"/>
      <c r="CE422" s="883"/>
      <c r="CF422" s="883"/>
      <c r="CG422" s="883"/>
      <c r="CH422" s="883"/>
      <c r="CI422" s="883"/>
      <c r="CJ422" s="883"/>
      <c r="CK422" s="883"/>
      <c r="CL422" s="883"/>
      <c r="CM422" s="883"/>
      <c r="CN422" s="883"/>
      <c r="CO422" s="883"/>
      <c r="CP422" s="883"/>
      <c r="CQ422" s="883"/>
      <c r="CR422" s="883"/>
      <c r="CS422" s="883"/>
      <c r="CT422" s="883"/>
      <c r="CU422" s="883"/>
      <c r="CV422" s="863"/>
      <c r="CW422" s="863"/>
      <c r="CX422" s="863"/>
      <c r="CY422" s="863"/>
      <c r="CZ422" s="863"/>
      <c r="DA422" s="863"/>
      <c r="DB422" s="863"/>
      <c r="DC422" s="863"/>
      <c r="DD422" s="863"/>
      <c r="DE422" s="863"/>
    </row>
    <row r="423">
      <c r="A423" s="876"/>
      <c r="B423" s="876"/>
      <c r="C423" s="876"/>
      <c r="D423" s="876"/>
      <c r="E423" s="876"/>
      <c r="F423" s="876"/>
      <c r="G423" s="876"/>
      <c r="H423" s="876"/>
      <c r="I423" s="876"/>
      <c r="J423" s="876"/>
      <c r="K423" s="876"/>
      <c r="L423" s="876"/>
      <c r="M423" s="876"/>
      <c r="N423" s="877"/>
      <c r="O423" s="876"/>
      <c r="P423" s="876"/>
      <c r="Q423" s="876"/>
      <c r="R423" s="876"/>
      <c r="S423" s="876"/>
      <c r="T423" s="876"/>
      <c r="U423" s="876"/>
      <c r="V423" s="876"/>
      <c r="W423" s="876"/>
      <c r="X423" s="876"/>
      <c r="Y423" s="876"/>
      <c r="Z423" s="876"/>
      <c r="AA423" s="876"/>
      <c r="AB423" s="876"/>
      <c r="AC423" s="876"/>
      <c r="AD423" s="876"/>
      <c r="AE423" s="876"/>
      <c r="AF423" s="876"/>
      <c r="AG423" s="876"/>
      <c r="AH423" s="876"/>
      <c r="AI423" s="878"/>
      <c r="AJ423" s="880"/>
      <c r="AK423" s="880"/>
      <c r="AL423" s="880"/>
      <c r="AM423" s="880"/>
      <c r="AN423" s="880"/>
      <c r="AO423" s="880"/>
      <c r="AP423" s="880"/>
      <c r="AQ423" s="880"/>
      <c r="AR423" s="880"/>
      <c r="AS423" s="880"/>
      <c r="AT423" s="880"/>
      <c r="AU423" s="880"/>
      <c r="AV423" s="880"/>
      <c r="AW423" s="881"/>
      <c r="AX423" s="863"/>
      <c r="AY423" s="863"/>
      <c r="AZ423" s="863"/>
      <c r="BA423" s="863"/>
      <c r="BB423" s="863"/>
      <c r="BC423" s="863"/>
      <c r="BD423" s="863"/>
      <c r="BE423" s="863"/>
      <c r="BF423" s="863"/>
      <c r="BG423" s="863"/>
      <c r="BH423" s="863"/>
      <c r="BI423" s="863"/>
      <c r="BJ423" s="863"/>
      <c r="BK423" s="863"/>
      <c r="BL423" s="863"/>
      <c r="BM423" s="863"/>
      <c r="BN423" s="863"/>
      <c r="BO423" s="863"/>
      <c r="BP423" s="880"/>
      <c r="BQ423" s="863"/>
      <c r="BR423" s="883"/>
      <c r="BS423" s="883"/>
      <c r="BT423" s="883"/>
      <c r="BU423" s="883"/>
      <c r="BV423" s="883"/>
      <c r="BW423" s="883"/>
      <c r="BX423" s="883"/>
      <c r="BY423" s="883"/>
      <c r="BZ423" s="883"/>
      <c r="CA423" s="883"/>
      <c r="CB423" s="883"/>
      <c r="CC423" s="883"/>
      <c r="CD423" s="884"/>
      <c r="CE423" s="883"/>
      <c r="CF423" s="883"/>
      <c r="CG423" s="883"/>
      <c r="CH423" s="883"/>
      <c r="CI423" s="883"/>
      <c r="CJ423" s="883"/>
      <c r="CK423" s="883"/>
      <c r="CL423" s="883"/>
      <c r="CM423" s="883"/>
      <c r="CN423" s="883"/>
      <c r="CO423" s="883"/>
      <c r="CP423" s="883"/>
      <c r="CQ423" s="883"/>
      <c r="CR423" s="883"/>
      <c r="CS423" s="883"/>
      <c r="CT423" s="883"/>
      <c r="CU423" s="883"/>
      <c r="CV423" s="863"/>
      <c r="CW423" s="863"/>
      <c r="CX423" s="863"/>
      <c r="CY423" s="863"/>
      <c r="CZ423" s="863"/>
      <c r="DA423" s="863"/>
      <c r="DB423" s="863"/>
      <c r="DC423" s="863"/>
      <c r="DD423" s="863"/>
      <c r="DE423" s="863"/>
    </row>
    <row r="424">
      <c r="A424" s="876"/>
      <c r="B424" s="876"/>
      <c r="C424" s="876"/>
      <c r="D424" s="876"/>
      <c r="E424" s="876"/>
      <c r="F424" s="876"/>
      <c r="G424" s="876"/>
      <c r="H424" s="876"/>
      <c r="I424" s="876"/>
      <c r="J424" s="876"/>
      <c r="K424" s="876"/>
      <c r="L424" s="876"/>
      <c r="M424" s="876"/>
      <c r="N424" s="877"/>
      <c r="O424" s="876"/>
      <c r="P424" s="876"/>
      <c r="Q424" s="876"/>
      <c r="R424" s="876"/>
      <c r="S424" s="876"/>
      <c r="T424" s="876"/>
      <c r="U424" s="876"/>
      <c r="V424" s="876"/>
      <c r="W424" s="876"/>
      <c r="X424" s="876"/>
      <c r="Y424" s="876"/>
      <c r="Z424" s="876"/>
      <c r="AA424" s="876"/>
      <c r="AB424" s="876"/>
      <c r="AC424" s="876"/>
      <c r="AD424" s="876"/>
      <c r="AE424" s="876"/>
      <c r="AF424" s="876"/>
      <c r="AG424" s="876"/>
      <c r="AH424" s="876"/>
      <c r="AI424" s="878"/>
      <c r="AJ424" s="880"/>
      <c r="AK424" s="880"/>
      <c r="AL424" s="880"/>
      <c r="AM424" s="880"/>
      <c r="AN424" s="880"/>
      <c r="AO424" s="880"/>
      <c r="AP424" s="880"/>
      <c r="AQ424" s="880"/>
      <c r="AR424" s="880"/>
      <c r="AS424" s="880"/>
      <c r="AT424" s="880"/>
      <c r="AU424" s="880"/>
      <c r="AV424" s="880"/>
      <c r="AW424" s="881"/>
      <c r="AX424" s="863"/>
      <c r="AY424" s="863"/>
      <c r="AZ424" s="863"/>
      <c r="BA424" s="863"/>
      <c r="BB424" s="863"/>
      <c r="BC424" s="863"/>
      <c r="BD424" s="863"/>
      <c r="BE424" s="863"/>
      <c r="BF424" s="863"/>
      <c r="BG424" s="863"/>
      <c r="BH424" s="863"/>
      <c r="BI424" s="863"/>
      <c r="BJ424" s="863"/>
      <c r="BK424" s="863"/>
      <c r="BL424" s="863"/>
      <c r="BM424" s="863"/>
      <c r="BN424" s="863"/>
      <c r="BO424" s="863"/>
      <c r="BP424" s="880"/>
      <c r="BQ424" s="863"/>
      <c r="BR424" s="883"/>
      <c r="BS424" s="883"/>
      <c r="BT424" s="883"/>
      <c r="BU424" s="883"/>
      <c r="BV424" s="883"/>
      <c r="BW424" s="883"/>
      <c r="BX424" s="883"/>
      <c r="BY424" s="883"/>
      <c r="BZ424" s="883"/>
      <c r="CA424" s="883"/>
      <c r="CB424" s="883"/>
      <c r="CC424" s="883"/>
      <c r="CD424" s="884"/>
      <c r="CE424" s="883"/>
      <c r="CF424" s="883"/>
      <c r="CG424" s="883"/>
      <c r="CH424" s="883"/>
      <c r="CI424" s="883"/>
      <c r="CJ424" s="883"/>
      <c r="CK424" s="883"/>
      <c r="CL424" s="883"/>
      <c r="CM424" s="883"/>
      <c r="CN424" s="883"/>
      <c r="CO424" s="883"/>
      <c r="CP424" s="883"/>
      <c r="CQ424" s="883"/>
      <c r="CR424" s="883"/>
      <c r="CS424" s="883"/>
      <c r="CT424" s="883"/>
      <c r="CU424" s="883"/>
      <c r="CV424" s="863"/>
      <c r="CW424" s="863"/>
      <c r="CX424" s="863"/>
      <c r="CY424" s="863"/>
      <c r="CZ424" s="863"/>
      <c r="DA424" s="863"/>
      <c r="DB424" s="863"/>
      <c r="DC424" s="863"/>
      <c r="DD424" s="863"/>
      <c r="DE424" s="863"/>
    </row>
    <row r="425">
      <c r="A425" s="876"/>
      <c r="B425" s="876"/>
      <c r="C425" s="876"/>
      <c r="D425" s="876"/>
      <c r="E425" s="876"/>
      <c r="F425" s="876"/>
      <c r="G425" s="876"/>
      <c r="H425" s="876"/>
      <c r="I425" s="876"/>
      <c r="J425" s="876"/>
      <c r="K425" s="876"/>
      <c r="L425" s="876"/>
      <c r="M425" s="876"/>
      <c r="N425" s="877"/>
      <c r="O425" s="876"/>
      <c r="P425" s="876"/>
      <c r="Q425" s="876"/>
      <c r="R425" s="876"/>
      <c r="S425" s="876"/>
      <c r="T425" s="876"/>
      <c r="U425" s="876"/>
      <c r="V425" s="876"/>
      <c r="W425" s="876"/>
      <c r="X425" s="876"/>
      <c r="Y425" s="876"/>
      <c r="Z425" s="876"/>
      <c r="AA425" s="876"/>
      <c r="AB425" s="876"/>
      <c r="AC425" s="876"/>
      <c r="AD425" s="876"/>
      <c r="AE425" s="876"/>
      <c r="AF425" s="876"/>
      <c r="AG425" s="876"/>
      <c r="AH425" s="876"/>
      <c r="AI425" s="878"/>
      <c r="AJ425" s="880"/>
      <c r="AK425" s="880"/>
      <c r="AL425" s="880"/>
      <c r="AM425" s="880"/>
      <c r="AN425" s="880"/>
      <c r="AO425" s="880"/>
      <c r="AP425" s="880"/>
      <c r="AQ425" s="880"/>
      <c r="AR425" s="880"/>
      <c r="AS425" s="880"/>
      <c r="AT425" s="880"/>
      <c r="AU425" s="880"/>
      <c r="AV425" s="880"/>
      <c r="AW425" s="881"/>
      <c r="AX425" s="863"/>
      <c r="AY425" s="863"/>
      <c r="AZ425" s="863"/>
      <c r="BA425" s="863"/>
      <c r="BB425" s="863"/>
      <c r="BC425" s="863"/>
      <c r="BD425" s="863"/>
      <c r="BE425" s="863"/>
      <c r="BF425" s="863"/>
      <c r="BG425" s="863"/>
      <c r="BH425" s="863"/>
      <c r="BI425" s="863"/>
      <c r="BJ425" s="863"/>
      <c r="BK425" s="863"/>
      <c r="BL425" s="863"/>
      <c r="BM425" s="863"/>
      <c r="BN425" s="863"/>
      <c r="BO425" s="863"/>
      <c r="BP425" s="880"/>
      <c r="BQ425" s="863"/>
      <c r="BR425" s="883"/>
      <c r="BS425" s="883"/>
      <c r="BT425" s="883"/>
      <c r="BU425" s="883"/>
      <c r="BV425" s="883"/>
      <c r="BW425" s="883"/>
      <c r="BX425" s="883"/>
      <c r="BY425" s="883"/>
      <c r="BZ425" s="883"/>
      <c r="CA425" s="883"/>
      <c r="CB425" s="883"/>
      <c r="CC425" s="883"/>
      <c r="CD425" s="884"/>
      <c r="CE425" s="883"/>
      <c r="CF425" s="883"/>
      <c r="CG425" s="883"/>
      <c r="CH425" s="883"/>
      <c r="CI425" s="883"/>
      <c r="CJ425" s="883"/>
      <c r="CK425" s="883"/>
      <c r="CL425" s="883"/>
      <c r="CM425" s="883"/>
      <c r="CN425" s="883"/>
      <c r="CO425" s="883"/>
      <c r="CP425" s="883"/>
      <c r="CQ425" s="883"/>
      <c r="CR425" s="883"/>
      <c r="CS425" s="883"/>
      <c r="CT425" s="883"/>
      <c r="CU425" s="883"/>
      <c r="CV425" s="863"/>
      <c r="CW425" s="863"/>
      <c r="CX425" s="863"/>
      <c r="CY425" s="863"/>
      <c r="CZ425" s="863"/>
      <c r="DA425" s="863"/>
      <c r="DB425" s="863"/>
      <c r="DC425" s="863"/>
      <c r="DD425" s="863"/>
      <c r="DE425" s="863"/>
    </row>
    <row r="426">
      <c r="A426" s="876"/>
      <c r="B426" s="876"/>
      <c r="C426" s="876"/>
      <c r="D426" s="876"/>
      <c r="E426" s="876"/>
      <c r="F426" s="876"/>
      <c r="G426" s="876"/>
      <c r="H426" s="876"/>
      <c r="I426" s="876"/>
      <c r="J426" s="876"/>
      <c r="K426" s="876"/>
      <c r="L426" s="876"/>
      <c r="M426" s="876"/>
      <c r="N426" s="877"/>
      <c r="O426" s="876"/>
      <c r="P426" s="876"/>
      <c r="Q426" s="876"/>
      <c r="R426" s="876"/>
      <c r="S426" s="876"/>
      <c r="T426" s="876"/>
      <c r="U426" s="876"/>
      <c r="V426" s="876"/>
      <c r="W426" s="876"/>
      <c r="X426" s="876"/>
      <c r="Y426" s="876"/>
      <c r="Z426" s="876"/>
      <c r="AA426" s="876"/>
      <c r="AB426" s="876"/>
      <c r="AC426" s="876"/>
      <c r="AD426" s="876"/>
      <c r="AE426" s="876"/>
      <c r="AF426" s="876"/>
      <c r="AG426" s="876"/>
      <c r="AH426" s="876"/>
      <c r="AI426" s="878"/>
      <c r="AJ426" s="880"/>
      <c r="AK426" s="880"/>
      <c r="AL426" s="880"/>
      <c r="AM426" s="880"/>
      <c r="AN426" s="880"/>
      <c r="AO426" s="880"/>
      <c r="AP426" s="880"/>
      <c r="AQ426" s="880"/>
      <c r="AR426" s="880"/>
      <c r="AS426" s="880"/>
      <c r="AT426" s="880"/>
      <c r="AU426" s="880"/>
      <c r="AV426" s="880"/>
      <c r="AW426" s="881"/>
      <c r="AX426" s="863"/>
      <c r="AY426" s="863"/>
      <c r="AZ426" s="863"/>
      <c r="BA426" s="863"/>
      <c r="BB426" s="863"/>
      <c r="BC426" s="863"/>
      <c r="BD426" s="863"/>
      <c r="BE426" s="863"/>
      <c r="BF426" s="863"/>
      <c r="BG426" s="863"/>
      <c r="BH426" s="863"/>
      <c r="BI426" s="863"/>
      <c r="BJ426" s="863"/>
      <c r="BK426" s="863"/>
      <c r="BL426" s="863"/>
      <c r="BM426" s="863"/>
      <c r="BN426" s="863"/>
      <c r="BO426" s="863"/>
      <c r="BP426" s="880"/>
      <c r="BQ426" s="863"/>
      <c r="BR426" s="883"/>
      <c r="BS426" s="883"/>
      <c r="BT426" s="883"/>
      <c r="BU426" s="883"/>
      <c r="BV426" s="883"/>
      <c r="BW426" s="883"/>
      <c r="BX426" s="883"/>
      <c r="BY426" s="883"/>
      <c r="BZ426" s="883"/>
      <c r="CA426" s="883"/>
      <c r="CB426" s="883"/>
      <c r="CC426" s="883"/>
      <c r="CD426" s="884"/>
      <c r="CE426" s="883"/>
      <c r="CF426" s="883"/>
      <c r="CG426" s="883"/>
      <c r="CH426" s="883"/>
      <c r="CI426" s="883"/>
      <c r="CJ426" s="883"/>
      <c r="CK426" s="883"/>
      <c r="CL426" s="883"/>
      <c r="CM426" s="883"/>
      <c r="CN426" s="883"/>
      <c r="CO426" s="883"/>
      <c r="CP426" s="883"/>
      <c r="CQ426" s="883"/>
      <c r="CR426" s="883"/>
      <c r="CS426" s="883"/>
      <c r="CT426" s="883"/>
      <c r="CU426" s="883"/>
      <c r="CV426" s="863"/>
      <c r="CW426" s="863"/>
      <c r="CX426" s="863"/>
      <c r="CY426" s="863"/>
      <c r="CZ426" s="863"/>
      <c r="DA426" s="863"/>
      <c r="DB426" s="863"/>
      <c r="DC426" s="863"/>
      <c r="DD426" s="863"/>
      <c r="DE426" s="863"/>
    </row>
    <row r="427">
      <c r="A427" s="876"/>
      <c r="B427" s="876"/>
      <c r="C427" s="876"/>
      <c r="D427" s="876"/>
      <c r="E427" s="876"/>
      <c r="F427" s="876"/>
      <c r="G427" s="876"/>
      <c r="H427" s="876"/>
      <c r="I427" s="876"/>
      <c r="J427" s="876"/>
      <c r="K427" s="876"/>
      <c r="L427" s="876"/>
      <c r="M427" s="876"/>
      <c r="N427" s="877"/>
      <c r="O427" s="876"/>
      <c r="P427" s="876"/>
      <c r="Q427" s="876"/>
      <c r="R427" s="876"/>
      <c r="S427" s="876"/>
      <c r="T427" s="876"/>
      <c r="U427" s="876"/>
      <c r="V427" s="876"/>
      <c r="W427" s="876"/>
      <c r="X427" s="876"/>
      <c r="Y427" s="876"/>
      <c r="Z427" s="876"/>
      <c r="AA427" s="876"/>
      <c r="AB427" s="876"/>
      <c r="AC427" s="876"/>
      <c r="AD427" s="876"/>
      <c r="AE427" s="876"/>
      <c r="AF427" s="876"/>
      <c r="AG427" s="876"/>
      <c r="AH427" s="876"/>
      <c r="AI427" s="878"/>
      <c r="AJ427" s="880"/>
      <c r="AK427" s="880"/>
      <c r="AL427" s="880"/>
      <c r="AM427" s="880"/>
      <c r="AN427" s="880"/>
      <c r="AO427" s="880"/>
      <c r="AP427" s="880"/>
      <c r="AQ427" s="880"/>
      <c r="AR427" s="880"/>
      <c r="AS427" s="880"/>
      <c r="AT427" s="880"/>
      <c r="AU427" s="880"/>
      <c r="AV427" s="880"/>
      <c r="AW427" s="881"/>
      <c r="AX427" s="863"/>
      <c r="AY427" s="863"/>
      <c r="AZ427" s="863"/>
      <c r="BA427" s="863"/>
      <c r="BB427" s="863"/>
      <c r="BC427" s="863"/>
      <c r="BD427" s="863"/>
      <c r="BE427" s="863"/>
      <c r="BF427" s="863"/>
      <c r="BG427" s="863"/>
      <c r="BH427" s="863"/>
      <c r="BI427" s="863"/>
      <c r="BJ427" s="863"/>
      <c r="BK427" s="863"/>
      <c r="BL427" s="863"/>
      <c r="BM427" s="863"/>
      <c r="BN427" s="863"/>
      <c r="BO427" s="863"/>
      <c r="BP427" s="880"/>
      <c r="BQ427" s="863"/>
      <c r="BR427" s="883"/>
      <c r="BS427" s="883"/>
      <c r="BT427" s="883"/>
      <c r="BU427" s="883"/>
      <c r="BV427" s="883"/>
      <c r="BW427" s="883"/>
      <c r="BX427" s="883"/>
      <c r="BY427" s="883"/>
      <c r="BZ427" s="883"/>
      <c r="CA427" s="883"/>
      <c r="CB427" s="883"/>
      <c r="CC427" s="883"/>
      <c r="CD427" s="884"/>
      <c r="CE427" s="883"/>
      <c r="CF427" s="883"/>
      <c r="CG427" s="883"/>
      <c r="CH427" s="883"/>
      <c r="CI427" s="883"/>
      <c r="CJ427" s="883"/>
      <c r="CK427" s="883"/>
      <c r="CL427" s="883"/>
      <c r="CM427" s="883"/>
      <c r="CN427" s="883"/>
      <c r="CO427" s="883"/>
      <c r="CP427" s="883"/>
      <c r="CQ427" s="883"/>
      <c r="CR427" s="883"/>
      <c r="CS427" s="883"/>
      <c r="CT427" s="883"/>
      <c r="CU427" s="883"/>
      <c r="CV427" s="863"/>
      <c r="CW427" s="863"/>
      <c r="CX427" s="863"/>
      <c r="CY427" s="863"/>
      <c r="CZ427" s="863"/>
      <c r="DA427" s="863"/>
      <c r="DB427" s="863"/>
      <c r="DC427" s="863"/>
      <c r="DD427" s="863"/>
      <c r="DE427" s="863"/>
    </row>
    <row r="428">
      <c r="A428" s="876"/>
      <c r="B428" s="876"/>
      <c r="C428" s="876"/>
      <c r="D428" s="876"/>
      <c r="E428" s="876"/>
      <c r="F428" s="876"/>
      <c r="G428" s="876"/>
      <c r="H428" s="876"/>
      <c r="I428" s="876"/>
      <c r="J428" s="876"/>
      <c r="K428" s="876"/>
      <c r="L428" s="876"/>
      <c r="M428" s="876"/>
      <c r="N428" s="877"/>
      <c r="O428" s="876"/>
      <c r="P428" s="876"/>
      <c r="Q428" s="876"/>
      <c r="R428" s="876"/>
      <c r="S428" s="876"/>
      <c r="T428" s="876"/>
      <c r="U428" s="876"/>
      <c r="V428" s="876"/>
      <c r="W428" s="876"/>
      <c r="X428" s="876"/>
      <c r="Y428" s="876"/>
      <c r="Z428" s="876"/>
      <c r="AA428" s="876"/>
      <c r="AB428" s="876"/>
      <c r="AC428" s="876"/>
      <c r="AD428" s="876"/>
      <c r="AE428" s="876"/>
      <c r="AF428" s="876"/>
      <c r="AG428" s="876"/>
      <c r="AH428" s="876"/>
      <c r="AI428" s="878"/>
      <c r="AJ428" s="880"/>
      <c r="AK428" s="880"/>
      <c r="AL428" s="880"/>
      <c r="AM428" s="880"/>
      <c r="AN428" s="880"/>
      <c r="AO428" s="880"/>
      <c r="AP428" s="880"/>
      <c r="AQ428" s="880"/>
      <c r="AR428" s="880"/>
      <c r="AS428" s="880"/>
      <c r="AT428" s="880"/>
      <c r="AU428" s="880"/>
      <c r="AV428" s="880"/>
      <c r="AW428" s="881"/>
      <c r="AX428" s="863"/>
      <c r="AY428" s="863"/>
      <c r="AZ428" s="863"/>
      <c r="BA428" s="863"/>
      <c r="BB428" s="863"/>
      <c r="BC428" s="863"/>
      <c r="BD428" s="863"/>
      <c r="BE428" s="863"/>
      <c r="BF428" s="863"/>
      <c r="BG428" s="863"/>
      <c r="BH428" s="863"/>
      <c r="BI428" s="863"/>
      <c r="BJ428" s="863"/>
      <c r="BK428" s="863"/>
      <c r="BL428" s="863"/>
      <c r="BM428" s="863"/>
      <c r="BN428" s="863"/>
      <c r="BO428" s="863"/>
      <c r="BP428" s="880"/>
      <c r="BQ428" s="863"/>
      <c r="BR428" s="883"/>
      <c r="BS428" s="883"/>
      <c r="BT428" s="883"/>
      <c r="BU428" s="883"/>
      <c r="BV428" s="883"/>
      <c r="BW428" s="883"/>
      <c r="BX428" s="883"/>
      <c r="BY428" s="883"/>
      <c r="BZ428" s="883"/>
      <c r="CA428" s="883"/>
      <c r="CB428" s="883"/>
      <c r="CC428" s="883"/>
      <c r="CD428" s="884"/>
      <c r="CE428" s="883"/>
      <c r="CF428" s="883"/>
      <c r="CG428" s="883"/>
      <c r="CH428" s="883"/>
      <c r="CI428" s="883"/>
      <c r="CJ428" s="883"/>
      <c r="CK428" s="883"/>
      <c r="CL428" s="883"/>
      <c r="CM428" s="883"/>
      <c r="CN428" s="883"/>
      <c r="CO428" s="883"/>
      <c r="CP428" s="883"/>
      <c r="CQ428" s="883"/>
      <c r="CR428" s="883"/>
      <c r="CS428" s="883"/>
      <c r="CT428" s="883"/>
      <c r="CU428" s="883"/>
      <c r="CV428" s="863"/>
      <c r="CW428" s="863"/>
      <c r="CX428" s="863"/>
      <c r="CY428" s="863"/>
      <c r="CZ428" s="863"/>
      <c r="DA428" s="863"/>
      <c r="DB428" s="863"/>
      <c r="DC428" s="863"/>
      <c r="DD428" s="863"/>
      <c r="DE428" s="863"/>
    </row>
    <row r="429">
      <c r="A429" s="876"/>
      <c r="B429" s="876"/>
      <c r="C429" s="876"/>
      <c r="D429" s="876"/>
      <c r="E429" s="876"/>
      <c r="F429" s="876"/>
      <c r="G429" s="876"/>
      <c r="H429" s="876"/>
      <c r="I429" s="876"/>
      <c r="J429" s="876"/>
      <c r="K429" s="876"/>
      <c r="L429" s="876"/>
      <c r="M429" s="876"/>
      <c r="N429" s="877"/>
      <c r="O429" s="876"/>
      <c r="P429" s="876"/>
      <c r="Q429" s="876"/>
      <c r="R429" s="876"/>
      <c r="S429" s="876"/>
      <c r="T429" s="876"/>
      <c r="U429" s="876"/>
      <c r="V429" s="876"/>
      <c r="W429" s="876"/>
      <c r="X429" s="876"/>
      <c r="Y429" s="876"/>
      <c r="Z429" s="876"/>
      <c r="AA429" s="876"/>
      <c r="AB429" s="876"/>
      <c r="AC429" s="876"/>
      <c r="AD429" s="876"/>
      <c r="AE429" s="876"/>
      <c r="AF429" s="876"/>
      <c r="AG429" s="876"/>
      <c r="AH429" s="876"/>
      <c r="AI429" s="878"/>
      <c r="AJ429" s="880"/>
      <c r="AK429" s="880"/>
      <c r="AL429" s="880"/>
      <c r="AM429" s="880"/>
      <c r="AN429" s="880"/>
      <c r="AO429" s="880"/>
      <c r="AP429" s="880"/>
      <c r="AQ429" s="880"/>
      <c r="AR429" s="880"/>
      <c r="AS429" s="880"/>
      <c r="AT429" s="880"/>
      <c r="AU429" s="880"/>
      <c r="AV429" s="880"/>
      <c r="AW429" s="881"/>
      <c r="AX429" s="863"/>
      <c r="AY429" s="863"/>
      <c r="AZ429" s="863"/>
      <c r="BA429" s="863"/>
      <c r="BB429" s="863"/>
      <c r="BC429" s="863"/>
      <c r="BD429" s="863"/>
      <c r="BE429" s="863"/>
      <c r="BF429" s="863"/>
      <c r="BG429" s="863"/>
      <c r="BH429" s="863"/>
      <c r="BI429" s="863"/>
      <c r="BJ429" s="863"/>
      <c r="BK429" s="863"/>
      <c r="BL429" s="863"/>
      <c r="BM429" s="863"/>
      <c r="BN429" s="863"/>
      <c r="BO429" s="863"/>
      <c r="BP429" s="880"/>
      <c r="BQ429" s="863"/>
      <c r="BR429" s="883"/>
      <c r="BS429" s="883"/>
      <c r="BT429" s="883"/>
      <c r="BU429" s="883"/>
      <c r="BV429" s="883"/>
      <c r="BW429" s="883"/>
      <c r="BX429" s="883"/>
      <c r="BY429" s="883"/>
      <c r="BZ429" s="883"/>
      <c r="CA429" s="883"/>
      <c r="CB429" s="883"/>
      <c r="CC429" s="883"/>
      <c r="CD429" s="884"/>
      <c r="CE429" s="883"/>
      <c r="CF429" s="883"/>
      <c r="CG429" s="883"/>
      <c r="CH429" s="883"/>
      <c r="CI429" s="883"/>
      <c r="CJ429" s="883"/>
      <c r="CK429" s="883"/>
      <c r="CL429" s="883"/>
      <c r="CM429" s="883"/>
      <c r="CN429" s="883"/>
      <c r="CO429" s="883"/>
      <c r="CP429" s="883"/>
      <c r="CQ429" s="883"/>
      <c r="CR429" s="883"/>
      <c r="CS429" s="883"/>
      <c r="CT429" s="883"/>
      <c r="CU429" s="883"/>
      <c r="CV429" s="863"/>
      <c r="CW429" s="863"/>
      <c r="CX429" s="863"/>
      <c r="CY429" s="863"/>
      <c r="CZ429" s="863"/>
      <c r="DA429" s="863"/>
      <c r="DB429" s="863"/>
      <c r="DC429" s="863"/>
      <c r="DD429" s="863"/>
      <c r="DE429" s="863"/>
    </row>
    <row r="430">
      <c r="A430" s="876"/>
      <c r="B430" s="876"/>
      <c r="C430" s="876"/>
      <c r="D430" s="876"/>
      <c r="E430" s="876"/>
      <c r="F430" s="876"/>
      <c r="G430" s="876"/>
      <c r="H430" s="876"/>
      <c r="I430" s="876"/>
      <c r="J430" s="876"/>
      <c r="K430" s="876"/>
      <c r="L430" s="876"/>
      <c r="M430" s="876"/>
      <c r="N430" s="877"/>
      <c r="O430" s="876"/>
      <c r="P430" s="876"/>
      <c r="Q430" s="876"/>
      <c r="R430" s="876"/>
      <c r="S430" s="876"/>
      <c r="T430" s="876"/>
      <c r="U430" s="876"/>
      <c r="V430" s="876"/>
      <c r="W430" s="876"/>
      <c r="X430" s="876"/>
      <c r="Y430" s="876"/>
      <c r="Z430" s="876"/>
      <c r="AA430" s="876"/>
      <c r="AB430" s="876"/>
      <c r="AC430" s="876"/>
      <c r="AD430" s="876"/>
      <c r="AE430" s="876"/>
      <c r="AF430" s="876"/>
      <c r="AG430" s="876"/>
      <c r="AH430" s="876"/>
      <c r="AI430" s="878"/>
      <c r="AJ430" s="880"/>
      <c r="AK430" s="880"/>
      <c r="AL430" s="880"/>
      <c r="AM430" s="880"/>
      <c r="AN430" s="880"/>
      <c r="AO430" s="880"/>
      <c r="AP430" s="880"/>
      <c r="AQ430" s="880"/>
      <c r="AR430" s="880"/>
      <c r="AS430" s="880"/>
      <c r="AT430" s="880"/>
      <c r="AU430" s="880"/>
      <c r="AV430" s="880"/>
      <c r="AW430" s="881"/>
      <c r="AX430" s="863"/>
      <c r="AY430" s="863"/>
      <c r="AZ430" s="863"/>
      <c r="BA430" s="863"/>
      <c r="BB430" s="863"/>
      <c r="BC430" s="863"/>
      <c r="BD430" s="863"/>
      <c r="BE430" s="863"/>
      <c r="BF430" s="863"/>
      <c r="BG430" s="863"/>
      <c r="BH430" s="863"/>
      <c r="BI430" s="863"/>
      <c r="BJ430" s="863"/>
      <c r="BK430" s="863"/>
      <c r="BL430" s="863"/>
      <c r="BM430" s="863"/>
      <c r="BN430" s="863"/>
      <c r="BO430" s="863"/>
      <c r="BP430" s="880"/>
      <c r="BQ430" s="863"/>
      <c r="BR430" s="883"/>
      <c r="BS430" s="883"/>
      <c r="BT430" s="883"/>
      <c r="BU430" s="883"/>
      <c r="BV430" s="883"/>
      <c r="BW430" s="883"/>
      <c r="BX430" s="883"/>
      <c r="BY430" s="883"/>
      <c r="BZ430" s="883"/>
      <c r="CA430" s="883"/>
      <c r="CB430" s="883"/>
      <c r="CC430" s="883"/>
      <c r="CD430" s="884"/>
      <c r="CE430" s="883"/>
      <c r="CF430" s="883"/>
      <c r="CG430" s="883"/>
      <c r="CH430" s="883"/>
      <c r="CI430" s="883"/>
      <c r="CJ430" s="883"/>
      <c r="CK430" s="883"/>
      <c r="CL430" s="883"/>
      <c r="CM430" s="883"/>
      <c r="CN430" s="883"/>
      <c r="CO430" s="883"/>
      <c r="CP430" s="883"/>
      <c r="CQ430" s="883"/>
      <c r="CR430" s="883"/>
      <c r="CS430" s="883"/>
      <c r="CT430" s="883"/>
      <c r="CU430" s="883"/>
      <c r="CV430" s="863"/>
      <c r="CW430" s="863"/>
      <c r="CX430" s="863"/>
      <c r="CY430" s="863"/>
      <c r="CZ430" s="863"/>
      <c r="DA430" s="863"/>
      <c r="DB430" s="863"/>
      <c r="DC430" s="863"/>
      <c r="DD430" s="863"/>
      <c r="DE430" s="863"/>
    </row>
    <row r="431">
      <c r="A431" s="876"/>
      <c r="B431" s="876"/>
      <c r="C431" s="876"/>
      <c r="D431" s="876"/>
      <c r="E431" s="876"/>
      <c r="F431" s="876"/>
      <c r="G431" s="876"/>
      <c r="H431" s="876"/>
      <c r="I431" s="876"/>
      <c r="J431" s="876"/>
      <c r="K431" s="876"/>
      <c r="L431" s="876"/>
      <c r="M431" s="876"/>
      <c r="N431" s="877"/>
      <c r="O431" s="876"/>
      <c r="P431" s="876"/>
      <c r="Q431" s="876"/>
      <c r="R431" s="876"/>
      <c r="S431" s="876"/>
      <c r="T431" s="876"/>
      <c r="U431" s="876"/>
      <c r="V431" s="876"/>
      <c r="W431" s="876"/>
      <c r="X431" s="876"/>
      <c r="Y431" s="876"/>
      <c r="Z431" s="876"/>
      <c r="AA431" s="876"/>
      <c r="AB431" s="876"/>
      <c r="AC431" s="876"/>
      <c r="AD431" s="876"/>
      <c r="AE431" s="876"/>
      <c r="AF431" s="876"/>
      <c r="AG431" s="876"/>
      <c r="AH431" s="876"/>
      <c r="AI431" s="878"/>
      <c r="AJ431" s="880"/>
      <c r="AK431" s="880"/>
      <c r="AL431" s="880"/>
      <c r="AM431" s="880"/>
      <c r="AN431" s="880"/>
      <c r="AO431" s="880"/>
      <c r="AP431" s="880"/>
      <c r="AQ431" s="880"/>
      <c r="AR431" s="880"/>
      <c r="AS431" s="880"/>
      <c r="AT431" s="880"/>
      <c r="AU431" s="880"/>
      <c r="AV431" s="880"/>
      <c r="AW431" s="881"/>
      <c r="AX431" s="863"/>
      <c r="AY431" s="863"/>
      <c r="AZ431" s="863"/>
      <c r="BA431" s="863"/>
      <c r="BB431" s="863"/>
      <c r="BC431" s="863"/>
      <c r="BD431" s="863"/>
      <c r="BE431" s="863"/>
      <c r="BF431" s="863"/>
      <c r="BG431" s="863"/>
      <c r="BH431" s="863"/>
      <c r="BI431" s="863"/>
      <c r="BJ431" s="863"/>
      <c r="BK431" s="863"/>
      <c r="BL431" s="863"/>
      <c r="BM431" s="863"/>
      <c r="BN431" s="863"/>
      <c r="BO431" s="863"/>
      <c r="BP431" s="880"/>
      <c r="BQ431" s="863"/>
      <c r="BR431" s="883"/>
      <c r="BS431" s="883"/>
      <c r="BT431" s="883"/>
      <c r="BU431" s="883"/>
      <c r="BV431" s="883"/>
      <c r="BW431" s="883"/>
      <c r="BX431" s="883"/>
      <c r="BY431" s="883"/>
      <c r="BZ431" s="883"/>
      <c r="CA431" s="883"/>
      <c r="CB431" s="883"/>
      <c r="CC431" s="883"/>
      <c r="CD431" s="884"/>
      <c r="CE431" s="883"/>
      <c r="CF431" s="883"/>
      <c r="CG431" s="883"/>
      <c r="CH431" s="883"/>
      <c r="CI431" s="883"/>
      <c r="CJ431" s="883"/>
      <c r="CK431" s="883"/>
      <c r="CL431" s="883"/>
      <c r="CM431" s="883"/>
      <c r="CN431" s="883"/>
      <c r="CO431" s="883"/>
      <c r="CP431" s="883"/>
      <c r="CQ431" s="883"/>
      <c r="CR431" s="883"/>
      <c r="CS431" s="883"/>
      <c r="CT431" s="883"/>
      <c r="CU431" s="883"/>
      <c r="CV431" s="863"/>
      <c r="CW431" s="863"/>
      <c r="CX431" s="863"/>
      <c r="CY431" s="863"/>
      <c r="CZ431" s="863"/>
      <c r="DA431" s="863"/>
      <c r="DB431" s="863"/>
      <c r="DC431" s="863"/>
      <c r="DD431" s="863"/>
      <c r="DE431" s="863"/>
    </row>
    <row r="432">
      <c r="A432" s="876"/>
      <c r="B432" s="876"/>
      <c r="C432" s="876"/>
      <c r="D432" s="876"/>
      <c r="E432" s="876"/>
      <c r="F432" s="876"/>
      <c r="G432" s="876"/>
      <c r="H432" s="876"/>
      <c r="I432" s="876"/>
      <c r="J432" s="876"/>
      <c r="K432" s="876"/>
      <c r="L432" s="876"/>
      <c r="M432" s="876"/>
      <c r="N432" s="877"/>
      <c r="O432" s="876"/>
      <c r="P432" s="876"/>
      <c r="Q432" s="876"/>
      <c r="R432" s="876"/>
      <c r="S432" s="876"/>
      <c r="T432" s="876"/>
      <c r="U432" s="876"/>
      <c r="V432" s="876"/>
      <c r="W432" s="876"/>
      <c r="X432" s="876"/>
      <c r="Y432" s="876"/>
      <c r="Z432" s="876"/>
      <c r="AA432" s="876"/>
      <c r="AB432" s="876"/>
      <c r="AC432" s="876"/>
      <c r="AD432" s="876"/>
      <c r="AE432" s="876"/>
      <c r="AF432" s="876"/>
      <c r="AG432" s="876"/>
      <c r="AH432" s="876"/>
      <c r="AI432" s="878"/>
      <c r="AJ432" s="880"/>
      <c r="AK432" s="880"/>
      <c r="AL432" s="880"/>
      <c r="AM432" s="880"/>
      <c r="AN432" s="880"/>
      <c r="AO432" s="880"/>
      <c r="AP432" s="880"/>
      <c r="AQ432" s="880"/>
      <c r="AR432" s="880"/>
      <c r="AS432" s="880"/>
      <c r="AT432" s="880"/>
      <c r="AU432" s="880"/>
      <c r="AV432" s="880"/>
      <c r="AW432" s="881"/>
      <c r="AX432" s="863"/>
      <c r="AY432" s="863"/>
      <c r="AZ432" s="863"/>
      <c r="BA432" s="863"/>
      <c r="BB432" s="863"/>
      <c r="BC432" s="863"/>
      <c r="BD432" s="863"/>
      <c r="BE432" s="863"/>
      <c r="BF432" s="863"/>
      <c r="BG432" s="863"/>
      <c r="BH432" s="863"/>
      <c r="BI432" s="863"/>
      <c r="BJ432" s="863"/>
      <c r="BK432" s="863"/>
      <c r="BL432" s="863"/>
      <c r="BM432" s="863"/>
      <c r="BN432" s="863"/>
      <c r="BO432" s="863"/>
      <c r="BP432" s="880"/>
      <c r="BQ432" s="863"/>
      <c r="BR432" s="883"/>
      <c r="BS432" s="883"/>
      <c r="BT432" s="883"/>
      <c r="BU432" s="883"/>
      <c r="BV432" s="883"/>
      <c r="BW432" s="883"/>
      <c r="BX432" s="883"/>
      <c r="BY432" s="883"/>
      <c r="BZ432" s="883"/>
      <c r="CA432" s="883"/>
      <c r="CB432" s="883"/>
      <c r="CC432" s="883"/>
      <c r="CD432" s="884"/>
      <c r="CE432" s="883"/>
      <c r="CF432" s="883"/>
      <c r="CG432" s="883"/>
      <c r="CH432" s="883"/>
      <c r="CI432" s="883"/>
      <c r="CJ432" s="883"/>
      <c r="CK432" s="883"/>
      <c r="CL432" s="883"/>
      <c r="CM432" s="883"/>
      <c r="CN432" s="883"/>
      <c r="CO432" s="883"/>
      <c r="CP432" s="883"/>
      <c r="CQ432" s="883"/>
      <c r="CR432" s="883"/>
      <c r="CS432" s="883"/>
      <c r="CT432" s="883"/>
      <c r="CU432" s="883"/>
      <c r="CV432" s="863"/>
      <c r="CW432" s="863"/>
      <c r="CX432" s="863"/>
      <c r="CY432" s="863"/>
      <c r="CZ432" s="863"/>
      <c r="DA432" s="863"/>
      <c r="DB432" s="863"/>
      <c r="DC432" s="863"/>
      <c r="DD432" s="863"/>
      <c r="DE432" s="863"/>
    </row>
    <row r="433">
      <c r="A433" s="876"/>
      <c r="B433" s="876"/>
      <c r="C433" s="876"/>
      <c r="D433" s="876"/>
      <c r="E433" s="876"/>
      <c r="F433" s="876"/>
      <c r="G433" s="876"/>
      <c r="H433" s="876"/>
      <c r="I433" s="876"/>
      <c r="J433" s="876"/>
      <c r="K433" s="876"/>
      <c r="L433" s="876"/>
      <c r="M433" s="876"/>
      <c r="N433" s="877"/>
      <c r="O433" s="876"/>
      <c r="P433" s="876"/>
      <c r="Q433" s="876"/>
      <c r="R433" s="876"/>
      <c r="S433" s="876"/>
      <c r="T433" s="876"/>
      <c r="U433" s="876"/>
      <c r="V433" s="876"/>
      <c r="W433" s="876"/>
      <c r="X433" s="876"/>
      <c r="Y433" s="876"/>
      <c r="Z433" s="876"/>
      <c r="AA433" s="876"/>
      <c r="AB433" s="876"/>
      <c r="AC433" s="876"/>
      <c r="AD433" s="876"/>
      <c r="AE433" s="876"/>
      <c r="AF433" s="876"/>
      <c r="AG433" s="876"/>
      <c r="AH433" s="876"/>
      <c r="AI433" s="878"/>
      <c r="AJ433" s="880"/>
      <c r="AK433" s="880"/>
      <c r="AL433" s="880"/>
      <c r="AM433" s="880"/>
      <c r="AN433" s="880"/>
      <c r="AO433" s="880"/>
      <c r="AP433" s="880"/>
      <c r="AQ433" s="880"/>
      <c r="AR433" s="880"/>
      <c r="AS433" s="880"/>
      <c r="AT433" s="880"/>
      <c r="AU433" s="880"/>
      <c r="AV433" s="880"/>
      <c r="AW433" s="881"/>
      <c r="AX433" s="863"/>
      <c r="AY433" s="863"/>
      <c r="AZ433" s="863"/>
      <c r="BA433" s="863"/>
      <c r="BB433" s="863"/>
      <c r="BC433" s="863"/>
      <c r="BD433" s="863"/>
      <c r="BE433" s="863"/>
      <c r="BF433" s="863"/>
      <c r="BG433" s="863"/>
      <c r="BH433" s="863"/>
      <c r="BI433" s="863"/>
      <c r="BJ433" s="863"/>
      <c r="BK433" s="863"/>
      <c r="BL433" s="863"/>
      <c r="BM433" s="863"/>
      <c r="BN433" s="863"/>
      <c r="BO433" s="863"/>
      <c r="BP433" s="880"/>
      <c r="BQ433" s="863"/>
      <c r="BR433" s="883"/>
      <c r="BS433" s="883"/>
      <c r="BT433" s="883"/>
      <c r="BU433" s="883"/>
      <c r="BV433" s="883"/>
      <c r="BW433" s="883"/>
      <c r="BX433" s="883"/>
      <c r="BY433" s="883"/>
      <c r="BZ433" s="883"/>
      <c r="CA433" s="883"/>
      <c r="CB433" s="883"/>
      <c r="CC433" s="883"/>
      <c r="CD433" s="884"/>
      <c r="CE433" s="883"/>
      <c r="CF433" s="883"/>
      <c r="CG433" s="883"/>
      <c r="CH433" s="883"/>
      <c r="CI433" s="883"/>
      <c r="CJ433" s="883"/>
      <c r="CK433" s="883"/>
      <c r="CL433" s="883"/>
      <c r="CM433" s="883"/>
      <c r="CN433" s="883"/>
      <c r="CO433" s="883"/>
      <c r="CP433" s="883"/>
      <c r="CQ433" s="883"/>
      <c r="CR433" s="883"/>
      <c r="CS433" s="883"/>
      <c r="CT433" s="883"/>
      <c r="CU433" s="883"/>
      <c r="CV433" s="863"/>
      <c r="CW433" s="863"/>
      <c r="CX433" s="863"/>
      <c r="CY433" s="863"/>
      <c r="CZ433" s="863"/>
      <c r="DA433" s="863"/>
      <c r="DB433" s="863"/>
      <c r="DC433" s="863"/>
      <c r="DD433" s="863"/>
      <c r="DE433" s="863"/>
    </row>
    <row r="434">
      <c r="A434" s="876"/>
      <c r="B434" s="876"/>
      <c r="C434" s="876"/>
      <c r="D434" s="876"/>
      <c r="E434" s="876"/>
      <c r="F434" s="876"/>
      <c r="G434" s="876"/>
      <c r="H434" s="876"/>
      <c r="I434" s="876"/>
      <c r="J434" s="876"/>
      <c r="K434" s="876"/>
      <c r="L434" s="876"/>
      <c r="M434" s="876"/>
      <c r="N434" s="877"/>
      <c r="O434" s="876"/>
      <c r="P434" s="876"/>
      <c r="Q434" s="876"/>
      <c r="R434" s="876"/>
      <c r="S434" s="876"/>
      <c r="T434" s="876"/>
      <c r="U434" s="876"/>
      <c r="V434" s="876"/>
      <c r="W434" s="876"/>
      <c r="X434" s="876"/>
      <c r="Y434" s="876"/>
      <c r="Z434" s="876"/>
      <c r="AA434" s="876"/>
      <c r="AB434" s="876"/>
      <c r="AC434" s="876"/>
      <c r="AD434" s="876"/>
      <c r="AE434" s="876"/>
      <c r="AF434" s="876"/>
      <c r="AG434" s="876"/>
      <c r="AH434" s="876"/>
      <c r="AI434" s="878"/>
      <c r="AJ434" s="880"/>
      <c r="AK434" s="880"/>
      <c r="AL434" s="880"/>
      <c r="AM434" s="880"/>
      <c r="AN434" s="880"/>
      <c r="AO434" s="880"/>
      <c r="AP434" s="880"/>
      <c r="AQ434" s="880"/>
      <c r="AR434" s="880"/>
      <c r="AS434" s="880"/>
      <c r="AT434" s="880"/>
      <c r="AU434" s="880"/>
      <c r="AV434" s="880"/>
      <c r="AW434" s="881"/>
      <c r="AX434" s="863"/>
      <c r="AY434" s="863"/>
      <c r="AZ434" s="863"/>
      <c r="BA434" s="863"/>
      <c r="BB434" s="863"/>
      <c r="BC434" s="863"/>
      <c r="BD434" s="863"/>
      <c r="BE434" s="863"/>
      <c r="BF434" s="863"/>
      <c r="BG434" s="863"/>
      <c r="BH434" s="863"/>
      <c r="BI434" s="863"/>
      <c r="BJ434" s="863"/>
      <c r="BK434" s="863"/>
      <c r="BL434" s="863"/>
      <c r="BM434" s="863"/>
      <c r="BN434" s="863"/>
      <c r="BO434" s="863"/>
      <c r="BP434" s="880"/>
      <c r="BQ434" s="863"/>
      <c r="BR434" s="883"/>
      <c r="BS434" s="883"/>
      <c r="BT434" s="883"/>
      <c r="BU434" s="883"/>
      <c r="BV434" s="883"/>
      <c r="BW434" s="883"/>
      <c r="BX434" s="883"/>
      <c r="BY434" s="883"/>
      <c r="BZ434" s="883"/>
      <c r="CA434" s="883"/>
      <c r="CB434" s="883"/>
      <c r="CC434" s="883"/>
      <c r="CD434" s="884"/>
      <c r="CE434" s="883"/>
      <c r="CF434" s="883"/>
      <c r="CG434" s="883"/>
      <c r="CH434" s="883"/>
      <c r="CI434" s="883"/>
      <c r="CJ434" s="883"/>
      <c r="CK434" s="883"/>
      <c r="CL434" s="883"/>
      <c r="CM434" s="883"/>
      <c r="CN434" s="883"/>
      <c r="CO434" s="883"/>
      <c r="CP434" s="883"/>
      <c r="CQ434" s="883"/>
      <c r="CR434" s="883"/>
      <c r="CS434" s="883"/>
      <c r="CT434" s="883"/>
      <c r="CU434" s="883"/>
      <c r="CV434" s="863"/>
      <c r="CW434" s="863"/>
      <c r="CX434" s="863"/>
      <c r="CY434" s="863"/>
      <c r="CZ434" s="863"/>
      <c r="DA434" s="863"/>
      <c r="DB434" s="863"/>
      <c r="DC434" s="863"/>
      <c r="DD434" s="863"/>
      <c r="DE434" s="863"/>
    </row>
    <row r="435">
      <c r="A435" s="876"/>
      <c r="B435" s="876"/>
      <c r="C435" s="876"/>
      <c r="D435" s="876"/>
      <c r="E435" s="876"/>
      <c r="F435" s="876"/>
      <c r="G435" s="876"/>
      <c r="H435" s="876"/>
      <c r="I435" s="876"/>
      <c r="J435" s="876"/>
      <c r="K435" s="876"/>
      <c r="L435" s="876"/>
      <c r="M435" s="876"/>
      <c r="N435" s="877"/>
      <c r="O435" s="876"/>
      <c r="P435" s="876"/>
      <c r="Q435" s="876"/>
      <c r="R435" s="876"/>
      <c r="S435" s="876"/>
      <c r="T435" s="876"/>
      <c r="U435" s="876"/>
      <c r="V435" s="876"/>
      <c r="W435" s="876"/>
      <c r="X435" s="876"/>
      <c r="Y435" s="876"/>
      <c r="Z435" s="876"/>
      <c r="AA435" s="876"/>
      <c r="AB435" s="876"/>
      <c r="AC435" s="876"/>
      <c r="AD435" s="876"/>
      <c r="AE435" s="876"/>
      <c r="AF435" s="876"/>
      <c r="AG435" s="876"/>
      <c r="AH435" s="876"/>
      <c r="AI435" s="878"/>
      <c r="AJ435" s="880"/>
      <c r="AK435" s="880"/>
      <c r="AL435" s="880"/>
      <c r="AM435" s="880"/>
      <c r="AN435" s="880"/>
      <c r="AO435" s="880"/>
      <c r="AP435" s="880"/>
      <c r="AQ435" s="880"/>
      <c r="AR435" s="880"/>
      <c r="AS435" s="880"/>
      <c r="AT435" s="880"/>
      <c r="AU435" s="880"/>
      <c r="AV435" s="880"/>
      <c r="AW435" s="881"/>
      <c r="AX435" s="863"/>
      <c r="AY435" s="863"/>
      <c r="AZ435" s="863"/>
      <c r="BA435" s="863"/>
      <c r="BB435" s="863"/>
      <c r="BC435" s="863"/>
      <c r="BD435" s="863"/>
      <c r="BE435" s="863"/>
      <c r="BF435" s="863"/>
      <c r="BG435" s="863"/>
      <c r="BH435" s="863"/>
      <c r="BI435" s="863"/>
      <c r="BJ435" s="863"/>
      <c r="BK435" s="863"/>
      <c r="BL435" s="863"/>
      <c r="BM435" s="863"/>
      <c r="BN435" s="863"/>
      <c r="BO435" s="863"/>
      <c r="BP435" s="880"/>
      <c r="BQ435" s="863"/>
      <c r="BR435" s="883"/>
      <c r="BS435" s="883"/>
      <c r="BT435" s="883"/>
      <c r="BU435" s="883"/>
      <c r="BV435" s="883"/>
      <c r="BW435" s="883"/>
      <c r="BX435" s="883"/>
      <c r="BY435" s="883"/>
      <c r="BZ435" s="883"/>
      <c r="CA435" s="883"/>
      <c r="CB435" s="883"/>
      <c r="CC435" s="883"/>
      <c r="CD435" s="884"/>
      <c r="CE435" s="883"/>
      <c r="CF435" s="883"/>
      <c r="CG435" s="883"/>
      <c r="CH435" s="883"/>
      <c r="CI435" s="883"/>
      <c r="CJ435" s="883"/>
      <c r="CK435" s="883"/>
      <c r="CL435" s="883"/>
      <c r="CM435" s="883"/>
      <c r="CN435" s="883"/>
      <c r="CO435" s="883"/>
      <c r="CP435" s="883"/>
      <c r="CQ435" s="883"/>
      <c r="CR435" s="883"/>
      <c r="CS435" s="883"/>
      <c r="CT435" s="883"/>
      <c r="CU435" s="883"/>
      <c r="CV435" s="863"/>
      <c r="CW435" s="863"/>
      <c r="CX435" s="863"/>
      <c r="CY435" s="863"/>
      <c r="CZ435" s="863"/>
      <c r="DA435" s="863"/>
      <c r="DB435" s="863"/>
      <c r="DC435" s="863"/>
      <c r="DD435" s="863"/>
      <c r="DE435" s="863"/>
    </row>
    <row r="436">
      <c r="A436" s="876"/>
      <c r="B436" s="876"/>
      <c r="C436" s="876"/>
      <c r="D436" s="876"/>
      <c r="E436" s="876"/>
      <c r="F436" s="876"/>
      <c r="G436" s="876"/>
      <c r="H436" s="876"/>
      <c r="I436" s="876"/>
      <c r="J436" s="876"/>
      <c r="K436" s="876"/>
      <c r="L436" s="876"/>
      <c r="M436" s="876"/>
      <c r="N436" s="877"/>
      <c r="O436" s="876"/>
      <c r="P436" s="876"/>
      <c r="Q436" s="876"/>
      <c r="R436" s="876"/>
      <c r="S436" s="876"/>
      <c r="T436" s="876"/>
      <c r="U436" s="876"/>
      <c r="V436" s="876"/>
      <c r="W436" s="876"/>
      <c r="X436" s="876"/>
      <c r="Y436" s="876"/>
      <c r="Z436" s="876"/>
      <c r="AA436" s="876"/>
      <c r="AB436" s="876"/>
      <c r="AC436" s="876"/>
      <c r="AD436" s="876"/>
      <c r="AE436" s="876"/>
      <c r="AF436" s="876"/>
      <c r="AG436" s="876"/>
      <c r="AH436" s="876"/>
      <c r="AI436" s="878"/>
      <c r="AJ436" s="880"/>
      <c r="AK436" s="880"/>
      <c r="AL436" s="880"/>
      <c r="AM436" s="880"/>
      <c r="AN436" s="880"/>
      <c r="AO436" s="880"/>
      <c r="AP436" s="880"/>
      <c r="AQ436" s="880"/>
      <c r="AR436" s="880"/>
      <c r="AS436" s="880"/>
      <c r="AT436" s="880"/>
      <c r="AU436" s="880"/>
      <c r="AV436" s="880"/>
      <c r="AW436" s="881"/>
      <c r="AX436" s="863"/>
      <c r="AY436" s="863"/>
      <c r="AZ436" s="863"/>
      <c r="BA436" s="863"/>
      <c r="BB436" s="863"/>
      <c r="BC436" s="863"/>
      <c r="BD436" s="863"/>
      <c r="BE436" s="863"/>
      <c r="BF436" s="863"/>
      <c r="BG436" s="863"/>
      <c r="BH436" s="863"/>
      <c r="BI436" s="863"/>
      <c r="BJ436" s="863"/>
      <c r="BK436" s="863"/>
      <c r="BL436" s="863"/>
      <c r="BM436" s="863"/>
      <c r="BN436" s="863"/>
      <c r="BO436" s="863"/>
      <c r="BP436" s="880"/>
      <c r="BQ436" s="863"/>
      <c r="BR436" s="883"/>
      <c r="BS436" s="883"/>
      <c r="BT436" s="883"/>
      <c r="BU436" s="883"/>
      <c r="BV436" s="883"/>
      <c r="BW436" s="883"/>
      <c r="BX436" s="883"/>
      <c r="BY436" s="883"/>
      <c r="BZ436" s="883"/>
      <c r="CA436" s="883"/>
      <c r="CB436" s="883"/>
      <c r="CC436" s="883"/>
      <c r="CD436" s="884"/>
      <c r="CE436" s="883"/>
      <c r="CF436" s="883"/>
      <c r="CG436" s="883"/>
      <c r="CH436" s="883"/>
      <c r="CI436" s="883"/>
      <c r="CJ436" s="883"/>
      <c r="CK436" s="883"/>
      <c r="CL436" s="883"/>
      <c r="CM436" s="883"/>
      <c r="CN436" s="883"/>
      <c r="CO436" s="883"/>
      <c r="CP436" s="883"/>
      <c r="CQ436" s="883"/>
      <c r="CR436" s="883"/>
      <c r="CS436" s="883"/>
      <c r="CT436" s="883"/>
      <c r="CU436" s="883"/>
      <c r="CV436" s="863"/>
      <c r="CW436" s="863"/>
      <c r="CX436" s="863"/>
      <c r="CY436" s="863"/>
      <c r="CZ436" s="863"/>
      <c r="DA436" s="863"/>
      <c r="DB436" s="863"/>
      <c r="DC436" s="863"/>
      <c r="DD436" s="863"/>
      <c r="DE436" s="863"/>
    </row>
    <row r="437">
      <c r="A437" s="876"/>
      <c r="B437" s="876"/>
      <c r="C437" s="876"/>
      <c r="D437" s="876"/>
      <c r="E437" s="876"/>
      <c r="F437" s="876"/>
      <c r="G437" s="876"/>
      <c r="H437" s="876"/>
      <c r="I437" s="876"/>
      <c r="J437" s="876"/>
      <c r="K437" s="876"/>
      <c r="L437" s="876"/>
      <c r="M437" s="876"/>
      <c r="N437" s="877"/>
      <c r="O437" s="876"/>
      <c r="P437" s="876"/>
      <c r="Q437" s="876"/>
      <c r="R437" s="876"/>
      <c r="S437" s="876"/>
      <c r="T437" s="876"/>
      <c r="U437" s="876"/>
      <c r="V437" s="876"/>
      <c r="W437" s="876"/>
      <c r="X437" s="876"/>
      <c r="Y437" s="876"/>
      <c r="Z437" s="876"/>
      <c r="AA437" s="876"/>
      <c r="AB437" s="876"/>
      <c r="AC437" s="876"/>
      <c r="AD437" s="876"/>
      <c r="AE437" s="876"/>
      <c r="AF437" s="876"/>
      <c r="AG437" s="876"/>
      <c r="AH437" s="876"/>
      <c r="AI437" s="878"/>
      <c r="AJ437" s="880"/>
      <c r="AK437" s="880"/>
      <c r="AL437" s="880"/>
      <c r="AM437" s="880"/>
      <c r="AN437" s="880"/>
      <c r="AO437" s="880"/>
      <c r="AP437" s="880"/>
      <c r="AQ437" s="880"/>
      <c r="AR437" s="880"/>
      <c r="AS437" s="880"/>
      <c r="AT437" s="880"/>
      <c r="AU437" s="880"/>
      <c r="AV437" s="880"/>
      <c r="AW437" s="881"/>
      <c r="AX437" s="863"/>
      <c r="AY437" s="863"/>
      <c r="AZ437" s="863"/>
      <c r="BA437" s="863"/>
      <c r="BB437" s="863"/>
      <c r="BC437" s="863"/>
      <c r="BD437" s="863"/>
      <c r="BE437" s="863"/>
      <c r="BF437" s="863"/>
      <c r="BG437" s="863"/>
      <c r="BH437" s="863"/>
      <c r="BI437" s="863"/>
      <c r="BJ437" s="863"/>
      <c r="BK437" s="863"/>
      <c r="BL437" s="863"/>
      <c r="BM437" s="863"/>
      <c r="BN437" s="863"/>
      <c r="BO437" s="863"/>
      <c r="BP437" s="880"/>
      <c r="BQ437" s="863"/>
      <c r="BR437" s="883"/>
      <c r="BS437" s="883"/>
      <c r="BT437" s="883"/>
      <c r="BU437" s="883"/>
      <c r="BV437" s="883"/>
      <c r="BW437" s="883"/>
      <c r="BX437" s="883"/>
      <c r="BY437" s="883"/>
      <c r="BZ437" s="883"/>
      <c r="CA437" s="883"/>
      <c r="CB437" s="883"/>
      <c r="CC437" s="883"/>
      <c r="CD437" s="884"/>
      <c r="CE437" s="883"/>
      <c r="CF437" s="883"/>
      <c r="CG437" s="883"/>
      <c r="CH437" s="883"/>
      <c r="CI437" s="883"/>
      <c r="CJ437" s="883"/>
      <c r="CK437" s="883"/>
      <c r="CL437" s="883"/>
      <c r="CM437" s="883"/>
      <c r="CN437" s="883"/>
      <c r="CO437" s="883"/>
      <c r="CP437" s="883"/>
      <c r="CQ437" s="883"/>
      <c r="CR437" s="883"/>
      <c r="CS437" s="883"/>
      <c r="CT437" s="883"/>
      <c r="CU437" s="883"/>
      <c r="CV437" s="863"/>
      <c r="CW437" s="863"/>
      <c r="CX437" s="863"/>
      <c r="CY437" s="863"/>
      <c r="CZ437" s="863"/>
      <c r="DA437" s="863"/>
      <c r="DB437" s="863"/>
      <c r="DC437" s="863"/>
      <c r="DD437" s="863"/>
      <c r="DE437" s="863"/>
    </row>
    <row r="438">
      <c r="A438" s="876"/>
      <c r="B438" s="876"/>
      <c r="C438" s="876"/>
      <c r="D438" s="876"/>
      <c r="E438" s="876"/>
      <c r="F438" s="876"/>
      <c r="G438" s="876"/>
      <c r="H438" s="876"/>
      <c r="I438" s="876"/>
      <c r="J438" s="876"/>
      <c r="K438" s="876"/>
      <c r="L438" s="876"/>
      <c r="M438" s="876"/>
      <c r="N438" s="877"/>
      <c r="O438" s="876"/>
      <c r="P438" s="876"/>
      <c r="Q438" s="876"/>
      <c r="R438" s="876"/>
      <c r="S438" s="876"/>
      <c r="T438" s="876"/>
      <c r="U438" s="876"/>
      <c r="V438" s="876"/>
      <c r="W438" s="876"/>
      <c r="X438" s="876"/>
      <c r="Y438" s="876"/>
      <c r="Z438" s="876"/>
      <c r="AA438" s="876"/>
      <c r="AB438" s="876"/>
      <c r="AC438" s="876"/>
      <c r="AD438" s="876"/>
      <c r="AE438" s="876"/>
      <c r="AF438" s="876"/>
      <c r="AG438" s="876"/>
      <c r="AH438" s="876"/>
      <c r="AI438" s="878"/>
      <c r="AJ438" s="880"/>
      <c r="AK438" s="880"/>
      <c r="AL438" s="880"/>
      <c r="AM438" s="880"/>
      <c r="AN438" s="880"/>
      <c r="AO438" s="880"/>
      <c r="AP438" s="880"/>
      <c r="AQ438" s="880"/>
      <c r="AR438" s="880"/>
      <c r="AS438" s="880"/>
      <c r="AT438" s="880"/>
      <c r="AU438" s="880"/>
      <c r="AV438" s="880"/>
      <c r="AW438" s="881"/>
      <c r="AX438" s="863"/>
      <c r="AY438" s="863"/>
      <c r="AZ438" s="863"/>
      <c r="BA438" s="863"/>
      <c r="BB438" s="863"/>
      <c r="BC438" s="863"/>
      <c r="BD438" s="863"/>
      <c r="BE438" s="863"/>
      <c r="BF438" s="863"/>
      <c r="BG438" s="863"/>
      <c r="BH438" s="863"/>
      <c r="BI438" s="863"/>
      <c r="BJ438" s="863"/>
      <c r="BK438" s="863"/>
      <c r="BL438" s="863"/>
      <c r="BM438" s="863"/>
      <c r="BN438" s="863"/>
      <c r="BO438" s="863"/>
      <c r="BP438" s="880"/>
      <c r="BQ438" s="863"/>
      <c r="BR438" s="883"/>
      <c r="BS438" s="883"/>
      <c r="BT438" s="883"/>
      <c r="BU438" s="883"/>
      <c r="BV438" s="883"/>
      <c r="BW438" s="883"/>
      <c r="BX438" s="883"/>
      <c r="BY438" s="883"/>
      <c r="BZ438" s="883"/>
      <c r="CA438" s="883"/>
      <c r="CB438" s="883"/>
      <c r="CC438" s="883"/>
      <c r="CD438" s="884"/>
      <c r="CE438" s="883"/>
      <c r="CF438" s="883"/>
      <c r="CG438" s="883"/>
      <c r="CH438" s="883"/>
      <c r="CI438" s="883"/>
      <c r="CJ438" s="883"/>
      <c r="CK438" s="883"/>
      <c r="CL438" s="883"/>
      <c r="CM438" s="883"/>
      <c r="CN438" s="883"/>
      <c r="CO438" s="883"/>
      <c r="CP438" s="883"/>
      <c r="CQ438" s="883"/>
      <c r="CR438" s="883"/>
      <c r="CS438" s="883"/>
      <c r="CT438" s="883"/>
      <c r="CU438" s="883"/>
      <c r="CV438" s="863"/>
      <c r="CW438" s="863"/>
      <c r="CX438" s="863"/>
      <c r="CY438" s="863"/>
      <c r="CZ438" s="863"/>
      <c r="DA438" s="863"/>
      <c r="DB438" s="863"/>
      <c r="DC438" s="863"/>
      <c r="DD438" s="863"/>
      <c r="DE438" s="863"/>
    </row>
    <row r="439">
      <c r="A439" s="876"/>
      <c r="B439" s="876"/>
      <c r="C439" s="876"/>
      <c r="D439" s="876"/>
      <c r="E439" s="876"/>
      <c r="F439" s="876"/>
      <c r="G439" s="876"/>
      <c r="H439" s="876"/>
      <c r="I439" s="876"/>
      <c r="J439" s="876"/>
      <c r="K439" s="876"/>
      <c r="L439" s="876"/>
      <c r="M439" s="876"/>
      <c r="N439" s="877"/>
      <c r="O439" s="876"/>
      <c r="P439" s="876"/>
      <c r="Q439" s="876"/>
      <c r="R439" s="876"/>
      <c r="S439" s="876"/>
      <c r="T439" s="876"/>
      <c r="U439" s="876"/>
      <c r="V439" s="876"/>
      <c r="W439" s="876"/>
      <c r="X439" s="876"/>
      <c r="Y439" s="876"/>
      <c r="Z439" s="876"/>
      <c r="AA439" s="876"/>
      <c r="AB439" s="876"/>
      <c r="AC439" s="876"/>
      <c r="AD439" s="876"/>
      <c r="AE439" s="876"/>
      <c r="AF439" s="876"/>
      <c r="AG439" s="876"/>
      <c r="AH439" s="876"/>
      <c r="AI439" s="878"/>
      <c r="AJ439" s="880"/>
      <c r="AK439" s="880"/>
      <c r="AL439" s="880"/>
      <c r="AM439" s="880"/>
      <c r="AN439" s="880"/>
      <c r="AO439" s="880"/>
      <c r="AP439" s="880"/>
      <c r="AQ439" s="880"/>
      <c r="AR439" s="880"/>
      <c r="AS439" s="880"/>
      <c r="AT439" s="880"/>
      <c r="AU439" s="880"/>
      <c r="AV439" s="880"/>
      <c r="AW439" s="881"/>
      <c r="AX439" s="863"/>
      <c r="AY439" s="863"/>
      <c r="AZ439" s="863"/>
      <c r="BA439" s="863"/>
      <c r="BB439" s="863"/>
      <c r="BC439" s="863"/>
      <c r="BD439" s="863"/>
      <c r="BE439" s="863"/>
      <c r="BF439" s="863"/>
      <c r="BG439" s="863"/>
      <c r="BH439" s="863"/>
      <c r="BI439" s="863"/>
      <c r="BJ439" s="863"/>
      <c r="BK439" s="863"/>
      <c r="BL439" s="863"/>
      <c r="BM439" s="863"/>
      <c r="BN439" s="863"/>
      <c r="BO439" s="863"/>
      <c r="BP439" s="880"/>
      <c r="BQ439" s="863"/>
      <c r="BR439" s="883"/>
      <c r="BS439" s="883"/>
      <c r="BT439" s="883"/>
      <c r="BU439" s="883"/>
      <c r="BV439" s="883"/>
      <c r="BW439" s="883"/>
      <c r="BX439" s="883"/>
      <c r="BY439" s="883"/>
      <c r="BZ439" s="883"/>
      <c r="CA439" s="883"/>
      <c r="CB439" s="883"/>
      <c r="CC439" s="883"/>
      <c r="CD439" s="884"/>
      <c r="CE439" s="883"/>
      <c r="CF439" s="883"/>
      <c r="CG439" s="883"/>
      <c r="CH439" s="883"/>
      <c r="CI439" s="883"/>
      <c r="CJ439" s="883"/>
      <c r="CK439" s="883"/>
      <c r="CL439" s="883"/>
      <c r="CM439" s="883"/>
      <c r="CN439" s="883"/>
      <c r="CO439" s="883"/>
      <c r="CP439" s="883"/>
      <c r="CQ439" s="883"/>
      <c r="CR439" s="883"/>
      <c r="CS439" s="883"/>
      <c r="CT439" s="883"/>
      <c r="CU439" s="883"/>
      <c r="CV439" s="863"/>
      <c r="CW439" s="863"/>
      <c r="CX439" s="863"/>
      <c r="CY439" s="863"/>
      <c r="CZ439" s="863"/>
      <c r="DA439" s="863"/>
      <c r="DB439" s="863"/>
      <c r="DC439" s="863"/>
      <c r="DD439" s="863"/>
      <c r="DE439" s="863"/>
    </row>
    <row r="440">
      <c r="A440" s="876"/>
      <c r="B440" s="876"/>
      <c r="C440" s="876"/>
      <c r="D440" s="876"/>
      <c r="E440" s="876"/>
      <c r="F440" s="876"/>
      <c r="G440" s="876"/>
      <c r="H440" s="876"/>
      <c r="I440" s="876"/>
      <c r="J440" s="876"/>
      <c r="K440" s="876"/>
      <c r="L440" s="876"/>
      <c r="M440" s="876"/>
      <c r="N440" s="877"/>
      <c r="O440" s="876"/>
      <c r="P440" s="876"/>
      <c r="Q440" s="876"/>
      <c r="R440" s="876"/>
      <c r="S440" s="876"/>
      <c r="T440" s="876"/>
      <c r="U440" s="876"/>
      <c r="V440" s="876"/>
      <c r="W440" s="876"/>
      <c r="X440" s="876"/>
      <c r="Y440" s="876"/>
      <c r="Z440" s="876"/>
      <c r="AA440" s="876"/>
      <c r="AB440" s="876"/>
      <c r="AC440" s="876"/>
      <c r="AD440" s="876"/>
      <c r="AE440" s="876"/>
      <c r="AF440" s="876"/>
      <c r="AG440" s="876"/>
      <c r="AH440" s="876"/>
      <c r="AI440" s="878"/>
      <c r="AJ440" s="880"/>
      <c r="AK440" s="880"/>
      <c r="AL440" s="880"/>
      <c r="AM440" s="880"/>
      <c r="AN440" s="880"/>
      <c r="AO440" s="880"/>
      <c r="AP440" s="880"/>
      <c r="AQ440" s="880"/>
      <c r="AR440" s="880"/>
      <c r="AS440" s="880"/>
      <c r="AT440" s="880"/>
      <c r="AU440" s="880"/>
      <c r="AV440" s="880"/>
      <c r="AW440" s="881"/>
      <c r="AX440" s="863"/>
      <c r="AY440" s="863"/>
      <c r="AZ440" s="863"/>
      <c r="BA440" s="863"/>
      <c r="BB440" s="863"/>
      <c r="BC440" s="863"/>
      <c r="BD440" s="863"/>
      <c r="BE440" s="863"/>
      <c r="BF440" s="863"/>
      <c r="BG440" s="863"/>
      <c r="BH440" s="863"/>
      <c r="BI440" s="863"/>
      <c r="BJ440" s="863"/>
      <c r="BK440" s="863"/>
      <c r="BL440" s="863"/>
      <c r="BM440" s="863"/>
      <c r="BN440" s="863"/>
      <c r="BO440" s="863"/>
      <c r="BP440" s="880"/>
      <c r="BQ440" s="863"/>
      <c r="BR440" s="883"/>
      <c r="BS440" s="883"/>
      <c r="BT440" s="883"/>
      <c r="BU440" s="883"/>
      <c r="BV440" s="883"/>
      <c r="BW440" s="883"/>
      <c r="BX440" s="883"/>
      <c r="BY440" s="883"/>
      <c r="BZ440" s="883"/>
      <c r="CA440" s="883"/>
      <c r="CB440" s="883"/>
      <c r="CC440" s="883"/>
      <c r="CD440" s="884"/>
      <c r="CE440" s="883"/>
      <c r="CF440" s="883"/>
      <c r="CG440" s="883"/>
      <c r="CH440" s="883"/>
      <c r="CI440" s="883"/>
      <c r="CJ440" s="883"/>
      <c r="CK440" s="883"/>
      <c r="CL440" s="883"/>
      <c r="CM440" s="883"/>
      <c r="CN440" s="883"/>
      <c r="CO440" s="883"/>
      <c r="CP440" s="883"/>
      <c r="CQ440" s="883"/>
      <c r="CR440" s="883"/>
      <c r="CS440" s="883"/>
      <c r="CT440" s="883"/>
      <c r="CU440" s="883"/>
      <c r="CV440" s="863"/>
      <c r="CW440" s="863"/>
      <c r="CX440" s="863"/>
      <c r="CY440" s="863"/>
      <c r="CZ440" s="863"/>
      <c r="DA440" s="863"/>
      <c r="DB440" s="863"/>
      <c r="DC440" s="863"/>
      <c r="DD440" s="863"/>
      <c r="DE440" s="863"/>
    </row>
    <row r="441">
      <c r="A441" s="876"/>
      <c r="B441" s="876"/>
      <c r="C441" s="876"/>
      <c r="D441" s="876"/>
      <c r="E441" s="876"/>
      <c r="F441" s="876"/>
      <c r="G441" s="876"/>
      <c r="H441" s="876"/>
      <c r="I441" s="876"/>
      <c r="J441" s="876"/>
      <c r="K441" s="876"/>
      <c r="L441" s="876"/>
      <c r="M441" s="876"/>
      <c r="N441" s="877"/>
      <c r="O441" s="876"/>
      <c r="P441" s="876"/>
      <c r="Q441" s="876"/>
      <c r="R441" s="876"/>
      <c r="S441" s="876"/>
      <c r="T441" s="876"/>
      <c r="U441" s="876"/>
      <c r="V441" s="876"/>
      <c r="W441" s="876"/>
      <c r="X441" s="876"/>
      <c r="Y441" s="876"/>
      <c r="Z441" s="876"/>
      <c r="AA441" s="876"/>
      <c r="AB441" s="876"/>
      <c r="AC441" s="876"/>
      <c r="AD441" s="876"/>
      <c r="AE441" s="876"/>
      <c r="AF441" s="876"/>
      <c r="AG441" s="876"/>
      <c r="AH441" s="876"/>
      <c r="AI441" s="878"/>
      <c r="AJ441" s="880"/>
      <c r="AK441" s="880"/>
      <c r="AL441" s="880"/>
      <c r="AM441" s="880"/>
      <c r="AN441" s="880"/>
      <c r="AO441" s="880"/>
      <c r="AP441" s="880"/>
      <c r="AQ441" s="880"/>
      <c r="AR441" s="880"/>
      <c r="AS441" s="880"/>
      <c r="AT441" s="880"/>
      <c r="AU441" s="880"/>
      <c r="AV441" s="880"/>
      <c r="AW441" s="881"/>
      <c r="AX441" s="863"/>
      <c r="AY441" s="863"/>
      <c r="AZ441" s="863"/>
      <c r="BA441" s="863"/>
      <c r="BB441" s="863"/>
      <c r="BC441" s="863"/>
      <c r="BD441" s="863"/>
      <c r="BE441" s="863"/>
      <c r="BF441" s="863"/>
      <c r="BG441" s="863"/>
      <c r="BH441" s="863"/>
      <c r="BI441" s="863"/>
      <c r="BJ441" s="863"/>
      <c r="BK441" s="863"/>
      <c r="BL441" s="863"/>
      <c r="BM441" s="863"/>
      <c r="BN441" s="863"/>
      <c r="BO441" s="863"/>
      <c r="BP441" s="880"/>
      <c r="BQ441" s="863"/>
      <c r="BR441" s="883"/>
      <c r="BS441" s="883"/>
      <c r="BT441" s="883"/>
      <c r="BU441" s="883"/>
      <c r="BV441" s="883"/>
      <c r="BW441" s="883"/>
      <c r="BX441" s="883"/>
      <c r="BY441" s="883"/>
      <c r="BZ441" s="883"/>
      <c r="CA441" s="883"/>
      <c r="CB441" s="883"/>
      <c r="CC441" s="883"/>
      <c r="CD441" s="884"/>
      <c r="CE441" s="883"/>
      <c r="CF441" s="883"/>
      <c r="CG441" s="883"/>
      <c r="CH441" s="883"/>
      <c r="CI441" s="883"/>
      <c r="CJ441" s="883"/>
      <c r="CK441" s="883"/>
      <c r="CL441" s="883"/>
      <c r="CM441" s="883"/>
      <c r="CN441" s="883"/>
      <c r="CO441" s="883"/>
      <c r="CP441" s="883"/>
      <c r="CQ441" s="883"/>
      <c r="CR441" s="883"/>
      <c r="CS441" s="883"/>
      <c r="CT441" s="883"/>
      <c r="CU441" s="883"/>
      <c r="CV441" s="863"/>
      <c r="CW441" s="863"/>
      <c r="CX441" s="863"/>
      <c r="CY441" s="863"/>
      <c r="CZ441" s="863"/>
      <c r="DA441" s="863"/>
      <c r="DB441" s="863"/>
      <c r="DC441" s="863"/>
      <c r="DD441" s="863"/>
      <c r="DE441" s="863"/>
    </row>
    <row r="442">
      <c r="A442" s="876"/>
      <c r="B442" s="876"/>
      <c r="C442" s="876"/>
      <c r="D442" s="876"/>
      <c r="E442" s="876"/>
      <c r="F442" s="876"/>
      <c r="G442" s="876"/>
      <c r="H442" s="876"/>
      <c r="I442" s="876"/>
      <c r="J442" s="876"/>
      <c r="K442" s="876"/>
      <c r="L442" s="876"/>
      <c r="M442" s="876"/>
      <c r="N442" s="877"/>
      <c r="O442" s="876"/>
      <c r="P442" s="876"/>
      <c r="Q442" s="876"/>
      <c r="R442" s="876"/>
      <c r="S442" s="876"/>
      <c r="T442" s="876"/>
      <c r="U442" s="876"/>
      <c r="V442" s="876"/>
      <c r="W442" s="876"/>
      <c r="X442" s="876"/>
      <c r="Y442" s="876"/>
      <c r="Z442" s="876"/>
      <c r="AA442" s="876"/>
      <c r="AB442" s="876"/>
      <c r="AC442" s="876"/>
      <c r="AD442" s="876"/>
      <c r="AE442" s="876"/>
      <c r="AF442" s="876"/>
      <c r="AG442" s="876"/>
      <c r="AH442" s="876"/>
      <c r="AI442" s="878"/>
      <c r="AJ442" s="880"/>
      <c r="AK442" s="880"/>
      <c r="AL442" s="880"/>
      <c r="AM442" s="880"/>
      <c r="AN442" s="880"/>
      <c r="AO442" s="880"/>
      <c r="AP442" s="880"/>
      <c r="AQ442" s="880"/>
      <c r="AR442" s="880"/>
      <c r="AS442" s="880"/>
      <c r="AT442" s="880"/>
      <c r="AU442" s="880"/>
      <c r="AV442" s="880"/>
      <c r="AW442" s="881"/>
      <c r="AX442" s="863"/>
      <c r="AY442" s="863"/>
      <c r="AZ442" s="863"/>
      <c r="BA442" s="863"/>
      <c r="BB442" s="863"/>
      <c r="BC442" s="863"/>
      <c r="BD442" s="863"/>
      <c r="BE442" s="863"/>
      <c r="BF442" s="863"/>
      <c r="BG442" s="863"/>
      <c r="BH442" s="863"/>
      <c r="BI442" s="863"/>
      <c r="BJ442" s="863"/>
      <c r="BK442" s="863"/>
      <c r="BL442" s="863"/>
      <c r="BM442" s="863"/>
      <c r="BN442" s="863"/>
      <c r="BO442" s="863"/>
      <c r="BP442" s="880"/>
      <c r="BQ442" s="863"/>
      <c r="BR442" s="883"/>
      <c r="BS442" s="883"/>
      <c r="BT442" s="883"/>
      <c r="BU442" s="883"/>
      <c r="BV442" s="883"/>
      <c r="BW442" s="883"/>
      <c r="BX442" s="883"/>
      <c r="BY442" s="883"/>
      <c r="BZ442" s="883"/>
      <c r="CA442" s="883"/>
      <c r="CB442" s="883"/>
      <c r="CC442" s="883"/>
      <c r="CD442" s="884"/>
      <c r="CE442" s="883"/>
      <c r="CF442" s="883"/>
      <c r="CG442" s="883"/>
      <c r="CH442" s="883"/>
      <c r="CI442" s="883"/>
      <c r="CJ442" s="883"/>
      <c r="CK442" s="883"/>
      <c r="CL442" s="883"/>
      <c r="CM442" s="883"/>
      <c r="CN442" s="883"/>
      <c r="CO442" s="883"/>
      <c r="CP442" s="883"/>
      <c r="CQ442" s="883"/>
      <c r="CR442" s="883"/>
      <c r="CS442" s="883"/>
      <c r="CT442" s="883"/>
      <c r="CU442" s="883"/>
      <c r="CV442" s="863"/>
      <c r="CW442" s="863"/>
      <c r="CX442" s="863"/>
      <c r="CY442" s="863"/>
      <c r="CZ442" s="863"/>
      <c r="DA442" s="863"/>
      <c r="DB442" s="863"/>
      <c r="DC442" s="863"/>
      <c r="DD442" s="863"/>
      <c r="DE442" s="863"/>
    </row>
    <row r="443">
      <c r="A443" s="876"/>
      <c r="B443" s="876"/>
      <c r="C443" s="876"/>
      <c r="D443" s="876"/>
      <c r="E443" s="876"/>
      <c r="F443" s="876"/>
      <c r="G443" s="876"/>
      <c r="H443" s="876"/>
      <c r="I443" s="876"/>
      <c r="J443" s="876"/>
      <c r="K443" s="876"/>
      <c r="L443" s="876"/>
      <c r="M443" s="876"/>
      <c r="N443" s="877"/>
      <c r="O443" s="876"/>
      <c r="P443" s="876"/>
      <c r="Q443" s="876"/>
      <c r="R443" s="876"/>
      <c r="S443" s="876"/>
      <c r="T443" s="876"/>
      <c r="U443" s="876"/>
      <c r="V443" s="876"/>
      <c r="W443" s="876"/>
      <c r="X443" s="876"/>
      <c r="Y443" s="876"/>
      <c r="Z443" s="876"/>
      <c r="AA443" s="876"/>
      <c r="AB443" s="876"/>
      <c r="AC443" s="876"/>
      <c r="AD443" s="876"/>
      <c r="AE443" s="876"/>
      <c r="AF443" s="876"/>
      <c r="AG443" s="876"/>
      <c r="AH443" s="876"/>
      <c r="AI443" s="878"/>
      <c r="AJ443" s="880"/>
      <c r="AK443" s="880"/>
      <c r="AL443" s="880"/>
      <c r="AM443" s="880"/>
      <c r="AN443" s="880"/>
      <c r="AO443" s="880"/>
      <c r="AP443" s="880"/>
      <c r="AQ443" s="880"/>
      <c r="AR443" s="880"/>
      <c r="AS443" s="880"/>
      <c r="AT443" s="880"/>
      <c r="AU443" s="880"/>
      <c r="AV443" s="880"/>
      <c r="AW443" s="881"/>
      <c r="AX443" s="863"/>
      <c r="AY443" s="863"/>
      <c r="AZ443" s="863"/>
      <c r="BA443" s="863"/>
      <c r="BB443" s="863"/>
      <c r="BC443" s="863"/>
      <c r="BD443" s="863"/>
      <c r="BE443" s="863"/>
      <c r="BF443" s="863"/>
      <c r="BG443" s="863"/>
      <c r="BH443" s="863"/>
      <c r="BI443" s="863"/>
      <c r="BJ443" s="863"/>
      <c r="BK443" s="863"/>
      <c r="BL443" s="863"/>
      <c r="BM443" s="863"/>
      <c r="BN443" s="863"/>
      <c r="BO443" s="863"/>
      <c r="BP443" s="880"/>
      <c r="BQ443" s="863"/>
      <c r="BR443" s="883"/>
      <c r="BS443" s="883"/>
      <c r="BT443" s="883"/>
      <c r="BU443" s="883"/>
      <c r="BV443" s="883"/>
      <c r="BW443" s="883"/>
      <c r="BX443" s="883"/>
      <c r="BY443" s="883"/>
      <c r="BZ443" s="883"/>
      <c r="CA443" s="883"/>
      <c r="CB443" s="883"/>
      <c r="CC443" s="883"/>
      <c r="CD443" s="884"/>
      <c r="CE443" s="883"/>
      <c r="CF443" s="883"/>
      <c r="CG443" s="883"/>
      <c r="CH443" s="883"/>
      <c r="CI443" s="883"/>
      <c r="CJ443" s="883"/>
      <c r="CK443" s="883"/>
      <c r="CL443" s="883"/>
      <c r="CM443" s="883"/>
      <c r="CN443" s="883"/>
      <c r="CO443" s="883"/>
      <c r="CP443" s="883"/>
      <c r="CQ443" s="883"/>
      <c r="CR443" s="883"/>
      <c r="CS443" s="883"/>
      <c r="CT443" s="883"/>
      <c r="CU443" s="883"/>
      <c r="CV443" s="863"/>
      <c r="CW443" s="863"/>
      <c r="CX443" s="863"/>
      <c r="CY443" s="863"/>
      <c r="CZ443" s="863"/>
      <c r="DA443" s="863"/>
      <c r="DB443" s="863"/>
      <c r="DC443" s="863"/>
      <c r="DD443" s="863"/>
      <c r="DE443" s="863"/>
    </row>
    <row r="444">
      <c r="A444" s="876"/>
      <c r="B444" s="876"/>
      <c r="C444" s="876"/>
      <c r="D444" s="876"/>
      <c r="E444" s="876"/>
      <c r="F444" s="876"/>
      <c r="G444" s="876"/>
      <c r="H444" s="876"/>
      <c r="I444" s="876"/>
      <c r="J444" s="876"/>
      <c r="K444" s="876"/>
      <c r="L444" s="876"/>
      <c r="M444" s="876"/>
      <c r="N444" s="877"/>
      <c r="O444" s="876"/>
      <c r="P444" s="876"/>
      <c r="Q444" s="876"/>
      <c r="R444" s="876"/>
      <c r="S444" s="876"/>
      <c r="T444" s="876"/>
      <c r="U444" s="876"/>
      <c r="V444" s="876"/>
      <c r="W444" s="876"/>
      <c r="X444" s="876"/>
      <c r="Y444" s="876"/>
      <c r="Z444" s="876"/>
      <c r="AA444" s="876"/>
      <c r="AB444" s="876"/>
      <c r="AC444" s="876"/>
      <c r="AD444" s="876"/>
      <c r="AE444" s="876"/>
      <c r="AF444" s="876"/>
      <c r="AG444" s="876"/>
      <c r="AH444" s="876"/>
      <c r="AI444" s="878"/>
      <c r="AJ444" s="880"/>
      <c r="AK444" s="880"/>
      <c r="AL444" s="880"/>
      <c r="AM444" s="880"/>
      <c r="AN444" s="880"/>
      <c r="AO444" s="880"/>
      <c r="AP444" s="880"/>
      <c r="AQ444" s="880"/>
      <c r="AR444" s="880"/>
      <c r="AS444" s="880"/>
      <c r="AT444" s="880"/>
      <c r="AU444" s="880"/>
      <c r="AV444" s="880"/>
      <c r="AW444" s="881"/>
      <c r="AX444" s="863"/>
      <c r="AY444" s="863"/>
      <c r="AZ444" s="863"/>
      <c r="BA444" s="863"/>
      <c r="BB444" s="863"/>
      <c r="BC444" s="863"/>
      <c r="BD444" s="863"/>
      <c r="BE444" s="863"/>
      <c r="BF444" s="863"/>
      <c r="BG444" s="863"/>
      <c r="BH444" s="863"/>
      <c r="BI444" s="863"/>
      <c r="BJ444" s="863"/>
      <c r="BK444" s="863"/>
      <c r="BL444" s="863"/>
      <c r="BM444" s="863"/>
      <c r="BN444" s="863"/>
      <c r="BO444" s="863"/>
      <c r="BP444" s="880"/>
      <c r="BQ444" s="863"/>
      <c r="BR444" s="883"/>
      <c r="BS444" s="883"/>
      <c r="BT444" s="883"/>
      <c r="BU444" s="883"/>
      <c r="BV444" s="883"/>
      <c r="BW444" s="883"/>
      <c r="BX444" s="883"/>
      <c r="BY444" s="883"/>
      <c r="BZ444" s="883"/>
      <c r="CA444" s="883"/>
      <c r="CB444" s="883"/>
      <c r="CC444" s="883"/>
      <c r="CD444" s="884"/>
      <c r="CE444" s="883"/>
      <c r="CF444" s="883"/>
      <c r="CG444" s="883"/>
      <c r="CH444" s="883"/>
      <c r="CI444" s="883"/>
      <c r="CJ444" s="883"/>
      <c r="CK444" s="883"/>
      <c r="CL444" s="883"/>
      <c r="CM444" s="883"/>
      <c r="CN444" s="883"/>
      <c r="CO444" s="883"/>
      <c r="CP444" s="883"/>
      <c r="CQ444" s="883"/>
      <c r="CR444" s="883"/>
      <c r="CS444" s="883"/>
      <c r="CT444" s="883"/>
      <c r="CU444" s="883"/>
      <c r="CV444" s="863"/>
      <c r="CW444" s="863"/>
      <c r="CX444" s="863"/>
      <c r="CY444" s="863"/>
      <c r="CZ444" s="863"/>
      <c r="DA444" s="863"/>
      <c r="DB444" s="863"/>
      <c r="DC444" s="863"/>
      <c r="DD444" s="863"/>
      <c r="DE444" s="863"/>
    </row>
    <row r="445">
      <c r="A445" s="876"/>
      <c r="B445" s="876"/>
      <c r="C445" s="876"/>
      <c r="D445" s="876"/>
      <c r="E445" s="876"/>
      <c r="F445" s="876"/>
      <c r="G445" s="876"/>
      <c r="H445" s="876"/>
      <c r="I445" s="876"/>
      <c r="J445" s="876"/>
      <c r="K445" s="876"/>
      <c r="L445" s="876"/>
      <c r="M445" s="876"/>
      <c r="N445" s="877"/>
      <c r="O445" s="876"/>
      <c r="P445" s="876"/>
      <c r="Q445" s="876"/>
      <c r="R445" s="876"/>
      <c r="S445" s="876"/>
      <c r="T445" s="876"/>
      <c r="U445" s="876"/>
      <c r="V445" s="876"/>
      <c r="W445" s="876"/>
      <c r="X445" s="876"/>
      <c r="Y445" s="876"/>
      <c r="Z445" s="876"/>
      <c r="AA445" s="876"/>
      <c r="AB445" s="876"/>
      <c r="AC445" s="876"/>
      <c r="AD445" s="876"/>
      <c r="AE445" s="876"/>
      <c r="AF445" s="876"/>
      <c r="AG445" s="876"/>
      <c r="AH445" s="876"/>
      <c r="AI445" s="878"/>
      <c r="AJ445" s="880"/>
      <c r="AK445" s="880"/>
      <c r="AL445" s="880"/>
      <c r="AM445" s="880"/>
      <c r="AN445" s="880"/>
      <c r="AO445" s="880"/>
      <c r="AP445" s="880"/>
      <c r="AQ445" s="880"/>
      <c r="AR445" s="880"/>
      <c r="AS445" s="880"/>
      <c r="AT445" s="880"/>
      <c r="AU445" s="880"/>
      <c r="AV445" s="880"/>
      <c r="AW445" s="881"/>
      <c r="AX445" s="863"/>
      <c r="AY445" s="863"/>
      <c r="AZ445" s="863"/>
      <c r="BA445" s="863"/>
      <c r="BB445" s="863"/>
      <c r="BC445" s="863"/>
      <c r="BD445" s="863"/>
      <c r="BE445" s="863"/>
      <c r="BF445" s="863"/>
      <c r="BG445" s="863"/>
      <c r="BH445" s="863"/>
      <c r="BI445" s="863"/>
      <c r="BJ445" s="863"/>
      <c r="BK445" s="863"/>
      <c r="BL445" s="863"/>
      <c r="BM445" s="863"/>
      <c r="BN445" s="863"/>
      <c r="BO445" s="863"/>
      <c r="BP445" s="880"/>
      <c r="BQ445" s="863"/>
      <c r="BR445" s="883"/>
      <c r="BS445" s="883"/>
      <c r="BT445" s="883"/>
      <c r="BU445" s="883"/>
      <c r="BV445" s="883"/>
      <c r="BW445" s="883"/>
      <c r="BX445" s="883"/>
      <c r="BY445" s="883"/>
      <c r="BZ445" s="883"/>
      <c r="CA445" s="883"/>
      <c r="CB445" s="883"/>
      <c r="CC445" s="883"/>
      <c r="CD445" s="884"/>
      <c r="CE445" s="883"/>
      <c r="CF445" s="883"/>
      <c r="CG445" s="883"/>
      <c r="CH445" s="883"/>
      <c r="CI445" s="883"/>
      <c r="CJ445" s="883"/>
      <c r="CK445" s="883"/>
      <c r="CL445" s="883"/>
      <c r="CM445" s="883"/>
      <c r="CN445" s="883"/>
      <c r="CO445" s="883"/>
      <c r="CP445" s="883"/>
      <c r="CQ445" s="883"/>
      <c r="CR445" s="883"/>
      <c r="CS445" s="883"/>
      <c r="CT445" s="883"/>
      <c r="CU445" s="883"/>
      <c r="CV445" s="863"/>
      <c r="CW445" s="863"/>
      <c r="CX445" s="863"/>
      <c r="CY445" s="863"/>
      <c r="CZ445" s="863"/>
      <c r="DA445" s="863"/>
      <c r="DB445" s="863"/>
      <c r="DC445" s="863"/>
      <c r="DD445" s="863"/>
      <c r="DE445" s="863"/>
    </row>
    <row r="446">
      <c r="A446" s="876"/>
      <c r="B446" s="876"/>
      <c r="C446" s="876"/>
      <c r="D446" s="876"/>
      <c r="E446" s="876"/>
      <c r="F446" s="876"/>
      <c r="G446" s="876"/>
      <c r="H446" s="876"/>
      <c r="I446" s="876"/>
      <c r="J446" s="876"/>
      <c r="K446" s="876"/>
      <c r="L446" s="876"/>
      <c r="M446" s="876"/>
      <c r="N446" s="877"/>
      <c r="O446" s="876"/>
      <c r="P446" s="876"/>
      <c r="Q446" s="876"/>
      <c r="R446" s="876"/>
      <c r="S446" s="876"/>
      <c r="T446" s="876"/>
      <c r="U446" s="876"/>
      <c r="V446" s="876"/>
      <c r="W446" s="876"/>
      <c r="X446" s="876"/>
      <c r="Y446" s="876"/>
      <c r="Z446" s="876"/>
      <c r="AA446" s="876"/>
      <c r="AB446" s="876"/>
      <c r="AC446" s="876"/>
      <c r="AD446" s="876"/>
      <c r="AE446" s="876"/>
      <c r="AF446" s="876"/>
      <c r="AG446" s="876"/>
      <c r="AH446" s="876"/>
      <c r="AI446" s="878"/>
      <c r="AJ446" s="880"/>
      <c r="AK446" s="880"/>
      <c r="AL446" s="880"/>
      <c r="AM446" s="880"/>
      <c r="AN446" s="880"/>
      <c r="AO446" s="880"/>
      <c r="AP446" s="880"/>
      <c r="AQ446" s="880"/>
      <c r="AR446" s="880"/>
      <c r="AS446" s="880"/>
      <c r="AT446" s="880"/>
      <c r="AU446" s="880"/>
      <c r="AV446" s="880"/>
      <c r="AW446" s="881"/>
      <c r="AX446" s="863"/>
      <c r="AY446" s="863"/>
      <c r="AZ446" s="863"/>
      <c r="BA446" s="863"/>
      <c r="BB446" s="863"/>
      <c r="BC446" s="863"/>
      <c r="BD446" s="863"/>
      <c r="BE446" s="863"/>
      <c r="BF446" s="863"/>
      <c r="BG446" s="863"/>
      <c r="BH446" s="863"/>
      <c r="BI446" s="863"/>
      <c r="BJ446" s="863"/>
      <c r="BK446" s="863"/>
      <c r="BL446" s="863"/>
      <c r="BM446" s="863"/>
      <c r="BN446" s="863"/>
      <c r="BO446" s="863"/>
      <c r="BP446" s="880"/>
      <c r="BQ446" s="863"/>
      <c r="BR446" s="883"/>
      <c r="BS446" s="883"/>
      <c r="BT446" s="883"/>
      <c r="BU446" s="883"/>
      <c r="BV446" s="883"/>
      <c r="BW446" s="883"/>
      <c r="BX446" s="883"/>
      <c r="BY446" s="883"/>
      <c r="BZ446" s="883"/>
      <c r="CA446" s="883"/>
      <c r="CB446" s="883"/>
      <c r="CC446" s="883"/>
      <c r="CD446" s="884"/>
      <c r="CE446" s="883"/>
      <c r="CF446" s="883"/>
      <c r="CG446" s="883"/>
      <c r="CH446" s="883"/>
      <c r="CI446" s="883"/>
      <c r="CJ446" s="883"/>
      <c r="CK446" s="883"/>
      <c r="CL446" s="883"/>
      <c r="CM446" s="883"/>
      <c r="CN446" s="883"/>
      <c r="CO446" s="883"/>
      <c r="CP446" s="883"/>
      <c r="CQ446" s="883"/>
      <c r="CR446" s="883"/>
      <c r="CS446" s="883"/>
      <c r="CT446" s="883"/>
      <c r="CU446" s="883"/>
      <c r="CV446" s="863"/>
      <c r="CW446" s="863"/>
      <c r="CX446" s="863"/>
      <c r="CY446" s="863"/>
      <c r="CZ446" s="863"/>
      <c r="DA446" s="863"/>
      <c r="DB446" s="863"/>
      <c r="DC446" s="863"/>
      <c r="DD446" s="863"/>
      <c r="DE446" s="863"/>
    </row>
    <row r="447">
      <c r="A447" s="876"/>
      <c r="B447" s="876"/>
      <c r="C447" s="876"/>
      <c r="D447" s="876"/>
      <c r="E447" s="876"/>
      <c r="F447" s="876"/>
      <c r="G447" s="876"/>
      <c r="H447" s="876"/>
      <c r="I447" s="876"/>
      <c r="J447" s="876"/>
      <c r="K447" s="876"/>
      <c r="L447" s="876"/>
      <c r="M447" s="876"/>
      <c r="N447" s="877"/>
      <c r="O447" s="876"/>
      <c r="P447" s="876"/>
      <c r="Q447" s="876"/>
      <c r="R447" s="876"/>
      <c r="S447" s="876"/>
      <c r="T447" s="876"/>
      <c r="U447" s="876"/>
      <c r="V447" s="876"/>
      <c r="W447" s="876"/>
      <c r="X447" s="876"/>
      <c r="Y447" s="876"/>
      <c r="Z447" s="876"/>
      <c r="AA447" s="876"/>
      <c r="AB447" s="876"/>
      <c r="AC447" s="876"/>
      <c r="AD447" s="876"/>
      <c r="AE447" s="876"/>
      <c r="AF447" s="876"/>
      <c r="AG447" s="876"/>
      <c r="AH447" s="876"/>
      <c r="AI447" s="878"/>
      <c r="AJ447" s="880"/>
      <c r="AK447" s="880"/>
      <c r="AL447" s="880"/>
      <c r="AM447" s="880"/>
      <c r="AN447" s="880"/>
      <c r="AO447" s="880"/>
      <c r="AP447" s="880"/>
      <c r="AQ447" s="880"/>
      <c r="AR447" s="880"/>
      <c r="AS447" s="880"/>
      <c r="AT447" s="880"/>
      <c r="AU447" s="880"/>
      <c r="AV447" s="880"/>
      <c r="AW447" s="881"/>
      <c r="AX447" s="863"/>
      <c r="AY447" s="863"/>
      <c r="AZ447" s="863"/>
      <c r="BA447" s="863"/>
      <c r="BB447" s="863"/>
      <c r="BC447" s="863"/>
      <c r="BD447" s="863"/>
      <c r="BE447" s="863"/>
      <c r="BF447" s="863"/>
      <c r="BG447" s="863"/>
      <c r="BH447" s="863"/>
      <c r="BI447" s="863"/>
      <c r="BJ447" s="863"/>
      <c r="BK447" s="863"/>
      <c r="BL447" s="863"/>
      <c r="BM447" s="863"/>
      <c r="BN447" s="863"/>
      <c r="BO447" s="863"/>
      <c r="BP447" s="880"/>
      <c r="BQ447" s="863"/>
      <c r="BR447" s="883"/>
      <c r="BS447" s="883"/>
      <c r="BT447" s="883"/>
      <c r="BU447" s="883"/>
      <c r="BV447" s="883"/>
      <c r="BW447" s="883"/>
      <c r="BX447" s="883"/>
      <c r="BY447" s="883"/>
      <c r="BZ447" s="883"/>
      <c r="CA447" s="883"/>
      <c r="CB447" s="883"/>
      <c r="CC447" s="883"/>
      <c r="CD447" s="884"/>
      <c r="CE447" s="883"/>
      <c r="CF447" s="883"/>
      <c r="CG447" s="883"/>
      <c r="CH447" s="883"/>
      <c r="CI447" s="883"/>
      <c r="CJ447" s="883"/>
      <c r="CK447" s="883"/>
      <c r="CL447" s="883"/>
      <c r="CM447" s="883"/>
      <c r="CN447" s="883"/>
      <c r="CO447" s="883"/>
      <c r="CP447" s="883"/>
      <c r="CQ447" s="883"/>
      <c r="CR447" s="883"/>
      <c r="CS447" s="883"/>
      <c r="CT447" s="883"/>
      <c r="CU447" s="883"/>
      <c r="CV447" s="863"/>
      <c r="CW447" s="863"/>
      <c r="CX447" s="863"/>
      <c r="CY447" s="863"/>
      <c r="CZ447" s="863"/>
      <c r="DA447" s="863"/>
      <c r="DB447" s="863"/>
      <c r="DC447" s="863"/>
      <c r="DD447" s="863"/>
      <c r="DE447" s="863"/>
    </row>
    <row r="448">
      <c r="A448" s="876"/>
      <c r="B448" s="876"/>
      <c r="C448" s="876"/>
      <c r="D448" s="876"/>
      <c r="E448" s="876"/>
      <c r="F448" s="876"/>
      <c r="G448" s="876"/>
      <c r="H448" s="876"/>
      <c r="I448" s="876"/>
      <c r="J448" s="876"/>
      <c r="K448" s="876"/>
      <c r="L448" s="876"/>
      <c r="M448" s="876"/>
      <c r="N448" s="877"/>
      <c r="O448" s="876"/>
      <c r="P448" s="876"/>
      <c r="Q448" s="876"/>
      <c r="R448" s="876"/>
      <c r="S448" s="876"/>
      <c r="T448" s="876"/>
      <c r="U448" s="876"/>
      <c r="V448" s="876"/>
      <c r="W448" s="876"/>
      <c r="X448" s="876"/>
      <c r="Y448" s="876"/>
      <c r="Z448" s="876"/>
      <c r="AA448" s="876"/>
      <c r="AB448" s="876"/>
      <c r="AC448" s="876"/>
      <c r="AD448" s="876"/>
      <c r="AE448" s="876"/>
      <c r="AF448" s="876"/>
      <c r="AG448" s="876"/>
      <c r="AH448" s="876"/>
      <c r="AI448" s="878"/>
      <c r="AJ448" s="880"/>
      <c r="AK448" s="880"/>
      <c r="AL448" s="880"/>
      <c r="AM448" s="880"/>
      <c r="AN448" s="880"/>
      <c r="AO448" s="880"/>
      <c r="AP448" s="880"/>
      <c r="AQ448" s="880"/>
      <c r="AR448" s="880"/>
      <c r="AS448" s="880"/>
      <c r="AT448" s="880"/>
      <c r="AU448" s="880"/>
      <c r="AV448" s="880"/>
      <c r="AW448" s="881"/>
      <c r="AX448" s="863"/>
      <c r="AY448" s="863"/>
      <c r="AZ448" s="863"/>
      <c r="BA448" s="863"/>
      <c r="BB448" s="863"/>
      <c r="BC448" s="863"/>
      <c r="BD448" s="863"/>
      <c r="BE448" s="863"/>
      <c r="BF448" s="863"/>
      <c r="BG448" s="863"/>
      <c r="BH448" s="863"/>
      <c r="BI448" s="863"/>
      <c r="BJ448" s="863"/>
      <c r="BK448" s="863"/>
      <c r="BL448" s="863"/>
      <c r="BM448" s="863"/>
      <c r="BN448" s="863"/>
      <c r="BO448" s="863"/>
      <c r="BP448" s="880"/>
      <c r="BQ448" s="863"/>
      <c r="BR448" s="883"/>
      <c r="BS448" s="883"/>
      <c r="BT448" s="883"/>
      <c r="BU448" s="883"/>
      <c r="BV448" s="883"/>
      <c r="BW448" s="883"/>
      <c r="BX448" s="883"/>
      <c r="BY448" s="883"/>
      <c r="BZ448" s="883"/>
      <c r="CA448" s="883"/>
      <c r="CB448" s="883"/>
      <c r="CC448" s="883"/>
      <c r="CD448" s="884"/>
      <c r="CE448" s="883"/>
      <c r="CF448" s="883"/>
      <c r="CG448" s="883"/>
      <c r="CH448" s="883"/>
      <c r="CI448" s="883"/>
      <c r="CJ448" s="883"/>
      <c r="CK448" s="883"/>
      <c r="CL448" s="883"/>
      <c r="CM448" s="883"/>
      <c r="CN448" s="883"/>
      <c r="CO448" s="883"/>
      <c r="CP448" s="883"/>
      <c r="CQ448" s="883"/>
      <c r="CR448" s="883"/>
      <c r="CS448" s="883"/>
      <c r="CT448" s="883"/>
      <c r="CU448" s="883"/>
      <c r="CV448" s="863"/>
      <c r="CW448" s="863"/>
      <c r="CX448" s="863"/>
      <c r="CY448" s="863"/>
      <c r="CZ448" s="863"/>
      <c r="DA448" s="863"/>
      <c r="DB448" s="863"/>
      <c r="DC448" s="863"/>
      <c r="DD448" s="863"/>
      <c r="DE448" s="863"/>
    </row>
    <row r="449">
      <c r="A449" s="876"/>
      <c r="B449" s="876"/>
      <c r="C449" s="876"/>
      <c r="D449" s="876"/>
      <c r="E449" s="876"/>
      <c r="F449" s="876"/>
      <c r="G449" s="876"/>
      <c r="H449" s="876"/>
      <c r="I449" s="876"/>
      <c r="J449" s="876"/>
      <c r="K449" s="876"/>
      <c r="L449" s="876"/>
      <c r="M449" s="876"/>
      <c r="N449" s="877"/>
      <c r="O449" s="876"/>
      <c r="P449" s="876"/>
      <c r="Q449" s="876"/>
      <c r="R449" s="876"/>
      <c r="S449" s="876"/>
      <c r="T449" s="876"/>
      <c r="U449" s="876"/>
      <c r="V449" s="876"/>
      <c r="W449" s="876"/>
      <c r="X449" s="876"/>
      <c r="Y449" s="876"/>
      <c r="Z449" s="876"/>
      <c r="AA449" s="876"/>
      <c r="AB449" s="876"/>
      <c r="AC449" s="876"/>
      <c r="AD449" s="876"/>
      <c r="AE449" s="876"/>
      <c r="AF449" s="876"/>
      <c r="AG449" s="876"/>
      <c r="AH449" s="876"/>
      <c r="AI449" s="878"/>
      <c r="AJ449" s="880"/>
      <c r="AK449" s="880"/>
      <c r="AL449" s="880"/>
      <c r="AM449" s="880"/>
      <c r="AN449" s="880"/>
      <c r="AO449" s="880"/>
      <c r="AP449" s="880"/>
      <c r="AQ449" s="880"/>
      <c r="AR449" s="880"/>
      <c r="AS449" s="880"/>
      <c r="AT449" s="880"/>
      <c r="AU449" s="880"/>
      <c r="AV449" s="880"/>
      <c r="AW449" s="881"/>
      <c r="AX449" s="863"/>
      <c r="AY449" s="863"/>
      <c r="AZ449" s="863"/>
      <c r="BA449" s="863"/>
      <c r="BB449" s="863"/>
      <c r="BC449" s="863"/>
      <c r="BD449" s="863"/>
      <c r="BE449" s="863"/>
      <c r="BF449" s="863"/>
      <c r="BG449" s="863"/>
      <c r="BH449" s="863"/>
      <c r="BI449" s="863"/>
      <c r="BJ449" s="863"/>
      <c r="BK449" s="863"/>
      <c r="BL449" s="863"/>
      <c r="BM449" s="863"/>
      <c r="BN449" s="863"/>
      <c r="BO449" s="863"/>
      <c r="BP449" s="880"/>
      <c r="BQ449" s="863"/>
      <c r="BR449" s="883"/>
      <c r="BS449" s="883"/>
      <c r="BT449" s="883"/>
      <c r="BU449" s="883"/>
      <c r="BV449" s="883"/>
      <c r="BW449" s="883"/>
      <c r="BX449" s="883"/>
      <c r="BY449" s="883"/>
      <c r="BZ449" s="883"/>
      <c r="CA449" s="883"/>
      <c r="CB449" s="883"/>
      <c r="CC449" s="883"/>
      <c r="CD449" s="884"/>
      <c r="CE449" s="883"/>
      <c r="CF449" s="883"/>
      <c r="CG449" s="883"/>
      <c r="CH449" s="883"/>
      <c r="CI449" s="883"/>
      <c r="CJ449" s="883"/>
      <c r="CK449" s="883"/>
      <c r="CL449" s="883"/>
      <c r="CM449" s="883"/>
      <c r="CN449" s="883"/>
      <c r="CO449" s="883"/>
      <c r="CP449" s="883"/>
      <c r="CQ449" s="883"/>
      <c r="CR449" s="883"/>
      <c r="CS449" s="883"/>
      <c r="CT449" s="883"/>
      <c r="CU449" s="883"/>
      <c r="CV449" s="863"/>
      <c r="CW449" s="863"/>
      <c r="CX449" s="863"/>
      <c r="CY449" s="863"/>
      <c r="CZ449" s="863"/>
      <c r="DA449" s="863"/>
      <c r="DB449" s="863"/>
      <c r="DC449" s="863"/>
      <c r="DD449" s="863"/>
      <c r="DE449" s="863"/>
    </row>
    <row r="450">
      <c r="A450" s="876"/>
      <c r="B450" s="876"/>
      <c r="C450" s="876"/>
      <c r="D450" s="876"/>
      <c r="E450" s="876"/>
      <c r="F450" s="876"/>
      <c r="G450" s="876"/>
      <c r="H450" s="876"/>
      <c r="I450" s="876"/>
      <c r="J450" s="876"/>
      <c r="K450" s="876"/>
      <c r="L450" s="876"/>
      <c r="M450" s="876"/>
      <c r="N450" s="877"/>
      <c r="O450" s="876"/>
      <c r="P450" s="876"/>
      <c r="Q450" s="876"/>
      <c r="R450" s="876"/>
      <c r="S450" s="876"/>
      <c r="T450" s="876"/>
      <c r="U450" s="876"/>
      <c r="V450" s="876"/>
      <c r="W450" s="876"/>
      <c r="X450" s="876"/>
      <c r="Y450" s="876"/>
      <c r="Z450" s="876"/>
      <c r="AA450" s="876"/>
      <c r="AB450" s="876"/>
      <c r="AC450" s="876"/>
      <c r="AD450" s="876"/>
      <c r="AE450" s="876"/>
      <c r="AF450" s="876"/>
      <c r="AG450" s="876"/>
      <c r="AH450" s="876"/>
      <c r="AI450" s="878"/>
      <c r="AJ450" s="880"/>
      <c r="AK450" s="880"/>
      <c r="AL450" s="880"/>
      <c r="AM450" s="880"/>
      <c r="AN450" s="880"/>
      <c r="AO450" s="880"/>
      <c r="AP450" s="880"/>
      <c r="AQ450" s="880"/>
      <c r="AR450" s="880"/>
      <c r="AS450" s="880"/>
      <c r="AT450" s="880"/>
      <c r="AU450" s="880"/>
      <c r="AV450" s="880"/>
      <c r="AW450" s="881"/>
      <c r="AX450" s="863"/>
      <c r="AY450" s="863"/>
      <c r="AZ450" s="863"/>
      <c r="BA450" s="863"/>
      <c r="BB450" s="863"/>
      <c r="BC450" s="863"/>
      <c r="BD450" s="863"/>
      <c r="BE450" s="863"/>
      <c r="BF450" s="863"/>
      <c r="BG450" s="863"/>
      <c r="BH450" s="863"/>
      <c r="BI450" s="863"/>
      <c r="BJ450" s="863"/>
      <c r="BK450" s="863"/>
      <c r="BL450" s="863"/>
      <c r="BM450" s="863"/>
      <c r="BN450" s="863"/>
      <c r="BO450" s="863"/>
      <c r="BP450" s="880"/>
      <c r="BQ450" s="863"/>
      <c r="BR450" s="883"/>
      <c r="BS450" s="883"/>
      <c r="BT450" s="883"/>
      <c r="BU450" s="883"/>
      <c r="BV450" s="883"/>
      <c r="BW450" s="883"/>
      <c r="BX450" s="883"/>
      <c r="BY450" s="883"/>
      <c r="BZ450" s="883"/>
      <c r="CA450" s="883"/>
      <c r="CB450" s="883"/>
      <c r="CC450" s="883"/>
      <c r="CD450" s="884"/>
      <c r="CE450" s="883"/>
      <c r="CF450" s="883"/>
      <c r="CG450" s="883"/>
      <c r="CH450" s="883"/>
      <c r="CI450" s="883"/>
      <c r="CJ450" s="883"/>
      <c r="CK450" s="883"/>
      <c r="CL450" s="883"/>
      <c r="CM450" s="883"/>
      <c r="CN450" s="883"/>
      <c r="CO450" s="883"/>
      <c r="CP450" s="883"/>
      <c r="CQ450" s="883"/>
      <c r="CR450" s="883"/>
      <c r="CS450" s="883"/>
      <c r="CT450" s="883"/>
      <c r="CU450" s="883"/>
      <c r="CV450" s="863"/>
      <c r="CW450" s="863"/>
      <c r="CX450" s="863"/>
      <c r="CY450" s="863"/>
      <c r="CZ450" s="863"/>
      <c r="DA450" s="863"/>
      <c r="DB450" s="863"/>
      <c r="DC450" s="863"/>
      <c r="DD450" s="863"/>
      <c r="DE450" s="863"/>
    </row>
    <row r="451">
      <c r="A451" s="876"/>
      <c r="B451" s="876"/>
      <c r="C451" s="876"/>
      <c r="D451" s="876"/>
      <c r="E451" s="876"/>
      <c r="F451" s="876"/>
      <c r="G451" s="876"/>
      <c r="H451" s="876"/>
      <c r="I451" s="876"/>
      <c r="J451" s="876"/>
      <c r="K451" s="876"/>
      <c r="L451" s="876"/>
      <c r="M451" s="876"/>
      <c r="N451" s="877"/>
      <c r="O451" s="876"/>
      <c r="P451" s="876"/>
      <c r="Q451" s="876"/>
      <c r="R451" s="876"/>
      <c r="S451" s="876"/>
      <c r="T451" s="876"/>
      <c r="U451" s="876"/>
      <c r="V451" s="876"/>
      <c r="W451" s="876"/>
      <c r="X451" s="876"/>
      <c r="Y451" s="876"/>
      <c r="Z451" s="876"/>
      <c r="AA451" s="876"/>
      <c r="AB451" s="876"/>
      <c r="AC451" s="876"/>
      <c r="AD451" s="876"/>
      <c r="AE451" s="876"/>
      <c r="AF451" s="876"/>
      <c r="AG451" s="876"/>
      <c r="AH451" s="876"/>
      <c r="AI451" s="878"/>
      <c r="AJ451" s="880"/>
      <c r="AK451" s="880"/>
      <c r="AL451" s="880"/>
      <c r="AM451" s="880"/>
      <c r="AN451" s="880"/>
      <c r="AO451" s="880"/>
      <c r="AP451" s="880"/>
      <c r="AQ451" s="880"/>
      <c r="AR451" s="880"/>
      <c r="AS451" s="880"/>
      <c r="AT451" s="880"/>
      <c r="AU451" s="880"/>
      <c r="AV451" s="880"/>
      <c r="AW451" s="881"/>
      <c r="AX451" s="863"/>
      <c r="AY451" s="863"/>
      <c r="AZ451" s="863"/>
      <c r="BA451" s="863"/>
      <c r="BB451" s="863"/>
      <c r="BC451" s="863"/>
      <c r="BD451" s="863"/>
      <c r="BE451" s="863"/>
      <c r="BF451" s="863"/>
      <c r="BG451" s="863"/>
      <c r="BH451" s="863"/>
      <c r="BI451" s="863"/>
      <c r="BJ451" s="863"/>
      <c r="BK451" s="863"/>
      <c r="BL451" s="863"/>
      <c r="BM451" s="863"/>
      <c r="BN451" s="863"/>
      <c r="BO451" s="863"/>
      <c r="BP451" s="880"/>
      <c r="BQ451" s="863"/>
      <c r="BR451" s="883"/>
      <c r="BS451" s="883"/>
      <c r="BT451" s="883"/>
      <c r="BU451" s="883"/>
      <c r="BV451" s="883"/>
      <c r="BW451" s="883"/>
      <c r="BX451" s="883"/>
      <c r="BY451" s="883"/>
      <c r="BZ451" s="883"/>
      <c r="CA451" s="883"/>
      <c r="CB451" s="883"/>
      <c r="CC451" s="883"/>
      <c r="CD451" s="884"/>
      <c r="CE451" s="883"/>
      <c r="CF451" s="883"/>
      <c r="CG451" s="883"/>
      <c r="CH451" s="883"/>
      <c r="CI451" s="883"/>
      <c r="CJ451" s="883"/>
      <c r="CK451" s="883"/>
      <c r="CL451" s="883"/>
      <c r="CM451" s="883"/>
      <c r="CN451" s="883"/>
      <c r="CO451" s="883"/>
      <c r="CP451" s="883"/>
      <c r="CQ451" s="883"/>
      <c r="CR451" s="883"/>
      <c r="CS451" s="883"/>
      <c r="CT451" s="883"/>
      <c r="CU451" s="883"/>
      <c r="CV451" s="863"/>
      <c r="CW451" s="863"/>
      <c r="CX451" s="863"/>
      <c r="CY451" s="863"/>
      <c r="CZ451" s="863"/>
      <c r="DA451" s="863"/>
      <c r="DB451" s="863"/>
      <c r="DC451" s="863"/>
      <c r="DD451" s="863"/>
      <c r="DE451" s="863"/>
    </row>
    <row r="452">
      <c r="A452" s="876"/>
      <c r="B452" s="876"/>
      <c r="C452" s="876"/>
      <c r="D452" s="876"/>
      <c r="E452" s="876"/>
      <c r="F452" s="876"/>
      <c r="G452" s="876"/>
      <c r="H452" s="876"/>
      <c r="I452" s="876"/>
      <c r="J452" s="876"/>
      <c r="K452" s="876"/>
      <c r="L452" s="876"/>
      <c r="M452" s="876"/>
      <c r="N452" s="877"/>
      <c r="O452" s="876"/>
      <c r="P452" s="876"/>
      <c r="Q452" s="876"/>
      <c r="R452" s="876"/>
      <c r="S452" s="876"/>
      <c r="T452" s="876"/>
      <c r="U452" s="876"/>
      <c r="V452" s="876"/>
      <c r="W452" s="876"/>
      <c r="X452" s="876"/>
      <c r="Y452" s="876"/>
      <c r="Z452" s="876"/>
      <c r="AA452" s="876"/>
      <c r="AB452" s="876"/>
      <c r="AC452" s="876"/>
      <c r="AD452" s="876"/>
      <c r="AE452" s="876"/>
      <c r="AF452" s="876"/>
      <c r="AG452" s="876"/>
      <c r="AH452" s="876"/>
      <c r="AI452" s="878"/>
      <c r="AJ452" s="880"/>
      <c r="AK452" s="880"/>
      <c r="AL452" s="880"/>
      <c r="AM452" s="880"/>
      <c r="AN452" s="880"/>
      <c r="AO452" s="880"/>
      <c r="AP452" s="880"/>
      <c r="AQ452" s="880"/>
      <c r="AR452" s="880"/>
      <c r="AS452" s="880"/>
      <c r="AT452" s="880"/>
      <c r="AU452" s="880"/>
      <c r="AV452" s="880"/>
      <c r="AW452" s="881"/>
      <c r="AX452" s="863"/>
      <c r="AY452" s="863"/>
      <c r="AZ452" s="863"/>
      <c r="BA452" s="863"/>
      <c r="BB452" s="863"/>
      <c r="BC452" s="863"/>
      <c r="BD452" s="863"/>
      <c r="BE452" s="863"/>
      <c r="BF452" s="863"/>
      <c r="BG452" s="863"/>
      <c r="BH452" s="863"/>
      <c r="BI452" s="863"/>
      <c r="BJ452" s="863"/>
      <c r="BK452" s="863"/>
      <c r="BL452" s="863"/>
      <c r="BM452" s="863"/>
      <c r="BN452" s="863"/>
      <c r="BO452" s="863"/>
      <c r="BP452" s="880"/>
      <c r="BQ452" s="863"/>
      <c r="BR452" s="883"/>
      <c r="BS452" s="883"/>
      <c r="BT452" s="883"/>
      <c r="BU452" s="883"/>
      <c r="BV452" s="883"/>
      <c r="BW452" s="883"/>
      <c r="BX452" s="883"/>
      <c r="BY452" s="883"/>
      <c r="BZ452" s="883"/>
      <c r="CA452" s="883"/>
      <c r="CB452" s="883"/>
      <c r="CC452" s="883"/>
      <c r="CD452" s="884"/>
      <c r="CE452" s="883"/>
      <c r="CF452" s="883"/>
      <c r="CG452" s="883"/>
      <c r="CH452" s="883"/>
      <c r="CI452" s="883"/>
      <c r="CJ452" s="883"/>
      <c r="CK452" s="883"/>
      <c r="CL452" s="883"/>
      <c r="CM452" s="883"/>
      <c r="CN452" s="883"/>
      <c r="CO452" s="883"/>
      <c r="CP452" s="883"/>
      <c r="CQ452" s="883"/>
      <c r="CR452" s="883"/>
      <c r="CS452" s="883"/>
      <c r="CT452" s="883"/>
      <c r="CU452" s="883"/>
      <c r="CV452" s="863"/>
      <c r="CW452" s="863"/>
      <c r="CX452" s="863"/>
      <c r="CY452" s="863"/>
      <c r="CZ452" s="863"/>
      <c r="DA452" s="863"/>
      <c r="DB452" s="863"/>
      <c r="DC452" s="863"/>
      <c r="DD452" s="863"/>
      <c r="DE452" s="863"/>
    </row>
    <row r="453">
      <c r="A453" s="876"/>
      <c r="B453" s="876"/>
      <c r="C453" s="876"/>
      <c r="D453" s="876"/>
      <c r="E453" s="876"/>
      <c r="F453" s="876"/>
      <c r="G453" s="876"/>
      <c r="H453" s="876"/>
      <c r="I453" s="876"/>
      <c r="J453" s="876"/>
      <c r="K453" s="876"/>
      <c r="L453" s="876"/>
      <c r="M453" s="876"/>
      <c r="N453" s="877"/>
      <c r="O453" s="876"/>
      <c r="P453" s="876"/>
      <c r="Q453" s="876"/>
      <c r="R453" s="876"/>
      <c r="S453" s="876"/>
      <c r="T453" s="876"/>
      <c r="U453" s="876"/>
      <c r="V453" s="876"/>
      <c r="W453" s="876"/>
      <c r="X453" s="876"/>
      <c r="Y453" s="876"/>
      <c r="Z453" s="876"/>
      <c r="AA453" s="876"/>
      <c r="AB453" s="876"/>
      <c r="AC453" s="876"/>
      <c r="AD453" s="876"/>
      <c r="AE453" s="876"/>
      <c r="AF453" s="876"/>
      <c r="AG453" s="876"/>
      <c r="AH453" s="876"/>
      <c r="AI453" s="878"/>
      <c r="AJ453" s="880"/>
      <c r="AK453" s="880"/>
      <c r="AL453" s="880"/>
      <c r="AM453" s="880"/>
      <c r="AN453" s="880"/>
      <c r="AO453" s="880"/>
      <c r="AP453" s="880"/>
      <c r="AQ453" s="880"/>
      <c r="AR453" s="880"/>
      <c r="AS453" s="880"/>
      <c r="AT453" s="880"/>
      <c r="AU453" s="880"/>
      <c r="AV453" s="880"/>
      <c r="AW453" s="881"/>
      <c r="AX453" s="863"/>
      <c r="AY453" s="863"/>
      <c r="AZ453" s="863"/>
      <c r="BA453" s="863"/>
      <c r="BB453" s="863"/>
      <c r="BC453" s="863"/>
      <c r="BD453" s="863"/>
      <c r="BE453" s="863"/>
      <c r="BF453" s="863"/>
      <c r="BG453" s="863"/>
      <c r="BH453" s="863"/>
      <c r="BI453" s="863"/>
      <c r="BJ453" s="863"/>
      <c r="BK453" s="863"/>
      <c r="BL453" s="863"/>
      <c r="BM453" s="863"/>
      <c r="BN453" s="863"/>
      <c r="BO453" s="863"/>
      <c r="BP453" s="880"/>
      <c r="BQ453" s="863"/>
      <c r="BR453" s="883"/>
      <c r="BS453" s="883"/>
      <c r="BT453" s="883"/>
      <c r="BU453" s="883"/>
      <c r="BV453" s="883"/>
      <c r="BW453" s="883"/>
      <c r="BX453" s="883"/>
      <c r="BY453" s="883"/>
      <c r="BZ453" s="883"/>
      <c r="CA453" s="883"/>
      <c r="CB453" s="883"/>
      <c r="CC453" s="883"/>
      <c r="CD453" s="884"/>
      <c r="CE453" s="883"/>
      <c r="CF453" s="883"/>
      <c r="CG453" s="883"/>
      <c r="CH453" s="883"/>
      <c r="CI453" s="883"/>
      <c r="CJ453" s="883"/>
      <c r="CK453" s="883"/>
      <c r="CL453" s="883"/>
      <c r="CM453" s="883"/>
      <c r="CN453" s="883"/>
      <c r="CO453" s="883"/>
      <c r="CP453" s="883"/>
      <c r="CQ453" s="883"/>
      <c r="CR453" s="883"/>
      <c r="CS453" s="883"/>
      <c r="CT453" s="883"/>
      <c r="CU453" s="883"/>
      <c r="CV453" s="863"/>
      <c r="CW453" s="863"/>
      <c r="CX453" s="863"/>
      <c r="CY453" s="863"/>
      <c r="CZ453" s="863"/>
      <c r="DA453" s="863"/>
      <c r="DB453" s="863"/>
      <c r="DC453" s="863"/>
      <c r="DD453" s="863"/>
      <c r="DE453" s="863"/>
    </row>
    <row r="454">
      <c r="A454" s="876"/>
      <c r="B454" s="876"/>
      <c r="C454" s="876"/>
      <c r="D454" s="876"/>
      <c r="E454" s="876"/>
      <c r="F454" s="876"/>
      <c r="G454" s="876"/>
      <c r="H454" s="876"/>
      <c r="I454" s="876"/>
      <c r="J454" s="876"/>
      <c r="K454" s="876"/>
      <c r="L454" s="876"/>
      <c r="M454" s="876"/>
      <c r="N454" s="877"/>
      <c r="O454" s="876"/>
      <c r="P454" s="876"/>
      <c r="Q454" s="876"/>
      <c r="R454" s="876"/>
      <c r="S454" s="876"/>
      <c r="T454" s="876"/>
      <c r="U454" s="876"/>
      <c r="V454" s="876"/>
      <c r="W454" s="876"/>
      <c r="X454" s="876"/>
      <c r="Y454" s="876"/>
      <c r="Z454" s="876"/>
      <c r="AA454" s="876"/>
      <c r="AB454" s="876"/>
      <c r="AC454" s="876"/>
      <c r="AD454" s="876"/>
      <c r="AE454" s="876"/>
      <c r="AF454" s="876"/>
      <c r="AG454" s="876"/>
      <c r="AH454" s="876"/>
      <c r="AI454" s="878"/>
      <c r="AJ454" s="880"/>
      <c r="AK454" s="880"/>
      <c r="AL454" s="880"/>
      <c r="AM454" s="880"/>
      <c r="AN454" s="880"/>
      <c r="AO454" s="880"/>
      <c r="AP454" s="880"/>
      <c r="AQ454" s="880"/>
      <c r="AR454" s="880"/>
      <c r="AS454" s="880"/>
      <c r="AT454" s="880"/>
      <c r="AU454" s="880"/>
      <c r="AV454" s="880"/>
      <c r="AW454" s="881"/>
      <c r="AX454" s="863"/>
      <c r="AY454" s="863"/>
      <c r="AZ454" s="863"/>
      <c r="BA454" s="863"/>
      <c r="BB454" s="863"/>
      <c r="BC454" s="863"/>
      <c r="BD454" s="863"/>
      <c r="BE454" s="863"/>
      <c r="BF454" s="863"/>
      <c r="BG454" s="863"/>
      <c r="BH454" s="863"/>
      <c r="BI454" s="863"/>
      <c r="BJ454" s="863"/>
      <c r="BK454" s="863"/>
      <c r="BL454" s="863"/>
      <c r="BM454" s="863"/>
      <c r="BN454" s="863"/>
      <c r="BO454" s="863"/>
      <c r="BP454" s="880"/>
      <c r="BQ454" s="863"/>
      <c r="BR454" s="883"/>
      <c r="BS454" s="883"/>
      <c r="BT454" s="883"/>
      <c r="BU454" s="883"/>
      <c r="BV454" s="883"/>
      <c r="BW454" s="883"/>
      <c r="BX454" s="883"/>
      <c r="BY454" s="883"/>
      <c r="BZ454" s="883"/>
      <c r="CA454" s="883"/>
      <c r="CB454" s="883"/>
      <c r="CC454" s="883"/>
      <c r="CD454" s="884"/>
      <c r="CE454" s="883"/>
      <c r="CF454" s="883"/>
      <c r="CG454" s="883"/>
      <c r="CH454" s="883"/>
      <c r="CI454" s="883"/>
      <c r="CJ454" s="883"/>
      <c r="CK454" s="883"/>
      <c r="CL454" s="883"/>
      <c r="CM454" s="883"/>
      <c r="CN454" s="883"/>
      <c r="CO454" s="883"/>
      <c r="CP454" s="883"/>
      <c r="CQ454" s="883"/>
      <c r="CR454" s="883"/>
      <c r="CS454" s="883"/>
      <c r="CT454" s="883"/>
      <c r="CU454" s="883"/>
      <c r="CV454" s="863"/>
      <c r="CW454" s="863"/>
      <c r="CX454" s="863"/>
      <c r="CY454" s="863"/>
      <c r="CZ454" s="863"/>
      <c r="DA454" s="863"/>
      <c r="DB454" s="863"/>
      <c r="DC454" s="863"/>
      <c r="DD454" s="863"/>
      <c r="DE454" s="863"/>
    </row>
    <row r="455">
      <c r="A455" s="876"/>
      <c r="B455" s="876"/>
      <c r="C455" s="876"/>
      <c r="D455" s="876"/>
      <c r="E455" s="876"/>
      <c r="F455" s="876"/>
      <c r="G455" s="876"/>
      <c r="H455" s="876"/>
      <c r="I455" s="876"/>
      <c r="J455" s="876"/>
      <c r="K455" s="876"/>
      <c r="L455" s="876"/>
      <c r="M455" s="876"/>
      <c r="N455" s="877"/>
      <c r="O455" s="876"/>
      <c r="P455" s="876"/>
      <c r="Q455" s="876"/>
      <c r="R455" s="876"/>
      <c r="S455" s="876"/>
      <c r="T455" s="876"/>
      <c r="U455" s="876"/>
      <c r="V455" s="876"/>
      <c r="W455" s="876"/>
      <c r="X455" s="876"/>
      <c r="Y455" s="876"/>
      <c r="Z455" s="876"/>
      <c r="AA455" s="876"/>
      <c r="AB455" s="876"/>
      <c r="AC455" s="876"/>
      <c r="AD455" s="876"/>
      <c r="AE455" s="876"/>
      <c r="AF455" s="876"/>
      <c r="AG455" s="876"/>
      <c r="AH455" s="876"/>
      <c r="AI455" s="878"/>
      <c r="AJ455" s="880"/>
      <c r="AK455" s="880"/>
      <c r="AL455" s="880"/>
      <c r="AM455" s="880"/>
      <c r="AN455" s="880"/>
      <c r="AO455" s="880"/>
      <c r="AP455" s="880"/>
      <c r="AQ455" s="880"/>
      <c r="AR455" s="880"/>
      <c r="AS455" s="880"/>
      <c r="AT455" s="880"/>
      <c r="AU455" s="880"/>
      <c r="AV455" s="880"/>
      <c r="AW455" s="881"/>
      <c r="AX455" s="863"/>
      <c r="AY455" s="863"/>
      <c r="AZ455" s="863"/>
      <c r="BA455" s="863"/>
      <c r="BB455" s="863"/>
      <c r="BC455" s="863"/>
      <c r="BD455" s="863"/>
      <c r="BE455" s="863"/>
      <c r="BF455" s="863"/>
      <c r="BG455" s="863"/>
      <c r="BH455" s="863"/>
      <c r="BI455" s="863"/>
      <c r="BJ455" s="863"/>
      <c r="BK455" s="863"/>
      <c r="BL455" s="863"/>
      <c r="BM455" s="863"/>
      <c r="BN455" s="863"/>
      <c r="BO455" s="863"/>
      <c r="BP455" s="880"/>
      <c r="BQ455" s="863"/>
      <c r="BR455" s="883"/>
      <c r="BS455" s="883"/>
      <c r="BT455" s="883"/>
      <c r="BU455" s="883"/>
      <c r="BV455" s="883"/>
      <c r="BW455" s="883"/>
      <c r="BX455" s="883"/>
      <c r="BY455" s="883"/>
      <c r="BZ455" s="883"/>
      <c r="CA455" s="883"/>
      <c r="CB455" s="883"/>
      <c r="CC455" s="883"/>
      <c r="CD455" s="884"/>
      <c r="CE455" s="883"/>
      <c r="CF455" s="883"/>
      <c r="CG455" s="883"/>
      <c r="CH455" s="883"/>
      <c r="CI455" s="883"/>
      <c r="CJ455" s="883"/>
      <c r="CK455" s="883"/>
      <c r="CL455" s="883"/>
      <c r="CM455" s="883"/>
      <c r="CN455" s="883"/>
      <c r="CO455" s="883"/>
      <c r="CP455" s="883"/>
      <c r="CQ455" s="883"/>
      <c r="CR455" s="883"/>
      <c r="CS455" s="883"/>
      <c r="CT455" s="883"/>
      <c r="CU455" s="883"/>
      <c r="CV455" s="863"/>
      <c r="CW455" s="863"/>
      <c r="CX455" s="863"/>
      <c r="CY455" s="863"/>
      <c r="CZ455" s="863"/>
      <c r="DA455" s="863"/>
      <c r="DB455" s="863"/>
      <c r="DC455" s="863"/>
      <c r="DD455" s="863"/>
      <c r="DE455" s="863"/>
    </row>
    <row r="456">
      <c r="A456" s="876"/>
      <c r="B456" s="876"/>
      <c r="C456" s="876"/>
      <c r="D456" s="876"/>
      <c r="E456" s="876"/>
      <c r="F456" s="876"/>
      <c r="G456" s="876"/>
      <c r="H456" s="876"/>
      <c r="I456" s="876"/>
      <c r="J456" s="876"/>
      <c r="K456" s="876"/>
      <c r="L456" s="876"/>
      <c r="M456" s="876"/>
      <c r="N456" s="877"/>
      <c r="O456" s="876"/>
      <c r="P456" s="876"/>
      <c r="Q456" s="876"/>
      <c r="R456" s="876"/>
      <c r="S456" s="876"/>
      <c r="T456" s="876"/>
      <c r="U456" s="876"/>
      <c r="V456" s="876"/>
      <c r="W456" s="876"/>
      <c r="X456" s="876"/>
      <c r="Y456" s="876"/>
      <c r="Z456" s="876"/>
      <c r="AA456" s="876"/>
      <c r="AB456" s="876"/>
      <c r="AC456" s="876"/>
      <c r="AD456" s="876"/>
      <c r="AE456" s="876"/>
      <c r="AF456" s="876"/>
      <c r="AG456" s="876"/>
      <c r="AH456" s="876"/>
      <c r="AI456" s="878"/>
      <c r="AJ456" s="880"/>
      <c r="AK456" s="880"/>
      <c r="AL456" s="880"/>
      <c r="AM456" s="880"/>
      <c r="AN456" s="880"/>
      <c r="AO456" s="880"/>
      <c r="AP456" s="880"/>
      <c r="AQ456" s="880"/>
      <c r="AR456" s="880"/>
      <c r="AS456" s="880"/>
      <c r="AT456" s="880"/>
      <c r="AU456" s="880"/>
      <c r="AV456" s="880"/>
      <c r="AW456" s="881"/>
      <c r="AX456" s="863"/>
      <c r="AY456" s="863"/>
      <c r="AZ456" s="863"/>
      <c r="BA456" s="863"/>
      <c r="BB456" s="863"/>
      <c r="BC456" s="863"/>
      <c r="BD456" s="863"/>
      <c r="BE456" s="863"/>
      <c r="BF456" s="863"/>
      <c r="BG456" s="863"/>
      <c r="BH456" s="863"/>
      <c r="BI456" s="863"/>
      <c r="BJ456" s="863"/>
      <c r="BK456" s="863"/>
      <c r="BL456" s="863"/>
      <c r="BM456" s="863"/>
      <c r="BN456" s="863"/>
      <c r="BO456" s="863"/>
      <c r="BP456" s="880"/>
      <c r="BQ456" s="863"/>
      <c r="BR456" s="883"/>
      <c r="BS456" s="883"/>
      <c r="BT456" s="883"/>
      <c r="BU456" s="883"/>
      <c r="BV456" s="883"/>
      <c r="BW456" s="883"/>
      <c r="BX456" s="883"/>
      <c r="BY456" s="883"/>
      <c r="BZ456" s="883"/>
      <c r="CA456" s="883"/>
      <c r="CB456" s="883"/>
      <c r="CC456" s="883"/>
      <c r="CD456" s="884"/>
      <c r="CE456" s="883"/>
      <c r="CF456" s="883"/>
      <c r="CG456" s="883"/>
      <c r="CH456" s="883"/>
      <c r="CI456" s="883"/>
      <c r="CJ456" s="883"/>
      <c r="CK456" s="883"/>
      <c r="CL456" s="883"/>
      <c r="CM456" s="883"/>
      <c r="CN456" s="883"/>
      <c r="CO456" s="883"/>
      <c r="CP456" s="883"/>
      <c r="CQ456" s="883"/>
      <c r="CR456" s="883"/>
      <c r="CS456" s="883"/>
      <c r="CT456" s="883"/>
      <c r="CU456" s="883"/>
      <c r="CV456" s="863"/>
      <c r="CW456" s="863"/>
      <c r="CX456" s="863"/>
      <c r="CY456" s="863"/>
      <c r="CZ456" s="863"/>
      <c r="DA456" s="863"/>
      <c r="DB456" s="863"/>
      <c r="DC456" s="863"/>
      <c r="DD456" s="863"/>
      <c r="DE456" s="863"/>
    </row>
    <row r="457">
      <c r="A457" s="876"/>
      <c r="B457" s="876"/>
      <c r="C457" s="876"/>
      <c r="D457" s="876"/>
      <c r="E457" s="876"/>
      <c r="F457" s="876"/>
      <c r="G457" s="876"/>
      <c r="H457" s="876"/>
      <c r="I457" s="876"/>
      <c r="J457" s="876"/>
      <c r="K457" s="876"/>
      <c r="L457" s="876"/>
      <c r="M457" s="876"/>
      <c r="N457" s="877"/>
      <c r="O457" s="876"/>
      <c r="P457" s="876"/>
      <c r="Q457" s="876"/>
      <c r="R457" s="876"/>
      <c r="S457" s="876"/>
      <c r="T457" s="876"/>
      <c r="U457" s="876"/>
      <c r="V457" s="876"/>
      <c r="W457" s="876"/>
      <c r="X457" s="876"/>
      <c r="Y457" s="876"/>
      <c r="Z457" s="876"/>
      <c r="AA457" s="876"/>
      <c r="AB457" s="876"/>
      <c r="AC457" s="876"/>
      <c r="AD457" s="876"/>
      <c r="AE457" s="876"/>
      <c r="AF457" s="876"/>
      <c r="AG457" s="876"/>
      <c r="AH457" s="876"/>
      <c r="AI457" s="878"/>
      <c r="AJ457" s="880"/>
      <c r="AK457" s="880"/>
      <c r="AL457" s="880"/>
      <c r="AM457" s="880"/>
      <c r="AN457" s="880"/>
      <c r="AO457" s="880"/>
      <c r="AP457" s="880"/>
      <c r="AQ457" s="880"/>
      <c r="AR457" s="880"/>
      <c r="AS457" s="880"/>
      <c r="AT457" s="880"/>
      <c r="AU457" s="880"/>
      <c r="AV457" s="880"/>
      <c r="AW457" s="881"/>
      <c r="AX457" s="863"/>
      <c r="AY457" s="863"/>
      <c r="AZ457" s="863"/>
      <c r="BA457" s="863"/>
      <c r="BB457" s="863"/>
      <c r="BC457" s="863"/>
      <c r="BD457" s="863"/>
      <c r="BE457" s="863"/>
      <c r="BF457" s="863"/>
      <c r="BG457" s="863"/>
      <c r="BH457" s="863"/>
      <c r="BI457" s="863"/>
      <c r="BJ457" s="863"/>
      <c r="BK457" s="863"/>
      <c r="BL457" s="863"/>
      <c r="BM457" s="863"/>
      <c r="BN457" s="863"/>
      <c r="BO457" s="863"/>
      <c r="BP457" s="880"/>
      <c r="BQ457" s="863"/>
      <c r="BR457" s="883"/>
      <c r="BS457" s="883"/>
      <c r="BT457" s="883"/>
      <c r="BU457" s="883"/>
      <c r="BV457" s="883"/>
      <c r="BW457" s="883"/>
      <c r="BX457" s="883"/>
      <c r="BY457" s="883"/>
      <c r="BZ457" s="883"/>
      <c r="CA457" s="883"/>
      <c r="CB457" s="883"/>
      <c r="CC457" s="883"/>
      <c r="CD457" s="884"/>
      <c r="CE457" s="883"/>
      <c r="CF457" s="883"/>
      <c r="CG457" s="883"/>
      <c r="CH457" s="883"/>
      <c r="CI457" s="883"/>
      <c r="CJ457" s="883"/>
      <c r="CK457" s="883"/>
      <c r="CL457" s="883"/>
      <c r="CM457" s="883"/>
      <c r="CN457" s="883"/>
      <c r="CO457" s="883"/>
      <c r="CP457" s="883"/>
      <c r="CQ457" s="883"/>
      <c r="CR457" s="883"/>
      <c r="CS457" s="883"/>
      <c r="CT457" s="883"/>
      <c r="CU457" s="883"/>
      <c r="CV457" s="863"/>
      <c r="CW457" s="863"/>
      <c r="CX457" s="863"/>
      <c r="CY457" s="863"/>
      <c r="CZ457" s="863"/>
      <c r="DA457" s="863"/>
      <c r="DB457" s="863"/>
      <c r="DC457" s="863"/>
      <c r="DD457" s="863"/>
      <c r="DE457" s="863"/>
    </row>
    <row r="458">
      <c r="A458" s="876"/>
      <c r="B458" s="876"/>
      <c r="C458" s="876"/>
      <c r="D458" s="876"/>
      <c r="E458" s="876"/>
      <c r="F458" s="876"/>
      <c r="G458" s="876"/>
      <c r="H458" s="876"/>
      <c r="I458" s="876"/>
      <c r="J458" s="876"/>
      <c r="K458" s="876"/>
      <c r="L458" s="876"/>
      <c r="M458" s="876"/>
      <c r="N458" s="877"/>
      <c r="O458" s="876"/>
      <c r="P458" s="876"/>
      <c r="Q458" s="876"/>
      <c r="R458" s="876"/>
      <c r="S458" s="876"/>
      <c r="T458" s="876"/>
      <c r="U458" s="876"/>
      <c r="V458" s="876"/>
      <c r="W458" s="876"/>
      <c r="X458" s="876"/>
      <c r="Y458" s="876"/>
      <c r="Z458" s="876"/>
      <c r="AA458" s="876"/>
      <c r="AB458" s="876"/>
      <c r="AC458" s="876"/>
      <c r="AD458" s="876"/>
      <c r="AE458" s="876"/>
      <c r="AF458" s="876"/>
      <c r="AG458" s="876"/>
      <c r="AH458" s="876"/>
      <c r="AI458" s="878"/>
      <c r="AJ458" s="880"/>
      <c r="AK458" s="880"/>
      <c r="AL458" s="880"/>
      <c r="AM458" s="880"/>
      <c r="AN458" s="880"/>
      <c r="AO458" s="880"/>
      <c r="AP458" s="880"/>
      <c r="AQ458" s="880"/>
      <c r="AR458" s="880"/>
      <c r="AS458" s="880"/>
      <c r="AT458" s="880"/>
      <c r="AU458" s="880"/>
      <c r="AV458" s="880"/>
      <c r="AW458" s="881"/>
      <c r="AX458" s="863"/>
      <c r="AY458" s="863"/>
      <c r="AZ458" s="863"/>
      <c r="BA458" s="863"/>
      <c r="BB458" s="863"/>
      <c r="BC458" s="863"/>
      <c r="BD458" s="863"/>
      <c r="BE458" s="863"/>
      <c r="BF458" s="863"/>
      <c r="BG458" s="863"/>
      <c r="BH458" s="863"/>
      <c r="BI458" s="863"/>
      <c r="BJ458" s="863"/>
      <c r="BK458" s="863"/>
      <c r="BL458" s="863"/>
      <c r="BM458" s="863"/>
      <c r="BN458" s="863"/>
      <c r="BO458" s="863"/>
      <c r="BP458" s="880"/>
      <c r="BQ458" s="863"/>
      <c r="BR458" s="883"/>
      <c r="BS458" s="883"/>
      <c r="BT458" s="883"/>
      <c r="BU458" s="883"/>
      <c r="BV458" s="883"/>
      <c r="BW458" s="883"/>
      <c r="BX458" s="883"/>
      <c r="BY458" s="883"/>
      <c r="BZ458" s="883"/>
      <c r="CA458" s="883"/>
      <c r="CB458" s="883"/>
      <c r="CC458" s="883"/>
      <c r="CD458" s="884"/>
      <c r="CE458" s="883"/>
      <c r="CF458" s="883"/>
      <c r="CG458" s="883"/>
      <c r="CH458" s="883"/>
      <c r="CI458" s="883"/>
      <c r="CJ458" s="883"/>
      <c r="CK458" s="883"/>
      <c r="CL458" s="883"/>
      <c r="CM458" s="883"/>
      <c r="CN458" s="883"/>
      <c r="CO458" s="883"/>
      <c r="CP458" s="883"/>
      <c r="CQ458" s="883"/>
      <c r="CR458" s="883"/>
      <c r="CS458" s="883"/>
      <c r="CT458" s="883"/>
      <c r="CU458" s="883"/>
      <c r="CV458" s="863"/>
      <c r="CW458" s="863"/>
      <c r="CX458" s="863"/>
      <c r="CY458" s="863"/>
      <c r="CZ458" s="863"/>
      <c r="DA458" s="863"/>
      <c r="DB458" s="863"/>
      <c r="DC458" s="863"/>
      <c r="DD458" s="863"/>
      <c r="DE458" s="863"/>
    </row>
    <row r="459">
      <c r="A459" s="876"/>
      <c r="B459" s="876"/>
      <c r="C459" s="876"/>
      <c r="D459" s="876"/>
      <c r="E459" s="876"/>
      <c r="F459" s="876"/>
      <c r="G459" s="876"/>
      <c r="H459" s="876"/>
      <c r="I459" s="876"/>
      <c r="J459" s="876"/>
      <c r="K459" s="876"/>
      <c r="L459" s="876"/>
      <c r="M459" s="876"/>
      <c r="N459" s="877"/>
      <c r="O459" s="876"/>
      <c r="P459" s="876"/>
      <c r="Q459" s="876"/>
      <c r="R459" s="876"/>
      <c r="S459" s="876"/>
      <c r="T459" s="876"/>
      <c r="U459" s="876"/>
      <c r="V459" s="876"/>
      <c r="W459" s="876"/>
      <c r="X459" s="876"/>
      <c r="Y459" s="876"/>
      <c r="Z459" s="876"/>
      <c r="AA459" s="876"/>
      <c r="AB459" s="876"/>
      <c r="AC459" s="876"/>
      <c r="AD459" s="876"/>
      <c r="AE459" s="876"/>
      <c r="AF459" s="876"/>
      <c r="AG459" s="876"/>
      <c r="AH459" s="876"/>
      <c r="AI459" s="878"/>
      <c r="AJ459" s="880"/>
      <c r="AK459" s="880"/>
      <c r="AL459" s="880"/>
      <c r="AM459" s="880"/>
      <c r="AN459" s="880"/>
      <c r="AO459" s="880"/>
      <c r="AP459" s="880"/>
      <c r="AQ459" s="880"/>
      <c r="AR459" s="880"/>
      <c r="AS459" s="880"/>
      <c r="AT459" s="880"/>
      <c r="AU459" s="880"/>
      <c r="AV459" s="880"/>
      <c r="AW459" s="881"/>
      <c r="AX459" s="863"/>
      <c r="AY459" s="863"/>
      <c r="AZ459" s="863"/>
      <c r="BA459" s="863"/>
      <c r="BB459" s="863"/>
      <c r="BC459" s="863"/>
      <c r="BD459" s="863"/>
      <c r="BE459" s="863"/>
      <c r="BF459" s="863"/>
      <c r="BG459" s="863"/>
      <c r="BH459" s="863"/>
      <c r="BI459" s="863"/>
      <c r="BJ459" s="863"/>
      <c r="BK459" s="863"/>
      <c r="BL459" s="863"/>
      <c r="BM459" s="863"/>
      <c r="BN459" s="863"/>
      <c r="BO459" s="863"/>
      <c r="BP459" s="880"/>
      <c r="BQ459" s="863"/>
      <c r="BR459" s="883"/>
      <c r="BS459" s="883"/>
      <c r="BT459" s="883"/>
      <c r="BU459" s="883"/>
      <c r="BV459" s="883"/>
      <c r="BW459" s="883"/>
      <c r="BX459" s="883"/>
      <c r="BY459" s="883"/>
      <c r="BZ459" s="883"/>
      <c r="CA459" s="883"/>
      <c r="CB459" s="883"/>
      <c r="CC459" s="883"/>
      <c r="CD459" s="884"/>
      <c r="CE459" s="883"/>
      <c r="CF459" s="883"/>
      <c r="CG459" s="883"/>
      <c r="CH459" s="883"/>
      <c r="CI459" s="883"/>
      <c r="CJ459" s="883"/>
      <c r="CK459" s="883"/>
      <c r="CL459" s="883"/>
      <c r="CM459" s="883"/>
      <c r="CN459" s="883"/>
      <c r="CO459" s="883"/>
      <c r="CP459" s="883"/>
      <c r="CQ459" s="883"/>
      <c r="CR459" s="883"/>
      <c r="CS459" s="883"/>
      <c r="CT459" s="883"/>
      <c r="CU459" s="883"/>
      <c r="CV459" s="863"/>
      <c r="CW459" s="863"/>
      <c r="CX459" s="863"/>
      <c r="CY459" s="863"/>
      <c r="CZ459" s="863"/>
      <c r="DA459" s="863"/>
      <c r="DB459" s="863"/>
      <c r="DC459" s="863"/>
      <c r="DD459" s="863"/>
      <c r="DE459" s="863"/>
    </row>
    <row r="460">
      <c r="A460" s="876"/>
      <c r="B460" s="876"/>
      <c r="C460" s="876"/>
      <c r="D460" s="876"/>
      <c r="E460" s="876"/>
      <c r="F460" s="876"/>
      <c r="G460" s="876"/>
      <c r="H460" s="876"/>
      <c r="I460" s="876"/>
      <c r="J460" s="876"/>
      <c r="K460" s="876"/>
      <c r="L460" s="876"/>
      <c r="M460" s="876"/>
      <c r="N460" s="877"/>
      <c r="O460" s="876"/>
      <c r="P460" s="876"/>
      <c r="Q460" s="876"/>
      <c r="R460" s="876"/>
      <c r="S460" s="876"/>
      <c r="T460" s="876"/>
      <c r="U460" s="876"/>
      <c r="V460" s="876"/>
      <c r="W460" s="876"/>
      <c r="X460" s="876"/>
      <c r="Y460" s="876"/>
      <c r="Z460" s="876"/>
      <c r="AA460" s="876"/>
      <c r="AB460" s="876"/>
      <c r="AC460" s="876"/>
      <c r="AD460" s="876"/>
      <c r="AE460" s="876"/>
      <c r="AF460" s="876"/>
      <c r="AG460" s="876"/>
      <c r="AH460" s="876"/>
      <c r="AI460" s="878"/>
      <c r="AJ460" s="880"/>
      <c r="AK460" s="880"/>
      <c r="AL460" s="880"/>
      <c r="AM460" s="880"/>
      <c r="AN460" s="880"/>
      <c r="AO460" s="880"/>
      <c r="AP460" s="880"/>
      <c r="AQ460" s="880"/>
      <c r="AR460" s="880"/>
      <c r="AS460" s="880"/>
      <c r="AT460" s="880"/>
      <c r="AU460" s="880"/>
      <c r="AV460" s="880"/>
      <c r="AW460" s="881"/>
      <c r="AX460" s="863"/>
      <c r="AY460" s="863"/>
      <c r="AZ460" s="863"/>
      <c r="BA460" s="863"/>
      <c r="BB460" s="863"/>
      <c r="BC460" s="863"/>
      <c r="BD460" s="863"/>
      <c r="BE460" s="863"/>
      <c r="BF460" s="863"/>
      <c r="BG460" s="863"/>
      <c r="BH460" s="863"/>
      <c r="BI460" s="863"/>
      <c r="BJ460" s="863"/>
      <c r="BK460" s="863"/>
      <c r="BL460" s="863"/>
      <c r="BM460" s="863"/>
      <c r="BN460" s="863"/>
      <c r="BO460" s="863"/>
      <c r="BP460" s="880"/>
      <c r="BQ460" s="863"/>
      <c r="BR460" s="883"/>
      <c r="BS460" s="883"/>
      <c r="BT460" s="883"/>
      <c r="BU460" s="883"/>
      <c r="BV460" s="883"/>
      <c r="BW460" s="883"/>
      <c r="BX460" s="883"/>
      <c r="BY460" s="883"/>
      <c r="BZ460" s="883"/>
      <c r="CA460" s="883"/>
      <c r="CB460" s="883"/>
      <c r="CC460" s="883"/>
      <c r="CD460" s="884"/>
      <c r="CE460" s="883"/>
      <c r="CF460" s="883"/>
      <c r="CG460" s="883"/>
      <c r="CH460" s="883"/>
      <c r="CI460" s="883"/>
      <c r="CJ460" s="883"/>
      <c r="CK460" s="883"/>
      <c r="CL460" s="883"/>
      <c r="CM460" s="883"/>
      <c r="CN460" s="883"/>
      <c r="CO460" s="883"/>
      <c r="CP460" s="883"/>
      <c r="CQ460" s="883"/>
      <c r="CR460" s="883"/>
      <c r="CS460" s="883"/>
      <c r="CT460" s="883"/>
      <c r="CU460" s="883"/>
      <c r="CV460" s="863"/>
      <c r="CW460" s="863"/>
      <c r="CX460" s="863"/>
      <c r="CY460" s="863"/>
      <c r="CZ460" s="863"/>
      <c r="DA460" s="863"/>
      <c r="DB460" s="863"/>
      <c r="DC460" s="863"/>
      <c r="DD460" s="863"/>
      <c r="DE460" s="863"/>
    </row>
    <row r="461">
      <c r="A461" s="876"/>
      <c r="B461" s="876"/>
      <c r="C461" s="876"/>
      <c r="D461" s="876"/>
      <c r="E461" s="876"/>
      <c r="F461" s="876"/>
      <c r="G461" s="876"/>
      <c r="H461" s="876"/>
      <c r="I461" s="876"/>
      <c r="J461" s="876"/>
      <c r="K461" s="876"/>
      <c r="L461" s="876"/>
      <c r="M461" s="876"/>
      <c r="N461" s="877"/>
      <c r="O461" s="876"/>
      <c r="P461" s="876"/>
      <c r="Q461" s="876"/>
      <c r="R461" s="876"/>
      <c r="S461" s="876"/>
      <c r="T461" s="876"/>
      <c r="U461" s="876"/>
      <c r="V461" s="876"/>
      <c r="W461" s="876"/>
      <c r="X461" s="876"/>
      <c r="Y461" s="876"/>
      <c r="Z461" s="876"/>
      <c r="AA461" s="876"/>
      <c r="AB461" s="876"/>
      <c r="AC461" s="876"/>
      <c r="AD461" s="876"/>
      <c r="AE461" s="876"/>
      <c r="AF461" s="876"/>
      <c r="AG461" s="876"/>
      <c r="AH461" s="876"/>
      <c r="AI461" s="878"/>
      <c r="AJ461" s="880"/>
      <c r="AK461" s="880"/>
      <c r="AL461" s="880"/>
      <c r="AM461" s="880"/>
      <c r="AN461" s="880"/>
      <c r="AO461" s="880"/>
      <c r="AP461" s="880"/>
      <c r="AQ461" s="880"/>
      <c r="AR461" s="880"/>
      <c r="AS461" s="880"/>
      <c r="AT461" s="880"/>
      <c r="AU461" s="880"/>
      <c r="AV461" s="880"/>
      <c r="AW461" s="881"/>
      <c r="AX461" s="863"/>
      <c r="AY461" s="863"/>
      <c r="AZ461" s="863"/>
      <c r="BA461" s="863"/>
      <c r="BB461" s="863"/>
      <c r="BC461" s="863"/>
      <c r="BD461" s="863"/>
      <c r="BE461" s="863"/>
      <c r="BF461" s="863"/>
      <c r="BG461" s="863"/>
      <c r="BH461" s="863"/>
      <c r="BI461" s="863"/>
      <c r="BJ461" s="863"/>
      <c r="BK461" s="863"/>
      <c r="BL461" s="863"/>
      <c r="BM461" s="863"/>
      <c r="BN461" s="863"/>
      <c r="BO461" s="863"/>
      <c r="BP461" s="880"/>
      <c r="BQ461" s="863"/>
      <c r="BR461" s="883"/>
      <c r="BS461" s="883"/>
      <c r="BT461" s="883"/>
      <c r="BU461" s="883"/>
      <c r="BV461" s="883"/>
      <c r="BW461" s="883"/>
      <c r="BX461" s="883"/>
      <c r="BY461" s="883"/>
      <c r="BZ461" s="883"/>
      <c r="CA461" s="883"/>
      <c r="CB461" s="883"/>
      <c r="CC461" s="883"/>
      <c r="CD461" s="884"/>
      <c r="CE461" s="883"/>
      <c r="CF461" s="883"/>
      <c r="CG461" s="883"/>
      <c r="CH461" s="883"/>
      <c r="CI461" s="883"/>
      <c r="CJ461" s="883"/>
      <c r="CK461" s="883"/>
      <c r="CL461" s="883"/>
      <c r="CM461" s="883"/>
      <c r="CN461" s="883"/>
      <c r="CO461" s="883"/>
      <c r="CP461" s="883"/>
      <c r="CQ461" s="883"/>
      <c r="CR461" s="883"/>
      <c r="CS461" s="883"/>
      <c r="CT461" s="883"/>
      <c r="CU461" s="883"/>
      <c r="CV461" s="863"/>
      <c r="CW461" s="863"/>
      <c r="CX461" s="863"/>
      <c r="CY461" s="863"/>
      <c r="CZ461" s="863"/>
      <c r="DA461" s="863"/>
      <c r="DB461" s="863"/>
      <c r="DC461" s="863"/>
      <c r="DD461" s="863"/>
      <c r="DE461" s="863"/>
    </row>
    <row r="462">
      <c r="A462" s="876"/>
      <c r="B462" s="876"/>
      <c r="C462" s="876"/>
      <c r="D462" s="876"/>
      <c r="E462" s="876"/>
      <c r="F462" s="876"/>
      <c r="G462" s="876"/>
      <c r="H462" s="876"/>
      <c r="I462" s="876"/>
      <c r="J462" s="876"/>
      <c r="K462" s="876"/>
      <c r="L462" s="876"/>
      <c r="M462" s="876"/>
      <c r="N462" s="877"/>
      <c r="O462" s="876"/>
      <c r="P462" s="876"/>
      <c r="Q462" s="876"/>
      <c r="R462" s="876"/>
      <c r="S462" s="876"/>
      <c r="T462" s="876"/>
      <c r="U462" s="876"/>
      <c r="V462" s="876"/>
      <c r="W462" s="876"/>
      <c r="X462" s="876"/>
      <c r="Y462" s="876"/>
      <c r="Z462" s="876"/>
      <c r="AA462" s="876"/>
      <c r="AB462" s="876"/>
      <c r="AC462" s="876"/>
      <c r="AD462" s="876"/>
      <c r="AE462" s="876"/>
      <c r="AF462" s="876"/>
      <c r="AG462" s="876"/>
      <c r="AH462" s="876"/>
      <c r="AI462" s="878"/>
      <c r="AJ462" s="880"/>
      <c r="AK462" s="880"/>
      <c r="AL462" s="880"/>
      <c r="AM462" s="880"/>
      <c r="AN462" s="880"/>
      <c r="AO462" s="880"/>
      <c r="AP462" s="880"/>
      <c r="AQ462" s="880"/>
      <c r="AR462" s="880"/>
      <c r="AS462" s="880"/>
      <c r="AT462" s="880"/>
      <c r="AU462" s="880"/>
      <c r="AV462" s="880"/>
      <c r="AW462" s="881"/>
      <c r="AX462" s="863"/>
      <c r="AY462" s="863"/>
      <c r="AZ462" s="863"/>
      <c r="BA462" s="863"/>
      <c r="BB462" s="863"/>
      <c r="BC462" s="863"/>
      <c r="BD462" s="863"/>
      <c r="BE462" s="863"/>
      <c r="BF462" s="863"/>
      <c r="BG462" s="863"/>
      <c r="BH462" s="863"/>
      <c r="BI462" s="863"/>
      <c r="BJ462" s="863"/>
      <c r="BK462" s="863"/>
      <c r="BL462" s="863"/>
      <c r="BM462" s="863"/>
      <c r="BN462" s="863"/>
      <c r="BO462" s="863"/>
      <c r="BP462" s="880"/>
      <c r="BQ462" s="863"/>
      <c r="BR462" s="883"/>
      <c r="BS462" s="883"/>
      <c r="BT462" s="883"/>
      <c r="BU462" s="883"/>
      <c r="BV462" s="883"/>
      <c r="BW462" s="883"/>
      <c r="BX462" s="883"/>
      <c r="BY462" s="883"/>
      <c r="BZ462" s="883"/>
      <c r="CA462" s="883"/>
      <c r="CB462" s="883"/>
      <c r="CC462" s="883"/>
      <c r="CD462" s="884"/>
      <c r="CE462" s="883"/>
      <c r="CF462" s="883"/>
      <c r="CG462" s="883"/>
      <c r="CH462" s="883"/>
      <c r="CI462" s="883"/>
      <c r="CJ462" s="883"/>
      <c r="CK462" s="883"/>
      <c r="CL462" s="883"/>
      <c r="CM462" s="883"/>
      <c r="CN462" s="883"/>
      <c r="CO462" s="883"/>
      <c r="CP462" s="883"/>
      <c r="CQ462" s="883"/>
      <c r="CR462" s="883"/>
      <c r="CS462" s="883"/>
      <c r="CT462" s="883"/>
      <c r="CU462" s="883"/>
      <c r="CV462" s="863"/>
      <c r="CW462" s="863"/>
      <c r="CX462" s="863"/>
      <c r="CY462" s="863"/>
      <c r="CZ462" s="863"/>
      <c r="DA462" s="863"/>
      <c r="DB462" s="863"/>
      <c r="DC462" s="863"/>
      <c r="DD462" s="863"/>
      <c r="DE462" s="863"/>
    </row>
    <row r="463">
      <c r="A463" s="876"/>
      <c r="B463" s="876"/>
      <c r="C463" s="876"/>
      <c r="D463" s="876"/>
      <c r="E463" s="876"/>
      <c r="F463" s="876"/>
      <c r="G463" s="876"/>
      <c r="H463" s="876"/>
      <c r="I463" s="876"/>
      <c r="J463" s="876"/>
      <c r="K463" s="876"/>
      <c r="L463" s="876"/>
      <c r="M463" s="876"/>
      <c r="N463" s="877"/>
      <c r="O463" s="876"/>
      <c r="P463" s="876"/>
      <c r="Q463" s="876"/>
      <c r="R463" s="876"/>
      <c r="S463" s="876"/>
      <c r="T463" s="876"/>
      <c r="U463" s="876"/>
      <c r="V463" s="876"/>
      <c r="W463" s="876"/>
      <c r="X463" s="876"/>
      <c r="Y463" s="876"/>
      <c r="Z463" s="876"/>
      <c r="AA463" s="876"/>
      <c r="AB463" s="876"/>
      <c r="AC463" s="876"/>
      <c r="AD463" s="876"/>
      <c r="AE463" s="876"/>
      <c r="AF463" s="876"/>
      <c r="AG463" s="876"/>
      <c r="AH463" s="876"/>
      <c r="AI463" s="878"/>
      <c r="AJ463" s="880"/>
      <c r="AK463" s="880"/>
      <c r="AL463" s="880"/>
      <c r="AM463" s="880"/>
      <c r="AN463" s="880"/>
      <c r="AO463" s="880"/>
      <c r="AP463" s="880"/>
      <c r="AQ463" s="880"/>
      <c r="AR463" s="880"/>
      <c r="AS463" s="880"/>
      <c r="AT463" s="880"/>
      <c r="AU463" s="880"/>
      <c r="AV463" s="880"/>
      <c r="AW463" s="881"/>
      <c r="AX463" s="863"/>
      <c r="AY463" s="863"/>
      <c r="AZ463" s="863"/>
      <c r="BA463" s="863"/>
      <c r="BB463" s="863"/>
      <c r="BC463" s="863"/>
      <c r="BD463" s="863"/>
      <c r="BE463" s="863"/>
      <c r="BF463" s="863"/>
      <c r="BG463" s="863"/>
      <c r="BH463" s="863"/>
      <c r="BI463" s="863"/>
      <c r="BJ463" s="863"/>
      <c r="BK463" s="863"/>
      <c r="BL463" s="863"/>
      <c r="BM463" s="863"/>
      <c r="BN463" s="863"/>
      <c r="BO463" s="863"/>
      <c r="BP463" s="880"/>
      <c r="BQ463" s="863"/>
      <c r="BR463" s="883"/>
      <c r="BS463" s="883"/>
      <c r="BT463" s="883"/>
      <c r="BU463" s="883"/>
      <c r="BV463" s="883"/>
      <c r="BW463" s="883"/>
      <c r="BX463" s="883"/>
      <c r="BY463" s="883"/>
      <c r="BZ463" s="883"/>
      <c r="CA463" s="883"/>
      <c r="CB463" s="883"/>
      <c r="CC463" s="883"/>
      <c r="CD463" s="884"/>
      <c r="CE463" s="883"/>
      <c r="CF463" s="883"/>
      <c r="CG463" s="883"/>
      <c r="CH463" s="883"/>
      <c r="CI463" s="883"/>
      <c r="CJ463" s="883"/>
      <c r="CK463" s="883"/>
      <c r="CL463" s="883"/>
      <c r="CM463" s="883"/>
      <c r="CN463" s="883"/>
      <c r="CO463" s="883"/>
      <c r="CP463" s="883"/>
      <c r="CQ463" s="883"/>
      <c r="CR463" s="883"/>
      <c r="CS463" s="883"/>
      <c r="CT463" s="883"/>
      <c r="CU463" s="883"/>
      <c r="CV463" s="863"/>
      <c r="CW463" s="863"/>
      <c r="CX463" s="863"/>
      <c r="CY463" s="863"/>
      <c r="CZ463" s="863"/>
      <c r="DA463" s="863"/>
      <c r="DB463" s="863"/>
      <c r="DC463" s="863"/>
      <c r="DD463" s="863"/>
      <c r="DE463" s="863"/>
    </row>
    <row r="464">
      <c r="A464" s="876"/>
      <c r="B464" s="876"/>
      <c r="C464" s="876"/>
      <c r="D464" s="876"/>
      <c r="E464" s="876"/>
      <c r="F464" s="876"/>
      <c r="G464" s="876"/>
      <c r="H464" s="876"/>
      <c r="I464" s="876"/>
      <c r="J464" s="876"/>
      <c r="K464" s="876"/>
      <c r="L464" s="876"/>
      <c r="M464" s="876"/>
      <c r="N464" s="877"/>
      <c r="O464" s="876"/>
      <c r="P464" s="876"/>
      <c r="Q464" s="876"/>
      <c r="R464" s="876"/>
      <c r="S464" s="876"/>
      <c r="T464" s="876"/>
      <c r="U464" s="876"/>
      <c r="V464" s="876"/>
      <c r="W464" s="876"/>
      <c r="X464" s="876"/>
      <c r="Y464" s="876"/>
      <c r="Z464" s="876"/>
      <c r="AA464" s="876"/>
      <c r="AB464" s="876"/>
      <c r="AC464" s="876"/>
      <c r="AD464" s="876"/>
      <c r="AE464" s="876"/>
      <c r="AF464" s="876"/>
      <c r="AG464" s="876"/>
      <c r="AH464" s="876"/>
      <c r="AI464" s="878"/>
      <c r="AJ464" s="880"/>
      <c r="AK464" s="880"/>
      <c r="AL464" s="880"/>
      <c r="AM464" s="880"/>
      <c r="AN464" s="880"/>
      <c r="AO464" s="880"/>
      <c r="AP464" s="880"/>
      <c r="AQ464" s="880"/>
      <c r="AR464" s="880"/>
      <c r="AS464" s="880"/>
      <c r="AT464" s="880"/>
      <c r="AU464" s="880"/>
      <c r="AV464" s="880"/>
      <c r="AW464" s="881"/>
      <c r="AX464" s="863"/>
      <c r="AY464" s="863"/>
      <c r="AZ464" s="863"/>
      <c r="BA464" s="863"/>
      <c r="BB464" s="863"/>
      <c r="BC464" s="863"/>
      <c r="BD464" s="863"/>
      <c r="BE464" s="863"/>
      <c r="BF464" s="863"/>
      <c r="BG464" s="863"/>
      <c r="BH464" s="863"/>
      <c r="BI464" s="863"/>
      <c r="BJ464" s="863"/>
      <c r="BK464" s="863"/>
      <c r="BL464" s="863"/>
      <c r="BM464" s="863"/>
      <c r="BN464" s="863"/>
      <c r="BO464" s="863"/>
      <c r="BP464" s="880"/>
      <c r="BQ464" s="863"/>
      <c r="BR464" s="883"/>
      <c r="BS464" s="883"/>
      <c r="BT464" s="883"/>
      <c r="BU464" s="883"/>
      <c r="BV464" s="883"/>
      <c r="BW464" s="883"/>
      <c r="BX464" s="883"/>
      <c r="BY464" s="883"/>
      <c r="BZ464" s="883"/>
      <c r="CA464" s="883"/>
      <c r="CB464" s="883"/>
      <c r="CC464" s="883"/>
      <c r="CD464" s="884"/>
      <c r="CE464" s="883"/>
      <c r="CF464" s="883"/>
      <c r="CG464" s="883"/>
      <c r="CH464" s="883"/>
      <c r="CI464" s="883"/>
      <c r="CJ464" s="883"/>
      <c r="CK464" s="883"/>
      <c r="CL464" s="883"/>
      <c r="CM464" s="883"/>
      <c r="CN464" s="883"/>
      <c r="CO464" s="883"/>
      <c r="CP464" s="883"/>
      <c r="CQ464" s="883"/>
      <c r="CR464" s="883"/>
      <c r="CS464" s="883"/>
      <c r="CT464" s="883"/>
      <c r="CU464" s="883"/>
      <c r="CV464" s="863"/>
      <c r="CW464" s="863"/>
      <c r="CX464" s="863"/>
      <c r="CY464" s="863"/>
      <c r="CZ464" s="863"/>
      <c r="DA464" s="863"/>
      <c r="DB464" s="863"/>
      <c r="DC464" s="863"/>
      <c r="DD464" s="863"/>
      <c r="DE464" s="863"/>
    </row>
    <row r="465">
      <c r="A465" s="876"/>
      <c r="B465" s="876"/>
      <c r="C465" s="876"/>
      <c r="D465" s="876"/>
      <c r="E465" s="876"/>
      <c r="F465" s="876"/>
      <c r="G465" s="876"/>
      <c r="H465" s="876"/>
      <c r="I465" s="876"/>
      <c r="J465" s="876"/>
      <c r="K465" s="876"/>
      <c r="L465" s="876"/>
      <c r="M465" s="876"/>
      <c r="N465" s="877"/>
      <c r="O465" s="876"/>
      <c r="P465" s="876"/>
      <c r="Q465" s="876"/>
      <c r="R465" s="876"/>
      <c r="S465" s="876"/>
      <c r="T465" s="876"/>
      <c r="U465" s="876"/>
      <c r="V465" s="876"/>
      <c r="W465" s="876"/>
      <c r="X465" s="876"/>
      <c r="Y465" s="876"/>
      <c r="Z465" s="876"/>
      <c r="AA465" s="876"/>
      <c r="AB465" s="876"/>
      <c r="AC465" s="876"/>
      <c r="AD465" s="876"/>
      <c r="AE465" s="876"/>
      <c r="AF465" s="876"/>
      <c r="AG465" s="876"/>
      <c r="AH465" s="876"/>
      <c r="AI465" s="878"/>
      <c r="AJ465" s="880"/>
      <c r="AK465" s="880"/>
      <c r="AL465" s="880"/>
      <c r="AM465" s="880"/>
      <c r="AN465" s="880"/>
      <c r="AO465" s="880"/>
      <c r="AP465" s="880"/>
      <c r="AQ465" s="880"/>
      <c r="AR465" s="880"/>
      <c r="AS465" s="880"/>
      <c r="AT465" s="880"/>
      <c r="AU465" s="880"/>
      <c r="AV465" s="880"/>
      <c r="AW465" s="881"/>
      <c r="AX465" s="863"/>
      <c r="AY465" s="863"/>
      <c r="AZ465" s="863"/>
      <c r="BA465" s="863"/>
      <c r="BB465" s="863"/>
      <c r="BC465" s="863"/>
      <c r="BD465" s="863"/>
      <c r="BE465" s="863"/>
      <c r="BF465" s="863"/>
      <c r="BG465" s="863"/>
      <c r="BH465" s="863"/>
      <c r="BI465" s="863"/>
      <c r="BJ465" s="863"/>
      <c r="BK465" s="863"/>
      <c r="BL465" s="863"/>
      <c r="BM465" s="863"/>
      <c r="BN465" s="863"/>
      <c r="BO465" s="863"/>
      <c r="BP465" s="880"/>
      <c r="BQ465" s="863"/>
      <c r="BR465" s="883"/>
      <c r="BS465" s="883"/>
      <c r="BT465" s="883"/>
      <c r="BU465" s="883"/>
      <c r="BV465" s="883"/>
      <c r="BW465" s="883"/>
      <c r="BX465" s="883"/>
      <c r="BY465" s="883"/>
      <c r="BZ465" s="883"/>
      <c r="CA465" s="883"/>
      <c r="CB465" s="883"/>
      <c r="CC465" s="883"/>
      <c r="CD465" s="884"/>
      <c r="CE465" s="883"/>
      <c r="CF465" s="883"/>
      <c r="CG465" s="883"/>
      <c r="CH465" s="883"/>
      <c r="CI465" s="883"/>
      <c r="CJ465" s="883"/>
      <c r="CK465" s="883"/>
      <c r="CL465" s="883"/>
      <c r="CM465" s="883"/>
      <c r="CN465" s="883"/>
      <c r="CO465" s="883"/>
      <c r="CP465" s="883"/>
      <c r="CQ465" s="883"/>
      <c r="CR465" s="883"/>
      <c r="CS465" s="883"/>
      <c r="CT465" s="883"/>
      <c r="CU465" s="883"/>
      <c r="CV465" s="863"/>
      <c r="CW465" s="863"/>
      <c r="CX465" s="863"/>
      <c r="CY465" s="863"/>
      <c r="CZ465" s="863"/>
      <c r="DA465" s="863"/>
      <c r="DB465" s="863"/>
      <c r="DC465" s="863"/>
      <c r="DD465" s="863"/>
      <c r="DE465" s="863"/>
    </row>
    <row r="466">
      <c r="A466" s="876"/>
      <c r="B466" s="876"/>
      <c r="C466" s="876"/>
      <c r="D466" s="876"/>
      <c r="E466" s="876"/>
      <c r="F466" s="876"/>
      <c r="G466" s="876"/>
      <c r="H466" s="876"/>
      <c r="I466" s="876"/>
      <c r="J466" s="876"/>
      <c r="K466" s="876"/>
      <c r="L466" s="876"/>
      <c r="M466" s="876"/>
      <c r="N466" s="877"/>
      <c r="O466" s="876"/>
      <c r="P466" s="876"/>
      <c r="Q466" s="876"/>
      <c r="R466" s="876"/>
      <c r="S466" s="876"/>
      <c r="T466" s="876"/>
      <c r="U466" s="876"/>
      <c r="V466" s="876"/>
      <c r="W466" s="876"/>
      <c r="X466" s="876"/>
      <c r="Y466" s="876"/>
      <c r="Z466" s="876"/>
      <c r="AA466" s="876"/>
      <c r="AB466" s="876"/>
      <c r="AC466" s="876"/>
      <c r="AD466" s="876"/>
      <c r="AE466" s="876"/>
      <c r="AF466" s="876"/>
      <c r="AG466" s="876"/>
      <c r="AH466" s="876"/>
      <c r="AI466" s="878"/>
      <c r="AJ466" s="880"/>
      <c r="AK466" s="880"/>
      <c r="AL466" s="880"/>
      <c r="AM466" s="880"/>
      <c r="AN466" s="880"/>
      <c r="AO466" s="880"/>
      <c r="AP466" s="880"/>
      <c r="AQ466" s="880"/>
      <c r="AR466" s="880"/>
      <c r="AS466" s="880"/>
      <c r="AT466" s="880"/>
      <c r="AU466" s="880"/>
      <c r="AV466" s="880"/>
      <c r="AW466" s="881"/>
      <c r="AX466" s="863"/>
      <c r="AY466" s="863"/>
      <c r="AZ466" s="863"/>
      <c r="BA466" s="863"/>
      <c r="BB466" s="863"/>
      <c r="BC466" s="863"/>
      <c r="BD466" s="863"/>
      <c r="BE466" s="863"/>
      <c r="BF466" s="863"/>
      <c r="BG466" s="863"/>
      <c r="BH466" s="863"/>
      <c r="BI466" s="863"/>
      <c r="BJ466" s="863"/>
      <c r="BK466" s="863"/>
      <c r="BL466" s="863"/>
      <c r="BM466" s="863"/>
      <c r="BN466" s="863"/>
      <c r="BO466" s="863"/>
      <c r="BP466" s="880"/>
      <c r="BQ466" s="863"/>
      <c r="BR466" s="883"/>
      <c r="BS466" s="883"/>
      <c r="BT466" s="883"/>
      <c r="BU466" s="883"/>
      <c r="BV466" s="883"/>
      <c r="BW466" s="883"/>
      <c r="BX466" s="883"/>
      <c r="BY466" s="883"/>
      <c r="BZ466" s="883"/>
      <c r="CA466" s="883"/>
      <c r="CB466" s="883"/>
      <c r="CC466" s="883"/>
      <c r="CD466" s="884"/>
      <c r="CE466" s="883"/>
      <c r="CF466" s="883"/>
      <c r="CG466" s="883"/>
      <c r="CH466" s="883"/>
      <c r="CI466" s="883"/>
      <c r="CJ466" s="883"/>
      <c r="CK466" s="883"/>
      <c r="CL466" s="883"/>
      <c r="CM466" s="883"/>
      <c r="CN466" s="883"/>
      <c r="CO466" s="883"/>
      <c r="CP466" s="883"/>
      <c r="CQ466" s="883"/>
      <c r="CR466" s="883"/>
      <c r="CS466" s="883"/>
      <c r="CT466" s="883"/>
      <c r="CU466" s="883"/>
      <c r="CV466" s="863"/>
      <c r="CW466" s="863"/>
      <c r="CX466" s="863"/>
      <c r="CY466" s="863"/>
      <c r="CZ466" s="863"/>
      <c r="DA466" s="863"/>
      <c r="DB466" s="863"/>
      <c r="DC466" s="863"/>
      <c r="DD466" s="863"/>
      <c r="DE466" s="863"/>
    </row>
    <row r="467">
      <c r="A467" s="876"/>
      <c r="B467" s="876"/>
      <c r="C467" s="876"/>
      <c r="D467" s="876"/>
      <c r="E467" s="876"/>
      <c r="F467" s="876"/>
      <c r="G467" s="876"/>
      <c r="H467" s="876"/>
      <c r="I467" s="876"/>
      <c r="J467" s="876"/>
      <c r="K467" s="876"/>
      <c r="L467" s="876"/>
      <c r="M467" s="876"/>
      <c r="N467" s="877"/>
      <c r="O467" s="876"/>
      <c r="P467" s="876"/>
      <c r="Q467" s="876"/>
      <c r="R467" s="876"/>
      <c r="S467" s="876"/>
      <c r="T467" s="876"/>
      <c r="U467" s="876"/>
      <c r="V467" s="876"/>
      <c r="W467" s="876"/>
      <c r="X467" s="876"/>
      <c r="Y467" s="876"/>
      <c r="Z467" s="876"/>
      <c r="AA467" s="876"/>
      <c r="AB467" s="876"/>
      <c r="AC467" s="876"/>
      <c r="AD467" s="876"/>
      <c r="AE467" s="876"/>
      <c r="AF467" s="876"/>
      <c r="AG467" s="876"/>
      <c r="AH467" s="876"/>
      <c r="AI467" s="878"/>
      <c r="AJ467" s="880"/>
      <c r="AK467" s="880"/>
      <c r="AL467" s="880"/>
      <c r="AM467" s="880"/>
      <c r="AN467" s="880"/>
      <c r="AO467" s="880"/>
      <c r="AP467" s="880"/>
      <c r="AQ467" s="880"/>
      <c r="AR467" s="880"/>
      <c r="AS467" s="880"/>
      <c r="AT467" s="880"/>
      <c r="AU467" s="880"/>
      <c r="AV467" s="880"/>
      <c r="AW467" s="881"/>
      <c r="AX467" s="863"/>
      <c r="AY467" s="863"/>
      <c r="AZ467" s="863"/>
      <c r="BA467" s="863"/>
      <c r="BB467" s="863"/>
      <c r="BC467" s="863"/>
      <c r="BD467" s="863"/>
      <c r="BE467" s="863"/>
      <c r="BF467" s="863"/>
      <c r="BG467" s="863"/>
      <c r="BH467" s="863"/>
      <c r="BI467" s="863"/>
      <c r="BJ467" s="863"/>
      <c r="BK467" s="863"/>
      <c r="BL467" s="863"/>
      <c r="BM467" s="863"/>
      <c r="BN467" s="863"/>
      <c r="BO467" s="863"/>
      <c r="BP467" s="880"/>
      <c r="BQ467" s="863"/>
      <c r="BR467" s="883"/>
      <c r="BS467" s="883"/>
      <c r="BT467" s="883"/>
      <c r="BU467" s="883"/>
      <c r="BV467" s="883"/>
      <c r="BW467" s="883"/>
      <c r="BX467" s="883"/>
      <c r="BY467" s="883"/>
      <c r="BZ467" s="883"/>
      <c r="CA467" s="883"/>
      <c r="CB467" s="883"/>
      <c r="CC467" s="883"/>
      <c r="CD467" s="884"/>
      <c r="CE467" s="883"/>
      <c r="CF467" s="883"/>
      <c r="CG467" s="883"/>
      <c r="CH467" s="883"/>
      <c r="CI467" s="883"/>
      <c r="CJ467" s="883"/>
      <c r="CK467" s="883"/>
      <c r="CL467" s="883"/>
      <c r="CM467" s="883"/>
      <c r="CN467" s="883"/>
      <c r="CO467" s="883"/>
      <c r="CP467" s="883"/>
      <c r="CQ467" s="883"/>
      <c r="CR467" s="883"/>
      <c r="CS467" s="883"/>
      <c r="CT467" s="883"/>
      <c r="CU467" s="883"/>
      <c r="CV467" s="863"/>
      <c r="CW467" s="863"/>
      <c r="CX467" s="863"/>
      <c r="CY467" s="863"/>
      <c r="CZ467" s="863"/>
      <c r="DA467" s="863"/>
      <c r="DB467" s="863"/>
      <c r="DC467" s="863"/>
      <c r="DD467" s="863"/>
      <c r="DE467" s="863"/>
    </row>
    <row r="468">
      <c r="A468" s="876"/>
      <c r="B468" s="876"/>
      <c r="C468" s="876"/>
      <c r="D468" s="876"/>
      <c r="E468" s="876"/>
      <c r="F468" s="876"/>
      <c r="G468" s="876"/>
      <c r="H468" s="876"/>
      <c r="I468" s="876"/>
      <c r="J468" s="876"/>
      <c r="K468" s="876"/>
      <c r="L468" s="876"/>
      <c r="M468" s="876"/>
      <c r="N468" s="877"/>
      <c r="O468" s="876"/>
      <c r="P468" s="876"/>
      <c r="Q468" s="876"/>
      <c r="R468" s="876"/>
      <c r="S468" s="876"/>
      <c r="T468" s="876"/>
      <c r="U468" s="876"/>
      <c r="V468" s="876"/>
      <c r="W468" s="876"/>
      <c r="X468" s="876"/>
      <c r="Y468" s="876"/>
      <c r="Z468" s="876"/>
      <c r="AA468" s="876"/>
      <c r="AB468" s="876"/>
      <c r="AC468" s="876"/>
      <c r="AD468" s="876"/>
      <c r="AE468" s="876"/>
      <c r="AF468" s="876"/>
      <c r="AG468" s="876"/>
      <c r="AH468" s="876"/>
      <c r="AI468" s="878"/>
      <c r="AJ468" s="880"/>
      <c r="AK468" s="880"/>
      <c r="AL468" s="880"/>
      <c r="AM468" s="880"/>
      <c r="AN468" s="880"/>
      <c r="AO468" s="880"/>
      <c r="AP468" s="880"/>
      <c r="AQ468" s="880"/>
      <c r="AR468" s="880"/>
      <c r="AS468" s="880"/>
      <c r="AT468" s="880"/>
      <c r="AU468" s="880"/>
      <c r="AV468" s="880"/>
      <c r="AW468" s="881"/>
      <c r="AX468" s="863"/>
      <c r="AY468" s="863"/>
      <c r="AZ468" s="863"/>
      <c r="BA468" s="863"/>
      <c r="BB468" s="863"/>
      <c r="BC468" s="863"/>
      <c r="BD468" s="863"/>
      <c r="BE468" s="863"/>
      <c r="BF468" s="863"/>
      <c r="BG468" s="863"/>
      <c r="BH468" s="863"/>
      <c r="BI468" s="863"/>
      <c r="BJ468" s="863"/>
      <c r="BK468" s="863"/>
      <c r="BL468" s="863"/>
      <c r="BM468" s="863"/>
      <c r="BN468" s="863"/>
      <c r="BO468" s="863"/>
      <c r="BP468" s="880"/>
      <c r="BQ468" s="863"/>
      <c r="BR468" s="883"/>
      <c r="BS468" s="883"/>
      <c r="BT468" s="883"/>
      <c r="BU468" s="883"/>
      <c r="BV468" s="883"/>
      <c r="BW468" s="883"/>
      <c r="BX468" s="883"/>
      <c r="BY468" s="883"/>
      <c r="BZ468" s="883"/>
      <c r="CA468" s="883"/>
      <c r="CB468" s="883"/>
      <c r="CC468" s="883"/>
      <c r="CD468" s="884"/>
      <c r="CE468" s="883"/>
      <c r="CF468" s="883"/>
      <c r="CG468" s="883"/>
      <c r="CH468" s="883"/>
      <c r="CI468" s="883"/>
      <c r="CJ468" s="883"/>
      <c r="CK468" s="883"/>
      <c r="CL468" s="883"/>
      <c r="CM468" s="883"/>
      <c r="CN468" s="883"/>
      <c r="CO468" s="883"/>
      <c r="CP468" s="883"/>
      <c r="CQ468" s="883"/>
      <c r="CR468" s="883"/>
      <c r="CS468" s="883"/>
      <c r="CT468" s="883"/>
      <c r="CU468" s="883"/>
      <c r="CV468" s="863"/>
      <c r="CW468" s="863"/>
      <c r="CX468" s="863"/>
      <c r="CY468" s="863"/>
      <c r="CZ468" s="863"/>
      <c r="DA468" s="863"/>
      <c r="DB468" s="863"/>
      <c r="DC468" s="863"/>
      <c r="DD468" s="863"/>
      <c r="DE468" s="863"/>
    </row>
    <row r="469">
      <c r="A469" s="876"/>
      <c r="B469" s="876"/>
      <c r="C469" s="876"/>
      <c r="D469" s="876"/>
      <c r="E469" s="876"/>
      <c r="F469" s="876"/>
      <c r="G469" s="876"/>
      <c r="H469" s="876"/>
      <c r="I469" s="876"/>
      <c r="J469" s="876"/>
      <c r="K469" s="876"/>
      <c r="L469" s="876"/>
      <c r="M469" s="876"/>
      <c r="N469" s="877"/>
      <c r="O469" s="876"/>
      <c r="P469" s="876"/>
      <c r="Q469" s="876"/>
      <c r="R469" s="876"/>
      <c r="S469" s="876"/>
      <c r="T469" s="876"/>
      <c r="U469" s="876"/>
      <c r="V469" s="876"/>
      <c r="W469" s="876"/>
      <c r="X469" s="876"/>
      <c r="Y469" s="876"/>
      <c r="Z469" s="876"/>
      <c r="AA469" s="876"/>
      <c r="AB469" s="876"/>
      <c r="AC469" s="876"/>
      <c r="AD469" s="876"/>
      <c r="AE469" s="876"/>
      <c r="AF469" s="876"/>
      <c r="AG469" s="876"/>
      <c r="AH469" s="876"/>
      <c r="AI469" s="878"/>
      <c r="AJ469" s="880"/>
      <c r="AK469" s="880"/>
      <c r="AL469" s="880"/>
      <c r="AM469" s="880"/>
      <c r="AN469" s="880"/>
      <c r="AO469" s="880"/>
      <c r="AP469" s="880"/>
      <c r="AQ469" s="880"/>
      <c r="AR469" s="880"/>
      <c r="AS469" s="880"/>
      <c r="AT469" s="880"/>
      <c r="AU469" s="880"/>
      <c r="AV469" s="880"/>
      <c r="AW469" s="881"/>
      <c r="AX469" s="863"/>
      <c r="AY469" s="863"/>
      <c r="AZ469" s="863"/>
      <c r="BA469" s="863"/>
      <c r="BB469" s="863"/>
      <c r="BC469" s="863"/>
      <c r="BD469" s="863"/>
      <c r="BE469" s="863"/>
      <c r="BF469" s="863"/>
      <c r="BG469" s="863"/>
      <c r="BH469" s="863"/>
      <c r="BI469" s="863"/>
      <c r="BJ469" s="863"/>
      <c r="BK469" s="863"/>
      <c r="BL469" s="863"/>
      <c r="BM469" s="863"/>
      <c r="BN469" s="863"/>
      <c r="BO469" s="863"/>
      <c r="BP469" s="880"/>
      <c r="BQ469" s="863"/>
      <c r="BR469" s="883"/>
      <c r="BS469" s="883"/>
      <c r="BT469" s="883"/>
      <c r="BU469" s="883"/>
      <c r="BV469" s="883"/>
      <c r="BW469" s="883"/>
      <c r="BX469" s="883"/>
      <c r="BY469" s="883"/>
      <c r="BZ469" s="883"/>
      <c r="CA469" s="883"/>
      <c r="CB469" s="883"/>
      <c r="CC469" s="883"/>
      <c r="CD469" s="884"/>
      <c r="CE469" s="883"/>
      <c r="CF469" s="883"/>
      <c r="CG469" s="883"/>
      <c r="CH469" s="883"/>
      <c r="CI469" s="883"/>
      <c r="CJ469" s="883"/>
      <c r="CK469" s="883"/>
      <c r="CL469" s="883"/>
      <c r="CM469" s="883"/>
      <c r="CN469" s="883"/>
      <c r="CO469" s="883"/>
      <c r="CP469" s="883"/>
      <c r="CQ469" s="883"/>
      <c r="CR469" s="883"/>
      <c r="CS469" s="883"/>
      <c r="CT469" s="883"/>
      <c r="CU469" s="883"/>
      <c r="CV469" s="863"/>
      <c r="CW469" s="863"/>
      <c r="CX469" s="863"/>
      <c r="CY469" s="863"/>
      <c r="CZ469" s="863"/>
      <c r="DA469" s="863"/>
      <c r="DB469" s="863"/>
      <c r="DC469" s="863"/>
      <c r="DD469" s="863"/>
      <c r="DE469" s="863"/>
    </row>
    <row r="470">
      <c r="A470" s="876"/>
      <c r="B470" s="876"/>
      <c r="C470" s="876"/>
      <c r="D470" s="876"/>
      <c r="E470" s="876"/>
      <c r="F470" s="876"/>
      <c r="G470" s="876"/>
      <c r="H470" s="876"/>
      <c r="I470" s="876"/>
      <c r="J470" s="876"/>
      <c r="K470" s="876"/>
      <c r="L470" s="876"/>
      <c r="M470" s="876"/>
      <c r="N470" s="877"/>
      <c r="O470" s="876"/>
      <c r="P470" s="876"/>
      <c r="Q470" s="876"/>
      <c r="R470" s="876"/>
      <c r="S470" s="876"/>
      <c r="T470" s="876"/>
      <c r="U470" s="876"/>
      <c r="V470" s="876"/>
      <c r="W470" s="876"/>
      <c r="X470" s="876"/>
      <c r="Y470" s="876"/>
      <c r="Z470" s="876"/>
      <c r="AA470" s="876"/>
      <c r="AB470" s="876"/>
      <c r="AC470" s="876"/>
      <c r="AD470" s="876"/>
      <c r="AE470" s="876"/>
      <c r="AF470" s="876"/>
      <c r="AG470" s="876"/>
      <c r="AH470" s="876"/>
      <c r="AI470" s="878"/>
      <c r="AJ470" s="880"/>
      <c r="AK470" s="880"/>
      <c r="AL470" s="880"/>
      <c r="AM470" s="880"/>
      <c r="AN470" s="880"/>
      <c r="AO470" s="880"/>
      <c r="AP470" s="880"/>
      <c r="AQ470" s="880"/>
      <c r="AR470" s="880"/>
      <c r="AS470" s="880"/>
      <c r="AT470" s="880"/>
      <c r="AU470" s="880"/>
      <c r="AV470" s="880"/>
      <c r="AW470" s="881"/>
      <c r="AX470" s="863"/>
      <c r="AY470" s="863"/>
      <c r="AZ470" s="863"/>
      <c r="BA470" s="863"/>
      <c r="BB470" s="863"/>
      <c r="BC470" s="863"/>
      <c r="BD470" s="863"/>
      <c r="BE470" s="863"/>
      <c r="BF470" s="863"/>
      <c r="BG470" s="863"/>
      <c r="BH470" s="863"/>
      <c r="BI470" s="863"/>
      <c r="BJ470" s="863"/>
      <c r="BK470" s="863"/>
      <c r="BL470" s="863"/>
      <c r="BM470" s="863"/>
      <c r="BN470" s="863"/>
      <c r="BO470" s="863"/>
      <c r="BP470" s="880"/>
      <c r="BQ470" s="863"/>
      <c r="BR470" s="883"/>
      <c r="BS470" s="883"/>
      <c r="BT470" s="883"/>
      <c r="BU470" s="883"/>
      <c r="BV470" s="883"/>
      <c r="BW470" s="883"/>
      <c r="BX470" s="883"/>
      <c r="BY470" s="883"/>
      <c r="BZ470" s="883"/>
      <c r="CA470" s="883"/>
      <c r="CB470" s="883"/>
      <c r="CC470" s="883"/>
      <c r="CD470" s="884"/>
      <c r="CE470" s="883"/>
      <c r="CF470" s="883"/>
      <c r="CG470" s="883"/>
      <c r="CH470" s="883"/>
      <c r="CI470" s="883"/>
      <c r="CJ470" s="883"/>
      <c r="CK470" s="883"/>
      <c r="CL470" s="883"/>
      <c r="CM470" s="883"/>
      <c r="CN470" s="883"/>
      <c r="CO470" s="883"/>
      <c r="CP470" s="883"/>
      <c r="CQ470" s="883"/>
      <c r="CR470" s="883"/>
      <c r="CS470" s="883"/>
      <c r="CT470" s="883"/>
      <c r="CU470" s="883"/>
      <c r="CV470" s="863"/>
      <c r="CW470" s="863"/>
      <c r="CX470" s="863"/>
      <c r="CY470" s="863"/>
      <c r="CZ470" s="863"/>
      <c r="DA470" s="863"/>
      <c r="DB470" s="863"/>
      <c r="DC470" s="863"/>
      <c r="DD470" s="863"/>
      <c r="DE470" s="863"/>
    </row>
    <row r="471">
      <c r="A471" s="876"/>
      <c r="B471" s="876"/>
      <c r="C471" s="876"/>
      <c r="D471" s="876"/>
      <c r="E471" s="876"/>
      <c r="F471" s="876"/>
      <c r="G471" s="876"/>
      <c r="H471" s="876"/>
      <c r="I471" s="876"/>
      <c r="J471" s="876"/>
      <c r="K471" s="876"/>
      <c r="L471" s="876"/>
      <c r="M471" s="876"/>
      <c r="N471" s="877"/>
      <c r="O471" s="876"/>
      <c r="P471" s="876"/>
      <c r="Q471" s="876"/>
      <c r="R471" s="876"/>
      <c r="S471" s="876"/>
      <c r="T471" s="876"/>
      <c r="U471" s="876"/>
      <c r="V471" s="876"/>
      <c r="W471" s="876"/>
      <c r="X471" s="876"/>
      <c r="Y471" s="876"/>
      <c r="Z471" s="876"/>
      <c r="AA471" s="876"/>
      <c r="AB471" s="876"/>
      <c r="AC471" s="876"/>
      <c r="AD471" s="876"/>
      <c r="AE471" s="876"/>
      <c r="AF471" s="876"/>
      <c r="AG471" s="876"/>
      <c r="AH471" s="876"/>
      <c r="AI471" s="878"/>
      <c r="AJ471" s="880"/>
      <c r="AK471" s="880"/>
      <c r="AL471" s="880"/>
      <c r="AM471" s="880"/>
      <c r="AN471" s="880"/>
      <c r="AO471" s="880"/>
      <c r="AP471" s="880"/>
      <c r="AQ471" s="880"/>
      <c r="AR471" s="880"/>
      <c r="AS471" s="880"/>
      <c r="AT471" s="880"/>
      <c r="AU471" s="880"/>
      <c r="AV471" s="880"/>
      <c r="AW471" s="881"/>
      <c r="AX471" s="863"/>
      <c r="AY471" s="863"/>
      <c r="AZ471" s="863"/>
      <c r="BA471" s="863"/>
      <c r="BB471" s="863"/>
      <c r="BC471" s="863"/>
      <c r="BD471" s="863"/>
      <c r="BE471" s="863"/>
      <c r="BF471" s="863"/>
      <c r="BG471" s="863"/>
      <c r="BH471" s="863"/>
      <c r="BI471" s="863"/>
      <c r="BJ471" s="863"/>
      <c r="BK471" s="863"/>
      <c r="BL471" s="863"/>
      <c r="BM471" s="863"/>
      <c r="BN471" s="863"/>
      <c r="BO471" s="863"/>
      <c r="BP471" s="880"/>
      <c r="BQ471" s="863"/>
      <c r="BR471" s="883"/>
      <c r="BS471" s="883"/>
      <c r="BT471" s="883"/>
      <c r="BU471" s="883"/>
      <c r="BV471" s="883"/>
      <c r="BW471" s="883"/>
      <c r="BX471" s="883"/>
      <c r="BY471" s="883"/>
      <c r="BZ471" s="883"/>
      <c r="CA471" s="883"/>
      <c r="CB471" s="883"/>
      <c r="CC471" s="883"/>
      <c r="CD471" s="884"/>
      <c r="CE471" s="883"/>
      <c r="CF471" s="883"/>
      <c r="CG471" s="883"/>
      <c r="CH471" s="883"/>
      <c r="CI471" s="883"/>
      <c r="CJ471" s="883"/>
      <c r="CK471" s="883"/>
      <c r="CL471" s="883"/>
      <c r="CM471" s="883"/>
      <c r="CN471" s="883"/>
      <c r="CO471" s="883"/>
      <c r="CP471" s="883"/>
      <c r="CQ471" s="883"/>
      <c r="CR471" s="883"/>
      <c r="CS471" s="883"/>
      <c r="CT471" s="883"/>
      <c r="CU471" s="883"/>
      <c r="CV471" s="863"/>
      <c r="CW471" s="863"/>
      <c r="CX471" s="863"/>
      <c r="CY471" s="863"/>
      <c r="CZ471" s="863"/>
      <c r="DA471" s="863"/>
      <c r="DB471" s="863"/>
      <c r="DC471" s="863"/>
      <c r="DD471" s="863"/>
      <c r="DE471" s="863"/>
    </row>
    <row r="472">
      <c r="A472" s="876"/>
      <c r="B472" s="876"/>
      <c r="C472" s="876"/>
      <c r="D472" s="876"/>
      <c r="E472" s="876"/>
      <c r="F472" s="876"/>
      <c r="G472" s="876"/>
      <c r="H472" s="876"/>
      <c r="I472" s="876"/>
      <c r="J472" s="876"/>
      <c r="K472" s="876"/>
      <c r="L472" s="876"/>
      <c r="M472" s="876"/>
      <c r="N472" s="877"/>
      <c r="O472" s="876"/>
      <c r="P472" s="876"/>
      <c r="Q472" s="876"/>
      <c r="R472" s="876"/>
      <c r="S472" s="876"/>
      <c r="T472" s="876"/>
      <c r="U472" s="876"/>
      <c r="V472" s="876"/>
      <c r="W472" s="876"/>
      <c r="X472" s="876"/>
      <c r="Y472" s="876"/>
      <c r="Z472" s="876"/>
      <c r="AA472" s="876"/>
      <c r="AB472" s="876"/>
      <c r="AC472" s="876"/>
      <c r="AD472" s="876"/>
      <c r="AE472" s="876"/>
      <c r="AF472" s="876"/>
      <c r="AG472" s="876"/>
      <c r="AH472" s="876"/>
      <c r="AI472" s="878"/>
      <c r="AJ472" s="880"/>
      <c r="AK472" s="880"/>
      <c r="AL472" s="880"/>
      <c r="AM472" s="880"/>
      <c r="AN472" s="880"/>
      <c r="AO472" s="880"/>
      <c r="AP472" s="880"/>
      <c r="AQ472" s="880"/>
      <c r="AR472" s="880"/>
      <c r="AS472" s="880"/>
      <c r="AT472" s="880"/>
      <c r="AU472" s="880"/>
      <c r="AV472" s="880"/>
      <c r="AW472" s="881"/>
      <c r="AX472" s="863"/>
      <c r="AY472" s="863"/>
      <c r="AZ472" s="863"/>
      <c r="BA472" s="863"/>
      <c r="BB472" s="863"/>
      <c r="BC472" s="863"/>
      <c r="BD472" s="863"/>
      <c r="BE472" s="863"/>
      <c r="BF472" s="863"/>
      <c r="BG472" s="863"/>
      <c r="BH472" s="863"/>
      <c r="BI472" s="863"/>
      <c r="BJ472" s="863"/>
      <c r="BK472" s="863"/>
      <c r="BL472" s="863"/>
      <c r="BM472" s="863"/>
      <c r="BN472" s="863"/>
      <c r="BO472" s="863"/>
      <c r="BP472" s="880"/>
      <c r="BQ472" s="863"/>
      <c r="BR472" s="883"/>
      <c r="BS472" s="883"/>
      <c r="BT472" s="883"/>
      <c r="BU472" s="883"/>
      <c r="BV472" s="883"/>
      <c r="BW472" s="883"/>
      <c r="BX472" s="883"/>
      <c r="BY472" s="883"/>
      <c r="BZ472" s="883"/>
      <c r="CA472" s="883"/>
      <c r="CB472" s="883"/>
      <c r="CC472" s="883"/>
      <c r="CD472" s="884"/>
      <c r="CE472" s="883"/>
      <c r="CF472" s="883"/>
      <c r="CG472" s="883"/>
      <c r="CH472" s="883"/>
      <c r="CI472" s="883"/>
      <c r="CJ472" s="883"/>
      <c r="CK472" s="883"/>
      <c r="CL472" s="883"/>
      <c r="CM472" s="883"/>
      <c r="CN472" s="883"/>
      <c r="CO472" s="883"/>
      <c r="CP472" s="883"/>
      <c r="CQ472" s="883"/>
      <c r="CR472" s="883"/>
      <c r="CS472" s="883"/>
      <c r="CT472" s="883"/>
      <c r="CU472" s="883"/>
      <c r="CV472" s="863"/>
      <c r="CW472" s="863"/>
      <c r="CX472" s="863"/>
      <c r="CY472" s="863"/>
      <c r="CZ472" s="863"/>
      <c r="DA472" s="863"/>
      <c r="DB472" s="863"/>
      <c r="DC472" s="863"/>
      <c r="DD472" s="863"/>
      <c r="DE472" s="863"/>
    </row>
    <row r="473">
      <c r="A473" s="876"/>
      <c r="B473" s="876"/>
      <c r="C473" s="876"/>
      <c r="D473" s="876"/>
      <c r="E473" s="876"/>
      <c r="F473" s="876"/>
      <c r="G473" s="876"/>
      <c r="H473" s="876"/>
      <c r="I473" s="876"/>
      <c r="J473" s="876"/>
      <c r="K473" s="876"/>
      <c r="L473" s="876"/>
      <c r="M473" s="876"/>
      <c r="N473" s="877"/>
      <c r="O473" s="876"/>
      <c r="P473" s="876"/>
      <c r="Q473" s="876"/>
      <c r="R473" s="876"/>
      <c r="S473" s="876"/>
      <c r="T473" s="876"/>
      <c r="U473" s="876"/>
      <c r="V473" s="876"/>
      <c r="W473" s="876"/>
      <c r="X473" s="876"/>
      <c r="Y473" s="876"/>
      <c r="Z473" s="876"/>
      <c r="AA473" s="876"/>
      <c r="AB473" s="876"/>
      <c r="AC473" s="876"/>
      <c r="AD473" s="876"/>
      <c r="AE473" s="876"/>
      <c r="AF473" s="876"/>
      <c r="AG473" s="876"/>
      <c r="AH473" s="876"/>
      <c r="AI473" s="878"/>
      <c r="AJ473" s="880"/>
      <c r="AK473" s="880"/>
      <c r="AL473" s="880"/>
      <c r="AM473" s="880"/>
      <c r="AN473" s="880"/>
      <c r="AO473" s="880"/>
      <c r="AP473" s="880"/>
      <c r="AQ473" s="880"/>
      <c r="AR473" s="880"/>
      <c r="AS473" s="880"/>
      <c r="AT473" s="880"/>
      <c r="AU473" s="880"/>
      <c r="AV473" s="880"/>
      <c r="AW473" s="881"/>
      <c r="AX473" s="863"/>
      <c r="AY473" s="863"/>
      <c r="AZ473" s="863"/>
      <c r="BA473" s="863"/>
      <c r="BB473" s="863"/>
      <c r="BC473" s="863"/>
      <c r="BD473" s="863"/>
      <c r="BE473" s="863"/>
      <c r="BF473" s="863"/>
      <c r="BG473" s="863"/>
      <c r="BH473" s="863"/>
      <c r="BI473" s="863"/>
      <c r="BJ473" s="863"/>
      <c r="BK473" s="863"/>
      <c r="BL473" s="863"/>
      <c r="BM473" s="863"/>
      <c r="BN473" s="863"/>
      <c r="BO473" s="863"/>
      <c r="BP473" s="880"/>
      <c r="BQ473" s="863"/>
      <c r="BR473" s="883"/>
      <c r="BS473" s="883"/>
      <c r="BT473" s="883"/>
      <c r="BU473" s="883"/>
      <c r="BV473" s="883"/>
      <c r="BW473" s="883"/>
      <c r="BX473" s="883"/>
      <c r="BY473" s="883"/>
      <c r="BZ473" s="883"/>
      <c r="CA473" s="883"/>
      <c r="CB473" s="883"/>
      <c r="CC473" s="883"/>
      <c r="CD473" s="884"/>
      <c r="CE473" s="883"/>
      <c r="CF473" s="883"/>
      <c r="CG473" s="883"/>
      <c r="CH473" s="883"/>
      <c r="CI473" s="883"/>
      <c r="CJ473" s="883"/>
      <c r="CK473" s="883"/>
      <c r="CL473" s="883"/>
      <c r="CM473" s="883"/>
      <c r="CN473" s="883"/>
      <c r="CO473" s="883"/>
      <c r="CP473" s="883"/>
      <c r="CQ473" s="883"/>
      <c r="CR473" s="883"/>
      <c r="CS473" s="883"/>
      <c r="CT473" s="883"/>
      <c r="CU473" s="883"/>
      <c r="CV473" s="863"/>
      <c r="CW473" s="863"/>
      <c r="CX473" s="863"/>
      <c r="CY473" s="863"/>
      <c r="CZ473" s="863"/>
      <c r="DA473" s="863"/>
      <c r="DB473" s="863"/>
      <c r="DC473" s="863"/>
      <c r="DD473" s="863"/>
      <c r="DE473" s="863"/>
    </row>
    <row r="474">
      <c r="A474" s="876"/>
      <c r="B474" s="876"/>
      <c r="C474" s="876"/>
      <c r="D474" s="876"/>
      <c r="E474" s="876"/>
      <c r="F474" s="876"/>
      <c r="G474" s="876"/>
      <c r="H474" s="876"/>
      <c r="I474" s="876"/>
      <c r="J474" s="876"/>
      <c r="K474" s="876"/>
      <c r="L474" s="876"/>
      <c r="M474" s="876"/>
      <c r="N474" s="877"/>
      <c r="O474" s="876"/>
      <c r="P474" s="876"/>
      <c r="Q474" s="876"/>
      <c r="R474" s="876"/>
      <c r="S474" s="876"/>
      <c r="T474" s="876"/>
      <c r="U474" s="876"/>
      <c r="V474" s="876"/>
      <c r="W474" s="876"/>
      <c r="X474" s="876"/>
      <c r="Y474" s="876"/>
      <c r="Z474" s="876"/>
      <c r="AA474" s="876"/>
      <c r="AB474" s="876"/>
      <c r="AC474" s="876"/>
      <c r="AD474" s="876"/>
      <c r="AE474" s="876"/>
      <c r="AF474" s="876"/>
      <c r="AG474" s="876"/>
      <c r="AH474" s="876"/>
      <c r="AI474" s="878"/>
      <c r="AJ474" s="880"/>
      <c r="AK474" s="880"/>
      <c r="AL474" s="880"/>
      <c r="AM474" s="880"/>
      <c r="AN474" s="880"/>
      <c r="AO474" s="880"/>
      <c r="AP474" s="880"/>
      <c r="AQ474" s="880"/>
      <c r="AR474" s="880"/>
      <c r="AS474" s="880"/>
      <c r="AT474" s="880"/>
      <c r="AU474" s="880"/>
      <c r="AV474" s="880"/>
      <c r="AW474" s="881"/>
      <c r="AX474" s="863"/>
      <c r="AY474" s="863"/>
      <c r="AZ474" s="863"/>
      <c r="BA474" s="863"/>
      <c r="BB474" s="863"/>
      <c r="BC474" s="863"/>
      <c r="BD474" s="863"/>
      <c r="BE474" s="863"/>
      <c r="BF474" s="863"/>
      <c r="BG474" s="863"/>
      <c r="BH474" s="863"/>
      <c r="BI474" s="863"/>
      <c r="BJ474" s="863"/>
      <c r="BK474" s="863"/>
      <c r="BL474" s="863"/>
      <c r="BM474" s="863"/>
      <c r="BN474" s="863"/>
      <c r="BO474" s="863"/>
      <c r="BP474" s="880"/>
      <c r="BQ474" s="863"/>
      <c r="BR474" s="883"/>
      <c r="BS474" s="883"/>
      <c r="BT474" s="883"/>
      <c r="BU474" s="883"/>
      <c r="BV474" s="883"/>
      <c r="BW474" s="883"/>
      <c r="BX474" s="883"/>
      <c r="BY474" s="883"/>
      <c r="BZ474" s="883"/>
      <c r="CA474" s="883"/>
      <c r="CB474" s="883"/>
      <c r="CC474" s="883"/>
      <c r="CD474" s="884"/>
      <c r="CE474" s="883"/>
      <c r="CF474" s="883"/>
      <c r="CG474" s="883"/>
      <c r="CH474" s="883"/>
      <c r="CI474" s="883"/>
      <c r="CJ474" s="883"/>
      <c r="CK474" s="883"/>
      <c r="CL474" s="883"/>
      <c r="CM474" s="883"/>
      <c r="CN474" s="883"/>
      <c r="CO474" s="883"/>
      <c r="CP474" s="883"/>
      <c r="CQ474" s="883"/>
      <c r="CR474" s="883"/>
      <c r="CS474" s="883"/>
      <c r="CT474" s="883"/>
      <c r="CU474" s="883"/>
      <c r="CV474" s="863"/>
      <c r="CW474" s="863"/>
      <c r="CX474" s="863"/>
      <c r="CY474" s="863"/>
      <c r="CZ474" s="863"/>
      <c r="DA474" s="863"/>
      <c r="DB474" s="863"/>
      <c r="DC474" s="863"/>
      <c r="DD474" s="863"/>
      <c r="DE474" s="863"/>
    </row>
    <row r="475">
      <c r="A475" s="876"/>
      <c r="B475" s="876"/>
      <c r="C475" s="876"/>
      <c r="D475" s="876"/>
      <c r="E475" s="876"/>
      <c r="F475" s="876"/>
      <c r="G475" s="876"/>
      <c r="H475" s="876"/>
      <c r="I475" s="876"/>
      <c r="J475" s="876"/>
      <c r="K475" s="876"/>
      <c r="L475" s="876"/>
      <c r="M475" s="876"/>
      <c r="N475" s="877"/>
      <c r="O475" s="876"/>
      <c r="P475" s="876"/>
      <c r="Q475" s="876"/>
      <c r="R475" s="876"/>
      <c r="S475" s="876"/>
      <c r="T475" s="876"/>
      <c r="U475" s="876"/>
      <c r="V475" s="876"/>
      <c r="W475" s="876"/>
      <c r="X475" s="876"/>
      <c r="Y475" s="876"/>
      <c r="Z475" s="876"/>
      <c r="AA475" s="876"/>
      <c r="AB475" s="876"/>
      <c r="AC475" s="876"/>
      <c r="AD475" s="876"/>
      <c r="AE475" s="876"/>
      <c r="AF475" s="876"/>
      <c r="AG475" s="876"/>
      <c r="AH475" s="876"/>
      <c r="AI475" s="878"/>
      <c r="AJ475" s="880"/>
      <c r="AK475" s="880"/>
      <c r="AL475" s="880"/>
      <c r="AM475" s="880"/>
      <c r="AN475" s="880"/>
      <c r="AO475" s="880"/>
      <c r="AP475" s="880"/>
      <c r="AQ475" s="880"/>
      <c r="AR475" s="880"/>
      <c r="AS475" s="880"/>
      <c r="AT475" s="880"/>
      <c r="AU475" s="880"/>
      <c r="AV475" s="880"/>
      <c r="AW475" s="881"/>
      <c r="AX475" s="863"/>
      <c r="AY475" s="863"/>
      <c r="AZ475" s="863"/>
      <c r="BA475" s="863"/>
      <c r="BB475" s="863"/>
      <c r="BC475" s="863"/>
      <c r="BD475" s="863"/>
      <c r="BE475" s="863"/>
      <c r="BF475" s="863"/>
      <c r="BG475" s="863"/>
      <c r="BH475" s="863"/>
      <c r="BI475" s="863"/>
      <c r="BJ475" s="863"/>
      <c r="BK475" s="863"/>
      <c r="BL475" s="863"/>
      <c r="BM475" s="863"/>
      <c r="BN475" s="863"/>
      <c r="BO475" s="863"/>
      <c r="BP475" s="880"/>
      <c r="BQ475" s="863"/>
      <c r="BR475" s="883"/>
      <c r="BS475" s="883"/>
      <c r="BT475" s="883"/>
      <c r="BU475" s="883"/>
      <c r="BV475" s="883"/>
      <c r="BW475" s="883"/>
      <c r="BX475" s="883"/>
      <c r="BY475" s="883"/>
      <c r="BZ475" s="883"/>
      <c r="CA475" s="883"/>
      <c r="CB475" s="883"/>
      <c r="CC475" s="883"/>
      <c r="CD475" s="884"/>
      <c r="CE475" s="883"/>
      <c r="CF475" s="883"/>
      <c r="CG475" s="883"/>
      <c r="CH475" s="883"/>
      <c r="CI475" s="883"/>
      <c r="CJ475" s="883"/>
      <c r="CK475" s="883"/>
      <c r="CL475" s="883"/>
      <c r="CM475" s="883"/>
      <c r="CN475" s="883"/>
      <c r="CO475" s="883"/>
      <c r="CP475" s="883"/>
      <c r="CQ475" s="883"/>
      <c r="CR475" s="883"/>
      <c r="CS475" s="883"/>
      <c r="CT475" s="883"/>
      <c r="CU475" s="883"/>
      <c r="CV475" s="863"/>
      <c r="CW475" s="863"/>
      <c r="CX475" s="863"/>
      <c r="CY475" s="863"/>
      <c r="CZ475" s="863"/>
      <c r="DA475" s="863"/>
      <c r="DB475" s="863"/>
      <c r="DC475" s="863"/>
      <c r="DD475" s="863"/>
      <c r="DE475" s="863"/>
    </row>
    <row r="476">
      <c r="A476" s="876"/>
      <c r="B476" s="876"/>
      <c r="C476" s="876"/>
      <c r="D476" s="876"/>
      <c r="E476" s="876"/>
      <c r="F476" s="876"/>
      <c r="G476" s="876"/>
      <c r="H476" s="876"/>
      <c r="I476" s="876"/>
      <c r="J476" s="876"/>
      <c r="K476" s="876"/>
      <c r="L476" s="876"/>
      <c r="M476" s="876"/>
      <c r="N476" s="877"/>
      <c r="O476" s="876"/>
      <c r="P476" s="876"/>
      <c r="Q476" s="876"/>
      <c r="R476" s="876"/>
      <c r="S476" s="876"/>
      <c r="T476" s="876"/>
      <c r="U476" s="876"/>
      <c r="V476" s="876"/>
      <c r="W476" s="876"/>
      <c r="X476" s="876"/>
      <c r="Y476" s="876"/>
      <c r="Z476" s="876"/>
      <c r="AA476" s="876"/>
      <c r="AB476" s="876"/>
      <c r="AC476" s="876"/>
      <c r="AD476" s="876"/>
      <c r="AE476" s="876"/>
      <c r="AF476" s="876"/>
      <c r="AG476" s="876"/>
      <c r="AH476" s="876"/>
      <c r="AI476" s="878"/>
      <c r="AJ476" s="880"/>
      <c r="AK476" s="880"/>
      <c r="AL476" s="880"/>
      <c r="AM476" s="880"/>
      <c r="AN476" s="880"/>
      <c r="AO476" s="880"/>
      <c r="AP476" s="880"/>
      <c r="AQ476" s="880"/>
      <c r="AR476" s="880"/>
      <c r="AS476" s="880"/>
      <c r="AT476" s="880"/>
      <c r="AU476" s="880"/>
      <c r="AV476" s="880"/>
      <c r="AW476" s="881"/>
      <c r="AX476" s="863"/>
      <c r="AY476" s="863"/>
      <c r="AZ476" s="863"/>
      <c r="BA476" s="863"/>
      <c r="BB476" s="863"/>
      <c r="BC476" s="863"/>
      <c r="BD476" s="863"/>
      <c r="BE476" s="863"/>
      <c r="BF476" s="863"/>
      <c r="BG476" s="863"/>
      <c r="BH476" s="863"/>
      <c r="BI476" s="863"/>
      <c r="BJ476" s="863"/>
      <c r="BK476" s="863"/>
      <c r="BL476" s="863"/>
      <c r="BM476" s="863"/>
      <c r="BN476" s="863"/>
      <c r="BO476" s="863"/>
      <c r="BP476" s="880"/>
      <c r="BQ476" s="863"/>
      <c r="BR476" s="883"/>
      <c r="BS476" s="883"/>
      <c r="BT476" s="883"/>
      <c r="BU476" s="883"/>
      <c r="BV476" s="883"/>
      <c r="BW476" s="883"/>
      <c r="BX476" s="883"/>
      <c r="BY476" s="883"/>
      <c r="BZ476" s="883"/>
      <c r="CA476" s="883"/>
      <c r="CB476" s="883"/>
      <c r="CC476" s="883"/>
      <c r="CD476" s="884"/>
      <c r="CE476" s="883"/>
      <c r="CF476" s="883"/>
      <c r="CG476" s="883"/>
      <c r="CH476" s="883"/>
      <c r="CI476" s="883"/>
      <c r="CJ476" s="883"/>
      <c r="CK476" s="883"/>
      <c r="CL476" s="883"/>
      <c r="CM476" s="883"/>
      <c r="CN476" s="883"/>
      <c r="CO476" s="883"/>
      <c r="CP476" s="883"/>
      <c r="CQ476" s="883"/>
      <c r="CR476" s="883"/>
      <c r="CS476" s="883"/>
      <c r="CT476" s="883"/>
      <c r="CU476" s="883"/>
      <c r="CV476" s="863"/>
      <c r="CW476" s="863"/>
      <c r="CX476" s="863"/>
      <c r="CY476" s="863"/>
      <c r="CZ476" s="863"/>
      <c r="DA476" s="863"/>
      <c r="DB476" s="863"/>
      <c r="DC476" s="863"/>
      <c r="DD476" s="863"/>
      <c r="DE476" s="863"/>
    </row>
    <row r="477">
      <c r="A477" s="876"/>
      <c r="B477" s="876"/>
      <c r="C477" s="876"/>
      <c r="D477" s="876"/>
      <c r="E477" s="876"/>
      <c r="F477" s="876"/>
      <c r="G477" s="876"/>
      <c r="H477" s="876"/>
      <c r="I477" s="876"/>
      <c r="J477" s="876"/>
      <c r="K477" s="876"/>
      <c r="L477" s="876"/>
      <c r="M477" s="876"/>
      <c r="N477" s="877"/>
      <c r="O477" s="876"/>
      <c r="P477" s="876"/>
      <c r="Q477" s="876"/>
      <c r="R477" s="876"/>
      <c r="S477" s="876"/>
      <c r="T477" s="876"/>
      <c r="U477" s="876"/>
      <c r="V477" s="876"/>
      <c r="W477" s="876"/>
      <c r="X477" s="876"/>
      <c r="Y477" s="876"/>
      <c r="Z477" s="876"/>
      <c r="AA477" s="876"/>
      <c r="AB477" s="876"/>
      <c r="AC477" s="876"/>
      <c r="AD477" s="876"/>
      <c r="AE477" s="876"/>
      <c r="AF477" s="876"/>
      <c r="AG477" s="876"/>
      <c r="AH477" s="876"/>
      <c r="AI477" s="878"/>
      <c r="AJ477" s="880"/>
      <c r="AK477" s="880"/>
      <c r="AL477" s="880"/>
      <c r="AM477" s="880"/>
      <c r="AN477" s="880"/>
      <c r="AO477" s="880"/>
      <c r="AP477" s="880"/>
      <c r="AQ477" s="880"/>
      <c r="AR477" s="880"/>
      <c r="AS477" s="880"/>
      <c r="AT477" s="880"/>
      <c r="AU477" s="880"/>
      <c r="AV477" s="880"/>
      <c r="AW477" s="881"/>
      <c r="AX477" s="863"/>
      <c r="AY477" s="863"/>
      <c r="AZ477" s="863"/>
      <c r="BA477" s="863"/>
      <c r="BB477" s="863"/>
      <c r="BC477" s="863"/>
      <c r="BD477" s="863"/>
      <c r="BE477" s="863"/>
      <c r="BF477" s="863"/>
      <c r="BG477" s="863"/>
      <c r="BH477" s="863"/>
      <c r="BI477" s="863"/>
      <c r="BJ477" s="863"/>
      <c r="BK477" s="863"/>
      <c r="BL477" s="863"/>
      <c r="BM477" s="863"/>
      <c r="BN477" s="863"/>
      <c r="BO477" s="863"/>
      <c r="BP477" s="880"/>
      <c r="BQ477" s="863"/>
      <c r="BR477" s="883"/>
      <c r="BS477" s="883"/>
      <c r="BT477" s="883"/>
      <c r="BU477" s="883"/>
      <c r="BV477" s="883"/>
      <c r="BW477" s="883"/>
      <c r="BX477" s="883"/>
      <c r="BY477" s="883"/>
      <c r="BZ477" s="883"/>
      <c r="CA477" s="883"/>
      <c r="CB477" s="883"/>
      <c r="CC477" s="883"/>
      <c r="CD477" s="884"/>
      <c r="CE477" s="883"/>
      <c r="CF477" s="883"/>
      <c r="CG477" s="883"/>
      <c r="CH477" s="883"/>
      <c r="CI477" s="883"/>
      <c r="CJ477" s="883"/>
      <c r="CK477" s="883"/>
      <c r="CL477" s="883"/>
      <c r="CM477" s="883"/>
      <c r="CN477" s="883"/>
      <c r="CO477" s="883"/>
      <c r="CP477" s="883"/>
      <c r="CQ477" s="883"/>
      <c r="CR477" s="883"/>
      <c r="CS477" s="883"/>
      <c r="CT477" s="883"/>
      <c r="CU477" s="883"/>
      <c r="CV477" s="863"/>
      <c r="CW477" s="863"/>
      <c r="CX477" s="863"/>
      <c r="CY477" s="863"/>
      <c r="CZ477" s="863"/>
      <c r="DA477" s="863"/>
      <c r="DB477" s="863"/>
      <c r="DC477" s="863"/>
      <c r="DD477" s="863"/>
      <c r="DE477" s="863"/>
    </row>
    <row r="478">
      <c r="A478" s="876"/>
      <c r="B478" s="876"/>
      <c r="C478" s="876"/>
      <c r="D478" s="876"/>
      <c r="E478" s="876"/>
      <c r="F478" s="876"/>
      <c r="G478" s="876"/>
      <c r="H478" s="876"/>
      <c r="I478" s="876"/>
      <c r="J478" s="876"/>
      <c r="K478" s="876"/>
      <c r="L478" s="876"/>
      <c r="M478" s="876"/>
      <c r="N478" s="877"/>
      <c r="O478" s="876"/>
      <c r="P478" s="876"/>
      <c r="Q478" s="876"/>
      <c r="R478" s="876"/>
      <c r="S478" s="876"/>
      <c r="T478" s="876"/>
      <c r="U478" s="876"/>
      <c r="V478" s="876"/>
      <c r="W478" s="876"/>
      <c r="X478" s="876"/>
      <c r="Y478" s="876"/>
      <c r="Z478" s="876"/>
      <c r="AA478" s="876"/>
      <c r="AB478" s="876"/>
      <c r="AC478" s="876"/>
      <c r="AD478" s="876"/>
      <c r="AE478" s="876"/>
      <c r="AF478" s="876"/>
      <c r="AG478" s="876"/>
      <c r="AH478" s="876"/>
      <c r="AI478" s="878"/>
      <c r="AJ478" s="880"/>
      <c r="AK478" s="880"/>
      <c r="AL478" s="880"/>
      <c r="AM478" s="880"/>
      <c r="AN478" s="880"/>
      <c r="AO478" s="880"/>
      <c r="AP478" s="880"/>
      <c r="AQ478" s="880"/>
      <c r="AR478" s="880"/>
      <c r="AS478" s="880"/>
      <c r="AT478" s="880"/>
      <c r="AU478" s="880"/>
      <c r="AV478" s="880"/>
      <c r="AW478" s="881"/>
      <c r="AX478" s="863"/>
      <c r="AY478" s="863"/>
      <c r="AZ478" s="863"/>
      <c r="BA478" s="863"/>
      <c r="BB478" s="863"/>
      <c r="BC478" s="863"/>
      <c r="BD478" s="863"/>
      <c r="BE478" s="863"/>
      <c r="BF478" s="863"/>
      <c r="BG478" s="863"/>
      <c r="BH478" s="863"/>
      <c r="BI478" s="863"/>
      <c r="BJ478" s="863"/>
      <c r="BK478" s="863"/>
      <c r="BL478" s="863"/>
      <c r="BM478" s="863"/>
      <c r="BN478" s="863"/>
      <c r="BO478" s="863"/>
      <c r="BP478" s="880"/>
      <c r="BQ478" s="863"/>
      <c r="BR478" s="883"/>
      <c r="BS478" s="883"/>
      <c r="BT478" s="883"/>
      <c r="BU478" s="883"/>
      <c r="BV478" s="883"/>
      <c r="BW478" s="883"/>
      <c r="BX478" s="883"/>
      <c r="BY478" s="883"/>
      <c r="BZ478" s="883"/>
      <c r="CA478" s="883"/>
      <c r="CB478" s="883"/>
      <c r="CC478" s="883"/>
      <c r="CD478" s="884"/>
      <c r="CE478" s="883"/>
      <c r="CF478" s="883"/>
      <c r="CG478" s="883"/>
      <c r="CH478" s="883"/>
      <c r="CI478" s="883"/>
      <c r="CJ478" s="883"/>
      <c r="CK478" s="883"/>
      <c r="CL478" s="883"/>
      <c r="CM478" s="883"/>
      <c r="CN478" s="883"/>
      <c r="CO478" s="883"/>
      <c r="CP478" s="883"/>
      <c r="CQ478" s="883"/>
      <c r="CR478" s="883"/>
      <c r="CS478" s="883"/>
      <c r="CT478" s="883"/>
      <c r="CU478" s="883"/>
      <c r="CV478" s="863"/>
      <c r="CW478" s="863"/>
      <c r="CX478" s="863"/>
      <c r="CY478" s="863"/>
      <c r="CZ478" s="863"/>
      <c r="DA478" s="863"/>
      <c r="DB478" s="863"/>
      <c r="DC478" s="863"/>
      <c r="DD478" s="863"/>
      <c r="DE478" s="863"/>
    </row>
    <row r="479">
      <c r="A479" s="876"/>
      <c r="B479" s="876"/>
      <c r="C479" s="876"/>
      <c r="D479" s="876"/>
      <c r="E479" s="876"/>
      <c r="F479" s="876"/>
      <c r="G479" s="876"/>
      <c r="H479" s="876"/>
      <c r="I479" s="876"/>
      <c r="J479" s="876"/>
      <c r="K479" s="876"/>
      <c r="L479" s="876"/>
      <c r="M479" s="876"/>
      <c r="N479" s="877"/>
      <c r="O479" s="876"/>
      <c r="P479" s="876"/>
      <c r="Q479" s="876"/>
      <c r="R479" s="876"/>
      <c r="S479" s="876"/>
      <c r="T479" s="876"/>
      <c r="U479" s="876"/>
      <c r="V479" s="876"/>
      <c r="W479" s="876"/>
      <c r="X479" s="876"/>
      <c r="Y479" s="876"/>
      <c r="Z479" s="876"/>
      <c r="AA479" s="876"/>
      <c r="AB479" s="876"/>
      <c r="AC479" s="876"/>
      <c r="AD479" s="876"/>
      <c r="AE479" s="876"/>
      <c r="AF479" s="876"/>
      <c r="AG479" s="876"/>
      <c r="AH479" s="876"/>
      <c r="AI479" s="878"/>
      <c r="AJ479" s="880"/>
      <c r="AK479" s="880"/>
      <c r="AL479" s="880"/>
      <c r="AM479" s="880"/>
      <c r="AN479" s="880"/>
      <c r="AO479" s="880"/>
      <c r="AP479" s="880"/>
      <c r="AQ479" s="880"/>
      <c r="AR479" s="880"/>
      <c r="AS479" s="880"/>
      <c r="AT479" s="880"/>
      <c r="AU479" s="880"/>
      <c r="AV479" s="880"/>
      <c r="AW479" s="881"/>
      <c r="AX479" s="863"/>
      <c r="AY479" s="863"/>
      <c r="AZ479" s="863"/>
      <c r="BA479" s="863"/>
      <c r="BB479" s="863"/>
      <c r="BC479" s="863"/>
      <c r="BD479" s="863"/>
      <c r="BE479" s="863"/>
      <c r="BF479" s="863"/>
      <c r="BG479" s="863"/>
      <c r="BH479" s="863"/>
      <c r="BI479" s="863"/>
      <c r="BJ479" s="863"/>
      <c r="BK479" s="863"/>
      <c r="BL479" s="863"/>
      <c r="BM479" s="863"/>
      <c r="BN479" s="863"/>
      <c r="BO479" s="863"/>
      <c r="BP479" s="880"/>
      <c r="BQ479" s="863"/>
      <c r="BR479" s="883"/>
      <c r="BS479" s="883"/>
      <c r="BT479" s="883"/>
      <c r="BU479" s="883"/>
      <c r="BV479" s="883"/>
      <c r="BW479" s="883"/>
      <c r="BX479" s="883"/>
      <c r="BY479" s="883"/>
      <c r="BZ479" s="883"/>
      <c r="CA479" s="883"/>
      <c r="CB479" s="883"/>
      <c r="CC479" s="883"/>
      <c r="CD479" s="884"/>
      <c r="CE479" s="883"/>
      <c r="CF479" s="883"/>
      <c r="CG479" s="883"/>
      <c r="CH479" s="883"/>
      <c r="CI479" s="883"/>
      <c r="CJ479" s="883"/>
      <c r="CK479" s="883"/>
      <c r="CL479" s="883"/>
      <c r="CM479" s="883"/>
      <c r="CN479" s="883"/>
      <c r="CO479" s="883"/>
      <c r="CP479" s="883"/>
      <c r="CQ479" s="883"/>
      <c r="CR479" s="883"/>
      <c r="CS479" s="883"/>
      <c r="CT479" s="883"/>
      <c r="CU479" s="883"/>
      <c r="CV479" s="863"/>
      <c r="CW479" s="863"/>
      <c r="CX479" s="863"/>
      <c r="CY479" s="863"/>
      <c r="CZ479" s="863"/>
      <c r="DA479" s="863"/>
      <c r="DB479" s="863"/>
      <c r="DC479" s="863"/>
      <c r="DD479" s="863"/>
      <c r="DE479" s="863"/>
    </row>
    <row r="480">
      <c r="A480" s="876"/>
      <c r="B480" s="876"/>
      <c r="C480" s="876"/>
      <c r="D480" s="876"/>
      <c r="E480" s="876"/>
      <c r="F480" s="876"/>
      <c r="G480" s="876"/>
      <c r="H480" s="876"/>
      <c r="I480" s="876"/>
      <c r="J480" s="876"/>
      <c r="K480" s="876"/>
      <c r="L480" s="876"/>
      <c r="M480" s="876"/>
      <c r="N480" s="877"/>
      <c r="O480" s="876"/>
      <c r="P480" s="876"/>
      <c r="Q480" s="876"/>
      <c r="R480" s="876"/>
      <c r="S480" s="876"/>
      <c r="T480" s="876"/>
      <c r="U480" s="876"/>
      <c r="V480" s="876"/>
      <c r="W480" s="876"/>
      <c r="X480" s="876"/>
      <c r="Y480" s="876"/>
      <c r="Z480" s="876"/>
      <c r="AA480" s="876"/>
      <c r="AB480" s="876"/>
      <c r="AC480" s="876"/>
      <c r="AD480" s="876"/>
      <c r="AE480" s="876"/>
      <c r="AF480" s="876"/>
      <c r="AG480" s="876"/>
      <c r="AH480" s="876"/>
      <c r="AI480" s="878"/>
      <c r="AJ480" s="880"/>
      <c r="AK480" s="880"/>
      <c r="AL480" s="880"/>
      <c r="AM480" s="880"/>
      <c r="AN480" s="880"/>
      <c r="AO480" s="880"/>
      <c r="AP480" s="880"/>
      <c r="AQ480" s="880"/>
      <c r="AR480" s="880"/>
      <c r="AS480" s="880"/>
      <c r="AT480" s="880"/>
      <c r="AU480" s="880"/>
      <c r="AV480" s="880"/>
      <c r="AW480" s="881"/>
      <c r="AX480" s="863"/>
      <c r="AY480" s="863"/>
      <c r="AZ480" s="863"/>
      <c r="BA480" s="863"/>
      <c r="BB480" s="863"/>
      <c r="BC480" s="863"/>
      <c r="BD480" s="863"/>
      <c r="BE480" s="863"/>
      <c r="BF480" s="863"/>
      <c r="BG480" s="863"/>
      <c r="BH480" s="863"/>
      <c r="BI480" s="863"/>
      <c r="BJ480" s="863"/>
      <c r="BK480" s="863"/>
      <c r="BL480" s="863"/>
      <c r="BM480" s="863"/>
      <c r="BN480" s="863"/>
      <c r="BO480" s="863"/>
      <c r="BP480" s="880"/>
      <c r="BQ480" s="863"/>
      <c r="BR480" s="883"/>
      <c r="BS480" s="883"/>
      <c r="BT480" s="883"/>
      <c r="BU480" s="883"/>
      <c r="BV480" s="883"/>
      <c r="BW480" s="883"/>
      <c r="BX480" s="883"/>
      <c r="BY480" s="883"/>
      <c r="BZ480" s="883"/>
      <c r="CA480" s="883"/>
      <c r="CB480" s="883"/>
      <c r="CC480" s="883"/>
      <c r="CD480" s="884"/>
      <c r="CE480" s="883"/>
      <c r="CF480" s="883"/>
      <c r="CG480" s="883"/>
      <c r="CH480" s="883"/>
      <c r="CI480" s="883"/>
      <c r="CJ480" s="883"/>
      <c r="CK480" s="883"/>
      <c r="CL480" s="883"/>
      <c r="CM480" s="883"/>
      <c r="CN480" s="883"/>
      <c r="CO480" s="883"/>
      <c r="CP480" s="883"/>
      <c r="CQ480" s="883"/>
      <c r="CR480" s="883"/>
      <c r="CS480" s="883"/>
      <c r="CT480" s="883"/>
      <c r="CU480" s="883"/>
      <c r="CV480" s="863"/>
      <c r="CW480" s="863"/>
      <c r="CX480" s="863"/>
      <c r="CY480" s="863"/>
      <c r="CZ480" s="863"/>
      <c r="DA480" s="863"/>
      <c r="DB480" s="863"/>
      <c r="DC480" s="863"/>
      <c r="DD480" s="863"/>
      <c r="DE480" s="863"/>
    </row>
    <row r="481">
      <c r="A481" s="876"/>
      <c r="B481" s="876"/>
      <c r="C481" s="876"/>
      <c r="D481" s="876"/>
      <c r="E481" s="876"/>
      <c r="F481" s="876"/>
      <c r="G481" s="876"/>
      <c r="H481" s="876"/>
      <c r="I481" s="876"/>
      <c r="J481" s="876"/>
      <c r="K481" s="876"/>
      <c r="L481" s="876"/>
      <c r="M481" s="876"/>
      <c r="N481" s="877"/>
      <c r="O481" s="876"/>
      <c r="P481" s="876"/>
      <c r="Q481" s="876"/>
      <c r="R481" s="876"/>
      <c r="S481" s="876"/>
      <c r="T481" s="876"/>
      <c r="U481" s="876"/>
      <c r="V481" s="876"/>
      <c r="W481" s="876"/>
      <c r="X481" s="876"/>
      <c r="Y481" s="876"/>
      <c r="Z481" s="876"/>
      <c r="AA481" s="876"/>
      <c r="AB481" s="876"/>
      <c r="AC481" s="876"/>
      <c r="AD481" s="876"/>
      <c r="AE481" s="876"/>
      <c r="AF481" s="876"/>
      <c r="AG481" s="876"/>
      <c r="AH481" s="876"/>
      <c r="AI481" s="878"/>
      <c r="AJ481" s="880"/>
      <c r="AK481" s="880"/>
      <c r="AL481" s="880"/>
      <c r="AM481" s="880"/>
      <c r="AN481" s="880"/>
      <c r="AO481" s="880"/>
      <c r="AP481" s="880"/>
      <c r="AQ481" s="880"/>
      <c r="AR481" s="880"/>
      <c r="AS481" s="880"/>
      <c r="AT481" s="880"/>
      <c r="AU481" s="880"/>
      <c r="AV481" s="880"/>
      <c r="AW481" s="881"/>
      <c r="AX481" s="863"/>
      <c r="AY481" s="863"/>
      <c r="AZ481" s="863"/>
      <c r="BA481" s="863"/>
      <c r="BB481" s="863"/>
      <c r="BC481" s="863"/>
      <c r="BD481" s="863"/>
      <c r="BE481" s="863"/>
      <c r="BF481" s="863"/>
      <c r="BG481" s="863"/>
      <c r="BH481" s="863"/>
      <c r="BI481" s="863"/>
      <c r="BJ481" s="863"/>
      <c r="BK481" s="863"/>
      <c r="BL481" s="863"/>
      <c r="BM481" s="863"/>
      <c r="BN481" s="863"/>
      <c r="BO481" s="863"/>
      <c r="BP481" s="880"/>
      <c r="BQ481" s="863"/>
      <c r="BR481" s="883"/>
      <c r="BS481" s="883"/>
      <c r="BT481" s="883"/>
      <c r="BU481" s="883"/>
      <c r="BV481" s="883"/>
      <c r="BW481" s="883"/>
      <c r="BX481" s="883"/>
      <c r="BY481" s="883"/>
      <c r="BZ481" s="883"/>
      <c r="CA481" s="883"/>
      <c r="CB481" s="883"/>
      <c r="CC481" s="883"/>
      <c r="CD481" s="884"/>
      <c r="CE481" s="883"/>
      <c r="CF481" s="883"/>
      <c r="CG481" s="883"/>
      <c r="CH481" s="883"/>
      <c r="CI481" s="883"/>
      <c r="CJ481" s="883"/>
      <c r="CK481" s="883"/>
      <c r="CL481" s="883"/>
      <c r="CM481" s="883"/>
      <c r="CN481" s="883"/>
      <c r="CO481" s="883"/>
      <c r="CP481" s="883"/>
      <c r="CQ481" s="883"/>
      <c r="CR481" s="883"/>
      <c r="CS481" s="883"/>
      <c r="CT481" s="883"/>
      <c r="CU481" s="883"/>
      <c r="CV481" s="863"/>
      <c r="CW481" s="863"/>
      <c r="CX481" s="863"/>
      <c r="CY481" s="863"/>
      <c r="CZ481" s="863"/>
      <c r="DA481" s="863"/>
      <c r="DB481" s="863"/>
      <c r="DC481" s="863"/>
      <c r="DD481" s="863"/>
      <c r="DE481" s="863"/>
    </row>
    <row r="482">
      <c r="A482" s="876"/>
      <c r="B482" s="876"/>
      <c r="C482" s="876"/>
      <c r="D482" s="876"/>
      <c r="E482" s="876"/>
      <c r="F482" s="876"/>
      <c r="G482" s="876"/>
      <c r="H482" s="876"/>
      <c r="I482" s="876"/>
      <c r="J482" s="876"/>
      <c r="K482" s="876"/>
      <c r="L482" s="876"/>
      <c r="M482" s="876"/>
      <c r="N482" s="877"/>
      <c r="O482" s="876"/>
      <c r="P482" s="876"/>
      <c r="Q482" s="876"/>
      <c r="R482" s="876"/>
      <c r="S482" s="876"/>
      <c r="T482" s="876"/>
      <c r="U482" s="876"/>
      <c r="V482" s="876"/>
      <c r="W482" s="876"/>
      <c r="X482" s="876"/>
      <c r="Y482" s="876"/>
      <c r="Z482" s="876"/>
      <c r="AA482" s="876"/>
      <c r="AB482" s="876"/>
      <c r="AC482" s="876"/>
      <c r="AD482" s="876"/>
      <c r="AE482" s="876"/>
      <c r="AF482" s="876"/>
      <c r="AG482" s="876"/>
      <c r="AH482" s="876"/>
      <c r="AI482" s="878"/>
      <c r="AJ482" s="880"/>
      <c r="AK482" s="880"/>
      <c r="AL482" s="880"/>
      <c r="AM482" s="880"/>
      <c r="AN482" s="880"/>
      <c r="AO482" s="880"/>
      <c r="AP482" s="880"/>
      <c r="AQ482" s="880"/>
      <c r="AR482" s="880"/>
      <c r="AS482" s="880"/>
      <c r="AT482" s="880"/>
      <c r="AU482" s="880"/>
      <c r="AV482" s="880"/>
      <c r="AW482" s="881"/>
      <c r="AX482" s="863"/>
      <c r="AY482" s="863"/>
      <c r="AZ482" s="863"/>
      <c r="BA482" s="863"/>
      <c r="BB482" s="863"/>
      <c r="BC482" s="863"/>
      <c r="BD482" s="863"/>
      <c r="BE482" s="863"/>
      <c r="BF482" s="863"/>
      <c r="BG482" s="863"/>
      <c r="BH482" s="863"/>
      <c r="BI482" s="863"/>
      <c r="BJ482" s="863"/>
      <c r="BK482" s="863"/>
      <c r="BL482" s="863"/>
      <c r="BM482" s="863"/>
      <c r="BN482" s="863"/>
      <c r="BO482" s="863"/>
      <c r="BP482" s="880"/>
      <c r="BQ482" s="863"/>
      <c r="BR482" s="883"/>
      <c r="BS482" s="883"/>
      <c r="BT482" s="883"/>
      <c r="BU482" s="883"/>
      <c r="BV482" s="883"/>
      <c r="BW482" s="883"/>
      <c r="BX482" s="883"/>
      <c r="BY482" s="883"/>
      <c r="BZ482" s="883"/>
      <c r="CA482" s="883"/>
      <c r="CB482" s="883"/>
      <c r="CC482" s="883"/>
      <c r="CD482" s="884"/>
      <c r="CE482" s="883"/>
      <c r="CF482" s="883"/>
      <c r="CG482" s="883"/>
      <c r="CH482" s="883"/>
      <c r="CI482" s="883"/>
      <c r="CJ482" s="883"/>
      <c r="CK482" s="883"/>
      <c r="CL482" s="883"/>
      <c r="CM482" s="883"/>
      <c r="CN482" s="883"/>
      <c r="CO482" s="883"/>
      <c r="CP482" s="883"/>
      <c r="CQ482" s="883"/>
      <c r="CR482" s="883"/>
      <c r="CS482" s="883"/>
      <c r="CT482" s="883"/>
      <c r="CU482" s="883"/>
      <c r="CV482" s="863"/>
      <c r="CW482" s="863"/>
      <c r="CX482" s="863"/>
      <c r="CY482" s="863"/>
      <c r="CZ482" s="863"/>
      <c r="DA482" s="863"/>
      <c r="DB482" s="863"/>
      <c r="DC482" s="863"/>
      <c r="DD482" s="863"/>
      <c r="DE482" s="863"/>
    </row>
    <row r="483">
      <c r="A483" s="876"/>
      <c r="B483" s="876"/>
      <c r="C483" s="876"/>
      <c r="D483" s="876"/>
      <c r="E483" s="876"/>
      <c r="F483" s="876"/>
      <c r="G483" s="876"/>
      <c r="H483" s="876"/>
      <c r="I483" s="876"/>
      <c r="J483" s="876"/>
      <c r="K483" s="876"/>
      <c r="L483" s="876"/>
      <c r="M483" s="876"/>
      <c r="N483" s="877"/>
      <c r="O483" s="876"/>
      <c r="P483" s="876"/>
      <c r="Q483" s="876"/>
      <c r="R483" s="876"/>
      <c r="S483" s="876"/>
      <c r="T483" s="876"/>
      <c r="U483" s="876"/>
      <c r="V483" s="876"/>
      <c r="W483" s="876"/>
      <c r="X483" s="876"/>
      <c r="Y483" s="876"/>
      <c r="Z483" s="876"/>
      <c r="AA483" s="876"/>
      <c r="AB483" s="876"/>
      <c r="AC483" s="876"/>
      <c r="AD483" s="876"/>
      <c r="AE483" s="876"/>
      <c r="AF483" s="876"/>
      <c r="AG483" s="876"/>
      <c r="AH483" s="876"/>
      <c r="AI483" s="878"/>
      <c r="AJ483" s="880"/>
      <c r="AK483" s="880"/>
      <c r="AL483" s="880"/>
      <c r="AM483" s="880"/>
      <c r="AN483" s="880"/>
      <c r="AO483" s="880"/>
      <c r="AP483" s="880"/>
      <c r="AQ483" s="880"/>
      <c r="AR483" s="880"/>
      <c r="AS483" s="880"/>
      <c r="AT483" s="880"/>
      <c r="AU483" s="880"/>
      <c r="AV483" s="880"/>
      <c r="AW483" s="881"/>
      <c r="AX483" s="863"/>
      <c r="AY483" s="863"/>
      <c r="AZ483" s="863"/>
      <c r="BA483" s="863"/>
      <c r="BB483" s="863"/>
      <c r="BC483" s="863"/>
      <c r="BD483" s="863"/>
      <c r="BE483" s="863"/>
      <c r="BF483" s="863"/>
      <c r="BG483" s="863"/>
      <c r="BH483" s="863"/>
      <c r="BI483" s="863"/>
      <c r="BJ483" s="863"/>
      <c r="BK483" s="863"/>
      <c r="BL483" s="863"/>
      <c r="BM483" s="863"/>
      <c r="BN483" s="863"/>
      <c r="BO483" s="863"/>
      <c r="BP483" s="880"/>
      <c r="BQ483" s="863"/>
      <c r="BR483" s="883"/>
      <c r="BS483" s="883"/>
      <c r="BT483" s="883"/>
      <c r="BU483" s="883"/>
      <c r="BV483" s="883"/>
      <c r="BW483" s="883"/>
      <c r="BX483" s="883"/>
      <c r="BY483" s="883"/>
      <c r="BZ483" s="883"/>
      <c r="CA483" s="883"/>
      <c r="CB483" s="883"/>
      <c r="CC483" s="883"/>
      <c r="CD483" s="884"/>
      <c r="CE483" s="883"/>
      <c r="CF483" s="883"/>
      <c r="CG483" s="883"/>
      <c r="CH483" s="883"/>
      <c r="CI483" s="883"/>
      <c r="CJ483" s="883"/>
      <c r="CK483" s="883"/>
      <c r="CL483" s="883"/>
      <c r="CM483" s="883"/>
      <c r="CN483" s="883"/>
      <c r="CO483" s="883"/>
      <c r="CP483" s="883"/>
      <c r="CQ483" s="883"/>
      <c r="CR483" s="883"/>
      <c r="CS483" s="883"/>
      <c r="CT483" s="883"/>
      <c r="CU483" s="883"/>
      <c r="CV483" s="863"/>
      <c r="CW483" s="863"/>
      <c r="CX483" s="863"/>
      <c r="CY483" s="863"/>
      <c r="CZ483" s="863"/>
      <c r="DA483" s="863"/>
      <c r="DB483" s="863"/>
      <c r="DC483" s="863"/>
      <c r="DD483" s="863"/>
      <c r="DE483" s="863"/>
    </row>
    <row r="484">
      <c r="A484" s="876"/>
      <c r="B484" s="876"/>
      <c r="C484" s="876"/>
      <c r="D484" s="876"/>
      <c r="E484" s="876"/>
      <c r="F484" s="876"/>
      <c r="G484" s="876"/>
      <c r="H484" s="876"/>
      <c r="I484" s="876"/>
      <c r="J484" s="876"/>
      <c r="K484" s="876"/>
      <c r="L484" s="876"/>
      <c r="M484" s="876"/>
      <c r="N484" s="877"/>
      <c r="O484" s="876"/>
      <c r="P484" s="876"/>
      <c r="Q484" s="876"/>
      <c r="R484" s="876"/>
      <c r="S484" s="876"/>
      <c r="T484" s="876"/>
      <c r="U484" s="876"/>
      <c r="V484" s="876"/>
      <c r="W484" s="876"/>
      <c r="X484" s="876"/>
      <c r="Y484" s="876"/>
      <c r="Z484" s="876"/>
      <c r="AA484" s="876"/>
      <c r="AB484" s="876"/>
      <c r="AC484" s="876"/>
      <c r="AD484" s="876"/>
      <c r="AE484" s="876"/>
      <c r="AF484" s="876"/>
      <c r="AG484" s="876"/>
      <c r="AH484" s="876"/>
      <c r="AI484" s="878"/>
      <c r="AJ484" s="880"/>
      <c r="AK484" s="880"/>
      <c r="AL484" s="880"/>
      <c r="AM484" s="880"/>
      <c r="AN484" s="880"/>
      <c r="AO484" s="880"/>
      <c r="AP484" s="880"/>
      <c r="AQ484" s="880"/>
      <c r="AR484" s="880"/>
      <c r="AS484" s="880"/>
      <c r="AT484" s="880"/>
      <c r="AU484" s="880"/>
      <c r="AV484" s="880"/>
      <c r="AW484" s="881"/>
      <c r="AX484" s="863"/>
      <c r="AY484" s="863"/>
      <c r="AZ484" s="863"/>
      <c r="BA484" s="863"/>
      <c r="BB484" s="863"/>
      <c r="BC484" s="863"/>
      <c r="BD484" s="863"/>
      <c r="BE484" s="863"/>
      <c r="BF484" s="863"/>
      <c r="BG484" s="863"/>
      <c r="BH484" s="863"/>
      <c r="BI484" s="863"/>
      <c r="BJ484" s="863"/>
      <c r="BK484" s="863"/>
      <c r="BL484" s="863"/>
      <c r="BM484" s="863"/>
      <c r="BN484" s="863"/>
      <c r="BO484" s="863"/>
      <c r="BP484" s="880"/>
      <c r="BQ484" s="863"/>
      <c r="BR484" s="883"/>
      <c r="BS484" s="883"/>
      <c r="BT484" s="883"/>
      <c r="BU484" s="883"/>
      <c r="BV484" s="883"/>
      <c r="BW484" s="883"/>
      <c r="BX484" s="883"/>
      <c r="BY484" s="883"/>
      <c r="BZ484" s="883"/>
      <c r="CA484" s="883"/>
      <c r="CB484" s="883"/>
      <c r="CC484" s="883"/>
      <c r="CD484" s="884"/>
      <c r="CE484" s="883"/>
      <c r="CF484" s="883"/>
      <c r="CG484" s="883"/>
      <c r="CH484" s="883"/>
      <c r="CI484" s="883"/>
      <c r="CJ484" s="883"/>
      <c r="CK484" s="883"/>
      <c r="CL484" s="883"/>
      <c r="CM484" s="883"/>
      <c r="CN484" s="883"/>
      <c r="CO484" s="883"/>
      <c r="CP484" s="883"/>
      <c r="CQ484" s="883"/>
      <c r="CR484" s="883"/>
      <c r="CS484" s="883"/>
      <c r="CT484" s="883"/>
      <c r="CU484" s="883"/>
      <c r="CV484" s="863"/>
      <c r="CW484" s="863"/>
      <c r="CX484" s="863"/>
      <c r="CY484" s="863"/>
      <c r="CZ484" s="863"/>
      <c r="DA484" s="863"/>
      <c r="DB484" s="863"/>
      <c r="DC484" s="863"/>
      <c r="DD484" s="863"/>
      <c r="DE484" s="863"/>
    </row>
    <row r="485">
      <c r="A485" s="876"/>
      <c r="B485" s="876"/>
      <c r="C485" s="876"/>
      <c r="D485" s="876"/>
      <c r="E485" s="876"/>
      <c r="F485" s="876"/>
      <c r="G485" s="876"/>
      <c r="H485" s="876"/>
      <c r="I485" s="876"/>
      <c r="J485" s="876"/>
      <c r="K485" s="876"/>
      <c r="L485" s="876"/>
      <c r="M485" s="876"/>
      <c r="N485" s="877"/>
      <c r="O485" s="876"/>
      <c r="P485" s="876"/>
      <c r="Q485" s="876"/>
      <c r="R485" s="876"/>
      <c r="S485" s="876"/>
      <c r="T485" s="876"/>
      <c r="U485" s="876"/>
      <c r="V485" s="876"/>
      <c r="W485" s="876"/>
      <c r="X485" s="876"/>
      <c r="Y485" s="876"/>
      <c r="Z485" s="876"/>
      <c r="AA485" s="876"/>
      <c r="AB485" s="876"/>
      <c r="AC485" s="876"/>
      <c r="AD485" s="876"/>
      <c r="AE485" s="876"/>
      <c r="AF485" s="876"/>
      <c r="AG485" s="876"/>
      <c r="AH485" s="876"/>
      <c r="AI485" s="878"/>
      <c r="AJ485" s="880"/>
      <c r="AK485" s="880"/>
      <c r="AL485" s="880"/>
      <c r="AM485" s="880"/>
      <c r="AN485" s="880"/>
      <c r="AO485" s="880"/>
      <c r="AP485" s="880"/>
      <c r="AQ485" s="880"/>
      <c r="AR485" s="880"/>
      <c r="AS485" s="880"/>
      <c r="AT485" s="880"/>
      <c r="AU485" s="880"/>
      <c r="AV485" s="880"/>
      <c r="AW485" s="881"/>
      <c r="AX485" s="863"/>
      <c r="AY485" s="863"/>
      <c r="AZ485" s="863"/>
      <c r="BA485" s="863"/>
      <c r="BB485" s="863"/>
      <c r="BC485" s="863"/>
      <c r="BD485" s="863"/>
      <c r="BE485" s="863"/>
      <c r="BF485" s="863"/>
      <c r="BG485" s="863"/>
      <c r="BH485" s="863"/>
      <c r="BI485" s="863"/>
      <c r="BJ485" s="863"/>
      <c r="BK485" s="863"/>
      <c r="BL485" s="863"/>
      <c r="BM485" s="863"/>
      <c r="BN485" s="863"/>
      <c r="BO485" s="863"/>
      <c r="BP485" s="880"/>
      <c r="BQ485" s="863"/>
      <c r="BR485" s="883"/>
      <c r="BS485" s="883"/>
      <c r="BT485" s="883"/>
      <c r="BU485" s="883"/>
      <c r="BV485" s="883"/>
      <c r="BW485" s="883"/>
      <c r="BX485" s="883"/>
      <c r="BY485" s="883"/>
      <c r="BZ485" s="883"/>
      <c r="CA485" s="883"/>
      <c r="CB485" s="883"/>
      <c r="CC485" s="883"/>
      <c r="CD485" s="884"/>
      <c r="CE485" s="883"/>
      <c r="CF485" s="883"/>
      <c r="CG485" s="883"/>
      <c r="CH485" s="883"/>
      <c r="CI485" s="883"/>
      <c r="CJ485" s="883"/>
      <c r="CK485" s="883"/>
      <c r="CL485" s="883"/>
      <c r="CM485" s="883"/>
      <c r="CN485" s="883"/>
      <c r="CO485" s="883"/>
      <c r="CP485" s="883"/>
      <c r="CQ485" s="883"/>
      <c r="CR485" s="883"/>
      <c r="CS485" s="883"/>
      <c r="CT485" s="883"/>
      <c r="CU485" s="883"/>
      <c r="CV485" s="863"/>
      <c r="CW485" s="863"/>
      <c r="CX485" s="863"/>
      <c r="CY485" s="863"/>
      <c r="CZ485" s="863"/>
      <c r="DA485" s="863"/>
      <c r="DB485" s="863"/>
      <c r="DC485" s="863"/>
      <c r="DD485" s="863"/>
      <c r="DE485" s="863"/>
    </row>
    <row r="486">
      <c r="A486" s="876"/>
      <c r="B486" s="876"/>
      <c r="C486" s="876"/>
      <c r="D486" s="876"/>
      <c r="E486" s="876"/>
      <c r="F486" s="876"/>
      <c r="G486" s="876"/>
      <c r="H486" s="876"/>
      <c r="I486" s="876"/>
      <c r="J486" s="876"/>
      <c r="K486" s="876"/>
      <c r="L486" s="876"/>
      <c r="M486" s="876"/>
      <c r="N486" s="877"/>
      <c r="O486" s="876"/>
      <c r="P486" s="876"/>
      <c r="Q486" s="876"/>
      <c r="R486" s="876"/>
      <c r="S486" s="876"/>
      <c r="T486" s="876"/>
      <c r="U486" s="876"/>
      <c r="V486" s="876"/>
      <c r="W486" s="876"/>
      <c r="X486" s="876"/>
      <c r="Y486" s="876"/>
      <c r="Z486" s="876"/>
      <c r="AA486" s="876"/>
      <c r="AB486" s="876"/>
      <c r="AC486" s="876"/>
      <c r="AD486" s="876"/>
      <c r="AE486" s="876"/>
      <c r="AF486" s="876"/>
      <c r="AG486" s="876"/>
      <c r="AH486" s="876"/>
      <c r="AI486" s="878"/>
      <c r="AJ486" s="880"/>
      <c r="AK486" s="880"/>
      <c r="AL486" s="880"/>
      <c r="AM486" s="880"/>
      <c r="AN486" s="880"/>
      <c r="AO486" s="880"/>
      <c r="AP486" s="880"/>
      <c r="AQ486" s="880"/>
      <c r="AR486" s="880"/>
      <c r="AS486" s="880"/>
      <c r="AT486" s="880"/>
      <c r="AU486" s="880"/>
      <c r="AV486" s="880"/>
      <c r="AW486" s="881"/>
      <c r="AX486" s="863"/>
      <c r="AY486" s="863"/>
      <c r="AZ486" s="863"/>
      <c r="BA486" s="863"/>
      <c r="BB486" s="863"/>
      <c r="BC486" s="863"/>
      <c r="BD486" s="863"/>
      <c r="BE486" s="863"/>
      <c r="BF486" s="863"/>
      <c r="BG486" s="863"/>
      <c r="BH486" s="863"/>
      <c r="BI486" s="863"/>
      <c r="BJ486" s="863"/>
      <c r="BK486" s="863"/>
      <c r="BL486" s="863"/>
      <c r="BM486" s="863"/>
      <c r="BN486" s="863"/>
      <c r="BO486" s="863"/>
      <c r="BP486" s="880"/>
      <c r="BQ486" s="863"/>
      <c r="BR486" s="883"/>
      <c r="BS486" s="883"/>
      <c r="BT486" s="883"/>
      <c r="BU486" s="883"/>
      <c r="BV486" s="883"/>
      <c r="BW486" s="883"/>
      <c r="BX486" s="883"/>
      <c r="BY486" s="883"/>
      <c r="BZ486" s="883"/>
      <c r="CA486" s="883"/>
      <c r="CB486" s="883"/>
      <c r="CC486" s="883"/>
      <c r="CD486" s="884"/>
      <c r="CE486" s="883"/>
      <c r="CF486" s="883"/>
      <c r="CG486" s="883"/>
      <c r="CH486" s="883"/>
      <c r="CI486" s="883"/>
      <c r="CJ486" s="883"/>
      <c r="CK486" s="883"/>
      <c r="CL486" s="883"/>
      <c r="CM486" s="883"/>
      <c r="CN486" s="883"/>
      <c r="CO486" s="883"/>
      <c r="CP486" s="883"/>
      <c r="CQ486" s="883"/>
      <c r="CR486" s="883"/>
      <c r="CS486" s="883"/>
      <c r="CT486" s="883"/>
      <c r="CU486" s="883"/>
      <c r="CV486" s="863"/>
      <c r="CW486" s="863"/>
      <c r="CX486" s="863"/>
      <c r="CY486" s="863"/>
      <c r="CZ486" s="863"/>
      <c r="DA486" s="863"/>
      <c r="DB486" s="863"/>
      <c r="DC486" s="863"/>
      <c r="DD486" s="863"/>
      <c r="DE486" s="863"/>
    </row>
    <row r="487">
      <c r="A487" s="876"/>
      <c r="B487" s="876"/>
      <c r="C487" s="876"/>
      <c r="D487" s="876"/>
      <c r="E487" s="876"/>
      <c r="F487" s="876"/>
      <c r="G487" s="876"/>
      <c r="H487" s="876"/>
      <c r="I487" s="876"/>
      <c r="J487" s="876"/>
      <c r="K487" s="876"/>
      <c r="L487" s="876"/>
      <c r="M487" s="876"/>
      <c r="N487" s="877"/>
      <c r="O487" s="876"/>
      <c r="P487" s="876"/>
      <c r="Q487" s="876"/>
      <c r="R487" s="876"/>
      <c r="S487" s="876"/>
      <c r="T487" s="876"/>
      <c r="U487" s="876"/>
      <c r="V487" s="876"/>
      <c r="W487" s="876"/>
      <c r="X487" s="876"/>
      <c r="Y487" s="876"/>
      <c r="Z487" s="876"/>
      <c r="AA487" s="876"/>
      <c r="AB487" s="876"/>
      <c r="AC487" s="876"/>
      <c r="AD487" s="876"/>
      <c r="AE487" s="876"/>
      <c r="AF487" s="876"/>
      <c r="AG487" s="876"/>
      <c r="AH487" s="876"/>
      <c r="AI487" s="878"/>
      <c r="AJ487" s="880"/>
      <c r="AK487" s="880"/>
      <c r="AL487" s="880"/>
      <c r="AM487" s="880"/>
      <c r="AN487" s="880"/>
      <c r="AO487" s="880"/>
      <c r="AP487" s="880"/>
      <c r="AQ487" s="880"/>
      <c r="AR487" s="880"/>
      <c r="AS487" s="880"/>
      <c r="AT487" s="880"/>
      <c r="AU487" s="880"/>
      <c r="AV487" s="880"/>
      <c r="AW487" s="881"/>
      <c r="AX487" s="863"/>
      <c r="AY487" s="863"/>
      <c r="AZ487" s="863"/>
      <c r="BA487" s="863"/>
      <c r="BB487" s="863"/>
      <c r="BC487" s="863"/>
      <c r="BD487" s="863"/>
      <c r="BE487" s="863"/>
      <c r="BF487" s="863"/>
      <c r="BG487" s="863"/>
      <c r="BH487" s="863"/>
      <c r="BI487" s="863"/>
      <c r="BJ487" s="863"/>
      <c r="BK487" s="863"/>
      <c r="BL487" s="863"/>
      <c r="BM487" s="863"/>
      <c r="BN487" s="863"/>
      <c r="BO487" s="863"/>
      <c r="BP487" s="880"/>
      <c r="BQ487" s="863"/>
      <c r="BR487" s="883"/>
      <c r="BS487" s="883"/>
      <c r="BT487" s="883"/>
      <c r="BU487" s="883"/>
      <c r="BV487" s="883"/>
      <c r="BW487" s="883"/>
      <c r="BX487" s="883"/>
      <c r="BY487" s="883"/>
      <c r="BZ487" s="883"/>
      <c r="CA487" s="883"/>
      <c r="CB487" s="883"/>
      <c r="CC487" s="883"/>
      <c r="CD487" s="884"/>
      <c r="CE487" s="883"/>
      <c r="CF487" s="883"/>
      <c r="CG487" s="883"/>
      <c r="CH487" s="883"/>
      <c r="CI487" s="883"/>
      <c r="CJ487" s="883"/>
      <c r="CK487" s="883"/>
      <c r="CL487" s="883"/>
      <c r="CM487" s="883"/>
      <c r="CN487" s="883"/>
      <c r="CO487" s="883"/>
      <c r="CP487" s="883"/>
      <c r="CQ487" s="883"/>
      <c r="CR487" s="883"/>
      <c r="CS487" s="883"/>
      <c r="CT487" s="883"/>
      <c r="CU487" s="883"/>
      <c r="CV487" s="863"/>
      <c r="CW487" s="863"/>
      <c r="CX487" s="863"/>
      <c r="CY487" s="863"/>
      <c r="CZ487" s="863"/>
      <c r="DA487" s="863"/>
      <c r="DB487" s="863"/>
      <c r="DC487" s="863"/>
      <c r="DD487" s="863"/>
      <c r="DE487" s="863"/>
    </row>
    <row r="488">
      <c r="A488" s="876"/>
      <c r="B488" s="876"/>
      <c r="C488" s="876"/>
      <c r="D488" s="876"/>
      <c r="E488" s="876"/>
      <c r="F488" s="876"/>
      <c r="G488" s="876"/>
      <c r="H488" s="876"/>
      <c r="I488" s="876"/>
      <c r="J488" s="876"/>
      <c r="K488" s="876"/>
      <c r="L488" s="876"/>
      <c r="M488" s="876"/>
      <c r="N488" s="877"/>
      <c r="O488" s="876"/>
      <c r="P488" s="876"/>
      <c r="Q488" s="876"/>
      <c r="R488" s="876"/>
      <c r="S488" s="876"/>
      <c r="T488" s="876"/>
      <c r="U488" s="876"/>
      <c r="V488" s="876"/>
      <c r="W488" s="876"/>
      <c r="X488" s="876"/>
      <c r="Y488" s="876"/>
      <c r="Z488" s="876"/>
      <c r="AA488" s="876"/>
      <c r="AB488" s="876"/>
      <c r="AC488" s="876"/>
      <c r="AD488" s="876"/>
      <c r="AE488" s="876"/>
      <c r="AF488" s="876"/>
      <c r="AG488" s="876"/>
      <c r="AH488" s="876"/>
      <c r="AI488" s="878"/>
      <c r="AJ488" s="880"/>
      <c r="AK488" s="880"/>
      <c r="AL488" s="880"/>
      <c r="AM488" s="880"/>
      <c r="AN488" s="880"/>
      <c r="AO488" s="880"/>
      <c r="AP488" s="880"/>
      <c r="AQ488" s="880"/>
      <c r="AR488" s="880"/>
      <c r="AS488" s="880"/>
      <c r="AT488" s="880"/>
      <c r="AU488" s="880"/>
      <c r="AV488" s="880"/>
      <c r="AW488" s="881"/>
      <c r="AX488" s="863"/>
      <c r="AY488" s="863"/>
      <c r="AZ488" s="863"/>
      <c r="BA488" s="863"/>
      <c r="BB488" s="863"/>
      <c r="BC488" s="863"/>
      <c r="BD488" s="863"/>
      <c r="BE488" s="863"/>
      <c r="BF488" s="863"/>
      <c r="BG488" s="863"/>
      <c r="BH488" s="863"/>
      <c r="BI488" s="863"/>
      <c r="BJ488" s="863"/>
      <c r="BK488" s="863"/>
      <c r="BL488" s="863"/>
      <c r="BM488" s="863"/>
      <c r="BN488" s="863"/>
      <c r="BO488" s="863"/>
      <c r="BP488" s="880"/>
      <c r="BQ488" s="863"/>
      <c r="BR488" s="883"/>
      <c r="BS488" s="883"/>
      <c r="BT488" s="883"/>
      <c r="BU488" s="883"/>
      <c r="BV488" s="883"/>
      <c r="BW488" s="883"/>
      <c r="BX488" s="883"/>
      <c r="BY488" s="883"/>
      <c r="BZ488" s="883"/>
      <c r="CA488" s="883"/>
      <c r="CB488" s="883"/>
      <c r="CC488" s="883"/>
      <c r="CD488" s="884"/>
      <c r="CE488" s="883"/>
      <c r="CF488" s="883"/>
      <c r="CG488" s="883"/>
      <c r="CH488" s="883"/>
      <c r="CI488" s="883"/>
      <c r="CJ488" s="883"/>
      <c r="CK488" s="883"/>
      <c r="CL488" s="883"/>
      <c r="CM488" s="883"/>
      <c r="CN488" s="883"/>
      <c r="CO488" s="883"/>
      <c r="CP488" s="883"/>
      <c r="CQ488" s="883"/>
      <c r="CR488" s="883"/>
      <c r="CS488" s="883"/>
      <c r="CT488" s="883"/>
      <c r="CU488" s="883"/>
      <c r="CV488" s="863"/>
      <c r="CW488" s="863"/>
      <c r="CX488" s="863"/>
      <c r="CY488" s="863"/>
      <c r="CZ488" s="863"/>
      <c r="DA488" s="863"/>
      <c r="DB488" s="863"/>
      <c r="DC488" s="863"/>
      <c r="DD488" s="863"/>
      <c r="DE488" s="863"/>
    </row>
    <row r="489">
      <c r="A489" s="876"/>
      <c r="B489" s="876"/>
      <c r="C489" s="876"/>
      <c r="D489" s="876"/>
      <c r="E489" s="876"/>
      <c r="F489" s="876"/>
      <c r="G489" s="876"/>
      <c r="H489" s="876"/>
      <c r="I489" s="876"/>
      <c r="J489" s="876"/>
      <c r="K489" s="876"/>
      <c r="L489" s="876"/>
      <c r="M489" s="876"/>
      <c r="N489" s="877"/>
      <c r="O489" s="876"/>
      <c r="P489" s="876"/>
      <c r="Q489" s="876"/>
      <c r="R489" s="876"/>
      <c r="S489" s="876"/>
      <c r="T489" s="876"/>
      <c r="U489" s="876"/>
      <c r="V489" s="876"/>
      <c r="W489" s="876"/>
      <c r="X489" s="876"/>
      <c r="Y489" s="876"/>
      <c r="Z489" s="876"/>
      <c r="AA489" s="876"/>
      <c r="AB489" s="876"/>
      <c r="AC489" s="876"/>
      <c r="AD489" s="876"/>
      <c r="AE489" s="876"/>
      <c r="AF489" s="876"/>
      <c r="AG489" s="876"/>
      <c r="AH489" s="876"/>
      <c r="AI489" s="878"/>
      <c r="AJ489" s="880"/>
      <c r="AK489" s="880"/>
      <c r="AL489" s="880"/>
      <c r="AM489" s="880"/>
      <c r="AN489" s="880"/>
      <c r="AO489" s="880"/>
      <c r="AP489" s="880"/>
      <c r="AQ489" s="880"/>
      <c r="AR489" s="880"/>
      <c r="AS489" s="880"/>
      <c r="AT489" s="880"/>
      <c r="AU489" s="880"/>
      <c r="AV489" s="880"/>
      <c r="AW489" s="881"/>
      <c r="AX489" s="863"/>
      <c r="AY489" s="863"/>
      <c r="AZ489" s="863"/>
      <c r="BA489" s="863"/>
      <c r="BB489" s="863"/>
      <c r="BC489" s="863"/>
      <c r="BD489" s="863"/>
      <c r="BE489" s="863"/>
      <c r="BF489" s="863"/>
      <c r="BG489" s="863"/>
      <c r="BH489" s="863"/>
      <c r="BI489" s="863"/>
      <c r="BJ489" s="863"/>
      <c r="BK489" s="863"/>
      <c r="BL489" s="863"/>
      <c r="BM489" s="863"/>
      <c r="BN489" s="863"/>
      <c r="BO489" s="863"/>
      <c r="BP489" s="880"/>
      <c r="BQ489" s="863"/>
      <c r="BR489" s="883"/>
      <c r="BS489" s="883"/>
      <c r="BT489" s="883"/>
      <c r="BU489" s="883"/>
      <c r="BV489" s="883"/>
      <c r="BW489" s="883"/>
      <c r="BX489" s="883"/>
      <c r="BY489" s="883"/>
      <c r="BZ489" s="883"/>
      <c r="CA489" s="883"/>
      <c r="CB489" s="883"/>
      <c r="CC489" s="883"/>
      <c r="CD489" s="884"/>
      <c r="CE489" s="883"/>
      <c r="CF489" s="883"/>
      <c r="CG489" s="883"/>
      <c r="CH489" s="883"/>
      <c r="CI489" s="883"/>
      <c r="CJ489" s="883"/>
      <c r="CK489" s="883"/>
      <c r="CL489" s="883"/>
      <c r="CM489" s="883"/>
      <c r="CN489" s="883"/>
      <c r="CO489" s="883"/>
      <c r="CP489" s="883"/>
      <c r="CQ489" s="883"/>
      <c r="CR489" s="883"/>
      <c r="CS489" s="883"/>
      <c r="CT489" s="883"/>
      <c r="CU489" s="883"/>
      <c r="CV489" s="863"/>
      <c r="CW489" s="863"/>
      <c r="CX489" s="863"/>
      <c r="CY489" s="863"/>
      <c r="CZ489" s="863"/>
      <c r="DA489" s="863"/>
      <c r="DB489" s="863"/>
      <c r="DC489" s="863"/>
      <c r="DD489" s="863"/>
      <c r="DE489" s="863"/>
    </row>
    <row r="490">
      <c r="A490" s="876"/>
      <c r="B490" s="876"/>
      <c r="C490" s="876"/>
      <c r="D490" s="876"/>
      <c r="E490" s="876"/>
      <c r="F490" s="876"/>
      <c r="G490" s="876"/>
      <c r="H490" s="876"/>
      <c r="I490" s="876"/>
      <c r="J490" s="876"/>
      <c r="K490" s="876"/>
      <c r="L490" s="876"/>
      <c r="M490" s="876"/>
      <c r="N490" s="877"/>
      <c r="O490" s="876"/>
      <c r="P490" s="876"/>
      <c r="Q490" s="876"/>
      <c r="R490" s="876"/>
      <c r="S490" s="876"/>
      <c r="T490" s="876"/>
      <c r="U490" s="876"/>
      <c r="V490" s="876"/>
      <c r="W490" s="876"/>
      <c r="X490" s="876"/>
      <c r="Y490" s="876"/>
      <c r="Z490" s="876"/>
      <c r="AA490" s="876"/>
      <c r="AB490" s="876"/>
      <c r="AC490" s="876"/>
      <c r="AD490" s="876"/>
      <c r="AE490" s="876"/>
      <c r="AF490" s="876"/>
      <c r="AG490" s="876"/>
      <c r="AH490" s="876"/>
      <c r="AI490" s="878"/>
      <c r="AJ490" s="880"/>
      <c r="AK490" s="880"/>
      <c r="AL490" s="880"/>
      <c r="AM490" s="880"/>
      <c r="AN490" s="880"/>
      <c r="AO490" s="880"/>
      <c r="AP490" s="880"/>
      <c r="AQ490" s="880"/>
      <c r="AR490" s="880"/>
      <c r="AS490" s="880"/>
      <c r="AT490" s="880"/>
      <c r="AU490" s="880"/>
      <c r="AV490" s="880"/>
      <c r="AW490" s="881"/>
      <c r="AX490" s="863"/>
      <c r="AY490" s="863"/>
      <c r="AZ490" s="863"/>
      <c r="BA490" s="863"/>
      <c r="BB490" s="863"/>
      <c r="BC490" s="863"/>
      <c r="BD490" s="863"/>
      <c r="BE490" s="863"/>
      <c r="BF490" s="863"/>
      <c r="BG490" s="863"/>
      <c r="BH490" s="863"/>
      <c r="BI490" s="863"/>
      <c r="BJ490" s="863"/>
      <c r="BK490" s="863"/>
      <c r="BL490" s="863"/>
      <c r="BM490" s="863"/>
      <c r="BN490" s="863"/>
      <c r="BO490" s="863"/>
      <c r="BP490" s="880"/>
      <c r="BQ490" s="863"/>
      <c r="BR490" s="883"/>
      <c r="BS490" s="883"/>
      <c r="BT490" s="883"/>
      <c r="BU490" s="883"/>
      <c r="BV490" s="883"/>
      <c r="BW490" s="883"/>
      <c r="BX490" s="883"/>
      <c r="BY490" s="883"/>
      <c r="BZ490" s="883"/>
      <c r="CA490" s="883"/>
      <c r="CB490" s="883"/>
      <c r="CC490" s="883"/>
      <c r="CD490" s="884"/>
      <c r="CE490" s="883"/>
      <c r="CF490" s="883"/>
      <c r="CG490" s="883"/>
      <c r="CH490" s="883"/>
      <c r="CI490" s="883"/>
      <c r="CJ490" s="883"/>
      <c r="CK490" s="883"/>
      <c r="CL490" s="883"/>
      <c r="CM490" s="883"/>
      <c r="CN490" s="883"/>
      <c r="CO490" s="883"/>
      <c r="CP490" s="883"/>
      <c r="CQ490" s="883"/>
      <c r="CR490" s="883"/>
      <c r="CS490" s="883"/>
      <c r="CT490" s="883"/>
      <c r="CU490" s="883"/>
      <c r="CV490" s="863"/>
      <c r="CW490" s="863"/>
      <c r="CX490" s="863"/>
      <c r="CY490" s="863"/>
      <c r="CZ490" s="863"/>
      <c r="DA490" s="863"/>
      <c r="DB490" s="863"/>
      <c r="DC490" s="863"/>
      <c r="DD490" s="863"/>
      <c r="DE490" s="863"/>
    </row>
    <row r="491">
      <c r="A491" s="876"/>
      <c r="B491" s="876"/>
      <c r="C491" s="876"/>
      <c r="D491" s="876"/>
      <c r="E491" s="876"/>
      <c r="F491" s="876"/>
      <c r="G491" s="876"/>
      <c r="H491" s="876"/>
      <c r="I491" s="876"/>
      <c r="J491" s="876"/>
      <c r="K491" s="876"/>
      <c r="L491" s="876"/>
      <c r="M491" s="876"/>
      <c r="N491" s="877"/>
      <c r="O491" s="876"/>
      <c r="P491" s="876"/>
      <c r="Q491" s="876"/>
      <c r="R491" s="876"/>
      <c r="S491" s="876"/>
      <c r="T491" s="876"/>
      <c r="U491" s="876"/>
      <c r="V491" s="876"/>
      <c r="W491" s="876"/>
      <c r="X491" s="876"/>
      <c r="Y491" s="876"/>
      <c r="Z491" s="876"/>
      <c r="AA491" s="876"/>
      <c r="AB491" s="876"/>
      <c r="AC491" s="876"/>
      <c r="AD491" s="876"/>
      <c r="AE491" s="876"/>
      <c r="AF491" s="876"/>
      <c r="AG491" s="876"/>
      <c r="AH491" s="876"/>
      <c r="AI491" s="878"/>
      <c r="AJ491" s="880"/>
      <c r="AK491" s="880"/>
      <c r="AL491" s="880"/>
      <c r="AM491" s="880"/>
      <c r="AN491" s="880"/>
      <c r="AO491" s="880"/>
      <c r="AP491" s="880"/>
      <c r="AQ491" s="880"/>
      <c r="AR491" s="880"/>
      <c r="AS491" s="880"/>
      <c r="AT491" s="880"/>
      <c r="AU491" s="880"/>
      <c r="AV491" s="880"/>
      <c r="AW491" s="881"/>
      <c r="AX491" s="863"/>
      <c r="AY491" s="863"/>
      <c r="AZ491" s="863"/>
      <c r="BA491" s="863"/>
      <c r="BB491" s="863"/>
      <c r="BC491" s="863"/>
      <c r="BD491" s="863"/>
      <c r="BE491" s="863"/>
      <c r="BF491" s="863"/>
      <c r="BG491" s="863"/>
      <c r="BH491" s="863"/>
      <c r="BI491" s="863"/>
      <c r="BJ491" s="863"/>
      <c r="BK491" s="863"/>
      <c r="BL491" s="863"/>
      <c r="BM491" s="863"/>
      <c r="BN491" s="863"/>
      <c r="BO491" s="863"/>
      <c r="BP491" s="880"/>
      <c r="BQ491" s="863"/>
      <c r="BR491" s="883"/>
      <c r="BS491" s="883"/>
      <c r="BT491" s="883"/>
      <c r="BU491" s="883"/>
      <c r="BV491" s="883"/>
      <c r="BW491" s="883"/>
      <c r="BX491" s="883"/>
      <c r="BY491" s="883"/>
      <c r="BZ491" s="883"/>
      <c r="CA491" s="883"/>
      <c r="CB491" s="883"/>
      <c r="CC491" s="883"/>
      <c r="CD491" s="884"/>
      <c r="CE491" s="883"/>
      <c r="CF491" s="883"/>
      <c r="CG491" s="883"/>
      <c r="CH491" s="883"/>
      <c r="CI491" s="883"/>
      <c r="CJ491" s="883"/>
      <c r="CK491" s="883"/>
      <c r="CL491" s="883"/>
      <c r="CM491" s="883"/>
      <c r="CN491" s="883"/>
      <c r="CO491" s="883"/>
      <c r="CP491" s="883"/>
      <c r="CQ491" s="883"/>
      <c r="CR491" s="883"/>
      <c r="CS491" s="883"/>
      <c r="CT491" s="883"/>
      <c r="CU491" s="883"/>
      <c r="CV491" s="863"/>
      <c r="CW491" s="863"/>
      <c r="CX491" s="863"/>
      <c r="CY491" s="863"/>
      <c r="CZ491" s="863"/>
      <c r="DA491" s="863"/>
      <c r="DB491" s="863"/>
      <c r="DC491" s="863"/>
      <c r="DD491" s="863"/>
      <c r="DE491" s="863"/>
    </row>
    <row r="492">
      <c r="A492" s="876"/>
      <c r="B492" s="876"/>
      <c r="C492" s="876"/>
      <c r="D492" s="876"/>
      <c r="E492" s="876"/>
      <c r="F492" s="876"/>
      <c r="G492" s="876"/>
      <c r="H492" s="876"/>
      <c r="I492" s="876"/>
      <c r="J492" s="876"/>
      <c r="K492" s="876"/>
      <c r="L492" s="876"/>
      <c r="M492" s="876"/>
      <c r="N492" s="877"/>
      <c r="O492" s="876"/>
      <c r="P492" s="876"/>
      <c r="Q492" s="876"/>
      <c r="R492" s="876"/>
      <c r="S492" s="876"/>
      <c r="T492" s="876"/>
      <c r="U492" s="876"/>
      <c r="V492" s="876"/>
      <c r="W492" s="876"/>
      <c r="X492" s="876"/>
      <c r="Y492" s="876"/>
      <c r="Z492" s="876"/>
      <c r="AA492" s="876"/>
      <c r="AB492" s="876"/>
      <c r="AC492" s="876"/>
      <c r="AD492" s="876"/>
      <c r="AE492" s="876"/>
      <c r="AF492" s="876"/>
      <c r="AG492" s="876"/>
      <c r="AH492" s="876"/>
      <c r="AI492" s="878"/>
      <c r="AJ492" s="880"/>
      <c r="AK492" s="880"/>
      <c r="AL492" s="880"/>
      <c r="AM492" s="880"/>
      <c r="AN492" s="880"/>
      <c r="AO492" s="880"/>
      <c r="AP492" s="880"/>
      <c r="AQ492" s="880"/>
      <c r="AR492" s="880"/>
      <c r="AS492" s="880"/>
      <c r="AT492" s="880"/>
      <c r="AU492" s="880"/>
      <c r="AV492" s="880"/>
      <c r="AW492" s="881"/>
      <c r="AX492" s="863"/>
      <c r="AY492" s="863"/>
      <c r="AZ492" s="863"/>
      <c r="BA492" s="863"/>
      <c r="BB492" s="863"/>
      <c r="BC492" s="863"/>
      <c r="BD492" s="863"/>
      <c r="BE492" s="863"/>
      <c r="BF492" s="863"/>
      <c r="BG492" s="863"/>
      <c r="BH492" s="863"/>
      <c r="BI492" s="863"/>
      <c r="BJ492" s="863"/>
      <c r="BK492" s="863"/>
      <c r="BL492" s="863"/>
      <c r="BM492" s="863"/>
      <c r="BN492" s="863"/>
      <c r="BO492" s="863"/>
      <c r="BP492" s="880"/>
      <c r="BQ492" s="863"/>
      <c r="BR492" s="883"/>
      <c r="BS492" s="883"/>
      <c r="BT492" s="883"/>
      <c r="BU492" s="883"/>
      <c r="BV492" s="883"/>
      <c r="BW492" s="883"/>
      <c r="BX492" s="883"/>
      <c r="BY492" s="883"/>
      <c r="BZ492" s="883"/>
      <c r="CA492" s="883"/>
      <c r="CB492" s="883"/>
      <c r="CC492" s="883"/>
      <c r="CD492" s="884"/>
      <c r="CE492" s="883"/>
      <c r="CF492" s="883"/>
      <c r="CG492" s="883"/>
      <c r="CH492" s="883"/>
      <c r="CI492" s="883"/>
      <c r="CJ492" s="883"/>
      <c r="CK492" s="883"/>
      <c r="CL492" s="883"/>
      <c r="CM492" s="883"/>
      <c r="CN492" s="883"/>
      <c r="CO492" s="883"/>
      <c r="CP492" s="883"/>
      <c r="CQ492" s="883"/>
      <c r="CR492" s="883"/>
      <c r="CS492" s="883"/>
      <c r="CT492" s="883"/>
      <c r="CU492" s="883"/>
      <c r="CV492" s="863"/>
      <c r="CW492" s="863"/>
      <c r="CX492" s="863"/>
      <c r="CY492" s="863"/>
      <c r="CZ492" s="863"/>
      <c r="DA492" s="863"/>
      <c r="DB492" s="863"/>
      <c r="DC492" s="863"/>
      <c r="DD492" s="863"/>
      <c r="DE492" s="863"/>
    </row>
    <row r="493">
      <c r="A493" s="876"/>
      <c r="B493" s="876"/>
      <c r="C493" s="876"/>
      <c r="D493" s="876"/>
      <c r="E493" s="876"/>
      <c r="F493" s="876"/>
      <c r="G493" s="876"/>
      <c r="H493" s="876"/>
      <c r="I493" s="876"/>
      <c r="J493" s="876"/>
      <c r="K493" s="876"/>
      <c r="L493" s="876"/>
      <c r="M493" s="876"/>
      <c r="N493" s="877"/>
      <c r="O493" s="876"/>
      <c r="P493" s="876"/>
      <c r="Q493" s="876"/>
      <c r="R493" s="876"/>
      <c r="S493" s="876"/>
      <c r="T493" s="876"/>
      <c r="U493" s="876"/>
      <c r="V493" s="876"/>
      <c r="W493" s="876"/>
      <c r="X493" s="876"/>
      <c r="Y493" s="876"/>
      <c r="Z493" s="876"/>
      <c r="AA493" s="876"/>
      <c r="AB493" s="876"/>
      <c r="AC493" s="876"/>
      <c r="AD493" s="876"/>
      <c r="AE493" s="876"/>
      <c r="AF493" s="876"/>
      <c r="AG493" s="876"/>
      <c r="AH493" s="876"/>
      <c r="AI493" s="878"/>
      <c r="AJ493" s="880"/>
      <c r="AK493" s="880"/>
      <c r="AL493" s="880"/>
      <c r="AM493" s="880"/>
      <c r="AN493" s="880"/>
      <c r="AO493" s="880"/>
      <c r="AP493" s="880"/>
      <c r="AQ493" s="880"/>
      <c r="AR493" s="880"/>
      <c r="AS493" s="880"/>
      <c r="AT493" s="880"/>
      <c r="AU493" s="880"/>
      <c r="AV493" s="880"/>
      <c r="AW493" s="881"/>
      <c r="AX493" s="863"/>
      <c r="AY493" s="863"/>
      <c r="AZ493" s="863"/>
      <c r="BA493" s="863"/>
      <c r="BB493" s="863"/>
      <c r="BC493" s="863"/>
      <c r="BD493" s="863"/>
      <c r="BE493" s="863"/>
      <c r="BF493" s="863"/>
      <c r="BG493" s="863"/>
      <c r="BH493" s="863"/>
      <c r="BI493" s="863"/>
      <c r="BJ493" s="863"/>
      <c r="BK493" s="863"/>
      <c r="BL493" s="863"/>
      <c r="BM493" s="863"/>
      <c r="BN493" s="863"/>
      <c r="BO493" s="863"/>
      <c r="BP493" s="880"/>
      <c r="BQ493" s="863"/>
      <c r="BR493" s="883"/>
      <c r="BS493" s="883"/>
      <c r="BT493" s="883"/>
      <c r="BU493" s="883"/>
      <c r="BV493" s="883"/>
      <c r="BW493" s="883"/>
      <c r="BX493" s="883"/>
      <c r="BY493" s="883"/>
      <c r="BZ493" s="883"/>
      <c r="CA493" s="883"/>
      <c r="CB493" s="883"/>
      <c r="CC493" s="883"/>
      <c r="CD493" s="884"/>
      <c r="CE493" s="883"/>
      <c r="CF493" s="883"/>
      <c r="CG493" s="883"/>
      <c r="CH493" s="883"/>
      <c r="CI493" s="883"/>
      <c r="CJ493" s="883"/>
      <c r="CK493" s="883"/>
      <c r="CL493" s="883"/>
      <c r="CM493" s="883"/>
      <c r="CN493" s="883"/>
      <c r="CO493" s="883"/>
      <c r="CP493" s="883"/>
      <c r="CQ493" s="883"/>
      <c r="CR493" s="883"/>
      <c r="CS493" s="883"/>
      <c r="CT493" s="883"/>
      <c r="CU493" s="883"/>
      <c r="CV493" s="863"/>
      <c r="CW493" s="863"/>
      <c r="CX493" s="863"/>
      <c r="CY493" s="863"/>
      <c r="CZ493" s="863"/>
      <c r="DA493" s="863"/>
      <c r="DB493" s="863"/>
      <c r="DC493" s="863"/>
      <c r="DD493" s="863"/>
      <c r="DE493" s="863"/>
    </row>
    <row r="494">
      <c r="A494" s="876"/>
      <c r="B494" s="876"/>
      <c r="C494" s="876"/>
      <c r="D494" s="876"/>
      <c r="E494" s="876"/>
      <c r="F494" s="876"/>
      <c r="G494" s="876"/>
      <c r="H494" s="876"/>
      <c r="I494" s="876"/>
      <c r="J494" s="876"/>
      <c r="K494" s="876"/>
      <c r="L494" s="876"/>
      <c r="M494" s="876"/>
      <c r="N494" s="877"/>
      <c r="O494" s="876"/>
      <c r="P494" s="876"/>
      <c r="Q494" s="876"/>
      <c r="R494" s="876"/>
      <c r="S494" s="876"/>
      <c r="T494" s="876"/>
      <c r="U494" s="876"/>
      <c r="V494" s="876"/>
      <c r="W494" s="876"/>
      <c r="X494" s="876"/>
      <c r="Y494" s="876"/>
      <c r="Z494" s="876"/>
      <c r="AA494" s="876"/>
      <c r="AB494" s="876"/>
      <c r="AC494" s="876"/>
      <c r="AD494" s="876"/>
      <c r="AE494" s="876"/>
      <c r="AF494" s="876"/>
      <c r="AG494" s="876"/>
      <c r="AH494" s="876"/>
      <c r="AI494" s="878"/>
      <c r="AJ494" s="880"/>
      <c r="AK494" s="880"/>
      <c r="AL494" s="880"/>
      <c r="AM494" s="880"/>
      <c r="AN494" s="880"/>
      <c r="AO494" s="880"/>
      <c r="AP494" s="880"/>
      <c r="AQ494" s="880"/>
      <c r="AR494" s="880"/>
      <c r="AS494" s="880"/>
      <c r="AT494" s="880"/>
      <c r="AU494" s="880"/>
      <c r="AV494" s="880"/>
      <c r="AW494" s="881"/>
      <c r="AX494" s="863"/>
      <c r="AY494" s="863"/>
      <c r="AZ494" s="863"/>
      <c r="BA494" s="863"/>
      <c r="BB494" s="863"/>
      <c r="BC494" s="863"/>
      <c r="BD494" s="863"/>
      <c r="BE494" s="863"/>
      <c r="BF494" s="863"/>
      <c r="BG494" s="863"/>
      <c r="BH494" s="863"/>
      <c r="BI494" s="863"/>
      <c r="BJ494" s="863"/>
      <c r="BK494" s="863"/>
      <c r="BL494" s="863"/>
      <c r="BM494" s="863"/>
      <c r="BN494" s="863"/>
      <c r="BO494" s="863"/>
      <c r="BP494" s="880"/>
      <c r="BQ494" s="863"/>
      <c r="BR494" s="883"/>
      <c r="BS494" s="883"/>
      <c r="BT494" s="883"/>
      <c r="BU494" s="883"/>
      <c r="BV494" s="883"/>
      <c r="BW494" s="883"/>
      <c r="BX494" s="883"/>
      <c r="BY494" s="883"/>
      <c r="BZ494" s="883"/>
      <c r="CA494" s="883"/>
      <c r="CB494" s="883"/>
      <c r="CC494" s="883"/>
      <c r="CD494" s="884"/>
      <c r="CE494" s="883"/>
      <c r="CF494" s="883"/>
      <c r="CG494" s="883"/>
      <c r="CH494" s="883"/>
      <c r="CI494" s="883"/>
      <c r="CJ494" s="883"/>
      <c r="CK494" s="883"/>
      <c r="CL494" s="883"/>
      <c r="CM494" s="883"/>
      <c r="CN494" s="883"/>
      <c r="CO494" s="883"/>
      <c r="CP494" s="883"/>
      <c r="CQ494" s="883"/>
      <c r="CR494" s="883"/>
      <c r="CS494" s="883"/>
      <c r="CT494" s="883"/>
      <c r="CU494" s="883"/>
      <c r="CV494" s="863"/>
      <c r="CW494" s="863"/>
      <c r="CX494" s="863"/>
      <c r="CY494" s="863"/>
      <c r="CZ494" s="863"/>
      <c r="DA494" s="863"/>
      <c r="DB494" s="863"/>
      <c r="DC494" s="863"/>
      <c r="DD494" s="863"/>
      <c r="DE494" s="863"/>
    </row>
    <row r="495">
      <c r="A495" s="876"/>
      <c r="B495" s="876"/>
      <c r="C495" s="876"/>
      <c r="D495" s="876"/>
      <c r="E495" s="876"/>
      <c r="F495" s="876"/>
      <c r="G495" s="876"/>
      <c r="H495" s="876"/>
      <c r="I495" s="876"/>
      <c r="J495" s="876"/>
      <c r="K495" s="876"/>
      <c r="L495" s="876"/>
      <c r="M495" s="876"/>
      <c r="N495" s="877"/>
      <c r="O495" s="876"/>
      <c r="P495" s="876"/>
      <c r="Q495" s="876"/>
      <c r="R495" s="876"/>
      <c r="S495" s="876"/>
      <c r="T495" s="876"/>
      <c r="U495" s="876"/>
      <c r="V495" s="876"/>
      <c r="W495" s="876"/>
      <c r="X495" s="876"/>
      <c r="Y495" s="876"/>
      <c r="Z495" s="876"/>
      <c r="AA495" s="876"/>
      <c r="AB495" s="876"/>
      <c r="AC495" s="876"/>
      <c r="AD495" s="876"/>
      <c r="AE495" s="876"/>
      <c r="AF495" s="876"/>
      <c r="AG495" s="876"/>
      <c r="AH495" s="876"/>
      <c r="AI495" s="878"/>
      <c r="AJ495" s="880"/>
      <c r="AK495" s="880"/>
      <c r="AL495" s="880"/>
      <c r="AM495" s="880"/>
      <c r="AN495" s="880"/>
      <c r="AO495" s="880"/>
      <c r="AP495" s="880"/>
      <c r="AQ495" s="880"/>
      <c r="AR495" s="880"/>
      <c r="AS495" s="880"/>
      <c r="AT495" s="880"/>
      <c r="AU495" s="880"/>
      <c r="AV495" s="880"/>
      <c r="AW495" s="881"/>
      <c r="AX495" s="863"/>
      <c r="AY495" s="863"/>
      <c r="AZ495" s="863"/>
      <c r="BA495" s="863"/>
      <c r="BB495" s="863"/>
      <c r="BC495" s="863"/>
      <c r="BD495" s="863"/>
      <c r="BE495" s="863"/>
      <c r="BF495" s="863"/>
      <c r="BG495" s="863"/>
      <c r="BH495" s="863"/>
      <c r="BI495" s="863"/>
      <c r="BJ495" s="863"/>
      <c r="BK495" s="863"/>
      <c r="BL495" s="863"/>
      <c r="BM495" s="863"/>
      <c r="BN495" s="863"/>
      <c r="BO495" s="863"/>
      <c r="BP495" s="880"/>
      <c r="BQ495" s="863"/>
      <c r="BR495" s="883"/>
      <c r="BS495" s="883"/>
      <c r="BT495" s="883"/>
      <c r="BU495" s="883"/>
      <c r="BV495" s="883"/>
      <c r="BW495" s="883"/>
      <c r="BX495" s="883"/>
      <c r="BY495" s="883"/>
      <c r="BZ495" s="883"/>
      <c r="CA495" s="883"/>
      <c r="CB495" s="883"/>
      <c r="CC495" s="883"/>
      <c r="CD495" s="884"/>
      <c r="CE495" s="883"/>
      <c r="CF495" s="883"/>
      <c r="CG495" s="883"/>
      <c r="CH495" s="883"/>
      <c r="CI495" s="883"/>
      <c r="CJ495" s="883"/>
      <c r="CK495" s="883"/>
      <c r="CL495" s="883"/>
      <c r="CM495" s="883"/>
      <c r="CN495" s="883"/>
      <c r="CO495" s="883"/>
      <c r="CP495" s="883"/>
      <c r="CQ495" s="883"/>
      <c r="CR495" s="883"/>
      <c r="CS495" s="883"/>
      <c r="CT495" s="883"/>
      <c r="CU495" s="883"/>
      <c r="CV495" s="863"/>
      <c r="CW495" s="863"/>
      <c r="CX495" s="863"/>
      <c r="CY495" s="863"/>
      <c r="CZ495" s="863"/>
      <c r="DA495" s="863"/>
      <c r="DB495" s="863"/>
      <c r="DC495" s="863"/>
      <c r="DD495" s="863"/>
      <c r="DE495" s="863"/>
    </row>
    <row r="496">
      <c r="A496" s="876"/>
      <c r="B496" s="876"/>
      <c r="C496" s="876"/>
      <c r="D496" s="876"/>
      <c r="E496" s="876"/>
      <c r="F496" s="876"/>
      <c r="G496" s="876"/>
      <c r="H496" s="876"/>
      <c r="I496" s="876"/>
      <c r="J496" s="876"/>
      <c r="K496" s="876"/>
      <c r="L496" s="876"/>
      <c r="M496" s="876"/>
      <c r="N496" s="877"/>
      <c r="O496" s="876"/>
      <c r="P496" s="876"/>
      <c r="Q496" s="876"/>
      <c r="R496" s="876"/>
      <c r="S496" s="876"/>
      <c r="T496" s="876"/>
      <c r="U496" s="876"/>
      <c r="V496" s="876"/>
      <c r="W496" s="876"/>
      <c r="X496" s="876"/>
      <c r="Y496" s="876"/>
      <c r="Z496" s="876"/>
      <c r="AA496" s="876"/>
      <c r="AB496" s="876"/>
      <c r="AC496" s="876"/>
      <c r="AD496" s="876"/>
      <c r="AE496" s="876"/>
      <c r="AF496" s="876"/>
      <c r="AG496" s="876"/>
      <c r="AH496" s="876"/>
      <c r="AI496" s="878"/>
      <c r="AJ496" s="880"/>
      <c r="AK496" s="880"/>
      <c r="AL496" s="880"/>
      <c r="AM496" s="880"/>
      <c r="AN496" s="880"/>
      <c r="AO496" s="880"/>
      <c r="AP496" s="880"/>
      <c r="AQ496" s="880"/>
      <c r="AR496" s="880"/>
      <c r="AS496" s="880"/>
      <c r="AT496" s="880"/>
      <c r="AU496" s="880"/>
      <c r="AV496" s="880"/>
      <c r="AW496" s="881"/>
      <c r="AX496" s="863"/>
      <c r="AY496" s="863"/>
      <c r="AZ496" s="863"/>
      <c r="BA496" s="863"/>
      <c r="BB496" s="863"/>
      <c r="BC496" s="863"/>
      <c r="BD496" s="863"/>
      <c r="BE496" s="863"/>
      <c r="BF496" s="863"/>
      <c r="BG496" s="863"/>
      <c r="BH496" s="863"/>
      <c r="BI496" s="863"/>
      <c r="BJ496" s="863"/>
      <c r="BK496" s="863"/>
      <c r="BL496" s="863"/>
      <c r="BM496" s="863"/>
      <c r="BN496" s="863"/>
      <c r="BO496" s="863"/>
      <c r="BP496" s="880"/>
      <c r="BQ496" s="863"/>
      <c r="BR496" s="883"/>
      <c r="BS496" s="883"/>
      <c r="BT496" s="883"/>
      <c r="BU496" s="883"/>
      <c r="BV496" s="883"/>
      <c r="BW496" s="883"/>
      <c r="BX496" s="883"/>
      <c r="BY496" s="883"/>
      <c r="BZ496" s="883"/>
      <c r="CA496" s="883"/>
      <c r="CB496" s="883"/>
      <c r="CC496" s="883"/>
      <c r="CD496" s="884"/>
      <c r="CE496" s="883"/>
      <c r="CF496" s="883"/>
      <c r="CG496" s="883"/>
      <c r="CH496" s="883"/>
      <c r="CI496" s="883"/>
      <c r="CJ496" s="883"/>
      <c r="CK496" s="883"/>
      <c r="CL496" s="883"/>
      <c r="CM496" s="883"/>
      <c r="CN496" s="883"/>
      <c r="CO496" s="883"/>
      <c r="CP496" s="883"/>
      <c r="CQ496" s="883"/>
      <c r="CR496" s="883"/>
      <c r="CS496" s="883"/>
      <c r="CT496" s="883"/>
      <c r="CU496" s="883"/>
      <c r="CV496" s="863"/>
      <c r="CW496" s="863"/>
      <c r="CX496" s="863"/>
      <c r="CY496" s="863"/>
      <c r="CZ496" s="863"/>
      <c r="DA496" s="863"/>
      <c r="DB496" s="863"/>
      <c r="DC496" s="863"/>
      <c r="DD496" s="863"/>
      <c r="DE496" s="863"/>
    </row>
    <row r="497">
      <c r="A497" s="876"/>
      <c r="B497" s="876"/>
      <c r="C497" s="876"/>
      <c r="D497" s="876"/>
      <c r="E497" s="876"/>
      <c r="F497" s="876"/>
      <c r="G497" s="876"/>
      <c r="H497" s="876"/>
      <c r="I497" s="876"/>
      <c r="J497" s="876"/>
      <c r="K497" s="876"/>
      <c r="L497" s="876"/>
      <c r="M497" s="876"/>
      <c r="N497" s="877"/>
      <c r="O497" s="876"/>
      <c r="P497" s="876"/>
      <c r="Q497" s="876"/>
      <c r="R497" s="876"/>
      <c r="S497" s="876"/>
      <c r="T497" s="876"/>
      <c r="U497" s="876"/>
      <c r="V497" s="876"/>
      <c r="W497" s="876"/>
      <c r="X497" s="876"/>
      <c r="Y497" s="876"/>
      <c r="Z497" s="876"/>
      <c r="AA497" s="876"/>
      <c r="AB497" s="876"/>
      <c r="AC497" s="876"/>
      <c r="AD497" s="876"/>
      <c r="AE497" s="876"/>
      <c r="AF497" s="876"/>
      <c r="AG497" s="876"/>
      <c r="AH497" s="876"/>
      <c r="AI497" s="878"/>
      <c r="AJ497" s="880"/>
      <c r="AK497" s="880"/>
      <c r="AL497" s="880"/>
      <c r="AM497" s="880"/>
      <c r="AN497" s="880"/>
      <c r="AO497" s="880"/>
      <c r="AP497" s="880"/>
      <c r="AQ497" s="880"/>
      <c r="AR497" s="880"/>
      <c r="AS497" s="880"/>
      <c r="AT497" s="880"/>
      <c r="AU497" s="880"/>
      <c r="AV497" s="880"/>
      <c r="AW497" s="881"/>
      <c r="AX497" s="863"/>
      <c r="AY497" s="863"/>
      <c r="AZ497" s="863"/>
      <c r="BA497" s="863"/>
      <c r="BB497" s="863"/>
      <c r="BC497" s="863"/>
      <c r="BD497" s="863"/>
      <c r="BE497" s="863"/>
      <c r="BF497" s="863"/>
      <c r="BG497" s="863"/>
      <c r="BH497" s="863"/>
      <c r="BI497" s="863"/>
      <c r="BJ497" s="863"/>
      <c r="BK497" s="863"/>
      <c r="BL497" s="863"/>
      <c r="BM497" s="863"/>
      <c r="BN497" s="863"/>
      <c r="BO497" s="863"/>
      <c r="BP497" s="880"/>
      <c r="BQ497" s="863"/>
      <c r="BR497" s="883"/>
      <c r="BS497" s="883"/>
      <c r="BT497" s="883"/>
      <c r="BU497" s="883"/>
      <c r="BV497" s="883"/>
      <c r="BW497" s="883"/>
      <c r="BX497" s="883"/>
      <c r="BY497" s="883"/>
      <c r="BZ497" s="883"/>
      <c r="CA497" s="883"/>
      <c r="CB497" s="883"/>
      <c r="CC497" s="883"/>
      <c r="CD497" s="884"/>
      <c r="CE497" s="883"/>
      <c r="CF497" s="883"/>
      <c r="CG497" s="883"/>
      <c r="CH497" s="883"/>
      <c r="CI497" s="883"/>
      <c r="CJ497" s="883"/>
      <c r="CK497" s="883"/>
      <c r="CL497" s="883"/>
      <c r="CM497" s="883"/>
      <c r="CN497" s="883"/>
      <c r="CO497" s="883"/>
      <c r="CP497" s="883"/>
      <c r="CQ497" s="883"/>
      <c r="CR497" s="883"/>
      <c r="CS497" s="883"/>
      <c r="CT497" s="883"/>
      <c r="CU497" s="883"/>
      <c r="CV497" s="863"/>
      <c r="CW497" s="863"/>
      <c r="CX497" s="863"/>
      <c r="CY497" s="863"/>
      <c r="CZ497" s="863"/>
      <c r="DA497" s="863"/>
      <c r="DB497" s="863"/>
      <c r="DC497" s="863"/>
      <c r="DD497" s="863"/>
      <c r="DE497" s="863"/>
    </row>
    <row r="498">
      <c r="A498" s="876"/>
      <c r="B498" s="876"/>
      <c r="C498" s="876"/>
      <c r="D498" s="876"/>
      <c r="E498" s="876"/>
      <c r="F498" s="876"/>
      <c r="G498" s="876"/>
      <c r="H498" s="876"/>
      <c r="I498" s="876"/>
      <c r="J498" s="876"/>
      <c r="K498" s="876"/>
      <c r="L498" s="876"/>
      <c r="M498" s="876"/>
      <c r="N498" s="877"/>
      <c r="O498" s="876"/>
      <c r="P498" s="876"/>
      <c r="Q498" s="876"/>
      <c r="R498" s="876"/>
      <c r="S498" s="876"/>
      <c r="T498" s="876"/>
      <c r="U498" s="876"/>
      <c r="V498" s="876"/>
      <c r="W498" s="876"/>
      <c r="X498" s="876"/>
      <c r="Y498" s="876"/>
      <c r="Z498" s="876"/>
      <c r="AA498" s="876"/>
      <c r="AB498" s="876"/>
      <c r="AC498" s="876"/>
      <c r="AD498" s="876"/>
      <c r="AE498" s="876"/>
      <c r="AF498" s="876"/>
      <c r="AG498" s="876"/>
      <c r="AH498" s="876"/>
      <c r="AI498" s="878"/>
      <c r="AJ498" s="880"/>
      <c r="AK498" s="880"/>
      <c r="AL498" s="880"/>
      <c r="AM498" s="880"/>
      <c r="AN498" s="880"/>
      <c r="AO498" s="880"/>
      <c r="AP498" s="880"/>
      <c r="AQ498" s="880"/>
      <c r="AR498" s="880"/>
      <c r="AS498" s="880"/>
      <c r="AT498" s="880"/>
      <c r="AU498" s="880"/>
      <c r="AV498" s="880"/>
      <c r="AW498" s="881"/>
      <c r="AX498" s="863"/>
      <c r="AY498" s="863"/>
      <c r="AZ498" s="863"/>
      <c r="BA498" s="863"/>
      <c r="BB498" s="863"/>
      <c r="BC498" s="863"/>
      <c r="BD498" s="863"/>
      <c r="BE498" s="863"/>
      <c r="BF498" s="863"/>
      <c r="BG498" s="863"/>
      <c r="BH498" s="863"/>
      <c r="BI498" s="863"/>
      <c r="BJ498" s="863"/>
      <c r="BK498" s="863"/>
      <c r="BL498" s="863"/>
      <c r="BM498" s="863"/>
      <c r="BN498" s="863"/>
      <c r="BO498" s="863"/>
      <c r="BP498" s="880"/>
      <c r="BQ498" s="863"/>
      <c r="BR498" s="883"/>
      <c r="BS498" s="883"/>
      <c r="BT498" s="883"/>
      <c r="BU498" s="883"/>
      <c r="BV498" s="883"/>
      <c r="BW498" s="883"/>
      <c r="BX498" s="883"/>
      <c r="BY498" s="883"/>
      <c r="BZ498" s="883"/>
      <c r="CA498" s="883"/>
      <c r="CB498" s="883"/>
      <c r="CC498" s="883"/>
      <c r="CD498" s="884"/>
      <c r="CE498" s="883"/>
      <c r="CF498" s="883"/>
      <c r="CG498" s="883"/>
      <c r="CH498" s="883"/>
      <c r="CI498" s="883"/>
      <c r="CJ498" s="883"/>
      <c r="CK498" s="883"/>
      <c r="CL498" s="883"/>
      <c r="CM498" s="883"/>
      <c r="CN498" s="883"/>
      <c r="CO498" s="883"/>
      <c r="CP498" s="883"/>
      <c r="CQ498" s="883"/>
      <c r="CR498" s="883"/>
      <c r="CS498" s="883"/>
      <c r="CT498" s="883"/>
      <c r="CU498" s="883"/>
      <c r="CV498" s="863"/>
      <c r="CW498" s="863"/>
      <c r="CX498" s="863"/>
      <c r="CY498" s="863"/>
      <c r="CZ498" s="863"/>
      <c r="DA498" s="863"/>
      <c r="DB498" s="863"/>
      <c r="DC498" s="863"/>
      <c r="DD498" s="863"/>
      <c r="DE498" s="863"/>
    </row>
    <row r="499">
      <c r="A499" s="876"/>
      <c r="B499" s="876"/>
      <c r="C499" s="876"/>
      <c r="D499" s="876"/>
      <c r="E499" s="876"/>
      <c r="F499" s="876"/>
      <c r="G499" s="876"/>
      <c r="H499" s="876"/>
      <c r="I499" s="876"/>
      <c r="J499" s="876"/>
      <c r="K499" s="876"/>
      <c r="L499" s="876"/>
      <c r="M499" s="876"/>
      <c r="N499" s="877"/>
      <c r="O499" s="876"/>
      <c r="P499" s="876"/>
      <c r="Q499" s="876"/>
      <c r="R499" s="876"/>
      <c r="S499" s="876"/>
      <c r="T499" s="876"/>
      <c r="U499" s="876"/>
      <c r="V499" s="876"/>
      <c r="W499" s="876"/>
      <c r="X499" s="876"/>
      <c r="Y499" s="876"/>
      <c r="Z499" s="876"/>
      <c r="AA499" s="876"/>
      <c r="AB499" s="876"/>
      <c r="AC499" s="876"/>
      <c r="AD499" s="876"/>
      <c r="AE499" s="876"/>
      <c r="AF499" s="876"/>
      <c r="AG499" s="876"/>
      <c r="AH499" s="876"/>
      <c r="AI499" s="878"/>
      <c r="AJ499" s="880"/>
      <c r="AK499" s="880"/>
      <c r="AL499" s="880"/>
      <c r="AM499" s="880"/>
      <c r="AN499" s="880"/>
      <c r="AO499" s="880"/>
      <c r="AP499" s="880"/>
      <c r="AQ499" s="880"/>
      <c r="AR499" s="880"/>
      <c r="AS499" s="880"/>
      <c r="AT499" s="880"/>
      <c r="AU499" s="880"/>
      <c r="AV499" s="880"/>
      <c r="AW499" s="881"/>
      <c r="AX499" s="863"/>
      <c r="AY499" s="863"/>
      <c r="AZ499" s="863"/>
      <c r="BA499" s="863"/>
      <c r="BB499" s="863"/>
      <c r="BC499" s="863"/>
      <c r="BD499" s="863"/>
      <c r="BE499" s="863"/>
      <c r="BF499" s="863"/>
      <c r="BG499" s="863"/>
      <c r="BH499" s="863"/>
      <c r="BI499" s="863"/>
      <c r="BJ499" s="863"/>
      <c r="BK499" s="863"/>
      <c r="BL499" s="863"/>
      <c r="BM499" s="863"/>
      <c r="BN499" s="863"/>
      <c r="BO499" s="863"/>
      <c r="BP499" s="880"/>
      <c r="BQ499" s="863"/>
      <c r="BR499" s="883"/>
      <c r="BS499" s="883"/>
      <c r="BT499" s="883"/>
      <c r="BU499" s="883"/>
      <c r="BV499" s="883"/>
      <c r="BW499" s="883"/>
      <c r="BX499" s="883"/>
      <c r="BY499" s="883"/>
      <c r="BZ499" s="883"/>
      <c r="CA499" s="883"/>
      <c r="CB499" s="883"/>
      <c r="CC499" s="883"/>
      <c r="CD499" s="884"/>
      <c r="CE499" s="883"/>
      <c r="CF499" s="883"/>
      <c r="CG499" s="883"/>
      <c r="CH499" s="883"/>
      <c r="CI499" s="883"/>
      <c r="CJ499" s="883"/>
      <c r="CK499" s="883"/>
      <c r="CL499" s="883"/>
      <c r="CM499" s="883"/>
      <c r="CN499" s="883"/>
      <c r="CO499" s="883"/>
      <c r="CP499" s="883"/>
      <c r="CQ499" s="883"/>
      <c r="CR499" s="883"/>
      <c r="CS499" s="883"/>
      <c r="CT499" s="883"/>
      <c r="CU499" s="883"/>
      <c r="CV499" s="863"/>
      <c r="CW499" s="863"/>
      <c r="CX499" s="863"/>
      <c r="CY499" s="863"/>
      <c r="CZ499" s="863"/>
      <c r="DA499" s="863"/>
      <c r="DB499" s="863"/>
      <c r="DC499" s="863"/>
      <c r="DD499" s="863"/>
      <c r="DE499" s="863"/>
    </row>
    <row r="500">
      <c r="A500" s="876"/>
      <c r="B500" s="876"/>
      <c r="C500" s="876"/>
      <c r="D500" s="876"/>
      <c r="E500" s="876"/>
      <c r="F500" s="876"/>
      <c r="G500" s="876"/>
      <c r="H500" s="876"/>
      <c r="I500" s="876"/>
      <c r="J500" s="876"/>
      <c r="K500" s="876"/>
      <c r="L500" s="876"/>
      <c r="M500" s="876"/>
      <c r="N500" s="877"/>
      <c r="O500" s="876"/>
      <c r="P500" s="876"/>
      <c r="Q500" s="876"/>
      <c r="R500" s="876"/>
      <c r="S500" s="876"/>
      <c r="T500" s="876"/>
      <c r="U500" s="876"/>
      <c r="V500" s="876"/>
      <c r="W500" s="876"/>
      <c r="X500" s="876"/>
      <c r="Y500" s="876"/>
      <c r="Z500" s="876"/>
      <c r="AA500" s="876"/>
      <c r="AB500" s="876"/>
      <c r="AC500" s="876"/>
      <c r="AD500" s="876"/>
      <c r="AE500" s="876"/>
      <c r="AF500" s="876"/>
      <c r="AG500" s="876"/>
      <c r="AH500" s="876"/>
      <c r="AI500" s="878"/>
      <c r="AJ500" s="880"/>
      <c r="AK500" s="880"/>
      <c r="AL500" s="880"/>
      <c r="AM500" s="880"/>
      <c r="AN500" s="880"/>
      <c r="AO500" s="880"/>
      <c r="AP500" s="880"/>
      <c r="AQ500" s="880"/>
      <c r="AR500" s="880"/>
      <c r="AS500" s="880"/>
      <c r="AT500" s="880"/>
      <c r="AU500" s="880"/>
      <c r="AV500" s="880"/>
      <c r="AW500" s="881"/>
      <c r="AX500" s="863"/>
      <c r="AY500" s="863"/>
      <c r="AZ500" s="863"/>
      <c r="BA500" s="863"/>
      <c r="BB500" s="863"/>
      <c r="BC500" s="863"/>
      <c r="BD500" s="863"/>
      <c r="BE500" s="863"/>
      <c r="BF500" s="863"/>
      <c r="BG500" s="863"/>
      <c r="BH500" s="863"/>
      <c r="BI500" s="863"/>
      <c r="BJ500" s="863"/>
      <c r="BK500" s="863"/>
      <c r="BL500" s="863"/>
      <c r="BM500" s="863"/>
      <c r="BN500" s="863"/>
      <c r="BO500" s="863"/>
      <c r="BP500" s="880"/>
      <c r="BQ500" s="863"/>
      <c r="BR500" s="883"/>
      <c r="BS500" s="883"/>
      <c r="BT500" s="883"/>
      <c r="BU500" s="883"/>
      <c r="BV500" s="883"/>
      <c r="BW500" s="883"/>
      <c r="BX500" s="883"/>
      <c r="BY500" s="883"/>
      <c r="BZ500" s="883"/>
      <c r="CA500" s="883"/>
      <c r="CB500" s="883"/>
      <c r="CC500" s="883"/>
      <c r="CD500" s="884"/>
      <c r="CE500" s="883"/>
      <c r="CF500" s="883"/>
      <c r="CG500" s="883"/>
      <c r="CH500" s="883"/>
      <c r="CI500" s="883"/>
      <c r="CJ500" s="883"/>
      <c r="CK500" s="883"/>
      <c r="CL500" s="883"/>
      <c r="CM500" s="883"/>
      <c r="CN500" s="883"/>
      <c r="CO500" s="883"/>
      <c r="CP500" s="883"/>
      <c r="CQ500" s="883"/>
      <c r="CR500" s="883"/>
      <c r="CS500" s="883"/>
      <c r="CT500" s="883"/>
      <c r="CU500" s="883"/>
      <c r="CV500" s="863"/>
      <c r="CW500" s="863"/>
      <c r="CX500" s="863"/>
      <c r="CY500" s="863"/>
      <c r="CZ500" s="863"/>
      <c r="DA500" s="863"/>
      <c r="DB500" s="863"/>
      <c r="DC500" s="863"/>
      <c r="DD500" s="863"/>
      <c r="DE500" s="863"/>
    </row>
    <row r="501">
      <c r="A501" s="876"/>
      <c r="B501" s="876"/>
      <c r="C501" s="876"/>
      <c r="D501" s="876"/>
      <c r="E501" s="876"/>
      <c r="F501" s="876"/>
      <c r="G501" s="876"/>
      <c r="H501" s="876"/>
      <c r="I501" s="876"/>
      <c r="J501" s="876"/>
      <c r="K501" s="876"/>
      <c r="L501" s="876"/>
      <c r="M501" s="876"/>
      <c r="N501" s="877"/>
      <c r="O501" s="876"/>
      <c r="P501" s="876"/>
      <c r="Q501" s="876"/>
      <c r="R501" s="876"/>
      <c r="S501" s="876"/>
      <c r="T501" s="876"/>
      <c r="U501" s="876"/>
      <c r="V501" s="876"/>
      <c r="W501" s="876"/>
      <c r="X501" s="876"/>
      <c r="Y501" s="876"/>
      <c r="Z501" s="876"/>
      <c r="AA501" s="876"/>
      <c r="AB501" s="876"/>
      <c r="AC501" s="876"/>
      <c r="AD501" s="876"/>
      <c r="AE501" s="876"/>
      <c r="AF501" s="876"/>
      <c r="AG501" s="876"/>
      <c r="AH501" s="876"/>
      <c r="AI501" s="878"/>
      <c r="AJ501" s="880"/>
      <c r="AK501" s="880"/>
      <c r="AL501" s="880"/>
      <c r="AM501" s="880"/>
      <c r="AN501" s="880"/>
      <c r="AO501" s="880"/>
      <c r="AP501" s="880"/>
      <c r="AQ501" s="880"/>
      <c r="AR501" s="880"/>
      <c r="AS501" s="880"/>
      <c r="AT501" s="880"/>
      <c r="AU501" s="880"/>
      <c r="AV501" s="880"/>
      <c r="AW501" s="881"/>
      <c r="AX501" s="863"/>
      <c r="AY501" s="863"/>
      <c r="AZ501" s="863"/>
      <c r="BA501" s="863"/>
      <c r="BB501" s="863"/>
      <c r="BC501" s="863"/>
      <c r="BD501" s="863"/>
      <c r="BE501" s="863"/>
      <c r="BF501" s="863"/>
      <c r="BG501" s="863"/>
      <c r="BH501" s="863"/>
      <c r="BI501" s="863"/>
      <c r="BJ501" s="863"/>
      <c r="BK501" s="863"/>
      <c r="BL501" s="863"/>
      <c r="BM501" s="863"/>
      <c r="BN501" s="863"/>
      <c r="BO501" s="863"/>
      <c r="BP501" s="880"/>
      <c r="BQ501" s="863"/>
      <c r="BR501" s="883"/>
      <c r="BS501" s="883"/>
      <c r="BT501" s="883"/>
      <c r="BU501" s="883"/>
      <c r="BV501" s="883"/>
      <c r="BW501" s="883"/>
      <c r="BX501" s="883"/>
      <c r="BY501" s="883"/>
      <c r="BZ501" s="883"/>
      <c r="CA501" s="883"/>
      <c r="CB501" s="883"/>
      <c r="CC501" s="883"/>
      <c r="CD501" s="884"/>
      <c r="CE501" s="883"/>
      <c r="CF501" s="883"/>
      <c r="CG501" s="883"/>
      <c r="CH501" s="883"/>
      <c r="CI501" s="883"/>
      <c r="CJ501" s="883"/>
      <c r="CK501" s="883"/>
      <c r="CL501" s="883"/>
      <c r="CM501" s="883"/>
      <c r="CN501" s="883"/>
      <c r="CO501" s="883"/>
      <c r="CP501" s="883"/>
      <c r="CQ501" s="883"/>
      <c r="CR501" s="883"/>
      <c r="CS501" s="883"/>
      <c r="CT501" s="883"/>
      <c r="CU501" s="883"/>
      <c r="CV501" s="863"/>
      <c r="CW501" s="863"/>
      <c r="CX501" s="863"/>
      <c r="CY501" s="863"/>
      <c r="CZ501" s="863"/>
      <c r="DA501" s="863"/>
      <c r="DB501" s="863"/>
      <c r="DC501" s="863"/>
      <c r="DD501" s="863"/>
      <c r="DE501" s="863"/>
    </row>
    <row r="502">
      <c r="A502" s="876"/>
      <c r="B502" s="876"/>
      <c r="C502" s="876"/>
      <c r="D502" s="876"/>
      <c r="E502" s="876"/>
      <c r="F502" s="876"/>
      <c r="G502" s="876"/>
      <c r="H502" s="876"/>
      <c r="I502" s="876"/>
      <c r="J502" s="876"/>
      <c r="K502" s="876"/>
      <c r="L502" s="876"/>
      <c r="M502" s="876"/>
      <c r="N502" s="877"/>
      <c r="O502" s="876"/>
      <c r="P502" s="876"/>
      <c r="Q502" s="876"/>
      <c r="R502" s="876"/>
      <c r="S502" s="876"/>
      <c r="T502" s="876"/>
      <c r="U502" s="876"/>
      <c r="V502" s="876"/>
      <c r="W502" s="876"/>
      <c r="X502" s="876"/>
      <c r="Y502" s="876"/>
      <c r="Z502" s="876"/>
      <c r="AA502" s="876"/>
      <c r="AB502" s="876"/>
      <c r="AC502" s="876"/>
      <c r="AD502" s="876"/>
      <c r="AE502" s="876"/>
      <c r="AF502" s="876"/>
      <c r="AG502" s="876"/>
      <c r="AH502" s="876"/>
      <c r="AI502" s="878"/>
      <c r="AJ502" s="880"/>
      <c r="AK502" s="880"/>
      <c r="AL502" s="880"/>
      <c r="AM502" s="880"/>
      <c r="AN502" s="880"/>
      <c r="AO502" s="880"/>
      <c r="AP502" s="880"/>
      <c r="AQ502" s="880"/>
      <c r="AR502" s="880"/>
      <c r="AS502" s="880"/>
      <c r="AT502" s="880"/>
      <c r="AU502" s="880"/>
      <c r="AV502" s="880"/>
      <c r="AW502" s="881"/>
      <c r="AX502" s="863"/>
      <c r="AY502" s="863"/>
      <c r="AZ502" s="863"/>
      <c r="BA502" s="863"/>
      <c r="BB502" s="863"/>
      <c r="BC502" s="863"/>
      <c r="BD502" s="863"/>
      <c r="BE502" s="863"/>
      <c r="BF502" s="863"/>
      <c r="BG502" s="863"/>
      <c r="BH502" s="863"/>
      <c r="BI502" s="863"/>
      <c r="BJ502" s="863"/>
      <c r="BK502" s="863"/>
      <c r="BL502" s="863"/>
      <c r="BM502" s="863"/>
      <c r="BN502" s="863"/>
      <c r="BO502" s="863"/>
      <c r="BP502" s="880"/>
      <c r="BQ502" s="863"/>
      <c r="BR502" s="883"/>
      <c r="BS502" s="883"/>
      <c r="BT502" s="883"/>
      <c r="BU502" s="883"/>
      <c r="BV502" s="883"/>
      <c r="BW502" s="883"/>
      <c r="BX502" s="883"/>
      <c r="BY502" s="883"/>
      <c r="BZ502" s="883"/>
      <c r="CA502" s="883"/>
      <c r="CB502" s="883"/>
      <c r="CC502" s="883"/>
      <c r="CD502" s="884"/>
      <c r="CE502" s="883"/>
      <c r="CF502" s="883"/>
      <c r="CG502" s="883"/>
      <c r="CH502" s="883"/>
      <c r="CI502" s="883"/>
      <c r="CJ502" s="883"/>
      <c r="CK502" s="883"/>
      <c r="CL502" s="883"/>
      <c r="CM502" s="883"/>
      <c r="CN502" s="883"/>
      <c r="CO502" s="883"/>
      <c r="CP502" s="883"/>
      <c r="CQ502" s="883"/>
      <c r="CR502" s="883"/>
      <c r="CS502" s="883"/>
      <c r="CT502" s="883"/>
      <c r="CU502" s="883"/>
      <c r="CV502" s="863"/>
      <c r="CW502" s="863"/>
      <c r="CX502" s="863"/>
      <c r="CY502" s="863"/>
      <c r="CZ502" s="863"/>
      <c r="DA502" s="863"/>
      <c r="DB502" s="863"/>
      <c r="DC502" s="863"/>
      <c r="DD502" s="863"/>
      <c r="DE502" s="863"/>
    </row>
    <row r="503">
      <c r="A503" s="876"/>
      <c r="B503" s="876"/>
      <c r="C503" s="876"/>
      <c r="D503" s="876"/>
      <c r="E503" s="876"/>
      <c r="F503" s="876"/>
      <c r="G503" s="876"/>
      <c r="H503" s="876"/>
      <c r="I503" s="876"/>
      <c r="J503" s="876"/>
      <c r="K503" s="876"/>
      <c r="L503" s="876"/>
      <c r="M503" s="876"/>
      <c r="N503" s="877"/>
      <c r="O503" s="876"/>
      <c r="P503" s="876"/>
      <c r="Q503" s="876"/>
      <c r="R503" s="876"/>
      <c r="S503" s="876"/>
      <c r="T503" s="876"/>
      <c r="U503" s="876"/>
      <c r="V503" s="876"/>
      <c r="W503" s="876"/>
      <c r="X503" s="876"/>
      <c r="Y503" s="876"/>
      <c r="Z503" s="876"/>
      <c r="AA503" s="876"/>
      <c r="AB503" s="876"/>
      <c r="AC503" s="876"/>
      <c r="AD503" s="876"/>
      <c r="AE503" s="876"/>
      <c r="AF503" s="876"/>
      <c r="AG503" s="876"/>
      <c r="AH503" s="876"/>
      <c r="AI503" s="878"/>
      <c r="AJ503" s="880"/>
      <c r="AK503" s="880"/>
      <c r="AL503" s="880"/>
      <c r="AM503" s="880"/>
      <c r="AN503" s="880"/>
      <c r="AO503" s="880"/>
      <c r="AP503" s="880"/>
      <c r="AQ503" s="880"/>
      <c r="AR503" s="880"/>
      <c r="AS503" s="880"/>
      <c r="AT503" s="880"/>
      <c r="AU503" s="880"/>
      <c r="AV503" s="880"/>
      <c r="AW503" s="881"/>
      <c r="AX503" s="863"/>
      <c r="AY503" s="863"/>
      <c r="AZ503" s="863"/>
      <c r="BA503" s="863"/>
      <c r="BB503" s="863"/>
      <c r="BC503" s="863"/>
      <c r="BD503" s="863"/>
      <c r="BE503" s="863"/>
      <c r="BF503" s="863"/>
      <c r="BG503" s="863"/>
      <c r="BH503" s="863"/>
      <c r="BI503" s="863"/>
      <c r="BJ503" s="863"/>
      <c r="BK503" s="863"/>
      <c r="BL503" s="863"/>
      <c r="BM503" s="863"/>
      <c r="BN503" s="863"/>
      <c r="BO503" s="863"/>
      <c r="BP503" s="880"/>
      <c r="BQ503" s="863"/>
      <c r="BR503" s="883"/>
      <c r="BS503" s="883"/>
      <c r="BT503" s="883"/>
      <c r="BU503" s="883"/>
      <c r="BV503" s="883"/>
      <c r="BW503" s="883"/>
      <c r="BX503" s="883"/>
      <c r="BY503" s="883"/>
      <c r="BZ503" s="883"/>
      <c r="CA503" s="883"/>
      <c r="CB503" s="883"/>
      <c r="CC503" s="883"/>
      <c r="CD503" s="884"/>
      <c r="CE503" s="883"/>
      <c r="CF503" s="883"/>
      <c r="CG503" s="883"/>
      <c r="CH503" s="883"/>
      <c r="CI503" s="883"/>
      <c r="CJ503" s="883"/>
      <c r="CK503" s="883"/>
      <c r="CL503" s="883"/>
      <c r="CM503" s="883"/>
      <c r="CN503" s="883"/>
      <c r="CO503" s="883"/>
      <c r="CP503" s="883"/>
      <c r="CQ503" s="883"/>
      <c r="CR503" s="883"/>
      <c r="CS503" s="883"/>
      <c r="CT503" s="883"/>
      <c r="CU503" s="883"/>
      <c r="CV503" s="863"/>
      <c r="CW503" s="863"/>
      <c r="CX503" s="863"/>
      <c r="CY503" s="863"/>
      <c r="CZ503" s="863"/>
      <c r="DA503" s="863"/>
      <c r="DB503" s="863"/>
      <c r="DC503" s="863"/>
      <c r="DD503" s="863"/>
      <c r="DE503" s="863"/>
    </row>
    <row r="504">
      <c r="A504" s="876"/>
      <c r="B504" s="876"/>
      <c r="C504" s="876"/>
      <c r="D504" s="876"/>
      <c r="E504" s="876"/>
      <c r="F504" s="876"/>
      <c r="G504" s="876"/>
      <c r="H504" s="876"/>
      <c r="I504" s="876"/>
      <c r="J504" s="876"/>
      <c r="K504" s="876"/>
      <c r="L504" s="876"/>
      <c r="M504" s="876"/>
      <c r="N504" s="877"/>
      <c r="O504" s="876"/>
      <c r="P504" s="876"/>
      <c r="Q504" s="876"/>
      <c r="R504" s="876"/>
      <c r="S504" s="876"/>
      <c r="T504" s="876"/>
      <c r="U504" s="876"/>
      <c r="V504" s="876"/>
      <c r="W504" s="876"/>
      <c r="X504" s="876"/>
      <c r="Y504" s="876"/>
      <c r="Z504" s="876"/>
      <c r="AA504" s="876"/>
      <c r="AB504" s="876"/>
      <c r="AC504" s="876"/>
      <c r="AD504" s="876"/>
      <c r="AE504" s="876"/>
      <c r="AF504" s="876"/>
      <c r="AG504" s="876"/>
      <c r="AH504" s="876"/>
      <c r="AI504" s="878"/>
      <c r="AJ504" s="880"/>
      <c r="AK504" s="880"/>
      <c r="AL504" s="880"/>
      <c r="AM504" s="880"/>
      <c r="AN504" s="880"/>
      <c r="AO504" s="880"/>
      <c r="AP504" s="880"/>
      <c r="AQ504" s="880"/>
      <c r="AR504" s="880"/>
      <c r="AS504" s="880"/>
      <c r="AT504" s="880"/>
      <c r="AU504" s="880"/>
      <c r="AV504" s="880"/>
      <c r="AW504" s="881"/>
      <c r="AX504" s="863"/>
      <c r="AY504" s="863"/>
      <c r="AZ504" s="863"/>
      <c r="BA504" s="863"/>
      <c r="BB504" s="863"/>
      <c r="BC504" s="863"/>
      <c r="BD504" s="863"/>
      <c r="BE504" s="863"/>
      <c r="BF504" s="863"/>
      <c r="BG504" s="863"/>
      <c r="BH504" s="863"/>
      <c r="BI504" s="863"/>
      <c r="BJ504" s="863"/>
      <c r="BK504" s="863"/>
      <c r="BL504" s="863"/>
      <c r="BM504" s="863"/>
      <c r="BN504" s="863"/>
      <c r="BO504" s="863"/>
      <c r="BP504" s="880"/>
      <c r="BQ504" s="863"/>
      <c r="BR504" s="883"/>
      <c r="BS504" s="883"/>
      <c r="BT504" s="883"/>
      <c r="BU504" s="883"/>
      <c r="BV504" s="883"/>
      <c r="BW504" s="883"/>
      <c r="BX504" s="883"/>
      <c r="BY504" s="883"/>
      <c r="BZ504" s="883"/>
      <c r="CA504" s="883"/>
      <c r="CB504" s="883"/>
      <c r="CC504" s="883"/>
      <c r="CD504" s="884"/>
      <c r="CE504" s="883"/>
      <c r="CF504" s="883"/>
      <c r="CG504" s="883"/>
      <c r="CH504" s="883"/>
      <c r="CI504" s="883"/>
      <c r="CJ504" s="883"/>
      <c r="CK504" s="883"/>
      <c r="CL504" s="883"/>
      <c r="CM504" s="883"/>
      <c r="CN504" s="883"/>
      <c r="CO504" s="883"/>
      <c r="CP504" s="883"/>
      <c r="CQ504" s="883"/>
      <c r="CR504" s="883"/>
      <c r="CS504" s="883"/>
      <c r="CT504" s="883"/>
      <c r="CU504" s="883"/>
      <c r="CV504" s="863"/>
      <c r="CW504" s="863"/>
      <c r="CX504" s="863"/>
      <c r="CY504" s="863"/>
      <c r="CZ504" s="863"/>
      <c r="DA504" s="863"/>
      <c r="DB504" s="863"/>
      <c r="DC504" s="863"/>
      <c r="DD504" s="863"/>
      <c r="DE504" s="863"/>
    </row>
    <row r="505">
      <c r="A505" s="876"/>
      <c r="B505" s="876"/>
      <c r="C505" s="876"/>
      <c r="D505" s="876"/>
      <c r="E505" s="876"/>
      <c r="F505" s="876"/>
      <c r="G505" s="876"/>
      <c r="H505" s="876"/>
      <c r="I505" s="876"/>
      <c r="J505" s="876"/>
      <c r="K505" s="876"/>
      <c r="L505" s="876"/>
      <c r="M505" s="876"/>
      <c r="N505" s="877"/>
      <c r="O505" s="876"/>
      <c r="P505" s="876"/>
      <c r="Q505" s="876"/>
      <c r="R505" s="876"/>
      <c r="S505" s="876"/>
      <c r="T505" s="876"/>
      <c r="U505" s="876"/>
      <c r="V505" s="876"/>
      <c r="W505" s="876"/>
      <c r="X505" s="876"/>
      <c r="Y505" s="876"/>
      <c r="Z505" s="876"/>
      <c r="AA505" s="876"/>
      <c r="AB505" s="876"/>
      <c r="AC505" s="876"/>
      <c r="AD505" s="876"/>
      <c r="AE505" s="876"/>
      <c r="AF505" s="876"/>
      <c r="AG505" s="876"/>
      <c r="AH505" s="876"/>
      <c r="AI505" s="878"/>
      <c r="AJ505" s="880"/>
      <c r="AK505" s="880"/>
      <c r="AL505" s="880"/>
      <c r="AM505" s="880"/>
      <c r="AN505" s="880"/>
      <c r="AO505" s="880"/>
      <c r="AP505" s="880"/>
      <c r="AQ505" s="880"/>
      <c r="AR505" s="880"/>
      <c r="AS505" s="880"/>
      <c r="AT505" s="880"/>
      <c r="AU505" s="880"/>
      <c r="AV505" s="880"/>
      <c r="AW505" s="881"/>
      <c r="AX505" s="863"/>
      <c r="AY505" s="863"/>
      <c r="AZ505" s="863"/>
      <c r="BA505" s="863"/>
      <c r="BB505" s="863"/>
      <c r="BC505" s="863"/>
      <c r="BD505" s="863"/>
      <c r="BE505" s="863"/>
      <c r="BF505" s="863"/>
      <c r="BG505" s="863"/>
      <c r="BH505" s="863"/>
      <c r="BI505" s="863"/>
      <c r="BJ505" s="863"/>
      <c r="BK505" s="863"/>
      <c r="BL505" s="863"/>
      <c r="BM505" s="863"/>
      <c r="BN505" s="863"/>
      <c r="BO505" s="863"/>
      <c r="BP505" s="880"/>
      <c r="BQ505" s="863"/>
      <c r="BR505" s="883"/>
      <c r="BS505" s="883"/>
      <c r="BT505" s="883"/>
      <c r="BU505" s="883"/>
      <c r="BV505" s="883"/>
      <c r="BW505" s="883"/>
      <c r="BX505" s="883"/>
      <c r="BY505" s="883"/>
      <c r="BZ505" s="883"/>
      <c r="CA505" s="883"/>
      <c r="CB505" s="883"/>
      <c r="CC505" s="883"/>
      <c r="CD505" s="884"/>
      <c r="CE505" s="883"/>
      <c r="CF505" s="883"/>
      <c r="CG505" s="883"/>
      <c r="CH505" s="883"/>
      <c r="CI505" s="883"/>
      <c r="CJ505" s="883"/>
      <c r="CK505" s="883"/>
      <c r="CL505" s="883"/>
      <c r="CM505" s="883"/>
      <c r="CN505" s="883"/>
      <c r="CO505" s="883"/>
      <c r="CP505" s="883"/>
      <c r="CQ505" s="883"/>
      <c r="CR505" s="883"/>
      <c r="CS505" s="883"/>
      <c r="CT505" s="883"/>
      <c r="CU505" s="883"/>
      <c r="CV505" s="863"/>
      <c r="CW505" s="863"/>
      <c r="CX505" s="863"/>
      <c r="CY505" s="863"/>
      <c r="CZ505" s="863"/>
      <c r="DA505" s="863"/>
      <c r="DB505" s="863"/>
      <c r="DC505" s="863"/>
      <c r="DD505" s="863"/>
      <c r="DE505" s="863"/>
    </row>
    <row r="506">
      <c r="A506" s="876"/>
      <c r="B506" s="876"/>
      <c r="C506" s="876"/>
      <c r="D506" s="876"/>
      <c r="E506" s="876"/>
      <c r="F506" s="876"/>
      <c r="G506" s="876"/>
      <c r="H506" s="876"/>
      <c r="I506" s="876"/>
      <c r="J506" s="876"/>
      <c r="K506" s="876"/>
      <c r="L506" s="876"/>
      <c r="M506" s="876"/>
      <c r="N506" s="877"/>
      <c r="O506" s="876"/>
      <c r="P506" s="876"/>
      <c r="Q506" s="876"/>
      <c r="R506" s="876"/>
      <c r="S506" s="876"/>
      <c r="T506" s="876"/>
      <c r="U506" s="876"/>
      <c r="V506" s="876"/>
      <c r="W506" s="876"/>
      <c r="X506" s="876"/>
      <c r="Y506" s="876"/>
      <c r="Z506" s="876"/>
      <c r="AA506" s="876"/>
      <c r="AB506" s="876"/>
      <c r="AC506" s="876"/>
      <c r="AD506" s="876"/>
      <c r="AE506" s="876"/>
      <c r="AF506" s="876"/>
      <c r="AG506" s="876"/>
      <c r="AH506" s="876"/>
      <c r="AI506" s="878"/>
      <c r="AJ506" s="880"/>
      <c r="AK506" s="880"/>
      <c r="AL506" s="880"/>
      <c r="AM506" s="880"/>
      <c r="AN506" s="880"/>
      <c r="AO506" s="880"/>
      <c r="AP506" s="880"/>
      <c r="AQ506" s="880"/>
      <c r="AR506" s="880"/>
      <c r="AS506" s="880"/>
      <c r="AT506" s="880"/>
      <c r="AU506" s="880"/>
      <c r="AV506" s="880"/>
      <c r="AW506" s="881"/>
      <c r="AX506" s="863"/>
      <c r="AY506" s="863"/>
      <c r="AZ506" s="863"/>
      <c r="BA506" s="863"/>
      <c r="BB506" s="863"/>
      <c r="BC506" s="863"/>
      <c r="BD506" s="863"/>
      <c r="BE506" s="863"/>
      <c r="BF506" s="863"/>
      <c r="BG506" s="863"/>
      <c r="BH506" s="863"/>
      <c r="BI506" s="863"/>
      <c r="BJ506" s="863"/>
      <c r="BK506" s="863"/>
      <c r="BL506" s="863"/>
      <c r="BM506" s="863"/>
      <c r="BN506" s="863"/>
      <c r="BO506" s="863"/>
      <c r="BP506" s="880"/>
      <c r="BQ506" s="863"/>
      <c r="BR506" s="883"/>
      <c r="BS506" s="883"/>
      <c r="BT506" s="883"/>
      <c r="BU506" s="883"/>
      <c r="BV506" s="883"/>
      <c r="BW506" s="883"/>
      <c r="BX506" s="883"/>
      <c r="BY506" s="883"/>
      <c r="BZ506" s="883"/>
      <c r="CA506" s="883"/>
      <c r="CB506" s="883"/>
      <c r="CC506" s="883"/>
      <c r="CD506" s="884"/>
      <c r="CE506" s="883"/>
      <c r="CF506" s="883"/>
      <c r="CG506" s="883"/>
      <c r="CH506" s="883"/>
      <c r="CI506" s="883"/>
      <c r="CJ506" s="883"/>
      <c r="CK506" s="883"/>
      <c r="CL506" s="883"/>
      <c r="CM506" s="883"/>
      <c r="CN506" s="883"/>
      <c r="CO506" s="883"/>
      <c r="CP506" s="883"/>
      <c r="CQ506" s="883"/>
      <c r="CR506" s="883"/>
      <c r="CS506" s="883"/>
      <c r="CT506" s="883"/>
      <c r="CU506" s="883"/>
      <c r="CV506" s="863"/>
      <c r="CW506" s="863"/>
      <c r="CX506" s="863"/>
      <c r="CY506" s="863"/>
      <c r="CZ506" s="863"/>
      <c r="DA506" s="863"/>
      <c r="DB506" s="863"/>
      <c r="DC506" s="863"/>
      <c r="DD506" s="863"/>
      <c r="DE506" s="863"/>
    </row>
    <row r="507">
      <c r="A507" s="876"/>
      <c r="B507" s="876"/>
      <c r="C507" s="876"/>
      <c r="D507" s="876"/>
      <c r="E507" s="876"/>
      <c r="F507" s="876"/>
      <c r="G507" s="876"/>
      <c r="H507" s="876"/>
      <c r="I507" s="876"/>
      <c r="J507" s="876"/>
      <c r="K507" s="876"/>
      <c r="L507" s="876"/>
      <c r="M507" s="876"/>
      <c r="N507" s="877"/>
      <c r="O507" s="876"/>
      <c r="P507" s="876"/>
      <c r="Q507" s="876"/>
      <c r="R507" s="876"/>
      <c r="S507" s="876"/>
      <c r="T507" s="876"/>
      <c r="U507" s="876"/>
      <c r="V507" s="876"/>
      <c r="W507" s="876"/>
      <c r="X507" s="876"/>
      <c r="Y507" s="876"/>
      <c r="Z507" s="876"/>
      <c r="AA507" s="876"/>
      <c r="AB507" s="876"/>
      <c r="AC507" s="876"/>
      <c r="AD507" s="876"/>
      <c r="AE507" s="876"/>
      <c r="AF507" s="876"/>
      <c r="AG507" s="876"/>
      <c r="AH507" s="876"/>
      <c r="AI507" s="878"/>
      <c r="AJ507" s="880"/>
      <c r="AK507" s="880"/>
      <c r="AL507" s="880"/>
      <c r="AM507" s="880"/>
      <c r="AN507" s="880"/>
      <c r="AO507" s="880"/>
      <c r="AP507" s="880"/>
      <c r="AQ507" s="880"/>
      <c r="AR507" s="880"/>
      <c r="AS507" s="880"/>
      <c r="AT507" s="880"/>
      <c r="AU507" s="880"/>
      <c r="AV507" s="880"/>
      <c r="AW507" s="881"/>
      <c r="AX507" s="863"/>
      <c r="AY507" s="863"/>
      <c r="AZ507" s="863"/>
      <c r="BA507" s="863"/>
      <c r="BB507" s="863"/>
      <c r="BC507" s="863"/>
      <c r="BD507" s="863"/>
      <c r="BE507" s="863"/>
      <c r="BF507" s="863"/>
      <c r="BG507" s="863"/>
      <c r="BH507" s="863"/>
      <c r="BI507" s="863"/>
      <c r="BJ507" s="863"/>
      <c r="BK507" s="863"/>
      <c r="BL507" s="863"/>
      <c r="BM507" s="863"/>
      <c r="BN507" s="863"/>
      <c r="BO507" s="863"/>
      <c r="BP507" s="880"/>
      <c r="BQ507" s="863"/>
      <c r="BR507" s="883"/>
      <c r="BS507" s="883"/>
      <c r="BT507" s="883"/>
      <c r="BU507" s="883"/>
      <c r="BV507" s="883"/>
      <c r="BW507" s="883"/>
      <c r="BX507" s="883"/>
      <c r="BY507" s="883"/>
      <c r="BZ507" s="883"/>
      <c r="CA507" s="883"/>
      <c r="CB507" s="883"/>
      <c r="CC507" s="883"/>
      <c r="CD507" s="884"/>
      <c r="CE507" s="883"/>
      <c r="CF507" s="883"/>
      <c r="CG507" s="883"/>
      <c r="CH507" s="883"/>
      <c r="CI507" s="883"/>
      <c r="CJ507" s="883"/>
      <c r="CK507" s="883"/>
      <c r="CL507" s="883"/>
      <c r="CM507" s="883"/>
      <c r="CN507" s="883"/>
      <c r="CO507" s="883"/>
      <c r="CP507" s="883"/>
      <c r="CQ507" s="883"/>
      <c r="CR507" s="883"/>
      <c r="CS507" s="883"/>
      <c r="CT507" s="883"/>
      <c r="CU507" s="883"/>
      <c r="CV507" s="863"/>
      <c r="CW507" s="863"/>
      <c r="CX507" s="863"/>
      <c r="CY507" s="863"/>
      <c r="CZ507" s="863"/>
      <c r="DA507" s="863"/>
      <c r="DB507" s="863"/>
      <c r="DC507" s="863"/>
      <c r="DD507" s="863"/>
      <c r="DE507" s="863"/>
    </row>
    <row r="508">
      <c r="A508" s="876"/>
      <c r="B508" s="876"/>
      <c r="C508" s="876"/>
      <c r="D508" s="876"/>
      <c r="E508" s="876"/>
      <c r="F508" s="876"/>
      <c r="G508" s="876"/>
      <c r="H508" s="876"/>
      <c r="I508" s="876"/>
      <c r="J508" s="876"/>
      <c r="K508" s="876"/>
      <c r="L508" s="876"/>
      <c r="M508" s="876"/>
      <c r="N508" s="877"/>
      <c r="O508" s="876"/>
      <c r="P508" s="876"/>
      <c r="Q508" s="876"/>
      <c r="R508" s="876"/>
      <c r="S508" s="876"/>
      <c r="T508" s="876"/>
      <c r="U508" s="876"/>
      <c r="V508" s="876"/>
      <c r="W508" s="876"/>
      <c r="X508" s="876"/>
      <c r="Y508" s="876"/>
      <c r="Z508" s="876"/>
      <c r="AA508" s="876"/>
      <c r="AB508" s="876"/>
      <c r="AC508" s="876"/>
      <c r="AD508" s="876"/>
      <c r="AE508" s="876"/>
      <c r="AF508" s="876"/>
      <c r="AG508" s="876"/>
      <c r="AH508" s="876"/>
      <c r="AI508" s="878"/>
      <c r="AJ508" s="880"/>
      <c r="AK508" s="880"/>
      <c r="AL508" s="880"/>
      <c r="AM508" s="880"/>
      <c r="AN508" s="880"/>
      <c r="AO508" s="880"/>
      <c r="AP508" s="880"/>
      <c r="AQ508" s="880"/>
      <c r="AR508" s="880"/>
      <c r="AS508" s="880"/>
      <c r="AT508" s="880"/>
      <c r="AU508" s="880"/>
      <c r="AV508" s="880"/>
      <c r="AW508" s="881"/>
      <c r="AX508" s="863"/>
      <c r="AY508" s="863"/>
      <c r="AZ508" s="863"/>
      <c r="BA508" s="863"/>
      <c r="BB508" s="863"/>
      <c r="BC508" s="863"/>
      <c r="BD508" s="863"/>
      <c r="BE508" s="863"/>
      <c r="BF508" s="863"/>
      <c r="BG508" s="863"/>
      <c r="BH508" s="863"/>
      <c r="BI508" s="863"/>
      <c r="BJ508" s="863"/>
      <c r="BK508" s="863"/>
      <c r="BL508" s="863"/>
      <c r="BM508" s="863"/>
      <c r="BN508" s="863"/>
      <c r="BO508" s="863"/>
      <c r="BP508" s="880"/>
      <c r="BQ508" s="863"/>
      <c r="BR508" s="883"/>
      <c r="BS508" s="883"/>
      <c r="BT508" s="883"/>
      <c r="BU508" s="883"/>
      <c r="BV508" s="883"/>
      <c r="BW508" s="883"/>
      <c r="BX508" s="883"/>
      <c r="BY508" s="883"/>
      <c r="BZ508" s="883"/>
      <c r="CA508" s="883"/>
      <c r="CB508" s="883"/>
      <c r="CC508" s="883"/>
      <c r="CD508" s="884"/>
      <c r="CE508" s="883"/>
      <c r="CF508" s="883"/>
      <c r="CG508" s="883"/>
      <c r="CH508" s="883"/>
      <c r="CI508" s="883"/>
      <c r="CJ508" s="883"/>
      <c r="CK508" s="883"/>
      <c r="CL508" s="883"/>
      <c r="CM508" s="883"/>
      <c r="CN508" s="883"/>
      <c r="CO508" s="883"/>
      <c r="CP508" s="883"/>
      <c r="CQ508" s="883"/>
      <c r="CR508" s="883"/>
      <c r="CS508" s="883"/>
      <c r="CT508" s="883"/>
      <c r="CU508" s="883"/>
      <c r="CV508" s="863"/>
      <c r="CW508" s="863"/>
      <c r="CX508" s="863"/>
      <c r="CY508" s="863"/>
      <c r="CZ508" s="863"/>
      <c r="DA508" s="863"/>
      <c r="DB508" s="863"/>
      <c r="DC508" s="863"/>
      <c r="DD508" s="863"/>
      <c r="DE508" s="863"/>
    </row>
    <row r="509">
      <c r="A509" s="876"/>
      <c r="B509" s="876"/>
      <c r="C509" s="876"/>
      <c r="D509" s="876"/>
      <c r="E509" s="876"/>
      <c r="F509" s="876"/>
      <c r="G509" s="876"/>
      <c r="H509" s="876"/>
      <c r="I509" s="876"/>
      <c r="J509" s="876"/>
      <c r="K509" s="876"/>
      <c r="L509" s="876"/>
      <c r="M509" s="876"/>
      <c r="N509" s="877"/>
      <c r="O509" s="876"/>
      <c r="P509" s="876"/>
      <c r="Q509" s="876"/>
      <c r="R509" s="876"/>
      <c r="S509" s="876"/>
      <c r="T509" s="876"/>
      <c r="U509" s="876"/>
      <c r="V509" s="876"/>
      <c r="W509" s="876"/>
      <c r="X509" s="876"/>
      <c r="Y509" s="876"/>
      <c r="Z509" s="876"/>
      <c r="AA509" s="876"/>
      <c r="AB509" s="876"/>
      <c r="AC509" s="876"/>
      <c r="AD509" s="876"/>
      <c r="AE509" s="876"/>
      <c r="AF509" s="876"/>
      <c r="AG509" s="876"/>
      <c r="AH509" s="876"/>
      <c r="AI509" s="878"/>
      <c r="AJ509" s="880"/>
      <c r="AK509" s="880"/>
      <c r="AL509" s="880"/>
      <c r="AM509" s="880"/>
      <c r="AN509" s="880"/>
      <c r="AO509" s="880"/>
      <c r="AP509" s="880"/>
      <c r="AQ509" s="880"/>
      <c r="AR509" s="880"/>
      <c r="AS509" s="880"/>
      <c r="AT509" s="880"/>
      <c r="AU509" s="880"/>
      <c r="AV509" s="880"/>
      <c r="AW509" s="881"/>
      <c r="AX509" s="863"/>
      <c r="AY509" s="863"/>
      <c r="AZ509" s="863"/>
      <c r="BA509" s="863"/>
      <c r="BB509" s="863"/>
      <c r="BC509" s="863"/>
      <c r="BD509" s="863"/>
      <c r="BE509" s="863"/>
      <c r="BF509" s="863"/>
      <c r="BG509" s="863"/>
      <c r="BH509" s="863"/>
      <c r="BI509" s="863"/>
      <c r="BJ509" s="863"/>
      <c r="BK509" s="863"/>
      <c r="BL509" s="863"/>
      <c r="BM509" s="863"/>
      <c r="BN509" s="863"/>
      <c r="BO509" s="863"/>
      <c r="BP509" s="880"/>
      <c r="BQ509" s="863"/>
      <c r="BR509" s="883"/>
      <c r="BS509" s="883"/>
      <c r="BT509" s="883"/>
      <c r="BU509" s="883"/>
      <c r="BV509" s="883"/>
      <c r="BW509" s="883"/>
      <c r="BX509" s="883"/>
      <c r="BY509" s="883"/>
      <c r="BZ509" s="883"/>
      <c r="CA509" s="883"/>
      <c r="CB509" s="883"/>
      <c r="CC509" s="883"/>
      <c r="CD509" s="884"/>
      <c r="CE509" s="883"/>
      <c r="CF509" s="883"/>
      <c r="CG509" s="883"/>
      <c r="CH509" s="883"/>
      <c r="CI509" s="883"/>
      <c r="CJ509" s="883"/>
      <c r="CK509" s="883"/>
      <c r="CL509" s="883"/>
      <c r="CM509" s="883"/>
      <c r="CN509" s="883"/>
      <c r="CO509" s="883"/>
      <c r="CP509" s="883"/>
      <c r="CQ509" s="883"/>
      <c r="CR509" s="883"/>
      <c r="CS509" s="883"/>
      <c r="CT509" s="883"/>
      <c r="CU509" s="883"/>
      <c r="CV509" s="863"/>
      <c r="CW509" s="863"/>
      <c r="CX509" s="863"/>
      <c r="CY509" s="863"/>
      <c r="CZ509" s="863"/>
      <c r="DA509" s="863"/>
      <c r="DB509" s="863"/>
      <c r="DC509" s="863"/>
      <c r="DD509" s="863"/>
      <c r="DE509" s="863"/>
    </row>
    <row r="510">
      <c r="A510" s="876"/>
      <c r="B510" s="876"/>
      <c r="C510" s="876"/>
      <c r="D510" s="876"/>
      <c r="E510" s="876"/>
      <c r="F510" s="876"/>
      <c r="G510" s="876"/>
      <c r="H510" s="876"/>
      <c r="I510" s="876"/>
      <c r="J510" s="876"/>
      <c r="K510" s="876"/>
      <c r="L510" s="876"/>
      <c r="M510" s="876"/>
      <c r="N510" s="877"/>
      <c r="O510" s="876"/>
      <c r="P510" s="876"/>
      <c r="Q510" s="876"/>
      <c r="R510" s="876"/>
      <c r="S510" s="876"/>
      <c r="T510" s="876"/>
      <c r="U510" s="876"/>
      <c r="V510" s="876"/>
      <c r="W510" s="876"/>
      <c r="X510" s="876"/>
      <c r="Y510" s="876"/>
      <c r="Z510" s="876"/>
      <c r="AA510" s="876"/>
      <c r="AB510" s="876"/>
      <c r="AC510" s="876"/>
      <c r="AD510" s="876"/>
      <c r="AE510" s="876"/>
      <c r="AF510" s="876"/>
      <c r="AG510" s="876"/>
      <c r="AH510" s="876"/>
      <c r="AI510" s="878"/>
      <c r="AJ510" s="880"/>
      <c r="AK510" s="880"/>
      <c r="AL510" s="880"/>
      <c r="AM510" s="880"/>
      <c r="AN510" s="880"/>
      <c r="AO510" s="880"/>
      <c r="AP510" s="880"/>
      <c r="AQ510" s="880"/>
      <c r="AR510" s="880"/>
      <c r="AS510" s="880"/>
      <c r="AT510" s="880"/>
      <c r="AU510" s="880"/>
      <c r="AV510" s="880"/>
      <c r="AW510" s="881"/>
      <c r="AX510" s="863"/>
      <c r="AY510" s="863"/>
      <c r="AZ510" s="863"/>
      <c r="BA510" s="863"/>
      <c r="BB510" s="863"/>
      <c r="BC510" s="863"/>
      <c r="BD510" s="863"/>
      <c r="BE510" s="863"/>
      <c r="BF510" s="863"/>
      <c r="BG510" s="863"/>
      <c r="BH510" s="863"/>
      <c r="BI510" s="863"/>
      <c r="BJ510" s="863"/>
      <c r="BK510" s="863"/>
      <c r="BL510" s="863"/>
      <c r="BM510" s="863"/>
      <c r="BN510" s="863"/>
      <c r="BO510" s="863"/>
      <c r="BP510" s="880"/>
      <c r="BQ510" s="863"/>
      <c r="BR510" s="883"/>
      <c r="BS510" s="883"/>
      <c r="BT510" s="883"/>
      <c r="BU510" s="883"/>
      <c r="BV510" s="883"/>
      <c r="BW510" s="883"/>
      <c r="BX510" s="883"/>
      <c r="BY510" s="883"/>
      <c r="BZ510" s="883"/>
      <c r="CA510" s="883"/>
      <c r="CB510" s="883"/>
      <c r="CC510" s="883"/>
      <c r="CD510" s="884"/>
      <c r="CE510" s="883"/>
      <c r="CF510" s="883"/>
      <c r="CG510" s="883"/>
      <c r="CH510" s="883"/>
      <c r="CI510" s="883"/>
      <c r="CJ510" s="883"/>
      <c r="CK510" s="883"/>
      <c r="CL510" s="883"/>
      <c r="CM510" s="883"/>
      <c r="CN510" s="883"/>
      <c r="CO510" s="883"/>
      <c r="CP510" s="883"/>
      <c r="CQ510" s="883"/>
      <c r="CR510" s="883"/>
      <c r="CS510" s="883"/>
      <c r="CT510" s="883"/>
      <c r="CU510" s="883"/>
      <c r="CV510" s="863"/>
      <c r="CW510" s="863"/>
      <c r="CX510" s="863"/>
      <c r="CY510" s="863"/>
      <c r="CZ510" s="863"/>
      <c r="DA510" s="863"/>
      <c r="DB510" s="863"/>
      <c r="DC510" s="863"/>
      <c r="DD510" s="863"/>
      <c r="DE510" s="863"/>
    </row>
    <row r="511">
      <c r="A511" s="876"/>
      <c r="B511" s="876"/>
      <c r="C511" s="876"/>
      <c r="D511" s="876"/>
      <c r="E511" s="876"/>
      <c r="F511" s="876"/>
      <c r="G511" s="876"/>
      <c r="H511" s="876"/>
      <c r="I511" s="876"/>
      <c r="J511" s="876"/>
      <c r="K511" s="876"/>
      <c r="L511" s="876"/>
      <c r="M511" s="876"/>
      <c r="N511" s="877"/>
      <c r="O511" s="876"/>
      <c r="P511" s="876"/>
      <c r="Q511" s="876"/>
      <c r="R511" s="876"/>
      <c r="S511" s="876"/>
      <c r="T511" s="876"/>
      <c r="U511" s="876"/>
      <c r="V511" s="876"/>
      <c r="W511" s="876"/>
      <c r="X511" s="876"/>
      <c r="Y511" s="876"/>
      <c r="Z511" s="876"/>
      <c r="AA511" s="876"/>
      <c r="AB511" s="876"/>
      <c r="AC511" s="876"/>
      <c r="AD511" s="876"/>
      <c r="AE511" s="876"/>
      <c r="AF511" s="876"/>
      <c r="AG511" s="876"/>
      <c r="AH511" s="876"/>
      <c r="AI511" s="878"/>
      <c r="AJ511" s="880"/>
      <c r="AK511" s="880"/>
      <c r="AL511" s="880"/>
      <c r="AM511" s="880"/>
      <c r="AN511" s="880"/>
      <c r="AO511" s="880"/>
      <c r="AP511" s="880"/>
      <c r="AQ511" s="880"/>
      <c r="AR511" s="880"/>
      <c r="AS511" s="880"/>
      <c r="AT511" s="880"/>
      <c r="AU511" s="880"/>
      <c r="AV511" s="880"/>
      <c r="AW511" s="881"/>
      <c r="AX511" s="863"/>
      <c r="AY511" s="863"/>
      <c r="AZ511" s="863"/>
      <c r="BA511" s="863"/>
      <c r="BB511" s="863"/>
      <c r="BC511" s="863"/>
      <c r="BD511" s="863"/>
      <c r="BE511" s="863"/>
      <c r="BF511" s="863"/>
      <c r="BG511" s="863"/>
      <c r="BH511" s="863"/>
      <c r="BI511" s="863"/>
      <c r="BJ511" s="863"/>
      <c r="BK511" s="863"/>
      <c r="BL511" s="863"/>
      <c r="BM511" s="863"/>
      <c r="BN511" s="863"/>
      <c r="BO511" s="863"/>
      <c r="BP511" s="880"/>
      <c r="BQ511" s="863"/>
      <c r="BR511" s="883"/>
      <c r="BS511" s="883"/>
      <c r="BT511" s="883"/>
      <c r="BU511" s="883"/>
      <c r="BV511" s="883"/>
      <c r="BW511" s="883"/>
      <c r="BX511" s="883"/>
      <c r="BY511" s="883"/>
      <c r="BZ511" s="883"/>
      <c r="CA511" s="883"/>
      <c r="CB511" s="883"/>
      <c r="CC511" s="883"/>
      <c r="CD511" s="884"/>
      <c r="CE511" s="883"/>
      <c r="CF511" s="883"/>
      <c r="CG511" s="883"/>
      <c r="CH511" s="883"/>
      <c r="CI511" s="883"/>
      <c r="CJ511" s="883"/>
      <c r="CK511" s="883"/>
      <c r="CL511" s="883"/>
      <c r="CM511" s="883"/>
      <c r="CN511" s="883"/>
      <c r="CO511" s="883"/>
      <c r="CP511" s="883"/>
      <c r="CQ511" s="883"/>
      <c r="CR511" s="883"/>
      <c r="CS511" s="883"/>
      <c r="CT511" s="883"/>
      <c r="CU511" s="883"/>
      <c r="CV511" s="863"/>
      <c r="CW511" s="863"/>
      <c r="CX511" s="863"/>
      <c r="CY511" s="863"/>
      <c r="CZ511" s="863"/>
      <c r="DA511" s="863"/>
      <c r="DB511" s="863"/>
      <c r="DC511" s="863"/>
      <c r="DD511" s="863"/>
      <c r="DE511" s="863"/>
    </row>
    <row r="512">
      <c r="A512" s="876"/>
      <c r="B512" s="876"/>
      <c r="C512" s="876"/>
      <c r="D512" s="876"/>
      <c r="E512" s="876"/>
      <c r="F512" s="876"/>
      <c r="G512" s="876"/>
      <c r="H512" s="876"/>
      <c r="I512" s="876"/>
      <c r="J512" s="876"/>
      <c r="K512" s="876"/>
      <c r="L512" s="876"/>
      <c r="M512" s="876"/>
      <c r="N512" s="877"/>
      <c r="O512" s="876"/>
      <c r="P512" s="876"/>
      <c r="Q512" s="876"/>
      <c r="R512" s="876"/>
      <c r="S512" s="876"/>
      <c r="T512" s="876"/>
      <c r="U512" s="876"/>
      <c r="V512" s="876"/>
      <c r="W512" s="876"/>
      <c r="X512" s="876"/>
      <c r="Y512" s="876"/>
      <c r="Z512" s="876"/>
      <c r="AA512" s="876"/>
      <c r="AB512" s="876"/>
      <c r="AC512" s="876"/>
      <c r="AD512" s="876"/>
      <c r="AE512" s="876"/>
      <c r="AF512" s="876"/>
      <c r="AG512" s="876"/>
      <c r="AH512" s="876"/>
      <c r="AI512" s="878"/>
      <c r="AJ512" s="880"/>
      <c r="AK512" s="880"/>
      <c r="AL512" s="880"/>
      <c r="AM512" s="880"/>
      <c r="AN512" s="880"/>
      <c r="AO512" s="880"/>
      <c r="AP512" s="880"/>
      <c r="AQ512" s="880"/>
      <c r="AR512" s="880"/>
      <c r="AS512" s="880"/>
      <c r="AT512" s="880"/>
      <c r="AU512" s="880"/>
      <c r="AV512" s="880"/>
      <c r="AW512" s="881"/>
      <c r="AX512" s="863"/>
      <c r="AY512" s="863"/>
      <c r="AZ512" s="863"/>
      <c r="BA512" s="863"/>
      <c r="BB512" s="863"/>
      <c r="BC512" s="863"/>
      <c r="BD512" s="863"/>
      <c r="BE512" s="863"/>
      <c r="BF512" s="863"/>
      <c r="BG512" s="863"/>
      <c r="BH512" s="863"/>
      <c r="BI512" s="863"/>
      <c r="BJ512" s="863"/>
      <c r="BK512" s="863"/>
      <c r="BL512" s="863"/>
      <c r="BM512" s="863"/>
      <c r="BN512" s="863"/>
      <c r="BO512" s="863"/>
      <c r="BP512" s="880"/>
      <c r="BQ512" s="863"/>
      <c r="BR512" s="883"/>
      <c r="BS512" s="883"/>
      <c r="BT512" s="883"/>
      <c r="BU512" s="883"/>
      <c r="BV512" s="883"/>
      <c r="BW512" s="883"/>
      <c r="BX512" s="883"/>
      <c r="BY512" s="883"/>
      <c r="BZ512" s="883"/>
      <c r="CA512" s="883"/>
      <c r="CB512" s="883"/>
      <c r="CC512" s="883"/>
      <c r="CD512" s="884"/>
      <c r="CE512" s="883"/>
      <c r="CF512" s="883"/>
      <c r="CG512" s="883"/>
      <c r="CH512" s="883"/>
      <c r="CI512" s="883"/>
      <c r="CJ512" s="883"/>
      <c r="CK512" s="883"/>
      <c r="CL512" s="883"/>
      <c r="CM512" s="883"/>
      <c r="CN512" s="883"/>
      <c r="CO512" s="883"/>
      <c r="CP512" s="883"/>
      <c r="CQ512" s="883"/>
      <c r="CR512" s="883"/>
      <c r="CS512" s="883"/>
      <c r="CT512" s="883"/>
      <c r="CU512" s="883"/>
      <c r="CV512" s="863"/>
      <c r="CW512" s="863"/>
      <c r="CX512" s="863"/>
      <c r="CY512" s="863"/>
      <c r="CZ512" s="863"/>
      <c r="DA512" s="863"/>
      <c r="DB512" s="863"/>
      <c r="DC512" s="863"/>
      <c r="DD512" s="863"/>
      <c r="DE512" s="863"/>
    </row>
    <row r="513">
      <c r="A513" s="876"/>
      <c r="B513" s="876"/>
      <c r="C513" s="876"/>
      <c r="D513" s="876"/>
      <c r="E513" s="876"/>
      <c r="F513" s="876"/>
      <c r="G513" s="876"/>
      <c r="H513" s="876"/>
      <c r="I513" s="876"/>
      <c r="J513" s="876"/>
      <c r="K513" s="876"/>
      <c r="L513" s="876"/>
      <c r="M513" s="876"/>
      <c r="N513" s="877"/>
      <c r="O513" s="876"/>
      <c r="P513" s="876"/>
      <c r="Q513" s="876"/>
      <c r="R513" s="876"/>
      <c r="S513" s="876"/>
      <c r="T513" s="876"/>
      <c r="U513" s="876"/>
      <c r="V513" s="876"/>
      <c r="W513" s="876"/>
      <c r="X513" s="876"/>
      <c r="Y513" s="876"/>
      <c r="Z513" s="876"/>
      <c r="AA513" s="876"/>
      <c r="AB513" s="876"/>
      <c r="AC513" s="876"/>
      <c r="AD513" s="876"/>
      <c r="AE513" s="876"/>
      <c r="AF513" s="876"/>
      <c r="AG513" s="876"/>
      <c r="AH513" s="876"/>
      <c r="AI513" s="878"/>
      <c r="AJ513" s="880"/>
      <c r="AK513" s="880"/>
      <c r="AL513" s="880"/>
      <c r="AM513" s="880"/>
      <c r="AN513" s="880"/>
      <c r="AO513" s="880"/>
      <c r="AP513" s="880"/>
      <c r="AQ513" s="880"/>
      <c r="AR513" s="880"/>
      <c r="AS513" s="880"/>
      <c r="AT513" s="880"/>
      <c r="AU513" s="880"/>
      <c r="AV513" s="880"/>
      <c r="AW513" s="881"/>
      <c r="AX513" s="863"/>
      <c r="AY513" s="863"/>
      <c r="AZ513" s="863"/>
      <c r="BA513" s="863"/>
      <c r="BB513" s="863"/>
      <c r="BC513" s="863"/>
      <c r="BD513" s="863"/>
      <c r="BE513" s="863"/>
      <c r="BF513" s="863"/>
      <c r="BG513" s="863"/>
      <c r="BH513" s="863"/>
      <c r="BI513" s="863"/>
      <c r="BJ513" s="863"/>
      <c r="BK513" s="863"/>
      <c r="BL513" s="863"/>
      <c r="BM513" s="863"/>
      <c r="BN513" s="863"/>
      <c r="BO513" s="863"/>
      <c r="BP513" s="880"/>
      <c r="BQ513" s="863"/>
      <c r="BR513" s="883"/>
      <c r="BS513" s="883"/>
      <c r="BT513" s="883"/>
      <c r="BU513" s="883"/>
      <c r="BV513" s="883"/>
      <c r="BW513" s="883"/>
      <c r="BX513" s="883"/>
      <c r="BY513" s="883"/>
      <c r="BZ513" s="883"/>
      <c r="CA513" s="883"/>
      <c r="CB513" s="883"/>
      <c r="CC513" s="883"/>
      <c r="CD513" s="884"/>
      <c r="CE513" s="883"/>
      <c r="CF513" s="883"/>
      <c r="CG513" s="883"/>
      <c r="CH513" s="883"/>
      <c r="CI513" s="883"/>
      <c r="CJ513" s="883"/>
      <c r="CK513" s="883"/>
      <c r="CL513" s="883"/>
      <c r="CM513" s="883"/>
      <c r="CN513" s="883"/>
      <c r="CO513" s="883"/>
      <c r="CP513" s="883"/>
      <c r="CQ513" s="883"/>
      <c r="CR513" s="883"/>
      <c r="CS513" s="883"/>
      <c r="CT513" s="883"/>
      <c r="CU513" s="883"/>
      <c r="CV513" s="863"/>
      <c r="CW513" s="863"/>
      <c r="CX513" s="863"/>
      <c r="CY513" s="863"/>
      <c r="CZ513" s="863"/>
      <c r="DA513" s="863"/>
      <c r="DB513" s="863"/>
      <c r="DC513" s="863"/>
      <c r="DD513" s="863"/>
      <c r="DE513" s="863"/>
    </row>
    <row r="514">
      <c r="A514" s="876"/>
      <c r="B514" s="876"/>
      <c r="C514" s="876"/>
      <c r="D514" s="876"/>
      <c r="E514" s="876"/>
      <c r="F514" s="876"/>
      <c r="G514" s="876"/>
      <c r="H514" s="876"/>
      <c r="I514" s="876"/>
      <c r="J514" s="876"/>
      <c r="K514" s="876"/>
      <c r="L514" s="876"/>
      <c r="M514" s="876"/>
      <c r="N514" s="877"/>
      <c r="O514" s="876"/>
      <c r="P514" s="876"/>
      <c r="Q514" s="876"/>
      <c r="R514" s="876"/>
      <c r="S514" s="876"/>
      <c r="T514" s="876"/>
      <c r="U514" s="876"/>
      <c r="V514" s="876"/>
      <c r="W514" s="876"/>
      <c r="X514" s="876"/>
      <c r="Y514" s="876"/>
      <c r="Z514" s="876"/>
      <c r="AA514" s="876"/>
      <c r="AB514" s="876"/>
      <c r="AC514" s="876"/>
      <c r="AD514" s="876"/>
      <c r="AE514" s="876"/>
      <c r="AF514" s="876"/>
      <c r="AG514" s="876"/>
      <c r="AH514" s="876"/>
      <c r="AI514" s="878"/>
      <c r="AJ514" s="880"/>
      <c r="AK514" s="880"/>
      <c r="AL514" s="880"/>
      <c r="AM514" s="880"/>
      <c r="AN514" s="880"/>
      <c r="AO514" s="880"/>
      <c r="AP514" s="880"/>
      <c r="AQ514" s="880"/>
      <c r="AR514" s="880"/>
      <c r="AS514" s="880"/>
      <c r="AT514" s="880"/>
      <c r="AU514" s="880"/>
      <c r="AV514" s="880"/>
      <c r="AW514" s="881"/>
      <c r="AX514" s="863"/>
      <c r="AY514" s="863"/>
      <c r="AZ514" s="863"/>
      <c r="BA514" s="863"/>
      <c r="BB514" s="863"/>
      <c r="BC514" s="863"/>
      <c r="BD514" s="863"/>
      <c r="BE514" s="863"/>
      <c r="BF514" s="863"/>
      <c r="BG514" s="863"/>
      <c r="BH514" s="863"/>
      <c r="BI514" s="863"/>
      <c r="BJ514" s="863"/>
      <c r="BK514" s="863"/>
      <c r="BL514" s="863"/>
      <c r="BM514" s="863"/>
      <c r="BN514" s="863"/>
      <c r="BO514" s="863"/>
      <c r="BP514" s="880"/>
      <c r="BQ514" s="863"/>
      <c r="BR514" s="883"/>
      <c r="BS514" s="883"/>
      <c r="BT514" s="883"/>
      <c r="BU514" s="883"/>
      <c r="BV514" s="883"/>
      <c r="BW514" s="883"/>
      <c r="BX514" s="883"/>
      <c r="BY514" s="883"/>
      <c r="BZ514" s="883"/>
      <c r="CA514" s="883"/>
      <c r="CB514" s="883"/>
      <c r="CC514" s="883"/>
      <c r="CD514" s="884"/>
      <c r="CE514" s="883"/>
      <c r="CF514" s="883"/>
      <c r="CG514" s="883"/>
      <c r="CH514" s="883"/>
      <c r="CI514" s="883"/>
      <c r="CJ514" s="883"/>
      <c r="CK514" s="883"/>
      <c r="CL514" s="883"/>
      <c r="CM514" s="883"/>
      <c r="CN514" s="883"/>
      <c r="CO514" s="883"/>
      <c r="CP514" s="883"/>
      <c r="CQ514" s="883"/>
      <c r="CR514" s="883"/>
      <c r="CS514" s="883"/>
      <c r="CT514" s="883"/>
      <c r="CU514" s="883"/>
      <c r="CV514" s="863"/>
      <c r="CW514" s="863"/>
      <c r="CX514" s="863"/>
      <c r="CY514" s="863"/>
      <c r="CZ514" s="863"/>
      <c r="DA514" s="863"/>
      <c r="DB514" s="863"/>
      <c r="DC514" s="863"/>
      <c r="DD514" s="863"/>
      <c r="DE514" s="863"/>
    </row>
    <row r="515">
      <c r="A515" s="876"/>
      <c r="B515" s="876"/>
      <c r="C515" s="876"/>
      <c r="D515" s="876"/>
      <c r="E515" s="876"/>
      <c r="F515" s="876"/>
      <c r="G515" s="876"/>
      <c r="H515" s="876"/>
      <c r="I515" s="876"/>
      <c r="J515" s="876"/>
      <c r="K515" s="876"/>
      <c r="L515" s="876"/>
      <c r="M515" s="876"/>
      <c r="N515" s="877"/>
      <c r="O515" s="876"/>
      <c r="P515" s="876"/>
      <c r="Q515" s="876"/>
      <c r="R515" s="876"/>
      <c r="S515" s="876"/>
      <c r="T515" s="876"/>
      <c r="U515" s="876"/>
      <c r="V515" s="876"/>
      <c r="W515" s="876"/>
      <c r="X515" s="876"/>
      <c r="Y515" s="876"/>
      <c r="Z515" s="876"/>
      <c r="AA515" s="876"/>
      <c r="AB515" s="876"/>
      <c r="AC515" s="876"/>
      <c r="AD515" s="876"/>
      <c r="AE515" s="876"/>
      <c r="AF515" s="876"/>
      <c r="AG515" s="876"/>
      <c r="AH515" s="876"/>
      <c r="AI515" s="878"/>
      <c r="AJ515" s="880"/>
      <c r="AK515" s="880"/>
      <c r="AL515" s="880"/>
      <c r="AM515" s="880"/>
      <c r="AN515" s="880"/>
      <c r="AO515" s="880"/>
      <c r="AP515" s="880"/>
      <c r="AQ515" s="880"/>
      <c r="AR515" s="880"/>
      <c r="AS515" s="880"/>
      <c r="AT515" s="880"/>
      <c r="AU515" s="880"/>
      <c r="AV515" s="880"/>
      <c r="AW515" s="881"/>
      <c r="AX515" s="863"/>
      <c r="AY515" s="863"/>
      <c r="AZ515" s="863"/>
      <c r="BA515" s="863"/>
      <c r="BB515" s="863"/>
      <c r="BC515" s="863"/>
      <c r="BD515" s="863"/>
      <c r="BE515" s="863"/>
      <c r="BF515" s="863"/>
      <c r="BG515" s="863"/>
      <c r="BH515" s="863"/>
      <c r="BI515" s="863"/>
      <c r="BJ515" s="863"/>
      <c r="BK515" s="863"/>
      <c r="BL515" s="863"/>
      <c r="BM515" s="863"/>
      <c r="BN515" s="863"/>
      <c r="BO515" s="863"/>
      <c r="BP515" s="880"/>
      <c r="BQ515" s="863"/>
      <c r="BR515" s="883"/>
      <c r="BS515" s="883"/>
      <c r="BT515" s="883"/>
      <c r="BU515" s="883"/>
      <c r="BV515" s="883"/>
      <c r="BW515" s="883"/>
      <c r="BX515" s="883"/>
      <c r="BY515" s="883"/>
      <c r="BZ515" s="883"/>
      <c r="CA515" s="883"/>
      <c r="CB515" s="883"/>
      <c r="CC515" s="883"/>
      <c r="CD515" s="884"/>
      <c r="CE515" s="883"/>
      <c r="CF515" s="883"/>
      <c r="CG515" s="883"/>
      <c r="CH515" s="883"/>
      <c r="CI515" s="883"/>
      <c r="CJ515" s="883"/>
      <c r="CK515" s="883"/>
      <c r="CL515" s="883"/>
      <c r="CM515" s="883"/>
      <c r="CN515" s="883"/>
      <c r="CO515" s="883"/>
      <c r="CP515" s="883"/>
      <c r="CQ515" s="883"/>
      <c r="CR515" s="883"/>
      <c r="CS515" s="883"/>
      <c r="CT515" s="883"/>
      <c r="CU515" s="883"/>
      <c r="CV515" s="863"/>
      <c r="CW515" s="863"/>
      <c r="CX515" s="863"/>
      <c r="CY515" s="863"/>
      <c r="CZ515" s="863"/>
      <c r="DA515" s="863"/>
      <c r="DB515" s="863"/>
      <c r="DC515" s="863"/>
      <c r="DD515" s="863"/>
      <c r="DE515" s="863"/>
    </row>
    <row r="516">
      <c r="A516" s="876"/>
      <c r="B516" s="876"/>
      <c r="C516" s="876"/>
      <c r="D516" s="876"/>
      <c r="E516" s="876"/>
      <c r="F516" s="876"/>
      <c r="G516" s="876"/>
      <c r="H516" s="876"/>
      <c r="I516" s="876"/>
      <c r="J516" s="876"/>
      <c r="K516" s="876"/>
      <c r="L516" s="876"/>
      <c r="M516" s="876"/>
      <c r="N516" s="877"/>
      <c r="O516" s="876"/>
      <c r="P516" s="876"/>
      <c r="Q516" s="876"/>
      <c r="R516" s="876"/>
      <c r="S516" s="876"/>
      <c r="T516" s="876"/>
      <c r="U516" s="876"/>
      <c r="V516" s="876"/>
      <c r="W516" s="876"/>
      <c r="X516" s="876"/>
      <c r="Y516" s="876"/>
      <c r="Z516" s="876"/>
      <c r="AA516" s="876"/>
      <c r="AB516" s="876"/>
      <c r="AC516" s="876"/>
      <c r="AD516" s="876"/>
      <c r="AE516" s="876"/>
      <c r="AF516" s="876"/>
      <c r="AG516" s="876"/>
      <c r="AH516" s="876"/>
      <c r="AI516" s="878"/>
      <c r="AJ516" s="880"/>
      <c r="AK516" s="880"/>
      <c r="AL516" s="880"/>
      <c r="AM516" s="880"/>
      <c r="AN516" s="880"/>
      <c r="AO516" s="880"/>
      <c r="AP516" s="880"/>
      <c r="AQ516" s="880"/>
      <c r="AR516" s="880"/>
      <c r="AS516" s="880"/>
      <c r="AT516" s="880"/>
      <c r="AU516" s="880"/>
      <c r="AV516" s="880"/>
      <c r="AW516" s="881"/>
      <c r="AX516" s="863"/>
      <c r="AY516" s="863"/>
      <c r="AZ516" s="863"/>
      <c r="BA516" s="863"/>
      <c r="BB516" s="863"/>
      <c r="BC516" s="863"/>
      <c r="BD516" s="863"/>
      <c r="BE516" s="863"/>
      <c r="BF516" s="863"/>
      <c r="BG516" s="863"/>
      <c r="BH516" s="863"/>
      <c r="BI516" s="863"/>
      <c r="BJ516" s="863"/>
      <c r="BK516" s="863"/>
      <c r="BL516" s="863"/>
      <c r="BM516" s="863"/>
      <c r="BN516" s="863"/>
      <c r="BO516" s="863"/>
      <c r="BP516" s="880"/>
      <c r="BQ516" s="863"/>
      <c r="BR516" s="883"/>
      <c r="BS516" s="883"/>
      <c r="BT516" s="883"/>
      <c r="BU516" s="883"/>
      <c r="BV516" s="883"/>
      <c r="BW516" s="883"/>
      <c r="BX516" s="883"/>
      <c r="BY516" s="883"/>
      <c r="BZ516" s="883"/>
      <c r="CA516" s="883"/>
      <c r="CB516" s="883"/>
      <c r="CC516" s="883"/>
      <c r="CD516" s="884"/>
      <c r="CE516" s="883"/>
      <c r="CF516" s="883"/>
      <c r="CG516" s="883"/>
      <c r="CH516" s="883"/>
      <c r="CI516" s="883"/>
      <c r="CJ516" s="883"/>
      <c r="CK516" s="883"/>
      <c r="CL516" s="883"/>
      <c r="CM516" s="883"/>
      <c r="CN516" s="883"/>
      <c r="CO516" s="883"/>
      <c r="CP516" s="883"/>
      <c r="CQ516" s="883"/>
      <c r="CR516" s="883"/>
      <c r="CS516" s="883"/>
      <c r="CT516" s="883"/>
      <c r="CU516" s="883"/>
      <c r="CV516" s="863"/>
      <c r="CW516" s="863"/>
      <c r="CX516" s="863"/>
      <c r="CY516" s="863"/>
      <c r="CZ516" s="863"/>
      <c r="DA516" s="863"/>
      <c r="DB516" s="863"/>
      <c r="DC516" s="863"/>
      <c r="DD516" s="863"/>
      <c r="DE516" s="863"/>
    </row>
    <row r="517">
      <c r="A517" s="876"/>
      <c r="B517" s="876"/>
      <c r="C517" s="876"/>
      <c r="D517" s="876"/>
      <c r="E517" s="876"/>
      <c r="F517" s="876"/>
      <c r="G517" s="876"/>
      <c r="H517" s="876"/>
      <c r="I517" s="876"/>
      <c r="J517" s="876"/>
      <c r="K517" s="876"/>
      <c r="L517" s="876"/>
      <c r="M517" s="876"/>
      <c r="N517" s="877"/>
      <c r="O517" s="876"/>
      <c r="P517" s="876"/>
      <c r="Q517" s="876"/>
      <c r="R517" s="876"/>
      <c r="S517" s="876"/>
      <c r="T517" s="876"/>
      <c r="U517" s="876"/>
      <c r="V517" s="876"/>
      <c r="W517" s="876"/>
      <c r="X517" s="876"/>
      <c r="Y517" s="876"/>
      <c r="Z517" s="876"/>
      <c r="AA517" s="876"/>
      <c r="AB517" s="876"/>
      <c r="AC517" s="876"/>
      <c r="AD517" s="876"/>
      <c r="AE517" s="876"/>
      <c r="AF517" s="876"/>
      <c r="AG517" s="876"/>
      <c r="AH517" s="876"/>
      <c r="AI517" s="878"/>
      <c r="AJ517" s="880"/>
      <c r="AK517" s="880"/>
      <c r="AL517" s="880"/>
      <c r="AM517" s="880"/>
      <c r="AN517" s="880"/>
      <c r="AO517" s="880"/>
      <c r="AP517" s="880"/>
      <c r="AQ517" s="880"/>
      <c r="AR517" s="880"/>
      <c r="AS517" s="880"/>
      <c r="AT517" s="880"/>
      <c r="AU517" s="880"/>
      <c r="AV517" s="880"/>
      <c r="AW517" s="881"/>
      <c r="AX517" s="863"/>
      <c r="AY517" s="863"/>
      <c r="AZ517" s="863"/>
      <c r="BA517" s="863"/>
      <c r="BB517" s="863"/>
      <c r="BC517" s="863"/>
      <c r="BD517" s="863"/>
      <c r="BE517" s="863"/>
      <c r="BF517" s="863"/>
      <c r="BG517" s="863"/>
      <c r="BH517" s="863"/>
      <c r="BI517" s="863"/>
      <c r="BJ517" s="863"/>
      <c r="BK517" s="863"/>
      <c r="BL517" s="863"/>
      <c r="BM517" s="863"/>
      <c r="BN517" s="863"/>
      <c r="BO517" s="863"/>
      <c r="BP517" s="880"/>
      <c r="BQ517" s="863"/>
      <c r="BR517" s="883"/>
      <c r="BS517" s="883"/>
      <c r="BT517" s="883"/>
      <c r="BU517" s="883"/>
      <c r="BV517" s="883"/>
      <c r="BW517" s="883"/>
      <c r="BX517" s="883"/>
      <c r="BY517" s="883"/>
      <c r="BZ517" s="883"/>
      <c r="CA517" s="883"/>
      <c r="CB517" s="883"/>
      <c r="CC517" s="883"/>
      <c r="CD517" s="884"/>
      <c r="CE517" s="883"/>
      <c r="CF517" s="883"/>
      <c r="CG517" s="883"/>
      <c r="CH517" s="883"/>
      <c r="CI517" s="883"/>
      <c r="CJ517" s="883"/>
      <c r="CK517" s="883"/>
      <c r="CL517" s="883"/>
      <c r="CM517" s="883"/>
      <c r="CN517" s="883"/>
      <c r="CO517" s="883"/>
      <c r="CP517" s="883"/>
      <c r="CQ517" s="883"/>
      <c r="CR517" s="883"/>
      <c r="CS517" s="883"/>
      <c r="CT517" s="883"/>
      <c r="CU517" s="883"/>
      <c r="CV517" s="863"/>
      <c r="CW517" s="863"/>
      <c r="CX517" s="863"/>
      <c r="CY517" s="863"/>
      <c r="CZ517" s="863"/>
      <c r="DA517" s="863"/>
      <c r="DB517" s="863"/>
      <c r="DC517" s="863"/>
      <c r="DD517" s="863"/>
      <c r="DE517" s="863"/>
    </row>
    <row r="518">
      <c r="A518" s="876"/>
      <c r="B518" s="876"/>
      <c r="C518" s="876"/>
      <c r="D518" s="876"/>
      <c r="E518" s="876"/>
      <c r="F518" s="876"/>
      <c r="G518" s="876"/>
      <c r="H518" s="876"/>
      <c r="I518" s="876"/>
      <c r="J518" s="876"/>
      <c r="K518" s="876"/>
      <c r="L518" s="876"/>
      <c r="M518" s="876"/>
      <c r="N518" s="877"/>
      <c r="O518" s="876"/>
      <c r="P518" s="876"/>
      <c r="Q518" s="876"/>
      <c r="R518" s="876"/>
      <c r="S518" s="876"/>
      <c r="T518" s="876"/>
      <c r="U518" s="876"/>
      <c r="V518" s="876"/>
      <c r="W518" s="876"/>
      <c r="X518" s="876"/>
      <c r="Y518" s="876"/>
      <c r="Z518" s="876"/>
      <c r="AA518" s="876"/>
      <c r="AB518" s="876"/>
      <c r="AC518" s="876"/>
      <c r="AD518" s="876"/>
      <c r="AE518" s="876"/>
      <c r="AF518" s="876"/>
      <c r="AG518" s="876"/>
      <c r="AH518" s="876"/>
      <c r="AI518" s="878"/>
      <c r="AJ518" s="880"/>
      <c r="AK518" s="880"/>
      <c r="AL518" s="880"/>
      <c r="AM518" s="880"/>
      <c r="AN518" s="880"/>
      <c r="AO518" s="880"/>
      <c r="AP518" s="880"/>
      <c r="AQ518" s="880"/>
      <c r="AR518" s="880"/>
      <c r="AS518" s="880"/>
      <c r="AT518" s="880"/>
      <c r="AU518" s="880"/>
      <c r="AV518" s="880"/>
      <c r="AW518" s="881"/>
      <c r="AX518" s="863"/>
      <c r="AY518" s="863"/>
      <c r="AZ518" s="863"/>
      <c r="BA518" s="863"/>
      <c r="BB518" s="863"/>
      <c r="BC518" s="863"/>
      <c r="BD518" s="863"/>
      <c r="BE518" s="863"/>
      <c r="BF518" s="863"/>
      <c r="BG518" s="863"/>
      <c r="BH518" s="863"/>
      <c r="BI518" s="863"/>
      <c r="BJ518" s="863"/>
      <c r="BK518" s="863"/>
      <c r="BL518" s="863"/>
      <c r="BM518" s="863"/>
      <c r="BN518" s="863"/>
      <c r="BO518" s="863"/>
      <c r="BP518" s="880"/>
      <c r="BQ518" s="863"/>
      <c r="BR518" s="883"/>
      <c r="BS518" s="883"/>
      <c r="BT518" s="883"/>
      <c r="BU518" s="883"/>
      <c r="BV518" s="883"/>
      <c r="BW518" s="883"/>
      <c r="BX518" s="883"/>
      <c r="BY518" s="883"/>
      <c r="BZ518" s="883"/>
      <c r="CA518" s="883"/>
      <c r="CB518" s="883"/>
      <c r="CC518" s="883"/>
      <c r="CD518" s="884"/>
      <c r="CE518" s="883"/>
      <c r="CF518" s="883"/>
      <c r="CG518" s="883"/>
      <c r="CH518" s="883"/>
      <c r="CI518" s="883"/>
      <c r="CJ518" s="883"/>
      <c r="CK518" s="883"/>
      <c r="CL518" s="883"/>
      <c r="CM518" s="883"/>
      <c r="CN518" s="883"/>
      <c r="CO518" s="883"/>
      <c r="CP518" s="883"/>
      <c r="CQ518" s="883"/>
      <c r="CR518" s="883"/>
      <c r="CS518" s="883"/>
      <c r="CT518" s="883"/>
      <c r="CU518" s="883"/>
      <c r="CV518" s="863"/>
      <c r="CW518" s="863"/>
      <c r="CX518" s="863"/>
      <c r="CY518" s="863"/>
      <c r="CZ518" s="863"/>
      <c r="DA518" s="863"/>
      <c r="DB518" s="863"/>
      <c r="DC518" s="863"/>
      <c r="DD518" s="863"/>
      <c r="DE518" s="863"/>
    </row>
    <row r="519">
      <c r="A519" s="876"/>
      <c r="B519" s="876"/>
      <c r="C519" s="876"/>
      <c r="D519" s="876"/>
      <c r="E519" s="876"/>
      <c r="F519" s="876"/>
      <c r="G519" s="876"/>
      <c r="H519" s="876"/>
      <c r="I519" s="876"/>
      <c r="J519" s="876"/>
      <c r="K519" s="876"/>
      <c r="L519" s="876"/>
      <c r="M519" s="876"/>
      <c r="N519" s="877"/>
      <c r="O519" s="876"/>
      <c r="P519" s="876"/>
      <c r="Q519" s="876"/>
      <c r="R519" s="876"/>
      <c r="S519" s="876"/>
      <c r="T519" s="876"/>
      <c r="U519" s="876"/>
      <c r="V519" s="876"/>
      <c r="W519" s="876"/>
      <c r="X519" s="876"/>
      <c r="Y519" s="876"/>
      <c r="Z519" s="876"/>
      <c r="AA519" s="876"/>
      <c r="AB519" s="876"/>
      <c r="AC519" s="876"/>
      <c r="AD519" s="876"/>
      <c r="AE519" s="876"/>
      <c r="AF519" s="876"/>
      <c r="AG519" s="876"/>
      <c r="AH519" s="876"/>
      <c r="AI519" s="878"/>
      <c r="AJ519" s="880"/>
      <c r="AK519" s="880"/>
      <c r="AL519" s="880"/>
      <c r="AM519" s="880"/>
      <c r="AN519" s="880"/>
      <c r="AO519" s="880"/>
      <c r="AP519" s="880"/>
      <c r="AQ519" s="880"/>
      <c r="AR519" s="880"/>
      <c r="AS519" s="880"/>
      <c r="AT519" s="880"/>
      <c r="AU519" s="880"/>
      <c r="AV519" s="880"/>
      <c r="AW519" s="881"/>
      <c r="AX519" s="863"/>
      <c r="AY519" s="863"/>
      <c r="AZ519" s="863"/>
      <c r="BA519" s="863"/>
      <c r="BB519" s="863"/>
      <c r="BC519" s="863"/>
      <c r="BD519" s="863"/>
      <c r="BE519" s="863"/>
      <c r="BF519" s="863"/>
      <c r="BG519" s="863"/>
      <c r="BH519" s="863"/>
      <c r="BI519" s="863"/>
      <c r="BJ519" s="863"/>
      <c r="BK519" s="863"/>
      <c r="BL519" s="863"/>
      <c r="BM519" s="863"/>
      <c r="BN519" s="863"/>
      <c r="BO519" s="863"/>
      <c r="BP519" s="880"/>
      <c r="BQ519" s="863"/>
      <c r="BR519" s="883"/>
      <c r="BS519" s="883"/>
      <c r="BT519" s="883"/>
      <c r="BU519" s="883"/>
      <c r="BV519" s="883"/>
      <c r="BW519" s="883"/>
      <c r="BX519" s="883"/>
      <c r="BY519" s="883"/>
      <c r="BZ519" s="883"/>
      <c r="CA519" s="883"/>
      <c r="CB519" s="883"/>
      <c r="CC519" s="883"/>
      <c r="CD519" s="884"/>
      <c r="CE519" s="883"/>
      <c r="CF519" s="883"/>
      <c r="CG519" s="883"/>
      <c r="CH519" s="883"/>
      <c r="CI519" s="883"/>
      <c r="CJ519" s="883"/>
      <c r="CK519" s="883"/>
      <c r="CL519" s="883"/>
      <c r="CM519" s="883"/>
      <c r="CN519" s="883"/>
      <c r="CO519" s="883"/>
      <c r="CP519" s="883"/>
      <c r="CQ519" s="883"/>
      <c r="CR519" s="883"/>
      <c r="CS519" s="883"/>
      <c r="CT519" s="883"/>
      <c r="CU519" s="883"/>
      <c r="CV519" s="863"/>
      <c r="CW519" s="863"/>
      <c r="CX519" s="863"/>
      <c r="CY519" s="863"/>
      <c r="CZ519" s="863"/>
      <c r="DA519" s="863"/>
      <c r="DB519" s="863"/>
      <c r="DC519" s="863"/>
      <c r="DD519" s="863"/>
      <c r="DE519" s="863"/>
    </row>
    <row r="520">
      <c r="A520" s="876"/>
      <c r="B520" s="876"/>
      <c r="C520" s="876"/>
      <c r="D520" s="876"/>
      <c r="E520" s="876"/>
      <c r="F520" s="876"/>
      <c r="G520" s="876"/>
      <c r="H520" s="876"/>
      <c r="I520" s="876"/>
      <c r="J520" s="876"/>
      <c r="K520" s="876"/>
      <c r="L520" s="876"/>
      <c r="M520" s="876"/>
      <c r="N520" s="877"/>
      <c r="O520" s="876"/>
      <c r="P520" s="876"/>
      <c r="Q520" s="876"/>
      <c r="R520" s="876"/>
      <c r="S520" s="876"/>
      <c r="T520" s="876"/>
      <c r="U520" s="876"/>
      <c r="V520" s="876"/>
      <c r="W520" s="876"/>
      <c r="X520" s="876"/>
      <c r="Y520" s="876"/>
      <c r="Z520" s="876"/>
      <c r="AA520" s="876"/>
      <c r="AB520" s="876"/>
      <c r="AC520" s="876"/>
      <c r="AD520" s="876"/>
      <c r="AE520" s="876"/>
      <c r="AF520" s="876"/>
      <c r="AG520" s="876"/>
      <c r="AH520" s="876"/>
      <c r="AI520" s="878"/>
      <c r="AJ520" s="880"/>
      <c r="AK520" s="880"/>
      <c r="AL520" s="880"/>
      <c r="AM520" s="880"/>
      <c r="AN520" s="880"/>
      <c r="AO520" s="880"/>
      <c r="AP520" s="880"/>
      <c r="AQ520" s="880"/>
      <c r="AR520" s="880"/>
      <c r="AS520" s="880"/>
      <c r="AT520" s="880"/>
      <c r="AU520" s="880"/>
      <c r="AV520" s="880"/>
      <c r="AW520" s="881"/>
      <c r="AX520" s="863"/>
      <c r="AY520" s="863"/>
      <c r="AZ520" s="863"/>
      <c r="BA520" s="863"/>
      <c r="BB520" s="863"/>
      <c r="BC520" s="863"/>
      <c r="BD520" s="863"/>
      <c r="BE520" s="863"/>
      <c r="BF520" s="863"/>
      <c r="BG520" s="863"/>
      <c r="BH520" s="863"/>
      <c r="BI520" s="863"/>
      <c r="BJ520" s="863"/>
      <c r="BK520" s="863"/>
      <c r="BL520" s="863"/>
      <c r="BM520" s="863"/>
      <c r="BN520" s="863"/>
      <c r="BO520" s="863"/>
      <c r="BP520" s="880"/>
      <c r="BQ520" s="863"/>
      <c r="BR520" s="883"/>
      <c r="BS520" s="883"/>
      <c r="BT520" s="883"/>
      <c r="BU520" s="883"/>
      <c r="BV520" s="883"/>
      <c r="BW520" s="883"/>
      <c r="BX520" s="883"/>
      <c r="BY520" s="883"/>
      <c r="BZ520" s="883"/>
      <c r="CA520" s="883"/>
      <c r="CB520" s="883"/>
      <c r="CC520" s="883"/>
      <c r="CD520" s="884"/>
      <c r="CE520" s="883"/>
      <c r="CF520" s="883"/>
      <c r="CG520" s="883"/>
      <c r="CH520" s="883"/>
      <c r="CI520" s="883"/>
      <c r="CJ520" s="883"/>
      <c r="CK520" s="883"/>
      <c r="CL520" s="883"/>
      <c r="CM520" s="883"/>
      <c r="CN520" s="883"/>
      <c r="CO520" s="883"/>
      <c r="CP520" s="883"/>
      <c r="CQ520" s="883"/>
      <c r="CR520" s="883"/>
      <c r="CS520" s="883"/>
      <c r="CT520" s="883"/>
      <c r="CU520" s="883"/>
      <c r="CV520" s="863"/>
      <c r="CW520" s="863"/>
      <c r="CX520" s="863"/>
      <c r="CY520" s="863"/>
      <c r="CZ520" s="863"/>
      <c r="DA520" s="863"/>
      <c r="DB520" s="863"/>
      <c r="DC520" s="863"/>
      <c r="DD520" s="863"/>
      <c r="DE520" s="863"/>
    </row>
    <row r="521">
      <c r="A521" s="876"/>
      <c r="B521" s="876"/>
      <c r="C521" s="876"/>
      <c r="D521" s="876"/>
      <c r="E521" s="876"/>
      <c r="F521" s="876"/>
      <c r="G521" s="876"/>
      <c r="H521" s="876"/>
      <c r="I521" s="876"/>
      <c r="J521" s="876"/>
      <c r="K521" s="876"/>
      <c r="L521" s="876"/>
      <c r="M521" s="876"/>
      <c r="N521" s="877"/>
      <c r="O521" s="876"/>
      <c r="P521" s="876"/>
      <c r="Q521" s="876"/>
      <c r="R521" s="876"/>
      <c r="S521" s="876"/>
      <c r="T521" s="876"/>
      <c r="U521" s="876"/>
      <c r="V521" s="876"/>
      <c r="W521" s="876"/>
      <c r="X521" s="876"/>
      <c r="Y521" s="876"/>
      <c r="Z521" s="876"/>
      <c r="AA521" s="876"/>
      <c r="AB521" s="876"/>
      <c r="AC521" s="876"/>
      <c r="AD521" s="876"/>
      <c r="AE521" s="876"/>
      <c r="AF521" s="876"/>
      <c r="AG521" s="876"/>
      <c r="AH521" s="876"/>
      <c r="AI521" s="878"/>
      <c r="AJ521" s="880"/>
      <c r="AK521" s="880"/>
      <c r="AL521" s="880"/>
      <c r="AM521" s="880"/>
      <c r="AN521" s="880"/>
      <c r="AO521" s="880"/>
      <c r="AP521" s="880"/>
      <c r="AQ521" s="880"/>
      <c r="AR521" s="880"/>
      <c r="AS521" s="880"/>
      <c r="AT521" s="880"/>
      <c r="AU521" s="880"/>
      <c r="AV521" s="880"/>
      <c r="AW521" s="881"/>
      <c r="AX521" s="863"/>
      <c r="AY521" s="863"/>
      <c r="AZ521" s="863"/>
      <c r="BA521" s="863"/>
      <c r="BB521" s="863"/>
      <c r="BC521" s="863"/>
      <c r="BD521" s="863"/>
      <c r="BE521" s="863"/>
      <c r="BF521" s="863"/>
      <c r="BG521" s="863"/>
      <c r="BH521" s="863"/>
      <c r="BI521" s="863"/>
      <c r="BJ521" s="863"/>
      <c r="BK521" s="863"/>
      <c r="BL521" s="863"/>
      <c r="BM521" s="863"/>
      <c r="BN521" s="863"/>
      <c r="BO521" s="863"/>
      <c r="BP521" s="880"/>
      <c r="BQ521" s="863"/>
      <c r="BR521" s="883"/>
      <c r="BS521" s="883"/>
      <c r="BT521" s="883"/>
      <c r="BU521" s="883"/>
      <c r="BV521" s="883"/>
      <c r="BW521" s="883"/>
      <c r="BX521" s="883"/>
      <c r="BY521" s="883"/>
      <c r="BZ521" s="883"/>
      <c r="CA521" s="883"/>
      <c r="CB521" s="883"/>
      <c r="CC521" s="883"/>
      <c r="CD521" s="884"/>
      <c r="CE521" s="883"/>
      <c r="CF521" s="883"/>
      <c r="CG521" s="883"/>
      <c r="CH521" s="883"/>
      <c r="CI521" s="883"/>
      <c r="CJ521" s="883"/>
      <c r="CK521" s="883"/>
      <c r="CL521" s="883"/>
      <c r="CM521" s="883"/>
      <c r="CN521" s="883"/>
      <c r="CO521" s="883"/>
      <c r="CP521" s="883"/>
      <c r="CQ521" s="883"/>
      <c r="CR521" s="883"/>
      <c r="CS521" s="883"/>
      <c r="CT521" s="883"/>
      <c r="CU521" s="883"/>
      <c r="CV521" s="863"/>
      <c r="CW521" s="863"/>
      <c r="CX521" s="863"/>
      <c r="CY521" s="863"/>
      <c r="CZ521" s="863"/>
      <c r="DA521" s="863"/>
      <c r="DB521" s="863"/>
      <c r="DC521" s="863"/>
      <c r="DD521" s="863"/>
      <c r="DE521" s="863"/>
    </row>
    <row r="522">
      <c r="A522" s="876"/>
      <c r="B522" s="876"/>
      <c r="C522" s="876"/>
      <c r="D522" s="876"/>
      <c r="E522" s="876"/>
      <c r="F522" s="876"/>
      <c r="G522" s="876"/>
      <c r="H522" s="876"/>
      <c r="I522" s="876"/>
      <c r="J522" s="876"/>
      <c r="K522" s="876"/>
      <c r="L522" s="876"/>
      <c r="M522" s="876"/>
      <c r="N522" s="877"/>
      <c r="O522" s="876"/>
      <c r="P522" s="876"/>
      <c r="Q522" s="876"/>
      <c r="R522" s="876"/>
      <c r="S522" s="876"/>
      <c r="T522" s="876"/>
      <c r="U522" s="876"/>
      <c r="V522" s="876"/>
      <c r="W522" s="876"/>
      <c r="X522" s="876"/>
      <c r="Y522" s="876"/>
      <c r="Z522" s="876"/>
      <c r="AA522" s="876"/>
      <c r="AB522" s="876"/>
      <c r="AC522" s="876"/>
      <c r="AD522" s="876"/>
      <c r="AE522" s="876"/>
      <c r="AF522" s="876"/>
      <c r="AG522" s="876"/>
      <c r="AH522" s="876"/>
      <c r="AI522" s="878"/>
      <c r="AJ522" s="880"/>
      <c r="AK522" s="880"/>
      <c r="AL522" s="880"/>
      <c r="AM522" s="880"/>
      <c r="AN522" s="880"/>
      <c r="AO522" s="880"/>
      <c r="AP522" s="880"/>
      <c r="AQ522" s="880"/>
      <c r="AR522" s="880"/>
      <c r="AS522" s="880"/>
      <c r="AT522" s="880"/>
      <c r="AU522" s="880"/>
      <c r="AV522" s="880"/>
      <c r="AW522" s="881"/>
      <c r="AX522" s="863"/>
      <c r="AY522" s="863"/>
      <c r="AZ522" s="863"/>
      <c r="BA522" s="863"/>
      <c r="BB522" s="863"/>
      <c r="BC522" s="863"/>
      <c r="BD522" s="863"/>
      <c r="BE522" s="863"/>
      <c r="BF522" s="863"/>
      <c r="BG522" s="863"/>
      <c r="BH522" s="863"/>
      <c r="BI522" s="863"/>
      <c r="BJ522" s="863"/>
      <c r="BK522" s="863"/>
      <c r="BL522" s="863"/>
      <c r="BM522" s="863"/>
      <c r="BN522" s="863"/>
      <c r="BO522" s="863"/>
      <c r="BP522" s="880"/>
      <c r="BQ522" s="863"/>
      <c r="BR522" s="883"/>
      <c r="BS522" s="883"/>
      <c r="BT522" s="883"/>
      <c r="BU522" s="883"/>
      <c r="BV522" s="883"/>
      <c r="BW522" s="883"/>
      <c r="BX522" s="883"/>
      <c r="BY522" s="883"/>
      <c r="BZ522" s="883"/>
      <c r="CA522" s="883"/>
      <c r="CB522" s="883"/>
      <c r="CC522" s="883"/>
      <c r="CD522" s="884"/>
      <c r="CE522" s="883"/>
      <c r="CF522" s="883"/>
      <c r="CG522" s="883"/>
      <c r="CH522" s="883"/>
      <c r="CI522" s="883"/>
      <c r="CJ522" s="883"/>
      <c r="CK522" s="883"/>
      <c r="CL522" s="883"/>
      <c r="CM522" s="883"/>
      <c r="CN522" s="883"/>
      <c r="CO522" s="883"/>
      <c r="CP522" s="883"/>
      <c r="CQ522" s="883"/>
      <c r="CR522" s="883"/>
      <c r="CS522" s="883"/>
      <c r="CT522" s="883"/>
      <c r="CU522" s="883"/>
      <c r="CV522" s="863"/>
      <c r="CW522" s="863"/>
      <c r="CX522" s="863"/>
      <c r="CY522" s="863"/>
      <c r="CZ522" s="863"/>
      <c r="DA522" s="863"/>
      <c r="DB522" s="863"/>
      <c r="DC522" s="863"/>
      <c r="DD522" s="863"/>
      <c r="DE522" s="863"/>
    </row>
    <row r="523">
      <c r="A523" s="876"/>
      <c r="B523" s="876"/>
      <c r="C523" s="876"/>
      <c r="D523" s="876"/>
      <c r="E523" s="876"/>
      <c r="F523" s="876"/>
      <c r="G523" s="876"/>
      <c r="H523" s="876"/>
      <c r="I523" s="876"/>
      <c r="J523" s="876"/>
      <c r="K523" s="876"/>
      <c r="L523" s="876"/>
      <c r="M523" s="876"/>
      <c r="N523" s="877"/>
      <c r="O523" s="876"/>
      <c r="P523" s="876"/>
      <c r="Q523" s="876"/>
      <c r="R523" s="876"/>
      <c r="S523" s="876"/>
      <c r="T523" s="876"/>
      <c r="U523" s="876"/>
      <c r="V523" s="876"/>
      <c r="W523" s="876"/>
      <c r="X523" s="876"/>
      <c r="Y523" s="876"/>
      <c r="Z523" s="876"/>
      <c r="AA523" s="876"/>
      <c r="AB523" s="876"/>
      <c r="AC523" s="876"/>
      <c r="AD523" s="876"/>
      <c r="AE523" s="876"/>
      <c r="AF523" s="876"/>
      <c r="AG523" s="876"/>
      <c r="AH523" s="876"/>
      <c r="AI523" s="878"/>
      <c r="AJ523" s="880"/>
      <c r="AK523" s="880"/>
      <c r="AL523" s="880"/>
      <c r="AM523" s="880"/>
      <c r="AN523" s="880"/>
      <c r="AO523" s="880"/>
      <c r="AP523" s="880"/>
      <c r="AQ523" s="880"/>
      <c r="AR523" s="880"/>
      <c r="AS523" s="880"/>
      <c r="AT523" s="880"/>
      <c r="AU523" s="880"/>
      <c r="AV523" s="880"/>
      <c r="AW523" s="881"/>
      <c r="AX523" s="863"/>
      <c r="AY523" s="863"/>
      <c r="AZ523" s="863"/>
      <c r="BA523" s="863"/>
      <c r="BB523" s="863"/>
      <c r="BC523" s="863"/>
      <c r="BD523" s="863"/>
      <c r="BE523" s="863"/>
      <c r="BF523" s="863"/>
      <c r="BG523" s="863"/>
      <c r="BH523" s="863"/>
      <c r="BI523" s="863"/>
      <c r="BJ523" s="863"/>
      <c r="BK523" s="863"/>
      <c r="BL523" s="863"/>
      <c r="BM523" s="863"/>
      <c r="BN523" s="863"/>
      <c r="BO523" s="863"/>
      <c r="BP523" s="880"/>
      <c r="BQ523" s="863"/>
      <c r="BR523" s="883"/>
      <c r="BS523" s="883"/>
      <c r="BT523" s="883"/>
      <c r="BU523" s="883"/>
      <c r="BV523" s="883"/>
      <c r="BW523" s="883"/>
      <c r="BX523" s="883"/>
      <c r="BY523" s="883"/>
      <c r="BZ523" s="883"/>
      <c r="CA523" s="883"/>
      <c r="CB523" s="883"/>
      <c r="CC523" s="883"/>
      <c r="CD523" s="884"/>
      <c r="CE523" s="883"/>
      <c r="CF523" s="883"/>
      <c r="CG523" s="883"/>
      <c r="CH523" s="883"/>
      <c r="CI523" s="883"/>
      <c r="CJ523" s="883"/>
      <c r="CK523" s="883"/>
      <c r="CL523" s="883"/>
      <c r="CM523" s="883"/>
      <c r="CN523" s="883"/>
      <c r="CO523" s="883"/>
      <c r="CP523" s="883"/>
      <c r="CQ523" s="883"/>
      <c r="CR523" s="883"/>
      <c r="CS523" s="883"/>
      <c r="CT523" s="883"/>
      <c r="CU523" s="883"/>
      <c r="CV523" s="863"/>
      <c r="CW523" s="863"/>
      <c r="CX523" s="863"/>
      <c r="CY523" s="863"/>
      <c r="CZ523" s="863"/>
      <c r="DA523" s="863"/>
      <c r="DB523" s="863"/>
      <c r="DC523" s="863"/>
      <c r="DD523" s="863"/>
      <c r="DE523" s="863"/>
    </row>
    <row r="524">
      <c r="A524" s="876"/>
      <c r="B524" s="876"/>
      <c r="C524" s="876"/>
      <c r="D524" s="876"/>
      <c r="E524" s="876"/>
      <c r="F524" s="876"/>
      <c r="G524" s="876"/>
      <c r="H524" s="876"/>
      <c r="I524" s="876"/>
      <c r="J524" s="876"/>
      <c r="K524" s="876"/>
      <c r="L524" s="876"/>
      <c r="M524" s="876"/>
      <c r="N524" s="877"/>
      <c r="O524" s="876"/>
      <c r="P524" s="876"/>
      <c r="Q524" s="876"/>
      <c r="R524" s="876"/>
      <c r="S524" s="876"/>
      <c r="T524" s="876"/>
      <c r="U524" s="876"/>
      <c r="V524" s="876"/>
      <c r="W524" s="876"/>
      <c r="X524" s="876"/>
      <c r="Y524" s="876"/>
      <c r="Z524" s="876"/>
      <c r="AA524" s="876"/>
      <c r="AB524" s="876"/>
      <c r="AC524" s="876"/>
      <c r="AD524" s="876"/>
      <c r="AE524" s="876"/>
      <c r="AF524" s="876"/>
      <c r="AG524" s="876"/>
      <c r="AH524" s="876"/>
      <c r="AI524" s="878"/>
      <c r="AJ524" s="880"/>
      <c r="AK524" s="880"/>
      <c r="AL524" s="880"/>
      <c r="AM524" s="880"/>
      <c r="AN524" s="880"/>
      <c r="AO524" s="880"/>
      <c r="AP524" s="880"/>
      <c r="AQ524" s="880"/>
      <c r="AR524" s="880"/>
      <c r="AS524" s="880"/>
      <c r="AT524" s="880"/>
      <c r="AU524" s="880"/>
      <c r="AV524" s="880"/>
      <c r="AW524" s="881"/>
      <c r="AX524" s="863"/>
      <c r="AY524" s="863"/>
      <c r="AZ524" s="863"/>
      <c r="BA524" s="863"/>
      <c r="BB524" s="863"/>
      <c r="BC524" s="863"/>
      <c r="BD524" s="863"/>
      <c r="BE524" s="863"/>
      <c r="BF524" s="863"/>
      <c r="BG524" s="863"/>
      <c r="BH524" s="863"/>
      <c r="BI524" s="863"/>
      <c r="BJ524" s="863"/>
      <c r="BK524" s="863"/>
      <c r="BL524" s="863"/>
      <c r="BM524" s="863"/>
      <c r="BN524" s="863"/>
      <c r="BO524" s="863"/>
      <c r="BP524" s="880"/>
      <c r="BQ524" s="863"/>
      <c r="BR524" s="883"/>
      <c r="BS524" s="883"/>
      <c r="BT524" s="883"/>
      <c r="BU524" s="883"/>
      <c r="BV524" s="883"/>
      <c r="BW524" s="883"/>
      <c r="BX524" s="883"/>
      <c r="BY524" s="883"/>
      <c r="BZ524" s="883"/>
      <c r="CA524" s="883"/>
      <c r="CB524" s="883"/>
      <c r="CC524" s="883"/>
      <c r="CD524" s="884"/>
      <c r="CE524" s="883"/>
      <c r="CF524" s="883"/>
      <c r="CG524" s="883"/>
      <c r="CH524" s="883"/>
      <c r="CI524" s="883"/>
      <c r="CJ524" s="883"/>
      <c r="CK524" s="883"/>
      <c r="CL524" s="883"/>
      <c r="CM524" s="883"/>
      <c r="CN524" s="883"/>
      <c r="CO524" s="883"/>
      <c r="CP524" s="883"/>
      <c r="CQ524" s="883"/>
      <c r="CR524" s="883"/>
      <c r="CS524" s="883"/>
      <c r="CT524" s="883"/>
      <c r="CU524" s="883"/>
      <c r="CV524" s="863"/>
      <c r="CW524" s="863"/>
      <c r="CX524" s="863"/>
      <c r="CY524" s="863"/>
      <c r="CZ524" s="863"/>
      <c r="DA524" s="863"/>
      <c r="DB524" s="863"/>
      <c r="DC524" s="863"/>
      <c r="DD524" s="863"/>
      <c r="DE524" s="863"/>
    </row>
    <row r="525">
      <c r="A525" s="876"/>
      <c r="B525" s="876"/>
      <c r="C525" s="876"/>
      <c r="D525" s="876"/>
      <c r="E525" s="876"/>
      <c r="F525" s="876"/>
      <c r="G525" s="876"/>
      <c r="H525" s="876"/>
      <c r="I525" s="876"/>
      <c r="J525" s="876"/>
      <c r="K525" s="876"/>
      <c r="L525" s="876"/>
      <c r="M525" s="876"/>
      <c r="N525" s="877"/>
      <c r="O525" s="876"/>
      <c r="P525" s="876"/>
      <c r="Q525" s="876"/>
      <c r="R525" s="876"/>
      <c r="S525" s="876"/>
      <c r="T525" s="876"/>
      <c r="U525" s="876"/>
      <c r="V525" s="876"/>
      <c r="W525" s="876"/>
      <c r="X525" s="876"/>
      <c r="Y525" s="876"/>
      <c r="Z525" s="876"/>
      <c r="AA525" s="876"/>
      <c r="AB525" s="876"/>
      <c r="AC525" s="876"/>
      <c r="AD525" s="876"/>
      <c r="AE525" s="876"/>
      <c r="AF525" s="876"/>
      <c r="AG525" s="876"/>
      <c r="AH525" s="876"/>
      <c r="AI525" s="878"/>
      <c r="AJ525" s="880"/>
      <c r="AK525" s="880"/>
      <c r="AL525" s="880"/>
      <c r="AM525" s="880"/>
      <c r="AN525" s="880"/>
      <c r="AO525" s="880"/>
      <c r="AP525" s="880"/>
      <c r="AQ525" s="880"/>
      <c r="AR525" s="880"/>
      <c r="AS525" s="880"/>
      <c r="AT525" s="880"/>
      <c r="AU525" s="880"/>
      <c r="AV525" s="880"/>
      <c r="AW525" s="881"/>
      <c r="AX525" s="863"/>
      <c r="AY525" s="863"/>
      <c r="AZ525" s="863"/>
      <c r="BA525" s="863"/>
      <c r="BB525" s="863"/>
      <c r="BC525" s="863"/>
      <c r="BD525" s="863"/>
      <c r="BE525" s="863"/>
      <c r="BF525" s="863"/>
      <c r="BG525" s="863"/>
      <c r="BH525" s="863"/>
      <c r="BI525" s="863"/>
      <c r="BJ525" s="863"/>
      <c r="BK525" s="863"/>
      <c r="BL525" s="863"/>
      <c r="BM525" s="863"/>
      <c r="BN525" s="863"/>
      <c r="BO525" s="863"/>
      <c r="BP525" s="880"/>
      <c r="BQ525" s="863"/>
      <c r="BR525" s="883"/>
      <c r="BS525" s="883"/>
      <c r="BT525" s="883"/>
      <c r="BU525" s="883"/>
      <c r="BV525" s="883"/>
      <c r="BW525" s="883"/>
      <c r="BX525" s="883"/>
      <c r="BY525" s="883"/>
      <c r="BZ525" s="883"/>
      <c r="CA525" s="883"/>
      <c r="CB525" s="883"/>
      <c r="CC525" s="883"/>
      <c r="CD525" s="884"/>
      <c r="CE525" s="883"/>
      <c r="CF525" s="883"/>
      <c r="CG525" s="883"/>
      <c r="CH525" s="883"/>
      <c r="CI525" s="883"/>
      <c r="CJ525" s="883"/>
      <c r="CK525" s="883"/>
      <c r="CL525" s="883"/>
      <c r="CM525" s="883"/>
      <c r="CN525" s="883"/>
      <c r="CO525" s="883"/>
      <c r="CP525" s="883"/>
      <c r="CQ525" s="883"/>
      <c r="CR525" s="883"/>
      <c r="CS525" s="883"/>
      <c r="CT525" s="883"/>
      <c r="CU525" s="883"/>
      <c r="CV525" s="863"/>
      <c r="CW525" s="863"/>
      <c r="CX525" s="863"/>
      <c r="CY525" s="863"/>
      <c r="CZ525" s="863"/>
      <c r="DA525" s="863"/>
      <c r="DB525" s="863"/>
      <c r="DC525" s="863"/>
      <c r="DD525" s="863"/>
      <c r="DE525" s="863"/>
    </row>
    <row r="526">
      <c r="A526" s="876"/>
      <c r="B526" s="876"/>
      <c r="C526" s="876"/>
      <c r="D526" s="876"/>
      <c r="E526" s="876"/>
      <c r="F526" s="876"/>
      <c r="G526" s="876"/>
      <c r="H526" s="876"/>
      <c r="I526" s="876"/>
      <c r="J526" s="876"/>
      <c r="K526" s="876"/>
      <c r="L526" s="876"/>
      <c r="M526" s="876"/>
      <c r="N526" s="877"/>
      <c r="O526" s="876"/>
      <c r="P526" s="876"/>
      <c r="Q526" s="876"/>
      <c r="R526" s="876"/>
      <c r="S526" s="876"/>
      <c r="T526" s="876"/>
      <c r="U526" s="876"/>
      <c r="V526" s="876"/>
      <c r="W526" s="876"/>
      <c r="X526" s="876"/>
      <c r="Y526" s="876"/>
      <c r="Z526" s="876"/>
      <c r="AA526" s="876"/>
      <c r="AB526" s="876"/>
      <c r="AC526" s="876"/>
      <c r="AD526" s="876"/>
      <c r="AE526" s="876"/>
      <c r="AF526" s="876"/>
      <c r="AG526" s="876"/>
      <c r="AH526" s="876"/>
      <c r="AI526" s="878"/>
      <c r="AJ526" s="880"/>
      <c r="AK526" s="880"/>
      <c r="AL526" s="880"/>
      <c r="AM526" s="880"/>
      <c r="AN526" s="880"/>
      <c r="AO526" s="880"/>
      <c r="AP526" s="880"/>
      <c r="AQ526" s="880"/>
      <c r="AR526" s="880"/>
      <c r="AS526" s="880"/>
      <c r="AT526" s="880"/>
      <c r="AU526" s="880"/>
      <c r="AV526" s="880"/>
      <c r="AW526" s="881"/>
      <c r="AX526" s="863"/>
      <c r="AY526" s="863"/>
      <c r="AZ526" s="863"/>
      <c r="BA526" s="863"/>
      <c r="BB526" s="863"/>
      <c r="BC526" s="863"/>
      <c r="BD526" s="863"/>
      <c r="BE526" s="863"/>
      <c r="BF526" s="863"/>
      <c r="BG526" s="863"/>
      <c r="BH526" s="863"/>
      <c r="BI526" s="863"/>
      <c r="BJ526" s="863"/>
      <c r="BK526" s="863"/>
      <c r="BL526" s="863"/>
      <c r="BM526" s="863"/>
      <c r="BN526" s="863"/>
      <c r="BO526" s="863"/>
      <c r="BP526" s="880"/>
      <c r="BQ526" s="863"/>
      <c r="BR526" s="883"/>
      <c r="BS526" s="883"/>
      <c r="BT526" s="883"/>
      <c r="BU526" s="883"/>
      <c r="BV526" s="883"/>
      <c r="BW526" s="883"/>
      <c r="BX526" s="883"/>
      <c r="BY526" s="883"/>
      <c r="BZ526" s="883"/>
      <c r="CA526" s="883"/>
      <c r="CB526" s="883"/>
      <c r="CC526" s="883"/>
      <c r="CD526" s="884"/>
      <c r="CE526" s="883"/>
      <c r="CF526" s="883"/>
      <c r="CG526" s="883"/>
      <c r="CH526" s="883"/>
      <c r="CI526" s="883"/>
      <c r="CJ526" s="883"/>
      <c r="CK526" s="883"/>
      <c r="CL526" s="883"/>
      <c r="CM526" s="883"/>
      <c r="CN526" s="883"/>
      <c r="CO526" s="883"/>
      <c r="CP526" s="883"/>
      <c r="CQ526" s="883"/>
      <c r="CR526" s="883"/>
      <c r="CS526" s="883"/>
      <c r="CT526" s="883"/>
      <c r="CU526" s="883"/>
      <c r="CV526" s="863"/>
      <c r="CW526" s="863"/>
      <c r="CX526" s="863"/>
      <c r="CY526" s="863"/>
      <c r="CZ526" s="863"/>
      <c r="DA526" s="863"/>
      <c r="DB526" s="863"/>
      <c r="DC526" s="863"/>
      <c r="DD526" s="863"/>
      <c r="DE526" s="863"/>
    </row>
    <row r="527">
      <c r="A527" s="876"/>
      <c r="B527" s="876"/>
      <c r="C527" s="876"/>
      <c r="D527" s="876"/>
      <c r="E527" s="876"/>
      <c r="F527" s="876"/>
      <c r="G527" s="876"/>
      <c r="H527" s="876"/>
      <c r="I527" s="876"/>
      <c r="J527" s="876"/>
      <c r="K527" s="876"/>
      <c r="L527" s="876"/>
      <c r="M527" s="876"/>
      <c r="N527" s="877"/>
      <c r="O527" s="876"/>
      <c r="P527" s="876"/>
      <c r="Q527" s="876"/>
      <c r="R527" s="876"/>
      <c r="S527" s="876"/>
      <c r="T527" s="876"/>
      <c r="U527" s="876"/>
      <c r="V527" s="876"/>
      <c r="W527" s="876"/>
      <c r="X527" s="876"/>
      <c r="Y527" s="876"/>
      <c r="Z527" s="876"/>
      <c r="AA527" s="876"/>
      <c r="AB527" s="876"/>
      <c r="AC527" s="876"/>
      <c r="AD527" s="876"/>
      <c r="AE527" s="876"/>
      <c r="AF527" s="876"/>
      <c r="AG527" s="876"/>
      <c r="AH527" s="876"/>
      <c r="AI527" s="878"/>
      <c r="AJ527" s="880"/>
      <c r="AK527" s="880"/>
      <c r="AL527" s="880"/>
      <c r="AM527" s="880"/>
      <c r="AN527" s="880"/>
      <c r="AO527" s="880"/>
      <c r="AP527" s="880"/>
      <c r="AQ527" s="880"/>
      <c r="AR527" s="880"/>
      <c r="AS527" s="880"/>
      <c r="AT527" s="880"/>
      <c r="AU527" s="880"/>
      <c r="AV527" s="880"/>
      <c r="AW527" s="881"/>
      <c r="AX527" s="863"/>
      <c r="AY527" s="863"/>
      <c r="AZ527" s="863"/>
      <c r="BA527" s="863"/>
      <c r="BB527" s="863"/>
      <c r="BC527" s="863"/>
      <c r="BD527" s="863"/>
      <c r="BE527" s="863"/>
      <c r="BF527" s="863"/>
      <c r="BG527" s="863"/>
      <c r="BH527" s="863"/>
      <c r="BI527" s="863"/>
      <c r="BJ527" s="863"/>
      <c r="BK527" s="863"/>
      <c r="BL527" s="863"/>
      <c r="BM527" s="863"/>
      <c r="BN527" s="863"/>
      <c r="BO527" s="863"/>
      <c r="BP527" s="880"/>
      <c r="BQ527" s="863"/>
      <c r="BR527" s="883"/>
      <c r="BS527" s="883"/>
      <c r="BT527" s="883"/>
      <c r="BU527" s="883"/>
      <c r="BV527" s="883"/>
      <c r="BW527" s="883"/>
      <c r="BX527" s="883"/>
      <c r="BY527" s="883"/>
      <c r="BZ527" s="883"/>
      <c r="CA527" s="883"/>
      <c r="CB527" s="883"/>
      <c r="CC527" s="883"/>
      <c r="CD527" s="884"/>
      <c r="CE527" s="883"/>
      <c r="CF527" s="883"/>
      <c r="CG527" s="883"/>
      <c r="CH527" s="883"/>
      <c r="CI527" s="883"/>
      <c r="CJ527" s="883"/>
      <c r="CK527" s="883"/>
      <c r="CL527" s="883"/>
      <c r="CM527" s="883"/>
      <c r="CN527" s="883"/>
      <c r="CO527" s="883"/>
      <c r="CP527" s="883"/>
      <c r="CQ527" s="883"/>
      <c r="CR527" s="883"/>
      <c r="CS527" s="883"/>
      <c r="CT527" s="883"/>
      <c r="CU527" s="883"/>
      <c r="CV527" s="863"/>
      <c r="CW527" s="863"/>
      <c r="CX527" s="863"/>
      <c r="CY527" s="863"/>
      <c r="CZ527" s="863"/>
      <c r="DA527" s="863"/>
      <c r="DB527" s="863"/>
      <c r="DC527" s="863"/>
      <c r="DD527" s="863"/>
      <c r="DE527" s="863"/>
    </row>
    <row r="528">
      <c r="A528" s="876"/>
      <c r="B528" s="876"/>
      <c r="C528" s="876"/>
      <c r="D528" s="876"/>
      <c r="E528" s="876"/>
      <c r="F528" s="876"/>
      <c r="G528" s="876"/>
      <c r="H528" s="876"/>
      <c r="I528" s="876"/>
      <c r="J528" s="876"/>
      <c r="K528" s="876"/>
      <c r="L528" s="876"/>
      <c r="M528" s="876"/>
      <c r="N528" s="877"/>
      <c r="O528" s="876"/>
      <c r="P528" s="876"/>
      <c r="Q528" s="876"/>
      <c r="R528" s="876"/>
      <c r="S528" s="876"/>
      <c r="T528" s="876"/>
      <c r="U528" s="876"/>
      <c r="V528" s="876"/>
      <c r="W528" s="876"/>
      <c r="X528" s="876"/>
      <c r="Y528" s="876"/>
      <c r="Z528" s="876"/>
      <c r="AA528" s="876"/>
      <c r="AB528" s="876"/>
      <c r="AC528" s="876"/>
      <c r="AD528" s="876"/>
      <c r="AE528" s="876"/>
      <c r="AF528" s="876"/>
      <c r="AG528" s="876"/>
      <c r="AH528" s="876"/>
      <c r="AI528" s="878"/>
      <c r="AJ528" s="880"/>
      <c r="AK528" s="880"/>
      <c r="AL528" s="880"/>
      <c r="AM528" s="880"/>
      <c r="AN528" s="880"/>
      <c r="AO528" s="880"/>
      <c r="AP528" s="880"/>
      <c r="AQ528" s="880"/>
      <c r="AR528" s="880"/>
      <c r="AS528" s="880"/>
      <c r="AT528" s="880"/>
      <c r="AU528" s="880"/>
      <c r="AV528" s="880"/>
      <c r="AW528" s="881"/>
      <c r="AX528" s="863"/>
      <c r="AY528" s="863"/>
      <c r="AZ528" s="863"/>
      <c r="BA528" s="863"/>
      <c r="BB528" s="863"/>
      <c r="BC528" s="863"/>
      <c r="BD528" s="863"/>
      <c r="BE528" s="863"/>
      <c r="BF528" s="863"/>
      <c r="BG528" s="863"/>
      <c r="BH528" s="863"/>
      <c r="BI528" s="863"/>
      <c r="BJ528" s="863"/>
      <c r="BK528" s="863"/>
      <c r="BL528" s="863"/>
      <c r="BM528" s="863"/>
      <c r="BN528" s="863"/>
      <c r="BO528" s="863"/>
      <c r="BP528" s="880"/>
      <c r="BQ528" s="863"/>
      <c r="BR528" s="883"/>
      <c r="BS528" s="883"/>
      <c r="BT528" s="883"/>
      <c r="BU528" s="883"/>
      <c r="BV528" s="883"/>
      <c r="BW528" s="883"/>
      <c r="BX528" s="883"/>
      <c r="BY528" s="883"/>
      <c r="BZ528" s="883"/>
      <c r="CA528" s="883"/>
      <c r="CB528" s="883"/>
      <c r="CC528" s="883"/>
      <c r="CD528" s="884"/>
      <c r="CE528" s="883"/>
      <c r="CF528" s="883"/>
      <c r="CG528" s="883"/>
      <c r="CH528" s="883"/>
      <c r="CI528" s="883"/>
      <c r="CJ528" s="883"/>
      <c r="CK528" s="883"/>
      <c r="CL528" s="883"/>
      <c r="CM528" s="883"/>
      <c r="CN528" s="883"/>
      <c r="CO528" s="883"/>
      <c r="CP528" s="883"/>
      <c r="CQ528" s="883"/>
      <c r="CR528" s="883"/>
      <c r="CS528" s="883"/>
      <c r="CT528" s="883"/>
      <c r="CU528" s="883"/>
      <c r="CV528" s="863"/>
      <c r="CW528" s="863"/>
      <c r="CX528" s="863"/>
      <c r="CY528" s="863"/>
      <c r="CZ528" s="863"/>
      <c r="DA528" s="863"/>
      <c r="DB528" s="863"/>
      <c r="DC528" s="863"/>
      <c r="DD528" s="863"/>
      <c r="DE528" s="863"/>
    </row>
    <row r="529">
      <c r="A529" s="876"/>
      <c r="B529" s="876"/>
      <c r="C529" s="876"/>
      <c r="D529" s="876"/>
      <c r="E529" s="876"/>
      <c r="F529" s="876"/>
      <c r="G529" s="876"/>
      <c r="H529" s="876"/>
      <c r="I529" s="876"/>
      <c r="J529" s="876"/>
      <c r="K529" s="876"/>
      <c r="L529" s="876"/>
      <c r="M529" s="876"/>
      <c r="N529" s="877"/>
      <c r="O529" s="876"/>
      <c r="P529" s="876"/>
      <c r="Q529" s="876"/>
      <c r="R529" s="876"/>
      <c r="S529" s="876"/>
      <c r="T529" s="876"/>
      <c r="U529" s="876"/>
      <c r="V529" s="876"/>
      <c r="W529" s="876"/>
      <c r="X529" s="876"/>
      <c r="Y529" s="876"/>
      <c r="Z529" s="876"/>
      <c r="AA529" s="876"/>
      <c r="AB529" s="876"/>
      <c r="AC529" s="876"/>
      <c r="AD529" s="876"/>
      <c r="AE529" s="876"/>
      <c r="AF529" s="876"/>
      <c r="AG529" s="876"/>
      <c r="AH529" s="876"/>
      <c r="AI529" s="878"/>
      <c r="AJ529" s="880"/>
      <c r="AK529" s="880"/>
      <c r="AL529" s="880"/>
      <c r="AM529" s="880"/>
      <c r="AN529" s="880"/>
      <c r="AO529" s="880"/>
      <c r="AP529" s="880"/>
      <c r="AQ529" s="880"/>
      <c r="AR529" s="880"/>
      <c r="AS529" s="880"/>
      <c r="AT529" s="880"/>
      <c r="AU529" s="880"/>
      <c r="AV529" s="880"/>
      <c r="AW529" s="881"/>
      <c r="AX529" s="863"/>
      <c r="AY529" s="863"/>
      <c r="AZ529" s="863"/>
      <c r="BA529" s="863"/>
      <c r="BB529" s="863"/>
      <c r="BC529" s="863"/>
      <c r="BD529" s="863"/>
      <c r="BE529" s="863"/>
      <c r="BF529" s="863"/>
      <c r="BG529" s="863"/>
      <c r="BH529" s="863"/>
      <c r="BI529" s="863"/>
      <c r="BJ529" s="863"/>
      <c r="BK529" s="863"/>
      <c r="BL529" s="863"/>
      <c r="BM529" s="863"/>
      <c r="BN529" s="863"/>
      <c r="BO529" s="863"/>
      <c r="BP529" s="880"/>
      <c r="BQ529" s="863"/>
      <c r="BR529" s="883"/>
      <c r="BS529" s="883"/>
      <c r="BT529" s="883"/>
      <c r="BU529" s="883"/>
      <c r="BV529" s="883"/>
      <c r="BW529" s="883"/>
      <c r="BX529" s="883"/>
      <c r="BY529" s="883"/>
      <c r="BZ529" s="883"/>
      <c r="CA529" s="883"/>
      <c r="CB529" s="883"/>
      <c r="CC529" s="883"/>
      <c r="CD529" s="884"/>
      <c r="CE529" s="883"/>
      <c r="CF529" s="883"/>
      <c r="CG529" s="883"/>
      <c r="CH529" s="883"/>
      <c r="CI529" s="883"/>
      <c r="CJ529" s="883"/>
      <c r="CK529" s="883"/>
      <c r="CL529" s="883"/>
      <c r="CM529" s="883"/>
      <c r="CN529" s="883"/>
      <c r="CO529" s="883"/>
      <c r="CP529" s="883"/>
      <c r="CQ529" s="883"/>
      <c r="CR529" s="883"/>
      <c r="CS529" s="883"/>
      <c r="CT529" s="883"/>
      <c r="CU529" s="883"/>
      <c r="CV529" s="863"/>
      <c r="CW529" s="863"/>
      <c r="CX529" s="863"/>
      <c r="CY529" s="863"/>
      <c r="CZ529" s="863"/>
      <c r="DA529" s="863"/>
      <c r="DB529" s="863"/>
      <c r="DC529" s="863"/>
      <c r="DD529" s="863"/>
      <c r="DE529" s="863"/>
    </row>
    <row r="530">
      <c r="A530" s="876"/>
      <c r="B530" s="876"/>
      <c r="C530" s="876"/>
      <c r="D530" s="876"/>
      <c r="E530" s="876"/>
      <c r="F530" s="876"/>
      <c r="G530" s="876"/>
      <c r="H530" s="876"/>
      <c r="I530" s="876"/>
      <c r="J530" s="876"/>
      <c r="K530" s="876"/>
      <c r="L530" s="876"/>
      <c r="M530" s="876"/>
      <c r="N530" s="877"/>
      <c r="O530" s="876"/>
      <c r="P530" s="876"/>
      <c r="Q530" s="876"/>
      <c r="R530" s="876"/>
      <c r="S530" s="876"/>
      <c r="T530" s="876"/>
      <c r="U530" s="876"/>
      <c r="V530" s="876"/>
      <c r="W530" s="876"/>
      <c r="X530" s="876"/>
      <c r="Y530" s="876"/>
      <c r="Z530" s="876"/>
      <c r="AA530" s="876"/>
      <c r="AB530" s="876"/>
      <c r="AC530" s="876"/>
      <c r="AD530" s="876"/>
      <c r="AE530" s="876"/>
      <c r="AF530" s="876"/>
      <c r="AG530" s="876"/>
      <c r="AH530" s="876"/>
      <c r="AI530" s="878"/>
      <c r="AJ530" s="880"/>
      <c r="AK530" s="880"/>
      <c r="AL530" s="880"/>
      <c r="AM530" s="880"/>
      <c r="AN530" s="880"/>
      <c r="AO530" s="880"/>
      <c r="AP530" s="880"/>
      <c r="AQ530" s="880"/>
      <c r="AR530" s="880"/>
      <c r="AS530" s="880"/>
      <c r="AT530" s="880"/>
      <c r="AU530" s="880"/>
      <c r="AV530" s="880"/>
      <c r="AW530" s="881"/>
      <c r="AX530" s="863"/>
      <c r="AY530" s="863"/>
      <c r="AZ530" s="863"/>
      <c r="BA530" s="863"/>
      <c r="BB530" s="863"/>
      <c r="BC530" s="863"/>
      <c r="BD530" s="863"/>
      <c r="BE530" s="863"/>
      <c r="BF530" s="863"/>
      <c r="BG530" s="863"/>
      <c r="BH530" s="863"/>
      <c r="BI530" s="863"/>
      <c r="BJ530" s="863"/>
      <c r="BK530" s="863"/>
      <c r="BL530" s="863"/>
      <c r="BM530" s="863"/>
      <c r="BN530" s="863"/>
      <c r="BO530" s="863"/>
      <c r="BP530" s="880"/>
      <c r="BQ530" s="863"/>
      <c r="BR530" s="883"/>
      <c r="BS530" s="883"/>
      <c r="BT530" s="883"/>
      <c r="BU530" s="883"/>
      <c r="BV530" s="883"/>
      <c r="BW530" s="883"/>
      <c r="BX530" s="883"/>
      <c r="BY530" s="883"/>
      <c r="BZ530" s="883"/>
      <c r="CA530" s="883"/>
      <c r="CB530" s="883"/>
      <c r="CC530" s="883"/>
      <c r="CD530" s="884"/>
      <c r="CE530" s="883"/>
      <c r="CF530" s="883"/>
      <c r="CG530" s="883"/>
      <c r="CH530" s="883"/>
      <c r="CI530" s="883"/>
      <c r="CJ530" s="883"/>
      <c r="CK530" s="883"/>
      <c r="CL530" s="883"/>
      <c r="CM530" s="883"/>
      <c r="CN530" s="883"/>
      <c r="CO530" s="883"/>
      <c r="CP530" s="883"/>
      <c r="CQ530" s="883"/>
      <c r="CR530" s="883"/>
      <c r="CS530" s="883"/>
      <c r="CT530" s="883"/>
      <c r="CU530" s="883"/>
      <c r="CV530" s="863"/>
      <c r="CW530" s="863"/>
      <c r="CX530" s="863"/>
      <c r="CY530" s="863"/>
      <c r="CZ530" s="863"/>
      <c r="DA530" s="863"/>
      <c r="DB530" s="863"/>
      <c r="DC530" s="863"/>
      <c r="DD530" s="863"/>
      <c r="DE530" s="863"/>
    </row>
    <row r="531">
      <c r="A531" s="876"/>
      <c r="B531" s="876"/>
      <c r="C531" s="876"/>
      <c r="D531" s="876"/>
      <c r="E531" s="876"/>
      <c r="F531" s="876"/>
      <c r="G531" s="876"/>
      <c r="H531" s="876"/>
      <c r="I531" s="876"/>
      <c r="J531" s="876"/>
      <c r="K531" s="876"/>
      <c r="L531" s="876"/>
      <c r="M531" s="876"/>
      <c r="N531" s="877"/>
      <c r="O531" s="876"/>
      <c r="P531" s="876"/>
      <c r="Q531" s="876"/>
      <c r="R531" s="876"/>
      <c r="S531" s="876"/>
      <c r="T531" s="876"/>
      <c r="U531" s="876"/>
      <c r="V531" s="876"/>
      <c r="W531" s="876"/>
      <c r="X531" s="876"/>
      <c r="Y531" s="876"/>
      <c r="Z531" s="876"/>
      <c r="AA531" s="876"/>
      <c r="AB531" s="876"/>
      <c r="AC531" s="876"/>
      <c r="AD531" s="876"/>
      <c r="AE531" s="876"/>
      <c r="AF531" s="876"/>
      <c r="AG531" s="876"/>
      <c r="AH531" s="876"/>
      <c r="AI531" s="878"/>
      <c r="AJ531" s="880"/>
      <c r="AK531" s="880"/>
      <c r="AL531" s="880"/>
      <c r="AM531" s="880"/>
      <c r="AN531" s="880"/>
      <c r="AO531" s="880"/>
      <c r="AP531" s="880"/>
      <c r="AQ531" s="880"/>
      <c r="AR531" s="880"/>
      <c r="AS531" s="880"/>
      <c r="AT531" s="880"/>
      <c r="AU531" s="880"/>
      <c r="AV531" s="880"/>
      <c r="AW531" s="881"/>
      <c r="AX531" s="863"/>
      <c r="AY531" s="863"/>
      <c r="AZ531" s="863"/>
      <c r="BA531" s="863"/>
      <c r="BB531" s="863"/>
      <c r="BC531" s="863"/>
      <c r="BD531" s="863"/>
      <c r="BE531" s="863"/>
      <c r="BF531" s="863"/>
      <c r="BG531" s="863"/>
      <c r="BH531" s="863"/>
      <c r="BI531" s="863"/>
      <c r="BJ531" s="863"/>
      <c r="BK531" s="863"/>
      <c r="BL531" s="863"/>
      <c r="BM531" s="863"/>
      <c r="BN531" s="863"/>
      <c r="BO531" s="863"/>
      <c r="BP531" s="880"/>
      <c r="BQ531" s="863"/>
      <c r="BR531" s="883"/>
      <c r="BS531" s="883"/>
      <c r="BT531" s="883"/>
      <c r="BU531" s="883"/>
      <c r="BV531" s="883"/>
      <c r="BW531" s="883"/>
      <c r="BX531" s="883"/>
      <c r="BY531" s="883"/>
      <c r="BZ531" s="883"/>
      <c r="CA531" s="883"/>
      <c r="CB531" s="883"/>
      <c r="CC531" s="883"/>
      <c r="CD531" s="884"/>
      <c r="CE531" s="883"/>
      <c r="CF531" s="883"/>
      <c r="CG531" s="883"/>
      <c r="CH531" s="883"/>
      <c r="CI531" s="883"/>
      <c r="CJ531" s="883"/>
      <c r="CK531" s="883"/>
      <c r="CL531" s="883"/>
      <c r="CM531" s="883"/>
      <c r="CN531" s="883"/>
      <c r="CO531" s="883"/>
      <c r="CP531" s="883"/>
      <c r="CQ531" s="883"/>
      <c r="CR531" s="883"/>
      <c r="CS531" s="883"/>
      <c r="CT531" s="883"/>
      <c r="CU531" s="883"/>
      <c r="CV531" s="863"/>
      <c r="CW531" s="863"/>
      <c r="CX531" s="863"/>
      <c r="CY531" s="863"/>
      <c r="CZ531" s="863"/>
      <c r="DA531" s="863"/>
      <c r="DB531" s="863"/>
      <c r="DC531" s="863"/>
      <c r="DD531" s="863"/>
      <c r="DE531" s="863"/>
    </row>
    <row r="532">
      <c r="A532" s="876"/>
      <c r="B532" s="876"/>
      <c r="C532" s="876"/>
      <c r="D532" s="876"/>
      <c r="E532" s="876"/>
      <c r="F532" s="876"/>
      <c r="G532" s="876"/>
      <c r="H532" s="876"/>
      <c r="I532" s="876"/>
      <c r="J532" s="876"/>
      <c r="K532" s="876"/>
      <c r="L532" s="876"/>
      <c r="M532" s="876"/>
      <c r="N532" s="877"/>
      <c r="O532" s="876"/>
      <c r="P532" s="876"/>
      <c r="Q532" s="876"/>
      <c r="R532" s="876"/>
      <c r="S532" s="876"/>
      <c r="T532" s="876"/>
      <c r="U532" s="876"/>
      <c r="V532" s="876"/>
      <c r="W532" s="876"/>
      <c r="X532" s="876"/>
      <c r="Y532" s="876"/>
      <c r="Z532" s="876"/>
      <c r="AA532" s="876"/>
      <c r="AB532" s="876"/>
      <c r="AC532" s="876"/>
      <c r="AD532" s="876"/>
      <c r="AE532" s="876"/>
      <c r="AF532" s="876"/>
      <c r="AG532" s="876"/>
      <c r="AH532" s="876"/>
      <c r="AI532" s="878"/>
      <c r="AJ532" s="880"/>
      <c r="AK532" s="880"/>
      <c r="AL532" s="880"/>
      <c r="AM532" s="880"/>
      <c r="AN532" s="880"/>
      <c r="AO532" s="880"/>
      <c r="AP532" s="880"/>
      <c r="AQ532" s="880"/>
      <c r="AR532" s="880"/>
      <c r="AS532" s="880"/>
      <c r="AT532" s="880"/>
      <c r="AU532" s="880"/>
      <c r="AV532" s="880"/>
      <c r="AW532" s="881"/>
      <c r="AX532" s="863"/>
      <c r="AY532" s="863"/>
      <c r="AZ532" s="863"/>
      <c r="BA532" s="863"/>
      <c r="BB532" s="863"/>
      <c r="BC532" s="863"/>
      <c r="BD532" s="863"/>
      <c r="BE532" s="863"/>
      <c r="BF532" s="863"/>
      <c r="BG532" s="863"/>
      <c r="BH532" s="863"/>
      <c r="BI532" s="863"/>
      <c r="BJ532" s="863"/>
      <c r="BK532" s="863"/>
      <c r="BL532" s="863"/>
      <c r="BM532" s="863"/>
      <c r="BN532" s="863"/>
      <c r="BO532" s="863"/>
      <c r="BP532" s="880"/>
      <c r="BQ532" s="863"/>
      <c r="BR532" s="883"/>
      <c r="BS532" s="883"/>
      <c r="BT532" s="883"/>
      <c r="BU532" s="883"/>
      <c r="BV532" s="883"/>
      <c r="BW532" s="883"/>
      <c r="BX532" s="883"/>
      <c r="BY532" s="883"/>
      <c r="BZ532" s="883"/>
      <c r="CA532" s="883"/>
      <c r="CB532" s="883"/>
      <c r="CC532" s="883"/>
      <c r="CD532" s="884"/>
      <c r="CE532" s="883"/>
      <c r="CF532" s="883"/>
      <c r="CG532" s="883"/>
      <c r="CH532" s="883"/>
      <c r="CI532" s="883"/>
      <c r="CJ532" s="883"/>
      <c r="CK532" s="883"/>
      <c r="CL532" s="883"/>
      <c r="CM532" s="883"/>
      <c r="CN532" s="883"/>
      <c r="CO532" s="883"/>
      <c r="CP532" s="883"/>
      <c r="CQ532" s="883"/>
      <c r="CR532" s="883"/>
      <c r="CS532" s="883"/>
      <c r="CT532" s="883"/>
      <c r="CU532" s="883"/>
      <c r="CV532" s="863"/>
      <c r="CW532" s="863"/>
      <c r="CX532" s="863"/>
      <c r="CY532" s="863"/>
      <c r="CZ532" s="863"/>
      <c r="DA532" s="863"/>
      <c r="DB532" s="863"/>
      <c r="DC532" s="863"/>
      <c r="DD532" s="863"/>
      <c r="DE532" s="863"/>
    </row>
    <row r="533">
      <c r="A533" s="876"/>
      <c r="B533" s="876"/>
      <c r="C533" s="876"/>
      <c r="D533" s="876"/>
      <c r="E533" s="876"/>
      <c r="F533" s="876"/>
      <c r="G533" s="876"/>
      <c r="H533" s="876"/>
      <c r="I533" s="876"/>
      <c r="J533" s="876"/>
      <c r="K533" s="876"/>
      <c r="L533" s="876"/>
      <c r="M533" s="876"/>
      <c r="N533" s="877"/>
      <c r="O533" s="876"/>
      <c r="P533" s="876"/>
      <c r="Q533" s="876"/>
      <c r="R533" s="876"/>
      <c r="S533" s="876"/>
      <c r="T533" s="876"/>
      <c r="U533" s="876"/>
      <c r="V533" s="876"/>
      <c r="W533" s="876"/>
      <c r="X533" s="876"/>
      <c r="Y533" s="876"/>
      <c r="Z533" s="876"/>
      <c r="AA533" s="876"/>
      <c r="AB533" s="876"/>
      <c r="AC533" s="876"/>
      <c r="AD533" s="876"/>
      <c r="AE533" s="876"/>
      <c r="AF533" s="876"/>
      <c r="AG533" s="876"/>
      <c r="AH533" s="876"/>
      <c r="AI533" s="878"/>
      <c r="AJ533" s="880"/>
      <c r="AK533" s="880"/>
      <c r="AL533" s="880"/>
      <c r="AM533" s="880"/>
      <c r="AN533" s="880"/>
      <c r="AO533" s="880"/>
      <c r="AP533" s="880"/>
      <c r="AQ533" s="880"/>
      <c r="AR533" s="880"/>
      <c r="AS533" s="880"/>
      <c r="AT533" s="880"/>
      <c r="AU533" s="880"/>
      <c r="AV533" s="880"/>
      <c r="AW533" s="881"/>
      <c r="AX533" s="863"/>
      <c r="AY533" s="863"/>
      <c r="AZ533" s="863"/>
      <c r="BA533" s="863"/>
      <c r="BB533" s="863"/>
      <c r="BC533" s="863"/>
      <c r="BD533" s="863"/>
      <c r="BE533" s="863"/>
      <c r="BF533" s="863"/>
      <c r="BG533" s="863"/>
      <c r="BH533" s="863"/>
      <c r="BI533" s="863"/>
      <c r="BJ533" s="863"/>
      <c r="BK533" s="863"/>
      <c r="BL533" s="863"/>
      <c r="BM533" s="863"/>
      <c r="BN533" s="863"/>
      <c r="BO533" s="863"/>
      <c r="BP533" s="880"/>
      <c r="BQ533" s="863"/>
      <c r="BR533" s="883"/>
      <c r="BS533" s="883"/>
      <c r="BT533" s="883"/>
      <c r="BU533" s="883"/>
      <c r="BV533" s="883"/>
      <c r="BW533" s="883"/>
      <c r="BX533" s="883"/>
      <c r="BY533" s="883"/>
      <c r="BZ533" s="883"/>
      <c r="CA533" s="883"/>
      <c r="CB533" s="883"/>
      <c r="CC533" s="883"/>
      <c r="CD533" s="884"/>
      <c r="CE533" s="883"/>
      <c r="CF533" s="883"/>
      <c r="CG533" s="883"/>
      <c r="CH533" s="883"/>
      <c r="CI533" s="883"/>
      <c r="CJ533" s="883"/>
      <c r="CK533" s="883"/>
      <c r="CL533" s="883"/>
      <c r="CM533" s="883"/>
      <c r="CN533" s="883"/>
      <c r="CO533" s="883"/>
      <c r="CP533" s="883"/>
      <c r="CQ533" s="883"/>
      <c r="CR533" s="883"/>
      <c r="CS533" s="883"/>
      <c r="CT533" s="883"/>
      <c r="CU533" s="883"/>
      <c r="CV533" s="863"/>
      <c r="CW533" s="863"/>
      <c r="CX533" s="863"/>
      <c r="CY533" s="863"/>
      <c r="CZ533" s="863"/>
      <c r="DA533" s="863"/>
      <c r="DB533" s="863"/>
      <c r="DC533" s="863"/>
      <c r="DD533" s="863"/>
      <c r="DE533" s="863"/>
    </row>
    <row r="534">
      <c r="A534" s="876"/>
      <c r="B534" s="876"/>
      <c r="C534" s="876"/>
      <c r="D534" s="876"/>
      <c r="E534" s="876"/>
      <c r="F534" s="876"/>
      <c r="G534" s="876"/>
      <c r="H534" s="876"/>
      <c r="I534" s="876"/>
      <c r="J534" s="876"/>
      <c r="K534" s="876"/>
      <c r="L534" s="876"/>
      <c r="M534" s="876"/>
      <c r="N534" s="877"/>
      <c r="O534" s="876"/>
      <c r="P534" s="876"/>
      <c r="Q534" s="876"/>
      <c r="R534" s="876"/>
      <c r="S534" s="876"/>
      <c r="T534" s="876"/>
      <c r="U534" s="876"/>
      <c r="V534" s="876"/>
      <c r="W534" s="876"/>
      <c r="X534" s="876"/>
      <c r="Y534" s="876"/>
      <c r="Z534" s="876"/>
      <c r="AA534" s="876"/>
      <c r="AB534" s="876"/>
      <c r="AC534" s="876"/>
      <c r="AD534" s="876"/>
      <c r="AE534" s="876"/>
      <c r="AF534" s="876"/>
      <c r="AG534" s="876"/>
      <c r="AH534" s="876"/>
      <c r="AI534" s="878"/>
      <c r="AJ534" s="880"/>
      <c r="AK534" s="880"/>
      <c r="AL534" s="880"/>
      <c r="AM534" s="880"/>
      <c r="AN534" s="880"/>
      <c r="AO534" s="880"/>
      <c r="AP534" s="880"/>
      <c r="AQ534" s="880"/>
      <c r="AR534" s="880"/>
      <c r="AS534" s="880"/>
      <c r="AT534" s="880"/>
      <c r="AU534" s="880"/>
      <c r="AV534" s="880"/>
      <c r="AW534" s="881"/>
      <c r="AX534" s="863"/>
      <c r="AY534" s="863"/>
      <c r="AZ534" s="863"/>
      <c r="BA534" s="863"/>
      <c r="BB534" s="863"/>
      <c r="BC534" s="863"/>
      <c r="BD534" s="863"/>
      <c r="BE534" s="863"/>
      <c r="BF534" s="863"/>
      <c r="BG534" s="863"/>
      <c r="BH534" s="863"/>
      <c r="BI534" s="863"/>
      <c r="BJ534" s="863"/>
      <c r="BK534" s="863"/>
      <c r="BL534" s="863"/>
      <c r="BM534" s="863"/>
      <c r="BN534" s="863"/>
      <c r="BO534" s="863"/>
      <c r="BP534" s="880"/>
      <c r="BQ534" s="863"/>
      <c r="BR534" s="883"/>
      <c r="BS534" s="883"/>
      <c r="BT534" s="883"/>
      <c r="BU534" s="883"/>
      <c r="BV534" s="883"/>
      <c r="BW534" s="883"/>
      <c r="BX534" s="883"/>
      <c r="BY534" s="883"/>
      <c r="BZ534" s="883"/>
      <c r="CA534" s="883"/>
      <c r="CB534" s="883"/>
      <c r="CC534" s="883"/>
      <c r="CD534" s="884"/>
      <c r="CE534" s="883"/>
      <c r="CF534" s="883"/>
      <c r="CG534" s="883"/>
      <c r="CH534" s="883"/>
      <c r="CI534" s="883"/>
      <c r="CJ534" s="883"/>
      <c r="CK534" s="883"/>
      <c r="CL534" s="883"/>
      <c r="CM534" s="883"/>
      <c r="CN534" s="883"/>
      <c r="CO534" s="883"/>
      <c r="CP534" s="883"/>
      <c r="CQ534" s="883"/>
      <c r="CR534" s="883"/>
      <c r="CS534" s="883"/>
      <c r="CT534" s="883"/>
      <c r="CU534" s="883"/>
      <c r="CV534" s="863"/>
      <c r="CW534" s="863"/>
      <c r="CX534" s="863"/>
      <c r="CY534" s="863"/>
      <c r="CZ534" s="863"/>
      <c r="DA534" s="863"/>
      <c r="DB534" s="863"/>
      <c r="DC534" s="863"/>
      <c r="DD534" s="863"/>
      <c r="DE534" s="863"/>
    </row>
    <row r="535">
      <c r="A535" s="876"/>
      <c r="B535" s="876"/>
      <c r="C535" s="876"/>
      <c r="D535" s="876"/>
      <c r="E535" s="876"/>
      <c r="F535" s="876"/>
      <c r="G535" s="876"/>
      <c r="H535" s="876"/>
      <c r="I535" s="876"/>
      <c r="J535" s="876"/>
      <c r="K535" s="876"/>
      <c r="L535" s="876"/>
      <c r="M535" s="876"/>
      <c r="N535" s="877"/>
      <c r="O535" s="876"/>
      <c r="P535" s="876"/>
      <c r="Q535" s="876"/>
      <c r="R535" s="876"/>
      <c r="S535" s="876"/>
      <c r="T535" s="876"/>
      <c r="U535" s="876"/>
      <c r="V535" s="876"/>
      <c r="W535" s="876"/>
      <c r="X535" s="876"/>
      <c r="Y535" s="876"/>
      <c r="Z535" s="876"/>
      <c r="AA535" s="876"/>
      <c r="AB535" s="876"/>
      <c r="AC535" s="876"/>
      <c r="AD535" s="876"/>
      <c r="AE535" s="876"/>
      <c r="AF535" s="876"/>
      <c r="AG535" s="876"/>
      <c r="AH535" s="876"/>
      <c r="AI535" s="878"/>
      <c r="AJ535" s="880"/>
      <c r="AK535" s="880"/>
      <c r="AL535" s="880"/>
      <c r="AM535" s="880"/>
      <c r="AN535" s="880"/>
      <c r="AO535" s="880"/>
      <c r="AP535" s="880"/>
      <c r="AQ535" s="880"/>
      <c r="AR535" s="880"/>
      <c r="AS535" s="880"/>
      <c r="AT535" s="880"/>
      <c r="AU535" s="880"/>
      <c r="AV535" s="880"/>
      <c r="AW535" s="881"/>
      <c r="AX535" s="863"/>
      <c r="AY535" s="863"/>
      <c r="AZ535" s="863"/>
      <c r="BA535" s="863"/>
      <c r="BB535" s="863"/>
      <c r="BC535" s="863"/>
      <c r="BD535" s="863"/>
      <c r="BE535" s="863"/>
      <c r="BF535" s="863"/>
      <c r="BG535" s="863"/>
      <c r="BH535" s="863"/>
      <c r="BI535" s="863"/>
      <c r="BJ535" s="863"/>
      <c r="BK535" s="863"/>
      <c r="BL535" s="863"/>
      <c r="BM535" s="863"/>
      <c r="BN535" s="863"/>
      <c r="BO535" s="863"/>
      <c r="BP535" s="880"/>
      <c r="BQ535" s="863"/>
      <c r="BR535" s="883"/>
      <c r="BS535" s="883"/>
      <c r="BT535" s="883"/>
      <c r="BU535" s="883"/>
      <c r="BV535" s="883"/>
      <c r="BW535" s="883"/>
      <c r="BX535" s="883"/>
      <c r="BY535" s="883"/>
      <c r="BZ535" s="883"/>
      <c r="CA535" s="883"/>
      <c r="CB535" s="883"/>
      <c r="CC535" s="883"/>
      <c r="CD535" s="884"/>
      <c r="CE535" s="883"/>
      <c r="CF535" s="883"/>
      <c r="CG535" s="883"/>
      <c r="CH535" s="883"/>
      <c r="CI535" s="883"/>
      <c r="CJ535" s="883"/>
      <c r="CK535" s="883"/>
      <c r="CL535" s="883"/>
      <c r="CM535" s="883"/>
      <c r="CN535" s="883"/>
      <c r="CO535" s="883"/>
      <c r="CP535" s="883"/>
      <c r="CQ535" s="883"/>
      <c r="CR535" s="883"/>
      <c r="CS535" s="883"/>
      <c r="CT535" s="883"/>
      <c r="CU535" s="883"/>
      <c r="CV535" s="863"/>
      <c r="CW535" s="863"/>
      <c r="CX535" s="863"/>
      <c r="CY535" s="863"/>
      <c r="CZ535" s="863"/>
      <c r="DA535" s="863"/>
      <c r="DB535" s="863"/>
      <c r="DC535" s="863"/>
      <c r="DD535" s="863"/>
      <c r="DE535" s="863"/>
    </row>
    <row r="536">
      <c r="A536" s="876"/>
      <c r="B536" s="876"/>
      <c r="C536" s="876"/>
      <c r="D536" s="876"/>
      <c r="E536" s="876"/>
      <c r="F536" s="876"/>
      <c r="G536" s="876"/>
      <c r="H536" s="876"/>
      <c r="I536" s="876"/>
      <c r="J536" s="876"/>
      <c r="K536" s="876"/>
      <c r="L536" s="876"/>
      <c r="M536" s="876"/>
      <c r="N536" s="877"/>
      <c r="O536" s="876"/>
      <c r="P536" s="876"/>
      <c r="Q536" s="876"/>
      <c r="R536" s="876"/>
      <c r="S536" s="876"/>
      <c r="T536" s="876"/>
      <c r="U536" s="876"/>
      <c r="V536" s="876"/>
      <c r="W536" s="876"/>
      <c r="X536" s="876"/>
      <c r="Y536" s="876"/>
      <c r="Z536" s="876"/>
      <c r="AA536" s="876"/>
      <c r="AB536" s="876"/>
      <c r="AC536" s="876"/>
      <c r="AD536" s="876"/>
      <c r="AE536" s="876"/>
      <c r="AF536" s="876"/>
      <c r="AG536" s="876"/>
      <c r="AH536" s="876"/>
      <c r="AI536" s="878"/>
      <c r="AJ536" s="880"/>
      <c r="AK536" s="880"/>
      <c r="AL536" s="880"/>
      <c r="AM536" s="880"/>
      <c r="AN536" s="880"/>
      <c r="AO536" s="880"/>
      <c r="AP536" s="880"/>
      <c r="AQ536" s="880"/>
      <c r="AR536" s="880"/>
      <c r="AS536" s="880"/>
      <c r="AT536" s="880"/>
      <c r="AU536" s="880"/>
      <c r="AV536" s="880"/>
      <c r="AW536" s="881"/>
      <c r="AX536" s="863"/>
      <c r="AY536" s="863"/>
      <c r="AZ536" s="863"/>
      <c r="BA536" s="863"/>
      <c r="BB536" s="863"/>
      <c r="BC536" s="863"/>
      <c r="BD536" s="863"/>
      <c r="BE536" s="863"/>
      <c r="BF536" s="863"/>
      <c r="BG536" s="863"/>
      <c r="BH536" s="863"/>
      <c r="BI536" s="863"/>
      <c r="BJ536" s="863"/>
      <c r="BK536" s="863"/>
      <c r="BL536" s="863"/>
      <c r="BM536" s="863"/>
      <c r="BN536" s="863"/>
      <c r="BO536" s="863"/>
      <c r="BP536" s="880"/>
      <c r="BQ536" s="863"/>
      <c r="BR536" s="883"/>
      <c r="BS536" s="883"/>
      <c r="BT536" s="883"/>
      <c r="BU536" s="883"/>
      <c r="BV536" s="883"/>
      <c r="BW536" s="883"/>
      <c r="BX536" s="883"/>
      <c r="BY536" s="883"/>
      <c r="BZ536" s="883"/>
      <c r="CA536" s="883"/>
      <c r="CB536" s="883"/>
      <c r="CC536" s="883"/>
      <c r="CD536" s="884"/>
      <c r="CE536" s="883"/>
      <c r="CF536" s="883"/>
      <c r="CG536" s="883"/>
      <c r="CH536" s="883"/>
      <c r="CI536" s="883"/>
      <c r="CJ536" s="883"/>
      <c r="CK536" s="883"/>
      <c r="CL536" s="883"/>
      <c r="CM536" s="883"/>
      <c r="CN536" s="883"/>
      <c r="CO536" s="883"/>
      <c r="CP536" s="883"/>
      <c r="CQ536" s="883"/>
      <c r="CR536" s="883"/>
      <c r="CS536" s="883"/>
      <c r="CT536" s="883"/>
      <c r="CU536" s="883"/>
      <c r="CV536" s="863"/>
      <c r="CW536" s="863"/>
      <c r="CX536" s="863"/>
      <c r="CY536" s="863"/>
      <c r="CZ536" s="863"/>
      <c r="DA536" s="863"/>
      <c r="DB536" s="863"/>
      <c r="DC536" s="863"/>
      <c r="DD536" s="863"/>
      <c r="DE536" s="863"/>
    </row>
    <row r="537">
      <c r="A537" s="876"/>
      <c r="B537" s="876"/>
      <c r="C537" s="876"/>
      <c r="D537" s="876"/>
      <c r="E537" s="876"/>
      <c r="F537" s="876"/>
      <c r="G537" s="876"/>
      <c r="H537" s="876"/>
      <c r="I537" s="876"/>
      <c r="J537" s="876"/>
      <c r="K537" s="876"/>
      <c r="L537" s="876"/>
      <c r="M537" s="876"/>
      <c r="N537" s="877"/>
      <c r="O537" s="876"/>
      <c r="P537" s="876"/>
      <c r="Q537" s="876"/>
      <c r="R537" s="876"/>
      <c r="S537" s="876"/>
      <c r="T537" s="876"/>
      <c r="U537" s="876"/>
      <c r="V537" s="876"/>
      <c r="W537" s="876"/>
      <c r="X537" s="876"/>
      <c r="Y537" s="876"/>
      <c r="Z537" s="876"/>
      <c r="AA537" s="876"/>
      <c r="AB537" s="876"/>
      <c r="AC537" s="876"/>
      <c r="AD537" s="876"/>
      <c r="AE537" s="876"/>
      <c r="AF537" s="876"/>
      <c r="AG537" s="876"/>
      <c r="AH537" s="876"/>
      <c r="AI537" s="878"/>
      <c r="AJ537" s="880"/>
      <c r="AK537" s="880"/>
      <c r="AL537" s="880"/>
      <c r="AM537" s="880"/>
      <c r="AN537" s="880"/>
      <c r="AO537" s="880"/>
      <c r="AP537" s="880"/>
      <c r="AQ537" s="880"/>
      <c r="AR537" s="880"/>
      <c r="AS537" s="880"/>
      <c r="AT537" s="880"/>
      <c r="AU537" s="880"/>
      <c r="AV537" s="880"/>
      <c r="AW537" s="881"/>
      <c r="AX537" s="863"/>
      <c r="AY537" s="863"/>
      <c r="AZ537" s="863"/>
      <c r="BA537" s="863"/>
      <c r="BB537" s="863"/>
      <c r="BC537" s="863"/>
      <c r="BD537" s="863"/>
      <c r="BE537" s="863"/>
      <c r="BF537" s="863"/>
      <c r="BG537" s="863"/>
      <c r="BH537" s="863"/>
      <c r="BI537" s="863"/>
      <c r="BJ537" s="863"/>
      <c r="BK537" s="863"/>
      <c r="BL537" s="863"/>
      <c r="BM537" s="863"/>
      <c r="BN537" s="863"/>
      <c r="BO537" s="863"/>
      <c r="BP537" s="880"/>
      <c r="BQ537" s="863"/>
      <c r="BR537" s="883"/>
      <c r="BS537" s="883"/>
      <c r="BT537" s="883"/>
      <c r="BU537" s="883"/>
      <c r="BV537" s="883"/>
      <c r="BW537" s="883"/>
      <c r="BX537" s="883"/>
      <c r="BY537" s="883"/>
      <c r="BZ537" s="883"/>
      <c r="CA537" s="883"/>
      <c r="CB537" s="883"/>
      <c r="CC537" s="883"/>
      <c r="CD537" s="884"/>
      <c r="CE537" s="883"/>
      <c r="CF537" s="883"/>
      <c r="CG537" s="883"/>
      <c r="CH537" s="883"/>
      <c r="CI537" s="883"/>
      <c r="CJ537" s="883"/>
      <c r="CK537" s="883"/>
      <c r="CL537" s="883"/>
      <c r="CM537" s="883"/>
      <c r="CN537" s="883"/>
      <c r="CO537" s="883"/>
      <c r="CP537" s="883"/>
      <c r="CQ537" s="883"/>
      <c r="CR537" s="883"/>
      <c r="CS537" s="883"/>
      <c r="CT537" s="883"/>
      <c r="CU537" s="883"/>
      <c r="CV537" s="863"/>
      <c r="CW537" s="863"/>
      <c r="CX537" s="863"/>
      <c r="CY537" s="863"/>
      <c r="CZ537" s="863"/>
      <c r="DA537" s="863"/>
      <c r="DB537" s="863"/>
      <c r="DC537" s="863"/>
      <c r="DD537" s="863"/>
      <c r="DE537" s="863"/>
    </row>
    <row r="538">
      <c r="A538" s="876"/>
      <c r="B538" s="876"/>
      <c r="C538" s="876"/>
      <c r="D538" s="876"/>
      <c r="E538" s="876"/>
      <c r="F538" s="876"/>
      <c r="G538" s="876"/>
      <c r="H538" s="876"/>
      <c r="I538" s="876"/>
      <c r="J538" s="876"/>
      <c r="K538" s="876"/>
      <c r="L538" s="876"/>
      <c r="M538" s="876"/>
      <c r="N538" s="877"/>
      <c r="O538" s="876"/>
      <c r="P538" s="876"/>
      <c r="Q538" s="876"/>
      <c r="R538" s="876"/>
      <c r="S538" s="876"/>
      <c r="T538" s="876"/>
      <c r="U538" s="876"/>
      <c r="V538" s="876"/>
      <c r="W538" s="876"/>
      <c r="X538" s="876"/>
      <c r="Y538" s="876"/>
      <c r="Z538" s="876"/>
      <c r="AA538" s="876"/>
      <c r="AB538" s="876"/>
      <c r="AC538" s="876"/>
      <c r="AD538" s="876"/>
      <c r="AE538" s="876"/>
      <c r="AF538" s="876"/>
      <c r="AG538" s="876"/>
      <c r="AH538" s="876"/>
      <c r="AI538" s="878"/>
      <c r="AJ538" s="880"/>
      <c r="AK538" s="880"/>
      <c r="AL538" s="880"/>
      <c r="AM538" s="880"/>
      <c r="AN538" s="880"/>
      <c r="AO538" s="880"/>
      <c r="AP538" s="880"/>
      <c r="AQ538" s="880"/>
      <c r="AR538" s="880"/>
      <c r="AS538" s="880"/>
      <c r="AT538" s="880"/>
      <c r="AU538" s="880"/>
      <c r="AV538" s="880"/>
      <c r="AW538" s="881"/>
      <c r="AX538" s="863"/>
      <c r="AY538" s="863"/>
      <c r="AZ538" s="863"/>
      <c r="BA538" s="863"/>
      <c r="BB538" s="863"/>
      <c r="BC538" s="863"/>
      <c r="BD538" s="863"/>
      <c r="BE538" s="863"/>
      <c r="BF538" s="863"/>
      <c r="BG538" s="863"/>
      <c r="BH538" s="863"/>
      <c r="BI538" s="863"/>
      <c r="BJ538" s="863"/>
      <c r="BK538" s="863"/>
      <c r="BL538" s="863"/>
      <c r="BM538" s="863"/>
      <c r="BN538" s="863"/>
      <c r="BO538" s="863"/>
      <c r="BP538" s="880"/>
      <c r="BQ538" s="863"/>
      <c r="BR538" s="883"/>
      <c r="BS538" s="883"/>
      <c r="BT538" s="883"/>
      <c r="BU538" s="883"/>
      <c r="BV538" s="883"/>
      <c r="BW538" s="883"/>
      <c r="BX538" s="883"/>
      <c r="BY538" s="883"/>
      <c r="BZ538" s="883"/>
      <c r="CA538" s="883"/>
      <c r="CB538" s="883"/>
      <c r="CC538" s="883"/>
      <c r="CD538" s="884"/>
      <c r="CE538" s="883"/>
      <c r="CF538" s="883"/>
      <c r="CG538" s="883"/>
      <c r="CH538" s="883"/>
      <c r="CI538" s="883"/>
      <c r="CJ538" s="883"/>
      <c r="CK538" s="883"/>
      <c r="CL538" s="883"/>
      <c r="CM538" s="883"/>
      <c r="CN538" s="883"/>
      <c r="CO538" s="883"/>
      <c r="CP538" s="883"/>
      <c r="CQ538" s="883"/>
      <c r="CR538" s="883"/>
      <c r="CS538" s="883"/>
      <c r="CT538" s="883"/>
      <c r="CU538" s="883"/>
      <c r="CV538" s="863"/>
      <c r="CW538" s="863"/>
      <c r="CX538" s="863"/>
      <c r="CY538" s="863"/>
      <c r="CZ538" s="863"/>
      <c r="DA538" s="863"/>
      <c r="DB538" s="863"/>
      <c r="DC538" s="863"/>
      <c r="DD538" s="863"/>
      <c r="DE538" s="863"/>
    </row>
    <row r="539">
      <c r="A539" s="876"/>
      <c r="B539" s="876"/>
      <c r="C539" s="876"/>
      <c r="D539" s="876"/>
      <c r="E539" s="876"/>
      <c r="F539" s="876"/>
      <c r="G539" s="876"/>
      <c r="H539" s="876"/>
      <c r="I539" s="876"/>
      <c r="J539" s="876"/>
      <c r="K539" s="876"/>
      <c r="L539" s="876"/>
      <c r="M539" s="876"/>
      <c r="N539" s="877"/>
      <c r="O539" s="876"/>
      <c r="P539" s="876"/>
      <c r="Q539" s="876"/>
      <c r="R539" s="876"/>
      <c r="S539" s="876"/>
      <c r="T539" s="876"/>
      <c r="U539" s="876"/>
      <c r="V539" s="876"/>
      <c r="W539" s="876"/>
      <c r="X539" s="876"/>
      <c r="Y539" s="876"/>
      <c r="Z539" s="876"/>
      <c r="AA539" s="876"/>
      <c r="AB539" s="876"/>
      <c r="AC539" s="876"/>
      <c r="AD539" s="876"/>
      <c r="AE539" s="876"/>
      <c r="AF539" s="876"/>
      <c r="AG539" s="876"/>
      <c r="AH539" s="876"/>
      <c r="AI539" s="878"/>
      <c r="AJ539" s="880"/>
      <c r="AK539" s="880"/>
      <c r="AL539" s="880"/>
      <c r="AM539" s="880"/>
      <c r="AN539" s="880"/>
      <c r="AO539" s="880"/>
      <c r="AP539" s="880"/>
      <c r="AQ539" s="880"/>
      <c r="AR539" s="880"/>
      <c r="AS539" s="880"/>
      <c r="AT539" s="880"/>
      <c r="AU539" s="880"/>
      <c r="AV539" s="880"/>
      <c r="AW539" s="881"/>
      <c r="AX539" s="863"/>
      <c r="AY539" s="863"/>
      <c r="AZ539" s="863"/>
      <c r="BA539" s="863"/>
      <c r="BB539" s="863"/>
      <c r="BC539" s="863"/>
      <c r="BD539" s="863"/>
      <c r="BE539" s="863"/>
      <c r="BF539" s="863"/>
      <c r="BG539" s="863"/>
      <c r="BH539" s="863"/>
      <c r="BI539" s="863"/>
      <c r="BJ539" s="863"/>
      <c r="BK539" s="863"/>
      <c r="BL539" s="863"/>
      <c r="BM539" s="863"/>
      <c r="BN539" s="863"/>
      <c r="BO539" s="863"/>
      <c r="BP539" s="880"/>
      <c r="BQ539" s="863"/>
      <c r="BR539" s="883"/>
      <c r="BS539" s="883"/>
      <c r="BT539" s="883"/>
      <c r="BU539" s="883"/>
      <c r="BV539" s="883"/>
      <c r="BW539" s="883"/>
      <c r="BX539" s="883"/>
      <c r="BY539" s="883"/>
      <c r="BZ539" s="883"/>
      <c r="CA539" s="883"/>
      <c r="CB539" s="883"/>
      <c r="CC539" s="883"/>
      <c r="CD539" s="884"/>
      <c r="CE539" s="883"/>
      <c r="CF539" s="883"/>
      <c r="CG539" s="883"/>
      <c r="CH539" s="883"/>
      <c r="CI539" s="883"/>
      <c r="CJ539" s="883"/>
      <c r="CK539" s="883"/>
      <c r="CL539" s="883"/>
      <c r="CM539" s="883"/>
      <c r="CN539" s="883"/>
      <c r="CO539" s="883"/>
      <c r="CP539" s="883"/>
      <c r="CQ539" s="883"/>
      <c r="CR539" s="883"/>
      <c r="CS539" s="883"/>
      <c r="CT539" s="883"/>
      <c r="CU539" s="883"/>
      <c r="CV539" s="863"/>
      <c r="CW539" s="863"/>
      <c r="CX539" s="863"/>
      <c r="CY539" s="863"/>
      <c r="CZ539" s="863"/>
      <c r="DA539" s="863"/>
      <c r="DB539" s="863"/>
      <c r="DC539" s="863"/>
      <c r="DD539" s="863"/>
      <c r="DE539" s="863"/>
    </row>
    <row r="540">
      <c r="A540" s="876"/>
      <c r="B540" s="876"/>
      <c r="C540" s="876"/>
      <c r="D540" s="876"/>
      <c r="E540" s="876"/>
      <c r="F540" s="876"/>
      <c r="G540" s="876"/>
      <c r="H540" s="876"/>
      <c r="I540" s="876"/>
      <c r="J540" s="876"/>
      <c r="K540" s="876"/>
      <c r="L540" s="876"/>
      <c r="M540" s="876"/>
      <c r="N540" s="877"/>
      <c r="O540" s="876"/>
      <c r="P540" s="876"/>
      <c r="Q540" s="876"/>
      <c r="R540" s="876"/>
      <c r="S540" s="876"/>
      <c r="T540" s="876"/>
      <c r="U540" s="876"/>
      <c r="V540" s="876"/>
      <c r="W540" s="876"/>
      <c r="X540" s="876"/>
      <c r="Y540" s="876"/>
      <c r="Z540" s="876"/>
      <c r="AA540" s="876"/>
      <c r="AB540" s="876"/>
      <c r="AC540" s="876"/>
      <c r="AD540" s="876"/>
      <c r="AE540" s="876"/>
      <c r="AF540" s="876"/>
      <c r="AG540" s="876"/>
      <c r="AH540" s="876"/>
      <c r="AI540" s="878"/>
      <c r="AJ540" s="880"/>
      <c r="AK540" s="880"/>
      <c r="AL540" s="880"/>
      <c r="AM540" s="880"/>
      <c r="AN540" s="880"/>
      <c r="AO540" s="880"/>
      <c r="AP540" s="880"/>
      <c r="AQ540" s="880"/>
      <c r="AR540" s="880"/>
      <c r="AS540" s="880"/>
      <c r="AT540" s="880"/>
      <c r="AU540" s="880"/>
      <c r="AV540" s="880"/>
      <c r="AW540" s="881"/>
      <c r="AX540" s="863"/>
      <c r="AY540" s="863"/>
      <c r="AZ540" s="863"/>
      <c r="BA540" s="863"/>
      <c r="BB540" s="863"/>
      <c r="BC540" s="863"/>
      <c r="BD540" s="863"/>
      <c r="BE540" s="863"/>
      <c r="BF540" s="863"/>
      <c r="BG540" s="863"/>
      <c r="BH540" s="863"/>
      <c r="BI540" s="863"/>
      <c r="BJ540" s="863"/>
      <c r="BK540" s="863"/>
      <c r="BL540" s="863"/>
      <c r="BM540" s="863"/>
      <c r="BN540" s="863"/>
      <c r="BO540" s="863"/>
      <c r="BP540" s="880"/>
      <c r="BQ540" s="863"/>
      <c r="BR540" s="883"/>
      <c r="BS540" s="883"/>
      <c r="BT540" s="883"/>
      <c r="BU540" s="883"/>
      <c r="BV540" s="883"/>
      <c r="BW540" s="883"/>
      <c r="BX540" s="883"/>
      <c r="BY540" s="883"/>
      <c r="BZ540" s="883"/>
      <c r="CA540" s="883"/>
      <c r="CB540" s="883"/>
      <c r="CC540" s="883"/>
      <c r="CD540" s="884"/>
      <c r="CE540" s="883"/>
      <c r="CF540" s="883"/>
      <c r="CG540" s="883"/>
      <c r="CH540" s="883"/>
      <c r="CI540" s="883"/>
      <c r="CJ540" s="883"/>
      <c r="CK540" s="883"/>
      <c r="CL540" s="883"/>
      <c r="CM540" s="883"/>
      <c r="CN540" s="883"/>
      <c r="CO540" s="883"/>
      <c r="CP540" s="883"/>
      <c r="CQ540" s="883"/>
      <c r="CR540" s="883"/>
      <c r="CS540" s="883"/>
      <c r="CT540" s="883"/>
      <c r="CU540" s="883"/>
      <c r="CV540" s="863"/>
      <c r="CW540" s="863"/>
      <c r="CX540" s="863"/>
      <c r="CY540" s="863"/>
      <c r="CZ540" s="863"/>
      <c r="DA540" s="863"/>
      <c r="DB540" s="863"/>
      <c r="DC540" s="863"/>
      <c r="DD540" s="863"/>
      <c r="DE540" s="863"/>
    </row>
    <row r="541">
      <c r="A541" s="876"/>
      <c r="B541" s="876"/>
      <c r="C541" s="876"/>
      <c r="D541" s="876"/>
      <c r="E541" s="876"/>
      <c r="F541" s="876"/>
      <c r="G541" s="876"/>
      <c r="H541" s="876"/>
      <c r="I541" s="876"/>
      <c r="J541" s="876"/>
      <c r="K541" s="876"/>
      <c r="L541" s="876"/>
      <c r="M541" s="876"/>
      <c r="N541" s="877"/>
      <c r="O541" s="876"/>
      <c r="P541" s="876"/>
      <c r="Q541" s="876"/>
      <c r="R541" s="876"/>
      <c r="S541" s="876"/>
      <c r="T541" s="876"/>
      <c r="U541" s="876"/>
      <c r="V541" s="876"/>
      <c r="W541" s="876"/>
      <c r="X541" s="876"/>
      <c r="Y541" s="876"/>
      <c r="Z541" s="876"/>
      <c r="AA541" s="876"/>
      <c r="AB541" s="876"/>
      <c r="AC541" s="876"/>
      <c r="AD541" s="876"/>
      <c r="AE541" s="876"/>
      <c r="AF541" s="876"/>
      <c r="AG541" s="876"/>
      <c r="AH541" s="876"/>
      <c r="AI541" s="878"/>
      <c r="AJ541" s="880"/>
      <c r="AK541" s="880"/>
      <c r="AL541" s="880"/>
      <c r="AM541" s="880"/>
      <c r="AN541" s="880"/>
      <c r="AO541" s="880"/>
      <c r="AP541" s="880"/>
      <c r="AQ541" s="880"/>
      <c r="AR541" s="880"/>
      <c r="AS541" s="880"/>
      <c r="AT541" s="880"/>
      <c r="AU541" s="880"/>
      <c r="AV541" s="880"/>
      <c r="AW541" s="881"/>
      <c r="AX541" s="863"/>
      <c r="AY541" s="863"/>
      <c r="AZ541" s="863"/>
      <c r="BA541" s="863"/>
      <c r="BB541" s="863"/>
      <c r="BC541" s="863"/>
      <c r="BD541" s="863"/>
      <c r="BE541" s="863"/>
      <c r="BF541" s="863"/>
      <c r="BG541" s="863"/>
      <c r="BH541" s="863"/>
      <c r="BI541" s="863"/>
      <c r="BJ541" s="863"/>
      <c r="BK541" s="863"/>
      <c r="BL541" s="863"/>
      <c r="BM541" s="863"/>
      <c r="BN541" s="863"/>
      <c r="BO541" s="863"/>
      <c r="BP541" s="880"/>
      <c r="BQ541" s="863"/>
      <c r="BR541" s="883"/>
      <c r="BS541" s="883"/>
      <c r="BT541" s="883"/>
      <c r="BU541" s="883"/>
      <c r="BV541" s="883"/>
      <c r="BW541" s="883"/>
      <c r="BX541" s="883"/>
      <c r="BY541" s="883"/>
      <c r="BZ541" s="883"/>
      <c r="CA541" s="883"/>
      <c r="CB541" s="883"/>
      <c r="CC541" s="883"/>
      <c r="CD541" s="884"/>
      <c r="CE541" s="883"/>
      <c r="CF541" s="883"/>
      <c r="CG541" s="883"/>
      <c r="CH541" s="883"/>
      <c r="CI541" s="883"/>
      <c r="CJ541" s="883"/>
      <c r="CK541" s="883"/>
      <c r="CL541" s="883"/>
      <c r="CM541" s="883"/>
      <c r="CN541" s="883"/>
      <c r="CO541" s="883"/>
      <c r="CP541" s="883"/>
      <c r="CQ541" s="883"/>
      <c r="CR541" s="883"/>
      <c r="CS541" s="883"/>
      <c r="CT541" s="883"/>
      <c r="CU541" s="883"/>
      <c r="CV541" s="863"/>
      <c r="CW541" s="863"/>
      <c r="CX541" s="863"/>
      <c r="CY541" s="863"/>
      <c r="CZ541" s="863"/>
      <c r="DA541" s="863"/>
      <c r="DB541" s="863"/>
      <c r="DC541" s="863"/>
      <c r="DD541" s="863"/>
      <c r="DE541" s="863"/>
    </row>
    <row r="542">
      <c r="A542" s="876"/>
      <c r="B542" s="876"/>
      <c r="C542" s="876"/>
      <c r="D542" s="876"/>
      <c r="E542" s="876"/>
      <c r="F542" s="876"/>
      <c r="G542" s="876"/>
      <c r="H542" s="876"/>
      <c r="I542" s="876"/>
      <c r="J542" s="876"/>
      <c r="K542" s="876"/>
      <c r="L542" s="876"/>
      <c r="M542" s="876"/>
      <c r="N542" s="877"/>
      <c r="O542" s="876"/>
      <c r="P542" s="876"/>
      <c r="Q542" s="876"/>
      <c r="R542" s="876"/>
      <c r="S542" s="876"/>
      <c r="T542" s="876"/>
      <c r="U542" s="876"/>
      <c r="V542" s="876"/>
      <c r="W542" s="876"/>
      <c r="X542" s="876"/>
      <c r="Y542" s="876"/>
      <c r="Z542" s="876"/>
      <c r="AA542" s="876"/>
      <c r="AB542" s="876"/>
      <c r="AC542" s="876"/>
      <c r="AD542" s="876"/>
      <c r="AE542" s="876"/>
      <c r="AF542" s="876"/>
      <c r="AG542" s="876"/>
      <c r="AH542" s="876"/>
      <c r="AI542" s="878"/>
      <c r="AJ542" s="880"/>
      <c r="AK542" s="880"/>
      <c r="AL542" s="880"/>
      <c r="AM542" s="880"/>
      <c r="AN542" s="880"/>
      <c r="AO542" s="880"/>
      <c r="AP542" s="880"/>
      <c r="AQ542" s="880"/>
      <c r="AR542" s="880"/>
      <c r="AS542" s="880"/>
      <c r="AT542" s="880"/>
      <c r="AU542" s="880"/>
      <c r="AV542" s="880"/>
      <c r="AW542" s="881"/>
      <c r="AX542" s="863"/>
      <c r="AY542" s="863"/>
      <c r="AZ542" s="863"/>
      <c r="BA542" s="863"/>
      <c r="BB542" s="863"/>
      <c r="BC542" s="863"/>
      <c r="BD542" s="863"/>
      <c r="BE542" s="863"/>
      <c r="BF542" s="863"/>
      <c r="BG542" s="863"/>
      <c r="BH542" s="863"/>
      <c r="BI542" s="863"/>
      <c r="BJ542" s="863"/>
      <c r="BK542" s="863"/>
      <c r="BL542" s="863"/>
      <c r="BM542" s="863"/>
      <c r="BN542" s="863"/>
      <c r="BO542" s="863"/>
      <c r="BP542" s="880"/>
      <c r="BQ542" s="863"/>
      <c r="BR542" s="883"/>
      <c r="BS542" s="883"/>
      <c r="BT542" s="883"/>
      <c r="BU542" s="883"/>
      <c r="BV542" s="883"/>
      <c r="BW542" s="883"/>
      <c r="BX542" s="883"/>
      <c r="BY542" s="883"/>
      <c r="BZ542" s="883"/>
      <c r="CA542" s="883"/>
      <c r="CB542" s="883"/>
      <c r="CC542" s="883"/>
      <c r="CD542" s="884"/>
      <c r="CE542" s="883"/>
      <c r="CF542" s="883"/>
      <c r="CG542" s="883"/>
      <c r="CH542" s="883"/>
      <c r="CI542" s="883"/>
      <c r="CJ542" s="883"/>
      <c r="CK542" s="883"/>
      <c r="CL542" s="883"/>
      <c r="CM542" s="883"/>
      <c r="CN542" s="883"/>
      <c r="CO542" s="883"/>
      <c r="CP542" s="883"/>
      <c r="CQ542" s="883"/>
      <c r="CR542" s="883"/>
      <c r="CS542" s="883"/>
      <c r="CT542" s="883"/>
      <c r="CU542" s="883"/>
      <c r="CV542" s="863"/>
      <c r="CW542" s="863"/>
      <c r="CX542" s="863"/>
      <c r="CY542" s="863"/>
      <c r="CZ542" s="863"/>
      <c r="DA542" s="863"/>
      <c r="DB542" s="863"/>
      <c r="DC542" s="863"/>
      <c r="DD542" s="863"/>
      <c r="DE542" s="863"/>
    </row>
    <row r="543">
      <c r="A543" s="876"/>
      <c r="B543" s="876"/>
      <c r="C543" s="876"/>
      <c r="D543" s="876"/>
      <c r="E543" s="876"/>
      <c r="F543" s="876"/>
      <c r="G543" s="876"/>
      <c r="H543" s="876"/>
      <c r="I543" s="876"/>
      <c r="J543" s="876"/>
      <c r="K543" s="876"/>
      <c r="L543" s="876"/>
      <c r="M543" s="876"/>
      <c r="N543" s="877"/>
      <c r="O543" s="876"/>
      <c r="P543" s="876"/>
      <c r="Q543" s="876"/>
      <c r="R543" s="876"/>
      <c r="S543" s="876"/>
      <c r="T543" s="876"/>
      <c r="U543" s="876"/>
      <c r="V543" s="876"/>
      <c r="W543" s="876"/>
      <c r="X543" s="876"/>
      <c r="Y543" s="876"/>
      <c r="Z543" s="876"/>
      <c r="AA543" s="876"/>
      <c r="AB543" s="876"/>
      <c r="AC543" s="876"/>
      <c r="AD543" s="876"/>
      <c r="AE543" s="876"/>
      <c r="AF543" s="876"/>
      <c r="AG543" s="876"/>
      <c r="AH543" s="876"/>
      <c r="AI543" s="878"/>
      <c r="AJ543" s="880"/>
      <c r="AK543" s="880"/>
      <c r="AL543" s="880"/>
      <c r="AM543" s="880"/>
      <c r="AN543" s="880"/>
      <c r="AO543" s="880"/>
      <c r="AP543" s="880"/>
      <c r="AQ543" s="880"/>
      <c r="AR543" s="880"/>
      <c r="AS543" s="880"/>
      <c r="AT543" s="880"/>
      <c r="AU543" s="880"/>
      <c r="AV543" s="880"/>
      <c r="AW543" s="881"/>
      <c r="AX543" s="863"/>
      <c r="AY543" s="863"/>
      <c r="AZ543" s="863"/>
      <c r="BA543" s="863"/>
      <c r="BB543" s="863"/>
      <c r="BC543" s="863"/>
      <c r="BD543" s="863"/>
      <c r="BE543" s="863"/>
      <c r="BF543" s="863"/>
      <c r="BG543" s="863"/>
      <c r="BH543" s="863"/>
      <c r="BI543" s="863"/>
      <c r="BJ543" s="863"/>
      <c r="BK543" s="863"/>
      <c r="BL543" s="863"/>
      <c r="BM543" s="863"/>
      <c r="BN543" s="863"/>
      <c r="BO543" s="863"/>
      <c r="BP543" s="880"/>
      <c r="BQ543" s="863"/>
      <c r="BR543" s="883"/>
      <c r="BS543" s="883"/>
      <c r="BT543" s="883"/>
      <c r="BU543" s="883"/>
      <c r="BV543" s="883"/>
      <c r="BW543" s="883"/>
      <c r="BX543" s="883"/>
      <c r="BY543" s="883"/>
      <c r="BZ543" s="883"/>
      <c r="CA543" s="883"/>
      <c r="CB543" s="883"/>
      <c r="CC543" s="883"/>
      <c r="CD543" s="884"/>
      <c r="CE543" s="883"/>
      <c r="CF543" s="883"/>
      <c r="CG543" s="883"/>
      <c r="CH543" s="883"/>
      <c r="CI543" s="883"/>
      <c r="CJ543" s="883"/>
      <c r="CK543" s="883"/>
      <c r="CL543" s="883"/>
      <c r="CM543" s="883"/>
      <c r="CN543" s="883"/>
      <c r="CO543" s="883"/>
      <c r="CP543" s="883"/>
      <c r="CQ543" s="883"/>
      <c r="CR543" s="883"/>
      <c r="CS543" s="883"/>
      <c r="CT543" s="883"/>
      <c r="CU543" s="883"/>
      <c r="CV543" s="863"/>
      <c r="CW543" s="863"/>
      <c r="CX543" s="863"/>
      <c r="CY543" s="863"/>
      <c r="CZ543" s="863"/>
      <c r="DA543" s="863"/>
      <c r="DB543" s="863"/>
      <c r="DC543" s="863"/>
      <c r="DD543" s="863"/>
      <c r="DE543" s="863"/>
    </row>
    <row r="544">
      <c r="A544" s="876"/>
      <c r="B544" s="876"/>
      <c r="C544" s="876"/>
      <c r="D544" s="876"/>
      <c r="E544" s="876"/>
      <c r="F544" s="876"/>
      <c r="G544" s="876"/>
      <c r="H544" s="876"/>
      <c r="I544" s="876"/>
      <c r="J544" s="876"/>
      <c r="K544" s="876"/>
      <c r="L544" s="876"/>
      <c r="M544" s="876"/>
      <c r="N544" s="877"/>
      <c r="O544" s="876"/>
      <c r="P544" s="876"/>
      <c r="Q544" s="876"/>
      <c r="R544" s="876"/>
      <c r="S544" s="876"/>
      <c r="T544" s="876"/>
      <c r="U544" s="876"/>
      <c r="V544" s="876"/>
      <c r="W544" s="876"/>
      <c r="X544" s="876"/>
      <c r="Y544" s="876"/>
      <c r="Z544" s="876"/>
      <c r="AA544" s="876"/>
      <c r="AB544" s="876"/>
      <c r="AC544" s="876"/>
      <c r="AD544" s="876"/>
      <c r="AE544" s="876"/>
      <c r="AF544" s="876"/>
      <c r="AG544" s="876"/>
      <c r="AH544" s="876"/>
      <c r="AI544" s="878"/>
      <c r="AJ544" s="880"/>
      <c r="AK544" s="880"/>
      <c r="AL544" s="880"/>
      <c r="AM544" s="880"/>
      <c r="AN544" s="880"/>
      <c r="AO544" s="880"/>
      <c r="AP544" s="880"/>
      <c r="AQ544" s="880"/>
      <c r="AR544" s="880"/>
      <c r="AS544" s="880"/>
      <c r="AT544" s="880"/>
      <c r="AU544" s="880"/>
      <c r="AV544" s="880"/>
      <c r="AW544" s="881"/>
      <c r="AX544" s="863"/>
      <c r="AY544" s="863"/>
      <c r="AZ544" s="863"/>
      <c r="BA544" s="863"/>
      <c r="BB544" s="863"/>
      <c r="BC544" s="863"/>
      <c r="BD544" s="863"/>
      <c r="BE544" s="863"/>
      <c r="BF544" s="863"/>
      <c r="BG544" s="863"/>
      <c r="BH544" s="863"/>
      <c r="BI544" s="863"/>
      <c r="BJ544" s="863"/>
      <c r="BK544" s="863"/>
      <c r="BL544" s="863"/>
      <c r="BM544" s="863"/>
      <c r="BN544" s="863"/>
      <c r="BO544" s="863"/>
      <c r="BP544" s="880"/>
      <c r="BQ544" s="863"/>
      <c r="BR544" s="883"/>
      <c r="BS544" s="883"/>
      <c r="BT544" s="883"/>
      <c r="BU544" s="883"/>
      <c r="BV544" s="883"/>
      <c r="BW544" s="883"/>
      <c r="BX544" s="883"/>
      <c r="BY544" s="883"/>
      <c r="BZ544" s="883"/>
      <c r="CA544" s="883"/>
      <c r="CB544" s="883"/>
      <c r="CC544" s="883"/>
      <c r="CD544" s="884"/>
      <c r="CE544" s="883"/>
      <c r="CF544" s="883"/>
      <c r="CG544" s="883"/>
      <c r="CH544" s="883"/>
      <c r="CI544" s="883"/>
      <c r="CJ544" s="883"/>
      <c r="CK544" s="883"/>
      <c r="CL544" s="883"/>
      <c r="CM544" s="883"/>
      <c r="CN544" s="883"/>
      <c r="CO544" s="883"/>
      <c r="CP544" s="883"/>
      <c r="CQ544" s="883"/>
      <c r="CR544" s="883"/>
      <c r="CS544" s="883"/>
      <c r="CT544" s="883"/>
      <c r="CU544" s="883"/>
      <c r="CV544" s="863"/>
      <c r="CW544" s="863"/>
      <c r="CX544" s="863"/>
      <c r="CY544" s="863"/>
      <c r="CZ544" s="863"/>
      <c r="DA544" s="863"/>
      <c r="DB544" s="863"/>
      <c r="DC544" s="863"/>
      <c r="DD544" s="863"/>
      <c r="DE544" s="863"/>
    </row>
    <row r="545">
      <c r="A545" s="876"/>
      <c r="B545" s="876"/>
      <c r="C545" s="876"/>
      <c r="D545" s="876"/>
      <c r="E545" s="876"/>
      <c r="F545" s="876"/>
      <c r="G545" s="876"/>
      <c r="H545" s="876"/>
      <c r="I545" s="876"/>
      <c r="J545" s="876"/>
      <c r="K545" s="876"/>
      <c r="L545" s="876"/>
      <c r="M545" s="876"/>
      <c r="N545" s="877"/>
      <c r="O545" s="876"/>
      <c r="P545" s="876"/>
      <c r="Q545" s="876"/>
      <c r="R545" s="876"/>
      <c r="S545" s="876"/>
      <c r="T545" s="876"/>
      <c r="U545" s="876"/>
      <c r="V545" s="876"/>
      <c r="W545" s="876"/>
      <c r="X545" s="876"/>
      <c r="Y545" s="876"/>
      <c r="Z545" s="876"/>
      <c r="AA545" s="876"/>
      <c r="AB545" s="876"/>
      <c r="AC545" s="876"/>
      <c r="AD545" s="876"/>
      <c r="AE545" s="876"/>
      <c r="AF545" s="876"/>
      <c r="AG545" s="876"/>
      <c r="AH545" s="876"/>
      <c r="AI545" s="878"/>
      <c r="AJ545" s="880"/>
      <c r="AK545" s="880"/>
      <c r="AL545" s="880"/>
      <c r="AM545" s="880"/>
      <c r="AN545" s="880"/>
      <c r="AO545" s="880"/>
      <c r="AP545" s="880"/>
      <c r="AQ545" s="880"/>
      <c r="AR545" s="880"/>
      <c r="AS545" s="880"/>
      <c r="AT545" s="880"/>
      <c r="AU545" s="880"/>
      <c r="AV545" s="880"/>
      <c r="AW545" s="881"/>
      <c r="AX545" s="863"/>
      <c r="AY545" s="863"/>
      <c r="AZ545" s="863"/>
      <c r="BA545" s="863"/>
      <c r="BB545" s="863"/>
      <c r="BC545" s="863"/>
      <c r="BD545" s="863"/>
      <c r="BE545" s="863"/>
      <c r="BF545" s="863"/>
      <c r="BG545" s="863"/>
      <c r="BH545" s="863"/>
      <c r="BI545" s="863"/>
      <c r="BJ545" s="863"/>
      <c r="BK545" s="863"/>
      <c r="BL545" s="863"/>
      <c r="BM545" s="863"/>
      <c r="BN545" s="863"/>
      <c r="BO545" s="863"/>
      <c r="BP545" s="880"/>
      <c r="BQ545" s="863"/>
      <c r="BR545" s="883"/>
      <c r="BS545" s="883"/>
      <c r="BT545" s="883"/>
      <c r="BU545" s="883"/>
      <c r="BV545" s="883"/>
      <c r="BW545" s="883"/>
      <c r="BX545" s="883"/>
      <c r="BY545" s="883"/>
      <c r="BZ545" s="883"/>
      <c r="CA545" s="883"/>
      <c r="CB545" s="883"/>
      <c r="CC545" s="883"/>
      <c r="CD545" s="884"/>
      <c r="CE545" s="883"/>
      <c r="CF545" s="883"/>
      <c r="CG545" s="883"/>
      <c r="CH545" s="883"/>
      <c r="CI545" s="883"/>
      <c r="CJ545" s="883"/>
      <c r="CK545" s="883"/>
      <c r="CL545" s="883"/>
      <c r="CM545" s="883"/>
      <c r="CN545" s="883"/>
      <c r="CO545" s="883"/>
      <c r="CP545" s="883"/>
      <c r="CQ545" s="883"/>
      <c r="CR545" s="883"/>
      <c r="CS545" s="883"/>
      <c r="CT545" s="883"/>
      <c r="CU545" s="883"/>
      <c r="CV545" s="863"/>
      <c r="CW545" s="863"/>
      <c r="CX545" s="863"/>
      <c r="CY545" s="863"/>
      <c r="CZ545" s="863"/>
      <c r="DA545" s="863"/>
      <c r="DB545" s="863"/>
      <c r="DC545" s="863"/>
      <c r="DD545" s="863"/>
      <c r="DE545" s="863"/>
    </row>
    <row r="546">
      <c r="A546" s="876"/>
      <c r="B546" s="876"/>
      <c r="C546" s="876"/>
      <c r="D546" s="876"/>
      <c r="E546" s="876"/>
      <c r="F546" s="876"/>
      <c r="G546" s="876"/>
      <c r="H546" s="876"/>
      <c r="I546" s="876"/>
      <c r="J546" s="876"/>
      <c r="K546" s="876"/>
      <c r="L546" s="876"/>
      <c r="M546" s="876"/>
      <c r="N546" s="877"/>
      <c r="O546" s="876"/>
      <c r="P546" s="876"/>
      <c r="Q546" s="876"/>
      <c r="R546" s="876"/>
      <c r="S546" s="876"/>
      <c r="T546" s="876"/>
      <c r="U546" s="876"/>
      <c r="V546" s="876"/>
      <c r="W546" s="876"/>
      <c r="X546" s="876"/>
      <c r="Y546" s="876"/>
      <c r="Z546" s="876"/>
      <c r="AA546" s="876"/>
      <c r="AB546" s="876"/>
      <c r="AC546" s="876"/>
      <c r="AD546" s="876"/>
      <c r="AE546" s="876"/>
      <c r="AF546" s="876"/>
      <c r="AG546" s="876"/>
      <c r="AH546" s="876"/>
      <c r="AI546" s="878"/>
      <c r="AJ546" s="880"/>
      <c r="AK546" s="880"/>
      <c r="AL546" s="880"/>
      <c r="AM546" s="880"/>
      <c r="AN546" s="880"/>
      <c r="AO546" s="880"/>
      <c r="AP546" s="880"/>
      <c r="AQ546" s="880"/>
      <c r="AR546" s="880"/>
      <c r="AS546" s="880"/>
      <c r="AT546" s="880"/>
      <c r="AU546" s="880"/>
      <c r="AV546" s="880"/>
      <c r="AW546" s="881"/>
      <c r="AX546" s="863"/>
      <c r="AY546" s="863"/>
      <c r="AZ546" s="863"/>
      <c r="BA546" s="863"/>
      <c r="BB546" s="863"/>
      <c r="BC546" s="863"/>
      <c r="BD546" s="863"/>
      <c r="BE546" s="863"/>
      <c r="BF546" s="863"/>
      <c r="BG546" s="863"/>
      <c r="BH546" s="863"/>
      <c r="BI546" s="863"/>
      <c r="BJ546" s="863"/>
      <c r="BK546" s="863"/>
      <c r="BL546" s="863"/>
      <c r="BM546" s="863"/>
      <c r="BN546" s="863"/>
      <c r="BO546" s="863"/>
      <c r="BP546" s="880"/>
      <c r="BQ546" s="863"/>
      <c r="BR546" s="883"/>
      <c r="BS546" s="883"/>
      <c r="BT546" s="883"/>
      <c r="BU546" s="883"/>
      <c r="BV546" s="883"/>
      <c r="BW546" s="883"/>
      <c r="BX546" s="883"/>
      <c r="BY546" s="883"/>
      <c r="BZ546" s="883"/>
      <c r="CA546" s="883"/>
      <c r="CB546" s="883"/>
      <c r="CC546" s="883"/>
      <c r="CD546" s="884"/>
      <c r="CE546" s="883"/>
      <c r="CF546" s="883"/>
      <c r="CG546" s="883"/>
      <c r="CH546" s="883"/>
      <c r="CI546" s="883"/>
      <c r="CJ546" s="883"/>
      <c r="CK546" s="883"/>
      <c r="CL546" s="883"/>
      <c r="CM546" s="883"/>
      <c r="CN546" s="883"/>
      <c r="CO546" s="883"/>
      <c r="CP546" s="883"/>
      <c r="CQ546" s="883"/>
      <c r="CR546" s="883"/>
      <c r="CS546" s="883"/>
      <c r="CT546" s="883"/>
      <c r="CU546" s="883"/>
      <c r="CV546" s="863"/>
      <c r="CW546" s="863"/>
      <c r="CX546" s="863"/>
      <c r="CY546" s="863"/>
      <c r="CZ546" s="863"/>
      <c r="DA546" s="863"/>
      <c r="DB546" s="863"/>
      <c r="DC546" s="863"/>
      <c r="DD546" s="863"/>
      <c r="DE546" s="863"/>
    </row>
    <row r="547">
      <c r="A547" s="876"/>
      <c r="B547" s="876"/>
      <c r="C547" s="876"/>
      <c r="D547" s="876"/>
      <c r="E547" s="876"/>
      <c r="F547" s="876"/>
      <c r="G547" s="876"/>
      <c r="H547" s="876"/>
      <c r="I547" s="876"/>
      <c r="J547" s="876"/>
      <c r="K547" s="876"/>
      <c r="L547" s="876"/>
      <c r="M547" s="876"/>
      <c r="N547" s="877"/>
      <c r="O547" s="876"/>
      <c r="P547" s="876"/>
      <c r="Q547" s="876"/>
      <c r="R547" s="876"/>
      <c r="S547" s="876"/>
      <c r="T547" s="876"/>
      <c r="U547" s="876"/>
      <c r="V547" s="876"/>
      <c r="W547" s="876"/>
      <c r="X547" s="876"/>
      <c r="Y547" s="876"/>
      <c r="Z547" s="876"/>
      <c r="AA547" s="876"/>
      <c r="AB547" s="876"/>
      <c r="AC547" s="876"/>
      <c r="AD547" s="876"/>
      <c r="AE547" s="876"/>
      <c r="AF547" s="876"/>
      <c r="AG547" s="876"/>
      <c r="AH547" s="876"/>
      <c r="AI547" s="878"/>
      <c r="AJ547" s="880"/>
      <c r="AK547" s="880"/>
      <c r="AL547" s="880"/>
      <c r="AM547" s="880"/>
      <c r="AN547" s="880"/>
      <c r="AO547" s="880"/>
      <c r="AP547" s="880"/>
      <c r="AQ547" s="880"/>
      <c r="AR547" s="880"/>
      <c r="AS547" s="880"/>
      <c r="AT547" s="880"/>
      <c r="AU547" s="880"/>
      <c r="AV547" s="880"/>
      <c r="AW547" s="881"/>
      <c r="AX547" s="863"/>
      <c r="AY547" s="863"/>
      <c r="AZ547" s="863"/>
      <c r="BA547" s="863"/>
      <c r="BB547" s="863"/>
      <c r="BC547" s="863"/>
      <c r="BD547" s="863"/>
      <c r="BE547" s="863"/>
      <c r="BF547" s="863"/>
      <c r="BG547" s="863"/>
      <c r="BH547" s="863"/>
      <c r="BI547" s="863"/>
      <c r="BJ547" s="863"/>
      <c r="BK547" s="863"/>
      <c r="BL547" s="863"/>
      <c r="BM547" s="863"/>
      <c r="BN547" s="863"/>
      <c r="BO547" s="863"/>
      <c r="BP547" s="880"/>
      <c r="BQ547" s="863"/>
      <c r="BR547" s="883"/>
      <c r="BS547" s="883"/>
      <c r="BT547" s="883"/>
      <c r="BU547" s="883"/>
      <c r="BV547" s="883"/>
      <c r="BW547" s="883"/>
      <c r="BX547" s="883"/>
      <c r="BY547" s="883"/>
      <c r="BZ547" s="883"/>
      <c r="CA547" s="883"/>
      <c r="CB547" s="883"/>
      <c r="CC547" s="883"/>
      <c r="CD547" s="884"/>
      <c r="CE547" s="883"/>
      <c r="CF547" s="883"/>
      <c r="CG547" s="883"/>
      <c r="CH547" s="883"/>
      <c r="CI547" s="883"/>
      <c r="CJ547" s="883"/>
      <c r="CK547" s="883"/>
      <c r="CL547" s="883"/>
      <c r="CM547" s="883"/>
      <c r="CN547" s="883"/>
      <c r="CO547" s="883"/>
      <c r="CP547" s="883"/>
      <c r="CQ547" s="883"/>
      <c r="CR547" s="883"/>
      <c r="CS547" s="883"/>
      <c r="CT547" s="883"/>
      <c r="CU547" s="883"/>
      <c r="CV547" s="863"/>
      <c r="CW547" s="863"/>
      <c r="CX547" s="863"/>
      <c r="CY547" s="863"/>
      <c r="CZ547" s="863"/>
      <c r="DA547" s="863"/>
      <c r="DB547" s="863"/>
      <c r="DC547" s="863"/>
      <c r="DD547" s="863"/>
      <c r="DE547" s="863"/>
    </row>
    <row r="548">
      <c r="A548" s="876"/>
      <c r="B548" s="876"/>
      <c r="C548" s="876"/>
      <c r="D548" s="876"/>
      <c r="E548" s="876"/>
      <c r="F548" s="876"/>
      <c r="G548" s="876"/>
      <c r="H548" s="876"/>
      <c r="I548" s="876"/>
      <c r="J548" s="876"/>
      <c r="K548" s="876"/>
      <c r="L548" s="876"/>
      <c r="M548" s="876"/>
      <c r="N548" s="877"/>
      <c r="O548" s="876"/>
      <c r="P548" s="876"/>
      <c r="Q548" s="876"/>
      <c r="R548" s="876"/>
      <c r="S548" s="876"/>
      <c r="T548" s="876"/>
      <c r="U548" s="876"/>
      <c r="V548" s="876"/>
      <c r="W548" s="876"/>
      <c r="X548" s="876"/>
      <c r="Y548" s="876"/>
      <c r="Z548" s="876"/>
      <c r="AA548" s="876"/>
      <c r="AB548" s="876"/>
      <c r="AC548" s="876"/>
      <c r="AD548" s="876"/>
      <c r="AE548" s="876"/>
      <c r="AF548" s="876"/>
      <c r="AG548" s="876"/>
      <c r="AH548" s="876"/>
      <c r="AI548" s="878"/>
      <c r="AJ548" s="880"/>
      <c r="AK548" s="880"/>
      <c r="AL548" s="880"/>
      <c r="AM548" s="880"/>
      <c r="AN548" s="880"/>
      <c r="AO548" s="880"/>
      <c r="AP548" s="880"/>
      <c r="AQ548" s="880"/>
      <c r="AR548" s="880"/>
      <c r="AS548" s="880"/>
      <c r="AT548" s="880"/>
      <c r="AU548" s="880"/>
      <c r="AV548" s="880"/>
      <c r="AW548" s="881"/>
      <c r="AX548" s="863"/>
      <c r="AY548" s="863"/>
      <c r="AZ548" s="863"/>
      <c r="BA548" s="863"/>
      <c r="BB548" s="863"/>
      <c r="BC548" s="863"/>
      <c r="BD548" s="863"/>
      <c r="BE548" s="863"/>
      <c r="BF548" s="863"/>
      <c r="BG548" s="863"/>
      <c r="BH548" s="863"/>
      <c r="BI548" s="863"/>
      <c r="BJ548" s="863"/>
      <c r="BK548" s="863"/>
      <c r="BL548" s="863"/>
      <c r="BM548" s="863"/>
      <c r="BN548" s="863"/>
      <c r="BO548" s="863"/>
      <c r="BP548" s="880"/>
      <c r="BQ548" s="863"/>
      <c r="BR548" s="883"/>
      <c r="BS548" s="883"/>
      <c r="BT548" s="883"/>
      <c r="BU548" s="883"/>
      <c r="BV548" s="883"/>
      <c r="BW548" s="883"/>
      <c r="BX548" s="883"/>
      <c r="BY548" s="883"/>
      <c r="BZ548" s="883"/>
      <c r="CA548" s="883"/>
      <c r="CB548" s="883"/>
      <c r="CC548" s="883"/>
      <c r="CD548" s="884"/>
      <c r="CE548" s="883"/>
      <c r="CF548" s="883"/>
      <c r="CG548" s="883"/>
      <c r="CH548" s="883"/>
      <c r="CI548" s="883"/>
      <c r="CJ548" s="883"/>
      <c r="CK548" s="883"/>
      <c r="CL548" s="883"/>
      <c r="CM548" s="883"/>
      <c r="CN548" s="883"/>
      <c r="CO548" s="883"/>
      <c r="CP548" s="883"/>
      <c r="CQ548" s="883"/>
      <c r="CR548" s="883"/>
      <c r="CS548" s="883"/>
      <c r="CT548" s="883"/>
      <c r="CU548" s="883"/>
      <c r="CV548" s="863"/>
      <c r="CW548" s="863"/>
      <c r="CX548" s="863"/>
      <c r="CY548" s="863"/>
      <c r="CZ548" s="863"/>
      <c r="DA548" s="863"/>
      <c r="DB548" s="863"/>
      <c r="DC548" s="863"/>
      <c r="DD548" s="863"/>
      <c r="DE548" s="863"/>
    </row>
    <row r="549">
      <c r="A549" s="876"/>
      <c r="B549" s="876"/>
      <c r="C549" s="876"/>
      <c r="D549" s="876"/>
      <c r="E549" s="876"/>
      <c r="F549" s="876"/>
      <c r="G549" s="876"/>
      <c r="H549" s="876"/>
      <c r="I549" s="876"/>
      <c r="J549" s="876"/>
      <c r="K549" s="876"/>
      <c r="L549" s="876"/>
      <c r="M549" s="876"/>
      <c r="N549" s="877"/>
      <c r="O549" s="876"/>
      <c r="P549" s="876"/>
      <c r="Q549" s="876"/>
      <c r="R549" s="876"/>
      <c r="S549" s="876"/>
      <c r="T549" s="876"/>
      <c r="U549" s="876"/>
      <c r="V549" s="876"/>
      <c r="W549" s="876"/>
      <c r="X549" s="876"/>
      <c r="Y549" s="876"/>
      <c r="Z549" s="876"/>
      <c r="AA549" s="876"/>
      <c r="AB549" s="876"/>
      <c r="AC549" s="876"/>
      <c r="AD549" s="876"/>
      <c r="AE549" s="876"/>
      <c r="AF549" s="876"/>
      <c r="AG549" s="876"/>
      <c r="AH549" s="876"/>
      <c r="AI549" s="878"/>
      <c r="AJ549" s="880"/>
      <c r="AK549" s="880"/>
      <c r="AL549" s="880"/>
      <c r="AM549" s="880"/>
      <c r="AN549" s="880"/>
      <c r="AO549" s="880"/>
      <c r="AP549" s="880"/>
      <c r="AQ549" s="880"/>
      <c r="AR549" s="880"/>
      <c r="AS549" s="880"/>
      <c r="AT549" s="880"/>
      <c r="AU549" s="880"/>
      <c r="AV549" s="880"/>
      <c r="AW549" s="881"/>
      <c r="AX549" s="863"/>
      <c r="AY549" s="863"/>
      <c r="AZ549" s="863"/>
      <c r="BA549" s="863"/>
      <c r="BB549" s="863"/>
      <c r="BC549" s="863"/>
      <c r="BD549" s="863"/>
      <c r="BE549" s="863"/>
      <c r="BF549" s="863"/>
      <c r="BG549" s="863"/>
      <c r="BH549" s="863"/>
      <c r="BI549" s="863"/>
      <c r="BJ549" s="863"/>
      <c r="BK549" s="863"/>
      <c r="BL549" s="863"/>
      <c r="BM549" s="863"/>
      <c r="BN549" s="863"/>
      <c r="BO549" s="863"/>
      <c r="BP549" s="880"/>
      <c r="BQ549" s="863"/>
      <c r="BR549" s="883"/>
      <c r="BS549" s="883"/>
      <c r="BT549" s="883"/>
      <c r="BU549" s="883"/>
      <c r="BV549" s="883"/>
      <c r="BW549" s="883"/>
      <c r="BX549" s="883"/>
      <c r="BY549" s="883"/>
      <c r="BZ549" s="883"/>
      <c r="CA549" s="883"/>
      <c r="CB549" s="883"/>
      <c r="CC549" s="883"/>
      <c r="CD549" s="884"/>
      <c r="CE549" s="883"/>
      <c r="CF549" s="883"/>
      <c r="CG549" s="883"/>
      <c r="CH549" s="883"/>
      <c r="CI549" s="883"/>
      <c r="CJ549" s="883"/>
      <c r="CK549" s="883"/>
      <c r="CL549" s="883"/>
      <c r="CM549" s="883"/>
      <c r="CN549" s="883"/>
      <c r="CO549" s="883"/>
      <c r="CP549" s="883"/>
      <c r="CQ549" s="883"/>
      <c r="CR549" s="883"/>
      <c r="CS549" s="883"/>
      <c r="CT549" s="883"/>
      <c r="CU549" s="883"/>
      <c r="CV549" s="863"/>
      <c r="CW549" s="863"/>
      <c r="CX549" s="863"/>
      <c r="CY549" s="863"/>
      <c r="CZ549" s="863"/>
      <c r="DA549" s="863"/>
      <c r="DB549" s="863"/>
      <c r="DC549" s="863"/>
      <c r="DD549" s="863"/>
      <c r="DE549" s="863"/>
    </row>
    <row r="550">
      <c r="A550" s="876"/>
      <c r="B550" s="876"/>
      <c r="C550" s="876"/>
      <c r="D550" s="876"/>
      <c r="E550" s="876"/>
      <c r="F550" s="876"/>
      <c r="G550" s="876"/>
      <c r="H550" s="876"/>
      <c r="I550" s="876"/>
      <c r="J550" s="876"/>
      <c r="K550" s="876"/>
      <c r="L550" s="876"/>
      <c r="M550" s="876"/>
      <c r="N550" s="877"/>
      <c r="O550" s="876"/>
      <c r="P550" s="876"/>
      <c r="Q550" s="876"/>
      <c r="R550" s="876"/>
      <c r="S550" s="876"/>
      <c r="T550" s="876"/>
      <c r="U550" s="876"/>
      <c r="V550" s="876"/>
      <c r="W550" s="876"/>
      <c r="X550" s="876"/>
      <c r="Y550" s="876"/>
      <c r="Z550" s="876"/>
      <c r="AA550" s="876"/>
      <c r="AB550" s="876"/>
      <c r="AC550" s="876"/>
      <c r="AD550" s="876"/>
      <c r="AE550" s="876"/>
      <c r="AF550" s="876"/>
      <c r="AG550" s="876"/>
      <c r="AH550" s="876"/>
      <c r="AI550" s="878"/>
      <c r="AJ550" s="880"/>
      <c r="AK550" s="880"/>
      <c r="AL550" s="880"/>
      <c r="AM550" s="880"/>
      <c r="AN550" s="880"/>
      <c r="AO550" s="880"/>
      <c r="AP550" s="880"/>
      <c r="AQ550" s="880"/>
      <c r="AR550" s="880"/>
      <c r="AS550" s="880"/>
      <c r="AT550" s="880"/>
      <c r="AU550" s="880"/>
      <c r="AV550" s="880"/>
      <c r="AW550" s="881"/>
      <c r="AX550" s="863"/>
      <c r="AY550" s="863"/>
      <c r="AZ550" s="863"/>
      <c r="BA550" s="863"/>
      <c r="BB550" s="863"/>
      <c r="BC550" s="863"/>
      <c r="BD550" s="863"/>
      <c r="BE550" s="863"/>
      <c r="BF550" s="863"/>
      <c r="BG550" s="863"/>
      <c r="BH550" s="863"/>
      <c r="BI550" s="863"/>
      <c r="BJ550" s="863"/>
      <c r="BK550" s="863"/>
      <c r="BL550" s="863"/>
      <c r="BM550" s="863"/>
      <c r="BN550" s="863"/>
      <c r="BO550" s="863"/>
      <c r="BP550" s="880"/>
      <c r="BQ550" s="863"/>
      <c r="BR550" s="883"/>
      <c r="BS550" s="883"/>
      <c r="BT550" s="883"/>
      <c r="BU550" s="883"/>
      <c r="BV550" s="883"/>
      <c r="BW550" s="883"/>
      <c r="BX550" s="883"/>
      <c r="BY550" s="883"/>
      <c r="BZ550" s="883"/>
      <c r="CA550" s="883"/>
      <c r="CB550" s="883"/>
      <c r="CC550" s="883"/>
      <c r="CD550" s="884"/>
      <c r="CE550" s="883"/>
      <c r="CF550" s="883"/>
      <c r="CG550" s="883"/>
      <c r="CH550" s="883"/>
      <c r="CI550" s="883"/>
      <c r="CJ550" s="883"/>
      <c r="CK550" s="883"/>
      <c r="CL550" s="883"/>
      <c r="CM550" s="883"/>
      <c r="CN550" s="883"/>
      <c r="CO550" s="883"/>
      <c r="CP550" s="883"/>
      <c r="CQ550" s="883"/>
      <c r="CR550" s="883"/>
      <c r="CS550" s="883"/>
      <c r="CT550" s="883"/>
      <c r="CU550" s="883"/>
      <c r="CV550" s="863"/>
      <c r="CW550" s="863"/>
      <c r="CX550" s="863"/>
      <c r="CY550" s="863"/>
      <c r="CZ550" s="863"/>
      <c r="DA550" s="863"/>
      <c r="DB550" s="863"/>
      <c r="DC550" s="863"/>
      <c r="DD550" s="863"/>
      <c r="DE550" s="863"/>
    </row>
    <row r="551">
      <c r="A551" s="876"/>
      <c r="B551" s="876"/>
      <c r="C551" s="876"/>
      <c r="D551" s="876"/>
      <c r="E551" s="876"/>
      <c r="F551" s="876"/>
      <c r="G551" s="876"/>
      <c r="H551" s="876"/>
      <c r="I551" s="876"/>
      <c r="J551" s="876"/>
      <c r="K551" s="876"/>
      <c r="L551" s="876"/>
      <c r="M551" s="876"/>
      <c r="N551" s="877"/>
      <c r="O551" s="876"/>
      <c r="P551" s="876"/>
      <c r="Q551" s="876"/>
      <c r="R551" s="876"/>
      <c r="S551" s="876"/>
      <c r="T551" s="876"/>
      <c r="U551" s="876"/>
      <c r="V551" s="876"/>
      <c r="W551" s="876"/>
      <c r="X551" s="876"/>
      <c r="Y551" s="876"/>
      <c r="Z551" s="876"/>
      <c r="AA551" s="876"/>
      <c r="AB551" s="876"/>
      <c r="AC551" s="876"/>
      <c r="AD551" s="876"/>
      <c r="AE551" s="876"/>
      <c r="AF551" s="876"/>
      <c r="AG551" s="876"/>
      <c r="AH551" s="876"/>
      <c r="AI551" s="878"/>
      <c r="AJ551" s="880"/>
      <c r="AK551" s="880"/>
      <c r="AL551" s="880"/>
      <c r="AM551" s="880"/>
      <c r="AN551" s="880"/>
      <c r="AO551" s="880"/>
      <c r="AP551" s="880"/>
      <c r="AQ551" s="880"/>
      <c r="AR551" s="880"/>
      <c r="AS551" s="880"/>
      <c r="AT551" s="880"/>
      <c r="AU551" s="880"/>
      <c r="AV551" s="880"/>
      <c r="AW551" s="881"/>
      <c r="AX551" s="863"/>
      <c r="AY551" s="863"/>
      <c r="AZ551" s="863"/>
      <c r="BA551" s="863"/>
      <c r="BB551" s="863"/>
      <c r="BC551" s="863"/>
      <c r="BD551" s="863"/>
      <c r="BE551" s="863"/>
      <c r="BF551" s="863"/>
      <c r="BG551" s="863"/>
      <c r="BH551" s="863"/>
      <c r="BI551" s="863"/>
      <c r="BJ551" s="863"/>
      <c r="BK551" s="863"/>
      <c r="BL551" s="863"/>
      <c r="BM551" s="863"/>
      <c r="BN551" s="863"/>
      <c r="BO551" s="863"/>
      <c r="BP551" s="880"/>
      <c r="BQ551" s="863"/>
      <c r="BR551" s="883"/>
      <c r="BS551" s="883"/>
      <c r="BT551" s="883"/>
      <c r="BU551" s="883"/>
      <c r="BV551" s="883"/>
      <c r="BW551" s="883"/>
      <c r="BX551" s="883"/>
      <c r="BY551" s="883"/>
      <c r="BZ551" s="883"/>
      <c r="CA551" s="883"/>
      <c r="CB551" s="883"/>
      <c r="CC551" s="883"/>
      <c r="CD551" s="884"/>
      <c r="CE551" s="883"/>
      <c r="CF551" s="883"/>
      <c r="CG551" s="883"/>
      <c r="CH551" s="883"/>
      <c r="CI551" s="883"/>
      <c r="CJ551" s="883"/>
      <c r="CK551" s="883"/>
      <c r="CL551" s="883"/>
      <c r="CM551" s="883"/>
      <c r="CN551" s="883"/>
      <c r="CO551" s="883"/>
      <c r="CP551" s="883"/>
      <c r="CQ551" s="883"/>
      <c r="CR551" s="883"/>
      <c r="CS551" s="883"/>
      <c r="CT551" s="883"/>
      <c r="CU551" s="883"/>
      <c r="CV551" s="863"/>
      <c r="CW551" s="863"/>
      <c r="CX551" s="863"/>
      <c r="CY551" s="863"/>
      <c r="CZ551" s="863"/>
      <c r="DA551" s="863"/>
      <c r="DB551" s="863"/>
      <c r="DC551" s="863"/>
      <c r="DD551" s="863"/>
      <c r="DE551" s="863"/>
    </row>
    <row r="552">
      <c r="A552" s="876"/>
      <c r="B552" s="876"/>
      <c r="C552" s="876"/>
      <c r="D552" s="876"/>
      <c r="E552" s="876"/>
      <c r="F552" s="876"/>
      <c r="G552" s="876"/>
      <c r="H552" s="876"/>
      <c r="I552" s="876"/>
      <c r="J552" s="876"/>
      <c r="K552" s="876"/>
      <c r="L552" s="876"/>
      <c r="M552" s="876"/>
      <c r="N552" s="877"/>
      <c r="O552" s="876"/>
      <c r="P552" s="876"/>
      <c r="Q552" s="876"/>
      <c r="R552" s="876"/>
      <c r="S552" s="876"/>
      <c r="T552" s="876"/>
      <c r="U552" s="876"/>
      <c r="V552" s="876"/>
      <c r="W552" s="876"/>
      <c r="X552" s="876"/>
      <c r="Y552" s="876"/>
      <c r="Z552" s="876"/>
      <c r="AA552" s="876"/>
      <c r="AB552" s="876"/>
      <c r="AC552" s="876"/>
      <c r="AD552" s="876"/>
      <c r="AE552" s="876"/>
      <c r="AF552" s="876"/>
      <c r="AG552" s="876"/>
      <c r="AH552" s="876"/>
      <c r="AI552" s="878"/>
      <c r="AJ552" s="880"/>
      <c r="AK552" s="880"/>
      <c r="AL552" s="880"/>
      <c r="AM552" s="880"/>
      <c r="AN552" s="880"/>
      <c r="AO552" s="880"/>
      <c r="AP552" s="880"/>
      <c r="AQ552" s="880"/>
      <c r="AR552" s="880"/>
      <c r="AS552" s="880"/>
      <c r="AT552" s="880"/>
      <c r="AU552" s="880"/>
      <c r="AV552" s="880"/>
      <c r="AW552" s="881"/>
      <c r="AX552" s="863"/>
      <c r="AY552" s="863"/>
      <c r="AZ552" s="863"/>
      <c r="BA552" s="863"/>
      <c r="BB552" s="863"/>
      <c r="BC552" s="863"/>
      <c r="BD552" s="863"/>
      <c r="BE552" s="863"/>
      <c r="BF552" s="863"/>
      <c r="BG552" s="863"/>
      <c r="BH552" s="863"/>
      <c r="BI552" s="863"/>
      <c r="BJ552" s="863"/>
      <c r="BK552" s="863"/>
      <c r="BL552" s="863"/>
      <c r="BM552" s="863"/>
      <c r="BN552" s="863"/>
      <c r="BO552" s="863"/>
      <c r="BP552" s="880"/>
      <c r="BQ552" s="863"/>
      <c r="BR552" s="883"/>
      <c r="BS552" s="883"/>
      <c r="BT552" s="883"/>
      <c r="BU552" s="883"/>
      <c r="BV552" s="883"/>
      <c r="BW552" s="883"/>
      <c r="BX552" s="883"/>
      <c r="BY552" s="883"/>
      <c r="BZ552" s="883"/>
      <c r="CA552" s="883"/>
      <c r="CB552" s="883"/>
      <c r="CC552" s="883"/>
      <c r="CD552" s="884"/>
      <c r="CE552" s="883"/>
      <c r="CF552" s="883"/>
      <c r="CG552" s="883"/>
      <c r="CH552" s="883"/>
      <c r="CI552" s="883"/>
      <c r="CJ552" s="883"/>
      <c r="CK552" s="883"/>
      <c r="CL552" s="883"/>
      <c r="CM552" s="883"/>
      <c r="CN552" s="883"/>
      <c r="CO552" s="883"/>
      <c r="CP552" s="883"/>
      <c r="CQ552" s="883"/>
      <c r="CR552" s="883"/>
      <c r="CS552" s="883"/>
      <c r="CT552" s="883"/>
      <c r="CU552" s="883"/>
      <c r="CV552" s="863"/>
      <c r="CW552" s="863"/>
      <c r="CX552" s="863"/>
      <c r="CY552" s="863"/>
      <c r="CZ552" s="863"/>
      <c r="DA552" s="863"/>
      <c r="DB552" s="863"/>
      <c r="DC552" s="863"/>
      <c r="DD552" s="863"/>
      <c r="DE552" s="863"/>
    </row>
    <row r="553">
      <c r="A553" s="876"/>
      <c r="B553" s="876"/>
      <c r="C553" s="876"/>
      <c r="D553" s="876"/>
      <c r="E553" s="876"/>
      <c r="F553" s="876"/>
      <c r="G553" s="876"/>
      <c r="H553" s="876"/>
      <c r="I553" s="876"/>
      <c r="J553" s="876"/>
      <c r="K553" s="876"/>
      <c r="L553" s="876"/>
      <c r="M553" s="876"/>
      <c r="N553" s="877"/>
      <c r="O553" s="876"/>
      <c r="P553" s="876"/>
      <c r="Q553" s="876"/>
      <c r="R553" s="876"/>
      <c r="S553" s="876"/>
      <c r="T553" s="876"/>
      <c r="U553" s="876"/>
      <c r="V553" s="876"/>
      <c r="W553" s="876"/>
      <c r="X553" s="876"/>
      <c r="Y553" s="876"/>
      <c r="Z553" s="876"/>
      <c r="AA553" s="876"/>
      <c r="AB553" s="876"/>
      <c r="AC553" s="876"/>
      <c r="AD553" s="876"/>
      <c r="AE553" s="876"/>
      <c r="AF553" s="876"/>
      <c r="AG553" s="876"/>
      <c r="AH553" s="876"/>
      <c r="AI553" s="878"/>
      <c r="AJ553" s="880"/>
      <c r="AK553" s="880"/>
      <c r="AL553" s="880"/>
      <c r="AM553" s="880"/>
      <c r="AN553" s="880"/>
      <c r="AO553" s="880"/>
      <c r="AP553" s="880"/>
      <c r="AQ553" s="880"/>
      <c r="AR553" s="880"/>
      <c r="AS553" s="880"/>
      <c r="AT553" s="880"/>
      <c r="AU553" s="880"/>
      <c r="AV553" s="880"/>
      <c r="AW553" s="881"/>
      <c r="AX553" s="863"/>
      <c r="AY553" s="863"/>
      <c r="AZ553" s="863"/>
      <c r="BA553" s="863"/>
      <c r="BB553" s="863"/>
      <c r="BC553" s="863"/>
      <c r="BD553" s="863"/>
      <c r="BE553" s="863"/>
      <c r="BF553" s="863"/>
      <c r="BG553" s="863"/>
      <c r="BH553" s="863"/>
      <c r="BI553" s="863"/>
      <c r="BJ553" s="863"/>
      <c r="BK553" s="863"/>
      <c r="BL553" s="863"/>
      <c r="BM553" s="863"/>
      <c r="BN553" s="863"/>
      <c r="BO553" s="863"/>
      <c r="BP553" s="880"/>
      <c r="BQ553" s="863"/>
      <c r="BR553" s="883"/>
      <c r="BS553" s="883"/>
      <c r="BT553" s="883"/>
      <c r="BU553" s="883"/>
      <c r="BV553" s="883"/>
      <c r="BW553" s="883"/>
      <c r="BX553" s="883"/>
      <c r="BY553" s="883"/>
      <c r="BZ553" s="883"/>
      <c r="CA553" s="883"/>
      <c r="CB553" s="883"/>
      <c r="CC553" s="883"/>
      <c r="CD553" s="884"/>
      <c r="CE553" s="883"/>
      <c r="CF553" s="883"/>
      <c r="CG553" s="883"/>
      <c r="CH553" s="883"/>
      <c r="CI553" s="883"/>
      <c r="CJ553" s="883"/>
      <c r="CK553" s="883"/>
      <c r="CL553" s="883"/>
      <c r="CM553" s="883"/>
      <c r="CN553" s="883"/>
      <c r="CO553" s="883"/>
      <c r="CP553" s="883"/>
      <c r="CQ553" s="883"/>
      <c r="CR553" s="883"/>
      <c r="CS553" s="883"/>
      <c r="CT553" s="883"/>
      <c r="CU553" s="883"/>
      <c r="CV553" s="863"/>
      <c r="CW553" s="863"/>
      <c r="CX553" s="863"/>
      <c r="CY553" s="863"/>
      <c r="CZ553" s="863"/>
      <c r="DA553" s="863"/>
      <c r="DB553" s="863"/>
      <c r="DC553" s="863"/>
      <c r="DD553" s="863"/>
      <c r="DE553" s="863"/>
    </row>
    <row r="554">
      <c r="A554" s="876"/>
      <c r="B554" s="876"/>
      <c r="C554" s="876"/>
      <c r="D554" s="876"/>
      <c r="E554" s="876"/>
      <c r="F554" s="876"/>
      <c r="G554" s="876"/>
      <c r="H554" s="876"/>
      <c r="I554" s="876"/>
      <c r="J554" s="876"/>
      <c r="K554" s="876"/>
      <c r="L554" s="876"/>
      <c r="M554" s="876"/>
      <c r="N554" s="877"/>
      <c r="O554" s="876"/>
      <c r="P554" s="876"/>
      <c r="Q554" s="876"/>
      <c r="R554" s="876"/>
      <c r="S554" s="876"/>
      <c r="T554" s="876"/>
      <c r="U554" s="876"/>
      <c r="V554" s="876"/>
      <c r="W554" s="876"/>
      <c r="X554" s="876"/>
      <c r="Y554" s="876"/>
      <c r="Z554" s="876"/>
      <c r="AA554" s="876"/>
      <c r="AB554" s="876"/>
      <c r="AC554" s="876"/>
      <c r="AD554" s="876"/>
      <c r="AE554" s="876"/>
      <c r="AF554" s="876"/>
      <c r="AG554" s="876"/>
      <c r="AH554" s="876"/>
      <c r="AI554" s="878"/>
      <c r="AJ554" s="880"/>
      <c r="AK554" s="880"/>
      <c r="AL554" s="880"/>
      <c r="AM554" s="880"/>
      <c r="AN554" s="880"/>
      <c r="AO554" s="880"/>
      <c r="AP554" s="880"/>
      <c r="AQ554" s="880"/>
      <c r="AR554" s="880"/>
      <c r="AS554" s="880"/>
      <c r="AT554" s="880"/>
      <c r="AU554" s="880"/>
      <c r="AV554" s="880"/>
      <c r="AW554" s="881"/>
      <c r="AX554" s="863"/>
      <c r="AY554" s="863"/>
      <c r="AZ554" s="863"/>
      <c r="BA554" s="863"/>
      <c r="BB554" s="863"/>
      <c r="BC554" s="863"/>
      <c r="BD554" s="863"/>
      <c r="BE554" s="863"/>
      <c r="BF554" s="863"/>
      <c r="BG554" s="863"/>
      <c r="BH554" s="863"/>
      <c r="BI554" s="863"/>
      <c r="BJ554" s="863"/>
      <c r="BK554" s="863"/>
      <c r="BL554" s="863"/>
      <c r="BM554" s="863"/>
      <c r="BN554" s="863"/>
      <c r="BO554" s="863"/>
      <c r="BP554" s="880"/>
      <c r="BQ554" s="863"/>
      <c r="BR554" s="883"/>
      <c r="BS554" s="883"/>
      <c r="BT554" s="883"/>
      <c r="BU554" s="883"/>
      <c r="BV554" s="883"/>
      <c r="BW554" s="883"/>
      <c r="BX554" s="883"/>
      <c r="BY554" s="883"/>
      <c r="BZ554" s="883"/>
      <c r="CA554" s="883"/>
      <c r="CB554" s="883"/>
      <c r="CC554" s="883"/>
      <c r="CD554" s="884"/>
      <c r="CE554" s="883"/>
      <c r="CF554" s="883"/>
      <c r="CG554" s="883"/>
      <c r="CH554" s="883"/>
      <c r="CI554" s="883"/>
      <c r="CJ554" s="883"/>
      <c r="CK554" s="883"/>
      <c r="CL554" s="883"/>
      <c r="CM554" s="883"/>
      <c r="CN554" s="883"/>
      <c r="CO554" s="883"/>
      <c r="CP554" s="883"/>
      <c r="CQ554" s="883"/>
      <c r="CR554" s="883"/>
      <c r="CS554" s="883"/>
      <c r="CT554" s="883"/>
      <c r="CU554" s="883"/>
      <c r="CV554" s="863"/>
      <c r="CW554" s="863"/>
      <c r="CX554" s="863"/>
      <c r="CY554" s="863"/>
      <c r="CZ554" s="863"/>
      <c r="DA554" s="863"/>
      <c r="DB554" s="863"/>
      <c r="DC554" s="863"/>
      <c r="DD554" s="863"/>
      <c r="DE554" s="863"/>
    </row>
    <row r="555">
      <c r="A555" s="876"/>
      <c r="B555" s="876"/>
      <c r="C555" s="876"/>
      <c r="D555" s="876"/>
      <c r="E555" s="876"/>
      <c r="F555" s="876"/>
      <c r="G555" s="876"/>
      <c r="H555" s="876"/>
      <c r="I555" s="876"/>
      <c r="J555" s="876"/>
      <c r="K555" s="876"/>
      <c r="L555" s="876"/>
      <c r="M555" s="876"/>
      <c r="N555" s="877"/>
      <c r="O555" s="876"/>
      <c r="P555" s="876"/>
      <c r="Q555" s="876"/>
      <c r="R555" s="876"/>
      <c r="S555" s="876"/>
      <c r="T555" s="876"/>
      <c r="U555" s="876"/>
      <c r="V555" s="876"/>
      <c r="W555" s="876"/>
      <c r="X555" s="876"/>
      <c r="Y555" s="876"/>
      <c r="Z555" s="876"/>
      <c r="AA555" s="876"/>
      <c r="AB555" s="876"/>
      <c r="AC555" s="876"/>
      <c r="AD555" s="876"/>
      <c r="AE555" s="876"/>
      <c r="AF555" s="876"/>
      <c r="AG555" s="876"/>
      <c r="AH555" s="876"/>
      <c r="AI555" s="878"/>
      <c r="AJ555" s="880"/>
      <c r="AK555" s="880"/>
      <c r="AL555" s="880"/>
      <c r="AM555" s="880"/>
      <c r="AN555" s="880"/>
      <c r="AO555" s="880"/>
      <c r="AP555" s="880"/>
      <c r="AQ555" s="880"/>
      <c r="AR555" s="880"/>
      <c r="AS555" s="880"/>
      <c r="AT555" s="880"/>
      <c r="AU555" s="880"/>
      <c r="AV555" s="880"/>
      <c r="AW555" s="881"/>
      <c r="AX555" s="863"/>
      <c r="AY555" s="863"/>
      <c r="AZ555" s="863"/>
      <c r="BA555" s="863"/>
      <c r="BB555" s="863"/>
      <c r="BC555" s="863"/>
      <c r="BD555" s="863"/>
      <c r="BE555" s="863"/>
      <c r="BF555" s="863"/>
      <c r="BG555" s="863"/>
      <c r="BH555" s="863"/>
      <c r="BI555" s="863"/>
      <c r="BJ555" s="863"/>
      <c r="BK555" s="863"/>
      <c r="BL555" s="863"/>
      <c r="BM555" s="863"/>
      <c r="BN555" s="863"/>
      <c r="BO555" s="863"/>
      <c r="BP555" s="880"/>
      <c r="BQ555" s="863"/>
      <c r="BR555" s="883"/>
      <c r="BS555" s="883"/>
      <c r="BT555" s="883"/>
      <c r="BU555" s="883"/>
      <c r="BV555" s="883"/>
      <c r="BW555" s="883"/>
      <c r="BX555" s="883"/>
      <c r="BY555" s="883"/>
      <c r="BZ555" s="883"/>
      <c r="CA555" s="883"/>
      <c r="CB555" s="883"/>
      <c r="CC555" s="883"/>
      <c r="CD555" s="884"/>
      <c r="CE555" s="883"/>
      <c r="CF555" s="883"/>
      <c r="CG555" s="883"/>
      <c r="CH555" s="883"/>
      <c r="CI555" s="883"/>
      <c r="CJ555" s="883"/>
      <c r="CK555" s="883"/>
      <c r="CL555" s="883"/>
      <c r="CM555" s="883"/>
      <c r="CN555" s="883"/>
      <c r="CO555" s="883"/>
      <c r="CP555" s="883"/>
      <c r="CQ555" s="883"/>
      <c r="CR555" s="883"/>
      <c r="CS555" s="883"/>
      <c r="CT555" s="883"/>
      <c r="CU555" s="883"/>
      <c r="CV555" s="863"/>
      <c r="CW555" s="863"/>
      <c r="CX555" s="863"/>
      <c r="CY555" s="863"/>
      <c r="CZ555" s="863"/>
      <c r="DA555" s="863"/>
      <c r="DB555" s="863"/>
      <c r="DC555" s="863"/>
      <c r="DD555" s="863"/>
      <c r="DE555" s="863"/>
    </row>
    <row r="556">
      <c r="A556" s="876"/>
      <c r="B556" s="876"/>
      <c r="C556" s="876"/>
      <c r="D556" s="876"/>
      <c r="E556" s="876"/>
      <c r="F556" s="876"/>
      <c r="G556" s="876"/>
      <c r="H556" s="876"/>
      <c r="I556" s="876"/>
      <c r="J556" s="876"/>
      <c r="K556" s="876"/>
      <c r="L556" s="876"/>
      <c r="M556" s="876"/>
      <c r="N556" s="877"/>
      <c r="O556" s="876"/>
      <c r="P556" s="876"/>
      <c r="Q556" s="876"/>
      <c r="R556" s="876"/>
      <c r="S556" s="876"/>
      <c r="T556" s="876"/>
      <c r="U556" s="876"/>
      <c r="V556" s="876"/>
      <c r="W556" s="876"/>
      <c r="X556" s="876"/>
      <c r="Y556" s="876"/>
      <c r="Z556" s="876"/>
      <c r="AA556" s="876"/>
      <c r="AB556" s="876"/>
      <c r="AC556" s="876"/>
      <c r="AD556" s="876"/>
      <c r="AE556" s="876"/>
      <c r="AF556" s="876"/>
      <c r="AG556" s="876"/>
      <c r="AH556" s="876"/>
      <c r="AI556" s="878"/>
      <c r="AJ556" s="880"/>
      <c r="AK556" s="880"/>
      <c r="AL556" s="880"/>
      <c r="AM556" s="880"/>
      <c r="AN556" s="880"/>
      <c r="AO556" s="880"/>
      <c r="AP556" s="880"/>
      <c r="AQ556" s="880"/>
      <c r="AR556" s="880"/>
      <c r="AS556" s="880"/>
      <c r="AT556" s="880"/>
      <c r="AU556" s="880"/>
      <c r="AV556" s="880"/>
      <c r="AW556" s="881"/>
      <c r="AX556" s="863"/>
      <c r="AY556" s="863"/>
      <c r="AZ556" s="863"/>
      <c r="BA556" s="863"/>
      <c r="BB556" s="863"/>
      <c r="BC556" s="863"/>
      <c r="BD556" s="863"/>
      <c r="BE556" s="863"/>
      <c r="BF556" s="863"/>
      <c r="BG556" s="863"/>
      <c r="BH556" s="863"/>
      <c r="BI556" s="863"/>
      <c r="BJ556" s="863"/>
      <c r="BK556" s="863"/>
      <c r="BL556" s="863"/>
      <c r="BM556" s="863"/>
      <c r="BN556" s="863"/>
      <c r="BO556" s="863"/>
      <c r="BP556" s="880"/>
      <c r="BQ556" s="863"/>
      <c r="BR556" s="883"/>
      <c r="BS556" s="883"/>
      <c r="BT556" s="883"/>
      <c r="BU556" s="883"/>
      <c r="BV556" s="883"/>
      <c r="BW556" s="883"/>
      <c r="BX556" s="883"/>
      <c r="BY556" s="883"/>
      <c r="BZ556" s="883"/>
      <c r="CA556" s="883"/>
      <c r="CB556" s="883"/>
      <c r="CC556" s="883"/>
      <c r="CD556" s="884"/>
      <c r="CE556" s="883"/>
      <c r="CF556" s="883"/>
      <c r="CG556" s="883"/>
      <c r="CH556" s="883"/>
      <c r="CI556" s="883"/>
      <c r="CJ556" s="883"/>
      <c r="CK556" s="883"/>
      <c r="CL556" s="883"/>
      <c r="CM556" s="883"/>
      <c r="CN556" s="883"/>
      <c r="CO556" s="883"/>
      <c r="CP556" s="883"/>
      <c r="CQ556" s="883"/>
      <c r="CR556" s="883"/>
      <c r="CS556" s="883"/>
      <c r="CT556" s="883"/>
      <c r="CU556" s="883"/>
      <c r="CV556" s="863"/>
      <c r="CW556" s="863"/>
      <c r="CX556" s="863"/>
      <c r="CY556" s="863"/>
      <c r="CZ556" s="863"/>
      <c r="DA556" s="863"/>
      <c r="DB556" s="863"/>
      <c r="DC556" s="863"/>
      <c r="DD556" s="863"/>
      <c r="DE556" s="863"/>
    </row>
    <row r="557">
      <c r="A557" s="876"/>
      <c r="B557" s="876"/>
      <c r="C557" s="876"/>
      <c r="D557" s="876"/>
      <c r="E557" s="876"/>
      <c r="F557" s="876"/>
      <c r="G557" s="876"/>
      <c r="H557" s="876"/>
      <c r="I557" s="876"/>
      <c r="J557" s="876"/>
      <c r="K557" s="876"/>
      <c r="L557" s="876"/>
      <c r="M557" s="876"/>
      <c r="N557" s="877"/>
      <c r="O557" s="876"/>
      <c r="P557" s="876"/>
      <c r="Q557" s="876"/>
      <c r="R557" s="876"/>
      <c r="S557" s="876"/>
      <c r="T557" s="876"/>
      <c r="U557" s="876"/>
      <c r="V557" s="876"/>
      <c r="W557" s="876"/>
      <c r="X557" s="876"/>
      <c r="Y557" s="876"/>
      <c r="Z557" s="876"/>
      <c r="AA557" s="876"/>
      <c r="AB557" s="876"/>
      <c r="AC557" s="876"/>
      <c r="AD557" s="876"/>
      <c r="AE557" s="876"/>
      <c r="AF557" s="876"/>
      <c r="AG557" s="876"/>
      <c r="AH557" s="876"/>
      <c r="AI557" s="878"/>
      <c r="AJ557" s="880"/>
      <c r="AK557" s="880"/>
      <c r="AL557" s="880"/>
      <c r="AM557" s="880"/>
      <c r="AN557" s="880"/>
      <c r="AO557" s="880"/>
      <c r="AP557" s="880"/>
      <c r="AQ557" s="880"/>
      <c r="AR557" s="880"/>
      <c r="AS557" s="880"/>
      <c r="AT557" s="880"/>
      <c r="AU557" s="880"/>
      <c r="AV557" s="880"/>
      <c r="AW557" s="881"/>
      <c r="AX557" s="863"/>
      <c r="AY557" s="863"/>
      <c r="AZ557" s="863"/>
      <c r="BA557" s="863"/>
      <c r="BB557" s="863"/>
      <c r="BC557" s="863"/>
      <c r="BD557" s="863"/>
      <c r="BE557" s="863"/>
      <c r="BF557" s="863"/>
      <c r="BG557" s="863"/>
      <c r="BH557" s="863"/>
      <c r="BI557" s="863"/>
      <c r="BJ557" s="863"/>
      <c r="BK557" s="863"/>
      <c r="BL557" s="863"/>
      <c r="BM557" s="863"/>
      <c r="BN557" s="863"/>
      <c r="BO557" s="863"/>
      <c r="BP557" s="880"/>
      <c r="BQ557" s="863"/>
      <c r="BR557" s="883"/>
      <c r="BS557" s="883"/>
      <c r="BT557" s="883"/>
      <c r="BU557" s="883"/>
      <c r="BV557" s="883"/>
      <c r="BW557" s="883"/>
      <c r="BX557" s="883"/>
      <c r="BY557" s="883"/>
      <c r="BZ557" s="883"/>
      <c r="CA557" s="883"/>
      <c r="CB557" s="883"/>
      <c r="CC557" s="883"/>
      <c r="CD557" s="884"/>
      <c r="CE557" s="883"/>
      <c r="CF557" s="883"/>
      <c r="CG557" s="883"/>
      <c r="CH557" s="883"/>
      <c r="CI557" s="883"/>
      <c r="CJ557" s="883"/>
      <c r="CK557" s="883"/>
      <c r="CL557" s="883"/>
      <c r="CM557" s="883"/>
      <c r="CN557" s="883"/>
      <c r="CO557" s="883"/>
      <c r="CP557" s="883"/>
      <c r="CQ557" s="883"/>
      <c r="CR557" s="883"/>
      <c r="CS557" s="883"/>
      <c r="CT557" s="883"/>
      <c r="CU557" s="883"/>
      <c r="CV557" s="863"/>
      <c r="CW557" s="863"/>
      <c r="CX557" s="863"/>
      <c r="CY557" s="863"/>
      <c r="CZ557" s="863"/>
      <c r="DA557" s="863"/>
      <c r="DB557" s="863"/>
      <c r="DC557" s="863"/>
      <c r="DD557" s="863"/>
      <c r="DE557" s="863"/>
    </row>
    <row r="558">
      <c r="A558" s="876"/>
      <c r="B558" s="876"/>
      <c r="C558" s="876"/>
      <c r="D558" s="876"/>
      <c r="E558" s="876"/>
      <c r="F558" s="876"/>
      <c r="G558" s="876"/>
      <c r="H558" s="876"/>
      <c r="I558" s="876"/>
      <c r="J558" s="876"/>
      <c r="K558" s="876"/>
      <c r="L558" s="876"/>
      <c r="M558" s="876"/>
      <c r="N558" s="877"/>
      <c r="O558" s="876"/>
      <c r="P558" s="876"/>
      <c r="Q558" s="876"/>
      <c r="R558" s="876"/>
      <c r="S558" s="876"/>
      <c r="T558" s="876"/>
      <c r="U558" s="876"/>
      <c r="V558" s="876"/>
      <c r="W558" s="876"/>
      <c r="X558" s="876"/>
      <c r="Y558" s="876"/>
      <c r="Z558" s="876"/>
      <c r="AA558" s="876"/>
      <c r="AB558" s="876"/>
      <c r="AC558" s="876"/>
      <c r="AD558" s="876"/>
      <c r="AE558" s="876"/>
      <c r="AF558" s="876"/>
      <c r="AG558" s="876"/>
      <c r="AH558" s="876"/>
      <c r="AI558" s="878"/>
      <c r="AJ558" s="880"/>
      <c r="AK558" s="880"/>
      <c r="AL558" s="880"/>
      <c r="AM558" s="880"/>
      <c r="AN558" s="880"/>
      <c r="AO558" s="880"/>
      <c r="AP558" s="880"/>
      <c r="AQ558" s="880"/>
      <c r="AR558" s="880"/>
      <c r="AS558" s="880"/>
      <c r="AT558" s="880"/>
      <c r="AU558" s="880"/>
      <c r="AV558" s="880"/>
      <c r="AW558" s="881"/>
      <c r="AX558" s="863"/>
      <c r="AY558" s="863"/>
      <c r="AZ558" s="863"/>
      <c r="BA558" s="863"/>
      <c r="BB558" s="863"/>
      <c r="BC558" s="863"/>
      <c r="BD558" s="863"/>
      <c r="BE558" s="863"/>
      <c r="BF558" s="863"/>
      <c r="BG558" s="863"/>
      <c r="BH558" s="863"/>
      <c r="BI558" s="863"/>
      <c r="BJ558" s="863"/>
      <c r="BK558" s="863"/>
      <c r="BL558" s="863"/>
      <c r="BM558" s="863"/>
      <c r="BN558" s="863"/>
      <c r="BO558" s="863"/>
      <c r="BP558" s="880"/>
      <c r="BQ558" s="863"/>
      <c r="BR558" s="883"/>
      <c r="BS558" s="883"/>
      <c r="BT558" s="883"/>
      <c r="BU558" s="883"/>
      <c r="BV558" s="883"/>
      <c r="BW558" s="883"/>
      <c r="BX558" s="883"/>
      <c r="BY558" s="883"/>
      <c r="BZ558" s="883"/>
      <c r="CA558" s="883"/>
      <c r="CB558" s="883"/>
      <c r="CC558" s="883"/>
      <c r="CD558" s="884"/>
      <c r="CE558" s="883"/>
      <c r="CF558" s="883"/>
      <c r="CG558" s="883"/>
      <c r="CH558" s="883"/>
      <c r="CI558" s="883"/>
      <c r="CJ558" s="883"/>
      <c r="CK558" s="883"/>
      <c r="CL558" s="883"/>
      <c r="CM558" s="883"/>
      <c r="CN558" s="883"/>
      <c r="CO558" s="883"/>
      <c r="CP558" s="883"/>
      <c r="CQ558" s="883"/>
      <c r="CR558" s="883"/>
      <c r="CS558" s="883"/>
      <c r="CT558" s="883"/>
      <c r="CU558" s="883"/>
      <c r="CV558" s="863"/>
      <c r="CW558" s="863"/>
      <c r="CX558" s="863"/>
      <c r="CY558" s="863"/>
      <c r="CZ558" s="863"/>
      <c r="DA558" s="863"/>
      <c r="DB558" s="863"/>
      <c r="DC558" s="863"/>
      <c r="DD558" s="863"/>
      <c r="DE558" s="863"/>
    </row>
    <row r="559">
      <c r="A559" s="876"/>
      <c r="B559" s="876"/>
      <c r="C559" s="876"/>
      <c r="D559" s="876"/>
      <c r="E559" s="876"/>
      <c r="F559" s="876"/>
      <c r="G559" s="876"/>
      <c r="H559" s="876"/>
      <c r="I559" s="876"/>
      <c r="J559" s="876"/>
      <c r="K559" s="876"/>
      <c r="L559" s="876"/>
      <c r="M559" s="876"/>
      <c r="N559" s="877"/>
      <c r="O559" s="876"/>
      <c r="P559" s="876"/>
      <c r="Q559" s="876"/>
      <c r="R559" s="876"/>
      <c r="S559" s="876"/>
      <c r="T559" s="876"/>
      <c r="U559" s="876"/>
      <c r="V559" s="876"/>
      <c r="W559" s="876"/>
      <c r="X559" s="876"/>
      <c r="Y559" s="876"/>
      <c r="Z559" s="876"/>
      <c r="AA559" s="876"/>
      <c r="AB559" s="876"/>
      <c r="AC559" s="876"/>
      <c r="AD559" s="876"/>
      <c r="AE559" s="876"/>
      <c r="AF559" s="876"/>
      <c r="AG559" s="876"/>
      <c r="AH559" s="876"/>
      <c r="AI559" s="878"/>
      <c r="AJ559" s="880"/>
      <c r="AK559" s="880"/>
      <c r="AL559" s="880"/>
      <c r="AM559" s="880"/>
      <c r="AN559" s="880"/>
      <c r="AO559" s="880"/>
      <c r="AP559" s="880"/>
      <c r="AQ559" s="880"/>
      <c r="AR559" s="880"/>
      <c r="AS559" s="880"/>
      <c r="AT559" s="880"/>
      <c r="AU559" s="880"/>
      <c r="AV559" s="880"/>
      <c r="AW559" s="881"/>
      <c r="AX559" s="863"/>
      <c r="AY559" s="863"/>
      <c r="AZ559" s="863"/>
      <c r="BA559" s="863"/>
      <c r="BB559" s="863"/>
      <c r="BC559" s="863"/>
      <c r="BD559" s="863"/>
      <c r="BE559" s="863"/>
      <c r="BF559" s="863"/>
      <c r="BG559" s="863"/>
      <c r="BH559" s="863"/>
      <c r="BI559" s="863"/>
      <c r="BJ559" s="863"/>
      <c r="BK559" s="863"/>
      <c r="BL559" s="863"/>
      <c r="BM559" s="863"/>
      <c r="BN559" s="863"/>
      <c r="BO559" s="863"/>
      <c r="BP559" s="880"/>
      <c r="BQ559" s="863"/>
      <c r="BR559" s="883"/>
      <c r="BS559" s="883"/>
      <c r="BT559" s="883"/>
      <c r="BU559" s="883"/>
      <c r="BV559" s="883"/>
      <c r="BW559" s="883"/>
      <c r="BX559" s="883"/>
      <c r="BY559" s="883"/>
      <c r="BZ559" s="883"/>
      <c r="CA559" s="883"/>
      <c r="CB559" s="883"/>
      <c r="CC559" s="883"/>
      <c r="CD559" s="884"/>
      <c r="CE559" s="883"/>
      <c r="CF559" s="883"/>
      <c r="CG559" s="883"/>
      <c r="CH559" s="883"/>
      <c r="CI559" s="883"/>
      <c r="CJ559" s="883"/>
      <c r="CK559" s="883"/>
      <c r="CL559" s="883"/>
      <c r="CM559" s="883"/>
      <c r="CN559" s="883"/>
      <c r="CO559" s="883"/>
      <c r="CP559" s="883"/>
      <c r="CQ559" s="883"/>
      <c r="CR559" s="883"/>
      <c r="CS559" s="883"/>
      <c r="CT559" s="883"/>
      <c r="CU559" s="883"/>
      <c r="CV559" s="863"/>
      <c r="CW559" s="863"/>
      <c r="CX559" s="863"/>
      <c r="CY559" s="863"/>
      <c r="CZ559" s="863"/>
      <c r="DA559" s="863"/>
      <c r="DB559" s="863"/>
      <c r="DC559" s="863"/>
      <c r="DD559" s="863"/>
      <c r="DE559" s="863"/>
    </row>
    <row r="560">
      <c r="A560" s="876"/>
      <c r="B560" s="876"/>
      <c r="C560" s="876"/>
      <c r="D560" s="876"/>
      <c r="E560" s="876"/>
      <c r="F560" s="876"/>
      <c r="G560" s="876"/>
      <c r="H560" s="876"/>
      <c r="I560" s="876"/>
      <c r="J560" s="876"/>
      <c r="K560" s="876"/>
      <c r="L560" s="876"/>
      <c r="M560" s="876"/>
      <c r="N560" s="877"/>
      <c r="O560" s="876"/>
      <c r="P560" s="876"/>
      <c r="Q560" s="876"/>
      <c r="R560" s="876"/>
      <c r="S560" s="876"/>
      <c r="T560" s="876"/>
      <c r="U560" s="876"/>
      <c r="V560" s="876"/>
      <c r="W560" s="876"/>
      <c r="X560" s="876"/>
      <c r="Y560" s="876"/>
      <c r="Z560" s="876"/>
      <c r="AA560" s="876"/>
      <c r="AB560" s="876"/>
      <c r="AC560" s="876"/>
      <c r="AD560" s="876"/>
      <c r="AE560" s="876"/>
      <c r="AF560" s="876"/>
      <c r="AG560" s="876"/>
      <c r="AH560" s="876"/>
      <c r="AI560" s="878"/>
      <c r="AJ560" s="880"/>
      <c r="AK560" s="880"/>
      <c r="AL560" s="880"/>
      <c r="AM560" s="880"/>
      <c r="AN560" s="880"/>
      <c r="AO560" s="880"/>
      <c r="AP560" s="880"/>
      <c r="AQ560" s="880"/>
      <c r="AR560" s="880"/>
      <c r="AS560" s="880"/>
      <c r="AT560" s="880"/>
      <c r="AU560" s="880"/>
      <c r="AV560" s="880"/>
      <c r="AW560" s="881"/>
      <c r="AX560" s="863"/>
      <c r="AY560" s="863"/>
      <c r="AZ560" s="863"/>
      <c r="BA560" s="863"/>
      <c r="BB560" s="863"/>
      <c r="BC560" s="863"/>
      <c r="BD560" s="863"/>
      <c r="BE560" s="863"/>
      <c r="BF560" s="863"/>
      <c r="BG560" s="863"/>
      <c r="BH560" s="863"/>
      <c r="BI560" s="863"/>
      <c r="BJ560" s="863"/>
      <c r="BK560" s="863"/>
      <c r="BL560" s="863"/>
      <c r="BM560" s="863"/>
      <c r="BN560" s="863"/>
      <c r="BO560" s="863"/>
      <c r="BP560" s="880"/>
      <c r="BQ560" s="863"/>
      <c r="BR560" s="883"/>
      <c r="BS560" s="883"/>
      <c r="BT560" s="883"/>
      <c r="BU560" s="883"/>
      <c r="BV560" s="883"/>
      <c r="BW560" s="883"/>
      <c r="BX560" s="883"/>
      <c r="BY560" s="883"/>
      <c r="BZ560" s="883"/>
      <c r="CA560" s="883"/>
      <c r="CB560" s="883"/>
      <c r="CC560" s="883"/>
      <c r="CD560" s="884"/>
      <c r="CE560" s="883"/>
      <c r="CF560" s="883"/>
      <c r="CG560" s="883"/>
      <c r="CH560" s="883"/>
      <c r="CI560" s="883"/>
      <c r="CJ560" s="883"/>
      <c r="CK560" s="883"/>
      <c r="CL560" s="883"/>
      <c r="CM560" s="883"/>
      <c r="CN560" s="883"/>
      <c r="CO560" s="883"/>
      <c r="CP560" s="883"/>
      <c r="CQ560" s="883"/>
      <c r="CR560" s="883"/>
      <c r="CS560" s="883"/>
      <c r="CT560" s="883"/>
      <c r="CU560" s="883"/>
      <c r="CV560" s="863"/>
      <c r="CW560" s="863"/>
      <c r="CX560" s="863"/>
      <c r="CY560" s="863"/>
      <c r="CZ560" s="863"/>
      <c r="DA560" s="863"/>
      <c r="DB560" s="863"/>
      <c r="DC560" s="863"/>
      <c r="DD560" s="863"/>
      <c r="DE560" s="863"/>
    </row>
    <row r="561">
      <c r="A561" s="876"/>
      <c r="B561" s="876"/>
      <c r="C561" s="876"/>
      <c r="D561" s="876"/>
      <c r="E561" s="876"/>
      <c r="F561" s="876"/>
      <c r="G561" s="876"/>
      <c r="H561" s="876"/>
      <c r="I561" s="876"/>
      <c r="J561" s="876"/>
      <c r="K561" s="876"/>
      <c r="L561" s="876"/>
      <c r="M561" s="876"/>
      <c r="N561" s="877"/>
      <c r="O561" s="876"/>
      <c r="P561" s="876"/>
      <c r="Q561" s="876"/>
      <c r="R561" s="876"/>
      <c r="S561" s="876"/>
      <c r="T561" s="876"/>
      <c r="U561" s="876"/>
      <c r="V561" s="876"/>
      <c r="W561" s="876"/>
      <c r="X561" s="876"/>
      <c r="Y561" s="876"/>
      <c r="Z561" s="876"/>
      <c r="AA561" s="876"/>
      <c r="AB561" s="876"/>
      <c r="AC561" s="876"/>
      <c r="AD561" s="876"/>
      <c r="AE561" s="876"/>
      <c r="AF561" s="876"/>
      <c r="AG561" s="876"/>
      <c r="AH561" s="876"/>
      <c r="AI561" s="878"/>
      <c r="AJ561" s="880"/>
      <c r="AK561" s="880"/>
      <c r="AL561" s="880"/>
      <c r="AM561" s="880"/>
      <c r="AN561" s="880"/>
      <c r="AO561" s="880"/>
      <c r="AP561" s="880"/>
      <c r="AQ561" s="880"/>
      <c r="AR561" s="880"/>
      <c r="AS561" s="880"/>
      <c r="AT561" s="880"/>
      <c r="AU561" s="880"/>
      <c r="AV561" s="880"/>
      <c r="AW561" s="881"/>
      <c r="AX561" s="863"/>
      <c r="AY561" s="863"/>
      <c r="AZ561" s="863"/>
      <c r="BA561" s="863"/>
      <c r="BB561" s="863"/>
      <c r="BC561" s="863"/>
      <c r="BD561" s="863"/>
      <c r="BE561" s="863"/>
      <c r="BF561" s="863"/>
      <c r="BG561" s="863"/>
      <c r="BH561" s="863"/>
      <c r="BI561" s="863"/>
      <c r="BJ561" s="863"/>
      <c r="BK561" s="863"/>
      <c r="BL561" s="863"/>
      <c r="BM561" s="863"/>
      <c r="BN561" s="863"/>
      <c r="BO561" s="863"/>
      <c r="BP561" s="880"/>
      <c r="BQ561" s="863"/>
      <c r="BR561" s="883"/>
      <c r="BS561" s="883"/>
      <c r="BT561" s="883"/>
      <c r="BU561" s="883"/>
      <c r="BV561" s="883"/>
      <c r="BW561" s="883"/>
      <c r="BX561" s="883"/>
      <c r="BY561" s="883"/>
      <c r="BZ561" s="883"/>
      <c r="CA561" s="883"/>
      <c r="CB561" s="883"/>
      <c r="CC561" s="883"/>
      <c r="CD561" s="884"/>
      <c r="CE561" s="883"/>
      <c r="CF561" s="883"/>
      <c r="CG561" s="883"/>
      <c r="CH561" s="883"/>
      <c r="CI561" s="883"/>
      <c r="CJ561" s="883"/>
      <c r="CK561" s="883"/>
      <c r="CL561" s="883"/>
      <c r="CM561" s="883"/>
      <c r="CN561" s="883"/>
      <c r="CO561" s="883"/>
      <c r="CP561" s="883"/>
      <c r="CQ561" s="883"/>
      <c r="CR561" s="883"/>
      <c r="CS561" s="883"/>
      <c r="CT561" s="883"/>
      <c r="CU561" s="883"/>
      <c r="CV561" s="863"/>
      <c r="CW561" s="863"/>
      <c r="CX561" s="863"/>
      <c r="CY561" s="863"/>
      <c r="CZ561" s="863"/>
      <c r="DA561" s="863"/>
      <c r="DB561" s="863"/>
      <c r="DC561" s="863"/>
      <c r="DD561" s="863"/>
      <c r="DE561" s="863"/>
    </row>
    <row r="562">
      <c r="A562" s="876"/>
      <c r="B562" s="876"/>
      <c r="C562" s="876"/>
      <c r="D562" s="876"/>
      <c r="E562" s="876"/>
      <c r="F562" s="876"/>
      <c r="G562" s="876"/>
      <c r="H562" s="876"/>
      <c r="I562" s="876"/>
      <c r="J562" s="876"/>
      <c r="K562" s="876"/>
      <c r="L562" s="876"/>
      <c r="M562" s="876"/>
      <c r="N562" s="877"/>
      <c r="O562" s="876"/>
      <c r="P562" s="876"/>
      <c r="Q562" s="876"/>
      <c r="R562" s="876"/>
      <c r="S562" s="876"/>
      <c r="T562" s="876"/>
      <c r="U562" s="876"/>
      <c r="V562" s="876"/>
      <c r="W562" s="876"/>
      <c r="X562" s="876"/>
      <c r="Y562" s="876"/>
      <c r="Z562" s="876"/>
      <c r="AA562" s="876"/>
      <c r="AB562" s="876"/>
      <c r="AC562" s="876"/>
      <c r="AD562" s="876"/>
      <c r="AE562" s="876"/>
      <c r="AF562" s="876"/>
      <c r="AG562" s="876"/>
      <c r="AH562" s="876"/>
      <c r="AI562" s="878"/>
      <c r="AJ562" s="880"/>
      <c r="AK562" s="880"/>
      <c r="AL562" s="880"/>
      <c r="AM562" s="880"/>
      <c r="AN562" s="880"/>
      <c r="AO562" s="880"/>
      <c r="AP562" s="880"/>
      <c r="AQ562" s="880"/>
      <c r="AR562" s="880"/>
      <c r="AS562" s="880"/>
      <c r="AT562" s="880"/>
      <c r="AU562" s="880"/>
      <c r="AV562" s="880"/>
      <c r="AW562" s="881"/>
      <c r="AX562" s="863"/>
      <c r="AY562" s="863"/>
      <c r="AZ562" s="863"/>
      <c r="BA562" s="863"/>
      <c r="BB562" s="863"/>
      <c r="BC562" s="863"/>
      <c r="BD562" s="863"/>
      <c r="BE562" s="863"/>
      <c r="BF562" s="863"/>
      <c r="BG562" s="863"/>
      <c r="BH562" s="863"/>
      <c r="BI562" s="863"/>
      <c r="BJ562" s="863"/>
      <c r="BK562" s="863"/>
      <c r="BL562" s="863"/>
      <c r="BM562" s="863"/>
      <c r="BN562" s="863"/>
      <c r="BO562" s="863"/>
      <c r="BP562" s="880"/>
      <c r="BQ562" s="863"/>
      <c r="BR562" s="883"/>
      <c r="BS562" s="883"/>
      <c r="BT562" s="883"/>
      <c r="BU562" s="883"/>
      <c r="BV562" s="883"/>
      <c r="BW562" s="883"/>
      <c r="BX562" s="883"/>
      <c r="BY562" s="883"/>
      <c r="BZ562" s="883"/>
      <c r="CA562" s="883"/>
      <c r="CB562" s="883"/>
      <c r="CC562" s="883"/>
      <c r="CD562" s="884"/>
      <c r="CE562" s="883"/>
      <c r="CF562" s="883"/>
      <c r="CG562" s="883"/>
      <c r="CH562" s="883"/>
      <c r="CI562" s="883"/>
      <c r="CJ562" s="883"/>
      <c r="CK562" s="883"/>
      <c r="CL562" s="883"/>
      <c r="CM562" s="883"/>
      <c r="CN562" s="883"/>
      <c r="CO562" s="883"/>
      <c r="CP562" s="883"/>
      <c r="CQ562" s="883"/>
      <c r="CR562" s="883"/>
      <c r="CS562" s="883"/>
      <c r="CT562" s="883"/>
      <c r="CU562" s="883"/>
      <c r="CV562" s="863"/>
      <c r="CW562" s="863"/>
      <c r="CX562" s="863"/>
      <c r="CY562" s="863"/>
      <c r="CZ562" s="863"/>
      <c r="DA562" s="863"/>
      <c r="DB562" s="863"/>
      <c r="DC562" s="863"/>
      <c r="DD562" s="863"/>
      <c r="DE562" s="863"/>
    </row>
    <row r="563">
      <c r="A563" s="876"/>
      <c r="B563" s="876"/>
      <c r="C563" s="876"/>
      <c r="D563" s="876"/>
      <c r="E563" s="876"/>
      <c r="F563" s="876"/>
      <c r="G563" s="876"/>
      <c r="H563" s="876"/>
      <c r="I563" s="876"/>
      <c r="J563" s="876"/>
      <c r="K563" s="876"/>
      <c r="L563" s="876"/>
      <c r="M563" s="876"/>
      <c r="N563" s="877"/>
      <c r="O563" s="876"/>
      <c r="P563" s="876"/>
      <c r="Q563" s="876"/>
      <c r="R563" s="876"/>
      <c r="S563" s="876"/>
      <c r="T563" s="876"/>
      <c r="U563" s="876"/>
      <c r="V563" s="876"/>
      <c r="W563" s="876"/>
      <c r="X563" s="876"/>
      <c r="Y563" s="876"/>
      <c r="Z563" s="876"/>
      <c r="AA563" s="876"/>
      <c r="AB563" s="876"/>
      <c r="AC563" s="876"/>
      <c r="AD563" s="876"/>
      <c r="AE563" s="876"/>
      <c r="AF563" s="876"/>
      <c r="AG563" s="876"/>
      <c r="AH563" s="876"/>
      <c r="AI563" s="878"/>
      <c r="AJ563" s="880"/>
      <c r="AK563" s="880"/>
      <c r="AL563" s="880"/>
      <c r="AM563" s="880"/>
      <c r="AN563" s="880"/>
      <c r="AO563" s="880"/>
      <c r="AP563" s="880"/>
      <c r="AQ563" s="880"/>
      <c r="AR563" s="880"/>
      <c r="AS563" s="880"/>
      <c r="AT563" s="880"/>
      <c r="AU563" s="880"/>
      <c r="AV563" s="880"/>
      <c r="AW563" s="881"/>
      <c r="AX563" s="863"/>
      <c r="AY563" s="863"/>
      <c r="AZ563" s="863"/>
      <c r="BA563" s="863"/>
      <c r="BB563" s="863"/>
      <c r="BC563" s="863"/>
      <c r="BD563" s="863"/>
      <c r="BE563" s="863"/>
      <c r="BF563" s="863"/>
      <c r="BG563" s="863"/>
      <c r="BH563" s="863"/>
      <c r="BI563" s="863"/>
      <c r="BJ563" s="863"/>
      <c r="BK563" s="863"/>
      <c r="BL563" s="863"/>
      <c r="BM563" s="863"/>
      <c r="BN563" s="863"/>
      <c r="BO563" s="863"/>
      <c r="BP563" s="880"/>
      <c r="BQ563" s="863"/>
      <c r="BR563" s="883"/>
      <c r="BS563" s="883"/>
      <c r="BT563" s="883"/>
      <c r="BU563" s="883"/>
      <c r="BV563" s="883"/>
      <c r="BW563" s="883"/>
      <c r="BX563" s="883"/>
      <c r="BY563" s="883"/>
      <c r="BZ563" s="883"/>
      <c r="CA563" s="883"/>
      <c r="CB563" s="883"/>
      <c r="CC563" s="883"/>
      <c r="CD563" s="884"/>
      <c r="CE563" s="883"/>
      <c r="CF563" s="883"/>
      <c r="CG563" s="883"/>
      <c r="CH563" s="883"/>
      <c r="CI563" s="883"/>
      <c r="CJ563" s="883"/>
      <c r="CK563" s="883"/>
      <c r="CL563" s="883"/>
      <c r="CM563" s="883"/>
      <c r="CN563" s="883"/>
      <c r="CO563" s="883"/>
      <c r="CP563" s="883"/>
      <c r="CQ563" s="883"/>
      <c r="CR563" s="883"/>
      <c r="CS563" s="883"/>
      <c r="CT563" s="883"/>
      <c r="CU563" s="883"/>
      <c r="CV563" s="863"/>
      <c r="CW563" s="863"/>
      <c r="CX563" s="863"/>
      <c r="CY563" s="863"/>
      <c r="CZ563" s="863"/>
      <c r="DA563" s="863"/>
      <c r="DB563" s="863"/>
      <c r="DC563" s="863"/>
      <c r="DD563" s="863"/>
      <c r="DE563" s="863"/>
    </row>
    <row r="564">
      <c r="A564" s="876"/>
      <c r="B564" s="876"/>
      <c r="C564" s="876"/>
      <c r="D564" s="876"/>
      <c r="E564" s="876"/>
      <c r="F564" s="876"/>
      <c r="G564" s="876"/>
      <c r="H564" s="876"/>
      <c r="I564" s="876"/>
      <c r="J564" s="876"/>
      <c r="K564" s="876"/>
      <c r="L564" s="876"/>
      <c r="M564" s="876"/>
      <c r="N564" s="877"/>
      <c r="O564" s="876"/>
      <c r="P564" s="876"/>
      <c r="Q564" s="876"/>
      <c r="R564" s="876"/>
      <c r="S564" s="876"/>
      <c r="T564" s="876"/>
      <c r="U564" s="876"/>
      <c r="V564" s="876"/>
      <c r="W564" s="876"/>
      <c r="X564" s="876"/>
      <c r="Y564" s="876"/>
      <c r="Z564" s="876"/>
      <c r="AA564" s="876"/>
      <c r="AB564" s="876"/>
      <c r="AC564" s="876"/>
      <c r="AD564" s="876"/>
      <c r="AE564" s="876"/>
      <c r="AF564" s="876"/>
      <c r="AG564" s="876"/>
      <c r="AH564" s="876"/>
      <c r="AI564" s="878"/>
      <c r="AJ564" s="880"/>
      <c r="AK564" s="880"/>
      <c r="AL564" s="880"/>
      <c r="AM564" s="880"/>
      <c r="AN564" s="880"/>
      <c r="AO564" s="880"/>
      <c r="AP564" s="880"/>
      <c r="AQ564" s="880"/>
      <c r="AR564" s="880"/>
      <c r="AS564" s="880"/>
      <c r="AT564" s="880"/>
      <c r="AU564" s="880"/>
      <c r="AV564" s="880"/>
      <c r="AW564" s="881"/>
      <c r="AX564" s="863"/>
      <c r="AY564" s="863"/>
      <c r="AZ564" s="863"/>
      <c r="BA564" s="863"/>
      <c r="BB564" s="863"/>
      <c r="BC564" s="863"/>
      <c r="BD564" s="863"/>
      <c r="BE564" s="863"/>
      <c r="BF564" s="863"/>
      <c r="BG564" s="863"/>
      <c r="BH564" s="863"/>
      <c r="BI564" s="863"/>
      <c r="BJ564" s="863"/>
      <c r="BK564" s="863"/>
      <c r="BL564" s="863"/>
      <c r="BM564" s="863"/>
      <c r="BN564" s="863"/>
      <c r="BO564" s="863"/>
      <c r="BP564" s="880"/>
      <c r="BQ564" s="863"/>
      <c r="BR564" s="883"/>
      <c r="BS564" s="883"/>
      <c r="BT564" s="883"/>
      <c r="BU564" s="883"/>
      <c r="BV564" s="883"/>
      <c r="BW564" s="883"/>
      <c r="BX564" s="883"/>
      <c r="BY564" s="883"/>
      <c r="BZ564" s="883"/>
      <c r="CA564" s="883"/>
      <c r="CB564" s="883"/>
      <c r="CC564" s="883"/>
      <c r="CD564" s="884"/>
      <c r="CE564" s="883"/>
      <c r="CF564" s="883"/>
      <c r="CG564" s="883"/>
      <c r="CH564" s="883"/>
      <c r="CI564" s="883"/>
      <c r="CJ564" s="883"/>
      <c r="CK564" s="883"/>
      <c r="CL564" s="883"/>
      <c r="CM564" s="883"/>
      <c r="CN564" s="883"/>
      <c r="CO564" s="883"/>
      <c r="CP564" s="883"/>
      <c r="CQ564" s="883"/>
      <c r="CR564" s="883"/>
      <c r="CS564" s="883"/>
      <c r="CT564" s="883"/>
      <c r="CU564" s="883"/>
      <c r="CV564" s="863"/>
      <c r="CW564" s="863"/>
      <c r="CX564" s="863"/>
      <c r="CY564" s="863"/>
      <c r="CZ564" s="863"/>
      <c r="DA564" s="863"/>
      <c r="DB564" s="863"/>
      <c r="DC564" s="863"/>
      <c r="DD564" s="863"/>
      <c r="DE564" s="863"/>
    </row>
    <row r="565">
      <c r="A565" s="876"/>
      <c r="B565" s="876"/>
      <c r="C565" s="876"/>
      <c r="D565" s="876"/>
      <c r="E565" s="876"/>
      <c r="F565" s="876"/>
      <c r="G565" s="876"/>
      <c r="H565" s="876"/>
      <c r="I565" s="876"/>
      <c r="J565" s="876"/>
      <c r="K565" s="876"/>
      <c r="L565" s="876"/>
      <c r="M565" s="876"/>
      <c r="N565" s="877"/>
      <c r="O565" s="876"/>
      <c r="P565" s="876"/>
      <c r="Q565" s="876"/>
      <c r="R565" s="876"/>
      <c r="S565" s="876"/>
      <c r="T565" s="876"/>
      <c r="U565" s="876"/>
      <c r="V565" s="876"/>
      <c r="W565" s="876"/>
      <c r="X565" s="876"/>
      <c r="Y565" s="876"/>
      <c r="Z565" s="876"/>
      <c r="AA565" s="876"/>
      <c r="AB565" s="876"/>
      <c r="AC565" s="876"/>
      <c r="AD565" s="876"/>
      <c r="AE565" s="876"/>
      <c r="AF565" s="876"/>
      <c r="AG565" s="876"/>
      <c r="AH565" s="876"/>
      <c r="AI565" s="878"/>
      <c r="AJ565" s="880"/>
      <c r="AK565" s="880"/>
      <c r="AL565" s="880"/>
      <c r="AM565" s="880"/>
      <c r="AN565" s="880"/>
      <c r="AO565" s="880"/>
      <c r="AP565" s="880"/>
      <c r="AQ565" s="880"/>
      <c r="AR565" s="880"/>
      <c r="AS565" s="880"/>
      <c r="AT565" s="880"/>
      <c r="AU565" s="880"/>
      <c r="AV565" s="880"/>
      <c r="AW565" s="881"/>
      <c r="AX565" s="863"/>
      <c r="AY565" s="863"/>
      <c r="AZ565" s="863"/>
      <c r="BA565" s="863"/>
      <c r="BB565" s="863"/>
      <c r="BC565" s="863"/>
      <c r="BD565" s="863"/>
      <c r="BE565" s="863"/>
      <c r="BF565" s="863"/>
      <c r="BG565" s="863"/>
      <c r="BH565" s="863"/>
      <c r="BI565" s="863"/>
      <c r="BJ565" s="863"/>
      <c r="BK565" s="863"/>
      <c r="BL565" s="863"/>
      <c r="BM565" s="863"/>
      <c r="BN565" s="863"/>
      <c r="BO565" s="863"/>
      <c r="BP565" s="880"/>
      <c r="BQ565" s="863"/>
      <c r="BR565" s="883"/>
      <c r="BS565" s="883"/>
      <c r="BT565" s="883"/>
      <c r="BU565" s="883"/>
      <c r="BV565" s="883"/>
      <c r="BW565" s="883"/>
      <c r="BX565" s="883"/>
      <c r="BY565" s="883"/>
      <c r="BZ565" s="883"/>
      <c r="CA565" s="883"/>
      <c r="CB565" s="883"/>
      <c r="CC565" s="883"/>
      <c r="CD565" s="884"/>
      <c r="CE565" s="883"/>
      <c r="CF565" s="883"/>
      <c r="CG565" s="883"/>
      <c r="CH565" s="883"/>
      <c r="CI565" s="883"/>
      <c r="CJ565" s="883"/>
      <c r="CK565" s="883"/>
      <c r="CL565" s="883"/>
      <c r="CM565" s="883"/>
      <c r="CN565" s="883"/>
      <c r="CO565" s="883"/>
      <c r="CP565" s="883"/>
      <c r="CQ565" s="883"/>
      <c r="CR565" s="883"/>
      <c r="CS565" s="883"/>
      <c r="CT565" s="883"/>
      <c r="CU565" s="883"/>
      <c r="CV565" s="863"/>
      <c r="CW565" s="863"/>
      <c r="CX565" s="863"/>
      <c r="CY565" s="863"/>
      <c r="CZ565" s="863"/>
      <c r="DA565" s="863"/>
      <c r="DB565" s="863"/>
      <c r="DC565" s="863"/>
      <c r="DD565" s="863"/>
      <c r="DE565" s="863"/>
    </row>
    <row r="566">
      <c r="A566" s="876"/>
      <c r="B566" s="876"/>
      <c r="C566" s="876"/>
      <c r="D566" s="876"/>
      <c r="E566" s="876"/>
      <c r="F566" s="876"/>
      <c r="G566" s="876"/>
      <c r="H566" s="876"/>
      <c r="I566" s="876"/>
      <c r="J566" s="876"/>
      <c r="K566" s="876"/>
      <c r="L566" s="876"/>
      <c r="M566" s="876"/>
      <c r="N566" s="877"/>
      <c r="O566" s="876"/>
      <c r="P566" s="876"/>
      <c r="Q566" s="876"/>
      <c r="R566" s="876"/>
      <c r="S566" s="876"/>
      <c r="T566" s="876"/>
      <c r="U566" s="876"/>
      <c r="V566" s="876"/>
      <c r="W566" s="876"/>
      <c r="X566" s="876"/>
      <c r="Y566" s="876"/>
      <c r="Z566" s="876"/>
      <c r="AA566" s="876"/>
      <c r="AB566" s="876"/>
      <c r="AC566" s="876"/>
      <c r="AD566" s="876"/>
      <c r="AE566" s="876"/>
      <c r="AF566" s="876"/>
      <c r="AG566" s="876"/>
      <c r="AH566" s="876"/>
      <c r="AI566" s="878"/>
      <c r="AJ566" s="880"/>
      <c r="AK566" s="880"/>
      <c r="AL566" s="880"/>
      <c r="AM566" s="880"/>
      <c r="AN566" s="880"/>
      <c r="AO566" s="880"/>
      <c r="AP566" s="880"/>
      <c r="AQ566" s="880"/>
      <c r="AR566" s="880"/>
      <c r="AS566" s="880"/>
      <c r="AT566" s="880"/>
      <c r="AU566" s="880"/>
      <c r="AV566" s="880"/>
      <c r="AW566" s="881"/>
      <c r="AX566" s="863"/>
      <c r="AY566" s="863"/>
      <c r="AZ566" s="863"/>
      <c r="BA566" s="863"/>
      <c r="BB566" s="863"/>
      <c r="BC566" s="863"/>
      <c r="BD566" s="863"/>
      <c r="BE566" s="863"/>
      <c r="BF566" s="863"/>
      <c r="BG566" s="863"/>
      <c r="BH566" s="863"/>
      <c r="BI566" s="863"/>
      <c r="BJ566" s="863"/>
      <c r="BK566" s="863"/>
      <c r="BL566" s="863"/>
      <c r="BM566" s="863"/>
      <c r="BN566" s="863"/>
      <c r="BO566" s="863"/>
      <c r="BP566" s="880"/>
      <c r="BQ566" s="863"/>
      <c r="BR566" s="883"/>
      <c r="BS566" s="883"/>
      <c r="BT566" s="883"/>
      <c r="BU566" s="883"/>
      <c r="BV566" s="883"/>
      <c r="BW566" s="883"/>
      <c r="BX566" s="883"/>
      <c r="BY566" s="883"/>
      <c r="BZ566" s="883"/>
      <c r="CA566" s="883"/>
      <c r="CB566" s="883"/>
      <c r="CC566" s="883"/>
      <c r="CD566" s="884"/>
      <c r="CE566" s="883"/>
      <c r="CF566" s="883"/>
      <c r="CG566" s="883"/>
      <c r="CH566" s="883"/>
      <c r="CI566" s="883"/>
      <c r="CJ566" s="883"/>
      <c r="CK566" s="883"/>
      <c r="CL566" s="883"/>
      <c r="CM566" s="883"/>
      <c r="CN566" s="883"/>
      <c r="CO566" s="883"/>
      <c r="CP566" s="883"/>
      <c r="CQ566" s="883"/>
      <c r="CR566" s="883"/>
      <c r="CS566" s="883"/>
      <c r="CT566" s="883"/>
      <c r="CU566" s="883"/>
      <c r="CV566" s="863"/>
      <c r="CW566" s="863"/>
      <c r="CX566" s="863"/>
      <c r="CY566" s="863"/>
      <c r="CZ566" s="863"/>
      <c r="DA566" s="863"/>
      <c r="DB566" s="863"/>
      <c r="DC566" s="863"/>
      <c r="DD566" s="863"/>
      <c r="DE566" s="863"/>
    </row>
    <row r="567">
      <c r="A567" s="876"/>
      <c r="B567" s="876"/>
      <c r="C567" s="876"/>
      <c r="D567" s="876"/>
      <c r="E567" s="876"/>
      <c r="F567" s="876"/>
      <c r="G567" s="876"/>
      <c r="H567" s="876"/>
      <c r="I567" s="876"/>
      <c r="J567" s="876"/>
      <c r="K567" s="876"/>
      <c r="L567" s="876"/>
      <c r="M567" s="876"/>
      <c r="N567" s="877"/>
      <c r="O567" s="876"/>
      <c r="P567" s="876"/>
      <c r="Q567" s="876"/>
      <c r="R567" s="876"/>
      <c r="S567" s="876"/>
      <c r="T567" s="876"/>
      <c r="U567" s="876"/>
      <c r="V567" s="876"/>
      <c r="W567" s="876"/>
      <c r="X567" s="876"/>
      <c r="Y567" s="876"/>
      <c r="Z567" s="876"/>
      <c r="AA567" s="876"/>
      <c r="AB567" s="876"/>
      <c r="AC567" s="876"/>
      <c r="AD567" s="876"/>
      <c r="AE567" s="876"/>
      <c r="AF567" s="876"/>
      <c r="AG567" s="876"/>
      <c r="AH567" s="876"/>
      <c r="AI567" s="878"/>
      <c r="AJ567" s="880"/>
      <c r="AK567" s="880"/>
      <c r="AL567" s="880"/>
      <c r="AM567" s="880"/>
      <c r="AN567" s="880"/>
      <c r="AO567" s="880"/>
      <c r="AP567" s="880"/>
      <c r="AQ567" s="880"/>
      <c r="AR567" s="880"/>
      <c r="AS567" s="880"/>
      <c r="AT567" s="880"/>
      <c r="AU567" s="880"/>
      <c r="AV567" s="880"/>
      <c r="AW567" s="881"/>
      <c r="AX567" s="863"/>
      <c r="AY567" s="863"/>
      <c r="AZ567" s="863"/>
      <c r="BA567" s="863"/>
      <c r="BB567" s="863"/>
      <c r="BC567" s="863"/>
      <c r="BD567" s="863"/>
      <c r="BE567" s="863"/>
      <c r="BF567" s="863"/>
      <c r="BG567" s="863"/>
      <c r="BH567" s="863"/>
      <c r="BI567" s="863"/>
      <c r="BJ567" s="863"/>
      <c r="BK567" s="863"/>
      <c r="BL567" s="863"/>
      <c r="BM567" s="863"/>
      <c r="BN567" s="863"/>
      <c r="BO567" s="863"/>
      <c r="BP567" s="880"/>
      <c r="BQ567" s="863"/>
      <c r="BR567" s="883"/>
      <c r="BS567" s="883"/>
      <c r="BT567" s="883"/>
      <c r="BU567" s="883"/>
      <c r="BV567" s="883"/>
      <c r="BW567" s="883"/>
      <c r="BX567" s="883"/>
      <c r="BY567" s="883"/>
      <c r="BZ567" s="883"/>
      <c r="CA567" s="883"/>
      <c r="CB567" s="883"/>
      <c r="CC567" s="883"/>
      <c r="CD567" s="884"/>
      <c r="CE567" s="883"/>
      <c r="CF567" s="883"/>
      <c r="CG567" s="883"/>
      <c r="CH567" s="883"/>
      <c r="CI567" s="883"/>
      <c r="CJ567" s="883"/>
      <c r="CK567" s="883"/>
      <c r="CL567" s="883"/>
      <c r="CM567" s="883"/>
      <c r="CN567" s="883"/>
      <c r="CO567" s="883"/>
      <c r="CP567" s="883"/>
      <c r="CQ567" s="883"/>
      <c r="CR567" s="883"/>
      <c r="CS567" s="883"/>
      <c r="CT567" s="883"/>
      <c r="CU567" s="883"/>
      <c r="CV567" s="863"/>
      <c r="CW567" s="863"/>
      <c r="CX567" s="863"/>
      <c r="CY567" s="863"/>
      <c r="CZ567" s="863"/>
      <c r="DA567" s="863"/>
      <c r="DB567" s="863"/>
      <c r="DC567" s="863"/>
      <c r="DD567" s="863"/>
      <c r="DE567" s="863"/>
    </row>
    <row r="568">
      <c r="A568" s="876"/>
      <c r="B568" s="876"/>
      <c r="C568" s="876"/>
      <c r="D568" s="876"/>
      <c r="E568" s="876"/>
      <c r="F568" s="876"/>
      <c r="G568" s="876"/>
      <c r="H568" s="876"/>
      <c r="I568" s="876"/>
      <c r="J568" s="876"/>
      <c r="K568" s="876"/>
      <c r="L568" s="876"/>
      <c r="M568" s="876"/>
      <c r="N568" s="877"/>
      <c r="O568" s="876"/>
      <c r="P568" s="876"/>
      <c r="Q568" s="876"/>
      <c r="R568" s="876"/>
      <c r="S568" s="876"/>
      <c r="T568" s="876"/>
      <c r="U568" s="876"/>
      <c r="V568" s="876"/>
      <c r="W568" s="876"/>
      <c r="X568" s="876"/>
      <c r="Y568" s="876"/>
      <c r="Z568" s="876"/>
      <c r="AA568" s="876"/>
      <c r="AB568" s="876"/>
      <c r="AC568" s="876"/>
      <c r="AD568" s="876"/>
      <c r="AE568" s="876"/>
      <c r="AF568" s="876"/>
      <c r="AG568" s="876"/>
      <c r="AH568" s="876"/>
      <c r="AI568" s="878"/>
      <c r="AJ568" s="880"/>
      <c r="AK568" s="880"/>
      <c r="AL568" s="880"/>
      <c r="AM568" s="880"/>
      <c r="AN568" s="880"/>
      <c r="AO568" s="880"/>
      <c r="AP568" s="880"/>
      <c r="AQ568" s="880"/>
      <c r="AR568" s="880"/>
      <c r="AS568" s="880"/>
      <c r="AT568" s="880"/>
      <c r="AU568" s="880"/>
      <c r="AV568" s="880"/>
      <c r="AW568" s="881"/>
      <c r="AX568" s="863"/>
      <c r="AY568" s="863"/>
      <c r="AZ568" s="863"/>
      <c r="BA568" s="863"/>
      <c r="BB568" s="863"/>
      <c r="BC568" s="863"/>
      <c r="BD568" s="863"/>
      <c r="BE568" s="863"/>
      <c r="BF568" s="863"/>
      <c r="BG568" s="863"/>
      <c r="BH568" s="863"/>
      <c r="BI568" s="863"/>
      <c r="BJ568" s="863"/>
      <c r="BK568" s="863"/>
      <c r="BL568" s="863"/>
      <c r="BM568" s="863"/>
      <c r="BN568" s="863"/>
      <c r="BO568" s="863"/>
      <c r="BP568" s="880"/>
      <c r="BQ568" s="863"/>
      <c r="BR568" s="883"/>
      <c r="BS568" s="883"/>
      <c r="BT568" s="883"/>
      <c r="BU568" s="883"/>
      <c r="BV568" s="883"/>
      <c r="BW568" s="883"/>
      <c r="BX568" s="883"/>
      <c r="BY568" s="883"/>
      <c r="BZ568" s="883"/>
      <c r="CA568" s="883"/>
      <c r="CB568" s="883"/>
      <c r="CC568" s="883"/>
      <c r="CD568" s="884"/>
      <c r="CE568" s="883"/>
      <c r="CF568" s="883"/>
      <c r="CG568" s="883"/>
      <c r="CH568" s="883"/>
      <c r="CI568" s="883"/>
      <c r="CJ568" s="883"/>
      <c r="CK568" s="883"/>
      <c r="CL568" s="883"/>
      <c r="CM568" s="883"/>
      <c r="CN568" s="883"/>
      <c r="CO568" s="883"/>
      <c r="CP568" s="883"/>
      <c r="CQ568" s="883"/>
      <c r="CR568" s="883"/>
      <c r="CS568" s="883"/>
      <c r="CT568" s="883"/>
      <c r="CU568" s="883"/>
      <c r="CV568" s="863"/>
      <c r="CW568" s="863"/>
      <c r="CX568" s="863"/>
      <c r="CY568" s="863"/>
      <c r="CZ568" s="863"/>
      <c r="DA568" s="863"/>
      <c r="DB568" s="863"/>
      <c r="DC568" s="863"/>
      <c r="DD568" s="863"/>
      <c r="DE568" s="863"/>
    </row>
    <row r="569">
      <c r="A569" s="876"/>
      <c r="B569" s="876"/>
      <c r="C569" s="876"/>
      <c r="D569" s="876"/>
      <c r="E569" s="876"/>
      <c r="F569" s="876"/>
      <c r="G569" s="876"/>
      <c r="H569" s="876"/>
      <c r="I569" s="876"/>
      <c r="J569" s="876"/>
      <c r="K569" s="876"/>
      <c r="L569" s="876"/>
      <c r="M569" s="876"/>
      <c r="N569" s="877"/>
      <c r="O569" s="876"/>
      <c r="P569" s="876"/>
      <c r="Q569" s="876"/>
      <c r="R569" s="876"/>
      <c r="S569" s="876"/>
      <c r="T569" s="876"/>
      <c r="U569" s="876"/>
      <c r="V569" s="876"/>
      <c r="W569" s="876"/>
      <c r="X569" s="876"/>
      <c r="Y569" s="876"/>
      <c r="Z569" s="876"/>
      <c r="AA569" s="876"/>
      <c r="AB569" s="876"/>
      <c r="AC569" s="876"/>
      <c r="AD569" s="876"/>
      <c r="AE569" s="876"/>
      <c r="AF569" s="876"/>
      <c r="AG569" s="876"/>
      <c r="AH569" s="876"/>
      <c r="AI569" s="878"/>
      <c r="AJ569" s="880"/>
      <c r="AK569" s="880"/>
      <c r="AL569" s="880"/>
      <c r="AM569" s="880"/>
      <c r="AN569" s="880"/>
      <c r="AO569" s="880"/>
      <c r="AP569" s="880"/>
      <c r="AQ569" s="880"/>
      <c r="AR569" s="880"/>
      <c r="AS569" s="880"/>
      <c r="AT569" s="880"/>
      <c r="AU569" s="880"/>
      <c r="AV569" s="880"/>
      <c r="AW569" s="881"/>
      <c r="AX569" s="863"/>
      <c r="AY569" s="863"/>
      <c r="AZ569" s="863"/>
      <c r="BA569" s="863"/>
      <c r="BB569" s="863"/>
      <c r="BC569" s="863"/>
      <c r="BD569" s="863"/>
      <c r="BE569" s="863"/>
      <c r="BF569" s="863"/>
      <c r="BG569" s="863"/>
      <c r="BH569" s="863"/>
      <c r="BI569" s="863"/>
      <c r="BJ569" s="863"/>
      <c r="BK569" s="863"/>
      <c r="BL569" s="863"/>
      <c r="BM569" s="863"/>
      <c r="BN569" s="863"/>
      <c r="BO569" s="863"/>
      <c r="BP569" s="880"/>
      <c r="BQ569" s="863"/>
      <c r="BR569" s="883"/>
      <c r="BS569" s="883"/>
      <c r="BT569" s="883"/>
      <c r="BU569" s="883"/>
      <c r="BV569" s="883"/>
      <c r="BW569" s="883"/>
      <c r="BX569" s="883"/>
      <c r="BY569" s="883"/>
      <c r="BZ569" s="883"/>
      <c r="CA569" s="883"/>
      <c r="CB569" s="883"/>
      <c r="CC569" s="883"/>
      <c r="CD569" s="884"/>
      <c r="CE569" s="883"/>
      <c r="CF569" s="883"/>
      <c r="CG569" s="883"/>
      <c r="CH569" s="883"/>
      <c r="CI569" s="883"/>
      <c r="CJ569" s="883"/>
      <c r="CK569" s="883"/>
      <c r="CL569" s="883"/>
      <c r="CM569" s="883"/>
      <c r="CN569" s="883"/>
      <c r="CO569" s="883"/>
      <c r="CP569" s="883"/>
      <c r="CQ569" s="883"/>
      <c r="CR569" s="883"/>
      <c r="CS569" s="883"/>
      <c r="CT569" s="883"/>
      <c r="CU569" s="883"/>
      <c r="CV569" s="863"/>
      <c r="CW569" s="863"/>
      <c r="CX569" s="863"/>
      <c r="CY569" s="863"/>
      <c r="CZ569" s="863"/>
      <c r="DA569" s="863"/>
      <c r="DB569" s="863"/>
      <c r="DC569" s="863"/>
      <c r="DD569" s="863"/>
      <c r="DE569" s="863"/>
    </row>
    <row r="570">
      <c r="A570" s="876"/>
      <c r="B570" s="876"/>
      <c r="C570" s="876"/>
      <c r="D570" s="876"/>
      <c r="E570" s="876"/>
      <c r="F570" s="876"/>
      <c r="G570" s="876"/>
      <c r="H570" s="876"/>
      <c r="I570" s="876"/>
      <c r="J570" s="876"/>
      <c r="K570" s="876"/>
      <c r="L570" s="876"/>
      <c r="M570" s="876"/>
      <c r="N570" s="877"/>
      <c r="O570" s="876"/>
      <c r="P570" s="876"/>
      <c r="Q570" s="876"/>
      <c r="R570" s="876"/>
      <c r="S570" s="876"/>
      <c r="T570" s="876"/>
      <c r="U570" s="876"/>
      <c r="V570" s="876"/>
      <c r="W570" s="876"/>
      <c r="X570" s="876"/>
      <c r="Y570" s="876"/>
      <c r="Z570" s="876"/>
      <c r="AA570" s="876"/>
      <c r="AB570" s="876"/>
      <c r="AC570" s="876"/>
      <c r="AD570" s="876"/>
      <c r="AE570" s="876"/>
      <c r="AF570" s="876"/>
      <c r="AG570" s="876"/>
      <c r="AH570" s="876"/>
      <c r="AI570" s="878"/>
      <c r="AJ570" s="880"/>
      <c r="AK570" s="880"/>
      <c r="AL570" s="880"/>
      <c r="AM570" s="880"/>
      <c r="AN570" s="880"/>
      <c r="AO570" s="880"/>
      <c r="AP570" s="880"/>
      <c r="AQ570" s="880"/>
      <c r="AR570" s="880"/>
      <c r="AS570" s="880"/>
      <c r="AT570" s="880"/>
      <c r="AU570" s="880"/>
      <c r="AV570" s="880"/>
      <c r="AW570" s="881"/>
      <c r="AX570" s="863"/>
      <c r="AY570" s="863"/>
      <c r="AZ570" s="863"/>
      <c r="BA570" s="863"/>
      <c r="BB570" s="863"/>
      <c r="BC570" s="863"/>
      <c r="BD570" s="863"/>
      <c r="BE570" s="863"/>
      <c r="BF570" s="863"/>
      <c r="BG570" s="863"/>
      <c r="BH570" s="863"/>
      <c r="BI570" s="863"/>
      <c r="BJ570" s="863"/>
      <c r="BK570" s="863"/>
      <c r="BL570" s="863"/>
      <c r="BM570" s="863"/>
      <c r="BN570" s="863"/>
      <c r="BO570" s="863"/>
      <c r="BP570" s="880"/>
      <c r="BQ570" s="863"/>
      <c r="BR570" s="883"/>
      <c r="BS570" s="883"/>
      <c r="BT570" s="883"/>
      <c r="BU570" s="883"/>
      <c r="BV570" s="883"/>
      <c r="BW570" s="883"/>
      <c r="BX570" s="883"/>
      <c r="BY570" s="883"/>
      <c r="BZ570" s="883"/>
      <c r="CA570" s="883"/>
      <c r="CB570" s="883"/>
      <c r="CC570" s="883"/>
      <c r="CD570" s="884"/>
      <c r="CE570" s="883"/>
      <c r="CF570" s="883"/>
      <c r="CG570" s="883"/>
      <c r="CH570" s="883"/>
      <c r="CI570" s="883"/>
      <c r="CJ570" s="883"/>
      <c r="CK570" s="883"/>
      <c r="CL570" s="883"/>
      <c r="CM570" s="883"/>
      <c r="CN570" s="883"/>
      <c r="CO570" s="883"/>
      <c r="CP570" s="883"/>
      <c r="CQ570" s="883"/>
      <c r="CR570" s="883"/>
      <c r="CS570" s="883"/>
      <c r="CT570" s="883"/>
      <c r="CU570" s="883"/>
      <c r="CV570" s="863"/>
      <c r="CW570" s="863"/>
      <c r="CX570" s="863"/>
      <c r="CY570" s="863"/>
      <c r="CZ570" s="863"/>
      <c r="DA570" s="863"/>
      <c r="DB570" s="863"/>
      <c r="DC570" s="863"/>
      <c r="DD570" s="863"/>
      <c r="DE570" s="863"/>
    </row>
    <row r="571">
      <c r="A571" s="876"/>
      <c r="B571" s="876"/>
      <c r="C571" s="876"/>
      <c r="D571" s="876"/>
      <c r="E571" s="876"/>
      <c r="F571" s="876"/>
      <c r="G571" s="876"/>
      <c r="H571" s="876"/>
      <c r="I571" s="876"/>
      <c r="J571" s="876"/>
      <c r="K571" s="876"/>
      <c r="L571" s="876"/>
      <c r="M571" s="876"/>
      <c r="N571" s="877"/>
      <c r="O571" s="876"/>
      <c r="P571" s="876"/>
      <c r="Q571" s="876"/>
      <c r="R571" s="876"/>
      <c r="S571" s="876"/>
      <c r="T571" s="876"/>
      <c r="U571" s="876"/>
      <c r="V571" s="876"/>
      <c r="W571" s="876"/>
      <c r="X571" s="876"/>
      <c r="Y571" s="876"/>
      <c r="Z571" s="876"/>
      <c r="AA571" s="876"/>
      <c r="AB571" s="876"/>
      <c r="AC571" s="876"/>
      <c r="AD571" s="876"/>
      <c r="AE571" s="876"/>
      <c r="AF571" s="876"/>
      <c r="AG571" s="876"/>
      <c r="AH571" s="876"/>
      <c r="AI571" s="878"/>
      <c r="AJ571" s="880"/>
      <c r="AK571" s="880"/>
      <c r="AL571" s="880"/>
      <c r="AM571" s="880"/>
      <c r="AN571" s="880"/>
      <c r="AO571" s="880"/>
      <c r="AP571" s="880"/>
      <c r="AQ571" s="880"/>
      <c r="AR571" s="880"/>
      <c r="AS571" s="880"/>
      <c r="AT571" s="880"/>
      <c r="AU571" s="880"/>
      <c r="AV571" s="880"/>
      <c r="AW571" s="881"/>
      <c r="AX571" s="863"/>
      <c r="AY571" s="863"/>
      <c r="AZ571" s="863"/>
      <c r="BA571" s="863"/>
      <c r="BB571" s="863"/>
      <c r="BC571" s="863"/>
      <c r="BD571" s="863"/>
      <c r="BE571" s="863"/>
      <c r="BF571" s="863"/>
      <c r="BG571" s="863"/>
      <c r="BH571" s="863"/>
      <c r="BI571" s="863"/>
      <c r="BJ571" s="863"/>
      <c r="BK571" s="863"/>
      <c r="BL571" s="863"/>
      <c r="BM571" s="863"/>
      <c r="BN571" s="863"/>
      <c r="BO571" s="863"/>
      <c r="BP571" s="880"/>
      <c r="BQ571" s="863"/>
      <c r="BR571" s="883"/>
      <c r="BS571" s="883"/>
      <c r="BT571" s="883"/>
      <c r="BU571" s="883"/>
      <c r="BV571" s="883"/>
      <c r="BW571" s="883"/>
      <c r="BX571" s="883"/>
      <c r="BY571" s="883"/>
      <c r="BZ571" s="883"/>
      <c r="CA571" s="883"/>
      <c r="CB571" s="883"/>
      <c r="CC571" s="883"/>
      <c r="CD571" s="884"/>
      <c r="CE571" s="883"/>
      <c r="CF571" s="883"/>
      <c r="CG571" s="883"/>
      <c r="CH571" s="883"/>
      <c r="CI571" s="883"/>
      <c r="CJ571" s="883"/>
      <c r="CK571" s="883"/>
      <c r="CL571" s="883"/>
      <c r="CM571" s="883"/>
      <c r="CN571" s="883"/>
      <c r="CO571" s="883"/>
      <c r="CP571" s="883"/>
      <c r="CQ571" s="883"/>
      <c r="CR571" s="883"/>
      <c r="CS571" s="883"/>
      <c r="CT571" s="883"/>
      <c r="CU571" s="883"/>
      <c r="CV571" s="863"/>
      <c r="CW571" s="863"/>
      <c r="CX571" s="863"/>
      <c r="CY571" s="863"/>
      <c r="CZ571" s="863"/>
      <c r="DA571" s="863"/>
      <c r="DB571" s="863"/>
      <c r="DC571" s="863"/>
      <c r="DD571" s="863"/>
      <c r="DE571" s="863"/>
    </row>
    <row r="572">
      <c r="A572" s="876"/>
      <c r="B572" s="876"/>
      <c r="C572" s="876"/>
      <c r="D572" s="876"/>
      <c r="E572" s="876"/>
      <c r="F572" s="876"/>
      <c r="G572" s="876"/>
      <c r="H572" s="876"/>
      <c r="I572" s="876"/>
      <c r="J572" s="876"/>
      <c r="K572" s="876"/>
      <c r="L572" s="876"/>
      <c r="M572" s="876"/>
      <c r="N572" s="877"/>
      <c r="O572" s="876"/>
      <c r="P572" s="876"/>
      <c r="Q572" s="876"/>
      <c r="R572" s="876"/>
      <c r="S572" s="876"/>
      <c r="T572" s="876"/>
      <c r="U572" s="876"/>
      <c r="V572" s="876"/>
      <c r="W572" s="876"/>
      <c r="X572" s="876"/>
      <c r="Y572" s="876"/>
      <c r="Z572" s="876"/>
      <c r="AA572" s="876"/>
      <c r="AB572" s="876"/>
      <c r="AC572" s="876"/>
      <c r="AD572" s="876"/>
      <c r="AE572" s="876"/>
      <c r="AF572" s="876"/>
      <c r="AG572" s="876"/>
      <c r="AH572" s="876"/>
      <c r="AI572" s="878"/>
      <c r="AJ572" s="880"/>
      <c r="AK572" s="880"/>
      <c r="AL572" s="880"/>
      <c r="AM572" s="880"/>
      <c r="AN572" s="880"/>
      <c r="AO572" s="880"/>
      <c r="AP572" s="880"/>
      <c r="AQ572" s="880"/>
      <c r="AR572" s="880"/>
      <c r="AS572" s="880"/>
      <c r="AT572" s="880"/>
      <c r="AU572" s="880"/>
      <c r="AV572" s="880"/>
      <c r="AW572" s="881"/>
      <c r="AX572" s="863"/>
      <c r="AY572" s="863"/>
      <c r="AZ572" s="863"/>
      <c r="BA572" s="863"/>
      <c r="BB572" s="863"/>
      <c r="BC572" s="863"/>
      <c r="BD572" s="863"/>
      <c r="BE572" s="863"/>
      <c r="BF572" s="863"/>
      <c r="BG572" s="863"/>
      <c r="BH572" s="863"/>
      <c r="BI572" s="863"/>
      <c r="BJ572" s="863"/>
      <c r="BK572" s="863"/>
      <c r="BL572" s="863"/>
      <c r="BM572" s="863"/>
      <c r="BN572" s="863"/>
      <c r="BO572" s="863"/>
      <c r="BP572" s="880"/>
      <c r="BQ572" s="863"/>
      <c r="BR572" s="883"/>
      <c r="BS572" s="883"/>
      <c r="BT572" s="883"/>
      <c r="BU572" s="883"/>
      <c r="BV572" s="883"/>
      <c r="BW572" s="883"/>
      <c r="BX572" s="883"/>
      <c r="BY572" s="883"/>
      <c r="BZ572" s="883"/>
      <c r="CA572" s="883"/>
      <c r="CB572" s="883"/>
      <c r="CC572" s="883"/>
      <c r="CD572" s="884"/>
      <c r="CE572" s="883"/>
      <c r="CF572" s="883"/>
      <c r="CG572" s="883"/>
      <c r="CH572" s="883"/>
      <c r="CI572" s="883"/>
      <c r="CJ572" s="883"/>
      <c r="CK572" s="883"/>
      <c r="CL572" s="883"/>
      <c r="CM572" s="883"/>
      <c r="CN572" s="883"/>
      <c r="CO572" s="883"/>
      <c r="CP572" s="883"/>
      <c r="CQ572" s="883"/>
      <c r="CR572" s="883"/>
      <c r="CS572" s="883"/>
      <c r="CT572" s="883"/>
      <c r="CU572" s="883"/>
      <c r="CV572" s="863"/>
      <c r="CW572" s="863"/>
      <c r="CX572" s="863"/>
      <c r="CY572" s="863"/>
      <c r="CZ572" s="863"/>
      <c r="DA572" s="863"/>
      <c r="DB572" s="863"/>
      <c r="DC572" s="863"/>
      <c r="DD572" s="863"/>
      <c r="DE572" s="863"/>
    </row>
    <row r="573">
      <c r="A573" s="876"/>
      <c r="B573" s="876"/>
      <c r="C573" s="876"/>
      <c r="D573" s="876"/>
      <c r="E573" s="876"/>
      <c r="F573" s="876"/>
      <c r="G573" s="876"/>
      <c r="H573" s="876"/>
      <c r="I573" s="876"/>
      <c r="J573" s="876"/>
      <c r="K573" s="876"/>
      <c r="L573" s="876"/>
      <c r="M573" s="876"/>
      <c r="N573" s="877"/>
      <c r="O573" s="876"/>
      <c r="P573" s="876"/>
      <c r="Q573" s="876"/>
      <c r="R573" s="876"/>
      <c r="S573" s="876"/>
      <c r="T573" s="876"/>
      <c r="U573" s="876"/>
      <c r="V573" s="876"/>
      <c r="W573" s="876"/>
      <c r="X573" s="876"/>
      <c r="Y573" s="876"/>
      <c r="Z573" s="876"/>
      <c r="AA573" s="876"/>
      <c r="AB573" s="876"/>
      <c r="AC573" s="876"/>
      <c r="AD573" s="876"/>
      <c r="AE573" s="876"/>
      <c r="AF573" s="876"/>
      <c r="AG573" s="876"/>
      <c r="AH573" s="876"/>
      <c r="AI573" s="878"/>
      <c r="AJ573" s="880"/>
      <c r="AK573" s="880"/>
      <c r="AL573" s="880"/>
      <c r="AM573" s="880"/>
      <c r="AN573" s="880"/>
      <c r="AO573" s="880"/>
      <c r="AP573" s="880"/>
      <c r="AQ573" s="880"/>
      <c r="AR573" s="880"/>
      <c r="AS573" s="880"/>
      <c r="AT573" s="880"/>
      <c r="AU573" s="880"/>
      <c r="AV573" s="880"/>
      <c r="AW573" s="881"/>
      <c r="AX573" s="863"/>
      <c r="AY573" s="863"/>
      <c r="AZ573" s="863"/>
      <c r="BA573" s="863"/>
      <c r="BB573" s="863"/>
      <c r="BC573" s="863"/>
      <c r="BD573" s="863"/>
      <c r="BE573" s="863"/>
      <c r="BF573" s="863"/>
      <c r="BG573" s="863"/>
      <c r="BH573" s="863"/>
      <c r="BI573" s="863"/>
      <c r="BJ573" s="863"/>
      <c r="BK573" s="863"/>
      <c r="BL573" s="863"/>
      <c r="BM573" s="863"/>
      <c r="BN573" s="863"/>
      <c r="BO573" s="863"/>
      <c r="BP573" s="880"/>
      <c r="BQ573" s="863"/>
      <c r="BR573" s="883"/>
      <c r="BS573" s="883"/>
      <c r="BT573" s="883"/>
      <c r="BU573" s="883"/>
      <c r="BV573" s="883"/>
      <c r="BW573" s="883"/>
      <c r="BX573" s="883"/>
      <c r="BY573" s="883"/>
      <c r="BZ573" s="883"/>
      <c r="CA573" s="883"/>
      <c r="CB573" s="883"/>
      <c r="CC573" s="883"/>
      <c r="CD573" s="884"/>
      <c r="CE573" s="883"/>
      <c r="CF573" s="883"/>
      <c r="CG573" s="883"/>
      <c r="CH573" s="883"/>
      <c r="CI573" s="883"/>
      <c r="CJ573" s="883"/>
      <c r="CK573" s="883"/>
      <c r="CL573" s="883"/>
      <c r="CM573" s="883"/>
      <c r="CN573" s="883"/>
      <c r="CO573" s="883"/>
      <c r="CP573" s="883"/>
      <c r="CQ573" s="883"/>
      <c r="CR573" s="883"/>
      <c r="CS573" s="883"/>
      <c r="CT573" s="883"/>
      <c r="CU573" s="883"/>
      <c r="CV573" s="863"/>
      <c r="CW573" s="863"/>
      <c r="CX573" s="863"/>
      <c r="CY573" s="863"/>
      <c r="CZ573" s="863"/>
      <c r="DA573" s="863"/>
      <c r="DB573" s="863"/>
      <c r="DC573" s="863"/>
      <c r="DD573" s="863"/>
      <c r="DE573" s="863"/>
    </row>
    <row r="574">
      <c r="A574" s="876"/>
      <c r="B574" s="876"/>
      <c r="C574" s="876"/>
      <c r="D574" s="876"/>
      <c r="E574" s="876"/>
      <c r="F574" s="876"/>
      <c r="G574" s="876"/>
      <c r="H574" s="876"/>
      <c r="I574" s="876"/>
      <c r="J574" s="876"/>
      <c r="K574" s="876"/>
      <c r="L574" s="876"/>
      <c r="M574" s="876"/>
      <c r="N574" s="877"/>
      <c r="O574" s="876"/>
      <c r="P574" s="876"/>
      <c r="Q574" s="876"/>
      <c r="R574" s="876"/>
      <c r="S574" s="876"/>
      <c r="T574" s="876"/>
      <c r="U574" s="876"/>
      <c r="V574" s="876"/>
      <c r="W574" s="876"/>
      <c r="X574" s="876"/>
      <c r="Y574" s="876"/>
      <c r="Z574" s="876"/>
      <c r="AA574" s="876"/>
      <c r="AB574" s="876"/>
      <c r="AC574" s="876"/>
      <c r="AD574" s="876"/>
      <c r="AE574" s="876"/>
      <c r="AF574" s="876"/>
      <c r="AG574" s="876"/>
      <c r="AH574" s="876"/>
      <c r="AI574" s="878"/>
      <c r="AJ574" s="880"/>
      <c r="AK574" s="880"/>
      <c r="AL574" s="880"/>
      <c r="AM574" s="880"/>
      <c r="AN574" s="880"/>
      <c r="AO574" s="880"/>
      <c r="AP574" s="880"/>
      <c r="AQ574" s="880"/>
      <c r="AR574" s="880"/>
      <c r="AS574" s="880"/>
      <c r="AT574" s="880"/>
      <c r="AU574" s="880"/>
      <c r="AV574" s="880"/>
      <c r="AW574" s="881"/>
      <c r="AX574" s="863"/>
      <c r="AY574" s="863"/>
      <c r="AZ574" s="863"/>
      <c r="BA574" s="863"/>
      <c r="BB574" s="863"/>
      <c r="BC574" s="863"/>
      <c r="BD574" s="863"/>
      <c r="BE574" s="863"/>
      <c r="BF574" s="863"/>
      <c r="BG574" s="863"/>
      <c r="BH574" s="863"/>
      <c r="BI574" s="863"/>
      <c r="BJ574" s="863"/>
      <c r="BK574" s="863"/>
      <c r="BL574" s="863"/>
      <c r="BM574" s="863"/>
      <c r="BN574" s="863"/>
      <c r="BO574" s="863"/>
      <c r="BP574" s="880"/>
      <c r="BQ574" s="863"/>
      <c r="BR574" s="883"/>
      <c r="BS574" s="883"/>
      <c r="BT574" s="883"/>
      <c r="BU574" s="883"/>
      <c r="BV574" s="883"/>
      <c r="BW574" s="883"/>
      <c r="BX574" s="883"/>
      <c r="BY574" s="883"/>
      <c r="BZ574" s="883"/>
      <c r="CA574" s="883"/>
      <c r="CB574" s="883"/>
      <c r="CC574" s="883"/>
      <c r="CD574" s="884"/>
      <c r="CE574" s="883"/>
      <c r="CF574" s="883"/>
      <c r="CG574" s="883"/>
      <c r="CH574" s="883"/>
      <c r="CI574" s="883"/>
      <c r="CJ574" s="883"/>
      <c r="CK574" s="883"/>
      <c r="CL574" s="883"/>
      <c r="CM574" s="883"/>
      <c r="CN574" s="883"/>
      <c r="CO574" s="883"/>
      <c r="CP574" s="883"/>
      <c r="CQ574" s="883"/>
      <c r="CR574" s="883"/>
      <c r="CS574" s="883"/>
      <c r="CT574" s="883"/>
      <c r="CU574" s="883"/>
      <c r="CV574" s="863"/>
      <c r="CW574" s="863"/>
      <c r="CX574" s="863"/>
      <c r="CY574" s="863"/>
      <c r="CZ574" s="863"/>
      <c r="DA574" s="863"/>
      <c r="DB574" s="863"/>
      <c r="DC574" s="863"/>
      <c r="DD574" s="863"/>
      <c r="DE574" s="863"/>
    </row>
    <row r="575">
      <c r="A575" s="876"/>
      <c r="B575" s="876"/>
      <c r="C575" s="876"/>
      <c r="D575" s="876"/>
      <c r="E575" s="876"/>
      <c r="F575" s="876"/>
      <c r="G575" s="876"/>
      <c r="H575" s="876"/>
      <c r="I575" s="876"/>
      <c r="J575" s="876"/>
      <c r="K575" s="876"/>
      <c r="L575" s="876"/>
      <c r="M575" s="876"/>
      <c r="N575" s="877"/>
      <c r="O575" s="876"/>
      <c r="P575" s="876"/>
      <c r="Q575" s="876"/>
      <c r="R575" s="876"/>
      <c r="S575" s="876"/>
      <c r="T575" s="876"/>
      <c r="U575" s="876"/>
      <c r="V575" s="876"/>
      <c r="W575" s="876"/>
      <c r="X575" s="876"/>
      <c r="Y575" s="876"/>
      <c r="Z575" s="876"/>
      <c r="AA575" s="876"/>
      <c r="AB575" s="876"/>
      <c r="AC575" s="876"/>
      <c r="AD575" s="876"/>
      <c r="AE575" s="876"/>
      <c r="AF575" s="876"/>
      <c r="AG575" s="876"/>
      <c r="AH575" s="876"/>
      <c r="AI575" s="878"/>
      <c r="AJ575" s="880"/>
      <c r="AK575" s="880"/>
      <c r="AL575" s="880"/>
      <c r="AM575" s="880"/>
      <c r="AN575" s="880"/>
      <c r="AO575" s="880"/>
      <c r="AP575" s="880"/>
      <c r="AQ575" s="880"/>
      <c r="AR575" s="880"/>
      <c r="AS575" s="880"/>
      <c r="AT575" s="880"/>
      <c r="AU575" s="880"/>
      <c r="AV575" s="880"/>
      <c r="AW575" s="881"/>
      <c r="AX575" s="863"/>
      <c r="AY575" s="863"/>
      <c r="AZ575" s="863"/>
      <c r="BA575" s="863"/>
      <c r="BB575" s="863"/>
      <c r="BC575" s="863"/>
      <c r="BD575" s="863"/>
      <c r="BE575" s="863"/>
      <c r="BF575" s="863"/>
      <c r="BG575" s="863"/>
      <c r="BH575" s="863"/>
      <c r="BI575" s="863"/>
      <c r="BJ575" s="863"/>
      <c r="BK575" s="863"/>
      <c r="BL575" s="863"/>
      <c r="BM575" s="863"/>
      <c r="BN575" s="863"/>
      <c r="BO575" s="863"/>
      <c r="BP575" s="880"/>
      <c r="BQ575" s="863"/>
      <c r="BR575" s="883"/>
      <c r="BS575" s="883"/>
      <c r="BT575" s="883"/>
      <c r="BU575" s="883"/>
      <c r="BV575" s="883"/>
      <c r="BW575" s="883"/>
      <c r="BX575" s="883"/>
      <c r="BY575" s="883"/>
      <c r="BZ575" s="883"/>
      <c r="CA575" s="883"/>
      <c r="CB575" s="883"/>
      <c r="CC575" s="883"/>
      <c r="CD575" s="884"/>
      <c r="CE575" s="883"/>
      <c r="CF575" s="883"/>
      <c r="CG575" s="883"/>
      <c r="CH575" s="883"/>
      <c r="CI575" s="883"/>
      <c r="CJ575" s="883"/>
      <c r="CK575" s="883"/>
      <c r="CL575" s="883"/>
      <c r="CM575" s="883"/>
      <c r="CN575" s="883"/>
      <c r="CO575" s="883"/>
      <c r="CP575" s="883"/>
      <c r="CQ575" s="883"/>
      <c r="CR575" s="883"/>
      <c r="CS575" s="883"/>
      <c r="CT575" s="883"/>
      <c r="CU575" s="883"/>
      <c r="CV575" s="863"/>
      <c r="CW575" s="863"/>
      <c r="CX575" s="863"/>
      <c r="CY575" s="863"/>
      <c r="CZ575" s="863"/>
      <c r="DA575" s="863"/>
      <c r="DB575" s="863"/>
      <c r="DC575" s="863"/>
      <c r="DD575" s="863"/>
      <c r="DE575" s="863"/>
    </row>
    <row r="576">
      <c r="A576" s="876"/>
      <c r="B576" s="876"/>
      <c r="C576" s="876"/>
      <c r="D576" s="876"/>
      <c r="E576" s="876"/>
      <c r="F576" s="876"/>
      <c r="G576" s="876"/>
      <c r="H576" s="876"/>
      <c r="I576" s="876"/>
      <c r="J576" s="876"/>
      <c r="K576" s="876"/>
      <c r="L576" s="876"/>
      <c r="M576" s="876"/>
      <c r="N576" s="877"/>
      <c r="O576" s="876"/>
      <c r="P576" s="876"/>
      <c r="Q576" s="876"/>
      <c r="R576" s="876"/>
      <c r="S576" s="876"/>
      <c r="T576" s="876"/>
      <c r="U576" s="876"/>
      <c r="V576" s="876"/>
      <c r="W576" s="876"/>
      <c r="X576" s="876"/>
      <c r="Y576" s="876"/>
      <c r="Z576" s="876"/>
      <c r="AA576" s="876"/>
      <c r="AB576" s="876"/>
      <c r="AC576" s="876"/>
      <c r="AD576" s="876"/>
      <c r="AE576" s="876"/>
      <c r="AF576" s="876"/>
      <c r="AG576" s="876"/>
      <c r="AH576" s="876"/>
      <c r="AI576" s="878"/>
      <c r="AJ576" s="880"/>
      <c r="AK576" s="880"/>
      <c r="AL576" s="880"/>
      <c r="AM576" s="880"/>
      <c r="AN576" s="880"/>
      <c r="AO576" s="880"/>
      <c r="AP576" s="880"/>
      <c r="AQ576" s="880"/>
      <c r="AR576" s="880"/>
      <c r="AS576" s="880"/>
      <c r="AT576" s="880"/>
      <c r="AU576" s="880"/>
      <c r="AV576" s="880"/>
      <c r="AW576" s="881"/>
      <c r="AX576" s="863"/>
      <c r="AY576" s="863"/>
      <c r="AZ576" s="863"/>
      <c r="BA576" s="863"/>
      <c r="BB576" s="863"/>
      <c r="BC576" s="863"/>
      <c r="BD576" s="863"/>
      <c r="BE576" s="863"/>
      <c r="BF576" s="863"/>
      <c r="BG576" s="863"/>
      <c r="BH576" s="863"/>
      <c r="BI576" s="863"/>
      <c r="BJ576" s="863"/>
      <c r="BK576" s="863"/>
      <c r="BL576" s="863"/>
      <c r="BM576" s="863"/>
      <c r="BN576" s="863"/>
      <c r="BO576" s="863"/>
      <c r="BP576" s="880"/>
      <c r="BQ576" s="863"/>
      <c r="BR576" s="883"/>
      <c r="BS576" s="883"/>
      <c r="BT576" s="883"/>
      <c r="BU576" s="883"/>
      <c r="BV576" s="883"/>
      <c r="BW576" s="883"/>
      <c r="BX576" s="883"/>
      <c r="BY576" s="883"/>
      <c r="BZ576" s="883"/>
      <c r="CA576" s="883"/>
      <c r="CB576" s="883"/>
      <c r="CC576" s="883"/>
      <c r="CD576" s="884"/>
      <c r="CE576" s="883"/>
      <c r="CF576" s="883"/>
      <c r="CG576" s="883"/>
      <c r="CH576" s="883"/>
      <c r="CI576" s="883"/>
      <c r="CJ576" s="883"/>
      <c r="CK576" s="883"/>
      <c r="CL576" s="883"/>
      <c r="CM576" s="883"/>
      <c r="CN576" s="883"/>
      <c r="CO576" s="883"/>
      <c r="CP576" s="883"/>
      <c r="CQ576" s="883"/>
      <c r="CR576" s="883"/>
      <c r="CS576" s="883"/>
      <c r="CT576" s="883"/>
      <c r="CU576" s="883"/>
      <c r="CV576" s="863"/>
      <c r="CW576" s="863"/>
      <c r="CX576" s="863"/>
      <c r="CY576" s="863"/>
      <c r="CZ576" s="863"/>
      <c r="DA576" s="863"/>
      <c r="DB576" s="863"/>
      <c r="DC576" s="863"/>
      <c r="DD576" s="863"/>
      <c r="DE576" s="863"/>
    </row>
    <row r="577">
      <c r="A577" s="876"/>
      <c r="B577" s="876"/>
      <c r="C577" s="876"/>
      <c r="D577" s="876"/>
      <c r="E577" s="876"/>
      <c r="F577" s="876"/>
      <c r="G577" s="876"/>
      <c r="H577" s="876"/>
      <c r="I577" s="876"/>
      <c r="J577" s="876"/>
      <c r="K577" s="876"/>
      <c r="L577" s="876"/>
      <c r="M577" s="876"/>
      <c r="N577" s="877"/>
      <c r="O577" s="876"/>
      <c r="P577" s="876"/>
      <c r="Q577" s="876"/>
      <c r="R577" s="876"/>
      <c r="S577" s="876"/>
      <c r="T577" s="876"/>
      <c r="U577" s="876"/>
      <c r="V577" s="876"/>
      <c r="W577" s="876"/>
      <c r="X577" s="876"/>
      <c r="Y577" s="876"/>
      <c r="Z577" s="876"/>
      <c r="AA577" s="876"/>
      <c r="AB577" s="876"/>
      <c r="AC577" s="876"/>
      <c r="AD577" s="876"/>
      <c r="AE577" s="876"/>
      <c r="AF577" s="876"/>
      <c r="AG577" s="876"/>
      <c r="AH577" s="876"/>
      <c r="AI577" s="878"/>
      <c r="AJ577" s="880"/>
      <c r="AK577" s="880"/>
      <c r="AL577" s="880"/>
      <c r="AM577" s="880"/>
      <c r="AN577" s="880"/>
      <c r="AO577" s="880"/>
      <c r="AP577" s="880"/>
      <c r="AQ577" s="880"/>
      <c r="AR577" s="880"/>
      <c r="AS577" s="880"/>
      <c r="AT577" s="880"/>
      <c r="AU577" s="880"/>
      <c r="AV577" s="880"/>
      <c r="AW577" s="881"/>
      <c r="AX577" s="863"/>
      <c r="AY577" s="863"/>
      <c r="AZ577" s="863"/>
      <c r="BA577" s="863"/>
      <c r="BB577" s="863"/>
      <c r="BC577" s="863"/>
      <c r="BD577" s="863"/>
      <c r="BE577" s="863"/>
      <c r="BF577" s="863"/>
      <c r="BG577" s="863"/>
      <c r="BH577" s="863"/>
      <c r="BI577" s="863"/>
      <c r="BJ577" s="863"/>
      <c r="BK577" s="863"/>
      <c r="BL577" s="863"/>
      <c r="BM577" s="863"/>
      <c r="BN577" s="863"/>
      <c r="BO577" s="863"/>
      <c r="BP577" s="880"/>
      <c r="BQ577" s="863"/>
      <c r="BR577" s="883"/>
      <c r="BS577" s="883"/>
      <c r="BT577" s="883"/>
      <c r="BU577" s="883"/>
      <c r="BV577" s="883"/>
      <c r="BW577" s="883"/>
      <c r="BX577" s="883"/>
      <c r="BY577" s="883"/>
      <c r="BZ577" s="883"/>
      <c r="CA577" s="883"/>
      <c r="CB577" s="883"/>
      <c r="CC577" s="883"/>
      <c r="CD577" s="884"/>
      <c r="CE577" s="883"/>
      <c r="CF577" s="883"/>
      <c r="CG577" s="883"/>
      <c r="CH577" s="883"/>
      <c r="CI577" s="883"/>
      <c r="CJ577" s="883"/>
      <c r="CK577" s="883"/>
      <c r="CL577" s="883"/>
      <c r="CM577" s="883"/>
      <c r="CN577" s="883"/>
      <c r="CO577" s="883"/>
      <c r="CP577" s="883"/>
      <c r="CQ577" s="883"/>
      <c r="CR577" s="883"/>
      <c r="CS577" s="883"/>
      <c r="CT577" s="883"/>
      <c r="CU577" s="883"/>
      <c r="CV577" s="863"/>
      <c r="CW577" s="863"/>
      <c r="CX577" s="863"/>
      <c r="CY577" s="863"/>
      <c r="CZ577" s="863"/>
      <c r="DA577" s="863"/>
      <c r="DB577" s="863"/>
      <c r="DC577" s="863"/>
      <c r="DD577" s="863"/>
      <c r="DE577" s="863"/>
    </row>
    <row r="578">
      <c r="A578" s="876"/>
      <c r="B578" s="876"/>
      <c r="C578" s="876"/>
      <c r="D578" s="876"/>
      <c r="E578" s="876"/>
      <c r="F578" s="876"/>
      <c r="G578" s="876"/>
      <c r="H578" s="876"/>
      <c r="I578" s="876"/>
      <c r="J578" s="876"/>
      <c r="K578" s="876"/>
      <c r="L578" s="876"/>
      <c r="M578" s="876"/>
      <c r="N578" s="877"/>
      <c r="O578" s="876"/>
      <c r="P578" s="876"/>
      <c r="Q578" s="876"/>
      <c r="R578" s="876"/>
      <c r="S578" s="876"/>
      <c r="T578" s="876"/>
      <c r="U578" s="876"/>
      <c r="V578" s="876"/>
      <c r="W578" s="876"/>
      <c r="X578" s="876"/>
      <c r="Y578" s="876"/>
      <c r="Z578" s="876"/>
      <c r="AA578" s="876"/>
      <c r="AB578" s="876"/>
      <c r="AC578" s="876"/>
      <c r="AD578" s="876"/>
      <c r="AE578" s="876"/>
      <c r="AF578" s="876"/>
      <c r="AG578" s="876"/>
      <c r="AH578" s="876"/>
      <c r="AI578" s="878"/>
      <c r="AJ578" s="880"/>
      <c r="AK578" s="880"/>
      <c r="AL578" s="880"/>
      <c r="AM578" s="880"/>
      <c r="AN578" s="880"/>
      <c r="AO578" s="880"/>
      <c r="AP578" s="880"/>
      <c r="AQ578" s="880"/>
      <c r="AR578" s="880"/>
      <c r="AS578" s="880"/>
      <c r="AT578" s="880"/>
      <c r="AU578" s="880"/>
      <c r="AV578" s="880"/>
      <c r="AW578" s="881"/>
      <c r="AX578" s="863"/>
      <c r="AY578" s="863"/>
      <c r="AZ578" s="863"/>
      <c r="BA578" s="863"/>
      <c r="BB578" s="863"/>
      <c r="BC578" s="863"/>
      <c r="BD578" s="863"/>
      <c r="BE578" s="863"/>
      <c r="BF578" s="863"/>
      <c r="BG578" s="863"/>
      <c r="BH578" s="863"/>
      <c r="BI578" s="863"/>
      <c r="BJ578" s="863"/>
      <c r="BK578" s="863"/>
      <c r="BL578" s="863"/>
      <c r="BM578" s="863"/>
      <c r="BN578" s="863"/>
      <c r="BO578" s="863"/>
      <c r="BP578" s="880"/>
      <c r="BQ578" s="863"/>
      <c r="BR578" s="883"/>
      <c r="BS578" s="883"/>
      <c r="BT578" s="883"/>
      <c r="BU578" s="883"/>
      <c r="BV578" s="883"/>
      <c r="BW578" s="883"/>
      <c r="BX578" s="883"/>
      <c r="BY578" s="883"/>
      <c r="BZ578" s="883"/>
      <c r="CA578" s="883"/>
      <c r="CB578" s="883"/>
      <c r="CC578" s="883"/>
      <c r="CD578" s="884"/>
      <c r="CE578" s="883"/>
      <c r="CF578" s="883"/>
      <c r="CG578" s="883"/>
      <c r="CH578" s="883"/>
      <c r="CI578" s="883"/>
      <c r="CJ578" s="883"/>
      <c r="CK578" s="883"/>
      <c r="CL578" s="883"/>
      <c r="CM578" s="883"/>
      <c r="CN578" s="883"/>
      <c r="CO578" s="883"/>
      <c r="CP578" s="883"/>
      <c r="CQ578" s="883"/>
      <c r="CR578" s="883"/>
      <c r="CS578" s="883"/>
      <c r="CT578" s="883"/>
      <c r="CU578" s="883"/>
      <c r="CV578" s="863"/>
      <c r="CW578" s="863"/>
      <c r="CX578" s="863"/>
      <c r="CY578" s="863"/>
      <c r="CZ578" s="863"/>
      <c r="DA578" s="863"/>
      <c r="DB578" s="863"/>
      <c r="DC578" s="863"/>
      <c r="DD578" s="863"/>
      <c r="DE578" s="863"/>
    </row>
    <row r="579">
      <c r="A579" s="876"/>
      <c r="B579" s="876"/>
      <c r="C579" s="876"/>
      <c r="D579" s="876"/>
      <c r="E579" s="876"/>
      <c r="F579" s="876"/>
      <c r="G579" s="876"/>
      <c r="H579" s="876"/>
      <c r="I579" s="876"/>
      <c r="J579" s="876"/>
      <c r="K579" s="876"/>
      <c r="L579" s="876"/>
      <c r="M579" s="876"/>
      <c r="N579" s="877"/>
      <c r="O579" s="876"/>
      <c r="P579" s="876"/>
      <c r="Q579" s="876"/>
      <c r="R579" s="876"/>
      <c r="S579" s="876"/>
      <c r="T579" s="876"/>
      <c r="U579" s="876"/>
      <c r="V579" s="876"/>
      <c r="W579" s="876"/>
      <c r="X579" s="876"/>
      <c r="Y579" s="876"/>
      <c r="Z579" s="876"/>
      <c r="AA579" s="876"/>
      <c r="AB579" s="876"/>
      <c r="AC579" s="876"/>
      <c r="AD579" s="876"/>
      <c r="AE579" s="876"/>
      <c r="AF579" s="876"/>
      <c r="AG579" s="876"/>
      <c r="AH579" s="876"/>
      <c r="AI579" s="878"/>
      <c r="AJ579" s="880"/>
      <c r="AK579" s="880"/>
      <c r="AL579" s="880"/>
      <c r="AM579" s="880"/>
      <c r="AN579" s="880"/>
      <c r="AO579" s="880"/>
      <c r="AP579" s="880"/>
      <c r="AQ579" s="880"/>
      <c r="AR579" s="880"/>
      <c r="AS579" s="880"/>
      <c r="AT579" s="880"/>
      <c r="AU579" s="880"/>
      <c r="AV579" s="880"/>
      <c r="AW579" s="881"/>
      <c r="AX579" s="863"/>
      <c r="AY579" s="863"/>
      <c r="AZ579" s="863"/>
      <c r="BA579" s="863"/>
      <c r="BB579" s="863"/>
      <c r="BC579" s="863"/>
      <c r="BD579" s="863"/>
      <c r="BE579" s="863"/>
      <c r="BF579" s="863"/>
      <c r="BG579" s="863"/>
      <c r="BH579" s="863"/>
      <c r="BI579" s="863"/>
      <c r="BJ579" s="863"/>
      <c r="BK579" s="863"/>
      <c r="BL579" s="863"/>
      <c r="BM579" s="863"/>
      <c r="BN579" s="863"/>
      <c r="BO579" s="863"/>
      <c r="BP579" s="880"/>
      <c r="BQ579" s="863"/>
      <c r="BR579" s="883"/>
      <c r="BS579" s="883"/>
      <c r="BT579" s="883"/>
      <c r="BU579" s="883"/>
      <c r="BV579" s="883"/>
      <c r="BW579" s="883"/>
      <c r="BX579" s="883"/>
      <c r="BY579" s="883"/>
      <c r="BZ579" s="883"/>
      <c r="CA579" s="883"/>
      <c r="CB579" s="883"/>
      <c r="CC579" s="883"/>
      <c r="CD579" s="884"/>
      <c r="CE579" s="883"/>
      <c r="CF579" s="883"/>
      <c r="CG579" s="883"/>
      <c r="CH579" s="883"/>
      <c r="CI579" s="883"/>
      <c r="CJ579" s="883"/>
      <c r="CK579" s="883"/>
      <c r="CL579" s="883"/>
      <c r="CM579" s="883"/>
      <c r="CN579" s="883"/>
      <c r="CO579" s="883"/>
      <c r="CP579" s="883"/>
      <c r="CQ579" s="883"/>
      <c r="CR579" s="883"/>
      <c r="CS579" s="883"/>
      <c r="CT579" s="883"/>
      <c r="CU579" s="883"/>
      <c r="CV579" s="863"/>
      <c r="CW579" s="863"/>
      <c r="CX579" s="863"/>
      <c r="CY579" s="863"/>
      <c r="CZ579" s="863"/>
      <c r="DA579" s="863"/>
      <c r="DB579" s="863"/>
      <c r="DC579" s="863"/>
      <c r="DD579" s="863"/>
      <c r="DE579" s="863"/>
    </row>
    <row r="580">
      <c r="A580" s="876"/>
      <c r="B580" s="876"/>
      <c r="C580" s="876"/>
      <c r="D580" s="876"/>
      <c r="E580" s="876"/>
      <c r="F580" s="876"/>
      <c r="G580" s="876"/>
      <c r="H580" s="876"/>
      <c r="I580" s="876"/>
      <c r="J580" s="876"/>
      <c r="K580" s="876"/>
      <c r="L580" s="876"/>
      <c r="M580" s="876"/>
      <c r="N580" s="877"/>
      <c r="O580" s="876"/>
      <c r="P580" s="876"/>
      <c r="Q580" s="876"/>
      <c r="R580" s="876"/>
      <c r="S580" s="876"/>
      <c r="T580" s="876"/>
      <c r="U580" s="876"/>
      <c r="V580" s="876"/>
      <c r="W580" s="876"/>
      <c r="X580" s="876"/>
      <c r="Y580" s="876"/>
      <c r="Z580" s="876"/>
      <c r="AA580" s="876"/>
      <c r="AB580" s="876"/>
      <c r="AC580" s="876"/>
      <c r="AD580" s="876"/>
      <c r="AE580" s="876"/>
      <c r="AF580" s="876"/>
      <c r="AG580" s="876"/>
      <c r="AH580" s="876"/>
      <c r="AI580" s="878"/>
      <c r="AJ580" s="880"/>
      <c r="AK580" s="880"/>
      <c r="AL580" s="880"/>
      <c r="AM580" s="880"/>
      <c r="AN580" s="880"/>
      <c r="AO580" s="880"/>
      <c r="AP580" s="880"/>
      <c r="AQ580" s="880"/>
      <c r="AR580" s="880"/>
      <c r="AS580" s="880"/>
      <c r="AT580" s="880"/>
      <c r="AU580" s="880"/>
      <c r="AV580" s="880"/>
      <c r="AW580" s="881"/>
      <c r="AX580" s="863"/>
      <c r="AY580" s="863"/>
      <c r="AZ580" s="863"/>
      <c r="BA580" s="863"/>
      <c r="BB580" s="863"/>
      <c r="BC580" s="863"/>
      <c r="BD580" s="863"/>
      <c r="BE580" s="863"/>
      <c r="BF580" s="863"/>
      <c r="BG580" s="863"/>
      <c r="BH580" s="863"/>
      <c r="BI580" s="863"/>
      <c r="BJ580" s="863"/>
      <c r="BK580" s="863"/>
      <c r="BL580" s="863"/>
      <c r="BM580" s="863"/>
      <c r="BN580" s="863"/>
      <c r="BO580" s="863"/>
      <c r="BP580" s="880"/>
      <c r="BQ580" s="863"/>
      <c r="BR580" s="883"/>
      <c r="BS580" s="883"/>
      <c r="BT580" s="883"/>
      <c r="BU580" s="883"/>
      <c r="BV580" s="883"/>
      <c r="BW580" s="883"/>
      <c r="BX580" s="883"/>
      <c r="BY580" s="883"/>
      <c r="BZ580" s="883"/>
      <c r="CA580" s="883"/>
      <c r="CB580" s="883"/>
      <c r="CC580" s="883"/>
      <c r="CD580" s="884"/>
      <c r="CE580" s="883"/>
      <c r="CF580" s="883"/>
      <c r="CG580" s="883"/>
      <c r="CH580" s="883"/>
      <c r="CI580" s="883"/>
      <c r="CJ580" s="883"/>
      <c r="CK580" s="883"/>
      <c r="CL580" s="883"/>
      <c r="CM580" s="883"/>
      <c r="CN580" s="883"/>
      <c r="CO580" s="883"/>
      <c r="CP580" s="883"/>
      <c r="CQ580" s="883"/>
      <c r="CR580" s="883"/>
      <c r="CS580" s="883"/>
      <c r="CT580" s="883"/>
      <c r="CU580" s="883"/>
      <c r="CV580" s="863"/>
      <c r="CW580" s="863"/>
      <c r="CX580" s="863"/>
      <c r="CY580" s="863"/>
      <c r="CZ580" s="863"/>
      <c r="DA580" s="863"/>
      <c r="DB580" s="863"/>
      <c r="DC580" s="863"/>
      <c r="DD580" s="863"/>
      <c r="DE580" s="863"/>
    </row>
    <row r="581">
      <c r="A581" s="876"/>
      <c r="B581" s="876"/>
      <c r="C581" s="876"/>
      <c r="D581" s="876"/>
      <c r="E581" s="876"/>
      <c r="F581" s="876"/>
      <c r="G581" s="876"/>
      <c r="H581" s="876"/>
      <c r="I581" s="876"/>
      <c r="J581" s="876"/>
      <c r="K581" s="876"/>
      <c r="L581" s="876"/>
      <c r="M581" s="876"/>
      <c r="N581" s="877"/>
      <c r="O581" s="876"/>
      <c r="P581" s="876"/>
      <c r="Q581" s="876"/>
      <c r="R581" s="876"/>
      <c r="S581" s="876"/>
      <c r="T581" s="876"/>
      <c r="U581" s="876"/>
      <c r="V581" s="876"/>
      <c r="W581" s="876"/>
      <c r="X581" s="876"/>
      <c r="Y581" s="876"/>
      <c r="Z581" s="876"/>
      <c r="AA581" s="876"/>
      <c r="AB581" s="876"/>
      <c r="AC581" s="876"/>
      <c r="AD581" s="876"/>
      <c r="AE581" s="876"/>
      <c r="AF581" s="876"/>
      <c r="AG581" s="876"/>
      <c r="AH581" s="876"/>
      <c r="AI581" s="878"/>
      <c r="AJ581" s="880"/>
      <c r="AK581" s="880"/>
      <c r="AL581" s="880"/>
      <c r="AM581" s="880"/>
      <c r="AN581" s="880"/>
      <c r="AO581" s="880"/>
      <c r="AP581" s="880"/>
      <c r="AQ581" s="880"/>
      <c r="AR581" s="880"/>
      <c r="AS581" s="880"/>
      <c r="AT581" s="880"/>
      <c r="AU581" s="880"/>
      <c r="AV581" s="880"/>
      <c r="AW581" s="881"/>
      <c r="AX581" s="863"/>
      <c r="AY581" s="863"/>
      <c r="AZ581" s="863"/>
      <c r="BA581" s="863"/>
      <c r="BB581" s="863"/>
      <c r="BC581" s="863"/>
      <c r="BD581" s="863"/>
      <c r="BE581" s="863"/>
      <c r="BF581" s="863"/>
      <c r="BG581" s="863"/>
      <c r="BH581" s="863"/>
      <c r="BI581" s="863"/>
      <c r="BJ581" s="863"/>
      <c r="BK581" s="863"/>
      <c r="BL581" s="863"/>
      <c r="BM581" s="863"/>
      <c r="BN581" s="863"/>
      <c r="BO581" s="863"/>
      <c r="BP581" s="880"/>
      <c r="BQ581" s="863"/>
      <c r="BR581" s="883"/>
      <c r="BS581" s="883"/>
      <c r="BT581" s="883"/>
      <c r="BU581" s="883"/>
      <c r="BV581" s="883"/>
      <c r="BW581" s="883"/>
      <c r="BX581" s="883"/>
      <c r="BY581" s="883"/>
      <c r="BZ581" s="883"/>
      <c r="CA581" s="883"/>
      <c r="CB581" s="883"/>
      <c r="CC581" s="883"/>
      <c r="CD581" s="884"/>
      <c r="CE581" s="883"/>
      <c r="CF581" s="883"/>
      <c r="CG581" s="883"/>
      <c r="CH581" s="883"/>
      <c r="CI581" s="883"/>
      <c r="CJ581" s="883"/>
      <c r="CK581" s="883"/>
      <c r="CL581" s="883"/>
      <c r="CM581" s="883"/>
      <c r="CN581" s="883"/>
      <c r="CO581" s="883"/>
      <c r="CP581" s="883"/>
      <c r="CQ581" s="883"/>
      <c r="CR581" s="883"/>
      <c r="CS581" s="883"/>
      <c r="CT581" s="883"/>
      <c r="CU581" s="883"/>
      <c r="CV581" s="863"/>
      <c r="CW581" s="863"/>
      <c r="CX581" s="863"/>
      <c r="CY581" s="863"/>
      <c r="CZ581" s="863"/>
      <c r="DA581" s="863"/>
      <c r="DB581" s="863"/>
      <c r="DC581" s="863"/>
      <c r="DD581" s="863"/>
      <c r="DE581" s="863"/>
    </row>
    <row r="582">
      <c r="A582" s="876"/>
      <c r="B582" s="876"/>
      <c r="C582" s="876"/>
      <c r="D582" s="876"/>
      <c r="E582" s="876"/>
      <c r="F582" s="876"/>
      <c r="G582" s="876"/>
      <c r="H582" s="876"/>
      <c r="I582" s="876"/>
      <c r="J582" s="876"/>
      <c r="K582" s="876"/>
      <c r="L582" s="876"/>
      <c r="M582" s="876"/>
      <c r="N582" s="877"/>
      <c r="O582" s="876"/>
      <c r="P582" s="876"/>
      <c r="Q582" s="876"/>
      <c r="R582" s="876"/>
      <c r="S582" s="876"/>
      <c r="T582" s="876"/>
      <c r="U582" s="876"/>
      <c r="V582" s="876"/>
      <c r="W582" s="876"/>
      <c r="X582" s="876"/>
      <c r="Y582" s="876"/>
      <c r="Z582" s="876"/>
      <c r="AA582" s="876"/>
      <c r="AB582" s="876"/>
      <c r="AC582" s="876"/>
      <c r="AD582" s="876"/>
      <c r="AE582" s="876"/>
      <c r="AF582" s="876"/>
      <c r="AG582" s="876"/>
      <c r="AH582" s="876"/>
      <c r="AI582" s="878"/>
      <c r="AJ582" s="880"/>
      <c r="AK582" s="880"/>
      <c r="AL582" s="880"/>
      <c r="AM582" s="880"/>
      <c r="AN582" s="880"/>
      <c r="AO582" s="880"/>
      <c r="AP582" s="880"/>
      <c r="AQ582" s="880"/>
      <c r="AR582" s="880"/>
      <c r="AS582" s="880"/>
      <c r="AT582" s="880"/>
      <c r="AU582" s="880"/>
      <c r="AV582" s="880"/>
      <c r="AW582" s="881"/>
      <c r="AX582" s="863"/>
      <c r="AY582" s="863"/>
      <c r="AZ582" s="863"/>
      <c r="BA582" s="863"/>
      <c r="BB582" s="863"/>
      <c r="BC582" s="863"/>
      <c r="BD582" s="863"/>
      <c r="BE582" s="863"/>
      <c r="BF582" s="863"/>
      <c r="BG582" s="863"/>
      <c r="BH582" s="863"/>
      <c r="BI582" s="863"/>
      <c r="BJ582" s="863"/>
      <c r="BK582" s="863"/>
      <c r="BL582" s="863"/>
      <c r="BM582" s="863"/>
      <c r="BN582" s="863"/>
      <c r="BO582" s="863"/>
      <c r="BP582" s="880"/>
      <c r="BQ582" s="863"/>
      <c r="BR582" s="883"/>
      <c r="BS582" s="883"/>
      <c r="BT582" s="883"/>
      <c r="BU582" s="883"/>
      <c r="BV582" s="883"/>
      <c r="BW582" s="883"/>
      <c r="BX582" s="883"/>
      <c r="BY582" s="883"/>
      <c r="BZ582" s="883"/>
      <c r="CA582" s="883"/>
      <c r="CB582" s="883"/>
      <c r="CC582" s="883"/>
      <c r="CD582" s="884"/>
      <c r="CE582" s="883"/>
      <c r="CF582" s="883"/>
      <c r="CG582" s="883"/>
      <c r="CH582" s="883"/>
      <c r="CI582" s="883"/>
      <c r="CJ582" s="883"/>
      <c r="CK582" s="883"/>
      <c r="CL582" s="883"/>
      <c r="CM582" s="883"/>
      <c r="CN582" s="883"/>
      <c r="CO582" s="883"/>
      <c r="CP582" s="883"/>
      <c r="CQ582" s="883"/>
      <c r="CR582" s="883"/>
      <c r="CS582" s="883"/>
      <c r="CT582" s="883"/>
      <c r="CU582" s="883"/>
      <c r="CV582" s="863"/>
      <c r="CW582" s="863"/>
      <c r="CX582" s="863"/>
      <c r="CY582" s="863"/>
      <c r="CZ582" s="863"/>
      <c r="DA582" s="863"/>
      <c r="DB582" s="863"/>
      <c r="DC582" s="863"/>
      <c r="DD582" s="863"/>
      <c r="DE582" s="863"/>
    </row>
    <row r="583">
      <c r="A583" s="876"/>
      <c r="B583" s="876"/>
      <c r="C583" s="876"/>
      <c r="D583" s="876"/>
      <c r="E583" s="876"/>
      <c r="F583" s="876"/>
      <c r="G583" s="876"/>
      <c r="H583" s="876"/>
      <c r="I583" s="876"/>
      <c r="J583" s="876"/>
      <c r="K583" s="876"/>
      <c r="L583" s="876"/>
      <c r="M583" s="876"/>
      <c r="N583" s="877"/>
      <c r="O583" s="876"/>
      <c r="P583" s="876"/>
      <c r="Q583" s="876"/>
      <c r="R583" s="876"/>
      <c r="S583" s="876"/>
      <c r="T583" s="876"/>
      <c r="U583" s="876"/>
      <c r="V583" s="876"/>
      <c r="W583" s="876"/>
      <c r="X583" s="876"/>
      <c r="Y583" s="876"/>
      <c r="Z583" s="876"/>
      <c r="AA583" s="876"/>
      <c r="AB583" s="876"/>
      <c r="AC583" s="876"/>
      <c r="AD583" s="876"/>
      <c r="AE583" s="876"/>
      <c r="AF583" s="876"/>
      <c r="AG583" s="876"/>
      <c r="AH583" s="876"/>
      <c r="AI583" s="878"/>
      <c r="AJ583" s="880"/>
      <c r="AK583" s="880"/>
      <c r="AL583" s="880"/>
      <c r="AM583" s="880"/>
      <c r="AN583" s="880"/>
      <c r="AO583" s="880"/>
      <c r="AP583" s="880"/>
      <c r="AQ583" s="880"/>
      <c r="AR583" s="880"/>
      <c r="AS583" s="880"/>
      <c r="AT583" s="880"/>
      <c r="AU583" s="880"/>
      <c r="AV583" s="880"/>
      <c r="AW583" s="881"/>
      <c r="AX583" s="863"/>
      <c r="AY583" s="863"/>
      <c r="AZ583" s="863"/>
      <c r="BA583" s="863"/>
      <c r="BB583" s="863"/>
      <c r="BC583" s="863"/>
      <c r="BD583" s="863"/>
      <c r="BE583" s="863"/>
      <c r="BF583" s="863"/>
      <c r="BG583" s="863"/>
      <c r="BH583" s="863"/>
      <c r="BI583" s="863"/>
      <c r="BJ583" s="863"/>
      <c r="BK583" s="863"/>
      <c r="BL583" s="863"/>
      <c r="BM583" s="863"/>
      <c r="BN583" s="863"/>
      <c r="BO583" s="863"/>
      <c r="BP583" s="880"/>
      <c r="BQ583" s="863"/>
      <c r="BR583" s="883"/>
      <c r="BS583" s="883"/>
      <c r="BT583" s="883"/>
      <c r="BU583" s="883"/>
      <c r="BV583" s="883"/>
      <c r="BW583" s="883"/>
      <c r="BX583" s="883"/>
      <c r="BY583" s="883"/>
      <c r="BZ583" s="883"/>
      <c r="CA583" s="883"/>
      <c r="CB583" s="883"/>
      <c r="CC583" s="883"/>
      <c r="CD583" s="884"/>
      <c r="CE583" s="883"/>
      <c r="CF583" s="883"/>
      <c r="CG583" s="883"/>
      <c r="CH583" s="883"/>
      <c r="CI583" s="883"/>
      <c r="CJ583" s="883"/>
      <c r="CK583" s="883"/>
      <c r="CL583" s="883"/>
      <c r="CM583" s="883"/>
      <c r="CN583" s="883"/>
      <c r="CO583" s="883"/>
      <c r="CP583" s="883"/>
      <c r="CQ583" s="883"/>
      <c r="CR583" s="883"/>
      <c r="CS583" s="883"/>
      <c r="CT583" s="883"/>
      <c r="CU583" s="883"/>
      <c r="CV583" s="863"/>
      <c r="CW583" s="863"/>
      <c r="CX583" s="863"/>
      <c r="CY583" s="863"/>
      <c r="CZ583" s="863"/>
      <c r="DA583" s="863"/>
      <c r="DB583" s="863"/>
      <c r="DC583" s="863"/>
      <c r="DD583" s="863"/>
      <c r="DE583" s="863"/>
    </row>
    <row r="584">
      <c r="A584" s="876"/>
      <c r="B584" s="876"/>
      <c r="C584" s="876"/>
      <c r="D584" s="876"/>
      <c r="E584" s="876"/>
      <c r="F584" s="876"/>
      <c r="G584" s="876"/>
      <c r="H584" s="876"/>
      <c r="I584" s="876"/>
      <c r="J584" s="876"/>
      <c r="K584" s="876"/>
      <c r="L584" s="876"/>
      <c r="M584" s="876"/>
      <c r="N584" s="877"/>
      <c r="O584" s="876"/>
      <c r="P584" s="876"/>
      <c r="Q584" s="876"/>
      <c r="R584" s="876"/>
      <c r="S584" s="876"/>
      <c r="T584" s="876"/>
      <c r="U584" s="876"/>
      <c r="V584" s="876"/>
      <c r="W584" s="876"/>
      <c r="X584" s="876"/>
      <c r="Y584" s="876"/>
      <c r="Z584" s="876"/>
      <c r="AA584" s="876"/>
      <c r="AB584" s="876"/>
      <c r="AC584" s="876"/>
      <c r="AD584" s="876"/>
      <c r="AE584" s="876"/>
      <c r="AF584" s="876"/>
      <c r="AG584" s="876"/>
      <c r="AH584" s="876"/>
      <c r="AI584" s="878"/>
      <c r="AJ584" s="880"/>
      <c r="AK584" s="880"/>
      <c r="AL584" s="880"/>
      <c r="AM584" s="880"/>
      <c r="AN584" s="880"/>
      <c r="AO584" s="880"/>
      <c r="AP584" s="880"/>
      <c r="AQ584" s="880"/>
      <c r="AR584" s="880"/>
      <c r="AS584" s="880"/>
      <c r="AT584" s="880"/>
      <c r="AU584" s="880"/>
      <c r="AV584" s="880"/>
      <c r="AW584" s="881"/>
      <c r="AX584" s="863"/>
      <c r="AY584" s="863"/>
      <c r="AZ584" s="863"/>
      <c r="BA584" s="863"/>
      <c r="BB584" s="863"/>
      <c r="BC584" s="863"/>
      <c r="BD584" s="863"/>
      <c r="BE584" s="863"/>
      <c r="BF584" s="863"/>
      <c r="BG584" s="863"/>
      <c r="BH584" s="863"/>
      <c r="BI584" s="863"/>
      <c r="BJ584" s="863"/>
      <c r="BK584" s="863"/>
      <c r="BL584" s="863"/>
      <c r="BM584" s="863"/>
      <c r="BN584" s="863"/>
      <c r="BO584" s="863"/>
      <c r="BP584" s="880"/>
      <c r="BQ584" s="863"/>
      <c r="BR584" s="883"/>
      <c r="BS584" s="883"/>
      <c r="BT584" s="883"/>
      <c r="BU584" s="883"/>
      <c r="BV584" s="883"/>
      <c r="BW584" s="883"/>
      <c r="BX584" s="883"/>
      <c r="BY584" s="883"/>
      <c r="BZ584" s="883"/>
      <c r="CA584" s="883"/>
      <c r="CB584" s="883"/>
      <c r="CC584" s="883"/>
      <c r="CD584" s="884"/>
      <c r="CE584" s="883"/>
      <c r="CF584" s="883"/>
      <c r="CG584" s="883"/>
      <c r="CH584" s="883"/>
      <c r="CI584" s="883"/>
      <c r="CJ584" s="883"/>
      <c r="CK584" s="883"/>
      <c r="CL584" s="883"/>
      <c r="CM584" s="883"/>
      <c r="CN584" s="883"/>
      <c r="CO584" s="883"/>
      <c r="CP584" s="883"/>
      <c r="CQ584" s="883"/>
      <c r="CR584" s="883"/>
      <c r="CS584" s="883"/>
      <c r="CT584" s="883"/>
      <c r="CU584" s="883"/>
      <c r="CV584" s="863"/>
      <c r="CW584" s="863"/>
      <c r="CX584" s="863"/>
      <c r="CY584" s="863"/>
      <c r="CZ584" s="863"/>
      <c r="DA584" s="863"/>
      <c r="DB584" s="863"/>
      <c r="DC584" s="863"/>
      <c r="DD584" s="863"/>
      <c r="DE584" s="863"/>
    </row>
    <row r="585">
      <c r="A585" s="876"/>
      <c r="B585" s="876"/>
      <c r="C585" s="876"/>
      <c r="D585" s="876"/>
      <c r="E585" s="876"/>
      <c r="F585" s="876"/>
      <c r="G585" s="876"/>
      <c r="H585" s="876"/>
      <c r="I585" s="876"/>
      <c r="J585" s="876"/>
      <c r="K585" s="876"/>
      <c r="L585" s="876"/>
      <c r="M585" s="876"/>
      <c r="N585" s="877"/>
      <c r="O585" s="876"/>
      <c r="P585" s="876"/>
      <c r="Q585" s="876"/>
      <c r="R585" s="876"/>
      <c r="S585" s="876"/>
      <c r="T585" s="876"/>
      <c r="U585" s="876"/>
      <c r="V585" s="876"/>
      <c r="W585" s="876"/>
      <c r="X585" s="876"/>
      <c r="Y585" s="876"/>
      <c r="Z585" s="876"/>
      <c r="AA585" s="876"/>
      <c r="AB585" s="876"/>
      <c r="AC585" s="876"/>
      <c r="AD585" s="876"/>
      <c r="AE585" s="876"/>
      <c r="AF585" s="876"/>
      <c r="AG585" s="876"/>
      <c r="AH585" s="876"/>
      <c r="AI585" s="878"/>
      <c r="AJ585" s="880"/>
      <c r="AK585" s="880"/>
      <c r="AL585" s="880"/>
      <c r="AM585" s="880"/>
      <c r="AN585" s="880"/>
      <c r="AO585" s="880"/>
      <c r="AP585" s="880"/>
      <c r="AQ585" s="880"/>
      <c r="AR585" s="880"/>
      <c r="AS585" s="880"/>
      <c r="AT585" s="880"/>
      <c r="AU585" s="880"/>
      <c r="AV585" s="880"/>
      <c r="AW585" s="881"/>
      <c r="AX585" s="863"/>
      <c r="AY585" s="863"/>
      <c r="AZ585" s="863"/>
      <c r="BA585" s="863"/>
      <c r="BB585" s="863"/>
      <c r="BC585" s="863"/>
      <c r="BD585" s="863"/>
      <c r="BE585" s="863"/>
      <c r="BF585" s="863"/>
      <c r="BG585" s="863"/>
      <c r="BH585" s="863"/>
      <c r="BI585" s="863"/>
      <c r="BJ585" s="863"/>
      <c r="BK585" s="863"/>
      <c r="BL585" s="863"/>
      <c r="BM585" s="863"/>
      <c r="BN585" s="863"/>
      <c r="BO585" s="863"/>
      <c r="BP585" s="880"/>
      <c r="BQ585" s="863"/>
      <c r="BR585" s="883"/>
      <c r="BS585" s="883"/>
      <c r="BT585" s="883"/>
      <c r="BU585" s="883"/>
      <c r="BV585" s="883"/>
      <c r="BW585" s="883"/>
      <c r="BX585" s="883"/>
      <c r="BY585" s="883"/>
      <c r="BZ585" s="883"/>
      <c r="CA585" s="883"/>
      <c r="CB585" s="883"/>
      <c r="CC585" s="883"/>
      <c r="CD585" s="884"/>
      <c r="CE585" s="883"/>
      <c r="CF585" s="883"/>
      <c r="CG585" s="883"/>
      <c r="CH585" s="883"/>
      <c r="CI585" s="883"/>
      <c r="CJ585" s="883"/>
      <c r="CK585" s="883"/>
      <c r="CL585" s="883"/>
      <c r="CM585" s="883"/>
      <c r="CN585" s="883"/>
      <c r="CO585" s="883"/>
      <c r="CP585" s="883"/>
      <c r="CQ585" s="883"/>
      <c r="CR585" s="883"/>
      <c r="CS585" s="883"/>
      <c r="CT585" s="883"/>
      <c r="CU585" s="883"/>
      <c r="CV585" s="863"/>
      <c r="CW585" s="863"/>
      <c r="CX585" s="863"/>
      <c r="CY585" s="863"/>
      <c r="CZ585" s="863"/>
      <c r="DA585" s="863"/>
      <c r="DB585" s="863"/>
      <c r="DC585" s="863"/>
      <c r="DD585" s="863"/>
      <c r="DE585" s="863"/>
    </row>
    <row r="586">
      <c r="A586" s="876"/>
      <c r="B586" s="876"/>
      <c r="C586" s="876"/>
      <c r="D586" s="876"/>
      <c r="E586" s="876"/>
      <c r="F586" s="876"/>
      <c r="G586" s="876"/>
      <c r="H586" s="876"/>
      <c r="I586" s="876"/>
      <c r="J586" s="876"/>
      <c r="K586" s="876"/>
      <c r="L586" s="876"/>
      <c r="M586" s="876"/>
      <c r="N586" s="877"/>
      <c r="O586" s="876"/>
      <c r="P586" s="876"/>
      <c r="Q586" s="876"/>
      <c r="R586" s="876"/>
      <c r="S586" s="876"/>
      <c r="T586" s="876"/>
      <c r="U586" s="876"/>
      <c r="V586" s="876"/>
      <c r="W586" s="876"/>
      <c r="X586" s="876"/>
      <c r="Y586" s="876"/>
      <c r="Z586" s="876"/>
      <c r="AA586" s="876"/>
      <c r="AB586" s="876"/>
      <c r="AC586" s="876"/>
      <c r="AD586" s="876"/>
      <c r="AE586" s="876"/>
      <c r="AF586" s="876"/>
      <c r="AG586" s="876"/>
      <c r="AH586" s="876"/>
      <c r="AI586" s="878"/>
      <c r="AJ586" s="880"/>
      <c r="AK586" s="880"/>
      <c r="AL586" s="880"/>
      <c r="AM586" s="880"/>
      <c r="AN586" s="880"/>
      <c r="AO586" s="880"/>
      <c r="AP586" s="880"/>
      <c r="AQ586" s="880"/>
      <c r="AR586" s="880"/>
      <c r="AS586" s="880"/>
      <c r="AT586" s="880"/>
      <c r="AU586" s="880"/>
      <c r="AV586" s="880"/>
      <c r="AW586" s="881"/>
      <c r="AX586" s="863"/>
      <c r="AY586" s="863"/>
      <c r="AZ586" s="863"/>
      <c r="BA586" s="863"/>
      <c r="BB586" s="863"/>
      <c r="BC586" s="863"/>
      <c r="BD586" s="863"/>
      <c r="BE586" s="863"/>
      <c r="BF586" s="863"/>
      <c r="BG586" s="863"/>
      <c r="BH586" s="863"/>
      <c r="BI586" s="863"/>
      <c r="BJ586" s="863"/>
      <c r="BK586" s="863"/>
      <c r="BL586" s="863"/>
      <c r="BM586" s="863"/>
      <c r="BN586" s="863"/>
      <c r="BO586" s="863"/>
      <c r="BP586" s="880"/>
      <c r="BQ586" s="863"/>
      <c r="BR586" s="883"/>
      <c r="BS586" s="883"/>
      <c r="BT586" s="883"/>
      <c r="BU586" s="883"/>
      <c r="BV586" s="883"/>
      <c r="BW586" s="883"/>
      <c r="BX586" s="883"/>
      <c r="BY586" s="883"/>
      <c r="BZ586" s="883"/>
      <c r="CA586" s="883"/>
      <c r="CB586" s="883"/>
      <c r="CC586" s="883"/>
      <c r="CD586" s="884"/>
      <c r="CE586" s="883"/>
      <c r="CF586" s="883"/>
      <c r="CG586" s="883"/>
      <c r="CH586" s="883"/>
      <c r="CI586" s="883"/>
      <c r="CJ586" s="883"/>
      <c r="CK586" s="883"/>
      <c r="CL586" s="883"/>
      <c r="CM586" s="883"/>
      <c r="CN586" s="883"/>
      <c r="CO586" s="883"/>
      <c r="CP586" s="883"/>
      <c r="CQ586" s="883"/>
      <c r="CR586" s="883"/>
      <c r="CS586" s="883"/>
      <c r="CT586" s="883"/>
      <c r="CU586" s="883"/>
      <c r="CV586" s="863"/>
      <c r="CW586" s="863"/>
      <c r="CX586" s="863"/>
      <c r="CY586" s="863"/>
      <c r="CZ586" s="863"/>
      <c r="DA586" s="863"/>
      <c r="DB586" s="863"/>
      <c r="DC586" s="863"/>
      <c r="DD586" s="863"/>
      <c r="DE586" s="863"/>
    </row>
    <row r="587">
      <c r="A587" s="876"/>
      <c r="B587" s="876"/>
      <c r="C587" s="876"/>
      <c r="D587" s="876"/>
      <c r="E587" s="876"/>
      <c r="F587" s="876"/>
      <c r="G587" s="876"/>
      <c r="H587" s="876"/>
      <c r="I587" s="876"/>
      <c r="J587" s="876"/>
      <c r="K587" s="876"/>
      <c r="L587" s="876"/>
      <c r="M587" s="876"/>
      <c r="N587" s="877"/>
      <c r="O587" s="876"/>
      <c r="P587" s="876"/>
      <c r="Q587" s="876"/>
      <c r="R587" s="876"/>
      <c r="S587" s="876"/>
      <c r="T587" s="876"/>
      <c r="U587" s="876"/>
      <c r="V587" s="876"/>
      <c r="W587" s="876"/>
      <c r="X587" s="876"/>
      <c r="Y587" s="876"/>
      <c r="Z587" s="876"/>
      <c r="AA587" s="876"/>
      <c r="AB587" s="876"/>
      <c r="AC587" s="876"/>
      <c r="AD587" s="876"/>
      <c r="AE587" s="876"/>
      <c r="AF587" s="876"/>
      <c r="AG587" s="876"/>
      <c r="AH587" s="876"/>
      <c r="AI587" s="878"/>
      <c r="AJ587" s="880"/>
      <c r="AK587" s="880"/>
      <c r="AL587" s="880"/>
      <c r="AM587" s="880"/>
      <c r="AN587" s="880"/>
      <c r="AO587" s="880"/>
      <c r="AP587" s="880"/>
      <c r="AQ587" s="880"/>
      <c r="AR587" s="880"/>
      <c r="AS587" s="880"/>
      <c r="AT587" s="880"/>
      <c r="AU587" s="880"/>
      <c r="AV587" s="880"/>
      <c r="AW587" s="881"/>
      <c r="AX587" s="863"/>
      <c r="AY587" s="863"/>
      <c r="AZ587" s="863"/>
      <c r="BA587" s="863"/>
      <c r="BB587" s="863"/>
      <c r="BC587" s="863"/>
      <c r="BD587" s="863"/>
      <c r="BE587" s="863"/>
      <c r="BF587" s="863"/>
      <c r="BG587" s="863"/>
      <c r="BH587" s="863"/>
      <c r="BI587" s="863"/>
      <c r="BJ587" s="863"/>
      <c r="BK587" s="863"/>
      <c r="BL587" s="863"/>
      <c r="BM587" s="863"/>
      <c r="BN587" s="863"/>
      <c r="BO587" s="863"/>
      <c r="BP587" s="880"/>
      <c r="BQ587" s="863"/>
      <c r="BR587" s="883"/>
      <c r="BS587" s="883"/>
      <c r="BT587" s="883"/>
      <c r="BU587" s="883"/>
      <c r="BV587" s="883"/>
      <c r="BW587" s="883"/>
      <c r="BX587" s="883"/>
      <c r="BY587" s="883"/>
      <c r="BZ587" s="883"/>
      <c r="CA587" s="883"/>
      <c r="CB587" s="883"/>
      <c r="CC587" s="883"/>
      <c r="CD587" s="884"/>
      <c r="CE587" s="883"/>
      <c r="CF587" s="883"/>
      <c r="CG587" s="883"/>
      <c r="CH587" s="883"/>
      <c r="CI587" s="883"/>
      <c r="CJ587" s="883"/>
      <c r="CK587" s="883"/>
      <c r="CL587" s="883"/>
      <c r="CM587" s="883"/>
      <c r="CN587" s="883"/>
      <c r="CO587" s="883"/>
      <c r="CP587" s="883"/>
      <c r="CQ587" s="883"/>
      <c r="CR587" s="883"/>
      <c r="CS587" s="883"/>
      <c r="CT587" s="883"/>
      <c r="CU587" s="883"/>
      <c r="CV587" s="863"/>
      <c r="CW587" s="863"/>
      <c r="CX587" s="863"/>
      <c r="CY587" s="863"/>
      <c r="CZ587" s="863"/>
      <c r="DA587" s="863"/>
      <c r="DB587" s="863"/>
      <c r="DC587" s="863"/>
      <c r="DD587" s="863"/>
      <c r="DE587" s="863"/>
    </row>
    <row r="588">
      <c r="A588" s="876"/>
      <c r="B588" s="876"/>
      <c r="C588" s="876"/>
      <c r="D588" s="876"/>
      <c r="E588" s="876"/>
      <c r="F588" s="876"/>
      <c r="G588" s="876"/>
      <c r="H588" s="876"/>
      <c r="I588" s="876"/>
      <c r="J588" s="876"/>
      <c r="K588" s="876"/>
      <c r="L588" s="876"/>
      <c r="M588" s="876"/>
      <c r="N588" s="877"/>
      <c r="O588" s="876"/>
      <c r="P588" s="876"/>
      <c r="Q588" s="876"/>
      <c r="R588" s="876"/>
      <c r="S588" s="876"/>
      <c r="T588" s="876"/>
      <c r="U588" s="876"/>
      <c r="V588" s="876"/>
      <c r="W588" s="876"/>
      <c r="X588" s="876"/>
      <c r="Y588" s="876"/>
      <c r="Z588" s="876"/>
      <c r="AA588" s="876"/>
      <c r="AB588" s="876"/>
      <c r="AC588" s="876"/>
      <c r="AD588" s="876"/>
      <c r="AE588" s="876"/>
      <c r="AF588" s="876"/>
      <c r="AG588" s="876"/>
      <c r="AH588" s="876"/>
      <c r="AI588" s="878"/>
      <c r="AJ588" s="880"/>
      <c r="AK588" s="880"/>
      <c r="AL588" s="880"/>
      <c r="AM588" s="880"/>
      <c r="AN588" s="880"/>
      <c r="AO588" s="880"/>
      <c r="AP588" s="880"/>
      <c r="AQ588" s="880"/>
      <c r="AR588" s="880"/>
      <c r="AS588" s="880"/>
      <c r="AT588" s="880"/>
      <c r="AU588" s="880"/>
      <c r="AV588" s="880"/>
      <c r="AW588" s="881"/>
      <c r="AX588" s="863"/>
      <c r="AY588" s="863"/>
      <c r="AZ588" s="863"/>
      <c r="BA588" s="863"/>
      <c r="BB588" s="863"/>
      <c r="BC588" s="863"/>
      <c r="BD588" s="863"/>
      <c r="BE588" s="863"/>
      <c r="BF588" s="863"/>
      <c r="BG588" s="863"/>
      <c r="BH588" s="863"/>
      <c r="BI588" s="863"/>
      <c r="BJ588" s="863"/>
      <c r="BK588" s="863"/>
      <c r="BL588" s="863"/>
      <c r="BM588" s="863"/>
      <c r="BN588" s="863"/>
      <c r="BO588" s="863"/>
      <c r="BP588" s="880"/>
      <c r="BQ588" s="863"/>
      <c r="BR588" s="883"/>
      <c r="BS588" s="883"/>
      <c r="BT588" s="883"/>
      <c r="BU588" s="883"/>
      <c r="BV588" s="883"/>
      <c r="BW588" s="883"/>
      <c r="BX588" s="883"/>
      <c r="BY588" s="883"/>
      <c r="BZ588" s="883"/>
      <c r="CA588" s="883"/>
      <c r="CB588" s="883"/>
      <c r="CC588" s="883"/>
      <c r="CD588" s="884"/>
      <c r="CE588" s="883"/>
      <c r="CF588" s="883"/>
      <c r="CG588" s="883"/>
      <c r="CH588" s="883"/>
      <c r="CI588" s="883"/>
      <c r="CJ588" s="883"/>
      <c r="CK588" s="883"/>
      <c r="CL588" s="883"/>
      <c r="CM588" s="883"/>
      <c r="CN588" s="883"/>
      <c r="CO588" s="883"/>
      <c r="CP588" s="883"/>
      <c r="CQ588" s="883"/>
      <c r="CR588" s="883"/>
      <c r="CS588" s="883"/>
      <c r="CT588" s="883"/>
      <c r="CU588" s="883"/>
      <c r="CV588" s="863"/>
      <c r="CW588" s="863"/>
      <c r="CX588" s="863"/>
      <c r="CY588" s="863"/>
      <c r="CZ588" s="863"/>
      <c r="DA588" s="863"/>
      <c r="DB588" s="863"/>
      <c r="DC588" s="863"/>
      <c r="DD588" s="863"/>
      <c r="DE588" s="863"/>
    </row>
    <row r="589">
      <c r="A589" s="876"/>
      <c r="B589" s="876"/>
      <c r="C589" s="876"/>
      <c r="D589" s="876"/>
      <c r="E589" s="876"/>
      <c r="F589" s="876"/>
      <c r="G589" s="876"/>
      <c r="H589" s="876"/>
      <c r="I589" s="876"/>
      <c r="J589" s="876"/>
      <c r="K589" s="876"/>
      <c r="L589" s="876"/>
      <c r="M589" s="876"/>
      <c r="N589" s="877"/>
      <c r="O589" s="876"/>
      <c r="P589" s="876"/>
      <c r="Q589" s="876"/>
      <c r="R589" s="876"/>
      <c r="S589" s="876"/>
      <c r="T589" s="876"/>
      <c r="U589" s="876"/>
      <c r="V589" s="876"/>
      <c r="W589" s="876"/>
      <c r="X589" s="876"/>
      <c r="Y589" s="876"/>
      <c r="Z589" s="876"/>
      <c r="AA589" s="876"/>
      <c r="AB589" s="876"/>
      <c r="AC589" s="876"/>
      <c r="AD589" s="876"/>
      <c r="AE589" s="876"/>
      <c r="AF589" s="876"/>
      <c r="AG589" s="876"/>
      <c r="AH589" s="876"/>
      <c r="AI589" s="878"/>
      <c r="AJ589" s="880"/>
      <c r="AK589" s="880"/>
      <c r="AL589" s="880"/>
      <c r="AM589" s="880"/>
      <c r="AN589" s="880"/>
      <c r="AO589" s="880"/>
      <c r="AP589" s="880"/>
      <c r="AQ589" s="880"/>
      <c r="AR589" s="880"/>
      <c r="AS589" s="880"/>
      <c r="AT589" s="880"/>
      <c r="AU589" s="880"/>
      <c r="AV589" s="880"/>
      <c r="AW589" s="881"/>
      <c r="AX589" s="863"/>
      <c r="AY589" s="863"/>
      <c r="AZ589" s="863"/>
      <c r="BA589" s="863"/>
      <c r="BB589" s="863"/>
      <c r="BC589" s="863"/>
      <c r="BD589" s="863"/>
      <c r="BE589" s="863"/>
      <c r="BF589" s="863"/>
      <c r="BG589" s="863"/>
      <c r="BH589" s="863"/>
      <c r="BI589" s="863"/>
      <c r="BJ589" s="863"/>
      <c r="BK589" s="863"/>
      <c r="BL589" s="863"/>
      <c r="BM589" s="863"/>
      <c r="BN589" s="863"/>
      <c r="BO589" s="863"/>
      <c r="BP589" s="880"/>
      <c r="BQ589" s="863"/>
      <c r="BR589" s="883"/>
      <c r="BS589" s="883"/>
      <c r="BT589" s="883"/>
      <c r="BU589" s="883"/>
      <c r="BV589" s="883"/>
      <c r="BW589" s="883"/>
      <c r="BX589" s="883"/>
      <c r="BY589" s="883"/>
      <c r="BZ589" s="883"/>
      <c r="CA589" s="883"/>
      <c r="CB589" s="883"/>
      <c r="CC589" s="883"/>
      <c r="CD589" s="884"/>
      <c r="CE589" s="883"/>
      <c r="CF589" s="883"/>
      <c r="CG589" s="883"/>
      <c r="CH589" s="883"/>
      <c r="CI589" s="883"/>
      <c r="CJ589" s="883"/>
      <c r="CK589" s="883"/>
      <c r="CL589" s="883"/>
      <c r="CM589" s="883"/>
      <c r="CN589" s="883"/>
      <c r="CO589" s="883"/>
      <c r="CP589" s="883"/>
      <c r="CQ589" s="883"/>
      <c r="CR589" s="883"/>
      <c r="CS589" s="883"/>
      <c r="CT589" s="883"/>
      <c r="CU589" s="883"/>
      <c r="CV589" s="863"/>
      <c r="CW589" s="863"/>
      <c r="CX589" s="863"/>
      <c r="CY589" s="863"/>
      <c r="CZ589" s="863"/>
      <c r="DA589" s="863"/>
      <c r="DB589" s="863"/>
      <c r="DC589" s="863"/>
      <c r="DD589" s="863"/>
      <c r="DE589" s="863"/>
    </row>
    <row r="590">
      <c r="A590" s="876"/>
      <c r="B590" s="876"/>
      <c r="C590" s="876"/>
      <c r="D590" s="876"/>
      <c r="E590" s="876"/>
      <c r="F590" s="876"/>
      <c r="G590" s="876"/>
      <c r="H590" s="876"/>
      <c r="I590" s="876"/>
      <c r="J590" s="876"/>
      <c r="K590" s="876"/>
      <c r="L590" s="876"/>
      <c r="M590" s="876"/>
      <c r="N590" s="877"/>
      <c r="O590" s="876"/>
      <c r="P590" s="876"/>
      <c r="Q590" s="876"/>
      <c r="R590" s="876"/>
      <c r="S590" s="876"/>
      <c r="T590" s="876"/>
      <c r="U590" s="876"/>
      <c r="V590" s="876"/>
      <c r="W590" s="876"/>
      <c r="X590" s="876"/>
      <c r="Y590" s="876"/>
      <c r="Z590" s="876"/>
      <c r="AA590" s="876"/>
      <c r="AB590" s="876"/>
      <c r="AC590" s="876"/>
      <c r="AD590" s="876"/>
      <c r="AE590" s="876"/>
      <c r="AF590" s="876"/>
      <c r="AG590" s="876"/>
      <c r="AH590" s="876"/>
      <c r="AI590" s="878"/>
      <c r="AJ590" s="880"/>
      <c r="AK590" s="880"/>
      <c r="AL590" s="880"/>
      <c r="AM590" s="880"/>
      <c r="AN590" s="880"/>
      <c r="AO590" s="880"/>
      <c r="AP590" s="880"/>
      <c r="AQ590" s="880"/>
      <c r="AR590" s="880"/>
      <c r="AS590" s="880"/>
      <c r="AT590" s="880"/>
      <c r="AU590" s="880"/>
      <c r="AV590" s="880"/>
      <c r="AW590" s="881"/>
      <c r="AX590" s="863"/>
      <c r="AY590" s="863"/>
      <c r="AZ590" s="863"/>
      <c r="BA590" s="863"/>
      <c r="BB590" s="863"/>
      <c r="BC590" s="863"/>
      <c r="BD590" s="863"/>
      <c r="BE590" s="863"/>
      <c r="BF590" s="863"/>
      <c r="BG590" s="863"/>
      <c r="BH590" s="863"/>
      <c r="BI590" s="863"/>
      <c r="BJ590" s="863"/>
      <c r="BK590" s="863"/>
      <c r="BL590" s="863"/>
      <c r="BM590" s="863"/>
      <c r="BN590" s="863"/>
      <c r="BO590" s="863"/>
      <c r="BP590" s="880"/>
      <c r="BQ590" s="863"/>
      <c r="BR590" s="883"/>
      <c r="BS590" s="883"/>
      <c r="BT590" s="883"/>
      <c r="BU590" s="883"/>
      <c r="BV590" s="883"/>
      <c r="BW590" s="883"/>
      <c r="BX590" s="883"/>
      <c r="BY590" s="883"/>
      <c r="BZ590" s="883"/>
      <c r="CA590" s="883"/>
      <c r="CB590" s="883"/>
      <c r="CC590" s="883"/>
      <c r="CD590" s="884"/>
      <c r="CE590" s="883"/>
      <c r="CF590" s="883"/>
      <c r="CG590" s="883"/>
      <c r="CH590" s="883"/>
      <c r="CI590" s="883"/>
      <c r="CJ590" s="883"/>
      <c r="CK590" s="883"/>
      <c r="CL590" s="883"/>
      <c r="CM590" s="883"/>
      <c r="CN590" s="883"/>
      <c r="CO590" s="883"/>
      <c r="CP590" s="883"/>
      <c r="CQ590" s="883"/>
      <c r="CR590" s="883"/>
      <c r="CS590" s="883"/>
      <c r="CT590" s="883"/>
      <c r="CU590" s="883"/>
      <c r="CV590" s="863"/>
      <c r="CW590" s="863"/>
      <c r="CX590" s="863"/>
      <c r="CY590" s="863"/>
      <c r="CZ590" s="863"/>
      <c r="DA590" s="863"/>
      <c r="DB590" s="863"/>
      <c r="DC590" s="863"/>
      <c r="DD590" s="863"/>
      <c r="DE590" s="863"/>
    </row>
    <row r="591">
      <c r="A591" s="876"/>
      <c r="B591" s="876"/>
      <c r="C591" s="876"/>
      <c r="D591" s="876"/>
      <c r="E591" s="876"/>
      <c r="F591" s="876"/>
      <c r="G591" s="876"/>
      <c r="H591" s="876"/>
      <c r="I591" s="876"/>
      <c r="J591" s="876"/>
      <c r="K591" s="876"/>
      <c r="L591" s="876"/>
      <c r="M591" s="876"/>
      <c r="N591" s="877"/>
      <c r="O591" s="876"/>
      <c r="P591" s="876"/>
      <c r="Q591" s="876"/>
      <c r="R591" s="876"/>
      <c r="S591" s="876"/>
      <c r="T591" s="876"/>
      <c r="U591" s="876"/>
      <c r="V591" s="876"/>
      <c r="W591" s="876"/>
      <c r="X591" s="876"/>
      <c r="Y591" s="876"/>
      <c r="Z591" s="876"/>
      <c r="AA591" s="876"/>
      <c r="AB591" s="876"/>
      <c r="AC591" s="876"/>
      <c r="AD591" s="876"/>
      <c r="AE591" s="876"/>
      <c r="AF591" s="876"/>
      <c r="AG591" s="876"/>
      <c r="AH591" s="876"/>
      <c r="AI591" s="878"/>
      <c r="AJ591" s="880"/>
      <c r="AK591" s="880"/>
      <c r="AL591" s="880"/>
      <c r="AM591" s="880"/>
      <c r="AN591" s="880"/>
      <c r="AO591" s="880"/>
      <c r="AP591" s="880"/>
      <c r="AQ591" s="880"/>
      <c r="AR591" s="880"/>
      <c r="AS591" s="880"/>
      <c r="AT591" s="880"/>
      <c r="AU591" s="880"/>
      <c r="AV591" s="880"/>
      <c r="AW591" s="881"/>
      <c r="AX591" s="863"/>
      <c r="AY591" s="863"/>
      <c r="AZ591" s="863"/>
      <c r="BA591" s="863"/>
      <c r="BB591" s="863"/>
      <c r="BC591" s="863"/>
      <c r="BD591" s="863"/>
      <c r="BE591" s="863"/>
      <c r="BF591" s="863"/>
      <c r="BG591" s="863"/>
      <c r="BH591" s="863"/>
      <c r="BI591" s="863"/>
      <c r="BJ591" s="863"/>
      <c r="BK591" s="863"/>
      <c r="BL591" s="863"/>
      <c r="BM591" s="863"/>
      <c r="BN591" s="863"/>
      <c r="BO591" s="863"/>
      <c r="BP591" s="880"/>
      <c r="BQ591" s="863"/>
      <c r="BR591" s="883"/>
      <c r="BS591" s="883"/>
      <c r="BT591" s="883"/>
      <c r="BU591" s="883"/>
      <c r="BV591" s="883"/>
      <c r="BW591" s="883"/>
      <c r="BX591" s="883"/>
      <c r="BY591" s="883"/>
      <c r="BZ591" s="883"/>
      <c r="CA591" s="883"/>
      <c r="CB591" s="883"/>
      <c r="CC591" s="883"/>
      <c r="CD591" s="884"/>
      <c r="CE591" s="883"/>
      <c r="CF591" s="883"/>
      <c r="CG591" s="883"/>
      <c r="CH591" s="883"/>
      <c r="CI591" s="883"/>
      <c r="CJ591" s="883"/>
      <c r="CK591" s="883"/>
      <c r="CL591" s="883"/>
      <c r="CM591" s="883"/>
      <c r="CN591" s="883"/>
      <c r="CO591" s="883"/>
      <c r="CP591" s="883"/>
      <c r="CQ591" s="883"/>
      <c r="CR591" s="883"/>
      <c r="CS591" s="883"/>
      <c r="CT591" s="883"/>
      <c r="CU591" s="883"/>
      <c r="CV591" s="863"/>
      <c r="CW591" s="863"/>
      <c r="CX591" s="863"/>
      <c r="CY591" s="863"/>
      <c r="CZ591" s="863"/>
      <c r="DA591" s="863"/>
      <c r="DB591" s="863"/>
      <c r="DC591" s="863"/>
      <c r="DD591" s="863"/>
      <c r="DE591" s="863"/>
    </row>
    <row r="592">
      <c r="A592" s="876"/>
      <c r="B592" s="876"/>
      <c r="C592" s="876"/>
      <c r="D592" s="876"/>
      <c r="E592" s="876"/>
      <c r="F592" s="876"/>
      <c r="G592" s="876"/>
      <c r="H592" s="876"/>
      <c r="I592" s="876"/>
      <c r="J592" s="876"/>
      <c r="K592" s="876"/>
      <c r="L592" s="876"/>
      <c r="M592" s="876"/>
      <c r="N592" s="877"/>
      <c r="O592" s="876"/>
      <c r="P592" s="876"/>
      <c r="Q592" s="876"/>
      <c r="R592" s="876"/>
      <c r="S592" s="876"/>
      <c r="T592" s="876"/>
      <c r="U592" s="876"/>
      <c r="V592" s="876"/>
      <c r="W592" s="876"/>
      <c r="X592" s="876"/>
      <c r="Y592" s="876"/>
      <c r="Z592" s="876"/>
      <c r="AA592" s="876"/>
      <c r="AB592" s="876"/>
      <c r="AC592" s="876"/>
      <c r="AD592" s="876"/>
      <c r="AE592" s="876"/>
      <c r="AF592" s="876"/>
      <c r="AG592" s="876"/>
      <c r="AH592" s="876"/>
      <c r="AI592" s="878"/>
      <c r="AJ592" s="880"/>
      <c r="AK592" s="880"/>
      <c r="AL592" s="880"/>
      <c r="AM592" s="880"/>
      <c r="AN592" s="880"/>
      <c r="AO592" s="880"/>
      <c r="AP592" s="880"/>
      <c r="AQ592" s="880"/>
      <c r="AR592" s="880"/>
      <c r="AS592" s="880"/>
      <c r="AT592" s="880"/>
      <c r="AU592" s="880"/>
      <c r="AV592" s="880"/>
      <c r="AW592" s="881"/>
      <c r="AX592" s="863"/>
      <c r="AY592" s="863"/>
      <c r="AZ592" s="863"/>
      <c r="BA592" s="863"/>
      <c r="BB592" s="863"/>
      <c r="BC592" s="863"/>
      <c r="BD592" s="863"/>
      <c r="BE592" s="863"/>
      <c r="BF592" s="863"/>
      <c r="BG592" s="863"/>
      <c r="BH592" s="863"/>
      <c r="BI592" s="863"/>
      <c r="BJ592" s="863"/>
      <c r="BK592" s="863"/>
      <c r="BL592" s="863"/>
      <c r="BM592" s="863"/>
      <c r="BN592" s="863"/>
      <c r="BO592" s="863"/>
      <c r="BP592" s="880"/>
      <c r="BQ592" s="863"/>
      <c r="BR592" s="883"/>
      <c r="BS592" s="883"/>
      <c r="BT592" s="883"/>
      <c r="BU592" s="883"/>
      <c r="BV592" s="883"/>
      <c r="BW592" s="883"/>
      <c r="BX592" s="883"/>
      <c r="BY592" s="883"/>
      <c r="BZ592" s="883"/>
      <c r="CA592" s="883"/>
      <c r="CB592" s="883"/>
      <c r="CC592" s="883"/>
      <c r="CD592" s="884"/>
      <c r="CE592" s="883"/>
      <c r="CF592" s="883"/>
      <c r="CG592" s="883"/>
      <c r="CH592" s="883"/>
      <c r="CI592" s="883"/>
      <c r="CJ592" s="883"/>
      <c r="CK592" s="883"/>
      <c r="CL592" s="883"/>
      <c r="CM592" s="883"/>
      <c r="CN592" s="883"/>
      <c r="CO592" s="883"/>
      <c r="CP592" s="883"/>
      <c r="CQ592" s="883"/>
      <c r="CR592" s="883"/>
      <c r="CS592" s="883"/>
      <c r="CT592" s="883"/>
      <c r="CU592" s="883"/>
      <c r="CV592" s="863"/>
      <c r="CW592" s="863"/>
      <c r="CX592" s="863"/>
      <c r="CY592" s="863"/>
      <c r="CZ592" s="863"/>
      <c r="DA592" s="863"/>
      <c r="DB592" s="863"/>
      <c r="DC592" s="863"/>
      <c r="DD592" s="863"/>
      <c r="DE592" s="863"/>
    </row>
    <row r="593">
      <c r="A593" s="876"/>
      <c r="B593" s="876"/>
      <c r="C593" s="876"/>
      <c r="D593" s="876"/>
      <c r="E593" s="876"/>
      <c r="F593" s="876"/>
      <c r="G593" s="876"/>
      <c r="H593" s="876"/>
      <c r="I593" s="876"/>
      <c r="J593" s="876"/>
      <c r="K593" s="876"/>
      <c r="L593" s="876"/>
      <c r="M593" s="876"/>
      <c r="N593" s="877"/>
      <c r="O593" s="876"/>
      <c r="P593" s="876"/>
      <c r="Q593" s="876"/>
      <c r="R593" s="876"/>
      <c r="S593" s="876"/>
      <c r="T593" s="876"/>
      <c r="U593" s="876"/>
      <c r="V593" s="876"/>
      <c r="W593" s="876"/>
      <c r="X593" s="876"/>
      <c r="Y593" s="876"/>
      <c r="Z593" s="876"/>
      <c r="AA593" s="876"/>
      <c r="AB593" s="876"/>
      <c r="AC593" s="876"/>
      <c r="AD593" s="876"/>
      <c r="AE593" s="876"/>
      <c r="AF593" s="876"/>
      <c r="AG593" s="876"/>
      <c r="AH593" s="876"/>
      <c r="AI593" s="878"/>
      <c r="AJ593" s="880"/>
      <c r="AK593" s="880"/>
      <c r="AL593" s="880"/>
      <c r="AM593" s="880"/>
      <c r="AN593" s="880"/>
      <c r="AO593" s="880"/>
      <c r="AP593" s="880"/>
      <c r="AQ593" s="880"/>
      <c r="AR593" s="880"/>
      <c r="AS593" s="880"/>
      <c r="AT593" s="880"/>
      <c r="AU593" s="880"/>
      <c r="AV593" s="880"/>
      <c r="AW593" s="881"/>
      <c r="AX593" s="863"/>
      <c r="AY593" s="863"/>
      <c r="AZ593" s="863"/>
      <c r="BA593" s="863"/>
      <c r="BB593" s="863"/>
      <c r="BC593" s="863"/>
      <c r="BD593" s="863"/>
      <c r="BE593" s="863"/>
      <c r="BF593" s="863"/>
      <c r="BG593" s="863"/>
      <c r="BH593" s="863"/>
      <c r="BI593" s="863"/>
      <c r="BJ593" s="863"/>
      <c r="BK593" s="863"/>
      <c r="BL593" s="863"/>
      <c r="BM593" s="863"/>
      <c r="BN593" s="863"/>
      <c r="BO593" s="863"/>
      <c r="BP593" s="880"/>
      <c r="BQ593" s="863"/>
      <c r="BR593" s="883"/>
      <c r="BS593" s="883"/>
      <c r="BT593" s="883"/>
      <c r="BU593" s="883"/>
      <c r="BV593" s="883"/>
      <c r="BW593" s="883"/>
      <c r="BX593" s="883"/>
      <c r="BY593" s="883"/>
      <c r="BZ593" s="883"/>
      <c r="CA593" s="883"/>
      <c r="CB593" s="883"/>
      <c r="CC593" s="883"/>
      <c r="CD593" s="884"/>
      <c r="CE593" s="883"/>
      <c r="CF593" s="883"/>
      <c r="CG593" s="883"/>
      <c r="CH593" s="883"/>
      <c r="CI593" s="883"/>
      <c r="CJ593" s="883"/>
      <c r="CK593" s="883"/>
      <c r="CL593" s="883"/>
      <c r="CM593" s="883"/>
      <c r="CN593" s="883"/>
      <c r="CO593" s="883"/>
      <c r="CP593" s="883"/>
      <c r="CQ593" s="883"/>
      <c r="CR593" s="883"/>
      <c r="CS593" s="883"/>
      <c r="CT593" s="883"/>
      <c r="CU593" s="883"/>
      <c r="CV593" s="863"/>
      <c r="CW593" s="863"/>
      <c r="CX593" s="863"/>
      <c r="CY593" s="863"/>
      <c r="CZ593" s="863"/>
      <c r="DA593" s="863"/>
      <c r="DB593" s="863"/>
      <c r="DC593" s="863"/>
      <c r="DD593" s="863"/>
      <c r="DE593" s="863"/>
    </row>
    <row r="594">
      <c r="A594" s="876"/>
      <c r="B594" s="876"/>
      <c r="C594" s="876"/>
      <c r="D594" s="876"/>
      <c r="E594" s="876"/>
      <c r="F594" s="876"/>
      <c r="G594" s="876"/>
      <c r="H594" s="876"/>
      <c r="I594" s="876"/>
      <c r="J594" s="876"/>
      <c r="K594" s="876"/>
      <c r="L594" s="876"/>
      <c r="M594" s="876"/>
      <c r="N594" s="877"/>
      <c r="O594" s="876"/>
      <c r="P594" s="876"/>
      <c r="Q594" s="876"/>
      <c r="R594" s="876"/>
      <c r="S594" s="876"/>
      <c r="T594" s="876"/>
      <c r="U594" s="876"/>
      <c r="V594" s="876"/>
      <c r="W594" s="876"/>
      <c r="X594" s="876"/>
      <c r="Y594" s="876"/>
      <c r="Z594" s="876"/>
      <c r="AA594" s="876"/>
      <c r="AB594" s="876"/>
      <c r="AC594" s="876"/>
      <c r="AD594" s="876"/>
      <c r="AE594" s="876"/>
      <c r="AF594" s="876"/>
      <c r="AG594" s="876"/>
      <c r="AH594" s="876"/>
      <c r="AI594" s="878"/>
      <c r="AJ594" s="880"/>
      <c r="AK594" s="880"/>
      <c r="AL594" s="880"/>
      <c r="AM594" s="880"/>
      <c r="AN594" s="880"/>
      <c r="AO594" s="880"/>
      <c r="AP594" s="880"/>
      <c r="AQ594" s="880"/>
      <c r="AR594" s="880"/>
      <c r="AS594" s="880"/>
      <c r="AT594" s="880"/>
      <c r="AU594" s="880"/>
      <c r="AV594" s="880"/>
      <c r="AW594" s="881"/>
      <c r="AX594" s="863"/>
      <c r="AY594" s="863"/>
      <c r="AZ594" s="863"/>
      <c r="BA594" s="863"/>
      <c r="BB594" s="863"/>
      <c r="BC594" s="863"/>
      <c r="BD594" s="863"/>
      <c r="BE594" s="863"/>
      <c r="BF594" s="863"/>
      <c r="BG594" s="863"/>
      <c r="BH594" s="863"/>
      <c r="BI594" s="863"/>
      <c r="BJ594" s="863"/>
      <c r="BK594" s="863"/>
      <c r="BL594" s="863"/>
      <c r="BM594" s="863"/>
      <c r="BN594" s="863"/>
      <c r="BO594" s="863"/>
      <c r="BP594" s="880"/>
      <c r="BQ594" s="863"/>
      <c r="BR594" s="883"/>
      <c r="BS594" s="883"/>
      <c r="BT594" s="883"/>
      <c r="BU594" s="883"/>
      <c r="BV594" s="883"/>
      <c r="BW594" s="883"/>
      <c r="BX594" s="883"/>
      <c r="BY594" s="883"/>
      <c r="BZ594" s="883"/>
      <c r="CA594" s="883"/>
      <c r="CB594" s="883"/>
      <c r="CC594" s="883"/>
      <c r="CD594" s="884"/>
      <c r="CE594" s="883"/>
      <c r="CF594" s="883"/>
      <c r="CG594" s="883"/>
      <c r="CH594" s="883"/>
      <c r="CI594" s="883"/>
      <c r="CJ594" s="883"/>
      <c r="CK594" s="883"/>
      <c r="CL594" s="883"/>
      <c r="CM594" s="883"/>
      <c r="CN594" s="883"/>
      <c r="CO594" s="883"/>
      <c r="CP594" s="883"/>
      <c r="CQ594" s="883"/>
      <c r="CR594" s="883"/>
      <c r="CS594" s="883"/>
      <c r="CT594" s="883"/>
      <c r="CU594" s="883"/>
      <c r="CV594" s="863"/>
      <c r="CW594" s="863"/>
      <c r="CX594" s="863"/>
      <c r="CY594" s="863"/>
      <c r="CZ594" s="863"/>
      <c r="DA594" s="863"/>
      <c r="DB594" s="863"/>
      <c r="DC594" s="863"/>
      <c r="DD594" s="863"/>
      <c r="DE594" s="863"/>
    </row>
    <row r="595">
      <c r="A595" s="876"/>
      <c r="B595" s="876"/>
      <c r="C595" s="876"/>
      <c r="D595" s="876"/>
      <c r="E595" s="876"/>
      <c r="F595" s="876"/>
      <c r="G595" s="876"/>
      <c r="H595" s="876"/>
      <c r="I595" s="876"/>
      <c r="J595" s="876"/>
      <c r="K595" s="876"/>
      <c r="L595" s="876"/>
      <c r="M595" s="876"/>
      <c r="N595" s="877"/>
      <c r="O595" s="876"/>
      <c r="P595" s="876"/>
      <c r="Q595" s="876"/>
      <c r="R595" s="876"/>
      <c r="S595" s="876"/>
      <c r="T595" s="876"/>
      <c r="U595" s="876"/>
      <c r="V595" s="876"/>
      <c r="W595" s="876"/>
      <c r="X595" s="876"/>
      <c r="Y595" s="876"/>
      <c r="Z595" s="876"/>
      <c r="AA595" s="876"/>
      <c r="AB595" s="876"/>
      <c r="AC595" s="876"/>
      <c r="AD595" s="876"/>
      <c r="AE595" s="876"/>
      <c r="AF595" s="876"/>
      <c r="AG595" s="876"/>
      <c r="AH595" s="876"/>
      <c r="AI595" s="878"/>
      <c r="AJ595" s="880"/>
      <c r="AK595" s="880"/>
      <c r="AL595" s="880"/>
      <c r="AM595" s="880"/>
      <c r="AN595" s="880"/>
      <c r="AO595" s="880"/>
      <c r="AP595" s="880"/>
      <c r="AQ595" s="880"/>
      <c r="AR595" s="880"/>
      <c r="AS595" s="880"/>
      <c r="AT595" s="880"/>
      <c r="AU595" s="880"/>
      <c r="AV595" s="880"/>
      <c r="AW595" s="881"/>
      <c r="AX595" s="863"/>
      <c r="AY595" s="863"/>
      <c r="AZ595" s="863"/>
      <c r="BA595" s="863"/>
      <c r="BB595" s="863"/>
      <c r="BC595" s="863"/>
      <c r="BD595" s="863"/>
      <c r="BE595" s="863"/>
      <c r="BF595" s="863"/>
      <c r="BG595" s="863"/>
      <c r="BH595" s="863"/>
      <c r="BI595" s="863"/>
      <c r="BJ595" s="863"/>
      <c r="BK595" s="863"/>
      <c r="BL595" s="863"/>
      <c r="BM595" s="863"/>
      <c r="BN595" s="863"/>
      <c r="BO595" s="863"/>
      <c r="BP595" s="880"/>
      <c r="BQ595" s="863"/>
      <c r="BR595" s="883"/>
      <c r="BS595" s="883"/>
      <c r="BT595" s="883"/>
      <c r="BU595" s="883"/>
      <c r="BV595" s="883"/>
      <c r="BW595" s="883"/>
      <c r="BX595" s="883"/>
      <c r="BY595" s="883"/>
      <c r="BZ595" s="883"/>
      <c r="CA595" s="883"/>
      <c r="CB595" s="883"/>
      <c r="CC595" s="883"/>
      <c r="CD595" s="884"/>
      <c r="CE595" s="883"/>
      <c r="CF595" s="883"/>
      <c r="CG595" s="883"/>
      <c r="CH595" s="883"/>
      <c r="CI595" s="883"/>
      <c r="CJ595" s="883"/>
      <c r="CK595" s="883"/>
      <c r="CL595" s="883"/>
      <c r="CM595" s="883"/>
      <c r="CN595" s="883"/>
      <c r="CO595" s="883"/>
      <c r="CP595" s="883"/>
      <c r="CQ595" s="883"/>
      <c r="CR595" s="883"/>
      <c r="CS595" s="883"/>
      <c r="CT595" s="883"/>
      <c r="CU595" s="883"/>
      <c r="CV595" s="863"/>
      <c r="CW595" s="863"/>
      <c r="CX595" s="863"/>
      <c r="CY595" s="863"/>
      <c r="CZ595" s="863"/>
      <c r="DA595" s="863"/>
      <c r="DB595" s="863"/>
      <c r="DC595" s="863"/>
      <c r="DD595" s="863"/>
      <c r="DE595" s="863"/>
    </row>
    <row r="596">
      <c r="A596" s="876"/>
      <c r="B596" s="876"/>
      <c r="C596" s="876"/>
      <c r="D596" s="876"/>
      <c r="E596" s="876"/>
      <c r="F596" s="876"/>
      <c r="G596" s="876"/>
      <c r="H596" s="876"/>
      <c r="I596" s="876"/>
      <c r="J596" s="876"/>
      <c r="K596" s="876"/>
      <c r="L596" s="876"/>
      <c r="M596" s="876"/>
      <c r="N596" s="877"/>
      <c r="O596" s="876"/>
      <c r="P596" s="876"/>
      <c r="Q596" s="876"/>
      <c r="R596" s="876"/>
      <c r="S596" s="876"/>
      <c r="T596" s="876"/>
      <c r="U596" s="876"/>
      <c r="V596" s="876"/>
      <c r="W596" s="876"/>
      <c r="X596" s="876"/>
      <c r="Y596" s="876"/>
      <c r="Z596" s="876"/>
      <c r="AA596" s="876"/>
      <c r="AB596" s="876"/>
      <c r="AC596" s="876"/>
      <c r="AD596" s="876"/>
      <c r="AE596" s="876"/>
      <c r="AF596" s="876"/>
      <c r="AG596" s="876"/>
      <c r="AH596" s="876"/>
      <c r="AI596" s="878"/>
      <c r="AJ596" s="880"/>
      <c r="AK596" s="880"/>
      <c r="AL596" s="880"/>
      <c r="AM596" s="880"/>
      <c r="AN596" s="880"/>
      <c r="AO596" s="880"/>
      <c r="AP596" s="880"/>
      <c r="AQ596" s="880"/>
      <c r="AR596" s="880"/>
      <c r="AS596" s="880"/>
      <c r="AT596" s="880"/>
      <c r="AU596" s="880"/>
      <c r="AV596" s="880"/>
      <c r="AW596" s="881"/>
      <c r="AX596" s="863"/>
      <c r="AY596" s="863"/>
      <c r="AZ596" s="863"/>
      <c r="BA596" s="863"/>
      <c r="BB596" s="863"/>
      <c r="BC596" s="863"/>
      <c r="BD596" s="863"/>
      <c r="BE596" s="863"/>
      <c r="BF596" s="863"/>
      <c r="BG596" s="863"/>
      <c r="BH596" s="863"/>
      <c r="BI596" s="863"/>
      <c r="BJ596" s="863"/>
      <c r="BK596" s="863"/>
      <c r="BL596" s="863"/>
      <c r="BM596" s="863"/>
      <c r="BN596" s="863"/>
      <c r="BO596" s="863"/>
      <c r="BP596" s="880"/>
      <c r="BQ596" s="863"/>
      <c r="BR596" s="883"/>
      <c r="BS596" s="883"/>
      <c r="BT596" s="883"/>
      <c r="BU596" s="883"/>
      <c r="BV596" s="883"/>
      <c r="BW596" s="883"/>
      <c r="BX596" s="883"/>
      <c r="BY596" s="883"/>
      <c r="BZ596" s="883"/>
      <c r="CA596" s="883"/>
      <c r="CB596" s="883"/>
      <c r="CC596" s="883"/>
      <c r="CD596" s="884"/>
      <c r="CE596" s="883"/>
      <c r="CF596" s="883"/>
      <c r="CG596" s="883"/>
      <c r="CH596" s="883"/>
      <c r="CI596" s="883"/>
      <c r="CJ596" s="883"/>
      <c r="CK596" s="883"/>
      <c r="CL596" s="883"/>
      <c r="CM596" s="883"/>
      <c r="CN596" s="883"/>
      <c r="CO596" s="883"/>
      <c r="CP596" s="883"/>
      <c r="CQ596" s="883"/>
      <c r="CR596" s="883"/>
      <c r="CS596" s="883"/>
      <c r="CT596" s="883"/>
      <c r="CU596" s="883"/>
      <c r="CV596" s="863"/>
      <c r="CW596" s="863"/>
      <c r="CX596" s="863"/>
      <c r="CY596" s="863"/>
      <c r="CZ596" s="863"/>
      <c r="DA596" s="863"/>
      <c r="DB596" s="863"/>
      <c r="DC596" s="863"/>
      <c r="DD596" s="863"/>
      <c r="DE596" s="863"/>
    </row>
    <row r="597">
      <c r="A597" s="876"/>
      <c r="B597" s="876"/>
      <c r="C597" s="876"/>
      <c r="D597" s="876"/>
      <c r="E597" s="876"/>
      <c r="F597" s="876"/>
      <c r="G597" s="876"/>
      <c r="H597" s="876"/>
      <c r="I597" s="876"/>
      <c r="J597" s="876"/>
      <c r="K597" s="876"/>
      <c r="L597" s="876"/>
      <c r="M597" s="876"/>
      <c r="N597" s="877"/>
      <c r="O597" s="876"/>
      <c r="P597" s="876"/>
      <c r="Q597" s="876"/>
      <c r="R597" s="876"/>
      <c r="S597" s="876"/>
      <c r="T597" s="876"/>
      <c r="U597" s="876"/>
      <c r="V597" s="876"/>
      <c r="W597" s="876"/>
      <c r="X597" s="876"/>
      <c r="Y597" s="876"/>
      <c r="Z597" s="876"/>
      <c r="AA597" s="876"/>
      <c r="AB597" s="876"/>
      <c r="AC597" s="876"/>
      <c r="AD597" s="876"/>
      <c r="AE597" s="876"/>
      <c r="AF597" s="876"/>
      <c r="AG597" s="876"/>
      <c r="AH597" s="876"/>
      <c r="AI597" s="878"/>
      <c r="AJ597" s="880"/>
      <c r="AK597" s="880"/>
      <c r="AL597" s="880"/>
      <c r="AM597" s="880"/>
      <c r="AN597" s="880"/>
      <c r="AO597" s="880"/>
      <c r="AP597" s="880"/>
      <c r="AQ597" s="880"/>
      <c r="AR597" s="880"/>
      <c r="AS597" s="880"/>
      <c r="AT597" s="880"/>
      <c r="AU597" s="880"/>
      <c r="AV597" s="880"/>
      <c r="AW597" s="881"/>
      <c r="AX597" s="863"/>
      <c r="AY597" s="863"/>
      <c r="AZ597" s="863"/>
      <c r="BA597" s="863"/>
      <c r="BB597" s="863"/>
      <c r="BC597" s="863"/>
      <c r="BD597" s="863"/>
      <c r="BE597" s="863"/>
      <c r="BF597" s="863"/>
      <c r="BG597" s="863"/>
      <c r="BH597" s="863"/>
      <c r="BI597" s="863"/>
      <c r="BJ597" s="863"/>
      <c r="BK597" s="863"/>
      <c r="BL597" s="863"/>
      <c r="BM597" s="863"/>
      <c r="BN597" s="863"/>
      <c r="BO597" s="863"/>
      <c r="BP597" s="880"/>
      <c r="BQ597" s="863"/>
      <c r="BR597" s="883"/>
      <c r="BS597" s="883"/>
      <c r="BT597" s="883"/>
      <c r="BU597" s="883"/>
      <c r="BV597" s="883"/>
      <c r="BW597" s="883"/>
      <c r="BX597" s="883"/>
      <c r="BY597" s="883"/>
      <c r="BZ597" s="883"/>
      <c r="CA597" s="883"/>
      <c r="CB597" s="883"/>
      <c r="CC597" s="883"/>
      <c r="CD597" s="884"/>
      <c r="CE597" s="883"/>
      <c r="CF597" s="883"/>
      <c r="CG597" s="883"/>
      <c r="CH597" s="883"/>
      <c r="CI597" s="883"/>
      <c r="CJ597" s="883"/>
      <c r="CK597" s="883"/>
      <c r="CL597" s="883"/>
      <c r="CM597" s="883"/>
      <c r="CN597" s="883"/>
      <c r="CO597" s="883"/>
      <c r="CP597" s="883"/>
      <c r="CQ597" s="883"/>
      <c r="CR597" s="883"/>
      <c r="CS597" s="883"/>
      <c r="CT597" s="883"/>
      <c r="CU597" s="883"/>
      <c r="CV597" s="863"/>
      <c r="CW597" s="863"/>
      <c r="CX597" s="863"/>
      <c r="CY597" s="863"/>
      <c r="CZ597" s="863"/>
      <c r="DA597" s="863"/>
      <c r="DB597" s="863"/>
      <c r="DC597" s="863"/>
      <c r="DD597" s="863"/>
      <c r="DE597" s="863"/>
    </row>
    <row r="598">
      <c r="A598" s="876"/>
      <c r="B598" s="876"/>
      <c r="C598" s="876"/>
      <c r="D598" s="876"/>
      <c r="E598" s="876"/>
      <c r="F598" s="876"/>
      <c r="G598" s="876"/>
      <c r="H598" s="876"/>
      <c r="I598" s="876"/>
      <c r="J598" s="876"/>
      <c r="K598" s="876"/>
      <c r="L598" s="876"/>
      <c r="M598" s="876"/>
      <c r="N598" s="877"/>
      <c r="O598" s="876"/>
      <c r="P598" s="876"/>
      <c r="Q598" s="876"/>
      <c r="R598" s="876"/>
      <c r="S598" s="876"/>
      <c r="T598" s="876"/>
      <c r="U598" s="876"/>
      <c r="V598" s="876"/>
      <c r="W598" s="876"/>
      <c r="X598" s="876"/>
      <c r="Y598" s="876"/>
      <c r="Z598" s="876"/>
      <c r="AA598" s="876"/>
      <c r="AB598" s="876"/>
      <c r="AC598" s="876"/>
      <c r="AD598" s="876"/>
      <c r="AE598" s="876"/>
      <c r="AF598" s="876"/>
      <c r="AG598" s="876"/>
      <c r="AH598" s="876"/>
      <c r="AI598" s="878"/>
      <c r="AJ598" s="880"/>
      <c r="AK598" s="880"/>
      <c r="AL598" s="880"/>
      <c r="AM598" s="880"/>
      <c r="AN598" s="880"/>
      <c r="AO598" s="880"/>
      <c r="AP598" s="880"/>
      <c r="AQ598" s="880"/>
      <c r="AR598" s="880"/>
      <c r="AS598" s="880"/>
      <c r="AT598" s="880"/>
      <c r="AU598" s="880"/>
      <c r="AV598" s="880"/>
      <c r="AW598" s="881"/>
      <c r="AX598" s="863"/>
      <c r="AY598" s="863"/>
      <c r="AZ598" s="863"/>
      <c r="BA598" s="863"/>
      <c r="BB598" s="863"/>
      <c r="BC598" s="863"/>
      <c r="BD598" s="863"/>
      <c r="BE598" s="863"/>
      <c r="BF598" s="863"/>
      <c r="BG598" s="863"/>
      <c r="BH598" s="863"/>
      <c r="BI598" s="863"/>
      <c r="BJ598" s="863"/>
      <c r="BK598" s="863"/>
      <c r="BL598" s="863"/>
      <c r="BM598" s="863"/>
      <c r="BN598" s="863"/>
      <c r="BO598" s="863"/>
      <c r="BP598" s="880"/>
      <c r="BQ598" s="863"/>
      <c r="BR598" s="883"/>
      <c r="BS598" s="883"/>
      <c r="BT598" s="883"/>
      <c r="BU598" s="883"/>
      <c r="BV598" s="883"/>
      <c r="BW598" s="883"/>
      <c r="BX598" s="883"/>
      <c r="BY598" s="883"/>
      <c r="BZ598" s="883"/>
      <c r="CA598" s="883"/>
      <c r="CB598" s="883"/>
      <c r="CC598" s="883"/>
      <c r="CD598" s="884"/>
      <c r="CE598" s="883"/>
      <c r="CF598" s="883"/>
      <c r="CG598" s="883"/>
      <c r="CH598" s="883"/>
      <c r="CI598" s="883"/>
      <c r="CJ598" s="883"/>
      <c r="CK598" s="883"/>
      <c r="CL598" s="883"/>
      <c r="CM598" s="883"/>
      <c r="CN598" s="883"/>
      <c r="CO598" s="883"/>
      <c r="CP598" s="883"/>
      <c r="CQ598" s="883"/>
      <c r="CR598" s="883"/>
      <c r="CS598" s="883"/>
      <c r="CT598" s="883"/>
      <c r="CU598" s="883"/>
      <c r="CV598" s="863"/>
      <c r="CW598" s="863"/>
      <c r="CX598" s="863"/>
      <c r="CY598" s="863"/>
      <c r="CZ598" s="863"/>
      <c r="DA598" s="863"/>
      <c r="DB598" s="863"/>
      <c r="DC598" s="863"/>
      <c r="DD598" s="863"/>
      <c r="DE598" s="863"/>
    </row>
    <row r="599">
      <c r="A599" s="876"/>
      <c r="B599" s="876"/>
      <c r="C599" s="876"/>
      <c r="D599" s="876"/>
      <c r="E599" s="876"/>
      <c r="F599" s="876"/>
      <c r="G599" s="876"/>
      <c r="H599" s="876"/>
      <c r="I599" s="876"/>
      <c r="J599" s="876"/>
      <c r="K599" s="876"/>
      <c r="L599" s="876"/>
      <c r="M599" s="876"/>
      <c r="N599" s="877"/>
      <c r="O599" s="876"/>
      <c r="P599" s="876"/>
      <c r="Q599" s="876"/>
      <c r="R599" s="876"/>
      <c r="S599" s="876"/>
      <c r="T599" s="876"/>
      <c r="U599" s="876"/>
      <c r="V599" s="876"/>
      <c r="W599" s="876"/>
      <c r="X599" s="876"/>
      <c r="Y599" s="876"/>
      <c r="Z599" s="876"/>
      <c r="AA599" s="876"/>
      <c r="AB599" s="876"/>
      <c r="AC599" s="876"/>
      <c r="AD599" s="876"/>
      <c r="AE599" s="876"/>
      <c r="AF599" s="876"/>
      <c r="AG599" s="876"/>
      <c r="AH599" s="876"/>
      <c r="AI599" s="878"/>
      <c r="AJ599" s="880"/>
      <c r="AK599" s="880"/>
      <c r="AL599" s="880"/>
      <c r="AM599" s="880"/>
      <c r="AN599" s="880"/>
      <c r="AO599" s="880"/>
      <c r="AP599" s="880"/>
      <c r="AQ599" s="880"/>
      <c r="AR599" s="880"/>
      <c r="AS599" s="880"/>
      <c r="AT599" s="880"/>
      <c r="AU599" s="880"/>
      <c r="AV599" s="880"/>
      <c r="AW599" s="881"/>
      <c r="AX599" s="863"/>
      <c r="AY599" s="863"/>
      <c r="AZ599" s="863"/>
      <c r="BA599" s="863"/>
      <c r="BB599" s="863"/>
      <c r="BC599" s="863"/>
      <c r="BD599" s="863"/>
      <c r="BE599" s="863"/>
      <c r="BF599" s="863"/>
      <c r="BG599" s="863"/>
      <c r="BH599" s="863"/>
      <c r="BI599" s="863"/>
      <c r="BJ599" s="863"/>
      <c r="BK599" s="863"/>
      <c r="BL599" s="863"/>
      <c r="BM599" s="863"/>
      <c r="BN599" s="863"/>
      <c r="BO599" s="863"/>
      <c r="BP599" s="880"/>
      <c r="BQ599" s="863"/>
      <c r="BR599" s="883"/>
      <c r="BS599" s="883"/>
      <c r="BT599" s="883"/>
      <c r="BU599" s="883"/>
      <c r="BV599" s="883"/>
      <c r="BW599" s="883"/>
      <c r="BX599" s="883"/>
      <c r="BY599" s="883"/>
      <c r="BZ599" s="883"/>
      <c r="CA599" s="883"/>
      <c r="CB599" s="883"/>
      <c r="CC599" s="883"/>
      <c r="CD599" s="884"/>
      <c r="CE599" s="883"/>
      <c r="CF599" s="883"/>
      <c r="CG599" s="883"/>
      <c r="CH599" s="883"/>
      <c r="CI599" s="883"/>
      <c r="CJ599" s="883"/>
      <c r="CK599" s="883"/>
      <c r="CL599" s="883"/>
      <c r="CM599" s="883"/>
      <c r="CN599" s="883"/>
      <c r="CO599" s="883"/>
      <c r="CP599" s="883"/>
      <c r="CQ599" s="883"/>
      <c r="CR599" s="883"/>
      <c r="CS599" s="883"/>
      <c r="CT599" s="883"/>
      <c r="CU599" s="883"/>
      <c r="CV599" s="863"/>
      <c r="CW599" s="863"/>
      <c r="CX599" s="863"/>
      <c r="CY599" s="863"/>
      <c r="CZ599" s="863"/>
      <c r="DA599" s="863"/>
      <c r="DB599" s="863"/>
      <c r="DC599" s="863"/>
      <c r="DD599" s="863"/>
      <c r="DE599" s="863"/>
    </row>
    <row r="600">
      <c r="A600" s="876"/>
      <c r="B600" s="876"/>
      <c r="C600" s="876"/>
      <c r="D600" s="876"/>
      <c r="E600" s="876"/>
      <c r="F600" s="876"/>
      <c r="G600" s="876"/>
      <c r="H600" s="876"/>
      <c r="I600" s="876"/>
      <c r="J600" s="876"/>
      <c r="K600" s="876"/>
      <c r="L600" s="876"/>
      <c r="M600" s="876"/>
      <c r="N600" s="877"/>
      <c r="O600" s="876"/>
      <c r="P600" s="876"/>
      <c r="Q600" s="876"/>
      <c r="R600" s="876"/>
      <c r="S600" s="876"/>
      <c r="T600" s="876"/>
      <c r="U600" s="876"/>
      <c r="V600" s="876"/>
      <c r="W600" s="876"/>
      <c r="X600" s="876"/>
      <c r="Y600" s="876"/>
      <c r="Z600" s="876"/>
      <c r="AA600" s="876"/>
      <c r="AB600" s="876"/>
      <c r="AC600" s="876"/>
      <c r="AD600" s="876"/>
      <c r="AE600" s="876"/>
      <c r="AF600" s="876"/>
      <c r="AG600" s="876"/>
      <c r="AH600" s="876"/>
      <c r="AI600" s="878"/>
      <c r="AJ600" s="880"/>
      <c r="AK600" s="880"/>
      <c r="AL600" s="880"/>
      <c r="AM600" s="880"/>
      <c r="AN600" s="880"/>
      <c r="AO600" s="880"/>
      <c r="AP600" s="880"/>
      <c r="AQ600" s="880"/>
      <c r="AR600" s="880"/>
      <c r="AS600" s="880"/>
      <c r="AT600" s="880"/>
      <c r="AU600" s="880"/>
      <c r="AV600" s="880"/>
      <c r="AW600" s="881"/>
      <c r="AX600" s="863"/>
      <c r="AY600" s="863"/>
      <c r="AZ600" s="863"/>
      <c r="BA600" s="863"/>
      <c r="BB600" s="863"/>
      <c r="BC600" s="863"/>
      <c r="BD600" s="863"/>
      <c r="BE600" s="863"/>
      <c r="BF600" s="863"/>
      <c r="BG600" s="863"/>
      <c r="BH600" s="863"/>
      <c r="BI600" s="863"/>
      <c r="BJ600" s="863"/>
      <c r="BK600" s="863"/>
      <c r="BL600" s="863"/>
      <c r="BM600" s="863"/>
      <c r="BN600" s="863"/>
      <c r="BO600" s="863"/>
      <c r="BP600" s="880"/>
      <c r="BQ600" s="863"/>
      <c r="BR600" s="883"/>
      <c r="BS600" s="883"/>
      <c r="BT600" s="883"/>
      <c r="BU600" s="883"/>
      <c r="BV600" s="883"/>
      <c r="BW600" s="883"/>
      <c r="BX600" s="883"/>
      <c r="BY600" s="883"/>
      <c r="BZ600" s="883"/>
      <c r="CA600" s="883"/>
      <c r="CB600" s="883"/>
      <c r="CC600" s="883"/>
      <c r="CD600" s="884"/>
      <c r="CE600" s="883"/>
      <c r="CF600" s="883"/>
      <c r="CG600" s="883"/>
      <c r="CH600" s="883"/>
      <c r="CI600" s="883"/>
      <c r="CJ600" s="883"/>
      <c r="CK600" s="883"/>
      <c r="CL600" s="883"/>
      <c r="CM600" s="883"/>
      <c r="CN600" s="883"/>
      <c r="CO600" s="883"/>
      <c r="CP600" s="883"/>
      <c r="CQ600" s="883"/>
      <c r="CR600" s="883"/>
      <c r="CS600" s="883"/>
      <c r="CT600" s="883"/>
      <c r="CU600" s="883"/>
      <c r="CV600" s="863"/>
      <c r="CW600" s="863"/>
      <c r="CX600" s="863"/>
      <c r="CY600" s="863"/>
      <c r="CZ600" s="863"/>
      <c r="DA600" s="863"/>
      <c r="DB600" s="863"/>
      <c r="DC600" s="863"/>
      <c r="DD600" s="863"/>
      <c r="DE600" s="863"/>
    </row>
    <row r="601">
      <c r="A601" s="876"/>
      <c r="B601" s="876"/>
      <c r="C601" s="876"/>
      <c r="D601" s="876"/>
      <c r="E601" s="876"/>
      <c r="F601" s="876"/>
      <c r="G601" s="876"/>
      <c r="H601" s="876"/>
      <c r="I601" s="876"/>
      <c r="J601" s="876"/>
      <c r="K601" s="876"/>
      <c r="L601" s="876"/>
      <c r="M601" s="876"/>
      <c r="N601" s="877"/>
      <c r="O601" s="876"/>
      <c r="P601" s="876"/>
      <c r="Q601" s="876"/>
      <c r="R601" s="876"/>
      <c r="S601" s="876"/>
      <c r="T601" s="876"/>
      <c r="U601" s="876"/>
      <c r="V601" s="876"/>
      <c r="W601" s="876"/>
      <c r="X601" s="876"/>
      <c r="Y601" s="876"/>
      <c r="Z601" s="876"/>
      <c r="AA601" s="876"/>
      <c r="AB601" s="876"/>
      <c r="AC601" s="876"/>
      <c r="AD601" s="876"/>
      <c r="AE601" s="876"/>
      <c r="AF601" s="876"/>
      <c r="AG601" s="876"/>
      <c r="AH601" s="876"/>
      <c r="AI601" s="878"/>
      <c r="AJ601" s="880"/>
      <c r="AK601" s="880"/>
      <c r="AL601" s="880"/>
      <c r="AM601" s="880"/>
      <c r="AN601" s="880"/>
      <c r="AO601" s="880"/>
      <c r="AP601" s="880"/>
      <c r="AQ601" s="880"/>
      <c r="AR601" s="880"/>
      <c r="AS601" s="880"/>
      <c r="AT601" s="880"/>
      <c r="AU601" s="880"/>
      <c r="AV601" s="880"/>
      <c r="AW601" s="881"/>
      <c r="AX601" s="863"/>
      <c r="AY601" s="863"/>
      <c r="AZ601" s="863"/>
      <c r="BA601" s="863"/>
      <c r="BB601" s="863"/>
      <c r="BC601" s="863"/>
      <c r="BD601" s="863"/>
      <c r="BE601" s="863"/>
      <c r="BF601" s="863"/>
      <c r="BG601" s="863"/>
      <c r="BH601" s="863"/>
      <c r="BI601" s="863"/>
      <c r="BJ601" s="863"/>
      <c r="BK601" s="863"/>
      <c r="BL601" s="863"/>
      <c r="BM601" s="863"/>
      <c r="BN601" s="863"/>
      <c r="BO601" s="863"/>
      <c r="BP601" s="880"/>
      <c r="BQ601" s="863"/>
      <c r="BR601" s="883"/>
      <c r="BS601" s="883"/>
      <c r="BT601" s="883"/>
      <c r="BU601" s="883"/>
      <c r="BV601" s="883"/>
      <c r="BW601" s="883"/>
      <c r="BX601" s="883"/>
      <c r="BY601" s="883"/>
      <c r="BZ601" s="883"/>
      <c r="CA601" s="883"/>
      <c r="CB601" s="883"/>
      <c r="CC601" s="883"/>
      <c r="CD601" s="884"/>
      <c r="CE601" s="883"/>
      <c r="CF601" s="883"/>
      <c r="CG601" s="883"/>
      <c r="CH601" s="883"/>
      <c r="CI601" s="883"/>
      <c r="CJ601" s="883"/>
      <c r="CK601" s="883"/>
      <c r="CL601" s="883"/>
      <c r="CM601" s="883"/>
      <c r="CN601" s="883"/>
      <c r="CO601" s="883"/>
      <c r="CP601" s="883"/>
      <c r="CQ601" s="883"/>
      <c r="CR601" s="883"/>
      <c r="CS601" s="883"/>
      <c r="CT601" s="883"/>
      <c r="CU601" s="883"/>
      <c r="CV601" s="863"/>
      <c r="CW601" s="863"/>
      <c r="CX601" s="863"/>
      <c r="CY601" s="863"/>
      <c r="CZ601" s="863"/>
      <c r="DA601" s="863"/>
      <c r="DB601" s="863"/>
      <c r="DC601" s="863"/>
      <c r="DD601" s="863"/>
      <c r="DE601" s="863"/>
    </row>
    <row r="602">
      <c r="A602" s="876"/>
      <c r="B602" s="876"/>
      <c r="C602" s="876"/>
      <c r="D602" s="876"/>
      <c r="E602" s="876"/>
      <c r="F602" s="876"/>
      <c r="G602" s="876"/>
      <c r="H602" s="876"/>
      <c r="I602" s="876"/>
      <c r="J602" s="876"/>
      <c r="K602" s="876"/>
      <c r="L602" s="876"/>
      <c r="M602" s="876"/>
      <c r="N602" s="877"/>
      <c r="O602" s="876"/>
      <c r="P602" s="876"/>
      <c r="Q602" s="876"/>
      <c r="R602" s="876"/>
      <c r="S602" s="876"/>
      <c r="T602" s="876"/>
      <c r="U602" s="876"/>
      <c r="V602" s="876"/>
      <c r="W602" s="876"/>
      <c r="X602" s="876"/>
      <c r="Y602" s="876"/>
      <c r="Z602" s="876"/>
      <c r="AA602" s="876"/>
      <c r="AB602" s="876"/>
      <c r="AC602" s="876"/>
      <c r="AD602" s="876"/>
      <c r="AE602" s="876"/>
      <c r="AF602" s="876"/>
      <c r="AG602" s="876"/>
      <c r="AH602" s="876"/>
      <c r="AI602" s="878"/>
      <c r="AJ602" s="880"/>
      <c r="AK602" s="880"/>
      <c r="AL602" s="880"/>
      <c r="AM602" s="880"/>
      <c r="AN602" s="880"/>
      <c r="AO602" s="880"/>
      <c r="AP602" s="880"/>
      <c r="AQ602" s="880"/>
      <c r="AR602" s="880"/>
      <c r="AS602" s="880"/>
      <c r="AT602" s="880"/>
      <c r="AU602" s="880"/>
      <c r="AV602" s="880"/>
      <c r="AW602" s="881"/>
      <c r="AX602" s="863"/>
      <c r="AY602" s="863"/>
      <c r="AZ602" s="863"/>
      <c r="BA602" s="863"/>
      <c r="BB602" s="863"/>
      <c r="BC602" s="863"/>
      <c r="BD602" s="863"/>
      <c r="BE602" s="863"/>
      <c r="BF602" s="863"/>
      <c r="BG602" s="863"/>
      <c r="BH602" s="863"/>
      <c r="BI602" s="863"/>
      <c r="BJ602" s="863"/>
      <c r="BK602" s="863"/>
      <c r="BL602" s="863"/>
      <c r="BM602" s="863"/>
      <c r="BN602" s="863"/>
      <c r="BO602" s="863"/>
      <c r="BP602" s="880"/>
      <c r="BQ602" s="863"/>
      <c r="BR602" s="883"/>
      <c r="BS602" s="883"/>
      <c r="BT602" s="883"/>
      <c r="BU602" s="883"/>
      <c r="BV602" s="883"/>
      <c r="BW602" s="883"/>
      <c r="BX602" s="883"/>
      <c r="BY602" s="883"/>
      <c r="BZ602" s="883"/>
      <c r="CA602" s="883"/>
      <c r="CB602" s="883"/>
      <c r="CC602" s="883"/>
      <c r="CD602" s="884"/>
      <c r="CE602" s="883"/>
      <c r="CF602" s="883"/>
      <c r="CG602" s="883"/>
      <c r="CH602" s="883"/>
      <c r="CI602" s="883"/>
      <c r="CJ602" s="883"/>
      <c r="CK602" s="883"/>
      <c r="CL602" s="883"/>
      <c r="CM602" s="883"/>
      <c r="CN602" s="883"/>
      <c r="CO602" s="883"/>
      <c r="CP602" s="883"/>
      <c r="CQ602" s="883"/>
      <c r="CR602" s="883"/>
      <c r="CS602" s="883"/>
      <c r="CT602" s="883"/>
      <c r="CU602" s="883"/>
      <c r="CV602" s="863"/>
      <c r="CW602" s="863"/>
      <c r="CX602" s="863"/>
      <c r="CY602" s="863"/>
      <c r="CZ602" s="863"/>
      <c r="DA602" s="863"/>
      <c r="DB602" s="863"/>
      <c r="DC602" s="863"/>
      <c r="DD602" s="863"/>
      <c r="DE602" s="863"/>
    </row>
    <row r="603">
      <c r="A603" s="876"/>
      <c r="B603" s="876"/>
      <c r="C603" s="876"/>
      <c r="D603" s="876"/>
      <c r="E603" s="876"/>
      <c r="F603" s="876"/>
      <c r="G603" s="876"/>
      <c r="H603" s="876"/>
      <c r="I603" s="876"/>
      <c r="J603" s="876"/>
      <c r="K603" s="876"/>
      <c r="L603" s="876"/>
      <c r="M603" s="876"/>
      <c r="N603" s="877"/>
      <c r="O603" s="876"/>
      <c r="P603" s="876"/>
      <c r="Q603" s="876"/>
      <c r="R603" s="876"/>
      <c r="S603" s="876"/>
      <c r="T603" s="876"/>
      <c r="U603" s="876"/>
      <c r="V603" s="876"/>
      <c r="W603" s="876"/>
      <c r="X603" s="876"/>
      <c r="Y603" s="876"/>
      <c r="Z603" s="876"/>
      <c r="AA603" s="876"/>
      <c r="AB603" s="876"/>
      <c r="AC603" s="876"/>
      <c r="AD603" s="876"/>
      <c r="AE603" s="876"/>
      <c r="AF603" s="876"/>
      <c r="AG603" s="876"/>
      <c r="AH603" s="876"/>
      <c r="AI603" s="878"/>
      <c r="AJ603" s="880"/>
      <c r="AK603" s="880"/>
      <c r="AL603" s="880"/>
      <c r="AM603" s="880"/>
      <c r="AN603" s="880"/>
      <c r="AO603" s="880"/>
      <c r="AP603" s="880"/>
      <c r="AQ603" s="880"/>
      <c r="AR603" s="880"/>
      <c r="AS603" s="880"/>
      <c r="AT603" s="880"/>
      <c r="AU603" s="880"/>
      <c r="AV603" s="880"/>
      <c r="AW603" s="881"/>
      <c r="AX603" s="863"/>
      <c r="AY603" s="863"/>
      <c r="AZ603" s="863"/>
      <c r="BA603" s="863"/>
      <c r="BB603" s="863"/>
      <c r="BC603" s="863"/>
      <c r="BD603" s="863"/>
      <c r="BE603" s="863"/>
      <c r="BF603" s="863"/>
      <c r="BG603" s="863"/>
      <c r="BH603" s="863"/>
      <c r="BI603" s="863"/>
      <c r="BJ603" s="863"/>
      <c r="BK603" s="863"/>
      <c r="BL603" s="863"/>
      <c r="BM603" s="863"/>
      <c r="BN603" s="863"/>
      <c r="BO603" s="863"/>
      <c r="BP603" s="880"/>
      <c r="BQ603" s="863"/>
      <c r="BR603" s="883"/>
      <c r="BS603" s="883"/>
      <c r="BT603" s="883"/>
      <c r="BU603" s="883"/>
      <c r="BV603" s="883"/>
      <c r="BW603" s="883"/>
      <c r="BX603" s="883"/>
      <c r="BY603" s="883"/>
      <c r="BZ603" s="883"/>
      <c r="CA603" s="883"/>
      <c r="CB603" s="883"/>
      <c r="CC603" s="883"/>
      <c r="CD603" s="884"/>
      <c r="CE603" s="883"/>
      <c r="CF603" s="883"/>
      <c r="CG603" s="883"/>
      <c r="CH603" s="883"/>
      <c r="CI603" s="883"/>
      <c r="CJ603" s="883"/>
      <c r="CK603" s="883"/>
      <c r="CL603" s="883"/>
      <c r="CM603" s="883"/>
      <c r="CN603" s="883"/>
      <c r="CO603" s="883"/>
      <c r="CP603" s="883"/>
      <c r="CQ603" s="883"/>
      <c r="CR603" s="883"/>
      <c r="CS603" s="883"/>
      <c r="CT603" s="883"/>
      <c r="CU603" s="883"/>
      <c r="CV603" s="863"/>
      <c r="CW603" s="863"/>
      <c r="CX603" s="863"/>
      <c r="CY603" s="863"/>
      <c r="CZ603" s="863"/>
      <c r="DA603" s="863"/>
      <c r="DB603" s="863"/>
      <c r="DC603" s="863"/>
      <c r="DD603" s="863"/>
      <c r="DE603" s="863"/>
    </row>
    <row r="604">
      <c r="A604" s="876"/>
      <c r="B604" s="876"/>
      <c r="C604" s="876"/>
      <c r="D604" s="876"/>
      <c r="E604" s="876"/>
      <c r="F604" s="876"/>
      <c r="G604" s="876"/>
      <c r="H604" s="876"/>
      <c r="I604" s="876"/>
      <c r="J604" s="876"/>
      <c r="K604" s="876"/>
      <c r="L604" s="876"/>
      <c r="M604" s="876"/>
      <c r="N604" s="877"/>
      <c r="O604" s="876"/>
      <c r="P604" s="876"/>
      <c r="Q604" s="876"/>
      <c r="R604" s="876"/>
      <c r="S604" s="876"/>
      <c r="T604" s="876"/>
      <c r="U604" s="876"/>
      <c r="V604" s="876"/>
      <c r="W604" s="876"/>
      <c r="X604" s="876"/>
      <c r="Y604" s="876"/>
      <c r="Z604" s="876"/>
      <c r="AA604" s="876"/>
      <c r="AB604" s="876"/>
      <c r="AC604" s="876"/>
      <c r="AD604" s="876"/>
      <c r="AE604" s="876"/>
      <c r="AF604" s="876"/>
      <c r="AG604" s="876"/>
      <c r="AH604" s="876"/>
      <c r="AI604" s="878"/>
      <c r="AJ604" s="880"/>
      <c r="AK604" s="880"/>
      <c r="AL604" s="880"/>
      <c r="AM604" s="880"/>
      <c r="AN604" s="880"/>
      <c r="AO604" s="880"/>
      <c r="AP604" s="880"/>
      <c r="AQ604" s="880"/>
      <c r="AR604" s="880"/>
      <c r="AS604" s="880"/>
      <c r="AT604" s="880"/>
      <c r="AU604" s="880"/>
      <c r="AV604" s="880"/>
      <c r="AW604" s="881"/>
      <c r="AX604" s="863"/>
      <c r="AY604" s="863"/>
      <c r="AZ604" s="863"/>
      <c r="BA604" s="863"/>
      <c r="BB604" s="863"/>
      <c r="BC604" s="863"/>
      <c r="BD604" s="863"/>
      <c r="BE604" s="863"/>
      <c r="BF604" s="863"/>
      <c r="BG604" s="863"/>
      <c r="BH604" s="863"/>
      <c r="BI604" s="863"/>
      <c r="BJ604" s="863"/>
      <c r="BK604" s="863"/>
      <c r="BL604" s="863"/>
      <c r="BM604" s="863"/>
      <c r="BN604" s="863"/>
      <c r="BO604" s="863"/>
      <c r="BP604" s="880"/>
      <c r="BQ604" s="863"/>
      <c r="BR604" s="883"/>
      <c r="BS604" s="883"/>
      <c r="BT604" s="883"/>
      <c r="BU604" s="883"/>
      <c r="BV604" s="883"/>
      <c r="BW604" s="883"/>
      <c r="BX604" s="883"/>
      <c r="BY604" s="883"/>
      <c r="BZ604" s="883"/>
      <c r="CA604" s="883"/>
      <c r="CB604" s="883"/>
      <c r="CC604" s="883"/>
      <c r="CD604" s="884"/>
      <c r="CE604" s="883"/>
      <c r="CF604" s="883"/>
      <c r="CG604" s="883"/>
      <c r="CH604" s="883"/>
      <c r="CI604" s="883"/>
      <c r="CJ604" s="883"/>
      <c r="CK604" s="883"/>
      <c r="CL604" s="883"/>
      <c r="CM604" s="883"/>
      <c r="CN604" s="883"/>
      <c r="CO604" s="883"/>
      <c r="CP604" s="883"/>
      <c r="CQ604" s="883"/>
      <c r="CR604" s="883"/>
      <c r="CS604" s="883"/>
      <c r="CT604" s="883"/>
      <c r="CU604" s="883"/>
      <c r="CV604" s="863"/>
      <c r="CW604" s="863"/>
      <c r="CX604" s="863"/>
      <c r="CY604" s="863"/>
      <c r="CZ604" s="863"/>
      <c r="DA604" s="863"/>
      <c r="DB604" s="863"/>
      <c r="DC604" s="863"/>
      <c r="DD604" s="863"/>
      <c r="DE604" s="863"/>
    </row>
    <row r="605">
      <c r="A605" s="876"/>
      <c r="B605" s="876"/>
      <c r="C605" s="876"/>
      <c r="D605" s="876"/>
      <c r="E605" s="876"/>
      <c r="F605" s="876"/>
      <c r="G605" s="876"/>
      <c r="H605" s="876"/>
      <c r="I605" s="876"/>
      <c r="J605" s="876"/>
      <c r="K605" s="876"/>
      <c r="L605" s="876"/>
      <c r="M605" s="876"/>
      <c r="N605" s="877"/>
      <c r="O605" s="876"/>
      <c r="P605" s="876"/>
      <c r="Q605" s="876"/>
      <c r="R605" s="876"/>
      <c r="S605" s="876"/>
      <c r="T605" s="876"/>
      <c r="U605" s="876"/>
      <c r="V605" s="876"/>
      <c r="W605" s="876"/>
      <c r="X605" s="876"/>
      <c r="Y605" s="876"/>
      <c r="Z605" s="876"/>
      <c r="AA605" s="876"/>
      <c r="AB605" s="876"/>
      <c r="AC605" s="876"/>
      <c r="AD605" s="876"/>
      <c r="AE605" s="876"/>
      <c r="AF605" s="876"/>
      <c r="AG605" s="876"/>
      <c r="AH605" s="876"/>
      <c r="AI605" s="878"/>
      <c r="AJ605" s="880"/>
      <c r="AK605" s="880"/>
      <c r="AL605" s="880"/>
      <c r="AM605" s="880"/>
      <c r="AN605" s="880"/>
      <c r="AO605" s="880"/>
      <c r="AP605" s="880"/>
      <c r="AQ605" s="880"/>
      <c r="AR605" s="880"/>
      <c r="AS605" s="880"/>
      <c r="AT605" s="880"/>
      <c r="AU605" s="880"/>
      <c r="AV605" s="880"/>
      <c r="AW605" s="881"/>
      <c r="AX605" s="863"/>
      <c r="AY605" s="863"/>
      <c r="AZ605" s="863"/>
      <c r="BA605" s="863"/>
      <c r="BB605" s="863"/>
      <c r="BC605" s="863"/>
      <c r="BD605" s="863"/>
      <c r="BE605" s="863"/>
      <c r="BF605" s="863"/>
      <c r="BG605" s="863"/>
      <c r="BH605" s="863"/>
      <c r="BI605" s="863"/>
      <c r="BJ605" s="863"/>
      <c r="BK605" s="863"/>
      <c r="BL605" s="863"/>
      <c r="BM605" s="863"/>
      <c r="BN605" s="863"/>
      <c r="BO605" s="863"/>
      <c r="BP605" s="880"/>
      <c r="BQ605" s="863"/>
      <c r="BR605" s="883"/>
      <c r="BS605" s="883"/>
      <c r="BT605" s="883"/>
      <c r="BU605" s="883"/>
      <c r="BV605" s="883"/>
      <c r="BW605" s="883"/>
      <c r="BX605" s="883"/>
      <c r="BY605" s="883"/>
      <c r="BZ605" s="883"/>
      <c r="CA605" s="883"/>
      <c r="CB605" s="883"/>
      <c r="CC605" s="883"/>
      <c r="CD605" s="884"/>
      <c r="CE605" s="883"/>
      <c r="CF605" s="883"/>
      <c r="CG605" s="883"/>
      <c r="CH605" s="883"/>
      <c r="CI605" s="883"/>
      <c r="CJ605" s="883"/>
      <c r="CK605" s="883"/>
      <c r="CL605" s="883"/>
      <c r="CM605" s="883"/>
      <c r="CN605" s="883"/>
      <c r="CO605" s="883"/>
      <c r="CP605" s="883"/>
      <c r="CQ605" s="883"/>
      <c r="CR605" s="883"/>
      <c r="CS605" s="883"/>
      <c r="CT605" s="883"/>
      <c r="CU605" s="883"/>
      <c r="CV605" s="863"/>
      <c r="CW605" s="863"/>
      <c r="CX605" s="863"/>
      <c r="CY605" s="863"/>
      <c r="CZ605" s="863"/>
      <c r="DA605" s="863"/>
      <c r="DB605" s="863"/>
      <c r="DC605" s="863"/>
      <c r="DD605" s="863"/>
      <c r="DE605" s="863"/>
    </row>
    <row r="606">
      <c r="A606" s="876"/>
      <c r="B606" s="876"/>
      <c r="C606" s="876"/>
      <c r="D606" s="876"/>
      <c r="E606" s="876"/>
      <c r="F606" s="876"/>
      <c r="G606" s="876"/>
      <c r="H606" s="876"/>
      <c r="I606" s="876"/>
      <c r="J606" s="876"/>
      <c r="K606" s="876"/>
      <c r="L606" s="876"/>
      <c r="M606" s="876"/>
      <c r="N606" s="877"/>
      <c r="O606" s="876"/>
      <c r="P606" s="876"/>
      <c r="Q606" s="876"/>
      <c r="R606" s="876"/>
      <c r="S606" s="876"/>
      <c r="T606" s="876"/>
      <c r="U606" s="876"/>
      <c r="V606" s="876"/>
      <c r="W606" s="876"/>
      <c r="X606" s="876"/>
      <c r="Y606" s="876"/>
      <c r="Z606" s="876"/>
      <c r="AA606" s="876"/>
      <c r="AB606" s="876"/>
      <c r="AC606" s="876"/>
      <c r="AD606" s="876"/>
      <c r="AE606" s="876"/>
      <c r="AF606" s="876"/>
      <c r="AG606" s="876"/>
      <c r="AH606" s="876"/>
      <c r="AI606" s="878"/>
      <c r="AJ606" s="880"/>
      <c r="AK606" s="880"/>
      <c r="AL606" s="880"/>
      <c r="AM606" s="880"/>
      <c r="AN606" s="880"/>
      <c r="AO606" s="880"/>
      <c r="AP606" s="880"/>
      <c r="AQ606" s="880"/>
      <c r="AR606" s="880"/>
      <c r="AS606" s="880"/>
      <c r="AT606" s="880"/>
      <c r="AU606" s="880"/>
      <c r="AV606" s="880"/>
      <c r="AW606" s="881"/>
      <c r="AX606" s="863"/>
      <c r="AY606" s="863"/>
      <c r="AZ606" s="863"/>
      <c r="BA606" s="863"/>
      <c r="BB606" s="863"/>
      <c r="BC606" s="863"/>
      <c r="BD606" s="863"/>
      <c r="BE606" s="863"/>
      <c r="BF606" s="863"/>
      <c r="BG606" s="863"/>
      <c r="BH606" s="863"/>
      <c r="BI606" s="863"/>
      <c r="BJ606" s="863"/>
      <c r="BK606" s="863"/>
      <c r="BL606" s="863"/>
      <c r="BM606" s="863"/>
      <c r="BN606" s="863"/>
      <c r="BO606" s="863"/>
      <c r="BP606" s="880"/>
      <c r="BQ606" s="863"/>
      <c r="BR606" s="883"/>
      <c r="BS606" s="883"/>
      <c r="BT606" s="883"/>
      <c r="BU606" s="883"/>
      <c r="BV606" s="883"/>
      <c r="BW606" s="883"/>
      <c r="BX606" s="883"/>
      <c r="BY606" s="883"/>
      <c r="BZ606" s="883"/>
      <c r="CA606" s="883"/>
      <c r="CB606" s="883"/>
      <c r="CC606" s="883"/>
      <c r="CD606" s="884"/>
      <c r="CE606" s="883"/>
      <c r="CF606" s="883"/>
      <c r="CG606" s="883"/>
      <c r="CH606" s="883"/>
      <c r="CI606" s="883"/>
      <c r="CJ606" s="883"/>
      <c r="CK606" s="883"/>
      <c r="CL606" s="883"/>
      <c r="CM606" s="883"/>
      <c r="CN606" s="883"/>
      <c r="CO606" s="883"/>
      <c r="CP606" s="883"/>
      <c r="CQ606" s="883"/>
      <c r="CR606" s="883"/>
      <c r="CS606" s="883"/>
      <c r="CT606" s="883"/>
      <c r="CU606" s="883"/>
      <c r="CV606" s="863"/>
      <c r="CW606" s="863"/>
      <c r="CX606" s="863"/>
      <c r="CY606" s="863"/>
      <c r="CZ606" s="863"/>
      <c r="DA606" s="863"/>
      <c r="DB606" s="863"/>
      <c r="DC606" s="863"/>
      <c r="DD606" s="863"/>
      <c r="DE606" s="863"/>
    </row>
    <row r="607">
      <c r="A607" s="876"/>
      <c r="B607" s="876"/>
      <c r="C607" s="876"/>
      <c r="D607" s="876"/>
      <c r="E607" s="876"/>
      <c r="F607" s="876"/>
      <c r="G607" s="876"/>
      <c r="H607" s="876"/>
      <c r="I607" s="876"/>
      <c r="J607" s="876"/>
      <c r="K607" s="876"/>
      <c r="L607" s="876"/>
      <c r="M607" s="876"/>
      <c r="N607" s="877"/>
      <c r="O607" s="876"/>
      <c r="P607" s="876"/>
      <c r="Q607" s="876"/>
      <c r="R607" s="876"/>
      <c r="S607" s="876"/>
      <c r="T607" s="876"/>
      <c r="U607" s="876"/>
      <c r="V607" s="876"/>
      <c r="W607" s="876"/>
      <c r="X607" s="876"/>
      <c r="Y607" s="876"/>
      <c r="Z607" s="876"/>
      <c r="AA607" s="876"/>
      <c r="AB607" s="876"/>
      <c r="AC607" s="876"/>
      <c r="AD607" s="876"/>
      <c r="AE607" s="876"/>
      <c r="AF607" s="876"/>
      <c r="AG607" s="876"/>
      <c r="AH607" s="876"/>
      <c r="AI607" s="878"/>
      <c r="AJ607" s="880"/>
      <c r="AK607" s="880"/>
      <c r="AL607" s="880"/>
      <c r="AM607" s="880"/>
      <c r="AN607" s="880"/>
      <c r="AO607" s="880"/>
      <c r="AP607" s="880"/>
      <c r="AQ607" s="880"/>
      <c r="AR607" s="880"/>
      <c r="AS607" s="880"/>
      <c r="AT607" s="880"/>
      <c r="AU607" s="880"/>
      <c r="AV607" s="880"/>
      <c r="AW607" s="881"/>
      <c r="AX607" s="863"/>
      <c r="AY607" s="863"/>
      <c r="AZ607" s="863"/>
      <c r="BA607" s="863"/>
      <c r="BB607" s="863"/>
      <c r="BC607" s="863"/>
      <c r="BD607" s="863"/>
      <c r="BE607" s="863"/>
      <c r="BF607" s="863"/>
      <c r="BG607" s="863"/>
      <c r="BH607" s="863"/>
      <c r="BI607" s="863"/>
      <c r="BJ607" s="863"/>
      <c r="BK607" s="863"/>
      <c r="BL607" s="863"/>
      <c r="BM607" s="863"/>
      <c r="BN607" s="863"/>
      <c r="BO607" s="863"/>
      <c r="BP607" s="880"/>
      <c r="BQ607" s="863"/>
      <c r="BR607" s="883"/>
      <c r="BS607" s="883"/>
      <c r="BT607" s="883"/>
      <c r="BU607" s="883"/>
      <c r="BV607" s="883"/>
      <c r="BW607" s="883"/>
      <c r="BX607" s="883"/>
      <c r="BY607" s="883"/>
      <c r="BZ607" s="883"/>
      <c r="CA607" s="883"/>
      <c r="CB607" s="883"/>
      <c r="CC607" s="883"/>
      <c r="CD607" s="884"/>
      <c r="CE607" s="883"/>
      <c r="CF607" s="883"/>
      <c r="CG607" s="883"/>
      <c r="CH607" s="883"/>
      <c r="CI607" s="883"/>
      <c r="CJ607" s="883"/>
      <c r="CK607" s="883"/>
      <c r="CL607" s="883"/>
      <c r="CM607" s="883"/>
      <c r="CN607" s="883"/>
      <c r="CO607" s="883"/>
      <c r="CP607" s="883"/>
      <c r="CQ607" s="883"/>
      <c r="CR607" s="883"/>
      <c r="CS607" s="883"/>
      <c r="CT607" s="883"/>
      <c r="CU607" s="883"/>
      <c r="CV607" s="863"/>
      <c r="CW607" s="863"/>
      <c r="CX607" s="863"/>
      <c r="CY607" s="863"/>
      <c r="CZ607" s="863"/>
      <c r="DA607" s="863"/>
      <c r="DB607" s="863"/>
      <c r="DC607" s="863"/>
      <c r="DD607" s="863"/>
      <c r="DE607" s="863"/>
    </row>
    <row r="608">
      <c r="A608" s="876"/>
      <c r="B608" s="876"/>
      <c r="C608" s="876"/>
      <c r="D608" s="876"/>
      <c r="E608" s="876"/>
      <c r="F608" s="876"/>
      <c r="G608" s="876"/>
      <c r="H608" s="876"/>
      <c r="I608" s="876"/>
      <c r="J608" s="876"/>
      <c r="K608" s="876"/>
      <c r="L608" s="876"/>
      <c r="M608" s="876"/>
      <c r="N608" s="877"/>
      <c r="O608" s="876"/>
      <c r="P608" s="876"/>
      <c r="Q608" s="876"/>
      <c r="R608" s="876"/>
      <c r="S608" s="876"/>
      <c r="T608" s="876"/>
      <c r="U608" s="876"/>
      <c r="V608" s="876"/>
      <c r="W608" s="876"/>
      <c r="X608" s="876"/>
      <c r="Y608" s="876"/>
      <c r="Z608" s="876"/>
      <c r="AA608" s="876"/>
      <c r="AB608" s="876"/>
      <c r="AC608" s="876"/>
      <c r="AD608" s="876"/>
      <c r="AE608" s="876"/>
      <c r="AF608" s="876"/>
      <c r="AG608" s="876"/>
      <c r="AH608" s="876"/>
      <c r="AI608" s="878"/>
      <c r="AJ608" s="880"/>
      <c r="AK608" s="880"/>
      <c r="AL608" s="880"/>
      <c r="AM608" s="880"/>
      <c r="AN608" s="880"/>
      <c r="AO608" s="880"/>
      <c r="AP608" s="880"/>
      <c r="AQ608" s="880"/>
      <c r="AR608" s="880"/>
      <c r="AS608" s="880"/>
      <c r="AT608" s="880"/>
      <c r="AU608" s="880"/>
      <c r="AV608" s="880"/>
      <c r="AW608" s="881"/>
      <c r="AX608" s="863"/>
      <c r="AY608" s="863"/>
      <c r="AZ608" s="863"/>
      <c r="BA608" s="863"/>
      <c r="BB608" s="863"/>
      <c r="BC608" s="863"/>
      <c r="BD608" s="863"/>
      <c r="BE608" s="863"/>
      <c r="BF608" s="863"/>
      <c r="BG608" s="863"/>
      <c r="BH608" s="863"/>
      <c r="BI608" s="863"/>
      <c r="BJ608" s="863"/>
      <c r="BK608" s="863"/>
      <c r="BL608" s="863"/>
      <c r="BM608" s="863"/>
      <c r="BN608" s="863"/>
      <c r="BO608" s="863"/>
      <c r="BP608" s="880"/>
      <c r="BQ608" s="863"/>
      <c r="BR608" s="883"/>
      <c r="BS608" s="883"/>
      <c r="BT608" s="883"/>
      <c r="BU608" s="883"/>
      <c r="BV608" s="883"/>
      <c r="BW608" s="883"/>
      <c r="BX608" s="883"/>
      <c r="BY608" s="883"/>
      <c r="BZ608" s="883"/>
      <c r="CA608" s="883"/>
      <c r="CB608" s="883"/>
      <c r="CC608" s="883"/>
      <c r="CD608" s="884"/>
      <c r="CE608" s="883"/>
      <c r="CF608" s="883"/>
      <c r="CG608" s="883"/>
      <c r="CH608" s="883"/>
      <c r="CI608" s="883"/>
      <c r="CJ608" s="883"/>
      <c r="CK608" s="883"/>
      <c r="CL608" s="883"/>
      <c r="CM608" s="883"/>
      <c r="CN608" s="883"/>
      <c r="CO608" s="883"/>
      <c r="CP608" s="883"/>
      <c r="CQ608" s="883"/>
      <c r="CR608" s="883"/>
      <c r="CS608" s="883"/>
      <c r="CT608" s="883"/>
      <c r="CU608" s="883"/>
      <c r="CV608" s="863"/>
      <c r="CW608" s="863"/>
      <c r="CX608" s="863"/>
      <c r="CY608" s="863"/>
      <c r="CZ608" s="863"/>
      <c r="DA608" s="863"/>
      <c r="DB608" s="863"/>
      <c r="DC608" s="863"/>
      <c r="DD608" s="863"/>
      <c r="DE608" s="863"/>
    </row>
    <row r="609">
      <c r="A609" s="876"/>
      <c r="B609" s="876"/>
      <c r="C609" s="876"/>
      <c r="D609" s="876"/>
      <c r="E609" s="876"/>
      <c r="F609" s="876"/>
      <c r="G609" s="876"/>
      <c r="H609" s="876"/>
      <c r="I609" s="876"/>
      <c r="J609" s="876"/>
      <c r="K609" s="876"/>
      <c r="L609" s="876"/>
      <c r="M609" s="876"/>
      <c r="N609" s="877"/>
      <c r="O609" s="876"/>
      <c r="P609" s="876"/>
      <c r="Q609" s="876"/>
      <c r="R609" s="876"/>
      <c r="S609" s="876"/>
      <c r="T609" s="876"/>
      <c r="U609" s="876"/>
      <c r="V609" s="876"/>
      <c r="W609" s="876"/>
      <c r="X609" s="876"/>
      <c r="Y609" s="876"/>
      <c r="Z609" s="876"/>
      <c r="AA609" s="876"/>
      <c r="AB609" s="876"/>
      <c r="AC609" s="876"/>
      <c r="AD609" s="876"/>
      <c r="AE609" s="876"/>
      <c r="AF609" s="876"/>
      <c r="AG609" s="876"/>
      <c r="AH609" s="876"/>
      <c r="AI609" s="878"/>
      <c r="AJ609" s="880"/>
      <c r="AK609" s="880"/>
      <c r="AL609" s="880"/>
      <c r="AM609" s="880"/>
      <c r="AN609" s="880"/>
      <c r="AO609" s="880"/>
      <c r="AP609" s="880"/>
      <c r="AQ609" s="880"/>
      <c r="AR609" s="880"/>
      <c r="AS609" s="880"/>
      <c r="AT609" s="880"/>
      <c r="AU609" s="880"/>
      <c r="AV609" s="880"/>
      <c r="AW609" s="881"/>
      <c r="AX609" s="863"/>
      <c r="AY609" s="863"/>
      <c r="AZ609" s="863"/>
      <c r="BA609" s="863"/>
      <c r="BB609" s="863"/>
      <c r="BC609" s="863"/>
      <c r="BD609" s="863"/>
      <c r="BE609" s="863"/>
      <c r="BF609" s="863"/>
      <c r="BG609" s="863"/>
      <c r="BH609" s="863"/>
      <c r="BI609" s="863"/>
      <c r="BJ609" s="863"/>
      <c r="BK609" s="863"/>
      <c r="BL609" s="863"/>
      <c r="BM609" s="863"/>
      <c r="BN609" s="863"/>
      <c r="BO609" s="863"/>
      <c r="BP609" s="880"/>
      <c r="BQ609" s="863"/>
      <c r="BR609" s="883"/>
      <c r="BS609" s="883"/>
      <c r="BT609" s="883"/>
      <c r="BU609" s="883"/>
      <c r="BV609" s="883"/>
      <c r="BW609" s="883"/>
      <c r="BX609" s="883"/>
      <c r="BY609" s="883"/>
      <c r="BZ609" s="883"/>
      <c r="CA609" s="883"/>
      <c r="CB609" s="883"/>
      <c r="CC609" s="883"/>
      <c r="CD609" s="884"/>
      <c r="CE609" s="883"/>
      <c r="CF609" s="883"/>
      <c r="CG609" s="883"/>
      <c r="CH609" s="883"/>
      <c r="CI609" s="883"/>
      <c r="CJ609" s="883"/>
      <c r="CK609" s="883"/>
      <c r="CL609" s="883"/>
      <c r="CM609" s="883"/>
      <c r="CN609" s="883"/>
      <c r="CO609" s="883"/>
      <c r="CP609" s="883"/>
      <c r="CQ609" s="883"/>
      <c r="CR609" s="883"/>
      <c r="CS609" s="883"/>
      <c r="CT609" s="883"/>
      <c r="CU609" s="883"/>
      <c r="CV609" s="863"/>
      <c r="CW609" s="863"/>
      <c r="CX609" s="863"/>
      <c r="CY609" s="863"/>
      <c r="CZ609" s="863"/>
      <c r="DA609" s="863"/>
      <c r="DB609" s="863"/>
      <c r="DC609" s="863"/>
      <c r="DD609" s="863"/>
      <c r="DE609" s="863"/>
    </row>
    <row r="610">
      <c r="A610" s="876"/>
      <c r="B610" s="876"/>
      <c r="C610" s="876"/>
      <c r="D610" s="876"/>
      <c r="E610" s="876"/>
      <c r="F610" s="876"/>
      <c r="G610" s="876"/>
      <c r="H610" s="876"/>
      <c r="I610" s="876"/>
      <c r="J610" s="876"/>
      <c r="K610" s="876"/>
      <c r="L610" s="876"/>
      <c r="M610" s="876"/>
      <c r="N610" s="877"/>
      <c r="O610" s="876"/>
      <c r="P610" s="876"/>
      <c r="Q610" s="876"/>
      <c r="R610" s="876"/>
      <c r="S610" s="876"/>
      <c r="T610" s="876"/>
      <c r="U610" s="876"/>
      <c r="V610" s="876"/>
      <c r="W610" s="876"/>
      <c r="X610" s="876"/>
      <c r="Y610" s="876"/>
      <c r="Z610" s="876"/>
      <c r="AA610" s="876"/>
      <c r="AB610" s="876"/>
      <c r="AC610" s="876"/>
      <c r="AD610" s="876"/>
      <c r="AE610" s="876"/>
      <c r="AF610" s="876"/>
      <c r="AG610" s="876"/>
      <c r="AH610" s="876"/>
      <c r="AI610" s="878"/>
      <c r="AJ610" s="880"/>
      <c r="AK610" s="880"/>
      <c r="AL610" s="880"/>
      <c r="AM610" s="880"/>
      <c r="AN610" s="880"/>
      <c r="AO610" s="880"/>
      <c r="AP610" s="880"/>
      <c r="AQ610" s="880"/>
      <c r="AR610" s="880"/>
      <c r="AS610" s="880"/>
      <c r="AT610" s="880"/>
      <c r="AU610" s="880"/>
      <c r="AV610" s="880"/>
      <c r="AW610" s="881"/>
      <c r="AX610" s="863"/>
      <c r="AY610" s="863"/>
      <c r="AZ610" s="863"/>
      <c r="BA610" s="863"/>
      <c r="BB610" s="863"/>
      <c r="BC610" s="863"/>
      <c r="BD610" s="863"/>
      <c r="BE610" s="863"/>
      <c r="BF610" s="863"/>
      <c r="BG610" s="863"/>
      <c r="BH610" s="863"/>
      <c r="BI610" s="863"/>
      <c r="BJ610" s="863"/>
      <c r="BK610" s="863"/>
      <c r="BL610" s="863"/>
      <c r="BM610" s="863"/>
      <c r="BN610" s="863"/>
      <c r="BO610" s="863"/>
      <c r="BP610" s="880"/>
      <c r="BQ610" s="863"/>
      <c r="BR610" s="883"/>
      <c r="BS610" s="883"/>
      <c r="BT610" s="883"/>
      <c r="BU610" s="883"/>
      <c r="BV610" s="883"/>
      <c r="BW610" s="883"/>
      <c r="BX610" s="883"/>
      <c r="BY610" s="883"/>
      <c r="BZ610" s="883"/>
      <c r="CA610" s="883"/>
      <c r="CB610" s="883"/>
      <c r="CC610" s="883"/>
      <c r="CD610" s="884"/>
      <c r="CE610" s="883"/>
      <c r="CF610" s="883"/>
      <c r="CG610" s="883"/>
      <c r="CH610" s="883"/>
      <c r="CI610" s="883"/>
      <c r="CJ610" s="883"/>
      <c r="CK610" s="883"/>
      <c r="CL610" s="883"/>
      <c r="CM610" s="883"/>
      <c r="CN610" s="883"/>
      <c r="CO610" s="883"/>
      <c r="CP610" s="883"/>
      <c r="CQ610" s="883"/>
      <c r="CR610" s="883"/>
      <c r="CS610" s="883"/>
      <c r="CT610" s="883"/>
      <c r="CU610" s="883"/>
      <c r="CV610" s="863"/>
      <c r="CW610" s="863"/>
      <c r="CX610" s="863"/>
      <c r="CY610" s="863"/>
      <c r="CZ610" s="863"/>
      <c r="DA610" s="863"/>
      <c r="DB610" s="863"/>
      <c r="DC610" s="863"/>
      <c r="DD610" s="863"/>
      <c r="DE610" s="863"/>
    </row>
    <row r="611">
      <c r="A611" s="876"/>
      <c r="B611" s="876"/>
      <c r="C611" s="876"/>
      <c r="D611" s="876"/>
      <c r="E611" s="876"/>
      <c r="F611" s="876"/>
      <c r="G611" s="876"/>
      <c r="H611" s="876"/>
      <c r="I611" s="876"/>
      <c r="J611" s="876"/>
      <c r="K611" s="876"/>
      <c r="L611" s="876"/>
      <c r="M611" s="876"/>
      <c r="N611" s="877"/>
      <c r="O611" s="876"/>
      <c r="P611" s="876"/>
      <c r="Q611" s="876"/>
      <c r="R611" s="876"/>
      <c r="S611" s="876"/>
      <c r="T611" s="876"/>
      <c r="U611" s="876"/>
      <c r="V611" s="876"/>
      <c r="W611" s="876"/>
      <c r="X611" s="876"/>
      <c r="Y611" s="876"/>
      <c r="Z611" s="876"/>
      <c r="AA611" s="876"/>
      <c r="AB611" s="876"/>
      <c r="AC611" s="876"/>
      <c r="AD611" s="876"/>
      <c r="AE611" s="876"/>
      <c r="AF611" s="876"/>
      <c r="AG611" s="876"/>
      <c r="AH611" s="876"/>
      <c r="AI611" s="878"/>
      <c r="AJ611" s="880"/>
      <c r="AK611" s="880"/>
      <c r="AL611" s="880"/>
      <c r="AM611" s="880"/>
      <c r="AN611" s="880"/>
      <c r="AO611" s="880"/>
      <c r="AP611" s="880"/>
      <c r="AQ611" s="880"/>
      <c r="AR611" s="880"/>
      <c r="AS611" s="880"/>
      <c r="AT611" s="880"/>
      <c r="AU611" s="880"/>
      <c r="AV611" s="880"/>
      <c r="AW611" s="881"/>
      <c r="AX611" s="863"/>
      <c r="AY611" s="863"/>
      <c r="AZ611" s="863"/>
      <c r="BA611" s="863"/>
      <c r="BB611" s="863"/>
      <c r="BC611" s="863"/>
      <c r="BD611" s="863"/>
      <c r="BE611" s="863"/>
      <c r="BF611" s="863"/>
      <c r="BG611" s="863"/>
      <c r="BH611" s="863"/>
      <c r="BI611" s="863"/>
      <c r="BJ611" s="863"/>
      <c r="BK611" s="863"/>
      <c r="BL611" s="863"/>
      <c r="BM611" s="863"/>
      <c r="BN611" s="863"/>
      <c r="BO611" s="863"/>
      <c r="BP611" s="880"/>
      <c r="BQ611" s="863"/>
      <c r="BR611" s="883"/>
      <c r="BS611" s="883"/>
      <c r="BT611" s="883"/>
      <c r="BU611" s="883"/>
      <c r="BV611" s="883"/>
      <c r="BW611" s="883"/>
      <c r="BX611" s="883"/>
      <c r="BY611" s="883"/>
      <c r="BZ611" s="883"/>
      <c r="CA611" s="883"/>
      <c r="CB611" s="883"/>
      <c r="CC611" s="883"/>
      <c r="CD611" s="884"/>
      <c r="CE611" s="883"/>
      <c r="CF611" s="883"/>
      <c r="CG611" s="883"/>
      <c r="CH611" s="883"/>
      <c r="CI611" s="883"/>
      <c r="CJ611" s="883"/>
      <c r="CK611" s="883"/>
      <c r="CL611" s="883"/>
      <c r="CM611" s="883"/>
      <c r="CN611" s="883"/>
      <c r="CO611" s="883"/>
      <c r="CP611" s="883"/>
      <c r="CQ611" s="883"/>
      <c r="CR611" s="883"/>
      <c r="CS611" s="883"/>
      <c r="CT611" s="883"/>
      <c r="CU611" s="883"/>
      <c r="CV611" s="863"/>
      <c r="CW611" s="863"/>
      <c r="CX611" s="863"/>
      <c r="CY611" s="863"/>
      <c r="CZ611" s="863"/>
      <c r="DA611" s="863"/>
      <c r="DB611" s="863"/>
      <c r="DC611" s="863"/>
      <c r="DD611" s="863"/>
      <c r="DE611" s="863"/>
    </row>
    <row r="612">
      <c r="A612" s="876"/>
      <c r="B612" s="876"/>
      <c r="C612" s="876"/>
      <c r="D612" s="876"/>
      <c r="E612" s="876"/>
      <c r="F612" s="876"/>
      <c r="G612" s="876"/>
      <c r="H612" s="876"/>
      <c r="I612" s="876"/>
      <c r="J612" s="876"/>
      <c r="K612" s="876"/>
      <c r="L612" s="876"/>
      <c r="M612" s="876"/>
      <c r="N612" s="877"/>
      <c r="O612" s="876"/>
      <c r="P612" s="876"/>
      <c r="Q612" s="876"/>
      <c r="R612" s="876"/>
      <c r="S612" s="876"/>
      <c r="T612" s="876"/>
      <c r="U612" s="876"/>
      <c r="V612" s="876"/>
      <c r="W612" s="876"/>
      <c r="X612" s="876"/>
      <c r="Y612" s="876"/>
      <c r="Z612" s="876"/>
      <c r="AA612" s="876"/>
      <c r="AB612" s="876"/>
      <c r="AC612" s="876"/>
      <c r="AD612" s="876"/>
      <c r="AE612" s="876"/>
      <c r="AF612" s="876"/>
      <c r="AG612" s="876"/>
      <c r="AH612" s="876"/>
      <c r="AI612" s="878"/>
      <c r="AJ612" s="880"/>
      <c r="AK612" s="880"/>
      <c r="AL612" s="880"/>
      <c r="AM612" s="880"/>
      <c r="AN612" s="880"/>
      <c r="AO612" s="880"/>
      <c r="AP612" s="880"/>
      <c r="AQ612" s="880"/>
      <c r="AR612" s="880"/>
      <c r="AS612" s="880"/>
      <c r="AT612" s="880"/>
      <c r="AU612" s="880"/>
      <c r="AV612" s="880"/>
      <c r="AW612" s="881"/>
      <c r="AX612" s="863"/>
      <c r="AY612" s="863"/>
      <c r="AZ612" s="863"/>
      <c r="BA612" s="863"/>
      <c r="BB612" s="863"/>
      <c r="BC612" s="863"/>
      <c r="BD612" s="863"/>
      <c r="BE612" s="863"/>
      <c r="BF612" s="863"/>
      <c r="BG612" s="863"/>
      <c r="BH612" s="863"/>
      <c r="BI612" s="863"/>
      <c r="BJ612" s="863"/>
      <c r="BK612" s="863"/>
      <c r="BL612" s="863"/>
      <c r="BM612" s="863"/>
      <c r="BN612" s="863"/>
      <c r="BO612" s="863"/>
      <c r="BP612" s="880"/>
      <c r="BQ612" s="863"/>
      <c r="BR612" s="883"/>
      <c r="BS612" s="883"/>
      <c r="BT612" s="883"/>
      <c r="BU612" s="883"/>
      <c r="BV612" s="883"/>
      <c r="BW612" s="883"/>
      <c r="BX612" s="883"/>
      <c r="BY612" s="883"/>
      <c r="BZ612" s="883"/>
      <c r="CA612" s="883"/>
      <c r="CB612" s="883"/>
      <c r="CC612" s="883"/>
      <c r="CD612" s="884"/>
      <c r="CE612" s="883"/>
      <c r="CF612" s="883"/>
      <c r="CG612" s="883"/>
      <c r="CH612" s="883"/>
      <c r="CI612" s="883"/>
      <c r="CJ612" s="883"/>
      <c r="CK612" s="883"/>
      <c r="CL612" s="883"/>
      <c r="CM612" s="883"/>
      <c r="CN612" s="883"/>
      <c r="CO612" s="883"/>
      <c r="CP612" s="883"/>
      <c r="CQ612" s="883"/>
      <c r="CR612" s="883"/>
      <c r="CS612" s="883"/>
      <c r="CT612" s="883"/>
      <c r="CU612" s="883"/>
      <c r="CV612" s="863"/>
      <c r="CW612" s="863"/>
      <c r="CX612" s="863"/>
      <c r="CY612" s="863"/>
      <c r="CZ612" s="863"/>
      <c r="DA612" s="863"/>
      <c r="DB612" s="863"/>
      <c r="DC612" s="863"/>
      <c r="DD612" s="863"/>
      <c r="DE612" s="863"/>
    </row>
    <row r="613">
      <c r="A613" s="876"/>
      <c r="B613" s="876"/>
      <c r="C613" s="876"/>
      <c r="D613" s="876"/>
      <c r="E613" s="876"/>
      <c r="F613" s="876"/>
      <c r="G613" s="876"/>
      <c r="H613" s="876"/>
      <c r="I613" s="876"/>
      <c r="J613" s="876"/>
      <c r="K613" s="876"/>
      <c r="L613" s="876"/>
      <c r="M613" s="876"/>
      <c r="N613" s="877"/>
      <c r="O613" s="876"/>
      <c r="P613" s="876"/>
      <c r="Q613" s="876"/>
      <c r="R613" s="876"/>
      <c r="S613" s="876"/>
      <c r="T613" s="876"/>
      <c r="U613" s="876"/>
      <c r="V613" s="876"/>
      <c r="W613" s="876"/>
      <c r="X613" s="876"/>
      <c r="Y613" s="876"/>
      <c r="Z613" s="876"/>
      <c r="AA613" s="876"/>
      <c r="AB613" s="876"/>
      <c r="AC613" s="876"/>
      <c r="AD613" s="876"/>
      <c r="AE613" s="876"/>
      <c r="AF613" s="876"/>
      <c r="AG613" s="876"/>
      <c r="AH613" s="876"/>
      <c r="AI613" s="878"/>
      <c r="AJ613" s="880"/>
      <c r="AK613" s="880"/>
      <c r="AL613" s="880"/>
      <c r="AM613" s="880"/>
      <c r="AN613" s="880"/>
      <c r="AO613" s="880"/>
      <c r="AP613" s="880"/>
      <c r="AQ613" s="880"/>
      <c r="AR613" s="880"/>
      <c r="AS613" s="880"/>
      <c r="AT613" s="880"/>
      <c r="AU613" s="880"/>
      <c r="AV613" s="880"/>
      <c r="AW613" s="881"/>
      <c r="AX613" s="863"/>
      <c r="AY613" s="863"/>
      <c r="AZ613" s="863"/>
      <c r="BA613" s="863"/>
      <c r="BB613" s="863"/>
      <c r="BC613" s="863"/>
      <c r="BD613" s="863"/>
      <c r="BE613" s="863"/>
      <c r="BF613" s="863"/>
      <c r="BG613" s="863"/>
      <c r="BH613" s="863"/>
      <c r="BI613" s="863"/>
      <c r="BJ613" s="863"/>
      <c r="BK613" s="863"/>
      <c r="BL613" s="863"/>
      <c r="BM613" s="863"/>
      <c r="BN613" s="863"/>
      <c r="BO613" s="863"/>
      <c r="BP613" s="880"/>
      <c r="BQ613" s="863"/>
      <c r="BR613" s="883"/>
      <c r="BS613" s="883"/>
      <c r="BT613" s="883"/>
      <c r="BU613" s="883"/>
      <c r="BV613" s="883"/>
      <c r="BW613" s="883"/>
      <c r="BX613" s="883"/>
      <c r="BY613" s="883"/>
      <c r="BZ613" s="883"/>
      <c r="CA613" s="883"/>
      <c r="CB613" s="883"/>
      <c r="CC613" s="883"/>
      <c r="CD613" s="884"/>
      <c r="CE613" s="883"/>
      <c r="CF613" s="883"/>
      <c r="CG613" s="883"/>
      <c r="CH613" s="883"/>
      <c r="CI613" s="883"/>
      <c r="CJ613" s="883"/>
      <c r="CK613" s="883"/>
      <c r="CL613" s="883"/>
      <c r="CM613" s="883"/>
      <c r="CN613" s="883"/>
      <c r="CO613" s="883"/>
      <c r="CP613" s="883"/>
      <c r="CQ613" s="883"/>
      <c r="CR613" s="883"/>
      <c r="CS613" s="883"/>
      <c r="CT613" s="883"/>
      <c r="CU613" s="883"/>
      <c r="CV613" s="863"/>
      <c r="CW613" s="863"/>
      <c r="CX613" s="863"/>
      <c r="CY613" s="863"/>
      <c r="CZ613" s="863"/>
      <c r="DA613" s="863"/>
      <c r="DB613" s="863"/>
      <c r="DC613" s="863"/>
      <c r="DD613" s="863"/>
      <c r="DE613" s="863"/>
    </row>
    <row r="614">
      <c r="A614" s="876"/>
      <c r="B614" s="876"/>
      <c r="C614" s="876"/>
      <c r="D614" s="876"/>
      <c r="E614" s="876"/>
      <c r="F614" s="876"/>
      <c r="G614" s="876"/>
      <c r="H614" s="876"/>
      <c r="I614" s="876"/>
      <c r="J614" s="876"/>
      <c r="K614" s="876"/>
      <c r="L614" s="876"/>
      <c r="M614" s="876"/>
      <c r="N614" s="877"/>
      <c r="O614" s="876"/>
      <c r="P614" s="876"/>
      <c r="Q614" s="876"/>
      <c r="R614" s="876"/>
      <c r="S614" s="876"/>
      <c r="T614" s="876"/>
      <c r="U614" s="876"/>
      <c r="V614" s="876"/>
      <c r="W614" s="876"/>
      <c r="X614" s="876"/>
      <c r="Y614" s="876"/>
      <c r="Z614" s="876"/>
      <c r="AA614" s="876"/>
      <c r="AB614" s="876"/>
      <c r="AC614" s="876"/>
      <c r="AD614" s="876"/>
      <c r="AE614" s="876"/>
      <c r="AF614" s="876"/>
      <c r="AG614" s="876"/>
      <c r="AH614" s="876"/>
      <c r="AI614" s="878"/>
      <c r="AJ614" s="880"/>
      <c r="AK614" s="880"/>
      <c r="AL614" s="880"/>
      <c r="AM614" s="880"/>
      <c r="AN614" s="880"/>
      <c r="AO614" s="880"/>
      <c r="AP614" s="880"/>
      <c r="AQ614" s="880"/>
      <c r="AR614" s="880"/>
      <c r="AS614" s="880"/>
      <c r="AT614" s="880"/>
      <c r="AU614" s="880"/>
      <c r="AV614" s="880"/>
      <c r="AW614" s="881"/>
      <c r="AX614" s="863"/>
      <c r="AY614" s="863"/>
      <c r="AZ614" s="863"/>
      <c r="BA614" s="863"/>
      <c r="BB614" s="863"/>
      <c r="BC614" s="863"/>
      <c r="BD614" s="863"/>
      <c r="BE614" s="863"/>
      <c r="BF614" s="863"/>
      <c r="BG614" s="863"/>
      <c r="BH614" s="863"/>
      <c r="BI614" s="863"/>
      <c r="BJ614" s="863"/>
      <c r="BK614" s="863"/>
      <c r="BL614" s="863"/>
      <c r="BM614" s="863"/>
      <c r="BN614" s="863"/>
      <c r="BO614" s="863"/>
      <c r="BP614" s="880"/>
      <c r="BQ614" s="863"/>
      <c r="BR614" s="883"/>
      <c r="BS614" s="883"/>
      <c r="BT614" s="883"/>
      <c r="BU614" s="883"/>
      <c r="BV614" s="883"/>
      <c r="BW614" s="883"/>
      <c r="BX614" s="883"/>
      <c r="BY614" s="883"/>
      <c r="BZ614" s="883"/>
      <c r="CA614" s="883"/>
      <c r="CB614" s="883"/>
      <c r="CC614" s="883"/>
      <c r="CD614" s="884"/>
      <c r="CE614" s="883"/>
      <c r="CF614" s="883"/>
      <c r="CG614" s="883"/>
      <c r="CH614" s="883"/>
      <c r="CI614" s="883"/>
      <c r="CJ614" s="883"/>
      <c r="CK614" s="883"/>
      <c r="CL614" s="883"/>
      <c r="CM614" s="883"/>
      <c r="CN614" s="883"/>
      <c r="CO614" s="883"/>
      <c r="CP614" s="883"/>
      <c r="CQ614" s="883"/>
      <c r="CR614" s="883"/>
      <c r="CS614" s="883"/>
      <c r="CT614" s="883"/>
      <c r="CU614" s="883"/>
      <c r="CV614" s="863"/>
      <c r="CW614" s="863"/>
      <c r="CX614" s="863"/>
      <c r="CY614" s="863"/>
      <c r="CZ614" s="863"/>
      <c r="DA614" s="863"/>
      <c r="DB614" s="863"/>
      <c r="DC614" s="863"/>
      <c r="DD614" s="863"/>
      <c r="DE614" s="863"/>
    </row>
    <row r="615">
      <c r="A615" s="876"/>
      <c r="B615" s="876"/>
      <c r="C615" s="876"/>
      <c r="D615" s="876"/>
      <c r="E615" s="876"/>
      <c r="F615" s="876"/>
      <c r="G615" s="876"/>
      <c r="H615" s="876"/>
      <c r="I615" s="876"/>
      <c r="J615" s="876"/>
      <c r="K615" s="876"/>
      <c r="L615" s="876"/>
      <c r="M615" s="876"/>
      <c r="N615" s="877"/>
      <c r="O615" s="876"/>
      <c r="P615" s="876"/>
      <c r="Q615" s="876"/>
      <c r="R615" s="876"/>
      <c r="S615" s="876"/>
      <c r="T615" s="876"/>
      <c r="U615" s="876"/>
      <c r="V615" s="876"/>
      <c r="W615" s="876"/>
      <c r="X615" s="876"/>
      <c r="Y615" s="876"/>
      <c r="Z615" s="876"/>
      <c r="AA615" s="876"/>
      <c r="AB615" s="876"/>
      <c r="AC615" s="876"/>
      <c r="AD615" s="876"/>
      <c r="AE615" s="876"/>
      <c r="AF615" s="876"/>
      <c r="AG615" s="876"/>
      <c r="AH615" s="876"/>
      <c r="AI615" s="878"/>
      <c r="AJ615" s="880"/>
      <c r="AK615" s="880"/>
      <c r="AL615" s="880"/>
      <c r="AM615" s="880"/>
      <c r="AN615" s="880"/>
      <c r="AO615" s="880"/>
      <c r="AP615" s="880"/>
      <c r="AQ615" s="880"/>
      <c r="AR615" s="880"/>
      <c r="AS615" s="880"/>
      <c r="AT615" s="880"/>
      <c r="AU615" s="880"/>
      <c r="AV615" s="880"/>
      <c r="AW615" s="881"/>
      <c r="AX615" s="863"/>
      <c r="AY615" s="863"/>
      <c r="AZ615" s="863"/>
      <c r="BA615" s="863"/>
      <c r="BB615" s="863"/>
      <c r="BC615" s="863"/>
      <c r="BD615" s="863"/>
      <c r="BE615" s="863"/>
      <c r="BF615" s="863"/>
      <c r="BG615" s="863"/>
      <c r="BH615" s="863"/>
      <c r="BI615" s="863"/>
      <c r="BJ615" s="863"/>
      <c r="BK615" s="863"/>
      <c r="BL615" s="863"/>
      <c r="BM615" s="863"/>
      <c r="BN615" s="863"/>
      <c r="BO615" s="863"/>
      <c r="BP615" s="880"/>
      <c r="BQ615" s="863"/>
      <c r="BR615" s="883"/>
      <c r="BS615" s="883"/>
      <c r="BT615" s="883"/>
      <c r="BU615" s="883"/>
      <c r="BV615" s="883"/>
      <c r="BW615" s="883"/>
      <c r="BX615" s="883"/>
      <c r="BY615" s="883"/>
      <c r="BZ615" s="883"/>
      <c r="CA615" s="883"/>
      <c r="CB615" s="883"/>
      <c r="CC615" s="883"/>
      <c r="CD615" s="884"/>
      <c r="CE615" s="883"/>
      <c r="CF615" s="883"/>
      <c r="CG615" s="883"/>
      <c r="CH615" s="883"/>
      <c r="CI615" s="883"/>
      <c r="CJ615" s="883"/>
      <c r="CK615" s="883"/>
      <c r="CL615" s="883"/>
      <c r="CM615" s="883"/>
      <c r="CN615" s="883"/>
      <c r="CO615" s="883"/>
      <c r="CP615" s="883"/>
      <c r="CQ615" s="883"/>
      <c r="CR615" s="883"/>
      <c r="CS615" s="883"/>
      <c r="CT615" s="883"/>
      <c r="CU615" s="883"/>
      <c r="CV615" s="863"/>
      <c r="CW615" s="863"/>
      <c r="CX615" s="863"/>
      <c r="CY615" s="863"/>
      <c r="CZ615" s="863"/>
      <c r="DA615" s="863"/>
      <c r="DB615" s="863"/>
      <c r="DC615" s="863"/>
      <c r="DD615" s="863"/>
      <c r="DE615" s="863"/>
    </row>
    <row r="616">
      <c r="A616" s="876"/>
      <c r="B616" s="876"/>
      <c r="C616" s="876"/>
      <c r="D616" s="876"/>
      <c r="E616" s="876"/>
      <c r="F616" s="876"/>
      <c r="G616" s="876"/>
      <c r="H616" s="876"/>
      <c r="I616" s="876"/>
      <c r="J616" s="876"/>
      <c r="K616" s="876"/>
      <c r="L616" s="876"/>
      <c r="M616" s="876"/>
      <c r="N616" s="877"/>
      <c r="O616" s="876"/>
      <c r="P616" s="876"/>
      <c r="Q616" s="876"/>
      <c r="R616" s="876"/>
      <c r="S616" s="876"/>
      <c r="T616" s="876"/>
      <c r="U616" s="876"/>
      <c r="V616" s="876"/>
      <c r="W616" s="876"/>
      <c r="X616" s="876"/>
      <c r="Y616" s="876"/>
      <c r="Z616" s="876"/>
      <c r="AA616" s="876"/>
      <c r="AB616" s="876"/>
      <c r="AC616" s="876"/>
      <c r="AD616" s="876"/>
      <c r="AE616" s="876"/>
      <c r="AF616" s="876"/>
      <c r="AG616" s="876"/>
      <c r="AH616" s="876"/>
      <c r="AI616" s="878"/>
      <c r="AJ616" s="880"/>
      <c r="AK616" s="880"/>
      <c r="AL616" s="880"/>
      <c r="AM616" s="880"/>
      <c r="AN616" s="880"/>
      <c r="AO616" s="880"/>
      <c r="AP616" s="880"/>
      <c r="AQ616" s="880"/>
      <c r="AR616" s="880"/>
      <c r="AS616" s="880"/>
      <c r="AT616" s="880"/>
      <c r="AU616" s="880"/>
      <c r="AV616" s="880"/>
      <c r="AW616" s="881"/>
      <c r="AX616" s="863"/>
      <c r="AY616" s="863"/>
      <c r="AZ616" s="863"/>
      <c r="BA616" s="863"/>
      <c r="BB616" s="863"/>
      <c r="BC616" s="863"/>
      <c r="BD616" s="863"/>
      <c r="BE616" s="863"/>
      <c r="BF616" s="863"/>
      <c r="BG616" s="863"/>
      <c r="BH616" s="863"/>
      <c r="BI616" s="863"/>
      <c r="BJ616" s="863"/>
      <c r="BK616" s="863"/>
      <c r="BL616" s="863"/>
      <c r="BM616" s="863"/>
      <c r="BN616" s="863"/>
      <c r="BO616" s="863"/>
      <c r="BP616" s="880"/>
      <c r="BQ616" s="863"/>
      <c r="BR616" s="883"/>
      <c r="BS616" s="883"/>
      <c r="BT616" s="883"/>
      <c r="BU616" s="883"/>
      <c r="BV616" s="883"/>
      <c r="BW616" s="883"/>
      <c r="BX616" s="883"/>
      <c r="BY616" s="883"/>
      <c r="BZ616" s="883"/>
      <c r="CA616" s="883"/>
      <c r="CB616" s="883"/>
      <c r="CC616" s="883"/>
      <c r="CD616" s="884"/>
      <c r="CE616" s="883"/>
      <c r="CF616" s="883"/>
      <c r="CG616" s="883"/>
      <c r="CH616" s="883"/>
      <c r="CI616" s="883"/>
      <c r="CJ616" s="883"/>
      <c r="CK616" s="883"/>
      <c r="CL616" s="883"/>
      <c r="CM616" s="883"/>
      <c r="CN616" s="883"/>
      <c r="CO616" s="883"/>
      <c r="CP616" s="883"/>
      <c r="CQ616" s="883"/>
      <c r="CR616" s="883"/>
      <c r="CS616" s="883"/>
      <c r="CT616" s="883"/>
      <c r="CU616" s="883"/>
      <c r="CV616" s="863"/>
      <c r="CW616" s="863"/>
      <c r="CX616" s="863"/>
      <c r="CY616" s="863"/>
      <c r="CZ616" s="863"/>
      <c r="DA616" s="863"/>
      <c r="DB616" s="863"/>
      <c r="DC616" s="863"/>
      <c r="DD616" s="863"/>
      <c r="DE616" s="863"/>
    </row>
    <row r="617">
      <c r="A617" s="876"/>
      <c r="B617" s="876"/>
      <c r="C617" s="876"/>
      <c r="D617" s="876"/>
      <c r="E617" s="876"/>
      <c r="F617" s="876"/>
      <c r="G617" s="876"/>
      <c r="H617" s="876"/>
      <c r="I617" s="876"/>
      <c r="J617" s="876"/>
      <c r="K617" s="876"/>
      <c r="L617" s="876"/>
      <c r="M617" s="876"/>
      <c r="N617" s="877"/>
      <c r="O617" s="876"/>
      <c r="P617" s="876"/>
      <c r="Q617" s="876"/>
      <c r="R617" s="876"/>
      <c r="S617" s="876"/>
      <c r="T617" s="876"/>
      <c r="U617" s="876"/>
      <c r="V617" s="876"/>
      <c r="W617" s="876"/>
      <c r="X617" s="876"/>
      <c r="Y617" s="876"/>
      <c r="Z617" s="876"/>
      <c r="AA617" s="876"/>
      <c r="AB617" s="876"/>
      <c r="AC617" s="876"/>
      <c r="AD617" s="876"/>
      <c r="AE617" s="876"/>
      <c r="AF617" s="876"/>
      <c r="AG617" s="876"/>
      <c r="AH617" s="876"/>
      <c r="AI617" s="878"/>
      <c r="AJ617" s="880"/>
      <c r="AK617" s="880"/>
      <c r="AL617" s="880"/>
      <c r="AM617" s="880"/>
      <c r="AN617" s="880"/>
      <c r="AO617" s="880"/>
      <c r="AP617" s="880"/>
      <c r="AQ617" s="880"/>
      <c r="AR617" s="880"/>
      <c r="AS617" s="880"/>
      <c r="AT617" s="880"/>
      <c r="AU617" s="880"/>
      <c r="AV617" s="880"/>
      <c r="AW617" s="881"/>
      <c r="AX617" s="863"/>
      <c r="AY617" s="863"/>
      <c r="AZ617" s="863"/>
      <c r="BA617" s="863"/>
      <c r="BB617" s="863"/>
      <c r="BC617" s="863"/>
      <c r="BD617" s="863"/>
      <c r="BE617" s="863"/>
      <c r="BF617" s="863"/>
      <c r="BG617" s="863"/>
      <c r="BH617" s="863"/>
      <c r="BI617" s="863"/>
      <c r="BJ617" s="863"/>
      <c r="BK617" s="863"/>
      <c r="BL617" s="863"/>
      <c r="BM617" s="863"/>
      <c r="BN617" s="863"/>
      <c r="BO617" s="863"/>
      <c r="BP617" s="880"/>
      <c r="BQ617" s="863"/>
      <c r="BR617" s="883"/>
      <c r="BS617" s="883"/>
      <c r="BT617" s="883"/>
      <c r="BU617" s="883"/>
      <c r="BV617" s="883"/>
      <c r="BW617" s="883"/>
      <c r="BX617" s="883"/>
      <c r="BY617" s="883"/>
      <c r="BZ617" s="883"/>
      <c r="CA617" s="883"/>
      <c r="CB617" s="883"/>
      <c r="CC617" s="883"/>
      <c r="CD617" s="884"/>
      <c r="CE617" s="883"/>
      <c r="CF617" s="883"/>
      <c r="CG617" s="883"/>
      <c r="CH617" s="883"/>
      <c r="CI617" s="883"/>
      <c r="CJ617" s="883"/>
      <c r="CK617" s="883"/>
      <c r="CL617" s="883"/>
      <c r="CM617" s="883"/>
      <c r="CN617" s="883"/>
      <c r="CO617" s="883"/>
      <c r="CP617" s="883"/>
      <c r="CQ617" s="883"/>
      <c r="CR617" s="883"/>
      <c r="CS617" s="883"/>
      <c r="CT617" s="883"/>
      <c r="CU617" s="883"/>
      <c r="CV617" s="863"/>
      <c r="CW617" s="863"/>
      <c r="CX617" s="863"/>
      <c r="CY617" s="863"/>
      <c r="CZ617" s="863"/>
      <c r="DA617" s="863"/>
      <c r="DB617" s="863"/>
      <c r="DC617" s="863"/>
      <c r="DD617" s="863"/>
      <c r="DE617" s="863"/>
    </row>
    <row r="618">
      <c r="A618" s="876"/>
      <c r="B618" s="876"/>
      <c r="C618" s="876"/>
      <c r="D618" s="876"/>
      <c r="E618" s="876"/>
      <c r="F618" s="876"/>
      <c r="G618" s="876"/>
      <c r="H618" s="876"/>
      <c r="I618" s="876"/>
      <c r="J618" s="876"/>
      <c r="K618" s="876"/>
      <c r="L618" s="876"/>
      <c r="M618" s="876"/>
      <c r="N618" s="877"/>
      <c r="O618" s="876"/>
      <c r="P618" s="876"/>
      <c r="Q618" s="876"/>
      <c r="R618" s="876"/>
      <c r="S618" s="876"/>
      <c r="T618" s="876"/>
      <c r="U618" s="876"/>
      <c r="V618" s="876"/>
      <c r="W618" s="876"/>
      <c r="X618" s="876"/>
      <c r="Y618" s="876"/>
      <c r="Z618" s="876"/>
      <c r="AA618" s="876"/>
      <c r="AB618" s="876"/>
      <c r="AC618" s="876"/>
      <c r="AD618" s="876"/>
      <c r="AE618" s="876"/>
      <c r="AF618" s="876"/>
      <c r="AG618" s="876"/>
      <c r="AH618" s="876"/>
      <c r="AI618" s="878"/>
      <c r="AJ618" s="880"/>
      <c r="AK618" s="880"/>
      <c r="AL618" s="880"/>
      <c r="AM618" s="880"/>
      <c r="AN618" s="880"/>
      <c r="AO618" s="880"/>
      <c r="AP618" s="880"/>
      <c r="AQ618" s="880"/>
      <c r="AR618" s="880"/>
      <c r="AS618" s="880"/>
      <c r="AT618" s="880"/>
      <c r="AU618" s="880"/>
      <c r="AV618" s="880"/>
      <c r="AW618" s="881"/>
      <c r="AX618" s="863"/>
      <c r="AY618" s="863"/>
      <c r="AZ618" s="863"/>
      <c r="BA618" s="863"/>
      <c r="BB618" s="863"/>
      <c r="BC618" s="863"/>
      <c r="BD618" s="863"/>
      <c r="BE618" s="863"/>
      <c r="BF618" s="863"/>
      <c r="BG618" s="863"/>
      <c r="BH618" s="863"/>
      <c r="BI618" s="863"/>
      <c r="BJ618" s="863"/>
      <c r="BK618" s="863"/>
      <c r="BL618" s="863"/>
      <c r="BM618" s="863"/>
      <c r="BN618" s="863"/>
      <c r="BO618" s="863"/>
      <c r="BP618" s="880"/>
      <c r="BQ618" s="863"/>
      <c r="BR618" s="883"/>
      <c r="BS618" s="883"/>
      <c r="BT618" s="883"/>
      <c r="BU618" s="883"/>
      <c r="BV618" s="883"/>
      <c r="BW618" s="883"/>
      <c r="BX618" s="883"/>
      <c r="BY618" s="883"/>
      <c r="BZ618" s="883"/>
      <c r="CA618" s="883"/>
      <c r="CB618" s="883"/>
      <c r="CC618" s="883"/>
      <c r="CD618" s="884"/>
      <c r="CE618" s="883"/>
      <c r="CF618" s="883"/>
      <c r="CG618" s="883"/>
      <c r="CH618" s="883"/>
      <c r="CI618" s="883"/>
      <c r="CJ618" s="883"/>
      <c r="CK618" s="883"/>
      <c r="CL618" s="883"/>
      <c r="CM618" s="883"/>
      <c r="CN618" s="883"/>
      <c r="CO618" s="883"/>
      <c r="CP618" s="883"/>
      <c r="CQ618" s="883"/>
      <c r="CR618" s="883"/>
      <c r="CS618" s="883"/>
      <c r="CT618" s="883"/>
      <c r="CU618" s="883"/>
      <c r="CV618" s="863"/>
      <c r="CW618" s="863"/>
      <c r="CX618" s="863"/>
      <c r="CY618" s="863"/>
      <c r="CZ618" s="863"/>
      <c r="DA618" s="863"/>
      <c r="DB618" s="863"/>
      <c r="DC618" s="863"/>
      <c r="DD618" s="863"/>
      <c r="DE618" s="863"/>
    </row>
    <row r="619">
      <c r="A619" s="876"/>
      <c r="B619" s="876"/>
      <c r="C619" s="876"/>
      <c r="D619" s="876"/>
      <c r="E619" s="876"/>
      <c r="F619" s="876"/>
      <c r="G619" s="876"/>
      <c r="H619" s="876"/>
      <c r="I619" s="876"/>
      <c r="J619" s="876"/>
      <c r="K619" s="876"/>
      <c r="L619" s="876"/>
      <c r="M619" s="876"/>
      <c r="N619" s="877"/>
      <c r="O619" s="876"/>
      <c r="P619" s="876"/>
      <c r="Q619" s="876"/>
      <c r="R619" s="876"/>
      <c r="S619" s="876"/>
      <c r="T619" s="876"/>
      <c r="U619" s="876"/>
      <c r="V619" s="876"/>
      <c r="W619" s="876"/>
      <c r="X619" s="876"/>
      <c r="Y619" s="876"/>
      <c r="Z619" s="876"/>
      <c r="AA619" s="876"/>
      <c r="AB619" s="876"/>
      <c r="AC619" s="876"/>
      <c r="AD619" s="876"/>
      <c r="AE619" s="876"/>
      <c r="AF619" s="876"/>
      <c r="AG619" s="876"/>
      <c r="AH619" s="876"/>
      <c r="AI619" s="878"/>
      <c r="AJ619" s="880"/>
      <c r="AK619" s="880"/>
      <c r="AL619" s="880"/>
      <c r="AM619" s="880"/>
      <c r="AN619" s="880"/>
      <c r="AO619" s="880"/>
      <c r="AP619" s="880"/>
      <c r="AQ619" s="880"/>
      <c r="AR619" s="880"/>
      <c r="AS619" s="880"/>
      <c r="AT619" s="880"/>
      <c r="AU619" s="880"/>
      <c r="AV619" s="880"/>
      <c r="AW619" s="881"/>
      <c r="AX619" s="863"/>
      <c r="AY619" s="863"/>
      <c r="AZ619" s="863"/>
      <c r="BA619" s="863"/>
      <c r="BB619" s="863"/>
      <c r="BC619" s="863"/>
      <c r="BD619" s="863"/>
      <c r="BE619" s="863"/>
      <c r="BF619" s="863"/>
      <c r="BG619" s="863"/>
      <c r="BH619" s="863"/>
      <c r="BI619" s="863"/>
      <c r="BJ619" s="863"/>
      <c r="BK619" s="863"/>
      <c r="BL619" s="863"/>
      <c r="BM619" s="863"/>
      <c r="BN619" s="863"/>
      <c r="BO619" s="863"/>
      <c r="BP619" s="880"/>
      <c r="BQ619" s="863"/>
      <c r="BR619" s="883"/>
      <c r="BS619" s="883"/>
      <c r="BT619" s="883"/>
      <c r="BU619" s="883"/>
      <c r="BV619" s="883"/>
      <c r="BW619" s="883"/>
      <c r="BX619" s="883"/>
      <c r="BY619" s="883"/>
      <c r="BZ619" s="883"/>
      <c r="CA619" s="883"/>
      <c r="CB619" s="883"/>
      <c r="CC619" s="883"/>
      <c r="CD619" s="884"/>
      <c r="CE619" s="883"/>
      <c r="CF619" s="883"/>
      <c r="CG619" s="883"/>
      <c r="CH619" s="883"/>
      <c r="CI619" s="883"/>
      <c r="CJ619" s="883"/>
      <c r="CK619" s="883"/>
      <c r="CL619" s="883"/>
      <c r="CM619" s="883"/>
      <c r="CN619" s="883"/>
      <c r="CO619" s="883"/>
      <c r="CP619" s="883"/>
      <c r="CQ619" s="883"/>
      <c r="CR619" s="883"/>
      <c r="CS619" s="883"/>
      <c r="CT619" s="883"/>
      <c r="CU619" s="883"/>
      <c r="CV619" s="863"/>
      <c r="CW619" s="863"/>
      <c r="CX619" s="863"/>
      <c r="CY619" s="863"/>
      <c r="CZ619" s="863"/>
      <c r="DA619" s="863"/>
      <c r="DB619" s="863"/>
      <c r="DC619" s="863"/>
      <c r="DD619" s="863"/>
      <c r="DE619" s="863"/>
    </row>
    <row r="620">
      <c r="A620" s="876"/>
      <c r="B620" s="876"/>
      <c r="C620" s="876"/>
      <c r="D620" s="876"/>
      <c r="E620" s="876"/>
      <c r="F620" s="876"/>
      <c r="G620" s="876"/>
      <c r="H620" s="876"/>
      <c r="I620" s="876"/>
      <c r="J620" s="876"/>
      <c r="K620" s="876"/>
      <c r="L620" s="876"/>
      <c r="M620" s="876"/>
      <c r="N620" s="877"/>
      <c r="O620" s="876"/>
      <c r="P620" s="876"/>
      <c r="Q620" s="876"/>
      <c r="R620" s="876"/>
      <c r="S620" s="876"/>
      <c r="T620" s="876"/>
      <c r="U620" s="876"/>
      <c r="V620" s="876"/>
      <c r="W620" s="876"/>
      <c r="X620" s="876"/>
      <c r="Y620" s="876"/>
      <c r="Z620" s="876"/>
      <c r="AA620" s="876"/>
      <c r="AB620" s="876"/>
      <c r="AC620" s="876"/>
      <c r="AD620" s="876"/>
      <c r="AE620" s="876"/>
      <c r="AF620" s="876"/>
      <c r="AG620" s="876"/>
      <c r="AH620" s="876"/>
      <c r="AI620" s="878"/>
      <c r="AJ620" s="880"/>
      <c r="AK620" s="880"/>
      <c r="AL620" s="880"/>
      <c r="AM620" s="880"/>
      <c r="AN620" s="880"/>
      <c r="AO620" s="880"/>
      <c r="AP620" s="880"/>
      <c r="AQ620" s="880"/>
      <c r="AR620" s="880"/>
      <c r="AS620" s="880"/>
      <c r="AT620" s="880"/>
      <c r="AU620" s="880"/>
      <c r="AV620" s="880"/>
      <c r="AW620" s="881"/>
      <c r="AX620" s="863"/>
      <c r="AY620" s="863"/>
      <c r="AZ620" s="863"/>
      <c r="BA620" s="863"/>
      <c r="BB620" s="863"/>
      <c r="BC620" s="863"/>
      <c r="BD620" s="863"/>
      <c r="BE620" s="863"/>
      <c r="BF620" s="863"/>
      <c r="BG620" s="863"/>
      <c r="BH620" s="863"/>
      <c r="BI620" s="863"/>
      <c r="BJ620" s="863"/>
      <c r="BK620" s="863"/>
      <c r="BL620" s="863"/>
      <c r="BM620" s="863"/>
      <c r="BN620" s="863"/>
      <c r="BO620" s="863"/>
      <c r="BP620" s="880"/>
      <c r="BQ620" s="863"/>
      <c r="BR620" s="883"/>
      <c r="BS620" s="883"/>
      <c r="BT620" s="883"/>
      <c r="BU620" s="883"/>
      <c r="BV620" s="883"/>
      <c r="BW620" s="883"/>
      <c r="BX620" s="883"/>
      <c r="BY620" s="883"/>
      <c r="BZ620" s="883"/>
      <c r="CA620" s="883"/>
      <c r="CB620" s="883"/>
      <c r="CC620" s="883"/>
      <c r="CD620" s="884"/>
      <c r="CE620" s="883"/>
      <c r="CF620" s="883"/>
      <c r="CG620" s="883"/>
      <c r="CH620" s="883"/>
      <c r="CI620" s="883"/>
      <c r="CJ620" s="883"/>
      <c r="CK620" s="883"/>
      <c r="CL620" s="883"/>
      <c r="CM620" s="883"/>
      <c r="CN620" s="883"/>
      <c r="CO620" s="883"/>
      <c r="CP620" s="883"/>
      <c r="CQ620" s="883"/>
      <c r="CR620" s="883"/>
      <c r="CS620" s="883"/>
      <c r="CT620" s="883"/>
      <c r="CU620" s="883"/>
      <c r="CV620" s="863"/>
      <c r="CW620" s="863"/>
      <c r="CX620" s="863"/>
      <c r="CY620" s="863"/>
      <c r="CZ620" s="863"/>
      <c r="DA620" s="863"/>
      <c r="DB620" s="863"/>
      <c r="DC620" s="863"/>
      <c r="DD620" s="863"/>
      <c r="DE620" s="863"/>
    </row>
    <row r="621">
      <c r="A621" s="876"/>
      <c r="B621" s="876"/>
      <c r="C621" s="876"/>
      <c r="D621" s="876"/>
      <c r="E621" s="876"/>
      <c r="F621" s="876"/>
      <c r="G621" s="876"/>
      <c r="H621" s="876"/>
      <c r="I621" s="876"/>
      <c r="J621" s="876"/>
      <c r="K621" s="876"/>
      <c r="L621" s="876"/>
      <c r="M621" s="876"/>
      <c r="N621" s="877"/>
      <c r="O621" s="876"/>
      <c r="P621" s="876"/>
      <c r="Q621" s="876"/>
      <c r="R621" s="876"/>
      <c r="S621" s="876"/>
      <c r="T621" s="876"/>
      <c r="U621" s="876"/>
      <c r="V621" s="876"/>
      <c r="W621" s="876"/>
      <c r="X621" s="876"/>
      <c r="Y621" s="876"/>
      <c r="Z621" s="876"/>
      <c r="AA621" s="876"/>
      <c r="AB621" s="876"/>
      <c r="AC621" s="876"/>
      <c r="AD621" s="876"/>
      <c r="AE621" s="876"/>
      <c r="AF621" s="876"/>
      <c r="AG621" s="876"/>
      <c r="AH621" s="876"/>
      <c r="AI621" s="878"/>
      <c r="AJ621" s="880"/>
      <c r="AK621" s="880"/>
      <c r="AL621" s="880"/>
      <c r="AM621" s="880"/>
      <c r="AN621" s="880"/>
      <c r="AO621" s="880"/>
      <c r="AP621" s="880"/>
      <c r="AQ621" s="880"/>
      <c r="AR621" s="880"/>
      <c r="AS621" s="880"/>
      <c r="AT621" s="880"/>
      <c r="AU621" s="880"/>
      <c r="AV621" s="880"/>
      <c r="AW621" s="881"/>
      <c r="AX621" s="863"/>
      <c r="AY621" s="863"/>
      <c r="AZ621" s="863"/>
      <c r="BA621" s="863"/>
      <c r="BB621" s="863"/>
      <c r="BC621" s="863"/>
      <c r="BD621" s="863"/>
      <c r="BE621" s="863"/>
      <c r="BF621" s="863"/>
      <c r="BG621" s="863"/>
      <c r="BH621" s="863"/>
      <c r="BI621" s="863"/>
      <c r="BJ621" s="863"/>
      <c r="BK621" s="863"/>
      <c r="BL621" s="863"/>
      <c r="BM621" s="863"/>
      <c r="BN621" s="863"/>
      <c r="BO621" s="863"/>
      <c r="BP621" s="880"/>
      <c r="BQ621" s="863"/>
      <c r="BR621" s="883"/>
      <c r="BS621" s="883"/>
      <c r="BT621" s="883"/>
      <c r="BU621" s="883"/>
      <c r="BV621" s="883"/>
      <c r="BW621" s="883"/>
      <c r="BX621" s="883"/>
      <c r="BY621" s="883"/>
      <c r="BZ621" s="883"/>
      <c r="CA621" s="883"/>
      <c r="CB621" s="883"/>
      <c r="CC621" s="883"/>
      <c r="CD621" s="884"/>
      <c r="CE621" s="883"/>
      <c r="CF621" s="883"/>
      <c r="CG621" s="883"/>
      <c r="CH621" s="883"/>
      <c r="CI621" s="883"/>
      <c r="CJ621" s="883"/>
      <c r="CK621" s="883"/>
      <c r="CL621" s="883"/>
      <c r="CM621" s="883"/>
      <c r="CN621" s="883"/>
      <c r="CO621" s="883"/>
      <c r="CP621" s="883"/>
      <c r="CQ621" s="883"/>
      <c r="CR621" s="883"/>
      <c r="CS621" s="883"/>
      <c r="CT621" s="883"/>
      <c r="CU621" s="883"/>
      <c r="CV621" s="863"/>
      <c r="CW621" s="863"/>
      <c r="CX621" s="863"/>
      <c r="CY621" s="863"/>
      <c r="CZ621" s="863"/>
      <c r="DA621" s="863"/>
      <c r="DB621" s="863"/>
      <c r="DC621" s="863"/>
      <c r="DD621" s="863"/>
      <c r="DE621" s="863"/>
    </row>
    <row r="622">
      <c r="A622" s="876"/>
      <c r="B622" s="876"/>
      <c r="C622" s="876"/>
      <c r="D622" s="876"/>
      <c r="E622" s="876"/>
      <c r="F622" s="876"/>
      <c r="G622" s="876"/>
      <c r="H622" s="876"/>
      <c r="I622" s="876"/>
      <c r="J622" s="876"/>
      <c r="K622" s="876"/>
      <c r="L622" s="876"/>
      <c r="M622" s="876"/>
      <c r="N622" s="877"/>
      <c r="O622" s="876"/>
      <c r="P622" s="876"/>
      <c r="Q622" s="876"/>
      <c r="R622" s="876"/>
      <c r="S622" s="876"/>
      <c r="T622" s="876"/>
      <c r="U622" s="876"/>
      <c r="V622" s="876"/>
      <c r="W622" s="876"/>
      <c r="X622" s="876"/>
      <c r="Y622" s="876"/>
      <c r="Z622" s="876"/>
      <c r="AA622" s="876"/>
      <c r="AB622" s="876"/>
      <c r="AC622" s="876"/>
      <c r="AD622" s="876"/>
      <c r="AE622" s="876"/>
      <c r="AF622" s="876"/>
      <c r="AG622" s="876"/>
      <c r="AH622" s="876"/>
      <c r="AI622" s="878"/>
      <c r="AJ622" s="880"/>
      <c r="AK622" s="880"/>
      <c r="AL622" s="880"/>
      <c r="AM622" s="880"/>
      <c r="AN622" s="880"/>
      <c r="AO622" s="880"/>
      <c r="AP622" s="880"/>
      <c r="AQ622" s="880"/>
      <c r="AR622" s="880"/>
      <c r="AS622" s="880"/>
      <c r="AT622" s="880"/>
      <c r="AU622" s="880"/>
      <c r="AV622" s="880"/>
      <c r="AW622" s="881"/>
      <c r="AX622" s="863"/>
      <c r="AY622" s="863"/>
      <c r="AZ622" s="863"/>
      <c r="BA622" s="863"/>
      <c r="BB622" s="863"/>
      <c r="BC622" s="863"/>
      <c r="BD622" s="863"/>
      <c r="BE622" s="863"/>
      <c r="BF622" s="863"/>
      <c r="BG622" s="863"/>
      <c r="BH622" s="863"/>
      <c r="BI622" s="863"/>
      <c r="BJ622" s="863"/>
      <c r="BK622" s="863"/>
      <c r="BL622" s="863"/>
      <c r="BM622" s="863"/>
      <c r="BN622" s="863"/>
      <c r="BO622" s="863"/>
      <c r="BP622" s="880"/>
      <c r="BQ622" s="863"/>
      <c r="BR622" s="883"/>
      <c r="BS622" s="883"/>
      <c r="BT622" s="883"/>
      <c r="BU622" s="883"/>
      <c r="BV622" s="883"/>
      <c r="BW622" s="883"/>
      <c r="BX622" s="883"/>
      <c r="BY622" s="883"/>
      <c r="BZ622" s="883"/>
      <c r="CA622" s="883"/>
      <c r="CB622" s="883"/>
      <c r="CC622" s="883"/>
      <c r="CD622" s="884"/>
      <c r="CE622" s="883"/>
      <c r="CF622" s="883"/>
      <c r="CG622" s="883"/>
      <c r="CH622" s="883"/>
      <c r="CI622" s="883"/>
      <c r="CJ622" s="883"/>
      <c r="CK622" s="883"/>
      <c r="CL622" s="883"/>
      <c r="CM622" s="883"/>
      <c r="CN622" s="883"/>
      <c r="CO622" s="883"/>
      <c r="CP622" s="883"/>
      <c r="CQ622" s="883"/>
      <c r="CR622" s="883"/>
      <c r="CS622" s="883"/>
      <c r="CT622" s="883"/>
      <c r="CU622" s="883"/>
      <c r="CV622" s="863"/>
      <c r="CW622" s="863"/>
      <c r="CX622" s="863"/>
      <c r="CY622" s="863"/>
      <c r="CZ622" s="863"/>
      <c r="DA622" s="863"/>
      <c r="DB622" s="863"/>
      <c r="DC622" s="863"/>
      <c r="DD622" s="863"/>
      <c r="DE622" s="863"/>
    </row>
    <row r="623">
      <c r="A623" s="876"/>
      <c r="B623" s="876"/>
      <c r="C623" s="876"/>
      <c r="D623" s="876"/>
      <c r="E623" s="876"/>
      <c r="F623" s="876"/>
      <c r="G623" s="876"/>
      <c r="H623" s="876"/>
      <c r="I623" s="876"/>
      <c r="J623" s="876"/>
      <c r="K623" s="876"/>
      <c r="L623" s="876"/>
      <c r="M623" s="876"/>
      <c r="N623" s="877"/>
      <c r="O623" s="876"/>
      <c r="P623" s="876"/>
      <c r="Q623" s="876"/>
      <c r="R623" s="876"/>
      <c r="S623" s="876"/>
      <c r="T623" s="876"/>
      <c r="U623" s="876"/>
      <c r="V623" s="876"/>
      <c r="W623" s="876"/>
      <c r="X623" s="876"/>
      <c r="Y623" s="876"/>
      <c r="Z623" s="876"/>
      <c r="AA623" s="876"/>
      <c r="AB623" s="876"/>
      <c r="AC623" s="876"/>
      <c r="AD623" s="876"/>
      <c r="AE623" s="876"/>
      <c r="AF623" s="876"/>
      <c r="AG623" s="876"/>
      <c r="AH623" s="876"/>
      <c r="AI623" s="878"/>
      <c r="AJ623" s="880"/>
      <c r="AK623" s="880"/>
      <c r="AL623" s="880"/>
      <c r="AM623" s="880"/>
      <c r="AN623" s="880"/>
      <c r="AO623" s="880"/>
      <c r="AP623" s="880"/>
      <c r="AQ623" s="880"/>
      <c r="AR623" s="880"/>
      <c r="AS623" s="880"/>
      <c r="AT623" s="880"/>
      <c r="AU623" s="880"/>
      <c r="AV623" s="880"/>
      <c r="AW623" s="881"/>
      <c r="AX623" s="863"/>
      <c r="AY623" s="863"/>
      <c r="AZ623" s="863"/>
      <c r="BA623" s="863"/>
      <c r="BB623" s="863"/>
      <c r="BC623" s="863"/>
      <c r="BD623" s="863"/>
      <c r="BE623" s="863"/>
      <c r="BF623" s="863"/>
      <c r="BG623" s="863"/>
      <c r="BH623" s="863"/>
      <c r="BI623" s="863"/>
      <c r="BJ623" s="863"/>
      <c r="BK623" s="863"/>
      <c r="BL623" s="863"/>
      <c r="BM623" s="863"/>
      <c r="BN623" s="863"/>
      <c r="BO623" s="863"/>
      <c r="BP623" s="880"/>
      <c r="BQ623" s="863"/>
      <c r="BR623" s="883"/>
      <c r="BS623" s="883"/>
      <c r="BT623" s="883"/>
      <c r="BU623" s="883"/>
      <c r="BV623" s="883"/>
      <c r="BW623" s="883"/>
      <c r="BX623" s="883"/>
      <c r="BY623" s="883"/>
      <c r="BZ623" s="883"/>
      <c r="CA623" s="883"/>
      <c r="CB623" s="883"/>
      <c r="CC623" s="883"/>
      <c r="CD623" s="884"/>
      <c r="CE623" s="883"/>
      <c r="CF623" s="883"/>
      <c r="CG623" s="883"/>
      <c r="CH623" s="883"/>
      <c r="CI623" s="883"/>
      <c r="CJ623" s="883"/>
      <c r="CK623" s="883"/>
      <c r="CL623" s="883"/>
      <c r="CM623" s="883"/>
      <c r="CN623" s="883"/>
      <c r="CO623" s="883"/>
      <c r="CP623" s="883"/>
      <c r="CQ623" s="883"/>
      <c r="CR623" s="883"/>
      <c r="CS623" s="883"/>
      <c r="CT623" s="883"/>
      <c r="CU623" s="883"/>
      <c r="CV623" s="863"/>
      <c r="CW623" s="863"/>
      <c r="CX623" s="863"/>
      <c r="CY623" s="863"/>
      <c r="CZ623" s="863"/>
      <c r="DA623" s="863"/>
      <c r="DB623" s="863"/>
      <c r="DC623" s="863"/>
      <c r="DD623" s="863"/>
      <c r="DE623" s="863"/>
    </row>
    <row r="624">
      <c r="A624" s="876"/>
      <c r="B624" s="876"/>
      <c r="C624" s="876"/>
      <c r="D624" s="876"/>
      <c r="E624" s="876"/>
      <c r="F624" s="876"/>
      <c r="G624" s="876"/>
      <c r="H624" s="876"/>
      <c r="I624" s="876"/>
      <c r="J624" s="876"/>
      <c r="K624" s="876"/>
      <c r="L624" s="876"/>
      <c r="M624" s="876"/>
      <c r="N624" s="877"/>
      <c r="O624" s="876"/>
      <c r="P624" s="876"/>
      <c r="Q624" s="876"/>
      <c r="R624" s="876"/>
      <c r="S624" s="876"/>
      <c r="T624" s="876"/>
      <c r="U624" s="876"/>
      <c r="V624" s="876"/>
      <c r="W624" s="876"/>
      <c r="X624" s="876"/>
      <c r="Y624" s="876"/>
      <c r="Z624" s="876"/>
      <c r="AA624" s="876"/>
      <c r="AB624" s="876"/>
      <c r="AC624" s="876"/>
      <c r="AD624" s="876"/>
      <c r="AE624" s="876"/>
      <c r="AF624" s="876"/>
      <c r="AG624" s="876"/>
      <c r="AH624" s="876"/>
      <c r="AI624" s="878"/>
      <c r="AJ624" s="880"/>
      <c r="AK624" s="880"/>
      <c r="AL624" s="880"/>
      <c r="AM624" s="880"/>
      <c r="AN624" s="880"/>
      <c r="AO624" s="880"/>
      <c r="AP624" s="880"/>
      <c r="AQ624" s="880"/>
      <c r="AR624" s="880"/>
      <c r="AS624" s="880"/>
      <c r="AT624" s="880"/>
      <c r="AU624" s="880"/>
      <c r="AV624" s="880"/>
      <c r="AW624" s="881"/>
      <c r="AX624" s="863"/>
      <c r="AY624" s="863"/>
      <c r="AZ624" s="863"/>
      <c r="BA624" s="863"/>
      <c r="BB624" s="863"/>
      <c r="BC624" s="863"/>
      <c r="BD624" s="863"/>
      <c r="BE624" s="863"/>
      <c r="BF624" s="863"/>
      <c r="BG624" s="863"/>
      <c r="BH624" s="863"/>
      <c r="BI624" s="863"/>
      <c r="BJ624" s="863"/>
      <c r="BK624" s="863"/>
      <c r="BL624" s="863"/>
      <c r="BM624" s="863"/>
      <c r="BN624" s="863"/>
      <c r="BO624" s="863"/>
      <c r="BP624" s="880"/>
      <c r="BQ624" s="863"/>
      <c r="BR624" s="883"/>
      <c r="BS624" s="883"/>
      <c r="BT624" s="883"/>
      <c r="BU624" s="883"/>
      <c r="BV624" s="883"/>
      <c r="BW624" s="883"/>
      <c r="BX624" s="883"/>
      <c r="BY624" s="883"/>
      <c r="BZ624" s="883"/>
      <c r="CA624" s="883"/>
      <c r="CB624" s="883"/>
      <c r="CC624" s="883"/>
      <c r="CD624" s="884"/>
      <c r="CE624" s="883"/>
      <c r="CF624" s="883"/>
      <c r="CG624" s="883"/>
      <c r="CH624" s="883"/>
      <c r="CI624" s="883"/>
      <c r="CJ624" s="883"/>
      <c r="CK624" s="883"/>
      <c r="CL624" s="883"/>
      <c r="CM624" s="883"/>
      <c r="CN624" s="883"/>
      <c r="CO624" s="883"/>
      <c r="CP624" s="883"/>
      <c r="CQ624" s="883"/>
      <c r="CR624" s="883"/>
      <c r="CS624" s="883"/>
      <c r="CT624" s="883"/>
      <c r="CU624" s="883"/>
      <c r="CV624" s="863"/>
      <c r="CW624" s="863"/>
      <c r="CX624" s="863"/>
      <c r="CY624" s="863"/>
      <c r="CZ624" s="863"/>
      <c r="DA624" s="863"/>
      <c r="DB624" s="863"/>
      <c r="DC624" s="863"/>
      <c r="DD624" s="863"/>
      <c r="DE624" s="863"/>
    </row>
    <row r="625">
      <c r="A625" s="876"/>
      <c r="B625" s="876"/>
      <c r="C625" s="876"/>
      <c r="D625" s="876"/>
      <c r="E625" s="876"/>
      <c r="F625" s="876"/>
      <c r="G625" s="876"/>
      <c r="H625" s="876"/>
      <c r="I625" s="876"/>
      <c r="J625" s="876"/>
      <c r="K625" s="876"/>
      <c r="L625" s="876"/>
      <c r="M625" s="876"/>
      <c r="N625" s="877"/>
      <c r="O625" s="876"/>
      <c r="P625" s="876"/>
      <c r="Q625" s="876"/>
      <c r="R625" s="876"/>
      <c r="S625" s="876"/>
      <c r="T625" s="876"/>
      <c r="U625" s="876"/>
      <c r="V625" s="876"/>
      <c r="W625" s="876"/>
      <c r="X625" s="876"/>
      <c r="Y625" s="876"/>
      <c r="Z625" s="876"/>
      <c r="AA625" s="876"/>
      <c r="AB625" s="876"/>
      <c r="AC625" s="876"/>
      <c r="AD625" s="876"/>
      <c r="AE625" s="876"/>
      <c r="AF625" s="876"/>
      <c r="AG625" s="876"/>
      <c r="AH625" s="876"/>
      <c r="AI625" s="878"/>
      <c r="AJ625" s="880"/>
      <c r="AK625" s="880"/>
      <c r="AL625" s="880"/>
      <c r="AM625" s="880"/>
      <c r="AN625" s="880"/>
      <c r="AO625" s="880"/>
      <c r="AP625" s="880"/>
      <c r="AQ625" s="880"/>
      <c r="AR625" s="880"/>
      <c r="AS625" s="880"/>
      <c r="AT625" s="880"/>
      <c r="AU625" s="880"/>
      <c r="AV625" s="880"/>
      <c r="AW625" s="881"/>
      <c r="AX625" s="863"/>
      <c r="AY625" s="863"/>
      <c r="AZ625" s="863"/>
      <c r="BA625" s="863"/>
      <c r="BB625" s="863"/>
      <c r="BC625" s="863"/>
      <c r="BD625" s="863"/>
      <c r="BE625" s="863"/>
      <c r="BF625" s="863"/>
      <c r="BG625" s="863"/>
      <c r="BH625" s="863"/>
      <c r="BI625" s="863"/>
      <c r="BJ625" s="863"/>
      <c r="BK625" s="863"/>
      <c r="BL625" s="863"/>
      <c r="BM625" s="863"/>
      <c r="BN625" s="863"/>
      <c r="BO625" s="863"/>
      <c r="BP625" s="880"/>
      <c r="BQ625" s="863"/>
      <c r="BR625" s="883"/>
      <c r="BS625" s="883"/>
      <c r="BT625" s="883"/>
      <c r="BU625" s="883"/>
      <c r="BV625" s="883"/>
      <c r="BW625" s="883"/>
      <c r="BX625" s="883"/>
      <c r="BY625" s="883"/>
      <c r="BZ625" s="883"/>
      <c r="CA625" s="883"/>
      <c r="CB625" s="883"/>
      <c r="CC625" s="883"/>
      <c r="CD625" s="884"/>
      <c r="CE625" s="883"/>
      <c r="CF625" s="883"/>
      <c r="CG625" s="883"/>
      <c r="CH625" s="883"/>
      <c r="CI625" s="883"/>
      <c r="CJ625" s="883"/>
      <c r="CK625" s="883"/>
      <c r="CL625" s="883"/>
      <c r="CM625" s="883"/>
      <c r="CN625" s="883"/>
      <c r="CO625" s="883"/>
      <c r="CP625" s="883"/>
      <c r="CQ625" s="883"/>
      <c r="CR625" s="883"/>
      <c r="CS625" s="883"/>
      <c r="CT625" s="883"/>
      <c r="CU625" s="883"/>
      <c r="CV625" s="863"/>
      <c r="CW625" s="863"/>
      <c r="CX625" s="863"/>
      <c r="CY625" s="863"/>
      <c r="CZ625" s="863"/>
      <c r="DA625" s="863"/>
      <c r="DB625" s="863"/>
      <c r="DC625" s="863"/>
      <c r="DD625" s="863"/>
      <c r="DE625" s="863"/>
    </row>
    <row r="626">
      <c r="A626" s="876"/>
      <c r="B626" s="876"/>
      <c r="C626" s="876"/>
      <c r="D626" s="876"/>
      <c r="E626" s="876"/>
      <c r="F626" s="876"/>
      <c r="G626" s="876"/>
      <c r="H626" s="876"/>
      <c r="I626" s="876"/>
      <c r="J626" s="876"/>
      <c r="K626" s="876"/>
      <c r="L626" s="876"/>
      <c r="M626" s="876"/>
      <c r="N626" s="877"/>
      <c r="O626" s="876"/>
      <c r="P626" s="876"/>
      <c r="Q626" s="876"/>
      <c r="R626" s="876"/>
      <c r="S626" s="876"/>
      <c r="T626" s="876"/>
      <c r="U626" s="876"/>
      <c r="V626" s="876"/>
      <c r="W626" s="876"/>
      <c r="X626" s="876"/>
      <c r="Y626" s="876"/>
      <c r="Z626" s="876"/>
      <c r="AA626" s="876"/>
      <c r="AB626" s="876"/>
      <c r="AC626" s="876"/>
      <c r="AD626" s="876"/>
      <c r="AE626" s="876"/>
      <c r="AF626" s="876"/>
      <c r="AG626" s="876"/>
      <c r="AH626" s="876"/>
      <c r="AI626" s="878"/>
      <c r="AJ626" s="880"/>
      <c r="AK626" s="880"/>
      <c r="AL626" s="880"/>
      <c r="AM626" s="880"/>
      <c r="AN626" s="880"/>
      <c r="AO626" s="880"/>
      <c r="AP626" s="880"/>
      <c r="AQ626" s="880"/>
      <c r="AR626" s="880"/>
      <c r="AS626" s="880"/>
      <c r="AT626" s="880"/>
      <c r="AU626" s="880"/>
      <c r="AV626" s="880"/>
      <c r="AW626" s="881"/>
      <c r="AX626" s="863"/>
      <c r="AY626" s="863"/>
      <c r="AZ626" s="863"/>
      <c r="BA626" s="863"/>
      <c r="BB626" s="863"/>
      <c r="BC626" s="863"/>
      <c r="BD626" s="863"/>
      <c r="BE626" s="863"/>
      <c r="BF626" s="863"/>
      <c r="BG626" s="863"/>
      <c r="BH626" s="863"/>
      <c r="BI626" s="863"/>
      <c r="BJ626" s="863"/>
      <c r="BK626" s="863"/>
      <c r="BL626" s="863"/>
      <c r="BM626" s="863"/>
      <c r="BN626" s="863"/>
      <c r="BO626" s="863"/>
      <c r="BP626" s="880"/>
      <c r="BQ626" s="863"/>
      <c r="BR626" s="883"/>
      <c r="BS626" s="883"/>
      <c r="BT626" s="883"/>
      <c r="BU626" s="883"/>
      <c r="BV626" s="883"/>
      <c r="BW626" s="883"/>
      <c r="BX626" s="883"/>
      <c r="BY626" s="883"/>
      <c r="BZ626" s="883"/>
      <c r="CA626" s="883"/>
      <c r="CB626" s="883"/>
      <c r="CC626" s="883"/>
      <c r="CD626" s="884"/>
      <c r="CE626" s="883"/>
      <c r="CF626" s="883"/>
      <c r="CG626" s="883"/>
      <c r="CH626" s="883"/>
      <c r="CI626" s="883"/>
      <c r="CJ626" s="883"/>
      <c r="CK626" s="883"/>
      <c r="CL626" s="883"/>
      <c r="CM626" s="883"/>
      <c r="CN626" s="883"/>
      <c r="CO626" s="883"/>
      <c r="CP626" s="883"/>
      <c r="CQ626" s="883"/>
      <c r="CR626" s="883"/>
      <c r="CS626" s="883"/>
      <c r="CT626" s="883"/>
      <c r="CU626" s="883"/>
      <c r="CV626" s="863"/>
      <c r="CW626" s="863"/>
      <c r="CX626" s="863"/>
      <c r="CY626" s="863"/>
      <c r="CZ626" s="863"/>
      <c r="DA626" s="863"/>
      <c r="DB626" s="863"/>
      <c r="DC626" s="863"/>
      <c r="DD626" s="863"/>
      <c r="DE626" s="863"/>
    </row>
    <row r="627">
      <c r="A627" s="876"/>
      <c r="B627" s="876"/>
      <c r="C627" s="876"/>
      <c r="D627" s="876"/>
      <c r="E627" s="876"/>
      <c r="F627" s="876"/>
      <c r="G627" s="876"/>
      <c r="H627" s="876"/>
      <c r="I627" s="876"/>
      <c r="J627" s="876"/>
      <c r="K627" s="876"/>
      <c r="L627" s="876"/>
      <c r="M627" s="876"/>
      <c r="N627" s="877"/>
      <c r="O627" s="876"/>
      <c r="P627" s="876"/>
      <c r="Q627" s="876"/>
      <c r="R627" s="876"/>
      <c r="S627" s="876"/>
      <c r="T627" s="876"/>
      <c r="U627" s="876"/>
      <c r="V627" s="876"/>
      <c r="W627" s="876"/>
      <c r="X627" s="876"/>
      <c r="Y627" s="876"/>
      <c r="Z627" s="876"/>
      <c r="AA627" s="876"/>
      <c r="AB627" s="876"/>
      <c r="AC627" s="876"/>
      <c r="AD627" s="876"/>
      <c r="AE627" s="876"/>
      <c r="AF627" s="876"/>
      <c r="AG627" s="876"/>
      <c r="AH627" s="876"/>
      <c r="AI627" s="878"/>
      <c r="AJ627" s="880"/>
      <c r="AK627" s="880"/>
      <c r="AL627" s="880"/>
      <c r="AM627" s="880"/>
      <c r="AN627" s="880"/>
      <c r="AO627" s="880"/>
      <c r="AP627" s="880"/>
      <c r="AQ627" s="880"/>
      <c r="AR627" s="880"/>
      <c r="AS627" s="880"/>
      <c r="AT627" s="880"/>
      <c r="AU627" s="880"/>
      <c r="AV627" s="880"/>
      <c r="AW627" s="881"/>
      <c r="AX627" s="863"/>
      <c r="AY627" s="863"/>
      <c r="AZ627" s="863"/>
      <c r="BA627" s="863"/>
      <c r="BB627" s="863"/>
      <c r="BC627" s="863"/>
      <c r="BD627" s="863"/>
      <c r="BE627" s="863"/>
      <c r="BF627" s="863"/>
      <c r="BG627" s="863"/>
      <c r="BH627" s="863"/>
      <c r="BI627" s="863"/>
      <c r="BJ627" s="863"/>
      <c r="BK627" s="863"/>
      <c r="BL627" s="863"/>
      <c r="BM627" s="863"/>
      <c r="BN627" s="863"/>
      <c r="BO627" s="863"/>
      <c r="BP627" s="880"/>
      <c r="BQ627" s="863"/>
      <c r="BR627" s="883"/>
      <c r="BS627" s="883"/>
      <c r="BT627" s="883"/>
      <c r="BU627" s="883"/>
      <c r="BV627" s="883"/>
      <c r="BW627" s="883"/>
      <c r="BX627" s="883"/>
      <c r="BY627" s="883"/>
      <c r="BZ627" s="883"/>
      <c r="CA627" s="883"/>
      <c r="CB627" s="883"/>
      <c r="CC627" s="883"/>
      <c r="CD627" s="884"/>
      <c r="CE627" s="883"/>
      <c r="CF627" s="883"/>
      <c r="CG627" s="883"/>
      <c r="CH627" s="883"/>
      <c r="CI627" s="883"/>
      <c r="CJ627" s="883"/>
      <c r="CK627" s="883"/>
      <c r="CL627" s="883"/>
      <c r="CM627" s="883"/>
      <c r="CN627" s="883"/>
      <c r="CO627" s="883"/>
      <c r="CP627" s="883"/>
      <c r="CQ627" s="883"/>
      <c r="CR627" s="883"/>
      <c r="CS627" s="883"/>
      <c r="CT627" s="883"/>
      <c r="CU627" s="883"/>
      <c r="CV627" s="863"/>
      <c r="CW627" s="863"/>
      <c r="CX627" s="863"/>
      <c r="CY627" s="863"/>
      <c r="CZ627" s="863"/>
      <c r="DA627" s="863"/>
      <c r="DB627" s="863"/>
      <c r="DC627" s="863"/>
      <c r="DD627" s="863"/>
      <c r="DE627" s="863"/>
    </row>
    <row r="628">
      <c r="A628" s="876"/>
      <c r="B628" s="876"/>
      <c r="C628" s="876"/>
      <c r="D628" s="876"/>
      <c r="E628" s="876"/>
      <c r="F628" s="876"/>
      <c r="G628" s="876"/>
      <c r="H628" s="876"/>
      <c r="I628" s="876"/>
      <c r="J628" s="876"/>
      <c r="K628" s="876"/>
      <c r="L628" s="876"/>
      <c r="M628" s="876"/>
      <c r="N628" s="877"/>
      <c r="O628" s="876"/>
      <c r="P628" s="876"/>
      <c r="Q628" s="876"/>
      <c r="R628" s="876"/>
      <c r="S628" s="876"/>
      <c r="T628" s="876"/>
      <c r="U628" s="876"/>
      <c r="V628" s="876"/>
      <c r="W628" s="876"/>
      <c r="X628" s="876"/>
      <c r="Y628" s="876"/>
      <c r="Z628" s="876"/>
      <c r="AA628" s="876"/>
      <c r="AB628" s="876"/>
      <c r="AC628" s="876"/>
      <c r="AD628" s="876"/>
      <c r="AE628" s="876"/>
      <c r="AF628" s="876"/>
      <c r="AG628" s="876"/>
      <c r="AH628" s="876"/>
      <c r="AI628" s="878"/>
      <c r="AJ628" s="880"/>
      <c r="AK628" s="880"/>
      <c r="AL628" s="880"/>
      <c r="AM628" s="880"/>
      <c r="AN628" s="880"/>
      <c r="AO628" s="880"/>
      <c r="AP628" s="880"/>
      <c r="AQ628" s="880"/>
      <c r="AR628" s="880"/>
      <c r="AS628" s="880"/>
      <c r="AT628" s="880"/>
      <c r="AU628" s="880"/>
      <c r="AV628" s="880"/>
      <c r="AW628" s="881"/>
      <c r="AX628" s="863"/>
      <c r="AY628" s="863"/>
      <c r="AZ628" s="863"/>
      <c r="BA628" s="863"/>
      <c r="BB628" s="863"/>
      <c r="BC628" s="863"/>
      <c r="BD628" s="863"/>
      <c r="BE628" s="863"/>
      <c r="BF628" s="863"/>
      <c r="BG628" s="863"/>
      <c r="BH628" s="863"/>
      <c r="BI628" s="863"/>
      <c r="BJ628" s="863"/>
      <c r="BK628" s="863"/>
      <c r="BL628" s="863"/>
      <c r="BM628" s="863"/>
      <c r="BN628" s="863"/>
      <c r="BO628" s="863"/>
      <c r="BP628" s="880"/>
      <c r="BQ628" s="863"/>
      <c r="BR628" s="883"/>
      <c r="BS628" s="883"/>
      <c r="BT628" s="883"/>
      <c r="BU628" s="883"/>
      <c r="BV628" s="883"/>
      <c r="BW628" s="883"/>
      <c r="BX628" s="883"/>
      <c r="BY628" s="883"/>
      <c r="BZ628" s="883"/>
      <c r="CA628" s="883"/>
      <c r="CB628" s="883"/>
      <c r="CC628" s="883"/>
      <c r="CD628" s="884"/>
      <c r="CE628" s="883"/>
      <c r="CF628" s="883"/>
      <c r="CG628" s="883"/>
      <c r="CH628" s="883"/>
      <c r="CI628" s="883"/>
      <c r="CJ628" s="883"/>
      <c r="CK628" s="883"/>
      <c r="CL628" s="883"/>
      <c r="CM628" s="883"/>
      <c r="CN628" s="883"/>
      <c r="CO628" s="883"/>
      <c r="CP628" s="883"/>
      <c r="CQ628" s="883"/>
      <c r="CR628" s="883"/>
      <c r="CS628" s="883"/>
      <c r="CT628" s="883"/>
      <c r="CU628" s="883"/>
      <c r="CV628" s="863"/>
      <c r="CW628" s="863"/>
      <c r="CX628" s="863"/>
      <c r="CY628" s="863"/>
      <c r="CZ628" s="863"/>
      <c r="DA628" s="863"/>
      <c r="DB628" s="863"/>
      <c r="DC628" s="863"/>
      <c r="DD628" s="863"/>
      <c r="DE628" s="863"/>
    </row>
    <row r="629">
      <c r="A629" s="876"/>
      <c r="B629" s="876"/>
      <c r="C629" s="876"/>
      <c r="D629" s="876"/>
      <c r="E629" s="876"/>
      <c r="F629" s="876"/>
      <c r="G629" s="876"/>
      <c r="H629" s="876"/>
      <c r="I629" s="876"/>
      <c r="J629" s="876"/>
      <c r="K629" s="876"/>
      <c r="L629" s="876"/>
      <c r="M629" s="876"/>
      <c r="N629" s="877"/>
      <c r="O629" s="876"/>
      <c r="P629" s="876"/>
      <c r="Q629" s="876"/>
      <c r="R629" s="876"/>
      <c r="S629" s="876"/>
      <c r="T629" s="876"/>
      <c r="U629" s="876"/>
      <c r="V629" s="876"/>
      <c r="W629" s="876"/>
      <c r="X629" s="876"/>
      <c r="Y629" s="876"/>
      <c r="Z629" s="876"/>
      <c r="AA629" s="876"/>
      <c r="AB629" s="876"/>
      <c r="AC629" s="876"/>
      <c r="AD629" s="876"/>
      <c r="AE629" s="876"/>
      <c r="AF629" s="876"/>
      <c r="AG629" s="876"/>
      <c r="AH629" s="876"/>
      <c r="AI629" s="878"/>
      <c r="AJ629" s="880"/>
      <c r="AK629" s="880"/>
      <c r="AL629" s="880"/>
      <c r="AM629" s="880"/>
      <c r="AN629" s="880"/>
      <c r="AO629" s="880"/>
      <c r="AP629" s="880"/>
      <c r="AQ629" s="880"/>
      <c r="AR629" s="880"/>
      <c r="AS629" s="880"/>
      <c r="AT629" s="880"/>
      <c r="AU629" s="880"/>
      <c r="AV629" s="880"/>
      <c r="AW629" s="881"/>
      <c r="AX629" s="863"/>
      <c r="AY629" s="863"/>
      <c r="AZ629" s="863"/>
      <c r="BA629" s="863"/>
      <c r="BB629" s="863"/>
      <c r="BC629" s="863"/>
      <c r="BD629" s="863"/>
      <c r="BE629" s="863"/>
      <c r="BF629" s="863"/>
      <c r="BG629" s="863"/>
      <c r="BH629" s="863"/>
      <c r="BI629" s="863"/>
      <c r="BJ629" s="863"/>
      <c r="BK629" s="863"/>
      <c r="BL629" s="863"/>
      <c r="BM629" s="863"/>
      <c r="BN629" s="863"/>
      <c r="BO629" s="863"/>
      <c r="BP629" s="880"/>
      <c r="BQ629" s="863"/>
      <c r="BR629" s="883"/>
      <c r="BS629" s="883"/>
      <c r="BT629" s="883"/>
      <c r="BU629" s="883"/>
      <c r="BV629" s="883"/>
      <c r="BW629" s="883"/>
      <c r="BX629" s="883"/>
      <c r="BY629" s="883"/>
      <c r="BZ629" s="883"/>
      <c r="CA629" s="883"/>
      <c r="CB629" s="883"/>
      <c r="CC629" s="883"/>
      <c r="CD629" s="884"/>
      <c r="CE629" s="883"/>
      <c r="CF629" s="883"/>
      <c r="CG629" s="883"/>
      <c r="CH629" s="883"/>
      <c r="CI629" s="883"/>
      <c r="CJ629" s="883"/>
      <c r="CK629" s="883"/>
      <c r="CL629" s="883"/>
      <c r="CM629" s="883"/>
      <c r="CN629" s="883"/>
      <c r="CO629" s="883"/>
      <c r="CP629" s="883"/>
      <c r="CQ629" s="883"/>
      <c r="CR629" s="883"/>
      <c r="CS629" s="883"/>
      <c r="CT629" s="883"/>
      <c r="CU629" s="883"/>
      <c r="CV629" s="863"/>
      <c r="CW629" s="863"/>
      <c r="CX629" s="863"/>
      <c r="CY629" s="863"/>
      <c r="CZ629" s="863"/>
      <c r="DA629" s="863"/>
      <c r="DB629" s="863"/>
      <c r="DC629" s="863"/>
      <c r="DD629" s="863"/>
      <c r="DE629" s="863"/>
    </row>
    <row r="630">
      <c r="A630" s="876"/>
      <c r="B630" s="876"/>
      <c r="C630" s="876"/>
      <c r="D630" s="876"/>
      <c r="E630" s="876"/>
      <c r="F630" s="876"/>
      <c r="G630" s="876"/>
      <c r="H630" s="876"/>
      <c r="I630" s="876"/>
      <c r="J630" s="876"/>
      <c r="K630" s="876"/>
      <c r="L630" s="876"/>
      <c r="M630" s="876"/>
      <c r="N630" s="877"/>
      <c r="O630" s="876"/>
      <c r="P630" s="876"/>
      <c r="Q630" s="876"/>
      <c r="R630" s="876"/>
      <c r="S630" s="876"/>
      <c r="T630" s="876"/>
      <c r="U630" s="876"/>
      <c r="V630" s="876"/>
      <c r="W630" s="876"/>
      <c r="X630" s="876"/>
      <c r="Y630" s="876"/>
      <c r="Z630" s="876"/>
      <c r="AA630" s="876"/>
      <c r="AB630" s="876"/>
      <c r="AC630" s="876"/>
      <c r="AD630" s="876"/>
      <c r="AE630" s="876"/>
      <c r="AF630" s="876"/>
      <c r="AG630" s="876"/>
      <c r="AH630" s="876"/>
      <c r="AI630" s="878"/>
      <c r="AJ630" s="880"/>
      <c r="AK630" s="880"/>
      <c r="AL630" s="880"/>
      <c r="AM630" s="880"/>
      <c r="AN630" s="880"/>
      <c r="AO630" s="880"/>
      <c r="AP630" s="880"/>
      <c r="AQ630" s="880"/>
      <c r="AR630" s="880"/>
      <c r="AS630" s="880"/>
      <c r="AT630" s="880"/>
      <c r="AU630" s="880"/>
      <c r="AV630" s="880"/>
      <c r="AW630" s="881"/>
      <c r="AX630" s="863"/>
      <c r="AY630" s="863"/>
      <c r="AZ630" s="863"/>
      <c r="BA630" s="863"/>
      <c r="BB630" s="863"/>
      <c r="BC630" s="863"/>
      <c r="BD630" s="863"/>
      <c r="BE630" s="863"/>
      <c r="BF630" s="863"/>
      <c r="BG630" s="863"/>
      <c r="BH630" s="863"/>
      <c r="BI630" s="863"/>
      <c r="BJ630" s="863"/>
      <c r="BK630" s="863"/>
      <c r="BL630" s="863"/>
      <c r="BM630" s="863"/>
      <c r="BN630" s="863"/>
      <c r="BO630" s="863"/>
      <c r="BP630" s="880"/>
      <c r="BQ630" s="863"/>
      <c r="BR630" s="883"/>
      <c r="BS630" s="883"/>
      <c r="BT630" s="883"/>
      <c r="BU630" s="883"/>
      <c r="BV630" s="883"/>
      <c r="BW630" s="883"/>
      <c r="BX630" s="883"/>
      <c r="BY630" s="883"/>
      <c r="BZ630" s="883"/>
      <c r="CA630" s="883"/>
      <c r="CB630" s="883"/>
      <c r="CC630" s="883"/>
      <c r="CD630" s="884"/>
      <c r="CE630" s="883"/>
      <c r="CF630" s="883"/>
      <c r="CG630" s="883"/>
      <c r="CH630" s="883"/>
      <c r="CI630" s="883"/>
      <c r="CJ630" s="883"/>
      <c r="CK630" s="883"/>
      <c r="CL630" s="883"/>
      <c r="CM630" s="883"/>
      <c r="CN630" s="883"/>
      <c r="CO630" s="883"/>
      <c r="CP630" s="883"/>
      <c r="CQ630" s="883"/>
      <c r="CR630" s="883"/>
      <c r="CS630" s="883"/>
      <c r="CT630" s="883"/>
      <c r="CU630" s="883"/>
      <c r="CV630" s="863"/>
      <c r="CW630" s="863"/>
      <c r="CX630" s="863"/>
      <c r="CY630" s="863"/>
      <c r="CZ630" s="863"/>
      <c r="DA630" s="863"/>
      <c r="DB630" s="863"/>
      <c r="DC630" s="863"/>
      <c r="DD630" s="863"/>
      <c r="DE630" s="863"/>
    </row>
    <row r="631">
      <c r="A631" s="876"/>
      <c r="B631" s="876"/>
      <c r="C631" s="876"/>
      <c r="D631" s="876"/>
      <c r="E631" s="876"/>
      <c r="F631" s="876"/>
      <c r="G631" s="876"/>
      <c r="H631" s="876"/>
      <c r="I631" s="876"/>
      <c r="J631" s="876"/>
      <c r="K631" s="876"/>
      <c r="L631" s="876"/>
      <c r="M631" s="876"/>
      <c r="N631" s="877"/>
      <c r="O631" s="876"/>
      <c r="P631" s="876"/>
      <c r="Q631" s="876"/>
      <c r="R631" s="876"/>
      <c r="S631" s="876"/>
      <c r="T631" s="876"/>
      <c r="U631" s="876"/>
      <c r="V631" s="876"/>
      <c r="W631" s="876"/>
      <c r="X631" s="876"/>
      <c r="Y631" s="876"/>
      <c r="Z631" s="876"/>
      <c r="AA631" s="876"/>
      <c r="AB631" s="876"/>
      <c r="AC631" s="876"/>
      <c r="AD631" s="876"/>
      <c r="AE631" s="876"/>
      <c r="AF631" s="876"/>
      <c r="AG631" s="876"/>
      <c r="AH631" s="876"/>
      <c r="AI631" s="878"/>
      <c r="AJ631" s="880"/>
      <c r="AK631" s="880"/>
      <c r="AL631" s="880"/>
      <c r="AM631" s="880"/>
      <c r="AN631" s="880"/>
      <c r="AO631" s="880"/>
      <c r="AP631" s="880"/>
      <c r="AQ631" s="880"/>
      <c r="AR631" s="880"/>
      <c r="AS631" s="880"/>
      <c r="AT631" s="880"/>
      <c r="AU631" s="880"/>
      <c r="AV631" s="880"/>
      <c r="AW631" s="881"/>
      <c r="AX631" s="863"/>
      <c r="AY631" s="863"/>
      <c r="AZ631" s="863"/>
      <c r="BA631" s="863"/>
      <c r="BB631" s="863"/>
      <c r="BC631" s="863"/>
      <c r="BD631" s="863"/>
      <c r="BE631" s="863"/>
      <c r="BF631" s="863"/>
      <c r="BG631" s="863"/>
      <c r="BH631" s="863"/>
      <c r="BI631" s="863"/>
      <c r="BJ631" s="863"/>
      <c r="BK631" s="863"/>
      <c r="BL631" s="863"/>
      <c r="BM631" s="863"/>
      <c r="BN631" s="863"/>
      <c r="BO631" s="863"/>
      <c r="BP631" s="880"/>
      <c r="BQ631" s="863"/>
      <c r="BR631" s="883"/>
      <c r="BS631" s="883"/>
      <c r="BT631" s="883"/>
      <c r="BU631" s="883"/>
      <c r="BV631" s="883"/>
      <c r="BW631" s="883"/>
      <c r="BX631" s="883"/>
      <c r="BY631" s="883"/>
      <c r="BZ631" s="883"/>
      <c r="CA631" s="883"/>
      <c r="CB631" s="883"/>
      <c r="CC631" s="883"/>
      <c r="CD631" s="884"/>
      <c r="CE631" s="883"/>
      <c r="CF631" s="883"/>
      <c r="CG631" s="883"/>
      <c r="CH631" s="883"/>
      <c r="CI631" s="883"/>
      <c r="CJ631" s="883"/>
      <c r="CK631" s="883"/>
      <c r="CL631" s="883"/>
      <c r="CM631" s="883"/>
      <c r="CN631" s="883"/>
      <c r="CO631" s="883"/>
      <c r="CP631" s="883"/>
      <c r="CQ631" s="883"/>
      <c r="CR631" s="883"/>
      <c r="CS631" s="883"/>
      <c r="CT631" s="883"/>
      <c r="CU631" s="883"/>
      <c r="CV631" s="863"/>
      <c r="CW631" s="863"/>
      <c r="CX631" s="863"/>
      <c r="CY631" s="863"/>
      <c r="CZ631" s="863"/>
      <c r="DA631" s="863"/>
      <c r="DB631" s="863"/>
      <c r="DC631" s="863"/>
      <c r="DD631" s="863"/>
      <c r="DE631" s="863"/>
    </row>
    <row r="632">
      <c r="A632" s="876"/>
      <c r="B632" s="876"/>
      <c r="C632" s="876"/>
      <c r="D632" s="876"/>
      <c r="E632" s="876"/>
      <c r="F632" s="876"/>
      <c r="G632" s="876"/>
      <c r="H632" s="876"/>
      <c r="I632" s="876"/>
      <c r="J632" s="876"/>
      <c r="K632" s="876"/>
      <c r="L632" s="876"/>
      <c r="M632" s="876"/>
      <c r="N632" s="877"/>
      <c r="O632" s="876"/>
      <c r="P632" s="876"/>
      <c r="Q632" s="876"/>
      <c r="R632" s="876"/>
      <c r="S632" s="876"/>
      <c r="T632" s="876"/>
      <c r="U632" s="876"/>
      <c r="V632" s="876"/>
      <c r="W632" s="876"/>
      <c r="X632" s="876"/>
      <c r="Y632" s="876"/>
      <c r="Z632" s="876"/>
      <c r="AA632" s="876"/>
      <c r="AB632" s="876"/>
      <c r="AC632" s="876"/>
      <c r="AD632" s="876"/>
      <c r="AE632" s="876"/>
      <c r="AF632" s="876"/>
      <c r="AG632" s="876"/>
      <c r="AH632" s="876"/>
      <c r="AI632" s="878"/>
      <c r="AJ632" s="880"/>
      <c r="AK632" s="880"/>
      <c r="AL632" s="880"/>
      <c r="AM632" s="880"/>
      <c r="AN632" s="880"/>
      <c r="AO632" s="880"/>
      <c r="AP632" s="880"/>
      <c r="AQ632" s="880"/>
      <c r="AR632" s="880"/>
      <c r="AS632" s="880"/>
      <c r="AT632" s="880"/>
      <c r="AU632" s="880"/>
      <c r="AV632" s="880"/>
      <c r="AW632" s="881"/>
      <c r="AX632" s="863"/>
      <c r="AY632" s="863"/>
      <c r="AZ632" s="863"/>
      <c r="BA632" s="863"/>
      <c r="BB632" s="863"/>
      <c r="BC632" s="863"/>
      <c r="BD632" s="863"/>
      <c r="BE632" s="863"/>
      <c r="BF632" s="863"/>
      <c r="BG632" s="863"/>
      <c r="BH632" s="863"/>
      <c r="BI632" s="863"/>
      <c r="BJ632" s="863"/>
      <c r="BK632" s="863"/>
      <c r="BL632" s="863"/>
      <c r="BM632" s="863"/>
      <c r="BN632" s="863"/>
      <c r="BO632" s="863"/>
      <c r="BP632" s="880"/>
      <c r="BQ632" s="863"/>
      <c r="BR632" s="883"/>
      <c r="BS632" s="883"/>
      <c r="BT632" s="883"/>
      <c r="BU632" s="883"/>
      <c r="BV632" s="883"/>
      <c r="BW632" s="883"/>
      <c r="BX632" s="883"/>
      <c r="BY632" s="883"/>
      <c r="BZ632" s="883"/>
      <c r="CA632" s="883"/>
      <c r="CB632" s="883"/>
      <c r="CC632" s="883"/>
      <c r="CD632" s="884"/>
      <c r="CE632" s="883"/>
      <c r="CF632" s="883"/>
      <c r="CG632" s="883"/>
      <c r="CH632" s="883"/>
      <c r="CI632" s="883"/>
      <c r="CJ632" s="883"/>
      <c r="CK632" s="883"/>
      <c r="CL632" s="883"/>
      <c r="CM632" s="883"/>
      <c r="CN632" s="883"/>
      <c r="CO632" s="883"/>
      <c r="CP632" s="883"/>
      <c r="CQ632" s="883"/>
      <c r="CR632" s="883"/>
      <c r="CS632" s="883"/>
      <c r="CT632" s="883"/>
      <c r="CU632" s="883"/>
      <c r="CV632" s="863"/>
      <c r="CW632" s="863"/>
      <c r="CX632" s="863"/>
      <c r="CY632" s="863"/>
      <c r="CZ632" s="863"/>
      <c r="DA632" s="863"/>
      <c r="DB632" s="863"/>
      <c r="DC632" s="863"/>
      <c r="DD632" s="863"/>
      <c r="DE632" s="863"/>
    </row>
    <row r="633">
      <c r="A633" s="876"/>
      <c r="B633" s="876"/>
      <c r="C633" s="876"/>
      <c r="D633" s="876"/>
      <c r="E633" s="876"/>
      <c r="F633" s="876"/>
      <c r="G633" s="876"/>
      <c r="H633" s="876"/>
      <c r="I633" s="876"/>
      <c r="J633" s="876"/>
      <c r="K633" s="876"/>
      <c r="L633" s="876"/>
      <c r="M633" s="876"/>
      <c r="N633" s="877"/>
      <c r="O633" s="876"/>
      <c r="P633" s="876"/>
      <c r="Q633" s="876"/>
      <c r="R633" s="876"/>
      <c r="S633" s="876"/>
      <c r="T633" s="876"/>
      <c r="U633" s="876"/>
      <c r="V633" s="876"/>
      <c r="W633" s="876"/>
      <c r="X633" s="876"/>
      <c r="Y633" s="876"/>
      <c r="Z633" s="876"/>
      <c r="AA633" s="876"/>
      <c r="AB633" s="876"/>
      <c r="AC633" s="876"/>
      <c r="AD633" s="876"/>
      <c r="AE633" s="876"/>
      <c r="AF633" s="876"/>
      <c r="AG633" s="876"/>
      <c r="AH633" s="876"/>
      <c r="AI633" s="878"/>
      <c r="AJ633" s="880"/>
      <c r="AK633" s="880"/>
      <c r="AL633" s="880"/>
      <c r="AM633" s="880"/>
      <c r="AN633" s="880"/>
      <c r="AO633" s="880"/>
      <c r="AP633" s="880"/>
      <c r="AQ633" s="880"/>
      <c r="AR633" s="880"/>
      <c r="AS633" s="880"/>
      <c r="AT633" s="880"/>
      <c r="AU633" s="880"/>
      <c r="AV633" s="880"/>
      <c r="AW633" s="881"/>
      <c r="AX633" s="863"/>
      <c r="AY633" s="863"/>
      <c r="AZ633" s="863"/>
      <c r="BA633" s="863"/>
      <c r="BB633" s="863"/>
      <c r="BC633" s="863"/>
      <c r="BD633" s="863"/>
      <c r="BE633" s="863"/>
      <c r="BF633" s="863"/>
      <c r="BG633" s="863"/>
      <c r="BH633" s="863"/>
      <c r="BI633" s="863"/>
      <c r="BJ633" s="863"/>
      <c r="BK633" s="863"/>
      <c r="BL633" s="863"/>
      <c r="BM633" s="863"/>
      <c r="BN633" s="863"/>
      <c r="BO633" s="863"/>
      <c r="BP633" s="880"/>
      <c r="BQ633" s="863"/>
      <c r="BR633" s="883"/>
      <c r="BS633" s="883"/>
      <c r="BT633" s="883"/>
      <c r="BU633" s="883"/>
      <c r="BV633" s="883"/>
      <c r="BW633" s="883"/>
      <c r="BX633" s="883"/>
      <c r="BY633" s="883"/>
      <c r="BZ633" s="883"/>
      <c r="CA633" s="883"/>
      <c r="CB633" s="883"/>
      <c r="CC633" s="883"/>
      <c r="CD633" s="884"/>
      <c r="CE633" s="883"/>
      <c r="CF633" s="883"/>
      <c r="CG633" s="883"/>
      <c r="CH633" s="883"/>
      <c r="CI633" s="883"/>
      <c r="CJ633" s="883"/>
      <c r="CK633" s="883"/>
      <c r="CL633" s="883"/>
      <c r="CM633" s="883"/>
      <c r="CN633" s="883"/>
      <c r="CO633" s="883"/>
      <c r="CP633" s="883"/>
      <c r="CQ633" s="883"/>
      <c r="CR633" s="883"/>
      <c r="CS633" s="883"/>
      <c r="CT633" s="883"/>
      <c r="CU633" s="883"/>
      <c r="CV633" s="863"/>
      <c r="CW633" s="863"/>
      <c r="CX633" s="863"/>
      <c r="CY633" s="863"/>
      <c r="CZ633" s="863"/>
      <c r="DA633" s="863"/>
      <c r="DB633" s="863"/>
      <c r="DC633" s="863"/>
      <c r="DD633" s="863"/>
      <c r="DE633" s="863"/>
    </row>
    <row r="634">
      <c r="A634" s="876"/>
      <c r="B634" s="876"/>
      <c r="C634" s="876"/>
      <c r="D634" s="876"/>
      <c r="E634" s="876"/>
      <c r="F634" s="876"/>
      <c r="G634" s="876"/>
      <c r="H634" s="876"/>
      <c r="I634" s="876"/>
      <c r="J634" s="876"/>
      <c r="K634" s="876"/>
      <c r="L634" s="876"/>
      <c r="M634" s="876"/>
      <c r="N634" s="877"/>
      <c r="O634" s="876"/>
      <c r="P634" s="876"/>
      <c r="Q634" s="876"/>
      <c r="R634" s="876"/>
      <c r="S634" s="876"/>
      <c r="T634" s="876"/>
      <c r="U634" s="876"/>
      <c r="V634" s="876"/>
      <c r="W634" s="876"/>
      <c r="X634" s="876"/>
      <c r="Y634" s="876"/>
      <c r="Z634" s="876"/>
      <c r="AA634" s="876"/>
      <c r="AB634" s="876"/>
      <c r="AC634" s="876"/>
      <c r="AD634" s="876"/>
      <c r="AE634" s="876"/>
      <c r="AF634" s="876"/>
      <c r="AG634" s="876"/>
      <c r="AH634" s="876"/>
      <c r="AI634" s="878"/>
      <c r="AJ634" s="880"/>
      <c r="AK634" s="880"/>
      <c r="AL634" s="880"/>
      <c r="AM634" s="880"/>
      <c r="AN634" s="880"/>
      <c r="AO634" s="880"/>
      <c r="AP634" s="880"/>
      <c r="AQ634" s="880"/>
      <c r="AR634" s="880"/>
      <c r="AS634" s="880"/>
      <c r="AT634" s="880"/>
      <c r="AU634" s="880"/>
      <c r="AV634" s="880"/>
      <c r="AW634" s="881"/>
      <c r="AX634" s="863"/>
      <c r="AY634" s="863"/>
      <c r="AZ634" s="863"/>
      <c r="BA634" s="863"/>
      <c r="BB634" s="863"/>
      <c r="BC634" s="863"/>
      <c r="BD634" s="863"/>
      <c r="BE634" s="863"/>
      <c r="BF634" s="863"/>
      <c r="BG634" s="863"/>
      <c r="BH634" s="863"/>
      <c r="BI634" s="863"/>
      <c r="BJ634" s="863"/>
      <c r="BK634" s="863"/>
      <c r="BL634" s="863"/>
      <c r="BM634" s="863"/>
      <c r="BN634" s="863"/>
      <c r="BO634" s="863"/>
      <c r="BP634" s="880"/>
      <c r="BQ634" s="863"/>
      <c r="BR634" s="883"/>
      <c r="BS634" s="883"/>
      <c r="BT634" s="883"/>
      <c r="BU634" s="883"/>
      <c r="BV634" s="883"/>
      <c r="BW634" s="883"/>
      <c r="BX634" s="883"/>
      <c r="BY634" s="883"/>
      <c r="BZ634" s="883"/>
      <c r="CA634" s="883"/>
      <c r="CB634" s="883"/>
      <c r="CC634" s="883"/>
      <c r="CD634" s="884"/>
      <c r="CE634" s="883"/>
      <c r="CF634" s="883"/>
      <c r="CG634" s="883"/>
      <c r="CH634" s="883"/>
      <c r="CI634" s="883"/>
      <c r="CJ634" s="883"/>
      <c r="CK634" s="883"/>
      <c r="CL634" s="883"/>
      <c r="CM634" s="883"/>
      <c r="CN634" s="883"/>
      <c r="CO634" s="883"/>
      <c r="CP634" s="883"/>
      <c r="CQ634" s="883"/>
      <c r="CR634" s="883"/>
      <c r="CS634" s="883"/>
      <c r="CT634" s="883"/>
      <c r="CU634" s="883"/>
      <c r="CV634" s="863"/>
      <c r="CW634" s="863"/>
      <c r="CX634" s="863"/>
      <c r="CY634" s="863"/>
      <c r="CZ634" s="863"/>
      <c r="DA634" s="863"/>
      <c r="DB634" s="863"/>
      <c r="DC634" s="863"/>
      <c r="DD634" s="863"/>
      <c r="DE634" s="863"/>
    </row>
    <row r="635">
      <c r="A635" s="876"/>
      <c r="B635" s="876"/>
      <c r="C635" s="876"/>
      <c r="D635" s="876"/>
      <c r="E635" s="876"/>
      <c r="F635" s="876"/>
      <c r="G635" s="876"/>
      <c r="H635" s="876"/>
      <c r="I635" s="876"/>
      <c r="J635" s="876"/>
      <c r="K635" s="876"/>
      <c r="L635" s="876"/>
      <c r="M635" s="876"/>
      <c r="N635" s="877"/>
      <c r="O635" s="876"/>
      <c r="P635" s="876"/>
      <c r="Q635" s="876"/>
      <c r="R635" s="876"/>
      <c r="S635" s="876"/>
      <c r="T635" s="876"/>
      <c r="U635" s="876"/>
      <c r="V635" s="876"/>
      <c r="W635" s="876"/>
      <c r="X635" s="876"/>
      <c r="Y635" s="876"/>
      <c r="Z635" s="876"/>
      <c r="AA635" s="876"/>
      <c r="AB635" s="876"/>
      <c r="AC635" s="876"/>
      <c r="AD635" s="876"/>
      <c r="AE635" s="876"/>
      <c r="AF635" s="876"/>
      <c r="AG635" s="876"/>
      <c r="AH635" s="876"/>
      <c r="AI635" s="878"/>
      <c r="AJ635" s="880"/>
      <c r="AK635" s="880"/>
      <c r="AL635" s="880"/>
      <c r="AM635" s="880"/>
      <c r="AN635" s="880"/>
      <c r="AO635" s="880"/>
      <c r="AP635" s="880"/>
      <c r="AQ635" s="880"/>
      <c r="AR635" s="880"/>
      <c r="AS635" s="880"/>
      <c r="AT635" s="880"/>
      <c r="AU635" s="880"/>
      <c r="AV635" s="880"/>
      <c r="AW635" s="881"/>
      <c r="AX635" s="863"/>
      <c r="AY635" s="863"/>
      <c r="AZ635" s="863"/>
      <c r="BA635" s="863"/>
      <c r="BB635" s="863"/>
      <c r="BC635" s="863"/>
      <c r="BD635" s="863"/>
      <c r="BE635" s="863"/>
      <c r="BF635" s="863"/>
      <c r="BG635" s="863"/>
      <c r="BH635" s="863"/>
      <c r="BI635" s="863"/>
      <c r="BJ635" s="863"/>
      <c r="BK635" s="863"/>
      <c r="BL635" s="863"/>
      <c r="BM635" s="863"/>
      <c r="BN635" s="863"/>
      <c r="BO635" s="863"/>
      <c r="BP635" s="880"/>
      <c r="BQ635" s="863"/>
      <c r="BR635" s="883"/>
      <c r="BS635" s="883"/>
      <c r="BT635" s="883"/>
      <c r="BU635" s="883"/>
      <c r="BV635" s="883"/>
      <c r="BW635" s="883"/>
      <c r="BX635" s="883"/>
      <c r="BY635" s="883"/>
      <c r="BZ635" s="883"/>
      <c r="CA635" s="883"/>
      <c r="CB635" s="883"/>
      <c r="CC635" s="883"/>
      <c r="CD635" s="884"/>
      <c r="CE635" s="883"/>
      <c r="CF635" s="883"/>
      <c r="CG635" s="883"/>
      <c r="CH635" s="883"/>
      <c r="CI635" s="883"/>
      <c r="CJ635" s="883"/>
      <c r="CK635" s="883"/>
      <c r="CL635" s="883"/>
      <c r="CM635" s="883"/>
      <c r="CN635" s="883"/>
      <c r="CO635" s="883"/>
      <c r="CP635" s="883"/>
      <c r="CQ635" s="883"/>
      <c r="CR635" s="883"/>
      <c r="CS635" s="883"/>
      <c r="CT635" s="883"/>
      <c r="CU635" s="883"/>
      <c r="CV635" s="863"/>
      <c r="CW635" s="863"/>
      <c r="CX635" s="863"/>
      <c r="CY635" s="863"/>
      <c r="CZ635" s="863"/>
      <c r="DA635" s="863"/>
      <c r="DB635" s="863"/>
      <c r="DC635" s="863"/>
      <c r="DD635" s="863"/>
      <c r="DE635" s="863"/>
    </row>
    <row r="636">
      <c r="A636" s="876"/>
      <c r="B636" s="876"/>
      <c r="C636" s="876"/>
      <c r="D636" s="876"/>
      <c r="E636" s="876"/>
      <c r="F636" s="876"/>
      <c r="G636" s="876"/>
      <c r="H636" s="876"/>
      <c r="I636" s="876"/>
      <c r="J636" s="876"/>
      <c r="K636" s="876"/>
      <c r="L636" s="876"/>
      <c r="M636" s="876"/>
      <c r="N636" s="877"/>
      <c r="O636" s="876"/>
      <c r="P636" s="876"/>
      <c r="Q636" s="876"/>
      <c r="R636" s="876"/>
      <c r="S636" s="876"/>
      <c r="T636" s="876"/>
      <c r="U636" s="876"/>
      <c r="V636" s="876"/>
      <c r="W636" s="876"/>
      <c r="X636" s="876"/>
      <c r="Y636" s="876"/>
      <c r="Z636" s="876"/>
      <c r="AA636" s="876"/>
      <c r="AB636" s="876"/>
      <c r="AC636" s="876"/>
      <c r="AD636" s="876"/>
      <c r="AE636" s="876"/>
      <c r="AF636" s="876"/>
      <c r="AG636" s="876"/>
      <c r="AH636" s="876"/>
      <c r="AI636" s="878"/>
      <c r="AJ636" s="880"/>
      <c r="AK636" s="880"/>
      <c r="AL636" s="880"/>
      <c r="AM636" s="880"/>
      <c r="AN636" s="880"/>
      <c r="AO636" s="880"/>
      <c r="AP636" s="880"/>
      <c r="AQ636" s="880"/>
      <c r="AR636" s="880"/>
      <c r="AS636" s="880"/>
      <c r="AT636" s="880"/>
      <c r="AU636" s="880"/>
      <c r="AV636" s="880"/>
      <c r="AW636" s="881"/>
      <c r="AX636" s="863"/>
      <c r="AY636" s="863"/>
      <c r="AZ636" s="863"/>
      <c r="BA636" s="863"/>
      <c r="BB636" s="863"/>
      <c r="BC636" s="863"/>
      <c r="BD636" s="863"/>
      <c r="BE636" s="863"/>
      <c r="BF636" s="863"/>
      <c r="BG636" s="863"/>
      <c r="BH636" s="863"/>
      <c r="BI636" s="863"/>
      <c r="BJ636" s="863"/>
      <c r="BK636" s="863"/>
      <c r="BL636" s="863"/>
      <c r="BM636" s="863"/>
      <c r="BN636" s="863"/>
      <c r="BO636" s="863"/>
      <c r="BP636" s="880"/>
      <c r="BQ636" s="863"/>
      <c r="BR636" s="883"/>
      <c r="BS636" s="883"/>
      <c r="BT636" s="883"/>
      <c r="BU636" s="883"/>
      <c r="BV636" s="883"/>
      <c r="BW636" s="883"/>
      <c r="BX636" s="883"/>
      <c r="BY636" s="883"/>
      <c r="BZ636" s="883"/>
      <c r="CA636" s="883"/>
      <c r="CB636" s="883"/>
      <c r="CC636" s="883"/>
      <c r="CD636" s="884"/>
      <c r="CE636" s="883"/>
      <c r="CF636" s="883"/>
      <c r="CG636" s="883"/>
      <c r="CH636" s="883"/>
      <c r="CI636" s="883"/>
      <c r="CJ636" s="883"/>
      <c r="CK636" s="883"/>
      <c r="CL636" s="883"/>
      <c r="CM636" s="883"/>
      <c r="CN636" s="883"/>
      <c r="CO636" s="883"/>
      <c r="CP636" s="883"/>
      <c r="CQ636" s="883"/>
      <c r="CR636" s="883"/>
      <c r="CS636" s="883"/>
      <c r="CT636" s="883"/>
      <c r="CU636" s="883"/>
      <c r="CV636" s="863"/>
      <c r="CW636" s="863"/>
      <c r="CX636" s="863"/>
      <c r="CY636" s="863"/>
      <c r="CZ636" s="863"/>
      <c r="DA636" s="863"/>
      <c r="DB636" s="863"/>
      <c r="DC636" s="863"/>
      <c r="DD636" s="863"/>
      <c r="DE636" s="863"/>
    </row>
    <row r="637">
      <c r="A637" s="876"/>
      <c r="B637" s="876"/>
      <c r="C637" s="876"/>
      <c r="D637" s="876"/>
      <c r="E637" s="876"/>
      <c r="F637" s="876"/>
      <c r="G637" s="876"/>
      <c r="H637" s="876"/>
      <c r="I637" s="876"/>
      <c r="J637" s="876"/>
      <c r="K637" s="876"/>
      <c r="L637" s="876"/>
      <c r="M637" s="876"/>
      <c r="N637" s="877"/>
      <c r="O637" s="876"/>
      <c r="P637" s="876"/>
      <c r="Q637" s="876"/>
      <c r="R637" s="876"/>
      <c r="S637" s="876"/>
      <c r="T637" s="876"/>
      <c r="U637" s="876"/>
      <c r="V637" s="876"/>
      <c r="W637" s="876"/>
      <c r="X637" s="876"/>
      <c r="Y637" s="876"/>
      <c r="Z637" s="876"/>
      <c r="AA637" s="876"/>
      <c r="AB637" s="876"/>
      <c r="AC637" s="876"/>
      <c r="AD637" s="876"/>
      <c r="AE637" s="876"/>
      <c r="AF637" s="876"/>
      <c r="AG637" s="876"/>
      <c r="AH637" s="876"/>
      <c r="AI637" s="878"/>
      <c r="AJ637" s="880"/>
      <c r="AK637" s="880"/>
      <c r="AL637" s="880"/>
      <c r="AM637" s="880"/>
      <c r="AN637" s="880"/>
      <c r="AO637" s="880"/>
      <c r="AP637" s="880"/>
      <c r="AQ637" s="880"/>
      <c r="AR637" s="880"/>
      <c r="AS637" s="880"/>
      <c r="AT637" s="880"/>
      <c r="AU637" s="880"/>
      <c r="AV637" s="880"/>
      <c r="AW637" s="881"/>
      <c r="AX637" s="863"/>
      <c r="AY637" s="863"/>
      <c r="AZ637" s="863"/>
      <c r="BA637" s="863"/>
      <c r="BB637" s="863"/>
      <c r="BC637" s="863"/>
      <c r="BD637" s="863"/>
      <c r="BE637" s="863"/>
      <c r="BF637" s="863"/>
      <c r="BG637" s="863"/>
      <c r="BH637" s="863"/>
      <c r="BI637" s="863"/>
      <c r="BJ637" s="863"/>
      <c r="BK637" s="863"/>
      <c r="BL637" s="863"/>
      <c r="BM637" s="863"/>
      <c r="BN637" s="863"/>
      <c r="BO637" s="863"/>
      <c r="BP637" s="880"/>
      <c r="BQ637" s="863"/>
      <c r="BR637" s="883"/>
      <c r="BS637" s="883"/>
      <c r="BT637" s="883"/>
      <c r="BU637" s="883"/>
      <c r="BV637" s="883"/>
      <c r="BW637" s="883"/>
      <c r="BX637" s="883"/>
      <c r="BY637" s="883"/>
      <c r="BZ637" s="883"/>
      <c r="CA637" s="883"/>
      <c r="CB637" s="883"/>
      <c r="CC637" s="883"/>
      <c r="CD637" s="884"/>
      <c r="CE637" s="883"/>
      <c r="CF637" s="883"/>
      <c r="CG637" s="883"/>
      <c r="CH637" s="883"/>
      <c r="CI637" s="883"/>
      <c r="CJ637" s="883"/>
      <c r="CK637" s="883"/>
      <c r="CL637" s="883"/>
      <c r="CM637" s="883"/>
      <c r="CN637" s="883"/>
      <c r="CO637" s="883"/>
      <c r="CP637" s="883"/>
      <c r="CQ637" s="883"/>
      <c r="CR637" s="883"/>
      <c r="CS637" s="883"/>
      <c r="CT637" s="883"/>
      <c r="CU637" s="883"/>
      <c r="CV637" s="863"/>
      <c r="CW637" s="863"/>
      <c r="CX637" s="863"/>
      <c r="CY637" s="863"/>
      <c r="CZ637" s="863"/>
      <c r="DA637" s="863"/>
      <c r="DB637" s="863"/>
      <c r="DC637" s="863"/>
      <c r="DD637" s="863"/>
      <c r="DE637" s="863"/>
    </row>
    <row r="638">
      <c r="A638" s="876"/>
      <c r="B638" s="876"/>
      <c r="C638" s="876"/>
      <c r="D638" s="876"/>
      <c r="E638" s="876"/>
      <c r="F638" s="876"/>
      <c r="G638" s="876"/>
      <c r="H638" s="876"/>
      <c r="I638" s="876"/>
      <c r="J638" s="876"/>
      <c r="K638" s="876"/>
      <c r="L638" s="876"/>
      <c r="M638" s="876"/>
      <c r="N638" s="877"/>
      <c r="O638" s="876"/>
      <c r="P638" s="876"/>
      <c r="Q638" s="876"/>
      <c r="R638" s="876"/>
      <c r="S638" s="876"/>
      <c r="T638" s="876"/>
      <c r="U638" s="876"/>
      <c r="V638" s="876"/>
      <c r="W638" s="876"/>
      <c r="X638" s="876"/>
      <c r="Y638" s="876"/>
      <c r="Z638" s="876"/>
      <c r="AA638" s="876"/>
      <c r="AB638" s="876"/>
      <c r="AC638" s="876"/>
      <c r="AD638" s="876"/>
      <c r="AE638" s="876"/>
      <c r="AF638" s="876"/>
      <c r="AG638" s="876"/>
      <c r="AH638" s="876"/>
      <c r="AI638" s="878"/>
      <c r="AJ638" s="880"/>
      <c r="AK638" s="880"/>
      <c r="AL638" s="880"/>
      <c r="AM638" s="880"/>
      <c r="AN638" s="880"/>
      <c r="AO638" s="880"/>
      <c r="AP638" s="880"/>
      <c r="AQ638" s="880"/>
      <c r="AR638" s="880"/>
      <c r="AS638" s="880"/>
      <c r="AT638" s="880"/>
      <c r="AU638" s="880"/>
      <c r="AV638" s="880"/>
      <c r="AW638" s="881"/>
      <c r="AX638" s="863"/>
      <c r="AY638" s="863"/>
      <c r="AZ638" s="863"/>
      <c r="BA638" s="863"/>
      <c r="BB638" s="863"/>
      <c r="BC638" s="863"/>
      <c r="BD638" s="863"/>
      <c r="BE638" s="863"/>
      <c r="BF638" s="863"/>
      <c r="BG638" s="863"/>
      <c r="BH638" s="863"/>
      <c r="BI638" s="863"/>
      <c r="BJ638" s="863"/>
      <c r="BK638" s="863"/>
      <c r="BL638" s="863"/>
      <c r="BM638" s="863"/>
      <c r="BN638" s="863"/>
      <c r="BO638" s="863"/>
      <c r="BP638" s="880"/>
      <c r="BQ638" s="863"/>
      <c r="BR638" s="883"/>
      <c r="BS638" s="883"/>
      <c r="BT638" s="883"/>
      <c r="BU638" s="883"/>
      <c r="BV638" s="883"/>
      <c r="BW638" s="883"/>
      <c r="BX638" s="883"/>
      <c r="BY638" s="883"/>
      <c r="BZ638" s="883"/>
      <c r="CA638" s="883"/>
      <c r="CB638" s="883"/>
      <c r="CC638" s="883"/>
      <c r="CD638" s="884"/>
      <c r="CE638" s="883"/>
      <c r="CF638" s="883"/>
      <c r="CG638" s="883"/>
      <c r="CH638" s="883"/>
      <c r="CI638" s="883"/>
      <c r="CJ638" s="883"/>
      <c r="CK638" s="883"/>
      <c r="CL638" s="883"/>
      <c r="CM638" s="883"/>
      <c r="CN638" s="883"/>
      <c r="CO638" s="883"/>
      <c r="CP638" s="883"/>
      <c r="CQ638" s="883"/>
      <c r="CR638" s="883"/>
      <c r="CS638" s="883"/>
      <c r="CT638" s="883"/>
      <c r="CU638" s="883"/>
      <c r="CV638" s="863"/>
      <c r="CW638" s="863"/>
      <c r="CX638" s="863"/>
      <c r="CY638" s="863"/>
      <c r="CZ638" s="863"/>
      <c r="DA638" s="863"/>
      <c r="DB638" s="863"/>
      <c r="DC638" s="863"/>
      <c r="DD638" s="863"/>
      <c r="DE638" s="863"/>
    </row>
    <row r="639">
      <c r="A639" s="876"/>
      <c r="B639" s="876"/>
      <c r="C639" s="876"/>
      <c r="D639" s="876"/>
      <c r="E639" s="876"/>
      <c r="F639" s="876"/>
      <c r="G639" s="876"/>
      <c r="H639" s="876"/>
      <c r="I639" s="876"/>
      <c r="J639" s="876"/>
      <c r="K639" s="876"/>
      <c r="L639" s="876"/>
      <c r="M639" s="876"/>
      <c r="N639" s="877"/>
      <c r="O639" s="876"/>
      <c r="P639" s="876"/>
      <c r="Q639" s="876"/>
      <c r="R639" s="876"/>
      <c r="S639" s="876"/>
      <c r="T639" s="876"/>
      <c r="U639" s="876"/>
      <c r="V639" s="876"/>
      <c r="W639" s="876"/>
      <c r="X639" s="876"/>
      <c r="Y639" s="876"/>
      <c r="Z639" s="876"/>
      <c r="AA639" s="876"/>
      <c r="AB639" s="876"/>
      <c r="AC639" s="876"/>
      <c r="AD639" s="876"/>
      <c r="AE639" s="876"/>
      <c r="AF639" s="876"/>
      <c r="AG639" s="876"/>
      <c r="AH639" s="876"/>
      <c r="AI639" s="878"/>
      <c r="AJ639" s="880"/>
      <c r="AK639" s="880"/>
      <c r="AL639" s="880"/>
      <c r="AM639" s="880"/>
      <c r="AN639" s="880"/>
      <c r="AO639" s="880"/>
      <c r="AP639" s="880"/>
      <c r="AQ639" s="880"/>
      <c r="AR639" s="880"/>
      <c r="AS639" s="880"/>
      <c r="AT639" s="880"/>
      <c r="AU639" s="880"/>
      <c r="AV639" s="880"/>
      <c r="AW639" s="881"/>
      <c r="AX639" s="863"/>
      <c r="AY639" s="863"/>
      <c r="AZ639" s="863"/>
      <c r="BA639" s="863"/>
      <c r="BB639" s="863"/>
      <c r="BC639" s="863"/>
      <c r="BD639" s="863"/>
      <c r="BE639" s="863"/>
      <c r="BF639" s="863"/>
      <c r="BG639" s="863"/>
      <c r="BH639" s="863"/>
      <c r="BI639" s="863"/>
      <c r="BJ639" s="863"/>
      <c r="BK639" s="863"/>
      <c r="BL639" s="863"/>
      <c r="BM639" s="863"/>
      <c r="BN639" s="863"/>
      <c r="BO639" s="863"/>
      <c r="BP639" s="880"/>
      <c r="BQ639" s="863"/>
      <c r="BR639" s="883"/>
      <c r="BS639" s="883"/>
      <c r="BT639" s="883"/>
      <c r="BU639" s="883"/>
      <c r="BV639" s="883"/>
      <c r="BW639" s="883"/>
      <c r="BX639" s="883"/>
      <c r="BY639" s="883"/>
      <c r="BZ639" s="883"/>
      <c r="CA639" s="883"/>
      <c r="CB639" s="883"/>
      <c r="CC639" s="883"/>
      <c r="CD639" s="884"/>
      <c r="CE639" s="883"/>
      <c r="CF639" s="883"/>
      <c r="CG639" s="883"/>
      <c r="CH639" s="883"/>
      <c r="CI639" s="883"/>
      <c r="CJ639" s="883"/>
      <c r="CK639" s="883"/>
      <c r="CL639" s="883"/>
      <c r="CM639" s="883"/>
      <c r="CN639" s="883"/>
      <c r="CO639" s="883"/>
      <c r="CP639" s="883"/>
      <c r="CQ639" s="883"/>
      <c r="CR639" s="883"/>
      <c r="CS639" s="883"/>
      <c r="CT639" s="883"/>
      <c r="CU639" s="883"/>
      <c r="CV639" s="863"/>
      <c r="CW639" s="863"/>
      <c r="CX639" s="863"/>
      <c r="CY639" s="863"/>
      <c r="CZ639" s="863"/>
      <c r="DA639" s="863"/>
      <c r="DB639" s="863"/>
      <c r="DC639" s="863"/>
      <c r="DD639" s="863"/>
      <c r="DE639" s="863"/>
    </row>
    <row r="640">
      <c r="A640" s="876"/>
      <c r="B640" s="876"/>
      <c r="C640" s="876"/>
      <c r="D640" s="876"/>
      <c r="E640" s="876"/>
      <c r="F640" s="876"/>
      <c r="G640" s="876"/>
      <c r="H640" s="876"/>
      <c r="I640" s="876"/>
      <c r="J640" s="876"/>
      <c r="K640" s="876"/>
      <c r="L640" s="876"/>
      <c r="M640" s="876"/>
      <c r="N640" s="877"/>
      <c r="O640" s="876"/>
      <c r="P640" s="876"/>
      <c r="Q640" s="876"/>
      <c r="R640" s="876"/>
      <c r="S640" s="876"/>
      <c r="T640" s="876"/>
      <c r="U640" s="876"/>
      <c r="V640" s="876"/>
      <c r="W640" s="876"/>
      <c r="X640" s="876"/>
      <c r="Y640" s="876"/>
      <c r="Z640" s="876"/>
      <c r="AA640" s="876"/>
      <c r="AB640" s="876"/>
      <c r="AC640" s="876"/>
      <c r="AD640" s="876"/>
      <c r="AE640" s="876"/>
      <c r="AF640" s="876"/>
      <c r="AG640" s="876"/>
      <c r="AH640" s="876"/>
      <c r="AI640" s="878"/>
      <c r="AJ640" s="880"/>
      <c r="AK640" s="880"/>
      <c r="AL640" s="880"/>
      <c r="AM640" s="880"/>
      <c r="AN640" s="880"/>
      <c r="AO640" s="880"/>
      <c r="AP640" s="880"/>
      <c r="AQ640" s="880"/>
      <c r="AR640" s="880"/>
      <c r="AS640" s="880"/>
      <c r="AT640" s="880"/>
      <c r="AU640" s="880"/>
      <c r="AV640" s="880"/>
      <c r="AW640" s="881"/>
      <c r="AX640" s="863"/>
      <c r="AY640" s="863"/>
      <c r="AZ640" s="863"/>
      <c r="BA640" s="863"/>
      <c r="BB640" s="863"/>
      <c r="BC640" s="863"/>
      <c r="BD640" s="863"/>
      <c r="BE640" s="863"/>
      <c r="BF640" s="863"/>
      <c r="BG640" s="863"/>
      <c r="BH640" s="863"/>
      <c r="BI640" s="863"/>
      <c r="BJ640" s="863"/>
      <c r="BK640" s="863"/>
      <c r="BL640" s="863"/>
      <c r="BM640" s="863"/>
      <c r="BN640" s="863"/>
      <c r="BO640" s="863"/>
      <c r="BP640" s="880"/>
      <c r="BQ640" s="863"/>
      <c r="BR640" s="883"/>
      <c r="BS640" s="883"/>
      <c r="BT640" s="883"/>
      <c r="BU640" s="883"/>
      <c r="BV640" s="883"/>
      <c r="BW640" s="883"/>
      <c r="BX640" s="883"/>
      <c r="BY640" s="883"/>
      <c r="BZ640" s="883"/>
      <c r="CA640" s="883"/>
      <c r="CB640" s="883"/>
      <c r="CC640" s="883"/>
      <c r="CD640" s="884"/>
      <c r="CE640" s="883"/>
      <c r="CF640" s="883"/>
      <c r="CG640" s="883"/>
      <c r="CH640" s="883"/>
      <c r="CI640" s="883"/>
      <c r="CJ640" s="883"/>
      <c r="CK640" s="883"/>
      <c r="CL640" s="883"/>
      <c r="CM640" s="883"/>
      <c r="CN640" s="883"/>
      <c r="CO640" s="883"/>
      <c r="CP640" s="883"/>
      <c r="CQ640" s="883"/>
      <c r="CR640" s="883"/>
      <c r="CS640" s="883"/>
      <c r="CT640" s="883"/>
      <c r="CU640" s="883"/>
      <c r="CV640" s="863"/>
      <c r="CW640" s="863"/>
      <c r="CX640" s="863"/>
      <c r="CY640" s="863"/>
      <c r="CZ640" s="863"/>
      <c r="DA640" s="863"/>
      <c r="DB640" s="863"/>
      <c r="DC640" s="863"/>
      <c r="DD640" s="863"/>
      <c r="DE640" s="863"/>
    </row>
    <row r="641">
      <c r="A641" s="876"/>
      <c r="B641" s="876"/>
      <c r="C641" s="876"/>
      <c r="D641" s="876"/>
      <c r="E641" s="876"/>
      <c r="F641" s="876"/>
      <c r="G641" s="876"/>
      <c r="H641" s="876"/>
      <c r="I641" s="876"/>
      <c r="J641" s="876"/>
      <c r="K641" s="876"/>
      <c r="L641" s="876"/>
      <c r="M641" s="876"/>
      <c r="N641" s="877"/>
      <c r="O641" s="876"/>
      <c r="P641" s="876"/>
      <c r="Q641" s="876"/>
      <c r="R641" s="876"/>
      <c r="S641" s="876"/>
      <c r="T641" s="876"/>
      <c r="U641" s="876"/>
      <c r="V641" s="876"/>
      <c r="W641" s="876"/>
      <c r="X641" s="876"/>
      <c r="Y641" s="876"/>
      <c r="Z641" s="876"/>
      <c r="AA641" s="876"/>
      <c r="AB641" s="876"/>
      <c r="AC641" s="876"/>
      <c r="AD641" s="876"/>
      <c r="AE641" s="876"/>
      <c r="AF641" s="876"/>
      <c r="AG641" s="876"/>
      <c r="AH641" s="876"/>
      <c r="AI641" s="878"/>
      <c r="AJ641" s="880"/>
      <c r="AK641" s="880"/>
      <c r="AL641" s="880"/>
      <c r="AM641" s="880"/>
      <c r="AN641" s="880"/>
      <c r="AO641" s="880"/>
      <c r="AP641" s="880"/>
      <c r="AQ641" s="880"/>
      <c r="AR641" s="880"/>
      <c r="AS641" s="880"/>
      <c r="AT641" s="880"/>
      <c r="AU641" s="880"/>
      <c r="AV641" s="880"/>
      <c r="AW641" s="881"/>
      <c r="AX641" s="863"/>
      <c r="AY641" s="863"/>
      <c r="AZ641" s="863"/>
      <c r="BA641" s="863"/>
      <c r="BB641" s="863"/>
      <c r="BC641" s="863"/>
      <c r="BD641" s="863"/>
      <c r="BE641" s="863"/>
      <c r="BF641" s="863"/>
      <c r="BG641" s="863"/>
      <c r="BH641" s="863"/>
      <c r="BI641" s="863"/>
      <c r="BJ641" s="863"/>
      <c r="BK641" s="863"/>
      <c r="BL641" s="863"/>
      <c r="BM641" s="863"/>
      <c r="BN641" s="863"/>
      <c r="BO641" s="863"/>
      <c r="BP641" s="880"/>
      <c r="BQ641" s="863"/>
      <c r="BR641" s="883"/>
      <c r="BS641" s="883"/>
      <c r="BT641" s="883"/>
      <c r="BU641" s="883"/>
      <c r="BV641" s="883"/>
      <c r="BW641" s="883"/>
      <c r="BX641" s="883"/>
      <c r="BY641" s="883"/>
      <c r="BZ641" s="883"/>
      <c r="CA641" s="883"/>
      <c r="CB641" s="883"/>
      <c r="CC641" s="883"/>
      <c r="CD641" s="884"/>
      <c r="CE641" s="883"/>
      <c r="CF641" s="883"/>
      <c r="CG641" s="883"/>
      <c r="CH641" s="883"/>
      <c r="CI641" s="883"/>
      <c r="CJ641" s="883"/>
      <c r="CK641" s="883"/>
      <c r="CL641" s="883"/>
      <c r="CM641" s="883"/>
      <c r="CN641" s="883"/>
      <c r="CO641" s="883"/>
      <c r="CP641" s="883"/>
      <c r="CQ641" s="883"/>
      <c r="CR641" s="883"/>
      <c r="CS641" s="883"/>
      <c r="CT641" s="883"/>
      <c r="CU641" s="883"/>
      <c r="CV641" s="863"/>
      <c r="CW641" s="863"/>
      <c r="CX641" s="863"/>
      <c r="CY641" s="863"/>
      <c r="CZ641" s="863"/>
      <c r="DA641" s="863"/>
      <c r="DB641" s="863"/>
      <c r="DC641" s="863"/>
      <c r="DD641" s="863"/>
      <c r="DE641" s="863"/>
    </row>
    <row r="642">
      <c r="A642" s="876"/>
      <c r="B642" s="876"/>
      <c r="C642" s="876"/>
      <c r="D642" s="876"/>
      <c r="E642" s="876"/>
      <c r="F642" s="876"/>
      <c r="G642" s="876"/>
      <c r="H642" s="876"/>
      <c r="I642" s="876"/>
      <c r="J642" s="876"/>
      <c r="K642" s="876"/>
      <c r="L642" s="876"/>
      <c r="M642" s="876"/>
      <c r="N642" s="877"/>
      <c r="O642" s="876"/>
      <c r="P642" s="876"/>
      <c r="Q642" s="876"/>
      <c r="R642" s="876"/>
      <c r="S642" s="876"/>
      <c r="T642" s="876"/>
      <c r="U642" s="876"/>
      <c r="V642" s="876"/>
      <c r="W642" s="876"/>
      <c r="X642" s="876"/>
      <c r="Y642" s="876"/>
      <c r="Z642" s="876"/>
      <c r="AA642" s="876"/>
      <c r="AB642" s="876"/>
      <c r="AC642" s="876"/>
      <c r="AD642" s="876"/>
      <c r="AE642" s="876"/>
      <c r="AF642" s="876"/>
      <c r="AG642" s="876"/>
      <c r="AH642" s="876"/>
      <c r="AI642" s="878"/>
      <c r="AJ642" s="880"/>
      <c r="AK642" s="880"/>
      <c r="AL642" s="880"/>
      <c r="AM642" s="880"/>
      <c r="AN642" s="880"/>
      <c r="AO642" s="880"/>
      <c r="AP642" s="880"/>
      <c r="AQ642" s="880"/>
      <c r="AR642" s="880"/>
      <c r="AS642" s="880"/>
      <c r="AT642" s="880"/>
      <c r="AU642" s="880"/>
      <c r="AV642" s="880"/>
      <c r="AW642" s="881"/>
      <c r="AX642" s="863"/>
      <c r="AY642" s="863"/>
      <c r="AZ642" s="863"/>
      <c r="BA642" s="863"/>
      <c r="BB642" s="863"/>
      <c r="BC642" s="863"/>
      <c r="BD642" s="863"/>
      <c r="BE642" s="863"/>
      <c r="BF642" s="863"/>
      <c r="BG642" s="863"/>
      <c r="BH642" s="863"/>
      <c r="BI642" s="863"/>
      <c r="BJ642" s="863"/>
      <c r="BK642" s="863"/>
      <c r="BL642" s="863"/>
      <c r="BM642" s="863"/>
      <c r="BN642" s="863"/>
      <c r="BO642" s="863"/>
      <c r="BP642" s="880"/>
      <c r="BQ642" s="863"/>
      <c r="BR642" s="883"/>
      <c r="BS642" s="883"/>
      <c r="BT642" s="883"/>
      <c r="BU642" s="883"/>
      <c r="BV642" s="883"/>
      <c r="BW642" s="883"/>
      <c r="BX642" s="883"/>
      <c r="BY642" s="883"/>
      <c r="BZ642" s="883"/>
      <c r="CA642" s="883"/>
      <c r="CB642" s="883"/>
      <c r="CC642" s="883"/>
      <c r="CD642" s="884"/>
      <c r="CE642" s="883"/>
      <c r="CF642" s="883"/>
      <c r="CG642" s="883"/>
      <c r="CH642" s="883"/>
      <c r="CI642" s="883"/>
      <c r="CJ642" s="883"/>
      <c r="CK642" s="883"/>
      <c r="CL642" s="883"/>
      <c r="CM642" s="883"/>
      <c r="CN642" s="883"/>
      <c r="CO642" s="883"/>
      <c r="CP642" s="883"/>
      <c r="CQ642" s="883"/>
      <c r="CR642" s="883"/>
      <c r="CS642" s="883"/>
      <c r="CT642" s="883"/>
      <c r="CU642" s="883"/>
      <c r="CV642" s="863"/>
      <c r="CW642" s="863"/>
      <c r="CX642" s="863"/>
      <c r="CY642" s="863"/>
      <c r="CZ642" s="863"/>
      <c r="DA642" s="863"/>
      <c r="DB642" s="863"/>
      <c r="DC642" s="863"/>
      <c r="DD642" s="863"/>
      <c r="DE642" s="863"/>
    </row>
    <row r="643">
      <c r="A643" s="876"/>
      <c r="B643" s="876"/>
      <c r="C643" s="876"/>
      <c r="D643" s="876"/>
      <c r="E643" s="876"/>
      <c r="F643" s="876"/>
      <c r="G643" s="876"/>
      <c r="H643" s="876"/>
      <c r="I643" s="876"/>
      <c r="J643" s="876"/>
      <c r="K643" s="876"/>
      <c r="L643" s="876"/>
      <c r="M643" s="876"/>
      <c r="N643" s="877"/>
      <c r="O643" s="876"/>
      <c r="P643" s="876"/>
      <c r="Q643" s="876"/>
      <c r="R643" s="876"/>
      <c r="S643" s="876"/>
      <c r="T643" s="876"/>
      <c r="U643" s="876"/>
      <c r="V643" s="876"/>
      <c r="W643" s="876"/>
      <c r="X643" s="876"/>
      <c r="Y643" s="876"/>
      <c r="Z643" s="876"/>
      <c r="AA643" s="876"/>
      <c r="AB643" s="876"/>
      <c r="AC643" s="876"/>
      <c r="AD643" s="876"/>
      <c r="AE643" s="876"/>
      <c r="AF643" s="876"/>
      <c r="AG643" s="876"/>
      <c r="AH643" s="876"/>
      <c r="AI643" s="878"/>
      <c r="AJ643" s="880"/>
      <c r="AK643" s="880"/>
      <c r="AL643" s="880"/>
      <c r="AM643" s="880"/>
      <c r="AN643" s="880"/>
      <c r="AO643" s="880"/>
      <c r="AP643" s="880"/>
      <c r="AQ643" s="880"/>
      <c r="AR643" s="880"/>
      <c r="AS643" s="880"/>
      <c r="AT643" s="880"/>
      <c r="AU643" s="880"/>
      <c r="AV643" s="880"/>
      <c r="AW643" s="881"/>
      <c r="AX643" s="863"/>
      <c r="AY643" s="863"/>
      <c r="AZ643" s="863"/>
      <c r="BA643" s="863"/>
      <c r="BB643" s="863"/>
      <c r="BC643" s="863"/>
      <c r="BD643" s="863"/>
      <c r="BE643" s="863"/>
      <c r="BF643" s="863"/>
      <c r="BG643" s="863"/>
      <c r="BH643" s="863"/>
      <c r="BI643" s="863"/>
      <c r="BJ643" s="863"/>
      <c r="BK643" s="863"/>
      <c r="BL643" s="863"/>
      <c r="BM643" s="863"/>
      <c r="BN643" s="863"/>
      <c r="BO643" s="863"/>
      <c r="BP643" s="880"/>
      <c r="BQ643" s="863"/>
      <c r="BR643" s="883"/>
      <c r="BS643" s="883"/>
      <c r="BT643" s="883"/>
      <c r="BU643" s="883"/>
      <c r="BV643" s="883"/>
      <c r="BW643" s="883"/>
      <c r="BX643" s="883"/>
      <c r="BY643" s="883"/>
      <c r="BZ643" s="883"/>
      <c r="CA643" s="883"/>
      <c r="CB643" s="883"/>
      <c r="CC643" s="883"/>
      <c r="CD643" s="884"/>
      <c r="CE643" s="883"/>
      <c r="CF643" s="883"/>
      <c r="CG643" s="883"/>
      <c r="CH643" s="883"/>
      <c r="CI643" s="883"/>
      <c r="CJ643" s="883"/>
      <c r="CK643" s="883"/>
      <c r="CL643" s="883"/>
      <c r="CM643" s="883"/>
      <c r="CN643" s="883"/>
      <c r="CO643" s="883"/>
      <c r="CP643" s="883"/>
      <c r="CQ643" s="883"/>
      <c r="CR643" s="883"/>
      <c r="CS643" s="883"/>
      <c r="CT643" s="883"/>
      <c r="CU643" s="883"/>
      <c r="CV643" s="863"/>
      <c r="CW643" s="863"/>
      <c r="CX643" s="863"/>
      <c r="CY643" s="863"/>
      <c r="CZ643" s="863"/>
      <c r="DA643" s="863"/>
      <c r="DB643" s="863"/>
      <c r="DC643" s="863"/>
      <c r="DD643" s="863"/>
      <c r="DE643" s="863"/>
    </row>
    <row r="644">
      <c r="A644" s="876"/>
      <c r="B644" s="876"/>
      <c r="C644" s="876"/>
      <c r="D644" s="876"/>
      <c r="E644" s="876"/>
      <c r="F644" s="876"/>
      <c r="G644" s="876"/>
      <c r="H644" s="876"/>
      <c r="I644" s="876"/>
      <c r="J644" s="876"/>
      <c r="K644" s="876"/>
      <c r="L644" s="876"/>
      <c r="M644" s="876"/>
      <c r="N644" s="877"/>
      <c r="O644" s="876"/>
      <c r="P644" s="876"/>
      <c r="Q644" s="876"/>
      <c r="R644" s="876"/>
      <c r="S644" s="876"/>
      <c r="T644" s="876"/>
      <c r="U644" s="876"/>
      <c r="V644" s="876"/>
      <c r="W644" s="876"/>
      <c r="X644" s="876"/>
      <c r="Y644" s="876"/>
      <c r="Z644" s="876"/>
      <c r="AA644" s="876"/>
      <c r="AB644" s="876"/>
      <c r="AC644" s="876"/>
      <c r="AD644" s="876"/>
      <c r="AE644" s="876"/>
      <c r="AF644" s="876"/>
      <c r="AG644" s="876"/>
      <c r="AH644" s="876"/>
      <c r="AI644" s="878"/>
      <c r="AJ644" s="880"/>
      <c r="AK644" s="880"/>
      <c r="AL644" s="880"/>
      <c r="AM644" s="880"/>
      <c r="AN644" s="880"/>
      <c r="AO644" s="880"/>
      <c r="AP644" s="880"/>
      <c r="AQ644" s="880"/>
      <c r="AR644" s="880"/>
      <c r="AS644" s="880"/>
      <c r="AT644" s="880"/>
      <c r="AU644" s="880"/>
      <c r="AV644" s="880"/>
      <c r="AW644" s="881"/>
      <c r="AX644" s="863"/>
      <c r="AY644" s="863"/>
      <c r="AZ644" s="863"/>
      <c r="BA644" s="863"/>
      <c r="BB644" s="863"/>
      <c r="BC644" s="863"/>
      <c r="BD644" s="863"/>
      <c r="BE644" s="863"/>
      <c r="BF644" s="863"/>
      <c r="BG644" s="863"/>
      <c r="BH644" s="863"/>
      <c r="BI644" s="863"/>
      <c r="BJ644" s="863"/>
      <c r="BK644" s="863"/>
      <c r="BL644" s="863"/>
      <c r="BM644" s="863"/>
      <c r="BN644" s="863"/>
      <c r="BO644" s="863"/>
      <c r="BP644" s="880"/>
      <c r="BQ644" s="863"/>
      <c r="BR644" s="883"/>
      <c r="BS644" s="883"/>
      <c r="BT644" s="883"/>
      <c r="BU644" s="883"/>
      <c r="BV644" s="883"/>
      <c r="BW644" s="883"/>
      <c r="BX644" s="883"/>
      <c r="BY644" s="883"/>
      <c r="BZ644" s="883"/>
      <c r="CA644" s="883"/>
      <c r="CB644" s="883"/>
      <c r="CC644" s="883"/>
      <c r="CD644" s="884"/>
      <c r="CE644" s="883"/>
      <c r="CF644" s="883"/>
      <c r="CG644" s="883"/>
      <c r="CH644" s="883"/>
      <c r="CI644" s="883"/>
      <c r="CJ644" s="883"/>
      <c r="CK644" s="883"/>
      <c r="CL644" s="883"/>
      <c r="CM644" s="883"/>
      <c r="CN644" s="883"/>
      <c r="CO644" s="883"/>
      <c r="CP644" s="883"/>
      <c r="CQ644" s="883"/>
      <c r="CR644" s="883"/>
      <c r="CS644" s="883"/>
      <c r="CT644" s="883"/>
      <c r="CU644" s="883"/>
      <c r="CV644" s="863"/>
      <c r="CW644" s="863"/>
      <c r="CX644" s="863"/>
      <c r="CY644" s="863"/>
      <c r="CZ644" s="863"/>
      <c r="DA644" s="863"/>
      <c r="DB644" s="863"/>
      <c r="DC644" s="863"/>
      <c r="DD644" s="863"/>
      <c r="DE644" s="863"/>
    </row>
    <row r="645">
      <c r="A645" s="876"/>
      <c r="B645" s="876"/>
      <c r="C645" s="876"/>
      <c r="D645" s="876"/>
      <c r="E645" s="876"/>
      <c r="F645" s="876"/>
      <c r="G645" s="876"/>
      <c r="H645" s="876"/>
      <c r="I645" s="876"/>
      <c r="J645" s="876"/>
      <c r="K645" s="876"/>
      <c r="L645" s="876"/>
      <c r="M645" s="876"/>
      <c r="N645" s="877"/>
      <c r="O645" s="876"/>
      <c r="P645" s="876"/>
      <c r="Q645" s="876"/>
      <c r="R645" s="876"/>
      <c r="S645" s="876"/>
      <c r="T645" s="876"/>
      <c r="U645" s="876"/>
      <c r="V645" s="876"/>
      <c r="W645" s="876"/>
      <c r="X645" s="876"/>
      <c r="Y645" s="876"/>
      <c r="Z645" s="876"/>
      <c r="AA645" s="876"/>
      <c r="AB645" s="876"/>
      <c r="AC645" s="876"/>
      <c r="AD645" s="876"/>
      <c r="AE645" s="876"/>
      <c r="AF645" s="876"/>
      <c r="AG645" s="876"/>
      <c r="AH645" s="876"/>
      <c r="AI645" s="878"/>
      <c r="AJ645" s="880"/>
      <c r="AK645" s="880"/>
      <c r="AL645" s="880"/>
      <c r="AM645" s="880"/>
      <c r="AN645" s="880"/>
      <c r="AO645" s="880"/>
      <c r="AP645" s="880"/>
      <c r="AQ645" s="880"/>
      <c r="AR645" s="880"/>
      <c r="AS645" s="880"/>
      <c r="AT645" s="880"/>
      <c r="AU645" s="880"/>
      <c r="AV645" s="880"/>
      <c r="AW645" s="881"/>
      <c r="AX645" s="863"/>
      <c r="AY645" s="863"/>
      <c r="AZ645" s="863"/>
      <c r="BA645" s="863"/>
      <c r="BB645" s="863"/>
      <c r="BC645" s="863"/>
      <c r="BD645" s="863"/>
      <c r="BE645" s="863"/>
      <c r="BF645" s="863"/>
      <c r="BG645" s="863"/>
      <c r="BH645" s="863"/>
      <c r="BI645" s="863"/>
      <c r="BJ645" s="863"/>
      <c r="BK645" s="863"/>
      <c r="BL645" s="863"/>
      <c r="BM645" s="863"/>
      <c r="BN645" s="863"/>
      <c r="BO645" s="863"/>
      <c r="BP645" s="880"/>
      <c r="BQ645" s="863"/>
      <c r="BR645" s="883"/>
      <c r="BS645" s="883"/>
      <c r="BT645" s="883"/>
      <c r="BU645" s="883"/>
      <c r="BV645" s="883"/>
      <c r="BW645" s="883"/>
      <c r="BX645" s="883"/>
      <c r="BY645" s="883"/>
      <c r="BZ645" s="883"/>
      <c r="CA645" s="883"/>
      <c r="CB645" s="883"/>
      <c r="CC645" s="883"/>
      <c r="CD645" s="884"/>
      <c r="CE645" s="883"/>
      <c r="CF645" s="883"/>
      <c r="CG645" s="883"/>
      <c r="CH645" s="883"/>
      <c r="CI645" s="883"/>
      <c r="CJ645" s="883"/>
      <c r="CK645" s="883"/>
      <c r="CL645" s="883"/>
      <c r="CM645" s="883"/>
      <c r="CN645" s="883"/>
      <c r="CO645" s="883"/>
      <c r="CP645" s="883"/>
      <c r="CQ645" s="883"/>
      <c r="CR645" s="883"/>
      <c r="CS645" s="883"/>
      <c r="CT645" s="883"/>
      <c r="CU645" s="883"/>
      <c r="CV645" s="863"/>
      <c r="CW645" s="863"/>
      <c r="CX645" s="863"/>
      <c r="CY645" s="863"/>
      <c r="CZ645" s="863"/>
      <c r="DA645" s="863"/>
      <c r="DB645" s="863"/>
      <c r="DC645" s="863"/>
      <c r="DD645" s="863"/>
      <c r="DE645" s="863"/>
    </row>
    <row r="646">
      <c r="A646" s="876"/>
      <c r="B646" s="876"/>
      <c r="C646" s="876"/>
      <c r="D646" s="876"/>
      <c r="E646" s="876"/>
      <c r="F646" s="876"/>
      <c r="G646" s="876"/>
      <c r="H646" s="876"/>
      <c r="I646" s="876"/>
      <c r="J646" s="876"/>
      <c r="K646" s="876"/>
      <c r="L646" s="876"/>
      <c r="M646" s="876"/>
      <c r="N646" s="877"/>
      <c r="O646" s="876"/>
      <c r="P646" s="876"/>
      <c r="Q646" s="876"/>
      <c r="R646" s="876"/>
      <c r="S646" s="876"/>
      <c r="T646" s="876"/>
      <c r="U646" s="876"/>
      <c r="V646" s="876"/>
      <c r="W646" s="876"/>
      <c r="X646" s="876"/>
      <c r="Y646" s="876"/>
      <c r="Z646" s="876"/>
      <c r="AA646" s="876"/>
      <c r="AB646" s="876"/>
      <c r="AC646" s="876"/>
      <c r="AD646" s="876"/>
      <c r="AE646" s="876"/>
      <c r="AF646" s="876"/>
      <c r="AG646" s="876"/>
      <c r="AH646" s="876"/>
      <c r="AI646" s="878"/>
      <c r="AJ646" s="880"/>
      <c r="AK646" s="880"/>
      <c r="AL646" s="880"/>
      <c r="AM646" s="880"/>
      <c r="AN646" s="880"/>
      <c r="AO646" s="880"/>
      <c r="AP646" s="880"/>
      <c r="AQ646" s="880"/>
      <c r="AR646" s="880"/>
      <c r="AS646" s="880"/>
      <c r="AT646" s="880"/>
      <c r="AU646" s="880"/>
      <c r="AV646" s="880"/>
      <c r="AW646" s="881"/>
      <c r="AX646" s="863"/>
      <c r="AY646" s="863"/>
      <c r="AZ646" s="863"/>
      <c r="BA646" s="863"/>
      <c r="BB646" s="863"/>
      <c r="BC646" s="863"/>
      <c r="BD646" s="863"/>
      <c r="BE646" s="863"/>
      <c r="BF646" s="863"/>
      <c r="BG646" s="863"/>
      <c r="BH646" s="863"/>
      <c r="BI646" s="863"/>
      <c r="BJ646" s="863"/>
      <c r="BK646" s="863"/>
      <c r="BL646" s="863"/>
      <c r="BM646" s="863"/>
      <c r="BN646" s="863"/>
      <c r="BO646" s="863"/>
      <c r="BP646" s="880"/>
      <c r="BQ646" s="863"/>
      <c r="BR646" s="883"/>
      <c r="BS646" s="883"/>
      <c r="BT646" s="883"/>
      <c r="BU646" s="883"/>
      <c r="BV646" s="883"/>
      <c r="BW646" s="883"/>
      <c r="BX646" s="883"/>
      <c r="BY646" s="883"/>
      <c r="BZ646" s="883"/>
      <c r="CA646" s="883"/>
      <c r="CB646" s="883"/>
      <c r="CC646" s="883"/>
      <c r="CD646" s="884"/>
      <c r="CE646" s="883"/>
      <c r="CF646" s="883"/>
      <c r="CG646" s="883"/>
      <c r="CH646" s="883"/>
      <c r="CI646" s="883"/>
      <c r="CJ646" s="883"/>
      <c r="CK646" s="883"/>
      <c r="CL646" s="883"/>
      <c r="CM646" s="883"/>
      <c r="CN646" s="883"/>
      <c r="CO646" s="883"/>
      <c r="CP646" s="883"/>
      <c r="CQ646" s="883"/>
      <c r="CR646" s="883"/>
      <c r="CS646" s="883"/>
      <c r="CT646" s="883"/>
      <c r="CU646" s="883"/>
      <c r="CV646" s="863"/>
      <c r="CW646" s="863"/>
      <c r="CX646" s="863"/>
      <c r="CY646" s="863"/>
      <c r="CZ646" s="863"/>
      <c r="DA646" s="863"/>
      <c r="DB646" s="863"/>
      <c r="DC646" s="863"/>
      <c r="DD646" s="863"/>
      <c r="DE646" s="863"/>
    </row>
    <row r="647">
      <c r="A647" s="876"/>
      <c r="B647" s="876"/>
      <c r="C647" s="876"/>
      <c r="D647" s="876"/>
      <c r="E647" s="876"/>
      <c r="F647" s="876"/>
      <c r="G647" s="876"/>
      <c r="H647" s="876"/>
      <c r="I647" s="876"/>
      <c r="J647" s="876"/>
      <c r="K647" s="876"/>
      <c r="L647" s="876"/>
      <c r="M647" s="876"/>
      <c r="N647" s="877"/>
      <c r="O647" s="876"/>
      <c r="P647" s="876"/>
      <c r="Q647" s="876"/>
      <c r="R647" s="876"/>
      <c r="S647" s="876"/>
      <c r="T647" s="876"/>
      <c r="U647" s="876"/>
      <c r="V647" s="876"/>
      <c r="W647" s="876"/>
      <c r="X647" s="876"/>
      <c r="Y647" s="876"/>
      <c r="Z647" s="876"/>
      <c r="AA647" s="876"/>
      <c r="AB647" s="876"/>
      <c r="AC647" s="876"/>
      <c r="AD647" s="876"/>
      <c r="AE647" s="876"/>
      <c r="AF647" s="876"/>
      <c r="AG647" s="876"/>
      <c r="AH647" s="876"/>
      <c r="AI647" s="878"/>
      <c r="AJ647" s="880"/>
      <c r="AK647" s="880"/>
      <c r="AL647" s="880"/>
      <c r="AM647" s="880"/>
      <c r="AN647" s="880"/>
      <c r="AO647" s="880"/>
      <c r="AP647" s="880"/>
      <c r="AQ647" s="880"/>
      <c r="AR647" s="880"/>
      <c r="AS647" s="880"/>
      <c r="AT647" s="880"/>
      <c r="AU647" s="880"/>
      <c r="AV647" s="880"/>
      <c r="AW647" s="881"/>
      <c r="AX647" s="863"/>
      <c r="AY647" s="863"/>
      <c r="AZ647" s="863"/>
      <c r="BA647" s="863"/>
      <c r="BB647" s="863"/>
      <c r="BC647" s="863"/>
      <c r="BD647" s="863"/>
      <c r="BE647" s="863"/>
      <c r="BF647" s="863"/>
      <c r="BG647" s="863"/>
      <c r="BH647" s="863"/>
      <c r="BI647" s="863"/>
      <c r="BJ647" s="863"/>
      <c r="BK647" s="863"/>
      <c r="BL647" s="863"/>
      <c r="BM647" s="863"/>
      <c r="BN647" s="863"/>
      <c r="BO647" s="863"/>
      <c r="BP647" s="880"/>
      <c r="BQ647" s="863"/>
      <c r="BR647" s="883"/>
      <c r="BS647" s="883"/>
      <c r="BT647" s="883"/>
      <c r="BU647" s="883"/>
      <c r="BV647" s="883"/>
      <c r="BW647" s="883"/>
      <c r="BX647" s="883"/>
      <c r="BY647" s="883"/>
      <c r="BZ647" s="883"/>
      <c r="CA647" s="883"/>
      <c r="CB647" s="883"/>
      <c r="CC647" s="883"/>
      <c r="CD647" s="884"/>
      <c r="CE647" s="883"/>
      <c r="CF647" s="883"/>
      <c r="CG647" s="883"/>
      <c r="CH647" s="883"/>
      <c r="CI647" s="883"/>
      <c r="CJ647" s="883"/>
      <c r="CK647" s="883"/>
      <c r="CL647" s="883"/>
      <c r="CM647" s="883"/>
      <c r="CN647" s="883"/>
      <c r="CO647" s="883"/>
      <c r="CP647" s="883"/>
      <c r="CQ647" s="883"/>
      <c r="CR647" s="883"/>
      <c r="CS647" s="883"/>
      <c r="CT647" s="883"/>
      <c r="CU647" s="883"/>
      <c r="CV647" s="863"/>
      <c r="CW647" s="863"/>
      <c r="CX647" s="863"/>
      <c r="CY647" s="863"/>
      <c r="CZ647" s="863"/>
      <c r="DA647" s="863"/>
      <c r="DB647" s="863"/>
      <c r="DC647" s="863"/>
      <c r="DD647" s="863"/>
      <c r="DE647" s="863"/>
    </row>
    <row r="648">
      <c r="A648" s="876"/>
      <c r="B648" s="876"/>
      <c r="C648" s="876"/>
      <c r="D648" s="876"/>
      <c r="E648" s="876"/>
      <c r="F648" s="876"/>
      <c r="G648" s="876"/>
      <c r="H648" s="876"/>
      <c r="I648" s="876"/>
      <c r="J648" s="876"/>
      <c r="K648" s="876"/>
      <c r="L648" s="876"/>
      <c r="M648" s="876"/>
      <c r="N648" s="877"/>
      <c r="O648" s="876"/>
      <c r="P648" s="876"/>
      <c r="Q648" s="876"/>
      <c r="R648" s="876"/>
      <c r="S648" s="876"/>
      <c r="T648" s="876"/>
      <c r="U648" s="876"/>
      <c r="V648" s="876"/>
      <c r="W648" s="876"/>
      <c r="X648" s="876"/>
      <c r="Y648" s="876"/>
      <c r="Z648" s="876"/>
      <c r="AA648" s="876"/>
      <c r="AB648" s="876"/>
      <c r="AC648" s="876"/>
      <c r="AD648" s="876"/>
      <c r="AE648" s="876"/>
      <c r="AF648" s="876"/>
      <c r="AG648" s="876"/>
      <c r="AH648" s="876"/>
      <c r="AI648" s="878"/>
      <c r="AJ648" s="880"/>
      <c r="AK648" s="880"/>
      <c r="AL648" s="880"/>
      <c r="AM648" s="880"/>
      <c r="AN648" s="880"/>
      <c r="AO648" s="880"/>
      <c r="AP648" s="880"/>
      <c r="AQ648" s="880"/>
      <c r="AR648" s="880"/>
      <c r="AS648" s="880"/>
      <c r="AT648" s="880"/>
      <c r="AU648" s="880"/>
      <c r="AV648" s="880"/>
      <c r="AW648" s="881"/>
      <c r="AX648" s="863"/>
      <c r="AY648" s="863"/>
      <c r="AZ648" s="863"/>
      <c r="BA648" s="863"/>
      <c r="BB648" s="863"/>
      <c r="BC648" s="863"/>
      <c r="BD648" s="863"/>
      <c r="BE648" s="863"/>
      <c r="BF648" s="863"/>
      <c r="BG648" s="863"/>
      <c r="BH648" s="863"/>
      <c r="BI648" s="863"/>
      <c r="BJ648" s="863"/>
      <c r="BK648" s="863"/>
      <c r="BL648" s="863"/>
      <c r="BM648" s="863"/>
      <c r="BN648" s="863"/>
      <c r="BO648" s="863"/>
      <c r="BP648" s="880"/>
      <c r="BQ648" s="863"/>
      <c r="BR648" s="883"/>
      <c r="BS648" s="883"/>
      <c r="BT648" s="883"/>
      <c r="BU648" s="883"/>
      <c r="BV648" s="883"/>
      <c r="BW648" s="883"/>
      <c r="BX648" s="883"/>
      <c r="BY648" s="883"/>
      <c r="BZ648" s="883"/>
      <c r="CA648" s="883"/>
      <c r="CB648" s="883"/>
      <c r="CC648" s="883"/>
      <c r="CD648" s="884"/>
      <c r="CE648" s="883"/>
      <c r="CF648" s="883"/>
      <c r="CG648" s="883"/>
      <c r="CH648" s="883"/>
      <c r="CI648" s="883"/>
      <c r="CJ648" s="883"/>
      <c r="CK648" s="883"/>
      <c r="CL648" s="883"/>
      <c r="CM648" s="883"/>
      <c r="CN648" s="883"/>
      <c r="CO648" s="883"/>
      <c r="CP648" s="883"/>
      <c r="CQ648" s="883"/>
      <c r="CR648" s="883"/>
      <c r="CS648" s="883"/>
      <c r="CT648" s="883"/>
      <c r="CU648" s="883"/>
      <c r="CV648" s="863"/>
      <c r="CW648" s="863"/>
      <c r="CX648" s="863"/>
      <c r="CY648" s="863"/>
      <c r="CZ648" s="863"/>
      <c r="DA648" s="863"/>
      <c r="DB648" s="863"/>
      <c r="DC648" s="863"/>
      <c r="DD648" s="863"/>
      <c r="DE648" s="863"/>
    </row>
    <row r="649">
      <c r="A649" s="876"/>
      <c r="B649" s="876"/>
      <c r="C649" s="876"/>
      <c r="D649" s="876"/>
      <c r="E649" s="876"/>
      <c r="F649" s="876"/>
      <c r="G649" s="876"/>
      <c r="H649" s="876"/>
      <c r="I649" s="876"/>
      <c r="J649" s="876"/>
      <c r="K649" s="876"/>
      <c r="L649" s="876"/>
      <c r="M649" s="876"/>
      <c r="N649" s="877"/>
      <c r="O649" s="876"/>
      <c r="P649" s="876"/>
      <c r="Q649" s="876"/>
      <c r="R649" s="876"/>
      <c r="S649" s="876"/>
      <c r="T649" s="876"/>
      <c r="U649" s="876"/>
      <c r="V649" s="876"/>
      <c r="W649" s="876"/>
      <c r="X649" s="876"/>
      <c r="Y649" s="876"/>
      <c r="Z649" s="876"/>
      <c r="AA649" s="876"/>
      <c r="AB649" s="876"/>
      <c r="AC649" s="876"/>
      <c r="AD649" s="876"/>
      <c r="AE649" s="876"/>
      <c r="AF649" s="876"/>
      <c r="AG649" s="876"/>
      <c r="AH649" s="876"/>
      <c r="AI649" s="878"/>
      <c r="AJ649" s="880"/>
      <c r="AK649" s="880"/>
      <c r="AL649" s="880"/>
      <c r="AM649" s="880"/>
      <c r="AN649" s="880"/>
      <c r="AO649" s="880"/>
      <c r="AP649" s="880"/>
      <c r="AQ649" s="880"/>
      <c r="AR649" s="880"/>
      <c r="AS649" s="880"/>
      <c r="AT649" s="880"/>
      <c r="AU649" s="880"/>
      <c r="AV649" s="880"/>
      <c r="AW649" s="881"/>
      <c r="AX649" s="863"/>
      <c r="AY649" s="863"/>
      <c r="AZ649" s="863"/>
      <c r="BA649" s="863"/>
      <c r="BB649" s="863"/>
      <c r="BC649" s="863"/>
      <c r="BD649" s="863"/>
      <c r="BE649" s="863"/>
      <c r="BF649" s="863"/>
      <c r="BG649" s="863"/>
      <c r="BH649" s="863"/>
      <c r="BI649" s="863"/>
      <c r="BJ649" s="863"/>
      <c r="BK649" s="863"/>
      <c r="BL649" s="863"/>
      <c r="BM649" s="863"/>
      <c r="BN649" s="863"/>
      <c r="BO649" s="863"/>
      <c r="BP649" s="880"/>
      <c r="BQ649" s="863"/>
      <c r="BR649" s="883"/>
      <c r="BS649" s="883"/>
      <c r="BT649" s="883"/>
      <c r="BU649" s="883"/>
      <c r="BV649" s="883"/>
      <c r="BW649" s="883"/>
      <c r="BX649" s="883"/>
      <c r="BY649" s="883"/>
      <c r="BZ649" s="883"/>
      <c r="CA649" s="883"/>
      <c r="CB649" s="883"/>
      <c r="CC649" s="883"/>
      <c r="CD649" s="884"/>
      <c r="CE649" s="883"/>
      <c r="CF649" s="883"/>
      <c r="CG649" s="883"/>
      <c r="CH649" s="883"/>
      <c r="CI649" s="883"/>
      <c r="CJ649" s="883"/>
      <c r="CK649" s="883"/>
      <c r="CL649" s="883"/>
      <c r="CM649" s="883"/>
      <c r="CN649" s="883"/>
      <c r="CO649" s="883"/>
      <c r="CP649" s="883"/>
      <c r="CQ649" s="883"/>
      <c r="CR649" s="883"/>
      <c r="CS649" s="883"/>
      <c r="CT649" s="883"/>
      <c r="CU649" s="883"/>
      <c r="CV649" s="863"/>
      <c r="CW649" s="863"/>
      <c r="CX649" s="863"/>
      <c r="CY649" s="863"/>
      <c r="CZ649" s="863"/>
      <c r="DA649" s="863"/>
      <c r="DB649" s="863"/>
      <c r="DC649" s="863"/>
      <c r="DD649" s="863"/>
      <c r="DE649" s="863"/>
    </row>
    <row r="650">
      <c r="A650" s="876"/>
      <c r="B650" s="876"/>
      <c r="C650" s="876"/>
      <c r="D650" s="876"/>
      <c r="E650" s="876"/>
      <c r="F650" s="876"/>
      <c r="G650" s="876"/>
      <c r="H650" s="876"/>
      <c r="I650" s="876"/>
      <c r="J650" s="876"/>
      <c r="K650" s="876"/>
      <c r="L650" s="876"/>
      <c r="M650" s="876"/>
      <c r="N650" s="877"/>
      <c r="O650" s="876"/>
      <c r="P650" s="876"/>
      <c r="Q650" s="876"/>
      <c r="R650" s="876"/>
      <c r="S650" s="876"/>
      <c r="T650" s="876"/>
      <c r="U650" s="876"/>
      <c r="V650" s="876"/>
      <c r="W650" s="876"/>
      <c r="X650" s="876"/>
      <c r="Y650" s="876"/>
      <c r="Z650" s="876"/>
      <c r="AA650" s="876"/>
      <c r="AB650" s="876"/>
      <c r="AC650" s="876"/>
      <c r="AD650" s="876"/>
      <c r="AE650" s="876"/>
      <c r="AF650" s="876"/>
      <c r="AG650" s="876"/>
      <c r="AH650" s="876"/>
      <c r="AI650" s="878"/>
      <c r="AJ650" s="880"/>
      <c r="AK650" s="880"/>
      <c r="AL650" s="880"/>
      <c r="AM650" s="880"/>
      <c r="AN650" s="880"/>
      <c r="AO650" s="880"/>
      <c r="AP650" s="880"/>
      <c r="AQ650" s="880"/>
      <c r="AR650" s="880"/>
      <c r="AS650" s="880"/>
      <c r="AT650" s="880"/>
      <c r="AU650" s="880"/>
      <c r="AV650" s="880"/>
      <c r="AW650" s="881"/>
      <c r="AX650" s="863"/>
      <c r="AY650" s="863"/>
      <c r="AZ650" s="863"/>
      <c r="BA650" s="863"/>
      <c r="BB650" s="863"/>
      <c r="BC650" s="863"/>
      <c r="BD650" s="863"/>
      <c r="BE650" s="863"/>
      <c r="BF650" s="863"/>
      <c r="BG650" s="863"/>
      <c r="BH650" s="863"/>
      <c r="BI650" s="863"/>
      <c r="BJ650" s="863"/>
      <c r="BK650" s="863"/>
      <c r="BL650" s="863"/>
      <c r="BM650" s="863"/>
      <c r="BN650" s="863"/>
      <c r="BO650" s="863"/>
      <c r="BP650" s="880"/>
      <c r="BQ650" s="863"/>
      <c r="BR650" s="883"/>
      <c r="BS650" s="883"/>
      <c r="BT650" s="883"/>
      <c r="BU650" s="883"/>
      <c r="BV650" s="883"/>
      <c r="BW650" s="883"/>
      <c r="BX650" s="883"/>
      <c r="BY650" s="883"/>
      <c r="BZ650" s="883"/>
      <c r="CA650" s="883"/>
      <c r="CB650" s="883"/>
      <c r="CC650" s="883"/>
      <c r="CD650" s="884"/>
      <c r="CE650" s="883"/>
      <c r="CF650" s="883"/>
      <c r="CG650" s="883"/>
      <c r="CH650" s="883"/>
      <c r="CI650" s="883"/>
      <c r="CJ650" s="883"/>
      <c r="CK650" s="883"/>
      <c r="CL650" s="883"/>
      <c r="CM650" s="883"/>
      <c r="CN650" s="883"/>
      <c r="CO650" s="883"/>
      <c r="CP650" s="883"/>
      <c r="CQ650" s="883"/>
      <c r="CR650" s="883"/>
      <c r="CS650" s="883"/>
      <c r="CT650" s="883"/>
      <c r="CU650" s="883"/>
      <c r="CV650" s="863"/>
      <c r="CW650" s="863"/>
      <c r="CX650" s="863"/>
      <c r="CY650" s="863"/>
      <c r="CZ650" s="863"/>
      <c r="DA650" s="863"/>
      <c r="DB650" s="863"/>
      <c r="DC650" s="863"/>
      <c r="DD650" s="863"/>
      <c r="DE650" s="863"/>
    </row>
    <row r="651">
      <c r="A651" s="876"/>
      <c r="B651" s="876"/>
      <c r="C651" s="876"/>
      <c r="D651" s="876"/>
      <c r="E651" s="876"/>
      <c r="F651" s="876"/>
      <c r="G651" s="876"/>
      <c r="H651" s="876"/>
      <c r="I651" s="876"/>
      <c r="J651" s="876"/>
      <c r="K651" s="876"/>
      <c r="L651" s="876"/>
      <c r="M651" s="876"/>
      <c r="N651" s="877"/>
      <c r="O651" s="876"/>
      <c r="P651" s="876"/>
      <c r="Q651" s="876"/>
      <c r="R651" s="876"/>
      <c r="S651" s="876"/>
      <c r="T651" s="876"/>
      <c r="U651" s="876"/>
      <c r="V651" s="876"/>
      <c r="W651" s="876"/>
      <c r="X651" s="876"/>
      <c r="Y651" s="876"/>
      <c r="Z651" s="876"/>
      <c r="AA651" s="876"/>
      <c r="AB651" s="876"/>
      <c r="AC651" s="876"/>
      <c r="AD651" s="876"/>
      <c r="AE651" s="876"/>
      <c r="AF651" s="876"/>
      <c r="AG651" s="876"/>
      <c r="AH651" s="876"/>
      <c r="AI651" s="878"/>
      <c r="AJ651" s="880"/>
      <c r="AK651" s="880"/>
      <c r="AL651" s="880"/>
      <c r="AM651" s="880"/>
      <c r="AN651" s="880"/>
      <c r="AO651" s="880"/>
      <c r="AP651" s="880"/>
      <c r="AQ651" s="880"/>
      <c r="AR651" s="880"/>
      <c r="AS651" s="880"/>
      <c r="AT651" s="880"/>
      <c r="AU651" s="880"/>
      <c r="AV651" s="880"/>
      <c r="AW651" s="881"/>
      <c r="AX651" s="863"/>
      <c r="AY651" s="863"/>
      <c r="AZ651" s="863"/>
      <c r="BA651" s="863"/>
      <c r="BB651" s="863"/>
      <c r="BC651" s="863"/>
      <c r="BD651" s="863"/>
      <c r="BE651" s="863"/>
      <c r="BF651" s="863"/>
      <c r="BG651" s="863"/>
      <c r="BH651" s="863"/>
      <c r="BI651" s="863"/>
      <c r="BJ651" s="863"/>
      <c r="BK651" s="863"/>
      <c r="BL651" s="863"/>
      <c r="BM651" s="863"/>
      <c r="BN651" s="863"/>
      <c r="BO651" s="863"/>
      <c r="BP651" s="880"/>
      <c r="BQ651" s="863"/>
      <c r="BR651" s="883"/>
      <c r="BS651" s="883"/>
      <c r="BT651" s="883"/>
      <c r="BU651" s="883"/>
      <c r="BV651" s="883"/>
      <c r="BW651" s="883"/>
      <c r="BX651" s="883"/>
      <c r="BY651" s="883"/>
      <c r="BZ651" s="883"/>
      <c r="CA651" s="883"/>
      <c r="CB651" s="883"/>
      <c r="CC651" s="883"/>
      <c r="CD651" s="884"/>
      <c r="CE651" s="883"/>
      <c r="CF651" s="883"/>
      <c r="CG651" s="883"/>
      <c r="CH651" s="883"/>
      <c r="CI651" s="883"/>
      <c r="CJ651" s="883"/>
      <c r="CK651" s="883"/>
      <c r="CL651" s="883"/>
      <c r="CM651" s="883"/>
      <c r="CN651" s="883"/>
      <c r="CO651" s="883"/>
      <c r="CP651" s="883"/>
      <c r="CQ651" s="883"/>
      <c r="CR651" s="883"/>
      <c r="CS651" s="883"/>
      <c r="CT651" s="883"/>
      <c r="CU651" s="883"/>
      <c r="CV651" s="863"/>
      <c r="CW651" s="863"/>
      <c r="CX651" s="863"/>
      <c r="CY651" s="863"/>
      <c r="CZ651" s="863"/>
      <c r="DA651" s="863"/>
      <c r="DB651" s="863"/>
      <c r="DC651" s="863"/>
      <c r="DD651" s="863"/>
      <c r="DE651" s="863"/>
    </row>
    <row r="652">
      <c r="A652" s="876"/>
      <c r="B652" s="876"/>
      <c r="C652" s="876"/>
      <c r="D652" s="876"/>
      <c r="E652" s="876"/>
      <c r="F652" s="876"/>
      <c r="G652" s="876"/>
      <c r="H652" s="876"/>
      <c r="I652" s="876"/>
      <c r="J652" s="876"/>
      <c r="K652" s="876"/>
      <c r="L652" s="876"/>
      <c r="M652" s="876"/>
      <c r="N652" s="877"/>
      <c r="O652" s="876"/>
      <c r="P652" s="876"/>
      <c r="Q652" s="876"/>
      <c r="R652" s="876"/>
      <c r="S652" s="876"/>
      <c r="T652" s="876"/>
      <c r="U652" s="876"/>
      <c r="V652" s="876"/>
      <c r="W652" s="876"/>
      <c r="X652" s="876"/>
      <c r="Y652" s="876"/>
      <c r="Z652" s="876"/>
      <c r="AA652" s="876"/>
      <c r="AB652" s="876"/>
      <c r="AC652" s="876"/>
      <c r="AD652" s="876"/>
      <c r="AE652" s="876"/>
      <c r="AF652" s="876"/>
      <c r="AG652" s="876"/>
      <c r="AH652" s="876"/>
      <c r="AI652" s="878"/>
      <c r="AJ652" s="880"/>
      <c r="AK652" s="880"/>
      <c r="AL652" s="880"/>
      <c r="AM652" s="880"/>
      <c r="AN652" s="880"/>
      <c r="AO652" s="880"/>
      <c r="AP652" s="880"/>
      <c r="AQ652" s="880"/>
      <c r="AR652" s="880"/>
      <c r="AS652" s="880"/>
      <c r="AT652" s="880"/>
      <c r="AU652" s="880"/>
      <c r="AV652" s="880"/>
      <c r="AW652" s="881"/>
      <c r="AX652" s="863"/>
      <c r="AY652" s="863"/>
      <c r="AZ652" s="863"/>
      <c r="BA652" s="863"/>
      <c r="BB652" s="863"/>
      <c r="BC652" s="863"/>
      <c r="BD652" s="863"/>
      <c r="BE652" s="863"/>
      <c r="BF652" s="863"/>
      <c r="BG652" s="863"/>
      <c r="BH652" s="863"/>
      <c r="BI652" s="863"/>
      <c r="BJ652" s="863"/>
      <c r="BK652" s="863"/>
      <c r="BL652" s="863"/>
      <c r="BM652" s="863"/>
      <c r="BN652" s="863"/>
      <c r="BO652" s="863"/>
      <c r="BP652" s="880"/>
      <c r="BQ652" s="863"/>
      <c r="BR652" s="883"/>
      <c r="BS652" s="883"/>
      <c r="BT652" s="883"/>
      <c r="BU652" s="883"/>
      <c r="BV652" s="883"/>
      <c r="BW652" s="883"/>
      <c r="BX652" s="883"/>
      <c r="BY652" s="883"/>
      <c r="BZ652" s="883"/>
      <c r="CA652" s="883"/>
      <c r="CB652" s="883"/>
      <c r="CC652" s="883"/>
      <c r="CD652" s="884"/>
      <c r="CE652" s="883"/>
      <c r="CF652" s="883"/>
      <c r="CG652" s="883"/>
      <c r="CH652" s="883"/>
      <c r="CI652" s="883"/>
      <c r="CJ652" s="883"/>
      <c r="CK652" s="883"/>
      <c r="CL652" s="883"/>
      <c r="CM652" s="883"/>
      <c r="CN652" s="883"/>
      <c r="CO652" s="883"/>
      <c r="CP652" s="883"/>
      <c r="CQ652" s="883"/>
      <c r="CR652" s="883"/>
      <c r="CS652" s="883"/>
      <c r="CT652" s="883"/>
      <c r="CU652" s="883"/>
      <c r="CV652" s="863"/>
      <c r="CW652" s="863"/>
      <c r="CX652" s="863"/>
      <c r="CY652" s="863"/>
      <c r="CZ652" s="863"/>
      <c r="DA652" s="863"/>
      <c r="DB652" s="863"/>
      <c r="DC652" s="863"/>
      <c r="DD652" s="863"/>
      <c r="DE652" s="863"/>
    </row>
    <row r="653">
      <c r="A653" s="876"/>
      <c r="B653" s="876"/>
      <c r="C653" s="876"/>
      <c r="D653" s="876"/>
      <c r="E653" s="876"/>
      <c r="F653" s="876"/>
      <c r="G653" s="876"/>
      <c r="H653" s="876"/>
      <c r="I653" s="876"/>
      <c r="J653" s="876"/>
      <c r="K653" s="876"/>
      <c r="L653" s="876"/>
      <c r="M653" s="876"/>
      <c r="N653" s="877"/>
      <c r="O653" s="876"/>
      <c r="P653" s="876"/>
      <c r="Q653" s="876"/>
      <c r="R653" s="876"/>
      <c r="S653" s="876"/>
      <c r="T653" s="876"/>
      <c r="U653" s="876"/>
      <c r="V653" s="876"/>
      <c r="W653" s="876"/>
      <c r="X653" s="876"/>
      <c r="Y653" s="876"/>
      <c r="Z653" s="876"/>
      <c r="AA653" s="876"/>
      <c r="AB653" s="876"/>
      <c r="AC653" s="876"/>
      <c r="AD653" s="876"/>
      <c r="AE653" s="876"/>
      <c r="AF653" s="876"/>
      <c r="AG653" s="876"/>
      <c r="AH653" s="876"/>
      <c r="AI653" s="878"/>
      <c r="AJ653" s="880"/>
      <c r="AK653" s="880"/>
      <c r="AL653" s="880"/>
      <c r="AM653" s="880"/>
      <c r="AN653" s="880"/>
      <c r="AO653" s="880"/>
      <c r="AP653" s="880"/>
      <c r="AQ653" s="880"/>
      <c r="AR653" s="880"/>
      <c r="AS653" s="880"/>
      <c r="AT653" s="880"/>
      <c r="AU653" s="880"/>
      <c r="AV653" s="880"/>
      <c r="AW653" s="881"/>
      <c r="AX653" s="863"/>
      <c r="AY653" s="863"/>
      <c r="AZ653" s="863"/>
      <c r="BA653" s="863"/>
      <c r="BB653" s="863"/>
      <c r="BC653" s="863"/>
      <c r="BD653" s="863"/>
      <c r="BE653" s="863"/>
      <c r="BF653" s="863"/>
      <c r="BG653" s="863"/>
      <c r="BH653" s="863"/>
      <c r="BI653" s="863"/>
      <c r="BJ653" s="863"/>
      <c r="BK653" s="863"/>
      <c r="BL653" s="863"/>
      <c r="BM653" s="863"/>
      <c r="BN653" s="863"/>
      <c r="BO653" s="863"/>
      <c r="BP653" s="880"/>
      <c r="BQ653" s="863"/>
      <c r="BR653" s="883"/>
      <c r="BS653" s="883"/>
      <c r="BT653" s="883"/>
      <c r="BU653" s="883"/>
      <c r="BV653" s="883"/>
      <c r="BW653" s="883"/>
      <c r="BX653" s="883"/>
      <c r="BY653" s="883"/>
      <c r="BZ653" s="883"/>
      <c r="CA653" s="883"/>
      <c r="CB653" s="883"/>
      <c r="CC653" s="883"/>
      <c r="CD653" s="884"/>
      <c r="CE653" s="883"/>
      <c r="CF653" s="883"/>
      <c r="CG653" s="883"/>
      <c r="CH653" s="883"/>
      <c r="CI653" s="883"/>
      <c r="CJ653" s="883"/>
      <c r="CK653" s="883"/>
      <c r="CL653" s="883"/>
      <c r="CM653" s="883"/>
      <c r="CN653" s="883"/>
      <c r="CO653" s="883"/>
      <c r="CP653" s="883"/>
      <c r="CQ653" s="883"/>
      <c r="CR653" s="883"/>
      <c r="CS653" s="883"/>
      <c r="CT653" s="883"/>
      <c r="CU653" s="883"/>
      <c r="CV653" s="863"/>
      <c r="CW653" s="863"/>
      <c r="CX653" s="863"/>
      <c r="CY653" s="863"/>
      <c r="CZ653" s="863"/>
      <c r="DA653" s="863"/>
      <c r="DB653" s="863"/>
      <c r="DC653" s="863"/>
      <c r="DD653" s="863"/>
      <c r="DE653" s="863"/>
    </row>
    <row r="654">
      <c r="A654" s="876"/>
      <c r="B654" s="876"/>
      <c r="C654" s="876"/>
      <c r="D654" s="876"/>
      <c r="E654" s="876"/>
      <c r="F654" s="876"/>
      <c r="G654" s="876"/>
      <c r="H654" s="876"/>
      <c r="I654" s="876"/>
      <c r="J654" s="876"/>
      <c r="K654" s="876"/>
      <c r="L654" s="876"/>
      <c r="M654" s="876"/>
      <c r="N654" s="877"/>
      <c r="O654" s="876"/>
      <c r="P654" s="876"/>
      <c r="Q654" s="876"/>
      <c r="R654" s="876"/>
      <c r="S654" s="876"/>
      <c r="T654" s="876"/>
      <c r="U654" s="876"/>
      <c r="V654" s="876"/>
      <c r="W654" s="876"/>
      <c r="X654" s="876"/>
      <c r="Y654" s="876"/>
      <c r="Z654" s="876"/>
      <c r="AA654" s="876"/>
      <c r="AB654" s="876"/>
      <c r="AC654" s="876"/>
      <c r="AD654" s="876"/>
      <c r="AE654" s="876"/>
      <c r="AF654" s="876"/>
      <c r="AG654" s="876"/>
      <c r="AH654" s="876"/>
      <c r="AI654" s="878"/>
      <c r="AJ654" s="880"/>
      <c r="AK654" s="880"/>
      <c r="AL654" s="880"/>
      <c r="AM654" s="880"/>
      <c r="AN654" s="880"/>
      <c r="AO654" s="880"/>
      <c r="AP654" s="880"/>
      <c r="AQ654" s="880"/>
      <c r="AR654" s="880"/>
      <c r="AS654" s="880"/>
      <c r="AT654" s="880"/>
      <c r="AU654" s="880"/>
      <c r="AV654" s="880"/>
      <c r="AW654" s="881"/>
      <c r="AX654" s="863"/>
      <c r="AY654" s="863"/>
      <c r="AZ654" s="863"/>
      <c r="BA654" s="863"/>
      <c r="BB654" s="863"/>
      <c r="BC654" s="863"/>
      <c r="BD654" s="863"/>
      <c r="BE654" s="863"/>
      <c r="BF654" s="863"/>
      <c r="BG654" s="863"/>
      <c r="BH654" s="863"/>
      <c r="BI654" s="863"/>
      <c r="BJ654" s="863"/>
      <c r="BK654" s="863"/>
      <c r="BL654" s="863"/>
      <c r="BM654" s="863"/>
      <c r="BN654" s="863"/>
      <c r="BO654" s="863"/>
      <c r="BP654" s="880"/>
      <c r="BQ654" s="863"/>
      <c r="BR654" s="883"/>
      <c r="BS654" s="883"/>
      <c r="BT654" s="883"/>
      <c r="BU654" s="883"/>
      <c r="BV654" s="883"/>
      <c r="BW654" s="883"/>
      <c r="BX654" s="883"/>
      <c r="BY654" s="883"/>
      <c r="BZ654" s="883"/>
      <c r="CA654" s="883"/>
      <c r="CB654" s="883"/>
      <c r="CC654" s="883"/>
      <c r="CD654" s="884"/>
      <c r="CE654" s="883"/>
      <c r="CF654" s="883"/>
      <c r="CG654" s="883"/>
      <c r="CH654" s="883"/>
      <c r="CI654" s="883"/>
      <c r="CJ654" s="883"/>
      <c r="CK654" s="883"/>
      <c r="CL654" s="883"/>
      <c r="CM654" s="883"/>
      <c r="CN654" s="883"/>
      <c r="CO654" s="883"/>
      <c r="CP654" s="883"/>
      <c r="CQ654" s="883"/>
      <c r="CR654" s="883"/>
      <c r="CS654" s="883"/>
      <c r="CT654" s="883"/>
      <c r="CU654" s="883"/>
      <c r="CV654" s="863"/>
      <c r="CW654" s="863"/>
      <c r="CX654" s="863"/>
      <c r="CY654" s="863"/>
      <c r="CZ654" s="863"/>
      <c r="DA654" s="863"/>
      <c r="DB654" s="863"/>
      <c r="DC654" s="863"/>
      <c r="DD654" s="863"/>
      <c r="DE654" s="863"/>
    </row>
    <row r="655">
      <c r="A655" s="876"/>
      <c r="B655" s="876"/>
      <c r="C655" s="876"/>
      <c r="D655" s="876"/>
      <c r="E655" s="876"/>
      <c r="F655" s="876"/>
      <c r="G655" s="876"/>
      <c r="H655" s="876"/>
      <c r="I655" s="876"/>
      <c r="J655" s="876"/>
      <c r="K655" s="876"/>
      <c r="L655" s="876"/>
      <c r="M655" s="876"/>
      <c r="N655" s="877"/>
      <c r="O655" s="876"/>
      <c r="P655" s="876"/>
      <c r="Q655" s="876"/>
      <c r="R655" s="876"/>
      <c r="S655" s="876"/>
      <c r="T655" s="876"/>
      <c r="U655" s="876"/>
      <c r="V655" s="876"/>
      <c r="W655" s="876"/>
      <c r="X655" s="876"/>
      <c r="Y655" s="876"/>
      <c r="Z655" s="876"/>
      <c r="AA655" s="876"/>
      <c r="AB655" s="876"/>
      <c r="AC655" s="876"/>
      <c r="AD655" s="876"/>
      <c r="AE655" s="876"/>
      <c r="AF655" s="876"/>
      <c r="AG655" s="876"/>
      <c r="AH655" s="876"/>
      <c r="AI655" s="878"/>
      <c r="AJ655" s="880"/>
      <c r="AK655" s="880"/>
      <c r="AL655" s="880"/>
      <c r="AM655" s="880"/>
      <c r="AN655" s="880"/>
      <c r="AO655" s="880"/>
      <c r="AP655" s="880"/>
      <c r="AQ655" s="880"/>
      <c r="AR655" s="880"/>
      <c r="AS655" s="880"/>
      <c r="AT655" s="880"/>
      <c r="AU655" s="880"/>
      <c r="AV655" s="880"/>
      <c r="AW655" s="881"/>
      <c r="AX655" s="863"/>
      <c r="AY655" s="863"/>
      <c r="AZ655" s="863"/>
      <c r="BA655" s="863"/>
      <c r="BB655" s="863"/>
      <c r="BC655" s="863"/>
      <c r="BD655" s="863"/>
      <c r="BE655" s="863"/>
      <c r="BF655" s="863"/>
      <c r="BG655" s="863"/>
      <c r="BH655" s="863"/>
      <c r="BI655" s="863"/>
      <c r="BJ655" s="863"/>
      <c r="BK655" s="863"/>
      <c r="BL655" s="863"/>
      <c r="BM655" s="863"/>
      <c r="BN655" s="863"/>
      <c r="BO655" s="863"/>
      <c r="BP655" s="880"/>
      <c r="BQ655" s="863"/>
      <c r="BR655" s="883"/>
      <c r="BS655" s="883"/>
      <c r="BT655" s="883"/>
      <c r="BU655" s="883"/>
      <c r="BV655" s="883"/>
      <c r="BW655" s="883"/>
      <c r="BX655" s="883"/>
      <c r="BY655" s="883"/>
      <c r="BZ655" s="883"/>
      <c r="CA655" s="883"/>
      <c r="CB655" s="883"/>
      <c r="CC655" s="883"/>
      <c r="CD655" s="884"/>
      <c r="CE655" s="883"/>
      <c r="CF655" s="883"/>
      <c r="CG655" s="883"/>
      <c r="CH655" s="883"/>
      <c r="CI655" s="883"/>
      <c r="CJ655" s="883"/>
      <c r="CK655" s="883"/>
      <c r="CL655" s="883"/>
      <c r="CM655" s="883"/>
      <c r="CN655" s="883"/>
      <c r="CO655" s="883"/>
      <c r="CP655" s="883"/>
      <c r="CQ655" s="883"/>
      <c r="CR655" s="883"/>
      <c r="CS655" s="883"/>
      <c r="CT655" s="883"/>
      <c r="CU655" s="883"/>
      <c r="CV655" s="863"/>
      <c r="CW655" s="863"/>
      <c r="CX655" s="863"/>
      <c r="CY655" s="863"/>
      <c r="CZ655" s="863"/>
      <c r="DA655" s="863"/>
      <c r="DB655" s="863"/>
      <c r="DC655" s="863"/>
      <c r="DD655" s="863"/>
      <c r="DE655" s="863"/>
    </row>
    <row r="656">
      <c r="A656" s="876"/>
      <c r="B656" s="876"/>
      <c r="C656" s="876"/>
      <c r="D656" s="876"/>
      <c r="E656" s="876"/>
      <c r="F656" s="876"/>
      <c r="G656" s="876"/>
      <c r="H656" s="876"/>
      <c r="I656" s="876"/>
      <c r="J656" s="876"/>
      <c r="K656" s="876"/>
      <c r="L656" s="876"/>
      <c r="M656" s="876"/>
      <c r="N656" s="877"/>
      <c r="O656" s="876"/>
      <c r="P656" s="876"/>
      <c r="Q656" s="876"/>
      <c r="R656" s="876"/>
      <c r="S656" s="876"/>
      <c r="T656" s="876"/>
      <c r="U656" s="876"/>
      <c r="V656" s="876"/>
      <c r="W656" s="876"/>
      <c r="X656" s="876"/>
      <c r="Y656" s="876"/>
      <c r="Z656" s="876"/>
      <c r="AA656" s="876"/>
      <c r="AB656" s="876"/>
      <c r="AC656" s="876"/>
      <c r="AD656" s="876"/>
      <c r="AE656" s="876"/>
      <c r="AF656" s="876"/>
      <c r="AG656" s="876"/>
      <c r="AH656" s="876"/>
      <c r="AI656" s="878"/>
      <c r="AJ656" s="880"/>
      <c r="AK656" s="880"/>
      <c r="AL656" s="880"/>
      <c r="AM656" s="880"/>
      <c r="AN656" s="880"/>
      <c r="AO656" s="880"/>
      <c r="AP656" s="880"/>
      <c r="AQ656" s="880"/>
      <c r="AR656" s="880"/>
      <c r="AS656" s="880"/>
      <c r="AT656" s="880"/>
      <c r="AU656" s="880"/>
      <c r="AV656" s="880"/>
      <c r="AW656" s="881"/>
      <c r="AX656" s="863"/>
      <c r="AY656" s="863"/>
      <c r="AZ656" s="863"/>
      <c r="BA656" s="863"/>
      <c r="BB656" s="863"/>
      <c r="BC656" s="863"/>
      <c r="BD656" s="863"/>
      <c r="BE656" s="863"/>
      <c r="BF656" s="863"/>
      <c r="BG656" s="863"/>
      <c r="BH656" s="863"/>
      <c r="BI656" s="863"/>
      <c r="BJ656" s="863"/>
      <c r="BK656" s="863"/>
      <c r="BL656" s="863"/>
      <c r="BM656" s="863"/>
      <c r="BN656" s="863"/>
      <c r="BO656" s="863"/>
      <c r="BP656" s="880"/>
      <c r="BQ656" s="863"/>
      <c r="BR656" s="883"/>
      <c r="BS656" s="883"/>
      <c r="BT656" s="883"/>
      <c r="BU656" s="883"/>
      <c r="BV656" s="883"/>
      <c r="BW656" s="883"/>
      <c r="BX656" s="883"/>
      <c r="BY656" s="883"/>
      <c r="BZ656" s="883"/>
      <c r="CA656" s="883"/>
      <c r="CB656" s="883"/>
      <c r="CC656" s="883"/>
      <c r="CD656" s="884"/>
      <c r="CE656" s="883"/>
      <c r="CF656" s="883"/>
      <c r="CG656" s="883"/>
      <c r="CH656" s="883"/>
      <c r="CI656" s="883"/>
      <c r="CJ656" s="883"/>
      <c r="CK656" s="883"/>
      <c r="CL656" s="883"/>
      <c r="CM656" s="883"/>
      <c r="CN656" s="883"/>
      <c r="CO656" s="883"/>
      <c r="CP656" s="883"/>
      <c r="CQ656" s="883"/>
      <c r="CR656" s="883"/>
      <c r="CS656" s="883"/>
      <c r="CT656" s="883"/>
      <c r="CU656" s="883"/>
      <c r="CV656" s="863"/>
      <c r="CW656" s="863"/>
      <c r="CX656" s="863"/>
      <c r="CY656" s="863"/>
      <c r="CZ656" s="863"/>
      <c r="DA656" s="863"/>
      <c r="DB656" s="863"/>
      <c r="DC656" s="863"/>
      <c r="DD656" s="863"/>
      <c r="DE656" s="863"/>
    </row>
    <row r="657">
      <c r="A657" s="876"/>
      <c r="B657" s="876"/>
      <c r="C657" s="876"/>
      <c r="D657" s="876"/>
      <c r="E657" s="876"/>
      <c r="F657" s="876"/>
      <c r="G657" s="876"/>
      <c r="H657" s="876"/>
      <c r="I657" s="876"/>
      <c r="J657" s="876"/>
      <c r="K657" s="876"/>
      <c r="L657" s="876"/>
      <c r="M657" s="876"/>
      <c r="N657" s="877"/>
      <c r="O657" s="876"/>
      <c r="P657" s="876"/>
      <c r="Q657" s="876"/>
      <c r="R657" s="876"/>
      <c r="S657" s="876"/>
      <c r="T657" s="876"/>
      <c r="U657" s="876"/>
      <c r="V657" s="876"/>
      <c r="W657" s="876"/>
      <c r="X657" s="876"/>
      <c r="Y657" s="876"/>
      <c r="Z657" s="876"/>
      <c r="AA657" s="876"/>
      <c r="AB657" s="876"/>
      <c r="AC657" s="876"/>
      <c r="AD657" s="876"/>
      <c r="AE657" s="876"/>
      <c r="AF657" s="876"/>
      <c r="AG657" s="876"/>
      <c r="AH657" s="876"/>
      <c r="AI657" s="878"/>
      <c r="AJ657" s="880"/>
      <c r="AK657" s="880"/>
      <c r="AL657" s="880"/>
      <c r="AM657" s="880"/>
      <c r="AN657" s="880"/>
      <c r="AO657" s="880"/>
      <c r="AP657" s="880"/>
      <c r="AQ657" s="880"/>
      <c r="AR657" s="880"/>
      <c r="AS657" s="880"/>
      <c r="AT657" s="880"/>
      <c r="AU657" s="880"/>
      <c r="AV657" s="880"/>
      <c r="AW657" s="881"/>
      <c r="AX657" s="863"/>
      <c r="AY657" s="863"/>
      <c r="AZ657" s="863"/>
      <c r="BA657" s="863"/>
      <c r="BB657" s="863"/>
      <c r="BC657" s="863"/>
      <c r="BD657" s="863"/>
      <c r="BE657" s="863"/>
      <c r="BF657" s="863"/>
      <c r="BG657" s="863"/>
      <c r="BH657" s="863"/>
      <c r="BI657" s="863"/>
      <c r="BJ657" s="863"/>
      <c r="BK657" s="863"/>
      <c r="BL657" s="863"/>
      <c r="BM657" s="863"/>
      <c r="BN657" s="863"/>
      <c r="BO657" s="863"/>
      <c r="BP657" s="880"/>
      <c r="BQ657" s="863"/>
      <c r="BR657" s="883"/>
      <c r="BS657" s="883"/>
      <c r="BT657" s="883"/>
      <c r="BU657" s="883"/>
      <c r="BV657" s="883"/>
      <c r="BW657" s="883"/>
      <c r="BX657" s="883"/>
      <c r="BY657" s="883"/>
      <c r="BZ657" s="883"/>
      <c r="CA657" s="883"/>
      <c r="CB657" s="883"/>
      <c r="CC657" s="883"/>
      <c r="CD657" s="884"/>
      <c r="CE657" s="883"/>
      <c r="CF657" s="883"/>
      <c r="CG657" s="883"/>
      <c r="CH657" s="883"/>
      <c r="CI657" s="883"/>
      <c r="CJ657" s="883"/>
      <c r="CK657" s="883"/>
      <c r="CL657" s="883"/>
      <c r="CM657" s="883"/>
      <c r="CN657" s="883"/>
      <c r="CO657" s="883"/>
      <c r="CP657" s="883"/>
      <c r="CQ657" s="883"/>
      <c r="CR657" s="883"/>
      <c r="CS657" s="883"/>
      <c r="CT657" s="883"/>
      <c r="CU657" s="883"/>
      <c r="CV657" s="863"/>
      <c r="CW657" s="863"/>
      <c r="CX657" s="863"/>
      <c r="CY657" s="863"/>
      <c r="CZ657" s="863"/>
      <c r="DA657" s="863"/>
      <c r="DB657" s="863"/>
      <c r="DC657" s="863"/>
      <c r="DD657" s="863"/>
      <c r="DE657" s="863"/>
    </row>
    <row r="658">
      <c r="A658" s="876"/>
      <c r="B658" s="876"/>
      <c r="C658" s="876"/>
      <c r="D658" s="876"/>
      <c r="E658" s="876"/>
      <c r="F658" s="876"/>
      <c r="G658" s="876"/>
      <c r="H658" s="876"/>
      <c r="I658" s="876"/>
      <c r="J658" s="876"/>
      <c r="K658" s="876"/>
      <c r="L658" s="876"/>
      <c r="M658" s="876"/>
      <c r="N658" s="877"/>
      <c r="O658" s="876"/>
      <c r="P658" s="876"/>
      <c r="Q658" s="876"/>
      <c r="R658" s="876"/>
      <c r="S658" s="876"/>
      <c r="T658" s="876"/>
      <c r="U658" s="876"/>
      <c r="V658" s="876"/>
      <c r="W658" s="876"/>
      <c r="X658" s="876"/>
      <c r="Y658" s="876"/>
      <c r="Z658" s="876"/>
      <c r="AA658" s="876"/>
      <c r="AB658" s="876"/>
      <c r="AC658" s="876"/>
      <c r="AD658" s="876"/>
      <c r="AE658" s="876"/>
      <c r="AF658" s="876"/>
      <c r="AG658" s="876"/>
      <c r="AH658" s="876"/>
      <c r="AI658" s="878"/>
      <c r="AJ658" s="880"/>
      <c r="AK658" s="880"/>
      <c r="AL658" s="880"/>
      <c r="AM658" s="880"/>
      <c r="AN658" s="880"/>
      <c r="AO658" s="880"/>
      <c r="AP658" s="880"/>
      <c r="AQ658" s="880"/>
      <c r="AR658" s="880"/>
      <c r="AS658" s="880"/>
      <c r="AT658" s="880"/>
      <c r="AU658" s="880"/>
      <c r="AV658" s="880"/>
      <c r="AW658" s="881"/>
      <c r="AX658" s="863"/>
      <c r="AY658" s="863"/>
      <c r="AZ658" s="863"/>
      <c r="BA658" s="863"/>
      <c r="BB658" s="863"/>
      <c r="BC658" s="863"/>
      <c r="BD658" s="863"/>
      <c r="BE658" s="863"/>
      <c r="BF658" s="863"/>
      <c r="BG658" s="863"/>
      <c r="BH658" s="863"/>
      <c r="BI658" s="863"/>
      <c r="BJ658" s="863"/>
      <c r="BK658" s="863"/>
      <c r="BL658" s="863"/>
      <c r="BM658" s="863"/>
      <c r="BN658" s="863"/>
      <c r="BO658" s="863"/>
      <c r="BP658" s="880"/>
      <c r="BQ658" s="863"/>
      <c r="BR658" s="883"/>
      <c r="BS658" s="883"/>
      <c r="BT658" s="883"/>
      <c r="BU658" s="883"/>
      <c r="BV658" s="883"/>
      <c r="BW658" s="883"/>
      <c r="BX658" s="883"/>
      <c r="BY658" s="883"/>
      <c r="BZ658" s="883"/>
      <c r="CA658" s="883"/>
      <c r="CB658" s="883"/>
      <c r="CC658" s="883"/>
      <c r="CD658" s="884"/>
      <c r="CE658" s="883"/>
      <c r="CF658" s="883"/>
      <c r="CG658" s="883"/>
      <c r="CH658" s="883"/>
      <c r="CI658" s="883"/>
      <c r="CJ658" s="883"/>
      <c r="CK658" s="883"/>
      <c r="CL658" s="883"/>
      <c r="CM658" s="883"/>
      <c r="CN658" s="883"/>
      <c r="CO658" s="883"/>
      <c r="CP658" s="883"/>
      <c r="CQ658" s="883"/>
      <c r="CR658" s="883"/>
      <c r="CS658" s="883"/>
      <c r="CT658" s="883"/>
      <c r="CU658" s="883"/>
      <c r="CV658" s="863"/>
      <c r="CW658" s="863"/>
      <c r="CX658" s="863"/>
      <c r="CY658" s="863"/>
      <c r="CZ658" s="863"/>
      <c r="DA658" s="863"/>
      <c r="DB658" s="863"/>
      <c r="DC658" s="863"/>
      <c r="DD658" s="863"/>
      <c r="DE658" s="863"/>
    </row>
    <row r="659">
      <c r="A659" s="876"/>
      <c r="B659" s="876"/>
      <c r="C659" s="876"/>
      <c r="D659" s="876"/>
      <c r="E659" s="876"/>
      <c r="F659" s="876"/>
      <c r="G659" s="876"/>
      <c r="H659" s="876"/>
      <c r="I659" s="876"/>
      <c r="J659" s="876"/>
      <c r="K659" s="876"/>
      <c r="L659" s="876"/>
      <c r="M659" s="876"/>
      <c r="N659" s="877"/>
      <c r="O659" s="876"/>
      <c r="P659" s="876"/>
      <c r="Q659" s="876"/>
      <c r="R659" s="876"/>
      <c r="S659" s="876"/>
      <c r="T659" s="876"/>
      <c r="U659" s="876"/>
      <c r="V659" s="876"/>
      <c r="W659" s="876"/>
      <c r="X659" s="876"/>
      <c r="Y659" s="876"/>
      <c r="Z659" s="876"/>
      <c r="AA659" s="876"/>
      <c r="AB659" s="876"/>
      <c r="AC659" s="876"/>
      <c r="AD659" s="876"/>
      <c r="AE659" s="876"/>
      <c r="AF659" s="876"/>
      <c r="AG659" s="876"/>
      <c r="AH659" s="876"/>
      <c r="AI659" s="878"/>
      <c r="AJ659" s="880"/>
      <c r="AK659" s="880"/>
      <c r="AL659" s="880"/>
      <c r="AM659" s="880"/>
      <c r="AN659" s="880"/>
      <c r="AO659" s="880"/>
      <c r="AP659" s="880"/>
      <c r="AQ659" s="880"/>
      <c r="AR659" s="880"/>
      <c r="AS659" s="880"/>
      <c r="AT659" s="880"/>
      <c r="AU659" s="880"/>
      <c r="AV659" s="880"/>
      <c r="AW659" s="881"/>
      <c r="AX659" s="863"/>
      <c r="AY659" s="863"/>
      <c r="AZ659" s="863"/>
      <c r="BA659" s="863"/>
      <c r="BB659" s="863"/>
      <c r="BC659" s="863"/>
      <c r="BD659" s="863"/>
      <c r="BE659" s="863"/>
      <c r="BF659" s="863"/>
      <c r="BG659" s="863"/>
      <c r="BH659" s="863"/>
      <c r="BI659" s="863"/>
      <c r="BJ659" s="863"/>
      <c r="BK659" s="863"/>
      <c r="BL659" s="863"/>
      <c r="BM659" s="863"/>
      <c r="BN659" s="863"/>
      <c r="BO659" s="863"/>
      <c r="BP659" s="880"/>
      <c r="BQ659" s="863"/>
      <c r="BR659" s="883"/>
      <c r="BS659" s="883"/>
      <c r="BT659" s="883"/>
      <c r="BU659" s="883"/>
      <c r="BV659" s="883"/>
      <c r="BW659" s="883"/>
      <c r="BX659" s="883"/>
      <c r="BY659" s="883"/>
      <c r="BZ659" s="883"/>
      <c r="CA659" s="883"/>
      <c r="CB659" s="883"/>
      <c r="CC659" s="883"/>
      <c r="CD659" s="884"/>
      <c r="CE659" s="883"/>
      <c r="CF659" s="883"/>
      <c r="CG659" s="883"/>
      <c r="CH659" s="883"/>
      <c r="CI659" s="883"/>
      <c r="CJ659" s="883"/>
      <c r="CK659" s="883"/>
      <c r="CL659" s="883"/>
      <c r="CM659" s="883"/>
      <c r="CN659" s="883"/>
      <c r="CO659" s="883"/>
      <c r="CP659" s="883"/>
      <c r="CQ659" s="883"/>
      <c r="CR659" s="883"/>
      <c r="CS659" s="883"/>
      <c r="CT659" s="883"/>
      <c r="CU659" s="883"/>
      <c r="CV659" s="863"/>
      <c r="CW659" s="863"/>
      <c r="CX659" s="863"/>
      <c r="CY659" s="863"/>
      <c r="CZ659" s="863"/>
      <c r="DA659" s="863"/>
      <c r="DB659" s="863"/>
      <c r="DC659" s="863"/>
      <c r="DD659" s="863"/>
      <c r="DE659" s="863"/>
    </row>
    <row r="660">
      <c r="A660" s="876"/>
      <c r="B660" s="876"/>
      <c r="C660" s="876"/>
      <c r="D660" s="876"/>
      <c r="E660" s="876"/>
      <c r="F660" s="876"/>
      <c r="G660" s="876"/>
      <c r="H660" s="876"/>
      <c r="I660" s="876"/>
      <c r="J660" s="876"/>
      <c r="K660" s="876"/>
      <c r="L660" s="876"/>
      <c r="M660" s="876"/>
      <c r="N660" s="877"/>
      <c r="O660" s="876"/>
      <c r="P660" s="876"/>
      <c r="Q660" s="876"/>
      <c r="R660" s="876"/>
      <c r="S660" s="876"/>
      <c r="T660" s="876"/>
      <c r="U660" s="876"/>
      <c r="V660" s="876"/>
      <c r="W660" s="876"/>
      <c r="X660" s="876"/>
      <c r="Y660" s="876"/>
      <c r="Z660" s="876"/>
      <c r="AA660" s="876"/>
      <c r="AB660" s="876"/>
      <c r="AC660" s="876"/>
      <c r="AD660" s="876"/>
      <c r="AE660" s="876"/>
      <c r="AF660" s="876"/>
      <c r="AG660" s="876"/>
      <c r="AH660" s="876"/>
      <c r="AI660" s="878"/>
      <c r="AJ660" s="880"/>
      <c r="AK660" s="880"/>
      <c r="AL660" s="880"/>
      <c r="AM660" s="880"/>
      <c r="AN660" s="880"/>
      <c r="AO660" s="880"/>
      <c r="AP660" s="880"/>
      <c r="AQ660" s="880"/>
      <c r="AR660" s="880"/>
      <c r="AS660" s="880"/>
      <c r="AT660" s="880"/>
      <c r="AU660" s="880"/>
      <c r="AV660" s="880"/>
      <c r="AW660" s="881"/>
      <c r="AX660" s="863"/>
      <c r="AY660" s="863"/>
      <c r="AZ660" s="863"/>
      <c r="BA660" s="863"/>
      <c r="BB660" s="863"/>
      <c r="BC660" s="863"/>
      <c r="BD660" s="863"/>
      <c r="BE660" s="863"/>
      <c r="BF660" s="863"/>
      <c r="BG660" s="863"/>
      <c r="BH660" s="863"/>
      <c r="BI660" s="863"/>
      <c r="BJ660" s="863"/>
      <c r="BK660" s="863"/>
      <c r="BL660" s="863"/>
      <c r="BM660" s="863"/>
      <c r="BN660" s="863"/>
      <c r="BO660" s="863"/>
      <c r="BP660" s="880"/>
      <c r="BQ660" s="863"/>
      <c r="BR660" s="883"/>
      <c r="BS660" s="883"/>
      <c r="BT660" s="883"/>
      <c r="BU660" s="883"/>
      <c r="BV660" s="883"/>
      <c r="BW660" s="883"/>
      <c r="BX660" s="883"/>
      <c r="BY660" s="883"/>
      <c r="BZ660" s="883"/>
      <c r="CA660" s="883"/>
      <c r="CB660" s="883"/>
      <c r="CC660" s="883"/>
      <c r="CD660" s="884"/>
      <c r="CE660" s="883"/>
      <c r="CF660" s="883"/>
      <c r="CG660" s="883"/>
      <c r="CH660" s="883"/>
      <c r="CI660" s="883"/>
      <c r="CJ660" s="883"/>
      <c r="CK660" s="883"/>
      <c r="CL660" s="883"/>
      <c r="CM660" s="883"/>
      <c r="CN660" s="883"/>
      <c r="CO660" s="883"/>
      <c r="CP660" s="883"/>
      <c r="CQ660" s="883"/>
      <c r="CR660" s="883"/>
      <c r="CS660" s="883"/>
      <c r="CT660" s="883"/>
      <c r="CU660" s="883"/>
      <c r="CV660" s="863"/>
      <c r="CW660" s="863"/>
      <c r="CX660" s="863"/>
      <c r="CY660" s="863"/>
      <c r="CZ660" s="863"/>
      <c r="DA660" s="863"/>
      <c r="DB660" s="863"/>
      <c r="DC660" s="863"/>
      <c r="DD660" s="863"/>
      <c r="DE660" s="863"/>
    </row>
    <row r="661">
      <c r="A661" s="876"/>
      <c r="B661" s="876"/>
      <c r="C661" s="876"/>
      <c r="D661" s="876"/>
      <c r="E661" s="876"/>
      <c r="F661" s="876"/>
      <c r="G661" s="876"/>
      <c r="H661" s="876"/>
      <c r="I661" s="876"/>
      <c r="J661" s="876"/>
      <c r="K661" s="876"/>
      <c r="L661" s="876"/>
      <c r="M661" s="876"/>
      <c r="N661" s="877"/>
      <c r="O661" s="876"/>
      <c r="P661" s="876"/>
      <c r="Q661" s="876"/>
      <c r="R661" s="876"/>
      <c r="S661" s="876"/>
      <c r="T661" s="876"/>
      <c r="U661" s="876"/>
      <c r="V661" s="876"/>
      <c r="W661" s="876"/>
      <c r="X661" s="876"/>
      <c r="Y661" s="876"/>
      <c r="Z661" s="876"/>
      <c r="AA661" s="876"/>
      <c r="AB661" s="876"/>
      <c r="AC661" s="876"/>
      <c r="AD661" s="876"/>
      <c r="AE661" s="876"/>
      <c r="AF661" s="876"/>
      <c r="AG661" s="876"/>
      <c r="AH661" s="876"/>
      <c r="AI661" s="878"/>
      <c r="AJ661" s="880"/>
      <c r="AK661" s="880"/>
      <c r="AL661" s="880"/>
      <c r="AM661" s="880"/>
      <c r="AN661" s="880"/>
      <c r="AO661" s="880"/>
      <c r="AP661" s="880"/>
      <c r="AQ661" s="880"/>
      <c r="AR661" s="880"/>
      <c r="AS661" s="880"/>
      <c r="AT661" s="880"/>
      <c r="AU661" s="880"/>
      <c r="AV661" s="880"/>
      <c r="AW661" s="881"/>
      <c r="AX661" s="863"/>
      <c r="AY661" s="863"/>
      <c r="AZ661" s="863"/>
      <c r="BA661" s="863"/>
      <c r="BB661" s="863"/>
      <c r="BC661" s="863"/>
      <c r="BD661" s="863"/>
      <c r="BE661" s="863"/>
      <c r="BF661" s="863"/>
      <c r="BG661" s="863"/>
      <c r="BH661" s="863"/>
      <c r="BI661" s="863"/>
      <c r="BJ661" s="863"/>
      <c r="BK661" s="863"/>
      <c r="BL661" s="863"/>
      <c r="BM661" s="863"/>
      <c r="BN661" s="863"/>
      <c r="BO661" s="863"/>
      <c r="BP661" s="880"/>
      <c r="BQ661" s="863"/>
      <c r="BR661" s="883"/>
      <c r="BS661" s="883"/>
      <c r="BT661" s="883"/>
      <c r="BU661" s="883"/>
      <c r="BV661" s="883"/>
      <c r="BW661" s="883"/>
      <c r="BX661" s="883"/>
      <c r="BY661" s="883"/>
      <c r="BZ661" s="883"/>
      <c r="CA661" s="883"/>
      <c r="CB661" s="883"/>
      <c r="CC661" s="883"/>
      <c r="CD661" s="884"/>
      <c r="CE661" s="883"/>
      <c r="CF661" s="883"/>
      <c r="CG661" s="883"/>
      <c r="CH661" s="883"/>
      <c r="CI661" s="883"/>
      <c r="CJ661" s="883"/>
      <c r="CK661" s="883"/>
      <c r="CL661" s="883"/>
      <c r="CM661" s="883"/>
      <c r="CN661" s="883"/>
      <c r="CO661" s="883"/>
      <c r="CP661" s="883"/>
      <c r="CQ661" s="883"/>
      <c r="CR661" s="883"/>
      <c r="CS661" s="883"/>
      <c r="CT661" s="883"/>
      <c r="CU661" s="883"/>
      <c r="CV661" s="863"/>
      <c r="CW661" s="863"/>
      <c r="CX661" s="863"/>
      <c r="CY661" s="863"/>
      <c r="CZ661" s="863"/>
      <c r="DA661" s="863"/>
      <c r="DB661" s="863"/>
      <c r="DC661" s="863"/>
      <c r="DD661" s="863"/>
      <c r="DE661" s="863"/>
    </row>
    <row r="662">
      <c r="A662" s="876"/>
      <c r="B662" s="876"/>
      <c r="C662" s="876"/>
      <c r="D662" s="876"/>
      <c r="E662" s="876"/>
      <c r="F662" s="876"/>
      <c r="G662" s="876"/>
      <c r="H662" s="876"/>
      <c r="I662" s="876"/>
      <c r="J662" s="876"/>
      <c r="K662" s="876"/>
      <c r="L662" s="876"/>
      <c r="M662" s="876"/>
      <c r="N662" s="877"/>
      <c r="O662" s="876"/>
      <c r="P662" s="876"/>
      <c r="Q662" s="876"/>
      <c r="R662" s="876"/>
      <c r="S662" s="876"/>
      <c r="T662" s="876"/>
      <c r="U662" s="876"/>
      <c r="V662" s="876"/>
      <c r="W662" s="876"/>
      <c r="X662" s="876"/>
      <c r="Y662" s="876"/>
      <c r="Z662" s="876"/>
      <c r="AA662" s="876"/>
      <c r="AB662" s="876"/>
      <c r="AC662" s="876"/>
      <c r="AD662" s="876"/>
      <c r="AE662" s="876"/>
      <c r="AF662" s="876"/>
      <c r="AG662" s="876"/>
      <c r="AH662" s="876"/>
      <c r="AI662" s="878"/>
      <c r="AJ662" s="880"/>
      <c r="AK662" s="880"/>
      <c r="AL662" s="880"/>
      <c r="AM662" s="880"/>
      <c r="AN662" s="880"/>
      <c r="AO662" s="880"/>
      <c r="AP662" s="880"/>
      <c r="AQ662" s="880"/>
      <c r="AR662" s="880"/>
      <c r="AS662" s="880"/>
      <c r="AT662" s="880"/>
      <c r="AU662" s="880"/>
      <c r="AV662" s="880"/>
      <c r="AW662" s="881"/>
      <c r="AX662" s="863"/>
      <c r="AY662" s="863"/>
      <c r="AZ662" s="863"/>
      <c r="BA662" s="863"/>
      <c r="BB662" s="863"/>
      <c r="BC662" s="863"/>
      <c r="BD662" s="863"/>
      <c r="BE662" s="863"/>
      <c r="BF662" s="863"/>
      <c r="BG662" s="863"/>
      <c r="BH662" s="863"/>
      <c r="BI662" s="863"/>
      <c r="BJ662" s="863"/>
      <c r="BK662" s="863"/>
      <c r="BL662" s="863"/>
      <c r="BM662" s="863"/>
      <c r="BN662" s="863"/>
      <c r="BO662" s="863"/>
      <c r="BP662" s="880"/>
      <c r="BQ662" s="863"/>
      <c r="BR662" s="883"/>
      <c r="BS662" s="883"/>
      <c r="BT662" s="883"/>
      <c r="BU662" s="883"/>
      <c r="BV662" s="883"/>
      <c r="BW662" s="883"/>
      <c r="BX662" s="883"/>
      <c r="BY662" s="883"/>
      <c r="BZ662" s="883"/>
      <c r="CA662" s="883"/>
      <c r="CB662" s="883"/>
      <c r="CC662" s="883"/>
      <c r="CD662" s="884"/>
      <c r="CE662" s="883"/>
      <c r="CF662" s="883"/>
      <c r="CG662" s="883"/>
      <c r="CH662" s="883"/>
      <c r="CI662" s="883"/>
      <c r="CJ662" s="883"/>
      <c r="CK662" s="883"/>
      <c r="CL662" s="883"/>
      <c r="CM662" s="883"/>
      <c r="CN662" s="883"/>
      <c r="CO662" s="883"/>
      <c r="CP662" s="883"/>
      <c r="CQ662" s="883"/>
      <c r="CR662" s="883"/>
      <c r="CS662" s="883"/>
      <c r="CT662" s="883"/>
      <c r="CU662" s="883"/>
      <c r="CV662" s="863"/>
      <c r="CW662" s="863"/>
      <c r="CX662" s="863"/>
      <c r="CY662" s="863"/>
      <c r="CZ662" s="863"/>
      <c r="DA662" s="863"/>
      <c r="DB662" s="863"/>
      <c r="DC662" s="863"/>
      <c r="DD662" s="863"/>
      <c r="DE662" s="863"/>
    </row>
    <row r="663">
      <c r="A663" s="876"/>
      <c r="B663" s="876"/>
      <c r="C663" s="876"/>
      <c r="D663" s="876"/>
      <c r="E663" s="876"/>
      <c r="F663" s="876"/>
      <c r="G663" s="876"/>
      <c r="H663" s="876"/>
      <c r="I663" s="876"/>
      <c r="J663" s="876"/>
      <c r="K663" s="876"/>
      <c r="L663" s="876"/>
      <c r="M663" s="876"/>
      <c r="N663" s="877"/>
      <c r="O663" s="876"/>
      <c r="P663" s="876"/>
      <c r="Q663" s="876"/>
      <c r="R663" s="876"/>
      <c r="S663" s="876"/>
      <c r="T663" s="876"/>
      <c r="U663" s="876"/>
      <c r="V663" s="876"/>
      <c r="W663" s="876"/>
      <c r="X663" s="876"/>
      <c r="Y663" s="876"/>
      <c r="Z663" s="876"/>
      <c r="AA663" s="876"/>
      <c r="AB663" s="876"/>
      <c r="AC663" s="876"/>
      <c r="AD663" s="876"/>
      <c r="AE663" s="876"/>
      <c r="AF663" s="876"/>
      <c r="AG663" s="876"/>
      <c r="AH663" s="876"/>
      <c r="AI663" s="878"/>
      <c r="AJ663" s="880"/>
      <c r="AK663" s="880"/>
      <c r="AL663" s="880"/>
      <c r="AM663" s="880"/>
      <c r="AN663" s="880"/>
      <c r="AO663" s="880"/>
      <c r="AP663" s="880"/>
      <c r="AQ663" s="880"/>
      <c r="AR663" s="880"/>
      <c r="AS663" s="880"/>
      <c r="AT663" s="880"/>
      <c r="AU663" s="880"/>
      <c r="AV663" s="880"/>
      <c r="AW663" s="881"/>
      <c r="AX663" s="863"/>
      <c r="AY663" s="863"/>
      <c r="AZ663" s="863"/>
      <c r="BA663" s="863"/>
      <c r="BB663" s="863"/>
      <c r="BC663" s="863"/>
      <c r="BD663" s="863"/>
      <c r="BE663" s="863"/>
      <c r="BF663" s="863"/>
      <c r="BG663" s="863"/>
      <c r="BH663" s="863"/>
      <c r="BI663" s="863"/>
      <c r="BJ663" s="863"/>
      <c r="BK663" s="863"/>
      <c r="BL663" s="863"/>
      <c r="BM663" s="863"/>
      <c r="BN663" s="863"/>
      <c r="BO663" s="863"/>
      <c r="BP663" s="880"/>
      <c r="BQ663" s="863"/>
      <c r="BR663" s="883"/>
      <c r="BS663" s="883"/>
      <c r="BT663" s="883"/>
      <c r="BU663" s="883"/>
      <c r="BV663" s="883"/>
      <c r="BW663" s="883"/>
      <c r="BX663" s="883"/>
      <c r="BY663" s="883"/>
      <c r="BZ663" s="883"/>
      <c r="CA663" s="883"/>
      <c r="CB663" s="883"/>
      <c r="CC663" s="883"/>
      <c r="CD663" s="884"/>
      <c r="CE663" s="883"/>
      <c r="CF663" s="883"/>
      <c r="CG663" s="883"/>
      <c r="CH663" s="883"/>
      <c r="CI663" s="883"/>
      <c r="CJ663" s="883"/>
      <c r="CK663" s="883"/>
      <c r="CL663" s="883"/>
      <c r="CM663" s="883"/>
      <c r="CN663" s="883"/>
      <c r="CO663" s="883"/>
      <c r="CP663" s="883"/>
      <c r="CQ663" s="883"/>
      <c r="CR663" s="883"/>
      <c r="CS663" s="883"/>
      <c r="CT663" s="883"/>
      <c r="CU663" s="883"/>
      <c r="CV663" s="863"/>
      <c r="CW663" s="863"/>
      <c r="CX663" s="863"/>
      <c r="CY663" s="863"/>
      <c r="CZ663" s="863"/>
      <c r="DA663" s="863"/>
      <c r="DB663" s="863"/>
      <c r="DC663" s="863"/>
      <c r="DD663" s="863"/>
      <c r="DE663" s="863"/>
    </row>
    <row r="664">
      <c r="A664" s="876"/>
      <c r="B664" s="876"/>
      <c r="C664" s="876"/>
      <c r="D664" s="876"/>
      <c r="E664" s="876"/>
      <c r="F664" s="876"/>
      <c r="G664" s="876"/>
      <c r="H664" s="876"/>
      <c r="I664" s="876"/>
      <c r="J664" s="876"/>
      <c r="K664" s="876"/>
      <c r="L664" s="876"/>
      <c r="M664" s="876"/>
      <c r="N664" s="877"/>
      <c r="O664" s="876"/>
      <c r="P664" s="876"/>
      <c r="Q664" s="876"/>
      <c r="R664" s="876"/>
      <c r="S664" s="876"/>
      <c r="T664" s="876"/>
      <c r="U664" s="876"/>
      <c r="V664" s="876"/>
      <c r="W664" s="876"/>
      <c r="X664" s="876"/>
      <c r="Y664" s="876"/>
      <c r="Z664" s="876"/>
      <c r="AA664" s="876"/>
      <c r="AB664" s="876"/>
      <c r="AC664" s="876"/>
      <c r="AD664" s="876"/>
      <c r="AE664" s="876"/>
      <c r="AF664" s="876"/>
      <c r="AG664" s="876"/>
      <c r="AH664" s="876"/>
      <c r="AI664" s="878"/>
      <c r="AJ664" s="880"/>
      <c r="AK664" s="880"/>
      <c r="AL664" s="880"/>
      <c r="AM664" s="880"/>
      <c r="AN664" s="880"/>
      <c r="AO664" s="880"/>
      <c r="AP664" s="880"/>
      <c r="AQ664" s="880"/>
      <c r="AR664" s="880"/>
      <c r="AS664" s="880"/>
      <c r="AT664" s="880"/>
      <c r="AU664" s="880"/>
      <c r="AV664" s="880"/>
      <c r="AW664" s="881"/>
      <c r="AX664" s="863"/>
      <c r="AY664" s="863"/>
      <c r="AZ664" s="863"/>
      <c r="BA664" s="863"/>
      <c r="BB664" s="863"/>
      <c r="BC664" s="863"/>
      <c r="BD664" s="863"/>
      <c r="BE664" s="863"/>
      <c r="BF664" s="863"/>
      <c r="BG664" s="863"/>
      <c r="BH664" s="863"/>
      <c r="BI664" s="863"/>
      <c r="BJ664" s="863"/>
      <c r="BK664" s="863"/>
      <c r="BL664" s="863"/>
      <c r="BM664" s="863"/>
      <c r="BN664" s="863"/>
      <c r="BO664" s="863"/>
      <c r="BP664" s="880"/>
      <c r="BQ664" s="863"/>
      <c r="BR664" s="883"/>
      <c r="BS664" s="883"/>
      <c r="BT664" s="883"/>
      <c r="BU664" s="883"/>
      <c r="BV664" s="883"/>
      <c r="BW664" s="883"/>
      <c r="BX664" s="883"/>
      <c r="BY664" s="883"/>
      <c r="BZ664" s="883"/>
      <c r="CA664" s="883"/>
      <c r="CB664" s="883"/>
      <c r="CC664" s="883"/>
      <c r="CD664" s="884"/>
      <c r="CE664" s="883"/>
      <c r="CF664" s="883"/>
      <c r="CG664" s="883"/>
      <c r="CH664" s="883"/>
      <c r="CI664" s="883"/>
      <c r="CJ664" s="883"/>
      <c r="CK664" s="883"/>
      <c r="CL664" s="883"/>
      <c r="CM664" s="883"/>
      <c r="CN664" s="883"/>
      <c r="CO664" s="883"/>
      <c r="CP664" s="883"/>
      <c r="CQ664" s="883"/>
      <c r="CR664" s="883"/>
      <c r="CS664" s="883"/>
      <c r="CT664" s="883"/>
      <c r="CU664" s="883"/>
      <c r="CV664" s="863"/>
      <c r="CW664" s="863"/>
      <c r="CX664" s="863"/>
      <c r="CY664" s="863"/>
      <c r="CZ664" s="863"/>
      <c r="DA664" s="863"/>
      <c r="DB664" s="863"/>
      <c r="DC664" s="863"/>
      <c r="DD664" s="863"/>
      <c r="DE664" s="863"/>
    </row>
    <row r="665">
      <c r="A665" s="876"/>
      <c r="B665" s="876"/>
      <c r="C665" s="876"/>
      <c r="D665" s="876"/>
      <c r="E665" s="876"/>
      <c r="F665" s="876"/>
      <c r="G665" s="876"/>
      <c r="H665" s="876"/>
      <c r="I665" s="876"/>
      <c r="J665" s="876"/>
      <c r="K665" s="876"/>
      <c r="L665" s="876"/>
      <c r="M665" s="876"/>
      <c r="N665" s="877"/>
      <c r="O665" s="876"/>
      <c r="P665" s="876"/>
      <c r="Q665" s="876"/>
      <c r="R665" s="876"/>
      <c r="S665" s="876"/>
      <c r="T665" s="876"/>
      <c r="U665" s="876"/>
      <c r="V665" s="876"/>
      <c r="W665" s="876"/>
      <c r="X665" s="876"/>
      <c r="Y665" s="876"/>
      <c r="Z665" s="876"/>
      <c r="AA665" s="876"/>
      <c r="AB665" s="876"/>
      <c r="AC665" s="876"/>
      <c r="AD665" s="876"/>
      <c r="AE665" s="876"/>
      <c r="AF665" s="876"/>
      <c r="AG665" s="876"/>
      <c r="AH665" s="876"/>
      <c r="AI665" s="878"/>
      <c r="AJ665" s="880"/>
      <c r="AK665" s="880"/>
      <c r="AL665" s="880"/>
      <c r="AM665" s="880"/>
      <c r="AN665" s="880"/>
      <c r="AO665" s="880"/>
      <c r="AP665" s="880"/>
      <c r="AQ665" s="880"/>
      <c r="AR665" s="880"/>
      <c r="AS665" s="880"/>
      <c r="AT665" s="880"/>
      <c r="AU665" s="880"/>
      <c r="AV665" s="880"/>
      <c r="AW665" s="881"/>
      <c r="AX665" s="863"/>
      <c r="AY665" s="863"/>
      <c r="AZ665" s="863"/>
      <c r="BA665" s="863"/>
      <c r="BB665" s="863"/>
      <c r="BC665" s="863"/>
      <c r="BD665" s="863"/>
      <c r="BE665" s="863"/>
      <c r="BF665" s="863"/>
      <c r="BG665" s="863"/>
      <c r="BH665" s="863"/>
      <c r="BI665" s="863"/>
      <c r="BJ665" s="863"/>
      <c r="BK665" s="863"/>
      <c r="BL665" s="863"/>
      <c r="BM665" s="863"/>
      <c r="BN665" s="863"/>
      <c r="BO665" s="863"/>
      <c r="BP665" s="880"/>
      <c r="BQ665" s="863"/>
      <c r="BR665" s="883"/>
      <c r="BS665" s="883"/>
      <c r="BT665" s="883"/>
      <c r="BU665" s="883"/>
      <c r="BV665" s="883"/>
      <c r="BW665" s="883"/>
      <c r="BX665" s="883"/>
      <c r="BY665" s="883"/>
      <c r="BZ665" s="883"/>
      <c r="CA665" s="883"/>
      <c r="CB665" s="883"/>
      <c r="CC665" s="883"/>
      <c r="CD665" s="884"/>
      <c r="CE665" s="883"/>
      <c r="CF665" s="883"/>
      <c r="CG665" s="883"/>
      <c r="CH665" s="883"/>
      <c r="CI665" s="883"/>
      <c r="CJ665" s="883"/>
      <c r="CK665" s="883"/>
      <c r="CL665" s="883"/>
      <c r="CM665" s="883"/>
      <c r="CN665" s="883"/>
      <c r="CO665" s="883"/>
      <c r="CP665" s="883"/>
      <c r="CQ665" s="883"/>
      <c r="CR665" s="883"/>
      <c r="CS665" s="883"/>
      <c r="CT665" s="883"/>
      <c r="CU665" s="883"/>
      <c r="CV665" s="863"/>
      <c r="CW665" s="863"/>
      <c r="CX665" s="863"/>
      <c r="CY665" s="863"/>
      <c r="CZ665" s="863"/>
      <c r="DA665" s="863"/>
      <c r="DB665" s="863"/>
      <c r="DC665" s="863"/>
      <c r="DD665" s="863"/>
      <c r="DE665" s="863"/>
    </row>
    <row r="666">
      <c r="A666" s="876"/>
      <c r="B666" s="876"/>
      <c r="C666" s="876"/>
      <c r="D666" s="876"/>
      <c r="E666" s="876"/>
      <c r="F666" s="876"/>
      <c r="G666" s="876"/>
      <c r="H666" s="876"/>
      <c r="I666" s="876"/>
      <c r="J666" s="876"/>
      <c r="K666" s="876"/>
      <c r="L666" s="876"/>
      <c r="M666" s="876"/>
      <c r="N666" s="877"/>
      <c r="O666" s="876"/>
      <c r="P666" s="876"/>
      <c r="Q666" s="876"/>
      <c r="R666" s="876"/>
      <c r="S666" s="876"/>
      <c r="T666" s="876"/>
      <c r="U666" s="876"/>
      <c r="V666" s="876"/>
      <c r="W666" s="876"/>
      <c r="X666" s="876"/>
      <c r="Y666" s="876"/>
      <c r="Z666" s="876"/>
      <c r="AA666" s="876"/>
      <c r="AB666" s="876"/>
      <c r="AC666" s="876"/>
      <c r="AD666" s="876"/>
      <c r="AE666" s="876"/>
      <c r="AF666" s="876"/>
      <c r="AG666" s="876"/>
      <c r="AH666" s="876"/>
      <c r="AI666" s="878"/>
      <c r="AJ666" s="880"/>
      <c r="AK666" s="880"/>
      <c r="AL666" s="880"/>
      <c r="AM666" s="880"/>
      <c r="AN666" s="880"/>
      <c r="AO666" s="880"/>
      <c r="AP666" s="880"/>
      <c r="AQ666" s="880"/>
      <c r="AR666" s="880"/>
      <c r="AS666" s="880"/>
      <c r="AT666" s="880"/>
      <c r="AU666" s="880"/>
      <c r="AV666" s="880"/>
      <c r="AW666" s="881"/>
      <c r="AX666" s="863"/>
      <c r="AY666" s="863"/>
      <c r="AZ666" s="863"/>
      <c r="BA666" s="863"/>
      <c r="BB666" s="863"/>
      <c r="BC666" s="863"/>
      <c r="BD666" s="863"/>
      <c r="BE666" s="863"/>
      <c r="BF666" s="863"/>
      <c r="BG666" s="863"/>
      <c r="BH666" s="863"/>
      <c r="BI666" s="863"/>
      <c r="BJ666" s="863"/>
      <c r="BK666" s="863"/>
      <c r="BL666" s="863"/>
      <c r="BM666" s="863"/>
      <c r="BN666" s="863"/>
      <c r="BO666" s="863"/>
      <c r="BP666" s="880"/>
      <c r="BQ666" s="863"/>
      <c r="BR666" s="883"/>
      <c r="BS666" s="883"/>
      <c r="BT666" s="883"/>
      <c r="BU666" s="883"/>
      <c r="BV666" s="883"/>
      <c r="BW666" s="883"/>
      <c r="BX666" s="883"/>
      <c r="BY666" s="883"/>
      <c r="BZ666" s="883"/>
      <c r="CA666" s="883"/>
      <c r="CB666" s="883"/>
      <c r="CC666" s="883"/>
      <c r="CD666" s="884"/>
      <c r="CE666" s="883"/>
      <c r="CF666" s="883"/>
      <c r="CG666" s="883"/>
      <c r="CH666" s="883"/>
      <c r="CI666" s="883"/>
      <c r="CJ666" s="883"/>
      <c r="CK666" s="883"/>
      <c r="CL666" s="883"/>
      <c r="CM666" s="883"/>
      <c r="CN666" s="883"/>
      <c r="CO666" s="883"/>
      <c r="CP666" s="883"/>
      <c r="CQ666" s="883"/>
      <c r="CR666" s="883"/>
      <c r="CS666" s="883"/>
      <c r="CT666" s="883"/>
      <c r="CU666" s="883"/>
      <c r="CV666" s="863"/>
      <c r="CW666" s="863"/>
      <c r="CX666" s="863"/>
      <c r="CY666" s="863"/>
      <c r="CZ666" s="863"/>
      <c r="DA666" s="863"/>
      <c r="DB666" s="863"/>
      <c r="DC666" s="863"/>
      <c r="DD666" s="863"/>
      <c r="DE666" s="863"/>
    </row>
    <row r="667">
      <c r="A667" s="876"/>
      <c r="B667" s="876"/>
      <c r="C667" s="876"/>
      <c r="D667" s="876"/>
      <c r="E667" s="876"/>
      <c r="F667" s="876"/>
      <c r="G667" s="876"/>
      <c r="H667" s="876"/>
      <c r="I667" s="876"/>
      <c r="J667" s="876"/>
      <c r="K667" s="876"/>
      <c r="L667" s="876"/>
      <c r="M667" s="876"/>
      <c r="N667" s="877"/>
      <c r="O667" s="876"/>
      <c r="P667" s="876"/>
      <c r="Q667" s="876"/>
      <c r="R667" s="876"/>
      <c r="S667" s="876"/>
      <c r="T667" s="876"/>
      <c r="U667" s="876"/>
      <c r="V667" s="876"/>
      <c r="W667" s="876"/>
      <c r="X667" s="876"/>
      <c r="Y667" s="876"/>
      <c r="Z667" s="876"/>
      <c r="AA667" s="876"/>
      <c r="AB667" s="876"/>
      <c r="AC667" s="876"/>
      <c r="AD667" s="876"/>
      <c r="AE667" s="876"/>
      <c r="AF667" s="876"/>
      <c r="AG667" s="876"/>
      <c r="AH667" s="876"/>
      <c r="AI667" s="878"/>
      <c r="AJ667" s="880"/>
      <c r="AK667" s="880"/>
      <c r="AL667" s="880"/>
      <c r="AM667" s="880"/>
      <c r="AN667" s="880"/>
      <c r="AO667" s="880"/>
      <c r="AP667" s="880"/>
      <c r="AQ667" s="880"/>
      <c r="AR667" s="880"/>
      <c r="AS667" s="880"/>
      <c r="AT667" s="880"/>
      <c r="AU667" s="880"/>
      <c r="AV667" s="880"/>
      <c r="AW667" s="881"/>
      <c r="AX667" s="863"/>
      <c r="AY667" s="863"/>
      <c r="AZ667" s="863"/>
      <c r="BA667" s="863"/>
      <c r="BB667" s="863"/>
      <c r="BC667" s="863"/>
      <c r="BD667" s="863"/>
      <c r="BE667" s="863"/>
      <c r="BF667" s="863"/>
      <c r="BG667" s="863"/>
      <c r="BH667" s="863"/>
      <c r="BI667" s="863"/>
      <c r="BJ667" s="863"/>
      <c r="BK667" s="863"/>
      <c r="BL667" s="863"/>
      <c r="BM667" s="863"/>
      <c r="BN667" s="863"/>
      <c r="BO667" s="863"/>
      <c r="BP667" s="880"/>
      <c r="BQ667" s="863"/>
      <c r="BR667" s="883"/>
      <c r="BS667" s="883"/>
      <c r="BT667" s="883"/>
      <c r="BU667" s="883"/>
      <c r="BV667" s="883"/>
      <c r="BW667" s="883"/>
      <c r="BX667" s="883"/>
      <c r="BY667" s="883"/>
      <c r="BZ667" s="883"/>
      <c r="CA667" s="883"/>
      <c r="CB667" s="883"/>
      <c r="CC667" s="883"/>
      <c r="CD667" s="884"/>
      <c r="CE667" s="883"/>
      <c r="CF667" s="883"/>
      <c r="CG667" s="883"/>
      <c r="CH667" s="883"/>
      <c r="CI667" s="883"/>
      <c r="CJ667" s="883"/>
      <c r="CK667" s="883"/>
      <c r="CL667" s="883"/>
      <c r="CM667" s="883"/>
      <c r="CN667" s="883"/>
      <c r="CO667" s="883"/>
      <c r="CP667" s="883"/>
      <c r="CQ667" s="883"/>
      <c r="CR667" s="883"/>
      <c r="CS667" s="883"/>
      <c r="CT667" s="883"/>
      <c r="CU667" s="883"/>
      <c r="CV667" s="863"/>
      <c r="CW667" s="863"/>
      <c r="CX667" s="863"/>
      <c r="CY667" s="863"/>
      <c r="CZ667" s="863"/>
      <c r="DA667" s="863"/>
      <c r="DB667" s="863"/>
      <c r="DC667" s="863"/>
      <c r="DD667" s="863"/>
      <c r="DE667" s="863"/>
    </row>
    <row r="668">
      <c r="A668" s="876"/>
      <c r="B668" s="876"/>
      <c r="C668" s="876"/>
      <c r="D668" s="876"/>
      <c r="E668" s="876"/>
      <c r="F668" s="876"/>
      <c r="G668" s="876"/>
      <c r="H668" s="876"/>
      <c r="I668" s="876"/>
      <c r="J668" s="876"/>
      <c r="K668" s="876"/>
      <c r="L668" s="876"/>
      <c r="M668" s="876"/>
      <c r="N668" s="877"/>
      <c r="O668" s="876"/>
      <c r="P668" s="876"/>
      <c r="Q668" s="876"/>
      <c r="R668" s="876"/>
      <c r="S668" s="876"/>
      <c r="T668" s="876"/>
      <c r="U668" s="876"/>
      <c r="V668" s="876"/>
      <c r="W668" s="876"/>
      <c r="X668" s="876"/>
      <c r="Y668" s="876"/>
      <c r="Z668" s="876"/>
      <c r="AA668" s="876"/>
      <c r="AB668" s="876"/>
      <c r="AC668" s="876"/>
      <c r="AD668" s="876"/>
      <c r="AE668" s="876"/>
      <c r="AF668" s="876"/>
      <c r="AG668" s="876"/>
      <c r="AH668" s="876"/>
      <c r="AI668" s="878"/>
      <c r="AJ668" s="880"/>
      <c r="AK668" s="880"/>
      <c r="AL668" s="880"/>
      <c r="AM668" s="880"/>
      <c r="AN668" s="880"/>
      <c r="AO668" s="880"/>
      <c r="AP668" s="880"/>
      <c r="AQ668" s="880"/>
      <c r="AR668" s="880"/>
      <c r="AS668" s="880"/>
      <c r="AT668" s="880"/>
      <c r="AU668" s="880"/>
      <c r="AV668" s="880"/>
      <c r="AW668" s="881"/>
      <c r="AX668" s="863"/>
      <c r="AY668" s="863"/>
      <c r="AZ668" s="863"/>
      <c r="BA668" s="863"/>
      <c r="BB668" s="863"/>
      <c r="BC668" s="863"/>
      <c r="BD668" s="863"/>
      <c r="BE668" s="863"/>
      <c r="BF668" s="863"/>
      <c r="BG668" s="863"/>
      <c r="BH668" s="863"/>
      <c r="BI668" s="863"/>
      <c r="BJ668" s="863"/>
      <c r="BK668" s="863"/>
      <c r="BL668" s="863"/>
      <c r="BM668" s="863"/>
      <c r="BN668" s="863"/>
      <c r="BO668" s="863"/>
      <c r="BP668" s="880"/>
      <c r="BQ668" s="863"/>
      <c r="BR668" s="883"/>
      <c r="BS668" s="883"/>
      <c r="BT668" s="883"/>
      <c r="BU668" s="883"/>
      <c r="BV668" s="883"/>
      <c r="BW668" s="883"/>
      <c r="BX668" s="883"/>
      <c r="BY668" s="883"/>
      <c r="BZ668" s="883"/>
      <c r="CA668" s="883"/>
      <c r="CB668" s="883"/>
      <c r="CC668" s="883"/>
      <c r="CD668" s="884"/>
      <c r="CE668" s="883"/>
      <c r="CF668" s="883"/>
      <c r="CG668" s="883"/>
      <c r="CH668" s="883"/>
      <c r="CI668" s="883"/>
      <c r="CJ668" s="883"/>
      <c r="CK668" s="883"/>
      <c r="CL668" s="883"/>
      <c r="CM668" s="883"/>
      <c r="CN668" s="883"/>
      <c r="CO668" s="883"/>
      <c r="CP668" s="883"/>
      <c r="CQ668" s="883"/>
      <c r="CR668" s="883"/>
      <c r="CS668" s="883"/>
      <c r="CT668" s="883"/>
      <c r="CU668" s="883"/>
      <c r="CV668" s="863"/>
      <c r="CW668" s="863"/>
      <c r="CX668" s="863"/>
      <c r="CY668" s="863"/>
      <c r="CZ668" s="863"/>
      <c r="DA668" s="863"/>
      <c r="DB668" s="863"/>
      <c r="DC668" s="863"/>
      <c r="DD668" s="863"/>
      <c r="DE668" s="863"/>
    </row>
    <row r="669">
      <c r="A669" s="876"/>
      <c r="B669" s="876"/>
      <c r="C669" s="876"/>
      <c r="D669" s="876"/>
      <c r="E669" s="876"/>
      <c r="F669" s="876"/>
      <c r="G669" s="876"/>
      <c r="H669" s="876"/>
      <c r="I669" s="876"/>
      <c r="J669" s="876"/>
      <c r="K669" s="876"/>
      <c r="L669" s="876"/>
      <c r="M669" s="876"/>
      <c r="N669" s="877"/>
      <c r="O669" s="876"/>
      <c r="P669" s="876"/>
      <c r="Q669" s="876"/>
      <c r="R669" s="876"/>
      <c r="S669" s="876"/>
      <c r="T669" s="876"/>
      <c r="U669" s="876"/>
      <c r="V669" s="876"/>
      <c r="W669" s="876"/>
      <c r="X669" s="876"/>
      <c r="Y669" s="876"/>
      <c r="Z669" s="876"/>
      <c r="AA669" s="876"/>
      <c r="AB669" s="876"/>
      <c r="AC669" s="876"/>
      <c r="AD669" s="876"/>
      <c r="AE669" s="876"/>
      <c r="AF669" s="876"/>
      <c r="AG669" s="876"/>
      <c r="AH669" s="876"/>
      <c r="AI669" s="878"/>
      <c r="AJ669" s="880"/>
      <c r="AK669" s="880"/>
      <c r="AL669" s="880"/>
      <c r="AM669" s="880"/>
      <c r="AN669" s="880"/>
      <c r="AO669" s="880"/>
      <c r="AP669" s="880"/>
      <c r="AQ669" s="880"/>
      <c r="AR669" s="880"/>
      <c r="AS669" s="880"/>
      <c r="AT669" s="880"/>
      <c r="AU669" s="880"/>
      <c r="AV669" s="880"/>
      <c r="AW669" s="881"/>
      <c r="AX669" s="863"/>
      <c r="AY669" s="863"/>
      <c r="AZ669" s="863"/>
      <c r="BA669" s="863"/>
      <c r="BB669" s="863"/>
      <c r="BC669" s="863"/>
      <c r="BD669" s="863"/>
      <c r="BE669" s="863"/>
      <c r="BF669" s="863"/>
      <c r="BG669" s="863"/>
      <c r="BH669" s="863"/>
      <c r="BI669" s="863"/>
      <c r="BJ669" s="863"/>
      <c r="BK669" s="863"/>
      <c r="BL669" s="863"/>
      <c r="BM669" s="863"/>
      <c r="BN669" s="863"/>
      <c r="BO669" s="863"/>
      <c r="BP669" s="880"/>
      <c r="BQ669" s="863"/>
      <c r="BR669" s="883"/>
      <c r="BS669" s="883"/>
      <c r="BT669" s="883"/>
      <c r="BU669" s="883"/>
      <c r="BV669" s="883"/>
      <c r="BW669" s="883"/>
      <c r="BX669" s="883"/>
      <c r="BY669" s="883"/>
      <c r="BZ669" s="883"/>
      <c r="CA669" s="883"/>
      <c r="CB669" s="883"/>
      <c r="CC669" s="883"/>
      <c r="CD669" s="884"/>
      <c r="CE669" s="883"/>
      <c r="CF669" s="883"/>
      <c r="CG669" s="883"/>
      <c r="CH669" s="883"/>
      <c r="CI669" s="883"/>
      <c r="CJ669" s="883"/>
      <c r="CK669" s="883"/>
      <c r="CL669" s="883"/>
      <c r="CM669" s="883"/>
      <c r="CN669" s="883"/>
      <c r="CO669" s="883"/>
      <c r="CP669" s="883"/>
      <c r="CQ669" s="883"/>
      <c r="CR669" s="883"/>
      <c r="CS669" s="883"/>
      <c r="CT669" s="883"/>
      <c r="CU669" s="883"/>
      <c r="CV669" s="863"/>
      <c r="CW669" s="863"/>
      <c r="CX669" s="863"/>
      <c r="CY669" s="863"/>
      <c r="CZ669" s="863"/>
      <c r="DA669" s="863"/>
      <c r="DB669" s="863"/>
      <c r="DC669" s="863"/>
      <c r="DD669" s="863"/>
      <c r="DE669" s="863"/>
    </row>
    <row r="670">
      <c r="A670" s="876"/>
      <c r="B670" s="876"/>
      <c r="C670" s="876"/>
      <c r="D670" s="876"/>
      <c r="E670" s="876"/>
      <c r="F670" s="876"/>
      <c r="G670" s="876"/>
      <c r="H670" s="876"/>
      <c r="I670" s="876"/>
      <c r="J670" s="876"/>
      <c r="K670" s="876"/>
      <c r="L670" s="876"/>
      <c r="M670" s="876"/>
      <c r="N670" s="877"/>
      <c r="O670" s="876"/>
      <c r="P670" s="876"/>
      <c r="Q670" s="876"/>
      <c r="R670" s="876"/>
      <c r="S670" s="876"/>
      <c r="T670" s="876"/>
      <c r="U670" s="876"/>
      <c r="V670" s="876"/>
      <c r="W670" s="876"/>
      <c r="X670" s="876"/>
      <c r="Y670" s="876"/>
      <c r="Z670" s="876"/>
      <c r="AA670" s="876"/>
      <c r="AB670" s="876"/>
      <c r="AC670" s="876"/>
      <c r="AD670" s="876"/>
      <c r="AE670" s="876"/>
      <c r="AF670" s="876"/>
      <c r="AG670" s="876"/>
      <c r="AH670" s="876"/>
      <c r="AI670" s="878"/>
      <c r="AJ670" s="880"/>
      <c r="AK670" s="880"/>
      <c r="AL670" s="880"/>
      <c r="AM670" s="880"/>
      <c r="AN670" s="880"/>
      <c r="AO670" s="880"/>
      <c r="AP670" s="880"/>
      <c r="AQ670" s="880"/>
      <c r="AR670" s="880"/>
      <c r="AS670" s="880"/>
      <c r="AT670" s="880"/>
      <c r="AU670" s="880"/>
      <c r="AV670" s="880"/>
      <c r="AW670" s="881"/>
      <c r="AX670" s="863"/>
      <c r="AY670" s="863"/>
      <c r="AZ670" s="863"/>
      <c r="BA670" s="863"/>
      <c r="BB670" s="863"/>
      <c r="BC670" s="863"/>
      <c r="BD670" s="863"/>
      <c r="BE670" s="863"/>
      <c r="BF670" s="863"/>
      <c r="BG670" s="863"/>
      <c r="BH670" s="863"/>
      <c r="BI670" s="863"/>
      <c r="BJ670" s="863"/>
      <c r="BK670" s="863"/>
      <c r="BL670" s="863"/>
      <c r="BM670" s="863"/>
      <c r="BN670" s="863"/>
      <c r="BO670" s="863"/>
      <c r="BP670" s="880"/>
      <c r="BQ670" s="863"/>
      <c r="BR670" s="883"/>
      <c r="BS670" s="883"/>
      <c r="BT670" s="883"/>
      <c r="BU670" s="883"/>
      <c r="BV670" s="883"/>
      <c r="BW670" s="883"/>
      <c r="BX670" s="883"/>
      <c r="BY670" s="883"/>
      <c r="BZ670" s="883"/>
      <c r="CA670" s="883"/>
      <c r="CB670" s="883"/>
      <c r="CC670" s="883"/>
      <c r="CD670" s="884"/>
      <c r="CE670" s="883"/>
      <c r="CF670" s="883"/>
      <c r="CG670" s="883"/>
      <c r="CH670" s="883"/>
      <c r="CI670" s="883"/>
      <c r="CJ670" s="883"/>
      <c r="CK670" s="883"/>
      <c r="CL670" s="883"/>
      <c r="CM670" s="883"/>
      <c r="CN670" s="883"/>
      <c r="CO670" s="883"/>
      <c r="CP670" s="883"/>
      <c r="CQ670" s="883"/>
      <c r="CR670" s="883"/>
      <c r="CS670" s="883"/>
      <c r="CT670" s="883"/>
      <c r="CU670" s="883"/>
      <c r="CV670" s="863"/>
      <c r="CW670" s="863"/>
      <c r="CX670" s="863"/>
      <c r="CY670" s="863"/>
      <c r="CZ670" s="863"/>
      <c r="DA670" s="863"/>
      <c r="DB670" s="863"/>
      <c r="DC670" s="863"/>
      <c r="DD670" s="863"/>
      <c r="DE670" s="863"/>
    </row>
    <row r="671">
      <c r="A671" s="876"/>
      <c r="B671" s="876"/>
      <c r="C671" s="876"/>
      <c r="D671" s="876"/>
      <c r="E671" s="876"/>
      <c r="F671" s="876"/>
      <c r="G671" s="876"/>
      <c r="H671" s="876"/>
      <c r="I671" s="876"/>
      <c r="J671" s="876"/>
      <c r="K671" s="876"/>
      <c r="L671" s="876"/>
      <c r="M671" s="876"/>
      <c r="N671" s="877"/>
      <c r="O671" s="876"/>
      <c r="P671" s="876"/>
      <c r="Q671" s="876"/>
      <c r="R671" s="876"/>
      <c r="S671" s="876"/>
      <c r="T671" s="876"/>
      <c r="U671" s="876"/>
      <c r="V671" s="876"/>
      <c r="W671" s="876"/>
      <c r="X671" s="876"/>
      <c r="Y671" s="876"/>
      <c r="Z671" s="876"/>
      <c r="AA671" s="876"/>
      <c r="AB671" s="876"/>
      <c r="AC671" s="876"/>
      <c r="AD671" s="876"/>
      <c r="AE671" s="876"/>
      <c r="AF671" s="876"/>
      <c r="AG671" s="876"/>
      <c r="AH671" s="876"/>
      <c r="AI671" s="878"/>
      <c r="AJ671" s="880"/>
      <c r="AK671" s="880"/>
      <c r="AL671" s="880"/>
      <c r="AM671" s="880"/>
      <c r="AN671" s="880"/>
      <c r="AO671" s="880"/>
      <c r="AP671" s="880"/>
      <c r="AQ671" s="880"/>
      <c r="AR671" s="880"/>
      <c r="AS671" s="880"/>
      <c r="AT671" s="880"/>
      <c r="AU671" s="880"/>
      <c r="AV671" s="880"/>
      <c r="AW671" s="881"/>
      <c r="AX671" s="863"/>
      <c r="AY671" s="863"/>
      <c r="AZ671" s="863"/>
      <c r="BA671" s="863"/>
      <c r="BB671" s="863"/>
      <c r="BC671" s="863"/>
      <c r="BD671" s="863"/>
      <c r="BE671" s="863"/>
      <c r="BF671" s="863"/>
      <c r="BG671" s="863"/>
      <c r="BH671" s="863"/>
      <c r="BI671" s="863"/>
      <c r="BJ671" s="863"/>
      <c r="BK671" s="863"/>
      <c r="BL671" s="863"/>
      <c r="BM671" s="863"/>
      <c r="BN671" s="863"/>
      <c r="BO671" s="863"/>
      <c r="BP671" s="880"/>
      <c r="BQ671" s="863"/>
      <c r="BR671" s="883"/>
      <c r="BS671" s="883"/>
      <c r="BT671" s="883"/>
      <c r="BU671" s="883"/>
      <c r="BV671" s="883"/>
      <c r="BW671" s="883"/>
      <c r="BX671" s="883"/>
      <c r="BY671" s="883"/>
      <c r="BZ671" s="883"/>
      <c r="CA671" s="883"/>
      <c r="CB671" s="883"/>
      <c r="CC671" s="883"/>
      <c r="CD671" s="884"/>
      <c r="CE671" s="883"/>
      <c r="CF671" s="883"/>
      <c r="CG671" s="883"/>
      <c r="CH671" s="883"/>
      <c r="CI671" s="883"/>
      <c r="CJ671" s="883"/>
      <c r="CK671" s="883"/>
      <c r="CL671" s="883"/>
      <c r="CM671" s="883"/>
      <c r="CN671" s="883"/>
      <c r="CO671" s="883"/>
      <c r="CP671" s="883"/>
      <c r="CQ671" s="883"/>
      <c r="CR671" s="883"/>
      <c r="CS671" s="883"/>
      <c r="CT671" s="883"/>
      <c r="CU671" s="883"/>
      <c r="CV671" s="863"/>
      <c r="CW671" s="863"/>
      <c r="CX671" s="863"/>
      <c r="CY671" s="863"/>
      <c r="CZ671" s="863"/>
      <c r="DA671" s="863"/>
      <c r="DB671" s="863"/>
      <c r="DC671" s="863"/>
      <c r="DD671" s="863"/>
      <c r="DE671" s="863"/>
    </row>
    <row r="672">
      <c r="A672" s="876"/>
      <c r="B672" s="876"/>
      <c r="C672" s="876"/>
      <c r="D672" s="876"/>
      <c r="E672" s="876"/>
      <c r="F672" s="876"/>
      <c r="G672" s="876"/>
      <c r="H672" s="876"/>
      <c r="I672" s="876"/>
      <c r="J672" s="876"/>
      <c r="K672" s="876"/>
      <c r="L672" s="876"/>
      <c r="M672" s="876"/>
      <c r="N672" s="877"/>
      <c r="O672" s="876"/>
      <c r="P672" s="876"/>
      <c r="Q672" s="876"/>
      <c r="R672" s="876"/>
      <c r="S672" s="876"/>
      <c r="T672" s="876"/>
      <c r="U672" s="876"/>
      <c r="V672" s="876"/>
      <c r="W672" s="876"/>
      <c r="X672" s="876"/>
      <c r="Y672" s="876"/>
      <c r="Z672" s="876"/>
      <c r="AA672" s="876"/>
      <c r="AB672" s="876"/>
      <c r="AC672" s="876"/>
      <c r="AD672" s="876"/>
      <c r="AE672" s="876"/>
      <c r="AF672" s="876"/>
      <c r="AG672" s="876"/>
      <c r="AH672" s="876"/>
      <c r="AI672" s="878"/>
      <c r="AJ672" s="880"/>
      <c r="AK672" s="880"/>
      <c r="AL672" s="880"/>
      <c r="AM672" s="880"/>
      <c r="AN672" s="880"/>
      <c r="AO672" s="880"/>
      <c r="AP672" s="880"/>
      <c r="AQ672" s="880"/>
      <c r="AR672" s="880"/>
      <c r="AS672" s="880"/>
      <c r="AT672" s="880"/>
      <c r="AU672" s="880"/>
      <c r="AV672" s="880"/>
      <c r="AW672" s="881"/>
      <c r="AX672" s="863"/>
      <c r="AY672" s="863"/>
      <c r="AZ672" s="863"/>
      <c r="BA672" s="863"/>
      <c r="BB672" s="863"/>
      <c r="BC672" s="863"/>
      <c r="BD672" s="863"/>
      <c r="BE672" s="863"/>
      <c r="BF672" s="863"/>
      <c r="BG672" s="863"/>
      <c r="BH672" s="863"/>
      <c r="BI672" s="863"/>
      <c r="BJ672" s="863"/>
      <c r="BK672" s="863"/>
      <c r="BL672" s="863"/>
      <c r="BM672" s="863"/>
      <c r="BN672" s="863"/>
      <c r="BO672" s="863"/>
      <c r="BP672" s="880"/>
      <c r="BQ672" s="863"/>
      <c r="BR672" s="883"/>
      <c r="BS672" s="883"/>
      <c r="BT672" s="883"/>
      <c r="BU672" s="883"/>
      <c r="BV672" s="883"/>
      <c r="BW672" s="883"/>
      <c r="BX672" s="883"/>
      <c r="BY672" s="883"/>
      <c r="BZ672" s="883"/>
      <c r="CA672" s="883"/>
      <c r="CB672" s="883"/>
      <c r="CC672" s="883"/>
      <c r="CD672" s="884"/>
      <c r="CE672" s="883"/>
      <c r="CF672" s="883"/>
      <c r="CG672" s="883"/>
      <c r="CH672" s="883"/>
      <c r="CI672" s="883"/>
      <c r="CJ672" s="883"/>
      <c r="CK672" s="883"/>
      <c r="CL672" s="883"/>
      <c r="CM672" s="883"/>
      <c r="CN672" s="883"/>
      <c r="CO672" s="883"/>
      <c r="CP672" s="883"/>
      <c r="CQ672" s="883"/>
      <c r="CR672" s="883"/>
      <c r="CS672" s="883"/>
      <c r="CT672" s="883"/>
      <c r="CU672" s="883"/>
      <c r="CV672" s="863"/>
      <c r="CW672" s="863"/>
      <c r="CX672" s="863"/>
      <c r="CY672" s="863"/>
      <c r="CZ672" s="863"/>
      <c r="DA672" s="863"/>
      <c r="DB672" s="863"/>
      <c r="DC672" s="863"/>
      <c r="DD672" s="863"/>
      <c r="DE672" s="863"/>
    </row>
    <row r="673">
      <c r="A673" s="876"/>
      <c r="B673" s="876"/>
      <c r="C673" s="876"/>
      <c r="D673" s="876"/>
      <c r="E673" s="876"/>
      <c r="F673" s="876"/>
      <c r="G673" s="876"/>
      <c r="H673" s="876"/>
      <c r="I673" s="876"/>
      <c r="J673" s="876"/>
      <c r="K673" s="876"/>
      <c r="L673" s="876"/>
      <c r="M673" s="876"/>
      <c r="N673" s="877"/>
      <c r="O673" s="876"/>
      <c r="P673" s="876"/>
      <c r="Q673" s="876"/>
      <c r="R673" s="876"/>
      <c r="S673" s="876"/>
      <c r="T673" s="876"/>
      <c r="U673" s="876"/>
      <c r="V673" s="876"/>
      <c r="W673" s="876"/>
      <c r="X673" s="876"/>
      <c r="Y673" s="876"/>
      <c r="Z673" s="876"/>
      <c r="AA673" s="876"/>
      <c r="AB673" s="876"/>
      <c r="AC673" s="876"/>
      <c r="AD673" s="876"/>
      <c r="AE673" s="876"/>
      <c r="AF673" s="876"/>
      <c r="AG673" s="876"/>
      <c r="AH673" s="876"/>
      <c r="AI673" s="878"/>
      <c r="AJ673" s="880"/>
      <c r="AK673" s="880"/>
      <c r="AL673" s="880"/>
      <c r="AM673" s="880"/>
      <c r="AN673" s="880"/>
      <c r="AO673" s="880"/>
      <c r="AP673" s="880"/>
      <c r="AQ673" s="880"/>
      <c r="AR673" s="880"/>
      <c r="AS673" s="880"/>
      <c r="AT673" s="880"/>
      <c r="AU673" s="880"/>
      <c r="AV673" s="880"/>
      <c r="AW673" s="881"/>
      <c r="AX673" s="863"/>
      <c r="AY673" s="863"/>
      <c r="AZ673" s="863"/>
      <c r="BA673" s="863"/>
      <c r="BB673" s="863"/>
      <c r="BC673" s="863"/>
      <c r="BD673" s="863"/>
      <c r="BE673" s="863"/>
      <c r="BF673" s="863"/>
      <c r="BG673" s="863"/>
      <c r="BH673" s="863"/>
      <c r="BI673" s="863"/>
      <c r="BJ673" s="863"/>
      <c r="BK673" s="863"/>
      <c r="BL673" s="863"/>
      <c r="BM673" s="863"/>
      <c r="BN673" s="863"/>
      <c r="BO673" s="863"/>
      <c r="BP673" s="880"/>
      <c r="BQ673" s="863"/>
      <c r="BR673" s="883"/>
      <c r="BS673" s="883"/>
      <c r="BT673" s="883"/>
      <c r="BU673" s="883"/>
      <c r="BV673" s="883"/>
      <c r="BW673" s="883"/>
      <c r="BX673" s="883"/>
      <c r="BY673" s="883"/>
      <c r="BZ673" s="883"/>
      <c r="CA673" s="883"/>
      <c r="CB673" s="883"/>
      <c r="CC673" s="883"/>
      <c r="CD673" s="884"/>
      <c r="CE673" s="883"/>
      <c r="CF673" s="883"/>
      <c r="CG673" s="883"/>
      <c r="CH673" s="883"/>
      <c r="CI673" s="883"/>
      <c r="CJ673" s="883"/>
      <c r="CK673" s="883"/>
      <c r="CL673" s="883"/>
      <c r="CM673" s="883"/>
      <c r="CN673" s="883"/>
      <c r="CO673" s="883"/>
      <c r="CP673" s="883"/>
      <c r="CQ673" s="883"/>
      <c r="CR673" s="883"/>
      <c r="CS673" s="883"/>
      <c r="CT673" s="883"/>
      <c r="CU673" s="883"/>
      <c r="CV673" s="863"/>
      <c r="CW673" s="863"/>
      <c r="CX673" s="863"/>
      <c r="CY673" s="863"/>
      <c r="CZ673" s="863"/>
      <c r="DA673" s="863"/>
      <c r="DB673" s="863"/>
      <c r="DC673" s="863"/>
      <c r="DD673" s="863"/>
      <c r="DE673" s="863"/>
    </row>
    <row r="674">
      <c r="A674" s="876"/>
      <c r="B674" s="876"/>
      <c r="C674" s="876"/>
      <c r="D674" s="876"/>
      <c r="E674" s="876"/>
      <c r="F674" s="876"/>
      <c r="G674" s="876"/>
      <c r="H674" s="876"/>
      <c r="I674" s="876"/>
      <c r="J674" s="876"/>
      <c r="K674" s="876"/>
      <c r="L674" s="876"/>
      <c r="M674" s="876"/>
      <c r="N674" s="877"/>
      <c r="O674" s="876"/>
      <c r="P674" s="876"/>
      <c r="Q674" s="876"/>
      <c r="R674" s="876"/>
      <c r="S674" s="876"/>
      <c r="T674" s="876"/>
      <c r="U674" s="876"/>
      <c r="V674" s="876"/>
      <c r="W674" s="876"/>
      <c r="X674" s="876"/>
      <c r="Y674" s="876"/>
      <c r="Z674" s="876"/>
      <c r="AA674" s="876"/>
      <c r="AB674" s="876"/>
      <c r="AC674" s="876"/>
      <c r="AD674" s="876"/>
      <c r="AE674" s="876"/>
      <c r="AF674" s="876"/>
      <c r="AG674" s="876"/>
      <c r="AH674" s="876"/>
      <c r="AI674" s="878"/>
      <c r="AJ674" s="880"/>
      <c r="AK674" s="880"/>
      <c r="AL674" s="880"/>
      <c r="AM674" s="880"/>
      <c r="AN674" s="880"/>
      <c r="AO674" s="880"/>
      <c r="AP674" s="880"/>
      <c r="AQ674" s="880"/>
      <c r="AR674" s="880"/>
      <c r="AS674" s="880"/>
      <c r="AT674" s="880"/>
      <c r="AU674" s="880"/>
      <c r="AV674" s="880"/>
      <c r="AW674" s="881"/>
      <c r="AX674" s="863"/>
      <c r="AY674" s="863"/>
      <c r="AZ674" s="863"/>
      <c r="BA674" s="863"/>
      <c r="BB674" s="863"/>
      <c r="BC674" s="863"/>
      <c r="BD674" s="863"/>
      <c r="BE674" s="863"/>
      <c r="BF674" s="863"/>
      <c r="BG674" s="863"/>
      <c r="BH674" s="863"/>
      <c r="BI674" s="863"/>
      <c r="BJ674" s="863"/>
      <c r="BK674" s="863"/>
      <c r="BL674" s="863"/>
      <c r="BM674" s="863"/>
      <c r="BN674" s="863"/>
      <c r="BO674" s="863"/>
      <c r="BP674" s="880"/>
      <c r="BQ674" s="863"/>
      <c r="BR674" s="883"/>
      <c r="BS674" s="883"/>
      <c r="BT674" s="883"/>
      <c r="BU674" s="883"/>
      <c r="BV674" s="883"/>
      <c r="BW674" s="883"/>
      <c r="BX674" s="883"/>
      <c r="BY674" s="883"/>
      <c r="BZ674" s="883"/>
      <c r="CA674" s="883"/>
      <c r="CB674" s="883"/>
      <c r="CC674" s="883"/>
      <c r="CD674" s="884"/>
      <c r="CE674" s="883"/>
      <c r="CF674" s="883"/>
      <c r="CG674" s="883"/>
      <c r="CH674" s="883"/>
      <c r="CI674" s="883"/>
      <c r="CJ674" s="883"/>
      <c r="CK674" s="883"/>
      <c r="CL674" s="883"/>
      <c r="CM674" s="883"/>
      <c r="CN674" s="883"/>
      <c r="CO674" s="883"/>
      <c r="CP674" s="883"/>
      <c r="CQ674" s="883"/>
      <c r="CR674" s="883"/>
      <c r="CS674" s="883"/>
      <c r="CT674" s="883"/>
      <c r="CU674" s="883"/>
      <c r="CV674" s="863"/>
      <c r="CW674" s="863"/>
      <c r="CX674" s="863"/>
      <c r="CY674" s="863"/>
      <c r="CZ674" s="863"/>
      <c r="DA674" s="863"/>
      <c r="DB674" s="863"/>
      <c r="DC674" s="863"/>
      <c r="DD674" s="863"/>
      <c r="DE674" s="863"/>
    </row>
    <row r="675">
      <c r="A675" s="876"/>
      <c r="B675" s="876"/>
      <c r="C675" s="876"/>
      <c r="D675" s="876"/>
      <c r="E675" s="876"/>
      <c r="F675" s="876"/>
      <c r="G675" s="876"/>
      <c r="H675" s="876"/>
      <c r="I675" s="876"/>
      <c r="J675" s="876"/>
      <c r="K675" s="876"/>
      <c r="L675" s="876"/>
      <c r="M675" s="876"/>
      <c r="N675" s="877"/>
      <c r="O675" s="876"/>
      <c r="P675" s="876"/>
      <c r="Q675" s="876"/>
      <c r="R675" s="876"/>
      <c r="S675" s="876"/>
      <c r="T675" s="876"/>
      <c r="U675" s="876"/>
      <c r="V675" s="876"/>
      <c r="W675" s="876"/>
      <c r="X675" s="876"/>
      <c r="Y675" s="876"/>
      <c r="Z675" s="876"/>
      <c r="AA675" s="876"/>
      <c r="AB675" s="876"/>
      <c r="AC675" s="876"/>
      <c r="AD675" s="876"/>
      <c r="AE675" s="876"/>
      <c r="AF675" s="876"/>
      <c r="AG675" s="876"/>
      <c r="AH675" s="876"/>
      <c r="AI675" s="878"/>
      <c r="AJ675" s="880"/>
      <c r="AK675" s="880"/>
      <c r="AL675" s="880"/>
      <c r="AM675" s="880"/>
      <c r="AN675" s="880"/>
      <c r="AO675" s="880"/>
      <c r="AP675" s="880"/>
      <c r="AQ675" s="880"/>
      <c r="AR675" s="880"/>
      <c r="AS675" s="880"/>
      <c r="AT675" s="880"/>
      <c r="AU675" s="880"/>
      <c r="AV675" s="880"/>
      <c r="AW675" s="881"/>
      <c r="AX675" s="863"/>
      <c r="AY675" s="863"/>
      <c r="AZ675" s="863"/>
      <c r="BA675" s="863"/>
      <c r="BB675" s="863"/>
      <c r="BC675" s="863"/>
      <c r="BD675" s="863"/>
      <c r="BE675" s="863"/>
      <c r="BF675" s="863"/>
      <c r="BG675" s="863"/>
      <c r="BH675" s="863"/>
      <c r="BI675" s="863"/>
      <c r="BJ675" s="863"/>
      <c r="BK675" s="863"/>
      <c r="BL675" s="863"/>
      <c r="BM675" s="863"/>
      <c r="BN675" s="863"/>
      <c r="BO675" s="863"/>
      <c r="BP675" s="880"/>
      <c r="BQ675" s="863"/>
      <c r="BR675" s="883"/>
      <c r="BS675" s="883"/>
      <c r="BT675" s="883"/>
      <c r="BU675" s="883"/>
      <c r="BV675" s="883"/>
      <c r="BW675" s="883"/>
      <c r="BX675" s="883"/>
      <c r="BY675" s="883"/>
      <c r="BZ675" s="883"/>
      <c r="CA675" s="883"/>
      <c r="CB675" s="883"/>
      <c r="CC675" s="883"/>
      <c r="CD675" s="884"/>
      <c r="CE675" s="883"/>
      <c r="CF675" s="883"/>
      <c r="CG675" s="883"/>
      <c r="CH675" s="883"/>
      <c r="CI675" s="883"/>
      <c r="CJ675" s="883"/>
      <c r="CK675" s="883"/>
      <c r="CL675" s="883"/>
      <c r="CM675" s="883"/>
      <c r="CN675" s="883"/>
      <c r="CO675" s="883"/>
      <c r="CP675" s="883"/>
      <c r="CQ675" s="883"/>
      <c r="CR675" s="883"/>
      <c r="CS675" s="883"/>
      <c r="CT675" s="883"/>
      <c r="CU675" s="883"/>
      <c r="CV675" s="863"/>
      <c r="CW675" s="863"/>
      <c r="CX675" s="863"/>
      <c r="CY675" s="863"/>
      <c r="CZ675" s="863"/>
      <c r="DA675" s="863"/>
      <c r="DB675" s="863"/>
      <c r="DC675" s="863"/>
      <c r="DD675" s="863"/>
      <c r="DE675" s="863"/>
    </row>
    <row r="676">
      <c r="A676" s="876"/>
      <c r="B676" s="876"/>
      <c r="C676" s="876"/>
      <c r="D676" s="876"/>
      <c r="E676" s="876"/>
      <c r="F676" s="876"/>
      <c r="G676" s="876"/>
      <c r="H676" s="876"/>
      <c r="I676" s="876"/>
      <c r="J676" s="876"/>
      <c r="K676" s="876"/>
      <c r="L676" s="876"/>
      <c r="M676" s="876"/>
      <c r="N676" s="877"/>
      <c r="O676" s="876"/>
      <c r="P676" s="876"/>
      <c r="Q676" s="876"/>
      <c r="R676" s="876"/>
      <c r="S676" s="876"/>
      <c r="T676" s="876"/>
      <c r="U676" s="876"/>
      <c r="V676" s="876"/>
      <c r="W676" s="876"/>
      <c r="X676" s="876"/>
      <c r="Y676" s="876"/>
      <c r="Z676" s="876"/>
      <c r="AA676" s="876"/>
      <c r="AB676" s="876"/>
      <c r="AC676" s="876"/>
      <c r="AD676" s="876"/>
      <c r="AE676" s="876"/>
      <c r="AF676" s="876"/>
      <c r="AG676" s="876"/>
      <c r="AH676" s="876"/>
      <c r="AI676" s="878"/>
      <c r="AJ676" s="880"/>
      <c r="AK676" s="880"/>
      <c r="AL676" s="880"/>
      <c r="AM676" s="880"/>
      <c r="AN676" s="880"/>
      <c r="AO676" s="880"/>
      <c r="AP676" s="880"/>
      <c r="AQ676" s="880"/>
      <c r="AR676" s="880"/>
      <c r="AS676" s="880"/>
      <c r="AT676" s="880"/>
      <c r="AU676" s="880"/>
      <c r="AV676" s="880"/>
      <c r="AW676" s="881"/>
      <c r="AX676" s="863"/>
      <c r="AY676" s="863"/>
      <c r="AZ676" s="863"/>
      <c r="BA676" s="863"/>
      <c r="BB676" s="863"/>
      <c r="BC676" s="863"/>
      <c r="BD676" s="863"/>
      <c r="BE676" s="863"/>
      <c r="BF676" s="863"/>
      <c r="BG676" s="863"/>
      <c r="BH676" s="863"/>
      <c r="BI676" s="863"/>
      <c r="BJ676" s="863"/>
      <c r="BK676" s="863"/>
      <c r="BL676" s="863"/>
      <c r="BM676" s="863"/>
      <c r="BN676" s="863"/>
      <c r="BO676" s="863"/>
      <c r="BP676" s="880"/>
      <c r="BQ676" s="863"/>
      <c r="BR676" s="883"/>
      <c r="BS676" s="883"/>
      <c r="BT676" s="883"/>
      <c r="BU676" s="883"/>
      <c r="BV676" s="883"/>
      <c r="BW676" s="883"/>
      <c r="BX676" s="883"/>
      <c r="BY676" s="883"/>
      <c r="BZ676" s="883"/>
      <c r="CA676" s="883"/>
      <c r="CB676" s="883"/>
      <c r="CC676" s="883"/>
      <c r="CD676" s="884"/>
      <c r="CE676" s="883"/>
      <c r="CF676" s="883"/>
      <c r="CG676" s="883"/>
      <c r="CH676" s="883"/>
      <c r="CI676" s="883"/>
      <c r="CJ676" s="883"/>
      <c r="CK676" s="883"/>
      <c r="CL676" s="883"/>
      <c r="CM676" s="883"/>
      <c r="CN676" s="883"/>
      <c r="CO676" s="883"/>
      <c r="CP676" s="883"/>
      <c r="CQ676" s="883"/>
      <c r="CR676" s="883"/>
      <c r="CS676" s="883"/>
      <c r="CT676" s="883"/>
      <c r="CU676" s="883"/>
      <c r="CV676" s="863"/>
      <c r="CW676" s="863"/>
      <c r="CX676" s="863"/>
      <c r="CY676" s="863"/>
      <c r="CZ676" s="863"/>
      <c r="DA676" s="863"/>
      <c r="DB676" s="863"/>
      <c r="DC676" s="863"/>
      <c r="DD676" s="863"/>
      <c r="DE676" s="863"/>
    </row>
    <row r="677">
      <c r="A677" s="876"/>
      <c r="B677" s="876"/>
      <c r="C677" s="876"/>
      <c r="D677" s="876"/>
      <c r="E677" s="876"/>
      <c r="F677" s="876"/>
      <c r="G677" s="876"/>
      <c r="H677" s="876"/>
      <c r="I677" s="876"/>
      <c r="J677" s="876"/>
      <c r="K677" s="876"/>
      <c r="L677" s="876"/>
      <c r="M677" s="876"/>
      <c r="N677" s="877"/>
      <c r="O677" s="876"/>
      <c r="P677" s="876"/>
      <c r="Q677" s="876"/>
      <c r="R677" s="876"/>
      <c r="S677" s="876"/>
      <c r="T677" s="876"/>
      <c r="U677" s="876"/>
      <c r="V677" s="876"/>
      <c r="W677" s="876"/>
      <c r="X677" s="876"/>
      <c r="Y677" s="876"/>
      <c r="Z677" s="876"/>
      <c r="AA677" s="876"/>
      <c r="AB677" s="876"/>
      <c r="AC677" s="876"/>
      <c r="AD677" s="876"/>
      <c r="AE677" s="876"/>
      <c r="AF677" s="876"/>
      <c r="AG677" s="876"/>
      <c r="AH677" s="876"/>
      <c r="AI677" s="878"/>
      <c r="AJ677" s="880"/>
      <c r="AK677" s="880"/>
      <c r="AL677" s="880"/>
      <c r="AM677" s="880"/>
      <c r="AN677" s="880"/>
      <c r="AO677" s="880"/>
      <c r="AP677" s="880"/>
      <c r="AQ677" s="880"/>
      <c r="AR677" s="880"/>
      <c r="AS677" s="880"/>
      <c r="AT677" s="880"/>
      <c r="AU677" s="880"/>
      <c r="AV677" s="880"/>
      <c r="AW677" s="881"/>
      <c r="AX677" s="863"/>
      <c r="AY677" s="863"/>
      <c r="AZ677" s="863"/>
      <c r="BA677" s="863"/>
      <c r="BB677" s="863"/>
      <c r="BC677" s="863"/>
      <c r="BD677" s="863"/>
      <c r="BE677" s="863"/>
      <c r="BF677" s="863"/>
      <c r="BG677" s="863"/>
      <c r="BH677" s="863"/>
      <c r="BI677" s="863"/>
      <c r="BJ677" s="863"/>
      <c r="BK677" s="863"/>
      <c r="BL677" s="863"/>
      <c r="BM677" s="863"/>
      <c r="BN677" s="863"/>
      <c r="BO677" s="863"/>
      <c r="BP677" s="880"/>
      <c r="BQ677" s="863"/>
      <c r="BR677" s="883"/>
      <c r="BS677" s="883"/>
      <c r="BT677" s="883"/>
      <c r="BU677" s="883"/>
      <c r="BV677" s="883"/>
      <c r="BW677" s="883"/>
      <c r="BX677" s="883"/>
      <c r="BY677" s="883"/>
      <c r="BZ677" s="883"/>
      <c r="CA677" s="883"/>
      <c r="CB677" s="883"/>
      <c r="CC677" s="883"/>
      <c r="CD677" s="884"/>
      <c r="CE677" s="883"/>
      <c r="CF677" s="883"/>
      <c r="CG677" s="883"/>
      <c r="CH677" s="883"/>
      <c r="CI677" s="883"/>
      <c r="CJ677" s="883"/>
      <c r="CK677" s="883"/>
      <c r="CL677" s="883"/>
      <c r="CM677" s="883"/>
      <c r="CN677" s="883"/>
      <c r="CO677" s="883"/>
      <c r="CP677" s="883"/>
      <c r="CQ677" s="883"/>
      <c r="CR677" s="883"/>
      <c r="CS677" s="883"/>
      <c r="CT677" s="883"/>
      <c r="CU677" s="883"/>
      <c r="CV677" s="863"/>
      <c r="CW677" s="863"/>
      <c r="CX677" s="863"/>
      <c r="CY677" s="863"/>
      <c r="CZ677" s="863"/>
      <c r="DA677" s="863"/>
      <c r="DB677" s="863"/>
      <c r="DC677" s="863"/>
      <c r="DD677" s="863"/>
      <c r="DE677" s="863"/>
    </row>
    <row r="678">
      <c r="A678" s="876"/>
      <c r="B678" s="876"/>
      <c r="C678" s="876"/>
      <c r="D678" s="876"/>
      <c r="E678" s="876"/>
      <c r="F678" s="876"/>
      <c r="G678" s="876"/>
      <c r="H678" s="876"/>
      <c r="I678" s="876"/>
      <c r="J678" s="876"/>
      <c r="K678" s="876"/>
      <c r="L678" s="876"/>
      <c r="M678" s="876"/>
      <c r="N678" s="877"/>
      <c r="O678" s="876"/>
      <c r="P678" s="876"/>
      <c r="Q678" s="876"/>
      <c r="R678" s="876"/>
      <c r="S678" s="876"/>
      <c r="T678" s="876"/>
      <c r="U678" s="876"/>
      <c r="V678" s="876"/>
      <c r="W678" s="876"/>
      <c r="X678" s="876"/>
      <c r="Y678" s="876"/>
      <c r="Z678" s="876"/>
      <c r="AA678" s="876"/>
      <c r="AB678" s="876"/>
      <c r="AC678" s="876"/>
      <c r="AD678" s="876"/>
      <c r="AE678" s="876"/>
      <c r="AF678" s="876"/>
      <c r="AG678" s="876"/>
      <c r="AH678" s="876"/>
      <c r="AI678" s="878"/>
      <c r="AJ678" s="880"/>
      <c r="AK678" s="880"/>
      <c r="AL678" s="880"/>
      <c r="AM678" s="880"/>
      <c r="AN678" s="880"/>
      <c r="AO678" s="880"/>
      <c r="AP678" s="880"/>
      <c r="AQ678" s="880"/>
      <c r="AR678" s="880"/>
      <c r="AS678" s="880"/>
      <c r="AT678" s="880"/>
      <c r="AU678" s="880"/>
      <c r="AV678" s="880"/>
      <c r="AW678" s="881"/>
      <c r="AX678" s="863"/>
      <c r="AY678" s="863"/>
      <c r="AZ678" s="863"/>
      <c r="BA678" s="863"/>
      <c r="BB678" s="863"/>
      <c r="BC678" s="863"/>
      <c r="BD678" s="863"/>
      <c r="BE678" s="863"/>
      <c r="BF678" s="863"/>
      <c r="BG678" s="863"/>
      <c r="BH678" s="863"/>
      <c r="BI678" s="863"/>
      <c r="BJ678" s="863"/>
      <c r="BK678" s="863"/>
      <c r="BL678" s="863"/>
      <c r="BM678" s="863"/>
      <c r="BN678" s="863"/>
      <c r="BO678" s="863"/>
      <c r="BP678" s="880"/>
      <c r="BQ678" s="863"/>
      <c r="BR678" s="883"/>
      <c r="BS678" s="883"/>
      <c r="BT678" s="883"/>
      <c r="BU678" s="883"/>
      <c r="BV678" s="883"/>
      <c r="BW678" s="883"/>
      <c r="BX678" s="883"/>
      <c r="BY678" s="883"/>
      <c r="BZ678" s="883"/>
      <c r="CA678" s="883"/>
      <c r="CB678" s="883"/>
      <c r="CC678" s="883"/>
      <c r="CD678" s="884"/>
      <c r="CE678" s="883"/>
      <c r="CF678" s="883"/>
      <c r="CG678" s="883"/>
      <c r="CH678" s="883"/>
      <c r="CI678" s="883"/>
      <c r="CJ678" s="883"/>
      <c r="CK678" s="883"/>
      <c r="CL678" s="883"/>
      <c r="CM678" s="883"/>
      <c r="CN678" s="883"/>
      <c r="CO678" s="883"/>
      <c r="CP678" s="883"/>
      <c r="CQ678" s="883"/>
      <c r="CR678" s="883"/>
      <c r="CS678" s="883"/>
      <c r="CT678" s="883"/>
      <c r="CU678" s="883"/>
      <c r="CV678" s="863"/>
      <c r="CW678" s="863"/>
      <c r="CX678" s="863"/>
      <c r="CY678" s="863"/>
      <c r="CZ678" s="863"/>
      <c r="DA678" s="863"/>
      <c r="DB678" s="863"/>
      <c r="DC678" s="863"/>
      <c r="DD678" s="863"/>
      <c r="DE678" s="863"/>
    </row>
    <row r="679">
      <c r="A679" s="876"/>
      <c r="B679" s="876"/>
      <c r="C679" s="876"/>
      <c r="D679" s="876"/>
      <c r="E679" s="876"/>
      <c r="F679" s="876"/>
      <c r="G679" s="876"/>
      <c r="H679" s="876"/>
      <c r="I679" s="876"/>
      <c r="J679" s="876"/>
      <c r="K679" s="876"/>
      <c r="L679" s="876"/>
      <c r="M679" s="876"/>
      <c r="N679" s="877"/>
      <c r="O679" s="876"/>
      <c r="P679" s="876"/>
      <c r="Q679" s="876"/>
      <c r="R679" s="876"/>
      <c r="S679" s="876"/>
      <c r="T679" s="876"/>
      <c r="U679" s="876"/>
      <c r="V679" s="876"/>
      <c r="W679" s="876"/>
      <c r="X679" s="876"/>
      <c r="Y679" s="876"/>
      <c r="Z679" s="876"/>
      <c r="AA679" s="876"/>
      <c r="AB679" s="876"/>
      <c r="AC679" s="876"/>
      <c r="AD679" s="876"/>
      <c r="AE679" s="876"/>
      <c r="AF679" s="876"/>
      <c r="AG679" s="876"/>
      <c r="AH679" s="876"/>
      <c r="AI679" s="878"/>
      <c r="AJ679" s="880"/>
      <c r="AK679" s="880"/>
      <c r="AL679" s="880"/>
      <c r="AM679" s="880"/>
      <c r="AN679" s="880"/>
      <c r="AO679" s="880"/>
      <c r="AP679" s="880"/>
      <c r="AQ679" s="880"/>
      <c r="AR679" s="880"/>
      <c r="AS679" s="880"/>
      <c r="AT679" s="880"/>
      <c r="AU679" s="880"/>
      <c r="AV679" s="880"/>
      <c r="AW679" s="881"/>
      <c r="AX679" s="863"/>
      <c r="AY679" s="863"/>
      <c r="AZ679" s="863"/>
      <c r="BA679" s="863"/>
      <c r="BB679" s="863"/>
      <c r="BC679" s="863"/>
      <c r="BD679" s="863"/>
      <c r="BE679" s="863"/>
      <c r="BF679" s="863"/>
      <c r="BG679" s="863"/>
      <c r="BH679" s="863"/>
      <c r="BI679" s="863"/>
      <c r="BJ679" s="863"/>
      <c r="BK679" s="863"/>
      <c r="BL679" s="863"/>
      <c r="BM679" s="863"/>
      <c r="BN679" s="863"/>
      <c r="BO679" s="863"/>
      <c r="BP679" s="880"/>
      <c r="BQ679" s="863"/>
      <c r="BR679" s="883"/>
      <c r="BS679" s="883"/>
      <c r="BT679" s="883"/>
      <c r="BU679" s="883"/>
      <c r="BV679" s="883"/>
      <c r="BW679" s="883"/>
      <c r="BX679" s="883"/>
      <c r="BY679" s="883"/>
      <c r="BZ679" s="883"/>
      <c r="CA679" s="883"/>
      <c r="CB679" s="883"/>
      <c r="CC679" s="883"/>
      <c r="CD679" s="884"/>
      <c r="CE679" s="883"/>
      <c r="CF679" s="883"/>
      <c r="CG679" s="883"/>
      <c r="CH679" s="883"/>
      <c r="CI679" s="883"/>
      <c r="CJ679" s="883"/>
      <c r="CK679" s="883"/>
      <c r="CL679" s="883"/>
      <c r="CM679" s="883"/>
      <c r="CN679" s="883"/>
      <c r="CO679" s="883"/>
      <c r="CP679" s="883"/>
      <c r="CQ679" s="883"/>
      <c r="CR679" s="883"/>
      <c r="CS679" s="883"/>
      <c r="CT679" s="883"/>
      <c r="CU679" s="883"/>
      <c r="CV679" s="863"/>
      <c r="CW679" s="863"/>
      <c r="CX679" s="863"/>
      <c r="CY679" s="863"/>
      <c r="CZ679" s="863"/>
      <c r="DA679" s="863"/>
      <c r="DB679" s="863"/>
      <c r="DC679" s="863"/>
      <c r="DD679" s="863"/>
      <c r="DE679" s="863"/>
    </row>
    <row r="680">
      <c r="A680" s="876"/>
      <c r="B680" s="876"/>
      <c r="C680" s="876"/>
      <c r="D680" s="876"/>
      <c r="E680" s="876"/>
      <c r="F680" s="876"/>
      <c r="G680" s="876"/>
      <c r="H680" s="876"/>
      <c r="I680" s="876"/>
      <c r="J680" s="876"/>
      <c r="K680" s="876"/>
      <c r="L680" s="876"/>
      <c r="M680" s="876"/>
      <c r="N680" s="877"/>
      <c r="O680" s="876"/>
      <c r="P680" s="876"/>
      <c r="Q680" s="876"/>
      <c r="R680" s="876"/>
      <c r="S680" s="876"/>
      <c r="T680" s="876"/>
      <c r="U680" s="876"/>
      <c r="V680" s="876"/>
      <c r="W680" s="876"/>
      <c r="X680" s="876"/>
      <c r="Y680" s="876"/>
      <c r="Z680" s="876"/>
      <c r="AA680" s="876"/>
      <c r="AB680" s="876"/>
      <c r="AC680" s="876"/>
      <c r="AD680" s="876"/>
      <c r="AE680" s="876"/>
      <c r="AF680" s="876"/>
      <c r="AG680" s="876"/>
      <c r="AH680" s="876"/>
      <c r="AI680" s="878"/>
      <c r="AJ680" s="880"/>
      <c r="AK680" s="880"/>
      <c r="AL680" s="880"/>
      <c r="AM680" s="880"/>
      <c r="AN680" s="880"/>
      <c r="AO680" s="880"/>
      <c r="AP680" s="880"/>
      <c r="AQ680" s="880"/>
      <c r="AR680" s="880"/>
      <c r="AS680" s="880"/>
      <c r="AT680" s="880"/>
      <c r="AU680" s="880"/>
      <c r="AV680" s="880"/>
      <c r="AW680" s="881"/>
      <c r="AX680" s="863"/>
      <c r="AY680" s="863"/>
      <c r="AZ680" s="863"/>
      <c r="BA680" s="863"/>
      <c r="BB680" s="863"/>
      <c r="BC680" s="863"/>
      <c r="BD680" s="863"/>
      <c r="BE680" s="863"/>
      <c r="BF680" s="863"/>
      <c r="BG680" s="863"/>
      <c r="BH680" s="863"/>
      <c r="BI680" s="863"/>
      <c r="BJ680" s="863"/>
      <c r="BK680" s="863"/>
      <c r="BL680" s="863"/>
      <c r="BM680" s="863"/>
      <c r="BN680" s="863"/>
      <c r="BO680" s="863"/>
      <c r="BP680" s="880"/>
      <c r="BQ680" s="863"/>
      <c r="BR680" s="883"/>
      <c r="BS680" s="883"/>
      <c r="BT680" s="883"/>
      <c r="BU680" s="883"/>
      <c r="BV680" s="883"/>
      <c r="BW680" s="883"/>
      <c r="BX680" s="883"/>
      <c r="BY680" s="883"/>
      <c r="BZ680" s="883"/>
      <c r="CA680" s="883"/>
      <c r="CB680" s="883"/>
      <c r="CC680" s="883"/>
      <c r="CD680" s="884"/>
      <c r="CE680" s="883"/>
      <c r="CF680" s="883"/>
      <c r="CG680" s="883"/>
      <c r="CH680" s="883"/>
      <c r="CI680" s="883"/>
      <c r="CJ680" s="883"/>
      <c r="CK680" s="883"/>
      <c r="CL680" s="883"/>
      <c r="CM680" s="883"/>
      <c r="CN680" s="883"/>
      <c r="CO680" s="883"/>
      <c r="CP680" s="883"/>
      <c r="CQ680" s="883"/>
      <c r="CR680" s="883"/>
      <c r="CS680" s="883"/>
      <c r="CT680" s="883"/>
      <c r="CU680" s="883"/>
      <c r="CV680" s="863"/>
      <c r="CW680" s="863"/>
      <c r="CX680" s="863"/>
      <c r="CY680" s="863"/>
      <c r="CZ680" s="863"/>
      <c r="DA680" s="863"/>
      <c r="DB680" s="863"/>
      <c r="DC680" s="863"/>
      <c r="DD680" s="863"/>
      <c r="DE680" s="863"/>
    </row>
    <row r="681">
      <c r="A681" s="876"/>
      <c r="B681" s="876"/>
      <c r="C681" s="876"/>
      <c r="D681" s="876"/>
      <c r="E681" s="876"/>
      <c r="F681" s="876"/>
      <c r="G681" s="876"/>
      <c r="H681" s="876"/>
      <c r="I681" s="876"/>
      <c r="J681" s="876"/>
      <c r="K681" s="876"/>
      <c r="L681" s="876"/>
      <c r="M681" s="876"/>
      <c r="N681" s="877"/>
      <c r="O681" s="876"/>
      <c r="P681" s="876"/>
      <c r="Q681" s="876"/>
      <c r="R681" s="876"/>
      <c r="S681" s="876"/>
      <c r="T681" s="876"/>
      <c r="U681" s="876"/>
      <c r="V681" s="876"/>
      <c r="W681" s="876"/>
      <c r="X681" s="876"/>
      <c r="Y681" s="876"/>
      <c r="Z681" s="876"/>
      <c r="AA681" s="876"/>
      <c r="AB681" s="876"/>
      <c r="AC681" s="876"/>
      <c r="AD681" s="876"/>
      <c r="AE681" s="876"/>
      <c r="AF681" s="876"/>
      <c r="AG681" s="876"/>
      <c r="AH681" s="876"/>
      <c r="AI681" s="878"/>
      <c r="AJ681" s="880"/>
      <c r="AK681" s="880"/>
      <c r="AL681" s="880"/>
      <c r="AM681" s="880"/>
      <c r="AN681" s="880"/>
      <c r="AO681" s="880"/>
      <c r="AP681" s="880"/>
      <c r="AQ681" s="880"/>
      <c r="AR681" s="880"/>
      <c r="AS681" s="880"/>
      <c r="AT681" s="880"/>
      <c r="AU681" s="880"/>
      <c r="AV681" s="880"/>
      <c r="AW681" s="881"/>
      <c r="AX681" s="863"/>
      <c r="AY681" s="863"/>
      <c r="AZ681" s="863"/>
      <c r="BA681" s="863"/>
      <c r="BB681" s="863"/>
      <c r="BC681" s="863"/>
      <c r="BD681" s="863"/>
      <c r="BE681" s="863"/>
      <c r="BF681" s="863"/>
      <c r="BG681" s="863"/>
      <c r="BH681" s="863"/>
      <c r="BI681" s="863"/>
      <c r="BJ681" s="863"/>
      <c r="BK681" s="863"/>
      <c r="BL681" s="863"/>
      <c r="BM681" s="863"/>
      <c r="BN681" s="863"/>
      <c r="BO681" s="863"/>
      <c r="BP681" s="880"/>
      <c r="BQ681" s="863"/>
      <c r="BR681" s="883"/>
      <c r="BS681" s="883"/>
      <c r="BT681" s="883"/>
      <c r="BU681" s="883"/>
      <c r="BV681" s="883"/>
      <c r="BW681" s="883"/>
      <c r="BX681" s="883"/>
      <c r="BY681" s="883"/>
      <c r="BZ681" s="883"/>
      <c r="CA681" s="883"/>
      <c r="CB681" s="883"/>
      <c r="CC681" s="883"/>
      <c r="CD681" s="884"/>
      <c r="CE681" s="883"/>
      <c r="CF681" s="883"/>
      <c r="CG681" s="883"/>
      <c r="CH681" s="883"/>
      <c r="CI681" s="883"/>
      <c r="CJ681" s="883"/>
      <c r="CK681" s="883"/>
      <c r="CL681" s="883"/>
      <c r="CM681" s="883"/>
      <c r="CN681" s="883"/>
      <c r="CO681" s="883"/>
      <c r="CP681" s="883"/>
      <c r="CQ681" s="883"/>
      <c r="CR681" s="883"/>
      <c r="CS681" s="883"/>
      <c r="CT681" s="883"/>
      <c r="CU681" s="883"/>
      <c r="CV681" s="863"/>
      <c r="CW681" s="863"/>
      <c r="CX681" s="863"/>
      <c r="CY681" s="863"/>
      <c r="CZ681" s="863"/>
      <c r="DA681" s="863"/>
      <c r="DB681" s="863"/>
      <c r="DC681" s="863"/>
      <c r="DD681" s="863"/>
      <c r="DE681" s="863"/>
    </row>
    <row r="682">
      <c r="A682" s="876"/>
      <c r="B682" s="876"/>
      <c r="C682" s="876"/>
      <c r="D682" s="876"/>
      <c r="E682" s="876"/>
      <c r="F682" s="876"/>
      <c r="G682" s="876"/>
      <c r="H682" s="876"/>
      <c r="I682" s="876"/>
      <c r="J682" s="876"/>
      <c r="K682" s="876"/>
      <c r="L682" s="876"/>
      <c r="M682" s="876"/>
      <c r="N682" s="877"/>
      <c r="O682" s="876"/>
      <c r="P682" s="876"/>
      <c r="Q682" s="876"/>
      <c r="R682" s="876"/>
      <c r="S682" s="876"/>
      <c r="T682" s="876"/>
      <c r="U682" s="876"/>
      <c r="V682" s="876"/>
      <c r="W682" s="876"/>
      <c r="X682" s="876"/>
      <c r="Y682" s="876"/>
      <c r="Z682" s="876"/>
      <c r="AA682" s="876"/>
      <c r="AB682" s="876"/>
      <c r="AC682" s="876"/>
      <c r="AD682" s="876"/>
      <c r="AE682" s="876"/>
      <c r="AF682" s="876"/>
      <c r="AG682" s="876"/>
      <c r="AH682" s="876"/>
      <c r="AI682" s="878"/>
      <c r="AJ682" s="880"/>
      <c r="AK682" s="880"/>
      <c r="AL682" s="880"/>
      <c r="AM682" s="880"/>
      <c r="AN682" s="880"/>
      <c r="AO682" s="880"/>
      <c r="AP682" s="880"/>
      <c r="AQ682" s="880"/>
      <c r="AR682" s="880"/>
      <c r="AS682" s="880"/>
      <c r="AT682" s="880"/>
      <c r="AU682" s="880"/>
      <c r="AV682" s="880"/>
      <c r="AW682" s="881"/>
      <c r="AX682" s="863"/>
      <c r="AY682" s="863"/>
      <c r="AZ682" s="863"/>
      <c r="BA682" s="863"/>
      <c r="BB682" s="863"/>
      <c r="BC682" s="863"/>
      <c r="BD682" s="863"/>
      <c r="BE682" s="863"/>
      <c r="BF682" s="863"/>
      <c r="BG682" s="863"/>
      <c r="BH682" s="863"/>
      <c r="BI682" s="863"/>
      <c r="BJ682" s="863"/>
      <c r="BK682" s="863"/>
      <c r="BL682" s="863"/>
      <c r="BM682" s="863"/>
      <c r="BN682" s="863"/>
      <c r="BO682" s="863"/>
      <c r="BP682" s="880"/>
      <c r="BQ682" s="863"/>
      <c r="BR682" s="883"/>
      <c r="BS682" s="883"/>
      <c r="BT682" s="883"/>
      <c r="BU682" s="883"/>
      <c r="BV682" s="883"/>
      <c r="BW682" s="883"/>
      <c r="BX682" s="883"/>
      <c r="BY682" s="883"/>
      <c r="BZ682" s="883"/>
      <c r="CA682" s="883"/>
      <c r="CB682" s="883"/>
      <c r="CC682" s="883"/>
      <c r="CD682" s="884"/>
      <c r="CE682" s="883"/>
      <c r="CF682" s="883"/>
      <c r="CG682" s="883"/>
      <c r="CH682" s="883"/>
      <c r="CI682" s="883"/>
      <c r="CJ682" s="883"/>
      <c r="CK682" s="883"/>
      <c r="CL682" s="883"/>
      <c r="CM682" s="883"/>
      <c r="CN682" s="883"/>
      <c r="CO682" s="883"/>
      <c r="CP682" s="883"/>
      <c r="CQ682" s="883"/>
      <c r="CR682" s="883"/>
      <c r="CS682" s="883"/>
      <c r="CT682" s="883"/>
      <c r="CU682" s="883"/>
      <c r="CV682" s="863"/>
      <c r="CW682" s="863"/>
      <c r="CX682" s="863"/>
      <c r="CY682" s="863"/>
      <c r="CZ682" s="863"/>
      <c r="DA682" s="863"/>
      <c r="DB682" s="863"/>
      <c r="DC682" s="863"/>
      <c r="DD682" s="863"/>
      <c r="DE682" s="863"/>
    </row>
    <row r="683">
      <c r="A683" s="876"/>
      <c r="B683" s="876"/>
      <c r="C683" s="876"/>
      <c r="D683" s="876"/>
      <c r="E683" s="876"/>
      <c r="F683" s="876"/>
      <c r="G683" s="876"/>
      <c r="H683" s="876"/>
      <c r="I683" s="876"/>
      <c r="J683" s="876"/>
      <c r="K683" s="876"/>
      <c r="L683" s="876"/>
      <c r="M683" s="876"/>
      <c r="N683" s="877"/>
      <c r="O683" s="876"/>
      <c r="P683" s="876"/>
      <c r="Q683" s="876"/>
      <c r="R683" s="876"/>
      <c r="S683" s="876"/>
      <c r="T683" s="876"/>
      <c r="U683" s="876"/>
      <c r="V683" s="876"/>
      <c r="W683" s="876"/>
      <c r="X683" s="876"/>
      <c r="Y683" s="876"/>
      <c r="Z683" s="876"/>
      <c r="AA683" s="876"/>
      <c r="AB683" s="876"/>
      <c r="AC683" s="876"/>
      <c r="AD683" s="876"/>
      <c r="AE683" s="876"/>
      <c r="AF683" s="876"/>
      <c r="AG683" s="876"/>
      <c r="AH683" s="876"/>
      <c r="AI683" s="878"/>
      <c r="AJ683" s="880"/>
      <c r="AK683" s="880"/>
      <c r="AL683" s="880"/>
      <c r="AM683" s="880"/>
      <c r="AN683" s="880"/>
      <c r="AO683" s="880"/>
      <c r="AP683" s="880"/>
      <c r="AQ683" s="880"/>
      <c r="AR683" s="880"/>
      <c r="AS683" s="880"/>
      <c r="AT683" s="880"/>
      <c r="AU683" s="880"/>
      <c r="AV683" s="880"/>
      <c r="AW683" s="881"/>
      <c r="AX683" s="863"/>
      <c r="AY683" s="863"/>
      <c r="AZ683" s="863"/>
      <c r="BA683" s="863"/>
      <c r="BB683" s="863"/>
      <c r="BC683" s="863"/>
      <c r="BD683" s="863"/>
      <c r="BE683" s="863"/>
      <c r="BF683" s="863"/>
      <c r="BG683" s="863"/>
      <c r="BH683" s="863"/>
      <c r="BI683" s="863"/>
      <c r="BJ683" s="863"/>
      <c r="BK683" s="863"/>
      <c r="BL683" s="863"/>
      <c r="BM683" s="863"/>
      <c r="BN683" s="863"/>
      <c r="BO683" s="863"/>
      <c r="BP683" s="880"/>
      <c r="BQ683" s="863"/>
      <c r="BR683" s="883"/>
      <c r="BS683" s="883"/>
      <c r="BT683" s="883"/>
      <c r="BU683" s="883"/>
      <c r="BV683" s="883"/>
      <c r="BW683" s="883"/>
      <c r="BX683" s="883"/>
      <c r="BY683" s="883"/>
      <c r="BZ683" s="883"/>
      <c r="CA683" s="883"/>
      <c r="CB683" s="883"/>
      <c r="CC683" s="883"/>
      <c r="CD683" s="884"/>
      <c r="CE683" s="883"/>
      <c r="CF683" s="883"/>
      <c r="CG683" s="883"/>
      <c r="CH683" s="883"/>
      <c r="CI683" s="883"/>
      <c r="CJ683" s="883"/>
      <c r="CK683" s="883"/>
      <c r="CL683" s="883"/>
      <c r="CM683" s="883"/>
      <c r="CN683" s="883"/>
      <c r="CO683" s="883"/>
      <c r="CP683" s="883"/>
      <c r="CQ683" s="883"/>
      <c r="CR683" s="883"/>
      <c r="CS683" s="883"/>
      <c r="CT683" s="883"/>
      <c r="CU683" s="883"/>
      <c r="CV683" s="863"/>
      <c r="CW683" s="863"/>
      <c r="CX683" s="863"/>
      <c r="CY683" s="863"/>
      <c r="CZ683" s="863"/>
      <c r="DA683" s="863"/>
      <c r="DB683" s="863"/>
      <c r="DC683" s="863"/>
      <c r="DD683" s="863"/>
      <c r="DE683" s="863"/>
    </row>
    <row r="684">
      <c r="A684" s="876"/>
      <c r="B684" s="876"/>
      <c r="C684" s="876"/>
      <c r="D684" s="876"/>
      <c r="E684" s="876"/>
      <c r="F684" s="876"/>
      <c r="G684" s="876"/>
      <c r="H684" s="876"/>
      <c r="I684" s="876"/>
      <c r="J684" s="876"/>
      <c r="K684" s="876"/>
      <c r="L684" s="876"/>
      <c r="M684" s="876"/>
      <c r="N684" s="877"/>
      <c r="O684" s="876"/>
      <c r="P684" s="876"/>
      <c r="Q684" s="876"/>
      <c r="R684" s="876"/>
      <c r="S684" s="876"/>
      <c r="T684" s="876"/>
      <c r="U684" s="876"/>
      <c r="V684" s="876"/>
      <c r="W684" s="876"/>
      <c r="X684" s="876"/>
      <c r="Y684" s="876"/>
      <c r="Z684" s="876"/>
      <c r="AA684" s="876"/>
      <c r="AB684" s="876"/>
      <c r="AC684" s="876"/>
      <c r="AD684" s="876"/>
      <c r="AE684" s="876"/>
      <c r="AF684" s="876"/>
      <c r="AG684" s="876"/>
      <c r="AH684" s="876"/>
      <c r="AI684" s="878"/>
      <c r="AJ684" s="880"/>
      <c r="AK684" s="880"/>
      <c r="AL684" s="880"/>
      <c r="AM684" s="880"/>
      <c r="AN684" s="880"/>
      <c r="AO684" s="880"/>
      <c r="AP684" s="880"/>
      <c r="AQ684" s="880"/>
      <c r="AR684" s="880"/>
      <c r="AS684" s="880"/>
      <c r="AT684" s="880"/>
      <c r="AU684" s="880"/>
      <c r="AV684" s="880"/>
      <c r="AW684" s="881"/>
      <c r="AX684" s="863"/>
      <c r="AY684" s="863"/>
      <c r="AZ684" s="863"/>
      <c r="BA684" s="863"/>
      <c r="BB684" s="863"/>
      <c r="BC684" s="863"/>
      <c r="BD684" s="863"/>
      <c r="BE684" s="863"/>
      <c r="BF684" s="863"/>
      <c r="BG684" s="863"/>
      <c r="BH684" s="863"/>
      <c r="BI684" s="863"/>
      <c r="BJ684" s="863"/>
      <c r="BK684" s="863"/>
      <c r="BL684" s="863"/>
      <c r="BM684" s="863"/>
      <c r="BN684" s="863"/>
      <c r="BO684" s="863"/>
      <c r="BP684" s="880"/>
      <c r="BQ684" s="863"/>
      <c r="BR684" s="883"/>
      <c r="BS684" s="883"/>
      <c r="BT684" s="883"/>
      <c r="BU684" s="883"/>
      <c r="BV684" s="883"/>
      <c r="BW684" s="883"/>
      <c r="BX684" s="883"/>
      <c r="BY684" s="883"/>
      <c r="BZ684" s="883"/>
      <c r="CA684" s="883"/>
      <c r="CB684" s="883"/>
      <c r="CC684" s="883"/>
      <c r="CD684" s="884"/>
      <c r="CE684" s="883"/>
      <c r="CF684" s="883"/>
      <c r="CG684" s="883"/>
      <c r="CH684" s="883"/>
      <c r="CI684" s="883"/>
      <c r="CJ684" s="883"/>
      <c r="CK684" s="883"/>
      <c r="CL684" s="883"/>
      <c r="CM684" s="883"/>
      <c r="CN684" s="883"/>
      <c r="CO684" s="883"/>
      <c r="CP684" s="883"/>
      <c r="CQ684" s="883"/>
      <c r="CR684" s="883"/>
      <c r="CS684" s="883"/>
      <c r="CT684" s="883"/>
      <c r="CU684" s="883"/>
      <c r="CV684" s="863"/>
      <c r="CW684" s="863"/>
      <c r="CX684" s="863"/>
      <c r="CY684" s="863"/>
      <c r="CZ684" s="863"/>
      <c r="DA684" s="863"/>
      <c r="DB684" s="863"/>
      <c r="DC684" s="863"/>
      <c r="DD684" s="863"/>
      <c r="DE684" s="863"/>
    </row>
    <row r="685">
      <c r="A685" s="876"/>
      <c r="B685" s="876"/>
      <c r="C685" s="876"/>
      <c r="D685" s="876"/>
      <c r="E685" s="876"/>
      <c r="F685" s="876"/>
      <c r="G685" s="876"/>
      <c r="H685" s="876"/>
      <c r="I685" s="876"/>
      <c r="J685" s="876"/>
      <c r="K685" s="876"/>
      <c r="L685" s="876"/>
      <c r="M685" s="876"/>
      <c r="N685" s="877"/>
      <c r="O685" s="876"/>
      <c r="P685" s="876"/>
      <c r="Q685" s="876"/>
      <c r="R685" s="876"/>
      <c r="S685" s="876"/>
      <c r="T685" s="876"/>
      <c r="U685" s="876"/>
      <c r="V685" s="876"/>
      <c r="W685" s="876"/>
      <c r="X685" s="876"/>
      <c r="Y685" s="876"/>
      <c r="Z685" s="876"/>
      <c r="AA685" s="876"/>
      <c r="AB685" s="876"/>
      <c r="AC685" s="876"/>
      <c r="AD685" s="876"/>
      <c r="AE685" s="876"/>
      <c r="AF685" s="876"/>
      <c r="AG685" s="876"/>
      <c r="AH685" s="876"/>
      <c r="AI685" s="878"/>
      <c r="AJ685" s="880"/>
      <c r="AK685" s="880"/>
      <c r="AL685" s="880"/>
      <c r="AM685" s="880"/>
      <c r="AN685" s="880"/>
      <c r="AO685" s="880"/>
      <c r="AP685" s="880"/>
      <c r="AQ685" s="880"/>
      <c r="AR685" s="880"/>
      <c r="AS685" s="880"/>
      <c r="AT685" s="880"/>
      <c r="AU685" s="880"/>
      <c r="AV685" s="880"/>
      <c r="AW685" s="881"/>
      <c r="AX685" s="863"/>
      <c r="AY685" s="863"/>
      <c r="AZ685" s="863"/>
      <c r="BA685" s="863"/>
      <c r="BB685" s="863"/>
      <c r="BC685" s="863"/>
      <c r="BD685" s="863"/>
      <c r="BE685" s="863"/>
      <c r="BF685" s="863"/>
      <c r="BG685" s="863"/>
      <c r="BH685" s="863"/>
      <c r="BI685" s="863"/>
      <c r="BJ685" s="863"/>
      <c r="BK685" s="863"/>
      <c r="BL685" s="863"/>
      <c r="BM685" s="863"/>
      <c r="BN685" s="863"/>
      <c r="BO685" s="863"/>
      <c r="BP685" s="880"/>
      <c r="BQ685" s="863"/>
      <c r="BR685" s="883"/>
      <c r="BS685" s="883"/>
      <c r="BT685" s="883"/>
      <c r="BU685" s="883"/>
      <c r="BV685" s="883"/>
      <c r="BW685" s="883"/>
      <c r="BX685" s="883"/>
      <c r="BY685" s="883"/>
      <c r="BZ685" s="883"/>
      <c r="CA685" s="883"/>
      <c r="CB685" s="883"/>
      <c r="CC685" s="883"/>
      <c r="CD685" s="884"/>
      <c r="CE685" s="883"/>
      <c r="CF685" s="883"/>
      <c r="CG685" s="883"/>
      <c r="CH685" s="883"/>
      <c r="CI685" s="883"/>
      <c r="CJ685" s="883"/>
      <c r="CK685" s="883"/>
      <c r="CL685" s="883"/>
      <c r="CM685" s="883"/>
      <c r="CN685" s="883"/>
      <c r="CO685" s="883"/>
      <c r="CP685" s="883"/>
      <c r="CQ685" s="883"/>
      <c r="CR685" s="883"/>
      <c r="CS685" s="883"/>
      <c r="CT685" s="883"/>
      <c r="CU685" s="883"/>
      <c r="CV685" s="863"/>
      <c r="CW685" s="863"/>
      <c r="CX685" s="863"/>
      <c r="CY685" s="863"/>
      <c r="CZ685" s="863"/>
      <c r="DA685" s="863"/>
      <c r="DB685" s="863"/>
      <c r="DC685" s="863"/>
      <c r="DD685" s="863"/>
      <c r="DE685" s="863"/>
    </row>
    <row r="686">
      <c r="A686" s="876"/>
      <c r="B686" s="876"/>
      <c r="C686" s="876"/>
      <c r="D686" s="876"/>
      <c r="E686" s="876"/>
      <c r="F686" s="876"/>
      <c r="G686" s="876"/>
      <c r="H686" s="876"/>
      <c r="I686" s="876"/>
      <c r="J686" s="876"/>
      <c r="K686" s="876"/>
      <c r="L686" s="876"/>
      <c r="M686" s="876"/>
      <c r="N686" s="877"/>
      <c r="O686" s="876"/>
      <c r="P686" s="876"/>
      <c r="Q686" s="876"/>
      <c r="R686" s="876"/>
      <c r="S686" s="876"/>
      <c r="T686" s="876"/>
      <c r="U686" s="876"/>
      <c r="V686" s="876"/>
      <c r="W686" s="876"/>
      <c r="X686" s="876"/>
      <c r="Y686" s="876"/>
      <c r="Z686" s="876"/>
      <c r="AA686" s="876"/>
      <c r="AB686" s="876"/>
      <c r="AC686" s="876"/>
      <c r="AD686" s="876"/>
      <c r="AE686" s="876"/>
      <c r="AF686" s="876"/>
      <c r="AG686" s="876"/>
      <c r="AH686" s="876"/>
      <c r="AI686" s="878"/>
      <c r="AJ686" s="880"/>
      <c r="AK686" s="880"/>
      <c r="AL686" s="880"/>
      <c r="AM686" s="880"/>
      <c r="AN686" s="880"/>
      <c r="AO686" s="880"/>
      <c r="AP686" s="880"/>
      <c r="AQ686" s="880"/>
      <c r="AR686" s="880"/>
      <c r="AS686" s="880"/>
      <c r="AT686" s="880"/>
      <c r="AU686" s="880"/>
      <c r="AV686" s="880"/>
      <c r="AW686" s="881"/>
      <c r="AX686" s="863"/>
      <c r="AY686" s="863"/>
      <c r="AZ686" s="863"/>
      <c r="BA686" s="863"/>
      <c r="BB686" s="863"/>
      <c r="BC686" s="863"/>
      <c r="BD686" s="863"/>
      <c r="BE686" s="863"/>
      <c r="BF686" s="863"/>
      <c r="BG686" s="863"/>
      <c r="BH686" s="863"/>
      <c r="BI686" s="863"/>
      <c r="BJ686" s="863"/>
      <c r="BK686" s="863"/>
      <c r="BL686" s="863"/>
      <c r="BM686" s="863"/>
      <c r="BN686" s="863"/>
      <c r="BO686" s="863"/>
      <c r="BP686" s="880"/>
      <c r="BQ686" s="863"/>
      <c r="BR686" s="883"/>
      <c r="BS686" s="883"/>
      <c r="BT686" s="883"/>
      <c r="BU686" s="883"/>
      <c r="BV686" s="883"/>
      <c r="BW686" s="883"/>
      <c r="BX686" s="883"/>
      <c r="BY686" s="883"/>
      <c r="BZ686" s="883"/>
      <c r="CA686" s="883"/>
      <c r="CB686" s="883"/>
      <c r="CC686" s="883"/>
      <c r="CD686" s="884"/>
      <c r="CE686" s="883"/>
      <c r="CF686" s="883"/>
      <c r="CG686" s="883"/>
      <c r="CH686" s="883"/>
      <c r="CI686" s="883"/>
      <c r="CJ686" s="883"/>
      <c r="CK686" s="883"/>
      <c r="CL686" s="883"/>
      <c r="CM686" s="883"/>
      <c r="CN686" s="883"/>
      <c r="CO686" s="883"/>
      <c r="CP686" s="883"/>
      <c r="CQ686" s="883"/>
      <c r="CR686" s="883"/>
      <c r="CS686" s="883"/>
      <c r="CT686" s="883"/>
      <c r="CU686" s="883"/>
      <c r="CV686" s="863"/>
      <c r="CW686" s="863"/>
      <c r="CX686" s="863"/>
      <c r="CY686" s="863"/>
      <c r="CZ686" s="863"/>
      <c r="DA686" s="863"/>
      <c r="DB686" s="863"/>
      <c r="DC686" s="863"/>
      <c r="DD686" s="863"/>
      <c r="DE686" s="863"/>
    </row>
    <row r="687">
      <c r="A687" s="876"/>
      <c r="B687" s="876"/>
      <c r="C687" s="876"/>
      <c r="D687" s="876"/>
      <c r="E687" s="876"/>
      <c r="F687" s="876"/>
      <c r="G687" s="876"/>
      <c r="H687" s="876"/>
      <c r="I687" s="876"/>
      <c r="J687" s="876"/>
      <c r="K687" s="876"/>
      <c r="L687" s="876"/>
      <c r="M687" s="876"/>
      <c r="N687" s="877"/>
      <c r="O687" s="876"/>
      <c r="P687" s="876"/>
      <c r="Q687" s="876"/>
      <c r="R687" s="876"/>
      <c r="S687" s="876"/>
      <c r="T687" s="876"/>
      <c r="U687" s="876"/>
      <c r="V687" s="876"/>
      <c r="W687" s="876"/>
      <c r="X687" s="876"/>
      <c r="Y687" s="876"/>
      <c r="Z687" s="876"/>
      <c r="AA687" s="876"/>
      <c r="AB687" s="876"/>
      <c r="AC687" s="876"/>
      <c r="AD687" s="876"/>
      <c r="AE687" s="876"/>
      <c r="AF687" s="876"/>
      <c r="AG687" s="876"/>
      <c r="AH687" s="876"/>
      <c r="AI687" s="878"/>
      <c r="AJ687" s="880"/>
      <c r="AK687" s="880"/>
      <c r="AL687" s="880"/>
      <c r="AM687" s="880"/>
      <c r="AN687" s="880"/>
      <c r="AO687" s="880"/>
      <c r="AP687" s="880"/>
      <c r="AQ687" s="880"/>
      <c r="AR687" s="880"/>
      <c r="AS687" s="880"/>
      <c r="AT687" s="880"/>
      <c r="AU687" s="880"/>
      <c r="AV687" s="880"/>
      <c r="AW687" s="881"/>
      <c r="AX687" s="863"/>
      <c r="AY687" s="863"/>
      <c r="AZ687" s="863"/>
      <c r="BA687" s="863"/>
      <c r="BB687" s="863"/>
      <c r="BC687" s="863"/>
      <c r="BD687" s="863"/>
      <c r="BE687" s="863"/>
      <c r="BF687" s="863"/>
      <c r="BG687" s="863"/>
      <c r="BH687" s="863"/>
      <c r="BI687" s="863"/>
      <c r="BJ687" s="863"/>
      <c r="BK687" s="863"/>
      <c r="BL687" s="863"/>
      <c r="BM687" s="863"/>
      <c r="BN687" s="863"/>
      <c r="BO687" s="863"/>
      <c r="BP687" s="880"/>
      <c r="BQ687" s="863"/>
      <c r="BR687" s="883"/>
      <c r="BS687" s="883"/>
      <c r="BT687" s="883"/>
      <c r="BU687" s="883"/>
      <c r="BV687" s="883"/>
      <c r="BW687" s="883"/>
      <c r="BX687" s="883"/>
      <c r="BY687" s="883"/>
      <c r="BZ687" s="883"/>
      <c r="CA687" s="883"/>
      <c r="CB687" s="883"/>
      <c r="CC687" s="883"/>
      <c r="CD687" s="884"/>
      <c r="CE687" s="883"/>
      <c r="CF687" s="883"/>
      <c r="CG687" s="883"/>
      <c r="CH687" s="883"/>
      <c r="CI687" s="883"/>
      <c r="CJ687" s="883"/>
      <c r="CK687" s="883"/>
      <c r="CL687" s="883"/>
      <c r="CM687" s="883"/>
      <c r="CN687" s="883"/>
      <c r="CO687" s="883"/>
      <c r="CP687" s="883"/>
      <c r="CQ687" s="883"/>
      <c r="CR687" s="883"/>
      <c r="CS687" s="883"/>
      <c r="CT687" s="883"/>
      <c r="CU687" s="883"/>
      <c r="CV687" s="863"/>
      <c r="CW687" s="863"/>
      <c r="CX687" s="863"/>
      <c r="CY687" s="863"/>
      <c r="CZ687" s="863"/>
      <c r="DA687" s="863"/>
      <c r="DB687" s="863"/>
      <c r="DC687" s="863"/>
      <c r="DD687" s="863"/>
      <c r="DE687" s="863"/>
    </row>
    <row r="688">
      <c r="A688" s="876"/>
      <c r="B688" s="876"/>
      <c r="C688" s="876"/>
      <c r="D688" s="876"/>
      <c r="E688" s="876"/>
      <c r="F688" s="876"/>
      <c r="G688" s="876"/>
      <c r="H688" s="876"/>
      <c r="I688" s="876"/>
      <c r="J688" s="876"/>
      <c r="K688" s="876"/>
      <c r="L688" s="876"/>
      <c r="M688" s="876"/>
      <c r="N688" s="877"/>
      <c r="O688" s="876"/>
      <c r="P688" s="876"/>
      <c r="Q688" s="876"/>
      <c r="R688" s="876"/>
      <c r="S688" s="876"/>
      <c r="T688" s="876"/>
      <c r="U688" s="876"/>
      <c r="V688" s="876"/>
      <c r="W688" s="876"/>
      <c r="X688" s="876"/>
      <c r="Y688" s="876"/>
      <c r="Z688" s="876"/>
      <c r="AA688" s="876"/>
      <c r="AB688" s="876"/>
      <c r="AC688" s="876"/>
      <c r="AD688" s="876"/>
      <c r="AE688" s="876"/>
      <c r="AF688" s="876"/>
      <c r="AG688" s="876"/>
      <c r="AH688" s="876"/>
      <c r="AI688" s="878"/>
      <c r="AJ688" s="880"/>
      <c r="AK688" s="880"/>
      <c r="AL688" s="880"/>
      <c r="AM688" s="880"/>
      <c r="AN688" s="880"/>
      <c r="AO688" s="880"/>
      <c r="AP688" s="880"/>
      <c r="AQ688" s="880"/>
      <c r="AR688" s="880"/>
      <c r="AS688" s="880"/>
      <c r="AT688" s="880"/>
      <c r="AU688" s="880"/>
      <c r="AV688" s="880"/>
      <c r="AW688" s="881"/>
      <c r="AX688" s="863"/>
      <c r="AY688" s="863"/>
      <c r="AZ688" s="863"/>
      <c r="BA688" s="863"/>
      <c r="BB688" s="863"/>
      <c r="BC688" s="863"/>
      <c r="BD688" s="863"/>
      <c r="BE688" s="863"/>
      <c r="BF688" s="863"/>
      <c r="BG688" s="863"/>
      <c r="BH688" s="863"/>
      <c r="BI688" s="863"/>
      <c r="BJ688" s="863"/>
      <c r="BK688" s="863"/>
      <c r="BL688" s="863"/>
      <c r="BM688" s="863"/>
      <c r="BN688" s="863"/>
      <c r="BO688" s="863"/>
      <c r="BP688" s="880"/>
      <c r="BQ688" s="863"/>
      <c r="BR688" s="883"/>
      <c r="BS688" s="883"/>
      <c r="BT688" s="883"/>
      <c r="BU688" s="883"/>
      <c r="BV688" s="883"/>
      <c r="BW688" s="883"/>
      <c r="BX688" s="883"/>
      <c r="BY688" s="883"/>
      <c r="BZ688" s="883"/>
      <c r="CA688" s="883"/>
      <c r="CB688" s="883"/>
      <c r="CC688" s="883"/>
      <c r="CD688" s="884"/>
      <c r="CE688" s="883"/>
      <c r="CF688" s="883"/>
      <c r="CG688" s="883"/>
      <c r="CH688" s="883"/>
      <c r="CI688" s="883"/>
      <c r="CJ688" s="883"/>
      <c r="CK688" s="883"/>
      <c r="CL688" s="883"/>
      <c r="CM688" s="883"/>
      <c r="CN688" s="883"/>
      <c r="CO688" s="883"/>
      <c r="CP688" s="883"/>
      <c r="CQ688" s="883"/>
      <c r="CR688" s="883"/>
      <c r="CS688" s="883"/>
      <c r="CT688" s="883"/>
      <c r="CU688" s="883"/>
      <c r="CV688" s="863"/>
      <c r="CW688" s="863"/>
      <c r="CX688" s="863"/>
      <c r="CY688" s="863"/>
      <c r="CZ688" s="863"/>
      <c r="DA688" s="863"/>
      <c r="DB688" s="863"/>
      <c r="DC688" s="863"/>
      <c r="DD688" s="863"/>
      <c r="DE688" s="863"/>
    </row>
    <row r="689">
      <c r="A689" s="876"/>
      <c r="B689" s="876"/>
      <c r="C689" s="876"/>
      <c r="D689" s="876"/>
      <c r="E689" s="876"/>
      <c r="F689" s="876"/>
      <c r="G689" s="876"/>
      <c r="H689" s="876"/>
      <c r="I689" s="876"/>
      <c r="J689" s="876"/>
      <c r="K689" s="876"/>
      <c r="L689" s="876"/>
      <c r="M689" s="876"/>
      <c r="N689" s="877"/>
      <c r="O689" s="876"/>
      <c r="P689" s="876"/>
      <c r="Q689" s="876"/>
      <c r="R689" s="876"/>
      <c r="S689" s="876"/>
      <c r="T689" s="876"/>
      <c r="U689" s="876"/>
      <c r="V689" s="876"/>
      <c r="W689" s="876"/>
      <c r="X689" s="876"/>
      <c r="Y689" s="876"/>
      <c r="Z689" s="876"/>
      <c r="AA689" s="876"/>
      <c r="AB689" s="876"/>
      <c r="AC689" s="876"/>
      <c r="AD689" s="876"/>
      <c r="AE689" s="876"/>
      <c r="AF689" s="876"/>
      <c r="AG689" s="876"/>
      <c r="AH689" s="876"/>
      <c r="AI689" s="878"/>
      <c r="AJ689" s="880"/>
      <c r="AK689" s="880"/>
      <c r="AL689" s="880"/>
      <c r="AM689" s="880"/>
      <c r="AN689" s="880"/>
      <c r="AO689" s="880"/>
      <c r="AP689" s="880"/>
      <c r="AQ689" s="880"/>
      <c r="AR689" s="880"/>
      <c r="AS689" s="880"/>
      <c r="AT689" s="880"/>
      <c r="AU689" s="880"/>
      <c r="AV689" s="880"/>
      <c r="AW689" s="881"/>
      <c r="AX689" s="863"/>
      <c r="AY689" s="863"/>
      <c r="AZ689" s="863"/>
      <c r="BA689" s="863"/>
      <c r="BB689" s="863"/>
      <c r="BC689" s="863"/>
      <c r="BD689" s="863"/>
      <c r="BE689" s="863"/>
      <c r="BF689" s="863"/>
      <c r="BG689" s="863"/>
      <c r="BH689" s="863"/>
      <c r="BI689" s="863"/>
      <c r="BJ689" s="863"/>
      <c r="BK689" s="863"/>
      <c r="BL689" s="863"/>
      <c r="BM689" s="863"/>
      <c r="BN689" s="863"/>
      <c r="BO689" s="863"/>
      <c r="BP689" s="880"/>
      <c r="BQ689" s="863"/>
      <c r="BR689" s="883"/>
      <c r="BS689" s="883"/>
      <c r="BT689" s="883"/>
      <c r="BU689" s="883"/>
      <c r="BV689" s="883"/>
      <c r="BW689" s="883"/>
      <c r="BX689" s="883"/>
      <c r="BY689" s="883"/>
      <c r="BZ689" s="883"/>
      <c r="CA689" s="883"/>
      <c r="CB689" s="883"/>
      <c r="CC689" s="883"/>
      <c r="CD689" s="884"/>
      <c r="CE689" s="883"/>
      <c r="CF689" s="883"/>
      <c r="CG689" s="883"/>
      <c r="CH689" s="883"/>
      <c r="CI689" s="883"/>
      <c r="CJ689" s="883"/>
      <c r="CK689" s="883"/>
      <c r="CL689" s="883"/>
      <c r="CM689" s="883"/>
      <c r="CN689" s="883"/>
      <c r="CO689" s="883"/>
      <c r="CP689" s="883"/>
      <c r="CQ689" s="883"/>
      <c r="CR689" s="883"/>
      <c r="CS689" s="883"/>
      <c r="CT689" s="883"/>
      <c r="CU689" s="883"/>
      <c r="CV689" s="863"/>
      <c r="CW689" s="863"/>
      <c r="CX689" s="863"/>
      <c r="CY689" s="863"/>
      <c r="CZ689" s="863"/>
      <c r="DA689" s="863"/>
      <c r="DB689" s="863"/>
      <c r="DC689" s="863"/>
      <c r="DD689" s="863"/>
      <c r="DE689" s="863"/>
    </row>
    <row r="690">
      <c r="A690" s="876"/>
      <c r="B690" s="876"/>
      <c r="C690" s="876"/>
      <c r="D690" s="876"/>
      <c r="E690" s="876"/>
      <c r="F690" s="876"/>
      <c r="G690" s="876"/>
      <c r="H690" s="876"/>
      <c r="I690" s="876"/>
      <c r="J690" s="876"/>
      <c r="K690" s="876"/>
      <c r="L690" s="876"/>
      <c r="M690" s="876"/>
      <c r="N690" s="877"/>
      <c r="O690" s="876"/>
      <c r="P690" s="876"/>
      <c r="Q690" s="876"/>
      <c r="R690" s="876"/>
      <c r="S690" s="876"/>
      <c r="T690" s="876"/>
      <c r="U690" s="876"/>
      <c r="V690" s="876"/>
      <c r="W690" s="876"/>
      <c r="X690" s="876"/>
      <c r="Y690" s="876"/>
      <c r="Z690" s="876"/>
      <c r="AA690" s="876"/>
      <c r="AB690" s="876"/>
      <c r="AC690" s="876"/>
      <c r="AD690" s="876"/>
      <c r="AE690" s="876"/>
      <c r="AF690" s="876"/>
      <c r="AG690" s="876"/>
      <c r="AH690" s="876"/>
      <c r="AI690" s="878"/>
      <c r="AJ690" s="880"/>
      <c r="AK690" s="880"/>
      <c r="AL690" s="880"/>
      <c r="AM690" s="880"/>
      <c r="AN690" s="880"/>
      <c r="AO690" s="880"/>
      <c r="AP690" s="880"/>
      <c r="AQ690" s="880"/>
      <c r="AR690" s="880"/>
      <c r="AS690" s="880"/>
      <c r="AT690" s="880"/>
      <c r="AU690" s="880"/>
      <c r="AV690" s="880"/>
      <c r="AW690" s="881"/>
      <c r="AX690" s="863"/>
      <c r="AY690" s="863"/>
      <c r="AZ690" s="863"/>
      <c r="BA690" s="863"/>
      <c r="BB690" s="863"/>
      <c r="BC690" s="863"/>
      <c r="BD690" s="863"/>
      <c r="BE690" s="863"/>
      <c r="BF690" s="863"/>
      <c r="BG690" s="863"/>
      <c r="BH690" s="863"/>
      <c r="BI690" s="863"/>
      <c r="BJ690" s="863"/>
      <c r="BK690" s="863"/>
      <c r="BL690" s="863"/>
      <c r="BM690" s="863"/>
      <c r="BN690" s="863"/>
      <c r="BO690" s="863"/>
      <c r="BP690" s="880"/>
      <c r="BQ690" s="863"/>
      <c r="BR690" s="883"/>
      <c r="BS690" s="883"/>
      <c r="BT690" s="883"/>
      <c r="BU690" s="883"/>
      <c r="BV690" s="883"/>
      <c r="BW690" s="883"/>
      <c r="BX690" s="883"/>
      <c r="BY690" s="883"/>
      <c r="BZ690" s="883"/>
      <c r="CA690" s="883"/>
      <c r="CB690" s="883"/>
      <c r="CC690" s="883"/>
      <c r="CD690" s="884"/>
      <c r="CE690" s="883"/>
      <c r="CF690" s="883"/>
      <c r="CG690" s="883"/>
      <c r="CH690" s="883"/>
      <c r="CI690" s="883"/>
      <c r="CJ690" s="883"/>
      <c r="CK690" s="883"/>
      <c r="CL690" s="883"/>
      <c r="CM690" s="883"/>
      <c r="CN690" s="883"/>
      <c r="CO690" s="883"/>
      <c r="CP690" s="883"/>
      <c r="CQ690" s="883"/>
      <c r="CR690" s="883"/>
      <c r="CS690" s="883"/>
      <c r="CT690" s="883"/>
      <c r="CU690" s="883"/>
      <c r="CV690" s="863"/>
      <c r="CW690" s="863"/>
      <c r="CX690" s="863"/>
      <c r="CY690" s="863"/>
      <c r="CZ690" s="863"/>
      <c r="DA690" s="863"/>
      <c r="DB690" s="863"/>
      <c r="DC690" s="863"/>
      <c r="DD690" s="863"/>
      <c r="DE690" s="863"/>
    </row>
    <row r="691">
      <c r="A691" s="876"/>
      <c r="B691" s="876"/>
      <c r="C691" s="876"/>
      <c r="D691" s="876"/>
      <c r="E691" s="876"/>
      <c r="F691" s="876"/>
      <c r="G691" s="876"/>
      <c r="H691" s="876"/>
      <c r="I691" s="876"/>
      <c r="J691" s="876"/>
      <c r="K691" s="876"/>
      <c r="L691" s="876"/>
      <c r="M691" s="876"/>
      <c r="N691" s="877"/>
      <c r="O691" s="876"/>
      <c r="P691" s="876"/>
      <c r="Q691" s="876"/>
      <c r="R691" s="876"/>
      <c r="S691" s="876"/>
      <c r="T691" s="876"/>
      <c r="U691" s="876"/>
      <c r="V691" s="876"/>
      <c r="W691" s="876"/>
      <c r="X691" s="876"/>
      <c r="Y691" s="876"/>
      <c r="Z691" s="876"/>
      <c r="AA691" s="876"/>
      <c r="AB691" s="876"/>
      <c r="AC691" s="876"/>
      <c r="AD691" s="876"/>
      <c r="AE691" s="876"/>
      <c r="AF691" s="876"/>
      <c r="AG691" s="876"/>
      <c r="AH691" s="876"/>
      <c r="AI691" s="878"/>
      <c r="AJ691" s="880"/>
      <c r="AK691" s="880"/>
      <c r="AL691" s="880"/>
      <c r="AM691" s="880"/>
      <c r="AN691" s="880"/>
      <c r="AO691" s="880"/>
      <c r="AP691" s="880"/>
      <c r="AQ691" s="880"/>
      <c r="AR691" s="880"/>
      <c r="AS691" s="880"/>
      <c r="AT691" s="880"/>
      <c r="AU691" s="880"/>
      <c r="AV691" s="880"/>
      <c r="AW691" s="881"/>
      <c r="AX691" s="863"/>
      <c r="AY691" s="863"/>
      <c r="AZ691" s="863"/>
      <c r="BA691" s="863"/>
      <c r="BB691" s="863"/>
      <c r="BC691" s="863"/>
      <c r="BD691" s="863"/>
      <c r="BE691" s="863"/>
      <c r="BF691" s="863"/>
      <c r="BG691" s="863"/>
      <c r="BH691" s="863"/>
      <c r="BI691" s="863"/>
      <c r="BJ691" s="863"/>
      <c r="BK691" s="863"/>
      <c r="BL691" s="863"/>
      <c r="BM691" s="863"/>
      <c r="BN691" s="863"/>
      <c r="BO691" s="863"/>
      <c r="BP691" s="880"/>
      <c r="BQ691" s="863"/>
      <c r="BR691" s="883"/>
      <c r="BS691" s="883"/>
      <c r="BT691" s="883"/>
      <c r="BU691" s="883"/>
      <c r="BV691" s="883"/>
      <c r="BW691" s="883"/>
      <c r="BX691" s="883"/>
      <c r="BY691" s="883"/>
      <c r="BZ691" s="883"/>
      <c r="CA691" s="883"/>
      <c r="CB691" s="883"/>
      <c r="CC691" s="883"/>
      <c r="CD691" s="884"/>
      <c r="CE691" s="883"/>
      <c r="CF691" s="883"/>
      <c r="CG691" s="883"/>
      <c r="CH691" s="883"/>
      <c r="CI691" s="883"/>
      <c r="CJ691" s="883"/>
      <c r="CK691" s="883"/>
      <c r="CL691" s="883"/>
      <c r="CM691" s="883"/>
      <c r="CN691" s="883"/>
      <c r="CO691" s="883"/>
      <c r="CP691" s="883"/>
      <c r="CQ691" s="883"/>
      <c r="CR691" s="883"/>
      <c r="CS691" s="883"/>
      <c r="CT691" s="883"/>
      <c r="CU691" s="883"/>
      <c r="CV691" s="863"/>
      <c r="CW691" s="863"/>
      <c r="CX691" s="863"/>
      <c r="CY691" s="863"/>
      <c r="CZ691" s="863"/>
      <c r="DA691" s="863"/>
      <c r="DB691" s="863"/>
      <c r="DC691" s="863"/>
      <c r="DD691" s="863"/>
      <c r="DE691" s="863"/>
    </row>
    <row r="692">
      <c r="A692" s="876"/>
      <c r="B692" s="876"/>
      <c r="C692" s="876"/>
      <c r="D692" s="876"/>
      <c r="E692" s="876"/>
      <c r="F692" s="876"/>
      <c r="G692" s="876"/>
      <c r="H692" s="876"/>
      <c r="I692" s="876"/>
      <c r="J692" s="876"/>
      <c r="K692" s="876"/>
      <c r="L692" s="876"/>
      <c r="M692" s="876"/>
      <c r="N692" s="877"/>
      <c r="O692" s="876"/>
      <c r="P692" s="876"/>
      <c r="Q692" s="876"/>
      <c r="R692" s="876"/>
      <c r="S692" s="876"/>
      <c r="T692" s="876"/>
      <c r="U692" s="876"/>
      <c r="V692" s="876"/>
      <c r="W692" s="876"/>
      <c r="X692" s="876"/>
      <c r="Y692" s="876"/>
      <c r="Z692" s="876"/>
      <c r="AA692" s="876"/>
      <c r="AB692" s="876"/>
      <c r="AC692" s="876"/>
      <c r="AD692" s="876"/>
      <c r="AE692" s="876"/>
      <c r="AF692" s="876"/>
      <c r="AG692" s="876"/>
      <c r="AH692" s="876"/>
      <c r="AI692" s="878"/>
      <c r="AJ692" s="880"/>
      <c r="AK692" s="880"/>
      <c r="AL692" s="880"/>
      <c r="AM692" s="880"/>
      <c r="AN692" s="880"/>
      <c r="AO692" s="880"/>
      <c r="AP692" s="880"/>
      <c r="AQ692" s="880"/>
      <c r="AR692" s="880"/>
      <c r="AS692" s="880"/>
      <c r="AT692" s="880"/>
      <c r="AU692" s="880"/>
      <c r="AV692" s="880"/>
      <c r="AW692" s="881"/>
      <c r="AX692" s="863"/>
      <c r="AY692" s="863"/>
      <c r="AZ692" s="863"/>
      <c r="BA692" s="863"/>
      <c r="BB692" s="863"/>
      <c r="BC692" s="863"/>
      <c r="BD692" s="863"/>
      <c r="BE692" s="863"/>
      <c r="BF692" s="863"/>
      <c r="BG692" s="863"/>
      <c r="BH692" s="863"/>
      <c r="BI692" s="863"/>
      <c r="BJ692" s="863"/>
      <c r="BK692" s="863"/>
      <c r="BL692" s="863"/>
      <c r="BM692" s="863"/>
      <c r="BN692" s="863"/>
      <c r="BO692" s="863"/>
      <c r="BP692" s="880"/>
      <c r="BQ692" s="863"/>
      <c r="BR692" s="883"/>
      <c r="BS692" s="883"/>
      <c r="BT692" s="883"/>
      <c r="BU692" s="883"/>
      <c r="BV692" s="883"/>
      <c r="BW692" s="883"/>
      <c r="BX692" s="883"/>
      <c r="BY692" s="883"/>
      <c r="BZ692" s="883"/>
      <c r="CA692" s="883"/>
      <c r="CB692" s="883"/>
      <c r="CC692" s="883"/>
      <c r="CD692" s="884"/>
      <c r="CE692" s="883"/>
      <c r="CF692" s="883"/>
      <c r="CG692" s="883"/>
      <c r="CH692" s="883"/>
      <c r="CI692" s="883"/>
      <c r="CJ692" s="883"/>
      <c r="CK692" s="883"/>
      <c r="CL692" s="883"/>
      <c r="CM692" s="883"/>
      <c r="CN692" s="883"/>
      <c r="CO692" s="883"/>
      <c r="CP692" s="883"/>
      <c r="CQ692" s="883"/>
      <c r="CR692" s="883"/>
      <c r="CS692" s="883"/>
      <c r="CT692" s="883"/>
      <c r="CU692" s="883"/>
      <c r="CV692" s="863"/>
      <c r="CW692" s="863"/>
      <c r="CX692" s="863"/>
      <c r="CY692" s="863"/>
      <c r="CZ692" s="863"/>
      <c r="DA692" s="863"/>
      <c r="DB692" s="863"/>
      <c r="DC692" s="863"/>
      <c r="DD692" s="863"/>
      <c r="DE692" s="863"/>
    </row>
    <row r="693">
      <c r="A693" s="876"/>
      <c r="B693" s="876"/>
      <c r="C693" s="876"/>
      <c r="D693" s="876"/>
      <c r="E693" s="876"/>
      <c r="F693" s="876"/>
      <c r="G693" s="876"/>
      <c r="H693" s="876"/>
      <c r="I693" s="876"/>
      <c r="J693" s="876"/>
      <c r="K693" s="876"/>
      <c r="L693" s="876"/>
      <c r="M693" s="876"/>
      <c r="N693" s="877"/>
      <c r="O693" s="876"/>
      <c r="P693" s="876"/>
      <c r="Q693" s="876"/>
      <c r="R693" s="876"/>
      <c r="S693" s="876"/>
      <c r="T693" s="876"/>
      <c r="U693" s="876"/>
      <c r="V693" s="876"/>
      <c r="W693" s="876"/>
      <c r="X693" s="876"/>
      <c r="Y693" s="876"/>
      <c r="Z693" s="876"/>
      <c r="AA693" s="876"/>
      <c r="AB693" s="876"/>
      <c r="AC693" s="876"/>
      <c r="AD693" s="876"/>
      <c r="AE693" s="876"/>
      <c r="AF693" s="876"/>
      <c r="AG693" s="876"/>
      <c r="AH693" s="876"/>
      <c r="AI693" s="878"/>
      <c r="AJ693" s="880"/>
      <c r="AK693" s="880"/>
      <c r="AL693" s="880"/>
      <c r="AM693" s="880"/>
      <c r="AN693" s="880"/>
      <c r="AO693" s="880"/>
      <c r="AP693" s="880"/>
      <c r="AQ693" s="880"/>
      <c r="AR693" s="880"/>
      <c r="AS693" s="880"/>
      <c r="AT693" s="880"/>
      <c r="AU693" s="880"/>
      <c r="AV693" s="880"/>
      <c r="AW693" s="881"/>
      <c r="AX693" s="863"/>
      <c r="AY693" s="863"/>
      <c r="AZ693" s="863"/>
      <c r="BA693" s="863"/>
      <c r="BB693" s="863"/>
      <c r="BC693" s="863"/>
      <c r="BD693" s="863"/>
      <c r="BE693" s="863"/>
      <c r="BF693" s="863"/>
      <c r="BG693" s="863"/>
      <c r="BH693" s="863"/>
      <c r="BI693" s="863"/>
      <c r="BJ693" s="863"/>
      <c r="BK693" s="863"/>
      <c r="BL693" s="863"/>
      <c r="BM693" s="863"/>
      <c r="BN693" s="863"/>
      <c r="BO693" s="863"/>
      <c r="BP693" s="880"/>
      <c r="BQ693" s="863"/>
      <c r="BR693" s="883"/>
      <c r="BS693" s="883"/>
      <c r="BT693" s="883"/>
      <c r="BU693" s="883"/>
      <c r="BV693" s="883"/>
      <c r="BW693" s="883"/>
      <c r="BX693" s="883"/>
      <c r="BY693" s="883"/>
      <c r="BZ693" s="883"/>
      <c r="CA693" s="883"/>
      <c r="CB693" s="883"/>
      <c r="CC693" s="883"/>
      <c r="CD693" s="884"/>
      <c r="CE693" s="883"/>
      <c r="CF693" s="883"/>
      <c r="CG693" s="883"/>
      <c r="CH693" s="883"/>
      <c r="CI693" s="883"/>
      <c r="CJ693" s="883"/>
      <c r="CK693" s="883"/>
      <c r="CL693" s="883"/>
      <c r="CM693" s="883"/>
      <c r="CN693" s="883"/>
      <c r="CO693" s="883"/>
      <c r="CP693" s="883"/>
      <c r="CQ693" s="883"/>
      <c r="CR693" s="883"/>
      <c r="CS693" s="883"/>
      <c r="CT693" s="883"/>
      <c r="CU693" s="883"/>
      <c r="CV693" s="863"/>
      <c r="CW693" s="863"/>
      <c r="CX693" s="863"/>
      <c r="CY693" s="863"/>
      <c r="CZ693" s="863"/>
      <c r="DA693" s="863"/>
      <c r="DB693" s="863"/>
      <c r="DC693" s="863"/>
      <c r="DD693" s="863"/>
      <c r="DE693" s="863"/>
    </row>
    <row r="694">
      <c r="A694" s="876"/>
      <c r="B694" s="876"/>
      <c r="C694" s="876"/>
      <c r="D694" s="876"/>
      <c r="E694" s="876"/>
      <c r="F694" s="876"/>
      <c r="G694" s="876"/>
      <c r="H694" s="876"/>
      <c r="I694" s="876"/>
      <c r="J694" s="876"/>
      <c r="K694" s="876"/>
      <c r="L694" s="876"/>
      <c r="M694" s="876"/>
      <c r="N694" s="877"/>
      <c r="O694" s="876"/>
      <c r="P694" s="876"/>
      <c r="Q694" s="876"/>
      <c r="R694" s="876"/>
      <c r="S694" s="876"/>
      <c r="T694" s="876"/>
      <c r="U694" s="876"/>
      <c r="V694" s="876"/>
      <c r="W694" s="876"/>
      <c r="X694" s="876"/>
      <c r="Y694" s="876"/>
      <c r="Z694" s="876"/>
      <c r="AA694" s="876"/>
      <c r="AB694" s="876"/>
      <c r="AC694" s="876"/>
      <c r="AD694" s="876"/>
      <c r="AE694" s="876"/>
      <c r="AF694" s="876"/>
      <c r="AG694" s="876"/>
      <c r="AH694" s="876"/>
      <c r="AI694" s="878"/>
      <c r="AJ694" s="880"/>
      <c r="AK694" s="880"/>
      <c r="AL694" s="880"/>
      <c r="AM694" s="880"/>
      <c r="AN694" s="880"/>
      <c r="AO694" s="880"/>
      <c r="AP694" s="880"/>
      <c r="AQ694" s="880"/>
      <c r="AR694" s="880"/>
      <c r="AS694" s="880"/>
      <c r="AT694" s="880"/>
      <c r="AU694" s="880"/>
      <c r="AV694" s="880"/>
      <c r="AW694" s="881"/>
      <c r="AX694" s="863"/>
      <c r="AY694" s="863"/>
      <c r="AZ694" s="863"/>
      <c r="BA694" s="863"/>
      <c r="BB694" s="863"/>
      <c r="BC694" s="863"/>
      <c r="BD694" s="863"/>
      <c r="BE694" s="863"/>
      <c r="BF694" s="863"/>
      <c r="BG694" s="863"/>
      <c r="BH694" s="863"/>
      <c r="BI694" s="863"/>
      <c r="BJ694" s="863"/>
      <c r="BK694" s="863"/>
      <c r="BL694" s="863"/>
      <c r="BM694" s="863"/>
      <c r="BN694" s="863"/>
      <c r="BO694" s="863"/>
      <c r="BP694" s="880"/>
      <c r="BQ694" s="863"/>
      <c r="BR694" s="883"/>
      <c r="BS694" s="883"/>
      <c r="BT694" s="883"/>
      <c r="BU694" s="883"/>
      <c r="BV694" s="883"/>
      <c r="BW694" s="883"/>
      <c r="BX694" s="883"/>
      <c r="BY694" s="883"/>
      <c r="BZ694" s="883"/>
      <c r="CA694" s="883"/>
      <c r="CB694" s="883"/>
      <c r="CC694" s="883"/>
      <c r="CD694" s="884"/>
      <c r="CE694" s="883"/>
      <c r="CF694" s="883"/>
      <c r="CG694" s="883"/>
      <c r="CH694" s="883"/>
      <c r="CI694" s="883"/>
      <c r="CJ694" s="883"/>
      <c r="CK694" s="883"/>
      <c r="CL694" s="883"/>
      <c r="CM694" s="883"/>
      <c r="CN694" s="883"/>
      <c r="CO694" s="883"/>
      <c r="CP694" s="883"/>
      <c r="CQ694" s="883"/>
      <c r="CR694" s="883"/>
      <c r="CS694" s="883"/>
      <c r="CT694" s="883"/>
      <c r="CU694" s="883"/>
      <c r="CV694" s="863"/>
      <c r="CW694" s="863"/>
      <c r="CX694" s="863"/>
      <c r="CY694" s="863"/>
      <c r="CZ694" s="863"/>
      <c r="DA694" s="863"/>
      <c r="DB694" s="863"/>
      <c r="DC694" s="863"/>
      <c r="DD694" s="863"/>
      <c r="DE694" s="863"/>
    </row>
    <row r="695">
      <c r="A695" s="876"/>
      <c r="B695" s="876"/>
      <c r="C695" s="876"/>
      <c r="D695" s="876"/>
      <c r="E695" s="876"/>
      <c r="F695" s="876"/>
      <c r="G695" s="876"/>
      <c r="H695" s="876"/>
      <c r="I695" s="876"/>
      <c r="J695" s="876"/>
      <c r="K695" s="876"/>
      <c r="L695" s="876"/>
      <c r="M695" s="876"/>
      <c r="N695" s="877"/>
      <c r="O695" s="876"/>
      <c r="P695" s="876"/>
      <c r="Q695" s="876"/>
      <c r="R695" s="876"/>
      <c r="S695" s="876"/>
      <c r="T695" s="876"/>
      <c r="U695" s="876"/>
      <c r="V695" s="876"/>
      <c r="W695" s="876"/>
      <c r="X695" s="876"/>
      <c r="Y695" s="876"/>
      <c r="Z695" s="876"/>
      <c r="AA695" s="876"/>
      <c r="AB695" s="876"/>
      <c r="AC695" s="876"/>
      <c r="AD695" s="876"/>
      <c r="AE695" s="876"/>
      <c r="AF695" s="876"/>
      <c r="AG695" s="876"/>
      <c r="AH695" s="876"/>
      <c r="AI695" s="878"/>
      <c r="AJ695" s="880"/>
      <c r="AK695" s="880"/>
      <c r="AL695" s="880"/>
      <c r="AM695" s="880"/>
      <c r="AN695" s="880"/>
      <c r="AO695" s="880"/>
      <c r="AP695" s="880"/>
      <c r="AQ695" s="880"/>
      <c r="AR695" s="880"/>
      <c r="AS695" s="880"/>
      <c r="AT695" s="880"/>
      <c r="AU695" s="880"/>
      <c r="AV695" s="880"/>
      <c r="AW695" s="881"/>
      <c r="AX695" s="863"/>
      <c r="AY695" s="863"/>
      <c r="AZ695" s="863"/>
      <c r="BA695" s="863"/>
      <c r="BB695" s="863"/>
      <c r="BC695" s="863"/>
      <c r="BD695" s="863"/>
      <c r="BE695" s="863"/>
      <c r="BF695" s="863"/>
      <c r="BG695" s="863"/>
      <c r="BH695" s="863"/>
      <c r="BI695" s="863"/>
      <c r="BJ695" s="863"/>
      <c r="BK695" s="863"/>
      <c r="BL695" s="863"/>
      <c r="BM695" s="863"/>
      <c r="BN695" s="863"/>
      <c r="BO695" s="863"/>
      <c r="BP695" s="880"/>
      <c r="BQ695" s="863"/>
      <c r="BR695" s="883"/>
      <c r="BS695" s="883"/>
      <c r="BT695" s="883"/>
      <c r="BU695" s="883"/>
      <c r="BV695" s="883"/>
      <c r="BW695" s="883"/>
      <c r="BX695" s="883"/>
      <c r="BY695" s="883"/>
      <c r="BZ695" s="883"/>
      <c r="CA695" s="883"/>
      <c r="CB695" s="883"/>
      <c r="CC695" s="883"/>
      <c r="CD695" s="884"/>
      <c r="CE695" s="883"/>
      <c r="CF695" s="883"/>
      <c r="CG695" s="883"/>
      <c r="CH695" s="883"/>
      <c r="CI695" s="883"/>
      <c r="CJ695" s="883"/>
      <c r="CK695" s="883"/>
      <c r="CL695" s="883"/>
      <c r="CM695" s="883"/>
      <c r="CN695" s="883"/>
      <c r="CO695" s="883"/>
      <c r="CP695" s="883"/>
      <c r="CQ695" s="883"/>
      <c r="CR695" s="883"/>
      <c r="CS695" s="883"/>
      <c r="CT695" s="883"/>
      <c r="CU695" s="883"/>
      <c r="CV695" s="863"/>
      <c r="CW695" s="863"/>
      <c r="CX695" s="863"/>
      <c r="CY695" s="863"/>
      <c r="CZ695" s="863"/>
      <c r="DA695" s="863"/>
      <c r="DB695" s="863"/>
      <c r="DC695" s="863"/>
      <c r="DD695" s="863"/>
      <c r="DE695" s="863"/>
    </row>
    <row r="696">
      <c r="A696" s="876"/>
      <c r="B696" s="876"/>
      <c r="C696" s="876"/>
      <c r="D696" s="876"/>
      <c r="E696" s="876"/>
      <c r="F696" s="876"/>
      <c r="G696" s="876"/>
      <c r="H696" s="876"/>
      <c r="I696" s="876"/>
      <c r="J696" s="876"/>
      <c r="K696" s="876"/>
      <c r="L696" s="876"/>
      <c r="M696" s="876"/>
      <c r="N696" s="877"/>
      <c r="O696" s="876"/>
      <c r="P696" s="876"/>
      <c r="Q696" s="876"/>
      <c r="R696" s="876"/>
      <c r="S696" s="876"/>
      <c r="T696" s="876"/>
      <c r="U696" s="876"/>
      <c r="V696" s="876"/>
      <c r="W696" s="876"/>
      <c r="X696" s="876"/>
      <c r="Y696" s="876"/>
      <c r="Z696" s="876"/>
      <c r="AA696" s="876"/>
      <c r="AB696" s="876"/>
      <c r="AC696" s="876"/>
      <c r="AD696" s="876"/>
      <c r="AE696" s="876"/>
      <c r="AF696" s="876"/>
      <c r="AG696" s="876"/>
      <c r="AH696" s="876"/>
      <c r="AI696" s="878"/>
      <c r="AJ696" s="880"/>
      <c r="AK696" s="880"/>
      <c r="AL696" s="880"/>
      <c r="AM696" s="880"/>
      <c r="AN696" s="880"/>
      <c r="AO696" s="880"/>
      <c r="AP696" s="880"/>
      <c r="AQ696" s="880"/>
      <c r="AR696" s="880"/>
      <c r="AS696" s="880"/>
      <c r="AT696" s="880"/>
      <c r="AU696" s="880"/>
      <c r="AV696" s="880"/>
      <c r="AW696" s="881"/>
      <c r="AX696" s="863"/>
      <c r="AY696" s="863"/>
      <c r="AZ696" s="863"/>
      <c r="BA696" s="863"/>
      <c r="BB696" s="863"/>
      <c r="BC696" s="863"/>
      <c r="BD696" s="863"/>
      <c r="BE696" s="863"/>
      <c r="BF696" s="863"/>
      <c r="BG696" s="863"/>
      <c r="BH696" s="863"/>
      <c r="BI696" s="863"/>
      <c r="BJ696" s="863"/>
      <c r="BK696" s="863"/>
      <c r="BL696" s="863"/>
      <c r="BM696" s="863"/>
      <c r="BN696" s="863"/>
      <c r="BO696" s="863"/>
      <c r="BP696" s="880"/>
      <c r="BQ696" s="863"/>
      <c r="BR696" s="883"/>
      <c r="BS696" s="883"/>
      <c r="BT696" s="883"/>
      <c r="BU696" s="883"/>
      <c r="BV696" s="883"/>
      <c r="BW696" s="883"/>
      <c r="BX696" s="883"/>
      <c r="BY696" s="883"/>
      <c r="BZ696" s="883"/>
      <c r="CA696" s="883"/>
      <c r="CB696" s="883"/>
      <c r="CC696" s="883"/>
      <c r="CD696" s="884"/>
      <c r="CE696" s="883"/>
      <c r="CF696" s="883"/>
      <c r="CG696" s="883"/>
      <c r="CH696" s="883"/>
      <c r="CI696" s="883"/>
      <c r="CJ696" s="883"/>
      <c r="CK696" s="883"/>
      <c r="CL696" s="883"/>
      <c r="CM696" s="883"/>
      <c r="CN696" s="883"/>
      <c r="CO696" s="883"/>
      <c r="CP696" s="883"/>
      <c r="CQ696" s="883"/>
      <c r="CR696" s="883"/>
      <c r="CS696" s="883"/>
      <c r="CT696" s="883"/>
      <c r="CU696" s="883"/>
      <c r="CV696" s="863"/>
      <c r="CW696" s="863"/>
      <c r="CX696" s="863"/>
      <c r="CY696" s="863"/>
      <c r="CZ696" s="863"/>
      <c r="DA696" s="863"/>
      <c r="DB696" s="863"/>
      <c r="DC696" s="863"/>
      <c r="DD696" s="863"/>
      <c r="DE696" s="863"/>
    </row>
    <row r="697">
      <c r="A697" s="876"/>
      <c r="B697" s="876"/>
      <c r="C697" s="876"/>
      <c r="D697" s="876"/>
      <c r="E697" s="876"/>
      <c r="F697" s="876"/>
      <c r="G697" s="876"/>
      <c r="H697" s="876"/>
      <c r="I697" s="876"/>
      <c r="J697" s="876"/>
      <c r="K697" s="876"/>
      <c r="L697" s="876"/>
      <c r="M697" s="876"/>
      <c r="N697" s="877"/>
      <c r="O697" s="876"/>
      <c r="P697" s="876"/>
      <c r="Q697" s="876"/>
      <c r="R697" s="876"/>
      <c r="S697" s="876"/>
      <c r="T697" s="876"/>
      <c r="U697" s="876"/>
      <c r="V697" s="876"/>
      <c r="W697" s="876"/>
      <c r="X697" s="876"/>
      <c r="Y697" s="876"/>
      <c r="Z697" s="876"/>
      <c r="AA697" s="876"/>
      <c r="AB697" s="876"/>
      <c r="AC697" s="876"/>
      <c r="AD697" s="876"/>
      <c r="AE697" s="876"/>
      <c r="AF697" s="876"/>
      <c r="AG697" s="876"/>
      <c r="AH697" s="876"/>
      <c r="AI697" s="878"/>
      <c r="AJ697" s="880"/>
      <c r="AK697" s="880"/>
      <c r="AL697" s="880"/>
      <c r="AM697" s="880"/>
      <c r="AN697" s="880"/>
      <c r="AO697" s="880"/>
      <c r="AP697" s="880"/>
      <c r="AQ697" s="880"/>
      <c r="AR697" s="880"/>
      <c r="AS697" s="880"/>
      <c r="AT697" s="880"/>
      <c r="AU697" s="880"/>
      <c r="AV697" s="880"/>
      <c r="AW697" s="881"/>
      <c r="AX697" s="863"/>
      <c r="AY697" s="863"/>
      <c r="AZ697" s="863"/>
      <c r="BA697" s="863"/>
      <c r="BB697" s="863"/>
      <c r="BC697" s="863"/>
      <c r="BD697" s="863"/>
      <c r="BE697" s="863"/>
      <c r="BF697" s="863"/>
      <c r="BG697" s="863"/>
      <c r="BH697" s="863"/>
      <c r="BI697" s="863"/>
      <c r="BJ697" s="863"/>
      <c r="BK697" s="863"/>
      <c r="BL697" s="863"/>
      <c r="BM697" s="863"/>
      <c r="BN697" s="863"/>
      <c r="BO697" s="863"/>
      <c r="BP697" s="880"/>
      <c r="BQ697" s="863"/>
      <c r="BR697" s="883"/>
      <c r="BS697" s="883"/>
      <c r="BT697" s="883"/>
      <c r="BU697" s="883"/>
      <c r="BV697" s="883"/>
      <c r="BW697" s="883"/>
      <c r="BX697" s="883"/>
      <c r="BY697" s="883"/>
      <c r="BZ697" s="883"/>
      <c r="CA697" s="883"/>
      <c r="CB697" s="883"/>
      <c r="CC697" s="883"/>
      <c r="CD697" s="884"/>
      <c r="CE697" s="883"/>
      <c r="CF697" s="883"/>
      <c r="CG697" s="883"/>
      <c r="CH697" s="883"/>
      <c r="CI697" s="883"/>
      <c r="CJ697" s="883"/>
      <c r="CK697" s="883"/>
      <c r="CL697" s="883"/>
      <c r="CM697" s="883"/>
      <c r="CN697" s="883"/>
      <c r="CO697" s="883"/>
      <c r="CP697" s="883"/>
      <c r="CQ697" s="883"/>
      <c r="CR697" s="883"/>
      <c r="CS697" s="883"/>
      <c r="CT697" s="883"/>
      <c r="CU697" s="883"/>
      <c r="CV697" s="863"/>
      <c r="CW697" s="863"/>
      <c r="CX697" s="863"/>
      <c r="CY697" s="863"/>
      <c r="CZ697" s="863"/>
      <c r="DA697" s="863"/>
      <c r="DB697" s="863"/>
      <c r="DC697" s="863"/>
      <c r="DD697" s="863"/>
      <c r="DE697" s="863"/>
    </row>
    <row r="698">
      <c r="A698" s="876"/>
      <c r="B698" s="876"/>
      <c r="C698" s="876"/>
      <c r="D698" s="876"/>
      <c r="E698" s="876"/>
      <c r="F698" s="876"/>
      <c r="G698" s="876"/>
      <c r="H698" s="876"/>
      <c r="I698" s="876"/>
      <c r="J698" s="876"/>
      <c r="K698" s="876"/>
      <c r="L698" s="876"/>
      <c r="M698" s="876"/>
      <c r="N698" s="877"/>
      <c r="O698" s="876"/>
      <c r="P698" s="876"/>
      <c r="Q698" s="876"/>
      <c r="R698" s="876"/>
      <c r="S698" s="876"/>
      <c r="T698" s="876"/>
      <c r="U698" s="876"/>
      <c r="V698" s="876"/>
      <c r="W698" s="876"/>
      <c r="X698" s="876"/>
      <c r="Y698" s="876"/>
      <c r="Z698" s="876"/>
      <c r="AA698" s="876"/>
      <c r="AB698" s="876"/>
      <c r="AC698" s="876"/>
      <c r="AD698" s="876"/>
      <c r="AE698" s="876"/>
      <c r="AF698" s="876"/>
      <c r="AG698" s="876"/>
      <c r="AH698" s="876"/>
      <c r="AI698" s="878"/>
      <c r="AJ698" s="880"/>
      <c r="AK698" s="880"/>
      <c r="AL698" s="880"/>
      <c r="AM698" s="880"/>
      <c r="AN698" s="880"/>
      <c r="AO698" s="880"/>
      <c r="AP698" s="880"/>
      <c r="AQ698" s="880"/>
      <c r="AR698" s="880"/>
      <c r="AS698" s="880"/>
      <c r="AT698" s="880"/>
      <c r="AU698" s="880"/>
      <c r="AV698" s="880"/>
      <c r="AW698" s="881"/>
      <c r="AX698" s="863"/>
      <c r="AY698" s="863"/>
      <c r="AZ698" s="863"/>
      <c r="BA698" s="863"/>
      <c r="BB698" s="863"/>
      <c r="BC698" s="863"/>
      <c r="BD698" s="863"/>
      <c r="BE698" s="863"/>
      <c r="BF698" s="863"/>
      <c r="BG698" s="863"/>
      <c r="BH698" s="863"/>
      <c r="BI698" s="863"/>
      <c r="BJ698" s="863"/>
      <c r="BK698" s="863"/>
      <c r="BL698" s="863"/>
      <c r="BM698" s="863"/>
      <c r="BN698" s="863"/>
      <c r="BO698" s="863"/>
      <c r="BP698" s="880"/>
      <c r="BQ698" s="863"/>
      <c r="BR698" s="883"/>
      <c r="BS698" s="883"/>
      <c r="BT698" s="883"/>
      <c r="BU698" s="883"/>
      <c r="BV698" s="883"/>
      <c r="BW698" s="883"/>
      <c r="BX698" s="883"/>
      <c r="BY698" s="883"/>
      <c r="BZ698" s="883"/>
      <c r="CA698" s="883"/>
      <c r="CB698" s="883"/>
      <c r="CC698" s="883"/>
      <c r="CD698" s="884"/>
      <c r="CE698" s="883"/>
      <c r="CF698" s="883"/>
      <c r="CG698" s="883"/>
      <c r="CH698" s="883"/>
      <c r="CI698" s="883"/>
      <c r="CJ698" s="883"/>
      <c r="CK698" s="883"/>
      <c r="CL698" s="883"/>
      <c r="CM698" s="883"/>
      <c r="CN698" s="883"/>
      <c r="CO698" s="883"/>
      <c r="CP698" s="883"/>
      <c r="CQ698" s="883"/>
      <c r="CR698" s="883"/>
      <c r="CS698" s="883"/>
      <c r="CT698" s="883"/>
      <c r="CU698" s="883"/>
      <c r="CV698" s="863"/>
      <c r="CW698" s="863"/>
      <c r="CX698" s="863"/>
      <c r="CY698" s="863"/>
      <c r="CZ698" s="863"/>
      <c r="DA698" s="863"/>
      <c r="DB698" s="863"/>
      <c r="DC698" s="863"/>
      <c r="DD698" s="863"/>
      <c r="DE698" s="863"/>
    </row>
    <row r="699">
      <c r="A699" s="876"/>
      <c r="B699" s="876"/>
      <c r="C699" s="876"/>
      <c r="D699" s="876"/>
      <c r="E699" s="876"/>
      <c r="F699" s="876"/>
      <c r="G699" s="876"/>
      <c r="H699" s="876"/>
      <c r="I699" s="876"/>
      <c r="J699" s="876"/>
      <c r="K699" s="876"/>
      <c r="L699" s="876"/>
      <c r="M699" s="876"/>
      <c r="N699" s="877"/>
      <c r="O699" s="876"/>
      <c r="P699" s="876"/>
      <c r="Q699" s="876"/>
      <c r="R699" s="876"/>
      <c r="S699" s="876"/>
      <c r="T699" s="876"/>
      <c r="U699" s="876"/>
      <c r="V699" s="876"/>
      <c r="W699" s="876"/>
      <c r="X699" s="876"/>
      <c r="Y699" s="876"/>
      <c r="Z699" s="876"/>
      <c r="AA699" s="876"/>
      <c r="AB699" s="876"/>
      <c r="AC699" s="876"/>
      <c r="AD699" s="876"/>
      <c r="AE699" s="876"/>
      <c r="AF699" s="876"/>
      <c r="AG699" s="876"/>
      <c r="AH699" s="876"/>
      <c r="AI699" s="878"/>
      <c r="AJ699" s="880"/>
      <c r="AK699" s="880"/>
      <c r="AL699" s="880"/>
      <c r="AM699" s="880"/>
      <c r="AN699" s="880"/>
      <c r="AO699" s="880"/>
      <c r="AP699" s="880"/>
      <c r="AQ699" s="880"/>
      <c r="AR699" s="880"/>
      <c r="AS699" s="880"/>
      <c r="AT699" s="880"/>
      <c r="AU699" s="880"/>
      <c r="AV699" s="880"/>
      <c r="AW699" s="881"/>
      <c r="AX699" s="863"/>
      <c r="AY699" s="863"/>
      <c r="AZ699" s="863"/>
      <c r="BA699" s="863"/>
      <c r="BB699" s="863"/>
      <c r="BC699" s="863"/>
      <c r="BD699" s="863"/>
      <c r="BE699" s="863"/>
      <c r="BF699" s="863"/>
      <c r="BG699" s="863"/>
      <c r="BH699" s="863"/>
      <c r="BI699" s="863"/>
      <c r="BJ699" s="863"/>
      <c r="BK699" s="863"/>
      <c r="BL699" s="863"/>
      <c r="BM699" s="863"/>
      <c r="BN699" s="863"/>
      <c r="BO699" s="863"/>
      <c r="BP699" s="880"/>
      <c r="BQ699" s="863"/>
      <c r="BR699" s="883"/>
      <c r="BS699" s="883"/>
      <c r="BT699" s="883"/>
      <c r="BU699" s="883"/>
      <c r="BV699" s="883"/>
      <c r="BW699" s="883"/>
      <c r="BX699" s="883"/>
      <c r="BY699" s="883"/>
      <c r="BZ699" s="883"/>
      <c r="CA699" s="883"/>
      <c r="CB699" s="883"/>
      <c r="CC699" s="883"/>
      <c r="CD699" s="884"/>
      <c r="CE699" s="883"/>
      <c r="CF699" s="883"/>
      <c r="CG699" s="883"/>
      <c r="CH699" s="883"/>
      <c r="CI699" s="883"/>
      <c r="CJ699" s="883"/>
      <c r="CK699" s="883"/>
      <c r="CL699" s="883"/>
      <c r="CM699" s="883"/>
      <c r="CN699" s="883"/>
      <c r="CO699" s="883"/>
      <c r="CP699" s="883"/>
      <c r="CQ699" s="883"/>
      <c r="CR699" s="883"/>
      <c r="CS699" s="883"/>
      <c r="CT699" s="883"/>
      <c r="CU699" s="883"/>
      <c r="CV699" s="863"/>
      <c r="CW699" s="863"/>
      <c r="CX699" s="863"/>
      <c r="CY699" s="863"/>
      <c r="CZ699" s="863"/>
      <c r="DA699" s="863"/>
      <c r="DB699" s="863"/>
      <c r="DC699" s="863"/>
      <c r="DD699" s="863"/>
      <c r="DE699" s="863"/>
    </row>
    <row r="700">
      <c r="A700" s="876"/>
      <c r="B700" s="876"/>
      <c r="C700" s="876"/>
      <c r="D700" s="876"/>
      <c r="E700" s="876"/>
      <c r="F700" s="876"/>
      <c r="G700" s="876"/>
      <c r="H700" s="876"/>
      <c r="I700" s="876"/>
      <c r="J700" s="876"/>
      <c r="K700" s="876"/>
      <c r="L700" s="876"/>
      <c r="M700" s="876"/>
      <c r="N700" s="877"/>
      <c r="O700" s="876"/>
      <c r="P700" s="876"/>
      <c r="Q700" s="876"/>
      <c r="R700" s="876"/>
      <c r="S700" s="876"/>
      <c r="T700" s="876"/>
      <c r="U700" s="876"/>
      <c r="V700" s="876"/>
      <c r="W700" s="876"/>
      <c r="X700" s="876"/>
      <c r="Y700" s="876"/>
      <c r="Z700" s="876"/>
      <c r="AA700" s="876"/>
      <c r="AB700" s="876"/>
      <c r="AC700" s="876"/>
      <c r="AD700" s="876"/>
      <c r="AE700" s="876"/>
      <c r="AF700" s="876"/>
      <c r="AG700" s="876"/>
      <c r="AH700" s="876"/>
      <c r="AI700" s="878"/>
      <c r="AJ700" s="880"/>
      <c r="AK700" s="880"/>
      <c r="AL700" s="880"/>
      <c r="AM700" s="880"/>
      <c r="AN700" s="880"/>
      <c r="AO700" s="880"/>
      <c r="AP700" s="880"/>
      <c r="AQ700" s="880"/>
      <c r="AR700" s="880"/>
      <c r="AS700" s="880"/>
      <c r="AT700" s="880"/>
      <c r="AU700" s="880"/>
      <c r="AV700" s="880"/>
      <c r="AW700" s="881"/>
      <c r="AX700" s="863"/>
      <c r="AY700" s="863"/>
      <c r="AZ700" s="863"/>
      <c r="BA700" s="863"/>
      <c r="BB700" s="863"/>
      <c r="BC700" s="863"/>
      <c r="BD700" s="863"/>
      <c r="BE700" s="863"/>
      <c r="BF700" s="863"/>
      <c r="BG700" s="863"/>
      <c r="BH700" s="863"/>
      <c r="BI700" s="863"/>
      <c r="BJ700" s="863"/>
      <c r="BK700" s="863"/>
      <c r="BL700" s="863"/>
      <c r="BM700" s="863"/>
      <c r="BN700" s="863"/>
      <c r="BO700" s="863"/>
      <c r="BP700" s="880"/>
      <c r="BQ700" s="863"/>
      <c r="BR700" s="883"/>
      <c r="BS700" s="883"/>
      <c r="BT700" s="883"/>
      <c r="BU700" s="883"/>
      <c r="BV700" s="883"/>
      <c r="BW700" s="883"/>
      <c r="BX700" s="883"/>
      <c r="BY700" s="883"/>
      <c r="BZ700" s="883"/>
      <c r="CA700" s="883"/>
      <c r="CB700" s="883"/>
      <c r="CC700" s="883"/>
      <c r="CD700" s="884"/>
      <c r="CE700" s="883"/>
      <c r="CF700" s="883"/>
      <c r="CG700" s="883"/>
      <c r="CH700" s="883"/>
      <c r="CI700" s="883"/>
      <c r="CJ700" s="883"/>
      <c r="CK700" s="883"/>
      <c r="CL700" s="883"/>
      <c r="CM700" s="883"/>
      <c r="CN700" s="883"/>
      <c r="CO700" s="883"/>
      <c r="CP700" s="883"/>
      <c r="CQ700" s="883"/>
      <c r="CR700" s="883"/>
      <c r="CS700" s="883"/>
      <c r="CT700" s="883"/>
      <c r="CU700" s="883"/>
      <c r="CV700" s="863"/>
      <c r="CW700" s="863"/>
      <c r="CX700" s="863"/>
      <c r="CY700" s="863"/>
      <c r="CZ700" s="863"/>
      <c r="DA700" s="863"/>
      <c r="DB700" s="863"/>
      <c r="DC700" s="863"/>
      <c r="DD700" s="863"/>
      <c r="DE700" s="863"/>
    </row>
    <row r="701">
      <c r="A701" s="876"/>
      <c r="B701" s="876"/>
      <c r="C701" s="876"/>
      <c r="D701" s="876"/>
      <c r="E701" s="876"/>
      <c r="F701" s="876"/>
      <c r="G701" s="876"/>
      <c r="H701" s="876"/>
      <c r="I701" s="876"/>
      <c r="J701" s="876"/>
      <c r="K701" s="876"/>
      <c r="L701" s="876"/>
      <c r="M701" s="876"/>
      <c r="N701" s="877"/>
      <c r="O701" s="876"/>
      <c r="P701" s="876"/>
      <c r="Q701" s="876"/>
      <c r="R701" s="876"/>
      <c r="S701" s="876"/>
      <c r="T701" s="876"/>
      <c r="U701" s="876"/>
      <c r="V701" s="876"/>
      <c r="W701" s="876"/>
      <c r="X701" s="876"/>
      <c r="Y701" s="876"/>
      <c r="Z701" s="876"/>
      <c r="AA701" s="876"/>
      <c r="AB701" s="876"/>
      <c r="AC701" s="876"/>
      <c r="AD701" s="876"/>
      <c r="AE701" s="876"/>
      <c r="AF701" s="876"/>
      <c r="AG701" s="876"/>
      <c r="AH701" s="876"/>
      <c r="AI701" s="878"/>
      <c r="AJ701" s="880"/>
      <c r="AK701" s="880"/>
      <c r="AL701" s="880"/>
      <c r="AM701" s="880"/>
      <c r="AN701" s="880"/>
      <c r="AO701" s="880"/>
      <c r="AP701" s="880"/>
      <c r="AQ701" s="880"/>
      <c r="AR701" s="880"/>
      <c r="AS701" s="880"/>
      <c r="AT701" s="880"/>
      <c r="AU701" s="880"/>
      <c r="AV701" s="880"/>
      <c r="AW701" s="881"/>
      <c r="AX701" s="863"/>
      <c r="AY701" s="863"/>
      <c r="AZ701" s="863"/>
      <c r="BA701" s="863"/>
      <c r="BB701" s="863"/>
      <c r="BC701" s="863"/>
      <c r="BD701" s="863"/>
      <c r="BE701" s="863"/>
      <c r="BF701" s="863"/>
      <c r="BG701" s="863"/>
      <c r="BH701" s="863"/>
      <c r="BI701" s="863"/>
      <c r="BJ701" s="863"/>
      <c r="BK701" s="863"/>
      <c r="BL701" s="863"/>
      <c r="BM701" s="863"/>
      <c r="BN701" s="863"/>
      <c r="BO701" s="863"/>
      <c r="BP701" s="880"/>
      <c r="BQ701" s="863"/>
      <c r="BR701" s="883"/>
      <c r="BS701" s="883"/>
      <c r="BT701" s="883"/>
      <c r="BU701" s="883"/>
      <c r="BV701" s="883"/>
      <c r="BW701" s="883"/>
      <c r="BX701" s="883"/>
      <c r="BY701" s="883"/>
      <c r="BZ701" s="883"/>
      <c r="CA701" s="883"/>
      <c r="CB701" s="883"/>
      <c r="CC701" s="883"/>
      <c r="CD701" s="884"/>
      <c r="CE701" s="883"/>
      <c r="CF701" s="883"/>
      <c r="CG701" s="883"/>
      <c r="CH701" s="883"/>
      <c r="CI701" s="883"/>
      <c r="CJ701" s="883"/>
      <c r="CK701" s="883"/>
      <c r="CL701" s="883"/>
      <c r="CM701" s="883"/>
      <c r="CN701" s="883"/>
      <c r="CO701" s="883"/>
      <c r="CP701" s="883"/>
      <c r="CQ701" s="883"/>
      <c r="CR701" s="883"/>
      <c r="CS701" s="883"/>
      <c r="CT701" s="883"/>
      <c r="CU701" s="883"/>
      <c r="CV701" s="863"/>
      <c r="CW701" s="863"/>
      <c r="CX701" s="863"/>
      <c r="CY701" s="863"/>
      <c r="CZ701" s="863"/>
      <c r="DA701" s="863"/>
      <c r="DB701" s="863"/>
      <c r="DC701" s="863"/>
      <c r="DD701" s="863"/>
      <c r="DE701" s="863"/>
    </row>
    <row r="702">
      <c r="A702" s="876"/>
      <c r="B702" s="876"/>
      <c r="C702" s="876"/>
      <c r="D702" s="876"/>
      <c r="E702" s="876"/>
      <c r="F702" s="876"/>
      <c r="G702" s="876"/>
      <c r="H702" s="876"/>
      <c r="I702" s="876"/>
      <c r="J702" s="876"/>
      <c r="K702" s="876"/>
      <c r="L702" s="876"/>
      <c r="M702" s="876"/>
      <c r="N702" s="877"/>
      <c r="O702" s="876"/>
      <c r="P702" s="876"/>
      <c r="Q702" s="876"/>
      <c r="R702" s="876"/>
      <c r="S702" s="876"/>
      <c r="T702" s="876"/>
      <c r="U702" s="876"/>
      <c r="V702" s="876"/>
      <c r="W702" s="876"/>
      <c r="X702" s="876"/>
      <c r="Y702" s="876"/>
      <c r="Z702" s="876"/>
      <c r="AA702" s="876"/>
      <c r="AB702" s="876"/>
      <c r="AC702" s="876"/>
      <c r="AD702" s="876"/>
      <c r="AE702" s="876"/>
      <c r="AF702" s="876"/>
      <c r="AG702" s="876"/>
      <c r="AH702" s="876"/>
      <c r="AI702" s="878"/>
      <c r="AJ702" s="880"/>
      <c r="AK702" s="880"/>
      <c r="AL702" s="880"/>
      <c r="AM702" s="880"/>
      <c r="AN702" s="880"/>
      <c r="AO702" s="880"/>
      <c r="AP702" s="880"/>
      <c r="AQ702" s="880"/>
      <c r="AR702" s="880"/>
      <c r="AS702" s="880"/>
      <c r="AT702" s="880"/>
      <c r="AU702" s="880"/>
      <c r="AV702" s="880"/>
      <c r="AW702" s="881"/>
      <c r="AX702" s="863"/>
      <c r="AY702" s="863"/>
      <c r="AZ702" s="863"/>
      <c r="BA702" s="863"/>
      <c r="BB702" s="863"/>
      <c r="BC702" s="863"/>
      <c r="BD702" s="863"/>
      <c r="BE702" s="863"/>
      <c r="BF702" s="863"/>
      <c r="BG702" s="863"/>
      <c r="BH702" s="863"/>
      <c r="BI702" s="863"/>
      <c r="BJ702" s="863"/>
      <c r="BK702" s="863"/>
      <c r="BL702" s="863"/>
      <c r="BM702" s="863"/>
      <c r="BN702" s="863"/>
      <c r="BO702" s="863"/>
      <c r="BP702" s="880"/>
      <c r="BQ702" s="863"/>
      <c r="BR702" s="883"/>
      <c r="BS702" s="883"/>
      <c r="BT702" s="883"/>
      <c r="BU702" s="883"/>
      <c r="BV702" s="883"/>
      <c r="BW702" s="883"/>
      <c r="BX702" s="883"/>
      <c r="BY702" s="883"/>
      <c r="BZ702" s="883"/>
      <c r="CA702" s="883"/>
      <c r="CB702" s="883"/>
      <c r="CC702" s="883"/>
      <c r="CD702" s="884"/>
      <c r="CE702" s="883"/>
      <c r="CF702" s="883"/>
      <c r="CG702" s="883"/>
      <c r="CH702" s="883"/>
      <c r="CI702" s="883"/>
      <c r="CJ702" s="883"/>
      <c r="CK702" s="883"/>
      <c r="CL702" s="883"/>
      <c r="CM702" s="883"/>
      <c r="CN702" s="883"/>
      <c r="CO702" s="883"/>
      <c r="CP702" s="883"/>
      <c r="CQ702" s="883"/>
      <c r="CR702" s="883"/>
      <c r="CS702" s="883"/>
      <c r="CT702" s="883"/>
      <c r="CU702" s="883"/>
      <c r="CV702" s="863"/>
      <c r="CW702" s="863"/>
      <c r="CX702" s="863"/>
      <c r="CY702" s="863"/>
      <c r="CZ702" s="863"/>
      <c r="DA702" s="863"/>
      <c r="DB702" s="863"/>
      <c r="DC702" s="863"/>
      <c r="DD702" s="863"/>
      <c r="DE702" s="863"/>
    </row>
    <row r="703">
      <c r="A703" s="876"/>
      <c r="B703" s="876"/>
      <c r="C703" s="876"/>
      <c r="D703" s="876"/>
      <c r="E703" s="876"/>
      <c r="F703" s="876"/>
      <c r="G703" s="876"/>
      <c r="H703" s="876"/>
      <c r="I703" s="876"/>
      <c r="J703" s="876"/>
      <c r="K703" s="876"/>
      <c r="L703" s="876"/>
      <c r="M703" s="876"/>
      <c r="N703" s="877"/>
      <c r="O703" s="876"/>
      <c r="P703" s="876"/>
      <c r="Q703" s="876"/>
      <c r="R703" s="876"/>
      <c r="S703" s="876"/>
      <c r="T703" s="876"/>
      <c r="U703" s="876"/>
      <c r="V703" s="876"/>
      <c r="W703" s="876"/>
      <c r="X703" s="876"/>
      <c r="Y703" s="876"/>
      <c r="Z703" s="876"/>
      <c r="AA703" s="876"/>
      <c r="AB703" s="876"/>
      <c r="AC703" s="876"/>
      <c r="AD703" s="876"/>
      <c r="AE703" s="876"/>
      <c r="AF703" s="876"/>
      <c r="AG703" s="876"/>
      <c r="AH703" s="876"/>
      <c r="AI703" s="878"/>
      <c r="AJ703" s="880"/>
      <c r="AK703" s="880"/>
      <c r="AL703" s="880"/>
      <c r="AM703" s="880"/>
      <c r="AN703" s="880"/>
      <c r="AO703" s="880"/>
      <c r="AP703" s="880"/>
      <c r="AQ703" s="880"/>
      <c r="AR703" s="880"/>
      <c r="AS703" s="880"/>
      <c r="AT703" s="880"/>
      <c r="AU703" s="880"/>
      <c r="AV703" s="880"/>
      <c r="AW703" s="881"/>
      <c r="AX703" s="863"/>
      <c r="AY703" s="863"/>
      <c r="AZ703" s="863"/>
      <c r="BA703" s="863"/>
      <c r="BB703" s="863"/>
      <c r="BC703" s="863"/>
      <c r="BD703" s="863"/>
      <c r="BE703" s="863"/>
      <c r="BF703" s="863"/>
      <c r="BG703" s="863"/>
      <c r="BH703" s="863"/>
      <c r="BI703" s="863"/>
      <c r="BJ703" s="863"/>
      <c r="BK703" s="863"/>
      <c r="BL703" s="863"/>
      <c r="BM703" s="863"/>
      <c r="BN703" s="863"/>
      <c r="BO703" s="863"/>
      <c r="BP703" s="880"/>
      <c r="BQ703" s="863"/>
      <c r="BR703" s="883"/>
      <c r="BS703" s="883"/>
      <c r="BT703" s="883"/>
      <c r="BU703" s="883"/>
      <c r="BV703" s="883"/>
      <c r="BW703" s="883"/>
      <c r="BX703" s="883"/>
      <c r="BY703" s="883"/>
      <c r="BZ703" s="883"/>
      <c r="CA703" s="883"/>
      <c r="CB703" s="883"/>
      <c r="CC703" s="883"/>
      <c r="CD703" s="884"/>
      <c r="CE703" s="883"/>
      <c r="CF703" s="883"/>
      <c r="CG703" s="883"/>
      <c r="CH703" s="883"/>
      <c r="CI703" s="883"/>
      <c r="CJ703" s="883"/>
      <c r="CK703" s="883"/>
      <c r="CL703" s="883"/>
      <c r="CM703" s="883"/>
      <c r="CN703" s="883"/>
      <c r="CO703" s="883"/>
      <c r="CP703" s="883"/>
      <c r="CQ703" s="883"/>
      <c r="CR703" s="883"/>
      <c r="CS703" s="883"/>
      <c r="CT703" s="883"/>
      <c r="CU703" s="883"/>
      <c r="CV703" s="863"/>
      <c r="CW703" s="863"/>
      <c r="CX703" s="863"/>
      <c r="CY703" s="863"/>
      <c r="CZ703" s="863"/>
      <c r="DA703" s="863"/>
      <c r="DB703" s="863"/>
      <c r="DC703" s="863"/>
      <c r="DD703" s="863"/>
      <c r="DE703" s="863"/>
    </row>
    <row r="704">
      <c r="A704" s="876"/>
      <c r="B704" s="876"/>
      <c r="C704" s="876"/>
      <c r="D704" s="876"/>
      <c r="E704" s="876"/>
      <c r="F704" s="876"/>
      <c r="G704" s="876"/>
      <c r="H704" s="876"/>
      <c r="I704" s="876"/>
      <c r="J704" s="876"/>
      <c r="K704" s="876"/>
      <c r="L704" s="876"/>
      <c r="M704" s="876"/>
      <c r="N704" s="877"/>
      <c r="O704" s="876"/>
      <c r="P704" s="876"/>
      <c r="Q704" s="876"/>
      <c r="R704" s="876"/>
      <c r="S704" s="876"/>
      <c r="T704" s="876"/>
      <c r="U704" s="876"/>
      <c r="V704" s="876"/>
      <c r="W704" s="876"/>
      <c r="X704" s="876"/>
      <c r="Y704" s="876"/>
      <c r="Z704" s="876"/>
      <c r="AA704" s="876"/>
      <c r="AB704" s="876"/>
      <c r="AC704" s="876"/>
      <c r="AD704" s="876"/>
      <c r="AE704" s="876"/>
      <c r="AF704" s="876"/>
      <c r="AG704" s="876"/>
      <c r="AH704" s="876"/>
      <c r="AI704" s="878"/>
      <c r="AJ704" s="880"/>
      <c r="AK704" s="880"/>
      <c r="AL704" s="880"/>
      <c r="AM704" s="880"/>
      <c r="AN704" s="880"/>
      <c r="AO704" s="880"/>
      <c r="AP704" s="880"/>
      <c r="AQ704" s="880"/>
      <c r="AR704" s="880"/>
      <c r="AS704" s="880"/>
      <c r="AT704" s="880"/>
      <c r="AU704" s="880"/>
      <c r="AV704" s="880"/>
      <c r="AW704" s="881"/>
      <c r="AX704" s="863"/>
      <c r="AY704" s="863"/>
      <c r="AZ704" s="863"/>
      <c r="BA704" s="863"/>
      <c r="BB704" s="863"/>
      <c r="BC704" s="863"/>
      <c r="BD704" s="863"/>
      <c r="BE704" s="863"/>
      <c r="BF704" s="863"/>
      <c r="BG704" s="863"/>
      <c r="BH704" s="863"/>
      <c r="BI704" s="863"/>
      <c r="BJ704" s="863"/>
      <c r="BK704" s="863"/>
      <c r="BL704" s="863"/>
      <c r="BM704" s="863"/>
      <c r="BN704" s="863"/>
      <c r="BO704" s="863"/>
      <c r="BP704" s="880"/>
      <c r="BQ704" s="863"/>
      <c r="BR704" s="883"/>
      <c r="BS704" s="883"/>
      <c r="BT704" s="883"/>
      <c r="BU704" s="883"/>
      <c r="BV704" s="883"/>
      <c r="BW704" s="883"/>
      <c r="BX704" s="883"/>
      <c r="BY704" s="883"/>
      <c r="BZ704" s="883"/>
      <c r="CA704" s="883"/>
      <c r="CB704" s="883"/>
      <c r="CC704" s="883"/>
      <c r="CD704" s="884"/>
      <c r="CE704" s="883"/>
      <c r="CF704" s="883"/>
      <c r="CG704" s="883"/>
      <c r="CH704" s="883"/>
      <c r="CI704" s="883"/>
      <c r="CJ704" s="883"/>
      <c r="CK704" s="883"/>
      <c r="CL704" s="883"/>
      <c r="CM704" s="883"/>
      <c r="CN704" s="883"/>
      <c r="CO704" s="883"/>
      <c r="CP704" s="883"/>
      <c r="CQ704" s="883"/>
      <c r="CR704" s="883"/>
      <c r="CS704" s="883"/>
      <c r="CT704" s="883"/>
      <c r="CU704" s="883"/>
      <c r="CV704" s="863"/>
      <c r="CW704" s="863"/>
      <c r="CX704" s="863"/>
      <c r="CY704" s="863"/>
      <c r="CZ704" s="863"/>
      <c r="DA704" s="863"/>
      <c r="DB704" s="863"/>
      <c r="DC704" s="863"/>
      <c r="DD704" s="863"/>
      <c r="DE704" s="863"/>
    </row>
    <row r="705">
      <c r="A705" s="876"/>
      <c r="B705" s="876"/>
      <c r="C705" s="876"/>
      <c r="D705" s="876"/>
      <c r="E705" s="876"/>
      <c r="F705" s="876"/>
      <c r="G705" s="876"/>
      <c r="H705" s="876"/>
      <c r="I705" s="876"/>
      <c r="J705" s="876"/>
      <c r="K705" s="876"/>
      <c r="L705" s="876"/>
      <c r="M705" s="876"/>
      <c r="N705" s="877"/>
      <c r="O705" s="876"/>
      <c r="P705" s="876"/>
      <c r="Q705" s="876"/>
      <c r="R705" s="876"/>
      <c r="S705" s="876"/>
      <c r="T705" s="876"/>
      <c r="U705" s="876"/>
      <c r="V705" s="876"/>
      <c r="W705" s="876"/>
      <c r="X705" s="876"/>
      <c r="Y705" s="876"/>
      <c r="Z705" s="876"/>
      <c r="AA705" s="876"/>
      <c r="AB705" s="876"/>
      <c r="AC705" s="876"/>
      <c r="AD705" s="876"/>
      <c r="AE705" s="876"/>
      <c r="AF705" s="876"/>
      <c r="AG705" s="876"/>
      <c r="AH705" s="876"/>
      <c r="AI705" s="878"/>
      <c r="AJ705" s="880"/>
      <c r="AK705" s="880"/>
      <c r="AL705" s="880"/>
      <c r="AM705" s="880"/>
      <c r="AN705" s="880"/>
      <c r="AO705" s="880"/>
      <c r="AP705" s="880"/>
      <c r="AQ705" s="880"/>
      <c r="AR705" s="880"/>
      <c r="AS705" s="880"/>
      <c r="AT705" s="880"/>
      <c r="AU705" s="880"/>
      <c r="AV705" s="880"/>
      <c r="AW705" s="881"/>
      <c r="AX705" s="863"/>
      <c r="AY705" s="863"/>
      <c r="AZ705" s="863"/>
      <c r="BA705" s="863"/>
      <c r="BB705" s="863"/>
      <c r="BC705" s="863"/>
      <c r="BD705" s="863"/>
      <c r="BE705" s="863"/>
      <c r="BF705" s="863"/>
      <c r="BG705" s="863"/>
      <c r="BH705" s="863"/>
      <c r="BI705" s="863"/>
      <c r="BJ705" s="863"/>
      <c r="BK705" s="863"/>
      <c r="BL705" s="863"/>
      <c r="BM705" s="863"/>
      <c r="BN705" s="863"/>
      <c r="BO705" s="863"/>
      <c r="BP705" s="880"/>
      <c r="BQ705" s="863"/>
      <c r="BR705" s="883"/>
      <c r="BS705" s="883"/>
      <c r="BT705" s="883"/>
      <c r="BU705" s="883"/>
      <c r="BV705" s="883"/>
      <c r="BW705" s="883"/>
      <c r="BX705" s="883"/>
      <c r="BY705" s="883"/>
      <c r="BZ705" s="883"/>
      <c r="CA705" s="883"/>
      <c r="CB705" s="883"/>
      <c r="CC705" s="883"/>
      <c r="CD705" s="884"/>
      <c r="CE705" s="883"/>
      <c r="CF705" s="883"/>
      <c r="CG705" s="883"/>
      <c r="CH705" s="883"/>
      <c r="CI705" s="883"/>
      <c r="CJ705" s="883"/>
      <c r="CK705" s="883"/>
      <c r="CL705" s="883"/>
      <c r="CM705" s="883"/>
      <c r="CN705" s="883"/>
      <c r="CO705" s="883"/>
      <c r="CP705" s="883"/>
      <c r="CQ705" s="883"/>
      <c r="CR705" s="883"/>
      <c r="CS705" s="883"/>
      <c r="CT705" s="883"/>
      <c r="CU705" s="883"/>
      <c r="CV705" s="863"/>
      <c r="CW705" s="863"/>
      <c r="CX705" s="863"/>
      <c r="CY705" s="863"/>
      <c r="CZ705" s="863"/>
      <c r="DA705" s="863"/>
      <c r="DB705" s="863"/>
      <c r="DC705" s="863"/>
      <c r="DD705" s="863"/>
      <c r="DE705" s="863"/>
    </row>
    <row r="706">
      <c r="A706" s="876"/>
      <c r="B706" s="876"/>
      <c r="C706" s="876"/>
      <c r="D706" s="876"/>
      <c r="E706" s="876"/>
      <c r="F706" s="876"/>
      <c r="G706" s="876"/>
      <c r="H706" s="876"/>
      <c r="I706" s="876"/>
      <c r="J706" s="876"/>
      <c r="K706" s="876"/>
      <c r="L706" s="876"/>
      <c r="M706" s="876"/>
      <c r="N706" s="877"/>
      <c r="O706" s="876"/>
      <c r="P706" s="876"/>
      <c r="Q706" s="876"/>
      <c r="R706" s="876"/>
      <c r="S706" s="876"/>
      <c r="T706" s="876"/>
      <c r="U706" s="876"/>
      <c r="V706" s="876"/>
      <c r="W706" s="876"/>
      <c r="X706" s="876"/>
      <c r="Y706" s="876"/>
      <c r="Z706" s="876"/>
      <c r="AA706" s="876"/>
      <c r="AB706" s="876"/>
      <c r="AC706" s="876"/>
      <c r="AD706" s="876"/>
      <c r="AE706" s="876"/>
      <c r="AF706" s="876"/>
      <c r="AG706" s="876"/>
      <c r="AH706" s="876"/>
      <c r="AI706" s="878"/>
      <c r="AJ706" s="880"/>
      <c r="AK706" s="880"/>
      <c r="AL706" s="880"/>
      <c r="AM706" s="880"/>
      <c r="AN706" s="880"/>
      <c r="AO706" s="880"/>
      <c r="AP706" s="880"/>
      <c r="AQ706" s="880"/>
      <c r="AR706" s="880"/>
      <c r="AS706" s="880"/>
      <c r="AT706" s="880"/>
      <c r="AU706" s="880"/>
      <c r="AV706" s="880"/>
      <c r="AW706" s="881"/>
      <c r="AX706" s="863"/>
      <c r="AY706" s="863"/>
      <c r="AZ706" s="863"/>
      <c r="BA706" s="863"/>
      <c r="BB706" s="863"/>
      <c r="BC706" s="863"/>
      <c r="BD706" s="863"/>
      <c r="BE706" s="863"/>
      <c r="BF706" s="863"/>
      <c r="BG706" s="863"/>
      <c r="BH706" s="863"/>
      <c r="BI706" s="863"/>
      <c r="BJ706" s="863"/>
      <c r="BK706" s="863"/>
      <c r="BL706" s="863"/>
      <c r="BM706" s="863"/>
      <c r="BN706" s="863"/>
      <c r="BO706" s="863"/>
      <c r="BP706" s="880"/>
      <c r="BQ706" s="863"/>
      <c r="BR706" s="883"/>
      <c r="BS706" s="883"/>
      <c r="BT706" s="883"/>
      <c r="BU706" s="883"/>
      <c r="BV706" s="883"/>
      <c r="BW706" s="883"/>
      <c r="BX706" s="883"/>
      <c r="BY706" s="883"/>
      <c r="BZ706" s="883"/>
      <c r="CA706" s="883"/>
      <c r="CB706" s="883"/>
      <c r="CC706" s="883"/>
      <c r="CD706" s="884"/>
      <c r="CE706" s="883"/>
      <c r="CF706" s="883"/>
      <c r="CG706" s="883"/>
      <c r="CH706" s="883"/>
      <c r="CI706" s="883"/>
      <c r="CJ706" s="883"/>
      <c r="CK706" s="883"/>
      <c r="CL706" s="883"/>
      <c r="CM706" s="883"/>
      <c r="CN706" s="883"/>
      <c r="CO706" s="883"/>
      <c r="CP706" s="883"/>
      <c r="CQ706" s="883"/>
      <c r="CR706" s="883"/>
      <c r="CS706" s="883"/>
      <c r="CT706" s="883"/>
      <c r="CU706" s="883"/>
      <c r="CV706" s="863"/>
      <c r="CW706" s="863"/>
      <c r="CX706" s="863"/>
      <c r="CY706" s="863"/>
      <c r="CZ706" s="863"/>
      <c r="DA706" s="863"/>
      <c r="DB706" s="863"/>
      <c r="DC706" s="863"/>
      <c r="DD706" s="863"/>
      <c r="DE706" s="863"/>
    </row>
    <row r="707">
      <c r="A707" s="876"/>
      <c r="B707" s="876"/>
      <c r="C707" s="876"/>
      <c r="D707" s="876"/>
      <c r="E707" s="876"/>
      <c r="F707" s="876"/>
      <c r="G707" s="876"/>
      <c r="H707" s="876"/>
      <c r="I707" s="876"/>
      <c r="J707" s="876"/>
      <c r="K707" s="876"/>
      <c r="L707" s="876"/>
      <c r="M707" s="876"/>
      <c r="N707" s="877"/>
      <c r="O707" s="876"/>
      <c r="P707" s="876"/>
      <c r="Q707" s="876"/>
      <c r="R707" s="876"/>
      <c r="S707" s="876"/>
      <c r="T707" s="876"/>
      <c r="U707" s="876"/>
      <c r="V707" s="876"/>
      <c r="W707" s="876"/>
      <c r="X707" s="876"/>
      <c r="Y707" s="876"/>
      <c r="Z707" s="876"/>
      <c r="AA707" s="876"/>
      <c r="AB707" s="876"/>
      <c r="AC707" s="876"/>
      <c r="AD707" s="876"/>
      <c r="AE707" s="876"/>
      <c r="AF707" s="876"/>
      <c r="AG707" s="876"/>
      <c r="AH707" s="876"/>
      <c r="AI707" s="878"/>
      <c r="AJ707" s="880"/>
      <c r="AK707" s="880"/>
      <c r="AL707" s="880"/>
      <c r="AM707" s="880"/>
      <c r="AN707" s="880"/>
      <c r="AO707" s="880"/>
      <c r="AP707" s="880"/>
      <c r="AQ707" s="880"/>
      <c r="AR707" s="880"/>
      <c r="AS707" s="880"/>
      <c r="AT707" s="880"/>
      <c r="AU707" s="880"/>
      <c r="AV707" s="880"/>
      <c r="AW707" s="881"/>
      <c r="AX707" s="863"/>
      <c r="AY707" s="863"/>
      <c r="AZ707" s="863"/>
      <c r="BA707" s="863"/>
      <c r="BB707" s="863"/>
      <c r="BC707" s="863"/>
      <c r="BD707" s="863"/>
      <c r="BE707" s="863"/>
      <c r="BF707" s="863"/>
      <c r="BG707" s="863"/>
      <c r="BH707" s="863"/>
      <c r="BI707" s="863"/>
      <c r="BJ707" s="863"/>
      <c r="BK707" s="863"/>
      <c r="BL707" s="863"/>
      <c r="BM707" s="863"/>
      <c r="BN707" s="863"/>
      <c r="BO707" s="863"/>
      <c r="BP707" s="880"/>
      <c r="BQ707" s="863"/>
      <c r="BR707" s="883"/>
      <c r="BS707" s="883"/>
      <c r="BT707" s="883"/>
      <c r="BU707" s="883"/>
      <c r="BV707" s="883"/>
      <c r="BW707" s="883"/>
      <c r="BX707" s="883"/>
      <c r="BY707" s="883"/>
      <c r="BZ707" s="883"/>
      <c r="CA707" s="883"/>
      <c r="CB707" s="883"/>
      <c r="CC707" s="883"/>
      <c r="CD707" s="884"/>
      <c r="CE707" s="883"/>
      <c r="CF707" s="883"/>
      <c r="CG707" s="883"/>
      <c r="CH707" s="883"/>
      <c r="CI707" s="883"/>
      <c r="CJ707" s="883"/>
      <c r="CK707" s="883"/>
      <c r="CL707" s="883"/>
      <c r="CM707" s="883"/>
      <c r="CN707" s="883"/>
      <c r="CO707" s="883"/>
      <c r="CP707" s="883"/>
      <c r="CQ707" s="883"/>
      <c r="CR707" s="883"/>
      <c r="CS707" s="883"/>
      <c r="CT707" s="883"/>
      <c r="CU707" s="883"/>
      <c r="CV707" s="863"/>
      <c r="CW707" s="863"/>
      <c r="CX707" s="863"/>
      <c r="CY707" s="863"/>
      <c r="CZ707" s="863"/>
      <c r="DA707" s="863"/>
      <c r="DB707" s="863"/>
      <c r="DC707" s="863"/>
      <c r="DD707" s="863"/>
      <c r="DE707" s="863"/>
    </row>
    <row r="708">
      <c r="A708" s="876"/>
      <c r="B708" s="876"/>
      <c r="C708" s="876"/>
      <c r="D708" s="876"/>
      <c r="E708" s="876"/>
      <c r="F708" s="876"/>
      <c r="G708" s="876"/>
      <c r="H708" s="876"/>
      <c r="I708" s="876"/>
      <c r="J708" s="876"/>
      <c r="K708" s="876"/>
      <c r="L708" s="876"/>
      <c r="M708" s="876"/>
      <c r="N708" s="877"/>
      <c r="O708" s="876"/>
      <c r="P708" s="876"/>
      <c r="Q708" s="876"/>
      <c r="R708" s="876"/>
      <c r="S708" s="876"/>
      <c r="T708" s="876"/>
      <c r="U708" s="876"/>
      <c r="V708" s="876"/>
      <c r="W708" s="876"/>
      <c r="X708" s="876"/>
      <c r="Y708" s="876"/>
      <c r="Z708" s="876"/>
      <c r="AA708" s="876"/>
      <c r="AB708" s="876"/>
      <c r="AC708" s="876"/>
      <c r="AD708" s="876"/>
      <c r="AE708" s="876"/>
      <c r="AF708" s="876"/>
      <c r="AG708" s="876"/>
      <c r="AH708" s="876"/>
      <c r="AI708" s="878"/>
      <c r="AJ708" s="880"/>
      <c r="AK708" s="880"/>
      <c r="AL708" s="880"/>
      <c r="AM708" s="880"/>
      <c r="AN708" s="880"/>
      <c r="AO708" s="880"/>
      <c r="AP708" s="880"/>
      <c r="AQ708" s="880"/>
      <c r="AR708" s="880"/>
      <c r="AS708" s="880"/>
      <c r="AT708" s="880"/>
      <c r="AU708" s="880"/>
      <c r="AV708" s="880"/>
      <c r="AW708" s="881"/>
      <c r="AX708" s="863"/>
      <c r="AY708" s="863"/>
      <c r="AZ708" s="863"/>
      <c r="BA708" s="863"/>
      <c r="BB708" s="863"/>
      <c r="BC708" s="863"/>
      <c r="BD708" s="863"/>
      <c r="BE708" s="863"/>
      <c r="BF708" s="863"/>
      <c r="BG708" s="863"/>
      <c r="BH708" s="863"/>
      <c r="BI708" s="863"/>
      <c r="BJ708" s="863"/>
      <c r="BK708" s="863"/>
      <c r="BL708" s="863"/>
      <c r="BM708" s="863"/>
      <c r="BN708" s="863"/>
      <c r="BO708" s="863"/>
      <c r="BP708" s="880"/>
      <c r="BQ708" s="863"/>
      <c r="BR708" s="883"/>
      <c r="BS708" s="883"/>
      <c r="BT708" s="883"/>
      <c r="BU708" s="883"/>
      <c r="BV708" s="883"/>
      <c r="BW708" s="883"/>
      <c r="BX708" s="883"/>
      <c r="BY708" s="883"/>
      <c r="BZ708" s="883"/>
      <c r="CA708" s="883"/>
      <c r="CB708" s="883"/>
      <c r="CC708" s="883"/>
      <c r="CD708" s="884"/>
      <c r="CE708" s="883"/>
      <c r="CF708" s="883"/>
      <c r="CG708" s="883"/>
      <c r="CH708" s="883"/>
      <c r="CI708" s="883"/>
      <c r="CJ708" s="883"/>
      <c r="CK708" s="883"/>
      <c r="CL708" s="883"/>
      <c r="CM708" s="883"/>
      <c r="CN708" s="883"/>
      <c r="CO708" s="883"/>
      <c r="CP708" s="883"/>
      <c r="CQ708" s="883"/>
      <c r="CR708" s="883"/>
      <c r="CS708" s="883"/>
      <c r="CT708" s="883"/>
      <c r="CU708" s="883"/>
      <c r="CV708" s="863"/>
      <c r="CW708" s="863"/>
      <c r="CX708" s="863"/>
      <c r="CY708" s="863"/>
      <c r="CZ708" s="863"/>
      <c r="DA708" s="863"/>
      <c r="DB708" s="863"/>
      <c r="DC708" s="863"/>
      <c r="DD708" s="863"/>
      <c r="DE708" s="863"/>
    </row>
    <row r="709">
      <c r="A709" s="876"/>
      <c r="B709" s="876"/>
      <c r="C709" s="876"/>
      <c r="D709" s="876"/>
      <c r="E709" s="876"/>
      <c r="F709" s="876"/>
      <c r="G709" s="876"/>
      <c r="H709" s="876"/>
      <c r="I709" s="876"/>
      <c r="J709" s="876"/>
      <c r="K709" s="876"/>
      <c r="L709" s="876"/>
      <c r="M709" s="876"/>
      <c r="N709" s="877"/>
      <c r="O709" s="876"/>
      <c r="P709" s="876"/>
      <c r="Q709" s="876"/>
      <c r="R709" s="876"/>
      <c r="S709" s="876"/>
      <c r="T709" s="876"/>
      <c r="U709" s="876"/>
      <c r="V709" s="876"/>
      <c r="W709" s="876"/>
      <c r="X709" s="876"/>
      <c r="Y709" s="876"/>
      <c r="Z709" s="876"/>
      <c r="AA709" s="876"/>
      <c r="AB709" s="876"/>
      <c r="AC709" s="876"/>
      <c r="AD709" s="876"/>
      <c r="AE709" s="876"/>
      <c r="AF709" s="876"/>
      <c r="AG709" s="876"/>
      <c r="AH709" s="876"/>
      <c r="AI709" s="878"/>
      <c r="AJ709" s="880"/>
      <c r="AK709" s="880"/>
      <c r="AL709" s="880"/>
      <c r="AM709" s="880"/>
      <c r="AN709" s="880"/>
      <c r="AO709" s="880"/>
      <c r="AP709" s="880"/>
      <c r="AQ709" s="880"/>
      <c r="AR709" s="880"/>
      <c r="AS709" s="880"/>
      <c r="AT709" s="880"/>
      <c r="AU709" s="880"/>
      <c r="AV709" s="880"/>
      <c r="AW709" s="881"/>
      <c r="AX709" s="863"/>
      <c r="AY709" s="863"/>
      <c r="AZ709" s="863"/>
      <c r="BA709" s="863"/>
      <c r="BB709" s="863"/>
      <c r="BC709" s="863"/>
      <c r="BD709" s="863"/>
      <c r="BE709" s="863"/>
      <c r="BF709" s="863"/>
      <c r="BG709" s="863"/>
      <c r="BH709" s="863"/>
      <c r="BI709" s="863"/>
      <c r="BJ709" s="863"/>
      <c r="BK709" s="863"/>
      <c r="BL709" s="863"/>
      <c r="BM709" s="863"/>
      <c r="BN709" s="863"/>
      <c r="BO709" s="863"/>
      <c r="BP709" s="880"/>
      <c r="BQ709" s="863"/>
      <c r="BR709" s="883"/>
      <c r="BS709" s="883"/>
      <c r="BT709" s="883"/>
      <c r="BU709" s="883"/>
      <c r="BV709" s="883"/>
      <c r="BW709" s="883"/>
      <c r="BX709" s="883"/>
      <c r="BY709" s="883"/>
      <c r="BZ709" s="883"/>
      <c r="CA709" s="883"/>
      <c r="CB709" s="883"/>
      <c r="CC709" s="883"/>
      <c r="CD709" s="884"/>
      <c r="CE709" s="883"/>
      <c r="CF709" s="883"/>
      <c r="CG709" s="883"/>
      <c r="CH709" s="883"/>
      <c r="CI709" s="883"/>
      <c r="CJ709" s="883"/>
      <c r="CK709" s="883"/>
      <c r="CL709" s="883"/>
      <c r="CM709" s="883"/>
      <c r="CN709" s="883"/>
      <c r="CO709" s="883"/>
      <c r="CP709" s="883"/>
      <c r="CQ709" s="883"/>
      <c r="CR709" s="883"/>
      <c r="CS709" s="883"/>
      <c r="CT709" s="883"/>
      <c r="CU709" s="883"/>
      <c r="CV709" s="863"/>
      <c r="CW709" s="863"/>
      <c r="CX709" s="863"/>
      <c r="CY709" s="863"/>
      <c r="CZ709" s="863"/>
      <c r="DA709" s="863"/>
      <c r="DB709" s="863"/>
      <c r="DC709" s="863"/>
      <c r="DD709" s="863"/>
      <c r="DE709" s="863"/>
    </row>
    <row r="710">
      <c r="A710" s="876"/>
      <c r="B710" s="876"/>
      <c r="C710" s="876"/>
      <c r="D710" s="876"/>
      <c r="E710" s="876"/>
      <c r="F710" s="876"/>
      <c r="G710" s="876"/>
      <c r="H710" s="876"/>
      <c r="I710" s="876"/>
      <c r="J710" s="876"/>
      <c r="K710" s="876"/>
      <c r="L710" s="876"/>
      <c r="M710" s="876"/>
      <c r="N710" s="877"/>
      <c r="O710" s="876"/>
      <c r="P710" s="876"/>
      <c r="Q710" s="876"/>
      <c r="R710" s="876"/>
      <c r="S710" s="876"/>
      <c r="T710" s="876"/>
      <c r="U710" s="876"/>
      <c r="V710" s="876"/>
      <c r="W710" s="876"/>
      <c r="X710" s="876"/>
      <c r="Y710" s="876"/>
      <c r="Z710" s="876"/>
      <c r="AA710" s="876"/>
      <c r="AB710" s="876"/>
      <c r="AC710" s="876"/>
      <c r="AD710" s="876"/>
      <c r="AE710" s="876"/>
      <c r="AF710" s="876"/>
      <c r="AG710" s="876"/>
      <c r="AH710" s="876"/>
      <c r="AI710" s="878"/>
      <c r="AJ710" s="880"/>
      <c r="AK710" s="880"/>
      <c r="AL710" s="880"/>
      <c r="AM710" s="880"/>
      <c r="AN710" s="880"/>
      <c r="AO710" s="880"/>
      <c r="AP710" s="880"/>
      <c r="AQ710" s="880"/>
      <c r="AR710" s="880"/>
      <c r="AS710" s="880"/>
      <c r="AT710" s="880"/>
      <c r="AU710" s="880"/>
      <c r="AV710" s="880"/>
      <c r="AW710" s="881"/>
      <c r="AX710" s="863"/>
      <c r="AY710" s="863"/>
      <c r="AZ710" s="863"/>
      <c r="BA710" s="863"/>
      <c r="BB710" s="863"/>
      <c r="BC710" s="863"/>
      <c r="BD710" s="863"/>
      <c r="BE710" s="863"/>
      <c r="BF710" s="863"/>
      <c r="BG710" s="863"/>
      <c r="BH710" s="863"/>
      <c r="BI710" s="863"/>
      <c r="BJ710" s="863"/>
      <c r="BK710" s="863"/>
      <c r="BL710" s="863"/>
      <c r="BM710" s="863"/>
      <c r="BN710" s="863"/>
      <c r="BO710" s="863"/>
      <c r="BP710" s="880"/>
      <c r="BQ710" s="863"/>
      <c r="BR710" s="883"/>
      <c r="BS710" s="883"/>
      <c r="BT710" s="883"/>
      <c r="BU710" s="883"/>
      <c r="BV710" s="883"/>
      <c r="BW710" s="883"/>
      <c r="BX710" s="883"/>
      <c r="BY710" s="883"/>
      <c r="BZ710" s="883"/>
      <c r="CA710" s="883"/>
      <c r="CB710" s="883"/>
      <c r="CC710" s="883"/>
      <c r="CD710" s="884"/>
      <c r="CE710" s="883"/>
      <c r="CF710" s="883"/>
      <c r="CG710" s="883"/>
      <c r="CH710" s="883"/>
      <c r="CI710" s="883"/>
      <c r="CJ710" s="883"/>
      <c r="CK710" s="883"/>
      <c r="CL710" s="883"/>
      <c r="CM710" s="883"/>
      <c r="CN710" s="883"/>
      <c r="CO710" s="883"/>
      <c r="CP710" s="883"/>
      <c r="CQ710" s="883"/>
      <c r="CR710" s="883"/>
      <c r="CS710" s="883"/>
      <c r="CT710" s="883"/>
      <c r="CU710" s="883"/>
      <c r="CV710" s="863"/>
      <c r="CW710" s="863"/>
      <c r="CX710" s="863"/>
      <c r="CY710" s="863"/>
      <c r="CZ710" s="863"/>
      <c r="DA710" s="863"/>
      <c r="DB710" s="863"/>
      <c r="DC710" s="863"/>
      <c r="DD710" s="863"/>
      <c r="DE710" s="863"/>
    </row>
    <row r="711">
      <c r="A711" s="876"/>
      <c r="B711" s="876"/>
      <c r="C711" s="876"/>
      <c r="D711" s="876"/>
      <c r="E711" s="876"/>
      <c r="F711" s="876"/>
      <c r="G711" s="876"/>
      <c r="H711" s="876"/>
      <c r="I711" s="876"/>
      <c r="J711" s="876"/>
      <c r="K711" s="876"/>
      <c r="L711" s="876"/>
      <c r="M711" s="876"/>
      <c r="N711" s="877"/>
      <c r="O711" s="876"/>
      <c r="P711" s="876"/>
      <c r="Q711" s="876"/>
      <c r="R711" s="876"/>
      <c r="S711" s="876"/>
      <c r="T711" s="876"/>
      <c r="U711" s="876"/>
      <c r="V711" s="876"/>
      <c r="W711" s="876"/>
      <c r="X711" s="876"/>
      <c r="Y711" s="876"/>
      <c r="Z711" s="876"/>
      <c r="AA711" s="876"/>
      <c r="AB711" s="876"/>
      <c r="AC711" s="876"/>
      <c r="AD711" s="876"/>
      <c r="AE711" s="876"/>
      <c r="AF711" s="876"/>
      <c r="AG711" s="876"/>
      <c r="AH711" s="876"/>
      <c r="AI711" s="878"/>
      <c r="AJ711" s="880"/>
      <c r="AK711" s="880"/>
      <c r="AL711" s="880"/>
      <c r="AM711" s="880"/>
      <c r="AN711" s="880"/>
      <c r="AO711" s="880"/>
      <c r="AP711" s="880"/>
      <c r="AQ711" s="880"/>
      <c r="AR711" s="880"/>
      <c r="AS711" s="880"/>
      <c r="AT711" s="880"/>
      <c r="AU711" s="880"/>
      <c r="AV711" s="880"/>
      <c r="AW711" s="881"/>
      <c r="AX711" s="863"/>
      <c r="AY711" s="863"/>
      <c r="AZ711" s="863"/>
      <c r="BA711" s="863"/>
      <c r="BB711" s="863"/>
      <c r="BC711" s="863"/>
      <c r="BD711" s="863"/>
      <c r="BE711" s="863"/>
      <c r="BF711" s="863"/>
      <c r="BG711" s="863"/>
      <c r="BH711" s="863"/>
      <c r="BI711" s="863"/>
      <c r="BJ711" s="863"/>
      <c r="BK711" s="863"/>
      <c r="BL711" s="863"/>
      <c r="BM711" s="863"/>
      <c r="BN711" s="863"/>
      <c r="BO711" s="863"/>
      <c r="BP711" s="880"/>
      <c r="BQ711" s="863"/>
      <c r="BR711" s="883"/>
      <c r="BS711" s="883"/>
      <c r="BT711" s="883"/>
      <c r="BU711" s="883"/>
      <c r="BV711" s="883"/>
      <c r="BW711" s="883"/>
      <c r="BX711" s="883"/>
      <c r="BY711" s="883"/>
      <c r="BZ711" s="883"/>
      <c r="CA711" s="883"/>
      <c r="CB711" s="883"/>
      <c r="CC711" s="883"/>
      <c r="CD711" s="884"/>
      <c r="CE711" s="883"/>
      <c r="CF711" s="883"/>
      <c r="CG711" s="883"/>
      <c r="CH711" s="883"/>
      <c r="CI711" s="883"/>
      <c r="CJ711" s="883"/>
      <c r="CK711" s="883"/>
      <c r="CL711" s="883"/>
      <c r="CM711" s="883"/>
      <c r="CN711" s="883"/>
      <c r="CO711" s="883"/>
      <c r="CP711" s="883"/>
      <c r="CQ711" s="883"/>
      <c r="CR711" s="883"/>
      <c r="CS711" s="883"/>
      <c r="CT711" s="883"/>
      <c r="CU711" s="883"/>
      <c r="CV711" s="863"/>
      <c r="CW711" s="863"/>
      <c r="CX711" s="863"/>
      <c r="CY711" s="863"/>
      <c r="CZ711" s="863"/>
      <c r="DA711" s="863"/>
      <c r="DB711" s="863"/>
      <c r="DC711" s="863"/>
      <c r="DD711" s="863"/>
      <c r="DE711" s="863"/>
    </row>
    <row r="712">
      <c r="A712" s="876"/>
      <c r="B712" s="876"/>
      <c r="C712" s="876"/>
      <c r="D712" s="876"/>
      <c r="E712" s="876"/>
      <c r="F712" s="876"/>
      <c r="G712" s="876"/>
      <c r="H712" s="876"/>
      <c r="I712" s="876"/>
      <c r="J712" s="876"/>
      <c r="K712" s="876"/>
      <c r="L712" s="876"/>
      <c r="M712" s="876"/>
      <c r="N712" s="877"/>
      <c r="O712" s="876"/>
      <c r="P712" s="876"/>
      <c r="Q712" s="876"/>
      <c r="R712" s="876"/>
      <c r="S712" s="876"/>
      <c r="T712" s="876"/>
      <c r="U712" s="876"/>
      <c r="V712" s="876"/>
      <c r="W712" s="876"/>
      <c r="X712" s="876"/>
      <c r="Y712" s="876"/>
      <c r="Z712" s="876"/>
      <c r="AA712" s="876"/>
      <c r="AB712" s="876"/>
      <c r="AC712" s="876"/>
      <c r="AD712" s="876"/>
      <c r="AE712" s="876"/>
      <c r="AF712" s="876"/>
      <c r="AG712" s="876"/>
      <c r="AH712" s="876"/>
      <c r="AI712" s="878"/>
      <c r="AJ712" s="880"/>
      <c r="AK712" s="880"/>
      <c r="AL712" s="880"/>
      <c r="AM712" s="880"/>
      <c r="AN712" s="880"/>
      <c r="AO712" s="880"/>
      <c r="AP712" s="880"/>
      <c r="AQ712" s="880"/>
      <c r="AR712" s="880"/>
      <c r="AS712" s="880"/>
      <c r="AT712" s="880"/>
      <c r="AU712" s="880"/>
      <c r="AV712" s="880"/>
      <c r="AW712" s="881"/>
      <c r="AX712" s="863"/>
      <c r="AY712" s="863"/>
      <c r="AZ712" s="863"/>
      <c r="BA712" s="863"/>
      <c r="BB712" s="863"/>
      <c r="BC712" s="863"/>
      <c r="BD712" s="863"/>
      <c r="BE712" s="863"/>
      <c r="BF712" s="863"/>
      <c r="BG712" s="863"/>
      <c r="BH712" s="863"/>
      <c r="BI712" s="863"/>
      <c r="BJ712" s="863"/>
      <c r="BK712" s="863"/>
      <c r="BL712" s="863"/>
      <c r="BM712" s="863"/>
      <c r="BN712" s="863"/>
      <c r="BO712" s="863"/>
      <c r="BP712" s="880"/>
      <c r="BQ712" s="863"/>
      <c r="BR712" s="883"/>
      <c r="BS712" s="883"/>
      <c r="BT712" s="883"/>
      <c r="BU712" s="883"/>
      <c r="BV712" s="883"/>
      <c r="BW712" s="883"/>
      <c r="BX712" s="883"/>
      <c r="BY712" s="883"/>
      <c r="BZ712" s="883"/>
      <c r="CA712" s="883"/>
      <c r="CB712" s="883"/>
      <c r="CC712" s="883"/>
      <c r="CD712" s="884"/>
      <c r="CE712" s="883"/>
      <c r="CF712" s="883"/>
      <c r="CG712" s="883"/>
      <c r="CH712" s="883"/>
      <c r="CI712" s="883"/>
      <c r="CJ712" s="883"/>
      <c r="CK712" s="883"/>
      <c r="CL712" s="883"/>
      <c r="CM712" s="883"/>
      <c r="CN712" s="883"/>
      <c r="CO712" s="883"/>
      <c r="CP712" s="883"/>
      <c r="CQ712" s="883"/>
      <c r="CR712" s="883"/>
      <c r="CS712" s="883"/>
      <c r="CT712" s="883"/>
      <c r="CU712" s="883"/>
      <c r="CV712" s="863"/>
      <c r="CW712" s="863"/>
      <c r="CX712" s="863"/>
      <c r="CY712" s="863"/>
      <c r="CZ712" s="863"/>
      <c r="DA712" s="863"/>
      <c r="DB712" s="863"/>
      <c r="DC712" s="863"/>
      <c r="DD712" s="863"/>
      <c r="DE712" s="863"/>
    </row>
    <row r="713">
      <c r="A713" s="876"/>
      <c r="B713" s="876"/>
      <c r="C713" s="876"/>
      <c r="D713" s="876"/>
      <c r="E713" s="876"/>
      <c r="F713" s="876"/>
      <c r="G713" s="876"/>
      <c r="H713" s="876"/>
      <c r="I713" s="876"/>
      <c r="J713" s="876"/>
      <c r="K713" s="876"/>
      <c r="L713" s="876"/>
      <c r="M713" s="876"/>
      <c r="N713" s="877"/>
      <c r="O713" s="876"/>
      <c r="P713" s="876"/>
      <c r="Q713" s="876"/>
      <c r="R713" s="876"/>
      <c r="S713" s="876"/>
      <c r="T713" s="876"/>
      <c r="U713" s="876"/>
      <c r="V713" s="876"/>
      <c r="W713" s="876"/>
      <c r="X713" s="876"/>
      <c r="Y713" s="876"/>
      <c r="Z713" s="876"/>
      <c r="AA713" s="876"/>
      <c r="AB713" s="876"/>
      <c r="AC713" s="876"/>
      <c r="AD713" s="876"/>
      <c r="AE713" s="876"/>
      <c r="AF713" s="876"/>
      <c r="AG713" s="876"/>
      <c r="AH713" s="876"/>
      <c r="AI713" s="878"/>
      <c r="AJ713" s="880"/>
      <c r="AK713" s="880"/>
      <c r="AL713" s="880"/>
      <c r="AM713" s="880"/>
      <c r="AN713" s="880"/>
      <c r="AO713" s="880"/>
      <c r="AP713" s="880"/>
      <c r="AQ713" s="880"/>
      <c r="AR713" s="880"/>
      <c r="AS713" s="880"/>
      <c r="AT713" s="880"/>
      <c r="AU713" s="880"/>
      <c r="AV713" s="880"/>
      <c r="AW713" s="881"/>
      <c r="AX713" s="863"/>
      <c r="AY713" s="863"/>
      <c r="AZ713" s="863"/>
      <c r="BA713" s="863"/>
      <c r="BB713" s="863"/>
      <c r="BC713" s="863"/>
      <c r="BD713" s="863"/>
      <c r="BE713" s="863"/>
      <c r="BF713" s="863"/>
      <c r="BG713" s="863"/>
      <c r="BH713" s="863"/>
      <c r="BI713" s="863"/>
      <c r="BJ713" s="863"/>
      <c r="BK713" s="863"/>
      <c r="BL713" s="863"/>
      <c r="BM713" s="863"/>
      <c r="BN713" s="863"/>
      <c r="BO713" s="863"/>
      <c r="BP713" s="880"/>
      <c r="BQ713" s="863"/>
      <c r="BR713" s="883"/>
      <c r="BS713" s="883"/>
      <c r="BT713" s="883"/>
      <c r="BU713" s="883"/>
      <c r="BV713" s="883"/>
      <c r="BW713" s="883"/>
      <c r="BX713" s="883"/>
      <c r="BY713" s="883"/>
      <c r="BZ713" s="883"/>
      <c r="CA713" s="883"/>
      <c r="CB713" s="883"/>
      <c r="CC713" s="883"/>
      <c r="CD713" s="884"/>
      <c r="CE713" s="883"/>
      <c r="CF713" s="883"/>
      <c r="CG713" s="883"/>
      <c r="CH713" s="883"/>
      <c r="CI713" s="883"/>
      <c r="CJ713" s="883"/>
      <c r="CK713" s="883"/>
      <c r="CL713" s="883"/>
      <c r="CM713" s="883"/>
      <c r="CN713" s="883"/>
      <c r="CO713" s="883"/>
      <c r="CP713" s="883"/>
      <c r="CQ713" s="883"/>
      <c r="CR713" s="883"/>
      <c r="CS713" s="883"/>
      <c r="CT713" s="883"/>
      <c r="CU713" s="883"/>
      <c r="CV713" s="863"/>
      <c r="CW713" s="863"/>
      <c r="CX713" s="863"/>
      <c r="CY713" s="863"/>
      <c r="CZ713" s="863"/>
      <c r="DA713" s="863"/>
      <c r="DB713" s="863"/>
      <c r="DC713" s="863"/>
      <c r="DD713" s="863"/>
      <c r="DE713" s="863"/>
    </row>
    <row r="714">
      <c r="A714" s="876"/>
      <c r="B714" s="876"/>
      <c r="C714" s="876"/>
      <c r="D714" s="876"/>
      <c r="E714" s="876"/>
      <c r="F714" s="876"/>
      <c r="G714" s="876"/>
      <c r="H714" s="876"/>
      <c r="I714" s="876"/>
      <c r="J714" s="876"/>
      <c r="K714" s="876"/>
      <c r="L714" s="876"/>
      <c r="M714" s="876"/>
      <c r="N714" s="877"/>
      <c r="O714" s="876"/>
      <c r="P714" s="876"/>
      <c r="Q714" s="876"/>
      <c r="R714" s="876"/>
      <c r="S714" s="876"/>
      <c r="T714" s="876"/>
      <c r="U714" s="876"/>
      <c r="V714" s="876"/>
      <c r="W714" s="876"/>
      <c r="X714" s="876"/>
      <c r="Y714" s="876"/>
      <c r="Z714" s="876"/>
      <c r="AA714" s="876"/>
      <c r="AB714" s="876"/>
      <c r="AC714" s="876"/>
      <c r="AD714" s="876"/>
      <c r="AE714" s="876"/>
      <c r="AF714" s="876"/>
      <c r="AG714" s="876"/>
      <c r="AH714" s="876"/>
      <c r="AI714" s="878"/>
      <c r="AJ714" s="880"/>
      <c r="AK714" s="880"/>
      <c r="AL714" s="880"/>
      <c r="AM714" s="880"/>
      <c r="AN714" s="880"/>
      <c r="AO714" s="880"/>
      <c r="AP714" s="880"/>
      <c r="AQ714" s="880"/>
      <c r="AR714" s="880"/>
      <c r="AS714" s="880"/>
      <c r="AT714" s="880"/>
      <c r="AU714" s="880"/>
      <c r="AV714" s="880"/>
      <c r="AW714" s="881"/>
      <c r="AX714" s="863"/>
      <c r="AY714" s="863"/>
      <c r="AZ714" s="863"/>
      <c r="BA714" s="863"/>
      <c r="BB714" s="863"/>
      <c r="BC714" s="863"/>
      <c r="BD714" s="863"/>
      <c r="BE714" s="863"/>
      <c r="BF714" s="863"/>
      <c r="BG714" s="863"/>
      <c r="BH714" s="863"/>
      <c r="BI714" s="863"/>
      <c r="BJ714" s="863"/>
      <c r="BK714" s="863"/>
      <c r="BL714" s="863"/>
      <c r="BM714" s="863"/>
      <c r="BN714" s="863"/>
      <c r="BO714" s="863"/>
      <c r="BP714" s="880"/>
      <c r="BQ714" s="863"/>
      <c r="BR714" s="883"/>
      <c r="BS714" s="883"/>
      <c r="BT714" s="883"/>
      <c r="BU714" s="883"/>
      <c r="BV714" s="883"/>
      <c r="BW714" s="883"/>
      <c r="BX714" s="883"/>
      <c r="BY714" s="883"/>
      <c r="BZ714" s="883"/>
      <c r="CA714" s="883"/>
      <c r="CB714" s="883"/>
      <c r="CC714" s="883"/>
      <c r="CD714" s="884"/>
      <c r="CE714" s="883"/>
      <c r="CF714" s="883"/>
      <c r="CG714" s="883"/>
      <c r="CH714" s="883"/>
      <c r="CI714" s="883"/>
      <c r="CJ714" s="883"/>
      <c r="CK714" s="883"/>
      <c r="CL714" s="883"/>
      <c r="CM714" s="883"/>
      <c r="CN714" s="883"/>
      <c r="CO714" s="883"/>
      <c r="CP714" s="883"/>
      <c r="CQ714" s="883"/>
      <c r="CR714" s="883"/>
      <c r="CS714" s="883"/>
      <c r="CT714" s="883"/>
      <c r="CU714" s="883"/>
      <c r="CV714" s="863"/>
      <c r="CW714" s="863"/>
      <c r="CX714" s="863"/>
      <c r="CY714" s="863"/>
      <c r="CZ714" s="863"/>
      <c r="DA714" s="863"/>
      <c r="DB714" s="863"/>
      <c r="DC714" s="863"/>
      <c r="DD714" s="863"/>
      <c r="DE714" s="863"/>
    </row>
    <row r="715">
      <c r="A715" s="876"/>
      <c r="B715" s="876"/>
      <c r="C715" s="876"/>
      <c r="D715" s="876"/>
      <c r="E715" s="876"/>
      <c r="F715" s="876"/>
      <c r="G715" s="876"/>
      <c r="H715" s="876"/>
      <c r="I715" s="876"/>
      <c r="J715" s="876"/>
      <c r="K715" s="876"/>
      <c r="L715" s="876"/>
      <c r="M715" s="876"/>
      <c r="N715" s="877"/>
      <c r="O715" s="876"/>
      <c r="P715" s="876"/>
      <c r="Q715" s="876"/>
      <c r="R715" s="876"/>
      <c r="S715" s="876"/>
      <c r="T715" s="876"/>
      <c r="U715" s="876"/>
      <c r="V715" s="876"/>
      <c r="W715" s="876"/>
      <c r="X715" s="876"/>
      <c r="Y715" s="876"/>
      <c r="Z715" s="876"/>
      <c r="AA715" s="876"/>
      <c r="AB715" s="876"/>
      <c r="AC715" s="876"/>
      <c r="AD715" s="876"/>
      <c r="AE715" s="876"/>
      <c r="AF715" s="876"/>
      <c r="AG715" s="876"/>
      <c r="AH715" s="876"/>
      <c r="AI715" s="878"/>
      <c r="AJ715" s="880"/>
      <c r="AK715" s="880"/>
      <c r="AL715" s="880"/>
      <c r="AM715" s="880"/>
      <c r="AN715" s="880"/>
      <c r="AO715" s="880"/>
      <c r="AP715" s="880"/>
      <c r="AQ715" s="880"/>
      <c r="AR715" s="880"/>
      <c r="AS715" s="880"/>
      <c r="AT715" s="880"/>
      <c r="AU715" s="880"/>
      <c r="AV715" s="880"/>
      <c r="AW715" s="881"/>
      <c r="AX715" s="863"/>
      <c r="AY715" s="863"/>
      <c r="AZ715" s="863"/>
      <c r="BA715" s="863"/>
      <c r="BB715" s="863"/>
      <c r="BC715" s="863"/>
      <c r="BD715" s="863"/>
      <c r="BE715" s="863"/>
      <c r="BF715" s="863"/>
      <c r="BG715" s="863"/>
      <c r="BH715" s="863"/>
      <c r="BI715" s="863"/>
      <c r="BJ715" s="863"/>
      <c r="BK715" s="863"/>
      <c r="BL715" s="863"/>
      <c r="BM715" s="863"/>
      <c r="BN715" s="863"/>
      <c r="BO715" s="863"/>
      <c r="BP715" s="880"/>
      <c r="BQ715" s="863"/>
      <c r="BR715" s="883"/>
      <c r="BS715" s="883"/>
      <c r="BT715" s="883"/>
      <c r="BU715" s="883"/>
      <c r="BV715" s="883"/>
      <c r="BW715" s="883"/>
      <c r="BX715" s="883"/>
      <c r="BY715" s="883"/>
      <c r="BZ715" s="883"/>
      <c r="CA715" s="883"/>
      <c r="CB715" s="883"/>
      <c r="CC715" s="883"/>
      <c r="CD715" s="884"/>
      <c r="CE715" s="883"/>
      <c r="CF715" s="883"/>
      <c r="CG715" s="883"/>
      <c r="CH715" s="883"/>
      <c r="CI715" s="883"/>
      <c r="CJ715" s="883"/>
      <c r="CK715" s="883"/>
      <c r="CL715" s="883"/>
      <c r="CM715" s="883"/>
      <c r="CN715" s="883"/>
      <c r="CO715" s="883"/>
      <c r="CP715" s="883"/>
      <c r="CQ715" s="883"/>
      <c r="CR715" s="883"/>
      <c r="CS715" s="883"/>
      <c r="CT715" s="883"/>
      <c r="CU715" s="883"/>
      <c r="CV715" s="863"/>
      <c r="CW715" s="863"/>
      <c r="CX715" s="863"/>
      <c r="CY715" s="863"/>
      <c r="CZ715" s="863"/>
      <c r="DA715" s="863"/>
      <c r="DB715" s="863"/>
      <c r="DC715" s="863"/>
      <c r="DD715" s="863"/>
      <c r="DE715" s="863"/>
    </row>
    <row r="716">
      <c r="A716" s="876"/>
      <c r="B716" s="876"/>
      <c r="C716" s="876"/>
      <c r="D716" s="876"/>
      <c r="E716" s="876"/>
      <c r="F716" s="876"/>
      <c r="G716" s="876"/>
      <c r="H716" s="876"/>
      <c r="I716" s="876"/>
      <c r="J716" s="876"/>
      <c r="K716" s="876"/>
      <c r="L716" s="876"/>
      <c r="M716" s="876"/>
      <c r="N716" s="877"/>
      <c r="O716" s="876"/>
      <c r="P716" s="876"/>
      <c r="Q716" s="876"/>
      <c r="R716" s="876"/>
      <c r="S716" s="876"/>
      <c r="T716" s="876"/>
      <c r="U716" s="876"/>
      <c r="V716" s="876"/>
      <c r="W716" s="876"/>
      <c r="X716" s="876"/>
      <c r="Y716" s="876"/>
      <c r="Z716" s="876"/>
      <c r="AA716" s="876"/>
      <c r="AB716" s="876"/>
      <c r="AC716" s="876"/>
      <c r="AD716" s="876"/>
      <c r="AE716" s="876"/>
      <c r="AF716" s="876"/>
      <c r="AG716" s="876"/>
      <c r="AH716" s="876"/>
      <c r="AI716" s="878"/>
      <c r="AJ716" s="880"/>
      <c r="AK716" s="880"/>
      <c r="AL716" s="880"/>
      <c r="AM716" s="880"/>
      <c r="AN716" s="880"/>
      <c r="AO716" s="880"/>
      <c r="AP716" s="880"/>
      <c r="AQ716" s="880"/>
      <c r="AR716" s="880"/>
      <c r="AS716" s="880"/>
      <c r="AT716" s="880"/>
      <c r="AU716" s="880"/>
      <c r="AV716" s="880"/>
      <c r="AW716" s="881"/>
      <c r="AX716" s="863"/>
      <c r="AY716" s="863"/>
      <c r="AZ716" s="863"/>
      <c r="BA716" s="863"/>
      <c r="BB716" s="863"/>
      <c r="BC716" s="863"/>
      <c r="BD716" s="863"/>
      <c r="BE716" s="863"/>
      <c r="BF716" s="863"/>
      <c r="BG716" s="863"/>
      <c r="BH716" s="863"/>
      <c r="BI716" s="863"/>
      <c r="BJ716" s="863"/>
      <c r="BK716" s="863"/>
      <c r="BL716" s="863"/>
      <c r="BM716" s="863"/>
      <c r="BN716" s="863"/>
      <c r="BO716" s="863"/>
      <c r="BP716" s="880"/>
      <c r="BQ716" s="863"/>
      <c r="BR716" s="883"/>
      <c r="BS716" s="883"/>
      <c r="BT716" s="883"/>
      <c r="BU716" s="883"/>
      <c r="BV716" s="883"/>
      <c r="BW716" s="883"/>
      <c r="BX716" s="883"/>
      <c r="BY716" s="883"/>
      <c r="BZ716" s="883"/>
      <c r="CA716" s="883"/>
      <c r="CB716" s="883"/>
      <c r="CC716" s="883"/>
      <c r="CD716" s="884"/>
      <c r="CE716" s="883"/>
      <c r="CF716" s="883"/>
      <c r="CG716" s="883"/>
      <c r="CH716" s="883"/>
      <c r="CI716" s="883"/>
      <c r="CJ716" s="883"/>
      <c r="CK716" s="883"/>
      <c r="CL716" s="883"/>
      <c r="CM716" s="883"/>
      <c r="CN716" s="883"/>
      <c r="CO716" s="883"/>
      <c r="CP716" s="883"/>
      <c r="CQ716" s="883"/>
      <c r="CR716" s="883"/>
      <c r="CS716" s="883"/>
      <c r="CT716" s="883"/>
      <c r="CU716" s="883"/>
      <c r="CV716" s="863"/>
      <c r="CW716" s="863"/>
      <c r="CX716" s="863"/>
      <c r="CY716" s="863"/>
      <c r="CZ716" s="863"/>
      <c r="DA716" s="863"/>
      <c r="DB716" s="863"/>
      <c r="DC716" s="863"/>
      <c r="DD716" s="863"/>
      <c r="DE716" s="863"/>
    </row>
    <row r="717">
      <c r="A717" s="876"/>
      <c r="B717" s="876"/>
      <c r="C717" s="876"/>
      <c r="D717" s="876"/>
      <c r="E717" s="876"/>
      <c r="F717" s="876"/>
      <c r="G717" s="876"/>
      <c r="H717" s="876"/>
      <c r="I717" s="876"/>
      <c r="J717" s="876"/>
      <c r="K717" s="876"/>
      <c r="L717" s="876"/>
      <c r="M717" s="876"/>
      <c r="N717" s="877"/>
      <c r="O717" s="876"/>
      <c r="P717" s="876"/>
      <c r="Q717" s="876"/>
      <c r="R717" s="876"/>
      <c r="S717" s="876"/>
      <c r="T717" s="876"/>
      <c r="U717" s="876"/>
      <c r="V717" s="876"/>
      <c r="W717" s="876"/>
      <c r="X717" s="876"/>
      <c r="Y717" s="876"/>
      <c r="Z717" s="876"/>
      <c r="AA717" s="876"/>
      <c r="AB717" s="876"/>
      <c r="AC717" s="876"/>
      <c r="AD717" s="876"/>
      <c r="AE717" s="876"/>
      <c r="AF717" s="876"/>
      <c r="AG717" s="876"/>
      <c r="AH717" s="876"/>
      <c r="AI717" s="878"/>
      <c r="AJ717" s="880"/>
      <c r="AK717" s="880"/>
      <c r="AL717" s="880"/>
      <c r="AM717" s="880"/>
      <c r="AN717" s="880"/>
      <c r="AO717" s="880"/>
      <c r="AP717" s="880"/>
      <c r="AQ717" s="880"/>
      <c r="AR717" s="880"/>
      <c r="AS717" s="880"/>
      <c r="AT717" s="880"/>
      <c r="AU717" s="880"/>
      <c r="AV717" s="880"/>
      <c r="AW717" s="881"/>
      <c r="AX717" s="863"/>
      <c r="AY717" s="863"/>
      <c r="AZ717" s="863"/>
      <c r="BA717" s="863"/>
      <c r="BB717" s="863"/>
      <c r="BC717" s="863"/>
      <c r="BD717" s="863"/>
      <c r="BE717" s="863"/>
      <c r="BF717" s="863"/>
      <c r="BG717" s="863"/>
      <c r="BH717" s="863"/>
      <c r="BI717" s="863"/>
      <c r="BJ717" s="863"/>
      <c r="BK717" s="863"/>
      <c r="BL717" s="863"/>
      <c r="BM717" s="863"/>
      <c r="BN717" s="863"/>
      <c r="BO717" s="863"/>
      <c r="BP717" s="880"/>
      <c r="BQ717" s="863"/>
      <c r="BR717" s="883"/>
      <c r="BS717" s="883"/>
      <c r="BT717" s="883"/>
      <c r="BU717" s="883"/>
      <c r="BV717" s="883"/>
      <c r="BW717" s="883"/>
      <c r="BX717" s="883"/>
      <c r="BY717" s="883"/>
      <c r="BZ717" s="883"/>
      <c r="CA717" s="883"/>
      <c r="CB717" s="883"/>
      <c r="CC717" s="883"/>
      <c r="CD717" s="884"/>
      <c r="CE717" s="883"/>
      <c r="CF717" s="883"/>
      <c r="CG717" s="883"/>
      <c r="CH717" s="883"/>
      <c r="CI717" s="883"/>
      <c r="CJ717" s="883"/>
      <c r="CK717" s="883"/>
      <c r="CL717" s="883"/>
      <c r="CM717" s="883"/>
      <c r="CN717" s="883"/>
      <c r="CO717" s="883"/>
      <c r="CP717" s="883"/>
      <c r="CQ717" s="883"/>
      <c r="CR717" s="883"/>
      <c r="CS717" s="883"/>
      <c r="CT717" s="883"/>
      <c r="CU717" s="883"/>
      <c r="CV717" s="863"/>
      <c r="CW717" s="863"/>
      <c r="CX717" s="863"/>
      <c r="CY717" s="863"/>
      <c r="CZ717" s="863"/>
      <c r="DA717" s="863"/>
      <c r="DB717" s="863"/>
      <c r="DC717" s="863"/>
      <c r="DD717" s="863"/>
      <c r="DE717" s="863"/>
    </row>
    <row r="718">
      <c r="A718" s="876"/>
      <c r="B718" s="876"/>
      <c r="C718" s="876"/>
      <c r="D718" s="876"/>
      <c r="E718" s="876"/>
      <c r="F718" s="876"/>
      <c r="G718" s="876"/>
      <c r="H718" s="876"/>
      <c r="I718" s="876"/>
      <c r="J718" s="876"/>
      <c r="K718" s="876"/>
      <c r="L718" s="876"/>
      <c r="M718" s="876"/>
      <c r="N718" s="877"/>
      <c r="O718" s="876"/>
      <c r="P718" s="876"/>
      <c r="Q718" s="876"/>
      <c r="R718" s="876"/>
      <c r="S718" s="876"/>
      <c r="T718" s="876"/>
      <c r="U718" s="876"/>
      <c r="V718" s="876"/>
      <c r="W718" s="876"/>
      <c r="X718" s="876"/>
      <c r="Y718" s="876"/>
      <c r="Z718" s="876"/>
      <c r="AA718" s="876"/>
      <c r="AB718" s="876"/>
      <c r="AC718" s="876"/>
      <c r="AD718" s="876"/>
      <c r="AE718" s="876"/>
      <c r="AF718" s="876"/>
      <c r="AG718" s="876"/>
      <c r="AH718" s="876"/>
      <c r="AI718" s="878"/>
      <c r="AJ718" s="880"/>
      <c r="AK718" s="880"/>
      <c r="AL718" s="880"/>
      <c r="AM718" s="880"/>
      <c r="AN718" s="880"/>
      <c r="AO718" s="880"/>
      <c r="AP718" s="880"/>
      <c r="AQ718" s="880"/>
      <c r="AR718" s="880"/>
      <c r="AS718" s="880"/>
      <c r="AT718" s="880"/>
      <c r="AU718" s="880"/>
      <c r="AV718" s="880"/>
      <c r="AW718" s="881"/>
      <c r="AX718" s="863"/>
      <c r="AY718" s="863"/>
      <c r="AZ718" s="863"/>
      <c r="BA718" s="863"/>
      <c r="BB718" s="863"/>
      <c r="BC718" s="863"/>
      <c r="BD718" s="863"/>
      <c r="BE718" s="863"/>
      <c r="BF718" s="863"/>
      <c r="BG718" s="863"/>
      <c r="BH718" s="863"/>
      <c r="BI718" s="863"/>
      <c r="BJ718" s="863"/>
      <c r="BK718" s="863"/>
      <c r="BL718" s="863"/>
      <c r="BM718" s="863"/>
      <c r="BN718" s="863"/>
      <c r="BO718" s="863"/>
      <c r="BP718" s="880"/>
      <c r="BQ718" s="863"/>
      <c r="BR718" s="883"/>
      <c r="BS718" s="883"/>
      <c r="BT718" s="883"/>
      <c r="BU718" s="883"/>
      <c r="BV718" s="883"/>
      <c r="BW718" s="883"/>
      <c r="BX718" s="883"/>
      <c r="BY718" s="883"/>
      <c r="BZ718" s="883"/>
      <c r="CA718" s="883"/>
      <c r="CB718" s="883"/>
      <c r="CC718" s="883"/>
      <c r="CD718" s="884"/>
      <c r="CE718" s="883"/>
      <c r="CF718" s="883"/>
      <c r="CG718" s="883"/>
      <c r="CH718" s="883"/>
      <c r="CI718" s="883"/>
      <c r="CJ718" s="883"/>
      <c r="CK718" s="883"/>
      <c r="CL718" s="883"/>
      <c r="CM718" s="883"/>
      <c r="CN718" s="883"/>
      <c r="CO718" s="883"/>
      <c r="CP718" s="883"/>
      <c r="CQ718" s="883"/>
      <c r="CR718" s="883"/>
      <c r="CS718" s="883"/>
      <c r="CT718" s="883"/>
      <c r="CU718" s="883"/>
      <c r="CV718" s="863"/>
      <c r="CW718" s="863"/>
      <c r="CX718" s="863"/>
      <c r="CY718" s="863"/>
      <c r="CZ718" s="863"/>
      <c r="DA718" s="863"/>
      <c r="DB718" s="863"/>
      <c r="DC718" s="863"/>
      <c r="DD718" s="863"/>
      <c r="DE718" s="863"/>
    </row>
    <row r="719">
      <c r="A719" s="876"/>
      <c r="B719" s="876"/>
      <c r="C719" s="876"/>
      <c r="D719" s="876"/>
      <c r="E719" s="876"/>
      <c r="F719" s="876"/>
      <c r="G719" s="876"/>
      <c r="H719" s="876"/>
      <c r="I719" s="876"/>
      <c r="J719" s="876"/>
      <c r="K719" s="876"/>
      <c r="L719" s="876"/>
      <c r="M719" s="876"/>
      <c r="N719" s="877"/>
      <c r="O719" s="876"/>
      <c r="P719" s="876"/>
      <c r="Q719" s="876"/>
      <c r="R719" s="876"/>
      <c r="S719" s="876"/>
      <c r="T719" s="876"/>
      <c r="U719" s="876"/>
      <c r="V719" s="876"/>
      <c r="W719" s="876"/>
      <c r="X719" s="876"/>
      <c r="Y719" s="876"/>
      <c r="Z719" s="876"/>
      <c r="AA719" s="876"/>
      <c r="AB719" s="876"/>
      <c r="AC719" s="876"/>
      <c r="AD719" s="876"/>
      <c r="AE719" s="876"/>
      <c r="AF719" s="876"/>
      <c r="AG719" s="876"/>
      <c r="AH719" s="876"/>
      <c r="AI719" s="878"/>
      <c r="AJ719" s="880"/>
      <c r="AK719" s="880"/>
      <c r="AL719" s="880"/>
      <c r="AM719" s="880"/>
      <c r="AN719" s="880"/>
      <c r="AO719" s="880"/>
      <c r="AP719" s="880"/>
      <c r="AQ719" s="880"/>
      <c r="AR719" s="880"/>
      <c r="AS719" s="880"/>
      <c r="AT719" s="880"/>
      <c r="AU719" s="880"/>
      <c r="AV719" s="880"/>
      <c r="AW719" s="881"/>
      <c r="AX719" s="863"/>
      <c r="AY719" s="863"/>
      <c r="AZ719" s="863"/>
      <c r="BA719" s="863"/>
      <c r="BB719" s="863"/>
      <c r="BC719" s="863"/>
      <c r="BD719" s="863"/>
      <c r="BE719" s="863"/>
      <c r="BF719" s="863"/>
      <c r="BG719" s="863"/>
      <c r="BH719" s="863"/>
      <c r="BI719" s="863"/>
      <c r="BJ719" s="863"/>
      <c r="BK719" s="863"/>
      <c r="BL719" s="863"/>
      <c r="BM719" s="863"/>
      <c r="BN719" s="863"/>
      <c r="BO719" s="863"/>
      <c r="BP719" s="880"/>
      <c r="BQ719" s="863"/>
      <c r="BR719" s="883"/>
      <c r="BS719" s="883"/>
      <c r="BT719" s="883"/>
      <c r="BU719" s="883"/>
      <c r="BV719" s="883"/>
      <c r="BW719" s="883"/>
      <c r="BX719" s="883"/>
      <c r="BY719" s="883"/>
      <c r="BZ719" s="883"/>
      <c r="CA719" s="883"/>
      <c r="CB719" s="883"/>
      <c r="CC719" s="883"/>
      <c r="CD719" s="884"/>
      <c r="CE719" s="883"/>
      <c r="CF719" s="883"/>
      <c r="CG719" s="883"/>
      <c r="CH719" s="883"/>
      <c r="CI719" s="883"/>
      <c r="CJ719" s="883"/>
      <c r="CK719" s="883"/>
      <c r="CL719" s="883"/>
      <c r="CM719" s="883"/>
      <c r="CN719" s="883"/>
      <c r="CO719" s="883"/>
      <c r="CP719" s="883"/>
      <c r="CQ719" s="883"/>
      <c r="CR719" s="883"/>
      <c r="CS719" s="883"/>
      <c r="CT719" s="883"/>
      <c r="CU719" s="883"/>
      <c r="CV719" s="863"/>
      <c r="CW719" s="863"/>
      <c r="CX719" s="863"/>
      <c r="CY719" s="863"/>
      <c r="CZ719" s="863"/>
      <c r="DA719" s="863"/>
      <c r="DB719" s="863"/>
      <c r="DC719" s="863"/>
      <c r="DD719" s="863"/>
      <c r="DE719" s="863"/>
    </row>
    <row r="720">
      <c r="A720" s="876"/>
      <c r="B720" s="876"/>
      <c r="C720" s="876"/>
      <c r="D720" s="876"/>
      <c r="E720" s="876"/>
      <c r="F720" s="876"/>
      <c r="G720" s="876"/>
      <c r="H720" s="876"/>
      <c r="I720" s="876"/>
      <c r="J720" s="876"/>
      <c r="K720" s="876"/>
      <c r="L720" s="876"/>
      <c r="M720" s="876"/>
      <c r="N720" s="877"/>
      <c r="O720" s="876"/>
      <c r="P720" s="876"/>
      <c r="Q720" s="876"/>
      <c r="R720" s="876"/>
      <c r="S720" s="876"/>
      <c r="T720" s="876"/>
      <c r="U720" s="876"/>
      <c r="V720" s="876"/>
      <c r="W720" s="876"/>
      <c r="X720" s="876"/>
      <c r="Y720" s="876"/>
      <c r="Z720" s="876"/>
      <c r="AA720" s="876"/>
      <c r="AB720" s="876"/>
      <c r="AC720" s="876"/>
      <c r="AD720" s="876"/>
      <c r="AE720" s="876"/>
      <c r="AF720" s="876"/>
      <c r="AG720" s="876"/>
      <c r="AH720" s="876"/>
      <c r="AI720" s="878"/>
      <c r="AJ720" s="880"/>
      <c r="AK720" s="880"/>
      <c r="AL720" s="880"/>
      <c r="AM720" s="880"/>
      <c r="AN720" s="880"/>
      <c r="AO720" s="880"/>
      <c r="AP720" s="880"/>
      <c r="AQ720" s="880"/>
      <c r="AR720" s="880"/>
      <c r="AS720" s="880"/>
      <c r="AT720" s="880"/>
      <c r="AU720" s="880"/>
      <c r="AV720" s="880"/>
      <c r="AW720" s="881"/>
      <c r="AX720" s="863"/>
      <c r="AY720" s="863"/>
      <c r="AZ720" s="863"/>
      <c r="BA720" s="863"/>
      <c r="BB720" s="863"/>
      <c r="BC720" s="863"/>
      <c r="BD720" s="863"/>
      <c r="BE720" s="863"/>
      <c r="BF720" s="863"/>
      <c r="BG720" s="863"/>
      <c r="BH720" s="863"/>
      <c r="BI720" s="863"/>
      <c r="BJ720" s="863"/>
      <c r="BK720" s="863"/>
      <c r="BL720" s="863"/>
      <c r="BM720" s="863"/>
      <c r="BN720" s="863"/>
      <c r="BO720" s="863"/>
      <c r="BP720" s="880"/>
      <c r="BQ720" s="863"/>
      <c r="BR720" s="883"/>
      <c r="BS720" s="883"/>
      <c r="BT720" s="883"/>
      <c r="BU720" s="883"/>
      <c r="BV720" s="883"/>
      <c r="BW720" s="883"/>
      <c r="BX720" s="883"/>
      <c r="BY720" s="883"/>
      <c r="BZ720" s="883"/>
      <c r="CA720" s="883"/>
      <c r="CB720" s="883"/>
      <c r="CC720" s="883"/>
      <c r="CD720" s="884"/>
      <c r="CE720" s="883"/>
      <c r="CF720" s="883"/>
      <c r="CG720" s="883"/>
      <c r="CH720" s="883"/>
      <c r="CI720" s="883"/>
      <c r="CJ720" s="883"/>
      <c r="CK720" s="883"/>
      <c r="CL720" s="883"/>
      <c r="CM720" s="883"/>
      <c r="CN720" s="883"/>
      <c r="CO720" s="883"/>
      <c r="CP720" s="883"/>
      <c r="CQ720" s="883"/>
      <c r="CR720" s="883"/>
      <c r="CS720" s="883"/>
      <c r="CT720" s="883"/>
      <c r="CU720" s="883"/>
      <c r="CV720" s="863"/>
      <c r="CW720" s="863"/>
      <c r="CX720" s="863"/>
      <c r="CY720" s="863"/>
      <c r="CZ720" s="863"/>
      <c r="DA720" s="863"/>
      <c r="DB720" s="863"/>
      <c r="DC720" s="863"/>
      <c r="DD720" s="863"/>
      <c r="DE720" s="863"/>
    </row>
    <row r="721">
      <c r="A721" s="876"/>
      <c r="B721" s="876"/>
      <c r="C721" s="876"/>
      <c r="D721" s="876"/>
      <c r="E721" s="876"/>
      <c r="F721" s="876"/>
      <c r="G721" s="876"/>
      <c r="H721" s="876"/>
      <c r="I721" s="876"/>
      <c r="J721" s="876"/>
      <c r="K721" s="876"/>
      <c r="L721" s="876"/>
      <c r="M721" s="876"/>
      <c r="N721" s="877"/>
      <c r="O721" s="876"/>
      <c r="P721" s="876"/>
      <c r="Q721" s="876"/>
      <c r="R721" s="876"/>
      <c r="S721" s="876"/>
      <c r="T721" s="876"/>
      <c r="U721" s="876"/>
      <c r="V721" s="876"/>
      <c r="W721" s="876"/>
      <c r="X721" s="876"/>
      <c r="Y721" s="876"/>
      <c r="Z721" s="876"/>
      <c r="AA721" s="876"/>
      <c r="AB721" s="876"/>
      <c r="AC721" s="876"/>
      <c r="AD721" s="876"/>
      <c r="AE721" s="876"/>
      <c r="AF721" s="876"/>
      <c r="AG721" s="876"/>
      <c r="AH721" s="876"/>
      <c r="AI721" s="878"/>
      <c r="AJ721" s="880"/>
      <c r="AK721" s="880"/>
      <c r="AL721" s="880"/>
      <c r="AM721" s="880"/>
      <c r="AN721" s="880"/>
      <c r="AO721" s="880"/>
      <c r="AP721" s="880"/>
      <c r="AQ721" s="880"/>
      <c r="AR721" s="880"/>
      <c r="AS721" s="880"/>
      <c r="AT721" s="880"/>
      <c r="AU721" s="880"/>
      <c r="AV721" s="880"/>
      <c r="AW721" s="881"/>
      <c r="AX721" s="863"/>
      <c r="AY721" s="863"/>
      <c r="AZ721" s="863"/>
      <c r="BA721" s="863"/>
      <c r="BB721" s="863"/>
      <c r="BC721" s="863"/>
      <c r="BD721" s="863"/>
      <c r="BE721" s="863"/>
      <c r="BF721" s="863"/>
      <c r="BG721" s="863"/>
      <c r="BH721" s="863"/>
      <c r="BI721" s="863"/>
      <c r="BJ721" s="863"/>
      <c r="BK721" s="863"/>
      <c r="BL721" s="863"/>
      <c r="BM721" s="863"/>
      <c r="BN721" s="863"/>
      <c r="BO721" s="863"/>
      <c r="BP721" s="880"/>
      <c r="BQ721" s="863"/>
      <c r="BR721" s="883"/>
      <c r="BS721" s="883"/>
      <c r="BT721" s="883"/>
      <c r="BU721" s="883"/>
      <c r="BV721" s="883"/>
      <c r="BW721" s="883"/>
      <c r="BX721" s="883"/>
      <c r="BY721" s="883"/>
      <c r="BZ721" s="883"/>
      <c r="CA721" s="883"/>
      <c r="CB721" s="883"/>
      <c r="CC721" s="883"/>
      <c r="CD721" s="884"/>
      <c r="CE721" s="883"/>
      <c r="CF721" s="883"/>
      <c r="CG721" s="883"/>
      <c r="CH721" s="883"/>
      <c r="CI721" s="883"/>
      <c r="CJ721" s="883"/>
      <c r="CK721" s="883"/>
      <c r="CL721" s="883"/>
      <c r="CM721" s="883"/>
      <c r="CN721" s="883"/>
      <c r="CO721" s="883"/>
      <c r="CP721" s="883"/>
      <c r="CQ721" s="883"/>
      <c r="CR721" s="883"/>
      <c r="CS721" s="883"/>
      <c r="CT721" s="883"/>
      <c r="CU721" s="883"/>
      <c r="CV721" s="863"/>
      <c r="CW721" s="863"/>
      <c r="CX721" s="863"/>
      <c r="CY721" s="863"/>
      <c r="CZ721" s="863"/>
      <c r="DA721" s="863"/>
      <c r="DB721" s="863"/>
      <c r="DC721" s="863"/>
      <c r="DD721" s="863"/>
      <c r="DE721" s="863"/>
    </row>
    <row r="722">
      <c r="A722" s="876"/>
      <c r="B722" s="876"/>
      <c r="C722" s="876"/>
      <c r="D722" s="876"/>
      <c r="E722" s="876"/>
      <c r="F722" s="876"/>
      <c r="G722" s="876"/>
      <c r="H722" s="876"/>
      <c r="I722" s="876"/>
      <c r="J722" s="876"/>
      <c r="K722" s="876"/>
      <c r="L722" s="876"/>
      <c r="M722" s="876"/>
      <c r="N722" s="877"/>
      <c r="O722" s="876"/>
      <c r="P722" s="876"/>
      <c r="Q722" s="876"/>
      <c r="R722" s="876"/>
      <c r="S722" s="876"/>
      <c r="T722" s="876"/>
      <c r="U722" s="876"/>
      <c r="V722" s="876"/>
      <c r="W722" s="876"/>
      <c r="X722" s="876"/>
      <c r="Y722" s="876"/>
      <c r="Z722" s="876"/>
      <c r="AA722" s="876"/>
      <c r="AB722" s="876"/>
      <c r="AC722" s="876"/>
      <c r="AD722" s="876"/>
      <c r="AE722" s="876"/>
      <c r="AF722" s="876"/>
      <c r="AG722" s="876"/>
      <c r="AH722" s="876"/>
      <c r="AI722" s="878"/>
      <c r="AJ722" s="880"/>
      <c r="AK722" s="880"/>
      <c r="AL722" s="880"/>
      <c r="AM722" s="880"/>
      <c r="AN722" s="880"/>
      <c r="AO722" s="880"/>
      <c r="AP722" s="880"/>
      <c r="AQ722" s="880"/>
      <c r="AR722" s="880"/>
      <c r="AS722" s="880"/>
      <c r="AT722" s="880"/>
      <c r="AU722" s="880"/>
      <c r="AV722" s="880"/>
      <c r="AW722" s="881"/>
      <c r="AX722" s="863"/>
      <c r="AY722" s="863"/>
      <c r="AZ722" s="863"/>
      <c r="BA722" s="863"/>
      <c r="BB722" s="863"/>
      <c r="BC722" s="863"/>
      <c r="BD722" s="863"/>
      <c r="BE722" s="863"/>
      <c r="BF722" s="863"/>
      <c r="BG722" s="863"/>
      <c r="BH722" s="863"/>
      <c r="BI722" s="863"/>
      <c r="BJ722" s="863"/>
      <c r="BK722" s="863"/>
      <c r="BL722" s="863"/>
      <c r="BM722" s="863"/>
      <c r="BN722" s="863"/>
      <c r="BO722" s="863"/>
      <c r="BP722" s="880"/>
      <c r="BQ722" s="863"/>
      <c r="BR722" s="883"/>
      <c r="BS722" s="883"/>
      <c r="BT722" s="883"/>
      <c r="BU722" s="883"/>
      <c r="BV722" s="883"/>
      <c r="BW722" s="883"/>
      <c r="BX722" s="883"/>
      <c r="BY722" s="883"/>
      <c r="BZ722" s="883"/>
      <c r="CA722" s="883"/>
      <c r="CB722" s="883"/>
      <c r="CC722" s="883"/>
      <c r="CD722" s="884"/>
      <c r="CE722" s="883"/>
      <c r="CF722" s="883"/>
      <c r="CG722" s="883"/>
      <c r="CH722" s="883"/>
      <c r="CI722" s="883"/>
      <c r="CJ722" s="883"/>
      <c r="CK722" s="883"/>
      <c r="CL722" s="883"/>
      <c r="CM722" s="883"/>
      <c r="CN722" s="883"/>
      <c r="CO722" s="883"/>
      <c r="CP722" s="883"/>
      <c r="CQ722" s="883"/>
      <c r="CR722" s="883"/>
      <c r="CS722" s="883"/>
      <c r="CT722" s="883"/>
      <c r="CU722" s="883"/>
      <c r="CV722" s="863"/>
      <c r="CW722" s="863"/>
      <c r="CX722" s="863"/>
      <c r="CY722" s="863"/>
      <c r="CZ722" s="863"/>
      <c r="DA722" s="863"/>
      <c r="DB722" s="863"/>
      <c r="DC722" s="863"/>
      <c r="DD722" s="863"/>
      <c r="DE722" s="863"/>
    </row>
    <row r="723">
      <c r="A723" s="876"/>
      <c r="B723" s="876"/>
      <c r="C723" s="876"/>
      <c r="D723" s="876"/>
      <c r="E723" s="876"/>
      <c r="F723" s="876"/>
      <c r="G723" s="876"/>
      <c r="H723" s="876"/>
      <c r="I723" s="876"/>
      <c r="J723" s="876"/>
      <c r="K723" s="876"/>
      <c r="L723" s="876"/>
      <c r="M723" s="876"/>
      <c r="N723" s="877"/>
      <c r="O723" s="876"/>
      <c r="P723" s="876"/>
      <c r="Q723" s="876"/>
      <c r="R723" s="876"/>
      <c r="S723" s="876"/>
      <c r="T723" s="876"/>
      <c r="U723" s="876"/>
      <c r="V723" s="876"/>
      <c r="W723" s="876"/>
      <c r="X723" s="876"/>
      <c r="Y723" s="876"/>
      <c r="Z723" s="876"/>
      <c r="AA723" s="876"/>
      <c r="AB723" s="876"/>
      <c r="AC723" s="876"/>
      <c r="AD723" s="876"/>
      <c r="AE723" s="876"/>
      <c r="AF723" s="876"/>
      <c r="AG723" s="876"/>
      <c r="AH723" s="876"/>
      <c r="AI723" s="878"/>
      <c r="AJ723" s="880"/>
      <c r="AK723" s="880"/>
      <c r="AL723" s="880"/>
      <c r="AM723" s="880"/>
      <c r="AN723" s="880"/>
      <c r="AO723" s="880"/>
      <c r="AP723" s="880"/>
      <c r="AQ723" s="880"/>
      <c r="AR723" s="880"/>
      <c r="AS723" s="880"/>
      <c r="AT723" s="880"/>
      <c r="AU723" s="880"/>
      <c r="AV723" s="880"/>
      <c r="AW723" s="881"/>
      <c r="AX723" s="863"/>
      <c r="AY723" s="863"/>
      <c r="AZ723" s="863"/>
      <c r="BA723" s="863"/>
      <c r="BB723" s="863"/>
      <c r="BC723" s="863"/>
      <c r="BD723" s="863"/>
      <c r="BE723" s="863"/>
      <c r="BF723" s="863"/>
      <c r="BG723" s="863"/>
      <c r="BH723" s="863"/>
      <c r="BI723" s="863"/>
      <c r="BJ723" s="863"/>
      <c r="BK723" s="863"/>
      <c r="BL723" s="863"/>
      <c r="BM723" s="863"/>
      <c r="BN723" s="863"/>
      <c r="BO723" s="863"/>
      <c r="BP723" s="880"/>
      <c r="BQ723" s="863"/>
      <c r="BR723" s="883"/>
      <c r="BS723" s="883"/>
      <c r="BT723" s="883"/>
      <c r="BU723" s="883"/>
      <c r="BV723" s="883"/>
      <c r="BW723" s="883"/>
      <c r="BX723" s="883"/>
      <c r="BY723" s="883"/>
      <c r="BZ723" s="883"/>
      <c r="CA723" s="883"/>
      <c r="CB723" s="883"/>
      <c r="CC723" s="883"/>
      <c r="CD723" s="884"/>
      <c r="CE723" s="883"/>
      <c r="CF723" s="883"/>
      <c r="CG723" s="883"/>
      <c r="CH723" s="883"/>
      <c r="CI723" s="883"/>
      <c r="CJ723" s="883"/>
      <c r="CK723" s="883"/>
      <c r="CL723" s="883"/>
      <c r="CM723" s="883"/>
      <c r="CN723" s="883"/>
      <c r="CO723" s="883"/>
      <c r="CP723" s="883"/>
      <c r="CQ723" s="883"/>
      <c r="CR723" s="883"/>
      <c r="CS723" s="883"/>
      <c r="CT723" s="883"/>
      <c r="CU723" s="883"/>
      <c r="CV723" s="863"/>
      <c r="CW723" s="863"/>
      <c r="CX723" s="863"/>
      <c r="CY723" s="863"/>
      <c r="CZ723" s="863"/>
      <c r="DA723" s="863"/>
      <c r="DB723" s="863"/>
      <c r="DC723" s="863"/>
      <c r="DD723" s="863"/>
      <c r="DE723" s="863"/>
    </row>
    <row r="724">
      <c r="A724" s="876"/>
      <c r="B724" s="876"/>
      <c r="C724" s="876"/>
      <c r="D724" s="876"/>
      <c r="E724" s="876"/>
      <c r="F724" s="876"/>
      <c r="G724" s="876"/>
      <c r="H724" s="876"/>
      <c r="I724" s="876"/>
      <c r="J724" s="876"/>
      <c r="K724" s="876"/>
      <c r="L724" s="876"/>
      <c r="M724" s="876"/>
      <c r="N724" s="877"/>
      <c r="O724" s="876"/>
      <c r="P724" s="876"/>
      <c r="Q724" s="876"/>
      <c r="R724" s="876"/>
      <c r="S724" s="876"/>
      <c r="T724" s="876"/>
      <c r="U724" s="876"/>
      <c r="V724" s="876"/>
      <c r="W724" s="876"/>
      <c r="X724" s="876"/>
      <c r="Y724" s="876"/>
      <c r="Z724" s="876"/>
      <c r="AA724" s="876"/>
      <c r="AB724" s="876"/>
      <c r="AC724" s="876"/>
      <c r="AD724" s="876"/>
      <c r="AE724" s="876"/>
      <c r="AF724" s="876"/>
      <c r="AG724" s="876"/>
      <c r="AH724" s="876"/>
      <c r="AI724" s="878"/>
      <c r="AJ724" s="880"/>
      <c r="AK724" s="880"/>
      <c r="AL724" s="880"/>
      <c r="AM724" s="880"/>
      <c r="AN724" s="880"/>
      <c r="AO724" s="880"/>
      <c r="AP724" s="880"/>
      <c r="AQ724" s="880"/>
      <c r="AR724" s="880"/>
      <c r="AS724" s="880"/>
      <c r="AT724" s="880"/>
      <c r="AU724" s="880"/>
      <c r="AV724" s="880"/>
      <c r="AW724" s="881"/>
      <c r="AX724" s="863"/>
      <c r="AY724" s="863"/>
      <c r="AZ724" s="863"/>
      <c r="BA724" s="863"/>
      <c r="BB724" s="863"/>
      <c r="BC724" s="863"/>
      <c r="BD724" s="863"/>
      <c r="BE724" s="863"/>
      <c r="BF724" s="863"/>
      <c r="BG724" s="863"/>
      <c r="BH724" s="863"/>
      <c r="BI724" s="863"/>
      <c r="BJ724" s="863"/>
      <c r="BK724" s="863"/>
      <c r="BL724" s="863"/>
      <c r="BM724" s="863"/>
      <c r="BN724" s="863"/>
      <c r="BO724" s="863"/>
      <c r="BP724" s="880"/>
      <c r="BQ724" s="863"/>
      <c r="BR724" s="883"/>
      <c r="BS724" s="883"/>
      <c r="BT724" s="883"/>
      <c r="BU724" s="883"/>
      <c r="BV724" s="883"/>
      <c r="BW724" s="883"/>
      <c r="BX724" s="883"/>
      <c r="BY724" s="883"/>
      <c r="BZ724" s="883"/>
      <c r="CA724" s="883"/>
      <c r="CB724" s="883"/>
      <c r="CC724" s="883"/>
      <c r="CD724" s="884"/>
      <c r="CE724" s="883"/>
      <c r="CF724" s="883"/>
      <c r="CG724" s="883"/>
      <c r="CH724" s="883"/>
      <c r="CI724" s="883"/>
      <c r="CJ724" s="883"/>
      <c r="CK724" s="883"/>
      <c r="CL724" s="883"/>
      <c r="CM724" s="883"/>
      <c r="CN724" s="883"/>
      <c r="CO724" s="883"/>
      <c r="CP724" s="883"/>
      <c r="CQ724" s="883"/>
      <c r="CR724" s="883"/>
      <c r="CS724" s="883"/>
      <c r="CT724" s="883"/>
      <c r="CU724" s="883"/>
      <c r="CV724" s="863"/>
      <c r="CW724" s="863"/>
      <c r="CX724" s="863"/>
      <c r="CY724" s="863"/>
      <c r="CZ724" s="863"/>
      <c r="DA724" s="863"/>
      <c r="DB724" s="863"/>
      <c r="DC724" s="863"/>
      <c r="DD724" s="863"/>
      <c r="DE724" s="863"/>
    </row>
    <row r="725">
      <c r="A725" s="876"/>
      <c r="B725" s="876"/>
      <c r="C725" s="876"/>
      <c r="D725" s="876"/>
      <c r="E725" s="876"/>
      <c r="F725" s="876"/>
      <c r="G725" s="876"/>
      <c r="H725" s="876"/>
      <c r="I725" s="876"/>
      <c r="J725" s="876"/>
      <c r="K725" s="876"/>
      <c r="L725" s="876"/>
      <c r="M725" s="876"/>
      <c r="N725" s="877"/>
      <c r="O725" s="876"/>
      <c r="P725" s="876"/>
      <c r="Q725" s="876"/>
      <c r="R725" s="876"/>
      <c r="S725" s="876"/>
      <c r="T725" s="876"/>
      <c r="U725" s="876"/>
      <c r="V725" s="876"/>
      <c r="W725" s="876"/>
      <c r="X725" s="876"/>
      <c r="Y725" s="876"/>
      <c r="Z725" s="876"/>
      <c r="AA725" s="876"/>
      <c r="AB725" s="876"/>
      <c r="AC725" s="876"/>
      <c r="AD725" s="876"/>
      <c r="AE725" s="876"/>
      <c r="AF725" s="876"/>
      <c r="AG725" s="876"/>
      <c r="AH725" s="876"/>
      <c r="AI725" s="878"/>
      <c r="AJ725" s="880"/>
      <c r="AK725" s="880"/>
      <c r="AL725" s="880"/>
      <c r="AM725" s="880"/>
      <c r="AN725" s="880"/>
      <c r="AO725" s="880"/>
      <c r="AP725" s="880"/>
      <c r="AQ725" s="880"/>
      <c r="AR725" s="880"/>
      <c r="AS725" s="880"/>
      <c r="AT725" s="880"/>
      <c r="AU725" s="880"/>
      <c r="AV725" s="880"/>
      <c r="AW725" s="881"/>
      <c r="AX725" s="863"/>
      <c r="AY725" s="863"/>
      <c r="AZ725" s="863"/>
      <c r="BA725" s="863"/>
      <c r="BB725" s="863"/>
      <c r="BC725" s="863"/>
      <c r="BD725" s="863"/>
      <c r="BE725" s="863"/>
      <c r="BF725" s="863"/>
      <c r="BG725" s="863"/>
      <c r="BH725" s="863"/>
      <c r="BI725" s="863"/>
      <c r="BJ725" s="863"/>
      <c r="BK725" s="863"/>
      <c r="BL725" s="863"/>
      <c r="BM725" s="863"/>
      <c r="BN725" s="863"/>
      <c r="BO725" s="863"/>
      <c r="BP725" s="880"/>
      <c r="BQ725" s="863"/>
      <c r="BR725" s="883"/>
      <c r="BS725" s="883"/>
      <c r="BT725" s="883"/>
      <c r="BU725" s="883"/>
      <c r="BV725" s="883"/>
      <c r="BW725" s="883"/>
      <c r="BX725" s="883"/>
      <c r="BY725" s="883"/>
      <c r="BZ725" s="883"/>
      <c r="CA725" s="883"/>
      <c r="CB725" s="883"/>
      <c r="CC725" s="883"/>
      <c r="CD725" s="884"/>
      <c r="CE725" s="883"/>
      <c r="CF725" s="883"/>
      <c r="CG725" s="883"/>
      <c r="CH725" s="883"/>
      <c r="CI725" s="883"/>
      <c r="CJ725" s="883"/>
      <c r="CK725" s="883"/>
      <c r="CL725" s="883"/>
      <c r="CM725" s="883"/>
      <c r="CN725" s="883"/>
      <c r="CO725" s="883"/>
      <c r="CP725" s="883"/>
      <c r="CQ725" s="883"/>
      <c r="CR725" s="883"/>
      <c r="CS725" s="883"/>
      <c r="CT725" s="883"/>
      <c r="CU725" s="883"/>
      <c r="CV725" s="863"/>
      <c r="CW725" s="863"/>
      <c r="CX725" s="863"/>
      <c r="CY725" s="863"/>
      <c r="CZ725" s="863"/>
      <c r="DA725" s="863"/>
      <c r="DB725" s="863"/>
      <c r="DC725" s="863"/>
      <c r="DD725" s="863"/>
      <c r="DE725" s="863"/>
    </row>
    <row r="726">
      <c r="A726" s="876"/>
      <c r="B726" s="876"/>
      <c r="C726" s="876"/>
      <c r="D726" s="876"/>
      <c r="E726" s="876"/>
      <c r="F726" s="876"/>
      <c r="G726" s="876"/>
      <c r="H726" s="876"/>
      <c r="I726" s="876"/>
      <c r="J726" s="876"/>
      <c r="K726" s="876"/>
      <c r="L726" s="876"/>
      <c r="M726" s="876"/>
      <c r="N726" s="877"/>
      <c r="O726" s="876"/>
      <c r="P726" s="876"/>
      <c r="Q726" s="876"/>
      <c r="R726" s="876"/>
      <c r="S726" s="876"/>
      <c r="T726" s="876"/>
      <c r="U726" s="876"/>
      <c r="V726" s="876"/>
      <c r="W726" s="876"/>
      <c r="X726" s="876"/>
      <c r="Y726" s="876"/>
      <c r="Z726" s="876"/>
      <c r="AA726" s="876"/>
      <c r="AB726" s="876"/>
      <c r="AC726" s="876"/>
      <c r="AD726" s="876"/>
      <c r="AE726" s="876"/>
      <c r="AF726" s="876"/>
      <c r="AG726" s="876"/>
      <c r="AH726" s="876"/>
      <c r="AI726" s="878"/>
      <c r="AJ726" s="880"/>
      <c r="AK726" s="880"/>
      <c r="AL726" s="880"/>
      <c r="AM726" s="880"/>
      <c r="AN726" s="880"/>
      <c r="AO726" s="880"/>
      <c r="AP726" s="880"/>
      <c r="AQ726" s="880"/>
      <c r="AR726" s="880"/>
      <c r="AS726" s="880"/>
      <c r="AT726" s="880"/>
      <c r="AU726" s="880"/>
      <c r="AV726" s="880"/>
      <c r="AW726" s="881"/>
      <c r="AX726" s="863"/>
      <c r="AY726" s="863"/>
      <c r="AZ726" s="863"/>
      <c r="BA726" s="863"/>
      <c r="BB726" s="863"/>
      <c r="BC726" s="863"/>
      <c r="BD726" s="863"/>
      <c r="BE726" s="863"/>
      <c r="BF726" s="863"/>
      <c r="BG726" s="863"/>
      <c r="BH726" s="863"/>
      <c r="BI726" s="863"/>
      <c r="BJ726" s="863"/>
      <c r="BK726" s="863"/>
      <c r="BL726" s="863"/>
      <c r="BM726" s="863"/>
      <c r="BN726" s="863"/>
      <c r="BO726" s="863"/>
      <c r="BP726" s="880"/>
      <c r="BQ726" s="863"/>
      <c r="BR726" s="883"/>
      <c r="BS726" s="883"/>
      <c r="BT726" s="883"/>
      <c r="BU726" s="883"/>
      <c r="BV726" s="883"/>
      <c r="BW726" s="883"/>
      <c r="BX726" s="883"/>
      <c r="BY726" s="883"/>
      <c r="BZ726" s="883"/>
      <c r="CA726" s="883"/>
      <c r="CB726" s="883"/>
      <c r="CC726" s="883"/>
      <c r="CD726" s="884"/>
      <c r="CE726" s="883"/>
      <c r="CF726" s="883"/>
      <c r="CG726" s="883"/>
      <c r="CH726" s="883"/>
      <c r="CI726" s="883"/>
      <c r="CJ726" s="883"/>
      <c r="CK726" s="883"/>
      <c r="CL726" s="883"/>
      <c r="CM726" s="883"/>
      <c r="CN726" s="883"/>
      <c r="CO726" s="883"/>
      <c r="CP726" s="883"/>
      <c r="CQ726" s="883"/>
      <c r="CR726" s="883"/>
      <c r="CS726" s="883"/>
      <c r="CT726" s="883"/>
      <c r="CU726" s="883"/>
      <c r="CV726" s="863"/>
      <c r="CW726" s="863"/>
      <c r="CX726" s="863"/>
      <c r="CY726" s="863"/>
      <c r="CZ726" s="863"/>
      <c r="DA726" s="863"/>
      <c r="DB726" s="863"/>
      <c r="DC726" s="863"/>
      <c r="DD726" s="863"/>
      <c r="DE726" s="863"/>
    </row>
    <row r="727">
      <c r="A727" s="876"/>
      <c r="B727" s="876"/>
      <c r="C727" s="876"/>
      <c r="D727" s="876"/>
      <c r="E727" s="876"/>
      <c r="F727" s="876"/>
      <c r="G727" s="876"/>
      <c r="H727" s="876"/>
      <c r="I727" s="876"/>
      <c r="J727" s="876"/>
      <c r="K727" s="876"/>
      <c r="L727" s="876"/>
      <c r="M727" s="876"/>
      <c r="N727" s="877"/>
      <c r="O727" s="876"/>
      <c r="P727" s="876"/>
      <c r="Q727" s="876"/>
      <c r="R727" s="876"/>
      <c r="S727" s="876"/>
      <c r="T727" s="876"/>
      <c r="U727" s="876"/>
      <c r="V727" s="876"/>
      <c r="W727" s="876"/>
      <c r="X727" s="876"/>
      <c r="Y727" s="876"/>
      <c r="Z727" s="876"/>
      <c r="AA727" s="876"/>
      <c r="AB727" s="876"/>
      <c r="AC727" s="876"/>
      <c r="AD727" s="876"/>
      <c r="AE727" s="876"/>
      <c r="AF727" s="876"/>
      <c r="AG727" s="876"/>
      <c r="AH727" s="876"/>
      <c r="AI727" s="878"/>
      <c r="AJ727" s="880"/>
      <c r="AK727" s="880"/>
      <c r="AL727" s="880"/>
      <c r="AM727" s="880"/>
      <c r="AN727" s="880"/>
      <c r="AO727" s="880"/>
      <c r="AP727" s="880"/>
      <c r="AQ727" s="880"/>
      <c r="AR727" s="880"/>
      <c r="AS727" s="880"/>
      <c r="AT727" s="880"/>
      <c r="AU727" s="880"/>
      <c r="AV727" s="880"/>
      <c r="AW727" s="881"/>
      <c r="AX727" s="863"/>
      <c r="AY727" s="863"/>
      <c r="AZ727" s="863"/>
      <c r="BA727" s="863"/>
      <c r="BB727" s="863"/>
      <c r="BC727" s="863"/>
      <c r="BD727" s="863"/>
      <c r="BE727" s="863"/>
      <c r="BF727" s="863"/>
      <c r="BG727" s="863"/>
      <c r="BH727" s="863"/>
      <c r="BI727" s="863"/>
      <c r="BJ727" s="863"/>
      <c r="BK727" s="863"/>
      <c r="BL727" s="863"/>
      <c r="BM727" s="863"/>
      <c r="BN727" s="863"/>
      <c r="BO727" s="863"/>
      <c r="BP727" s="880"/>
      <c r="BQ727" s="863"/>
      <c r="BR727" s="883"/>
      <c r="BS727" s="883"/>
      <c r="BT727" s="883"/>
      <c r="BU727" s="883"/>
      <c r="BV727" s="883"/>
      <c r="BW727" s="883"/>
      <c r="BX727" s="883"/>
      <c r="BY727" s="883"/>
      <c r="BZ727" s="883"/>
      <c r="CA727" s="883"/>
      <c r="CB727" s="883"/>
      <c r="CC727" s="883"/>
      <c r="CD727" s="884"/>
      <c r="CE727" s="883"/>
      <c r="CF727" s="883"/>
      <c r="CG727" s="883"/>
      <c r="CH727" s="883"/>
      <c r="CI727" s="883"/>
      <c r="CJ727" s="883"/>
      <c r="CK727" s="883"/>
      <c r="CL727" s="883"/>
      <c r="CM727" s="883"/>
      <c r="CN727" s="883"/>
      <c r="CO727" s="883"/>
      <c r="CP727" s="883"/>
      <c r="CQ727" s="883"/>
      <c r="CR727" s="883"/>
      <c r="CS727" s="883"/>
      <c r="CT727" s="883"/>
      <c r="CU727" s="883"/>
      <c r="CV727" s="863"/>
      <c r="CW727" s="863"/>
      <c r="CX727" s="863"/>
      <c r="CY727" s="863"/>
      <c r="CZ727" s="863"/>
      <c r="DA727" s="863"/>
      <c r="DB727" s="863"/>
      <c r="DC727" s="863"/>
      <c r="DD727" s="863"/>
      <c r="DE727" s="863"/>
    </row>
    <row r="728">
      <c r="A728" s="876"/>
      <c r="B728" s="876"/>
      <c r="C728" s="876"/>
      <c r="D728" s="876"/>
      <c r="E728" s="876"/>
      <c r="F728" s="876"/>
      <c r="G728" s="876"/>
      <c r="H728" s="876"/>
      <c r="I728" s="876"/>
      <c r="J728" s="876"/>
      <c r="K728" s="876"/>
      <c r="L728" s="876"/>
      <c r="M728" s="876"/>
      <c r="N728" s="877"/>
      <c r="O728" s="876"/>
      <c r="P728" s="876"/>
      <c r="Q728" s="876"/>
      <c r="R728" s="876"/>
      <c r="S728" s="876"/>
      <c r="T728" s="876"/>
      <c r="U728" s="876"/>
      <c r="V728" s="876"/>
      <c r="W728" s="876"/>
      <c r="X728" s="876"/>
      <c r="Y728" s="876"/>
      <c r="Z728" s="876"/>
      <c r="AA728" s="876"/>
      <c r="AB728" s="876"/>
      <c r="AC728" s="876"/>
      <c r="AD728" s="876"/>
      <c r="AE728" s="876"/>
      <c r="AF728" s="876"/>
      <c r="AG728" s="876"/>
      <c r="AH728" s="876"/>
      <c r="AI728" s="878"/>
      <c r="AJ728" s="880"/>
      <c r="AK728" s="880"/>
      <c r="AL728" s="880"/>
      <c r="AM728" s="880"/>
      <c r="AN728" s="880"/>
      <c r="AO728" s="880"/>
      <c r="AP728" s="880"/>
      <c r="AQ728" s="880"/>
      <c r="AR728" s="880"/>
      <c r="AS728" s="880"/>
      <c r="AT728" s="880"/>
      <c r="AU728" s="880"/>
      <c r="AV728" s="880"/>
      <c r="AW728" s="881"/>
      <c r="AX728" s="863"/>
      <c r="AY728" s="863"/>
      <c r="AZ728" s="863"/>
      <c r="BA728" s="863"/>
      <c r="BB728" s="863"/>
      <c r="BC728" s="863"/>
      <c r="BD728" s="863"/>
      <c r="BE728" s="863"/>
      <c r="BF728" s="863"/>
      <c r="BG728" s="863"/>
      <c r="BH728" s="863"/>
      <c r="BI728" s="863"/>
      <c r="BJ728" s="863"/>
      <c r="BK728" s="863"/>
      <c r="BL728" s="863"/>
      <c r="BM728" s="863"/>
      <c r="BN728" s="863"/>
      <c r="BO728" s="863"/>
      <c r="BP728" s="880"/>
      <c r="BQ728" s="863"/>
      <c r="BR728" s="883"/>
      <c r="BS728" s="883"/>
      <c r="BT728" s="883"/>
      <c r="BU728" s="883"/>
      <c r="BV728" s="883"/>
      <c r="BW728" s="883"/>
      <c r="BX728" s="883"/>
      <c r="BY728" s="883"/>
      <c r="BZ728" s="883"/>
      <c r="CA728" s="883"/>
      <c r="CB728" s="883"/>
      <c r="CC728" s="883"/>
      <c r="CD728" s="884"/>
      <c r="CE728" s="883"/>
      <c r="CF728" s="883"/>
      <c r="CG728" s="883"/>
      <c r="CH728" s="883"/>
      <c r="CI728" s="883"/>
      <c r="CJ728" s="883"/>
      <c r="CK728" s="883"/>
      <c r="CL728" s="883"/>
      <c r="CM728" s="883"/>
      <c r="CN728" s="883"/>
      <c r="CO728" s="883"/>
      <c r="CP728" s="883"/>
      <c r="CQ728" s="883"/>
      <c r="CR728" s="883"/>
      <c r="CS728" s="883"/>
      <c r="CT728" s="883"/>
      <c r="CU728" s="883"/>
      <c r="CV728" s="863"/>
      <c r="CW728" s="863"/>
      <c r="CX728" s="863"/>
      <c r="CY728" s="863"/>
      <c r="CZ728" s="863"/>
      <c r="DA728" s="863"/>
      <c r="DB728" s="863"/>
      <c r="DC728" s="863"/>
      <c r="DD728" s="863"/>
      <c r="DE728" s="863"/>
    </row>
    <row r="729">
      <c r="A729" s="876"/>
      <c r="B729" s="876"/>
      <c r="C729" s="876"/>
      <c r="D729" s="876"/>
      <c r="E729" s="876"/>
      <c r="F729" s="876"/>
      <c r="G729" s="876"/>
      <c r="H729" s="876"/>
      <c r="I729" s="876"/>
      <c r="J729" s="876"/>
      <c r="K729" s="876"/>
      <c r="L729" s="876"/>
      <c r="M729" s="876"/>
      <c r="N729" s="877"/>
      <c r="O729" s="876"/>
      <c r="P729" s="876"/>
      <c r="Q729" s="876"/>
      <c r="R729" s="876"/>
      <c r="S729" s="876"/>
      <c r="T729" s="876"/>
      <c r="U729" s="876"/>
      <c r="V729" s="876"/>
      <c r="W729" s="876"/>
      <c r="X729" s="876"/>
      <c r="Y729" s="876"/>
      <c r="Z729" s="876"/>
      <c r="AA729" s="876"/>
      <c r="AB729" s="876"/>
      <c r="AC729" s="876"/>
      <c r="AD729" s="876"/>
      <c r="AE729" s="876"/>
      <c r="AF729" s="876"/>
      <c r="AG729" s="876"/>
      <c r="AH729" s="876"/>
      <c r="AI729" s="878"/>
      <c r="AJ729" s="880"/>
      <c r="AK729" s="880"/>
      <c r="AL729" s="880"/>
      <c r="AM729" s="880"/>
      <c r="AN729" s="880"/>
      <c r="AO729" s="880"/>
      <c r="AP729" s="880"/>
      <c r="AQ729" s="880"/>
      <c r="AR729" s="880"/>
      <c r="AS729" s="880"/>
      <c r="AT729" s="880"/>
      <c r="AU729" s="880"/>
      <c r="AV729" s="880"/>
      <c r="AW729" s="881"/>
      <c r="AX729" s="863"/>
      <c r="AY729" s="863"/>
      <c r="AZ729" s="863"/>
      <c r="BA729" s="863"/>
      <c r="BB729" s="863"/>
      <c r="BC729" s="863"/>
      <c r="BD729" s="863"/>
      <c r="BE729" s="863"/>
      <c r="BF729" s="863"/>
      <c r="BG729" s="863"/>
      <c r="BH729" s="863"/>
      <c r="BI729" s="863"/>
      <c r="BJ729" s="863"/>
      <c r="BK729" s="863"/>
      <c r="BL729" s="863"/>
      <c r="BM729" s="863"/>
      <c r="BN729" s="863"/>
      <c r="BO729" s="863"/>
      <c r="BP729" s="880"/>
      <c r="BQ729" s="863"/>
      <c r="BR729" s="883"/>
      <c r="BS729" s="883"/>
      <c r="BT729" s="883"/>
      <c r="BU729" s="883"/>
      <c r="BV729" s="883"/>
      <c r="BW729" s="883"/>
      <c r="BX729" s="883"/>
      <c r="BY729" s="883"/>
      <c r="BZ729" s="883"/>
      <c r="CA729" s="883"/>
      <c r="CB729" s="883"/>
      <c r="CC729" s="883"/>
      <c r="CD729" s="884"/>
      <c r="CE729" s="883"/>
      <c r="CF729" s="883"/>
      <c r="CG729" s="883"/>
      <c r="CH729" s="883"/>
      <c r="CI729" s="883"/>
      <c r="CJ729" s="883"/>
      <c r="CK729" s="883"/>
      <c r="CL729" s="883"/>
      <c r="CM729" s="883"/>
      <c r="CN729" s="883"/>
      <c r="CO729" s="883"/>
      <c r="CP729" s="883"/>
      <c r="CQ729" s="883"/>
      <c r="CR729" s="883"/>
      <c r="CS729" s="883"/>
      <c r="CT729" s="883"/>
      <c r="CU729" s="883"/>
      <c r="CV729" s="863"/>
      <c r="CW729" s="863"/>
      <c r="CX729" s="863"/>
      <c r="CY729" s="863"/>
      <c r="CZ729" s="863"/>
      <c r="DA729" s="863"/>
      <c r="DB729" s="863"/>
      <c r="DC729" s="863"/>
      <c r="DD729" s="863"/>
      <c r="DE729" s="863"/>
    </row>
    <row r="730">
      <c r="A730" s="876"/>
      <c r="B730" s="876"/>
      <c r="C730" s="876"/>
      <c r="D730" s="876"/>
      <c r="E730" s="876"/>
      <c r="F730" s="876"/>
      <c r="G730" s="876"/>
      <c r="H730" s="876"/>
      <c r="I730" s="876"/>
      <c r="J730" s="876"/>
      <c r="K730" s="876"/>
      <c r="L730" s="876"/>
      <c r="M730" s="876"/>
      <c r="N730" s="877"/>
      <c r="O730" s="876"/>
      <c r="P730" s="876"/>
      <c r="Q730" s="876"/>
      <c r="R730" s="876"/>
      <c r="S730" s="876"/>
      <c r="T730" s="876"/>
      <c r="U730" s="876"/>
      <c r="V730" s="876"/>
      <c r="W730" s="876"/>
      <c r="X730" s="876"/>
      <c r="Y730" s="876"/>
      <c r="Z730" s="876"/>
      <c r="AA730" s="876"/>
      <c r="AB730" s="876"/>
      <c r="AC730" s="876"/>
      <c r="AD730" s="876"/>
      <c r="AE730" s="876"/>
      <c r="AF730" s="876"/>
      <c r="AG730" s="876"/>
      <c r="AH730" s="876"/>
      <c r="AI730" s="878"/>
      <c r="AJ730" s="880"/>
      <c r="AK730" s="880"/>
      <c r="AL730" s="880"/>
      <c r="AM730" s="880"/>
      <c r="AN730" s="880"/>
      <c r="AO730" s="880"/>
      <c r="AP730" s="880"/>
      <c r="AQ730" s="880"/>
      <c r="AR730" s="880"/>
      <c r="AS730" s="880"/>
      <c r="AT730" s="880"/>
      <c r="AU730" s="880"/>
      <c r="AV730" s="880"/>
      <c r="AW730" s="881"/>
      <c r="AX730" s="863"/>
      <c r="AY730" s="863"/>
      <c r="AZ730" s="863"/>
      <c r="BA730" s="863"/>
      <c r="BB730" s="863"/>
      <c r="BC730" s="863"/>
      <c r="BD730" s="863"/>
      <c r="BE730" s="863"/>
      <c r="BF730" s="863"/>
      <c r="BG730" s="863"/>
      <c r="BH730" s="863"/>
      <c r="BI730" s="863"/>
      <c r="BJ730" s="863"/>
      <c r="BK730" s="863"/>
      <c r="BL730" s="863"/>
      <c r="BM730" s="863"/>
      <c r="BN730" s="863"/>
      <c r="BO730" s="863"/>
      <c r="BP730" s="880"/>
      <c r="BQ730" s="863"/>
      <c r="BR730" s="883"/>
      <c r="BS730" s="883"/>
      <c r="BT730" s="883"/>
      <c r="BU730" s="883"/>
      <c r="BV730" s="883"/>
      <c r="BW730" s="883"/>
      <c r="BX730" s="883"/>
      <c r="BY730" s="883"/>
      <c r="BZ730" s="883"/>
      <c r="CA730" s="883"/>
      <c r="CB730" s="883"/>
      <c r="CC730" s="883"/>
      <c r="CD730" s="884"/>
      <c r="CE730" s="883"/>
      <c r="CF730" s="883"/>
      <c r="CG730" s="883"/>
      <c r="CH730" s="883"/>
      <c r="CI730" s="883"/>
      <c r="CJ730" s="883"/>
      <c r="CK730" s="883"/>
      <c r="CL730" s="883"/>
      <c r="CM730" s="883"/>
      <c r="CN730" s="883"/>
      <c r="CO730" s="883"/>
      <c r="CP730" s="883"/>
      <c r="CQ730" s="883"/>
      <c r="CR730" s="883"/>
      <c r="CS730" s="883"/>
      <c r="CT730" s="883"/>
      <c r="CU730" s="883"/>
      <c r="CV730" s="863"/>
      <c r="CW730" s="863"/>
      <c r="CX730" s="863"/>
      <c r="CY730" s="863"/>
      <c r="CZ730" s="863"/>
      <c r="DA730" s="863"/>
      <c r="DB730" s="863"/>
      <c r="DC730" s="863"/>
      <c r="DD730" s="863"/>
      <c r="DE730" s="863"/>
    </row>
    <row r="731">
      <c r="A731" s="876"/>
      <c r="B731" s="876"/>
      <c r="C731" s="876"/>
      <c r="D731" s="876"/>
      <c r="E731" s="876"/>
      <c r="F731" s="876"/>
      <c r="G731" s="876"/>
      <c r="H731" s="876"/>
      <c r="I731" s="876"/>
      <c r="J731" s="876"/>
      <c r="K731" s="876"/>
      <c r="L731" s="876"/>
      <c r="M731" s="876"/>
      <c r="N731" s="877"/>
      <c r="O731" s="876"/>
      <c r="P731" s="876"/>
      <c r="Q731" s="876"/>
      <c r="R731" s="876"/>
      <c r="S731" s="876"/>
      <c r="T731" s="876"/>
      <c r="U731" s="876"/>
      <c r="V731" s="876"/>
      <c r="W731" s="876"/>
      <c r="X731" s="876"/>
      <c r="Y731" s="876"/>
      <c r="Z731" s="876"/>
      <c r="AA731" s="876"/>
      <c r="AB731" s="876"/>
      <c r="AC731" s="876"/>
      <c r="AD731" s="876"/>
      <c r="AE731" s="876"/>
      <c r="AF731" s="876"/>
      <c r="AG731" s="876"/>
      <c r="AH731" s="876"/>
      <c r="AI731" s="878"/>
      <c r="AJ731" s="880"/>
      <c r="AK731" s="880"/>
      <c r="AL731" s="880"/>
      <c r="AM731" s="880"/>
      <c r="AN731" s="880"/>
      <c r="AO731" s="880"/>
      <c r="AP731" s="880"/>
      <c r="AQ731" s="880"/>
      <c r="AR731" s="880"/>
      <c r="AS731" s="880"/>
      <c r="AT731" s="880"/>
      <c r="AU731" s="880"/>
      <c r="AV731" s="880"/>
      <c r="AW731" s="881"/>
      <c r="AX731" s="863"/>
      <c r="AY731" s="863"/>
      <c r="AZ731" s="863"/>
      <c r="BA731" s="863"/>
      <c r="BB731" s="863"/>
      <c r="BC731" s="863"/>
      <c r="BD731" s="863"/>
      <c r="BE731" s="863"/>
      <c r="BF731" s="863"/>
      <c r="BG731" s="863"/>
      <c r="BH731" s="863"/>
      <c r="BI731" s="863"/>
      <c r="BJ731" s="863"/>
      <c r="BK731" s="863"/>
      <c r="BL731" s="863"/>
      <c r="BM731" s="863"/>
      <c r="BN731" s="863"/>
      <c r="BO731" s="863"/>
      <c r="BP731" s="880"/>
      <c r="BQ731" s="863"/>
      <c r="BR731" s="883"/>
      <c r="BS731" s="883"/>
      <c r="BT731" s="883"/>
      <c r="BU731" s="883"/>
      <c r="BV731" s="883"/>
      <c r="BW731" s="883"/>
      <c r="BX731" s="883"/>
      <c r="BY731" s="883"/>
      <c r="BZ731" s="883"/>
      <c r="CA731" s="883"/>
      <c r="CB731" s="883"/>
      <c r="CC731" s="883"/>
      <c r="CD731" s="884"/>
      <c r="CE731" s="883"/>
      <c r="CF731" s="883"/>
      <c r="CG731" s="883"/>
      <c r="CH731" s="883"/>
      <c r="CI731" s="883"/>
      <c r="CJ731" s="883"/>
      <c r="CK731" s="883"/>
      <c r="CL731" s="883"/>
      <c r="CM731" s="883"/>
      <c r="CN731" s="883"/>
      <c r="CO731" s="883"/>
      <c r="CP731" s="883"/>
      <c r="CQ731" s="883"/>
      <c r="CR731" s="883"/>
      <c r="CS731" s="883"/>
      <c r="CT731" s="883"/>
      <c r="CU731" s="883"/>
      <c r="CV731" s="863"/>
      <c r="CW731" s="863"/>
      <c r="CX731" s="863"/>
      <c r="CY731" s="863"/>
      <c r="CZ731" s="863"/>
      <c r="DA731" s="863"/>
      <c r="DB731" s="863"/>
      <c r="DC731" s="863"/>
      <c r="DD731" s="863"/>
      <c r="DE731" s="863"/>
    </row>
    <row r="732">
      <c r="A732" s="876"/>
      <c r="B732" s="876"/>
      <c r="C732" s="876"/>
      <c r="D732" s="876"/>
      <c r="E732" s="876"/>
      <c r="F732" s="876"/>
      <c r="G732" s="876"/>
      <c r="H732" s="876"/>
      <c r="I732" s="876"/>
      <c r="J732" s="876"/>
      <c r="K732" s="876"/>
      <c r="L732" s="876"/>
      <c r="M732" s="876"/>
      <c r="N732" s="877"/>
      <c r="O732" s="876"/>
      <c r="P732" s="876"/>
      <c r="Q732" s="876"/>
      <c r="R732" s="876"/>
      <c r="S732" s="876"/>
      <c r="T732" s="876"/>
      <c r="U732" s="876"/>
      <c r="V732" s="876"/>
      <c r="W732" s="876"/>
      <c r="X732" s="876"/>
      <c r="Y732" s="876"/>
      <c r="Z732" s="876"/>
      <c r="AA732" s="876"/>
      <c r="AB732" s="876"/>
      <c r="AC732" s="876"/>
      <c r="AD732" s="876"/>
      <c r="AE732" s="876"/>
      <c r="AF732" s="876"/>
      <c r="AG732" s="876"/>
      <c r="AH732" s="876"/>
      <c r="AI732" s="878"/>
      <c r="AJ732" s="880"/>
      <c r="AK732" s="880"/>
      <c r="AL732" s="880"/>
      <c r="AM732" s="880"/>
      <c r="AN732" s="880"/>
      <c r="AO732" s="880"/>
      <c r="AP732" s="880"/>
      <c r="AQ732" s="880"/>
      <c r="AR732" s="880"/>
      <c r="AS732" s="880"/>
      <c r="AT732" s="880"/>
      <c r="AU732" s="880"/>
      <c r="AV732" s="880"/>
      <c r="AW732" s="881"/>
      <c r="AX732" s="863"/>
      <c r="AY732" s="863"/>
      <c r="AZ732" s="863"/>
      <c r="BA732" s="863"/>
      <c r="BB732" s="863"/>
      <c r="BC732" s="863"/>
      <c r="BD732" s="863"/>
      <c r="BE732" s="863"/>
      <c r="BF732" s="863"/>
      <c r="BG732" s="863"/>
      <c r="BH732" s="863"/>
      <c r="BI732" s="863"/>
      <c r="BJ732" s="863"/>
      <c r="BK732" s="863"/>
      <c r="BL732" s="863"/>
      <c r="BM732" s="863"/>
      <c r="BN732" s="863"/>
      <c r="BO732" s="863"/>
      <c r="BP732" s="880"/>
      <c r="BQ732" s="863"/>
      <c r="BR732" s="883"/>
      <c r="BS732" s="883"/>
      <c r="BT732" s="883"/>
      <c r="BU732" s="883"/>
      <c r="BV732" s="883"/>
      <c r="BW732" s="883"/>
      <c r="BX732" s="883"/>
      <c r="BY732" s="883"/>
      <c r="BZ732" s="883"/>
      <c r="CA732" s="883"/>
      <c r="CB732" s="883"/>
      <c r="CC732" s="883"/>
      <c r="CD732" s="884"/>
      <c r="CE732" s="883"/>
      <c r="CF732" s="883"/>
      <c r="CG732" s="883"/>
      <c r="CH732" s="883"/>
      <c r="CI732" s="883"/>
      <c r="CJ732" s="883"/>
      <c r="CK732" s="883"/>
      <c r="CL732" s="883"/>
      <c r="CM732" s="883"/>
      <c r="CN732" s="883"/>
      <c r="CO732" s="883"/>
      <c r="CP732" s="883"/>
      <c r="CQ732" s="883"/>
      <c r="CR732" s="883"/>
      <c r="CS732" s="883"/>
      <c r="CT732" s="883"/>
      <c r="CU732" s="883"/>
      <c r="CV732" s="863"/>
      <c r="CW732" s="863"/>
      <c r="CX732" s="863"/>
      <c r="CY732" s="863"/>
      <c r="CZ732" s="863"/>
      <c r="DA732" s="863"/>
      <c r="DB732" s="863"/>
      <c r="DC732" s="863"/>
      <c r="DD732" s="863"/>
      <c r="DE732" s="863"/>
    </row>
    <row r="733">
      <c r="A733" s="876"/>
      <c r="B733" s="876"/>
      <c r="C733" s="876"/>
      <c r="D733" s="876"/>
      <c r="E733" s="876"/>
      <c r="F733" s="876"/>
      <c r="G733" s="876"/>
      <c r="H733" s="876"/>
      <c r="I733" s="876"/>
      <c r="J733" s="876"/>
      <c r="K733" s="876"/>
      <c r="L733" s="876"/>
      <c r="M733" s="876"/>
      <c r="N733" s="877"/>
      <c r="O733" s="876"/>
      <c r="P733" s="876"/>
      <c r="Q733" s="876"/>
      <c r="R733" s="876"/>
      <c r="S733" s="876"/>
      <c r="T733" s="876"/>
      <c r="U733" s="876"/>
      <c r="V733" s="876"/>
      <c r="W733" s="876"/>
      <c r="X733" s="876"/>
      <c r="Y733" s="876"/>
      <c r="Z733" s="876"/>
      <c r="AA733" s="876"/>
      <c r="AB733" s="876"/>
      <c r="AC733" s="876"/>
      <c r="AD733" s="876"/>
      <c r="AE733" s="876"/>
      <c r="AF733" s="876"/>
      <c r="AG733" s="876"/>
      <c r="AH733" s="876"/>
      <c r="AI733" s="878"/>
      <c r="AJ733" s="880"/>
      <c r="AK733" s="880"/>
      <c r="AL733" s="880"/>
      <c r="AM733" s="880"/>
      <c r="AN733" s="880"/>
      <c r="AO733" s="880"/>
      <c r="AP733" s="880"/>
      <c r="AQ733" s="880"/>
      <c r="AR733" s="880"/>
      <c r="AS733" s="880"/>
      <c r="AT733" s="880"/>
      <c r="AU733" s="880"/>
      <c r="AV733" s="880"/>
      <c r="AW733" s="881"/>
      <c r="AX733" s="863"/>
      <c r="AY733" s="863"/>
      <c r="AZ733" s="863"/>
      <c r="BA733" s="863"/>
      <c r="BB733" s="863"/>
      <c r="BC733" s="863"/>
      <c r="BD733" s="863"/>
      <c r="BE733" s="863"/>
      <c r="BF733" s="863"/>
      <c r="BG733" s="863"/>
      <c r="BH733" s="863"/>
      <c r="BI733" s="863"/>
      <c r="BJ733" s="863"/>
      <c r="BK733" s="863"/>
      <c r="BL733" s="863"/>
      <c r="BM733" s="863"/>
      <c r="BN733" s="863"/>
      <c r="BO733" s="863"/>
      <c r="BP733" s="880"/>
      <c r="BQ733" s="863"/>
      <c r="BR733" s="883"/>
      <c r="BS733" s="883"/>
      <c r="BT733" s="883"/>
      <c r="BU733" s="883"/>
      <c r="BV733" s="883"/>
      <c r="BW733" s="883"/>
      <c r="BX733" s="883"/>
      <c r="BY733" s="883"/>
      <c r="BZ733" s="883"/>
      <c r="CA733" s="883"/>
      <c r="CB733" s="883"/>
      <c r="CC733" s="883"/>
      <c r="CD733" s="884"/>
      <c r="CE733" s="883"/>
      <c r="CF733" s="883"/>
      <c r="CG733" s="883"/>
      <c r="CH733" s="883"/>
      <c r="CI733" s="883"/>
      <c r="CJ733" s="883"/>
      <c r="CK733" s="883"/>
      <c r="CL733" s="883"/>
      <c r="CM733" s="883"/>
      <c r="CN733" s="883"/>
      <c r="CO733" s="883"/>
      <c r="CP733" s="883"/>
      <c r="CQ733" s="883"/>
      <c r="CR733" s="883"/>
      <c r="CS733" s="883"/>
      <c r="CT733" s="883"/>
      <c r="CU733" s="883"/>
      <c r="CV733" s="863"/>
      <c r="CW733" s="863"/>
      <c r="CX733" s="863"/>
      <c r="CY733" s="863"/>
      <c r="CZ733" s="863"/>
      <c r="DA733" s="863"/>
      <c r="DB733" s="863"/>
      <c r="DC733" s="863"/>
      <c r="DD733" s="863"/>
      <c r="DE733" s="863"/>
    </row>
    <row r="734">
      <c r="A734" s="876"/>
      <c r="B734" s="876"/>
      <c r="C734" s="876"/>
      <c r="D734" s="876"/>
      <c r="E734" s="876"/>
      <c r="F734" s="876"/>
      <c r="G734" s="876"/>
      <c r="H734" s="876"/>
      <c r="I734" s="876"/>
      <c r="J734" s="876"/>
      <c r="K734" s="876"/>
      <c r="L734" s="876"/>
      <c r="M734" s="876"/>
      <c r="N734" s="877"/>
      <c r="O734" s="876"/>
      <c r="P734" s="876"/>
      <c r="Q734" s="876"/>
      <c r="R734" s="876"/>
      <c r="S734" s="876"/>
      <c r="T734" s="876"/>
      <c r="U734" s="876"/>
      <c r="V734" s="876"/>
      <c r="W734" s="876"/>
      <c r="X734" s="876"/>
      <c r="Y734" s="876"/>
      <c r="Z734" s="876"/>
      <c r="AA734" s="876"/>
      <c r="AB734" s="876"/>
      <c r="AC734" s="876"/>
      <c r="AD734" s="876"/>
      <c r="AE734" s="876"/>
      <c r="AF734" s="876"/>
      <c r="AG734" s="876"/>
      <c r="AH734" s="876"/>
      <c r="AI734" s="878"/>
      <c r="AJ734" s="880"/>
      <c r="AK734" s="880"/>
      <c r="AL734" s="880"/>
      <c r="AM734" s="880"/>
      <c r="AN734" s="880"/>
      <c r="AO734" s="880"/>
      <c r="AP734" s="880"/>
      <c r="AQ734" s="880"/>
      <c r="AR734" s="880"/>
      <c r="AS734" s="880"/>
      <c r="AT734" s="880"/>
      <c r="AU734" s="880"/>
      <c r="AV734" s="880"/>
      <c r="AW734" s="881"/>
      <c r="AX734" s="863"/>
      <c r="AY734" s="863"/>
      <c r="AZ734" s="863"/>
      <c r="BA734" s="863"/>
      <c r="BB734" s="863"/>
      <c r="BC734" s="863"/>
      <c r="BD734" s="863"/>
      <c r="BE734" s="863"/>
      <c r="BF734" s="863"/>
      <c r="BG734" s="863"/>
      <c r="BH734" s="863"/>
      <c r="BI734" s="863"/>
      <c r="BJ734" s="863"/>
      <c r="BK734" s="863"/>
      <c r="BL734" s="863"/>
      <c r="BM734" s="863"/>
      <c r="BN734" s="863"/>
      <c r="BO734" s="863"/>
      <c r="BP734" s="880"/>
      <c r="BQ734" s="863"/>
      <c r="BR734" s="883"/>
      <c r="BS734" s="883"/>
      <c r="BT734" s="883"/>
      <c r="BU734" s="883"/>
      <c r="BV734" s="883"/>
      <c r="BW734" s="883"/>
      <c r="BX734" s="883"/>
      <c r="BY734" s="883"/>
      <c r="BZ734" s="883"/>
      <c r="CA734" s="883"/>
      <c r="CB734" s="883"/>
      <c r="CC734" s="883"/>
      <c r="CD734" s="884"/>
      <c r="CE734" s="883"/>
      <c r="CF734" s="883"/>
      <c r="CG734" s="883"/>
      <c r="CH734" s="883"/>
      <c r="CI734" s="883"/>
      <c r="CJ734" s="883"/>
      <c r="CK734" s="883"/>
      <c r="CL734" s="883"/>
      <c r="CM734" s="883"/>
      <c r="CN734" s="883"/>
      <c r="CO734" s="883"/>
      <c r="CP734" s="883"/>
      <c r="CQ734" s="883"/>
      <c r="CR734" s="883"/>
      <c r="CS734" s="883"/>
      <c r="CT734" s="883"/>
      <c r="CU734" s="883"/>
      <c r="CV734" s="863"/>
      <c r="CW734" s="863"/>
      <c r="CX734" s="863"/>
      <c r="CY734" s="863"/>
      <c r="CZ734" s="863"/>
      <c r="DA734" s="863"/>
      <c r="DB734" s="863"/>
      <c r="DC734" s="863"/>
      <c r="DD734" s="863"/>
      <c r="DE734" s="863"/>
    </row>
    <row r="735">
      <c r="A735" s="876"/>
      <c r="B735" s="876"/>
      <c r="C735" s="876"/>
      <c r="D735" s="876"/>
      <c r="E735" s="876"/>
      <c r="F735" s="876"/>
      <c r="G735" s="876"/>
      <c r="H735" s="876"/>
      <c r="I735" s="876"/>
      <c r="J735" s="876"/>
      <c r="K735" s="876"/>
      <c r="L735" s="876"/>
      <c r="M735" s="876"/>
      <c r="N735" s="877"/>
      <c r="O735" s="876"/>
      <c r="P735" s="876"/>
      <c r="Q735" s="876"/>
      <c r="R735" s="876"/>
      <c r="S735" s="876"/>
      <c r="T735" s="876"/>
      <c r="U735" s="876"/>
      <c r="V735" s="876"/>
      <c r="W735" s="876"/>
      <c r="X735" s="876"/>
      <c r="Y735" s="876"/>
      <c r="Z735" s="876"/>
      <c r="AA735" s="876"/>
      <c r="AB735" s="876"/>
      <c r="AC735" s="876"/>
      <c r="AD735" s="876"/>
      <c r="AE735" s="876"/>
      <c r="AF735" s="876"/>
      <c r="AG735" s="876"/>
      <c r="AH735" s="876"/>
      <c r="AI735" s="878"/>
      <c r="AJ735" s="880"/>
      <c r="AK735" s="880"/>
      <c r="AL735" s="880"/>
      <c r="AM735" s="880"/>
      <c r="AN735" s="880"/>
      <c r="AO735" s="880"/>
      <c r="AP735" s="880"/>
      <c r="AQ735" s="880"/>
      <c r="AR735" s="880"/>
      <c r="AS735" s="880"/>
      <c r="AT735" s="880"/>
      <c r="AU735" s="880"/>
      <c r="AV735" s="880"/>
      <c r="AW735" s="881"/>
      <c r="AX735" s="863"/>
      <c r="AY735" s="863"/>
      <c r="AZ735" s="863"/>
      <c r="BA735" s="863"/>
      <c r="BB735" s="863"/>
      <c r="BC735" s="863"/>
      <c r="BD735" s="863"/>
      <c r="BE735" s="863"/>
      <c r="BF735" s="863"/>
      <c r="BG735" s="863"/>
      <c r="BH735" s="863"/>
      <c r="BI735" s="863"/>
      <c r="BJ735" s="863"/>
      <c r="BK735" s="863"/>
      <c r="BL735" s="863"/>
      <c r="BM735" s="863"/>
      <c r="BN735" s="863"/>
      <c r="BO735" s="863"/>
      <c r="BP735" s="880"/>
      <c r="BQ735" s="863"/>
      <c r="BR735" s="883"/>
      <c r="BS735" s="883"/>
      <c r="BT735" s="883"/>
      <c r="BU735" s="883"/>
      <c r="BV735" s="883"/>
      <c r="BW735" s="883"/>
      <c r="BX735" s="883"/>
      <c r="BY735" s="883"/>
      <c r="BZ735" s="883"/>
      <c r="CA735" s="883"/>
      <c r="CB735" s="883"/>
      <c r="CC735" s="883"/>
      <c r="CD735" s="884"/>
      <c r="CE735" s="883"/>
      <c r="CF735" s="883"/>
      <c r="CG735" s="883"/>
      <c r="CH735" s="883"/>
      <c r="CI735" s="883"/>
      <c r="CJ735" s="883"/>
      <c r="CK735" s="883"/>
      <c r="CL735" s="883"/>
      <c r="CM735" s="883"/>
      <c r="CN735" s="883"/>
      <c r="CO735" s="883"/>
      <c r="CP735" s="883"/>
      <c r="CQ735" s="883"/>
      <c r="CR735" s="883"/>
      <c r="CS735" s="883"/>
      <c r="CT735" s="883"/>
      <c r="CU735" s="883"/>
      <c r="CV735" s="863"/>
      <c r="CW735" s="863"/>
      <c r="CX735" s="863"/>
      <c r="CY735" s="863"/>
      <c r="CZ735" s="863"/>
      <c r="DA735" s="863"/>
      <c r="DB735" s="863"/>
      <c r="DC735" s="863"/>
      <c r="DD735" s="863"/>
      <c r="DE735" s="863"/>
    </row>
    <row r="736">
      <c r="A736" s="876"/>
      <c r="B736" s="876"/>
      <c r="C736" s="876"/>
      <c r="D736" s="876"/>
      <c r="E736" s="876"/>
      <c r="F736" s="876"/>
      <c r="G736" s="876"/>
      <c r="H736" s="876"/>
      <c r="I736" s="876"/>
      <c r="J736" s="876"/>
      <c r="K736" s="876"/>
      <c r="L736" s="876"/>
      <c r="M736" s="876"/>
      <c r="N736" s="877"/>
      <c r="O736" s="876"/>
      <c r="P736" s="876"/>
      <c r="Q736" s="876"/>
      <c r="R736" s="876"/>
      <c r="S736" s="876"/>
      <c r="T736" s="876"/>
      <c r="U736" s="876"/>
      <c r="V736" s="876"/>
      <c r="W736" s="876"/>
      <c r="X736" s="876"/>
      <c r="Y736" s="876"/>
      <c r="Z736" s="876"/>
      <c r="AA736" s="876"/>
      <c r="AB736" s="876"/>
      <c r="AC736" s="876"/>
      <c r="AD736" s="876"/>
      <c r="AE736" s="876"/>
      <c r="AF736" s="876"/>
      <c r="AG736" s="876"/>
      <c r="AH736" s="876"/>
      <c r="AI736" s="878"/>
      <c r="AJ736" s="880"/>
      <c r="AK736" s="880"/>
      <c r="AL736" s="880"/>
      <c r="AM736" s="880"/>
      <c r="AN736" s="880"/>
      <c r="AO736" s="880"/>
      <c r="AP736" s="880"/>
      <c r="AQ736" s="880"/>
      <c r="AR736" s="880"/>
      <c r="AS736" s="880"/>
      <c r="AT736" s="880"/>
      <c r="AU736" s="880"/>
      <c r="AV736" s="880"/>
      <c r="AW736" s="881"/>
      <c r="AX736" s="863"/>
      <c r="AY736" s="863"/>
      <c r="AZ736" s="863"/>
      <c r="BA736" s="863"/>
      <c r="BB736" s="863"/>
      <c r="BC736" s="863"/>
      <c r="BD736" s="863"/>
      <c r="BE736" s="863"/>
      <c r="BF736" s="863"/>
      <c r="BG736" s="863"/>
      <c r="BH736" s="863"/>
      <c r="BI736" s="863"/>
      <c r="BJ736" s="863"/>
      <c r="BK736" s="863"/>
      <c r="BL736" s="863"/>
      <c r="BM736" s="863"/>
      <c r="BN736" s="863"/>
      <c r="BO736" s="863"/>
      <c r="BP736" s="880"/>
      <c r="BQ736" s="863"/>
      <c r="BR736" s="883"/>
      <c r="BS736" s="883"/>
      <c r="BT736" s="883"/>
      <c r="BU736" s="883"/>
      <c r="BV736" s="883"/>
      <c r="BW736" s="883"/>
      <c r="BX736" s="883"/>
      <c r="BY736" s="883"/>
      <c r="BZ736" s="883"/>
      <c r="CA736" s="883"/>
      <c r="CB736" s="883"/>
      <c r="CC736" s="883"/>
      <c r="CD736" s="884"/>
      <c r="CE736" s="883"/>
      <c r="CF736" s="883"/>
      <c r="CG736" s="883"/>
      <c r="CH736" s="883"/>
      <c r="CI736" s="883"/>
      <c r="CJ736" s="883"/>
      <c r="CK736" s="883"/>
      <c r="CL736" s="883"/>
      <c r="CM736" s="883"/>
      <c r="CN736" s="883"/>
      <c r="CO736" s="883"/>
      <c r="CP736" s="883"/>
      <c r="CQ736" s="883"/>
      <c r="CR736" s="883"/>
      <c r="CS736" s="883"/>
      <c r="CT736" s="883"/>
      <c r="CU736" s="883"/>
      <c r="CV736" s="863"/>
      <c r="CW736" s="863"/>
      <c r="CX736" s="863"/>
      <c r="CY736" s="863"/>
      <c r="CZ736" s="863"/>
      <c r="DA736" s="863"/>
      <c r="DB736" s="863"/>
      <c r="DC736" s="863"/>
      <c r="DD736" s="863"/>
      <c r="DE736" s="863"/>
    </row>
    <row r="737">
      <c r="A737" s="876"/>
      <c r="B737" s="876"/>
      <c r="C737" s="876"/>
      <c r="D737" s="876"/>
      <c r="E737" s="876"/>
      <c r="F737" s="876"/>
      <c r="G737" s="876"/>
      <c r="H737" s="876"/>
      <c r="I737" s="876"/>
      <c r="J737" s="876"/>
      <c r="K737" s="876"/>
      <c r="L737" s="876"/>
      <c r="M737" s="876"/>
      <c r="N737" s="877"/>
      <c r="O737" s="876"/>
      <c r="P737" s="876"/>
      <c r="Q737" s="876"/>
      <c r="R737" s="876"/>
      <c r="S737" s="876"/>
      <c r="T737" s="876"/>
      <c r="U737" s="876"/>
      <c r="V737" s="876"/>
      <c r="W737" s="876"/>
      <c r="X737" s="876"/>
      <c r="Y737" s="876"/>
      <c r="Z737" s="876"/>
      <c r="AA737" s="876"/>
      <c r="AB737" s="876"/>
      <c r="AC737" s="876"/>
      <c r="AD737" s="876"/>
      <c r="AE737" s="876"/>
      <c r="AF737" s="876"/>
      <c r="AG737" s="876"/>
      <c r="AH737" s="876"/>
      <c r="AI737" s="878"/>
      <c r="AJ737" s="880"/>
      <c r="AK737" s="880"/>
      <c r="AL737" s="880"/>
      <c r="AM737" s="880"/>
      <c r="AN737" s="880"/>
      <c r="AO737" s="880"/>
      <c r="AP737" s="880"/>
      <c r="AQ737" s="880"/>
      <c r="AR737" s="880"/>
      <c r="AS737" s="880"/>
      <c r="AT737" s="880"/>
      <c r="AU737" s="880"/>
      <c r="AV737" s="880"/>
      <c r="AW737" s="881"/>
      <c r="AX737" s="863"/>
      <c r="AY737" s="863"/>
      <c r="AZ737" s="863"/>
      <c r="BA737" s="863"/>
      <c r="BB737" s="863"/>
      <c r="BC737" s="863"/>
      <c r="BD737" s="863"/>
      <c r="BE737" s="863"/>
      <c r="BF737" s="863"/>
      <c r="BG737" s="863"/>
      <c r="BH737" s="863"/>
      <c r="BI737" s="863"/>
      <c r="BJ737" s="863"/>
      <c r="BK737" s="863"/>
      <c r="BL737" s="863"/>
      <c r="BM737" s="863"/>
      <c r="BN737" s="863"/>
      <c r="BO737" s="863"/>
      <c r="BP737" s="880"/>
      <c r="BQ737" s="863"/>
      <c r="BR737" s="883"/>
      <c r="BS737" s="883"/>
      <c r="BT737" s="883"/>
      <c r="BU737" s="883"/>
      <c r="BV737" s="883"/>
      <c r="BW737" s="883"/>
      <c r="BX737" s="883"/>
      <c r="BY737" s="883"/>
      <c r="BZ737" s="883"/>
      <c r="CA737" s="883"/>
      <c r="CB737" s="883"/>
      <c r="CC737" s="883"/>
      <c r="CD737" s="884"/>
      <c r="CE737" s="883"/>
      <c r="CF737" s="883"/>
      <c r="CG737" s="883"/>
      <c r="CH737" s="883"/>
      <c r="CI737" s="883"/>
      <c r="CJ737" s="883"/>
      <c r="CK737" s="883"/>
      <c r="CL737" s="883"/>
      <c r="CM737" s="883"/>
      <c r="CN737" s="883"/>
      <c r="CO737" s="883"/>
      <c r="CP737" s="883"/>
      <c r="CQ737" s="883"/>
      <c r="CR737" s="883"/>
      <c r="CS737" s="883"/>
      <c r="CT737" s="883"/>
      <c r="CU737" s="883"/>
      <c r="CV737" s="863"/>
      <c r="CW737" s="863"/>
      <c r="CX737" s="863"/>
      <c r="CY737" s="863"/>
      <c r="CZ737" s="863"/>
      <c r="DA737" s="863"/>
      <c r="DB737" s="863"/>
      <c r="DC737" s="863"/>
      <c r="DD737" s="863"/>
      <c r="DE737" s="863"/>
    </row>
    <row r="738">
      <c r="A738" s="876"/>
      <c r="B738" s="876"/>
      <c r="C738" s="876"/>
      <c r="D738" s="876"/>
      <c r="E738" s="876"/>
      <c r="F738" s="876"/>
      <c r="G738" s="876"/>
      <c r="H738" s="876"/>
      <c r="I738" s="876"/>
      <c r="J738" s="876"/>
      <c r="K738" s="876"/>
      <c r="L738" s="876"/>
      <c r="M738" s="876"/>
      <c r="N738" s="877"/>
      <c r="O738" s="876"/>
      <c r="P738" s="876"/>
      <c r="Q738" s="876"/>
      <c r="R738" s="876"/>
      <c r="S738" s="876"/>
      <c r="T738" s="876"/>
      <c r="U738" s="876"/>
      <c r="V738" s="876"/>
      <c r="W738" s="876"/>
      <c r="X738" s="876"/>
      <c r="Y738" s="876"/>
      <c r="Z738" s="876"/>
      <c r="AA738" s="876"/>
      <c r="AB738" s="876"/>
      <c r="AC738" s="876"/>
      <c r="AD738" s="876"/>
      <c r="AE738" s="876"/>
      <c r="AF738" s="876"/>
      <c r="AG738" s="876"/>
      <c r="AH738" s="876"/>
      <c r="AI738" s="878"/>
      <c r="AJ738" s="880"/>
      <c r="AK738" s="880"/>
      <c r="AL738" s="880"/>
      <c r="AM738" s="880"/>
      <c r="AN738" s="880"/>
      <c r="AO738" s="880"/>
      <c r="AP738" s="880"/>
      <c r="AQ738" s="880"/>
      <c r="AR738" s="880"/>
      <c r="AS738" s="880"/>
      <c r="AT738" s="880"/>
      <c r="AU738" s="880"/>
      <c r="AV738" s="880"/>
      <c r="AW738" s="881"/>
      <c r="AX738" s="863"/>
      <c r="AY738" s="863"/>
      <c r="AZ738" s="863"/>
      <c r="BA738" s="863"/>
      <c r="BB738" s="863"/>
      <c r="BC738" s="863"/>
      <c r="BD738" s="863"/>
      <c r="BE738" s="863"/>
      <c r="BF738" s="863"/>
      <c r="BG738" s="863"/>
      <c r="BH738" s="863"/>
      <c r="BI738" s="863"/>
      <c r="BJ738" s="863"/>
      <c r="BK738" s="863"/>
      <c r="BL738" s="863"/>
      <c r="BM738" s="863"/>
      <c r="BN738" s="863"/>
      <c r="BO738" s="863"/>
      <c r="BP738" s="880"/>
      <c r="BQ738" s="863"/>
      <c r="BR738" s="883"/>
      <c r="BS738" s="883"/>
      <c r="BT738" s="883"/>
      <c r="BU738" s="883"/>
      <c r="BV738" s="883"/>
      <c r="BW738" s="883"/>
      <c r="BX738" s="883"/>
      <c r="BY738" s="883"/>
      <c r="BZ738" s="883"/>
      <c r="CA738" s="883"/>
      <c r="CB738" s="883"/>
      <c r="CC738" s="883"/>
      <c r="CD738" s="884"/>
      <c r="CE738" s="883"/>
      <c r="CF738" s="883"/>
      <c r="CG738" s="883"/>
      <c r="CH738" s="883"/>
      <c r="CI738" s="883"/>
      <c r="CJ738" s="883"/>
      <c r="CK738" s="883"/>
      <c r="CL738" s="883"/>
      <c r="CM738" s="883"/>
      <c r="CN738" s="883"/>
      <c r="CO738" s="883"/>
      <c r="CP738" s="883"/>
      <c r="CQ738" s="883"/>
      <c r="CR738" s="883"/>
      <c r="CS738" s="883"/>
      <c r="CT738" s="883"/>
      <c r="CU738" s="883"/>
      <c r="CV738" s="863"/>
      <c r="CW738" s="863"/>
      <c r="CX738" s="863"/>
      <c r="CY738" s="863"/>
      <c r="CZ738" s="863"/>
      <c r="DA738" s="863"/>
      <c r="DB738" s="863"/>
      <c r="DC738" s="863"/>
      <c r="DD738" s="863"/>
      <c r="DE738" s="863"/>
    </row>
    <row r="739">
      <c r="A739" s="876"/>
      <c r="B739" s="876"/>
      <c r="C739" s="876"/>
      <c r="D739" s="876"/>
      <c r="E739" s="876"/>
      <c r="F739" s="876"/>
      <c r="G739" s="876"/>
      <c r="H739" s="876"/>
      <c r="I739" s="876"/>
      <c r="J739" s="876"/>
      <c r="K739" s="876"/>
      <c r="L739" s="876"/>
      <c r="M739" s="876"/>
      <c r="N739" s="877"/>
      <c r="O739" s="876"/>
      <c r="P739" s="876"/>
      <c r="Q739" s="876"/>
      <c r="R739" s="876"/>
      <c r="S739" s="876"/>
      <c r="T739" s="876"/>
      <c r="U739" s="876"/>
      <c r="V739" s="876"/>
      <c r="W739" s="876"/>
      <c r="X739" s="876"/>
      <c r="Y739" s="876"/>
      <c r="Z739" s="876"/>
      <c r="AA739" s="876"/>
      <c r="AB739" s="876"/>
      <c r="AC739" s="876"/>
      <c r="AD739" s="876"/>
      <c r="AE739" s="876"/>
      <c r="AF739" s="876"/>
      <c r="AG739" s="876"/>
      <c r="AH739" s="876"/>
      <c r="AI739" s="878"/>
      <c r="AJ739" s="880"/>
      <c r="AK739" s="880"/>
      <c r="AL739" s="880"/>
      <c r="AM739" s="880"/>
      <c r="AN739" s="880"/>
      <c r="AO739" s="880"/>
      <c r="AP739" s="880"/>
      <c r="AQ739" s="880"/>
      <c r="AR739" s="880"/>
      <c r="AS739" s="880"/>
      <c r="AT739" s="880"/>
      <c r="AU739" s="880"/>
      <c r="AV739" s="880"/>
      <c r="AW739" s="881"/>
      <c r="AX739" s="863"/>
      <c r="AY739" s="863"/>
      <c r="AZ739" s="863"/>
      <c r="BA739" s="863"/>
      <c r="BB739" s="863"/>
      <c r="BC739" s="863"/>
      <c r="BD739" s="863"/>
      <c r="BE739" s="863"/>
      <c r="BF739" s="863"/>
      <c r="BG739" s="863"/>
      <c r="BH739" s="863"/>
      <c r="BI739" s="863"/>
      <c r="BJ739" s="863"/>
      <c r="BK739" s="863"/>
      <c r="BL739" s="863"/>
      <c r="BM739" s="863"/>
      <c r="BN739" s="863"/>
      <c r="BO739" s="863"/>
      <c r="BP739" s="880"/>
      <c r="BQ739" s="863"/>
      <c r="BR739" s="883"/>
      <c r="BS739" s="883"/>
      <c r="BT739" s="883"/>
      <c r="BU739" s="883"/>
      <c r="BV739" s="883"/>
      <c r="BW739" s="883"/>
      <c r="BX739" s="883"/>
      <c r="BY739" s="883"/>
      <c r="BZ739" s="883"/>
      <c r="CA739" s="883"/>
      <c r="CB739" s="883"/>
      <c r="CC739" s="883"/>
      <c r="CD739" s="884"/>
      <c r="CE739" s="883"/>
      <c r="CF739" s="883"/>
      <c r="CG739" s="883"/>
      <c r="CH739" s="883"/>
      <c r="CI739" s="883"/>
      <c r="CJ739" s="883"/>
      <c r="CK739" s="883"/>
      <c r="CL739" s="883"/>
      <c r="CM739" s="883"/>
      <c r="CN739" s="883"/>
      <c r="CO739" s="883"/>
      <c r="CP739" s="883"/>
      <c r="CQ739" s="883"/>
      <c r="CR739" s="883"/>
      <c r="CS739" s="883"/>
      <c r="CT739" s="883"/>
      <c r="CU739" s="883"/>
      <c r="CV739" s="863"/>
      <c r="CW739" s="863"/>
      <c r="CX739" s="863"/>
      <c r="CY739" s="863"/>
      <c r="CZ739" s="863"/>
      <c r="DA739" s="863"/>
      <c r="DB739" s="863"/>
      <c r="DC739" s="863"/>
      <c r="DD739" s="863"/>
      <c r="DE739" s="863"/>
    </row>
    <row r="740">
      <c r="A740" s="876"/>
      <c r="B740" s="876"/>
      <c r="C740" s="876"/>
      <c r="D740" s="876"/>
      <c r="E740" s="876"/>
      <c r="F740" s="876"/>
      <c r="G740" s="876"/>
      <c r="H740" s="876"/>
      <c r="I740" s="876"/>
      <c r="J740" s="876"/>
      <c r="K740" s="876"/>
      <c r="L740" s="876"/>
      <c r="M740" s="876"/>
      <c r="N740" s="877"/>
      <c r="O740" s="876"/>
      <c r="P740" s="876"/>
      <c r="Q740" s="876"/>
      <c r="R740" s="876"/>
      <c r="S740" s="876"/>
      <c r="T740" s="876"/>
      <c r="U740" s="876"/>
      <c r="V740" s="876"/>
      <c r="W740" s="876"/>
      <c r="X740" s="876"/>
      <c r="Y740" s="876"/>
      <c r="Z740" s="876"/>
      <c r="AA740" s="876"/>
      <c r="AB740" s="876"/>
      <c r="AC740" s="876"/>
      <c r="AD740" s="876"/>
      <c r="AE740" s="876"/>
      <c r="AF740" s="876"/>
      <c r="AG740" s="876"/>
      <c r="AH740" s="876"/>
      <c r="AI740" s="878"/>
      <c r="AJ740" s="880"/>
      <c r="AK740" s="880"/>
      <c r="AL740" s="880"/>
      <c r="AM740" s="880"/>
      <c r="AN740" s="880"/>
      <c r="AO740" s="880"/>
      <c r="AP740" s="880"/>
      <c r="AQ740" s="880"/>
      <c r="AR740" s="880"/>
      <c r="AS740" s="880"/>
      <c r="AT740" s="880"/>
      <c r="AU740" s="880"/>
      <c r="AV740" s="880"/>
      <c r="AW740" s="881"/>
      <c r="AX740" s="863"/>
      <c r="AY740" s="863"/>
      <c r="AZ740" s="863"/>
      <c r="BA740" s="863"/>
      <c r="BB740" s="863"/>
      <c r="BC740" s="863"/>
      <c r="BD740" s="863"/>
      <c r="BE740" s="863"/>
      <c r="BF740" s="863"/>
      <c r="BG740" s="863"/>
      <c r="BH740" s="863"/>
      <c r="BI740" s="863"/>
      <c r="BJ740" s="863"/>
      <c r="BK740" s="863"/>
      <c r="BL740" s="863"/>
      <c r="BM740" s="863"/>
      <c r="BN740" s="863"/>
      <c r="BO740" s="863"/>
      <c r="BP740" s="880"/>
      <c r="BQ740" s="863"/>
      <c r="BR740" s="883"/>
      <c r="BS740" s="883"/>
      <c r="BT740" s="883"/>
      <c r="BU740" s="883"/>
      <c r="BV740" s="883"/>
      <c r="BW740" s="883"/>
      <c r="BX740" s="883"/>
      <c r="BY740" s="883"/>
      <c r="BZ740" s="883"/>
      <c r="CA740" s="883"/>
      <c r="CB740" s="883"/>
      <c r="CC740" s="883"/>
      <c r="CD740" s="884"/>
      <c r="CE740" s="883"/>
      <c r="CF740" s="883"/>
      <c r="CG740" s="883"/>
      <c r="CH740" s="883"/>
      <c r="CI740" s="883"/>
      <c r="CJ740" s="883"/>
      <c r="CK740" s="883"/>
      <c r="CL740" s="883"/>
      <c r="CM740" s="883"/>
      <c r="CN740" s="883"/>
      <c r="CO740" s="883"/>
      <c r="CP740" s="883"/>
      <c r="CQ740" s="883"/>
      <c r="CR740" s="883"/>
      <c r="CS740" s="883"/>
      <c r="CT740" s="883"/>
      <c r="CU740" s="883"/>
      <c r="CV740" s="863"/>
      <c r="CW740" s="863"/>
      <c r="CX740" s="863"/>
      <c r="CY740" s="863"/>
      <c r="CZ740" s="863"/>
      <c r="DA740" s="863"/>
      <c r="DB740" s="863"/>
      <c r="DC740" s="863"/>
      <c r="DD740" s="863"/>
      <c r="DE740" s="863"/>
    </row>
    <row r="741">
      <c r="A741" s="876"/>
      <c r="B741" s="876"/>
      <c r="C741" s="876"/>
      <c r="D741" s="876"/>
      <c r="E741" s="876"/>
      <c r="F741" s="876"/>
      <c r="G741" s="876"/>
      <c r="H741" s="876"/>
      <c r="I741" s="876"/>
      <c r="J741" s="876"/>
      <c r="K741" s="876"/>
      <c r="L741" s="876"/>
      <c r="M741" s="876"/>
      <c r="N741" s="877"/>
      <c r="O741" s="876"/>
      <c r="P741" s="876"/>
      <c r="Q741" s="876"/>
      <c r="R741" s="876"/>
      <c r="S741" s="876"/>
      <c r="T741" s="876"/>
      <c r="U741" s="876"/>
      <c r="V741" s="876"/>
      <c r="W741" s="876"/>
      <c r="X741" s="876"/>
      <c r="Y741" s="876"/>
      <c r="Z741" s="876"/>
      <c r="AA741" s="876"/>
      <c r="AB741" s="876"/>
      <c r="AC741" s="876"/>
      <c r="AD741" s="876"/>
      <c r="AE741" s="876"/>
      <c r="AF741" s="876"/>
      <c r="AG741" s="876"/>
      <c r="AH741" s="876"/>
      <c r="AI741" s="878"/>
      <c r="AJ741" s="880"/>
      <c r="AK741" s="880"/>
      <c r="AL741" s="880"/>
      <c r="AM741" s="880"/>
      <c r="AN741" s="880"/>
      <c r="AO741" s="880"/>
      <c r="AP741" s="880"/>
      <c r="AQ741" s="880"/>
      <c r="AR741" s="880"/>
      <c r="AS741" s="880"/>
      <c r="AT741" s="880"/>
      <c r="AU741" s="880"/>
      <c r="AV741" s="880"/>
      <c r="AW741" s="881"/>
      <c r="AX741" s="863"/>
      <c r="AY741" s="863"/>
      <c r="AZ741" s="863"/>
      <c r="BA741" s="863"/>
      <c r="BB741" s="863"/>
      <c r="BC741" s="863"/>
      <c r="BD741" s="863"/>
      <c r="BE741" s="863"/>
      <c r="BF741" s="863"/>
      <c r="BG741" s="863"/>
      <c r="BH741" s="863"/>
      <c r="BI741" s="863"/>
      <c r="BJ741" s="863"/>
      <c r="BK741" s="863"/>
      <c r="BL741" s="863"/>
      <c r="BM741" s="863"/>
      <c r="BN741" s="863"/>
      <c r="BO741" s="863"/>
      <c r="BP741" s="880"/>
      <c r="BQ741" s="863"/>
      <c r="BR741" s="883"/>
      <c r="BS741" s="883"/>
      <c r="BT741" s="883"/>
      <c r="BU741" s="883"/>
      <c r="BV741" s="883"/>
      <c r="BW741" s="883"/>
      <c r="BX741" s="883"/>
      <c r="BY741" s="883"/>
      <c r="BZ741" s="883"/>
      <c r="CA741" s="883"/>
      <c r="CB741" s="883"/>
      <c r="CC741" s="883"/>
      <c r="CD741" s="884"/>
      <c r="CE741" s="883"/>
      <c r="CF741" s="883"/>
      <c r="CG741" s="883"/>
      <c r="CH741" s="883"/>
      <c r="CI741" s="883"/>
      <c r="CJ741" s="883"/>
      <c r="CK741" s="883"/>
      <c r="CL741" s="883"/>
      <c r="CM741" s="883"/>
      <c r="CN741" s="883"/>
      <c r="CO741" s="883"/>
      <c r="CP741" s="883"/>
      <c r="CQ741" s="883"/>
      <c r="CR741" s="883"/>
      <c r="CS741" s="883"/>
      <c r="CT741" s="883"/>
      <c r="CU741" s="883"/>
      <c r="CV741" s="863"/>
      <c r="CW741" s="863"/>
      <c r="CX741" s="863"/>
      <c r="CY741" s="863"/>
      <c r="CZ741" s="863"/>
      <c r="DA741" s="863"/>
      <c r="DB741" s="863"/>
      <c r="DC741" s="863"/>
      <c r="DD741" s="863"/>
      <c r="DE741" s="863"/>
    </row>
    <row r="742">
      <c r="A742" s="876"/>
      <c r="B742" s="876"/>
      <c r="C742" s="876"/>
      <c r="D742" s="876"/>
      <c r="E742" s="876"/>
      <c r="F742" s="876"/>
      <c r="G742" s="876"/>
      <c r="H742" s="876"/>
      <c r="I742" s="876"/>
      <c r="J742" s="876"/>
      <c r="K742" s="876"/>
      <c r="L742" s="876"/>
      <c r="M742" s="876"/>
      <c r="N742" s="877"/>
      <c r="O742" s="876"/>
      <c r="P742" s="876"/>
      <c r="Q742" s="876"/>
      <c r="R742" s="876"/>
      <c r="S742" s="876"/>
      <c r="T742" s="876"/>
      <c r="U742" s="876"/>
      <c r="V742" s="876"/>
      <c r="W742" s="876"/>
      <c r="X742" s="876"/>
      <c r="Y742" s="876"/>
      <c r="Z742" s="876"/>
      <c r="AA742" s="876"/>
      <c r="AB742" s="876"/>
      <c r="AC742" s="876"/>
      <c r="AD742" s="876"/>
      <c r="AE742" s="876"/>
      <c r="AF742" s="876"/>
      <c r="AG742" s="876"/>
      <c r="AH742" s="876"/>
      <c r="AI742" s="878"/>
      <c r="AJ742" s="880"/>
      <c r="AK742" s="880"/>
      <c r="AL742" s="880"/>
      <c r="AM742" s="880"/>
      <c r="AN742" s="880"/>
      <c r="AO742" s="880"/>
      <c r="AP742" s="880"/>
      <c r="AQ742" s="880"/>
      <c r="AR742" s="880"/>
      <c r="AS742" s="880"/>
      <c r="AT742" s="880"/>
      <c r="AU742" s="880"/>
      <c r="AV742" s="880"/>
      <c r="AW742" s="881"/>
      <c r="AX742" s="863"/>
      <c r="AY742" s="863"/>
      <c r="AZ742" s="863"/>
      <c r="BA742" s="863"/>
      <c r="BB742" s="863"/>
      <c r="BC742" s="863"/>
      <c r="BD742" s="863"/>
      <c r="BE742" s="863"/>
      <c r="BF742" s="863"/>
      <c r="BG742" s="863"/>
      <c r="BH742" s="863"/>
      <c r="BI742" s="863"/>
      <c r="BJ742" s="863"/>
      <c r="BK742" s="863"/>
      <c r="BL742" s="863"/>
      <c r="BM742" s="863"/>
      <c r="BN742" s="863"/>
      <c r="BO742" s="863"/>
      <c r="BP742" s="880"/>
      <c r="BQ742" s="863"/>
      <c r="BR742" s="883"/>
      <c r="BS742" s="883"/>
      <c r="BT742" s="883"/>
      <c r="BU742" s="883"/>
      <c r="BV742" s="883"/>
      <c r="BW742" s="883"/>
      <c r="BX742" s="883"/>
      <c r="BY742" s="883"/>
      <c r="BZ742" s="883"/>
      <c r="CA742" s="883"/>
      <c r="CB742" s="883"/>
      <c r="CC742" s="883"/>
      <c r="CD742" s="884"/>
      <c r="CE742" s="883"/>
      <c r="CF742" s="883"/>
      <c r="CG742" s="883"/>
      <c r="CH742" s="883"/>
      <c r="CI742" s="883"/>
      <c r="CJ742" s="883"/>
      <c r="CK742" s="883"/>
      <c r="CL742" s="883"/>
      <c r="CM742" s="883"/>
      <c r="CN742" s="883"/>
      <c r="CO742" s="883"/>
      <c r="CP742" s="883"/>
      <c r="CQ742" s="883"/>
      <c r="CR742" s="883"/>
      <c r="CS742" s="883"/>
      <c r="CT742" s="883"/>
      <c r="CU742" s="883"/>
      <c r="CV742" s="863"/>
      <c r="CW742" s="863"/>
      <c r="CX742" s="863"/>
      <c r="CY742" s="863"/>
      <c r="CZ742" s="863"/>
      <c r="DA742" s="863"/>
      <c r="DB742" s="863"/>
      <c r="DC742" s="863"/>
      <c r="DD742" s="863"/>
      <c r="DE742" s="863"/>
    </row>
    <row r="743">
      <c r="A743" s="876"/>
      <c r="B743" s="876"/>
      <c r="C743" s="876"/>
      <c r="D743" s="876"/>
      <c r="E743" s="876"/>
      <c r="F743" s="876"/>
      <c r="G743" s="876"/>
      <c r="H743" s="876"/>
      <c r="I743" s="876"/>
      <c r="J743" s="876"/>
      <c r="K743" s="876"/>
      <c r="L743" s="876"/>
      <c r="M743" s="876"/>
      <c r="N743" s="877"/>
      <c r="O743" s="876"/>
      <c r="P743" s="876"/>
      <c r="Q743" s="876"/>
      <c r="R743" s="876"/>
      <c r="S743" s="876"/>
      <c r="T743" s="876"/>
      <c r="U743" s="876"/>
      <c r="V743" s="876"/>
      <c r="W743" s="876"/>
      <c r="X743" s="876"/>
      <c r="Y743" s="876"/>
      <c r="Z743" s="876"/>
      <c r="AA743" s="876"/>
      <c r="AB743" s="876"/>
      <c r="AC743" s="876"/>
      <c r="AD743" s="876"/>
      <c r="AE743" s="876"/>
      <c r="AF743" s="876"/>
      <c r="AG743" s="876"/>
      <c r="AH743" s="876"/>
      <c r="AI743" s="878"/>
      <c r="AJ743" s="880"/>
      <c r="AK743" s="880"/>
      <c r="AL743" s="880"/>
      <c r="AM743" s="880"/>
      <c r="AN743" s="880"/>
      <c r="AO743" s="880"/>
      <c r="AP743" s="880"/>
      <c r="AQ743" s="880"/>
      <c r="AR743" s="880"/>
      <c r="AS743" s="880"/>
      <c r="AT743" s="880"/>
      <c r="AU743" s="880"/>
      <c r="AV743" s="880"/>
      <c r="AW743" s="881"/>
      <c r="AX743" s="863"/>
      <c r="AY743" s="863"/>
      <c r="AZ743" s="863"/>
      <c r="BA743" s="863"/>
      <c r="BB743" s="863"/>
      <c r="BC743" s="863"/>
      <c r="BD743" s="863"/>
      <c r="BE743" s="863"/>
      <c r="BF743" s="863"/>
      <c r="BG743" s="863"/>
      <c r="BH743" s="863"/>
      <c r="BI743" s="863"/>
      <c r="BJ743" s="863"/>
      <c r="BK743" s="863"/>
      <c r="BL743" s="863"/>
      <c r="BM743" s="863"/>
      <c r="BN743" s="863"/>
      <c r="BO743" s="863"/>
      <c r="BP743" s="880"/>
      <c r="BQ743" s="863"/>
      <c r="BR743" s="883"/>
      <c r="BS743" s="883"/>
      <c r="BT743" s="883"/>
      <c r="BU743" s="883"/>
      <c r="BV743" s="883"/>
      <c r="BW743" s="883"/>
      <c r="BX743" s="883"/>
      <c r="BY743" s="883"/>
      <c r="BZ743" s="883"/>
      <c r="CA743" s="883"/>
      <c r="CB743" s="883"/>
      <c r="CC743" s="883"/>
      <c r="CD743" s="884"/>
      <c r="CE743" s="883"/>
      <c r="CF743" s="883"/>
      <c r="CG743" s="883"/>
      <c r="CH743" s="883"/>
      <c r="CI743" s="883"/>
      <c r="CJ743" s="883"/>
      <c r="CK743" s="883"/>
      <c r="CL743" s="883"/>
      <c r="CM743" s="883"/>
      <c r="CN743" s="883"/>
      <c r="CO743" s="883"/>
      <c r="CP743" s="883"/>
      <c r="CQ743" s="883"/>
      <c r="CR743" s="883"/>
      <c r="CS743" s="883"/>
      <c r="CT743" s="883"/>
      <c r="CU743" s="883"/>
      <c r="CV743" s="863"/>
      <c r="CW743" s="863"/>
      <c r="CX743" s="863"/>
      <c r="CY743" s="863"/>
      <c r="CZ743" s="863"/>
      <c r="DA743" s="863"/>
      <c r="DB743" s="863"/>
      <c r="DC743" s="863"/>
      <c r="DD743" s="863"/>
      <c r="DE743" s="863"/>
    </row>
    <row r="744">
      <c r="A744" s="876"/>
      <c r="B744" s="876"/>
      <c r="C744" s="876"/>
      <c r="D744" s="876"/>
      <c r="E744" s="876"/>
      <c r="F744" s="876"/>
      <c r="G744" s="876"/>
      <c r="H744" s="876"/>
      <c r="I744" s="876"/>
      <c r="J744" s="876"/>
      <c r="K744" s="876"/>
      <c r="L744" s="876"/>
      <c r="M744" s="876"/>
      <c r="N744" s="877"/>
      <c r="O744" s="876"/>
      <c r="P744" s="876"/>
      <c r="Q744" s="876"/>
      <c r="R744" s="876"/>
      <c r="S744" s="876"/>
      <c r="T744" s="876"/>
      <c r="U744" s="876"/>
      <c r="V744" s="876"/>
      <c r="W744" s="876"/>
      <c r="X744" s="876"/>
      <c r="Y744" s="876"/>
      <c r="Z744" s="876"/>
      <c r="AA744" s="876"/>
      <c r="AB744" s="876"/>
      <c r="AC744" s="876"/>
      <c r="AD744" s="876"/>
      <c r="AE744" s="876"/>
      <c r="AF744" s="876"/>
      <c r="AG744" s="876"/>
      <c r="AH744" s="876"/>
      <c r="AI744" s="878"/>
      <c r="AJ744" s="880"/>
      <c r="AK744" s="880"/>
      <c r="AL744" s="880"/>
      <c r="AM744" s="880"/>
      <c r="AN744" s="880"/>
      <c r="AO744" s="880"/>
      <c r="AP744" s="880"/>
      <c r="AQ744" s="880"/>
      <c r="AR744" s="880"/>
      <c r="AS744" s="880"/>
      <c r="AT744" s="880"/>
      <c r="AU744" s="880"/>
      <c r="AV744" s="880"/>
      <c r="AW744" s="881"/>
      <c r="AX744" s="863"/>
      <c r="AY744" s="863"/>
      <c r="AZ744" s="863"/>
      <c r="BA744" s="863"/>
      <c r="BB744" s="863"/>
      <c r="BC744" s="863"/>
      <c r="BD744" s="863"/>
      <c r="BE744" s="863"/>
      <c r="BF744" s="863"/>
      <c r="BG744" s="863"/>
      <c r="BH744" s="863"/>
      <c r="BI744" s="863"/>
      <c r="BJ744" s="863"/>
      <c r="BK744" s="863"/>
      <c r="BL744" s="863"/>
      <c r="BM744" s="863"/>
      <c r="BN744" s="863"/>
      <c r="BO744" s="863"/>
      <c r="BP744" s="880"/>
      <c r="BQ744" s="863"/>
      <c r="BR744" s="883"/>
      <c r="BS744" s="883"/>
      <c r="BT744" s="883"/>
      <c r="BU744" s="883"/>
      <c r="BV744" s="883"/>
      <c r="BW744" s="883"/>
      <c r="BX744" s="883"/>
      <c r="BY744" s="883"/>
      <c r="BZ744" s="883"/>
      <c r="CA744" s="883"/>
      <c r="CB744" s="883"/>
      <c r="CC744" s="883"/>
      <c r="CD744" s="884"/>
      <c r="CE744" s="883"/>
      <c r="CF744" s="883"/>
      <c r="CG744" s="883"/>
      <c r="CH744" s="883"/>
      <c r="CI744" s="883"/>
      <c r="CJ744" s="883"/>
      <c r="CK744" s="883"/>
      <c r="CL744" s="883"/>
      <c r="CM744" s="883"/>
      <c r="CN744" s="883"/>
      <c r="CO744" s="883"/>
      <c r="CP744" s="883"/>
      <c r="CQ744" s="883"/>
      <c r="CR744" s="883"/>
      <c r="CS744" s="883"/>
      <c r="CT744" s="883"/>
      <c r="CU744" s="883"/>
      <c r="CV744" s="863"/>
      <c r="CW744" s="863"/>
      <c r="CX744" s="863"/>
      <c r="CY744" s="863"/>
      <c r="CZ744" s="863"/>
      <c r="DA744" s="863"/>
      <c r="DB744" s="863"/>
      <c r="DC744" s="863"/>
      <c r="DD744" s="863"/>
      <c r="DE744" s="863"/>
    </row>
    <row r="745">
      <c r="A745" s="876"/>
      <c r="B745" s="876"/>
      <c r="C745" s="876"/>
      <c r="D745" s="876"/>
      <c r="E745" s="876"/>
      <c r="F745" s="876"/>
      <c r="G745" s="876"/>
      <c r="H745" s="876"/>
      <c r="I745" s="876"/>
      <c r="J745" s="876"/>
      <c r="K745" s="876"/>
      <c r="L745" s="876"/>
      <c r="M745" s="876"/>
      <c r="N745" s="877"/>
      <c r="O745" s="876"/>
      <c r="P745" s="876"/>
      <c r="Q745" s="876"/>
      <c r="R745" s="876"/>
      <c r="S745" s="876"/>
      <c r="T745" s="876"/>
      <c r="U745" s="876"/>
      <c r="V745" s="876"/>
      <c r="W745" s="876"/>
      <c r="X745" s="876"/>
      <c r="Y745" s="876"/>
      <c r="Z745" s="876"/>
      <c r="AA745" s="876"/>
      <c r="AB745" s="876"/>
      <c r="AC745" s="876"/>
      <c r="AD745" s="876"/>
      <c r="AE745" s="876"/>
      <c r="AF745" s="876"/>
      <c r="AG745" s="876"/>
      <c r="AH745" s="876"/>
      <c r="AI745" s="878"/>
      <c r="AJ745" s="880"/>
      <c r="AK745" s="880"/>
      <c r="AL745" s="880"/>
      <c r="AM745" s="880"/>
      <c r="AN745" s="880"/>
      <c r="AO745" s="880"/>
      <c r="AP745" s="880"/>
      <c r="AQ745" s="880"/>
      <c r="AR745" s="880"/>
      <c r="AS745" s="880"/>
      <c r="AT745" s="880"/>
      <c r="AU745" s="880"/>
      <c r="AV745" s="880"/>
      <c r="AW745" s="881"/>
      <c r="AX745" s="863"/>
      <c r="AY745" s="863"/>
      <c r="AZ745" s="863"/>
      <c r="BA745" s="863"/>
      <c r="BB745" s="863"/>
      <c r="BC745" s="863"/>
      <c r="BD745" s="863"/>
      <c r="BE745" s="863"/>
      <c r="BF745" s="863"/>
      <c r="BG745" s="863"/>
      <c r="BH745" s="863"/>
      <c r="BI745" s="863"/>
      <c r="BJ745" s="863"/>
      <c r="BK745" s="863"/>
      <c r="BL745" s="863"/>
      <c r="BM745" s="863"/>
      <c r="BN745" s="863"/>
      <c r="BO745" s="863"/>
      <c r="BP745" s="880"/>
      <c r="BQ745" s="863"/>
      <c r="BR745" s="883"/>
      <c r="BS745" s="883"/>
      <c r="BT745" s="883"/>
      <c r="BU745" s="883"/>
      <c r="BV745" s="883"/>
      <c r="BW745" s="883"/>
      <c r="BX745" s="883"/>
      <c r="BY745" s="883"/>
      <c r="BZ745" s="883"/>
      <c r="CA745" s="883"/>
      <c r="CB745" s="883"/>
      <c r="CC745" s="883"/>
      <c r="CD745" s="884"/>
      <c r="CE745" s="883"/>
      <c r="CF745" s="883"/>
      <c r="CG745" s="883"/>
      <c r="CH745" s="883"/>
      <c r="CI745" s="883"/>
      <c r="CJ745" s="883"/>
      <c r="CK745" s="883"/>
      <c r="CL745" s="883"/>
      <c r="CM745" s="883"/>
      <c r="CN745" s="883"/>
      <c r="CO745" s="883"/>
      <c r="CP745" s="883"/>
      <c r="CQ745" s="883"/>
      <c r="CR745" s="883"/>
      <c r="CS745" s="883"/>
      <c r="CT745" s="883"/>
      <c r="CU745" s="883"/>
      <c r="CV745" s="863"/>
      <c r="CW745" s="863"/>
      <c r="CX745" s="863"/>
      <c r="CY745" s="863"/>
      <c r="CZ745" s="863"/>
      <c r="DA745" s="863"/>
      <c r="DB745" s="863"/>
      <c r="DC745" s="863"/>
      <c r="DD745" s="863"/>
      <c r="DE745" s="863"/>
    </row>
    <row r="746">
      <c r="A746" s="876"/>
      <c r="B746" s="876"/>
      <c r="C746" s="876"/>
      <c r="D746" s="876"/>
      <c r="E746" s="876"/>
      <c r="F746" s="876"/>
      <c r="G746" s="876"/>
      <c r="H746" s="876"/>
      <c r="I746" s="876"/>
      <c r="J746" s="876"/>
      <c r="K746" s="876"/>
      <c r="L746" s="876"/>
      <c r="M746" s="876"/>
      <c r="N746" s="877"/>
      <c r="O746" s="876"/>
      <c r="P746" s="876"/>
      <c r="Q746" s="876"/>
      <c r="R746" s="876"/>
      <c r="S746" s="876"/>
      <c r="T746" s="876"/>
      <c r="U746" s="876"/>
      <c r="V746" s="876"/>
      <c r="W746" s="876"/>
      <c r="X746" s="876"/>
      <c r="Y746" s="876"/>
      <c r="Z746" s="876"/>
      <c r="AA746" s="876"/>
      <c r="AB746" s="876"/>
      <c r="AC746" s="876"/>
      <c r="AD746" s="876"/>
      <c r="AE746" s="876"/>
      <c r="AF746" s="876"/>
      <c r="AG746" s="876"/>
      <c r="AH746" s="876"/>
      <c r="AI746" s="878"/>
      <c r="AJ746" s="880"/>
      <c r="AK746" s="880"/>
      <c r="AL746" s="880"/>
      <c r="AM746" s="880"/>
      <c r="AN746" s="880"/>
      <c r="AO746" s="880"/>
      <c r="AP746" s="880"/>
      <c r="AQ746" s="880"/>
      <c r="AR746" s="880"/>
      <c r="AS746" s="880"/>
      <c r="AT746" s="880"/>
      <c r="AU746" s="880"/>
      <c r="AV746" s="880"/>
      <c r="AW746" s="881"/>
      <c r="AX746" s="863"/>
      <c r="AY746" s="863"/>
      <c r="AZ746" s="863"/>
      <c r="BA746" s="863"/>
      <c r="BB746" s="863"/>
      <c r="BC746" s="863"/>
      <c r="BD746" s="863"/>
      <c r="BE746" s="863"/>
      <c r="BF746" s="863"/>
      <c r="BG746" s="863"/>
      <c r="BH746" s="863"/>
      <c r="BI746" s="863"/>
      <c r="BJ746" s="863"/>
      <c r="BK746" s="863"/>
      <c r="BL746" s="863"/>
      <c r="BM746" s="863"/>
      <c r="BN746" s="863"/>
      <c r="BO746" s="863"/>
      <c r="BP746" s="880"/>
      <c r="BQ746" s="863"/>
      <c r="BR746" s="883"/>
      <c r="BS746" s="883"/>
      <c r="BT746" s="883"/>
      <c r="BU746" s="883"/>
      <c r="BV746" s="883"/>
      <c r="BW746" s="883"/>
      <c r="BX746" s="883"/>
      <c r="BY746" s="883"/>
      <c r="BZ746" s="883"/>
      <c r="CA746" s="883"/>
      <c r="CB746" s="883"/>
      <c r="CC746" s="883"/>
      <c r="CD746" s="884"/>
      <c r="CE746" s="883"/>
      <c r="CF746" s="883"/>
      <c r="CG746" s="883"/>
      <c r="CH746" s="883"/>
      <c r="CI746" s="883"/>
      <c r="CJ746" s="883"/>
      <c r="CK746" s="883"/>
      <c r="CL746" s="883"/>
      <c r="CM746" s="883"/>
      <c r="CN746" s="883"/>
      <c r="CO746" s="883"/>
      <c r="CP746" s="883"/>
      <c r="CQ746" s="883"/>
      <c r="CR746" s="883"/>
      <c r="CS746" s="883"/>
      <c r="CT746" s="883"/>
      <c r="CU746" s="883"/>
      <c r="CV746" s="863"/>
      <c r="CW746" s="863"/>
      <c r="CX746" s="863"/>
      <c r="CY746" s="863"/>
      <c r="CZ746" s="863"/>
      <c r="DA746" s="863"/>
      <c r="DB746" s="863"/>
      <c r="DC746" s="863"/>
      <c r="DD746" s="863"/>
      <c r="DE746" s="863"/>
    </row>
    <row r="747">
      <c r="A747" s="876"/>
      <c r="B747" s="876"/>
      <c r="C747" s="876"/>
      <c r="D747" s="876"/>
      <c r="E747" s="876"/>
      <c r="F747" s="876"/>
      <c r="G747" s="876"/>
      <c r="H747" s="876"/>
      <c r="I747" s="876"/>
      <c r="J747" s="876"/>
      <c r="K747" s="876"/>
      <c r="L747" s="876"/>
      <c r="M747" s="876"/>
      <c r="N747" s="877"/>
      <c r="O747" s="876"/>
      <c r="P747" s="876"/>
      <c r="Q747" s="876"/>
      <c r="R747" s="876"/>
      <c r="S747" s="876"/>
      <c r="T747" s="876"/>
      <c r="U747" s="876"/>
      <c r="V747" s="876"/>
      <c r="W747" s="876"/>
      <c r="X747" s="876"/>
      <c r="Y747" s="876"/>
      <c r="Z747" s="876"/>
      <c r="AA747" s="876"/>
      <c r="AB747" s="876"/>
      <c r="AC747" s="876"/>
      <c r="AD747" s="876"/>
      <c r="AE747" s="876"/>
      <c r="AF747" s="876"/>
      <c r="AG747" s="876"/>
      <c r="AH747" s="876"/>
      <c r="AI747" s="878"/>
      <c r="AJ747" s="880"/>
      <c r="AK747" s="880"/>
      <c r="AL747" s="880"/>
      <c r="AM747" s="880"/>
      <c r="AN747" s="880"/>
      <c r="AO747" s="880"/>
      <c r="AP747" s="880"/>
      <c r="AQ747" s="880"/>
      <c r="AR747" s="880"/>
      <c r="AS747" s="880"/>
      <c r="AT747" s="880"/>
      <c r="AU747" s="880"/>
      <c r="AV747" s="880"/>
      <c r="AW747" s="881"/>
      <c r="AX747" s="863"/>
      <c r="AY747" s="863"/>
      <c r="AZ747" s="863"/>
      <c r="BA747" s="863"/>
      <c r="BB747" s="863"/>
      <c r="BC747" s="863"/>
      <c r="BD747" s="863"/>
      <c r="BE747" s="863"/>
      <c r="BF747" s="863"/>
      <c r="BG747" s="863"/>
      <c r="BH747" s="863"/>
      <c r="BI747" s="863"/>
      <c r="BJ747" s="863"/>
      <c r="BK747" s="863"/>
      <c r="BL747" s="863"/>
      <c r="BM747" s="863"/>
      <c r="BN747" s="863"/>
      <c r="BO747" s="863"/>
      <c r="BP747" s="880"/>
      <c r="BQ747" s="863"/>
      <c r="BR747" s="883"/>
      <c r="BS747" s="883"/>
      <c r="BT747" s="883"/>
      <c r="BU747" s="883"/>
      <c r="BV747" s="883"/>
      <c r="BW747" s="883"/>
      <c r="BX747" s="883"/>
      <c r="BY747" s="883"/>
      <c r="BZ747" s="883"/>
      <c r="CA747" s="883"/>
      <c r="CB747" s="883"/>
      <c r="CC747" s="883"/>
      <c r="CD747" s="884"/>
      <c r="CE747" s="883"/>
      <c r="CF747" s="883"/>
      <c r="CG747" s="883"/>
      <c r="CH747" s="883"/>
      <c r="CI747" s="883"/>
      <c r="CJ747" s="883"/>
      <c r="CK747" s="883"/>
      <c r="CL747" s="883"/>
      <c r="CM747" s="883"/>
      <c r="CN747" s="883"/>
      <c r="CO747" s="883"/>
      <c r="CP747" s="883"/>
      <c r="CQ747" s="883"/>
      <c r="CR747" s="883"/>
      <c r="CS747" s="883"/>
      <c r="CT747" s="883"/>
      <c r="CU747" s="883"/>
      <c r="CV747" s="863"/>
      <c r="CW747" s="863"/>
      <c r="CX747" s="863"/>
      <c r="CY747" s="863"/>
      <c r="CZ747" s="863"/>
      <c r="DA747" s="863"/>
      <c r="DB747" s="863"/>
      <c r="DC747" s="863"/>
      <c r="DD747" s="863"/>
      <c r="DE747" s="863"/>
    </row>
    <row r="748">
      <c r="A748" s="876"/>
      <c r="B748" s="876"/>
      <c r="C748" s="876"/>
      <c r="D748" s="876"/>
      <c r="E748" s="876"/>
      <c r="F748" s="876"/>
      <c r="G748" s="876"/>
      <c r="H748" s="876"/>
      <c r="I748" s="876"/>
      <c r="J748" s="876"/>
      <c r="K748" s="876"/>
      <c r="L748" s="876"/>
      <c r="M748" s="876"/>
      <c r="N748" s="877"/>
      <c r="O748" s="876"/>
      <c r="P748" s="876"/>
      <c r="Q748" s="876"/>
      <c r="R748" s="876"/>
      <c r="S748" s="876"/>
      <c r="T748" s="876"/>
      <c r="U748" s="876"/>
      <c r="V748" s="876"/>
      <c r="W748" s="876"/>
      <c r="X748" s="876"/>
      <c r="Y748" s="876"/>
      <c r="Z748" s="876"/>
      <c r="AA748" s="876"/>
      <c r="AB748" s="876"/>
      <c r="AC748" s="876"/>
      <c r="AD748" s="876"/>
      <c r="AE748" s="876"/>
      <c r="AF748" s="876"/>
      <c r="AG748" s="876"/>
      <c r="AH748" s="876"/>
      <c r="AI748" s="878"/>
      <c r="AJ748" s="880"/>
      <c r="AK748" s="880"/>
      <c r="AL748" s="880"/>
      <c r="AM748" s="880"/>
      <c r="AN748" s="880"/>
      <c r="AO748" s="880"/>
      <c r="AP748" s="880"/>
      <c r="AQ748" s="880"/>
      <c r="AR748" s="880"/>
      <c r="AS748" s="880"/>
      <c r="AT748" s="880"/>
      <c r="AU748" s="880"/>
      <c r="AV748" s="880"/>
      <c r="AW748" s="881"/>
      <c r="AX748" s="863"/>
      <c r="AY748" s="863"/>
      <c r="AZ748" s="863"/>
      <c r="BA748" s="863"/>
      <c r="BB748" s="863"/>
      <c r="BC748" s="863"/>
      <c r="BD748" s="863"/>
      <c r="BE748" s="863"/>
      <c r="BF748" s="863"/>
      <c r="BG748" s="863"/>
      <c r="BH748" s="863"/>
      <c r="BI748" s="863"/>
      <c r="BJ748" s="863"/>
      <c r="BK748" s="863"/>
      <c r="BL748" s="863"/>
      <c r="BM748" s="863"/>
      <c r="BN748" s="863"/>
      <c r="BO748" s="863"/>
      <c r="BP748" s="880"/>
      <c r="BQ748" s="863"/>
      <c r="BR748" s="883"/>
      <c r="BS748" s="883"/>
      <c r="BT748" s="883"/>
      <c r="BU748" s="883"/>
      <c r="BV748" s="883"/>
      <c r="BW748" s="883"/>
      <c r="BX748" s="883"/>
      <c r="BY748" s="883"/>
      <c r="BZ748" s="883"/>
      <c r="CA748" s="883"/>
      <c r="CB748" s="883"/>
      <c r="CC748" s="883"/>
      <c r="CD748" s="884"/>
      <c r="CE748" s="883"/>
      <c r="CF748" s="883"/>
      <c r="CG748" s="883"/>
      <c r="CH748" s="883"/>
      <c r="CI748" s="883"/>
      <c r="CJ748" s="883"/>
      <c r="CK748" s="883"/>
      <c r="CL748" s="883"/>
      <c r="CM748" s="883"/>
      <c r="CN748" s="883"/>
      <c r="CO748" s="883"/>
      <c r="CP748" s="883"/>
      <c r="CQ748" s="883"/>
      <c r="CR748" s="883"/>
      <c r="CS748" s="883"/>
      <c r="CT748" s="883"/>
      <c r="CU748" s="883"/>
      <c r="CV748" s="863"/>
      <c r="CW748" s="863"/>
      <c r="CX748" s="863"/>
      <c r="CY748" s="863"/>
      <c r="CZ748" s="863"/>
      <c r="DA748" s="863"/>
      <c r="DB748" s="863"/>
      <c r="DC748" s="863"/>
      <c r="DD748" s="863"/>
      <c r="DE748" s="863"/>
    </row>
    <row r="749">
      <c r="A749" s="876"/>
      <c r="B749" s="876"/>
      <c r="C749" s="876"/>
      <c r="D749" s="876"/>
      <c r="E749" s="876"/>
      <c r="F749" s="876"/>
      <c r="G749" s="876"/>
      <c r="H749" s="876"/>
      <c r="I749" s="876"/>
      <c r="J749" s="876"/>
      <c r="K749" s="876"/>
      <c r="L749" s="876"/>
      <c r="M749" s="876"/>
      <c r="N749" s="877"/>
      <c r="O749" s="876"/>
      <c r="P749" s="876"/>
      <c r="Q749" s="876"/>
      <c r="R749" s="876"/>
      <c r="S749" s="876"/>
      <c r="T749" s="876"/>
      <c r="U749" s="876"/>
      <c r="V749" s="876"/>
      <c r="W749" s="876"/>
      <c r="X749" s="876"/>
      <c r="Y749" s="876"/>
      <c r="Z749" s="876"/>
      <c r="AA749" s="876"/>
      <c r="AB749" s="876"/>
      <c r="AC749" s="876"/>
      <c r="AD749" s="876"/>
      <c r="AE749" s="876"/>
      <c r="AF749" s="876"/>
      <c r="AG749" s="876"/>
      <c r="AH749" s="876"/>
      <c r="AI749" s="878"/>
      <c r="AJ749" s="880"/>
      <c r="AK749" s="880"/>
      <c r="AL749" s="880"/>
      <c r="AM749" s="880"/>
      <c r="AN749" s="880"/>
      <c r="AO749" s="880"/>
      <c r="AP749" s="880"/>
      <c r="AQ749" s="880"/>
      <c r="AR749" s="880"/>
      <c r="AS749" s="880"/>
      <c r="AT749" s="880"/>
      <c r="AU749" s="880"/>
      <c r="AV749" s="880"/>
      <c r="AW749" s="881"/>
      <c r="AX749" s="863"/>
      <c r="AY749" s="863"/>
      <c r="AZ749" s="863"/>
      <c r="BA749" s="863"/>
      <c r="BB749" s="863"/>
      <c r="BC749" s="863"/>
      <c r="BD749" s="863"/>
      <c r="BE749" s="863"/>
      <c r="BF749" s="863"/>
      <c r="BG749" s="863"/>
      <c r="BH749" s="863"/>
      <c r="BI749" s="863"/>
      <c r="BJ749" s="863"/>
      <c r="BK749" s="863"/>
      <c r="BL749" s="863"/>
      <c r="BM749" s="863"/>
      <c r="BN749" s="863"/>
      <c r="BO749" s="863"/>
      <c r="BP749" s="880"/>
      <c r="BQ749" s="863"/>
      <c r="BR749" s="883"/>
      <c r="BS749" s="883"/>
      <c r="BT749" s="883"/>
      <c r="BU749" s="883"/>
      <c r="BV749" s="883"/>
      <c r="BW749" s="883"/>
      <c r="BX749" s="883"/>
      <c r="BY749" s="883"/>
      <c r="BZ749" s="883"/>
      <c r="CA749" s="883"/>
      <c r="CB749" s="883"/>
      <c r="CC749" s="883"/>
      <c r="CD749" s="884"/>
      <c r="CE749" s="883"/>
      <c r="CF749" s="883"/>
      <c r="CG749" s="883"/>
      <c r="CH749" s="883"/>
      <c r="CI749" s="883"/>
      <c r="CJ749" s="883"/>
      <c r="CK749" s="883"/>
      <c r="CL749" s="883"/>
      <c r="CM749" s="883"/>
      <c r="CN749" s="883"/>
      <c r="CO749" s="883"/>
      <c r="CP749" s="883"/>
      <c r="CQ749" s="883"/>
      <c r="CR749" s="883"/>
      <c r="CS749" s="883"/>
      <c r="CT749" s="883"/>
      <c r="CU749" s="883"/>
      <c r="CV749" s="863"/>
      <c r="CW749" s="863"/>
      <c r="CX749" s="863"/>
      <c r="CY749" s="863"/>
      <c r="CZ749" s="863"/>
      <c r="DA749" s="863"/>
      <c r="DB749" s="863"/>
      <c r="DC749" s="863"/>
      <c r="DD749" s="863"/>
      <c r="DE749" s="863"/>
    </row>
    <row r="750">
      <c r="A750" s="876"/>
      <c r="B750" s="876"/>
      <c r="C750" s="876"/>
      <c r="D750" s="876"/>
      <c r="E750" s="876"/>
      <c r="F750" s="876"/>
      <c r="G750" s="876"/>
      <c r="H750" s="876"/>
      <c r="I750" s="876"/>
      <c r="J750" s="876"/>
      <c r="K750" s="876"/>
      <c r="L750" s="876"/>
      <c r="M750" s="876"/>
      <c r="N750" s="877"/>
      <c r="O750" s="876"/>
      <c r="P750" s="876"/>
      <c r="Q750" s="876"/>
      <c r="R750" s="876"/>
      <c r="S750" s="876"/>
      <c r="T750" s="876"/>
      <c r="U750" s="876"/>
      <c r="V750" s="876"/>
      <c r="W750" s="876"/>
      <c r="X750" s="876"/>
      <c r="Y750" s="876"/>
      <c r="Z750" s="876"/>
      <c r="AA750" s="876"/>
      <c r="AB750" s="876"/>
      <c r="AC750" s="876"/>
      <c r="AD750" s="876"/>
      <c r="AE750" s="876"/>
      <c r="AF750" s="876"/>
      <c r="AG750" s="876"/>
      <c r="AH750" s="876"/>
      <c r="AI750" s="878"/>
      <c r="AJ750" s="880"/>
      <c r="AK750" s="880"/>
      <c r="AL750" s="880"/>
      <c r="AM750" s="880"/>
      <c r="AN750" s="880"/>
      <c r="AO750" s="880"/>
      <c r="AP750" s="880"/>
      <c r="AQ750" s="880"/>
      <c r="AR750" s="880"/>
      <c r="AS750" s="880"/>
      <c r="AT750" s="880"/>
      <c r="AU750" s="880"/>
      <c r="AV750" s="880"/>
      <c r="AW750" s="881"/>
      <c r="AX750" s="863"/>
      <c r="AY750" s="863"/>
      <c r="AZ750" s="863"/>
      <c r="BA750" s="863"/>
      <c r="BB750" s="863"/>
      <c r="BC750" s="863"/>
      <c r="BD750" s="863"/>
      <c r="BE750" s="863"/>
      <c r="BF750" s="863"/>
      <c r="BG750" s="863"/>
      <c r="BH750" s="863"/>
      <c r="BI750" s="863"/>
      <c r="BJ750" s="863"/>
      <c r="BK750" s="863"/>
      <c r="BL750" s="863"/>
      <c r="BM750" s="863"/>
      <c r="BN750" s="863"/>
      <c r="BO750" s="863"/>
      <c r="BP750" s="880"/>
      <c r="BQ750" s="863"/>
      <c r="BR750" s="883"/>
      <c r="BS750" s="883"/>
      <c r="BT750" s="883"/>
      <c r="BU750" s="883"/>
      <c r="BV750" s="883"/>
      <c r="BW750" s="883"/>
      <c r="BX750" s="883"/>
      <c r="BY750" s="883"/>
      <c r="BZ750" s="883"/>
      <c r="CA750" s="883"/>
      <c r="CB750" s="883"/>
      <c r="CC750" s="883"/>
      <c r="CD750" s="884"/>
      <c r="CE750" s="883"/>
      <c r="CF750" s="883"/>
      <c r="CG750" s="883"/>
      <c r="CH750" s="883"/>
      <c r="CI750" s="883"/>
      <c r="CJ750" s="883"/>
      <c r="CK750" s="883"/>
      <c r="CL750" s="883"/>
      <c r="CM750" s="883"/>
      <c r="CN750" s="883"/>
      <c r="CO750" s="883"/>
      <c r="CP750" s="883"/>
      <c r="CQ750" s="883"/>
      <c r="CR750" s="883"/>
      <c r="CS750" s="883"/>
      <c r="CT750" s="883"/>
      <c r="CU750" s="883"/>
      <c r="CV750" s="863"/>
      <c r="CW750" s="863"/>
      <c r="CX750" s="863"/>
      <c r="CY750" s="863"/>
      <c r="CZ750" s="863"/>
      <c r="DA750" s="863"/>
      <c r="DB750" s="863"/>
      <c r="DC750" s="863"/>
      <c r="DD750" s="863"/>
      <c r="DE750" s="863"/>
    </row>
    <row r="751">
      <c r="A751" s="876"/>
      <c r="B751" s="876"/>
      <c r="C751" s="876"/>
      <c r="D751" s="876"/>
      <c r="E751" s="876"/>
      <c r="F751" s="876"/>
      <c r="G751" s="876"/>
      <c r="H751" s="876"/>
      <c r="I751" s="876"/>
      <c r="J751" s="876"/>
      <c r="K751" s="876"/>
      <c r="L751" s="876"/>
      <c r="M751" s="876"/>
      <c r="N751" s="877"/>
      <c r="O751" s="876"/>
      <c r="P751" s="876"/>
      <c r="Q751" s="876"/>
      <c r="R751" s="876"/>
      <c r="S751" s="876"/>
      <c r="T751" s="876"/>
      <c r="U751" s="876"/>
      <c r="V751" s="876"/>
      <c r="W751" s="876"/>
      <c r="X751" s="876"/>
      <c r="Y751" s="876"/>
      <c r="Z751" s="876"/>
      <c r="AA751" s="876"/>
      <c r="AB751" s="876"/>
      <c r="AC751" s="876"/>
      <c r="AD751" s="876"/>
      <c r="AE751" s="876"/>
      <c r="AF751" s="876"/>
      <c r="AG751" s="876"/>
      <c r="AH751" s="876"/>
      <c r="AI751" s="878"/>
      <c r="AJ751" s="880"/>
      <c r="AK751" s="880"/>
      <c r="AL751" s="880"/>
      <c r="AM751" s="880"/>
      <c r="AN751" s="880"/>
      <c r="AO751" s="880"/>
      <c r="AP751" s="880"/>
      <c r="AQ751" s="880"/>
      <c r="AR751" s="880"/>
      <c r="AS751" s="880"/>
      <c r="AT751" s="880"/>
      <c r="AU751" s="880"/>
      <c r="AV751" s="880"/>
      <c r="AW751" s="881"/>
      <c r="AX751" s="863"/>
      <c r="AY751" s="863"/>
      <c r="AZ751" s="863"/>
      <c r="BA751" s="863"/>
      <c r="BB751" s="863"/>
      <c r="BC751" s="863"/>
      <c r="BD751" s="863"/>
      <c r="BE751" s="863"/>
      <c r="BF751" s="863"/>
      <c r="BG751" s="863"/>
      <c r="BH751" s="863"/>
      <c r="BI751" s="863"/>
      <c r="BJ751" s="863"/>
      <c r="BK751" s="863"/>
      <c r="BL751" s="863"/>
      <c r="BM751" s="863"/>
      <c r="BN751" s="863"/>
      <c r="BO751" s="863"/>
      <c r="BP751" s="880"/>
      <c r="BQ751" s="863"/>
      <c r="BR751" s="883"/>
      <c r="BS751" s="883"/>
      <c r="BT751" s="883"/>
      <c r="BU751" s="883"/>
      <c r="BV751" s="883"/>
      <c r="BW751" s="883"/>
      <c r="BX751" s="883"/>
      <c r="BY751" s="883"/>
      <c r="BZ751" s="883"/>
      <c r="CA751" s="883"/>
      <c r="CB751" s="883"/>
      <c r="CC751" s="883"/>
      <c r="CD751" s="884"/>
      <c r="CE751" s="883"/>
      <c r="CF751" s="883"/>
      <c r="CG751" s="883"/>
      <c r="CH751" s="883"/>
      <c r="CI751" s="883"/>
      <c r="CJ751" s="883"/>
      <c r="CK751" s="883"/>
      <c r="CL751" s="883"/>
      <c r="CM751" s="883"/>
      <c r="CN751" s="883"/>
      <c r="CO751" s="883"/>
      <c r="CP751" s="883"/>
      <c r="CQ751" s="883"/>
      <c r="CR751" s="883"/>
      <c r="CS751" s="883"/>
      <c r="CT751" s="883"/>
      <c r="CU751" s="883"/>
      <c r="CV751" s="863"/>
      <c r="CW751" s="863"/>
      <c r="CX751" s="863"/>
      <c r="CY751" s="863"/>
      <c r="CZ751" s="863"/>
      <c r="DA751" s="863"/>
      <c r="DB751" s="863"/>
      <c r="DC751" s="863"/>
      <c r="DD751" s="863"/>
      <c r="DE751" s="863"/>
    </row>
    <row r="752">
      <c r="A752" s="876"/>
      <c r="B752" s="876"/>
      <c r="C752" s="876"/>
      <c r="D752" s="876"/>
      <c r="E752" s="876"/>
      <c r="F752" s="876"/>
      <c r="G752" s="876"/>
      <c r="H752" s="876"/>
      <c r="I752" s="876"/>
      <c r="J752" s="876"/>
      <c r="K752" s="876"/>
      <c r="L752" s="876"/>
      <c r="M752" s="876"/>
      <c r="N752" s="877"/>
      <c r="O752" s="876"/>
      <c r="P752" s="876"/>
      <c r="Q752" s="876"/>
      <c r="R752" s="876"/>
      <c r="S752" s="876"/>
      <c r="T752" s="876"/>
      <c r="U752" s="876"/>
      <c r="V752" s="876"/>
      <c r="W752" s="876"/>
      <c r="X752" s="876"/>
      <c r="Y752" s="876"/>
      <c r="Z752" s="876"/>
      <c r="AA752" s="876"/>
      <c r="AB752" s="876"/>
      <c r="AC752" s="876"/>
      <c r="AD752" s="876"/>
      <c r="AE752" s="876"/>
      <c r="AF752" s="876"/>
      <c r="AG752" s="876"/>
      <c r="AH752" s="876"/>
      <c r="AI752" s="878"/>
      <c r="AJ752" s="880"/>
      <c r="AK752" s="880"/>
      <c r="AL752" s="880"/>
      <c r="AM752" s="880"/>
      <c r="AN752" s="880"/>
      <c r="AO752" s="880"/>
      <c r="AP752" s="880"/>
      <c r="AQ752" s="880"/>
      <c r="AR752" s="880"/>
      <c r="AS752" s="880"/>
      <c r="AT752" s="880"/>
      <c r="AU752" s="880"/>
      <c r="AV752" s="880"/>
      <c r="AW752" s="881"/>
      <c r="AX752" s="863"/>
      <c r="AY752" s="863"/>
      <c r="AZ752" s="863"/>
      <c r="BA752" s="863"/>
      <c r="BB752" s="863"/>
      <c r="BC752" s="863"/>
      <c r="BD752" s="863"/>
      <c r="BE752" s="863"/>
      <c r="BF752" s="863"/>
      <c r="BG752" s="863"/>
      <c r="BH752" s="863"/>
      <c r="BI752" s="863"/>
      <c r="BJ752" s="863"/>
      <c r="BK752" s="863"/>
      <c r="BL752" s="863"/>
      <c r="BM752" s="863"/>
      <c r="BN752" s="863"/>
      <c r="BO752" s="863"/>
      <c r="BP752" s="880"/>
      <c r="BQ752" s="863"/>
      <c r="BR752" s="883"/>
      <c r="BS752" s="883"/>
      <c r="BT752" s="883"/>
      <c r="BU752" s="883"/>
      <c r="BV752" s="883"/>
      <c r="BW752" s="883"/>
      <c r="BX752" s="883"/>
      <c r="BY752" s="883"/>
      <c r="BZ752" s="883"/>
      <c r="CA752" s="883"/>
      <c r="CB752" s="883"/>
      <c r="CC752" s="883"/>
      <c r="CD752" s="884"/>
      <c r="CE752" s="883"/>
      <c r="CF752" s="883"/>
      <c r="CG752" s="883"/>
      <c r="CH752" s="883"/>
      <c r="CI752" s="883"/>
      <c r="CJ752" s="883"/>
      <c r="CK752" s="883"/>
      <c r="CL752" s="883"/>
      <c r="CM752" s="883"/>
      <c r="CN752" s="883"/>
      <c r="CO752" s="883"/>
      <c r="CP752" s="883"/>
      <c r="CQ752" s="883"/>
      <c r="CR752" s="883"/>
      <c r="CS752" s="883"/>
      <c r="CT752" s="883"/>
      <c r="CU752" s="883"/>
      <c r="CV752" s="863"/>
      <c r="CW752" s="863"/>
      <c r="CX752" s="863"/>
      <c r="CY752" s="863"/>
      <c r="CZ752" s="863"/>
      <c r="DA752" s="863"/>
      <c r="DB752" s="863"/>
      <c r="DC752" s="863"/>
      <c r="DD752" s="863"/>
      <c r="DE752" s="863"/>
    </row>
    <row r="753">
      <c r="A753" s="876"/>
      <c r="B753" s="876"/>
      <c r="C753" s="876"/>
      <c r="D753" s="876"/>
      <c r="E753" s="876"/>
      <c r="F753" s="876"/>
      <c r="G753" s="876"/>
      <c r="H753" s="876"/>
      <c r="I753" s="876"/>
      <c r="J753" s="876"/>
      <c r="K753" s="876"/>
      <c r="L753" s="876"/>
      <c r="M753" s="876"/>
      <c r="N753" s="877"/>
      <c r="O753" s="876"/>
      <c r="P753" s="876"/>
      <c r="Q753" s="876"/>
      <c r="R753" s="876"/>
      <c r="S753" s="876"/>
      <c r="T753" s="876"/>
      <c r="U753" s="876"/>
      <c r="V753" s="876"/>
      <c r="W753" s="876"/>
      <c r="X753" s="876"/>
      <c r="Y753" s="876"/>
      <c r="Z753" s="876"/>
      <c r="AA753" s="876"/>
      <c r="AB753" s="876"/>
      <c r="AC753" s="876"/>
      <c r="AD753" s="876"/>
      <c r="AE753" s="876"/>
      <c r="AF753" s="876"/>
      <c r="AG753" s="876"/>
      <c r="AH753" s="876"/>
      <c r="AI753" s="878"/>
      <c r="AJ753" s="880"/>
      <c r="AK753" s="880"/>
      <c r="AL753" s="880"/>
      <c r="AM753" s="880"/>
      <c r="AN753" s="880"/>
      <c r="AO753" s="880"/>
      <c r="AP753" s="880"/>
      <c r="AQ753" s="880"/>
      <c r="AR753" s="880"/>
      <c r="AS753" s="880"/>
      <c r="AT753" s="880"/>
      <c r="AU753" s="880"/>
      <c r="AV753" s="880"/>
      <c r="AW753" s="881"/>
      <c r="AX753" s="863"/>
      <c r="AY753" s="863"/>
      <c r="AZ753" s="863"/>
      <c r="BA753" s="863"/>
      <c r="BB753" s="863"/>
      <c r="BC753" s="863"/>
      <c r="BD753" s="863"/>
      <c r="BE753" s="863"/>
      <c r="BF753" s="863"/>
      <c r="BG753" s="863"/>
      <c r="BH753" s="863"/>
      <c r="BI753" s="863"/>
      <c r="BJ753" s="863"/>
      <c r="BK753" s="863"/>
      <c r="BL753" s="863"/>
      <c r="BM753" s="863"/>
      <c r="BN753" s="863"/>
      <c r="BO753" s="863"/>
      <c r="BP753" s="880"/>
      <c r="BQ753" s="863"/>
      <c r="BR753" s="883"/>
      <c r="BS753" s="883"/>
      <c r="BT753" s="883"/>
      <c r="BU753" s="883"/>
      <c r="BV753" s="883"/>
      <c r="BW753" s="883"/>
      <c r="BX753" s="883"/>
      <c r="BY753" s="883"/>
      <c r="BZ753" s="883"/>
      <c r="CA753" s="883"/>
      <c r="CB753" s="883"/>
      <c r="CC753" s="883"/>
      <c r="CD753" s="884"/>
      <c r="CE753" s="883"/>
      <c r="CF753" s="883"/>
      <c r="CG753" s="883"/>
      <c r="CH753" s="883"/>
      <c r="CI753" s="883"/>
      <c r="CJ753" s="883"/>
      <c r="CK753" s="883"/>
      <c r="CL753" s="883"/>
      <c r="CM753" s="883"/>
      <c r="CN753" s="883"/>
      <c r="CO753" s="883"/>
      <c r="CP753" s="883"/>
      <c r="CQ753" s="883"/>
      <c r="CR753" s="883"/>
      <c r="CS753" s="883"/>
      <c r="CT753" s="883"/>
      <c r="CU753" s="883"/>
      <c r="CV753" s="863"/>
      <c r="CW753" s="863"/>
      <c r="CX753" s="863"/>
      <c r="CY753" s="863"/>
      <c r="CZ753" s="863"/>
      <c r="DA753" s="863"/>
      <c r="DB753" s="863"/>
      <c r="DC753" s="863"/>
      <c r="DD753" s="863"/>
      <c r="DE753" s="863"/>
    </row>
    <row r="754">
      <c r="A754" s="876"/>
      <c r="B754" s="876"/>
      <c r="C754" s="876"/>
      <c r="D754" s="876"/>
      <c r="E754" s="876"/>
      <c r="F754" s="876"/>
      <c r="G754" s="876"/>
      <c r="H754" s="876"/>
      <c r="I754" s="876"/>
      <c r="J754" s="876"/>
      <c r="K754" s="876"/>
      <c r="L754" s="876"/>
      <c r="M754" s="876"/>
      <c r="N754" s="877"/>
      <c r="O754" s="876"/>
      <c r="P754" s="876"/>
      <c r="Q754" s="876"/>
      <c r="R754" s="876"/>
      <c r="S754" s="876"/>
      <c r="T754" s="876"/>
      <c r="U754" s="876"/>
      <c r="V754" s="876"/>
      <c r="W754" s="876"/>
      <c r="X754" s="876"/>
      <c r="Y754" s="876"/>
      <c r="Z754" s="876"/>
      <c r="AA754" s="876"/>
      <c r="AB754" s="876"/>
      <c r="AC754" s="876"/>
      <c r="AD754" s="876"/>
      <c r="AE754" s="876"/>
      <c r="AF754" s="876"/>
      <c r="AG754" s="876"/>
      <c r="AH754" s="876"/>
      <c r="AI754" s="878"/>
      <c r="AJ754" s="880"/>
      <c r="AK754" s="880"/>
      <c r="AL754" s="880"/>
      <c r="AM754" s="880"/>
      <c r="AN754" s="880"/>
      <c r="AO754" s="880"/>
      <c r="AP754" s="880"/>
      <c r="AQ754" s="880"/>
      <c r="AR754" s="880"/>
      <c r="AS754" s="880"/>
      <c r="AT754" s="880"/>
      <c r="AU754" s="880"/>
      <c r="AV754" s="880"/>
      <c r="AW754" s="881"/>
      <c r="AX754" s="863"/>
      <c r="AY754" s="863"/>
      <c r="AZ754" s="863"/>
      <c r="BA754" s="863"/>
      <c r="BB754" s="863"/>
      <c r="BC754" s="863"/>
      <c r="BD754" s="863"/>
      <c r="BE754" s="863"/>
      <c r="BF754" s="863"/>
      <c r="BG754" s="863"/>
      <c r="BH754" s="863"/>
      <c r="BI754" s="863"/>
      <c r="BJ754" s="863"/>
      <c r="BK754" s="863"/>
      <c r="BL754" s="863"/>
      <c r="BM754" s="863"/>
      <c r="BN754" s="863"/>
      <c r="BO754" s="863"/>
      <c r="BP754" s="880"/>
      <c r="BQ754" s="863"/>
      <c r="BR754" s="883"/>
      <c r="BS754" s="883"/>
      <c r="BT754" s="883"/>
      <c r="BU754" s="883"/>
      <c r="BV754" s="883"/>
      <c r="BW754" s="883"/>
      <c r="BX754" s="883"/>
      <c r="BY754" s="883"/>
      <c r="BZ754" s="883"/>
      <c r="CA754" s="883"/>
      <c r="CB754" s="883"/>
      <c r="CC754" s="883"/>
      <c r="CD754" s="884"/>
      <c r="CE754" s="883"/>
      <c r="CF754" s="883"/>
      <c r="CG754" s="883"/>
      <c r="CH754" s="883"/>
      <c r="CI754" s="883"/>
      <c r="CJ754" s="883"/>
      <c r="CK754" s="883"/>
      <c r="CL754" s="883"/>
      <c r="CM754" s="883"/>
      <c r="CN754" s="883"/>
      <c r="CO754" s="883"/>
      <c r="CP754" s="883"/>
      <c r="CQ754" s="883"/>
      <c r="CR754" s="883"/>
      <c r="CS754" s="883"/>
      <c r="CT754" s="883"/>
      <c r="CU754" s="883"/>
      <c r="CV754" s="863"/>
      <c r="CW754" s="863"/>
      <c r="CX754" s="863"/>
      <c r="CY754" s="863"/>
      <c r="CZ754" s="863"/>
      <c r="DA754" s="863"/>
      <c r="DB754" s="863"/>
      <c r="DC754" s="863"/>
      <c r="DD754" s="863"/>
      <c r="DE754" s="863"/>
    </row>
    <row r="755">
      <c r="A755" s="876"/>
      <c r="B755" s="876"/>
      <c r="C755" s="876"/>
      <c r="D755" s="876"/>
      <c r="E755" s="876"/>
      <c r="F755" s="876"/>
      <c r="G755" s="876"/>
      <c r="H755" s="876"/>
      <c r="I755" s="876"/>
      <c r="J755" s="876"/>
      <c r="K755" s="876"/>
      <c r="L755" s="876"/>
      <c r="M755" s="876"/>
      <c r="N755" s="877"/>
      <c r="O755" s="876"/>
      <c r="P755" s="876"/>
      <c r="Q755" s="876"/>
      <c r="R755" s="876"/>
      <c r="S755" s="876"/>
      <c r="T755" s="876"/>
      <c r="U755" s="876"/>
      <c r="V755" s="876"/>
      <c r="W755" s="876"/>
      <c r="X755" s="876"/>
      <c r="Y755" s="876"/>
      <c r="Z755" s="876"/>
      <c r="AA755" s="876"/>
      <c r="AB755" s="876"/>
      <c r="AC755" s="876"/>
      <c r="AD755" s="876"/>
      <c r="AE755" s="876"/>
      <c r="AF755" s="876"/>
      <c r="AG755" s="876"/>
      <c r="AH755" s="876"/>
      <c r="AI755" s="878"/>
      <c r="AJ755" s="880"/>
      <c r="AK755" s="880"/>
      <c r="AL755" s="880"/>
      <c r="AM755" s="880"/>
      <c r="AN755" s="880"/>
      <c r="AO755" s="880"/>
      <c r="AP755" s="880"/>
      <c r="AQ755" s="880"/>
      <c r="AR755" s="880"/>
      <c r="AS755" s="880"/>
      <c r="AT755" s="880"/>
      <c r="AU755" s="880"/>
      <c r="AV755" s="880"/>
      <c r="AW755" s="881"/>
      <c r="AX755" s="863"/>
      <c r="AY755" s="863"/>
      <c r="AZ755" s="863"/>
      <c r="BA755" s="863"/>
      <c r="BB755" s="863"/>
      <c r="BC755" s="863"/>
      <c r="BD755" s="863"/>
      <c r="BE755" s="863"/>
      <c r="BF755" s="863"/>
      <c r="BG755" s="863"/>
      <c r="BH755" s="863"/>
      <c r="BI755" s="863"/>
      <c r="BJ755" s="863"/>
      <c r="BK755" s="863"/>
      <c r="BL755" s="863"/>
      <c r="BM755" s="863"/>
      <c r="BN755" s="863"/>
      <c r="BO755" s="863"/>
      <c r="BP755" s="880"/>
      <c r="BQ755" s="863"/>
      <c r="BR755" s="883"/>
      <c r="BS755" s="883"/>
      <c r="BT755" s="883"/>
      <c r="BU755" s="883"/>
      <c r="BV755" s="883"/>
      <c r="BW755" s="883"/>
      <c r="BX755" s="883"/>
      <c r="BY755" s="883"/>
      <c r="BZ755" s="883"/>
      <c r="CA755" s="883"/>
      <c r="CB755" s="883"/>
      <c r="CC755" s="883"/>
      <c r="CD755" s="884"/>
      <c r="CE755" s="883"/>
      <c r="CF755" s="883"/>
      <c r="CG755" s="883"/>
      <c r="CH755" s="883"/>
      <c r="CI755" s="883"/>
      <c r="CJ755" s="883"/>
      <c r="CK755" s="883"/>
      <c r="CL755" s="883"/>
      <c r="CM755" s="883"/>
      <c r="CN755" s="883"/>
      <c r="CO755" s="883"/>
      <c r="CP755" s="883"/>
      <c r="CQ755" s="883"/>
      <c r="CR755" s="883"/>
      <c r="CS755" s="883"/>
      <c r="CT755" s="883"/>
      <c r="CU755" s="883"/>
      <c r="CV755" s="863"/>
      <c r="CW755" s="863"/>
      <c r="CX755" s="863"/>
      <c r="CY755" s="863"/>
      <c r="CZ755" s="863"/>
      <c r="DA755" s="863"/>
      <c r="DB755" s="863"/>
      <c r="DC755" s="863"/>
      <c r="DD755" s="863"/>
      <c r="DE755" s="863"/>
    </row>
    <row r="756">
      <c r="A756" s="876"/>
      <c r="B756" s="876"/>
      <c r="C756" s="876"/>
      <c r="D756" s="876"/>
      <c r="E756" s="876"/>
      <c r="F756" s="876"/>
      <c r="G756" s="876"/>
      <c r="H756" s="876"/>
      <c r="I756" s="876"/>
      <c r="J756" s="876"/>
      <c r="K756" s="876"/>
      <c r="L756" s="876"/>
      <c r="M756" s="876"/>
      <c r="N756" s="877"/>
      <c r="O756" s="876"/>
      <c r="P756" s="876"/>
      <c r="Q756" s="876"/>
      <c r="R756" s="876"/>
      <c r="S756" s="876"/>
      <c r="T756" s="876"/>
      <c r="U756" s="876"/>
      <c r="V756" s="876"/>
      <c r="W756" s="876"/>
      <c r="X756" s="876"/>
      <c r="Y756" s="876"/>
      <c r="Z756" s="876"/>
      <c r="AA756" s="876"/>
      <c r="AB756" s="876"/>
      <c r="AC756" s="876"/>
      <c r="AD756" s="876"/>
      <c r="AE756" s="876"/>
      <c r="AF756" s="876"/>
      <c r="AG756" s="876"/>
      <c r="AH756" s="876"/>
      <c r="AI756" s="878"/>
      <c r="AJ756" s="880"/>
      <c r="AK756" s="880"/>
      <c r="AL756" s="880"/>
      <c r="AM756" s="880"/>
      <c r="AN756" s="880"/>
      <c r="AO756" s="880"/>
      <c r="AP756" s="880"/>
      <c r="AQ756" s="880"/>
      <c r="AR756" s="880"/>
      <c r="AS756" s="880"/>
      <c r="AT756" s="880"/>
      <c r="AU756" s="880"/>
      <c r="AV756" s="880"/>
      <c r="AW756" s="881"/>
      <c r="AX756" s="863"/>
      <c r="AY756" s="863"/>
      <c r="AZ756" s="863"/>
      <c r="BA756" s="863"/>
      <c r="BB756" s="863"/>
      <c r="BC756" s="863"/>
      <c r="BD756" s="863"/>
      <c r="BE756" s="863"/>
      <c r="BF756" s="863"/>
      <c r="BG756" s="863"/>
      <c r="BH756" s="863"/>
      <c r="BI756" s="863"/>
      <c r="BJ756" s="863"/>
      <c r="BK756" s="863"/>
      <c r="BL756" s="863"/>
      <c r="BM756" s="863"/>
      <c r="BN756" s="863"/>
      <c r="BO756" s="863"/>
      <c r="BP756" s="880"/>
      <c r="BQ756" s="863"/>
      <c r="BR756" s="883"/>
      <c r="BS756" s="883"/>
      <c r="BT756" s="883"/>
      <c r="BU756" s="883"/>
      <c r="BV756" s="883"/>
      <c r="BW756" s="883"/>
      <c r="BX756" s="883"/>
      <c r="BY756" s="883"/>
      <c r="BZ756" s="883"/>
      <c r="CA756" s="883"/>
      <c r="CB756" s="883"/>
      <c r="CC756" s="883"/>
      <c r="CD756" s="884"/>
      <c r="CE756" s="883"/>
      <c r="CF756" s="883"/>
      <c r="CG756" s="883"/>
      <c r="CH756" s="883"/>
      <c r="CI756" s="883"/>
      <c r="CJ756" s="883"/>
      <c r="CK756" s="883"/>
      <c r="CL756" s="883"/>
      <c r="CM756" s="883"/>
      <c r="CN756" s="883"/>
      <c r="CO756" s="883"/>
      <c r="CP756" s="883"/>
      <c r="CQ756" s="883"/>
      <c r="CR756" s="883"/>
      <c r="CS756" s="883"/>
      <c r="CT756" s="883"/>
      <c r="CU756" s="883"/>
      <c r="CV756" s="863"/>
      <c r="CW756" s="863"/>
      <c r="CX756" s="863"/>
      <c r="CY756" s="863"/>
      <c r="CZ756" s="863"/>
      <c r="DA756" s="863"/>
      <c r="DB756" s="863"/>
      <c r="DC756" s="863"/>
      <c r="DD756" s="863"/>
      <c r="DE756" s="863"/>
    </row>
    <row r="757">
      <c r="A757" s="876"/>
      <c r="B757" s="876"/>
      <c r="C757" s="876"/>
      <c r="D757" s="876"/>
      <c r="E757" s="876"/>
      <c r="F757" s="876"/>
      <c r="G757" s="876"/>
      <c r="H757" s="876"/>
      <c r="I757" s="876"/>
      <c r="J757" s="876"/>
      <c r="K757" s="876"/>
      <c r="L757" s="876"/>
      <c r="M757" s="876"/>
      <c r="N757" s="877"/>
      <c r="O757" s="876"/>
      <c r="P757" s="876"/>
      <c r="Q757" s="876"/>
      <c r="R757" s="876"/>
      <c r="S757" s="876"/>
      <c r="T757" s="876"/>
      <c r="U757" s="876"/>
      <c r="V757" s="876"/>
      <c r="W757" s="876"/>
      <c r="X757" s="876"/>
      <c r="Y757" s="876"/>
      <c r="Z757" s="876"/>
      <c r="AA757" s="876"/>
      <c r="AB757" s="876"/>
      <c r="AC757" s="876"/>
      <c r="AD757" s="876"/>
      <c r="AE757" s="876"/>
      <c r="AF757" s="876"/>
      <c r="AG757" s="876"/>
      <c r="AH757" s="876"/>
      <c r="AI757" s="878"/>
      <c r="AJ757" s="880"/>
      <c r="AK757" s="880"/>
      <c r="AL757" s="880"/>
      <c r="AM757" s="880"/>
      <c r="AN757" s="880"/>
      <c r="AO757" s="880"/>
      <c r="AP757" s="880"/>
      <c r="AQ757" s="880"/>
      <c r="AR757" s="880"/>
      <c r="AS757" s="880"/>
      <c r="AT757" s="880"/>
      <c r="AU757" s="880"/>
      <c r="AV757" s="880"/>
      <c r="AW757" s="881"/>
      <c r="AX757" s="863"/>
      <c r="AY757" s="863"/>
      <c r="AZ757" s="863"/>
      <c r="BA757" s="863"/>
      <c r="BB757" s="863"/>
      <c r="BC757" s="863"/>
      <c r="BD757" s="863"/>
      <c r="BE757" s="863"/>
      <c r="BF757" s="863"/>
      <c r="BG757" s="863"/>
      <c r="BH757" s="863"/>
      <c r="BI757" s="863"/>
      <c r="BJ757" s="863"/>
      <c r="BK757" s="863"/>
      <c r="BL757" s="863"/>
      <c r="BM757" s="863"/>
      <c r="BN757" s="863"/>
      <c r="BO757" s="863"/>
      <c r="BP757" s="880"/>
      <c r="BQ757" s="863"/>
      <c r="BR757" s="883"/>
      <c r="BS757" s="883"/>
      <c r="BT757" s="883"/>
      <c r="BU757" s="883"/>
      <c r="BV757" s="883"/>
      <c r="BW757" s="883"/>
      <c r="BX757" s="883"/>
      <c r="BY757" s="883"/>
      <c r="BZ757" s="883"/>
      <c r="CA757" s="883"/>
      <c r="CB757" s="883"/>
      <c r="CC757" s="883"/>
      <c r="CD757" s="884"/>
      <c r="CE757" s="883"/>
      <c r="CF757" s="883"/>
      <c r="CG757" s="883"/>
      <c r="CH757" s="883"/>
      <c r="CI757" s="883"/>
      <c r="CJ757" s="883"/>
      <c r="CK757" s="883"/>
      <c r="CL757" s="883"/>
      <c r="CM757" s="883"/>
      <c r="CN757" s="883"/>
      <c r="CO757" s="883"/>
      <c r="CP757" s="883"/>
      <c r="CQ757" s="883"/>
      <c r="CR757" s="883"/>
      <c r="CS757" s="883"/>
      <c r="CT757" s="883"/>
      <c r="CU757" s="883"/>
      <c r="CV757" s="863"/>
      <c r="CW757" s="863"/>
      <c r="CX757" s="863"/>
      <c r="CY757" s="863"/>
      <c r="CZ757" s="863"/>
      <c r="DA757" s="863"/>
      <c r="DB757" s="863"/>
      <c r="DC757" s="863"/>
      <c r="DD757" s="863"/>
      <c r="DE757" s="863"/>
    </row>
    <row r="758">
      <c r="A758" s="876"/>
      <c r="B758" s="876"/>
      <c r="C758" s="876"/>
      <c r="D758" s="876"/>
      <c r="E758" s="876"/>
      <c r="F758" s="876"/>
      <c r="G758" s="876"/>
      <c r="H758" s="876"/>
      <c r="I758" s="876"/>
      <c r="J758" s="876"/>
      <c r="K758" s="876"/>
      <c r="L758" s="876"/>
      <c r="M758" s="876"/>
      <c r="N758" s="877"/>
      <c r="O758" s="876"/>
      <c r="P758" s="876"/>
      <c r="Q758" s="876"/>
      <c r="R758" s="876"/>
      <c r="S758" s="876"/>
      <c r="T758" s="876"/>
      <c r="U758" s="876"/>
      <c r="V758" s="876"/>
      <c r="W758" s="876"/>
      <c r="X758" s="876"/>
      <c r="Y758" s="876"/>
      <c r="Z758" s="876"/>
      <c r="AA758" s="876"/>
      <c r="AB758" s="876"/>
      <c r="AC758" s="876"/>
      <c r="AD758" s="876"/>
      <c r="AE758" s="876"/>
      <c r="AF758" s="876"/>
      <c r="AG758" s="876"/>
      <c r="AH758" s="876"/>
      <c r="AI758" s="878"/>
      <c r="AJ758" s="880"/>
      <c r="AK758" s="880"/>
      <c r="AL758" s="880"/>
      <c r="AM758" s="880"/>
      <c r="AN758" s="880"/>
      <c r="AO758" s="880"/>
      <c r="AP758" s="880"/>
      <c r="AQ758" s="880"/>
      <c r="AR758" s="880"/>
      <c r="AS758" s="880"/>
      <c r="AT758" s="880"/>
      <c r="AU758" s="880"/>
      <c r="AV758" s="880"/>
      <c r="AW758" s="881"/>
      <c r="AX758" s="863"/>
      <c r="AY758" s="863"/>
      <c r="AZ758" s="863"/>
      <c r="BA758" s="863"/>
      <c r="BB758" s="863"/>
      <c r="BC758" s="863"/>
      <c r="BD758" s="863"/>
      <c r="BE758" s="863"/>
      <c r="BF758" s="863"/>
      <c r="BG758" s="863"/>
      <c r="BH758" s="863"/>
      <c r="BI758" s="863"/>
      <c r="BJ758" s="863"/>
      <c r="BK758" s="863"/>
      <c r="BL758" s="863"/>
      <c r="BM758" s="863"/>
      <c r="BN758" s="863"/>
      <c r="BO758" s="863"/>
      <c r="BP758" s="880"/>
      <c r="BQ758" s="863"/>
      <c r="BR758" s="883"/>
      <c r="BS758" s="883"/>
      <c r="BT758" s="883"/>
      <c r="BU758" s="883"/>
      <c r="BV758" s="883"/>
      <c r="BW758" s="883"/>
      <c r="BX758" s="883"/>
      <c r="BY758" s="883"/>
      <c r="BZ758" s="883"/>
      <c r="CA758" s="883"/>
      <c r="CB758" s="883"/>
      <c r="CC758" s="883"/>
      <c r="CD758" s="884"/>
      <c r="CE758" s="883"/>
      <c r="CF758" s="883"/>
      <c r="CG758" s="883"/>
      <c r="CH758" s="883"/>
      <c r="CI758" s="883"/>
      <c r="CJ758" s="883"/>
      <c r="CK758" s="883"/>
      <c r="CL758" s="883"/>
      <c r="CM758" s="883"/>
      <c r="CN758" s="883"/>
      <c r="CO758" s="883"/>
      <c r="CP758" s="883"/>
      <c r="CQ758" s="883"/>
      <c r="CR758" s="883"/>
      <c r="CS758" s="883"/>
      <c r="CT758" s="883"/>
      <c r="CU758" s="883"/>
      <c r="CV758" s="863"/>
      <c r="CW758" s="863"/>
      <c r="CX758" s="863"/>
      <c r="CY758" s="863"/>
      <c r="CZ758" s="863"/>
      <c r="DA758" s="863"/>
      <c r="DB758" s="863"/>
      <c r="DC758" s="863"/>
      <c r="DD758" s="863"/>
      <c r="DE758" s="863"/>
    </row>
    <row r="759">
      <c r="A759" s="876"/>
      <c r="B759" s="876"/>
      <c r="C759" s="876"/>
      <c r="D759" s="876"/>
      <c r="E759" s="876"/>
      <c r="F759" s="876"/>
      <c r="G759" s="876"/>
      <c r="H759" s="876"/>
      <c r="I759" s="876"/>
      <c r="J759" s="876"/>
      <c r="K759" s="876"/>
      <c r="L759" s="876"/>
      <c r="M759" s="876"/>
      <c r="N759" s="877"/>
      <c r="O759" s="876"/>
      <c r="P759" s="876"/>
      <c r="Q759" s="876"/>
      <c r="R759" s="876"/>
      <c r="S759" s="876"/>
      <c r="T759" s="876"/>
      <c r="U759" s="876"/>
      <c r="V759" s="876"/>
      <c r="W759" s="876"/>
      <c r="X759" s="876"/>
      <c r="Y759" s="876"/>
      <c r="Z759" s="876"/>
      <c r="AA759" s="876"/>
      <c r="AB759" s="876"/>
      <c r="AC759" s="876"/>
      <c r="AD759" s="876"/>
      <c r="AE759" s="876"/>
      <c r="AF759" s="876"/>
      <c r="AG759" s="876"/>
      <c r="AH759" s="876"/>
      <c r="AI759" s="878"/>
      <c r="AJ759" s="880"/>
      <c r="AK759" s="880"/>
      <c r="AL759" s="880"/>
      <c r="AM759" s="880"/>
      <c r="AN759" s="880"/>
      <c r="AO759" s="880"/>
      <c r="AP759" s="880"/>
      <c r="AQ759" s="880"/>
      <c r="AR759" s="880"/>
      <c r="AS759" s="880"/>
      <c r="AT759" s="880"/>
      <c r="AU759" s="880"/>
      <c r="AV759" s="880"/>
      <c r="AW759" s="881"/>
      <c r="AX759" s="863"/>
      <c r="AY759" s="863"/>
      <c r="AZ759" s="863"/>
      <c r="BA759" s="863"/>
      <c r="BB759" s="863"/>
      <c r="BC759" s="863"/>
      <c r="BD759" s="863"/>
      <c r="BE759" s="863"/>
      <c r="BF759" s="863"/>
      <c r="BG759" s="863"/>
      <c r="BH759" s="863"/>
      <c r="BI759" s="863"/>
      <c r="BJ759" s="863"/>
      <c r="BK759" s="863"/>
      <c r="BL759" s="863"/>
      <c r="BM759" s="863"/>
      <c r="BN759" s="863"/>
      <c r="BO759" s="863"/>
      <c r="BP759" s="880"/>
      <c r="BQ759" s="863"/>
      <c r="BR759" s="883"/>
      <c r="BS759" s="883"/>
      <c r="BT759" s="883"/>
      <c r="BU759" s="883"/>
      <c r="BV759" s="883"/>
      <c r="BW759" s="883"/>
      <c r="BX759" s="883"/>
      <c r="BY759" s="883"/>
      <c r="BZ759" s="883"/>
      <c r="CA759" s="883"/>
      <c r="CB759" s="883"/>
      <c r="CC759" s="883"/>
      <c r="CD759" s="884"/>
      <c r="CE759" s="883"/>
      <c r="CF759" s="883"/>
      <c r="CG759" s="883"/>
      <c r="CH759" s="883"/>
      <c r="CI759" s="883"/>
      <c r="CJ759" s="883"/>
      <c r="CK759" s="883"/>
      <c r="CL759" s="883"/>
      <c r="CM759" s="883"/>
      <c r="CN759" s="883"/>
      <c r="CO759" s="883"/>
      <c r="CP759" s="883"/>
      <c r="CQ759" s="883"/>
      <c r="CR759" s="883"/>
      <c r="CS759" s="883"/>
      <c r="CT759" s="883"/>
      <c r="CU759" s="883"/>
      <c r="CV759" s="863"/>
      <c r="CW759" s="863"/>
      <c r="CX759" s="863"/>
      <c r="CY759" s="863"/>
      <c r="CZ759" s="863"/>
      <c r="DA759" s="863"/>
      <c r="DB759" s="863"/>
      <c r="DC759" s="863"/>
      <c r="DD759" s="863"/>
      <c r="DE759" s="863"/>
    </row>
    <row r="760">
      <c r="A760" s="876"/>
      <c r="B760" s="876"/>
      <c r="C760" s="876"/>
      <c r="D760" s="876"/>
      <c r="E760" s="876"/>
      <c r="F760" s="876"/>
      <c r="G760" s="876"/>
      <c r="H760" s="876"/>
      <c r="I760" s="876"/>
      <c r="J760" s="876"/>
      <c r="K760" s="876"/>
      <c r="L760" s="876"/>
      <c r="M760" s="876"/>
      <c r="N760" s="877"/>
      <c r="O760" s="876"/>
      <c r="P760" s="876"/>
      <c r="Q760" s="876"/>
      <c r="R760" s="876"/>
      <c r="S760" s="876"/>
      <c r="T760" s="876"/>
      <c r="U760" s="876"/>
      <c r="V760" s="876"/>
      <c r="W760" s="876"/>
      <c r="X760" s="876"/>
      <c r="Y760" s="876"/>
      <c r="Z760" s="876"/>
      <c r="AA760" s="876"/>
      <c r="AB760" s="876"/>
      <c r="AC760" s="876"/>
      <c r="AD760" s="876"/>
      <c r="AE760" s="876"/>
      <c r="AF760" s="876"/>
      <c r="AG760" s="876"/>
      <c r="AH760" s="876"/>
      <c r="AI760" s="878"/>
      <c r="AJ760" s="880"/>
      <c r="AK760" s="880"/>
      <c r="AL760" s="880"/>
      <c r="AM760" s="880"/>
      <c r="AN760" s="880"/>
      <c r="AO760" s="880"/>
      <c r="AP760" s="880"/>
      <c r="AQ760" s="880"/>
      <c r="AR760" s="880"/>
      <c r="AS760" s="880"/>
      <c r="AT760" s="880"/>
      <c r="AU760" s="880"/>
      <c r="AV760" s="880"/>
      <c r="AW760" s="881"/>
      <c r="AX760" s="863"/>
      <c r="AY760" s="863"/>
      <c r="AZ760" s="863"/>
      <c r="BA760" s="863"/>
      <c r="BB760" s="863"/>
      <c r="BC760" s="863"/>
      <c r="BD760" s="863"/>
      <c r="BE760" s="863"/>
      <c r="BF760" s="863"/>
      <c r="BG760" s="863"/>
      <c r="BH760" s="863"/>
      <c r="BI760" s="863"/>
      <c r="BJ760" s="863"/>
      <c r="BK760" s="863"/>
      <c r="BL760" s="863"/>
      <c r="BM760" s="863"/>
      <c r="BN760" s="863"/>
      <c r="BO760" s="863"/>
      <c r="BP760" s="880"/>
      <c r="BQ760" s="863"/>
      <c r="BR760" s="883"/>
      <c r="BS760" s="883"/>
      <c r="BT760" s="883"/>
      <c r="BU760" s="883"/>
      <c r="BV760" s="883"/>
      <c r="BW760" s="883"/>
      <c r="BX760" s="883"/>
      <c r="BY760" s="883"/>
      <c r="BZ760" s="883"/>
      <c r="CA760" s="883"/>
      <c r="CB760" s="883"/>
      <c r="CC760" s="883"/>
      <c r="CD760" s="884"/>
      <c r="CE760" s="883"/>
      <c r="CF760" s="883"/>
      <c r="CG760" s="883"/>
      <c r="CH760" s="883"/>
      <c r="CI760" s="883"/>
      <c r="CJ760" s="883"/>
      <c r="CK760" s="883"/>
      <c r="CL760" s="883"/>
      <c r="CM760" s="883"/>
      <c r="CN760" s="883"/>
      <c r="CO760" s="883"/>
      <c r="CP760" s="883"/>
      <c r="CQ760" s="883"/>
      <c r="CR760" s="883"/>
      <c r="CS760" s="883"/>
      <c r="CT760" s="883"/>
      <c r="CU760" s="883"/>
      <c r="CV760" s="863"/>
      <c r="CW760" s="863"/>
      <c r="CX760" s="863"/>
      <c r="CY760" s="863"/>
      <c r="CZ760" s="863"/>
      <c r="DA760" s="863"/>
      <c r="DB760" s="863"/>
      <c r="DC760" s="863"/>
      <c r="DD760" s="863"/>
      <c r="DE760" s="863"/>
    </row>
    <row r="761">
      <c r="A761" s="876"/>
      <c r="B761" s="876"/>
      <c r="C761" s="876"/>
      <c r="D761" s="876"/>
      <c r="E761" s="876"/>
      <c r="F761" s="876"/>
      <c r="G761" s="876"/>
      <c r="H761" s="876"/>
      <c r="I761" s="876"/>
      <c r="J761" s="876"/>
      <c r="K761" s="876"/>
      <c r="L761" s="876"/>
      <c r="M761" s="876"/>
      <c r="N761" s="877"/>
      <c r="O761" s="876"/>
      <c r="P761" s="876"/>
      <c r="Q761" s="876"/>
      <c r="R761" s="876"/>
      <c r="S761" s="876"/>
      <c r="T761" s="876"/>
      <c r="U761" s="876"/>
      <c r="V761" s="876"/>
      <c r="W761" s="876"/>
      <c r="X761" s="876"/>
      <c r="Y761" s="876"/>
      <c r="Z761" s="876"/>
      <c r="AA761" s="876"/>
      <c r="AB761" s="876"/>
      <c r="AC761" s="876"/>
      <c r="AD761" s="876"/>
      <c r="AE761" s="876"/>
      <c r="AF761" s="876"/>
      <c r="AG761" s="876"/>
      <c r="AH761" s="876"/>
      <c r="AI761" s="878"/>
      <c r="AJ761" s="880"/>
      <c r="AK761" s="880"/>
      <c r="AL761" s="880"/>
      <c r="AM761" s="880"/>
      <c r="AN761" s="880"/>
      <c r="AO761" s="880"/>
      <c r="AP761" s="880"/>
      <c r="AQ761" s="880"/>
      <c r="AR761" s="880"/>
      <c r="AS761" s="880"/>
      <c r="AT761" s="880"/>
      <c r="AU761" s="880"/>
      <c r="AV761" s="880"/>
      <c r="AW761" s="881"/>
      <c r="AX761" s="863"/>
      <c r="AY761" s="863"/>
      <c r="AZ761" s="863"/>
      <c r="BA761" s="863"/>
      <c r="BB761" s="863"/>
      <c r="BC761" s="863"/>
      <c r="BD761" s="863"/>
      <c r="BE761" s="863"/>
      <c r="BF761" s="863"/>
      <c r="BG761" s="863"/>
      <c r="BH761" s="863"/>
      <c r="BI761" s="863"/>
      <c r="BJ761" s="863"/>
      <c r="BK761" s="863"/>
      <c r="BL761" s="863"/>
      <c r="BM761" s="863"/>
      <c r="BN761" s="863"/>
      <c r="BO761" s="863"/>
      <c r="BP761" s="880"/>
      <c r="BQ761" s="863"/>
      <c r="BR761" s="883"/>
      <c r="BS761" s="883"/>
      <c r="BT761" s="883"/>
      <c r="BU761" s="883"/>
      <c r="BV761" s="883"/>
      <c r="BW761" s="883"/>
      <c r="BX761" s="883"/>
      <c r="BY761" s="883"/>
      <c r="BZ761" s="883"/>
      <c r="CA761" s="883"/>
      <c r="CB761" s="883"/>
      <c r="CC761" s="883"/>
      <c r="CD761" s="884"/>
      <c r="CE761" s="883"/>
      <c r="CF761" s="883"/>
      <c r="CG761" s="883"/>
      <c r="CH761" s="883"/>
      <c r="CI761" s="883"/>
      <c r="CJ761" s="883"/>
      <c r="CK761" s="883"/>
      <c r="CL761" s="883"/>
      <c r="CM761" s="883"/>
      <c r="CN761" s="883"/>
      <c r="CO761" s="883"/>
      <c r="CP761" s="883"/>
      <c r="CQ761" s="883"/>
      <c r="CR761" s="883"/>
      <c r="CS761" s="883"/>
      <c r="CT761" s="883"/>
      <c r="CU761" s="883"/>
      <c r="CV761" s="863"/>
      <c r="CW761" s="863"/>
      <c r="CX761" s="863"/>
      <c r="CY761" s="863"/>
      <c r="CZ761" s="863"/>
      <c r="DA761" s="863"/>
      <c r="DB761" s="863"/>
      <c r="DC761" s="863"/>
      <c r="DD761" s="863"/>
      <c r="DE761" s="863"/>
    </row>
    <row r="762">
      <c r="A762" s="876"/>
      <c r="B762" s="876"/>
      <c r="C762" s="876"/>
      <c r="D762" s="876"/>
      <c r="E762" s="876"/>
      <c r="F762" s="876"/>
      <c r="G762" s="876"/>
      <c r="H762" s="876"/>
      <c r="I762" s="876"/>
      <c r="J762" s="876"/>
      <c r="K762" s="876"/>
      <c r="L762" s="876"/>
      <c r="M762" s="876"/>
      <c r="N762" s="877"/>
      <c r="O762" s="876"/>
      <c r="P762" s="876"/>
      <c r="Q762" s="876"/>
      <c r="R762" s="876"/>
      <c r="S762" s="876"/>
      <c r="T762" s="876"/>
      <c r="U762" s="876"/>
      <c r="V762" s="876"/>
      <c r="W762" s="876"/>
      <c r="X762" s="876"/>
      <c r="Y762" s="876"/>
      <c r="Z762" s="876"/>
      <c r="AA762" s="876"/>
      <c r="AB762" s="876"/>
      <c r="AC762" s="876"/>
      <c r="AD762" s="876"/>
      <c r="AE762" s="876"/>
      <c r="AF762" s="876"/>
      <c r="AG762" s="876"/>
      <c r="AH762" s="876"/>
      <c r="AI762" s="878"/>
      <c r="AJ762" s="880"/>
      <c r="AK762" s="880"/>
      <c r="AL762" s="880"/>
      <c r="AM762" s="880"/>
      <c r="AN762" s="880"/>
      <c r="AO762" s="880"/>
      <c r="AP762" s="880"/>
      <c r="AQ762" s="880"/>
      <c r="AR762" s="880"/>
      <c r="AS762" s="880"/>
      <c r="AT762" s="880"/>
      <c r="AU762" s="880"/>
      <c r="AV762" s="880"/>
      <c r="AW762" s="881"/>
      <c r="AX762" s="863"/>
      <c r="AY762" s="863"/>
      <c r="AZ762" s="863"/>
      <c r="BA762" s="863"/>
      <c r="BB762" s="863"/>
      <c r="BC762" s="863"/>
      <c r="BD762" s="863"/>
      <c r="BE762" s="863"/>
      <c r="BF762" s="863"/>
      <c r="BG762" s="863"/>
      <c r="BH762" s="863"/>
      <c r="BI762" s="863"/>
      <c r="BJ762" s="863"/>
      <c r="BK762" s="863"/>
      <c r="BL762" s="863"/>
      <c r="BM762" s="863"/>
      <c r="BN762" s="863"/>
      <c r="BO762" s="863"/>
      <c r="BP762" s="880"/>
      <c r="BQ762" s="863"/>
      <c r="BR762" s="883"/>
      <c r="BS762" s="883"/>
      <c r="BT762" s="883"/>
      <c r="BU762" s="883"/>
      <c r="BV762" s="883"/>
      <c r="BW762" s="883"/>
      <c r="BX762" s="883"/>
      <c r="BY762" s="883"/>
      <c r="BZ762" s="883"/>
      <c r="CA762" s="883"/>
      <c r="CB762" s="883"/>
      <c r="CC762" s="883"/>
      <c r="CD762" s="884"/>
      <c r="CE762" s="883"/>
      <c r="CF762" s="883"/>
      <c r="CG762" s="883"/>
      <c r="CH762" s="883"/>
      <c r="CI762" s="883"/>
      <c r="CJ762" s="883"/>
      <c r="CK762" s="883"/>
      <c r="CL762" s="883"/>
      <c r="CM762" s="883"/>
      <c r="CN762" s="883"/>
      <c r="CO762" s="883"/>
      <c r="CP762" s="883"/>
      <c r="CQ762" s="883"/>
      <c r="CR762" s="883"/>
      <c r="CS762" s="883"/>
      <c r="CT762" s="883"/>
      <c r="CU762" s="883"/>
      <c r="CV762" s="863"/>
      <c r="CW762" s="863"/>
      <c r="CX762" s="863"/>
      <c r="CY762" s="863"/>
      <c r="CZ762" s="863"/>
      <c r="DA762" s="863"/>
      <c r="DB762" s="863"/>
      <c r="DC762" s="863"/>
      <c r="DD762" s="863"/>
      <c r="DE762" s="863"/>
    </row>
    <row r="763">
      <c r="A763" s="876"/>
      <c r="B763" s="876"/>
      <c r="C763" s="876"/>
      <c r="D763" s="876"/>
      <c r="E763" s="876"/>
      <c r="F763" s="876"/>
      <c r="G763" s="876"/>
      <c r="H763" s="876"/>
      <c r="I763" s="876"/>
      <c r="J763" s="876"/>
      <c r="K763" s="876"/>
      <c r="L763" s="876"/>
      <c r="M763" s="876"/>
      <c r="N763" s="877"/>
      <c r="O763" s="876"/>
      <c r="P763" s="876"/>
      <c r="Q763" s="876"/>
      <c r="R763" s="876"/>
      <c r="S763" s="876"/>
      <c r="T763" s="876"/>
      <c r="U763" s="876"/>
      <c r="V763" s="876"/>
      <c r="W763" s="876"/>
      <c r="X763" s="876"/>
      <c r="Y763" s="876"/>
      <c r="Z763" s="876"/>
      <c r="AA763" s="876"/>
      <c r="AB763" s="876"/>
      <c r="AC763" s="876"/>
      <c r="AD763" s="876"/>
      <c r="AE763" s="876"/>
      <c r="AF763" s="876"/>
      <c r="AG763" s="876"/>
      <c r="AH763" s="876"/>
      <c r="AI763" s="878"/>
      <c r="AJ763" s="880"/>
      <c r="AK763" s="880"/>
      <c r="AL763" s="880"/>
      <c r="AM763" s="880"/>
      <c r="AN763" s="880"/>
      <c r="AO763" s="880"/>
      <c r="AP763" s="880"/>
      <c r="AQ763" s="880"/>
      <c r="AR763" s="880"/>
      <c r="AS763" s="880"/>
      <c r="AT763" s="880"/>
      <c r="AU763" s="880"/>
      <c r="AV763" s="880"/>
      <c r="AW763" s="881"/>
      <c r="AX763" s="863"/>
      <c r="AY763" s="863"/>
      <c r="AZ763" s="863"/>
      <c r="BA763" s="863"/>
      <c r="BB763" s="863"/>
      <c r="BC763" s="863"/>
      <c r="BD763" s="863"/>
      <c r="BE763" s="863"/>
      <c r="BF763" s="863"/>
      <c r="BG763" s="863"/>
      <c r="BH763" s="863"/>
      <c r="BI763" s="863"/>
      <c r="BJ763" s="863"/>
      <c r="BK763" s="863"/>
      <c r="BL763" s="863"/>
      <c r="BM763" s="863"/>
      <c r="BN763" s="863"/>
      <c r="BO763" s="863"/>
      <c r="BP763" s="880"/>
      <c r="BQ763" s="863"/>
      <c r="BR763" s="883"/>
      <c r="BS763" s="883"/>
      <c r="BT763" s="883"/>
      <c r="BU763" s="883"/>
      <c r="BV763" s="883"/>
      <c r="BW763" s="883"/>
      <c r="BX763" s="883"/>
      <c r="BY763" s="883"/>
      <c r="BZ763" s="883"/>
      <c r="CA763" s="883"/>
      <c r="CB763" s="883"/>
      <c r="CC763" s="883"/>
      <c r="CD763" s="884"/>
      <c r="CE763" s="883"/>
      <c r="CF763" s="883"/>
      <c r="CG763" s="883"/>
      <c r="CH763" s="883"/>
      <c r="CI763" s="883"/>
      <c r="CJ763" s="883"/>
      <c r="CK763" s="883"/>
      <c r="CL763" s="883"/>
      <c r="CM763" s="883"/>
      <c r="CN763" s="883"/>
      <c r="CO763" s="883"/>
      <c r="CP763" s="883"/>
      <c r="CQ763" s="883"/>
      <c r="CR763" s="883"/>
      <c r="CS763" s="883"/>
      <c r="CT763" s="883"/>
      <c r="CU763" s="883"/>
      <c r="CV763" s="863"/>
      <c r="CW763" s="863"/>
      <c r="CX763" s="863"/>
      <c r="CY763" s="863"/>
      <c r="CZ763" s="863"/>
      <c r="DA763" s="863"/>
      <c r="DB763" s="863"/>
      <c r="DC763" s="863"/>
      <c r="DD763" s="863"/>
      <c r="DE763" s="863"/>
    </row>
    <row r="764">
      <c r="A764" s="876"/>
      <c r="B764" s="876"/>
      <c r="C764" s="876"/>
      <c r="D764" s="876"/>
      <c r="E764" s="876"/>
      <c r="F764" s="876"/>
      <c r="G764" s="876"/>
      <c r="H764" s="876"/>
      <c r="I764" s="876"/>
      <c r="J764" s="876"/>
      <c r="K764" s="876"/>
      <c r="L764" s="876"/>
      <c r="M764" s="876"/>
      <c r="N764" s="877"/>
      <c r="O764" s="876"/>
      <c r="P764" s="876"/>
      <c r="Q764" s="876"/>
      <c r="R764" s="876"/>
      <c r="S764" s="876"/>
      <c r="T764" s="876"/>
      <c r="U764" s="876"/>
      <c r="V764" s="876"/>
      <c r="W764" s="876"/>
      <c r="X764" s="876"/>
      <c r="Y764" s="876"/>
      <c r="Z764" s="876"/>
      <c r="AA764" s="876"/>
      <c r="AB764" s="876"/>
      <c r="AC764" s="876"/>
      <c r="AD764" s="876"/>
      <c r="AE764" s="876"/>
      <c r="AF764" s="876"/>
      <c r="AG764" s="876"/>
      <c r="AH764" s="876"/>
      <c r="AI764" s="878"/>
      <c r="AJ764" s="880"/>
      <c r="AK764" s="880"/>
      <c r="AL764" s="880"/>
      <c r="AM764" s="880"/>
      <c r="AN764" s="880"/>
      <c r="AO764" s="880"/>
      <c r="AP764" s="880"/>
      <c r="AQ764" s="880"/>
      <c r="AR764" s="880"/>
      <c r="AS764" s="880"/>
      <c r="AT764" s="880"/>
      <c r="AU764" s="880"/>
      <c r="AV764" s="880"/>
      <c r="AW764" s="881"/>
      <c r="AX764" s="863"/>
      <c r="AY764" s="863"/>
      <c r="AZ764" s="863"/>
      <c r="BA764" s="863"/>
      <c r="BB764" s="863"/>
      <c r="BC764" s="863"/>
      <c r="BD764" s="863"/>
      <c r="BE764" s="863"/>
      <c r="BF764" s="863"/>
      <c r="BG764" s="863"/>
      <c r="BH764" s="863"/>
      <c r="BI764" s="863"/>
      <c r="BJ764" s="863"/>
      <c r="BK764" s="863"/>
      <c r="BL764" s="863"/>
      <c r="BM764" s="863"/>
      <c r="BN764" s="863"/>
      <c r="BO764" s="863"/>
      <c r="BP764" s="880"/>
      <c r="BQ764" s="863"/>
      <c r="BR764" s="883"/>
      <c r="BS764" s="883"/>
      <c r="BT764" s="883"/>
      <c r="BU764" s="883"/>
      <c r="BV764" s="883"/>
      <c r="BW764" s="883"/>
      <c r="BX764" s="883"/>
      <c r="BY764" s="883"/>
      <c r="BZ764" s="883"/>
      <c r="CA764" s="883"/>
      <c r="CB764" s="883"/>
      <c r="CC764" s="883"/>
      <c r="CD764" s="884"/>
      <c r="CE764" s="883"/>
      <c r="CF764" s="883"/>
      <c r="CG764" s="883"/>
      <c r="CH764" s="883"/>
      <c r="CI764" s="883"/>
      <c r="CJ764" s="883"/>
      <c r="CK764" s="883"/>
      <c r="CL764" s="883"/>
      <c r="CM764" s="883"/>
      <c r="CN764" s="883"/>
      <c r="CO764" s="883"/>
      <c r="CP764" s="883"/>
      <c r="CQ764" s="883"/>
      <c r="CR764" s="883"/>
      <c r="CS764" s="883"/>
      <c r="CT764" s="883"/>
      <c r="CU764" s="883"/>
      <c r="CV764" s="863"/>
      <c r="CW764" s="863"/>
      <c r="CX764" s="863"/>
      <c r="CY764" s="863"/>
      <c r="CZ764" s="863"/>
      <c r="DA764" s="863"/>
      <c r="DB764" s="863"/>
      <c r="DC764" s="863"/>
      <c r="DD764" s="863"/>
      <c r="DE764" s="863"/>
    </row>
    <row r="765">
      <c r="A765" s="876"/>
      <c r="B765" s="876"/>
      <c r="C765" s="876"/>
      <c r="D765" s="876"/>
      <c r="E765" s="876"/>
      <c r="F765" s="876"/>
      <c r="G765" s="876"/>
      <c r="H765" s="876"/>
      <c r="I765" s="876"/>
      <c r="J765" s="876"/>
      <c r="K765" s="876"/>
      <c r="L765" s="876"/>
      <c r="M765" s="876"/>
      <c r="N765" s="877"/>
      <c r="O765" s="876"/>
      <c r="P765" s="876"/>
      <c r="Q765" s="876"/>
      <c r="R765" s="876"/>
      <c r="S765" s="876"/>
      <c r="T765" s="876"/>
      <c r="U765" s="876"/>
      <c r="V765" s="876"/>
      <c r="W765" s="876"/>
      <c r="X765" s="876"/>
      <c r="Y765" s="876"/>
      <c r="Z765" s="876"/>
      <c r="AA765" s="876"/>
      <c r="AB765" s="876"/>
      <c r="AC765" s="876"/>
      <c r="AD765" s="876"/>
      <c r="AE765" s="876"/>
      <c r="AF765" s="876"/>
      <c r="AG765" s="876"/>
      <c r="AH765" s="876"/>
      <c r="AI765" s="878"/>
      <c r="AJ765" s="880"/>
      <c r="AK765" s="880"/>
      <c r="AL765" s="880"/>
      <c r="AM765" s="880"/>
      <c r="AN765" s="880"/>
      <c r="AO765" s="880"/>
      <c r="AP765" s="880"/>
      <c r="AQ765" s="880"/>
      <c r="AR765" s="880"/>
      <c r="AS765" s="880"/>
      <c r="AT765" s="880"/>
      <c r="AU765" s="880"/>
      <c r="AV765" s="880"/>
      <c r="AW765" s="881"/>
      <c r="AX765" s="863"/>
      <c r="AY765" s="863"/>
      <c r="AZ765" s="863"/>
      <c r="BA765" s="863"/>
      <c r="BB765" s="863"/>
      <c r="BC765" s="863"/>
      <c r="BD765" s="863"/>
      <c r="BE765" s="863"/>
      <c r="BF765" s="863"/>
      <c r="BG765" s="863"/>
      <c r="BH765" s="863"/>
      <c r="BI765" s="863"/>
      <c r="BJ765" s="863"/>
      <c r="BK765" s="863"/>
      <c r="BL765" s="863"/>
      <c r="BM765" s="863"/>
      <c r="BN765" s="863"/>
      <c r="BO765" s="863"/>
      <c r="BP765" s="880"/>
      <c r="BQ765" s="863"/>
      <c r="BR765" s="883"/>
      <c r="BS765" s="883"/>
      <c r="BT765" s="883"/>
      <c r="BU765" s="883"/>
      <c r="BV765" s="883"/>
      <c r="BW765" s="883"/>
      <c r="BX765" s="883"/>
      <c r="BY765" s="883"/>
      <c r="BZ765" s="883"/>
      <c r="CA765" s="883"/>
      <c r="CB765" s="883"/>
      <c r="CC765" s="883"/>
      <c r="CD765" s="884"/>
      <c r="CE765" s="883"/>
      <c r="CF765" s="883"/>
      <c r="CG765" s="883"/>
      <c r="CH765" s="883"/>
      <c r="CI765" s="883"/>
      <c r="CJ765" s="883"/>
      <c r="CK765" s="883"/>
      <c r="CL765" s="883"/>
      <c r="CM765" s="883"/>
      <c r="CN765" s="883"/>
      <c r="CO765" s="883"/>
      <c r="CP765" s="883"/>
      <c r="CQ765" s="883"/>
      <c r="CR765" s="883"/>
      <c r="CS765" s="883"/>
      <c r="CT765" s="883"/>
      <c r="CU765" s="883"/>
      <c r="CV765" s="863"/>
      <c r="CW765" s="863"/>
      <c r="CX765" s="863"/>
      <c r="CY765" s="863"/>
      <c r="CZ765" s="863"/>
      <c r="DA765" s="863"/>
      <c r="DB765" s="863"/>
      <c r="DC765" s="863"/>
      <c r="DD765" s="863"/>
      <c r="DE765" s="863"/>
    </row>
    <row r="766">
      <c r="A766" s="876"/>
      <c r="B766" s="876"/>
      <c r="C766" s="876"/>
      <c r="D766" s="876"/>
      <c r="E766" s="876"/>
      <c r="F766" s="876"/>
      <c r="G766" s="876"/>
      <c r="H766" s="876"/>
      <c r="I766" s="876"/>
      <c r="J766" s="876"/>
      <c r="K766" s="876"/>
      <c r="L766" s="876"/>
      <c r="M766" s="876"/>
      <c r="N766" s="877"/>
      <c r="O766" s="876"/>
      <c r="P766" s="876"/>
      <c r="Q766" s="876"/>
      <c r="R766" s="876"/>
      <c r="S766" s="876"/>
      <c r="T766" s="876"/>
      <c r="U766" s="876"/>
      <c r="V766" s="876"/>
      <c r="W766" s="876"/>
      <c r="X766" s="876"/>
      <c r="Y766" s="876"/>
      <c r="Z766" s="876"/>
      <c r="AA766" s="876"/>
      <c r="AB766" s="876"/>
      <c r="AC766" s="876"/>
      <c r="AD766" s="876"/>
      <c r="AE766" s="876"/>
      <c r="AF766" s="876"/>
      <c r="AG766" s="876"/>
      <c r="AH766" s="876"/>
      <c r="AI766" s="878"/>
      <c r="AJ766" s="880"/>
      <c r="AK766" s="880"/>
      <c r="AL766" s="880"/>
      <c r="AM766" s="880"/>
      <c r="AN766" s="880"/>
      <c r="AO766" s="880"/>
      <c r="AP766" s="880"/>
      <c r="AQ766" s="880"/>
      <c r="AR766" s="880"/>
      <c r="AS766" s="880"/>
      <c r="AT766" s="880"/>
      <c r="AU766" s="880"/>
      <c r="AV766" s="880"/>
      <c r="AW766" s="881"/>
      <c r="AX766" s="863"/>
      <c r="AY766" s="863"/>
      <c r="AZ766" s="863"/>
      <c r="BA766" s="863"/>
      <c r="BB766" s="863"/>
      <c r="BC766" s="863"/>
      <c r="BD766" s="863"/>
      <c r="BE766" s="863"/>
      <c r="BF766" s="863"/>
      <c r="BG766" s="863"/>
      <c r="BH766" s="863"/>
      <c r="BI766" s="863"/>
      <c r="BJ766" s="863"/>
      <c r="BK766" s="863"/>
      <c r="BL766" s="863"/>
      <c r="BM766" s="863"/>
      <c r="BN766" s="863"/>
      <c r="BO766" s="863"/>
      <c r="BP766" s="880"/>
      <c r="BQ766" s="863"/>
      <c r="BR766" s="883"/>
      <c r="BS766" s="883"/>
      <c r="BT766" s="883"/>
      <c r="BU766" s="883"/>
      <c r="BV766" s="883"/>
      <c r="BW766" s="883"/>
      <c r="BX766" s="883"/>
      <c r="BY766" s="883"/>
      <c r="BZ766" s="883"/>
      <c r="CA766" s="883"/>
      <c r="CB766" s="883"/>
      <c r="CC766" s="883"/>
      <c r="CD766" s="884"/>
      <c r="CE766" s="883"/>
      <c r="CF766" s="883"/>
      <c r="CG766" s="883"/>
      <c r="CH766" s="883"/>
      <c r="CI766" s="883"/>
      <c r="CJ766" s="883"/>
      <c r="CK766" s="883"/>
      <c r="CL766" s="883"/>
      <c r="CM766" s="883"/>
      <c r="CN766" s="883"/>
      <c r="CO766" s="883"/>
      <c r="CP766" s="883"/>
      <c r="CQ766" s="883"/>
      <c r="CR766" s="883"/>
      <c r="CS766" s="883"/>
      <c r="CT766" s="883"/>
      <c r="CU766" s="883"/>
      <c r="CV766" s="863"/>
      <c r="CW766" s="863"/>
      <c r="CX766" s="863"/>
      <c r="CY766" s="863"/>
      <c r="CZ766" s="863"/>
      <c r="DA766" s="863"/>
      <c r="DB766" s="863"/>
      <c r="DC766" s="863"/>
      <c r="DD766" s="863"/>
      <c r="DE766" s="863"/>
    </row>
    <row r="767">
      <c r="A767" s="876"/>
      <c r="B767" s="876"/>
      <c r="C767" s="876"/>
      <c r="D767" s="876"/>
      <c r="E767" s="876"/>
      <c r="F767" s="876"/>
      <c r="G767" s="876"/>
      <c r="H767" s="876"/>
      <c r="I767" s="876"/>
      <c r="J767" s="876"/>
      <c r="K767" s="876"/>
      <c r="L767" s="876"/>
      <c r="M767" s="876"/>
      <c r="N767" s="877"/>
      <c r="O767" s="876"/>
      <c r="P767" s="876"/>
      <c r="Q767" s="876"/>
      <c r="R767" s="876"/>
      <c r="S767" s="876"/>
      <c r="T767" s="876"/>
      <c r="U767" s="876"/>
      <c r="V767" s="876"/>
      <c r="W767" s="876"/>
      <c r="X767" s="876"/>
      <c r="Y767" s="876"/>
      <c r="Z767" s="876"/>
      <c r="AA767" s="876"/>
      <c r="AB767" s="876"/>
      <c r="AC767" s="876"/>
      <c r="AD767" s="876"/>
      <c r="AE767" s="876"/>
      <c r="AF767" s="876"/>
      <c r="AG767" s="876"/>
      <c r="AH767" s="876"/>
      <c r="AI767" s="878"/>
      <c r="AJ767" s="880"/>
      <c r="AK767" s="880"/>
      <c r="AL767" s="880"/>
      <c r="AM767" s="880"/>
      <c r="AN767" s="880"/>
      <c r="AO767" s="880"/>
      <c r="AP767" s="880"/>
      <c r="AQ767" s="880"/>
      <c r="AR767" s="880"/>
      <c r="AS767" s="880"/>
      <c r="AT767" s="880"/>
      <c r="AU767" s="880"/>
      <c r="AV767" s="880"/>
      <c r="AW767" s="881"/>
      <c r="AX767" s="863"/>
      <c r="AY767" s="863"/>
      <c r="AZ767" s="863"/>
      <c r="BA767" s="863"/>
      <c r="BB767" s="863"/>
      <c r="BC767" s="863"/>
      <c r="BD767" s="863"/>
      <c r="BE767" s="863"/>
      <c r="BF767" s="863"/>
      <c r="BG767" s="863"/>
      <c r="BH767" s="863"/>
      <c r="BI767" s="863"/>
      <c r="BJ767" s="863"/>
      <c r="BK767" s="863"/>
      <c r="BL767" s="863"/>
      <c r="BM767" s="863"/>
      <c r="BN767" s="863"/>
      <c r="BO767" s="863"/>
      <c r="BP767" s="880"/>
      <c r="BQ767" s="863"/>
      <c r="BR767" s="883"/>
      <c r="BS767" s="883"/>
      <c r="BT767" s="883"/>
      <c r="BU767" s="883"/>
      <c r="BV767" s="883"/>
      <c r="BW767" s="883"/>
      <c r="BX767" s="883"/>
      <c r="BY767" s="883"/>
      <c r="BZ767" s="883"/>
      <c r="CA767" s="883"/>
      <c r="CB767" s="883"/>
      <c r="CC767" s="883"/>
      <c r="CD767" s="884"/>
      <c r="CE767" s="883"/>
      <c r="CF767" s="883"/>
      <c r="CG767" s="883"/>
      <c r="CH767" s="883"/>
      <c r="CI767" s="883"/>
      <c r="CJ767" s="883"/>
      <c r="CK767" s="883"/>
      <c r="CL767" s="883"/>
      <c r="CM767" s="883"/>
      <c r="CN767" s="883"/>
      <c r="CO767" s="883"/>
      <c r="CP767" s="883"/>
      <c r="CQ767" s="883"/>
      <c r="CR767" s="883"/>
      <c r="CS767" s="883"/>
      <c r="CT767" s="883"/>
      <c r="CU767" s="883"/>
      <c r="CV767" s="863"/>
      <c r="CW767" s="863"/>
      <c r="CX767" s="863"/>
      <c r="CY767" s="863"/>
      <c r="CZ767" s="863"/>
      <c r="DA767" s="863"/>
      <c r="DB767" s="863"/>
      <c r="DC767" s="863"/>
      <c r="DD767" s="863"/>
      <c r="DE767" s="863"/>
    </row>
    <row r="768">
      <c r="A768" s="876"/>
      <c r="B768" s="876"/>
      <c r="C768" s="876"/>
      <c r="D768" s="876"/>
      <c r="E768" s="876"/>
      <c r="F768" s="876"/>
      <c r="G768" s="876"/>
      <c r="H768" s="876"/>
      <c r="I768" s="876"/>
      <c r="J768" s="876"/>
      <c r="K768" s="876"/>
      <c r="L768" s="876"/>
      <c r="M768" s="876"/>
      <c r="N768" s="877"/>
      <c r="O768" s="876"/>
      <c r="P768" s="876"/>
      <c r="Q768" s="876"/>
      <c r="R768" s="876"/>
      <c r="S768" s="876"/>
      <c r="T768" s="876"/>
      <c r="U768" s="876"/>
      <c r="V768" s="876"/>
      <c r="W768" s="876"/>
      <c r="X768" s="876"/>
      <c r="Y768" s="876"/>
      <c r="Z768" s="876"/>
      <c r="AA768" s="876"/>
      <c r="AB768" s="876"/>
      <c r="AC768" s="876"/>
      <c r="AD768" s="876"/>
      <c r="AE768" s="876"/>
      <c r="AF768" s="876"/>
      <c r="AG768" s="876"/>
      <c r="AH768" s="876"/>
      <c r="AI768" s="878"/>
      <c r="AJ768" s="880"/>
      <c r="AK768" s="880"/>
      <c r="AL768" s="880"/>
      <c r="AM768" s="880"/>
      <c r="AN768" s="880"/>
      <c r="AO768" s="880"/>
      <c r="AP768" s="880"/>
      <c r="AQ768" s="880"/>
      <c r="AR768" s="880"/>
      <c r="AS768" s="880"/>
      <c r="AT768" s="880"/>
      <c r="AU768" s="880"/>
      <c r="AV768" s="880"/>
      <c r="AW768" s="881"/>
      <c r="AX768" s="863"/>
      <c r="AY768" s="863"/>
      <c r="AZ768" s="863"/>
      <c r="BA768" s="863"/>
      <c r="BB768" s="863"/>
      <c r="BC768" s="863"/>
      <c r="BD768" s="863"/>
      <c r="BE768" s="863"/>
      <c r="BF768" s="863"/>
      <c r="BG768" s="863"/>
      <c r="BH768" s="863"/>
      <c r="BI768" s="863"/>
      <c r="BJ768" s="863"/>
      <c r="BK768" s="863"/>
      <c r="BL768" s="863"/>
      <c r="BM768" s="863"/>
      <c r="BN768" s="863"/>
      <c r="BO768" s="863"/>
      <c r="BP768" s="880"/>
      <c r="BQ768" s="863"/>
      <c r="BR768" s="883"/>
      <c r="BS768" s="883"/>
      <c r="BT768" s="883"/>
      <c r="BU768" s="883"/>
      <c r="BV768" s="883"/>
      <c r="BW768" s="883"/>
      <c r="BX768" s="883"/>
      <c r="BY768" s="883"/>
      <c r="BZ768" s="883"/>
      <c r="CA768" s="883"/>
      <c r="CB768" s="883"/>
      <c r="CC768" s="883"/>
      <c r="CD768" s="884"/>
      <c r="CE768" s="883"/>
      <c r="CF768" s="883"/>
      <c r="CG768" s="883"/>
      <c r="CH768" s="883"/>
      <c r="CI768" s="883"/>
      <c r="CJ768" s="883"/>
      <c r="CK768" s="883"/>
      <c r="CL768" s="883"/>
      <c r="CM768" s="883"/>
      <c r="CN768" s="883"/>
      <c r="CO768" s="883"/>
      <c r="CP768" s="883"/>
      <c r="CQ768" s="883"/>
      <c r="CR768" s="883"/>
      <c r="CS768" s="883"/>
      <c r="CT768" s="883"/>
      <c r="CU768" s="883"/>
      <c r="CV768" s="863"/>
      <c r="CW768" s="863"/>
      <c r="CX768" s="863"/>
      <c r="CY768" s="863"/>
      <c r="CZ768" s="863"/>
      <c r="DA768" s="863"/>
      <c r="DB768" s="863"/>
      <c r="DC768" s="863"/>
      <c r="DD768" s="863"/>
      <c r="DE768" s="863"/>
    </row>
    <row r="769">
      <c r="A769" s="876"/>
      <c r="B769" s="876"/>
      <c r="C769" s="876"/>
      <c r="D769" s="876"/>
      <c r="E769" s="876"/>
      <c r="F769" s="876"/>
      <c r="G769" s="876"/>
      <c r="H769" s="876"/>
      <c r="I769" s="876"/>
      <c r="J769" s="876"/>
      <c r="K769" s="876"/>
      <c r="L769" s="876"/>
      <c r="M769" s="876"/>
      <c r="N769" s="877"/>
      <c r="O769" s="876"/>
      <c r="P769" s="876"/>
      <c r="Q769" s="876"/>
      <c r="R769" s="876"/>
      <c r="S769" s="876"/>
      <c r="T769" s="876"/>
      <c r="U769" s="876"/>
      <c r="V769" s="876"/>
      <c r="W769" s="876"/>
      <c r="X769" s="876"/>
      <c r="Y769" s="876"/>
      <c r="Z769" s="876"/>
      <c r="AA769" s="876"/>
      <c r="AB769" s="876"/>
      <c r="AC769" s="876"/>
      <c r="AD769" s="876"/>
      <c r="AE769" s="876"/>
      <c r="AF769" s="876"/>
      <c r="AG769" s="876"/>
      <c r="AH769" s="876"/>
      <c r="AI769" s="878"/>
      <c r="AJ769" s="880"/>
      <c r="AK769" s="880"/>
      <c r="AL769" s="880"/>
      <c r="AM769" s="880"/>
      <c r="AN769" s="880"/>
      <c r="AO769" s="880"/>
      <c r="AP769" s="880"/>
      <c r="AQ769" s="880"/>
      <c r="AR769" s="880"/>
      <c r="AS769" s="880"/>
      <c r="AT769" s="880"/>
      <c r="AU769" s="880"/>
      <c r="AV769" s="880"/>
      <c r="AW769" s="881"/>
      <c r="AX769" s="863"/>
      <c r="AY769" s="863"/>
      <c r="AZ769" s="863"/>
      <c r="BA769" s="863"/>
      <c r="BB769" s="863"/>
      <c r="BC769" s="863"/>
      <c r="BD769" s="863"/>
      <c r="BE769" s="863"/>
      <c r="BF769" s="863"/>
      <c r="BG769" s="863"/>
      <c r="BH769" s="863"/>
      <c r="BI769" s="863"/>
      <c r="BJ769" s="863"/>
      <c r="BK769" s="863"/>
      <c r="BL769" s="863"/>
      <c r="BM769" s="863"/>
      <c r="BN769" s="863"/>
      <c r="BO769" s="863"/>
      <c r="BP769" s="880"/>
      <c r="BQ769" s="863"/>
      <c r="BR769" s="883"/>
      <c r="BS769" s="883"/>
      <c r="BT769" s="883"/>
      <c r="BU769" s="883"/>
      <c r="BV769" s="883"/>
      <c r="BW769" s="883"/>
      <c r="BX769" s="883"/>
      <c r="BY769" s="883"/>
      <c r="BZ769" s="883"/>
      <c r="CA769" s="883"/>
      <c r="CB769" s="883"/>
      <c r="CC769" s="883"/>
      <c r="CD769" s="884"/>
      <c r="CE769" s="883"/>
      <c r="CF769" s="883"/>
      <c r="CG769" s="883"/>
      <c r="CH769" s="883"/>
      <c r="CI769" s="883"/>
      <c r="CJ769" s="883"/>
      <c r="CK769" s="883"/>
      <c r="CL769" s="883"/>
      <c r="CM769" s="883"/>
      <c r="CN769" s="883"/>
      <c r="CO769" s="883"/>
      <c r="CP769" s="883"/>
      <c r="CQ769" s="883"/>
      <c r="CR769" s="883"/>
      <c r="CS769" s="883"/>
      <c r="CT769" s="883"/>
      <c r="CU769" s="883"/>
      <c r="CV769" s="863"/>
      <c r="CW769" s="863"/>
      <c r="CX769" s="863"/>
      <c r="CY769" s="863"/>
      <c r="CZ769" s="863"/>
      <c r="DA769" s="863"/>
      <c r="DB769" s="863"/>
      <c r="DC769" s="863"/>
      <c r="DD769" s="863"/>
      <c r="DE769" s="863"/>
    </row>
    <row r="770">
      <c r="A770" s="876"/>
      <c r="B770" s="876"/>
      <c r="C770" s="876"/>
      <c r="D770" s="876"/>
      <c r="E770" s="876"/>
      <c r="F770" s="876"/>
      <c r="G770" s="876"/>
      <c r="H770" s="876"/>
      <c r="I770" s="876"/>
      <c r="J770" s="876"/>
      <c r="K770" s="876"/>
      <c r="L770" s="876"/>
      <c r="M770" s="876"/>
      <c r="N770" s="877"/>
      <c r="O770" s="876"/>
      <c r="P770" s="876"/>
      <c r="Q770" s="876"/>
      <c r="R770" s="876"/>
      <c r="S770" s="876"/>
      <c r="T770" s="876"/>
      <c r="U770" s="876"/>
      <c r="V770" s="876"/>
      <c r="W770" s="876"/>
      <c r="X770" s="876"/>
      <c r="Y770" s="876"/>
      <c r="Z770" s="876"/>
      <c r="AA770" s="876"/>
      <c r="AB770" s="876"/>
      <c r="AC770" s="876"/>
      <c r="AD770" s="876"/>
      <c r="AE770" s="876"/>
      <c r="AF770" s="876"/>
      <c r="AG770" s="876"/>
      <c r="AH770" s="876"/>
      <c r="AI770" s="878"/>
      <c r="AJ770" s="880"/>
      <c r="AK770" s="880"/>
      <c r="AL770" s="880"/>
      <c r="AM770" s="880"/>
      <c r="AN770" s="880"/>
      <c r="AO770" s="880"/>
      <c r="AP770" s="880"/>
      <c r="AQ770" s="880"/>
      <c r="AR770" s="880"/>
      <c r="AS770" s="880"/>
      <c r="AT770" s="880"/>
      <c r="AU770" s="880"/>
      <c r="AV770" s="880"/>
      <c r="AW770" s="881"/>
      <c r="AX770" s="863"/>
      <c r="AY770" s="863"/>
      <c r="AZ770" s="863"/>
      <c r="BA770" s="863"/>
      <c r="BB770" s="863"/>
      <c r="BC770" s="863"/>
      <c r="BD770" s="863"/>
      <c r="BE770" s="863"/>
      <c r="BF770" s="863"/>
      <c r="BG770" s="863"/>
      <c r="BH770" s="863"/>
      <c r="BI770" s="863"/>
      <c r="BJ770" s="863"/>
      <c r="BK770" s="863"/>
      <c r="BL770" s="863"/>
      <c r="BM770" s="863"/>
      <c r="BN770" s="863"/>
      <c r="BO770" s="863"/>
      <c r="BP770" s="880"/>
      <c r="BQ770" s="863"/>
      <c r="BR770" s="883"/>
      <c r="BS770" s="883"/>
      <c r="BT770" s="883"/>
      <c r="BU770" s="883"/>
      <c r="BV770" s="883"/>
      <c r="BW770" s="883"/>
      <c r="BX770" s="883"/>
      <c r="BY770" s="883"/>
      <c r="BZ770" s="883"/>
      <c r="CA770" s="883"/>
      <c r="CB770" s="883"/>
      <c r="CC770" s="883"/>
      <c r="CD770" s="884"/>
      <c r="CE770" s="883"/>
      <c r="CF770" s="883"/>
      <c r="CG770" s="883"/>
      <c r="CH770" s="883"/>
      <c r="CI770" s="883"/>
      <c r="CJ770" s="883"/>
      <c r="CK770" s="883"/>
      <c r="CL770" s="883"/>
      <c r="CM770" s="883"/>
      <c r="CN770" s="883"/>
      <c r="CO770" s="883"/>
      <c r="CP770" s="883"/>
      <c r="CQ770" s="883"/>
      <c r="CR770" s="883"/>
      <c r="CS770" s="883"/>
      <c r="CT770" s="883"/>
      <c r="CU770" s="883"/>
      <c r="CV770" s="863"/>
      <c r="CW770" s="863"/>
      <c r="CX770" s="863"/>
      <c r="CY770" s="863"/>
      <c r="CZ770" s="863"/>
      <c r="DA770" s="863"/>
      <c r="DB770" s="863"/>
      <c r="DC770" s="863"/>
      <c r="DD770" s="863"/>
      <c r="DE770" s="863"/>
    </row>
    <row r="771">
      <c r="A771" s="876"/>
      <c r="B771" s="876"/>
      <c r="C771" s="876"/>
      <c r="D771" s="876"/>
      <c r="E771" s="876"/>
      <c r="F771" s="876"/>
      <c r="G771" s="876"/>
      <c r="H771" s="876"/>
      <c r="I771" s="876"/>
      <c r="J771" s="876"/>
      <c r="K771" s="876"/>
      <c r="L771" s="876"/>
      <c r="M771" s="876"/>
      <c r="N771" s="877"/>
      <c r="O771" s="876"/>
      <c r="P771" s="876"/>
      <c r="Q771" s="876"/>
      <c r="R771" s="876"/>
      <c r="S771" s="876"/>
      <c r="T771" s="876"/>
      <c r="U771" s="876"/>
      <c r="V771" s="876"/>
      <c r="W771" s="876"/>
      <c r="X771" s="876"/>
      <c r="Y771" s="876"/>
      <c r="Z771" s="876"/>
      <c r="AA771" s="876"/>
      <c r="AB771" s="876"/>
      <c r="AC771" s="876"/>
      <c r="AD771" s="876"/>
      <c r="AE771" s="876"/>
      <c r="AF771" s="876"/>
      <c r="AG771" s="876"/>
      <c r="AH771" s="876"/>
      <c r="AI771" s="878"/>
      <c r="AJ771" s="880"/>
      <c r="AK771" s="880"/>
      <c r="AL771" s="880"/>
      <c r="AM771" s="880"/>
      <c r="AN771" s="880"/>
      <c r="AO771" s="880"/>
      <c r="AP771" s="880"/>
      <c r="AQ771" s="880"/>
      <c r="AR771" s="880"/>
      <c r="AS771" s="880"/>
      <c r="AT771" s="880"/>
      <c r="AU771" s="880"/>
      <c r="AV771" s="880"/>
      <c r="AW771" s="881"/>
      <c r="AX771" s="863"/>
      <c r="AY771" s="863"/>
      <c r="AZ771" s="863"/>
      <c r="BA771" s="863"/>
      <c r="BB771" s="863"/>
      <c r="BC771" s="863"/>
      <c r="BD771" s="863"/>
      <c r="BE771" s="863"/>
      <c r="BF771" s="863"/>
      <c r="BG771" s="863"/>
      <c r="BH771" s="863"/>
      <c r="BI771" s="863"/>
      <c r="BJ771" s="863"/>
      <c r="BK771" s="863"/>
      <c r="BL771" s="863"/>
      <c r="BM771" s="863"/>
      <c r="BN771" s="863"/>
      <c r="BO771" s="863"/>
      <c r="BP771" s="880"/>
      <c r="BQ771" s="863"/>
      <c r="BR771" s="883"/>
      <c r="BS771" s="883"/>
      <c r="BT771" s="883"/>
      <c r="BU771" s="883"/>
      <c r="BV771" s="883"/>
      <c r="BW771" s="883"/>
      <c r="BX771" s="883"/>
      <c r="BY771" s="883"/>
      <c r="BZ771" s="883"/>
      <c r="CA771" s="883"/>
      <c r="CB771" s="883"/>
      <c r="CC771" s="883"/>
      <c r="CD771" s="884"/>
      <c r="CE771" s="883"/>
      <c r="CF771" s="883"/>
      <c r="CG771" s="883"/>
      <c r="CH771" s="883"/>
      <c r="CI771" s="883"/>
      <c r="CJ771" s="883"/>
      <c r="CK771" s="883"/>
      <c r="CL771" s="883"/>
      <c r="CM771" s="883"/>
      <c r="CN771" s="883"/>
      <c r="CO771" s="883"/>
      <c r="CP771" s="883"/>
      <c r="CQ771" s="883"/>
      <c r="CR771" s="883"/>
      <c r="CS771" s="883"/>
      <c r="CT771" s="883"/>
      <c r="CU771" s="883"/>
      <c r="CV771" s="863"/>
      <c r="CW771" s="863"/>
      <c r="CX771" s="863"/>
      <c r="CY771" s="863"/>
      <c r="CZ771" s="863"/>
      <c r="DA771" s="863"/>
      <c r="DB771" s="863"/>
      <c r="DC771" s="863"/>
      <c r="DD771" s="863"/>
      <c r="DE771" s="863"/>
    </row>
    <row r="772">
      <c r="A772" s="876"/>
      <c r="B772" s="876"/>
      <c r="C772" s="876"/>
      <c r="D772" s="876"/>
      <c r="E772" s="876"/>
      <c r="F772" s="876"/>
      <c r="G772" s="876"/>
      <c r="H772" s="876"/>
      <c r="I772" s="876"/>
      <c r="J772" s="876"/>
      <c r="K772" s="876"/>
      <c r="L772" s="876"/>
      <c r="M772" s="876"/>
      <c r="N772" s="877"/>
      <c r="O772" s="876"/>
      <c r="P772" s="876"/>
      <c r="Q772" s="876"/>
      <c r="R772" s="876"/>
      <c r="S772" s="876"/>
      <c r="T772" s="876"/>
      <c r="U772" s="876"/>
      <c r="V772" s="876"/>
      <c r="W772" s="876"/>
      <c r="X772" s="876"/>
      <c r="Y772" s="876"/>
      <c r="Z772" s="876"/>
      <c r="AA772" s="876"/>
      <c r="AB772" s="876"/>
      <c r="AC772" s="876"/>
      <c r="AD772" s="876"/>
      <c r="AE772" s="876"/>
      <c r="AF772" s="876"/>
      <c r="AG772" s="876"/>
      <c r="AH772" s="876"/>
      <c r="AI772" s="878"/>
      <c r="AJ772" s="880"/>
      <c r="AK772" s="880"/>
      <c r="AL772" s="880"/>
      <c r="AM772" s="880"/>
      <c r="AN772" s="880"/>
      <c r="AO772" s="880"/>
      <c r="AP772" s="880"/>
      <c r="AQ772" s="880"/>
      <c r="AR772" s="880"/>
      <c r="AS772" s="880"/>
      <c r="AT772" s="880"/>
      <c r="AU772" s="880"/>
      <c r="AV772" s="880"/>
      <c r="AW772" s="881"/>
      <c r="AX772" s="863"/>
      <c r="AY772" s="863"/>
      <c r="AZ772" s="863"/>
      <c r="BA772" s="863"/>
      <c r="BB772" s="863"/>
      <c r="BC772" s="863"/>
      <c r="BD772" s="863"/>
      <c r="BE772" s="863"/>
      <c r="BF772" s="863"/>
      <c r="BG772" s="863"/>
      <c r="BH772" s="863"/>
      <c r="BI772" s="863"/>
      <c r="BJ772" s="863"/>
      <c r="BK772" s="863"/>
      <c r="BL772" s="863"/>
      <c r="BM772" s="863"/>
      <c r="BN772" s="863"/>
      <c r="BO772" s="863"/>
      <c r="BP772" s="880"/>
      <c r="BQ772" s="863"/>
      <c r="BR772" s="883"/>
      <c r="BS772" s="883"/>
      <c r="BT772" s="883"/>
      <c r="BU772" s="883"/>
      <c r="BV772" s="883"/>
      <c r="BW772" s="883"/>
      <c r="BX772" s="883"/>
      <c r="BY772" s="883"/>
      <c r="BZ772" s="883"/>
      <c r="CA772" s="883"/>
      <c r="CB772" s="883"/>
      <c r="CC772" s="883"/>
      <c r="CD772" s="884"/>
      <c r="CE772" s="883"/>
      <c r="CF772" s="883"/>
      <c r="CG772" s="883"/>
      <c r="CH772" s="883"/>
      <c r="CI772" s="883"/>
      <c r="CJ772" s="883"/>
      <c r="CK772" s="883"/>
      <c r="CL772" s="883"/>
      <c r="CM772" s="883"/>
      <c r="CN772" s="883"/>
      <c r="CO772" s="883"/>
      <c r="CP772" s="883"/>
      <c r="CQ772" s="883"/>
      <c r="CR772" s="883"/>
      <c r="CS772" s="883"/>
      <c r="CT772" s="883"/>
      <c r="CU772" s="883"/>
      <c r="CV772" s="863"/>
      <c r="CW772" s="863"/>
      <c r="CX772" s="863"/>
      <c r="CY772" s="863"/>
      <c r="CZ772" s="863"/>
      <c r="DA772" s="863"/>
      <c r="DB772" s="863"/>
      <c r="DC772" s="863"/>
      <c r="DD772" s="863"/>
      <c r="DE772" s="863"/>
    </row>
    <row r="773">
      <c r="A773" s="876"/>
      <c r="B773" s="876"/>
      <c r="C773" s="876"/>
      <c r="D773" s="876"/>
      <c r="E773" s="876"/>
      <c r="F773" s="876"/>
      <c r="G773" s="876"/>
      <c r="H773" s="876"/>
      <c r="I773" s="876"/>
      <c r="J773" s="876"/>
      <c r="K773" s="876"/>
      <c r="L773" s="876"/>
      <c r="M773" s="876"/>
      <c r="N773" s="877"/>
      <c r="O773" s="876"/>
      <c r="P773" s="876"/>
      <c r="Q773" s="876"/>
      <c r="R773" s="876"/>
      <c r="S773" s="876"/>
      <c r="T773" s="876"/>
      <c r="U773" s="876"/>
      <c r="V773" s="876"/>
      <c r="W773" s="876"/>
      <c r="X773" s="876"/>
      <c r="Y773" s="876"/>
      <c r="Z773" s="876"/>
      <c r="AA773" s="876"/>
      <c r="AB773" s="876"/>
      <c r="AC773" s="876"/>
      <c r="AD773" s="876"/>
      <c r="AE773" s="876"/>
      <c r="AF773" s="876"/>
      <c r="AG773" s="876"/>
      <c r="AH773" s="876"/>
      <c r="AI773" s="878"/>
      <c r="AJ773" s="880"/>
      <c r="AK773" s="880"/>
      <c r="AL773" s="880"/>
      <c r="AM773" s="880"/>
      <c r="AN773" s="880"/>
      <c r="AO773" s="880"/>
      <c r="AP773" s="880"/>
      <c r="AQ773" s="880"/>
      <c r="AR773" s="880"/>
      <c r="AS773" s="880"/>
      <c r="AT773" s="880"/>
      <c r="AU773" s="880"/>
      <c r="AV773" s="880"/>
      <c r="AW773" s="881"/>
      <c r="AX773" s="863"/>
      <c r="AY773" s="863"/>
      <c r="AZ773" s="863"/>
      <c r="BA773" s="863"/>
      <c r="BB773" s="863"/>
      <c r="BC773" s="863"/>
      <c r="BD773" s="863"/>
      <c r="BE773" s="863"/>
      <c r="BF773" s="863"/>
      <c r="BG773" s="863"/>
      <c r="BH773" s="863"/>
      <c r="BI773" s="863"/>
      <c r="BJ773" s="863"/>
      <c r="BK773" s="863"/>
      <c r="BL773" s="863"/>
      <c r="BM773" s="863"/>
      <c r="BN773" s="863"/>
      <c r="BO773" s="863"/>
      <c r="BP773" s="880"/>
      <c r="BQ773" s="863"/>
      <c r="BR773" s="883"/>
      <c r="BS773" s="883"/>
      <c r="BT773" s="883"/>
      <c r="BU773" s="883"/>
      <c r="BV773" s="883"/>
      <c r="BW773" s="883"/>
      <c r="BX773" s="883"/>
      <c r="BY773" s="883"/>
      <c r="BZ773" s="883"/>
      <c r="CA773" s="883"/>
      <c r="CB773" s="883"/>
      <c r="CC773" s="883"/>
      <c r="CD773" s="884"/>
      <c r="CE773" s="883"/>
      <c r="CF773" s="883"/>
      <c r="CG773" s="883"/>
      <c r="CH773" s="883"/>
      <c r="CI773" s="883"/>
      <c r="CJ773" s="883"/>
      <c r="CK773" s="883"/>
      <c r="CL773" s="883"/>
      <c r="CM773" s="883"/>
      <c r="CN773" s="883"/>
      <c r="CO773" s="883"/>
      <c r="CP773" s="883"/>
      <c r="CQ773" s="883"/>
      <c r="CR773" s="883"/>
      <c r="CS773" s="883"/>
      <c r="CT773" s="883"/>
      <c r="CU773" s="883"/>
      <c r="CV773" s="863"/>
      <c r="CW773" s="863"/>
      <c r="CX773" s="863"/>
      <c r="CY773" s="863"/>
      <c r="CZ773" s="863"/>
      <c r="DA773" s="863"/>
      <c r="DB773" s="863"/>
      <c r="DC773" s="863"/>
      <c r="DD773" s="863"/>
      <c r="DE773" s="863"/>
    </row>
    <row r="774">
      <c r="A774" s="876"/>
      <c r="B774" s="876"/>
      <c r="C774" s="876"/>
      <c r="D774" s="876"/>
      <c r="E774" s="876"/>
      <c r="F774" s="876"/>
      <c r="G774" s="876"/>
      <c r="H774" s="876"/>
      <c r="I774" s="876"/>
      <c r="J774" s="876"/>
      <c r="K774" s="876"/>
      <c r="L774" s="876"/>
      <c r="M774" s="876"/>
      <c r="N774" s="877"/>
      <c r="O774" s="876"/>
      <c r="P774" s="876"/>
      <c r="Q774" s="876"/>
      <c r="R774" s="876"/>
      <c r="S774" s="876"/>
      <c r="T774" s="876"/>
      <c r="U774" s="876"/>
      <c r="V774" s="876"/>
      <c r="W774" s="876"/>
      <c r="X774" s="876"/>
      <c r="Y774" s="876"/>
      <c r="Z774" s="876"/>
      <c r="AA774" s="876"/>
      <c r="AB774" s="876"/>
      <c r="AC774" s="876"/>
      <c r="AD774" s="876"/>
      <c r="AE774" s="876"/>
      <c r="AF774" s="876"/>
      <c r="AG774" s="876"/>
      <c r="AH774" s="876"/>
      <c r="AI774" s="878"/>
      <c r="AJ774" s="880"/>
      <c r="AK774" s="880"/>
      <c r="AL774" s="880"/>
      <c r="AM774" s="880"/>
      <c r="AN774" s="880"/>
      <c r="AO774" s="880"/>
      <c r="AP774" s="880"/>
      <c r="AQ774" s="880"/>
      <c r="AR774" s="880"/>
      <c r="AS774" s="880"/>
      <c r="AT774" s="880"/>
      <c r="AU774" s="880"/>
      <c r="AV774" s="880"/>
      <c r="AW774" s="881"/>
      <c r="AX774" s="863"/>
      <c r="AY774" s="863"/>
      <c r="AZ774" s="863"/>
      <c r="BA774" s="863"/>
      <c r="BB774" s="863"/>
      <c r="BC774" s="863"/>
      <c r="BD774" s="863"/>
      <c r="BE774" s="863"/>
      <c r="BF774" s="863"/>
      <c r="BG774" s="863"/>
      <c r="BH774" s="863"/>
      <c r="BI774" s="863"/>
      <c r="BJ774" s="863"/>
      <c r="BK774" s="863"/>
      <c r="BL774" s="863"/>
      <c r="BM774" s="863"/>
      <c r="BN774" s="863"/>
      <c r="BO774" s="863"/>
      <c r="BP774" s="880"/>
      <c r="BQ774" s="863"/>
      <c r="BR774" s="883"/>
      <c r="BS774" s="883"/>
      <c r="BT774" s="883"/>
      <c r="BU774" s="883"/>
      <c r="BV774" s="883"/>
      <c r="BW774" s="883"/>
      <c r="BX774" s="883"/>
      <c r="BY774" s="883"/>
      <c r="BZ774" s="883"/>
      <c r="CA774" s="883"/>
      <c r="CB774" s="883"/>
      <c r="CC774" s="883"/>
      <c r="CD774" s="884"/>
      <c r="CE774" s="883"/>
      <c r="CF774" s="883"/>
      <c r="CG774" s="883"/>
      <c r="CH774" s="883"/>
      <c r="CI774" s="883"/>
      <c r="CJ774" s="883"/>
      <c r="CK774" s="883"/>
      <c r="CL774" s="883"/>
      <c r="CM774" s="883"/>
      <c r="CN774" s="883"/>
      <c r="CO774" s="883"/>
      <c r="CP774" s="883"/>
      <c r="CQ774" s="883"/>
      <c r="CR774" s="883"/>
      <c r="CS774" s="883"/>
      <c r="CT774" s="883"/>
      <c r="CU774" s="883"/>
      <c r="CV774" s="863"/>
      <c r="CW774" s="863"/>
      <c r="CX774" s="863"/>
      <c r="CY774" s="863"/>
      <c r="CZ774" s="863"/>
      <c r="DA774" s="863"/>
      <c r="DB774" s="863"/>
      <c r="DC774" s="863"/>
      <c r="DD774" s="863"/>
      <c r="DE774" s="863"/>
    </row>
    <row r="775">
      <c r="A775" s="876"/>
      <c r="B775" s="876"/>
      <c r="C775" s="876"/>
      <c r="D775" s="876"/>
      <c r="E775" s="876"/>
      <c r="F775" s="876"/>
      <c r="G775" s="876"/>
      <c r="H775" s="876"/>
      <c r="I775" s="876"/>
      <c r="J775" s="876"/>
      <c r="K775" s="876"/>
      <c r="L775" s="876"/>
      <c r="M775" s="876"/>
      <c r="N775" s="877"/>
      <c r="O775" s="876"/>
      <c r="P775" s="876"/>
      <c r="Q775" s="876"/>
      <c r="R775" s="876"/>
      <c r="S775" s="876"/>
      <c r="T775" s="876"/>
      <c r="U775" s="876"/>
      <c r="V775" s="876"/>
      <c r="W775" s="876"/>
      <c r="X775" s="876"/>
      <c r="Y775" s="876"/>
      <c r="Z775" s="876"/>
      <c r="AA775" s="876"/>
      <c r="AB775" s="876"/>
      <c r="AC775" s="876"/>
      <c r="AD775" s="876"/>
      <c r="AE775" s="876"/>
      <c r="AF775" s="876"/>
      <c r="AG775" s="876"/>
      <c r="AH775" s="876"/>
      <c r="AI775" s="878"/>
      <c r="AJ775" s="880"/>
      <c r="AK775" s="880"/>
      <c r="AL775" s="880"/>
      <c r="AM775" s="880"/>
      <c r="AN775" s="880"/>
      <c r="AO775" s="880"/>
      <c r="AP775" s="880"/>
      <c r="AQ775" s="880"/>
      <c r="AR775" s="880"/>
      <c r="AS775" s="880"/>
      <c r="AT775" s="880"/>
      <c r="AU775" s="880"/>
      <c r="AV775" s="880"/>
      <c r="AW775" s="881"/>
      <c r="AX775" s="863"/>
      <c r="AY775" s="863"/>
      <c r="AZ775" s="863"/>
      <c r="BA775" s="863"/>
      <c r="BB775" s="863"/>
      <c r="BC775" s="863"/>
      <c r="BD775" s="863"/>
      <c r="BE775" s="863"/>
      <c r="BF775" s="863"/>
      <c r="BG775" s="863"/>
      <c r="BH775" s="863"/>
      <c r="BI775" s="863"/>
      <c r="BJ775" s="863"/>
      <c r="BK775" s="863"/>
      <c r="BL775" s="863"/>
      <c r="BM775" s="863"/>
      <c r="BN775" s="863"/>
      <c r="BO775" s="863"/>
      <c r="BP775" s="880"/>
      <c r="BQ775" s="863"/>
      <c r="BR775" s="883"/>
      <c r="BS775" s="883"/>
      <c r="BT775" s="883"/>
      <c r="BU775" s="883"/>
      <c r="BV775" s="883"/>
      <c r="BW775" s="883"/>
      <c r="BX775" s="883"/>
      <c r="BY775" s="883"/>
      <c r="BZ775" s="883"/>
      <c r="CA775" s="883"/>
      <c r="CB775" s="883"/>
      <c r="CC775" s="883"/>
      <c r="CD775" s="884"/>
      <c r="CE775" s="883"/>
      <c r="CF775" s="883"/>
      <c r="CG775" s="883"/>
      <c r="CH775" s="883"/>
      <c r="CI775" s="883"/>
      <c r="CJ775" s="883"/>
      <c r="CK775" s="883"/>
      <c r="CL775" s="883"/>
      <c r="CM775" s="883"/>
      <c r="CN775" s="883"/>
      <c r="CO775" s="883"/>
      <c r="CP775" s="883"/>
      <c r="CQ775" s="883"/>
      <c r="CR775" s="883"/>
      <c r="CS775" s="883"/>
      <c r="CT775" s="883"/>
      <c r="CU775" s="883"/>
      <c r="CV775" s="863"/>
      <c r="CW775" s="863"/>
      <c r="CX775" s="863"/>
      <c r="CY775" s="863"/>
      <c r="CZ775" s="863"/>
      <c r="DA775" s="863"/>
      <c r="DB775" s="863"/>
      <c r="DC775" s="863"/>
      <c r="DD775" s="863"/>
      <c r="DE775" s="863"/>
    </row>
    <row r="776">
      <c r="A776" s="876"/>
      <c r="B776" s="876"/>
      <c r="C776" s="876"/>
      <c r="D776" s="876"/>
      <c r="E776" s="876"/>
      <c r="F776" s="876"/>
      <c r="G776" s="876"/>
      <c r="H776" s="876"/>
      <c r="I776" s="876"/>
      <c r="J776" s="876"/>
      <c r="K776" s="876"/>
      <c r="L776" s="876"/>
      <c r="M776" s="876"/>
      <c r="N776" s="877"/>
      <c r="O776" s="876"/>
      <c r="P776" s="876"/>
      <c r="Q776" s="876"/>
      <c r="R776" s="876"/>
      <c r="S776" s="876"/>
      <c r="T776" s="876"/>
      <c r="U776" s="876"/>
      <c r="V776" s="876"/>
      <c r="W776" s="876"/>
      <c r="X776" s="876"/>
      <c r="Y776" s="876"/>
      <c r="Z776" s="876"/>
      <c r="AA776" s="876"/>
      <c r="AB776" s="876"/>
      <c r="AC776" s="876"/>
      <c r="AD776" s="876"/>
      <c r="AE776" s="876"/>
      <c r="AF776" s="876"/>
      <c r="AG776" s="876"/>
      <c r="AH776" s="876"/>
      <c r="AI776" s="878"/>
      <c r="AJ776" s="880"/>
      <c r="AK776" s="880"/>
      <c r="AL776" s="880"/>
      <c r="AM776" s="880"/>
      <c r="AN776" s="880"/>
      <c r="AO776" s="880"/>
      <c r="AP776" s="880"/>
      <c r="AQ776" s="880"/>
      <c r="AR776" s="880"/>
      <c r="AS776" s="880"/>
      <c r="AT776" s="880"/>
      <c r="AU776" s="880"/>
      <c r="AV776" s="880"/>
      <c r="AW776" s="881"/>
      <c r="AX776" s="863"/>
      <c r="AY776" s="863"/>
      <c r="AZ776" s="863"/>
      <c r="BA776" s="863"/>
      <c r="BB776" s="863"/>
      <c r="BC776" s="863"/>
      <c r="BD776" s="863"/>
      <c r="BE776" s="863"/>
      <c r="BF776" s="863"/>
      <c r="BG776" s="863"/>
      <c r="BH776" s="863"/>
      <c r="BI776" s="863"/>
      <c r="BJ776" s="863"/>
      <c r="BK776" s="863"/>
      <c r="BL776" s="863"/>
      <c r="BM776" s="863"/>
      <c r="BN776" s="863"/>
      <c r="BO776" s="863"/>
      <c r="BP776" s="880"/>
      <c r="BQ776" s="863"/>
      <c r="BR776" s="883"/>
      <c r="BS776" s="883"/>
      <c r="BT776" s="883"/>
      <c r="BU776" s="883"/>
      <c r="BV776" s="883"/>
      <c r="BW776" s="883"/>
      <c r="BX776" s="883"/>
      <c r="BY776" s="883"/>
      <c r="BZ776" s="883"/>
      <c r="CA776" s="883"/>
      <c r="CB776" s="883"/>
      <c r="CC776" s="883"/>
      <c r="CD776" s="884"/>
      <c r="CE776" s="883"/>
      <c r="CF776" s="883"/>
      <c r="CG776" s="883"/>
      <c r="CH776" s="883"/>
      <c r="CI776" s="883"/>
      <c r="CJ776" s="883"/>
      <c r="CK776" s="883"/>
      <c r="CL776" s="883"/>
      <c r="CM776" s="883"/>
      <c r="CN776" s="883"/>
      <c r="CO776" s="883"/>
      <c r="CP776" s="883"/>
      <c r="CQ776" s="883"/>
      <c r="CR776" s="883"/>
      <c r="CS776" s="883"/>
      <c r="CT776" s="883"/>
      <c r="CU776" s="883"/>
      <c r="CV776" s="863"/>
      <c r="CW776" s="863"/>
      <c r="CX776" s="863"/>
      <c r="CY776" s="863"/>
      <c r="CZ776" s="863"/>
      <c r="DA776" s="863"/>
      <c r="DB776" s="863"/>
      <c r="DC776" s="863"/>
      <c r="DD776" s="863"/>
      <c r="DE776" s="863"/>
    </row>
    <row r="777">
      <c r="A777" s="876"/>
      <c r="B777" s="876"/>
      <c r="C777" s="876"/>
      <c r="D777" s="876"/>
      <c r="E777" s="876"/>
      <c r="F777" s="876"/>
      <c r="G777" s="876"/>
      <c r="H777" s="876"/>
      <c r="I777" s="876"/>
      <c r="J777" s="876"/>
      <c r="K777" s="876"/>
      <c r="L777" s="876"/>
      <c r="M777" s="876"/>
      <c r="N777" s="877"/>
      <c r="O777" s="876"/>
      <c r="P777" s="876"/>
      <c r="Q777" s="876"/>
      <c r="R777" s="876"/>
      <c r="S777" s="876"/>
      <c r="T777" s="876"/>
      <c r="U777" s="876"/>
      <c r="V777" s="876"/>
      <c r="W777" s="876"/>
      <c r="X777" s="876"/>
      <c r="Y777" s="876"/>
      <c r="Z777" s="876"/>
      <c r="AA777" s="876"/>
      <c r="AB777" s="876"/>
      <c r="AC777" s="876"/>
      <c r="AD777" s="876"/>
      <c r="AE777" s="876"/>
      <c r="AF777" s="876"/>
      <c r="AG777" s="876"/>
      <c r="AH777" s="876"/>
      <c r="AI777" s="878"/>
      <c r="AJ777" s="880"/>
      <c r="AK777" s="880"/>
      <c r="AL777" s="880"/>
      <c r="AM777" s="880"/>
      <c r="AN777" s="880"/>
      <c r="AO777" s="880"/>
      <c r="AP777" s="880"/>
      <c r="AQ777" s="880"/>
      <c r="AR777" s="880"/>
      <c r="AS777" s="880"/>
      <c r="AT777" s="880"/>
      <c r="AU777" s="880"/>
      <c r="AV777" s="880"/>
      <c r="AW777" s="881"/>
      <c r="AX777" s="863"/>
      <c r="AY777" s="863"/>
      <c r="AZ777" s="863"/>
      <c r="BA777" s="863"/>
      <c r="BB777" s="863"/>
      <c r="BC777" s="863"/>
      <c r="BD777" s="863"/>
      <c r="BE777" s="863"/>
      <c r="BF777" s="863"/>
      <c r="BG777" s="863"/>
      <c r="BH777" s="863"/>
      <c r="BI777" s="863"/>
      <c r="BJ777" s="863"/>
      <c r="BK777" s="863"/>
      <c r="BL777" s="863"/>
      <c r="BM777" s="863"/>
      <c r="BN777" s="863"/>
      <c r="BO777" s="863"/>
      <c r="BP777" s="880"/>
      <c r="BQ777" s="863"/>
      <c r="BR777" s="883"/>
      <c r="BS777" s="883"/>
      <c r="BT777" s="883"/>
      <c r="BU777" s="883"/>
      <c r="BV777" s="883"/>
      <c r="BW777" s="883"/>
      <c r="BX777" s="883"/>
      <c r="BY777" s="883"/>
      <c r="BZ777" s="883"/>
      <c r="CA777" s="883"/>
      <c r="CB777" s="883"/>
      <c r="CC777" s="883"/>
      <c r="CD777" s="884"/>
      <c r="CE777" s="883"/>
      <c r="CF777" s="883"/>
      <c r="CG777" s="883"/>
      <c r="CH777" s="883"/>
      <c r="CI777" s="883"/>
      <c r="CJ777" s="883"/>
      <c r="CK777" s="883"/>
      <c r="CL777" s="883"/>
      <c r="CM777" s="883"/>
      <c r="CN777" s="883"/>
      <c r="CO777" s="883"/>
      <c r="CP777" s="883"/>
      <c r="CQ777" s="883"/>
      <c r="CR777" s="883"/>
      <c r="CS777" s="883"/>
      <c r="CT777" s="883"/>
      <c r="CU777" s="883"/>
      <c r="CV777" s="863"/>
      <c r="CW777" s="863"/>
      <c r="CX777" s="863"/>
      <c r="CY777" s="863"/>
      <c r="CZ777" s="863"/>
      <c r="DA777" s="863"/>
      <c r="DB777" s="863"/>
      <c r="DC777" s="863"/>
      <c r="DD777" s="863"/>
      <c r="DE777" s="863"/>
    </row>
    <row r="778">
      <c r="A778" s="876"/>
      <c r="B778" s="876"/>
      <c r="C778" s="876"/>
      <c r="D778" s="876"/>
      <c r="E778" s="876"/>
      <c r="F778" s="876"/>
      <c r="G778" s="876"/>
      <c r="H778" s="876"/>
      <c r="I778" s="876"/>
      <c r="J778" s="876"/>
      <c r="K778" s="876"/>
      <c r="L778" s="876"/>
      <c r="M778" s="876"/>
      <c r="N778" s="877"/>
      <c r="O778" s="876"/>
      <c r="P778" s="876"/>
      <c r="Q778" s="876"/>
      <c r="R778" s="876"/>
      <c r="S778" s="876"/>
      <c r="T778" s="876"/>
      <c r="U778" s="876"/>
      <c r="V778" s="876"/>
      <c r="W778" s="876"/>
      <c r="X778" s="876"/>
      <c r="Y778" s="876"/>
      <c r="Z778" s="876"/>
      <c r="AA778" s="876"/>
      <c r="AB778" s="876"/>
      <c r="AC778" s="876"/>
      <c r="AD778" s="876"/>
      <c r="AE778" s="876"/>
      <c r="AF778" s="876"/>
      <c r="AG778" s="876"/>
      <c r="AH778" s="876"/>
      <c r="AI778" s="878"/>
      <c r="AJ778" s="880"/>
      <c r="AK778" s="880"/>
      <c r="AL778" s="880"/>
      <c r="AM778" s="880"/>
      <c r="AN778" s="880"/>
      <c r="AO778" s="880"/>
      <c r="AP778" s="880"/>
      <c r="AQ778" s="880"/>
      <c r="AR778" s="880"/>
      <c r="AS778" s="880"/>
      <c r="AT778" s="880"/>
      <c r="AU778" s="880"/>
      <c r="AV778" s="880"/>
      <c r="AW778" s="881"/>
      <c r="AX778" s="863"/>
      <c r="AY778" s="863"/>
      <c r="AZ778" s="863"/>
      <c r="BA778" s="863"/>
      <c r="BB778" s="863"/>
      <c r="BC778" s="863"/>
      <c r="BD778" s="863"/>
      <c r="BE778" s="863"/>
      <c r="BF778" s="863"/>
      <c r="BG778" s="863"/>
      <c r="BH778" s="863"/>
      <c r="BI778" s="863"/>
      <c r="BJ778" s="863"/>
      <c r="BK778" s="863"/>
      <c r="BL778" s="863"/>
      <c r="BM778" s="863"/>
      <c r="BN778" s="863"/>
      <c r="BO778" s="863"/>
      <c r="BP778" s="880"/>
      <c r="BQ778" s="863"/>
      <c r="BR778" s="883"/>
      <c r="BS778" s="883"/>
      <c r="BT778" s="883"/>
      <c r="BU778" s="883"/>
      <c r="BV778" s="883"/>
      <c r="BW778" s="883"/>
      <c r="BX778" s="883"/>
      <c r="BY778" s="883"/>
      <c r="BZ778" s="883"/>
      <c r="CA778" s="883"/>
      <c r="CB778" s="883"/>
      <c r="CC778" s="883"/>
      <c r="CD778" s="884"/>
      <c r="CE778" s="883"/>
      <c r="CF778" s="883"/>
      <c r="CG778" s="883"/>
      <c r="CH778" s="883"/>
      <c r="CI778" s="883"/>
      <c r="CJ778" s="883"/>
      <c r="CK778" s="883"/>
      <c r="CL778" s="883"/>
      <c r="CM778" s="883"/>
      <c r="CN778" s="883"/>
      <c r="CO778" s="883"/>
      <c r="CP778" s="883"/>
      <c r="CQ778" s="883"/>
      <c r="CR778" s="883"/>
      <c r="CS778" s="883"/>
      <c r="CT778" s="883"/>
      <c r="CU778" s="883"/>
      <c r="CV778" s="863"/>
      <c r="CW778" s="863"/>
      <c r="CX778" s="863"/>
      <c r="CY778" s="863"/>
      <c r="CZ778" s="863"/>
      <c r="DA778" s="863"/>
      <c r="DB778" s="863"/>
      <c r="DC778" s="863"/>
      <c r="DD778" s="863"/>
      <c r="DE778" s="863"/>
    </row>
    <row r="779">
      <c r="A779" s="876"/>
      <c r="B779" s="876"/>
      <c r="C779" s="876"/>
      <c r="D779" s="876"/>
      <c r="E779" s="876"/>
      <c r="F779" s="876"/>
      <c r="G779" s="876"/>
      <c r="H779" s="876"/>
      <c r="I779" s="876"/>
      <c r="J779" s="876"/>
      <c r="K779" s="876"/>
      <c r="L779" s="876"/>
      <c r="M779" s="876"/>
      <c r="N779" s="877"/>
      <c r="O779" s="876"/>
      <c r="P779" s="876"/>
      <c r="Q779" s="876"/>
      <c r="R779" s="876"/>
      <c r="S779" s="876"/>
      <c r="T779" s="876"/>
      <c r="U779" s="876"/>
      <c r="V779" s="876"/>
      <c r="W779" s="876"/>
      <c r="X779" s="876"/>
      <c r="Y779" s="876"/>
      <c r="Z779" s="876"/>
      <c r="AA779" s="876"/>
      <c r="AB779" s="876"/>
      <c r="AC779" s="876"/>
      <c r="AD779" s="876"/>
      <c r="AE779" s="876"/>
      <c r="AF779" s="876"/>
      <c r="AG779" s="876"/>
      <c r="AH779" s="876"/>
      <c r="AI779" s="878"/>
      <c r="AJ779" s="880"/>
      <c r="AK779" s="880"/>
      <c r="AL779" s="880"/>
      <c r="AM779" s="880"/>
      <c r="AN779" s="880"/>
      <c r="AO779" s="880"/>
      <c r="AP779" s="880"/>
      <c r="AQ779" s="880"/>
      <c r="AR779" s="880"/>
      <c r="AS779" s="880"/>
      <c r="AT779" s="880"/>
      <c r="AU779" s="880"/>
      <c r="AV779" s="880"/>
      <c r="AW779" s="881"/>
      <c r="AX779" s="863"/>
      <c r="AY779" s="863"/>
      <c r="AZ779" s="863"/>
      <c r="BA779" s="863"/>
      <c r="BB779" s="863"/>
      <c r="BC779" s="863"/>
      <c r="BD779" s="863"/>
      <c r="BE779" s="863"/>
      <c r="BF779" s="863"/>
      <c r="BG779" s="863"/>
      <c r="BH779" s="863"/>
      <c r="BI779" s="863"/>
      <c r="BJ779" s="863"/>
      <c r="BK779" s="863"/>
      <c r="BL779" s="863"/>
      <c r="BM779" s="863"/>
      <c r="BN779" s="863"/>
      <c r="BO779" s="863"/>
      <c r="BP779" s="880"/>
      <c r="BQ779" s="863"/>
      <c r="BR779" s="883"/>
      <c r="BS779" s="883"/>
      <c r="BT779" s="883"/>
      <c r="BU779" s="883"/>
      <c r="BV779" s="883"/>
      <c r="BW779" s="883"/>
      <c r="BX779" s="883"/>
      <c r="BY779" s="883"/>
      <c r="BZ779" s="883"/>
      <c r="CA779" s="883"/>
      <c r="CB779" s="883"/>
      <c r="CC779" s="883"/>
      <c r="CD779" s="884"/>
      <c r="CE779" s="883"/>
      <c r="CF779" s="883"/>
      <c r="CG779" s="883"/>
      <c r="CH779" s="883"/>
      <c r="CI779" s="883"/>
      <c r="CJ779" s="883"/>
      <c r="CK779" s="883"/>
      <c r="CL779" s="883"/>
      <c r="CM779" s="883"/>
      <c r="CN779" s="883"/>
      <c r="CO779" s="883"/>
      <c r="CP779" s="883"/>
      <c r="CQ779" s="883"/>
      <c r="CR779" s="883"/>
      <c r="CS779" s="883"/>
      <c r="CT779" s="883"/>
      <c r="CU779" s="883"/>
      <c r="CV779" s="863"/>
      <c r="CW779" s="863"/>
      <c r="CX779" s="863"/>
      <c r="CY779" s="863"/>
      <c r="CZ779" s="863"/>
      <c r="DA779" s="863"/>
      <c r="DB779" s="863"/>
      <c r="DC779" s="863"/>
      <c r="DD779" s="863"/>
      <c r="DE779" s="863"/>
    </row>
    <row r="780">
      <c r="A780" s="876"/>
      <c r="B780" s="876"/>
      <c r="C780" s="876"/>
      <c r="D780" s="876"/>
      <c r="E780" s="876"/>
      <c r="F780" s="876"/>
      <c r="G780" s="876"/>
      <c r="H780" s="876"/>
      <c r="I780" s="876"/>
      <c r="J780" s="876"/>
      <c r="K780" s="876"/>
      <c r="L780" s="876"/>
      <c r="M780" s="876"/>
      <c r="N780" s="877"/>
      <c r="O780" s="876"/>
      <c r="P780" s="876"/>
      <c r="Q780" s="876"/>
      <c r="R780" s="876"/>
      <c r="S780" s="876"/>
      <c r="T780" s="876"/>
      <c r="U780" s="876"/>
      <c r="V780" s="876"/>
      <c r="W780" s="876"/>
      <c r="X780" s="876"/>
      <c r="Y780" s="876"/>
      <c r="Z780" s="876"/>
      <c r="AA780" s="876"/>
      <c r="AB780" s="876"/>
      <c r="AC780" s="876"/>
      <c r="AD780" s="876"/>
      <c r="AE780" s="876"/>
      <c r="AF780" s="876"/>
      <c r="AG780" s="876"/>
      <c r="AH780" s="876"/>
      <c r="AI780" s="878"/>
      <c r="AJ780" s="880"/>
      <c r="AK780" s="880"/>
      <c r="AL780" s="880"/>
      <c r="AM780" s="880"/>
      <c r="AN780" s="880"/>
      <c r="AO780" s="880"/>
      <c r="AP780" s="880"/>
      <c r="AQ780" s="880"/>
      <c r="AR780" s="880"/>
      <c r="AS780" s="880"/>
      <c r="AT780" s="880"/>
      <c r="AU780" s="880"/>
      <c r="AV780" s="880"/>
      <c r="AW780" s="881"/>
      <c r="AX780" s="863"/>
      <c r="AY780" s="863"/>
      <c r="AZ780" s="863"/>
      <c r="BA780" s="863"/>
      <c r="BB780" s="863"/>
      <c r="BC780" s="863"/>
      <c r="BD780" s="863"/>
      <c r="BE780" s="863"/>
      <c r="BF780" s="863"/>
      <c r="BG780" s="863"/>
      <c r="BH780" s="863"/>
      <c r="BI780" s="863"/>
      <c r="BJ780" s="863"/>
      <c r="BK780" s="863"/>
      <c r="BL780" s="863"/>
      <c r="BM780" s="863"/>
      <c r="BN780" s="863"/>
      <c r="BO780" s="863"/>
      <c r="BP780" s="880"/>
      <c r="BQ780" s="863"/>
      <c r="BR780" s="883"/>
      <c r="BS780" s="883"/>
      <c r="BT780" s="883"/>
      <c r="BU780" s="883"/>
      <c r="BV780" s="883"/>
      <c r="BW780" s="883"/>
      <c r="BX780" s="883"/>
      <c r="BY780" s="883"/>
      <c r="BZ780" s="883"/>
      <c r="CA780" s="883"/>
      <c r="CB780" s="883"/>
      <c r="CC780" s="883"/>
      <c r="CD780" s="884"/>
      <c r="CE780" s="883"/>
      <c r="CF780" s="883"/>
      <c r="CG780" s="883"/>
      <c r="CH780" s="883"/>
      <c r="CI780" s="883"/>
      <c r="CJ780" s="883"/>
      <c r="CK780" s="883"/>
      <c r="CL780" s="883"/>
      <c r="CM780" s="883"/>
      <c r="CN780" s="883"/>
      <c r="CO780" s="883"/>
      <c r="CP780" s="883"/>
      <c r="CQ780" s="883"/>
      <c r="CR780" s="883"/>
      <c r="CS780" s="883"/>
      <c r="CT780" s="883"/>
      <c r="CU780" s="883"/>
      <c r="CV780" s="863"/>
      <c r="CW780" s="863"/>
      <c r="CX780" s="863"/>
      <c r="CY780" s="863"/>
      <c r="CZ780" s="863"/>
      <c r="DA780" s="863"/>
      <c r="DB780" s="863"/>
      <c r="DC780" s="863"/>
      <c r="DD780" s="863"/>
      <c r="DE780" s="863"/>
    </row>
    <row r="781">
      <c r="A781" s="876"/>
      <c r="B781" s="876"/>
      <c r="C781" s="876"/>
      <c r="D781" s="876"/>
      <c r="E781" s="876"/>
      <c r="F781" s="876"/>
      <c r="G781" s="876"/>
      <c r="H781" s="876"/>
      <c r="I781" s="876"/>
      <c r="J781" s="876"/>
      <c r="K781" s="876"/>
      <c r="L781" s="876"/>
      <c r="M781" s="876"/>
      <c r="N781" s="877"/>
      <c r="O781" s="876"/>
      <c r="P781" s="876"/>
      <c r="Q781" s="876"/>
      <c r="R781" s="876"/>
      <c r="S781" s="876"/>
      <c r="T781" s="876"/>
      <c r="U781" s="876"/>
      <c r="V781" s="876"/>
      <c r="W781" s="876"/>
      <c r="X781" s="876"/>
      <c r="Y781" s="876"/>
      <c r="Z781" s="876"/>
      <c r="AA781" s="876"/>
      <c r="AB781" s="876"/>
      <c r="AC781" s="876"/>
      <c r="AD781" s="876"/>
      <c r="AE781" s="876"/>
      <c r="AF781" s="876"/>
      <c r="AG781" s="876"/>
      <c r="AH781" s="876"/>
      <c r="AI781" s="878"/>
      <c r="AJ781" s="880"/>
      <c r="AK781" s="880"/>
      <c r="AL781" s="880"/>
      <c r="AM781" s="880"/>
      <c r="AN781" s="880"/>
      <c r="AO781" s="880"/>
      <c r="AP781" s="880"/>
      <c r="AQ781" s="880"/>
      <c r="AR781" s="880"/>
      <c r="AS781" s="880"/>
      <c r="AT781" s="880"/>
      <c r="AU781" s="880"/>
      <c r="AV781" s="880"/>
      <c r="AW781" s="881"/>
      <c r="AX781" s="863"/>
      <c r="AY781" s="863"/>
      <c r="AZ781" s="863"/>
      <c r="BA781" s="863"/>
      <c r="BB781" s="863"/>
      <c r="BC781" s="863"/>
      <c r="BD781" s="863"/>
      <c r="BE781" s="863"/>
      <c r="BF781" s="863"/>
      <c r="BG781" s="863"/>
      <c r="BH781" s="863"/>
      <c r="BI781" s="863"/>
      <c r="BJ781" s="863"/>
      <c r="BK781" s="863"/>
      <c r="BL781" s="863"/>
      <c r="BM781" s="863"/>
      <c r="BN781" s="863"/>
      <c r="BO781" s="863"/>
      <c r="BP781" s="880"/>
      <c r="BQ781" s="863"/>
      <c r="BR781" s="883"/>
      <c r="BS781" s="883"/>
      <c r="BT781" s="883"/>
      <c r="BU781" s="883"/>
      <c r="BV781" s="883"/>
      <c r="BW781" s="883"/>
      <c r="BX781" s="883"/>
      <c r="BY781" s="883"/>
      <c r="BZ781" s="883"/>
      <c r="CA781" s="883"/>
      <c r="CB781" s="883"/>
      <c r="CC781" s="883"/>
      <c r="CD781" s="884"/>
      <c r="CE781" s="883"/>
      <c r="CF781" s="883"/>
      <c r="CG781" s="883"/>
      <c r="CH781" s="883"/>
      <c r="CI781" s="883"/>
      <c r="CJ781" s="883"/>
      <c r="CK781" s="883"/>
      <c r="CL781" s="883"/>
      <c r="CM781" s="883"/>
      <c r="CN781" s="883"/>
      <c r="CO781" s="883"/>
      <c r="CP781" s="883"/>
      <c r="CQ781" s="883"/>
      <c r="CR781" s="883"/>
      <c r="CS781" s="883"/>
      <c r="CT781" s="883"/>
      <c r="CU781" s="883"/>
      <c r="CV781" s="863"/>
      <c r="CW781" s="863"/>
      <c r="CX781" s="863"/>
      <c r="CY781" s="863"/>
      <c r="CZ781" s="863"/>
      <c r="DA781" s="863"/>
      <c r="DB781" s="863"/>
      <c r="DC781" s="863"/>
      <c r="DD781" s="863"/>
      <c r="DE781" s="863"/>
    </row>
    <row r="782">
      <c r="A782" s="876"/>
      <c r="B782" s="876"/>
      <c r="C782" s="876"/>
      <c r="D782" s="876"/>
      <c r="E782" s="876"/>
      <c r="F782" s="876"/>
      <c r="G782" s="876"/>
      <c r="H782" s="876"/>
      <c r="I782" s="876"/>
      <c r="J782" s="876"/>
      <c r="K782" s="876"/>
      <c r="L782" s="876"/>
      <c r="M782" s="876"/>
      <c r="N782" s="877"/>
      <c r="O782" s="876"/>
      <c r="P782" s="876"/>
      <c r="Q782" s="876"/>
      <c r="R782" s="876"/>
      <c r="S782" s="876"/>
      <c r="T782" s="876"/>
      <c r="U782" s="876"/>
      <c r="V782" s="876"/>
      <c r="W782" s="876"/>
      <c r="X782" s="876"/>
      <c r="Y782" s="876"/>
      <c r="Z782" s="876"/>
      <c r="AA782" s="876"/>
      <c r="AB782" s="876"/>
      <c r="AC782" s="876"/>
      <c r="AD782" s="876"/>
      <c r="AE782" s="876"/>
      <c r="AF782" s="876"/>
      <c r="AG782" s="876"/>
      <c r="AH782" s="876"/>
      <c r="AI782" s="878"/>
      <c r="AJ782" s="880"/>
      <c r="AK782" s="880"/>
      <c r="AL782" s="880"/>
      <c r="AM782" s="880"/>
      <c r="AN782" s="880"/>
      <c r="AO782" s="880"/>
      <c r="AP782" s="880"/>
      <c r="AQ782" s="880"/>
      <c r="AR782" s="880"/>
      <c r="AS782" s="880"/>
      <c r="AT782" s="880"/>
      <c r="AU782" s="880"/>
      <c r="AV782" s="880"/>
      <c r="AW782" s="881"/>
      <c r="AX782" s="863"/>
      <c r="AY782" s="863"/>
      <c r="AZ782" s="863"/>
      <c r="BA782" s="863"/>
      <c r="BB782" s="863"/>
      <c r="BC782" s="863"/>
      <c r="BD782" s="863"/>
      <c r="BE782" s="863"/>
      <c r="BF782" s="863"/>
      <c r="BG782" s="863"/>
      <c r="BH782" s="863"/>
      <c r="BI782" s="863"/>
      <c r="BJ782" s="863"/>
      <c r="BK782" s="863"/>
      <c r="BL782" s="863"/>
      <c r="BM782" s="863"/>
      <c r="BN782" s="863"/>
      <c r="BO782" s="863"/>
      <c r="BP782" s="880"/>
      <c r="BQ782" s="863"/>
      <c r="BR782" s="883"/>
      <c r="BS782" s="883"/>
      <c r="BT782" s="883"/>
      <c r="BU782" s="883"/>
      <c r="BV782" s="883"/>
      <c r="BW782" s="883"/>
      <c r="BX782" s="883"/>
      <c r="BY782" s="883"/>
      <c r="BZ782" s="883"/>
      <c r="CA782" s="883"/>
      <c r="CB782" s="883"/>
      <c r="CC782" s="883"/>
      <c r="CD782" s="884"/>
      <c r="CE782" s="883"/>
      <c r="CF782" s="883"/>
      <c r="CG782" s="883"/>
      <c r="CH782" s="883"/>
      <c r="CI782" s="883"/>
      <c r="CJ782" s="883"/>
      <c r="CK782" s="883"/>
      <c r="CL782" s="883"/>
      <c r="CM782" s="883"/>
      <c r="CN782" s="883"/>
      <c r="CO782" s="883"/>
      <c r="CP782" s="883"/>
      <c r="CQ782" s="883"/>
      <c r="CR782" s="883"/>
      <c r="CS782" s="883"/>
      <c r="CT782" s="883"/>
      <c r="CU782" s="883"/>
      <c r="CV782" s="863"/>
      <c r="CW782" s="863"/>
      <c r="CX782" s="863"/>
      <c r="CY782" s="863"/>
      <c r="CZ782" s="863"/>
      <c r="DA782" s="863"/>
      <c r="DB782" s="863"/>
      <c r="DC782" s="863"/>
      <c r="DD782" s="863"/>
      <c r="DE782" s="863"/>
    </row>
    <row r="783">
      <c r="A783" s="876"/>
      <c r="B783" s="876"/>
      <c r="C783" s="876"/>
      <c r="D783" s="876"/>
      <c r="E783" s="876"/>
      <c r="F783" s="876"/>
      <c r="G783" s="876"/>
      <c r="H783" s="876"/>
      <c r="I783" s="876"/>
      <c r="J783" s="876"/>
      <c r="K783" s="876"/>
      <c r="L783" s="876"/>
      <c r="M783" s="876"/>
      <c r="N783" s="877"/>
      <c r="O783" s="876"/>
      <c r="P783" s="876"/>
      <c r="Q783" s="876"/>
      <c r="R783" s="876"/>
      <c r="S783" s="876"/>
      <c r="T783" s="876"/>
      <c r="U783" s="876"/>
      <c r="V783" s="876"/>
      <c r="W783" s="876"/>
      <c r="X783" s="876"/>
      <c r="Y783" s="876"/>
      <c r="Z783" s="876"/>
      <c r="AA783" s="876"/>
      <c r="AB783" s="876"/>
      <c r="AC783" s="876"/>
      <c r="AD783" s="876"/>
      <c r="AE783" s="876"/>
      <c r="AF783" s="876"/>
      <c r="AG783" s="876"/>
      <c r="AH783" s="876"/>
      <c r="AI783" s="878"/>
      <c r="AJ783" s="880"/>
      <c r="AK783" s="880"/>
      <c r="AL783" s="880"/>
      <c r="AM783" s="880"/>
      <c r="AN783" s="880"/>
      <c r="AO783" s="880"/>
      <c r="AP783" s="880"/>
      <c r="AQ783" s="880"/>
      <c r="AR783" s="880"/>
      <c r="AS783" s="880"/>
      <c r="AT783" s="880"/>
      <c r="AU783" s="880"/>
      <c r="AV783" s="880"/>
      <c r="AW783" s="881"/>
      <c r="AX783" s="863"/>
      <c r="AY783" s="863"/>
      <c r="AZ783" s="863"/>
      <c r="BA783" s="863"/>
      <c r="BB783" s="863"/>
      <c r="BC783" s="863"/>
      <c r="BD783" s="863"/>
      <c r="BE783" s="863"/>
      <c r="BF783" s="863"/>
      <c r="BG783" s="863"/>
      <c r="BH783" s="863"/>
      <c r="BI783" s="863"/>
      <c r="BJ783" s="863"/>
      <c r="BK783" s="863"/>
      <c r="BL783" s="863"/>
      <c r="BM783" s="863"/>
      <c r="BN783" s="863"/>
      <c r="BO783" s="863"/>
      <c r="BP783" s="880"/>
      <c r="BQ783" s="863"/>
      <c r="BR783" s="883"/>
      <c r="BS783" s="883"/>
      <c r="BT783" s="883"/>
      <c r="BU783" s="883"/>
      <c r="BV783" s="883"/>
      <c r="BW783" s="883"/>
      <c r="BX783" s="883"/>
      <c r="BY783" s="883"/>
      <c r="BZ783" s="883"/>
      <c r="CA783" s="883"/>
      <c r="CB783" s="883"/>
      <c r="CC783" s="883"/>
      <c r="CD783" s="884"/>
      <c r="CE783" s="883"/>
      <c r="CF783" s="883"/>
      <c r="CG783" s="883"/>
      <c r="CH783" s="883"/>
      <c r="CI783" s="883"/>
      <c r="CJ783" s="883"/>
      <c r="CK783" s="883"/>
      <c r="CL783" s="883"/>
      <c r="CM783" s="883"/>
      <c r="CN783" s="883"/>
      <c r="CO783" s="883"/>
      <c r="CP783" s="883"/>
      <c r="CQ783" s="883"/>
      <c r="CR783" s="883"/>
      <c r="CS783" s="883"/>
      <c r="CT783" s="883"/>
      <c r="CU783" s="883"/>
      <c r="CV783" s="863"/>
      <c r="CW783" s="863"/>
      <c r="CX783" s="863"/>
      <c r="CY783" s="863"/>
      <c r="CZ783" s="863"/>
      <c r="DA783" s="863"/>
      <c r="DB783" s="863"/>
      <c r="DC783" s="863"/>
      <c r="DD783" s="863"/>
      <c r="DE783" s="863"/>
    </row>
    <row r="784">
      <c r="A784" s="876"/>
      <c r="B784" s="876"/>
      <c r="C784" s="876"/>
      <c r="D784" s="876"/>
      <c r="E784" s="876"/>
      <c r="F784" s="876"/>
      <c r="G784" s="876"/>
      <c r="H784" s="876"/>
      <c r="I784" s="876"/>
      <c r="J784" s="876"/>
      <c r="K784" s="876"/>
      <c r="L784" s="876"/>
      <c r="M784" s="876"/>
      <c r="N784" s="877"/>
      <c r="O784" s="876"/>
      <c r="P784" s="876"/>
      <c r="Q784" s="876"/>
      <c r="R784" s="876"/>
      <c r="S784" s="876"/>
      <c r="T784" s="876"/>
      <c r="U784" s="876"/>
      <c r="V784" s="876"/>
      <c r="W784" s="876"/>
      <c r="X784" s="876"/>
      <c r="Y784" s="876"/>
      <c r="Z784" s="876"/>
      <c r="AA784" s="876"/>
      <c r="AB784" s="876"/>
      <c r="AC784" s="876"/>
      <c r="AD784" s="876"/>
      <c r="AE784" s="876"/>
      <c r="AF784" s="876"/>
      <c r="AG784" s="876"/>
      <c r="AH784" s="876"/>
      <c r="AI784" s="878"/>
      <c r="AJ784" s="880"/>
      <c r="AK784" s="880"/>
      <c r="AL784" s="880"/>
      <c r="AM784" s="880"/>
      <c r="AN784" s="880"/>
      <c r="AO784" s="880"/>
      <c r="AP784" s="880"/>
      <c r="AQ784" s="880"/>
      <c r="AR784" s="880"/>
      <c r="AS784" s="880"/>
      <c r="AT784" s="880"/>
      <c r="AU784" s="880"/>
      <c r="AV784" s="880"/>
      <c r="AW784" s="881"/>
      <c r="AX784" s="863"/>
      <c r="AY784" s="863"/>
      <c r="AZ784" s="863"/>
      <c r="BA784" s="863"/>
      <c r="BB784" s="863"/>
      <c r="BC784" s="863"/>
      <c r="BD784" s="863"/>
      <c r="BE784" s="863"/>
      <c r="BF784" s="863"/>
      <c r="BG784" s="863"/>
      <c r="BH784" s="863"/>
      <c r="BI784" s="863"/>
      <c r="BJ784" s="863"/>
      <c r="BK784" s="863"/>
      <c r="BL784" s="863"/>
      <c r="BM784" s="863"/>
      <c r="BN784" s="863"/>
      <c r="BO784" s="863"/>
      <c r="BP784" s="880"/>
      <c r="BQ784" s="863"/>
      <c r="BR784" s="883"/>
      <c r="BS784" s="883"/>
      <c r="BT784" s="883"/>
      <c r="BU784" s="883"/>
      <c r="BV784" s="883"/>
      <c r="BW784" s="883"/>
      <c r="BX784" s="883"/>
      <c r="BY784" s="883"/>
      <c r="BZ784" s="883"/>
      <c r="CA784" s="883"/>
      <c r="CB784" s="883"/>
      <c r="CC784" s="883"/>
      <c r="CD784" s="884"/>
      <c r="CE784" s="883"/>
      <c r="CF784" s="883"/>
      <c r="CG784" s="883"/>
      <c r="CH784" s="883"/>
      <c r="CI784" s="883"/>
      <c r="CJ784" s="883"/>
      <c r="CK784" s="883"/>
      <c r="CL784" s="883"/>
      <c r="CM784" s="883"/>
      <c r="CN784" s="883"/>
      <c r="CO784" s="883"/>
      <c r="CP784" s="883"/>
      <c r="CQ784" s="883"/>
      <c r="CR784" s="883"/>
      <c r="CS784" s="883"/>
      <c r="CT784" s="883"/>
      <c r="CU784" s="883"/>
      <c r="CV784" s="863"/>
      <c r="CW784" s="863"/>
      <c r="CX784" s="863"/>
      <c r="CY784" s="863"/>
      <c r="CZ784" s="863"/>
      <c r="DA784" s="863"/>
      <c r="DB784" s="863"/>
      <c r="DC784" s="863"/>
      <c r="DD784" s="863"/>
      <c r="DE784" s="863"/>
    </row>
    <row r="785">
      <c r="A785" s="876"/>
      <c r="B785" s="876"/>
      <c r="C785" s="876"/>
      <c r="D785" s="876"/>
      <c r="E785" s="876"/>
      <c r="F785" s="876"/>
      <c r="G785" s="876"/>
      <c r="H785" s="876"/>
      <c r="I785" s="876"/>
      <c r="J785" s="876"/>
      <c r="K785" s="876"/>
      <c r="L785" s="876"/>
      <c r="M785" s="876"/>
      <c r="N785" s="877"/>
      <c r="O785" s="876"/>
      <c r="P785" s="876"/>
      <c r="Q785" s="876"/>
      <c r="R785" s="876"/>
      <c r="S785" s="876"/>
      <c r="T785" s="876"/>
      <c r="U785" s="876"/>
      <c r="V785" s="876"/>
      <c r="W785" s="876"/>
      <c r="X785" s="876"/>
      <c r="Y785" s="876"/>
      <c r="Z785" s="876"/>
      <c r="AA785" s="876"/>
      <c r="AB785" s="876"/>
      <c r="AC785" s="876"/>
      <c r="AD785" s="876"/>
      <c r="AE785" s="876"/>
      <c r="AF785" s="876"/>
      <c r="AG785" s="876"/>
      <c r="AH785" s="876"/>
      <c r="AI785" s="878"/>
      <c r="AJ785" s="880"/>
      <c r="AK785" s="880"/>
      <c r="AL785" s="880"/>
      <c r="AM785" s="880"/>
      <c r="AN785" s="880"/>
      <c r="AO785" s="880"/>
      <c r="AP785" s="880"/>
      <c r="AQ785" s="880"/>
      <c r="AR785" s="880"/>
      <c r="AS785" s="880"/>
      <c r="AT785" s="880"/>
      <c r="AU785" s="880"/>
      <c r="AV785" s="880"/>
      <c r="AW785" s="881"/>
      <c r="AX785" s="863"/>
      <c r="AY785" s="863"/>
      <c r="AZ785" s="863"/>
      <c r="BA785" s="863"/>
      <c r="BB785" s="863"/>
      <c r="BC785" s="863"/>
      <c r="BD785" s="863"/>
      <c r="BE785" s="863"/>
      <c r="BF785" s="863"/>
      <c r="BG785" s="863"/>
      <c r="BH785" s="863"/>
      <c r="BI785" s="863"/>
      <c r="BJ785" s="863"/>
      <c r="BK785" s="863"/>
      <c r="BL785" s="863"/>
      <c r="BM785" s="863"/>
      <c r="BN785" s="863"/>
      <c r="BO785" s="863"/>
      <c r="BP785" s="880"/>
      <c r="BQ785" s="863"/>
      <c r="BR785" s="883"/>
      <c r="BS785" s="883"/>
      <c r="BT785" s="883"/>
      <c r="BU785" s="883"/>
      <c r="BV785" s="883"/>
      <c r="BW785" s="883"/>
      <c r="BX785" s="883"/>
      <c r="BY785" s="883"/>
      <c r="BZ785" s="883"/>
      <c r="CA785" s="883"/>
      <c r="CB785" s="883"/>
      <c r="CC785" s="883"/>
      <c r="CD785" s="884"/>
      <c r="CE785" s="883"/>
      <c r="CF785" s="883"/>
      <c r="CG785" s="883"/>
      <c r="CH785" s="883"/>
      <c r="CI785" s="883"/>
      <c r="CJ785" s="883"/>
      <c r="CK785" s="883"/>
      <c r="CL785" s="883"/>
      <c r="CM785" s="883"/>
      <c r="CN785" s="883"/>
      <c r="CO785" s="883"/>
      <c r="CP785" s="883"/>
      <c r="CQ785" s="883"/>
      <c r="CR785" s="883"/>
      <c r="CS785" s="883"/>
      <c r="CT785" s="883"/>
      <c r="CU785" s="883"/>
      <c r="CV785" s="863"/>
      <c r="CW785" s="863"/>
      <c r="CX785" s="863"/>
      <c r="CY785" s="863"/>
      <c r="CZ785" s="863"/>
      <c r="DA785" s="863"/>
      <c r="DB785" s="863"/>
      <c r="DC785" s="863"/>
      <c r="DD785" s="863"/>
      <c r="DE785" s="863"/>
    </row>
    <row r="786">
      <c r="A786" s="876"/>
      <c r="B786" s="876"/>
      <c r="C786" s="876"/>
      <c r="D786" s="876"/>
      <c r="E786" s="876"/>
      <c r="F786" s="876"/>
      <c r="G786" s="876"/>
      <c r="H786" s="876"/>
      <c r="I786" s="876"/>
      <c r="J786" s="876"/>
      <c r="K786" s="876"/>
      <c r="L786" s="876"/>
      <c r="M786" s="876"/>
      <c r="N786" s="877"/>
      <c r="O786" s="876"/>
      <c r="P786" s="876"/>
      <c r="Q786" s="876"/>
      <c r="R786" s="876"/>
      <c r="S786" s="876"/>
      <c r="T786" s="876"/>
      <c r="U786" s="876"/>
      <c r="V786" s="876"/>
      <c r="W786" s="876"/>
      <c r="X786" s="876"/>
      <c r="Y786" s="876"/>
      <c r="Z786" s="876"/>
      <c r="AA786" s="876"/>
      <c r="AB786" s="876"/>
      <c r="AC786" s="876"/>
      <c r="AD786" s="876"/>
      <c r="AE786" s="876"/>
      <c r="AF786" s="876"/>
      <c r="AG786" s="876"/>
      <c r="AH786" s="876"/>
      <c r="AI786" s="878"/>
      <c r="AJ786" s="880"/>
      <c r="AK786" s="880"/>
      <c r="AL786" s="880"/>
      <c r="AM786" s="880"/>
      <c r="AN786" s="880"/>
      <c r="AO786" s="880"/>
      <c r="AP786" s="880"/>
      <c r="AQ786" s="880"/>
      <c r="AR786" s="880"/>
      <c r="AS786" s="880"/>
      <c r="AT786" s="880"/>
      <c r="AU786" s="880"/>
      <c r="AV786" s="880"/>
      <c r="AW786" s="881"/>
      <c r="AX786" s="863"/>
      <c r="AY786" s="863"/>
      <c r="AZ786" s="863"/>
      <c r="BA786" s="863"/>
      <c r="BB786" s="863"/>
      <c r="BC786" s="863"/>
      <c r="BD786" s="863"/>
      <c r="BE786" s="863"/>
      <c r="BF786" s="863"/>
      <c r="BG786" s="863"/>
      <c r="BH786" s="863"/>
      <c r="BI786" s="863"/>
      <c r="BJ786" s="863"/>
      <c r="BK786" s="863"/>
      <c r="BL786" s="863"/>
      <c r="BM786" s="863"/>
      <c r="BN786" s="863"/>
      <c r="BO786" s="863"/>
      <c r="BP786" s="880"/>
      <c r="BQ786" s="863"/>
      <c r="BR786" s="883"/>
      <c r="BS786" s="883"/>
      <c r="BT786" s="883"/>
      <c r="BU786" s="883"/>
      <c r="BV786" s="883"/>
      <c r="BW786" s="883"/>
      <c r="BX786" s="883"/>
      <c r="BY786" s="883"/>
      <c r="BZ786" s="883"/>
      <c r="CA786" s="883"/>
      <c r="CB786" s="883"/>
      <c r="CC786" s="883"/>
      <c r="CD786" s="884"/>
      <c r="CE786" s="883"/>
      <c r="CF786" s="883"/>
      <c r="CG786" s="883"/>
      <c r="CH786" s="883"/>
      <c r="CI786" s="883"/>
      <c r="CJ786" s="883"/>
      <c r="CK786" s="883"/>
      <c r="CL786" s="883"/>
      <c r="CM786" s="883"/>
      <c r="CN786" s="883"/>
      <c r="CO786" s="883"/>
      <c r="CP786" s="883"/>
      <c r="CQ786" s="883"/>
      <c r="CR786" s="883"/>
      <c r="CS786" s="883"/>
      <c r="CT786" s="883"/>
      <c r="CU786" s="883"/>
      <c r="CV786" s="863"/>
      <c r="CW786" s="863"/>
      <c r="CX786" s="863"/>
      <c r="CY786" s="863"/>
      <c r="CZ786" s="863"/>
      <c r="DA786" s="863"/>
      <c r="DB786" s="863"/>
      <c r="DC786" s="863"/>
      <c r="DD786" s="863"/>
      <c r="DE786" s="863"/>
    </row>
    <row r="787">
      <c r="A787" s="876"/>
      <c r="B787" s="876"/>
      <c r="C787" s="876"/>
      <c r="D787" s="876"/>
      <c r="E787" s="876"/>
      <c r="F787" s="876"/>
      <c r="G787" s="876"/>
      <c r="H787" s="876"/>
      <c r="I787" s="876"/>
      <c r="J787" s="876"/>
      <c r="K787" s="876"/>
      <c r="L787" s="876"/>
      <c r="M787" s="876"/>
      <c r="N787" s="877"/>
      <c r="O787" s="876"/>
      <c r="P787" s="876"/>
      <c r="Q787" s="876"/>
      <c r="R787" s="876"/>
      <c r="S787" s="876"/>
      <c r="T787" s="876"/>
      <c r="U787" s="876"/>
      <c r="V787" s="876"/>
      <c r="W787" s="876"/>
      <c r="X787" s="876"/>
      <c r="Y787" s="876"/>
      <c r="Z787" s="876"/>
      <c r="AA787" s="876"/>
      <c r="AB787" s="876"/>
      <c r="AC787" s="876"/>
      <c r="AD787" s="876"/>
      <c r="AE787" s="876"/>
      <c r="AF787" s="876"/>
      <c r="AG787" s="876"/>
      <c r="AH787" s="876"/>
      <c r="AI787" s="878"/>
      <c r="AJ787" s="880"/>
      <c r="AK787" s="880"/>
      <c r="AL787" s="880"/>
      <c r="AM787" s="880"/>
      <c r="AN787" s="880"/>
      <c r="AO787" s="880"/>
      <c r="AP787" s="880"/>
      <c r="AQ787" s="880"/>
      <c r="AR787" s="880"/>
      <c r="AS787" s="880"/>
      <c r="AT787" s="880"/>
      <c r="AU787" s="880"/>
      <c r="AV787" s="880"/>
      <c r="AW787" s="881"/>
      <c r="AX787" s="863"/>
      <c r="AY787" s="863"/>
      <c r="AZ787" s="863"/>
      <c r="BA787" s="863"/>
      <c r="BB787" s="863"/>
      <c r="BC787" s="863"/>
      <c r="BD787" s="863"/>
      <c r="BE787" s="863"/>
      <c r="BF787" s="863"/>
      <c r="BG787" s="863"/>
      <c r="BH787" s="863"/>
      <c r="BI787" s="863"/>
      <c r="BJ787" s="863"/>
      <c r="BK787" s="863"/>
      <c r="BL787" s="863"/>
      <c r="BM787" s="863"/>
      <c r="BN787" s="863"/>
      <c r="BO787" s="863"/>
      <c r="BP787" s="880"/>
      <c r="BQ787" s="863"/>
      <c r="BR787" s="883"/>
      <c r="BS787" s="883"/>
      <c r="BT787" s="883"/>
      <c r="BU787" s="883"/>
      <c r="BV787" s="883"/>
      <c r="BW787" s="883"/>
      <c r="BX787" s="883"/>
      <c r="BY787" s="883"/>
      <c r="BZ787" s="883"/>
      <c r="CA787" s="883"/>
      <c r="CB787" s="883"/>
      <c r="CC787" s="883"/>
      <c r="CD787" s="884"/>
      <c r="CE787" s="883"/>
      <c r="CF787" s="883"/>
      <c r="CG787" s="883"/>
      <c r="CH787" s="883"/>
      <c r="CI787" s="883"/>
      <c r="CJ787" s="883"/>
      <c r="CK787" s="883"/>
      <c r="CL787" s="883"/>
      <c r="CM787" s="883"/>
      <c r="CN787" s="883"/>
      <c r="CO787" s="883"/>
      <c r="CP787" s="883"/>
      <c r="CQ787" s="883"/>
      <c r="CR787" s="883"/>
      <c r="CS787" s="883"/>
      <c r="CT787" s="883"/>
      <c r="CU787" s="883"/>
      <c r="CV787" s="863"/>
      <c r="CW787" s="863"/>
      <c r="CX787" s="863"/>
      <c r="CY787" s="863"/>
      <c r="CZ787" s="863"/>
      <c r="DA787" s="863"/>
      <c r="DB787" s="863"/>
      <c r="DC787" s="863"/>
      <c r="DD787" s="863"/>
      <c r="DE787" s="863"/>
    </row>
    <row r="788">
      <c r="A788" s="876"/>
      <c r="B788" s="876"/>
      <c r="C788" s="876"/>
      <c r="D788" s="876"/>
      <c r="E788" s="876"/>
      <c r="F788" s="876"/>
      <c r="G788" s="876"/>
      <c r="H788" s="876"/>
      <c r="I788" s="876"/>
      <c r="J788" s="876"/>
      <c r="K788" s="876"/>
      <c r="L788" s="876"/>
      <c r="M788" s="876"/>
      <c r="N788" s="877"/>
      <c r="O788" s="876"/>
      <c r="P788" s="876"/>
      <c r="Q788" s="876"/>
      <c r="R788" s="876"/>
      <c r="S788" s="876"/>
      <c r="T788" s="876"/>
      <c r="U788" s="876"/>
      <c r="V788" s="876"/>
      <c r="W788" s="876"/>
      <c r="X788" s="876"/>
      <c r="Y788" s="876"/>
      <c r="Z788" s="876"/>
      <c r="AA788" s="876"/>
      <c r="AB788" s="876"/>
      <c r="AC788" s="876"/>
      <c r="AD788" s="876"/>
      <c r="AE788" s="876"/>
      <c r="AF788" s="876"/>
      <c r="AG788" s="876"/>
      <c r="AH788" s="876"/>
      <c r="AI788" s="878"/>
      <c r="AJ788" s="880"/>
      <c r="AK788" s="880"/>
      <c r="AL788" s="880"/>
      <c r="AM788" s="880"/>
      <c r="AN788" s="880"/>
      <c r="AO788" s="880"/>
      <c r="AP788" s="880"/>
      <c r="AQ788" s="880"/>
      <c r="AR788" s="880"/>
      <c r="AS788" s="880"/>
      <c r="AT788" s="880"/>
      <c r="AU788" s="880"/>
      <c r="AV788" s="880"/>
      <c r="AW788" s="881"/>
      <c r="AX788" s="863"/>
      <c r="AY788" s="863"/>
      <c r="AZ788" s="863"/>
      <c r="BA788" s="863"/>
      <c r="BB788" s="863"/>
      <c r="BC788" s="863"/>
      <c r="BD788" s="863"/>
      <c r="BE788" s="863"/>
      <c r="BF788" s="863"/>
      <c r="BG788" s="863"/>
      <c r="BH788" s="863"/>
      <c r="BI788" s="863"/>
      <c r="BJ788" s="863"/>
      <c r="BK788" s="863"/>
      <c r="BL788" s="863"/>
      <c r="BM788" s="863"/>
      <c r="BN788" s="863"/>
      <c r="BO788" s="863"/>
      <c r="BP788" s="880"/>
      <c r="BQ788" s="863"/>
      <c r="BR788" s="883"/>
      <c r="BS788" s="883"/>
      <c r="BT788" s="883"/>
      <c r="BU788" s="883"/>
      <c r="BV788" s="883"/>
      <c r="BW788" s="883"/>
      <c r="BX788" s="883"/>
      <c r="BY788" s="883"/>
      <c r="BZ788" s="883"/>
      <c r="CA788" s="883"/>
      <c r="CB788" s="883"/>
      <c r="CC788" s="883"/>
      <c r="CD788" s="884"/>
      <c r="CE788" s="883"/>
      <c r="CF788" s="883"/>
      <c r="CG788" s="883"/>
      <c r="CH788" s="883"/>
      <c r="CI788" s="883"/>
      <c r="CJ788" s="883"/>
      <c r="CK788" s="883"/>
      <c r="CL788" s="883"/>
      <c r="CM788" s="883"/>
      <c r="CN788" s="883"/>
      <c r="CO788" s="883"/>
      <c r="CP788" s="883"/>
      <c r="CQ788" s="883"/>
      <c r="CR788" s="883"/>
      <c r="CS788" s="883"/>
      <c r="CT788" s="883"/>
      <c r="CU788" s="883"/>
      <c r="CV788" s="863"/>
      <c r="CW788" s="863"/>
      <c r="CX788" s="863"/>
      <c r="CY788" s="863"/>
      <c r="CZ788" s="863"/>
      <c r="DA788" s="863"/>
      <c r="DB788" s="863"/>
      <c r="DC788" s="863"/>
      <c r="DD788" s="863"/>
      <c r="DE788" s="863"/>
    </row>
    <row r="789">
      <c r="A789" s="876"/>
      <c r="B789" s="876"/>
      <c r="C789" s="876"/>
      <c r="D789" s="876"/>
      <c r="E789" s="876"/>
      <c r="F789" s="876"/>
      <c r="G789" s="876"/>
      <c r="H789" s="876"/>
      <c r="I789" s="876"/>
      <c r="J789" s="876"/>
      <c r="K789" s="876"/>
      <c r="L789" s="876"/>
      <c r="M789" s="876"/>
      <c r="N789" s="877"/>
      <c r="O789" s="876"/>
      <c r="P789" s="876"/>
      <c r="Q789" s="876"/>
      <c r="R789" s="876"/>
      <c r="S789" s="876"/>
      <c r="T789" s="876"/>
      <c r="U789" s="876"/>
      <c r="V789" s="876"/>
      <c r="W789" s="876"/>
      <c r="X789" s="876"/>
      <c r="Y789" s="876"/>
      <c r="Z789" s="876"/>
      <c r="AA789" s="876"/>
      <c r="AB789" s="876"/>
      <c r="AC789" s="876"/>
      <c r="AD789" s="876"/>
      <c r="AE789" s="876"/>
      <c r="AF789" s="876"/>
      <c r="AG789" s="876"/>
      <c r="AH789" s="876"/>
      <c r="AI789" s="878"/>
      <c r="AJ789" s="880"/>
      <c r="AK789" s="880"/>
      <c r="AL789" s="880"/>
      <c r="AM789" s="880"/>
      <c r="AN789" s="880"/>
      <c r="AO789" s="880"/>
      <c r="AP789" s="880"/>
      <c r="AQ789" s="880"/>
      <c r="AR789" s="880"/>
      <c r="AS789" s="880"/>
      <c r="AT789" s="880"/>
      <c r="AU789" s="880"/>
      <c r="AV789" s="880"/>
      <c r="AW789" s="881"/>
      <c r="AX789" s="863"/>
      <c r="AY789" s="863"/>
      <c r="AZ789" s="863"/>
      <c r="BA789" s="863"/>
      <c r="BB789" s="863"/>
      <c r="BC789" s="863"/>
      <c r="BD789" s="863"/>
      <c r="BE789" s="863"/>
      <c r="BF789" s="863"/>
      <c r="BG789" s="863"/>
      <c r="BH789" s="863"/>
      <c r="BI789" s="863"/>
      <c r="BJ789" s="863"/>
      <c r="BK789" s="863"/>
      <c r="BL789" s="863"/>
      <c r="BM789" s="863"/>
      <c r="BN789" s="863"/>
      <c r="BO789" s="863"/>
      <c r="BP789" s="880"/>
      <c r="BQ789" s="863"/>
      <c r="BR789" s="883"/>
      <c r="BS789" s="883"/>
      <c r="BT789" s="883"/>
      <c r="BU789" s="883"/>
      <c r="BV789" s="883"/>
      <c r="BW789" s="883"/>
      <c r="BX789" s="883"/>
      <c r="BY789" s="883"/>
      <c r="BZ789" s="883"/>
      <c r="CA789" s="883"/>
      <c r="CB789" s="883"/>
      <c r="CC789" s="883"/>
      <c r="CD789" s="884"/>
      <c r="CE789" s="883"/>
      <c r="CF789" s="883"/>
      <c r="CG789" s="883"/>
      <c r="CH789" s="883"/>
      <c r="CI789" s="883"/>
      <c r="CJ789" s="883"/>
      <c r="CK789" s="883"/>
      <c r="CL789" s="883"/>
      <c r="CM789" s="883"/>
      <c r="CN789" s="883"/>
      <c r="CO789" s="883"/>
      <c r="CP789" s="883"/>
      <c r="CQ789" s="883"/>
      <c r="CR789" s="883"/>
      <c r="CS789" s="883"/>
      <c r="CT789" s="883"/>
      <c r="CU789" s="883"/>
      <c r="CV789" s="863"/>
      <c r="CW789" s="863"/>
      <c r="CX789" s="863"/>
      <c r="CY789" s="863"/>
      <c r="CZ789" s="863"/>
      <c r="DA789" s="863"/>
      <c r="DB789" s="863"/>
      <c r="DC789" s="863"/>
      <c r="DD789" s="863"/>
      <c r="DE789" s="863"/>
    </row>
    <row r="790">
      <c r="A790" s="876"/>
      <c r="B790" s="876"/>
      <c r="C790" s="876"/>
      <c r="D790" s="876"/>
      <c r="E790" s="876"/>
      <c r="F790" s="876"/>
      <c r="G790" s="876"/>
      <c r="H790" s="876"/>
      <c r="I790" s="876"/>
      <c r="J790" s="876"/>
      <c r="K790" s="876"/>
      <c r="L790" s="876"/>
      <c r="M790" s="876"/>
      <c r="N790" s="877"/>
      <c r="O790" s="876"/>
      <c r="P790" s="876"/>
      <c r="Q790" s="876"/>
      <c r="R790" s="876"/>
      <c r="S790" s="876"/>
      <c r="T790" s="876"/>
      <c r="U790" s="876"/>
      <c r="V790" s="876"/>
      <c r="W790" s="876"/>
      <c r="X790" s="876"/>
      <c r="Y790" s="876"/>
      <c r="Z790" s="876"/>
      <c r="AA790" s="876"/>
      <c r="AB790" s="876"/>
      <c r="AC790" s="876"/>
      <c r="AD790" s="876"/>
      <c r="AE790" s="876"/>
      <c r="AF790" s="876"/>
      <c r="AG790" s="876"/>
      <c r="AH790" s="876"/>
      <c r="AI790" s="878"/>
      <c r="AJ790" s="880"/>
      <c r="AK790" s="880"/>
      <c r="AL790" s="880"/>
      <c r="AM790" s="880"/>
      <c r="AN790" s="880"/>
      <c r="AO790" s="880"/>
      <c r="AP790" s="880"/>
      <c r="AQ790" s="880"/>
      <c r="AR790" s="880"/>
      <c r="AS790" s="880"/>
      <c r="AT790" s="880"/>
      <c r="AU790" s="880"/>
      <c r="AV790" s="880"/>
      <c r="AW790" s="881"/>
      <c r="AX790" s="863"/>
      <c r="AY790" s="863"/>
      <c r="AZ790" s="863"/>
      <c r="BA790" s="863"/>
      <c r="BB790" s="863"/>
      <c r="BC790" s="863"/>
      <c r="BD790" s="863"/>
      <c r="BE790" s="863"/>
      <c r="BF790" s="863"/>
      <c r="BG790" s="863"/>
      <c r="BH790" s="863"/>
      <c r="BI790" s="863"/>
      <c r="BJ790" s="863"/>
      <c r="BK790" s="863"/>
      <c r="BL790" s="863"/>
      <c r="BM790" s="863"/>
      <c r="BN790" s="863"/>
      <c r="BO790" s="863"/>
      <c r="BP790" s="880"/>
      <c r="BQ790" s="863"/>
      <c r="BR790" s="883"/>
      <c r="BS790" s="883"/>
      <c r="BT790" s="883"/>
      <c r="BU790" s="883"/>
      <c r="BV790" s="883"/>
      <c r="BW790" s="883"/>
      <c r="BX790" s="883"/>
      <c r="BY790" s="883"/>
      <c r="BZ790" s="883"/>
      <c r="CA790" s="883"/>
      <c r="CB790" s="883"/>
      <c r="CC790" s="883"/>
      <c r="CD790" s="884"/>
      <c r="CE790" s="883"/>
      <c r="CF790" s="883"/>
      <c r="CG790" s="883"/>
      <c r="CH790" s="883"/>
      <c r="CI790" s="883"/>
      <c r="CJ790" s="883"/>
      <c r="CK790" s="883"/>
      <c r="CL790" s="883"/>
      <c r="CM790" s="883"/>
      <c r="CN790" s="883"/>
      <c r="CO790" s="883"/>
      <c r="CP790" s="883"/>
      <c r="CQ790" s="883"/>
      <c r="CR790" s="883"/>
      <c r="CS790" s="883"/>
      <c r="CT790" s="883"/>
      <c r="CU790" s="883"/>
      <c r="CV790" s="863"/>
      <c r="CW790" s="863"/>
      <c r="CX790" s="863"/>
      <c r="CY790" s="863"/>
      <c r="CZ790" s="863"/>
      <c r="DA790" s="863"/>
      <c r="DB790" s="863"/>
      <c r="DC790" s="863"/>
      <c r="DD790" s="863"/>
      <c r="DE790" s="863"/>
    </row>
    <row r="791">
      <c r="A791" s="876"/>
      <c r="B791" s="876"/>
      <c r="C791" s="876"/>
      <c r="D791" s="876"/>
      <c r="E791" s="876"/>
      <c r="F791" s="876"/>
      <c r="G791" s="876"/>
      <c r="H791" s="876"/>
      <c r="I791" s="876"/>
      <c r="J791" s="876"/>
      <c r="K791" s="876"/>
      <c r="L791" s="876"/>
      <c r="M791" s="876"/>
      <c r="N791" s="877"/>
      <c r="O791" s="876"/>
      <c r="P791" s="876"/>
      <c r="Q791" s="876"/>
      <c r="R791" s="876"/>
      <c r="S791" s="876"/>
      <c r="T791" s="876"/>
      <c r="U791" s="876"/>
      <c r="V791" s="876"/>
      <c r="W791" s="876"/>
      <c r="X791" s="876"/>
      <c r="Y791" s="876"/>
      <c r="Z791" s="876"/>
      <c r="AA791" s="876"/>
      <c r="AB791" s="876"/>
      <c r="AC791" s="876"/>
      <c r="AD791" s="876"/>
      <c r="AE791" s="876"/>
      <c r="AF791" s="876"/>
      <c r="AG791" s="876"/>
      <c r="AH791" s="876"/>
      <c r="AI791" s="878"/>
      <c r="AJ791" s="880"/>
      <c r="AK791" s="880"/>
      <c r="AL791" s="880"/>
      <c r="AM791" s="880"/>
      <c r="AN791" s="880"/>
      <c r="AO791" s="880"/>
      <c r="AP791" s="880"/>
      <c r="AQ791" s="880"/>
      <c r="AR791" s="880"/>
      <c r="AS791" s="880"/>
      <c r="AT791" s="880"/>
      <c r="AU791" s="880"/>
      <c r="AV791" s="880"/>
      <c r="AW791" s="881"/>
      <c r="AX791" s="863"/>
      <c r="AY791" s="863"/>
      <c r="AZ791" s="863"/>
      <c r="BA791" s="863"/>
      <c r="BB791" s="863"/>
      <c r="BC791" s="863"/>
      <c r="BD791" s="863"/>
      <c r="BE791" s="863"/>
      <c r="BF791" s="863"/>
      <c r="BG791" s="863"/>
      <c r="BH791" s="863"/>
      <c r="BI791" s="863"/>
      <c r="BJ791" s="863"/>
      <c r="BK791" s="863"/>
      <c r="BL791" s="863"/>
      <c r="BM791" s="863"/>
      <c r="BN791" s="863"/>
      <c r="BO791" s="863"/>
      <c r="BP791" s="880"/>
      <c r="BQ791" s="863"/>
      <c r="BR791" s="883"/>
      <c r="BS791" s="883"/>
      <c r="BT791" s="883"/>
      <c r="BU791" s="883"/>
      <c r="BV791" s="883"/>
      <c r="BW791" s="883"/>
      <c r="BX791" s="883"/>
      <c r="BY791" s="883"/>
      <c r="BZ791" s="883"/>
      <c r="CA791" s="883"/>
      <c r="CB791" s="883"/>
      <c r="CC791" s="883"/>
      <c r="CD791" s="884"/>
      <c r="CE791" s="883"/>
      <c r="CF791" s="883"/>
      <c r="CG791" s="883"/>
      <c r="CH791" s="883"/>
      <c r="CI791" s="883"/>
      <c r="CJ791" s="883"/>
      <c r="CK791" s="883"/>
      <c r="CL791" s="883"/>
      <c r="CM791" s="883"/>
      <c r="CN791" s="883"/>
      <c r="CO791" s="883"/>
      <c r="CP791" s="883"/>
      <c r="CQ791" s="883"/>
      <c r="CR791" s="883"/>
      <c r="CS791" s="883"/>
      <c r="CT791" s="883"/>
      <c r="CU791" s="883"/>
      <c r="CV791" s="863"/>
      <c r="CW791" s="863"/>
      <c r="CX791" s="863"/>
      <c r="CY791" s="863"/>
      <c r="CZ791" s="863"/>
      <c r="DA791" s="863"/>
      <c r="DB791" s="863"/>
      <c r="DC791" s="863"/>
      <c r="DD791" s="863"/>
      <c r="DE791" s="863"/>
    </row>
    <row r="792">
      <c r="A792" s="876"/>
      <c r="B792" s="876"/>
      <c r="C792" s="876"/>
      <c r="D792" s="876"/>
      <c r="E792" s="876"/>
      <c r="F792" s="876"/>
      <c r="G792" s="876"/>
      <c r="H792" s="876"/>
      <c r="I792" s="876"/>
      <c r="J792" s="876"/>
      <c r="K792" s="876"/>
      <c r="L792" s="876"/>
      <c r="M792" s="876"/>
      <c r="N792" s="877"/>
      <c r="O792" s="876"/>
      <c r="P792" s="876"/>
      <c r="Q792" s="876"/>
      <c r="R792" s="876"/>
      <c r="S792" s="876"/>
      <c r="T792" s="876"/>
      <c r="U792" s="876"/>
      <c r="V792" s="876"/>
      <c r="W792" s="876"/>
      <c r="X792" s="876"/>
      <c r="Y792" s="876"/>
      <c r="Z792" s="876"/>
      <c r="AA792" s="876"/>
      <c r="AB792" s="876"/>
      <c r="AC792" s="876"/>
      <c r="AD792" s="876"/>
      <c r="AE792" s="876"/>
      <c r="AF792" s="876"/>
      <c r="AG792" s="876"/>
      <c r="AH792" s="876"/>
      <c r="AI792" s="878"/>
      <c r="AJ792" s="880"/>
      <c r="AK792" s="880"/>
      <c r="AL792" s="880"/>
      <c r="AM792" s="880"/>
      <c r="AN792" s="880"/>
      <c r="AO792" s="880"/>
      <c r="AP792" s="880"/>
      <c r="AQ792" s="880"/>
      <c r="AR792" s="880"/>
      <c r="AS792" s="880"/>
      <c r="AT792" s="880"/>
      <c r="AU792" s="880"/>
      <c r="AV792" s="880"/>
      <c r="AW792" s="881"/>
      <c r="AX792" s="863"/>
      <c r="AY792" s="863"/>
      <c r="AZ792" s="863"/>
      <c r="BA792" s="863"/>
      <c r="BB792" s="863"/>
      <c r="BC792" s="863"/>
      <c r="BD792" s="863"/>
      <c r="BE792" s="863"/>
      <c r="BF792" s="863"/>
      <c r="BG792" s="863"/>
      <c r="BH792" s="863"/>
      <c r="BI792" s="863"/>
      <c r="BJ792" s="863"/>
      <c r="BK792" s="863"/>
      <c r="BL792" s="863"/>
      <c r="BM792" s="863"/>
      <c r="BN792" s="863"/>
      <c r="BO792" s="863"/>
      <c r="BP792" s="880"/>
      <c r="BQ792" s="863"/>
      <c r="BR792" s="883"/>
      <c r="BS792" s="883"/>
      <c r="BT792" s="883"/>
      <c r="BU792" s="883"/>
      <c r="BV792" s="883"/>
      <c r="BW792" s="883"/>
      <c r="BX792" s="883"/>
      <c r="BY792" s="883"/>
      <c r="BZ792" s="883"/>
      <c r="CA792" s="883"/>
      <c r="CB792" s="883"/>
      <c r="CC792" s="883"/>
      <c r="CD792" s="884"/>
      <c r="CE792" s="883"/>
      <c r="CF792" s="883"/>
      <c r="CG792" s="883"/>
      <c r="CH792" s="883"/>
      <c r="CI792" s="883"/>
      <c r="CJ792" s="883"/>
      <c r="CK792" s="883"/>
      <c r="CL792" s="883"/>
      <c r="CM792" s="883"/>
      <c r="CN792" s="883"/>
      <c r="CO792" s="883"/>
      <c r="CP792" s="883"/>
      <c r="CQ792" s="883"/>
      <c r="CR792" s="883"/>
      <c r="CS792" s="883"/>
      <c r="CT792" s="883"/>
      <c r="CU792" s="883"/>
      <c r="CV792" s="863"/>
      <c r="CW792" s="863"/>
      <c r="CX792" s="863"/>
      <c r="CY792" s="863"/>
      <c r="CZ792" s="863"/>
      <c r="DA792" s="863"/>
      <c r="DB792" s="863"/>
      <c r="DC792" s="863"/>
      <c r="DD792" s="863"/>
      <c r="DE792" s="863"/>
    </row>
    <row r="793">
      <c r="A793" s="876"/>
      <c r="B793" s="876"/>
      <c r="C793" s="876"/>
      <c r="D793" s="876"/>
      <c r="E793" s="876"/>
      <c r="F793" s="876"/>
      <c r="G793" s="876"/>
      <c r="H793" s="876"/>
      <c r="I793" s="876"/>
      <c r="J793" s="876"/>
      <c r="K793" s="876"/>
      <c r="L793" s="876"/>
      <c r="M793" s="876"/>
      <c r="N793" s="877"/>
      <c r="O793" s="876"/>
      <c r="P793" s="876"/>
      <c r="Q793" s="876"/>
      <c r="R793" s="876"/>
      <c r="S793" s="876"/>
      <c r="T793" s="876"/>
      <c r="U793" s="876"/>
      <c r="V793" s="876"/>
      <c r="W793" s="876"/>
      <c r="X793" s="876"/>
      <c r="Y793" s="876"/>
      <c r="Z793" s="876"/>
      <c r="AA793" s="876"/>
      <c r="AB793" s="876"/>
      <c r="AC793" s="876"/>
      <c r="AD793" s="876"/>
      <c r="AE793" s="876"/>
      <c r="AF793" s="876"/>
      <c r="AG793" s="876"/>
      <c r="AH793" s="876"/>
      <c r="AI793" s="878"/>
      <c r="AJ793" s="880"/>
      <c r="AK793" s="880"/>
      <c r="AL793" s="880"/>
      <c r="AM793" s="880"/>
      <c r="AN793" s="880"/>
      <c r="AO793" s="880"/>
      <c r="AP793" s="880"/>
      <c r="AQ793" s="880"/>
      <c r="AR793" s="880"/>
      <c r="AS793" s="880"/>
      <c r="AT793" s="880"/>
      <c r="AU793" s="880"/>
      <c r="AV793" s="880"/>
      <c r="AW793" s="881"/>
      <c r="AX793" s="863"/>
      <c r="AY793" s="863"/>
      <c r="AZ793" s="863"/>
      <c r="BA793" s="863"/>
      <c r="BB793" s="863"/>
      <c r="BC793" s="863"/>
      <c r="BD793" s="863"/>
      <c r="BE793" s="863"/>
      <c r="BF793" s="863"/>
      <c r="BG793" s="863"/>
      <c r="BH793" s="863"/>
      <c r="BI793" s="863"/>
      <c r="BJ793" s="863"/>
      <c r="BK793" s="863"/>
      <c r="BL793" s="863"/>
      <c r="BM793" s="863"/>
      <c r="BN793" s="863"/>
      <c r="BO793" s="863"/>
      <c r="BP793" s="880"/>
      <c r="BQ793" s="863"/>
      <c r="BR793" s="883"/>
      <c r="BS793" s="883"/>
      <c r="BT793" s="883"/>
      <c r="BU793" s="883"/>
      <c r="BV793" s="883"/>
      <c r="BW793" s="883"/>
      <c r="BX793" s="883"/>
      <c r="BY793" s="883"/>
      <c r="BZ793" s="883"/>
      <c r="CA793" s="883"/>
      <c r="CB793" s="883"/>
      <c r="CC793" s="883"/>
      <c r="CD793" s="884"/>
      <c r="CE793" s="883"/>
      <c r="CF793" s="883"/>
      <c r="CG793" s="883"/>
      <c r="CH793" s="883"/>
      <c r="CI793" s="883"/>
      <c r="CJ793" s="883"/>
      <c r="CK793" s="883"/>
      <c r="CL793" s="883"/>
      <c r="CM793" s="883"/>
      <c r="CN793" s="883"/>
      <c r="CO793" s="883"/>
      <c r="CP793" s="883"/>
      <c r="CQ793" s="883"/>
      <c r="CR793" s="883"/>
      <c r="CS793" s="883"/>
      <c r="CT793" s="883"/>
      <c r="CU793" s="883"/>
      <c r="CV793" s="863"/>
      <c r="CW793" s="863"/>
      <c r="CX793" s="863"/>
      <c r="CY793" s="863"/>
      <c r="CZ793" s="863"/>
      <c r="DA793" s="863"/>
      <c r="DB793" s="863"/>
      <c r="DC793" s="863"/>
      <c r="DD793" s="863"/>
      <c r="DE793" s="863"/>
    </row>
    <row r="794">
      <c r="A794" s="876"/>
      <c r="B794" s="876"/>
      <c r="C794" s="876"/>
      <c r="D794" s="876"/>
      <c r="E794" s="876"/>
      <c r="F794" s="876"/>
      <c r="G794" s="876"/>
      <c r="H794" s="876"/>
      <c r="I794" s="876"/>
      <c r="J794" s="876"/>
      <c r="K794" s="876"/>
      <c r="L794" s="876"/>
      <c r="M794" s="876"/>
      <c r="N794" s="877"/>
      <c r="O794" s="876"/>
      <c r="P794" s="876"/>
      <c r="Q794" s="876"/>
      <c r="R794" s="876"/>
      <c r="S794" s="876"/>
      <c r="T794" s="876"/>
      <c r="U794" s="876"/>
      <c r="V794" s="876"/>
      <c r="W794" s="876"/>
      <c r="X794" s="876"/>
      <c r="Y794" s="876"/>
      <c r="Z794" s="876"/>
      <c r="AA794" s="876"/>
      <c r="AB794" s="876"/>
      <c r="AC794" s="876"/>
      <c r="AD794" s="876"/>
      <c r="AE794" s="876"/>
      <c r="AF794" s="876"/>
      <c r="AG794" s="876"/>
      <c r="AH794" s="876"/>
      <c r="AI794" s="878"/>
      <c r="AJ794" s="880"/>
      <c r="AK794" s="880"/>
      <c r="AL794" s="880"/>
      <c r="AM794" s="880"/>
      <c r="AN794" s="880"/>
      <c r="AO794" s="880"/>
      <c r="AP794" s="880"/>
      <c r="AQ794" s="880"/>
      <c r="AR794" s="880"/>
      <c r="AS794" s="880"/>
      <c r="AT794" s="880"/>
      <c r="AU794" s="880"/>
      <c r="AV794" s="880"/>
      <c r="AW794" s="881"/>
      <c r="AX794" s="863"/>
      <c r="AY794" s="863"/>
      <c r="AZ794" s="863"/>
      <c r="BA794" s="863"/>
      <c r="BB794" s="863"/>
      <c r="BC794" s="863"/>
      <c r="BD794" s="863"/>
      <c r="BE794" s="863"/>
      <c r="BF794" s="863"/>
      <c r="BG794" s="863"/>
      <c r="BH794" s="863"/>
      <c r="BI794" s="863"/>
      <c r="BJ794" s="863"/>
      <c r="BK794" s="863"/>
      <c r="BL794" s="863"/>
      <c r="BM794" s="863"/>
      <c r="BN794" s="863"/>
      <c r="BO794" s="863"/>
      <c r="BP794" s="880"/>
      <c r="BQ794" s="863"/>
      <c r="BR794" s="883"/>
      <c r="BS794" s="883"/>
      <c r="BT794" s="883"/>
      <c r="BU794" s="883"/>
      <c r="BV794" s="883"/>
      <c r="BW794" s="883"/>
      <c r="BX794" s="883"/>
      <c r="BY794" s="883"/>
      <c r="BZ794" s="883"/>
      <c r="CA794" s="883"/>
      <c r="CB794" s="883"/>
      <c r="CC794" s="883"/>
      <c r="CD794" s="884"/>
      <c r="CE794" s="883"/>
      <c r="CF794" s="883"/>
      <c r="CG794" s="883"/>
      <c r="CH794" s="883"/>
      <c r="CI794" s="883"/>
      <c r="CJ794" s="883"/>
      <c r="CK794" s="883"/>
      <c r="CL794" s="883"/>
      <c r="CM794" s="883"/>
      <c r="CN794" s="883"/>
      <c r="CO794" s="883"/>
      <c r="CP794" s="883"/>
      <c r="CQ794" s="883"/>
      <c r="CR794" s="883"/>
      <c r="CS794" s="883"/>
      <c r="CT794" s="883"/>
      <c r="CU794" s="883"/>
      <c r="CV794" s="863"/>
      <c r="CW794" s="863"/>
      <c r="CX794" s="863"/>
      <c r="CY794" s="863"/>
      <c r="CZ794" s="863"/>
      <c r="DA794" s="863"/>
      <c r="DB794" s="863"/>
      <c r="DC794" s="863"/>
      <c r="DD794" s="863"/>
      <c r="DE794" s="863"/>
    </row>
    <row r="795">
      <c r="A795" s="876"/>
      <c r="B795" s="876"/>
      <c r="C795" s="876"/>
      <c r="D795" s="876"/>
      <c r="E795" s="876"/>
      <c r="F795" s="876"/>
      <c r="G795" s="876"/>
      <c r="H795" s="876"/>
      <c r="I795" s="876"/>
      <c r="J795" s="876"/>
      <c r="K795" s="876"/>
      <c r="L795" s="876"/>
      <c r="M795" s="876"/>
      <c r="N795" s="877"/>
      <c r="O795" s="876"/>
      <c r="P795" s="876"/>
      <c r="Q795" s="876"/>
      <c r="R795" s="876"/>
      <c r="S795" s="876"/>
      <c r="T795" s="876"/>
      <c r="U795" s="876"/>
      <c r="V795" s="876"/>
      <c r="W795" s="876"/>
      <c r="X795" s="876"/>
      <c r="Y795" s="876"/>
      <c r="Z795" s="876"/>
      <c r="AA795" s="876"/>
      <c r="AB795" s="876"/>
      <c r="AC795" s="876"/>
      <c r="AD795" s="876"/>
      <c r="AE795" s="876"/>
      <c r="AF795" s="876"/>
      <c r="AG795" s="876"/>
      <c r="AH795" s="876"/>
      <c r="AI795" s="878"/>
      <c r="AJ795" s="880"/>
      <c r="AK795" s="880"/>
      <c r="AL795" s="880"/>
      <c r="AM795" s="880"/>
      <c r="AN795" s="880"/>
      <c r="AO795" s="880"/>
      <c r="AP795" s="880"/>
      <c r="AQ795" s="880"/>
      <c r="AR795" s="880"/>
      <c r="AS795" s="880"/>
      <c r="AT795" s="880"/>
      <c r="AU795" s="880"/>
      <c r="AV795" s="880"/>
      <c r="AW795" s="881"/>
      <c r="AX795" s="863"/>
      <c r="AY795" s="863"/>
      <c r="AZ795" s="863"/>
      <c r="BA795" s="863"/>
      <c r="BB795" s="863"/>
      <c r="BC795" s="863"/>
      <c r="BD795" s="863"/>
      <c r="BE795" s="863"/>
      <c r="BF795" s="863"/>
      <c r="BG795" s="863"/>
      <c r="BH795" s="863"/>
      <c r="BI795" s="863"/>
      <c r="BJ795" s="863"/>
      <c r="BK795" s="863"/>
      <c r="BL795" s="863"/>
      <c r="BM795" s="863"/>
      <c r="BN795" s="863"/>
      <c r="BO795" s="863"/>
      <c r="BP795" s="880"/>
      <c r="BQ795" s="863"/>
      <c r="BR795" s="883"/>
      <c r="BS795" s="883"/>
      <c r="BT795" s="883"/>
      <c r="BU795" s="883"/>
      <c r="BV795" s="883"/>
      <c r="BW795" s="883"/>
      <c r="BX795" s="883"/>
      <c r="BY795" s="883"/>
      <c r="BZ795" s="883"/>
      <c r="CA795" s="883"/>
      <c r="CB795" s="883"/>
      <c r="CC795" s="883"/>
      <c r="CD795" s="884"/>
      <c r="CE795" s="883"/>
      <c r="CF795" s="883"/>
      <c r="CG795" s="883"/>
      <c r="CH795" s="883"/>
      <c r="CI795" s="883"/>
      <c r="CJ795" s="883"/>
      <c r="CK795" s="883"/>
      <c r="CL795" s="883"/>
      <c r="CM795" s="883"/>
      <c r="CN795" s="883"/>
      <c r="CO795" s="883"/>
      <c r="CP795" s="883"/>
      <c r="CQ795" s="883"/>
      <c r="CR795" s="883"/>
      <c r="CS795" s="883"/>
      <c r="CT795" s="883"/>
      <c r="CU795" s="883"/>
      <c r="CV795" s="863"/>
      <c r="CW795" s="863"/>
      <c r="CX795" s="863"/>
      <c r="CY795" s="863"/>
      <c r="CZ795" s="863"/>
      <c r="DA795" s="863"/>
      <c r="DB795" s="863"/>
      <c r="DC795" s="863"/>
      <c r="DD795" s="863"/>
      <c r="DE795" s="863"/>
    </row>
    <row r="796">
      <c r="A796" s="876"/>
      <c r="B796" s="876"/>
      <c r="C796" s="876"/>
      <c r="D796" s="876"/>
      <c r="E796" s="876"/>
      <c r="F796" s="876"/>
      <c r="G796" s="876"/>
      <c r="H796" s="876"/>
      <c r="I796" s="876"/>
      <c r="J796" s="876"/>
      <c r="K796" s="876"/>
      <c r="L796" s="876"/>
      <c r="M796" s="876"/>
      <c r="N796" s="877"/>
      <c r="O796" s="876"/>
      <c r="P796" s="876"/>
      <c r="Q796" s="876"/>
      <c r="R796" s="876"/>
      <c r="S796" s="876"/>
      <c r="T796" s="876"/>
      <c r="U796" s="876"/>
      <c r="V796" s="876"/>
      <c r="W796" s="876"/>
      <c r="X796" s="876"/>
      <c r="Y796" s="876"/>
      <c r="Z796" s="876"/>
      <c r="AA796" s="876"/>
      <c r="AB796" s="876"/>
      <c r="AC796" s="876"/>
      <c r="AD796" s="876"/>
      <c r="AE796" s="876"/>
      <c r="AF796" s="876"/>
      <c r="AG796" s="876"/>
      <c r="AH796" s="876"/>
      <c r="AI796" s="878"/>
      <c r="AJ796" s="880"/>
      <c r="AK796" s="880"/>
      <c r="AL796" s="880"/>
      <c r="AM796" s="880"/>
      <c r="AN796" s="880"/>
      <c r="AO796" s="880"/>
      <c r="AP796" s="880"/>
      <c r="AQ796" s="880"/>
      <c r="AR796" s="880"/>
      <c r="AS796" s="880"/>
      <c r="AT796" s="880"/>
      <c r="AU796" s="880"/>
      <c r="AV796" s="880"/>
      <c r="AW796" s="881"/>
      <c r="AX796" s="863"/>
      <c r="AY796" s="863"/>
      <c r="AZ796" s="863"/>
      <c r="BA796" s="863"/>
      <c r="BB796" s="863"/>
      <c r="BC796" s="863"/>
      <c r="BD796" s="863"/>
      <c r="BE796" s="863"/>
      <c r="BF796" s="863"/>
      <c r="BG796" s="863"/>
      <c r="BH796" s="863"/>
      <c r="BI796" s="863"/>
      <c r="BJ796" s="863"/>
      <c r="BK796" s="863"/>
      <c r="BL796" s="863"/>
      <c r="BM796" s="863"/>
      <c r="BN796" s="863"/>
      <c r="BO796" s="863"/>
      <c r="BP796" s="880"/>
      <c r="BQ796" s="863"/>
      <c r="BR796" s="883"/>
      <c r="BS796" s="883"/>
      <c r="BT796" s="883"/>
      <c r="BU796" s="883"/>
      <c r="BV796" s="883"/>
      <c r="BW796" s="883"/>
      <c r="BX796" s="883"/>
      <c r="BY796" s="883"/>
      <c r="BZ796" s="883"/>
      <c r="CA796" s="883"/>
      <c r="CB796" s="883"/>
      <c r="CC796" s="883"/>
      <c r="CD796" s="884"/>
      <c r="CE796" s="883"/>
      <c r="CF796" s="883"/>
      <c r="CG796" s="883"/>
      <c r="CH796" s="883"/>
      <c r="CI796" s="883"/>
      <c r="CJ796" s="883"/>
      <c r="CK796" s="883"/>
      <c r="CL796" s="883"/>
      <c r="CM796" s="883"/>
      <c r="CN796" s="883"/>
      <c r="CO796" s="883"/>
      <c r="CP796" s="883"/>
      <c r="CQ796" s="883"/>
      <c r="CR796" s="883"/>
      <c r="CS796" s="883"/>
      <c r="CT796" s="883"/>
      <c r="CU796" s="883"/>
      <c r="CV796" s="863"/>
      <c r="CW796" s="863"/>
      <c r="CX796" s="863"/>
      <c r="CY796" s="863"/>
      <c r="CZ796" s="863"/>
      <c r="DA796" s="863"/>
      <c r="DB796" s="863"/>
      <c r="DC796" s="863"/>
      <c r="DD796" s="863"/>
      <c r="DE796" s="863"/>
    </row>
    <row r="797">
      <c r="A797" s="876"/>
      <c r="B797" s="876"/>
      <c r="C797" s="876"/>
      <c r="D797" s="876"/>
      <c r="E797" s="876"/>
      <c r="F797" s="876"/>
      <c r="G797" s="876"/>
      <c r="H797" s="876"/>
      <c r="I797" s="876"/>
      <c r="J797" s="876"/>
      <c r="K797" s="876"/>
      <c r="L797" s="876"/>
      <c r="M797" s="876"/>
      <c r="N797" s="877"/>
      <c r="O797" s="876"/>
      <c r="P797" s="876"/>
      <c r="Q797" s="876"/>
      <c r="R797" s="876"/>
      <c r="S797" s="876"/>
      <c r="T797" s="876"/>
      <c r="U797" s="876"/>
      <c r="V797" s="876"/>
      <c r="W797" s="876"/>
      <c r="X797" s="876"/>
      <c r="Y797" s="876"/>
      <c r="Z797" s="876"/>
      <c r="AA797" s="876"/>
      <c r="AB797" s="876"/>
      <c r="AC797" s="876"/>
      <c r="AD797" s="876"/>
      <c r="AE797" s="876"/>
      <c r="AF797" s="876"/>
      <c r="AG797" s="876"/>
      <c r="AH797" s="876"/>
      <c r="AI797" s="878"/>
      <c r="AJ797" s="880"/>
      <c r="AK797" s="880"/>
      <c r="AL797" s="880"/>
      <c r="AM797" s="880"/>
      <c r="AN797" s="880"/>
      <c r="AO797" s="880"/>
      <c r="AP797" s="880"/>
      <c r="AQ797" s="880"/>
      <c r="AR797" s="880"/>
      <c r="AS797" s="880"/>
      <c r="AT797" s="880"/>
      <c r="AU797" s="880"/>
      <c r="AV797" s="880"/>
      <c r="AW797" s="881"/>
      <c r="AX797" s="863"/>
      <c r="AY797" s="863"/>
      <c r="AZ797" s="863"/>
      <c r="BA797" s="863"/>
      <c r="BB797" s="863"/>
      <c r="BC797" s="863"/>
      <c r="BD797" s="863"/>
      <c r="BE797" s="863"/>
      <c r="BF797" s="863"/>
      <c r="BG797" s="863"/>
      <c r="BH797" s="863"/>
      <c r="BI797" s="863"/>
      <c r="BJ797" s="863"/>
      <c r="BK797" s="863"/>
      <c r="BL797" s="863"/>
      <c r="BM797" s="863"/>
      <c r="BN797" s="863"/>
      <c r="BO797" s="863"/>
      <c r="BP797" s="880"/>
      <c r="BQ797" s="863"/>
      <c r="BR797" s="883"/>
      <c r="BS797" s="883"/>
      <c r="BT797" s="883"/>
      <c r="BU797" s="883"/>
      <c r="BV797" s="883"/>
      <c r="BW797" s="883"/>
      <c r="BX797" s="883"/>
      <c r="BY797" s="883"/>
      <c r="BZ797" s="883"/>
      <c r="CA797" s="883"/>
      <c r="CB797" s="883"/>
      <c r="CC797" s="883"/>
      <c r="CD797" s="884"/>
      <c r="CE797" s="883"/>
      <c r="CF797" s="883"/>
      <c r="CG797" s="883"/>
      <c r="CH797" s="883"/>
      <c r="CI797" s="883"/>
      <c r="CJ797" s="883"/>
      <c r="CK797" s="883"/>
      <c r="CL797" s="883"/>
      <c r="CM797" s="883"/>
      <c r="CN797" s="883"/>
      <c r="CO797" s="883"/>
      <c r="CP797" s="883"/>
      <c r="CQ797" s="883"/>
      <c r="CR797" s="883"/>
      <c r="CS797" s="883"/>
      <c r="CT797" s="883"/>
      <c r="CU797" s="883"/>
      <c r="CV797" s="863"/>
      <c r="CW797" s="863"/>
      <c r="CX797" s="863"/>
      <c r="CY797" s="863"/>
      <c r="CZ797" s="863"/>
      <c r="DA797" s="863"/>
      <c r="DB797" s="863"/>
      <c r="DC797" s="863"/>
      <c r="DD797" s="863"/>
      <c r="DE797" s="863"/>
    </row>
    <row r="798">
      <c r="A798" s="876"/>
      <c r="B798" s="876"/>
      <c r="C798" s="876"/>
      <c r="D798" s="876"/>
      <c r="E798" s="876"/>
      <c r="F798" s="876"/>
      <c r="G798" s="876"/>
      <c r="H798" s="876"/>
      <c r="I798" s="876"/>
      <c r="J798" s="876"/>
      <c r="K798" s="876"/>
      <c r="L798" s="876"/>
      <c r="M798" s="876"/>
      <c r="N798" s="877"/>
      <c r="O798" s="876"/>
      <c r="P798" s="876"/>
      <c r="Q798" s="876"/>
      <c r="R798" s="876"/>
      <c r="S798" s="876"/>
      <c r="T798" s="876"/>
      <c r="U798" s="876"/>
      <c r="V798" s="876"/>
      <c r="W798" s="876"/>
      <c r="X798" s="876"/>
      <c r="Y798" s="876"/>
      <c r="Z798" s="876"/>
      <c r="AA798" s="876"/>
      <c r="AB798" s="876"/>
      <c r="AC798" s="876"/>
      <c r="AD798" s="876"/>
      <c r="AE798" s="876"/>
      <c r="AF798" s="876"/>
      <c r="AG798" s="876"/>
      <c r="AH798" s="876"/>
      <c r="AI798" s="878"/>
      <c r="AJ798" s="880"/>
      <c r="AK798" s="880"/>
      <c r="AL798" s="880"/>
      <c r="AM798" s="880"/>
      <c r="AN798" s="880"/>
      <c r="AO798" s="880"/>
      <c r="AP798" s="880"/>
      <c r="AQ798" s="880"/>
      <c r="AR798" s="880"/>
      <c r="AS798" s="880"/>
      <c r="AT798" s="880"/>
      <c r="AU798" s="880"/>
      <c r="AV798" s="880"/>
      <c r="AW798" s="881"/>
      <c r="AX798" s="863"/>
      <c r="AY798" s="863"/>
      <c r="AZ798" s="863"/>
      <c r="BA798" s="863"/>
      <c r="BB798" s="863"/>
      <c r="BC798" s="863"/>
      <c r="BD798" s="863"/>
      <c r="BE798" s="863"/>
      <c r="BF798" s="863"/>
      <c r="BG798" s="863"/>
      <c r="BH798" s="863"/>
      <c r="BI798" s="863"/>
      <c r="BJ798" s="863"/>
      <c r="BK798" s="863"/>
      <c r="BL798" s="863"/>
      <c r="BM798" s="863"/>
      <c r="BN798" s="863"/>
      <c r="BO798" s="863"/>
      <c r="BP798" s="880"/>
      <c r="BQ798" s="863"/>
      <c r="BR798" s="883"/>
      <c r="BS798" s="883"/>
      <c r="BT798" s="883"/>
      <c r="BU798" s="883"/>
      <c r="BV798" s="883"/>
      <c r="BW798" s="883"/>
      <c r="BX798" s="883"/>
      <c r="BY798" s="883"/>
      <c r="BZ798" s="883"/>
      <c r="CA798" s="883"/>
      <c r="CB798" s="883"/>
      <c r="CC798" s="883"/>
      <c r="CD798" s="884"/>
      <c r="CE798" s="883"/>
      <c r="CF798" s="883"/>
      <c r="CG798" s="883"/>
      <c r="CH798" s="883"/>
      <c r="CI798" s="883"/>
      <c r="CJ798" s="883"/>
      <c r="CK798" s="883"/>
      <c r="CL798" s="883"/>
      <c r="CM798" s="883"/>
      <c r="CN798" s="883"/>
      <c r="CO798" s="883"/>
      <c r="CP798" s="883"/>
      <c r="CQ798" s="883"/>
      <c r="CR798" s="883"/>
      <c r="CS798" s="883"/>
      <c r="CT798" s="883"/>
      <c r="CU798" s="883"/>
      <c r="CV798" s="863"/>
      <c r="CW798" s="863"/>
      <c r="CX798" s="863"/>
      <c r="CY798" s="863"/>
      <c r="CZ798" s="863"/>
      <c r="DA798" s="863"/>
      <c r="DB798" s="863"/>
      <c r="DC798" s="863"/>
      <c r="DD798" s="863"/>
      <c r="DE798" s="863"/>
    </row>
    <row r="799">
      <c r="A799" s="876"/>
      <c r="B799" s="876"/>
      <c r="C799" s="876"/>
      <c r="D799" s="876"/>
      <c r="E799" s="876"/>
      <c r="F799" s="876"/>
      <c r="G799" s="876"/>
      <c r="H799" s="876"/>
      <c r="I799" s="876"/>
      <c r="J799" s="876"/>
      <c r="K799" s="876"/>
      <c r="L799" s="876"/>
      <c r="M799" s="876"/>
      <c r="N799" s="877"/>
      <c r="O799" s="876"/>
      <c r="P799" s="876"/>
      <c r="Q799" s="876"/>
      <c r="R799" s="876"/>
      <c r="S799" s="876"/>
      <c r="T799" s="876"/>
      <c r="U799" s="876"/>
      <c r="V799" s="876"/>
      <c r="W799" s="876"/>
      <c r="X799" s="876"/>
      <c r="Y799" s="876"/>
      <c r="Z799" s="876"/>
      <c r="AA799" s="876"/>
      <c r="AB799" s="876"/>
      <c r="AC799" s="876"/>
      <c r="AD799" s="876"/>
      <c r="AE799" s="876"/>
      <c r="AF799" s="876"/>
      <c r="AG799" s="876"/>
      <c r="AH799" s="876"/>
      <c r="AI799" s="878"/>
      <c r="AJ799" s="880"/>
      <c r="AK799" s="880"/>
      <c r="AL799" s="880"/>
      <c r="AM799" s="880"/>
      <c r="AN799" s="880"/>
      <c r="AO799" s="880"/>
      <c r="AP799" s="880"/>
      <c r="AQ799" s="880"/>
      <c r="AR799" s="880"/>
      <c r="AS799" s="880"/>
      <c r="AT799" s="880"/>
      <c r="AU799" s="880"/>
      <c r="AV799" s="880"/>
      <c r="AW799" s="881"/>
      <c r="AX799" s="863"/>
      <c r="AY799" s="863"/>
      <c r="AZ799" s="863"/>
      <c r="BA799" s="863"/>
      <c r="BB799" s="863"/>
      <c r="BC799" s="863"/>
      <c r="BD799" s="863"/>
      <c r="BE799" s="863"/>
      <c r="BF799" s="863"/>
      <c r="BG799" s="863"/>
      <c r="BH799" s="863"/>
      <c r="BI799" s="863"/>
      <c r="BJ799" s="863"/>
      <c r="BK799" s="863"/>
      <c r="BL799" s="863"/>
      <c r="BM799" s="863"/>
      <c r="BN799" s="863"/>
      <c r="BO799" s="863"/>
      <c r="BP799" s="880"/>
      <c r="BQ799" s="863"/>
      <c r="BR799" s="883"/>
      <c r="BS799" s="883"/>
      <c r="BT799" s="883"/>
      <c r="BU799" s="883"/>
      <c r="BV799" s="883"/>
      <c r="BW799" s="883"/>
      <c r="BX799" s="883"/>
      <c r="BY799" s="883"/>
      <c r="BZ799" s="883"/>
      <c r="CA799" s="883"/>
      <c r="CB799" s="883"/>
      <c r="CC799" s="883"/>
      <c r="CD799" s="884"/>
      <c r="CE799" s="883"/>
      <c r="CF799" s="883"/>
      <c r="CG799" s="883"/>
      <c r="CH799" s="883"/>
      <c r="CI799" s="883"/>
      <c r="CJ799" s="883"/>
      <c r="CK799" s="883"/>
      <c r="CL799" s="883"/>
      <c r="CM799" s="883"/>
      <c r="CN799" s="883"/>
      <c r="CO799" s="883"/>
      <c r="CP799" s="883"/>
      <c r="CQ799" s="883"/>
      <c r="CR799" s="883"/>
      <c r="CS799" s="883"/>
      <c r="CT799" s="883"/>
      <c r="CU799" s="883"/>
      <c r="CV799" s="863"/>
      <c r="CW799" s="863"/>
      <c r="CX799" s="863"/>
      <c r="CY799" s="863"/>
      <c r="CZ799" s="863"/>
      <c r="DA799" s="863"/>
      <c r="DB799" s="863"/>
      <c r="DC799" s="863"/>
      <c r="DD799" s="863"/>
      <c r="DE799" s="863"/>
    </row>
    <row r="800">
      <c r="A800" s="876"/>
      <c r="B800" s="876"/>
      <c r="C800" s="876"/>
      <c r="D800" s="876"/>
      <c r="E800" s="876"/>
      <c r="F800" s="876"/>
      <c r="G800" s="876"/>
      <c r="H800" s="876"/>
      <c r="I800" s="876"/>
      <c r="J800" s="876"/>
      <c r="K800" s="876"/>
      <c r="L800" s="876"/>
      <c r="M800" s="876"/>
      <c r="N800" s="877"/>
      <c r="O800" s="876"/>
      <c r="P800" s="876"/>
      <c r="Q800" s="876"/>
      <c r="R800" s="876"/>
      <c r="S800" s="876"/>
      <c r="T800" s="876"/>
      <c r="U800" s="876"/>
      <c r="V800" s="876"/>
      <c r="W800" s="876"/>
      <c r="X800" s="876"/>
      <c r="Y800" s="876"/>
      <c r="Z800" s="876"/>
      <c r="AA800" s="876"/>
      <c r="AB800" s="876"/>
      <c r="AC800" s="876"/>
      <c r="AD800" s="876"/>
      <c r="AE800" s="876"/>
      <c r="AF800" s="876"/>
      <c r="AG800" s="876"/>
      <c r="AH800" s="876"/>
      <c r="AI800" s="878"/>
      <c r="AJ800" s="880"/>
      <c r="AK800" s="880"/>
      <c r="AL800" s="880"/>
      <c r="AM800" s="880"/>
      <c r="AN800" s="880"/>
      <c r="AO800" s="880"/>
      <c r="AP800" s="880"/>
      <c r="AQ800" s="880"/>
      <c r="AR800" s="880"/>
      <c r="AS800" s="880"/>
      <c r="AT800" s="880"/>
      <c r="AU800" s="880"/>
      <c r="AV800" s="880"/>
      <c r="AW800" s="881"/>
      <c r="AX800" s="863"/>
      <c r="AY800" s="863"/>
      <c r="AZ800" s="863"/>
      <c r="BA800" s="863"/>
      <c r="BB800" s="863"/>
      <c r="BC800" s="863"/>
      <c r="BD800" s="863"/>
      <c r="BE800" s="863"/>
      <c r="BF800" s="863"/>
      <c r="BG800" s="863"/>
      <c r="BH800" s="863"/>
      <c r="BI800" s="863"/>
      <c r="BJ800" s="863"/>
      <c r="BK800" s="863"/>
      <c r="BL800" s="863"/>
      <c r="BM800" s="863"/>
      <c r="BN800" s="863"/>
      <c r="BO800" s="863"/>
      <c r="BP800" s="880"/>
      <c r="BQ800" s="863"/>
      <c r="BR800" s="883"/>
      <c r="BS800" s="883"/>
      <c r="BT800" s="883"/>
      <c r="BU800" s="883"/>
      <c r="BV800" s="883"/>
      <c r="BW800" s="883"/>
      <c r="BX800" s="883"/>
      <c r="BY800" s="883"/>
      <c r="BZ800" s="883"/>
      <c r="CA800" s="883"/>
      <c r="CB800" s="883"/>
      <c r="CC800" s="883"/>
      <c r="CD800" s="884"/>
      <c r="CE800" s="883"/>
      <c r="CF800" s="883"/>
      <c r="CG800" s="883"/>
      <c r="CH800" s="883"/>
      <c r="CI800" s="883"/>
      <c r="CJ800" s="883"/>
      <c r="CK800" s="883"/>
      <c r="CL800" s="883"/>
      <c r="CM800" s="883"/>
      <c r="CN800" s="883"/>
      <c r="CO800" s="883"/>
      <c r="CP800" s="883"/>
      <c r="CQ800" s="883"/>
      <c r="CR800" s="883"/>
      <c r="CS800" s="883"/>
      <c r="CT800" s="883"/>
      <c r="CU800" s="883"/>
      <c r="CV800" s="863"/>
      <c r="CW800" s="863"/>
      <c r="CX800" s="863"/>
      <c r="CY800" s="863"/>
      <c r="CZ800" s="863"/>
      <c r="DA800" s="863"/>
      <c r="DB800" s="863"/>
      <c r="DC800" s="863"/>
      <c r="DD800" s="863"/>
      <c r="DE800" s="863"/>
    </row>
    <row r="801">
      <c r="A801" s="876"/>
      <c r="B801" s="876"/>
      <c r="C801" s="876"/>
      <c r="D801" s="876"/>
      <c r="E801" s="876"/>
      <c r="F801" s="876"/>
      <c r="G801" s="876"/>
      <c r="H801" s="876"/>
      <c r="I801" s="876"/>
      <c r="J801" s="876"/>
      <c r="K801" s="876"/>
      <c r="L801" s="876"/>
      <c r="M801" s="876"/>
      <c r="N801" s="877"/>
      <c r="O801" s="876"/>
      <c r="P801" s="876"/>
      <c r="Q801" s="876"/>
      <c r="R801" s="876"/>
      <c r="S801" s="876"/>
      <c r="T801" s="876"/>
      <c r="U801" s="876"/>
      <c r="V801" s="876"/>
      <c r="W801" s="876"/>
      <c r="X801" s="876"/>
      <c r="Y801" s="876"/>
      <c r="Z801" s="876"/>
      <c r="AA801" s="876"/>
      <c r="AB801" s="876"/>
      <c r="AC801" s="876"/>
      <c r="AD801" s="876"/>
      <c r="AE801" s="876"/>
      <c r="AF801" s="876"/>
      <c r="AG801" s="876"/>
      <c r="AH801" s="876"/>
      <c r="AI801" s="878"/>
      <c r="AJ801" s="880"/>
      <c r="AK801" s="880"/>
      <c r="AL801" s="880"/>
      <c r="AM801" s="880"/>
      <c r="AN801" s="880"/>
      <c r="AO801" s="880"/>
      <c r="AP801" s="880"/>
      <c r="AQ801" s="880"/>
      <c r="AR801" s="880"/>
      <c r="AS801" s="880"/>
      <c r="AT801" s="880"/>
      <c r="AU801" s="880"/>
      <c r="AV801" s="880"/>
      <c r="AW801" s="881"/>
      <c r="AX801" s="863"/>
      <c r="AY801" s="863"/>
      <c r="AZ801" s="863"/>
      <c r="BA801" s="863"/>
      <c r="BB801" s="863"/>
      <c r="BC801" s="863"/>
      <c r="BD801" s="863"/>
      <c r="BE801" s="863"/>
      <c r="BF801" s="863"/>
      <c r="BG801" s="863"/>
      <c r="BH801" s="863"/>
      <c r="BI801" s="863"/>
      <c r="BJ801" s="863"/>
      <c r="BK801" s="863"/>
      <c r="BL801" s="863"/>
      <c r="BM801" s="863"/>
      <c r="BN801" s="863"/>
      <c r="BO801" s="863"/>
      <c r="BP801" s="880"/>
      <c r="BQ801" s="863"/>
      <c r="BR801" s="883"/>
      <c r="BS801" s="883"/>
      <c r="BT801" s="883"/>
      <c r="BU801" s="883"/>
      <c r="BV801" s="883"/>
      <c r="BW801" s="883"/>
      <c r="BX801" s="883"/>
      <c r="BY801" s="883"/>
      <c r="BZ801" s="883"/>
      <c r="CA801" s="883"/>
      <c r="CB801" s="883"/>
      <c r="CC801" s="883"/>
      <c r="CD801" s="884"/>
      <c r="CE801" s="883"/>
      <c r="CF801" s="883"/>
      <c r="CG801" s="883"/>
      <c r="CH801" s="883"/>
      <c r="CI801" s="883"/>
      <c r="CJ801" s="883"/>
      <c r="CK801" s="883"/>
      <c r="CL801" s="883"/>
      <c r="CM801" s="883"/>
      <c r="CN801" s="883"/>
      <c r="CO801" s="883"/>
      <c r="CP801" s="883"/>
      <c r="CQ801" s="883"/>
      <c r="CR801" s="883"/>
      <c r="CS801" s="883"/>
      <c r="CT801" s="883"/>
      <c r="CU801" s="883"/>
      <c r="CV801" s="863"/>
      <c r="CW801" s="863"/>
      <c r="CX801" s="863"/>
      <c r="CY801" s="863"/>
      <c r="CZ801" s="863"/>
      <c r="DA801" s="863"/>
      <c r="DB801" s="863"/>
      <c r="DC801" s="863"/>
      <c r="DD801" s="863"/>
      <c r="DE801" s="863"/>
    </row>
    <row r="802">
      <c r="A802" s="876"/>
      <c r="B802" s="876"/>
      <c r="C802" s="876"/>
      <c r="D802" s="876"/>
      <c r="E802" s="876"/>
      <c r="F802" s="876"/>
      <c r="G802" s="876"/>
      <c r="H802" s="876"/>
      <c r="I802" s="876"/>
      <c r="J802" s="876"/>
      <c r="K802" s="876"/>
      <c r="L802" s="876"/>
      <c r="M802" s="876"/>
      <c r="N802" s="877"/>
      <c r="O802" s="876"/>
      <c r="P802" s="876"/>
      <c r="Q802" s="876"/>
      <c r="R802" s="876"/>
      <c r="S802" s="876"/>
      <c r="T802" s="876"/>
      <c r="U802" s="876"/>
      <c r="V802" s="876"/>
      <c r="W802" s="876"/>
      <c r="X802" s="876"/>
      <c r="Y802" s="876"/>
      <c r="Z802" s="876"/>
      <c r="AA802" s="876"/>
      <c r="AB802" s="876"/>
      <c r="AC802" s="876"/>
      <c r="AD802" s="876"/>
      <c r="AE802" s="876"/>
      <c r="AF802" s="876"/>
      <c r="AG802" s="876"/>
      <c r="AH802" s="876"/>
      <c r="AI802" s="878"/>
      <c r="AJ802" s="880"/>
      <c r="AK802" s="880"/>
      <c r="AL802" s="880"/>
      <c r="AM802" s="880"/>
      <c r="AN802" s="880"/>
      <c r="AO802" s="880"/>
      <c r="AP802" s="880"/>
      <c r="AQ802" s="880"/>
      <c r="AR802" s="880"/>
      <c r="AS802" s="880"/>
      <c r="AT802" s="880"/>
      <c r="AU802" s="880"/>
      <c r="AV802" s="880"/>
      <c r="AW802" s="881"/>
      <c r="AX802" s="863"/>
      <c r="AY802" s="863"/>
      <c r="AZ802" s="863"/>
      <c r="BA802" s="863"/>
      <c r="BB802" s="863"/>
      <c r="BC802" s="863"/>
      <c r="BD802" s="863"/>
      <c r="BE802" s="863"/>
      <c r="BF802" s="863"/>
      <c r="BG802" s="863"/>
      <c r="BH802" s="863"/>
      <c r="BI802" s="863"/>
      <c r="BJ802" s="863"/>
      <c r="BK802" s="863"/>
      <c r="BL802" s="863"/>
      <c r="BM802" s="863"/>
      <c r="BN802" s="863"/>
      <c r="BO802" s="863"/>
      <c r="BP802" s="880"/>
      <c r="BQ802" s="863"/>
      <c r="BR802" s="883"/>
      <c r="BS802" s="883"/>
      <c r="BT802" s="883"/>
      <c r="BU802" s="883"/>
      <c r="BV802" s="883"/>
      <c r="BW802" s="883"/>
      <c r="BX802" s="883"/>
      <c r="BY802" s="883"/>
      <c r="BZ802" s="883"/>
      <c r="CA802" s="883"/>
      <c r="CB802" s="883"/>
      <c r="CC802" s="883"/>
      <c r="CD802" s="884"/>
      <c r="CE802" s="883"/>
      <c r="CF802" s="883"/>
      <c r="CG802" s="883"/>
      <c r="CH802" s="883"/>
      <c r="CI802" s="883"/>
      <c r="CJ802" s="883"/>
      <c r="CK802" s="883"/>
      <c r="CL802" s="883"/>
      <c r="CM802" s="883"/>
      <c r="CN802" s="883"/>
      <c r="CO802" s="883"/>
      <c r="CP802" s="883"/>
      <c r="CQ802" s="883"/>
      <c r="CR802" s="883"/>
      <c r="CS802" s="883"/>
      <c r="CT802" s="883"/>
      <c r="CU802" s="883"/>
      <c r="CV802" s="863"/>
      <c r="CW802" s="863"/>
      <c r="CX802" s="863"/>
      <c r="CY802" s="863"/>
      <c r="CZ802" s="863"/>
      <c r="DA802" s="863"/>
      <c r="DB802" s="863"/>
      <c r="DC802" s="863"/>
      <c r="DD802" s="863"/>
      <c r="DE802" s="863"/>
    </row>
    <row r="803">
      <c r="A803" s="876"/>
      <c r="B803" s="876"/>
      <c r="C803" s="876"/>
      <c r="D803" s="876"/>
      <c r="E803" s="876"/>
      <c r="F803" s="876"/>
      <c r="G803" s="876"/>
      <c r="H803" s="876"/>
      <c r="I803" s="876"/>
      <c r="J803" s="876"/>
      <c r="K803" s="876"/>
      <c r="L803" s="876"/>
      <c r="M803" s="876"/>
      <c r="N803" s="877"/>
      <c r="O803" s="876"/>
      <c r="P803" s="876"/>
      <c r="Q803" s="876"/>
      <c r="R803" s="876"/>
      <c r="S803" s="876"/>
      <c r="T803" s="876"/>
      <c r="U803" s="876"/>
      <c r="V803" s="876"/>
      <c r="W803" s="876"/>
      <c r="X803" s="876"/>
      <c r="Y803" s="876"/>
      <c r="Z803" s="876"/>
      <c r="AA803" s="876"/>
      <c r="AB803" s="876"/>
      <c r="AC803" s="876"/>
      <c r="AD803" s="876"/>
      <c r="AE803" s="876"/>
      <c r="AF803" s="876"/>
      <c r="AG803" s="876"/>
      <c r="AH803" s="876"/>
      <c r="AI803" s="878"/>
      <c r="AJ803" s="880"/>
      <c r="AK803" s="880"/>
      <c r="AL803" s="880"/>
      <c r="AM803" s="880"/>
      <c r="AN803" s="880"/>
      <c r="AO803" s="880"/>
      <c r="AP803" s="880"/>
      <c r="AQ803" s="880"/>
      <c r="AR803" s="880"/>
      <c r="AS803" s="880"/>
      <c r="AT803" s="880"/>
      <c r="AU803" s="880"/>
      <c r="AV803" s="880"/>
      <c r="AW803" s="881"/>
      <c r="AX803" s="863"/>
      <c r="AY803" s="863"/>
      <c r="AZ803" s="863"/>
      <c r="BA803" s="863"/>
      <c r="BB803" s="863"/>
      <c r="BC803" s="863"/>
      <c r="BD803" s="863"/>
      <c r="BE803" s="863"/>
      <c r="BF803" s="863"/>
      <c r="BG803" s="863"/>
      <c r="BH803" s="863"/>
      <c r="BI803" s="863"/>
      <c r="BJ803" s="863"/>
      <c r="BK803" s="863"/>
      <c r="BL803" s="863"/>
      <c r="BM803" s="863"/>
      <c r="BN803" s="863"/>
      <c r="BO803" s="863"/>
      <c r="BP803" s="880"/>
      <c r="BQ803" s="863"/>
      <c r="BR803" s="883"/>
      <c r="BS803" s="883"/>
      <c r="BT803" s="883"/>
      <c r="BU803" s="883"/>
      <c r="BV803" s="883"/>
      <c r="BW803" s="883"/>
      <c r="BX803" s="883"/>
      <c r="BY803" s="883"/>
      <c r="BZ803" s="883"/>
      <c r="CA803" s="883"/>
      <c r="CB803" s="883"/>
      <c r="CC803" s="883"/>
      <c r="CD803" s="884"/>
      <c r="CE803" s="883"/>
      <c r="CF803" s="883"/>
      <c r="CG803" s="883"/>
      <c r="CH803" s="883"/>
      <c r="CI803" s="883"/>
      <c r="CJ803" s="883"/>
      <c r="CK803" s="883"/>
      <c r="CL803" s="883"/>
      <c r="CM803" s="883"/>
      <c r="CN803" s="883"/>
      <c r="CO803" s="883"/>
      <c r="CP803" s="883"/>
      <c r="CQ803" s="883"/>
      <c r="CR803" s="883"/>
      <c r="CS803" s="883"/>
      <c r="CT803" s="883"/>
      <c r="CU803" s="883"/>
      <c r="CV803" s="863"/>
      <c r="CW803" s="863"/>
      <c r="CX803" s="863"/>
      <c r="CY803" s="863"/>
      <c r="CZ803" s="863"/>
      <c r="DA803" s="863"/>
      <c r="DB803" s="863"/>
      <c r="DC803" s="863"/>
      <c r="DD803" s="863"/>
      <c r="DE803" s="863"/>
    </row>
    <row r="804">
      <c r="A804" s="876"/>
      <c r="B804" s="876"/>
      <c r="C804" s="876"/>
      <c r="D804" s="876"/>
      <c r="E804" s="876"/>
      <c r="F804" s="876"/>
      <c r="G804" s="876"/>
      <c r="H804" s="876"/>
      <c r="I804" s="876"/>
      <c r="J804" s="876"/>
      <c r="K804" s="876"/>
      <c r="L804" s="876"/>
      <c r="M804" s="876"/>
      <c r="N804" s="877"/>
      <c r="O804" s="876"/>
      <c r="P804" s="876"/>
      <c r="Q804" s="876"/>
      <c r="R804" s="876"/>
      <c r="S804" s="876"/>
      <c r="T804" s="876"/>
      <c r="U804" s="876"/>
      <c r="V804" s="876"/>
      <c r="W804" s="876"/>
      <c r="X804" s="876"/>
      <c r="Y804" s="876"/>
      <c r="Z804" s="876"/>
      <c r="AA804" s="876"/>
      <c r="AB804" s="876"/>
      <c r="AC804" s="876"/>
      <c r="AD804" s="876"/>
      <c r="AE804" s="876"/>
      <c r="AF804" s="876"/>
      <c r="AG804" s="876"/>
      <c r="AH804" s="876"/>
      <c r="AI804" s="878"/>
      <c r="AJ804" s="880"/>
      <c r="AK804" s="880"/>
      <c r="AL804" s="880"/>
      <c r="AM804" s="880"/>
      <c r="AN804" s="880"/>
      <c r="AO804" s="880"/>
      <c r="AP804" s="880"/>
      <c r="AQ804" s="880"/>
      <c r="AR804" s="880"/>
      <c r="AS804" s="880"/>
      <c r="AT804" s="880"/>
      <c r="AU804" s="880"/>
      <c r="AV804" s="880"/>
      <c r="AW804" s="881"/>
      <c r="AX804" s="863"/>
      <c r="AY804" s="863"/>
      <c r="AZ804" s="863"/>
      <c r="BA804" s="863"/>
      <c r="BB804" s="863"/>
      <c r="BC804" s="863"/>
      <c r="BD804" s="863"/>
      <c r="BE804" s="863"/>
      <c r="BF804" s="863"/>
      <c r="BG804" s="863"/>
      <c r="BH804" s="863"/>
      <c r="BI804" s="863"/>
      <c r="BJ804" s="863"/>
      <c r="BK804" s="863"/>
      <c r="BL804" s="863"/>
      <c r="BM804" s="863"/>
      <c r="BN804" s="863"/>
      <c r="BO804" s="863"/>
      <c r="BP804" s="880"/>
      <c r="BQ804" s="863"/>
      <c r="BR804" s="883"/>
      <c r="BS804" s="883"/>
      <c r="BT804" s="883"/>
      <c r="BU804" s="883"/>
      <c r="BV804" s="883"/>
      <c r="BW804" s="883"/>
      <c r="BX804" s="883"/>
      <c r="BY804" s="883"/>
      <c r="BZ804" s="883"/>
      <c r="CA804" s="883"/>
      <c r="CB804" s="883"/>
      <c r="CC804" s="883"/>
      <c r="CD804" s="884"/>
      <c r="CE804" s="883"/>
      <c r="CF804" s="883"/>
      <c r="CG804" s="883"/>
      <c r="CH804" s="883"/>
      <c r="CI804" s="883"/>
      <c r="CJ804" s="883"/>
      <c r="CK804" s="883"/>
      <c r="CL804" s="883"/>
      <c r="CM804" s="883"/>
      <c r="CN804" s="883"/>
      <c r="CO804" s="883"/>
      <c r="CP804" s="883"/>
      <c r="CQ804" s="883"/>
      <c r="CR804" s="883"/>
      <c r="CS804" s="883"/>
      <c r="CT804" s="883"/>
      <c r="CU804" s="883"/>
      <c r="CV804" s="863"/>
      <c r="CW804" s="863"/>
      <c r="CX804" s="863"/>
      <c r="CY804" s="863"/>
      <c r="CZ804" s="863"/>
      <c r="DA804" s="863"/>
      <c r="DB804" s="863"/>
      <c r="DC804" s="863"/>
      <c r="DD804" s="863"/>
      <c r="DE804" s="863"/>
    </row>
    <row r="805">
      <c r="A805" s="876"/>
      <c r="B805" s="876"/>
      <c r="C805" s="876"/>
      <c r="D805" s="876"/>
      <c r="E805" s="876"/>
      <c r="F805" s="876"/>
      <c r="G805" s="876"/>
      <c r="H805" s="876"/>
      <c r="I805" s="876"/>
      <c r="J805" s="876"/>
      <c r="K805" s="876"/>
      <c r="L805" s="876"/>
      <c r="M805" s="876"/>
      <c r="N805" s="877"/>
      <c r="O805" s="876"/>
      <c r="P805" s="876"/>
      <c r="Q805" s="876"/>
      <c r="R805" s="876"/>
      <c r="S805" s="876"/>
      <c r="T805" s="876"/>
      <c r="U805" s="876"/>
      <c r="V805" s="876"/>
      <c r="W805" s="876"/>
      <c r="X805" s="876"/>
      <c r="Y805" s="876"/>
      <c r="Z805" s="876"/>
      <c r="AA805" s="876"/>
      <c r="AB805" s="876"/>
      <c r="AC805" s="876"/>
      <c r="AD805" s="876"/>
      <c r="AE805" s="876"/>
      <c r="AF805" s="876"/>
      <c r="AG805" s="876"/>
      <c r="AH805" s="876"/>
      <c r="AI805" s="878"/>
      <c r="AJ805" s="880"/>
      <c r="AK805" s="880"/>
      <c r="AL805" s="880"/>
      <c r="AM805" s="880"/>
      <c r="AN805" s="880"/>
      <c r="AO805" s="880"/>
      <c r="AP805" s="880"/>
      <c r="AQ805" s="880"/>
      <c r="AR805" s="880"/>
      <c r="AS805" s="880"/>
      <c r="AT805" s="880"/>
      <c r="AU805" s="880"/>
      <c r="AV805" s="880"/>
      <c r="AW805" s="881"/>
      <c r="AX805" s="863"/>
      <c r="AY805" s="863"/>
      <c r="AZ805" s="863"/>
      <c r="BA805" s="863"/>
      <c r="BB805" s="863"/>
      <c r="BC805" s="863"/>
      <c r="BD805" s="863"/>
      <c r="BE805" s="863"/>
      <c r="BF805" s="863"/>
      <c r="BG805" s="863"/>
      <c r="BH805" s="863"/>
      <c r="BI805" s="863"/>
      <c r="BJ805" s="863"/>
      <c r="BK805" s="863"/>
      <c r="BL805" s="863"/>
      <c r="BM805" s="863"/>
      <c r="BN805" s="863"/>
      <c r="BO805" s="863"/>
      <c r="BP805" s="880"/>
      <c r="BQ805" s="863"/>
      <c r="BR805" s="883"/>
      <c r="BS805" s="883"/>
      <c r="BT805" s="883"/>
      <c r="BU805" s="883"/>
      <c r="BV805" s="883"/>
      <c r="BW805" s="883"/>
      <c r="BX805" s="883"/>
      <c r="BY805" s="883"/>
      <c r="BZ805" s="883"/>
      <c r="CA805" s="883"/>
      <c r="CB805" s="883"/>
      <c r="CC805" s="883"/>
      <c r="CD805" s="884"/>
      <c r="CE805" s="883"/>
      <c r="CF805" s="883"/>
      <c r="CG805" s="883"/>
      <c r="CH805" s="883"/>
      <c r="CI805" s="883"/>
      <c r="CJ805" s="883"/>
      <c r="CK805" s="883"/>
      <c r="CL805" s="883"/>
      <c r="CM805" s="883"/>
      <c r="CN805" s="883"/>
      <c r="CO805" s="883"/>
      <c r="CP805" s="883"/>
      <c r="CQ805" s="883"/>
      <c r="CR805" s="883"/>
      <c r="CS805" s="883"/>
      <c r="CT805" s="883"/>
      <c r="CU805" s="883"/>
      <c r="CV805" s="863"/>
      <c r="CW805" s="863"/>
      <c r="CX805" s="863"/>
      <c r="CY805" s="863"/>
      <c r="CZ805" s="863"/>
      <c r="DA805" s="863"/>
      <c r="DB805" s="863"/>
      <c r="DC805" s="863"/>
      <c r="DD805" s="863"/>
      <c r="DE805" s="863"/>
    </row>
    <row r="806">
      <c r="A806" s="876"/>
      <c r="B806" s="876"/>
      <c r="C806" s="876"/>
      <c r="D806" s="876"/>
      <c r="E806" s="876"/>
      <c r="F806" s="876"/>
      <c r="G806" s="876"/>
      <c r="H806" s="876"/>
      <c r="I806" s="876"/>
      <c r="J806" s="876"/>
      <c r="K806" s="876"/>
      <c r="L806" s="876"/>
      <c r="M806" s="876"/>
      <c r="N806" s="877"/>
      <c r="O806" s="876"/>
      <c r="P806" s="876"/>
      <c r="Q806" s="876"/>
      <c r="R806" s="876"/>
      <c r="S806" s="876"/>
      <c r="T806" s="876"/>
      <c r="U806" s="876"/>
      <c r="V806" s="876"/>
      <c r="W806" s="876"/>
      <c r="X806" s="876"/>
      <c r="Y806" s="876"/>
      <c r="Z806" s="876"/>
      <c r="AA806" s="876"/>
      <c r="AB806" s="876"/>
      <c r="AC806" s="876"/>
      <c r="AD806" s="876"/>
      <c r="AE806" s="876"/>
      <c r="AF806" s="876"/>
      <c r="AG806" s="876"/>
      <c r="AH806" s="876"/>
      <c r="AI806" s="878"/>
      <c r="AJ806" s="880"/>
      <c r="AK806" s="880"/>
      <c r="AL806" s="880"/>
      <c r="AM806" s="880"/>
      <c r="AN806" s="880"/>
      <c r="AO806" s="880"/>
      <c r="AP806" s="880"/>
      <c r="AQ806" s="880"/>
      <c r="AR806" s="880"/>
      <c r="AS806" s="880"/>
      <c r="AT806" s="880"/>
      <c r="AU806" s="880"/>
      <c r="AV806" s="880"/>
      <c r="AW806" s="881"/>
      <c r="AX806" s="863"/>
      <c r="AY806" s="863"/>
      <c r="AZ806" s="863"/>
      <c r="BA806" s="863"/>
      <c r="BB806" s="863"/>
      <c r="BC806" s="863"/>
      <c r="BD806" s="863"/>
      <c r="BE806" s="863"/>
      <c r="BF806" s="863"/>
      <c r="BG806" s="863"/>
      <c r="BH806" s="863"/>
      <c r="BI806" s="863"/>
      <c r="BJ806" s="863"/>
      <c r="BK806" s="863"/>
      <c r="BL806" s="863"/>
      <c r="BM806" s="863"/>
      <c r="BN806" s="863"/>
      <c r="BO806" s="863"/>
      <c r="BP806" s="880"/>
      <c r="BQ806" s="863"/>
      <c r="BR806" s="883"/>
      <c r="BS806" s="883"/>
      <c r="BT806" s="883"/>
      <c r="BU806" s="883"/>
      <c r="BV806" s="883"/>
      <c r="BW806" s="883"/>
      <c r="BX806" s="883"/>
      <c r="BY806" s="883"/>
      <c r="BZ806" s="883"/>
      <c r="CA806" s="883"/>
      <c r="CB806" s="883"/>
      <c r="CC806" s="883"/>
      <c r="CD806" s="884"/>
      <c r="CE806" s="883"/>
      <c r="CF806" s="883"/>
      <c r="CG806" s="883"/>
      <c r="CH806" s="883"/>
      <c r="CI806" s="883"/>
      <c r="CJ806" s="883"/>
      <c r="CK806" s="883"/>
      <c r="CL806" s="883"/>
      <c r="CM806" s="883"/>
      <c r="CN806" s="883"/>
      <c r="CO806" s="883"/>
      <c r="CP806" s="883"/>
      <c r="CQ806" s="883"/>
      <c r="CR806" s="883"/>
      <c r="CS806" s="883"/>
      <c r="CT806" s="883"/>
      <c r="CU806" s="883"/>
      <c r="CV806" s="863"/>
      <c r="CW806" s="863"/>
      <c r="CX806" s="863"/>
      <c r="CY806" s="863"/>
      <c r="CZ806" s="863"/>
      <c r="DA806" s="863"/>
      <c r="DB806" s="863"/>
      <c r="DC806" s="863"/>
      <c r="DD806" s="863"/>
      <c r="DE806" s="863"/>
    </row>
    <row r="807">
      <c r="A807" s="876"/>
      <c r="B807" s="876"/>
      <c r="C807" s="876"/>
      <c r="D807" s="876"/>
      <c r="E807" s="876"/>
      <c r="F807" s="876"/>
      <c r="G807" s="876"/>
      <c r="H807" s="876"/>
      <c r="I807" s="876"/>
      <c r="J807" s="876"/>
      <c r="K807" s="876"/>
      <c r="L807" s="876"/>
      <c r="M807" s="876"/>
      <c r="N807" s="877"/>
      <c r="O807" s="876"/>
      <c r="P807" s="876"/>
      <c r="Q807" s="876"/>
      <c r="R807" s="876"/>
      <c r="S807" s="876"/>
      <c r="T807" s="876"/>
      <c r="U807" s="876"/>
      <c r="V807" s="876"/>
      <c r="W807" s="876"/>
      <c r="X807" s="876"/>
      <c r="Y807" s="876"/>
      <c r="Z807" s="876"/>
      <c r="AA807" s="876"/>
      <c r="AB807" s="876"/>
      <c r="AC807" s="876"/>
      <c r="AD807" s="876"/>
      <c r="AE807" s="876"/>
      <c r="AF807" s="876"/>
      <c r="AG807" s="876"/>
      <c r="AH807" s="876"/>
      <c r="AI807" s="878"/>
      <c r="AJ807" s="880"/>
      <c r="AK807" s="880"/>
      <c r="AL807" s="880"/>
      <c r="AM807" s="880"/>
      <c r="AN807" s="880"/>
      <c r="AO807" s="880"/>
      <c r="AP807" s="880"/>
      <c r="AQ807" s="880"/>
      <c r="AR807" s="880"/>
      <c r="AS807" s="880"/>
      <c r="AT807" s="880"/>
      <c r="AU807" s="880"/>
      <c r="AV807" s="880"/>
      <c r="AW807" s="881"/>
      <c r="AX807" s="863"/>
      <c r="AY807" s="863"/>
      <c r="AZ807" s="863"/>
      <c r="BA807" s="863"/>
      <c r="BB807" s="863"/>
      <c r="BC807" s="863"/>
      <c r="BD807" s="863"/>
      <c r="BE807" s="863"/>
      <c r="BF807" s="863"/>
      <c r="BG807" s="863"/>
      <c r="BH807" s="863"/>
      <c r="BI807" s="863"/>
      <c r="BJ807" s="863"/>
      <c r="BK807" s="863"/>
      <c r="BL807" s="863"/>
      <c r="BM807" s="863"/>
      <c r="BN807" s="863"/>
      <c r="BO807" s="863"/>
      <c r="BP807" s="880"/>
      <c r="BQ807" s="863"/>
      <c r="BR807" s="883"/>
      <c r="BS807" s="883"/>
      <c r="BT807" s="883"/>
      <c r="BU807" s="883"/>
      <c r="BV807" s="883"/>
      <c r="BW807" s="883"/>
      <c r="BX807" s="883"/>
      <c r="BY807" s="883"/>
      <c r="BZ807" s="883"/>
      <c r="CA807" s="883"/>
      <c r="CB807" s="883"/>
      <c r="CC807" s="883"/>
      <c r="CD807" s="884"/>
      <c r="CE807" s="883"/>
      <c r="CF807" s="883"/>
      <c r="CG807" s="883"/>
      <c r="CH807" s="883"/>
      <c r="CI807" s="883"/>
      <c r="CJ807" s="883"/>
      <c r="CK807" s="883"/>
      <c r="CL807" s="883"/>
      <c r="CM807" s="883"/>
      <c r="CN807" s="883"/>
      <c r="CO807" s="883"/>
      <c r="CP807" s="883"/>
      <c r="CQ807" s="883"/>
      <c r="CR807" s="883"/>
      <c r="CS807" s="883"/>
      <c r="CT807" s="883"/>
      <c r="CU807" s="883"/>
      <c r="CV807" s="863"/>
      <c r="CW807" s="863"/>
      <c r="CX807" s="863"/>
      <c r="CY807" s="863"/>
      <c r="CZ807" s="863"/>
      <c r="DA807" s="863"/>
      <c r="DB807" s="863"/>
      <c r="DC807" s="863"/>
      <c r="DD807" s="863"/>
      <c r="DE807" s="863"/>
    </row>
    <row r="808">
      <c r="A808" s="876"/>
      <c r="B808" s="876"/>
      <c r="C808" s="876"/>
      <c r="D808" s="876"/>
      <c r="E808" s="876"/>
      <c r="F808" s="876"/>
      <c r="G808" s="876"/>
      <c r="H808" s="876"/>
      <c r="I808" s="876"/>
      <c r="J808" s="876"/>
      <c r="K808" s="876"/>
      <c r="L808" s="876"/>
      <c r="M808" s="876"/>
      <c r="N808" s="877"/>
      <c r="O808" s="876"/>
      <c r="P808" s="876"/>
      <c r="Q808" s="876"/>
      <c r="R808" s="876"/>
      <c r="S808" s="876"/>
      <c r="T808" s="876"/>
      <c r="U808" s="876"/>
      <c r="V808" s="876"/>
      <c r="W808" s="876"/>
      <c r="X808" s="876"/>
      <c r="Y808" s="876"/>
      <c r="Z808" s="876"/>
      <c r="AA808" s="876"/>
      <c r="AB808" s="876"/>
      <c r="AC808" s="876"/>
      <c r="AD808" s="876"/>
      <c r="AE808" s="876"/>
      <c r="AF808" s="876"/>
      <c r="AG808" s="876"/>
      <c r="AH808" s="876"/>
      <c r="AI808" s="878"/>
      <c r="AJ808" s="880"/>
      <c r="AK808" s="880"/>
      <c r="AL808" s="880"/>
      <c r="AM808" s="880"/>
      <c r="AN808" s="880"/>
      <c r="AO808" s="880"/>
      <c r="AP808" s="880"/>
      <c r="AQ808" s="880"/>
      <c r="AR808" s="880"/>
      <c r="AS808" s="880"/>
      <c r="AT808" s="880"/>
      <c r="AU808" s="880"/>
      <c r="AV808" s="880"/>
      <c r="AW808" s="881"/>
      <c r="AX808" s="863"/>
      <c r="AY808" s="863"/>
      <c r="AZ808" s="863"/>
      <c r="BA808" s="863"/>
      <c r="BB808" s="863"/>
      <c r="BC808" s="863"/>
      <c r="BD808" s="863"/>
      <c r="BE808" s="863"/>
      <c r="BF808" s="863"/>
      <c r="BG808" s="863"/>
      <c r="BH808" s="863"/>
      <c r="BI808" s="863"/>
      <c r="BJ808" s="863"/>
      <c r="BK808" s="863"/>
      <c r="BL808" s="863"/>
      <c r="BM808" s="863"/>
      <c r="BN808" s="863"/>
      <c r="BO808" s="863"/>
      <c r="BP808" s="880"/>
      <c r="BQ808" s="863"/>
      <c r="BR808" s="883"/>
      <c r="BS808" s="883"/>
      <c r="BT808" s="883"/>
      <c r="BU808" s="883"/>
      <c r="BV808" s="883"/>
      <c r="BW808" s="883"/>
      <c r="BX808" s="883"/>
      <c r="BY808" s="883"/>
      <c r="BZ808" s="883"/>
      <c r="CA808" s="883"/>
      <c r="CB808" s="883"/>
      <c r="CC808" s="883"/>
      <c r="CD808" s="884"/>
      <c r="CE808" s="883"/>
      <c r="CF808" s="883"/>
      <c r="CG808" s="883"/>
      <c r="CH808" s="883"/>
      <c r="CI808" s="883"/>
      <c r="CJ808" s="883"/>
      <c r="CK808" s="883"/>
      <c r="CL808" s="883"/>
      <c r="CM808" s="883"/>
      <c r="CN808" s="883"/>
      <c r="CO808" s="883"/>
      <c r="CP808" s="883"/>
      <c r="CQ808" s="883"/>
      <c r="CR808" s="883"/>
      <c r="CS808" s="883"/>
      <c r="CT808" s="883"/>
      <c r="CU808" s="883"/>
      <c r="CV808" s="863"/>
      <c r="CW808" s="863"/>
      <c r="CX808" s="863"/>
      <c r="CY808" s="863"/>
      <c r="CZ808" s="863"/>
      <c r="DA808" s="863"/>
      <c r="DB808" s="863"/>
      <c r="DC808" s="863"/>
      <c r="DD808" s="863"/>
      <c r="DE808" s="863"/>
    </row>
    <row r="809">
      <c r="A809" s="876"/>
      <c r="B809" s="876"/>
      <c r="C809" s="876"/>
      <c r="D809" s="876"/>
      <c r="E809" s="876"/>
      <c r="F809" s="876"/>
      <c r="G809" s="876"/>
      <c r="H809" s="876"/>
      <c r="I809" s="876"/>
      <c r="J809" s="876"/>
      <c r="K809" s="876"/>
      <c r="L809" s="876"/>
      <c r="M809" s="876"/>
      <c r="N809" s="877"/>
      <c r="O809" s="876"/>
      <c r="P809" s="876"/>
      <c r="Q809" s="876"/>
      <c r="R809" s="876"/>
      <c r="S809" s="876"/>
      <c r="T809" s="876"/>
      <c r="U809" s="876"/>
      <c r="V809" s="876"/>
      <c r="W809" s="876"/>
      <c r="X809" s="876"/>
      <c r="Y809" s="876"/>
      <c r="Z809" s="876"/>
      <c r="AA809" s="876"/>
      <c r="AB809" s="876"/>
      <c r="AC809" s="876"/>
      <c r="AD809" s="876"/>
      <c r="AE809" s="876"/>
      <c r="AF809" s="876"/>
      <c r="AG809" s="876"/>
      <c r="AH809" s="876"/>
      <c r="AI809" s="878"/>
      <c r="AJ809" s="880"/>
      <c r="AK809" s="880"/>
      <c r="AL809" s="880"/>
      <c r="AM809" s="880"/>
      <c r="AN809" s="880"/>
      <c r="AO809" s="880"/>
      <c r="AP809" s="880"/>
      <c r="AQ809" s="880"/>
      <c r="AR809" s="880"/>
      <c r="AS809" s="880"/>
      <c r="AT809" s="880"/>
      <c r="AU809" s="880"/>
      <c r="AV809" s="880"/>
      <c r="AW809" s="881"/>
      <c r="AX809" s="863"/>
      <c r="AY809" s="863"/>
      <c r="AZ809" s="863"/>
      <c r="BA809" s="863"/>
      <c r="BB809" s="863"/>
      <c r="BC809" s="863"/>
      <c r="BD809" s="863"/>
      <c r="BE809" s="863"/>
      <c r="BF809" s="863"/>
      <c r="BG809" s="863"/>
      <c r="BH809" s="863"/>
      <c r="BI809" s="863"/>
      <c r="BJ809" s="863"/>
      <c r="BK809" s="863"/>
      <c r="BL809" s="863"/>
      <c r="BM809" s="863"/>
      <c r="BN809" s="863"/>
      <c r="BO809" s="863"/>
      <c r="BP809" s="880"/>
      <c r="BQ809" s="863"/>
      <c r="BR809" s="883"/>
      <c r="BS809" s="883"/>
      <c r="BT809" s="883"/>
      <c r="BU809" s="883"/>
      <c r="BV809" s="883"/>
      <c r="BW809" s="883"/>
      <c r="BX809" s="883"/>
      <c r="BY809" s="883"/>
      <c r="BZ809" s="883"/>
      <c r="CA809" s="883"/>
      <c r="CB809" s="883"/>
      <c r="CC809" s="883"/>
      <c r="CD809" s="884"/>
      <c r="CE809" s="883"/>
      <c r="CF809" s="883"/>
      <c r="CG809" s="883"/>
      <c r="CH809" s="883"/>
      <c r="CI809" s="883"/>
      <c r="CJ809" s="883"/>
      <c r="CK809" s="883"/>
      <c r="CL809" s="883"/>
      <c r="CM809" s="883"/>
      <c r="CN809" s="883"/>
      <c r="CO809" s="883"/>
      <c r="CP809" s="883"/>
      <c r="CQ809" s="883"/>
      <c r="CR809" s="883"/>
      <c r="CS809" s="883"/>
      <c r="CT809" s="883"/>
      <c r="CU809" s="883"/>
      <c r="CV809" s="863"/>
      <c r="CW809" s="863"/>
      <c r="CX809" s="863"/>
      <c r="CY809" s="863"/>
      <c r="CZ809" s="863"/>
      <c r="DA809" s="863"/>
      <c r="DB809" s="863"/>
      <c r="DC809" s="863"/>
      <c r="DD809" s="863"/>
      <c r="DE809" s="863"/>
    </row>
    <row r="810">
      <c r="A810" s="876"/>
      <c r="B810" s="876"/>
      <c r="C810" s="876"/>
      <c r="D810" s="876"/>
      <c r="E810" s="876"/>
      <c r="F810" s="876"/>
      <c r="G810" s="876"/>
      <c r="H810" s="876"/>
      <c r="I810" s="876"/>
      <c r="J810" s="876"/>
      <c r="K810" s="876"/>
      <c r="L810" s="876"/>
      <c r="M810" s="876"/>
      <c r="N810" s="877"/>
      <c r="O810" s="876"/>
      <c r="P810" s="876"/>
      <c r="Q810" s="876"/>
      <c r="R810" s="876"/>
      <c r="S810" s="876"/>
      <c r="T810" s="876"/>
      <c r="U810" s="876"/>
      <c r="V810" s="876"/>
      <c r="W810" s="876"/>
      <c r="X810" s="876"/>
      <c r="Y810" s="876"/>
      <c r="Z810" s="876"/>
      <c r="AA810" s="876"/>
      <c r="AB810" s="876"/>
      <c r="AC810" s="876"/>
      <c r="AD810" s="876"/>
      <c r="AE810" s="876"/>
      <c r="AF810" s="876"/>
      <c r="AG810" s="876"/>
      <c r="AH810" s="876"/>
      <c r="AI810" s="878"/>
      <c r="AJ810" s="880"/>
      <c r="AK810" s="880"/>
      <c r="AL810" s="880"/>
      <c r="AM810" s="880"/>
      <c r="AN810" s="880"/>
      <c r="AO810" s="880"/>
      <c r="AP810" s="880"/>
      <c r="AQ810" s="880"/>
      <c r="AR810" s="880"/>
      <c r="AS810" s="880"/>
      <c r="AT810" s="880"/>
      <c r="AU810" s="880"/>
      <c r="AV810" s="880"/>
      <c r="AW810" s="881"/>
      <c r="AX810" s="863"/>
      <c r="AY810" s="863"/>
      <c r="AZ810" s="863"/>
      <c r="BA810" s="863"/>
      <c r="BB810" s="863"/>
      <c r="BC810" s="863"/>
      <c r="BD810" s="863"/>
      <c r="BE810" s="863"/>
      <c r="BF810" s="863"/>
      <c r="BG810" s="863"/>
      <c r="BH810" s="863"/>
      <c r="BI810" s="863"/>
      <c r="BJ810" s="863"/>
      <c r="BK810" s="863"/>
      <c r="BL810" s="863"/>
      <c r="BM810" s="863"/>
      <c r="BN810" s="863"/>
      <c r="BO810" s="863"/>
      <c r="BP810" s="880"/>
      <c r="BQ810" s="863"/>
      <c r="BR810" s="883"/>
      <c r="BS810" s="883"/>
      <c r="BT810" s="883"/>
      <c r="BU810" s="883"/>
      <c r="BV810" s="883"/>
      <c r="BW810" s="883"/>
      <c r="BX810" s="883"/>
      <c r="BY810" s="883"/>
      <c r="BZ810" s="883"/>
      <c r="CA810" s="883"/>
      <c r="CB810" s="883"/>
      <c r="CC810" s="883"/>
      <c r="CD810" s="884"/>
      <c r="CE810" s="883"/>
      <c r="CF810" s="883"/>
      <c r="CG810" s="883"/>
      <c r="CH810" s="883"/>
      <c r="CI810" s="883"/>
      <c r="CJ810" s="883"/>
      <c r="CK810" s="883"/>
      <c r="CL810" s="883"/>
      <c r="CM810" s="883"/>
      <c r="CN810" s="883"/>
      <c r="CO810" s="883"/>
      <c r="CP810" s="883"/>
      <c r="CQ810" s="883"/>
      <c r="CR810" s="883"/>
      <c r="CS810" s="883"/>
      <c r="CT810" s="883"/>
      <c r="CU810" s="883"/>
      <c r="CV810" s="863"/>
      <c r="CW810" s="863"/>
      <c r="CX810" s="863"/>
      <c r="CY810" s="863"/>
      <c r="CZ810" s="863"/>
      <c r="DA810" s="863"/>
      <c r="DB810" s="863"/>
      <c r="DC810" s="863"/>
      <c r="DD810" s="863"/>
      <c r="DE810" s="863"/>
    </row>
    <row r="811">
      <c r="A811" s="876"/>
      <c r="B811" s="876"/>
      <c r="C811" s="876"/>
      <c r="D811" s="876"/>
      <c r="E811" s="876"/>
      <c r="F811" s="876"/>
      <c r="G811" s="876"/>
      <c r="H811" s="876"/>
      <c r="I811" s="876"/>
      <c r="J811" s="876"/>
      <c r="K811" s="876"/>
      <c r="L811" s="876"/>
      <c r="M811" s="876"/>
      <c r="N811" s="877"/>
      <c r="O811" s="876"/>
      <c r="P811" s="876"/>
      <c r="Q811" s="876"/>
      <c r="R811" s="876"/>
      <c r="S811" s="876"/>
      <c r="T811" s="876"/>
      <c r="U811" s="876"/>
      <c r="V811" s="876"/>
      <c r="W811" s="876"/>
      <c r="X811" s="876"/>
      <c r="Y811" s="876"/>
      <c r="Z811" s="876"/>
      <c r="AA811" s="876"/>
      <c r="AB811" s="876"/>
      <c r="AC811" s="876"/>
      <c r="AD811" s="876"/>
      <c r="AE811" s="876"/>
      <c r="AF811" s="876"/>
      <c r="AG811" s="876"/>
      <c r="AH811" s="876"/>
      <c r="AI811" s="878"/>
      <c r="AJ811" s="880"/>
      <c r="AK811" s="880"/>
      <c r="AL811" s="880"/>
      <c r="AM811" s="880"/>
      <c r="AN811" s="880"/>
      <c r="AO811" s="880"/>
      <c r="AP811" s="880"/>
      <c r="AQ811" s="880"/>
      <c r="AR811" s="880"/>
      <c r="AS811" s="880"/>
      <c r="AT811" s="880"/>
      <c r="AU811" s="880"/>
      <c r="AV811" s="880"/>
      <c r="AW811" s="881"/>
      <c r="AX811" s="863"/>
      <c r="AY811" s="863"/>
      <c r="AZ811" s="863"/>
      <c r="BA811" s="863"/>
      <c r="BB811" s="863"/>
      <c r="BC811" s="863"/>
      <c r="BD811" s="863"/>
      <c r="BE811" s="863"/>
      <c r="BF811" s="863"/>
      <c r="BG811" s="863"/>
      <c r="BH811" s="863"/>
      <c r="BI811" s="863"/>
      <c r="BJ811" s="863"/>
      <c r="BK811" s="863"/>
      <c r="BL811" s="863"/>
      <c r="BM811" s="863"/>
      <c r="BN811" s="863"/>
      <c r="BO811" s="863"/>
      <c r="BP811" s="880"/>
      <c r="BQ811" s="863"/>
      <c r="BR811" s="883"/>
      <c r="BS811" s="883"/>
      <c r="BT811" s="883"/>
      <c r="BU811" s="883"/>
      <c r="BV811" s="883"/>
      <c r="BW811" s="883"/>
      <c r="BX811" s="883"/>
      <c r="BY811" s="883"/>
      <c r="BZ811" s="883"/>
      <c r="CA811" s="883"/>
      <c r="CB811" s="883"/>
      <c r="CC811" s="883"/>
      <c r="CD811" s="884"/>
      <c r="CE811" s="883"/>
      <c r="CF811" s="883"/>
      <c r="CG811" s="883"/>
      <c r="CH811" s="883"/>
      <c r="CI811" s="883"/>
      <c r="CJ811" s="883"/>
      <c r="CK811" s="883"/>
      <c r="CL811" s="883"/>
      <c r="CM811" s="883"/>
      <c r="CN811" s="883"/>
      <c r="CO811" s="883"/>
      <c r="CP811" s="883"/>
      <c r="CQ811" s="883"/>
      <c r="CR811" s="883"/>
      <c r="CS811" s="883"/>
      <c r="CT811" s="883"/>
      <c r="CU811" s="883"/>
      <c r="CV811" s="863"/>
      <c r="CW811" s="863"/>
      <c r="CX811" s="863"/>
      <c r="CY811" s="863"/>
      <c r="CZ811" s="863"/>
      <c r="DA811" s="863"/>
      <c r="DB811" s="863"/>
      <c r="DC811" s="863"/>
      <c r="DD811" s="863"/>
      <c r="DE811" s="863"/>
    </row>
    <row r="812">
      <c r="A812" s="876"/>
      <c r="B812" s="876"/>
      <c r="C812" s="876"/>
      <c r="D812" s="876"/>
      <c r="E812" s="876"/>
      <c r="F812" s="876"/>
      <c r="G812" s="876"/>
      <c r="H812" s="876"/>
      <c r="I812" s="876"/>
      <c r="J812" s="876"/>
      <c r="K812" s="876"/>
      <c r="L812" s="876"/>
      <c r="M812" s="876"/>
      <c r="N812" s="877"/>
      <c r="O812" s="876"/>
      <c r="P812" s="876"/>
      <c r="Q812" s="876"/>
      <c r="R812" s="876"/>
      <c r="S812" s="876"/>
      <c r="T812" s="876"/>
      <c r="U812" s="876"/>
      <c r="V812" s="876"/>
      <c r="W812" s="876"/>
      <c r="X812" s="876"/>
      <c r="Y812" s="876"/>
      <c r="Z812" s="876"/>
      <c r="AA812" s="876"/>
      <c r="AB812" s="876"/>
      <c r="AC812" s="876"/>
      <c r="AD812" s="876"/>
      <c r="AE812" s="876"/>
      <c r="AF812" s="876"/>
      <c r="AG812" s="876"/>
      <c r="AH812" s="876"/>
      <c r="AI812" s="878"/>
      <c r="AJ812" s="880"/>
      <c r="AK812" s="880"/>
      <c r="AL812" s="880"/>
      <c r="AM812" s="880"/>
      <c r="AN812" s="880"/>
      <c r="AO812" s="880"/>
      <c r="AP812" s="880"/>
      <c r="AQ812" s="880"/>
      <c r="AR812" s="880"/>
      <c r="AS812" s="880"/>
      <c r="AT812" s="880"/>
      <c r="AU812" s="880"/>
      <c r="AV812" s="880"/>
      <c r="AW812" s="881"/>
      <c r="AX812" s="863"/>
      <c r="AY812" s="863"/>
      <c r="AZ812" s="863"/>
      <c r="BA812" s="863"/>
      <c r="BB812" s="863"/>
      <c r="BC812" s="863"/>
      <c r="BD812" s="863"/>
      <c r="BE812" s="863"/>
      <c r="BF812" s="863"/>
      <c r="BG812" s="863"/>
      <c r="BH812" s="863"/>
      <c r="BI812" s="863"/>
      <c r="BJ812" s="863"/>
      <c r="BK812" s="863"/>
      <c r="BL812" s="863"/>
      <c r="BM812" s="863"/>
      <c r="BN812" s="863"/>
      <c r="BO812" s="863"/>
      <c r="BP812" s="880"/>
      <c r="BQ812" s="863"/>
      <c r="BR812" s="883"/>
      <c r="BS812" s="883"/>
      <c r="BT812" s="883"/>
      <c r="BU812" s="883"/>
      <c r="BV812" s="883"/>
      <c r="BW812" s="883"/>
      <c r="BX812" s="883"/>
      <c r="BY812" s="883"/>
      <c r="BZ812" s="883"/>
      <c r="CA812" s="883"/>
      <c r="CB812" s="883"/>
      <c r="CC812" s="883"/>
      <c r="CD812" s="884"/>
      <c r="CE812" s="883"/>
      <c r="CF812" s="883"/>
      <c r="CG812" s="883"/>
      <c r="CH812" s="883"/>
      <c r="CI812" s="883"/>
      <c r="CJ812" s="883"/>
      <c r="CK812" s="883"/>
      <c r="CL812" s="883"/>
      <c r="CM812" s="883"/>
      <c r="CN812" s="883"/>
      <c r="CO812" s="883"/>
      <c r="CP812" s="883"/>
      <c r="CQ812" s="883"/>
      <c r="CR812" s="883"/>
      <c r="CS812" s="883"/>
      <c r="CT812" s="883"/>
      <c r="CU812" s="883"/>
      <c r="CV812" s="863"/>
      <c r="CW812" s="863"/>
      <c r="CX812" s="863"/>
      <c r="CY812" s="863"/>
      <c r="CZ812" s="863"/>
      <c r="DA812" s="863"/>
      <c r="DB812" s="863"/>
      <c r="DC812" s="863"/>
      <c r="DD812" s="863"/>
      <c r="DE812" s="863"/>
    </row>
    <row r="813">
      <c r="A813" s="876"/>
      <c r="B813" s="876"/>
      <c r="C813" s="876"/>
      <c r="D813" s="876"/>
      <c r="E813" s="876"/>
      <c r="F813" s="876"/>
      <c r="G813" s="876"/>
      <c r="H813" s="876"/>
      <c r="I813" s="876"/>
      <c r="J813" s="876"/>
      <c r="K813" s="876"/>
      <c r="L813" s="876"/>
      <c r="M813" s="876"/>
      <c r="N813" s="877"/>
      <c r="O813" s="876"/>
      <c r="P813" s="876"/>
      <c r="Q813" s="876"/>
      <c r="R813" s="876"/>
      <c r="S813" s="876"/>
      <c r="T813" s="876"/>
      <c r="U813" s="876"/>
      <c r="V813" s="876"/>
      <c r="W813" s="876"/>
      <c r="X813" s="876"/>
      <c r="Y813" s="876"/>
      <c r="Z813" s="876"/>
      <c r="AA813" s="876"/>
      <c r="AB813" s="876"/>
      <c r="AC813" s="876"/>
      <c r="AD813" s="876"/>
      <c r="AE813" s="876"/>
      <c r="AF813" s="876"/>
      <c r="AG813" s="876"/>
      <c r="AH813" s="876"/>
      <c r="AI813" s="878"/>
      <c r="AJ813" s="880"/>
      <c r="AK813" s="880"/>
      <c r="AL813" s="880"/>
      <c r="AM813" s="880"/>
      <c r="AN813" s="880"/>
      <c r="AO813" s="880"/>
      <c r="AP813" s="880"/>
      <c r="AQ813" s="880"/>
      <c r="AR813" s="880"/>
      <c r="AS813" s="880"/>
      <c r="AT813" s="880"/>
      <c r="AU813" s="880"/>
      <c r="AV813" s="880"/>
      <c r="AW813" s="881"/>
      <c r="AX813" s="863"/>
      <c r="AY813" s="863"/>
      <c r="AZ813" s="863"/>
      <c r="BA813" s="863"/>
      <c r="BB813" s="863"/>
      <c r="BC813" s="863"/>
      <c r="BD813" s="863"/>
      <c r="BE813" s="863"/>
      <c r="BF813" s="863"/>
      <c r="BG813" s="863"/>
      <c r="BH813" s="863"/>
      <c r="BI813" s="863"/>
      <c r="BJ813" s="863"/>
      <c r="BK813" s="863"/>
      <c r="BL813" s="863"/>
      <c r="BM813" s="863"/>
      <c r="BN813" s="863"/>
      <c r="BO813" s="863"/>
      <c r="BP813" s="880"/>
      <c r="BQ813" s="863"/>
      <c r="BR813" s="883"/>
      <c r="BS813" s="883"/>
      <c r="BT813" s="883"/>
      <c r="BU813" s="883"/>
      <c r="BV813" s="883"/>
      <c r="BW813" s="883"/>
      <c r="BX813" s="883"/>
      <c r="BY813" s="883"/>
      <c r="BZ813" s="883"/>
      <c r="CA813" s="883"/>
      <c r="CB813" s="883"/>
      <c r="CC813" s="883"/>
      <c r="CD813" s="884"/>
      <c r="CE813" s="883"/>
      <c r="CF813" s="883"/>
      <c r="CG813" s="883"/>
      <c r="CH813" s="883"/>
      <c r="CI813" s="883"/>
      <c r="CJ813" s="883"/>
      <c r="CK813" s="883"/>
      <c r="CL813" s="883"/>
      <c r="CM813" s="883"/>
      <c r="CN813" s="883"/>
      <c r="CO813" s="883"/>
      <c r="CP813" s="883"/>
      <c r="CQ813" s="883"/>
      <c r="CR813" s="883"/>
      <c r="CS813" s="883"/>
      <c r="CT813" s="883"/>
      <c r="CU813" s="883"/>
      <c r="CV813" s="863"/>
      <c r="CW813" s="863"/>
      <c r="CX813" s="863"/>
      <c r="CY813" s="863"/>
      <c r="CZ813" s="863"/>
      <c r="DA813" s="863"/>
      <c r="DB813" s="863"/>
      <c r="DC813" s="863"/>
      <c r="DD813" s="863"/>
      <c r="DE813" s="863"/>
    </row>
    <row r="814">
      <c r="A814" s="876"/>
      <c r="B814" s="876"/>
      <c r="C814" s="876"/>
      <c r="D814" s="876"/>
      <c r="E814" s="876"/>
      <c r="F814" s="876"/>
      <c r="G814" s="876"/>
      <c r="H814" s="876"/>
      <c r="I814" s="876"/>
      <c r="J814" s="876"/>
      <c r="K814" s="876"/>
      <c r="L814" s="876"/>
      <c r="M814" s="876"/>
      <c r="N814" s="877"/>
      <c r="O814" s="876"/>
      <c r="P814" s="876"/>
      <c r="Q814" s="876"/>
      <c r="R814" s="876"/>
      <c r="S814" s="876"/>
      <c r="T814" s="876"/>
      <c r="U814" s="876"/>
      <c r="V814" s="876"/>
      <c r="W814" s="876"/>
      <c r="X814" s="876"/>
      <c r="Y814" s="876"/>
      <c r="Z814" s="876"/>
      <c r="AA814" s="876"/>
      <c r="AB814" s="876"/>
      <c r="AC814" s="876"/>
      <c r="AD814" s="876"/>
      <c r="AE814" s="876"/>
      <c r="AF814" s="876"/>
      <c r="AG814" s="876"/>
      <c r="AH814" s="876"/>
      <c r="AI814" s="878"/>
      <c r="AJ814" s="880"/>
      <c r="AK814" s="880"/>
      <c r="AL814" s="880"/>
      <c r="AM814" s="880"/>
      <c r="AN814" s="880"/>
      <c r="AO814" s="880"/>
      <c r="AP814" s="880"/>
      <c r="AQ814" s="880"/>
      <c r="AR814" s="880"/>
      <c r="AS814" s="880"/>
      <c r="AT814" s="880"/>
      <c r="AU814" s="880"/>
      <c r="AV814" s="880"/>
      <c r="AW814" s="881"/>
      <c r="AX814" s="863"/>
      <c r="AY814" s="863"/>
      <c r="AZ814" s="863"/>
      <c r="BA814" s="863"/>
      <c r="BB814" s="863"/>
      <c r="BC814" s="863"/>
      <c r="BD814" s="863"/>
      <c r="BE814" s="863"/>
      <c r="BF814" s="863"/>
      <c r="BG814" s="863"/>
      <c r="BH814" s="863"/>
      <c r="BI814" s="863"/>
      <c r="BJ814" s="863"/>
      <c r="BK814" s="863"/>
      <c r="BL814" s="863"/>
      <c r="BM814" s="863"/>
      <c r="BN814" s="863"/>
      <c r="BO814" s="863"/>
      <c r="BP814" s="880"/>
      <c r="BQ814" s="863"/>
      <c r="BR814" s="883"/>
      <c r="BS814" s="883"/>
      <c r="BT814" s="883"/>
      <c r="BU814" s="883"/>
      <c r="BV814" s="883"/>
      <c r="BW814" s="883"/>
      <c r="BX814" s="883"/>
      <c r="BY814" s="883"/>
      <c r="BZ814" s="883"/>
      <c r="CA814" s="883"/>
      <c r="CB814" s="883"/>
      <c r="CC814" s="883"/>
      <c r="CD814" s="884"/>
      <c r="CE814" s="883"/>
      <c r="CF814" s="883"/>
      <c r="CG814" s="883"/>
      <c r="CH814" s="883"/>
      <c r="CI814" s="883"/>
      <c r="CJ814" s="883"/>
      <c r="CK814" s="883"/>
      <c r="CL814" s="883"/>
      <c r="CM814" s="883"/>
      <c r="CN814" s="883"/>
      <c r="CO814" s="883"/>
      <c r="CP814" s="883"/>
      <c r="CQ814" s="883"/>
      <c r="CR814" s="883"/>
      <c r="CS814" s="883"/>
      <c r="CT814" s="883"/>
      <c r="CU814" s="883"/>
      <c r="CV814" s="863"/>
      <c r="CW814" s="863"/>
      <c r="CX814" s="863"/>
      <c r="CY814" s="863"/>
      <c r="CZ814" s="863"/>
      <c r="DA814" s="863"/>
      <c r="DB814" s="863"/>
      <c r="DC814" s="863"/>
      <c r="DD814" s="863"/>
      <c r="DE814" s="863"/>
    </row>
    <row r="815">
      <c r="A815" s="876"/>
      <c r="B815" s="876"/>
      <c r="C815" s="876"/>
      <c r="D815" s="876"/>
      <c r="E815" s="876"/>
      <c r="F815" s="876"/>
      <c r="G815" s="876"/>
      <c r="H815" s="876"/>
      <c r="I815" s="876"/>
      <c r="J815" s="876"/>
      <c r="K815" s="876"/>
      <c r="L815" s="876"/>
      <c r="M815" s="876"/>
      <c r="N815" s="877"/>
      <c r="O815" s="876"/>
      <c r="P815" s="876"/>
      <c r="Q815" s="876"/>
      <c r="R815" s="876"/>
      <c r="S815" s="876"/>
      <c r="T815" s="876"/>
      <c r="U815" s="876"/>
      <c r="V815" s="876"/>
      <c r="W815" s="876"/>
      <c r="X815" s="876"/>
      <c r="Y815" s="876"/>
      <c r="Z815" s="876"/>
      <c r="AA815" s="876"/>
      <c r="AB815" s="876"/>
      <c r="AC815" s="876"/>
      <c r="AD815" s="876"/>
      <c r="AE815" s="876"/>
      <c r="AF815" s="876"/>
      <c r="AG815" s="876"/>
      <c r="AH815" s="876"/>
      <c r="AI815" s="878"/>
      <c r="AJ815" s="880"/>
      <c r="AK815" s="880"/>
      <c r="AL815" s="880"/>
      <c r="AM815" s="880"/>
      <c r="AN815" s="880"/>
      <c r="AO815" s="880"/>
      <c r="AP815" s="880"/>
      <c r="AQ815" s="880"/>
      <c r="AR815" s="880"/>
      <c r="AS815" s="880"/>
      <c r="AT815" s="880"/>
      <c r="AU815" s="880"/>
      <c r="AV815" s="880"/>
      <c r="AW815" s="881"/>
      <c r="AX815" s="863"/>
      <c r="AY815" s="863"/>
      <c r="AZ815" s="863"/>
      <c r="BA815" s="863"/>
      <c r="BB815" s="863"/>
      <c r="BC815" s="863"/>
      <c r="BD815" s="863"/>
      <c r="BE815" s="863"/>
      <c r="BF815" s="863"/>
      <c r="BG815" s="863"/>
      <c r="BH815" s="863"/>
      <c r="BI815" s="863"/>
      <c r="BJ815" s="863"/>
      <c r="BK815" s="863"/>
      <c r="BL815" s="863"/>
      <c r="BM815" s="863"/>
      <c r="BN815" s="863"/>
      <c r="BO815" s="863"/>
      <c r="BP815" s="880"/>
      <c r="BQ815" s="863"/>
      <c r="BR815" s="883"/>
      <c r="BS815" s="883"/>
      <c r="BT815" s="883"/>
      <c r="BU815" s="883"/>
      <c r="BV815" s="883"/>
      <c r="BW815" s="883"/>
      <c r="BX815" s="883"/>
      <c r="BY815" s="883"/>
      <c r="BZ815" s="883"/>
      <c r="CA815" s="883"/>
      <c r="CB815" s="883"/>
      <c r="CC815" s="883"/>
      <c r="CD815" s="884"/>
      <c r="CE815" s="883"/>
      <c r="CF815" s="883"/>
      <c r="CG815" s="883"/>
      <c r="CH815" s="883"/>
      <c r="CI815" s="883"/>
      <c r="CJ815" s="883"/>
      <c r="CK815" s="883"/>
      <c r="CL815" s="883"/>
      <c r="CM815" s="883"/>
      <c r="CN815" s="883"/>
      <c r="CO815" s="883"/>
      <c r="CP815" s="883"/>
      <c r="CQ815" s="883"/>
      <c r="CR815" s="883"/>
      <c r="CS815" s="883"/>
      <c r="CT815" s="883"/>
      <c r="CU815" s="883"/>
      <c r="CV815" s="863"/>
      <c r="CW815" s="863"/>
      <c r="CX815" s="863"/>
      <c r="CY815" s="863"/>
      <c r="CZ815" s="863"/>
      <c r="DA815" s="863"/>
      <c r="DB815" s="863"/>
      <c r="DC815" s="863"/>
      <c r="DD815" s="863"/>
      <c r="DE815" s="863"/>
    </row>
    <row r="816">
      <c r="A816" s="876"/>
      <c r="B816" s="876"/>
      <c r="C816" s="876"/>
      <c r="D816" s="876"/>
      <c r="E816" s="876"/>
      <c r="F816" s="876"/>
      <c r="G816" s="876"/>
      <c r="H816" s="876"/>
      <c r="I816" s="876"/>
      <c r="J816" s="876"/>
      <c r="K816" s="876"/>
      <c r="L816" s="876"/>
      <c r="M816" s="876"/>
      <c r="N816" s="877"/>
      <c r="O816" s="876"/>
      <c r="P816" s="876"/>
      <c r="Q816" s="876"/>
      <c r="R816" s="876"/>
      <c r="S816" s="876"/>
      <c r="T816" s="876"/>
      <c r="U816" s="876"/>
      <c r="V816" s="876"/>
      <c r="W816" s="876"/>
      <c r="X816" s="876"/>
      <c r="Y816" s="876"/>
      <c r="Z816" s="876"/>
      <c r="AA816" s="876"/>
      <c r="AB816" s="876"/>
      <c r="AC816" s="876"/>
      <c r="AD816" s="876"/>
      <c r="AE816" s="876"/>
      <c r="AF816" s="876"/>
      <c r="AG816" s="876"/>
      <c r="AH816" s="876"/>
      <c r="AI816" s="878"/>
      <c r="AJ816" s="880"/>
      <c r="AK816" s="880"/>
      <c r="AL816" s="880"/>
      <c r="AM816" s="880"/>
      <c r="AN816" s="880"/>
      <c r="AO816" s="880"/>
      <c r="AP816" s="880"/>
      <c r="AQ816" s="880"/>
      <c r="AR816" s="880"/>
      <c r="AS816" s="880"/>
      <c r="AT816" s="880"/>
      <c r="AU816" s="880"/>
      <c r="AV816" s="880"/>
      <c r="AW816" s="881"/>
      <c r="AX816" s="863"/>
      <c r="AY816" s="863"/>
      <c r="AZ816" s="863"/>
      <c r="BA816" s="863"/>
      <c r="BB816" s="863"/>
      <c r="BC816" s="863"/>
      <c r="BD816" s="863"/>
      <c r="BE816" s="863"/>
      <c r="BF816" s="863"/>
      <c r="BG816" s="863"/>
      <c r="BH816" s="863"/>
      <c r="BI816" s="863"/>
      <c r="BJ816" s="863"/>
      <c r="BK816" s="863"/>
      <c r="BL816" s="863"/>
      <c r="BM816" s="863"/>
      <c r="BN816" s="863"/>
      <c r="BO816" s="863"/>
      <c r="BP816" s="880"/>
      <c r="BQ816" s="863"/>
      <c r="BR816" s="883"/>
      <c r="BS816" s="883"/>
      <c r="BT816" s="883"/>
      <c r="BU816" s="883"/>
      <c r="BV816" s="883"/>
      <c r="BW816" s="883"/>
      <c r="BX816" s="883"/>
      <c r="BY816" s="883"/>
      <c r="BZ816" s="883"/>
      <c r="CA816" s="883"/>
      <c r="CB816" s="883"/>
      <c r="CC816" s="883"/>
      <c r="CD816" s="884"/>
      <c r="CE816" s="883"/>
      <c r="CF816" s="883"/>
      <c r="CG816" s="883"/>
      <c r="CH816" s="883"/>
      <c r="CI816" s="883"/>
      <c r="CJ816" s="883"/>
      <c r="CK816" s="883"/>
      <c r="CL816" s="883"/>
      <c r="CM816" s="883"/>
      <c r="CN816" s="883"/>
      <c r="CO816" s="883"/>
      <c r="CP816" s="883"/>
      <c r="CQ816" s="883"/>
      <c r="CR816" s="883"/>
      <c r="CS816" s="883"/>
      <c r="CT816" s="883"/>
      <c r="CU816" s="883"/>
      <c r="CV816" s="863"/>
      <c r="CW816" s="863"/>
      <c r="CX816" s="863"/>
      <c r="CY816" s="863"/>
      <c r="CZ816" s="863"/>
      <c r="DA816" s="863"/>
      <c r="DB816" s="863"/>
      <c r="DC816" s="863"/>
      <c r="DD816" s="863"/>
      <c r="DE816" s="863"/>
    </row>
    <row r="817">
      <c r="A817" s="876"/>
      <c r="B817" s="876"/>
      <c r="C817" s="876"/>
      <c r="D817" s="876"/>
      <c r="E817" s="876"/>
      <c r="F817" s="876"/>
      <c r="G817" s="876"/>
      <c r="H817" s="876"/>
      <c r="I817" s="876"/>
      <c r="J817" s="876"/>
      <c r="K817" s="876"/>
      <c r="L817" s="876"/>
      <c r="M817" s="876"/>
      <c r="N817" s="877"/>
      <c r="O817" s="876"/>
      <c r="P817" s="876"/>
      <c r="Q817" s="876"/>
      <c r="R817" s="876"/>
      <c r="S817" s="876"/>
      <c r="T817" s="876"/>
      <c r="U817" s="876"/>
      <c r="V817" s="876"/>
      <c r="W817" s="876"/>
      <c r="X817" s="876"/>
      <c r="Y817" s="876"/>
      <c r="Z817" s="876"/>
      <c r="AA817" s="876"/>
      <c r="AB817" s="876"/>
      <c r="AC817" s="876"/>
      <c r="AD817" s="876"/>
      <c r="AE817" s="876"/>
      <c r="AF817" s="876"/>
      <c r="AG817" s="876"/>
      <c r="AH817" s="876"/>
      <c r="AI817" s="878"/>
      <c r="AJ817" s="880"/>
      <c r="AK817" s="880"/>
      <c r="AL817" s="880"/>
      <c r="AM817" s="880"/>
      <c r="AN817" s="880"/>
      <c r="AO817" s="880"/>
      <c r="AP817" s="880"/>
      <c r="AQ817" s="880"/>
      <c r="AR817" s="880"/>
      <c r="AS817" s="880"/>
      <c r="AT817" s="880"/>
      <c r="AU817" s="880"/>
      <c r="AV817" s="880"/>
      <c r="AW817" s="881"/>
      <c r="AX817" s="863"/>
      <c r="AY817" s="863"/>
      <c r="AZ817" s="863"/>
      <c r="BA817" s="863"/>
      <c r="BB817" s="863"/>
      <c r="BC817" s="863"/>
      <c r="BD817" s="863"/>
      <c r="BE817" s="863"/>
      <c r="BF817" s="863"/>
      <c r="BG817" s="863"/>
      <c r="BH817" s="863"/>
      <c r="BI817" s="863"/>
      <c r="BJ817" s="863"/>
      <c r="BK817" s="863"/>
      <c r="BL817" s="863"/>
      <c r="BM817" s="863"/>
      <c r="BN817" s="863"/>
      <c r="BO817" s="863"/>
      <c r="BP817" s="880"/>
      <c r="BQ817" s="863"/>
      <c r="BR817" s="883"/>
      <c r="BS817" s="883"/>
      <c r="BT817" s="883"/>
      <c r="BU817" s="883"/>
      <c r="BV817" s="883"/>
      <c r="BW817" s="883"/>
      <c r="BX817" s="883"/>
      <c r="BY817" s="883"/>
      <c r="BZ817" s="883"/>
      <c r="CA817" s="883"/>
      <c r="CB817" s="883"/>
      <c r="CC817" s="883"/>
      <c r="CD817" s="884"/>
      <c r="CE817" s="883"/>
      <c r="CF817" s="883"/>
      <c r="CG817" s="883"/>
      <c r="CH817" s="883"/>
      <c r="CI817" s="883"/>
      <c r="CJ817" s="883"/>
      <c r="CK817" s="883"/>
      <c r="CL817" s="883"/>
      <c r="CM817" s="883"/>
      <c r="CN817" s="883"/>
      <c r="CO817" s="883"/>
      <c r="CP817" s="883"/>
      <c r="CQ817" s="883"/>
      <c r="CR817" s="883"/>
      <c r="CS817" s="883"/>
      <c r="CT817" s="883"/>
      <c r="CU817" s="883"/>
      <c r="CV817" s="863"/>
      <c r="CW817" s="863"/>
      <c r="CX817" s="863"/>
      <c r="CY817" s="863"/>
      <c r="CZ817" s="863"/>
      <c r="DA817" s="863"/>
      <c r="DB817" s="863"/>
      <c r="DC817" s="863"/>
      <c r="DD817" s="863"/>
      <c r="DE817" s="863"/>
    </row>
    <row r="818">
      <c r="A818" s="876"/>
      <c r="B818" s="876"/>
      <c r="C818" s="876"/>
      <c r="D818" s="876"/>
      <c r="E818" s="876"/>
      <c r="F818" s="876"/>
      <c r="G818" s="876"/>
      <c r="H818" s="876"/>
      <c r="I818" s="876"/>
      <c r="J818" s="876"/>
      <c r="K818" s="876"/>
      <c r="L818" s="876"/>
      <c r="M818" s="876"/>
      <c r="N818" s="877"/>
      <c r="O818" s="876"/>
      <c r="P818" s="876"/>
      <c r="Q818" s="876"/>
      <c r="R818" s="876"/>
      <c r="S818" s="876"/>
      <c r="T818" s="876"/>
      <c r="U818" s="876"/>
      <c r="V818" s="876"/>
      <c r="W818" s="876"/>
      <c r="X818" s="876"/>
      <c r="Y818" s="876"/>
      <c r="Z818" s="876"/>
      <c r="AA818" s="876"/>
      <c r="AB818" s="876"/>
      <c r="AC818" s="876"/>
      <c r="AD818" s="876"/>
      <c r="AE818" s="876"/>
      <c r="AF818" s="876"/>
      <c r="AG818" s="876"/>
      <c r="AH818" s="876"/>
      <c r="AI818" s="878"/>
      <c r="AJ818" s="880"/>
      <c r="AK818" s="880"/>
      <c r="AL818" s="880"/>
      <c r="AM818" s="880"/>
      <c r="AN818" s="880"/>
      <c r="AO818" s="880"/>
      <c r="AP818" s="880"/>
      <c r="AQ818" s="880"/>
      <c r="AR818" s="880"/>
      <c r="AS818" s="880"/>
      <c r="AT818" s="880"/>
      <c r="AU818" s="880"/>
      <c r="AV818" s="880"/>
      <c r="AW818" s="881"/>
      <c r="AX818" s="863"/>
      <c r="AY818" s="863"/>
      <c r="AZ818" s="863"/>
      <c r="BA818" s="863"/>
      <c r="BB818" s="863"/>
      <c r="BC818" s="863"/>
      <c r="BD818" s="863"/>
      <c r="BE818" s="863"/>
      <c r="BF818" s="863"/>
      <c r="BG818" s="863"/>
      <c r="BH818" s="863"/>
      <c r="BI818" s="863"/>
      <c r="BJ818" s="863"/>
      <c r="BK818" s="863"/>
      <c r="BL818" s="863"/>
      <c r="BM818" s="863"/>
      <c r="BN818" s="863"/>
      <c r="BO818" s="863"/>
      <c r="BP818" s="880"/>
      <c r="BQ818" s="863"/>
      <c r="BR818" s="883"/>
      <c r="BS818" s="883"/>
      <c r="BT818" s="883"/>
      <c r="BU818" s="883"/>
      <c r="BV818" s="883"/>
      <c r="BW818" s="883"/>
      <c r="BX818" s="883"/>
      <c r="BY818" s="883"/>
      <c r="BZ818" s="883"/>
      <c r="CA818" s="883"/>
      <c r="CB818" s="883"/>
      <c r="CC818" s="883"/>
      <c r="CD818" s="884"/>
      <c r="CE818" s="883"/>
      <c r="CF818" s="883"/>
      <c r="CG818" s="883"/>
      <c r="CH818" s="883"/>
      <c r="CI818" s="883"/>
      <c r="CJ818" s="883"/>
      <c r="CK818" s="883"/>
      <c r="CL818" s="883"/>
      <c r="CM818" s="883"/>
      <c r="CN818" s="883"/>
      <c r="CO818" s="883"/>
      <c r="CP818" s="883"/>
      <c r="CQ818" s="883"/>
      <c r="CR818" s="883"/>
      <c r="CS818" s="883"/>
      <c r="CT818" s="883"/>
      <c r="CU818" s="883"/>
      <c r="CV818" s="863"/>
      <c r="CW818" s="863"/>
      <c r="CX818" s="863"/>
      <c r="CY818" s="863"/>
      <c r="CZ818" s="863"/>
      <c r="DA818" s="863"/>
      <c r="DB818" s="863"/>
      <c r="DC818" s="863"/>
      <c r="DD818" s="863"/>
      <c r="DE818" s="863"/>
    </row>
    <row r="819">
      <c r="A819" s="876"/>
      <c r="B819" s="876"/>
      <c r="C819" s="876"/>
      <c r="D819" s="876"/>
      <c r="E819" s="876"/>
      <c r="F819" s="876"/>
      <c r="G819" s="876"/>
      <c r="H819" s="876"/>
      <c r="I819" s="876"/>
      <c r="J819" s="876"/>
      <c r="K819" s="876"/>
      <c r="L819" s="876"/>
      <c r="M819" s="876"/>
      <c r="N819" s="877"/>
      <c r="O819" s="876"/>
      <c r="P819" s="876"/>
      <c r="Q819" s="876"/>
      <c r="R819" s="876"/>
      <c r="S819" s="876"/>
      <c r="T819" s="876"/>
      <c r="U819" s="876"/>
      <c r="V819" s="876"/>
      <c r="W819" s="876"/>
      <c r="X819" s="876"/>
      <c r="Y819" s="876"/>
      <c r="Z819" s="876"/>
      <c r="AA819" s="876"/>
      <c r="AB819" s="876"/>
      <c r="AC819" s="876"/>
      <c r="AD819" s="876"/>
      <c r="AE819" s="876"/>
      <c r="AF819" s="876"/>
      <c r="AG819" s="876"/>
      <c r="AH819" s="876"/>
      <c r="AI819" s="878"/>
      <c r="AJ819" s="880"/>
      <c r="AK819" s="880"/>
      <c r="AL819" s="880"/>
      <c r="AM819" s="880"/>
      <c r="AN819" s="880"/>
      <c r="AO819" s="880"/>
      <c r="AP819" s="880"/>
      <c r="AQ819" s="880"/>
      <c r="AR819" s="880"/>
      <c r="AS819" s="880"/>
      <c r="AT819" s="880"/>
      <c r="AU819" s="880"/>
      <c r="AV819" s="880"/>
      <c r="AW819" s="881"/>
      <c r="AX819" s="863"/>
      <c r="AY819" s="863"/>
      <c r="AZ819" s="863"/>
      <c r="BA819" s="863"/>
      <c r="BB819" s="863"/>
      <c r="BC819" s="863"/>
      <c r="BD819" s="863"/>
      <c r="BE819" s="863"/>
      <c r="BF819" s="863"/>
      <c r="BG819" s="863"/>
      <c r="BH819" s="863"/>
      <c r="BI819" s="863"/>
      <c r="BJ819" s="863"/>
      <c r="BK819" s="863"/>
      <c r="BL819" s="863"/>
      <c r="BM819" s="863"/>
      <c r="BN819" s="863"/>
      <c r="BO819" s="863"/>
      <c r="BP819" s="880"/>
      <c r="BQ819" s="863"/>
      <c r="BR819" s="883"/>
      <c r="BS819" s="883"/>
      <c r="BT819" s="883"/>
      <c r="BU819" s="883"/>
      <c r="BV819" s="883"/>
      <c r="BW819" s="883"/>
      <c r="BX819" s="883"/>
      <c r="BY819" s="883"/>
      <c r="BZ819" s="883"/>
      <c r="CA819" s="883"/>
      <c r="CB819" s="883"/>
      <c r="CC819" s="883"/>
      <c r="CD819" s="884"/>
      <c r="CE819" s="883"/>
      <c r="CF819" s="883"/>
      <c r="CG819" s="883"/>
      <c r="CH819" s="883"/>
      <c r="CI819" s="883"/>
      <c r="CJ819" s="883"/>
      <c r="CK819" s="883"/>
      <c r="CL819" s="883"/>
      <c r="CM819" s="883"/>
      <c r="CN819" s="883"/>
      <c r="CO819" s="883"/>
      <c r="CP819" s="883"/>
      <c r="CQ819" s="883"/>
      <c r="CR819" s="883"/>
      <c r="CS819" s="883"/>
      <c r="CT819" s="883"/>
      <c r="CU819" s="883"/>
      <c r="CV819" s="863"/>
      <c r="CW819" s="863"/>
      <c r="CX819" s="863"/>
      <c r="CY819" s="863"/>
      <c r="CZ819" s="863"/>
      <c r="DA819" s="863"/>
      <c r="DB819" s="863"/>
      <c r="DC819" s="863"/>
      <c r="DD819" s="863"/>
      <c r="DE819" s="863"/>
    </row>
    <row r="820">
      <c r="A820" s="876"/>
      <c r="B820" s="876"/>
      <c r="C820" s="876"/>
      <c r="D820" s="876"/>
      <c r="E820" s="876"/>
      <c r="F820" s="876"/>
      <c r="G820" s="876"/>
      <c r="H820" s="876"/>
      <c r="I820" s="876"/>
      <c r="J820" s="876"/>
      <c r="K820" s="876"/>
      <c r="L820" s="876"/>
      <c r="M820" s="876"/>
      <c r="N820" s="877"/>
      <c r="O820" s="876"/>
      <c r="P820" s="876"/>
      <c r="Q820" s="876"/>
      <c r="R820" s="876"/>
      <c r="S820" s="876"/>
      <c r="T820" s="876"/>
      <c r="U820" s="876"/>
      <c r="V820" s="876"/>
      <c r="W820" s="876"/>
      <c r="X820" s="876"/>
      <c r="Y820" s="876"/>
      <c r="Z820" s="876"/>
      <c r="AA820" s="876"/>
      <c r="AB820" s="876"/>
      <c r="AC820" s="876"/>
      <c r="AD820" s="876"/>
      <c r="AE820" s="876"/>
      <c r="AF820" s="876"/>
      <c r="AG820" s="876"/>
      <c r="AH820" s="876"/>
      <c r="AI820" s="878"/>
      <c r="AJ820" s="880"/>
      <c r="AK820" s="880"/>
      <c r="AL820" s="880"/>
      <c r="AM820" s="880"/>
      <c r="AN820" s="880"/>
      <c r="AO820" s="880"/>
      <c r="AP820" s="880"/>
      <c r="AQ820" s="880"/>
      <c r="AR820" s="880"/>
      <c r="AS820" s="880"/>
      <c r="AT820" s="880"/>
      <c r="AU820" s="880"/>
      <c r="AV820" s="880"/>
      <c r="AW820" s="881"/>
      <c r="AX820" s="863"/>
      <c r="AY820" s="863"/>
      <c r="AZ820" s="863"/>
      <c r="BA820" s="863"/>
      <c r="BB820" s="863"/>
      <c r="BC820" s="863"/>
      <c r="BD820" s="863"/>
      <c r="BE820" s="863"/>
      <c r="BF820" s="863"/>
      <c r="BG820" s="863"/>
      <c r="BH820" s="863"/>
      <c r="BI820" s="863"/>
      <c r="BJ820" s="863"/>
      <c r="BK820" s="863"/>
      <c r="BL820" s="863"/>
      <c r="BM820" s="863"/>
      <c r="BN820" s="863"/>
      <c r="BO820" s="863"/>
      <c r="BP820" s="880"/>
      <c r="BQ820" s="863"/>
      <c r="BR820" s="883"/>
      <c r="BS820" s="883"/>
      <c r="BT820" s="883"/>
      <c r="BU820" s="883"/>
      <c r="BV820" s="883"/>
      <c r="BW820" s="883"/>
      <c r="BX820" s="883"/>
      <c r="BY820" s="883"/>
      <c r="BZ820" s="883"/>
      <c r="CA820" s="883"/>
      <c r="CB820" s="883"/>
      <c r="CC820" s="883"/>
      <c r="CD820" s="884"/>
      <c r="CE820" s="883"/>
      <c r="CF820" s="883"/>
      <c r="CG820" s="883"/>
      <c r="CH820" s="883"/>
      <c r="CI820" s="883"/>
      <c r="CJ820" s="883"/>
      <c r="CK820" s="883"/>
      <c r="CL820" s="883"/>
      <c r="CM820" s="883"/>
      <c r="CN820" s="883"/>
      <c r="CO820" s="883"/>
      <c r="CP820" s="883"/>
      <c r="CQ820" s="883"/>
      <c r="CR820" s="883"/>
      <c r="CS820" s="883"/>
      <c r="CT820" s="883"/>
      <c r="CU820" s="883"/>
      <c r="CV820" s="863"/>
      <c r="CW820" s="863"/>
      <c r="CX820" s="863"/>
      <c r="CY820" s="863"/>
      <c r="CZ820" s="863"/>
      <c r="DA820" s="863"/>
      <c r="DB820" s="863"/>
      <c r="DC820" s="863"/>
      <c r="DD820" s="863"/>
      <c r="DE820" s="863"/>
    </row>
    <row r="821">
      <c r="A821" s="876"/>
      <c r="B821" s="876"/>
      <c r="C821" s="876"/>
      <c r="D821" s="876"/>
      <c r="E821" s="876"/>
      <c r="F821" s="876"/>
      <c r="G821" s="876"/>
      <c r="H821" s="876"/>
      <c r="I821" s="876"/>
      <c r="J821" s="876"/>
      <c r="K821" s="876"/>
      <c r="L821" s="876"/>
      <c r="M821" s="876"/>
      <c r="N821" s="877"/>
      <c r="O821" s="876"/>
      <c r="P821" s="876"/>
      <c r="Q821" s="876"/>
      <c r="R821" s="876"/>
      <c r="S821" s="876"/>
      <c r="T821" s="876"/>
      <c r="U821" s="876"/>
      <c r="V821" s="876"/>
      <c r="W821" s="876"/>
      <c r="X821" s="876"/>
      <c r="Y821" s="876"/>
      <c r="Z821" s="876"/>
      <c r="AA821" s="876"/>
      <c r="AB821" s="876"/>
      <c r="AC821" s="876"/>
      <c r="AD821" s="876"/>
      <c r="AE821" s="876"/>
      <c r="AF821" s="876"/>
      <c r="AG821" s="876"/>
      <c r="AH821" s="876"/>
      <c r="AI821" s="878"/>
      <c r="AJ821" s="880"/>
      <c r="AK821" s="880"/>
      <c r="AL821" s="880"/>
      <c r="AM821" s="880"/>
      <c r="AN821" s="880"/>
      <c r="AO821" s="880"/>
      <c r="AP821" s="880"/>
      <c r="AQ821" s="880"/>
      <c r="AR821" s="880"/>
      <c r="AS821" s="880"/>
      <c r="AT821" s="880"/>
      <c r="AU821" s="880"/>
      <c r="AV821" s="880"/>
      <c r="AW821" s="881"/>
      <c r="AX821" s="863"/>
      <c r="AY821" s="863"/>
      <c r="AZ821" s="863"/>
      <c r="BA821" s="863"/>
      <c r="BB821" s="863"/>
      <c r="BC821" s="863"/>
      <c r="BD821" s="863"/>
      <c r="BE821" s="863"/>
      <c r="BF821" s="863"/>
      <c r="BG821" s="863"/>
      <c r="BH821" s="863"/>
      <c r="BI821" s="863"/>
      <c r="BJ821" s="863"/>
      <c r="BK821" s="863"/>
      <c r="BL821" s="863"/>
      <c r="BM821" s="863"/>
      <c r="BN821" s="863"/>
      <c r="BO821" s="863"/>
      <c r="BP821" s="880"/>
      <c r="BQ821" s="863"/>
      <c r="BR821" s="883"/>
      <c r="BS821" s="883"/>
      <c r="BT821" s="883"/>
      <c r="BU821" s="883"/>
      <c r="BV821" s="883"/>
      <c r="BW821" s="883"/>
      <c r="BX821" s="883"/>
      <c r="BY821" s="883"/>
      <c r="BZ821" s="883"/>
      <c r="CA821" s="883"/>
      <c r="CB821" s="883"/>
      <c r="CC821" s="883"/>
      <c r="CD821" s="884"/>
      <c r="CE821" s="883"/>
      <c r="CF821" s="883"/>
      <c r="CG821" s="883"/>
      <c r="CH821" s="883"/>
      <c r="CI821" s="883"/>
      <c r="CJ821" s="883"/>
      <c r="CK821" s="883"/>
      <c r="CL821" s="883"/>
      <c r="CM821" s="883"/>
      <c r="CN821" s="883"/>
      <c r="CO821" s="883"/>
      <c r="CP821" s="883"/>
      <c r="CQ821" s="883"/>
      <c r="CR821" s="883"/>
      <c r="CS821" s="883"/>
      <c r="CT821" s="883"/>
      <c r="CU821" s="883"/>
      <c r="CV821" s="863"/>
      <c r="CW821" s="863"/>
      <c r="CX821" s="863"/>
      <c r="CY821" s="863"/>
      <c r="CZ821" s="863"/>
      <c r="DA821" s="863"/>
      <c r="DB821" s="863"/>
      <c r="DC821" s="863"/>
      <c r="DD821" s="863"/>
      <c r="DE821" s="863"/>
    </row>
    <row r="822">
      <c r="A822" s="876"/>
      <c r="B822" s="876"/>
      <c r="C822" s="876"/>
      <c r="D822" s="876"/>
      <c r="E822" s="876"/>
      <c r="F822" s="876"/>
      <c r="G822" s="876"/>
      <c r="H822" s="876"/>
      <c r="I822" s="876"/>
      <c r="J822" s="876"/>
      <c r="K822" s="876"/>
      <c r="L822" s="876"/>
      <c r="M822" s="876"/>
      <c r="N822" s="877"/>
      <c r="O822" s="876"/>
      <c r="P822" s="876"/>
      <c r="Q822" s="876"/>
      <c r="R822" s="876"/>
      <c r="S822" s="876"/>
      <c r="T822" s="876"/>
      <c r="U822" s="876"/>
      <c r="V822" s="876"/>
      <c r="W822" s="876"/>
      <c r="X822" s="876"/>
      <c r="Y822" s="876"/>
      <c r="Z822" s="876"/>
      <c r="AA822" s="876"/>
      <c r="AB822" s="876"/>
      <c r="AC822" s="876"/>
      <c r="AD822" s="876"/>
      <c r="AE822" s="876"/>
      <c r="AF822" s="876"/>
      <c r="AG822" s="876"/>
      <c r="AH822" s="876"/>
      <c r="AI822" s="878"/>
      <c r="AJ822" s="880"/>
      <c r="AK822" s="880"/>
      <c r="AL822" s="880"/>
      <c r="AM822" s="880"/>
      <c r="AN822" s="880"/>
      <c r="AO822" s="880"/>
      <c r="AP822" s="880"/>
      <c r="AQ822" s="880"/>
      <c r="AR822" s="880"/>
      <c r="AS822" s="880"/>
      <c r="AT822" s="880"/>
      <c r="AU822" s="880"/>
      <c r="AV822" s="880"/>
      <c r="AW822" s="881"/>
      <c r="AX822" s="863"/>
      <c r="AY822" s="863"/>
      <c r="AZ822" s="863"/>
      <c r="BA822" s="863"/>
      <c r="BB822" s="863"/>
      <c r="BC822" s="863"/>
      <c r="BD822" s="863"/>
      <c r="BE822" s="863"/>
      <c r="BF822" s="863"/>
      <c r="BG822" s="863"/>
      <c r="BH822" s="863"/>
      <c r="BI822" s="863"/>
      <c r="BJ822" s="863"/>
      <c r="BK822" s="863"/>
      <c r="BL822" s="863"/>
      <c r="BM822" s="863"/>
      <c r="BN822" s="863"/>
      <c r="BO822" s="863"/>
      <c r="BP822" s="880"/>
      <c r="BQ822" s="863"/>
      <c r="BR822" s="883"/>
      <c r="BS822" s="883"/>
      <c r="BT822" s="883"/>
      <c r="BU822" s="883"/>
      <c r="BV822" s="883"/>
      <c r="BW822" s="883"/>
      <c r="BX822" s="883"/>
      <c r="BY822" s="883"/>
      <c r="BZ822" s="883"/>
      <c r="CA822" s="883"/>
      <c r="CB822" s="883"/>
      <c r="CC822" s="883"/>
      <c r="CD822" s="884"/>
      <c r="CE822" s="883"/>
      <c r="CF822" s="883"/>
      <c r="CG822" s="883"/>
      <c r="CH822" s="883"/>
      <c r="CI822" s="883"/>
      <c r="CJ822" s="883"/>
      <c r="CK822" s="883"/>
      <c r="CL822" s="883"/>
      <c r="CM822" s="883"/>
      <c r="CN822" s="883"/>
      <c r="CO822" s="883"/>
      <c r="CP822" s="883"/>
      <c r="CQ822" s="883"/>
      <c r="CR822" s="883"/>
      <c r="CS822" s="883"/>
      <c r="CT822" s="883"/>
      <c r="CU822" s="883"/>
      <c r="CV822" s="863"/>
      <c r="CW822" s="863"/>
      <c r="CX822" s="863"/>
      <c r="CY822" s="863"/>
      <c r="CZ822" s="863"/>
      <c r="DA822" s="863"/>
      <c r="DB822" s="863"/>
      <c r="DC822" s="863"/>
      <c r="DD822" s="863"/>
      <c r="DE822" s="863"/>
    </row>
    <row r="823">
      <c r="A823" s="876"/>
      <c r="B823" s="876"/>
      <c r="C823" s="876"/>
      <c r="D823" s="876"/>
      <c r="E823" s="876"/>
      <c r="F823" s="876"/>
      <c r="G823" s="876"/>
      <c r="H823" s="876"/>
      <c r="I823" s="876"/>
      <c r="J823" s="876"/>
      <c r="K823" s="876"/>
      <c r="L823" s="876"/>
      <c r="M823" s="876"/>
      <c r="N823" s="877"/>
      <c r="O823" s="876"/>
      <c r="P823" s="876"/>
      <c r="Q823" s="876"/>
      <c r="R823" s="876"/>
      <c r="S823" s="876"/>
      <c r="T823" s="876"/>
      <c r="U823" s="876"/>
      <c r="V823" s="876"/>
      <c r="W823" s="876"/>
      <c r="X823" s="876"/>
      <c r="Y823" s="876"/>
      <c r="Z823" s="876"/>
      <c r="AA823" s="876"/>
      <c r="AB823" s="876"/>
      <c r="AC823" s="876"/>
      <c r="AD823" s="876"/>
      <c r="AE823" s="876"/>
      <c r="AF823" s="876"/>
      <c r="AG823" s="876"/>
      <c r="AH823" s="876"/>
      <c r="AI823" s="878"/>
      <c r="AJ823" s="880"/>
      <c r="AK823" s="880"/>
      <c r="AL823" s="880"/>
      <c r="AM823" s="880"/>
      <c r="AN823" s="880"/>
      <c r="AO823" s="880"/>
      <c r="AP823" s="880"/>
      <c r="AQ823" s="880"/>
      <c r="AR823" s="880"/>
      <c r="AS823" s="880"/>
      <c r="AT823" s="880"/>
      <c r="AU823" s="880"/>
      <c r="AV823" s="880"/>
      <c r="AW823" s="881"/>
      <c r="AX823" s="863"/>
      <c r="AY823" s="863"/>
      <c r="AZ823" s="863"/>
      <c r="BA823" s="863"/>
      <c r="BB823" s="863"/>
      <c r="BC823" s="863"/>
      <c r="BD823" s="863"/>
      <c r="BE823" s="863"/>
      <c r="BF823" s="863"/>
      <c r="BG823" s="863"/>
      <c r="BH823" s="863"/>
      <c r="BI823" s="863"/>
      <c r="BJ823" s="863"/>
      <c r="BK823" s="863"/>
      <c r="BL823" s="863"/>
      <c r="BM823" s="863"/>
      <c r="BN823" s="863"/>
      <c r="BO823" s="863"/>
      <c r="BP823" s="880"/>
      <c r="BQ823" s="863"/>
      <c r="BR823" s="883"/>
      <c r="BS823" s="883"/>
      <c r="BT823" s="883"/>
      <c r="BU823" s="883"/>
      <c r="BV823" s="883"/>
      <c r="BW823" s="883"/>
      <c r="BX823" s="883"/>
      <c r="BY823" s="883"/>
      <c r="BZ823" s="883"/>
      <c r="CA823" s="883"/>
      <c r="CB823" s="883"/>
      <c r="CC823" s="883"/>
      <c r="CD823" s="884"/>
      <c r="CE823" s="883"/>
      <c r="CF823" s="883"/>
      <c r="CG823" s="883"/>
      <c r="CH823" s="883"/>
      <c r="CI823" s="883"/>
      <c r="CJ823" s="883"/>
      <c r="CK823" s="883"/>
      <c r="CL823" s="883"/>
      <c r="CM823" s="883"/>
      <c r="CN823" s="883"/>
      <c r="CO823" s="883"/>
      <c r="CP823" s="883"/>
      <c r="CQ823" s="883"/>
      <c r="CR823" s="883"/>
      <c r="CS823" s="883"/>
      <c r="CT823" s="883"/>
      <c r="CU823" s="883"/>
      <c r="CV823" s="863"/>
      <c r="CW823" s="863"/>
      <c r="CX823" s="863"/>
      <c r="CY823" s="863"/>
      <c r="CZ823" s="863"/>
      <c r="DA823" s="863"/>
      <c r="DB823" s="863"/>
      <c r="DC823" s="863"/>
      <c r="DD823" s="863"/>
      <c r="DE823" s="863"/>
    </row>
    <row r="824">
      <c r="A824" s="876"/>
      <c r="B824" s="876"/>
      <c r="C824" s="876"/>
      <c r="D824" s="876"/>
      <c r="E824" s="876"/>
      <c r="F824" s="876"/>
      <c r="G824" s="876"/>
      <c r="H824" s="876"/>
      <c r="I824" s="876"/>
      <c r="J824" s="876"/>
      <c r="K824" s="876"/>
      <c r="L824" s="876"/>
      <c r="M824" s="876"/>
      <c r="N824" s="877"/>
      <c r="O824" s="876"/>
      <c r="P824" s="876"/>
      <c r="Q824" s="876"/>
      <c r="R824" s="876"/>
      <c r="S824" s="876"/>
      <c r="T824" s="876"/>
      <c r="U824" s="876"/>
      <c r="V824" s="876"/>
      <c r="W824" s="876"/>
      <c r="X824" s="876"/>
      <c r="Y824" s="876"/>
      <c r="Z824" s="876"/>
      <c r="AA824" s="876"/>
      <c r="AB824" s="876"/>
      <c r="AC824" s="876"/>
      <c r="AD824" s="876"/>
      <c r="AE824" s="876"/>
      <c r="AF824" s="876"/>
      <c r="AG824" s="876"/>
      <c r="AH824" s="876"/>
      <c r="AI824" s="878"/>
      <c r="AJ824" s="880"/>
      <c r="AK824" s="880"/>
      <c r="AL824" s="880"/>
      <c r="AM824" s="880"/>
      <c r="AN824" s="880"/>
      <c r="AO824" s="880"/>
      <c r="AP824" s="880"/>
      <c r="AQ824" s="880"/>
      <c r="AR824" s="880"/>
      <c r="AS824" s="880"/>
      <c r="AT824" s="880"/>
      <c r="AU824" s="880"/>
      <c r="AV824" s="880"/>
      <c r="AW824" s="881"/>
      <c r="AX824" s="863"/>
      <c r="AY824" s="863"/>
      <c r="AZ824" s="863"/>
      <c r="BA824" s="863"/>
      <c r="BB824" s="863"/>
      <c r="BC824" s="863"/>
      <c r="BD824" s="863"/>
      <c r="BE824" s="863"/>
      <c r="BF824" s="863"/>
      <c r="BG824" s="863"/>
      <c r="BH824" s="863"/>
      <c r="BI824" s="863"/>
      <c r="BJ824" s="863"/>
      <c r="BK824" s="863"/>
      <c r="BL824" s="863"/>
      <c r="BM824" s="863"/>
      <c r="BN824" s="863"/>
      <c r="BO824" s="863"/>
      <c r="BP824" s="880"/>
      <c r="BQ824" s="863"/>
      <c r="BR824" s="883"/>
      <c r="BS824" s="883"/>
      <c r="BT824" s="883"/>
      <c r="BU824" s="883"/>
      <c r="BV824" s="883"/>
      <c r="BW824" s="883"/>
      <c r="BX824" s="883"/>
      <c r="BY824" s="883"/>
      <c r="BZ824" s="883"/>
      <c r="CA824" s="883"/>
      <c r="CB824" s="883"/>
      <c r="CC824" s="883"/>
      <c r="CD824" s="884"/>
      <c r="CE824" s="883"/>
      <c r="CF824" s="883"/>
      <c r="CG824" s="883"/>
      <c r="CH824" s="883"/>
      <c r="CI824" s="883"/>
      <c r="CJ824" s="883"/>
      <c r="CK824" s="883"/>
      <c r="CL824" s="883"/>
      <c r="CM824" s="883"/>
      <c r="CN824" s="883"/>
      <c r="CO824" s="883"/>
      <c r="CP824" s="883"/>
      <c r="CQ824" s="883"/>
      <c r="CR824" s="883"/>
      <c r="CS824" s="883"/>
      <c r="CT824" s="883"/>
      <c r="CU824" s="883"/>
      <c r="CV824" s="863"/>
      <c r="CW824" s="863"/>
      <c r="CX824" s="863"/>
      <c r="CY824" s="863"/>
      <c r="CZ824" s="863"/>
      <c r="DA824" s="863"/>
      <c r="DB824" s="863"/>
      <c r="DC824" s="863"/>
      <c r="DD824" s="863"/>
      <c r="DE824" s="863"/>
    </row>
    <row r="825">
      <c r="A825" s="876"/>
      <c r="B825" s="876"/>
      <c r="C825" s="876"/>
      <c r="D825" s="876"/>
      <c r="E825" s="876"/>
      <c r="F825" s="876"/>
      <c r="G825" s="876"/>
      <c r="H825" s="876"/>
      <c r="I825" s="876"/>
      <c r="J825" s="876"/>
      <c r="K825" s="876"/>
      <c r="L825" s="876"/>
      <c r="M825" s="876"/>
      <c r="N825" s="877"/>
      <c r="O825" s="876"/>
      <c r="P825" s="876"/>
      <c r="Q825" s="876"/>
      <c r="R825" s="876"/>
      <c r="S825" s="876"/>
      <c r="T825" s="876"/>
      <c r="U825" s="876"/>
      <c r="V825" s="876"/>
      <c r="W825" s="876"/>
      <c r="X825" s="876"/>
      <c r="Y825" s="876"/>
      <c r="Z825" s="876"/>
      <c r="AA825" s="876"/>
      <c r="AB825" s="876"/>
      <c r="AC825" s="876"/>
      <c r="AD825" s="876"/>
      <c r="AE825" s="876"/>
      <c r="AF825" s="876"/>
      <c r="AG825" s="876"/>
      <c r="AH825" s="876"/>
      <c r="AI825" s="878"/>
      <c r="AJ825" s="880"/>
      <c r="AK825" s="880"/>
      <c r="AL825" s="880"/>
      <c r="AM825" s="880"/>
      <c r="AN825" s="880"/>
      <c r="AO825" s="880"/>
      <c r="AP825" s="880"/>
      <c r="AQ825" s="880"/>
      <c r="AR825" s="880"/>
      <c r="AS825" s="880"/>
      <c r="AT825" s="880"/>
      <c r="AU825" s="880"/>
      <c r="AV825" s="880"/>
      <c r="AW825" s="881"/>
      <c r="AX825" s="863"/>
      <c r="AY825" s="863"/>
      <c r="AZ825" s="863"/>
      <c r="BA825" s="863"/>
      <c r="BB825" s="863"/>
      <c r="BC825" s="863"/>
      <c r="BD825" s="863"/>
      <c r="BE825" s="863"/>
      <c r="BF825" s="863"/>
      <c r="BG825" s="863"/>
      <c r="BH825" s="863"/>
      <c r="BI825" s="863"/>
      <c r="BJ825" s="863"/>
      <c r="BK825" s="863"/>
      <c r="BL825" s="863"/>
      <c r="BM825" s="863"/>
      <c r="BN825" s="863"/>
      <c r="BO825" s="863"/>
      <c r="BP825" s="880"/>
      <c r="BQ825" s="863"/>
      <c r="BR825" s="883"/>
      <c r="BS825" s="883"/>
      <c r="BT825" s="883"/>
      <c r="BU825" s="883"/>
      <c r="BV825" s="883"/>
      <c r="BW825" s="883"/>
      <c r="BX825" s="883"/>
      <c r="BY825" s="883"/>
      <c r="BZ825" s="883"/>
      <c r="CA825" s="883"/>
      <c r="CB825" s="883"/>
      <c r="CC825" s="883"/>
      <c r="CD825" s="884"/>
      <c r="CE825" s="883"/>
      <c r="CF825" s="883"/>
      <c r="CG825" s="883"/>
      <c r="CH825" s="883"/>
      <c r="CI825" s="883"/>
      <c r="CJ825" s="883"/>
      <c r="CK825" s="883"/>
      <c r="CL825" s="883"/>
      <c r="CM825" s="883"/>
      <c r="CN825" s="883"/>
      <c r="CO825" s="883"/>
      <c r="CP825" s="883"/>
      <c r="CQ825" s="883"/>
      <c r="CR825" s="883"/>
      <c r="CS825" s="883"/>
      <c r="CT825" s="883"/>
      <c r="CU825" s="883"/>
      <c r="CV825" s="863"/>
      <c r="CW825" s="863"/>
      <c r="CX825" s="863"/>
      <c r="CY825" s="863"/>
      <c r="CZ825" s="863"/>
      <c r="DA825" s="863"/>
      <c r="DB825" s="863"/>
      <c r="DC825" s="863"/>
      <c r="DD825" s="863"/>
      <c r="DE825" s="863"/>
    </row>
    <row r="826">
      <c r="A826" s="876"/>
      <c r="B826" s="876"/>
      <c r="C826" s="876"/>
      <c r="D826" s="876"/>
      <c r="E826" s="876"/>
      <c r="F826" s="876"/>
      <c r="G826" s="876"/>
      <c r="H826" s="876"/>
      <c r="I826" s="876"/>
      <c r="J826" s="876"/>
      <c r="K826" s="876"/>
      <c r="L826" s="876"/>
      <c r="M826" s="876"/>
      <c r="N826" s="877"/>
      <c r="O826" s="876"/>
      <c r="P826" s="876"/>
      <c r="Q826" s="876"/>
      <c r="R826" s="876"/>
      <c r="S826" s="876"/>
      <c r="T826" s="876"/>
      <c r="U826" s="876"/>
      <c r="V826" s="876"/>
      <c r="W826" s="876"/>
      <c r="X826" s="876"/>
      <c r="Y826" s="876"/>
      <c r="Z826" s="876"/>
      <c r="AA826" s="876"/>
      <c r="AB826" s="876"/>
      <c r="AC826" s="876"/>
      <c r="AD826" s="876"/>
      <c r="AE826" s="876"/>
      <c r="AF826" s="876"/>
      <c r="AG826" s="876"/>
      <c r="AH826" s="876"/>
      <c r="AI826" s="878"/>
      <c r="AJ826" s="880"/>
      <c r="AK826" s="880"/>
      <c r="AL826" s="880"/>
      <c r="AM826" s="880"/>
      <c r="AN826" s="880"/>
      <c r="AO826" s="880"/>
      <c r="AP826" s="880"/>
      <c r="AQ826" s="880"/>
      <c r="AR826" s="880"/>
      <c r="AS826" s="880"/>
      <c r="AT826" s="880"/>
      <c r="AU826" s="880"/>
      <c r="AV826" s="880"/>
      <c r="AW826" s="881"/>
      <c r="AX826" s="863"/>
      <c r="AY826" s="863"/>
      <c r="AZ826" s="863"/>
      <c r="BA826" s="863"/>
      <c r="BB826" s="863"/>
      <c r="BC826" s="863"/>
      <c r="BD826" s="863"/>
      <c r="BE826" s="863"/>
      <c r="BF826" s="863"/>
      <c r="BG826" s="863"/>
      <c r="BH826" s="863"/>
      <c r="BI826" s="863"/>
      <c r="BJ826" s="863"/>
      <c r="BK826" s="863"/>
      <c r="BL826" s="863"/>
      <c r="BM826" s="863"/>
      <c r="BN826" s="863"/>
      <c r="BO826" s="863"/>
      <c r="BP826" s="880"/>
      <c r="BQ826" s="863"/>
      <c r="BR826" s="883"/>
      <c r="BS826" s="883"/>
      <c r="BT826" s="883"/>
      <c r="BU826" s="883"/>
      <c r="BV826" s="883"/>
      <c r="BW826" s="883"/>
      <c r="BX826" s="883"/>
      <c r="BY826" s="883"/>
      <c r="BZ826" s="883"/>
      <c r="CA826" s="883"/>
      <c r="CB826" s="883"/>
      <c r="CC826" s="883"/>
      <c r="CD826" s="884"/>
      <c r="CE826" s="883"/>
      <c r="CF826" s="883"/>
      <c r="CG826" s="883"/>
      <c r="CH826" s="883"/>
      <c r="CI826" s="883"/>
      <c r="CJ826" s="883"/>
      <c r="CK826" s="883"/>
      <c r="CL826" s="883"/>
      <c r="CM826" s="883"/>
      <c r="CN826" s="883"/>
      <c r="CO826" s="883"/>
      <c r="CP826" s="883"/>
      <c r="CQ826" s="883"/>
      <c r="CR826" s="883"/>
      <c r="CS826" s="883"/>
      <c r="CT826" s="883"/>
      <c r="CU826" s="883"/>
      <c r="CV826" s="863"/>
      <c r="CW826" s="863"/>
      <c r="CX826" s="863"/>
      <c r="CY826" s="863"/>
      <c r="CZ826" s="863"/>
      <c r="DA826" s="863"/>
      <c r="DB826" s="863"/>
      <c r="DC826" s="863"/>
      <c r="DD826" s="863"/>
      <c r="DE826" s="863"/>
    </row>
    <row r="827">
      <c r="A827" s="876"/>
      <c r="B827" s="876"/>
      <c r="C827" s="876"/>
      <c r="D827" s="876"/>
      <c r="E827" s="876"/>
      <c r="F827" s="876"/>
      <c r="G827" s="876"/>
      <c r="H827" s="876"/>
      <c r="I827" s="876"/>
      <c r="J827" s="876"/>
      <c r="K827" s="876"/>
      <c r="L827" s="876"/>
      <c r="M827" s="876"/>
      <c r="N827" s="877"/>
      <c r="O827" s="876"/>
      <c r="P827" s="876"/>
      <c r="Q827" s="876"/>
      <c r="R827" s="876"/>
      <c r="S827" s="876"/>
      <c r="T827" s="876"/>
      <c r="U827" s="876"/>
      <c r="V827" s="876"/>
      <c r="W827" s="876"/>
      <c r="X827" s="876"/>
      <c r="Y827" s="876"/>
      <c r="Z827" s="876"/>
      <c r="AA827" s="876"/>
      <c r="AB827" s="876"/>
      <c r="AC827" s="876"/>
      <c r="AD827" s="876"/>
      <c r="AE827" s="876"/>
      <c r="AF827" s="876"/>
      <c r="AG827" s="876"/>
      <c r="AH827" s="876"/>
      <c r="AI827" s="878"/>
      <c r="AJ827" s="880"/>
      <c r="AK827" s="880"/>
      <c r="AL827" s="880"/>
      <c r="AM827" s="880"/>
      <c r="AN827" s="880"/>
      <c r="AO827" s="880"/>
      <c r="AP827" s="880"/>
      <c r="AQ827" s="880"/>
      <c r="AR827" s="880"/>
      <c r="AS827" s="880"/>
      <c r="AT827" s="880"/>
      <c r="AU827" s="880"/>
      <c r="AV827" s="880"/>
      <c r="AW827" s="881"/>
      <c r="AX827" s="863"/>
      <c r="AY827" s="863"/>
      <c r="AZ827" s="863"/>
      <c r="BA827" s="863"/>
      <c r="BB827" s="863"/>
      <c r="BC827" s="863"/>
      <c r="BD827" s="863"/>
      <c r="BE827" s="863"/>
      <c r="BF827" s="863"/>
      <c r="BG827" s="863"/>
      <c r="BH827" s="863"/>
      <c r="BI827" s="863"/>
      <c r="BJ827" s="863"/>
      <c r="BK827" s="863"/>
      <c r="BL827" s="863"/>
      <c r="BM827" s="863"/>
      <c r="BN827" s="863"/>
      <c r="BO827" s="863"/>
      <c r="BP827" s="880"/>
      <c r="BQ827" s="863"/>
      <c r="BR827" s="883"/>
      <c r="BS827" s="883"/>
      <c r="BT827" s="883"/>
      <c r="BU827" s="883"/>
      <c r="BV827" s="883"/>
      <c r="BW827" s="883"/>
      <c r="BX827" s="883"/>
      <c r="BY827" s="883"/>
      <c r="BZ827" s="883"/>
      <c r="CA827" s="883"/>
      <c r="CB827" s="883"/>
      <c r="CC827" s="883"/>
      <c r="CD827" s="884"/>
      <c r="CE827" s="883"/>
      <c r="CF827" s="883"/>
      <c r="CG827" s="883"/>
      <c r="CH827" s="883"/>
      <c r="CI827" s="883"/>
      <c r="CJ827" s="883"/>
      <c r="CK827" s="883"/>
      <c r="CL827" s="883"/>
      <c r="CM827" s="883"/>
      <c r="CN827" s="883"/>
      <c r="CO827" s="883"/>
      <c r="CP827" s="883"/>
      <c r="CQ827" s="883"/>
      <c r="CR827" s="883"/>
      <c r="CS827" s="883"/>
      <c r="CT827" s="883"/>
      <c r="CU827" s="883"/>
      <c r="CV827" s="863"/>
      <c r="CW827" s="863"/>
      <c r="CX827" s="863"/>
      <c r="CY827" s="863"/>
      <c r="CZ827" s="863"/>
      <c r="DA827" s="863"/>
      <c r="DB827" s="863"/>
      <c r="DC827" s="863"/>
      <c r="DD827" s="863"/>
      <c r="DE827" s="863"/>
    </row>
    <row r="828">
      <c r="A828" s="876"/>
      <c r="B828" s="876"/>
      <c r="C828" s="876"/>
      <c r="D828" s="876"/>
      <c r="E828" s="876"/>
      <c r="F828" s="876"/>
      <c r="G828" s="876"/>
      <c r="H828" s="876"/>
      <c r="I828" s="876"/>
      <c r="J828" s="876"/>
      <c r="K828" s="876"/>
      <c r="L828" s="876"/>
      <c r="M828" s="876"/>
      <c r="N828" s="877"/>
      <c r="O828" s="876"/>
      <c r="P828" s="876"/>
      <c r="Q828" s="876"/>
      <c r="R828" s="876"/>
      <c r="S828" s="876"/>
      <c r="T828" s="876"/>
      <c r="U828" s="876"/>
      <c r="V828" s="876"/>
      <c r="W828" s="876"/>
      <c r="X828" s="876"/>
      <c r="Y828" s="876"/>
      <c r="Z828" s="876"/>
      <c r="AA828" s="876"/>
      <c r="AB828" s="876"/>
      <c r="AC828" s="876"/>
      <c r="AD828" s="876"/>
      <c r="AE828" s="876"/>
      <c r="AF828" s="876"/>
      <c r="AG828" s="876"/>
      <c r="AH828" s="876"/>
      <c r="AI828" s="878"/>
      <c r="AJ828" s="880"/>
      <c r="AK828" s="880"/>
      <c r="AL828" s="880"/>
      <c r="AM828" s="880"/>
      <c r="AN828" s="880"/>
      <c r="AO828" s="880"/>
      <c r="AP828" s="880"/>
      <c r="AQ828" s="880"/>
      <c r="AR828" s="880"/>
      <c r="AS828" s="880"/>
      <c r="AT828" s="880"/>
      <c r="AU828" s="880"/>
      <c r="AV828" s="880"/>
      <c r="AW828" s="881"/>
      <c r="AX828" s="863"/>
      <c r="AY828" s="863"/>
      <c r="AZ828" s="863"/>
      <c r="BA828" s="863"/>
      <c r="BB828" s="863"/>
      <c r="BC828" s="863"/>
      <c r="BD828" s="863"/>
      <c r="BE828" s="863"/>
      <c r="BF828" s="863"/>
      <c r="BG828" s="863"/>
      <c r="BH828" s="863"/>
      <c r="BI828" s="863"/>
      <c r="BJ828" s="863"/>
      <c r="BK828" s="863"/>
      <c r="BL828" s="863"/>
      <c r="BM828" s="863"/>
      <c r="BN828" s="863"/>
      <c r="BO828" s="863"/>
      <c r="BP828" s="880"/>
      <c r="BQ828" s="863"/>
      <c r="BR828" s="883"/>
      <c r="BS828" s="883"/>
      <c r="BT828" s="883"/>
      <c r="BU828" s="883"/>
      <c r="BV828" s="883"/>
      <c r="BW828" s="883"/>
      <c r="BX828" s="883"/>
      <c r="BY828" s="883"/>
      <c r="BZ828" s="883"/>
      <c r="CA828" s="883"/>
      <c r="CB828" s="883"/>
      <c r="CC828" s="883"/>
      <c r="CD828" s="884"/>
      <c r="CE828" s="883"/>
      <c r="CF828" s="883"/>
      <c r="CG828" s="883"/>
      <c r="CH828" s="883"/>
      <c r="CI828" s="883"/>
      <c r="CJ828" s="883"/>
      <c r="CK828" s="883"/>
      <c r="CL828" s="883"/>
      <c r="CM828" s="883"/>
      <c r="CN828" s="883"/>
      <c r="CO828" s="883"/>
      <c r="CP828" s="883"/>
      <c r="CQ828" s="883"/>
      <c r="CR828" s="883"/>
      <c r="CS828" s="883"/>
      <c r="CT828" s="883"/>
      <c r="CU828" s="883"/>
      <c r="CV828" s="863"/>
      <c r="CW828" s="863"/>
      <c r="CX828" s="863"/>
      <c r="CY828" s="863"/>
      <c r="CZ828" s="863"/>
      <c r="DA828" s="863"/>
      <c r="DB828" s="863"/>
      <c r="DC828" s="863"/>
      <c r="DD828" s="863"/>
      <c r="DE828" s="863"/>
    </row>
    <row r="829">
      <c r="A829" s="876"/>
      <c r="B829" s="876"/>
      <c r="C829" s="876"/>
      <c r="D829" s="876"/>
      <c r="E829" s="876"/>
      <c r="F829" s="876"/>
      <c r="G829" s="876"/>
      <c r="H829" s="876"/>
      <c r="I829" s="876"/>
      <c r="J829" s="876"/>
      <c r="K829" s="876"/>
      <c r="L829" s="876"/>
      <c r="M829" s="876"/>
      <c r="N829" s="877"/>
      <c r="O829" s="876"/>
      <c r="P829" s="876"/>
      <c r="Q829" s="876"/>
      <c r="R829" s="876"/>
      <c r="S829" s="876"/>
      <c r="T829" s="876"/>
      <c r="U829" s="876"/>
      <c r="V829" s="876"/>
      <c r="W829" s="876"/>
      <c r="X829" s="876"/>
      <c r="Y829" s="876"/>
      <c r="Z829" s="876"/>
      <c r="AA829" s="876"/>
      <c r="AB829" s="876"/>
      <c r="AC829" s="876"/>
      <c r="AD829" s="876"/>
      <c r="AE829" s="876"/>
      <c r="AF829" s="876"/>
      <c r="AG829" s="876"/>
      <c r="AH829" s="876"/>
      <c r="AI829" s="878"/>
      <c r="AJ829" s="880"/>
      <c r="AK829" s="880"/>
      <c r="AL829" s="880"/>
      <c r="AM829" s="880"/>
      <c r="AN829" s="880"/>
      <c r="AO829" s="880"/>
      <c r="AP829" s="880"/>
      <c r="AQ829" s="880"/>
      <c r="AR829" s="880"/>
      <c r="AS829" s="880"/>
      <c r="AT829" s="880"/>
      <c r="AU829" s="880"/>
      <c r="AV829" s="880"/>
      <c r="AW829" s="881"/>
      <c r="AX829" s="863"/>
      <c r="AY829" s="863"/>
      <c r="AZ829" s="863"/>
      <c r="BA829" s="863"/>
      <c r="BB829" s="863"/>
      <c r="BC829" s="863"/>
      <c r="BD829" s="863"/>
      <c r="BE829" s="863"/>
      <c r="BF829" s="863"/>
      <c r="BG829" s="863"/>
      <c r="BH829" s="863"/>
      <c r="BI829" s="863"/>
      <c r="BJ829" s="863"/>
      <c r="BK829" s="863"/>
      <c r="BL829" s="863"/>
      <c r="BM829" s="863"/>
      <c r="BN829" s="863"/>
      <c r="BO829" s="863"/>
      <c r="BP829" s="880"/>
      <c r="BQ829" s="863"/>
      <c r="BR829" s="883"/>
      <c r="BS829" s="883"/>
      <c r="BT829" s="883"/>
      <c r="BU829" s="883"/>
      <c r="BV829" s="883"/>
      <c r="BW829" s="883"/>
      <c r="BX829" s="883"/>
      <c r="BY829" s="883"/>
      <c r="BZ829" s="883"/>
      <c r="CA829" s="883"/>
      <c r="CB829" s="883"/>
      <c r="CC829" s="883"/>
      <c r="CD829" s="884"/>
      <c r="CE829" s="883"/>
      <c r="CF829" s="883"/>
      <c r="CG829" s="883"/>
      <c r="CH829" s="883"/>
      <c r="CI829" s="883"/>
      <c r="CJ829" s="883"/>
      <c r="CK829" s="883"/>
      <c r="CL829" s="883"/>
      <c r="CM829" s="883"/>
      <c r="CN829" s="883"/>
      <c r="CO829" s="883"/>
      <c r="CP829" s="883"/>
      <c r="CQ829" s="883"/>
      <c r="CR829" s="883"/>
      <c r="CS829" s="883"/>
      <c r="CT829" s="883"/>
      <c r="CU829" s="883"/>
      <c r="CV829" s="863"/>
      <c r="CW829" s="863"/>
      <c r="CX829" s="863"/>
      <c r="CY829" s="863"/>
      <c r="CZ829" s="863"/>
      <c r="DA829" s="863"/>
      <c r="DB829" s="863"/>
      <c r="DC829" s="863"/>
      <c r="DD829" s="863"/>
      <c r="DE829" s="863"/>
    </row>
    <row r="830">
      <c r="A830" s="876"/>
      <c r="B830" s="876"/>
      <c r="C830" s="876"/>
      <c r="D830" s="876"/>
      <c r="E830" s="876"/>
      <c r="F830" s="876"/>
      <c r="G830" s="876"/>
      <c r="H830" s="876"/>
      <c r="I830" s="876"/>
      <c r="J830" s="876"/>
      <c r="K830" s="876"/>
      <c r="L830" s="876"/>
      <c r="M830" s="876"/>
      <c r="N830" s="877"/>
      <c r="O830" s="876"/>
      <c r="P830" s="876"/>
      <c r="Q830" s="876"/>
      <c r="R830" s="876"/>
      <c r="S830" s="876"/>
      <c r="T830" s="876"/>
      <c r="U830" s="876"/>
      <c r="V830" s="876"/>
      <c r="W830" s="876"/>
      <c r="X830" s="876"/>
      <c r="Y830" s="876"/>
      <c r="Z830" s="876"/>
      <c r="AA830" s="876"/>
      <c r="AB830" s="876"/>
      <c r="AC830" s="876"/>
      <c r="AD830" s="876"/>
      <c r="AE830" s="876"/>
      <c r="AF830" s="876"/>
      <c r="AG830" s="876"/>
      <c r="AH830" s="876"/>
      <c r="AI830" s="878"/>
      <c r="AJ830" s="880"/>
      <c r="AK830" s="880"/>
      <c r="AL830" s="880"/>
      <c r="AM830" s="880"/>
      <c r="AN830" s="880"/>
      <c r="AO830" s="880"/>
      <c r="AP830" s="880"/>
      <c r="AQ830" s="880"/>
      <c r="AR830" s="880"/>
      <c r="AS830" s="880"/>
      <c r="AT830" s="880"/>
      <c r="AU830" s="880"/>
      <c r="AV830" s="880"/>
      <c r="AW830" s="881"/>
      <c r="AX830" s="863"/>
      <c r="AY830" s="863"/>
      <c r="AZ830" s="863"/>
      <c r="BA830" s="863"/>
      <c r="BB830" s="863"/>
      <c r="BC830" s="863"/>
      <c r="BD830" s="863"/>
      <c r="BE830" s="863"/>
      <c r="BF830" s="863"/>
      <c r="BG830" s="863"/>
      <c r="BH830" s="863"/>
      <c r="BI830" s="863"/>
      <c r="BJ830" s="863"/>
      <c r="BK830" s="863"/>
      <c r="BL830" s="863"/>
      <c r="BM830" s="863"/>
      <c r="BN830" s="863"/>
      <c r="BO830" s="863"/>
      <c r="BP830" s="880"/>
      <c r="BQ830" s="863"/>
      <c r="BR830" s="883"/>
      <c r="BS830" s="883"/>
      <c r="BT830" s="883"/>
      <c r="BU830" s="883"/>
      <c r="BV830" s="883"/>
      <c r="BW830" s="883"/>
      <c r="BX830" s="883"/>
      <c r="BY830" s="883"/>
      <c r="BZ830" s="883"/>
      <c r="CA830" s="883"/>
      <c r="CB830" s="883"/>
      <c r="CC830" s="883"/>
      <c r="CD830" s="884"/>
      <c r="CE830" s="883"/>
      <c r="CF830" s="883"/>
      <c r="CG830" s="883"/>
      <c r="CH830" s="883"/>
      <c r="CI830" s="883"/>
      <c r="CJ830" s="883"/>
      <c r="CK830" s="883"/>
      <c r="CL830" s="883"/>
      <c r="CM830" s="883"/>
      <c r="CN830" s="883"/>
      <c r="CO830" s="883"/>
      <c r="CP830" s="883"/>
      <c r="CQ830" s="883"/>
      <c r="CR830" s="883"/>
      <c r="CS830" s="883"/>
      <c r="CT830" s="883"/>
      <c r="CU830" s="883"/>
      <c r="CV830" s="863"/>
      <c r="CW830" s="863"/>
      <c r="CX830" s="863"/>
      <c r="CY830" s="863"/>
      <c r="CZ830" s="863"/>
      <c r="DA830" s="863"/>
      <c r="DB830" s="863"/>
      <c r="DC830" s="863"/>
      <c r="DD830" s="863"/>
      <c r="DE830" s="863"/>
    </row>
    <row r="831">
      <c r="A831" s="876"/>
      <c r="B831" s="876"/>
      <c r="C831" s="876"/>
      <c r="D831" s="876"/>
      <c r="E831" s="876"/>
      <c r="F831" s="876"/>
      <c r="G831" s="876"/>
      <c r="H831" s="876"/>
      <c r="I831" s="876"/>
      <c r="J831" s="876"/>
      <c r="K831" s="876"/>
      <c r="L831" s="876"/>
      <c r="M831" s="876"/>
      <c r="N831" s="877"/>
      <c r="O831" s="876"/>
      <c r="P831" s="876"/>
      <c r="Q831" s="876"/>
      <c r="R831" s="876"/>
      <c r="S831" s="876"/>
      <c r="T831" s="876"/>
      <c r="U831" s="876"/>
      <c r="V831" s="876"/>
      <c r="W831" s="876"/>
      <c r="X831" s="876"/>
      <c r="Y831" s="876"/>
      <c r="Z831" s="876"/>
      <c r="AA831" s="876"/>
      <c r="AB831" s="876"/>
      <c r="AC831" s="876"/>
      <c r="AD831" s="876"/>
      <c r="AE831" s="876"/>
      <c r="AF831" s="876"/>
      <c r="AG831" s="876"/>
      <c r="AH831" s="876"/>
      <c r="AI831" s="878"/>
      <c r="AJ831" s="880"/>
      <c r="AK831" s="880"/>
      <c r="AL831" s="880"/>
      <c r="AM831" s="880"/>
      <c r="AN831" s="880"/>
      <c r="AO831" s="880"/>
      <c r="AP831" s="880"/>
      <c r="AQ831" s="880"/>
      <c r="AR831" s="880"/>
      <c r="AS831" s="880"/>
      <c r="AT831" s="880"/>
      <c r="AU831" s="880"/>
      <c r="AV831" s="880"/>
      <c r="AW831" s="881"/>
      <c r="AX831" s="863"/>
      <c r="AY831" s="863"/>
      <c r="AZ831" s="863"/>
      <c r="BA831" s="863"/>
      <c r="BB831" s="863"/>
      <c r="BC831" s="863"/>
      <c r="BD831" s="863"/>
      <c r="BE831" s="863"/>
      <c r="BF831" s="863"/>
      <c r="BG831" s="863"/>
      <c r="BH831" s="863"/>
      <c r="BI831" s="863"/>
      <c r="BJ831" s="863"/>
      <c r="BK831" s="863"/>
      <c r="BL831" s="863"/>
      <c r="BM831" s="863"/>
      <c r="BN831" s="863"/>
      <c r="BO831" s="863"/>
      <c r="BP831" s="880"/>
      <c r="BQ831" s="863"/>
      <c r="BR831" s="883"/>
      <c r="BS831" s="883"/>
      <c r="BT831" s="883"/>
      <c r="BU831" s="883"/>
      <c r="BV831" s="883"/>
      <c r="BW831" s="883"/>
      <c r="BX831" s="883"/>
      <c r="BY831" s="883"/>
      <c r="BZ831" s="883"/>
      <c r="CA831" s="883"/>
      <c r="CB831" s="883"/>
      <c r="CC831" s="883"/>
      <c r="CD831" s="884"/>
      <c r="CE831" s="883"/>
      <c r="CF831" s="883"/>
      <c r="CG831" s="883"/>
      <c r="CH831" s="883"/>
      <c r="CI831" s="883"/>
      <c r="CJ831" s="883"/>
      <c r="CK831" s="883"/>
      <c r="CL831" s="883"/>
      <c r="CM831" s="883"/>
      <c r="CN831" s="883"/>
      <c r="CO831" s="883"/>
      <c r="CP831" s="883"/>
      <c r="CQ831" s="883"/>
      <c r="CR831" s="883"/>
      <c r="CS831" s="883"/>
      <c r="CT831" s="883"/>
      <c r="CU831" s="883"/>
      <c r="CV831" s="863"/>
      <c r="CW831" s="863"/>
      <c r="CX831" s="863"/>
      <c r="CY831" s="863"/>
      <c r="CZ831" s="863"/>
      <c r="DA831" s="863"/>
      <c r="DB831" s="863"/>
      <c r="DC831" s="863"/>
      <c r="DD831" s="863"/>
      <c r="DE831" s="863"/>
    </row>
    <row r="832">
      <c r="A832" s="876"/>
      <c r="B832" s="876"/>
      <c r="C832" s="876"/>
      <c r="D832" s="876"/>
      <c r="E832" s="876"/>
      <c r="F832" s="876"/>
      <c r="G832" s="876"/>
      <c r="H832" s="876"/>
      <c r="I832" s="876"/>
      <c r="J832" s="876"/>
      <c r="K832" s="876"/>
      <c r="L832" s="876"/>
      <c r="M832" s="876"/>
      <c r="N832" s="877"/>
      <c r="O832" s="876"/>
      <c r="P832" s="876"/>
      <c r="Q832" s="876"/>
      <c r="R832" s="876"/>
      <c r="S832" s="876"/>
      <c r="T832" s="876"/>
      <c r="U832" s="876"/>
      <c r="V832" s="876"/>
      <c r="W832" s="876"/>
      <c r="X832" s="876"/>
      <c r="Y832" s="876"/>
      <c r="Z832" s="876"/>
      <c r="AA832" s="876"/>
      <c r="AB832" s="876"/>
      <c r="AC832" s="876"/>
      <c r="AD832" s="876"/>
      <c r="AE832" s="876"/>
      <c r="AF832" s="876"/>
      <c r="AG832" s="876"/>
      <c r="AH832" s="876"/>
      <c r="AI832" s="878"/>
      <c r="AJ832" s="880"/>
      <c r="AK832" s="880"/>
      <c r="AL832" s="880"/>
      <c r="AM832" s="880"/>
      <c r="AN832" s="880"/>
      <c r="AO832" s="880"/>
      <c r="AP832" s="880"/>
      <c r="AQ832" s="880"/>
      <c r="AR832" s="880"/>
      <c r="AS832" s="880"/>
      <c r="AT832" s="880"/>
      <c r="AU832" s="880"/>
      <c r="AV832" s="880"/>
      <c r="AW832" s="881"/>
      <c r="AX832" s="863"/>
      <c r="AY832" s="863"/>
      <c r="AZ832" s="863"/>
      <c r="BA832" s="863"/>
      <c r="BB832" s="863"/>
      <c r="BC832" s="863"/>
      <c r="BD832" s="863"/>
      <c r="BE832" s="863"/>
      <c r="BF832" s="863"/>
      <c r="BG832" s="863"/>
      <c r="BH832" s="863"/>
      <c r="BI832" s="863"/>
      <c r="BJ832" s="863"/>
      <c r="BK832" s="863"/>
      <c r="BL832" s="863"/>
      <c r="BM832" s="863"/>
      <c r="BN832" s="863"/>
      <c r="BO832" s="863"/>
      <c r="BP832" s="880"/>
      <c r="BQ832" s="863"/>
      <c r="BR832" s="883"/>
      <c r="BS832" s="883"/>
      <c r="BT832" s="883"/>
      <c r="BU832" s="883"/>
      <c r="BV832" s="883"/>
      <c r="BW832" s="883"/>
      <c r="BX832" s="883"/>
      <c r="BY832" s="883"/>
      <c r="BZ832" s="883"/>
      <c r="CA832" s="883"/>
      <c r="CB832" s="883"/>
      <c r="CC832" s="883"/>
      <c r="CD832" s="884"/>
      <c r="CE832" s="883"/>
      <c r="CF832" s="883"/>
      <c r="CG832" s="883"/>
      <c r="CH832" s="883"/>
      <c r="CI832" s="883"/>
      <c r="CJ832" s="883"/>
      <c r="CK832" s="883"/>
      <c r="CL832" s="883"/>
      <c r="CM832" s="883"/>
      <c r="CN832" s="883"/>
      <c r="CO832" s="883"/>
      <c r="CP832" s="883"/>
      <c r="CQ832" s="883"/>
      <c r="CR832" s="883"/>
      <c r="CS832" s="883"/>
      <c r="CT832" s="883"/>
      <c r="CU832" s="883"/>
      <c r="CV832" s="863"/>
      <c r="CW832" s="863"/>
      <c r="CX832" s="863"/>
      <c r="CY832" s="863"/>
      <c r="CZ832" s="863"/>
      <c r="DA832" s="863"/>
      <c r="DB832" s="863"/>
      <c r="DC832" s="863"/>
      <c r="DD832" s="863"/>
      <c r="DE832" s="863"/>
    </row>
    <row r="833">
      <c r="A833" s="876"/>
      <c r="B833" s="876"/>
      <c r="C833" s="876"/>
      <c r="D833" s="876"/>
      <c r="E833" s="876"/>
      <c r="F833" s="876"/>
      <c r="G833" s="876"/>
      <c r="H833" s="876"/>
      <c r="I833" s="876"/>
      <c r="J833" s="876"/>
      <c r="K833" s="876"/>
      <c r="L833" s="876"/>
      <c r="M833" s="876"/>
      <c r="N833" s="877"/>
      <c r="O833" s="876"/>
      <c r="P833" s="876"/>
      <c r="Q833" s="876"/>
      <c r="R833" s="876"/>
      <c r="S833" s="876"/>
      <c r="T833" s="876"/>
      <c r="U833" s="876"/>
      <c r="V833" s="876"/>
      <c r="W833" s="876"/>
      <c r="X833" s="876"/>
      <c r="Y833" s="876"/>
      <c r="Z833" s="876"/>
      <c r="AA833" s="876"/>
      <c r="AB833" s="876"/>
      <c r="AC833" s="876"/>
      <c r="AD833" s="876"/>
      <c r="AE833" s="876"/>
      <c r="AF833" s="876"/>
      <c r="AG833" s="876"/>
      <c r="AH833" s="876"/>
      <c r="AI833" s="878"/>
      <c r="AJ833" s="880"/>
      <c r="AK833" s="880"/>
      <c r="AL833" s="880"/>
      <c r="AM833" s="880"/>
      <c r="AN833" s="880"/>
      <c r="AO833" s="880"/>
      <c r="AP833" s="880"/>
      <c r="AQ833" s="880"/>
      <c r="AR833" s="880"/>
      <c r="AS833" s="880"/>
      <c r="AT833" s="880"/>
      <c r="AU833" s="880"/>
      <c r="AV833" s="880"/>
      <c r="AW833" s="881"/>
      <c r="AX833" s="863"/>
      <c r="AY833" s="863"/>
      <c r="AZ833" s="863"/>
      <c r="BA833" s="863"/>
      <c r="BB833" s="863"/>
      <c r="BC833" s="863"/>
      <c r="BD833" s="863"/>
      <c r="BE833" s="863"/>
      <c r="BF833" s="863"/>
      <c r="BG833" s="863"/>
      <c r="BH833" s="863"/>
      <c r="BI833" s="863"/>
      <c r="BJ833" s="863"/>
      <c r="BK833" s="863"/>
      <c r="BL833" s="863"/>
      <c r="BM833" s="863"/>
      <c r="BN833" s="863"/>
      <c r="BO833" s="863"/>
      <c r="BP833" s="880"/>
      <c r="BQ833" s="863"/>
      <c r="BR833" s="883"/>
      <c r="BS833" s="883"/>
      <c r="BT833" s="883"/>
      <c r="BU833" s="883"/>
      <c r="BV833" s="883"/>
      <c r="BW833" s="883"/>
      <c r="BX833" s="883"/>
      <c r="BY833" s="883"/>
      <c r="BZ833" s="883"/>
      <c r="CA833" s="883"/>
      <c r="CB833" s="883"/>
      <c r="CC833" s="883"/>
      <c r="CD833" s="884"/>
      <c r="CE833" s="883"/>
      <c r="CF833" s="883"/>
      <c r="CG833" s="883"/>
      <c r="CH833" s="883"/>
      <c r="CI833" s="883"/>
      <c r="CJ833" s="883"/>
      <c r="CK833" s="883"/>
      <c r="CL833" s="883"/>
      <c r="CM833" s="883"/>
      <c r="CN833" s="883"/>
      <c r="CO833" s="883"/>
      <c r="CP833" s="883"/>
      <c r="CQ833" s="883"/>
      <c r="CR833" s="883"/>
      <c r="CS833" s="883"/>
      <c r="CT833" s="883"/>
      <c r="CU833" s="883"/>
      <c r="CV833" s="863"/>
      <c r="CW833" s="863"/>
      <c r="CX833" s="863"/>
      <c r="CY833" s="863"/>
      <c r="CZ833" s="863"/>
      <c r="DA833" s="863"/>
      <c r="DB833" s="863"/>
      <c r="DC833" s="863"/>
      <c r="DD833" s="863"/>
      <c r="DE833" s="863"/>
    </row>
    <row r="834">
      <c r="A834" s="876"/>
      <c r="B834" s="876"/>
      <c r="C834" s="876"/>
      <c r="D834" s="876"/>
      <c r="E834" s="876"/>
      <c r="F834" s="876"/>
      <c r="G834" s="876"/>
      <c r="H834" s="876"/>
      <c r="I834" s="876"/>
      <c r="J834" s="876"/>
      <c r="K834" s="876"/>
      <c r="L834" s="876"/>
      <c r="M834" s="876"/>
      <c r="N834" s="877"/>
      <c r="O834" s="876"/>
      <c r="P834" s="876"/>
      <c r="Q834" s="876"/>
      <c r="R834" s="876"/>
      <c r="S834" s="876"/>
      <c r="T834" s="876"/>
      <c r="U834" s="876"/>
      <c r="V834" s="876"/>
      <c r="W834" s="876"/>
      <c r="X834" s="876"/>
      <c r="Y834" s="876"/>
      <c r="Z834" s="876"/>
      <c r="AA834" s="876"/>
      <c r="AB834" s="876"/>
      <c r="AC834" s="876"/>
      <c r="AD834" s="876"/>
      <c r="AE834" s="876"/>
      <c r="AF834" s="876"/>
      <c r="AG834" s="876"/>
      <c r="AH834" s="876"/>
      <c r="AI834" s="878"/>
      <c r="AJ834" s="880"/>
      <c r="AK834" s="880"/>
      <c r="AL834" s="880"/>
      <c r="AM834" s="880"/>
      <c r="AN834" s="880"/>
      <c r="AO834" s="880"/>
      <c r="AP834" s="880"/>
      <c r="AQ834" s="880"/>
      <c r="AR834" s="880"/>
      <c r="AS834" s="880"/>
      <c r="AT834" s="880"/>
      <c r="AU834" s="880"/>
      <c r="AV834" s="880"/>
      <c r="AW834" s="881"/>
      <c r="AX834" s="863"/>
      <c r="AY834" s="863"/>
      <c r="AZ834" s="863"/>
      <c r="BA834" s="863"/>
      <c r="BB834" s="863"/>
      <c r="BC834" s="863"/>
      <c r="BD834" s="863"/>
      <c r="BE834" s="863"/>
      <c r="BF834" s="863"/>
      <c r="BG834" s="863"/>
      <c r="BH834" s="863"/>
      <c r="BI834" s="863"/>
      <c r="BJ834" s="863"/>
      <c r="BK834" s="863"/>
      <c r="BL834" s="863"/>
      <c r="BM834" s="863"/>
      <c r="BN834" s="863"/>
      <c r="BO834" s="863"/>
      <c r="BP834" s="880"/>
      <c r="BQ834" s="863"/>
      <c r="BR834" s="883"/>
      <c r="BS834" s="883"/>
      <c r="BT834" s="883"/>
      <c r="BU834" s="883"/>
      <c r="BV834" s="883"/>
      <c r="BW834" s="883"/>
      <c r="BX834" s="883"/>
      <c r="BY834" s="883"/>
      <c r="BZ834" s="883"/>
      <c r="CA834" s="883"/>
      <c r="CB834" s="883"/>
      <c r="CC834" s="883"/>
      <c r="CD834" s="884"/>
      <c r="CE834" s="883"/>
      <c r="CF834" s="883"/>
      <c r="CG834" s="883"/>
      <c r="CH834" s="883"/>
      <c r="CI834" s="883"/>
      <c r="CJ834" s="883"/>
      <c r="CK834" s="883"/>
      <c r="CL834" s="883"/>
      <c r="CM834" s="883"/>
      <c r="CN834" s="883"/>
      <c r="CO834" s="883"/>
      <c r="CP834" s="883"/>
      <c r="CQ834" s="883"/>
      <c r="CR834" s="883"/>
      <c r="CS834" s="883"/>
      <c r="CT834" s="883"/>
      <c r="CU834" s="883"/>
      <c r="CV834" s="863"/>
      <c r="CW834" s="863"/>
      <c r="CX834" s="863"/>
      <c r="CY834" s="863"/>
      <c r="CZ834" s="863"/>
      <c r="DA834" s="863"/>
      <c r="DB834" s="863"/>
      <c r="DC834" s="863"/>
      <c r="DD834" s="863"/>
      <c r="DE834" s="863"/>
    </row>
    <row r="835">
      <c r="A835" s="876"/>
      <c r="B835" s="876"/>
      <c r="C835" s="876"/>
      <c r="D835" s="876"/>
      <c r="E835" s="876"/>
      <c r="F835" s="876"/>
      <c r="G835" s="876"/>
      <c r="H835" s="876"/>
      <c r="I835" s="876"/>
      <c r="J835" s="876"/>
      <c r="K835" s="876"/>
      <c r="L835" s="876"/>
      <c r="M835" s="876"/>
      <c r="N835" s="877"/>
      <c r="O835" s="876"/>
      <c r="P835" s="876"/>
      <c r="Q835" s="876"/>
      <c r="R835" s="876"/>
      <c r="S835" s="876"/>
      <c r="T835" s="876"/>
      <c r="U835" s="876"/>
      <c r="V835" s="876"/>
      <c r="W835" s="876"/>
      <c r="X835" s="876"/>
      <c r="Y835" s="876"/>
      <c r="Z835" s="876"/>
      <c r="AA835" s="876"/>
      <c r="AB835" s="876"/>
      <c r="AC835" s="876"/>
      <c r="AD835" s="876"/>
      <c r="AE835" s="876"/>
      <c r="AF835" s="876"/>
      <c r="AG835" s="876"/>
      <c r="AH835" s="876"/>
      <c r="AI835" s="878"/>
      <c r="AJ835" s="880"/>
      <c r="AK835" s="880"/>
      <c r="AL835" s="880"/>
      <c r="AM835" s="880"/>
      <c r="AN835" s="880"/>
      <c r="AO835" s="880"/>
      <c r="AP835" s="880"/>
      <c r="AQ835" s="880"/>
      <c r="AR835" s="880"/>
      <c r="AS835" s="880"/>
      <c r="AT835" s="880"/>
      <c r="AU835" s="880"/>
      <c r="AV835" s="880"/>
      <c r="AW835" s="881"/>
      <c r="AX835" s="863"/>
      <c r="AY835" s="863"/>
      <c r="AZ835" s="863"/>
      <c r="BA835" s="863"/>
      <c r="BB835" s="863"/>
      <c r="BC835" s="863"/>
      <c r="BD835" s="863"/>
      <c r="BE835" s="863"/>
      <c r="BF835" s="863"/>
      <c r="BG835" s="863"/>
      <c r="BH835" s="863"/>
      <c r="BI835" s="863"/>
      <c r="BJ835" s="863"/>
      <c r="BK835" s="863"/>
      <c r="BL835" s="863"/>
      <c r="BM835" s="863"/>
      <c r="BN835" s="863"/>
      <c r="BO835" s="863"/>
      <c r="BP835" s="880"/>
      <c r="BQ835" s="863"/>
      <c r="BR835" s="883"/>
      <c r="BS835" s="883"/>
      <c r="BT835" s="883"/>
      <c r="BU835" s="883"/>
      <c r="BV835" s="883"/>
      <c r="BW835" s="883"/>
      <c r="BX835" s="883"/>
      <c r="BY835" s="883"/>
      <c r="BZ835" s="883"/>
      <c r="CA835" s="883"/>
      <c r="CB835" s="883"/>
      <c r="CC835" s="883"/>
      <c r="CD835" s="884"/>
      <c r="CE835" s="883"/>
      <c r="CF835" s="883"/>
      <c r="CG835" s="883"/>
      <c r="CH835" s="883"/>
      <c r="CI835" s="883"/>
      <c r="CJ835" s="883"/>
      <c r="CK835" s="883"/>
      <c r="CL835" s="883"/>
      <c r="CM835" s="883"/>
      <c r="CN835" s="883"/>
      <c r="CO835" s="883"/>
      <c r="CP835" s="883"/>
      <c r="CQ835" s="883"/>
      <c r="CR835" s="883"/>
      <c r="CS835" s="883"/>
      <c r="CT835" s="883"/>
      <c r="CU835" s="883"/>
      <c r="CV835" s="863"/>
      <c r="CW835" s="863"/>
      <c r="CX835" s="863"/>
      <c r="CY835" s="863"/>
      <c r="CZ835" s="863"/>
      <c r="DA835" s="863"/>
      <c r="DB835" s="863"/>
      <c r="DC835" s="863"/>
      <c r="DD835" s="863"/>
      <c r="DE835" s="863"/>
    </row>
    <row r="836">
      <c r="A836" s="876"/>
      <c r="B836" s="876"/>
      <c r="C836" s="876"/>
      <c r="D836" s="876"/>
      <c r="E836" s="876"/>
      <c r="F836" s="876"/>
      <c r="G836" s="876"/>
      <c r="H836" s="876"/>
      <c r="I836" s="876"/>
      <c r="J836" s="876"/>
      <c r="K836" s="876"/>
      <c r="L836" s="876"/>
      <c r="M836" s="876"/>
      <c r="N836" s="877"/>
      <c r="O836" s="876"/>
      <c r="P836" s="876"/>
      <c r="Q836" s="876"/>
      <c r="R836" s="876"/>
      <c r="S836" s="876"/>
      <c r="T836" s="876"/>
      <c r="U836" s="876"/>
      <c r="V836" s="876"/>
      <c r="W836" s="876"/>
      <c r="X836" s="876"/>
      <c r="Y836" s="876"/>
      <c r="Z836" s="876"/>
      <c r="AA836" s="876"/>
      <c r="AB836" s="876"/>
      <c r="AC836" s="876"/>
      <c r="AD836" s="876"/>
      <c r="AE836" s="876"/>
      <c r="AF836" s="876"/>
      <c r="AG836" s="876"/>
      <c r="AH836" s="876"/>
      <c r="AI836" s="878"/>
      <c r="AJ836" s="880"/>
      <c r="AK836" s="880"/>
      <c r="AL836" s="880"/>
      <c r="AM836" s="880"/>
      <c r="AN836" s="880"/>
      <c r="AO836" s="880"/>
      <c r="AP836" s="880"/>
      <c r="AQ836" s="880"/>
      <c r="AR836" s="880"/>
      <c r="AS836" s="880"/>
      <c r="AT836" s="880"/>
      <c r="AU836" s="880"/>
      <c r="AV836" s="880"/>
      <c r="AW836" s="881"/>
      <c r="AX836" s="863"/>
      <c r="AY836" s="863"/>
      <c r="AZ836" s="863"/>
      <c r="BA836" s="863"/>
      <c r="BB836" s="863"/>
      <c r="BC836" s="863"/>
      <c r="BD836" s="863"/>
      <c r="BE836" s="863"/>
      <c r="BF836" s="863"/>
      <c r="BG836" s="863"/>
      <c r="BH836" s="863"/>
      <c r="BI836" s="863"/>
      <c r="BJ836" s="863"/>
      <c r="BK836" s="863"/>
      <c r="BL836" s="863"/>
      <c r="BM836" s="863"/>
      <c r="BN836" s="863"/>
      <c r="BO836" s="863"/>
      <c r="BP836" s="880"/>
      <c r="BQ836" s="863"/>
      <c r="BR836" s="883"/>
      <c r="BS836" s="883"/>
      <c r="BT836" s="883"/>
      <c r="BU836" s="883"/>
      <c r="BV836" s="883"/>
      <c r="BW836" s="883"/>
      <c r="BX836" s="883"/>
      <c r="BY836" s="883"/>
      <c r="BZ836" s="883"/>
      <c r="CA836" s="883"/>
      <c r="CB836" s="883"/>
      <c r="CC836" s="883"/>
      <c r="CD836" s="884"/>
      <c r="CE836" s="883"/>
      <c r="CF836" s="883"/>
      <c r="CG836" s="883"/>
      <c r="CH836" s="883"/>
      <c r="CI836" s="883"/>
      <c r="CJ836" s="883"/>
      <c r="CK836" s="883"/>
      <c r="CL836" s="883"/>
      <c r="CM836" s="883"/>
      <c r="CN836" s="883"/>
      <c r="CO836" s="883"/>
      <c r="CP836" s="883"/>
      <c r="CQ836" s="883"/>
      <c r="CR836" s="883"/>
      <c r="CS836" s="883"/>
      <c r="CT836" s="883"/>
      <c r="CU836" s="883"/>
      <c r="CV836" s="863"/>
      <c r="CW836" s="863"/>
      <c r="CX836" s="863"/>
      <c r="CY836" s="863"/>
      <c r="CZ836" s="863"/>
      <c r="DA836" s="863"/>
      <c r="DB836" s="863"/>
      <c r="DC836" s="863"/>
      <c r="DD836" s="863"/>
      <c r="DE836" s="863"/>
    </row>
    <row r="837">
      <c r="A837" s="876"/>
      <c r="B837" s="876"/>
      <c r="C837" s="876"/>
      <c r="D837" s="876"/>
      <c r="E837" s="876"/>
      <c r="F837" s="876"/>
      <c r="G837" s="876"/>
      <c r="H837" s="876"/>
      <c r="I837" s="876"/>
      <c r="J837" s="876"/>
      <c r="K837" s="876"/>
      <c r="L837" s="876"/>
      <c r="M837" s="876"/>
      <c r="N837" s="877"/>
      <c r="O837" s="876"/>
      <c r="P837" s="876"/>
      <c r="Q837" s="876"/>
      <c r="R837" s="876"/>
      <c r="S837" s="876"/>
      <c r="T837" s="876"/>
      <c r="U837" s="876"/>
      <c r="V837" s="876"/>
      <c r="W837" s="876"/>
      <c r="X837" s="876"/>
      <c r="Y837" s="876"/>
      <c r="Z837" s="876"/>
      <c r="AA837" s="876"/>
      <c r="AB837" s="876"/>
      <c r="AC837" s="876"/>
      <c r="AD837" s="876"/>
      <c r="AE837" s="876"/>
      <c r="AF837" s="876"/>
      <c r="AG837" s="876"/>
      <c r="AH837" s="876"/>
      <c r="AI837" s="878"/>
      <c r="AJ837" s="880"/>
      <c r="AK837" s="880"/>
      <c r="AL837" s="880"/>
      <c r="AM837" s="880"/>
      <c r="AN837" s="880"/>
      <c r="AO837" s="880"/>
      <c r="AP837" s="880"/>
      <c r="AQ837" s="880"/>
      <c r="AR837" s="880"/>
      <c r="AS837" s="880"/>
      <c r="AT837" s="880"/>
      <c r="AU837" s="880"/>
      <c r="AV837" s="880"/>
      <c r="AW837" s="881"/>
      <c r="AX837" s="863"/>
      <c r="AY837" s="863"/>
      <c r="AZ837" s="863"/>
      <c r="BA837" s="863"/>
      <c r="BB837" s="863"/>
      <c r="BC837" s="863"/>
      <c r="BD837" s="863"/>
      <c r="BE837" s="863"/>
      <c r="BF837" s="863"/>
      <c r="BG837" s="863"/>
      <c r="BH837" s="863"/>
      <c r="BI837" s="863"/>
      <c r="BJ837" s="863"/>
      <c r="BK837" s="863"/>
      <c r="BL837" s="863"/>
      <c r="BM837" s="863"/>
      <c r="BN837" s="863"/>
      <c r="BO837" s="863"/>
      <c r="BP837" s="880"/>
      <c r="BQ837" s="863"/>
      <c r="BR837" s="883"/>
      <c r="BS837" s="883"/>
      <c r="BT837" s="883"/>
      <c r="BU837" s="883"/>
      <c r="BV837" s="883"/>
      <c r="BW837" s="883"/>
      <c r="BX837" s="883"/>
      <c r="BY837" s="883"/>
      <c r="BZ837" s="883"/>
      <c r="CA837" s="883"/>
      <c r="CB837" s="883"/>
      <c r="CC837" s="883"/>
      <c r="CD837" s="884"/>
      <c r="CE837" s="883"/>
      <c r="CF837" s="883"/>
      <c r="CG837" s="883"/>
      <c r="CH837" s="883"/>
      <c r="CI837" s="883"/>
      <c r="CJ837" s="883"/>
      <c r="CK837" s="883"/>
      <c r="CL837" s="883"/>
      <c r="CM837" s="883"/>
      <c r="CN837" s="883"/>
      <c r="CO837" s="883"/>
      <c r="CP837" s="883"/>
      <c r="CQ837" s="883"/>
      <c r="CR837" s="883"/>
      <c r="CS837" s="883"/>
      <c r="CT837" s="883"/>
      <c r="CU837" s="883"/>
      <c r="CV837" s="863"/>
      <c r="CW837" s="863"/>
      <c r="CX837" s="863"/>
      <c r="CY837" s="863"/>
      <c r="CZ837" s="863"/>
      <c r="DA837" s="863"/>
      <c r="DB837" s="863"/>
      <c r="DC837" s="863"/>
      <c r="DD837" s="863"/>
      <c r="DE837" s="863"/>
    </row>
    <row r="838">
      <c r="A838" s="876"/>
      <c r="B838" s="876"/>
      <c r="C838" s="876"/>
      <c r="D838" s="876"/>
      <c r="E838" s="876"/>
      <c r="F838" s="876"/>
      <c r="G838" s="876"/>
      <c r="H838" s="876"/>
      <c r="I838" s="876"/>
      <c r="J838" s="876"/>
      <c r="K838" s="876"/>
      <c r="L838" s="876"/>
      <c r="M838" s="876"/>
      <c r="N838" s="877"/>
      <c r="O838" s="876"/>
      <c r="P838" s="876"/>
      <c r="Q838" s="876"/>
      <c r="R838" s="876"/>
      <c r="S838" s="876"/>
      <c r="T838" s="876"/>
      <c r="U838" s="876"/>
      <c r="V838" s="876"/>
      <c r="W838" s="876"/>
      <c r="X838" s="876"/>
      <c r="Y838" s="876"/>
      <c r="Z838" s="876"/>
      <c r="AA838" s="876"/>
      <c r="AB838" s="876"/>
      <c r="AC838" s="876"/>
      <c r="AD838" s="876"/>
      <c r="AE838" s="876"/>
      <c r="AF838" s="876"/>
      <c r="AG838" s="876"/>
      <c r="AH838" s="876"/>
      <c r="AI838" s="878"/>
      <c r="AJ838" s="880"/>
      <c r="AK838" s="880"/>
      <c r="AL838" s="880"/>
      <c r="AM838" s="880"/>
      <c r="AN838" s="880"/>
      <c r="AO838" s="880"/>
      <c r="AP838" s="880"/>
      <c r="AQ838" s="880"/>
      <c r="AR838" s="880"/>
      <c r="AS838" s="880"/>
      <c r="AT838" s="880"/>
      <c r="AU838" s="880"/>
      <c r="AV838" s="880"/>
      <c r="AW838" s="881"/>
      <c r="AX838" s="863"/>
      <c r="AY838" s="863"/>
      <c r="AZ838" s="863"/>
      <c r="BA838" s="863"/>
      <c r="BB838" s="863"/>
      <c r="BC838" s="863"/>
      <c r="BD838" s="863"/>
      <c r="BE838" s="863"/>
      <c r="BF838" s="863"/>
      <c r="BG838" s="863"/>
      <c r="BH838" s="863"/>
      <c r="BI838" s="863"/>
      <c r="BJ838" s="863"/>
      <c r="BK838" s="863"/>
      <c r="BL838" s="863"/>
      <c r="BM838" s="863"/>
      <c r="BN838" s="863"/>
      <c r="BO838" s="863"/>
      <c r="BP838" s="880"/>
      <c r="BQ838" s="863"/>
      <c r="BR838" s="883"/>
      <c r="BS838" s="883"/>
      <c r="BT838" s="883"/>
      <c r="BU838" s="883"/>
      <c r="BV838" s="883"/>
      <c r="BW838" s="883"/>
      <c r="BX838" s="883"/>
      <c r="BY838" s="883"/>
      <c r="BZ838" s="883"/>
      <c r="CA838" s="883"/>
      <c r="CB838" s="883"/>
      <c r="CC838" s="883"/>
      <c r="CD838" s="884"/>
      <c r="CE838" s="883"/>
      <c r="CF838" s="883"/>
      <c r="CG838" s="883"/>
      <c r="CH838" s="883"/>
      <c r="CI838" s="883"/>
      <c r="CJ838" s="883"/>
      <c r="CK838" s="883"/>
      <c r="CL838" s="883"/>
      <c r="CM838" s="883"/>
      <c r="CN838" s="883"/>
      <c r="CO838" s="883"/>
      <c r="CP838" s="883"/>
      <c r="CQ838" s="883"/>
      <c r="CR838" s="883"/>
      <c r="CS838" s="883"/>
      <c r="CT838" s="883"/>
      <c r="CU838" s="883"/>
      <c r="CV838" s="863"/>
      <c r="CW838" s="863"/>
      <c r="CX838" s="863"/>
      <c r="CY838" s="863"/>
      <c r="CZ838" s="863"/>
      <c r="DA838" s="863"/>
      <c r="DB838" s="863"/>
      <c r="DC838" s="863"/>
      <c r="DD838" s="863"/>
      <c r="DE838" s="863"/>
    </row>
    <row r="839">
      <c r="A839" s="876"/>
      <c r="B839" s="876"/>
      <c r="C839" s="876"/>
      <c r="D839" s="876"/>
      <c r="E839" s="876"/>
      <c r="F839" s="876"/>
      <c r="G839" s="876"/>
      <c r="H839" s="876"/>
      <c r="I839" s="876"/>
      <c r="J839" s="876"/>
      <c r="K839" s="876"/>
      <c r="L839" s="876"/>
      <c r="M839" s="876"/>
      <c r="N839" s="877"/>
      <c r="O839" s="876"/>
      <c r="P839" s="876"/>
      <c r="Q839" s="876"/>
      <c r="R839" s="876"/>
      <c r="S839" s="876"/>
      <c r="T839" s="876"/>
      <c r="U839" s="876"/>
      <c r="V839" s="876"/>
      <c r="W839" s="876"/>
      <c r="X839" s="876"/>
      <c r="Y839" s="876"/>
      <c r="Z839" s="876"/>
      <c r="AA839" s="876"/>
      <c r="AB839" s="876"/>
      <c r="AC839" s="876"/>
      <c r="AD839" s="876"/>
      <c r="AE839" s="876"/>
      <c r="AF839" s="876"/>
      <c r="AG839" s="876"/>
      <c r="AH839" s="876"/>
      <c r="AI839" s="878"/>
      <c r="AJ839" s="880"/>
      <c r="AK839" s="880"/>
      <c r="AL839" s="880"/>
      <c r="AM839" s="880"/>
      <c r="AN839" s="880"/>
      <c r="AO839" s="880"/>
      <c r="AP839" s="880"/>
      <c r="AQ839" s="880"/>
      <c r="AR839" s="880"/>
      <c r="AS839" s="880"/>
      <c r="AT839" s="880"/>
      <c r="AU839" s="880"/>
      <c r="AV839" s="880"/>
      <c r="AW839" s="881"/>
      <c r="AX839" s="863"/>
      <c r="AY839" s="863"/>
      <c r="AZ839" s="863"/>
      <c r="BA839" s="863"/>
      <c r="BB839" s="863"/>
      <c r="BC839" s="863"/>
      <c r="BD839" s="863"/>
      <c r="BE839" s="863"/>
      <c r="BF839" s="863"/>
      <c r="BG839" s="863"/>
      <c r="BH839" s="863"/>
      <c r="BI839" s="863"/>
      <c r="BJ839" s="863"/>
      <c r="BK839" s="863"/>
      <c r="BL839" s="863"/>
      <c r="BM839" s="863"/>
      <c r="BN839" s="863"/>
      <c r="BO839" s="863"/>
      <c r="BP839" s="880"/>
      <c r="BQ839" s="863"/>
      <c r="BR839" s="883"/>
      <c r="BS839" s="883"/>
      <c r="BT839" s="883"/>
      <c r="BU839" s="883"/>
      <c r="BV839" s="883"/>
      <c r="BW839" s="883"/>
      <c r="BX839" s="883"/>
      <c r="BY839" s="883"/>
      <c r="BZ839" s="883"/>
      <c r="CA839" s="883"/>
      <c r="CB839" s="883"/>
      <c r="CC839" s="883"/>
      <c r="CD839" s="884"/>
      <c r="CE839" s="883"/>
      <c r="CF839" s="883"/>
      <c r="CG839" s="883"/>
      <c r="CH839" s="883"/>
      <c r="CI839" s="883"/>
      <c r="CJ839" s="883"/>
      <c r="CK839" s="883"/>
      <c r="CL839" s="883"/>
      <c r="CM839" s="883"/>
      <c r="CN839" s="883"/>
      <c r="CO839" s="883"/>
      <c r="CP839" s="883"/>
      <c r="CQ839" s="883"/>
      <c r="CR839" s="883"/>
      <c r="CS839" s="883"/>
      <c r="CT839" s="883"/>
      <c r="CU839" s="883"/>
      <c r="CV839" s="863"/>
      <c r="CW839" s="863"/>
      <c r="CX839" s="863"/>
      <c r="CY839" s="863"/>
      <c r="CZ839" s="863"/>
      <c r="DA839" s="863"/>
      <c r="DB839" s="863"/>
      <c r="DC839" s="863"/>
      <c r="DD839" s="863"/>
      <c r="DE839" s="863"/>
    </row>
    <row r="840">
      <c r="A840" s="876"/>
      <c r="B840" s="876"/>
      <c r="C840" s="876"/>
      <c r="D840" s="876"/>
      <c r="E840" s="876"/>
      <c r="F840" s="876"/>
      <c r="G840" s="876"/>
      <c r="H840" s="876"/>
      <c r="I840" s="876"/>
      <c r="J840" s="876"/>
      <c r="K840" s="876"/>
      <c r="L840" s="876"/>
      <c r="M840" s="876"/>
      <c r="N840" s="877"/>
      <c r="O840" s="876"/>
      <c r="P840" s="876"/>
      <c r="Q840" s="876"/>
      <c r="R840" s="876"/>
      <c r="S840" s="876"/>
      <c r="T840" s="876"/>
      <c r="U840" s="876"/>
      <c r="V840" s="876"/>
      <c r="W840" s="876"/>
      <c r="X840" s="876"/>
      <c r="Y840" s="876"/>
      <c r="Z840" s="876"/>
      <c r="AA840" s="876"/>
      <c r="AB840" s="876"/>
      <c r="AC840" s="876"/>
      <c r="AD840" s="876"/>
      <c r="AE840" s="876"/>
      <c r="AF840" s="876"/>
      <c r="AG840" s="876"/>
      <c r="AH840" s="876"/>
      <c r="AI840" s="878"/>
      <c r="AJ840" s="880"/>
      <c r="AK840" s="880"/>
      <c r="AL840" s="880"/>
      <c r="AM840" s="880"/>
      <c r="AN840" s="880"/>
      <c r="AO840" s="880"/>
      <c r="AP840" s="880"/>
      <c r="AQ840" s="880"/>
      <c r="AR840" s="880"/>
      <c r="AS840" s="880"/>
      <c r="AT840" s="880"/>
      <c r="AU840" s="880"/>
      <c r="AV840" s="880"/>
      <c r="AW840" s="881"/>
      <c r="AX840" s="863"/>
      <c r="AY840" s="863"/>
      <c r="AZ840" s="863"/>
      <c r="BA840" s="863"/>
      <c r="BB840" s="863"/>
      <c r="BC840" s="863"/>
      <c r="BD840" s="863"/>
      <c r="BE840" s="863"/>
      <c r="BF840" s="863"/>
      <c r="BG840" s="863"/>
      <c r="BH840" s="863"/>
      <c r="BI840" s="863"/>
      <c r="BJ840" s="863"/>
      <c r="BK840" s="863"/>
      <c r="BL840" s="863"/>
      <c r="BM840" s="863"/>
      <c r="BN840" s="863"/>
      <c r="BO840" s="863"/>
      <c r="BP840" s="880"/>
      <c r="BQ840" s="863"/>
      <c r="BR840" s="883"/>
      <c r="BS840" s="883"/>
      <c r="BT840" s="883"/>
      <c r="BU840" s="883"/>
      <c r="BV840" s="883"/>
      <c r="BW840" s="883"/>
      <c r="BX840" s="883"/>
      <c r="BY840" s="883"/>
      <c r="BZ840" s="883"/>
      <c r="CA840" s="883"/>
      <c r="CB840" s="883"/>
      <c r="CC840" s="883"/>
      <c r="CD840" s="884"/>
      <c r="CE840" s="883"/>
      <c r="CF840" s="883"/>
      <c r="CG840" s="883"/>
      <c r="CH840" s="883"/>
      <c r="CI840" s="883"/>
      <c r="CJ840" s="883"/>
      <c r="CK840" s="883"/>
      <c r="CL840" s="883"/>
      <c r="CM840" s="883"/>
      <c r="CN840" s="883"/>
      <c r="CO840" s="883"/>
      <c r="CP840" s="883"/>
      <c r="CQ840" s="883"/>
      <c r="CR840" s="883"/>
      <c r="CS840" s="883"/>
      <c r="CT840" s="883"/>
      <c r="CU840" s="883"/>
      <c r="CV840" s="863"/>
      <c r="CW840" s="863"/>
      <c r="CX840" s="863"/>
      <c r="CY840" s="863"/>
      <c r="CZ840" s="863"/>
      <c r="DA840" s="863"/>
      <c r="DB840" s="863"/>
      <c r="DC840" s="863"/>
      <c r="DD840" s="863"/>
      <c r="DE840" s="863"/>
    </row>
    <row r="841">
      <c r="A841" s="876"/>
      <c r="B841" s="876"/>
      <c r="C841" s="876"/>
      <c r="D841" s="876"/>
      <c r="E841" s="876"/>
      <c r="F841" s="876"/>
      <c r="G841" s="876"/>
      <c r="H841" s="876"/>
      <c r="I841" s="876"/>
      <c r="J841" s="876"/>
      <c r="K841" s="876"/>
      <c r="L841" s="876"/>
      <c r="M841" s="876"/>
      <c r="N841" s="877"/>
      <c r="O841" s="876"/>
      <c r="P841" s="876"/>
      <c r="Q841" s="876"/>
      <c r="R841" s="876"/>
      <c r="S841" s="876"/>
      <c r="T841" s="876"/>
      <c r="U841" s="876"/>
      <c r="V841" s="876"/>
      <c r="W841" s="876"/>
      <c r="X841" s="876"/>
      <c r="Y841" s="876"/>
      <c r="Z841" s="876"/>
      <c r="AA841" s="876"/>
      <c r="AB841" s="876"/>
      <c r="AC841" s="876"/>
      <c r="AD841" s="876"/>
      <c r="AE841" s="876"/>
      <c r="AF841" s="876"/>
      <c r="AG841" s="876"/>
      <c r="AH841" s="876"/>
      <c r="AI841" s="878"/>
      <c r="AJ841" s="880"/>
      <c r="AK841" s="880"/>
      <c r="AL841" s="880"/>
      <c r="AM841" s="880"/>
      <c r="AN841" s="880"/>
      <c r="AO841" s="880"/>
      <c r="AP841" s="880"/>
      <c r="AQ841" s="880"/>
      <c r="AR841" s="880"/>
      <c r="AS841" s="880"/>
      <c r="AT841" s="880"/>
      <c r="AU841" s="880"/>
      <c r="AV841" s="880"/>
      <c r="AW841" s="881"/>
      <c r="AX841" s="863"/>
      <c r="AY841" s="863"/>
      <c r="AZ841" s="863"/>
      <c r="BA841" s="863"/>
      <c r="BB841" s="863"/>
      <c r="BC841" s="863"/>
      <c r="BD841" s="863"/>
      <c r="BE841" s="863"/>
      <c r="BF841" s="863"/>
      <c r="BG841" s="863"/>
      <c r="BH841" s="863"/>
      <c r="BI841" s="863"/>
      <c r="BJ841" s="863"/>
      <c r="BK841" s="863"/>
      <c r="BL841" s="863"/>
      <c r="BM841" s="863"/>
      <c r="BN841" s="863"/>
      <c r="BO841" s="863"/>
      <c r="BP841" s="880"/>
      <c r="BQ841" s="863"/>
      <c r="BR841" s="883"/>
      <c r="BS841" s="883"/>
      <c r="BT841" s="883"/>
      <c r="BU841" s="883"/>
      <c r="BV841" s="883"/>
      <c r="BW841" s="883"/>
      <c r="BX841" s="883"/>
      <c r="BY841" s="883"/>
      <c r="BZ841" s="883"/>
      <c r="CA841" s="883"/>
      <c r="CB841" s="883"/>
      <c r="CC841" s="883"/>
      <c r="CD841" s="884"/>
      <c r="CE841" s="883"/>
      <c r="CF841" s="883"/>
      <c r="CG841" s="883"/>
      <c r="CH841" s="883"/>
      <c r="CI841" s="883"/>
      <c r="CJ841" s="883"/>
      <c r="CK841" s="883"/>
      <c r="CL841" s="883"/>
      <c r="CM841" s="883"/>
      <c r="CN841" s="883"/>
      <c r="CO841" s="883"/>
      <c r="CP841" s="883"/>
      <c r="CQ841" s="883"/>
      <c r="CR841" s="883"/>
      <c r="CS841" s="883"/>
      <c r="CT841" s="883"/>
      <c r="CU841" s="883"/>
      <c r="CV841" s="863"/>
      <c r="CW841" s="863"/>
      <c r="CX841" s="863"/>
      <c r="CY841" s="863"/>
      <c r="CZ841" s="863"/>
      <c r="DA841" s="863"/>
      <c r="DB841" s="863"/>
      <c r="DC841" s="863"/>
      <c r="DD841" s="863"/>
      <c r="DE841" s="863"/>
    </row>
    <row r="842">
      <c r="A842" s="876"/>
      <c r="B842" s="876"/>
      <c r="C842" s="876"/>
      <c r="D842" s="876"/>
      <c r="E842" s="876"/>
      <c r="F842" s="876"/>
      <c r="G842" s="876"/>
      <c r="H842" s="876"/>
      <c r="I842" s="876"/>
      <c r="J842" s="876"/>
      <c r="K842" s="876"/>
      <c r="L842" s="876"/>
      <c r="M842" s="876"/>
      <c r="N842" s="877"/>
      <c r="O842" s="876"/>
      <c r="P842" s="876"/>
      <c r="Q842" s="876"/>
      <c r="R842" s="876"/>
      <c r="S842" s="876"/>
      <c r="T842" s="876"/>
      <c r="U842" s="876"/>
      <c r="V842" s="876"/>
      <c r="W842" s="876"/>
      <c r="X842" s="876"/>
      <c r="Y842" s="876"/>
      <c r="Z842" s="876"/>
      <c r="AA842" s="876"/>
      <c r="AB842" s="876"/>
      <c r="AC842" s="876"/>
      <c r="AD842" s="876"/>
      <c r="AE842" s="876"/>
      <c r="AF842" s="876"/>
      <c r="AG842" s="876"/>
      <c r="AH842" s="876"/>
      <c r="AI842" s="878"/>
      <c r="AJ842" s="880"/>
      <c r="AK842" s="880"/>
      <c r="AL842" s="880"/>
      <c r="AM842" s="880"/>
      <c r="AN842" s="880"/>
      <c r="AO842" s="880"/>
      <c r="AP842" s="880"/>
      <c r="AQ842" s="880"/>
      <c r="AR842" s="880"/>
      <c r="AS842" s="880"/>
      <c r="AT842" s="880"/>
      <c r="AU842" s="880"/>
      <c r="AV842" s="880"/>
      <c r="AW842" s="881"/>
      <c r="AX842" s="863"/>
      <c r="AY842" s="863"/>
      <c r="AZ842" s="863"/>
      <c r="BA842" s="863"/>
      <c r="BB842" s="863"/>
      <c r="BC842" s="863"/>
      <c r="BD842" s="863"/>
      <c r="BE842" s="863"/>
      <c r="BF842" s="863"/>
      <c r="BG842" s="863"/>
      <c r="BH842" s="863"/>
      <c r="BI842" s="863"/>
      <c r="BJ842" s="863"/>
      <c r="BK842" s="863"/>
      <c r="BL842" s="863"/>
      <c r="BM842" s="863"/>
      <c r="BN842" s="863"/>
      <c r="BO842" s="863"/>
      <c r="BP842" s="880"/>
      <c r="BQ842" s="863"/>
      <c r="BR842" s="883"/>
      <c r="BS842" s="883"/>
      <c r="BT842" s="883"/>
      <c r="BU842" s="883"/>
      <c r="BV842" s="883"/>
      <c r="BW842" s="883"/>
      <c r="BX842" s="883"/>
      <c r="BY842" s="883"/>
      <c r="BZ842" s="883"/>
      <c r="CA842" s="883"/>
      <c r="CB842" s="883"/>
      <c r="CC842" s="883"/>
      <c r="CD842" s="884"/>
      <c r="CE842" s="883"/>
      <c r="CF842" s="883"/>
      <c r="CG842" s="883"/>
      <c r="CH842" s="883"/>
      <c r="CI842" s="883"/>
      <c r="CJ842" s="883"/>
      <c r="CK842" s="883"/>
      <c r="CL842" s="883"/>
      <c r="CM842" s="883"/>
      <c r="CN842" s="883"/>
      <c r="CO842" s="883"/>
      <c r="CP842" s="883"/>
      <c r="CQ842" s="883"/>
      <c r="CR842" s="883"/>
      <c r="CS842" s="883"/>
      <c r="CT842" s="883"/>
      <c r="CU842" s="883"/>
      <c r="CV842" s="863"/>
      <c r="CW842" s="863"/>
      <c r="CX842" s="863"/>
      <c r="CY842" s="863"/>
      <c r="CZ842" s="863"/>
      <c r="DA842" s="863"/>
      <c r="DB842" s="863"/>
      <c r="DC842" s="863"/>
      <c r="DD842" s="863"/>
      <c r="DE842" s="863"/>
    </row>
    <row r="843">
      <c r="A843" s="876"/>
      <c r="B843" s="876"/>
      <c r="C843" s="876"/>
      <c r="D843" s="876"/>
      <c r="E843" s="876"/>
      <c r="F843" s="876"/>
      <c r="G843" s="876"/>
      <c r="H843" s="876"/>
      <c r="I843" s="876"/>
      <c r="J843" s="876"/>
      <c r="K843" s="876"/>
      <c r="L843" s="876"/>
      <c r="M843" s="876"/>
      <c r="N843" s="877"/>
      <c r="O843" s="876"/>
      <c r="P843" s="876"/>
      <c r="Q843" s="876"/>
      <c r="R843" s="876"/>
      <c r="S843" s="876"/>
      <c r="T843" s="876"/>
      <c r="U843" s="876"/>
      <c r="V843" s="876"/>
      <c r="W843" s="876"/>
      <c r="X843" s="876"/>
      <c r="Y843" s="876"/>
      <c r="Z843" s="876"/>
      <c r="AA843" s="876"/>
      <c r="AB843" s="876"/>
      <c r="AC843" s="876"/>
      <c r="AD843" s="876"/>
      <c r="AE843" s="876"/>
      <c r="AF843" s="876"/>
      <c r="AG843" s="876"/>
      <c r="AH843" s="876"/>
      <c r="AI843" s="878"/>
      <c r="AJ843" s="880"/>
      <c r="AK843" s="880"/>
      <c r="AL843" s="880"/>
      <c r="AM843" s="880"/>
      <c r="AN843" s="880"/>
      <c r="AO843" s="880"/>
      <c r="AP843" s="880"/>
      <c r="AQ843" s="880"/>
      <c r="AR843" s="880"/>
      <c r="AS843" s="880"/>
      <c r="AT843" s="880"/>
      <c r="AU843" s="880"/>
      <c r="AV843" s="880"/>
      <c r="AW843" s="881"/>
      <c r="AX843" s="863"/>
      <c r="AY843" s="863"/>
      <c r="AZ843" s="863"/>
      <c r="BA843" s="863"/>
      <c r="BB843" s="863"/>
      <c r="BC843" s="863"/>
      <c r="BD843" s="863"/>
      <c r="BE843" s="863"/>
      <c r="BF843" s="863"/>
      <c r="BG843" s="863"/>
      <c r="BH843" s="863"/>
      <c r="BI843" s="863"/>
      <c r="BJ843" s="863"/>
      <c r="BK843" s="863"/>
      <c r="BL843" s="863"/>
      <c r="BM843" s="863"/>
      <c r="BN843" s="863"/>
      <c r="BO843" s="863"/>
      <c r="BP843" s="880"/>
      <c r="BQ843" s="863"/>
      <c r="BR843" s="883"/>
      <c r="BS843" s="883"/>
      <c r="BT843" s="883"/>
      <c r="BU843" s="883"/>
      <c r="BV843" s="883"/>
      <c r="BW843" s="883"/>
      <c r="BX843" s="883"/>
      <c r="BY843" s="883"/>
      <c r="BZ843" s="883"/>
      <c r="CA843" s="883"/>
      <c r="CB843" s="883"/>
      <c r="CC843" s="883"/>
      <c r="CD843" s="884"/>
      <c r="CE843" s="883"/>
      <c r="CF843" s="883"/>
      <c r="CG843" s="883"/>
      <c r="CH843" s="883"/>
      <c r="CI843" s="883"/>
      <c r="CJ843" s="883"/>
      <c r="CK843" s="883"/>
      <c r="CL843" s="883"/>
      <c r="CM843" s="883"/>
      <c r="CN843" s="883"/>
      <c r="CO843" s="883"/>
      <c r="CP843" s="883"/>
      <c r="CQ843" s="883"/>
      <c r="CR843" s="883"/>
      <c r="CS843" s="883"/>
      <c r="CT843" s="883"/>
      <c r="CU843" s="883"/>
      <c r="CV843" s="863"/>
      <c r="CW843" s="863"/>
      <c r="CX843" s="863"/>
      <c r="CY843" s="863"/>
      <c r="CZ843" s="863"/>
      <c r="DA843" s="863"/>
      <c r="DB843" s="863"/>
      <c r="DC843" s="863"/>
      <c r="DD843" s="863"/>
      <c r="DE843" s="863"/>
    </row>
    <row r="844">
      <c r="A844" s="876"/>
      <c r="B844" s="876"/>
      <c r="C844" s="876"/>
      <c r="D844" s="876"/>
      <c r="E844" s="876"/>
      <c r="F844" s="876"/>
      <c r="G844" s="876"/>
      <c r="H844" s="876"/>
      <c r="I844" s="876"/>
      <c r="J844" s="876"/>
      <c r="K844" s="876"/>
      <c r="L844" s="876"/>
      <c r="M844" s="876"/>
      <c r="N844" s="877"/>
      <c r="O844" s="876"/>
      <c r="P844" s="876"/>
      <c r="Q844" s="876"/>
      <c r="R844" s="876"/>
      <c r="S844" s="876"/>
      <c r="T844" s="876"/>
      <c r="U844" s="876"/>
      <c r="V844" s="876"/>
      <c r="W844" s="876"/>
      <c r="X844" s="876"/>
      <c r="Y844" s="876"/>
      <c r="Z844" s="876"/>
      <c r="AA844" s="876"/>
      <c r="AB844" s="876"/>
      <c r="AC844" s="876"/>
      <c r="AD844" s="876"/>
      <c r="AE844" s="876"/>
      <c r="AF844" s="876"/>
      <c r="AG844" s="876"/>
      <c r="AH844" s="876"/>
      <c r="AI844" s="878"/>
      <c r="AJ844" s="880"/>
      <c r="AK844" s="880"/>
      <c r="AL844" s="880"/>
      <c r="AM844" s="880"/>
      <c r="AN844" s="880"/>
      <c r="AO844" s="880"/>
      <c r="AP844" s="880"/>
      <c r="AQ844" s="880"/>
      <c r="AR844" s="880"/>
      <c r="AS844" s="880"/>
      <c r="AT844" s="880"/>
      <c r="AU844" s="880"/>
      <c r="AV844" s="880"/>
      <c r="AW844" s="881"/>
      <c r="AX844" s="863"/>
      <c r="AY844" s="863"/>
      <c r="AZ844" s="863"/>
      <c r="BA844" s="863"/>
      <c r="BB844" s="863"/>
      <c r="BC844" s="863"/>
      <c r="BD844" s="863"/>
      <c r="BE844" s="863"/>
      <c r="BF844" s="863"/>
      <c r="BG844" s="863"/>
      <c r="BH844" s="863"/>
      <c r="BI844" s="863"/>
      <c r="BJ844" s="863"/>
      <c r="BK844" s="863"/>
      <c r="BL844" s="863"/>
      <c r="BM844" s="863"/>
      <c r="BN844" s="863"/>
      <c r="BO844" s="863"/>
      <c r="BP844" s="880"/>
      <c r="BQ844" s="863"/>
      <c r="BR844" s="883"/>
      <c r="BS844" s="883"/>
      <c r="BT844" s="883"/>
      <c r="BU844" s="883"/>
      <c r="BV844" s="883"/>
      <c r="BW844" s="883"/>
      <c r="BX844" s="883"/>
      <c r="BY844" s="883"/>
      <c r="BZ844" s="883"/>
      <c r="CA844" s="883"/>
      <c r="CB844" s="883"/>
      <c r="CC844" s="883"/>
      <c r="CD844" s="884"/>
      <c r="CE844" s="883"/>
      <c r="CF844" s="883"/>
      <c r="CG844" s="883"/>
      <c r="CH844" s="883"/>
      <c r="CI844" s="883"/>
      <c r="CJ844" s="883"/>
      <c r="CK844" s="883"/>
      <c r="CL844" s="883"/>
      <c r="CM844" s="883"/>
      <c r="CN844" s="883"/>
      <c r="CO844" s="883"/>
      <c r="CP844" s="883"/>
      <c r="CQ844" s="883"/>
      <c r="CR844" s="883"/>
      <c r="CS844" s="883"/>
      <c r="CT844" s="883"/>
      <c r="CU844" s="883"/>
      <c r="CV844" s="863"/>
      <c r="CW844" s="863"/>
      <c r="CX844" s="863"/>
      <c r="CY844" s="863"/>
      <c r="CZ844" s="863"/>
      <c r="DA844" s="863"/>
      <c r="DB844" s="863"/>
      <c r="DC844" s="863"/>
      <c r="DD844" s="863"/>
      <c r="DE844" s="863"/>
    </row>
    <row r="845">
      <c r="A845" s="876"/>
      <c r="B845" s="876"/>
      <c r="C845" s="876"/>
      <c r="D845" s="876"/>
      <c r="E845" s="876"/>
      <c r="F845" s="876"/>
      <c r="G845" s="876"/>
      <c r="H845" s="876"/>
      <c r="I845" s="876"/>
      <c r="J845" s="876"/>
      <c r="K845" s="876"/>
      <c r="L845" s="876"/>
      <c r="M845" s="876"/>
      <c r="N845" s="877"/>
      <c r="O845" s="876"/>
      <c r="P845" s="876"/>
      <c r="Q845" s="876"/>
      <c r="R845" s="876"/>
      <c r="S845" s="876"/>
      <c r="T845" s="876"/>
      <c r="U845" s="876"/>
      <c r="V845" s="876"/>
      <c r="W845" s="876"/>
      <c r="X845" s="876"/>
      <c r="Y845" s="876"/>
      <c r="Z845" s="876"/>
      <c r="AA845" s="876"/>
      <c r="AB845" s="876"/>
      <c r="AC845" s="876"/>
      <c r="AD845" s="876"/>
      <c r="AE845" s="876"/>
      <c r="AF845" s="876"/>
      <c r="AG845" s="876"/>
      <c r="AH845" s="876"/>
      <c r="AI845" s="878"/>
      <c r="AJ845" s="880"/>
      <c r="AK845" s="880"/>
      <c r="AL845" s="880"/>
      <c r="AM845" s="880"/>
      <c r="AN845" s="880"/>
      <c r="AO845" s="880"/>
      <c r="AP845" s="880"/>
      <c r="AQ845" s="880"/>
      <c r="AR845" s="880"/>
      <c r="AS845" s="880"/>
      <c r="AT845" s="880"/>
      <c r="AU845" s="880"/>
      <c r="AV845" s="880"/>
      <c r="AW845" s="881"/>
      <c r="AX845" s="863"/>
      <c r="AY845" s="863"/>
      <c r="AZ845" s="863"/>
      <c r="BA845" s="863"/>
      <c r="BB845" s="863"/>
      <c r="BC845" s="863"/>
      <c r="BD845" s="863"/>
      <c r="BE845" s="863"/>
      <c r="BF845" s="863"/>
      <c r="BG845" s="863"/>
      <c r="BH845" s="863"/>
      <c r="BI845" s="863"/>
      <c r="BJ845" s="863"/>
      <c r="BK845" s="863"/>
      <c r="BL845" s="863"/>
      <c r="BM845" s="863"/>
      <c r="BN845" s="863"/>
      <c r="BO845" s="863"/>
      <c r="BP845" s="880"/>
      <c r="BQ845" s="863"/>
      <c r="BR845" s="883"/>
      <c r="BS845" s="883"/>
      <c r="BT845" s="883"/>
      <c r="BU845" s="883"/>
      <c r="BV845" s="883"/>
      <c r="BW845" s="883"/>
      <c r="BX845" s="883"/>
      <c r="BY845" s="883"/>
      <c r="BZ845" s="883"/>
      <c r="CA845" s="883"/>
      <c r="CB845" s="883"/>
      <c r="CC845" s="883"/>
      <c r="CD845" s="884"/>
      <c r="CE845" s="883"/>
      <c r="CF845" s="883"/>
      <c r="CG845" s="883"/>
      <c r="CH845" s="883"/>
      <c r="CI845" s="883"/>
      <c r="CJ845" s="883"/>
      <c r="CK845" s="883"/>
      <c r="CL845" s="883"/>
      <c r="CM845" s="883"/>
      <c r="CN845" s="883"/>
      <c r="CO845" s="883"/>
      <c r="CP845" s="883"/>
      <c r="CQ845" s="883"/>
      <c r="CR845" s="883"/>
      <c r="CS845" s="883"/>
      <c r="CT845" s="883"/>
      <c r="CU845" s="883"/>
      <c r="CV845" s="863"/>
      <c r="CW845" s="863"/>
      <c r="CX845" s="863"/>
      <c r="CY845" s="863"/>
      <c r="CZ845" s="863"/>
      <c r="DA845" s="863"/>
      <c r="DB845" s="863"/>
      <c r="DC845" s="863"/>
      <c r="DD845" s="863"/>
      <c r="DE845" s="863"/>
    </row>
    <row r="846">
      <c r="A846" s="876"/>
      <c r="B846" s="876"/>
      <c r="C846" s="876"/>
      <c r="D846" s="876"/>
      <c r="E846" s="876"/>
      <c r="F846" s="876"/>
      <c r="G846" s="876"/>
      <c r="H846" s="876"/>
      <c r="I846" s="876"/>
      <c r="J846" s="876"/>
      <c r="K846" s="876"/>
      <c r="L846" s="876"/>
      <c r="M846" s="876"/>
      <c r="N846" s="877"/>
      <c r="O846" s="876"/>
      <c r="P846" s="876"/>
      <c r="Q846" s="876"/>
      <c r="R846" s="876"/>
      <c r="S846" s="876"/>
      <c r="T846" s="876"/>
      <c r="U846" s="876"/>
      <c r="V846" s="876"/>
      <c r="W846" s="876"/>
      <c r="X846" s="876"/>
      <c r="Y846" s="876"/>
      <c r="Z846" s="876"/>
      <c r="AA846" s="876"/>
      <c r="AB846" s="876"/>
      <c r="AC846" s="876"/>
      <c r="AD846" s="876"/>
      <c r="AE846" s="876"/>
      <c r="AF846" s="876"/>
      <c r="AG846" s="876"/>
      <c r="AH846" s="876"/>
      <c r="AI846" s="878"/>
      <c r="AJ846" s="880"/>
      <c r="AK846" s="880"/>
      <c r="AL846" s="880"/>
      <c r="AM846" s="880"/>
      <c r="AN846" s="880"/>
      <c r="AO846" s="880"/>
      <c r="AP846" s="880"/>
      <c r="AQ846" s="880"/>
      <c r="AR846" s="880"/>
      <c r="AS846" s="880"/>
      <c r="AT846" s="880"/>
      <c r="AU846" s="880"/>
      <c r="AV846" s="880"/>
      <c r="AW846" s="881"/>
      <c r="AX846" s="863"/>
      <c r="AY846" s="863"/>
      <c r="AZ846" s="863"/>
      <c r="BA846" s="863"/>
      <c r="BB846" s="863"/>
      <c r="BC846" s="863"/>
      <c r="BD846" s="863"/>
      <c r="BE846" s="863"/>
      <c r="BF846" s="863"/>
      <c r="BG846" s="863"/>
      <c r="BH846" s="863"/>
      <c r="BI846" s="863"/>
      <c r="BJ846" s="863"/>
      <c r="BK846" s="863"/>
      <c r="BL846" s="863"/>
      <c r="BM846" s="863"/>
      <c r="BN846" s="863"/>
      <c r="BO846" s="863"/>
      <c r="BP846" s="880"/>
      <c r="BQ846" s="863"/>
      <c r="BR846" s="883"/>
      <c r="BS846" s="883"/>
      <c r="BT846" s="883"/>
      <c r="BU846" s="883"/>
      <c r="BV846" s="883"/>
      <c r="BW846" s="883"/>
      <c r="BX846" s="883"/>
      <c r="BY846" s="883"/>
      <c r="BZ846" s="883"/>
      <c r="CA846" s="883"/>
      <c r="CB846" s="883"/>
      <c r="CC846" s="883"/>
      <c r="CD846" s="884"/>
      <c r="CE846" s="883"/>
      <c r="CF846" s="883"/>
      <c r="CG846" s="883"/>
      <c r="CH846" s="883"/>
      <c r="CI846" s="883"/>
      <c r="CJ846" s="883"/>
      <c r="CK846" s="883"/>
      <c r="CL846" s="883"/>
      <c r="CM846" s="883"/>
      <c r="CN846" s="883"/>
      <c r="CO846" s="883"/>
      <c r="CP846" s="883"/>
      <c r="CQ846" s="883"/>
      <c r="CR846" s="883"/>
      <c r="CS846" s="883"/>
      <c r="CT846" s="883"/>
      <c r="CU846" s="883"/>
      <c r="CV846" s="863"/>
      <c r="CW846" s="863"/>
      <c r="CX846" s="863"/>
      <c r="CY846" s="863"/>
      <c r="CZ846" s="863"/>
      <c r="DA846" s="863"/>
      <c r="DB846" s="863"/>
      <c r="DC846" s="863"/>
      <c r="DD846" s="863"/>
      <c r="DE846" s="863"/>
    </row>
    <row r="847">
      <c r="A847" s="876"/>
      <c r="B847" s="876"/>
      <c r="C847" s="876"/>
      <c r="D847" s="876"/>
      <c r="E847" s="876"/>
      <c r="F847" s="876"/>
      <c r="G847" s="876"/>
      <c r="H847" s="876"/>
      <c r="I847" s="876"/>
      <c r="J847" s="876"/>
      <c r="K847" s="876"/>
      <c r="L847" s="876"/>
      <c r="M847" s="876"/>
      <c r="N847" s="877"/>
      <c r="O847" s="876"/>
      <c r="P847" s="876"/>
      <c r="Q847" s="876"/>
      <c r="R847" s="876"/>
      <c r="S847" s="876"/>
      <c r="T847" s="876"/>
      <c r="U847" s="876"/>
      <c r="V847" s="876"/>
      <c r="W847" s="876"/>
      <c r="X847" s="876"/>
      <c r="Y847" s="876"/>
      <c r="Z847" s="876"/>
      <c r="AA847" s="876"/>
      <c r="AB847" s="876"/>
      <c r="AC847" s="876"/>
      <c r="AD847" s="876"/>
      <c r="AE847" s="876"/>
      <c r="AF847" s="876"/>
      <c r="AG847" s="876"/>
      <c r="AH847" s="876"/>
      <c r="AI847" s="878"/>
      <c r="AJ847" s="880"/>
      <c r="AK847" s="880"/>
      <c r="AL847" s="880"/>
      <c r="AM847" s="880"/>
      <c r="AN847" s="880"/>
      <c r="AO847" s="880"/>
      <c r="AP847" s="880"/>
      <c r="AQ847" s="880"/>
      <c r="AR847" s="880"/>
      <c r="AS847" s="880"/>
      <c r="AT847" s="880"/>
      <c r="AU847" s="880"/>
      <c r="AV847" s="880"/>
      <c r="AW847" s="881"/>
      <c r="AX847" s="863"/>
      <c r="AY847" s="863"/>
      <c r="AZ847" s="863"/>
      <c r="BA847" s="863"/>
      <c r="BB847" s="863"/>
      <c r="BC847" s="863"/>
      <c r="BD847" s="863"/>
      <c r="BE847" s="863"/>
      <c r="BF847" s="863"/>
      <c r="BG847" s="863"/>
      <c r="BH847" s="863"/>
      <c r="BI847" s="863"/>
      <c r="BJ847" s="863"/>
      <c r="BK847" s="863"/>
      <c r="BL847" s="863"/>
      <c r="BM847" s="863"/>
      <c r="BN847" s="863"/>
      <c r="BO847" s="863"/>
      <c r="BP847" s="880"/>
      <c r="BQ847" s="863"/>
      <c r="BR847" s="883"/>
      <c r="BS847" s="883"/>
      <c r="BT847" s="883"/>
      <c r="BU847" s="883"/>
      <c r="BV847" s="883"/>
      <c r="BW847" s="883"/>
      <c r="BX847" s="883"/>
      <c r="BY847" s="883"/>
      <c r="BZ847" s="883"/>
      <c r="CA847" s="883"/>
      <c r="CB847" s="883"/>
      <c r="CC847" s="883"/>
      <c r="CD847" s="884"/>
      <c r="CE847" s="883"/>
      <c r="CF847" s="883"/>
      <c r="CG847" s="883"/>
      <c r="CH847" s="883"/>
      <c r="CI847" s="883"/>
      <c r="CJ847" s="883"/>
      <c r="CK847" s="883"/>
      <c r="CL847" s="883"/>
      <c r="CM847" s="883"/>
      <c r="CN847" s="883"/>
      <c r="CO847" s="883"/>
      <c r="CP847" s="883"/>
      <c r="CQ847" s="883"/>
      <c r="CR847" s="883"/>
      <c r="CS847" s="883"/>
      <c r="CT847" s="883"/>
      <c r="CU847" s="883"/>
      <c r="CV847" s="863"/>
      <c r="CW847" s="863"/>
      <c r="CX847" s="863"/>
      <c r="CY847" s="863"/>
      <c r="CZ847" s="863"/>
      <c r="DA847" s="863"/>
      <c r="DB847" s="863"/>
      <c r="DC847" s="863"/>
      <c r="DD847" s="863"/>
      <c r="DE847" s="863"/>
    </row>
    <row r="848">
      <c r="A848" s="876"/>
      <c r="B848" s="876"/>
      <c r="C848" s="876"/>
      <c r="D848" s="876"/>
      <c r="E848" s="876"/>
      <c r="F848" s="876"/>
      <c r="G848" s="876"/>
      <c r="H848" s="876"/>
      <c r="I848" s="876"/>
      <c r="J848" s="876"/>
      <c r="K848" s="876"/>
      <c r="L848" s="876"/>
      <c r="M848" s="876"/>
      <c r="N848" s="877"/>
      <c r="O848" s="876"/>
      <c r="P848" s="876"/>
      <c r="Q848" s="876"/>
      <c r="R848" s="876"/>
      <c r="S848" s="876"/>
      <c r="T848" s="876"/>
      <c r="U848" s="876"/>
      <c r="V848" s="876"/>
      <c r="W848" s="876"/>
      <c r="X848" s="876"/>
      <c r="Y848" s="876"/>
      <c r="Z848" s="876"/>
      <c r="AA848" s="876"/>
      <c r="AB848" s="876"/>
      <c r="AC848" s="876"/>
      <c r="AD848" s="876"/>
      <c r="AE848" s="876"/>
      <c r="AF848" s="876"/>
      <c r="AG848" s="876"/>
      <c r="AH848" s="876"/>
      <c r="AI848" s="878"/>
      <c r="AJ848" s="880"/>
      <c r="AK848" s="880"/>
      <c r="AL848" s="880"/>
      <c r="AM848" s="880"/>
      <c r="AN848" s="880"/>
      <c r="AO848" s="880"/>
      <c r="AP848" s="880"/>
      <c r="AQ848" s="880"/>
      <c r="AR848" s="880"/>
      <c r="AS848" s="880"/>
      <c r="AT848" s="880"/>
      <c r="AU848" s="880"/>
      <c r="AV848" s="880"/>
      <c r="AW848" s="881"/>
      <c r="AX848" s="863"/>
      <c r="AY848" s="863"/>
      <c r="AZ848" s="863"/>
      <c r="BA848" s="863"/>
      <c r="BB848" s="863"/>
      <c r="BC848" s="863"/>
      <c r="BD848" s="863"/>
      <c r="BE848" s="863"/>
      <c r="BF848" s="863"/>
      <c r="BG848" s="863"/>
      <c r="BH848" s="863"/>
      <c r="BI848" s="863"/>
      <c r="BJ848" s="863"/>
      <c r="BK848" s="863"/>
      <c r="BL848" s="863"/>
      <c r="BM848" s="863"/>
      <c r="BN848" s="863"/>
      <c r="BO848" s="863"/>
      <c r="BP848" s="880"/>
      <c r="BQ848" s="863"/>
      <c r="BR848" s="883"/>
      <c r="BS848" s="883"/>
      <c r="BT848" s="883"/>
      <c r="BU848" s="883"/>
      <c r="BV848" s="883"/>
      <c r="BW848" s="883"/>
      <c r="BX848" s="883"/>
      <c r="BY848" s="883"/>
      <c r="BZ848" s="883"/>
      <c r="CA848" s="883"/>
      <c r="CB848" s="883"/>
      <c r="CC848" s="883"/>
      <c r="CD848" s="884"/>
      <c r="CE848" s="883"/>
      <c r="CF848" s="883"/>
      <c r="CG848" s="883"/>
      <c r="CH848" s="883"/>
      <c r="CI848" s="883"/>
      <c r="CJ848" s="883"/>
      <c r="CK848" s="883"/>
      <c r="CL848" s="883"/>
      <c r="CM848" s="883"/>
      <c r="CN848" s="883"/>
      <c r="CO848" s="883"/>
      <c r="CP848" s="883"/>
      <c r="CQ848" s="883"/>
      <c r="CR848" s="883"/>
      <c r="CS848" s="883"/>
      <c r="CT848" s="883"/>
      <c r="CU848" s="883"/>
      <c r="CV848" s="863"/>
      <c r="CW848" s="863"/>
      <c r="CX848" s="863"/>
      <c r="CY848" s="863"/>
      <c r="CZ848" s="863"/>
      <c r="DA848" s="863"/>
      <c r="DB848" s="863"/>
      <c r="DC848" s="863"/>
      <c r="DD848" s="863"/>
      <c r="DE848" s="863"/>
    </row>
    <row r="849">
      <c r="A849" s="876"/>
      <c r="B849" s="876"/>
      <c r="C849" s="876"/>
      <c r="D849" s="876"/>
      <c r="E849" s="876"/>
      <c r="F849" s="876"/>
      <c r="G849" s="876"/>
      <c r="H849" s="876"/>
      <c r="I849" s="876"/>
      <c r="J849" s="876"/>
      <c r="K849" s="876"/>
      <c r="L849" s="876"/>
      <c r="M849" s="876"/>
      <c r="N849" s="877"/>
      <c r="O849" s="876"/>
      <c r="P849" s="876"/>
      <c r="Q849" s="876"/>
      <c r="R849" s="876"/>
      <c r="S849" s="876"/>
      <c r="T849" s="876"/>
      <c r="U849" s="876"/>
      <c r="V849" s="876"/>
      <c r="W849" s="876"/>
      <c r="X849" s="876"/>
      <c r="Y849" s="876"/>
      <c r="Z849" s="876"/>
      <c r="AA849" s="876"/>
      <c r="AB849" s="876"/>
      <c r="AC849" s="876"/>
      <c r="AD849" s="876"/>
      <c r="AE849" s="876"/>
      <c r="AF849" s="876"/>
      <c r="AG849" s="876"/>
      <c r="AH849" s="876"/>
      <c r="AI849" s="878"/>
      <c r="AJ849" s="880"/>
      <c r="AK849" s="880"/>
      <c r="AL849" s="880"/>
      <c r="AM849" s="880"/>
      <c r="AN849" s="880"/>
      <c r="AO849" s="880"/>
      <c r="AP849" s="880"/>
      <c r="AQ849" s="880"/>
      <c r="AR849" s="880"/>
      <c r="AS849" s="880"/>
      <c r="AT849" s="880"/>
      <c r="AU849" s="880"/>
      <c r="AV849" s="880"/>
      <c r="AW849" s="881"/>
      <c r="AX849" s="863"/>
      <c r="AY849" s="863"/>
      <c r="AZ849" s="863"/>
      <c r="BA849" s="863"/>
      <c r="BB849" s="863"/>
      <c r="BC849" s="863"/>
      <c r="BD849" s="863"/>
      <c r="BE849" s="863"/>
      <c r="BF849" s="863"/>
      <c r="BG849" s="863"/>
      <c r="BH849" s="863"/>
      <c r="BI849" s="863"/>
      <c r="BJ849" s="863"/>
      <c r="BK849" s="863"/>
      <c r="BL849" s="863"/>
      <c r="BM849" s="863"/>
      <c r="BN849" s="863"/>
      <c r="BO849" s="863"/>
      <c r="BP849" s="880"/>
      <c r="BQ849" s="863"/>
      <c r="BR849" s="883"/>
      <c r="BS849" s="883"/>
      <c r="BT849" s="883"/>
      <c r="BU849" s="883"/>
      <c r="BV849" s="883"/>
      <c r="BW849" s="883"/>
      <c r="BX849" s="883"/>
      <c r="BY849" s="883"/>
      <c r="BZ849" s="883"/>
      <c r="CA849" s="883"/>
      <c r="CB849" s="883"/>
      <c r="CC849" s="883"/>
      <c r="CD849" s="884"/>
      <c r="CE849" s="883"/>
      <c r="CF849" s="883"/>
      <c r="CG849" s="883"/>
      <c r="CH849" s="883"/>
      <c r="CI849" s="883"/>
      <c r="CJ849" s="883"/>
      <c r="CK849" s="883"/>
      <c r="CL849" s="883"/>
      <c r="CM849" s="883"/>
      <c r="CN849" s="883"/>
      <c r="CO849" s="883"/>
      <c r="CP849" s="883"/>
      <c r="CQ849" s="883"/>
      <c r="CR849" s="883"/>
      <c r="CS849" s="883"/>
      <c r="CT849" s="883"/>
      <c r="CU849" s="883"/>
      <c r="CV849" s="863"/>
      <c r="CW849" s="863"/>
      <c r="CX849" s="863"/>
      <c r="CY849" s="863"/>
      <c r="CZ849" s="863"/>
      <c r="DA849" s="863"/>
      <c r="DB849" s="863"/>
      <c r="DC849" s="863"/>
      <c r="DD849" s="863"/>
      <c r="DE849" s="863"/>
    </row>
    <row r="850">
      <c r="A850" s="876"/>
      <c r="B850" s="876"/>
      <c r="C850" s="876"/>
      <c r="D850" s="876"/>
      <c r="E850" s="876"/>
      <c r="F850" s="876"/>
      <c r="G850" s="876"/>
      <c r="H850" s="876"/>
      <c r="I850" s="876"/>
      <c r="J850" s="876"/>
      <c r="K850" s="876"/>
      <c r="L850" s="876"/>
      <c r="M850" s="876"/>
      <c r="N850" s="877"/>
      <c r="O850" s="876"/>
      <c r="P850" s="876"/>
      <c r="Q850" s="876"/>
      <c r="R850" s="876"/>
      <c r="S850" s="876"/>
      <c r="T850" s="876"/>
      <c r="U850" s="876"/>
      <c r="V850" s="876"/>
      <c r="W850" s="876"/>
      <c r="X850" s="876"/>
      <c r="Y850" s="876"/>
      <c r="Z850" s="876"/>
      <c r="AA850" s="876"/>
      <c r="AB850" s="876"/>
      <c r="AC850" s="876"/>
      <c r="AD850" s="876"/>
      <c r="AE850" s="876"/>
      <c r="AF850" s="876"/>
      <c r="AG850" s="876"/>
      <c r="AH850" s="876"/>
      <c r="AI850" s="878"/>
      <c r="AJ850" s="880"/>
      <c r="AK850" s="880"/>
      <c r="AL850" s="880"/>
      <c r="AM850" s="880"/>
      <c r="AN850" s="880"/>
      <c r="AO850" s="880"/>
      <c r="AP850" s="880"/>
      <c r="AQ850" s="880"/>
      <c r="AR850" s="880"/>
      <c r="AS850" s="880"/>
      <c r="AT850" s="880"/>
      <c r="AU850" s="880"/>
      <c r="AV850" s="880"/>
      <c r="AW850" s="881"/>
      <c r="AX850" s="863"/>
      <c r="AY850" s="863"/>
      <c r="AZ850" s="863"/>
      <c r="BA850" s="863"/>
      <c r="BB850" s="863"/>
      <c r="BC850" s="863"/>
      <c r="BD850" s="863"/>
      <c r="BE850" s="863"/>
      <c r="BF850" s="863"/>
      <c r="BG850" s="863"/>
      <c r="BH850" s="863"/>
      <c r="BI850" s="863"/>
      <c r="BJ850" s="863"/>
      <c r="BK850" s="863"/>
      <c r="BL850" s="863"/>
      <c r="BM850" s="863"/>
      <c r="BN850" s="863"/>
      <c r="BO850" s="863"/>
      <c r="BP850" s="880"/>
      <c r="BQ850" s="863"/>
      <c r="BR850" s="883"/>
      <c r="BS850" s="883"/>
      <c r="BT850" s="883"/>
      <c r="BU850" s="883"/>
      <c r="BV850" s="883"/>
      <c r="BW850" s="883"/>
      <c r="BX850" s="883"/>
      <c r="BY850" s="883"/>
      <c r="BZ850" s="883"/>
      <c r="CA850" s="883"/>
      <c r="CB850" s="883"/>
      <c r="CC850" s="883"/>
      <c r="CD850" s="884"/>
      <c r="CE850" s="883"/>
      <c r="CF850" s="883"/>
      <c r="CG850" s="883"/>
      <c r="CH850" s="883"/>
      <c r="CI850" s="883"/>
      <c r="CJ850" s="883"/>
      <c r="CK850" s="883"/>
      <c r="CL850" s="883"/>
      <c r="CM850" s="883"/>
      <c r="CN850" s="883"/>
      <c r="CO850" s="883"/>
      <c r="CP850" s="883"/>
      <c r="CQ850" s="883"/>
      <c r="CR850" s="883"/>
      <c r="CS850" s="883"/>
      <c r="CT850" s="883"/>
      <c r="CU850" s="883"/>
      <c r="CV850" s="863"/>
      <c r="CW850" s="863"/>
      <c r="CX850" s="863"/>
      <c r="CY850" s="863"/>
      <c r="CZ850" s="863"/>
      <c r="DA850" s="863"/>
      <c r="DB850" s="863"/>
      <c r="DC850" s="863"/>
      <c r="DD850" s="863"/>
      <c r="DE850" s="863"/>
    </row>
    <row r="851">
      <c r="A851" s="876"/>
      <c r="B851" s="876"/>
      <c r="C851" s="876"/>
      <c r="D851" s="876"/>
      <c r="E851" s="876"/>
      <c r="F851" s="876"/>
      <c r="G851" s="876"/>
      <c r="H851" s="876"/>
      <c r="I851" s="876"/>
      <c r="J851" s="876"/>
      <c r="K851" s="876"/>
      <c r="L851" s="876"/>
      <c r="M851" s="876"/>
      <c r="N851" s="877"/>
      <c r="O851" s="876"/>
      <c r="P851" s="876"/>
      <c r="Q851" s="876"/>
      <c r="R851" s="876"/>
      <c r="S851" s="876"/>
      <c r="T851" s="876"/>
      <c r="U851" s="876"/>
      <c r="V851" s="876"/>
      <c r="W851" s="876"/>
      <c r="X851" s="876"/>
      <c r="Y851" s="876"/>
      <c r="Z851" s="876"/>
      <c r="AA851" s="876"/>
      <c r="AB851" s="876"/>
      <c r="AC851" s="876"/>
      <c r="AD851" s="876"/>
      <c r="AE851" s="876"/>
      <c r="AF851" s="876"/>
      <c r="AG851" s="876"/>
      <c r="AH851" s="876"/>
      <c r="AI851" s="878"/>
      <c r="AJ851" s="880"/>
      <c r="AK851" s="880"/>
      <c r="AL851" s="880"/>
      <c r="AM851" s="880"/>
      <c r="AN851" s="880"/>
      <c r="AO851" s="880"/>
      <c r="AP851" s="880"/>
      <c r="AQ851" s="880"/>
      <c r="AR851" s="880"/>
      <c r="AS851" s="880"/>
      <c r="AT851" s="880"/>
      <c r="AU851" s="880"/>
      <c r="AV851" s="880"/>
      <c r="AW851" s="881"/>
      <c r="AX851" s="863"/>
      <c r="AY851" s="863"/>
      <c r="AZ851" s="863"/>
      <c r="BA851" s="863"/>
      <c r="BB851" s="863"/>
      <c r="BC851" s="863"/>
      <c r="BD851" s="863"/>
      <c r="BE851" s="863"/>
      <c r="BF851" s="863"/>
      <c r="BG851" s="863"/>
      <c r="BH851" s="863"/>
      <c r="BI851" s="863"/>
      <c r="BJ851" s="863"/>
      <c r="BK851" s="863"/>
      <c r="BL851" s="863"/>
      <c r="BM851" s="863"/>
      <c r="BN851" s="863"/>
      <c r="BO851" s="863"/>
      <c r="BP851" s="880"/>
      <c r="BQ851" s="863"/>
      <c r="BR851" s="883"/>
      <c r="BS851" s="883"/>
      <c r="BT851" s="883"/>
      <c r="BU851" s="883"/>
      <c r="BV851" s="883"/>
      <c r="BW851" s="883"/>
      <c r="BX851" s="883"/>
      <c r="BY851" s="883"/>
      <c r="BZ851" s="883"/>
      <c r="CA851" s="883"/>
      <c r="CB851" s="883"/>
      <c r="CC851" s="883"/>
      <c r="CD851" s="884"/>
      <c r="CE851" s="883"/>
      <c r="CF851" s="883"/>
      <c r="CG851" s="883"/>
      <c r="CH851" s="883"/>
      <c r="CI851" s="883"/>
      <c r="CJ851" s="883"/>
      <c r="CK851" s="883"/>
      <c r="CL851" s="883"/>
      <c r="CM851" s="883"/>
      <c r="CN851" s="883"/>
      <c r="CO851" s="883"/>
      <c r="CP851" s="883"/>
      <c r="CQ851" s="883"/>
      <c r="CR851" s="883"/>
      <c r="CS851" s="883"/>
      <c r="CT851" s="883"/>
      <c r="CU851" s="883"/>
      <c r="CV851" s="863"/>
      <c r="CW851" s="863"/>
      <c r="CX851" s="863"/>
      <c r="CY851" s="863"/>
      <c r="CZ851" s="863"/>
      <c r="DA851" s="863"/>
      <c r="DB851" s="863"/>
      <c r="DC851" s="863"/>
      <c r="DD851" s="863"/>
      <c r="DE851" s="863"/>
    </row>
    <row r="852">
      <c r="A852" s="876"/>
      <c r="B852" s="876"/>
      <c r="C852" s="876"/>
      <c r="D852" s="876"/>
      <c r="E852" s="876"/>
      <c r="F852" s="876"/>
      <c r="G852" s="876"/>
      <c r="H852" s="876"/>
      <c r="I852" s="876"/>
      <c r="J852" s="876"/>
      <c r="K852" s="876"/>
      <c r="L852" s="876"/>
      <c r="M852" s="876"/>
      <c r="N852" s="877"/>
      <c r="O852" s="876"/>
      <c r="P852" s="876"/>
      <c r="Q852" s="876"/>
      <c r="R852" s="876"/>
      <c r="S852" s="876"/>
      <c r="T852" s="876"/>
      <c r="U852" s="876"/>
      <c r="V852" s="876"/>
      <c r="W852" s="876"/>
      <c r="X852" s="876"/>
      <c r="Y852" s="876"/>
      <c r="Z852" s="876"/>
      <c r="AA852" s="876"/>
      <c r="AB852" s="876"/>
      <c r="AC852" s="876"/>
      <c r="AD852" s="876"/>
      <c r="AE852" s="876"/>
      <c r="AF852" s="876"/>
      <c r="AG852" s="876"/>
      <c r="AH852" s="876"/>
      <c r="AI852" s="878"/>
      <c r="AJ852" s="880"/>
      <c r="AK852" s="880"/>
      <c r="AL852" s="880"/>
      <c r="AM852" s="880"/>
      <c r="AN852" s="880"/>
      <c r="AO852" s="880"/>
      <c r="AP852" s="880"/>
      <c r="AQ852" s="880"/>
      <c r="AR852" s="880"/>
      <c r="AS852" s="880"/>
      <c r="AT852" s="880"/>
      <c r="AU852" s="880"/>
      <c r="AV852" s="880"/>
      <c r="AW852" s="881"/>
      <c r="AX852" s="863"/>
      <c r="AY852" s="863"/>
      <c r="AZ852" s="863"/>
      <c r="BA852" s="863"/>
      <c r="BB852" s="863"/>
      <c r="BC852" s="863"/>
      <c r="BD852" s="863"/>
      <c r="BE852" s="863"/>
      <c r="BF852" s="863"/>
      <c r="BG852" s="863"/>
      <c r="BH852" s="863"/>
      <c r="BI852" s="863"/>
      <c r="BJ852" s="863"/>
      <c r="BK852" s="863"/>
      <c r="BL852" s="863"/>
      <c r="BM852" s="863"/>
      <c r="BN852" s="863"/>
      <c r="BO852" s="863"/>
      <c r="BP852" s="880"/>
      <c r="BQ852" s="863"/>
      <c r="BR852" s="883"/>
      <c r="BS852" s="883"/>
      <c r="BT852" s="883"/>
      <c r="BU852" s="883"/>
      <c r="BV852" s="883"/>
      <c r="BW852" s="883"/>
      <c r="BX852" s="883"/>
      <c r="BY852" s="883"/>
      <c r="BZ852" s="883"/>
      <c r="CA852" s="883"/>
      <c r="CB852" s="883"/>
      <c r="CC852" s="883"/>
      <c r="CD852" s="884"/>
      <c r="CE852" s="883"/>
      <c r="CF852" s="883"/>
      <c r="CG852" s="883"/>
      <c r="CH852" s="883"/>
      <c r="CI852" s="883"/>
      <c r="CJ852" s="883"/>
      <c r="CK852" s="883"/>
      <c r="CL852" s="883"/>
      <c r="CM852" s="883"/>
      <c r="CN852" s="883"/>
      <c r="CO852" s="883"/>
      <c r="CP852" s="883"/>
      <c r="CQ852" s="883"/>
      <c r="CR852" s="883"/>
      <c r="CS852" s="883"/>
      <c r="CT852" s="883"/>
      <c r="CU852" s="883"/>
      <c r="CV852" s="863"/>
      <c r="CW852" s="863"/>
      <c r="CX852" s="863"/>
      <c r="CY852" s="863"/>
      <c r="CZ852" s="863"/>
      <c r="DA852" s="863"/>
      <c r="DB852" s="863"/>
      <c r="DC852" s="863"/>
      <c r="DD852" s="863"/>
      <c r="DE852" s="863"/>
    </row>
    <row r="853">
      <c r="A853" s="876"/>
      <c r="B853" s="876"/>
      <c r="C853" s="876"/>
      <c r="D853" s="876"/>
      <c r="E853" s="876"/>
      <c r="F853" s="876"/>
      <c r="G853" s="876"/>
      <c r="H853" s="876"/>
      <c r="I853" s="876"/>
      <c r="J853" s="876"/>
      <c r="K853" s="876"/>
      <c r="L853" s="876"/>
      <c r="M853" s="876"/>
      <c r="N853" s="877"/>
      <c r="O853" s="876"/>
      <c r="P853" s="876"/>
      <c r="Q853" s="876"/>
      <c r="R853" s="876"/>
      <c r="S853" s="876"/>
      <c r="T853" s="876"/>
      <c r="U853" s="876"/>
      <c r="V853" s="876"/>
      <c r="W853" s="876"/>
      <c r="X853" s="876"/>
      <c r="Y853" s="876"/>
      <c r="Z853" s="876"/>
      <c r="AA853" s="876"/>
      <c r="AB853" s="876"/>
      <c r="AC853" s="876"/>
      <c r="AD853" s="876"/>
      <c r="AE853" s="876"/>
      <c r="AF853" s="876"/>
      <c r="AG853" s="876"/>
      <c r="AH853" s="876"/>
      <c r="AI853" s="878"/>
      <c r="AJ853" s="880"/>
      <c r="AK853" s="880"/>
      <c r="AL853" s="880"/>
      <c r="AM853" s="880"/>
      <c r="AN853" s="880"/>
      <c r="AO853" s="880"/>
      <c r="AP853" s="880"/>
      <c r="AQ853" s="880"/>
      <c r="AR853" s="880"/>
      <c r="AS853" s="880"/>
      <c r="AT853" s="880"/>
      <c r="AU853" s="880"/>
      <c r="AV853" s="880"/>
      <c r="AW853" s="881"/>
      <c r="AX853" s="863"/>
      <c r="AY853" s="863"/>
      <c r="AZ853" s="863"/>
      <c r="BA853" s="863"/>
      <c r="BB853" s="863"/>
      <c r="BC853" s="863"/>
      <c r="BD853" s="863"/>
      <c r="BE853" s="863"/>
      <c r="BF853" s="863"/>
      <c r="BG853" s="863"/>
      <c r="BH853" s="863"/>
      <c r="BI853" s="863"/>
      <c r="BJ853" s="863"/>
      <c r="BK853" s="863"/>
      <c r="BL853" s="863"/>
      <c r="BM853" s="863"/>
      <c r="BN853" s="863"/>
      <c r="BO853" s="863"/>
      <c r="BP853" s="880"/>
      <c r="BQ853" s="863"/>
      <c r="BR853" s="883"/>
      <c r="BS853" s="883"/>
      <c r="BT853" s="883"/>
      <c r="BU853" s="883"/>
      <c r="BV853" s="883"/>
      <c r="BW853" s="883"/>
      <c r="BX853" s="883"/>
      <c r="BY853" s="883"/>
      <c r="BZ853" s="883"/>
      <c r="CA853" s="883"/>
      <c r="CB853" s="883"/>
      <c r="CC853" s="883"/>
      <c r="CD853" s="884"/>
      <c r="CE853" s="883"/>
      <c r="CF853" s="883"/>
      <c r="CG853" s="883"/>
      <c r="CH853" s="883"/>
      <c r="CI853" s="883"/>
      <c r="CJ853" s="883"/>
      <c r="CK853" s="883"/>
      <c r="CL853" s="883"/>
      <c r="CM853" s="883"/>
      <c r="CN853" s="883"/>
      <c r="CO853" s="883"/>
      <c r="CP853" s="883"/>
      <c r="CQ853" s="883"/>
      <c r="CR853" s="883"/>
      <c r="CS853" s="883"/>
      <c r="CT853" s="883"/>
      <c r="CU853" s="883"/>
      <c r="CV853" s="863"/>
      <c r="CW853" s="863"/>
      <c r="CX853" s="863"/>
      <c r="CY853" s="863"/>
      <c r="CZ853" s="863"/>
      <c r="DA853" s="863"/>
      <c r="DB853" s="863"/>
      <c r="DC853" s="863"/>
      <c r="DD853" s="863"/>
      <c r="DE853" s="863"/>
    </row>
    <row r="854">
      <c r="A854" s="876"/>
      <c r="B854" s="876"/>
      <c r="C854" s="876"/>
      <c r="D854" s="876"/>
      <c r="E854" s="876"/>
      <c r="F854" s="876"/>
      <c r="G854" s="876"/>
      <c r="H854" s="876"/>
      <c r="I854" s="876"/>
      <c r="J854" s="876"/>
      <c r="K854" s="876"/>
      <c r="L854" s="876"/>
      <c r="M854" s="876"/>
      <c r="N854" s="877"/>
      <c r="O854" s="876"/>
      <c r="P854" s="876"/>
      <c r="Q854" s="876"/>
      <c r="R854" s="876"/>
      <c r="S854" s="876"/>
      <c r="T854" s="876"/>
      <c r="U854" s="876"/>
      <c r="V854" s="876"/>
      <c r="W854" s="876"/>
      <c r="X854" s="876"/>
      <c r="Y854" s="876"/>
      <c r="Z854" s="876"/>
      <c r="AA854" s="876"/>
      <c r="AB854" s="876"/>
      <c r="AC854" s="876"/>
      <c r="AD854" s="876"/>
      <c r="AE854" s="876"/>
      <c r="AF854" s="876"/>
      <c r="AG854" s="876"/>
      <c r="AH854" s="876"/>
      <c r="AI854" s="878"/>
      <c r="AJ854" s="880"/>
      <c r="AK854" s="880"/>
      <c r="AL854" s="880"/>
      <c r="AM854" s="880"/>
      <c r="AN854" s="880"/>
      <c r="AO854" s="880"/>
      <c r="AP854" s="880"/>
      <c r="AQ854" s="880"/>
      <c r="AR854" s="880"/>
      <c r="AS854" s="880"/>
      <c r="AT854" s="880"/>
      <c r="AU854" s="880"/>
      <c r="AV854" s="880"/>
      <c r="AW854" s="881"/>
      <c r="AX854" s="863"/>
      <c r="AY854" s="863"/>
      <c r="AZ854" s="863"/>
      <c r="BA854" s="863"/>
      <c r="BB854" s="863"/>
      <c r="BC854" s="863"/>
      <c r="BD854" s="863"/>
      <c r="BE854" s="863"/>
      <c r="BF854" s="863"/>
      <c r="BG854" s="863"/>
      <c r="BH854" s="863"/>
      <c r="BI854" s="863"/>
      <c r="BJ854" s="863"/>
      <c r="BK854" s="863"/>
      <c r="BL854" s="863"/>
      <c r="BM854" s="863"/>
      <c r="BN854" s="863"/>
      <c r="BO854" s="863"/>
      <c r="BP854" s="880"/>
      <c r="BQ854" s="863"/>
      <c r="BR854" s="883"/>
      <c r="BS854" s="883"/>
      <c r="BT854" s="883"/>
      <c r="BU854" s="883"/>
      <c r="BV854" s="883"/>
      <c r="BW854" s="883"/>
      <c r="BX854" s="883"/>
      <c r="BY854" s="883"/>
      <c r="BZ854" s="883"/>
      <c r="CA854" s="883"/>
      <c r="CB854" s="883"/>
      <c r="CC854" s="883"/>
      <c r="CD854" s="884"/>
      <c r="CE854" s="883"/>
      <c r="CF854" s="883"/>
      <c r="CG854" s="883"/>
      <c r="CH854" s="883"/>
      <c r="CI854" s="883"/>
      <c r="CJ854" s="883"/>
      <c r="CK854" s="883"/>
      <c r="CL854" s="883"/>
      <c r="CM854" s="883"/>
      <c r="CN854" s="883"/>
      <c r="CO854" s="883"/>
      <c r="CP854" s="883"/>
      <c r="CQ854" s="883"/>
      <c r="CR854" s="883"/>
      <c r="CS854" s="883"/>
      <c r="CT854" s="883"/>
      <c r="CU854" s="883"/>
      <c r="CV854" s="863"/>
      <c r="CW854" s="863"/>
      <c r="CX854" s="863"/>
      <c r="CY854" s="863"/>
      <c r="CZ854" s="863"/>
      <c r="DA854" s="863"/>
      <c r="DB854" s="863"/>
      <c r="DC854" s="863"/>
      <c r="DD854" s="863"/>
      <c r="DE854" s="863"/>
    </row>
    <row r="855">
      <c r="A855" s="876"/>
      <c r="B855" s="876"/>
      <c r="C855" s="876"/>
      <c r="D855" s="876"/>
      <c r="E855" s="876"/>
      <c r="F855" s="876"/>
      <c r="G855" s="876"/>
      <c r="H855" s="876"/>
      <c r="I855" s="876"/>
      <c r="J855" s="876"/>
      <c r="K855" s="876"/>
      <c r="L855" s="876"/>
      <c r="M855" s="876"/>
      <c r="N855" s="877"/>
      <c r="O855" s="876"/>
      <c r="P855" s="876"/>
      <c r="Q855" s="876"/>
      <c r="R855" s="876"/>
      <c r="S855" s="876"/>
      <c r="T855" s="876"/>
      <c r="U855" s="876"/>
      <c r="V855" s="876"/>
      <c r="W855" s="876"/>
      <c r="X855" s="876"/>
      <c r="Y855" s="876"/>
      <c r="Z855" s="876"/>
      <c r="AA855" s="876"/>
      <c r="AB855" s="876"/>
      <c r="AC855" s="876"/>
      <c r="AD855" s="876"/>
      <c r="AE855" s="876"/>
      <c r="AF855" s="876"/>
      <c r="AG855" s="876"/>
      <c r="AH855" s="876"/>
      <c r="AI855" s="878"/>
      <c r="AJ855" s="880"/>
      <c r="AK855" s="880"/>
      <c r="AL855" s="880"/>
      <c r="AM855" s="880"/>
      <c r="AN855" s="880"/>
      <c r="AO855" s="880"/>
      <c r="AP855" s="880"/>
      <c r="AQ855" s="880"/>
      <c r="AR855" s="880"/>
      <c r="AS855" s="880"/>
      <c r="AT855" s="880"/>
      <c r="AU855" s="880"/>
      <c r="AV855" s="880"/>
      <c r="AW855" s="881"/>
      <c r="AX855" s="863"/>
      <c r="AY855" s="863"/>
      <c r="AZ855" s="863"/>
      <c r="BA855" s="863"/>
      <c r="BB855" s="863"/>
      <c r="BC855" s="863"/>
      <c r="BD855" s="863"/>
      <c r="BE855" s="863"/>
      <c r="BF855" s="863"/>
      <c r="BG855" s="863"/>
      <c r="BH855" s="863"/>
      <c r="BI855" s="863"/>
      <c r="BJ855" s="863"/>
      <c r="BK855" s="863"/>
      <c r="BL855" s="863"/>
      <c r="BM855" s="863"/>
      <c r="BN855" s="863"/>
      <c r="BO855" s="863"/>
      <c r="BP855" s="880"/>
      <c r="BQ855" s="863"/>
      <c r="BR855" s="883"/>
      <c r="BS855" s="883"/>
      <c r="BT855" s="883"/>
      <c r="BU855" s="883"/>
      <c r="BV855" s="883"/>
      <c r="BW855" s="883"/>
      <c r="BX855" s="883"/>
      <c r="BY855" s="883"/>
      <c r="BZ855" s="883"/>
      <c r="CA855" s="883"/>
      <c r="CB855" s="883"/>
      <c r="CC855" s="883"/>
      <c r="CD855" s="884"/>
      <c r="CE855" s="883"/>
      <c r="CF855" s="883"/>
      <c r="CG855" s="883"/>
      <c r="CH855" s="883"/>
      <c r="CI855" s="883"/>
      <c r="CJ855" s="883"/>
      <c r="CK855" s="883"/>
      <c r="CL855" s="883"/>
      <c r="CM855" s="883"/>
      <c r="CN855" s="883"/>
      <c r="CO855" s="883"/>
      <c r="CP855" s="883"/>
      <c r="CQ855" s="883"/>
      <c r="CR855" s="883"/>
      <c r="CS855" s="883"/>
      <c r="CT855" s="883"/>
      <c r="CU855" s="883"/>
      <c r="CV855" s="863"/>
      <c r="CW855" s="863"/>
      <c r="CX855" s="863"/>
      <c r="CY855" s="863"/>
      <c r="CZ855" s="863"/>
      <c r="DA855" s="863"/>
      <c r="DB855" s="863"/>
      <c r="DC855" s="863"/>
      <c r="DD855" s="863"/>
      <c r="DE855" s="863"/>
    </row>
    <row r="856">
      <c r="A856" s="876"/>
      <c r="B856" s="876"/>
      <c r="C856" s="876"/>
      <c r="D856" s="876"/>
      <c r="E856" s="876"/>
      <c r="F856" s="876"/>
      <c r="G856" s="876"/>
      <c r="H856" s="876"/>
      <c r="I856" s="876"/>
      <c r="J856" s="876"/>
      <c r="K856" s="876"/>
      <c r="L856" s="876"/>
      <c r="M856" s="876"/>
      <c r="N856" s="877"/>
      <c r="O856" s="876"/>
      <c r="P856" s="876"/>
      <c r="Q856" s="876"/>
      <c r="R856" s="876"/>
      <c r="S856" s="876"/>
      <c r="T856" s="876"/>
      <c r="U856" s="876"/>
      <c r="V856" s="876"/>
      <c r="W856" s="876"/>
      <c r="X856" s="876"/>
      <c r="Y856" s="876"/>
      <c r="Z856" s="876"/>
      <c r="AA856" s="876"/>
      <c r="AB856" s="876"/>
      <c r="AC856" s="876"/>
      <c r="AD856" s="876"/>
      <c r="AE856" s="876"/>
      <c r="AF856" s="876"/>
      <c r="AG856" s="876"/>
      <c r="AH856" s="876"/>
      <c r="AI856" s="878"/>
      <c r="AJ856" s="880"/>
      <c r="AK856" s="880"/>
      <c r="AL856" s="880"/>
      <c r="AM856" s="880"/>
      <c r="AN856" s="880"/>
      <c r="AO856" s="880"/>
      <c r="AP856" s="880"/>
      <c r="AQ856" s="880"/>
      <c r="AR856" s="880"/>
      <c r="AS856" s="880"/>
      <c r="AT856" s="880"/>
      <c r="AU856" s="880"/>
      <c r="AV856" s="880"/>
      <c r="AW856" s="881"/>
      <c r="AX856" s="863"/>
      <c r="AY856" s="863"/>
      <c r="AZ856" s="863"/>
      <c r="BA856" s="863"/>
      <c r="BB856" s="863"/>
      <c r="BC856" s="863"/>
      <c r="BD856" s="863"/>
      <c r="BE856" s="863"/>
      <c r="BF856" s="863"/>
      <c r="BG856" s="863"/>
      <c r="BH856" s="863"/>
      <c r="BI856" s="863"/>
      <c r="BJ856" s="863"/>
      <c r="BK856" s="863"/>
      <c r="BL856" s="863"/>
      <c r="BM856" s="863"/>
      <c r="BN856" s="863"/>
      <c r="BO856" s="863"/>
      <c r="BP856" s="880"/>
      <c r="BQ856" s="863"/>
      <c r="BR856" s="883"/>
      <c r="BS856" s="883"/>
      <c r="BT856" s="883"/>
      <c r="BU856" s="883"/>
      <c r="BV856" s="883"/>
      <c r="BW856" s="883"/>
      <c r="BX856" s="883"/>
      <c r="BY856" s="883"/>
      <c r="BZ856" s="883"/>
      <c r="CA856" s="883"/>
      <c r="CB856" s="883"/>
      <c r="CC856" s="883"/>
      <c r="CD856" s="884"/>
      <c r="CE856" s="883"/>
      <c r="CF856" s="883"/>
      <c r="CG856" s="883"/>
      <c r="CH856" s="883"/>
      <c r="CI856" s="883"/>
      <c r="CJ856" s="883"/>
      <c r="CK856" s="883"/>
      <c r="CL856" s="883"/>
      <c r="CM856" s="883"/>
      <c r="CN856" s="883"/>
      <c r="CO856" s="883"/>
      <c r="CP856" s="883"/>
      <c r="CQ856" s="883"/>
      <c r="CR856" s="883"/>
      <c r="CS856" s="883"/>
      <c r="CT856" s="883"/>
      <c r="CU856" s="883"/>
      <c r="CV856" s="863"/>
      <c r="CW856" s="863"/>
      <c r="CX856" s="863"/>
      <c r="CY856" s="863"/>
      <c r="CZ856" s="863"/>
      <c r="DA856" s="863"/>
      <c r="DB856" s="863"/>
      <c r="DC856" s="863"/>
      <c r="DD856" s="863"/>
      <c r="DE856" s="863"/>
    </row>
    <row r="857">
      <c r="A857" s="876"/>
      <c r="B857" s="876"/>
      <c r="C857" s="876"/>
      <c r="D857" s="876"/>
      <c r="E857" s="876"/>
      <c r="F857" s="876"/>
      <c r="G857" s="876"/>
      <c r="H857" s="876"/>
      <c r="I857" s="876"/>
      <c r="J857" s="876"/>
      <c r="K857" s="876"/>
      <c r="L857" s="876"/>
      <c r="M857" s="876"/>
      <c r="N857" s="877"/>
      <c r="O857" s="876"/>
      <c r="P857" s="876"/>
      <c r="Q857" s="876"/>
      <c r="R857" s="876"/>
      <c r="S857" s="876"/>
      <c r="T857" s="876"/>
      <c r="U857" s="876"/>
      <c r="V857" s="876"/>
      <c r="W857" s="876"/>
      <c r="X857" s="876"/>
      <c r="Y857" s="876"/>
      <c r="Z857" s="876"/>
      <c r="AA857" s="876"/>
      <c r="AB857" s="876"/>
      <c r="AC857" s="876"/>
      <c r="AD857" s="876"/>
      <c r="AE857" s="876"/>
      <c r="AF857" s="876"/>
      <c r="AG857" s="876"/>
      <c r="AH857" s="876"/>
      <c r="AI857" s="878"/>
      <c r="AJ857" s="880"/>
      <c r="AK857" s="880"/>
      <c r="AL857" s="880"/>
      <c r="AM857" s="880"/>
      <c r="AN857" s="880"/>
      <c r="AO857" s="880"/>
      <c r="AP857" s="880"/>
      <c r="AQ857" s="880"/>
      <c r="AR857" s="880"/>
      <c r="AS857" s="880"/>
      <c r="AT857" s="880"/>
      <c r="AU857" s="880"/>
      <c r="AV857" s="880"/>
      <c r="AW857" s="881"/>
      <c r="AX857" s="863"/>
      <c r="AY857" s="863"/>
      <c r="AZ857" s="863"/>
      <c r="BA857" s="863"/>
      <c r="BB857" s="863"/>
      <c r="BC857" s="863"/>
      <c r="BD857" s="863"/>
      <c r="BE857" s="863"/>
      <c r="BF857" s="863"/>
      <c r="BG857" s="863"/>
      <c r="BH857" s="863"/>
      <c r="BI857" s="863"/>
      <c r="BJ857" s="863"/>
      <c r="BK857" s="863"/>
      <c r="BL857" s="863"/>
      <c r="BM857" s="863"/>
      <c r="BN857" s="863"/>
      <c r="BO857" s="863"/>
      <c r="BP857" s="880"/>
      <c r="BQ857" s="863"/>
      <c r="BR857" s="883"/>
      <c r="BS857" s="883"/>
      <c r="BT857" s="883"/>
      <c r="BU857" s="883"/>
      <c r="BV857" s="883"/>
      <c r="BW857" s="883"/>
      <c r="BX857" s="883"/>
      <c r="BY857" s="883"/>
      <c r="BZ857" s="883"/>
      <c r="CA857" s="883"/>
      <c r="CB857" s="883"/>
      <c r="CC857" s="883"/>
      <c r="CD857" s="884"/>
      <c r="CE857" s="883"/>
      <c r="CF857" s="883"/>
      <c r="CG857" s="883"/>
      <c r="CH857" s="883"/>
      <c r="CI857" s="883"/>
      <c r="CJ857" s="883"/>
      <c r="CK857" s="883"/>
      <c r="CL857" s="883"/>
      <c r="CM857" s="883"/>
      <c r="CN857" s="883"/>
      <c r="CO857" s="883"/>
      <c r="CP857" s="883"/>
      <c r="CQ857" s="883"/>
      <c r="CR857" s="883"/>
      <c r="CS857" s="883"/>
      <c r="CT857" s="883"/>
      <c r="CU857" s="883"/>
      <c r="CV857" s="863"/>
      <c r="CW857" s="863"/>
      <c r="CX857" s="863"/>
      <c r="CY857" s="863"/>
      <c r="CZ857" s="863"/>
      <c r="DA857" s="863"/>
      <c r="DB857" s="863"/>
      <c r="DC857" s="863"/>
      <c r="DD857" s="863"/>
      <c r="DE857" s="863"/>
    </row>
    <row r="858">
      <c r="A858" s="876"/>
      <c r="B858" s="876"/>
      <c r="C858" s="876"/>
      <c r="D858" s="876"/>
      <c r="E858" s="876"/>
      <c r="F858" s="876"/>
      <c r="G858" s="876"/>
      <c r="H858" s="876"/>
      <c r="I858" s="876"/>
      <c r="J858" s="876"/>
      <c r="K858" s="876"/>
      <c r="L858" s="876"/>
      <c r="M858" s="876"/>
      <c r="N858" s="877"/>
      <c r="O858" s="876"/>
      <c r="P858" s="876"/>
      <c r="Q858" s="876"/>
      <c r="R858" s="876"/>
      <c r="S858" s="876"/>
      <c r="T858" s="876"/>
      <c r="U858" s="876"/>
      <c r="V858" s="876"/>
      <c r="W858" s="876"/>
      <c r="X858" s="876"/>
      <c r="Y858" s="876"/>
      <c r="Z858" s="876"/>
      <c r="AA858" s="876"/>
      <c r="AB858" s="876"/>
      <c r="AC858" s="876"/>
      <c r="AD858" s="876"/>
      <c r="AE858" s="876"/>
      <c r="AF858" s="876"/>
      <c r="AG858" s="876"/>
      <c r="AH858" s="876"/>
      <c r="AI858" s="878"/>
      <c r="AJ858" s="880"/>
      <c r="AK858" s="880"/>
      <c r="AL858" s="880"/>
      <c r="AM858" s="880"/>
      <c r="AN858" s="880"/>
      <c r="AO858" s="880"/>
      <c r="AP858" s="880"/>
      <c r="AQ858" s="880"/>
      <c r="AR858" s="880"/>
      <c r="AS858" s="880"/>
      <c r="AT858" s="880"/>
      <c r="AU858" s="880"/>
      <c r="AV858" s="880"/>
      <c r="AW858" s="881"/>
      <c r="AX858" s="863"/>
      <c r="AY858" s="863"/>
      <c r="AZ858" s="863"/>
      <c r="BA858" s="863"/>
      <c r="BB858" s="863"/>
      <c r="BC858" s="863"/>
      <c r="BD858" s="863"/>
      <c r="BE858" s="863"/>
      <c r="BF858" s="863"/>
      <c r="BG858" s="863"/>
      <c r="BH858" s="863"/>
      <c r="BI858" s="863"/>
      <c r="BJ858" s="863"/>
      <c r="BK858" s="863"/>
      <c r="BL858" s="863"/>
      <c r="BM858" s="863"/>
      <c r="BN858" s="863"/>
      <c r="BO858" s="863"/>
      <c r="BP858" s="880"/>
      <c r="BQ858" s="863"/>
      <c r="BR858" s="883"/>
      <c r="BS858" s="883"/>
      <c r="BT858" s="883"/>
      <c r="BU858" s="883"/>
      <c r="BV858" s="883"/>
      <c r="BW858" s="883"/>
      <c r="BX858" s="883"/>
      <c r="BY858" s="883"/>
      <c r="BZ858" s="883"/>
      <c r="CA858" s="883"/>
      <c r="CB858" s="883"/>
      <c r="CC858" s="883"/>
      <c r="CD858" s="884"/>
      <c r="CE858" s="883"/>
      <c r="CF858" s="883"/>
      <c r="CG858" s="883"/>
      <c r="CH858" s="883"/>
      <c r="CI858" s="883"/>
      <c r="CJ858" s="883"/>
      <c r="CK858" s="883"/>
      <c r="CL858" s="883"/>
      <c r="CM858" s="883"/>
      <c r="CN858" s="883"/>
      <c r="CO858" s="883"/>
      <c r="CP858" s="883"/>
      <c r="CQ858" s="883"/>
      <c r="CR858" s="883"/>
      <c r="CS858" s="883"/>
      <c r="CT858" s="883"/>
      <c r="CU858" s="883"/>
      <c r="CV858" s="863"/>
      <c r="CW858" s="863"/>
      <c r="CX858" s="863"/>
      <c r="CY858" s="863"/>
      <c r="CZ858" s="863"/>
      <c r="DA858" s="863"/>
      <c r="DB858" s="863"/>
      <c r="DC858" s="863"/>
      <c r="DD858" s="863"/>
      <c r="DE858" s="863"/>
    </row>
    <row r="859">
      <c r="A859" s="876"/>
      <c r="B859" s="876"/>
      <c r="C859" s="876"/>
      <c r="D859" s="876"/>
      <c r="E859" s="876"/>
      <c r="F859" s="876"/>
      <c r="G859" s="876"/>
      <c r="H859" s="876"/>
      <c r="I859" s="876"/>
      <c r="J859" s="876"/>
      <c r="K859" s="876"/>
      <c r="L859" s="876"/>
      <c r="M859" s="876"/>
      <c r="N859" s="877"/>
      <c r="O859" s="876"/>
      <c r="P859" s="876"/>
      <c r="Q859" s="876"/>
      <c r="R859" s="876"/>
      <c r="S859" s="876"/>
      <c r="T859" s="876"/>
      <c r="U859" s="876"/>
      <c r="V859" s="876"/>
      <c r="W859" s="876"/>
      <c r="X859" s="876"/>
      <c r="Y859" s="876"/>
      <c r="Z859" s="876"/>
      <c r="AA859" s="876"/>
      <c r="AB859" s="876"/>
      <c r="AC859" s="876"/>
      <c r="AD859" s="876"/>
      <c r="AE859" s="876"/>
      <c r="AF859" s="876"/>
      <c r="AG859" s="876"/>
      <c r="AH859" s="876"/>
      <c r="AI859" s="878"/>
      <c r="AJ859" s="880"/>
      <c r="AK859" s="880"/>
      <c r="AL859" s="880"/>
      <c r="AM859" s="880"/>
      <c r="AN859" s="880"/>
      <c r="AO859" s="880"/>
      <c r="AP859" s="880"/>
      <c r="AQ859" s="880"/>
      <c r="AR859" s="880"/>
      <c r="AS859" s="880"/>
      <c r="AT859" s="880"/>
      <c r="AU859" s="880"/>
      <c r="AV859" s="880"/>
      <c r="AW859" s="881"/>
      <c r="AX859" s="863"/>
      <c r="AY859" s="863"/>
      <c r="AZ859" s="863"/>
      <c r="BA859" s="863"/>
      <c r="BB859" s="863"/>
      <c r="BC859" s="863"/>
      <c r="BD859" s="863"/>
      <c r="BE859" s="863"/>
      <c r="BF859" s="863"/>
      <c r="BG859" s="863"/>
      <c r="BH859" s="863"/>
      <c r="BI859" s="863"/>
      <c r="BJ859" s="863"/>
      <c r="BK859" s="863"/>
      <c r="BL859" s="863"/>
      <c r="BM859" s="863"/>
      <c r="BN859" s="863"/>
      <c r="BO859" s="863"/>
      <c r="BP859" s="880"/>
      <c r="BQ859" s="863"/>
      <c r="BR859" s="883"/>
      <c r="BS859" s="883"/>
      <c r="BT859" s="883"/>
      <c r="BU859" s="883"/>
      <c r="BV859" s="883"/>
      <c r="BW859" s="883"/>
      <c r="BX859" s="883"/>
      <c r="BY859" s="883"/>
      <c r="BZ859" s="883"/>
      <c r="CA859" s="883"/>
      <c r="CB859" s="883"/>
      <c r="CC859" s="883"/>
      <c r="CD859" s="884"/>
      <c r="CE859" s="883"/>
      <c r="CF859" s="883"/>
      <c r="CG859" s="883"/>
      <c r="CH859" s="883"/>
      <c r="CI859" s="883"/>
      <c r="CJ859" s="883"/>
      <c r="CK859" s="883"/>
      <c r="CL859" s="883"/>
      <c r="CM859" s="883"/>
      <c r="CN859" s="883"/>
      <c r="CO859" s="883"/>
      <c r="CP859" s="883"/>
      <c r="CQ859" s="883"/>
      <c r="CR859" s="883"/>
      <c r="CS859" s="883"/>
      <c r="CT859" s="883"/>
      <c r="CU859" s="883"/>
      <c r="CV859" s="863"/>
      <c r="CW859" s="863"/>
      <c r="CX859" s="863"/>
      <c r="CY859" s="863"/>
      <c r="CZ859" s="863"/>
      <c r="DA859" s="863"/>
      <c r="DB859" s="863"/>
      <c r="DC859" s="863"/>
      <c r="DD859" s="863"/>
      <c r="DE859" s="863"/>
    </row>
    <row r="860">
      <c r="A860" s="876"/>
      <c r="B860" s="876"/>
      <c r="C860" s="876"/>
      <c r="D860" s="876"/>
      <c r="E860" s="876"/>
      <c r="F860" s="876"/>
      <c r="G860" s="876"/>
      <c r="H860" s="876"/>
      <c r="I860" s="876"/>
      <c r="J860" s="876"/>
      <c r="K860" s="876"/>
      <c r="L860" s="876"/>
      <c r="M860" s="876"/>
      <c r="N860" s="877"/>
      <c r="O860" s="876"/>
      <c r="P860" s="876"/>
      <c r="Q860" s="876"/>
      <c r="R860" s="876"/>
      <c r="S860" s="876"/>
      <c r="T860" s="876"/>
      <c r="U860" s="876"/>
      <c r="V860" s="876"/>
      <c r="W860" s="876"/>
      <c r="X860" s="876"/>
      <c r="Y860" s="876"/>
      <c r="Z860" s="876"/>
      <c r="AA860" s="876"/>
      <c r="AB860" s="876"/>
      <c r="AC860" s="876"/>
      <c r="AD860" s="876"/>
      <c r="AE860" s="876"/>
      <c r="AF860" s="876"/>
      <c r="AG860" s="876"/>
      <c r="AH860" s="876"/>
      <c r="AI860" s="878"/>
      <c r="AJ860" s="880"/>
      <c r="AK860" s="880"/>
      <c r="AL860" s="880"/>
      <c r="AM860" s="880"/>
      <c r="AN860" s="880"/>
      <c r="AO860" s="880"/>
      <c r="AP860" s="880"/>
      <c r="AQ860" s="880"/>
      <c r="AR860" s="880"/>
      <c r="AS860" s="880"/>
      <c r="AT860" s="880"/>
      <c r="AU860" s="880"/>
      <c r="AV860" s="880"/>
      <c r="AW860" s="881"/>
      <c r="AX860" s="863"/>
      <c r="AY860" s="863"/>
      <c r="AZ860" s="863"/>
      <c r="BA860" s="863"/>
      <c r="BB860" s="863"/>
      <c r="BC860" s="863"/>
      <c r="BD860" s="863"/>
      <c r="BE860" s="863"/>
      <c r="BF860" s="863"/>
      <c r="BG860" s="863"/>
      <c r="BH860" s="863"/>
      <c r="BI860" s="863"/>
      <c r="BJ860" s="863"/>
      <c r="BK860" s="863"/>
      <c r="BL860" s="863"/>
      <c r="BM860" s="863"/>
      <c r="BN860" s="863"/>
      <c r="BO860" s="863"/>
      <c r="BP860" s="880"/>
      <c r="BQ860" s="863"/>
      <c r="BR860" s="883"/>
      <c r="BS860" s="883"/>
      <c r="BT860" s="883"/>
      <c r="BU860" s="883"/>
      <c r="BV860" s="883"/>
      <c r="BW860" s="883"/>
      <c r="BX860" s="883"/>
      <c r="BY860" s="883"/>
      <c r="BZ860" s="883"/>
      <c r="CA860" s="883"/>
      <c r="CB860" s="883"/>
      <c r="CC860" s="883"/>
      <c r="CD860" s="884"/>
      <c r="CE860" s="883"/>
      <c r="CF860" s="883"/>
      <c r="CG860" s="883"/>
      <c r="CH860" s="883"/>
      <c r="CI860" s="883"/>
      <c r="CJ860" s="883"/>
      <c r="CK860" s="883"/>
      <c r="CL860" s="883"/>
      <c r="CM860" s="883"/>
      <c r="CN860" s="883"/>
      <c r="CO860" s="883"/>
      <c r="CP860" s="883"/>
      <c r="CQ860" s="883"/>
      <c r="CR860" s="883"/>
      <c r="CS860" s="883"/>
      <c r="CT860" s="883"/>
      <c r="CU860" s="883"/>
      <c r="CV860" s="863"/>
      <c r="CW860" s="863"/>
      <c r="CX860" s="863"/>
      <c r="CY860" s="863"/>
      <c r="CZ860" s="863"/>
      <c r="DA860" s="863"/>
      <c r="DB860" s="863"/>
      <c r="DC860" s="863"/>
      <c r="DD860" s="863"/>
      <c r="DE860" s="863"/>
    </row>
    <row r="861">
      <c r="A861" s="876"/>
      <c r="B861" s="876"/>
      <c r="C861" s="876"/>
      <c r="D861" s="876"/>
      <c r="E861" s="876"/>
      <c r="F861" s="876"/>
      <c r="G861" s="876"/>
      <c r="H861" s="876"/>
      <c r="I861" s="876"/>
      <c r="J861" s="876"/>
      <c r="K861" s="876"/>
      <c r="L861" s="876"/>
      <c r="M861" s="876"/>
      <c r="N861" s="877"/>
      <c r="O861" s="876"/>
      <c r="P861" s="876"/>
      <c r="Q861" s="876"/>
      <c r="R861" s="876"/>
      <c r="S861" s="876"/>
      <c r="T861" s="876"/>
      <c r="U861" s="876"/>
      <c r="V861" s="876"/>
      <c r="W861" s="876"/>
      <c r="X861" s="876"/>
      <c r="Y861" s="876"/>
      <c r="Z861" s="876"/>
      <c r="AA861" s="876"/>
      <c r="AB861" s="876"/>
      <c r="AC861" s="876"/>
      <c r="AD861" s="876"/>
      <c r="AE861" s="876"/>
      <c r="AF861" s="876"/>
      <c r="AG861" s="876"/>
      <c r="AH861" s="876"/>
      <c r="AI861" s="878"/>
      <c r="AJ861" s="880"/>
      <c r="AK861" s="880"/>
      <c r="AL861" s="880"/>
      <c r="AM861" s="880"/>
      <c r="AN861" s="880"/>
      <c r="AO861" s="880"/>
      <c r="AP861" s="880"/>
      <c r="AQ861" s="880"/>
      <c r="AR861" s="880"/>
      <c r="AS861" s="880"/>
      <c r="AT861" s="880"/>
      <c r="AU861" s="880"/>
      <c r="AV861" s="880"/>
      <c r="AW861" s="881"/>
      <c r="AX861" s="863"/>
      <c r="AY861" s="863"/>
      <c r="AZ861" s="863"/>
      <c r="BA861" s="863"/>
      <c r="BB861" s="863"/>
      <c r="BC861" s="863"/>
      <c r="BD861" s="863"/>
      <c r="BE861" s="863"/>
      <c r="BF861" s="863"/>
      <c r="BG861" s="863"/>
      <c r="BH861" s="863"/>
      <c r="BI861" s="863"/>
      <c r="BJ861" s="863"/>
      <c r="BK861" s="863"/>
      <c r="BL861" s="863"/>
      <c r="BM861" s="863"/>
      <c r="BN861" s="863"/>
      <c r="BO861" s="863"/>
      <c r="BP861" s="880"/>
      <c r="BQ861" s="863"/>
      <c r="BR861" s="883"/>
      <c r="BS861" s="883"/>
      <c r="BT861" s="883"/>
      <c r="BU861" s="883"/>
      <c r="BV861" s="883"/>
      <c r="BW861" s="883"/>
      <c r="BX861" s="883"/>
      <c r="BY861" s="883"/>
      <c r="BZ861" s="883"/>
      <c r="CA861" s="883"/>
      <c r="CB861" s="883"/>
      <c r="CC861" s="883"/>
      <c r="CD861" s="884"/>
      <c r="CE861" s="883"/>
      <c r="CF861" s="883"/>
      <c r="CG861" s="883"/>
      <c r="CH861" s="883"/>
      <c r="CI861" s="883"/>
      <c r="CJ861" s="883"/>
      <c r="CK861" s="883"/>
      <c r="CL861" s="883"/>
      <c r="CM861" s="883"/>
      <c r="CN861" s="883"/>
      <c r="CO861" s="883"/>
      <c r="CP861" s="883"/>
      <c r="CQ861" s="883"/>
      <c r="CR861" s="883"/>
      <c r="CS861" s="883"/>
      <c r="CT861" s="883"/>
      <c r="CU861" s="883"/>
      <c r="CV861" s="863"/>
      <c r="CW861" s="863"/>
      <c r="CX861" s="863"/>
      <c r="CY861" s="863"/>
      <c r="CZ861" s="863"/>
      <c r="DA861" s="863"/>
      <c r="DB861" s="863"/>
      <c r="DC861" s="863"/>
      <c r="DD861" s="863"/>
      <c r="DE861" s="863"/>
    </row>
    <row r="862">
      <c r="A862" s="876"/>
      <c r="B862" s="876"/>
      <c r="C862" s="876"/>
      <c r="D862" s="876"/>
      <c r="E862" s="876"/>
      <c r="F862" s="876"/>
      <c r="G862" s="876"/>
      <c r="H862" s="876"/>
      <c r="I862" s="876"/>
      <c r="J862" s="876"/>
      <c r="K862" s="876"/>
      <c r="L862" s="876"/>
      <c r="M862" s="876"/>
      <c r="N862" s="877"/>
      <c r="O862" s="876"/>
      <c r="P862" s="876"/>
      <c r="Q862" s="876"/>
      <c r="R862" s="876"/>
      <c r="S862" s="876"/>
      <c r="T862" s="876"/>
      <c r="U862" s="876"/>
      <c r="V862" s="876"/>
      <c r="W862" s="876"/>
      <c r="X862" s="876"/>
      <c r="Y862" s="876"/>
      <c r="Z862" s="876"/>
      <c r="AA862" s="876"/>
      <c r="AB862" s="876"/>
      <c r="AC862" s="876"/>
      <c r="AD862" s="876"/>
      <c r="AE862" s="876"/>
      <c r="AF862" s="876"/>
      <c r="AG862" s="876"/>
      <c r="AH862" s="876"/>
      <c r="AI862" s="878"/>
      <c r="AJ862" s="880"/>
      <c r="AK862" s="880"/>
      <c r="AL862" s="880"/>
      <c r="AM862" s="880"/>
      <c r="AN862" s="880"/>
      <c r="AO862" s="880"/>
      <c r="AP862" s="880"/>
      <c r="AQ862" s="880"/>
      <c r="AR862" s="880"/>
      <c r="AS862" s="880"/>
      <c r="AT862" s="880"/>
      <c r="AU862" s="880"/>
      <c r="AV862" s="880"/>
      <c r="AW862" s="881"/>
      <c r="AX862" s="863"/>
      <c r="AY862" s="863"/>
      <c r="AZ862" s="863"/>
      <c r="BA862" s="863"/>
      <c r="BB862" s="863"/>
      <c r="BC862" s="863"/>
      <c r="BD862" s="863"/>
      <c r="BE862" s="863"/>
      <c r="BF862" s="863"/>
      <c r="BG862" s="863"/>
      <c r="BH862" s="863"/>
      <c r="BI862" s="863"/>
      <c r="BJ862" s="863"/>
      <c r="BK862" s="863"/>
      <c r="BL862" s="863"/>
      <c r="BM862" s="863"/>
      <c r="BN862" s="863"/>
      <c r="BO862" s="863"/>
      <c r="BP862" s="880"/>
      <c r="BQ862" s="863"/>
      <c r="BR862" s="883"/>
      <c r="BS862" s="883"/>
      <c r="BT862" s="883"/>
      <c r="BU862" s="883"/>
      <c r="BV862" s="883"/>
      <c r="BW862" s="883"/>
      <c r="BX862" s="883"/>
      <c r="BY862" s="883"/>
      <c r="BZ862" s="883"/>
      <c r="CA862" s="883"/>
      <c r="CB862" s="883"/>
      <c r="CC862" s="883"/>
      <c r="CD862" s="884"/>
      <c r="CE862" s="883"/>
      <c r="CF862" s="883"/>
      <c r="CG862" s="883"/>
      <c r="CH862" s="883"/>
      <c r="CI862" s="883"/>
      <c r="CJ862" s="883"/>
      <c r="CK862" s="883"/>
      <c r="CL862" s="883"/>
      <c r="CM862" s="883"/>
      <c r="CN862" s="883"/>
      <c r="CO862" s="883"/>
      <c r="CP862" s="883"/>
      <c r="CQ862" s="883"/>
      <c r="CR862" s="883"/>
      <c r="CS862" s="883"/>
      <c r="CT862" s="883"/>
      <c r="CU862" s="883"/>
      <c r="CV862" s="863"/>
      <c r="CW862" s="863"/>
      <c r="CX862" s="863"/>
      <c r="CY862" s="863"/>
      <c r="CZ862" s="863"/>
      <c r="DA862" s="863"/>
      <c r="DB862" s="863"/>
      <c r="DC862" s="863"/>
      <c r="DD862" s="863"/>
      <c r="DE862" s="863"/>
    </row>
    <row r="863">
      <c r="A863" s="876"/>
      <c r="B863" s="876"/>
      <c r="C863" s="876"/>
      <c r="D863" s="876"/>
      <c r="E863" s="876"/>
      <c r="F863" s="876"/>
      <c r="G863" s="876"/>
      <c r="H863" s="876"/>
      <c r="I863" s="876"/>
      <c r="J863" s="876"/>
      <c r="K863" s="876"/>
      <c r="L863" s="876"/>
      <c r="M863" s="876"/>
      <c r="N863" s="877"/>
      <c r="O863" s="876"/>
      <c r="P863" s="876"/>
      <c r="Q863" s="876"/>
      <c r="R863" s="876"/>
      <c r="S863" s="876"/>
      <c r="T863" s="876"/>
      <c r="U863" s="876"/>
      <c r="V863" s="876"/>
      <c r="W863" s="876"/>
      <c r="X863" s="876"/>
      <c r="Y863" s="876"/>
      <c r="Z863" s="876"/>
      <c r="AA863" s="876"/>
      <c r="AB863" s="876"/>
      <c r="AC863" s="876"/>
      <c r="AD863" s="876"/>
      <c r="AE863" s="876"/>
      <c r="AF863" s="876"/>
      <c r="AG863" s="876"/>
      <c r="AH863" s="876"/>
      <c r="AI863" s="878"/>
      <c r="AJ863" s="880"/>
      <c r="AK863" s="880"/>
      <c r="AL863" s="880"/>
      <c r="AM863" s="880"/>
      <c r="AN863" s="880"/>
      <c r="AO863" s="880"/>
      <c r="AP863" s="880"/>
      <c r="AQ863" s="880"/>
      <c r="AR863" s="880"/>
      <c r="AS863" s="880"/>
      <c r="AT863" s="880"/>
      <c r="AU863" s="880"/>
      <c r="AV863" s="880"/>
      <c r="AW863" s="881"/>
      <c r="AX863" s="863"/>
      <c r="AY863" s="863"/>
      <c r="AZ863" s="863"/>
      <c r="BA863" s="863"/>
      <c r="BB863" s="863"/>
      <c r="BC863" s="863"/>
      <c r="BD863" s="863"/>
      <c r="BE863" s="863"/>
      <c r="BF863" s="863"/>
      <c r="BG863" s="863"/>
      <c r="BH863" s="863"/>
      <c r="BI863" s="863"/>
      <c r="BJ863" s="863"/>
      <c r="BK863" s="863"/>
      <c r="BL863" s="863"/>
      <c r="BM863" s="863"/>
      <c r="BN863" s="863"/>
      <c r="BO863" s="863"/>
      <c r="BP863" s="880"/>
      <c r="BQ863" s="863"/>
      <c r="BR863" s="883"/>
      <c r="BS863" s="883"/>
      <c r="BT863" s="883"/>
      <c r="BU863" s="883"/>
      <c r="BV863" s="883"/>
      <c r="BW863" s="883"/>
      <c r="BX863" s="883"/>
      <c r="BY863" s="883"/>
      <c r="BZ863" s="883"/>
      <c r="CA863" s="883"/>
      <c r="CB863" s="883"/>
      <c r="CC863" s="883"/>
      <c r="CD863" s="884"/>
      <c r="CE863" s="883"/>
      <c r="CF863" s="883"/>
      <c r="CG863" s="883"/>
      <c r="CH863" s="883"/>
      <c r="CI863" s="883"/>
      <c r="CJ863" s="883"/>
      <c r="CK863" s="883"/>
      <c r="CL863" s="883"/>
      <c r="CM863" s="883"/>
      <c r="CN863" s="883"/>
      <c r="CO863" s="883"/>
      <c r="CP863" s="883"/>
      <c r="CQ863" s="883"/>
      <c r="CR863" s="883"/>
      <c r="CS863" s="883"/>
      <c r="CT863" s="883"/>
      <c r="CU863" s="883"/>
      <c r="CV863" s="863"/>
      <c r="CW863" s="863"/>
      <c r="CX863" s="863"/>
      <c r="CY863" s="863"/>
      <c r="CZ863" s="863"/>
      <c r="DA863" s="863"/>
      <c r="DB863" s="863"/>
      <c r="DC863" s="863"/>
      <c r="DD863" s="863"/>
      <c r="DE863" s="863"/>
    </row>
    <row r="864">
      <c r="A864" s="876"/>
      <c r="B864" s="876"/>
      <c r="C864" s="876"/>
      <c r="D864" s="876"/>
      <c r="E864" s="876"/>
      <c r="F864" s="876"/>
      <c r="G864" s="876"/>
      <c r="H864" s="876"/>
      <c r="I864" s="876"/>
      <c r="J864" s="876"/>
      <c r="K864" s="876"/>
      <c r="L864" s="876"/>
      <c r="M864" s="876"/>
      <c r="N864" s="877"/>
      <c r="O864" s="876"/>
      <c r="P864" s="876"/>
      <c r="Q864" s="876"/>
      <c r="R864" s="876"/>
      <c r="S864" s="876"/>
      <c r="T864" s="876"/>
      <c r="U864" s="876"/>
      <c r="V864" s="876"/>
      <c r="W864" s="876"/>
      <c r="X864" s="876"/>
      <c r="Y864" s="876"/>
      <c r="Z864" s="876"/>
      <c r="AA864" s="876"/>
      <c r="AB864" s="876"/>
      <c r="AC864" s="876"/>
      <c r="AD864" s="876"/>
      <c r="AE864" s="876"/>
      <c r="AF864" s="876"/>
      <c r="AG864" s="876"/>
      <c r="AH864" s="876"/>
      <c r="AI864" s="878"/>
      <c r="AJ864" s="880"/>
      <c r="AK864" s="880"/>
      <c r="AL864" s="880"/>
      <c r="AM864" s="880"/>
      <c r="AN864" s="880"/>
      <c r="AO864" s="880"/>
      <c r="AP864" s="880"/>
      <c r="AQ864" s="880"/>
      <c r="AR864" s="880"/>
      <c r="AS864" s="880"/>
      <c r="AT864" s="880"/>
      <c r="AU864" s="880"/>
      <c r="AV864" s="880"/>
      <c r="AW864" s="881"/>
      <c r="AX864" s="863"/>
      <c r="AY864" s="863"/>
      <c r="AZ864" s="863"/>
      <c r="BA864" s="863"/>
      <c r="BB864" s="863"/>
      <c r="BC864" s="863"/>
      <c r="BD864" s="863"/>
      <c r="BE864" s="863"/>
      <c r="BF864" s="863"/>
      <c r="BG864" s="863"/>
      <c r="BH864" s="863"/>
      <c r="BI864" s="863"/>
      <c r="BJ864" s="863"/>
      <c r="BK864" s="863"/>
      <c r="BL864" s="863"/>
      <c r="BM864" s="863"/>
      <c r="BN864" s="863"/>
      <c r="BO864" s="863"/>
      <c r="BP864" s="880"/>
      <c r="BQ864" s="863"/>
      <c r="BR864" s="883"/>
      <c r="BS864" s="883"/>
      <c r="BT864" s="883"/>
      <c r="BU864" s="883"/>
      <c r="BV864" s="883"/>
      <c r="BW864" s="883"/>
      <c r="BX864" s="883"/>
      <c r="BY864" s="883"/>
      <c r="BZ864" s="883"/>
      <c r="CA864" s="883"/>
      <c r="CB864" s="883"/>
      <c r="CC864" s="883"/>
      <c r="CD864" s="884"/>
      <c r="CE864" s="883"/>
      <c r="CF864" s="883"/>
      <c r="CG864" s="883"/>
      <c r="CH864" s="883"/>
      <c r="CI864" s="883"/>
      <c r="CJ864" s="883"/>
      <c r="CK864" s="883"/>
      <c r="CL864" s="883"/>
      <c r="CM864" s="883"/>
      <c r="CN864" s="883"/>
      <c r="CO864" s="883"/>
      <c r="CP864" s="883"/>
      <c r="CQ864" s="883"/>
      <c r="CR864" s="883"/>
      <c r="CS864" s="883"/>
      <c r="CT864" s="883"/>
      <c r="CU864" s="883"/>
      <c r="CV864" s="863"/>
      <c r="CW864" s="863"/>
      <c r="CX864" s="863"/>
      <c r="CY864" s="863"/>
      <c r="CZ864" s="863"/>
      <c r="DA864" s="863"/>
      <c r="DB864" s="863"/>
      <c r="DC864" s="863"/>
      <c r="DD864" s="863"/>
      <c r="DE864" s="863"/>
    </row>
    <row r="865">
      <c r="A865" s="876"/>
      <c r="B865" s="876"/>
      <c r="C865" s="876"/>
      <c r="D865" s="876"/>
      <c r="E865" s="876"/>
      <c r="F865" s="876"/>
      <c r="G865" s="876"/>
      <c r="H865" s="876"/>
      <c r="I865" s="876"/>
      <c r="J865" s="876"/>
      <c r="K865" s="876"/>
      <c r="L865" s="876"/>
      <c r="M865" s="876"/>
      <c r="N865" s="877"/>
      <c r="O865" s="876"/>
      <c r="P865" s="876"/>
      <c r="Q865" s="876"/>
      <c r="R865" s="876"/>
      <c r="S865" s="876"/>
      <c r="T865" s="876"/>
      <c r="U865" s="876"/>
      <c r="V865" s="876"/>
      <c r="W865" s="876"/>
      <c r="X865" s="876"/>
      <c r="Y865" s="876"/>
      <c r="Z865" s="876"/>
      <c r="AA865" s="876"/>
      <c r="AB865" s="876"/>
      <c r="AC865" s="876"/>
      <c r="AD865" s="876"/>
      <c r="AE865" s="876"/>
      <c r="AF865" s="876"/>
      <c r="AG865" s="876"/>
      <c r="AH865" s="876"/>
      <c r="AI865" s="878"/>
      <c r="AJ865" s="880"/>
      <c r="AK865" s="880"/>
      <c r="AL865" s="880"/>
      <c r="AM865" s="880"/>
      <c r="AN865" s="880"/>
      <c r="AO865" s="880"/>
      <c r="AP865" s="880"/>
      <c r="AQ865" s="880"/>
      <c r="AR865" s="880"/>
      <c r="AS865" s="880"/>
      <c r="AT865" s="880"/>
      <c r="AU865" s="880"/>
      <c r="AV865" s="880"/>
      <c r="AW865" s="881"/>
      <c r="AX865" s="863"/>
      <c r="AY865" s="863"/>
      <c r="AZ865" s="863"/>
      <c r="BA865" s="863"/>
      <c r="BB865" s="863"/>
      <c r="BC865" s="863"/>
      <c r="BD865" s="863"/>
      <c r="BE865" s="863"/>
      <c r="BF865" s="863"/>
      <c r="BG865" s="863"/>
      <c r="BH865" s="863"/>
      <c r="BI865" s="863"/>
      <c r="BJ865" s="863"/>
      <c r="BK865" s="863"/>
      <c r="BL865" s="863"/>
      <c r="BM865" s="863"/>
      <c r="BN865" s="863"/>
      <c r="BO865" s="863"/>
      <c r="BP865" s="880"/>
      <c r="BQ865" s="863"/>
      <c r="BR865" s="883"/>
      <c r="BS865" s="883"/>
      <c r="BT865" s="883"/>
      <c r="BU865" s="883"/>
      <c r="BV865" s="883"/>
      <c r="BW865" s="883"/>
      <c r="BX865" s="883"/>
      <c r="BY865" s="883"/>
      <c r="BZ865" s="883"/>
      <c r="CA865" s="883"/>
      <c r="CB865" s="883"/>
      <c r="CC865" s="883"/>
      <c r="CD865" s="884"/>
      <c r="CE865" s="883"/>
      <c r="CF865" s="883"/>
      <c r="CG865" s="883"/>
      <c r="CH865" s="883"/>
      <c r="CI865" s="883"/>
      <c r="CJ865" s="883"/>
      <c r="CK865" s="883"/>
      <c r="CL865" s="883"/>
      <c r="CM865" s="883"/>
      <c r="CN865" s="883"/>
      <c r="CO865" s="883"/>
      <c r="CP865" s="883"/>
      <c r="CQ865" s="883"/>
      <c r="CR865" s="883"/>
      <c r="CS865" s="883"/>
      <c r="CT865" s="883"/>
      <c r="CU865" s="883"/>
      <c r="CV865" s="863"/>
      <c r="CW865" s="863"/>
      <c r="CX865" s="863"/>
      <c r="CY865" s="863"/>
      <c r="CZ865" s="863"/>
      <c r="DA865" s="863"/>
      <c r="DB865" s="863"/>
      <c r="DC865" s="863"/>
      <c r="DD865" s="863"/>
      <c r="DE865" s="863"/>
    </row>
    <row r="866">
      <c r="A866" s="876"/>
      <c r="B866" s="876"/>
      <c r="C866" s="876"/>
      <c r="D866" s="876"/>
      <c r="E866" s="876"/>
      <c r="F866" s="876"/>
      <c r="G866" s="876"/>
      <c r="H866" s="876"/>
      <c r="I866" s="876"/>
      <c r="J866" s="876"/>
      <c r="K866" s="876"/>
      <c r="L866" s="876"/>
      <c r="M866" s="876"/>
      <c r="N866" s="877"/>
      <c r="O866" s="876"/>
      <c r="P866" s="876"/>
      <c r="Q866" s="876"/>
      <c r="R866" s="876"/>
      <c r="S866" s="876"/>
      <c r="T866" s="876"/>
      <c r="U866" s="876"/>
      <c r="V866" s="876"/>
      <c r="W866" s="876"/>
      <c r="X866" s="876"/>
      <c r="Y866" s="876"/>
      <c r="Z866" s="876"/>
      <c r="AA866" s="876"/>
      <c r="AB866" s="876"/>
      <c r="AC866" s="876"/>
      <c r="AD866" s="876"/>
      <c r="AE866" s="876"/>
      <c r="AF866" s="876"/>
      <c r="AG866" s="876"/>
      <c r="AH866" s="876"/>
      <c r="AI866" s="878"/>
      <c r="AJ866" s="880"/>
      <c r="AK866" s="880"/>
      <c r="AL866" s="880"/>
      <c r="AM866" s="880"/>
      <c r="AN866" s="880"/>
      <c r="AO866" s="880"/>
      <c r="AP866" s="880"/>
      <c r="AQ866" s="880"/>
      <c r="AR866" s="880"/>
      <c r="AS866" s="880"/>
      <c r="AT866" s="880"/>
      <c r="AU866" s="880"/>
      <c r="AV866" s="880"/>
      <c r="AW866" s="881"/>
      <c r="AX866" s="863"/>
      <c r="AY866" s="863"/>
      <c r="AZ866" s="863"/>
      <c r="BA866" s="863"/>
      <c r="BB866" s="863"/>
      <c r="BC866" s="863"/>
      <c r="BD866" s="863"/>
      <c r="BE866" s="863"/>
      <c r="BF866" s="863"/>
      <c r="BG866" s="863"/>
      <c r="BH866" s="863"/>
      <c r="BI866" s="863"/>
      <c r="BJ866" s="863"/>
      <c r="BK866" s="863"/>
      <c r="BL866" s="863"/>
      <c r="BM866" s="863"/>
      <c r="BN866" s="863"/>
      <c r="BO866" s="863"/>
      <c r="BP866" s="880"/>
      <c r="BQ866" s="863"/>
      <c r="BR866" s="883"/>
      <c r="BS866" s="883"/>
      <c r="BT866" s="883"/>
      <c r="BU866" s="883"/>
      <c r="BV866" s="883"/>
      <c r="BW866" s="883"/>
      <c r="BX866" s="883"/>
      <c r="BY866" s="883"/>
      <c r="BZ866" s="883"/>
      <c r="CA866" s="883"/>
      <c r="CB866" s="883"/>
      <c r="CC866" s="883"/>
      <c r="CD866" s="884"/>
      <c r="CE866" s="883"/>
      <c r="CF866" s="883"/>
      <c r="CG866" s="883"/>
      <c r="CH866" s="883"/>
      <c r="CI866" s="883"/>
      <c r="CJ866" s="883"/>
      <c r="CK866" s="883"/>
      <c r="CL866" s="883"/>
      <c r="CM866" s="883"/>
      <c r="CN866" s="883"/>
      <c r="CO866" s="883"/>
      <c r="CP866" s="883"/>
      <c r="CQ866" s="883"/>
      <c r="CR866" s="883"/>
      <c r="CS866" s="883"/>
      <c r="CT866" s="883"/>
      <c r="CU866" s="883"/>
      <c r="CV866" s="863"/>
      <c r="CW866" s="863"/>
      <c r="CX866" s="863"/>
      <c r="CY866" s="863"/>
      <c r="CZ866" s="863"/>
      <c r="DA866" s="863"/>
      <c r="DB866" s="863"/>
      <c r="DC866" s="863"/>
      <c r="DD866" s="863"/>
      <c r="DE866" s="863"/>
    </row>
    <row r="867">
      <c r="A867" s="876"/>
      <c r="B867" s="876"/>
      <c r="C867" s="876"/>
      <c r="D867" s="876"/>
      <c r="E867" s="876"/>
      <c r="F867" s="876"/>
      <c r="G867" s="876"/>
      <c r="H867" s="876"/>
      <c r="I867" s="876"/>
      <c r="J867" s="876"/>
      <c r="K867" s="876"/>
      <c r="L867" s="876"/>
      <c r="M867" s="876"/>
      <c r="N867" s="877"/>
      <c r="O867" s="876"/>
      <c r="P867" s="876"/>
      <c r="Q867" s="876"/>
      <c r="R867" s="876"/>
      <c r="S867" s="876"/>
      <c r="T867" s="876"/>
      <c r="U867" s="876"/>
      <c r="V867" s="876"/>
      <c r="W867" s="876"/>
      <c r="X867" s="876"/>
      <c r="Y867" s="876"/>
      <c r="Z867" s="876"/>
      <c r="AA867" s="876"/>
      <c r="AB867" s="876"/>
      <c r="AC867" s="876"/>
      <c r="AD867" s="876"/>
      <c r="AE867" s="876"/>
      <c r="AF867" s="876"/>
      <c r="AG867" s="876"/>
      <c r="AH867" s="876"/>
      <c r="AI867" s="878"/>
      <c r="AJ867" s="880"/>
      <c r="AK867" s="880"/>
      <c r="AL867" s="880"/>
      <c r="AM867" s="880"/>
      <c r="AN867" s="880"/>
      <c r="AO867" s="880"/>
      <c r="AP867" s="880"/>
      <c r="AQ867" s="880"/>
      <c r="AR867" s="880"/>
      <c r="AS867" s="880"/>
      <c r="AT867" s="880"/>
      <c r="AU867" s="880"/>
      <c r="AV867" s="880"/>
      <c r="AW867" s="881"/>
      <c r="AX867" s="863"/>
      <c r="AY867" s="863"/>
      <c r="AZ867" s="863"/>
      <c r="BA867" s="863"/>
      <c r="BB867" s="863"/>
      <c r="BC867" s="863"/>
      <c r="BD867" s="863"/>
      <c r="BE867" s="863"/>
      <c r="BF867" s="863"/>
      <c r="BG867" s="863"/>
      <c r="BH867" s="863"/>
      <c r="BI867" s="863"/>
      <c r="BJ867" s="863"/>
      <c r="BK867" s="863"/>
      <c r="BL867" s="863"/>
      <c r="BM867" s="863"/>
      <c r="BN867" s="863"/>
      <c r="BO867" s="863"/>
      <c r="BP867" s="880"/>
      <c r="BQ867" s="863"/>
      <c r="BR867" s="883"/>
      <c r="BS867" s="883"/>
      <c r="BT867" s="883"/>
      <c r="BU867" s="883"/>
      <c r="BV867" s="883"/>
      <c r="BW867" s="883"/>
      <c r="BX867" s="883"/>
      <c r="BY867" s="883"/>
      <c r="BZ867" s="883"/>
      <c r="CA867" s="883"/>
      <c r="CB867" s="883"/>
      <c r="CC867" s="883"/>
      <c r="CD867" s="884"/>
      <c r="CE867" s="883"/>
      <c r="CF867" s="883"/>
      <c r="CG867" s="883"/>
      <c r="CH867" s="883"/>
      <c r="CI867" s="883"/>
      <c r="CJ867" s="883"/>
      <c r="CK867" s="883"/>
      <c r="CL867" s="883"/>
      <c r="CM867" s="883"/>
      <c r="CN867" s="883"/>
      <c r="CO867" s="883"/>
      <c r="CP867" s="883"/>
      <c r="CQ867" s="883"/>
      <c r="CR867" s="883"/>
      <c r="CS867" s="883"/>
      <c r="CT867" s="883"/>
      <c r="CU867" s="883"/>
      <c r="CV867" s="863"/>
      <c r="CW867" s="863"/>
      <c r="CX867" s="863"/>
      <c r="CY867" s="863"/>
      <c r="CZ867" s="863"/>
      <c r="DA867" s="863"/>
      <c r="DB867" s="863"/>
      <c r="DC867" s="863"/>
      <c r="DD867" s="863"/>
      <c r="DE867" s="863"/>
    </row>
    <row r="868">
      <c r="A868" s="876"/>
      <c r="B868" s="876"/>
      <c r="C868" s="876"/>
      <c r="D868" s="876"/>
      <c r="E868" s="876"/>
      <c r="F868" s="876"/>
      <c r="G868" s="876"/>
      <c r="H868" s="876"/>
      <c r="I868" s="876"/>
      <c r="J868" s="876"/>
      <c r="K868" s="876"/>
      <c r="L868" s="876"/>
      <c r="M868" s="876"/>
      <c r="N868" s="877"/>
      <c r="O868" s="876"/>
      <c r="P868" s="876"/>
      <c r="Q868" s="876"/>
      <c r="R868" s="876"/>
      <c r="S868" s="876"/>
      <c r="T868" s="876"/>
      <c r="U868" s="876"/>
      <c r="V868" s="876"/>
      <c r="W868" s="876"/>
      <c r="X868" s="876"/>
      <c r="Y868" s="876"/>
      <c r="Z868" s="876"/>
      <c r="AA868" s="876"/>
      <c r="AB868" s="876"/>
      <c r="AC868" s="876"/>
      <c r="AD868" s="876"/>
      <c r="AE868" s="876"/>
      <c r="AF868" s="876"/>
      <c r="AG868" s="876"/>
      <c r="AH868" s="876"/>
      <c r="AI868" s="878"/>
      <c r="AJ868" s="880"/>
      <c r="AK868" s="880"/>
      <c r="AL868" s="880"/>
      <c r="AM868" s="880"/>
      <c r="AN868" s="880"/>
      <c r="AO868" s="880"/>
      <c r="AP868" s="880"/>
      <c r="AQ868" s="880"/>
      <c r="AR868" s="880"/>
      <c r="AS868" s="880"/>
      <c r="AT868" s="880"/>
      <c r="AU868" s="880"/>
      <c r="AV868" s="880"/>
      <c r="AW868" s="881"/>
      <c r="AX868" s="863"/>
      <c r="AY868" s="863"/>
      <c r="AZ868" s="863"/>
      <c r="BA868" s="863"/>
      <c r="BB868" s="863"/>
      <c r="BC868" s="863"/>
      <c r="BD868" s="863"/>
      <c r="BE868" s="863"/>
      <c r="BF868" s="863"/>
      <c r="BG868" s="863"/>
      <c r="BH868" s="863"/>
      <c r="BI868" s="863"/>
      <c r="BJ868" s="863"/>
      <c r="BK868" s="863"/>
      <c r="BL868" s="863"/>
      <c r="BM868" s="863"/>
      <c r="BN868" s="863"/>
      <c r="BO868" s="863"/>
      <c r="BP868" s="880"/>
      <c r="BQ868" s="863"/>
      <c r="BR868" s="883"/>
      <c r="BS868" s="883"/>
      <c r="BT868" s="883"/>
      <c r="BU868" s="883"/>
      <c r="BV868" s="883"/>
      <c r="BW868" s="883"/>
      <c r="BX868" s="883"/>
      <c r="BY868" s="883"/>
      <c r="BZ868" s="883"/>
      <c r="CA868" s="883"/>
      <c r="CB868" s="883"/>
      <c r="CC868" s="883"/>
      <c r="CD868" s="884"/>
      <c r="CE868" s="883"/>
      <c r="CF868" s="883"/>
      <c r="CG868" s="883"/>
      <c r="CH868" s="883"/>
      <c r="CI868" s="883"/>
      <c r="CJ868" s="883"/>
      <c r="CK868" s="883"/>
      <c r="CL868" s="883"/>
      <c r="CM868" s="883"/>
      <c r="CN868" s="883"/>
      <c r="CO868" s="883"/>
      <c r="CP868" s="883"/>
      <c r="CQ868" s="883"/>
      <c r="CR868" s="883"/>
      <c r="CS868" s="883"/>
      <c r="CT868" s="883"/>
      <c r="CU868" s="883"/>
      <c r="CV868" s="863"/>
      <c r="CW868" s="863"/>
      <c r="CX868" s="863"/>
      <c r="CY868" s="863"/>
      <c r="CZ868" s="863"/>
      <c r="DA868" s="863"/>
      <c r="DB868" s="863"/>
      <c r="DC868" s="863"/>
      <c r="DD868" s="863"/>
      <c r="DE868" s="863"/>
    </row>
    <row r="869">
      <c r="A869" s="876"/>
      <c r="B869" s="876"/>
      <c r="C869" s="876"/>
      <c r="D869" s="876"/>
      <c r="E869" s="876"/>
      <c r="F869" s="876"/>
      <c r="G869" s="876"/>
      <c r="H869" s="876"/>
      <c r="I869" s="876"/>
      <c r="J869" s="876"/>
      <c r="K869" s="876"/>
      <c r="L869" s="876"/>
      <c r="M869" s="876"/>
      <c r="N869" s="877"/>
      <c r="O869" s="876"/>
      <c r="P869" s="876"/>
      <c r="Q869" s="876"/>
      <c r="R869" s="876"/>
      <c r="S869" s="876"/>
      <c r="T869" s="876"/>
      <c r="U869" s="876"/>
      <c r="V869" s="876"/>
      <c r="W869" s="876"/>
      <c r="X869" s="876"/>
      <c r="Y869" s="876"/>
      <c r="Z869" s="876"/>
      <c r="AA869" s="876"/>
      <c r="AB869" s="876"/>
      <c r="AC869" s="876"/>
      <c r="AD869" s="876"/>
      <c r="AE869" s="876"/>
      <c r="AF869" s="876"/>
      <c r="AG869" s="876"/>
      <c r="AH869" s="876"/>
      <c r="AI869" s="878"/>
      <c r="AJ869" s="880"/>
      <c r="AK869" s="880"/>
      <c r="AL869" s="880"/>
      <c r="AM869" s="880"/>
      <c r="AN869" s="880"/>
      <c r="AO869" s="880"/>
      <c r="AP869" s="880"/>
      <c r="AQ869" s="880"/>
      <c r="AR869" s="880"/>
      <c r="AS869" s="880"/>
      <c r="AT869" s="880"/>
      <c r="AU869" s="880"/>
      <c r="AV869" s="880"/>
      <c r="AW869" s="881"/>
      <c r="AX869" s="863"/>
      <c r="AY869" s="863"/>
      <c r="AZ869" s="863"/>
      <c r="BA869" s="863"/>
      <c r="BB869" s="863"/>
      <c r="BC869" s="863"/>
      <c r="BD869" s="863"/>
      <c r="BE869" s="863"/>
      <c r="BF869" s="863"/>
      <c r="BG869" s="863"/>
      <c r="BH869" s="863"/>
      <c r="BI869" s="863"/>
      <c r="BJ869" s="863"/>
      <c r="BK869" s="863"/>
      <c r="BL869" s="863"/>
      <c r="BM869" s="863"/>
      <c r="BN869" s="863"/>
      <c r="BO869" s="863"/>
      <c r="BP869" s="880"/>
      <c r="BQ869" s="863"/>
      <c r="BR869" s="883"/>
      <c r="BS869" s="883"/>
      <c r="BT869" s="883"/>
      <c r="BU869" s="883"/>
      <c r="BV869" s="883"/>
      <c r="BW869" s="883"/>
      <c r="BX869" s="883"/>
      <c r="BY869" s="883"/>
      <c r="BZ869" s="883"/>
      <c r="CA869" s="883"/>
      <c r="CB869" s="883"/>
      <c r="CC869" s="883"/>
      <c r="CD869" s="884"/>
      <c r="CE869" s="883"/>
      <c r="CF869" s="883"/>
      <c r="CG869" s="883"/>
      <c r="CH869" s="883"/>
      <c r="CI869" s="883"/>
      <c r="CJ869" s="883"/>
      <c r="CK869" s="883"/>
      <c r="CL869" s="883"/>
      <c r="CM869" s="883"/>
      <c r="CN869" s="883"/>
      <c r="CO869" s="883"/>
      <c r="CP869" s="883"/>
      <c r="CQ869" s="883"/>
      <c r="CR869" s="883"/>
      <c r="CS869" s="883"/>
      <c r="CT869" s="883"/>
      <c r="CU869" s="883"/>
      <c r="CV869" s="863"/>
      <c r="CW869" s="863"/>
      <c r="CX869" s="863"/>
      <c r="CY869" s="863"/>
      <c r="CZ869" s="863"/>
      <c r="DA869" s="863"/>
      <c r="DB869" s="863"/>
      <c r="DC869" s="863"/>
      <c r="DD869" s="863"/>
      <c r="DE869" s="863"/>
    </row>
    <row r="870">
      <c r="A870" s="876"/>
      <c r="B870" s="876"/>
      <c r="C870" s="876"/>
      <c r="D870" s="876"/>
      <c r="E870" s="876"/>
      <c r="F870" s="876"/>
      <c r="G870" s="876"/>
      <c r="H870" s="876"/>
      <c r="I870" s="876"/>
      <c r="J870" s="876"/>
      <c r="K870" s="876"/>
      <c r="L870" s="876"/>
      <c r="M870" s="876"/>
      <c r="N870" s="877"/>
      <c r="O870" s="876"/>
      <c r="P870" s="876"/>
      <c r="Q870" s="876"/>
      <c r="R870" s="876"/>
      <c r="S870" s="876"/>
      <c r="T870" s="876"/>
      <c r="U870" s="876"/>
      <c r="V870" s="876"/>
      <c r="W870" s="876"/>
      <c r="X870" s="876"/>
      <c r="Y870" s="876"/>
      <c r="Z870" s="876"/>
      <c r="AA870" s="876"/>
      <c r="AB870" s="876"/>
      <c r="AC870" s="876"/>
      <c r="AD870" s="876"/>
      <c r="AE870" s="876"/>
      <c r="AF870" s="876"/>
      <c r="AG870" s="876"/>
      <c r="AH870" s="876"/>
      <c r="AI870" s="878"/>
      <c r="AJ870" s="880"/>
      <c r="AK870" s="880"/>
      <c r="AL870" s="880"/>
      <c r="AM870" s="880"/>
      <c r="AN870" s="880"/>
      <c r="AO870" s="880"/>
      <c r="AP870" s="880"/>
      <c r="AQ870" s="880"/>
      <c r="AR870" s="880"/>
      <c r="AS870" s="880"/>
      <c r="AT870" s="880"/>
      <c r="AU870" s="880"/>
      <c r="AV870" s="880"/>
      <c r="AW870" s="881"/>
      <c r="AX870" s="863"/>
      <c r="AY870" s="863"/>
      <c r="AZ870" s="863"/>
      <c r="BA870" s="863"/>
      <c r="BB870" s="863"/>
      <c r="BC870" s="863"/>
      <c r="BD870" s="863"/>
      <c r="BE870" s="863"/>
      <c r="BF870" s="863"/>
      <c r="BG870" s="863"/>
      <c r="BH870" s="863"/>
      <c r="BI870" s="863"/>
      <c r="BJ870" s="863"/>
      <c r="BK870" s="863"/>
      <c r="BL870" s="863"/>
      <c r="BM870" s="863"/>
      <c r="BN870" s="863"/>
      <c r="BO870" s="863"/>
      <c r="BP870" s="880"/>
      <c r="BQ870" s="863"/>
      <c r="BR870" s="883"/>
      <c r="BS870" s="883"/>
      <c r="BT870" s="883"/>
      <c r="BU870" s="883"/>
      <c r="BV870" s="883"/>
      <c r="BW870" s="883"/>
      <c r="BX870" s="883"/>
      <c r="BY870" s="883"/>
      <c r="BZ870" s="883"/>
      <c r="CA870" s="883"/>
      <c r="CB870" s="883"/>
      <c r="CC870" s="883"/>
      <c r="CD870" s="884"/>
      <c r="CE870" s="883"/>
      <c r="CF870" s="883"/>
      <c r="CG870" s="883"/>
      <c r="CH870" s="883"/>
      <c r="CI870" s="883"/>
      <c r="CJ870" s="883"/>
      <c r="CK870" s="883"/>
      <c r="CL870" s="883"/>
      <c r="CM870" s="883"/>
      <c r="CN870" s="883"/>
      <c r="CO870" s="883"/>
      <c r="CP870" s="883"/>
      <c r="CQ870" s="883"/>
      <c r="CR870" s="883"/>
      <c r="CS870" s="883"/>
      <c r="CT870" s="883"/>
      <c r="CU870" s="883"/>
      <c r="CV870" s="863"/>
      <c r="CW870" s="863"/>
      <c r="CX870" s="863"/>
      <c r="CY870" s="863"/>
      <c r="CZ870" s="863"/>
      <c r="DA870" s="863"/>
      <c r="DB870" s="863"/>
      <c r="DC870" s="863"/>
      <c r="DD870" s="863"/>
      <c r="DE870" s="863"/>
    </row>
    <row r="871">
      <c r="A871" s="876"/>
      <c r="B871" s="876"/>
      <c r="C871" s="876"/>
      <c r="D871" s="876"/>
      <c r="E871" s="876"/>
      <c r="F871" s="876"/>
      <c r="G871" s="876"/>
      <c r="H871" s="876"/>
      <c r="I871" s="876"/>
      <c r="J871" s="876"/>
      <c r="K871" s="876"/>
      <c r="L871" s="876"/>
      <c r="M871" s="876"/>
      <c r="N871" s="877"/>
      <c r="O871" s="876"/>
      <c r="P871" s="876"/>
      <c r="Q871" s="876"/>
      <c r="R871" s="876"/>
      <c r="S871" s="876"/>
      <c r="T871" s="876"/>
      <c r="U871" s="876"/>
      <c r="V871" s="876"/>
      <c r="W871" s="876"/>
      <c r="X871" s="876"/>
      <c r="Y871" s="876"/>
      <c r="Z871" s="876"/>
      <c r="AA871" s="876"/>
      <c r="AB871" s="876"/>
      <c r="AC871" s="876"/>
      <c r="AD871" s="876"/>
      <c r="AE871" s="876"/>
      <c r="AF871" s="876"/>
      <c r="AG871" s="876"/>
      <c r="AH871" s="876"/>
      <c r="AI871" s="878"/>
      <c r="AJ871" s="880"/>
      <c r="AK871" s="880"/>
      <c r="AL871" s="880"/>
      <c r="AM871" s="880"/>
      <c r="AN871" s="880"/>
      <c r="AO871" s="880"/>
      <c r="AP871" s="880"/>
      <c r="AQ871" s="880"/>
      <c r="AR871" s="880"/>
      <c r="AS871" s="880"/>
      <c r="AT871" s="880"/>
      <c r="AU871" s="880"/>
      <c r="AV871" s="880"/>
      <c r="AW871" s="881"/>
      <c r="AX871" s="863"/>
      <c r="AY871" s="863"/>
      <c r="AZ871" s="863"/>
      <c r="BA871" s="863"/>
      <c r="BB871" s="863"/>
      <c r="BC871" s="863"/>
      <c r="BD871" s="863"/>
      <c r="BE871" s="863"/>
      <c r="BF871" s="863"/>
      <c r="BG871" s="863"/>
      <c r="BH871" s="863"/>
      <c r="BI871" s="863"/>
      <c r="BJ871" s="863"/>
      <c r="BK871" s="863"/>
      <c r="BL871" s="863"/>
      <c r="BM871" s="863"/>
      <c r="BN871" s="863"/>
      <c r="BO871" s="863"/>
      <c r="BP871" s="880"/>
      <c r="BQ871" s="863"/>
      <c r="BR871" s="883"/>
      <c r="BS871" s="883"/>
      <c r="BT871" s="883"/>
      <c r="BU871" s="883"/>
      <c r="BV871" s="883"/>
      <c r="BW871" s="883"/>
      <c r="BX871" s="883"/>
      <c r="BY871" s="883"/>
      <c r="BZ871" s="883"/>
      <c r="CA871" s="883"/>
      <c r="CB871" s="883"/>
      <c r="CC871" s="883"/>
      <c r="CD871" s="884"/>
      <c r="CE871" s="883"/>
      <c r="CF871" s="883"/>
      <c r="CG871" s="883"/>
      <c r="CH871" s="883"/>
      <c r="CI871" s="883"/>
      <c r="CJ871" s="883"/>
      <c r="CK871" s="883"/>
      <c r="CL871" s="883"/>
      <c r="CM871" s="883"/>
      <c r="CN871" s="883"/>
      <c r="CO871" s="883"/>
      <c r="CP871" s="883"/>
      <c r="CQ871" s="883"/>
      <c r="CR871" s="883"/>
      <c r="CS871" s="883"/>
      <c r="CT871" s="883"/>
      <c r="CU871" s="883"/>
      <c r="CV871" s="863"/>
      <c r="CW871" s="863"/>
      <c r="CX871" s="863"/>
      <c r="CY871" s="863"/>
      <c r="CZ871" s="863"/>
      <c r="DA871" s="863"/>
      <c r="DB871" s="863"/>
      <c r="DC871" s="863"/>
      <c r="DD871" s="863"/>
      <c r="DE871" s="863"/>
    </row>
    <row r="872">
      <c r="A872" s="876"/>
      <c r="B872" s="876"/>
      <c r="C872" s="876"/>
      <c r="D872" s="876"/>
      <c r="E872" s="876"/>
      <c r="F872" s="876"/>
      <c r="G872" s="876"/>
      <c r="H872" s="876"/>
      <c r="I872" s="876"/>
      <c r="J872" s="876"/>
      <c r="K872" s="876"/>
      <c r="L872" s="876"/>
      <c r="M872" s="876"/>
      <c r="N872" s="877"/>
      <c r="O872" s="876"/>
      <c r="P872" s="876"/>
      <c r="Q872" s="876"/>
      <c r="R872" s="876"/>
      <c r="S872" s="876"/>
      <c r="T872" s="876"/>
      <c r="U872" s="876"/>
      <c r="V872" s="876"/>
      <c r="W872" s="876"/>
      <c r="X872" s="876"/>
      <c r="Y872" s="876"/>
      <c r="Z872" s="876"/>
      <c r="AA872" s="876"/>
      <c r="AB872" s="876"/>
      <c r="AC872" s="876"/>
      <c r="AD872" s="876"/>
      <c r="AE872" s="876"/>
      <c r="AF872" s="876"/>
      <c r="AG872" s="876"/>
      <c r="AH872" s="876"/>
      <c r="AI872" s="878"/>
      <c r="AJ872" s="880"/>
      <c r="AK872" s="880"/>
      <c r="AL872" s="880"/>
      <c r="AM872" s="880"/>
      <c r="AN872" s="880"/>
      <c r="AO872" s="880"/>
      <c r="AP872" s="880"/>
      <c r="AQ872" s="880"/>
      <c r="AR872" s="880"/>
      <c r="AS872" s="880"/>
      <c r="AT872" s="880"/>
      <c r="AU872" s="880"/>
      <c r="AV872" s="880"/>
      <c r="AW872" s="881"/>
      <c r="AX872" s="863"/>
      <c r="AY872" s="863"/>
      <c r="AZ872" s="863"/>
      <c r="BA872" s="863"/>
      <c r="BB872" s="863"/>
      <c r="BC872" s="863"/>
      <c r="BD872" s="863"/>
      <c r="BE872" s="863"/>
      <c r="BF872" s="863"/>
      <c r="BG872" s="863"/>
      <c r="BH872" s="863"/>
      <c r="BI872" s="863"/>
      <c r="BJ872" s="863"/>
      <c r="BK872" s="863"/>
      <c r="BL872" s="863"/>
      <c r="BM872" s="863"/>
      <c r="BN872" s="863"/>
      <c r="BO872" s="863"/>
      <c r="BP872" s="880"/>
      <c r="BQ872" s="863"/>
      <c r="BR872" s="883"/>
      <c r="BS872" s="883"/>
      <c r="BT872" s="883"/>
      <c r="BU872" s="883"/>
      <c r="BV872" s="883"/>
      <c r="BW872" s="883"/>
      <c r="BX872" s="883"/>
      <c r="BY872" s="883"/>
      <c r="BZ872" s="883"/>
      <c r="CA872" s="883"/>
      <c r="CB872" s="883"/>
      <c r="CC872" s="883"/>
      <c r="CD872" s="884"/>
      <c r="CE872" s="883"/>
      <c r="CF872" s="883"/>
      <c r="CG872" s="883"/>
      <c r="CH872" s="883"/>
      <c r="CI872" s="883"/>
      <c r="CJ872" s="883"/>
      <c r="CK872" s="883"/>
      <c r="CL872" s="883"/>
      <c r="CM872" s="883"/>
      <c r="CN872" s="883"/>
      <c r="CO872" s="883"/>
      <c r="CP872" s="883"/>
      <c r="CQ872" s="883"/>
      <c r="CR872" s="883"/>
      <c r="CS872" s="883"/>
      <c r="CT872" s="883"/>
      <c r="CU872" s="883"/>
      <c r="CV872" s="863"/>
      <c r="CW872" s="863"/>
      <c r="CX872" s="863"/>
      <c r="CY872" s="863"/>
      <c r="CZ872" s="863"/>
      <c r="DA872" s="863"/>
      <c r="DB872" s="863"/>
      <c r="DC872" s="863"/>
      <c r="DD872" s="863"/>
      <c r="DE872" s="863"/>
    </row>
    <row r="873">
      <c r="A873" s="876"/>
      <c r="B873" s="876"/>
      <c r="C873" s="876"/>
      <c r="D873" s="876"/>
      <c r="E873" s="876"/>
      <c r="F873" s="876"/>
      <c r="G873" s="876"/>
      <c r="H873" s="876"/>
      <c r="I873" s="876"/>
      <c r="J873" s="876"/>
      <c r="K873" s="876"/>
      <c r="L873" s="876"/>
      <c r="M873" s="876"/>
      <c r="N873" s="877"/>
      <c r="O873" s="876"/>
      <c r="P873" s="876"/>
      <c r="Q873" s="876"/>
      <c r="R873" s="876"/>
      <c r="S873" s="876"/>
      <c r="T873" s="876"/>
      <c r="U873" s="876"/>
      <c r="V873" s="876"/>
      <c r="W873" s="876"/>
      <c r="X873" s="876"/>
      <c r="Y873" s="876"/>
      <c r="Z873" s="876"/>
      <c r="AA873" s="876"/>
      <c r="AB873" s="876"/>
      <c r="AC873" s="876"/>
      <c r="AD873" s="876"/>
      <c r="AE873" s="876"/>
      <c r="AF873" s="876"/>
      <c r="AG873" s="876"/>
      <c r="AH873" s="876"/>
      <c r="AI873" s="878"/>
      <c r="AJ873" s="880"/>
      <c r="AK873" s="880"/>
      <c r="AL873" s="880"/>
      <c r="AM873" s="880"/>
      <c r="AN873" s="880"/>
      <c r="AO873" s="880"/>
      <c r="AP873" s="880"/>
      <c r="AQ873" s="880"/>
      <c r="AR873" s="880"/>
      <c r="AS873" s="880"/>
      <c r="AT873" s="880"/>
      <c r="AU873" s="880"/>
      <c r="AV873" s="880"/>
      <c r="AW873" s="881"/>
      <c r="AX873" s="863"/>
      <c r="AY873" s="863"/>
      <c r="AZ873" s="863"/>
      <c r="BA873" s="863"/>
      <c r="BB873" s="863"/>
      <c r="BC873" s="863"/>
      <c r="BD873" s="863"/>
      <c r="BE873" s="863"/>
      <c r="BF873" s="863"/>
      <c r="BG873" s="863"/>
      <c r="BH873" s="863"/>
      <c r="BI873" s="863"/>
      <c r="BJ873" s="863"/>
      <c r="BK873" s="863"/>
      <c r="BL873" s="863"/>
      <c r="BM873" s="863"/>
      <c r="BN873" s="863"/>
      <c r="BO873" s="863"/>
      <c r="BP873" s="880"/>
      <c r="BQ873" s="863"/>
      <c r="BR873" s="883"/>
      <c r="BS873" s="883"/>
      <c r="BT873" s="883"/>
      <c r="BU873" s="883"/>
      <c r="BV873" s="883"/>
      <c r="BW873" s="883"/>
      <c r="BX873" s="883"/>
      <c r="BY873" s="883"/>
      <c r="BZ873" s="883"/>
      <c r="CA873" s="883"/>
      <c r="CB873" s="883"/>
      <c r="CC873" s="883"/>
      <c r="CD873" s="884"/>
      <c r="CE873" s="883"/>
      <c r="CF873" s="883"/>
      <c r="CG873" s="883"/>
      <c r="CH873" s="883"/>
      <c r="CI873" s="883"/>
      <c r="CJ873" s="883"/>
      <c r="CK873" s="883"/>
      <c r="CL873" s="883"/>
      <c r="CM873" s="883"/>
      <c r="CN873" s="883"/>
      <c r="CO873" s="883"/>
      <c r="CP873" s="883"/>
      <c r="CQ873" s="883"/>
      <c r="CR873" s="883"/>
      <c r="CS873" s="883"/>
      <c r="CT873" s="883"/>
      <c r="CU873" s="883"/>
      <c r="CV873" s="863"/>
      <c r="CW873" s="863"/>
      <c r="CX873" s="863"/>
      <c r="CY873" s="863"/>
      <c r="CZ873" s="863"/>
      <c r="DA873" s="863"/>
      <c r="DB873" s="863"/>
      <c r="DC873" s="863"/>
      <c r="DD873" s="863"/>
      <c r="DE873" s="863"/>
    </row>
    <row r="874">
      <c r="A874" s="876"/>
      <c r="B874" s="876"/>
      <c r="C874" s="876"/>
      <c r="D874" s="876"/>
      <c r="E874" s="876"/>
      <c r="F874" s="876"/>
      <c r="G874" s="876"/>
      <c r="H874" s="876"/>
      <c r="I874" s="876"/>
      <c r="J874" s="876"/>
      <c r="K874" s="876"/>
      <c r="L874" s="876"/>
      <c r="M874" s="876"/>
      <c r="N874" s="877"/>
      <c r="O874" s="876"/>
      <c r="P874" s="876"/>
      <c r="Q874" s="876"/>
      <c r="R874" s="876"/>
      <c r="S874" s="876"/>
      <c r="T874" s="876"/>
      <c r="U874" s="876"/>
      <c r="V874" s="876"/>
      <c r="W874" s="876"/>
      <c r="X874" s="876"/>
      <c r="Y874" s="876"/>
      <c r="Z874" s="876"/>
      <c r="AA874" s="876"/>
      <c r="AB874" s="876"/>
      <c r="AC874" s="876"/>
      <c r="AD874" s="876"/>
      <c r="AE874" s="876"/>
      <c r="AF874" s="876"/>
      <c r="AG874" s="876"/>
      <c r="AH874" s="876"/>
      <c r="AI874" s="878"/>
      <c r="AJ874" s="880"/>
      <c r="AK874" s="880"/>
      <c r="AL874" s="880"/>
      <c r="AM874" s="880"/>
      <c r="AN874" s="880"/>
      <c r="AO874" s="880"/>
      <c r="AP874" s="880"/>
      <c r="AQ874" s="880"/>
      <c r="AR874" s="880"/>
      <c r="AS874" s="880"/>
      <c r="AT874" s="880"/>
      <c r="AU874" s="880"/>
      <c r="AV874" s="880"/>
      <c r="AW874" s="881"/>
      <c r="AX874" s="863"/>
      <c r="AY874" s="863"/>
      <c r="AZ874" s="863"/>
      <c r="BA874" s="863"/>
      <c r="BB874" s="863"/>
      <c r="BC874" s="863"/>
      <c r="BD874" s="863"/>
      <c r="BE874" s="863"/>
      <c r="BF874" s="863"/>
      <c r="BG874" s="863"/>
      <c r="BH874" s="863"/>
      <c r="BI874" s="863"/>
      <c r="BJ874" s="863"/>
      <c r="BK874" s="863"/>
      <c r="BL874" s="863"/>
      <c r="BM874" s="863"/>
      <c r="BN874" s="863"/>
      <c r="BO874" s="863"/>
      <c r="BP874" s="880"/>
      <c r="BQ874" s="863"/>
      <c r="BR874" s="883"/>
      <c r="BS874" s="883"/>
      <c r="BT874" s="883"/>
      <c r="BU874" s="883"/>
      <c r="BV874" s="883"/>
      <c r="BW874" s="883"/>
      <c r="BX874" s="883"/>
      <c r="BY874" s="883"/>
      <c r="BZ874" s="883"/>
      <c r="CA874" s="883"/>
      <c r="CB874" s="883"/>
      <c r="CC874" s="883"/>
      <c r="CD874" s="884"/>
      <c r="CE874" s="883"/>
      <c r="CF874" s="883"/>
      <c r="CG874" s="883"/>
      <c r="CH874" s="883"/>
      <c r="CI874" s="883"/>
      <c r="CJ874" s="883"/>
      <c r="CK874" s="883"/>
      <c r="CL874" s="883"/>
      <c r="CM874" s="883"/>
      <c r="CN874" s="883"/>
      <c r="CO874" s="883"/>
      <c r="CP874" s="883"/>
      <c r="CQ874" s="883"/>
      <c r="CR874" s="883"/>
      <c r="CS874" s="883"/>
      <c r="CT874" s="883"/>
      <c r="CU874" s="883"/>
      <c r="CV874" s="863"/>
      <c r="CW874" s="863"/>
      <c r="CX874" s="863"/>
      <c r="CY874" s="863"/>
      <c r="CZ874" s="863"/>
      <c r="DA874" s="863"/>
      <c r="DB874" s="863"/>
      <c r="DC874" s="863"/>
      <c r="DD874" s="863"/>
      <c r="DE874" s="863"/>
    </row>
    <row r="875">
      <c r="A875" s="876"/>
      <c r="B875" s="876"/>
      <c r="C875" s="876"/>
      <c r="D875" s="876"/>
      <c r="E875" s="876"/>
      <c r="F875" s="876"/>
      <c r="G875" s="876"/>
      <c r="H875" s="876"/>
      <c r="I875" s="876"/>
      <c r="J875" s="876"/>
      <c r="K875" s="876"/>
      <c r="L875" s="876"/>
      <c r="M875" s="876"/>
      <c r="N875" s="877"/>
      <c r="O875" s="876"/>
      <c r="P875" s="876"/>
      <c r="Q875" s="876"/>
      <c r="R875" s="876"/>
      <c r="S875" s="876"/>
      <c r="T875" s="876"/>
      <c r="U875" s="876"/>
      <c r="V875" s="876"/>
      <c r="W875" s="876"/>
      <c r="X875" s="876"/>
      <c r="Y875" s="876"/>
      <c r="Z875" s="876"/>
      <c r="AA875" s="876"/>
      <c r="AB875" s="876"/>
      <c r="AC875" s="876"/>
      <c r="AD875" s="876"/>
      <c r="AE875" s="876"/>
      <c r="AF875" s="876"/>
      <c r="AG875" s="876"/>
      <c r="AH875" s="876"/>
      <c r="AI875" s="878"/>
      <c r="AJ875" s="880"/>
      <c r="AK875" s="880"/>
      <c r="AL875" s="880"/>
      <c r="AM875" s="880"/>
      <c r="AN875" s="880"/>
      <c r="AO875" s="880"/>
      <c r="AP875" s="880"/>
      <c r="AQ875" s="880"/>
      <c r="AR875" s="880"/>
      <c r="AS875" s="880"/>
      <c r="AT875" s="880"/>
      <c r="AU875" s="880"/>
      <c r="AV875" s="880"/>
      <c r="AW875" s="881"/>
      <c r="AX875" s="863"/>
      <c r="AY875" s="863"/>
      <c r="AZ875" s="863"/>
      <c r="BA875" s="863"/>
      <c r="BB875" s="863"/>
      <c r="BC875" s="863"/>
      <c r="BD875" s="863"/>
      <c r="BE875" s="863"/>
      <c r="BF875" s="863"/>
      <c r="BG875" s="863"/>
      <c r="BH875" s="863"/>
      <c r="BI875" s="863"/>
      <c r="BJ875" s="863"/>
      <c r="BK875" s="863"/>
      <c r="BL875" s="863"/>
      <c r="BM875" s="863"/>
      <c r="BN875" s="863"/>
      <c r="BO875" s="863"/>
      <c r="BP875" s="880"/>
      <c r="BQ875" s="863"/>
      <c r="BR875" s="883"/>
      <c r="BS875" s="883"/>
      <c r="BT875" s="883"/>
      <c r="BU875" s="883"/>
      <c r="BV875" s="883"/>
      <c r="BW875" s="883"/>
      <c r="BX875" s="883"/>
      <c r="BY875" s="883"/>
      <c r="BZ875" s="883"/>
      <c r="CA875" s="883"/>
      <c r="CB875" s="883"/>
      <c r="CC875" s="883"/>
      <c r="CD875" s="884"/>
      <c r="CE875" s="883"/>
      <c r="CF875" s="883"/>
      <c r="CG875" s="883"/>
      <c r="CH875" s="883"/>
      <c r="CI875" s="883"/>
      <c r="CJ875" s="883"/>
      <c r="CK875" s="883"/>
      <c r="CL875" s="883"/>
      <c r="CM875" s="883"/>
      <c r="CN875" s="883"/>
      <c r="CO875" s="883"/>
      <c r="CP875" s="883"/>
      <c r="CQ875" s="883"/>
      <c r="CR875" s="883"/>
      <c r="CS875" s="883"/>
      <c r="CT875" s="883"/>
      <c r="CU875" s="883"/>
      <c r="CV875" s="863"/>
      <c r="CW875" s="863"/>
      <c r="CX875" s="863"/>
      <c r="CY875" s="863"/>
      <c r="CZ875" s="863"/>
      <c r="DA875" s="863"/>
      <c r="DB875" s="863"/>
      <c r="DC875" s="863"/>
      <c r="DD875" s="863"/>
      <c r="DE875" s="863"/>
    </row>
    <row r="876">
      <c r="A876" s="876"/>
      <c r="B876" s="876"/>
      <c r="C876" s="876"/>
      <c r="D876" s="876"/>
      <c r="E876" s="876"/>
      <c r="F876" s="876"/>
      <c r="G876" s="876"/>
      <c r="H876" s="876"/>
      <c r="I876" s="876"/>
      <c r="J876" s="876"/>
      <c r="K876" s="876"/>
      <c r="L876" s="876"/>
      <c r="M876" s="876"/>
      <c r="N876" s="877"/>
      <c r="O876" s="876"/>
      <c r="P876" s="876"/>
      <c r="Q876" s="876"/>
      <c r="R876" s="876"/>
      <c r="S876" s="876"/>
      <c r="T876" s="876"/>
      <c r="U876" s="876"/>
      <c r="V876" s="876"/>
      <c r="W876" s="876"/>
      <c r="X876" s="876"/>
      <c r="Y876" s="876"/>
      <c r="Z876" s="876"/>
      <c r="AA876" s="876"/>
      <c r="AB876" s="876"/>
      <c r="AC876" s="876"/>
      <c r="AD876" s="876"/>
      <c r="AE876" s="876"/>
      <c r="AF876" s="876"/>
      <c r="AG876" s="876"/>
      <c r="AH876" s="876"/>
      <c r="AI876" s="878"/>
      <c r="AJ876" s="880"/>
      <c r="AK876" s="880"/>
      <c r="AL876" s="880"/>
      <c r="AM876" s="880"/>
      <c r="AN876" s="880"/>
      <c r="AO876" s="880"/>
      <c r="AP876" s="880"/>
      <c r="AQ876" s="880"/>
      <c r="AR876" s="880"/>
      <c r="AS876" s="880"/>
      <c r="AT876" s="880"/>
      <c r="AU876" s="880"/>
      <c r="AV876" s="880"/>
      <c r="AW876" s="881"/>
      <c r="AX876" s="863"/>
      <c r="AY876" s="863"/>
      <c r="AZ876" s="863"/>
      <c r="BA876" s="863"/>
      <c r="BB876" s="863"/>
      <c r="BC876" s="863"/>
      <c r="BD876" s="863"/>
      <c r="BE876" s="863"/>
      <c r="BF876" s="863"/>
      <c r="BG876" s="863"/>
      <c r="BH876" s="863"/>
      <c r="BI876" s="863"/>
      <c r="BJ876" s="863"/>
      <c r="BK876" s="863"/>
      <c r="BL876" s="863"/>
      <c r="BM876" s="863"/>
      <c r="BN876" s="863"/>
      <c r="BO876" s="863"/>
      <c r="BP876" s="880"/>
      <c r="BQ876" s="863"/>
      <c r="BR876" s="883"/>
      <c r="BS876" s="883"/>
      <c r="BT876" s="883"/>
      <c r="BU876" s="883"/>
      <c r="BV876" s="883"/>
      <c r="BW876" s="883"/>
      <c r="BX876" s="883"/>
      <c r="BY876" s="883"/>
      <c r="BZ876" s="883"/>
      <c r="CA876" s="883"/>
      <c r="CB876" s="883"/>
      <c r="CC876" s="883"/>
      <c r="CD876" s="884"/>
      <c r="CE876" s="883"/>
      <c r="CF876" s="883"/>
      <c r="CG876" s="883"/>
      <c r="CH876" s="883"/>
      <c r="CI876" s="883"/>
      <c r="CJ876" s="883"/>
      <c r="CK876" s="883"/>
      <c r="CL876" s="883"/>
      <c r="CM876" s="883"/>
      <c r="CN876" s="883"/>
      <c r="CO876" s="883"/>
      <c r="CP876" s="883"/>
      <c r="CQ876" s="883"/>
      <c r="CR876" s="883"/>
      <c r="CS876" s="883"/>
      <c r="CT876" s="883"/>
      <c r="CU876" s="883"/>
      <c r="CV876" s="863"/>
      <c r="CW876" s="863"/>
      <c r="CX876" s="863"/>
      <c r="CY876" s="863"/>
      <c r="CZ876" s="863"/>
      <c r="DA876" s="863"/>
      <c r="DB876" s="863"/>
      <c r="DC876" s="863"/>
      <c r="DD876" s="863"/>
      <c r="DE876" s="863"/>
    </row>
    <row r="877">
      <c r="A877" s="876"/>
      <c r="B877" s="876"/>
      <c r="C877" s="876"/>
      <c r="D877" s="876"/>
      <c r="E877" s="876"/>
      <c r="F877" s="876"/>
      <c r="G877" s="876"/>
      <c r="H877" s="876"/>
      <c r="I877" s="876"/>
      <c r="J877" s="876"/>
      <c r="K877" s="876"/>
      <c r="L877" s="876"/>
      <c r="M877" s="876"/>
      <c r="N877" s="877"/>
      <c r="O877" s="876"/>
      <c r="P877" s="876"/>
      <c r="Q877" s="876"/>
      <c r="R877" s="876"/>
      <c r="S877" s="876"/>
      <c r="T877" s="876"/>
      <c r="U877" s="876"/>
      <c r="V877" s="876"/>
      <c r="W877" s="876"/>
      <c r="X877" s="876"/>
      <c r="Y877" s="876"/>
      <c r="Z877" s="876"/>
      <c r="AA877" s="876"/>
      <c r="AB877" s="876"/>
      <c r="AC877" s="876"/>
      <c r="AD877" s="876"/>
      <c r="AE877" s="876"/>
      <c r="AF877" s="876"/>
      <c r="AG877" s="876"/>
      <c r="AH877" s="876"/>
      <c r="AI877" s="878"/>
      <c r="AJ877" s="880"/>
      <c r="AK877" s="880"/>
      <c r="AL877" s="880"/>
      <c r="AM877" s="880"/>
      <c r="AN877" s="880"/>
      <c r="AO877" s="880"/>
      <c r="AP877" s="880"/>
      <c r="AQ877" s="880"/>
      <c r="AR877" s="880"/>
      <c r="AS877" s="880"/>
      <c r="AT877" s="880"/>
      <c r="AU877" s="880"/>
      <c r="AV877" s="880"/>
      <c r="AW877" s="881"/>
      <c r="AX877" s="863"/>
      <c r="AY877" s="863"/>
      <c r="AZ877" s="863"/>
      <c r="BA877" s="863"/>
      <c r="BB877" s="863"/>
      <c r="BC877" s="863"/>
      <c r="BD877" s="863"/>
      <c r="BE877" s="863"/>
      <c r="BF877" s="863"/>
      <c r="BG877" s="863"/>
      <c r="BH877" s="863"/>
      <c r="BI877" s="863"/>
      <c r="BJ877" s="863"/>
      <c r="BK877" s="863"/>
      <c r="BL877" s="863"/>
      <c r="BM877" s="863"/>
      <c r="BN877" s="863"/>
      <c r="BO877" s="863"/>
      <c r="BP877" s="880"/>
      <c r="BQ877" s="863"/>
      <c r="BR877" s="883"/>
      <c r="BS877" s="883"/>
      <c r="BT877" s="883"/>
      <c r="BU877" s="883"/>
      <c r="BV877" s="883"/>
      <c r="BW877" s="883"/>
      <c r="BX877" s="883"/>
      <c r="BY877" s="883"/>
      <c r="BZ877" s="883"/>
      <c r="CA877" s="883"/>
      <c r="CB877" s="883"/>
      <c r="CC877" s="883"/>
      <c r="CD877" s="884"/>
      <c r="CE877" s="883"/>
      <c r="CF877" s="883"/>
      <c r="CG877" s="883"/>
      <c r="CH877" s="883"/>
      <c r="CI877" s="883"/>
      <c r="CJ877" s="883"/>
      <c r="CK877" s="883"/>
      <c r="CL877" s="883"/>
      <c r="CM877" s="883"/>
      <c r="CN877" s="883"/>
      <c r="CO877" s="883"/>
      <c r="CP877" s="883"/>
      <c r="CQ877" s="883"/>
      <c r="CR877" s="883"/>
      <c r="CS877" s="883"/>
      <c r="CT877" s="883"/>
      <c r="CU877" s="883"/>
      <c r="CV877" s="863"/>
      <c r="CW877" s="863"/>
      <c r="CX877" s="863"/>
      <c r="CY877" s="863"/>
      <c r="CZ877" s="863"/>
      <c r="DA877" s="863"/>
      <c r="DB877" s="863"/>
      <c r="DC877" s="863"/>
      <c r="DD877" s="863"/>
      <c r="DE877" s="863"/>
    </row>
    <row r="878">
      <c r="A878" s="876"/>
      <c r="B878" s="876"/>
      <c r="C878" s="876"/>
      <c r="D878" s="876"/>
      <c r="E878" s="876"/>
      <c r="F878" s="876"/>
      <c r="G878" s="876"/>
      <c r="H878" s="876"/>
      <c r="I878" s="876"/>
      <c r="J878" s="876"/>
      <c r="K878" s="876"/>
      <c r="L878" s="876"/>
      <c r="M878" s="876"/>
      <c r="N878" s="877"/>
      <c r="O878" s="876"/>
      <c r="P878" s="876"/>
      <c r="Q878" s="876"/>
      <c r="R878" s="876"/>
      <c r="S878" s="876"/>
      <c r="T878" s="876"/>
      <c r="U878" s="876"/>
      <c r="V878" s="876"/>
      <c r="W878" s="876"/>
      <c r="X878" s="876"/>
      <c r="Y878" s="876"/>
      <c r="Z878" s="876"/>
      <c r="AA878" s="876"/>
      <c r="AB878" s="876"/>
      <c r="AC878" s="876"/>
      <c r="AD878" s="876"/>
      <c r="AE878" s="876"/>
      <c r="AF878" s="876"/>
      <c r="AG878" s="876"/>
      <c r="AH878" s="876"/>
      <c r="AI878" s="878"/>
      <c r="AJ878" s="880"/>
      <c r="AK878" s="880"/>
      <c r="AL878" s="880"/>
      <c r="AM878" s="880"/>
      <c r="AN878" s="880"/>
      <c r="AO878" s="880"/>
      <c r="AP878" s="880"/>
      <c r="AQ878" s="880"/>
      <c r="AR878" s="880"/>
      <c r="AS878" s="880"/>
      <c r="AT878" s="880"/>
      <c r="AU878" s="880"/>
      <c r="AV878" s="880"/>
      <c r="AW878" s="881"/>
      <c r="AX878" s="863"/>
      <c r="AY878" s="863"/>
      <c r="AZ878" s="863"/>
      <c r="BA878" s="863"/>
      <c r="BB878" s="863"/>
      <c r="BC878" s="863"/>
      <c r="BD878" s="863"/>
      <c r="BE878" s="863"/>
      <c r="BF878" s="863"/>
      <c r="BG878" s="863"/>
      <c r="BH878" s="863"/>
      <c r="BI878" s="863"/>
      <c r="BJ878" s="863"/>
      <c r="BK878" s="863"/>
      <c r="BL878" s="863"/>
      <c r="BM878" s="863"/>
      <c r="BN878" s="863"/>
      <c r="BO878" s="863"/>
      <c r="BP878" s="880"/>
      <c r="BQ878" s="863"/>
      <c r="BR878" s="883"/>
      <c r="BS878" s="883"/>
      <c r="BT878" s="883"/>
      <c r="BU878" s="883"/>
      <c r="BV878" s="883"/>
      <c r="BW878" s="883"/>
      <c r="BX878" s="883"/>
      <c r="BY878" s="883"/>
      <c r="BZ878" s="883"/>
      <c r="CA878" s="883"/>
      <c r="CB878" s="883"/>
      <c r="CC878" s="883"/>
      <c r="CD878" s="884"/>
      <c r="CE878" s="883"/>
      <c r="CF878" s="883"/>
      <c r="CG878" s="883"/>
      <c r="CH878" s="883"/>
      <c r="CI878" s="883"/>
      <c r="CJ878" s="883"/>
      <c r="CK878" s="883"/>
      <c r="CL878" s="883"/>
      <c r="CM878" s="883"/>
      <c r="CN878" s="883"/>
      <c r="CO878" s="883"/>
      <c r="CP878" s="883"/>
      <c r="CQ878" s="883"/>
      <c r="CR878" s="883"/>
      <c r="CS878" s="883"/>
      <c r="CT878" s="883"/>
      <c r="CU878" s="883"/>
      <c r="CV878" s="863"/>
      <c r="CW878" s="863"/>
      <c r="CX878" s="863"/>
      <c r="CY878" s="863"/>
      <c r="CZ878" s="863"/>
      <c r="DA878" s="863"/>
      <c r="DB878" s="863"/>
      <c r="DC878" s="863"/>
      <c r="DD878" s="863"/>
      <c r="DE878" s="863"/>
    </row>
    <row r="879">
      <c r="A879" s="876"/>
      <c r="B879" s="876"/>
      <c r="C879" s="876"/>
      <c r="D879" s="876"/>
      <c r="E879" s="876"/>
      <c r="F879" s="876"/>
      <c r="G879" s="876"/>
      <c r="H879" s="876"/>
      <c r="I879" s="876"/>
      <c r="J879" s="876"/>
      <c r="K879" s="876"/>
      <c r="L879" s="876"/>
      <c r="M879" s="876"/>
      <c r="N879" s="877"/>
      <c r="O879" s="876"/>
      <c r="P879" s="876"/>
      <c r="Q879" s="876"/>
      <c r="R879" s="876"/>
      <c r="S879" s="876"/>
      <c r="T879" s="876"/>
      <c r="U879" s="876"/>
      <c r="V879" s="876"/>
      <c r="W879" s="876"/>
      <c r="X879" s="876"/>
      <c r="Y879" s="876"/>
      <c r="Z879" s="876"/>
      <c r="AA879" s="876"/>
      <c r="AB879" s="876"/>
      <c r="AC879" s="876"/>
      <c r="AD879" s="876"/>
      <c r="AE879" s="876"/>
      <c r="AF879" s="876"/>
      <c r="AG879" s="876"/>
      <c r="AH879" s="876"/>
      <c r="AI879" s="878"/>
      <c r="AJ879" s="880"/>
      <c r="AK879" s="880"/>
      <c r="AL879" s="880"/>
      <c r="AM879" s="880"/>
      <c r="AN879" s="880"/>
      <c r="AO879" s="880"/>
      <c r="AP879" s="880"/>
      <c r="AQ879" s="880"/>
      <c r="AR879" s="880"/>
      <c r="AS879" s="880"/>
      <c r="AT879" s="880"/>
      <c r="AU879" s="880"/>
      <c r="AV879" s="880"/>
      <c r="AW879" s="881"/>
      <c r="AX879" s="863"/>
      <c r="AY879" s="863"/>
      <c r="AZ879" s="863"/>
      <c r="BA879" s="863"/>
      <c r="BB879" s="863"/>
      <c r="BC879" s="863"/>
      <c r="BD879" s="863"/>
      <c r="BE879" s="863"/>
      <c r="BF879" s="863"/>
      <c r="BG879" s="863"/>
      <c r="BH879" s="863"/>
      <c r="BI879" s="863"/>
      <c r="BJ879" s="863"/>
      <c r="BK879" s="863"/>
      <c r="BL879" s="863"/>
      <c r="BM879" s="863"/>
      <c r="BN879" s="863"/>
      <c r="BO879" s="863"/>
      <c r="BP879" s="880"/>
      <c r="BQ879" s="863"/>
      <c r="BR879" s="883"/>
      <c r="BS879" s="883"/>
      <c r="BT879" s="883"/>
      <c r="BU879" s="883"/>
      <c r="BV879" s="883"/>
      <c r="BW879" s="883"/>
      <c r="BX879" s="883"/>
      <c r="BY879" s="883"/>
      <c r="BZ879" s="883"/>
      <c r="CA879" s="883"/>
      <c r="CB879" s="883"/>
      <c r="CC879" s="883"/>
      <c r="CD879" s="884"/>
      <c r="CE879" s="883"/>
      <c r="CF879" s="883"/>
      <c r="CG879" s="883"/>
      <c r="CH879" s="883"/>
      <c r="CI879" s="883"/>
      <c r="CJ879" s="883"/>
      <c r="CK879" s="883"/>
      <c r="CL879" s="883"/>
      <c r="CM879" s="883"/>
      <c r="CN879" s="883"/>
      <c r="CO879" s="883"/>
      <c r="CP879" s="883"/>
      <c r="CQ879" s="883"/>
      <c r="CR879" s="883"/>
      <c r="CS879" s="883"/>
      <c r="CT879" s="883"/>
      <c r="CU879" s="883"/>
      <c r="CV879" s="863"/>
      <c r="CW879" s="863"/>
      <c r="CX879" s="863"/>
      <c r="CY879" s="863"/>
      <c r="CZ879" s="863"/>
      <c r="DA879" s="863"/>
      <c r="DB879" s="863"/>
      <c r="DC879" s="863"/>
      <c r="DD879" s="863"/>
      <c r="DE879" s="863"/>
    </row>
    <row r="880">
      <c r="A880" s="876"/>
      <c r="B880" s="876"/>
      <c r="C880" s="876"/>
      <c r="D880" s="876"/>
      <c r="E880" s="876"/>
      <c r="F880" s="876"/>
      <c r="G880" s="876"/>
      <c r="H880" s="876"/>
      <c r="I880" s="876"/>
      <c r="J880" s="876"/>
      <c r="K880" s="876"/>
      <c r="L880" s="876"/>
      <c r="M880" s="876"/>
      <c r="N880" s="877"/>
      <c r="O880" s="876"/>
      <c r="P880" s="876"/>
      <c r="Q880" s="876"/>
      <c r="R880" s="876"/>
      <c r="S880" s="876"/>
      <c r="T880" s="876"/>
      <c r="U880" s="876"/>
      <c r="V880" s="876"/>
      <c r="W880" s="876"/>
      <c r="X880" s="876"/>
      <c r="Y880" s="876"/>
      <c r="Z880" s="876"/>
      <c r="AA880" s="876"/>
      <c r="AB880" s="876"/>
      <c r="AC880" s="876"/>
      <c r="AD880" s="876"/>
      <c r="AE880" s="876"/>
      <c r="AF880" s="876"/>
      <c r="AG880" s="876"/>
      <c r="AH880" s="876"/>
      <c r="AI880" s="878"/>
      <c r="AJ880" s="880"/>
      <c r="AK880" s="880"/>
      <c r="AL880" s="880"/>
      <c r="AM880" s="880"/>
      <c r="AN880" s="880"/>
      <c r="AO880" s="880"/>
      <c r="AP880" s="880"/>
      <c r="AQ880" s="880"/>
      <c r="AR880" s="880"/>
      <c r="AS880" s="880"/>
      <c r="AT880" s="880"/>
      <c r="AU880" s="880"/>
      <c r="AV880" s="880"/>
      <c r="AW880" s="881"/>
      <c r="AX880" s="863"/>
      <c r="AY880" s="863"/>
      <c r="AZ880" s="863"/>
      <c r="BA880" s="863"/>
      <c r="BB880" s="863"/>
      <c r="BC880" s="863"/>
      <c r="BD880" s="863"/>
      <c r="BE880" s="863"/>
      <c r="BF880" s="863"/>
      <c r="BG880" s="863"/>
      <c r="BH880" s="863"/>
      <c r="BI880" s="863"/>
      <c r="BJ880" s="863"/>
      <c r="BK880" s="863"/>
      <c r="BL880" s="863"/>
      <c r="BM880" s="863"/>
      <c r="BN880" s="863"/>
      <c r="BO880" s="863"/>
      <c r="BP880" s="880"/>
      <c r="BQ880" s="863"/>
      <c r="BR880" s="883"/>
      <c r="BS880" s="883"/>
      <c r="BT880" s="883"/>
      <c r="BU880" s="883"/>
      <c r="BV880" s="883"/>
      <c r="BW880" s="883"/>
      <c r="BX880" s="883"/>
      <c r="BY880" s="883"/>
      <c r="BZ880" s="883"/>
      <c r="CA880" s="883"/>
      <c r="CB880" s="883"/>
      <c r="CC880" s="883"/>
      <c r="CD880" s="884"/>
      <c r="CE880" s="883"/>
      <c r="CF880" s="883"/>
      <c r="CG880" s="883"/>
      <c r="CH880" s="883"/>
      <c r="CI880" s="883"/>
      <c r="CJ880" s="883"/>
      <c r="CK880" s="883"/>
      <c r="CL880" s="883"/>
      <c r="CM880" s="883"/>
      <c r="CN880" s="883"/>
      <c r="CO880" s="883"/>
      <c r="CP880" s="883"/>
      <c r="CQ880" s="883"/>
      <c r="CR880" s="883"/>
      <c r="CS880" s="883"/>
      <c r="CT880" s="883"/>
      <c r="CU880" s="883"/>
      <c r="CV880" s="863"/>
      <c r="CW880" s="863"/>
      <c r="CX880" s="863"/>
      <c r="CY880" s="863"/>
      <c r="CZ880" s="863"/>
      <c r="DA880" s="863"/>
      <c r="DB880" s="863"/>
      <c r="DC880" s="863"/>
      <c r="DD880" s="863"/>
      <c r="DE880" s="863"/>
    </row>
    <row r="881">
      <c r="A881" s="876"/>
      <c r="B881" s="876"/>
      <c r="C881" s="876"/>
      <c r="D881" s="876"/>
      <c r="E881" s="876"/>
      <c r="F881" s="876"/>
      <c r="G881" s="876"/>
      <c r="H881" s="876"/>
      <c r="I881" s="876"/>
      <c r="J881" s="876"/>
      <c r="K881" s="876"/>
      <c r="L881" s="876"/>
      <c r="M881" s="876"/>
      <c r="N881" s="877"/>
      <c r="O881" s="876"/>
      <c r="P881" s="876"/>
      <c r="Q881" s="876"/>
      <c r="R881" s="876"/>
      <c r="S881" s="876"/>
      <c r="T881" s="876"/>
      <c r="U881" s="876"/>
      <c r="V881" s="876"/>
      <c r="W881" s="876"/>
      <c r="X881" s="876"/>
      <c r="Y881" s="876"/>
      <c r="Z881" s="876"/>
      <c r="AA881" s="876"/>
      <c r="AB881" s="876"/>
      <c r="AC881" s="876"/>
      <c r="AD881" s="876"/>
      <c r="AE881" s="876"/>
      <c r="AF881" s="876"/>
      <c r="AG881" s="876"/>
      <c r="AH881" s="876"/>
      <c r="AI881" s="878"/>
      <c r="AJ881" s="880"/>
      <c r="AK881" s="880"/>
      <c r="AL881" s="880"/>
      <c r="AM881" s="880"/>
      <c r="AN881" s="880"/>
      <c r="AO881" s="880"/>
      <c r="AP881" s="880"/>
      <c r="AQ881" s="880"/>
      <c r="AR881" s="880"/>
      <c r="AS881" s="880"/>
      <c r="AT881" s="880"/>
      <c r="AU881" s="880"/>
      <c r="AV881" s="880"/>
      <c r="AW881" s="881"/>
      <c r="AX881" s="863"/>
      <c r="AY881" s="863"/>
      <c r="AZ881" s="863"/>
      <c r="BA881" s="863"/>
      <c r="BB881" s="863"/>
      <c r="BC881" s="863"/>
      <c r="BD881" s="863"/>
      <c r="BE881" s="863"/>
      <c r="BF881" s="863"/>
      <c r="BG881" s="863"/>
      <c r="BH881" s="863"/>
      <c r="BI881" s="863"/>
      <c r="BJ881" s="863"/>
      <c r="BK881" s="863"/>
      <c r="BL881" s="863"/>
      <c r="BM881" s="863"/>
      <c r="BN881" s="863"/>
      <c r="BO881" s="863"/>
      <c r="BP881" s="880"/>
      <c r="BQ881" s="863"/>
      <c r="BR881" s="883"/>
      <c r="BS881" s="883"/>
      <c r="BT881" s="883"/>
      <c r="BU881" s="883"/>
      <c r="BV881" s="883"/>
      <c r="BW881" s="883"/>
      <c r="BX881" s="883"/>
      <c r="BY881" s="883"/>
      <c r="BZ881" s="883"/>
      <c r="CA881" s="883"/>
      <c r="CB881" s="883"/>
      <c r="CC881" s="883"/>
      <c r="CD881" s="884"/>
      <c r="CE881" s="883"/>
      <c r="CF881" s="883"/>
      <c r="CG881" s="883"/>
      <c r="CH881" s="883"/>
      <c r="CI881" s="883"/>
      <c r="CJ881" s="883"/>
      <c r="CK881" s="883"/>
      <c r="CL881" s="883"/>
      <c r="CM881" s="883"/>
      <c r="CN881" s="883"/>
      <c r="CO881" s="883"/>
      <c r="CP881" s="883"/>
      <c r="CQ881" s="883"/>
      <c r="CR881" s="883"/>
      <c r="CS881" s="883"/>
      <c r="CT881" s="883"/>
      <c r="CU881" s="883"/>
      <c r="CV881" s="863"/>
      <c r="CW881" s="863"/>
      <c r="CX881" s="863"/>
      <c r="CY881" s="863"/>
      <c r="CZ881" s="863"/>
      <c r="DA881" s="863"/>
      <c r="DB881" s="863"/>
      <c r="DC881" s="863"/>
      <c r="DD881" s="863"/>
      <c r="DE881" s="863"/>
    </row>
    <row r="882">
      <c r="A882" s="876"/>
      <c r="B882" s="876"/>
      <c r="C882" s="876"/>
      <c r="D882" s="876"/>
      <c r="E882" s="876"/>
      <c r="F882" s="876"/>
      <c r="G882" s="876"/>
      <c r="H882" s="876"/>
      <c r="I882" s="876"/>
      <c r="J882" s="876"/>
      <c r="K882" s="876"/>
      <c r="L882" s="876"/>
      <c r="M882" s="876"/>
      <c r="N882" s="877"/>
      <c r="O882" s="876"/>
      <c r="P882" s="876"/>
      <c r="Q882" s="876"/>
      <c r="R882" s="876"/>
      <c r="S882" s="876"/>
      <c r="T882" s="876"/>
      <c r="U882" s="876"/>
      <c r="V882" s="876"/>
      <c r="W882" s="876"/>
      <c r="X882" s="876"/>
      <c r="Y882" s="876"/>
      <c r="Z882" s="876"/>
      <c r="AA882" s="876"/>
      <c r="AB882" s="876"/>
      <c r="AC882" s="876"/>
      <c r="AD882" s="876"/>
      <c r="AE882" s="876"/>
      <c r="AF882" s="876"/>
      <c r="AG882" s="876"/>
      <c r="AH882" s="876"/>
      <c r="AI882" s="878"/>
      <c r="AJ882" s="880"/>
      <c r="AK882" s="880"/>
      <c r="AL882" s="880"/>
      <c r="AM882" s="880"/>
      <c r="AN882" s="880"/>
      <c r="AO882" s="880"/>
      <c r="AP882" s="880"/>
      <c r="AQ882" s="880"/>
      <c r="AR882" s="880"/>
      <c r="AS882" s="880"/>
      <c r="AT882" s="880"/>
      <c r="AU882" s="880"/>
      <c r="AV882" s="880"/>
      <c r="AW882" s="881"/>
      <c r="AX882" s="863"/>
      <c r="AY882" s="863"/>
      <c r="AZ882" s="863"/>
      <c r="BA882" s="863"/>
      <c r="BB882" s="863"/>
      <c r="BC882" s="863"/>
      <c r="BD882" s="863"/>
      <c r="BE882" s="863"/>
      <c r="BF882" s="863"/>
      <c r="BG882" s="863"/>
      <c r="BH882" s="863"/>
      <c r="BI882" s="863"/>
      <c r="BJ882" s="863"/>
      <c r="BK882" s="863"/>
      <c r="BL882" s="863"/>
      <c r="BM882" s="863"/>
      <c r="BN882" s="863"/>
      <c r="BO882" s="863"/>
      <c r="BP882" s="880"/>
      <c r="BQ882" s="863"/>
      <c r="BR882" s="883"/>
      <c r="BS882" s="883"/>
      <c r="BT882" s="883"/>
      <c r="BU882" s="883"/>
      <c r="BV882" s="883"/>
      <c r="BW882" s="883"/>
      <c r="BX882" s="883"/>
      <c r="BY882" s="883"/>
      <c r="BZ882" s="883"/>
      <c r="CA882" s="883"/>
      <c r="CB882" s="883"/>
      <c r="CC882" s="883"/>
      <c r="CD882" s="884"/>
      <c r="CE882" s="883"/>
      <c r="CF882" s="883"/>
      <c r="CG882" s="883"/>
      <c r="CH882" s="883"/>
      <c r="CI882" s="883"/>
      <c r="CJ882" s="883"/>
      <c r="CK882" s="883"/>
      <c r="CL882" s="883"/>
      <c r="CM882" s="883"/>
      <c r="CN882" s="883"/>
      <c r="CO882" s="883"/>
      <c r="CP882" s="883"/>
      <c r="CQ882" s="883"/>
      <c r="CR882" s="883"/>
      <c r="CS882" s="883"/>
      <c r="CT882" s="883"/>
      <c r="CU882" s="883"/>
      <c r="CV882" s="863"/>
      <c r="CW882" s="863"/>
      <c r="CX882" s="863"/>
      <c r="CY882" s="863"/>
      <c r="CZ882" s="863"/>
      <c r="DA882" s="863"/>
      <c r="DB882" s="863"/>
      <c r="DC882" s="863"/>
      <c r="DD882" s="863"/>
      <c r="DE882" s="863"/>
    </row>
    <row r="883">
      <c r="A883" s="876"/>
      <c r="B883" s="876"/>
      <c r="C883" s="876"/>
      <c r="D883" s="876"/>
      <c r="E883" s="876"/>
      <c r="F883" s="876"/>
      <c r="G883" s="876"/>
      <c r="H883" s="876"/>
      <c r="I883" s="876"/>
      <c r="J883" s="876"/>
      <c r="K883" s="876"/>
      <c r="L883" s="876"/>
      <c r="M883" s="876"/>
      <c r="N883" s="877"/>
      <c r="O883" s="876"/>
      <c r="P883" s="876"/>
      <c r="Q883" s="876"/>
      <c r="R883" s="876"/>
      <c r="S883" s="876"/>
      <c r="T883" s="876"/>
      <c r="U883" s="876"/>
      <c r="V883" s="876"/>
      <c r="W883" s="876"/>
      <c r="X883" s="876"/>
      <c r="Y883" s="876"/>
      <c r="Z883" s="876"/>
      <c r="AA883" s="876"/>
      <c r="AB883" s="876"/>
      <c r="AC883" s="876"/>
      <c r="AD883" s="876"/>
      <c r="AE883" s="876"/>
      <c r="AF883" s="876"/>
      <c r="AG883" s="876"/>
      <c r="AH883" s="876"/>
      <c r="AI883" s="878"/>
      <c r="AJ883" s="880"/>
      <c r="AK883" s="880"/>
      <c r="AL883" s="880"/>
      <c r="AM883" s="880"/>
      <c r="AN883" s="880"/>
      <c r="AO883" s="880"/>
      <c r="AP883" s="880"/>
      <c r="AQ883" s="880"/>
      <c r="AR883" s="880"/>
      <c r="AS883" s="880"/>
      <c r="AT883" s="880"/>
      <c r="AU883" s="880"/>
      <c r="AV883" s="880"/>
      <c r="AW883" s="881"/>
      <c r="AX883" s="863"/>
      <c r="AY883" s="863"/>
      <c r="AZ883" s="863"/>
      <c r="BA883" s="863"/>
      <c r="BB883" s="863"/>
      <c r="BC883" s="863"/>
      <c r="BD883" s="863"/>
      <c r="BE883" s="863"/>
      <c r="BF883" s="863"/>
      <c r="BG883" s="863"/>
      <c r="BH883" s="863"/>
      <c r="BI883" s="863"/>
      <c r="BJ883" s="863"/>
      <c r="BK883" s="863"/>
      <c r="BL883" s="863"/>
      <c r="BM883" s="863"/>
      <c r="BN883" s="863"/>
      <c r="BO883" s="863"/>
      <c r="BP883" s="880"/>
      <c r="BQ883" s="863"/>
      <c r="BR883" s="883"/>
      <c r="BS883" s="883"/>
      <c r="BT883" s="883"/>
      <c r="BU883" s="883"/>
      <c r="BV883" s="883"/>
      <c r="BW883" s="883"/>
      <c r="BX883" s="883"/>
      <c r="BY883" s="883"/>
      <c r="BZ883" s="883"/>
      <c r="CA883" s="883"/>
      <c r="CB883" s="883"/>
      <c r="CC883" s="883"/>
      <c r="CD883" s="884"/>
      <c r="CE883" s="883"/>
      <c r="CF883" s="883"/>
      <c r="CG883" s="883"/>
      <c r="CH883" s="883"/>
      <c r="CI883" s="883"/>
      <c r="CJ883" s="883"/>
      <c r="CK883" s="883"/>
      <c r="CL883" s="883"/>
      <c r="CM883" s="883"/>
      <c r="CN883" s="883"/>
      <c r="CO883" s="883"/>
      <c r="CP883" s="883"/>
      <c r="CQ883" s="883"/>
      <c r="CR883" s="883"/>
      <c r="CS883" s="883"/>
      <c r="CT883" s="883"/>
      <c r="CU883" s="883"/>
      <c r="CV883" s="863"/>
      <c r="CW883" s="863"/>
      <c r="CX883" s="863"/>
      <c r="CY883" s="863"/>
      <c r="CZ883" s="863"/>
      <c r="DA883" s="863"/>
      <c r="DB883" s="863"/>
      <c r="DC883" s="863"/>
      <c r="DD883" s="863"/>
      <c r="DE883" s="863"/>
    </row>
    <row r="884">
      <c r="A884" s="876"/>
      <c r="B884" s="876"/>
      <c r="C884" s="876"/>
      <c r="D884" s="876"/>
      <c r="E884" s="876"/>
      <c r="F884" s="876"/>
      <c r="G884" s="876"/>
      <c r="H884" s="876"/>
      <c r="I884" s="876"/>
      <c r="J884" s="876"/>
      <c r="K884" s="876"/>
      <c r="L884" s="876"/>
      <c r="M884" s="876"/>
      <c r="N884" s="877"/>
      <c r="O884" s="876"/>
      <c r="P884" s="876"/>
      <c r="Q884" s="876"/>
      <c r="R884" s="876"/>
      <c r="S884" s="876"/>
      <c r="T884" s="876"/>
      <c r="U884" s="876"/>
      <c r="V884" s="876"/>
      <c r="W884" s="876"/>
      <c r="X884" s="876"/>
      <c r="Y884" s="876"/>
      <c r="Z884" s="876"/>
      <c r="AA884" s="876"/>
      <c r="AB884" s="876"/>
      <c r="AC884" s="876"/>
      <c r="AD884" s="876"/>
      <c r="AE884" s="876"/>
      <c r="AF884" s="876"/>
      <c r="AG884" s="876"/>
      <c r="AH884" s="876"/>
      <c r="AI884" s="878"/>
      <c r="AJ884" s="880"/>
      <c r="AK884" s="880"/>
      <c r="AL884" s="880"/>
      <c r="AM884" s="880"/>
      <c r="AN884" s="880"/>
      <c r="AO884" s="880"/>
      <c r="AP884" s="880"/>
      <c r="AQ884" s="880"/>
      <c r="AR884" s="880"/>
      <c r="AS884" s="880"/>
      <c r="AT884" s="880"/>
      <c r="AU884" s="880"/>
      <c r="AV884" s="880"/>
      <c r="AW884" s="881"/>
      <c r="AX884" s="863"/>
      <c r="AY884" s="863"/>
      <c r="AZ884" s="863"/>
      <c r="BA884" s="863"/>
      <c r="BB884" s="863"/>
      <c r="BC884" s="863"/>
      <c r="BD884" s="863"/>
      <c r="BE884" s="863"/>
      <c r="BF884" s="863"/>
      <c r="BG884" s="863"/>
      <c r="BH884" s="863"/>
      <c r="BI884" s="863"/>
      <c r="BJ884" s="863"/>
      <c r="BK884" s="863"/>
      <c r="BL884" s="863"/>
      <c r="BM884" s="863"/>
      <c r="BN884" s="863"/>
      <c r="BO884" s="863"/>
      <c r="BP884" s="880"/>
      <c r="BQ884" s="863"/>
      <c r="BR884" s="883"/>
      <c r="BS884" s="883"/>
      <c r="BT884" s="883"/>
      <c r="BU884" s="883"/>
      <c r="BV884" s="883"/>
      <c r="BW884" s="883"/>
      <c r="BX884" s="883"/>
      <c r="BY884" s="883"/>
      <c r="BZ884" s="883"/>
      <c r="CA884" s="883"/>
      <c r="CB884" s="883"/>
      <c r="CC884" s="883"/>
      <c r="CD884" s="884"/>
      <c r="CE884" s="883"/>
      <c r="CF884" s="883"/>
      <c r="CG884" s="883"/>
      <c r="CH884" s="883"/>
      <c r="CI884" s="883"/>
      <c r="CJ884" s="883"/>
      <c r="CK884" s="883"/>
      <c r="CL884" s="883"/>
      <c r="CM884" s="883"/>
      <c r="CN884" s="883"/>
      <c r="CO884" s="883"/>
      <c r="CP884" s="883"/>
      <c r="CQ884" s="883"/>
      <c r="CR884" s="883"/>
      <c r="CS884" s="883"/>
      <c r="CT884" s="883"/>
      <c r="CU884" s="883"/>
      <c r="CV884" s="863"/>
      <c r="CW884" s="863"/>
      <c r="CX884" s="863"/>
      <c r="CY884" s="863"/>
      <c r="CZ884" s="863"/>
      <c r="DA884" s="863"/>
      <c r="DB884" s="863"/>
      <c r="DC884" s="863"/>
      <c r="DD884" s="863"/>
      <c r="DE884" s="863"/>
    </row>
    <row r="885">
      <c r="A885" s="876"/>
      <c r="B885" s="876"/>
      <c r="C885" s="876"/>
      <c r="D885" s="876"/>
      <c r="E885" s="876"/>
      <c r="F885" s="876"/>
      <c r="G885" s="876"/>
      <c r="H885" s="876"/>
      <c r="I885" s="876"/>
      <c r="J885" s="876"/>
      <c r="K885" s="876"/>
      <c r="L885" s="876"/>
      <c r="M885" s="876"/>
      <c r="N885" s="877"/>
      <c r="O885" s="876"/>
      <c r="P885" s="876"/>
      <c r="Q885" s="876"/>
      <c r="R885" s="876"/>
      <c r="S885" s="876"/>
      <c r="T885" s="876"/>
      <c r="U885" s="876"/>
      <c r="V885" s="876"/>
      <c r="W885" s="876"/>
      <c r="X885" s="876"/>
      <c r="Y885" s="876"/>
      <c r="Z885" s="876"/>
      <c r="AA885" s="876"/>
      <c r="AB885" s="876"/>
      <c r="AC885" s="876"/>
      <c r="AD885" s="876"/>
      <c r="AE885" s="876"/>
      <c r="AF885" s="876"/>
      <c r="AG885" s="876"/>
      <c r="AH885" s="876"/>
      <c r="AI885" s="878"/>
      <c r="AJ885" s="880"/>
      <c r="AK885" s="880"/>
      <c r="AL885" s="880"/>
      <c r="AM885" s="880"/>
      <c r="AN885" s="880"/>
      <c r="AO885" s="880"/>
      <c r="AP885" s="880"/>
      <c r="AQ885" s="880"/>
      <c r="AR885" s="880"/>
      <c r="AS885" s="880"/>
      <c r="AT885" s="880"/>
      <c r="AU885" s="880"/>
      <c r="AV885" s="880"/>
      <c r="AW885" s="881"/>
      <c r="AX885" s="863"/>
      <c r="AY885" s="863"/>
      <c r="AZ885" s="863"/>
      <c r="BA885" s="863"/>
      <c r="BB885" s="863"/>
      <c r="BC885" s="863"/>
      <c r="BD885" s="863"/>
      <c r="BE885" s="863"/>
      <c r="BF885" s="863"/>
      <c r="BG885" s="863"/>
      <c r="BH885" s="863"/>
      <c r="BI885" s="863"/>
      <c r="BJ885" s="863"/>
      <c r="BK885" s="863"/>
      <c r="BL885" s="863"/>
      <c r="BM885" s="863"/>
      <c r="BN885" s="863"/>
      <c r="BO885" s="863"/>
      <c r="BP885" s="880"/>
      <c r="BQ885" s="863"/>
      <c r="BR885" s="883"/>
      <c r="BS885" s="883"/>
      <c r="BT885" s="883"/>
      <c r="BU885" s="883"/>
      <c r="BV885" s="883"/>
      <c r="BW885" s="883"/>
      <c r="BX885" s="883"/>
      <c r="BY885" s="883"/>
      <c r="BZ885" s="883"/>
      <c r="CA885" s="883"/>
      <c r="CB885" s="883"/>
      <c r="CC885" s="883"/>
      <c r="CD885" s="884"/>
      <c r="CE885" s="883"/>
      <c r="CF885" s="883"/>
      <c r="CG885" s="883"/>
      <c r="CH885" s="883"/>
      <c r="CI885" s="883"/>
      <c r="CJ885" s="883"/>
      <c r="CK885" s="883"/>
      <c r="CL885" s="883"/>
      <c r="CM885" s="883"/>
      <c r="CN885" s="883"/>
      <c r="CO885" s="883"/>
      <c r="CP885" s="883"/>
      <c r="CQ885" s="883"/>
      <c r="CR885" s="883"/>
      <c r="CS885" s="883"/>
      <c r="CT885" s="883"/>
      <c r="CU885" s="883"/>
      <c r="CV885" s="863"/>
      <c r="CW885" s="863"/>
      <c r="CX885" s="863"/>
      <c r="CY885" s="863"/>
      <c r="CZ885" s="863"/>
      <c r="DA885" s="863"/>
      <c r="DB885" s="863"/>
      <c r="DC885" s="863"/>
      <c r="DD885" s="863"/>
      <c r="DE885" s="863"/>
    </row>
    <row r="886">
      <c r="A886" s="876"/>
      <c r="B886" s="876"/>
      <c r="C886" s="876"/>
      <c r="D886" s="876"/>
      <c r="E886" s="876"/>
      <c r="F886" s="876"/>
      <c r="G886" s="876"/>
      <c r="H886" s="876"/>
      <c r="I886" s="876"/>
      <c r="J886" s="876"/>
      <c r="K886" s="876"/>
      <c r="L886" s="876"/>
      <c r="M886" s="876"/>
      <c r="N886" s="877"/>
      <c r="O886" s="876"/>
      <c r="P886" s="876"/>
      <c r="Q886" s="876"/>
      <c r="R886" s="876"/>
      <c r="S886" s="876"/>
      <c r="T886" s="876"/>
      <c r="U886" s="876"/>
      <c r="V886" s="876"/>
      <c r="W886" s="876"/>
      <c r="X886" s="876"/>
      <c r="Y886" s="876"/>
      <c r="Z886" s="876"/>
      <c r="AA886" s="876"/>
      <c r="AB886" s="876"/>
      <c r="AC886" s="876"/>
      <c r="AD886" s="876"/>
      <c r="AE886" s="876"/>
      <c r="AF886" s="876"/>
      <c r="AG886" s="876"/>
      <c r="AH886" s="876"/>
      <c r="AI886" s="878"/>
      <c r="AJ886" s="880"/>
      <c r="AK886" s="880"/>
      <c r="AL886" s="880"/>
      <c r="AM886" s="880"/>
      <c r="AN886" s="880"/>
      <c r="AO886" s="880"/>
      <c r="AP886" s="880"/>
      <c r="AQ886" s="880"/>
      <c r="AR886" s="880"/>
      <c r="AS886" s="880"/>
      <c r="AT886" s="880"/>
      <c r="AU886" s="880"/>
      <c r="AV886" s="880"/>
      <c r="AW886" s="881"/>
      <c r="AX886" s="863"/>
      <c r="AY886" s="863"/>
      <c r="AZ886" s="863"/>
      <c r="BA886" s="863"/>
      <c r="BB886" s="863"/>
      <c r="BC886" s="863"/>
      <c r="BD886" s="863"/>
      <c r="BE886" s="863"/>
      <c r="BF886" s="863"/>
      <c r="BG886" s="863"/>
      <c r="BH886" s="863"/>
      <c r="BI886" s="863"/>
      <c r="BJ886" s="863"/>
      <c r="BK886" s="863"/>
      <c r="BL886" s="863"/>
      <c r="BM886" s="863"/>
      <c r="BN886" s="863"/>
      <c r="BO886" s="863"/>
      <c r="BP886" s="880"/>
      <c r="BQ886" s="863"/>
      <c r="BR886" s="883"/>
      <c r="BS886" s="883"/>
      <c r="BT886" s="883"/>
      <c r="BU886" s="883"/>
      <c r="BV886" s="883"/>
      <c r="BW886" s="883"/>
      <c r="BX886" s="883"/>
      <c r="BY886" s="883"/>
      <c r="BZ886" s="883"/>
      <c r="CA886" s="883"/>
      <c r="CB886" s="883"/>
      <c r="CC886" s="883"/>
      <c r="CD886" s="884"/>
      <c r="CE886" s="883"/>
      <c r="CF886" s="883"/>
      <c r="CG886" s="883"/>
      <c r="CH886" s="883"/>
      <c r="CI886" s="883"/>
      <c r="CJ886" s="883"/>
      <c r="CK886" s="883"/>
      <c r="CL886" s="883"/>
      <c r="CM886" s="883"/>
      <c r="CN886" s="883"/>
      <c r="CO886" s="883"/>
      <c r="CP886" s="883"/>
      <c r="CQ886" s="883"/>
      <c r="CR886" s="883"/>
      <c r="CS886" s="883"/>
      <c r="CT886" s="883"/>
      <c r="CU886" s="883"/>
      <c r="CV886" s="863"/>
      <c r="CW886" s="863"/>
      <c r="CX886" s="863"/>
      <c r="CY886" s="863"/>
      <c r="CZ886" s="863"/>
      <c r="DA886" s="863"/>
      <c r="DB886" s="863"/>
      <c r="DC886" s="863"/>
      <c r="DD886" s="863"/>
      <c r="DE886" s="863"/>
    </row>
    <row r="887">
      <c r="A887" s="876"/>
      <c r="B887" s="876"/>
      <c r="C887" s="876"/>
      <c r="D887" s="876"/>
      <c r="E887" s="876"/>
      <c r="F887" s="876"/>
      <c r="G887" s="876"/>
      <c r="H887" s="876"/>
      <c r="I887" s="876"/>
      <c r="J887" s="876"/>
      <c r="K887" s="876"/>
      <c r="L887" s="876"/>
      <c r="M887" s="876"/>
      <c r="N887" s="877"/>
      <c r="O887" s="876"/>
      <c r="P887" s="876"/>
      <c r="Q887" s="876"/>
      <c r="R887" s="876"/>
      <c r="S887" s="876"/>
      <c r="T887" s="876"/>
      <c r="U887" s="876"/>
      <c r="V887" s="876"/>
      <c r="W887" s="876"/>
      <c r="X887" s="876"/>
      <c r="Y887" s="876"/>
      <c r="Z887" s="876"/>
      <c r="AA887" s="876"/>
      <c r="AB887" s="876"/>
      <c r="AC887" s="876"/>
      <c r="AD887" s="876"/>
      <c r="AE887" s="876"/>
      <c r="AF887" s="876"/>
      <c r="AG887" s="876"/>
      <c r="AH887" s="876"/>
      <c r="AI887" s="878"/>
      <c r="AJ887" s="880"/>
      <c r="AK887" s="880"/>
      <c r="AL887" s="880"/>
      <c r="AM887" s="880"/>
      <c r="AN887" s="880"/>
      <c r="AO887" s="880"/>
      <c r="AP887" s="880"/>
      <c r="AQ887" s="880"/>
      <c r="AR887" s="880"/>
      <c r="AS887" s="880"/>
      <c r="AT887" s="880"/>
      <c r="AU887" s="880"/>
      <c r="AV887" s="880"/>
      <c r="AW887" s="881"/>
      <c r="AX887" s="863"/>
      <c r="AY887" s="863"/>
      <c r="AZ887" s="863"/>
      <c r="BA887" s="863"/>
      <c r="BB887" s="863"/>
      <c r="BC887" s="863"/>
      <c r="BD887" s="863"/>
      <c r="BE887" s="863"/>
      <c r="BF887" s="863"/>
      <c r="BG887" s="863"/>
      <c r="BH887" s="863"/>
      <c r="BI887" s="863"/>
      <c r="BJ887" s="863"/>
      <c r="BK887" s="863"/>
      <c r="BL887" s="863"/>
      <c r="BM887" s="863"/>
      <c r="BN887" s="863"/>
      <c r="BO887" s="863"/>
      <c r="BP887" s="880"/>
      <c r="BQ887" s="863"/>
      <c r="BR887" s="883"/>
      <c r="BS887" s="883"/>
      <c r="BT887" s="883"/>
      <c r="BU887" s="883"/>
      <c r="BV887" s="883"/>
      <c r="BW887" s="883"/>
      <c r="BX887" s="883"/>
      <c r="BY887" s="883"/>
      <c r="BZ887" s="883"/>
      <c r="CA887" s="883"/>
      <c r="CB887" s="883"/>
      <c r="CC887" s="883"/>
      <c r="CD887" s="884"/>
      <c r="CE887" s="883"/>
      <c r="CF887" s="883"/>
      <c r="CG887" s="883"/>
      <c r="CH887" s="883"/>
      <c r="CI887" s="883"/>
      <c r="CJ887" s="883"/>
      <c r="CK887" s="883"/>
      <c r="CL887" s="883"/>
      <c r="CM887" s="883"/>
      <c r="CN887" s="883"/>
      <c r="CO887" s="883"/>
      <c r="CP887" s="883"/>
      <c r="CQ887" s="883"/>
      <c r="CR887" s="883"/>
      <c r="CS887" s="883"/>
      <c r="CT887" s="883"/>
      <c r="CU887" s="883"/>
      <c r="CV887" s="863"/>
      <c r="CW887" s="863"/>
      <c r="CX887" s="863"/>
      <c r="CY887" s="863"/>
      <c r="CZ887" s="863"/>
      <c r="DA887" s="863"/>
      <c r="DB887" s="863"/>
      <c r="DC887" s="863"/>
      <c r="DD887" s="863"/>
      <c r="DE887" s="863"/>
    </row>
    <row r="888">
      <c r="A888" s="876"/>
      <c r="B888" s="876"/>
      <c r="C888" s="876"/>
      <c r="D888" s="876"/>
      <c r="E888" s="876"/>
      <c r="F888" s="876"/>
      <c r="G888" s="876"/>
      <c r="H888" s="876"/>
      <c r="I888" s="876"/>
      <c r="J888" s="876"/>
      <c r="K888" s="876"/>
      <c r="L888" s="876"/>
      <c r="M888" s="876"/>
      <c r="N888" s="877"/>
      <c r="O888" s="876"/>
      <c r="P888" s="876"/>
      <c r="Q888" s="876"/>
      <c r="R888" s="876"/>
      <c r="S888" s="876"/>
      <c r="T888" s="876"/>
      <c r="U888" s="876"/>
      <c r="V888" s="876"/>
      <c r="W888" s="876"/>
      <c r="X888" s="876"/>
      <c r="Y888" s="876"/>
      <c r="Z888" s="876"/>
      <c r="AA888" s="876"/>
      <c r="AB888" s="876"/>
      <c r="AC888" s="876"/>
      <c r="AD888" s="876"/>
      <c r="AE888" s="876"/>
      <c r="AF888" s="876"/>
      <c r="AG888" s="876"/>
      <c r="AH888" s="876"/>
      <c r="AI888" s="878"/>
      <c r="AJ888" s="880"/>
      <c r="AK888" s="880"/>
      <c r="AL888" s="880"/>
      <c r="AM888" s="880"/>
      <c r="AN888" s="880"/>
      <c r="AO888" s="880"/>
      <c r="AP888" s="880"/>
      <c r="AQ888" s="880"/>
      <c r="AR888" s="880"/>
      <c r="AS888" s="880"/>
      <c r="AT888" s="880"/>
      <c r="AU888" s="880"/>
      <c r="AV888" s="880"/>
      <c r="AW888" s="881"/>
      <c r="AX888" s="863"/>
      <c r="AY888" s="863"/>
      <c r="AZ888" s="863"/>
      <c r="BA888" s="863"/>
      <c r="BB888" s="863"/>
      <c r="BC888" s="863"/>
      <c r="BD888" s="863"/>
      <c r="BE888" s="863"/>
      <c r="BF888" s="863"/>
      <c r="BG888" s="863"/>
      <c r="BH888" s="863"/>
      <c r="BI888" s="863"/>
      <c r="BJ888" s="863"/>
      <c r="BK888" s="863"/>
      <c r="BL888" s="863"/>
      <c r="BM888" s="863"/>
      <c r="BN888" s="863"/>
      <c r="BO888" s="863"/>
      <c r="BP888" s="880"/>
      <c r="BQ888" s="863"/>
      <c r="BR888" s="883"/>
      <c r="BS888" s="883"/>
      <c r="BT888" s="883"/>
      <c r="BU888" s="883"/>
      <c r="BV888" s="883"/>
      <c r="BW888" s="883"/>
      <c r="BX888" s="883"/>
      <c r="BY888" s="883"/>
      <c r="BZ888" s="883"/>
      <c r="CA888" s="883"/>
      <c r="CB888" s="883"/>
      <c r="CC888" s="883"/>
      <c r="CD888" s="884"/>
      <c r="CE888" s="883"/>
      <c r="CF888" s="883"/>
      <c r="CG888" s="883"/>
      <c r="CH888" s="883"/>
      <c r="CI888" s="883"/>
      <c r="CJ888" s="883"/>
      <c r="CK888" s="883"/>
      <c r="CL888" s="883"/>
      <c r="CM888" s="883"/>
      <c r="CN888" s="883"/>
      <c r="CO888" s="883"/>
      <c r="CP888" s="883"/>
      <c r="CQ888" s="883"/>
      <c r="CR888" s="883"/>
      <c r="CS888" s="883"/>
      <c r="CT888" s="883"/>
      <c r="CU888" s="883"/>
      <c r="CV888" s="863"/>
      <c r="CW888" s="863"/>
      <c r="CX888" s="863"/>
      <c r="CY888" s="863"/>
      <c r="CZ888" s="863"/>
      <c r="DA888" s="863"/>
      <c r="DB888" s="863"/>
      <c r="DC888" s="863"/>
      <c r="DD888" s="863"/>
      <c r="DE888" s="863"/>
    </row>
    <row r="889">
      <c r="A889" s="876"/>
      <c r="B889" s="876"/>
      <c r="C889" s="876"/>
      <c r="D889" s="876"/>
      <c r="E889" s="876"/>
      <c r="F889" s="876"/>
      <c r="G889" s="876"/>
      <c r="H889" s="876"/>
      <c r="I889" s="876"/>
      <c r="J889" s="876"/>
      <c r="K889" s="876"/>
      <c r="L889" s="876"/>
      <c r="M889" s="876"/>
      <c r="N889" s="877"/>
      <c r="O889" s="876"/>
      <c r="P889" s="876"/>
      <c r="Q889" s="876"/>
      <c r="R889" s="876"/>
      <c r="S889" s="876"/>
      <c r="T889" s="876"/>
      <c r="U889" s="876"/>
      <c r="V889" s="876"/>
      <c r="W889" s="876"/>
      <c r="X889" s="876"/>
      <c r="Y889" s="876"/>
      <c r="Z889" s="876"/>
      <c r="AA889" s="876"/>
      <c r="AB889" s="876"/>
      <c r="AC889" s="876"/>
      <c r="AD889" s="876"/>
      <c r="AE889" s="876"/>
      <c r="AF889" s="876"/>
      <c r="AG889" s="876"/>
      <c r="AH889" s="876"/>
      <c r="AI889" s="878"/>
      <c r="AJ889" s="880"/>
      <c r="AK889" s="880"/>
      <c r="AL889" s="880"/>
      <c r="AM889" s="880"/>
      <c r="AN889" s="880"/>
      <c r="AO889" s="880"/>
      <c r="AP889" s="880"/>
      <c r="AQ889" s="880"/>
      <c r="AR889" s="880"/>
      <c r="AS889" s="880"/>
      <c r="AT889" s="880"/>
      <c r="AU889" s="880"/>
      <c r="AV889" s="880"/>
      <c r="AW889" s="881"/>
      <c r="AX889" s="863"/>
      <c r="AY889" s="863"/>
      <c r="AZ889" s="863"/>
      <c r="BA889" s="863"/>
      <c r="BB889" s="863"/>
      <c r="BC889" s="863"/>
      <c r="BD889" s="863"/>
      <c r="BE889" s="863"/>
      <c r="BF889" s="863"/>
      <c r="BG889" s="863"/>
      <c r="BH889" s="863"/>
      <c r="BI889" s="863"/>
      <c r="BJ889" s="863"/>
      <c r="BK889" s="863"/>
      <c r="BL889" s="863"/>
      <c r="BM889" s="863"/>
      <c r="BN889" s="863"/>
      <c r="BO889" s="863"/>
      <c r="BP889" s="880"/>
      <c r="BQ889" s="863"/>
      <c r="BR889" s="883"/>
      <c r="BS889" s="883"/>
      <c r="BT889" s="883"/>
      <c r="BU889" s="883"/>
      <c r="BV889" s="883"/>
      <c r="BW889" s="883"/>
      <c r="BX889" s="883"/>
      <c r="BY889" s="883"/>
      <c r="BZ889" s="883"/>
      <c r="CA889" s="883"/>
      <c r="CB889" s="883"/>
      <c r="CC889" s="883"/>
      <c r="CD889" s="884"/>
      <c r="CE889" s="883"/>
      <c r="CF889" s="883"/>
      <c r="CG889" s="883"/>
      <c r="CH889" s="883"/>
      <c r="CI889" s="883"/>
      <c r="CJ889" s="883"/>
      <c r="CK889" s="883"/>
      <c r="CL889" s="883"/>
      <c r="CM889" s="883"/>
      <c r="CN889" s="883"/>
      <c r="CO889" s="883"/>
      <c r="CP889" s="883"/>
      <c r="CQ889" s="883"/>
      <c r="CR889" s="883"/>
      <c r="CS889" s="883"/>
      <c r="CT889" s="883"/>
      <c r="CU889" s="883"/>
      <c r="CV889" s="863"/>
      <c r="CW889" s="863"/>
      <c r="CX889" s="863"/>
      <c r="CY889" s="863"/>
      <c r="CZ889" s="863"/>
      <c r="DA889" s="863"/>
      <c r="DB889" s="863"/>
      <c r="DC889" s="863"/>
      <c r="DD889" s="863"/>
      <c r="DE889" s="863"/>
    </row>
    <row r="890">
      <c r="A890" s="876"/>
      <c r="B890" s="876"/>
      <c r="C890" s="876"/>
      <c r="D890" s="876"/>
      <c r="E890" s="876"/>
      <c r="F890" s="876"/>
      <c r="G890" s="876"/>
      <c r="H890" s="876"/>
      <c r="I890" s="876"/>
      <c r="J890" s="876"/>
      <c r="K890" s="876"/>
      <c r="L890" s="876"/>
      <c r="M890" s="876"/>
      <c r="N890" s="877"/>
      <c r="O890" s="876"/>
      <c r="P890" s="876"/>
      <c r="Q890" s="876"/>
      <c r="R890" s="876"/>
      <c r="S890" s="876"/>
      <c r="T890" s="876"/>
      <c r="U890" s="876"/>
      <c r="V890" s="876"/>
      <c r="W890" s="876"/>
      <c r="X890" s="876"/>
      <c r="Y890" s="876"/>
      <c r="Z890" s="876"/>
      <c r="AA890" s="876"/>
      <c r="AB890" s="876"/>
      <c r="AC890" s="876"/>
      <c r="AD890" s="876"/>
      <c r="AE890" s="876"/>
      <c r="AF890" s="876"/>
      <c r="AG890" s="876"/>
      <c r="AH890" s="876"/>
      <c r="AI890" s="878"/>
      <c r="AJ890" s="880"/>
      <c r="AK890" s="880"/>
      <c r="AL890" s="880"/>
      <c r="AM890" s="880"/>
      <c r="AN890" s="880"/>
      <c r="AO890" s="880"/>
      <c r="AP890" s="880"/>
      <c r="AQ890" s="880"/>
      <c r="AR890" s="880"/>
      <c r="AS890" s="880"/>
      <c r="AT890" s="880"/>
      <c r="AU890" s="880"/>
      <c r="AV890" s="880"/>
      <c r="AW890" s="881"/>
      <c r="AX890" s="863"/>
      <c r="AY890" s="863"/>
      <c r="AZ890" s="863"/>
      <c r="BA890" s="863"/>
      <c r="BB890" s="863"/>
      <c r="BC890" s="863"/>
      <c r="BD890" s="863"/>
      <c r="BE890" s="863"/>
      <c r="BF890" s="863"/>
      <c r="BG890" s="863"/>
      <c r="BH890" s="863"/>
      <c r="BI890" s="863"/>
      <c r="BJ890" s="863"/>
      <c r="BK890" s="863"/>
      <c r="BL890" s="863"/>
      <c r="BM890" s="863"/>
      <c r="BN890" s="863"/>
      <c r="BO890" s="863"/>
      <c r="BP890" s="880"/>
      <c r="BQ890" s="863"/>
      <c r="BR890" s="883"/>
      <c r="BS890" s="883"/>
      <c r="BT890" s="883"/>
      <c r="BU890" s="883"/>
      <c r="BV890" s="883"/>
      <c r="BW890" s="883"/>
      <c r="BX890" s="883"/>
      <c r="BY890" s="883"/>
      <c r="BZ890" s="883"/>
      <c r="CA890" s="883"/>
      <c r="CB890" s="883"/>
      <c r="CC890" s="883"/>
      <c r="CD890" s="884"/>
      <c r="CE890" s="883"/>
      <c r="CF890" s="883"/>
      <c r="CG890" s="883"/>
      <c r="CH890" s="883"/>
      <c r="CI890" s="883"/>
      <c r="CJ890" s="883"/>
      <c r="CK890" s="883"/>
      <c r="CL890" s="883"/>
      <c r="CM890" s="883"/>
      <c r="CN890" s="883"/>
      <c r="CO890" s="883"/>
      <c r="CP890" s="883"/>
      <c r="CQ890" s="883"/>
      <c r="CR890" s="883"/>
      <c r="CS890" s="883"/>
      <c r="CT890" s="883"/>
      <c r="CU890" s="883"/>
      <c r="CV890" s="863"/>
      <c r="CW890" s="863"/>
      <c r="CX890" s="863"/>
      <c r="CY890" s="863"/>
      <c r="CZ890" s="863"/>
      <c r="DA890" s="863"/>
      <c r="DB890" s="863"/>
      <c r="DC890" s="863"/>
      <c r="DD890" s="863"/>
      <c r="DE890" s="863"/>
    </row>
    <row r="891">
      <c r="A891" s="876"/>
      <c r="B891" s="876"/>
      <c r="C891" s="876"/>
      <c r="D891" s="876"/>
      <c r="E891" s="876"/>
      <c r="F891" s="876"/>
      <c r="G891" s="876"/>
      <c r="H891" s="876"/>
      <c r="I891" s="876"/>
      <c r="J891" s="876"/>
      <c r="K891" s="876"/>
      <c r="L891" s="876"/>
      <c r="M891" s="876"/>
      <c r="N891" s="877"/>
      <c r="O891" s="876"/>
      <c r="P891" s="876"/>
      <c r="Q891" s="876"/>
      <c r="R891" s="876"/>
      <c r="S891" s="876"/>
      <c r="T891" s="876"/>
      <c r="U891" s="876"/>
      <c r="V891" s="876"/>
      <c r="W891" s="876"/>
      <c r="X891" s="876"/>
      <c r="Y891" s="876"/>
      <c r="Z891" s="876"/>
      <c r="AA891" s="876"/>
      <c r="AB891" s="876"/>
      <c r="AC891" s="876"/>
      <c r="AD891" s="876"/>
      <c r="AE891" s="876"/>
      <c r="AF891" s="876"/>
      <c r="AG891" s="876"/>
      <c r="AH891" s="876"/>
      <c r="AI891" s="878"/>
      <c r="AJ891" s="880"/>
      <c r="AK891" s="880"/>
      <c r="AL891" s="880"/>
      <c r="AM891" s="880"/>
      <c r="AN891" s="880"/>
      <c r="AO891" s="880"/>
      <c r="AP891" s="880"/>
      <c r="AQ891" s="880"/>
      <c r="AR891" s="880"/>
      <c r="AS891" s="880"/>
      <c r="AT891" s="880"/>
      <c r="AU891" s="880"/>
      <c r="AV891" s="880"/>
      <c r="AW891" s="881"/>
      <c r="AX891" s="863"/>
      <c r="AY891" s="863"/>
      <c r="AZ891" s="863"/>
      <c r="BA891" s="863"/>
      <c r="BB891" s="863"/>
      <c r="BC891" s="863"/>
      <c r="BD891" s="863"/>
      <c r="BE891" s="863"/>
      <c r="BF891" s="863"/>
      <c r="BG891" s="863"/>
      <c r="BH891" s="863"/>
      <c r="BI891" s="863"/>
      <c r="BJ891" s="863"/>
      <c r="BK891" s="863"/>
      <c r="BL891" s="863"/>
      <c r="BM891" s="863"/>
      <c r="BN891" s="863"/>
      <c r="BO891" s="863"/>
      <c r="BP891" s="880"/>
      <c r="BQ891" s="863"/>
      <c r="BR891" s="883"/>
      <c r="BS891" s="883"/>
      <c r="BT891" s="883"/>
      <c r="BU891" s="883"/>
      <c r="BV891" s="883"/>
      <c r="BW891" s="883"/>
      <c r="BX891" s="883"/>
      <c r="BY891" s="883"/>
      <c r="BZ891" s="883"/>
      <c r="CA891" s="883"/>
      <c r="CB891" s="883"/>
      <c r="CC891" s="883"/>
      <c r="CD891" s="884"/>
      <c r="CE891" s="883"/>
      <c r="CF891" s="883"/>
      <c r="CG891" s="883"/>
      <c r="CH891" s="883"/>
      <c r="CI891" s="883"/>
      <c r="CJ891" s="883"/>
      <c r="CK891" s="883"/>
      <c r="CL891" s="883"/>
      <c r="CM891" s="883"/>
      <c r="CN891" s="883"/>
      <c r="CO891" s="883"/>
      <c r="CP891" s="883"/>
      <c r="CQ891" s="883"/>
      <c r="CR891" s="883"/>
      <c r="CS891" s="883"/>
      <c r="CT891" s="883"/>
      <c r="CU891" s="883"/>
      <c r="CV891" s="863"/>
      <c r="CW891" s="863"/>
      <c r="CX891" s="863"/>
      <c r="CY891" s="863"/>
      <c r="CZ891" s="863"/>
      <c r="DA891" s="863"/>
      <c r="DB891" s="863"/>
      <c r="DC891" s="863"/>
      <c r="DD891" s="863"/>
      <c r="DE891" s="863"/>
    </row>
    <row r="892">
      <c r="A892" s="876"/>
      <c r="B892" s="876"/>
      <c r="C892" s="876"/>
      <c r="D892" s="876"/>
      <c r="E892" s="876"/>
      <c r="F892" s="876"/>
      <c r="G892" s="876"/>
      <c r="H892" s="876"/>
      <c r="I892" s="876"/>
      <c r="J892" s="876"/>
      <c r="K892" s="876"/>
      <c r="L892" s="876"/>
      <c r="M892" s="876"/>
      <c r="N892" s="877"/>
      <c r="O892" s="876"/>
      <c r="P892" s="876"/>
      <c r="Q892" s="876"/>
      <c r="R892" s="876"/>
      <c r="S892" s="876"/>
      <c r="T892" s="876"/>
      <c r="U892" s="876"/>
      <c r="V892" s="876"/>
      <c r="W892" s="876"/>
      <c r="X892" s="876"/>
      <c r="Y892" s="876"/>
      <c r="Z892" s="876"/>
      <c r="AA892" s="876"/>
      <c r="AB892" s="876"/>
      <c r="AC892" s="876"/>
      <c r="AD892" s="876"/>
      <c r="AE892" s="876"/>
      <c r="AF892" s="876"/>
      <c r="AG892" s="876"/>
      <c r="AH892" s="876"/>
      <c r="AI892" s="878"/>
      <c r="AJ892" s="880"/>
      <c r="AK892" s="880"/>
      <c r="AL892" s="880"/>
      <c r="AM892" s="880"/>
      <c r="AN892" s="880"/>
      <c r="AO892" s="880"/>
      <c r="AP892" s="880"/>
      <c r="AQ892" s="880"/>
      <c r="AR892" s="880"/>
      <c r="AS892" s="880"/>
      <c r="AT892" s="880"/>
      <c r="AU892" s="880"/>
      <c r="AV892" s="880"/>
      <c r="AW892" s="881"/>
      <c r="AX892" s="863"/>
      <c r="AY892" s="863"/>
      <c r="AZ892" s="863"/>
      <c r="BA892" s="863"/>
      <c r="BB892" s="863"/>
      <c r="BC892" s="863"/>
      <c r="BD892" s="863"/>
      <c r="BE892" s="863"/>
      <c r="BF892" s="863"/>
      <c r="BG892" s="863"/>
      <c r="BH892" s="863"/>
      <c r="BI892" s="863"/>
      <c r="BJ892" s="863"/>
      <c r="BK892" s="863"/>
      <c r="BL892" s="863"/>
      <c r="BM892" s="863"/>
      <c r="BN892" s="863"/>
      <c r="BO892" s="863"/>
      <c r="BP892" s="880"/>
      <c r="BQ892" s="863"/>
      <c r="BR892" s="883"/>
      <c r="BS892" s="883"/>
      <c r="BT892" s="883"/>
      <c r="BU892" s="883"/>
      <c r="BV892" s="883"/>
      <c r="BW892" s="883"/>
      <c r="BX892" s="883"/>
      <c r="BY892" s="883"/>
      <c r="BZ892" s="883"/>
      <c r="CA892" s="883"/>
      <c r="CB892" s="883"/>
      <c r="CC892" s="883"/>
      <c r="CD892" s="884"/>
      <c r="CE892" s="883"/>
      <c r="CF892" s="883"/>
      <c r="CG892" s="883"/>
      <c r="CH892" s="883"/>
      <c r="CI892" s="883"/>
      <c r="CJ892" s="883"/>
      <c r="CK892" s="883"/>
      <c r="CL892" s="883"/>
      <c r="CM892" s="883"/>
      <c r="CN892" s="883"/>
      <c r="CO892" s="883"/>
      <c r="CP892" s="883"/>
      <c r="CQ892" s="883"/>
      <c r="CR892" s="883"/>
      <c r="CS892" s="883"/>
      <c r="CT892" s="883"/>
      <c r="CU892" s="883"/>
      <c r="CV892" s="863"/>
      <c r="CW892" s="863"/>
      <c r="CX892" s="863"/>
      <c r="CY892" s="863"/>
      <c r="CZ892" s="863"/>
      <c r="DA892" s="863"/>
      <c r="DB892" s="863"/>
      <c r="DC892" s="863"/>
      <c r="DD892" s="863"/>
      <c r="DE892" s="863"/>
    </row>
    <row r="893">
      <c r="A893" s="876"/>
      <c r="B893" s="876"/>
      <c r="C893" s="876"/>
      <c r="D893" s="876"/>
      <c r="E893" s="876"/>
      <c r="F893" s="876"/>
      <c r="G893" s="876"/>
      <c r="H893" s="876"/>
      <c r="I893" s="876"/>
      <c r="J893" s="876"/>
      <c r="K893" s="876"/>
      <c r="L893" s="876"/>
      <c r="M893" s="876"/>
      <c r="N893" s="877"/>
      <c r="O893" s="876"/>
      <c r="P893" s="876"/>
      <c r="Q893" s="876"/>
      <c r="R893" s="876"/>
      <c r="S893" s="876"/>
      <c r="T893" s="876"/>
      <c r="U893" s="876"/>
      <c r="V893" s="876"/>
      <c r="W893" s="876"/>
      <c r="X893" s="876"/>
      <c r="Y893" s="876"/>
      <c r="Z893" s="876"/>
      <c r="AA893" s="876"/>
      <c r="AB893" s="876"/>
      <c r="AC893" s="876"/>
      <c r="AD893" s="876"/>
      <c r="AE893" s="876"/>
      <c r="AF893" s="876"/>
      <c r="AG893" s="876"/>
      <c r="AH893" s="876"/>
      <c r="AI893" s="878"/>
      <c r="AJ893" s="880"/>
      <c r="AK893" s="880"/>
      <c r="AL893" s="880"/>
      <c r="AM893" s="880"/>
      <c r="AN893" s="880"/>
      <c r="AO893" s="880"/>
      <c r="AP893" s="880"/>
      <c r="AQ893" s="880"/>
      <c r="AR893" s="880"/>
      <c r="AS893" s="880"/>
      <c r="AT893" s="880"/>
      <c r="AU893" s="880"/>
      <c r="AV893" s="880"/>
      <c r="AW893" s="881"/>
      <c r="AX893" s="863"/>
      <c r="AY893" s="863"/>
      <c r="AZ893" s="863"/>
      <c r="BA893" s="863"/>
      <c r="BB893" s="863"/>
      <c r="BC893" s="863"/>
      <c r="BD893" s="863"/>
      <c r="BE893" s="863"/>
      <c r="BF893" s="863"/>
      <c r="BG893" s="863"/>
      <c r="BH893" s="863"/>
      <c r="BI893" s="863"/>
      <c r="BJ893" s="863"/>
      <c r="BK893" s="863"/>
      <c r="BL893" s="863"/>
      <c r="BM893" s="863"/>
      <c r="BN893" s="863"/>
      <c r="BO893" s="863"/>
      <c r="BP893" s="880"/>
      <c r="BQ893" s="863"/>
      <c r="BR893" s="883"/>
      <c r="BS893" s="883"/>
      <c r="BT893" s="883"/>
      <c r="BU893" s="883"/>
      <c r="BV893" s="883"/>
      <c r="BW893" s="883"/>
      <c r="BX893" s="883"/>
      <c r="BY893" s="883"/>
      <c r="BZ893" s="883"/>
      <c r="CA893" s="883"/>
      <c r="CB893" s="883"/>
      <c r="CC893" s="883"/>
      <c r="CD893" s="884"/>
      <c r="CE893" s="883"/>
      <c r="CF893" s="883"/>
      <c r="CG893" s="883"/>
      <c r="CH893" s="883"/>
      <c r="CI893" s="883"/>
      <c r="CJ893" s="883"/>
      <c r="CK893" s="883"/>
      <c r="CL893" s="883"/>
      <c r="CM893" s="883"/>
      <c r="CN893" s="883"/>
      <c r="CO893" s="883"/>
      <c r="CP893" s="883"/>
      <c r="CQ893" s="883"/>
      <c r="CR893" s="883"/>
      <c r="CS893" s="883"/>
      <c r="CT893" s="883"/>
      <c r="CU893" s="883"/>
      <c r="CV893" s="863"/>
      <c r="CW893" s="863"/>
      <c r="CX893" s="863"/>
      <c r="CY893" s="863"/>
      <c r="CZ893" s="863"/>
      <c r="DA893" s="863"/>
      <c r="DB893" s="863"/>
      <c r="DC893" s="863"/>
      <c r="DD893" s="863"/>
      <c r="DE893" s="863"/>
    </row>
    <row r="894">
      <c r="A894" s="876"/>
      <c r="B894" s="876"/>
      <c r="C894" s="876"/>
      <c r="D894" s="876"/>
      <c r="E894" s="876"/>
      <c r="F894" s="876"/>
      <c r="G894" s="876"/>
      <c r="H894" s="876"/>
      <c r="I894" s="876"/>
      <c r="J894" s="876"/>
      <c r="K894" s="876"/>
      <c r="L894" s="876"/>
      <c r="M894" s="876"/>
      <c r="N894" s="877"/>
      <c r="O894" s="876"/>
      <c r="P894" s="876"/>
      <c r="Q894" s="876"/>
      <c r="R894" s="876"/>
      <c r="S894" s="876"/>
      <c r="T894" s="876"/>
      <c r="U894" s="876"/>
      <c r="V894" s="876"/>
      <c r="W894" s="876"/>
      <c r="X894" s="876"/>
      <c r="Y894" s="876"/>
      <c r="Z894" s="876"/>
      <c r="AA894" s="876"/>
      <c r="AB894" s="876"/>
      <c r="AC894" s="876"/>
      <c r="AD894" s="876"/>
      <c r="AE894" s="876"/>
      <c r="AF894" s="876"/>
      <c r="AG894" s="876"/>
      <c r="AH894" s="876"/>
      <c r="AI894" s="878"/>
      <c r="AJ894" s="880"/>
      <c r="AK894" s="880"/>
      <c r="AL894" s="880"/>
      <c r="AM894" s="880"/>
      <c r="AN894" s="880"/>
      <c r="AO894" s="880"/>
      <c r="AP894" s="880"/>
      <c r="AQ894" s="880"/>
      <c r="AR894" s="880"/>
      <c r="AS894" s="880"/>
      <c r="AT894" s="880"/>
      <c r="AU894" s="880"/>
      <c r="AV894" s="880"/>
      <c r="AW894" s="881"/>
      <c r="AX894" s="863"/>
      <c r="AY894" s="863"/>
      <c r="AZ894" s="863"/>
      <c r="BA894" s="863"/>
      <c r="BB894" s="863"/>
      <c r="BC894" s="863"/>
      <c r="BD894" s="863"/>
      <c r="BE894" s="863"/>
      <c r="BF894" s="863"/>
      <c r="BG894" s="863"/>
      <c r="BH894" s="863"/>
      <c r="BI894" s="863"/>
      <c r="BJ894" s="863"/>
      <c r="BK894" s="863"/>
      <c r="BL894" s="863"/>
      <c r="BM894" s="863"/>
      <c r="BN894" s="863"/>
      <c r="BO894" s="863"/>
      <c r="BP894" s="880"/>
      <c r="BQ894" s="863"/>
      <c r="BR894" s="883"/>
      <c r="BS894" s="883"/>
      <c r="BT894" s="883"/>
      <c r="BU894" s="883"/>
      <c r="BV894" s="883"/>
      <c r="BW894" s="883"/>
      <c r="BX894" s="883"/>
      <c r="BY894" s="883"/>
      <c r="BZ894" s="883"/>
      <c r="CA894" s="883"/>
      <c r="CB894" s="883"/>
      <c r="CC894" s="883"/>
      <c r="CD894" s="884"/>
      <c r="CE894" s="883"/>
      <c r="CF894" s="883"/>
      <c r="CG894" s="883"/>
      <c r="CH894" s="883"/>
      <c r="CI894" s="883"/>
      <c r="CJ894" s="883"/>
      <c r="CK894" s="883"/>
      <c r="CL894" s="883"/>
      <c r="CM894" s="883"/>
      <c r="CN894" s="883"/>
      <c r="CO894" s="883"/>
      <c r="CP894" s="883"/>
      <c r="CQ894" s="883"/>
      <c r="CR894" s="883"/>
      <c r="CS894" s="883"/>
      <c r="CT894" s="883"/>
      <c r="CU894" s="883"/>
      <c r="CV894" s="863"/>
      <c r="CW894" s="863"/>
      <c r="CX894" s="863"/>
      <c r="CY894" s="863"/>
      <c r="CZ894" s="863"/>
      <c r="DA894" s="863"/>
      <c r="DB894" s="863"/>
      <c r="DC894" s="863"/>
      <c r="DD894" s="863"/>
      <c r="DE894" s="863"/>
    </row>
    <row r="895">
      <c r="A895" s="876"/>
      <c r="B895" s="876"/>
      <c r="C895" s="876"/>
      <c r="D895" s="876"/>
      <c r="E895" s="876"/>
      <c r="F895" s="876"/>
      <c r="G895" s="876"/>
      <c r="H895" s="876"/>
      <c r="I895" s="876"/>
      <c r="J895" s="876"/>
      <c r="K895" s="876"/>
      <c r="L895" s="876"/>
      <c r="M895" s="876"/>
      <c r="N895" s="877"/>
      <c r="O895" s="876"/>
      <c r="P895" s="876"/>
      <c r="Q895" s="876"/>
      <c r="R895" s="876"/>
      <c r="S895" s="876"/>
      <c r="T895" s="876"/>
      <c r="U895" s="876"/>
      <c r="V895" s="876"/>
      <c r="W895" s="876"/>
      <c r="X895" s="876"/>
      <c r="Y895" s="876"/>
      <c r="Z895" s="876"/>
      <c r="AA895" s="876"/>
      <c r="AB895" s="876"/>
      <c r="AC895" s="876"/>
      <c r="AD895" s="876"/>
      <c r="AE895" s="876"/>
      <c r="AF895" s="876"/>
      <c r="AG895" s="876"/>
      <c r="AH895" s="876"/>
      <c r="AI895" s="878"/>
      <c r="AJ895" s="880"/>
      <c r="AK895" s="880"/>
      <c r="AL895" s="880"/>
      <c r="AM895" s="880"/>
      <c r="AN895" s="880"/>
      <c r="AO895" s="880"/>
      <c r="AP895" s="880"/>
      <c r="AQ895" s="880"/>
      <c r="AR895" s="880"/>
      <c r="AS895" s="880"/>
      <c r="AT895" s="880"/>
      <c r="AU895" s="880"/>
      <c r="AV895" s="880"/>
      <c r="AW895" s="881"/>
      <c r="AX895" s="863"/>
      <c r="AY895" s="863"/>
      <c r="AZ895" s="863"/>
      <c r="BA895" s="863"/>
      <c r="BB895" s="863"/>
      <c r="BC895" s="863"/>
      <c r="BD895" s="863"/>
      <c r="BE895" s="863"/>
      <c r="BF895" s="863"/>
      <c r="BG895" s="863"/>
      <c r="BH895" s="863"/>
      <c r="BI895" s="863"/>
      <c r="BJ895" s="863"/>
      <c r="BK895" s="863"/>
      <c r="BL895" s="863"/>
      <c r="BM895" s="863"/>
      <c r="BN895" s="863"/>
      <c r="BO895" s="863"/>
      <c r="BP895" s="880"/>
      <c r="BQ895" s="863"/>
      <c r="BR895" s="883"/>
      <c r="BS895" s="883"/>
      <c r="BT895" s="883"/>
      <c r="BU895" s="883"/>
      <c r="BV895" s="883"/>
      <c r="BW895" s="883"/>
      <c r="BX895" s="883"/>
      <c r="BY895" s="883"/>
      <c r="BZ895" s="883"/>
      <c r="CA895" s="883"/>
      <c r="CB895" s="883"/>
      <c r="CC895" s="883"/>
      <c r="CD895" s="884"/>
      <c r="CE895" s="883"/>
      <c r="CF895" s="883"/>
      <c r="CG895" s="883"/>
      <c r="CH895" s="883"/>
      <c r="CI895" s="883"/>
      <c r="CJ895" s="883"/>
      <c r="CK895" s="883"/>
      <c r="CL895" s="883"/>
      <c r="CM895" s="883"/>
      <c r="CN895" s="883"/>
      <c r="CO895" s="883"/>
      <c r="CP895" s="883"/>
      <c r="CQ895" s="883"/>
      <c r="CR895" s="883"/>
      <c r="CS895" s="883"/>
      <c r="CT895" s="883"/>
      <c r="CU895" s="883"/>
      <c r="CV895" s="863"/>
      <c r="CW895" s="863"/>
      <c r="CX895" s="863"/>
      <c r="CY895" s="863"/>
      <c r="CZ895" s="863"/>
      <c r="DA895" s="863"/>
      <c r="DB895" s="863"/>
      <c r="DC895" s="863"/>
      <c r="DD895" s="863"/>
      <c r="DE895" s="863"/>
    </row>
    <row r="896">
      <c r="A896" s="876"/>
      <c r="B896" s="876"/>
      <c r="C896" s="876"/>
      <c r="D896" s="876"/>
      <c r="E896" s="876"/>
      <c r="F896" s="876"/>
      <c r="G896" s="876"/>
      <c r="H896" s="876"/>
      <c r="I896" s="876"/>
      <c r="J896" s="876"/>
      <c r="K896" s="876"/>
      <c r="L896" s="876"/>
      <c r="M896" s="876"/>
      <c r="N896" s="877"/>
      <c r="O896" s="876"/>
      <c r="P896" s="876"/>
      <c r="Q896" s="876"/>
      <c r="R896" s="876"/>
      <c r="S896" s="876"/>
      <c r="T896" s="876"/>
      <c r="U896" s="876"/>
      <c r="V896" s="876"/>
      <c r="W896" s="876"/>
      <c r="X896" s="876"/>
      <c r="Y896" s="876"/>
      <c r="Z896" s="876"/>
      <c r="AA896" s="876"/>
      <c r="AB896" s="876"/>
      <c r="AC896" s="876"/>
      <c r="AD896" s="876"/>
      <c r="AE896" s="876"/>
      <c r="AF896" s="876"/>
      <c r="AG896" s="876"/>
      <c r="AH896" s="876"/>
      <c r="AI896" s="878"/>
      <c r="AJ896" s="880"/>
      <c r="AK896" s="880"/>
      <c r="AL896" s="880"/>
      <c r="AM896" s="880"/>
      <c r="AN896" s="880"/>
      <c r="AO896" s="880"/>
      <c r="AP896" s="880"/>
      <c r="AQ896" s="880"/>
      <c r="AR896" s="880"/>
      <c r="AS896" s="880"/>
      <c r="AT896" s="880"/>
      <c r="AU896" s="880"/>
      <c r="AV896" s="880"/>
      <c r="AW896" s="881"/>
      <c r="AX896" s="863"/>
      <c r="AY896" s="863"/>
      <c r="AZ896" s="863"/>
      <c r="BA896" s="863"/>
      <c r="BB896" s="863"/>
      <c r="BC896" s="863"/>
      <c r="BD896" s="863"/>
      <c r="BE896" s="863"/>
      <c r="BF896" s="863"/>
      <c r="BG896" s="863"/>
      <c r="BH896" s="863"/>
      <c r="BI896" s="863"/>
      <c r="BJ896" s="863"/>
      <c r="BK896" s="863"/>
      <c r="BL896" s="863"/>
      <c r="BM896" s="863"/>
      <c r="BN896" s="863"/>
      <c r="BO896" s="863"/>
      <c r="BP896" s="880"/>
      <c r="BQ896" s="863"/>
      <c r="BR896" s="883"/>
      <c r="BS896" s="883"/>
      <c r="BT896" s="883"/>
      <c r="BU896" s="883"/>
      <c r="BV896" s="883"/>
      <c r="BW896" s="883"/>
      <c r="BX896" s="883"/>
      <c r="BY896" s="883"/>
      <c r="BZ896" s="883"/>
      <c r="CA896" s="883"/>
      <c r="CB896" s="883"/>
      <c r="CC896" s="883"/>
      <c r="CD896" s="884"/>
      <c r="CE896" s="883"/>
      <c r="CF896" s="883"/>
      <c r="CG896" s="883"/>
      <c r="CH896" s="883"/>
      <c r="CI896" s="883"/>
      <c r="CJ896" s="883"/>
      <c r="CK896" s="883"/>
      <c r="CL896" s="883"/>
      <c r="CM896" s="883"/>
      <c r="CN896" s="883"/>
      <c r="CO896" s="883"/>
      <c r="CP896" s="883"/>
      <c r="CQ896" s="883"/>
      <c r="CR896" s="883"/>
      <c r="CS896" s="883"/>
      <c r="CT896" s="883"/>
      <c r="CU896" s="883"/>
      <c r="CV896" s="863"/>
      <c r="CW896" s="863"/>
      <c r="CX896" s="863"/>
      <c r="CY896" s="863"/>
      <c r="CZ896" s="863"/>
      <c r="DA896" s="863"/>
      <c r="DB896" s="863"/>
      <c r="DC896" s="863"/>
      <c r="DD896" s="863"/>
      <c r="DE896" s="863"/>
    </row>
    <row r="897">
      <c r="A897" s="876"/>
      <c r="B897" s="876"/>
      <c r="C897" s="876"/>
      <c r="D897" s="876"/>
      <c r="E897" s="876"/>
      <c r="F897" s="876"/>
      <c r="G897" s="876"/>
      <c r="H897" s="876"/>
      <c r="I897" s="876"/>
      <c r="J897" s="876"/>
      <c r="K897" s="876"/>
      <c r="L897" s="876"/>
      <c r="M897" s="876"/>
      <c r="N897" s="877"/>
      <c r="O897" s="876"/>
      <c r="P897" s="876"/>
      <c r="Q897" s="876"/>
      <c r="R897" s="876"/>
      <c r="S897" s="876"/>
      <c r="T897" s="876"/>
      <c r="U897" s="876"/>
      <c r="V897" s="876"/>
      <c r="W897" s="876"/>
      <c r="X897" s="876"/>
      <c r="Y897" s="876"/>
      <c r="Z897" s="876"/>
      <c r="AA897" s="876"/>
      <c r="AB897" s="876"/>
      <c r="AC897" s="876"/>
      <c r="AD897" s="876"/>
      <c r="AE897" s="876"/>
      <c r="AF897" s="876"/>
      <c r="AG897" s="876"/>
      <c r="AH897" s="876"/>
      <c r="AI897" s="878"/>
      <c r="AJ897" s="880"/>
      <c r="AK897" s="880"/>
      <c r="AL897" s="880"/>
      <c r="AM897" s="880"/>
      <c r="AN897" s="880"/>
      <c r="AO897" s="880"/>
      <c r="AP897" s="880"/>
      <c r="AQ897" s="880"/>
      <c r="AR897" s="880"/>
      <c r="AS897" s="880"/>
      <c r="AT897" s="880"/>
      <c r="AU897" s="880"/>
      <c r="AV897" s="880"/>
      <c r="AW897" s="881"/>
      <c r="AX897" s="863"/>
      <c r="AY897" s="863"/>
      <c r="AZ897" s="863"/>
      <c r="BA897" s="863"/>
      <c r="BB897" s="863"/>
      <c r="BC897" s="863"/>
      <c r="BD897" s="863"/>
      <c r="BE897" s="863"/>
      <c r="BF897" s="863"/>
      <c r="BG897" s="863"/>
      <c r="BH897" s="863"/>
      <c r="BI897" s="863"/>
      <c r="BJ897" s="863"/>
      <c r="BK897" s="863"/>
      <c r="BL897" s="863"/>
      <c r="BM897" s="863"/>
      <c r="BN897" s="863"/>
      <c r="BO897" s="863"/>
      <c r="BP897" s="880"/>
      <c r="BQ897" s="863"/>
      <c r="BR897" s="883"/>
      <c r="BS897" s="883"/>
      <c r="BT897" s="883"/>
      <c r="BU897" s="883"/>
      <c r="BV897" s="883"/>
      <c r="BW897" s="883"/>
      <c r="BX897" s="883"/>
      <c r="BY897" s="883"/>
      <c r="BZ897" s="883"/>
      <c r="CA897" s="883"/>
      <c r="CB897" s="883"/>
      <c r="CC897" s="883"/>
      <c r="CD897" s="884"/>
      <c r="CE897" s="883"/>
      <c r="CF897" s="883"/>
      <c r="CG897" s="883"/>
      <c r="CH897" s="883"/>
      <c r="CI897" s="883"/>
      <c r="CJ897" s="883"/>
      <c r="CK897" s="883"/>
      <c r="CL897" s="883"/>
      <c r="CM897" s="883"/>
      <c r="CN897" s="883"/>
      <c r="CO897" s="883"/>
      <c r="CP897" s="883"/>
      <c r="CQ897" s="883"/>
      <c r="CR897" s="883"/>
      <c r="CS897" s="883"/>
      <c r="CT897" s="883"/>
      <c r="CU897" s="883"/>
      <c r="CV897" s="863"/>
      <c r="CW897" s="863"/>
      <c r="CX897" s="863"/>
      <c r="CY897" s="863"/>
      <c r="CZ897" s="863"/>
      <c r="DA897" s="863"/>
      <c r="DB897" s="863"/>
      <c r="DC897" s="863"/>
      <c r="DD897" s="863"/>
      <c r="DE897" s="863"/>
    </row>
    <row r="898">
      <c r="A898" s="876"/>
      <c r="B898" s="876"/>
      <c r="C898" s="876"/>
      <c r="D898" s="876"/>
      <c r="E898" s="876"/>
      <c r="F898" s="876"/>
      <c r="G898" s="876"/>
      <c r="H898" s="876"/>
      <c r="I898" s="876"/>
      <c r="J898" s="876"/>
      <c r="K898" s="876"/>
      <c r="L898" s="876"/>
      <c r="M898" s="876"/>
      <c r="N898" s="877"/>
      <c r="O898" s="876"/>
      <c r="P898" s="876"/>
      <c r="Q898" s="876"/>
      <c r="R898" s="876"/>
      <c r="S898" s="876"/>
      <c r="T898" s="876"/>
      <c r="U898" s="876"/>
      <c r="V898" s="876"/>
      <c r="W898" s="876"/>
      <c r="X898" s="876"/>
      <c r="Y898" s="876"/>
      <c r="Z898" s="876"/>
      <c r="AA898" s="876"/>
      <c r="AB898" s="876"/>
      <c r="AC898" s="876"/>
      <c r="AD898" s="876"/>
      <c r="AE898" s="876"/>
      <c r="AF898" s="876"/>
      <c r="AG898" s="876"/>
      <c r="AH898" s="876"/>
      <c r="AI898" s="878"/>
      <c r="AJ898" s="880"/>
      <c r="AK898" s="880"/>
      <c r="AL898" s="880"/>
      <c r="AM898" s="880"/>
      <c r="AN898" s="880"/>
      <c r="AO898" s="880"/>
      <c r="AP898" s="880"/>
      <c r="AQ898" s="880"/>
      <c r="AR898" s="880"/>
      <c r="AS898" s="880"/>
      <c r="AT898" s="880"/>
      <c r="AU898" s="880"/>
      <c r="AV898" s="880"/>
      <c r="AW898" s="881"/>
      <c r="AX898" s="863"/>
      <c r="AY898" s="863"/>
      <c r="AZ898" s="863"/>
      <c r="BA898" s="863"/>
      <c r="BB898" s="863"/>
      <c r="BC898" s="863"/>
      <c r="BD898" s="863"/>
      <c r="BE898" s="863"/>
      <c r="BF898" s="863"/>
      <c r="BG898" s="863"/>
      <c r="BH898" s="863"/>
      <c r="BI898" s="863"/>
      <c r="BJ898" s="863"/>
      <c r="BK898" s="863"/>
      <c r="BL898" s="863"/>
      <c r="BM898" s="863"/>
      <c r="BN898" s="863"/>
      <c r="BO898" s="863"/>
      <c r="BP898" s="880"/>
      <c r="BQ898" s="863"/>
      <c r="BR898" s="883"/>
      <c r="BS898" s="883"/>
      <c r="BT898" s="883"/>
      <c r="BU898" s="883"/>
      <c r="BV898" s="883"/>
      <c r="BW898" s="883"/>
      <c r="BX898" s="883"/>
      <c r="BY898" s="883"/>
      <c r="BZ898" s="883"/>
      <c r="CA898" s="883"/>
      <c r="CB898" s="883"/>
      <c r="CC898" s="883"/>
      <c r="CD898" s="884"/>
      <c r="CE898" s="883"/>
      <c r="CF898" s="883"/>
      <c r="CG898" s="883"/>
      <c r="CH898" s="883"/>
      <c r="CI898" s="883"/>
      <c r="CJ898" s="883"/>
      <c r="CK898" s="883"/>
      <c r="CL898" s="883"/>
      <c r="CM898" s="883"/>
      <c r="CN898" s="883"/>
      <c r="CO898" s="883"/>
      <c r="CP898" s="883"/>
      <c r="CQ898" s="883"/>
      <c r="CR898" s="883"/>
      <c r="CS898" s="883"/>
      <c r="CT898" s="883"/>
      <c r="CU898" s="883"/>
      <c r="CV898" s="863"/>
      <c r="CW898" s="863"/>
      <c r="CX898" s="863"/>
      <c r="CY898" s="863"/>
      <c r="CZ898" s="863"/>
      <c r="DA898" s="863"/>
      <c r="DB898" s="863"/>
      <c r="DC898" s="863"/>
      <c r="DD898" s="863"/>
      <c r="DE898" s="863"/>
    </row>
    <row r="899">
      <c r="A899" s="876"/>
      <c r="B899" s="876"/>
      <c r="C899" s="876"/>
      <c r="D899" s="876"/>
      <c r="E899" s="876"/>
      <c r="F899" s="876"/>
      <c r="G899" s="876"/>
      <c r="H899" s="876"/>
      <c r="I899" s="876"/>
      <c r="J899" s="876"/>
      <c r="K899" s="876"/>
      <c r="L899" s="876"/>
      <c r="M899" s="876"/>
      <c r="N899" s="877"/>
      <c r="O899" s="876"/>
      <c r="P899" s="876"/>
      <c r="Q899" s="876"/>
      <c r="R899" s="876"/>
      <c r="S899" s="876"/>
      <c r="T899" s="876"/>
      <c r="U899" s="876"/>
      <c r="V899" s="876"/>
      <c r="W899" s="876"/>
      <c r="X899" s="876"/>
      <c r="Y899" s="876"/>
      <c r="Z899" s="876"/>
      <c r="AA899" s="876"/>
      <c r="AB899" s="876"/>
      <c r="AC899" s="876"/>
      <c r="AD899" s="876"/>
      <c r="AE899" s="876"/>
      <c r="AF899" s="876"/>
      <c r="AG899" s="876"/>
      <c r="AH899" s="876"/>
      <c r="AI899" s="878"/>
      <c r="AJ899" s="880"/>
      <c r="AK899" s="880"/>
      <c r="AL899" s="880"/>
      <c r="AM899" s="880"/>
      <c r="AN899" s="880"/>
      <c r="AO899" s="880"/>
      <c r="AP899" s="880"/>
      <c r="AQ899" s="880"/>
      <c r="AR899" s="880"/>
      <c r="AS899" s="880"/>
      <c r="AT899" s="880"/>
      <c r="AU899" s="880"/>
      <c r="AV899" s="880"/>
      <c r="AW899" s="881"/>
      <c r="AX899" s="863"/>
      <c r="AY899" s="863"/>
      <c r="AZ899" s="863"/>
      <c r="BA899" s="863"/>
      <c r="BB899" s="863"/>
      <c r="BC899" s="863"/>
      <c r="BD899" s="863"/>
      <c r="BE899" s="863"/>
      <c r="BF899" s="863"/>
      <c r="BG899" s="863"/>
      <c r="BH899" s="863"/>
      <c r="BI899" s="863"/>
      <c r="BJ899" s="863"/>
      <c r="BK899" s="863"/>
      <c r="BL899" s="863"/>
      <c r="BM899" s="863"/>
      <c r="BN899" s="863"/>
      <c r="BO899" s="863"/>
      <c r="BP899" s="880"/>
      <c r="BQ899" s="863"/>
      <c r="BR899" s="883"/>
      <c r="BS899" s="883"/>
      <c r="BT899" s="883"/>
      <c r="BU899" s="883"/>
      <c r="BV899" s="883"/>
      <c r="BW899" s="883"/>
      <c r="BX899" s="883"/>
      <c r="BY899" s="883"/>
      <c r="BZ899" s="883"/>
      <c r="CA899" s="883"/>
      <c r="CB899" s="883"/>
      <c r="CC899" s="883"/>
      <c r="CD899" s="884"/>
      <c r="CE899" s="883"/>
      <c r="CF899" s="883"/>
      <c r="CG899" s="883"/>
      <c r="CH899" s="883"/>
      <c r="CI899" s="883"/>
      <c r="CJ899" s="883"/>
      <c r="CK899" s="883"/>
      <c r="CL899" s="883"/>
      <c r="CM899" s="883"/>
      <c r="CN899" s="883"/>
      <c r="CO899" s="883"/>
      <c r="CP899" s="883"/>
      <c r="CQ899" s="883"/>
      <c r="CR899" s="883"/>
      <c r="CS899" s="883"/>
      <c r="CT899" s="883"/>
      <c r="CU899" s="883"/>
      <c r="CV899" s="863"/>
      <c r="CW899" s="863"/>
      <c r="CX899" s="863"/>
      <c r="CY899" s="863"/>
      <c r="CZ899" s="863"/>
      <c r="DA899" s="863"/>
      <c r="DB899" s="863"/>
      <c r="DC899" s="863"/>
      <c r="DD899" s="863"/>
      <c r="DE899" s="863"/>
    </row>
    <row r="900">
      <c r="A900" s="876"/>
      <c r="B900" s="876"/>
      <c r="C900" s="876"/>
      <c r="D900" s="876"/>
      <c r="E900" s="876"/>
      <c r="F900" s="876"/>
      <c r="G900" s="876"/>
      <c r="H900" s="876"/>
      <c r="I900" s="876"/>
      <c r="J900" s="876"/>
      <c r="K900" s="876"/>
      <c r="L900" s="876"/>
      <c r="M900" s="876"/>
      <c r="N900" s="877"/>
      <c r="O900" s="876"/>
      <c r="P900" s="876"/>
      <c r="Q900" s="876"/>
      <c r="R900" s="876"/>
      <c r="S900" s="876"/>
      <c r="T900" s="876"/>
      <c r="U900" s="876"/>
      <c r="V900" s="876"/>
      <c r="W900" s="876"/>
      <c r="X900" s="876"/>
      <c r="Y900" s="876"/>
      <c r="Z900" s="876"/>
      <c r="AA900" s="876"/>
      <c r="AB900" s="876"/>
      <c r="AC900" s="876"/>
      <c r="AD900" s="876"/>
      <c r="AE900" s="876"/>
      <c r="AF900" s="876"/>
      <c r="AG900" s="876"/>
      <c r="AH900" s="876"/>
      <c r="AI900" s="878"/>
      <c r="AJ900" s="880"/>
      <c r="AK900" s="880"/>
      <c r="AL900" s="880"/>
      <c r="AM900" s="880"/>
      <c r="AN900" s="880"/>
      <c r="AO900" s="880"/>
      <c r="AP900" s="880"/>
      <c r="AQ900" s="880"/>
      <c r="AR900" s="880"/>
      <c r="AS900" s="880"/>
      <c r="AT900" s="880"/>
      <c r="AU900" s="880"/>
      <c r="AV900" s="880"/>
      <c r="AW900" s="881"/>
      <c r="AX900" s="863"/>
      <c r="AY900" s="863"/>
      <c r="AZ900" s="863"/>
      <c r="BA900" s="863"/>
      <c r="BB900" s="863"/>
      <c r="BC900" s="863"/>
      <c r="BD900" s="863"/>
      <c r="BE900" s="863"/>
      <c r="BF900" s="863"/>
      <c r="BG900" s="863"/>
      <c r="BH900" s="863"/>
      <c r="BI900" s="863"/>
      <c r="BJ900" s="863"/>
      <c r="BK900" s="863"/>
      <c r="BL900" s="863"/>
      <c r="BM900" s="863"/>
      <c r="BN900" s="863"/>
      <c r="BO900" s="863"/>
      <c r="BP900" s="880"/>
      <c r="BQ900" s="863"/>
      <c r="BR900" s="883"/>
      <c r="BS900" s="883"/>
      <c r="BT900" s="883"/>
      <c r="BU900" s="883"/>
      <c r="BV900" s="883"/>
      <c r="BW900" s="883"/>
      <c r="BX900" s="883"/>
      <c r="BY900" s="883"/>
      <c r="BZ900" s="883"/>
      <c r="CA900" s="883"/>
      <c r="CB900" s="883"/>
      <c r="CC900" s="883"/>
      <c r="CD900" s="884"/>
      <c r="CE900" s="883"/>
      <c r="CF900" s="883"/>
      <c r="CG900" s="883"/>
      <c r="CH900" s="883"/>
      <c r="CI900" s="883"/>
      <c r="CJ900" s="883"/>
      <c r="CK900" s="883"/>
      <c r="CL900" s="883"/>
      <c r="CM900" s="883"/>
      <c r="CN900" s="883"/>
      <c r="CO900" s="883"/>
      <c r="CP900" s="883"/>
      <c r="CQ900" s="883"/>
      <c r="CR900" s="883"/>
      <c r="CS900" s="883"/>
      <c r="CT900" s="883"/>
      <c r="CU900" s="883"/>
      <c r="CV900" s="863"/>
      <c r="CW900" s="863"/>
      <c r="CX900" s="863"/>
      <c r="CY900" s="863"/>
      <c r="CZ900" s="863"/>
      <c r="DA900" s="863"/>
      <c r="DB900" s="863"/>
      <c r="DC900" s="863"/>
      <c r="DD900" s="863"/>
      <c r="DE900" s="863"/>
    </row>
    <row r="901">
      <c r="A901" s="876"/>
      <c r="B901" s="876"/>
      <c r="C901" s="876"/>
      <c r="D901" s="876"/>
      <c r="E901" s="876"/>
      <c r="F901" s="876"/>
      <c r="G901" s="876"/>
      <c r="H901" s="876"/>
      <c r="I901" s="876"/>
      <c r="J901" s="876"/>
      <c r="K901" s="876"/>
      <c r="L901" s="876"/>
      <c r="M901" s="876"/>
      <c r="N901" s="877"/>
      <c r="O901" s="876"/>
      <c r="P901" s="876"/>
      <c r="Q901" s="876"/>
      <c r="R901" s="876"/>
      <c r="S901" s="876"/>
      <c r="T901" s="876"/>
      <c r="U901" s="876"/>
      <c r="V901" s="876"/>
      <c r="W901" s="876"/>
      <c r="X901" s="876"/>
      <c r="Y901" s="876"/>
      <c r="Z901" s="876"/>
      <c r="AA901" s="876"/>
      <c r="AB901" s="876"/>
      <c r="AC901" s="876"/>
      <c r="AD901" s="876"/>
      <c r="AE901" s="876"/>
      <c r="AF901" s="876"/>
      <c r="AG901" s="876"/>
      <c r="AH901" s="876"/>
      <c r="AI901" s="878"/>
      <c r="AJ901" s="880"/>
      <c r="AK901" s="880"/>
      <c r="AL901" s="880"/>
      <c r="AM901" s="880"/>
      <c r="AN901" s="880"/>
      <c r="AO901" s="880"/>
      <c r="AP901" s="880"/>
      <c r="AQ901" s="880"/>
      <c r="AR901" s="880"/>
      <c r="AS901" s="880"/>
      <c r="AT901" s="880"/>
      <c r="AU901" s="880"/>
      <c r="AV901" s="880"/>
      <c r="AW901" s="881"/>
      <c r="AX901" s="863"/>
      <c r="AY901" s="863"/>
      <c r="AZ901" s="863"/>
      <c r="BA901" s="863"/>
      <c r="BB901" s="863"/>
      <c r="BC901" s="863"/>
      <c r="BD901" s="863"/>
      <c r="BE901" s="863"/>
      <c r="BF901" s="863"/>
      <c r="BG901" s="863"/>
      <c r="BH901" s="863"/>
      <c r="BI901" s="863"/>
      <c r="BJ901" s="863"/>
      <c r="BK901" s="863"/>
      <c r="BL901" s="863"/>
      <c r="BM901" s="863"/>
      <c r="BN901" s="863"/>
      <c r="BO901" s="863"/>
      <c r="BP901" s="880"/>
      <c r="BQ901" s="863"/>
      <c r="BR901" s="883"/>
      <c r="BS901" s="883"/>
      <c r="BT901" s="883"/>
      <c r="BU901" s="883"/>
      <c r="BV901" s="883"/>
      <c r="BW901" s="883"/>
      <c r="BX901" s="883"/>
      <c r="BY901" s="883"/>
      <c r="BZ901" s="883"/>
      <c r="CA901" s="883"/>
      <c r="CB901" s="883"/>
      <c r="CC901" s="883"/>
      <c r="CD901" s="884"/>
      <c r="CE901" s="883"/>
      <c r="CF901" s="883"/>
      <c r="CG901" s="883"/>
      <c r="CH901" s="883"/>
      <c r="CI901" s="883"/>
      <c r="CJ901" s="883"/>
      <c r="CK901" s="883"/>
      <c r="CL901" s="883"/>
      <c r="CM901" s="883"/>
      <c r="CN901" s="883"/>
      <c r="CO901" s="883"/>
      <c r="CP901" s="883"/>
      <c r="CQ901" s="883"/>
      <c r="CR901" s="883"/>
      <c r="CS901" s="883"/>
      <c r="CT901" s="883"/>
      <c r="CU901" s="883"/>
      <c r="CV901" s="863"/>
      <c r="CW901" s="863"/>
      <c r="CX901" s="863"/>
      <c r="CY901" s="863"/>
      <c r="CZ901" s="863"/>
      <c r="DA901" s="863"/>
      <c r="DB901" s="863"/>
      <c r="DC901" s="863"/>
      <c r="DD901" s="863"/>
      <c r="DE901" s="863"/>
    </row>
    <row r="902">
      <c r="A902" s="876"/>
      <c r="B902" s="876"/>
      <c r="C902" s="876"/>
      <c r="D902" s="876"/>
      <c r="E902" s="876"/>
      <c r="F902" s="876"/>
      <c r="G902" s="876"/>
      <c r="H902" s="876"/>
      <c r="I902" s="876"/>
      <c r="J902" s="876"/>
      <c r="K902" s="876"/>
      <c r="L902" s="876"/>
      <c r="M902" s="876"/>
      <c r="N902" s="877"/>
      <c r="O902" s="876"/>
      <c r="P902" s="876"/>
      <c r="Q902" s="876"/>
      <c r="R902" s="876"/>
      <c r="S902" s="876"/>
      <c r="T902" s="876"/>
      <c r="U902" s="876"/>
      <c r="V902" s="876"/>
      <c r="W902" s="876"/>
      <c r="X902" s="876"/>
      <c r="Y902" s="876"/>
      <c r="Z902" s="876"/>
      <c r="AA902" s="876"/>
      <c r="AB902" s="876"/>
      <c r="AC902" s="876"/>
      <c r="AD902" s="876"/>
      <c r="AE902" s="876"/>
      <c r="AF902" s="876"/>
      <c r="AG902" s="876"/>
      <c r="AH902" s="876"/>
      <c r="AI902" s="878"/>
      <c r="AJ902" s="880"/>
      <c r="AK902" s="880"/>
      <c r="AL902" s="880"/>
      <c r="AM902" s="880"/>
      <c r="AN902" s="880"/>
      <c r="AO902" s="880"/>
      <c r="AP902" s="880"/>
      <c r="AQ902" s="880"/>
      <c r="AR902" s="880"/>
      <c r="AS902" s="880"/>
      <c r="AT902" s="880"/>
      <c r="AU902" s="880"/>
      <c r="AV902" s="880"/>
      <c r="AW902" s="881"/>
      <c r="AX902" s="863"/>
      <c r="AY902" s="863"/>
      <c r="AZ902" s="863"/>
      <c r="BA902" s="863"/>
      <c r="BB902" s="863"/>
      <c r="BC902" s="863"/>
      <c r="BD902" s="863"/>
      <c r="BE902" s="863"/>
      <c r="BF902" s="863"/>
      <c r="BG902" s="863"/>
      <c r="BH902" s="863"/>
      <c r="BI902" s="863"/>
      <c r="BJ902" s="863"/>
      <c r="BK902" s="863"/>
      <c r="BL902" s="863"/>
      <c r="BM902" s="863"/>
      <c r="BN902" s="863"/>
      <c r="BO902" s="863"/>
      <c r="BP902" s="880"/>
      <c r="BQ902" s="863"/>
      <c r="BR902" s="883"/>
      <c r="BS902" s="883"/>
      <c r="BT902" s="883"/>
      <c r="BU902" s="883"/>
      <c r="BV902" s="883"/>
      <c r="BW902" s="883"/>
      <c r="BX902" s="883"/>
      <c r="BY902" s="883"/>
      <c r="BZ902" s="883"/>
      <c r="CA902" s="883"/>
      <c r="CB902" s="883"/>
      <c r="CC902" s="883"/>
      <c r="CD902" s="884"/>
      <c r="CE902" s="883"/>
      <c r="CF902" s="883"/>
      <c r="CG902" s="883"/>
      <c r="CH902" s="883"/>
      <c r="CI902" s="883"/>
      <c r="CJ902" s="883"/>
      <c r="CK902" s="883"/>
      <c r="CL902" s="883"/>
      <c r="CM902" s="883"/>
      <c r="CN902" s="883"/>
      <c r="CO902" s="883"/>
      <c r="CP902" s="883"/>
      <c r="CQ902" s="883"/>
      <c r="CR902" s="883"/>
      <c r="CS902" s="883"/>
      <c r="CT902" s="883"/>
      <c r="CU902" s="883"/>
      <c r="CV902" s="863"/>
      <c r="CW902" s="863"/>
      <c r="CX902" s="863"/>
      <c r="CY902" s="863"/>
      <c r="CZ902" s="863"/>
      <c r="DA902" s="863"/>
      <c r="DB902" s="863"/>
      <c r="DC902" s="863"/>
      <c r="DD902" s="863"/>
      <c r="DE902" s="863"/>
    </row>
    <row r="903">
      <c r="A903" s="876"/>
      <c r="B903" s="876"/>
      <c r="C903" s="876"/>
      <c r="D903" s="876"/>
      <c r="E903" s="876"/>
      <c r="F903" s="876"/>
      <c r="G903" s="876"/>
      <c r="H903" s="876"/>
      <c r="I903" s="876"/>
      <c r="J903" s="876"/>
      <c r="K903" s="876"/>
      <c r="L903" s="876"/>
      <c r="M903" s="876"/>
      <c r="N903" s="877"/>
      <c r="O903" s="876"/>
      <c r="P903" s="876"/>
      <c r="Q903" s="876"/>
      <c r="R903" s="876"/>
      <c r="S903" s="876"/>
      <c r="T903" s="876"/>
      <c r="U903" s="876"/>
      <c r="V903" s="876"/>
      <c r="W903" s="876"/>
      <c r="X903" s="876"/>
      <c r="Y903" s="876"/>
      <c r="Z903" s="876"/>
      <c r="AA903" s="876"/>
      <c r="AB903" s="876"/>
      <c r="AC903" s="876"/>
      <c r="AD903" s="876"/>
      <c r="AE903" s="876"/>
      <c r="AF903" s="876"/>
      <c r="AG903" s="876"/>
      <c r="AH903" s="876"/>
      <c r="AI903" s="878"/>
      <c r="AJ903" s="880"/>
      <c r="AK903" s="880"/>
      <c r="AL903" s="880"/>
      <c r="AM903" s="880"/>
      <c r="AN903" s="880"/>
      <c r="AO903" s="880"/>
      <c r="AP903" s="880"/>
      <c r="AQ903" s="880"/>
      <c r="AR903" s="880"/>
      <c r="AS903" s="880"/>
      <c r="AT903" s="880"/>
      <c r="AU903" s="880"/>
      <c r="AV903" s="880"/>
      <c r="AW903" s="881"/>
      <c r="AX903" s="863"/>
      <c r="AY903" s="863"/>
      <c r="AZ903" s="863"/>
      <c r="BA903" s="863"/>
      <c r="BB903" s="863"/>
      <c r="BC903" s="863"/>
      <c r="BD903" s="863"/>
      <c r="BE903" s="863"/>
      <c r="BF903" s="863"/>
      <c r="BG903" s="863"/>
      <c r="BH903" s="863"/>
      <c r="BI903" s="863"/>
      <c r="BJ903" s="863"/>
      <c r="BK903" s="863"/>
      <c r="BL903" s="863"/>
      <c r="BM903" s="863"/>
      <c r="BN903" s="863"/>
      <c r="BO903" s="863"/>
      <c r="BP903" s="880"/>
      <c r="BQ903" s="863"/>
      <c r="BR903" s="883"/>
      <c r="BS903" s="883"/>
      <c r="BT903" s="883"/>
      <c r="BU903" s="883"/>
      <c r="BV903" s="883"/>
      <c r="BW903" s="883"/>
      <c r="BX903" s="883"/>
      <c r="BY903" s="883"/>
      <c r="BZ903" s="883"/>
      <c r="CA903" s="883"/>
      <c r="CB903" s="883"/>
      <c r="CC903" s="883"/>
      <c r="CD903" s="884"/>
      <c r="CE903" s="883"/>
      <c r="CF903" s="883"/>
      <c r="CG903" s="883"/>
      <c r="CH903" s="883"/>
      <c r="CI903" s="883"/>
      <c r="CJ903" s="883"/>
      <c r="CK903" s="883"/>
      <c r="CL903" s="883"/>
      <c r="CM903" s="883"/>
      <c r="CN903" s="883"/>
      <c r="CO903" s="883"/>
      <c r="CP903" s="883"/>
      <c r="CQ903" s="883"/>
      <c r="CR903" s="883"/>
      <c r="CS903" s="883"/>
      <c r="CT903" s="883"/>
      <c r="CU903" s="883"/>
      <c r="CV903" s="863"/>
      <c r="CW903" s="863"/>
      <c r="CX903" s="863"/>
      <c r="CY903" s="863"/>
      <c r="CZ903" s="863"/>
      <c r="DA903" s="863"/>
      <c r="DB903" s="863"/>
      <c r="DC903" s="863"/>
      <c r="DD903" s="863"/>
      <c r="DE903" s="863"/>
    </row>
    <row r="904">
      <c r="A904" s="876"/>
      <c r="B904" s="876"/>
      <c r="C904" s="876"/>
      <c r="D904" s="876"/>
      <c r="E904" s="876"/>
      <c r="F904" s="876"/>
      <c r="G904" s="876"/>
      <c r="H904" s="876"/>
      <c r="I904" s="876"/>
      <c r="J904" s="876"/>
      <c r="K904" s="876"/>
      <c r="L904" s="876"/>
      <c r="M904" s="876"/>
      <c r="N904" s="877"/>
      <c r="O904" s="876"/>
      <c r="P904" s="876"/>
      <c r="Q904" s="876"/>
      <c r="R904" s="876"/>
      <c r="S904" s="876"/>
      <c r="T904" s="876"/>
      <c r="U904" s="876"/>
      <c r="V904" s="876"/>
      <c r="W904" s="876"/>
      <c r="X904" s="876"/>
      <c r="Y904" s="876"/>
      <c r="Z904" s="876"/>
      <c r="AA904" s="876"/>
      <c r="AB904" s="876"/>
      <c r="AC904" s="876"/>
      <c r="AD904" s="876"/>
      <c r="AE904" s="876"/>
      <c r="AF904" s="876"/>
      <c r="AG904" s="876"/>
      <c r="AH904" s="876"/>
      <c r="AI904" s="878"/>
      <c r="AJ904" s="880"/>
      <c r="AK904" s="880"/>
      <c r="AL904" s="880"/>
      <c r="AM904" s="880"/>
      <c r="AN904" s="880"/>
      <c r="AO904" s="880"/>
      <c r="AP904" s="880"/>
      <c r="AQ904" s="880"/>
      <c r="AR904" s="880"/>
      <c r="AS904" s="880"/>
      <c r="AT904" s="880"/>
      <c r="AU904" s="880"/>
      <c r="AV904" s="880"/>
      <c r="AW904" s="881"/>
      <c r="AX904" s="863"/>
      <c r="AY904" s="863"/>
      <c r="AZ904" s="863"/>
      <c r="BA904" s="863"/>
      <c r="BB904" s="863"/>
      <c r="BC904" s="863"/>
      <c r="BD904" s="863"/>
      <c r="BE904" s="863"/>
      <c r="BF904" s="863"/>
      <c r="BG904" s="863"/>
      <c r="BH904" s="863"/>
      <c r="BI904" s="863"/>
      <c r="BJ904" s="863"/>
      <c r="BK904" s="863"/>
      <c r="BL904" s="863"/>
      <c r="BM904" s="863"/>
      <c r="BN904" s="863"/>
      <c r="BO904" s="863"/>
      <c r="BP904" s="880"/>
      <c r="BQ904" s="863"/>
      <c r="BR904" s="883"/>
      <c r="BS904" s="883"/>
      <c r="BT904" s="883"/>
      <c r="BU904" s="883"/>
      <c r="BV904" s="883"/>
      <c r="BW904" s="883"/>
      <c r="BX904" s="883"/>
      <c r="BY904" s="883"/>
      <c r="BZ904" s="883"/>
      <c r="CA904" s="883"/>
      <c r="CB904" s="883"/>
      <c r="CC904" s="883"/>
      <c r="CD904" s="884"/>
      <c r="CE904" s="883"/>
      <c r="CF904" s="883"/>
      <c r="CG904" s="883"/>
      <c r="CH904" s="883"/>
      <c r="CI904" s="883"/>
      <c r="CJ904" s="883"/>
      <c r="CK904" s="883"/>
      <c r="CL904" s="883"/>
      <c r="CM904" s="883"/>
      <c r="CN904" s="883"/>
      <c r="CO904" s="883"/>
      <c r="CP904" s="883"/>
      <c r="CQ904" s="883"/>
      <c r="CR904" s="883"/>
      <c r="CS904" s="883"/>
      <c r="CT904" s="883"/>
      <c r="CU904" s="883"/>
      <c r="CV904" s="863"/>
      <c r="CW904" s="863"/>
      <c r="CX904" s="863"/>
      <c r="CY904" s="863"/>
      <c r="CZ904" s="863"/>
      <c r="DA904" s="863"/>
      <c r="DB904" s="863"/>
      <c r="DC904" s="863"/>
      <c r="DD904" s="863"/>
      <c r="DE904" s="863"/>
    </row>
    <row r="905">
      <c r="A905" s="876"/>
      <c r="B905" s="876"/>
      <c r="C905" s="876"/>
      <c r="D905" s="876"/>
      <c r="E905" s="876"/>
      <c r="F905" s="876"/>
      <c r="G905" s="876"/>
      <c r="H905" s="876"/>
      <c r="I905" s="876"/>
      <c r="J905" s="876"/>
      <c r="K905" s="876"/>
      <c r="L905" s="876"/>
      <c r="M905" s="876"/>
      <c r="N905" s="877"/>
      <c r="O905" s="876"/>
      <c r="P905" s="876"/>
      <c r="Q905" s="876"/>
      <c r="R905" s="876"/>
      <c r="S905" s="876"/>
      <c r="T905" s="876"/>
      <c r="U905" s="876"/>
      <c r="V905" s="876"/>
      <c r="W905" s="876"/>
      <c r="X905" s="876"/>
      <c r="Y905" s="876"/>
      <c r="Z905" s="876"/>
      <c r="AA905" s="876"/>
      <c r="AB905" s="876"/>
      <c r="AC905" s="876"/>
      <c r="AD905" s="876"/>
      <c r="AE905" s="876"/>
      <c r="AF905" s="876"/>
      <c r="AG905" s="876"/>
      <c r="AH905" s="876"/>
      <c r="AI905" s="878"/>
      <c r="AJ905" s="880"/>
      <c r="AK905" s="880"/>
      <c r="AL905" s="880"/>
      <c r="AM905" s="880"/>
      <c r="AN905" s="880"/>
      <c r="AO905" s="880"/>
      <c r="AP905" s="880"/>
      <c r="AQ905" s="880"/>
      <c r="AR905" s="880"/>
      <c r="AS905" s="880"/>
      <c r="AT905" s="880"/>
      <c r="AU905" s="880"/>
      <c r="AV905" s="880"/>
      <c r="AW905" s="881"/>
      <c r="AX905" s="863"/>
      <c r="AY905" s="863"/>
      <c r="AZ905" s="863"/>
      <c r="BA905" s="863"/>
      <c r="BB905" s="863"/>
      <c r="BC905" s="863"/>
      <c r="BD905" s="863"/>
      <c r="BE905" s="863"/>
      <c r="BF905" s="863"/>
      <c r="BG905" s="863"/>
      <c r="BH905" s="863"/>
      <c r="BI905" s="863"/>
      <c r="BJ905" s="863"/>
      <c r="BK905" s="863"/>
      <c r="BL905" s="863"/>
      <c r="BM905" s="863"/>
      <c r="BN905" s="863"/>
      <c r="BO905" s="863"/>
      <c r="BP905" s="880"/>
      <c r="BQ905" s="863"/>
      <c r="BR905" s="883"/>
      <c r="BS905" s="883"/>
      <c r="BT905" s="883"/>
      <c r="BU905" s="883"/>
      <c r="BV905" s="883"/>
      <c r="BW905" s="883"/>
      <c r="BX905" s="883"/>
      <c r="BY905" s="883"/>
      <c r="BZ905" s="883"/>
      <c r="CA905" s="883"/>
      <c r="CB905" s="883"/>
      <c r="CC905" s="883"/>
      <c r="CD905" s="884"/>
      <c r="CE905" s="883"/>
      <c r="CF905" s="883"/>
      <c r="CG905" s="883"/>
      <c r="CH905" s="883"/>
      <c r="CI905" s="883"/>
      <c r="CJ905" s="883"/>
      <c r="CK905" s="883"/>
      <c r="CL905" s="883"/>
      <c r="CM905" s="883"/>
      <c r="CN905" s="883"/>
      <c r="CO905" s="883"/>
      <c r="CP905" s="883"/>
      <c r="CQ905" s="883"/>
      <c r="CR905" s="883"/>
      <c r="CS905" s="883"/>
      <c r="CT905" s="883"/>
      <c r="CU905" s="883"/>
      <c r="CV905" s="863"/>
      <c r="CW905" s="863"/>
      <c r="CX905" s="863"/>
      <c r="CY905" s="863"/>
      <c r="CZ905" s="863"/>
      <c r="DA905" s="863"/>
      <c r="DB905" s="863"/>
      <c r="DC905" s="863"/>
      <c r="DD905" s="863"/>
      <c r="DE905" s="863"/>
    </row>
    <row r="906">
      <c r="A906" s="876"/>
      <c r="B906" s="876"/>
      <c r="C906" s="876"/>
      <c r="D906" s="876"/>
      <c r="E906" s="876"/>
      <c r="F906" s="876"/>
      <c r="G906" s="876"/>
      <c r="H906" s="876"/>
      <c r="I906" s="876"/>
      <c r="J906" s="876"/>
      <c r="K906" s="876"/>
      <c r="L906" s="876"/>
      <c r="M906" s="876"/>
      <c r="N906" s="877"/>
      <c r="O906" s="876"/>
      <c r="P906" s="876"/>
      <c r="Q906" s="876"/>
      <c r="R906" s="876"/>
      <c r="S906" s="876"/>
      <c r="T906" s="876"/>
      <c r="U906" s="876"/>
      <c r="V906" s="876"/>
      <c r="W906" s="876"/>
      <c r="X906" s="876"/>
      <c r="Y906" s="876"/>
      <c r="Z906" s="876"/>
      <c r="AA906" s="876"/>
      <c r="AB906" s="876"/>
      <c r="AC906" s="876"/>
      <c r="AD906" s="876"/>
      <c r="AE906" s="876"/>
      <c r="AF906" s="876"/>
      <c r="AG906" s="876"/>
      <c r="AH906" s="876"/>
      <c r="AI906" s="878"/>
      <c r="AJ906" s="880"/>
      <c r="AK906" s="880"/>
      <c r="AL906" s="880"/>
      <c r="AM906" s="880"/>
      <c r="AN906" s="880"/>
      <c r="AO906" s="880"/>
      <c r="AP906" s="880"/>
      <c r="AQ906" s="880"/>
      <c r="AR906" s="880"/>
      <c r="AS906" s="880"/>
      <c r="AT906" s="880"/>
      <c r="AU906" s="880"/>
      <c r="AV906" s="880"/>
      <c r="AW906" s="881"/>
      <c r="AX906" s="863"/>
      <c r="AY906" s="863"/>
      <c r="AZ906" s="863"/>
      <c r="BA906" s="863"/>
      <c r="BB906" s="863"/>
      <c r="BC906" s="863"/>
      <c r="BD906" s="863"/>
      <c r="BE906" s="863"/>
      <c r="BF906" s="863"/>
      <c r="BG906" s="863"/>
      <c r="BH906" s="863"/>
      <c r="BI906" s="863"/>
      <c r="BJ906" s="863"/>
      <c r="BK906" s="863"/>
      <c r="BL906" s="863"/>
      <c r="BM906" s="863"/>
      <c r="BN906" s="863"/>
      <c r="BO906" s="863"/>
      <c r="BP906" s="880"/>
      <c r="BQ906" s="863"/>
      <c r="BR906" s="883"/>
      <c r="BS906" s="883"/>
      <c r="BT906" s="883"/>
      <c r="BU906" s="883"/>
      <c r="BV906" s="883"/>
      <c r="BW906" s="883"/>
      <c r="BX906" s="883"/>
      <c r="BY906" s="883"/>
      <c r="BZ906" s="883"/>
      <c r="CA906" s="883"/>
      <c r="CB906" s="883"/>
      <c r="CC906" s="883"/>
      <c r="CD906" s="884"/>
      <c r="CE906" s="883"/>
      <c r="CF906" s="883"/>
      <c r="CG906" s="883"/>
      <c r="CH906" s="883"/>
      <c r="CI906" s="883"/>
      <c r="CJ906" s="883"/>
      <c r="CK906" s="883"/>
      <c r="CL906" s="883"/>
      <c r="CM906" s="883"/>
      <c r="CN906" s="883"/>
      <c r="CO906" s="883"/>
      <c r="CP906" s="883"/>
      <c r="CQ906" s="883"/>
      <c r="CR906" s="883"/>
      <c r="CS906" s="883"/>
      <c r="CT906" s="883"/>
      <c r="CU906" s="883"/>
      <c r="CV906" s="863"/>
      <c r="CW906" s="863"/>
      <c r="CX906" s="863"/>
      <c r="CY906" s="863"/>
      <c r="CZ906" s="863"/>
      <c r="DA906" s="863"/>
      <c r="DB906" s="863"/>
      <c r="DC906" s="863"/>
      <c r="DD906" s="863"/>
      <c r="DE906" s="863"/>
    </row>
    <row r="907">
      <c r="A907" s="876"/>
      <c r="B907" s="876"/>
      <c r="C907" s="876"/>
      <c r="D907" s="876"/>
      <c r="E907" s="876"/>
      <c r="F907" s="876"/>
      <c r="G907" s="876"/>
      <c r="H907" s="876"/>
      <c r="I907" s="876"/>
      <c r="J907" s="876"/>
      <c r="K907" s="876"/>
      <c r="L907" s="876"/>
      <c r="M907" s="876"/>
      <c r="N907" s="877"/>
      <c r="O907" s="876"/>
      <c r="P907" s="876"/>
      <c r="Q907" s="876"/>
      <c r="R907" s="876"/>
      <c r="S907" s="876"/>
      <c r="T907" s="876"/>
      <c r="U907" s="876"/>
      <c r="V907" s="876"/>
      <c r="W907" s="876"/>
      <c r="X907" s="876"/>
      <c r="Y907" s="876"/>
      <c r="Z907" s="876"/>
      <c r="AA907" s="876"/>
      <c r="AB907" s="876"/>
      <c r="AC907" s="876"/>
      <c r="AD907" s="876"/>
      <c r="AE907" s="876"/>
      <c r="AF907" s="876"/>
      <c r="AG907" s="876"/>
      <c r="AH907" s="876"/>
      <c r="AI907" s="878"/>
      <c r="AJ907" s="880"/>
      <c r="AK907" s="880"/>
      <c r="AL907" s="880"/>
      <c r="AM907" s="880"/>
      <c r="AN907" s="880"/>
      <c r="AO907" s="880"/>
      <c r="AP907" s="880"/>
      <c r="AQ907" s="880"/>
      <c r="AR907" s="880"/>
      <c r="AS907" s="880"/>
      <c r="AT907" s="880"/>
      <c r="AU907" s="880"/>
      <c r="AV907" s="880"/>
      <c r="AW907" s="881"/>
      <c r="AX907" s="863"/>
      <c r="AY907" s="863"/>
      <c r="AZ907" s="863"/>
      <c r="BA907" s="863"/>
      <c r="BB907" s="863"/>
      <c r="BC907" s="863"/>
      <c r="BD907" s="863"/>
      <c r="BE907" s="863"/>
      <c r="BF907" s="863"/>
      <c r="BG907" s="863"/>
      <c r="BH907" s="863"/>
      <c r="BI907" s="863"/>
      <c r="BJ907" s="863"/>
      <c r="BK907" s="863"/>
      <c r="BL907" s="863"/>
      <c r="BM907" s="863"/>
      <c r="BN907" s="863"/>
      <c r="BO907" s="863"/>
      <c r="BP907" s="880"/>
      <c r="BQ907" s="863"/>
      <c r="BR907" s="883"/>
      <c r="BS907" s="883"/>
      <c r="BT907" s="883"/>
      <c r="BU907" s="883"/>
      <c r="BV907" s="883"/>
      <c r="BW907" s="883"/>
      <c r="BX907" s="883"/>
      <c r="BY907" s="883"/>
      <c r="BZ907" s="883"/>
      <c r="CA907" s="883"/>
      <c r="CB907" s="883"/>
      <c r="CC907" s="883"/>
      <c r="CD907" s="884"/>
      <c r="CE907" s="883"/>
      <c r="CF907" s="883"/>
      <c r="CG907" s="883"/>
      <c r="CH907" s="883"/>
      <c r="CI907" s="883"/>
      <c r="CJ907" s="883"/>
      <c r="CK907" s="883"/>
      <c r="CL907" s="883"/>
      <c r="CM907" s="883"/>
      <c r="CN907" s="883"/>
      <c r="CO907" s="883"/>
      <c r="CP907" s="883"/>
      <c r="CQ907" s="883"/>
      <c r="CR907" s="883"/>
      <c r="CS907" s="883"/>
      <c r="CT907" s="883"/>
      <c r="CU907" s="883"/>
      <c r="CV907" s="863"/>
      <c r="CW907" s="863"/>
      <c r="CX907" s="863"/>
      <c r="CY907" s="863"/>
      <c r="CZ907" s="863"/>
      <c r="DA907" s="863"/>
      <c r="DB907" s="863"/>
      <c r="DC907" s="863"/>
      <c r="DD907" s="863"/>
      <c r="DE907" s="863"/>
    </row>
    <row r="908">
      <c r="A908" s="876"/>
      <c r="B908" s="876"/>
      <c r="C908" s="876"/>
      <c r="D908" s="876"/>
      <c r="E908" s="876"/>
      <c r="F908" s="876"/>
      <c r="G908" s="876"/>
      <c r="H908" s="876"/>
      <c r="I908" s="876"/>
      <c r="J908" s="876"/>
      <c r="K908" s="876"/>
      <c r="L908" s="876"/>
      <c r="M908" s="876"/>
      <c r="N908" s="877"/>
      <c r="O908" s="876"/>
      <c r="P908" s="876"/>
      <c r="Q908" s="876"/>
      <c r="R908" s="876"/>
      <c r="S908" s="876"/>
      <c r="T908" s="876"/>
      <c r="U908" s="876"/>
      <c r="V908" s="876"/>
      <c r="W908" s="876"/>
      <c r="X908" s="876"/>
      <c r="Y908" s="876"/>
      <c r="Z908" s="876"/>
      <c r="AA908" s="876"/>
      <c r="AB908" s="876"/>
      <c r="AC908" s="876"/>
      <c r="AD908" s="876"/>
      <c r="AE908" s="876"/>
      <c r="AF908" s="876"/>
      <c r="AG908" s="876"/>
      <c r="AH908" s="876"/>
      <c r="AI908" s="878"/>
      <c r="AJ908" s="880"/>
      <c r="AK908" s="880"/>
      <c r="AL908" s="880"/>
      <c r="AM908" s="880"/>
      <c r="AN908" s="880"/>
      <c r="AO908" s="880"/>
      <c r="AP908" s="880"/>
      <c r="AQ908" s="880"/>
      <c r="AR908" s="880"/>
      <c r="AS908" s="880"/>
      <c r="AT908" s="880"/>
      <c r="AU908" s="880"/>
      <c r="AV908" s="880"/>
      <c r="AW908" s="881"/>
      <c r="AX908" s="863"/>
      <c r="AY908" s="863"/>
      <c r="AZ908" s="863"/>
      <c r="BA908" s="863"/>
      <c r="BB908" s="863"/>
      <c r="BC908" s="863"/>
      <c r="BD908" s="863"/>
      <c r="BE908" s="863"/>
      <c r="BF908" s="863"/>
      <c r="BG908" s="863"/>
      <c r="BH908" s="863"/>
      <c r="BI908" s="863"/>
      <c r="BJ908" s="863"/>
      <c r="BK908" s="863"/>
      <c r="BL908" s="863"/>
      <c r="BM908" s="863"/>
      <c r="BN908" s="863"/>
      <c r="BO908" s="863"/>
      <c r="BP908" s="880"/>
      <c r="BQ908" s="863"/>
      <c r="BR908" s="883"/>
      <c r="BS908" s="883"/>
      <c r="BT908" s="883"/>
      <c r="BU908" s="883"/>
      <c r="BV908" s="883"/>
      <c r="BW908" s="883"/>
      <c r="BX908" s="883"/>
      <c r="BY908" s="883"/>
      <c r="BZ908" s="883"/>
      <c r="CA908" s="883"/>
      <c r="CB908" s="883"/>
      <c r="CC908" s="883"/>
      <c r="CD908" s="884"/>
      <c r="CE908" s="883"/>
      <c r="CF908" s="883"/>
      <c r="CG908" s="883"/>
      <c r="CH908" s="883"/>
      <c r="CI908" s="883"/>
      <c r="CJ908" s="883"/>
      <c r="CK908" s="883"/>
      <c r="CL908" s="883"/>
      <c r="CM908" s="883"/>
      <c r="CN908" s="883"/>
      <c r="CO908" s="883"/>
      <c r="CP908" s="883"/>
      <c r="CQ908" s="883"/>
      <c r="CR908" s="883"/>
      <c r="CS908" s="883"/>
      <c r="CT908" s="883"/>
      <c r="CU908" s="883"/>
      <c r="CV908" s="863"/>
      <c r="CW908" s="863"/>
      <c r="CX908" s="863"/>
      <c r="CY908" s="863"/>
      <c r="CZ908" s="863"/>
      <c r="DA908" s="863"/>
      <c r="DB908" s="863"/>
      <c r="DC908" s="863"/>
      <c r="DD908" s="863"/>
      <c r="DE908" s="863"/>
    </row>
    <row r="909">
      <c r="A909" s="876"/>
      <c r="B909" s="876"/>
      <c r="C909" s="876"/>
      <c r="D909" s="876"/>
      <c r="E909" s="876"/>
      <c r="F909" s="876"/>
      <c r="G909" s="876"/>
      <c r="H909" s="876"/>
      <c r="I909" s="876"/>
      <c r="J909" s="876"/>
      <c r="K909" s="876"/>
      <c r="L909" s="876"/>
      <c r="M909" s="876"/>
      <c r="N909" s="877"/>
      <c r="O909" s="876"/>
      <c r="P909" s="876"/>
      <c r="Q909" s="876"/>
      <c r="R909" s="876"/>
      <c r="S909" s="876"/>
      <c r="T909" s="876"/>
      <c r="U909" s="876"/>
      <c r="V909" s="876"/>
      <c r="W909" s="876"/>
      <c r="X909" s="876"/>
      <c r="Y909" s="876"/>
      <c r="Z909" s="876"/>
      <c r="AA909" s="876"/>
      <c r="AB909" s="876"/>
      <c r="AC909" s="876"/>
      <c r="AD909" s="876"/>
      <c r="AE909" s="876"/>
      <c r="AF909" s="876"/>
      <c r="AG909" s="876"/>
      <c r="AH909" s="876"/>
      <c r="AI909" s="878"/>
      <c r="AJ909" s="880"/>
      <c r="AK909" s="880"/>
      <c r="AL909" s="880"/>
      <c r="AM909" s="880"/>
      <c r="AN909" s="880"/>
      <c r="AO909" s="880"/>
      <c r="AP909" s="880"/>
      <c r="AQ909" s="880"/>
      <c r="AR909" s="880"/>
      <c r="AS909" s="880"/>
      <c r="AT909" s="880"/>
      <c r="AU909" s="880"/>
      <c r="AV909" s="880"/>
      <c r="AW909" s="881"/>
      <c r="AX909" s="863"/>
      <c r="AY909" s="863"/>
      <c r="AZ909" s="863"/>
      <c r="BA909" s="863"/>
      <c r="BB909" s="863"/>
      <c r="BC909" s="863"/>
      <c r="BD909" s="863"/>
      <c r="BE909" s="863"/>
      <c r="BF909" s="863"/>
      <c r="BG909" s="863"/>
      <c r="BH909" s="863"/>
      <c r="BI909" s="863"/>
      <c r="BJ909" s="863"/>
      <c r="BK909" s="863"/>
      <c r="BL909" s="863"/>
      <c r="BM909" s="863"/>
      <c r="BN909" s="863"/>
      <c r="BO909" s="863"/>
      <c r="BP909" s="880"/>
      <c r="BQ909" s="863"/>
      <c r="BR909" s="883"/>
      <c r="BS909" s="883"/>
      <c r="BT909" s="883"/>
      <c r="BU909" s="883"/>
      <c r="BV909" s="883"/>
      <c r="BW909" s="883"/>
      <c r="BX909" s="883"/>
      <c r="BY909" s="883"/>
      <c r="BZ909" s="883"/>
      <c r="CA909" s="883"/>
      <c r="CB909" s="883"/>
      <c r="CC909" s="883"/>
      <c r="CD909" s="884"/>
      <c r="CE909" s="883"/>
      <c r="CF909" s="883"/>
      <c r="CG909" s="883"/>
      <c r="CH909" s="883"/>
      <c r="CI909" s="883"/>
      <c r="CJ909" s="883"/>
      <c r="CK909" s="883"/>
      <c r="CL909" s="883"/>
      <c r="CM909" s="883"/>
      <c r="CN909" s="883"/>
      <c r="CO909" s="883"/>
      <c r="CP909" s="883"/>
      <c r="CQ909" s="883"/>
      <c r="CR909" s="883"/>
      <c r="CS909" s="883"/>
      <c r="CT909" s="883"/>
      <c r="CU909" s="883"/>
      <c r="CV909" s="863"/>
      <c r="CW909" s="863"/>
      <c r="CX909" s="863"/>
      <c r="CY909" s="863"/>
      <c r="CZ909" s="863"/>
      <c r="DA909" s="863"/>
      <c r="DB909" s="863"/>
      <c r="DC909" s="863"/>
      <c r="DD909" s="863"/>
      <c r="DE909" s="863"/>
    </row>
    <row r="910">
      <c r="A910" s="876"/>
      <c r="B910" s="876"/>
      <c r="C910" s="876"/>
      <c r="D910" s="876"/>
      <c r="E910" s="876"/>
      <c r="F910" s="876"/>
      <c r="G910" s="876"/>
      <c r="H910" s="876"/>
      <c r="I910" s="876"/>
      <c r="J910" s="876"/>
      <c r="K910" s="876"/>
      <c r="L910" s="876"/>
      <c r="M910" s="876"/>
      <c r="N910" s="877"/>
      <c r="O910" s="876"/>
      <c r="P910" s="876"/>
      <c r="Q910" s="876"/>
      <c r="R910" s="876"/>
      <c r="S910" s="876"/>
      <c r="T910" s="876"/>
      <c r="U910" s="876"/>
      <c r="V910" s="876"/>
      <c r="W910" s="876"/>
      <c r="X910" s="876"/>
      <c r="Y910" s="876"/>
      <c r="Z910" s="876"/>
      <c r="AA910" s="876"/>
      <c r="AB910" s="876"/>
      <c r="AC910" s="876"/>
      <c r="AD910" s="876"/>
      <c r="AE910" s="876"/>
      <c r="AF910" s="876"/>
      <c r="AG910" s="876"/>
      <c r="AH910" s="876"/>
      <c r="AI910" s="878"/>
      <c r="AJ910" s="880"/>
      <c r="AK910" s="880"/>
      <c r="AL910" s="880"/>
      <c r="AM910" s="880"/>
      <c r="AN910" s="880"/>
      <c r="AO910" s="880"/>
      <c r="AP910" s="880"/>
      <c r="AQ910" s="880"/>
      <c r="AR910" s="880"/>
      <c r="AS910" s="880"/>
      <c r="AT910" s="880"/>
      <c r="AU910" s="880"/>
      <c r="AV910" s="880"/>
      <c r="AW910" s="881"/>
      <c r="AX910" s="863"/>
      <c r="AY910" s="863"/>
      <c r="AZ910" s="863"/>
      <c r="BA910" s="863"/>
      <c r="BB910" s="863"/>
      <c r="BC910" s="863"/>
      <c r="BD910" s="863"/>
      <c r="BE910" s="863"/>
      <c r="BF910" s="863"/>
      <c r="BG910" s="863"/>
      <c r="BH910" s="863"/>
      <c r="BI910" s="863"/>
      <c r="BJ910" s="863"/>
      <c r="BK910" s="863"/>
      <c r="BL910" s="863"/>
      <c r="BM910" s="863"/>
      <c r="BN910" s="863"/>
      <c r="BO910" s="863"/>
      <c r="BP910" s="880"/>
      <c r="BQ910" s="863"/>
      <c r="BR910" s="883"/>
      <c r="BS910" s="883"/>
      <c r="BT910" s="883"/>
      <c r="BU910" s="883"/>
      <c r="BV910" s="883"/>
      <c r="BW910" s="883"/>
      <c r="BX910" s="883"/>
      <c r="BY910" s="883"/>
      <c r="BZ910" s="883"/>
      <c r="CA910" s="883"/>
      <c r="CB910" s="883"/>
      <c r="CC910" s="883"/>
      <c r="CD910" s="884"/>
      <c r="CE910" s="883"/>
      <c r="CF910" s="883"/>
      <c r="CG910" s="883"/>
      <c r="CH910" s="883"/>
      <c r="CI910" s="883"/>
      <c r="CJ910" s="883"/>
      <c r="CK910" s="883"/>
      <c r="CL910" s="883"/>
      <c r="CM910" s="883"/>
      <c r="CN910" s="883"/>
      <c r="CO910" s="883"/>
      <c r="CP910" s="883"/>
      <c r="CQ910" s="883"/>
      <c r="CR910" s="883"/>
      <c r="CS910" s="883"/>
      <c r="CT910" s="883"/>
      <c r="CU910" s="883"/>
      <c r="CV910" s="863"/>
      <c r="CW910" s="863"/>
      <c r="CX910" s="863"/>
      <c r="CY910" s="863"/>
      <c r="CZ910" s="863"/>
      <c r="DA910" s="863"/>
      <c r="DB910" s="863"/>
      <c r="DC910" s="863"/>
      <c r="DD910" s="863"/>
      <c r="DE910" s="863"/>
    </row>
    <row r="911">
      <c r="A911" s="876"/>
      <c r="B911" s="876"/>
      <c r="C911" s="876"/>
      <c r="D911" s="876"/>
      <c r="E911" s="876"/>
      <c r="F911" s="876"/>
      <c r="G911" s="876"/>
      <c r="H911" s="876"/>
      <c r="I911" s="876"/>
      <c r="J911" s="876"/>
      <c r="K911" s="876"/>
      <c r="L911" s="876"/>
      <c r="M911" s="876"/>
      <c r="N911" s="877"/>
      <c r="O911" s="876"/>
      <c r="P911" s="876"/>
      <c r="Q911" s="876"/>
      <c r="R911" s="876"/>
      <c r="S911" s="876"/>
      <c r="T911" s="876"/>
      <c r="U911" s="876"/>
      <c r="V911" s="876"/>
      <c r="W911" s="876"/>
      <c r="X911" s="876"/>
      <c r="Y911" s="876"/>
      <c r="Z911" s="876"/>
      <c r="AA911" s="876"/>
      <c r="AB911" s="876"/>
      <c r="AC911" s="876"/>
      <c r="AD911" s="876"/>
      <c r="AE911" s="876"/>
      <c r="AF911" s="876"/>
      <c r="AG911" s="876"/>
      <c r="AH911" s="876"/>
      <c r="AI911" s="878"/>
      <c r="AJ911" s="880"/>
      <c r="AK911" s="880"/>
      <c r="AL911" s="880"/>
      <c r="AM911" s="880"/>
      <c r="AN911" s="880"/>
      <c r="AO911" s="880"/>
      <c r="AP911" s="880"/>
      <c r="AQ911" s="880"/>
      <c r="AR911" s="880"/>
      <c r="AS911" s="880"/>
      <c r="AT911" s="880"/>
      <c r="AU911" s="880"/>
      <c r="AV911" s="880"/>
      <c r="AW911" s="881"/>
      <c r="AX911" s="863"/>
      <c r="AY911" s="863"/>
      <c r="AZ911" s="863"/>
      <c r="BA911" s="863"/>
      <c r="BB911" s="863"/>
      <c r="BC911" s="863"/>
      <c r="BD911" s="863"/>
      <c r="BE911" s="863"/>
      <c r="BF911" s="863"/>
      <c r="BG911" s="863"/>
      <c r="BH911" s="863"/>
      <c r="BI911" s="863"/>
      <c r="BJ911" s="863"/>
      <c r="BK911" s="863"/>
      <c r="BL911" s="863"/>
      <c r="BM911" s="863"/>
      <c r="BN911" s="863"/>
      <c r="BO911" s="863"/>
      <c r="BP911" s="880"/>
      <c r="BQ911" s="863"/>
      <c r="BR911" s="883"/>
      <c r="BS911" s="883"/>
      <c r="BT911" s="883"/>
      <c r="BU911" s="883"/>
      <c r="BV911" s="883"/>
      <c r="BW911" s="883"/>
      <c r="BX911" s="883"/>
      <c r="BY911" s="883"/>
      <c r="BZ911" s="883"/>
      <c r="CA911" s="883"/>
      <c r="CB911" s="883"/>
      <c r="CC911" s="883"/>
      <c r="CD911" s="884"/>
      <c r="CE911" s="883"/>
      <c r="CF911" s="883"/>
      <c r="CG911" s="883"/>
      <c r="CH911" s="883"/>
      <c r="CI911" s="883"/>
      <c r="CJ911" s="883"/>
      <c r="CK911" s="883"/>
      <c r="CL911" s="883"/>
      <c r="CM911" s="883"/>
      <c r="CN911" s="883"/>
      <c r="CO911" s="883"/>
      <c r="CP911" s="883"/>
      <c r="CQ911" s="883"/>
      <c r="CR911" s="883"/>
      <c r="CS911" s="883"/>
      <c r="CT911" s="883"/>
      <c r="CU911" s="883"/>
      <c r="CV911" s="863"/>
      <c r="CW911" s="863"/>
      <c r="CX911" s="863"/>
      <c r="CY911" s="863"/>
      <c r="CZ911" s="863"/>
      <c r="DA911" s="863"/>
      <c r="DB911" s="863"/>
      <c r="DC911" s="863"/>
      <c r="DD911" s="863"/>
      <c r="DE911" s="863"/>
    </row>
    <row r="912">
      <c r="A912" s="876"/>
      <c r="B912" s="876"/>
      <c r="C912" s="876"/>
      <c r="D912" s="876"/>
      <c r="E912" s="876"/>
      <c r="F912" s="876"/>
      <c r="G912" s="876"/>
      <c r="H912" s="876"/>
      <c r="I912" s="876"/>
      <c r="J912" s="876"/>
      <c r="K912" s="876"/>
      <c r="L912" s="876"/>
      <c r="M912" s="876"/>
      <c r="N912" s="877"/>
      <c r="O912" s="876"/>
      <c r="P912" s="876"/>
      <c r="Q912" s="876"/>
      <c r="R912" s="876"/>
      <c r="S912" s="876"/>
      <c r="T912" s="876"/>
      <c r="U912" s="876"/>
      <c r="V912" s="876"/>
      <c r="W912" s="876"/>
      <c r="X912" s="876"/>
      <c r="Y912" s="876"/>
      <c r="Z912" s="876"/>
      <c r="AA912" s="876"/>
      <c r="AB912" s="876"/>
      <c r="AC912" s="876"/>
      <c r="AD912" s="876"/>
      <c r="AE912" s="876"/>
      <c r="AF912" s="876"/>
      <c r="AG912" s="876"/>
      <c r="AH912" s="876"/>
      <c r="AI912" s="878"/>
      <c r="AJ912" s="880"/>
      <c r="AK912" s="880"/>
      <c r="AL912" s="880"/>
      <c r="AM912" s="880"/>
      <c r="AN912" s="880"/>
      <c r="AO912" s="880"/>
      <c r="AP912" s="880"/>
      <c r="AQ912" s="880"/>
      <c r="AR912" s="880"/>
      <c r="AS912" s="880"/>
      <c r="AT912" s="880"/>
      <c r="AU912" s="880"/>
      <c r="AV912" s="880"/>
      <c r="AW912" s="881"/>
      <c r="AX912" s="863"/>
      <c r="AY912" s="863"/>
      <c r="AZ912" s="863"/>
      <c r="BA912" s="863"/>
      <c r="BB912" s="863"/>
      <c r="BC912" s="863"/>
      <c r="BD912" s="863"/>
      <c r="BE912" s="863"/>
      <c r="BF912" s="863"/>
      <c r="BG912" s="863"/>
      <c r="BH912" s="863"/>
      <c r="BI912" s="863"/>
      <c r="BJ912" s="863"/>
      <c r="BK912" s="863"/>
      <c r="BL912" s="863"/>
      <c r="BM912" s="863"/>
      <c r="BN912" s="863"/>
      <c r="BO912" s="863"/>
      <c r="BP912" s="880"/>
      <c r="BQ912" s="863"/>
      <c r="BR912" s="883"/>
      <c r="BS912" s="883"/>
      <c r="BT912" s="883"/>
      <c r="BU912" s="883"/>
      <c r="BV912" s="883"/>
      <c r="BW912" s="883"/>
      <c r="BX912" s="883"/>
      <c r="BY912" s="883"/>
      <c r="BZ912" s="883"/>
      <c r="CA912" s="883"/>
      <c r="CB912" s="883"/>
      <c r="CC912" s="883"/>
      <c r="CD912" s="884"/>
      <c r="CE912" s="883"/>
      <c r="CF912" s="883"/>
      <c r="CG912" s="883"/>
      <c r="CH912" s="883"/>
      <c r="CI912" s="883"/>
      <c r="CJ912" s="883"/>
      <c r="CK912" s="883"/>
      <c r="CL912" s="883"/>
      <c r="CM912" s="883"/>
      <c r="CN912" s="883"/>
      <c r="CO912" s="883"/>
      <c r="CP912" s="883"/>
      <c r="CQ912" s="883"/>
      <c r="CR912" s="883"/>
      <c r="CS912" s="883"/>
      <c r="CT912" s="883"/>
      <c r="CU912" s="883"/>
      <c r="CV912" s="863"/>
      <c r="CW912" s="863"/>
      <c r="CX912" s="863"/>
      <c r="CY912" s="863"/>
      <c r="CZ912" s="863"/>
      <c r="DA912" s="863"/>
      <c r="DB912" s="863"/>
      <c r="DC912" s="863"/>
      <c r="DD912" s="863"/>
      <c r="DE912" s="863"/>
    </row>
    <row r="913">
      <c r="A913" s="876"/>
      <c r="B913" s="876"/>
      <c r="C913" s="876"/>
      <c r="D913" s="876"/>
      <c r="E913" s="876"/>
      <c r="F913" s="876"/>
      <c r="G913" s="876"/>
      <c r="H913" s="876"/>
      <c r="I913" s="876"/>
      <c r="J913" s="876"/>
      <c r="K913" s="876"/>
      <c r="L913" s="876"/>
      <c r="M913" s="876"/>
      <c r="N913" s="877"/>
      <c r="O913" s="876"/>
      <c r="P913" s="876"/>
      <c r="Q913" s="876"/>
      <c r="R913" s="876"/>
      <c r="S913" s="876"/>
      <c r="T913" s="876"/>
      <c r="U913" s="876"/>
      <c r="V913" s="876"/>
      <c r="W913" s="876"/>
      <c r="X913" s="876"/>
      <c r="Y913" s="876"/>
      <c r="Z913" s="876"/>
      <c r="AA913" s="876"/>
      <c r="AB913" s="876"/>
      <c r="AC913" s="876"/>
      <c r="AD913" s="876"/>
      <c r="AE913" s="876"/>
      <c r="AF913" s="876"/>
      <c r="AG913" s="876"/>
      <c r="AH913" s="876"/>
      <c r="AI913" s="878"/>
      <c r="AJ913" s="880"/>
      <c r="AK913" s="880"/>
      <c r="AL913" s="880"/>
      <c r="AM913" s="880"/>
      <c r="AN913" s="880"/>
      <c r="AO913" s="880"/>
      <c r="AP913" s="880"/>
      <c r="AQ913" s="880"/>
      <c r="AR913" s="880"/>
      <c r="AS913" s="880"/>
      <c r="AT913" s="880"/>
      <c r="AU913" s="880"/>
      <c r="AV913" s="880"/>
      <c r="AW913" s="881"/>
      <c r="AX913" s="863"/>
      <c r="AY913" s="863"/>
      <c r="AZ913" s="863"/>
      <c r="BA913" s="863"/>
      <c r="BB913" s="863"/>
      <c r="BC913" s="863"/>
      <c r="BD913" s="863"/>
      <c r="BE913" s="863"/>
      <c r="BF913" s="863"/>
      <c r="BG913" s="863"/>
      <c r="BH913" s="863"/>
      <c r="BI913" s="863"/>
      <c r="BJ913" s="863"/>
      <c r="BK913" s="863"/>
      <c r="BL913" s="863"/>
      <c r="BM913" s="863"/>
      <c r="BN913" s="863"/>
      <c r="BO913" s="863"/>
      <c r="BP913" s="880"/>
      <c r="BQ913" s="863"/>
      <c r="BR913" s="883"/>
      <c r="BS913" s="883"/>
      <c r="BT913" s="883"/>
      <c r="BU913" s="883"/>
      <c r="BV913" s="883"/>
      <c r="BW913" s="883"/>
      <c r="BX913" s="883"/>
      <c r="BY913" s="883"/>
      <c r="BZ913" s="883"/>
      <c r="CA913" s="883"/>
      <c r="CB913" s="883"/>
      <c r="CC913" s="883"/>
      <c r="CD913" s="884"/>
      <c r="CE913" s="883"/>
      <c r="CF913" s="883"/>
      <c r="CG913" s="883"/>
      <c r="CH913" s="883"/>
      <c r="CI913" s="883"/>
      <c r="CJ913" s="883"/>
      <c r="CK913" s="883"/>
      <c r="CL913" s="883"/>
      <c r="CM913" s="883"/>
      <c r="CN913" s="883"/>
      <c r="CO913" s="883"/>
      <c r="CP913" s="883"/>
      <c r="CQ913" s="883"/>
      <c r="CR913" s="883"/>
      <c r="CS913" s="883"/>
      <c r="CT913" s="883"/>
      <c r="CU913" s="883"/>
      <c r="CV913" s="863"/>
      <c r="CW913" s="863"/>
      <c r="CX913" s="863"/>
      <c r="CY913" s="863"/>
      <c r="CZ913" s="863"/>
      <c r="DA913" s="863"/>
      <c r="DB913" s="863"/>
      <c r="DC913" s="863"/>
      <c r="DD913" s="863"/>
      <c r="DE913" s="863"/>
    </row>
    <row r="914">
      <c r="A914" s="876"/>
      <c r="B914" s="876"/>
      <c r="C914" s="876"/>
      <c r="D914" s="876"/>
      <c r="E914" s="876"/>
      <c r="F914" s="876"/>
      <c r="G914" s="876"/>
      <c r="H914" s="876"/>
      <c r="I914" s="876"/>
      <c r="J914" s="876"/>
      <c r="K914" s="876"/>
      <c r="L914" s="876"/>
      <c r="M914" s="876"/>
      <c r="N914" s="877"/>
      <c r="O914" s="876"/>
      <c r="P914" s="876"/>
      <c r="Q914" s="876"/>
      <c r="R914" s="876"/>
      <c r="S914" s="876"/>
      <c r="T914" s="876"/>
      <c r="U914" s="876"/>
      <c r="V914" s="876"/>
      <c r="W914" s="876"/>
      <c r="X914" s="876"/>
      <c r="Y914" s="876"/>
      <c r="Z914" s="876"/>
      <c r="AA914" s="876"/>
      <c r="AB914" s="876"/>
      <c r="AC914" s="876"/>
      <c r="AD914" s="876"/>
      <c r="AE914" s="876"/>
      <c r="AF914" s="876"/>
      <c r="AG914" s="876"/>
      <c r="AH914" s="876"/>
      <c r="AI914" s="878"/>
      <c r="AJ914" s="880"/>
      <c r="AK914" s="880"/>
      <c r="AL914" s="880"/>
      <c r="AM914" s="880"/>
      <c r="AN914" s="880"/>
      <c r="AO914" s="880"/>
      <c r="AP914" s="880"/>
      <c r="AQ914" s="880"/>
      <c r="AR914" s="880"/>
      <c r="AS914" s="880"/>
      <c r="AT914" s="880"/>
      <c r="AU914" s="880"/>
      <c r="AV914" s="880"/>
      <c r="AW914" s="881"/>
      <c r="AX914" s="863"/>
      <c r="AY914" s="863"/>
      <c r="AZ914" s="863"/>
      <c r="BA914" s="863"/>
      <c r="BB914" s="863"/>
      <c r="BC914" s="863"/>
      <c r="BD914" s="863"/>
      <c r="BE914" s="863"/>
      <c r="BF914" s="863"/>
      <c r="BG914" s="863"/>
      <c r="BH914" s="863"/>
      <c r="BI914" s="863"/>
      <c r="BJ914" s="863"/>
      <c r="BK914" s="863"/>
      <c r="BL914" s="863"/>
      <c r="BM914" s="863"/>
      <c r="BN914" s="863"/>
      <c r="BO914" s="863"/>
      <c r="BP914" s="880"/>
      <c r="BQ914" s="863"/>
      <c r="BR914" s="883"/>
      <c r="BS914" s="883"/>
      <c r="BT914" s="883"/>
      <c r="BU914" s="883"/>
      <c r="BV914" s="883"/>
      <c r="BW914" s="883"/>
      <c r="BX914" s="883"/>
      <c r="BY914" s="883"/>
      <c r="BZ914" s="883"/>
      <c r="CA914" s="883"/>
      <c r="CB914" s="883"/>
      <c r="CC914" s="883"/>
      <c r="CD914" s="884"/>
      <c r="CE914" s="883"/>
      <c r="CF914" s="883"/>
      <c r="CG914" s="883"/>
      <c r="CH914" s="883"/>
      <c r="CI914" s="883"/>
      <c r="CJ914" s="883"/>
      <c r="CK914" s="883"/>
      <c r="CL914" s="883"/>
      <c r="CM914" s="883"/>
      <c r="CN914" s="883"/>
      <c r="CO914" s="883"/>
      <c r="CP914" s="883"/>
      <c r="CQ914" s="883"/>
      <c r="CR914" s="883"/>
      <c r="CS914" s="883"/>
      <c r="CT914" s="883"/>
      <c r="CU914" s="883"/>
      <c r="CV914" s="863"/>
      <c r="CW914" s="863"/>
      <c r="CX914" s="863"/>
      <c r="CY914" s="863"/>
      <c r="CZ914" s="863"/>
      <c r="DA914" s="863"/>
      <c r="DB914" s="863"/>
      <c r="DC914" s="863"/>
      <c r="DD914" s="863"/>
      <c r="DE914" s="863"/>
    </row>
    <row r="915">
      <c r="A915" s="876"/>
      <c r="B915" s="876"/>
      <c r="C915" s="876"/>
      <c r="D915" s="876"/>
      <c r="E915" s="876"/>
      <c r="F915" s="876"/>
      <c r="G915" s="876"/>
      <c r="H915" s="876"/>
      <c r="I915" s="876"/>
      <c r="J915" s="876"/>
      <c r="K915" s="876"/>
      <c r="L915" s="876"/>
      <c r="M915" s="876"/>
      <c r="N915" s="877"/>
      <c r="O915" s="876"/>
      <c r="P915" s="876"/>
      <c r="Q915" s="876"/>
      <c r="R915" s="876"/>
      <c r="S915" s="876"/>
      <c r="T915" s="876"/>
      <c r="U915" s="876"/>
      <c r="V915" s="876"/>
      <c r="W915" s="876"/>
      <c r="X915" s="876"/>
      <c r="Y915" s="876"/>
      <c r="Z915" s="876"/>
      <c r="AA915" s="876"/>
      <c r="AB915" s="876"/>
      <c r="AC915" s="876"/>
      <c r="AD915" s="876"/>
      <c r="AE915" s="876"/>
      <c r="AF915" s="876"/>
      <c r="AG915" s="876"/>
      <c r="AH915" s="876"/>
      <c r="AI915" s="878"/>
      <c r="AJ915" s="880"/>
      <c r="AK915" s="880"/>
      <c r="AL915" s="880"/>
      <c r="AM915" s="880"/>
      <c r="AN915" s="880"/>
      <c r="AO915" s="880"/>
      <c r="AP915" s="880"/>
      <c r="AQ915" s="880"/>
      <c r="AR915" s="880"/>
      <c r="AS915" s="880"/>
      <c r="AT915" s="880"/>
      <c r="AU915" s="880"/>
      <c r="AV915" s="880"/>
      <c r="AW915" s="881"/>
      <c r="AX915" s="863"/>
      <c r="AY915" s="863"/>
      <c r="AZ915" s="863"/>
      <c r="BA915" s="863"/>
      <c r="BB915" s="863"/>
      <c r="BC915" s="863"/>
      <c r="BD915" s="863"/>
      <c r="BE915" s="863"/>
      <c r="BF915" s="863"/>
      <c r="BG915" s="863"/>
      <c r="BH915" s="863"/>
      <c r="BI915" s="863"/>
      <c r="BJ915" s="863"/>
      <c r="BK915" s="863"/>
      <c r="BL915" s="863"/>
      <c r="BM915" s="863"/>
      <c r="BN915" s="863"/>
      <c r="BO915" s="863"/>
      <c r="BP915" s="880"/>
      <c r="BQ915" s="863"/>
      <c r="BR915" s="883"/>
      <c r="BS915" s="883"/>
      <c r="BT915" s="883"/>
      <c r="BU915" s="883"/>
      <c r="BV915" s="883"/>
      <c r="BW915" s="883"/>
      <c r="BX915" s="883"/>
      <c r="BY915" s="883"/>
      <c r="BZ915" s="883"/>
      <c r="CA915" s="883"/>
      <c r="CB915" s="883"/>
      <c r="CC915" s="883"/>
      <c r="CD915" s="884"/>
      <c r="CE915" s="883"/>
      <c r="CF915" s="883"/>
      <c r="CG915" s="883"/>
      <c r="CH915" s="883"/>
      <c r="CI915" s="883"/>
      <c r="CJ915" s="883"/>
      <c r="CK915" s="883"/>
      <c r="CL915" s="883"/>
      <c r="CM915" s="883"/>
      <c r="CN915" s="883"/>
      <c r="CO915" s="883"/>
      <c r="CP915" s="883"/>
      <c r="CQ915" s="883"/>
      <c r="CR915" s="883"/>
      <c r="CS915" s="883"/>
      <c r="CT915" s="883"/>
      <c r="CU915" s="883"/>
      <c r="CV915" s="863"/>
      <c r="CW915" s="863"/>
      <c r="CX915" s="863"/>
      <c r="CY915" s="863"/>
      <c r="CZ915" s="863"/>
      <c r="DA915" s="863"/>
      <c r="DB915" s="863"/>
      <c r="DC915" s="863"/>
      <c r="DD915" s="863"/>
      <c r="DE915" s="863"/>
    </row>
    <row r="916">
      <c r="A916" s="876"/>
      <c r="B916" s="876"/>
      <c r="C916" s="876"/>
      <c r="D916" s="876"/>
      <c r="E916" s="876"/>
      <c r="F916" s="876"/>
      <c r="G916" s="876"/>
      <c r="H916" s="876"/>
      <c r="I916" s="876"/>
      <c r="J916" s="876"/>
      <c r="K916" s="876"/>
      <c r="L916" s="876"/>
      <c r="M916" s="876"/>
      <c r="N916" s="877"/>
      <c r="O916" s="876"/>
      <c r="P916" s="876"/>
      <c r="Q916" s="876"/>
      <c r="R916" s="876"/>
      <c r="S916" s="876"/>
      <c r="T916" s="876"/>
      <c r="U916" s="876"/>
      <c r="V916" s="876"/>
      <c r="W916" s="876"/>
      <c r="X916" s="876"/>
      <c r="Y916" s="876"/>
      <c r="Z916" s="876"/>
      <c r="AA916" s="876"/>
      <c r="AB916" s="876"/>
      <c r="AC916" s="876"/>
      <c r="AD916" s="876"/>
      <c r="AE916" s="876"/>
      <c r="AF916" s="876"/>
      <c r="AG916" s="876"/>
      <c r="AH916" s="876"/>
      <c r="AI916" s="878"/>
      <c r="AJ916" s="880"/>
      <c r="AK916" s="880"/>
      <c r="AL916" s="880"/>
      <c r="AM916" s="880"/>
      <c r="AN916" s="880"/>
      <c r="AO916" s="880"/>
      <c r="AP916" s="880"/>
      <c r="AQ916" s="880"/>
      <c r="AR916" s="880"/>
      <c r="AS916" s="880"/>
      <c r="AT916" s="880"/>
      <c r="AU916" s="880"/>
      <c r="AV916" s="880"/>
      <c r="AW916" s="881"/>
      <c r="AX916" s="863"/>
      <c r="AY916" s="863"/>
      <c r="AZ916" s="863"/>
      <c r="BA916" s="863"/>
      <c r="BB916" s="863"/>
      <c r="BC916" s="863"/>
      <c r="BD916" s="863"/>
      <c r="BE916" s="863"/>
      <c r="BF916" s="863"/>
      <c r="BG916" s="863"/>
      <c r="BH916" s="863"/>
      <c r="BI916" s="863"/>
      <c r="BJ916" s="863"/>
      <c r="BK916" s="863"/>
      <c r="BL916" s="863"/>
      <c r="BM916" s="863"/>
      <c r="BN916" s="863"/>
      <c r="BO916" s="863"/>
      <c r="BP916" s="880"/>
      <c r="BQ916" s="863"/>
      <c r="BR916" s="883"/>
      <c r="BS916" s="883"/>
      <c r="BT916" s="883"/>
      <c r="BU916" s="883"/>
      <c r="BV916" s="883"/>
      <c r="BW916" s="883"/>
      <c r="BX916" s="883"/>
      <c r="BY916" s="883"/>
      <c r="BZ916" s="883"/>
      <c r="CA916" s="883"/>
      <c r="CB916" s="883"/>
      <c r="CC916" s="883"/>
      <c r="CD916" s="884"/>
      <c r="CE916" s="883"/>
      <c r="CF916" s="883"/>
      <c r="CG916" s="883"/>
      <c r="CH916" s="883"/>
      <c r="CI916" s="883"/>
      <c r="CJ916" s="883"/>
      <c r="CK916" s="883"/>
      <c r="CL916" s="883"/>
      <c r="CM916" s="883"/>
      <c r="CN916" s="883"/>
      <c r="CO916" s="883"/>
      <c r="CP916" s="883"/>
      <c r="CQ916" s="883"/>
      <c r="CR916" s="883"/>
      <c r="CS916" s="883"/>
      <c r="CT916" s="883"/>
      <c r="CU916" s="883"/>
      <c r="CV916" s="863"/>
      <c r="CW916" s="863"/>
      <c r="CX916" s="863"/>
      <c r="CY916" s="863"/>
      <c r="CZ916" s="863"/>
      <c r="DA916" s="863"/>
      <c r="DB916" s="863"/>
      <c r="DC916" s="863"/>
      <c r="DD916" s="863"/>
      <c r="DE916" s="863"/>
    </row>
    <row r="917">
      <c r="A917" s="876"/>
      <c r="B917" s="876"/>
      <c r="C917" s="876"/>
      <c r="D917" s="876"/>
      <c r="E917" s="876"/>
      <c r="F917" s="876"/>
      <c r="G917" s="876"/>
      <c r="H917" s="876"/>
      <c r="I917" s="876"/>
      <c r="J917" s="876"/>
      <c r="K917" s="876"/>
      <c r="L917" s="876"/>
      <c r="M917" s="876"/>
      <c r="N917" s="877"/>
      <c r="O917" s="876"/>
      <c r="P917" s="876"/>
      <c r="Q917" s="876"/>
      <c r="R917" s="876"/>
      <c r="S917" s="876"/>
      <c r="T917" s="876"/>
      <c r="U917" s="876"/>
      <c r="V917" s="876"/>
      <c r="W917" s="876"/>
      <c r="X917" s="876"/>
      <c r="Y917" s="876"/>
      <c r="Z917" s="876"/>
      <c r="AA917" s="876"/>
      <c r="AB917" s="876"/>
      <c r="AC917" s="876"/>
      <c r="AD917" s="876"/>
      <c r="AE917" s="876"/>
      <c r="AF917" s="876"/>
      <c r="AG917" s="876"/>
      <c r="AH917" s="876"/>
      <c r="AI917" s="878"/>
      <c r="AJ917" s="880"/>
      <c r="AK917" s="880"/>
      <c r="AL917" s="880"/>
      <c r="AM917" s="880"/>
      <c r="AN917" s="880"/>
      <c r="AO917" s="880"/>
      <c r="AP917" s="880"/>
      <c r="AQ917" s="880"/>
      <c r="AR917" s="880"/>
      <c r="AS917" s="880"/>
      <c r="AT917" s="880"/>
      <c r="AU917" s="880"/>
      <c r="AV917" s="880"/>
      <c r="AW917" s="881"/>
      <c r="AX917" s="863"/>
      <c r="AY917" s="863"/>
      <c r="AZ917" s="863"/>
      <c r="BA917" s="863"/>
      <c r="BB917" s="863"/>
      <c r="BC917" s="863"/>
      <c r="BD917" s="863"/>
      <c r="BE917" s="863"/>
      <c r="BF917" s="863"/>
      <c r="BG917" s="863"/>
      <c r="BH917" s="863"/>
      <c r="BI917" s="863"/>
      <c r="BJ917" s="863"/>
      <c r="BK917" s="863"/>
      <c r="BL917" s="863"/>
      <c r="BM917" s="863"/>
      <c r="BN917" s="863"/>
      <c r="BO917" s="863"/>
      <c r="BP917" s="880"/>
      <c r="BQ917" s="863"/>
      <c r="BR917" s="883"/>
      <c r="BS917" s="883"/>
      <c r="BT917" s="883"/>
      <c r="BU917" s="883"/>
      <c r="BV917" s="883"/>
      <c r="BW917" s="883"/>
      <c r="BX917" s="883"/>
      <c r="BY917" s="883"/>
      <c r="BZ917" s="883"/>
      <c r="CA917" s="883"/>
      <c r="CB917" s="883"/>
      <c r="CC917" s="883"/>
      <c r="CD917" s="884"/>
      <c r="CE917" s="883"/>
      <c r="CF917" s="883"/>
      <c r="CG917" s="883"/>
      <c r="CH917" s="883"/>
      <c r="CI917" s="883"/>
      <c r="CJ917" s="883"/>
      <c r="CK917" s="883"/>
      <c r="CL917" s="883"/>
      <c r="CM917" s="883"/>
      <c r="CN917" s="883"/>
      <c r="CO917" s="883"/>
      <c r="CP917" s="883"/>
      <c r="CQ917" s="883"/>
      <c r="CR917" s="883"/>
      <c r="CS917" s="883"/>
      <c r="CT917" s="883"/>
      <c r="CU917" s="883"/>
      <c r="CV917" s="863"/>
      <c r="CW917" s="863"/>
      <c r="CX917" s="863"/>
      <c r="CY917" s="863"/>
      <c r="CZ917" s="863"/>
      <c r="DA917" s="863"/>
      <c r="DB917" s="863"/>
      <c r="DC917" s="863"/>
      <c r="DD917" s="863"/>
      <c r="DE917" s="863"/>
    </row>
    <row r="918">
      <c r="A918" s="876"/>
      <c r="B918" s="876"/>
      <c r="C918" s="876"/>
      <c r="D918" s="876"/>
      <c r="E918" s="876"/>
      <c r="F918" s="876"/>
      <c r="G918" s="876"/>
      <c r="H918" s="876"/>
      <c r="I918" s="876"/>
      <c r="J918" s="876"/>
      <c r="K918" s="876"/>
      <c r="L918" s="876"/>
      <c r="M918" s="876"/>
      <c r="N918" s="877"/>
      <c r="O918" s="876"/>
      <c r="P918" s="876"/>
      <c r="Q918" s="876"/>
      <c r="R918" s="876"/>
      <c r="S918" s="876"/>
      <c r="T918" s="876"/>
      <c r="U918" s="876"/>
      <c r="V918" s="876"/>
      <c r="W918" s="876"/>
      <c r="X918" s="876"/>
      <c r="Y918" s="876"/>
      <c r="Z918" s="876"/>
      <c r="AA918" s="876"/>
      <c r="AB918" s="876"/>
      <c r="AC918" s="876"/>
      <c r="AD918" s="876"/>
      <c r="AE918" s="876"/>
      <c r="AF918" s="876"/>
      <c r="AG918" s="876"/>
      <c r="AH918" s="876"/>
      <c r="AI918" s="878"/>
      <c r="AJ918" s="880"/>
      <c r="AK918" s="880"/>
      <c r="AL918" s="880"/>
      <c r="AM918" s="880"/>
      <c r="AN918" s="880"/>
      <c r="AO918" s="880"/>
      <c r="AP918" s="880"/>
      <c r="AQ918" s="880"/>
      <c r="AR918" s="880"/>
      <c r="AS918" s="880"/>
      <c r="AT918" s="880"/>
      <c r="AU918" s="880"/>
      <c r="AV918" s="880"/>
      <c r="AW918" s="881"/>
      <c r="AX918" s="863"/>
      <c r="AY918" s="863"/>
      <c r="AZ918" s="863"/>
      <c r="BA918" s="863"/>
      <c r="BB918" s="863"/>
      <c r="BC918" s="863"/>
      <c r="BD918" s="863"/>
      <c r="BE918" s="863"/>
      <c r="BF918" s="863"/>
      <c r="BG918" s="863"/>
      <c r="BH918" s="863"/>
      <c r="BI918" s="863"/>
      <c r="BJ918" s="863"/>
      <c r="BK918" s="863"/>
      <c r="BL918" s="863"/>
      <c r="BM918" s="863"/>
      <c r="BN918" s="863"/>
      <c r="BO918" s="863"/>
      <c r="BP918" s="880"/>
      <c r="BQ918" s="863"/>
      <c r="BR918" s="883"/>
      <c r="BS918" s="883"/>
      <c r="BT918" s="883"/>
      <c r="BU918" s="883"/>
      <c r="BV918" s="883"/>
      <c r="BW918" s="883"/>
      <c r="BX918" s="883"/>
      <c r="BY918" s="883"/>
      <c r="BZ918" s="883"/>
      <c r="CA918" s="883"/>
      <c r="CB918" s="883"/>
      <c r="CC918" s="883"/>
      <c r="CD918" s="884"/>
      <c r="CE918" s="883"/>
      <c r="CF918" s="883"/>
      <c r="CG918" s="883"/>
      <c r="CH918" s="883"/>
      <c r="CI918" s="883"/>
      <c r="CJ918" s="883"/>
      <c r="CK918" s="883"/>
      <c r="CL918" s="883"/>
      <c r="CM918" s="883"/>
      <c r="CN918" s="883"/>
      <c r="CO918" s="883"/>
      <c r="CP918" s="883"/>
      <c r="CQ918" s="883"/>
      <c r="CR918" s="883"/>
      <c r="CS918" s="883"/>
      <c r="CT918" s="883"/>
      <c r="CU918" s="883"/>
      <c r="CV918" s="863"/>
      <c r="CW918" s="863"/>
      <c r="CX918" s="863"/>
      <c r="CY918" s="863"/>
      <c r="CZ918" s="863"/>
      <c r="DA918" s="863"/>
      <c r="DB918" s="863"/>
      <c r="DC918" s="863"/>
      <c r="DD918" s="863"/>
      <c r="DE918" s="863"/>
    </row>
    <row r="919">
      <c r="A919" s="876"/>
      <c r="B919" s="876"/>
      <c r="C919" s="876"/>
      <c r="D919" s="876"/>
      <c r="E919" s="876"/>
      <c r="F919" s="876"/>
      <c r="G919" s="876"/>
      <c r="H919" s="876"/>
      <c r="I919" s="876"/>
      <c r="J919" s="876"/>
      <c r="K919" s="876"/>
      <c r="L919" s="876"/>
      <c r="M919" s="876"/>
      <c r="N919" s="877"/>
      <c r="O919" s="876"/>
      <c r="P919" s="876"/>
      <c r="Q919" s="876"/>
      <c r="R919" s="876"/>
      <c r="S919" s="876"/>
      <c r="T919" s="876"/>
      <c r="U919" s="876"/>
      <c r="V919" s="876"/>
      <c r="W919" s="876"/>
      <c r="X919" s="876"/>
      <c r="Y919" s="876"/>
      <c r="Z919" s="876"/>
      <c r="AA919" s="876"/>
      <c r="AB919" s="876"/>
      <c r="AC919" s="876"/>
      <c r="AD919" s="876"/>
      <c r="AE919" s="876"/>
      <c r="AF919" s="876"/>
      <c r="AG919" s="876"/>
      <c r="AH919" s="876"/>
      <c r="AI919" s="878"/>
      <c r="AJ919" s="880"/>
      <c r="AK919" s="880"/>
      <c r="AL919" s="880"/>
      <c r="AM919" s="880"/>
      <c r="AN919" s="880"/>
      <c r="AO919" s="880"/>
      <c r="AP919" s="880"/>
      <c r="AQ919" s="880"/>
      <c r="AR919" s="880"/>
      <c r="AS919" s="880"/>
      <c r="AT919" s="880"/>
      <c r="AU919" s="880"/>
      <c r="AV919" s="880"/>
      <c r="AW919" s="881"/>
      <c r="AX919" s="863"/>
      <c r="AY919" s="863"/>
      <c r="AZ919" s="863"/>
      <c r="BA919" s="863"/>
      <c r="BB919" s="863"/>
      <c r="BC919" s="863"/>
      <c r="BD919" s="863"/>
      <c r="BE919" s="863"/>
      <c r="BF919" s="863"/>
      <c r="BG919" s="863"/>
      <c r="BH919" s="863"/>
      <c r="BI919" s="863"/>
      <c r="BJ919" s="863"/>
      <c r="BK919" s="863"/>
      <c r="BL919" s="863"/>
      <c r="BM919" s="863"/>
      <c r="BN919" s="863"/>
      <c r="BO919" s="863"/>
      <c r="BP919" s="880"/>
      <c r="BQ919" s="863"/>
      <c r="BR919" s="883"/>
      <c r="BS919" s="883"/>
      <c r="BT919" s="883"/>
      <c r="BU919" s="883"/>
      <c r="BV919" s="883"/>
      <c r="BW919" s="883"/>
      <c r="BX919" s="883"/>
      <c r="BY919" s="883"/>
      <c r="BZ919" s="883"/>
      <c r="CA919" s="883"/>
      <c r="CB919" s="883"/>
      <c r="CC919" s="883"/>
      <c r="CD919" s="884"/>
      <c r="CE919" s="883"/>
      <c r="CF919" s="883"/>
      <c r="CG919" s="883"/>
      <c r="CH919" s="883"/>
      <c r="CI919" s="883"/>
      <c r="CJ919" s="883"/>
      <c r="CK919" s="883"/>
      <c r="CL919" s="883"/>
      <c r="CM919" s="883"/>
      <c r="CN919" s="883"/>
      <c r="CO919" s="883"/>
      <c r="CP919" s="883"/>
      <c r="CQ919" s="883"/>
      <c r="CR919" s="883"/>
      <c r="CS919" s="883"/>
      <c r="CT919" s="883"/>
      <c r="CU919" s="883"/>
      <c r="CV919" s="863"/>
      <c r="CW919" s="863"/>
      <c r="CX919" s="863"/>
      <c r="CY919" s="863"/>
      <c r="CZ919" s="863"/>
      <c r="DA919" s="863"/>
      <c r="DB919" s="863"/>
      <c r="DC919" s="863"/>
      <c r="DD919" s="863"/>
      <c r="DE919" s="863"/>
    </row>
    <row r="920">
      <c r="A920" s="876"/>
      <c r="B920" s="876"/>
      <c r="C920" s="876"/>
      <c r="D920" s="876"/>
      <c r="E920" s="876"/>
      <c r="F920" s="876"/>
      <c r="G920" s="876"/>
      <c r="H920" s="876"/>
      <c r="I920" s="876"/>
      <c r="J920" s="876"/>
      <c r="K920" s="876"/>
      <c r="L920" s="876"/>
      <c r="M920" s="876"/>
      <c r="N920" s="877"/>
      <c r="O920" s="876"/>
      <c r="P920" s="876"/>
      <c r="Q920" s="876"/>
      <c r="R920" s="876"/>
      <c r="S920" s="876"/>
      <c r="T920" s="876"/>
      <c r="U920" s="876"/>
      <c r="V920" s="876"/>
      <c r="W920" s="876"/>
      <c r="X920" s="876"/>
      <c r="Y920" s="876"/>
      <c r="Z920" s="876"/>
      <c r="AA920" s="876"/>
      <c r="AB920" s="876"/>
      <c r="AC920" s="876"/>
      <c r="AD920" s="876"/>
      <c r="AE920" s="876"/>
      <c r="AF920" s="876"/>
      <c r="AG920" s="876"/>
      <c r="AH920" s="876"/>
      <c r="AI920" s="878"/>
      <c r="AJ920" s="880"/>
      <c r="AK920" s="880"/>
      <c r="AL920" s="880"/>
      <c r="AM920" s="880"/>
      <c r="AN920" s="880"/>
      <c r="AO920" s="880"/>
      <c r="AP920" s="880"/>
      <c r="AQ920" s="880"/>
      <c r="AR920" s="880"/>
      <c r="AS920" s="880"/>
      <c r="AT920" s="880"/>
      <c r="AU920" s="880"/>
      <c r="AV920" s="880"/>
      <c r="AW920" s="881"/>
      <c r="AX920" s="863"/>
      <c r="AY920" s="863"/>
      <c r="AZ920" s="863"/>
      <c r="BA920" s="863"/>
      <c r="BB920" s="863"/>
      <c r="BC920" s="863"/>
      <c r="BD920" s="863"/>
      <c r="BE920" s="863"/>
      <c r="BF920" s="863"/>
      <c r="BG920" s="863"/>
      <c r="BH920" s="863"/>
      <c r="BI920" s="863"/>
      <c r="BJ920" s="863"/>
      <c r="BK920" s="863"/>
      <c r="BL920" s="863"/>
      <c r="BM920" s="863"/>
      <c r="BN920" s="863"/>
      <c r="BO920" s="863"/>
      <c r="BP920" s="880"/>
      <c r="BQ920" s="863"/>
      <c r="BR920" s="883"/>
      <c r="BS920" s="883"/>
      <c r="BT920" s="883"/>
      <c r="BU920" s="883"/>
      <c r="BV920" s="883"/>
      <c r="BW920" s="883"/>
      <c r="BX920" s="883"/>
      <c r="BY920" s="883"/>
      <c r="BZ920" s="883"/>
      <c r="CA920" s="883"/>
      <c r="CB920" s="883"/>
      <c r="CC920" s="883"/>
      <c r="CD920" s="884"/>
      <c r="CE920" s="883"/>
      <c r="CF920" s="883"/>
      <c r="CG920" s="883"/>
      <c r="CH920" s="883"/>
      <c r="CI920" s="883"/>
      <c r="CJ920" s="883"/>
      <c r="CK920" s="883"/>
      <c r="CL920" s="883"/>
      <c r="CM920" s="883"/>
      <c r="CN920" s="883"/>
      <c r="CO920" s="883"/>
      <c r="CP920" s="883"/>
      <c r="CQ920" s="883"/>
      <c r="CR920" s="883"/>
      <c r="CS920" s="883"/>
      <c r="CT920" s="883"/>
      <c r="CU920" s="883"/>
      <c r="CV920" s="863"/>
      <c r="CW920" s="863"/>
      <c r="CX920" s="863"/>
      <c r="CY920" s="863"/>
      <c r="CZ920" s="863"/>
      <c r="DA920" s="863"/>
      <c r="DB920" s="863"/>
      <c r="DC920" s="863"/>
      <c r="DD920" s="863"/>
      <c r="DE920" s="863"/>
    </row>
    <row r="921">
      <c r="A921" s="876"/>
      <c r="B921" s="876"/>
      <c r="C921" s="876"/>
      <c r="D921" s="876"/>
      <c r="E921" s="876"/>
      <c r="F921" s="876"/>
      <c r="G921" s="876"/>
      <c r="H921" s="876"/>
      <c r="I921" s="876"/>
      <c r="J921" s="876"/>
      <c r="K921" s="876"/>
      <c r="L921" s="876"/>
      <c r="M921" s="876"/>
      <c r="N921" s="877"/>
      <c r="O921" s="876"/>
      <c r="P921" s="876"/>
      <c r="Q921" s="876"/>
      <c r="R921" s="876"/>
      <c r="S921" s="876"/>
      <c r="T921" s="876"/>
      <c r="U921" s="876"/>
      <c r="V921" s="876"/>
      <c r="W921" s="876"/>
      <c r="X921" s="876"/>
      <c r="Y921" s="876"/>
      <c r="Z921" s="876"/>
      <c r="AA921" s="876"/>
      <c r="AB921" s="876"/>
      <c r="AC921" s="876"/>
      <c r="AD921" s="876"/>
      <c r="AE921" s="876"/>
      <c r="AF921" s="876"/>
      <c r="AG921" s="876"/>
      <c r="AH921" s="876"/>
      <c r="AI921" s="878"/>
      <c r="AJ921" s="880"/>
      <c r="AK921" s="880"/>
      <c r="AL921" s="880"/>
      <c r="AM921" s="880"/>
      <c r="AN921" s="880"/>
      <c r="AO921" s="880"/>
      <c r="AP921" s="880"/>
      <c r="AQ921" s="880"/>
      <c r="AR921" s="880"/>
      <c r="AS921" s="880"/>
      <c r="AT921" s="880"/>
      <c r="AU921" s="880"/>
      <c r="AV921" s="880"/>
      <c r="AW921" s="881"/>
      <c r="AX921" s="863"/>
      <c r="AY921" s="863"/>
      <c r="AZ921" s="863"/>
      <c r="BA921" s="863"/>
      <c r="BB921" s="863"/>
      <c r="BC921" s="863"/>
      <c r="BD921" s="863"/>
      <c r="BE921" s="863"/>
      <c r="BF921" s="863"/>
      <c r="BG921" s="863"/>
      <c r="BH921" s="863"/>
      <c r="BI921" s="863"/>
      <c r="BJ921" s="863"/>
      <c r="BK921" s="863"/>
      <c r="BL921" s="863"/>
      <c r="BM921" s="863"/>
      <c r="BN921" s="863"/>
      <c r="BO921" s="863"/>
      <c r="BP921" s="880"/>
      <c r="BQ921" s="863"/>
      <c r="BR921" s="883"/>
      <c r="BS921" s="883"/>
      <c r="BT921" s="883"/>
      <c r="BU921" s="883"/>
      <c r="BV921" s="883"/>
      <c r="BW921" s="883"/>
      <c r="BX921" s="883"/>
      <c r="BY921" s="883"/>
      <c r="BZ921" s="883"/>
      <c r="CA921" s="883"/>
      <c r="CB921" s="883"/>
      <c r="CC921" s="883"/>
      <c r="CD921" s="884"/>
      <c r="CE921" s="883"/>
      <c r="CF921" s="883"/>
      <c r="CG921" s="883"/>
      <c r="CH921" s="883"/>
      <c r="CI921" s="883"/>
      <c r="CJ921" s="883"/>
      <c r="CK921" s="883"/>
      <c r="CL921" s="883"/>
      <c r="CM921" s="883"/>
      <c r="CN921" s="883"/>
      <c r="CO921" s="883"/>
      <c r="CP921" s="883"/>
      <c r="CQ921" s="883"/>
      <c r="CR921" s="883"/>
      <c r="CS921" s="883"/>
      <c r="CT921" s="883"/>
      <c r="CU921" s="883"/>
      <c r="CV921" s="863"/>
      <c r="CW921" s="863"/>
      <c r="CX921" s="863"/>
      <c r="CY921" s="863"/>
      <c r="CZ921" s="863"/>
      <c r="DA921" s="863"/>
      <c r="DB921" s="863"/>
      <c r="DC921" s="863"/>
      <c r="DD921" s="863"/>
      <c r="DE921" s="863"/>
    </row>
    <row r="922">
      <c r="A922" s="876"/>
      <c r="B922" s="876"/>
      <c r="C922" s="876"/>
      <c r="D922" s="876"/>
      <c r="E922" s="876"/>
      <c r="F922" s="876"/>
      <c r="G922" s="876"/>
      <c r="H922" s="876"/>
      <c r="I922" s="876"/>
      <c r="J922" s="876"/>
      <c r="K922" s="876"/>
      <c r="L922" s="876"/>
      <c r="M922" s="876"/>
      <c r="N922" s="877"/>
      <c r="O922" s="876"/>
      <c r="P922" s="876"/>
      <c r="Q922" s="876"/>
      <c r="R922" s="876"/>
      <c r="S922" s="876"/>
      <c r="T922" s="876"/>
      <c r="U922" s="876"/>
      <c r="V922" s="876"/>
      <c r="W922" s="876"/>
      <c r="X922" s="876"/>
      <c r="Y922" s="876"/>
      <c r="Z922" s="876"/>
      <c r="AA922" s="876"/>
      <c r="AB922" s="876"/>
      <c r="AC922" s="876"/>
      <c r="AD922" s="876"/>
      <c r="AE922" s="876"/>
      <c r="AF922" s="876"/>
      <c r="AG922" s="876"/>
      <c r="AH922" s="876"/>
      <c r="AI922" s="878"/>
      <c r="AJ922" s="880"/>
      <c r="AK922" s="880"/>
      <c r="AL922" s="880"/>
      <c r="AM922" s="880"/>
      <c r="AN922" s="880"/>
      <c r="AO922" s="880"/>
      <c r="AP922" s="880"/>
      <c r="AQ922" s="880"/>
      <c r="AR922" s="880"/>
      <c r="AS922" s="880"/>
      <c r="AT922" s="880"/>
      <c r="AU922" s="880"/>
      <c r="AV922" s="880"/>
      <c r="AW922" s="881"/>
      <c r="AX922" s="863"/>
      <c r="AY922" s="863"/>
      <c r="AZ922" s="863"/>
      <c r="BA922" s="863"/>
      <c r="BB922" s="863"/>
      <c r="BC922" s="863"/>
      <c r="BD922" s="863"/>
      <c r="BE922" s="863"/>
      <c r="BF922" s="863"/>
      <c r="BG922" s="863"/>
      <c r="BH922" s="863"/>
      <c r="BI922" s="863"/>
      <c r="BJ922" s="863"/>
      <c r="BK922" s="863"/>
      <c r="BL922" s="863"/>
      <c r="BM922" s="863"/>
      <c r="BN922" s="863"/>
      <c r="BO922" s="863"/>
      <c r="BP922" s="880"/>
      <c r="BQ922" s="863"/>
      <c r="BR922" s="883"/>
      <c r="BS922" s="883"/>
      <c r="BT922" s="883"/>
      <c r="BU922" s="883"/>
      <c r="BV922" s="883"/>
      <c r="BW922" s="883"/>
      <c r="BX922" s="883"/>
      <c r="BY922" s="883"/>
      <c r="BZ922" s="883"/>
      <c r="CA922" s="883"/>
      <c r="CB922" s="883"/>
      <c r="CC922" s="883"/>
      <c r="CD922" s="884"/>
      <c r="CE922" s="883"/>
      <c r="CF922" s="883"/>
      <c r="CG922" s="883"/>
      <c r="CH922" s="883"/>
      <c r="CI922" s="883"/>
      <c r="CJ922" s="883"/>
      <c r="CK922" s="883"/>
      <c r="CL922" s="883"/>
      <c r="CM922" s="883"/>
      <c r="CN922" s="883"/>
      <c r="CO922" s="883"/>
      <c r="CP922" s="883"/>
      <c r="CQ922" s="883"/>
      <c r="CR922" s="883"/>
      <c r="CS922" s="883"/>
      <c r="CT922" s="883"/>
      <c r="CU922" s="883"/>
      <c r="CV922" s="863"/>
      <c r="CW922" s="863"/>
      <c r="CX922" s="863"/>
      <c r="CY922" s="863"/>
      <c r="CZ922" s="863"/>
      <c r="DA922" s="863"/>
      <c r="DB922" s="863"/>
      <c r="DC922" s="863"/>
      <c r="DD922" s="863"/>
      <c r="DE922" s="863"/>
    </row>
    <row r="923">
      <c r="A923" s="876"/>
      <c r="B923" s="876"/>
      <c r="C923" s="876"/>
      <c r="D923" s="876"/>
      <c r="E923" s="876"/>
      <c r="F923" s="876"/>
      <c r="G923" s="876"/>
      <c r="H923" s="876"/>
      <c r="I923" s="876"/>
      <c r="J923" s="876"/>
      <c r="K923" s="876"/>
      <c r="L923" s="876"/>
      <c r="M923" s="876"/>
      <c r="N923" s="877"/>
      <c r="O923" s="876"/>
      <c r="P923" s="876"/>
      <c r="Q923" s="876"/>
      <c r="R923" s="876"/>
      <c r="S923" s="876"/>
      <c r="T923" s="876"/>
      <c r="U923" s="876"/>
      <c r="V923" s="876"/>
      <c r="W923" s="876"/>
      <c r="X923" s="876"/>
      <c r="Y923" s="876"/>
      <c r="Z923" s="876"/>
      <c r="AA923" s="876"/>
      <c r="AB923" s="876"/>
      <c r="AC923" s="876"/>
      <c r="AD923" s="876"/>
      <c r="AE923" s="876"/>
      <c r="AF923" s="876"/>
      <c r="AG923" s="876"/>
      <c r="AH923" s="876"/>
      <c r="AI923" s="878"/>
      <c r="AJ923" s="880"/>
      <c r="AK923" s="880"/>
      <c r="AL923" s="880"/>
      <c r="AM923" s="880"/>
      <c r="AN923" s="880"/>
      <c r="AO923" s="880"/>
      <c r="AP923" s="880"/>
      <c r="AQ923" s="880"/>
      <c r="AR923" s="880"/>
      <c r="AS923" s="880"/>
      <c r="AT923" s="880"/>
      <c r="AU923" s="880"/>
      <c r="AV923" s="880"/>
      <c r="AW923" s="881"/>
      <c r="AX923" s="863"/>
      <c r="AY923" s="863"/>
      <c r="AZ923" s="863"/>
      <c r="BA923" s="863"/>
      <c r="BB923" s="863"/>
      <c r="BC923" s="863"/>
      <c r="BD923" s="863"/>
      <c r="BE923" s="863"/>
      <c r="BF923" s="863"/>
      <c r="BG923" s="863"/>
      <c r="BH923" s="863"/>
      <c r="BI923" s="863"/>
      <c r="BJ923" s="863"/>
      <c r="BK923" s="863"/>
      <c r="BL923" s="863"/>
      <c r="BM923" s="863"/>
      <c r="BN923" s="863"/>
      <c r="BO923" s="863"/>
      <c r="BP923" s="880"/>
      <c r="BQ923" s="863"/>
      <c r="BR923" s="883"/>
      <c r="BS923" s="883"/>
      <c r="BT923" s="883"/>
      <c r="BU923" s="883"/>
      <c r="BV923" s="883"/>
      <c r="BW923" s="883"/>
      <c r="BX923" s="883"/>
      <c r="BY923" s="883"/>
      <c r="BZ923" s="883"/>
      <c r="CA923" s="883"/>
      <c r="CB923" s="883"/>
      <c r="CC923" s="883"/>
      <c r="CD923" s="884"/>
      <c r="CE923" s="883"/>
      <c r="CF923" s="883"/>
      <c r="CG923" s="883"/>
      <c r="CH923" s="883"/>
      <c r="CI923" s="883"/>
      <c r="CJ923" s="883"/>
      <c r="CK923" s="883"/>
      <c r="CL923" s="883"/>
      <c r="CM923" s="883"/>
      <c r="CN923" s="883"/>
      <c r="CO923" s="883"/>
      <c r="CP923" s="883"/>
      <c r="CQ923" s="883"/>
      <c r="CR923" s="883"/>
      <c r="CS923" s="883"/>
      <c r="CT923" s="883"/>
      <c r="CU923" s="883"/>
      <c r="CV923" s="863"/>
      <c r="CW923" s="863"/>
      <c r="CX923" s="863"/>
      <c r="CY923" s="863"/>
      <c r="CZ923" s="863"/>
      <c r="DA923" s="863"/>
      <c r="DB923" s="863"/>
      <c r="DC923" s="863"/>
      <c r="DD923" s="863"/>
      <c r="DE923" s="863"/>
    </row>
    <row r="924">
      <c r="A924" s="876"/>
      <c r="B924" s="876"/>
      <c r="C924" s="876"/>
      <c r="D924" s="876"/>
      <c r="E924" s="876"/>
      <c r="F924" s="876"/>
      <c r="G924" s="876"/>
      <c r="H924" s="876"/>
      <c r="I924" s="876"/>
      <c r="J924" s="876"/>
      <c r="K924" s="876"/>
      <c r="L924" s="876"/>
      <c r="M924" s="876"/>
      <c r="N924" s="877"/>
      <c r="O924" s="876"/>
      <c r="P924" s="876"/>
      <c r="Q924" s="876"/>
      <c r="R924" s="876"/>
      <c r="S924" s="876"/>
      <c r="T924" s="876"/>
      <c r="U924" s="876"/>
      <c r="V924" s="876"/>
      <c r="W924" s="876"/>
      <c r="X924" s="876"/>
      <c r="Y924" s="876"/>
      <c r="Z924" s="876"/>
      <c r="AA924" s="876"/>
      <c r="AB924" s="876"/>
      <c r="AC924" s="876"/>
      <c r="AD924" s="876"/>
      <c r="AE924" s="876"/>
      <c r="AF924" s="876"/>
      <c r="AG924" s="876"/>
      <c r="AH924" s="876"/>
      <c r="AI924" s="878"/>
      <c r="AJ924" s="880"/>
      <c r="AK924" s="880"/>
      <c r="AL924" s="880"/>
      <c r="AM924" s="880"/>
      <c r="AN924" s="880"/>
      <c r="AO924" s="880"/>
      <c r="AP924" s="880"/>
      <c r="AQ924" s="880"/>
      <c r="AR924" s="880"/>
      <c r="AS924" s="880"/>
      <c r="AT924" s="880"/>
      <c r="AU924" s="880"/>
      <c r="AV924" s="880"/>
      <c r="AW924" s="881"/>
      <c r="AX924" s="863"/>
      <c r="AY924" s="863"/>
      <c r="AZ924" s="863"/>
      <c r="BA924" s="863"/>
      <c r="BB924" s="863"/>
      <c r="BC924" s="863"/>
      <c r="BD924" s="863"/>
      <c r="BE924" s="863"/>
      <c r="BF924" s="863"/>
      <c r="BG924" s="863"/>
      <c r="BH924" s="863"/>
      <c r="BI924" s="863"/>
      <c r="BJ924" s="863"/>
      <c r="BK924" s="863"/>
      <c r="BL924" s="863"/>
      <c r="BM924" s="863"/>
      <c r="BN924" s="863"/>
      <c r="BO924" s="863"/>
      <c r="BP924" s="880"/>
      <c r="BQ924" s="863"/>
      <c r="BR924" s="883"/>
      <c r="BS924" s="883"/>
      <c r="BT924" s="883"/>
      <c r="BU924" s="883"/>
      <c r="BV924" s="883"/>
      <c r="BW924" s="883"/>
      <c r="BX924" s="883"/>
      <c r="BY924" s="883"/>
      <c r="BZ924" s="883"/>
      <c r="CA924" s="883"/>
      <c r="CB924" s="883"/>
      <c r="CC924" s="883"/>
      <c r="CD924" s="884"/>
      <c r="CE924" s="883"/>
      <c r="CF924" s="883"/>
      <c r="CG924" s="883"/>
      <c r="CH924" s="883"/>
      <c r="CI924" s="883"/>
      <c r="CJ924" s="883"/>
      <c r="CK924" s="883"/>
      <c r="CL924" s="883"/>
      <c r="CM924" s="883"/>
      <c r="CN924" s="883"/>
      <c r="CO924" s="883"/>
      <c r="CP924" s="883"/>
      <c r="CQ924" s="883"/>
      <c r="CR924" s="883"/>
      <c r="CS924" s="883"/>
      <c r="CT924" s="883"/>
      <c r="CU924" s="883"/>
      <c r="CV924" s="863"/>
      <c r="CW924" s="863"/>
      <c r="CX924" s="863"/>
      <c r="CY924" s="863"/>
      <c r="CZ924" s="863"/>
      <c r="DA924" s="863"/>
      <c r="DB924" s="863"/>
      <c r="DC924" s="863"/>
      <c r="DD924" s="863"/>
      <c r="DE924" s="863"/>
    </row>
    <row r="925">
      <c r="A925" s="876"/>
      <c r="B925" s="876"/>
      <c r="C925" s="876"/>
      <c r="D925" s="876"/>
      <c r="E925" s="876"/>
      <c r="F925" s="876"/>
      <c r="G925" s="876"/>
      <c r="H925" s="876"/>
      <c r="I925" s="876"/>
      <c r="J925" s="876"/>
      <c r="K925" s="876"/>
      <c r="L925" s="876"/>
      <c r="M925" s="876"/>
      <c r="N925" s="877"/>
      <c r="O925" s="876"/>
      <c r="P925" s="876"/>
      <c r="Q925" s="876"/>
      <c r="R925" s="876"/>
      <c r="S925" s="876"/>
      <c r="T925" s="876"/>
      <c r="U925" s="876"/>
      <c r="V925" s="876"/>
      <c r="W925" s="876"/>
      <c r="X925" s="876"/>
      <c r="Y925" s="876"/>
      <c r="Z925" s="876"/>
      <c r="AA925" s="876"/>
      <c r="AB925" s="876"/>
      <c r="AC925" s="876"/>
      <c r="AD925" s="876"/>
      <c r="AE925" s="876"/>
      <c r="AF925" s="876"/>
      <c r="AG925" s="876"/>
      <c r="AH925" s="876"/>
      <c r="AI925" s="878"/>
      <c r="AJ925" s="880"/>
      <c r="AK925" s="880"/>
      <c r="AL925" s="880"/>
      <c r="AM925" s="880"/>
      <c r="AN925" s="880"/>
      <c r="AO925" s="880"/>
      <c r="AP925" s="880"/>
      <c r="AQ925" s="880"/>
      <c r="AR925" s="880"/>
      <c r="AS925" s="880"/>
      <c r="AT925" s="880"/>
      <c r="AU925" s="880"/>
      <c r="AV925" s="880"/>
      <c r="AW925" s="881"/>
      <c r="AX925" s="863"/>
      <c r="AY925" s="863"/>
      <c r="AZ925" s="863"/>
      <c r="BA925" s="863"/>
      <c r="BB925" s="863"/>
      <c r="BC925" s="863"/>
      <c r="BD925" s="863"/>
      <c r="BE925" s="863"/>
      <c r="BF925" s="863"/>
      <c r="BG925" s="863"/>
      <c r="BH925" s="863"/>
      <c r="BI925" s="863"/>
      <c r="BJ925" s="863"/>
      <c r="BK925" s="863"/>
      <c r="BL925" s="863"/>
      <c r="BM925" s="863"/>
      <c r="BN925" s="863"/>
      <c r="BO925" s="863"/>
      <c r="BP925" s="880"/>
      <c r="BQ925" s="863"/>
      <c r="BR925" s="883"/>
      <c r="BS925" s="883"/>
      <c r="BT925" s="883"/>
      <c r="BU925" s="883"/>
      <c r="BV925" s="883"/>
      <c r="BW925" s="883"/>
      <c r="BX925" s="883"/>
      <c r="BY925" s="883"/>
      <c r="BZ925" s="883"/>
      <c r="CA925" s="883"/>
      <c r="CB925" s="883"/>
      <c r="CC925" s="883"/>
      <c r="CD925" s="884"/>
      <c r="CE925" s="883"/>
      <c r="CF925" s="883"/>
      <c r="CG925" s="883"/>
      <c r="CH925" s="883"/>
      <c r="CI925" s="883"/>
      <c r="CJ925" s="883"/>
      <c r="CK925" s="883"/>
      <c r="CL925" s="883"/>
      <c r="CM925" s="883"/>
      <c r="CN925" s="883"/>
      <c r="CO925" s="883"/>
      <c r="CP925" s="883"/>
      <c r="CQ925" s="883"/>
      <c r="CR925" s="883"/>
      <c r="CS925" s="883"/>
      <c r="CT925" s="883"/>
      <c r="CU925" s="883"/>
      <c r="CV925" s="863"/>
      <c r="CW925" s="863"/>
      <c r="CX925" s="863"/>
      <c r="CY925" s="863"/>
      <c r="CZ925" s="863"/>
      <c r="DA925" s="863"/>
      <c r="DB925" s="863"/>
      <c r="DC925" s="863"/>
      <c r="DD925" s="863"/>
      <c r="DE925" s="863"/>
    </row>
    <row r="926">
      <c r="A926" s="876"/>
      <c r="B926" s="876"/>
      <c r="C926" s="876"/>
      <c r="D926" s="876"/>
      <c r="E926" s="876"/>
      <c r="F926" s="876"/>
      <c r="G926" s="876"/>
      <c r="H926" s="876"/>
      <c r="I926" s="876"/>
      <c r="J926" s="876"/>
      <c r="K926" s="876"/>
      <c r="L926" s="876"/>
      <c r="M926" s="876"/>
      <c r="N926" s="877"/>
      <c r="O926" s="876"/>
      <c r="P926" s="876"/>
      <c r="Q926" s="876"/>
      <c r="R926" s="876"/>
      <c r="S926" s="876"/>
      <c r="T926" s="876"/>
      <c r="U926" s="876"/>
      <c r="V926" s="876"/>
      <c r="W926" s="876"/>
      <c r="X926" s="876"/>
      <c r="Y926" s="876"/>
      <c r="Z926" s="876"/>
      <c r="AA926" s="876"/>
      <c r="AB926" s="876"/>
      <c r="AC926" s="876"/>
      <c r="AD926" s="876"/>
      <c r="AE926" s="876"/>
      <c r="AF926" s="876"/>
      <c r="AG926" s="876"/>
      <c r="AH926" s="876"/>
      <c r="AI926" s="878"/>
      <c r="AJ926" s="880"/>
      <c r="AK926" s="880"/>
      <c r="AL926" s="880"/>
      <c r="AM926" s="880"/>
      <c r="AN926" s="880"/>
      <c r="AO926" s="880"/>
      <c r="AP926" s="880"/>
      <c r="AQ926" s="880"/>
      <c r="AR926" s="880"/>
      <c r="AS926" s="880"/>
      <c r="AT926" s="880"/>
      <c r="AU926" s="880"/>
      <c r="AV926" s="880"/>
      <c r="AW926" s="881"/>
      <c r="AX926" s="863"/>
      <c r="AY926" s="863"/>
      <c r="AZ926" s="863"/>
      <c r="BA926" s="863"/>
      <c r="BB926" s="863"/>
      <c r="BC926" s="863"/>
      <c r="BD926" s="863"/>
      <c r="BE926" s="863"/>
      <c r="BF926" s="863"/>
      <c r="BG926" s="863"/>
      <c r="BH926" s="863"/>
      <c r="BI926" s="863"/>
      <c r="BJ926" s="863"/>
      <c r="BK926" s="863"/>
      <c r="BL926" s="863"/>
      <c r="BM926" s="863"/>
      <c r="BN926" s="863"/>
      <c r="BO926" s="863"/>
      <c r="BP926" s="880"/>
      <c r="BQ926" s="863"/>
      <c r="BR926" s="883"/>
      <c r="BS926" s="883"/>
      <c r="BT926" s="883"/>
      <c r="BU926" s="883"/>
      <c r="BV926" s="883"/>
      <c r="BW926" s="883"/>
      <c r="BX926" s="883"/>
      <c r="BY926" s="883"/>
      <c r="BZ926" s="883"/>
      <c r="CA926" s="883"/>
      <c r="CB926" s="883"/>
      <c r="CC926" s="883"/>
      <c r="CD926" s="884"/>
      <c r="CE926" s="883"/>
      <c r="CF926" s="883"/>
      <c r="CG926" s="883"/>
      <c r="CH926" s="883"/>
      <c r="CI926" s="883"/>
      <c r="CJ926" s="883"/>
      <c r="CK926" s="883"/>
      <c r="CL926" s="883"/>
      <c r="CM926" s="883"/>
      <c r="CN926" s="883"/>
      <c r="CO926" s="883"/>
      <c r="CP926" s="883"/>
      <c r="CQ926" s="883"/>
      <c r="CR926" s="883"/>
      <c r="CS926" s="883"/>
      <c r="CT926" s="883"/>
      <c r="CU926" s="883"/>
      <c r="CV926" s="863"/>
      <c r="CW926" s="863"/>
      <c r="CX926" s="863"/>
      <c r="CY926" s="863"/>
      <c r="CZ926" s="863"/>
      <c r="DA926" s="863"/>
      <c r="DB926" s="863"/>
      <c r="DC926" s="863"/>
      <c r="DD926" s="863"/>
      <c r="DE926" s="863"/>
    </row>
    <row r="927">
      <c r="A927" s="876"/>
      <c r="B927" s="876"/>
      <c r="C927" s="876"/>
      <c r="D927" s="876"/>
      <c r="E927" s="876"/>
      <c r="F927" s="876"/>
      <c r="G927" s="876"/>
      <c r="H927" s="876"/>
      <c r="I927" s="876"/>
      <c r="J927" s="876"/>
      <c r="K927" s="876"/>
      <c r="L927" s="876"/>
      <c r="M927" s="876"/>
      <c r="N927" s="877"/>
      <c r="O927" s="876"/>
      <c r="P927" s="876"/>
      <c r="Q927" s="876"/>
      <c r="R927" s="876"/>
      <c r="S927" s="876"/>
      <c r="T927" s="876"/>
      <c r="U927" s="876"/>
      <c r="V927" s="876"/>
      <c r="W927" s="876"/>
      <c r="X927" s="876"/>
      <c r="Y927" s="876"/>
      <c r="Z927" s="876"/>
      <c r="AA927" s="876"/>
      <c r="AB927" s="876"/>
      <c r="AC927" s="876"/>
      <c r="AD927" s="876"/>
      <c r="AE927" s="876"/>
      <c r="AF927" s="876"/>
      <c r="AG927" s="876"/>
      <c r="AH927" s="876"/>
      <c r="AI927" s="878"/>
      <c r="AJ927" s="880"/>
      <c r="AK927" s="880"/>
      <c r="AL927" s="880"/>
      <c r="AM927" s="880"/>
      <c r="AN927" s="880"/>
      <c r="AO927" s="880"/>
      <c r="AP927" s="880"/>
      <c r="AQ927" s="880"/>
      <c r="AR927" s="880"/>
      <c r="AS927" s="880"/>
      <c r="AT927" s="880"/>
      <c r="AU927" s="880"/>
      <c r="AV927" s="880"/>
      <c r="AW927" s="881"/>
      <c r="AX927" s="863"/>
      <c r="AY927" s="863"/>
      <c r="AZ927" s="863"/>
      <c r="BA927" s="863"/>
      <c r="BB927" s="863"/>
      <c r="BC927" s="863"/>
      <c r="BD927" s="863"/>
      <c r="BE927" s="863"/>
      <c r="BF927" s="863"/>
      <c r="BG927" s="863"/>
      <c r="BH927" s="863"/>
      <c r="BI927" s="863"/>
      <c r="BJ927" s="863"/>
      <c r="BK927" s="863"/>
      <c r="BL927" s="863"/>
      <c r="BM927" s="863"/>
      <c r="BN927" s="863"/>
      <c r="BO927" s="863"/>
      <c r="BP927" s="880"/>
      <c r="BQ927" s="863"/>
      <c r="BR927" s="883"/>
      <c r="BS927" s="883"/>
      <c r="BT927" s="883"/>
      <c r="BU927" s="883"/>
      <c r="BV927" s="883"/>
      <c r="BW927" s="883"/>
      <c r="BX927" s="883"/>
      <c r="BY927" s="883"/>
      <c r="BZ927" s="883"/>
      <c r="CA927" s="883"/>
      <c r="CB927" s="883"/>
      <c r="CC927" s="883"/>
      <c r="CD927" s="884"/>
      <c r="CE927" s="883"/>
      <c r="CF927" s="883"/>
      <c r="CG927" s="883"/>
      <c r="CH927" s="883"/>
      <c r="CI927" s="883"/>
      <c r="CJ927" s="883"/>
      <c r="CK927" s="883"/>
      <c r="CL927" s="883"/>
      <c r="CM927" s="883"/>
      <c r="CN927" s="883"/>
      <c r="CO927" s="883"/>
      <c r="CP927" s="883"/>
      <c r="CQ927" s="883"/>
      <c r="CR927" s="883"/>
      <c r="CS927" s="883"/>
      <c r="CT927" s="883"/>
      <c r="CU927" s="883"/>
      <c r="CV927" s="863"/>
      <c r="CW927" s="863"/>
      <c r="CX927" s="863"/>
      <c r="CY927" s="863"/>
      <c r="CZ927" s="863"/>
      <c r="DA927" s="863"/>
      <c r="DB927" s="863"/>
      <c r="DC927" s="863"/>
      <c r="DD927" s="863"/>
      <c r="DE927" s="863"/>
    </row>
    <row r="928">
      <c r="A928" s="876"/>
      <c r="B928" s="876"/>
      <c r="C928" s="876"/>
      <c r="D928" s="876"/>
      <c r="E928" s="876"/>
      <c r="F928" s="876"/>
      <c r="G928" s="876"/>
      <c r="H928" s="876"/>
      <c r="I928" s="876"/>
      <c r="J928" s="876"/>
      <c r="K928" s="876"/>
      <c r="L928" s="876"/>
      <c r="M928" s="876"/>
      <c r="N928" s="877"/>
      <c r="O928" s="876"/>
      <c r="P928" s="876"/>
      <c r="Q928" s="876"/>
      <c r="R928" s="876"/>
      <c r="S928" s="876"/>
      <c r="T928" s="876"/>
      <c r="U928" s="876"/>
      <c r="V928" s="876"/>
      <c r="W928" s="876"/>
      <c r="X928" s="876"/>
      <c r="Y928" s="876"/>
      <c r="Z928" s="876"/>
      <c r="AA928" s="876"/>
      <c r="AB928" s="876"/>
      <c r="AC928" s="876"/>
      <c r="AD928" s="876"/>
      <c r="AE928" s="876"/>
      <c r="AF928" s="876"/>
      <c r="AG928" s="876"/>
      <c r="AH928" s="876"/>
      <c r="AI928" s="878"/>
      <c r="AJ928" s="880"/>
      <c r="AK928" s="880"/>
      <c r="AL928" s="880"/>
      <c r="AM928" s="880"/>
      <c r="AN928" s="880"/>
      <c r="AO928" s="880"/>
      <c r="AP928" s="880"/>
      <c r="AQ928" s="880"/>
      <c r="AR928" s="880"/>
      <c r="AS928" s="880"/>
      <c r="AT928" s="880"/>
      <c r="AU928" s="880"/>
      <c r="AV928" s="880"/>
      <c r="AW928" s="881"/>
      <c r="AX928" s="863"/>
      <c r="AY928" s="863"/>
      <c r="AZ928" s="863"/>
      <c r="BA928" s="863"/>
      <c r="BB928" s="863"/>
      <c r="BC928" s="863"/>
      <c r="BD928" s="863"/>
      <c r="BE928" s="863"/>
      <c r="BF928" s="863"/>
      <c r="BG928" s="863"/>
      <c r="BH928" s="863"/>
      <c r="BI928" s="863"/>
      <c r="BJ928" s="863"/>
      <c r="BK928" s="863"/>
      <c r="BL928" s="863"/>
      <c r="BM928" s="863"/>
      <c r="BN928" s="863"/>
      <c r="BO928" s="863"/>
      <c r="BP928" s="880"/>
      <c r="BQ928" s="863"/>
      <c r="BR928" s="883"/>
      <c r="BS928" s="883"/>
      <c r="BT928" s="883"/>
      <c r="BU928" s="883"/>
      <c r="BV928" s="883"/>
      <c r="BW928" s="883"/>
      <c r="BX928" s="883"/>
      <c r="BY928" s="883"/>
      <c r="BZ928" s="883"/>
      <c r="CA928" s="883"/>
      <c r="CB928" s="883"/>
      <c r="CC928" s="883"/>
      <c r="CD928" s="884"/>
      <c r="CE928" s="883"/>
      <c r="CF928" s="883"/>
      <c r="CG928" s="883"/>
      <c r="CH928" s="883"/>
      <c r="CI928" s="883"/>
      <c r="CJ928" s="883"/>
      <c r="CK928" s="883"/>
      <c r="CL928" s="883"/>
      <c r="CM928" s="883"/>
      <c r="CN928" s="883"/>
      <c r="CO928" s="883"/>
      <c r="CP928" s="883"/>
      <c r="CQ928" s="883"/>
      <c r="CR928" s="883"/>
      <c r="CS928" s="883"/>
      <c r="CT928" s="883"/>
      <c r="CU928" s="883"/>
      <c r="CV928" s="863"/>
      <c r="CW928" s="863"/>
      <c r="CX928" s="863"/>
      <c r="CY928" s="863"/>
      <c r="CZ928" s="863"/>
      <c r="DA928" s="863"/>
      <c r="DB928" s="863"/>
      <c r="DC928" s="863"/>
      <c r="DD928" s="863"/>
      <c r="DE928" s="863"/>
    </row>
    <row r="929">
      <c r="A929" s="876"/>
      <c r="B929" s="876"/>
      <c r="C929" s="876"/>
      <c r="D929" s="876"/>
      <c r="E929" s="876"/>
      <c r="F929" s="876"/>
      <c r="G929" s="876"/>
      <c r="H929" s="876"/>
      <c r="I929" s="876"/>
      <c r="J929" s="876"/>
      <c r="K929" s="876"/>
      <c r="L929" s="876"/>
      <c r="M929" s="876"/>
      <c r="N929" s="877"/>
      <c r="O929" s="876"/>
      <c r="P929" s="876"/>
      <c r="Q929" s="876"/>
      <c r="R929" s="876"/>
      <c r="S929" s="876"/>
      <c r="T929" s="876"/>
      <c r="U929" s="876"/>
      <c r="V929" s="876"/>
      <c r="W929" s="876"/>
      <c r="X929" s="876"/>
      <c r="Y929" s="876"/>
      <c r="Z929" s="876"/>
      <c r="AA929" s="876"/>
      <c r="AB929" s="876"/>
      <c r="AC929" s="876"/>
      <c r="AD929" s="876"/>
      <c r="AE929" s="876"/>
      <c r="AF929" s="876"/>
      <c r="AG929" s="876"/>
      <c r="AH929" s="876"/>
      <c r="AI929" s="878"/>
      <c r="AJ929" s="880"/>
      <c r="AK929" s="880"/>
      <c r="AL929" s="880"/>
      <c r="AM929" s="880"/>
      <c r="AN929" s="880"/>
      <c r="AO929" s="880"/>
      <c r="AP929" s="880"/>
      <c r="AQ929" s="880"/>
      <c r="AR929" s="880"/>
      <c r="AS929" s="880"/>
      <c r="AT929" s="880"/>
      <c r="AU929" s="880"/>
      <c r="AV929" s="880"/>
      <c r="AW929" s="881"/>
      <c r="AX929" s="863"/>
      <c r="AY929" s="863"/>
      <c r="AZ929" s="863"/>
      <c r="BA929" s="863"/>
      <c r="BB929" s="863"/>
      <c r="BC929" s="863"/>
      <c r="BD929" s="863"/>
      <c r="BE929" s="863"/>
      <c r="BF929" s="863"/>
      <c r="BG929" s="863"/>
      <c r="BH929" s="863"/>
      <c r="BI929" s="863"/>
      <c r="BJ929" s="863"/>
      <c r="BK929" s="863"/>
      <c r="BL929" s="863"/>
      <c r="BM929" s="863"/>
      <c r="BN929" s="863"/>
      <c r="BO929" s="863"/>
      <c r="BP929" s="880"/>
      <c r="BQ929" s="863"/>
      <c r="BR929" s="883"/>
      <c r="BS929" s="883"/>
      <c r="BT929" s="883"/>
      <c r="BU929" s="883"/>
      <c r="BV929" s="883"/>
      <c r="BW929" s="883"/>
      <c r="BX929" s="883"/>
      <c r="BY929" s="883"/>
      <c r="BZ929" s="883"/>
      <c r="CA929" s="883"/>
      <c r="CB929" s="883"/>
      <c r="CC929" s="883"/>
      <c r="CD929" s="884"/>
      <c r="CE929" s="883"/>
      <c r="CF929" s="883"/>
      <c r="CG929" s="883"/>
      <c r="CH929" s="883"/>
      <c r="CI929" s="883"/>
      <c r="CJ929" s="883"/>
      <c r="CK929" s="883"/>
      <c r="CL929" s="883"/>
      <c r="CM929" s="883"/>
      <c r="CN929" s="883"/>
      <c r="CO929" s="883"/>
      <c r="CP929" s="883"/>
      <c r="CQ929" s="883"/>
      <c r="CR929" s="883"/>
      <c r="CS929" s="883"/>
      <c r="CT929" s="883"/>
      <c r="CU929" s="883"/>
      <c r="CV929" s="863"/>
      <c r="CW929" s="863"/>
      <c r="CX929" s="863"/>
      <c r="CY929" s="863"/>
      <c r="CZ929" s="863"/>
      <c r="DA929" s="863"/>
      <c r="DB929" s="863"/>
      <c r="DC929" s="863"/>
      <c r="DD929" s="863"/>
      <c r="DE929" s="863"/>
    </row>
    <row r="930">
      <c r="A930" s="876"/>
      <c r="B930" s="876"/>
      <c r="C930" s="876"/>
      <c r="D930" s="876"/>
      <c r="E930" s="876"/>
      <c r="F930" s="876"/>
      <c r="G930" s="876"/>
      <c r="H930" s="876"/>
      <c r="I930" s="876"/>
      <c r="J930" s="876"/>
      <c r="K930" s="876"/>
      <c r="L930" s="876"/>
      <c r="M930" s="876"/>
      <c r="N930" s="877"/>
      <c r="O930" s="876"/>
      <c r="P930" s="876"/>
      <c r="Q930" s="876"/>
      <c r="R930" s="876"/>
      <c r="S930" s="876"/>
      <c r="T930" s="876"/>
      <c r="U930" s="876"/>
      <c r="V930" s="876"/>
      <c r="W930" s="876"/>
      <c r="X930" s="876"/>
      <c r="Y930" s="876"/>
      <c r="Z930" s="876"/>
      <c r="AA930" s="876"/>
      <c r="AB930" s="876"/>
      <c r="AC930" s="876"/>
      <c r="AD930" s="876"/>
      <c r="AE930" s="876"/>
      <c r="AF930" s="876"/>
      <c r="AG930" s="876"/>
      <c r="AH930" s="876"/>
      <c r="AI930" s="878"/>
      <c r="AJ930" s="880"/>
      <c r="AK930" s="880"/>
      <c r="AL930" s="880"/>
      <c r="AM930" s="880"/>
      <c r="AN930" s="880"/>
      <c r="AO930" s="880"/>
      <c r="AP930" s="880"/>
      <c r="AQ930" s="880"/>
      <c r="AR930" s="880"/>
      <c r="AS930" s="880"/>
      <c r="AT930" s="880"/>
      <c r="AU930" s="880"/>
      <c r="AV930" s="880"/>
      <c r="AW930" s="881"/>
      <c r="AX930" s="863"/>
      <c r="AY930" s="863"/>
      <c r="AZ930" s="863"/>
      <c r="BA930" s="863"/>
      <c r="BB930" s="863"/>
      <c r="BC930" s="863"/>
      <c r="BD930" s="863"/>
      <c r="BE930" s="863"/>
      <c r="BF930" s="863"/>
      <c r="BG930" s="863"/>
      <c r="BH930" s="863"/>
      <c r="BI930" s="863"/>
      <c r="BJ930" s="863"/>
      <c r="BK930" s="863"/>
      <c r="BL930" s="863"/>
      <c r="BM930" s="863"/>
      <c r="BN930" s="863"/>
      <c r="BO930" s="863"/>
      <c r="BP930" s="880"/>
      <c r="BQ930" s="863"/>
      <c r="BR930" s="883"/>
      <c r="BS930" s="883"/>
      <c r="BT930" s="883"/>
      <c r="BU930" s="883"/>
      <c r="BV930" s="883"/>
      <c r="BW930" s="883"/>
      <c r="BX930" s="883"/>
      <c r="BY930" s="883"/>
      <c r="BZ930" s="883"/>
      <c r="CA930" s="883"/>
      <c r="CB930" s="883"/>
      <c r="CC930" s="883"/>
      <c r="CD930" s="884"/>
      <c r="CE930" s="883"/>
      <c r="CF930" s="883"/>
      <c r="CG930" s="883"/>
      <c r="CH930" s="883"/>
      <c r="CI930" s="883"/>
      <c r="CJ930" s="883"/>
      <c r="CK930" s="883"/>
      <c r="CL930" s="883"/>
      <c r="CM930" s="883"/>
      <c r="CN930" s="883"/>
      <c r="CO930" s="883"/>
      <c r="CP930" s="883"/>
      <c r="CQ930" s="883"/>
      <c r="CR930" s="883"/>
      <c r="CS930" s="883"/>
      <c r="CT930" s="883"/>
      <c r="CU930" s="883"/>
      <c r="CV930" s="863"/>
      <c r="CW930" s="863"/>
      <c r="CX930" s="863"/>
      <c r="CY930" s="863"/>
      <c r="CZ930" s="863"/>
      <c r="DA930" s="863"/>
      <c r="DB930" s="863"/>
      <c r="DC930" s="863"/>
      <c r="DD930" s="863"/>
      <c r="DE930" s="863"/>
    </row>
    <row r="931">
      <c r="A931" s="876"/>
      <c r="B931" s="876"/>
      <c r="C931" s="876"/>
      <c r="D931" s="876"/>
      <c r="E931" s="876"/>
      <c r="F931" s="876"/>
      <c r="G931" s="876"/>
      <c r="H931" s="876"/>
      <c r="I931" s="876"/>
      <c r="J931" s="876"/>
      <c r="K931" s="876"/>
      <c r="L931" s="876"/>
      <c r="M931" s="876"/>
      <c r="N931" s="877"/>
      <c r="O931" s="876"/>
      <c r="P931" s="876"/>
      <c r="Q931" s="876"/>
      <c r="R931" s="876"/>
      <c r="S931" s="876"/>
      <c r="T931" s="876"/>
      <c r="U931" s="876"/>
      <c r="V931" s="876"/>
      <c r="W931" s="876"/>
      <c r="X931" s="876"/>
      <c r="Y931" s="876"/>
      <c r="Z931" s="876"/>
      <c r="AA931" s="876"/>
      <c r="AB931" s="876"/>
      <c r="AC931" s="876"/>
      <c r="AD931" s="876"/>
      <c r="AE931" s="876"/>
      <c r="AF931" s="876"/>
      <c r="AG931" s="876"/>
      <c r="AH931" s="876"/>
      <c r="AI931" s="878"/>
      <c r="AJ931" s="880"/>
      <c r="AK931" s="880"/>
      <c r="AL931" s="880"/>
      <c r="AM931" s="880"/>
      <c r="AN931" s="880"/>
      <c r="AO931" s="880"/>
      <c r="AP931" s="880"/>
      <c r="AQ931" s="880"/>
      <c r="AR931" s="880"/>
      <c r="AS931" s="880"/>
      <c r="AT931" s="880"/>
      <c r="AU931" s="880"/>
      <c r="AV931" s="880"/>
      <c r="AW931" s="881"/>
      <c r="AX931" s="863"/>
      <c r="AY931" s="863"/>
      <c r="AZ931" s="863"/>
      <c r="BA931" s="863"/>
      <c r="BB931" s="863"/>
      <c r="BC931" s="863"/>
      <c r="BD931" s="863"/>
      <c r="BE931" s="863"/>
      <c r="BF931" s="863"/>
      <c r="BG931" s="863"/>
      <c r="BH931" s="863"/>
      <c r="BI931" s="863"/>
      <c r="BJ931" s="863"/>
      <c r="BK931" s="863"/>
      <c r="BL931" s="863"/>
      <c r="BM931" s="863"/>
      <c r="BN931" s="863"/>
      <c r="BO931" s="863"/>
      <c r="BP931" s="880"/>
      <c r="BQ931" s="863"/>
      <c r="BR931" s="883"/>
      <c r="BS931" s="883"/>
      <c r="BT931" s="883"/>
      <c r="BU931" s="883"/>
      <c r="BV931" s="883"/>
      <c r="BW931" s="883"/>
      <c r="BX931" s="883"/>
      <c r="BY931" s="883"/>
      <c r="BZ931" s="883"/>
      <c r="CA931" s="883"/>
      <c r="CB931" s="883"/>
      <c r="CC931" s="883"/>
      <c r="CD931" s="884"/>
      <c r="CE931" s="883"/>
      <c r="CF931" s="883"/>
      <c r="CG931" s="883"/>
      <c r="CH931" s="883"/>
      <c r="CI931" s="883"/>
      <c r="CJ931" s="883"/>
      <c r="CK931" s="883"/>
      <c r="CL931" s="883"/>
      <c r="CM931" s="883"/>
      <c r="CN931" s="883"/>
      <c r="CO931" s="883"/>
      <c r="CP931" s="883"/>
      <c r="CQ931" s="883"/>
      <c r="CR931" s="883"/>
      <c r="CS931" s="883"/>
      <c r="CT931" s="883"/>
      <c r="CU931" s="883"/>
      <c r="CV931" s="863"/>
      <c r="CW931" s="863"/>
      <c r="CX931" s="863"/>
      <c r="CY931" s="863"/>
      <c r="CZ931" s="863"/>
      <c r="DA931" s="863"/>
      <c r="DB931" s="863"/>
      <c r="DC931" s="863"/>
      <c r="DD931" s="863"/>
      <c r="DE931" s="863"/>
    </row>
    <row r="932">
      <c r="A932" s="876"/>
      <c r="B932" s="876"/>
      <c r="C932" s="876"/>
      <c r="D932" s="876"/>
      <c r="E932" s="876"/>
      <c r="F932" s="876"/>
      <c r="G932" s="876"/>
      <c r="H932" s="876"/>
      <c r="I932" s="876"/>
      <c r="J932" s="876"/>
      <c r="K932" s="876"/>
      <c r="L932" s="876"/>
      <c r="M932" s="876"/>
      <c r="N932" s="877"/>
      <c r="O932" s="876"/>
      <c r="P932" s="876"/>
      <c r="Q932" s="876"/>
      <c r="R932" s="876"/>
      <c r="S932" s="876"/>
      <c r="T932" s="876"/>
      <c r="U932" s="876"/>
      <c r="V932" s="876"/>
      <c r="W932" s="876"/>
      <c r="X932" s="876"/>
      <c r="Y932" s="876"/>
      <c r="Z932" s="876"/>
      <c r="AA932" s="876"/>
      <c r="AB932" s="876"/>
      <c r="AC932" s="876"/>
      <c r="AD932" s="876"/>
      <c r="AE932" s="876"/>
      <c r="AF932" s="876"/>
      <c r="AG932" s="876"/>
      <c r="AH932" s="876"/>
      <c r="AI932" s="878"/>
      <c r="AJ932" s="880"/>
      <c r="AK932" s="880"/>
      <c r="AL932" s="880"/>
      <c r="AM932" s="880"/>
      <c r="AN932" s="880"/>
      <c r="AO932" s="880"/>
      <c r="AP932" s="880"/>
      <c r="AQ932" s="880"/>
      <c r="AR932" s="880"/>
      <c r="AS932" s="880"/>
      <c r="AT932" s="880"/>
      <c r="AU932" s="880"/>
      <c r="AV932" s="880"/>
      <c r="AW932" s="881"/>
      <c r="AX932" s="863"/>
      <c r="AY932" s="863"/>
      <c r="AZ932" s="863"/>
      <c r="BA932" s="863"/>
      <c r="BB932" s="863"/>
      <c r="BC932" s="863"/>
      <c r="BD932" s="863"/>
      <c r="BE932" s="863"/>
      <c r="BF932" s="863"/>
      <c r="BG932" s="863"/>
      <c r="BH932" s="863"/>
      <c r="BI932" s="863"/>
      <c r="BJ932" s="863"/>
      <c r="BK932" s="863"/>
      <c r="BL932" s="863"/>
      <c r="BM932" s="863"/>
      <c r="BN932" s="863"/>
      <c r="BO932" s="863"/>
      <c r="BP932" s="880"/>
      <c r="BQ932" s="863"/>
      <c r="BR932" s="883"/>
      <c r="BS932" s="883"/>
      <c r="BT932" s="883"/>
      <c r="BU932" s="883"/>
      <c r="BV932" s="883"/>
      <c r="BW932" s="883"/>
      <c r="BX932" s="883"/>
      <c r="BY932" s="883"/>
      <c r="BZ932" s="883"/>
      <c r="CA932" s="883"/>
      <c r="CB932" s="883"/>
      <c r="CC932" s="883"/>
      <c r="CD932" s="884"/>
      <c r="CE932" s="883"/>
      <c r="CF932" s="883"/>
      <c r="CG932" s="883"/>
      <c r="CH932" s="883"/>
      <c r="CI932" s="883"/>
      <c r="CJ932" s="883"/>
      <c r="CK932" s="883"/>
      <c r="CL932" s="883"/>
      <c r="CM932" s="883"/>
      <c r="CN932" s="883"/>
      <c r="CO932" s="883"/>
      <c r="CP932" s="883"/>
      <c r="CQ932" s="883"/>
      <c r="CR932" s="883"/>
      <c r="CS932" s="883"/>
      <c r="CT932" s="883"/>
      <c r="CU932" s="883"/>
      <c r="CV932" s="863"/>
      <c r="CW932" s="863"/>
      <c r="CX932" s="863"/>
      <c r="CY932" s="863"/>
      <c r="CZ932" s="863"/>
      <c r="DA932" s="863"/>
      <c r="DB932" s="863"/>
      <c r="DC932" s="863"/>
      <c r="DD932" s="863"/>
      <c r="DE932" s="863"/>
    </row>
    <row r="933">
      <c r="A933" s="876"/>
      <c r="B933" s="876"/>
      <c r="C933" s="876"/>
      <c r="D933" s="876"/>
      <c r="E933" s="876"/>
      <c r="F933" s="876"/>
      <c r="G933" s="876"/>
      <c r="H933" s="876"/>
      <c r="I933" s="876"/>
      <c r="J933" s="876"/>
      <c r="K933" s="876"/>
      <c r="L933" s="876"/>
      <c r="M933" s="876"/>
      <c r="N933" s="877"/>
      <c r="O933" s="876"/>
      <c r="P933" s="876"/>
      <c r="Q933" s="876"/>
      <c r="R933" s="876"/>
      <c r="S933" s="876"/>
      <c r="T933" s="876"/>
      <c r="U933" s="876"/>
      <c r="V933" s="876"/>
      <c r="W933" s="876"/>
      <c r="X933" s="876"/>
      <c r="Y933" s="876"/>
      <c r="Z933" s="876"/>
      <c r="AA933" s="876"/>
      <c r="AB933" s="876"/>
      <c r="AC933" s="876"/>
      <c r="AD933" s="876"/>
      <c r="AE933" s="876"/>
      <c r="AF933" s="876"/>
      <c r="AG933" s="876"/>
      <c r="AH933" s="876"/>
      <c r="AI933" s="878"/>
      <c r="AJ933" s="880"/>
      <c r="AK933" s="880"/>
      <c r="AL933" s="880"/>
      <c r="AM933" s="880"/>
      <c r="AN933" s="880"/>
      <c r="AO933" s="880"/>
      <c r="AP933" s="880"/>
      <c r="AQ933" s="880"/>
      <c r="AR933" s="880"/>
      <c r="AS933" s="880"/>
      <c r="AT933" s="880"/>
      <c r="AU933" s="880"/>
      <c r="AV933" s="880"/>
      <c r="AW933" s="881"/>
      <c r="AX933" s="863"/>
      <c r="AY933" s="863"/>
      <c r="AZ933" s="863"/>
      <c r="BA933" s="863"/>
      <c r="BB933" s="863"/>
      <c r="BC933" s="863"/>
      <c r="BD933" s="863"/>
      <c r="BE933" s="863"/>
      <c r="BF933" s="863"/>
      <c r="BG933" s="863"/>
      <c r="BH933" s="863"/>
      <c r="BI933" s="863"/>
      <c r="BJ933" s="863"/>
      <c r="BK933" s="863"/>
      <c r="BL933" s="863"/>
      <c r="BM933" s="863"/>
      <c r="BN933" s="863"/>
      <c r="BO933" s="863"/>
      <c r="BP933" s="880"/>
      <c r="BQ933" s="863"/>
      <c r="BR933" s="883"/>
      <c r="BS933" s="883"/>
      <c r="BT933" s="883"/>
      <c r="BU933" s="883"/>
      <c r="BV933" s="883"/>
      <c r="BW933" s="883"/>
      <c r="BX933" s="883"/>
      <c r="BY933" s="883"/>
      <c r="BZ933" s="883"/>
      <c r="CA933" s="883"/>
      <c r="CB933" s="883"/>
      <c r="CC933" s="883"/>
      <c r="CD933" s="884"/>
      <c r="CE933" s="883"/>
      <c r="CF933" s="883"/>
      <c r="CG933" s="883"/>
      <c r="CH933" s="883"/>
      <c r="CI933" s="883"/>
      <c r="CJ933" s="883"/>
      <c r="CK933" s="883"/>
      <c r="CL933" s="883"/>
      <c r="CM933" s="883"/>
      <c r="CN933" s="883"/>
      <c r="CO933" s="883"/>
      <c r="CP933" s="883"/>
      <c r="CQ933" s="883"/>
      <c r="CR933" s="883"/>
      <c r="CS933" s="883"/>
      <c r="CT933" s="883"/>
      <c r="CU933" s="883"/>
      <c r="CV933" s="863"/>
      <c r="CW933" s="863"/>
      <c r="CX933" s="863"/>
      <c r="CY933" s="863"/>
      <c r="CZ933" s="863"/>
      <c r="DA933" s="863"/>
      <c r="DB933" s="863"/>
      <c r="DC933" s="863"/>
      <c r="DD933" s="863"/>
      <c r="DE933" s="863"/>
    </row>
    <row r="934">
      <c r="A934" s="876"/>
      <c r="B934" s="876"/>
      <c r="C934" s="876"/>
      <c r="D934" s="876"/>
      <c r="E934" s="876"/>
      <c r="F934" s="876"/>
      <c r="G934" s="876"/>
      <c r="H934" s="876"/>
      <c r="I934" s="876"/>
      <c r="J934" s="876"/>
      <c r="K934" s="876"/>
      <c r="L934" s="876"/>
      <c r="M934" s="876"/>
      <c r="N934" s="877"/>
      <c r="O934" s="876"/>
      <c r="P934" s="876"/>
      <c r="Q934" s="876"/>
      <c r="R934" s="876"/>
      <c r="S934" s="876"/>
      <c r="T934" s="876"/>
      <c r="U934" s="876"/>
      <c r="V934" s="876"/>
      <c r="W934" s="876"/>
      <c r="X934" s="876"/>
      <c r="Y934" s="876"/>
      <c r="Z934" s="876"/>
      <c r="AA934" s="876"/>
      <c r="AB934" s="876"/>
      <c r="AC934" s="876"/>
      <c r="AD934" s="876"/>
      <c r="AE934" s="876"/>
      <c r="AF934" s="876"/>
      <c r="AG934" s="876"/>
      <c r="AH934" s="876"/>
      <c r="AI934" s="878"/>
      <c r="AJ934" s="880"/>
      <c r="AK934" s="880"/>
      <c r="AL934" s="880"/>
      <c r="AM934" s="880"/>
      <c r="AN934" s="880"/>
      <c r="AO934" s="880"/>
      <c r="AP934" s="880"/>
      <c r="AQ934" s="880"/>
      <c r="AR934" s="880"/>
      <c r="AS934" s="880"/>
      <c r="AT934" s="880"/>
      <c r="AU934" s="880"/>
      <c r="AV934" s="880"/>
      <c r="AW934" s="881"/>
      <c r="AX934" s="863"/>
      <c r="AY934" s="863"/>
      <c r="AZ934" s="863"/>
      <c r="BA934" s="863"/>
      <c r="BB934" s="863"/>
      <c r="BC934" s="863"/>
      <c r="BD934" s="863"/>
      <c r="BE934" s="863"/>
      <c r="BF934" s="863"/>
      <c r="BG934" s="863"/>
      <c r="BH934" s="863"/>
      <c r="BI934" s="863"/>
      <c r="BJ934" s="863"/>
      <c r="BK934" s="863"/>
      <c r="BL934" s="863"/>
      <c r="BM934" s="863"/>
      <c r="BN934" s="863"/>
      <c r="BO934" s="863"/>
      <c r="BP934" s="880"/>
      <c r="BQ934" s="863"/>
      <c r="BR934" s="883"/>
      <c r="BS934" s="883"/>
      <c r="BT934" s="883"/>
      <c r="BU934" s="883"/>
      <c r="BV934" s="883"/>
      <c r="BW934" s="883"/>
      <c r="BX934" s="883"/>
      <c r="BY934" s="883"/>
      <c r="BZ934" s="883"/>
      <c r="CA934" s="883"/>
      <c r="CB934" s="883"/>
      <c r="CC934" s="883"/>
      <c r="CD934" s="884"/>
      <c r="CE934" s="883"/>
      <c r="CF934" s="883"/>
      <c r="CG934" s="883"/>
      <c r="CH934" s="883"/>
      <c r="CI934" s="883"/>
      <c r="CJ934" s="883"/>
      <c r="CK934" s="883"/>
      <c r="CL934" s="883"/>
      <c r="CM934" s="883"/>
      <c r="CN934" s="883"/>
      <c r="CO934" s="883"/>
      <c r="CP934" s="883"/>
      <c r="CQ934" s="883"/>
      <c r="CR934" s="883"/>
      <c r="CS934" s="883"/>
      <c r="CT934" s="883"/>
      <c r="CU934" s="883"/>
      <c r="CV934" s="863"/>
      <c r="CW934" s="863"/>
      <c r="CX934" s="863"/>
      <c r="CY934" s="863"/>
      <c r="CZ934" s="863"/>
      <c r="DA934" s="863"/>
      <c r="DB934" s="863"/>
      <c r="DC934" s="863"/>
      <c r="DD934" s="863"/>
      <c r="DE934" s="863"/>
    </row>
    <row r="935">
      <c r="A935" s="876"/>
      <c r="B935" s="876"/>
      <c r="C935" s="876"/>
      <c r="D935" s="876"/>
      <c r="E935" s="876"/>
      <c r="F935" s="876"/>
      <c r="G935" s="876"/>
      <c r="H935" s="876"/>
      <c r="I935" s="876"/>
      <c r="J935" s="876"/>
      <c r="K935" s="876"/>
      <c r="L935" s="876"/>
      <c r="M935" s="876"/>
      <c r="N935" s="877"/>
      <c r="O935" s="876"/>
      <c r="P935" s="876"/>
      <c r="Q935" s="876"/>
      <c r="R935" s="876"/>
      <c r="S935" s="876"/>
      <c r="T935" s="876"/>
      <c r="U935" s="876"/>
      <c r="V935" s="876"/>
      <c r="W935" s="876"/>
      <c r="X935" s="876"/>
      <c r="Y935" s="876"/>
      <c r="Z935" s="876"/>
      <c r="AA935" s="876"/>
      <c r="AB935" s="876"/>
      <c r="AC935" s="876"/>
      <c r="AD935" s="876"/>
      <c r="AE935" s="876"/>
      <c r="AF935" s="876"/>
      <c r="AG935" s="876"/>
      <c r="AH935" s="876"/>
      <c r="AI935" s="878"/>
      <c r="AJ935" s="880"/>
      <c r="AK935" s="880"/>
      <c r="AL935" s="880"/>
      <c r="AM935" s="880"/>
      <c r="AN935" s="880"/>
      <c r="AO935" s="880"/>
      <c r="AP935" s="880"/>
      <c r="AQ935" s="880"/>
      <c r="AR935" s="880"/>
      <c r="AS935" s="880"/>
      <c r="AT935" s="880"/>
      <c r="AU935" s="880"/>
      <c r="AV935" s="880"/>
      <c r="AW935" s="881"/>
      <c r="AX935" s="863"/>
      <c r="AY935" s="863"/>
      <c r="AZ935" s="863"/>
      <c r="BA935" s="863"/>
      <c r="BB935" s="863"/>
      <c r="BC935" s="863"/>
      <c r="BD935" s="863"/>
      <c r="BE935" s="863"/>
      <c r="BF935" s="863"/>
      <c r="BG935" s="863"/>
      <c r="BH935" s="863"/>
      <c r="BI935" s="863"/>
      <c r="BJ935" s="863"/>
      <c r="BK935" s="863"/>
      <c r="BL935" s="863"/>
      <c r="BM935" s="863"/>
      <c r="BN935" s="863"/>
      <c r="BO935" s="863"/>
      <c r="BP935" s="880"/>
      <c r="BQ935" s="863"/>
      <c r="BR935" s="883"/>
      <c r="BS935" s="883"/>
      <c r="BT935" s="883"/>
      <c r="BU935" s="883"/>
      <c r="BV935" s="883"/>
      <c r="BW935" s="883"/>
      <c r="BX935" s="883"/>
      <c r="BY935" s="883"/>
      <c r="BZ935" s="883"/>
      <c r="CA935" s="883"/>
      <c r="CB935" s="883"/>
      <c r="CC935" s="883"/>
      <c r="CD935" s="884"/>
      <c r="CE935" s="883"/>
      <c r="CF935" s="883"/>
      <c r="CG935" s="883"/>
      <c r="CH935" s="883"/>
      <c r="CI935" s="883"/>
      <c r="CJ935" s="883"/>
      <c r="CK935" s="883"/>
      <c r="CL935" s="883"/>
      <c r="CM935" s="883"/>
      <c r="CN935" s="883"/>
      <c r="CO935" s="883"/>
      <c r="CP935" s="883"/>
      <c r="CQ935" s="883"/>
      <c r="CR935" s="883"/>
      <c r="CS935" s="883"/>
      <c r="CT935" s="883"/>
      <c r="CU935" s="883"/>
      <c r="CV935" s="863"/>
      <c r="CW935" s="863"/>
      <c r="CX935" s="863"/>
      <c r="CY935" s="863"/>
      <c r="CZ935" s="863"/>
      <c r="DA935" s="863"/>
      <c r="DB935" s="863"/>
      <c r="DC935" s="863"/>
      <c r="DD935" s="863"/>
      <c r="DE935" s="863"/>
    </row>
    <row r="936">
      <c r="A936" s="876"/>
      <c r="B936" s="876"/>
      <c r="C936" s="876"/>
      <c r="D936" s="876"/>
      <c r="E936" s="876"/>
      <c r="F936" s="876"/>
      <c r="G936" s="876"/>
      <c r="H936" s="876"/>
      <c r="I936" s="876"/>
      <c r="J936" s="876"/>
      <c r="K936" s="876"/>
      <c r="L936" s="876"/>
      <c r="M936" s="876"/>
      <c r="N936" s="877"/>
      <c r="O936" s="876"/>
      <c r="P936" s="876"/>
      <c r="Q936" s="876"/>
      <c r="R936" s="876"/>
      <c r="S936" s="876"/>
      <c r="T936" s="876"/>
      <c r="U936" s="876"/>
      <c r="V936" s="876"/>
      <c r="W936" s="876"/>
      <c r="X936" s="876"/>
      <c r="Y936" s="876"/>
      <c r="Z936" s="876"/>
      <c r="AA936" s="876"/>
      <c r="AB936" s="876"/>
      <c r="AC936" s="876"/>
      <c r="AD936" s="876"/>
      <c r="AE936" s="876"/>
      <c r="AF936" s="876"/>
      <c r="AG936" s="876"/>
      <c r="AH936" s="876"/>
      <c r="AI936" s="878"/>
      <c r="AJ936" s="880"/>
      <c r="AK936" s="880"/>
      <c r="AL936" s="880"/>
      <c r="AM936" s="880"/>
      <c r="AN936" s="880"/>
      <c r="AO936" s="880"/>
      <c r="AP936" s="880"/>
      <c r="AQ936" s="880"/>
      <c r="AR936" s="880"/>
      <c r="AS936" s="880"/>
      <c r="AT936" s="880"/>
      <c r="AU936" s="880"/>
      <c r="AV936" s="880"/>
      <c r="AW936" s="881"/>
      <c r="AX936" s="863"/>
      <c r="AY936" s="863"/>
      <c r="AZ936" s="863"/>
      <c r="BA936" s="863"/>
      <c r="BB936" s="863"/>
      <c r="BC936" s="863"/>
      <c r="BD936" s="863"/>
      <c r="BE936" s="863"/>
      <c r="BF936" s="863"/>
      <c r="BG936" s="863"/>
      <c r="BH936" s="863"/>
      <c r="BI936" s="863"/>
      <c r="BJ936" s="863"/>
      <c r="BK936" s="863"/>
      <c r="BL936" s="863"/>
      <c r="BM936" s="863"/>
      <c r="BN936" s="863"/>
      <c r="BO936" s="863"/>
      <c r="BP936" s="880"/>
      <c r="BQ936" s="863"/>
      <c r="BR936" s="883"/>
      <c r="BS936" s="883"/>
      <c r="BT936" s="883"/>
      <c r="BU936" s="883"/>
      <c r="BV936" s="883"/>
      <c r="BW936" s="883"/>
      <c r="BX936" s="883"/>
      <c r="BY936" s="883"/>
      <c r="BZ936" s="883"/>
      <c r="CA936" s="883"/>
      <c r="CB936" s="883"/>
      <c r="CC936" s="883"/>
      <c r="CD936" s="884"/>
      <c r="CE936" s="883"/>
      <c r="CF936" s="883"/>
      <c r="CG936" s="883"/>
      <c r="CH936" s="883"/>
      <c r="CI936" s="883"/>
      <c r="CJ936" s="883"/>
      <c r="CK936" s="883"/>
      <c r="CL936" s="883"/>
      <c r="CM936" s="883"/>
      <c r="CN936" s="883"/>
      <c r="CO936" s="883"/>
      <c r="CP936" s="883"/>
      <c r="CQ936" s="883"/>
      <c r="CR936" s="883"/>
      <c r="CS936" s="883"/>
      <c r="CT936" s="883"/>
      <c r="CU936" s="883"/>
      <c r="CV936" s="863"/>
      <c r="CW936" s="863"/>
      <c r="CX936" s="863"/>
      <c r="CY936" s="863"/>
      <c r="CZ936" s="863"/>
      <c r="DA936" s="863"/>
      <c r="DB936" s="863"/>
      <c r="DC936" s="863"/>
      <c r="DD936" s="863"/>
      <c r="DE936" s="863"/>
    </row>
    <row r="937">
      <c r="A937" s="876"/>
      <c r="B937" s="876"/>
      <c r="C937" s="876"/>
      <c r="D937" s="876"/>
      <c r="E937" s="876"/>
      <c r="F937" s="876"/>
      <c r="G937" s="876"/>
      <c r="H937" s="876"/>
      <c r="I937" s="876"/>
      <c r="J937" s="876"/>
      <c r="K937" s="876"/>
      <c r="L937" s="876"/>
      <c r="M937" s="876"/>
      <c r="N937" s="877"/>
      <c r="O937" s="876"/>
      <c r="P937" s="876"/>
      <c r="Q937" s="876"/>
      <c r="R937" s="876"/>
      <c r="S937" s="876"/>
      <c r="T937" s="876"/>
      <c r="U937" s="876"/>
      <c r="V937" s="876"/>
      <c r="W937" s="876"/>
      <c r="X937" s="876"/>
      <c r="Y937" s="876"/>
      <c r="Z937" s="876"/>
      <c r="AA937" s="876"/>
      <c r="AB937" s="876"/>
      <c r="AC937" s="876"/>
      <c r="AD937" s="876"/>
      <c r="AE937" s="876"/>
      <c r="AF937" s="876"/>
      <c r="AG937" s="876"/>
      <c r="AH937" s="876"/>
      <c r="AI937" s="878"/>
      <c r="AJ937" s="880"/>
      <c r="AK937" s="880"/>
      <c r="AL937" s="880"/>
      <c r="AM937" s="880"/>
      <c r="AN937" s="880"/>
      <c r="AO937" s="880"/>
      <c r="AP937" s="880"/>
      <c r="AQ937" s="880"/>
      <c r="AR937" s="880"/>
      <c r="AS937" s="880"/>
      <c r="AT937" s="880"/>
      <c r="AU937" s="880"/>
      <c r="AV937" s="880"/>
      <c r="AW937" s="881"/>
      <c r="AX937" s="863"/>
      <c r="AY937" s="863"/>
      <c r="AZ937" s="863"/>
      <c r="BA937" s="863"/>
      <c r="BB937" s="863"/>
      <c r="BC937" s="863"/>
      <c r="BD937" s="863"/>
      <c r="BE937" s="863"/>
      <c r="BF937" s="863"/>
      <c r="BG937" s="863"/>
      <c r="BH937" s="863"/>
      <c r="BI937" s="863"/>
      <c r="BJ937" s="863"/>
      <c r="BK937" s="863"/>
      <c r="BL937" s="863"/>
      <c r="BM937" s="863"/>
      <c r="BN937" s="863"/>
      <c r="BO937" s="863"/>
      <c r="BP937" s="880"/>
      <c r="BQ937" s="863"/>
      <c r="BR937" s="883"/>
      <c r="BS937" s="883"/>
      <c r="BT937" s="883"/>
      <c r="BU937" s="883"/>
      <c r="BV937" s="883"/>
      <c r="BW937" s="883"/>
      <c r="BX937" s="883"/>
      <c r="BY937" s="883"/>
      <c r="BZ937" s="883"/>
      <c r="CA937" s="883"/>
      <c r="CB937" s="883"/>
      <c r="CC937" s="883"/>
      <c r="CD937" s="884"/>
      <c r="CE937" s="883"/>
      <c r="CF937" s="883"/>
      <c r="CG937" s="883"/>
      <c r="CH937" s="883"/>
      <c r="CI937" s="883"/>
      <c r="CJ937" s="883"/>
      <c r="CK937" s="883"/>
      <c r="CL937" s="883"/>
      <c r="CM937" s="883"/>
      <c r="CN937" s="883"/>
      <c r="CO937" s="883"/>
      <c r="CP937" s="883"/>
      <c r="CQ937" s="883"/>
      <c r="CR937" s="883"/>
      <c r="CS937" s="883"/>
      <c r="CT937" s="883"/>
      <c r="CU937" s="883"/>
      <c r="CV937" s="863"/>
      <c r="CW937" s="863"/>
      <c r="CX937" s="863"/>
      <c r="CY937" s="863"/>
      <c r="CZ937" s="863"/>
      <c r="DA937" s="863"/>
      <c r="DB937" s="863"/>
      <c r="DC937" s="863"/>
      <c r="DD937" s="863"/>
      <c r="DE937" s="863"/>
    </row>
    <row r="938">
      <c r="A938" s="876"/>
      <c r="B938" s="876"/>
      <c r="C938" s="876"/>
      <c r="D938" s="876"/>
      <c r="E938" s="876"/>
      <c r="F938" s="876"/>
      <c r="G938" s="876"/>
      <c r="H938" s="876"/>
      <c r="I938" s="876"/>
      <c r="J938" s="876"/>
      <c r="K938" s="876"/>
      <c r="L938" s="876"/>
      <c r="M938" s="876"/>
      <c r="N938" s="877"/>
      <c r="O938" s="876"/>
      <c r="P938" s="876"/>
      <c r="Q938" s="876"/>
      <c r="R938" s="876"/>
      <c r="S938" s="876"/>
      <c r="T938" s="876"/>
      <c r="U938" s="876"/>
      <c r="V938" s="876"/>
      <c r="W938" s="876"/>
      <c r="X938" s="876"/>
      <c r="Y938" s="876"/>
      <c r="Z938" s="876"/>
      <c r="AA938" s="876"/>
      <c r="AB938" s="876"/>
      <c r="AC938" s="876"/>
      <c r="AD938" s="876"/>
      <c r="AE938" s="876"/>
      <c r="AF938" s="876"/>
      <c r="AG938" s="876"/>
      <c r="AH938" s="876"/>
      <c r="AI938" s="878"/>
      <c r="AJ938" s="880"/>
      <c r="AK938" s="880"/>
      <c r="AL938" s="880"/>
      <c r="AM938" s="880"/>
      <c r="AN938" s="880"/>
      <c r="AO938" s="880"/>
      <c r="AP938" s="880"/>
      <c r="AQ938" s="880"/>
      <c r="AR938" s="880"/>
      <c r="AS938" s="880"/>
      <c r="AT938" s="880"/>
      <c r="AU938" s="880"/>
      <c r="AV938" s="880"/>
      <c r="AW938" s="881"/>
      <c r="AX938" s="863"/>
      <c r="AY938" s="863"/>
      <c r="AZ938" s="863"/>
      <c r="BA938" s="863"/>
      <c r="BB938" s="863"/>
      <c r="BC938" s="863"/>
      <c r="BD938" s="863"/>
      <c r="BE938" s="863"/>
      <c r="BF938" s="863"/>
      <c r="BG938" s="863"/>
      <c r="BH938" s="863"/>
      <c r="BI938" s="863"/>
      <c r="BJ938" s="863"/>
      <c r="BK938" s="863"/>
      <c r="BL938" s="863"/>
      <c r="BM938" s="863"/>
      <c r="BN938" s="863"/>
      <c r="BO938" s="863"/>
      <c r="BP938" s="880"/>
      <c r="BQ938" s="863"/>
      <c r="BR938" s="883"/>
      <c r="BS938" s="883"/>
      <c r="BT938" s="883"/>
      <c r="BU938" s="883"/>
      <c r="BV938" s="883"/>
      <c r="BW938" s="883"/>
      <c r="BX938" s="883"/>
      <c r="BY938" s="883"/>
      <c r="BZ938" s="883"/>
      <c r="CA938" s="883"/>
      <c r="CB938" s="883"/>
      <c r="CC938" s="883"/>
      <c r="CD938" s="884"/>
      <c r="CE938" s="883"/>
      <c r="CF938" s="883"/>
      <c r="CG938" s="883"/>
      <c r="CH938" s="883"/>
      <c r="CI938" s="883"/>
      <c r="CJ938" s="883"/>
      <c r="CK938" s="883"/>
      <c r="CL938" s="883"/>
      <c r="CM938" s="883"/>
      <c r="CN938" s="883"/>
      <c r="CO938" s="883"/>
      <c r="CP938" s="883"/>
      <c r="CQ938" s="883"/>
      <c r="CR938" s="883"/>
      <c r="CS938" s="883"/>
      <c r="CT938" s="883"/>
      <c r="CU938" s="883"/>
      <c r="CV938" s="863"/>
      <c r="CW938" s="863"/>
      <c r="CX938" s="863"/>
      <c r="CY938" s="863"/>
      <c r="CZ938" s="863"/>
      <c r="DA938" s="863"/>
      <c r="DB938" s="863"/>
      <c r="DC938" s="863"/>
      <c r="DD938" s="863"/>
      <c r="DE938" s="863"/>
    </row>
    <row r="939">
      <c r="A939" s="876"/>
      <c r="B939" s="876"/>
      <c r="C939" s="876"/>
      <c r="D939" s="876"/>
      <c r="E939" s="876"/>
      <c r="F939" s="876"/>
      <c r="G939" s="876"/>
      <c r="H939" s="876"/>
      <c r="I939" s="876"/>
      <c r="J939" s="876"/>
      <c r="K939" s="876"/>
      <c r="L939" s="876"/>
      <c r="M939" s="876"/>
      <c r="N939" s="877"/>
      <c r="O939" s="876"/>
      <c r="P939" s="876"/>
      <c r="Q939" s="876"/>
      <c r="R939" s="876"/>
      <c r="S939" s="876"/>
      <c r="T939" s="876"/>
      <c r="U939" s="876"/>
      <c r="V939" s="876"/>
      <c r="W939" s="876"/>
      <c r="X939" s="876"/>
      <c r="Y939" s="876"/>
      <c r="Z939" s="876"/>
      <c r="AA939" s="876"/>
      <c r="AB939" s="876"/>
      <c r="AC939" s="876"/>
      <c r="AD939" s="876"/>
      <c r="AE939" s="876"/>
      <c r="AF939" s="876"/>
      <c r="AG939" s="876"/>
      <c r="AH939" s="876"/>
      <c r="AI939" s="878"/>
      <c r="AJ939" s="880"/>
      <c r="AK939" s="880"/>
      <c r="AL939" s="880"/>
      <c r="AM939" s="880"/>
      <c r="AN939" s="880"/>
      <c r="AO939" s="880"/>
      <c r="AP939" s="880"/>
      <c r="AQ939" s="880"/>
      <c r="AR939" s="880"/>
      <c r="AS939" s="880"/>
      <c r="AT939" s="880"/>
      <c r="AU939" s="880"/>
      <c r="AV939" s="880"/>
      <c r="AW939" s="881"/>
      <c r="AX939" s="863"/>
      <c r="AY939" s="863"/>
      <c r="AZ939" s="863"/>
      <c r="BA939" s="863"/>
      <c r="BB939" s="863"/>
      <c r="BC939" s="863"/>
      <c r="BD939" s="863"/>
      <c r="BE939" s="863"/>
      <c r="BF939" s="863"/>
      <c r="BG939" s="863"/>
      <c r="BH939" s="863"/>
      <c r="BI939" s="863"/>
      <c r="BJ939" s="863"/>
      <c r="BK939" s="863"/>
      <c r="BL939" s="863"/>
      <c r="BM939" s="863"/>
      <c r="BN939" s="863"/>
      <c r="BO939" s="863"/>
      <c r="BP939" s="880"/>
      <c r="BQ939" s="863"/>
      <c r="BR939" s="883"/>
      <c r="BS939" s="883"/>
      <c r="BT939" s="883"/>
      <c r="BU939" s="883"/>
      <c r="BV939" s="883"/>
      <c r="BW939" s="883"/>
      <c r="BX939" s="883"/>
      <c r="BY939" s="883"/>
      <c r="BZ939" s="883"/>
      <c r="CA939" s="883"/>
      <c r="CB939" s="883"/>
      <c r="CC939" s="883"/>
      <c r="CD939" s="884"/>
      <c r="CE939" s="883"/>
      <c r="CF939" s="883"/>
      <c r="CG939" s="883"/>
      <c r="CH939" s="883"/>
      <c r="CI939" s="883"/>
      <c r="CJ939" s="883"/>
      <c r="CK939" s="883"/>
      <c r="CL939" s="883"/>
      <c r="CM939" s="883"/>
      <c r="CN939" s="883"/>
      <c r="CO939" s="883"/>
      <c r="CP939" s="883"/>
      <c r="CQ939" s="883"/>
      <c r="CR939" s="883"/>
      <c r="CS939" s="883"/>
      <c r="CT939" s="883"/>
      <c r="CU939" s="883"/>
      <c r="CV939" s="863"/>
      <c r="CW939" s="863"/>
      <c r="CX939" s="863"/>
      <c r="CY939" s="863"/>
      <c r="CZ939" s="863"/>
      <c r="DA939" s="863"/>
      <c r="DB939" s="863"/>
      <c r="DC939" s="863"/>
      <c r="DD939" s="863"/>
      <c r="DE939" s="863"/>
    </row>
    <row r="940">
      <c r="A940" s="876"/>
      <c r="B940" s="876"/>
      <c r="C940" s="876"/>
      <c r="D940" s="876"/>
      <c r="E940" s="876"/>
      <c r="F940" s="876"/>
      <c r="G940" s="876"/>
      <c r="H940" s="876"/>
      <c r="I940" s="876"/>
      <c r="J940" s="876"/>
      <c r="K940" s="876"/>
      <c r="L940" s="876"/>
      <c r="M940" s="876"/>
      <c r="N940" s="877"/>
      <c r="O940" s="876"/>
      <c r="P940" s="876"/>
      <c r="Q940" s="876"/>
      <c r="R940" s="876"/>
      <c r="S940" s="876"/>
      <c r="T940" s="876"/>
      <c r="U940" s="876"/>
      <c r="V940" s="876"/>
      <c r="W940" s="876"/>
      <c r="X940" s="876"/>
      <c r="Y940" s="876"/>
      <c r="Z940" s="876"/>
      <c r="AA940" s="876"/>
      <c r="AB940" s="876"/>
      <c r="AC940" s="876"/>
      <c r="AD940" s="876"/>
      <c r="AE940" s="876"/>
      <c r="AF940" s="876"/>
      <c r="AG940" s="876"/>
      <c r="AH940" s="876"/>
      <c r="AI940" s="878"/>
      <c r="AJ940" s="880"/>
      <c r="AK940" s="880"/>
      <c r="AL940" s="880"/>
      <c r="AM940" s="880"/>
      <c r="AN940" s="880"/>
      <c r="AO940" s="880"/>
      <c r="AP940" s="880"/>
      <c r="AQ940" s="880"/>
      <c r="AR940" s="880"/>
      <c r="AS940" s="880"/>
      <c r="AT940" s="880"/>
      <c r="AU940" s="880"/>
      <c r="AV940" s="880"/>
      <c r="AW940" s="881"/>
      <c r="AX940" s="863"/>
      <c r="AY940" s="863"/>
      <c r="AZ940" s="863"/>
      <c r="BA940" s="863"/>
      <c r="BB940" s="863"/>
      <c r="BC940" s="863"/>
      <c r="BD940" s="863"/>
      <c r="BE940" s="863"/>
      <c r="BF940" s="863"/>
      <c r="BG940" s="863"/>
      <c r="BH940" s="863"/>
      <c r="BI940" s="863"/>
      <c r="BJ940" s="863"/>
      <c r="BK940" s="863"/>
      <c r="BL940" s="863"/>
      <c r="BM940" s="863"/>
      <c r="BN940" s="863"/>
      <c r="BO940" s="863"/>
      <c r="BP940" s="880"/>
      <c r="BQ940" s="863"/>
      <c r="BR940" s="883"/>
      <c r="BS940" s="883"/>
      <c r="BT940" s="883"/>
      <c r="BU940" s="883"/>
      <c r="BV940" s="883"/>
      <c r="BW940" s="883"/>
      <c r="BX940" s="883"/>
      <c r="BY940" s="883"/>
      <c r="BZ940" s="883"/>
      <c r="CA940" s="883"/>
      <c r="CB940" s="883"/>
      <c r="CC940" s="883"/>
      <c r="CD940" s="884"/>
      <c r="CE940" s="883"/>
      <c r="CF940" s="883"/>
      <c r="CG940" s="883"/>
      <c r="CH940" s="883"/>
      <c r="CI940" s="883"/>
      <c r="CJ940" s="883"/>
      <c r="CK940" s="883"/>
      <c r="CL940" s="883"/>
      <c r="CM940" s="883"/>
      <c r="CN940" s="883"/>
      <c r="CO940" s="883"/>
      <c r="CP940" s="883"/>
      <c r="CQ940" s="883"/>
      <c r="CR940" s="883"/>
      <c r="CS940" s="883"/>
      <c r="CT940" s="883"/>
      <c r="CU940" s="883"/>
      <c r="CV940" s="863"/>
      <c r="CW940" s="863"/>
      <c r="CX940" s="863"/>
      <c r="CY940" s="863"/>
      <c r="CZ940" s="863"/>
      <c r="DA940" s="863"/>
      <c r="DB940" s="863"/>
      <c r="DC940" s="863"/>
      <c r="DD940" s="863"/>
      <c r="DE940" s="863"/>
    </row>
    <row r="941">
      <c r="A941" s="876"/>
      <c r="B941" s="876"/>
      <c r="C941" s="876"/>
      <c r="D941" s="876"/>
      <c r="E941" s="876"/>
      <c r="F941" s="876"/>
      <c r="G941" s="876"/>
      <c r="H941" s="876"/>
      <c r="I941" s="876"/>
      <c r="J941" s="876"/>
      <c r="K941" s="876"/>
      <c r="L941" s="876"/>
      <c r="M941" s="876"/>
      <c r="N941" s="877"/>
      <c r="O941" s="876"/>
      <c r="P941" s="876"/>
      <c r="Q941" s="876"/>
      <c r="R941" s="876"/>
      <c r="S941" s="876"/>
      <c r="T941" s="876"/>
      <c r="U941" s="876"/>
      <c r="V941" s="876"/>
      <c r="W941" s="876"/>
      <c r="X941" s="876"/>
      <c r="Y941" s="876"/>
      <c r="Z941" s="876"/>
      <c r="AA941" s="876"/>
      <c r="AB941" s="876"/>
      <c r="AC941" s="876"/>
      <c r="AD941" s="876"/>
      <c r="AE941" s="876"/>
      <c r="AF941" s="876"/>
      <c r="AG941" s="876"/>
      <c r="AH941" s="876"/>
      <c r="AI941" s="878"/>
      <c r="AJ941" s="880"/>
      <c r="AK941" s="880"/>
      <c r="AL941" s="880"/>
      <c r="AM941" s="880"/>
      <c r="AN941" s="880"/>
      <c r="AO941" s="880"/>
      <c r="AP941" s="880"/>
      <c r="AQ941" s="880"/>
      <c r="AR941" s="880"/>
      <c r="AS941" s="880"/>
      <c r="AT941" s="880"/>
      <c r="AU941" s="880"/>
      <c r="AV941" s="880"/>
      <c r="AW941" s="881"/>
      <c r="AX941" s="863"/>
      <c r="AY941" s="863"/>
      <c r="AZ941" s="863"/>
      <c r="BA941" s="863"/>
      <c r="BB941" s="863"/>
      <c r="BC941" s="863"/>
      <c r="BD941" s="863"/>
      <c r="BE941" s="863"/>
      <c r="BF941" s="863"/>
      <c r="BG941" s="863"/>
      <c r="BH941" s="863"/>
      <c r="BI941" s="863"/>
      <c r="BJ941" s="863"/>
      <c r="BK941" s="863"/>
      <c r="BL941" s="863"/>
      <c r="BM941" s="863"/>
      <c r="BN941" s="863"/>
      <c r="BO941" s="863"/>
      <c r="BP941" s="880"/>
      <c r="BQ941" s="863"/>
      <c r="BR941" s="883"/>
      <c r="BS941" s="883"/>
      <c r="BT941" s="883"/>
      <c r="BU941" s="883"/>
      <c r="BV941" s="883"/>
      <c r="BW941" s="883"/>
      <c r="BX941" s="883"/>
      <c r="BY941" s="883"/>
      <c r="BZ941" s="883"/>
      <c r="CA941" s="883"/>
      <c r="CB941" s="883"/>
      <c r="CC941" s="883"/>
      <c r="CD941" s="884"/>
      <c r="CE941" s="883"/>
      <c r="CF941" s="883"/>
      <c r="CG941" s="883"/>
      <c r="CH941" s="883"/>
      <c r="CI941" s="883"/>
      <c r="CJ941" s="883"/>
      <c r="CK941" s="883"/>
      <c r="CL941" s="883"/>
      <c r="CM941" s="883"/>
      <c r="CN941" s="883"/>
      <c r="CO941" s="883"/>
      <c r="CP941" s="883"/>
      <c r="CQ941" s="883"/>
      <c r="CR941" s="883"/>
      <c r="CS941" s="883"/>
      <c r="CT941" s="883"/>
      <c r="CU941" s="883"/>
      <c r="CV941" s="863"/>
      <c r="CW941" s="863"/>
      <c r="CX941" s="863"/>
      <c r="CY941" s="863"/>
      <c r="CZ941" s="863"/>
      <c r="DA941" s="863"/>
      <c r="DB941" s="863"/>
      <c r="DC941" s="863"/>
      <c r="DD941" s="863"/>
      <c r="DE941" s="863"/>
    </row>
    <row r="942">
      <c r="A942" s="876"/>
      <c r="B942" s="876"/>
      <c r="C942" s="876"/>
      <c r="D942" s="876"/>
      <c r="E942" s="876"/>
      <c r="F942" s="876"/>
      <c r="G942" s="876"/>
      <c r="H942" s="876"/>
      <c r="I942" s="876"/>
      <c r="J942" s="876"/>
      <c r="K942" s="876"/>
      <c r="L942" s="876"/>
      <c r="M942" s="876"/>
      <c r="N942" s="877"/>
      <c r="O942" s="876"/>
      <c r="P942" s="876"/>
      <c r="Q942" s="876"/>
      <c r="R942" s="876"/>
      <c r="S942" s="876"/>
      <c r="T942" s="876"/>
      <c r="U942" s="876"/>
      <c r="V942" s="876"/>
      <c r="W942" s="876"/>
      <c r="X942" s="876"/>
      <c r="Y942" s="876"/>
      <c r="Z942" s="876"/>
      <c r="AA942" s="876"/>
      <c r="AB942" s="876"/>
      <c r="AC942" s="876"/>
      <c r="AD942" s="876"/>
      <c r="AE942" s="876"/>
      <c r="AF942" s="876"/>
      <c r="AG942" s="876"/>
      <c r="AH942" s="876"/>
      <c r="AI942" s="878"/>
      <c r="AJ942" s="880"/>
      <c r="AK942" s="880"/>
      <c r="AL942" s="880"/>
      <c r="AM942" s="880"/>
      <c r="AN942" s="880"/>
      <c r="AO942" s="880"/>
      <c r="AP942" s="880"/>
      <c r="AQ942" s="880"/>
      <c r="AR942" s="880"/>
      <c r="AS942" s="880"/>
      <c r="AT942" s="880"/>
      <c r="AU942" s="880"/>
      <c r="AV942" s="880"/>
      <c r="AW942" s="881"/>
      <c r="AX942" s="863"/>
      <c r="AY942" s="863"/>
      <c r="AZ942" s="863"/>
      <c r="BA942" s="863"/>
      <c r="BB942" s="863"/>
      <c r="BC942" s="863"/>
      <c r="BD942" s="863"/>
      <c r="BE942" s="863"/>
      <c r="BF942" s="863"/>
      <c r="BG942" s="863"/>
      <c r="BH942" s="863"/>
      <c r="BI942" s="863"/>
      <c r="BJ942" s="863"/>
      <c r="BK942" s="863"/>
      <c r="BL942" s="863"/>
      <c r="BM942" s="863"/>
      <c r="BN942" s="863"/>
      <c r="BO942" s="863"/>
      <c r="BP942" s="880"/>
      <c r="BQ942" s="863"/>
      <c r="BR942" s="883"/>
      <c r="BS942" s="883"/>
      <c r="BT942" s="883"/>
      <c r="BU942" s="883"/>
      <c r="BV942" s="883"/>
      <c r="BW942" s="883"/>
      <c r="BX942" s="883"/>
      <c r="BY942" s="883"/>
      <c r="BZ942" s="883"/>
      <c r="CA942" s="883"/>
      <c r="CB942" s="883"/>
      <c r="CC942" s="883"/>
      <c r="CD942" s="884"/>
      <c r="CE942" s="883"/>
      <c r="CF942" s="883"/>
      <c r="CG942" s="883"/>
      <c r="CH942" s="883"/>
      <c r="CI942" s="883"/>
      <c r="CJ942" s="883"/>
      <c r="CK942" s="883"/>
      <c r="CL942" s="883"/>
      <c r="CM942" s="883"/>
      <c r="CN942" s="883"/>
      <c r="CO942" s="883"/>
      <c r="CP942" s="883"/>
      <c r="CQ942" s="883"/>
      <c r="CR942" s="883"/>
      <c r="CS942" s="883"/>
      <c r="CT942" s="883"/>
      <c r="CU942" s="883"/>
      <c r="CV942" s="863"/>
      <c r="CW942" s="863"/>
      <c r="CX942" s="863"/>
      <c r="CY942" s="863"/>
      <c r="CZ942" s="863"/>
      <c r="DA942" s="863"/>
      <c r="DB942" s="863"/>
      <c r="DC942" s="863"/>
      <c r="DD942" s="863"/>
      <c r="DE942" s="863"/>
    </row>
    <row r="943">
      <c r="A943" s="876"/>
      <c r="B943" s="876"/>
      <c r="C943" s="876"/>
      <c r="D943" s="876"/>
      <c r="E943" s="876"/>
      <c r="F943" s="876"/>
      <c r="G943" s="876"/>
      <c r="H943" s="876"/>
      <c r="I943" s="876"/>
      <c r="J943" s="876"/>
      <c r="K943" s="876"/>
      <c r="L943" s="876"/>
      <c r="M943" s="876"/>
      <c r="N943" s="877"/>
      <c r="O943" s="876"/>
      <c r="P943" s="876"/>
      <c r="Q943" s="876"/>
      <c r="R943" s="876"/>
      <c r="S943" s="876"/>
      <c r="T943" s="876"/>
      <c r="U943" s="876"/>
      <c r="V943" s="876"/>
      <c r="W943" s="876"/>
      <c r="X943" s="876"/>
      <c r="Y943" s="876"/>
      <c r="Z943" s="876"/>
      <c r="AA943" s="876"/>
      <c r="AB943" s="876"/>
      <c r="AC943" s="876"/>
      <c r="AD943" s="876"/>
      <c r="AE943" s="876"/>
      <c r="AF943" s="876"/>
      <c r="AG943" s="876"/>
      <c r="AH943" s="876"/>
      <c r="AI943" s="878"/>
      <c r="AJ943" s="880"/>
      <c r="AK943" s="880"/>
      <c r="AL943" s="880"/>
      <c r="AM943" s="880"/>
      <c r="AN943" s="880"/>
      <c r="AO943" s="880"/>
      <c r="AP943" s="880"/>
      <c r="AQ943" s="880"/>
      <c r="AR943" s="880"/>
      <c r="AS943" s="880"/>
      <c r="AT943" s="880"/>
      <c r="AU943" s="880"/>
      <c r="AV943" s="880"/>
      <c r="AW943" s="881"/>
      <c r="AX943" s="863"/>
      <c r="AY943" s="863"/>
      <c r="AZ943" s="863"/>
      <c r="BA943" s="863"/>
      <c r="BB943" s="863"/>
      <c r="BC943" s="863"/>
      <c r="BD943" s="863"/>
      <c r="BE943" s="863"/>
      <c r="BF943" s="863"/>
      <c r="BG943" s="863"/>
      <c r="BH943" s="863"/>
      <c r="BI943" s="863"/>
      <c r="BJ943" s="863"/>
      <c r="BK943" s="863"/>
      <c r="BL943" s="863"/>
      <c r="BM943" s="863"/>
      <c r="BN943" s="863"/>
      <c r="BO943" s="863"/>
      <c r="BP943" s="880"/>
      <c r="BQ943" s="863"/>
      <c r="BR943" s="883"/>
      <c r="BS943" s="883"/>
      <c r="BT943" s="883"/>
      <c r="BU943" s="883"/>
      <c r="BV943" s="883"/>
      <c r="BW943" s="883"/>
      <c r="BX943" s="883"/>
      <c r="BY943" s="883"/>
      <c r="BZ943" s="883"/>
      <c r="CA943" s="883"/>
      <c r="CB943" s="883"/>
      <c r="CC943" s="883"/>
      <c r="CD943" s="884"/>
      <c r="CE943" s="883"/>
      <c r="CF943" s="883"/>
      <c r="CG943" s="883"/>
      <c r="CH943" s="883"/>
      <c r="CI943" s="883"/>
      <c r="CJ943" s="883"/>
      <c r="CK943" s="883"/>
      <c r="CL943" s="883"/>
      <c r="CM943" s="883"/>
      <c r="CN943" s="883"/>
      <c r="CO943" s="883"/>
      <c r="CP943" s="883"/>
      <c r="CQ943" s="883"/>
      <c r="CR943" s="883"/>
      <c r="CS943" s="883"/>
      <c r="CT943" s="883"/>
      <c r="CU943" s="883"/>
      <c r="CV943" s="863"/>
      <c r="CW943" s="863"/>
      <c r="CX943" s="863"/>
      <c r="CY943" s="863"/>
      <c r="CZ943" s="863"/>
      <c r="DA943" s="863"/>
      <c r="DB943" s="863"/>
      <c r="DC943" s="863"/>
      <c r="DD943" s="863"/>
      <c r="DE943" s="863"/>
    </row>
    <row r="944">
      <c r="A944" s="876"/>
      <c r="B944" s="876"/>
      <c r="C944" s="876"/>
      <c r="D944" s="876"/>
      <c r="E944" s="876"/>
      <c r="F944" s="876"/>
      <c r="G944" s="876"/>
      <c r="H944" s="876"/>
      <c r="I944" s="876"/>
      <c r="J944" s="876"/>
      <c r="K944" s="876"/>
      <c r="L944" s="876"/>
      <c r="M944" s="876"/>
      <c r="N944" s="877"/>
      <c r="O944" s="876"/>
      <c r="P944" s="876"/>
      <c r="Q944" s="876"/>
      <c r="R944" s="876"/>
      <c r="S944" s="876"/>
      <c r="T944" s="876"/>
      <c r="U944" s="876"/>
      <c r="V944" s="876"/>
      <c r="W944" s="876"/>
      <c r="X944" s="876"/>
      <c r="Y944" s="876"/>
      <c r="Z944" s="876"/>
      <c r="AA944" s="876"/>
      <c r="AB944" s="876"/>
      <c r="AC944" s="876"/>
      <c r="AD944" s="876"/>
      <c r="AE944" s="876"/>
      <c r="AF944" s="876"/>
      <c r="AG944" s="876"/>
      <c r="AH944" s="876"/>
      <c r="AI944" s="878"/>
      <c r="AJ944" s="880"/>
      <c r="AK944" s="880"/>
      <c r="AL944" s="880"/>
      <c r="AM944" s="880"/>
      <c r="AN944" s="880"/>
      <c r="AO944" s="880"/>
      <c r="AP944" s="880"/>
      <c r="AQ944" s="880"/>
      <c r="AR944" s="880"/>
      <c r="AS944" s="880"/>
      <c r="AT944" s="880"/>
      <c r="AU944" s="880"/>
      <c r="AV944" s="880"/>
      <c r="AW944" s="881"/>
      <c r="AX944" s="863"/>
      <c r="AY944" s="863"/>
      <c r="AZ944" s="863"/>
      <c r="BA944" s="863"/>
      <c r="BB944" s="863"/>
      <c r="BC944" s="863"/>
      <c r="BD944" s="863"/>
      <c r="BE944" s="863"/>
      <c r="BF944" s="863"/>
      <c r="BG944" s="863"/>
      <c r="BH944" s="863"/>
      <c r="BI944" s="863"/>
      <c r="BJ944" s="863"/>
      <c r="BK944" s="863"/>
      <c r="BL944" s="863"/>
      <c r="BM944" s="863"/>
      <c r="BN944" s="863"/>
      <c r="BO944" s="863"/>
      <c r="BP944" s="880"/>
      <c r="BQ944" s="863"/>
      <c r="BR944" s="883"/>
      <c r="BS944" s="883"/>
      <c r="BT944" s="883"/>
      <c r="BU944" s="883"/>
      <c r="BV944" s="883"/>
      <c r="BW944" s="883"/>
      <c r="BX944" s="883"/>
      <c r="BY944" s="883"/>
      <c r="BZ944" s="883"/>
      <c r="CA944" s="883"/>
      <c r="CB944" s="883"/>
      <c r="CC944" s="883"/>
      <c r="CD944" s="884"/>
      <c r="CE944" s="883"/>
      <c r="CF944" s="883"/>
      <c r="CG944" s="883"/>
      <c r="CH944" s="883"/>
      <c r="CI944" s="883"/>
      <c r="CJ944" s="883"/>
      <c r="CK944" s="883"/>
      <c r="CL944" s="883"/>
      <c r="CM944" s="883"/>
      <c r="CN944" s="883"/>
      <c r="CO944" s="883"/>
      <c r="CP944" s="883"/>
      <c r="CQ944" s="883"/>
      <c r="CR944" s="883"/>
      <c r="CS944" s="883"/>
      <c r="CT944" s="883"/>
      <c r="CU944" s="883"/>
      <c r="CV944" s="863"/>
      <c r="CW944" s="863"/>
      <c r="CX944" s="863"/>
      <c r="CY944" s="863"/>
      <c r="CZ944" s="863"/>
      <c r="DA944" s="863"/>
      <c r="DB944" s="863"/>
      <c r="DC944" s="863"/>
      <c r="DD944" s="863"/>
      <c r="DE944" s="863"/>
    </row>
    <row r="945">
      <c r="A945" s="876"/>
      <c r="B945" s="876"/>
      <c r="C945" s="876"/>
      <c r="D945" s="876"/>
      <c r="E945" s="876"/>
      <c r="F945" s="876"/>
      <c r="G945" s="876"/>
      <c r="H945" s="876"/>
      <c r="I945" s="876"/>
      <c r="J945" s="876"/>
      <c r="K945" s="876"/>
      <c r="L945" s="876"/>
      <c r="M945" s="876"/>
      <c r="N945" s="877"/>
      <c r="O945" s="876"/>
      <c r="P945" s="876"/>
      <c r="Q945" s="876"/>
      <c r="R945" s="876"/>
      <c r="S945" s="876"/>
      <c r="T945" s="876"/>
      <c r="U945" s="876"/>
      <c r="V945" s="876"/>
      <c r="W945" s="876"/>
      <c r="X945" s="876"/>
      <c r="Y945" s="876"/>
      <c r="Z945" s="876"/>
      <c r="AA945" s="876"/>
      <c r="AB945" s="876"/>
      <c r="AC945" s="876"/>
      <c r="AD945" s="876"/>
      <c r="AE945" s="876"/>
      <c r="AF945" s="876"/>
      <c r="AG945" s="876"/>
      <c r="AH945" s="876"/>
      <c r="AI945" s="878"/>
      <c r="AJ945" s="880"/>
      <c r="AK945" s="880"/>
      <c r="AL945" s="880"/>
      <c r="AM945" s="880"/>
      <c r="AN945" s="880"/>
      <c r="AO945" s="880"/>
      <c r="AP945" s="880"/>
      <c r="AQ945" s="880"/>
      <c r="AR945" s="880"/>
      <c r="AS945" s="880"/>
      <c r="AT945" s="880"/>
      <c r="AU945" s="880"/>
      <c r="AV945" s="880"/>
      <c r="AW945" s="881"/>
      <c r="AX945" s="863"/>
      <c r="AY945" s="863"/>
      <c r="AZ945" s="863"/>
      <c r="BA945" s="863"/>
      <c r="BB945" s="863"/>
      <c r="BC945" s="863"/>
      <c r="BD945" s="863"/>
      <c r="BE945" s="863"/>
      <c r="BF945" s="863"/>
      <c r="BG945" s="863"/>
      <c r="BH945" s="863"/>
      <c r="BI945" s="863"/>
      <c r="BJ945" s="863"/>
      <c r="BK945" s="863"/>
      <c r="BL945" s="863"/>
      <c r="BM945" s="863"/>
      <c r="BN945" s="863"/>
      <c r="BO945" s="863"/>
      <c r="BP945" s="880"/>
      <c r="BQ945" s="863"/>
      <c r="BR945" s="883"/>
      <c r="BS945" s="883"/>
      <c r="BT945" s="883"/>
      <c r="BU945" s="883"/>
      <c r="BV945" s="883"/>
      <c r="BW945" s="883"/>
      <c r="BX945" s="883"/>
      <c r="BY945" s="883"/>
      <c r="BZ945" s="883"/>
      <c r="CA945" s="883"/>
      <c r="CB945" s="883"/>
      <c r="CC945" s="883"/>
      <c r="CD945" s="884"/>
      <c r="CE945" s="883"/>
      <c r="CF945" s="883"/>
      <c r="CG945" s="883"/>
      <c r="CH945" s="883"/>
      <c r="CI945" s="883"/>
      <c r="CJ945" s="883"/>
      <c r="CK945" s="883"/>
      <c r="CL945" s="883"/>
      <c r="CM945" s="883"/>
      <c r="CN945" s="883"/>
      <c r="CO945" s="883"/>
      <c r="CP945" s="883"/>
      <c r="CQ945" s="883"/>
      <c r="CR945" s="883"/>
      <c r="CS945" s="883"/>
      <c r="CT945" s="883"/>
      <c r="CU945" s="883"/>
      <c r="CV945" s="863"/>
      <c r="CW945" s="863"/>
      <c r="CX945" s="863"/>
      <c r="CY945" s="863"/>
      <c r="CZ945" s="863"/>
      <c r="DA945" s="863"/>
      <c r="DB945" s="863"/>
      <c r="DC945" s="863"/>
      <c r="DD945" s="863"/>
      <c r="DE945" s="863"/>
    </row>
    <row r="946">
      <c r="A946" s="876"/>
      <c r="B946" s="876"/>
      <c r="C946" s="876"/>
      <c r="D946" s="876"/>
      <c r="E946" s="876"/>
      <c r="F946" s="876"/>
      <c r="G946" s="876"/>
      <c r="H946" s="876"/>
      <c r="I946" s="876"/>
      <c r="J946" s="876"/>
      <c r="K946" s="876"/>
      <c r="L946" s="876"/>
      <c r="M946" s="876"/>
      <c r="N946" s="877"/>
      <c r="O946" s="876"/>
      <c r="P946" s="876"/>
      <c r="Q946" s="876"/>
      <c r="R946" s="876"/>
      <c r="S946" s="876"/>
      <c r="T946" s="876"/>
      <c r="U946" s="876"/>
      <c r="V946" s="876"/>
      <c r="W946" s="876"/>
      <c r="X946" s="876"/>
      <c r="Y946" s="876"/>
      <c r="Z946" s="876"/>
      <c r="AA946" s="876"/>
      <c r="AB946" s="876"/>
      <c r="AC946" s="876"/>
      <c r="AD946" s="876"/>
      <c r="AE946" s="876"/>
      <c r="AF946" s="876"/>
      <c r="AG946" s="876"/>
      <c r="AH946" s="876"/>
      <c r="AI946" s="878"/>
      <c r="AJ946" s="880"/>
      <c r="AK946" s="880"/>
      <c r="AL946" s="880"/>
      <c r="AM946" s="880"/>
      <c r="AN946" s="880"/>
      <c r="AO946" s="880"/>
      <c r="AP946" s="880"/>
      <c r="AQ946" s="880"/>
      <c r="AR946" s="880"/>
      <c r="AS946" s="880"/>
      <c r="AT946" s="880"/>
      <c r="AU946" s="880"/>
      <c r="AV946" s="880"/>
      <c r="AW946" s="881"/>
      <c r="AX946" s="863"/>
      <c r="AY946" s="863"/>
      <c r="AZ946" s="863"/>
      <c r="BA946" s="863"/>
      <c r="BB946" s="863"/>
      <c r="BC946" s="863"/>
      <c r="BD946" s="863"/>
      <c r="BE946" s="863"/>
      <c r="BF946" s="863"/>
      <c r="BG946" s="863"/>
      <c r="BH946" s="863"/>
      <c r="BI946" s="863"/>
      <c r="BJ946" s="863"/>
      <c r="BK946" s="863"/>
      <c r="BL946" s="863"/>
      <c r="BM946" s="863"/>
      <c r="BN946" s="863"/>
      <c r="BO946" s="863"/>
      <c r="BP946" s="880"/>
      <c r="BQ946" s="863"/>
      <c r="BR946" s="883"/>
      <c r="BS946" s="883"/>
      <c r="BT946" s="883"/>
      <c r="BU946" s="883"/>
      <c r="BV946" s="883"/>
      <c r="BW946" s="883"/>
      <c r="BX946" s="883"/>
      <c r="BY946" s="883"/>
      <c r="BZ946" s="883"/>
      <c r="CA946" s="883"/>
      <c r="CB946" s="883"/>
      <c r="CC946" s="883"/>
      <c r="CD946" s="884"/>
      <c r="CE946" s="883"/>
      <c r="CF946" s="883"/>
      <c r="CG946" s="883"/>
      <c r="CH946" s="883"/>
      <c r="CI946" s="883"/>
      <c r="CJ946" s="883"/>
      <c r="CK946" s="883"/>
      <c r="CL946" s="883"/>
      <c r="CM946" s="883"/>
      <c r="CN946" s="883"/>
      <c r="CO946" s="883"/>
      <c r="CP946" s="883"/>
      <c r="CQ946" s="883"/>
      <c r="CR946" s="883"/>
      <c r="CS946" s="883"/>
      <c r="CT946" s="883"/>
      <c r="CU946" s="883"/>
      <c r="CV946" s="863"/>
      <c r="CW946" s="863"/>
      <c r="CX946" s="863"/>
      <c r="CY946" s="863"/>
      <c r="CZ946" s="863"/>
      <c r="DA946" s="863"/>
      <c r="DB946" s="863"/>
      <c r="DC946" s="863"/>
      <c r="DD946" s="863"/>
      <c r="DE946" s="863"/>
    </row>
    <row r="947">
      <c r="A947" s="876"/>
      <c r="B947" s="876"/>
      <c r="C947" s="876"/>
      <c r="D947" s="876"/>
      <c r="E947" s="876"/>
      <c r="F947" s="876"/>
      <c r="G947" s="876"/>
      <c r="H947" s="876"/>
      <c r="I947" s="876"/>
      <c r="J947" s="876"/>
      <c r="K947" s="876"/>
      <c r="L947" s="876"/>
      <c r="M947" s="876"/>
      <c r="N947" s="877"/>
      <c r="O947" s="876"/>
      <c r="P947" s="876"/>
      <c r="Q947" s="876"/>
      <c r="R947" s="876"/>
      <c r="S947" s="876"/>
      <c r="T947" s="876"/>
      <c r="U947" s="876"/>
      <c r="V947" s="876"/>
      <c r="W947" s="876"/>
      <c r="X947" s="876"/>
      <c r="Y947" s="876"/>
      <c r="Z947" s="876"/>
      <c r="AA947" s="876"/>
      <c r="AB947" s="876"/>
      <c r="AC947" s="876"/>
      <c r="AD947" s="876"/>
      <c r="AE947" s="876"/>
      <c r="AF947" s="876"/>
      <c r="AG947" s="876"/>
      <c r="AH947" s="876"/>
      <c r="AI947" s="878"/>
      <c r="AJ947" s="880"/>
      <c r="AK947" s="880"/>
      <c r="AL947" s="880"/>
      <c r="AM947" s="880"/>
      <c r="AN947" s="880"/>
      <c r="AO947" s="880"/>
      <c r="AP947" s="880"/>
      <c r="AQ947" s="880"/>
      <c r="AR947" s="880"/>
      <c r="AS947" s="880"/>
      <c r="AT947" s="880"/>
      <c r="AU947" s="880"/>
      <c r="AV947" s="880"/>
      <c r="AW947" s="881"/>
      <c r="AX947" s="863"/>
      <c r="AY947" s="863"/>
      <c r="AZ947" s="863"/>
      <c r="BA947" s="863"/>
      <c r="BB947" s="863"/>
      <c r="BC947" s="863"/>
      <c r="BD947" s="863"/>
      <c r="BE947" s="863"/>
      <c r="BF947" s="863"/>
      <c r="BG947" s="863"/>
      <c r="BH947" s="863"/>
      <c r="BI947" s="863"/>
      <c r="BJ947" s="863"/>
      <c r="BK947" s="863"/>
      <c r="BL947" s="863"/>
      <c r="BM947" s="863"/>
      <c r="BN947" s="863"/>
      <c r="BO947" s="863"/>
      <c r="BP947" s="880"/>
      <c r="BQ947" s="863"/>
      <c r="BR947" s="883"/>
      <c r="BS947" s="883"/>
      <c r="BT947" s="883"/>
      <c r="BU947" s="883"/>
      <c r="BV947" s="883"/>
      <c r="BW947" s="883"/>
      <c r="BX947" s="883"/>
      <c r="BY947" s="883"/>
      <c r="BZ947" s="883"/>
      <c r="CA947" s="883"/>
      <c r="CB947" s="883"/>
      <c r="CC947" s="883"/>
      <c r="CD947" s="884"/>
      <c r="CE947" s="883"/>
      <c r="CF947" s="883"/>
      <c r="CG947" s="883"/>
      <c r="CH947" s="883"/>
      <c r="CI947" s="883"/>
      <c r="CJ947" s="883"/>
      <c r="CK947" s="883"/>
      <c r="CL947" s="883"/>
      <c r="CM947" s="883"/>
      <c r="CN947" s="883"/>
      <c r="CO947" s="883"/>
      <c r="CP947" s="883"/>
      <c r="CQ947" s="883"/>
      <c r="CR947" s="883"/>
      <c r="CS947" s="883"/>
      <c r="CT947" s="883"/>
      <c r="CU947" s="883"/>
      <c r="CV947" s="863"/>
      <c r="CW947" s="863"/>
      <c r="CX947" s="863"/>
      <c r="CY947" s="863"/>
      <c r="CZ947" s="863"/>
      <c r="DA947" s="863"/>
      <c r="DB947" s="863"/>
      <c r="DC947" s="863"/>
      <c r="DD947" s="863"/>
      <c r="DE947" s="863"/>
    </row>
    <row r="948">
      <c r="A948" s="876"/>
      <c r="B948" s="876"/>
      <c r="C948" s="876"/>
      <c r="D948" s="876"/>
      <c r="E948" s="876"/>
      <c r="F948" s="876"/>
      <c r="G948" s="876"/>
      <c r="H948" s="876"/>
      <c r="I948" s="876"/>
      <c r="J948" s="876"/>
      <c r="K948" s="876"/>
      <c r="L948" s="876"/>
      <c r="M948" s="876"/>
      <c r="N948" s="877"/>
      <c r="O948" s="876"/>
      <c r="P948" s="876"/>
      <c r="Q948" s="876"/>
      <c r="R948" s="876"/>
      <c r="S948" s="876"/>
      <c r="T948" s="876"/>
      <c r="U948" s="876"/>
      <c r="V948" s="876"/>
      <c r="W948" s="876"/>
      <c r="X948" s="876"/>
      <c r="Y948" s="876"/>
      <c r="Z948" s="876"/>
      <c r="AA948" s="876"/>
      <c r="AB948" s="876"/>
      <c r="AC948" s="876"/>
      <c r="AD948" s="876"/>
      <c r="AE948" s="876"/>
      <c r="AF948" s="876"/>
      <c r="AG948" s="876"/>
      <c r="AH948" s="876"/>
      <c r="AI948" s="878"/>
      <c r="AJ948" s="880"/>
      <c r="AK948" s="880"/>
      <c r="AL948" s="880"/>
      <c r="AM948" s="880"/>
      <c r="AN948" s="880"/>
      <c r="AO948" s="880"/>
      <c r="AP948" s="880"/>
      <c r="AQ948" s="880"/>
      <c r="AR948" s="880"/>
      <c r="AS948" s="880"/>
      <c r="AT948" s="880"/>
      <c r="AU948" s="880"/>
      <c r="AV948" s="880"/>
      <c r="AW948" s="881"/>
      <c r="AX948" s="863"/>
      <c r="AY948" s="863"/>
      <c r="AZ948" s="863"/>
      <c r="BA948" s="863"/>
      <c r="BB948" s="863"/>
      <c r="BC948" s="863"/>
      <c r="BD948" s="863"/>
      <c r="BE948" s="863"/>
      <c r="BF948" s="863"/>
      <c r="BG948" s="863"/>
      <c r="BH948" s="863"/>
      <c r="BI948" s="863"/>
      <c r="BJ948" s="863"/>
      <c r="BK948" s="863"/>
      <c r="BL948" s="863"/>
      <c r="BM948" s="863"/>
      <c r="BN948" s="863"/>
      <c r="BO948" s="863"/>
      <c r="BP948" s="880"/>
      <c r="BQ948" s="863"/>
      <c r="BR948" s="883"/>
      <c r="BS948" s="883"/>
      <c r="BT948" s="883"/>
      <c r="BU948" s="883"/>
      <c r="BV948" s="883"/>
      <c r="BW948" s="883"/>
      <c r="BX948" s="883"/>
      <c r="BY948" s="883"/>
      <c r="BZ948" s="883"/>
      <c r="CA948" s="883"/>
      <c r="CB948" s="883"/>
      <c r="CC948" s="883"/>
      <c r="CD948" s="884"/>
      <c r="CE948" s="883"/>
      <c r="CF948" s="883"/>
      <c r="CG948" s="883"/>
      <c r="CH948" s="883"/>
      <c r="CI948" s="883"/>
      <c r="CJ948" s="883"/>
      <c r="CK948" s="883"/>
      <c r="CL948" s="883"/>
      <c r="CM948" s="883"/>
      <c r="CN948" s="883"/>
      <c r="CO948" s="883"/>
      <c r="CP948" s="883"/>
      <c r="CQ948" s="883"/>
      <c r="CR948" s="883"/>
      <c r="CS948" s="883"/>
      <c r="CT948" s="883"/>
      <c r="CU948" s="883"/>
      <c r="CV948" s="863"/>
      <c r="CW948" s="863"/>
      <c r="CX948" s="863"/>
      <c r="CY948" s="863"/>
      <c r="CZ948" s="863"/>
      <c r="DA948" s="863"/>
      <c r="DB948" s="863"/>
      <c r="DC948" s="863"/>
      <c r="DD948" s="863"/>
      <c r="DE948" s="863"/>
    </row>
    <row r="949">
      <c r="A949" s="876"/>
      <c r="B949" s="876"/>
      <c r="C949" s="876"/>
      <c r="D949" s="876"/>
      <c r="E949" s="876"/>
      <c r="F949" s="876"/>
      <c r="G949" s="876"/>
      <c r="H949" s="876"/>
      <c r="I949" s="876"/>
      <c r="J949" s="876"/>
      <c r="K949" s="876"/>
      <c r="L949" s="876"/>
      <c r="M949" s="876"/>
      <c r="N949" s="877"/>
      <c r="O949" s="876"/>
      <c r="P949" s="876"/>
      <c r="Q949" s="876"/>
      <c r="R949" s="876"/>
      <c r="S949" s="876"/>
      <c r="T949" s="876"/>
      <c r="U949" s="876"/>
      <c r="V949" s="876"/>
      <c r="W949" s="876"/>
      <c r="X949" s="876"/>
      <c r="Y949" s="876"/>
      <c r="Z949" s="876"/>
      <c r="AA949" s="876"/>
      <c r="AB949" s="876"/>
      <c r="AC949" s="876"/>
      <c r="AD949" s="876"/>
      <c r="AE949" s="876"/>
      <c r="AF949" s="876"/>
      <c r="AG949" s="876"/>
      <c r="AH949" s="876"/>
      <c r="AI949" s="878"/>
      <c r="AJ949" s="880"/>
      <c r="AK949" s="880"/>
      <c r="AL949" s="880"/>
      <c r="AM949" s="880"/>
      <c r="AN949" s="880"/>
      <c r="AO949" s="880"/>
      <c r="AP949" s="880"/>
      <c r="AQ949" s="880"/>
      <c r="AR949" s="880"/>
      <c r="AS949" s="880"/>
      <c r="AT949" s="880"/>
      <c r="AU949" s="880"/>
      <c r="AV949" s="880"/>
      <c r="AW949" s="881"/>
      <c r="AX949" s="863"/>
      <c r="AY949" s="863"/>
      <c r="AZ949" s="863"/>
      <c r="BA949" s="863"/>
      <c r="BB949" s="863"/>
      <c r="BC949" s="863"/>
      <c r="BD949" s="863"/>
      <c r="BE949" s="863"/>
      <c r="BF949" s="863"/>
      <c r="BG949" s="863"/>
      <c r="BH949" s="863"/>
      <c r="BI949" s="863"/>
      <c r="BJ949" s="863"/>
      <c r="BK949" s="863"/>
      <c r="BL949" s="863"/>
      <c r="BM949" s="863"/>
      <c r="BN949" s="863"/>
      <c r="BO949" s="863"/>
      <c r="BP949" s="880"/>
      <c r="BQ949" s="863"/>
      <c r="BR949" s="883"/>
      <c r="BS949" s="883"/>
      <c r="BT949" s="883"/>
      <c r="BU949" s="883"/>
      <c r="BV949" s="883"/>
      <c r="BW949" s="883"/>
      <c r="BX949" s="883"/>
      <c r="BY949" s="883"/>
      <c r="BZ949" s="883"/>
      <c r="CA949" s="883"/>
      <c r="CB949" s="883"/>
      <c r="CC949" s="883"/>
      <c r="CD949" s="884"/>
      <c r="CE949" s="883"/>
      <c r="CF949" s="883"/>
      <c r="CG949" s="883"/>
      <c r="CH949" s="883"/>
      <c r="CI949" s="883"/>
      <c r="CJ949" s="883"/>
      <c r="CK949" s="883"/>
      <c r="CL949" s="883"/>
      <c r="CM949" s="883"/>
      <c r="CN949" s="883"/>
      <c r="CO949" s="883"/>
      <c r="CP949" s="883"/>
      <c r="CQ949" s="883"/>
      <c r="CR949" s="883"/>
      <c r="CS949" s="883"/>
      <c r="CT949" s="883"/>
      <c r="CU949" s="883"/>
      <c r="CV949" s="863"/>
      <c r="CW949" s="863"/>
      <c r="CX949" s="863"/>
      <c r="CY949" s="863"/>
      <c r="CZ949" s="863"/>
      <c r="DA949" s="863"/>
      <c r="DB949" s="863"/>
      <c r="DC949" s="863"/>
      <c r="DD949" s="863"/>
      <c r="DE949" s="863"/>
    </row>
    <row r="950">
      <c r="A950" s="876"/>
      <c r="B950" s="876"/>
      <c r="C950" s="876"/>
      <c r="D950" s="876"/>
      <c r="E950" s="876"/>
      <c r="F950" s="876"/>
      <c r="G950" s="876"/>
      <c r="H950" s="876"/>
      <c r="I950" s="876"/>
      <c r="J950" s="876"/>
      <c r="K950" s="876"/>
      <c r="L950" s="876"/>
      <c r="M950" s="876"/>
      <c r="N950" s="877"/>
      <c r="O950" s="876"/>
      <c r="P950" s="876"/>
      <c r="Q950" s="876"/>
      <c r="R950" s="876"/>
      <c r="S950" s="876"/>
      <c r="T950" s="876"/>
      <c r="U950" s="876"/>
      <c r="V950" s="876"/>
      <c r="W950" s="876"/>
      <c r="X950" s="876"/>
      <c r="Y950" s="876"/>
      <c r="Z950" s="876"/>
      <c r="AA950" s="876"/>
      <c r="AB950" s="876"/>
      <c r="AC950" s="876"/>
      <c r="AD950" s="876"/>
      <c r="AE950" s="876"/>
      <c r="AF950" s="876"/>
      <c r="AG950" s="876"/>
      <c r="AH950" s="876"/>
      <c r="AI950" s="878"/>
      <c r="AJ950" s="880"/>
      <c r="AK950" s="880"/>
      <c r="AL950" s="880"/>
      <c r="AM950" s="880"/>
      <c r="AN950" s="880"/>
      <c r="AO950" s="880"/>
      <c r="AP950" s="880"/>
      <c r="AQ950" s="880"/>
      <c r="AR950" s="880"/>
      <c r="AS950" s="880"/>
      <c r="AT950" s="880"/>
      <c r="AU950" s="880"/>
      <c r="AV950" s="880"/>
      <c r="AW950" s="881"/>
      <c r="AX950" s="863"/>
      <c r="AY950" s="863"/>
      <c r="AZ950" s="863"/>
      <c r="BA950" s="863"/>
      <c r="BB950" s="863"/>
      <c r="BC950" s="863"/>
      <c r="BD950" s="863"/>
      <c r="BE950" s="863"/>
      <c r="BF950" s="863"/>
      <c r="BG950" s="863"/>
      <c r="BH950" s="863"/>
      <c r="BI950" s="863"/>
      <c r="BJ950" s="863"/>
      <c r="BK950" s="863"/>
      <c r="BL950" s="863"/>
      <c r="BM950" s="863"/>
      <c r="BN950" s="863"/>
      <c r="BO950" s="863"/>
      <c r="BP950" s="880"/>
      <c r="BQ950" s="863"/>
      <c r="BR950" s="883"/>
      <c r="BS950" s="883"/>
      <c r="BT950" s="883"/>
      <c r="BU950" s="883"/>
      <c r="BV950" s="883"/>
      <c r="BW950" s="883"/>
      <c r="BX950" s="883"/>
      <c r="BY950" s="883"/>
      <c r="BZ950" s="883"/>
      <c r="CA950" s="883"/>
      <c r="CB950" s="883"/>
      <c r="CC950" s="883"/>
      <c r="CD950" s="884"/>
      <c r="CE950" s="883"/>
      <c r="CF950" s="883"/>
      <c r="CG950" s="883"/>
      <c r="CH950" s="883"/>
      <c r="CI950" s="883"/>
      <c r="CJ950" s="883"/>
      <c r="CK950" s="883"/>
      <c r="CL950" s="883"/>
      <c r="CM950" s="883"/>
      <c r="CN950" s="883"/>
      <c r="CO950" s="883"/>
      <c r="CP950" s="883"/>
      <c r="CQ950" s="883"/>
      <c r="CR950" s="883"/>
      <c r="CS950" s="883"/>
      <c r="CT950" s="883"/>
      <c r="CU950" s="883"/>
      <c r="CV950" s="863"/>
      <c r="CW950" s="863"/>
      <c r="CX950" s="863"/>
      <c r="CY950" s="863"/>
      <c r="CZ950" s="863"/>
      <c r="DA950" s="863"/>
      <c r="DB950" s="863"/>
      <c r="DC950" s="863"/>
      <c r="DD950" s="863"/>
      <c r="DE950" s="863"/>
    </row>
    <row r="951">
      <c r="A951" s="876"/>
      <c r="B951" s="876"/>
      <c r="C951" s="876"/>
      <c r="D951" s="876"/>
      <c r="E951" s="876"/>
      <c r="F951" s="876"/>
      <c r="G951" s="876"/>
      <c r="H951" s="876"/>
      <c r="I951" s="876"/>
      <c r="J951" s="876"/>
      <c r="K951" s="876"/>
      <c r="L951" s="876"/>
      <c r="M951" s="876"/>
      <c r="N951" s="877"/>
      <c r="O951" s="876"/>
      <c r="P951" s="876"/>
      <c r="Q951" s="876"/>
      <c r="R951" s="876"/>
      <c r="S951" s="876"/>
      <c r="T951" s="876"/>
      <c r="U951" s="876"/>
      <c r="V951" s="876"/>
      <c r="W951" s="876"/>
      <c r="X951" s="876"/>
      <c r="Y951" s="876"/>
      <c r="Z951" s="876"/>
      <c r="AA951" s="876"/>
      <c r="AB951" s="876"/>
      <c r="AC951" s="876"/>
      <c r="AD951" s="876"/>
      <c r="AE951" s="876"/>
      <c r="AF951" s="876"/>
      <c r="AG951" s="876"/>
      <c r="AH951" s="876"/>
      <c r="AI951" s="878"/>
      <c r="AJ951" s="880"/>
      <c r="AK951" s="880"/>
      <c r="AL951" s="880"/>
      <c r="AM951" s="880"/>
      <c r="AN951" s="880"/>
      <c r="AO951" s="880"/>
      <c r="AP951" s="880"/>
      <c r="AQ951" s="880"/>
      <c r="AR951" s="880"/>
      <c r="AS951" s="880"/>
      <c r="AT951" s="880"/>
      <c r="AU951" s="880"/>
      <c r="AV951" s="880"/>
      <c r="AW951" s="881"/>
      <c r="AX951" s="863"/>
      <c r="AY951" s="863"/>
      <c r="AZ951" s="863"/>
      <c r="BA951" s="863"/>
      <c r="BB951" s="863"/>
      <c r="BC951" s="863"/>
      <c r="BD951" s="863"/>
      <c r="BE951" s="863"/>
      <c r="BF951" s="863"/>
      <c r="BG951" s="863"/>
      <c r="BH951" s="863"/>
      <c r="BI951" s="863"/>
      <c r="BJ951" s="863"/>
      <c r="BK951" s="863"/>
      <c r="BL951" s="863"/>
      <c r="BM951" s="863"/>
      <c r="BN951" s="863"/>
      <c r="BO951" s="863"/>
      <c r="BP951" s="880"/>
      <c r="BQ951" s="863"/>
      <c r="BR951" s="883"/>
      <c r="BS951" s="883"/>
      <c r="BT951" s="883"/>
      <c r="BU951" s="883"/>
      <c r="BV951" s="883"/>
      <c r="BW951" s="883"/>
      <c r="BX951" s="883"/>
      <c r="BY951" s="883"/>
      <c r="BZ951" s="883"/>
      <c r="CA951" s="883"/>
      <c r="CB951" s="883"/>
      <c r="CC951" s="883"/>
      <c r="CD951" s="884"/>
      <c r="CE951" s="883"/>
      <c r="CF951" s="883"/>
      <c r="CG951" s="883"/>
      <c r="CH951" s="883"/>
      <c r="CI951" s="883"/>
      <c r="CJ951" s="883"/>
      <c r="CK951" s="883"/>
      <c r="CL951" s="883"/>
      <c r="CM951" s="883"/>
      <c r="CN951" s="883"/>
      <c r="CO951" s="883"/>
      <c r="CP951" s="883"/>
      <c r="CQ951" s="883"/>
      <c r="CR951" s="883"/>
      <c r="CS951" s="883"/>
      <c r="CT951" s="883"/>
      <c r="CU951" s="883"/>
      <c r="CV951" s="863"/>
      <c r="CW951" s="863"/>
      <c r="CX951" s="863"/>
      <c r="CY951" s="863"/>
      <c r="CZ951" s="863"/>
      <c r="DA951" s="863"/>
      <c r="DB951" s="863"/>
      <c r="DC951" s="863"/>
      <c r="DD951" s="863"/>
      <c r="DE951" s="863"/>
    </row>
    <row r="952">
      <c r="A952" s="876"/>
      <c r="B952" s="876"/>
      <c r="C952" s="876"/>
      <c r="D952" s="876"/>
      <c r="E952" s="876"/>
      <c r="F952" s="876"/>
      <c r="G952" s="876"/>
      <c r="H952" s="876"/>
      <c r="I952" s="876"/>
      <c r="J952" s="876"/>
      <c r="K952" s="876"/>
      <c r="L952" s="876"/>
      <c r="M952" s="876"/>
      <c r="N952" s="877"/>
      <c r="O952" s="876"/>
      <c r="P952" s="876"/>
      <c r="Q952" s="876"/>
      <c r="R952" s="876"/>
      <c r="S952" s="876"/>
      <c r="T952" s="876"/>
      <c r="U952" s="876"/>
      <c r="V952" s="876"/>
      <c r="W952" s="876"/>
      <c r="X952" s="876"/>
      <c r="Y952" s="876"/>
      <c r="Z952" s="876"/>
      <c r="AA952" s="876"/>
      <c r="AB952" s="876"/>
      <c r="AC952" s="876"/>
      <c r="AD952" s="876"/>
      <c r="AE952" s="876"/>
      <c r="AF952" s="876"/>
      <c r="AG952" s="876"/>
      <c r="AH952" s="876"/>
      <c r="AI952" s="878"/>
      <c r="AJ952" s="880"/>
      <c r="AK952" s="880"/>
      <c r="AL952" s="880"/>
      <c r="AM952" s="880"/>
      <c r="AN952" s="880"/>
      <c r="AO952" s="880"/>
      <c r="AP952" s="880"/>
      <c r="AQ952" s="880"/>
      <c r="AR952" s="880"/>
      <c r="AS952" s="880"/>
      <c r="AT952" s="880"/>
      <c r="AU952" s="880"/>
      <c r="AV952" s="880"/>
      <c r="AW952" s="881"/>
      <c r="AX952" s="863"/>
      <c r="AY952" s="863"/>
      <c r="AZ952" s="863"/>
      <c r="BA952" s="863"/>
      <c r="BB952" s="863"/>
      <c r="BC952" s="863"/>
      <c r="BD952" s="863"/>
      <c r="BE952" s="863"/>
      <c r="BF952" s="863"/>
      <c r="BG952" s="863"/>
      <c r="BH952" s="863"/>
      <c r="BI952" s="863"/>
      <c r="BJ952" s="863"/>
      <c r="BK952" s="863"/>
      <c r="BL952" s="863"/>
      <c r="BM952" s="863"/>
      <c r="BN952" s="863"/>
      <c r="BO952" s="863"/>
      <c r="BP952" s="880"/>
      <c r="BQ952" s="863"/>
      <c r="BR952" s="883"/>
      <c r="BS952" s="883"/>
      <c r="BT952" s="883"/>
      <c r="BU952" s="883"/>
      <c r="BV952" s="883"/>
      <c r="BW952" s="883"/>
      <c r="BX952" s="883"/>
      <c r="BY952" s="883"/>
      <c r="BZ952" s="883"/>
      <c r="CA952" s="883"/>
      <c r="CB952" s="883"/>
      <c r="CC952" s="883"/>
      <c r="CD952" s="884"/>
      <c r="CE952" s="883"/>
      <c r="CF952" s="883"/>
      <c r="CG952" s="883"/>
      <c r="CH952" s="883"/>
      <c r="CI952" s="883"/>
      <c r="CJ952" s="883"/>
      <c r="CK952" s="883"/>
      <c r="CL952" s="883"/>
      <c r="CM952" s="883"/>
      <c r="CN952" s="883"/>
      <c r="CO952" s="883"/>
      <c r="CP952" s="883"/>
      <c r="CQ952" s="883"/>
      <c r="CR952" s="883"/>
      <c r="CS952" s="883"/>
      <c r="CT952" s="883"/>
      <c r="CU952" s="883"/>
      <c r="CV952" s="863"/>
      <c r="CW952" s="863"/>
      <c r="CX952" s="863"/>
      <c r="CY952" s="863"/>
      <c r="CZ952" s="863"/>
      <c r="DA952" s="863"/>
      <c r="DB952" s="863"/>
      <c r="DC952" s="863"/>
      <c r="DD952" s="863"/>
      <c r="DE952" s="863"/>
    </row>
    <row r="953">
      <c r="A953" s="876"/>
      <c r="B953" s="876"/>
      <c r="C953" s="876"/>
      <c r="D953" s="876"/>
      <c r="E953" s="876"/>
      <c r="F953" s="876"/>
      <c r="G953" s="876"/>
      <c r="H953" s="876"/>
      <c r="I953" s="876"/>
      <c r="J953" s="876"/>
      <c r="K953" s="876"/>
      <c r="L953" s="876"/>
      <c r="M953" s="876"/>
      <c r="N953" s="877"/>
      <c r="O953" s="876"/>
      <c r="P953" s="876"/>
      <c r="Q953" s="876"/>
      <c r="R953" s="876"/>
      <c r="S953" s="876"/>
      <c r="T953" s="876"/>
      <c r="U953" s="876"/>
      <c r="V953" s="876"/>
      <c r="W953" s="876"/>
      <c r="X953" s="876"/>
      <c r="Y953" s="876"/>
      <c r="Z953" s="876"/>
      <c r="AA953" s="876"/>
      <c r="AB953" s="876"/>
      <c r="AC953" s="876"/>
      <c r="AD953" s="876"/>
      <c r="AE953" s="876"/>
      <c r="AF953" s="876"/>
      <c r="AG953" s="876"/>
      <c r="AH953" s="876"/>
      <c r="AI953" s="878"/>
      <c r="AJ953" s="880"/>
      <c r="AK953" s="880"/>
      <c r="AL953" s="880"/>
      <c r="AM953" s="880"/>
      <c r="AN953" s="880"/>
      <c r="AO953" s="880"/>
      <c r="AP953" s="880"/>
      <c r="AQ953" s="880"/>
      <c r="AR953" s="880"/>
      <c r="AS953" s="880"/>
      <c r="AT953" s="880"/>
      <c r="AU953" s="880"/>
      <c r="AV953" s="880"/>
      <c r="AW953" s="881"/>
      <c r="AX953" s="863"/>
      <c r="AY953" s="863"/>
      <c r="AZ953" s="863"/>
      <c r="BA953" s="863"/>
      <c r="BB953" s="863"/>
      <c r="BC953" s="863"/>
      <c r="BD953" s="863"/>
      <c r="BE953" s="863"/>
      <c r="BF953" s="863"/>
      <c r="BG953" s="863"/>
      <c r="BH953" s="863"/>
      <c r="BI953" s="863"/>
      <c r="BJ953" s="863"/>
      <c r="BK953" s="863"/>
      <c r="BL953" s="863"/>
      <c r="BM953" s="863"/>
      <c r="BN953" s="863"/>
      <c r="BO953" s="863"/>
      <c r="BP953" s="880"/>
      <c r="BQ953" s="863"/>
      <c r="BR953" s="883"/>
      <c r="BS953" s="883"/>
      <c r="BT953" s="883"/>
      <c r="BU953" s="883"/>
      <c r="BV953" s="883"/>
      <c r="BW953" s="883"/>
      <c r="BX953" s="883"/>
      <c r="BY953" s="883"/>
      <c r="BZ953" s="883"/>
      <c r="CA953" s="883"/>
      <c r="CB953" s="883"/>
      <c r="CC953" s="883"/>
      <c r="CD953" s="884"/>
      <c r="CE953" s="883"/>
      <c r="CF953" s="883"/>
      <c r="CG953" s="883"/>
      <c r="CH953" s="883"/>
      <c r="CI953" s="883"/>
      <c r="CJ953" s="883"/>
      <c r="CK953" s="883"/>
      <c r="CL953" s="883"/>
      <c r="CM953" s="883"/>
      <c r="CN953" s="883"/>
      <c r="CO953" s="883"/>
      <c r="CP953" s="883"/>
      <c r="CQ953" s="883"/>
      <c r="CR953" s="883"/>
      <c r="CS953" s="883"/>
      <c r="CT953" s="883"/>
      <c r="CU953" s="883"/>
      <c r="CV953" s="863"/>
      <c r="CW953" s="863"/>
      <c r="CX953" s="863"/>
      <c r="CY953" s="863"/>
      <c r="CZ953" s="863"/>
      <c r="DA953" s="863"/>
      <c r="DB953" s="863"/>
      <c r="DC953" s="863"/>
      <c r="DD953" s="863"/>
      <c r="DE953" s="863"/>
    </row>
    <row r="954">
      <c r="A954" s="876"/>
      <c r="B954" s="876"/>
      <c r="C954" s="876"/>
      <c r="D954" s="876"/>
      <c r="E954" s="876"/>
      <c r="F954" s="876"/>
      <c r="G954" s="876"/>
      <c r="H954" s="876"/>
      <c r="I954" s="876"/>
      <c r="J954" s="876"/>
      <c r="K954" s="876"/>
      <c r="L954" s="876"/>
      <c r="M954" s="876"/>
      <c r="N954" s="877"/>
      <c r="O954" s="876"/>
      <c r="P954" s="876"/>
      <c r="Q954" s="876"/>
      <c r="R954" s="876"/>
      <c r="S954" s="876"/>
      <c r="T954" s="876"/>
      <c r="U954" s="876"/>
      <c r="V954" s="876"/>
      <c r="W954" s="876"/>
      <c r="X954" s="876"/>
      <c r="Y954" s="876"/>
      <c r="Z954" s="876"/>
      <c r="AA954" s="876"/>
      <c r="AB954" s="876"/>
      <c r="AC954" s="876"/>
      <c r="AD954" s="876"/>
      <c r="AE954" s="876"/>
      <c r="AF954" s="876"/>
      <c r="AG954" s="876"/>
      <c r="AH954" s="876"/>
      <c r="AI954" s="878"/>
      <c r="AJ954" s="880"/>
      <c r="AK954" s="880"/>
      <c r="AL954" s="880"/>
      <c r="AM954" s="880"/>
      <c r="AN954" s="880"/>
      <c r="AO954" s="880"/>
      <c r="AP954" s="880"/>
      <c r="AQ954" s="880"/>
      <c r="AR954" s="880"/>
      <c r="AS954" s="880"/>
      <c r="AT954" s="880"/>
      <c r="AU954" s="880"/>
      <c r="AV954" s="880"/>
      <c r="AW954" s="881"/>
      <c r="AX954" s="863"/>
      <c r="AY954" s="863"/>
      <c r="AZ954" s="863"/>
      <c r="BA954" s="863"/>
      <c r="BB954" s="863"/>
      <c r="BC954" s="863"/>
      <c r="BD954" s="863"/>
      <c r="BE954" s="863"/>
      <c r="BF954" s="863"/>
      <c r="BG954" s="863"/>
      <c r="BH954" s="863"/>
      <c r="BI954" s="863"/>
      <c r="BJ954" s="863"/>
      <c r="BK954" s="863"/>
      <c r="BL954" s="863"/>
      <c r="BM954" s="863"/>
      <c r="BN954" s="863"/>
      <c r="BO954" s="863"/>
      <c r="BP954" s="880"/>
      <c r="BQ954" s="863"/>
      <c r="BR954" s="883"/>
      <c r="BS954" s="883"/>
      <c r="BT954" s="883"/>
      <c r="BU954" s="883"/>
      <c r="BV954" s="883"/>
      <c r="BW954" s="883"/>
      <c r="BX954" s="883"/>
      <c r="BY954" s="883"/>
      <c r="BZ954" s="883"/>
      <c r="CA954" s="883"/>
      <c r="CB954" s="883"/>
      <c r="CC954" s="883"/>
      <c r="CD954" s="884"/>
      <c r="CE954" s="883"/>
      <c r="CF954" s="883"/>
      <c r="CG954" s="883"/>
      <c r="CH954" s="883"/>
      <c r="CI954" s="883"/>
      <c r="CJ954" s="883"/>
      <c r="CK954" s="883"/>
      <c r="CL954" s="883"/>
      <c r="CM954" s="883"/>
      <c r="CN954" s="883"/>
      <c r="CO954" s="883"/>
      <c r="CP954" s="883"/>
      <c r="CQ954" s="883"/>
      <c r="CR954" s="883"/>
      <c r="CS954" s="883"/>
      <c r="CT954" s="883"/>
      <c r="CU954" s="883"/>
      <c r="CV954" s="863"/>
      <c r="CW954" s="863"/>
      <c r="CX954" s="863"/>
      <c r="CY954" s="863"/>
      <c r="CZ954" s="863"/>
      <c r="DA954" s="863"/>
      <c r="DB954" s="863"/>
      <c r="DC954" s="863"/>
      <c r="DD954" s="863"/>
      <c r="DE954" s="863"/>
    </row>
    <row r="955">
      <c r="A955" s="876"/>
      <c r="B955" s="876"/>
      <c r="C955" s="876"/>
      <c r="D955" s="876"/>
      <c r="E955" s="876"/>
      <c r="F955" s="876"/>
      <c r="G955" s="876"/>
      <c r="H955" s="876"/>
      <c r="I955" s="876"/>
      <c r="J955" s="876"/>
      <c r="K955" s="876"/>
      <c r="L955" s="876"/>
      <c r="M955" s="876"/>
      <c r="N955" s="877"/>
      <c r="O955" s="876"/>
      <c r="P955" s="876"/>
      <c r="Q955" s="876"/>
      <c r="R955" s="876"/>
      <c r="S955" s="876"/>
      <c r="T955" s="876"/>
      <c r="U955" s="876"/>
      <c r="V955" s="876"/>
      <c r="W955" s="876"/>
      <c r="X955" s="876"/>
      <c r="Y955" s="876"/>
      <c r="Z955" s="876"/>
      <c r="AA955" s="876"/>
      <c r="AB955" s="876"/>
      <c r="AC955" s="876"/>
      <c r="AD955" s="876"/>
      <c r="AE955" s="876"/>
      <c r="AF955" s="876"/>
      <c r="AG955" s="876"/>
      <c r="AH955" s="876"/>
      <c r="AI955" s="878"/>
      <c r="AJ955" s="880"/>
      <c r="AK955" s="880"/>
      <c r="AL955" s="880"/>
      <c r="AM955" s="880"/>
      <c r="AN955" s="880"/>
      <c r="AO955" s="880"/>
      <c r="AP955" s="880"/>
      <c r="AQ955" s="880"/>
      <c r="AR955" s="880"/>
      <c r="AS955" s="880"/>
      <c r="AT955" s="880"/>
      <c r="AU955" s="880"/>
      <c r="AV955" s="880"/>
      <c r="AW955" s="881"/>
      <c r="AX955" s="863"/>
      <c r="AY955" s="863"/>
      <c r="AZ955" s="863"/>
      <c r="BA955" s="863"/>
      <c r="BB955" s="863"/>
      <c r="BC955" s="863"/>
      <c r="BD955" s="863"/>
      <c r="BE955" s="863"/>
      <c r="BF955" s="863"/>
      <c r="BG955" s="863"/>
      <c r="BH955" s="863"/>
      <c r="BI955" s="863"/>
      <c r="BJ955" s="863"/>
      <c r="BK955" s="863"/>
      <c r="BL955" s="863"/>
      <c r="BM955" s="863"/>
      <c r="BN955" s="863"/>
      <c r="BO955" s="863"/>
      <c r="BP955" s="880"/>
      <c r="BQ955" s="863"/>
      <c r="BR955" s="883"/>
      <c r="BS955" s="883"/>
      <c r="BT955" s="883"/>
      <c r="BU955" s="883"/>
      <c r="BV955" s="883"/>
      <c r="BW955" s="883"/>
      <c r="BX955" s="883"/>
      <c r="BY955" s="883"/>
      <c r="BZ955" s="883"/>
      <c r="CA955" s="883"/>
      <c r="CB955" s="883"/>
      <c r="CC955" s="883"/>
      <c r="CD955" s="884"/>
      <c r="CE955" s="883"/>
      <c r="CF955" s="883"/>
      <c r="CG955" s="883"/>
      <c r="CH955" s="883"/>
      <c r="CI955" s="883"/>
      <c r="CJ955" s="883"/>
      <c r="CK955" s="883"/>
      <c r="CL955" s="883"/>
      <c r="CM955" s="883"/>
      <c r="CN955" s="883"/>
      <c r="CO955" s="883"/>
      <c r="CP955" s="883"/>
      <c r="CQ955" s="883"/>
      <c r="CR955" s="883"/>
      <c r="CS955" s="883"/>
      <c r="CT955" s="883"/>
      <c r="CU955" s="883"/>
      <c r="CV955" s="863"/>
      <c r="CW955" s="863"/>
      <c r="CX955" s="863"/>
      <c r="CY955" s="863"/>
      <c r="CZ955" s="863"/>
      <c r="DA955" s="863"/>
      <c r="DB955" s="863"/>
      <c r="DC955" s="863"/>
      <c r="DD955" s="863"/>
      <c r="DE955" s="863"/>
    </row>
    <row r="956">
      <c r="A956" s="876"/>
      <c r="B956" s="876"/>
      <c r="C956" s="876"/>
      <c r="D956" s="876"/>
      <c r="E956" s="876"/>
      <c r="F956" s="876"/>
      <c r="G956" s="876"/>
      <c r="H956" s="876"/>
      <c r="I956" s="876"/>
      <c r="J956" s="876"/>
      <c r="K956" s="876"/>
      <c r="L956" s="876"/>
      <c r="M956" s="876"/>
      <c r="N956" s="877"/>
      <c r="O956" s="876"/>
      <c r="P956" s="876"/>
      <c r="Q956" s="876"/>
      <c r="R956" s="876"/>
      <c r="S956" s="876"/>
      <c r="T956" s="876"/>
      <c r="U956" s="876"/>
      <c r="V956" s="876"/>
      <c r="W956" s="876"/>
      <c r="X956" s="876"/>
      <c r="Y956" s="876"/>
      <c r="Z956" s="876"/>
      <c r="AA956" s="876"/>
      <c r="AB956" s="876"/>
      <c r="AC956" s="876"/>
      <c r="AD956" s="876"/>
      <c r="AE956" s="876"/>
      <c r="AF956" s="876"/>
      <c r="AG956" s="876"/>
      <c r="AH956" s="876"/>
      <c r="AI956" s="878"/>
      <c r="AJ956" s="880"/>
      <c r="AK956" s="880"/>
      <c r="AL956" s="880"/>
      <c r="AM956" s="880"/>
      <c r="AN956" s="880"/>
      <c r="AO956" s="880"/>
      <c r="AP956" s="880"/>
      <c r="AQ956" s="880"/>
      <c r="AR956" s="880"/>
      <c r="AS956" s="880"/>
      <c r="AT956" s="880"/>
      <c r="AU956" s="880"/>
      <c r="AV956" s="880"/>
      <c r="AW956" s="881"/>
      <c r="AX956" s="863"/>
      <c r="AY956" s="863"/>
      <c r="AZ956" s="863"/>
      <c r="BA956" s="863"/>
      <c r="BB956" s="863"/>
      <c r="BC956" s="863"/>
      <c r="BD956" s="863"/>
      <c r="BE956" s="863"/>
      <c r="BF956" s="863"/>
      <c r="BG956" s="863"/>
      <c r="BH956" s="863"/>
      <c r="BI956" s="863"/>
      <c r="BJ956" s="863"/>
      <c r="BK956" s="863"/>
      <c r="BL956" s="863"/>
      <c r="BM956" s="863"/>
      <c r="BN956" s="863"/>
      <c r="BO956" s="863"/>
      <c r="BP956" s="880"/>
      <c r="BQ956" s="863"/>
      <c r="BR956" s="883"/>
      <c r="BS956" s="883"/>
      <c r="BT956" s="883"/>
      <c r="BU956" s="883"/>
      <c r="BV956" s="883"/>
      <c r="BW956" s="883"/>
      <c r="BX956" s="883"/>
      <c r="BY956" s="883"/>
      <c r="BZ956" s="883"/>
      <c r="CA956" s="883"/>
      <c r="CB956" s="883"/>
      <c r="CC956" s="883"/>
      <c r="CD956" s="884"/>
      <c r="CE956" s="883"/>
      <c r="CF956" s="883"/>
      <c r="CG956" s="883"/>
      <c r="CH956" s="883"/>
      <c r="CI956" s="883"/>
      <c r="CJ956" s="883"/>
      <c r="CK956" s="883"/>
      <c r="CL956" s="883"/>
      <c r="CM956" s="883"/>
      <c r="CN956" s="883"/>
      <c r="CO956" s="883"/>
      <c r="CP956" s="883"/>
      <c r="CQ956" s="883"/>
      <c r="CR956" s="883"/>
      <c r="CS956" s="883"/>
      <c r="CT956" s="883"/>
      <c r="CU956" s="883"/>
      <c r="CV956" s="863"/>
      <c r="CW956" s="863"/>
      <c r="CX956" s="863"/>
      <c r="CY956" s="863"/>
      <c r="CZ956" s="863"/>
      <c r="DA956" s="863"/>
      <c r="DB956" s="863"/>
      <c r="DC956" s="863"/>
      <c r="DD956" s="863"/>
      <c r="DE956" s="863"/>
    </row>
    <row r="957">
      <c r="A957" s="876"/>
      <c r="B957" s="876"/>
      <c r="C957" s="876"/>
      <c r="D957" s="876"/>
      <c r="E957" s="876"/>
      <c r="F957" s="876"/>
      <c r="G957" s="876"/>
      <c r="H957" s="876"/>
      <c r="I957" s="876"/>
      <c r="J957" s="876"/>
      <c r="K957" s="876"/>
      <c r="L957" s="876"/>
      <c r="M957" s="876"/>
      <c r="N957" s="877"/>
      <c r="O957" s="876"/>
      <c r="P957" s="876"/>
      <c r="Q957" s="876"/>
      <c r="R957" s="876"/>
      <c r="S957" s="876"/>
      <c r="T957" s="876"/>
      <c r="U957" s="876"/>
      <c r="V957" s="876"/>
      <c r="W957" s="876"/>
      <c r="X957" s="876"/>
      <c r="Y957" s="876"/>
      <c r="Z957" s="876"/>
      <c r="AA957" s="876"/>
      <c r="AB957" s="876"/>
      <c r="AC957" s="876"/>
      <c r="AD957" s="876"/>
      <c r="AE957" s="876"/>
      <c r="AF957" s="876"/>
      <c r="AG957" s="876"/>
      <c r="AH957" s="876"/>
      <c r="AI957" s="878"/>
      <c r="AJ957" s="880"/>
      <c r="AK957" s="880"/>
      <c r="AL957" s="880"/>
      <c r="AM957" s="880"/>
      <c r="AN957" s="880"/>
      <c r="AO957" s="880"/>
      <c r="AP957" s="880"/>
      <c r="AQ957" s="880"/>
      <c r="AR957" s="880"/>
      <c r="AS957" s="880"/>
      <c r="AT957" s="880"/>
      <c r="AU957" s="880"/>
      <c r="AV957" s="880"/>
      <c r="AW957" s="881"/>
      <c r="AX957" s="863"/>
      <c r="AY957" s="863"/>
      <c r="AZ957" s="863"/>
      <c r="BA957" s="863"/>
      <c r="BB957" s="863"/>
      <c r="BC957" s="863"/>
      <c r="BD957" s="863"/>
      <c r="BE957" s="863"/>
      <c r="BF957" s="863"/>
      <c r="BG957" s="863"/>
      <c r="BH957" s="863"/>
      <c r="BI957" s="863"/>
      <c r="BJ957" s="863"/>
      <c r="BK957" s="863"/>
      <c r="BL957" s="863"/>
      <c r="BM957" s="863"/>
      <c r="BN957" s="863"/>
      <c r="BO957" s="863"/>
      <c r="BP957" s="880"/>
      <c r="BQ957" s="863"/>
      <c r="BR957" s="883"/>
      <c r="BS957" s="883"/>
      <c r="BT957" s="883"/>
      <c r="BU957" s="883"/>
      <c r="BV957" s="883"/>
      <c r="BW957" s="883"/>
      <c r="BX957" s="883"/>
      <c r="BY957" s="883"/>
      <c r="BZ957" s="883"/>
      <c r="CA957" s="883"/>
      <c r="CB957" s="883"/>
      <c r="CC957" s="883"/>
      <c r="CD957" s="884"/>
      <c r="CE957" s="883"/>
      <c r="CF957" s="883"/>
      <c r="CG957" s="883"/>
      <c r="CH957" s="883"/>
      <c r="CI957" s="883"/>
      <c r="CJ957" s="883"/>
      <c r="CK957" s="883"/>
      <c r="CL957" s="883"/>
      <c r="CM957" s="883"/>
      <c r="CN957" s="883"/>
      <c r="CO957" s="883"/>
      <c r="CP957" s="883"/>
      <c r="CQ957" s="883"/>
      <c r="CR957" s="883"/>
      <c r="CS957" s="883"/>
      <c r="CT957" s="883"/>
      <c r="CU957" s="883"/>
      <c r="CV957" s="863"/>
      <c r="CW957" s="863"/>
      <c r="CX957" s="863"/>
      <c r="CY957" s="863"/>
      <c r="CZ957" s="863"/>
      <c r="DA957" s="863"/>
      <c r="DB957" s="863"/>
      <c r="DC957" s="863"/>
      <c r="DD957" s="863"/>
      <c r="DE957" s="863"/>
    </row>
    <row r="958">
      <c r="A958" s="876"/>
      <c r="B958" s="876"/>
      <c r="C958" s="876"/>
      <c r="D958" s="876"/>
      <c r="E958" s="876"/>
      <c r="F958" s="876"/>
      <c r="G958" s="876"/>
      <c r="H958" s="876"/>
      <c r="I958" s="876"/>
      <c r="J958" s="876"/>
      <c r="K958" s="876"/>
      <c r="L958" s="876"/>
      <c r="M958" s="876"/>
      <c r="N958" s="877"/>
      <c r="O958" s="876"/>
      <c r="P958" s="876"/>
      <c r="Q958" s="876"/>
      <c r="R958" s="876"/>
      <c r="S958" s="876"/>
      <c r="T958" s="876"/>
      <c r="U958" s="876"/>
      <c r="V958" s="876"/>
      <c r="W958" s="876"/>
      <c r="X958" s="876"/>
      <c r="Y958" s="876"/>
      <c r="Z958" s="876"/>
      <c r="AA958" s="876"/>
      <c r="AB958" s="876"/>
      <c r="AC958" s="876"/>
      <c r="AD958" s="876"/>
      <c r="AE958" s="876"/>
      <c r="AF958" s="876"/>
      <c r="AG958" s="876"/>
      <c r="AH958" s="876"/>
      <c r="AI958" s="878"/>
      <c r="AJ958" s="880"/>
      <c r="AK958" s="880"/>
      <c r="AL958" s="880"/>
      <c r="AM958" s="880"/>
      <c r="AN958" s="880"/>
      <c r="AO958" s="880"/>
      <c r="AP958" s="880"/>
      <c r="AQ958" s="880"/>
      <c r="AR958" s="880"/>
      <c r="AS958" s="880"/>
      <c r="AT958" s="880"/>
      <c r="AU958" s="880"/>
      <c r="AV958" s="880"/>
      <c r="AW958" s="881"/>
      <c r="AX958" s="863"/>
      <c r="AY958" s="863"/>
      <c r="AZ958" s="863"/>
      <c r="BA958" s="863"/>
      <c r="BB958" s="863"/>
      <c r="BC958" s="863"/>
      <c r="BD958" s="863"/>
      <c r="BE958" s="863"/>
      <c r="BF958" s="863"/>
      <c r="BG958" s="863"/>
      <c r="BH958" s="863"/>
      <c r="BI958" s="863"/>
      <c r="BJ958" s="863"/>
      <c r="BK958" s="863"/>
      <c r="BL958" s="863"/>
      <c r="BM958" s="863"/>
      <c r="BN958" s="863"/>
      <c r="BO958" s="863"/>
      <c r="BP958" s="880"/>
      <c r="BQ958" s="863"/>
      <c r="BR958" s="883"/>
      <c r="BS958" s="883"/>
      <c r="BT958" s="883"/>
      <c r="BU958" s="883"/>
      <c r="BV958" s="883"/>
      <c r="BW958" s="883"/>
      <c r="BX958" s="883"/>
      <c r="BY958" s="883"/>
      <c r="BZ958" s="883"/>
      <c r="CA958" s="883"/>
      <c r="CB958" s="883"/>
      <c r="CC958" s="883"/>
      <c r="CD958" s="884"/>
      <c r="CE958" s="883"/>
      <c r="CF958" s="883"/>
      <c r="CG958" s="883"/>
      <c r="CH958" s="883"/>
      <c r="CI958" s="883"/>
      <c r="CJ958" s="883"/>
      <c r="CK958" s="883"/>
      <c r="CL958" s="883"/>
      <c r="CM958" s="883"/>
      <c r="CN958" s="883"/>
      <c r="CO958" s="883"/>
      <c r="CP958" s="883"/>
      <c r="CQ958" s="883"/>
      <c r="CR958" s="883"/>
      <c r="CS958" s="883"/>
      <c r="CT958" s="883"/>
      <c r="CU958" s="883"/>
      <c r="CV958" s="863"/>
      <c r="CW958" s="863"/>
      <c r="CX958" s="863"/>
      <c r="CY958" s="863"/>
      <c r="CZ958" s="863"/>
      <c r="DA958" s="863"/>
      <c r="DB958" s="863"/>
      <c r="DC958" s="863"/>
      <c r="DD958" s="863"/>
      <c r="DE958" s="863"/>
    </row>
    <row r="959">
      <c r="A959" s="876"/>
      <c r="B959" s="876"/>
      <c r="C959" s="876"/>
      <c r="D959" s="876"/>
      <c r="E959" s="876"/>
      <c r="F959" s="876"/>
      <c r="G959" s="876"/>
      <c r="H959" s="876"/>
      <c r="I959" s="876"/>
      <c r="J959" s="876"/>
      <c r="K959" s="876"/>
      <c r="L959" s="876"/>
      <c r="M959" s="876"/>
      <c r="N959" s="877"/>
      <c r="O959" s="876"/>
      <c r="P959" s="876"/>
      <c r="Q959" s="876"/>
      <c r="R959" s="876"/>
      <c r="S959" s="876"/>
      <c r="T959" s="876"/>
      <c r="U959" s="876"/>
      <c r="V959" s="876"/>
      <c r="W959" s="876"/>
      <c r="X959" s="876"/>
      <c r="Y959" s="876"/>
      <c r="Z959" s="876"/>
      <c r="AA959" s="876"/>
      <c r="AB959" s="876"/>
      <c r="AC959" s="876"/>
      <c r="AD959" s="876"/>
      <c r="AE959" s="876"/>
      <c r="AF959" s="876"/>
      <c r="AG959" s="876"/>
      <c r="AH959" s="876"/>
      <c r="AI959" s="878"/>
      <c r="AJ959" s="880"/>
      <c r="AK959" s="880"/>
      <c r="AL959" s="880"/>
      <c r="AM959" s="880"/>
      <c r="AN959" s="880"/>
      <c r="AO959" s="880"/>
      <c r="AP959" s="880"/>
      <c r="AQ959" s="880"/>
      <c r="AR959" s="880"/>
      <c r="AS959" s="880"/>
      <c r="AT959" s="880"/>
      <c r="AU959" s="880"/>
      <c r="AV959" s="880"/>
      <c r="AW959" s="881"/>
      <c r="AX959" s="863"/>
      <c r="AY959" s="863"/>
      <c r="AZ959" s="863"/>
      <c r="BA959" s="863"/>
      <c r="BB959" s="863"/>
      <c r="BC959" s="863"/>
      <c r="BD959" s="863"/>
      <c r="BE959" s="863"/>
      <c r="BF959" s="863"/>
      <c r="BG959" s="863"/>
      <c r="BH959" s="863"/>
      <c r="BI959" s="863"/>
      <c r="BJ959" s="863"/>
      <c r="BK959" s="863"/>
      <c r="BL959" s="863"/>
      <c r="BM959" s="863"/>
      <c r="BN959" s="863"/>
      <c r="BO959" s="863"/>
      <c r="BP959" s="880"/>
      <c r="BQ959" s="863"/>
      <c r="BR959" s="883"/>
      <c r="BS959" s="883"/>
      <c r="BT959" s="883"/>
      <c r="BU959" s="883"/>
      <c r="BV959" s="883"/>
      <c r="BW959" s="883"/>
      <c r="BX959" s="883"/>
      <c r="BY959" s="883"/>
      <c r="BZ959" s="883"/>
      <c r="CA959" s="883"/>
      <c r="CB959" s="883"/>
      <c r="CC959" s="883"/>
      <c r="CD959" s="884"/>
      <c r="CE959" s="883"/>
      <c r="CF959" s="883"/>
      <c r="CG959" s="883"/>
      <c r="CH959" s="883"/>
      <c r="CI959" s="883"/>
      <c r="CJ959" s="883"/>
      <c r="CK959" s="883"/>
      <c r="CL959" s="883"/>
      <c r="CM959" s="883"/>
      <c r="CN959" s="883"/>
      <c r="CO959" s="883"/>
      <c r="CP959" s="883"/>
      <c r="CQ959" s="883"/>
      <c r="CR959" s="883"/>
      <c r="CS959" s="883"/>
      <c r="CT959" s="883"/>
      <c r="CU959" s="883"/>
      <c r="CV959" s="863"/>
      <c r="CW959" s="863"/>
      <c r="CX959" s="863"/>
      <c r="CY959" s="863"/>
      <c r="CZ959" s="863"/>
      <c r="DA959" s="863"/>
      <c r="DB959" s="863"/>
      <c r="DC959" s="863"/>
      <c r="DD959" s="863"/>
      <c r="DE959" s="863"/>
    </row>
    <row r="960">
      <c r="A960" s="876"/>
      <c r="B960" s="876"/>
      <c r="C960" s="876"/>
      <c r="D960" s="876"/>
      <c r="E960" s="876"/>
      <c r="F960" s="876"/>
      <c r="G960" s="876"/>
      <c r="H960" s="876"/>
      <c r="I960" s="876"/>
      <c r="J960" s="876"/>
      <c r="K960" s="876"/>
      <c r="L960" s="876"/>
      <c r="M960" s="876"/>
      <c r="N960" s="877"/>
      <c r="O960" s="876"/>
      <c r="P960" s="876"/>
      <c r="Q960" s="876"/>
      <c r="R960" s="876"/>
      <c r="S960" s="876"/>
      <c r="T960" s="876"/>
      <c r="U960" s="876"/>
      <c r="V960" s="876"/>
      <c r="W960" s="876"/>
      <c r="X960" s="876"/>
      <c r="Y960" s="876"/>
      <c r="Z960" s="876"/>
      <c r="AA960" s="876"/>
      <c r="AB960" s="876"/>
      <c r="AC960" s="876"/>
      <c r="AD960" s="876"/>
      <c r="AE960" s="876"/>
      <c r="AF960" s="876"/>
      <c r="AG960" s="876"/>
      <c r="AH960" s="876"/>
      <c r="AI960" s="878"/>
      <c r="AJ960" s="880"/>
      <c r="AK960" s="880"/>
      <c r="AL960" s="880"/>
      <c r="AM960" s="880"/>
      <c r="AN960" s="880"/>
      <c r="AO960" s="880"/>
      <c r="AP960" s="880"/>
      <c r="AQ960" s="880"/>
      <c r="AR960" s="880"/>
      <c r="AS960" s="880"/>
      <c r="AT960" s="880"/>
      <c r="AU960" s="880"/>
      <c r="AV960" s="880"/>
      <c r="AW960" s="881"/>
      <c r="AX960" s="863"/>
      <c r="AY960" s="863"/>
      <c r="AZ960" s="863"/>
      <c r="BA960" s="863"/>
      <c r="BB960" s="863"/>
      <c r="BC960" s="863"/>
      <c r="BD960" s="863"/>
      <c r="BE960" s="863"/>
      <c r="BF960" s="863"/>
      <c r="BG960" s="863"/>
      <c r="BH960" s="863"/>
      <c r="BI960" s="863"/>
      <c r="BJ960" s="863"/>
      <c r="BK960" s="863"/>
      <c r="BL960" s="863"/>
      <c r="BM960" s="863"/>
      <c r="BN960" s="863"/>
      <c r="BO960" s="863"/>
      <c r="BP960" s="880"/>
      <c r="BQ960" s="863"/>
      <c r="BR960" s="883"/>
      <c r="BS960" s="883"/>
      <c r="BT960" s="883"/>
      <c r="BU960" s="883"/>
      <c r="BV960" s="883"/>
      <c r="BW960" s="883"/>
      <c r="BX960" s="883"/>
      <c r="BY960" s="883"/>
      <c r="BZ960" s="883"/>
      <c r="CA960" s="883"/>
      <c r="CB960" s="883"/>
      <c r="CC960" s="883"/>
      <c r="CD960" s="884"/>
      <c r="CE960" s="883"/>
      <c r="CF960" s="883"/>
      <c r="CG960" s="883"/>
      <c r="CH960" s="883"/>
      <c r="CI960" s="883"/>
      <c r="CJ960" s="883"/>
      <c r="CK960" s="883"/>
      <c r="CL960" s="883"/>
      <c r="CM960" s="883"/>
      <c r="CN960" s="883"/>
      <c r="CO960" s="883"/>
      <c r="CP960" s="883"/>
      <c r="CQ960" s="883"/>
      <c r="CR960" s="883"/>
      <c r="CS960" s="883"/>
      <c r="CT960" s="883"/>
      <c r="CU960" s="883"/>
      <c r="CV960" s="863"/>
      <c r="CW960" s="863"/>
      <c r="CX960" s="863"/>
      <c r="CY960" s="863"/>
      <c r="CZ960" s="863"/>
      <c r="DA960" s="863"/>
      <c r="DB960" s="863"/>
      <c r="DC960" s="863"/>
      <c r="DD960" s="863"/>
      <c r="DE960" s="863"/>
    </row>
    <row r="961">
      <c r="A961" s="876"/>
      <c r="B961" s="876"/>
      <c r="C961" s="876"/>
      <c r="D961" s="876"/>
      <c r="E961" s="876"/>
      <c r="F961" s="876"/>
      <c r="G961" s="876"/>
      <c r="H961" s="876"/>
      <c r="I961" s="876"/>
      <c r="J961" s="876"/>
      <c r="K961" s="876"/>
      <c r="L961" s="876"/>
      <c r="M961" s="876"/>
      <c r="N961" s="877"/>
      <c r="O961" s="876"/>
      <c r="P961" s="876"/>
      <c r="Q961" s="876"/>
      <c r="R961" s="876"/>
      <c r="S961" s="876"/>
      <c r="T961" s="876"/>
      <c r="U961" s="876"/>
      <c r="V961" s="876"/>
      <c r="W961" s="876"/>
      <c r="X961" s="876"/>
      <c r="Y961" s="876"/>
      <c r="Z961" s="876"/>
      <c r="AA961" s="876"/>
      <c r="AB961" s="876"/>
      <c r="AC961" s="876"/>
      <c r="AD961" s="876"/>
      <c r="AE961" s="876"/>
      <c r="AF961" s="876"/>
      <c r="AG961" s="876"/>
      <c r="AH961" s="876"/>
      <c r="AI961" s="878"/>
      <c r="AJ961" s="880"/>
      <c r="AK961" s="880"/>
      <c r="AL961" s="880"/>
      <c r="AM961" s="880"/>
      <c r="AN961" s="880"/>
      <c r="AO961" s="880"/>
      <c r="AP961" s="880"/>
      <c r="AQ961" s="880"/>
      <c r="AR961" s="880"/>
      <c r="AS961" s="880"/>
      <c r="AT961" s="880"/>
      <c r="AU961" s="880"/>
      <c r="AV961" s="880"/>
      <c r="AW961" s="881"/>
      <c r="AX961" s="863"/>
      <c r="AY961" s="863"/>
      <c r="AZ961" s="863"/>
      <c r="BA961" s="863"/>
      <c r="BB961" s="863"/>
      <c r="BC961" s="863"/>
      <c r="BD961" s="863"/>
      <c r="BE961" s="863"/>
      <c r="BF961" s="863"/>
      <c r="BG961" s="863"/>
      <c r="BH961" s="863"/>
      <c r="BI961" s="863"/>
      <c r="BJ961" s="863"/>
      <c r="BK961" s="863"/>
      <c r="BL961" s="863"/>
      <c r="BM961" s="863"/>
      <c r="BN961" s="863"/>
      <c r="BO961" s="863"/>
      <c r="BP961" s="880"/>
      <c r="BQ961" s="863"/>
      <c r="BR961" s="883"/>
      <c r="BS961" s="883"/>
      <c r="BT961" s="883"/>
      <c r="BU961" s="883"/>
      <c r="BV961" s="883"/>
      <c r="BW961" s="883"/>
      <c r="BX961" s="883"/>
      <c r="BY961" s="883"/>
      <c r="BZ961" s="883"/>
      <c r="CA961" s="883"/>
      <c r="CB961" s="883"/>
      <c r="CC961" s="883"/>
      <c r="CD961" s="884"/>
      <c r="CE961" s="883"/>
      <c r="CF961" s="883"/>
      <c r="CG961" s="883"/>
      <c r="CH961" s="883"/>
      <c r="CI961" s="883"/>
      <c r="CJ961" s="883"/>
      <c r="CK961" s="883"/>
      <c r="CL961" s="883"/>
      <c r="CM961" s="883"/>
      <c r="CN961" s="883"/>
      <c r="CO961" s="883"/>
      <c r="CP961" s="883"/>
      <c r="CQ961" s="883"/>
      <c r="CR961" s="883"/>
      <c r="CS961" s="883"/>
      <c r="CT961" s="883"/>
      <c r="CU961" s="883"/>
      <c r="CV961" s="863"/>
      <c r="CW961" s="863"/>
      <c r="CX961" s="863"/>
      <c r="CY961" s="863"/>
      <c r="CZ961" s="863"/>
      <c r="DA961" s="863"/>
      <c r="DB961" s="863"/>
      <c r="DC961" s="863"/>
      <c r="DD961" s="863"/>
      <c r="DE961" s="863"/>
    </row>
    <row r="962">
      <c r="A962" s="876"/>
      <c r="B962" s="876"/>
      <c r="C962" s="876"/>
      <c r="D962" s="876"/>
      <c r="E962" s="876"/>
      <c r="F962" s="876"/>
      <c r="G962" s="876"/>
      <c r="H962" s="876"/>
      <c r="I962" s="876"/>
      <c r="J962" s="876"/>
      <c r="K962" s="876"/>
      <c r="L962" s="876"/>
      <c r="M962" s="876"/>
      <c r="N962" s="877"/>
      <c r="O962" s="876"/>
      <c r="P962" s="876"/>
      <c r="Q962" s="876"/>
      <c r="R962" s="876"/>
      <c r="S962" s="876"/>
      <c r="T962" s="876"/>
      <c r="U962" s="876"/>
      <c r="V962" s="876"/>
      <c r="W962" s="876"/>
      <c r="X962" s="876"/>
      <c r="Y962" s="876"/>
      <c r="Z962" s="876"/>
      <c r="AA962" s="876"/>
      <c r="AB962" s="876"/>
      <c r="AC962" s="876"/>
      <c r="AD962" s="876"/>
      <c r="AE962" s="876"/>
      <c r="AF962" s="876"/>
      <c r="AG962" s="876"/>
      <c r="AH962" s="876"/>
      <c r="AI962" s="878"/>
      <c r="AJ962" s="880"/>
      <c r="AK962" s="880"/>
      <c r="AL962" s="880"/>
      <c r="AM962" s="880"/>
      <c r="AN962" s="880"/>
      <c r="AO962" s="880"/>
      <c r="AP962" s="880"/>
      <c r="AQ962" s="880"/>
      <c r="AR962" s="880"/>
      <c r="AS962" s="880"/>
      <c r="AT962" s="880"/>
      <c r="AU962" s="880"/>
      <c r="AV962" s="880"/>
      <c r="AW962" s="881"/>
      <c r="AX962" s="863"/>
      <c r="AY962" s="863"/>
      <c r="AZ962" s="863"/>
      <c r="BA962" s="863"/>
      <c r="BB962" s="863"/>
      <c r="BC962" s="863"/>
      <c r="BD962" s="863"/>
      <c r="BE962" s="863"/>
      <c r="BF962" s="863"/>
      <c r="BG962" s="863"/>
      <c r="BH962" s="863"/>
      <c r="BI962" s="863"/>
      <c r="BJ962" s="863"/>
      <c r="BK962" s="863"/>
      <c r="BL962" s="863"/>
      <c r="BM962" s="863"/>
      <c r="BN962" s="863"/>
      <c r="BO962" s="863"/>
      <c r="BP962" s="880"/>
      <c r="BQ962" s="863"/>
      <c r="BR962" s="883"/>
      <c r="BS962" s="883"/>
      <c r="BT962" s="883"/>
      <c r="BU962" s="883"/>
      <c r="BV962" s="883"/>
      <c r="BW962" s="883"/>
      <c r="BX962" s="883"/>
      <c r="BY962" s="883"/>
      <c r="BZ962" s="883"/>
      <c r="CA962" s="883"/>
      <c r="CB962" s="883"/>
      <c r="CC962" s="883"/>
      <c r="CD962" s="884"/>
      <c r="CE962" s="883"/>
      <c r="CF962" s="883"/>
      <c r="CG962" s="883"/>
      <c r="CH962" s="883"/>
      <c r="CI962" s="883"/>
      <c r="CJ962" s="883"/>
      <c r="CK962" s="883"/>
      <c r="CL962" s="883"/>
      <c r="CM962" s="883"/>
      <c r="CN962" s="883"/>
      <c r="CO962" s="883"/>
      <c r="CP962" s="883"/>
      <c r="CQ962" s="883"/>
      <c r="CR962" s="883"/>
      <c r="CS962" s="883"/>
      <c r="CT962" s="883"/>
      <c r="CU962" s="883"/>
      <c r="CV962" s="863"/>
      <c r="CW962" s="863"/>
      <c r="CX962" s="863"/>
      <c r="CY962" s="863"/>
      <c r="CZ962" s="863"/>
      <c r="DA962" s="863"/>
      <c r="DB962" s="863"/>
      <c r="DC962" s="863"/>
      <c r="DD962" s="863"/>
      <c r="DE962" s="863"/>
    </row>
    <row r="963">
      <c r="A963" s="876"/>
      <c r="B963" s="876"/>
      <c r="C963" s="876"/>
      <c r="D963" s="876"/>
      <c r="E963" s="876"/>
      <c r="F963" s="876"/>
      <c r="G963" s="876"/>
      <c r="H963" s="876"/>
      <c r="I963" s="876"/>
      <c r="J963" s="876"/>
      <c r="K963" s="876"/>
      <c r="L963" s="876"/>
      <c r="M963" s="876"/>
      <c r="N963" s="877"/>
      <c r="O963" s="876"/>
      <c r="P963" s="876"/>
      <c r="Q963" s="876"/>
      <c r="R963" s="876"/>
      <c r="S963" s="876"/>
      <c r="T963" s="876"/>
      <c r="U963" s="876"/>
      <c r="V963" s="876"/>
      <c r="W963" s="876"/>
      <c r="X963" s="876"/>
      <c r="Y963" s="876"/>
      <c r="Z963" s="876"/>
      <c r="AA963" s="876"/>
      <c r="AB963" s="876"/>
      <c r="AC963" s="876"/>
      <c r="AD963" s="876"/>
      <c r="AE963" s="876"/>
      <c r="AF963" s="876"/>
      <c r="AG963" s="876"/>
      <c r="AH963" s="876"/>
      <c r="AI963" s="878"/>
      <c r="AJ963" s="880"/>
      <c r="AK963" s="880"/>
      <c r="AL963" s="880"/>
      <c r="AM963" s="880"/>
      <c r="AN963" s="880"/>
      <c r="AO963" s="880"/>
      <c r="AP963" s="880"/>
      <c r="AQ963" s="880"/>
      <c r="AR963" s="880"/>
      <c r="AS963" s="880"/>
      <c r="AT963" s="880"/>
      <c r="AU963" s="880"/>
      <c r="AV963" s="880"/>
      <c r="AW963" s="881"/>
      <c r="AX963" s="863"/>
      <c r="AY963" s="863"/>
      <c r="AZ963" s="863"/>
      <c r="BA963" s="863"/>
      <c r="BB963" s="863"/>
      <c r="BC963" s="863"/>
      <c r="BD963" s="863"/>
      <c r="BE963" s="863"/>
      <c r="BF963" s="863"/>
      <c r="BG963" s="863"/>
      <c r="BH963" s="863"/>
      <c r="BI963" s="863"/>
      <c r="BJ963" s="863"/>
      <c r="BK963" s="863"/>
      <c r="BL963" s="863"/>
      <c r="BM963" s="863"/>
      <c r="BN963" s="863"/>
      <c r="BO963" s="863"/>
      <c r="BP963" s="880"/>
      <c r="BQ963" s="863"/>
      <c r="BR963" s="883"/>
      <c r="BS963" s="883"/>
      <c r="BT963" s="883"/>
      <c r="BU963" s="883"/>
      <c r="BV963" s="883"/>
      <c r="BW963" s="883"/>
      <c r="BX963" s="883"/>
      <c r="BY963" s="883"/>
      <c r="BZ963" s="883"/>
      <c r="CA963" s="883"/>
      <c r="CB963" s="883"/>
      <c r="CC963" s="883"/>
      <c r="CD963" s="884"/>
      <c r="CE963" s="883"/>
      <c r="CF963" s="883"/>
      <c r="CG963" s="883"/>
      <c r="CH963" s="883"/>
      <c r="CI963" s="883"/>
      <c r="CJ963" s="883"/>
      <c r="CK963" s="883"/>
      <c r="CL963" s="883"/>
      <c r="CM963" s="883"/>
      <c r="CN963" s="883"/>
      <c r="CO963" s="883"/>
      <c r="CP963" s="883"/>
      <c r="CQ963" s="883"/>
      <c r="CR963" s="883"/>
      <c r="CS963" s="883"/>
      <c r="CT963" s="883"/>
      <c r="CU963" s="883"/>
      <c r="CV963" s="863"/>
      <c r="CW963" s="863"/>
      <c r="CX963" s="863"/>
      <c r="CY963" s="863"/>
      <c r="CZ963" s="863"/>
      <c r="DA963" s="863"/>
      <c r="DB963" s="863"/>
      <c r="DC963" s="863"/>
      <c r="DD963" s="863"/>
      <c r="DE963" s="863"/>
    </row>
    <row r="964">
      <c r="A964" s="876"/>
      <c r="B964" s="876"/>
      <c r="C964" s="876"/>
      <c r="D964" s="876"/>
      <c r="E964" s="876"/>
      <c r="F964" s="876"/>
      <c r="G964" s="876"/>
      <c r="H964" s="876"/>
      <c r="I964" s="876"/>
      <c r="J964" s="876"/>
      <c r="K964" s="876"/>
      <c r="L964" s="876"/>
      <c r="M964" s="876"/>
      <c r="N964" s="877"/>
      <c r="O964" s="876"/>
      <c r="P964" s="876"/>
      <c r="Q964" s="876"/>
      <c r="R964" s="876"/>
      <c r="S964" s="876"/>
      <c r="T964" s="876"/>
      <c r="U964" s="876"/>
      <c r="V964" s="876"/>
      <c r="W964" s="876"/>
      <c r="X964" s="876"/>
      <c r="Y964" s="876"/>
      <c r="Z964" s="876"/>
      <c r="AA964" s="876"/>
      <c r="AB964" s="876"/>
      <c r="AC964" s="876"/>
      <c r="AD964" s="876"/>
      <c r="AE964" s="876"/>
      <c r="AF964" s="876"/>
      <c r="AG964" s="876"/>
      <c r="AH964" s="876"/>
      <c r="AI964" s="878"/>
      <c r="AJ964" s="880"/>
      <c r="AK964" s="880"/>
      <c r="AL964" s="880"/>
      <c r="AM964" s="880"/>
      <c r="AN964" s="880"/>
      <c r="AO964" s="880"/>
      <c r="AP964" s="880"/>
      <c r="AQ964" s="880"/>
      <c r="AR964" s="880"/>
      <c r="AS964" s="880"/>
      <c r="AT964" s="880"/>
      <c r="AU964" s="880"/>
      <c r="AV964" s="880"/>
      <c r="AW964" s="881"/>
      <c r="AX964" s="863"/>
      <c r="AY964" s="863"/>
      <c r="AZ964" s="863"/>
      <c r="BA964" s="863"/>
      <c r="BB964" s="863"/>
      <c r="BC964" s="863"/>
      <c r="BD964" s="863"/>
      <c r="BE964" s="863"/>
      <c r="BF964" s="863"/>
      <c r="BG964" s="863"/>
      <c r="BH964" s="863"/>
      <c r="BI964" s="863"/>
      <c r="BJ964" s="863"/>
      <c r="BK964" s="863"/>
      <c r="BL964" s="863"/>
      <c r="BM964" s="863"/>
      <c r="BN964" s="863"/>
      <c r="BO964" s="863"/>
      <c r="BP964" s="880"/>
      <c r="BQ964" s="863"/>
      <c r="BR964" s="883"/>
      <c r="BS964" s="883"/>
      <c r="BT964" s="883"/>
      <c r="BU964" s="883"/>
      <c r="BV964" s="883"/>
      <c r="BW964" s="883"/>
      <c r="BX964" s="883"/>
      <c r="BY964" s="883"/>
      <c r="BZ964" s="883"/>
      <c r="CA964" s="883"/>
      <c r="CB964" s="883"/>
      <c r="CC964" s="883"/>
      <c r="CD964" s="884"/>
      <c r="CE964" s="883"/>
      <c r="CF964" s="883"/>
      <c r="CG964" s="883"/>
      <c r="CH964" s="883"/>
      <c r="CI964" s="883"/>
      <c r="CJ964" s="883"/>
      <c r="CK964" s="883"/>
      <c r="CL964" s="883"/>
      <c r="CM964" s="883"/>
      <c r="CN964" s="883"/>
      <c r="CO964" s="883"/>
      <c r="CP964" s="883"/>
      <c r="CQ964" s="883"/>
      <c r="CR964" s="883"/>
      <c r="CS964" s="883"/>
      <c r="CT964" s="883"/>
      <c r="CU964" s="883"/>
      <c r="CV964" s="863"/>
      <c r="CW964" s="863"/>
      <c r="CX964" s="863"/>
      <c r="CY964" s="863"/>
      <c r="CZ964" s="863"/>
      <c r="DA964" s="863"/>
      <c r="DB964" s="863"/>
      <c r="DC964" s="863"/>
      <c r="DD964" s="863"/>
      <c r="DE964" s="863"/>
    </row>
    <row r="965">
      <c r="A965" s="876"/>
      <c r="B965" s="876"/>
      <c r="C965" s="876"/>
      <c r="D965" s="876"/>
      <c r="E965" s="876"/>
      <c r="F965" s="876"/>
      <c r="G965" s="876"/>
      <c r="H965" s="876"/>
      <c r="I965" s="876"/>
      <c r="J965" s="876"/>
      <c r="K965" s="876"/>
      <c r="L965" s="876"/>
      <c r="M965" s="876"/>
      <c r="N965" s="877"/>
      <c r="O965" s="876"/>
      <c r="P965" s="876"/>
      <c r="Q965" s="876"/>
      <c r="R965" s="876"/>
      <c r="S965" s="876"/>
      <c r="T965" s="876"/>
      <c r="U965" s="876"/>
      <c r="V965" s="876"/>
      <c r="W965" s="876"/>
      <c r="X965" s="876"/>
      <c r="Y965" s="876"/>
      <c r="Z965" s="876"/>
      <c r="AA965" s="876"/>
      <c r="AB965" s="876"/>
      <c r="AC965" s="876"/>
      <c r="AD965" s="876"/>
      <c r="AE965" s="876"/>
      <c r="AF965" s="876"/>
      <c r="AG965" s="876"/>
      <c r="AH965" s="876"/>
      <c r="AI965" s="878"/>
      <c r="AJ965" s="880"/>
      <c r="AK965" s="880"/>
      <c r="AL965" s="880"/>
      <c r="AM965" s="880"/>
      <c r="AN965" s="880"/>
      <c r="AO965" s="880"/>
      <c r="AP965" s="880"/>
      <c r="AQ965" s="880"/>
      <c r="AR965" s="880"/>
      <c r="AS965" s="880"/>
      <c r="AT965" s="880"/>
      <c r="AU965" s="880"/>
      <c r="AV965" s="880"/>
      <c r="AW965" s="881"/>
      <c r="AX965" s="863"/>
      <c r="AY965" s="863"/>
      <c r="AZ965" s="863"/>
      <c r="BA965" s="863"/>
      <c r="BB965" s="863"/>
      <c r="BC965" s="863"/>
      <c r="BD965" s="863"/>
      <c r="BE965" s="863"/>
      <c r="BF965" s="863"/>
      <c r="BG965" s="863"/>
      <c r="BH965" s="863"/>
      <c r="BI965" s="863"/>
      <c r="BJ965" s="863"/>
      <c r="BK965" s="863"/>
      <c r="BL965" s="863"/>
      <c r="BM965" s="863"/>
      <c r="BN965" s="863"/>
      <c r="BO965" s="863"/>
      <c r="BP965" s="880"/>
      <c r="BQ965" s="863"/>
      <c r="BR965" s="883"/>
      <c r="BS965" s="883"/>
      <c r="BT965" s="883"/>
      <c r="BU965" s="883"/>
      <c r="BV965" s="883"/>
      <c r="BW965" s="883"/>
      <c r="BX965" s="883"/>
      <c r="BY965" s="883"/>
      <c r="BZ965" s="883"/>
      <c r="CA965" s="883"/>
      <c r="CB965" s="883"/>
      <c r="CC965" s="883"/>
      <c r="CD965" s="884"/>
      <c r="CE965" s="883"/>
      <c r="CF965" s="883"/>
      <c r="CG965" s="883"/>
      <c r="CH965" s="883"/>
      <c r="CI965" s="883"/>
      <c r="CJ965" s="883"/>
      <c r="CK965" s="883"/>
      <c r="CL965" s="883"/>
      <c r="CM965" s="883"/>
      <c r="CN965" s="883"/>
      <c r="CO965" s="883"/>
      <c r="CP965" s="883"/>
      <c r="CQ965" s="883"/>
      <c r="CR965" s="883"/>
      <c r="CS965" s="883"/>
      <c r="CT965" s="883"/>
      <c r="CU965" s="883"/>
      <c r="CV965" s="863"/>
      <c r="CW965" s="863"/>
      <c r="CX965" s="863"/>
      <c r="CY965" s="863"/>
      <c r="CZ965" s="863"/>
      <c r="DA965" s="863"/>
      <c r="DB965" s="863"/>
      <c r="DC965" s="863"/>
      <c r="DD965" s="863"/>
      <c r="DE965" s="863"/>
    </row>
    <row r="966">
      <c r="A966" s="876"/>
      <c r="B966" s="876"/>
      <c r="C966" s="876"/>
      <c r="D966" s="876"/>
      <c r="E966" s="876"/>
      <c r="F966" s="876"/>
      <c r="G966" s="876"/>
      <c r="H966" s="876"/>
      <c r="I966" s="876"/>
      <c r="J966" s="876"/>
      <c r="K966" s="876"/>
      <c r="L966" s="876"/>
      <c r="M966" s="876"/>
      <c r="N966" s="877"/>
      <c r="O966" s="876"/>
      <c r="P966" s="876"/>
      <c r="Q966" s="876"/>
      <c r="R966" s="876"/>
      <c r="S966" s="876"/>
      <c r="T966" s="876"/>
      <c r="U966" s="876"/>
      <c r="V966" s="876"/>
      <c r="W966" s="876"/>
      <c r="X966" s="876"/>
      <c r="Y966" s="876"/>
      <c r="Z966" s="876"/>
      <c r="AA966" s="876"/>
      <c r="AB966" s="876"/>
      <c r="AC966" s="876"/>
      <c r="AD966" s="876"/>
      <c r="AE966" s="876"/>
      <c r="AF966" s="876"/>
      <c r="AG966" s="876"/>
      <c r="AH966" s="876"/>
      <c r="AI966" s="878"/>
      <c r="AJ966" s="880"/>
      <c r="AK966" s="880"/>
      <c r="AL966" s="880"/>
      <c r="AM966" s="880"/>
      <c r="AN966" s="880"/>
      <c r="AO966" s="880"/>
      <c r="AP966" s="880"/>
      <c r="AQ966" s="880"/>
      <c r="AR966" s="880"/>
      <c r="AS966" s="880"/>
      <c r="AT966" s="880"/>
      <c r="AU966" s="880"/>
      <c r="AV966" s="880"/>
      <c r="AW966" s="881"/>
      <c r="AX966" s="863"/>
      <c r="AY966" s="863"/>
      <c r="AZ966" s="863"/>
      <c r="BA966" s="863"/>
      <c r="BB966" s="863"/>
      <c r="BC966" s="863"/>
      <c r="BD966" s="863"/>
      <c r="BE966" s="863"/>
      <c r="BF966" s="863"/>
      <c r="BG966" s="863"/>
      <c r="BH966" s="863"/>
      <c r="BI966" s="863"/>
      <c r="BJ966" s="863"/>
      <c r="BK966" s="863"/>
      <c r="BL966" s="863"/>
      <c r="BM966" s="863"/>
      <c r="BN966" s="863"/>
      <c r="BO966" s="863"/>
      <c r="BP966" s="880"/>
      <c r="BQ966" s="863"/>
      <c r="BR966" s="883"/>
      <c r="BS966" s="883"/>
      <c r="BT966" s="883"/>
      <c r="BU966" s="883"/>
      <c r="BV966" s="883"/>
      <c r="BW966" s="883"/>
      <c r="BX966" s="883"/>
      <c r="BY966" s="883"/>
      <c r="BZ966" s="883"/>
      <c r="CA966" s="883"/>
      <c r="CB966" s="883"/>
      <c r="CC966" s="883"/>
      <c r="CD966" s="884"/>
      <c r="CE966" s="883"/>
      <c r="CF966" s="883"/>
      <c r="CG966" s="883"/>
      <c r="CH966" s="883"/>
      <c r="CI966" s="883"/>
      <c r="CJ966" s="883"/>
      <c r="CK966" s="883"/>
      <c r="CL966" s="883"/>
      <c r="CM966" s="883"/>
      <c r="CN966" s="883"/>
      <c r="CO966" s="883"/>
      <c r="CP966" s="883"/>
      <c r="CQ966" s="883"/>
      <c r="CR966" s="883"/>
      <c r="CS966" s="883"/>
      <c r="CT966" s="883"/>
      <c r="CU966" s="883"/>
      <c r="CV966" s="863"/>
      <c r="CW966" s="863"/>
      <c r="CX966" s="863"/>
      <c r="CY966" s="863"/>
      <c r="CZ966" s="863"/>
      <c r="DA966" s="863"/>
      <c r="DB966" s="863"/>
      <c r="DC966" s="863"/>
      <c r="DD966" s="863"/>
      <c r="DE966" s="863"/>
    </row>
    <row r="967">
      <c r="A967" s="876"/>
      <c r="B967" s="876"/>
      <c r="C967" s="876"/>
      <c r="D967" s="876"/>
      <c r="E967" s="876"/>
      <c r="F967" s="876"/>
      <c r="G967" s="876"/>
      <c r="H967" s="876"/>
      <c r="I967" s="876"/>
      <c r="J967" s="876"/>
      <c r="K967" s="876"/>
      <c r="L967" s="876"/>
      <c r="M967" s="876"/>
      <c r="N967" s="877"/>
      <c r="O967" s="876"/>
      <c r="P967" s="876"/>
      <c r="Q967" s="876"/>
      <c r="R967" s="876"/>
      <c r="S967" s="876"/>
      <c r="T967" s="876"/>
      <c r="U967" s="876"/>
      <c r="V967" s="876"/>
      <c r="W967" s="876"/>
      <c r="X967" s="876"/>
      <c r="Y967" s="876"/>
      <c r="Z967" s="876"/>
      <c r="AA967" s="876"/>
      <c r="AB967" s="876"/>
      <c r="AC967" s="876"/>
      <c r="AD967" s="876"/>
      <c r="AE967" s="876"/>
      <c r="AF967" s="876"/>
      <c r="AG967" s="876"/>
      <c r="AH967" s="876"/>
      <c r="AI967" s="878"/>
      <c r="AJ967" s="880"/>
      <c r="AK967" s="880"/>
      <c r="AL967" s="880"/>
      <c r="AM967" s="880"/>
      <c r="AN967" s="880"/>
      <c r="AO967" s="880"/>
      <c r="AP967" s="880"/>
      <c r="AQ967" s="880"/>
      <c r="AR967" s="880"/>
      <c r="AS967" s="880"/>
      <c r="AT967" s="880"/>
      <c r="AU967" s="880"/>
      <c r="AV967" s="880"/>
      <c r="AW967" s="881"/>
      <c r="AX967" s="863"/>
      <c r="AY967" s="863"/>
      <c r="AZ967" s="863"/>
      <c r="BA967" s="863"/>
      <c r="BB967" s="863"/>
      <c r="BC967" s="863"/>
      <c r="BD967" s="863"/>
      <c r="BE967" s="863"/>
      <c r="BF967" s="863"/>
      <c r="BG967" s="863"/>
      <c r="BH967" s="863"/>
      <c r="BI967" s="863"/>
      <c r="BJ967" s="863"/>
      <c r="BK967" s="863"/>
      <c r="BL967" s="863"/>
      <c r="BM967" s="863"/>
      <c r="BN967" s="863"/>
      <c r="BO967" s="863"/>
      <c r="BP967" s="880"/>
      <c r="BQ967" s="863"/>
      <c r="BR967" s="883"/>
      <c r="BS967" s="883"/>
      <c r="BT967" s="883"/>
      <c r="BU967" s="883"/>
      <c r="BV967" s="883"/>
      <c r="BW967" s="883"/>
      <c r="BX967" s="883"/>
      <c r="BY967" s="883"/>
      <c r="BZ967" s="883"/>
      <c r="CA967" s="883"/>
      <c r="CB967" s="883"/>
      <c r="CC967" s="883"/>
      <c r="CD967" s="884"/>
      <c r="CE967" s="883"/>
      <c r="CF967" s="883"/>
      <c r="CG967" s="883"/>
      <c r="CH967" s="883"/>
      <c r="CI967" s="883"/>
      <c r="CJ967" s="883"/>
      <c r="CK967" s="883"/>
      <c r="CL967" s="883"/>
      <c r="CM967" s="883"/>
      <c r="CN967" s="883"/>
      <c r="CO967" s="883"/>
      <c r="CP967" s="883"/>
      <c r="CQ967" s="883"/>
      <c r="CR967" s="883"/>
      <c r="CS967" s="883"/>
      <c r="CT967" s="883"/>
      <c r="CU967" s="883"/>
      <c r="CV967" s="863"/>
      <c r="CW967" s="863"/>
      <c r="CX967" s="863"/>
      <c r="CY967" s="863"/>
      <c r="CZ967" s="863"/>
      <c r="DA967" s="863"/>
      <c r="DB967" s="863"/>
      <c r="DC967" s="863"/>
      <c r="DD967" s="863"/>
      <c r="DE967" s="863"/>
    </row>
    <row r="968">
      <c r="A968" s="876"/>
      <c r="B968" s="876"/>
      <c r="C968" s="876"/>
      <c r="D968" s="876"/>
      <c r="E968" s="876"/>
      <c r="F968" s="876"/>
      <c r="G968" s="876"/>
      <c r="H968" s="876"/>
      <c r="I968" s="876"/>
      <c r="J968" s="876"/>
      <c r="K968" s="876"/>
      <c r="L968" s="876"/>
      <c r="M968" s="876"/>
      <c r="N968" s="877"/>
      <c r="O968" s="876"/>
      <c r="P968" s="876"/>
      <c r="Q968" s="876"/>
      <c r="R968" s="876"/>
      <c r="S968" s="876"/>
      <c r="T968" s="876"/>
      <c r="U968" s="876"/>
      <c r="V968" s="876"/>
      <c r="W968" s="876"/>
      <c r="X968" s="876"/>
      <c r="Y968" s="876"/>
      <c r="Z968" s="876"/>
      <c r="AA968" s="876"/>
      <c r="AB968" s="876"/>
      <c r="AC968" s="876"/>
      <c r="AD968" s="876"/>
      <c r="AE968" s="876"/>
      <c r="AF968" s="876"/>
      <c r="AG968" s="876"/>
      <c r="AH968" s="876"/>
      <c r="AI968" s="878"/>
      <c r="AJ968" s="880"/>
      <c r="AK968" s="880"/>
      <c r="AL968" s="880"/>
      <c r="AM968" s="880"/>
      <c r="AN968" s="880"/>
      <c r="AO968" s="880"/>
      <c r="AP968" s="880"/>
      <c r="AQ968" s="880"/>
      <c r="AR968" s="880"/>
      <c r="AS968" s="880"/>
      <c r="AT968" s="880"/>
      <c r="AU968" s="880"/>
      <c r="AV968" s="880"/>
      <c r="AW968" s="881"/>
      <c r="AX968" s="863"/>
      <c r="AY968" s="863"/>
      <c r="AZ968" s="863"/>
      <c r="BA968" s="863"/>
      <c r="BB968" s="863"/>
      <c r="BC968" s="863"/>
      <c r="BD968" s="863"/>
      <c r="BE968" s="863"/>
      <c r="BF968" s="863"/>
      <c r="BG968" s="863"/>
      <c r="BH968" s="863"/>
      <c r="BI968" s="863"/>
      <c r="BJ968" s="863"/>
      <c r="BK968" s="863"/>
      <c r="BL968" s="863"/>
      <c r="BM968" s="863"/>
      <c r="BN968" s="863"/>
      <c r="BO968" s="863"/>
      <c r="BP968" s="880"/>
      <c r="BQ968" s="863"/>
      <c r="BR968" s="883"/>
      <c r="BS968" s="883"/>
      <c r="BT968" s="883"/>
      <c r="BU968" s="883"/>
      <c r="BV968" s="883"/>
      <c r="BW968" s="883"/>
      <c r="BX968" s="883"/>
      <c r="BY968" s="883"/>
      <c r="BZ968" s="883"/>
      <c r="CA968" s="883"/>
      <c r="CB968" s="883"/>
      <c r="CC968" s="883"/>
      <c r="CD968" s="884"/>
      <c r="CE968" s="883"/>
      <c r="CF968" s="883"/>
      <c r="CG968" s="883"/>
      <c r="CH968" s="883"/>
      <c r="CI968" s="883"/>
      <c r="CJ968" s="883"/>
      <c r="CK968" s="883"/>
      <c r="CL968" s="883"/>
      <c r="CM968" s="883"/>
      <c r="CN968" s="883"/>
      <c r="CO968" s="883"/>
      <c r="CP968" s="883"/>
      <c r="CQ968" s="883"/>
      <c r="CR968" s="883"/>
      <c r="CS968" s="883"/>
      <c r="CT968" s="883"/>
      <c r="CU968" s="883"/>
      <c r="CV968" s="863"/>
      <c r="CW968" s="863"/>
      <c r="CX968" s="863"/>
      <c r="CY968" s="863"/>
      <c r="CZ968" s="863"/>
      <c r="DA968" s="863"/>
      <c r="DB968" s="863"/>
      <c r="DC968" s="863"/>
      <c r="DD968" s="863"/>
      <c r="DE968" s="863"/>
    </row>
    <row r="969">
      <c r="A969" s="876"/>
      <c r="B969" s="876"/>
      <c r="C969" s="876"/>
      <c r="D969" s="876"/>
      <c r="E969" s="876"/>
      <c r="F969" s="876"/>
      <c r="G969" s="876"/>
      <c r="H969" s="876"/>
      <c r="I969" s="876"/>
      <c r="J969" s="876"/>
      <c r="K969" s="876"/>
      <c r="L969" s="876"/>
      <c r="M969" s="876"/>
      <c r="N969" s="877"/>
      <c r="O969" s="876"/>
      <c r="P969" s="876"/>
      <c r="Q969" s="876"/>
      <c r="R969" s="876"/>
      <c r="S969" s="876"/>
      <c r="T969" s="876"/>
      <c r="U969" s="876"/>
      <c r="V969" s="876"/>
      <c r="W969" s="876"/>
      <c r="X969" s="876"/>
      <c r="Y969" s="876"/>
      <c r="Z969" s="876"/>
      <c r="AA969" s="876"/>
      <c r="AB969" s="876"/>
      <c r="AC969" s="876"/>
      <c r="AD969" s="876"/>
      <c r="AE969" s="876"/>
      <c r="AF969" s="876"/>
      <c r="AG969" s="876"/>
      <c r="AH969" s="876"/>
      <c r="AI969" s="878"/>
      <c r="AJ969" s="880"/>
      <c r="AK969" s="880"/>
      <c r="AL969" s="880"/>
      <c r="AM969" s="880"/>
      <c r="AN969" s="880"/>
      <c r="AO969" s="880"/>
      <c r="AP969" s="880"/>
      <c r="AQ969" s="880"/>
      <c r="AR969" s="880"/>
      <c r="AS969" s="880"/>
      <c r="AT969" s="880"/>
      <c r="AU969" s="880"/>
      <c r="AV969" s="880"/>
      <c r="AW969" s="881"/>
      <c r="AX969" s="863"/>
      <c r="AY969" s="863"/>
      <c r="AZ969" s="863"/>
      <c r="BA969" s="863"/>
      <c r="BB969" s="863"/>
      <c r="BC969" s="863"/>
      <c r="BD969" s="863"/>
      <c r="BE969" s="863"/>
      <c r="BF969" s="863"/>
      <c r="BG969" s="863"/>
      <c r="BH969" s="863"/>
      <c r="BI969" s="863"/>
      <c r="BJ969" s="863"/>
      <c r="BK969" s="863"/>
      <c r="BL969" s="863"/>
      <c r="BM969" s="863"/>
      <c r="BN969" s="863"/>
      <c r="BO969" s="863"/>
      <c r="BP969" s="880"/>
      <c r="BQ969" s="863"/>
      <c r="BR969" s="883"/>
      <c r="BS969" s="883"/>
      <c r="BT969" s="883"/>
      <c r="BU969" s="883"/>
      <c r="BV969" s="883"/>
      <c r="BW969" s="883"/>
      <c r="BX969" s="883"/>
      <c r="BY969" s="883"/>
      <c r="BZ969" s="883"/>
      <c r="CA969" s="883"/>
      <c r="CB969" s="883"/>
      <c r="CC969" s="883"/>
      <c r="CD969" s="884"/>
      <c r="CE969" s="883"/>
      <c r="CF969" s="883"/>
      <c r="CG969" s="883"/>
      <c r="CH969" s="883"/>
      <c r="CI969" s="883"/>
      <c r="CJ969" s="883"/>
      <c r="CK969" s="883"/>
      <c r="CL969" s="883"/>
      <c r="CM969" s="883"/>
      <c r="CN969" s="883"/>
      <c r="CO969" s="883"/>
      <c r="CP969" s="883"/>
      <c r="CQ969" s="883"/>
      <c r="CR969" s="883"/>
      <c r="CS969" s="883"/>
      <c r="CT969" s="883"/>
      <c r="CU969" s="883"/>
      <c r="CV969" s="863"/>
      <c r="CW969" s="863"/>
      <c r="CX969" s="863"/>
      <c r="CY969" s="863"/>
      <c r="CZ969" s="863"/>
      <c r="DA969" s="863"/>
      <c r="DB969" s="863"/>
      <c r="DC969" s="863"/>
      <c r="DD969" s="863"/>
      <c r="DE969" s="863"/>
    </row>
    <row r="970">
      <c r="A970" s="876"/>
      <c r="B970" s="876"/>
      <c r="C970" s="876"/>
      <c r="D970" s="876"/>
      <c r="E970" s="876"/>
      <c r="F970" s="876"/>
      <c r="G970" s="876"/>
      <c r="H970" s="876"/>
      <c r="I970" s="876"/>
      <c r="J970" s="876"/>
      <c r="K970" s="876"/>
      <c r="L970" s="876"/>
      <c r="M970" s="876"/>
      <c r="N970" s="877"/>
      <c r="O970" s="876"/>
      <c r="P970" s="876"/>
      <c r="Q970" s="876"/>
      <c r="R970" s="876"/>
      <c r="S970" s="876"/>
      <c r="T970" s="876"/>
      <c r="U970" s="876"/>
      <c r="V970" s="876"/>
      <c r="W970" s="876"/>
      <c r="X970" s="876"/>
      <c r="Y970" s="876"/>
      <c r="Z970" s="876"/>
      <c r="AA970" s="876"/>
      <c r="AB970" s="876"/>
      <c r="AC970" s="876"/>
      <c r="AD970" s="876"/>
      <c r="AE970" s="876"/>
      <c r="AF970" s="876"/>
      <c r="AG970" s="876"/>
      <c r="AH970" s="876"/>
      <c r="AI970" s="878"/>
      <c r="AJ970" s="880"/>
      <c r="AK970" s="880"/>
      <c r="AL970" s="880"/>
      <c r="AM970" s="880"/>
      <c r="AN970" s="880"/>
      <c r="AO970" s="880"/>
      <c r="AP970" s="880"/>
      <c r="AQ970" s="880"/>
      <c r="AR970" s="880"/>
      <c r="AS970" s="880"/>
      <c r="AT970" s="880"/>
      <c r="AU970" s="880"/>
      <c r="AV970" s="880"/>
      <c r="AW970" s="881"/>
      <c r="AX970" s="863"/>
      <c r="AY970" s="863"/>
      <c r="AZ970" s="863"/>
      <c r="BA970" s="863"/>
      <c r="BB970" s="863"/>
      <c r="BC970" s="863"/>
      <c r="BD970" s="863"/>
      <c r="BE970" s="863"/>
      <c r="BF970" s="863"/>
      <c r="BG970" s="863"/>
      <c r="BH970" s="863"/>
      <c r="BI970" s="863"/>
      <c r="BJ970" s="863"/>
      <c r="BK970" s="863"/>
      <c r="BL970" s="863"/>
      <c r="BM970" s="863"/>
      <c r="BN970" s="863"/>
      <c r="BO970" s="863"/>
      <c r="BP970" s="880"/>
      <c r="BQ970" s="863"/>
      <c r="BR970" s="883"/>
      <c r="BS970" s="883"/>
      <c r="BT970" s="883"/>
      <c r="BU970" s="883"/>
      <c r="BV970" s="883"/>
      <c r="BW970" s="883"/>
      <c r="BX970" s="883"/>
      <c r="BY970" s="883"/>
      <c r="BZ970" s="883"/>
      <c r="CA970" s="883"/>
      <c r="CB970" s="883"/>
      <c r="CC970" s="883"/>
      <c r="CD970" s="884"/>
      <c r="CE970" s="883"/>
      <c r="CF970" s="883"/>
      <c r="CG970" s="883"/>
      <c r="CH970" s="883"/>
      <c r="CI970" s="883"/>
      <c r="CJ970" s="883"/>
      <c r="CK970" s="883"/>
      <c r="CL970" s="883"/>
      <c r="CM970" s="883"/>
      <c r="CN970" s="883"/>
      <c r="CO970" s="883"/>
      <c r="CP970" s="883"/>
      <c r="CQ970" s="883"/>
      <c r="CR970" s="883"/>
      <c r="CS970" s="883"/>
      <c r="CT970" s="883"/>
      <c r="CU970" s="883"/>
      <c r="CV970" s="863"/>
      <c r="CW970" s="863"/>
      <c r="CX970" s="863"/>
      <c r="CY970" s="863"/>
      <c r="CZ970" s="863"/>
      <c r="DA970" s="863"/>
      <c r="DB970" s="863"/>
      <c r="DC970" s="863"/>
      <c r="DD970" s="863"/>
      <c r="DE970" s="863"/>
    </row>
    <row r="971">
      <c r="A971" s="876"/>
      <c r="B971" s="876"/>
      <c r="C971" s="876"/>
      <c r="D971" s="876"/>
      <c r="E971" s="876"/>
      <c r="F971" s="876"/>
      <c r="G971" s="876"/>
      <c r="H971" s="876"/>
      <c r="I971" s="876"/>
      <c r="J971" s="876"/>
      <c r="K971" s="876"/>
      <c r="L971" s="876"/>
      <c r="M971" s="876"/>
      <c r="N971" s="877"/>
      <c r="O971" s="876"/>
      <c r="P971" s="876"/>
      <c r="Q971" s="876"/>
      <c r="R971" s="876"/>
      <c r="S971" s="876"/>
      <c r="T971" s="876"/>
      <c r="U971" s="876"/>
      <c r="V971" s="876"/>
      <c r="W971" s="876"/>
      <c r="X971" s="876"/>
      <c r="Y971" s="876"/>
      <c r="Z971" s="876"/>
      <c r="AA971" s="876"/>
      <c r="AB971" s="876"/>
      <c r="AC971" s="876"/>
      <c r="AD971" s="876"/>
      <c r="AE971" s="876"/>
      <c r="AF971" s="876"/>
      <c r="AG971" s="876"/>
      <c r="AH971" s="876"/>
      <c r="AI971" s="878"/>
      <c r="AJ971" s="880"/>
      <c r="AK971" s="880"/>
      <c r="AL971" s="880"/>
      <c r="AM971" s="880"/>
      <c r="AN971" s="880"/>
      <c r="AO971" s="880"/>
      <c r="AP971" s="880"/>
      <c r="AQ971" s="880"/>
      <c r="AR971" s="880"/>
      <c r="AS971" s="880"/>
      <c r="AT971" s="880"/>
      <c r="AU971" s="880"/>
      <c r="AV971" s="880"/>
      <c r="AW971" s="881"/>
      <c r="AX971" s="863"/>
      <c r="AY971" s="863"/>
      <c r="AZ971" s="863"/>
      <c r="BA971" s="863"/>
      <c r="BB971" s="863"/>
      <c r="BC971" s="863"/>
      <c r="BD971" s="863"/>
      <c r="BE971" s="863"/>
      <c r="BF971" s="863"/>
      <c r="BG971" s="863"/>
      <c r="BH971" s="863"/>
      <c r="BI971" s="863"/>
      <c r="BJ971" s="863"/>
      <c r="BK971" s="863"/>
      <c r="BL971" s="863"/>
      <c r="BM971" s="863"/>
      <c r="BN971" s="863"/>
      <c r="BO971" s="863"/>
      <c r="BP971" s="880"/>
      <c r="BQ971" s="863"/>
      <c r="BR971" s="883"/>
      <c r="BS971" s="883"/>
      <c r="BT971" s="883"/>
      <c r="BU971" s="883"/>
      <c r="BV971" s="883"/>
      <c r="BW971" s="883"/>
      <c r="BX971" s="883"/>
      <c r="BY971" s="883"/>
      <c r="BZ971" s="883"/>
      <c r="CA971" s="883"/>
      <c r="CB971" s="883"/>
      <c r="CC971" s="883"/>
      <c r="CD971" s="884"/>
      <c r="CE971" s="883"/>
      <c r="CF971" s="883"/>
      <c r="CG971" s="883"/>
      <c r="CH971" s="883"/>
      <c r="CI971" s="883"/>
      <c r="CJ971" s="883"/>
      <c r="CK971" s="883"/>
      <c r="CL971" s="883"/>
      <c r="CM971" s="883"/>
      <c r="CN971" s="883"/>
      <c r="CO971" s="883"/>
      <c r="CP971" s="883"/>
      <c r="CQ971" s="883"/>
      <c r="CR971" s="883"/>
      <c r="CS971" s="883"/>
      <c r="CT971" s="883"/>
      <c r="CU971" s="883"/>
      <c r="CV971" s="863"/>
      <c r="CW971" s="863"/>
      <c r="CX971" s="863"/>
      <c r="CY971" s="863"/>
      <c r="CZ971" s="863"/>
      <c r="DA971" s="863"/>
      <c r="DB971" s="863"/>
      <c r="DC971" s="863"/>
      <c r="DD971" s="863"/>
      <c r="DE971" s="863"/>
    </row>
    <row r="972">
      <c r="A972" s="876"/>
      <c r="B972" s="876"/>
      <c r="C972" s="876"/>
      <c r="D972" s="876"/>
      <c r="E972" s="876"/>
      <c r="F972" s="876"/>
      <c r="G972" s="876"/>
      <c r="H972" s="876"/>
      <c r="I972" s="876"/>
      <c r="J972" s="876"/>
      <c r="K972" s="876"/>
      <c r="L972" s="876"/>
      <c r="M972" s="876"/>
      <c r="N972" s="877"/>
      <c r="O972" s="876"/>
      <c r="P972" s="876"/>
      <c r="Q972" s="876"/>
      <c r="R972" s="876"/>
      <c r="S972" s="876"/>
      <c r="T972" s="876"/>
      <c r="U972" s="876"/>
      <c r="V972" s="876"/>
      <c r="W972" s="876"/>
      <c r="X972" s="876"/>
      <c r="Y972" s="876"/>
      <c r="Z972" s="876"/>
      <c r="AA972" s="876"/>
      <c r="AB972" s="876"/>
      <c r="AC972" s="876"/>
      <c r="AD972" s="876"/>
      <c r="AE972" s="876"/>
      <c r="AF972" s="876"/>
      <c r="AG972" s="876"/>
      <c r="AH972" s="876"/>
      <c r="AI972" s="878"/>
      <c r="AJ972" s="880"/>
      <c r="AK972" s="880"/>
      <c r="AL972" s="880"/>
      <c r="AM972" s="880"/>
      <c r="AN972" s="880"/>
      <c r="AO972" s="880"/>
      <c r="AP972" s="880"/>
      <c r="AQ972" s="880"/>
      <c r="AR972" s="880"/>
      <c r="AS972" s="880"/>
      <c r="AT972" s="880"/>
      <c r="AU972" s="880"/>
      <c r="AV972" s="880"/>
      <c r="AW972" s="881"/>
      <c r="AX972" s="863"/>
      <c r="AY972" s="863"/>
      <c r="AZ972" s="863"/>
      <c r="BA972" s="863"/>
      <c r="BB972" s="863"/>
      <c r="BC972" s="863"/>
      <c r="BD972" s="863"/>
      <c r="BE972" s="863"/>
      <c r="BF972" s="863"/>
      <c r="BG972" s="863"/>
      <c r="BH972" s="863"/>
      <c r="BI972" s="863"/>
      <c r="BJ972" s="863"/>
      <c r="BK972" s="863"/>
      <c r="BL972" s="863"/>
      <c r="BM972" s="863"/>
      <c r="BN972" s="863"/>
      <c r="BO972" s="863"/>
      <c r="BP972" s="880"/>
      <c r="BQ972" s="863"/>
      <c r="BR972" s="883"/>
      <c r="BS972" s="883"/>
      <c r="BT972" s="883"/>
      <c r="BU972" s="883"/>
      <c r="BV972" s="883"/>
      <c r="BW972" s="883"/>
      <c r="BX972" s="883"/>
      <c r="BY972" s="883"/>
      <c r="BZ972" s="883"/>
      <c r="CA972" s="883"/>
      <c r="CB972" s="883"/>
      <c r="CC972" s="883"/>
      <c r="CD972" s="884"/>
      <c r="CE972" s="883"/>
      <c r="CF972" s="883"/>
      <c r="CG972" s="883"/>
      <c r="CH972" s="883"/>
      <c r="CI972" s="883"/>
      <c r="CJ972" s="883"/>
      <c r="CK972" s="883"/>
      <c r="CL972" s="883"/>
      <c r="CM972" s="883"/>
      <c r="CN972" s="883"/>
      <c r="CO972" s="883"/>
      <c r="CP972" s="883"/>
      <c r="CQ972" s="883"/>
      <c r="CR972" s="883"/>
      <c r="CS972" s="883"/>
      <c r="CT972" s="883"/>
      <c r="CU972" s="883"/>
      <c r="CV972" s="863"/>
      <c r="CW972" s="863"/>
      <c r="CX972" s="863"/>
      <c r="CY972" s="863"/>
      <c r="CZ972" s="863"/>
      <c r="DA972" s="863"/>
      <c r="DB972" s="863"/>
      <c r="DC972" s="863"/>
      <c r="DD972" s="863"/>
      <c r="DE972" s="863"/>
    </row>
    <row r="973">
      <c r="A973" s="876"/>
      <c r="B973" s="876"/>
      <c r="C973" s="876"/>
      <c r="D973" s="876"/>
      <c r="E973" s="876"/>
      <c r="F973" s="876"/>
      <c r="G973" s="876"/>
      <c r="H973" s="876"/>
      <c r="I973" s="876"/>
      <c r="J973" s="876"/>
      <c r="K973" s="876"/>
      <c r="L973" s="876"/>
      <c r="M973" s="876"/>
      <c r="N973" s="877"/>
      <c r="O973" s="876"/>
      <c r="P973" s="876"/>
      <c r="Q973" s="876"/>
      <c r="R973" s="876"/>
      <c r="S973" s="876"/>
      <c r="T973" s="876"/>
      <c r="U973" s="876"/>
      <c r="V973" s="876"/>
      <c r="W973" s="876"/>
      <c r="X973" s="876"/>
      <c r="Y973" s="876"/>
      <c r="Z973" s="876"/>
      <c r="AA973" s="876"/>
      <c r="AB973" s="876"/>
      <c r="AC973" s="876"/>
      <c r="AD973" s="876"/>
      <c r="AE973" s="876"/>
      <c r="AF973" s="876"/>
      <c r="AG973" s="876"/>
      <c r="AH973" s="876"/>
      <c r="AI973" s="878"/>
      <c r="AJ973" s="880"/>
      <c r="AK973" s="880"/>
      <c r="AL973" s="880"/>
      <c r="AM973" s="880"/>
      <c r="AN973" s="880"/>
      <c r="AO973" s="880"/>
      <c r="AP973" s="880"/>
      <c r="AQ973" s="880"/>
      <c r="AR973" s="880"/>
      <c r="AS973" s="880"/>
      <c r="AT973" s="880"/>
      <c r="AU973" s="880"/>
      <c r="AV973" s="880"/>
      <c r="AW973" s="881"/>
      <c r="AX973" s="863"/>
      <c r="AY973" s="863"/>
      <c r="AZ973" s="863"/>
      <c r="BA973" s="863"/>
      <c r="BB973" s="863"/>
      <c r="BC973" s="863"/>
      <c r="BD973" s="863"/>
      <c r="BE973" s="863"/>
      <c r="BF973" s="863"/>
      <c r="BG973" s="863"/>
      <c r="BH973" s="863"/>
      <c r="BI973" s="863"/>
      <c r="BJ973" s="863"/>
      <c r="BK973" s="863"/>
      <c r="BL973" s="863"/>
      <c r="BM973" s="863"/>
      <c r="BN973" s="863"/>
      <c r="BO973" s="863"/>
      <c r="BP973" s="880"/>
      <c r="BQ973" s="863"/>
      <c r="BR973" s="883"/>
      <c r="BS973" s="883"/>
      <c r="BT973" s="883"/>
      <c r="BU973" s="883"/>
      <c r="BV973" s="883"/>
      <c r="BW973" s="883"/>
      <c r="BX973" s="883"/>
      <c r="BY973" s="883"/>
      <c r="BZ973" s="883"/>
      <c r="CA973" s="883"/>
      <c r="CB973" s="883"/>
      <c r="CC973" s="883"/>
      <c r="CD973" s="884"/>
      <c r="CE973" s="883"/>
      <c r="CF973" s="883"/>
      <c r="CG973" s="883"/>
      <c r="CH973" s="883"/>
      <c r="CI973" s="883"/>
      <c r="CJ973" s="883"/>
      <c r="CK973" s="883"/>
      <c r="CL973" s="883"/>
      <c r="CM973" s="883"/>
      <c r="CN973" s="883"/>
      <c r="CO973" s="883"/>
      <c r="CP973" s="883"/>
      <c r="CQ973" s="883"/>
      <c r="CR973" s="883"/>
      <c r="CS973" s="883"/>
      <c r="CT973" s="883"/>
      <c r="CU973" s="883"/>
      <c r="CV973" s="863"/>
      <c r="CW973" s="863"/>
      <c r="CX973" s="863"/>
      <c r="CY973" s="863"/>
      <c r="CZ973" s="863"/>
      <c r="DA973" s="863"/>
      <c r="DB973" s="863"/>
      <c r="DC973" s="863"/>
      <c r="DD973" s="863"/>
      <c r="DE973" s="863"/>
    </row>
    <row r="974">
      <c r="A974" s="876"/>
      <c r="B974" s="876"/>
      <c r="C974" s="876"/>
      <c r="D974" s="876"/>
      <c r="E974" s="876"/>
      <c r="F974" s="876"/>
      <c r="G974" s="876"/>
      <c r="H974" s="876"/>
      <c r="I974" s="876"/>
      <c r="J974" s="876"/>
      <c r="K974" s="876"/>
      <c r="L974" s="876"/>
      <c r="M974" s="876"/>
      <c r="N974" s="877"/>
      <c r="O974" s="876"/>
      <c r="P974" s="876"/>
      <c r="Q974" s="876"/>
      <c r="R974" s="876"/>
      <c r="S974" s="876"/>
      <c r="T974" s="876"/>
      <c r="U974" s="876"/>
      <c r="V974" s="876"/>
      <c r="W974" s="876"/>
      <c r="X974" s="876"/>
      <c r="Y974" s="876"/>
      <c r="Z974" s="876"/>
      <c r="AA974" s="876"/>
      <c r="AB974" s="876"/>
      <c r="AC974" s="876"/>
      <c r="AD974" s="876"/>
      <c r="AE974" s="876"/>
      <c r="AF974" s="876"/>
      <c r="AG974" s="876"/>
      <c r="AH974" s="876"/>
      <c r="AI974" s="878"/>
      <c r="AJ974" s="880"/>
      <c r="AK974" s="880"/>
      <c r="AL974" s="880"/>
      <c r="AM974" s="880"/>
      <c r="AN974" s="880"/>
      <c r="AO974" s="880"/>
      <c r="AP974" s="880"/>
      <c r="AQ974" s="880"/>
      <c r="AR974" s="880"/>
      <c r="AS974" s="880"/>
      <c r="AT974" s="880"/>
      <c r="AU974" s="880"/>
      <c r="AV974" s="880"/>
      <c r="AW974" s="881"/>
      <c r="AX974" s="863"/>
      <c r="AY974" s="863"/>
      <c r="AZ974" s="863"/>
      <c r="BA974" s="863"/>
      <c r="BB974" s="863"/>
      <c r="BC974" s="863"/>
      <c r="BD974" s="863"/>
      <c r="BE974" s="863"/>
      <c r="BF974" s="863"/>
      <c r="BG974" s="863"/>
      <c r="BH974" s="863"/>
      <c r="BI974" s="863"/>
      <c r="BJ974" s="863"/>
      <c r="BK974" s="863"/>
      <c r="BL974" s="863"/>
      <c r="BM974" s="863"/>
      <c r="BN974" s="863"/>
      <c r="BO974" s="863"/>
      <c r="BP974" s="880"/>
      <c r="BQ974" s="863"/>
      <c r="BR974" s="883"/>
      <c r="BS974" s="883"/>
      <c r="BT974" s="883"/>
      <c r="BU974" s="883"/>
      <c r="BV974" s="883"/>
      <c r="BW974" s="883"/>
      <c r="BX974" s="883"/>
      <c r="BY974" s="883"/>
      <c r="BZ974" s="883"/>
      <c r="CA974" s="883"/>
      <c r="CB974" s="883"/>
      <c r="CC974" s="883"/>
      <c r="CD974" s="884"/>
      <c r="CE974" s="883"/>
      <c r="CF974" s="883"/>
      <c r="CG974" s="883"/>
      <c r="CH974" s="883"/>
      <c r="CI974" s="883"/>
      <c r="CJ974" s="883"/>
      <c r="CK974" s="883"/>
      <c r="CL974" s="883"/>
      <c r="CM974" s="883"/>
      <c r="CN974" s="883"/>
      <c r="CO974" s="883"/>
      <c r="CP974" s="883"/>
      <c r="CQ974" s="883"/>
      <c r="CR974" s="883"/>
      <c r="CS974" s="883"/>
      <c r="CT974" s="883"/>
      <c r="CU974" s="883"/>
      <c r="CV974" s="863"/>
      <c r="CW974" s="863"/>
      <c r="CX974" s="863"/>
      <c r="CY974" s="863"/>
      <c r="CZ974" s="863"/>
      <c r="DA974" s="863"/>
      <c r="DB974" s="863"/>
      <c r="DC974" s="863"/>
      <c r="DD974" s="863"/>
      <c r="DE974" s="863"/>
    </row>
    <row r="975">
      <c r="A975" s="876"/>
      <c r="B975" s="876"/>
      <c r="C975" s="876"/>
      <c r="D975" s="876"/>
      <c r="E975" s="876"/>
      <c r="F975" s="876"/>
      <c r="G975" s="876"/>
      <c r="H975" s="876"/>
      <c r="I975" s="876"/>
      <c r="J975" s="876"/>
      <c r="K975" s="876"/>
      <c r="L975" s="876"/>
      <c r="M975" s="876"/>
      <c r="N975" s="877"/>
      <c r="O975" s="876"/>
      <c r="P975" s="876"/>
      <c r="Q975" s="876"/>
      <c r="R975" s="876"/>
      <c r="S975" s="876"/>
      <c r="T975" s="876"/>
      <c r="U975" s="876"/>
      <c r="V975" s="876"/>
      <c r="W975" s="876"/>
      <c r="X975" s="876"/>
      <c r="Y975" s="876"/>
      <c r="Z975" s="876"/>
      <c r="AA975" s="876"/>
      <c r="AB975" s="876"/>
      <c r="AC975" s="876"/>
      <c r="AD975" s="876"/>
      <c r="AE975" s="876"/>
      <c r="AF975" s="876"/>
      <c r="AG975" s="876"/>
      <c r="AH975" s="876"/>
      <c r="AI975" s="878"/>
      <c r="AJ975" s="880"/>
      <c r="AK975" s="880"/>
      <c r="AL975" s="880"/>
      <c r="AM975" s="880"/>
      <c r="AN975" s="880"/>
      <c r="AO975" s="880"/>
      <c r="AP975" s="880"/>
      <c r="AQ975" s="880"/>
      <c r="AR975" s="880"/>
      <c r="AS975" s="880"/>
      <c r="AT975" s="880"/>
      <c r="AU975" s="880"/>
      <c r="AV975" s="880"/>
      <c r="AW975" s="881"/>
      <c r="AX975" s="863"/>
      <c r="AY975" s="863"/>
      <c r="AZ975" s="863"/>
      <c r="BA975" s="863"/>
      <c r="BB975" s="863"/>
      <c r="BC975" s="863"/>
      <c r="BD975" s="863"/>
      <c r="BE975" s="863"/>
      <c r="BF975" s="863"/>
      <c r="BG975" s="863"/>
      <c r="BH975" s="863"/>
      <c r="BI975" s="863"/>
      <c r="BJ975" s="863"/>
      <c r="BK975" s="863"/>
      <c r="BL975" s="863"/>
      <c r="BM975" s="863"/>
      <c r="BN975" s="863"/>
      <c r="BO975" s="863"/>
      <c r="BP975" s="880"/>
      <c r="BQ975" s="863"/>
      <c r="BR975" s="883"/>
      <c r="BS975" s="883"/>
      <c r="BT975" s="883"/>
      <c r="BU975" s="883"/>
      <c r="BV975" s="883"/>
      <c r="BW975" s="883"/>
      <c r="BX975" s="883"/>
      <c r="BY975" s="883"/>
      <c r="BZ975" s="883"/>
      <c r="CA975" s="883"/>
      <c r="CB975" s="883"/>
      <c r="CC975" s="883"/>
      <c r="CD975" s="884"/>
      <c r="CE975" s="883"/>
      <c r="CF975" s="883"/>
      <c r="CG975" s="883"/>
      <c r="CH975" s="883"/>
      <c r="CI975" s="883"/>
      <c r="CJ975" s="883"/>
      <c r="CK975" s="883"/>
      <c r="CL975" s="883"/>
      <c r="CM975" s="883"/>
      <c r="CN975" s="883"/>
      <c r="CO975" s="883"/>
      <c r="CP975" s="883"/>
      <c r="CQ975" s="883"/>
      <c r="CR975" s="883"/>
      <c r="CS975" s="883"/>
      <c r="CT975" s="883"/>
      <c r="CU975" s="883"/>
      <c r="CV975" s="863"/>
      <c r="CW975" s="863"/>
      <c r="CX975" s="863"/>
      <c r="CY975" s="863"/>
      <c r="CZ975" s="863"/>
      <c r="DA975" s="863"/>
      <c r="DB975" s="863"/>
      <c r="DC975" s="863"/>
      <c r="DD975" s="863"/>
      <c r="DE975" s="863"/>
    </row>
    <row r="976">
      <c r="A976" s="876"/>
      <c r="B976" s="876"/>
      <c r="C976" s="876"/>
      <c r="D976" s="876"/>
      <c r="E976" s="876"/>
      <c r="F976" s="876"/>
      <c r="G976" s="876"/>
      <c r="H976" s="876"/>
      <c r="I976" s="876"/>
      <c r="J976" s="876"/>
      <c r="K976" s="876"/>
      <c r="L976" s="876"/>
      <c r="M976" s="876"/>
      <c r="N976" s="877"/>
      <c r="O976" s="876"/>
      <c r="P976" s="876"/>
      <c r="Q976" s="876"/>
      <c r="R976" s="876"/>
      <c r="S976" s="876"/>
      <c r="T976" s="876"/>
      <c r="U976" s="876"/>
      <c r="V976" s="876"/>
      <c r="W976" s="876"/>
      <c r="X976" s="876"/>
      <c r="Y976" s="876"/>
      <c r="Z976" s="876"/>
      <c r="AA976" s="876"/>
      <c r="AB976" s="876"/>
      <c r="AC976" s="876"/>
      <c r="AD976" s="876"/>
      <c r="AE976" s="876"/>
      <c r="AF976" s="876"/>
      <c r="AG976" s="876"/>
      <c r="AH976" s="876"/>
      <c r="AI976" s="878"/>
      <c r="AJ976" s="880"/>
      <c r="AK976" s="880"/>
      <c r="AL976" s="880"/>
      <c r="AM976" s="880"/>
      <c r="AN976" s="880"/>
      <c r="AO976" s="880"/>
      <c r="AP976" s="880"/>
      <c r="AQ976" s="880"/>
      <c r="AR976" s="880"/>
      <c r="AS976" s="880"/>
      <c r="AT976" s="880"/>
      <c r="AU976" s="880"/>
      <c r="AV976" s="880"/>
      <c r="AW976" s="881"/>
      <c r="AX976" s="863"/>
      <c r="AY976" s="863"/>
      <c r="AZ976" s="863"/>
      <c r="BA976" s="863"/>
      <c r="BB976" s="863"/>
      <c r="BC976" s="863"/>
      <c r="BD976" s="863"/>
      <c r="BE976" s="863"/>
      <c r="BF976" s="863"/>
      <c r="BG976" s="863"/>
      <c r="BH976" s="863"/>
      <c r="BI976" s="863"/>
      <c r="BJ976" s="863"/>
      <c r="BK976" s="863"/>
      <c r="BL976" s="863"/>
      <c r="BM976" s="863"/>
      <c r="BN976" s="863"/>
      <c r="BO976" s="863"/>
      <c r="BP976" s="880"/>
      <c r="BQ976" s="863"/>
      <c r="BR976" s="883"/>
      <c r="BS976" s="883"/>
      <c r="BT976" s="883"/>
      <c r="BU976" s="883"/>
      <c r="BV976" s="883"/>
      <c r="BW976" s="883"/>
      <c r="BX976" s="883"/>
      <c r="BY976" s="883"/>
      <c r="BZ976" s="883"/>
      <c r="CA976" s="883"/>
      <c r="CB976" s="883"/>
      <c r="CC976" s="883"/>
      <c r="CD976" s="884"/>
      <c r="CE976" s="883"/>
      <c r="CF976" s="883"/>
      <c r="CG976" s="883"/>
      <c r="CH976" s="883"/>
      <c r="CI976" s="883"/>
      <c r="CJ976" s="883"/>
      <c r="CK976" s="883"/>
      <c r="CL976" s="883"/>
      <c r="CM976" s="883"/>
      <c r="CN976" s="883"/>
      <c r="CO976" s="883"/>
      <c r="CP976" s="883"/>
      <c r="CQ976" s="883"/>
      <c r="CR976" s="883"/>
      <c r="CS976" s="883"/>
      <c r="CT976" s="883"/>
      <c r="CU976" s="883"/>
      <c r="CV976" s="863"/>
      <c r="CW976" s="863"/>
      <c r="CX976" s="863"/>
      <c r="CY976" s="863"/>
      <c r="CZ976" s="863"/>
      <c r="DA976" s="863"/>
      <c r="DB976" s="863"/>
      <c r="DC976" s="863"/>
      <c r="DD976" s="863"/>
      <c r="DE976" s="863"/>
    </row>
    <row r="977">
      <c r="A977" s="876"/>
      <c r="B977" s="876"/>
      <c r="C977" s="876"/>
      <c r="D977" s="876"/>
      <c r="E977" s="876"/>
      <c r="F977" s="876"/>
      <c r="G977" s="876"/>
      <c r="H977" s="876"/>
      <c r="I977" s="876"/>
      <c r="J977" s="876"/>
      <c r="K977" s="876"/>
      <c r="L977" s="876"/>
      <c r="M977" s="876"/>
      <c r="N977" s="877"/>
      <c r="O977" s="876"/>
      <c r="P977" s="876"/>
      <c r="Q977" s="876"/>
      <c r="R977" s="876"/>
      <c r="S977" s="876"/>
      <c r="T977" s="876"/>
      <c r="U977" s="876"/>
      <c r="V977" s="876"/>
      <c r="W977" s="876"/>
      <c r="X977" s="876"/>
      <c r="Y977" s="876"/>
      <c r="Z977" s="876"/>
      <c r="AA977" s="876"/>
      <c r="AB977" s="876"/>
      <c r="AC977" s="876"/>
      <c r="AD977" s="876"/>
      <c r="AE977" s="876"/>
      <c r="AF977" s="876"/>
      <c r="AG977" s="876"/>
      <c r="AH977" s="876"/>
      <c r="AI977" s="878"/>
      <c r="AJ977" s="880"/>
      <c r="AK977" s="880"/>
      <c r="AL977" s="880"/>
      <c r="AM977" s="880"/>
      <c r="AN977" s="880"/>
      <c r="AO977" s="880"/>
      <c r="AP977" s="880"/>
      <c r="AQ977" s="880"/>
      <c r="AR977" s="880"/>
      <c r="AS977" s="880"/>
      <c r="AT977" s="880"/>
      <c r="AU977" s="880"/>
      <c r="AV977" s="880"/>
      <c r="AW977" s="881"/>
      <c r="AX977" s="863"/>
      <c r="AY977" s="863"/>
      <c r="AZ977" s="863"/>
      <c r="BA977" s="863"/>
      <c r="BB977" s="863"/>
      <c r="BC977" s="863"/>
      <c r="BD977" s="863"/>
      <c r="BE977" s="863"/>
      <c r="BF977" s="863"/>
      <c r="BG977" s="863"/>
      <c r="BH977" s="863"/>
      <c r="BI977" s="863"/>
      <c r="BJ977" s="863"/>
      <c r="BK977" s="863"/>
      <c r="BL977" s="863"/>
      <c r="BM977" s="863"/>
      <c r="BN977" s="863"/>
      <c r="BO977" s="863"/>
      <c r="BP977" s="880"/>
      <c r="BQ977" s="863"/>
      <c r="BR977" s="883"/>
      <c r="BS977" s="883"/>
      <c r="BT977" s="883"/>
      <c r="BU977" s="883"/>
      <c r="BV977" s="883"/>
      <c r="BW977" s="883"/>
      <c r="BX977" s="883"/>
      <c r="BY977" s="883"/>
      <c r="BZ977" s="883"/>
      <c r="CA977" s="883"/>
      <c r="CB977" s="883"/>
      <c r="CC977" s="883"/>
      <c r="CD977" s="884"/>
      <c r="CE977" s="883"/>
      <c r="CF977" s="883"/>
      <c r="CG977" s="883"/>
      <c r="CH977" s="883"/>
      <c r="CI977" s="883"/>
      <c r="CJ977" s="883"/>
      <c r="CK977" s="883"/>
      <c r="CL977" s="883"/>
      <c r="CM977" s="883"/>
      <c r="CN977" s="883"/>
      <c r="CO977" s="883"/>
      <c r="CP977" s="883"/>
      <c r="CQ977" s="883"/>
      <c r="CR977" s="883"/>
      <c r="CS977" s="883"/>
      <c r="CT977" s="883"/>
      <c r="CU977" s="883"/>
      <c r="CV977" s="863"/>
      <c r="CW977" s="863"/>
      <c r="CX977" s="863"/>
      <c r="CY977" s="863"/>
      <c r="CZ977" s="863"/>
      <c r="DA977" s="863"/>
      <c r="DB977" s="863"/>
      <c r="DC977" s="863"/>
      <c r="DD977" s="863"/>
      <c r="DE977" s="863"/>
    </row>
    <row r="978">
      <c r="A978" s="876"/>
      <c r="B978" s="876"/>
      <c r="C978" s="876"/>
      <c r="D978" s="876"/>
      <c r="E978" s="876"/>
      <c r="F978" s="876"/>
      <c r="G978" s="876"/>
      <c r="H978" s="876"/>
      <c r="I978" s="876"/>
      <c r="J978" s="876"/>
      <c r="K978" s="876"/>
      <c r="L978" s="876"/>
      <c r="M978" s="876"/>
      <c r="N978" s="877"/>
      <c r="O978" s="876"/>
      <c r="P978" s="876"/>
      <c r="Q978" s="876"/>
      <c r="R978" s="876"/>
      <c r="S978" s="876"/>
      <c r="T978" s="876"/>
      <c r="U978" s="876"/>
      <c r="V978" s="876"/>
      <c r="W978" s="876"/>
      <c r="X978" s="876"/>
      <c r="Y978" s="876"/>
      <c r="Z978" s="876"/>
      <c r="AA978" s="876"/>
      <c r="AB978" s="876"/>
      <c r="AC978" s="876"/>
      <c r="AD978" s="876"/>
      <c r="AE978" s="876"/>
      <c r="AF978" s="876"/>
      <c r="AG978" s="876"/>
      <c r="AH978" s="876"/>
      <c r="AI978" s="878"/>
      <c r="AJ978" s="880"/>
      <c r="AK978" s="880"/>
      <c r="AL978" s="880"/>
      <c r="AM978" s="880"/>
      <c r="AN978" s="880"/>
      <c r="AO978" s="880"/>
      <c r="AP978" s="880"/>
      <c r="AQ978" s="880"/>
      <c r="AR978" s="880"/>
      <c r="AS978" s="880"/>
      <c r="AT978" s="880"/>
      <c r="AU978" s="880"/>
      <c r="AV978" s="880"/>
      <c r="AW978" s="881"/>
      <c r="AX978" s="863"/>
      <c r="AY978" s="863"/>
      <c r="AZ978" s="863"/>
      <c r="BA978" s="863"/>
      <c r="BB978" s="863"/>
      <c r="BC978" s="863"/>
      <c r="BD978" s="863"/>
      <c r="BE978" s="863"/>
      <c r="BF978" s="863"/>
      <c r="BG978" s="863"/>
      <c r="BH978" s="863"/>
      <c r="BI978" s="863"/>
      <c r="BJ978" s="863"/>
      <c r="BK978" s="863"/>
      <c r="BL978" s="863"/>
      <c r="BM978" s="863"/>
      <c r="BN978" s="863"/>
      <c r="BO978" s="863"/>
      <c r="BP978" s="880"/>
      <c r="BQ978" s="863"/>
      <c r="BR978" s="883"/>
      <c r="BS978" s="883"/>
      <c r="BT978" s="883"/>
      <c r="BU978" s="883"/>
      <c r="BV978" s="883"/>
      <c r="BW978" s="883"/>
      <c r="BX978" s="883"/>
      <c r="BY978" s="883"/>
      <c r="BZ978" s="883"/>
      <c r="CA978" s="883"/>
      <c r="CB978" s="883"/>
      <c r="CC978" s="883"/>
      <c r="CD978" s="884"/>
      <c r="CE978" s="883"/>
      <c r="CF978" s="883"/>
      <c r="CG978" s="883"/>
      <c r="CH978" s="883"/>
      <c r="CI978" s="883"/>
      <c r="CJ978" s="883"/>
      <c r="CK978" s="883"/>
      <c r="CL978" s="883"/>
      <c r="CM978" s="883"/>
      <c r="CN978" s="883"/>
      <c r="CO978" s="883"/>
      <c r="CP978" s="883"/>
      <c r="CQ978" s="883"/>
      <c r="CR978" s="883"/>
      <c r="CS978" s="883"/>
      <c r="CT978" s="883"/>
      <c r="CU978" s="883"/>
      <c r="CV978" s="863"/>
      <c r="CW978" s="863"/>
      <c r="CX978" s="863"/>
      <c r="CY978" s="863"/>
      <c r="CZ978" s="863"/>
      <c r="DA978" s="863"/>
      <c r="DB978" s="863"/>
      <c r="DC978" s="863"/>
      <c r="DD978" s="863"/>
      <c r="DE978" s="863"/>
    </row>
    <row r="979">
      <c r="A979" s="876"/>
      <c r="B979" s="876"/>
      <c r="C979" s="876"/>
      <c r="D979" s="876"/>
      <c r="E979" s="876"/>
      <c r="F979" s="876"/>
      <c r="G979" s="876"/>
      <c r="H979" s="876"/>
      <c r="I979" s="876"/>
      <c r="J979" s="876"/>
      <c r="K979" s="876"/>
      <c r="L979" s="876"/>
      <c r="M979" s="876"/>
      <c r="N979" s="877"/>
      <c r="O979" s="876"/>
      <c r="P979" s="876"/>
      <c r="Q979" s="876"/>
      <c r="R979" s="876"/>
      <c r="S979" s="876"/>
      <c r="T979" s="876"/>
      <c r="U979" s="876"/>
      <c r="V979" s="876"/>
      <c r="W979" s="876"/>
      <c r="X979" s="876"/>
      <c r="Y979" s="876"/>
      <c r="Z979" s="876"/>
      <c r="AA979" s="876"/>
      <c r="AB979" s="876"/>
      <c r="AC979" s="876"/>
      <c r="AD979" s="876"/>
      <c r="AE979" s="876"/>
      <c r="AF979" s="876"/>
      <c r="AG979" s="876"/>
      <c r="AH979" s="876"/>
      <c r="AI979" s="878"/>
      <c r="AJ979" s="880"/>
      <c r="AK979" s="880"/>
      <c r="AL979" s="880"/>
      <c r="AM979" s="880"/>
      <c r="AN979" s="880"/>
      <c r="AO979" s="880"/>
      <c r="AP979" s="880"/>
      <c r="AQ979" s="880"/>
      <c r="AR979" s="880"/>
      <c r="AS979" s="880"/>
      <c r="AT979" s="880"/>
      <c r="AU979" s="880"/>
      <c r="AV979" s="880"/>
      <c r="AW979" s="881"/>
      <c r="AX979" s="863"/>
      <c r="AY979" s="863"/>
      <c r="AZ979" s="863"/>
      <c r="BA979" s="863"/>
      <c r="BB979" s="863"/>
      <c r="BC979" s="863"/>
      <c r="BD979" s="863"/>
      <c r="BE979" s="863"/>
      <c r="BF979" s="863"/>
      <c r="BG979" s="863"/>
      <c r="BH979" s="863"/>
      <c r="BI979" s="863"/>
      <c r="BJ979" s="863"/>
      <c r="BK979" s="863"/>
      <c r="BL979" s="863"/>
      <c r="BM979" s="863"/>
      <c r="BN979" s="863"/>
      <c r="BO979" s="863"/>
      <c r="BP979" s="880"/>
      <c r="BQ979" s="863"/>
      <c r="BR979" s="883"/>
      <c r="BS979" s="883"/>
      <c r="BT979" s="883"/>
      <c r="BU979" s="883"/>
      <c r="BV979" s="883"/>
      <c r="BW979" s="883"/>
      <c r="BX979" s="883"/>
      <c r="BY979" s="883"/>
      <c r="BZ979" s="883"/>
      <c r="CA979" s="883"/>
      <c r="CB979" s="883"/>
      <c r="CC979" s="883"/>
      <c r="CD979" s="884"/>
      <c r="CE979" s="883"/>
      <c r="CF979" s="883"/>
      <c r="CG979" s="883"/>
      <c r="CH979" s="883"/>
      <c r="CI979" s="883"/>
      <c r="CJ979" s="883"/>
      <c r="CK979" s="883"/>
      <c r="CL979" s="883"/>
      <c r="CM979" s="883"/>
      <c r="CN979" s="883"/>
      <c r="CO979" s="883"/>
      <c r="CP979" s="883"/>
      <c r="CQ979" s="883"/>
      <c r="CR979" s="883"/>
      <c r="CS979" s="883"/>
      <c r="CT979" s="883"/>
      <c r="CU979" s="883"/>
      <c r="CV979" s="863"/>
      <c r="CW979" s="863"/>
      <c r="CX979" s="863"/>
      <c r="CY979" s="863"/>
      <c r="CZ979" s="863"/>
      <c r="DA979" s="863"/>
      <c r="DB979" s="863"/>
      <c r="DC979" s="863"/>
      <c r="DD979" s="863"/>
      <c r="DE979" s="863"/>
    </row>
    <row r="980">
      <c r="A980" s="876"/>
      <c r="B980" s="876"/>
      <c r="C980" s="876"/>
      <c r="D980" s="876"/>
      <c r="E980" s="876"/>
      <c r="F980" s="876"/>
      <c r="G980" s="876"/>
      <c r="H980" s="876"/>
      <c r="I980" s="876"/>
      <c r="J980" s="876"/>
      <c r="K980" s="876"/>
      <c r="L980" s="876"/>
      <c r="M980" s="876"/>
      <c r="N980" s="877"/>
      <c r="O980" s="876"/>
      <c r="P980" s="876"/>
      <c r="Q980" s="876"/>
      <c r="R980" s="876"/>
      <c r="S980" s="876"/>
      <c r="T980" s="876"/>
      <c r="U980" s="876"/>
      <c r="V980" s="876"/>
      <c r="W980" s="876"/>
      <c r="X980" s="876"/>
      <c r="Y980" s="876"/>
      <c r="Z980" s="876"/>
      <c r="AA980" s="876"/>
      <c r="AB980" s="876"/>
      <c r="AC980" s="876"/>
      <c r="AD980" s="876"/>
      <c r="AE980" s="876"/>
      <c r="AF980" s="876"/>
      <c r="AG980" s="876"/>
      <c r="AH980" s="876"/>
      <c r="AI980" s="878"/>
      <c r="AJ980" s="880"/>
      <c r="AK980" s="880"/>
      <c r="AL980" s="880"/>
      <c r="AM980" s="880"/>
      <c r="AN980" s="880"/>
      <c r="AO980" s="880"/>
      <c r="AP980" s="880"/>
      <c r="AQ980" s="880"/>
      <c r="AR980" s="880"/>
      <c r="AS980" s="880"/>
      <c r="AT980" s="880"/>
      <c r="AU980" s="880"/>
      <c r="AV980" s="880"/>
      <c r="AW980" s="881"/>
      <c r="AX980" s="863"/>
      <c r="AY980" s="863"/>
      <c r="AZ980" s="863"/>
      <c r="BA980" s="863"/>
      <c r="BB980" s="863"/>
      <c r="BC980" s="863"/>
      <c r="BD980" s="863"/>
      <c r="BE980" s="863"/>
      <c r="BF980" s="863"/>
      <c r="BG980" s="863"/>
      <c r="BH980" s="863"/>
      <c r="BI980" s="863"/>
      <c r="BJ980" s="863"/>
      <c r="BK980" s="863"/>
      <c r="BL980" s="863"/>
      <c r="BM980" s="863"/>
      <c r="BN980" s="863"/>
      <c r="BO980" s="863"/>
      <c r="BP980" s="880"/>
      <c r="BQ980" s="863"/>
      <c r="BR980" s="883"/>
      <c r="BS980" s="883"/>
      <c r="BT980" s="883"/>
      <c r="BU980" s="883"/>
      <c r="BV980" s="883"/>
      <c r="BW980" s="883"/>
      <c r="BX980" s="883"/>
      <c r="BY980" s="883"/>
      <c r="BZ980" s="883"/>
      <c r="CA980" s="883"/>
      <c r="CB980" s="883"/>
      <c r="CC980" s="883"/>
      <c r="CD980" s="884"/>
      <c r="CE980" s="883"/>
      <c r="CF980" s="883"/>
      <c r="CG980" s="883"/>
      <c r="CH980" s="883"/>
      <c r="CI980" s="883"/>
      <c r="CJ980" s="883"/>
      <c r="CK980" s="883"/>
      <c r="CL980" s="883"/>
      <c r="CM980" s="883"/>
      <c r="CN980" s="883"/>
      <c r="CO980" s="883"/>
      <c r="CP980" s="883"/>
      <c r="CQ980" s="883"/>
      <c r="CR980" s="883"/>
      <c r="CS980" s="883"/>
      <c r="CT980" s="883"/>
      <c r="CU980" s="883"/>
      <c r="CV980" s="863"/>
      <c r="CW980" s="863"/>
      <c r="CX980" s="863"/>
      <c r="CY980" s="863"/>
      <c r="CZ980" s="863"/>
      <c r="DA980" s="863"/>
      <c r="DB980" s="863"/>
      <c r="DC980" s="863"/>
      <c r="DD980" s="863"/>
      <c r="DE980" s="863"/>
    </row>
    <row r="981">
      <c r="A981" s="876"/>
      <c r="B981" s="876"/>
      <c r="C981" s="876"/>
      <c r="D981" s="876"/>
      <c r="E981" s="876"/>
      <c r="F981" s="876"/>
      <c r="G981" s="876"/>
      <c r="H981" s="876"/>
      <c r="I981" s="876"/>
      <c r="J981" s="876"/>
      <c r="K981" s="876"/>
      <c r="L981" s="876"/>
      <c r="M981" s="876"/>
      <c r="N981" s="877"/>
      <c r="O981" s="876"/>
      <c r="P981" s="876"/>
      <c r="Q981" s="876"/>
      <c r="R981" s="876"/>
      <c r="S981" s="876"/>
      <c r="T981" s="876"/>
      <c r="U981" s="876"/>
      <c r="V981" s="876"/>
      <c r="W981" s="876"/>
      <c r="X981" s="876"/>
      <c r="Y981" s="876"/>
      <c r="Z981" s="876"/>
      <c r="AA981" s="876"/>
      <c r="AB981" s="876"/>
      <c r="AC981" s="876"/>
      <c r="AD981" s="876"/>
      <c r="AE981" s="876"/>
      <c r="AF981" s="876"/>
      <c r="AG981" s="876"/>
      <c r="AH981" s="876"/>
      <c r="AI981" s="878"/>
      <c r="AJ981" s="880"/>
      <c r="AK981" s="880"/>
      <c r="AL981" s="880"/>
      <c r="AM981" s="880"/>
      <c r="AN981" s="880"/>
      <c r="AO981" s="880"/>
      <c r="AP981" s="880"/>
      <c r="AQ981" s="880"/>
      <c r="AR981" s="880"/>
      <c r="AS981" s="880"/>
      <c r="AT981" s="880"/>
      <c r="AU981" s="880"/>
      <c r="AV981" s="880"/>
      <c r="AW981" s="881"/>
      <c r="AX981" s="863"/>
      <c r="AY981" s="863"/>
      <c r="AZ981" s="863"/>
      <c r="BA981" s="863"/>
      <c r="BB981" s="863"/>
      <c r="BC981" s="863"/>
      <c r="BD981" s="863"/>
      <c r="BE981" s="863"/>
      <c r="BF981" s="863"/>
      <c r="BG981" s="863"/>
      <c r="BH981" s="863"/>
      <c r="BI981" s="863"/>
      <c r="BJ981" s="863"/>
      <c r="BK981" s="863"/>
      <c r="BL981" s="863"/>
      <c r="BM981" s="863"/>
      <c r="BN981" s="863"/>
      <c r="BO981" s="863"/>
      <c r="BP981" s="880"/>
      <c r="BQ981" s="863"/>
      <c r="BR981" s="883"/>
      <c r="BS981" s="883"/>
      <c r="BT981" s="883"/>
      <c r="BU981" s="883"/>
      <c r="BV981" s="883"/>
      <c r="BW981" s="883"/>
      <c r="BX981" s="883"/>
      <c r="BY981" s="883"/>
      <c r="BZ981" s="883"/>
      <c r="CA981" s="883"/>
      <c r="CB981" s="883"/>
      <c r="CC981" s="883"/>
      <c r="CD981" s="884"/>
      <c r="CE981" s="883"/>
      <c r="CF981" s="883"/>
      <c r="CG981" s="883"/>
      <c r="CH981" s="883"/>
      <c r="CI981" s="883"/>
      <c r="CJ981" s="883"/>
      <c r="CK981" s="883"/>
      <c r="CL981" s="883"/>
      <c r="CM981" s="883"/>
      <c r="CN981" s="883"/>
      <c r="CO981" s="883"/>
      <c r="CP981" s="883"/>
      <c r="CQ981" s="883"/>
      <c r="CR981" s="883"/>
      <c r="CS981" s="883"/>
      <c r="CT981" s="883"/>
      <c r="CU981" s="883"/>
      <c r="CV981" s="863"/>
      <c r="CW981" s="863"/>
      <c r="CX981" s="863"/>
      <c r="CY981" s="863"/>
      <c r="CZ981" s="863"/>
      <c r="DA981" s="863"/>
      <c r="DB981" s="863"/>
      <c r="DC981" s="863"/>
      <c r="DD981" s="863"/>
      <c r="DE981" s="863"/>
    </row>
    <row r="982">
      <c r="A982" s="876"/>
      <c r="B982" s="876"/>
      <c r="C982" s="876"/>
      <c r="D982" s="876"/>
      <c r="E982" s="876"/>
      <c r="F982" s="876"/>
      <c r="G982" s="876"/>
      <c r="H982" s="876"/>
      <c r="I982" s="876"/>
      <c r="J982" s="876"/>
      <c r="K982" s="876"/>
      <c r="L982" s="876"/>
      <c r="M982" s="876"/>
      <c r="N982" s="877"/>
      <c r="O982" s="876"/>
      <c r="P982" s="876"/>
      <c r="Q982" s="876"/>
      <c r="R982" s="876"/>
      <c r="S982" s="876"/>
      <c r="T982" s="876"/>
      <c r="U982" s="876"/>
      <c r="V982" s="876"/>
      <c r="W982" s="876"/>
      <c r="X982" s="876"/>
      <c r="Y982" s="876"/>
      <c r="Z982" s="876"/>
      <c r="AA982" s="876"/>
      <c r="AB982" s="876"/>
      <c r="AC982" s="876"/>
      <c r="AD982" s="876"/>
      <c r="AE982" s="876"/>
      <c r="AF982" s="876"/>
      <c r="AG982" s="876"/>
      <c r="AH982" s="876"/>
      <c r="AI982" s="878"/>
      <c r="AJ982" s="880"/>
      <c r="AK982" s="880"/>
      <c r="AL982" s="880"/>
      <c r="AM982" s="880"/>
      <c r="AN982" s="880"/>
      <c r="AO982" s="880"/>
      <c r="AP982" s="880"/>
      <c r="AQ982" s="880"/>
      <c r="AR982" s="880"/>
      <c r="AS982" s="880"/>
      <c r="AT982" s="880"/>
      <c r="AU982" s="880"/>
      <c r="AV982" s="880"/>
      <c r="AW982" s="881"/>
      <c r="AX982" s="863"/>
      <c r="AY982" s="863"/>
      <c r="AZ982" s="863"/>
      <c r="BA982" s="863"/>
      <c r="BB982" s="863"/>
      <c r="BC982" s="863"/>
      <c r="BD982" s="863"/>
      <c r="BE982" s="863"/>
      <c r="BF982" s="863"/>
      <c r="BG982" s="863"/>
      <c r="BH982" s="863"/>
      <c r="BI982" s="863"/>
      <c r="BJ982" s="863"/>
      <c r="BK982" s="863"/>
      <c r="BL982" s="863"/>
      <c r="BM982" s="863"/>
      <c r="BN982" s="863"/>
      <c r="BO982" s="863"/>
      <c r="BP982" s="880"/>
      <c r="BQ982" s="863"/>
      <c r="BR982" s="883"/>
      <c r="BS982" s="883"/>
      <c r="BT982" s="883"/>
      <c r="BU982" s="883"/>
      <c r="BV982" s="883"/>
      <c r="BW982" s="883"/>
      <c r="BX982" s="883"/>
      <c r="BY982" s="883"/>
      <c r="BZ982" s="883"/>
      <c r="CA982" s="883"/>
      <c r="CB982" s="883"/>
      <c r="CC982" s="883"/>
      <c r="CD982" s="884"/>
      <c r="CE982" s="883"/>
      <c r="CF982" s="883"/>
      <c r="CG982" s="883"/>
      <c r="CH982" s="883"/>
      <c r="CI982" s="883"/>
      <c r="CJ982" s="883"/>
      <c r="CK982" s="883"/>
      <c r="CL982" s="883"/>
      <c r="CM982" s="883"/>
      <c r="CN982" s="883"/>
      <c r="CO982" s="883"/>
      <c r="CP982" s="883"/>
      <c r="CQ982" s="883"/>
      <c r="CR982" s="883"/>
      <c r="CS982" s="883"/>
      <c r="CT982" s="883"/>
      <c r="CU982" s="883"/>
      <c r="CV982" s="863"/>
      <c r="CW982" s="863"/>
      <c r="CX982" s="863"/>
      <c r="CY982" s="863"/>
      <c r="CZ982" s="863"/>
      <c r="DA982" s="863"/>
      <c r="DB982" s="863"/>
      <c r="DC982" s="863"/>
      <c r="DD982" s="863"/>
      <c r="DE982" s="863"/>
    </row>
    <row r="983">
      <c r="A983" s="876"/>
      <c r="B983" s="876"/>
      <c r="C983" s="876"/>
      <c r="D983" s="876"/>
      <c r="E983" s="876"/>
      <c r="F983" s="876"/>
      <c r="G983" s="876"/>
      <c r="H983" s="876"/>
      <c r="I983" s="876"/>
      <c r="J983" s="876"/>
      <c r="K983" s="876"/>
      <c r="L983" s="876"/>
      <c r="M983" s="876"/>
      <c r="N983" s="877"/>
      <c r="O983" s="876"/>
      <c r="P983" s="876"/>
      <c r="Q983" s="876"/>
      <c r="R983" s="876"/>
      <c r="S983" s="876"/>
      <c r="T983" s="876"/>
      <c r="U983" s="876"/>
      <c r="V983" s="876"/>
      <c r="W983" s="876"/>
      <c r="X983" s="876"/>
      <c r="Y983" s="876"/>
      <c r="Z983" s="876"/>
      <c r="AA983" s="876"/>
      <c r="AB983" s="876"/>
      <c r="AC983" s="876"/>
      <c r="AD983" s="876"/>
      <c r="AE983" s="876"/>
      <c r="AF983" s="876"/>
      <c r="AG983" s="876"/>
      <c r="AH983" s="876"/>
      <c r="AI983" s="878"/>
      <c r="AJ983" s="880"/>
      <c r="AK983" s="880"/>
      <c r="AL983" s="880"/>
      <c r="AM983" s="880"/>
      <c r="AN983" s="880"/>
      <c r="AO983" s="880"/>
      <c r="AP983" s="880"/>
      <c r="AQ983" s="880"/>
      <c r="AR983" s="880"/>
      <c r="AS983" s="880"/>
      <c r="AT983" s="880"/>
      <c r="AU983" s="880"/>
      <c r="AV983" s="880"/>
      <c r="AW983" s="881"/>
      <c r="AX983" s="863"/>
      <c r="AY983" s="863"/>
      <c r="AZ983" s="863"/>
      <c r="BA983" s="863"/>
      <c r="BB983" s="863"/>
      <c r="BC983" s="863"/>
      <c r="BD983" s="863"/>
      <c r="BE983" s="863"/>
      <c r="BF983" s="863"/>
      <c r="BG983" s="863"/>
      <c r="BH983" s="863"/>
      <c r="BI983" s="863"/>
      <c r="BJ983" s="863"/>
      <c r="BK983" s="863"/>
      <c r="BL983" s="863"/>
      <c r="BM983" s="863"/>
      <c r="BN983" s="863"/>
      <c r="BO983" s="863"/>
      <c r="BP983" s="880"/>
      <c r="BQ983" s="863"/>
      <c r="BR983" s="883"/>
      <c r="BS983" s="883"/>
      <c r="BT983" s="883"/>
      <c r="BU983" s="883"/>
      <c r="BV983" s="883"/>
      <c r="BW983" s="883"/>
      <c r="BX983" s="883"/>
      <c r="BY983" s="883"/>
      <c r="BZ983" s="883"/>
      <c r="CA983" s="883"/>
      <c r="CB983" s="883"/>
      <c r="CC983" s="883"/>
      <c r="CD983" s="884"/>
      <c r="CE983" s="883"/>
      <c r="CF983" s="883"/>
      <c r="CG983" s="883"/>
      <c r="CH983" s="883"/>
      <c r="CI983" s="883"/>
      <c r="CJ983" s="883"/>
      <c r="CK983" s="883"/>
      <c r="CL983" s="883"/>
      <c r="CM983" s="883"/>
      <c r="CN983" s="883"/>
      <c r="CO983" s="883"/>
      <c r="CP983" s="883"/>
      <c r="CQ983" s="883"/>
      <c r="CR983" s="883"/>
      <c r="CS983" s="883"/>
      <c r="CT983" s="883"/>
      <c r="CU983" s="883"/>
      <c r="CV983" s="863"/>
      <c r="CW983" s="863"/>
      <c r="CX983" s="863"/>
      <c r="CY983" s="863"/>
      <c r="CZ983" s="863"/>
      <c r="DA983" s="863"/>
      <c r="DB983" s="863"/>
      <c r="DC983" s="863"/>
      <c r="DD983" s="863"/>
      <c r="DE983" s="863"/>
    </row>
    <row r="984">
      <c r="A984" s="876"/>
      <c r="B984" s="876"/>
      <c r="C984" s="876"/>
      <c r="D984" s="876"/>
      <c r="E984" s="876"/>
      <c r="F984" s="876"/>
      <c r="G984" s="876"/>
      <c r="H984" s="876"/>
      <c r="I984" s="876"/>
      <c r="J984" s="876"/>
      <c r="K984" s="876"/>
      <c r="L984" s="876"/>
      <c r="M984" s="876"/>
      <c r="N984" s="877"/>
      <c r="O984" s="876"/>
      <c r="P984" s="876"/>
      <c r="Q984" s="876"/>
      <c r="R984" s="876"/>
      <c r="S984" s="876"/>
      <c r="T984" s="876"/>
      <c r="U984" s="876"/>
      <c r="V984" s="876"/>
      <c r="W984" s="876"/>
      <c r="X984" s="876"/>
      <c r="Y984" s="876"/>
      <c r="Z984" s="876"/>
      <c r="AA984" s="876"/>
      <c r="AB984" s="876"/>
      <c r="AC984" s="876"/>
      <c r="AD984" s="876"/>
      <c r="AE984" s="876"/>
      <c r="AF984" s="876"/>
      <c r="AG984" s="876"/>
      <c r="AH984" s="876"/>
      <c r="AI984" s="878"/>
      <c r="AJ984" s="880"/>
      <c r="AK984" s="880"/>
      <c r="AL984" s="880"/>
      <c r="AM984" s="880"/>
      <c r="AN984" s="880"/>
      <c r="AO984" s="880"/>
      <c r="AP984" s="880"/>
      <c r="AQ984" s="880"/>
      <c r="AR984" s="880"/>
      <c r="AS984" s="880"/>
      <c r="AT984" s="880"/>
      <c r="AU984" s="880"/>
      <c r="AV984" s="880"/>
      <c r="AW984" s="881"/>
      <c r="AX984" s="863"/>
      <c r="AY984" s="863"/>
      <c r="AZ984" s="863"/>
      <c r="BA984" s="863"/>
      <c r="BB984" s="863"/>
      <c r="BC984" s="863"/>
      <c r="BD984" s="863"/>
      <c r="BE984" s="863"/>
      <c r="BF984" s="863"/>
      <c r="BG984" s="863"/>
      <c r="BH984" s="863"/>
      <c r="BI984" s="863"/>
      <c r="BJ984" s="863"/>
      <c r="BK984" s="863"/>
      <c r="BL984" s="863"/>
      <c r="BM984" s="863"/>
      <c r="BN984" s="863"/>
      <c r="BO984" s="863"/>
      <c r="BP984" s="880"/>
      <c r="BQ984" s="863"/>
      <c r="BR984" s="883"/>
      <c r="BS984" s="883"/>
      <c r="BT984" s="883"/>
      <c r="BU984" s="883"/>
      <c r="BV984" s="883"/>
      <c r="BW984" s="883"/>
      <c r="BX984" s="883"/>
      <c r="BY984" s="883"/>
      <c r="BZ984" s="883"/>
      <c r="CA984" s="883"/>
      <c r="CB984" s="883"/>
      <c r="CC984" s="883"/>
      <c r="CD984" s="884"/>
      <c r="CE984" s="883"/>
      <c r="CF984" s="883"/>
      <c r="CG984" s="883"/>
      <c r="CH984" s="883"/>
      <c r="CI984" s="883"/>
      <c r="CJ984" s="883"/>
      <c r="CK984" s="883"/>
      <c r="CL984" s="883"/>
      <c r="CM984" s="883"/>
      <c r="CN984" s="883"/>
      <c r="CO984" s="883"/>
      <c r="CP984" s="883"/>
      <c r="CQ984" s="883"/>
      <c r="CR984" s="883"/>
      <c r="CS984" s="883"/>
      <c r="CT984" s="883"/>
      <c r="CU984" s="883"/>
      <c r="CV984" s="863"/>
      <c r="CW984" s="863"/>
      <c r="CX984" s="863"/>
      <c r="CY984" s="863"/>
      <c r="CZ984" s="863"/>
      <c r="DA984" s="863"/>
      <c r="DB984" s="863"/>
      <c r="DC984" s="863"/>
      <c r="DD984" s="863"/>
      <c r="DE984" s="863"/>
    </row>
    <row r="985">
      <c r="A985" s="876"/>
      <c r="B985" s="876"/>
      <c r="C985" s="876"/>
      <c r="D985" s="876"/>
      <c r="E985" s="876"/>
      <c r="F985" s="876"/>
      <c r="G985" s="876"/>
      <c r="H985" s="876"/>
      <c r="I985" s="876"/>
      <c r="J985" s="876"/>
      <c r="K985" s="876"/>
      <c r="L985" s="876"/>
      <c r="M985" s="876"/>
      <c r="N985" s="877"/>
      <c r="O985" s="876"/>
      <c r="P985" s="876"/>
      <c r="Q985" s="876"/>
      <c r="R985" s="876"/>
      <c r="S985" s="876"/>
      <c r="T985" s="876"/>
      <c r="U985" s="876"/>
      <c r="V985" s="876"/>
      <c r="W985" s="876"/>
      <c r="X985" s="876"/>
      <c r="Y985" s="876"/>
      <c r="Z985" s="876"/>
      <c r="AA985" s="876"/>
      <c r="AB985" s="876"/>
      <c r="AC985" s="876"/>
      <c r="AD985" s="876"/>
      <c r="AE985" s="876"/>
      <c r="AF985" s="876"/>
      <c r="AG985" s="876"/>
      <c r="AH985" s="876"/>
      <c r="AI985" s="878"/>
      <c r="AJ985" s="880"/>
      <c r="AK985" s="880"/>
      <c r="AL985" s="880"/>
      <c r="AM985" s="880"/>
      <c r="AN985" s="880"/>
      <c r="AO985" s="880"/>
      <c r="AP985" s="880"/>
      <c r="AQ985" s="880"/>
      <c r="AR985" s="880"/>
      <c r="AS985" s="880"/>
      <c r="AT985" s="880"/>
      <c r="AU985" s="880"/>
      <c r="AV985" s="880"/>
      <c r="AW985" s="881"/>
      <c r="AX985" s="863"/>
      <c r="AY985" s="863"/>
      <c r="AZ985" s="863"/>
      <c r="BA985" s="863"/>
      <c r="BB985" s="863"/>
      <c r="BC985" s="863"/>
      <c r="BD985" s="863"/>
      <c r="BE985" s="863"/>
      <c r="BF985" s="863"/>
      <c r="BG985" s="863"/>
      <c r="BH985" s="863"/>
      <c r="BI985" s="863"/>
      <c r="BJ985" s="863"/>
      <c r="BK985" s="863"/>
      <c r="BL985" s="863"/>
      <c r="BM985" s="863"/>
      <c r="BN985" s="863"/>
      <c r="BO985" s="863"/>
      <c r="BP985" s="880"/>
      <c r="BQ985" s="863"/>
      <c r="BR985" s="883"/>
      <c r="BS985" s="883"/>
      <c r="BT985" s="883"/>
      <c r="BU985" s="883"/>
      <c r="BV985" s="883"/>
      <c r="BW985" s="883"/>
      <c r="BX985" s="883"/>
      <c r="BY985" s="883"/>
      <c r="BZ985" s="883"/>
      <c r="CA985" s="883"/>
      <c r="CB985" s="883"/>
      <c r="CC985" s="883"/>
      <c r="CD985" s="884"/>
      <c r="CE985" s="883"/>
      <c r="CF985" s="883"/>
      <c r="CG985" s="883"/>
      <c r="CH985" s="883"/>
      <c r="CI985" s="883"/>
      <c r="CJ985" s="883"/>
      <c r="CK985" s="883"/>
      <c r="CL985" s="883"/>
      <c r="CM985" s="883"/>
      <c r="CN985" s="883"/>
      <c r="CO985" s="883"/>
      <c r="CP985" s="883"/>
      <c r="CQ985" s="883"/>
      <c r="CR985" s="883"/>
      <c r="CS985" s="883"/>
      <c r="CT985" s="883"/>
      <c r="CU985" s="883"/>
      <c r="CV985" s="863"/>
      <c r="CW985" s="863"/>
      <c r="CX985" s="863"/>
      <c r="CY985" s="863"/>
      <c r="CZ985" s="863"/>
      <c r="DA985" s="863"/>
      <c r="DB985" s="863"/>
      <c r="DC985" s="863"/>
      <c r="DD985" s="863"/>
      <c r="DE985" s="863"/>
    </row>
    <row r="986">
      <c r="A986" s="876"/>
      <c r="B986" s="876"/>
      <c r="C986" s="876"/>
      <c r="D986" s="876"/>
      <c r="E986" s="876"/>
      <c r="F986" s="876"/>
      <c r="G986" s="876"/>
      <c r="H986" s="876"/>
      <c r="I986" s="876"/>
      <c r="J986" s="876"/>
      <c r="K986" s="876"/>
      <c r="L986" s="876"/>
      <c r="M986" s="876"/>
      <c r="N986" s="877"/>
      <c r="O986" s="876"/>
      <c r="P986" s="876"/>
      <c r="Q986" s="876"/>
      <c r="R986" s="876"/>
      <c r="S986" s="876"/>
      <c r="T986" s="876"/>
      <c r="U986" s="876"/>
      <c r="V986" s="876"/>
      <c r="W986" s="876"/>
      <c r="X986" s="876"/>
      <c r="Y986" s="876"/>
      <c r="Z986" s="876"/>
      <c r="AA986" s="876"/>
      <c r="AB986" s="876"/>
      <c r="AC986" s="876"/>
      <c r="AD986" s="876"/>
      <c r="AE986" s="876"/>
      <c r="AF986" s="876"/>
      <c r="AG986" s="876"/>
      <c r="AH986" s="876"/>
      <c r="AI986" s="878"/>
      <c r="AJ986" s="880"/>
      <c r="AK986" s="880"/>
      <c r="AL986" s="880"/>
      <c r="AM986" s="880"/>
      <c r="AN986" s="880"/>
      <c r="AO986" s="880"/>
      <c r="AP986" s="880"/>
      <c r="AQ986" s="880"/>
      <c r="AR986" s="880"/>
      <c r="AS986" s="880"/>
      <c r="AT986" s="880"/>
      <c r="AU986" s="880"/>
      <c r="AV986" s="880"/>
      <c r="AW986" s="881"/>
      <c r="AX986" s="863"/>
      <c r="AY986" s="863"/>
      <c r="AZ986" s="863"/>
      <c r="BA986" s="863"/>
      <c r="BB986" s="863"/>
      <c r="BC986" s="863"/>
      <c r="BD986" s="863"/>
      <c r="BE986" s="863"/>
      <c r="BF986" s="863"/>
      <c r="BG986" s="863"/>
      <c r="BH986" s="863"/>
      <c r="BI986" s="863"/>
      <c r="BJ986" s="863"/>
      <c r="BK986" s="863"/>
      <c r="BL986" s="863"/>
      <c r="BM986" s="863"/>
      <c r="BN986" s="863"/>
      <c r="BO986" s="863"/>
      <c r="BP986" s="880"/>
      <c r="BQ986" s="863"/>
      <c r="BR986" s="883"/>
      <c r="BS986" s="883"/>
      <c r="BT986" s="883"/>
      <c r="BU986" s="883"/>
      <c r="BV986" s="883"/>
      <c r="BW986" s="883"/>
      <c r="BX986" s="883"/>
      <c r="BY986" s="883"/>
      <c r="BZ986" s="883"/>
      <c r="CA986" s="883"/>
      <c r="CB986" s="883"/>
      <c r="CC986" s="883"/>
      <c r="CD986" s="884"/>
      <c r="CE986" s="883"/>
      <c r="CF986" s="883"/>
      <c r="CG986" s="883"/>
      <c r="CH986" s="883"/>
      <c r="CI986" s="883"/>
      <c r="CJ986" s="883"/>
      <c r="CK986" s="883"/>
      <c r="CL986" s="883"/>
      <c r="CM986" s="883"/>
      <c r="CN986" s="883"/>
      <c r="CO986" s="883"/>
      <c r="CP986" s="883"/>
      <c r="CQ986" s="883"/>
      <c r="CR986" s="883"/>
      <c r="CS986" s="883"/>
      <c r="CT986" s="883"/>
      <c r="CU986" s="883"/>
      <c r="CV986" s="863"/>
      <c r="CW986" s="863"/>
      <c r="CX986" s="863"/>
      <c r="CY986" s="863"/>
      <c r="CZ986" s="863"/>
      <c r="DA986" s="863"/>
      <c r="DB986" s="863"/>
      <c r="DC986" s="863"/>
      <c r="DD986" s="863"/>
      <c r="DE986" s="863"/>
    </row>
    <row r="987">
      <c r="A987" s="876"/>
      <c r="B987" s="876"/>
      <c r="C987" s="876"/>
      <c r="D987" s="876"/>
      <c r="E987" s="876"/>
      <c r="F987" s="876"/>
      <c r="G987" s="876"/>
      <c r="H987" s="876"/>
      <c r="I987" s="876"/>
      <c r="J987" s="876"/>
      <c r="K987" s="876"/>
      <c r="L987" s="876"/>
      <c r="M987" s="876"/>
      <c r="N987" s="877"/>
      <c r="O987" s="876"/>
      <c r="P987" s="876"/>
      <c r="Q987" s="876"/>
      <c r="R987" s="876"/>
      <c r="S987" s="876"/>
      <c r="T987" s="876"/>
      <c r="U987" s="876"/>
      <c r="V987" s="876"/>
      <c r="W987" s="876"/>
      <c r="X987" s="876"/>
      <c r="Y987" s="876"/>
      <c r="Z987" s="876"/>
      <c r="AA987" s="876"/>
      <c r="AB987" s="876"/>
      <c r="AC987" s="876"/>
      <c r="AD987" s="876"/>
      <c r="AE987" s="876"/>
      <c r="AF987" s="876"/>
      <c r="AG987" s="876"/>
      <c r="AH987" s="876"/>
      <c r="AI987" s="878"/>
      <c r="AJ987" s="880"/>
      <c r="AK987" s="880"/>
      <c r="AL987" s="880"/>
      <c r="AM987" s="880"/>
      <c r="AN987" s="880"/>
      <c r="AO987" s="880"/>
      <c r="AP987" s="880"/>
      <c r="AQ987" s="880"/>
      <c r="AR987" s="880"/>
      <c r="AS987" s="880"/>
      <c r="AT987" s="880"/>
      <c r="AU987" s="880"/>
      <c r="AV987" s="880"/>
      <c r="AW987" s="881"/>
      <c r="AX987" s="863"/>
      <c r="AY987" s="863"/>
      <c r="AZ987" s="863"/>
      <c r="BA987" s="863"/>
      <c r="BB987" s="863"/>
      <c r="BC987" s="863"/>
      <c r="BD987" s="863"/>
      <c r="BE987" s="863"/>
      <c r="BF987" s="863"/>
      <c r="BG987" s="863"/>
      <c r="BH987" s="863"/>
      <c r="BI987" s="863"/>
      <c r="BJ987" s="863"/>
      <c r="BK987" s="863"/>
      <c r="BL987" s="863"/>
      <c r="BM987" s="863"/>
      <c r="BN987" s="863"/>
      <c r="BO987" s="863"/>
      <c r="BP987" s="880"/>
      <c r="BQ987" s="863"/>
      <c r="BR987" s="883"/>
      <c r="BS987" s="883"/>
      <c r="BT987" s="883"/>
      <c r="BU987" s="883"/>
      <c r="BV987" s="883"/>
      <c r="BW987" s="883"/>
      <c r="BX987" s="883"/>
      <c r="BY987" s="883"/>
      <c r="BZ987" s="883"/>
      <c r="CA987" s="883"/>
      <c r="CB987" s="883"/>
      <c r="CC987" s="883"/>
      <c r="CD987" s="884"/>
      <c r="CE987" s="883"/>
      <c r="CF987" s="883"/>
      <c r="CG987" s="883"/>
      <c r="CH987" s="883"/>
      <c r="CI987" s="883"/>
      <c r="CJ987" s="883"/>
      <c r="CK987" s="883"/>
      <c r="CL987" s="883"/>
      <c r="CM987" s="883"/>
      <c r="CN987" s="883"/>
      <c r="CO987" s="883"/>
      <c r="CP987" s="883"/>
      <c r="CQ987" s="883"/>
      <c r="CR987" s="883"/>
      <c r="CS987" s="883"/>
      <c r="CT987" s="883"/>
      <c r="CU987" s="883"/>
      <c r="CV987" s="863"/>
      <c r="CW987" s="863"/>
      <c r="CX987" s="863"/>
      <c r="CY987" s="863"/>
      <c r="CZ987" s="863"/>
      <c r="DA987" s="863"/>
      <c r="DB987" s="863"/>
      <c r="DC987" s="863"/>
      <c r="DD987" s="863"/>
      <c r="DE987" s="863"/>
    </row>
    <row r="988">
      <c r="A988" s="876"/>
      <c r="B988" s="876"/>
      <c r="C988" s="876"/>
      <c r="D988" s="876"/>
      <c r="E988" s="876"/>
      <c r="F988" s="876"/>
      <c r="G988" s="876"/>
      <c r="H988" s="876"/>
      <c r="I988" s="876"/>
      <c r="J988" s="876"/>
      <c r="K988" s="876"/>
      <c r="L988" s="876"/>
      <c r="M988" s="876"/>
      <c r="N988" s="877"/>
      <c r="O988" s="876"/>
      <c r="P988" s="876"/>
      <c r="Q988" s="876"/>
      <c r="R988" s="876"/>
      <c r="S988" s="876"/>
      <c r="T988" s="876"/>
      <c r="U988" s="876"/>
      <c r="V988" s="876"/>
      <c r="W988" s="876"/>
      <c r="X988" s="876"/>
      <c r="Y988" s="876"/>
      <c r="Z988" s="876"/>
      <c r="AA988" s="876"/>
      <c r="AB988" s="876"/>
      <c r="AC988" s="876"/>
      <c r="AD988" s="876"/>
      <c r="AE988" s="876"/>
      <c r="AF988" s="876"/>
      <c r="AG988" s="876"/>
      <c r="AH988" s="876"/>
      <c r="AI988" s="878"/>
      <c r="AJ988" s="880"/>
      <c r="AK988" s="880"/>
      <c r="AL988" s="880"/>
      <c r="AM988" s="880"/>
      <c r="AN988" s="880"/>
      <c r="AO988" s="880"/>
      <c r="AP988" s="880"/>
      <c r="AQ988" s="880"/>
      <c r="AR988" s="880"/>
      <c r="AS988" s="880"/>
      <c r="AT988" s="880"/>
      <c r="AU988" s="880"/>
      <c r="AV988" s="880"/>
      <c r="AW988" s="881"/>
      <c r="AX988" s="863"/>
      <c r="AY988" s="863"/>
      <c r="AZ988" s="863"/>
      <c r="BA988" s="863"/>
      <c r="BB988" s="863"/>
      <c r="BC988" s="863"/>
      <c r="BD988" s="863"/>
      <c r="BE988" s="863"/>
      <c r="BF988" s="863"/>
      <c r="BG988" s="863"/>
      <c r="BH988" s="863"/>
      <c r="BI988" s="863"/>
      <c r="BJ988" s="863"/>
      <c r="BK988" s="863"/>
      <c r="BL988" s="863"/>
      <c r="BM988" s="863"/>
      <c r="BN988" s="863"/>
      <c r="BO988" s="863"/>
      <c r="BP988" s="880"/>
      <c r="BQ988" s="863"/>
      <c r="BR988" s="883"/>
      <c r="BS988" s="883"/>
      <c r="BT988" s="883"/>
      <c r="BU988" s="883"/>
      <c r="BV988" s="883"/>
      <c r="BW988" s="883"/>
      <c r="BX988" s="883"/>
      <c r="BY988" s="883"/>
      <c r="BZ988" s="883"/>
      <c r="CA988" s="883"/>
      <c r="CB988" s="883"/>
      <c r="CC988" s="883"/>
      <c r="CD988" s="884"/>
      <c r="CE988" s="883"/>
      <c r="CF988" s="883"/>
      <c r="CG988" s="883"/>
      <c r="CH988" s="883"/>
      <c r="CI988" s="883"/>
      <c r="CJ988" s="883"/>
      <c r="CK988" s="883"/>
      <c r="CL988" s="883"/>
      <c r="CM988" s="883"/>
      <c r="CN988" s="883"/>
      <c r="CO988" s="883"/>
      <c r="CP988" s="883"/>
      <c r="CQ988" s="883"/>
      <c r="CR988" s="883"/>
      <c r="CS988" s="883"/>
      <c r="CT988" s="883"/>
      <c r="CU988" s="883"/>
      <c r="CV988" s="863"/>
      <c r="CW988" s="863"/>
      <c r="CX988" s="863"/>
      <c r="CY988" s="863"/>
      <c r="CZ988" s="863"/>
      <c r="DA988" s="863"/>
      <c r="DB988" s="863"/>
      <c r="DC988" s="863"/>
      <c r="DD988" s="863"/>
      <c r="DE988" s="863"/>
    </row>
    <row r="989">
      <c r="A989" s="876"/>
      <c r="B989" s="876"/>
      <c r="C989" s="876"/>
      <c r="D989" s="876"/>
      <c r="E989" s="876"/>
      <c r="F989" s="876"/>
      <c r="G989" s="876"/>
      <c r="H989" s="876"/>
      <c r="I989" s="876"/>
      <c r="J989" s="876"/>
      <c r="K989" s="876"/>
      <c r="L989" s="876"/>
      <c r="M989" s="876"/>
      <c r="N989" s="877"/>
      <c r="O989" s="876"/>
      <c r="P989" s="876"/>
      <c r="Q989" s="876"/>
      <c r="R989" s="876"/>
      <c r="S989" s="876"/>
      <c r="T989" s="876"/>
      <c r="U989" s="876"/>
      <c r="V989" s="876"/>
      <c r="W989" s="876"/>
      <c r="X989" s="876"/>
      <c r="Y989" s="876"/>
      <c r="Z989" s="876"/>
      <c r="AA989" s="876"/>
      <c r="AB989" s="876"/>
      <c r="AC989" s="876"/>
      <c r="AD989" s="876"/>
      <c r="AE989" s="876"/>
      <c r="AF989" s="876"/>
      <c r="AG989" s="876"/>
      <c r="AH989" s="876"/>
      <c r="AI989" s="878"/>
      <c r="AJ989" s="880"/>
      <c r="AK989" s="880"/>
      <c r="AL989" s="880"/>
      <c r="AM989" s="880"/>
      <c r="AN989" s="880"/>
      <c r="AO989" s="880"/>
      <c r="AP989" s="880"/>
      <c r="AQ989" s="880"/>
      <c r="AR989" s="880"/>
      <c r="AS989" s="880"/>
      <c r="AT989" s="880"/>
      <c r="AU989" s="880"/>
      <c r="AV989" s="880"/>
      <c r="AW989" s="881"/>
      <c r="AX989" s="863"/>
      <c r="AY989" s="863"/>
      <c r="AZ989" s="863"/>
      <c r="BA989" s="863"/>
      <c r="BB989" s="863"/>
      <c r="BC989" s="863"/>
      <c r="BD989" s="863"/>
      <c r="BE989" s="863"/>
      <c r="BF989" s="863"/>
      <c r="BG989" s="863"/>
      <c r="BH989" s="863"/>
      <c r="BI989" s="863"/>
      <c r="BJ989" s="863"/>
      <c r="BK989" s="863"/>
      <c r="BL989" s="863"/>
      <c r="BM989" s="863"/>
      <c r="BN989" s="863"/>
      <c r="BO989" s="863"/>
      <c r="BP989" s="880"/>
      <c r="BQ989" s="863"/>
      <c r="BR989" s="883"/>
      <c r="BS989" s="883"/>
      <c r="BT989" s="883"/>
      <c r="BU989" s="883"/>
      <c r="BV989" s="883"/>
      <c r="BW989" s="883"/>
      <c r="BX989" s="883"/>
      <c r="BY989" s="883"/>
      <c r="BZ989" s="883"/>
      <c r="CA989" s="883"/>
      <c r="CB989" s="883"/>
      <c r="CC989" s="883"/>
      <c r="CD989" s="884"/>
      <c r="CE989" s="883"/>
      <c r="CF989" s="883"/>
      <c r="CG989" s="883"/>
      <c r="CH989" s="883"/>
      <c r="CI989" s="883"/>
      <c r="CJ989" s="883"/>
      <c r="CK989" s="883"/>
      <c r="CL989" s="883"/>
      <c r="CM989" s="883"/>
      <c r="CN989" s="883"/>
      <c r="CO989" s="883"/>
      <c r="CP989" s="883"/>
      <c r="CQ989" s="883"/>
      <c r="CR989" s="883"/>
      <c r="CS989" s="883"/>
      <c r="CT989" s="883"/>
      <c r="CU989" s="883"/>
      <c r="CV989" s="863"/>
      <c r="CW989" s="863"/>
      <c r="CX989" s="863"/>
      <c r="CY989" s="863"/>
      <c r="CZ989" s="863"/>
      <c r="DA989" s="863"/>
      <c r="DB989" s="863"/>
      <c r="DC989" s="863"/>
      <c r="DD989" s="863"/>
      <c r="DE989" s="863"/>
    </row>
    <row r="990">
      <c r="A990" s="876"/>
      <c r="B990" s="876"/>
      <c r="C990" s="876"/>
      <c r="D990" s="876"/>
      <c r="E990" s="876"/>
      <c r="F990" s="876"/>
      <c r="G990" s="876"/>
      <c r="H990" s="876"/>
      <c r="I990" s="876"/>
      <c r="J990" s="876"/>
      <c r="K990" s="876"/>
      <c r="L990" s="876"/>
      <c r="M990" s="876"/>
      <c r="N990" s="877"/>
      <c r="O990" s="876"/>
      <c r="P990" s="876"/>
      <c r="Q990" s="876"/>
      <c r="R990" s="876"/>
      <c r="S990" s="876"/>
      <c r="T990" s="876"/>
      <c r="U990" s="876"/>
      <c r="V990" s="876"/>
      <c r="W990" s="876"/>
      <c r="X990" s="876"/>
      <c r="Y990" s="876"/>
      <c r="Z990" s="876"/>
      <c r="AA990" s="876"/>
      <c r="AB990" s="876"/>
      <c r="AC990" s="876"/>
      <c r="AD990" s="876"/>
      <c r="AE990" s="876"/>
      <c r="AF990" s="876"/>
      <c r="AG990" s="876"/>
      <c r="AH990" s="876"/>
      <c r="AI990" s="878"/>
      <c r="AJ990" s="880"/>
      <c r="AK990" s="880"/>
      <c r="AL990" s="880"/>
      <c r="AM990" s="880"/>
      <c r="AN990" s="880"/>
      <c r="AO990" s="880"/>
      <c r="AP990" s="880"/>
      <c r="AQ990" s="880"/>
      <c r="AR990" s="880"/>
      <c r="AS990" s="880"/>
      <c r="AT990" s="880"/>
      <c r="AU990" s="880"/>
      <c r="AV990" s="880"/>
      <c r="AW990" s="881"/>
      <c r="AX990" s="863"/>
      <c r="AY990" s="863"/>
      <c r="AZ990" s="863"/>
      <c r="BA990" s="863"/>
      <c r="BB990" s="863"/>
      <c r="BC990" s="863"/>
      <c r="BD990" s="863"/>
      <c r="BE990" s="863"/>
      <c r="BF990" s="863"/>
      <c r="BG990" s="863"/>
      <c r="BH990" s="863"/>
      <c r="BI990" s="863"/>
      <c r="BJ990" s="863"/>
      <c r="BK990" s="863"/>
      <c r="BL990" s="863"/>
      <c r="BM990" s="863"/>
      <c r="BN990" s="863"/>
      <c r="BO990" s="863"/>
      <c r="BP990" s="880"/>
      <c r="BQ990" s="863"/>
      <c r="BR990" s="883"/>
      <c r="BS990" s="883"/>
      <c r="BT990" s="883"/>
      <c r="BU990" s="883"/>
      <c r="BV990" s="883"/>
      <c r="BW990" s="883"/>
      <c r="BX990" s="883"/>
      <c r="BY990" s="883"/>
      <c r="BZ990" s="883"/>
      <c r="CA990" s="883"/>
      <c r="CB990" s="883"/>
      <c r="CC990" s="883"/>
      <c r="CD990" s="884"/>
      <c r="CE990" s="883"/>
      <c r="CF990" s="883"/>
      <c r="CG990" s="883"/>
      <c r="CH990" s="883"/>
      <c r="CI990" s="883"/>
      <c r="CJ990" s="883"/>
      <c r="CK990" s="883"/>
      <c r="CL990" s="883"/>
      <c r="CM990" s="883"/>
      <c r="CN990" s="883"/>
      <c r="CO990" s="883"/>
      <c r="CP990" s="883"/>
      <c r="CQ990" s="883"/>
      <c r="CR990" s="883"/>
      <c r="CS990" s="883"/>
      <c r="CT990" s="883"/>
      <c r="CU990" s="883"/>
      <c r="CV990" s="863"/>
      <c r="CW990" s="863"/>
      <c r="CX990" s="863"/>
      <c r="CY990" s="863"/>
      <c r="CZ990" s="863"/>
      <c r="DA990" s="863"/>
      <c r="DB990" s="863"/>
      <c r="DC990" s="863"/>
      <c r="DD990" s="863"/>
      <c r="DE990" s="863"/>
    </row>
    <row r="991">
      <c r="A991" s="876"/>
      <c r="B991" s="876"/>
      <c r="C991" s="876"/>
      <c r="D991" s="876"/>
      <c r="E991" s="876"/>
      <c r="F991" s="876"/>
      <c r="G991" s="876"/>
      <c r="H991" s="876"/>
      <c r="I991" s="876"/>
      <c r="J991" s="876"/>
      <c r="K991" s="876"/>
      <c r="L991" s="876"/>
      <c r="M991" s="876"/>
      <c r="N991" s="877"/>
      <c r="O991" s="876"/>
      <c r="P991" s="876"/>
      <c r="Q991" s="876"/>
      <c r="R991" s="876"/>
      <c r="S991" s="876"/>
      <c r="T991" s="876"/>
      <c r="U991" s="876"/>
      <c r="V991" s="876"/>
      <c r="W991" s="876"/>
      <c r="X991" s="876"/>
      <c r="Y991" s="876"/>
      <c r="Z991" s="876"/>
      <c r="AA991" s="876"/>
      <c r="AB991" s="876"/>
      <c r="AC991" s="876"/>
      <c r="AD991" s="876"/>
      <c r="AE991" s="876"/>
      <c r="AF991" s="876"/>
      <c r="AG991" s="876"/>
      <c r="AH991" s="876"/>
      <c r="AI991" s="878"/>
      <c r="AJ991" s="880"/>
      <c r="AK991" s="880"/>
      <c r="AL991" s="880"/>
      <c r="AM991" s="880"/>
      <c r="AN991" s="880"/>
      <c r="AO991" s="880"/>
      <c r="AP991" s="880"/>
      <c r="AQ991" s="880"/>
      <c r="AR991" s="880"/>
      <c r="AS991" s="880"/>
      <c r="AT991" s="880"/>
      <c r="AU991" s="880"/>
      <c r="AV991" s="880"/>
      <c r="AW991" s="881"/>
      <c r="AX991" s="863"/>
      <c r="AY991" s="863"/>
      <c r="AZ991" s="863"/>
      <c r="BA991" s="863"/>
      <c r="BB991" s="863"/>
      <c r="BC991" s="863"/>
      <c r="BD991" s="863"/>
      <c r="BE991" s="863"/>
      <c r="BF991" s="863"/>
      <c r="BG991" s="863"/>
      <c r="BH991" s="863"/>
      <c r="BI991" s="863"/>
      <c r="BJ991" s="863"/>
      <c r="BK991" s="863"/>
      <c r="BL991" s="863"/>
      <c r="BM991" s="863"/>
      <c r="BN991" s="863"/>
      <c r="BO991" s="863"/>
      <c r="BP991" s="880"/>
      <c r="BQ991" s="863"/>
      <c r="BR991" s="883"/>
      <c r="BS991" s="883"/>
      <c r="BT991" s="883"/>
      <c r="BU991" s="883"/>
      <c r="BV991" s="883"/>
      <c r="BW991" s="883"/>
      <c r="BX991" s="883"/>
      <c r="BY991" s="883"/>
      <c r="BZ991" s="883"/>
      <c r="CA991" s="883"/>
      <c r="CB991" s="883"/>
      <c r="CC991" s="883"/>
      <c r="CD991" s="884"/>
      <c r="CE991" s="883"/>
      <c r="CF991" s="883"/>
      <c r="CG991" s="883"/>
      <c r="CH991" s="883"/>
      <c r="CI991" s="883"/>
      <c r="CJ991" s="883"/>
      <c r="CK991" s="883"/>
      <c r="CL991" s="883"/>
      <c r="CM991" s="883"/>
      <c r="CN991" s="883"/>
      <c r="CO991" s="883"/>
      <c r="CP991" s="883"/>
      <c r="CQ991" s="883"/>
      <c r="CR991" s="883"/>
      <c r="CS991" s="883"/>
      <c r="CT991" s="883"/>
      <c r="CU991" s="883"/>
      <c r="CV991" s="863"/>
      <c r="CW991" s="863"/>
      <c r="CX991" s="863"/>
      <c r="CY991" s="863"/>
      <c r="CZ991" s="863"/>
      <c r="DA991" s="863"/>
      <c r="DB991" s="863"/>
      <c r="DC991" s="863"/>
      <c r="DD991" s="863"/>
      <c r="DE991" s="863"/>
    </row>
    <row r="992">
      <c r="A992" s="876"/>
      <c r="B992" s="876"/>
      <c r="C992" s="876"/>
      <c r="D992" s="876"/>
      <c r="E992" s="876"/>
      <c r="F992" s="876"/>
      <c r="G992" s="876"/>
      <c r="H992" s="876"/>
      <c r="I992" s="876"/>
      <c r="J992" s="876"/>
      <c r="K992" s="876"/>
      <c r="L992" s="876"/>
      <c r="M992" s="876"/>
      <c r="N992" s="877"/>
      <c r="O992" s="876"/>
      <c r="P992" s="876"/>
      <c r="Q992" s="876"/>
      <c r="R992" s="876"/>
      <c r="S992" s="876"/>
      <c r="T992" s="876"/>
      <c r="U992" s="876"/>
      <c r="V992" s="876"/>
      <c r="W992" s="876"/>
      <c r="X992" s="876"/>
      <c r="Y992" s="876"/>
      <c r="Z992" s="876"/>
      <c r="AA992" s="876"/>
      <c r="AB992" s="876"/>
      <c r="AC992" s="876"/>
      <c r="AD992" s="876"/>
      <c r="AE992" s="876"/>
      <c r="AF992" s="876"/>
      <c r="AG992" s="876"/>
      <c r="AH992" s="876"/>
      <c r="AI992" s="878"/>
      <c r="AJ992" s="880"/>
      <c r="AK992" s="880"/>
      <c r="AL992" s="880"/>
      <c r="AM992" s="880"/>
      <c r="AN992" s="880"/>
      <c r="AO992" s="880"/>
      <c r="AP992" s="880"/>
      <c r="AQ992" s="880"/>
      <c r="AR992" s="880"/>
      <c r="AS992" s="880"/>
      <c r="AT992" s="880"/>
      <c r="AU992" s="880"/>
      <c r="AV992" s="880"/>
      <c r="AW992" s="881"/>
      <c r="AX992" s="863"/>
      <c r="AY992" s="863"/>
      <c r="AZ992" s="863"/>
      <c r="BA992" s="863"/>
      <c r="BB992" s="863"/>
      <c r="BC992" s="863"/>
      <c r="BD992" s="863"/>
      <c r="BE992" s="863"/>
      <c r="BF992" s="863"/>
      <c r="BG992" s="863"/>
      <c r="BH992" s="863"/>
      <c r="BI992" s="863"/>
      <c r="BJ992" s="863"/>
      <c r="BK992" s="863"/>
      <c r="BL992" s="863"/>
      <c r="BM992" s="863"/>
      <c r="BN992" s="863"/>
      <c r="BO992" s="863"/>
      <c r="BP992" s="880"/>
      <c r="BQ992" s="863"/>
      <c r="BR992" s="883"/>
      <c r="BS992" s="883"/>
      <c r="BT992" s="883"/>
      <c r="BU992" s="883"/>
      <c r="BV992" s="883"/>
      <c r="BW992" s="883"/>
      <c r="BX992" s="883"/>
      <c r="BY992" s="883"/>
      <c r="BZ992" s="883"/>
      <c r="CA992" s="883"/>
      <c r="CB992" s="883"/>
      <c r="CC992" s="883"/>
      <c r="CD992" s="884"/>
      <c r="CE992" s="883"/>
      <c r="CF992" s="883"/>
      <c r="CG992" s="883"/>
      <c r="CH992" s="883"/>
      <c r="CI992" s="883"/>
      <c r="CJ992" s="883"/>
      <c r="CK992" s="883"/>
      <c r="CL992" s="883"/>
      <c r="CM992" s="883"/>
      <c r="CN992" s="883"/>
      <c r="CO992" s="883"/>
      <c r="CP992" s="883"/>
      <c r="CQ992" s="883"/>
      <c r="CR992" s="883"/>
      <c r="CS992" s="883"/>
      <c r="CT992" s="883"/>
      <c r="CU992" s="883"/>
      <c r="CV992" s="863"/>
      <c r="CW992" s="863"/>
      <c r="CX992" s="863"/>
      <c r="CY992" s="863"/>
      <c r="CZ992" s="863"/>
      <c r="DA992" s="863"/>
      <c r="DB992" s="863"/>
      <c r="DC992" s="863"/>
      <c r="DD992" s="863"/>
      <c r="DE992" s="863"/>
    </row>
    <row r="993">
      <c r="A993" s="876"/>
      <c r="B993" s="876"/>
      <c r="C993" s="876"/>
      <c r="D993" s="876"/>
      <c r="E993" s="876"/>
      <c r="F993" s="876"/>
      <c r="G993" s="876"/>
      <c r="H993" s="876"/>
      <c r="I993" s="876"/>
      <c r="J993" s="876"/>
      <c r="K993" s="876"/>
      <c r="L993" s="876"/>
      <c r="M993" s="876"/>
      <c r="N993" s="877"/>
      <c r="O993" s="876"/>
      <c r="P993" s="876"/>
      <c r="Q993" s="876"/>
      <c r="R993" s="876"/>
      <c r="S993" s="876"/>
      <c r="T993" s="876"/>
      <c r="U993" s="876"/>
      <c r="V993" s="876"/>
      <c r="W993" s="876"/>
      <c r="X993" s="876"/>
      <c r="Y993" s="876"/>
      <c r="Z993" s="876"/>
      <c r="AA993" s="876"/>
      <c r="AB993" s="876"/>
      <c r="AC993" s="876"/>
      <c r="AD993" s="876"/>
      <c r="AE993" s="876"/>
      <c r="AF993" s="876"/>
      <c r="AG993" s="876"/>
      <c r="AH993" s="876"/>
      <c r="AI993" s="878"/>
      <c r="AJ993" s="880"/>
      <c r="AK993" s="880"/>
      <c r="AL993" s="880"/>
      <c r="AM993" s="880"/>
      <c r="AN993" s="880"/>
      <c r="AO993" s="880"/>
      <c r="AP993" s="880"/>
      <c r="AQ993" s="880"/>
      <c r="AR993" s="880"/>
      <c r="AS993" s="880"/>
      <c r="AT993" s="880"/>
      <c r="AU993" s="880"/>
      <c r="AV993" s="880"/>
      <c r="AW993" s="881"/>
      <c r="AX993" s="863"/>
      <c r="AY993" s="863"/>
      <c r="AZ993" s="863"/>
      <c r="BA993" s="863"/>
      <c r="BB993" s="863"/>
      <c r="BC993" s="863"/>
      <c r="BD993" s="863"/>
      <c r="BE993" s="863"/>
      <c r="BF993" s="863"/>
      <c r="BG993" s="863"/>
      <c r="BH993" s="863"/>
      <c r="BI993" s="863"/>
      <c r="BJ993" s="863"/>
      <c r="BK993" s="863"/>
      <c r="BL993" s="863"/>
      <c r="BM993" s="863"/>
      <c r="BN993" s="863"/>
      <c r="BO993" s="863"/>
      <c r="BP993" s="880"/>
      <c r="BQ993" s="863"/>
      <c r="BR993" s="883"/>
      <c r="BS993" s="883"/>
      <c r="BT993" s="883"/>
      <c r="BU993" s="883"/>
      <c r="BV993" s="883"/>
      <c r="BW993" s="883"/>
      <c r="BX993" s="883"/>
      <c r="BY993" s="883"/>
      <c r="BZ993" s="883"/>
      <c r="CA993" s="883"/>
      <c r="CB993" s="883"/>
      <c r="CC993" s="883"/>
      <c r="CD993" s="884"/>
      <c r="CE993" s="883"/>
      <c r="CF993" s="883"/>
      <c r="CG993" s="883"/>
      <c r="CH993" s="883"/>
      <c r="CI993" s="883"/>
      <c r="CJ993" s="883"/>
      <c r="CK993" s="883"/>
      <c r="CL993" s="883"/>
      <c r="CM993" s="883"/>
      <c r="CN993" s="883"/>
      <c r="CO993" s="883"/>
      <c r="CP993" s="883"/>
      <c r="CQ993" s="883"/>
      <c r="CR993" s="883"/>
      <c r="CS993" s="883"/>
      <c r="CT993" s="883"/>
      <c r="CU993" s="883"/>
      <c r="CV993" s="863"/>
      <c r="CW993" s="863"/>
      <c r="CX993" s="863"/>
      <c r="CY993" s="863"/>
      <c r="CZ993" s="863"/>
      <c r="DA993" s="863"/>
      <c r="DB993" s="863"/>
      <c r="DC993" s="863"/>
      <c r="DD993" s="863"/>
      <c r="DE993" s="863"/>
    </row>
    <row r="994">
      <c r="A994" s="876"/>
      <c r="B994" s="876"/>
      <c r="C994" s="876"/>
      <c r="D994" s="876"/>
      <c r="E994" s="876"/>
      <c r="F994" s="876"/>
      <c r="G994" s="876"/>
      <c r="H994" s="876"/>
      <c r="I994" s="876"/>
      <c r="J994" s="876"/>
      <c r="K994" s="876"/>
      <c r="L994" s="876"/>
      <c r="M994" s="876"/>
      <c r="N994" s="877"/>
      <c r="O994" s="876"/>
      <c r="P994" s="876"/>
      <c r="Q994" s="876"/>
      <c r="R994" s="876"/>
      <c r="S994" s="876"/>
      <c r="T994" s="876"/>
      <c r="U994" s="876"/>
      <c r="V994" s="876"/>
      <c r="W994" s="876"/>
      <c r="X994" s="876"/>
      <c r="Y994" s="876"/>
      <c r="Z994" s="876"/>
      <c r="AA994" s="876"/>
      <c r="AB994" s="876"/>
      <c r="AC994" s="876"/>
      <c r="AD994" s="876"/>
      <c r="AE994" s="876"/>
      <c r="AF994" s="876"/>
      <c r="AG994" s="876"/>
      <c r="AH994" s="876"/>
      <c r="AI994" s="878"/>
      <c r="AJ994" s="880"/>
      <c r="AK994" s="880"/>
      <c r="AL994" s="880"/>
      <c r="AM994" s="880"/>
      <c r="AN994" s="880"/>
      <c r="AO994" s="880"/>
      <c r="AP994" s="880"/>
      <c r="AQ994" s="880"/>
      <c r="AR994" s="880"/>
      <c r="AS994" s="880"/>
      <c r="AT994" s="880"/>
      <c r="AU994" s="880"/>
      <c r="AV994" s="880"/>
      <c r="AW994" s="881"/>
      <c r="AX994" s="863"/>
      <c r="AY994" s="863"/>
      <c r="AZ994" s="863"/>
      <c r="BA994" s="863"/>
      <c r="BB994" s="863"/>
      <c r="BC994" s="863"/>
      <c r="BD994" s="863"/>
      <c r="BE994" s="863"/>
      <c r="BF994" s="863"/>
      <c r="BG994" s="863"/>
      <c r="BH994" s="863"/>
      <c r="BI994" s="863"/>
      <c r="BJ994" s="863"/>
      <c r="BK994" s="863"/>
      <c r="BL994" s="863"/>
      <c r="BM994" s="863"/>
      <c r="BN994" s="863"/>
      <c r="BO994" s="863"/>
      <c r="BP994" s="880"/>
      <c r="BQ994" s="863"/>
      <c r="BR994" s="883"/>
      <c r="BS994" s="883"/>
      <c r="BT994" s="883"/>
      <c r="BU994" s="883"/>
      <c r="BV994" s="883"/>
      <c r="BW994" s="883"/>
      <c r="BX994" s="883"/>
      <c r="BY994" s="883"/>
      <c r="BZ994" s="883"/>
      <c r="CA994" s="883"/>
      <c r="CB994" s="883"/>
      <c r="CC994" s="883"/>
      <c r="CD994" s="884"/>
      <c r="CE994" s="883"/>
      <c r="CF994" s="883"/>
      <c r="CG994" s="883"/>
      <c r="CH994" s="883"/>
      <c r="CI994" s="883"/>
      <c r="CJ994" s="883"/>
      <c r="CK994" s="883"/>
      <c r="CL994" s="883"/>
      <c r="CM994" s="883"/>
      <c r="CN994" s="883"/>
      <c r="CO994" s="883"/>
      <c r="CP994" s="883"/>
      <c r="CQ994" s="883"/>
      <c r="CR994" s="883"/>
      <c r="CS994" s="883"/>
      <c r="CT994" s="883"/>
      <c r="CU994" s="883"/>
      <c r="CV994" s="863"/>
      <c r="CW994" s="863"/>
      <c r="CX994" s="863"/>
      <c r="CY994" s="863"/>
      <c r="CZ994" s="863"/>
      <c r="DA994" s="863"/>
      <c r="DB994" s="863"/>
      <c r="DC994" s="863"/>
      <c r="DD994" s="863"/>
      <c r="DE994" s="863"/>
    </row>
    <row r="995">
      <c r="A995" s="876"/>
      <c r="B995" s="876"/>
      <c r="C995" s="876"/>
      <c r="D995" s="876"/>
      <c r="E995" s="876"/>
      <c r="F995" s="876"/>
      <c r="G995" s="876"/>
      <c r="H995" s="876"/>
      <c r="I995" s="876"/>
      <c r="J995" s="876"/>
      <c r="K995" s="876"/>
      <c r="L995" s="876"/>
      <c r="M995" s="876"/>
      <c r="N995" s="877"/>
      <c r="O995" s="876"/>
      <c r="P995" s="876"/>
      <c r="Q995" s="876"/>
      <c r="R995" s="876"/>
      <c r="S995" s="876"/>
      <c r="T995" s="876"/>
      <c r="U995" s="876"/>
      <c r="V995" s="876"/>
      <c r="W995" s="876"/>
      <c r="X995" s="876"/>
      <c r="Y995" s="876"/>
      <c r="Z995" s="876"/>
      <c r="AA995" s="876"/>
      <c r="AB995" s="876"/>
      <c r="AC995" s="876"/>
      <c r="AD995" s="876"/>
      <c r="AE995" s="876"/>
      <c r="AF995" s="876"/>
      <c r="AG995" s="876"/>
      <c r="AH995" s="876"/>
      <c r="AI995" s="878"/>
      <c r="AJ995" s="880"/>
      <c r="AK995" s="880"/>
      <c r="AL995" s="880"/>
      <c r="AM995" s="880"/>
      <c r="AN995" s="880"/>
      <c r="AO995" s="880"/>
      <c r="AP995" s="880"/>
      <c r="AQ995" s="880"/>
      <c r="AR995" s="880"/>
      <c r="AS995" s="880"/>
      <c r="AT995" s="880"/>
      <c r="AU995" s="880"/>
      <c r="AV995" s="880"/>
      <c r="AW995" s="881"/>
      <c r="AX995" s="863"/>
      <c r="AY995" s="863"/>
      <c r="AZ995" s="863"/>
      <c r="BA995" s="863"/>
      <c r="BB995" s="863"/>
      <c r="BC995" s="863"/>
      <c r="BD995" s="863"/>
      <c r="BE995" s="863"/>
      <c r="BF995" s="863"/>
      <c r="BG995" s="863"/>
      <c r="BH995" s="863"/>
      <c r="BI995" s="863"/>
      <c r="BJ995" s="863"/>
      <c r="BK995" s="863"/>
      <c r="BL995" s="863"/>
      <c r="BM995" s="863"/>
      <c r="BN995" s="863"/>
      <c r="BO995" s="863"/>
      <c r="BP995" s="880"/>
      <c r="BQ995" s="863"/>
      <c r="BR995" s="883"/>
      <c r="BS995" s="883"/>
      <c r="BT995" s="883"/>
      <c r="BU995" s="883"/>
      <c r="BV995" s="883"/>
      <c r="BW995" s="883"/>
      <c r="BX995" s="883"/>
      <c r="BY995" s="883"/>
      <c r="BZ995" s="883"/>
      <c r="CA995" s="883"/>
      <c r="CB995" s="883"/>
      <c r="CC995" s="883"/>
      <c r="CD995" s="884"/>
      <c r="CE995" s="883"/>
      <c r="CF995" s="883"/>
      <c r="CG995" s="883"/>
      <c r="CH995" s="883"/>
      <c r="CI995" s="883"/>
      <c r="CJ995" s="883"/>
      <c r="CK995" s="883"/>
      <c r="CL995" s="883"/>
      <c r="CM995" s="883"/>
      <c r="CN995" s="883"/>
      <c r="CO995" s="883"/>
      <c r="CP995" s="883"/>
      <c r="CQ995" s="883"/>
      <c r="CR995" s="883"/>
      <c r="CS995" s="883"/>
      <c r="CT995" s="883"/>
      <c r="CU995" s="883"/>
      <c r="CV995" s="863"/>
      <c r="CW995" s="863"/>
      <c r="CX995" s="863"/>
      <c r="CY995" s="863"/>
      <c r="CZ995" s="863"/>
      <c r="DA995" s="863"/>
      <c r="DB995" s="863"/>
      <c r="DC995" s="863"/>
      <c r="DD995" s="863"/>
      <c r="DE995" s="863"/>
    </row>
    <row r="996">
      <c r="A996" s="876"/>
      <c r="B996" s="876"/>
      <c r="C996" s="876"/>
      <c r="D996" s="876"/>
      <c r="E996" s="876"/>
      <c r="F996" s="876"/>
      <c r="G996" s="876"/>
      <c r="H996" s="876"/>
      <c r="I996" s="876"/>
      <c r="J996" s="876"/>
      <c r="K996" s="876"/>
      <c r="L996" s="876"/>
      <c r="M996" s="876"/>
      <c r="N996" s="877"/>
      <c r="O996" s="876"/>
      <c r="P996" s="876"/>
      <c r="Q996" s="876"/>
      <c r="R996" s="876"/>
      <c r="S996" s="876"/>
      <c r="T996" s="876"/>
      <c r="U996" s="876"/>
      <c r="V996" s="876"/>
      <c r="W996" s="876"/>
      <c r="X996" s="876"/>
      <c r="Y996" s="876"/>
      <c r="Z996" s="876"/>
      <c r="AA996" s="876"/>
      <c r="AB996" s="876"/>
      <c r="AC996" s="876"/>
      <c r="AD996" s="876"/>
      <c r="AE996" s="876"/>
      <c r="AF996" s="876"/>
      <c r="AG996" s="876"/>
      <c r="AH996" s="876"/>
      <c r="AI996" s="878"/>
      <c r="AJ996" s="880"/>
      <c r="AK996" s="880"/>
      <c r="AL996" s="880"/>
      <c r="AM996" s="880"/>
      <c r="AN996" s="880"/>
      <c r="AO996" s="880"/>
      <c r="AP996" s="880"/>
      <c r="AQ996" s="880"/>
      <c r="AR996" s="880"/>
      <c r="AS996" s="880"/>
      <c r="AT996" s="880"/>
      <c r="AU996" s="880"/>
      <c r="AV996" s="880"/>
      <c r="AW996" s="881"/>
      <c r="AX996" s="863"/>
      <c r="AY996" s="863"/>
      <c r="AZ996" s="863"/>
      <c r="BA996" s="863"/>
      <c r="BB996" s="863"/>
      <c r="BC996" s="863"/>
      <c r="BD996" s="863"/>
      <c r="BE996" s="863"/>
      <c r="BF996" s="863"/>
      <c r="BG996" s="863"/>
      <c r="BH996" s="863"/>
      <c r="BI996" s="863"/>
      <c r="BJ996" s="863"/>
      <c r="BK996" s="863"/>
      <c r="BL996" s="863"/>
      <c r="BM996" s="863"/>
      <c r="BN996" s="863"/>
      <c r="BO996" s="863"/>
      <c r="BP996" s="880"/>
      <c r="BQ996" s="863"/>
      <c r="BR996" s="883"/>
      <c r="BS996" s="883"/>
      <c r="BT996" s="883"/>
      <c r="BU996" s="883"/>
      <c r="BV996" s="883"/>
      <c r="BW996" s="883"/>
      <c r="BX996" s="883"/>
      <c r="BY996" s="883"/>
      <c r="BZ996" s="883"/>
      <c r="CA996" s="883"/>
      <c r="CB996" s="883"/>
      <c r="CC996" s="883"/>
      <c r="CD996" s="884"/>
      <c r="CE996" s="883"/>
      <c r="CF996" s="883"/>
      <c r="CG996" s="883"/>
      <c r="CH996" s="883"/>
      <c r="CI996" s="883"/>
      <c r="CJ996" s="883"/>
      <c r="CK996" s="883"/>
      <c r="CL996" s="883"/>
      <c r="CM996" s="883"/>
      <c r="CN996" s="883"/>
      <c r="CO996" s="883"/>
      <c r="CP996" s="883"/>
      <c r="CQ996" s="883"/>
      <c r="CR996" s="883"/>
      <c r="CS996" s="883"/>
      <c r="CT996" s="883"/>
      <c r="CU996" s="883"/>
      <c r="CV996" s="863"/>
      <c r="CW996" s="863"/>
      <c r="CX996" s="863"/>
      <c r="CY996" s="863"/>
      <c r="CZ996" s="863"/>
      <c r="DA996" s="863"/>
      <c r="DB996" s="863"/>
      <c r="DC996" s="863"/>
      <c r="DD996" s="863"/>
      <c r="DE996" s="863"/>
    </row>
    <row r="997">
      <c r="A997" s="876"/>
      <c r="B997" s="876"/>
      <c r="C997" s="876"/>
      <c r="D997" s="876"/>
      <c r="E997" s="876"/>
      <c r="F997" s="876"/>
      <c r="G997" s="876"/>
      <c r="H997" s="876"/>
      <c r="I997" s="876"/>
      <c r="J997" s="876"/>
      <c r="K997" s="876"/>
      <c r="L997" s="876"/>
      <c r="M997" s="876"/>
      <c r="N997" s="877"/>
      <c r="O997" s="876"/>
      <c r="P997" s="876"/>
      <c r="Q997" s="876"/>
      <c r="R997" s="876"/>
      <c r="S997" s="876"/>
      <c r="T997" s="876"/>
      <c r="U997" s="876"/>
      <c r="V997" s="876"/>
      <c r="W997" s="876"/>
      <c r="X997" s="876"/>
      <c r="Y997" s="876"/>
      <c r="Z997" s="876"/>
      <c r="AA997" s="876"/>
      <c r="AB997" s="876"/>
      <c r="AC997" s="876"/>
      <c r="AD997" s="876"/>
      <c r="AE997" s="876"/>
      <c r="AF997" s="876"/>
      <c r="AG997" s="876"/>
      <c r="AH997" s="876"/>
      <c r="AI997" s="878"/>
      <c r="AJ997" s="880"/>
      <c r="AK997" s="880"/>
      <c r="AL997" s="880"/>
      <c r="AM997" s="880"/>
      <c r="AN997" s="880"/>
      <c r="AO997" s="880"/>
      <c r="AP997" s="880"/>
      <c r="AQ997" s="880"/>
      <c r="AR997" s="880"/>
      <c r="AS997" s="880"/>
      <c r="AT997" s="880"/>
      <c r="AU997" s="880"/>
      <c r="AV997" s="880"/>
      <c r="AW997" s="881"/>
      <c r="AX997" s="863"/>
      <c r="AY997" s="863"/>
      <c r="AZ997" s="863"/>
      <c r="BA997" s="863"/>
      <c r="BB997" s="863"/>
      <c r="BC997" s="863"/>
      <c r="BD997" s="863"/>
      <c r="BE997" s="863"/>
      <c r="BF997" s="863"/>
      <c r="BG997" s="863"/>
      <c r="BH997" s="863"/>
      <c r="BI997" s="863"/>
      <c r="BJ997" s="863"/>
      <c r="BK997" s="863"/>
      <c r="BL997" s="863"/>
      <c r="BM997" s="863"/>
      <c r="BN997" s="863"/>
      <c r="BO997" s="863"/>
      <c r="BP997" s="880"/>
      <c r="BQ997" s="863"/>
      <c r="BR997" s="883"/>
      <c r="BS997" s="883"/>
      <c r="BT997" s="883"/>
      <c r="BU997" s="883"/>
      <c r="BV997" s="883"/>
      <c r="BW997" s="883"/>
      <c r="BX997" s="883"/>
      <c r="BY997" s="883"/>
      <c r="BZ997" s="883"/>
      <c r="CA997" s="883"/>
      <c r="CB997" s="883"/>
      <c r="CC997" s="883"/>
      <c r="CD997" s="884"/>
      <c r="CE997" s="883"/>
      <c r="CF997" s="883"/>
      <c r="CG997" s="883"/>
      <c r="CH997" s="883"/>
      <c r="CI997" s="883"/>
      <c r="CJ997" s="883"/>
      <c r="CK997" s="883"/>
      <c r="CL997" s="883"/>
      <c r="CM997" s="883"/>
      <c r="CN997" s="883"/>
      <c r="CO997" s="883"/>
      <c r="CP997" s="883"/>
      <c r="CQ997" s="883"/>
      <c r="CR997" s="883"/>
      <c r="CS997" s="883"/>
      <c r="CT997" s="883"/>
      <c r="CU997" s="883"/>
      <c r="CV997" s="863"/>
      <c r="CW997" s="863"/>
      <c r="CX997" s="863"/>
      <c r="CY997" s="863"/>
      <c r="CZ997" s="863"/>
      <c r="DA997" s="863"/>
      <c r="DB997" s="863"/>
      <c r="DC997" s="863"/>
      <c r="DD997" s="863"/>
      <c r="DE997" s="863"/>
    </row>
    <row r="998">
      <c r="A998" s="876"/>
      <c r="B998" s="876"/>
      <c r="C998" s="876"/>
      <c r="D998" s="876"/>
      <c r="E998" s="876"/>
      <c r="F998" s="876"/>
      <c r="G998" s="876"/>
      <c r="H998" s="876"/>
      <c r="I998" s="876"/>
      <c r="J998" s="876"/>
      <c r="K998" s="876"/>
      <c r="L998" s="876"/>
      <c r="M998" s="876"/>
      <c r="N998" s="877"/>
      <c r="O998" s="876"/>
      <c r="P998" s="876"/>
      <c r="Q998" s="876"/>
      <c r="R998" s="876"/>
      <c r="S998" s="876"/>
      <c r="T998" s="876"/>
      <c r="U998" s="876"/>
      <c r="V998" s="876"/>
      <c r="W998" s="876"/>
      <c r="X998" s="876"/>
      <c r="Y998" s="876"/>
      <c r="Z998" s="876"/>
      <c r="AA998" s="876"/>
      <c r="AB998" s="876"/>
      <c r="AC998" s="876"/>
      <c r="AD998" s="876"/>
      <c r="AE998" s="876"/>
      <c r="AF998" s="876"/>
      <c r="AG998" s="876"/>
      <c r="AH998" s="876"/>
      <c r="AI998" s="878"/>
      <c r="AJ998" s="880"/>
      <c r="AK998" s="880"/>
      <c r="AL998" s="880"/>
      <c r="AM998" s="880"/>
      <c r="AN998" s="880"/>
      <c r="AO998" s="880"/>
      <c r="AP998" s="880"/>
      <c r="AQ998" s="880"/>
      <c r="AR998" s="880"/>
      <c r="AS998" s="880"/>
      <c r="AT998" s="880"/>
      <c r="AU998" s="880"/>
      <c r="AV998" s="880"/>
      <c r="AW998" s="881"/>
      <c r="AX998" s="863"/>
      <c r="AY998" s="863"/>
      <c r="AZ998" s="863"/>
      <c r="BA998" s="863"/>
      <c r="BB998" s="863"/>
      <c r="BC998" s="863"/>
      <c r="BD998" s="863"/>
      <c r="BE998" s="863"/>
      <c r="BF998" s="863"/>
      <c r="BG998" s="863"/>
      <c r="BH998" s="863"/>
      <c r="BI998" s="863"/>
      <c r="BJ998" s="863"/>
      <c r="BK998" s="863"/>
      <c r="BL998" s="863"/>
      <c r="BM998" s="863"/>
      <c r="BN998" s="863"/>
      <c r="BO998" s="863"/>
      <c r="BP998" s="880"/>
      <c r="BQ998" s="863"/>
      <c r="BR998" s="883"/>
      <c r="BS998" s="883"/>
      <c r="BT998" s="883"/>
      <c r="BU998" s="883"/>
      <c r="BV998" s="883"/>
      <c r="BW998" s="883"/>
      <c r="BX998" s="883"/>
      <c r="BY998" s="883"/>
      <c r="BZ998" s="883"/>
      <c r="CA998" s="883"/>
      <c r="CB998" s="883"/>
      <c r="CC998" s="883"/>
      <c r="CD998" s="884"/>
      <c r="CE998" s="883"/>
      <c r="CF998" s="883"/>
      <c r="CG998" s="883"/>
      <c r="CH998" s="883"/>
      <c r="CI998" s="883"/>
      <c r="CJ998" s="883"/>
      <c r="CK998" s="883"/>
      <c r="CL998" s="883"/>
      <c r="CM998" s="883"/>
      <c r="CN998" s="883"/>
      <c r="CO998" s="883"/>
      <c r="CP998" s="883"/>
      <c r="CQ998" s="883"/>
      <c r="CR998" s="883"/>
      <c r="CS998" s="883"/>
      <c r="CT998" s="883"/>
      <c r="CU998" s="883"/>
      <c r="CV998" s="863"/>
      <c r="CW998" s="863"/>
      <c r="CX998" s="863"/>
      <c r="CY998" s="863"/>
      <c r="CZ998" s="863"/>
      <c r="DA998" s="863"/>
      <c r="DB998" s="863"/>
      <c r="DC998" s="863"/>
      <c r="DD998" s="863"/>
      <c r="DE998" s="863"/>
    </row>
    <row r="999">
      <c r="A999" s="876"/>
      <c r="B999" s="876"/>
      <c r="C999" s="876"/>
      <c r="D999" s="876"/>
      <c r="E999" s="876"/>
      <c r="F999" s="876"/>
      <c r="G999" s="876"/>
      <c r="H999" s="876"/>
      <c r="I999" s="876"/>
      <c r="J999" s="876"/>
      <c r="K999" s="876"/>
      <c r="L999" s="876"/>
      <c r="M999" s="876"/>
      <c r="N999" s="877"/>
      <c r="O999" s="876"/>
      <c r="P999" s="876"/>
      <c r="Q999" s="876"/>
      <c r="R999" s="876"/>
      <c r="S999" s="876"/>
      <c r="T999" s="876"/>
      <c r="U999" s="876"/>
      <c r="V999" s="876"/>
      <c r="W999" s="876"/>
      <c r="X999" s="876"/>
      <c r="Y999" s="876"/>
      <c r="Z999" s="876"/>
      <c r="AA999" s="876"/>
      <c r="AB999" s="876"/>
      <c r="AC999" s="876"/>
      <c r="AD999" s="876"/>
      <c r="AE999" s="876"/>
      <c r="AF999" s="876"/>
      <c r="AG999" s="876"/>
      <c r="AH999" s="876"/>
      <c r="AI999" s="878"/>
      <c r="AJ999" s="880"/>
      <c r="AK999" s="880"/>
      <c r="AL999" s="880"/>
      <c r="AM999" s="880"/>
      <c r="AN999" s="880"/>
      <c r="AO999" s="880"/>
      <c r="AP999" s="880"/>
      <c r="AQ999" s="880"/>
      <c r="AR999" s="880"/>
      <c r="AS999" s="880"/>
      <c r="AT999" s="880"/>
      <c r="AU999" s="880"/>
      <c r="AV999" s="880"/>
      <c r="AW999" s="881"/>
      <c r="AX999" s="863"/>
      <c r="AY999" s="863"/>
      <c r="AZ999" s="863"/>
      <c r="BA999" s="863"/>
      <c r="BB999" s="863"/>
      <c r="BC999" s="863"/>
      <c r="BD999" s="863"/>
      <c r="BE999" s="863"/>
      <c r="BF999" s="863"/>
      <c r="BG999" s="863"/>
      <c r="BH999" s="863"/>
      <c r="BI999" s="863"/>
      <c r="BJ999" s="863"/>
      <c r="BK999" s="863"/>
      <c r="BL999" s="863"/>
      <c r="BM999" s="863"/>
      <c r="BN999" s="863"/>
      <c r="BO999" s="863"/>
      <c r="BP999" s="880"/>
      <c r="BQ999" s="863"/>
      <c r="BR999" s="883"/>
      <c r="BS999" s="883"/>
      <c r="BT999" s="883"/>
      <c r="BU999" s="883"/>
      <c r="BV999" s="883"/>
      <c r="BW999" s="883"/>
      <c r="BX999" s="883"/>
      <c r="BY999" s="883"/>
      <c r="BZ999" s="883"/>
      <c r="CA999" s="883"/>
      <c r="CB999" s="883"/>
      <c r="CC999" s="883"/>
      <c r="CD999" s="884"/>
      <c r="CE999" s="883"/>
      <c r="CF999" s="883"/>
      <c r="CG999" s="883"/>
      <c r="CH999" s="883"/>
      <c r="CI999" s="883"/>
      <c r="CJ999" s="883"/>
      <c r="CK999" s="883"/>
      <c r="CL999" s="883"/>
      <c r="CM999" s="883"/>
      <c r="CN999" s="883"/>
      <c r="CO999" s="883"/>
      <c r="CP999" s="883"/>
      <c r="CQ999" s="883"/>
      <c r="CR999" s="883"/>
      <c r="CS999" s="883"/>
      <c r="CT999" s="883"/>
      <c r="CU999" s="883"/>
      <c r="CV999" s="863"/>
      <c r="CW999" s="863"/>
      <c r="CX999" s="863"/>
      <c r="CY999" s="863"/>
      <c r="CZ999" s="863"/>
      <c r="DA999" s="863"/>
      <c r="DB999" s="863"/>
      <c r="DC999" s="863"/>
      <c r="DD999" s="863"/>
      <c r="DE999" s="863"/>
    </row>
    <row r="1000">
      <c r="A1000" s="876"/>
      <c r="B1000" s="876"/>
      <c r="C1000" s="876"/>
      <c r="D1000" s="876"/>
      <c r="E1000" s="876"/>
      <c r="F1000" s="876"/>
      <c r="G1000" s="876"/>
      <c r="H1000" s="876"/>
      <c r="I1000" s="876"/>
      <c r="J1000" s="876"/>
      <c r="K1000" s="876"/>
      <c r="L1000" s="876"/>
      <c r="M1000" s="876"/>
      <c r="N1000" s="877"/>
      <c r="O1000" s="876"/>
      <c r="P1000" s="876"/>
      <c r="Q1000" s="876"/>
      <c r="R1000" s="876"/>
      <c r="S1000" s="876"/>
      <c r="T1000" s="876"/>
      <c r="U1000" s="876"/>
      <c r="V1000" s="876"/>
      <c r="W1000" s="876"/>
      <c r="X1000" s="876"/>
      <c r="Y1000" s="876"/>
      <c r="Z1000" s="876"/>
      <c r="AA1000" s="876"/>
      <c r="AB1000" s="876"/>
      <c r="AC1000" s="876"/>
      <c r="AD1000" s="876"/>
      <c r="AE1000" s="876"/>
      <c r="AF1000" s="876"/>
      <c r="AG1000" s="876"/>
      <c r="AH1000" s="876"/>
      <c r="AI1000" s="878"/>
      <c r="AJ1000" s="880"/>
      <c r="AK1000" s="880"/>
      <c r="AL1000" s="880"/>
      <c r="AM1000" s="880"/>
      <c r="AN1000" s="880"/>
      <c r="AO1000" s="880"/>
      <c r="AP1000" s="880"/>
      <c r="AQ1000" s="880"/>
      <c r="AR1000" s="880"/>
      <c r="AS1000" s="880"/>
      <c r="AT1000" s="880"/>
      <c r="AU1000" s="880"/>
      <c r="AV1000" s="880"/>
      <c r="AW1000" s="881"/>
      <c r="AX1000" s="863"/>
      <c r="AY1000" s="863"/>
      <c r="AZ1000" s="863"/>
      <c r="BA1000" s="863"/>
      <c r="BB1000" s="863"/>
      <c r="BC1000" s="863"/>
      <c r="BD1000" s="863"/>
      <c r="BE1000" s="863"/>
      <c r="BF1000" s="863"/>
      <c r="BG1000" s="863"/>
      <c r="BH1000" s="863"/>
      <c r="BI1000" s="863"/>
      <c r="BJ1000" s="863"/>
      <c r="BK1000" s="863"/>
      <c r="BL1000" s="863"/>
      <c r="BM1000" s="863"/>
      <c r="BN1000" s="863"/>
      <c r="BO1000" s="863"/>
      <c r="BP1000" s="880"/>
      <c r="BQ1000" s="863"/>
      <c r="BR1000" s="883"/>
      <c r="BS1000" s="883"/>
      <c r="BT1000" s="883"/>
      <c r="BU1000" s="883"/>
      <c r="BV1000" s="883"/>
      <c r="BW1000" s="883"/>
      <c r="BX1000" s="883"/>
      <c r="BY1000" s="883"/>
      <c r="BZ1000" s="883"/>
      <c r="CA1000" s="883"/>
      <c r="CB1000" s="883"/>
      <c r="CC1000" s="883"/>
      <c r="CD1000" s="884"/>
      <c r="CE1000" s="883"/>
      <c r="CF1000" s="883"/>
      <c r="CG1000" s="883"/>
      <c r="CH1000" s="883"/>
      <c r="CI1000" s="883"/>
      <c r="CJ1000" s="883"/>
      <c r="CK1000" s="883"/>
      <c r="CL1000" s="883"/>
      <c r="CM1000" s="883"/>
      <c r="CN1000" s="883"/>
      <c r="CO1000" s="883"/>
      <c r="CP1000" s="883"/>
      <c r="CQ1000" s="883"/>
      <c r="CR1000" s="883"/>
      <c r="CS1000" s="883"/>
      <c r="CT1000" s="883"/>
      <c r="CU1000" s="883"/>
      <c r="CV1000" s="863"/>
      <c r="CW1000" s="863"/>
      <c r="CX1000" s="863"/>
      <c r="CY1000" s="863"/>
      <c r="CZ1000" s="863"/>
      <c r="DA1000" s="863"/>
      <c r="DB1000" s="863"/>
      <c r="DC1000" s="863"/>
      <c r="DD1000" s="863"/>
      <c r="DE1000" s="863"/>
    </row>
  </sheetData>
  <autoFilter ref="$BR$1:$CU$213"/>
  <customSheetViews>
    <customSheetView guid="{135D6B32-0874-4199-8D8C-B1CA9126395F}" filter="1" showAutoFilter="1">
      <autoFilter ref="$BR$1:$CU$213"/>
    </customSheetView>
  </customSheetViews>
  <hyperlinks>
    <hyperlink r:id="rId1" ref="A3"/>
    <hyperlink r:id="rId2" ref="AJ3"/>
    <hyperlink r:id="rId3" ref="BR3"/>
    <hyperlink r:id="rId4" ref="A4"/>
    <hyperlink r:id="rId5" ref="AJ4"/>
    <hyperlink r:id="rId6" ref="BR4"/>
    <hyperlink r:id="rId7" ref="A5"/>
    <hyperlink r:id="rId8" ref="AJ5"/>
    <hyperlink r:id="rId9" ref="BR5"/>
    <hyperlink r:id="rId10" ref="A6"/>
    <hyperlink r:id="rId11" ref="AJ6"/>
    <hyperlink r:id="rId12" ref="BR6"/>
    <hyperlink r:id="rId13" ref="A7"/>
    <hyperlink r:id="rId14" ref="AJ7"/>
    <hyperlink r:id="rId15" ref="BR7"/>
    <hyperlink r:id="rId16" ref="A8"/>
    <hyperlink r:id="rId17" ref="AJ8"/>
    <hyperlink r:id="rId18" ref="BR8"/>
    <hyperlink r:id="rId19" ref="A9"/>
    <hyperlink r:id="rId20" ref="AJ9"/>
    <hyperlink r:id="rId21" ref="BR9"/>
    <hyperlink r:id="rId22" ref="A10"/>
    <hyperlink r:id="rId23" ref="AJ10"/>
    <hyperlink r:id="rId24" ref="BR10"/>
    <hyperlink r:id="rId25" ref="A11"/>
    <hyperlink r:id="rId26" ref="AJ11"/>
    <hyperlink r:id="rId27" ref="BR11"/>
    <hyperlink r:id="rId28" ref="A12"/>
    <hyperlink r:id="rId29" ref="AJ12"/>
    <hyperlink r:id="rId30" ref="BR12"/>
    <hyperlink r:id="rId31" ref="A13"/>
    <hyperlink r:id="rId32" ref="AJ13"/>
    <hyperlink r:id="rId33" ref="BR13"/>
    <hyperlink r:id="rId34" ref="A14"/>
    <hyperlink r:id="rId35" ref="AJ14"/>
    <hyperlink r:id="rId36" ref="BR14"/>
    <hyperlink r:id="rId37" ref="A15"/>
    <hyperlink r:id="rId38" ref="AJ15"/>
    <hyperlink r:id="rId39" ref="BR15"/>
    <hyperlink r:id="rId40" ref="A16"/>
    <hyperlink r:id="rId41" ref="AJ16"/>
    <hyperlink r:id="rId42" ref="BR16"/>
    <hyperlink r:id="rId43" ref="A17"/>
    <hyperlink r:id="rId44" ref="AJ17"/>
    <hyperlink r:id="rId45" ref="BR17"/>
    <hyperlink r:id="rId46" ref="A18"/>
    <hyperlink r:id="rId47" ref="AJ18"/>
    <hyperlink r:id="rId48" ref="BR18"/>
    <hyperlink r:id="rId49" ref="A19"/>
    <hyperlink r:id="rId50" ref="AJ19"/>
    <hyperlink r:id="rId51" ref="BR19"/>
    <hyperlink r:id="rId52" ref="A20"/>
    <hyperlink r:id="rId53" ref="AJ20"/>
    <hyperlink r:id="rId54" ref="BR20"/>
    <hyperlink r:id="rId55" ref="AJ21"/>
    <hyperlink r:id="rId56" ref="BR21"/>
    <hyperlink r:id="rId57" ref="A22"/>
    <hyperlink r:id="rId58" ref="AJ22"/>
    <hyperlink r:id="rId59" ref="BR22"/>
    <hyperlink r:id="rId60" ref="A23"/>
    <hyperlink r:id="rId61" ref="AJ23"/>
    <hyperlink r:id="rId62" ref="BR23"/>
    <hyperlink r:id="rId63" ref="A24"/>
    <hyperlink r:id="rId64" ref="AJ24"/>
    <hyperlink r:id="rId65" ref="BR24"/>
    <hyperlink r:id="rId66" ref="A25"/>
    <hyperlink r:id="rId67" ref="AJ25"/>
    <hyperlink r:id="rId68" ref="BR25"/>
    <hyperlink r:id="rId69" ref="A26"/>
    <hyperlink r:id="rId70" ref="AJ26"/>
    <hyperlink r:id="rId71" ref="BR26"/>
    <hyperlink r:id="rId72" ref="A27"/>
    <hyperlink r:id="rId73" ref="AJ27"/>
    <hyperlink r:id="rId74" ref="BR27"/>
    <hyperlink r:id="rId75" ref="A28"/>
    <hyperlink r:id="rId76" ref="AJ28"/>
    <hyperlink r:id="rId77" ref="BR28"/>
    <hyperlink r:id="rId78" ref="A29"/>
    <hyperlink r:id="rId79" ref="AJ29"/>
    <hyperlink r:id="rId80" ref="BR29"/>
    <hyperlink r:id="rId81" ref="A30"/>
    <hyperlink r:id="rId82" ref="AJ30"/>
    <hyperlink r:id="rId83" ref="BR30"/>
    <hyperlink r:id="rId84" ref="A31"/>
    <hyperlink r:id="rId85" ref="AJ31"/>
    <hyperlink r:id="rId86" ref="BR31"/>
    <hyperlink r:id="rId87" ref="A32"/>
    <hyperlink r:id="rId88" ref="AJ32"/>
    <hyperlink r:id="rId89" ref="BR32"/>
    <hyperlink r:id="rId90" ref="A33"/>
    <hyperlink r:id="rId91" ref="AJ33"/>
    <hyperlink r:id="rId92" ref="BR33"/>
    <hyperlink r:id="rId93" ref="A34"/>
    <hyperlink r:id="rId94" ref="AJ34"/>
    <hyperlink r:id="rId95" ref="BR34"/>
    <hyperlink r:id="rId96" ref="A35"/>
    <hyperlink r:id="rId97" ref="AJ35"/>
    <hyperlink r:id="rId98" ref="BR35"/>
    <hyperlink r:id="rId99" ref="A36"/>
    <hyperlink r:id="rId100" ref="AJ36"/>
    <hyperlink r:id="rId101" ref="BR36"/>
    <hyperlink r:id="rId102" ref="A37"/>
    <hyperlink r:id="rId103" ref="AJ37"/>
    <hyperlink r:id="rId104" ref="BR37"/>
    <hyperlink r:id="rId105" ref="A38"/>
    <hyperlink r:id="rId106" ref="AJ38"/>
    <hyperlink r:id="rId107" ref="BR38"/>
    <hyperlink r:id="rId108" ref="A39"/>
    <hyperlink r:id="rId109" ref="AJ39"/>
    <hyperlink r:id="rId110" ref="BR39"/>
    <hyperlink r:id="rId111" ref="A40"/>
    <hyperlink r:id="rId112" ref="AJ40"/>
    <hyperlink r:id="rId113" ref="BR40"/>
    <hyperlink r:id="rId114" ref="A41"/>
    <hyperlink r:id="rId115" ref="AJ41"/>
    <hyperlink r:id="rId116" ref="BR41"/>
    <hyperlink r:id="rId117" ref="A42"/>
    <hyperlink r:id="rId118" ref="AJ42"/>
    <hyperlink r:id="rId119" ref="BR42"/>
    <hyperlink r:id="rId120" ref="A43"/>
    <hyperlink r:id="rId121" ref="AJ43"/>
    <hyperlink r:id="rId122" ref="BR43"/>
    <hyperlink r:id="rId123" ref="A44"/>
    <hyperlink r:id="rId124" ref="AJ44"/>
    <hyperlink r:id="rId125" ref="BR44"/>
    <hyperlink r:id="rId126" ref="A45"/>
    <hyperlink r:id="rId127" ref="AJ45"/>
    <hyperlink r:id="rId128" ref="BR45"/>
    <hyperlink r:id="rId129" ref="A46"/>
    <hyperlink r:id="rId130" ref="AJ46"/>
    <hyperlink r:id="rId131" ref="BR46"/>
    <hyperlink r:id="rId132" ref="A47"/>
    <hyperlink r:id="rId133" ref="AJ47"/>
    <hyperlink r:id="rId134" ref="BR47"/>
    <hyperlink r:id="rId135" ref="A48"/>
    <hyperlink r:id="rId136" ref="AJ48"/>
    <hyperlink r:id="rId137" ref="BR48"/>
    <hyperlink r:id="rId138" ref="A49"/>
    <hyperlink r:id="rId139" ref="AJ49"/>
    <hyperlink r:id="rId140" ref="BR49"/>
    <hyperlink r:id="rId141" ref="A50"/>
    <hyperlink r:id="rId142" ref="AJ50"/>
    <hyperlink r:id="rId143" ref="BR50"/>
    <hyperlink r:id="rId144" ref="A51"/>
    <hyperlink r:id="rId145" ref="AJ51"/>
    <hyperlink r:id="rId146" ref="BR51"/>
    <hyperlink r:id="rId147" ref="A52"/>
    <hyperlink r:id="rId148" ref="AJ52"/>
    <hyperlink r:id="rId149" ref="BR52"/>
    <hyperlink r:id="rId150" ref="A53"/>
    <hyperlink r:id="rId151" ref="AJ53"/>
    <hyperlink r:id="rId152" ref="BR53"/>
    <hyperlink r:id="rId153" ref="A54"/>
    <hyperlink r:id="rId154" ref="AJ54"/>
    <hyperlink r:id="rId155" ref="BR54"/>
    <hyperlink r:id="rId156" ref="A55"/>
    <hyperlink r:id="rId157" ref="AJ55"/>
    <hyperlink r:id="rId158" ref="BR55"/>
    <hyperlink r:id="rId159" ref="A56"/>
    <hyperlink r:id="rId160" ref="AJ56"/>
    <hyperlink r:id="rId161" ref="BR56"/>
    <hyperlink r:id="rId162" ref="A57"/>
    <hyperlink r:id="rId163" ref="AJ57"/>
    <hyperlink r:id="rId164" ref="BR57"/>
    <hyperlink r:id="rId165" ref="A58"/>
    <hyperlink r:id="rId166" ref="AJ58"/>
    <hyperlink r:id="rId167" ref="BR58"/>
    <hyperlink r:id="rId168" ref="A59"/>
    <hyperlink r:id="rId169" ref="AJ59"/>
    <hyperlink r:id="rId170" ref="BR59"/>
    <hyperlink r:id="rId171" ref="A60"/>
    <hyperlink r:id="rId172" ref="AJ60"/>
    <hyperlink r:id="rId173" ref="BR60"/>
    <hyperlink r:id="rId174" ref="A61"/>
    <hyperlink r:id="rId175" ref="AJ61"/>
    <hyperlink r:id="rId176" ref="BR61"/>
    <hyperlink r:id="rId177" ref="A62"/>
    <hyperlink r:id="rId178" ref="AJ62"/>
    <hyperlink r:id="rId179" ref="BR62"/>
    <hyperlink r:id="rId180" ref="A63"/>
    <hyperlink r:id="rId181" ref="AJ63"/>
    <hyperlink r:id="rId182" ref="BR63"/>
    <hyperlink r:id="rId183" ref="A64"/>
    <hyperlink r:id="rId184" ref="AJ64"/>
    <hyperlink r:id="rId185" ref="BR64"/>
    <hyperlink r:id="rId186" ref="A65"/>
    <hyperlink r:id="rId187" ref="AJ65"/>
    <hyperlink r:id="rId188" ref="BR65"/>
    <hyperlink r:id="rId189" ref="A66"/>
    <hyperlink r:id="rId190" ref="AJ66"/>
    <hyperlink r:id="rId191" ref="BR66"/>
    <hyperlink r:id="rId192" ref="A67"/>
    <hyperlink r:id="rId193" ref="AJ67"/>
    <hyperlink r:id="rId194" ref="BR67"/>
    <hyperlink r:id="rId195" ref="A68"/>
    <hyperlink r:id="rId196" ref="AJ68"/>
    <hyperlink r:id="rId197" ref="BR68"/>
    <hyperlink r:id="rId198" ref="A69"/>
    <hyperlink r:id="rId199" ref="AJ69"/>
    <hyperlink r:id="rId200" ref="BR69"/>
    <hyperlink r:id="rId201" ref="A70"/>
    <hyperlink r:id="rId202" ref="AJ70"/>
    <hyperlink r:id="rId203" ref="BR70"/>
    <hyperlink r:id="rId204" ref="A71"/>
    <hyperlink r:id="rId205" ref="AJ71"/>
    <hyperlink r:id="rId206" ref="BR71"/>
    <hyperlink r:id="rId207" ref="A72"/>
    <hyperlink r:id="rId208" ref="AJ72"/>
    <hyperlink r:id="rId209" ref="BR72"/>
    <hyperlink r:id="rId210" ref="A73"/>
    <hyperlink r:id="rId211" ref="AJ73"/>
    <hyperlink r:id="rId212" ref="BR73"/>
    <hyperlink r:id="rId213" ref="A74"/>
    <hyperlink r:id="rId214" ref="AJ74"/>
    <hyperlink r:id="rId215" ref="BR74"/>
    <hyperlink r:id="rId216" ref="A75"/>
    <hyperlink r:id="rId217" ref="AJ75"/>
    <hyperlink r:id="rId218" ref="BR75"/>
    <hyperlink r:id="rId219" ref="A76"/>
    <hyperlink r:id="rId220" ref="AJ76"/>
    <hyperlink r:id="rId221" ref="BR76"/>
    <hyperlink r:id="rId222" ref="A77"/>
    <hyperlink r:id="rId223" ref="AJ77"/>
    <hyperlink r:id="rId224" ref="BR77"/>
    <hyperlink r:id="rId225" ref="A78"/>
    <hyperlink r:id="rId226" ref="AJ78"/>
    <hyperlink r:id="rId227" ref="BR78"/>
    <hyperlink r:id="rId228" ref="A79"/>
    <hyperlink r:id="rId229" ref="AJ79"/>
    <hyperlink r:id="rId230" ref="BR79"/>
    <hyperlink r:id="rId231" ref="A80"/>
    <hyperlink r:id="rId232" ref="AJ80"/>
    <hyperlink r:id="rId233" ref="BR80"/>
    <hyperlink r:id="rId234" ref="A81"/>
    <hyperlink r:id="rId235" ref="AJ81"/>
    <hyperlink r:id="rId236" ref="BR81"/>
    <hyperlink r:id="rId237" ref="A82"/>
    <hyperlink r:id="rId238" ref="AJ82"/>
    <hyperlink r:id="rId239" ref="BR82"/>
    <hyperlink r:id="rId240" ref="A83"/>
    <hyperlink r:id="rId241" ref="AJ83"/>
    <hyperlink r:id="rId242" ref="BR83"/>
    <hyperlink r:id="rId243" ref="A84"/>
    <hyperlink r:id="rId244" ref="AJ84"/>
    <hyperlink r:id="rId245" ref="BR84"/>
    <hyperlink r:id="rId246" ref="A85"/>
    <hyperlink r:id="rId247" ref="AJ85"/>
    <hyperlink r:id="rId248" ref="BR85"/>
    <hyperlink r:id="rId249" ref="A86"/>
    <hyperlink r:id="rId250" ref="AJ86"/>
    <hyperlink r:id="rId251" ref="BR86"/>
    <hyperlink r:id="rId252" ref="A87"/>
    <hyperlink r:id="rId253" ref="AJ87"/>
    <hyperlink r:id="rId254" ref="BR87"/>
    <hyperlink r:id="rId255" ref="A88"/>
    <hyperlink r:id="rId256" ref="AJ88"/>
    <hyperlink r:id="rId257" ref="BR88"/>
    <hyperlink r:id="rId258" ref="A89"/>
    <hyperlink r:id="rId259" ref="AJ89"/>
    <hyperlink r:id="rId260" ref="BR89"/>
    <hyperlink r:id="rId261" ref="A90"/>
    <hyperlink r:id="rId262" ref="AJ90"/>
    <hyperlink r:id="rId263" ref="BR90"/>
    <hyperlink r:id="rId264" ref="A91"/>
    <hyperlink r:id="rId265" ref="AJ91"/>
    <hyperlink r:id="rId266" ref="BR91"/>
    <hyperlink r:id="rId267" ref="A92"/>
    <hyperlink r:id="rId268" ref="AJ92"/>
    <hyperlink r:id="rId269" ref="BR92"/>
    <hyperlink r:id="rId270" ref="A93"/>
    <hyperlink r:id="rId271" ref="AJ93"/>
    <hyperlink r:id="rId272" ref="BR93"/>
    <hyperlink r:id="rId273" ref="A94"/>
    <hyperlink r:id="rId274" ref="AJ94"/>
    <hyperlink r:id="rId275" ref="BR94"/>
    <hyperlink r:id="rId276" ref="A95"/>
    <hyperlink r:id="rId277" ref="AJ95"/>
    <hyperlink r:id="rId278" ref="BR95"/>
    <hyperlink r:id="rId279" ref="A96"/>
    <hyperlink r:id="rId280" ref="BR96"/>
    <hyperlink r:id="rId281" ref="A97"/>
    <hyperlink r:id="rId282" ref="AJ97"/>
    <hyperlink r:id="rId283" ref="BR97"/>
    <hyperlink r:id="rId284" ref="A98"/>
    <hyperlink r:id="rId285" ref="AJ98"/>
    <hyperlink r:id="rId286" ref="BR98"/>
    <hyperlink r:id="rId287" ref="A99"/>
    <hyperlink r:id="rId288" ref="AJ99"/>
    <hyperlink r:id="rId289" ref="BR99"/>
    <hyperlink r:id="rId290" ref="A100"/>
    <hyperlink r:id="rId291" ref="AJ100"/>
    <hyperlink r:id="rId292" ref="BR100"/>
    <hyperlink r:id="rId293" ref="A101"/>
    <hyperlink r:id="rId294" ref="AJ101"/>
    <hyperlink r:id="rId295" ref="BR101"/>
    <hyperlink r:id="rId296" ref="A102"/>
    <hyperlink r:id="rId297" ref="AJ102"/>
    <hyperlink r:id="rId298" ref="BR102"/>
    <hyperlink r:id="rId299" ref="A103"/>
    <hyperlink r:id="rId300" ref="BR103"/>
    <hyperlink r:id="rId301" ref="A104"/>
    <hyperlink r:id="rId302" ref="AJ104"/>
    <hyperlink r:id="rId303" ref="BR104"/>
    <hyperlink r:id="rId304" ref="A105"/>
    <hyperlink r:id="rId305" ref="AJ105"/>
    <hyperlink r:id="rId306" ref="BR105"/>
    <hyperlink r:id="rId307" ref="A106"/>
    <hyperlink r:id="rId308" ref="AJ106"/>
    <hyperlink r:id="rId309" ref="BR106"/>
    <hyperlink r:id="rId310" ref="A107"/>
    <hyperlink r:id="rId311" ref="AJ107"/>
    <hyperlink r:id="rId312" ref="BR107"/>
    <hyperlink r:id="rId313" ref="A108"/>
    <hyperlink r:id="rId314" ref="AJ108"/>
    <hyperlink r:id="rId315" ref="BR108"/>
    <hyperlink r:id="rId316" ref="A109"/>
    <hyperlink r:id="rId317" ref="AJ109"/>
    <hyperlink r:id="rId318" ref="BR109"/>
    <hyperlink r:id="rId319" ref="A110"/>
    <hyperlink r:id="rId320" ref="AJ110"/>
    <hyperlink r:id="rId321" ref="BR110"/>
    <hyperlink r:id="rId322" ref="A111"/>
    <hyperlink r:id="rId323" ref="AJ111"/>
    <hyperlink r:id="rId324" ref="BR111"/>
    <hyperlink r:id="rId325" ref="A112"/>
    <hyperlink r:id="rId326" ref="AJ112"/>
    <hyperlink r:id="rId327" ref="BR112"/>
    <hyperlink r:id="rId328" ref="A113"/>
    <hyperlink r:id="rId329" ref="AJ113"/>
    <hyperlink r:id="rId330" ref="BR113"/>
    <hyperlink r:id="rId331" ref="A114"/>
    <hyperlink r:id="rId332" ref="BR114"/>
    <hyperlink r:id="rId333" ref="A115"/>
    <hyperlink r:id="rId334" ref="AJ115"/>
    <hyperlink r:id="rId335" ref="BR115"/>
    <hyperlink r:id="rId336" ref="A116"/>
    <hyperlink r:id="rId337" ref="AJ116"/>
    <hyperlink r:id="rId338" ref="BR116"/>
    <hyperlink r:id="rId339" ref="A117"/>
    <hyperlink r:id="rId340" ref="AJ117"/>
    <hyperlink r:id="rId341" ref="BR117"/>
    <hyperlink r:id="rId342" ref="A118"/>
    <hyperlink r:id="rId343" ref="AJ118"/>
    <hyperlink r:id="rId344" ref="BR118"/>
    <hyperlink r:id="rId345" ref="A119"/>
    <hyperlink r:id="rId346" ref="AJ119"/>
    <hyperlink r:id="rId347" ref="BR119"/>
    <hyperlink r:id="rId348" ref="A120"/>
    <hyperlink r:id="rId349" ref="BR120"/>
    <hyperlink r:id="rId350" ref="A121"/>
    <hyperlink r:id="rId351" ref="BR121"/>
    <hyperlink r:id="rId352" ref="A122"/>
    <hyperlink r:id="rId353" ref="BR122"/>
    <hyperlink r:id="rId354" ref="A123"/>
    <hyperlink r:id="rId355" ref="BR123"/>
    <hyperlink r:id="rId356" ref="A124"/>
    <hyperlink r:id="rId357" ref="BR124"/>
    <hyperlink r:id="rId358" ref="A125"/>
    <hyperlink r:id="rId359" ref="AJ125"/>
    <hyperlink r:id="rId360" ref="BR125"/>
    <hyperlink r:id="rId361" ref="A126"/>
    <hyperlink r:id="rId362" ref="AJ126"/>
    <hyperlink r:id="rId363" ref="BR126"/>
    <hyperlink r:id="rId364" ref="A127"/>
    <hyperlink r:id="rId365" ref="AJ127"/>
    <hyperlink r:id="rId366" ref="BR127"/>
    <hyperlink r:id="rId367" ref="A128"/>
    <hyperlink r:id="rId368" ref="AJ128"/>
    <hyperlink r:id="rId369" ref="BR128"/>
    <hyperlink r:id="rId370" ref="A129"/>
    <hyperlink r:id="rId371" ref="AJ129"/>
    <hyperlink r:id="rId372" ref="BR129"/>
    <hyperlink r:id="rId373" ref="A130"/>
    <hyperlink r:id="rId374" ref="AJ130"/>
    <hyperlink r:id="rId375" ref="BR130"/>
    <hyperlink r:id="rId376" ref="A131"/>
    <hyperlink r:id="rId377" ref="AJ131"/>
    <hyperlink r:id="rId378" ref="BR131"/>
    <hyperlink r:id="rId379" ref="A132"/>
    <hyperlink r:id="rId380" ref="AJ132"/>
    <hyperlink r:id="rId381" ref="BR132"/>
    <hyperlink r:id="rId382" ref="A133"/>
    <hyperlink r:id="rId383" ref="AJ133"/>
    <hyperlink r:id="rId384" ref="BR133"/>
    <hyperlink r:id="rId385" ref="A134"/>
    <hyperlink r:id="rId386" ref="AJ134"/>
    <hyperlink r:id="rId387" ref="BR134"/>
    <hyperlink r:id="rId388" ref="A135"/>
    <hyperlink r:id="rId389" ref="AJ135"/>
    <hyperlink r:id="rId390" ref="BR135"/>
    <hyperlink r:id="rId391" ref="A136"/>
    <hyperlink r:id="rId392" ref="AJ136"/>
    <hyperlink r:id="rId393" ref="BR136"/>
    <hyperlink r:id="rId394" ref="A137"/>
    <hyperlink r:id="rId395" ref="AJ137"/>
    <hyperlink r:id="rId396" ref="BR137"/>
    <hyperlink r:id="rId397" ref="A138"/>
    <hyperlink r:id="rId398" ref="AJ138"/>
    <hyperlink r:id="rId399" ref="BR138"/>
    <hyperlink r:id="rId400" ref="A139"/>
    <hyperlink r:id="rId401" ref="AJ139"/>
    <hyperlink r:id="rId402" ref="BR139"/>
    <hyperlink r:id="rId403" ref="A140"/>
    <hyperlink r:id="rId404" ref="AJ140"/>
    <hyperlink r:id="rId405" ref="BR140"/>
    <hyperlink r:id="rId406" ref="A141"/>
    <hyperlink r:id="rId407" ref="AJ141"/>
    <hyperlink r:id="rId408" ref="BR141"/>
    <hyperlink r:id="rId409" ref="AJ142"/>
    <hyperlink r:id="rId410" ref="BR142"/>
    <hyperlink r:id="rId411" ref="AJ143"/>
    <hyperlink r:id="rId412" ref="BR143"/>
    <hyperlink r:id="rId413" ref="AJ144"/>
    <hyperlink r:id="rId414" ref="BR144"/>
    <hyperlink r:id="rId415" ref="AJ145"/>
    <hyperlink r:id="rId416" ref="BR145"/>
    <hyperlink r:id="rId417" ref="AJ146"/>
    <hyperlink r:id="rId418" ref="BR146"/>
    <hyperlink r:id="rId419" ref="AJ147"/>
    <hyperlink r:id="rId420" ref="BR147"/>
    <hyperlink r:id="rId421" ref="AJ148"/>
    <hyperlink r:id="rId422" ref="BR148"/>
    <hyperlink r:id="rId423" ref="AJ149"/>
    <hyperlink r:id="rId424" ref="BR149"/>
    <hyperlink r:id="rId425" ref="AJ150"/>
    <hyperlink r:id="rId426" ref="BR150"/>
    <hyperlink r:id="rId427" ref="AJ151"/>
    <hyperlink r:id="rId428" ref="BR151"/>
    <hyperlink r:id="rId429" ref="AJ152"/>
    <hyperlink r:id="rId430" ref="BR152"/>
    <hyperlink r:id="rId431" ref="AJ153"/>
    <hyperlink r:id="rId432" ref="BR153"/>
    <hyperlink r:id="rId433" ref="AJ154"/>
    <hyperlink r:id="rId434" ref="BR154"/>
    <hyperlink r:id="rId435" ref="AJ155"/>
    <hyperlink r:id="rId436" ref="BR155"/>
    <hyperlink r:id="rId437" ref="AJ156"/>
    <hyperlink r:id="rId438" ref="BR156"/>
    <hyperlink r:id="rId439" ref="AJ157"/>
    <hyperlink r:id="rId440" ref="BR157"/>
    <hyperlink r:id="rId441" ref="AJ158"/>
    <hyperlink r:id="rId442" ref="BR158"/>
    <hyperlink r:id="rId443" ref="AJ159"/>
    <hyperlink r:id="rId444" ref="BR159"/>
    <hyperlink r:id="rId445" ref="AJ160"/>
    <hyperlink r:id="rId446" ref="BR160"/>
    <hyperlink r:id="rId447" ref="AJ161"/>
    <hyperlink r:id="rId448" ref="BR161"/>
    <hyperlink r:id="rId449" ref="AJ162"/>
    <hyperlink r:id="rId450" ref="BR162"/>
    <hyperlink r:id="rId451" ref="AJ163"/>
    <hyperlink r:id="rId452" ref="BR163"/>
    <hyperlink r:id="rId453" ref="AJ164"/>
    <hyperlink r:id="rId454" ref="BR164"/>
    <hyperlink r:id="rId455" ref="AJ165"/>
    <hyperlink r:id="rId456" ref="BR165"/>
    <hyperlink r:id="rId457" ref="AJ166"/>
    <hyperlink r:id="rId458" ref="BR166"/>
    <hyperlink r:id="rId459" ref="AJ167"/>
    <hyperlink r:id="rId460" ref="BR167"/>
    <hyperlink r:id="rId461" ref="AJ168"/>
    <hyperlink r:id="rId462" ref="BR168"/>
    <hyperlink r:id="rId463" ref="AJ169"/>
    <hyperlink r:id="rId464" ref="BR169"/>
    <hyperlink r:id="rId465" ref="AJ170"/>
    <hyperlink r:id="rId466" ref="BR170"/>
    <hyperlink r:id="rId467" ref="AJ171"/>
    <hyperlink r:id="rId468" ref="BR171"/>
    <hyperlink r:id="rId469" ref="AJ172"/>
    <hyperlink r:id="rId470" ref="BR172"/>
    <hyperlink r:id="rId471" ref="AJ173"/>
    <hyperlink r:id="rId472" ref="BR173"/>
    <hyperlink r:id="rId473" ref="AJ174"/>
    <hyperlink r:id="rId474" ref="BR174"/>
    <hyperlink r:id="rId475" ref="AJ175"/>
    <hyperlink r:id="rId476" ref="BR175"/>
    <hyperlink r:id="rId477" ref="AJ176"/>
    <hyperlink r:id="rId478" ref="BR176"/>
    <hyperlink r:id="rId479" ref="AJ177"/>
    <hyperlink r:id="rId480" ref="BR177"/>
    <hyperlink r:id="rId481" ref="AJ178"/>
    <hyperlink r:id="rId482" ref="BR178"/>
    <hyperlink r:id="rId483" ref="AJ179"/>
    <hyperlink r:id="rId484" ref="BR179"/>
    <hyperlink r:id="rId485" ref="AJ180"/>
    <hyperlink r:id="rId486" ref="BR180"/>
    <hyperlink r:id="rId487" ref="AJ181"/>
    <hyperlink r:id="rId488" ref="BR181"/>
    <hyperlink r:id="rId489" ref="AJ182"/>
    <hyperlink r:id="rId490" ref="BR182"/>
    <hyperlink r:id="rId491" ref="AJ183"/>
    <hyperlink r:id="rId492" ref="BR183"/>
    <hyperlink r:id="rId493" ref="AJ184"/>
    <hyperlink r:id="rId494" ref="BR184"/>
    <hyperlink r:id="rId495" ref="AJ185"/>
    <hyperlink r:id="rId496" ref="BR185"/>
    <hyperlink r:id="rId497" ref="AJ186"/>
    <hyperlink r:id="rId498" ref="BR186"/>
    <hyperlink r:id="rId499" ref="AJ187"/>
    <hyperlink r:id="rId500" ref="BR187"/>
    <hyperlink r:id="rId501" ref="AJ188"/>
    <hyperlink r:id="rId502" ref="BR188"/>
    <hyperlink r:id="rId503" ref="AJ189"/>
    <hyperlink r:id="rId504" ref="BR189"/>
    <hyperlink r:id="rId505" ref="AJ190"/>
    <hyperlink r:id="rId506" ref="BR190"/>
    <hyperlink r:id="rId507" ref="AJ191"/>
    <hyperlink r:id="rId508" ref="BR191"/>
    <hyperlink r:id="rId509" ref="AJ192"/>
    <hyperlink r:id="rId510" ref="BR192"/>
    <hyperlink r:id="rId511" ref="AJ193"/>
    <hyperlink r:id="rId512" ref="BR193"/>
    <hyperlink r:id="rId513" ref="AJ194"/>
    <hyperlink r:id="rId514" ref="BR194"/>
    <hyperlink r:id="rId515" ref="AJ195"/>
    <hyperlink r:id="rId516" ref="BR195"/>
    <hyperlink r:id="rId517" ref="AJ196"/>
    <hyperlink r:id="rId518" ref="BR196"/>
    <hyperlink r:id="rId519" ref="AJ197"/>
    <hyperlink r:id="rId520" ref="BR197"/>
    <hyperlink r:id="rId521" ref="AJ198"/>
    <hyperlink r:id="rId522" ref="BR198"/>
    <hyperlink r:id="rId523" ref="AJ199"/>
    <hyperlink r:id="rId524" ref="BR199"/>
    <hyperlink r:id="rId525" ref="AJ200"/>
    <hyperlink r:id="rId526" ref="BR200"/>
    <hyperlink r:id="rId527" ref="BR201"/>
    <hyperlink r:id="rId528" ref="BR202"/>
    <hyperlink r:id="rId529" ref="BR203"/>
    <hyperlink r:id="rId530" ref="BR204"/>
    <hyperlink r:id="rId531" ref="BR205"/>
    <hyperlink r:id="rId532" ref="BR206"/>
    <hyperlink r:id="rId533" ref="BR207"/>
    <hyperlink r:id="rId534" ref="BR208"/>
    <hyperlink r:id="rId535" ref="BR240"/>
    <hyperlink r:id="rId536" ref="BR241"/>
    <hyperlink r:id="rId537" ref="BR242"/>
    <hyperlink r:id="rId538" ref="BR243"/>
    <hyperlink r:id="rId539" ref="BR244"/>
    <hyperlink r:id="rId540" ref="BR245"/>
    <hyperlink r:id="rId541" ref="BR246"/>
    <hyperlink r:id="rId542" ref="BR247"/>
    <hyperlink r:id="rId543" ref="BR248"/>
    <hyperlink r:id="rId544" ref="BR249"/>
    <hyperlink r:id="rId545" ref="BR250"/>
    <hyperlink r:id="rId546" ref="BR251"/>
    <hyperlink r:id="rId547" ref="BR252"/>
    <hyperlink r:id="rId548" ref="BR253"/>
    <hyperlink r:id="rId549" ref="BR254"/>
    <hyperlink r:id="rId550" ref="BR255"/>
    <hyperlink r:id="rId551" ref="BR256"/>
    <hyperlink r:id="rId552" ref="BR257"/>
    <hyperlink r:id="rId553" ref="BR258"/>
    <hyperlink r:id="rId554" ref="BR259"/>
    <hyperlink r:id="rId555" ref="BR260"/>
    <hyperlink r:id="rId556" ref="BR261"/>
    <hyperlink r:id="rId557" ref="BR262"/>
    <hyperlink r:id="rId558" ref="BR263"/>
    <hyperlink r:id="rId559" ref="BR264"/>
    <hyperlink r:id="rId560" ref="BR265"/>
    <hyperlink r:id="rId561" ref="BR266"/>
    <hyperlink r:id="rId562" ref="BR267"/>
    <hyperlink r:id="rId563" ref="BR268"/>
    <hyperlink r:id="rId564" ref="BR269"/>
    <hyperlink r:id="rId565" ref="BR270"/>
    <hyperlink r:id="rId566" ref="BR271"/>
    <hyperlink r:id="rId567" ref="BR272"/>
    <hyperlink r:id="rId568" ref="BR273"/>
    <hyperlink r:id="rId569" ref="BR274"/>
    <hyperlink r:id="rId570" ref="BR275"/>
    <hyperlink r:id="rId571" ref="BR276"/>
    <hyperlink r:id="rId572" ref="BR277"/>
    <hyperlink r:id="rId573" ref="BR278"/>
    <hyperlink r:id="rId574" ref="BR279"/>
    <hyperlink r:id="rId575" ref="BR280"/>
    <hyperlink r:id="rId576" ref="BR281"/>
    <hyperlink r:id="rId577" ref="BR282"/>
    <hyperlink r:id="rId578" ref="BR283"/>
    <hyperlink r:id="rId579" ref="BR284"/>
    <hyperlink r:id="rId580" ref="BR285"/>
    <hyperlink r:id="rId581" ref="BR286"/>
    <hyperlink r:id="rId582" ref="BR287"/>
    <hyperlink r:id="rId583" ref="BR288"/>
    <hyperlink r:id="rId584" ref="BR289"/>
    <hyperlink r:id="rId585" ref="BR290"/>
    <hyperlink r:id="rId586" ref="BR291"/>
    <hyperlink r:id="rId587" ref="BR292"/>
    <hyperlink r:id="rId588" ref="BR293"/>
    <hyperlink r:id="rId589" ref="BR294"/>
    <hyperlink r:id="rId590" ref="BR295"/>
    <hyperlink r:id="rId591" ref="BR296"/>
    <hyperlink r:id="rId592" ref="BR297"/>
    <hyperlink r:id="rId593" ref="BR298"/>
    <hyperlink r:id="rId594" ref="BR299"/>
    <hyperlink r:id="rId595" ref="BR300"/>
    <hyperlink r:id="rId596" ref="BR301"/>
    <hyperlink r:id="rId597" ref="BR302"/>
    <hyperlink r:id="rId598" ref="BR303"/>
    <hyperlink r:id="rId599" ref="BR304"/>
    <hyperlink r:id="rId600" ref="BR305"/>
    <hyperlink r:id="rId601" ref="BR306"/>
    <hyperlink r:id="rId602" ref="BR307"/>
    <hyperlink r:id="rId603" ref="BR308"/>
    <hyperlink r:id="rId604" ref="BR309"/>
    <hyperlink r:id="rId605" ref="BR310"/>
    <hyperlink r:id="rId606" ref="BR311"/>
    <hyperlink r:id="rId607" ref="BR312"/>
    <hyperlink r:id="rId608" ref="BR313"/>
    <hyperlink r:id="rId609" ref="BR314"/>
    <hyperlink r:id="rId610" ref="BR320"/>
    <hyperlink r:id="rId611" ref="BR321"/>
    <hyperlink r:id="rId612" ref="BR322"/>
    <hyperlink r:id="rId613" ref="BR323"/>
    <hyperlink r:id="rId614" ref="BR324"/>
    <hyperlink r:id="rId615" ref="BR325"/>
    <hyperlink r:id="rId616" ref="BR327"/>
    <hyperlink r:id="rId617" ref="BR329"/>
    <hyperlink r:id="rId618" ref="BR332"/>
    <hyperlink r:id="rId619" ref="BR333"/>
    <hyperlink r:id="rId620" ref="BR334"/>
    <hyperlink r:id="rId621" ref="BR335"/>
    <hyperlink r:id="rId622" ref="BR336"/>
    <hyperlink r:id="rId623" ref="BR337"/>
    <hyperlink r:id="rId624" ref="BR338"/>
    <hyperlink r:id="rId625" ref="BR357"/>
    <hyperlink r:id="rId626" ref="BR359"/>
    <hyperlink r:id="rId627" ref="BR360"/>
    <hyperlink r:id="rId628" ref="BR361"/>
    <hyperlink r:id="rId629" ref="BR362"/>
    <hyperlink r:id="rId630" ref="BR363"/>
    <hyperlink r:id="rId631" ref="BR364"/>
    <hyperlink r:id="rId632" ref="BR365"/>
    <hyperlink r:id="rId633" ref="BR366"/>
    <hyperlink r:id="rId634" ref="BR367"/>
    <hyperlink r:id="rId635" ref="BR368"/>
    <hyperlink r:id="rId636" ref="BR369"/>
    <hyperlink r:id="rId637" ref="BR370"/>
    <hyperlink r:id="rId638" ref="BR371"/>
    <hyperlink r:id="rId639" ref="BR374"/>
    <hyperlink r:id="rId640" ref="BR375"/>
    <hyperlink r:id="rId641" ref="BR376"/>
    <hyperlink r:id="rId642" ref="BR377"/>
    <hyperlink r:id="rId643" ref="BR378"/>
    <hyperlink r:id="rId644" ref="BR379"/>
    <hyperlink r:id="rId645" ref="BR380"/>
    <hyperlink r:id="rId646" ref="BR381"/>
    <hyperlink r:id="rId647" ref="BR382"/>
    <hyperlink r:id="rId648" ref="BR383"/>
    <hyperlink r:id="rId649" ref="BR384"/>
    <hyperlink r:id="rId650" ref="BR385"/>
    <hyperlink r:id="rId651" ref="BR386"/>
    <hyperlink r:id="rId652" ref="BR387"/>
    <hyperlink r:id="rId653" ref="BR388"/>
    <hyperlink r:id="rId654" ref="BR389"/>
    <hyperlink r:id="rId655" ref="BR390"/>
    <hyperlink r:id="rId656" ref="BR391"/>
    <hyperlink r:id="rId657" ref="BR392"/>
    <hyperlink r:id="rId658" ref="BR393"/>
    <hyperlink r:id="rId659" ref="BR394"/>
    <hyperlink r:id="rId660" ref="BR395"/>
    <hyperlink r:id="rId661" ref="BR396"/>
    <hyperlink r:id="rId662" ref="BR397"/>
    <hyperlink r:id="rId663" ref="BR398"/>
    <hyperlink r:id="rId664" ref="BR399"/>
  </hyperlinks>
  <drawing r:id="rId665"/>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topLeftCell="B1" activePane="topRight" state="frozen"/>
      <selection activeCell="C2" sqref="C2" pane="topRight"/>
    </sheetView>
  </sheetViews>
  <sheetFormatPr customHeight="1" defaultColWidth="12.63" defaultRowHeight="15.75"/>
  <cols>
    <col customWidth="1" min="14" max="14" width="10.0"/>
    <col hidden="1" min="39" max="39" width="12.63"/>
    <col customWidth="1" min="40" max="40" width="13.13"/>
    <col hidden="1" min="64" max="65" width="12.63"/>
    <col customWidth="1" min="74" max="74" width="15.75"/>
  </cols>
  <sheetData>
    <row r="1">
      <c r="A1" s="27" t="s">
        <v>22</v>
      </c>
      <c r="B1" s="28" t="s">
        <v>23</v>
      </c>
      <c r="C1" s="28" t="s">
        <v>24</v>
      </c>
      <c r="D1" s="29" t="s">
        <v>25</v>
      </c>
      <c r="E1" s="30" t="s">
        <v>26</v>
      </c>
      <c r="F1" s="31" t="s">
        <v>27</v>
      </c>
      <c r="I1" s="32" t="s">
        <v>28</v>
      </c>
      <c r="L1" s="33" t="s">
        <v>29</v>
      </c>
      <c r="O1" s="34"/>
      <c r="P1" s="29" t="s">
        <v>30</v>
      </c>
      <c r="T1" s="30" t="s">
        <v>31</v>
      </c>
      <c r="V1" s="35" t="s">
        <v>32</v>
      </c>
      <c r="Z1" s="36"/>
      <c r="AA1" s="36"/>
      <c r="AB1" s="36"/>
      <c r="AC1" s="36"/>
      <c r="AD1" s="28" t="s">
        <v>33</v>
      </c>
      <c r="AM1" s="36"/>
      <c r="AN1" s="29" t="s">
        <v>34</v>
      </c>
      <c r="AT1" s="30" t="s">
        <v>35</v>
      </c>
      <c r="AV1" s="31" t="s">
        <v>36</v>
      </c>
      <c r="BB1" s="37" t="s">
        <v>37</v>
      </c>
      <c r="BF1" s="33" t="s">
        <v>38</v>
      </c>
      <c r="BL1" s="36"/>
      <c r="BM1" s="36"/>
      <c r="BN1" s="28" t="s">
        <v>39</v>
      </c>
      <c r="BW1" s="29" t="s">
        <v>40</v>
      </c>
      <c r="BY1" s="38" t="s">
        <v>41</v>
      </c>
      <c r="BZ1" s="39" t="s">
        <v>42</v>
      </c>
      <c r="CC1" s="32" t="s">
        <v>43</v>
      </c>
      <c r="CE1" s="33" t="s">
        <v>44</v>
      </c>
    </row>
    <row r="2">
      <c r="A2" s="40"/>
      <c r="B2" s="36"/>
      <c r="C2" s="36"/>
      <c r="D2" s="41" t="s">
        <v>45</v>
      </c>
      <c r="E2" s="42" t="s">
        <v>46</v>
      </c>
      <c r="F2" s="43" t="s">
        <v>47</v>
      </c>
      <c r="G2" s="43" t="s">
        <v>48</v>
      </c>
      <c r="H2" s="43" t="s">
        <v>45</v>
      </c>
      <c r="I2" s="44" t="s">
        <v>47</v>
      </c>
      <c r="J2" s="44" t="s">
        <v>48</v>
      </c>
      <c r="K2" s="44" t="s">
        <v>45</v>
      </c>
      <c r="L2" s="45" t="s">
        <v>47</v>
      </c>
      <c r="M2" s="45" t="s">
        <v>48</v>
      </c>
      <c r="N2" s="45" t="s">
        <v>45</v>
      </c>
      <c r="O2" s="46" t="s">
        <v>49</v>
      </c>
      <c r="P2" s="41" t="s">
        <v>50</v>
      </c>
      <c r="Q2" s="41" t="s">
        <v>51</v>
      </c>
      <c r="R2" s="41" t="s">
        <v>30</v>
      </c>
      <c r="S2" s="41" t="s">
        <v>52</v>
      </c>
      <c r="T2" s="47" t="s">
        <v>31</v>
      </c>
      <c r="U2" s="42" t="s">
        <v>53</v>
      </c>
      <c r="V2" s="48" t="s">
        <v>54</v>
      </c>
      <c r="W2" s="49">
        <f>sum(W4:W220)</f>
        <v>148.4283611</v>
      </c>
      <c r="X2" s="48" t="s">
        <v>55</v>
      </c>
      <c r="Y2" s="49">
        <f>sum(Y4:Y220)</f>
        <v>106.3166756</v>
      </c>
      <c r="Z2" s="46" t="s">
        <v>49</v>
      </c>
      <c r="AA2" s="46" t="s">
        <v>49</v>
      </c>
      <c r="AB2" s="46" t="s">
        <v>49</v>
      </c>
      <c r="AC2" s="46" t="s">
        <v>49</v>
      </c>
      <c r="AD2" s="41" t="s">
        <v>20</v>
      </c>
      <c r="AE2" s="42" t="s">
        <v>56</v>
      </c>
      <c r="AF2" s="50" t="s">
        <v>57</v>
      </c>
      <c r="AG2" s="43" t="s">
        <v>17</v>
      </c>
      <c r="AH2" s="51" t="s">
        <v>58</v>
      </c>
      <c r="AI2" s="44" t="s">
        <v>16</v>
      </c>
      <c r="AJ2" s="52" t="s">
        <v>59</v>
      </c>
      <c r="AK2" s="45" t="s">
        <v>15</v>
      </c>
      <c r="AL2" s="53" t="s">
        <v>60</v>
      </c>
      <c r="AM2" s="53" t="s">
        <v>61</v>
      </c>
      <c r="AN2" s="54" t="s">
        <v>62</v>
      </c>
      <c r="AO2" s="54" t="s">
        <v>63</v>
      </c>
      <c r="AP2" s="54" t="s">
        <v>64</v>
      </c>
      <c r="AQ2" s="54" t="s">
        <v>63</v>
      </c>
      <c r="AR2" s="54" t="s">
        <v>65</v>
      </c>
      <c r="AS2" s="54" t="s">
        <v>63</v>
      </c>
      <c r="AT2" s="55" t="s">
        <v>66</v>
      </c>
      <c r="AU2" s="55" t="s">
        <v>63</v>
      </c>
      <c r="AV2" s="56" t="s">
        <v>67</v>
      </c>
      <c r="AW2" s="56" t="s">
        <v>63</v>
      </c>
      <c r="AX2" s="56" t="s">
        <v>68</v>
      </c>
      <c r="AY2" s="56" t="s">
        <v>63</v>
      </c>
      <c r="AZ2" s="56" t="s">
        <v>69</v>
      </c>
      <c r="BA2" s="56" t="s">
        <v>63</v>
      </c>
      <c r="BB2" s="57" t="s">
        <v>67</v>
      </c>
      <c r="BC2" s="57" t="s">
        <v>63</v>
      </c>
      <c r="BD2" s="58" t="s">
        <v>68</v>
      </c>
      <c r="BE2" s="58" t="s">
        <v>63</v>
      </c>
      <c r="BF2" s="59" t="s">
        <v>67</v>
      </c>
      <c r="BG2" s="59" t="s">
        <v>63</v>
      </c>
      <c r="BH2" s="59" t="s">
        <v>68</v>
      </c>
      <c r="BI2" s="59" t="s">
        <v>63</v>
      </c>
      <c r="BJ2" s="59" t="s">
        <v>69</v>
      </c>
      <c r="BK2" s="59" t="s">
        <v>63</v>
      </c>
      <c r="BL2" s="46" t="s">
        <v>49</v>
      </c>
      <c r="BM2" s="46" t="s">
        <v>49</v>
      </c>
      <c r="BN2" s="60" t="s">
        <v>20</v>
      </c>
      <c r="BO2" s="61" t="s">
        <v>70</v>
      </c>
      <c r="BP2" s="42" t="s">
        <v>71</v>
      </c>
      <c r="BQ2" s="48" t="s">
        <v>72</v>
      </c>
      <c r="BR2" s="62" t="s">
        <v>73</v>
      </c>
      <c r="BS2" s="62" t="s">
        <v>74</v>
      </c>
      <c r="BT2" s="63" t="s">
        <v>75</v>
      </c>
      <c r="BU2" s="63" t="s">
        <v>76</v>
      </c>
      <c r="BV2" s="62" t="s">
        <v>77</v>
      </c>
      <c r="BW2" s="41" t="s">
        <v>78</v>
      </c>
      <c r="BX2" s="41" t="s">
        <v>79</v>
      </c>
      <c r="BY2" s="42" t="s">
        <v>66</v>
      </c>
      <c r="BZ2" s="43" t="s">
        <v>80</v>
      </c>
      <c r="CA2" s="43" t="s">
        <v>81</v>
      </c>
      <c r="CB2" s="43" t="s">
        <v>79</v>
      </c>
      <c r="CC2" s="44" t="s">
        <v>80</v>
      </c>
      <c r="CD2" s="44" t="s">
        <v>81</v>
      </c>
      <c r="CE2" s="45" t="s">
        <v>80</v>
      </c>
      <c r="CF2" s="45" t="s">
        <v>81</v>
      </c>
      <c r="CG2" s="45" t="s">
        <v>79</v>
      </c>
    </row>
    <row r="3">
      <c r="A3" s="64" t="s">
        <v>82</v>
      </c>
      <c r="B3" s="65"/>
      <c r="C3" s="65"/>
      <c r="D3" s="66">
        <f t="shared" ref="D3:N3" si="1">sum(D4:D220)</f>
        <v>1728561.574</v>
      </c>
      <c r="E3" s="67">
        <f t="shared" si="1"/>
        <v>2388539.47</v>
      </c>
      <c r="F3" s="68">
        <f t="shared" si="1"/>
        <v>22514.92172</v>
      </c>
      <c r="G3" s="68">
        <f t="shared" si="1"/>
        <v>78382.39783</v>
      </c>
      <c r="H3" s="68">
        <f t="shared" si="1"/>
        <v>100912.8024</v>
      </c>
      <c r="I3" s="69">
        <f t="shared" si="1"/>
        <v>111952.2631</v>
      </c>
      <c r="J3" s="69">
        <f t="shared" si="1"/>
        <v>335962.253</v>
      </c>
      <c r="K3" s="70">
        <f t="shared" si="1"/>
        <v>461983.0285</v>
      </c>
      <c r="L3" s="71">
        <f t="shared" si="1"/>
        <v>539153.0254</v>
      </c>
      <c r="M3" s="71">
        <f t="shared" si="1"/>
        <v>290951.4219</v>
      </c>
      <c r="N3" s="72">
        <f t="shared" si="1"/>
        <v>830035.6111</v>
      </c>
      <c r="O3" s="72"/>
      <c r="P3" s="73">
        <f t="shared" ref="P3:Q3" si="2">sum(P4:P220)</f>
        <v>1392972274</v>
      </c>
      <c r="Q3" s="73">
        <f t="shared" si="2"/>
        <v>483934905</v>
      </c>
      <c r="R3" s="74" t="s">
        <v>83</v>
      </c>
      <c r="S3" s="75">
        <f>AVERAGEIFS(R4:R220,R4:R220,"&lt;&gt;""",R4:R220,"&gt;0")</f>
        <v>0.4013436246</v>
      </c>
      <c r="T3" s="76" t="s">
        <v>83</v>
      </c>
      <c r="U3" s="77">
        <f>AVERAGEIF(T4:T220,"&lt;&gt;""",T4:T220)</f>
        <v>0.4234714286</v>
      </c>
      <c r="V3" s="78" t="s">
        <v>83</v>
      </c>
      <c r="W3" s="79">
        <f>AVERAGEIF(V4:V220,"&lt;&gt;""",V4:V220)</f>
        <v>0.6126017857</v>
      </c>
      <c r="X3" s="80" t="s">
        <v>83</v>
      </c>
      <c r="Y3" s="81">
        <f>AVERAGEIF(X4:X220,"&lt;&gt;""",X4:X220)</f>
        <v>0.4299721311</v>
      </c>
      <c r="Z3" s="73"/>
      <c r="AA3" s="73"/>
      <c r="AB3" s="73"/>
      <c r="AC3" s="73"/>
      <c r="AD3" s="82">
        <f>average(AD4:AD220)</f>
        <v>0.005310599078</v>
      </c>
      <c r="AE3" s="83"/>
      <c r="AF3" s="84" t="s">
        <v>84</v>
      </c>
      <c r="AG3" s="85">
        <f t="shared" ref="AG3:AL3" si="3">average(AG4:AG22)</f>
        <v>0.01930526316</v>
      </c>
      <c r="AH3" s="85">
        <f t="shared" si="3"/>
        <v>0.02971942548</v>
      </c>
      <c r="AI3" s="86">
        <f t="shared" si="3"/>
        <v>0.01404210526</v>
      </c>
      <c r="AJ3" s="86">
        <f t="shared" si="3"/>
        <v>0.02203950416</v>
      </c>
      <c r="AK3" s="87">
        <f t="shared" si="3"/>
        <v>0.02736842105</v>
      </c>
      <c r="AL3" s="87">
        <f t="shared" si="3"/>
        <v>0.06582025102</v>
      </c>
      <c r="AM3" s="71"/>
      <c r="AN3" s="88">
        <f t="shared" ref="AN3:BA3" si="4">average(AN4:AN220)</f>
        <v>0.3573520833</v>
      </c>
      <c r="AO3" s="88">
        <f t="shared" si="4"/>
        <v>0.3361596774</v>
      </c>
      <c r="AP3" s="88">
        <f t="shared" si="4"/>
        <v>0.5137291667</v>
      </c>
      <c r="AQ3" s="88">
        <f t="shared" si="4"/>
        <v>0.5085286098</v>
      </c>
      <c r="AR3" s="88">
        <f t="shared" si="4"/>
        <v>0.37153125</v>
      </c>
      <c r="AS3" s="88">
        <f t="shared" si="4"/>
        <v>0.4266667627</v>
      </c>
      <c r="AT3" s="89">
        <f t="shared" si="4"/>
        <v>0.6869715828</v>
      </c>
      <c r="AU3" s="89">
        <f t="shared" si="4"/>
        <v>0.7411790819</v>
      </c>
      <c r="AV3" s="90">
        <f t="shared" si="4"/>
        <v>0.3842878788</v>
      </c>
      <c r="AW3" s="90">
        <f t="shared" si="4"/>
        <v>0.3800363078</v>
      </c>
      <c r="AX3" s="90">
        <f t="shared" si="4"/>
        <v>0.5121666667</v>
      </c>
      <c r="AY3" s="90">
        <f t="shared" si="4"/>
        <v>0.525641321</v>
      </c>
      <c r="AZ3" s="90">
        <f t="shared" si="4"/>
        <v>0.7176666667</v>
      </c>
      <c r="BA3" s="90">
        <f t="shared" si="4"/>
        <v>0.7210460829</v>
      </c>
      <c r="BB3" s="91">
        <f t="shared" ref="BB3:BE3" si="5">AVERAGE(BB4:BB220)</f>
        <v>0.7630416667</v>
      </c>
      <c r="BC3" s="91">
        <f t="shared" si="5"/>
        <v>0.7847841782</v>
      </c>
      <c r="BD3" s="91">
        <f t="shared" si="5"/>
        <v>0.4405966667</v>
      </c>
      <c r="BE3" s="91">
        <f t="shared" si="5"/>
        <v>0.4088477189</v>
      </c>
      <c r="BF3" s="92">
        <f t="shared" ref="BF3:BK3" si="6">average(BF4:BF220)</f>
        <v>0.9403222222</v>
      </c>
      <c r="BG3" s="92">
        <f t="shared" si="6"/>
        <v>0.9434015361</v>
      </c>
      <c r="BH3" s="92">
        <f t="shared" si="6"/>
        <v>0.9229285714</v>
      </c>
      <c r="BI3" s="92">
        <f t="shared" si="6"/>
        <v>0.9020037305</v>
      </c>
      <c r="BJ3" s="92">
        <f t="shared" si="6"/>
        <v>1</v>
      </c>
      <c r="BK3" s="92">
        <f t="shared" si="6"/>
        <v>1</v>
      </c>
      <c r="BL3" s="93"/>
      <c r="BM3" s="93"/>
      <c r="BN3" s="94" t="s">
        <v>85</v>
      </c>
      <c r="BO3" s="95" t="s">
        <v>85</v>
      </c>
      <c r="BP3" s="96" t="s">
        <v>85</v>
      </c>
      <c r="BQ3" s="97" t="s">
        <v>86</v>
      </c>
      <c r="BR3" s="65"/>
      <c r="BS3" s="65"/>
      <c r="BT3" s="65"/>
      <c r="BU3" s="65"/>
      <c r="BV3" s="65"/>
      <c r="BW3" s="98">
        <f t="shared" ref="BW3:CG3" si="7">sum(BW4:BW220)</f>
        <v>188476.3177</v>
      </c>
      <c r="BX3" s="98">
        <f t="shared" si="7"/>
        <v>77293.3999</v>
      </c>
      <c r="BY3" s="99">
        <f t="shared" si="7"/>
        <v>1103593.445</v>
      </c>
      <c r="BZ3" s="100">
        <f t="shared" si="7"/>
        <v>9167.849926</v>
      </c>
      <c r="CA3" s="100">
        <f t="shared" si="7"/>
        <v>1260.172394</v>
      </c>
      <c r="CB3" s="100">
        <f t="shared" si="7"/>
        <v>18125.18583</v>
      </c>
      <c r="CC3" s="101">
        <f t="shared" si="7"/>
        <v>144404.908</v>
      </c>
      <c r="CD3" s="101">
        <f t="shared" si="7"/>
        <v>1026.209717</v>
      </c>
      <c r="CE3" s="102">
        <f t="shared" si="7"/>
        <v>873087.2642</v>
      </c>
      <c r="CF3" s="102">
        <f t="shared" si="7"/>
        <v>4522.133375</v>
      </c>
      <c r="CG3" s="102">
        <f t="shared" si="7"/>
        <v>641349.065</v>
      </c>
    </row>
    <row r="4">
      <c r="A4" s="103" t="s">
        <v>87</v>
      </c>
      <c r="B4" s="104" t="s">
        <v>88</v>
      </c>
      <c r="C4" s="105">
        <v>2.8803167E7</v>
      </c>
      <c r="D4" s="106">
        <v>0.0</v>
      </c>
      <c r="E4" s="107">
        <v>0.0</v>
      </c>
      <c r="F4" s="108">
        <v>36.38356181</v>
      </c>
      <c r="G4" s="108">
        <v>177.1500265</v>
      </c>
      <c r="H4" s="108">
        <v>213.5335883</v>
      </c>
      <c r="I4" s="109">
        <v>89.4232686</v>
      </c>
      <c r="J4" s="109">
        <v>137.805145</v>
      </c>
      <c r="K4" s="110">
        <v>227.2284133</v>
      </c>
      <c r="L4" s="111">
        <v>3861.196935</v>
      </c>
      <c r="M4" s="111">
        <v>9079.472991</v>
      </c>
      <c r="N4" s="112">
        <v>12940.66993</v>
      </c>
      <c r="O4" s="113"/>
      <c r="P4" s="114"/>
      <c r="Q4" s="114"/>
      <c r="R4" s="115" t="str">
        <f t="shared" ref="R4:R220" si="8">IFERROR(Q4/P4,"")</f>
        <v/>
      </c>
      <c r="S4" s="116">
        <f t="shared" ref="S4:S220" si="9">IFERROR(IF(AND(R4&lt;&gt;"",R4&gt;0),R4, IF(AVERAGEIFS($R$4:$R$220,$B$4:$B$220,$B4,$R$4:$R$220,"&lt;&gt;""")&gt;0,AVERAGEIFS($R$4:$R$220,$B$4:$B$220,$B4,$R$4:$R$220,"&lt;&gt;"""))),$S$3)</f>
        <v>0.3211323089</v>
      </c>
      <c r="T4" s="117"/>
      <c r="U4" s="118">
        <f>IFERROR(IF(T4&lt;&gt;"",T4,IF(AVERAGEIFS($T$4:$T$220,$B$4:$B$220,$B4,$T$4:$T$220,"&lt;&gt;""")&gt;0,AVERAGEIFS($T$4:$T$220,$B$4:$B$220,$B4,$T$4:$T$220,"&lt;&gt;"""))),U$3)</f>
        <v>0.5949</v>
      </c>
      <c r="V4" s="119">
        <v>1.0</v>
      </c>
      <c r="W4" s="120">
        <f t="shared" ref="W4:W220" si="10">IFERROR(IF(V4&lt;&gt;"",V4,IF(AVERAGEIFS($V$4:$V$220,$B$4:$B$220,$B4,$V$4:$V$220,"&lt;&gt;""")&gt;0,AVERAGEIFS($V$4:$V$220,$B$4:$B$220,$B4,$V$4:$V$220,"&lt;&gt;"""))),W$3)</f>
        <v>1</v>
      </c>
      <c r="X4" s="119">
        <v>0.3063</v>
      </c>
      <c r="Y4" s="120">
        <f t="shared" ref="Y4:Y220" si="11">IFERROR(IF(X4&lt;&gt;"",X4,IF(AVERAGEIFS($X$4:$X$220,$B$4:$B$220,$B4,$X$4:$X$220,"&lt;&gt;""")&gt;0,AVERAGEIFS($X$4:$X$220,$B$4:$B$220,$B4,$X$4:$X$220,"&lt;&gt;"""))),Y$3)</f>
        <v>0.3063</v>
      </c>
      <c r="Z4" s="121"/>
      <c r="AA4" s="121"/>
      <c r="AB4" s="121"/>
      <c r="AC4" s="121"/>
      <c r="AD4" s="122">
        <v>0.0</v>
      </c>
      <c r="AE4" s="123">
        <v>0.0</v>
      </c>
      <c r="AF4" s="123">
        <v>0.0</v>
      </c>
      <c r="AG4" s="124">
        <v>0.0725</v>
      </c>
      <c r="AH4" s="124">
        <v>0.11352165</v>
      </c>
      <c r="AI4" s="125">
        <v>0.0043</v>
      </c>
      <c r="AJ4" s="125">
        <v>0.006964104</v>
      </c>
      <c r="AK4" s="126">
        <v>0.0</v>
      </c>
      <c r="AL4" s="127">
        <v>0.438041059</v>
      </c>
      <c r="AM4" s="128"/>
      <c r="AN4" s="129" t="str">
        <f>IFERROR(
  AVERAGEIFS(
    'New 20102013 LF Efficacy'!$J:$J,
    'New 20102013 LF Efficacy'!$D:$D, $A4,
    'New 20102013 LF Efficacy'!$F:$F,"DEC", 
    'New 20102013 LF Efficacy'!$W:$W,"&lt;2011",
    'New 20102013 LF Efficacy'!$AA:$AA,""),
  ""
)</f>
        <v/>
      </c>
      <c r="AO4" s="115">
        <f t="shared" ref="AO4:AO220" si="12">IFERROR(
  IFERROR(
    IF(
      AN4&lt;&gt;"",
      AN4,
      AVERAGEIFS($AN$4:$AN$220,$B$4:$B$220,B4,$AN$4:$AN$220,"&lt;&gt;""")
    ), 
    AVERAGEIFS($AN$4:$AN$220,$AN$4:$AN$220,"&lt;&gt;""")
  ),
  "")</f>
        <v>0.3573520833</v>
      </c>
      <c r="AP4" s="121" t="str">
        <f>IFERROR(
AVERAGEIFS(
'New 20102013 LF Efficacy'!$J:$J,
'New 20102013 LF Efficacy'!$D:$D,$A4,
'New 20102013 LF Efficacy'!$F:$F,"Albendazole &amp; DEC",
'New 20102013 LF Efficacy'!$W:$W,"&lt;2011",
'New 20102013 LF Efficacy'!$AA:$AA,""),
"")
</f>
        <v/>
      </c>
      <c r="AQ4" s="115">
        <f t="shared" ref="AQ4:AQ220" si="13">IFERROR(IFERROR(IF(AP4&lt;&gt;"",AP4,AVERAGEIFS($AP$4:$AP$220,$B$4:$B$220,B4,$AP$4:$AP$220,"&lt;&gt;""")), AVERAGEIFS($AP$4:$AP$220,$AP$4:$AP$220,"&lt;&gt;""")),"")</f>
        <v>0.7935</v>
      </c>
      <c r="AR4" s="121" t="str">
        <f>IFERROR(
AVERAGEIFS(
'New 20102013 LF Efficacy'!$J:$J,
'New 20102013 LF Efficacy'!$D:$D,$A4,
'New 20102013 LF Efficacy'!$F:$F,"Albendazole &amp; Ivermectin", 
'New 20102013 LF Efficacy'!$W:$W,"&lt;2011",
'New 20102013 LF Efficacy'!$AA:$AA,""),"")</f>
        <v/>
      </c>
      <c r="AS4" s="115">
        <f t="shared" ref="AS4:AS220" si="14">IFERROR(IFERROR(IF(AR4&lt;&gt;"",AR4,AVERAGEIFS($AR$4:$AR$220,$B$4:$B$220,B4,$AR$4:$AR$220,"&lt;&gt;""")), AVERAGEIFS($AR$4:$AR$220,$AR$4:$AR$220,"&lt;&gt;""")),"")</f>
        <v>0.37153125</v>
      </c>
      <c r="AT4" s="130" t="str">
        <f>IFERROR(AVERAGEIFS(
'20102013 Schist Efficacy'!$O:$O, 
'20102013 Schist Efficacy'!$C:$C,$A4, 
'20102013 Schist Efficacy'!$D:$D, "Praziquantel",
'20102013 Schist Efficacy'!$J:$J,"&lt;2011",
'20102013 Schist Efficacy'!$U:$U,""),
"")</f>
        <v/>
      </c>
      <c r="AU4" s="118">
        <f t="shared" ref="AU4:AU220" si="15">IFERROR(
IFERROR(
IF(AT4&lt;&gt;"",AT4,AVERAGEIFS(AT$4:AT$220,$B$4:$B$220,$B4,AT$4:AT$220,"&lt;&gt;""")),IFERROR(AVERAGE(AT$4:AT$220))),
"No Data")</f>
        <v>0.7763141026</v>
      </c>
      <c r="AV4" s="131" t="str">
        <f>IFERROR(AVERAGEIFS(
'20102013 STH Efficacy'!$AX:$AX, 
'20102013 STH Efficacy'!$AL:$AL, $A4, 
'20102013 STH Efficacy'!$AM:$AM, "Albendazole",
'20102013 STH Efficacy'!$AS:$AS,"&lt;2011",
'20102013 STH Efficacy'!$BP:$BP,""),
"")</f>
        <v/>
      </c>
      <c r="AW4" s="132">
        <f t="shared" ref="AW4:AW220" si="16">IFERROR(IFERROR(IF(AV4&lt;&gt;"",AV4,AVERAGEIFS(AV$4:AV$220,$B$4:$B$220,$B4,AV$4:AV$220,"&gt; 0")), AVERAGEIFS(AV$4:AV$220,AV$4:AV$220,"&lt;&gt;""")),"")</f>
        <v>0.3842878788</v>
      </c>
      <c r="AX4" s="131" t="str">
        <f>IFERROR(AVERAGEIFS(
'20102013 STH Efficacy'!$AX:$AX, 
'20102013 STH Efficacy'!$AL:$AL, $A4, 
'20102013 STH Efficacy'!$AM:$AM, "Mebendazole",
'20102013 STH Efficacy'!$AS:$AS,"&lt;2011",
'20102013 STH Efficacy'!$BP:$BP,""),
"")</f>
        <v/>
      </c>
      <c r="AY4" s="132">
        <f t="shared" ref="AY4:AY220" si="17">IFERROR(IFERROR(IF(AX4&lt;&gt;"",AX4,AVERAGEIFS(AX$4:AX$220,$B$4:$B$220,$B4,AX$4:AX$220,"&gt; 0")), AVERAGEIFS(AX$4:AX$220,AX$4:AX$220,"&lt;&gt;""")),"")</f>
        <v>0.5121666667</v>
      </c>
      <c r="AZ4" s="131" t="str">
        <f>IFERROR(AVERAGEIFS(
'20102013 STH Efficacy'!$AX:$AX, 
'20102013 STH Efficacy'!$AL:$AL, $A4, 
'20102013 STH Efficacy'!$AM:$AM, "Albendazole &amp; Ivermectin",
'20102013 STH Efficacy'!$AS:$AS,"&lt;2011",
'20102013 STH Efficacy'!$BP:$BP,""),
"")</f>
        <v/>
      </c>
      <c r="BA4" s="133">
        <f t="shared" ref="BA4:BA220" si="18">IFERROR(IFERROR(IF(AZ4&lt;&gt;"",AZ4,AVERAGEIFS(AZ$4:AZ$220,$B$4:$B$220,$B4,AZ$4:AZ$220,"&gt; 0")), AVERAGEIFS(AZ$4:AZ$220,AZ$4:AZ$220,"&lt;&gt;""")),"")</f>
        <v>0.7176666667</v>
      </c>
      <c r="BB4" s="134" t="str">
        <f>IFERROR(AVERAGEIFS(
'20102013 STH Efficacy'!$N:$N, 
'20102013 STH Efficacy'!$B:$B, $A4, 
'20102013 STH Efficacy'!$C:$C, "Albendazole",
'20102013 STH Efficacy'!$I:$I,"&lt;2011",
'20102013 STH Efficacy'!$AH:$AH,""),
"")</f>
        <v/>
      </c>
      <c r="BC4" s="135">
        <f t="shared" ref="BC4:BC220" si="19">IFERROR(
  IFERROR(
    IF(
      BB4&lt;&gt;"",
      BB4,
      AVERAGEIFS(
        BB$4:BB$220,
        $B$4:$B$220,$B4,
        BB$4:BB$220,"&lt;&gt;"""
      )
     ), AVERAGEIFS(BB$4:BB$220,BB$4:BB$220,"&lt;&gt;""")),"")</f>
        <v>0.7630416667</v>
      </c>
      <c r="BD4" s="134" t="str">
        <f>IFERROR(AVERAGEIFS(
'20102013 STH Efficacy'!$N:$N, 
'20102013 STH Efficacy'!$B:$B, $A4, 
'20102013 STH Efficacy'!$C:$C, "Mebendazole",
'20102013 STH Efficacy'!$I:$I,"&lt;2011",
'20102013 STH Efficacy'!$AH:$AH,""),
"")</f>
        <v/>
      </c>
      <c r="BE4" s="135">
        <f t="shared" ref="BE4:BE220" si="20">IFERROR(
  IFERROR(
    IF(
      BD4&lt;&gt;"",
      BD4,
      AVERAGEIFS(
        BD$4:BD$220,
        $B$4:$B$220,$B4,
        BD$4:BD$220,"&gt; 0"
      )
     ), AVERAGEIFS(BD$4:BD$220,BD$4:BD$220,"&lt;&gt;""")),"")</f>
        <v>0.4405966667</v>
      </c>
      <c r="BF4" s="128" t="str">
        <f>IFERROR(AVERAGEIFS(
'20102013 STH Efficacy'!$CD:$CD, 
'20102013 STH Efficacy'!$BS:$BS, $A4, 
'20102013 STH Efficacy'!$BT:$BT, "Albendazole",
'20102013 STH Efficacy'!$BZ:$BZ,"&lt;2011",
'20102013 STH Efficacy'!$CU:$CU,""),
"")</f>
        <v/>
      </c>
      <c r="BG4" s="136">
        <f t="shared" ref="BG4:BG220" si="21">IFERROR(IFERROR(IF(BF4&lt;&gt;"",BF4,AVERAGEIFS(BF$4:BF$220,$B$4:$B$220,$B4,BF$4:BF$220,"&gt; 0")), AVERAGEIFS(BF$4:BF$220,BF$4:BF$220,"&lt;&gt;""")),"")</f>
        <v>0.955</v>
      </c>
      <c r="BH4" s="128" t="str">
        <f>IFERROR(AVERAGEIFS(
'20102013 STH Efficacy'!$CD:$CD, 
'20102013 STH Efficacy'!$BS:$BS, $A4, 
'20102013 STH Efficacy'!$BT:$BT, "Mebendazole",
'20102013 STH Efficacy'!$BZ:$BZ,"&lt;2011",
'20102013 STH Efficacy'!$CU:$CU,""),
"")</f>
        <v/>
      </c>
      <c r="BI4" s="136">
        <f t="shared" ref="BI4:BI220" si="22">IFERROR(IFERROR(IF(BH4&lt;&gt;"",BH4,AVERAGEIFS(BH$4:BH$220,$B$4:$B$220,$B4,BH$4:BH$220,"&gt; 0")), AVERAGEIFS(BH$4:BH$220,BH$4:BH$220,"&lt;&gt;""")),"")</f>
        <v>1</v>
      </c>
      <c r="BJ4" s="128" t="str">
        <f>IFERROR(AVERAGEIFS(
'20102013 STH Efficacy'!$CD:$CD, 
'20102013 STH Efficacy'!$BS:$BS, $A4, 
'20102013 STH Efficacy'!$BT:$BT, "Albendazole &amp; Ivermectin",
'20102013 STH Efficacy'!$BZ:$BZ,"&lt;2011",
'20102013 STH Efficacy'!$CU:$CU,""),
"")</f>
        <v/>
      </c>
      <c r="BK4" s="136">
        <f t="shared" ref="BK4:BK220" si="23">IFERROR(IFERROR(IF(BJ4&lt;&gt;"",BJ4,AVERAGEIFS(BJ$4:BJ$220,$B$4:$B$220,$B4,BJ$4:BJ$220,"&gt; 0")), AVERAGEIFS(BJ$4:BJ$220,BJ$4:BJ$220,"&lt;&gt;""")),"")</f>
        <v>1</v>
      </c>
      <c r="BL4" s="137"/>
      <c r="BM4" s="137"/>
      <c r="BN4" s="138">
        <v>0.0</v>
      </c>
      <c r="BO4" s="139">
        <v>0.0</v>
      </c>
      <c r="BP4" s="140">
        <v>0.0</v>
      </c>
      <c r="BQ4" s="141">
        <f t="shared" ref="BQ4:BQ220" si="24">IF(AVERAGE(AH4, AJ4, AL4)&gt;=50%, 2, IF(AVERAGE(AH4, AJ4, AL4)&gt;=20%,1,0))</f>
        <v>0</v>
      </c>
      <c r="BR4" s="104" t="str">
        <f t="shared" ref="BR4:BR220" si="25">BN4&amp;BO4&amp;BP4&amp;BQ4</f>
        <v>0000</v>
      </c>
      <c r="BS4" s="104" t="str">
        <f t="shared" ref="BS4:BS220" si="26">IF(OR(BR4="1112",BR4="0112"),"MDA1+T1",IF(OR(BR4="1111",BR4="1110",BR4="0111"),"MDA1+T2",IF(OR(BR4="1102",BR4="0102"),"MDA1+T3",IF(OR(BR4="1101",BR4="1100",BR4="0101"),"MDA1",IF(BR4="1012","MDA1/2+T1",IF(OR(BR4="1011",BR4="1010"),"MDA1/2+T2",IF(BR4="1002","MDA1/2+T3",IF(OR(BR4="1001",BR4="1000"),"MDA1/2",IF(BR4="0110","MDA3+T2",IF(BR4="0100","MDA3",IF(BR4="0012","T1+T3",IF(BR4="0011","T1",IF(BR4="0010","T2",IF(BR4="0002","T3+T3",IF(BR4="0001","T3",IF(BR4="0000","no action required"))))))))))))))))</f>
        <v>no action required</v>
      </c>
      <c r="BT4" s="142" t="str">
        <f t="shared" ref="BT4:BT220" si="27">IF(BS4="no action required","",IF(BS4="MDA1","IVM+ALB",IF(BS4="MDA3","IVM",IF(BS4="T1","ALB+PZQ or MBD+PZQ",IF(BS4="T2","PZQ",IF(BS4="T3","ALB or MBD",IF(BS4="MDA1+T1","IVM+ALB",IF(BS4="MDA1+T2","IVM+ALB",IF(BS4="MDA1+T3","IVM+ALB",IF(BS4="MDA1/2+T1","DEC+ALB",IF(BS4="MDA1/2+T2","DEC +ALB",IF(BS4="MDA1/2+T3","DEC+ALB",IF(BS4="MDA1/2","DEC+ALB",IF(BS4="MDA3+T2","IVM",IF(BS4="T1+T3","ALB+PZQ or MBD+PZQ",IF(BS4="T3+T3","2(ALB or MBD)"))))))))))))))))</f>
        <v/>
      </c>
      <c r="BU4" s="104" t="str">
        <f t="shared" ref="BU4:BU220" si="28">IF(IF(BS4="MDA1+T1","ALB+PZQ or MBD+PZQ",IF(BS4="MDA1+T2","PZQ",IF(BS4="MDA1+T3","ALB or MBD",IF(BS4="MDA1/2+T1","ALB+PZQ or MBD+PZQ",IF(BS4="MDA1/2+T2","PZQ",IF(BS4="MDA1/2+T3","ALB or MBD",IF(BS4="MDA3+T2","PZQ",IF(BS4="T1+T3","ALB or MBD"))))))))=FALSE,"",IF(BS4="MDA1+T1","ALB+PZQ or MBD+PZQ",IF(BS4="MDA1+T2","PZQ",IF(BS4="MDA1+T3","ALB or MBD",IF(BS4="MDA1/2+T1","ALB+PZQ or MBD+PZQ",IF(BS4="MDA1/2+T2","PZQ",IF(BS4="MDA1/2+T3","ALB or MBD",IF(BS4="MDA3+T2","PZQ",IF(BS4="T1+T3","ALB or MBD")))))))))</f>
        <v/>
      </c>
      <c r="BV4" s="104" t="str">
        <f t="shared" ref="BV4:BV220" si="29">IF(BR4=$BR$221,$BS$221,IF(BR4=$BR$222,$BS$222,IF(BR4=$BR$223,$BS$223,IF(BR4=$BR$224,$BS$224,IF(BR4=$BR$225,$BS$225,IF(BR4=$BR$226,$BS$226,IF(BR4=$BR$227,$BS$227,IF(BR4=$BR$228,$BS$228,IF(BR4=$BR$229,$BS$229,IF(BR4=$BR$230,$BS$230,IF(BR4=$BR$231,$BS$231,IF(BR4=$BR$232,$BS$232,IF(BR4=$BR$233,$BS$233,IF(BR4=$BR$234,$BS$234,IF(BR4=$BR$235,$BS$235,IF(BR4=$BR$236,$BS$236))))))))))))))))</f>
        <v>none</v>
      </c>
      <c r="BW4" s="143" t="str">
        <f t="shared" ref="BW4:BW220" si="30">iferror(IF(and(search("lf",$BV4),search(BW$2,$BT4)),(($D4*$AQ4*$S4)/(1-$AQ4*$S4))," "))</f>
        <v/>
      </c>
      <c r="BX4" s="143" t="str">
        <f t="shared" ref="BX4:BX220" si="31">iferror(IF(and(search("lf",$BV4),search(BX$2,$BT4)),(($D4*$AS4*$S4)/(1-$AS4*$S4))," "))</f>
        <v/>
      </c>
      <c r="BY4" s="144" t="str">
        <f t="shared" ref="BY4:BY220" si="32">iferror(IF(and(search("schist",$BV4),search(BY$2,$BU4)),(($E4*$AU4*$U4)/(1-$AU4*$U4)),""))</f>
        <v/>
      </c>
      <c r="BZ4" s="145" t="str">
        <f t="shared" ref="BZ4:BZ220" si="33">iferror(IF(AND(search("sth",$BV4),search(BZ$2,$BT4)),$G4*$AW4*$Y4/(1-$AW4*$Y4)+$F4*$AW4*$W4/(1-$AW4*$W4),""),"")</f>
        <v/>
      </c>
      <c r="CA4" s="145" t="str">
        <f t="shared" ref="CA4:CA220" si="34">iferror(IF(AND(search("sth",$BV4),search(CA$2,$BT4)),((($G4*$AY4*$Y4)/(1-$AY4*$Y4)))+(($F4*$AY4*$W4)/(1-$AY4*$W4)),""),"")</f>
        <v/>
      </c>
      <c r="CB4" s="145" t="str">
        <f t="shared" ref="CB4:CB220" si="35">iferror(IF(AND(search("sth",$BV4),search(CB$2,$BT4)),((($G4*$BA4*$Y4)/(1-$BA4*$Y4)))+(($F4*$BA4*$W4)/(1-$BA4*$W4)),""),"")</f>
        <v/>
      </c>
      <c r="CC4" s="146" t="str">
        <f t="shared" ref="CC4:CC220" si="36">iferror(IF(AND(search("sth",$BV4),search(CC$2,$BT4)),((($J4*$BC4*$Y4)/(1-$BC4*$Y4)))+(($I4*$BC4*$W4)/(1-$BC4*$W4)),""),"")</f>
        <v/>
      </c>
      <c r="CD4" s="146" t="str">
        <f t="shared" ref="CD4:CD220" si="37">iferror(IF(AND(search("sth",$BV4),search(CD$2,$BT4)),((($J4*$BE4*$Y4)/(1-$BE4*$Y4)))+(($I4*$BE4*$W4)/(1-$BE4*$W4)),""),"")</f>
        <v/>
      </c>
      <c r="CE4" s="147" t="str">
        <f t="shared" ref="CE4:CE220" si="38">iferror(IF(AND(search("sth",$BV4),search(CE$2,$BT4)),((($M4*$BG4*$Y4)/(1-$BG4*$Y4)))+(($L4*$BG4*$W4)/(1-$BG4*$W4)),""),"")</f>
        <v/>
      </c>
      <c r="CF4" s="147" t="str">
        <f t="shared" ref="CF4:CF220" si="39">iferror(IF(AND(search("sth",$BV4),search(CF$2,$BT4)),($M4*$BI4*$Y4)/(1-$BI4*$Y4)+($L4*$BI4*$W4)/(1-$BI4*$W4),""),"")</f>
        <v/>
      </c>
      <c r="CG4" s="147" t="str">
        <f t="shared" ref="CG4:CG220" si="40">iferror(IF(AND(search("sth",$BV4),search(CG$2,$BT4)),(($M4*$BK4*$Y4)/(1-$BK4*$Y4)))+(($L4*$BK4*$W4)/(1-$BK4*$W4)),"")</f>
        <v/>
      </c>
    </row>
    <row r="5">
      <c r="A5" s="103" t="s">
        <v>89</v>
      </c>
      <c r="B5" s="104" t="s">
        <v>90</v>
      </c>
      <c r="C5" s="105">
        <v>2913021.0</v>
      </c>
      <c r="D5" s="106">
        <v>0.0</v>
      </c>
      <c r="E5" s="107">
        <v>0.0</v>
      </c>
      <c r="F5" s="108">
        <v>0.0</v>
      </c>
      <c r="G5" s="108">
        <v>0.0</v>
      </c>
      <c r="H5" s="108">
        <v>0.0</v>
      </c>
      <c r="I5" s="109">
        <v>0.0</v>
      </c>
      <c r="J5" s="109">
        <v>0.0</v>
      </c>
      <c r="K5" s="109">
        <v>0.0</v>
      </c>
      <c r="L5" s="112">
        <v>0.844935789</v>
      </c>
      <c r="M5" s="112">
        <v>0.713633379</v>
      </c>
      <c r="N5" s="112">
        <v>1.558569169</v>
      </c>
      <c r="O5" s="113"/>
      <c r="P5" s="114"/>
      <c r="Q5" s="114"/>
      <c r="R5" s="115" t="str">
        <f t="shared" si="8"/>
        <v/>
      </c>
      <c r="S5" s="116">
        <f t="shared" si="9"/>
        <v>0.4013436246</v>
      </c>
      <c r="T5" s="117"/>
      <c r="U5" s="118">
        <f t="shared" ref="U5:U220" si="41">IFERROR(IF(T5&lt;&gt;"",T5,IF(AVERAGEIFS($T$4:$T$220,$B$4:$B$220,$B5,$T$4:$T$220,"&lt;&gt;""")&gt;0,AVERAGEIFS($T$4:$T$220,$B$4:$B$220,$B5,$T$4:$T$220,"&lt;&gt;"""))),$U$3)</f>
        <v>0.3468166667</v>
      </c>
      <c r="V5" s="148"/>
      <c r="W5" s="120">
        <f t="shared" si="10"/>
        <v>1</v>
      </c>
      <c r="X5" s="148"/>
      <c r="Y5" s="120">
        <f t="shared" si="11"/>
        <v>0.71735</v>
      </c>
      <c r="Z5" s="121"/>
      <c r="AA5" s="121"/>
      <c r="AB5" s="121"/>
      <c r="AC5" s="121"/>
      <c r="AD5" s="122">
        <v>0.0</v>
      </c>
      <c r="AE5" s="123">
        <v>0.0</v>
      </c>
      <c r="AF5" s="123">
        <v>0.0</v>
      </c>
      <c r="AG5" s="124">
        <v>0.0</v>
      </c>
      <c r="AH5" s="124">
        <v>0.0</v>
      </c>
      <c r="AI5" s="125">
        <v>0.0</v>
      </c>
      <c r="AJ5" s="125">
        <v>0.0</v>
      </c>
      <c r="AK5" s="127">
        <v>0.0</v>
      </c>
      <c r="AL5" s="127">
        <v>0.0</v>
      </c>
      <c r="AM5" s="128"/>
      <c r="AN5" s="149" t="str">
        <f>IFERROR(
  AVERAGEIFS(
    'New 20102013 LF Efficacy'!$J:$J,
    'New 20102013 LF Efficacy'!$D:$D, $A5,
    'New 20102013 LF Efficacy'!$F:$F,"DEC", 
    'New 20102013 LF Efficacy'!$W:$W,"&lt;2011",
    'New 20102013 LF Efficacy'!$AA:$AA,""),
  ""
)</f>
        <v/>
      </c>
      <c r="AO5" s="115">
        <f t="shared" si="12"/>
        <v>0.3573520833</v>
      </c>
      <c r="AP5" s="121" t="str">
        <f>IFERROR(
AVERAGEIFS(
'New 20102013 LF Efficacy'!$J:$J,
'New 20102013 LF Efficacy'!$D:$D,$A5,
'New 20102013 LF Efficacy'!$F:$F,"Albendazole &amp; DEC",
'New 20102013 LF Efficacy'!$W:$W,"&lt;2011",
'New 20102013 LF Efficacy'!$AA:$AA,""),
"")
</f>
        <v/>
      </c>
      <c r="AQ5" s="115">
        <f t="shared" si="13"/>
        <v>0.5137291667</v>
      </c>
      <c r="AR5" s="121" t="str">
        <f>IFERROR(
AVERAGEIFS(
'New 20102013 LF Efficacy'!$J:$J,
'New 20102013 LF Efficacy'!$D:$D,$A5,
'New 20102013 LF Efficacy'!$F:$F,"Albendazole &amp; Ivermectin", 
'New 20102013 LF Efficacy'!$W:$W,"&lt;2011",
'New 20102013 LF Efficacy'!$AA:$AA,""),"")</f>
        <v/>
      </c>
      <c r="AS5" s="115">
        <f t="shared" si="14"/>
        <v>0.37153125</v>
      </c>
      <c r="AT5" s="130" t="str">
        <f>IFERROR(AVERAGEIFS(
'20102013 Schist Efficacy'!$O:$O, 
'20102013 Schist Efficacy'!$C:$C,$A5, 
'20102013 Schist Efficacy'!$D:$D, "Praziquantel",
'20102013 Schist Efficacy'!$J:$J,"&lt;2011",
'20102013 Schist Efficacy'!$U:$U,""),
"")</f>
        <v/>
      </c>
      <c r="AU5" s="118">
        <f t="shared" si="15"/>
        <v>0.655</v>
      </c>
      <c r="AV5" s="131" t="str">
        <f>IFERROR(AVERAGEIFS(
'20102013 STH Efficacy'!$AX:$AX, 
'20102013 STH Efficacy'!$AL:$AL, $A5, 
'20102013 STH Efficacy'!$AM:$AM, "Albendazole",
'20102013 STH Efficacy'!$AS:$AS,"&lt;2011",
'20102013 STH Efficacy'!$BP:$BP,""),
"")</f>
        <v/>
      </c>
      <c r="AW5" s="132">
        <f t="shared" si="16"/>
        <v>0.3842878788</v>
      </c>
      <c r="AX5" s="131" t="str">
        <f>IFERROR(AVERAGEIFS(
'20102013 STH Efficacy'!$AX:$AX, 
'20102013 STH Efficacy'!$AL:$AL, $A5, 
'20102013 STH Efficacy'!$AM:$AM, "Mebendazole",
'20102013 STH Efficacy'!$AS:$AS,"&lt;2011",
'20102013 STH Efficacy'!$BP:$BP,""),
"")</f>
        <v/>
      </c>
      <c r="AY5" s="132">
        <f t="shared" si="17"/>
        <v>0.5121666667</v>
      </c>
      <c r="AZ5" s="131" t="str">
        <f>IFERROR(AVERAGEIFS(
'20102013 STH Efficacy'!$AX:$AX, 
'20102013 STH Efficacy'!$AL:$AL, $A5, 
'20102013 STH Efficacy'!$AM:$AM, "Albendazole &amp; Ivermectin",
'20102013 STH Efficacy'!$AS:$AS,"&lt;2011",
'20102013 STH Efficacy'!$BP:$BP,""),
"")</f>
        <v/>
      </c>
      <c r="BA5" s="133">
        <f t="shared" si="18"/>
        <v>0.7176666667</v>
      </c>
      <c r="BB5" s="134" t="str">
        <f>IFERROR(AVERAGEIFS(
'20102013 STH Efficacy'!$N:$N, 
'20102013 STH Efficacy'!$B:$B, $A5, 
'20102013 STH Efficacy'!$C:$C, "Albendazole",
'20102013 STH Efficacy'!$I:$I,"&lt;2011",
'20102013 STH Efficacy'!$AH:$AH,""),
"")</f>
        <v/>
      </c>
      <c r="BC5" s="135">
        <f t="shared" si="19"/>
        <v>0.7630416667</v>
      </c>
      <c r="BD5" s="134" t="str">
        <f>IFERROR(AVERAGEIFS(
'20102013 STH Efficacy'!$N:$N, 
'20102013 STH Efficacy'!$B:$B, $A5, 
'20102013 STH Efficacy'!$C:$C, "Mebendazole",
'20102013 STH Efficacy'!$I:$I,"&lt;2011",
'20102013 STH Efficacy'!$AH:$AH,""),
"")</f>
        <v/>
      </c>
      <c r="BE5" s="135">
        <f t="shared" si="20"/>
        <v>0.4405966667</v>
      </c>
      <c r="BF5" s="128" t="str">
        <f>IFERROR(AVERAGEIFS(
'20102013 STH Efficacy'!$CD:$CD, 
'20102013 STH Efficacy'!$BS:$BS, $A5, 
'20102013 STH Efficacy'!$BT:$BT, "Albendazole",
'20102013 STH Efficacy'!$BZ:$BZ,"&lt;2011",
'20102013 STH Efficacy'!$CU:$CU,""),
"")</f>
        <v/>
      </c>
      <c r="BG5" s="136">
        <f t="shared" si="21"/>
        <v>0.9403222222</v>
      </c>
      <c r="BH5" s="128" t="str">
        <f>IFERROR(AVERAGEIFS(
'20102013 STH Efficacy'!$CD:$CD, 
'20102013 STH Efficacy'!$BS:$BS, $A5, 
'20102013 STH Efficacy'!$BT:$BT, "Mebendazole",
'20102013 STH Efficacy'!$BZ:$BZ,"&lt;2011",
'20102013 STH Efficacy'!$CU:$CU,""),
"")</f>
        <v/>
      </c>
      <c r="BI5" s="136">
        <f t="shared" si="22"/>
        <v>0.9229285714</v>
      </c>
      <c r="BJ5" s="128" t="str">
        <f>IFERROR(AVERAGEIFS(
'20102013 STH Efficacy'!$CD:$CD, 
'20102013 STH Efficacy'!$BS:$BS, $A5, 
'20102013 STH Efficacy'!$BT:$BT, "Albendazole &amp; Ivermectin",
'20102013 STH Efficacy'!$BZ:$BZ,"&lt;2011",
'20102013 STH Efficacy'!$CU:$CU,""),
"")</f>
        <v/>
      </c>
      <c r="BK5" s="136">
        <f t="shared" si="23"/>
        <v>1</v>
      </c>
      <c r="BL5" s="137"/>
      <c r="BM5" s="137"/>
      <c r="BN5" s="138">
        <v>0.0</v>
      </c>
      <c r="BO5" s="139">
        <v>0.0</v>
      </c>
      <c r="BP5" s="140">
        <v>0.0</v>
      </c>
      <c r="BQ5" s="141">
        <f t="shared" si="24"/>
        <v>0</v>
      </c>
      <c r="BR5" s="104" t="str">
        <f t="shared" si="25"/>
        <v>0000</v>
      </c>
      <c r="BS5" s="104" t="str">
        <f t="shared" si="26"/>
        <v>no action required</v>
      </c>
      <c r="BT5" s="142" t="str">
        <f t="shared" si="27"/>
        <v/>
      </c>
      <c r="BU5" s="104" t="str">
        <f t="shared" si="28"/>
        <v/>
      </c>
      <c r="BV5" s="104" t="str">
        <f t="shared" si="29"/>
        <v>none</v>
      </c>
      <c r="BW5" s="150" t="str">
        <f t="shared" si="30"/>
        <v/>
      </c>
      <c r="BX5" s="150" t="str">
        <f t="shared" si="31"/>
        <v/>
      </c>
      <c r="BY5" s="151" t="str">
        <f t="shared" si="32"/>
        <v/>
      </c>
      <c r="BZ5" s="152" t="str">
        <f t="shared" si="33"/>
        <v/>
      </c>
      <c r="CA5" s="152" t="str">
        <f t="shared" si="34"/>
        <v/>
      </c>
      <c r="CB5" s="152" t="str">
        <f t="shared" si="35"/>
        <v/>
      </c>
      <c r="CC5" s="153" t="str">
        <f t="shared" si="36"/>
        <v/>
      </c>
      <c r="CD5" s="153" t="str">
        <f t="shared" si="37"/>
        <v/>
      </c>
      <c r="CE5" s="154" t="str">
        <f t="shared" si="38"/>
        <v/>
      </c>
      <c r="CF5" s="154" t="str">
        <f t="shared" si="39"/>
        <v/>
      </c>
      <c r="CG5" s="154" t="str">
        <f t="shared" si="40"/>
        <v/>
      </c>
    </row>
    <row r="6">
      <c r="A6" s="103" t="s">
        <v>91</v>
      </c>
      <c r="B6" s="104" t="s">
        <v>92</v>
      </c>
      <c r="C6" s="105">
        <v>3.6117637E7</v>
      </c>
      <c r="D6" s="106">
        <v>0.0</v>
      </c>
      <c r="E6" s="107">
        <v>5615.933026</v>
      </c>
      <c r="F6" s="108">
        <v>0.352621086</v>
      </c>
      <c r="G6" s="108">
        <v>1.222264912</v>
      </c>
      <c r="H6" s="108">
        <v>1.574885998</v>
      </c>
      <c r="I6" s="109">
        <v>0.21504442</v>
      </c>
      <c r="J6" s="109">
        <v>0.16197697</v>
      </c>
      <c r="K6" s="110">
        <v>0.377021389</v>
      </c>
      <c r="L6" s="111">
        <v>89.98002401</v>
      </c>
      <c r="M6" s="112">
        <v>67.13191658</v>
      </c>
      <c r="N6" s="112">
        <v>157.1119406</v>
      </c>
      <c r="O6" s="113"/>
      <c r="P6" s="114"/>
      <c r="Q6" s="114"/>
      <c r="R6" s="115" t="str">
        <f t="shared" si="8"/>
        <v/>
      </c>
      <c r="S6" s="116">
        <f t="shared" si="9"/>
        <v>0.1716437208</v>
      </c>
      <c r="T6" s="117"/>
      <c r="U6" s="118">
        <f t="shared" si="41"/>
        <v>0.252</v>
      </c>
      <c r="V6" s="148"/>
      <c r="W6" s="120">
        <f t="shared" si="10"/>
        <v>0.7266555556</v>
      </c>
      <c r="X6" s="148"/>
      <c r="Y6" s="120">
        <f t="shared" si="11"/>
        <v>0.4342071429</v>
      </c>
      <c r="Z6" s="121"/>
      <c r="AA6" s="121"/>
      <c r="AB6" s="121"/>
      <c r="AC6" s="121"/>
      <c r="AD6" s="122">
        <v>0.0</v>
      </c>
      <c r="AE6" s="123">
        <v>0.01</v>
      </c>
      <c r="AF6" s="123">
        <v>0.0018</v>
      </c>
      <c r="AG6" s="124">
        <v>0.0144</v>
      </c>
      <c r="AH6" s="124">
        <v>0.022162093</v>
      </c>
      <c r="AI6" s="125">
        <v>0.0</v>
      </c>
      <c r="AJ6" s="125">
        <v>8.62E-6</v>
      </c>
      <c r="AK6" s="127">
        <v>0.03</v>
      </c>
      <c r="AL6" s="127">
        <v>0.050846369</v>
      </c>
      <c r="AM6" s="128"/>
      <c r="AN6" s="149" t="str">
        <f>IFERROR(
  AVERAGEIFS(
    'New 20102013 LF Efficacy'!$J:$J,
    'New 20102013 LF Efficacy'!$D:$D, $A6,
    'New 20102013 LF Efficacy'!$F:$F,"DEC", 
    'New 20102013 LF Efficacy'!$W:$W,"&lt;2011",
    'New 20102013 LF Efficacy'!$AA:$AA,""),
  ""
)</f>
        <v/>
      </c>
      <c r="AO6" s="115">
        <f t="shared" si="12"/>
        <v>0.31225</v>
      </c>
      <c r="AP6" s="121" t="str">
        <f>IFERROR(
AVERAGEIFS(
'New 20102013 LF Efficacy'!$J:$J,
'New 20102013 LF Efficacy'!$D:$D,$A6,
'New 20102013 LF Efficacy'!$F:$F,"Albendazole &amp; DEC",
'New 20102013 LF Efficacy'!$W:$W,"&lt;2011",
'New 20102013 LF Efficacy'!$AA:$AA,""),
"")
</f>
        <v/>
      </c>
      <c r="AQ6" s="115">
        <f t="shared" si="13"/>
        <v>0.4</v>
      </c>
      <c r="AR6" s="121" t="str">
        <f>IFERROR(
AVERAGEIFS(
'New 20102013 LF Efficacy'!$J:$J,
'New 20102013 LF Efficacy'!$D:$D,$A6,
'New 20102013 LF Efficacy'!$F:$F,"Albendazole &amp; Ivermectin", 
'New 20102013 LF Efficacy'!$W:$W,"&lt;2011",
'New 20102013 LF Efficacy'!$AA:$AA,""),"")</f>
        <v/>
      </c>
      <c r="AS6" s="115">
        <f t="shared" si="14"/>
        <v>0.2943125</v>
      </c>
      <c r="AT6" s="130" t="str">
        <f>IFERROR(AVERAGEIFS(
'20102013 Schist Efficacy'!$O:$O, 
'20102013 Schist Efficacy'!$C:$C,$A6, 
'20102013 Schist Efficacy'!$D:$D, "Praziquantel",
'20102013 Schist Efficacy'!$J:$J,"&lt;2011",
'20102013 Schist Efficacy'!$U:$U,""),
"")</f>
        <v/>
      </c>
      <c r="AU6" s="118">
        <f t="shared" si="15"/>
        <v>0.6444020147</v>
      </c>
      <c r="AV6" s="131" t="str">
        <f>IFERROR(AVERAGEIFS(
'20102013 STH Efficacy'!$AX:$AX, 
'20102013 STH Efficacy'!$AL:$AL, $A6, 
'20102013 STH Efficacy'!$AM:$AM, "Albendazole",
'20102013 STH Efficacy'!$AS:$AS,"&lt;2011",
'20102013 STH Efficacy'!$BP:$BP,""),
"")</f>
        <v/>
      </c>
      <c r="AW6" s="132">
        <f t="shared" si="16"/>
        <v>0.3538333333</v>
      </c>
      <c r="AX6" s="131" t="str">
        <f>IFERROR(AVERAGEIFS(
'20102013 STH Efficacy'!$AX:$AX, 
'20102013 STH Efficacy'!$AL:$AL, $A6, 
'20102013 STH Efficacy'!$AM:$AM, "Mebendazole",
'20102013 STH Efficacy'!$AS:$AS,"&lt;2011",
'20102013 STH Efficacy'!$BP:$BP,""),
"")</f>
        <v/>
      </c>
      <c r="AY6" s="132">
        <f t="shared" si="17"/>
        <v>0.5918333333</v>
      </c>
      <c r="AZ6" s="131" t="str">
        <f>IFERROR(AVERAGEIFS(
'20102013 STH Efficacy'!$AX:$AX, 
'20102013 STH Efficacy'!$AL:$AL, $A6, 
'20102013 STH Efficacy'!$AM:$AM, "Albendazole &amp; Ivermectin",
'20102013 STH Efficacy'!$AS:$AS,"&lt;2011",
'20102013 STH Efficacy'!$BP:$BP,""),
"")</f>
        <v/>
      </c>
      <c r="BA6" s="133">
        <f t="shared" si="18"/>
        <v>0.706</v>
      </c>
      <c r="BB6" s="134" t="str">
        <f>IFERROR(AVERAGEIFS(
'20102013 STH Efficacy'!$N:$N, 
'20102013 STH Efficacy'!$B:$B, $A6, 
'20102013 STH Efficacy'!$C:$C, "Albendazole",
'20102013 STH Efficacy'!$I:$I,"&lt;2011",
'20102013 STH Efficacy'!$AH:$AH,""),
"")</f>
        <v/>
      </c>
      <c r="BC6" s="135">
        <f t="shared" si="19"/>
        <v>0.9116666667</v>
      </c>
      <c r="BD6" s="134" t="str">
        <f>IFERROR(AVERAGEIFS(
'20102013 STH Efficacy'!$N:$N, 
'20102013 STH Efficacy'!$B:$B, $A6, 
'20102013 STH Efficacy'!$C:$C, "Mebendazole",
'20102013 STH Efficacy'!$I:$I,"&lt;2011",
'20102013 STH Efficacy'!$AH:$AH,""),
"")</f>
        <v/>
      </c>
      <c r="BE6" s="135">
        <f t="shared" si="20"/>
        <v>0.7092416667</v>
      </c>
      <c r="BF6" s="128" t="str">
        <f>IFERROR(AVERAGEIFS(
'20102013 STH Efficacy'!$CD:$CD, 
'20102013 STH Efficacy'!$BS:$BS, $A6, 
'20102013 STH Efficacy'!$BT:$BT, "Albendazole",
'20102013 STH Efficacy'!$BZ:$BZ,"&lt;2011",
'20102013 STH Efficacy'!$CU:$CU,""),
"")</f>
        <v/>
      </c>
      <c r="BG6" s="136">
        <f t="shared" si="21"/>
        <v>0.8656666667</v>
      </c>
      <c r="BH6" s="128" t="str">
        <f>IFERROR(AVERAGEIFS(
'20102013 STH Efficacy'!$CD:$CD, 
'20102013 STH Efficacy'!$BS:$BS, $A6, 
'20102013 STH Efficacy'!$BT:$BT, "Mebendazole",
'20102013 STH Efficacy'!$BZ:$BZ,"&lt;2011",
'20102013 STH Efficacy'!$CU:$CU,""),
"")</f>
        <v/>
      </c>
      <c r="BI6" s="136">
        <f t="shared" si="22"/>
        <v>0.9203333333</v>
      </c>
      <c r="BJ6" s="128" t="str">
        <f>IFERROR(AVERAGEIFS(
'20102013 STH Efficacy'!$CD:$CD, 
'20102013 STH Efficacy'!$BS:$BS, $A6, 
'20102013 STH Efficacy'!$BT:$BT, "Albendazole &amp; Ivermectin",
'20102013 STH Efficacy'!$BZ:$BZ,"&lt;2011",
'20102013 STH Efficacy'!$CU:$CU,""),
"")</f>
        <v/>
      </c>
      <c r="BK6" s="136">
        <f t="shared" si="23"/>
        <v>1</v>
      </c>
      <c r="BL6" s="137"/>
      <c r="BM6" s="137"/>
      <c r="BN6" s="138">
        <v>0.0</v>
      </c>
      <c r="BO6" s="139">
        <v>0.0</v>
      </c>
      <c r="BP6" s="140">
        <v>0.0</v>
      </c>
      <c r="BQ6" s="141">
        <f t="shared" si="24"/>
        <v>0</v>
      </c>
      <c r="BR6" s="104" t="str">
        <f t="shared" si="25"/>
        <v>0000</v>
      </c>
      <c r="BS6" s="104" t="str">
        <f t="shared" si="26"/>
        <v>no action required</v>
      </c>
      <c r="BT6" s="142" t="str">
        <f t="shared" si="27"/>
        <v/>
      </c>
      <c r="BU6" s="104" t="str">
        <f t="shared" si="28"/>
        <v/>
      </c>
      <c r="BV6" s="104" t="str">
        <f t="shared" si="29"/>
        <v>none</v>
      </c>
      <c r="BW6" s="150" t="str">
        <f t="shared" si="30"/>
        <v/>
      </c>
      <c r="BX6" s="150" t="str">
        <f t="shared" si="31"/>
        <v/>
      </c>
      <c r="BY6" s="151" t="str">
        <f t="shared" si="32"/>
        <v/>
      </c>
      <c r="BZ6" s="152" t="str">
        <f t="shared" si="33"/>
        <v/>
      </c>
      <c r="CA6" s="152" t="str">
        <f t="shared" si="34"/>
        <v/>
      </c>
      <c r="CB6" s="152" t="str">
        <f t="shared" si="35"/>
        <v/>
      </c>
      <c r="CC6" s="153" t="str">
        <f t="shared" si="36"/>
        <v/>
      </c>
      <c r="CD6" s="153" t="str">
        <f t="shared" si="37"/>
        <v/>
      </c>
      <c r="CE6" s="154" t="str">
        <f t="shared" si="38"/>
        <v/>
      </c>
      <c r="CF6" s="154" t="str">
        <f t="shared" si="39"/>
        <v/>
      </c>
      <c r="CG6" s="154" t="str">
        <f t="shared" si="40"/>
        <v/>
      </c>
    </row>
    <row r="7">
      <c r="A7" s="155" t="s">
        <v>93</v>
      </c>
      <c r="B7" s="104" t="s">
        <v>94</v>
      </c>
      <c r="C7" s="105">
        <v>55637.0</v>
      </c>
      <c r="D7" s="106">
        <v>121.6843276</v>
      </c>
      <c r="E7" s="107">
        <v>0.0</v>
      </c>
      <c r="F7" s="108">
        <v>0.0</v>
      </c>
      <c r="G7" s="108">
        <v>0.0</v>
      </c>
      <c r="H7" s="108">
        <v>0.0</v>
      </c>
      <c r="I7" s="109">
        <v>0.0</v>
      </c>
      <c r="J7" s="109">
        <v>0.0</v>
      </c>
      <c r="K7" s="109">
        <v>0.0</v>
      </c>
      <c r="L7" s="112">
        <v>0.0</v>
      </c>
      <c r="M7" s="112">
        <v>0.0</v>
      </c>
      <c r="N7" s="112">
        <v>0.0</v>
      </c>
      <c r="O7" s="113"/>
      <c r="P7" s="156"/>
      <c r="Q7" s="156"/>
      <c r="R7" s="115" t="str">
        <f t="shared" si="8"/>
        <v/>
      </c>
      <c r="S7" s="116">
        <f t="shared" si="9"/>
        <v>0.1955251818</v>
      </c>
      <c r="T7" s="117"/>
      <c r="U7" s="118">
        <f t="shared" si="41"/>
        <v>0.6259666667</v>
      </c>
      <c r="V7" s="148"/>
      <c r="W7" s="120">
        <f t="shared" si="10"/>
        <v>0.55175</v>
      </c>
      <c r="X7" s="148"/>
      <c r="Y7" s="120">
        <f t="shared" si="11"/>
        <v>0.4826142857</v>
      </c>
      <c r="Z7" s="121"/>
      <c r="AA7" s="121"/>
      <c r="AB7" s="121"/>
      <c r="AC7" s="121"/>
      <c r="AD7" s="122">
        <v>0.0429</v>
      </c>
      <c r="AE7" s="123">
        <v>0.0</v>
      </c>
      <c r="AF7" s="123">
        <v>0.0</v>
      </c>
      <c r="AG7" s="124">
        <v>0.0</v>
      </c>
      <c r="AH7" s="124">
        <v>0.0</v>
      </c>
      <c r="AI7" s="125">
        <v>0.0</v>
      </c>
      <c r="AJ7" s="125">
        <v>0.0</v>
      </c>
      <c r="AK7" s="127">
        <v>0.0</v>
      </c>
      <c r="AL7" s="127">
        <v>0.0</v>
      </c>
      <c r="AM7" s="128"/>
      <c r="AN7" s="149" t="str">
        <f>IFERROR(
  AVERAGEIFS(
    'New 20102013 LF Efficacy'!$J:$J,
    'New 20102013 LF Efficacy'!$D:$D, $A7,
    'New 20102013 LF Efficacy'!$F:$F,"DEC", 
    'New 20102013 LF Efficacy'!$W:$W,"&lt;2011",
    'New 20102013 LF Efficacy'!$AA:$AA,""),
  ""
)</f>
        <v/>
      </c>
      <c r="AO7" s="115">
        <f t="shared" si="12"/>
        <v>0.38</v>
      </c>
      <c r="AP7" s="121" t="str">
        <f>IFERROR(
AVERAGEIFS(
'New 20102013 LF Efficacy'!$J:$J,
'New 20102013 LF Efficacy'!$D:$D,$A7,
'New 20102013 LF Efficacy'!$F:$F,"Albendazole &amp; DEC",
'New 20102013 LF Efficacy'!$W:$W,"&lt;2011",
'New 20102013 LF Efficacy'!$AA:$AA,""),
"")
</f>
        <v/>
      </c>
      <c r="AQ7" s="115">
        <f t="shared" si="13"/>
        <v>0.657</v>
      </c>
      <c r="AR7" s="121" t="str">
        <f>IFERROR(
AVERAGEIFS(
'New 20102013 LF Efficacy'!$J:$J,
'New 20102013 LF Efficacy'!$D:$D,$A7,
'New 20102013 LF Efficacy'!$F:$F,"Albendazole &amp; Ivermectin", 
'New 20102013 LF Efficacy'!$W:$W,"&lt;2011",
'New 20102013 LF Efficacy'!$AA:$AA,""),"")</f>
        <v/>
      </c>
      <c r="AS7" s="115">
        <f t="shared" si="14"/>
        <v>0.37153125</v>
      </c>
      <c r="AT7" s="130" t="str">
        <f>IFERROR(AVERAGEIFS(
'20102013 Schist Efficacy'!$O:$O, 
'20102013 Schist Efficacy'!$C:$C,$A7, 
'20102013 Schist Efficacy'!$D:$D, "Praziquantel",
'20102013 Schist Efficacy'!$J:$J,"&lt;2011",
'20102013 Schist Efficacy'!$U:$U,""),
"")</f>
        <v/>
      </c>
      <c r="AU7" s="118">
        <f t="shared" si="15"/>
        <v>0.95</v>
      </c>
      <c r="AV7" s="131" t="str">
        <f>IFERROR(AVERAGEIFS(
'20102013 STH Efficacy'!$AX:$AX, 
'20102013 STH Efficacy'!$AL:$AL, $A7, 
'20102013 STH Efficacy'!$AM:$AM, "Albendazole",
'20102013 STH Efficacy'!$AS:$AS,"&lt;2011",
'20102013 STH Efficacy'!$BP:$BP,""),
"")</f>
        <v/>
      </c>
      <c r="AW7" s="132">
        <f t="shared" si="16"/>
        <v>0.3571666667</v>
      </c>
      <c r="AX7" s="131" t="str">
        <f>IFERROR(AVERAGEIFS(
'20102013 STH Efficacy'!$AX:$AX, 
'20102013 STH Efficacy'!$AL:$AL, $A7, 
'20102013 STH Efficacy'!$AM:$AM, "Mebendazole",
'20102013 STH Efficacy'!$AS:$AS,"&lt;2011",
'20102013 STH Efficacy'!$BP:$BP,""),
"")</f>
        <v/>
      </c>
      <c r="AY7" s="132">
        <f t="shared" si="17"/>
        <v>0.4155</v>
      </c>
      <c r="AZ7" s="131" t="str">
        <f>IFERROR(AVERAGEIFS(
'20102013 STH Efficacy'!$AX:$AX, 
'20102013 STH Efficacy'!$AL:$AL, $A7, 
'20102013 STH Efficacy'!$AM:$AM, "Albendazole &amp; Ivermectin",
'20102013 STH Efficacy'!$AS:$AS,"&lt;2011",
'20102013 STH Efficacy'!$BP:$BP,""),
"")</f>
        <v/>
      </c>
      <c r="BA7" s="133">
        <f t="shared" si="18"/>
        <v>0.651</v>
      </c>
      <c r="BB7" s="134" t="str">
        <f>IFERROR(AVERAGEIFS(
'20102013 STH Efficacy'!$N:$N, 
'20102013 STH Efficacy'!$B:$B, $A7, 
'20102013 STH Efficacy'!$C:$C, "Albendazole",
'20102013 STH Efficacy'!$I:$I,"&lt;2011",
'20102013 STH Efficacy'!$AH:$AH,""),
"")</f>
        <v/>
      </c>
      <c r="BC7" s="135">
        <f t="shared" si="19"/>
        <v>0.5769166667</v>
      </c>
      <c r="BD7" s="134" t="str">
        <f>IFERROR(AVERAGEIFS(
'20102013 STH Efficacy'!$N:$N, 
'20102013 STH Efficacy'!$B:$B, $A7, 
'20102013 STH Efficacy'!$C:$C, "Mebendazole",
'20102013 STH Efficacy'!$I:$I,"&lt;2011",
'20102013 STH Efficacy'!$AH:$AH,""),
"")</f>
        <v/>
      </c>
      <c r="BE7" s="135">
        <f t="shared" si="20"/>
        <v>0.3145</v>
      </c>
      <c r="BF7" s="128" t="str">
        <f>IFERROR(AVERAGEIFS(
'20102013 STH Efficacy'!$CD:$CD, 
'20102013 STH Efficacy'!$BS:$BS, $A7, 
'20102013 STH Efficacy'!$BT:$BT, "Albendazole",
'20102013 STH Efficacy'!$BZ:$BZ,"&lt;2011",
'20102013 STH Efficacy'!$CU:$CU,""),
"")</f>
        <v/>
      </c>
      <c r="BG7" s="136">
        <f t="shared" si="21"/>
        <v>0.96925</v>
      </c>
      <c r="BH7" s="128" t="str">
        <f>IFERROR(AVERAGEIFS(
'20102013 STH Efficacy'!$CD:$CD, 
'20102013 STH Efficacy'!$BS:$BS, $A7, 
'20102013 STH Efficacy'!$BT:$BT, "Mebendazole",
'20102013 STH Efficacy'!$BZ:$BZ,"&lt;2011",
'20102013 STH Efficacy'!$CU:$CU,""),
"")</f>
        <v/>
      </c>
      <c r="BI7" s="136">
        <f t="shared" si="22"/>
        <v>0.9305</v>
      </c>
      <c r="BJ7" s="128" t="str">
        <f>IFERROR(AVERAGEIFS(
'20102013 STH Efficacy'!$CD:$CD, 
'20102013 STH Efficacy'!$BS:$BS, $A7, 
'20102013 STH Efficacy'!$BT:$BT, "Albendazole &amp; Ivermectin",
'20102013 STH Efficacy'!$BZ:$BZ,"&lt;2011",
'20102013 STH Efficacy'!$CU:$CU,""),
"")</f>
        <v/>
      </c>
      <c r="BK7" s="136">
        <f t="shared" si="23"/>
        <v>1</v>
      </c>
      <c r="BL7" s="137"/>
      <c r="BM7" s="137"/>
      <c r="BN7" s="138">
        <v>0.0</v>
      </c>
      <c r="BO7" s="139">
        <v>0.0</v>
      </c>
      <c r="BP7" s="140">
        <v>0.0</v>
      </c>
      <c r="BQ7" s="141">
        <f t="shared" si="24"/>
        <v>0</v>
      </c>
      <c r="BR7" s="104" t="str">
        <f t="shared" si="25"/>
        <v>0000</v>
      </c>
      <c r="BS7" s="104" t="str">
        <f t="shared" si="26"/>
        <v>no action required</v>
      </c>
      <c r="BT7" s="142" t="str">
        <f t="shared" si="27"/>
        <v/>
      </c>
      <c r="BU7" s="104" t="str">
        <f t="shared" si="28"/>
        <v/>
      </c>
      <c r="BV7" s="104" t="str">
        <f t="shared" si="29"/>
        <v>none</v>
      </c>
      <c r="BW7" s="150" t="str">
        <f t="shared" si="30"/>
        <v/>
      </c>
      <c r="BX7" s="150" t="str">
        <f t="shared" si="31"/>
        <v/>
      </c>
      <c r="BY7" s="151" t="str">
        <f t="shared" si="32"/>
        <v/>
      </c>
      <c r="BZ7" s="152" t="str">
        <f t="shared" si="33"/>
        <v/>
      </c>
      <c r="CA7" s="152" t="str">
        <f t="shared" si="34"/>
        <v/>
      </c>
      <c r="CB7" s="152" t="str">
        <f t="shared" si="35"/>
        <v/>
      </c>
      <c r="CC7" s="153" t="str">
        <f t="shared" si="36"/>
        <v/>
      </c>
      <c r="CD7" s="153" t="str">
        <f t="shared" si="37"/>
        <v/>
      </c>
      <c r="CE7" s="154" t="str">
        <f t="shared" si="38"/>
        <v/>
      </c>
      <c r="CF7" s="154" t="str">
        <f t="shared" si="39"/>
        <v/>
      </c>
      <c r="CG7" s="154" t="str">
        <f t="shared" si="40"/>
        <v/>
      </c>
    </row>
    <row r="8">
      <c r="A8" s="103" t="s">
        <v>95</v>
      </c>
      <c r="B8" s="104" t="s">
        <v>90</v>
      </c>
      <c r="C8" s="105">
        <v>84449.0</v>
      </c>
      <c r="D8" s="106">
        <v>0.0</v>
      </c>
      <c r="E8" s="107">
        <v>0.0</v>
      </c>
      <c r="F8" s="108">
        <v>0.0</v>
      </c>
      <c r="G8" s="108">
        <v>0.0</v>
      </c>
      <c r="H8" s="108">
        <v>0.0</v>
      </c>
      <c r="I8" s="109">
        <v>0.0</v>
      </c>
      <c r="J8" s="109">
        <v>0.0</v>
      </c>
      <c r="K8" s="109">
        <v>0.0</v>
      </c>
      <c r="L8" s="112">
        <v>0.0</v>
      </c>
      <c r="M8" s="112">
        <v>0.0</v>
      </c>
      <c r="N8" s="112">
        <v>0.0</v>
      </c>
      <c r="O8" s="113"/>
      <c r="P8" s="114"/>
      <c r="Q8" s="114"/>
      <c r="R8" s="115" t="str">
        <f t="shared" si="8"/>
        <v/>
      </c>
      <c r="S8" s="116">
        <f t="shared" si="9"/>
        <v>0.4013436246</v>
      </c>
      <c r="T8" s="117"/>
      <c r="U8" s="118">
        <f t="shared" si="41"/>
        <v>0.3468166667</v>
      </c>
      <c r="V8" s="148"/>
      <c r="W8" s="120">
        <f t="shared" si="10"/>
        <v>1</v>
      </c>
      <c r="X8" s="148"/>
      <c r="Y8" s="120">
        <f t="shared" si="11"/>
        <v>0.71735</v>
      </c>
      <c r="Z8" s="121"/>
      <c r="AA8" s="121"/>
      <c r="AB8" s="121"/>
      <c r="AC8" s="121"/>
      <c r="AD8" s="122">
        <v>0.0</v>
      </c>
      <c r="AE8" s="123">
        <v>0.0</v>
      </c>
      <c r="AF8" s="123">
        <v>0.0</v>
      </c>
      <c r="AG8" s="124">
        <v>0.0</v>
      </c>
      <c r="AH8" s="124">
        <v>0.0</v>
      </c>
      <c r="AI8" s="125">
        <v>0.0</v>
      </c>
      <c r="AJ8" s="125">
        <v>0.0</v>
      </c>
      <c r="AK8" s="127">
        <v>0.0</v>
      </c>
      <c r="AL8" s="127">
        <v>0.0</v>
      </c>
      <c r="AM8" s="128"/>
      <c r="AN8" s="149" t="str">
        <f>IFERROR(
  AVERAGEIFS(
    'New 20102013 LF Efficacy'!$J:$J,
    'New 20102013 LF Efficacy'!$D:$D, $A8,
    'New 20102013 LF Efficacy'!$F:$F,"DEC", 
    'New 20102013 LF Efficacy'!$W:$W,"&lt;2011",
    'New 20102013 LF Efficacy'!$AA:$AA,""),
  ""
)</f>
        <v/>
      </c>
      <c r="AO8" s="115">
        <f t="shared" si="12"/>
        <v>0.3573520833</v>
      </c>
      <c r="AP8" s="121" t="str">
        <f>IFERROR(
AVERAGEIFS(
'New 20102013 LF Efficacy'!$J:$J,
'New 20102013 LF Efficacy'!$D:$D,$A8,
'New 20102013 LF Efficacy'!$F:$F,"Albendazole &amp; DEC",
'New 20102013 LF Efficacy'!$W:$W,"&lt;2011",
'New 20102013 LF Efficacy'!$AA:$AA,""),
"")
</f>
        <v/>
      </c>
      <c r="AQ8" s="115">
        <f t="shared" si="13"/>
        <v>0.5137291667</v>
      </c>
      <c r="AR8" s="121" t="str">
        <f>IFERROR(
AVERAGEIFS(
'New 20102013 LF Efficacy'!$J:$J,
'New 20102013 LF Efficacy'!$D:$D,$A8,
'New 20102013 LF Efficacy'!$F:$F,"Albendazole &amp; Ivermectin", 
'New 20102013 LF Efficacy'!$W:$W,"&lt;2011",
'New 20102013 LF Efficacy'!$AA:$AA,""),"")</f>
        <v/>
      </c>
      <c r="AS8" s="115">
        <f t="shared" si="14"/>
        <v>0.37153125</v>
      </c>
      <c r="AT8" s="130" t="str">
        <f>IFERROR(AVERAGEIFS(
'20102013 Schist Efficacy'!$O:$O, 
'20102013 Schist Efficacy'!$C:$C,$A8, 
'20102013 Schist Efficacy'!$D:$D, "Praziquantel",
'20102013 Schist Efficacy'!$J:$J,"&lt;2011",
'20102013 Schist Efficacy'!$U:$U,""),
"")</f>
        <v/>
      </c>
      <c r="AU8" s="118">
        <f t="shared" si="15"/>
        <v>0.655</v>
      </c>
      <c r="AV8" s="131" t="str">
        <f>IFERROR(AVERAGEIFS(
'20102013 STH Efficacy'!$AX:$AX, 
'20102013 STH Efficacy'!$AL:$AL, $A8, 
'20102013 STH Efficacy'!$AM:$AM, "Albendazole",
'20102013 STH Efficacy'!$AS:$AS,"&lt;2011",
'20102013 STH Efficacy'!$BP:$BP,""),
"")</f>
        <v/>
      </c>
      <c r="AW8" s="132">
        <f t="shared" si="16"/>
        <v>0.3842878788</v>
      </c>
      <c r="AX8" s="131" t="str">
        <f>IFERROR(AVERAGEIFS(
'20102013 STH Efficacy'!$AX:$AX, 
'20102013 STH Efficacy'!$AL:$AL, $A8, 
'20102013 STH Efficacy'!$AM:$AM, "Mebendazole",
'20102013 STH Efficacy'!$AS:$AS,"&lt;2011",
'20102013 STH Efficacy'!$BP:$BP,""),
"")</f>
        <v/>
      </c>
      <c r="AY8" s="132">
        <f t="shared" si="17"/>
        <v>0.5121666667</v>
      </c>
      <c r="AZ8" s="131" t="str">
        <f>IFERROR(AVERAGEIFS(
'20102013 STH Efficacy'!$AX:$AX, 
'20102013 STH Efficacy'!$AL:$AL, $A8, 
'20102013 STH Efficacy'!$AM:$AM, "Albendazole &amp; Ivermectin",
'20102013 STH Efficacy'!$AS:$AS,"&lt;2011",
'20102013 STH Efficacy'!$BP:$BP,""),
"")</f>
        <v/>
      </c>
      <c r="BA8" s="133">
        <f t="shared" si="18"/>
        <v>0.7176666667</v>
      </c>
      <c r="BB8" s="134" t="str">
        <f>IFERROR(AVERAGEIFS(
'20102013 STH Efficacy'!$N:$N, 
'20102013 STH Efficacy'!$B:$B, $A8, 
'20102013 STH Efficacy'!$C:$C, "Albendazole",
'20102013 STH Efficacy'!$I:$I,"&lt;2011",
'20102013 STH Efficacy'!$AH:$AH,""),
"")</f>
        <v/>
      </c>
      <c r="BC8" s="135">
        <f t="shared" si="19"/>
        <v>0.7630416667</v>
      </c>
      <c r="BD8" s="134" t="str">
        <f>IFERROR(AVERAGEIFS(
'20102013 STH Efficacy'!$N:$N, 
'20102013 STH Efficacy'!$B:$B, $A8, 
'20102013 STH Efficacy'!$C:$C, "Mebendazole",
'20102013 STH Efficacy'!$I:$I,"&lt;2011",
'20102013 STH Efficacy'!$AH:$AH,""),
"")</f>
        <v/>
      </c>
      <c r="BE8" s="135">
        <f t="shared" si="20"/>
        <v>0.4405966667</v>
      </c>
      <c r="BF8" s="128" t="str">
        <f>IFERROR(AVERAGEIFS(
'20102013 STH Efficacy'!$CD:$CD, 
'20102013 STH Efficacy'!$BS:$BS, $A8, 
'20102013 STH Efficacy'!$BT:$BT, "Albendazole",
'20102013 STH Efficacy'!$BZ:$BZ,"&lt;2011",
'20102013 STH Efficacy'!$CU:$CU,""),
"")</f>
        <v/>
      </c>
      <c r="BG8" s="136">
        <f t="shared" si="21"/>
        <v>0.9403222222</v>
      </c>
      <c r="BH8" s="128" t="str">
        <f>IFERROR(AVERAGEIFS(
'20102013 STH Efficacy'!$CD:$CD, 
'20102013 STH Efficacy'!$BS:$BS, $A8, 
'20102013 STH Efficacy'!$BT:$BT, "Mebendazole",
'20102013 STH Efficacy'!$BZ:$BZ,"&lt;2011",
'20102013 STH Efficacy'!$CU:$CU,""),
"")</f>
        <v/>
      </c>
      <c r="BI8" s="136">
        <f t="shared" si="22"/>
        <v>0.9229285714</v>
      </c>
      <c r="BJ8" s="128" t="str">
        <f>IFERROR(AVERAGEIFS(
'20102013 STH Efficacy'!$CD:$CD, 
'20102013 STH Efficacy'!$BS:$BS, $A8, 
'20102013 STH Efficacy'!$BT:$BT, "Albendazole &amp; Ivermectin",
'20102013 STH Efficacy'!$BZ:$BZ,"&lt;2011",
'20102013 STH Efficacy'!$CU:$CU,""),
"")</f>
        <v/>
      </c>
      <c r="BK8" s="136">
        <f t="shared" si="23"/>
        <v>1</v>
      </c>
      <c r="BL8" s="137"/>
      <c r="BM8" s="137"/>
      <c r="BN8" s="138">
        <v>0.0</v>
      </c>
      <c r="BO8" s="139">
        <v>0.0</v>
      </c>
      <c r="BP8" s="140">
        <v>0.0</v>
      </c>
      <c r="BQ8" s="141">
        <f t="shared" si="24"/>
        <v>0</v>
      </c>
      <c r="BR8" s="104" t="str">
        <f t="shared" si="25"/>
        <v>0000</v>
      </c>
      <c r="BS8" s="104" t="str">
        <f t="shared" si="26"/>
        <v>no action required</v>
      </c>
      <c r="BT8" s="142" t="str">
        <f t="shared" si="27"/>
        <v/>
      </c>
      <c r="BU8" s="104" t="str">
        <f t="shared" si="28"/>
        <v/>
      </c>
      <c r="BV8" s="104" t="str">
        <f t="shared" si="29"/>
        <v>none</v>
      </c>
      <c r="BW8" s="150" t="str">
        <f t="shared" si="30"/>
        <v/>
      </c>
      <c r="BX8" s="150" t="str">
        <f t="shared" si="31"/>
        <v/>
      </c>
      <c r="BY8" s="151" t="str">
        <f t="shared" si="32"/>
        <v/>
      </c>
      <c r="BZ8" s="152" t="str">
        <f t="shared" si="33"/>
        <v/>
      </c>
      <c r="CA8" s="152" t="str">
        <f t="shared" si="34"/>
        <v/>
      </c>
      <c r="CB8" s="152" t="str">
        <f t="shared" si="35"/>
        <v/>
      </c>
      <c r="CC8" s="153" t="str">
        <f t="shared" si="36"/>
        <v/>
      </c>
      <c r="CD8" s="153" t="str">
        <f t="shared" si="37"/>
        <v/>
      </c>
      <c r="CE8" s="154" t="str">
        <f t="shared" si="38"/>
        <v/>
      </c>
      <c r="CF8" s="154" t="str">
        <f t="shared" si="39"/>
        <v/>
      </c>
      <c r="CG8" s="154" t="str">
        <f t="shared" si="40"/>
        <v/>
      </c>
    </row>
    <row r="9">
      <c r="A9" s="103" t="s">
        <v>96</v>
      </c>
      <c r="B9" s="104" t="s">
        <v>92</v>
      </c>
      <c r="C9" s="105">
        <v>2.3369131E7</v>
      </c>
      <c r="D9" s="106">
        <v>21679.41713</v>
      </c>
      <c r="E9" s="107">
        <v>28347.67683</v>
      </c>
      <c r="F9" s="108">
        <v>146.5138063</v>
      </c>
      <c r="G9" s="108">
        <v>525.6568869</v>
      </c>
      <c r="H9" s="157">
        <v>672.1706932</v>
      </c>
      <c r="I9" s="110">
        <v>1558.51244</v>
      </c>
      <c r="J9" s="110">
        <v>3829.1502</v>
      </c>
      <c r="K9" s="110">
        <v>5387.662636</v>
      </c>
      <c r="L9" s="111">
        <v>11871.54294</v>
      </c>
      <c r="M9" s="111">
        <v>2009.56553</v>
      </c>
      <c r="N9" s="158">
        <v>13881.10847</v>
      </c>
      <c r="O9" s="159"/>
      <c r="P9" s="160">
        <v>1.209E7</v>
      </c>
      <c r="Q9" s="161"/>
      <c r="R9" s="115">
        <f t="shared" si="8"/>
        <v>0</v>
      </c>
      <c r="S9" s="116">
        <f t="shared" si="9"/>
        <v>0.1716437208</v>
      </c>
      <c r="T9" s="117"/>
      <c r="U9" s="118">
        <f t="shared" si="41"/>
        <v>0.252</v>
      </c>
      <c r="V9" s="148"/>
      <c r="W9" s="120">
        <f t="shared" si="10"/>
        <v>0.7266555556</v>
      </c>
      <c r="X9" s="148"/>
      <c r="Y9" s="120">
        <f t="shared" si="11"/>
        <v>0.4342071429</v>
      </c>
      <c r="Z9" s="114"/>
      <c r="AA9" s="114"/>
      <c r="AB9" s="114"/>
      <c r="AC9" s="114"/>
      <c r="AD9" s="122">
        <v>0.0</v>
      </c>
      <c r="AE9" s="123">
        <v>0.11</v>
      </c>
      <c r="AF9" s="123">
        <v>0.0356</v>
      </c>
      <c r="AG9" s="124">
        <v>0.1115</v>
      </c>
      <c r="AH9" s="124">
        <v>0.173239876</v>
      </c>
      <c r="AI9" s="125">
        <v>0.102</v>
      </c>
      <c r="AJ9" s="125">
        <v>0.161665752</v>
      </c>
      <c r="AK9" s="127">
        <v>0.12</v>
      </c>
      <c r="AL9" s="127">
        <v>0.190350748</v>
      </c>
      <c r="AM9" s="128"/>
      <c r="AN9" s="149" t="str">
        <f>IFERROR(
  AVERAGEIFS(
    'New 20102013 LF Efficacy'!$J:$J,
    'New 20102013 LF Efficacy'!$D:$D, $A9,
    'New 20102013 LF Efficacy'!$F:$F,"DEC", 
    'New 20102013 LF Efficacy'!$W:$W,"&lt;2011",
    'New 20102013 LF Efficacy'!$AA:$AA,""),
  ""
)</f>
        <v/>
      </c>
      <c r="AO9" s="115">
        <f t="shared" si="12"/>
        <v>0.31225</v>
      </c>
      <c r="AP9" s="121" t="str">
        <f>IFERROR(
AVERAGEIFS(
'New 20102013 LF Efficacy'!$J:$J,
'New 20102013 LF Efficacy'!$D:$D,$A9,
'New 20102013 LF Efficacy'!$F:$F,"Albendazole &amp; DEC",
'New 20102013 LF Efficacy'!$W:$W,"&lt;2011",
'New 20102013 LF Efficacy'!$AA:$AA,""),
"")
</f>
        <v/>
      </c>
      <c r="AQ9" s="115">
        <f t="shared" si="13"/>
        <v>0.4</v>
      </c>
      <c r="AR9" s="121" t="str">
        <f>IFERROR(
AVERAGEIFS(
'New 20102013 LF Efficacy'!$J:$J,
'New 20102013 LF Efficacy'!$D:$D,$A9,
'New 20102013 LF Efficacy'!$F:$F,"Albendazole &amp; Ivermectin", 
'New 20102013 LF Efficacy'!$W:$W,"&lt;2011",
'New 20102013 LF Efficacy'!$AA:$AA,""),"")</f>
        <v/>
      </c>
      <c r="AS9" s="115">
        <f t="shared" si="14"/>
        <v>0.2943125</v>
      </c>
      <c r="AT9" s="130" t="str">
        <f>IFERROR(AVERAGEIFS(
'20102013 Schist Efficacy'!$O:$O, 
'20102013 Schist Efficacy'!$C:$C,$A9, 
'20102013 Schist Efficacy'!$D:$D, "Praziquantel",
'20102013 Schist Efficacy'!$J:$J,"&lt;2011",
'20102013 Schist Efficacy'!$U:$U,""),
"")</f>
        <v/>
      </c>
      <c r="AU9" s="118">
        <f t="shared" si="15"/>
        <v>0.6444020147</v>
      </c>
      <c r="AV9" s="131" t="str">
        <f>IFERROR(AVERAGEIFS(
'20102013 STH Efficacy'!$AX:$AX, 
'20102013 STH Efficacy'!$AL:$AL, $A9, 
'20102013 STH Efficacy'!$AM:$AM, "Albendazole",
'20102013 STH Efficacy'!$AS:$AS,"&lt;2011",
'20102013 STH Efficacy'!$BP:$BP,""),
"")</f>
        <v/>
      </c>
      <c r="AW9" s="132">
        <f t="shared" si="16"/>
        <v>0.3538333333</v>
      </c>
      <c r="AX9" s="131" t="str">
        <f>IFERROR(AVERAGEIFS(
'20102013 STH Efficacy'!$AX:$AX, 
'20102013 STH Efficacy'!$AL:$AL, $A9, 
'20102013 STH Efficacy'!$AM:$AM, "Mebendazole",
'20102013 STH Efficacy'!$AS:$AS,"&lt;2011",
'20102013 STH Efficacy'!$BP:$BP,""),
"")</f>
        <v/>
      </c>
      <c r="AY9" s="132">
        <f t="shared" si="17"/>
        <v>0.5918333333</v>
      </c>
      <c r="AZ9" s="131" t="str">
        <f>IFERROR(AVERAGEIFS(
'20102013 STH Efficacy'!$AX:$AX, 
'20102013 STH Efficacy'!$AL:$AL, $A9, 
'20102013 STH Efficacy'!$AM:$AM, "Albendazole &amp; Ivermectin",
'20102013 STH Efficacy'!$AS:$AS,"&lt;2011",
'20102013 STH Efficacy'!$BP:$BP,""),
"")</f>
        <v/>
      </c>
      <c r="BA9" s="133">
        <f t="shared" si="18"/>
        <v>0.706</v>
      </c>
      <c r="BB9" s="134" t="str">
        <f>IFERROR(AVERAGEIFS(
'20102013 STH Efficacy'!$N:$N, 
'20102013 STH Efficacy'!$B:$B, $A9, 
'20102013 STH Efficacy'!$C:$C, "Albendazole",
'20102013 STH Efficacy'!$I:$I,"&lt;2011",
'20102013 STH Efficacy'!$AH:$AH,""),
"")</f>
        <v/>
      </c>
      <c r="BC9" s="135">
        <f t="shared" si="19"/>
        <v>0.9116666667</v>
      </c>
      <c r="BD9" s="134" t="str">
        <f>IFERROR(AVERAGEIFS(
'20102013 STH Efficacy'!$N:$N, 
'20102013 STH Efficacy'!$B:$B, $A9, 
'20102013 STH Efficacy'!$C:$C, "Mebendazole",
'20102013 STH Efficacy'!$I:$I,"&lt;2011",
'20102013 STH Efficacy'!$AH:$AH,""),
"")</f>
        <v/>
      </c>
      <c r="BE9" s="135">
        <f t="shared" si="20"/>
        <v>0.7092416667</v>
      </c>
      <c r="BF9" s="128" t="str">
        <f>IFERROR(AVERAGEIFS(
'20102013 STH Efficacy'!$CD:$CD, 
'20102013 STH Efficacy'!$BS:$BS, $A9, 
'20102013 STH Efficacy'!$BT:$BT, "Albendazole",
'20102013 STH Efficacy'!$BZ:$BZ,"&lt;2011",
'20102013 STH Efficacy'!$CU:$CU,""),
"")</f>
        <v/>
      </c>
      <c r="BG9" s="136">
        <f t="shared" si="21"/>
        <v>0.8656666667</v>
      </c>
      <c r="BH9" s="128" t="str">
        <f>IFERROR(AVERAGEIFS(
'20102013 STH Efficacy'!$CD:$CD, 
'20102013 STH Efficacy'!$BS:$BS, $A9, 
'20102013 STH Efficacy'!$BT:$BT, "Mebendazole",
'20102013 STH Efficacy'!$BZ:$BZ,"&lt;2011",
'20102013 STH Efficacy'!$CU:$CU,""),
"")</f>
        <v/>
      </c>
      <c r="BI9" s="136">
        <f t="shared" si="22"/>
        <v>0.9203333333</v>
      </c>
      <c r="BJ9" s="128" t="str">
        <f>IFERROR(AVERAGEIFS(
'20102013 STH Efficacy'!$CD:$CD, 
'20102013 STH Efficacy'!$BS:$BS, $A9, 
'20102013 STH Efficacy'!$BT:$BT, "Albendazole &amp; Ivermectin",
'20102013 STH Efficacy'!$BZ:$BZ,"&lt;2011",
'20102013 STH Efficacy'!$CU:$CU,""),
"")</f>
        <v/>
      </c>
      <c r="BK9" s="136">
        <f t="shared" si="23"/>
        <v>1</v>
      </c>
      <c r="BL9" s="137"/>
      <c r="BM9" s="137"/>
      <c r="BN9" s="138">
        <v>1.0</v>
      </c>
      <c r="BO9" s="139">
        <v>1.0</v>
      </c>
      <c r="BP9" s="140">
        <v>1.0</v>
      </c>
      <c r="BQ9" s="141">
        <f t="shared" si="24"/>
        <v>0</v>
      </c>
      <c r="BR9" s="104" t="str">
        <f t="shared" si="25"/>
        <v>1110</v>
      </c>
      <c r="BS9" s="104" t="str">
        <f t="shared" si="26"/>
        <v>MDA1+T2</v>
      </c>
      <c r="BT9" s="142" t="str">
        <f t="shared" si="27"/>
        <v>IVM+ALB</v>
      </c>
      <c r="BU9" s="104" t="str">
        <f t="shared" si="28"/>
        <v>PZQ</v>
      </c>
      <c r="BV9" s="104" t="str">
        <f t="shared" si="29"/>
        <v>lf+onch+schist </v>
      </c>
      <c r="BW9" s="150" t="str">
        <f t="shared" si="30"/>
        <v/>
      </c>
      <c r="BX9" s="150">
        <f t="shared" si="31"/>
        <v>1153.445256</v>
      </c>
      <c r="BY9" s="162">
        <f t="shared" si="32"/>
        <v>5495.822412</v>
      </c>
      <c r="BZ9" s="152" t="str">
        <f t="shared" si="33"/>
        <v/>
      </c>
      <c r="CA9" s="152" t="str">
        <f t="shared" si="34"/>
        <v/>
      </c>
      <c r="CB9" s="152" t="str">
        <f t="shared" si="35"/>
        <v/>
      </c>
      <c r="CC9" s="153" t="str">
        <f t="shared" si="36"/>
        <v/>
      </c>
      <c r="CD9" s="153" t="str">
        <f t="shared" si="37"/>
        <v/>
      </c>
      <c r="CE9" s="154" t="str">
        <f t="shared" si="38"/>
        <v/>
      </c>
      <c r="CF9" s="154" t="str">
        <f t="shared" si="39"/>
        <v/>
      </c>
      <c r="CG9" s="154" t="str">
        <f t="shared" si="40"/>
        <v/>
      </c>
    </row>
    <row r="10">
      <c r="A10" s="155" t="s">
        <v>97</v>
      </c>
      <c r="B10" s="104" t="s">
        <v>98</v>
      </c>
      <c r="C10" s="105">
        <v>16373.0</v>
      </c>
      <c r="D10" s="106">
        <v>0.0</v>
      </c>
      <c r="E10" s="107">
        <v>0.0</v>
      </c>
      <c r="F10" s="163"/>
      <c r="G10" s="163"/>
      <c r="H10" s="108">
        <v>0.0</v>
      </c>
      <c r="I10" s="109">
        <v>0.0</v>
      </c>
      <c r="J10" s="109">
        <v>0.0</v>
      </c>
      <c r="K10" s="109">
        <v>0.0</v>
      </c>
      <c r="L10" s="113"/>
      <c r="M10" s="113"/>
      <c r="N10" s="112">
        <v>0.0</v>
      </c>
      <c r="O10" s="113"/>
      <c r="P10" s="114"/>
      <c r="Q10" s="114"/>
      <c r="R10" s="115" t="str">
        <f t="shared" si="8"/>
        <v/>
      </c>
      <c r="S10" s="116">
        <f t="shared" si="9"/>
        <v>0.14553293</v>
      </c>
      <c r="T10" s="117"/>
      <c r="U10" s="118">
        <f t="shared" si="41"/>
        <v>0.39435</v>
      </c>
      <c r="V10" s="148"/>
      <c r="W10" s="120">
        <f t="shared" si="10"/>
        <v>0.3616</v>
      </c>
      <c r="X10" s="148"/>
      <c r="Y10" s="120">
        <f t="shared" si="11"/>
        <v>0.5015615385</v>
      </c>
      <c r="Z10" s="114"/>
      <c r="AA10" s="114"/>
      <c r="AB10" s="114"/>
      <c r="AC10" s="114"/>
      <c r="AD10" s="164">
        <v>0.0</v>
      </c>
      <c r="AE10" s="165">
        <v>0.0</v>
      </c>
      <c r="AF10" s="166">
        <v>0.0</v>
      </c>
      <c r="AG10" s="167">
        <v>0.0</v>
      </c>
      <c r="AH10" s="167">
        <v>0.0</v>
      </c>
      <c r="AI10" s="168">
        <v>0.0</v>
      </c>
      <c r="AJ10" s="168">
        <v>0.0</v>
      </c>
      <c r="AK10" s="126">
        <v>0.0</v>
      </c>
      <c r="AL10" s="169">
        <v>0.0</v>
      </c>
      <c r="AM10" s="128"/>
      <c r="AN10" s="149" t="str">
        <f>IFERROR(
  AVERAGEIFS(
    'New 20102013 LF Efficacy'!$J:$J,
    'New 20102013 LF Efficacy'!$D:$D, $A10,
    'New 20102013 LF Efficacy'!$F:$F,"DEC", 
    'New 20102013 LF Efficacy'!$W:$W,"&lt;2011",
    'New 20102013 LF Efficacy'!$AA:$AA,""),
  ""
)</f>
        <v/>
      </c>
      <c r="AO10" s="115">
        <f t="shared" si="12"/>
        <v>0.2589833333</v>
      </c>
      <c r="AP10" s="121" t="str">
        <f>IFERROR(
AVERAGEIFS(
'New 20102013 LF Efficacy'!$J:$J,
'New 20102013 LF Efficacy'!$D:$D,$A10,
'New 20102013 LF Efficacy'!$F:$F,"Albendazole &amp; DEC",
'New 20102013 LF Efficacy'!$W:$W,"&lt;2011",
'New 20102013 LF Efficacy'!$AA:$AA,""),
"")
</f>
        <v/>
      </c>
      <c r="AQ10" s="115">
        <f t="shared" si="13"/>
        <v>0.3465</v>
      </c>
      <c r="AR10" s="121" t="str">
        <f>IFERROR(
AVERAGEIFS(
'New 20102013 LF Efficacy'!$J:$J,
'New 20102013 LF Efficacy'!$D:$D,$A10,
'New 20102013 LF Efficacy'!$F:$F,"Albendazole &amp; Ivermectin", 
'New 20102013 LF Efficacy'!$W:$W,"&lt;2011",
'New 20102013 LF Efficacy'!$AA:$AA,""),"")</f>
        <v/>
      </c>
      <c r="AS10" s="115">
        <f t="shared" si="14"/>
        <v>0.7575</v>
      </c>
      <c r="AT10" s="130" t="str">
        <f>IFERROR(AVERAGEIFS(
'20102013 Schist Efficacy'!$O:$O, 
'20102013 Schist Efficacy'!$C:$C,$A10, 
'20102013 Schist Efficacy'!$D:$D, "Praziquantel",
'20102013 Schist Efficacy'!$J:$J,"&lt;2011",
'20102013 Schist Efficacy'!$U:$U,""),
"")</f>
        <v/>
      </c>
      <c r="AU10" s="118">
        <f t="shared" si="15"/>
        <v>0.7732631579</v>
      </c>
      <c r="AV10" s="131" t="str">
        <f>IFERROR(AVERAGEIFS(
'20102013 STH Efficacy'!$AX:$AX, 
'20102013 STH Efficacy'!$AL:$AL, $A10, 
'20102013 STH Efficacy'!$AM:$AM, "Albendazole",
'20102013 STH Efficacy'!$AS:$AS,"&lt;2011",
'20102013 STH Efficacy'!$BP:$BP,""),
"")</f>
        <v/>
      </c>
      <c r="AW10" s="132">
        <f t="shared" si="16"/>
        <v>0.3945</v>
      </c>
      <c r="AX10" s="131" t="str">
        <f>IFERROR(AVERAGEIFS(
'20102013 STH Efficacy'!$AX:$AX, 
'20102013 STH Efficacy'!$AL:$AL, $A10, 
'20102013 STH Efficacy'!$AM:$AM, "Mebendazole",
'20102013 STH Efficacy'!$AS:$AS,"&lt;2011",
'20102013 STH Efficacy'!$BP:$BP,""),
"")</f>
        <v/>
      </c>
      <c r="AY10" s="132">
        <f t="shared" si="17"/>
        <v>0.6</v>
      </c>
      <c r="AZ10" s="131" t="str">
        <f>IFERROR(AVERAGEIFS(
'20102013 STH Efficacy'!$AX:$AX, 
'20102013 STH Efficacy'!$AL:$AL, $A10, 
'20102013 STH Efficacy'!$AM:$AM, "Albendazole &amp; Ivermectin",
'20102013 STH Efficacy'!$AS:$AS,"&lt;2011",
'20102013 STH Efficacy'!$BP:$BP,""),
"")</f>
        <v/>
      </c>
      <c r="BA10" s="133">
        <f t="shared" si="18"/>
        <v>0.796</v>
      </c>
      <c r="BB10" s="134" t="str">
        <f>IFERROR(AVERAGEIFS(
'20102013 STH Efficacy'!$N:$N, 
'20102013 STH Efficacy'!$B:$B, $A10, 
'20102013 STH Efficacy'!$C:$C, "Albendazole",
'20102013 STH Efficacy'!$I:$I,"&lt;2011",
'20102013 STH Efficacy'!$AH:$AH,""),
"")</f>
        <v/>
      </c>
      <c r="BC10" s="135">
        <f t="shared" si="19"/>
        <v>0.869</v>
      </c>
      <c r="BD10" s="134" t="str">
        <f>IFERROR(AVERAGEIFS(
'20102013 STH Efficacy'!$N:$N, 
'20102013 STH Efficacy'!$B:$B, $A10, 
'20102013 STH Efficacy'!$C:$C, "Mebendazole",
'20102013 STH Efficacy'!$I:$I,"&lt;2011",
'20102013 STH Efficacy'!$AH:$AH,""),
"")</f>
        <v/>
      </c>
      <c r="BE10" s="135">
        <f t="shared" si="20"/>
        <v>0.172</v>
      </c>
      <c r="BF10" s="128" t="str">
        <f>IFERROR(AVERAGEIFS(
'20102013 STH Efficacy'!$CD:$CD, 
'20102013 STH Efficacy'!$BS:$BS, $A10, 
'20102013 STH Efficacy'!$BT:$BT, "Albendazole",
'20102013 STH Efficacy'!$BZ:$BZ,"&lt;2011",
'20102013 STH Efficacy'!$CU:$CU,""),
"")</f>
        <v/>
      </c>
      <c r="BG10" s="136">
        <f t="shared" si="21"/>
        <v>0.9862</v>
      </c>
      <c r="BH10" s="128" t="str">
        <f>IFERROR(AVERAGEIFS(
'20102013 STH Efficacy'!$CD:$CD, 
'20102013 STH Efficacy'!$BS:$BS, $A10, 
'20102013 STH Efficacy'!$BT:$BT, "Mebendazole",
'20102013 STH Efficacy'!$BZ:$BZ,"&lt;2011",
'20102013 STH Efficacy'!$CU:$CU,""),
"")</f>
        <v/>
      </c>
      <c r="BI10" s="136">
        <f t="shared" si="22"/>
        <v>0.769</v>
      </c>
      <c r="BJ10" s="128" t="str">
        <f>IFERROR(AVERAGEIFS(
'20102013 STH Efficacy'!$CD:$CD, 
'20102013 STH Efficacy'!$BS:$BS, $A10, 
'20102013 STH Efficacy'!$BT:$BT, "Albendazole &amp; Ivermectin",
'20102013 STH Efficacy'!$BZ:$BZ,"&lt;2011",
'20102013 STH Efficacy'!$CU:$CU,""),
"")</f>
        <v/>
      </c>
      <c r="BK10" s="136">
        <f t="shared" si="23"/>
        <v>1</v>
      </c>
      <c r="BL10" s="137"/>
      <c r="BM10" s="137"/>
      <c r="BN10" s="138">
        <v>0.0</v>
      </c>
      <c r="BO10" s="139">
        <v>0.0</v>
      </c>
      <c r="BP10" s="140">
        <v>0.0</v>
      </c>
      <c r="BQ10" s="141">
        <f t="shared" si="24"/>
        <v>0</v>
      </c>
      <c r="BR10" s="104" t="str">
        <f t="shared" si="25"/>
        <v>0000</v>
      </c>
      <c r="BS10" s="104" t="str">
        <f t="shared" si="26"/>
        <v>no action required</v>
      </c>
      <c r="BT10" s="142" t="str">
        <f t="shared" si="27"/>
        <v/>
      </c>
      <c r="BU10" s="104" t="str">
        <f t="shared" si="28"/>
        <v/>
      </c>
      <c r="BV10" s="104" t="str">
        <f t="shared" si="29"/>
        <v>none</v>
      </c>
      <c r="BW10" s="150" t="str">
        <f t="shared" si="30"/>
        <v/>
      </c>
      <c r="BX10" s="150" t="str">
        <f t="shared" si="31"/>
        <v/>
      </c>
      <c r="BY10" s="151" t="str">
        <f t="shared" si="32"/>
        <v/>
      </c>
      <c r="BZ10" s="152" t="str">
        <f t="shared" si="33"/>
        <v/>
      </c>
      <c r="CA10" s="152" t="str">
        <f t="shared" si="34"/>
        <v/>
      </c>
      <c r="CB10" s="152" t="str">
        <f t="shared" si="35"/>
        <v/>
      </c>
      <c r="CC10" s="153" t="str">
        <f t="shared" si="36"/>
        <v/>
      </c>
      <c r="CD10" s="153" t="str">
        <f t="shared" si="37"/>
        <v/>
      </c>
      <c r="CE10" s="154" t="str">
        <f t="shared" si="38"/>
        <v/>
      </c>
      <c r="CF10" s="154" t="str">
        <f t="shared" si="39"/>
        <v/>
      </c>
      <c r="CG10" s="154" t="str">
        <f t="shared" si="40"/>
        <v/>
      </c>
    </row>
    <row r="11">
      <c r="A11" s="103" t="s">
        <v>99</v>
      </c>
      <c r="B11" s="104" t="s">
        <v>98</v>
      </c>
      <c r="C11" s="105">
        <v>94661.0</v>
      </c>
      <c r="D11" s="106">
        <v>0.0</v>
      </c>
      <c r="E11" s="107">
        <v>19.49837779</v>
      </c>
      <c r="F11" s="108">
        <v>0.0</v>
      </c>
      <c r="G11" s="108">
        <v>0.0</v>
      </c>
      <c r="H11" s="108">
        <v>0.0</v>
      </c>
      <c r="I11" s="109">
        <v>3.692E-4</v>
      </c>
      <c r="J11" s="109">
        <v>5.8246E-4</v>
      </c>
      <c r="K11" s="109">
        <v>9.51657E-4</v>
      </c>
      <c r="L11" s="112">
        <v>0.040224555</v>
      </c>
      <c r="M11" s="112">
        <v>0.012817088</v>
      </c>
      <c r="N11" s="112">
        <v>0.053041643</v>
      </c>
      <c r="O11" s="113"/>
      <c r="P11" s="114"/>
      <c r="Q11" s="114"/>
      <c r="R11" s="115" t="str">
        <f t="shared" si="8"/>
        <v/>
      </c>
      <c r="S11" s="116">
        <f t="shared" si="9"/>
        <v>0.14553293</v>
      </c>
      <c r="T11" s="117"/>
      <c r="U11" s="118">
        <f t="shared" si="41"/>
        <v>0.39435</v>
      </c>
      <c r="V11" s="148"/>
      <c r="W11" s="120">
        <f t="shared" si="10"/>
        <v>0.3616</v>
      </c>
      <c r="X11" s="148"/>
      <c r="Y11" s="120">
        <f t="shared" si="11"/>
        <v>0.5015615385</v>
      </c>
      <c r="Z11" s="121"/>
      <c r="AA11" s="121"/>
      <c r="AB11" s="121"/>
      <c r="AC11" s="121"/>
      <c r="AD11" s="122">
        <v>0.0</v>
      </c>
      <c r="AE11" s="123">
        <v>0.03</v>
      </c>
      <c r="AF11" s="123">
        <v>9.0E-4</v>
      </c>
      <c r="AG11" s="124">
        <v>0.0</v>
      </c>
      <c r="AH11" s="124">
        <v>1.24197E-5</v>
      </c>
      <c r="AI11" s="125">
        <v>0.0</v>
      </c>
      <c r="AJ11" s="125">
        <v>1.19E-5</v>
      </c>
      <c r="AK11" s="127">
        <v>0.0</v>
      </c>
      <c r="AL11" s="127">
        <v>1.19803E-5</v>
      </c>
      <c r="AM11" s="128"/>
      <c r="AN11" s="149" t="str">
        <f>IFERROR(
  AVERAGEIFS(
    'New 20102013 LF Efficacy'!$J:$J,
    'New 20102013 LF Efficacy'!$D:$D, $A11,
    'New 20102013 LF Efficacy'!$F:$F,"DEC", 
    'New 20102013 LF Efficacy'!$W:$W,"&lt;2011",
    'New 20102013 LF Efficacy'!$AA:$AA,""),
  ""
)</f>
        <v/>
      </c>
      <c r="AO11" s="115">
        <f t="shared" si="12"/>
        <v>0.2589833333</v>
      </c>
      <c r="AP11" s="121" t="str">
        <f>IFERROR(
AVERAGEIFS(
'New 20102013 LF Efficacy'!$J:$J,
'New 20102013 LF Efficacy'!$D:$D,$A11,
'New 20102013 LF Efficacy'!$F:$F,"Albendazole &amp; DEC",
'New 20102013 LF Efficacy'!$W:$W,"&lt;2011",
'New 20102013 LF Efficacy'!$AA:$AA,""),
"")
</f>
        <v/>
      </c>
      <c r="AQ11" s="115">
        <f t="shared" si="13"/>
        <v>0.3465</v>
      </c>
      <c r="AR11" s="121" t="str">
        <f>IFERROR(
AVERAGEIFS(
'New 20102013 LF Efficacy'!$J:$J,
'New 20102013 LF Efficacy'!$D:$D,$A11,
'New 20102013 LF Efficacy'!$F:$F,"Albendazole &amp; Ivermectin", 
'New 20102013 LF Efficacy'!$W:$W,"&lt;2011",
'New 20102013 LF Efficacy'!$AA:$AA,""),"")</f>
        <v/>
      </c>
      <c r="AS11" s="115">
        <f t="shared" si="14"/>
        <v>0.7575</v>
      </c>
      <c r="AT11" s="130" t="str">
        <f>IFERROR(AVERAGEIFS(
'20102013 Schist Efficacy'!$O:$O, 
'20102013 Schist Efficacy'!$C:$C,$A11, 
'20102013 Schist Efficacy'!$D:$D, "Praziquantel",
'20102013 Schist Efficacy'!$J:$J,"&lt;2011",
'20102013 Schist Efficacy'!$U:$U,""),
"")</f>
        <v/>
      </c>
      <c r="AU11" s="118">
        <f t="shared" si="15"/>
        <v>0.7732631579</v>
      </c>
      <c r="AV11" s="131" t="str">
        <f>IFERROR(AVERAGEIFS(
'20102013 STH Efficacy'!$AX:$AX, 
'20102013 STH Efficacy'!$AL:$AL, $A11, 
'20102013 STH Efficacy'!$AM:$AM, "Albendazole",
'20102013 STH Efficacy'!$AS:$AS,"&lt;2011",
'20102013 STH Efficacy'!$BP:$BP,""),
"")</f>
        <v/>
      </c>
      <c r="AW11" s="132">
        <f t="shared" si="16"/>
        <v>0.3945</v>
      </c>
      <c r="AX11" s="131" t="str">
        <f>IFERROR(AVERAGEIFS(
'20102013 STH Efficacy'!$AX:$AX, 
'20102013 STH Efficacy'!$AL:$AL, $A11, 
'20102013 STH Efficacy'!$AM:$AM, "Mebendazole",
'20102013 STH Efficacy'!$AS:$AS,"&lt;2011",
'20102013 STH Efficacy'!$BP:$BP,""),
"")</f>
        <v/>
      </c>
      <c r="AY11" s="132">
        <f t="shared" si="17"/>
        <v>0.6</v>
      </c>
      <c r="AZ11" s="131" t="str">
        <f>IFERROR(AVERAGEIFS(
'20102013 STH Efficacy'!$AX:$AX, 
'20102013 STH Efficacy'!$AL:$AL, $A11, 
'20102013 STH Efficacy'!$AM:$AM, "Albendazole &amp; Ivermectin",
'20102013 STH Efficacy'!$AS:$AS,"&lt;2011",
'20102013 STH Efficacy'!$BP:$BP,""),
"")</f>
        <v/>
      </c>
      <c r="BA11" s="133">
        <f t="shared" si="18"/>
        <v>0.796</v>
      </c>
      <c r="BB11" s="134" t="str">
        <f>IFERROR(AVERAGEIFS(
'20102013 STH Efficacy'!$N:$N, 
'20102013 STH Efficacy'!$B:$B, $A11, 
'20102013 STH Efficacy'!$C:$C, "Albendazole",
'20102013 STH Efficacy'!$I:$I,"&lt;2011",
'20102013 STH Efficacy'!$AH:$AH,""),
"")</f>
        <v/>
      </c>
      <c r="BC11" s="135">
        <f t="shared" si="19"/>
        <v>0.869</v>
      </c>
      <c r="BD11" s="134" t="str">
        <f>IFERROR(AVERAGEIFS(
'20102013 STH Efficacy'!$N:$N, 
'20102013 STH Efficacy'!$B:$B, $A11, 
'20102013 STH Efficacy'!$C:$C, "Mebendazole",
'20102013 STH Efficacy'!$I:$I,"&lt;2011",
'20102013 STH Efficacy'!$AH:$AH,""),
"")</f>
        <v/>
      </c>
      <c r="BE11" s="135">
        <f t="shared" si="20"/>
        <v>0.172</v>
      </c>
      <c r="BF11" s="128" t="str">
        <f>IFERROR(AVERAGEIFS(
'20102013 STH Efficacy'!$CD:$CD, 
'20102013 STH Efficacy'!$BS:$BS, $A11, 
'20102013 STH Efficacy'!$BT:$BT, "Albendazole",
'20102013 STH Efficacy'!$BZ:$BZ,"&lt;2011",
'20102013 STH Efficacy'!$CU:$CU,""),
"")</f>
        <v/>
      </c>
      <c r="BG11" s="136">
        <f t="shared" si="21"/>
        <v>0.9862</v>
      </c>
      <c r="BH11" s="128" t="str">
        <f>IFERROR(AVERAGEIFS(
'20102013 STH Efficacy'!$CD:$CD, 
'20102013 STH Efficacy'!$BS:$BS, $A11, 
'20102013 STH Efficacy'!$BT:$BT, "Mebendazole",
'20102013 STH Efficacy'!$BZ:$BZ,"&lt;2011",
'20102013 STH Efficacy'!$CU:$CU,""),
"")</f>
        <v/>
      </c>
      <c r="BI11" s="136">
        <f t="shared" si="22"/>
        <v>0.769</v>
      </c>
      <c r="BJ11" s="128" t="str">
        <f>IFERROR(AVERAGEIFS(
'20102013 STH Efficacy'!$CD:$CD, 
'20102013 STH Efficacy'!$BS:$BS, $A11, 
'20102013 STH Efficacy'!$BT:$BT, "Albendazole &amp; Ivermectin",
'20102013 STH Efficacy'!$BZ:$BZ,"&lt;2011",
'20102013 STH Efficacy'!$CU:$CU,""),
"")</f>
        <v/>
      </c>
      <c r="BK11" s="136">
        <f t="shared" si="23"/>
        <v>1</v>
      </c>
      <c r="BL11" s="137"/>
      <c r="BM11" s="137"/>
      <c r="BN11" s="138">
        <v>0.0</v>
      </c>
      <c r="BO11" s="139">
        <v>0.0</v>
      </c>
      <c r="BP11" s="140">
        <v>0.0</v>
      </c>
      <c r="BQ11" s="141">
        <f t="shared" si="24"/>
        <v>0</v>
      </c>
      <c r="BR11" s="104" t="str">
        <f t="shared" si="25"/>
        <v>0000</v>
      </c>
      <c r="BS11" s="104" t="str">
        <f t="shared" si="26"/>
        <v>no action required</v>
      </c>
      <c r="BT11" s="142" t="str">
        <f t="shared" si="27"/>
        <v/>
      </c>
      <c r="BU11" s="104" t="str">
        <f t="shared" si="28"/>
        <v/>
      </c>
      <c r="BV11" s="104" t="str">
        <f t="shared" si="29"/>
        <v>none</v>
      </c>
      <c r="BW11" s="150" t="str">
        <f t="shared" si="30"/>
        <v/>
      </c>
      <c r="BX11" s="150" t="str">
        <f t="shared" si="31"/>
        <v/>
      </c>
      <c r="BY11" s="151" t="str">
        <f t="shared" si="32"/>
        <v/>
      </c>
      <c r="BZ11" s="152" t="str">
        <f t="shared" si="33"/>
        <v/>
      </c>
      <c r="CA11" s="152" t="str">
        <f t="shared" si="34"/>
        <v/>
      </c>
      <c r="CB11" s="152" t="str">
        <f t="shared" si="35"/>
        <v/>
      </c>
      <c r="CC11" s="153" t="str">
        <f t="shared" si="36"/>
        <v/>
      </c>
      <c r="CD11" s="153" t="str">
        <f t="shared" si="37"/>
        <v/>
      </c>
      <c r="CE11" s="154" t="str">
        <f t="shared" si="38"/>
        <v/>
      </c>
      <c r="CF11" s="154" t="str">
        <f t="shared" si="39"/>
        <v/>
      </c>
      <c r="CG11" s="154" t="str">
        <f t="shared" si="40"/>
        <v/>
      </c>
    </row>
    <row r="12">
      <c r="A12" s="103" t="s">
        <v>100</v>
      </c>
      <c r="B12" s="104" t="s">
        <v>98</v>
      </c>
      <c r="C12" s="105">
        <v>4.1223889E7</v>
      </c>
      <c r="D12" s="106">
        <v>0.0</v>
      </c>
      <c r="E12" s="107">
        <v>0.0</v>
      </c>
      <c r="F12" s="108">
        <v>0.20084095</v>
      </c>
      <c r="G12" s="108">
        <v>1.238381096</v>
      </c>
      <c r="H12" s="157">
        <v>1.439222046</v>
      </c>
      <c r="I12" s="110">
        <v>189.369556</v>
      </c>
      <c r="J12" s="110">
        <v>543.954409</v>
      </c>
      <c r="K12" s="109">
        <v>733.3239654</v>
      </c>
      <c r="L12" s="112">
        <v>82.42745888</v>
      </c>
      <c r="M12" s="112">
        <v>120.6832182</v>
      </c>
      <c r="N12" s="112">
        <v>203.1106771</v>
      </c>
      <c r="O12" s="113"/>
      <c r="P12" s="114"/>
      <c r="Q12" s="114"/>
      <c r="R12" s="115" t="str">
        <f t="shared" si="8"/>
        <v/>
      </c>
      <c r="S12" s="116">
        <f t="shared" si="9"/>
        <v>0.14553293</v>
      </c>
      <c r="T12" s="117"/>
      <c r="U12" s="118">
        <f t="shared" si="41"/>
        <v>0.39435</v>
      </c>
      <c r="V12" s="148"/>
      <c r="W12" s="120">
        <f t="shared" si="10"/>
        <v>0.3616</v>
      </c>
      <c r="X12" s="148"/>
      <c r="Y12" s="120">
        <f t="shared" si="11"/>
        <v>0.5015615385</v>
      </c>
      <c r="Z12" s="121"/>
      <c r="AA12" s="121"/>
      <c r="AB12" s="121"/>
      <c r="AC12" s="121"/>
      <c r="AD12" s="122">
        <v>0.0</v>
      </c>
      <c r="AE12" s="123">
        <v>0.0</v>
      </c>
      <c r="AF12" s="123">
        <v>0.0</v>
      </c>
      <c r="AG12" s="124">
        <v>0.0196</v>
      </c>
      <c r="AH12" s="124">
        <v>0.026574674</v>
      </c>
      <c r="AI12" s="125">
        <v>0.0267</v>
      </c>
      <c r="AJ12" s="125">
        <v>0.036241306</v>
      </c>
      <c r="AK12" s="127">
        <v>0.06</v>
      </c>
      <c r="AL12" s="127">
        <v>0.085357207</v>
      </c>
      <c r="AM12" s="128"/>
      <c r="AN12" s="149" t="str">
        <f>IFERROR(
  AVERAGEIFS(
    'New 20102013 LF Efficacy'!$J:$J,
    'New 20102013 LF Efficacy'!$D:$D, $A12,
    'New 20102013 LF Efficacy'!$F:$F,"DEC", 
    'New 20102013 LF Efficacy'!$W:$W,"&lt;2011",
    'New 20102013 LF Efficacy'!$AA:$AA,""),
  ""
)</f>
        <v/>
      </c>
      <c r="AO12" s="115">
        <f t="shared" si="12"/>
        <v>0.2589833333</v>
      </c>
      <c r="AP12" s="121" t="str">
        <f>IFERROR(
AVERAGEIFS(
'New 20102013 LF Efficacy'!$J:$J,
'New 20102013 LF Efficacy'!$D:$D,$A12,
'New 20102013 LF Efficacy'!$F:$F,"Albendazole &amp; DEC",
'New 20102013 LF Efficacy'!$W:$W,"&lt;2011",
'New 20102013 LF Efficacy'!$AA:$AA,""),
"")
</f>
        <v/>
      </c>
      <c r="AQ12" s="115">
        <f t="shared" si="13"/>
        <v>0.3465</v>
      </c>
      <c r="AR12" s="121" t="str">
        <f>IFERROR(
AVERAGEIFS(
'New 20102013 LF Efficacy'!$J:$J,
'New 20102013 LF Efficacy'!$D:$D,$A12,
'New 20102013 LF Efficacy'!$F:$F,"Albendazole &amp; Ivermectin", 
'New 20102013 LF Efficacy'!$W:$W,"&lt;2011",
'New 20102013 LF Efficacy'!$AA:$AA,""),"")</f>
        <v/>
      </c>
      <c r="AS12" s="115">
        <f t="shared" si="14"/>
        <v>0.7575</v>
      </c>
      <c r="AT12" s="130" t="str">
        <f>IFERROR(AVERAGEIFS(
'20102013 Schist Efficacy'!$O:$O, 
'20102013 Schist Efficacy'!$C:$C,$A12, 
'20102013 Schist Efficacy'!$D:$D, "Praziquantel",
'20102013 Schist Efficacy'!$J:$J,"&lt;2011",
'20102013 Schist Efficacy'!$U:$U,""),
"")</f>
        <v/>
      </c>
      <c r="AU12" s="118">
        <f t="shared" si="15"/>
        <v>0.7732631579</v>
      </c>
      <c r="AV12" s="131" t="str">
        <f>IFERROR(AVERAGEIFS(
'20102013 STH Efficacy'!$AX:$AX, 
'20102013 STH Efficacy'!$AL:$AL, $A12, 
'20102013 STH Efficacy'!$AM:$AM, "Albendazole",
'20102013 STH Efficacy'!$AS:$AS,"&lt;2011",
'20102013 STH Efficacy'!$BP:$BP,""),
"")</f>
        <v/>
      </c>
      <c r="AW12" s="132">
        <f t="shared" si="16"/>
        <v>0.3945</v>
      </c>
      <c r="AX12" s="131" t="str">
        <f>IFERROR(AVERAGEIFS(
'20102013 STH Efficacy'!$AX:$AX, 
'20102013 STH Efficacy'!$AL:$AL, $A12, 
'20102013 STH Efficacy'!$AM:$AM, "Mebendazole",
'20102013 STH Efficacy'!$AS:$AS,"&lt;2011",
'20102013 STH Efficacy'!$BP:$BP,""),
"")</f>
        <v/>
      </c>
      <c r="AY12" s="132">
        <f t="shared" si="17"/>
        <v>0.6</v>
      </c>
      <c r="AZ12" s="131" t="str">
        <f>IFERROR(AVERAGEIFS(
'20102013 STH Efficacy'!$AX:$AX, 
'20102013 STH Efficacy'!$AL:$AL, $A12, 
'20102013 STH Efficacy'!$AM:$AM, "Albendazole &amp; Ivermectin",
'20102013 STH Efficacy'!$AS:$AS,"&lt;2011",
'20102013 STH Efficacy'!$BP:$BP,""),
"")</f>
        <v/>
      </c>
      <c r="BA12" s="133">
        <f t="shared" si="18"/>
        <v>0.796</v>
      </c>
      <c r="BB12" s="134" t="str">
        <f>IFERROR(AVERAGEIFS(
'20102013 STH Efficacy'!$N:$N, 
'20102013 STH Efficacy'!$B:$B, $A12, 
'20102013 STH Efficacy'!$C:$C, "Albendazole",
'20102013 STH Efficacy'!$I:$I,"&lt;2011",
'20102013 STH Efficacy'!$AH:$AH,""),
"")</f>
        <v/>
      </c>
      <c r="BC12" s="135">
        <f t="shared" si="19"/>
        <v>0.869</v>
      </c>
      <c r="BD12" s="134" t="str">
        <f>IFERROR(AVERAGEIFS(
'20102013 STH Efficacy'!$N:$N, 
'20102013 STH Efficacy'!$B:$B, $A12, 
'20102013 STH Efficacy'!$C:$C, "Mebendazole",
'20102013 STH Efficacy'!$I:$I,"&lt;2011",
'20102013 STH Efficacy'!$AH:$AH,""),
"")</f>
        <v/>
      </c>
      <c r="BE12" s="135">
        <f t="shared" si="20"/>
        <v>0.172</v>
      </c>
      <c r="BF12" s="128" t="str">
        <f>IFERROR(AVERAGEIFS(
'20102013 STH Efficacy'!$CD:$CD, 
'20102013 STH Efficacy'!$BS:$BS, $A12, 
'20102013 STH Efficacy'!$BT:$BT, "Albendazole",
'20102013 STH Efficacy'!$BZ:$BZ,"&lt;2011",
'20102013 STH Efficacy'!$CU:$CU,""),
"")</f>
        <v/>
      </c>
      <c r="BG12" s="136">
        <f t="shared" si="21"/>
        <v>0.9862</v>
      </c>
      <c r="BH12" s="128" t="str">
        <f>IFERROR(AVERAGEIFS(
'20102013 STH Efficacy'!$CD:$CD, 
'20102013 STH Efficacy'!$BS:$BS, $A12, 
'20102013 STH Efficacy'!$BT:$BT, "Mebendazole",
'20102013 STH Efficacy'!$BZ:$BZ,"&lt;2011",
'20102013 STH Efficacy'!$CU:$CU,""),
"")</f>
        <v/>
      </c>
      <c r="BI12" s="136">
        <f t="shared" si="22"/>
        <v>0.769</v>
      </c>
      <c r="BJ12" s="128" t="str">
        <f>IFERROR(AVERAGEIFS(
'20102013 STH Efficacy'!$CD:$CD, 
'20102013 STH Efficacy'!$BS:$BS, $A12, 
'20102013 STH Efficacy'!$BT:$BT, "Albendazole &amp; Ivermectin",
'20102013 STH Efficacy'!$BZ:$BZ,"&lt;2011",
'20102013 STH Efficacy'!$CU:$CU,""),
"")</f>
        <v/>
      </c>
      <c r="BK12" s="136">
        <f t="shared" si="23"/>
        <v>1</v>
      </c>
      <c r="BL12" s="137"/>
      <c r="BM12" s="137"/>
      <c r="BN12" s="138">
        <v>0.0</v>
      </c>
      <c r="BO12" s="139">
        <v>0.0</v>
      </c>
      <c r="BP12" s="140">
        <v>0.0</v>
      </c>
      <c r="BQ12" s="141">
        <f t="shared" si="24"/>
        <v>0</v>
      </c>
      <c r="BR12" s="104" t="str">
        <f t="shared" si="25"/>
        <v>0000</v>
      </c>
      <c r="BS12" s="104" t="str">
        <f t="shared" si="26"/>
        <v>no action required</v>
      </c>
      <c r="BT12" s="142" t="str">
        <f t="shared" si="27"/>
        <v/>
      </c>
      <c r="BU12" s="104" t="str">
        <f t="shared" si="28"/>
        <v/>
      </c>
      <c r="BV12" s="104" t="str">
        <f t="shared" si="29"/>
        <v>none</v>
      </c>
      <c r="BW12" s="150" t="str">
        <f t="shared" si="30"/>
        <v/>
      </c>
      <c r="BX12" s="150" t="str">
        <f t="shared" si="31"/>
        <v/>
      </c>
      <c r="BY12" s="151" t="str">
        <f t="shared" si="32"/>
        <v/>
      </c>
      <c r="BZ12" s="152" t="str">
        <f t="shared" si="33"/>
        <v/>
      </c>
      <c r="CA12" s="152" t="str">
        <f t="shared" si="34"/>
        <v/>
      </c>
      <c r="CB12" s="152" t="str">
        <f t="shared" si="35"/>
        <v/>
      </c>
      <c r="CC12" s="153" t="str">
        <f t="shared" si="36"/>
        <v/>
      </c>
      <c r="CD12" s="153" t="str">
        <f t="shared" si="37"/>
        <v/>
      </c>
      <c r="CE12" s="154" t="str">
        <f t="shared" si="38"/>
        <v/>
      </c>
      <c r="CF12" s="154" t="str">
        <f t="shared" si="39"/>
        <v/>
      </c>
      <c r="CG12" s="154" t="str">
        <f t="shared" si="40"/>
        <v/>
      </c>
    </row>
    <row r="13">
      <c r="A13" s="103" t="s">
        <v>101</v>
      </c>
      <c r="B13" s="104" t="s">
        <v>90</v>
      </c>
      <c r="C13" s="105">
        <v>2877311.0</v>
      </c>
      <c r="D13" s="106">
        <v>0.0</v>
      </c>
      <c r="E13" s="107">
        <v>0.0</v>
      </c>
      <c r="F13" s="108">
        <v>0.0</v>
      </c>
      <c r="G13" s="108">
        <v>0.0</v>
      </c>
      <c r="H13" s="108">
        <v>0.0</v>
      </c>
      <c r="I13" s="109">
        <v>0.04094194</v>
      </c>
      <c r="J13" s="109">
        <v>0.04321547</v>
      </c>
      <c r="K13" s="109">
        <v>0.084157404</v>
      </c>
      <c r="L13" s="112">
        <v>0.908569916</v>
      </c>
      <c r="M13" s="112">
        <v>0.307064426</v>
      </c>
      <c r="N13" s="112">
        <v>1.215634343</v>
      </c>
      <c r="O13" s="113"/>
      <c r="P13" s="114"/>
      <c r="Q13" s="114"/>
      <c r="R13" s="115" t="str">
        <f t="shared" si="8"/>
        <v/>
      </c>
      <c r="S13" s="116">
        <f t="shared" si="9"/>
        <v>0.4013436246</v>
      </c>
      <c r="T13" s="117"/>
      <c r="U13" s="118">
        <f t="shared" si="41"/>
        <v>0.3468166667</v>
      </c>
      <c r="V13" s="148"/>
      <c r="W13" s="120">
        <f t="shared" si="10"/>
        <v>1</v>
      </c>
      <c r="X13" s="148"/>
      <c r="Y13" s="120">
        <f t="shared" si="11"/>
        <v>0.71735</v>
      </c>
      <c r="Z13" s="121"/>
      <c r="AA13" s="121"/>
      <c r="AB13" s="121"/>
      <c r="AC13" s="121"/>
      <c r="AD13" s="122">
        <v>0.0</v>
      </c>
      <c r="AE13" s="123">
        <v>0.0</v>
      </c>
      <c r="AF13" s="123">
        <v>0.0</v>
      </c>
      <c r="AG13" s="124">
        <v>0.001</v>
      </c>
      <c r="AH13" s="124">
        <v>0.001505611</v>
      </c>
      <c r="AI13" s="125">
        <v>0.0</v>
      </c>
      <c r="AJ13" s="125">
        <v>1.24E-5</v>
      </c>
      <c r="AK13" s="127">
        <v>0.0</v>
      </c>
      <c r="AL13" s="127">
        <v>0.007577587</v>
      </c>
      <c r="AM13" s="128"/>
      <c r="AN13" s="149" t="str">
        <f>IFERROR(
  AVERAGEIFS(
    'New 20102013 LF Efficacy'!$J:$J,
    'New 20102013 LF Efficacy'!$D:$D, $A13,
    'New 20102013 LF Efficacy'!$F:$F,"DEC", 
    'New 20102013 LF Efficacy'!$W:$W,"&lt;2011",
    'New 20102013 LF Efficacy'!$AA:$AA,""),
  ""
)</f>
        <v/>
      </c>
      <c r="AO13" s="115">
        <f t="shared" si="12"/>
        <v>0.3573520833</v>
      </c>
      <c r="AP13" s="121" t="str">
        <f>IFERROR(
AVERAGEIFS(
'New 20102013 LF Efficacy'!$J:$J,
'New 20102013 LF Efficacy'!$D:$D,$A13,
'New 20102013 LF Efficacy'!$F:$F,"Albendazole &amp; DEC",
'New 20102013 LF Efficacy'!$W:$W,"&lt;2011",
'New 20102013 LF Efficacy'!$AA:$AA,""),
"")
</f>
        <v/>
      </c>
      <c r="AQ13" s="115">
        <f t="shared" si="13"/>
        <v>0.5137291667</v>
      </c>
      <c r="AR13" s="121" t="str">
        <f>IFERROR(
AVERAGEIFS(
'New 20102013 LF Efficacy'!$J:$J,
'New 20102013 LF Efficacy'!$D:$D,$A13,
'New 20102013 LF Efficacy'!$F:$F,"Albendazole &amp; Ivermectin", 
'New 20102013 LF Efficacy'!$W:$W,"&lt;2011",
'New 20102013 LF Efficacy'!$AA:$AA,""),"")</f>
        <v/>
      </c>
      <c r="AS13" s="115">
        <f t="shared" si="14"/>
        <v>0.37153125</v>
      </c>
      <c r="AT13" s="130" t="str">
        <f>IFERROR(AVERAGEIFS(
'20102013 Schist Efficacy'!$O:$O, 
'20102013 Schist Efficacy'!$C:$C,$A13, 
'20102013 Schist Efficacy'!$D:$D, "Praziquantel",
'20102013 Schist Efficacy'!$J:$J,"&lt;2011",
'20102013 Schist Efficacy'!$U:$U,""),
"")</f>
        <v/>
      </c>
      <c r="AU13" s="118">
        <f t="shared" si="15"/>
        <v>0.655</v>
      </c>
      <c r="AV13" s="131" t="str">
        <f>IFERROR(AVERAGEIFS(
'20102013 STH Efficacy'!$AX:$AX, 
'20102013 STH Efficacy'!$AL:$AL, $A13, 
'20102013 STH Efficacy'!$AM:$AM, "Albendazole",
'20102013 STH Efficacy'!$AS:$AS,"&lt;2011",
'20102013 STH Efficacy'!$BP:$BP,""),
"")</f>
        <v/>
      </c>
      <c r="AW13" s="132">
        <f t="shared" si="16"/>
        <v>0.3842878788</v>
      </c>
      <c r="AX13" s="131" t="str">
        <f>IFERROR(AVERAGEIFS(
'20102013 STH Efficacy'!$AX:$AX, 
'20102013 STH Efficacy'!$AL:$AL, $A13, 
'20102013 STH Efficacy'!$AM:$AM, "Mebendazole",
'20102013 STH Efficacy'!$AS:$AS,"&lt;2011",
'20102013 STH Efficacy'!$BP:$BP,""),
"")</f>
        <v/>
      </c>
      <c r="AY13" s="132">
        <f t="shared" si="17"/>
        <v>0.5121666667</v>
      </c>
      <c r="AZ13" s="131" t="str">
        <f>IFERROR(AVERAGEIFS(
'20102013 STH Efficacy'!$AX:$AX, 
'20102013 STH Efficacy'!$AL:$AL, $A13, 
'20102013 STH Efficacy'!$AM:$AM, "Albendazole &amp; Ivermectin",
'20102013 STH Efficacy'!$AS:$AS,"&lt;2011",
'20102013 STH Efficacy'!$BP:$BP,""),
"")</f>
        <v/>
      </c>
      <c r="BA13" s="133">
        <f t="shared" si="18"/>
        <v>0.7176666667</v>
      </c>
      <c r="BB13" s="134" t="str">
        <f>IFERROR(AVERAGEIFS(
'20102013 STH Efficacy'!$N:$N, 
'20102013 STH Efficacy'!$B:$B, $A13, 
'20102013 STH Efficacy'!$C:$C, "Albendazole",
'20102013 STH Efficacy'!$I:$I,"&lt;2011",
'20102013 STH Efficacy'!$AH:$AH,""),
"")</f>
        <v/>
      </c>
      <c r="BC13" s="135">
        <f t="shared" si="19"/>
        <v>0.7630416667</v>
      </c>
      <c r="BD13" s="134" t="str">
        <f>IFERROR(AVERAGEIFS(
'20102013 STH Efficacy'!$N:$N, 
'20102013 STH Efficacy'!$B:$B, $A13, 
'20102013 STH Efficacy'!$C:$C, "Mebendazole",
'20102013 STH Efficacy'!$I:$I,"&lt;2011",
'20102013 STH Efficacy'!$AH:$AH,""),
"")</f>
        <v/>
      </c>
      <c r="BE13" s="135">
        <f t="shared" si="20"/>
        <v>0.4405966667</v>
      </c>
      <c r="BF13" s="128" t="str">
        <f>IFERROR(AVERAGEIFS(
'20102013 STH Efficacy'!$CD:$CD, 
'20102013 STH Efficacy'!$BS:$BS, $A13, 
'20102013 STH Efficacy'!$BT:$BT, "Albendazole",
'20102013 STH Efficacy'!$BZ:$BZ,"&lt;2011",
'20102013 STH Efficacy'!$CU:$CU,""),
"")</f>
        <v/>
      </c>
      <c r="BG13" s="136">
        <f t="shared" si="21"/>
        <v>0.9403222222</v>
      </c>
      <c r="BH13" s="128" t="str">
        <f>IFERROR(AVERAGEIFS(
'20102013 STH Efficacy'!$CD:$CD, 
'20102013 STH Efficacy'!$BS:$BS, $A13, 
'20102013 STH Efficacy'!$BT:$BT, "Mebendazole",
'20102013 STH Efficacy'!$BZ:$BZ,"&lt;2011",
'20102013 STH Efficacy'!$CU:$CU,""),
"")</f>
        <v/>
      </c>
      <c r="BI13" s="136">
        <f t="shared" si="22"/>
        <v>0.9229285714</v>
      </c>
      <c r="BJ13" s="128" t="str">
        <f>IFERROR(AVERAGEIFS(
'20102013 STH Efficacy'!$CD:$CD, 
'20102013 STH Efficacy'!$BS:$BS, $A13, 
'20102013 STH Efficacy'!$BT:$BT, "Albendazole &amp; Ivermectin",
'20102013 STH Efficacy'!$BZ:$BZ,"&lt;2011",
'20102013 STH Efficacy'!$CU:$CU,""),
"")</f>
        <v/>
      </c>
      <c r="BK13" s="136">
        <f t="shared" si="23"/>
        <v>1</v>
      </c>
      <c r="BL13" s="137"/>
      <c r="BM13" s="137"/>
      <c r="BN13" s="138">
        <v>0.0</v>
      </c>
      <c r="BO13" s="139">
        <v>0.0</v>
      </c>
      <c r="BP13" s="140">
        <v>0.0</v>
      </c>
      <c r="BQ13" s="141">
        <f t="shared" si="24"/>
        <v>0</v>
      </c>
      <c r="BR13" s="104" t="str">
        <f t="shared" si="25"/>
        <v>0000</v>
      </c>
      <c r="BS13" s="104" t="str">
        <f t="shared" si="26"/>
        <v>no action required</v>
      </c>
      <c r="BT13" s="142" t="str">
        <f t="shared" si="27"/>
        <v/>
      </c>
      <c r="BU13" s="104" t="str">
        <f t="shared" si="28"/>
        <v/>
      </c>
      <c r="BV13" s="104" t="str">
        <f t="shared" si="29"/>
        <v>none</v>
      </c>
      <c r="BW13" s="150" t="str">
        <f t="shared" si="30"/>
        <v/>
      </c>
      <c r="BX13" s="150" t="str">
        <f t="shared" si="31"/>
        <v/>
      </c>
      <c r="BY13" s="151" t="str">
        <f t="shared" si="32"/>
        <v/>
      </c>
      <c r="BZ13" s="152" t="str">
        <f t="shared" si="33"/>
        <v/>
      </c>
      <c r="CA13" s="152" t="str">
        <f t="shared" si="34"/>
        <v/>
      </c>
      <c r="CB13" s="152" t="str">
        <f t="shared" si="35"/>
        <v/>
      </c>
      <c r="CC13" s="153" t="str">
        <f t="shared" si="36"/>
        <v/>
      </c>
      <c r="CD13" s="153" t="str">
        <f t="shared" si="37"/>
        <v/>
      </c>
      <c r="CE13" s="154" t="str">
        <f t="shared" si="38"/>
        <v/>
      </c>
      <c r="CF13" s="154" t="str">
        <f t="shared" si="39"/>
        <v/>
      </c>
      <c r="CG13" s="154" t="str">
        <f t="shared" si="40"/>
        <v/>
      </c>
    </row>
    <row r="14">
      <c r="A14" s="155" t="s">
        <v>102</v>
      </c>
      <c r="B14" s="104" t="s">
        <v>98</v>
      </c>
      <c r="C14" s="105">
        <v>101669.0</v>
      </c>
      <c r="D14" s="106">
        <v>0.0</v>
      </c>
      <c r="E14" s="107">
        <v>0.0</v>
      </c>
      <c r="F14" s="163"/>
      <c r="G14" s="163"/>
      <c r="H14" s="108">
        <v>0.0</v>
      </c>
      <c r="I14" s="109">
        <v>0.0</v>
      </c>
      <c r="J14" s="109">
        <v>0.0</v>
      </c>
      <c r="K14" s="109">
        <v>0.0</v>
      </c>
      <c r="L14" s="113"/>
      <c r="M14" s="113"/>
      <c r="N14" s="112">
        <v>0.0</v>
      </c>
      <c r="O14" s="113"/>
      <c r="P14" s="114"/>
      <c r="Q14" s="114"/>
      <c r="R14" s="115" t="str">
        <f t="shared" si="8"/>
        <v/>
      </c>
      <c r="S14" s="116">
        <f t="shared" si="9"/>
        <v>0.14553293</v>
      </c>
      <c r="T14" s="117"/>
      <c r="U14" s="118">
        <f t="shared" si="41"/>
        <v>0.39435</v>
      </c>
      <c r="V14" s="148"/>
      <c r="W14" s="120">
        <f t="shared" si="10"/>
        <v>0.3616</v>
      </c>
      <c r="X14" s="148"/>
      <c r="Y14" s="120">
        <f t="shared" si="11"/>
        <v>0.5015615385</v>
      </c>
      <c r="Z14" s="114"/>
      <c r="AA14" s="114"/>
      <c r="AB14" s="114"/>
      <c r="AC14" s="114"/>
      <c r="AD14" s="164">
        <v>0.0</v>
      </c>
      <c r="AE14" s="165">
        <v>0.0</v>
      </c>
      <c r="AF14" s="166">
        <v>0.0</v>
      </c>
      <c r="AG14" s="167">
        <v>0.0</v>
      </c>
      <c r="AH14" s="167">
        <v>0.0</v>
      </c>
      <c r="AI14" s="168">
        <v>0.0</v>
      </c>
      <c r="AJ14" s="168">
        <v>0.0</v>
      </c>
      <c r="AK14" s="126">
        <v>0.0</v>
      </c>
      <c r="AL14" s="169">
        <v>0.0</v>
      </c>
      <c r="AM14" s="128"/>
      <c r="AN14" s="149" t="str">
        <f>IFERROR(
  AVERAGEIFS(
    'New 20102013 LF Efficacy'!$J:$J,
    'New 20102013 LF Efficacy'!$D:$D, $A14,
    'New 20102013 LF Efficacy'!$F:$F,"DEC", 
    'New 20102013 LF Efficacy'!$W:$W,"&lt;2011",
    'New 20102013 LF Efficacy'!$AA:$AA,""),
  ""
)</f>
        <v/>
      </c>
      <c r="AO14" s="115">
        <f t="shared" si="12"/>
        <v>0.2589833333</v>
      </c>
      <c r="AP14" s="121" t="str">
        <f>IFERROR(
AVERAGEIFS(
'New 20102013 LF Efficacy'!$J:$J,
'New 20102013 LF Efficacy'!$D:$D,$A14,
'New 20102013 LF Efficacy'!$F:$F,"Albendazole &amp; DEC",
'New 20102013 LF Efficacy'!$W:$W,"&lt;2011",
'New 20102013 LF Efficacy'!$AA:$AA,""),
"")
</f>
        <v/>
      </c>
      <c r="AQ14" s="115">
        <f t="shared" si="13"/>
        <v>0.3465</v>
      </c>
      <c r="AR14" s="121" t="str">
        <f>IFERROR(
AVERAGEIFS(
'New 20102013 LF Efficacy'!$J:$J,
'New 20102013 LF Efficacy'!$D:$D,$A14,
'New 20102013 LF Efficacy'!$F:$F,"Albendazole &amp; Ivermectin", 
'New 20102013 LF Efficacy'!$W:$W,"&lt;2011",
'New 20102013 LF Efficacy'!$AA:$AA,""),"")</f>
        <v/>
      </c>
      <c r="AS14" s="115">
        <f t="shared" si="14"/>
        <v>0.7575</v>
      </c>
      <c r="AT14" s="130" t="str">
        <f>IFERROR(AVERAGEIFS(
'20102013 Schist Efficacy'!$O:$O, 
'20102013 Schist Efficacy'!$C:$C,$A14, 
'20102013 Schist Efficacy'!$D:$D, "Praziquantel",
'20102013 Schist Efficacy'!$J:$J,"&lt;2011",
'20102013 Schist Efficacy'!$U:$U,""),
"")</f>
        <v/>
      </c>
      <c r="AU14" s="118">
        <f t="shared" si="15"/>
        <v>0.7732631579</v>
      </c>
      <c r="AV14" s="131" t="str">
        <f>IFERROR(AVERAGEIFS(
'20102013 STH Efficacy'!$AX:$AX, 
'20102013 STH Efficacy'!$AL:$AL, $A14, 
'20102013 STH Efficacy'!$AM:$AM, "Albendazole",
'20102013 STH Efficacy'!$AS:$AS,"&lt;2011",
'20102013 STH Efficacy'!$BP:$BP,""),
"")</f>
        <v/>
      </c>
      <c r="AW14" s="132">
        <f t="shared" si="16"/>
        <v>0.3945</v>
      </c>
      <c r="AX14" s="131" t="str">
        <f>IFERROR(AVERAGEIFS(
'20102013 STH Efficacy'!$AX:$AX, 
'20102013 STH Efficacy'!$AL:$AL, $A14, 
'20102013 STH Efficacy'!$AM:$AM, "Mebendazole",
'20102013 STH Efficacy'!$AS:$AS,"&lt;2011",
'20102013 STH Efficacy'!$BP:$BP,""),
"")</f>
        <v/>
      </c>
      <c r="AY14" s="132">
        <f t="shared" si="17"/>
        <v>0.6</v>
      </c>
      <c r="AZ14" s="131" t="str">
        <f>IFERROR(AVERAGEIFS(
'20102013 STH Efficacy'!$AX:$AX, 
'20102013 STH Efficacy'!$AL:$AL, $A14, 
'20102013 STH Efficacy'!$AM:$AM, "Albendazole &amp; Ivermectin",
'20102013 STH Efficacy'!$AS:$AS,"&lt;2011",
'20102013 STH Efficacy'!$BP:$BP,""),
"")</f>
        <v/>
      </c>
      <c r="BA14" s="133">
        <f t="shared" si="18"/>
        <v>0.796</v>
      </c>
      <c r="BB14" s="134" t="str">
        <f>IFERROR(AVERAGEIFS(
'20102013 STH Efficacy'!$N:$N, 
'20102013 STH Efficacy'!$B:$B, $A14, 
'20102013 STH Efficacy'!$C:$C, "Albendazole",
'20102013 STH Efficacy'!$I:$I,"&lt;2011",
'20102013 STH Efficacy'!$AH:$AH,""),
"")</f>
        <v/>
      </c>
      <c r="BC14" s="135">
        <f t="shared" si="19"/>
        <v>0.869</v>
      </c>
      <c r="BD14" s="134" t="str">
        <f>IFERROR(AVERAGEIFS(
'20102013 STH Efficacy'!$N:$N, 
'20102013 STH Efficacy'!$B:$B, $A14, 
'20102013 STH Efficacy'!$C:$C, "Mebendazole",
'20102013 STH Efficacy'!$I:$I,"&lt;2011",
'20102013 STH Efficacy'!$AH:$AH,""),
"")</f>
        <v/>
      </c>
      <c r="BE14" s="135">
        <f t="shared" si="20"/>
        <v>0.172</v>
      </c>
      <c r="BF14" s="128" t="str">
        <f>IFERROR(AVERAGEIFS(
'20102013 STH Efficacy'!$CD:$CD, 
'20102013 STH Efficacy'!$BS:$BS, $A14, 
'20102013 STH Efficacy'!$BT:$BT, "Albendazole",
'20102013 STH Efficacy'!$BZ:$BZ,"&lt;2011",
'20102013 STH Efficacy'!$CU:$CU,""),
"")</f>
        <v/>
      </c>
      <c r="BG14" s="136">
        <f t="shared" si="21"/>
        <v>0.9862</v>
      </c>
      <c r="BH14" s="128" t="str">
        <f>IFERROR(AVERAGEIFS(
'20102013 STH Efficacy'!$CD:$CD, 
'20102013 STH Efficacy'!$BS:$BS, $A14, 
'20102013 STH Efficacy'!$BT:$BT, "Mebendazole",
'20102013 STH Efficacy'!$BZ:$BZ,"&lt;2011",
'20102013 STH Efficacy'!$CU:$CU,""),
"")</f>
        <v/>
      </c>
      <c r="BI14" s="136">
        <f t="shared" si="22"/>
        <v>0.769</v>
      </c>
      <c r="BJ14" s="128" t="str">
        <f>IFERROR(AVERAGEIFS(
'20102013 STH Efficacy'!$CD:$CD, 
'20102013 STH Efficacy'!$BS:$BS, $A14, 
'20102013 STH Efficacy'!$BT:$BT, "Albendazole &amp; Ivermectin",
'20102013 STH Efficacy'!$BZ:$BZ,"&lt;2011",
'20102013 STH Efficacy'!$CU:$CU,""),
"")</f>
        <v/>
      </c>
      <c r="BK14" s="136">
        <f t="shared" si="23"/>
        <v>1</v>
      </c>
      <c r="BL14" s="137"/>
      <c r="BM14" s="137"/>
      <c r="BN14" s="138">
        <v>0.0</v>
      </c>
      <c r="BO14" s="139">
        <v>0.0</v>
      </c>
      <c r="BP14" s="140">
        <v>0.0</v>
      </c>
      <c r="BQ14" s="141">
        <f t="shared" si="24"/>
        <v>0</v>
      </c>
      <c r="BR14" s="104" t="str">
        <f t="shared" si="25"/>
        <v>0000</v>
      </c>
      <c r="BS14" s="104" t="str">
        <f t="shared" si="26"/>
        <v>no action required</v>
      </c>
      <c r="BT14" s="142" t="str">
        <f t="shared" si="27"/>
        <v/>
      </c>
      <c r="BU14" s="104" t="str">
        <f t="shared" si="28"/>
        <v/>
      </c>
      <c r="BV14" s="104" t="str">
        <f t="shared" si="29"/>
        <v>none</v>
      </c>
      <c r="BW14" s="150" t="str">
        <f t="shared" si="30"/>
        <v/>
      </c>
      <c r="BX14" s="150" t="str">
        <f t="shared" si="31"/>
        <v/>
      </c>
      <c r="BY14" s="151" t="str">
        <f t="shared" si="32"/>
        <v/>
      </c>
      <c r="BZ14" s="152" t="str">
        <f t="shared" si="33"/>
        <v/>
      </c>
      <c r="CA14" s="152" t="str">
        <f t="shared" si="34"/>
        <v/>
      </c>
      <c r="CB14" s="152" t="str">
        <f t="shared" si="35"/>
        <v/>
      </c>
      <c r="CC14" s="153" t="str">
        <f t="shared" si="36"/>
        <v/>
      </c>
      <c r="CD14" s="153" t="str">
        <f t="shared" si="37"/>
        <v/>
      </c>
      <c r="CE14" s="154" t="str">
        <f t="shared" si="38"/>
        <v/>
      </c>
      <c r="CF14" s="154" t="str">
        <f t="shared" si="39"/>
        <v/>
      </c>
      <c r="CG14" s="154" t="str">
        <f t="shared" si="40"/>
        <v/>
      </c>
    </row>
    <row r="15">
      <c r="A15" s="103" t="s">
        <v>103</v>
      </c>
      <c r="B15" s="104" t="s">
        <v>94</v>
      </c>
      <c r="C15" s="105">
        <v>2.203175E7</v>
      </c>
      <c r="D15" s="106">
        <v>0.0</v>
      </c>
      <c r="E15" s="107">
        <v>0.0</v>
      </c>
      <c r="F15" s="108">
        <v>0.0</v>
      </c>
      <c r="G15" s="108">
        <v>0.0</v>
      </c>
      <c r="H15" s="108">
        <v>0.0</v>
      </c>
      <c r="I15" s="109">
        <v>0.0</v>
      </c>
      <c r="J15" s="109">
        <v>0.0</v>
      </c>
      <c r="K15" s="109">
        <v>0.0</v>
      </c>
      <c r="L15" s="112">
        <v>0.0</v>
      </c>
      <c r="M15" s="112">
        <v>0.0</v>
      </c>
      <c r="N15" s="112">
        <v>0.0</v>
      </c>
      <c r="O15" s="113"/>
      <c r="P15" s="114"/>
      <c r="Q15" s="114"/>
      <c r="R15" s="115" t="str">
        <f t="shared" si="8"/>
        <v/>
      </c>
      <c r="S15" s="116">
        <f t="shared" si="9"/>
        <v>0.1955251818</v>
      </c>
      <c r="T15" s="117"/>
      <c r="U15" s="118">
        <f t="shared" si="41"/>
        <v>0.6259666667</v>
      </c>
      <c r="V15" s="148"/>
      <c r="W15" s="120">
        <f t="shared" si="10"/>
        <v>0.55175</v>
      </c>
      <c r="X15" s="148"/>
      <c r="Y15" s="120">
        <f t="shared" si="11"/>
        <v>0.4826142857</v>
      </c>
      <c r="Z15" s="121"/>
      <c r="AA15" s="121"/>
      <c r="AB15" s="121"/>
      <c r="AC15" s="121"/>
      <c r="AD15" s="122">
        <v>0.0</v>
      </c>
      <c r="AE15" s="123">
        <v>0.0</v>
      </c>
      <c r="AF15" s="123">
        <v>0.0</v>
      </c>
      <c r="AG15" s="124">
        <v>0.0</v>
      </c>
      <c r="AH15" s="124">
        <v>0.0</v>
      </c>
      <c r="AI15" s="125">
        <v>0.0</v>
      </c>
      <c r="AJ15" s="125">
        <v>0.0</v>
      </c>
      <c r="AK15" s="127">
        <v>0.0</v>
      </c>
      <c r="AL15" s="127">
        <v>0.0</v>
      </c>
      <c r="AM15" s="128"/>
      <c r="AN15" s="149" t="str">
        <f>IFERROR(
  AVERAGEIFS(
    'New 20102013 LF Efficacy'!$J:$J,
    'New 20102013 LF Efficacy'!$D:$D, $A15,
    'New 20102013 LF Efficacy'!$F:$F,"DEC", 
    'New 20102013 LF Efficacy'!$W:$W,"&lt;2011",
    'New 20102013 LF Efficacy'!$AA:$AA,""),
  ""
)</f>
        <v/>
      </c>
      <c r="AO15" s="115">
        <f t="shared" si="12"/>
        <v>0.38</v>
      </c>
      <c r="AP15" s="121" t="str">
        <f>IFERROR(
AVERAGEIFS(
'New 20102013 LF Efficacy'!$J:$J,
'New 20102013 LF Efficacy'!$D:$D,$A15,
'New 20102013 LF Efficacy'!$F:$F,"Albendazole &amp; DEC",
'New 20102013 LF Efficacy'!$W:$W,"&lt;2011",
'New 20102013 LF Efficacy'!$AA:$AA,""),
"")
</f>
        <v/>
      </c>
      <c r="AQ15" s="115">
        <f t="shared" si="13"/>
        <v>0.657</v>
      </c>
      <c r="AR15" s="121" t="str">
        <f>IFERROR(
AVERAGEIFS(
'New 20102013 LF Efficacy'!$J:$J,
'New 20102013 LF Efficacy'!$D:$D,$A15,
'New 20102013 LF Efficacy'!$F:$F,"Albendazole &amp; Ivermectin", 
'New 20102013 LF Efficacy'!$W:$W,"&lt;2011",
'New 20102013 LF Efficacy'!$AA:$AA,""),"")</f>
        <v/>
      </c>
      <c r="AS15" s="115">
        <f t="shared" si="14"/>
        <v>0.37153125</v>
      </c>
      <c r="AT15" s="130" t="str">
        <f>IFERROR(AVERAGEIFS(
'20102013 Schist Efficacy'!$O:$O, 
'20102013 Schist Efficacy'!$C:$C,$A15, 
'20102013 Schist Efficacy'!$D:$D, "Praziquantel",
'20102013 Schist Efficacy'!$J:$J,"&lt;2011",
'20102013 Schist Efficacy'!$U:$U,""),
"")</f>
        <v/>
      </c>
      <c r="AU15" s="118">
        <f t="shared" si="15"/>
        <v>0.95</v>
      </c>
      <c r="AV15" s="131" t="str">
        <f>IFERROR(AVERAGEIFS(
'20102013 STH Efficacy'!$AX:$AX, 
'20102013 STH Efficacy'!$AL:$AL, $A15, 
'20102013 STH Efficacy'!$AM:$AM, "Albendazole",
'20102013 STH Efficacy'!$AS:$AS,"&lt;2011",
'20102013 STH Efficacy'!$BP:$BP,""),
"")</f>
        <v/>
      </c>
      <c r="AW15" s="132">
        <f t="shared" si="16"/>
        <v>0.3571666667</v>
      </c>
      <c r="AX15" s="131" t="str">
        <f>IFERROR(AVERAGEIFS(
'20102013 STH Efficacy'!$AX:$AX, 
'20102013 STH Efficacy'!$AL:$AL, $A15, 
'20102013 STH Efficacy'!$AM:$AM, "Mebendazole",
'20102013 STH Efficacy'!$AS:$AS,"&lt;2011",
'20102013 STH Efficacy'!$BP:$BP,""),
"")</f>
        <v/>
      </c>
      <c r="AY15" s="132">
        <f t="shared" si="17"/>
        <v>0.4155</v>
      </c>
      <c r="AZ15" s="131" t="str">
        <f>IFERROR(AVERAGEIFS(
'20102013 STH Efficacy'!$AX:$AX, 
'20102013 STH Efficacy'!$AL:$AL, $A15, 
'20102013 STH Efficacy'!$AM:$AM, "Albendazole &amp; Ivermectin",
'20102013 STH Efficacy'!$AS:$AS,"&lt;2011",
'20102013 STH Efficacy'!$BP:$BP,""),
"")</f>
        <v/>
      </c>
      <c r="BA15" s="133">
        <f t="shared" si="18"/>
        <v>0.651</v>
      </c>
      <c r="BB15" s="134" t="str">
        <f>IFERROR(AVERAGEIFS(
'20102013 STH Efficacy'!$N:$N, 
'20102013 STH Efficacy'!$B:$B, $A15, 
'20102013 STH Efficacy'!$C:$C, "Albendazole",
'20102013 STH Efficacy'!$I:$I,"&lt;2011",
'20102013 STH Efficacy'!$AH:$AH,""),
"")</f>
        <v/>
      </c>
      <c r="BC15" s="135">
        <f t="shared" si="19"/>
        <v>0.5769166667</v>
      </c>
      <c r="BD15" s="134" t="str">
        <f>IFERROR(AVERAGEIFS(
'20102013 STH Efficacy'!$N:$N, 
'20102013 STH Efficacy'!$B:$B, $A15, 
'20102013 STH Efficacy'!$C:$C, "Mebendazole",
'20102013 STH Efficacy'!$I:$I,"&lt;2011",
'20102013 STH Efficacy'!$AH:$AH,""),
"")</f>
        <v/>
      </c>
      <c r="BE15" s="135">
        <f t="shared" si="20"/>
        <v>0.3145</v>
      </c>
      <c r="BF15" s="128" t="str">
        <f>IFERROR(AVERAGEIFS(
'20102013 STH Efficacy'!$CD:$CD, 
'20102013 STH Efficacy'!$BS:$BS, $A15, 
'20102013 STH Efficacy'!$BT:$BT, "Albendazole",
'20102013 STH Efficacy'!$BZ:$BZ,"&lt;2011",
'20102013 STH Efficacy'!$CU:$CU,""),
"")</f>
        <v/>
      </c>
      <c r="BG15" s="136">
        <f t="shared" si="21"/>
        <v>0.96925</v>
      </c>
      <c r="BH15" s="128" t="str">
        <f>IFERROR(AVERAGEIFS(
'20102013 STH Efficacy'!$CD:$CD, 
'20102013 STH Efficacy'!$BS:$BS, $A15, 
'20102013 STH Efficacy'!$BT:$BT, "Mebendazole",
'20102013 STH Efficacy'!$BZ:$BZ,"&lt;2011",
'20102013 STH Efficacy'!$CU:$CU,""),
"")</f>
        <v/>
      </c>
      <c r="BI15" s="136">
        <f t="shared" si="22"/>
        <v>0.9305</v>
      </c>
      <c r="BJ15" s="128" t="str">
        <f>IFERROR(AVERAGEIFS(
'20102013 STH Efficacy'!$CD:$CD, 
'20102013 STH Efficacy'!$BS:$BS, $A15, 
'20102013 STH Efficacy'!$BT:$BT, "Albendazole &amp; Ivermectin",
'20102013 STH Efficacy'!$BZ:$BZ,"&lt;2011",
'20102013 STH Efficacy'!$CU:$CU,""),
"")</f>
        <v/>
      </c>
      <c r="BK15" s="136">
        <f t="shared" si="23"/>
        <v>1</v>
      </c>
      <c r="BL15" s="137"/>
      <c r="BM15" s="137"/>
      <c r="BN15" s="138">
        <v>0.0</v>
      </c>
      <c r="BO15" s="139">
        <v>0.0</v>
      </c>
      <c r="BP15" s="140">
        <v>0.0</v>
      </c>
      <c r="BQ15" s="141">
        <f t="shared" si="24"/>
        <v>0</v>
      </c>
      <c r="BR15" s="104" t="str">
        <f t="shared" si="25"/>
        <v>0000</v>
      </c>
      <c r="BS15" s="104" t="str">
        <f t="shared" si="26"/>
        <v>no action required</v>
      </c>
      <c r="BT15" s="142" t="str">
        <f t="shared" si="27"/>
        <v/>
      </c>
      <c r="BU15" s="104" t="str">
        <f t="shared" si="28"/>
        <v/>
      </c>
      <c r="BV15" s="104" t="str">
        <f t="shared" si="29"/>
        <v>none</v>
      </c>
      <c r="BW15" s="150" t="str">
        <f t="shared" si="30"/>
        <v/>
      </c>
      <c r="BX15" s="150" t="str">
        <f t="shared" si="31"/>
        <v/>
      </c>
      <c r="BY15" s="151" t="str">
        <f t="shared" si="32"/>
        <v/>
      </c>
      <c r="BZ15" s="152" t="str">
        <f t="shared" si="33"/>
        <v/>
      </c>
      <c r="CA15" s="152" t="str">
        <f t="shared" si="34"/>
        <v/>
      </c>
      <c r="CB15" s="152" t="str">
        <f t="shared" si="35"/>
        <v/>
      </c>
      <c r="CC15" s="153" t="str">
        <f t="shared" si="36"/>
        <v/>
      </c>
      <c r="CD15" s="153" t="str">
        <f t="shared" si="37"/>
        <v/>
      </c>
      <c r="CE15" s="154" t="str">
        <f t="shared" si="38"/>
        <v/>
      </c>
      <c r="CF15" s="154" t="str">
        <f t="shared" si="39"/>
        <v/>
      </c>
      <c r="CG15" s="154" t="str">
        <f t="shared" si="40"/>
        <v/>
      </c>
    </row>
    <row r="16">
      <c r="A16" s="103" t="s">
        <v>104</v>
      </c>
      <c r="B16" s="104" t="s">
        <v>90</v>
      </c>
      <c r="C16" s="105">
        <v>8363404.0</v>
      </c>
      <c r="D16" s="106">
        <v>0.0</v>
      </c>
      <c r="E16" s="107">
        <v>0.0</v>
      </c>
      <c r="F16" s="108">
        <v>0.0</v>
      </c>
      <c r="G16" s="108">
        <v>0.0</v>
      </c>
      <c r="H16" s="108">
        <v>0.0</v>
      </c>
      <c r="I16" s="109">
        <v>0.0</v>
      </c>
      <c r="J16" s="109">
        <v>0.0</v>
      </c>
      <c r="K16" s="109">
        <v>0.0</v>
      </c>
      <c r="L16" s="112">
        <v>0.0</v>
      </c>
      <c r="M16" s="112">
        <v>0.0</v>
      </c>
      <c r="N16" s="112">
        <v>0.0</v>
      </c>
      <c r="O16" s="113"/>
      <c r="P16" s="114"/>
      <c r="Q16" s="114"/>
      <c r="R16" s="115" t="str">
        <f t="shared" si="8"/>
        <v/>
      </c>
      <c r="S16" s="116">
        <f t="shared" si="9"/>
        <v>0.4013436246</v>
      </c>
      <c r="T16" s="117"/>
      <c r="U16" s="118">
        <f t="shared" si="41"/>
        <v>0.3468166667</v>
      </c>
      <c r="V16" s="148"/>
      <c r="W16" s="120">
        <f t="shared" si="10"/>
        <v>1</v>
      </c>
      <c r="X16" s="148"/>
      <c r="Y16" s="120">
        <f t="shared" si="11"/>
        <v>0.71735</v>
      </c>
      <c r="Z16" s="121"/>
      <c r="AA16" s="121"/>
      <c r="AB16" s="121"/>
      <c r="AC16" s="121"/>
      <c r="AD16" s="122">
        <v>0.0</v>
      </c>
      <c r="AE16" s="123">
        <v>0.0</v>
      </c>
      <c r="AF16" s="123">
        <v>0.0</v>
      </c>
      <c r="AG16" s="124">
        <v>0.0</v>
      </c>
      <c r="AH16" s="124">
        <v>0.0</v>
      </c>
      <c r="AI16" s="125">
        <v>0.0</v>
      </c>
      <c r="AJ16" s="125">
        <v>0.0</v>
      </c>
      <c r="AK16" s="127">
        <v>0.0</v>
      </c>
      <c r="AL16" s="127">
        <v>0.0</v>
      </c>
      <c r="AM16" s="128"/>
      <c r="AN16" s="149" t="str">
        <f>IFERROR(
  AVERAGEIFS(
    'New 20102013 LF Efficacy'!$J:$J,
    'New 20102013 LF Efficacy'!$D:$D, $A16,
    'New 20102013 LF Efficacy'!$F:$F,"DEC", 
    'New 20102013 LF Efficacy'!$W:$W,"&lt;2011",
    'New 20102013 LF Efficacy'!$AA:$AA,""),
  ""
)</f>
        <v/>
      </c>
      <c r="AO16" s="115">
        <f t="shared" si="12"/>
        <v>0.3573520833</v>
      </c>
      <c r="AP16" s="121" t="str">
        <f>IFERROR(
AVERAGEIFS(
'New 20102013 LF Efficacy'!$J:$J,
'New 20102013 LF Efficacy'!$D:$D,$A16,
'New 20102013 LF Efficacy'!$F:$F,"Albendazole &amp; DEC",
'New 20102013 LF Efficacy'!$W:$W,"&lt;2011",
'New 20102013 LF Efficacy'!$AA:$AA,""),
"")
</f>
        <v/>
      </c>
      <c r="AQ16" s="115">
        <f t="shared" si="13"/>
        <v>0.5137291667</v>
      </c>
      <c r="AR16" s="121" t="str">
        <f>IFERROR(
AVERAGEIFS(
'New 20102013 LF Efficacy'!$J:$J,
'New 20102013 LF Efficacy'!$D:$D,$A16,
'New 20102013 LF Efficacy'!$F:$F,"Albendazole &amp; Ivermectin", 
'New 20102013 LF Efficacy'!$W:$W,"&lt;2011",
'New 20102013 LF Efficacy'!$AA:$AA,""),"")</f>
        <v/>
      </c>
      <c r="AS16" s="115">
        <f t="shared" si="14"/>
        <v>0.37153125</v>
      </c>
      <c r="AT16" s="130" t="str">
        <f>IFERROR(AVERAGEIFS(
'20102013 Schist Efficacy'!$O:$O, 
'20102013 Schist Efficacy'!$C:$C,$A16, 
'20102013 Schist Efficacy'!$D:$D, "Praziquantel",
'20102013 Schist Efficacy'!$J:$J,"&lt;2011",
'20102013 Schist Efficacy'!$U:$U,""),
"")</f>
        <v/>
      </c>
      <c r="AU16" s="118">
        <f t="shared" si="15"/>
        <v>0.655</v>
      </c>
      <c r="AV16" s="131" t="str">
        <f>IFERROR(AVERAGEIFS(
'20102013 STH Efficacy'!$AX:$AX, 
'20102013 STH Efficacy'!$AL:$AL, $A16, 
'20102013 STH Efficacy'!$AM:$AM, "Albendazole",
'20102013 STH Efficacy'!$AS:$AS,"&lt;2011",
'20102013 STH Efficacy'!$BP:$BP,""),
"")</f>
        <v/>
      </c>
      <c r="AW16" s="132">
        <f t="shared" si="16"/>
        <v>0.3842878788</v>
      </c>
      <c r="AX16" s="131" t="str">
        <f>IFERROR(AVERAGEIFS(
'20102013 STH Efficacy'!$AX:$AX, 
'20102013 STH Efficacy'!$AL:$AL, $A16, 
'20102013 STH Efficacy'!$AM:$AM, "Mebendazole",
'20102013 STH Efficacy'!$AS:$AS,"&lt;2011",
'20102013 STH Efficacy'!$BP:$BP,""),
"")</f>
        <v/>
      </c>
      <c r="AY16" s="132">
        <f t="shared" si="17"/>
        <v>0.5121666667</v>
      </c>
      <c r="AZ16" s="131" t="str">
        <f>IFERROR(AVERAGEIFS(
'20102013 STH Efficacy'!$AX:$AX, 
'20102013 STH Efficacy'!$AL:$AL, $A16, 
'20102013 STH Efficacy'!$AM:$AM, "Albendazole &amp; Ivermectin",
'20102013 STH Efficacy'!$AS:$AS,"&lt;2011",
'20102013 STH Efficacy'!$BP:$BP,""),
"")</f>
        <v/>
      </c>
      <c r="BA16" s="133">
        <f t="shared" si="18"/>
        <v>0.7176666667</v>
      </c>
      <c r="BB16" s="134" t="str">
        <f>IFERROR(AVERAGEIFS(
'20102013 STH Efficacy'!$N:$N, 
'20102013 STH Efficacy'!$B:$B, $A16, 
'20102013 STH Efficacy'!$C:$C, "Albendazole",
'20102013 STH Efficacy'!$I:$I,"&lt;2011",
'20102013 STH Efficacy'!$AH:$AH,""),
"")</f>
        <v/>
      </c>
      <c r="BC16" s="135">
        <f t="shared" si="19"/>
        <v>0.7630416667</v>
      </c>
      <c r="BD16" s="134" t="str">
        <f>IFERROR(AVERAGEIFS(
'20102013 STH Efficacy'!$N:$N, 
'20102013 STH Efficacy'!$B:$B, $A16, 
'20102013 STH Efficacy'!$C:$C, "Mebendazole",
'20102013 STH Efficacy'!$I:$I,"&lt;2011",
'20102013 STH Efficacy'!$AH:$AH,""),
"")</f>
        <v/>
      </c>
      <c r="BE16" s="135">
        <f t="shared" si="20"/>
        <v>0.4405966667</v>
      </c>
      <c r="BF16" s="128" t="str">
        <f>IFERROR(AVERAGEIFS(
'20102013 STH Efficacy'!$CD:$CD, 
'20102013 STH Efficacy'!$BS:$BS, $A16, 
'20102013 STH Efficacy'!$BT:$BT, "Albendazole",
'20102013 STH Efficacy'!$BZ:$BZ,"&lt;2011",
'20102013 STH Efficacy'!$CU:$CU,""),
"")</f>
        <v/>
      </c>
      <c r="BG16" s="136">
        <f t="shared" si="21"/>
        <v>0.9403222222</v>
      </c>
      <c r="BH16" s="128" t="str">
        <f>IFERROR(AVERAGEIFS(
'20102013 STH Efficacy'!$CD:$CD, 
'20102013 STH Efficacy'!$BS:$BS, $A16, 
'20102013 STH Efficacy'!$BT:$BT, "Mebendazole",
'20102013 STH Efficacy'!$BZ:$BZ,"&lt;2011",
'20102013 STH Efficacy'!$CU:$CU,""),
"")</f>
        <v/>
      </c>
      <c r="BI16" s="136">
        <f t="shared" si="22"/>
        <v>0.9229285714</v>
      </c>
      <c r="BJ16" s="128" t="str">
        <f>IFERROR(AVERAGEIFS(
'20102013 STH Efficacy'!$CD:$CD, 
'20102013 STH Efficacy'!$BS:$BS, $A16, 
'20102013 STH Efficacy'!$BT:$BT, "Albendazole &amp; Ivermectin",
'20102013 STH Efficacy'!$BZ:$BZ,"&lt;2011",
'20102013 STH Efficacy'!$CU:$CU,""),
"")</f>
        <v/>
      </c>
      <c r="BK16" s="136">
        <f t="shared" si="23"/>
        <v>1</v>
      </c>
      <c r="BL16" s="137"/>
      <c r="BM16" s="137"/>
      <c r="BN16" s="138">
        <v>0.0</v>
      </c>
      <c r="BO16" s="139">
        <v>0.0</v>
      </c>
      <c r="BP16" s="140">
        <v>0.0</v>
      </c>
      <c r="BQ16" s="141">
        <f t="shared" si="24"/>
        <v>0</v>
      </c>
      <c r="BR16" s="104" t="str">
        <f t="shared" si="25"/>
        <v>0000</v>
      </c>
      <c r="BS16" s="104" t="str">
        <f t="shared" si="26"/>
        <v>no action required</v>
      </c>
      <c r="BT16" s="142" t="str">
        <f t="shared" si="27"/>
        <v/>
      </c>
      <c r="BU16" s="104" t="str">
        <f t="shared" si="28"/>
        <v/>
      </c>
      <c r="BV16" s="104" t="str">
        <f t="shared" si="29"/>
        <v>none</v>
      </c>
      <c r="BW16" s="150" t="str">
        <f t="shared" si="30"/>
        <v/>
      </c>
      <c r="BX16" s="150" t="str">
        <f t="shared" si="31"/>
        <v/>
      </c>
      <c r="BY16" s="151" t="str">
        <f t="shared" si="32"/>
        <v/>
      </c>
      <c r="BZ16" s="152" t="str">
        <f t="shared" si="33"/>
        <v/>
      </c>
      <c r="CA16" s="152" t="str">
        <f t="shared" si="34"/>
        <v/>
      </c>
      <c r="CB16" s="152" t="str">
        <f t="shared" si="35"/>
        <v/>
      </c>
      <c r="CC16" s="153" t="str">
        <f t="shared" si="36"/>
        <v/>
      </c>
      <c r="CD16" s="153" t="str">
        <f t="shared" si="37"/>
        <v/>
      </c>
      <c r="CE16" s="154" t="str">
        <f t="shared" si="38"/>
        <v/>
      </c>
      <c r="CF16" s="154" t="str">
        <f t="shared" si="39"/>
        <v/>
      </c>
      <c r="CG16" s="154" t="str">
        <f t="shared" si="40"/>
        <v/>
      </c>
    </row>
    <row r="17">
      <c r="A17" s="103" t="s">
        <v>105</v>
      </c>
      <c r="B17" s="104" t="s">
        <v>90</v>
      </c>
      <c r="C17" s="105">
        <v>9054332.0</v>
      </c>
      <c r="D17" s="106">
        <v>0.0</v>
      </c>
      <c r="E17" s="107">
        <v>0.0</v>
      </c>
      <c r="F17" s="108">
        <v>0.0</v>
      </c>
      <c r="G17" s="108">
        <v>0.0</v>
      </c>
      <c r="H17" s="108">
        <v>0.0</v>
      </c>
      <c r="I17" s="109">
        <v>0.04554</v>
      </c>
      <c r="J17" s="109">
        <v>0.04353762</v>
      </c>
      <c r="K17" s="109">
        <v>0.089077618</v>
      </c>
      <c r="L17" s="112">
        <v>18.05738953</v>
      </c>
      <c r="M17" s="112">
        <v>10.97950003</v>
      </c>
      <c r="N17" s="112">
        <v>29.03688956</v>
      </c>
      <c r="O17" s="113"/>
      <c r="P17" s="114"/>
      <c r="Q17" s="114"/>
      <c r="R17" s="115" t="str">
        <f t="shared" si="8"/>
        <v/>
      </c>
      <c r="S17" s="116">
        <f t="shared" si="9"/>
        <v>0.4013436246</v>
      </c>
      <c r="T17" s="117"/>
      <c r="U17" s="118">
        <f t="shared" si="41"/>
        <v>0.3468166667</v>
      </c>
      <c r="V17" s="148"/>
      <c r="W17" s="120">
        <f t="shared" si="10"/>
        <v>1</v>
      </c>
      <c r="X17" s="119">
        <v>0.4347</v>
      </c>
      <c r="Y17" s="120">
        <f t="shared" si="11"/>
        <v>0.4347</v>
      </c>
      <c r="Z17" s="121"/>
      <c r="AA17" s="121"/>
      <c r="AB17" s="121"/>
      <c r="AC17" s="121"/>
      <c r="AD17" s="122">
        <v>0.0</v>
      </c>
      <c r="AE17" s="123">
        <v>0.0</v>
      </c>
      <c r="AF17" s="123">
        <v>0.0</v>
      </c>
      <c r="AG17" s="124">
        <v>4.0E-4</v>
      </c>
      <c r="AH17" s="124">
        <v>6.66966E-4</v>
      </c>
      <c r="AI17" s="125">
        <v>0.0</v>
      </c>
      <c r="AJ17" s="125">
        <v>1.18E-5</v>
      </c>
      <c r="AK17" s="127">
        <v>0.02</v>
      </c>
      <c r="AL17" s="127">
        <v>0.033515771</v>
      </c>
      <c r="AM17" s="128"/>
      <c r="AN17" s="149" t="str">
        <f>IFERROR(
  AVERAGEIFS(
    'New 20102013 LF Efficacy'!$J:$J,
    'New 20102013 LF Efficacy'!$D:$D, $A17,
    'New 20102013 LF Efficacy'!$F:$F,"DEC", 
    'New 20102013 LF Efficacy'!$W:$W,"&lt;2011",
    'New 20102013 LF Efficacy'!$AA:$AA,""),
  ""
)</f>
        <v/>
      </c>
      <c r="AO17" s="115">
        <f t="shared" si="12"/>
        <v>0.3573520833</v>
      </c>
      <c r="AP17" s="121" t="str">
        <f>IFERROR(
AVERAGEIFS(
'New 20102013 LF Efficacy'!$J:$J,
'New 20102013 LF Efficacy'!$D:$D,$A17,
'New 20102013 LF Efficacy'!$F:$F,"Albendazole &amp; DEC",
'New 20102013 LF Efficacy'!$W:$W,"&lt;2011",
'New 20102013 LF Efficacy'!$AA:$AA,""),
"")
</f>
        <v/>
      </c>
      <c r="AQ17" s="115">
        <f t="shared" si="13"/>
        <v>0.5137291667</v>
      </c>
      <c r="AR17" s="121" t="str">
        <f>IFERROR(
AVERAGEIFS(
'New 20102013 LF Efficacy'!$J:$J,
'New 20102013 LF Efficacy'!$D:$D,$A17,
'New 20102013 LF Efficacy'!$F:$F,"Albendazole &amp; Ivermectin", 
'New 20102013 LF Efficacy'!$W:$W,"&lt;2011",
'New 20102013 LF Efficacy'!$AA:$AA,""),"")</f>
        <v/>
      </c>
      <c r="AS17" s="115">
        <f t="shared" si="14"/>
        <v>0.37153125</v>
      </c>
      <c r="AT17" s="130" t="str">
        <f>IFERROR(AVERAGEIFS(
'20102013 Schist Efficacy'!$O:$O, 
'20102013 Schist Efficacy'!$C:$C,$A17, 
'20102013 Schist Efficacy'!$D:$D, "Praziquantel",
'20102013 Schist Efficacy'!$J:$J,"&lt;2011",
'20102013 Schist Efficacy'!$U:$U,""),
"")</f>
        <v/>
      </c>
      <c r="AU17" s="118">
        <f t="shared" si="15"/>
        <v>0.655</v>
      </c>
      <c r="AV17" s="131" t="str">
        <f>IFERROR(AVERAGEIFS(
'20102013 STH Efficacy'!$AX:$AX, 
'20102013 STH Efficacy'!$AL:$AL, $A17, 
'20102013 STH Efficacy'!$AM:$AM, "Albendazole",
'20102013 STH Efficacy'!$AS:$AS,"&lt;2011",
'20102013 STH Efficacy'!$BP:$BP,""),
"")</f>
        <v/>
      </c>
      <c r="AW17" s="132">
        <f t="shared" si="16"/>
        <v>0.3842878788</v>
      </c>
      <c r="AX17" s="131" t="str">
        <f>IFERROR(AVERAGEIFS(
'20102013 STH Efficacy'!$AX:$AX, 
'20102013 STH Efficacy'!$AL:$AL, $A17, 
'20102013 STH Efficacy'!$AM:$AM, "Mebendazole",
'20102013 STH Efficacy'!$AS:$AS,"&lt;2011",
'20102013 STH Efficacy'!$BP:$BP,""),
"")</f>
        <v/>
      </c>
      <c r="AY17" s="132">
        <f t="shared" si="17"/>
        <v>0.5121666667</v>
      </c>
      <c r="AZ17" s="131" t="str">
        <f>IFERROR(AVERAGEIFS(
'20102013 STH Efficacy'!$AX:$AX, 
'20102013 STH Efficacy'!$AL:$AL, $A17, 
'20102013 STH Efficacy'!$AM:$AM, "Albendazole &amp; Ivermectin",
'20102013 STH Efficacy'!$AS:$AS,"&lt;2011",
'20102013 STH Efficacy'!$BP:$BP,""),
"")</f>
        <v/>
      </c>
      <c r="BA17" s="133">
        <f t="shared" si="18"/>
        <v>0.7176666667</v>
      </c>
      <c r="BB17" s="134" t="str">
        <f>IFERROR(AVERAGEIFS(
'20102013 STH Efficacy'!$N:$N, 
'20102013 STH Efficacy'!$B:$B, $A17, 
'20102013 STH Efficacy'!$C:$C, "Albendazole",
'20102013 STH Efficacy'!$I:$I,"&lt;2011",
'20102013 STH Efficacy'!$AH:$AH,""),
"")</f>
        <v/>
      </c>
      <c r="BC17" s="135">
        <f t="shared" si="19"/>
        <v>0.7630416667</v>
      </c>
      <c r="BD17" s="134" t="str">
        <f>IFERROR(AVERAGEIFS(
'20102013 STH Efficacy'!$N:$N, 
'20102013 STH Efficacy'!$B:$B, $A17, 
'20102013 STH Efficacy'!$C:$C, "Mebendazole",
'20102013 STH Efficacy'!$I:$I,"&lt;2011",
'20102013 STH Efficacy'!$AH:$AH,""),
"")</f>
        <v/>
      </c>
      <c r="BE17" s="135">
        <f t="shared" si="20"/>
        <v>0.4405966667</v>
      </c>
      <c r="BF17" s="128" t="str">
        <f>IFERROR(AVERAGEIFS(
'20102013 STH Efficacy'!$CD:$CD, 
'20102013 STH Efficacy'!$BS:$BS, $A17, 
'20102013 STH Efficacy'!$BT:$BT, "Albendazole",
'20102013 STH Efficacy'!$BZ:$BZ,"&lt;2011",
'20102013 STH Efficacy'!$CU:$CU,""),
"")</f>
        <v/>
      </c>
      <c r="BG17" s="136">
        <f t="shared" si="21"/>
        <v>0.9403222222</v>
      </c>
      <c r="BH17" s="128" t="str">
        <f>IFERROR(AVERAGEIFS(
'20102013 STH Efficacy'!$CD:$CD, 
'20102013 STH Efficacy'!$BS:$BS, $A17, 
'20102013 STH Efficacy'!$BT:$BT, "Mebendazole",
'20102013 STH Efficacy'!$BZ:$BZ,"&lt;2011",
'20102013 STH Efficacy'!$CU:$CU,""),
"")</f>
        <v/>
      </c>
      <c r="BI17" s="136">
        <f t="shared" si="22"/>
        <v>0.9229285714</v>
      </c>
      <c r="BJ17" s="128" t="str">
        <f>IFERROR(AVERAGEIFS(
'20102013 STH Efficacy'!$CD:$CD, 
'20102013 STH Efficacy'!$BS:$BS, $A17, 
'20102013 STH Efficacy'!$BT:$BT, "Albendazole &amp; Ivermectin",
'20102013 STH Efficacy'!$BZ:$BZ,"&lt;2011",
'20102013 STH Efficacy'!$CU:$CU,""),
"")</f>
        <v/>
      </c>
      <c r="BK17" s="136">
        <f t="shared" si="23"/>
        <v>1</v>
      </c>
      <c r="BL17" s="137"/>
      <c r="BM17" s="137"/>
      <c r="BN17" s="138">
        <v>0.0</v>
      </c>
      <c r="BO17" s="139">
        <v>0.0</v>
      </c>
      <c r="BP17" s="140">
        <v>0.0</v>
      </c>
      <c r="BQ17" s="141">
        <f t="shared" si="24"/>
        <v>0</v>
      </c>
      <c r="BR17" s="104" t="str">
        <f t="shared" si="25"/>
        <v>0000</v>
      </c>
      <c r="BS17" s="104" t="str">
        <f t="shared" si="26"/>
        <v>no action required</v>
      </c>
      <c r="BT17" s="142" t="str">
        <f t="shared" si="27"/>
        <v/>
      </c>
      <c r="BU17" s="104" t="str">
        <f t="shared" si="28"/>
        <v/>
      </c>
      <c r="BV17" s="104" t="str">
        <f t="shared" si="29"/>
        <v>none</v>
      </c>
      <c r="BW17" s="150" t="str">
        <f t="shared" si="30"/>
        <v/>
      </c>
      <c r="BX17" s="150" t="str">
        <f t="shared" si="31"/>
        <v/>
      </c>
      <c r="BY17" s="151" t="str">
        <f t="shared" si="32"/>
        <v/>
      </c>
      <c r="BZ17" s="152" t="str">
        <f t="shared" si="33"/>
        <v/>
      </c>
      <c r="CA17" s="152" t="str">
        <f t="shared" si="34"/>
        <v/>
      </c>
      <c r="CB17" s="152" t="str">
        <f t="shared" si="35"/>
        <v/>
      </c>
      <c r="CC17" s="153" t="str">
        <f t="shared" si="36"/>
        <v/>
      </c>
      <c r="CD17" s="153" t="str">
        <f t="shared" si="37"/>
        <v/>
      </c>
      <c r="CE17" s="154" t="str">
        <f t="shared" si="38"/>
        <v/>
      </c>
      <c r="CF17" s="154" t="str">
        <f t="shared" si="39"/>
        <v/>
      </c>
      <c r="CG17" s="154" t="str">
        <f t="shared" si="40"/>
        <v/>
      </c>
    </row>
    <row r="18">
      <c r="A18" s="103" t="s">
        <v>106</v>
      </c>
      <c r="B18" s="104" t="s">
        <v>98</v>
      </c>
      <c r="C18" s="105">
        <v>360832.0</v>
      </c>
      <c r="D18" s="106">
        <v>0.0</v>
      </c>
      <c r="E18" s="107">
        <v>0.0</v>
      </c>
      <c r="F18" s="108">
        <v>0.0</v>
      </c>
      <c r="G18" s="108">
        <v>0.0</v>
      </c>
      <c r="H18" s="108">
        <v>0.0</v>
      </c>
      <c r="I18" s="109">
        <v>0.0</v>
      </c>
      <c r="J18" s="109">
        <v>0.0</v>
      </c>
      <c r="K18" s="109">
        <v>0.003708103</v>
      </c>
      <c r="L18" s="112">
        <v>0.117240544</v>
      </c>
      <c r="M18" s="112">
        <v>0.03235235</v>
      </c>
      <c r="N18" s="112">
        <v>0.149592894</v>
      </c>
      <c r="O18" s="113"/>
      <c r="P18" s="114"/>
      <c r="Q18" s="114"/>
      <c r="R18" s="115" t="str">
        <f t="shared" si="8"/>
        <v/>
      </c>
      <c r="S18" s="116">
        <f t="shared" si="9"/>
        <v>0.14553293</v>
      </c>
      <c r="T18" s="117"/>
      <c r="U18" s="118">
        <f t="shared" si="41"/>
        <v>0.39435</v>
      </c>
      <c r="V18" s="148"/>
      <c r="W18" s="120">
        <f t="shared" si="10"/>
        <v>0.3616</v>
      </c>
      <c r="X18" s="148"/>
      <c r="Y18" s="120">
        <f t="shared" si="11"/>
        <v>0.5015615385</v>
      </c>
      <c r="Z18" s="121"/>
      <c r="AA18" s="121"/>
      <c r="AB18" s="121"/>
      <c r="AC18" s="121"/>
      <c r="AD18" s="122">
        <v>0.0</v>
      </c>
      <c r="AE18" s="123">
        <v>0.0</v>
      </c>
      <c r="AF18" s="123">
        <v>0.0</v>
      </c>
      <c r="AG18" s="167">
        <v>0.0</v>
      </c>
      <c r="AH18" s="124">
        <v>1.1352E-5</v>
      </c>
      <c r="AI18" s="168">
        <v>0.0</v>
      </c>
      <c r="AJ18" s="125">
        <v>1.12E-5</v>
      </c>
      <c r="AK18" s="127">
        <v>0.0</v>
      </c>
      <c r="AL18" s="169">
        <v>1.1396E-5</v>
      </c>
      <c r="AM18" s="128"/>
      <c r="AN18" s="149" t="str">
        <f>IFERROR(
  AVERAGEIFS(
    'New 20102013 LF Efficacy'!$J:$J,
    'New 20102013 LF Efficacy'!$D:$D, $A18,
    'New 20102013 LF Efficacy'!$F:$F,"DEC", 
    'New 20102013 LF Efficacy'!$W:$W,"&lt;2011",
    'New 20102013 LF Efficacy'!$AA:$AA,""),
  ""
)</f>
        <v/>
      </c>
      <c r="AO18" s="115">
        <f t="shared" si="12"/>
        <v>0.2589833333</v>
      </c>
      <c r="AP18" s="121" t="str">
        <f>IFERROR(
AVERAGEIFS(
'New 20102013 LF Efficacy'!$J:$J,
'New 20102013 LF Efficacy'!$D:$D,$A18,
'New 20102013 LF Efficacy'!$F:$F,"Albendazole &amp; DEC",
'New 20102013 LF Efficacy'!$W:$W,"&lt;2011",
'New 20102013 LF Efficacy'!$AA:$AA,""),
"")
</f>
        <v/>
      </c>
      <c r="AQ18" s="115">
        <f t="shared" si="13"/>
        <v>0.3465</v>
      </c>
      <c r="AR18" s="121" t="str">
        <f>IFERROR(
AVERAGEIFS(
'New 20102013 LF Efficacy'!$J:$J,
'New 20102013 LF Efficacy'!$D:$D,$A18,
'New 20102013 LF Efficacy'!$F:$F,"Albendazole &amp; Ivermectin", 
'New 20102013 LF Efficacy'!$W:$W,"&lt;2011",
'New 20102013 LF Efficacy'!$AA:$AA,""),"")</f>
        <v/>
      </c>
      <c r="AS18" s="115">
        <f t="shared" si="14"/>
        <v>0.7575</v>
      </c>
      <c r="AT18" s="130" t="str">
        <f>IFERROR(AVERAGEIFS(
'20102013 Schist Efficacy'!$O:$O, 
'20102013 Schist Efficacy'!$C:$C,$A18, 
'20102013 Schist Efficacy'!$D:$D, "Praziquantel",
'20102013 Schist Efficacy'!$J:$J,"&lt;2011",
'20102013 Schist Efficacy'!$U:$U,""),
"")</f>
        <v/>
      </c>
      <c r="AU18" s="118">
        <f t="shared" si="15"/>
        <v>0.7732631579</v>
      </c>
      <c r="AV18" s="131" t="str">
        <f>IFERROR(AVERAGEIFS(
'20102013 STH Efficacy'!$AX:$AX, 
'20102013 STH Efficacy'!$AL:$AL, $A18, 
'20102013 STH Efficacy'!$AM:$AM, "Albendazole",
'20102013 STH Efficacy'!$AS:$AS,"&lt;2011",
'20102013 STH Efficacy'!$BP:$BP,""),
"")</f>
        <v/>
      </c>
      <c r="AW18" s="132">
        <f t="shared" si="16"/>
        <v>0.3945</v>
      </c>
      <c r="AX18" s="131" t="str">
        <f>IFERROR(AVERAGEIFS(
'20102013 STH Efficacy'!$AX:$AX, 
'20102013 STH Efficacy'!$AL:$AL, $A18, 
'20102013 STH Efficacy'!$AM:$AM, "Mebendazole",
'20102013 STH Efficacy'!$AS:$AS,"&lt;2011",
'20102013 STH Efficacy'!$BP:$BP,""),
"")</f>
        <v/>
      </c>
      <c r="AY18" s="132">
        <f t="shared" si="17"/>
        <v>0.6</v>
      </c>
      <c r="AZ18" s="131" t="str">
        <f>IFERROR(AVERAGEIFS(
'20102013 STH Efficacy'!$AX:$AX, 
'20102013 STH Efficacy'!$AL:$AL, $A18, 
'20102013 STH Efficacy'!$AM:$AM, "Albendazole &amp; Ivermectin",
'20102013 STH Efficacy'!$AS:$AS,"&lt;2011",
'20102013 STH Efficacy'!$BP:$BP,""),
"")</f>
        <v/>
      </c>
      <c r="BA18" s="133">
        <f t="shared" si="18"/>
        <v>0.796</v>
      </c>
      <c r="BB18" s="134" t="str">
        <f>IFERROR(AVERAGEIFS(
'20102013 STH Efficacy'!$N:$N, 
'20102013 STH Efficacy'!$B:$B, $A18, 
'20102013 STH Efficacy'!$C:$C, "Albendazole",
'20102013 STH Efficacy'!$I:$I,"&lt;2011",
'20102013 STH Efficacy'!$AH:$AH,""),
"")</f>
        <v/>
      </c>
      <c r="BC18" s="135">
        <f t="shared" si="19"/>
        <v>0.869</v>
      </c>
      <c r="BD18" s="134" t="str">
        <f>IFERROR(AVERAGEIFS(
'20102013 STH Efficacy'!$N:$N, 
'20102013 STH Efficacy'!$B:$B, $A18, 
'20102013 STH Efficacy'!$C:$C, "Mebendazole",
'20102013 STH Efficacy'!$I:$I,"&lt;2011",
'20102013 STH Efficacy'!$AH:$AH,""),
"")</f>
        <v/>
      </c>
      <c r="BE18" s="135">
        <f t="shared" si="20"/>
        <v>0.172</v>
      </c>
      <c r="BF18" s="128" t="str">
        <f>IFERROR(AVERAGEIFS(
'20102013 STH Efficacy'!$CD:$CD, 
'20102013 STH Efficacy'!$BS:$BS, $A18, 
'20102013 STH Efficacy'!$BT:$BT, "Albendazole",
'20102013 STH Efficacy'!$BZ:$BZ,"&lt;2011",
'20102013 STH Efficacy'!$CU:$CU,""),
"")</f>
        <v/>
      </c>
      <c r="BG18" s="136">
        <f t="shared" si="21"/>
        <v>0.9862</v>
      </c>
      <c r="BH18" s="128" t="str">
        <f>IFERROR(AVERAGEIFS(
'20102013 STH Efficacy'!$CD:$CD, 
'20102013 STH Efficacy'!$BS:$BS, $A18, 
'20102013 STH Efficacy'!$BT:$BT, "Mebendazole",
'20102013 STH Efficacy'!$BZ:$BZ,"&lt;2011",
'20102013 STH Efficacy'!$CU:$CU,""),
"")</f>
        <v/>
      </c>
      <c r="BI18" s="136">
        <f t="shared" si="22"/>
        <v>0.769</v>
      </c>
      <c r="BJ18" s="128" t="str">
        <f>IFERROR(AVERAGEIFS(
'20102013 STH Efficacy'!$CD:$CD, 
'20102013 STH Efficacy'!$BS:$BS, $A18, 
'20102013 STH Efficacy'!$BT:$BT, "Albendazole &amp; Ivermectin",
'20102013 STH Efficacy'!$BZ:$BZ,"&lt;2011",
'20102013 STH Efficacy'!$CU:$CU,""),
"")</f>
        <v/>
      </c>
      <c r="BK18" s="136">
        <f t="shared" si="23"/>
        <v>1</v>
      </c>
      <c r="BL18" s="137"/>
      <c r="BM18" s="137"/>
      <c r="BN18" s="138">
        <v>0.0</v>
      </c>
      <c r="BO18" s="139">
        <v>0.0</v>
      </c>
      <c r="BP18" s="140">
        <v>0.0</v>
      </c>
      <c r="BQ18" s="141">
        <f t="shared" si="24"/>
        <v>0</v>
      </c>
      <c r="BR18" s="104" t="str">
        <f t="shared" si="25"/>
        <v>0000</v>
      </c>
      <c r="BS18" s="104" t="str">
        <f t="shared" si="26"/>
        <v>no action required</v>
      </c>
      <c r="BT18" s="142" t="str">
        <f t="shared" si="27"/>
        <v/>
      </c>
      <c r="BU18" s="104" t="str">
        <f t="shared" si="28"/>
        <v/>
      </c>
      <c r="BV18" s="104" t="str">
        <f t="shared" si="29"/>
        <v>none</v>
      </c>
      <c r="BW18" s="150" t="str">
        <f t="shared" si="30"/>
        <v/>
      </c>
      <c r="BX18" s="150" t="str">
        <f t="shared" si="31"/>
        <v/>
      </c>
      <c r="BY18" s="151" t="str">
        <f t="shared" si="32"/>
        <v/>
      </c>
      <c r="BZ18" s="152" t="str">
        <f t="shared" si="33"/>
        <v/>
      </c>
      <c r="CA18" s="152" t="str">
        <f t="shared" si="34"/>
        <v/>
      </c>
      <c r="CB18" s="152" t="str">
        <f t="shared" si="35"/>
        <v/>
      </c>
      <c r="CC18" s="153" t="str">
        <f t="shared" si="36"/>
        <v/>
      </c>
      <c r="CD18" s="153" t="str">
        <f t="shared" si="37"/>
        <v/>
      </c>
      <c r="CE18" s="154" t="str">
        <f t="shared" si="38"/>
        <v/>
      </c>
      <c r="CF18" s="154" t="str">
        <f t="shared" si="39"/>
        <v/>
      </c>
      <c r="CG18" s="154" t="str">
        <f t="shared" si="40"/>
        <v/>
      </c>
    </row>
    <row r="19">
      <c r="A19" s="103" t="s">
        <v>107</v>
      </c>
      <c r="B19" s="104" t="s">
        <v>88</v>
      </c>
      <c r="C19" s="105">
        <v>1240862.0</v>
      </c>
      <c r="D19" s="106">
        <v>0.0</v>
      </c>
      <c r="E19" s="107">
        <v>0.0</v>
      </c>
      <c r="F19" s="108">
        <v>0.0</v>
      </c>
      <c r="G19" s="108">
        <v>0.0</v>
      </c>
      <c r="H19" s="108">
        <v>0.0</v>
      </c>
      <c r="I19" s="109">
        <v>0.00397753</v>
      </c>
      <c r="J19" s="109">
        <v>0.00478228</v>
      </c>
      <c r="K19" s="109">
        <v>0.008759802</v>
      </c>
      <c r="L19" s="112">
        <v>0.0</v>
      </c>
      <c r="M19" s="112">
        <v>0.0</v>
      </c>
      <c r="N19" s="112">
        <v>0.0</v>
      </c>
      <c r="O19" s="113"/>
      <c r="P19" s="114"/>
      <c r="Q19" s="114"/>
      <c r="R19" s="115" t="str">
        <f t="shared" si="8"/>
        <v/>
      </c>
      <c r="S19" s="116">
        <f t="shared" si="9"/>
        <v>0.3211323089</v>
      </c>
      <c r="T19" s="117"/>
      <c r="U19" s="118">
        <f t="shared" si="41"/>
        <v>0.5949</v>
      </c>
      <c r="V19" s="148"/>
      <c r="W19" s="120">
        <f t="shared" si="10"/>
        <v>0.9019</v>
      </c>
      <c r="X19" s="148"/>
      <c r="Y19" s="120">
        <f t="shared" si="11"/>
        <v>0.094</v>
      </c>
      <c r="Z19" s="121"/>
      <c r="AA19" s="121"/>
      <c r="AB19" s="121"/>
      <c r="AC19" s="121"/>
      <c r="AD19" s="122">
        <v>0.0</v>
      </c>
      <c r="AE19" s="123">
        <v>0.0</v>
      </c>
      <c r="AF19" s="123">
        <v>0.0</v>
      </c>
      <c r="AG19" s="124">
        <v>0.0</v>
      </c>
      <c r="AH19" s="124">
        <v>1.10962E-5</v>
      </c>
      <c r="AI19" s="125">
        <v>0.0</v>
      </c>
      <c r="AJ19" s="125">
        <v>1.08E-5</v>
      </c>
      <c r="AK19" s="127">
        <v>0.0</v>
      </c>
      <c r="AL19" s="127">
        <v>1.10161E-5</v>
      </c>
      <c r="AM19" s="128"/>
      <c r="AN19" s="149" t="str">
        <f>IFERROR(
  AVERAGEIFS(
    'New 20102013 LF Efficacy'!$J:$J,
    'New 20102013 LF Efficacy'!$D:$D, $A19,
    'New 20102013 LF Efficacy'!$F:$F,"DEC", 
    'New 20102013 LF Efficacy'!$W:$W,"&lt;2011",
    'New 20102013 LF Efficacy'!$AA:$AA,""),
  ""
)</f>
        <v/>
      </c>
      <c r="AO19" s="115">
        <f t="shared" si="12"/>
        <v>0.3573520833</v>
      </c>
      <c r="AP19" s="121" t="str">
        <f>IFERROR(
AVERAGEIFS(
'New 20102013 LF Efficacy'!$J:$J,
'New 20102013 LF Efficacy'!$D:$D,$A19,
'New 20102013 LF Efficacy'!$F:$F,"Albendazole &amp; DEC",
'New 20102013 LF Efficacy'!$W:$W,"&lt;2011",
'New 20102013 LF Efficacy'!$AA:$AA,""),
"")
</f>
        <v/>
      </c>
      <c r="AQ19" s="115">
        <f t="shared" si="13"/>
        <v>0.7935</v>
      </c>
      <c r="AR19" s="121" t="str">
        <f>IFERROR(
AVERAGEIFS(
'New 20102013 LF Efficacy'!$J:$J,
'New 20102013 LF Efficacy'!$D:$D,$A19,
'New 20102013 LF Efficacy'!$F:$F,"Albendazole &amp; Ivermectin", 
'New 20102013 LF Efficacy'!$W:$W,"&lt;2011",
'New 20102013 LF Efficacy'!$AA:$AA,""),"")</f>
        <v/>
      </c>
      <c r="AS19" s="115">
        <f t="shared" si="14"/>
        <v>0.37153125</v>
      </c>
      <c r="AT19" s="130" t="str">
        <f>IFERROR(AVERAGEIFS(
'20102013 Schist Efficacy'!$O:$O, 
'20102013 Schist Efficacy'!$C:$C,$A19, 
'20102013 Schist Efficacy'!$D:$D, "Praziquantel",
'20102013 Schist Efficacy'!$J:$J,"&lt;2011",
'20102013 Schist Efficacy'!$U:$U,""),
"")</f>
        <v/>
      </c>
      <c r="AU19" s="118">
        <f t="shared" si="15"/>
        <v>0.7763141026</v>
      </c>
      <c r="AV19" s="131" t="str">
        <f>IFERROR(AVERAGEIFS(
'20102013 STH Efficacy'!$AX:$AX, 
'20102013 STH Efficacy'!$AL:$AL, $A19, 
'20102013 STH Efficacy'!$AM:$AM, "Albendazole",
'20102013 STH Efficacy'!$AS:$AS,"&lt;2011",
'20102013 STH Efficacy'!$BP:$BP,""),
"")</f>
        <v/>
      </c>
      <c r="AW19" s="132">
        <f t="shared" si="16"/>
        <v>0.3842878788</v>
      </c>
      <c r="AX19" s="131" t="str">
        <f>IFERROR(AVERAGEIFS(
'20102013 STH Efficacy'!$AX:$AX, 
'20102013 STH Efficacy'!$AL:$AL, $A19, 
'20102013 STH Efficacy'!$AM:$AM, "Mebendazole",
'20102013 STH Efficacy'!$AS:$AS,"&lt;2011",
'20102013 STH Efficacy'!$BP:$BP,""),
"")</f>
        <v/>
      </c>
      <c r="AY19" s="132">
        <f t="shared" si="17"/>
        <v>0.5121666667</v>
      </c>
      <c r="AZ19" s="131" t="str">
        <f>IFERROR(AVERAGEIFS(
'20102013 STH Efficacy'!$AX:$AX, 
'20102013 STH Efficacy'!$AL:$AL, $A19, 
'20102013 STH Efficacy'!$AM:$AM, "Albendazole &amp; Ivermectin",
'20102013 STH Efficacy'!$AS:$AS,"&lt;2011",
'20102013 STH Efficacy'!$BP:$BP,""),
"")</f>
        <v/>
      </c>
      <c r="BA19" s="133">
        <f t="shared" si="18"/>
        <v>0.7176666667</v>
      </c>
      <c r="BB19" s="134" t="str">
        <f>IFERROR(AVERAGEIFS(
'20102013 STH Efficacy'!$N:$N, 
'20102013 STH Efficacy'!$B:$B, $A19, 
'20102013 STH Efficacy'!$C:$C, "Albendazole",
'20102013 STH Efficacy'!$I:$I,"&lt;2011",
'20102013 STH Efficacy'!$AH:$AH,""),
"")</f>
        <v/>
      </c>
      <c r="BC19" s="135">
        <f t="shared" si="19"/>
        <v>0.7630416667</v>
      </c>
      <c r="BD19" s="134" t="str">
        <f>IFERROR(AVERAGEIFS(
'20102013 STH Efficacy'!$N:$N, 
'20102013 STH Efficacy'!$B:$B, $A19, 
'20102013 STH Efficacy'!$C:$C, "Mebendazole",
'20102013 STH Efficacy'!$I:$I,"&lt;2011",
'20102013 STH Efficacy'!$AH:$AH,""),
"")</f>
        <v/>
      </c>
      <c r="BE19" s="135">
        <f t="shared" si="20"/>
        <v>0.4405966667</v>
      </c>
      <c r="BF19" s="128" t="str">
        <f>IFERROR(AVERAGEIFS(
'20102013 STH Efficacy'!$CD:$CD, 
'20102013 STH Efficacy'!$BS:$BS, $A19, 
'20102013 STH Efficacy'!$BT:$BT, "Albendazole",
'20102013 STH Efficacy'!$BZ:$BZ,"&lt;2011",
'20102013 STH Efficacy'!$CU:$CU,""),
"")</f>
        <v/>
      </c>
      <c r="BG19" s="136">
        <f t="shared" si="21"/>
        <v>0.955</v>
      </c>
      <c r="BH19" s="128" t="str">
        <f>IFERROR(AVERAGEIFS(
'20102013 STH Efficacy'!$CD:$CD, 
'20102013 STH Efficacy'!$BS:$BS, $A19, 
'20102013 STH Efficacy'!$BT:$BT, "Mebendazole",
'20102013 STH Efficacy'!$BZ:$BZ,"&lt;2011",
'20102013 STH Efficacy'!$CU:$CU,""),
"")</f>
        <v/>
      </c>
      <c r="BI19" s="136">
        <f t="shared" si="22"/>
        <v>1</v>
      </c>
      <c r="BJ19" s="128" t="str">
        <f>IFERROR(AVERAGEIFS(
'20102013 STH Efficacy'!$CD:$CD, 
'20102013 STH Efficacy'!$BS:$BS, $A19, 
'20102013 STH Efficacy'!$BT:$BT, "Albendazole &amp; Ivermectin",
'20102013 STH Efficacy'!$BZ:$BZ,"&lt;2011",
'20102013 STH Efficacy'!$CU:$CU,""),
"")</f>
        <v/>
      </c>
      <c r="BK19" s="136">
        <f t="shared" si="23"/>
        <v>1</v>
      </c>
      <c r="BL19" s="137"/>
      <c r="BM19" s="137"/>
      <c r="BN19" s="138">
        <v>0.0</v>
      </c>
      <c r="BO19" s="139">
        <v>0.0</v>
      </c>
      <c r="BP19" s="140">
        <v>0.0</v>
      </c>
      <c r="BQ19" s="141">
        <f t="shared" si="24"/>
        <v>0</v>
      </c>
      <c r="BR19" s="104" t="str">
        <f t="shared" si="25"/>
        <v>0000</v>
      </c>
      <c r="BS19" s="104" t="str">
        <f t="shared" si="26"/>
        <v>no action required</v>
      </c>
      <c r="BT19" s="142" t="str">
        <f t="shared" si="27"/>
        <v/>
      </c>
      <c r="BU19" s="104" t="str">
        <f t="shared" si="28"/>
        <v/>
      </c>
      <c r="BV19" s="104" t="str">
        <f t="shared" si="29"/>
        <v>none</v>
      </c>
      <c r="BW19" s="150" t="str">
        <f t="shared" si="30"/>
        <v/>
      </c>
      <c r="BX19" s="150" t="str">
        <f t="shared" si="31"/>
        <v/>
      </c>
      <c r="BY19" s="151" t="str">
        <f t="shared" si="32"/>
        <v/>
      </c>
      <c r="BZ19" s="152" t="str">
        <f t="shared" si="33"/>
        <v/>
      </c>
      <c r="CA19" s="152" t="str">
        <f t="shared" si="34"/>
        <v/>
      </c>
      <c r="CB19" s="152" t="str">
        <f t="shared" si="35"/>
        <v/>
      </c>
      <c r="CC19" s="153" t="str">
        <f t="shared" si="36"/>
        <v/>
      </c>
      <c r="CD19" s="153" t="str">
        <f t="shared" si="37"/>
        <v/>
      </c>
      <c r="CE19" s="154" t="str">
        <f t="shared" si="38"/>
        <v/>
      </c>
      <c r="CF19" s="154" t="str">
        <f t="shared" si="39"/>
        <v/>
      </c>
      <c r="CG19" s="154" t="str">
        <f t="shared" si="40"/>
        <v/>
      </c>
    </row>
    <row r="20">
      <c r="A20" s="103" t="s">
        <v>108</v>
      </c>
      <c r="B20" s="104" t="s">
        <v>109</v>
      </c>
      <c r="C20" s="105">
        <v>1.52149102E8</v>
      </c>
      <c r="D20" s="106">
        <v>126079.5195</v>
      </c>
      <c r="E20" s="107">
        <v>0.0</v>
      </c>
      <c r="F20" s="157">
        <v>1741.192165</v>
      </c>
      <c r="G20" s="157">
        <v>9061.958762</v>
      </c>
      <c r="H20" s="157">
        <v>10803.15093</v>
      </c>
      <c r="I20" s="110">
        <v>8368.28435</v>
      </c>
      <c r="J20" s="110">
        <v>29903.8011</v>
      </c>
      <c r="K20" s="110">
        <v>38272.08547</v>
      </c>
      <c r="L20" s="111">
        <v>18980.34183</v>
      </c>
      <c r="M20" s="111">
        <v>38571.92721</v>
      </c>
      <c r="N20" s="158">
        <v>57552.26904</v>
      </c>
      <c r="O20" s="159"/>
      <c r="P20" s="160">
        <v>7.596E7</v>
      </c>
      <c r="Q20" s="160">
        <v>3.3572654E7</v>
      </c>
      <c r="R20" s="115">
        <f t="shared" si="8"/>
        <v>0.4419780674</v>
      </c>
      <c r="S20" s="116">
        <f t="shared" si="9"/>
        <v>0.4419780674</v>
      </c>
      <c r="T20" s="117"/>
      <c r="U20" s="118">
        <f t="shared" si="41"/>
        <v>0.7367</v>
      </c>
      <c r="V20" s="119">
        <v>0.1593</v>
      </c>
      <c r="W20" s="120">
        <f t="shared" si="10"/>
        <v>0.1593</v>
      </c>
      <c r="X20" s="119">
        <v>0.2125</v>
      </c>
      <c r="Y20" s="120">
        <f t="shared" si="11"/>
        <v>0.2125</v>
      </c>
      <c r="Z20" s="121"/>
      <c r="AA20" s="121"/>
      <c r="AB20" s="121"/>
      <c r="AC20" s="121"/>
      <c r="AD20" s="122">
        <v>0.0149</v>
      </c>
      <c r="AE20" s="123">
        <v>0.0</v>
      </c>
      <c r="AF20" s="123">
        <v>0.0</v>
      </c>
      <c r="AG20" s="124">
        <v>0.1474</v>
      </c>
      <c r="AH20" s="124">
        <v>0.226952113</v>
      </c>
      <c r="AI20" s="125">
        <v>0.1338</v>
      </c>
      <c r="AJ20" s="125">
        <v>0.213801497</v>
      </c>
      <c r="AK20" s="127">
        <v>0.29</v>
      </c>
      <c r="AL20" s="127">
        <v>0.444850251</v>
      </c>
      <c r="AM20" s="128"/>
      <c r="AN20" s="149" t="str">
        <f>IFERROR(
  AVERAGEIFS(
    'New 20102013 LF Efficacy'!$J:$J,
    'New 20102013 LF Efficacy'!$D:$D, $A20,
    'New 20102013 LF Efficacy'!$F:$F,"DEC", 
    'New 20102013 LF Efficacy'!$W:$W,"&lt;2011",
    'New 20102013 LF Efficacy'!$AA:$AA,""),
  ""
)</f>
        <v/>
      </c>
      <c r="AO20" s="115">
        <f t="shared" si="12"/>
        <v>0.478175</v>
      </c>
      <c r="AP20" s="121" t="str">
        <f>IFERROR(
AVERAGEIFS(
'New 20102013 LF Efficacy'!$J:$J,
'New 20102013 LF Efficacy'!$D:$D,$A20,
'New 20102013 LF Efficacy'!$F:$F,"Albendazole &amp; DEC",
'New 20102013 LF Efficacy'!$W:$W,"&lt;2011",
'New 20102013 LF Efficacy'!$AA:$AA,""),
"")
</f>
        <v/>
      </c>
      <c r="AQ20" s="115">
        <f t="shared" si="13"/>
        <v>0.5831666667</v>
      </c>
      <c r="AR20" s="121" t="str">
        <f>IFERROR(
AVERAGEIFS(
'New 20102013 LF Efficacy'!$J:$J,
'New 20102013 LF Efficacy'!$D:$D,$A20,
'New 20102013 LF Efficacy'!$F:$F,"Albendazole &amp; Ivermectin", 
'New 20102013 LF Efficacy'!$W:$W,"&lt;2011",
'New 20102013 LF Efficacy'!$AA:$AA,""),"")</f>
        <v/>
      </c>
      <c r="AS20" s="115">
        <f t="shared" si="14"/>
        <v>0.14</v>
      </c>
      <c r="AT20" s="130" t="str">
        <f>IFERROR(AVERAGEIFS(
'20102013 Schist Efficacy'!$O:$O, 
'20102013 Schist Efficacy'!$C:$C,$A20, 
'20102013 Schist Efficacy'!$D:$D, "Praziquantel",
'20102013 Schist Efficacy'!$J:$J,"&lt;2011",
'20102013 Schist Efficacy'!$U:$U,""),
"")</f>
        <v/>
      </c>
      <c r="AU20" s="118">
        <f t="shared" si="15"/>
        <v>0.6869715828</v>
      </c>
      <c r="AV20" s="131" t="str">
        <f>IFERROR(AVERAGEIFS(
'20102013 STH Efficacy'!$AX:$AX, 
'20102013 STH Efficacy'!$AL:$AL, $A20, 
'20102013 STH Efficacy'!$AM:$AM, "Albendazole",
'20102013 STH Efficacy'!$AS:$AS,"&lt;2011",
'20102013 STH Efficacy'!$BP:$BP,""),
"")</f>
        <v/>
      </c>
      <c r="AW20" s="132">
        <f t="shared" si="16"/>
        <v>0.4756666667</v>
      </c>
      <c r="AX20" s="131" t="str">
        <f>IFERROR(AVERAGEIFS(
'20102013 STH Efficacy'!$AX:$AX, 
'20102013 STH Efficacy'!$AL:$AL, $A20, 
'20102013 STH Efficacy'!$AM:$AM, "Mebendazole",
'20102013 STH Efficacy'!$AS:$AS,"&lt;2011",
'20102013 STH Efficacy'!$BP:$BP,""),
"")</f>
        <v/>
      </c>
      <c r="AY20" s="132">
        <f t="shared" si="17"/>
        <v>0.3786666667</v>
      </c>
      <c r="AZ20" s="131" t="str">
        <f>IFERROR(AVERAGEIFS(
'20102013 STH Efficacy'!$AX:$AX, 
'20102013 STH Efficacy'!$AL:$AL, $A20, 
'20102013 STH Efficacy'!$AM:$AM, "Albendazole &amp; Ivermectin",
'20102013 STH Efficacy'!$AS:$AS,"&lt;2011",
'20102013 STH Efficacy'!$BP:$BP,""),
"")</f>
        <v/>
      </c>
      <c r="BA20" s="133">
        <f t="shared" si="18"/>
        <v>0.7176666667</v>
      </c>
      <c r="BB20" s="134" t="str">
        <f>IFERROR(AVERAGEIFS(
'20102013 STH Efficacy'!$N:$N, 
'20102013 STH Efficacy'!$B:$B, $A20, 
'20102013 STH Efficacy'!$C:$C, "Albendazole",
'20102013 STH Efficacy'!$I:$I,"&lt;2011",
'20102013 STH Efficacy'!$AH:$AH,""),
"")</f>
        <v/>
      </c>
      <c r="BC20" s="135">
        <f t="shared" si="19"/>
        <v>0.7133333333</v>
      </c>
      <c r="BD20" s="134" t="str">
        <f>IFERROR(AVERAGEIFS(
'20102013 STH Efficacy'!$N:$N, 
'20102013 STH Efficacy'!$B:$B, $A20, 
'20102013 STH Efficacy'!$C:$C, "Mebendazole",
'20102013 STH Efficacy'!$I:$I,"&lt;2011",
'20102013 STH Efficacy'!$AH:$AH,""),
"")</f>
        <v/>
      </c>
      <c r="BE20" s="135">
        <f t="shared" si="20"/>
        <v>0.22675</v>
      </c>
      <c r="BF20" s="128" t="str">
        <f>IFERROR(AVERAGEIFS(
'20102013 STH Efficacy'!$CD:$CD, 
'20102013 STH Efficacy'!$BS:$BS, $A20, 
'20102013 STH Efficacy'!$BT:$BT, "Albendazole",
'20102013 STH Efficacy'!$BZ:$BZ,"&lt;2011",
'20102013 STH Efficacy'!$CU:$CU,""),
"")</f>
        <v/>
      </c>
      <c r="BG20" s="136">
        <f t="shared" si="21"/>
        <v>1</v>
      </c>
      <c r="BH20" s="128" t="str">
        <f>IFERROR(AVERAGEIFS(
'20102013 STH Efficacy'!$CD:$CD, 
'20102013 STH Efficacy'!$BS:$BS, $A20, 
'20102013 STH Efficacy'!$BT:$BT, "Mebendazole",
'20102013 STH Efficacy'!$BZ:$BZ,"&lt;2011",
'20102013 STH Efficacy'!$CU:$CU,""),
"")</f>
        <v/>
      </c>
      <c r="BI20" s="136">
        <f t="shared" si="22"/>
        <v>1</v>
      </c>
      <c r="BJ20" s="128" t="str">
        <f>IFERROR(AVERAGEIFS(
'20102013 STH Efficacy'!$CD:$CD, 
'20102013 STH Efficacy'!$BS:$BS, $A20, 
'20102013 STH Efficacy'!$BT:$BT, "Albendazole &amp; Ivermectin",
'20102013 STH Efficacy'!$BZ:$BZ,"&lt;2011",
'20102013 STH Efficacy'!$CU:$CU,""),
"")</f>
        <v/>
      </c>
      <c r="BK20" s="136">
        <f t="shared" si="23"/>
        <v>1</v>
      </c>
      <c r="BL20" s="137"/>
      <c r="BM20" s="137"/>
      <c r="BN20" s="138">
        <v>1.0</v>
      </c>
      <c r="BO20" s="139">
        <v>0.0</v>
      </c>
      <c r="BP20" s="140">
        <v>0.0</v>
      </c>
      <c r="BQ20" s="141">
        <f t="shared" si="24"/>
        <v>1</v>
      </c>
      <c r="BR20" s="104" t="str">
        <f t="shared" si="25"/>
        <v>1001</v>
      </c>
      <c r="BS20" s="104" t="str">
        <f t="shared" si="26"/>
        <v>MDA1/2</v>
      </c>
      <c r="BT20" s="142" t="str">
        <f t="shared" si="27"/>
        <v>DEC+ALB</v>
      </c>
      <c r="BU20" s="104" t="str">
        <f t="shared" si="28"/>
        <v/>
      </c>
      <c r="BV20" s="104" t="str">
        <f t="shared" si="29"/>
        <v>lf+sth</v>
      </c>
      <c r="BW20" s="150">
        <f t="shared" si="30"/>
        <v>43781.02467</v>
      </c>
      <c r="BX20" s="150" t="str">
        <f t="shared" si="31"/>
        <v/>
      </c>
      <c r="BY20" s="151" t="str">
        <f t="shared" si="32"/>
        <v/>
      </c>
      <c r="BZ20" s="152">
        <f t="shared" si="33"/>
        <v>1161.725626</v>
      </c>
      <c r="CA20" s="152" t="str">
        <f t="shared" si="34"/>
        <v/>
      </c>
      <c r="CB20" s="152" t="str">
        <f t="shared" si="35"/>
        <v/>
      </c>
      <c r="CC20" s="170">
        <f t="shared" si="36"/>
        <v>6415.62859</v>
      </c>
      <c r="CD20" s="153" t="str">
        <f t="shared" si="37"/>
        <v/>
      </c>
      <c r="CE20" s="154">
        <f t="shared" si="38"/>
        <v>14004.787</v>
      </c>
      <c r="CF20" s="154" t="str">
        <f t="shared" si="39"/>
        <v/>
      </c>
      <c r="CG20" s="154" t="str">
        <f t="shared" si="40"/>
        <v/>
      </c>
    </row>
    <row r="21">
      <c r="A21" s="103" t="s">
        <v>110</v>
      </c>
      <c r="B21" s="104" t="s">
        <v>98</v>
      </c>
      <c r="C21" s="105">
        <v>279569.0</v>
      </c>
      <c r="D21" s="106">
        <v>0.0</v>
      </c>
      <c r="E21" s="107">
        <v>0.0</v>
      </c>
      <c r="F21" s="108">
        <v>0.0</v>
      </c>
      <c r="G21" s="108">
        <v>0.0</v>
      </c>
      <c r="H21" s="108">
        <v>0.0</v>
      </c>
      <c r="I21" s="109">
        <v>7.0026E-4</v>
      </c>
      <c r="J21" s="109">
        <v>0.0012519</v>
      </c>
      <c r="K21" s="109">
        <v>0.001952164</v>
      </c>
      <c r="L21" s="112">
        <v>0.0</v>
      </c>
      <c r="M21" s="112">
        <v>0.0</v>
      </c>
      <c r="N21" s="112">
        <v>0.0</v>
      </c>
      <c r="O21" s="113"/>
      <c r="P21" s="114"/>
      <c r="Q21" s="114"/>
      <c r="R21" s="115" t="str">
        <f t="shared" si="8"/>
        <v/>
      </c>
      <c r="S21" s="116">
        <f t="shared" si="9"/>
        <v>0.14553293</v>
      </c>
      <c r="T21" s="117"/>
      <c r="U21" s="118">
        <f t="shared" si="41"/>
        <v>0.39435</v>
      </c>
      <c r="V21" s="148"/>
      <c r="W21" s="120">
        <f t="shared" si="10"/>
        <v>0.3616</v>
      </c>
      <c r="X21" s="148"/>
      <c r="Y21" s="120">
        <f t="shared" si="11"/>
        <v>0.5015615385</v>
      </c>
      <c r="Z21" s="121"/>
      <c r="AA21" s="121"/>
      <c r="AB21" s="121"/>
      <c r="AC21" s="121"/>
      <c r="AD21" s="122">
        <v>0.0</v>
      </c>
      <c r="AE21" s="123">
        <v>0.0</v>
      </c>
      <c r="AF21" s="123">
        <v>0.0</v>
      </c>
      <c r="AG21" s="124">
        <v>0.0</v>
      </c>
      <c r="AH21" s="124">
        <v>1.12333E-5</v>
      </c>
      <c r="AI21" s="125">
        <v>0.0</v>
      </c>
      <c r="AJ21" s="125">
        <v>1.12E-5</v>
      </c>
      <c r="AK21" s="127">
        <v>0.0</v>
      </c>
      <c r="AL21" s="127">
        <v>1.1385E-5</v>
      </c>
      <c r="AM21" s="128"/>
      <c r="AN21" s="149" t="str">
        <f>IFERROR(
  AVERAGEIFS(
    'New 20102013 LF Efficacy'!$J:$J,
    'New 20102013 LF Efficacy'!$D:$D, $A21,
    'New 20102013 LF Efficacy'!$F:$F,"DEC", 
    'New 20102013 LF Efficacy'!$W:$W,"&lt;2011",
    'New 20102013 LF Efficacy'!$AA:$AA,""),
  ""
)</f>
        <v/>
      </c>
      <c r="AO21" s="115">
        <f t="shared" si="12"/>
        <v>0.2589833333</v>
      </c>
      <c r="AP21" s="121" t="str">
        <f>IFERROR(
AVERAGEIFS(
'New 20102013 LF Efficacy'!$J:$J,
'New 20102013 LF Efficacy'!$D:$D,$A21,
'New 20102013 LF Efficacy'!$F:$F,"Albendazole &amp; DEC",
'New 20102013 LF Efficacy'!$W:$W,"&lt;2011",
'New 20102013 LF Efficacy'!$AA:$AA,""),
"")
</f>
        <v/>
      </c>
      <c r="AQ21" s="115">
        <f t="shared" si="13"/>
        <v>0.3465</v>
      </c>
      <c r="AR21" s="121" t="str">
        <f>IFERROR(
AVERAGEIFS(
'New 20102013 LF Efficacy'!$J:$J,
'New 20102013 LF Efficacy'!$D:$D,$A21,
'New 20102013 LF Efficacy'!$F:$F,"Albendazole &amp; Ivermectin", 
'New 20102013 LF Efficacy'!$W:$W,"&lt;2011",
'New 20102013 LF Efficacy'!$AA:$AA,""),"")</f>
        <v/>
      </c>
      <c r="AS21" s="115">
        <f t="shared" si="14"/>
        <v>0.7575</v>
      </c>
      <c r="AT21" s="130" t="str">
        <f>IFERROR(AVERAGEIFS(
'20102013 Schist Efficacy'!$O:$O, 
'20102013 Schist Efficacy'!$C:$C,$A21, 
'20102013 Schist Efficacy'!$D:$D, "Praziquantel",
'20102013 Schist Efficacy'!$J:$J,"&lt;2011",
'20102013 Schist Efficacy'!$U:$U,""),
"")</f>
        <v/>
      </c>
      <c r="AU21" s="118">
        <f t="shared" si="15"/>
        <v>0.7732631579</v>
      </c>
      <c r="AV21" s="131" t="str">
        <f>IFERROR(AVERAGEIFS(
'20102013 STH Efficacy'!$AX:$AX, 
'20102013 STH Efficacy'!$AL:$AL, $A21, 
'20102013 STH Efficacy'!$AM:$AM, "Albendazole",
'20102013 STH Efficacy'!$AS:$AS,"&lt;2011",
'20102013 STH Efficacy'!$BP:$BP,""),
"")</f>
        <v/>
      </c>
      <c r="AW21" s="132">
        <f t="shared" si="16"/>
        <v>0.3945</v>
      </c>
      <c r="AX21" s="131" t="str">
        <f>IFERROR(AVERAGEIFS(
'20102013 STH Efficacy'!$AX:$AX, 
'20102013 STH Efficacy'!$AL:$AL, $A21, 
'20102013 STH Efficacy'!$AM:$AM, "Mebendazole",
'20102013 STH Efficacy'!$AS:$AS,"&lt;2011",
'20102013 STH Efficacy'!$BP:$BP,""),
"")</f>
        <v/>
      </c>
      <c r="AY21" s="132">
        <f t="shared" si="17"/>
        <v>0.6</v>
      </c>
      <c r="AZ21" s="131" t="str">
        <f>IFERROR(AVERAGEIFS(
'20102013 STH Efficacy'!$AX:$AX, 
'20102013 STH Efficacy'!$AL:$AL, $A21, 
'20102013 STH Efficacy'!$AM:$AM, "Albendazole &amp; Ivermectin",
'20102013 STH Efficacy'!$AS:$AS,"&lt;2011",
'20102013 STH Efficacy'!$BP:$BP,""),
"")</f>
        <v/>
      </c>
      <c r="BA21" s="133">
        <f t="shared" si="18"/>
        <v>0.796</v>
      </c>
      <c r="BB21" s="134" t="str">
        <f>IFERROR(AVERAGEIFS(
'20102013 STH Efficacy'!$N:$N, 
'20102013 STH Efficacy'!$B:$B, $A21, 
'20102013 STH Efficacy'!$C:$C, "Albendazole",
'20102013 STH Efficacy'!$I:$I,"&lt;2011",
'20102013 STH Efficacy'!$AH:$AH,""),
"")</f>
        <v/>
      </c>
      <c r="BC21" s="135">
        <f t="shared" si="19"/>
        <v>0.869</v>
      </c>
      <c r="BD21" s="134" t="str">
        <f>IFERROR(AVERAGEIFS(
'20102013 STH Efficacy'!$N:$N, 
'20102013 STH Efficacy'!$B:$B, $A21, 
'20102013 STH Efficacy'!$C:$C, "Mebendazole",
'20102013 STH Efficacy'!$I:$I,"&lt;2011",
'20102013 STH Efficacy'!$AH:$AH,""),
"")</f>
        <v/>
      </c>
      <c r="BE21" s="135">
        <f t="shared" si="20"/>
        <v>0.172</v>
      </c>
      <c r="BF21" s="128" t="str">
        <f>IFERROR(AVERAGEIFS(
'20102013 STH Efficacy'!$CD:$CD, 
'20102013 STH Efficacy'!$BS:$BS, $A21, 
'20102013 STH Efficacy'!$BT:$BT, "Albendazole",
'20102013 STH Efficacy'!$BZ:$BZ,"&lt;2011",
'20102013 STH Efficacy'!$CU:$CU,""),
"")</f>
        <v/>
      </c>
      <c r="BG21" s="136">
        <f t="shared" si="21"/>
        <v>0.9862</v>
      </c>
      <c r="BH21" s="128" t="str">
        <f>IFERROR(AVERAGEIFS(
'20102013 STH Efficacy'!$CD:$CD, 
'20102013 STH Efficacy'!$BS:$BS, $A21, 
'20102013 STH Efficacy'!$BT:$BT, "Mebendazole",
'20102013 STH Efficacy'!$BZ:$BZ,"&lt;2011",
'20102013 STH Efficacy'!$CU:$CU,""),
"")</f>
        <v/>
      </c>
      <c r="BI21" s="136">
        <f t="shared" si="22"/>
        <v>0.769</v>
      </c>
      <c r="BJ21" s="128" t="str">
        <f>IFERROR(AVERAGEIFS(
'20102013 STH Efficacy'!$CD:$CD, 
'20102013 STH Efficacy'!$BS:$BS, $A21, 
'20102013 STH Efficacy'!$BT:$BT, "Albendazole &amp; Ivermectin",
'20102013 STH Efficacy'!$BZ:$BZ,"&lt;2011",
'20102013 STH Efficacy'!$CU:$CU,""),
"")</f>
        <v/>
      </c>
      <c r="BK21" s="136">
        <f t="shared" si="23"/>
        <v>1</v>
      </c>
      <c r="BL21" s="137"/>
      <c r="BM21" s="137"/>
      <c r="BN21" s="138">
        <v>0.0</v>
      </c>
      <c r="BO21" s="139">
        <v>0.0</v>
      </c>
      <c r="BP21" s="140">
        <v>0.0</v>
      </c>
      <c r="BQ21" s="141">
        <f t="shared" si="24"/>
        <v>0</v>
      </c>
      <c r="BR21" s="104" t="str">
        <f t="shared" si="25"/>
        <v>0000</v>
      </c>
      <c r="BS21" s="104" t="str">
        <f t="shared" si="26"/>
        <v>no action required</v>
      </c>
      <c r="BT21" s="142" t="str">
        <f t="shared" si="27"/>
        <v/>
      </c>
      <c r="BU21" s="104" t="str">
        <f t="shared" si="28"/>
        <v/>
      </c>
      <c r="BV21" s="104" t="str">
        <f t="shared" si="29"/>
        <v>none</v>
      </c>
      <c r="BW21" s="150" t="str">
        <f t="shared" si="30"/>
        <v/>
      </c>
      <c r="BX21" s="150" t="str">
        <f t="shared" si="31"/>
        <v/>
      </c>
      <c r="BY21" s="151" t="str">
        <f t="shared" si="32"/>
        <v/>
      </c>
      <c r="BZ21" s="152" t="str">
        <f t="shared" si="33"/>
        <v/>
      </c>
      <c r="CA21" s="152" t="str">
        <f t="shared" si="34"/>
        <v/>
      </c>
      <c r="CB21" s="152" t="str">
        <f t="shared" si="35"/>
        <v/>
      </c>
      <c r="CC21" s="153" t="str">
        <f t="shared" si="36"/>
        <v/>
      </c>
      <c r="CD21" s="153" t="str">
        <f t="shared" si="37"/>
        <v/>
      </c>
      <c r="CE21" s="154" t="str">
        <f t="shared" si="38"/>
        <v/>
      </c>
      <c r="CF21" s="154" t="str">
        <f t="shared" si="39"/>
        <v/>
      </c>
      <c r="CG21" s="154" t="str">
        <f t="shared" si="40"/>
        <v/>
      </c>
    </row>
    <row r="22">
      <c r="A22" s="103" t="s">
        <v>111</v>
      </c>
      <c r="B22" s="104" t="s">
        <v>90</v>
      </c>
      <c r="C22" s="105">
        <v>9490583.0</v>
      </c>
      <c r="D22" s="106">
        <v>0.0</v>
      </c>
      <c r="E22" s="107">
        <v>0.0</v>
      </c>
      <c r="F22" s="108">
        <v>0.0</v>
      </c>
      <c r="G22" s="108">
        <v>0.0</v>
      </c>
      <c r="H22" s="108">
        <v>0.0</v>
      </c>
      <c r="I22" s="109">
        <v>0.0</v>
      </c>
      <c r="J22" s="109">
        <v>0.0</v>
      </c>
      <c r="K22" s="109">
        <v>0.0</v>
      </c>
      <c r="L22" s="112">
        <v>0.0</v>
      </c>
      <c r="M22" s="112">
        <v>0.0</v>
      </c>
      <c r="N22" s="112">
        <v>0.0</v>
      </c>
      <c r="O22" s="113"/>
      <c r="P22" s="114"/>
      <c r="Q22" s="114"/>
      <c r="R22" s="115" t="str">
        <f t="shared" si="8"/>
        <v/>
      </c>
      <c r="S22" s="116">
        <f t="shared" si="9"/>
        <v>0.4013436246</v>
      </c>
      <c r="T22" s="117"/>
      <c r="U22" s="118">
        <f t="shared" si="41"/>
        <v>0.3468166667</v>
      </c>
      <c r="V22" s="148"/>
      <c r="W22" s="120">
        <f t="shared" si="10"/>
        <v>1</v>
      </c>
      <c r="X22" s="148"/>
      <c r="Y22" s="120">
        <f t="shared" si="11"/>
        <v>0.71735</v>
      </c>
      <c r="Z22" s="121"/>
      <c r="AA22" s="121"/>
      <c r="AB22" s="121"/>
      <c r="AC22" s="121"/>
      <c r="AD22" s="122">
        <v>0.0</v>
      </c>
      <c r="AE22" s="123">
        <v>0.0</v>
      </c>
      <c r="AF22" s="123">
        <v>0.0</v>
      </c>
      <c r="AG22" s="124">
        <v>0.0</v>
      </c>
      <c r="AH22" s="124">
        <v>0.0</v>
      </c>
      <c r="AI22" s="125">
        <v>0.0</v>
      </c>
      <c r="AJ22" s="125">
        <v>0.0</v>
      </c>
      <c r="AK22" s="127">
        <v>0.0</v>
      </c>
      <c r="AL22" s="127">
        <v>0.0</v>
      </c>
      <c r="AM22" s="128"/>
      <c r="AN22" s="149" t="str">
        <f>IFERROR(
  AVERAGEIFS(
    'New 20102013 LF Efficacy'!$J:$J,
    'New 20102013 LF Efficacy'!$D:$D, $A22,
    'New 20102013 LF Efficacy'!$F:$F,"DEC", 
    'New 20102013 LF Efficacy'!$W:$W,"&lt;2011",
    'New 20102013 LF Efficacy'!$AA:$AA,""),
  ""
)</f>
        <v/>
      </c>
      <c r="AO22" s="115">
        <f t="shared" si="12"/>
        <v>0.3573520833</v>
      </c>
      <c r="AP22" s="121" t="str">
        <f>IFERROR(
AVERAGEIFS(
'New 20102013 LF Efficacy'!$J:$J,
'New 20102013 LF Efficacy'!$D:$D,$A22,
'New 20102013 LF Efficacy'!$F:$F,"Albendazole &amp; DEC",
'New 20102013 LF Efficacy'!$W:$W,"&lt;2011",
'New 20102013 LF Efficacy'!$AA:$AA,""),
"")
</f>
        <v/>
      </c>
      <c r="AQ22" s="115">
        <f t="shared" si="13"/>
        <v>0.5137291667</v>
      </c>
      <c r="AR22" s="121" t="str">
        <f>IFERROR(
AVERAGEIFS(
'New 20102013 LF Efficacy'!$J:$J,
'New 20102013 LF Efficacy'!$D:$D,$A22,
'New 20102013 LF Efficacy'!$F:$F,"Albendazole &amp; Ivermectin", 
'New 20102013 LF Efficacy'!$W:$W,"&lt;2011",
'New 20102013 LF Efficacy'!$AA:$AA,""),"")</f>
        <v/>
      </c>
      <c r="AS22" s="115">
        <f t="shared" si="14"/>
        <v>0.37153125</v>
      </c>
      <c r="AT22" s="130" t="str">
        <f>IFERROR(AVERAGEIFS(
'20102013 Schist Efficacy'!$O:$O, 
'20102013 Schist Efficacy'!$C:$C,$A22, 
'20102013 Schist Efficacy'!$D:$D, "Praziquantel",
'20102013 Schist Efficacy'!$J:$J,"&lt;2011",
'20102013 Schist Efficacy'!$U:$U,""),
"")</f>
        <v/>
      </c>
      <c r="AU22" s="118">
        <f t="shared" si="15"/>
        <v>0.655</v>
      </c>
      <c r="AV22" s="131" t="str">
        <f>IFERROR(AVERAGEIFS(
'20102013 STH Efficacy'!$AX:$AX, 
'20102013 STH Efficacy'!$AL:$AL, $A22, 
'20102013 STH Efficacy'!$AM:$AM, "Albendazole",
'20102013 STH Efficacy'!$AS:$AS,"&lt;2011",
'20102013 STH Efficacy'!$BP:$BP,""),
"")</f>
        <v/>
      </c>
      <c r="AW22" s="132">
        <f t="shared" si="16"/>
        <v>0.3842878788</v>
      </c>
      <c r="AX22" s="131" t="str">
        <f>IFERROR(AVERAGEIFS(
'20102013 STH Efficacy'!$AX:$AX, 
'20102013 STH Efficacy'!$AL:$AL, $A22, 
'20102013 STH Efficacy'!$AM:$AM, "Mebendazole",
'20102013 STH Efficacy'!$AS:$AS,"&lt;2011",
'20102013 STH Efficacy'!$BP:$BP,""),
"")</f>
        <v/>
      </c>
      <c r="AY22" s="132">
        <f t="shared" si="17"/>
        <v>0.5121666667</v>
      </c>
      <c r="AZ22" s="131" t="str">
        <f>IFERROR(AVERAGEIFS(
'20102013 STH Efficacy'!$AX:$AX, 
'20102013 STH Efficacy'!$AL:$AL, $A22, 
'20102013 STH Efficacy'!$AM:$AM, "Albendazole &amp; Ivermectin",
'20102013 STH Efficacy'!$AS:$AS,"&lt;2011",
'20102013 STH Efficacy'!$BP:$BP,""),
"")</f>
        <v/>
      </c>
      <c r="BA22" s="133">
        <f t="shared" si="18"/>
        <v>0.7176666667</v>
      </c>
      <c r="BB22" s="134" t="str">
        <f>IFERROR(AVERAGEIFS(
'20102013 STH Efficacy'!$N:$N, 
'20102013 STH Efficacy'!$B:$B, $A22, 
'20102013 STH Efficacy'!$C:$C, "Albendazole",
'20102013 STH Efficacy'!$I:$I,"&lt;2011",
'20102013 STH Efficacy'!$AH:$AH,""),
"")</f>
        <v/>
      </c>
      <c r="BC22" s="135">
        <f t="shared" si="19"/>
        <v>0.7630416667</v>
      </c>
      <c r="BD22" s="134" t="str">
        <f>IFERROR(AVERAGEIFS(
'20102013 STH Efficacy'!$N:$N, 
'20102013 STH Efficacy'!$B:$B, $A22, 
'20102013 STH Efficacy'!$C:$C, "Mebendazole",
'20102013 STH Efficacy'!$I:$I,"&lt;2011",
'20102013 STH Efficacy'!$AH:$AH,""),
"")</f>
        <v/>
      </c>
      <c r="BE22" s="135">
        <f t="shared" si="20"/>
        <v>0.4405966667</v>
      </c>
      <c r="BF22" s="128" t="str">
        <f>IFERROR(AVERAGEIFS(
'20102013 STH Efficacy'!$CD:$CD, 
'20102013 STH Efficacy'!$BS:$BS, $A22, 
'20102013 STH Efficacy'!$BT:$BT, "Albendazole",
'20102013 STH Efficacy'!$BZ:$BZ,"&lt;2011",
'20102013 STH Efficacy'!$CU:$CU,""),
"")</f>
        <v/>
      </c>
      <c r="BG22" s="136">
        <f t="shared" si="21"/>
        <v>0.9403222222</v>
      </c>
      <c r="BH22" s="128" t="str">
        <f>IFERROR(AVERAGEIFS(
'20102013 STH Efficacy'!$CD:$CD, 
'20102013 STH Efficacy'!$BS:$BS, $A22, 
'20102013 STH Efficacy'!$BT:$BT, "Mebendazole",
'20102013 STH Efficacy'!$BZ:$BZ,"&lt;2011",
'20102013 STH Efficacy'!$CU:$CU,""),
"")</f>
        <v/>
      </c>
      <c r="BI22" s="136">
        <f t="shared" si="22"/>
        <v>0.9229285714</v>
      </c>
      <c r="BJ22" s="128" t="str">
        <f>IFERROR(AVERAGEIFS(
'20102013 STH Efficacy'!$CD:$CD, 
'20102013 STH Efficacy'!$BS:$BS, $A22, 
'20102013 STH Efficacy'!$BT:$BT, "Albendazole &amp; Ivermectin",
'20102013 STH Efficacy'!$BZ:$BZ,"&lt;2011",
'20102013 STH Efficacy'!$CU:$CU,""),
"")</f>
        <v/>
      </c>
      <c r="BK22" s="136">
        <f t="shared" si="23"/>
        <v>1</v>
      </c>
      <c r="BL22" s="137"/>
      <c r="BM22" s="137"/>
      <c r="BN22" s="138">
        <v>0.0</v>
      </c>
      <c r="BO22" s="139">
        <v>0.0</v>
      </c>
      <c r="BP22" s="140">
        <v>0.0</v>
      </c>
      <c r="BQ22" s="141">
        <f t="shared" si="24"/>
        <v>0</v>
      </c>
      <c r="BR22" s="104" t="str">
        <f t="shared" si="25"/>
        <v>0000</v>
      </c>
      <c r="BS22" s="104" t="str">
        <f t="shared" si="26"/>
        <v>no action required</v>
      </c>
      <c r="BT22" s="142" t="str">
        <f t="shared" si="27"/>
        <v/>
      </c>
      <c r="BU22" s="104" t="str">
        <f t="shared" si="28"/>
        <v/>
      </c>
      <c r="BV22" s="104" t="str">
        <f t="shared" si="29"/>
        <v>none</v>
      </c>
      <c r="BW22" s="150" t="str">
        <f t="shared" si="30"/>
        <v/>
      </c>
      <c r="BX22" s="150" t="str">
        <f t="shared" si="31"/>
        <v/>
      </c>
      <c r="BY22" s="151" t="str">
        <f t="shared" si="32"/>
        <v/>
      </c>
      <c r="BZ22" s="152" t="str">
        <f t="shared" si="33"/>
        <v/>
      </c>
      <c r="CA22" s="152" t="str">
        <f t="shared" si="34"/>
        <v/>
      </c>
      <c r="CB22" s="152" t="str">
        <f t="shared" si="35"/>
        <v/>
      </c>
      <c r="CC22" s="153" t="str">
        <f t="shared" si="36"/>
        <v/>
      </c>
      <c r="CD22" s="153" t="str">
        <f t="shared" si="37"/>
        <v/>
      </c>
      <c r="CE22" s="154" t="str">
        <f t="shared" si="38"/>
        <v/>
      </c>
      <c r="CF22" s="154" t="str">
        <f t="shared" si="39"/>
        <v/>
      </c>
      <c r="CG22" s="154" t="str">
        <f t="shared" si="40"/>
        <v/>
      </c>
    </row>
    <row r="23">
      <c r="A23" s="103" t="s">
        <v>112</v>
      </c>
      <c r="B23" s="104" t="s">
        <v>90</v>
      </c>
      <c r="C23" s="105">
        <v>1.0895586E7</v>
      </c>
      <c r="D23" s="106">
        <v>0.0</v>
      </c>
      <c r="E23" s="107">
        <v>0.0</v>
      </c>
      <c r="F23" s="108">
        <v>0.0</v>
      </c>
      <c r="G23" s="108">
        <v>0.0</v>
      </c>
      <c r="H23" s="108">
        <v>0.0</v>
      </c>
      <c r="I23" s="109">
        <v>0.0</v>
      </c>
      <c r="J23" s="109">
        <v>0.0</v>
      </c>
      <c r="K23" s="109">
        <v>0.0</v>
      </c>
      <c r="L23" s="112">
        <v>0.0</v>
      </c>
      <c r="M23" s="112">
        <v>0.0</v>
      </c>
      <c r="N23" s="112">
        <v>0.0</v>
      </c>
      <c r="O23" s="113"/>
      <c r="P23" s="114"/>
      <c r="Q23" s="114"/>
      <c r="R23" s="115" t="str">
        <f t="shared" si="8"/>
        <v/>
      </c>
      <c r="S23" s="116">
        <f t="shared" si="9"/>
        <v>0.4013436246</v>
      </c>
      <c r="T23" s="117"/>
      <c r="U23" s="118">
        <f t="shared" si="41"/>
        <v>0.3468166667</v>
      </c>
      <c r="V23" s="148"/>
      <c r="W23" s="120">
        <f t="shared" si="10"/>
        <v>1</v>
      </c>
      <c r="X23" s="148"/>
      <c r="Y23" s="120">
        <f t="shared" si="11"/>
        <v>0.71735</v>
      </c>
      <c r="Z23" s="121"/>
      <c r="AA23" s="121"/>
      <c r="AB23" s="121"/>
      <c r="AC23" s="121"/>
      <c r="AD23" s="122">
        <v>0.0</v>
      </c>
      <c r="AE23" s="123">
        <v>0.0</v>
      </c>
      <c r="AF23" s="123">
        <v>0.0</v>
      </c>
      <c r="AG23" s="124">
        <v>0.0</v>
      </c>
      <c r="AH23" s="124">
        <v>0.0</v>
      </c>
      <c r="AI23" s="125">
        <v>0.0</v>
      </c>
      <c r="AJ23" s="125">
        <v>0.0</v>
      </c>
      <c r="AK23" s="127">
        <v>0.0</v>
      </c>
      <c r="AL23" s="127">
        <v>0.0</v>
      </c>
      <c r="AM23" s="128"/>
      <c r="AN23" s="149" t="str">
        <f>IFERROR(
  AVERAGEIFS(
    'New 20102013 LF Efficacy'!$J:$J,
    'New 20102013 LF Efficacy'!$D:$D, $A23,
    'New 20102013 LF Efficacy'!$F:$F,"DEC", 
    'New 20102013 LF Efficacy'!$W:$W,"&lt;2011",
    'New 20102013 LF Efficacy'!$AA:$AA,""),
  ""
)</f>
        <v/>
      </c>
      <c r="AO23" s="115">
        <f t="shared" si="12"/>
        <v>0.3573520833</v>
      </c>
      <c r="AP23" s="121" t="str">
        <f>IFERROR(
AVERAGEIFS(
'New 20102013 LF Efficacy'!$J:$J,
'New 20102013 LF Efficacy'!$D:$D,$A23,
'New 20102013 LF Efficacy'!$F:$F,"Albendazole &amp; DEC",
'New 20102013 LF Efficacy'!$W:$W,"&lt;2011",
'New 20102013 LF Efficacy'!$AA:$AA,""),
"")
</f>
        <v/>
      </c>
      <c r="AQ23" s="115">
        <f t="shared" si="13"/>
        <v>0.5137291667</v>
      </c>
      <c r="AR23" s="121" t="str">
        <f>IFERROR(
AVERAGEIFS(
'New 20102013 LF Efficacy'!$J:$J,
'New 20102013 LF Efficacy'!$D:$D,$A23,
'New 20102013 LF Efficacy'!$F:$F,"Albendazole &amp; Ivermectin", 
'New 20102013 LF Efficacy'!$W:$W,"&lt;2011",
'New 20102013 LF Efficacy'!$AA:$AA,""),"")</f>
        <v/>
      </c>
      <c r="AS23" s="115">
        <f t="shared" si="14"/>
        <v>0.37153125</v>
      </c>
      <c r="AT23" s="130" t="str">
        <f>IFERROR(AVERAGEIFS(
'20102013 Schist Efficacy'!$O:$O, 
'20102013 Schist Efficacy'!$C:$C,$A23, 
'20102013 Schist Efficacy'!$D:$D, "Praziquantel",
'20102013 Schist Efficacy'!$J:$J,"&lt;2011",
'20102013 Schist Efficacy'!$U:$U,""),
"")</f>
        <v/>
      </c>
      <c r="AU23" s="118">
        <f t="shared" si="15"/>
        <v>0.655</v>
      </c>
      <c r="AV23" s="131" t="str">
        <f>IFERROR(AVERAGEIFS(
'20102013 STH Efficacy'!$AX:$AX, 
'20102013 STH Efficacy'!$AL:$AL, $A23, 
'20102013 STH Efficacy'!$AM:$AM, "Albendazole",
'20102013 STH Efficacy'!$AS:$AS,"&lt;2011",
'20102013 STH Efficacy'!$BP:$BP,""),
"")</f>
        <v/>
      </c>
      <c r="AW23" s="132">
        <f t="shared" si="16"/>
        <v>0.3842878788</v>
      </c>
      <c r="AX23" s="131" t="str">
        <f>IFERROR(AVERAGEIFS(
'20102013 STH Efficacy'!$AX:$AX, 
'20102013 STH Efficacy'!$AL:$AL, $A23, 
'20102013 STH Efficacy'!$AM:$AM, "Mebendazole",
'20102013 STH Efficacy'!$AS:$AS,"&lt;2011",
'20102013 STH Efficacy'!$BP:$BP,""),
"")</f>
        <v/>
      </c>
      <c r="AY23" s="132">
        <f t="shared" si="17"/>
        <v>0.5121666667</v>
      </c>
      <c r="AZ23" s="131" t="str">
        <f>IFERROR(AVERAGEIFS(
'20102013 STH Efficacy'!$AX:$AX, 
'20102013 STH Efficacy'!$AL:$AL, $A23, 
'20102013 STH Efficacy'!$AM:$AM, "Albendazole &amp; Ivermectin",
'20102013 STH Efficacy'!$AS:$AS,"&lt;2011",
'20102013 STH Efficacy'!$BP:$BP,""),
"")</f>
        <v/>
      </c>
      <c r="BA23" s="133">
        <f t="shared" si="18"/>
        <v>0.7176666667</v>
      </c>
      <c r="BB23" s="134" t="str">
        <f>IFERROR(AVERAGEIFS(
'20102013 STH Efficacy'!$N:$N, 
'20102013 STH Efficacy'!$B:$B, $A23, 
'20102013 STH Efficacy'!$C:$C, "Albendazole",
'20102013 STH Efficacy'!$I:$I,"&lt;2011",
'20102013 STH Efficacy'!$AH:$AH,""),
"")</f>
        <v/>
      </c>
      <c r="BC23" s="135">
        <f t="shared" si="19"/>
        <v>0.7630416667</v>
      </c>
      <c r="BD23" s="134" t="str">
        <f>IFERROR(AVERAGEIFS(
'20102013 STH Efficacy'!$N:$N, 
'20102013 STH Efficacy'!$B:$B, $A23, 
'20102013 STH Efficacy'!$C:$C, "Mebendazole",
'20102013 STH Efficacy'!$I:$I,"&lt;2011",
'20102013 STH Efficacy'!$AH:$AH,""),
"")</f>
        <v/>
      </c>
      <c r="BE23" s="135">
        <f t="shared" si="20"/>
        <v>0.4405966667</v>
      </c>
      <c r="BF23" s="128" t="str">
        <f>IFERROR(AVERAGEIFS(
'20102013 STH Efficacy'!$CD:$CD, 
'20102013 STH Efficacy'!$BS:$BS, $A23, 
'20102013 STH Efficacy'!$BT:$BT, "Albendazole",
'20102013 STH Efficacy'!$BZ:$BZ,"&lt;2011",
'20102013 STH Efficacy'!$CU:$CU,""),
"")</f>
        <v/>
      </c>
      <c r="BG23" s="136">
        <f t="shared" si="21"/>
        <v>0.9403222222</v>
      </c>
      <c r="BH23" s="128" t="str">
        <f>IFERROR(AVERAGEIFS(
'20102013 STH Efficacy'!$CD:$CD, 
'20102013 STH Efficacy'!$BS:$BS, $A23, 
'20102013 STH Efficacy'!$BT:$BT, "Mebendazole",
'20102013 STH Efficacy'!$BZ:$BZ,"&lt;2011",
'20102013 STH Efficacy'!$CU:$CU,""),
"")</f>
        <v/>
      </c>
      <c r="BI23" s="136">
        <f t="shared" si="22"/>
        <v>0.9229285714</v>
      </c>
      <c r="BJ23" s="128" t="str">
        <f>IFERROR(AVERAGEIFS(
'20102013 STH Efficacy'!$CD:$CD, 
'20102013 STH Efficacy'!$BS:$BS, $A23, 
'20102013 STH Efficacy'!$BT:$BT, "Albendazole &amp; Ivermectin",
'20102013 STH Efficacy'!$BZ:$BZ,"&lt;2011",
'20102013 STH Efficacy'!$CU:$CU,""),
"")</f>
        <v/>
      </c>
      <c r="BK23" s="136">
        <f t="shared" si="23"/>
        <v>1</v>
      </c>
      <c r="BL23" s="137"/>
      <c r="BM23" s="137"/>
      <c r="BN23" s="138">
        <v>0.0</v>
      </c>
      <c r="BO23" s="139">
        <v>0.0</v>
      </c>
      <c r="BP23" s="140">
        <v>0.0</v>
      </c>
      <c r="BQ23" s="141">
        <f t="shared" si="24"/>
        <v>0</v>
      </c>
      <c r="BR23" s="104" t="str">
        <f t="shared" si="25"/>
        <v>0000</v>
      </c>
      <c r="BS23" s="104" t="str">
        <f t="shared" si="26"/>
        <v>no action required</v>
      </c>
      <c r="BT23" s="142" t="str">
        <f t="shared" si="27"/>
        <v/>
      </c>
      <c r="BU23" s="104" t="str">
        <f t="shared" si="28"/>
        <v/>
      </c>
      <c r="BV23" s="104" t="str">
        <f t="shared" si="29"/>
        <v>none</v>
      </c>
      <c r="BW23" s="150" t="str">
        <f t="shared" si="30"/>
        <v/>
      </c>
      <c r="BX23" s="150" t="str">
        <f t="shared" si="31"/>
        <v/>
      </c>
      <c r="BY23" s="151" t="str">
        <f t="shared" si="32"/>
        <v/>
      </c>
      <c r="BZ23" s="152" t="str">
        <f t="shared" si="33"/>
        <v/>
      </c>
      <c r="CA23" s="152" t="str">
        <f t="shared" si="34"/>
        <v/>
      </c>
      <c r="CB23" s="152" t="str">
        <f t="shared" si="35"/>
        <v/>
      </c>
      <c r="CC23" s="153" t="str">
        <f t="shared" si="36"/>
        <v/>
      </c>
      <c r="CD23" s="153" t="str">
        <f t="shared" si="37"/>
        <v/>
      </c>
      <c r="CE23" s="154" t="str">
        <f t="shared" si="38"/>
        <v/>
      </c>
      <c r="CF23" s="154" t="str">
        <f t="shared" si="39"/>
        <v/>
      </c>
      <c r="CG23" s="154" t="str">
        <f t="shared" si="40"/>
        <v/>
      </c>
    </row>
    <row r="24">
      <c r="A24" s="103" t="s">
        <v>113</v>
      </c>
      <c r="B24" s="104" t="s">
        <v>98</v>
      </c>
      <c r="C24" s="105">
        <v>321608.0</v>
      </c>
      <c r="D24" s="106">
        <v>0.0</v>
      </c>
      <c r="E24" s="107">
        <v>0.0</v>
      </c>
      <c r="F24" s="108">
        <v>0.096570545</v>
      </c>
      <c r="G24" s="108">
        <v>9.65177E-4</v>
      </c>
      <c r="H24" s="108">
        <v>0.097535722</v>
      </c>
      <c r="I24" s="109">
        <v>7.44353936</v>
      </c>
      <c r="J24" s="109">
        <v>1.2925059</v>
      </c>
      <c r="K24" s="109">
        <v>8.736045253</v>
      </c>
      <c r="L24" s="112">
        <v>8.60339457</v>
      </c>
      <c r="M24" s="112">
        <v>3.56053714</v>
      </c>
      <c r="N24" s="112">
        <v>12.16393171</v>
      </c>
      <c r="O24" s="113"/>
      <c r="P24" s="114"/>
      <c r="Q24" s="114"/>
      <c r="R24" s="115" t="str">
        <f t="shared" si="8"/>
        <v/>
      </c>
      <c r="S24" s="116">
        <f t="shared" si="9"/>
        <v>0.14553293</v>
      </c>
      <c r="T24" s="117"/>
      <c r="U24" s="118">
        <f t="shared" si="41"/>
        <v>0.39435</v>
      </c>
      <c r="V24" s="148"/>
      <c r="W24" s="120">
        <f t="shared" si="10"/>
        <v>0.3616</v>
      </c>
      <c r="X24" s="119">
        <v>1.0</v>
      </c>
      <c r="Y24" s="120">
        <f t="shared" si="11"/>
        <v>1</v>
      </c>
      <c r="Z24" s="121"/>
      <c r="AA24" s="121"/>
      <c r="AB24" s="121"/>
      <c r="AC24" s="121"/>
      <c r="AD24" s="122">
        <v>0.0</v>
      </c>
      <c r="AE24" s="123">
        <v>0.0</v>
      </c>
      <c r="AF24" s="123">
        <v>0.0</v>
      </c>
      <c r="AG24" s="124">
        <v>0.0475</v>
      </c>
      <c r="AH24" s="124">
        <v>0.012982689</v>
      </c>
      <c r="AI24" s="125">
        <v>0.0417</v>
      </c>
      <c r="AJ24" s="125">
        <v>0.00593173</v>
      </c>
      <c r="AK24" s="126">
        <v>0.0</v>
      </c>
      <c r="AL24" s="127">
        <v>0.014005077</v>
      </c>
      <c r="AM24" s="128"/>
      <c r="AN24" s="149" t="str">
        <f>IFERROR(
  AVERAGEIFS(
    'New 20102013 LF Efficacy'!$J:$J,
    'New 20102013 LF Efficacy'!$D:$D, $A24,
    'New 20102013 LF Efficacy'!$F:$F,"DEC", 
    'New 20102013 LF Efficacy'!$W:$W,"&lt;2011",
    'New 20102013 LF Efficacy'!$AA:$AA,""),
  ""
)</f>
        <v/>
      </c>
      <c r="AO24" s="115">
        <f t="shared" si="12"/>
        <v>0.2589833333</v>
      </c>
      <c r="AP24" s="121" t="str">
        <f>IFERROR(
AVERAGEIFS(
'New 20102013 LF Efficacy'!$J:$J,
'New 20102013 LF Efficacy'!$D:$D,$A24,
'New 20102013 LF Efficacy'!$F:$F,"Albendazole &amp; DEC",
'New 20102013 LF Efficacy'!$W:$W,"&lt;2011",
'New 20102013 LF Efficacy'!$AA:$AA,""),
"")
</f>
        <v/>
      </c>
      <c r="AQ24" s="115">
        <f t="shared" si="13"/>
        <v>0.3465</v>
      </c>
      <c r="AR24" s="121" t="str">
        <f>IFERROR(
AVERAGEIFS(
'New 20102013 LF Efficacy'!$J:$J,
'New 20102013 LF Efficacy'!$D:$D,$A24,
'New 20102013 LF Efficacy'!$F:$F,"Albendazole &amp; Ivermectin", 
'New 20102013 LF Efficacy'!$W:$W,"&lt;2011",
'New 20102013 LF Efficacy'!$AA:$AA,""),"")</f>
        <v/>
      </c>
      <c r="AS24" s="115">
        <f t="shared" si="14"/>
        <v>0.7575</v>
      </c>
      <c r="AT24" s="130" t="str">
        <f>IFERROR(AVERAGEIFS(
'20102013 Schist Efficacy'!$O:$O, 
'20102013 Schist Efficacy'!$C:$C,$A24, 
'20102013 Schist Efficacy'!$D:$D, "Praziquantel",
'20102013 Schist Efficacy'!$J:$J,"&lt;2011",
'20102013 Schist Efficacy'!$U:$U,""),
"")</f>
        <v/>
      </c>
      <c r="AU24" s="118">
        <f t="shared" si="15"/>
        <v>0.7732631579</v>
      </c>
      <c r="AV24" s="131" t="str">
        <f>IFERROR(AVERAGEIFS(
'20102013 STH Efficacy'!$AX:$AX, 
'20102013 STH Efficacy'!$AL:$AL, $A24, 
'20102013 STH Efficacy'!$AM:$AM, "Albendazole",
'20102013 STH Efficacy'!$AS:$AS,"&lt;2011",
'20102013 STH Efficacy'!$BP:$BP,""),
"")</f>
        <v/>
      </c>
      <c r="AW24" s="132">
        <f t="shared" si="16"/>
        <v>0.3945</v>
      </c>
      <c r="AX24" s="131" t="str">
        <f>IFERROR(AVERAGEIFS(
'20102013 STH Efficacy'!$AX:$AX, 
'20102013 STH Efficacy'!$AL:$AL, $A24, 
'20102013 STH Efficacy'!$AM:$AM, "Mebendazole",
'20102013 STH Efficacy'!$AS:$AS,"&lt;2011",
'20102013 STH Efficacy'!$BP:$BP,""),
"")</f>
        <v/>
      </c>
      <c r="AY24" s="132">
        <f t="shared" si="17"/>
        <v>0.6</v>
      </c>
      <c r="AZ24" s="131" t="str">
        <f>IFERROR(AVERAGEIFS(
'20102013 STH Efficacy'!$AX:$AX, 
'20102013 STH Efficacy'!$AL:$AL, $A24, 
'20102013 STH Efficacy'!$AM:$AM, "Albendazole &amp; Ivermectin",
'20102013 STH Efficacy'!$AS:$AS,"&lt;2011",
'20102013 STH Efficacy'!$BP:$BP,""),
"")</f>
        <v/>
      </c>
      <c r="BA24" s="133">
        <f t="shared" si="18"/>
        <v>0.796</v>
      </c>
      <c r="BB24" s="134" t="str">
        <f>IFERROR(AVERAGEIFS(
'20102013 STH Efficacy'!$N:$N, 
'20102013 STH Efficacy'!$B:$B, $A24, 
'20102013 STH Efficacy'!$C:$C, "Albendazole",
'20102013 STH Efficacy'!$I:$I,"&lt;2011",
'20102013 STH Efficacy'!$AH:$AH,""),
"")</f>
        <v/>
      </c>
      <c r="BC24" s="135">
        <f t="shared" si="19"/>
        <v>0.869</v>
      </c>
      <c r="BD24" s="134" t="str">
        <f>IFERROR(AVERAGEIFS(
'20102013 STH Efficacy'!$N:$N, 
'20102013 STH Efficacy'!$B:$B, $A24, 
'20102013 STH Efficacy'!$C:$C, "Mebendazole",
'20102013 STH Efficacy'!$I:$I,"&lt;2011",
'20102013 STH Efficacy'!$AH:$AH,""),
"")</f>
        <v/>
      </c>
      <c r="BE24" s="135">
        <f t="shared" si="20"/>
        <v>0.172</v>
      </c>
      <c r="BF24" s="128" t="str">
        <f>IFERROR(AVERAGEIFS(
'20102013 STH Efficacy'!$CD:$CD, 
'20102013 STH Efficacy'!$BS:$BS, $A24, 
'20102013 STH Efficacy'!$BT:$BT, "Albendazole",
'20102013 STH Efficacy'!$BZ:$BZ,"&lt;2011",
'20102013 STH Efficacy'!$CU:$CU,""),
"")</f>
        <v/>
      </c>
      <c r="BG24" s="136">
        <f t="shared" si="21"/>
        <v>0.9862</v>
      </c>
      <c r="BH24" s="128" t="str">
        <f>IFERROR(AVERAGEIFS(
'20102013 STH Efficacy'!$CD:$CD, 
'20102013 STH Efficacy'!$BS:$BS, $A24, 
'20102013 STH Efficacy'!$BT:$BT, "Mebendazole",
'20102013 STH Efficacy'!$BZ:$BZ,"&lt;2011",
'20102013 STH Efficacy'!$CU:$CU,""),
"")</f>
        <v/>
      </c>
      <c r="BI24" s="136">
        <f t="shared" si="22"/>
        <v>0.769</v>
      </c>
      <c r="BJ24" s="128" t="str">
        <f>IFERROR(AVERAGEIFS(
'20102013 STH Efficacy'!$CD:$CD, 
'20102013 STH Efficacy'!$BS:$BS, $A24, 
'20102013 STH Efficacy'!$BT:$BT, "Albendazole &amp; Ivermectin",
'20102013 STH Efficacy'!$BZ:$BZ,"&lt;2011",
'20102013 STH Efficacy'!$CU:$CU,""),
"")</f>
        <v/>
      </c>
      <c r="BK24" s="136">
        <f t="shared" si="23"/>
        <v>1</v>
      </c>
      <c r="BL24" s="137"/>
      <c r="BM24" s="137"/>
      <c r="BN24" s="138">
        <v>0.0</v>
      </c>
      <c r="BO24" s="139">
        <v>0.0</v>
      </c>
      <c r="BP24" s="140">
        <v>0.0</v>
      </c>
      <c r="BQ24" s="141">
        <f t="shared" si="24"/>
        <v>0</v>
      </c>
      <c r="BR24" s="104" t="str">
        <f t="shared" si="25"/>
        <v>0000</v>
      </c>
      <c r="BS24" s="104" t="str">
        <f t="shared" si="26"/>
        <v>no action required</v>
      </c>
      <c r="BT24" s="142" t="str">
        <f t="shared" si="27"/>
        <v/>
      </c>
      <c r="BU24" s="104" t="str">
        <f t="shared" si="28"/>
        <v/>
      </c>
      <c r="BV24" s="104" t="str">
        <f t="shared" si="29"/>
        <v>none</v>
      </c>
      <c r="BW24" s="150" t="str">
        <f t="shared" si="30"/>
        <v/>
      </c>
      <c r="BX24" s="150" t="str">
        <f t="shared" si="31"/>
        <v/>
      </c>
      <c r="BY24" s="151" t="str">
        <f t="shared" si="32"/>
        <v/>
      </c>
      <c r="BZ24" s="152" t="str">
        <f t="shared" si="33"/>
        <v/>
      </c>
      <c r="CA24" s="152" t="str">
        <f t="shared" si="34"/>
        <v/>
      </c>
      <c r="CB24" s="152" t="str">
        <f t="shared" si="35"/>
        <v/>
      </c>
      <c r="CC24" s="153" t="str">
        <f t="shared" si="36"/>
        <v/>
      </c>
      <c r="CD24" s="153" t="str">
        <f t="shared" si="37"/>
        <v/>
      </c>
      <c r="CE24" s="154" t="str">
        <f t="shared" si="38"/>
        <v/>
      </c>
      <c r="CF24" s="154" t="str">
        <f t="shared" si="39"/>
        <v/>
      </c>
      <c r="CG24" s="154" t="str">
        <f t="shared" si="40"/>
        <v/>
      </c>
    </row>
    <row r="25">
      <c r="A25" s="103" t="s">
        <v>114</v>
      </c>
      <c r="B25" s="104" t="s">
        <v>92</v>
      </c>
      <c r="C25" s="105">
        <v>9199259.0</v>
      </c>
      <c r="D25" s="106">
        <v>8714.861808</v>
      </c>
      <c r="E25" s="107">
        <v>43694.76563</v>
      </c>
      <c r="F25" s="108">
        <v>0.078014373</v>
      </c>
      <c r="G25" s="108">
        <v>0.368302025</v>
      </c>
      <c r="H25" s="108">
        <v>0.446316397</v>
      </c>
      <c r="I25" s="109">
        <v>182.802042</v>
      </c>
      <c r="J25" s="109">
        <v>477.336066</v>
      </c>
      <c r="K25" s="109">
        <v>660.138108</v>
      </c>
      <c r="L25" s="112">
        <v>2766.626103</v>
      </c>
      <c r="M25" s="112">
        <v>447.5612463</v>
      </c>
      <c r="N25" s="158">
        <v>3214.187349</v>
      </c>
      <c r="O25" s="159"/>
      <c r="P25" s="160">
        <v>5282204.0</v>
      </c>
      <c r="Q25" s="160">
        <v>946317.0</v>
      </c>
      <c r="R25" s="115">
        <f t="shared" si="8"/>
        <v>0.1791519222</v>
      </c>
      <c r="S25" s="116">
        <f t="shared" si="9"/>
        <v>0.1791519222</v>
      </c>
      <c r="T25" s="118">
        <v>0.0514</v>
      </c>
      <c r="U25" s="118">
        <f t="shared" si="41"/>
        <v>0.0514</v>
      </c>
      <c r="V25" s="148"/>
      <c r="W25" s="120">
        <f t="shared" si="10"/>
        <v>0.7266555556</v>
      </c>
      <c r="X25" s="119">
        <v>0.2737</v>
      </c>
      <c r="Y25" s="120">
        <f t="shared" si="11"/>
        <v>0.2737</v>
      </c>
      <c r="Z25" s="121"/>
      <c r="AA25" s="121"/>
      <c r="AB25" s="121"/>
      <c r="AC25" s="121"/>
      <c r="AD25" s="122">
        <v>0.0173</v>
      </c>
      <c r="AE25" s="123">
        <v>0.5</v>
      </c>
      <c r="AF25" s="123">
        <v>0.1323</v>
      </c>
      <c r="AG25" s="124">
        <v>0.0177</v>
      </c>
      <c r="AH25" s="124">
        <v>0.02836632</v>
      </c>
      <c r="AI25" s="125">
        <v>0.0349</v>
      </c>
      <c r="AJ25" s="125">
        <v>0.056651699</v>
      </c>
      <c r="AK25" s="127">
        <v>0.07</v>
      </c>
      <c r="AL25" s="127">
        <v>0.102677517</v>
      </c>
      <c r="AM25" s="128"/>
      <c r="AN25" s="149" t="str">
        <f>IFERROR(
  AVERAGEIFS(
    'New 20102013 LF Efficacy'!$J:$J,
    'New 20102013 LF Efficacy'!$D:$D, $A25,
    'New 20102013 LF Efficacy'!$F:$F,"DEC", 
    'New 20102013 LF Efficacy'!$W:$W,"&lt;2011",
    'New 20102013 LF Efficacy'!$AA:$AA,""),
  ""
)</f>
        <v/>
      </c>
      <c r="AO25" s="115">
        <f t="shared" si="12"/>
        <v>0.31225</v>
      </c>
      <c r="AP25" s="121" t="str">
        <f>IFERROR(
AVERAGEIFS(
'New 20102013 LF Efficacy'!$J:$J,
'New 20102013 LF Efficacy'!$D:$D,$A25,
'New 20102013 LF Efficacy'!$F:$F,"Albendazole &amp; DEC",
'New 20102013 LF Efficacy'!$W:$W,"&lt;2011",
'New 20102013 LF Efficacy'!$AA:$AA,""),
"")
</f>
        <v/>
      </c>
      <c r="AQ25" s="115">
        <f t="shared" si="13"/>
        <v>0.4</v>
      </c>
      <c r="AR25" s="121" t="str">
        <f>IFERROR(
AVERAGEIFS(
'New 20102013 LF Efficacy'!$J:$J,
'New 20102013 LF Efficacy'!$D:$D,$A25,
'New 20102013 LF Efficacy'!$F:$F,"Albendazole &amp; Ivermectin", 
'New 20102013 LF Efficacy'!$W:$W,"&lt;2011",
'New 20102013 LF Efficacy'!$AA:$AA,""),"")</f>
        <v/>
      </c>
      <c r="AS25" s="115">
        <f t="shared" si="14"/>
        <v>0.2943125</v>
      </c>
      <c r="AT25" s="130" t="str">
        <f>IFERROR(AVERAGEIFS(
'20102013 Schist Efficacy'!$O:$O, 
'20102013 Schist Efficacy'!$C:$C,$A25, 
'20102013 Schist Efficacy'!$D:$D, "Praziquantel",
'20102013 Schist Efficacy'!$J:$J,"&lt;2011",
'20102013 Schist Efficacy'!$U:$U,""),
"")</f>
        <v/>
      </c>
      <c r="AU25" s="118">
        <f t="shared" si="15"/>
        <v>0.6444020147</v>
      </c>
      <c r="AV25" s="131" t="str">
        <f>IFERROR(AVERAGEIFS(
'20102013 STH Efficacy'!$AX:$AX, 
'20102013 STH Efficacy'!$AL:$AL, $A25, 
'20102013 STH Efficacy'!$AM:$AM, "Albendazole",
'20102013 STH Efficacy'!$AS:$AS,"&lt;2011",
'20102013 STH Efficacy'!$BP:$BP,""),
"")</f>
        <v/>
      </c>
      <c r="AW25" s="132">
        <f t="shared" si="16"/>
        <v>0.3538333333</v>
      </c>
      <c r="AX25" s="131" t="str">
        <f>IFERROR(AVERAGEIFS(
'20102013 STH Efficacy'!$AX:$AX, 
'20102013 STH Efficacy'!$AL:$AL, $A25, 
'20102013 STH Efficacy'!$AM:$AM, "Mebendazole",
'20102013 STH Efficacy'!$AS:$AS,"&lt;2011",
'20102013 STH Efficacy'!$BP:$BP,""),
"")</f>
        <v/>
      </c>
      <c r="AY25" s="132">
        <f t="shared" si="17"/>
        <v>0.5918333333</v>
      </c>
      <c r="AZ25" s="131" t="str">
        <f>IFERROR(AVERAGEIFS(
'20102013 STH Efficacy'!$AX:$AX, 
'20102013 STH Efficacy'!$AL:$AL, $A25, 
'20102013 STH Efficacy'!$AM:$AM, "Albendazole &amp; Ivermectin",
'20102013 STH Efficacy'!$AS:$AS,"&lt;2011",
'20102013 STH Efficacy'!$BP:$BP,""),
"")</f>
        <v/>
      </c>
      <c r="BA25" s="133">
        <f t="shared" si="18"/>
        <v>0.706</v>
      </c>
      <c r="BB25" s="134" t="str">
        <f>IFERROR(AVERAGEIFS(
'20102013 STH Efficacy'!$N:$N, 
'20102013 STH Efficacy'!$B:$B, $A25, 
'20102013 STH Efficacy'!$C:$C, "Albendazole",
'20102013 STH Efficacy'!$I:$I,"&lt;2011",
'20102013 STH Efficacy'!$AH:$AH,""),
"")</f>
        <v/>
      </c>
      <c r="BC25" s="135">
        <f t="shared" si="19"/>
        <v>0.9116666667</v>
      </c>
      <c r="BD25" s="134" t="str">
        <f>IFERROR(AVERAGEIFS(
'20102013 STH Efficacy'!$N:$N, 
'20102013 STH Efficacy'!$B:$B, $A25, 
'20102013 STH Efficacy'!$C:$C, "Mebendazole",
'20102013 STH Efficacy'!$I:$I,"&lt;2011",
'20102013 STH Efficacy'!$AH:$AH,""),
"")</f>
        <v/>
      </c>
      <c r="BE25" s="135">
        <f t="shared" si="20"/>
        <v>0.7092416667</v>
      </c>
      <c r="BF25" s="128" t="str">
        <f>IFERROR(AVERAGEIFS(
'20102013 STH Efficacy'!$CD:$CD, 
'20102013 STH Efficacy'!$BS:$BS, $A25, 
'20102013 STH Efficacy'!$BT:$BT, "Albendazole",
'20102013 STH Efficacy'!$BZ:$BZ,"&lt;2011",
'20102013 STH Efficacy'!$CU:$CU,""),
"")</f>
        <v/>
      </c>
      <c r="BG25" s="136">
        <f t="shared" si="21"/>
        <v>0.8656666667</v>
      </c>
      <c r="BH25" s="128" t="str">
        <f>IFERROR(AVERAGEIFS(
'20102013 STH Efficacy'!$CD:$CD, 
'20102013 STH Efficacy'!$BS:$BS, $A25, 
'20102013 STH Efficacy'!$BT:$BT, "Mebendazole",
'20102013 STH Efficacy'!$BZ:$BZ,"&lt;2011",
'20102013 STH Efficacy'!$CU:$CU,""),
"")</f>
        <v/>
      </c>
      <c r="BI25" s="136">
        <f t="shared" si="22"/>
        <v>0.9203333333</v>
      </c>
      <c r="BJ25" s="128" t="str">
        <f>IFERROR(AVERAGEIFS(
'20102013 STH Efficacy'!$CD:$CD, 
'20102013 STH Efficacy'!$BS:$BS, $A25, 
'20102013 STH Efficacy'!$BT:$BT, "Albendazole &amp; Ivermectin",
'20102013 STH Efficacy'!$BZ:$BZ,"&lt;2011",
'20102013 STH Efficacy'!$CU:$CU,""),
"")</f>
        <v/>
      </c>
      <c r="BK25" s="136">
        <f t="shared" si="23"/>
        <v>1</v>
      </c>
      <c r="BL25" s="137"/>
      <c r="BM25" s="137"/>
      <c r="BN25" s="138">
        <v>1.0</v>
      </c>
      <c r="BO25" s="139">
        <v>1.0</v>
      </c>
      <c r="BP25" s="140">
        <v>1.0</v>
      </c>
      <c r="BQ25" s="141">
        <f t="shared" si="24"/>
        <v>0</v>
      </c>
      <c r="BR25" s="104" t="str">
        <f t="shared" si="25"/>
        <v>1110</v>
      </c>
      <c r="BS25" s="104" t="str">
        <f t="shared" si="26"/>
        <v>MDA1+T2</v>
      </c>
      <c r="BT25" s="142" t="str">
        <f t="shared" si="27"/>
        <v>IVM+ALB</v>
      </c>
      <c r="BU25" s="104" t="str">
        <f t="shared" si="28"/>
        <v>PZQ</v>
      </c>
      <c r="BV25" s="104" t="str">
        <f t="shared" si="29"/>
        <v>lf+onch+schist </v>
      </c>
      <c r="BW25" s="150" t="str">
        <f t="shared" si="30"/>
        <v/>
      </c>
      <c r="BX25" s="150">
        <f t="shared" si="31"/>
        <v>485.0822302</v>
      </c>
      <c r="BY25" s="162">
        <f t="shared" si="32"/>
        <v>1496.848555</v>
      </c>
      <c r="BZ25" s="152" t="str">
        <f t="shared" si="33"/>
        <v/>
      </c>
      <c r="CA25" s="152" t="str">
        <f t="shared" si="34"/>
        <v/>
      </c>
      <c r="CB25" s="152" t="str">
        <f t="shared" si="35"/>
        <v/>
      </c>
      <c r="CC25" s="153" t="str">
        <f t="shared" si="36"/>
        <v/>
      </c>
      <c r="CD25" s="153" t="str">
        <f t="shared" si="37"/>
        <v/>
      </c>
      <c r="CE25" s="154" t="str">
        <f t="shared" si="38"/>
        <v/>
      </c>
      <c r="CF25" s="154" t="str">
        <f t="shared" si="39"/>
        <v/>
      </c>
      <c r="CG25" s="154" t="str">
        <f t="shared" si="40"/>
        <v/>
      </c>
    </row>
    <row r="26">
      <c r="A26" s="155" t="s">
        <v>115</v>
      </c>
      <c r="B26" s="104" t="s">
        <v>98</v>
      </c>
      <c r="C26" s="105">
        <v>65124.0</v>
      </c>
      <c r="D26" s="106">
        <v>0.0</v>
      </c>
      <c r="E26" s="107">
        <v>0.0</v>
      </c>
      <c r="F26" s="108">
        <v>0.0</v>
      </c>
      <c r="G26" s="108">
        <v>0.0</v>
      </c>
      <c r="H26" s="108">
        <v>0.0</v>
      </c>
      <c r="I26" s="109">
        <v>2.8789E-4</v>
      </c>
      <c r="J26" s="109">
        <v>0.00156282</v>
      </c>
      <c r="K26" s="109">
        <v>0.001850714</v>
      </c>
      <c r="L26" s="112">
        <v>0.0</v>
      </c>
      <c r="M26" s="112">
        <v>0.0</v>
      </c>
      <c r="N26" s="112">
        <v>0.0</v>
      </c>
      <c r="O26" s="113"/>
      <c r="P26" s="114"/>
      <c r="Q26" s="114"/>
      <c r="R26" s="115" t="str">
        <f t="shared" si="8"/>
        <v/>
      </c>
      <c r="S26" s="116">
        <f t="shared" si="9"/>
        <v>0.14553293</v>
      </c>
      <c r="T26" s="117"/>
      <c r="U26" s="118">
        <f t="shared" si="41"/>
        <v>0.39435</v>
      </c>
      <c r="V26" s="148"/>
      <c r="W26" s="120">
        <f t="shared" si="10"/>
        <v>0.3616</v>
      </c>
      <c r="X26" s="148"/>
      <c r="Y26" s="120">
        <f t="shared" si="11"/>
        <v>0.5015615385</v>
      </c>
      <c r="Z26" s="121"/>
      <c r="AA26" s="121"/>
      <c r="AB26" s="121"/>
      <c r="AC26" s="121"/>
      <c r="AD26" s="122">
        <v>0.0</v>
      </c>
      <c r="AE26" s="123">
        <v>0.0</v>
      </c>
      <c r="AF26" s="123">
        <v>0.0</v>
      </c>
      <c r="AG26" s="124">
        <v>0.0</v>
      </c>
      <c r="AH26" s="124">
        <v>1.17177E-5</v>
      </c>
      <c r="AI26" s="125">
        <v>0.0</v>
      </c>
      <c r="AJ26" s="125">
        <v>1.17E-5</v>
      </c>
      <c r="AK26" s="127">
        <v>0.0</v>
      </c>
      <c r="AL26" s="127">
        <v>1.16314E-5</v>
      </c>
      <c r="AM26" s="128"/>
      <c r="AN26" s="149" t="str">
        <f>IFERROR(
  AVERAGEIFS(
    'New 20102013 LF Efficacy'!$J:$J,
    'New 20102013 LF Efficacy'!$D:$D, $A26,
    'New 20102013 LF Efficacy'!$F:$F,"DEC", 
    'New 20102013 LF Efficacy'!$W:$W,"&lt;2011",
    'New 20102013 LF Efficacy'!$AA:$AA,""),
  ""
)</f>
        <v/>
      </c>
      <c r="AO26" s="115">
        <f t="shared" si="12"/>
        <v>0.2589833333</v>
      </c>
      <c r="AP26" s="121" t="str">
        <f>IFERROR(
AVERAGEIFS(
'New 20102013 LF Efficacy'!$J:$J,
'New 20102013 LF Efficacy'!$D:$D,$A26,
'New 20102013 LF Efficacy'!$F:$F,"Albendazole &amp; DEC",
'New 20102013 LF Efficacy'!$W:$W,"&lt;2011",
'New 20102013 LF Efficacy'!$AA:$AA,""),
"")
</f>
        <v/>
      </c>
      <c r="AQ26" s="115">
        <f t="shared" si="13"/>
        <v>0.3465</v>
      </c>
      <c r="AR26" s="121" t="str">
        <f>IFERROR(
AVERAGEIFS(
'New 20102013 LF Efficacy'!$J:$J,
'New 20102013 LF Efficacy'!$D:$D,$A26,
'New 20102013 LF Efficacy'!$F:$F,"Albendazole &amp; Ivermectin", 
'New 20102013 LF Efficacy'!$W:$W,"&lt;2011",
'New 20102013 LF Efficacy'!$AA:$AA,""),"")</f>
        <v/>
      </c>
      <c r="AS26" s="115">
        <f t="shared" si="14"/>
        <v>0.7575</v>
      </c>
      <c r="AT26" s="130" t="str">
        <f>IFERROR(AVERAGEIFS(
'20102013 Schist Efficacy'!$O:$O, 
'20102013 Schist Efficacy'!$C:$C,$A26, 
'20102013 Schist Efficacy'!$D:$D, "Praziquantel",
'20102013 Schist Efficacy'!$J:$J,"&lt;2011",
'20102013 Schist Efficacy'!$U:$U,""),
"")</f>
        <v/>
      </c>
      <c r="AU26" s="118">
        <f t="shared" si="15"/>
        <v>0.7732631579</v>
      </c>
      <c r="AV26" s="131" t="str">
        <f>IFERROR(AVERAGEIFS(
'20102013 STH Efficacy'!$AX:$AX, 
'20102013 STH Efficacy'!$AL:$AL, $A26, 
'20102013 STH Efficacy'!$AM:$AM, "Albendazole",
'20102013 STH Efficacy'!$AS:$AS,"&lt;2011",
'20102013 STH Efficacy'!$BP:$BP,""),
"")</f>
        <v/>
      </c>
      <c r="AW26" s="132">
        <f t="shared" si="16"/>
        <v>0.3945</v>
      </c>
      <c r="AX26" s="131" t="str">
        <f>IFERROR(AVERAGEIFS(
'20102013 STH Efficacy'!$AX:$AX, 
'20102013 STH Efficacy'!$AL:$AL, $A26, 
'20102013 STH Efficacy'!$AM:$AM, "Mebendazole",
'20102013 STH Efficacy'!$AS:$AS,"&lt;2011",
'20102013 STH Efficacy'!$BP:$BP,""),
"")</f>
        <v/>
      </c>
      <c r="AY26" s="132">
        <f t="shared" si="17"/>
        <v>0.6</v>
      </c>
      <c r="AZ26" s="131" t="str">
        <f>IFERROR(AVERAGEIFS(
'20102013 STH Efficacy'!$AX:$AX, 
'20102013 STH Efficacy'!$AL:$AL, $A26, 
'20102013 STH Efficacy'!$AM:$AM, "Albendazole &amp; Ivermectin",
'20102013 STH Efficacy'!$AS:$AS,"&lt;2011",
'20102013 STH Efficacy'!$BP:$BP,""),
"")</f>
        <v/>
      </c>
      <c r="BA26" s="133">
        <f t="shared" si="18"/>
        <v>0.796</v>
      </c>
      <c r="BB26" s="134" t="str">
        <f>IFERROR(AVERAGEIFS(
'20102013 STH Efficacy'!$N:$N, 
'20102013 STH Efficacy'!$B:$B, $A26, 
'20102013 STH Efficacy'!$C:$C, "Albendazole",
'20102013 STH Efficacy'!$I:$I,"&lt;2011",
'20102013 STH Efficacy'!$AH:$AH,""),
"")</f>
        <v/>
      </c>
      <c r="BC26" s="135">
        <f t="shared" si="19"/>
        <v>0.869</v>
      </c>
      <c r="BD26" s="134" t="str">
        <f>IFERROR(AVERAGEIFS(
'20102013 STH Efficacy'!$N:$N, 
'20102013 STH Efficacy'!$B:$B, $A26, 
'20102013 STH Efficacy'!$C:$C, "Mebendazole",
'20102013 STH Efficacy'!$I:$I,"&lt;2011",
'20102013 STH Efficacy'!$AH:$AH,""),
"")</f>
        <v/>
      </c>
      <c r="BE26" s="135">
        <f t="shared" si="20"/>
        <v>0.172</v>
      </c>
      <c r="BF26" s="128" t="str">
        <f>IFERROR(AVERAGEIFS(
'20102013 STH Efficacy'!$CD:$CD, 
'20102013 STH Efficacy'!$BS:$BS, $A26, 
'20102013 STH Efficacy'!$BT:$BT, "Albendazole",
'20102013 STH Efficacy'!$BZ:$BZ,"&lt;2011",
'20102013 STH Efficacy'!$CU:$CU,""),
"")</f>
        <v/>
      </c>
      <c r="BG26" s="136">
        <f t="shared" si="21"/>
        <v>0.9862</v>
      </c>
      <c r="BH26" s="128" t="str">
        <f>IFERROR(AVERAGEIFS(
'20102013 STH Efficacy'!$CD:$CD, 
'20102013 STH Efficacy'!$BS:$BS, $A26, 
'20102013 STH Efficacy'!$BT:$BT, "Mebendazole",
'20102013 STH Efficacy'!$BZ:$BZ,"&lt;2011",
'20102013 STH Efficacy'!$CU:$CU,""),
"")</f>
        <v/>
      </c>
      <c r="BI26" s="136">
        <f t="shared" si="22"/>
        <v>0.769</v>
      </c>
      <c r="BJ26" s="128" t="str">
        <f>IFERROR(AVERAGEIFS(
'20102013 STH Efficacy'!$CD:$CD, 
'20102013 STH Efficacy'!$BS:$BS, $A26, 
'20102013 STH Efficacy'!$BT:$BT, "Albendazole &amp; Ivermectin",
'20102013 STH Efficacy'!$BZ:$BZ,"&lt;2011",
'20102013 STH Efficacy'!$CU:$CU,""),
"")</f>
        <v/>
      </c>
      <c r="BK26" s="136">
        <f t="shared" si="23"/>
        <v>1</v>
      </c>
      <c r="BL26" s="137"/>
      <c r="BM26" s="137"/>
      <c r="BN26" s="138">
        <v>0.0</v>
      </c>
      <c r="BO26" s="139">
        <v>0.0</v>
      </c>
      <c r="BP26" s="140">
        <v>0.0</v>
      </c>
      <c r="BQ26" s="141">
        <f t="shared" si="24"/>
        <v>0</v>
      </c>
      <c r="BR26" s="104" t="str">
        <f t="shared" si="25"/>
        <v>0000</v>
      </c>
      <c r="BS26" s="104" t="str">
        <f t="shared" si="26"/>
        <v>no action required</v>
      </c>
      <c r="BT26" s="142" t="str">
        <f t="shared" si="27"/>
        <v/>
      </c>
      <c r="BU26" s="104" t="str">
        <f t="shared" si="28"/>
        <v/>
      </c>
      <c r="BV26" s="104" t="str">
        <f t="shared" si="29"/>
        <v>none</v>
      </c>
      <c r="BW26" s="150" t="str">
        <f t="shared" si="30"/>
        <v/>
      </c>
      <c r="BX26" s="150" t="str">
        <f t="shared" si="31"/>
        <v/>
      </c>
      <c r="BY26" s="151" t="str">
        <f t="shared" si="32"/>
        <v/>
      </c>
      <c r="BZ26" s="152" t="str">
        <f t="shared" si="33"/>
        <v/>
      </c>
      <c r="CA26" s="152" t="str">
        <f t="shared" si="34"/>
        <v/>
      </c>
      <c r="CB26" s="152" t="str">
        <f t="shared" si="35"/>
        <v/>
      </c>
      <c r="CC26" s="153" t="str">
        <f t="shared" si="36"/>
        <v/>
      </c>
      <c r="CD26" s="153" t="str">
        <f t="shared" si="37"/>
        <v/>
      </c>
      <c r="CE26" s="154" t="str">
        <f t="shared" si="38"/>
        <v/>
      </c>
      <c r="CF26" s="154" t="str">
        <f t="shared" si="39"/>
        <v/>
      </c>
      <c r="CG26" s="154" t="str">
        <f t="shared" si="40"/>
        <v/>
      </c>
    </row>
    <row r="27">
      <c r="A27" s="103" t="s">
        <v>116</v>
      </c>
      <c r="B27" s="104" t="s">
        <v>109</v>
      </c>
      <c r="C27" s="105">
        <v>727641.0</v>
      </c>
      <c r="D27" s="106">
        <v>0.0</v>
      </c>
      <c r="E27" s="107">
        <v>0.0</v>
      </c>
      <c r="F27" s="108">
        <v>0.049156021</v>
      </c>
      <c r="G27" s="108">
        <v>0.243079853</v>
      </c>
      <c r="H27" s="108">
        <v>0.292235873</v>
      </c>
      <c r="I27" s="109">
        <v>3.00082622</v>
      </c>
      <c r="J27" s="109">
        <v>5.64433935</v>
      </c>
      <c r="K27" s="109">
        <v>8.64516557</v>
      </c>
      <c r="L27" s="112">
        <v>60.80563397</v>
      </c>
      <c r="M27" s="112">
        <v>18.72143933</v>
      </c>
      <c r="N27" s="112">
        <v>79.5270733</v>
      </c>
      <c r="O27" s="113"/>
      <c r="P27" s="114"/>
      <c r="Q27" s="114"/>
      <c r="R27" s="115" t="str">
        <f t="shared" si="8"/>
        <v/>
      </c>
      <c r="S27" s="116">
        <f t="shared" si="9"/>
        <v>0.3842933666</v>
      </c>
      <c r="T27" s="117"/>
      <c r="U27" s="118">
        <f t="shared" si="41"/>
        <v>0.7367</v>
      </c>
      <c r="V27" s="148"/>
      <c r="W27" s="120">
        <f t="shared" si="10"/>
        <v>0.32505</v>
      </c>
      <c r="X27" s="148"/>
      <c r="Y27" s="120">
        <f t="shared" si="11"/>
        <v>0.3778666667</v>
      </c>
      <c r="Z27" s="121"/>
      <c r="AA27" s="121"/>
      <c r="AB27" s="121"/>
      <c r="AC27" s="121"/>
      <c r="AD27" s="122">
        <v>0.0</v>
      </c>
      <c r="AE27" s="123">
        <v>0.0</v>
      </c>
      <c r="AF27" s="123">
        <v>0.0</v>
      </c>
      <c r="AG27" s="124">
        <v>0.0331</v>
      </c>
      <c r="AH27" s="124">
        <v>0.05386392</v>
      </c>
      <c r="AI27" s="125">
        <v>0.0069</v>
      </c>
      <c r="AJ27" s="125">
        <v>0.011320212</v>
      </c>
      <c r="AK27" s="127">
        <v>0.07</v>
      </c>
      <c r="AL27" s="127">
        <v>0.116714765</v>
      </c>
      <c r="AM27" s="128"/>
      <c r="AN27" s="149" t="str">
        <f>IFERROR(
  AVERAGEIFS(
    'New 20102013 LF Efficacy'!$J:$J,
    'New 20102013 LF Efficacy'!$D:$D, $A27,
    'New 20102013 LF Efficacy'!$F:$F,"DEC", 
    'New 20102013 LF Efficacy'!$W:$W,"&lt;2011",
    'New 20102013 LF Efficacy'!$AA:$AA,""),
  ""
)</f>
        <v/>
      </c>
      <c r="AO27" s="115">
        <f t="shared" si="12"/>
        <v>0.478175</v>
      </c>
      <c r="AP27" s="121" t="str">
        <f>IFERROR(
AVERAGEIFS(
'New 20102013 LF Efficacy'!$J:$J,
'New 20102013 LF Efficacy'!$D:$D,$A27,
'New 20102013 LF Efficacy'!$F:$F,"Albendazole &amp; DEC",
'New 20102013 LF Efficacy'!$W:$W,"&lt;2011",
'New 20102013 LF Efficacy'!$AA:$AA,""),
"")
</f>
        <v/>
      </c>
      <c r="AQ27" s="115">
        <f t="shared" si="13"/>
        <v>0.5831666667</v>
      </c>
      <c r="AR27" s="121" t="str">
        <f>IFERROR(
AVERAGEIFS(
'New 20102013 LF Efficacy'!$J:$J,
'New 20102013 LF Efficacy'!$D:$D,$A27,
'New 20102013 LF Efficacy'!$F:$F,"Albendazole &amp; Ivermectin", 
'New 20102013 LF Efficacy'!$W:$W,"&lt;2011",
'New 20102013 LF Efficacy'!$AA:$AA,""),"")</f>
        <v/>
      </c>
      <c r="AS27" s="115">
        <f t="shared" si="14"/>
        <v>0.14</v>
      </c>
      <c r="AT27" s="130" t="str">
        <f>IFERROR(AVERAGEIFS(
'20102013 Schist Efficacy'!$O:$O, 
'20102013 Schist Efficacy'!$C:$C,$A27, 
'20102013 Schist Efficacy'!$D:$D, "Praziquantel",
'20102013 Schist Efficacy'!$J:$J,"&lt;2011",
'20102013 Schist Efficacy'!$U:$U,""),
"")</f>
        <v/>
      </c>
      <c r="AU27" s="118">
        <f t="shared" si="15"/>
        <v>0.6869715828</v>
      </c>
      <c r="AV27" s="131" t="str">
        <f>IFERROR(AVERAGEIFS(
'20102013 STH Efficacy'!$AX:$AX, 
'20102013 STH Efficacy'!$AL:$AL, $A27, 
'20102013 STH Efficacy'!$AM:$AM, "Albendazole",
'20102013 STH Efficacy'!$AS:$AS,"&lt;2011",
'20102013 STH Efficacy'!$BP:$BP,""),
"")</f>
        <v/>
      </c>
      <c r="AW27" s="132">
        <f t="shared" si="16"/>
        <v>0.4756666667</v>
      </c>
      <c r="AX27" s="131" t="str">
        <f>IFERROR(AVERAGEIFS(
'20102013 STH Efficacy'!$AX:$AX, 
'20102013 STH Efficacy'!$AL:$AL, $A27, 
'20102013 STH Efficacy'!$AM:$AM, "Mebendazole",
'20102013 STH Efficacy'!$AS:$AS,"&lt;2011",
'20102013 STH Efficacy'!$BP:$BP,""),
"")</f>
        <v/>
      </c>
      <c r="AY27" s="132">
        <f t="shared" si="17"/>
        <v>0.3786666667</v>
      </c>
      <c r="AZ27" s="131" t="str">
        <f>IFERROR(AVERAGEIFS(
'20102013 STH Efficacy'!$AX:$AX, 
'20102013 STH Efficacy'!$AL:$AL, $A27, 
'20102013 STH Efficacy'!$AM:$AM, "Albendazole &amp; Ivermectin",
'20102013 STH Efficacy'!$AS:$AS,"&lt;2011",
'20102013 STH Efficacy'!$BP:$BP,""),
"")</f>
        <v/>
      </c>
      <c r="BA27" s="133">
        <f t="shared" si="18"/>
        <v>0.7176666667</v>
      </c>
      <c r="BB27" s="134" t="str">
        <f>IFERROR(AVERAGEIFS(
'20102013 STH Efficacy'!$N:$N, 
'20102013 STH Efficacy'!$B:$B, $A27, 
'20102013 STH Efficacy'!$C:$C, "Albendazole",
'20102013 STH Efficacy'!$I:$I,"&lt;2011",
'20102013 STH Efficacy'!$AH:$AH,""),
"")</f>
        <v/>
      </c>
      <c r="BC27" s="135">
        <f t="shared" si="19"/>
        <v>0.7133333333</v>
      </c>
      <c r="BD27" s="134" t="str">
        <f>IFERROR(AVERAGEIFS(
'20102013 STH Efficacy'!$N:$N, 
'20102013 STH Efficacy'!$B:$B, $A27, 
'20102013 STH Efficacy'!$C:$C, "Mebendazole",
'20102013 STH Efficacy'!$I:$I,"&lt;2011",
'20102013 STH Efficacy'!$AH:$AH,""),
"")</f>
        <v/>
      </c>
      <c r="BE27" s="135">
        <f t="shared" si="20"/>
        <v>0.22675</v>
      </c>
      <c r="BF27" s="128" t="str">
        <f>IFERROR(AVERAGEIFS(
'20102013 STH Efficacy'!$CD:$CD, 
'20102013 STH Efficacy'!$BS:$BS, $A27, 
'20102013 STH Efficacy'!$BT:$BT, "Albendazole",
'20102013 STH Efficacy'!$BZ:$BZ,"&lt;2011",
'20102013 STH Efficacy'!$CU:$CU,""),
"")</f>
        <v/>
      </c>
      <c r="BG27" s="136">
        <f t="shared" si="21"/>
        <v>1</v>
      </c>
      <c r="BH27" s="128" t="str">
        <f>IFERROR(AVERAGEIFS(
'20102013 STH Efficacy'!$CD:$CD, 
'20102013 STH Efficacy'!$BS:$BS, $A27, 
'20102013 STH Efficacy'!$BT:$BT, "Mebendazole",
'20102013 STH Efficacy'!$BZ:$BZ,"&lt;2011",
'20102013 STH Efficacy'!$CU:$CU,""),
"")</f>
        <v/>
      </c>
      <c r="BI27" s="136">
        <f t="shared" si="22"/>
        <v>1</v>
      </c>
      <c r="BJ27" s="128" t="str">
        <f>IFERROR(AVERAGEIFS(
'20102013 STH Efficacy'!$CD:$CD, 
'20102013 STH Efficacy'!$BS:$BS, $A27, 
'20102013 STH Efficacy'!$BT:$BT, "Albendazole &amp; Ivermectin",
'20102013 STH Efficacy'!$BZ:$BZ,"&lt;2011",
'20102013 STH Efficacy'!$CU:$CU,""),
"")</f>
        <v/>
      </c>
      <c r="BK27" s="136">
        <f t="shared" si="23"/>
        <v>1</v>
      </c>
      <c r="BL27" s="137"/>
      <c r="BM27" s="137"/>
      <c r="BN27" s="138">
        <v>0.0</v>
      </c>
      <c r="BO27" s="139">
        <v>0.0</v>
      </c>
      <c r="BP27" s="140">
        <v>0.0</v>
      </c>
      <c r="BQ27" s="141">
        <f t="shared" si="24"/>
        <v>0</v>
      </c>
      <c r="BR27" s="104" t="str">
        <f t="shared" si="25"/>
        <v>0000</v>
      </c>
      <c r="BS27" s="104" t="str">
        <f t="shared" si="26"/>
        <v>no action required</v>
      </c>
      <c r="BT27" s="142" t="str">
        <f t="shared" si="27"/>
        <v/>
      </c>
      <c r="BU27" s="104" t="str">
        <f t="shared" si="28"/>
        <v/>
      </c>
      <c r="BV27" s="104" t="str">
        <f t="shared" si="29"/>
        <v>none</v>
      </c>
      <c r="BW27" s="150" t="str">
        <f t="shared" si="30"/>
        <v/>
      </c>
      <c r="BX27" s="150" t="str">
        <f t="shared" si="31"/>
        <v/>
      </c>
      <c r="BY27" s="151" t="str">
        <f t="shared" si="32"/>
        <v/>
      </c>
      <c r="BZ27" s="152" t="str">
        <f t="shared" si="33"/>
        <v/>
      </c>
      <c r="CA27" s="152" t="str">
        <f t="shared" si="34"/>
        <v/>
      </c>
      <c r="CB27" s="152" t="str">
        <f t="shared" si="35"/>
        <v/>
      </c>
      <c r="CC27" s="153" t="str">
        <f t="shared" si="36"/>
        <v/>
      </c>
      <c r="CD27" s="153" t="str">
        <f t="shared" si="37"/>
        <v/>
      </c>
      <c r="CE27" s="154" t="str">
        <f t="shared" si="38"/>
        <v/>
      </c>
      <c r="CF27" s="154" t="str">
        <f t="shared" si="39"/>
        <v/>
      </c>
      <c r="CG27" s="154" t="str">
        <f t="shared" si="40"/>
        <v/>
      </c>
    </row>
    <row r="28">
      <c r="A28" s="155" t="s">
        <v>117</v>
      </c>
      <c r="B28" s="104" t="s">
        <v>98</v>
      </c>
      <c r="C28" s="105">
        <v>9918242.0</v>
      </c>
      <c r="D28" s="106">
        <v>0.0</v>
      </c>
      <c r="E28" s="107">
        <v>0.0</v>
      </c>
      <c r="F28" s="108">
        <v>5.881344824</v>
      </c>
      <c r="G28" s="108">
        <v>28.63813634</v>
      </c>
      <c r="H28" s="157">
        <v>34.51948117</v>
      </c>
      <c r="I28" s="110">
        <v>420.126662</v>
      </c>
      <c r="J28" s="110">
        <v>1336.28986</v>
      </c>
      <c r="K28" s="109">
        <v>1756.416523</v>
      </c>
      <c r="L28" s="112">
        <v>487.8913322</v>
      </c>
      <c r="M28" s="112">
        <v>145.285589</v>
      </c>
      <c r="N28" s="112">
        <v>633.1769212</v>
      </c>
      <c r="O28" s="113"/>
      <c r="P28" s="114"/>
      <c r="Q28" s="114"/>
      <c r="R28" s="115" t="str">
        <f t="shared" si="8"/>
        <v/>
      </c>
      <c r="S28" s="116">
        <f t="shared" si="9"/>
        <v>0.14553293</v>
      </c>
      <c r="T28" s="117"/>
      <c r="U28" s="118">
        <f t="shared" si="41"/>
        <v>0.39435</v>
      </c>
      <c r="V28" s="148"/>
      <c r="W28" s="120">
        <f t="shared" si="10"/>
        <v>0.3616</v>
      </c>
      <c r="X28" s="119">
        <v>0.0251</v>
      </c>
      <c r="Y28" s="120">
        <f t="shared" si="11"/>
        <v>0.0251</v>
      </c>
      <c r="Z28" s="121"/>
      <c r="AA28" s="121"/>
      <c r="AB28" s="121"/>
      <c r="AC28" s="121"/>
      <c r="AD28" s="122">
        <v>0.0</v>
      </c>
      <c r="AE28" s="123">
        <v>0.0</v>
      </c>
      <c r="AF28" s="123">
        <v>0.0</v>
      </c>
      <c r="AG28" s="124">
        <v>0.0463</v>
      </c>
      <c r="AH28" s="124">
        <v>0.072098433</v>
      </c>
      <c r="AI28" s="125">
        <v>0.0834</v>
      </c>
      <c r="AJ28" s="125">
        <v>0.129173941</v>
      </c>
      <c r="AK28" s="127">
        <v>0.05</v>
      </c>
      <c r="AL28" s="127">
        <v>0.071669466</v>
      </c>
      <c r="AM28" s="128"/>
      <c r="AN28" s="149" t="str">
        <f>IFERROR(
  AVERAGEIFS(
    'New 20102013 LF Efficacy'!$J:$J,
    'New 20102013 LF Efficacy'!$D:$D, $A28,
    'New 20102013 LF Efficacy'!$F:$F,"DEC", 
    'New 20102013 LF Efficacy'!$W:$W,"&lt;2011",
    'New 20102013 LF Efficacy'!$AA:$AA,""),
  ""
)</f>
        <v/>
      </c>
      <c r="AO28" s="115">
        <f t="shared" si="12"/>
        <v>0.2589833333</v>
      </c>
      <c r="AP28" s="121" t="str">
        <f>IFERROR(
AVERAGEIFS(
'New 20102013 LF Efficacy'!$J:$J,
'New 20102013 LF Efficacy'!$D:$D,$A28,
'New 20102013 LF Efficacy'!$F:$F,"Albendazole &amp; DEC",
'New 20102013 LF Efficacy'!$W:$W,"&lt;2011",
'New 20102013 LF Efficacy'!$AA:$AA,""),
"")
</f>
        <v/>
      </c>
      <c r="AQ28" s="115">
        <f t="shared" si="13"/>
        <v>0.3465</v>
      </c>
      <c r="AR28" s="121" t="str">
        <f>IFERROR(
AVERAGEIFS(
'New 20102013 LF Efficacy'!$J:$J,
'New 20102013 LF Efficacy'!$D:$D,$A28,
'New 20102013 LF Efficacy'!$F:$F,"Albendazole &amp; Ivermectin", 
'New 20102013 LF Efficacy'!$W:$W,"&lt;2011",
'New 20102013 LF Efficacy'!$AA:$AA,""),"")</f>
        <v/>
      </c>
      <c r="AS28" s="115">
        <f t="shared" si="14"/>
        <v>0.7575</v>
      </c>
      <c r="AT28" s="130" t="str">
        <f>IFERROR(AVERAGEIFS(
'20102013 Schist Efficacy'!$O:$O, 
'20102013 Schist Efficacy'!$C:$C,$A28, 
'20102013 Schist Efficacy'!$D:$D, "Praziquantel",
'20102013 Schist Efficacy'!$J:$J,"&lt;2011",
'20102013 Schist Efficacy'!$U:$U,""),
"")</f>
        <v/>
      </c>
      <c r="AU28" s="118">
        <f t="shared" si="15"/>
        <v>0.7732631579</v>
      </c>
      <c r="AV28" s="131">
        <f>IFERROR(AVERAGEIFS(
'20102013 STH Efficacy'!$AX:$AX, 
'20102013 STH Efficacy'!$AL:$AL, $A28, 
'20102013 STH Efficacy'!$AM:$AM, "Albendazole",
'20102013 STH Efficacy'!$AS:$AS,"&lt;2011",
'20102013 STH Efficacy'!$BP:$BP,""),
"")</f>
        <v>0.333</v>
      </c>
      <c r="AW28" s="132">
        <f t="shared" si="16"/>
        <v>0.333</v>
      </c>
      <c r="AX28" s="131">
        <f>IFERROR(AVERAGEIFS(
'20102013 STH Efficacy'!$AX:$AX, 
'20102013 STH Efficacy'!$AL:$AL, $A28, 
'20102013 STH Efficacy'!$AM:$AM, "Mebendazole",
'20102013 STH Efficacy'!$AS:$AS,"&lt;2011",
'20102013 STH Efficacy'!$BP:$BP,""),
"")</f>
        <v>0.6</v>
      </c>
      <c r="AY28" s="132">
        <f t="shared" si="17"/>
        <v>0.6</v>
      </c>
      <c r="AZ28" s="131" t="str">
        <f>IFERROR(AVERAGEIFS(
'20102013 STH Efficacy'!$AX:$AX, 
'20102013 STH Efficacy'!$AL:$AL, $A28, 
'20102013 STH Efficacy'!$AM:$AM, "Albendazole &amp; Ivermectin",
'20102013 STH Efficacy'!$AS:$AS,"&lt;2011",
'20102013 STH Efficacy'!$BP:$BP,""),
"")</f>
        <v/>
      </c>
      <c r="BA28" s="133">
        <f t="shared" si="18"/>
        <v>0.796</v>
      </c>
      <c r="BB28" s="134">
        <f>IFERROR(AVERAGEIFS(
'20102013 STH Efficacy'!$N:$N, 
'20102013 STH Efficacy'!$B:$B, $A28, 
'20102013 STH Efficacy'!$C:$C, "Albendazole",
'20102013 STH Efficacy'!$I:$I,"&lt;2011",
'20102013 STH Efficacy'!$AH:$AH,""),
"")</f>
        <v>0.818</v>
      </c>
      <c r="BC28" s="135">
        <f t="shared" si="19"/>
        <v>0.818</v>
      </c>
      <c r="BD28" s="134">
        <f>IFERROR(AVERAGEIFS(
'20102013 STH Efficacy'!$N:$N, 
'20102013 STH Efficacy'!$B:$B, $A28, 
'20102013 STH Efficacy'!$C:$C, "Mebendazole",
'20102013 STH Efficacy'!$I:$I,"&lt;2011",
'20102013 STH Efficacy'!$AH:$AH,""),
"")</f>
        <v>0.172</v>
      </c>
      <c r="BE28" s="135">
        <f t="shared" si="20"/>
        <v>0.172</v>
      </c>
      <c r="BF28" s="128" t="str">
        <f>IFERROR(AVERAGEIFS(
'20102013 STH Efficacy'!$CD:$CD, 
'20102013 STH Efficacy'!$BS:$BS, $A28, 
'20102013 STH Efficacy'!$BT:$BT, "Albendazole",
'20102013 STH Efficacy'!$BZ:$BZ,"&lt;2011",
'20102013 STH Efficacy'!$CU:$CU,""),
"")</f>
        <v/>
      </c>
      <c r="BG28" s="136">
        <f t="shared" si="21"/>
        <v>0.9862</v>
      </c>
      <c r="BH28" s="128" t="str">
        <f>IFERROR(AVERAGEIFS(
'20102013 STH Efficacy'!$CD:$CD, 
'20102013 STH Efficacy'!$BS:$BS, $A28, 
'20102013 STH Efficacy'!$BT:$BT, "Mebendazole",
'20102013 STH Efficacy'!$BZ:$BZ,"&lt;2011",
'20102013 STH Efficacy'!$CU:$CU,""),
"")</f>
        <v/>
      </c>
      <c r="BI28" s="136">
        <f t="shared" si="22"/>
        <v>0.769</v>
      </c>
      <c r="BJ28" s="128" t="str">
        <f>IFERROR(AVERAGEIFS(
'20102013 STH Efficacy'!$CD:$CD, 
'20102013 STH Efficacy'!$BS:$BS, $A28, 
'20102013 STH Efficacy'!$BT:$BT, "Albendazole &amp; Ivermectin",
'20102013 STH Efficacy'!$BZ:$BZ,"&lt;2011",
'20102013 STH Efficacy'!$CU:$CU,""),
"")</f>
        <v/>
      </c>
      <c r="BK28" s="136">
        <f t="shared" si="23"/>
        <v>1</v>
      </c>
      <c r="BL28" s="137"/>
      <c r="BM28" s="137"/>
      <c r="BN28" s="138">
        <v>0.0</v>
      </c>
      <c r="BO28" s="139">
        <v>0.0</v>
      </c>
      <c r="BP28" s="140">
        <v>0.0</v>
      </c>
      <c r="BQ28" s="141">
        <f t="shared" si="24"/>
        <v>0</v>
      </c>
      <c r="BR28" s="104" t="str">
        <f t="shared" si="25"/>
        <v>0000</v>
      </c>
      <c r="BS28" s="104" t="str">
        <f t="shared" si="26"/>
        <v>no action required</v>
      </c>
      <c r="BT28" s="142" t="str">
        <f t="shared" si="27"/>
        <v/>
      </c>
      <c r="BU28" s="104" t="str">
        <f t="shared" si="28"/>
        <v/>
      </c>
      <c r="BV28" s="104" t="str">
        <f t="shared" si="29"/>
        <v>none</v>
      </c>
      <c r="BW28" s="150" t="str">
        <f t="shared" si="30"/>
        <v/>
      </c>
      <c r="BX28" s="150" t="str">
        <f t="shared" si="31"/>
        <v/>
      </c>
      <c r="BY28" s="151" t="str">
        <f t="shared" si="32"/>
        <v/>
      </c>
      <c r="BZ28" s="152" t="str">
        <f t="shared" si="33"/>
        <v/>
      </c>
      <c r="CA28" s="152" t="str">
        <f t="shared" si="34"/>
        <v/>
      </c>
      <c r="CB28" s="152" t="str">
        <f t="shared" si="35"/>
        <v/>
      </c>
      <c r="CC28" s="153" t="str">
        <f t="shared" si="36"/>
        <v/>
      </c>
      <c r="CD28" s="153" t="str">
        <f t="shared" si="37"/>
        <v/>
      </c>
      <c r="CE28" s="154" t="str">
        <f t="shared" si="38"/>
        <v/>
      </c>
      <c r="CF28" s="154" t="str">
        <f t="shared" si="39"/>
        <v/>
      </c>
      <c r="CG28" s="154" t="str">
        <f t="shared" si="40"/>
        <v/>
      </c>
    </row>
    <row r="29">
      <c r="A29" s="155" t="s">
        <v>118</v>
      </c>
      <c r="B29" s="104" t="s">
        <v>98</v>
      </c>
      <c r="C29" s="171"/>
      <c r="D29" s="106">
        <v>0.0</v>
      </c>
      <c r="E29" s="107">
        <v>0.0</v>
      </c>
      <c r="F29" s="163"/>
      <c r="G29" s="163"/>
      <c r="H29" s="108">
        <v>0.0</v>
      </c>
      <c r="I29" s="109">
        <v>0.0</v>
      </c>
      <c r="J29" s="109">
        <v>0.0</v>
      </c>
      <c r="K29" s="109">
        <v>0.0</v>
      </c>
      <c r="L29" s="113"/>
      <c r="M29" s="113"/>
      <c r="N29" s="112">
        <v>0.0</v>
      </c>
      <c r="O29" s="113"/>
      <c r="P29" s="114"/>
      <c r="Q29" s="114"/>
      <c r="R29" s="115" t="str">
        <f t="shared" si="8"/>
        <v/>
      </c>
      <c r="S29" s="116">
        <f t="shared" si="9"/>
        <v>0.14553293</v>
      </c>
      <c r="T29" s="117"/>
      <c r="U29" s="118">
        <f t="shared" si="41"/>
        <v>0.39435</v>
      </c>
      <c r="V29" s="148"/>
      <c r="W29" s="120">
        <f t="shared" si="10"/>
        <v>0.3616</v>
      </c>
      <c r="X29" s="148"/>
      <c r="Y29" s="120">
        <f t="shared" si="11"/>
        <v>0.5015615385</v>
      </c>
      <c r="Z29" s="114"/>
      <c r="AA29" s="114"/>
      <c r="AB29" s="114"/>
      <c r="AC29" s="114"/>
      <c r="AD29" s="164">
        <v>0.0</v>
      </c>
      <c r="AE29" s="165">
        <v>0.0</v>
      </c>
      <c r="AF29" s="166">
        <v>0.0</v>
      </c>
      <c r="AG29" s="167">
        <v>0.0</v>
      </c>
      <c r="AH29" s="167">
        <v>0.0</v>
      </c>
      <c r="AI29" s="168">
        <v>0.0</v>
      </c>
      <c r="AJ29" s="168">
        <v>0.0</v>
      </c>
      <c r="AK29" s="126">
        <v>0.0</v>
      </c>
      <c r="AL29" s="169">
        <v>0.0</v>
      </c>
      <c r="AM29" s="128"/>
      <c r="AN29" s="149" t="str">
        <f>IFERROR(
  AVERAGEIFS(
    'New 20102013 LF Efficacy'!$J:$J,
    'New 20102013 LF Efficacy'!$D:$D, $A29,
    'New 20102013 LF Efficacy'!$F:$F,"DEC", 
    'New 20102013 LF Efficacy'!$W:$W,"&lt;2011",
    'New 20102013 LF Efficacy'!$AA:$AA,""),
  ""
)</f>
        <v/>
      </c>
      <c r="AO29" s="115">
        <f t="shared" si="12"/>
        <v>0.2589833333</v>
      </c>
      <c r="AP29" s="121" t="str">
        <f>IFERROR(
AVERAGEIFS(
'New 20102013 LF Efficacy'!$J:$J,
'New 20102013 LF Efficacy'!$D:$D,$A29,
'New 20102013 LF Efficacy'!$F:$F,"Albendazole &amp; DEC",
'New 20102013 LF Efficacy'!$W:$W,"&lt;2011",
'New 20102013 LF Efficacy'!$AA:$AA,""),
"")
</f>
        <v/>
      </c>
      <c r="AQ29" s="115">
        <f t="shared" si="13"/>
        <v>0.3465</v>
      </c>
      <c r="AR29" s="121" t="str">
        <f>IFERROR(
AVERAGEIFS(
'New 20102013 LF Efficacy'!$J:$J,
'New 20102013 LF Efficacy'!$D:$D,$A29,
'New 20102013 LF Efficacy'!$F:$F,"Albendazole &amp; Ivermectin", 
'New 20102013 LF Efficacy'!$W:$W,"&lt;2011",
'New 20102013 LF Efficacy'!$AA:$AA,""),"")</f>
        <v/>
      </c>
      <c r="AS29" s="115">
        <f t="shared" si="14"/>
        <v>0.7575</v>
      </c>
      <c r="AT29" s="130" t="str">
        <f>IFERROR(AVERAGEIFS(
'20102013 Schist Efficacy'!$O:$O, 
'20102013 Schist Efficacy'!$C:$C,$A29, 
'20102013 Schist Efficacy'!$D:$D, "Praziquantel",
'20102013 Schist Efficacy'!$J:$J,"&lt;2011",
'20102013 Schist Efficacy'!$U:$U,""),
"")</f>
        <v/>
      </c>
      <c r="AU29" s="118">
        <f t="shared" si="15"/>
        <v>0.7732631579</v>
      </c>
      <c r="AV29" s="131" t="str">
        <f>IFERROR(AVERAGEIFS(
'20102013 STH Efficacy'!$AX:$AX, 
'20102013 STH Efficacy'!$AL:$AL, $A29, 
'20102013 STH Efficacy'!$AM:$AM, "Albendazole",
'20102013 STH Efficacy'!$AS:$AS,"&lt;2011",
'20102013 STH Efficacy'!$BP:$BP,""),
"")</f>
        <v/>
      </c>
      <c r="AW29" s="132">
        <f t="shared" si="16"/>
        <v>0.3945</v>
      </c>
      <c r="AX29" s="131" t="str">
        <f>IFERROR(AVERAGEIFS(
'20102013 STH Efficacy'!$AX:$AX, 
'20102013 STH Efficacy'!$AL:$AL, $A29, 
'20102013 STH Efficacy'!$AM:$AM, "Mebendazole",
'20102013 STH Efficacy'!$AS:$AS,"&lt;2011",
'20102013 STH Efficacy'!$BP:$BP,""),
"")</f>
        <v/>
      </c>
      <c r="AY29" s="132">
        <f t="shared" si="17"/>
        <v>0.6</v>
      </c>
      <c r="AZ29" s="131" t="str">
        <f>IFERROR(AVERAGEIFS(
'20102013 STH Efficacy'!$AX:$AX, 
'20102013 STH Efficacy'!$AL:$AL, $A29, 
'20102013 STH Efficacy'!$AM:$AM, "Albendazole &amp; Ivermectin",
'20102013 STH Efficacy'!$AS:$AS,"&lt;2011",
'20102013 STH Efficacy'!$BP:$BP,""),
"")</f>
        <v/>
      </c>
      <c r="BA29" s="133">
        <f t="shared" si="18"/>
        <v>0.796</v>
      </c>
      <c r="BB29" s="134" t="str">
        <f>IFERROR(AVERAGEIFS(
'20102013 STH Efficacy'!$N:$N, 
'20102013 STH Efficacy'!$B:$B, $A29, 
'20102013 STH Efficacy'!$C:$C, "Albendazole",
'20102013 STH Efficacy'!$I:$I,"&lt;2011",
'20102013 STH Efficacy'!$AH:$AH,""),
"")</f>
        <v/>
      </c>
      <c r="BC29" s="135">
        <f t="shared" si="19"/>
        <v>0.869</v>
      </c>
      <c r="BD29" s="134" t="str">
        <f>IFERROR(AVERAGEIFS(
'20102013 STH Efficacy'!$N:$N, 
'20102013 STH Efficacy'!$B:$B, $A29, 
'20102013 STH Efficacy'!$C:$C, "Mebendazole",
'20102013 STH Efficacy'!$I:$I,"&lt;2011",
'20102013 STH Efficacy'!$AH:$AH,""),
"")</f>
        <v/>
      </c>
      <c r="BE29" s="135">
        <f t="shared" si="20"/>
        <v>0.172</v>
      </c>
      <c r="BF29" s="128" t="str">
        <f>IFERROR(AVERAGEIFS(
'20102013 STH Efficacy'!$CD:$CD, 
'20102013 STH Efficacy'!$BS:$BS, $A29, 
'20102013 STH Efficacy'!$BT:$BT, "Albendazole",
'20102013 STH Efficacy'!$BZ:$BZ,"&lt;2011",
'20102013 STH Efficacy'!$CU:$CU,""),
"")</f>
        <v/>
      </c>
      <c r="BG29" s="136">
        <f t="shared" si="21"/>
        <v>0.9862</v>
      </c>
      <c r="BH29" s="128" t="str">
        <f>IFERROR(AVERAGEIFS(
'20102013 STH Efficacy'!$CD:$CD, 
'20102013 STH Efficacy'!$BS:$BS, $A29, 
'20102013 STH Efficacy'!$BT:$BT, "Mebendazole",
'20102013 STH Efficacy'!$BZ:$BZ,"&lt;2011",
'20102013 STH Efficacy'!$CU:$CU,""),
"")</f>
        <v/>
      </c>
      <c r="BI29" s="136">
        <f t="shared" si="22"/>
        <v>0.769</v>
      </c>
      <c r="BJ29" s="128" t="str">
        <f>IFERROR(AVERAGEIFS(
'20102013 STH Efficacy'!$CD:$CD, 
'20102013 STH Efficacy'!$BS:$BS, $A29, 
'20102013 STH Efficacy'!$BT:$BT, "Albendazole &amp; Ivermectin",
'20102013 STH Efficacy'!$BZ:$BZ,"&lt;2011",
'20102013 STH Efficacy'!$CU:$CU,""),
"")</f>
        <v/>
      </c>
      <c r="BK29" s="136">
        <f t="shared" si="23"/>
        <v>1</v>
      </c>
      <c r="BL29" s="137"/>
      <c r="BM29" s="137"/>
      <c r="BN29" s="138">
        <v>0.0</v>
      </c>
      <c r="BO29" s="139">
        <v>0.0</v>
      </c>
      <c r="BP29" s="140">
        <v>0.0</v>
      </c>
      <c r="BQ29" s="141">
        <f t="shared" si="24"/>
        <v>0</v>
      </c>
      <c r="BR29" s="104" t="str">
        <f t="shared" si="25"/>
        <v>0000</v>
      </c>
      <c r="BS29" s="104" t="str">
        <f t="shared" si="26"/>
        <v>no action required</v>
      </c>
      <c r="BT29" s="142" t="str">
        <f t="shared" si="27"/>
        <v/>
      </c>
      <c r="BU29" s="104" t="str">
        <f t="shared" si="28"/>
        <v/>
      </c>
      <c r="BV29" s="104" t="str">
        <f t="shared" si="29"/>
        <v>none</v>
      </c>
      <c r="BW29" s="150" t="str">
        <f t="shared" si="30"/>
        <v/>
      </c>
      <c r="BX29" s="150" t="str">
        <f t="shared" si="31"/>
        <v/>
      </c>
      <c r="BY29" s="151" t="str">
        <f t="shared" si="32"/>
        <v/>
      </c>
      <c r="BZ29" s="152" t="str">
        <f t="shared" si="33"/>
        <v/>
      </c>
      <c r="CA29" s="152" t="str">
        <f t="shared" si="34"/>
        <v/>
      </c>
      <c r="CB29" s="152" t="str">
        <f t="shared" si="35"/>
        <v/>
      </c>
      <c r="CC29" s="153" t="str">
        <f t="shared" si="36"/>
        <v/>
      </c>
      <c r="CD29" s="153" t="str">
        <f t="shared" si="37"/>
        <v/>
      </c>
      <c r="CE29" s="154" t="str">
        <f t="shared" si="38"/>
        <v/>
      </c>
      <c r="CF29" s="154" t="str">
        <f t="shared" si="39"/>
        <v/>
      </c>
      <c r="CG29" s="154" t="str">
        <f t="shared" si="40"/>
        <v/>
      </c>
    </row>
    <row r="30">
      <c r="A30" s="155" t="s">
        <v>119</v>
      </c>
      <c r="B30" s="104" t="s">
        <v>90</v>
      </c>
      <c r="C30" s="105">
        <v>3722084.0</v>
      </c>
      <c r="D30" s="106">
        <v>0.0</v>
      </c>
      <c r="E30" s="107">
        <v>0.0</v>
      </c>
      <c r="F30" s="108">
        <v>0.0</v>
      </c>
      <c r="G30" s="108">
        <v>0.0</v>
      </c>
      <c r="H30" s="108">
        <v>0.0</v>
      </c>
      <c r="I30" s="109">
        <v>0.0</v>
      </c>
      <c r="J30" s="109">
        <v>0.0</v>
      </c>
      <c r="K30" s="109">
        <v>0.0</v>
      </c>
      <c r="L30" s="112">
        <v>0.0</v>
      </c>
      <c r="M30" s="112">
        <v>0.0</v>
      </c>
      <c r="N30" s="112">
        <v>0.0</v>
      </c>
      <c r="O30" s="113"/>
      <c r="P30" s="114"/>
      <c r="Q30" s="114"/>
      <c r="R30" s="115" t="str">
        <f t="shared" si="8"/>
        <v/>
      </c>
      <c r="S30" s="116">
        <f t="shared" si="9"/>
        <v>0.4013436246</v>
      </c>
      <c r="T30" s="117"/>
      <c r="U30" s="118">
        <f t="shared" si="41"/>
        <v>0.3468166667</v>
      </c>
      <c r="V30" s="148"/>
      <c r="W30" s="120">
        <f t="shared" si="10"/>
        <v>1</v>
      </c>
      <c r="X30" s="148"/>
      <c r="Y30" s="120">
        <f t="shared" si="11"/>
        <v>0.71735</v>
      </c>
      <c r="Z30" s="114"/>
      <c r="AA30" s="114"/>
      <c r="AB30" s="114"/>
      <c r="AC30" s="114"/>
      <c r="AD30" s="164">
        <v>0.0</v>
      </c>
      <c r="AE30" s="123">
        <v>0.0</v>
      </c>
      <c r="AF30" s="123">
        <v>0.0</v>
      </c>
      <c r="AG30" s="124">
        <v>0.0</v>
      </c>
      <c r="AH30" s="124">
        <v>0.0</v>
      </c>
      <c r="AI30" s="125">
        <v>0.0</v>
      </c>
      <c r="AJ30" s="125">
        <v>0.0</v>
      </c>
      <c r="AK30" s="126">
        <v>0.0</v>
      </c>
      <c r="AL30" s="169">
        <v>0.0</v>
      </c>
      <c r="AM30" s="128"/>
      <c r="AN30" s="149" t="str">
        <f>IFERROR(
  AVERAGEIFS(
    'New 20102013 LF Efficacy'!$J:$J,
    'New 20102013 LF Efficacy'!$D:$D, $A30,
    'New 20102013 LF Efficacy'!$F:$F,"DEC", 
    'New 20102013 LF Efficacy'!$W:$W,"&lt;2011",
    'New 20102013 LF Efficacy'!$AA:$AA,""),
  ""
)</f>
        <v/>
      </c>
      <c r="AO30" s="115">
        <f t="shared" si="12"/>
        <v>0.3573520833</v>
      </c>
      <c r="AP30" s="121" t="str">
        <f>IFERROR(
AVERAGEIFS(
'New 20102013 LF Efficacy'!$J:$J,
'New 20102013 LF Efficacy'!$D:$D,$A30,
'New 20102013 LF Efficacy'!$F:$F,"Albendazole &amp; DEC",
'New 20102013 LF Efficacy'!$W:$W,"&lt;2011",
'New 20102013 LF Efficacy'!$AA:$AA,""),
"")
</f>
        <v/>
      </c>
      <c r="AQ30" s="115">
        <f t="shared" si="13"/>
        <v>0.5137291667</v>
      </c>
      <c r="AR30" s="121" t="str">
        <f>IFERROR(
AVERAGEIFS(
'New 20102013 LF Efficacy'!$J:$J,
'New 20102013 LF Efficacy'!$D:$D,$A30,
'New 20102013 LF Efficacy'!$F:$F,"Albendazole &amp; Ivermectin", 
'New 20102013 LF Efficacy'!$W:$W,"&lt;2011",
'New 20102013 LF Efficacy'!$AA:$AA,""),"")</f>
        <v/>
      </c>
      <c r="AS30" s="115">
        <f t="shared" si="14"/>
        <v>0.37153125</v>
      </c>
      <c r="AT30" s="130" t="str">
        <f>IFERROR(AVERAGEIFS(
'20102013 Schist Efficacy'!$O:$O, 
'20102013 Schist Efficacy'!$C:$C,$A30, 
'20102013 Schist Efficacy'!$D:$D, "Praziquantel",
'20102013 Schist Efficacy'!$J:$J,"&lt;2011",
'20102013 Schist Efficacy'!$U:$U,""),
"")</f>
        <v/>
      </c>
      <c r="AU30" s="118">
        <f t="shared" si="15"/>
        <v>0.655</v>
      </c>
      <c r="AV30" s="131" t="str">
        <f>IFERROR(AVERAGEIFS(
'20102013 STH Efficacy'!$AX:$AX, 
'20102013 STH Efficacy'!$AL:$AL, $A30, 
'20102013 STH Efficacy'!$AM:$AM, "Albendazole",
'20102013 STH Efficacy'!$AS:$AS,"&lt;2011",
'20102013 STH Efficacy'!$BP:$BP,""),
"")</f>
        <v/>
      </c>
      <c r="AW30" s="132">
        <f t="shared" si="16"/>
        <v>0.3842878788</v>
      </c>
      <c r="AX30" s="131" t="str">
        <f>IFERROR(AVERAGEIFS(
'20102013 STH Efficacy'!$AX:$AX, 
'20102013 STH Efficacy'!$AL:$AL, $A30, 
'20102013 STH Efficacy'!$AM:$AM, "Mebendazole",
'20102013 STH Efficacy'!$AS:$AS,"&lt;2011",
'20102013 STH Efficacy'!$BP:$BP,""),
"")</f>
        <v/>
      </c>
      <c r="AY30" s="132">
        <f t="shared" si="17"/>
        <v>0.5121666667</v>
      </c>
      <c r="AZ30" s="131" t="str">
        <f>IFERROR(AVERAGEIFS(
'20102013 STH Efficacy'!$AX:$AX, 
'20102013 STH Efficacy'!$AL:$AL, $A30, 
'20102013 STH Efficacy'!$AM:$AM, "Albendazole &amp; Ivermectin",
'20102013 STH Efficacy'!$AS:$AS,"&lt;2011",
'20102013 STH Efficacy'!$BP:$BP,""),
"")</f>
        <v/>
      </c>
      <c r="BA30" s="133">
        <f t="shared" si="18"/>
        <v>0.7176666667</v>
      </c>
      <c r="BB30" s="134" t="str">
        <f>IFERROR(AVERAGEIFS(
'20102013 STH Efficacy'!$N:$N, 
'20102013 STH Efficacy'!$B:$B, $A30, 
'20102013 STH Efficacy'!$C:$C, "Albendazole",
'20102013 STH Efficacy'!$I:$I,"&lt;2011",
'20102013 STH Efficacy'!$AH:$AH,""),
"")</f>
        <v/>
      </c>
      <c r="BC30" s="135">
        <f t="shared" si="19"/>
        <v>0.7630416667</v>
      </c>
      <c r="BD30" s="134" t="str">
        <f>IFERROR(AVERAGEIFS(
'20102013 STH Efficacy'!$N:$N, 
'20102013 STH Efficacy'!$B:$B, $A30, 
'20102013 STH Efficacy'!$C:$C, "Mebendazole",
'20102013 STH Efficacy'!$I:$I,"&lt;2011",
'20102013 STH Efficacy'!$AH:$AH,""),
"")</f>
        <v/>
      </c>
      <c r="BE30" s="135">
        <f t="shared" si="20"/>
        <v>0.4405966667</v>
      </c>
      <c r="BF30" s="128" t="str">
        <f>IFERROR(AVERAGEIFS(
'20102013 STH Efficacy'!$CD:$CD, 
'20102013 STH Efficacy'!$BS:$BS, $A30, 
'20102013 STH Efficacy'!$BT:$BT, "Albendazole",
'20102013 STH Efficacy'!$BZ:$BZ,"&lt;2011",
'20102013 STH Efficacy'!$CU:$CU,""),
"")</f>
        <v/>
      </c>
      <c r="BG30" s="136">
        <f t="shared" si="21"/>
        <v>0.9403222222</v>
      </c>
      <c r="BH30" s="128" t="str">
        <f>IFERROR(AVERAGEIFS(
'20102013 STH Efficacy'!$CD:$CD, 
'20102013 STH Efficacy'!$BS:$BS, $A30, 
'20102013 STH Efficacy'!$BT:$BT, "Mebendazole",
'20102013 STH Efficacy'!$BZ:$BZ,"&lt;2011",
'20102013 STH Efficacy'!$CU:$CU,""),
"")</f>
        <v/>
      </c>
      <c r="BI30" s="136">
        <f t="shared" si="22"/>
        <v>0.9229285714</v>
      </c>
      <c r="BJ30" s="128" t="str">
        <f>IFERROR(AVERAGEIFS(
'20102013 STH Efficacy'!$CD:$CD, 
'20102013 STH Efficacy'!$BS:$BS, $A30, 
'20102013 STH Efficacy'!$BT:$BT, "Albendazole &amp; Ivermectin",
'20102013 STH Efficacy'!$BZ:$BZ,"&lt;2011",
'20102013 STH Efficacy'!$CU:$CU,""),
"")</f>
        <v/>
      </c>
      <c r="BK30" s="136">
        <f t="shared" si="23"/>
        <v>1</v>
      </c>
      <c r="BL30" s="137"/>
      <c r="BM30" s="137"/>
      <c r="BN30" s="138">
        <v>0.0</v>
      </c>
      <c r="BO30" s="139">
        <v>0.0</v>
      </c>
      <c r="BP30" s="140">
        <v>0.0</v>
      </c>
      <c r="BQ30" s="141">
        <f t="shared" si="24"/>
        <v>0</v>
      </c>
      <c r="BR30" s="104" t="str">
        <f t="shared" si="25"/>
        <v>0000</v>
      </c>
      <c r="BS30" s="104" t="str">
        <f t="shared" si="26"/>
        <v>no action required</v>
      </c>
      <c r="BT30" s="142" t="str">
        <f t="shared" si="27"/>
        <v/>
      </c>
      <c r="BU30" s="104" t="str">
        <f t="shared" si="28"/>
        <v/>
      </c>
      <c r="BV30" s="104" t="str">
        <f t="shared" si="29"/>
        <v>none</v>
      </c>
      <c r="BW30" s="150" t="str">
        <f t="shared" si="30"/>
        <v/>
      </c>
      <c r="BX30" s="150" t="str">
        <f t="shared" si="31"/>
        <v/>
      </c>
      <c r="BY30" s="151" t="str">
        <f t="shared" si="32"/>
        <v/>
      </c>
      <c r="BZ30" s="152" t="str">
        <f t="shared" si="33"/>
        <v/>
      </c>
      <c r="CA30" s="152" t="str">
        <f t="shared" si="34"/>
        <v/>
      </c>
      <c r="CB30" s="152" t="str">
        <f t="shared" si="35"/>
        <v/>
      </c>
      <c r="CC30" s="153" t="str">
        <f t="shared" si="36"/>
        <v/>
      </c>
      <c r="CD30" s="153" t="str">
        <f t="shared" si="37"/>
        <v/>
      </c>
      <c r="CE30" s="154" t="str">
        <f t="shared" si="38"/>
        <v/>
      </c>
      <c r="CF30" s="154" t="str">
        <f t="shared" si="39"/>
        <v/>
      </c>
      <c r="CG30" s="154" t="str">
        <f t="shared" si="40"/>
        <v/>
      </c>
    </row>
    <row r="31">
      <c r="A31" s="103" t="s">
        <v>120</v>
      </c>
      <c r="B31" s="104" t="s">
        <v>92</v>
      </c>
      <c r="C31" s="105">
        <v>2014866.0</v>
      </c>
      <c r="D31" s="106">
        <v>0.0</v>
      </c>
      <c r="E31" s="107">
        <v>2846.625772</v>
      </c>
      <c r="F31" s="108">
        <v>18.08892637</v>
      </c>
      <c r="G31" s="108">
        <v>77.46110421</v>
      </c>
      <c r="H31" s="108">
        <v>95.55003057</v>
      </c>
      <c r="I31" s="109">
        <v>130.466249</v>
      </c>
      <c r="J31" s="109">
        <v>347.524433</v>
      </c>
      <c r="K31" s="109">
        <v>477.9906819</v>
      </c>
      <c r="L31" s="112">
        <v>11.60284175</v>
      </c>
      <c r="M31" s="112">
        <v>9.26882163</v>
      </c>
      <c r="N31" s="112">
        <v>20.87166338</v>
      </c>
      <c r="O31" s="113"/>
      <c r="P31" s="114"/>
      <c r="Q31" s="114"/>
      <c r="R31" s="115" t="str">
        <f t="shared" si="8"/>
        <v/>
      </c>
      <c r="S31" s="116">
        <f t="shared" si="9"/>
        <v>0.1716437208</v>
      </c>
      <c r="T31" s="117"/>
      <c r="U31" s="118">
        <f t="shared" si="41"/>
        <v>0.252</v>
      </c>
      <c r="V31" s="148"/>
      <c r="W31" s="120">
        <f t="shared" si="10"/>
        <v>0.7266555556</v>
      </c>
      <c r="X31" s="148"/>
      <c r="Y31" s="120">
        <f t="shared" si="11"/>
        <v>0.4342071429</v>
      </c>
      <c r="Z31" s="121"/>
      <c r="AA31" s="121"/>
      <c r="AB31" s="121"/>
      <c r="AC31" s="121"/>
      <c r="AD31" s="122">
        <v>0.0</v>
      </c>
      <c r="AE31" s="123">
        <v>0.16</v>
      </c>
      <c r="AF31" s="123">
        <v>0.0445</v>
      </c>
      <c r="AG31" s="124">
        <v>0.1468</v>
      </c>
      <c r="AH31" s="124">
        <v>0.227945261</v>
      </c>
      <c r="AI31" s="125">
        <v>0.1234</v>
      </c>
      <c r="AJ31" s="125">
        <v>0.198704476</v>
      </c>
      <c r="AK31" s="127">
        <v>0.05</v>
      </c>
      <c r="AL31" s="127">
        <v>0.076636206</v>
      </c>
      <c r="AM31" s="128"/>
      <c r="AN31" s="149" t="str">
        <f>IFERROR(
  AVERAGEIFS(
    'New 20102013 LF Efficacy'!$J:$J,
    'New 20102013 LF Efficacy'!$D:$D, $A31,
    'New 20102013 LF Efficacy'!$F:$F,"DEC", 
    'New 20102013 LF Efficacy'!$W:$W,"&lt;2011",
    'New 20102013 LF Efficacy'!$AA:$AA,""),
  ""
)</f>
        <v/>
      </c>
      <c r="AO31" s="115">
        <f t="shared" si="12"/>
        <v>0.31225</v>
      </c>
      <c r="AP31" s="121" t="str">
        <f>IFERROR(
AVERAGEIFS(
'New 20102013 LF Efficacy'!$J:$J,
'New 20102013 LF Efficacy'!$D:$D,$A31,
'New 20102013 LF Efficacy'!$F:$F,"Albendazole &amp; DEC",
'New 20102013 LF Efficacy'!$W:$W,"&lt;2011",
'New 20102013 LF Efficacy'!$AA:$AA,""),
"")
</f>
        <v/>
      </c>
      <c r="AQ31" s="115">
        <f t="shared" si="13"/>
        <v>0.4</v>
      </c>
      <c r="AR31" s="121" t="str">
        <f>IFERROR(
AVERAGEIFS(
'New 20102013 LF Efficacy'!$J:$J,
'New 20102013 LF Efficacy'!$D:$D,$A31,
'New 20102013 LF Efficacy'!$F:$F,"Albendazole &amp; Ivermectin", 
'New 20102013 LF Efficacy'!$W:$W,"&lt;2011",
'New 20102013 LF Efficacy'!$AA:$AA,""),"")</f>
        <v/>
      </c>
      <c r="AS31" s="115">
        <f t="shared" si="14"/>
        <v>0.2943125</v>
      </c>
      <c r="AT31" s="130" t="str">
        <f>IFERROR(AVERAGEIFS(
'20102013 Schist Efficacy'!$O:$O, 
'20102013 Schist Efficacy'!$C:$C,$A31, 
'20102013 Schist Efficacy'!$D:$D, "Praziquantel",
'20102013 Schist Efficacy'!$J:$J,"&lt;2011",
'20102013 Schist Efficacy'!$U:$U,""),
"")</f>
        <v/>
      </c>
      <c r="AU31" s="118">
        <f t="shared" si="15"/>
        <v>0.6444020147</v>
      </c>
      <c r="AV31" s="131" t="str">
        <f>IFERROR(AVERAGEIFS(
'20102013 STH Efficacy'!$AX:$AX, 
'20102013 STH Efficacy'!$AL:$AL, $A31, 
'20102013 STH Efficacy'!$AM:$AM, "Albendazole",
'20102013 STH Efficacy'!$AS:$AS,"&lt;2011",
'20102013 STH Efficacy'!$BP:$BP,""),
"")</f>
        <v/>
      </c>
      <c r="AW31" s="132">
        <f t="shared" si="16"/>
        <v>0.3538333333</v>
      </c>
      <c r="AX31" s="131" t="str">
        <f>IFERROR(AVERAGEIFS(
'20102013 STH Efficacy'!$AX:$AX, 
'20102013 STH Efficacy'!$AL:$AL, $A31, 
'20102013 STH Efficacy'!$AM:$AM, "Mebendazole",
'20102013 STH Efficacy'!$AS:$AS,"&lt;2011",
'20102013 STH Efficacy'!$BP:$BP,""),
"")</f>
        <v/>
      </c>
      <c r="AY31" s="132">
        <f t="shared" si="17"/>
        <v>0.5918333333</v>
      </c>
      <c r="AZ31" s="131" t="str">
        <f>IFERROR(AVERAGEIFS(
'20102013 STH Efficacy'!$AX:$AX, 
'20102013 STH Efficacy'!$AL:$AL, $A31, 
'20102013 STH Efficacy'!$AM:$AM, "Albendazole &amp; Ivermectin",
'20102013 STH Efficacy'!$AS:$AS,"&lt;2011",
'20102013 STH Efficacy'!$BP:$BP,""),
"")</f>
        <v/>
      </c>
      <c r="BA31" s="133">
        <f t="shared" si="18"/>
        <v>0.706</v>
      </c>
      <c r="BB31" s="134" t="str">
        <f>IFERROR(AVERAGEIFS(
'20102013 STH Efficacy'!$N:$N, 
'20102013 STH Efficacy'!$B:$B, $A31, 
'20102013 STH Efficacy'!$C:$C, "Albendazole",
'20102013 STH Efficacy'!$I:$I,"&lt;2011",
'20102013 STH Efficacy'!$AH:$AH,""),
"")</f>
        <v/>
      </c>
      <c r="BC31" s="135">
        <f t="shared" si="19"/>
        <v>0.9116666667</v>
      </c>
      <c r="BD31" s="134" t="str">
        <f>IFERROR(AVERAGEIFS(
'20102013 STH Efficacy'!$N:$N, 
'20102013 STH Efficacy'!$B:$B, $A31, 
'20102013 STH Efficacy'!$C:$C, "Mebendazole",
'20102013 STH Efficacy'!$I:$I,"&lt;2011",
'20102013 STH Efficacy'!$AH:$AH,""),
"")</f>
        <v/>
      </c>
      <c r="BE31" s="135">
        <f t="shared" si="20"/>
        <v>0.7092416667</v>
      </c>
      <c r="BF31" s="128" t="str">
        <f>IFERROR(AVERAGEIFS(
'20102013 STH Efficacy'!$CD:$CD, 
'20102013 STH Efficacy'!$BS:$BS, $A31, 
'20102013 STH Efficacy'!$BT:$BT, "Albendazole",
'20102013 STH Efficacy'!$BZ:$BZ,"&lt;2011",
'20102013 STH Efficacy'!$CU:$CU,""),
"")</f>
        <v/>
      </c>
      <c r="BG31" s="136">
        <f t="shared" si="21"/>
        <v>0.8656666667</v>
      </c>
      <c r="BH31" s="128" t="str">
        <f>IFERROR(AVERAGEIFS(
'20102013 STH Efficacy'!$CD:$CD, 
'20102013 STH Efficacy'!$BS:$BS, $A31, 
'20102013 STH Efficacy'!$BT:$BT, "Mebendazole",
'20102013 STH Efficacy'!$BZ:$BZ,"&lt;2011",
'20102013 STH Efficacy'!$CU:$CU,""),
"")</f>
        <v/>
      </c>
      <c r="BI31" s="136">
        <f t="shared" si="22"/>
        <v>0.9203333333</v>
      </c>
      <c r="BJ31" s="128" t="str">
        <f>IFERROR(AVERAGEIFS(
'20102013 STH Efficacy'!$CD:$CD, 
'20102013 STH Efficacy'!$BS:$BS, $A31, 
'20102013 STH Efficacy'!$BT:$BT, "Albendazole &amp; Ivermectin",
'20102013 STH Efficacy'!$BZ:$BZ,"&lt;2011",
'20102013 STH Efficacy'!$CU:$CU,""),
"")</f>
        <v/>
      </c>
      <c r="BK31" s="136">
        <f t="shared" si="23"/>
        <v>1</v>
      </c>
      <c r="BL31" s="137"/>
      <c r="BM31" s="137"/>
      <c r="BN31" s="138">
        <v>0.0</v>
      </c>
      <c r="BO31" s="139">
        <v>1.0</v>
      </c>
      <c r="BP31" s="140">
        <v>1.0</v>
      </c>
      <c r="BQ31" s="141">
        <f t="shared" si="24"/>
        <v>0</v>
      </c>
      <c r="BR31" s="104" t="str">
        <f t="shared" si="25"/>
        <v>0110</v>
      </c>
      <c r="BS31" s="104" t="str">
        <f t="shared" si="26"/>
        <v>MDA3+T2</v>
      </c>
      <c r="BT31" s="142" t="str">
        <f t="shared" si="27"/>
        <v>IVM</v>
      </c>
      <c r="BU31" s="104" t="str">
        <f t="shared" si="28"/>
        <v>PZQ</v>
      </c>
      <c r="BV31" s="104" t="str">
        <f t="shared" si="29"/>
        <v>onch+schist</v>
      </c>
      <c r="BW31" s="150" t="str">
        <f t="shared" si="30"/>
        <v/>
      </c>
      <c r="BX31" s="150" t="str">
        <f t="shared" si="31"/>
        <v/>
      </c>
      <c r="BY31" s="162">
        <f t="shared" si="32"/>
        <v>551.8811933</v>
      </c>
      <c r="BZ31" s="152" t="str">
        <f t="shared" si="33"/>
        <v/>
      </c>
      <c r="CA31" s="152" t="str">
        <f t="shared" si="34"/>
        <v/>
      </c>
      <c r="CB31" s="152" t="str">
        <f t="shared" si="35"/>
        <v/>
      </c>
      <c r="CC31" s="153" t="str">
        <f t="shared" si="36"/>
        <v/>
      </c>
      <c r="CD31" s="153" t="str">
        <f t="shared" si="37"/>
        <v/>
      </c>
      <c r="CE31" s="154" t="str">
        <f t="shared" si="38"/>
        <v/>
      </c>
      <c r="CF31" s="154" t="str">
        <f t="shared" si="39"/>
        <v/>
      </c>
      <c r="CG31" s="154" t="str">
        <f t="shared" si="40"/>
        <v/>
      </c>
    </row>
    <row r="32">
      <c r="A32" s="103" t="s">
        <v>121</v>
      </c>
      <c r="B32" s="104" t="s">
        <v>98</v>
      </c>
      <c r="C32" s="105">
        <v>1.96796269E8</v>
      </c>
      <c r="D32" s="106">
        <v>218.1447916</v>
      </c>
      <c r="E32" s="107">
        <v>125760.3165</v>
      </c>
      <c r="F32" s="108">
        <v>335.4116792</v>
      </c>
      <c r="G32" s="108">
        <v>2214.937171</v>
      </c>
      <c r="H32" s="157">
        <v>2550.34885</v>
      </c>
      <c r="I32" s="110">
        <v>1849.54989</v>
      </c>
      <c r="J32" s="110">
        <v>6320.15414</v>
      </c>
      <c r="K32" s="109">
        <v>8169.704034</v>
      </c>
      <c r="L32" s="112">
        <v>2283.007046</v>
      </c>
      <c r="M32" s="112">
        <v>4950.128689</v>
      </c>
      <c r="N32" s="158">
        <v>7233.135735</v>
      </c>
      <c r="O32" s="159"/>
      <c r="P32" s="160">
        <v>1700000.0</v>
      </c>
      <c r="Q32" s="160">
        <v>154056.0</v>
      </c>
      <c r="R32" s="115">
        <f t="shared" si="8"/>
        <v>0.09062117647</v>
      </c>
      <c r="S32" s="116">
        <f t="shared" si="9"/>
        <v>0.09062117647</v>
      </c>
      <c r="T32" s="130"/>
      <c r="U32" s="118">
        <f t="shared" si="41"/>
        <v>0.39435</v>
      </c>
      <c r="V32" s="148"/>
      <c r="W32" s="120">
        <f t="shared" si="10"/>
        <v>0.3616</v>
      </c>
      <c r="X32" s="148"/>
      <c r="Y32" s="120">
        <f t="shared" si="11"/>
        <v>0.5015615385</v>
      </c>
      <c r="Z32" s="121"/>
      <c r="AA32" s="121"/>
      <c r="AB32" s="121"/>
      <c r="AC32" s="121"/>
      <c r="AD32" s="122">
        <v>0.0</v>
      </c>
      <c r="AE32" s="123">
        <v>0.08</v>
      </c>
      <c r="AF32" s="123">
        <v>0.0013</v>
      </c>
      <c r="AG32" s="124">
        <v>0.0458</v>
      </c>
      <c r="AH32" s="124">
        <v>0.068160764</v>
      </c>
      <c r="AI32" s="125">
        <v>0.0351</v>
      </c>
      <c r="AJ32" s="125">
        <v>0.052596302</v>
      </c>
      <c r="AK32" s="127">
        <v>0.08</v>
      </c>
      <c r="AL32" s="127">
        <v>0.126722365</v>
      </c>
      <c r="AM32" s="128"/>
      <c r="AN32" s="149">
        <f>IFERROR(
  AVERAGEIFS(
    'New 20102013 LF Efficacy'!$J:$J,
    'New 20102013 LF Efficacy'!$D:$D, $A32,
    'New 20102013 LF Efficacy'!$F:$F,"DEC", 
    'New 20102013 LF Efficacy'!$W:$W,"&lt;2011",
    'New 20102013 LF Efficacy'!$AA:$AA,""),
  ""
)</f>
        <v>0.426</v>
      </c>
      <c r="AO32" s="115">
        <f t="shared" si="12"/>
        <v>0.426</v>
      </c>
      <c r="AP32" s="121">
        <f>IFERROR(
AVERAGEIFS(
'New 20102013 LF Efficacy'!$J:$J,
'New 20102013 LF Efficacy'!$D:$D,$A32,
'New 20102013 LF Efficacy'!$F:$F,"Albendazole &amp; DEC",
'New 20102013 LF Efficacy'!$W:$W,"&lt;2011",
'New 20102013 LF Efficacy'!$AA:$AA,""),
"")
</f>
        <v>0.579</v>
      </c>
      <c r="AQ32" s="115">
        <f t="shared" si="13"/>
        <v>0.579</v>
      </c>
      <c r="AR32" s="121" t="str">
        <f>IFERROR(
AVERAGEIFS(
'New 20102013 LF Efficacy'!$J:$J,
'New 20102013 LF Efficacy'!$D:$D,$A32,
'New 20102013 LF Efficacy'!$F:$F,"Albendazole &amp; Ivermectin", 
'New 20102013 LF Efficacy'!$W:$W,"&lt;2011",
'New 20102013 LF Efficacy'!$AA:$AA,""),"")</f>
        <v/>
      </c>
      <c r="AS32" s="115">
        <f t="shared" si="14"/>
        <v>0.7575</v>
      </c>
      <c r="AT32" s="130">
        <f>IFERROR(AVERAGEIFS(
'20102013 Schist Efficacy'!$O:$O, 
'20102013 Schist Efficacy'!$C:$C,$A32, 
'20102013 Schist Efficacy'!$D:$D, "Praziquantel",
'20102013 Schist Efficacy'!$J:$J,"&lt;2011",
'20102013 Schist Efficacy'!$U:$U,""),
"")</f>
        <v>0.7732631579</v>
      </c>
      <c r="AU32" s="118">
        <f t="shared" si="15"/>
        <v>0.7732631579</v>
      </c>
      <c r="AV32" s="131" t="str">
        <f>IFERROR(AVERAGEIFS(
'20102013 STH Efficacy'!$AX:$AX, 
'20102013 STH Efficacy'!$AL:$AL, $A32, 
'20102013 STH Efficacy'!$AM:$AM, "Albendazole",
'20102013 STH Efficacy'!$AS:$AS,"&lt;2011",
'20102013 STH Efficacy'!$BP:$BP,""),
"")</f>
        <v/>
      </c>
      <c r="AW32" s="132">
        <f t="shared" si="16"/>
        <v>0.3945</v>
      </c>
      <c r="AX32" s="131" t="str">
        <f>IFERROR(AVERAGEIFS(
'20102013 STH Efficacy'!$AX:$AX, 
'20102013 STH Efficacy'!$AL:$AL, $A32, 
'20102013 STH Efficacy'!$AM:$AM, "Mebendazole",
'20102013 STH Efficacy'!$AS:$AS,"&lt;2011",
'20102013 STH Efficacy'!$BP:$BP,""),
"")</f>
        <v/>
      </c>
      <c r="AY32" s="132">
        <f t="shared" si="17"/>
        <v>0.6</v>
      </c>
      <c r="AZ32" s="131" t="str">
        <f>IFERROR(AVERAGEIFS(
'20102013 STH Efficacy'!$AX:$AX, 
'20102013 STH Efficacy'!$AL:$AL, $A32, 
'20102013 STH Efficacy'!$AM:$AM, "Albendazole &amp; Ivermectin",
'20102013 STH Efficacy'!$AS:$AS,"&lt;2011",
'20102013 STH Efficacy'!$BP:$BP,""),
"")</f>
        <v/>
      </c>
      <c r="BA32" s="133">
        <f t="shared" si="18"/>
        <v>0.796</v>
      </c>
      <c r="BB32" s="134" t="str">
        <f>IFERROR(AVERAGEIFS(
'20102013 STH Efficacy'!$N:$N, 
'20102013 STH Efficacy'!$B:$B, $A32, 
'20102013 STH Efficacy'!$C:$C, "Albendazole",
'20102013 STH Efficacy'!$I:$I,"&lt;2011",
'20102013 STH Efficacy'!$AH:$AH,""),
"")</f>
        <v/>
      </c>
      <c r="BC32" s="135">
        <f t="shared" si="19"/>
        <v>0.869</v>
      </c>
      <c r="BD32" s="134" t="str">
        <f>IFERROR(AVERAGEIFS(
'20102013 STH Efficacy'!$N:$N, 
'20102013 STH Efficacy'!$B:$B, $A32, 
'20102013 STH Efficacy'!$C:$C, "Mebendazole",
'20102013 STH Efficacy'!$I:$I,"&lt;2011",
'20102013 STH Efficacy'!$AH:$AH,""),
"")</f>
        <v/>
      </c>
      <c r="BE32" s="135">
        <f t="shared" si="20"/>
        <v>0.172</v>
      </c>
      <c r="BF32" s="128" t="str">
        <f>IFERROR(AVERAGEIFS(
'20102013 STH Efficacy'!$CD:$CD, 
'20102013 STH Efficacy'!$BS:$BS, $A32, 
'20102013 STH Efficacy'!$BT:$BT, "Albendazole",
'20102013 STH Efficacy'!$BZ:$BZ,"&lt;2011",
'20102013 STH Efficacy'!$CU:$CU,""),
"")</f>
        <v/>
      </c>
      <c r="BG32" s="136">
        <f t="shared" si="21"/>
        <v>0.9862</v>
      </c>
      <c r="BH32" s="128" t="str">
        <f>IFERROR(AVERAGEIFS(
'20102013 STH Efficacy'!$CD:$CD, 
'20102013 STH Efficacy'!$BS:$BS, $A32, 
'20102013 STH Efficacy'!$BT:$BT, "Mebendazole",
'20102013 STH Efficacy'!$BZ:$BZ,"&lt;2011",
'20102013 STH Efficacy'!$CU:$CU,""),
"")</f>
        <v/>
      </c>
      <c r="BI32" s="136">
        <f t="shared" si="22"/>
        <v>0.769</v>
      </c>
      <c r="BJ32" s="128" t="str">
        <f>IFERROR(AVERAGEIFS(
'20102013 STH Efficacy'!$CD:$CD, 
'20102013 STH Efficacy'!$BS:$BS, $A32, 
'20102013 STH Efficacy'!$BT:$BT, "Albendazole &amp; Ivermectin",
'20102013 STH Efficacy'!$BZ:$BZ,"&lt;2011",
'20102013 STH Efficacy'!$CU:$CU,""),
"")</f>
        <v/>
      </c>
      <c r="BK32" s="136">
        <f t="shared" si="23"/>
        <v>1</v>
      </c>
      <c r="BL32" s="137"/>
      <c r="BM32" s="137"/>
      <c r="BN32" s="138">
        <v>1.0</v>
      </c>
      <c r="BO32" s="139">
        <v>1.0</v>
      </c>
      <c r="BP32" s="140">
        <v>1.0</v>
      </c>
      <c r="BQ32" s="141">
        <f t="shared" si="24"/>
        <v>0</v>
      </c>
      <c r="BR32" s="104" t="str">
        <f t="shared" si="25"/>
        <v>1110</v>
      </c>
      <c r="BS32" s="104" t="str">
        <f t="shared" si="26"/>
        <v>MDA1+T2</v>
      </c>
      <c r="BT32" s="142" t="str">
        <f t="shared" si="27"/>
        <v>IVM+ALB</v>
      </c>
      <c r="BU32" s="104" t="str">
        <f t="shared" si="28"/>
        <v>PZQ</v>
      </c>
      <c r="BV32" s="104" t="str">
        <f t="shared" si="29"/>
        <v>lf+onch+schist </v>
      </c>
      <c r="BW32" s="150" t="str">
        <f t="shared" si="30"/>
        <v/>
      </c>
      <c r="BX32" s="150">
        <f t="shared" si="31"/>
        <v>16.0783761</v>
      </c>
      <c r="BY32" s="162">
        <f t="shared" si="32"/>
        <v>55173.20263</v>
      </c>
      <c r="BZ32" s="152" t="str">
        <f t="shared" si="33"/>
        <v/>
      </c>
      <c r="CA32" s="152" t="str">
        <f t="shared" si="34"/>
        <v/>
      </c>
      <c r="CB32" s="152" t="str">
        <f t="shared" si="35"/>
        <v/>
      </c>
      <c r="CC32" s="153" t="str">
        <f t="shared" si="36"/>
        <v/>
      </c>
      <c r="CD32" s="153" t="str">
        <f t="shared" si="37"/>
        <v/>
      </c>
      <c r="CE32" s="154" t="str">
        <f t="shared" si="38"/>
        <v/>
      </c>
      <c r="CF32" s="154" t="str">
        <f t="shared" si="39"/>
        <v/>
      </c>
      <c r="CG32" s="154" t="str">
        <f t="shared" si="40"/>
        <v/>
      </c>
    </row>
    <row r="33">
      <c r="A33" s="155" t="s">
        <v>122</v>
      </c>
      <c r="B33" s="104" t="s">
        <v>98</v>
      </c>
      <c r="C33" s="105">
        <v>27224.0</v>
      </c>
      <c r="D33" s="106">
        <v>0.0</v>
      </c>
      <c r="E33" s="107">
        <v>0.0</v>
      </c>
      <c r="F33" s="163"/>
      <c r="G33" s="163"/>
      <c r="H33" s="108">
        <v>0.0</v>
      </c>
      <c r="I33" s="109">
        <v>0.0</v>
      </c>
      <c r="J33" s="109">
        <v>0.0</v>
      </c>
      <c r="K33" s="109">
        <v>0.0</v>
      </c>
      <c r="L33" s="113"/>
      <c r="M33" s="113"/>
      <c r="N33" s="112">
        <v>0.0</v>
      </c>
      <c r="O33" s="113"/>
      <c r="P33" s="114"/>
      <c r="Q33" s="114"/>
      <c r="R33" s="115" t="str">
        <f t="shared" si="8"/>
        <v/>
      </c>
      <c r="S33" s="116">
        <f t="shared" si="9"/>
        <v>0.14553293</v>
      </c>
      <c r="T33" s="117"/>
      <c r="U33" s="118">
        <f t="shared" si="41"/>
        <v>0.39435</v>
      </c>
      <c r="V33" s="148"/>
      <c r="W33" s="120">
        <f t="shared" si="10"/>
        <v>0.3616</v>
      </c>
      <c r="X33" s="148"/>
      <c r="Y33" s="120">
        <f t="shared" si="11"/>
        <v>0.5015615385</v>
      </c>
      <c r="Z33" s="114"/>
      <c r="AA33" s="114"/>
      <c r="AB33" s="114"/>
      <c r="AC33" s="114"/>
      <c r="AD33" s="164">
        <v>0.0</v>
      </c>
      <c r="AE33" s="165">
        <v>0.0</v>
      </c>
      <c r="AF33" s="166">
        <v>0.0</v>
      </c>
      <c r="AG33" s="167">
        <v>0.0</v>
      </c>
      <c r="AH33" s="172">
        <v>0.0</v>
      </c>
      <c r="AI33" s="168">
        <v>0.0</v>
      </c>
      <c r="AJ33" s="173">
        <v>0.0</v>
      </c>
      <c r="AK33" s="126">
        <v>0.0</v>
      </c>
      <c r="AL33" s="169">
        <v>0.0</v>
      </c>
      <c r="AM33" s="128"/>
      <c r="AN33" s="149" t="str">
        <f>IFERROR(
  AVERAGEIFS(
    'New 20102013 LF Efficacy'!$J:$J,
    'New 20102013 LF Efficacy'!$D:$D, $A33,
    'New 20102013 LF Efficacy'!$F:$F,"DEC", 
    'New 20102013 LF Efficacy'!$W:$W,"&lt;2011",
    'New 20102013 LF Efficacy'!$AA:$AA,""),
  ""
)</f>
        <v/>
      </c>
      <c r="AO33" s="115">
        <f t="shared" si="12"/>
        <v>0.2589833333</v>
      </c>
      <c r="AP33" s="121" t="str">
        <f>IFERROR(
AVERAGEIFS(
'New 20102013 LF Efficacy'!$J:$J,
'New 20102013 LF Efficacy'!$D:$D,$A33,
'New 20102013 LF Efficacy'!$F:$F,"Albendazole &amp; DEC",
'New 20102013 LF Efficacy'!$W:$W,"&lt;2011",
'New 20102013 LF Efficacy'!$AA:$AA,""),
"")
</f>
        <v/>
      </c>
      <c r="AQ33" s="115">
        <f t="shared" si="13"/>
        <v>0.3465</v>
      </c>
      <c r="AR33" s="121" t="str">
        <f>IFERROR(
AVERAGEIFS(
'New 20102013 LF Efficacy'!$J:$J,
'New 20102013 LF Efficacy'!$D:$D,$A33,
'New 20102013 LF Efficacy'!$F:$F,"Albendazole &amp; Ivermectin", 
'New 20102013 LF Efficacy'!$W:$W,"&lt;2011",
'New 20102013 LF Efficacy'!$AA:$AA,""),"")</f>
        <v/>
      </c>
      <c r="AS33" s="115">
        <f t="shared" si="14"/>
        <v>0.7575</v>
      </c>
      <c r="AT33" s="130" t="str">
        <f>IFERROR(AVERAGEIFS(
'20102013 Schist Efficacy'!$O:$O, 
'20102013 Schist Efficacy'!$C:$C,$A33, 
'20102013 Schist Efficacy'!$D:$D, "Praziquantel",
'20102013 Schist Efficacy'!$J:$J,"&lt;2011",
'20102013 Schist Efficacy'!$U:$U,""),
"")</f>
        <v/>
      </c>
      <c r="AU33" s="118">
        <f t="shared" si="15"/>
        <v>0.7732631579</v>
      </c>
      <c r="AV33" s="131" t="str">
        <f>IFERROR(AVERAGEIFS(
'20102013 STH Efficacy'!$AX:$AX, 
'20102013 STH Efficacy'!$AL:$AL, $A33, 
'20102013 STH Efficacy'!$AM:$AM, "Albendazole",
'20102013 STH Efficacy'!$AS:$AS,"&lt;2011",
'20102013 STH Efficacy'!$BP:$BP,""),
"")</f>
        <v/>
      </c>
      <c r="AW33" s="132">
        <f t="shared" si="16"/>
        <v>0.3945</v>
      </c>
      <c r="AX33" s="131" t="str">
        <f>IFERROR(AVERAGEIFS(
'20102013 STH Efficacy'!$AX:$AX, 
'20102013 STH Efficacy'!$AL:$AL, $A33, 
'20102013 STH Efficacy'!$AM:$AM, "Mebendazole",
'20102013 STH Efficacy'!$AS:$AS,"&lt;2011",
'20102013 STH Efficacy'!$BP:$BP,""),
"")</f>
        <v/>
      </c>
      <c r="AY33" s="132">
        <f t="shared" si="17"/>
        <v>0.6</v>
      </c>
      <c r="AZ33" s="131" t="str">
        <f>IFERROR(AVERAGEIFS(
'20102013 STH Efficacy'!$AX:$AX, 
'20102013 STH Efficacy'!$AL:$AL, $A33, 
'20102013 STH Efficacy'!$AM:$AM, "Albendazole &amp; Ivermectin",
'20102013 STH Efficacy'!$AS:$AS,"&lt;2011",
'20102013 STH Efficacy'!$BP:$BP,""),
"")</f>
        <v/>
      </c>
      <c r="BA33" s="133">
        <f t="shared" si="18"/>
        <v>0.796</v>
      </c>
      <c r="BB33" s="134" t="str">
        <f>IFERROR(AVERAGEIFS(
'20102013 STH Efficacy'!$N:$N, 
'20102013 STH Efficacy'!$B:$B, $A33, 
'20102013 STH Efficacy'!$C:$C, "Albendazole",
'20102013 STH Efficacy'!$I:$I,"&lt;2011",
'20102013 STH Efficacy'!$AH:$AH,""),
"")</f>
        <v/>
      </c>
      <c r="BC33" s="135">
        <f t="shared" si="19"/>
        <v>0.869</v>
      </c>
      <c r="BD33" s="134" t="str">
        <f>IFERROR(AVERAGEIFS(
'20102013 STH Efficacy'!$N:$N, 
'20102013 STH Efficacy'!$B:$B, $A33, 
'20102013 STH Efficacy'!$C:$C, "Mebendazole",
'20102013 STH Efficacy'!$I:$I,"&lt;2011",
'20102013 STH Efficacy'!$AH:$AH,""),
"")</f>
        <v/>
      </c>
      <c r="BE33" s="135">
        <f t="shared" si="20"/>
        <v>0.172</v>
      </c>
      <c r="BF33" s="128" t="str">
        <f>IFERROR(AVERAGEIFS(
'20102013 STH Efficacy'!$CD:$CD, 
'20102013 STH Efficacy'!$BS:$BS, $A33, 
'20102013 STH Efficacy'!$BT:$BT, "Albendazole",
'20102013 STH Efficacy'!$BZ:$BZ,"&lt;2011",
'20102013 STH Efficacy'!$CU:$CU,""),
"")</f>
        <v/>
      </c>
      <c r="BG33" s="136">
        <f t="shared" si="21"/>
        <v>0.9862</v>
      </c>
      <c r="BH33" s="128" t="str">
        <f>IFERROR(AVERAGEIFS(
'20102013 STH Efficacy'!$CD:$CD, 
'20102013 STH Efficacy'!$BS:$BS, $A33, 
'20102013 STH Efficacy'!$BT:$BT, "Mebendazole",
'20102013 STH Efficacy'!$BZ:$BZ,"&lt;2011",
'20102013 STH Efficacy'!$CU:$CU,""),
"")</f>
        <v/>
      </c>
      <c r="BI33" s="136">
        <f t="shared" si="22"/>
        <v>0.769</v>
      </c>
      <c r="BJ33" s="128" t="str">
        <f>IFERROR(AVERAGEIFS(
'20102013 STH Efficacy'!$CD:$CD, 
'20102013 STH Efficacy'!$BS:$BS, $A33, 
'20102013 STH Efficacy'!$BT:$BT, "Albendazole &amp; Ivermectin",
'20102013 STH Efficacy'!$BZ:$BZ,"&lt;2011",
'20102013 STH Efficacy'!$CU:$CU,""),
"")</f>
        <v/>
      </c>
      <c r="BK33" s="136">
        <f t="shared" si="23"/>
        <v>1</v>
      </c>
      <c r="BL33" s="137"/>
      <c r="BM33" s="137"/>
      <c r="BN33" s="138">
        <v>0.0</v>
      </c>
      <c r="BO33" s="139">
        <v>0.0</v>
      </c>
      <c r="BP33" s="140">
        <v>0.0</v>
      </c>
      <c r="BQ33" s="141">
        <f t="shared" si="24"/>
        <v>0</v>
      </c>
      <c r="BR33" s="104" t="str">
        <f t="shared" si="25"/>
        <v>0000</v>
      </c>
      <c r="BS33" s="104" t="str">
        <f t="shared" si="26"/>
        <v>no action required</v>
      </c>
      <c r="BT33" s="142" t="str">
        <f t="shared" si="27"/>
        <v/>
      </c>
      <c r="BU33" s="104" t="str">
        <f t="shared" si="28"/>
        <v/>
      </c>
      <c r="BV33" s="104" t="str">
        <f t="shared" si="29"/>
        <v>none</v>
      </c>
      <c r="BW33" s="150" t="str">
        <f t="shared" si="30"/>
        <v/>
      </c>
      <c r="BX33" s="150" t="str">
        <f t="shared" si="31"/>
        <v/>
      </c>
      <c r="BY33" s="151" t="str">
        <f t="shared" si="32"/>
        <v/>
      </c>
      <c r="BZ33" s="152" t="str">
        <f t="shared" si="33"/>
        <v/>
      </c>
      <c r="CA33" s="152" t="str">
        <f t="shared" si="34"/>
        <v/>
      </c>
      <c r="CB33" s="152" t="str">
        <f t="shared" si="35"/>
        <v/>
      </c>
      <c r="CC33" s="153" t="str">
        <f t="shared" si="36"/>
        <v/>
      </c>
      <c r="CD33" s="153" t="str">
        <f t="shared" si="37"/>
        <v/>
      </c>
      <c r="CE33" s="154" t="str">
        <f t="shared" si="38"/>
        <v/>
      </c>
      <c r="CF33" s="154" t="str">
        <f t="shared" si="39"/>
        <v/>
      </c>
      <c r="CG33" s="154" t="str">
        <f t="shared" si="40"/>
        <v/>
      </c>
    </row>
    <row r="34">
      <c r="A34" s="103" t="s">
        <v>123</v>
      </c>
      <c r="B34" s="104" t="s">
        <v>94</v>
      </c>
      <c r="C34" s="105">
        <v>388662.0</v>
      </c>
      <c r="D34" s="106">
        <v>37.8034941</v>
      </c>
      <c r="E34" s="107">
        <v>0.0</v>
      </c>
      <c r="F34" s="163"/>
      <c r="G34" s="163"/>
      <c r="H34" s="108">
        <v>0.0</v>
      </c>
      <c r="I34" s="109">
        <v>0.0</v>
      </c>
      <c r="J34" s="109">
        <v>0.0</v>
      </c>
      <c r="K34" s="110">
        <v>0.0</v>
      </c>
      <c r="L34" s="111">
        <v>0.159121616</v>
      </c>
      <c r="M34" s="111">
        <v>0.076109207</v>
      </c>
      <c r="N34" s="158">
        <v>0.235230823</v>
      </c>
      <c r="O34" s="159"/>
      <c r="P34" s="160">
        <v>15000.0</v>
      </c>
      <c r="Q34" s="156"/>
      <c r="R34" s="115">
        <f t="shared" si="8"/>
        <v>0</v>
      </c>
      <c r="S34" s="116">
        <f t="shared" si="9"/>
        <v>0.1955251818</v>
      </c>
      <c r="T34" s="117"/>
      <c r="U34" s="118">
        <f t="shared" si="41"/>
        <v>0.6259666667</v>
      </c>
      <c r="V34" s="148"/>
      <c r="W34" s="120">
        <f t="shared" si="10"/>
        <v>0.55175</v>
      </c>
      <c r="X34" s="148"/>
      <c r="Y34" s="120">
        <f t="shared" si="11"/>
        <v>0.4826142857</v>
      </c>
      <c r="Z34" s="121"/>
      <c r="AA34" s="121"/>
      <c r="AB34" s="121"/>
      <c r="AC34" s="121"/>
      <c r="AD34" s="122">
        <v>0.0021</v>
      </c>
      <c r="AE34" s="123">
        <v>0.0</v>
      </c>
      <c r="AF34" s="166">
        <v>0.0</v>
      </c>
      <c r="AG34" s="167">
        <v>0.0</v>
      </c>
      <c r="AH34" s="124">
        <v>0.0</v>
      </c>
      <c r="AI34" s="168">
        <v>0.0</v>
      </c>
      <c r="AJ34" s="125">
        <v>0.0</v>
      </c>
      <c r="AK34" s="127">
        <v>0.0</v>
      </c>
      <c r="AL34" s="169">
        <v>0.0</v>
      </c>
      <c r="AM34" s="128"/>
      <c r="AN34" s="149" t="str">
        <f>IFERROR(
  AVERAGEIFS(
    'New 20102013 LF Efficacy'!$J:$J,
    'New 20102013 LF Efficacy'!$D:$D, $A34,
    'New 20102013 LF Efficacy'!$F:$F,"DEC", 
    'New 20102013 LF Efficacy'!$W:$W,"&lt;2011",
    'New 20102013 LF Efficacy'!$AA:$AA,""),
  ""
)</f>
        <v/>
      </c>
      <c r="AO34" s="115">
        <f t="shared" si="12"/>
        <v>0.38</v>
      </c>
      <c r="AP34" s="121" t="str">
        <f>IFERROR(
AVERAGEIFS(
'New 20102013 LF Efficacy'!$J:$J,
'New 20102013 LF Efficacy'!$D:$D,$A34,
'New 20102013 LF Efficacy'!$F:$F,"Albendazole &amp; DEC",
'New 20102013 LF Efficacy'!$W:$W,"&lt;2011",
'New 20102013 LF Efficacy'!$AA:$AA,""),
"")
</f>
        <v/>
      </c>
      <c r="AQ34" s="115">
        <f t="shared" si="13"/>
        <v>0.657</v>
      </c>
      <c r="AR34" s="121" t="str">
        <f>IFERROR(
AVERAGEIFS(
'New 20102013 LF Efficacy'!$J:$J,
'New 20102013 LF Efficacy'!$D:$D,$A34,
'New 20102013 LF Efficacy'!$F:$F,"Albendazole &amp; Ivermectin", 
'New 20102013 LF Efficacy'!$W:$W,"&lt;2011",
'New 20102013 LF Efficacy'!$AA:$AA,""),"")</f>
        <v/>
      </c>
      <c r="AS34" s="115">
        <f t="shared" si="14"/>
        <v>0.37153125</v>
      </c>
      <c r="AT34" s="130" t="str">
        <f>IFERROR(AVERAGEIFS(
'20102013 Schist Efficacy'!$O:$O, 
'20102013 Schist Efficacy'!$C:$C,$A34, 
'20102013 Schist Efficacy'!$D:$D, "Praziquantel",
'20102013 Schist Efficacy'!$J:$J,"&lt;2011",
'20102013 Schist Efficacy'!$U:$U,""),
"")</f>
        <v/>
      </c>
      <c r="AU34" s="118">
        <f t="shared" si="15"/>
        <v>0.95</v>
      </c>
      <c r="AV34" s="131" t="str">
        <f>IFERROR(AVERAGEIFS(
'20102013 STH Efficacy'!$AX:$AX, 
'20102013 STH Efficacy'!$AL:$AL, $A34, 
'20102013 STH Efficacy'!$AM:$AM, "Albendazole",
'20102013 STH Efficacy'!$AS:$AS,"&lt;2011",
'20102013 STH Efficacy'!$BP:$BP,""),
"")</f>
        <v/>
      </c>
      <c r="AW34" s="132">
        <f t="shared" si="16"/>
        <v>0.3571666667</v>
      </c>
      <c r="AX34" s="131" t="str">
        <f>IFERROR(AVERAGEIFS(
'20102013 STH Efficacy'!$AX:$AX, 
'20102013 STH Efficacy'!$AL:$AL, $A34, 
'20102013 STH Efficacy'!$AM:$AM, "Mebendazole",
'20102013 STH Efficacy'!$AS:$AS,"&lt;2011",
'20102013 STH Efficacy'!$BP:$BP,""),
"")</f>
        <v/>
      </c>
      <c r="AY34" s="132">
        <f t="shared" si="17"/>
        <v>0.4155</v>
      </c>
      <c r="AZ34" s="131" t="str">
        <f>IFERROR(AVERAGEIFS(
'20102013 STH Efficacy'!$AX:$AX, 
'20102013 STH Efficacy'!$AL:$AL, $A34, 
'20102013 STH Efficacy'!$AM:$AM, "Albendazole &amp; Ivermectin",
'20102013 STH Efficacy'!$AS:$AS,"&lt;2011",
'20102013 STH Efficacy'!$BP:$BP,""),
"")</f>
        <v/>
      </c>
      <c r="BA34" s="133">
        <f t="shared" si="18"/>
        <v>0.651</v>
      </c>
      <c r="BB34" s="134" t="str">
        <f>IFERROR(AVERAGEIFS(
'20102013 STH Efficacy'!$N:$N, 
'20102013 STH Efficacy'!$B:$B, $A34, 
'20102013 STH Efficacy'!$C:$C, "Albendazole",
'20102013 STH Efficacy'!$I:$I,"&lt;2011",
'20102013 STH Efficacy'!$AH:$AH,""),
"")</f>
        <v/>
      </c>
      <c r="BC34" s="135">
        <f t="shared" si="19"/>
        <v>0.5769166667</v>
      </c>
      <c r="BD34" s="134" t="str">
        <f>IFERROR(AVERAGEIFS(
'20102013 STH Efficacy'!$N:$N, 
'20102013 STH Efficacy'!$B:$B, $A34, 
'20102013 STH Efficacy'!$C:$C, "Mebendazole",
'20102013 STH Efficacy'!$I:$I,"&lt;2011",
'20102013 STH Efficacy'!$AH:$AH,""),
"")</f>
        <v/>
      </c>
      <c r="BE34" s="135">
        <f t="shared" si="20"/>
        <v>0.3145</v>
      </c>
      <c r="BF34" s="128" t="str">
        <f>IFERROR(AVERAGEIFS(
'20102013 STH Efficacy'!$CD:$CD, 
'20102013 STH Efficacy'!$BS:$BS, $A34, 
'20102013 STH Efficacy'!$BT:$BT, "Albendazole",
'20102013 STH Efficacy'!$BZ:$BZ,"&lt;2011",
'20102013 STH Efficacy'!$CU:$CU,""),
"")</f>
        <v/>
      </c>
      <c r="BG34" s="136">
        <f t="shared" si="21"/>
        <v>0.96925</v>
      </c>
      <c r="BH34" s="128" t="str">
        <f>IFERROR(AVERAGEIFS(
'20102013 STH Efficacy'!$CD:$CD, 
'20102013 STH Efficacy'!$BS:$BS, $A34, 
'20102013 STH Efficacy'!$BT:$BT, "Mebendazole",
'20102013 STH Efficacy'!$BZ:$BZ,"&lt;2011",
'20102013 STH Efficacy'!$CU:$CU,""),
"")</f>
        <v/>
      </c>
      <c r="BI34" s="136">
        <f t="shared" si="22"/>
        <v>0.9305</v>
      </c>
      <c r="BJ34" s="128" t="str">
        <f>IFERROR(AVERAGEIFS(
'20102013 STH Efficacy'!$CD:$CD, 
'20102013 STH Efficacy'!$BS:$BS, $A34, 
'20102013 STH Efficacy'!$BT:$BT, "Albendazole &amp; Ivermectin",
'20102013 STH Efficacy'!$BZ:$BZ,"&lt;2011",
'20102013 STH Efficacy'!$CU:$CU,""),
"")</f>
        <v/>
      </c>
      <c r="BK34" s="136">
        <f t="shared" si="23"/>
        <v>1</v>
      </c>
      <c r="BL34" s="137"/>
      <c r="BM34" s="137"/>
      <c r="BN34" s="138">
        <v>1.0</v>
      </c>
      <c r="BO34" s="139">
        <v>0.0</v>
      </c>
      <c r="BP34" s="140">
        <v>0.0</v>
      </c>
      <c r="BQ34" s="141">
        <f t="shared" si="24"/>
        <v>0</v>
      </c>
      <c r="BR34" s="104" t="str">
        <f t="shared" si="25"/>
        <v>1000</v>
      </c>
      <c r="BS34" s="104" t="str">
        <f t="shared" si="26"/>
        <v>MDA1/2</v>
      </c>
      <c r="BT34" s="142" t="str">
        <f t="shared" si="27"/>
        <v>DEC+ALB</v>
      </c>
      <c r="BU34" s="104" t="str">
        <f t="shared" si="28"/>
        <v/>
      </c>
      <c r="BV34" s="104" t="str">
        <f t="shared" si="29"/>
        <v>lf only</v>
      </c>
      <c r="BW34" s="150">
        <f t="shared" si="30"/>
        <v>5.572020538</v>
      </c>
      <c r="BX34" s="150" t="str">
        <f t="shared" si="31"/>
        <v/>
      </c>
      <c r="BY34" s="151" t="str">
        <f t="shared" si="32"/>
        <v/>
      </c>
      <c r="BZ34" s="152" t="str">
        <f t="shared" si="33"/>
        <v/>
      </c>
      <c r="CA34" s="152" t="str">
        <f t="shared" si="34"/>
        <v/>
      </c>
      <c r="CB34" s="152" t="str">
        <f t="shared" si="35"/>
        <v/>
      </c>
      <c r="CC34" s="153" t="str">
        <f t="shared" si="36"/>
        <v/>
      </c>
      <c r="CD34" s="153" t="str">
        <f t="shared" si="37"/>
        <v/>
      </c>
      <c r="CE34" s="154" t="str">
        <f t="shared" si="38"/>
        <v/>
      </c>
      <c r="CF34" s="154" t="str">
        <f t="shared" si="39"/>
        <v/>
      </c>
      <c r="CG34" s="154" t="str">
        <f t="shared" si="40"/>
        <v/>
      </c>
    </row>
    <row r="35">
      <c r="A35" s="103" t="s">
        <v>124</v>
      </c>
      <c r="B35" s="104" t="s">
        <v>90</v>
      </c>
      <c r="C35" s="105">
        <v>7395599.0</v>
      </c>
      <c r="D35" s="106">
        <v>0.0</v>
      </c>
      <c r="E35" s="107">
        <v>0.0</v>
      </c>
      <c r="F35" s="108">
        <v>0.0</v>
      </c>
      <c r="G35" s="108">
        <v>0.0</v>
      </c>
      <c r="H35" s="108">
        <v>0.0</v>
      </c>
      <c r="I35" s="109">
        <v>0.0</v>
      </c>
      <c r="J35" s="109">
        <v>0.0</v>
      </c>
      <c r="K35" s="109">
        <v>0.0</v>
      </c>
      <c r="L35" s="112">
        <v>0.0</v>
      </c>
      <c r="M35" s="112">
        <v>0.0</v>
      </c>
      <c r="N35" s="112">
        <v>0.0</v>
      </c>
      <c r="O35" s="113"/>
      <c r="P35" s="114"/>
      <c r="Q35" s="114"/>
      <c r="R35" s="115" t="str">
        <f t="shared" si="8"/>
        <v/>
      </c>
      <c r="S35" s="116">
        <f t="shared" si="9"/>
        <v>0.4013436246</v>
      </c>
      <c r="T35" s="117"/>
      <c r="U35" s="118">
        <f t="shared" si="41"/>
        <v>0.3468166667</v>
      </c>
      <c r="V35" s="148"/>
      <c r="W35" s="120">
        <f t="shared" si="10"/>
        <v>1</v>
      </c>
      <c r="X35" s="148"/>
      <c r="Y35" s="120">
        <f t="shared" si="11"/>
        <v>0.71735</v>
      </c>
      <c r="Z35" s="114"/>
      <c r="AA35" s="114"/>
      <c r="AB35" s="114"/>
      <c r="AC35" s="114"/>
      <c r="AD35" s="164">
        <v>0.0</v>
      </c>
      <c r="AE35" s="123">
        <v>0.0</v>
      </c>
      <c r="AF35" s="123">
        <v>0.0</v>
      </c>
      <c r="AG35" s="124">
        <v>0.0</v>
      </c>
      <c r="AH35" s="124">
        <v>0.0</v>
      </c>
      <c r="AI35" s="125">
        <v>0.0</v>
      </c>
      <c r="AJ35" s="125">
        <v>0.0</v>
      </c>
      <c r="AK35" s="126">
        <v>0.0</v>
      </c>
      <c r="AL35" s="169">
        <v>0.0</v>
      </c>
      <c r="AM35" s="128"/>
      <c r="AN35" s="149" t="str">
        <f>IFERROR(
  AVERAGEIFS(
    'New 20102013 LF Efficacy'!$J:$J,
    'New 20102013 LF Efficacy'!$D:$D, $A35,
    'New 20102013 LF Efficacy'!$F:$F,"DEC", 
    'New 20102013 LF Efficacy'!$W:$W,"&lt;2011",
    'New 20102013 LF Efficacy'!$AA:$AA,""),
  ""
)</f>
        <v/>
      </c>
      <c r="AO35" s="115">
        <f t="shared" si="12"/>
        <v>0.3573520833</v>
      </c>
      <c r="AP35" s="121" t="str">
        <f>IFERROR(
AVERAGEIFS(
'New 20102013 LF Efficacy'!$J:$J,
'New 20102013 LF Efficacy'!$D:$D,$A35,
'New 20102013 LF Efficacy'!$F:$F,"Albendazole &amp; DEC",
'New 20102013 LF Efficacy'!$W:$W,"&lt;2011",
'New 20102013 LF Efficacy'!$AA:$AA,""),
"")
</f>
        <v/>
      </c>
      <c r="AQ35" s="115">
        <f t="shared" si="13"/>
        <v>0.5137291667</v>
      </c>
      <c r="AR35" s="121" t="str">
        <f>IFERROR(
AVERAGEIFS(
'New 20102013 LF Efficacy'!$J:$J,
'New 20102013 LF Efficacy'!$D:$D,$A35,
'New 20102013 LF Efficacy'!$F:$F,"Albendazole &amp; Ivermectin", 
'New 20102013 LF Efficacy'!$W:$W,"&lt;2011",
'New 20102013 LF Efficacy'!$AA:$AA,""),"")</f>
        <v/>
      </c>
      <c r="AS35" s="115">
        <f t="shared" si="14"/>
        <v>0.37153125</v>
      </c>
      <c r="AT35" s="130" t="str">
        <f>IFERROR(AVERAGEIFS(
'20102013 Schist Efficacy'!$O:$O, 
'20102013 Schist Efficacy'!$C:$C,$A35, 
'20102013 Schist Efficacy'!$D:$D, "Praziquantel",
'20102013 Schist Efficacy'!$J:$J,"&lt;2011",
'20102013 Schist Efficacy'!$U:$U,""),
"")</f>
        <v/>
      </c>
      <c r="AU35" s="118">
        <f t="shared" si="15"/>
        <v>0.655</v>
      </c>
      <c r="AV35" s="131" t="str">
        <f>IFERROR(AVERAGEIFS(
'20102013 STH Efficacy'!$AX:$AX, 
'20102013 STH Efficacy'!$AL:$AL, $A35, 
'20102013 STH Efficacy'!$AM:$AM, "Albendazole",
'20102013 STH Efficacy'!$AS:$AS,"&lt;2011",
'20102013 STH Efficacy'!$BP:$BP,""),
"")</f>
        <v/>
      </c>
      <c r="AW35" s="132">
        <f t="shared" si="16"/>
        <v>0.3842878788</v>
      </c>
      <c r="AX35" s="131" t="str">
        <f>IFERROR(AVERAGEIFS(
'20102013 STH Efficacy'!$AX:$AX, 
'20102013 STH Efficacy'!$AL:$AL, $A35, 
'20102013 STH Efficacy'!$AM:$AM, "Mebendazole",
'20102013 STH Efficacy'!$AS:$AS,"&lt;2011",
'20102013 STH Efficacy'!$BP:$BP,""),
"")</f>
        <v/>
      </c>
      <c r="AY35" s="132">
        <f t="shared" si="17"/>
        <v>0.5121666667</v>
      </c>
      <c r="AZ35" s="131" t="str">
        <f>IFERROR(AVERAGEIFS(
'20102013 STH Efficacy'!$AX:$AX, 
'20102013 STH Efficacy'!$AL:$AL, $A35, 
'20102013 STH Efficacy'!$AM:$AM, "Albendazole &amp; Ivermectin",
'20102013 STH Efficacy'!$AS:$AS,"&lt;2011",
'20102013 STH Efficacy'!$BP:$BP,""),
"")</f>
        <v/>
      </c>
      <c r="BA35" s="133">
        <f t="shared" si="18"/>
        <v>0.7176666667</v>
      </c>
      <c r="BB35" s="134" t="str">
        <f>IFERROR(AVERAGEIFS(
'20102013 STH Efficacy'!$N:$N, 
'20102013 STH Efficacy'!$B:$B, $A35, 
'20102013 STH Efficacy'!$C:$C, "Albendazole",
'20102013 STH Efficacy'!$I:$I,"&lt;2011",
'20102013 STH Efficacy'!$AH:$AH,""),
"")</f>
        <v/>
      </c>
      <c r="BC35" s="135">
        <f t="shared" si="19"/>
        <v>0.7630416667</v>
      </c>
      <c r="BD35" s="134" t="str">
        <f>IFERROR(AVERAGEIFS(
'20102013 STH Efficacy'!$N:$N, 
'20102013 STH Efficacy'!$B:$B, $A35, 
'20102013 STH Efficacy'!$C:$C, "Mebendazole",
'20102013 STH Efficacy'!$I:$I,"&lt;2011",
'20102013 STH Efficacy'!$AH:$AH,""),
"")</f>
        <v/>
      </c>
      <c r="BE35" s="135">
        <f t="shared" si="20"/>
        <v>0.4405966667</v>
      </c>
      <c r="BF35" s="128" t="str">
        <f>IFERROR(AVERAGEIFS(
'20102013 STH Efficacy'!$CD:$CD, 
'20102013 STH Efficacy'!$BS:$BS, $A35, 
'20102013 STH Efficacy'!$BT:$BT, "Albendazole",
'20102013 STH Efficacy'!$BZ:$BZ,"&lt;2011",
'20102013 STH Efficacy'!$CU:$CU,""),
"")</f>
        <v/>
      </c>
      <c r="BG35" s="136">
        <f t="shared" si="21"/>
        <v>0.9403222222</v>
      </c>
      <c r="BH35" s="128" t="str">
        <f>IFERROR(AVERAGEIFS(
'20102013 STH Efficacy'!$CD:$CD, 
'20102013 STH Efficacy'!$BS:$BS, $A35, 
'20102013 STH Efficacy'!$BT:$BT, "Mebendazole",
'20102013 STH Efficacy'!$BZ:$BZ,"&lt;2011",
'20102013 STH Efficacy'!$CU:$CU,""),
"")</f>
        <v/>
      </c>
      <c r="BI35" s="136">
        <f t="shared" si="22"/>
        <v>0.9229285714</v>
      </c>
      <c r="BJ35" s="128" t="str">
        <f>IFERROR(AVERAGEIFS(
'20102013 STH Efficacy'!$CD:$CD, 
'20102013 STH Efficacy'!$BS:$BS, $A35, 
'20102013 STH Efficacy'!$BT:$BT, "Albendazole &amp; Ivermectin",
'20102013 STH Efficacy'!$BZ:$BZ,"&lt;2011",
'20102013 STH Efficacy'!$CU:$CU,""),
"")</f>
        <v/>
      </c>
      <c r="BK35" s="136">
        <f t="shared" si="23"/>
        <v>1</v>
      </c>
      <c r="BL35" s="137"/>
      <c r="BM35" s="137"/>
      <c r="BN35" s="138">
        <v>0.0</v>
      </c>
      <c r="BO35" s="139">
        <v>0.0</v>
      </c>
      <c r="BP35" s="140">
        <v>0.0</v>
      </c>
      <c r="BQ35" s="141">
        <f t="shared" si="24"/>
        <v>0</v>
      </c>
      <c r="BR35" s="104" t="str">
        <f t="shared" si="25"/>
        <v>0000</v>
      </c>
      <c r="BS35" s="104" t="str">
        <f t="shared" si="26"/>
        <v>no action required</v>
      </c>
      <c r="BT35" s="142" t="str">
        <f t="shared" si="27"/>
        <v/>
      </c>
      <c r="BU35" s="104" t="str">
        <f t="shared" si="28"/>
        <v/>
      </c>
      <c r="BV35" s="104" t="str">
        <f t="shared" si="29"/>
        <v>none</v>
      </c>
      <c r="BW35" s="150" t="str">
        <f t="shared" si="30"/>
        <v/>
      </c>
      <c r="BX35" s="150" t="str">
        <f t="shared" si="31"/>
        <v/>
      </c>
      <c r="BY35" s="151" t="str">
        <f t="shared" si="32"/>
        <v/>
      </c>
      <c r="BZ35" s="152" t="str">
        <f t="shared" si="33"/>
        <v/>
      </c>
      <c r="CA35" s="152" t="str">
        <f t="shared" si="34"/>
        <v/>
      </c>
      <c r="CB35" s="152" t="str">
        <f t="shared" si="35"/>
        <v/>
      </c>
      <c r="CC35" s="153" t="str">
        <f t="shared" si="36"/>
        <v/>
      </c>
      <c r="CD35" s="153" t="str">
        <f t="shared" si="37"/>
        <v/>
      </c>
      <c r="CE35" s="154" t="str">
        <f t="shared" si="38"/>
        <v/>
      </c>
      <c r="CF35" s="154" t="str">
        <f t="shared" si="39"/>
        <v/>
      </c>
      <c r="CG35" s="154" t="str">
        <f t="shared" si="40"/>
        <v/>
      </c>
    </row>
    <row r="36">
      <c r="A36" s="103" t="s">
        <v>125</v>
      </c>
      <c r="B36" s="104" t="s">
        <v>92</v>
      </c>
      <c r="C36" s="105">
        <v>1.5605217E7</v>
      </c>
      <c r="D36" s="106">
        <v>32307.82322</v>
      </c>
      <c r="E36" s="107">
        <v>35396.83028</v>
      </c>
      <c r="F36" s="108">
        <v>0.038859515</v>
      </c>
      <c r="G36" s="108">
        <v>0.177451682</v>
      </c>
      <c r="H36" s="108">
        <v>0.216311197</v>
      </c>
      <c r="I36" s="109">
        <v>359.126274</v>
      </c>
      <c r="J36" s="110">
        <v>962.721168</v>
      </c>
      <c r="K36" s="110">
        <v>1321.847442</v>
      </c>
      <c r="L36" s="111">
        <v>6209.204201</v>
      </c>
      <c r="M36" s="112">
        <v>544.1748318</v>
      </c>
      <c r="N36" s="158">
        <v>6753.379033</v>
      </c>
      <c r="O36" s="159"/>
      <c r="P36" s="160">
        <v>1.5411849E7</v>
      </c>
      <c r="Q36" s="156"/>
      <c r="R36" s="115">
        <f t="shared" si="8"/>
        <v>0</v>
      </c>
      <c r="S36" s="116">
        <f t="shared" si="9"/>
        <v>0.1716437208</v>
      </c>
      <c r="T36" s="118">
        <v>0.964</v>
      </c>
      <c r="U36" s="118">
        <f t="shared" si="41"/>
        <v>0.964</v>
      </c>
      <c r="V36" s="148"/>
      <c r="W36" s="120">
        <f t="shared" si="10"/>
        <v>0.7266555556</v>
      </c>
      <c r="X36" s="119">
        <v>0.0196</v>
      </c>
      <c r="Y36" s="120">
        <f t="shared" si="11"/>
        <v>0.0196</v>
      </c>
      <c r="Z36" s="121"/>
      <c r="AA36" s="121"/>
      <c r="AB36" s="121"/>
      <c r="AC36" s="121"/>
      <c r="AD36" s="122">
        <v>0.0428</v>
      </c>
      <c r="AE36" s="123">
        <v>0.19</v>
      </c>
      <c r="AF36" s="123">
        <v>0.0697</v>
      </c>
      <c r="AG36" s="124">
        <v>0.0125</v>
      </c>
      <c r="AH36" s="124">
        <v>0.020328663</v>
      </c>
      <c r="AI36" s="125">
        <v>0.0383</v>
      </c>
      <c r="AJ36" s="125">
        <v>0.062533055</v>
      </c>
      <c r="AK36" s="127">
        <v>0.01</v>
      </c>
      <c r="AL36" s="127">
        <v>0.019080271</v>
      </c>
      <c r="AM36" s="128"/>
      <c r="AN36" s="149" t="str">
        <f>IFERROR(
  AVERAGEIFS(
    'New 20102013 LF Efficacy'!$J:$J,
    'New 20102013 LF Efficacy'!$D:$D, $A36,
    'New 20102013 LF Efficacy'!$F:$F,"DEC", 
    'New 20102013 LF Efficacy'!$W:$W,"&lt;2011",
    'New 20102013 LF Efficacy'!$AA:$AA,""),
  ""
)</f>
        <v/>
      </c>
      <c r="AO36" s="115">
        <f t="shared" si="12"/>
        <v>0.31225</v>
      </c>
      <c r="AP36" s="121" t="str">
        <f>IFERROR(
AVERAGEIFS(
'New 20102013 LF Efficacy'!$J:$J,
'New 20102013 LF Efficacy'!$D:$D,$A36,
'New 20102013 LF Efficacy'!$F:$F,"Albendazole &amp; DEC",
'New 20102013 LF Efficacy'!$W:$W,"&lt;2011",
'New 20102013 LF Efficacy'!$AA:$AA,""),
"")
</f>
        <v/>
      </c>
      <c r="AQ36" s="115">
        <f t="shared" si="13"/>
        <v>0.4</v>
      </c>
      <c r="AR36" s="121" t="str">
        <f>IFERROR(
AVERAGEIFS(
'New 20102013 LF Efficacy'!$J:$J,
'New 20102013 LF Efficacy'!$D:$D,$A36,
'New 20102013 LF Efficacy'!$F:$F,"Albendazole &amp; Ivermectin", 
'New 20102013 LF Efficacy'!$W:$W,"&lt;2011",
'New 20102013 LF Efficacy'!$AA:$AA,""),"")</f>
        <v/>
      </c>
      <c r="AS36" s="115">
        <f t="shared" si="14"/>
        <v>0.2943125</v>
      </c>
      <c r="AT36" s="130" t="str">
        <f>IFERROR(AVERAGEIFS(
'20102013 Schist Efficacy'!$O:$O, 
'20102013 Schist Efficacy'!$C:$C,$A36, 
'20102013 Schist Efficacy'!$D:$D, "Praziquantel",
'20102013 Schist Efficacy'!$J:$J,"&lt;2011",
'20102013 Schist Efficacy'!$U:$U,""),
"")</f>
        <v/>
      </c>
      <c r="AU36" s="118">
        <f t="shared" si="15"/>
        <v>0.6444020147</v>
      </c>
      <c r="AV36" s="131" t="str">
        <f>IFERROR(AVERAGEIFS(
'20102013 STH Efficacy'!$AX:$AX, 
'20102013 STH Efficacy'!$AL:$AL, $A36, 
'20102013 STH Efficacy'!$AM:$AM, "Albendazole",
'20102013 STH Efficacy'!$AS:$AS,"&lt;2011",
'20102013 STH Efficacy'!$BP:$BP,""),
"")</f>
        <v/>
      </c>
      <c r="AW36" s="132">
        <f t="shared" si="16"/>
        <v>0.3538333333</v>
      </c>
      <c r="AX36" s="131" t="str">
        <f>IFERROR(AVERAGEIFS(
'20102013 STH Efficacy'!$AX:$AX, 
'20102013 STH Efficacy'!$AL:$AL, $A36, 
'20102013 STH Efficacy'!$AM:$AM, "Mebendazole",
'20102013 STH Efficacy'!$AS:$AS,"&lt;2011",
'20102013 STH Efficacy'!$BP:$BP,""),
"")</f>
        <v/>
      </c>
      <c r="AY36" s="132">
        <f t="shared" si="17"/>
        <v>0.5918333333</v>
      </c>
      <c r="AZ36" s="131" t="str">
        <f>IFERROR(AVERAGEIFS(
'20102013 STH Efficacy'!$AX:$AX, 
'20102013 STH Efficacy'!$AL:$AL, $A36, 
'20102013 STH Efficacy'!$AM:$AM, "Albendazole &amp; Ivermectin",
'20102013 STH Efficacy'!$AS:$AS,"&lt;2011",
'20102013 STH Efficacy'!$BP:$BP,""),
"")</f>
        <v/>
      </c>
      <c r="BA36" s="133">
        <f t="shared" si="18"/>
        <v>0.706</v>
      </c>
      <c r="BB36" s="134" t="str">
        <f>IFERROR(AVERAGEIFS(
'20102013 STH Efficacy'!$N:$N, 
'20102013 STH Efficacy'!$B:$B, $A36, 
'20102013 STH Efficacy'!$C:$C, "Albendazole",
'20102013 STH Efficacy'!$I:$I,"&lt;2011",
'20102013 STH Efficacy'!$AH:$AH,""),
"")</f>
        <v/>
      </c>
      <c r="BC36" s="135">
        <f t="shared" si="19"/>
        <v>0.9116666667</v>
      </c>
      <c r="BD36" s="134" t="str">
        <f>IFERROR(AVERAGEIFS(
'20102013 STH Efficacy'!$N:$N, 
'20102013 STH Efficacy'!$B:$B, $A36, 
'20102013 STH Efficacy'!$C:$C, "Mebendazole",
'20102013 STH Efficacy'!$I:$I,"&lt;2011",
'20102013 STH Efficacy'!$AH:$AH,""),
"")</f>
        <v/>
      </c>
      <c r="BE36" s="135">
        <f t="shared" si="20"/>
        <v>0.7092416667</v>
      </c>
      <c r="BF36" s="128" t="str">
        <f>IFERROR(AVERAGEIFS(
'20102013 STH Efficacy'!$CD:$CD, 
'20102013 STH Efficacy'!$BS:$BS, $A36, 
'20102013 STH Efficacy'!$BT:$BT, "Albendazole",
'20102013 STH Efficacy'!$BZ:$BZ,"&lt;2011",
'20102013 STH Efficacy'!$CU:$CU,""),
"")</f>
        <v/>
      </c>
      <c r="BG36" s="136">
        <f t="shared" si="21"/>
        <v>0.8656666667</v>
      </c>
      <c r="BH36" s="128" t="str">
        <f>IFERROR(AVERAGEIFS(
'20102013 STH Efficacy'!$CD:$CD, 
'20102013 STH Efficacy'!$BS:$BS, $A36, 
'20102013 STH Efficacy'!$BT:$BT, "Mebendazole",
'20102013 STH Efficacy'!$BZ:$BZ,"&lt;2011",
'20102013 STH Efficacy'!$CU:$CU,""),
"")</f>
        <v/>
      </c>
      <c r="BI36" s="136">
        <f t="shared" si="22"/>
        <v>0.9203333333</v>
      </c>
      <c r="BJ36" s="128" t="str">
        <f>IFERROR(AVERAGEIFS(
'20102013 STH Efficacy'!$CD:$CD, 
'20102013 STH Efficacy'!$BS:$BS, $A36, 
'20102013 STH Efficacy'!$BT:$BT, "Albendazole &amp; Ivermectin",
'20102013 STH Efficacy'!$BZ:$BZ,"&lt;2011",
'20102013 STH Efficacy'!$CU:$CU,""),
"")</f>
        <v/>
      </c>
      <c r="BK36" s="136">
        <f t="shared" si="23"/>
        <v>1</v>
      </c>
      <c r="BL36" s="137"/>
      <c r="BM36" s="137"/>
      <c r="BN36" s="138">
        <v>1.0</v>
      </c>
      <c r="BO36" s="139">
        <v>1.0</v>
      </c>
      <c r="BP36" s="140">
        <v>1.0</v>
      </c>
      <c r="BQ36" s="141">
        <f t="shared" si="24"/>
        <v>0</v>
      </c>
      <c r="BR36" s="104" t="str">
        <f t="shared" si="25"/>
        <v>1110</v>
      </c>
      <c r="BS36" s="104" t="str">
        <f t="shared" si="26"/>
        <v>MDA1+T2</v>
      </c>
      <c r="BT36" s="142" t="str">
        <f t="shared" si="27"/>
        <v>IVM+ALB</v>
      </c>
      <c r="BU36" s="104" t="str">
        <f t="shared" si="28"/>
        <v>PZQ</v>
      </c>
      <c r="BV36" s="104" t="str">
        <f t="shared" si="29"/>
        <v>lf+onch+schist </v>
      </c>
      <c r="BW36" s="150" t="str">
        <f t="shared" si="30"/>
        <v/>
      </c>
      <c r="BX36" s="150">
        <f t="shared" si="31"/>
        <v>1718.925616</v>
      </c>
      <c r="BY36" s="162">
        <f t="shared" si="32"/>
        <v>58048.68523</v>
      </c>
      <c r="BZ36" s="152" t="str">
        <f t="shared" si="33"/>
        <v/>
      </c>
      <c r="CA36" s="152" t="str">
        <f t="shared" si="34"/>
        <v/>
      </c>
      <c r="CB36" s="152" t="str">
        <f t="shared" si="35"/>
        <v/>
      </c>
      <c r="CC36" s="153" t="str">
        <f t="shared" si="36"/>
        <v/>
      </c>
      <c r="CD36" s="153" t="str">
        <f t="shared" si="37"/>
        <v/>
      </c>
      <c r="CE36" s="154" t="str">
        <f t="shared" si="38"/>
        <v/>
      </c>
      <c r="CF36" s="154" t="str">
        <f t="shared" si="39"/>
        <v/>
      </c>
      <c r="CG36" s="154" t="str">
        <f t="shared" si="40"/>
        <v/>
      </c>
    </row>
    <row r="37">
      <c r="A37" s="103" t="s">
        <v>126</v>
      </c>
      <c r="B37" s="104" t="s">
        <v>92</v>
      </c>
      <c r="C37" s="105">
        <v>8766930.0</v>
      </c>
      <c r="D37" s="106">
        <v>0.0</v>
      </c>
      <c r="E37" s="107">
        <v>20327.80567</v>
      </c>
      <c r="F37" s="108">
        <v>38.69141823</v>
      </c>
      <c r="G37" s="108">
        <v>144.6263107</v>
      </c>
      <c r="H37" s="157">
        <v>183.3177289</v>
      </c>
      <c r="I37" s="110">
        <v>1135.23551</v>
      </c>
      <c r="J37" s="110">
        <v>2687.65165</v>
      </c>
      <c r="K37" s="109">
        <v>3822.887162</v>
      </c>
      <c r="L37" s="112">
        <v>2580.717115</v>
      </c>
      <c r="M37" s="112">
        <v>585.433278</v>
      </c>
      <c r="N37" s="112">
        <v>3166.150393</v>
      </c>
      <c r="O37" s="113"/>
      <c r="P37" s="114"/>
      <c r="Q37" s="156"/>
      <c r="R37" s="115" t="str">
        <f t="shared" si="8"/>
        <v/>
      </c>
      <c r="S37" s="116">
        <f t="shared" si="9"/>
        <v>0.1716437208</v>
      </c>
      <c r="T37" s="130"/>
      <c r="U37" s="118">
        <f t="shared" si="41"/>
        <v>0.252</v>
      </c>
      <c r="V37" s="119">
        <v>0.8666</v>
      </c>
      <c r="W37" s="120">
        <f t="shared" si="10"/>
        <v>0.8666</v>
      </c>
      <c r="X37" s="119">
        <v>0.6201</v>
      </c>
      <c r="Y37" s="120">
        <f t="shared" si="11"/>
        <v>0.6201</v>
      </c>
      <c r="Z37" s="121"/>
      <c r="AA37" s="121"/>
      <c r="AB37" s="121"/>
      <c r="AC37" s="121"/>
      <c r="AD37" s="122">
        <v>0.0</v>
      </c>
      <c r="AE37" s="123">
        <v>0.21</v>
      </c>
      <c r="AF37" s="123">
        <v>0.0747</v>
      </c>
      <c r="AG37" s="124">
        <v>0.0979</v>
      </c>
      <c r="AH37" s="124">
        <v>0.152899688</v>
      </c>
      <c r="AI37" s="125">
        <v>0.1658</v>
      </c>
      <c r="AJ37" s="125">
        <v>0.265716179</v>
      </c>
      <c r="AK37" s="127">
        <v>0.1</v>
      </c>
      <c r="AL37" s="127">
        <v>0.160706742</v>
      </c>
      <c r="AM37" s="128"/>
      <c r="AN37" s="149" t="str">
        <f>IFERROR(
  AVERAGEIFS(
    'New 20102013 LF Efficacy'!$J:$J,
    'New 20102013 LF Efficacy'!$D:$D, $A37,
    'New 20102013 LF Efficacy'!$F:$F,"DEC", 
    'New 20102013 LF Efficacy'!$W:$W,"&lt;2011",
    'New 20102013 LF Efficacy'!$AA:$AA,""),
  ""
)</f>
        <v/>
      </c>
      <c r="AO37" s="115">
        <f t="shared" si="12"/>
        <v>0.31225</v>
      </c>
      <c r="AP37" s="121" t="str">
        <f>IFERROR(
AVERAGEIFS(
'New 20102013 LF Efficacy'!$J:$J,
'New 20102013 LF Efficacy'!$D:$D,$A37,
'New 20102013 LF Efficacy'!$F:$F,"Albendazole &amp; DEC",
'New 20102013 LF Efficacy'!$W:$W,"&lt;2011",
'New 20102013 LF Efficacy'!$AA:$AA,""),
"")
</f>
        <v/>
      </c>
      <c r="AQ37" s="115">
        <f t="shared" si="13"/>
        <v>0.4</v>
      </c>
      <c r="AR37" s="121" t="str">
        <f>IFERROR(
AVERAGEIFS(
'New 20102013 LF Efficacy'!$J:$J,
'New 20102013 LF Efficacy'!$D:$D,$A37,
'New 20102013 LF Efficacy'!$F:$F,"Albendazole &amp; Ivermectin", 
'New 20102013 LF Efficacy'!$W:$W,"&lt;2011",
'New 20102013 LF Efficacy'!$AA:$AA,""),"")</f>
        <v/>
      </c>
      <c r="AS37" s="115">
        <f t="shared" si="14"/>
        <v>0.2943125</v>
      </c>
      <c r="AT37" s="130">
        <f>IFERROR(AVERAGEIFS(
'20102013 Schist Efficacy'!$O:$O, 
'20102013 Schist Efficacy'!$C:$C,$A37, 
'20102013 Schist Efficacy'!$D:$D, "Praziquantel",
'20102013 Schist Efficacy'!$J:$J,"&lt;2011",
'20102013 Schist Efficacy'!$U:$U,""),
"")</f>
        <v>0.6633333333</v>
      </c>
      <c r="AU37" s="118">
        <f t="shared" si="15"/>
        <v>0.6633333333</v>
      </c>
      <c r="AV37" s="131" t="str">
        <f>IFERROR(AVERAGEIFS(
'20102013 STH Efficacy'!$AX:$AX, 
'20102013 STH Efficacy'!$AL:$AL, $A37, 
'20102013 STH Efficacy'!$AM:$AM, "Albendazole",
'20102013 STH Efficacy'!$AS:$AS,"&lt;2011",
'20102013 STH Efficacy'!$BP:$BP,""),
"")</f>
        <v/>
      </c>
      <c r="AW37" s="132">
        <f t="shared" si="16"/>
        <v>0.3538333333</v>
      </c>
      <c r="AX37" s="131" t="str">
        <f>IFERROR(AVERAGEIFS(
'20102013 STH Efficacy'!$AX:$AX, 
'20102013 STH Efficacy'!$AL:$AL, $A37, 
'20102013 STH Efficacy'!$AM:$AM, "Mebendazole",
'20102013 STH Efficacy'!$AS:$AS,"&lt;2011",
'20102013 STH Efficacy'!$BP:$BP,""),
"")</f>
        <v/>
      </c>
      <c r="AY37" s="132">
        <f t="shared" si="17"/>
        <v>0.5918333333</v>
      </c>
      <c r="AZ37" s="131" t="str">
        <f>IFERROR(AVERAGEIFS(
'20102013 STH Efficacy'!$AX:$AX, 
'20102013 STH Efficacy'!$AL:$AL, $A37, 
'20102013 STH Efficacy'!$AM:$AM, "Albendazole &amp; Ivermectin",
'20102013 STH Efficacy'!$AS:$AS,"&lt;2011",
'20102013 STH Efficacy'!$BP:$BP,""),
"")</f>
        <v/>
      </c>
      <c r="BA37" s="133">
        <f t="shared" si="18"/>
        <v>0.706</v>
      </c>
      <c r="BB37" s="134" t="str">
        <f>IFERROR(AVERAGEIFS(
'20102013 STH Efficacy'!$N:$N, 
'20102013 STH Efficacy'!$B:$B, $A37, 
'20102013 STH Efficacy'!$C:$C, "Albendazole",
'20102013 STH Efficacy'!$I:$I,"&lt;2011",
'20102013 STH Efficacy'!$AH:$AH,""),
"")</f>
        <v/>
      </c>
      <c r="BC37" s="135">
        <f t="shared" si="19"/>
        <v>0.9116666667</v>
      </c>
      <c r="BD37" s="134" t="str">
        <f>IFERROR(AVERAGEIFS(
'20102013 STH Efficacy'!$N:$N, 
'20102013 STH Efficacy'!$B:$B, $A37, 
'20102013 STH Efficacy'!$C:$C, "Mebendazole",
'20102013 STH Efficacy'!$I:$I,"&lt;2011",
'20102013 STH Efficacy'!$AH:$AH,""),
"")</f>
        <v/>
      </c>
      <c r="BE37" s="135">
        <f t="shared" si="20"/>
        <v>0.7092416667</v>
      </c>
      <c r="BF37" s="128" t="str">
        <f>IFERROR(AVERAGEIFS(
'20102013 STH Efficacy'!$CD:$CD, 
'20102013 STH Efficacy'!$BS:$BS, $A37, 
'20102013 STH Efficacy'!$BT:$BT, "Albendazole",
'20102013 STH Efficacy'!$BZ:$BZ,"&lt;2011",
'20102013 STH Efficacy'!$CU:$CU,""),
"")</f>
        <v/>
      </c>
      <c r="BG37" s="136">
        <f t="shared" si="21"/>
        <v>0.8656666667</v>
      </c>
      <c r="BH37" s="128" t="str">
        <f>IFERROR(AVERAGEIFS(
'20102013 STH Efficacy'!$CD:$CD, 
'20102013 STH Efficacy'!$BS:$BS, $A37, 
'20102013 STH Efficacy'!$BT:$BT, "Mebendazole",
'20102013 STH Efficacy'!$BZ:$BZ,"&lt;2011",
'20102013 STH Efficacy'!$CU:$CU,""),
"")</f>
        <v/>
      </c>
      <c r="BI37" s="136">
        <f t="shared" si="22"/>
        <v>0.9203333333</v>
      </c>
      <c r="BJ37" s="128" t="str">
        <f>IFERROR(AVERAGEIFS(
'20102013 STH Efficacy'!$CD:$CD, 
'20102013 STH Efficacy'!$BS:$BS, $A37, 
'20102013 STH Efficacy'!$BT:$BT, "Albendazole &amp; Ivermectin",
'20102013 STH Efficacy'!$BZ:$BZ,"&lt;2011",
'20102013 STH Efficacy'!$CU:$CU,""),
"")</f>
        <v/>
      </c>
      <c r="BK37" s="136">
        <f t="shared" si="23"/>
        <v>1</v>
      </c>
      <c r="BL37" s="137"/>
      <c r="BM37" s="137"/>
      <c r="BN37" s="138">
        <v>0.0</v>
      </c>
      <c r="BO37" s="139">
        <v>1.0</v>
      </c>
      <c r="BP37" s="140">
        <v>1.0</v>
      </c>
      <c r="BQ37" s="141">
        <f t="shared" si="24"/>
        <v>0</v>
      </c>
      <c r="BR37" s="104" t="str">
        <f t="shared" si="25"/>
        <v>0110</v>
      </c>
      <c r="BS37" s="104" t="str">
        <f t="shared" si="26"/>
        <v>MDA3+T2</v>
      </c>
      <c r="BT37" s="142" t="str">
        <f t="shared" si="27"/>
        <v>IVM</v>
      </c>
      <c r="BU37" s="104" t="str">
        <f t="shared" si="28"/>
        <v>PZQ</v>
      </c>
      <c r="BV37" s="104" t="str">
        <f t="shared" si="29"/>
        <v>onch+schist</v>
      </c>
      <c r="BW37" s="150" t="str">
        <f t="shared" si="30"/>
        <v/>
      </c>
      <c r="BX37" s="150" t="str">
        <f t="shared" si="31"/>
        <v/>
      </c>
      <c r="BY37" s="162">
        <f t="shared" si="32"/>
        <v>4080.010561</v>
      </c>
      <c r="BZ37" s="152" t="str">
        <f t="shared" si="33"/>
        <v/>
      </c>
      <c r="CA37" s="152" t="str">
        <f t="shared" si="34"/>
        <v/>
      </c>
      <c r="CB37" s="152" t="str">
        <f t="shared" si="35"/>
        <v/>
      </c>
      <c r="CC37" s="153" t="str">
        <f t="shared" si="36"/>
        <v/>
      </c>
      <c r="CD37" s="153" t="str">
        <f t="shared" si="37"/>
        <v/>
      </c>
      <c r="CE37" s="154" t="str">
        <f t="shared" si="38"/>
        <v/>
      </c>
      <c r="CF37" s="154" t="str">
        <f t="shared" si="39"/>
        <v/>
      </c>
      <c r="CG37" s="154" t="str">
        <f t="shared" si="40"/>
        <v/>
      </c>
    </row>
    <row r="38">
      <c r="A38" s="103" t="s">
        <v>127</v>
      </c>
      <c r="B38" s="104" t="s">
        <v>94</v>
      </c>
      <c r="C38" s="105">
        <v>1.430874E7</v>
      </c>
      <c r="D38" s="106">
        <v>454.2156175</v>
      </c>
      <c r="E38" s="107">
        <v>12310.55401</v>
      </c>
      <c r="F38" s="108">
        <v>0.0</v>
      </c>
      <c r="G38" s="108">
        <v>0.0</v>
      </c>
      <c r="H38" s="108">
        <v>0.0</v>
      </c>
      <c r="I38" s="109">
        <v>57.990376</v>
      </c>
      <c r="J38" s="109">
        <v>135.045492</v>
      </c>
      <c r="K38" s="109">
        <v>193.0358676</v>
      </c>
      <c r="L38" s="112">
        <v>315.810892</v>
      </c>
      <c r="M38" s="112">
        <v>102.204676</v>
      </c>
      <c r="N38" s="112">
        <v>418.015568</v>
      </c>
      <c r="O38" s="113"/>
      <c r="P38" s="156"/>
      <c r="Q38" s="156"/>
      <c r="R38" s="115" t="str">
        <f t="shared" si="8"/>
        <v/>
      </c>
      <c r="S38" s="116">
        <f t="shared" si="9"/>
        <v>0.1955251818</v>
      </c>
      <c r="T38" s="118">
        <v>1.0</v>
      </c>
      <c r="U38" s="118">
        <f t="shared" si="41"/>
        <v>1</v>
      </c>
      <c r="V38" s="119">
        <v>0.9146</v>
      </c>
      <c r="W38" s="120">
        <f t="shared" si="10"/>
        <v>0.9146</v>
      </c>
      <c r="X38" s="119">
        <v>0.8147</v>
      </c>
      <c r="Y38" s="120">
        <f t="shared" si="11"/>
        <v>0.8147</v>
      </c>
      <c r="Z38" s="121"/>
      <c r="AA38" s="121"/>
      <c r="AB38" s="121"/>
      <c r="AC38" s="121"/>
      <c r="AD38" s="122">
        <v>4.0E-4</v>
      </c>
      <c r="AE38" s="123">
        <v>0.1</v>
      </c>
      <c r="AF38" s="123">
        <v>0.017</v>
      </c>
      <c r="AG38" s="124">
        <v>1.0E-4</v>
      </c>
      <c r="AH38" s="124">
        <v>1.29169E-4</v>
      </c>
      <c r="AI38" s="125">
        <v>0.0114</v>
      </c>
      <c r="AJ38" s="125">
        <v>0.018117255</v>
      </c>
      <c r="AK38" s="127">
        <v>0.01</v>
      </c>
      <c r="AL38" s="127">
        <v>0.020077451</v>
      </c>
      <c r="AM38" s="128"/>
      <c r="AN38" s="149" t="str">
        <f>IFERROR(
  AVERAGEIFS(
    'New 20102013 LF Efficacy'!$J:$J,
    'New 20102013 LF Efficacy'!$D:$D, $A38,
    'New 20102013 LF Efficacy'!$F:$F,"DEC", 
    'New 20102013 LF Efficacy'!$W:$W,"&lt;2011",
    'New 20102013 LF Efficacy'!$AA:$AA,""),
  ""
)</f>
        <v/>
      </c>
      <c r="AO38" s="115">
        <f t="shared" si="12"/>
        <v>0.38</v>
      </c>
      <c r="AP38" s="121" t="str">
        <f>IFERROR(
AVERAGEIFS(
'New 20102013 LF Efficacy'!$J:$J,
'New 20102013 LF Efficacy'!$D:$D,$A38,
'New 20102013 LF Efficacy'!$F:$F,"Albendazole &amp; DEC",
'New 20102013 LF Efficacy'!$W:$W,"&lt;2011",
'New 20102013 LF Efficacy'!$AA:$AA,""),
"")
</f>
        <v/>
      </c>
      <c r="AQ38" s="115">
        <f t="shared" si="13"/>
        <v>0.657</v>
      </c>
      <c r="AR38" s="121" t="str">
        <f>IFERROR(
AVERAGEIFS(
'New 20102013 LF Efficacy'!$J:$J,
'New 20102013 LF Efficacy'!$D:$D,$A38,
'New 20102013 LF Efficacy'!$F:$F,"Albendazole &amp; Ivermectin", 
'New 20102013 LF Efficacy'!$W:$W,"&lt;2011",
'New 20102013 LF Efficacy'!$AA:$AA,""),"")</f>
        <v/>
      </c>
      <c r="AS38" s="115">
        <f t="shared" si="14"/>
        <v>0.37153125</v>
      </c>
      <c r="AT38" s="130" t="str">
        <f>IFERROR(AVERAGEIFS(
'20102013 Schist Efficacy'!$O:$O, 
'20102013 Schist Efficacy'!$C:$C,$A38, 
'20102013 Schist Efficacy'!$D:$D, "Praziquantel",
'20102013 Schist Efficacy'!$J:$J,"&lt;2011",
'20102013 Schist Efficacy'!$U:$U,""),
"")</f>
        <v/>
      </c>
      <c r="AU38" s="118">
        <f t="shared" si="15"/>
        <v>0.95</v>
      </c>
      <c r="AV38" s="131" t="str">
        <f>IFERROR(AVERAGEIFS(
'20102013 STH Efficacy'!$AX:$AX, 
'20102013 STH Efficacy'!$AL:$AL, $A38, 
'20102013 STH Efficacy'!$AM:$AM, "Albendazole",
'20102013 STH Efficacy'!$AS:$AS,"&lt;2011",
'20102013 STH Efficacy'!$BP:$BP,""),
"")</f>
        <v/>
      </c>
      <c r="AW38" s="132">
        <f t="shared" si="16"/>
        <v>0.3571666667</v>
      </c>
      <c r="AX38" s="131" t="str">
        <f>IFERROR(AVERAGEIFS(
'20102013 STH Efficacy'!$AX:$AX, 
'20102013 STH Efficacy'!$AL:$AL, $A38, 
'20102013 STH Efficacy'!$AM:$AM, "Mebendazole",
'20102013 STH Efficacy'!$AS:$AS,"&lt;2011",
'20102013 STH Efficacy'!$BP:$BP,""),
"")</f>
        <v/>
      </c>
      <c r="AY38" s="132">
        <f t="shared" si="17"/>
        <v>0.4155</v>
      </c>
      <c r="AZ38" s="131" t="str">
        <f>IFERROR(AVERAGEIFS(
'20102013 STH Efficacy'!$AX:$AX, 
'20102013 STH Efficacy'!$AL:$AL, $A38, 
'20102013 STH Efficacy'!$AM:$AM, "Albendazole &amp; Ivermectin",
'20102013 STH Efficacy'!$AS:$AS,"&lt;2011",
'20102013 STH Efficacy'!$BP:$BP,""),
"")</f>
        <v/>
      </c>
      <c r="BA38" s="133">
        <f t="shared" si="18"/>
        <v>0.651</v>
      </c>
      <c r="BB38" s="134" t="str">
        <f>IFERROR(AVERAGEIFS(
'20102013 STH Efficacy'!$N:$N, 
'20102013 STH Efficacy'!$B:$B, $A38, 
'20102013 STH Efficacy'!$C:$C, "Albendazole",
'20102013 STH Efficacy'!$I:$I,"&lt;2011",
'20102013 STH Efficacy'!$AH:$AH,""),
"")</f>
        <v/>
      </c>
      <c r="BC38" s="135">
        <f t="shared" si="19"/>
        <v>0.5769166667</v>
      </c>
      <c r="BD38" s="134" t="str">
        <f>IFERROR(AVERAGEIFS(
'20102013 STH Efficacy'!$N:$N, 
'20102013 STH Efficacy'!$B:$B, $A38, 
'20102013 STH Efficacy'!$C:$C, "Mebendazole",
'20102013 STH Efficacy'!$I:$I,"&lt;2011",
'20102013 STH Efficacy'!$AH:$AH,""),
"")</f>
        <v/>
      </c>
      <c r="BE38" s="135">
        <f t="shared" si="20"/>
        <v>0.3145</v>
      </c>
      <c r="BF38" s="128" t="str">
        <f>IFERROR(AVERAGEIFS(
'20102013 STH Efficacy'!$CD:$CD, 
'20102013 STH Efficacy'!$BS:$BS, $A38, 
'20102013 STH Efficacy'!$BT:$BT, "Albendazole",
'20102013 STH Efficacy'!$BZ:$BZ,"&lt;2011",
'20102013 STH Efficacy'!$CU:$CU,""),
"")</f>
        <v/>
      </c>
      <c r="BG38" s="136">
        <f t="shared" si="21"/>
        <v>0.96925</v>
      </c>
      <c r="BH38" s="128" t="str">
        <f>IFERROR(AVERAGEIFS(
'20102013 STH Efficacy'!$CD:$CD, 
'20102013 STH Efficacy'!$BS:$BS, $A38, 
'20102013 STH Efficacy'!$BT:$BT, "Mebendazole",
'20102013 STH Efficacy'!$BZ:$BZ,"&lt;2011",
'20102013 STH Efficacy'!$CU:$CU,""),
"")</f>
        <v/>
      </c>
      <c r="BI38" s="136">
        <f t="shared" si="22"/>
        <v>0.9305</v>
      </c>
      <c r="BJ38" s="128" t="str">
        <f>IFERROR(AVERAGEIFS(
'20102013 STH Efficacy'!$CD:$CD, 
'20102013 STH Efficacy'!$BS:$BS, $A38, 
'20102013 STH Efficacy'!$BT:$BT, "Albendazole &amp; Ivermectin",
'20102013 STH Efficacy'!$BZ:$BZ,"&lt;2011",
'20102013 STH Efficacy'!$CU:$CU,""),
"")</f>
        <v/>
      </c>
      <c r="BK38" s="136">
        <f t="shared" si="23"/>
        <v>1</v>
      </c>
      <c r="BL38" s="137"/>
      <c r="BM38" s="137"/>
      <c r="BN38" s="138">
        <v>0.0</v>
      </c>
      <c r="BO38" s="139">
        <v>1.0</v>
      </c>
      <c r="BP38" s="140">
        <v>1.0</v>
      </c>
      <c r="BQ38" s="141">
        <f t="shared" si="24"/>
        <v>0</v>
      </c>
      <c r="BR38" s="104" t="str">
        <f t="shared" si="25"/>
        <v>0110</v>
      </c>
      <c r="BS38" s="104" t="str">
        <f t="shared" si="26"/>
        <v>MDA3+T2</v>
      </c>
      <c r="BT38" s="142" t="str">
        <f t="shared" si="27"/>
        <v>IVM</v>
      </c>
      <c r="BU38" s="104" t="str">
        <f t="shared" si="28"/>
        <v>PZQ</v>
      </c>
      <c r="BV38" s="104" t="str">
        <f t="shared" si="29"/>
        <v>onch+schist</v>
      </c>
      <c r="BW38" s="150" t="str">
        <f t="shared" si="30"/>
        <v/>
      </c>
      <c r="BX38" s="150" t="str">
        <f t="shared" si="31"/>
        <v/>
      </c>
      <c r="BY38" s="162">
        <f t="shared" si="32"/>
        <v>233900.5262</v>
      </c>
      <c r="BZ38" s="152" t="str">
        <f t="shared" si="33"/>
        <v/>
      </c>
      <c r="CA38" s="152" t="str">
        <f t="shared" si="34"/>
        <v/>
      </c>
      <c r="CB38" s="152" t="str">
        <f t="shared" si="35"/>
        <v/>
      </c>
      <c r="CC38" s="153" t="str">
        <f t="shared" si="36"/>
        <v/>
      </c>
      <c r="CD38" s="153" t="str">
        <f t="shared" si="37"/>
        <v/>
      </c>
      <c r="CE38" s="154" t="str">
        <f t="shared" si="38"/>
        <v/>
      </c>
      <c r="CF38" s="154" t="str">
        <f t="shared" si="39"/>
        <v/>
      </c>
      <c r="CG38" s="154" t="str">
        <f t="shared" si="40"/>
        <v/>
      </c>
    </row>
    <row r="39">
      <c r="A39" s="103" t="s">
        <v>128</v>
      </c>
      <c r="B39" s="104" t="s">
        <v>92</v>
      </c>
      <c r="C39" s="105">
        <v>1.9970495E7</v>
      </c>
      <c r="D39" s="106">
        <v>30613.69397</v>
      </c>
      <c r="E39" s="107">
        <v>56096.64191</v>
      </c>
      <c r="F39" s="108">
        <v>391.9694382</v>
      </c>
      <c r="G39" s="157">
        <v>1627.024013</v>
      </c>
      <c r="H39" s="157">
        <v>2018.993451</v>
      </c>
      <c r="I39" s="110">
        <v>1178.52986</v>
      </c>
      <c r="J39" s="110">
        <v>3317.55588</v>
      </c>
      <c r="K39" s="110">
        <v>4496.085737</v>
      </c>
      <c r="L39" s="111">
        <v>21057.56717</v>
      </c>
      <c r="M39" s="111">
        <v>7310.563008</v>
      </c>
      <c r="N39" s="158">
        <v>28368.13018</v>
      </c>
      <c r="O39" s="159"/>
      <c r="P39" s="160">
        <v>1.6819434E7</v>
      </c>
      <c r="Q39" s="160">
        <v>3676469.0</v>
      </c>
      <c r="R39" s="115">
        <f t="shared" si="8"/>
        <v>0.218584585</v>
      </c>
      <c r="S39" s="116">
        <f t="shared" si="9"/>
        <v>0.218584585</v>
      </c>
      <c r="T39" s="118">
        <v>0.1004</v>
      </c>
      <c r="U39" s="118">
        <f t="shared" si="41"/>
        <v>0.1004</v>
      </c>
      <c r="V39" s="119">
        <v>0.9662</v>
      </c>
      <c r="W39" s="120">
        <f t="shared" si="10"/>
        <v>0.9662</v>
      </c>
      <c r="X39" s="119">
        <v>0.6399</v>
      </c>
      <c r="Y39" s="120">
        <f t="shared" si="11"/>
        <v>0.6399</v>
      </c>
      <c r="Z39" s="121"/>
      <c r="AA39" s="121"/>
      <c r="AB39" s="121"/>
      <c r="AC39" s="121"/>
      <c r="AD39" s="122">
        <v>0.0368</v>
      </c>
      <c r="AE39" s="123">
        <v>0.3</v>
      </c>
      <c r="AF39" s="123">
        <v>0.0932</v>
      </c>
      <c r="AG39" s="124">
        <v>0.1602</v>
      </c>
      <c r="AH39" s="124">
        <v>0.244537364</v>
      </c>
      <c r="AI39" s="125">
        <v>0.0942</v>
      </c>
      <c r="AJ39" s="125">
        <v>0.149445642</v>
      </c>
      <c r="AK39" s="127">
        <v>0.25</v>
      </c>
      <c r="AL39" s="127">
        <v>0.375884632</v>
      </c>
      <c r="AM39" s="128"/>
      <c r="AN39" s="149" t="str">
        <f>IFERROR(
  AVERAGEIFS(
    'New 20102013 LF Efficacy'!$J:$J,
    'New 20102013 LF Efficacy'!$D:$D, $A39,
    'New 20102013 LF Efficacy'!$F:$F,"DEC", 
    'New 20102013 LF Efficacy'!$W:$W,"&lt;2011",
    'New 20102013 LF Efficacy'!$AA:$AA,""),
  ""
)</f>
        <v/>
      </c>
      <c r="AO39" s="115">
        <f t="shared" si="12"/>
        <v>0.31225</v>
      </c>
      <c r="AP39" s="121" t="str">
        <f>IFERROR(
AVERAGEIFS(
'New 20102013 LF Efficacy'!$J:$J,
'New 20102013 LF Efficacy'!$D:$D,$A39,
'New 20102013 LF Efficacy'!$F:$F,"Albendazole &amp; DEC",
'New 20102013 LF Efficacy'!$W:$W,"&lt;2011",
'New 20102013 LF Efficacy'!$AA:$AA,""),
"")
</f>
        <v/>
      </c>
      <c r="AQ39" s="115">
        <f t="shared" si="13"/>
        <v>0.4</v>
      </c>
      <c r="AR39" s="121" t="str">
        <f>IFERROR(
AVERAGEIFS(
'New 20102013 LF Efficacy'!$J:$J,
'New 20102013 LF Efficacy'!$D:$D,$A39,
'New 20102013 LF Efficacy'!$F:$F,"Albendazole &amp; Ivermectin", 
'New 20102013 LF Efficacy'!$W:$W,"&lt;2011",
'New 20102013 LF Efficacy'!$AA:$AA,""),"")</f>
        <v/>
      </c>
      <c r="AS39" s="115">
        <f t="shared" si="14"/>
        <v>0.2943125</v>
      </c>
      <c r="AT39" s="130">
        <f>IFERROR(AVERAGEIFS(
'20102013 Schist Efficacy'!$O:$O, 
'20102013 Schist Efficacy'!$C:$C,$A39, 
'20102013 Schist Efficacy'!$D:$D, "Praziquantel",
'20102013 Schist Efficacy'!$J:$J,"&lt;2011",
'20102013 Schist Efficacy'!$U:$U,""),
"")</f>
        <v>0.8</v>
      </c>
      <c r="AU39" s="118">
        <f t="shared" si="15"/>
        <v>0.8</v>
      </c>
      <c r="AV39" s="131" t="str">
        <f>IFERROR(AVERAGEIFS(
'20102013 STH Efficacy'!$AX:$AX, 
'20102013 STH Efficacy'!$AL:$AL, $A39, 
'20102013 STH Efficacy'!$AM:$AM, "Albendazole",
'20102013 STH Efficacy'!$AS:$AS,"&lt;2011",
'20102013 STH Efficacy'!$BP:$BP,""),
"")</f>
        <v/>
      </c>
      <c r="AW39" s="132">
        <f t="shared" si="16"/>
        <v>0.3538333333</v>
      </c>
      <c r="AX39" s="131" t="str">
        <f>IFERROR(AVERAGEIFS(
'20102013 STH Efficacy'!$AX:$AX, 
'20102013 STH Efficacy'!$AL:$AL, $A39, 
'20102013 STH Efficacy'!$AM:$AM, "Mebendazole",
'20102013 STH Efficacy'!$AS:$AS,"&lt;2011",
'20102013 STH Efficacy'!$BP:$BP,""),
"")</f>
        <v/>
      </c>
      <c r="AY39" s="132">
        <f t="shared" si="17"/>
        <v>0.5918333333</v>
      </c>
      <c r="AZ39" s="131" t="str">
        <f>IFERROR(AVERAGEIFS(
'20102013 STH Efficacy'!$AX:$AX, 
'20102013 STH Efficacy'!$AL:$AL, $A39, 
'20102013 STH Efficacy'!$AM:$AM, "Albendazole &amp; Ivermectin",
'20102013 STH Efficacy'!$AS:$AS,"&lt;2011",
'20102013 STH Efficacy'!$BP:$BP,""),
"")</f>
        <v/>
      </c>
      <c r="BA39" s="133">
        <f t="shared" si="18"/>
        <v>0.706</v>
      </c>
      <c r="BB39" s="134" t="str">
        <f>IFERROR(AVERAGEIFS(
'20102013 STH Efficacy'!$N:$N, 
'20102013 STH Efficacy'!$B:$B, $A39, 
'20102013 STH Efficacy'!$C:$C, "Albendazole",
'20102013 STH Efficacy'!$I:$I,"&lt;2011",
'20102013 STH Efficacy'!$AH:$AH,""),
"")</f>
        <v/>
      </c>
      <c r="BC39" s="135">
        <f t="shared" si="19"/>
        <v>0.9116666667</v>
      </c>
      <c r="BD39" s="134" t="str">
        <f>IFERROR(AVERAGEIFS(
'20102013 STH Efficacy'!$N:$N, 
'20102013 STH Efficacy'!$B:$B, $A39, 
'20102013 STH Efficacy'!$C:$C, "Mebendazole",
'20102013 STH Efficacy'!$I:$I,"&lt;2011",
'20102013 STH Efficacy'!$AH:$AH,""),
"")</f>
        <v/>
      </c>
      <c r="BE39" s="135">
        <f t="shared" si="20"/>
        <v>0.7092416667</v>
      </c>
      <c r="BF39" s="128">
        <f>IFERROR(AVERAGEIFS(
'20102013 STH Efficacy'!$CD:$CD, 
'20102013 STH Efficacy'!$BS:$BS, $A39, 
'20102013 STH Efficacy'!$BT:$BT, "Albendazole",
'20102013 STH Efficacy'!$BZ:$BZ,"&lt;2011",
'20102013 STH Efficacy'!$CU:$CU,""),
"")</f>
        <v>1</v>
      </c>
      <c r="BG39" s="136">
        <f t="shared" si="21"/>
        <v>1</v>
      </c>
      <c r="BH39" s="128" t="str">
        <f>IFERROR(AVERAGEIFS(
'20102013 STH Efficacy'!$CD:$CD, 
'20102013 STH Efficacy'!$BS:$BS, $A39, 
'20102013 STH Efficacy'!$BT:$BT, "Mebendazole",
'20102013 STH Efficacy'!$BZ:$BZ,"&lt;2011",
'20102013 STH Efficacy'!$CU:$CU,""),
"")</f>
        <v/>
      </c>
      <c r="BI39" s="136">
        <f t="shared" si="22"/>
        <v>0.9203333333</v>
      </c>
      <c r="BJ39" s="128" t="str">
        <f>IFERROR(AVERAGEIFS(
'20102013 STH Efficacy'!$CD:$CD, 
'20102013 STH Efficacy'!$BS:$BS, $A39, 
'20102013 STH Efficacy'!$BT:$BT, "Albendazole &amp; Ivermectin",
'20102013 STH Efficacy'!$BZ:$BZ,"&lt;2011",
'20102013 STH Efficacy'!$CU:$CU,""),
"")</f>
        <v/>
      </c>
      <c r="BK39" s="136">
        <f t="shared" si="23"/>
        <v>1</v>
      </c>
      <c r="BL39" s="137"/>
      <c r="BM39" s="137"/>
      <c r="BN39" s="138">
        <v>1.0</v>
      </c>
      <c r="BO39" s="139">
        <v>1.0</v>
      </c>
      <c r="BP39" s="140">
        <v>1.0</v>
      </c>
      <c r="BQ39" s="141">
        <f t="shared" si="24"/>
        <v>1</v>
      </c>
      <c r="BR39" s="104" t="str">
        <f t="shared" si="25"/>
        <v>1111</v>
      </c>
      <c r="BS39" s="104" t="str">
        <f t="shared" si="26"/>
        <v>MDA1+T2</v>
      </c>
      <c r="BT39" s="142" t="str">
        <f t="shared" si="27"/>
        <v>IVM+ALB</v>
      </c>
      <c r="BU39" s="104" t="str">
        <f t="shared" si="28"/>
        <v>PZQ</v>
      </c>
      <c r="BV39" s="104" t="str">
        <f t="shared" si="29"/>
        <v>lf+onch+schist+sth</v>
      </c>
      <c r="BW39" s="150" t="str">
        <f t="shared" si="30"/>
        <v/>
      </c>
      <c r="BX39" s="150">
        <f t="shared" si="31"/>
        <v>2104.85547</v>
      </c>
      <c r="BY39" s="162">
        <f t="shared" si="32"/>
        <v>4899.184801</v>
      </c>
      <c r="BZ39" s="152">
        <f t="shared" si="33"/>
        <v>679.8244511</v>
      </c>
      <c r="CA39" s="152" t="str">
        <f t="shared" si="34"/>
        <v/>
      </c>
      <c r="CB39" s="152">
        <f t="shared" si="35"/>
        <v>2181.919953</v>
      </c>
      <c r="CC39" s="170">
        <f t="shared" si="36"/>
        <v>13358.19236</v>
      </c>
      <c r="CD39" s="153" t="str">
        <f t="shared" si="37"/>
        <v/>
      </c>
      <c r="CE39" s="174">
        <f t="shared" si="38"/>
        <v>614938.2958</v>
      </c>
      <c r="CF39" s="154" t="str">
        <f t="shared" si="39"/>
        <v/>
      </c>
      <c r="CG39" s="154">
        <f t="shared" si="40"/>
        <v>614938.2958</v>
      </c>
    </row>
    <row r="40">
      <c r="A40" s="103" t="s">
        <v>129</v>
      </c>
      <c r="B40" s="104" t="s">
        <v>98</v>
      </c>
      <c r="C40" s="105">
        <v>3.4005274E7</v>
      </c>
      <c r="D40" s="106">
        <v>0.0</v>
      </c>
      <c r="E40" s="107">
        <v>0.0</v>
      </c>
      <c r="F40" s="108">
        <v>0.0</v>
      </c>
      <c r="G40" s="108">
        <v>0.0</v>
      </c>
      <c r="H40" s="108">
        <v>0.0</v>
      </c>
      <c r="I40" s="109">
        <v>0.0</v>
      </c>
      <c r="J40" s="109">
        <v>0.0</v>
      </c>
      <c r="K40" s="109">
        <v>0.0</v>
      </c>
      <c r="L40" s="112">
        <v>0.0</v>
      </c>
      <c r="M40" s="112">
        <v>0.0</v>
      </c>
      <c r="N40" s="112">
        <v>0.0</v>
      </c>
      <c r="O40" s="113"/>
      <c r="P40" s="114"/>
      <c r="Q40" s="114"/>
      <c r="R40" s="115" t="str">
        <f t="shared" si="8"/>
        <v/>
      </c>
      <c r="S40" s="116">
        <f t="shared" si="9"/>
        <v>0.14553293</v>
      </c>
      <c r="T40" s="117"/>
      <c r="U40" s="118">
        <f t="shared" si="41"/>
        <v>0.39435</v>
      </c>
      <c r="V40" s="148"/>
      <c r="W40" s="120">
        <f t="shared" si="10"/>
        <v>0.3616</v>
      </c>
      <c r="X40" s="148"/>
      <c r="Y40" s="120">
        <f t="shared" si="11"/>
        <v>0.5015615385</v>
      </c>
      <c r="Z40" s="121"/>
      <c r="AA40" s="121"/>
      <c r="AB40" s="121"/>
      <c r="AC40" s="121"/>
      <c r="AD40" s="122">
        <v>0.0</v>
      </c>
      <c r="AE40" s="123">
        <v>0.0</v>
      </c>
      <c r="AF40" s="123">
        <v>0.0</v>
      </c>
      <c r="AG40" s="124">
        <v>0.0</v>
      </c>
      <c r="AH40" s="124">
        <v>0.0</v>
      </c>
      <c r="AI40" s="125">
        <v>0.0</v>
      </c>
      <c r="AJ40" s="125">
        <v>0.0</v>
      </c>
      <c r="AK40" s="127">
        <v>0.0</v>
      </c>
      <c r="AL40" s="127">
        <v>0.0</v>
      </c>
      <c r="AM40" s="128"/>
      <c r="AN40" s="149" t="str">
        <f>IFERROR(
  AVERAGEIFS(
    'New 20102013 LF Efficacy'!$J:$J,
    'New 20102013 LF Efficacy'!$D:$D, $A40,
    'New 20102013 LF Efficacy'!$F:$F,"DEC", 
    'New 20102013 LF Efficacy'!$W:$W,"&lt;2011",
    'New 20102013 LF Efficacy'!$AA:$AA,""),
  ""
)</f>
        <v/>
      </c>
      <c r="AO40" s="115">
        <f t="shared" si="12"/>
        <v>0.2589833333</v>
      </c>
      <c r="AP40" s="121" t="str">
        <f>IFERROR(
AVERAGEIFS(
'New 20102013 LF Efficacy'!$J:$J,
'New 20102013 LF Efficacy'!$D:$D,$A40,
'New 20102013 LF Efficacy'!$F:$F,"Albendazole &amp; DEC",
'New 20102013 LF Efficacy'!$W:$W,"&lt;2011",
'New 20102013 LF Efficacy'!$AA:$AA,""),
"")
</f>
        <v/>
      </c>
      <c r="AQ40" s="115">
        <f t="shared" si="13"/>
        <v>0.3465</v>
      </c>
      <c r="AR40" s="121" t="str">
        <f>IFERROR(
AVERAGEIFS(
'New 20102013 LF Efficacy'!$J:$J,
'New 20102013 LF Efficacy'!$D:$D,$A40,
'New 20102013 LF Efficacy'!$F:$F,"Albendazole &amp; Ivermectin", 
'New 20102013 LF Efficacy'!$W:$W,"&lt;2011",
'New 20102013 LF Efficacy'!$AA:$AA,""),"")</f>
        <v/>
      </c>
      <c r="AS40" s="115">
        <f t="shared" si="14"/>
        <v>0.7575</v>
      </c>
      <c r="AT40" s="130" t="str">
        <f>IFERROR(AVERAGEIFS(
'20102013 Schist Efficacy'!$O:$O, 
'20102013 Schist Efficacy'!$C:$C,$A40, 
'20102013 Schist Efficacy'!$D:$D, "Praziquantel",
'20102013 Schist Efficacy'!$J:$J,"&lt;2011",
'20102013 Schist Efficacy'!$U:$U,""),
"")</f>
        <v/>
      </c>
      <c r="AU40" s="118">
        <f t="shared" si="15"/>
        <v>0.7732631579</v>
      </c>
      <c r="AV40" s="131" t="str">
        <f>IFERROR(AVERAGEIFS(
'20102013 STH Efficacy'!$AX:$AX, 
'20102013 STH Efficacy'!$AL:$AL, $A40, 
'20102013 STH Efficacy'!$AM:$AM, "Albendazole",
'20102013 STH Efficacy'!$AS:$AS,"&lt;2011",
'20102013 STH Efficacy'!$BP:$BP,""),
"")</f>
        <v/>
      </c>
      <c r="AW40" s="132">
        <f t="shared" si="16"/>
        <v>0.3945</v>
      </c>
      <c r="AX40" s="131" t="str">
        <f>IFERROR(AVERAGEIFS(
'20102013 STH Efficacy'!$AX:$AX, 
'20102013 STH Efficacy'!$AL:$AL, $A40, 
'20102013 STH Efficacy'!$AM:$AM, "Mebendazole",
'20102013 STH Efficacy'!$AS:$AS,"&lt;2011",
'20102013 STH Efficacy'!$BP:$BP,""),
"")</f>
        <v/>
      </c>
      <c r="AY40" s="132">
        <f t="shared" si="17"/>
        <v>0.6</v>
      </c>
      <c r="AZ40" s="131" t="str">
        <f>IFERROR(AVERAGEIFS(
'20102013 STH Efficacy'!$AX:$AX, 
'20102013 STH Efficacy'!$AL:$AL, $A40, 
'20102013 STH Efficacy'!$AM:$AM, "Albendazole &amp; Ivermectin",
'20102013 STH Efficacy'!$AS:$AS,"&lt;2011",
'20102013 STH Efficacy'!$BP:$BP,""),
"")</f>
        <v/>
      </c>
      <c r="BA40" s="133">
        <f t="shared" si="18"/>
        <v>0.796</v>
      </c>
      <c r="BB40" s="134" t="str">
        <f>IFERROR(AVERAGEIFS(
'20102013 STH Efficacy'!$N:$N, 
'20102013 STH Efficacy'!$B:$B, $A40, 
'20102013 STH Efficacy'!$C:$C, "Albendazole",
'20102013 STH Efficacy'!$I:$I,"&lt;2011",
'20102013 STH Efficacy'!$AH:$AH,""),
"")</f>
        <v/>
      </c>
      <c r="BC40" s="135">
        <f t="shared" si="19"/>
        <v>0.869</v>
      </c>
      <c r="BD40" s="134" t="str">
        <f>IFERROR(AVERAGEIFS(
'20102013 STH Efficacy'!$N:$N, 
'20102013 STH Efficacy'!$B:$B, $A40, 
'20102013 STH Efficacy'!$C:$C, "Mebendazole",
'20102013 STH Efficacy'!$I:$I,"&lt;2011",
'20102013 STH Efficacy'!$AH:$AH,""),
"")</f>
        <v/>
      </c>
      <c r="BE40" s="135">
        <f t="shared" si="20"/>
        <v>0.172</v>
      </c>
      <c r="BF40" s="128" t="str">
        <f>IFERROR(AVERAGEIFS(
'20102013 STH Efficacy'!$CD:$CD, 
'20102013 STH Efficacy'!$BS:$BS, $A40, 
'20102013 STH Efficacy'!$BT:$BT, "Albendazole",
'20102013 STH Efficacy'!$BZ:$BZ,"&lt;2011",
'20102013 STH Efficacy'!$CU:$CU,""),
"")</f>
        <v/>
      </c>
      <c r="BG40" s="136">
        <f t="shared" si="21"/>
        <v>0.9862</v>
      </c>
      <c r="BH40" s="128" t="str">
        <f>IFERROR(AVERAGEIFS(
'20102013 STH Efficacy'!$CD:$CD, 
'20102013 STH Efficacy'!$BS:$BS, $A40, 
'20102013 STH Efficacy'!$BT:$BT, "Mebendazole",
'20102013 STH Efficacy'!$BZ:$BZ,"&lt;2011",
'20102013 STH Efficacy'!$CU:$CU,""),
"")</f>
        <v/>
      </c>
      <c r="BI40" s="136">
        <f t="shared" si="22"/>
        <v>0.769</v>
      </c>
      <c r="BJ40" s="128" t="str">
        <f>IFERROR(AVERAGEIFS(
'20102013 STH Efficacy'!$CD:$CD, 
'20102013 STH Efficacy'!$BS:$BS, $A40, 
'20102013 STH Efficacy'!$BT:$BT, "Albendazole &amp; Ivermectin",
'20102013 STH Efficacy'!$BZ:$BZ,"&lt;2011",
'20102013 STH Efficacy'!$CU:$CU,""),
"")</f>
        <v/>
      </c>
      <c r="BK40" s="136">
        <f t="shared" si="23"/>
        <v>1</v>
      </c>
      <c r="BL40" s="137"/>
      <c r="BM40" s="137"/>
      <c r="BN40" s="138">
        <v>0.0</v>
      </c>
      <c r="BO40" s="139">
        <v>0.0</v>
      </c>
      <c r="BP40" s="140">
        <v>0.0</v>
      </c>
      <c r="BQ40" s="141">
        <f t="shared" si="24"/>
        <v>0</v>
      </c>
      <c r="BR40" s="104" t="str">
        <f t="shared" si="25"/>
        <v>0000</v>
      </c>
      <c r="BS40" s="104" t="str">
        <f t="shared" si="26"/>
        <v>no action required</v>
      </c>
      <c r="BT40" s="142" t="str">
        <f t="shared" si="27"/>
        <v/>
      </c>
      <c r="BU40" s="104" t="str">
        <f t="shared" si="28"/>
        <v/>
      </c>
      <c r="BV40" s="104" t="str">
        <f t="shared" si="29"/>
        <v>none</v>
      </c>
      <c r="BW40" s="150" t="str">
        <f t="shared" si="30"/>
        <v/>
      </c>
      <c r="BX40" s="150" t="str">
        <f t="shared" si="31"/>
        <v/>
      </c>
      <c r="BY40" s="151" t="str">
        <f t="shared" si="32"/>
        <v/>
      </c>
      <c r="BZ40" s="152" t="str">
        <f t="shared" si="33"/>
        <v/>
      </c>
      <c r="CA40" s="152" t="str">
        <f t="shared" si="34"/>
        <v/>
      </c>
      <c r="CB40" s="152" t="str">
        <f t="shared" si="35"/>
        <v/>
      </c>
      <c r="CC40" s="153" t="str">
        <f t="shared" si="36"/>
        <v/>
      </c>
      <c r="CD40" s="153" t="str">
        <f t="shared" si="37"/>
        <v/>
      </c>
      <c r="CE40" s="154" t="str">
        <f t="shared" si="38"/>
        <v/>
      </c>
      <c r="CF40" s="154" t="str">
        <f t="shared" si="39"/>
        <v/>
      </c>
      <c r="CG40" s="154" t="str">
        <f t="shared" si="40"/>
        <v/>
      </c>
    </row>
    <row r="41">
      <c r="A41" s="103" t="s">
        <v>130</v>
      </c>
      <c r="B41" s="104" t="s">
        <v>92</v>
      </c>
      <c r="C41" s="105">
        <v>502384.0</v>
      </c>
      <c r="D41" s="106">
        <v>0.0</v>
      </c>
      <c r="E41" s="107">
        <v>0.0</v>
      </c>
      <c r="F41" s="108">
        <v>6.30586E-4</v>
      </c>
      <c r="G41" s="108">
        <v>0.00149643</v>
      </c>
      <c r="H41" s="108">
        <v>0.002127015</v>
      </c>
      <c r="I41" s="109">
        <v>0.45173125</v>
      </c>
      <c r="J41" s="109">
        <v>0.54750275</v>
      </c>
      <c r="K41" s="109">
        <v>0.999234</v>
      </c>
      <c r="L41" s="112">
        <v>0.544089999</v>
      </c>
      <c r="M41" s="112">
        <v>0.09459755</v>
      </c>
      <c r="N41" s="112">
        <v>0.63868755</v>
      </c>
      <c r="O41" s="113"/>
      <c r="P41" s="114"/>
      <c r="Q41" s="114"/>
      <c r="R41" s="115" t="str">
        <f t="shared" si="8"/>
        <v/>
      </c>
      <c r="S41" s="116">
        <f t="shared" si="9"/>
        <v>0.1716437208</v>
      </c>
      <c r="T41" s="117"/>
      <c r="U41" s="118">
        <f t="shared" si="41"/>
        <v>0.252</v>
      </c>
      <c r="V41" s="148"/>
      <c r="W41" s="120">
        <f t="shared" si="10"/>
        <v>0.7266555556</v>
      </c>
      <c r="X41" s="119">
        <v>0.7516</v>
      </c>
      <c r="Y41" s="120">
        <f t="shared" si="11"/>
        <v>0.7516</v>
      </c>
      <c r="Z41" s="121"/>
      <c r="AA41" s="121"/>
      <c r="AB41" s="121"/>
      <c r="AC41" s="121"/>
      <c r="AD41" s="122">
        <v>0.0</v>
      </c>
      <c r="AE41" s="123">
        <v>0.0</v>
      </c>
      <c r="AF41" s="123">
        <v>0.0</v>
      </c>
      <c r="AG41" s="124">
        <v>0.0075</v>
      </c>
      <c r="AH41" s="124">
        <v>0.0</v>
      </c>
      <c r="AI41" s="125">
        <v>0.0014</v>
      </c>
      <c r="AJ41" s="125">
        <v>0.001471367</v>
      </c>
      <c r="AK41" s="127">
        <v>0.0</v>
      </c>
      <c r="AL41" s="127">
        <v>1.22392E-5</v>
      </c>
      <c r="AM41" s="128"/>
      <c r="AN41" s="149" t="str">
        <f>IFERROR(
  AVERAGEIFS(
    'New 20102013 LF Efficacy'!$J:$J,
    'New 20102013 LF Efficacy'!$D:$D, $A41,
    'New 20102013 LF Efficacy'!$F:$F,"DEC", 
    'New 20102013 LF Efficacy'!$W:$W,"&lt;2011",
    'New 20102013 LF Efficacy'!$AA:$AA,""),
  ""
)</f>
        <v/>
      </c>
      <c r="AO41" s="115">
        <f t="shared" si="12"/>
        <v>0.31225</v>
      </c>
      <c r="AP41" s="121" t="str">
        <f>IFERROR(
AVERAGEIFS(
'New 20102013 LF Efficacy'!$J:$J,
'New 20102013 LF Efficacy'!$D:$D,$A41,
'New 20102013 LF Efficacy'!$F:$F,"Albendazole &amp; DEC",
'New 20102013 LF Efficacy'!$W:$W,"&lt;2011",
'New 20102013 LF Efficacy'!$AA:$AA,""),
"")
</f>
        <v/>
      </c>
      <c r="AQ41" s="115">
        <f t="shared" si="13"/>
        <v>0.4</v>
      </c>
      <c r="AR41" s="121" t="str">
        <f>IFERROR(
AVERAGEIFS(
'New 20102013 LF Efficacy'!$J:$J,
'New 20102013 LF Efficacy'!$D:$D,$A41,
'New 20102013 LF Efficacy'!$F:$F,"Albendazole &amp; Ivermectin", 
'New 20102013 LF Efficacy'!$W:$W,"&lt;2011",
'New 20102013 LF Efficacy'!$AA:$AA,""),"")</f>
        <v/>
      </c>
      <c r="AS41" s="115">
        <f t="shared" si="14"/>
        <v>0.2943125</v>
      </c>
      <c r="AT41" s="130" t="str">
        <f>IFERROR(AVERAGEIFS(
'20102013 Schist Efficacy'!$O:$O, 
'20102013 Schist Efficacy'!$C:$C,$A41, 
'20102013 Schist Efficacy'!$D:$D, "Praziquantel",
'20102013 Schist Efficacy'!$J:$J,"&lt;2011",
'20102013 Schist Efficacy'!$U:$U,""),
"")</f>
        <v/>
      </c>
      <c r="AU41" s="118">
        <f t="shared" si="15"/>
        <v>0.6444020147</v>
      </c>
      <c r="AV41" s="131" t="str">
        <f>IFERROR(AVERAGEIFS(
'20102013 STH Efficacy'!$AX:$AX, 
'20102013 STH Efficacy'!$AL:$AL, $A41, 
'20102013 STH Efficacy'!$AM:$AM, "Albendazole",
'20102013 STH Efficacy'!$AS:$AS,"&lt;2011",
'20102013 STH Efficacy'!$BP:$BP,""),
"")</f>
        <v/>
      </c>
      <c r="AW41" s="132">
        <f t="shared" si="16"/>
        <v>0.3538333333</v>
      </c>
      <c r="AX41" s="131" t="str">
        <f>IFERROR(AVERAGEIFS(
'20102013 STH Efficacy'!$AX:$AX, 
'20102013 STH Efficacy'!$AL:$AL, $A41, 
'20102013 STH Efficacy'!$AM:$AM, "Mebendazole",
'20102013 STH Efficacy'!$AS:$AS,"&lt;2011",
'20102013 STH Efficacy'!$BP:$BP,""),
"")</f>
        <v/>
      </c>
      <c r="AY41" s="132">
        <f t="shared" si="17"/>
        <v>0.5918333333</v>
      </c>
      <c r="AZ41" s="131" t="str">
        <f>IFERROR(AVERAGEIFS(
'20102013 STH Efficacy'!$AX:$AX, 
'20102013 STH Efficacy'!$AL:$AL, $A41, 
'20102013 STH Efficacy'!$AM:$AM, "Albendazole &amp; Ivermectin",
'20102013 STH Efficacy'!$AS:$AS,"&lt;2011",
'20102013 STH Efficacy'!$BP:$BP,""),
"")</f>
        <v/>
      </c>
      <c r="BA41" s="133">
        <f t="shared" si="18"/>
        <v>0.706</v>
      </c>
      <c r="BB41" s="134" t="str">
        <f>IFERROR(AVERAGEIFS(
'20102013 STH Efficacy'!$N:$N, 
'20102013 STH Efficacy'!$B:$B, $A41, 
'20102013 STH Efficacy'!$C:$C, "Albendazole",
'20102013 STH Efficacy'!$I:$I,"&lt;2011",
'20102013 STH Efficacy'!$AH:$AH,""),
"")</f>
        <v/>
      </c>
      <c r="BC41" s="135">
        <f t="shared" si="19"/>
        <v>0.9116666667</v>
      </c>
      <c r="BD41" s="134" t="str">
        <f>IFERROR(AVERAGEIFS(
'20102013 STH Efficacy'!$N:$N, 
'20102013 STH Efficacy'!$B:$B, $A41, 
'20102013 STH Efficacy'!$C:$C, "Mebendazole",
'20102013 STH Efficacy'!$I:$I,"&lt;2011",
'20102013 STH Efficacy'!$AH:$AH,""),
"")</f>
        <v/>
      </c>
      <c r="BE41" s="135">
        <f t="shared" si="20"/>
        <v>0.7092416667</v>
      </c>
      <c r="BF41" s="128" t="str">
        <f>IFERROR(AVERAGEIFS(
'20102013 STH Efficacy'!$CD:$CD, 
'20102013 STH Efficacy'!$BS:$BS, $A41, 
'20102013 STH Efficacy'!$BT:$BT, "Albendazole",
'20102013 STH Efficacy'!$BZ:$BZ,"&lt;2011",
'20102013 STH Efficacy'!$CU:$CU,""),
"")</f>
        <v/>
      </c>
      <c r="BG41" s="136">
        <f t="shared" si="21"/>
        <v>0.8656666667</v>
      </c>
      <c r="BH41" s="128" t="str">
        <f>IFERROR(AVERAGEIFS(
'20102013 STH Efficacy'!$CD:$CD, 
'20102013 STH Efficacy'!$BS:$BS, $A41, 
'20102013 STH Efficacy'!$BT:$BT, "Mebendazole",
'20102013 STH Efficacy'!$BZ:$BZ,"&lt;2011",
'20102013 STH Efficacy'!$CU:$CU,""),
"")</f>
        <v/>
      </c>
      <c r="BI41" s="136">
        <f t="shared" si="22"/>
        <v>0.9203333333</v>
      </c>
      <c r="BJ41" s="128" t="str">
        <f>IFERROR(AVERAGEIFS(
'20102013 STH Efficacy'!$CD:$CD, 
'20102013 STH Efficacy'!$BS:$BS, $A41, 
'20102013 STH Efficacy'!$BT:$BT, "Albendazole &amp; Ivermectin",
'20102013 STH Efficacy'!$BZ:$BZ,"&lt;2011",
'20102013 STH Efficacy'!$CU:$CU,""),
"")</f>
        <v/>
      </c>
      <c r="BK41" s="136">
        <f t="shared" si="23"/>
        <v>1</v>
      </c>
      <c r="BL41" s="137"/>
      <c r="BM41" s="137"/>
      <c r="BN41" s="138">
        <v>0.0</v>
      </c>
      <c r="BO41" s="139">
        <v>0.0</v>
      </c>
      <c r="BP41" s="140">
        <v>0.0</v>
      </c>
      <c r="BQ41" s="141">
        <f t="shared" si="24"/>
        <v>0</v>
      </c>
      <c r="BR41" s="104" t="str">
        <f t="shared" si="25"/>
        <v>0000</v>
      </c>
      <c r="BS41" s="104" t="str">
        <f t="shared" si="26"/>
        <v>no action required</v>
      </c>
      <c r="BT41" s="142" t="str">
        <f t="shared" si="27"/>
        <v/>
      </c>
      <c r="BU41" s="104" t="str">
        <f t="shared" si="28"/>
        <v/>
      </c>
      <c r="BV41" s="104" t="str">
        <f t="shared" si="29"/>
        <v>none</v>
      </c>
      <c r="BW41" s="150" t="str">
        <f t="shared" si="30"/>
        <v/>
      </c>
      <c r="BX41" s="150" t="str">
        <f t="shared" si="31"/>
        <v/>
      </c>
      <c r="BY41" s="151" t="str">
        <f t="shared" si="32"/>
        <v/>
      </c>
      <c r="BZ41" s="152" t="str">
        <f t="shared" si="33"/>
        <v/>
      </c>
      <c r="CA41" s="152" t="str">
        <f t="shared" si="34"/>
        <v/>
      </c>
      <c r="CB41" s="152" t="str">
        <f t="shared" si="35"/>
        <v/>
      </c>
      <c r="CC41" s="153" t="str">
        <f t="shared" si="36"/>
        <v/>
      </c>
      <c r="CD41" s="153" t="str">
        <f t="shared" si="37"/>
        <v/>
      </c>
      <c r="CE41" s="154" t="str">
        <f t="shared" si="38"/>
        <v/>
      </c>
      <c r="CF41" s="154" t="str">
        <f t="shared" si="39"/>
        <v/>
      </c>
      <c r="CG41" s="154" t="str">
        <f t="shared" si="40"/>
        <v/>
      </c>
    </row>
    <row r="42">
      <c r="A42" s="155" t="s">
        <v>131</v>
      </c>
      <c r="B42" s="104" t="s">
        <v>98</v>
      </c>
      <c r="C42" s="105">
        <v>55507.0</v>
      </c>
      <c r="D42" s="106">
        <v>0.0</v>
      </c>
      <c r="E42" s="107">
        <v>0.0</v>
      </c>
      <c r="F42" s="163"/>
      <c r="G42" s="163"/>
      <c r="H42" s="157">
        <v>0.0</v>
      </c>
      <c r="I42" s="110">
        <v>0.0</v>
      </c>
      <c r="J42" s="110">
        <v>0.0</v>
      </c>
      <c r="K42" s="109">
        <v>0.0</v>
      </c>
      <c r="L42" s="113"/>
      <c r="M42" s="113"/>
      <c r="N42" s="112">
        <v>0.0</v>
      </c>
      <c r="O42" s="113"/>
      <c r="P42" s="114"/>
      <c r="Q42" s="114"/>
      <c r="R42" s="115" t="str">
        <f t="shared" si="8"/>
        <v/>
      </c>
      <c r="S42" s="116">
        <f t="shared" si="9"/>
        <v>0.14553293</v>
      </c>
      <c r="T42" s="117"/>
      <c r="U42" s="118">
        <f t="shared" si="41"/>
        <v>0.39435</v>
      </c>
      <c r="V42" s="148"/>
      <c r="W42" s="120">
        <f t="shared" si="10"/>
        <v>0.3616</v>
      </c>
      <c r="X42" s="148"/>
      <c r="Y42" s="120">
        <f t="shared" si="11"/>
        <v>0.5015615385</v>
      </c>
      <c r="Z42" s="114"/>
      <c r="AA42" s="114"/>
      <c r="AB42" s="114"/>
      <c r="AC42" s="114"/>
      <c r="AD42" s="164">
        <v>0.0</v>
      </c>
      <c r="AE42" s="165">
        <v>0.0</v>
      </c>
      <c r="AF42" s="166">
        <v>0.0</v>
      </c>
      <c r="AG42" s="167">
        <v>0.0</v>
      </c>
      <c r="AH42" s="172">
        <v>0.0</v>
      </c>
      <c r="AI42" s="168">
        <v>0.0</v>
      </c>
      <c r="AJ42" s="173">
        <v>0.0</v>
      </c>
      <c r="AK42" s="126">
        <v>0.0</v>
      </c>
      <c r="AL42" s="169">
        <v>0.0</v>
      </c>
      <c r="AM42" s="128"/>
      <c r="AN42" s="149" t="str">
        <f>IFERROR(
  AVERAGEIFS(
    'New 20102013 LF Efficacy'!$J:$J,
    'New 20102013 LF Efficacy'!$D:$D, $A42,
    'New 20102013 LF Efficacy'!$F:$F,"DEC", 
    'New 20102013 LF Efficacy'!$W:$W,"&lt;2011",
    'New 20102013 LF Efficacy'!$AA:$AA,""),
  ""
)</f>
        <v/>
      </c>
      <c r="AO42" s="115">
        <f t="shared" si="12"/>
        <v>0.2589833333</v>
      </c>
      <c r="AP42" s="121" t="str">
        <f>IFERROR(
AVERAGEIFS(
'New 20102013 LF Efficacy'!$J:$J,
'New 20102013 LF Efficacy'!$D:$D,$A42,
'New 20102013 LF Efficacy'!$F:$F,"Albendazole &amp; DEC",
'New 20102013 LF Efficacy'!$W:$W,"&lt;2011",
'New 20102013 LF Efficacy'!$AA:$AA,""),
"")
</f>
        <v/>
      </c>
      <c r="AQ42" s="115">
        <f t="shared" si="13"/>
        <v>0.3465</v>
      </c>
      <c r="AR42" s="121" t="str">
        <f>IFERROR(
AVERAGEIFS(
'New 20102013 LF Efficacy'!$J:$J,
'New 20102013 LF Efficacy'!$D:$D,$A42,
'New 20102013 LF Efficacy'!$F:$F,"Albendazole &amp; Ivermectin", 
'New 20102013 LF Efficacy'!$W:$W,"&lt;2011",
'New 20102013 LF Efficacy'!$AA:$AA,""),"")</f>
        <v/>
      </c>
      <c r="AS42" s="115">
        <f t="shared" si="14"/>
        <v>0.7575</v>
      </c>
      <c r="AT42" s="130" t="str">
        <f>IFERROR(AVERAGEIFS(
'20102013 Schist Efficacy'!$O:$O, 
'20102013 Schist Efficacy'!$C:$C,$A42, 
'20102013 Schist Efficacy'!$D:$D, "Praziquantel",
'20102013 Schist Efficacy'!$J:$J,"&lt;2011",
'20102013 Schist Efficacy'!$U:$U,""),
"")</f>
        <v/>
      </c>
      <c r="AU42" s="118">
        <f t="shared" si="15"/>
        <v>0.7732631579</v>
      </c>
      <c r="AV42" s="131" t="str">
        <f>IFERROR(AVERAGEIFS(
'20102013 STH Efficacy'!$AX:$AX, 
'20102013 STH Efficacy'!$AL:$AL, $A42, 
'20102013 STH Efficacy'!$AM:$AM, "Albendazole",
'20102013 STH Efficacy'!$AS:$AS,"&lt;2011",
'20102013 STH Efficacy'!$BP:$BP,""),
"")</f>
        <v/>
      </c>
      <c r="AW42" s="132">
        <f t="shared" si="16"/>
        <v>0.3945</v>
      </c>
      <c r="AX42" s="131" t="str">
        <f>IFERROR(AVERAGEIFS(
'20102013 STH Efficacy'!$AX:$AX, 
'20102013 STH Efficacy'!$AL:$AL, $A42, 
'20102013 STH Efficacy'!$AM:$AM, "Mebendazole",
'20102013 STH Efficacy'!$AS:$AS,"&lt;2011",
'20102013 STH Efficacy'!$BP:$BP,""),
"")</f>
        <v/>
      </c>
      <c r="AY42" s="132">
        <f t="shared" si="17"/>
        <v>0.6</v>
      </c>
      <c r="AZ42" s="131" t="str">
        <f>IFERROR(AVERAGEIFS(
'20102013 STH Efficacy'!$AX:$AX, 
'20102013 STH Efficacy'!$AL:$AL, $A42, 
'20102013 STH Efficacy'!$AM:$AM, "Albendazole &amp; Ivermectin",
'20102013 STH Efficacy'!$AS:$AS,"&lt;2011",
'20102013 STH Efficacy'!$BP:$BP,""),
"")</f>
        <v/>
      </c>
      <c r="BA42" s="133">
        <f t="shared" si="18"/>
        <v>0.796</v>
      </c>
      <c r="BB42" s="134" t="str">
        <f>IFERROR(AVERAGEIFS(
'20102013 STH Efficacy'!$N:$N, 
'20102013 STH Efficacy'!$B:$B, $A42, 
'20102013 STH Efficacy'!$C:$C, "Albendazole",
'20102013 STH Efficacy'!$I:$I,"&lt;2011",
'20102013 STH Efficacy'!$AH:$AH,""),
"")</f>
        <v/>
      </c>
      <c r="BC42" s="135">
        <f t="shared" si="19"/>
        <v>0.869</v>
      </c>
      <c r="BD42" s="134" t="str">
        <f>IFERROR(AVERAGEIFS(
'20102013 STH Efficacy'!$N:$N, 
'20102013 STH Efficacy'!$B:$B, $A42, 
'20102013 STH Efficacy'!$C:$C, "Mebendazole",
'20102013 STH Efficacy'!$I:$I,"&lt;2011",
'20102013 STH Efficacy'!$AH:$AH,""),
"")</f>
        <v/>
      </c>
      <c r="BE42" s="135">
        <f t="shared" si="20"/>
        <v>0.172</v>
      </c>
      <c r="BF42" s="128" t="str">
        <f>IFERROR(AVERAGEIFS(
'20102013 STH Efficacy'!$CD:$CD, 
'20102013 STH Efficacy'!$BS:$BS, $A42, 
'20102013 STH Efficacy'!$BT:$BT, "Albendazole",
'20102013 STH Efficacy'!$BZ:$BZ,"&lt;2011",
'20102013 STH Efficacy'!$CU:$CU,""),
"")</f>
        <v/>
      </c>
      <c r="BG42" s="136">
        <f t="shared" si="21"/>
        <v>0.9862</v>
      </c>
      <c r="BH42" s="128" t="str">
        <f>IFERROR(AVERAGEIFS(
'20102013 STH Efficacy'!$CD:$CD, 
'20102013 STH Efficacy'!$BS:$BS, $A42, 
'20102013 STH Efficacy'!$BT:$BT, "Mebendazole",
'20102013 STH Efficacy'!$BZ:$BZ,"&lt;2011",
'20102013 STH Efficacy'!$CU:$CU,""),
"")</f>
        <v/>
      </c>
      <c r="BI42" s="136">
        <f t="shared" si="22"/>
        <v>0.769</v>
      </c>
      <c r="BJ42" s="128" t="str">
        <f>IFERROR(AVERAGEIFS(
'20102013 STH Efficacy'!$CD:$CD, 
'20102013 STH Efficacy'!$BS:$BS, $A42, 
'20102013 STH Efficacy'!$BT:$BT, "Albendazole &amp; Ivermectin",
'20102013 STH Efficacy'!$BZ:$BZ,"&lt;2011",
'20102013 STH Efficacy'!$CU:$CU,""),
"")</f>
        <v/>
      </c>
      <c r="BK42" s="136">
        <f t="shared" si="23"/>
        <v>1</v>
      </c>
      <c r="BL42" s="137"/>
      <c r="BM42" s="137"/>
      <c r="BN42" s="138">
        <v>0.0</v>
      </c>
      <c r="BO42" s="139">
        <v>0.0</v>
      </c>
      <c r="BP42" s="140">
        <v>0.0</v>
      </c>
      <c r="BQ42" s="141">
        <f t="shared" si="24"/>
        <v>0</v>
      </c>
      <c r="BR42" s="104" t="str">
        <f t="shared" si="25"/>
        <v>0000</v>
      </c>
      <c r="BS42" s="104" t="str">
        <f t="shared" si="26"/>
        <v>no action required</v>
      </c>
      <c r="BT42" s="142" t="str">
        <f t="shared" si="27"/>
        <v/>
      </c>
      <c r="BU42" s="104" t="str">
        <f t="shared" si="28"/>
        <v/>
      </c>
      <c r="BV42" s="104" t="str">
        <f t="shared" si="29"/>
        <v>none</v>
      </c>
      <c r="BW42" s="150" t="str">
        <f t="shared" si="30"/>
        <v/>
      </c>
      <c r="BX42" s="150" t="str">
        <f t="shared" si="31"/>
        <v/>
      </c>
      <c r="BY42" s="151" t="str">
        <f t="shared" si="32"/>
        <v/>
      </c>
      <c r="BZ42" s="152" t="str">
        <f t="shared" si="33"/>
        <v/>
      </c>
      <c r="CA42" s="152" t="str">
        <f t="shared" si="34"/>
        <v/>
      </c>
      <c r="CB42" s="152" t="str">
        <f t="shared" si="35"/>
        <v/>
      </c>
      <c r="CC42" s="153" t="str">
        <f t="shared" si="36"/>
        <v/>
      </c>
      <c r="CD42" s="153" t="str">
        <f t="shared" si="37"/>
        <v/>
      </c>
      <c r="CE42" s="154" t="str">
        <f t="shared" si="38"/>
        <v/>
      </c>
      <c r="CF42" s="154" t="str">
        <f t="shared" si="39"/>
        <v/>
      </c>
      <c r="CG42" s="154" t="str">
        <f t="shared" si="40"/>
        <v/>
      </c>
    </row>
    <row r="43">
      <c r="A43" s="103" t="s">
        <v>132</v>
      </c>
      <c r="B43" s="104" t="s">
        <v>92</v>
      </c>
      <c r="C43" s="105">
        <v>4448525.0</v>
      </c>
      <c r="D43" s="106">
        <v>9351.991573</v>
      </c>
      <c r="E43" s="107">
        <v>4638.140199</v>
      </c>
      <c r="F43" s="108">
        <v>7.207431652</v>
      </c>
      <c r="G43" s="108">
        <v>31.9035946</v>
      </c>
      <c r="H43" s="108">
        <v>39.11102625</v>
      </c>
      <c r="I43" s="109">
        <v>574.745524</v>
      </c>
      <c r="J43" s="110">
        <v>1635.94079</v>
      </c>
      <c r="K43" s="109">
        <v>2210.686316</v>
      </c>
      <c r="L43" s="112">
        <v>5899.553384</v>
      </c>
      <c r="M43" s="112">
        <v>796.0115145</v>
      </c>
      <c r="N43" s="158">
        <v>6695.564898</v>
      </c>
      <c r="O43" s="159"/>
      <c r="P43" s="160">
        <v>3300000.0</v>
      </c>
      <c r="Q43" s="160">
        <v>193919.0</v>
      </c>
      <c r="R43" s="115">
        <f t="shared" si="8"/>
        <v>0.05876333333</v>
      </c>
      <c r="S43" s="116">
        <f t="shared" si="9"/>
        <v>0.05876333333</v>
      </c>
      <c r="T43" s="118">
        <v>0.0783</v>
      </c>
      <c r="U43" s="118">
        <f t="shared" si="41"/>
        <v>0.0783</v>
      </c>
      <c r="V43" s="119">
        <v>0.8777</v>
      </c>
      <c r="W43" s="120">
        <f t="shared" si="10"/>
        <v>0.8777</v>
      </c>
      <c r="X43" s="119">
        <v>0.2213</v>
      </c>
      <c r="Y43" s="120">
        <f t="shared" si="11"/>
        <v>0.2213</v>
      </c>
      <c r="Z43" s="121"/>
      <c r="AA43" s="121"/>
      <c r="AB43" s="121"/>
      <c r="AC43" s="121"/>
      <c r="AD43" s="122">
        <v>0.0859</v>
      </c>
      <c r="AE43" s="123">
        <v>0.08</v>
      </c>
      <c r="AF43" s="123">
        <v>0.0174</v>
      </c>
      <c r="AG43" s="167">
        <v>0.0</v>
      </c>
      <c r="AH43" s="124">
        <v>0.101600441</v>
      </c>
      <c r="AI43" s="168">
        <v>0.0</v>
      </c>
      <c r="AJ43" s="125">
        <v>0.288902321</v>
      </c>
      <c r="AK43" s="126">
        <v>0.0</v>
      </c>
      <c r="AL43" s="169">
        <v>0.141462689</v>
      </c>
      <c r="AM43" s="128"/>
      <c r="AN43" s="149" t="str">
        <f>IFERROR(
  AVERAGEIFS(
    'New 20102013 LF Efficacy'!$J:$J,
    'New 20102013 LF Efficacy'!$D:$D, $A43,
    'New 20102013 LF Efficacy'!$F:$F,"DEC", 
    'New 20102013 LF Efficacy'!$W:$W,"&lt;2011",
    'New 20102013 LF Efficacy'!$AA:$AA,""),
  ""
)</f>
        <v/>
      </c>
      <c r="AO43" s="115">
        <f t="shared" si="12"/>
        <v>0.31225</v>
      </c>
      <c r="AP43" s="121" t="str">
        <f>IFERROR(
AVERAGEIFS(
'New 20102013 LF Efficacy'!$J:$J,
'New 20102013 LF Efficacy'!$D:$D,$A43,
'New 20102013 LF Efficacy'!$F:$F,"Albendazole &amp; DEC",
'New 20102013 LF Efficacy'!$W:$W,"&lt;2011",
'New 20102013 LF Efficacy'!$AA:$AA,""),
"")
</f>
        <v/>
      </c>
      <c r="AQ43" s="115">
        <f t="shared" si="13"/>
        <v>0.4</v>
      </c>
      <c r="AR43" s="121" t="str">
        <f>IFERROR(
AVERAGEIFS(
'New 20102013 LF Efficacy'!$J:$J,
'New 20102013 LF Efficacy'!$D:$D,$A43,
'New 20102013 LF Efficacy'!$F:$F,"Albendazole &amp; Ivermectin", 
'New 20102013 LF Efficacy'!$W:$W,"&lt;2011",
'New 20102013 LF Efficacy'!$AA:$AA,""),"")</f>
        <v/>
      </c>
      <c r="AS43" s="115">
        <f t="shared" si="14"/>
        <v>0.2943125</v>
      </c>
      <c r="AT43" s="130" t="str">
        <f>IFERROR(AVERAGEIFS(
'20102013 Schist Efficacy'!$O:$O, 
'20102013 Schist Efficacy'!$C:$C,$A43, 
'20102013 Schist Efficacy'!$D:$D, "Praziquantel",
'20102013 Schist Efficacy'!$J:$J,"&lt;2011",
'20102013 Schist Efficacy'!$U:$U,""),
"")</f>
        <v/>
      </c>
      <c r="AU43" s="118">
        <f t="shared" si="15"/>
        <v>0.6444020147</v>
      </c>
      <c r="AV43" s="131" t="str">
        <f>IFERROR(AVERAGEIFS(
'20102013 STH Efficacy'!$AX:$AX, 
'20102013 STH Efficacy'!$AL:$AL, $A43, 
'20102013 STH Efficacy'!$AM:$AM, "Albendazole",
'20102013 STH Efficacy'!$AS:$AS,"&lt;2011",
'20102013 STH Efficacy'!$BP:$BP,""),
"")</f>
        <v/>
      </c>
      <c r="AW43" s="132">
        <f t="shared" si="16"/>
        <v>0.3538333333</v>
      </c>
      <c r="AX43" s="131" t="str">
        <f>IFERROR(AVERAGEIFS(
'20102013 STH Efficacy'!$AX:$AX, 
'20102013 STH Efficacy'!$AL:$AL, $A43, 
'20102013 STH Efficacy'!$AM:$AM, "Mebendazole",
'20102013 STH Efficacy'!$AS:$AS,"&lt;2011",
'20102013 STH Efficacy'!$BP:$BP,""),
"")</f>
        <v/>
      </c>
      <c r="AY43" s="132">
        <f t="shared" si="17"/>
        <v>0.5918333333</v>
      </c>
      <c r="AZ43" s="131" t="str">
        <f>IFERROR(AVERAGEIFS(
'20102013 STH Efficacy'!$AX:$AX, 
'20102013 STH Efficacy'!$AL:$AL, $A43, 
'20102013 STH Efficacy'!$AM:$AM, "Albendazole &amp; Ivermectin",
'20102013 STH Efficacy'!$AS:$AS,"&lt;2011",
'20102013 STH Efficacy'!$BP:$BP,""),
"")</f>
        <v/>
      </c>
      <c r="BA43" s="133">
        <f t="shared" si="18"/>
        <v>0.706</v>
      </c>
      <c r="BB43" s="134" t="str">
        <f>IFERROR(AVERAGEIFS(
'20102013 STH Efficacy'!$N:$N, 
'20102013 STH Efficacy'!$B:$B, $A43, 
'20102013 STH Efficacy'!$C:$C, "Albendazole",
'20102013 STH Efficacy'!$I:$I,"&lt;2011",
'20102013 STH Efficacy'!$AH:$AH,""),
"")</f>
        <v/>
      </c>
      <c r="BC43" s="135">
        <f t="shared" si="19"/>
        <v>0.9116666667</v>
      </c>
      <c r="BD43" s="134" t="str">
        <f>IFERROR(AVERAGEIFS(
'20102013 STH Efficacy'!$N:$N, 
'20102013 STH Efficacy'!$B:$B, $A43, 
'20102013 STH Efficacy'!$C:$C, "Mebendazole",
'20102013 STH Efficacy'!$I:$I,"&lt;2011",
'20102013 STH Efficacy'!$AH:$AH,""),
"")</f>
        <v/>
      </c>
      <c r="BE43" s="135">
        <f t="shared" si="20"/>
        <v>0.7092416667</v>
      </c>
      <c r="BF43" s="128" t="str">
        <f>IFERROR(AVERAGEIFS(
'20102013 STH Efficacy'!$CD:$CD, 
'20102013 STH Efficacy'!$BS:$BS, $A43, 
'20102013 STH Efficacy'!$BT:$BT, "Albendazole",
'20102013 STH Efficacy'!$BZ:$BZ,"&lt;2011",
'20102013 STH Efficacy'!$CU:$CU,""),
"")</f>
        <v/>
      </c>
      <c r="BG43" s="136">
        <f t="shared" si="21"/>
        <v>0.8656666667</v>
      </c>
      <c r="BH43" s="128" t="str">
        <f>IFERROR(AVERAGEIFS(
'20102013 STH Efficacy'!$CD:$CD, 
'20102013 STH Efficacy'!$BS:$BS, $A43, 
'20102013 STH Efficacy'!$BT:$BT, "Mebendazole",
'20102013 STH Efficacy'!$BZ:$BZ,"&lt;2011",
'20102013 STH Efficacy'!$CU:$CU,""),
"")</f>
        <v/>
      </c>
      <c r="BI43" s="136">
        <f t="shared" si="22"/>
        <v>0.9203333333</v>
      </c>
      <c r="BJ43" s="128" t="str">
        <f>IFERROR(AVERAGEIFS(
'20102013 STH Efficacy'!$CD:$CD, 
'20102013 STH Efficacy'!$BS:$BS, $A43, 
'20102013 STH Efficacy'!$BT:$BT, "Albendazole &amp; Ivermectin",
'20102013 STH Efficacy'!$BZ:$BZ,"&lt;2011",
'20102013 STH Efficacy'!$CU:$CU,""),
"")</f>
        <v/>
      </c>
      <c r="BK43" s="136">
        <f t="shared" si="23"/>
        <v>1</v>
      </c>
      <c r="BL43" s="137"/>
      <c r="BM43" s="137"/>
      <c r="BN43" s="138">
        <v>1.0</v>
      </c>
      <c r="BO43" s="139">
        <v>1.0</v>
      </c>
      <c r="BP43" s="140">
        <v>1.0</v>
      </c>
      <c r="BQ43" s="141">
        <f t="shared" si="24"/>
        <v>0</v>
      </c>
      <c r="BR43" s="104" t="str">
        <f t="shared" si="25"/>
        <v>1110</v>
      </c>
      <c r="BS43" s="104" t="str">
        <f t="shared" si="26"/>
        <v>MDA1+T2</v>
      </c>
      <c r="BT43" s="142" t="str">
        <f t="shared" si="27"/>
        <v>IVM+ALB</v>
      </c>
      <c r="BU43" s="104" t="str">
        <f t="shared" si="28"/>
        <v>PZQ</v>
      </c>
      <c r="BV43" s="104" t="str">
        <f t="shared" si="29"/>
        <v>lf+onch+schist </v>
      </c>
      <c r="BW43" s="150" t="str">
        <f t="shared" si="30"/>
        <v/>
      </c>
      <c r="BX43" s="150">
        <f t="shared" si="31"/>
        <v>164.5871694</v>
      </c>
      <c r="BY43" s="162">
        <f t="shared" si="32"/>
        <v>246.4607353</v>
      </c>
      <c r="BZ43" s="152" t="str">
        <f t="shared" si="33"/>
        <v/>
      </c>
      <c r="CA43" s="152" t="str">
        <f t="shared" si="34"/>
        <v/>
      </c>
      <c r="CB43" s="152" t="str">
        <f t="shared" si="35"/>
        <v/>
      </c>
      <c r="CC43" s="153" t="str">
        <f t="shared" si="36"/>
        <v/>
      </c>
      <c r="CD43" s="153" t="str">
        <f t="shared" si="37"/>
        <v/>
      </c>
      <c r="CE43" s="154" t="str">
        <f t="shared" si="38"/>
        <v/>
      </c>
      <c r="CF43" s="154" t="str">
        <f t="shared" si="39"/>
        <v/>
      </c>
      <c r="CG43" s="154" t="str">
        <f t="shared" si="40"/>
        <v/>
      </c>
    </row>
    <row r="44">
      <c r="A44" s="103" t="s">
        <v>133</v>
      </c>
      <c r="B44" s="104" t="s">
        <v>92</v>
      </c>
      <c r="C44" s="105">
        <v>1.1887202E7</v>
      </c>
      <c r="D44" s="106">
        <v>12226.84066</v>
      </c>
      <c r="E44" s="107">
        <v>25886.26239</v>
      </c>
      <c r="F44" s="108">
        <v>0.035315406</v>
      </c>
      <c r="G44" s="108">
        <v>0.180963367</v>
      </c>
      <c r="H44" s="157">
        <v>0.216278773</v>
      </c>
      <c r="I44" s="110">
        <v>1120.9626</v>
      </c>
      <c r="J44" s="110">
        <v>3070.1807</v>
      </c>
      <c r="K44" s="109">
        <v>4191.143301</v>
      </c>
      <c r="L44" s="112">
        <v>5683.140091</v>
      </c>
      <c r="M44" s="112">
        <v>574.3379552</v>
      </c>
      <c r="N44" s="158">
        <v>6257.478046</v>
      </c>
      <c r="O44" s="159"/>
      <c r="P44" s="160">
        <v>7270000.0</v>
      </c>
      <c r="Q44" s="156"/>
      <c r="R44" s="115">
        <f t="shared" si="8"/>
        <v>0</v>
      </c>
      <c r="S44" s="116">
        <f t="shared" si="9"/>
        <v>0.1716437208</v>
      </c>
      <c r="T44" s="117"/>
      <c r="U44" s="118">
        <f t="shared" si="41"/>
        <v>0.252</v>
      </c>
      <c r="V44" s="119">
        <v>0.6005</v>
      </c>
      <c r="W44" s="120">
        <f t="shared" si="10"/>
        <v>0.6005</v>
      </c>
      <c r="X44" s="148"/>
      <c r="Y44" s="120">
        <f t="shared" si="11"/>
        <v>0.4342071429</v>
      </c>
      <c r="Z44" s="121"/>
      <c r="AA44" s="121"/>
      <c r="AB44" s="121"/>
      <c r="AC44" s="121"/>
      <c r="AD44" s="122">
        <v>0.0246</v>
      </c>
      <c r="AE44" s="123">
        <v>0.23</v>
      </c>
      <c r="AF44" s="123">
        <v>0.0616</v>
      </c>
      <c r="AG44" s="124">
        <v>0.0114</v>
      </c>
      <c r="AH44" s="124">
        <v>0.018040069</v>
      </c>
      <c r="AI44" s="125">
        <v>0.1149</v>
      </c>
      <c r="AJ44" s="125">
        <v>0.186282089</v>
      </c>
      <c r="AK44" s="127">
        <v>0.01</v>
      </c>
      <c r="AL44" s="127">
        <v>0.01883263</v>
      </c>
      <c r="AM44" s="128"/>
      <c r="AN44" s="149" t="str">
        <f>IFERROR(
  AVERAGEIFS(
    'New 20102013 LF Efficacy'!$J:$J,
    'New 20102013 LF Efficacy'!$D:$D, $A44,
    'New 20102013 LF Efficacy'!$F:$F,"DEC", 
    'New 20102013 LF Efficacy'!$W:$W,"&lt;2011",
    'New 20102013 LF Efficacy'!$AA:$AA,""),
  ""
)</f>
        <v/>
      </c>
      <c r="AO44" s="115">
        <f t="shared" si="12"/>
        <v>0.31225</v>
      </c>
      <c r="AP44" s="121" t="str">
        <f>IFERROR(
AVERAGEIFS(
'New 20102013 LF Efficacy'!$J:$J,
'New 20102013 LF Efficacy'!$D:$D,$A44,
'New 20102013 LF Efficacy'!$F:$F,"Albendazole &amp; DEC",
'New 20102013 LF Efficacy'!$W:$W,"&lt;2011",
'New 20102013 LF Efficacy'!$AA:$AA,""),
"")
</f>
        <v/>
      </c>
      <c r="AQ44" s="115">
        <f t="shared" si="13"/>
        <v>0.4</v>
      </c>
      <c r="AR44" s="121" t="str">
        <f>IFERROR(
AVERAGEIFS(
'New 20102013 LF Efficacy'!$J:$J,
'New 20102013 LF Efficacy'!$D:$D,$A44,
'New 20102013 LF Efficacy'!$F:$F,"Albendazole &amp; Ivermectin", 
'New 20102013 LF Efficacy'!$W:$W,"&lt;2011",
'New 20102013 LF Efficacy'!$AA:$AA,""),"")</f>
        <v/>
      </c>
      <c r="AS44" s="115">
        <f t="shared" si="14"/>
        <v>0.2943125</v>
      </c>
      <c r="AT44" s="130" t="str">
        <f>IFERROR(AVERAGEIFS(
'20102013 Schist Efficacy'!$O:$O, 
'20102013 Schist Efficacy'!$C:$C,$A44, 
'20102013 Schist Efficacy'!$D:$D, "Praziquantel",
'20102013 Schist Efficacy'!$J:$J,"&lt;2011",
'20102013 Schist Efficacy'!$U:$U,""),
"")</f>
        <v/>
      </c>
      <c r="AU44" s="118">
        <f t="shared" si="15"/>
        <v>0.6444020147</v>
      </c>
      <c r="AV44" s="131" t="str">
        <f>IFERROR(AVERAGEIFS(
'20102013 STH Efficacy'!$AX:$AX, 
'20102013 STH Efficacy'!$AL:$AL, $A44, 
'20102013 STH Efficacy'!$AM:$AM, "Albendazole",
'20102013 STH Efficacy'!$AS:$AS,"&lt;2011",
'20102013 STH Efficacy'!$BP:$BP,""),
"")</f>
        <v/>
      </c>
      <c r="AW44" s="132">
        <f t="shared" si="16"/>
        <v>0.3538333333</v>
      </c>
      <c r="AX44" s="131" t="str">
        <f>IFERROR(AVERAGEIFS(
'20102013 STH Efficacy'!$AX:$AX, 
'20102013 STH Efficacy'!$AL:$AL, $A44, 
'20102013 STH Efficacy'!$AM:$AM, "Mebendazole",
'20102013 STH Efficacy'!$AS:$AS,"&lt;2011",
'20102013 STH Efficacy'!$BP:$BP,""),
"")</f>
        <v/>
      </c>
      <c r="AY44" s="132">
        <f t="shared" si="17"/>
        <v>0.5918333333</v>
      </c>
      <c r="AZ44" s="131" t="str">
        <f>IFERROR(AVERAGEIFS(
'20102013 STH Efficacy'!$AX:$AX, 
'20102013 STH Efficacy'!$AL:$AL, $A44, 
'20102013 STH Efficacy'!$AM:$AM, "Albendazole &amp; Ivermectin",
'20102013 STH Efficacy'!$AS:$AS,"&lt;2011",
'20102013 STH Efficacy'!$BP:$BP,""),
"")</f>
        <v/>
      </c>
      <c r="BA44" s="133">
        <f t="shared" si="18"/>
        <v>0.706</v>
      </c>
      <c r="BB44" s="134" t="str">
        <f>IFERROR(AVERAGEIFS(
'20102013 STH Efficacy'!$N:$N, 
'20102013 STH Efficacy'!$B:$B, $A44, 
'20102013 STH Efficacy'!$C:$C, "Albendazole",
'20102013 STH Efficacy'!$I:$I,"&lt;2011",
'20102013 STH Efficacy'!$AH:$AH,""),
"")</f>
        <v/>
      </c>
      <c r="BC44" s="135">
        <f t="shared" si="19"/>
        <v>0.9116666667</v>
      </c>
      <c r="BD44" s="134" t="str">
        <f>IFERROR(AVERAGEIFS(
'20102013 STH Efficacy'!$N:$N, 
'20102013 STH Efficacy'!$B:$B, $A44, 
'20102013 STH Efficacy'!$C:$C, "Mebendazole",
'20102013 STH Efficacy'!$I:$I,"&lt;2011",
'20102013 STH Efficacy'!$AH:$AH,""),
"")</f>
        <v/>
      </c>
      <c r="BE44" s="135">
        <f t="shared" si="20"/>
        <v>0.7092416667</v>
      </c>
      <c r="BF44" s="128" t="str">
        <f>IFERROR(AVERAGEIFS(
'20102013 STH Efficacy'!$CD:$CD, 
'20102013 STH Efficacy'!$BS:$BS, $A44, 
'20102013 STH Efficacy'!$BT:$BT, "Albendazole",
'20102013 STH Efficacy'!$BZ:$BZ,"&lt;2011",
'20102013 STH Efficacy'!$CU:$CU,""),
"")</f>
        <v/>
      </c>
      <c r="BG44" s="136">
        <f t="shared" si="21"/>
        <v>0.8656666667</v>
      </c>
      <c r="BH44" s="128" t="str">
        <f>IFERROR(AVERAGEIFS(
'20102013 STH Efficacy'!$CD:$CD, 
'20102013 STH Efficacy'!$BS:$BS, $A44, 
'20102013 STH Efficacy'!$BT:$BT, "Mebendazole",
'20102013 STH Efficacy'!$BZ:$BZ,"&lt;2011",
'20102013 STH Efficacy'!$CU:$CU,""),
"")</f>
        <v/>
      </c>
      <c r="BI44" s="136">
        <f t="shared" si="22"/>
        <v>0.9203333333</v>
      </c>
      <c r="BJ44" s="128" t="str">
        <f>IFERROR(AVERAGEIFS(
'20102013 STH Efficacy'!$CD:$CD, 
'20102013 STH Efficacy'!$BS:$BS, $A44, 
'20102013 STH Efficacy'!$BT:$BT, "Albendazole &amp; Ivermectin",
'20102013 STH Efficacy'!$BZ:$BZ,"&lt;2011",
'20102013 STH Efficacy'!$CU:$CU,""),
"")</f>
        <v/>
      </c>
      <c r="BK44" s="136">
        <f t="shared" si="23"/>
        <v>1</v>
      </c>
      <c r="BL44" s="137"/>
      <c r="BM44" s="137"/>
      <c r="BN44" s="138">
        <v>1.0</v>
      </c>
      <c r="BO44" s="139">
        <v>1.0</v>
      </c>
      <c r="BP44" s="140">
        <v>1.0</v>
      </c>
      <c r="BQ44" s="141">
        <f t="shared" si="24"/>
        <v>0</v>
      </c>
      <c r="BR44" s="104" t="str">
        <f t="shared" si="25"/>
        <v>1110</v>
      </c>
      <c r="BS44" s="104" t="str">
        <f t="shared" si="26"/>
        <v>MDA1+T2</v>
      </c>
      <c r="BT44" s="142" t="str">
        <f t="shared" si="27"/>
        <v>IVM+ALB</v>
      </c>
      <c r="BU44" s="104" t="str">
        <f t="shared" si="28"/>
        <v>PZQ</v>
      </c>
      <c r="BV44" s="104" t="str">
        <f t="shared" si="29"/>
        <v>lf+onch+schist </v>
      </c>
      <c r="BW44" s="150" t="str">
        <f t="shared" si="30"/>
        <v/>
      </c>
      <c r="BX44" s="150">
        <f t="shared" si="31"/>
        <v>650.524471</v>
      </c>
      <c r="BY44" s="162">
        <f t="shared" si="32"/>
        <v>5018.622932</v>
      </c>
      <c r="BZ44" s="152" t="str">
        <f t="shared" si="33"/>
        <v/>
      </c>
      <c r="CA44" s="152" t="str">
        <f t="shared" si="34"/>
        <v/>
      </c>
      <c r="CB44" s="152" t="str">
        <f t="shared" si="35"/>
        <v/>
      </c>
      <c r="CC44" s="153" t="str">
        <f t="shared" si="36"/>
        <v/>
      </c>
      <c r="CD44" s="153" t="str">
        <f t="shared" si="37"/>
        <v/>
      </c>
      <c r="CE44" s="154" t="str">
        <f t="shared" si="38"/>
        <v/>
      </c>
      <c r="CF44" s="154" t="str">
        <f t="shared" si="39"/>
        <v/>
      </c>
      <c r="CG44" s="154" t="str">
        <f t="shared" si="40"/>
        <v/>
      </c>
    </row>
    <row r="45">
      <c r="A45" s="103" t="s">
        <v>134</v>
      </c>
      <c r="B45" s="104" t="s">
        <v>98</v>
      </c>
      <c r="C45" s="105">
        <v>1.6993354E7</v>
      </c>
      <c r="D45" s="106">
        <v>0.0</v>
      </c>
      <c r="E45" s="107">
        <v>0.0</v>
      </c>
      <c r="F45" s="108">
        <v>1.679099859</v>
      </c>
      <c r="G45" s="108">
        <v>10.212084</v>
      </c>
      <c r="H45" s="108">
        <v>11.89118386</v>
      </c>
      <c r="I45" s="109">
        <v>0.10364786</v>
      </c>
      <c r="J45" s="109">
        <v>0.05973175</v>
      </c>
      <c r="K45" s="109">
        <v>0.163379618</v>
      </c>
      <c r="L45" s="112">
        <v>83.05087697</v>
      </c>
      <c r="M45" s="112">
        <v>235.0952349</v>
      </c>
      <c r="N45" s="112">
        <v>318.1461119</v>
      </c>
      <c r="O45" s="113"/>
      <c r="P45" s="114"/>
      <c r="Q45" s="114"/>
      <c r="R45" s="115" t="str">
        <f t="shared" si="8"/>
        <v/>
      </c>
      <c r="S45" s="116">
        <f t="shared" si="9"/>
        <v>0.14553293</v>
      </c>
      <c r="T45" s="117"/>
      <c r="U45" s="118">
        <f t="shared" si="41"/>
        <v>0.39435</v>
      </c>
      <c r="V45" s="148"/>
      <c r="W45" s="120">
        <f t="shared" si="10"/>
        <v>0.3616</v>
      </c>
      <c r="X45" s="148"/>
      <c r="Y45" s="120">
        <f t="shared" si="11"/>
        <v>0.5015615385</v>
      </c>
      <c r="Z45" s="121"/>
      <c r="AA45" s="121"/>
      <c r="AB45" s="121"/>
      <c r="AC45" s="121"/>
      <c r="AD45" s="122">
        <v>0.0</v>
      </c>
      <c r="AE45" s="123">
        <v>0.0</v>
      </c>
      <c r="AF45" s="123">
        <v>0.0</v>
      </c>
      <c r="AG45" s="124">
        <v>0.0451</v>
      </c>
      <c r="AH45" s="124">
        <v>0.061445282</v>
      </c>
      <c r="AI45" s="125">
        <v>0.0</v>
      </c>
      <c r="AJ45" s="125">
        <v>9.24E-6</v>
      </c>
      <c r="AK45" s="127">
        <v>0.11</v>
      </c>
      <c r="AL45" s="127">
        <v>0.149050692</v>
      </c>
      <c r="AM45" s="128"/>
      <c r="AN45" s="149" t="str">
        <f>IFERROR(
  AVERAGEIFS(
    'New 20102013 LF Efficacy'!$J:$J,
    'New 20102013 LF Efficacy'!$D:$D, $A45,
    'New 20102013 LF Efficacy'!$F:$F,"DEC", 
    'New 20102013 LF Efficacy'!$W:$W,"&lt;2011",
    'New 20102013 LF Efficacy'!$AA:$AA,""),
  ""
)</f>
        <v/>
      </c>
      <c r="AO45" s="115">
        <f t="shared" si="12"/>
        <v>0.2589833333</v>
      </c>
      <c r="AP45" s="121" t="str">
        <f>IFERROR(
AVERAGEIFS(
'New 20102013 LF Efficacy'!$J:$J,
'New 20102013 LF Efficacy'!$D:$D,$A45,
'New 20102013 LF Efficacy'!$F:$F,"Albendazole &amp; DEC",
'New 20102013 LF Efficacy'!$W:$W,"&lt;2011",
'New 20102013 LF Efficacy'!$AA:$AA,""),
"")
</f>
        <v/>
      </c>
      <c r="AQ45" s="115">
        <f t="shared" si="13"/>
        <v>0.3465</v>
      </c>
      <c r="AR45" s="121" t="str">
        <f>IFERROR(
AVERAGEIFS(
'New 20102013 LF Efficacy'!$J:$J,
'New 20102013 LF Efficacy'!$D:$D,$A45,
'New 20102013 LF Efficacy'!$F:$F,"Albendazole &amp; Ivermectin", 
'New 20102013 LF Efficacy'!$W:$W,"&lt;2011",
'New 20102013 LF Efficacy'!$AA:$AA,""),"")</f>
        <v/>
      </c>
      <c r="AS45" s="115">
        <f t="shared" si="14"/>
        <v>0.7575</v>
      </c>
      <c r="AT45" s="130" t="str">
        <f>IFERROR(AVERAGEIFS(
'20102013 Schist Efficacy'!$O:$O, 
'20102013 Schist Efficacy'!$C:$C,$A45, 
'20102013 Schist Efficacy'!$D:$D, "Praziquantel",
'20102013 Schist Efficacy'!$J:$J,"&lt;2011",
'20102013 Schist Efficacy'!$U:$U,""),
"")</f>
        <v/>
      </c>
      <c r="AU45" s="118">
        <f t="shared" si="15"/>
        <v>0.7732631579</v>
      </c>
      <c r="AV45" s="131" t="str">
        <f>IFERROR(AVERAGEIFS(
'20102013 STH Efficacy'!$AX:$AX, 
'20102013 STH Efficacy'!$AL:$AL, $A45, 
'20102013 STH Efficacy'!$AM:$AM, "Albendazole",
'20102013 STH Efficacy'!$AS:$AS,"&lt;2011",
'20102013 STH Efficacy'!$BP:$BP,""),
"")</f>
        <v/>
      </c>
      <c r="AW45" s="132">
        <f t="shared" si="16"/>
        <v>0.3945</v>
      </c>
      <c r="AX45" s="131" t="str">
        <f>IFERROR(AVERAGEIFS(
'20102013 STH Efficacy'!$AX:$AX, 
'20102013 STH Efficacy'!$AL:$AL, $A45, 
'20102013 STH Efficacy'!$AM:$AM, "Mebendazole",
'20102013 STH Efficacy'!$AS:$AS,"&lt;2011",
'20102013 STH Efficacy'!$BP:$BP,""),
"")</f>
        <v/>
      </c>
      <c r="AY45" s="132">
        <f t="shared" si="17"/>
        <v>0.6</v>
      </c>
      <c r="AZ45" s="131" t="str">
        <f>IFERROR(AVERAGEIFS(
'20102013 STH Efficacy'!$AX:$AX, 
'20102013 STH Efficacy'!$AL:$AL, $A45, 
'20102013 STH Efficacy'!$AM:$AM, "Albendazole &amp; Ivermectin",
'20102013 STH Efficacy'!$AS:$AS,"&lt;2011",
'20102013 STH Efficacy'!$BP:$BP,""),
"")</f>
        <v/>
      </c>
      <c r="BA45" s="133">
        <f t="shared" si="18"/>
        <v>0.796</v>
      </c>
      <c r="BB45" s="134" t="str">
        <f>IFERROR(AVERAGEIFS(
'20102013 STH Efficacy'!$N:$N, 
'20102013 STH Efficacy'!$B:$B, $A45, 
'20102013 STH Efficacy'!$C:$C, "Albendazole",
'20102013 STH Efficacy'!$I:$I,"&lt;2011",
'20102013 STH Efficacy'!$AH:$AH,""),
"")</f>
        <v/>
      </c>
      <c r="BC45" s="135">
        <f t="shared" si="19"/>
        <v>0.869</v>
      </c>
      <c r="BD45" s="134" t="str">
        <f>IFERROR(AVERAGEIFS(
'20102013 STH Efficacy'!$N:$N, 
'20102013 STH Efficacy'!$B:$B, $A45, 
'20102013 STH Efficacy'!$C:$C, "Mebendazole",
'20102013 STH Efficacy'!$I:$I,"&lt;2011",
'20102013 STH Efficacy'!$AH:$AH,""),
"")</f>
        <v/>
      </c>
      <c r="BE45" s="135">
        <f t="shared" si="20"/>
        <v>0.172</v>
      </c>
      <c r="BF45" s="128" t="str">
        <f>IFERROR(AVERAGEIFS(
'20102013 STH Efficacy'!$CD:$CD, 
'20102013 STH Efficacy'!$BS:$BS, $A45, 
'20102013 STH Efficacy'!$BT:$BT, "Albendazole",
'20102013 STH Efficacy'!$BZ:$BZ,"&lt;2011",
'20102013 STH Efficacy'!$CU:$CU,""),
"")</f>
        <v/>
      </c>
      <c r="BG45" s="136">
        <f t="shared" si="21"/>
        <v>0.9862</v>
      </c>
      <c r="BH45" s="128" t="str">
        <f>IFERROR(AVERAGEIFS(
'20102013 STH Efficacy'!$CD:$CD, 
'20102013 STH Efficacy'!$BS:$BS, $A45, 
'20102013 STH Efficacy'!$BT:$BT, "Mebendazole",
'20102013 STH Efficacy'!$BZ:$BZ,"&lt;2011",
'20102013 STH Efficacy'!$CU:$CU,""),
"")</f>
        <v/>
      </c>
      <c r="BI45" s="136">
        <f t="shared" si="22"/>
        <v>0.769</v>
      </c>
      <c r="BJ45" s="128" t="str">
        <f>IFERROR(AVERAGEIFS(
'20102013 STH Efficacy'!$CD:$CD, 
'20102013 STH Efficacy'!$BS:$BS, $A45, 
'20102013 STH Efficacy'!$BT:$BT, "Albendazole &amp; Ivermectin",
'20102013 STH Efficacy'!$BZ:$BZ,"&lt;2011",
'20102013 STH Efficacy'!$CU:$CU,""),
"")</f>
        <v/>
      </c>
      <c r="BK45" s="136">
        <f t="shared" si="23"/>
        <v>1</v>
      </c>
      <c r="BL45" s="137"/>
      <c r="BM45" s="137"/>
      <c r="BN45" s="138">
        <v>0.0</v>
      </c>
      <c r="BO45" s="139">
        <v>0.0</v>
      </c>
      <c r="BP45" s="140">
        <v>0.0</v>
      </c>
      <c r="BQ45" s="141">
        <f t="shared" si="24"/>
        <v>0</v>
      </c>
      <c r="BR45" s="104" t="str">
        <f t="shared" si="25"/>
        <v>0000</v>
      </c>
      <c r="BS45" s="104" t="str">
        <f t="shared" si="26"/>
        <v>no action required</v>
      </c>
      <c r="BT45" s="142" t="str">
        <f t="shared" si="27"/>
        <v/>
      </c>
      <c r="BU45" s="104" t="str">
        <f t="shared" si="28"/>
        <v/>
      </c>
      <c r="BV45" s="104" t="str">
        <f t="shared" si="29"/>
        <v>none</v>
      </c>
      <c r="BW45" s="150" t="str">
        <f t="shared" si="30"/>
        <v/>
      </c>
      <c r="BX45" s="150" t="str">
        <f t="shared" si="31"/>
        <v/>
      </c>
      <c r="BY45" s="151" t="str">
        <f t="shared" si="32"/>
        <v/>
      </c>
      <c r="BZ45" s="152" t="str">
        <f t="shared" si="33"/>
        <v/>
      </c>
      <c r="CA45" s="152" t="str">
        <f t="shared" si="34"/>
        <v/>
      </c>
      <c r="CB45" s="152" t="str">
        <f t="shared" si="35"/>
        <v/>
      </c>
      <c r="CC45" s="153" t="str">
        <f t="shared" si="36"/>
        <v/>
      </c>
      <c r="CD45" s="153" t="str">
        <f t="shared" si="37"/>
        <v/>
      </c>
      <c r="CE45" s="154" t="str">
        <f t="shared" si="38"/>
        <v/>
      </c>
      <c r="CF45" s="154" t="str">
        <f t="shared" si="39"/>
        <v/>
      </c>
      <c r="CG45" s="154" t="str">
        <f t="shared" si="40"/>
        <v/>
      </c>
    </row>
    <row r="46">
      <c r="A46" s="103" t="s">
        <v>135</v>
      </c>
      <c r="B46" s="104" t="s">
        <v>94</v>
      </c>
      <c r="C46" s="105">
        <v>1.337705E9</v>
      </c>
      <c r="D46" s="106">
        <v>0.0</v>
      </c>
      <c r="E46" s="107">
        <v>48561.27882</v>
      </c>
      <c r="F46" s="108">
        <v>259.4401854</v>
      </c>
      <c r="G46" s="157">
        <v>1808.992865</v>
      </c>
      <c r="H46" s="157">
        <v>2068.43305</v>
      </c>
      <c r="I46" s="110">
        <v>8059.86198</v>
      </c>
      <c r="J46" s="110">
        <v>26668.8247</v>
      </c>
      <c r="K46" s="110">
        <v>34728.68667</v>
      </c>
      <c r="L46" s="111">
        <v>3222.45515</v>
      </c>
      <c r="M46" s="111">
        <v>6283.298204</v>
      </c>
      <c r="N46" s="112">
        <v>9505.753354</v>
      </c>
      <c r="O46" s="113"/>
      <c r="P46" s="114"/>
      <c r="Q46" s="114"/>
      <c r="R46" s="115" t="str">
        <f t="shared" si="8"/>
        <v/>
      </c>
      <c r="S46" s="116">
        <f t="shared" si="9"/>
        <v>0.1955251818</v>
      </c>
      <c r="T46" s="130"/>
      <c r="U46" s="118">
        <f t="shared" si="41"/>
        <v>0.6259666667</v>
      </c>
      <c r="V46" s="148"/>
      <c r="W46" s="120">
        <f t="shared" si="10"/>
        <v>0.55175</v>
      </c>
      <c r="X46" s="148"/>
      <c r="Y46" s="120">
        <f t="shared" si="11"/>
        <v>0.4826142857</v>
      </c>
      <c r="Z46" s="121"/>
      <c r="AA46" s="121"/>
      <c r="AB46" s="121"/>
      <c r="AC46" s="121"/>
      <c r="AD46" s="122">
        <v>0.0</v>
      </c>
      <c r="AE46" s="123">
        <v>0.0</v>
      </c>
      <c r="AF46" s="123">
        <v>1.0E-4</v>
      </c>
      <c r="AG46" s="124">
        <v>0.0431</v>
      </c>
      <c r="AH46" s="124">
        <v>0.067348939</v>
      </c>
      <c r="AI46" s="125">
        <v>0.0286</v>
      </c>
      <c r="AJ46" s="125">
        <v>0.045953596</v>
      </c>
      <c r="AK46" s="127">
        <v>0.07</v>
      </c>
      <c r="AL46" s="127">
        <v>0.112576005</v>
      </c>
      <c r="AM46" s="128"/>
      <c r="AN46" s="149" t="str">
        <f>IFERROR(
  AVERAGEIFS(
    'New 20102013 LF Efficacy'!$J:$J,
    'New 20102013 LF Efficacy'!$D:$D, $A46,
    'New 20102013 LF Efficacy'!$F:$F,"DEC", 
    'New 20102013 LF Efficacy'!$W:$W,"&lt;2011",
    'New 20102013 LF Efficacy'!$AA:$AA,""),
  ""
)</f>
        <v/>
      </c>
      <c r="AO46" s="115">
        <f t="shared" si="12"/>
        <v>0.38</v>
      </c>
      <c r="AP46" s="121" t="str">
        <f>IFERROR(
AVERAGEIFS(
'New 20102013 LF Efficacy'!$J:$J,
'New 20102013 LF Efficacy'!$D:$D,$A46,
'New 20102013 LF Efficacy'!$F:$F,"Albendazole &amp; DEC",
'New 20102013 LF Efficacy'!$W:$W,"&lt;2011",
'New 20102013 LF Efficacy'!$AA:$AA,""),
"")
</f>
        <v/>
      </c>
      <c r="AQ46" s="115">
        <f t="shared" si="13"/>
        <v>0.657</v>
      </c>
      <c r="AR46" s="121" t="str">
        <f>IFERROR(
AVERAGEIFS(
'New 20102013 LF Efficacy'!$J:$J,
'New 20102013 LF Efficacy'!$D:$D,$A46,
'New 20102013 LF Efficacy'!$F:$F,"Albendazole &amp; Ivermectin", 
'New 20102013 LF Efficacy'!$W:$W,"&lt;2011",
'New 20102013 LF Efficacy'!$AA:$AA,""),"")</f>
        <v/>
      </c>
      <c r="AS46" s="115">
        <f t="shared" si="14"/>
        <v>0.37153125</v>
      </c>
      <c r="AT46" s="130">
        <f>IFERROR(AVERAGEIFS(
'20102013 Schist Efficacy'!$O:$O, 
'20102013 Schist Efficacy'!$C:$C,$A46, 
'20102013 Schist Efficacy'!$D:$D, "Praziquantel",
'20102013 Schist Efficacy'!$J:$J,"&lt;2011",
'20102013 Schist Efficacy'!$U:$U,""),
"")</f>
        <v>0.95</v>
      </c>
      <c r="AU46" s="118">
        <f t="shared" si="15"/>
        <v>0.95</v>
      </c>
      <c r="AV46" s="131">
        <f>IFERROR(AVERAGEIFS(
'20102013 STH Efficacy'!$AX:$AX, 
'20102013 STH Efficacy'!$AL:$AL, $A46, 
'20102013 STH Efficacy'!$AM:$AM, "Albendazole",
'20102013 STH Efficacy'!$AS:$AS,"&lt;2011",
'20102013 STH Efficacy'!$BP:$BP,""),
"")</f>
        <v>0.4235</v>
      </c>
      <c r="AW46" s="132">
        <f t="shared" si="16"/>
        <v>0.4235</v>
      </c>
      <c r="AX46" s="131">
        <f>IFERROR(AVERAGEIFS(
'20102013 STH Efficacy'!$AX:$AX, 
'20102013 STH Efficacy'!$AL:$AL, $A46, 
'20102013 STH Efficacy'!$AM:$AM, "Mebendazole",
'20102013 STH Efficacy'!$AS:$AS,"&lt;2011",
'20102013 STH Efficacy'!$BP:$BP,""),
"")</f>
        <v>0.552</v>
      </c>
      <c r="AY46" s="132">
        <f t="shared" si="17"/>
        <v>0.552</v>
      </c>
      <c r="AZ46" s="131" t="str">
        <f>IFERROR(AVERAGEIFS(
'20102013 STH Efficacy'!$AX:$AX, 
'20102013 STH Efficacy'!$AL:$AL, $A46, 
'20102013 STH Efficacy'!$AM:$AM, "Albendazole &amp; Ivermectin",
'20102013 STH Efficacy'!$AS:$AS,"&lt;2011",
'20102013 STH Efficacy'!$BP:$BP,""),
"")</f>
        <v/>
      </c>
      <c r="BA46" s="133">
        <f t="shared" si="18"/>
        <v>0.651</v>
      </c>
      <c r="BB46" s="134">
        <f>IFERROR(AVERAGEIFS(
'20102013 STH Efficacy'!$N:$N, 
'20102013 STH Efficacy'!$B:$B, $A46, 
'20102013 STH Efficacy'!$C:$C, "Albendazole",
'20102013 STH Efficacy'!$I:$I,"&lt;2011",
'20102013 STH Efficacy'!$AH:$AH,""),
"")</f>
        <v>0.75075</v>
      </c>
      <c r="BC46" s="135">
        <f t="shared" si="19"/>
        <v>0.75075</v>
      </c>
      <c r="BD46" s="134">
        <f>IFERROR(AVERAGEIFS(
'20102013 STH Efficacy'!$N:$N, 
'20102013 STH Efficacy'!$B:$B, $A46, 
'20102013 STH Efficacy'!$C:$C, "Mebendazole",
'20102013 STH Efficacy'!$I:$I,"&lt;2011",
'20102013 STH Efficacy'!$AH:$AH,""),
"")</f>
        <v>0.4475</v>
      </c>
      <c r="BE46" s="135">
        <f t="shared" si="20"/>
        <v>0.4475</v>
      </c>
      <c r="BF46" s="128">
        <f>IFERROR(AVERAGEIFS(
'20102013 STH Efficacy'!$CD:$CD, 
'20102013 STH Efficacy'!$BS:$BS, $A46, 
'20102013 STH Efficacy'!$BT:$BT, "Albendazole",
'20102013 STH Efficacy'!$BZ:$BZ,"&lt;2011",
'20102013 STH Efficacy'!$CU:$CU,""),
"")</f>
        <v>0.9645</v>
      </c>
      <c r="BG46" s="136">
        <f t="shared" si="21"/>
        <v>0.9645</v>
      </c>
      <c r="BH46" s="128">
        <f>IFERROR(AVERAGEIFS(
'20102013 STH Efficacy'!$CD:$CD, 
'20102013 STH Efficacy'!$BS:$BS, $A46, 
'20102013 STH Efficacy'!$BT:$BT, "Mebendazole",
'20102013 STH Efficacy'!$BZ:$BZ,"&lt;2011",
'20102013 STH Efficacy'!$CU:$CU,""),
"")</f>
        <v>0.9305</v>
      </c>
      <c r="BI46" s="136">
        <f t="shared" si="22"/>
        <v>0.9305</v>
      </c>
      <c r="BJ46" s="128" t="str">
        <f>IFERROR(AVERAGEIFS(
'20102013 STH Efficacy'!$CD:$CD, 
'20102013 STH Efficacy'!$BS:$BS, $A46, 
'20102013 STH Efficacy'!$BT:$BT, "Albendazole &amp; Ivermectin",
'20102013 STH Efficacy'!$BZ:$BZ,"&lt;2011",
'20102013 STH Efficacy'!$CU:$CU,""),
"")</f>
        <v/>
      </c>
      <c r="BK46" s="136">
        <f t="shared" si="23"/>
        <v>1</v>
      </c>
      <c r="BL46" s="137"/>
      <c r="BM46" s="137"/>
      <c r="BN46" s="138">
        <v>0.0</v>
      </c>
      <c r="BO46" s="139">
        <v>1.0</v>
      </c>
      <c r="BP46" s="140">
        <v>1.0</v>
      </c>
      <c r="BQ46" s="141">
        <f t="shared" si="24"/>
        <v>0</v>
      </c>
      <c r="BR46" s="104" t="str">
        <f t="shared" si="25"/>
        <v>0110</v>
      </c>
      <c r="BS46" s="104" t="str">
        <f t="shared" si="26"/>
        <v>MDA3+T2</v>
      </c>
      <c r="BT46" s="142" t="str">
        <f t="shared" si="27"/>
        <v>IVM</v>
      </c>
      <c r="BU46" s="104" t="str">
        <f t="shared" si="28"/>
        <v>PZQ</v>
      </c>
      <c r="BV46" s="104" t="str">
        <f t="shared" si="29"/>
        <v>onch+schist</v>
      </c>
      <c r="BW46" s="150" t="str">
        <f t="shared" si="30"/>
        <v/>
      </c>
      <c r="BX46" s="150" t="str">
        <f t="shared" si="31"/>
        <v/>
      </c>
      <c r="BY46" s="162">
        <f t="shared" si="32"/>
        <v>71245.00037</v>
      </c>
      <c r="BZ46" s="152" t="str">
        <f t="shared" si="33"/>
        <v/>
      </c>
      <c r="CA46" s="152" t="str">
        <f t="shared" si="34"/>
        <v/>
      </c>
      <c r="CB46" s="152" t="str">
        <f t="shared" si="35"/>
        <v/>
      </c>
      <c r="CC46" s="153" t="str">
        <f t="shared" si="36"/>
        <v/>
      </c>
      <c r="CD46" s="153" t="str">
        <f t="shared" si="37"/>
        <v/>
      </c>
      <c r="CE46" s="154" t="str">
        <f t="shared" si="38"/>
        <v/>
      </c>
      <c r="CF46" s="154" t="str">
        <f t="shared" si="39"/>
        <v/>
      </c>
      <c r="CG46" s="154" t="str">
        <f t="shared" si="40"/>
        <v/>
      </c>
    </row>
    <row r="47">
      <c r="A47" s="155" t="s">
        <v>136</v>
      </c>
      <c r="B47" s="104" t="s">
        <v>94</v>
      </c>
      <c r="C47" s="105">
        <v>7024200.0</v>
      </c>
      <c r="D47" s="106">
        <v>0.0</v>
      </c>
      <c r="E47" s="107">
        <v>0.0</v>
      </c>
      <c r="F47" s="163"/>
      <c r="G47" s="163"/>
      <c r="H47" s="108">
        <v>0.0</v>
      </c>
      <c r="I47" s="109">
        <v>0.0</v>
      </c>
      <c r="J47" s="109">
        <v>0.0</v>
      </c>
      <c r="K47" s="109">
        <v>0.0</v>
      </c>
      <c r="L47" s="113"/>
      <c r="M47" s="113"/>
      <c r="N47" s="112">
        <v>0.0</v>
      </c>
      <c r="O47" s="113"/>
      <c r="P47" s="114"/>
      <c r="Q47" s="114"/>
      <c r="R47" s="115" t="str">
        <f t="shared" si="8"/>
        <v/>
      </c>
      <c r="S47" s="116">
        <f t="shared" si="9"/>
        <v>0.1955251818</v>
      </c>
      <c r="T47" s="117"/>
      <c r="U47" s="118">
        <f t="shared" si="41"/>
        <v>0.6259666667</v>
      </c>
      <c r="V47" s="148"/>
      <c r="W47" s="120">
        <f t="shared" si="10"/>
        <v>0.55175</v>
      </c>
      <c r="X47" s="148"/>
      <c r="Y47" s="120">
        <f t="shared" si="11"/>
        <v>0.4826142857</v>
      </c>
      <c r="Z47" s="114"/>
      <c r="AA47" s="114"/>
      <c r="AB47" s="114"/>
      <c r="AC47" s="114"/>
      <c r="AD47" s="164">
        <v>0.0</v>
      </c>
      <c r="AE47" s="165">
        <v>0.0</v>
      </c>
      <c r="AF47" s="166">
        <v>0.0</v>
      </c>
      <c r="AG47" s="167">
        <v>0.0</v>
      </c>
      <c r="AH47" s="172">
        <v>0.0</v>
      </c>
      <c r="AI47" s="168">
        <v>0.0</v>
      </c>
      <c r="AJ47" s="173">
        <v>0.0</v>
      </c>
      <c r="AK47" s="126">
        <v>0.0</v>
      </c>
      <c r="AL47" s="169">
        <v>0.0</v>
      </c>
      <c r="AM47" s="128"/>
      <c r="AN47" s="149" t="str">
        <f>IFERROR(
  AVERAGEIFS(
    'New 20102013 LF Efficacy'!$J:$J,
    'New 20102013 LF Efficacy'!$D:$D, $A47,
    'New 20102013 LF Efficacy'!$F:$F,"DEC", 
    'New 20102013 LF Efficacy'!$W:$W,"&lt;2011",
    'New 20102013 LF Efficacy'!$AA:$AA,""),
  ""
)</f>
        <v/>
      </c>
      <c r="AO47" s="115">
        <f t="shared" si="12"/>
        <v>0.38</v>
      </c>
      <c r="AP47" s="121" t="str">
        <f>IFERROR(
AVERAGEIFS(
'New 20102013 LF Efficacy'!$J:$J,
'New 20102013 LF Efficacy'!$D:$D,$A47,
'New 20102013 LF Efficacy'!$F:$F,"Albendazole &amp; DEC",
'New 20102013 LF Efficacy'!$W:$W,"&lt;2011",
'New 20102013 LF Efficacy'!$AA:$AA,""),
"")
</f>
        <v/>
      </c>
      <c r="AQ47" s="115">
        <f t="shared" si="13"/>
        <v>0.657</v>
      </c>
      <c r="AR47" s="121" t="str">
        <f>IFERROR(
AVERAGEIFS(
'New 20102013 LF Efficacy'!$J:$J,
'New 20102013 LF Efficacy'!$D:$D,$A47,
'New 20102013 LF Efficacy'!$F:$F,"Albendazole &amp; Ivermectin", 
'New 20102013 LF Efficacy'!$W:$W,"&lt;2011",
'New 20102013 LF Efficacy'!$AA:$AA,""),"")</f>
        <v/>
      </c>
      <c r="AS47" s="115">
        <f t="shared" si="14"/>
        <v>0.37153125</v>
      </c>
      <c r="AT47" s="130" t="str">
        <f>IFERROR(AVERAGEIFS(
'20102013 Schist Efficacy'!$O:$O, 
'20102013 Schist Efficacy'!$C:$C,$A47, 
'20102013 Schist Efficacy'!$D:$D, "Praziquantel",
'20102013 Schist Efficacy'!$J:$J,"&lt;2011",
'20102013 Schist Efficacy'!$U:$U,""),
"")</f>
        <v/>
      </c>
      <c r="AU47" s="118">
        <f t="shared" si="15"/>
        <v>0.95</v>
      </c>
      <c r="AV47" s="131" t="str">
        <f>IFERROR(AVERAGEIFS(
'20102013 STH Efficacy'!$AX:$AX, 
'20102013 STH Efficacy'!$AL:$AL, $A47, 
'20102013 STH Efficacy'!$AM:$AM, "Albendazole",
'20102013 STH Efficacy'!$AS:$AS,"&lt;2011",
'20102013 STH Efficacy'!$BP:$BP,""),
"")</f>
        <v/>
      </c>
      <c r="AW47" s="132">
        <f t="shared" si="16"/>
        <v>0.3571666667</v>
      </c>
      <c r="AX47" s="131" t="str">
        <f>IFERROR(AVERAGEIFS(
'20102013 STH Efficacy'!$AX:$AX, 
'20102013 STH Efficacy'!$AL:$AL, $A47, 
'20102013 STH Efficacy'!$AM:$AM, "Mebendazole",
'20102013 STH Efficacy'!$AS:$AS,"&lt;2011",
'20102013 STH Efficacy'!$BP:$BP,""),
"")</f>
        <v/>
      </c>
      <c r="AY47" s="132">
        <f t="shared" si="17"/>
        <v>0.4155</v>
      </c>
      <c r="AZ47" s="131" t="str">
        <f>IFERROR(AVERAGEIFS(
'20102013 STH Efficacy'!$AX:$AX, 
'20102013 STH Efficacy'!$AL:$AL, $A47, 
'20102013 STH Efficacy'!$AM:$AM, "Albendazole &amp; Ivermectin",
'20102013 STH Efficacy'!$AS:$AS,"&lt;2011",
'20102013 STH Efficacy'!$BP:$BP,""),
"")</f>
        <v/>
      </c>
      <c r="BA47" s="133">
        <f t="shared" si="18"/>
        <v>0.651</v>
      </c>
      <c r="BB47" s="134" t="str">
        <f>IFERROR(AVERAGEIFS(
'20102013 STH Efficacy'!$N:$N, 
'20102013 STH Efficacy'!$B:$B, $A47, 
'20102013 STH Efficacy'!$C:$C, "Albendazole",
'20102013 STH Efficacy'!$I:$I,"&lt;2011",
'20102013 STH Efficacy'!$AH:$AH,""),
"")</f>
        <v/>
      </c>
      <c r="BC47" s="135">
        <f t="shared" si="19"/>
        <v>0.5769166667</v>
      </c>
      <c r="BD47" s="134" t="str">
        <f>IFERROR(AVERAGEIFS(
'20102013 STH Efficacy'!$N:$N, 
'20102013 STH Efficacy'!$B:$B, $A47, 
'20102013 STH Efficacy'!$C:$C, "Mebendazole",
'20102013 STH Efficacy'!$I:$I,"&lt;2011",
'20102013 STH Efficacy'!$AH:$AH,""),
"")</f>
        <v/>
      </c>
      <c r="BE47" s="135">
        <f t="shared" si="20"/>
        <v>0.3145</v>
      </c>
      <c r="BF47" s="128" t="str">
        <f>IFERROR(AVERAGEIFS(
'20102013 STH Efficacy'!$CD:$CD, 
'20102013 STH Efficacy'!$BS:$BS, $A47, 
'20102013 STH Efficacy'!$BT:$BT, "Albendazole",
'20102013 STH Efficacy'!$BZ:$BZ,"&lt;2011",
'20102013 STH Efficacy'!$CU:$CU,""),
"")</f>
        <v/>
      </c>
      <c r="BG47" s="136">
        <f t="shared" si="21"/>
        <v>0.96925</v>
      </c>
      <c r="BH47" s="128" t="str">
        <f>IFERROR(AVERAGEIFS(
'20102013 STH Efficacy'!$CD:$CD, 
'20102013 STH Efficacy'!$BS:$BS, $A47, 
'20102013 STH Efficacy'!$BT:$BT, "Mebendazole",
'20102013 STH Efficacy'!$BZ:$BZ,"&lt;2011",
'20102013 STH Efficacy'!$CU:$CU,""),
"")</f>
        <v/>
      </c>
      <c r="BI47" s="136">
        <f t="shared" si="22"/>
        <v>0.9305</v>
      </c>
      <c r="BJ47" s="128" t="str">
        <f>IFERROR(AVERAGEIFS(
'20102013 STH Efficacy'!$CD:$CD, 
'20102013 STH Efficacy'!$BS:$BS, $A47, 
'20102013 STH Efficacy'!$BT:$BT, "Albendazole &amp; Ivermectin",
'20102013 STH Efficacy'!$BZ:$BZ,"&lt;2011",
'20102013 STH Efficacy'!$CU:$CU,""),
"")</f>
        <v/>
      </c>
      <c r="BK47" s="136">
        <f t="shared" si="23"/>
        <v>1</v>
      </c>
      <c r="BL47" s="137"/>
      <c r="BM47" s="137"/>
      <c r="BN47" s="138">
        <v>0.0</v>
      </c>
      <c r="BO47" s="139">
        <v>0.0</v>
      </c>
      <c r="BP47" s="140">
        <v>0.0</v>
      </c>
      <c r="BQ47" s="141">
        <f t="shared" si="24"/>
        <v>0</v>
      </c>
      <c r="BR47" s="104" t="str">
        <f t="shared" si="25"/>
        <v>0000</v>
      </c>
      <c r="BS47" s="104" t="str">
        <f t="shared" si="26"/>
        <v>no action required</v>
      </c>
      <c r="BT47" s="142" t="str">
        <f t="shared" si="27"/>
        <v/>
      </c>
      <c r="BU47" s="104" t="str">
        <f t="shared" si="28"/>
        <v/>
      </c>
      <c r="BV47" s="104" t="str">
        <f t="shared" si="29"/>
        <v>none</v>
      </c>
      <c r="BW47" s="150" t="str">
        <f t="shared" si="30"/>
        <v/>
      </c>
      <c r="BX47" s="150" t="str">
        <f t="shared" si="31"/>
        <v/>
      </c>
      <c r="BY47" s="151" t="str">
        <f t="shared" si="32"/>
        <v/>
      </c>
      <c r="BZ47" s="152" t="str">
        <f t="shared" si="33"/>
        <v/>
      </c>
      <c r="CA47" s="152" t="str">
        <f t="shared" si="34"/>
        <v/>
      </c>
      <c r="CB47" s="152" t="str">
        <f t="shared" si="35"/>
        <v/>
      </c>
      <c r="CC47" s="153" t="str">
        <f t="shared" si="36"/>
        <v/>
      </c>
      <c r="CD47" s="153" t="str">
        <f t="shared" si="37"/>
        <v/>
      </c>
      <c r="CE47" s="154" t="str">
        <f t="shared" si="38"/>
        <v/>
      </c>
      <c r="CF47" s="154" t="str">
        <f t="shared" si="39"/>
        <v/>
      </c>
      <c r="CG47" s="154" t="str">
        <f t="shared" si="40"/>
        <v/>
      </c>
    </row>
    <row r="48">
      <c r="A48" s="155" t="s">
        <v>137</v>
      </c>
      <c r="B48" s="104" t="s">
        <v>94</v>
      </c>
      <c r="C48" s="105">
        <v>536969.0</v>
      </c>
      <c r="D48" s="106">
        <v>0.0</v>
      </c>
      <c r="E48" s="107">
        <v>0.0</v>
      </c>
      <c r="F48" s="163"/>
      <c r="G48" s="163"/>
      <c r="H48" s="108">
        <v>0.0</v>
      </c>
      <c r="I48" s="109">
        <v>0.0</v>
      </c>
      <c r="J48" s="109">
        <v>0.0</v>
      </c>
      <c r="K48" s="109">
        <v>0.0</v>
      </c>
      <c r="L48" s="113"/>
      <c r="M48" s="113"/>
      <c r="N48" s="112">
        <v>0.0</v>
      </c>
      <c r="O48" s="113"/>
      <c r="P48" s="114"/>
      <c r="Q48" s="114"/>
      <c r="R48" s="115" t="str">
        <f t="shared" si="8"/>
        <v/>
      </c>
      <c r="S48" s="116">
        <f t="shared" si="9"/>
        <v>0.1955251818</v>
      </c>
      <c r="T48" s="117"/>
      <c r="U48" s="118">
        <f t="shared" si="41"/>
        <v>0.6259666667</v>
      </c>
      <c r="V48" s="148"/>
      <c r="W48" s="120">
        <f t="shared" si="10"/>
        <v>0.55175</v>
      </c>
      <c r="X48" s="148"/>
      <c r="Y48" s="120">
        <f t="shared" si="11"/>
        <v>0.4826142857</v>
      </c>
      <c r="Z48" s="114"/>
      <c r="AA48" s="114"/>
      <c r="AB48" s="114"/>
      <c r="AC48" s="114"/>
      <c r="AD48" s="164">
        <v>0.0</v>
      </c>
      <c r="AE48" s="165">
        <v>0.0</v>
      </c>
      <c r="AF48" s="166">
        <v>0.0</v>
      </c>
      <c r="AG48" s="167">
        <v>0.0</v>
      </c>
      <c r="AH48" s="172">
        <v>0.0</v>
      </c>
      <c r="AI48" s="168">
        <v>0.0</v>
      </c>
      <c r="AJ48" s="173">
        <v>0.0</v>
      </c>
      <c r="AK48" s="126">
        <v>0.0</v>
      </c>
      <c r="AL48" s="169">
        <v>0.0</v>
      </c>
      <c r="AM48" s="128"/>
      <c r="AN48" s="149" t="str">
        <f>IFERROR(
  AVERAGEIFS(
    'New 20102013 LF Efficacy'!$J:$J,
    'New 20102013 LF Efficacy'!$D:$D, $A48,
    'New 20102013 LF Efficacy'!$F:$F,"DEC", 
    'New 20102013 LF Efficacy'!$W:$W,"&lt;2011",
    'New 20102013 LF Efficacy'!$AA:$AA,""),
  ""
)</f>
        <v/>
      </c>
      <c r="AO48" s="115">
        <f t="shared" si="12"/>
        <v>0.38</v>
      </c>
      <c r="AP48" s="121" t="str">
        <f>IFERROR(
AVERAGEIFS(
'New 20102013 LF Efficacy'!$J:$J,
'New 20102013 LF Efficacy'!$D:$D,$A48,
'New 20102013 LF Efficacy'!$F:$F,"Albendazole &amp; DEC",
'New 20102013 LF Efficacy'!$W:$W,"&lt;2011",
'New 20102013 LF Efficacy'!$AA:$AA,""),
"")
</f>
        <v/>
      </c>
      <c r="AQ48" s="115">
        <f t="shared" si="13"/>
        <v>0.657</v>
      </c>
      <c r="AR48" s="121" t="str">
        <f>IFERROR(
AVERAGEIFS(
'New 20102013 LF Efficacy'!$J:$J,
'New 20102013 LF Efficacy'!$D:$D,$A48,
'New 20102013 LF Efficacy'!$F:$F,"Albendazole &amp; Ivermectin", 
'New 20102013 LF Efficacy'!$W:$W,"&lt;2011",
'New 20102013 LF Efficacy'!$AA:$AA,""),"")</f>
        <v/>
      </c>
      <c r="AS48" s="115">
        <f t="shared" si="14"/>
        <v>0.37153125</v>
      </c>
      <c r="AT48" s="130" t="str">
        <f>IFERROR(AVERAGEIFS(
'20102013 Schist Efficacy'!$O:$O, 
'20102013 Schist Efficacy'!$C:$C,$A48, 
'20102013 Schist Efficacy'!$D:$D, "Praziquantel",
'20102013 Schist Efficacy'!$J:$J,"&lt;2011",
'20102013 Schist Efficacy'!$U:$U,""),
"")</f>
        <v/>
      </c>
      <c r="AU48" s="118">
        <f t="shared" si="15"/>
        <v>0.95</v>
      </c>
      <c r="AV48" s="131" t="str">
        <f>IFERROR(AVERAGEIFS(
'20102013 STH Efficacy'!$AX:$AX, 
'20102013 STH Efficacy'!$AL:$AL, $A48, 
'20102013 STH Efficacy'!$AM:$AM, "Albendazole",
'20102013 STH Efficacy'!$AS:$AS,"&lt;2011",
'20102013 STH Efficacy'!$BP:$BP,""),
"")</f>
        <v/>
      </c>
      <c r="AW48" s="132">
        <f t="shared" si="16"/>
        <v>0.3571666667</v>
      </c>
      <c r="AX48" s="131" t="str">
        <f>IFERROR(AVERAGEIFS(
'20102013 STH Efficacy'!$AX:$AX, 
'20102013 STH Efficacy'!$AL:$AL, $A48, 
'20102013 STH Efficacy'!$AM:$AM, "Mebendazole",
'20102013 STH Efficacy'!$AS:$AS,"&lt;2011",
'20102013 STH Efficacy'!$BP:$BP,""),
"")</f>
        <v/>
      </c>
      <c r="AY48" s="132">
        <f t="shared" si="17"/>
        <v>0.4155</v>
      </c>
      <c r="AZ48" s="131" t="str">
        <f>IFERROR(AVERAGEIFS(
'20102013 STH Efficacy'!$AX:$AX, 
'20102013 STH Efficacy'!$AL:$AL, $A48, 
'20102013 STH Efficacy'!$AM:$AM, "Albendazole &amp; Ivermectin",
'20102013 STH Efficacy'!$AS:$AS,"&lt;2011",
'20102013 STH Efficacy'!$BP:$BP,""),
"")</f>
        <v/>
      </c>
      <c r="BA48" s="133">
        <f t="shared" si="18"/>
        <v>0.651</v>
      </c>
      <c r="BB48" s="134" t="str">
        <f>IFERROR(AVERAGEIFS(
'20102013 STH Efficacy'!$N:$N, 
'20102013 STH Efficacy'!$B:$B, $A48, 
'20102013 STH Efficacy'!$C:$C, "Albendazole",
'20102013 STH Efficacy'!$I:$I,"&lt;2011",
'20102013 STH Efficacy'!$AH:$AH,""),
"")</f>
        <v/>
      </c>
      <c r="BC48" s="135">
        <f t="shared" si="19"/>
        <v>0.5769166667</v>
      </c>
      <c r="BD48" s="134" t="str">
        <f>IFERROR(AVERAGEIFS(
'20102013 STH Efficacy'!$N:$N, 
'20102013 STH Efficacy'!$B:$B, $A48, 
'20102013 STH Efficacy'!$C:$C, "Mebendazole",
'20102013 STH Efficacy'!$I:$I,"&lt;2011",
'20102013 STH Efficacy'!$AH:$AH,""),
"")</f>
        <v/>
      </c>
      <c r="BE48" s="135">
        <f t="shared" si="20"/>
        <v>0.3145</v>
      </c>
      <c r="BF48" s="128" t="str">
        <f>IFERROR(AVERAGEIFS(
'20102013 STH Efficacy'!$CD:$CD, 
'20102013 STH Efficacy'!$BS:$BS, $A48, 
'20102013 STH Efficacy'!$BT:$BT, "Albendazole",
'20102013 STH Efficacy'!$BZ:$BZ,"&lt;2011",
'20102013 STH Efficacy'!$CU:$CU,""),
"")</f>
        <v/>
      </c>
      <c r="BG48" s="136">
        <f t="shared" si="21"/>
        <v>0.96925</v>
      </c>
      <c r="BH48" s="128" t="str">
        <f>IFERROR(AVERAGEIFS(
'20102013 STH Efficacy'!$CD:$CD, 
'20102013 STH Efficacy'!$BS:$BS, $A48, 
'20102013 STH Efficacy'!$BT:$BT, "Mebendazole",
'20102013 STH Efficacy'!$BZ:$BZ,"&lt;2011",
'20102013 STH Efficacy'!$CU:$CU,""),
"")</f>
        <v/>
      </c>
      <c r="BI48" s="136">
        <f t="shared" si="22"/>
        <v>0.9305</v>
      </c>
      <c r="BJ48" s="128" t="str">
        <f>IFERROR(AVERAGEIFS(
'20102013 STH Efficacy'!$CD:$CD, 
'20102013 STH Efficacy'!$BS:$BS, $A48, 
'20102013 STH Efficacy'!$BT:$BT, "Albendazole &amp; Ivermectin",
'20102013 STH Efficacy'!$BZ:$BZ,"&lt;2011",
'20102013 STH Efficacy'!$CU:$CU,""),
"")</f>
        <v/>
      </c>
      <c r="BK48" s="136">
        <f t="shared" si="23"/>
        <v>1</v>
      </c>
      <c r="BL48" s="137"/>
      <c r="BM48" s="137"/>
      <c r="BN48" s="138">
        <v>0.0</v>
      </c>
      <c r="BO48" s="139">
        <v>0.0</v>
      </c>
      <c r="BP48" s="140">
        <v>0.0</v>
      </c>
      <c r="BQ48" s="141">
        <f t="shared" si="24"/>
        <v>0</v>
      </c>
      <c r="BR48" s="104" t="str">
        <f t="shared" si="25"/>
        <v>0000</v>
      </c>
      <c r="BS48" s="104" t="str">
        <f t="shared" si="26"/>
        <v>no action required</v>
      </c>
      <c r="BT48" s="142" t="str">
        <f t="shared" si="27"/>
        <v/>
      </c>
      <c r="BU48" s="104" t="str">
        <f t="shared" si="28"/>
        <v/>
      </c>
      <c r="BV48" s="104" t="str">
        <f t="shared" si="29"/>
        <v>none</v>
      </c>
      <c r="BW48" s="150" t="str">
        <f t="shared" si="30"/>
        <v/>
      </c>
      <c r="BX48" s="150" t="str">
        <f t="shared" si="31"/>
        <v/>
      </c>
      <c r="BY48" s="151" t="str">
        <f t="shared" si="32"/>
        <v/>
      </c>
      <c r="BZ48" s="152" t="str">
        <f t="shared" si="33"/>
        <v/>
      </c>
      <c r="CA48" s="152" t="str">
        <f t="shared" si="34"/>
        <v/>
      </c>
      <c r="CB48" s="152" t="str">
        <f t="shared" si="35"/>
        <v/>
      </c>
      <c r="CC48" s="153" t="str">
        <f t="shared" si="36"/>
        <v/>
      </c>
      <c r="CD48" s="153" t="str">
        <f t="shared" si="37"/>
        <v/>
      </c>
      <c r="CE48" s="154" t="str">
        <f t="shared" si="38"/>
        <v/>
      </c>
      <c r="CF48" s="154" t="str">
        <f t="shared" si="39"/>
        <v/>
      </c>
      <c r="CG48" s="154" t="str">
        <f t="shared" si="40"/>
        <v/>
      </c>
    </row>
    <row r="49">
      <c r="A49" s="103" t="s">
        <v>138</v>
      </c>
      <c r="B49" s="104" t="s">
        <v>98</v>
      </c>
      <c r="C49" s="105">
        <v>4.5918097E7</v>
      </c>
      <c r="D49" s="106">
        <v>0.0</v>
      </c>
      <c r="E49" s="107">
        <v>0.0</v>
      </c>
      <c r="F49" s="108">
        <v>296.6905277</v>
      </c>
      <c r="G49" s="157">
        <v>1553.475012</v>
      </c>
      <c r="H49" s="157">
        <v>1850.16554</v>
      </c>
      <c r="I49" s="110">
        <v>995.717239</v>
      </c>
      <c r="J49" s="110">
        <v>4784.78523</v>
      </c>
      <c r="K49" s="110">
        <v>5780.502469</v>
      </c>
      <c r="L49" s="111">
        <v>1895.324312</v>
      </c>
      <c r="M49" s="111">
        <v>4343.303172</v>
      </c>
      <c r="N49" s="112">
        <v>6238.627484</v>
      </c>
      <c r="O49" s="113"/>
      <c r="P49" s="114"/>
      <c r="Q49" s="114"/>
      <c r="R49" s="115" t="str">
        <f t="shared" si="8"/>
        <v/>
      </c>
      <c r="S49" s="116">
        <f t="shared" si="9"/>
        <v>0.14553293</v>
      </c>
      <c r="T49" s="117"/>
      <c r="U49" s="118">
        <f t="shared" si="41"/>
        <v>0.39435</v>
      </c>
      <c r="V49" s="148"/>
      <c r="W49" s="120">
        <f t="shared" si="10"/>
        <v>0.3616</v>
      </c>
      <c r="X49" s="148"/>
      <c r="Y49" s="120">
        <f t="shared" si="11"/>
        <v>0.5015615385</v>
      </c>
      <c r="Z49" s="121"/>
      <c r="AA49" s="121"/>
      <c r="AB49" s="121"/>
      <c r="AC49" s="121"/>
      <c r="AD49" s="122">
        <v>0.0</v>
      </c>
      <c r="AE49" s="123">
        <v>0.0</v>
      </c>
      <c r="AF49" s="123">
        <v>0.0</v>
      </c>
      <c r="AG49" s="124">
        <v>0.1627</v>
      </c>
      <c r="AH49" s="124">
        <v>0.242085618</v>
      </c>
      <c r="AI49" s="125">
        <v>0.0742</v>
      </c>
      <c r="AJ49" s="125">
        <v>0.113397212</v>
      </c>
      <c r="AK49" s="127">
        <v>0.23</v>
      </c>
      <c r="AL49" s="127">
        <v>0.329639181</v>
      </c>
      <c r="AM49" s="128"/>
      <c r="AN49" s="149" t="str">
        <f>IFERROR(
  AVERAGEIFS(
    'New 20102013 LF Efficacy'!$J:$J,
    'New 20102013 LF Efficacy'!$D:$D, $A49,
    'New 20102013 LF Efficacy'!$F:$F,"DEC", 
    'New 20102013 LF Efficacy'!$W:$W,"&lt;2011",
    'New 20102013 LF Efficacy'!$AA:$AA,""),
  ""
)</f>
        <v/>
      </c>
      <c r="AO49" s="115">
        <f t="shared" si="12"/>
        <v>0.2589833333</v>
      </c>
      <c r="AP49" s="121" t="str">
        <f>IFERROR(
AVERAGEIFS(
'New 20102013 LF Efficacy'!$J:$J,
'New 20102013 LF Efficacy'!$D:$D,$A49,
'New 20102013 LF Efficacy'!$F:$F,"Albendazole &amp; DEC",
'New 20102013 LF Efficacy'!$W:$W,"&lt;2011",
'New 20102013 LF Efficacy'!$AA:$AA,""),
"")
</f>
        <v/>
      </c>
      <c r="AQ49" s="115">
        <f t="shared" si="13"/>
        <v>0.3465</v>
      </c>
      <c r="AR49" s="121" t="str">
        <f>IFERROR(
AVERAGEIFS(
'New 20102013 LF Efficacy'!$J:$J,
'New 20102013 LF Efficacy'!$D:$D,$A49,
'New 20102013 LF Efficacy'!$F:$F,"Albendazole &amp; Ivermectin", 
'New 20102013 LF Efficacy'!$W:$W,"&lt;2011",
'New 20102013 LF Efficacy'!$AA:$AA,""),"")</f>
        <v/>
      </c>
      <c r="AS49" s="115">
        <f t="shared" si="14"/>
        <v>0.7575</v>
      </c>
      <c r="AT49" s="130" t="str">
        <f>IFERROR(AVERAGEIFS(
'20102013 Schist Efficacy'!$O:$O, 
'20102013 Schist Efficacy'!$C:$C,$A49, 
'20102013 Schist Efficacy'!$D:$D, "Praziquantel",
'20102013 Schist Efficacy'!$J:$J,"&lt;2011",
'20102013 Schist Efficacy'!$U:$U,""),
"")</f>
        <v/>
      </c>
      <c r="AU49" s="118">
        <f t="shared" si="15"/>
        <v>0.7732631579</v>
      </c>
      <c r="AV49" s="131" t="str">
        <f>IFERROR(AVERAGEIFS(
'20102013 STH Efficacy'!$AX:$AX, 
'20102013 STH Efficacy'!$AL:$AL, $A49, 
'20102013 STH Efficacy'!$AM:$AM, "Albendazole",
'20102013 STH Efficacy'!$AS:$AS,"&lt;2011",
'20102013 STH Efficacy'!$BP:$BP,""),
"")</f>
        <v/>
      </c>
      <c r="AW49" s="132">
        <f t="shared" si="16"/>
        <v>0.3945</v>
      </c>
      <c r="AX49" s="131" t="str">
        <f>IFERROR(AVERAGEIFS(
'20102013 STH Efficacy'!$AX:$AX, 
'20102013 STH Efficacy'!$AL:$AL, $A49, 
'20102013 STH Efficacy'!$AM:$AM, "Mebendazole",
'20102013 STH Efficacy'!$AS:$AS,"&lt;2011",
'20102013 STH Efficacy'!$BP:$BP,""),
"")</f>
        <v/>
      </c>
      <c r="AY49" s="132">
        <f t="shared" si="17"/>
        <v>0.6</v>
      </c>
      <c r="AZ49" s="131" t="str">
        <f>IFERROR(AVERAGEIFS(
'20102013 STH Efficacy'!$AX:$AX, 
'20102013 STH Efficacy'!$AL:$AL, $A49, 
'20102013 STH Efficacy'!$AM:$AM, "Albendazole &amp; Ivermectin",
'20102013 STH Efficacy'!$AS:$AS,"&lt;2011",
'20102013 STH Efficacy'!$BP:$BP,""),
"")</f>
        <v/>
      </c>
      <c r="BA49" s="133">
        <f t="shared" si="18"/>
        <v>0.796</v>
      </c>
      <c r="BB49" s="134" t="str">
        <f>IFERROR(AVERAGEIFS(
'20102013 STH Efficacy'!$N:$N, 
'20102013 STH Efficacy'!$B:$B, $A49, 
'20102013 STH Efficacy'!$C:$C, "Albendazole",
'20102013 STH Efficacy'!$I:$I,"&lt;2011",
'20102013 STH Efficacy'!$AH:$AH,""),
"")</f>
        <v/>
      </c>
      <c r="BC49" s="135">
        <f t="shared" si="19"/>
        <v>0.869</v>
      </c>
      <c r="BD49" s="134" t="str">
        <f>IFERROR(AVERAGEIFS(
'20102013 STH Efficacy'!$N:$N, 
'20102013 STH Efficacy'!$B:$B, $A49, 
'20102013 STH Efficacy'!$C:$C, "Mebendazole",
'20102013 STH Efficacy'!$I:$I,"&lt;2011",
'20102013 STH Efficacy'!$AH:$AH,""),
"")</f>
        <v/>
      </c>
      <c r="BE49" s="135">
        <f t="shared" si="20"/>
        <v>0.172</v>
      </c>
      <c r="BF49" s="128" t="str">
        <f>IFERROR(AVERAGEIFS(
'20102013 STH Efficacy'!$CD:$CD, 
'20102013 STH Efficacy'!$BS:$BS, $A49, 
'20102013 STH Efficacy'!$BT:$BT, "Albendazole",
'20102013 STH Efficacy'!$BZ:$BZ,"&lt;2011",
'20102013 STH Efficacy'!$CU:$CU,""),
"")</f>
        <v/>
      </c>
      <c r="BG49" s="136">
        <f t="shared" si="21"/>
        <v>0.9862</v>
      </c>
      <c r="BH49" s="128" t="str">
        <f>IFERROR(AVERAGEIFS(
'20102013 STH Efficacy'!$CD:$CD, 
'20102013 STH Efficacy'!$BS:$BS, $A49, 
'20102013 STH Efficacy'!$BT:$BT, "Mebendazole",
'20102013 STH Efficacy'!$BZ:$BZ,"&lt;2011",
'20102013 STH Efficacy'!$CU:$CU,""),
"")</f>
        <v/>
      </c>
      <c r="BI49" s="136">
        <f t="shared" si="22"/>
        <v>0.769</v>
      </c>
      <c r="BJ49" s="128" t="str">
        <f>IFERROR(AVERAGEIFS(
'20102013 STH Efficacy'!$CD:$CD, 
'20102013 STH Efficacy'!$BS:$BS, $A49, 
'20102013 STH Efficacy'!$BT:$BT, "Albendazole &amp; Ivermectin",
'20102013 STH Efficacy'!$BZ:$BZ,"&lt;2011",
'20102013 STH Efficacy'!$CU:$CU,""),
"")</f>
        <v/>
      </c>
      <c r="BK49" s="136">
        <f t="shared" si="23"/>
        <v>1</v>
      </c>
      <c r="BL49" s="137"/>
      <c r="BM49" s="137"/>
      <c r="BN49" s="138">
        <v>0.0</v>
      </c>
      <c r="BO49" s="139">
        <v>0.0</v>
      </c>
      <c r="BP49" s="140">
        <v>0.0</v>
      </c>
      <c r="BQ49" s="141">
        <f t="shared" si="24"/>
        <v>1</v>
      </c>
      <c r="BR49" s="104" t="str">
        <f t="shared" si="25"/>
        <v>0001</v>
      </c>
      <c r="BS49" s="104" t="str">
        <f t="shared" si="26"/>
        <v>T3</v>
      </c>
      <c r="BT49" s="142" t="str">
        <f t="shared" si="27"/>
        <v>ALB or MBD</v>
      </c>
      <c r="BU49" s="104" t="str">
        <f t="shared" si="28"/>
        <v/>
      </c>
      <c r="BV49" s="104" t="str">
        <f t="shared" si="29"/>
        <v>sth only</v>
      </c>
      <c r="BW49" s="150" t="str">
        <f t="shared" si="30"/>
        <v/>
      </c>
      <c r="BX49" s="150" t="str">
        <f t="shared" si="31"/>
        <v/>
      </c>
      <c r="BY49" s="151" t="str">
        <f t="shared" si="32"/>
        <v/>
      </c>
      <c r="BZ49" s="152">
        <f t="shared" si="33"/>
        <v>432.5680059</v>
      </c>
      <c r="CA49" s="152">
        <f t="shared" si="34"/>
        <v>750.9545888</v>
      </c>
      <c r="CB49" s="152" t="str">
        <f t="shared" si="35"/>
        <v/>
      </c>
      <c r="CC49" s="170">
        <f t="shared" si="36"/>
        <v>4152.979</v>
      </c>
      <c r="CD49" s="170">
        <f t="shared" si="37"/>
        <v>517.7842914</v>
      </c>
      <c r="CE49" s="154">
        <f t="shared" si="38"/>
        <v>5301.686042</v>
      </c>
      <c r="CF49" s="154">
        <f t="shared" si="39"/>
        <v>3457.070015</v>
      </c>
      <c r="CG49" s="154" t="str">
        <f t="shared" si="40"/>
        <v/>
      </c>
    </row>
    <row r="50">
      <c r="A50" s="103" t="s">
        <v>139</v>
      </c>
      <c r="B50" s="104" t="s">
        <v>92</v>
      </c>
      <c r="C50" s="105">
        <v>689692.0</v>
      </c>
      <c r="D50" s="106">
        <v>1067.218868</v>
      </c>
      <c r="E50" s="107">
        <v>0.0</v>
      </c>
      <c r="F50" s="157">
        <v>30.47718609</v>
      </c>
      <c r="G50" s="157">
        <v>132.9844768</v>
      </c>
      <c r="H50" s="157">
        <v>163.4616629</v>
      </c>
      <c r="I50" s="110">
        <v>51.926374</v>
      </c>
      <c r="J50" s="110">
        <v>149.457625</v>
      </c>
      <c r="K50" s="110">
        <v>201.383999</v>
      </c>
      <c r="L50" s="111">
        <v>96.82111682</v>
      </c>
      <c r="M50" s="111">
        <v>64.09498556</v>
      </c>
      <c r="N50" s="158">
        <v>160.9161024</v>
      </c>
      <c r="O50" s="159"/>
      <c r="P50" s="160">
        <v>514110.0</v>
      </c>
      <c r="Q50" s="156"/>
      <c r="R50" s="115">
        <f t="shared" si="8"/>
        <v>0</v>
      </c>
      <c r="S50" s="116">
        <f t="shared" si="9"/>
        <v>0.1716437208</v>
      </c>
      <c r="T50" s="117"/>
      <c r="U50" s="118">
        <f t="shared" si="41"/>
        <v>0.252</v>
      </c>
      <c r="V50" s="119">
        <v>1.0</v>
      </c>
      <c r="W50" s="120">
        <f t="shared" si="10"/>
        <v>1</v>
      </c>
      <c r="X50" s="148"/>
      <c r="Y50" s="120">
        <f t="shared" si="11"/>
        <v>0.4342071429</v>
      </c>
      <c r="Z50" s="121"/>
      <c r="AA50" s="121"/>
      <c r="AB50" s="121"/>
      <c r="AC50" s="121"/>
      <c r="AD50" s="122">
        <v>0.0348</v>
      </c>
      <c r="AE50" s="123">
        <v>0.0</v>
      </c>
      <c r="AF50" s="123">
        <v>0.0</v>
      </c>
      <c r="AG50" s="124">
        <v>0.2594</v>
      </c>
      <c r="AH50" s="124">
        <v>0.39310415</v>
      </c>
      <c r="AI50" s="125">
        <v>0.1211</v>
      </c>
      <c r="AJ50" s="125">
        <v>0.190217536</v>
      </c>
      <c r="AK50" s="127">
        <v>0.17</v>
      </c>
      <c r="AL50" s="127">
        <v>0.262673923</v>
      </c>
      <c r="AM50" s="128"/>
      <c r="AN50" s="149" t="str">
        <f>IFERROR(
  AVERAGEIFS(
    'New 20102013 LF Efficacy'!$J:$J,
    'New 20102013 LF Efficacy'!$D:$D, $A50,
    'New 20102013 LF Efficacy'!$F:$F,"DEC", 
    'New 20102013 LF Efficacy'!$W:$W,"&lt;2011",
    'New 20102013 LF Efficacy'!$AA:$AA,""),
  ""
)</f>
        <v/>
      </c>
      <c r="AO50" s="115">
        <f t="shared" si="12"/>
        <v>0.31225</v>
      </c>
      <c r="AP50" s="121" t="str">
        <f>IFERROR(
AVERAGEIFS(
'New 20102013 LF Efficacy'!$J:$J,
'New 20102013 LF Efficacy'!$D:$D,$A50,
'New 20102013 LF Efficacy'!$F:$F,"Albendazole &amp; DEC",
'New 20102013 LF Efficacy'!$W:$W,"&lt;2011",
'New 20102013 LF Efficacy'!$AA:$AA,""),
"")
</f>
        <v/>
      </c>
      <c r="AQ50" s="115">
        <f t="shared" si="13"/>
        <v>0.4</v>
      </c>
      <c r="AR50" s="121" t="str">
        <f>IFERROR(
AVERAGEIFS(
'New 20102013 LF Efficacy'!$J:$J,
'New 20102013 LF Efficacy'!$D:$D,$A50,
'New 20102013 LF Efficacy'!$F:$F,"Albendazole &amp; Ivermectin", 
'New 20102013 LF Efficacy'!$W:$W,"&lt;2011",
'New 20102013 LF Efficacy'!$AA:$AA,""),"")</f>
        <v/>
      </c>
      <c r="AS50" s="115">
        <f t="shared" si="14"/>
        <v>0.2943125</v>
      </c>
      <c r="AT50" s="130" t="str">
        <f>IFERROR(AVERAGEIFS(
'20102013 Schist Efficacy'!$O:$O, 
'20102013 Schist Efficacy'!$C:$C,$A50, 
'20102013 Schist Efficacy'!$D:$D, "Praziquantel",
'20102013 Schist Efficacy'!$J:$J,"&lt;2011",
'20102013 Schist Efficacy'!$U:$U,""),
"")</f>
        <v/>
      </c>
      <c r="AU50" s="118">
        <f t="shared" si="15"/>
        <v>0.6444020147</v>
      </c>
      <c r="AV50" s="131" t="str">
        <f>IFERROR(AVERAGEIFS(
'20102013 STH Efficacy'!$AX:$AX, 
'20102013 STH Efficacy'!$AL:$AL, $A50, 
'20102013 STH Efficacy'!$AM:$AM, "Albendazole",
'20102013 STH Efficacy'!$AS:$AS,"&lt;2011",
'20102013 STH Efficacy'!$BP:$BP,""),
"")</f>
        <v/>
      </c>
      <c r="AW50" s="132">
        <f t="shared" si="16"/>
        <v>0.3538333333</v>
      </c>
      <c r="AX50" s="131" t="str">
        <f>IFERROR(AVERAGEIFS(
'20102013 STH Efficacy'!$AX:$AX, 
'20102013 STH Efficacy'!$AL:$AL, $A50, 
'20102013 STH Efficacy'!$AM:$AM, "Mebendazole",
'20102013 STH Efficacy'!$AS:$AS,"&lt;2011",
'20102013 STH Efficacy'!$BP:$BP,""),
"")</f>
        <v/>
      </c>
      <c r="AY50" s="132">
        <f t="shared" si="17"/>
        <v>0.5918333333</v>
      </c>
      <c r="AZ50" s="131" t="str">
        <f>IFERROR(AVERAGEIFS(
'20102013 STH Efficacy'!$AX:$AX, 
'20102013 STH Efficacy'!$AL:$AL, $A50, 
'20102013 STH Efficacy'!$AM:$AM, "Albendazole &amp; Ivermectin",
'20102013 STH Efficacy'!$AS:$AS,"&lt;2011",
'20102013 STH Efficacy'!$BP:$BP,""),
"")</f>
        <v/>
      </c>
      <c r="BA50" s="133">
        <f t="shared" si="18"/>
        <v>0.706</v>
      </c>
      <c r="BB50" s="134" t="str">
        <f>IFERROR(AVERAGEIFS(
'20102013 STH Efficacy'!$N:$N, 
'20102013 STH Efficacy'!$B:$B, $A50, 
'20102013 STH Efficacy'!$C:$C, "Albendazole",
'20102013 STH Efficacy'!$I:$I,"&lt;2011",
'20102013 STH Efficacy'!$AH:$AH,""),
"")</f>
        <v/>
      </c>
      <c r="BC50" s="135">
        <f t="shared" si="19"/>
        <v>0.9116666667</v>
      </c>
      <c r="BD50" s="134" t="str">
        <f>IFERROR(AVERAGEIFS(
'20102013 STH Efficacy'!$N:$N, 
'20102013 STH Efficacy'!$B:$B, $A50, 
'20102013 STH Efficacy'!$C:$C, "Mebendazole",
'20102013 STH Efficacy'!$I:$I,"&lt;2011",
'20102013 STH Efficacy'!$AH:$AH,""),
"")</f>
        <v/>
      </c>
      <c r="BE50" s="135">
        <f t="shared" si="20"/>
        <v>0.7092416667</v>
      </c>
      <c r="BF50" s="128" t="str">
        <f>IFERROR(AVERAGEIFS(
'20102013 STH Efficacy'!$CD:$CD, 
'20102013 STH Efficacy'!$BS:$BS, $A50, 
'20102013 STH Efficacy'!$BT:$BT, "Albendazole",
'20102013 STH Efficacy'!$BZ:$BZ,"&lt;2011",
'20102013 STH Efficacy'!$CU:$CU,""),
"")</f>
        <v/>
      </c>
      <c r="BG50" s="136">
        <f t="shared" si="21"/>
        <v>0.8656666667</v>
      </c>
      <c r="BH50" s="128" t="str">
        <f>IFERROR(AVERAGEIFS(
'20102013 STH Efficacy'!$CD:$CD, 
'20102013 STH Efficacy'!$BS:$BS, $A50, 
'20102013 STH Efficacy'!$BT:$BT, "Mebendazole",
'20102013 STH Efficacy'!$BZ:$BZ,"&lt;2011",
'20102013 STH Efficacy'!$CU:$CU,""),
"")</f>
        <v/>
      </c>
      <c r="BI50" s="136">
        <f t="shared" si="22"/>
        <v>0.9203333333</v>
      </c>
      <c r="BJ50" s="128" t="str">
        <f>IFERROR(AVERAGEIFS(
'20102013 STH Efficacy'!$CD:$CD, 
'20102013 STH Efficacy'!$BS:$BS, $A50, 
'20102013 STH Efficacy'!$BT:$BT, "Albendazole &amp; Ivermectin",
'20102013 STH Efficacy'!$BZ:$BZ,"&lt;2011",
'20102013 STH Efficacy'!$CU:$CU,""),
"")</f>
        <v/>
      </c>
      <c r="BK50" s="136">
        <f t="shared" si="23"/>
        <v>1</v>
      </c>
      <c r="BL50" s="137"/>
      <c r="BM50" s="137"/>
      <c r="BN50" s="138">
        <v>1.0</v>
      </c>
      <c r="BO50" s="139">
        <v>0.0</v>
      </c>
      <c r="BP50" s="140">
        <v>0.0</v>
      </c>
      <c r="BQ50" s="141">
        <f t="shared" si="24"/>
        <v>1</v>
      </c>
      <c r="BR50" s="104" t="str">
        <f t="shared" si="25"/>
        <v>1001</v>
      </c>
      <c r="BS50" s="104" t="str">
        <f t="shared" si="26"/>
        <v>MDA1/2</v>
      </c>
      <c r="BT50" s="142" t="str">
        <f t="shared" si="27"/>
        <v>DEC+ALB</v>
      </c>
      <c r="BU50" s="104" t="str">
        <f t="shared" si="28"/>
        <v/>
      </c>
      <c r="BV50" s="104" t="str">
        <f t="shared" si="29"/>
        <v>lf+sth</v>
      </c>
      <c r="BW50" s="150">
        <f t="shared" si="30"/>
        <v>78.6741355</v>
      </c>
      <c r="BX50" s="150" t="str">
        <f t="shared" si="31"/>
        <v/>
      </c>
      <c r="BY50" s="151" t="str">
        <f t="shared" si="32"/>
        <v/>
      </c>
      <c r="BZ50" s="152">
        <f t="shared" si="33"/>
        <v>40.82910192</v>
      </c>
      <c r="CA50" s="152" t="str">
        <f t="shared" si="34"/>
        <v/>
      </c>
      <c r="CB50" s="152" t="str">
        <f t="shared" si="35"/>
        <v/>
      </c>
      <c r="CC50" s="170">
        <f t="shared" si="36"/>
        <v>633.8475988</v>
      </c>
      <c r="CD50" s="153" t="str">
        <f t="shared" si="37"/>
        <v/>
      </c>
      <c r="CE50" s="154">
        <f t="shared" si="38"/>
        <v>662.5329798</v>
      </c>
      <c r="CF50" s="154" t="str">
        <f t="shared" si="39"/>
        <v/>
      </c>
      <c r="CG50" s="154" t="str">
        <f t="shared" si="40"/>
        <v/>
      </c>
    </row>
    <row r="51">
      <c r="A51" s="103" t="s">
        <v>140</v>
      </c>
      <c r="B51" s="104" t="s">
        <v>92</v>
      </c>
      <c r="C51" s="105">
        <v>4386693.0</v>
      </c>
      <c r="D51" s="106">
        <v>7843.012907</v>
      </c>
      <c r="E51" s="107">
        <v>10593.68009</v>
      </c>
      <c r="F51" s="108">
        <v>134.3479337</v>
      </c>
      <c r="G51" s="108">
        <v>517.7938115</v>
      </c>
      <c r="H51" s="108">
        <v>652.1417452</v>
      </c>
      <c r="I51" s="109">
        <v>331.905231</v>
      </c>
      <c r="J51" s="109">
        <v>863.862656</v>
      </c>
      <c r="K51" s="109">
        <v>1195.767888</v>
      </c>
      <c r="L51" s="112">
        <v>1316.711388</v>
      </c>
      <c r="M51" s="112">
        <v>871.9416753</v>
      </c>
      <c r="N51" s="158">
        <v>2188.653063</v>
      </c>
      <c r="O51" s="159"/>
      <c r="P51" s="160">
        <v>2600000.0</v>
      </c>
      <c r="Q51" s="156"/>
      <c r="R51" s="115">
        <f t="shared" si="8"/>
        <v>0</v>
      </c>
      <c r="S51" s="116">
        <f t="shared" si="9"/>
        <v>0.1716437208</v>
      </c>
      <c r="T51" s="117"/>
      <c r="U51" s="118">
        <f t="shared" si="41"/>
        <v>0.252</v>
      </c>
      <c r="V51" s="119">
        <v>1.0</v>
      </c>
      <c r="W51" s="120">
        <f t="shared" si="10"/>
        <v>1</v>
      </c>
      <c r="X51" s="148"/>
      <c r="Y51" s="120">
        <f t="shared" si="11"/>
        <v>0.4342071429</v>
      </c>
      <c r="Z51" s="121"/>
      <c r="AA51" s="121"/>
      <c r="AB51" s="121"/>
      <c r="AC51" s="121"/>
      <c r="AD51" s="122">
        <v>0.0533</v>
      </c>
      <c r="AE51" s="123">
        <v>0.29</v>
      </c>
      <c r="AF51" s="123">
        <v>0.057</v>
      </c>
      <c r="AG51" s="167">
        <v>0.0</v>
      </c>
      <c r="AH51" s="124">
        <v>0.33997214</v>
      </c>
      <c r="AI51" s="168">
        <v>0.0</v>
      </c>
      <c r="AJ51" s="125">
        <v>0.199427688</v>
      </c>
      <c r="AK51" s="126">
        <v>0.0</v>
      </c>
      <c r="AL51" s="169">
        <v>0.388488812</v>
      </c>
      <c r="AM51" s="128"/>
      <c r="AN51" s="149" t="str">
        <f>IFERROR(
  AVERAGEIFS(
    'New 20102013 LF Efficacy'!$J:$J,
    'New 20102013 LF Efficacy'!$D:$D, $A51,
    'New 20102013 LF Efficacy'!$F:$F,"DEC", 
    'New 20102013 LF Efficacy'!$W:$W,"&lt;2011",
    'New 20102013 LF Efficacy'!$AA:$AA,""),
  ""
)</f>
        <v/>
      </c>
      <c r="AO51" s="115">
        <f t="shared" si="12"/>
        <v>0.31225</v>
      </c>
      <c r="AP51" s="121" t="str">
        <f>IFERROR(
AVERAGEIFS(
'New 20102013 LF Efficacy'!$J:$J,
'New 20102013 LF Efficacy'!$D:$D,$A51,
'New 20102013 LF Efficacy'!$F:$F,"Albendazole &amp; DEC",
'New 20102013 LF Efficacy'!$W:$W,"&lt;2011",
'New 20102013 LF Efficacy'!$AA:$AA,""),
"")
</f>
        <v/>
      </c>
      <c r="AQ51" s="115">
        <f t="shared" si="13"/>
        <v>0.4</v>
      </c>
      <c r="AR51" s="121" t="str">
        <f>IFERROR(
AVERAGEIFS(
'New 20102013 LF Efficacy'!$J:$J,
'New 20102013 LF Efficacy'!$D:$D,$A51,
'New 20102013 LF Efficacy'!$F:$F,"Albendazole &amp; Ivermectin", 
'New 20102013 LF Efficacy'!$W:$W,"&lt;2011",
'New 20102013 LF Efficacy'!$AA:$AA,""),"")</f>
        <v/>
      </c>
      <c r="AS51" s="115">
        <f t="shared" si="14"/>
        <v>0.2943125</v>
      </c>
      <c r="AT51" s="130" t="str">
        <f>IFERROR(AVERAGEIFS(
'20102013 Schist Efficacy'!$O:$O, 
'20102013 Schist Efficacy'!$C:$C,$A51, 
'20102013 Schist Efficacy'!$D:$D, "Praziquantel",
'20102013 Schist Efficacy'!$J:$J,"&lt;2011",
'20102013 Schist Efficacy'!$U:$U,""),
"")</f>
        <v/>
      </c>
      <c r="AU51" s="118">
        <f t="shared" si="15"/>
        <v>0.6444020147</v>
      </c>
      <c r="AV51" s="131" t="str">
        <f>IFERROR(AVERAGEIFS(
'20102013 STH Efficacy'!$AX:$AX, 
'20102013 STH Efficacy'!$AL:$AL, $A51, 
'20102013 STH Efficacy'!$AM:$AM, "Albendazole",
'20102013 STH Efficacy'!$AS:$AS,"&lt;2011",
'20102013 STH Efficacy'!$BP:$BP,""),
"")</f>
        <v/>
      </c>
      <c r="AW51" s="132">
        <f t="shared" si="16"/>
        <v>0.3538333333</v>
      </c>
      <c r="AX51" s="131" t="str">
        <f>IFERROR(AVERAGEIFS(
'20102013 STH Efficacy'!$AX:$AX, 
'20102013 STH Efficacy'!$AL:$AL, $A51, 
'20102013 STH Efficacy'!$AM:$AM, "Mebendazole",
'20102013 STH Efficacy'!$AS:$AS,"&lt;2011",
'20102013 STH Efficacy'!$BP:$BP,""),
"")</f>
        <v/>
      </c>
      <c r="AY51" s="132">
        <f t="shared" si="17"/>
        <v>0.5918333333</v>
      </c>
      <c r="AZ51" s="131" t="str">
        <f>IFERROR(AVERAGEIFS(
'20102013 STH Efficacy'!$AX:$AX, 
'20102013 STH Efficacy'!$AL:$AL, $A51, 
'20102013 STH Efficacy'!$AM:$AM, "Albendazole &amp; Ivermectin",
'20102013 STH Efficacy'!$AS:$AS,"&lt;2011",
'20102013 STH Efficacy'!$BP:$BP,""),
"")</f>
        <v/>
      </c>
      <c r="BA51" s="133">
        <f t="shared" si="18"/>
        <v>0.706</v>
      </c>
      <c r="BB51" s="134" t="str">
        <f>IFERROR(AVERAGEIFS(
'20102013 STH Efficacy'!$N:$N, 
'20102013 STH Efficacy'!$B:$B, $A51, 
'20102013 STH Efficacy'!$C:$C, "Albendazole",
'20102013 STH Efficacy'!$I:$I,"&lt;2011",
'20102013 STH Efficacy'!$AH:$AH,""),
"")</f>
        <v/>
      </c>
      <c r="BC51" s="135">
        <f t="shared" si="19"/>
        <v>0.9116666667</v>
      </c>
      <c r="BD51" s="134" t="str">
        <f>IFERROR(AVERAGEIFS(
'20102013 STH Efficacy'!$N:$N, 
'20102013 STH Efficacy'!$B:$B, $A51, 
'20102013 STH Efficacy'!$C:$C, "Mebendazole",
'20102013 STH Efficacy'!$I:$I,"&lt;2011",
'20102013 STH Efficacy'!$AH:$AH,""),
"")</f>
        <v/>
      </c>
      <c r="BE51" s="135">
        <f t="shared" si="20"/>
        <v>0.7092416667</v>
      </c>
      <c r="BF51" s="128" t="str">
        <f>IFERROR(AVERAGEIFS(
'20102013 STH Efficacy'!$CD:$CD, 
'20102013 STH Efficacy'!$BS:$BS, $A51, 
'20102013 STH Efficacy'!$BT:$BT, "Albendazole",
'20102013 STH Efficacy'!$BZ:$BZ,"&lt;2011",
'20102013 STH Efficacy'!$CU:$CU,""),
"")</f>
        <v/>
      </c>
      <c r="BG51" s="136">
        <f t="shared" si="21"/>
        <v>0.8656666667</v>
      </c>
      <c r="BH51" s="128" t="str">
        <f>IFERROR(AVERAGEIFS(
'20102013 STH Efficacy'!$CD:$CD, 
'20102013 STH Efficacy'!$BS:$BS, $A51, 
'20102013 STH Efficacy'!$BT:$BT, "Mebendazole",
'20102013 STH Efficacy'!$BZ:$BZ,"&lt;2011",
'20102013 STH Efficacy'!$CU:$CU,""),
"")</f>
        <v/>
      </c>
      <c r="BI51" s="136">
        <f t="shared" si="22"/>
        <v>0.9203333333</v>
      </c>
      <c r="BJ51" s="128" t="str">
        <f>IFERROR(AVERAGEIFS(
'20102013 STH Efficacy'!$CD:$CD, 
'20102013 STH Efficacy'!$BS:$BS, $A51, 
'20102013 STH Efficacy'!$BT:$BT, "Albendazole &amp; Ivermectin",
'20102013 STH Efficacy'!$BZ:$BZ,"&lt;2011",
'20102013 STH Efficacy'!$CU:$CU,""),
"")</f>
        <v/>
      </c>
      <c r="BK51" s="136">
        <f t="shared" si="23"/>
        <v>1</v>
      </c>
      <c r="BL51" s="137"/>
      <c r="BM51" s="137"/>
      <c r="BN51" s="138">
        <v>1.0</v>
      </c>
      <c r="BO51" s="139">
        <v>1.0</v>
      </c>
      <c r="BP51" s="140">
        <v>1.0</v>
      </c>
      <c r="BQ51" s="141">
        <f t="shared" si="24"/>
        <v>1</v>
      </c>
      <c r="BR51" s="104" t="str">
        <f t="shared" si="25"/>
        <v>1111</v>
      </c>
      <c r="BS51" s="104" t="str">
        <f t="shared" si="26"/>
        <v>MDA1+T2</v>
      </c>
      <c r="BT51" s="142" t="str">
        <f t="shared" si="27"/>
        <v>IVM+ALB</v>
      </c>
      <c r="BU51" s="104" t="str">
        <f t="shared" si="28"/>
        <v>PZQ</v>
      </c>
      <c r="BV51" s="104" t="str">
        <f t="shared" si="29"/>
        <v>lf+onch+schist+sth</v>
      </c>
      <c r="BW51" s="150" t="str">
        <f t="shared" si="30"/>
        <v/>
      </c>
      <c r="BX51" s="150">
        <f t="shared" si="31"/>
        <v>417.2845598</v>
      </c>
      <c r="BY51" s="162">
        <f t="shared" si="32"/>
        <v>2053.818548</v>
      </c>
      <c r="BZ51" s="152">
        <f t="shared" si="33"/>
        <v>167.5604406</v>
      </c>
      <c r="CA51" s="152" t="str">
        <f t="shared" si="34"/>
        <v/>
      </c>
      <c r="CB51" s="152">
        <f t="shared" si="35"/>
        <v>551.5166292</v>
      </c>
      <c r="CC51" s="170">
        <f t="shared" si="36"/>
        <v>3991.536061</v>
      </c>
      <c r="CD51" s="153" t="str">
        <f t="shared" si="37"/>
        <v/>
      </c>
      <c r="CE51" s="154">
        <f t="shared" si="38"/>
        <v>9010.239422</v>
      </c>
      <c r="CF51" s="154" t="str">
        <f t="shared" si="39"/>
        <v/>
      </c>
      <c r="CG51" s="154" t="str">
        <f t="shared" si="40"/>
        <v/>
      </c>
    </row>
    <row r="52">
      <c r="A52" s="103" t="s">
        <v>141</v>
      </c>
      <c r="B52" s="104" t="s">
        <v>94</v>
      </c>
      <c r="C52" s="105">
        <v>23700.0</v>
      </c>
      <c r="D52" s="106">
        <v>0.0</v>
      </c>
      <c r="E52" s="107">
        <v>0.0</v>
      </c>
      <c r="F52" s="163"/>
      <c r="G52" s="163"/>
      <c r="H52" s="108">
        <v>0.0</v>
      </c>
      <c r="I52" s="109">
        <v>0.0</v>
      </c>
      <c r="J52" s="109">
        <v>0.0</v>
      </c>
      <c r="K52" s="109">
        <v>0.0</v>
      </c>
      <c r="L52" s="113"/>
      <c r="M52" s="113"/>
      <c r="N52" s="112">
        <v>0.0</v>
      </c>
      <c r="O52" s="113"/>
      <c r="P52" s="156"/>
      <c r="Q52" s="156"/>
      <c r="R52" s="115" t="str">
        <f t="shared" si="8"/>
        <v/>
      </c>
      <c r="S52" s="116">
        <f t="shared" si="9"/>
        <v>0.1955251818</v>
      </c>
      <c r="T52" s="117"/>
      <c r="U52" s="118">
        <f t="shared" si="41"/>
        <v>0.6259666667</v>
      </c>
      <c r="V52" s="148"/>
      <c r="W52" s="120">
        <f t="shared" si="10"/>
        <v>0.55175</v>
      </c>
      <c r="X52" s="148"/>
      <c r="Y52" s="120">
        <f t="shared" si="11"/>
        <v>0.4826142857</v>
      </c>
      <c r="Z52" s="114"/>
      <c r="AA52" s="114"/>
      <c r="AB52" s="114"/>
      <c r="AC52" s="114"/>
      <c r="AD52" s="164">
        <v>0.0</v>
      </c>
      <c r="AE52" s="165">
        <v>0.0</v>
      </c>
      <c r="AF52" s="166">
        <v>0.0</v>
      </c>
      <c r="AG52" s="167">
        <v>0.0</v>
      </c>
      <c r="AH52" s="172">
        <v>0.0</v>
      </c>
      <c r="AI52" s="168">
        <v>0.0</v>
      </c>
      <c r="AJ52" s="173">
        <v>0.0</v>
      </c>
      <c r="AK52" s="126">
        <v>0.0</v>
      </c>
      <c r="AL52" s="169">
        <v>0.0</v>
      </c>
      <c r="AM52" s="128"/>
      <c r="AN52" s="149" t="str">
        <f>IFERROR(
  AVERAGEIFS(
    'New 20102013 LF Efficacy'!$J:$J,
    'New 20102013 LF Efficacy'!$D:$D, $A52,
    'New 20102013 LF Efficacy'!$F:$F,"DEC", 
    'New 20102013 LF Efficacy'!$W:$W,"&lt;2011",
    'New 20102013 LF Efficacy'!$AA:$AA,""),
  ""
)</f>
        <v/>
      </c>
      <c r="AO52" s="115">
        <f t="shared" si="12"/>
        <v>0.38</v>
      </c>
      <c r="AP52" s="121" t="str">
        <f>IFERROR(
AVERAGEIFS(
'New 20102013 LF Efficacy'!$J:$J,
'New 20102013 LF Efficacy'!$D:$D,$A52,
'New 20102013 LF Efficacy'!$F:$F,"Albendazole &amp; DEC",
'New 20102013 LF Efficacy'!$W:$W,"&lt;2011",
'New 20102013 LF Efficacy'!$AA:$AA,""),
"")
</f>
        <v/>
      </c>
      <c r="AQ52" s="115">
        <f t="shared" si="13"/>
        <v>0.657</v>
      </c>
      <c r="AR52" s="121" t="str">
        <f>IFERROR(
AVERAGEIFS(
'New 20102013 LF Efficacy'!$J:$J,
'New 20102013 LF Efficacy'!$D:$D,$A52,
'New 20102013 LF Efficacy'!$F:$F,"Albendazole &amp; Ivermectin", 
'New 20102013 LF Efficacy'!$W:$W,"&lt;2011",
'New 20102013 LF Efficacy'!$AA:$AA,""),"")</f>
        <v/>
      </c>
      <c r="AS52" s="115">
        <f t="shared" si="14"/>
        <v>0.37153125</v>
      </c>
      <c r="AT52" s="130" t="str">
        <f>IFERROR(AVERAGEIFS(
'20102013 Schist Efficacy'!$O:$O, 
'20102013 Schist Efficacy'!$C:$C,$A52, 
'20102013 Schist Efficacy'!$D:$D, "Praziquantel",
'20102013 Schist Efficacy'!$J:$J,"&lt;2011",
'20102013 Schist Efficacy'!$U:$U,""),
"")</f>
        <v/>
      </c>
      <c r="AU52" s="118">
        <f t="shared" si="15"/>
        <v>0.95</v>
      </c>
      <c r="AV52" s="131" t="str">
        <f>IFERROR(AVERAGEIFS(
'20102013 STH Efficacy'!$AX:$AX, 
'20102013 STH Efficacy'!$AL:$AL, $A52, 
'20102013 STH Efficacy'!$AM:$AM, "Albendazole",
'20102013 STH Efficacy'!$AS:$AS,"&lt;2011",
'20102013 STH Efficacy'!$BP:$BP,""),
"")</f>
        <v/>
      </c>
      <c r="AW52" s="132">
        <f t="shared" si="16"/>
        <v>0.3571666667</v>
      </c>
      <c r="AX52" s="131" t="str">
        <f>IFERROR(AVERAGEIFS(
'20102013 STH Efficacy'!$AX:$AX, 
'20102013 STH Efficacy'!$AL:$AL, $A52, 
'20102013 STH Efficacy'!$AM:$AM, "Mebendazole",
'20102013 STH Efficacy'!$AS:$AS,"&lt;2011",
'20102013 STH Efficacy'!$BP:$BP,""),
"")</f>
        <v/>
      </c>
      <c r="AY52" s="132">
        <f t="shared" si="17"/>
        <v>0.4155</v>
      </c>
      <c r="AZ52" s="131" t="str">
        <f>IFERROR(AVERAGEIFS(
'20102013 STH Efficacy'!$AX:$AX, 
'20102013 STH Efficacy'!$AL:$AL, $A52, 
'20102013 STH Efficacy'!$AM:$AM, "Albendazole &amp; Ivermectin",
'20102013 STH Efficacy'!$AS:$AS,"&lt;2011",
'20102013 STH Efficacy'!$BP:$BP,""),
"")</f>
        <v/>
      </c>
      <c r="BA52" s="133">
        <f t="shared" si="18"/>
        <v>0.651</v>
      </c>
      <c r="BB52" s="134" t="str">
        <f>IFERROR(AVERAGEIFS(
'20102013 STH Efficacy'!$N:$N, 
'20102013 STH Efficacy'!$B:$B, $A52, 
'20102013 STH Efficacy'!$C:$C, "Albendazole",
'20102013 STH Efficacy'!$I:$I,"&lt;2011",
'20102013 STH Efficacy'!$AH:$AH,""),
"")</f>
        <v/>
      </c>
      <c r="BC52" s="135">
        <f t="shared" si="19"/>
        <v>0.5769166667</v>
      </c>
      <c r="BD52" s="134" t="str">
        <f>IFERROR(AVERAGEIFS(
'20102013 STH Efficacy'!$N:$N, 
'20102013 STH Efficacy'!$B:$B, $A52, 
'20102013 STH Efficacy'!$C:$C, "Mebendazole",
'20102013 STH Efficacy'!$I:$I,"&lt;2011",
'20102013 STH Efficacy'!$AH:$AH,""),
"")</f>
        <v/>
      </c>
      <c r="BE52" s="135">
        <f t="shared" si="20"/>
        <v>0.3145</v>
      </c>
      <c r="BF52" s="128" t="str">
        <f>IFERROR(AVERAGEIFS(
'20102013 STH Efficacy'!$CD:$CD, 
'20102013 STH Efficacy'!$BS:$BS, $A52, 
'20102013 STH Efficacy'!$BT:$BT, "Albendazole",
'20102013 STH Efficacy'!$BZ:$BZ,"&lt;2011",
'20102013 STH Efficacy'!$CU:$CU,""),
"")</f>
        <v/>
      </c>
      <c r="BG52" s="136">
        <f t="shared" si="21"/>
        <v>0.96925</v>
      </c>
      <c r="BH52" s="128" t="str">
        <f>IFERROR(AVERAGEIFS(
'20102013 STH Efficacy'!$CD:$CD, 
'20102013 STH Efficacy'!$BS:$BS, $A52, 
'20102013 STH Efficacy'!$BT:$BT, "Mebendazole",
'20102013 STH Efficacy'!$BZ:$BZ,"&lt;2011",
'20102013 STH Efficacy'!$CU:$CU,""),
"")</f>
        <v/>
      </c>
      <c r="BI52" s="136">
        <f t="shared" si="22"/>
        <v>0.9305</v>
      </c>
      <c r="BJ52" s="128" t="str">
        <f>IFERROR(AVERAGEIFS(
'20102013 STH Efficacy'!$CD:$CD, 
'20102013 STH Efficacy'!$BS:$BS, $A52, 
'20102013 STH Efficacy'!$BT:$BT, "Albendazole &amp; Ivermectin",
'20102013 STH Efficacy'!$BZ:$BZ,"&lt;2011",
'20102013 STH Efficacy'!$CU:$CU,""),
"")</f>
        <v/>
      </c>
      <c r="BK52" s="136">
        <f t="shared" si="23"/>
        <v>1</v>
      </c>
      <c r="BL52" s="137"/>
      <c r="BM52" s="137"/>
      <c r="BN52" s="138">
        <v>0.0</v>
      </c>
      <c r="BO52" s="139">
        <v>0.0</v>
      </c>
      <c r="BP52" s="140">
        <v>0.0</v>
      </c>
      <c r="BQ52" s="141">
        <f t="shared" si="24"/>
        <v>0</v>
      </c>
      <c r="BR52" s="104" t="str">
        <f t="shared" si="25"/>
        <v>0000</v>
      </c>
      <c r="BS52" s="104" t="str">
        <f t="shared" si="26"/>
        <v>no action required</v>
      </c>
      <c r="BT52" s="142" t="str">
        <f t="shared" si="27"/>
        <v/>
      </c>
      <c r="BU52" s="104" t="str">
        <f t="shared" si="28"/>
        <v/>
      </c>
      <c r="BV52" s="104" t="str">
        <f t="shared" si="29"/>
        <v>none</v>
      </c>
      <c r="BW52" s="150" t="str">
        <f t="shared" si="30"/>
        <v/>
      </c>
      <c r="BX52" s="150" t="str">
        <f t="shared" si="31"/>
        <v/>
      </c>
      <c r="BY52" s="151" t="str">
        <f t="shared" si="32"/>
        <v/>
      </c>
      <c r="BZ52" s="152" t="str">
        <f t="shared" si="33"/>
        <v/>
      </c>
      <c r="CA52" s="152" t="str">
        <f t="shared" si="34"/>
        <v/>
      </c>
      <c r="CB52" s="152" t="str">
        <f t="shared" si="35"/>
        <v/>
      </c>
      <c r="CC52" s="153" t="str">
        <f t="shared" si="36"/>
        <v/>
      </c>
      <c r="CD52" s="153" t="str">
        <f t="shared" si="37"/>
        <v/>
      </c>
      <c r="CE52" s="154" t="str">
        <f t="shared" si="38"/>
        <v/>
      </c>
      <c r="CF52" s="154" t="str">
        <f t="shared" si="39"/>
        <v/>
      </c>
      <c r="CG52" s="154" t="str">
        <f t="shared" si="40"/>
        <v/>
      </c>
    </row>
    <row r="53">
      <c r="A53" s="103" t="s">
        <v>142</v>
      </c>
      <c r="B53" s="104" t="s">
        <v>98</v>
      </c>
      <c r="C53" s="105">
        <v>4545280.0</v>
      </c>
      <c r="D53" s="106">
        <v>0.0</v>
      </c>
      <c r="E53" s="107">
        <v>0.0</v>
      </c>
      <c r="F53" s="108">
        <v>3.383563463</v>
      </c>
      <c r="G53" s="108">
        <v>21.03088562</v>
      </c>
      <c r="H53" s="108">
        <v>24.41444908</v>
      </c>
      <c r="I53" s="109">
        <v>57.5002242</v>
      </c>
      <c r="J53" s="110">
        <v>256.316874</v>
      </c>
      <c r="K53" s="109">
        <v>313.8170985</v>
      </c>
      <c r="L53" s="112">
        <v>60.81648981</v>
      </c>
      <c r="M53" s="112">
        <v>131.0096198</v>
      </c>
      <c r="N53" s="112">
        <v>191.8261096</v>
      </c>
      <c r="O53" s="113"/>
      <c r="P53" s="156"/>
      <c r="Q53" s="156"/>
      <c r="R53" s="115" t="str">
        <f t="shared" si="8"/>
        <v/>
      </c>
      <c r="S53" s="116">
        <f t="shared" si="9"/>
        <v>0.14553293</v>
      </c>
      <c r="T53" s="117"/>
      <c r="U53" s="118">
        <f t="shared" si="41"/>
        <v>0.39435</v>
      </c>
      <c r="V53" s="148"/>
      <c r="W53" s="120">
        <f t="shared" si="10"/>
        <v>0.3616</v>
      </c>
      <c r="X53" s="148"/>
      <c r="Y53" s="120">
        <f t="shared" si="11"/>
        <v>0.5015615385</v>
      </c>
      <c r="Z53" s="121"/>
      <c r="AA53" s="121"/>
      <c r="AB53" s="121"/>
      <c r="AC53" s="121"/>
      <c r="AD53" s="122">
        <v>0.0</v>
      </c>
      <c r="AE53" s="123">
        <v>0.0</v>
      </c>
      <c r="AF53" s="123">
        <v>0.0</v>
      </c>
      <c r="AG53" s="124">
        <v>0.0868</v>
      </c>
      <c r="AH53" s="124">
        <v>0.129966737</v>
      </c>
      <c r="AI53" s="125">
        <v>0.058</v>
      </c>
      <c r="AJ53" s="125">
        <v>0.087005718</v>
      </c>
      <c r="AK53" s="127">
        <v>0.15</v>
      </c>
      <c r="AL53" s="127">
        <v>0.218374522</v>
      </c>
      <c r="AM53" s="128"/>
      <c r="AN53" s="149" t="str">
        <f>IFERROR(
  AVERAGEIFS(
    'New 20102013 LF Efficacy'!$J:$J,
    'New 20102013 LF Efficacy'!$D:$D, $A53,
    'New 20102013 LF Efficacy'!$F:$F,"DEC", 
    'New 20102013 LF Efficacy'!$W:$W,"&lt;2011",
    'New 20102013 LF Efficacy'!$AA:$AA,""),
  ""
)</f>
        <v/>
      </c>
      <c r="AO53" s="115">
        <f t="shared" si="12"/>
        <v>0.2589833333</v>
      </c>
      <c r="AP53" s="121" t="str">
        <f>IFERROR(
AVERAGEIFS(
'New 20102013 LF Efficacy'!$J:$J,
'New 20102013 LF Efficacy'!$D:$D,$A53,
'New 20102013 LF Efficacy'!$F:$F,"Albendazole &amp; DEC",
'New 20102013 LF Efficacy'!$W:$W,"&lt;2011",
'New 20102013 LF Efficacy'!$AA:$AA,""),
"")
</f>
        <v/>
      </c>
      <c r="AQ53" s="115">
        <f t="shared" si="13"/>
        <v>0.3465</v>
      </c>
      <c r="AR53" s="121" t="str">
        <f>IFERROR(
AVERAGEIFS(
'New 20102013 LF Efficacy'!$J:$J,
'New 20102013 LF Efficacy'!$D:$D,$A53,
'New 20102013 LF Efficacy'!$F:$F,"Albendazole &amp; Ivermectin", 
'New 20102013 LF Efficacy'!$W:$W,"&lt;2011",
'New 20102013 LF Efficacy'!$AA:$AA,""),"")</f>
        <v/>
      </c>
      <c r="AS53" s="115">
        <f t="shared" si="14"/>
        <v>0.7575</v>
      </c>
      <c r="AT53" s="130" t="str">
        <f>IFERROR(AVERAGEIFS(
'20102013 Schist Efficacy'!$O:$O, 
'20102013 Schist Efficacy'!$C:$C,$A53, 
'20102013 Schist Efficacy'!$D:$D, "Praziquantel",
'20102013 Schist Efficacy'!$J:$J,"&lt;2011",
'20102013 Schist Efficacy'!$U:$U,""),
"")</f>
        <v/>
      </c>
      <c r="AU53" s="118">
        <f t="shared" si="15"/>
        <v>0.7732631579</v>
      </c>
      <c r="AV53" s="131" t="str">
        <f>IFERROR(AVERAGEIFS(
'20102013 STH Efficacy'!$AX:$AX, 
'20102013 STH Efficacy'!$AL:$AL, $A53, 
'20102013 STH Efficacy'!$AM:$AM, "Albendazole",
'20102013 STH Efficacy'!$AS:$AS,"&lt;2011",
'20102013 STH Efficacy'!$BP:$BP,""),
"")</f>
        <v/>
      </c>
      <c r="AW53" s="132">
        <f t="shared" si="16"/>
        <v>0.3945</v>
      </c>
      <c r="AX53" s="131" t="str">
        <f>IFERROR(AVERAGEIFS(
'20102013 STH Efficacy'!$AX:$AX, 
'20102013 STH Efficacy'!$AL:$AL, $A53, 
'20102013 STH Efficacy'!$AM:$AM, "Mebendazole",
'20102013 STH Efficacy'!$AS:$AS,"&lt;2011",
'20102013 STH Efficacy'!$BP:$BP,""),
"")</f>
        <v/>
      </c>
      <c r="AY53" s="132">
        <f t="shared" si="17"/>
        <v>0.6</v>
      </c>
      <c r="AZ53" s="131" t="str">
        <f>IFERROR(AVERAGEIFS(
'20102013 STH Efficacy'!$AX:$AX, 
'20102013 STH Efficacy'!$AL:$AL, $A53, 
'20102013 STH Efficacy'!$AM:$AM, "Albendazole &amp; Ivermectin",
'20102013 STH Efficacy'!$AS:$AS,"&lt;2011",
'20102013 STH Efficacy'!$BP:$BP,""),
"")</f>
        <v/>
      </c>
      <c r="BA53" s="133">
        <f t="shared" si="18"/>
        <v>0.796</v>
      </c>
      <c r="BB53" s="134" t="str">
        <f>IFERROR(AVERAGEIFS(
'20102013 STH Efficacy'!$N:$N, 
'20102013 STH Efficacy'!$B:$B, $A53, 
'20102013 STH Efficacy'!$C:$C, "Albendazole",
'20102013 STH Efficacy'!$I:$I,"&lt;2011",
'20102013 STH Efficacy'!$AH:$AH,""),
"")</f>
        <v/>
      </c>
      <c r="BC53" s="135">
        <f t="shared" si="19"/>
        <v>0.869</v>
      </c>
      <c r="BD53" s="134" t="str">
        <f>IFERROR(AVERAGEIFS(
'20102013 STH Efficacy'!$N:$N, 
'20102013 STH Efficacy'!$B:$B, $A53, 
'20102013 STH Efficacy'!$C:$C, "Mebendazole",
'20102013 STH Efficacy'!$I:$I,"&lt;2011",
'20102013 STH Efficacy'!$AH:$AH,""),
"")</f>
        <v/>
      </c>
      <c r="BE53" s="135">
        <f t="shared" si="20"/>
        <v>0.172</v>
      </c>
      <c r="BF53" s="128" t="str">
        <f>IFERROR(AVERAGEIFS(
'20102013 STH Efficacy'!$CD:$CD, 
'20102013 STH Efficacy'!$BS:$BS, $A53, 
'20102013 STH Efficacy'!$BT:$BT, "Albendazole",
'20102013 STH Efficacy'!$BZ:$BZ,"&lt;2011",
'20102013 STH Efficacy'!$CU:$CU,""),
"")</f>
        <v/>
      </c>
      <c r="BG53" s="136">
        <f t="shared" si="21"/>
        <v>0.9862</v>
      </c>
      <c r="BH53" s="128" t="str">
        <f>IFERROR(AVERAGEIFS(
'20102013 STH Efficacy'!$CD:$CD, 
'20102013 STH Efficacy'!$BS:$BS, $A53, 
'20102013 STH Efficacy'!$BT:$BT, "Mebendazole",
'20102013 STH Efficacy'!$BZ:$BZ,"&lt;2011",
'20102013 STH Efficacy'!$CU:$CU,""),
"")</f>
        <v/>
      </c>
      <c r="BI53" s="136">
        <f t="shared" si="22"/>
        <v>0.769</v>
      </c>
      <c r="BJ53" s="128" t="str">
        <f>IFERROR(AVERAGEIFS(
'20102013 STH Efficacy'!$CD:$CD, 
'20102013 STH Efficacy'!$BS:$BS, $A53, 
'20102013 STH Efficacy'!$BT:$BT, "Albendazole &amp; Ivermectin",
'20102013 STH Efficacy'!$BZ:$BZ,"&lt;2011",
'20102013 STH Efficacy'!$CU:$CU,""),
"")</f>
        <v/>
      </c>
      <c r="BK53" s="136">
        <f t="shared" si="23"/>
        <v>1</v>
      </c>
      <c r="BL53" s="137"/>
      <c r="BM53" s="137"/>
      <c r="BN53" s="138">
        <v>0.0</v>
      </c>
      <c r="BO53" s="139">
        <v>0.0</v>
      </c>
      <c r="BP53" s="140">
        <v>0.0</v>
      </c>
      <c r="BQ53" s="141">
        <f t="shared" si="24"/>
        <v>0</v>
      </c>
      <c r="BR53" s="104" t="str">
        <f t="shared" si="25"/>
        <v>0000</v>
      </c>
      <c r="BS53" s="104" t="str">
        <f t="shared" si="26"/>
        <v>no action required</v>
      </c>
      <c r="BT53" s="142" t="str">
        <f t="shared" si="27"/>
        <v/>
      </c>
      <c r="BU53" s="104" t="str">
        <f t="shared" si="28"/>
        <v/>
      </c>
      <c r="BV53" s="104" t="str">
        <f t="shared" si="29"/>
        <v>none</v>
      </c>
      <c r="BW53" s="150" t="str">
        <f t="shared" si="30"/>
        <v/>
      </c>
      <c r="BX53" s="150" t="str">
        <f t="shared" si="31"/>
        <v/>
      </c>
      <c r="BY53" s="151" t="str">
        <f t="shared" si="32"/>
        <v/>
      </c>
      <c r="BZ53" s="152" t="str">
        <f t="shared" si="33"/>
        <v/>
      </c>
      <c r="CA53" s="152" t="str">
        <f t="shared" si="34"/>
        <v/>
      </c>
      <c r="CB53" s="152" t="str">
        <f t="shared" si="35"/>
        <v/>
      </c>
      <c r="CC53" s="153" t="str">
        <f t="shared" si="36"/>
        <v/>
      </c>
      <c r="CD53" s="153" t="str">
        <f t="shared" si="37"/>
        <v/>
      </c>
      <c r="CE53" s="154" t="str">
        <f t="shared" si="38"/>
        <v/>
      </c>
      <c r="CF53" s="154" t="str">
        <f t="shared" si="39"/>
        <v/>
      </c>
      <c r="CG53" s="154" t="str">
        <f t="shared" si="40"/>
        <v/>
      </c>
    </row>
    <row r="54">
      <c r="A54" s="175" t="s">
        <v>143</v>
      </c>
      <c r="B54" s="104" t="s">
        <v>92</v>
      </c>
      <c r="C54" s="105">
        <v>2.0401331E7</v>
      </c>
      <c r="D54" s="106">
        <v>29017.49064</v>
      </c>
      <c r="E54" s="107">
        <v>81732.8799</v>
      </c>
      <c r="F54" s="108">
        <v>55.26785777</v>
      </c>
      <c r="G54" s="108">
        <v>251.8180589</v>
      </c>
      <c r="H54" s="157">
        <v>307.0859166</v>
      </c>
      <c r="I54" s="110">
        <v>0.0</v>
      </c>
      <c r="J54" s="110">
        <v>0.0</v>
      </c>
      <c r="K54" s="109">
        <v>6287.898382</v>
      </c>
      <c r="L54" s="112">
        <v>6762.886345</v>
      </c>
      <c r="M54" s="112">
        <v>1631.180794</v>
      </c>
      <c r="N54" s="158">
        <v>8394.067139</v>
      </c>
      <c r="O54" s="159"/>
      <c r="P54" s="160">
        <v>1.4E7</v>
      </c>
      <c r="Q54" s="160">
        <v>2458436.0</v>
      </c>
      <c r="R54" s="115">
        <f t="shared" si="8"/>
        <v>0.1756025714</v>
      </c>
      <c r="S54" s="116">
        <f t="shared" si="9"/>
        <v>0.1756025714</v>
      </c>
      <c r="T54" s="117"/>
      <c r="U54" s="118">
        <f t="shared" si="41"/>
        <v>0.252</v>
      </c>
      <c r="V54" s="148"/>
      <c r="W54" s="120">
        <f t="shared" si="10"/>
        <v>0.7266555556</v>
      </c>
      <c r="X54" s="119">
        <v>0.134</v>
      </c>
      <c r="Y54" s="120">
        <f t="shared" si="11"/>
        <v>0.134</v>
      </c>
      <c r="Z54" s="121"/>
      <c r="AA54" s="121"/>
      <c r="AB54" s="121"/>
      <c r="AC54" s="121"/>
      <c r="AD54" s="122">
        <v>0.0321</v>
      </c>
      <c r="AE54" s="123">
        <v>0.44</v>
      </c>
      <c r="AF54" s="123">
        <v>0.1877</v>
      </c>
      <c r="AG54" s="167">
        <v>0.0</v>
      </c>
      <c r="AH54" s="124">
        <v>0.126638287</v>
      </c>
      <c r="AI54" s="168">
        <v>0.0</v>
      </c>
      <c r="AJ54" s="125">
        <v>0.189734076</v>
      </c>
      <c r="AK54" s="127">
        <v>0.07</v>
      </c>
      <c r="AL54" s="169">
        <v>0.116069986</v>
      </c>
      <c r="AM54" s="128"/>
      <c r="AN54" s="149" t="str">
        <f>IFERROR(
  AVERAGEIFS(
    'New 20102013 LF Efficacy'!$J:$J,
    'New 20102013 LF Efficacy'!$D:$D, $A54,
    'New 20102013 LF Efficacy'!$F:$F,"DEC", 
    'New 20102013 LF Efficacy'!$W:$W,"&lt;2011",
    'New 20102013 LF Efficacy'!$AA:$AA,""),
  ""
)</f>
        <v/>
      </c>
      <c r="AO54" s="115">
        <f t="shared" si="12"/>
        <v>0.31225</v>
      </c>
      <c r="AP54" s="121" t="str">
        <f>IFERROR(
AVERAGEIFS(
'New 20102013 LF Efficacy'!$J:$J,
'New 20102013 LF Efficacy'!$D:$D,$A54,
'New 20102013 LF Efficacy'!$F:$F,"Albendazole &amp; DEC",
'New 20102013 LF Efficacy'!$W:$W,"&lt;2011",
'New 20102013 LF Efficacy'!$AA:$AA,""),
"")
</f>
        <v/>
      </c>
      <c r="AQ54" s="115">
        <f t="shared" si="13"/>
        <v>0.4</v>
      </c>
      <c r="AR54" s="121" t="str">
        <f>IFERROR(
AVERAGEIFS(
'New 20102013 LF Efficacy'!$J:$J,
'New 20102013 LF Efficacy'!$D:$D,$A54,
'New 20102013 LF Efficacy'!$F:$F,"Albendazole &amp; Ivermectin", 
'New 20102013 LF Efficacy'!$W:$W,"&lt;2011",
'New 20102013 LF Efficacy'!$AA:$AA,""),"")</f>
        <v/>
      </c>
      <c r="AS54" s="115">
        <f t="shared" si="14"/>
        <v>0.2943125</v>
      </c>
      <c r="AT54" s="130">
        <f>IFERROR(AVERAGEIFS(
'20102013 Schist Efficacy'!$O:$O, 
'20102013 Schist Efficacy'!$C:$C,$A54, 
'20102013 Schist Efficacy'!$D:$D, "Praziquantel",
'20102013 Schist Efficacy'!$J:$J,"&lt;2011",
'20102013 Schist Efficacy'!$U:$U,""),
"")</f>
        <v>0.679</v>
      </c>
      <c r="AU54" s="118">
        <f t="shared" si="15"/>
        <v>0.679</v>
      </c>
      <c r="AV54" s="131" t="str">
        <f>IFERROR(AVERAGEIFS(
'20102013 STH Efficacy'!$AX:$AX, 
'20102013 STH Efficacy'!$AL:$AL, $A54, 
'20102013 STH Efficacy'!$AM:$AM, "Albendazole",
'20102013 STH Efficacy'!$AS:$AS,"&lt;2011",
'20102013 STH Efficacy'!$BP:$BP,""),
"")</f>
        <v/>
      </c>
      <c r="AW54" s="132">
        <f t="shared" si="16"/>
        <v>0.3538333333</v>
      </c>
      <c r="AX54" s="131" t="str">
        <f>IFERROR(AVERAGEIFS(
'20102013 STH Efficacy'!$AX:$AX, 
'20102013 STH Efficacy'!$AL:$AL, $A54, 
'20102013 STH Efficacy'!$AM:$AM, "Mebendazole",
'20102013 STH Efficacy'!$AS:$AS,"&lt;2011",
'20102013 STH Efficacy'!$BP:$BP,""),
"")</f>
        <v/>
      </c>
      <c r="AY54" s="132">
        <f t="shared" si="17"/>
        <v>0.5918333333</v>
      </c>
      <c r="AZ54" s="131" t="str">
        <f>IFERROR(AVERAGEIFS(
'20102013 STH Efficacy'!$AX:$AX, 
'20102013 STH Efficacy'!$AL:$AL, $A54, 
'20102013 STH Efficacy'!$AM:$AM, "Albendazole &amp; Ivermectin",
'20102013 STH Efficacy'!$AS:$AS,"&lt;2011",
'20102013 STH Efficacy'!$BP:$BP,""),
"")</f>
        <v/>
      </c>
      <c r="BA54" s="133">
        <f t="shared" si="18"/>
        <v>0.706</v>
      </c>
      <c r="BB54" s="134" t="str">
        <f>IFERROR(AVERAGEIFS(
'20102013 STH Efficacy'!$N:$N, 
'20102013 STH Efficacy'!$B:$B, $A54, 
'20102013 STH Efficacy'!$C:$C, "Albendazole",
'20102013 STH Efficacy'!$I:$I,"&lt;2011",
'20102013 STH Efficacy'!$AH:$AH,""),
"")</f>
        <v/>
      </c>
      <c r="BC54" s="135">
        <f t="shared" si="19"/>
        <v>0.9116666667</v>
      </c>
      <c r="BD54" s="134" t="str">
        <f>IFERROR(AVERAGEIFS(
'20102013 STH Efficacy'!$N:$N, 
'20102013 STH Efficacy'!$B:$B, $A54, 
'20102013 STH Efficacy'!$C:$C, "Mebendazole",
'20102013 STH Efficacy'!$I:$I,"&lt;2011",
'20102013 STH Efficacy'!$AH:$AH,""),
"")</f>
        <v/>
      </c>
      <c r="BE54" s="135">
        <f t="shared" si="20"/>
        <v>0.7092416667</v>
      </c>
      <c r="BF54" s="128" t="str">
        <f>IFERROR(AVERAGEIFS(
'20102013 STH Efficacy'!$CD:$CD, 
'20102013 STH Efficacy'!$BS:$BS, $A54, 
'20102013 STH Efficacy'!$BT:$BT, "Albendazole",
'20102013 STH Efficacy'!$BZ:$BZ,"&lt;2011",
'20102013 STH Efficacy'!$CU:$CU,""),
"")</f>
        <v/>
      </c>
      <c r="BG54" s="136">
        <f t="shared" si="21"/>
        <v>0.8656666667</v>
      </c>
      <c r="BH54" s="128" t="str">
        <f>IFERROR(AVERAGEIFS(
'20102013 STH Efficacy'!$CD:$CD, 
'20102013 STH Efficacy'!$BS:$BS, $A54, 
'20102013 STH Efficacy'!$BT:$BT, "Mebendazole",
'20102013 STH Efficacy'!$BZ:$BZ,"&lt;2011",
'20102013 STH Efficacy'!$CU:$CU,""),
"")</f>
        <v/>
      </c>
      <c r="BI54" s="136">
        <f t="shared" si="22"/>
        <v>0.9203333333</v>
      </c>
      <c r="BJ54" s="128" t="str">
        <f>IFERROR(AVERAGEIFS(
'20102013 STH Efficacy'!$CD:$CD, 
'20102013 STH Efficacy'!$BS:$BS, $A54, 
'20102013 STH Efficacy'!$BT:$BT, "Albendazole &amp; Ivermectin",
'20102013 STH Efficacy'!$BZ:$BZ,"&lt;2011",
'20102013 STH Efficacy'!$CU:$CU,""),
"")</f>
        <v/>
      </c>
      <c r="BK54" s="136">
        <f t="shared" si="23"/>
        <v>1</v>
      </c>
      <c r="BL54" s="137"/>
      <c r="BM54" s="137"/>
      <c r="BN54" s="138">
        <v>1.0</v>
      </c>
      <c r="BO54" s="139">
        <v>1.0</v>
      </c>
      <c r="BP54" s="140">
        <v>1.0</v>
      </c>
      <c r="BQ54" s="141">
        <f t="shared" si="24"/>
        <v>0</v>
      </c>
      <c r="BR54" s="104" t="str">
        <f t="shared" si="25"/>
        <v>1110</v>
      </c>
      <c r="BS54" s="104" t="str">
        <f t="shared" si="26"/>
        <v>MDA1+T2</v>
      </c>
      <c r="BT54" s="142" t="str">
        <f t="shared" si="27"/>
        <v>IVM+ALB</v>
      </c>
      <c r="BU54" s="104" t="str">
        <f t="shared" si="28"/>
        <v>PZQ</v>
      </c>
      <c r="BV54" s="104" t="str">
        <f t="shared" si="29"/>
        <v>lf+onch+schist </v>
      </c>
      <c r="BW54" s="150" t="str">
        <f t="shared" si="30"/>
        <v/>
      </c>
      <c r="BX54" s="150">
        <f t="shared" si="31"/>
        <v>1581.413539</v>
      </c>
      <c r="BY54" s="162">
        <f t="shared" si="32"/>
        <v>16872.10109</v>
      </c>
      <c r="BZ54" s="152" t="str">
        <f t="shared" si="33"/>
        <v/>
      </c>
      <c r="CA54" s="152" t="str">
        <f t="shared" si="34"/>
        <v/>
      </c>
      <c r="CB54" s="152" t="str">
        <f t="shared" si="35"/>
        <v/>
      </c>
      <c r="CC54" s="153" t="str">
        <f t="shared" si="36"/>
        <v/>
      </c>
      <c r="CD54" s="153" t="str">
        <f t="shared" si="37"/>
        <v/>
      </c>
      <c r="CE54" s="154" t="str">
        <f t="shared" si="38"/>
        <v/>
      </c>
      <c r="CF54" s="154" t="str">
        <f t="shared" si="39"/>
        <v/>
      </c>
      <c r="CG54" s="154" t="str">
        <f t="shared" si="40"/>
        <v/>
      </c>
    </row>
    <row r="55">
      <c r="A55" s="103" t="s">
        <v>144</v>
      </c>
      <c r="B55" s="104" t="s">
        <v>90</v>
      </c>
      <c r="C55" s="105">
        <v>4417781.0</v>
      </c>
      <c r="D55" s="106">
        <v>0.0</v>
      </c>
      <c r="E55" s="107">
        <v>0.0</v>
      </c>
      <c r="F55" s="108">
        <v>0.0</v>
      </c>
      <c r="G55" s="108">
        <v>0.0</v>
      </c>
      <c r="H55" s="108">
        <v>0.0</v>
      </c>
      <c r="I55" s="109">
        <v>0.0</v>
      </c>
      <c r="J55" s="109">
        <v>0.0</v>
      </c>
      <c r="K55" s="109">
        <v>0.0</v>
      </c>
      <c r="L55" s="112">
        <v>0.0</v>
      </c>
      <c r="M55" s="112">
        <v>0.0</v>
      </c>
      <c r="N55" s="112">
        <v>0.0</v>
      </c>
      <c r="O55" s="113"/>
      <c r="P55" s="114"/>
      <c r="Q55" s="114"/>
      <c r="R55" s="115" t="str">
        <f t="shared" si="8"/>
        <v/>
      </c>
      <c r="S55" s="116">
        <f t="shared" si="9"/>
        <v>0.4013436246</v>
      </c>
      <c r="T55" s="117"/>
      <c r="U55" s="118">
        <f t="shared" si="41"/>
        <v>0.3468166667</v>
      </c>
      <c r="V55" s="148"/>
      <c r="W55" s="120">
        <f t="shared" si="10"/>
        <v>1</v>
      </c>
      <c r="X55" s="148"/>
      <c r="Y55" s="120">
        <f t="shared" si="11"/>
        <v>0.71735</v>
      </c>
      <c r="Z55" s="114"/>
      <c r="AA55" s="114"/>
      <c r="AB55" s="114"/>
      <c r="AC55" s="114"/>
      <c r="AD55" s="164">
        <v>0.0</v>
      </c>
      <c r="AE55" s="123">
        <v>0.0</v>
      </c>
      <c r="AF55" s="123">
        <v>0.0</v>
      </c>
      <c r="AG55" s="124">
        <v>0.0</v>
      </c>
      <c r="AH55" s="124">
        <v>0.0</v>
      </c>
      <c r="AI55" s="125">
        <v>0.0</v>
      </c>
      <c r="AJ55" s="125">
        <v>0.0</v>
      </c>
      <c r="AK55" s="126">
        <v>0.0</v>
      </c>
      <c r="AL55" s="169">
        <v>0.0</v>
      </c>
      <c r="AM55" s="128"/>
      <c r="AN55" s="149" t="str">
        <f>IFERROR(
  AVERAGEIFS(
    'New 20102013 LF Efficacy'!$J:$J,
    'New 20102013 LF Efficacy'!$D:$D, $A55,
    'New 20102013 LF Efficacy'!$F:$F,"DEC", 
    'New 20102013 LF Efficacy'!$W:$W,"&lt;2011",
    'New 20102013 LF Efficacy'!$AA:$AA,""),
  ""
)</f>
        <v/>
      </c>
      <c r="AO55" s="115">
        <f t="shared" si="12"/>
        <v>0.3573520833</v>
      </c>
      <c r="AP55" s="121" t="str">
        <f>IFERROR(
AVERAGEIFS(
'New 20102013 LF Efficacy'!$J:$J,
'New 20102013 LF Efficacy'!$D:$D,$A55,
'New 20102013 LF Efficacy'!$F:$F,"Albendazole &amp; DEC",
'New 20102013 LF Efficacy'!$W:$W,"&lt;2011",
'New 20102013 LF Efficacy'!$AA:$AA,""),
"")
</f>
        <v/>
      </c>
      <c r="AQ55" s="115">
        <f t="shared" si="13"/>
        <v>0.5137291667</v>
      </c>
      <c r="AR55" s="121" t="str">
        <f>IFERROR(
AVERAGEIFS(
'New 20102013 LF Efficacy'!$J:$J,
'New 20102013 LF Efficacy'!$D:$D,$A55,
'New 20102013 LF Efficacy'!$F:$F,"Albendazole &amp; Ivermectin", 
'New 20102013 LF Efficacy'!$W:$W,"&lt;2011",
'New 20102013 LF Efficacy'!$AA:$AA,""),"")</f>
        <v/>
      </c>
      <c r="AS55" s="115">
        <f t="shared" si="14"/>
        <v>0.37153125</v>
      </c>
      <c r="AT55" s="130" t="str">
        <f>IFERROR(AVERAGEIFS(
'20102013 Schist Efficacy'!$O:$O, 
'20102013 Schist Efficacy'!$C:$C,$A55, 
'20102013 Schist Efficacy'!$D:$D, "Praziquantel",
'20102013 Schist Efficacy'!$J:$J,"&lt;2011",
'20102013 Schist Efficacy'!$U:$U,""),
"")</f>
        <v/>
      </c>
      <c r="AU55" s="118">
        <f t="shared" si="15"/>
        <v>0.655</v>
      </c>
      <c r="AV55" s="131" t="str">
        <f>IFERROR(AVERAGEIFS(
'20102013 STH Efficacy'!$AX:$AX, 
'20102013 STH Efficacy'!$AL:$AL, $A55, 
'20102013 STH Efficacy'!$AM:$AM, "Albendazole",
'20102013 STH Efficacy'!$AS:$AS,"&lt;2011",
'20102013 STH Efficacy'!$BP:$BP,""),
"")</f>
        <v/>
      </c>
      <c r="AW55" s="132">
        <f t="shared" si="16"/>
        <v>0.3842878788</v>
      </c>
      <c r="AX55" s="131" t="str">
        <f>IFERROR(AVERAGEIFS(
'20102013 STH Efficacy'!$AX:$AX, 
'20102013 STH Efficacy'!$AL:$AL, $A55, 
'20102013 STH Efficacy'!$AM:$AM, "Mebendazole",
'20102013 STH Efficacy'!$AS:$AS,"&lt;2011",
'20102013 STH Efficacy'!$BP:$BP,""),
"")</f>
        <v/>
      </c>
      <c r="AY55" s="132">
        <f t="shared" si="17"/>
        <v>0.5121666667</v>
      </c>
      <c r="AZ55" s="131" t="str">
        <f>IFERROR(AVERAGEIFS(
'20102013 STH Efficacy'!$AX:$AX, 
'20102013 STH Efficacy'!$AL:$AL, $A55, 
'20102013 STH Efficacy'!$AM:$AM, "Albendazole &amp; Ivermectin",
'20102013 STH Efficacy'!$AS:$AS,"&lt;2011",
'20102013 STH Efficacy'!$BP:$BP,""),
"")</f>
        <v/>
      </c>
      <c r="BA55" s="133">
        <f t="shared" si="18"/>
        <v>0.7176666667</v>
      </c>
      <c r="BB55" s="134" t="str">
        <f>IFERROR(AVERAGEIFS(
'20102013 STH Efficacy'!$N:$N, 
'20102013 STH Efficacy'!$B:$B, $A55, 
'20102013 STH Efficacy'!$C:$C, "Albendazole",
'20102013 STH Efficacy'!$I:$I,"&lt;2011",
'20102013 STH Efficacy'!$AH:$AH,""),
"")</f>
        <v/>
      </c>
      <c r="BC55" s="135">
        <f t="shared" si="19"/>
        <v>0.7630416667</v>
      </c>
      <c r="BD55" s="134" t="str">
        <f>IFERROR(AVERAGEIFS(
'20102013 STH Efficacy'!$N:$N, 
'20102013 STH Efficacy'!$B:$B, $A55, 
'20102013 STH Efficacy'!$C:$C, "Mebendazole",
'20102013 STH Efficacy'!$I:$I,"&lt;2011",
'20102013 STH Efficacy'!$AH:$AH,""),
"")</f>
        <v/>
      </c>
      <c r="BE55" s="135">
        <f t="shared" si="20"/>
        <v>0.4405966667</v>
      </c>
      <c r="BF55" s="128" t="str">
        <f>IFERROR(AVERAGEIFS(
'20102013 STH Efficacy'!$CD:$CD, 
'20102013 STH Efficacy'!$BS:$BS, $A55, 
'20102013 STH Efficacy'!$BT:$BT, "Albendazole",
'20102013 STH Efficacy'!$BZ:$BZ,"&lt;2011",
'20102013 STH Efficacy'!$CU:$CU,""),
"")</f>
        <v/>
      </c>
      <c r="BG55" s="136">
        <f t="shared" si="21"/>
        <v>0.9403222222</v>
      </c>
      <c r="BH55" s="128" t="str">
        <f>IFERROR(AVERAGEIFS(
'20102013 STH Efficacy'!$CD:$CD, 
'20102013 STH Efficacy'!$BS:$BS, $A55, 
'20102013 STH Efficacy'!$BT:$BT, "Mebendazole",
'20102013 STH Efficacy'!$BZ:$BZ,"&lt;2011",
'20102013 STH Efficacy'!$CU:$CU,""),
"")</f>
        <v/>
      </c>
      <c r="BI55" s="136">
        <f t="shared" si="22"/>
        <v>0.9229285714</v>
      </c>
      <c r="BJ55" s="128" t="str">
        <f>IFERROR(AVERAGEIFS(
'20102013 STH Efficacy'!$CD:$CD, 
'20102013 STH Efficacy'!$BS:$BS, $A55, 
'20102013 STH Efficacy'!$BT:$BT, "Albendazole &amp; Ivermectin",
'20102013 STH Efficacy'!$BZ:$BZ,"&lt;2011",
'20102013 STH Efficacy'!$CU:$CU,""),
"")</f>
        <v/>
      </c>
      <c r="BK55" s="136">
        <f t="shared" si="23"/>
        <v>1</v>
      </c>
      <c r="BL55" s="137"/>
      <c r="BM55" s="137"/>
      <c r="BN55" s="138">
        <v>0.0</v>
      </c>
      <c r="BO55" s="139">
        <v>0.0</v>
      </c>
      <c r="BP55" s="140">
        <v>0.0</v>
      </c>
      <c r="BQ55" s="141">
        <f t="shared" si="24"/>
        <v>0</v>
      </c>
      <c r="BR55" s="104" t="str">
        <f t="shared" si="25"/>
        <v>0000</v>
      </c>
      <c r="BS55" s="104" t="str">
        <f t="shared" si="26"/>
        <v>no action required</v>
      </c>
      <c r="BT55" s="142" t="str">
        <f t="shared" si="27"/>
        <v/>
      </c>
      <c r="BU55" s="104" t="str">
        <f t="shared" si="28"/>
        <v/>
      </c>
      <c r="BV55" s="104" t="str">
        <f t="shared" si="29"/>
        <v>none</v>
      </c>
      <c r="BW55" s="150" t="str">
        <f t="shared" si="30"/>
        <v/>
      </c>
      <c r="BX55" s="150" t="str">
        <f t="shared" si="31"/>
        <v/>
      </c>
      <c r="BY55" s="151" t="str">
        <f t="shared" si="32"/>
        <v/>
      </c>
      <c r="BZ55" s="152" t="str">
        <f t="shared" si="33"/>
        <v/>
      </c>
      <c r="CA55" s="152" t="str">
        <f t="shared" si="34"/>
        <v/>
      </c>
      <c r="CB55" s="152" t="str">
        <f t="shared" si="35"/>
        <v/>
      </c>
      <c r="CC55" s="153" t="str">
        <f t="shared" si="36"/>
        <v/>
      </c>
      <c r="CD55" s="153" t="str">
        <f t="shared" si="37"/>
        <v/>
      </c>
      <c r="CE55" s="154" t="str">
        <f t="shared" si="38"/>
        <v/>
      </c>
      <c r="CF55" s="154" t="str">
        <f t="shared" si="39"/>
        <v/>
      </c>
      <c r="CG55" s="154" t="str">
        <f t="shared" si="40"/>
        <v/>
      </c>
    </row>
    <row r="56">
      <c r="A56" s="103" t="s">
        <v>145</v>
      </c>
      <c r="B56" s="104" t="s">
        <v>98</v>
      </c>
      <c r="C56" s="105">
        <v>1.1333051E7</v>
      </c>
      <c r="D56" s="106">
        <v>0.0</v>
      </c>
      <c r="E56" s="107">
        <v>0.0</v>
      </c>
      <c r="F56" s="108">
        <v>3.514636813</v>
      </c>
      <c r="G56" s="108">
        <v>20.80619104</v>
      </c>
      <c r="H56" s="108">
        <v>24.32082786</v>
      </c>
      <c r="I56" s="109">
        <v>173.841354</v>
      </c>
      <c r="J56" s="110">
        <v>732.258496</v>
      </c>
      <c r="K56" s="109">
        <v>906.0998497</v>
      </c>
      <c r="L56" s="112">
        <v>130.6142465</v>
      </c>
      <c r="M56" s="112">
        <v>484.7415684</v>
      </c>
      <c r="N56" s="112">
        <v>615.3558149</v>
      </c>
      <c r="O56" s="113"/>
      <c r="P56" s="114"/>
      <c r="Q56" s="114"/>
      <c r="R56" s="115" t="str">
        <f t="shared" si="8"/>
        <v/>
      </c>
      <c r="S56" s="116">
        <f t="shared" si="9"/>
        <v>0.14553293</v>
      </c>
      <c r="T56" s="117"/>
      <c r="U56" s="118">
        <f t="shared" si="41"/>
        <v>0.39435</v>
      </c>
      <c r="V56" s="148"/>
      <c r="W56" s="120">
        <f t="shared" si="10"/>
        <v>0.3616</v>
      </c>
      <c r="X56" s="148"/>
      <c r="Y56" s="120">
        <f t="shared" si="11"/>
        <v>0.5015615385</v>
      </c>
      <c r="Z56" s="121"/>
      <c r="AA56" s="121"/>
      <c r="AB56" s="121"/>
      <c r="AC56" s="121"/>
      <c r="AD56" s="122">
        <v>0.0</v>
      </c>
      <c r="AE56" s="123">
        <v>0.0</v>
      </c>
      <c r="AF56" s="123">
        <v>0.0</v>
      </c>
      <c r="AG56" s="167">
        <v>0.0</v>
      </c>
      <c r="AH56" s="124">
        <v>0.072027081</v>
      </c>
      <c r="AI56" s="125">
        <v>0.077</v>
      </c>
      <c r="AJ56" s="125">
        <v>0.122832392</v>
      </c>
      <c r="AK56" s="127">
        <v>0.11</v>
      </c>
      <c r="AL56" s="127">
        <v>0.166555088</v>
      </c>
      <c r="AM56" s="128"/>
      <c r="AN56" s="149" t="str">
        <f>IFERROR(
  AVERAGEIFS(
    'New 20102013 LF Efficacy'!$J:$J,
    'New 20102013 LF Efficacy'!$D:$D, $A56,
    'New 20102013 LF Efficacy'!$F:$F,"DEC", 
    'New 20102013 LF Efficacy'!$W:$W,"&lt;2011",
    'New 20102013 LF Efficacy'!$AA:$AA,""),
  ""
)</f>
        <v/>
      </c>
      <c r="AO56" s="115">
        <f t="shared" si="12"/>
        <v>0.2589833333</v>
      </c>
      <c r="AP56" s="121" t="str">
        <f>IFERROR(
AVERAGEIFS(
'New 20102013 LF Efficacy'!$J:$J,
'New 20102013 LF Efficacy'!$D:$D,$A56,
'New 20102013 LF Efficacy'!$F:$F,"Albendazole &amp; DEC",
'New 20102013 LF Efficacy'!$W:$W,"&lt;2011",
'New 20102013 LF Efficacy'!$AA:$AA,""),
"")
</f>
        <v/>
      </c>
      <c r="AQ56" s="115">
        <f t="shared" si="13"/>
        <v>0.3465</v>
      </c>
      <c r="AR56" s="121" t="str">
        <f>IFERROR(
AVERAGEIFS(
'New 20102013 LF Efficacy'!$J:$J,
'New 20102013 LF Efficacy'!$D:$D,$A56,
'New 20102013 LF Efficacy'!$F:$F,"Albendazole &amp; Ivermectin", 
'New 20102013 LF Efficacy'!$W:$W,"&lt;2011",
'New 20102013 LF Efficacy'!$AA:$AA,""),"")</f>
        <v/>
      </c>
      <c r="AS56" s="115">
        <f t="shared" si="14"/>
        <v>0.7575</v>
      </c>
      <c r="AT56" s="130" t="str">
        <f>IFERROR(AVERAGEIFS(
'20102013 Schist Efficacy'!$O:$O, 
'20102013 Schist Efficacy'!$C:$C,$A56, 
'20102013 Schist Efficacy'!$D:$D, "Praziquantel",
'20102013 Schist Efficacy'!$J:$J,"&lt;2011",
'20102013 Schist Efficacy'!$U:$U,""),
"")</f>
        <v/>
      </c>
      <c r="AU56" s="118">
        <f t="shared" si="15"/>
        <v>0.7732631579</v>
      </c>
      <c r="AV56" s="131" t="str">
        <f>IFERROR(AVERAGEIFS(
'20102013 STH Efficacy'!$AX:$AX, 
'20102013 STH Efficacy'!$AL:$AL, $A56, 
'20102013 STH Efficacy'!$AM:$AM, "Albendazole",
'20102013 STH Efficacy'!$AS:$AS,"&lt;2011",
'20102013 STH Efficacy'!$BP:$BP,""),
"")</f>
        <v/>
      </c>
      <c r="AW56" s="132">
        <f t="shared" si="16"/>
        <v>0.3945</v>
      </c>
      <c r="AX56" s="131" t="str">
        <f>IFERROR(AVERAGEIFS(
'20102013 STH Efficacy'!$AX:$AX, 
'20102013 STH Efficacy'!$AL:$AL, $A56, 
'20102013 STH Efficacy'!$AM:$AM, "Mebendazole",
'20102013 STH Efficacy'!$AS:$AS,"&lt;2011",
'20102013 STH Efficacy'!$BP:$BP,""),
"")</f>
        <v/>
      </c>
      <c r="AY56" s="132">
        <f t="shared" si="17"/>
        <v>0.6</v>
      </c>
      <c r="AZ56" s="131" t="str">
        <f>IFERROR(AVERAGEIFS(
'20102013 STH Efficacy'!$AX:$AX, 
'20102013 STH Efficacy'!$AL:$AL, $A56, 
'20102013 STH Efficacy'!$AM:$AM, "Albendazole &amp; Ivermectin",
'20102013 STH Efficacy'!$AS:$AS,"&lt;2011",
'20102013 STH Efficacy'!$BP:$BP,""),
"")</f>
        <v/>
      </c>
      <c r="BA56" s="133">
        <f t="shared" si="18"/>
        <v>0.796</v>
      </c>
      <c r="BB56" s="134" t="str">
        <f>IFERROR(AVERAGEIFS(
'20102013 STH Efficacy'!$N:$N, 
'20102013 STH Efficacy'!$B:$B, $A56, 
'20102013 STH Efficacy'!$C:$C, "Albendazole",
'20102013 STH Efficacy'!$I:$I,"&lt;2011",
'20102013 STH Efficacy'!$AH:$AH,""),
"")</f>
        <v/>
      </c>
      <c r="BC56" s="135">
        <f t="shared" si="19"/>
        <v>0.869</v>
      </c>
      <c r="BD56" s="134" t="str">
        <f>IFERROR(AVERAGEIFS(
'20102013 STH Efficacy'!$N:$N, 
'20102013 STH Efficacy'!$B:$B, $A56, 
'20102013 STH Efficacy'!$C:$C, "Mebendazole",
'20102013 STH Efficacy'!$I:$I,"&lt;2011",
'20102013 STH Efficacy'!$AH:$AH,""),
"")</f>
        <v/>
      </c>
      <c r="BE56" s="135">
        <f t="shared" si="20"/>
        <v>0.172</v>
      </c>
      <c r="BF56" s="128" t="str">
        <f>IFERROR(AVERAGEIFS(
'20102013 STH Efficacy'!$CD:$CD, 
'20102013 STH Efficacy'!$BS:$BS, $A56, 
'20102013 STH Efficacy'!$BT:$BT, "Albendazole",
'20102013 STH Efficacy'!$BZ:$BZ,"&lt;2011",
'20102013 STH Efficacy'!$CU:$CU,""),
"")</f>
        <v/>
      </c>
      <c r="BG56" s="136">
        <f t="shared" si="21"/>
        <v>0.9862</v>
      </c>
      <c r="BH56" s="128">
        <f>IFERROR(AVERAGEIFS(
'20102013 STH Efficacy'!$CD:$CD, 
'20102013 STH Efficacy'!$BS:$BS, $A56, 
'20102013 STH Efficacy'!$BT:$BT, "Mebendazole",
'20102013 STH Efficacy'!$BZ:$BZ,"&lt;2011",
'20102013 STH Efficacy'!$CU:$CU,""),
"")</f>
        <v>0.769</v>
      </c>
      <c r="BI56" s="136">
        <f t="shared" si="22"/>
        <v>0.769</v>
      </c>
      <c r="BJ56" s="128" t="str">
        <f>IFERROR(AVERAGEIFS(
'20102013 STH Efficacy'!$CD:$CD, 
'20102013 STH Efficacy'!$BS:$BS, $A56, 
'20102013 STH Efficacy'!$BT:$BT, "Albendazole &amp; Ivermectin",
'20102013 STH Efficacy'!$BZ:$BZ,"&lt;2011",
'20102013 STH Efficacy'!$CU:$CU,""),
"")</f>
        <v/>
      </c>
      <c r="BK56" s="136">
        <f t="shared" si="23"/>
        <v>1</v>
      </c>
      <c r="BL56" s="137"/>
      <c r="BM56" s="137"/>
      <c r="BN56" s="138">
        <v>0.0</v>
      </c>
      <c r="BO56" s="139">
        <v>0.0</v>
      </c>
      <c r="BP56" s="140">
        <v>0.0</v>
      </c>
      <c r="BQ56" s="141">
        <f t="shared" si="24"/>
        <v>0</v>
      </c>
      <c r="BR56" s="104" t="str">
        <f t="shared" si="25"/>
        <v>0000</v>
      </c>
      <c r="BS56" s="104" t="str">
        <f t="shared" si="26"/>
        <v>no action required</v>
      </c>
      <c r="BT56" s="142" t="str">
        <f t="shared" si="27"/>
        <v/>
      </c>
      <c r="BU56" s="104" t="str">
        <f t="shared" si="28"/>
        <v/>
      </c>
      <c r="BV56" s="104" t="str">
        <f t="shared" si="29"/>
        <v>none</v>
      </c>
      <c r="BW56" s="150" t="str">
        <f t="shared" si="30"/>
        <v/>
      </c>
      <c r="BX56" s="150" t="str">
        <f t="shared" si="31"/>
        <v/>
      </c>
      <c r="BY56" s="151" t="str">
        <f t="shared" si="32"/>
        <v/>
      </c>
      <c r="BZ56" s="152" t="str">
        <f t="shared" si="33"/>
        <v/>
      </c>
      <c r="CA56" s="152" t="str">
        <f t="shared" si="34"/>
        <v/>
      </c>
      <c r="CB56" s="152" t="str">
        <f t="shared" si="35"/>
        <v/>
      </c>
      <c r="CC56" s="153" t="str">
        <f t="shared" si="36"/>
        <v/>
      </c>
      <c r="CD56" s="153" t="str">
        <f t="shared" si="37"/>
        <v/>
      </c>
      <c r="CE56" s="154" t="str">
        <f t="shared" si="38"/>
        <v/>
      </c>
      <c r="CF56" s="154" t="str">
        <f t="shared" si="39"/>
        <v/>
      </c>
      <c r="CG56" s="154" t="str">
        <f t="shared" si="40"/>
        <v/>
      </c>
    </row>
    <row r="57">
      <c r="A57" s="175" t="s">
        <v>146</v>
      </c>
      <c r="B57" s="104" t="s">
        <v>98</v>
      </c>
      <c r="C57" s="105">
        <v>148703.0</v>
      </c>
      <c r="D57" s="106">
        <v>0.0</v>
      </c>
      <c r="E57" s="107">
        <v>0.0</v>
      </c>
      <c r="F57" s="163"/>
      <c r="G57" s="163"/>
      <c r="H57" s="108">
        <v>0.0</v>
      </c>
      <c r="I57" s="109">
        <v>0.0</v>
      </c>
      <c r="J57" s="109">
        <v>0.0</v>
      </c>
      <c r="K57" s="109">
        <v>0.0</v>
      </c>
      <c r="L57" s="113"/>
      <c r="M57" s="113"/>
      <c r="N57" s="112">
        <v>0.0</v>
      </c>
      <c r="O57" s="113"/>
      <c r="P57" s="114"/>
      <c r="Q57" s="114"/>
      <c r="R57" s="115" t="str">
        <f t="shared" si="8"/>
        <v/>
      </c>
      <c r="S57" s="116">
        <f t="shared" si="9"/>
        <v>0.14553293</v>
      </c>
      <c r="T57" s="117"/>
      <c r="U57" s="118">
        <f t="shared" si="41"/>
        <v>0.39435</v>
      </c>
      <c r="V57" s="148"/>
      <c r="W57" s="120">
        <f t="shared" si="10"/>
        <v>0.3616</v>
      </c>
      <c r="X57" s="148"/>
      <c r="Y57" s="120">
        <f t="shared" si="11"/>
        <v>0.5015615385</v>
      </c>
      <c r="Z57" s="114"/>
      <c r="AA57" s="114"/>
      <c r="AB57" s="114"/>
      <c r="AC57" s="114"/>
      <c r="AD57" s="164">
        <v>0.0</v>
      </c>
      <c r="AE57" s="165">
        <v>0.0</v>
      </c>
      <c r="AF57" s="166">
        <v>0.0</v>
      </c>
      <c r="AG57" s="167">
        <v>0.0</v>
      </c>
      <c r="AH57" s="172">
        <v>0.0</v>
      </c>
      <c r="AI57" s="168">
        <v>0.0</v>
      </c>
      <c r="AJ57" s="173">
        <v>0.0</v>
      </c>
      <c r="AK57" s="126">
        <v>0.0</v>
      </c>
      <c r="AL57" s="169">
        <v>0.0</v>
      </c>
      <c r="AM57" s="128"/>
      <c r="AN57" s="149" t="str">
        <f>IFERROR(
  AVERAGEIFS(
    'New 20102013 LF Efficacy'!$J:$J,
    'New 20102013 LF Efficacy'!$D:$D, $A57,
    'New 20102013 LF Efficacy'!$F:$F,"DEC", 
    'New 20102013 LF Efficacy'!$W:$W,"&lt;2011",
    'New 20102013 LF Efficacy'!$AA:$AA,""),
  ""
)</f>
        <v/>
      </c>
      <c r="AO57" s="115">
        <f t="shared" si="12"/>
        <v>0.2589833333</v>
      </c>
      <c r="AP57" s="121" t="str">
        <f>IFERROR(
AVERAGEIFS(
'New 20102013 LF Efficacy'!$J:$J,
'New 20102013 LF Efficacy'!$D:$D,$A57,
'New 20102013 LF Efficacy'!$F:$F,"Albendazole &amp; DEC",
'New 20102013 LF Efficacy'!$W:$W,"&lt;2011",
'New 20102013 LF Efficacy'!$AA:$AA,""),
"")
</f>
        <v/>
      </c>
      <c r="AQ57" s="115">
        <f t="shared" si="13"/>
        <v>0.3465</v>
      </c>
      <c r="AR57" s="121" t="str">
        <f>IFERROR(
AVERAGEIFS(
'New 20102013 LF Efficacy'!$J:$J,
'New 20102013 LF Efficacy'!$D:$D,$A57,
'New 20102013 LF Efficacy'!$F:$F,"Albendazole &amp; Ivermectin", 
'New 20102013 LF Efficacy'!$W:$W,"&lt;2011",
'New 20102013 LF Efficacy'!$AA:$AA,""),"")</f>
        <v/>
      </c>
      <c r="AS57" s="115">
        <f t="shared" si="14"/>
        <v>0.7575</v>
      </c>
      <c r="AT57" s="130" t="str">
        <f>IFERROR(AVERAGEIFS(
'20102013 Schist Efficacy'!$O:$O, 
'20102013 Schist Efficacy'!$C:$C,$A57, 
'20102013 Schist Efficacy'!$D:$D, "Praziquantel",
'20102013 Schist Efficacy'!$J:$J,"&lt;2011",
'20102013 Schist Efficacy'!$U:$U,""),
"")</f>
        <v/>
      </c>
      <c r="AU57" s="118">
        <f t="shared" si="15"/>
        <v>0.7732631579</v>
      </c>
      <c r="AV57" s="131" t="str">
        <f>IFERROR(AVERAGEIFS(
'20102013 STH Efficacy'!$AX:$AX, 
'20102013 STH Efficacy'!$AL:$AL, $A57, 
'20102013 STH Efficacy'!$AM:$AM, "Albendazole",
'20102013 STH Efficacy'!$AS:$AS,"&lt;2011",
'20102013 STH Efficacy'!$BP:$BP,""),
"")</f>
        <v/>
      </c>
      <c r="AW57" s="132">
        <f t="shared" si="16"/>
        <v>0.3945</v>
      </c>
      <c r="AX57" s="131" t="str">
        <f>IFERROR(AVERAGEIFS(
'20102013 STH Efficacy'!$AX:$AX, 
'20102013 STH Efficacy'!$AL:$AL, $A57, 
'20102013 STH Efficacy'!$AM:$AM, "Mebendazole",
'20102013 STH Efficacy'!$AS:$AS,"&lt;2011",
'20102013 STH Efficacy'!$BP:$BP,""),
"")</f>
        <v/>
      </c>
      <c r="AY57" s="132">
        <f t="shared" si="17"/>
        <v>0.6</v>
      </c>
      <c r="AZ57" s="131" t="str">
        <f>IFERROR(AVERAGEIFS(
'20102013 STH Efficacy'!$AX:$AX, 
'20102013 STH Efficacy'!$AL:$AL, $A57, 
'20102013 STH Efficacy'!$AM:$AM, "Albendazole &amp; Ivermectin",
'20102013 STH Efficacy'!$AS:$AS,"&lt;2011",
'20102013 STH Efficacy'!$BP:$BP,""),
"")</f>
        <v/>
      </c>
      <c r="BA57" s="133">
        <f t="shared" si="18"/>
        <v>0.796</v>
      </c>
      <c r="BB57" s="134" t="str">
        <f>IFERROR(AVERAGEIFS(
'20102013 STH Efficacy'!$N:$N, 
'20102013 STH Efficacy'!$B:$B, $A57, 
'20102013 STH Efficacy'!$C:$C, "Albendazole",
'20102013 STH Efficacy'!$I:$I,"&lt;2011",
'20102013 STH Efficacy'!$AH:$AH,""),
"")</f>
        <v/>
      </c>
      <c r="BC57" s="135">
        <f t="shared" si="19"/>
        <v>0.869</v>
      </c>
      <c r="BD57" s="134" t="str">
        <f>IFERROR(AVERAGEIFS(
'20102013 STH Efficacy'!$N:$N, 
'20102013 STH Efficacy'!$B:$B, $A57, 
'20102013 STH Efficacy'!$C:$C, "Mebendazole",
'20102013 STH Efficacy'!$I:$I,"&lt;2011",
'20102013 STH Efficacy'!$AH:$AH,""),
"")</f>
        <v/>
      </c>
      <c r="BE57" s="135">
        <f t="shared" si="20"/>
        <v>0.172</v>
      </c>
      <c r="BF57" s="128" t="str">
        <f>IFERROR(AVERAGEIFS(
'20102013 STH Efficacy'!$CD:$CD, 
'20102013 STH Efficacy'!$BS:$BS, $A57, 
'20102013 STH Efficacy'!$BT:$BT, "Albendazole",
'20102013 STH Efficacy'!$BZ:$BZ,"&lt;2011",
'20102013 STH Efficacy'!$CU:$CU,""),
"")</f>
        <v/>
      </c>
      <c r="BG57" s="136">
        <f t="shared" si="21"/>
        <v>0.9862</v>
      </c>
      <c r="BH57" s="128" t="str">
        <f>IFERROR(AVERAGEIFS(
'20102013 STH Efficacy'!$CD:$CD, 
'20102013 STH Efficacy'!$BS:$BS, $A57, 
'20102013 STH Efficacy'!$BT:$BT, "Mebendazole",
'20102013 STH Efficacy'!$BZ:$BZ,"&lt;2011",
'20102013 STH Efficacy'!$CU:$CU,""),
"")</f>
        <v/>
      </c>
      <c r="BI57" s="136">
        <f t="shared" si="22"/>
        <v>0.769</v>
      </c>
      <c r="BJ57" s="128" t="str">
        <f>IFERROR(AVERAGEIFS(
'20102013 STH Efficacy'!$CD:$CD, 
'20102013 STH Efficacy'!$BS:$BS, $A57, 
'20102013 STH Efficacy'!$BT:$BT, "Albendazole &amp; Ivermectin",
'20102013 STH Efficacy'!$BZ:$BZ,"&lt;2011",
'20102013 STH Efficacy'!$CU:$CU,""),
"")</f>
        <v/>
      </c>
      <c r="BK57" s="136">
        <f t="shared" si="23"/>
        <v>1</v>
      </c>
      <c r="BL57" s="137"/>
      <c r="BM57" s="137"/>
      <c r="BN57" s="138">
        <v>0.0</v>
      </c>
      <c r="BO57" s="139">
        <v>0.0</v>
      </c>
      <c r="BP57" s="140">
        <v>0.0</v>
      </c>
      <c r="BQ57" s="141">
        <f t="shared" si="24"/>
        <v>0</v>
      </c>
      <c r="BR57" s="104" t="str">
        <f t="shared" si="25"/>
        <v>0000</v>
      </c>
      <c r="BS57" s="104" t="str">
        <f t="shared" si="26"/>
        <v>no action required</v>
      </c>
      <c r="BT57" s="142" t="str">
        <f t="shared" si="27"/>
        <v/>
      </c>
      <c r="BU57" s="104" t="str">
        <f t="shared" si="28"/>
        <v/>
      </c>
      <c r="BV57" s="104" t="str">
        <f t="shared" si="29"/>
        <v>none</v>
      </c>
      <c r="BW57" s="150" t="str">
        <f t="shared" si="30"/>
        <v/>
      </c>
      <c r="BX57" s="150" t="str">
        <f t="shared" si="31"/>
        <v/>
      </c>
      <c r="BY57" s="151" t="str">
        <f t="shared" si="32"/>
        <v/>
      </c>
      <c r="BZ57" s="152" t="str">
        <f t="shared" si="33"/>
        <v/>
      </c>
      <c r="CA57" s="152" t="str">
        <f t="shared" si="34"/>
        <v/>
      </c>
      <c r="CB57" s="152" t="str">
        <f t="shared" si="35"/>
        <v/>
      </c>
      <c r="CC57" s="153" t="str">
        <f t="shared" si="36"/>
        <v/>
      </c>
      <c r="CD57" s="153" t="str">
        <f t="shared" si="37"/>
        <v/>
      </c>
      <c r="CE57" s="154" t="str">
        <f t="shared" si="38"/>
        <v/>
      </c>
      <c r="CF57" s="154" t="str">
        <f t="shared" si="39"/>
        <v/>
      </c>
      <c r="CG57" s="154" t="str">
        <f t="shared" si="40"/>
        <v/>
      </c>
    </row>
    <row r="58">
      <c r="A58" s="103" t="s">
        <v>147</v>
      </c>
      <c r="B58" s="104" t="s">
        <v>90</v>
      </c>
      <c r="C58" s="105">
        <v>1112607.0</v>
      </c>
      <c r="D58" s="106">
        <v>0.0</v>
      </c>
      <c r="E58" s="107">
        <v>0.0</v>
      </c>
      <c r="F58" s="108">
        <v>0.0</v>
      </c>
      <c r="G58" s="108">
        <v>0.0</v>
      </c>
      <c r="H58" s="157">
        <v>0.0</v>
      </c>
      <c r="I58" s="110">
        <v>0.0</v>
      </c>
      <c r="J58" s="110">
        <v>0.0</v>
      </c>
      <c r="K58" s="109">
        <v>0.0</v>
      </c>
      <c r="L58" s="112">
        <v>0.0</v>
      </c>
      <c r="M58" s="112">
        <v>0.0</v>
      </c>
      <c r="N58" s="112">
        <v>0.0</v>
      </c>
      <c r="O58" s="113"/>
      <c r="P58" s="114"/>
      <c r="Q58" s="114"/>
      <c r="R58" s="115" t="str">
        <f t="shared" si="8"/>
        <v/>
      </c>
      <c r="S58" s="116">
        <f t="shared" si="9"/>
        <v>0.4013436246</v>
      </c>
      <c r="T58" s="117"/>
      <c r="U58" s="118">
        <f t="shared" si="41"/>
        <v>0.3468166667</v>
      </c>
      <c r="V58" s="148"/>
      <c r="W58" s="120">
        <f t="shared" si="10"/>
        <v>1</v>
      </c>
      <c r="X58" s="148"/>
      <c r="Y58" s="120">
        <f t="shared" si="11"/>
        <v>0.71735</v>
      </c>
      <c r="Z58" s="121"/>
      <c r="AA58" s="121"/>
      <c r="AB58" s="121"/>
      <c r="AC58" s="121"/>
      <c r="AD58" s="122">
        <v>0.0</v>
      </c>
      <c r="AE58" s="123">
        <v>0.0</v>
      </c>
      <c r="AF58" s="123">
        <v>0.0</v>
      </c>
      <c r="AG58" s="124">
        <v>0.0</v>
      </c>
      <c r="AH58" s="124">
        <v>0.0</v>
      </c>
      <c r="AI58" s="125">
        <v>0.0</v>
      </c>
      <c r="AJ58" s="125">
        <v>0.0</v>
      </c>
      <c r="AK58" s="127">
        <v>0.0</v>
      </c>
      <c r="AL58" s="127">
        <v>0.0</v>
      </c>
      <c r="AM58" s="128"/>
      <c r="AN58" s="149" t="str">
        <f>IFERROR(
  AVERAGEIFS(
    'New 20102013 LF Efficacy'!$J:$J,
    'New 20102013 LF Efficacy'!$D:$D, $A58,
    'New 20102013 LF Efficacy'!$F:$F,"DEC", 
    'New 20102013 LF Efficacy'!$W:$W,"&lt;2011",
    'New 20102013 LF Efficacy'!$AA:$AA,""),
  ""
)</f>
        <v/>
      </c>
      <c r="AO58" s="115">
        <f t="shared" si="12"/>
        <v>0.3573520833</v>
      </c>
      <c r="AP58" s="121" t="str">
        <f>IFERROR(
AVERAGEIFS(
'New 20102013 LF Efficacy'!$J:$J,
'New 20102013 LF Efficacy'!$D:$D,$A58,
'New 20102013 LF Efficacy'!$F:$F,"Albendazole &amp; DEC",
'New 20102013 LF Efficacy'!$W:$W,"&lt;2011",
'New 20102013 LF Efficacy'!$AA:$AA,""),
"")
</f>
        <v/>
      </c>
      <c r="AQ58" s="115">
        <f t="shared" si="13"/>
        <v>0.5137291667</v>
      </c>
      <c r="AR58" s="121" t="str">
        <f>IFERROR(
AVERAGEIFS(
'New 20102013 LF Efficacy'!$J:$J,
'New 20102013 LF Efficacy'!$D:$D,$A58,
'New 20102013 LF Efficacy'!$F:$F,"Albendazole &amp; Ivermectin", 
'New 20102013 LF Efficacy'!$W:$W,"&lt;2011",
'New 20102013 LF Efficacy'!$AA:$AA,""),"")</f>
        <v/>
      </c>
      <c r="AS58" s="115">
        <f t="shared" si="14"/>
        <v>0.37153125</v>
      </c>
      <c r="AT58" s="130" t="str">
        <f>IFERROR(AVERAGEIFS(
'20102013 Schist Efficacy'!$O:$O, 
'20102013 Schist Efficacy'!$C:$C,$A58, 
'20102013 Schist Efficacy'!$D:$D, "Praziquantel",
'20102013 Schist Efficacy'!$J:$J,"&lt;2011",
'20102013 Schist Efficacy'!$U:$U,""),
"")</f>
        <v/>
      </c>
      <c r="AU58" s="118">
        <f t="shared" si="15"/>
        <v>0.655</v>
      </c>
      <c r="AV58" s="131" t="str">
        <f>IFERROR(AVERAGEIFS(
'20102013 STH Efficacy'!$AX:$AX, 
'20102013 STH Efficacy'!$AL:$AL, $A58, 
'20102013 STH Efficacy'!$AM:$AM, "Albendazole",
'20102013 STH Efficacy'!$AS:$AS,"&lt;2011",
'20102013 STH Efficacy'!$BP:$BP,""),
"")</f>
        <v/>
      </c>
      <c r="AW58" s="132">
        <f t="shared" si="16"/>
        <v>0.3842878788</v>
      </c>
      <c r="AX58" s="131" t="str">
        <f>IFERROR(AVERAGEIFS(
'20102013 STH Efficacy'!$AX:$AX, 
'20102013 STH Efficacy'!$AL:$AL, $A58, 
'20102013 STH Efficacy'!$AM:$AM, "Mebendazole",
'20102013 STH Efficacy'!$AS:$AS,"&lt;2011",
'20102013 STH Efficacy'!$BP:$BP,""),
"")</f>
        <v/>
      </c>
      <c r="AY58" s="132">
        <f t="shared" si="17"/>
        <v>0.5121666667</v>
      </c>
      <c r="AZ58" s="131" t="str">
        <f>IFERROR(AVERAGEIFS(
'20102013 STH Efficacy'!$AX:$AX, 
'20102013 STH Efficacy'!$AL:$AL, $A58, 
'20102013 STH Efficacy'!$AM:$AM, "Albendazole &amp; Ivermectin",
'20102013 STH Efficacy'!$AS:$AS,"&lt;2011",
'20102013 STH Efficacy'!$BP:$BP,""),
"")</f>
        <v/>
      </c>
      <c r="BA58" s="133">
        <f t="shared" si="18"/>
        <v>0.7176666667</v>
      </c>
      <c r="BB58" s="134" t="str">
        <f>IFERROR(AVERAGEIFS(
'20102013 STH Efficacy'!$N:$N, 
'20102013 STH Efficacy'!$B:$B, $A58, 
'20102013 STH Efficacy'!$C:$C, "Albendazole",
'20102013 STH Efficacy'!$I:$I,"&lt;2011",
'20102013 STH Efficacy'!$AH:$AH,""),
"")</f>
        <v/>
      </c>
      <c r="BC58" s="135">
        <f t="shared" si="19"/>
        <v>0.7630416667</v>
      </c>
      <c r="BD58" s="134" t="str">
        <f>IFERROR(AVERAGEIFS(
'20102013 STH Efficacy'!$N:$N, 
'20102013 STH Efficacy'!$B:$B, $A58, 
'20102013 STH Efficacy'!$C:$C, "Mebendazole",
'20102013 STH Efficacy'!$I:$I,"&lt;2011",
'20102013 STH Efficacy'!$AH:$AH,""),
"")</f>
        <v/>
      </c>
      <c r="BE58" s="135">
        <f t="shared" si="20"/>
        <v>0.4405966667</v>
      </c>
      <c r="BF58" s="128" t="str">
        <f>IFERROR(AVERAGEIFS(
'20102013 STH Efficacy'!$CD:$CD, 
'20102013 STH Efficacy'!$BS:$BS, $A58, 
'20102013 STH Efficacy'!$BT:$BT, "Albendazole",
'20102013 STH Efficacy'!$BZ:$BZ,"&lt;2011",
'20102013 STH Efficacy'!$CU:$CU,""),
"")</f>
        <v/>
      </c>
      <c r="BG58" s="136">
        <f t="shared" si="21"/>
        <v>0.9403222222</v>
      </c>
      <c r="BH58" s="128" t="str">
        <f>IFERROR(AVERAGEIFS(
'20102013 STH Efficacy'!$CD:$CD, 
'20102013 STH Efficacy'!$BS:$BS, $A58, 
'20102013 STH Efficacy'!$BT:$BT, "Mebendazole",
'20102013 STH Efficacy'!$BZ:$BZ,"&lt;2011",
'20102013 STH Efficacy'!$CU:$CU,""),
"")</f>
        <v/>
      </c>
      <c r="BI58" s="136">
        <f t="shared" si="22"/>
        <v>0.9229285714</v>
      </c>
      <c r="BJ58" s="128" t="str">
        <f>IFERROR(AVERAGEIFS(
'20102013 STH Efficacy'!$CD:$CD, 
'20102013 STH Efficacy'!$BS:$BS, $A58, 
'20102013 STH Efficacy'!$BT:$BT, "Albendazole &amp; Ivermectin",
'20102013 STH Efficacy'!$BZ:$BZ,"&lt;2011",
'20102013 STH Efficacy'!$CU:$CU,""),
"")</f>
        <v/>
      </c>
      <c r="BK58" s="136">
        <f t="shared" si="23"/>
        <v>1</v>
      </c>
      <c r="BL58" s="137"/>
      <c r="BM58" s="137"/>
      <c r="BN58" s="138">
        <v>0.0</v>
      </c>
      <c r="BO58" s="139">
        <v>0.0</v>
      </c>
      <c r="BP58" s="140">
        <v>0.0</v>
      </c>
      <c r="BQ58" s="141">
        <f t="shared" si="24"/>
        <v>0</v>
      </c>
      <c r="BR58" s="104" t="str">
        <f t="shared" si="25"/>
        <v>0000</v>
      </c>
      <c r="BS58" s="104" t="str">
        <f t="shared" si="26"/>
        <v>no action required</v>
      </c>
      <c r="BT58" s="142" t="str">
        <f t="shared" si="27"/>
        <v/>
      </c>
      <c r="BU58" s="104" t="str">
        <f t="shared" si="28"/>
        <v/>
      </c>
      <c r="BV58" s="104" t="str">
        <f t="shared" si="29"/>
        <v>none</v>
      </c>
      <c r="BW58" s="150" t="str">
        <f t="shared" si="30"/>
        <v/>
      </c>
      <c r="BX58" s="150" t="str">
        <f t="shared" si="31"/>
        <v/>
      </c>
      <c r="BY58" s="151" t="str">
        <f t="shared" si="32"/>
        <v/>
      </c>
      <c r="BZ58" s="152" t="str">
        <f t="shared" si="33"/>
        <v/>
      </c>
      <c r="CA58" s="152" t="str">
        <f t="shared" si="34"/>
        <v/>
      </c>
      <c r="CB58" s="152" t="str">
        <f t="shared" si="35"/>
        <v/>
      </c>
      <c r="CC58" s="153" t="str">
        <f t="shared" si="36"/>
        <v/>
      </c>
      <c r="CD58" s="153" t="str">
        <f t="shared" si="37"/>
        <v/>
      </c>
      <c r="CE58" s="154" t="str">
        <f t="shared" si="38"/>
        <v/>
      </c>
      <c r="CF58" s="154" t="str">
        <f t="shared" si="39"/>
        <v/>
      </c>
      <c r="CG58" s="154" t="str">
        <f t="shared" si="40"/>
        <v/>
      </c>
    </row>
    <row r="59">
      <c r="A59" s="103" t="s">
        <v>148</v>
      </c>
      <c r="B59" s="104" t="s">
        <v>90</v>
      </c>
      <c r="C59" s="105">
        <v>1.047441E7</v>
      </c>
      <c r="D59" s="106">
        <v>0.0</v>
      </c>
      <c r="E59" s="107">
        <v>0.0</v>
      </c>
      <c r="F59" s="108">
        <v>0.0</v>
      </c>
      <c r="G59" s="108">
        <v>0.0</v>
      </c>
      <c r="H59" s="108">
        <v>0.0</v>
      </c>
      <c r="I59" s="109">
        <v>0.0</v>
      </c>
      <c r="J59" s="109">
        <v>0.0</v>
      </c>
      <c r="K59" s="109">
        <v>0.0</v>
      </c>
      <c r="L59" s="112">
        <v>0.0</v>
      </c>
      <c r="M59" s="112">
        <v>0.0</v>
      </c>
      <c r="N59" s="112">
        <v>0.0</v>
      </c>
      <c r="O59" s="113"/>
      <c r="P59" s="114"/>
      <c r="Q59" s="114"/>
      <c r="R59" s="115" t="str">
        <f t="shared" si="8"/>
        <v/>
      </c>
      <c r="S59" s="116">
        <f t="shared" si="9"/>
        <v>0.4013436246</v>
      </c>
      <c r="T59" s="117"/>
      <c r="U59" s="118">
        <f t="shared" si="41"/>
        <v>0.3468166667</v>
      </c>
      <c r="V59" s="148"/>
      <c r="W59" s="120">
        <f t="shared" si="10"/>
        <v>1</v>
      </c>
      <c r="X59" s="148"/>
      <c r="Y59" s="120">
        <f t="shared" si="11"/>
        <v>0.71735</v>
      </c>
      <c r="Z59" s="121"/>
      <c r="AA59" s="121"/>
      <c r="AB59" s="121"/>
      <c r="AC59" s="121"/>
      <c r="AD59" s="122">
        <v>0.0</v>
      </c>
      <c r="AE59" s="123">
        <v>0.0</v>
      </c>
      <c r="AF59" s="123">
        <v>0.0</v>
      </c>
      <c r="AG59" s="124">
        <v>0.0</v>
      </c>
      <c r="AH59" s="124">
        <v>0.0</v>
      </c>
      <c r="AI59" s="125">
        <v>0.0</v>
      </c>
      <c r="AJ59" s="125">
        <v>0.0</v>
      </c>
      <c r="AK59" s="126">
        <v>0.0</v>
      </c>
      <c r="AL59" s="169">
        <v>0.0</v>
      </c>
      <c r="AM59" s="128"/>
      <c r="AN59" s="149" t="str">
        <f>IFERROR(
  AVERAGEIFS(
    'New 20102013 LF Efficacy'!$J:$J,
    'New 20102013 LF Efficacy'!$D:$D, $A59,
    'New 20102013 LF Efficacy'!$F:$F,"DEC", 
    'New 20102013 LF Efficacy'!$W:$W,"&lt;2011",
    'New 20102013 LF Efficacy'!$AA:$AA,""),
  ""
)</f>
        <v/>
      </c>
      <c r="AO59" s="115">
        <f t="shared" si="12"/>
        <v>0.3573520833</v>
      </c>
      <c r="AP59" s="121" t="str">
        <f>IFERROR(
AVERAGEIFS(
'New 20102013 LF Efficacy'!$J:$J,
'New 20102013 LF Efficacy'!$D:$D,$A59,
'New 20102013 LF Efficacy'!$F:$F,"Albendazole &amp; DEC",
'New 20102013 LF Efficacy'!$W:$W,"&lt;2011",
'New 20102013 LF Efficacy'!$AA:$AA,""),
"")
</f>
        <v/>
      </c>
      <c r="AQ59" s="115">
        <f t="shared" si="13"/>
        <v>0.5137291667</v>
      </c>
      <c r="AR59" s="121" t="str">
        <f>IFERROR(
AVERAGEIFS(
'New 20102013 LF Efficacy'!$J:$J,
'New 20102013 LF Efficacy'!$D:$D,$A59,
'New 20102013 LF Efficacy'!$F:$F,"Albendazole &amp; Ivermectin", 
'New 20102013 LF Efficacy'!$W:$W,"&lt;2011",
'New 20102013 LF Efficacy'!$AA:$AA,""),"")</f>
        <v/>
      </c>
      <c r="AS59" s="115">
        <f t="shared" si="14"/>
        <v>0.37153125</v>
      </c>
      <c r="AT59" s="130">
        <f>IFERROR(AVERAGEIFS(
'20102013 Schist Efficacy'!$O:$O, 
'20102013 Schist Efficacy'!$C:$C,$A59, 
'20102013 Schist Efficacy'!$D:$D, "Praziquantel",
'20102013 Schist Efficacy'!$J:$J,"&lt;2011",
'20102013 Schist Efficacy'!$U:$U,""),
"")</f>
        <v>0.655</v>
      </c>
      <c r="AU59" s="118">
        <f t="shared" si="15"/>
        <v>0.655</v>
      </c>
      <c r="AV59" s="131" t="str">
        <f>IFERROR(AVERAGEIFS(
'20102013 STH Efficacy'!$AX:$AX, 
'20102013 STH Efficacy'!$AL:$AL, $A59, 
'20102013 STH Efficacy'!$AM:$AM, "Albendazole",
'20102013 STH Efficacy'!$AS:$AS,"&lt;2011",
'20102013 STH Efficacy'!$BP:$BP,""),
"")</f>
        <v/>
      </c>
      <c r="AW59" s="132">
        <f t="shared" si="16"/>
        <v>0.3842878788</v>
      </c>
      <c r="AX59" s="131" t="str">
        <f>IFERROR(AVERAGEIFS(
'20102013 STH Efficacy'!$AX:$AX, 
'20102013 STH Efficacy'!$AL:$AL, $A59, 
'20102013 STH Efficacy'!$AM:$AM, "Mebendazole",
'20102013 STH Efficacy'!$AS:$AS,"&lt;2011",
'20102013 STH Efficacy'!$BP:$BP,""),
"")</f>
        <v/>
      </c>
      <c r="AY59" s="132">
        <f t="shared" si="17"/>
        <v>0.5121666667</v>
      </c>
      <c r="AZ59" s="131" t="str">
        <f>IFERROR(AVERAGEIFS(
'20102013 STH Efficacy'!$AX:$AX, 
'20102013 STH Efficacy'!$AL:$AL, $A59, 
'20102013 STH Efficacy'!$AM:$AM, "Albendazole &amp; Ivermectin",
'20102013 STH Efficacy'!$AS:$AS,"&lt;2011",
'20102013 STH Efficacy'!$BP:$BP,""),
"")</f>
        <v/>
      </c>
      <c r="BA59" s="133">
        <f t="shared" si="18"/>
        <v>0.7176666667</v>
      </c>
      <c r="BB59" s="134" t="str">
        <f>IFERROR(AVERAGEIFS(
'20102013 STH Efficacy'!$N:$N, 
'20102013 STH Efficacy'!$B:$B, $A59, 
'20102013 STH Efficacy'!$C:$C, "Albendazole",
'20102013 STH Efficacy'!$I:$I,"&lt;2011",
'20102013 STH Efficacy'!$AH:$AH,""),
"")</f>
        <v/>
      </c>
      <c r="BC59" s="135">
        <f t="shared" si="19"/>
        <v>0.7630416667</v>
      </c>
      <c r="BD59" s="134" t="str">
        <f>IFERROR(AVERAGEIFS(
'20102013 STH Efficacy'!$N:$N, 
'20102013 STH Efficacy'!$B:$B, $A59, 
'20102013 STH Efficacy'!$C:$C, "Mebendazole",
'20102013 STH Efficacy'!$I:$I,"&lt;2011",
'20102013 STH Efficacy'!$AH:$AH,""),
"")</f>
        <v/>
      </c>
      <c r="BE59" s="135">
        <f t="shared" si="20"/>
        <v>0.4405966667</v>
      </c>
      <c r="BF59" s="128" t="str">
        <f>IFERROR(AVERAGEIFS(
'20102013 STH Efficacy'!$CD:$CD, 
'20102013 STH Efficacy'!$BS:$BS, $A59, 
'20102013 STH Efficacy'!$BT:$BT, "Albendazole",
'20102013 STH Efficacy'!$BZ:$BZ,"&lt;2011",
'20102013 STH Efficacy'!$CU:$CU,""),
"")</f>
        <v/>
      </c>
      <c r="BG59" s="136">
        <f t="shared" si="21"/>
        <v>0.9403222222</v>
      </c>
      <c r="BH59" s="128" t="str">
        <f>IFERROR(AVERAGEIFS(
'20102013 STH Efficacy'!$CD:$CD, 
'20102013 STH Efficacy'!$BS:$BS, $A59, 
'20102013 STH Efficacy'!$BT:$BT, "Mebendazole",
'20102013 STH Efficacy'!$BZ:$BZ,"&lt;2011",
'20102013 STH Efficacy'!$CU:$CU,""),
"")</f>
        <v/>
      </c>
      <c r="BI59" s="136">
        <f t="shared" si="22"/>
        <v>0.9229285714</v>
      </c>
      <c r="BJ59" s="128" t="str">
        <f>IFERROR(AVERAGEIFS(
'20102013 STH Efficacy'!$CD:$CD, 
'20102013 STH Efficacy'!$BS:$BS, $A59, 
'20102013 STH Efficacy'!$BT:$BT, "Albendazole &amp; Ivermectin",
'20102013 STH Efficacy'!$BZ:$BZ,"&lt;2011",
'20102013 STH Efficacy'!$CU:$CU,""),
"")</f>
        <v/>
      </c>
      <c r="BK59" s="136">
        <f t="shared" si="23"/>
        <v>1</v>
      </c>
      <c r="BL59" s="137"/>
      <c r="BM59" s="137"/>
      <c r="BN59" s="138">
        <v>0.0</v>
      </c>
      <c r="BO59" s="139">
        <v>0.0</v>
      </c>
      <c r="BP59" s="140">
        <v>0.0</v>
      </c>
      <c r="BQ59" s="141">
        <f t="shared" si="24"/>
        <v>0</v>
      </c>
      <c r="BR59" s="104" t="str">
        <f t="shared" si="25"/>
        <v>0000</v>
      </c>
      <c r="BS59" s="104" t="str">
        <f t="shared" si="26"/>
        <v>no action required</v>
      </c>
      <c r="BT59" s="142" t="str">
        <f t="shared" si="27"/>
        <v/>
      </c>
      <c r="BU59" s="104" t="str">
        <f t="shared" si="28"/>
        <v/>
      </c>
      <c r="BV59" s="104" t="str">
        <f t="shared" si="29"/>
        <v>none</v>
      </c>
      <c r="BW59" s="150" t="str">
        <f t="shared" si="30"/>
        <v/>
      </c>
      <c r="BX59" s="150" t="str">
        <f t="shared" si="31"/>
        <v/>
      </c>
      <c r="BY59" s="151" t="str">
        <f t="shared" si="32"/>
        <v/>
      </c>
      <c r="BZ59" s="152" t="str">
        <f t="shared" si="33"/>
        <v/>
      </c>
      <c r="CA59" s="152" t="str">
        <f t="shared" si="34"/>
        <v/>
      </c>
      <c r="CB59" s="152" t="str">
        <f t="shared" si="35"/>
        <v/>
      </c>
      <c r="CC59" s="153" t="str">
        <f t="shared" si="36"/>
        <v/>
      </c>
      <c r="CD59" s="153" t="str">
        <f t="shared" si="37"/>
        <v/>
      </c>
      <c r="CE59" s="154" t="str">
        <f t="shared" si="38"/>
        <v/>
      </c>
      <c r="CF59" s="154" t="str">
        <f t="shared" si="39"/>
        <v/>
      </c>
      <c r="CG59" s="154" t="str">
        <f t="shared" si="40"/>
        <v/>
      </c>
    </row>
    <row r="60">
      <c r="A60" s="103" t="s">
        <v>149</v>
      </c>
      <c r="B60" s="104" t="s">
        <v>109</v>
      </c>
      <c r="C60" s="105">
        <v>2.4591599E7</v>
      </c>
      <c r="D60" s="106">
        <v>0.0</v>
      </c>
      <c r="E60" s="107">
        <v>0.0</v>
      </c>
      <c r="F60" s="163"/>
      <c r="G60" s="163"/>
      <c r="H60" s="108">
        <v>3.01158E-4</v>
      </c>
      <c r="I60" s="109">
        <v>0.0</v>
      </c>
      <c r="J60" s="109">
        <v>0.0</v>
      </c>
      <c r="K60" s="110">
        <v>0.30895269</v>
      </c>
      <c r="L60" s="111">
        <v>402.1547038</v>
      </c>
      <c r="M60" s="112">
        <v>421.8620332</v>
      </c>
      <c r="N60" s="112">
        <v>824.0167369</v>
      </c>
      <c r="O60" s="113"/>
      <c r="P60" s="114"/>
      <c r="Q60" s="114"/>
      <c r="R60" s="115" t="str">
        <f t="shared" si="8"/>
        <v/>
      </c>
      <c r="S60" s="116">
        <f t="shared" si="9"/>
        <v>0.3842933666</v>
      </c>
      <c r="T60" s="117"/>
      <c r="U60" s="118">
        <f t="shared" si="41"/>
        <v>0.7367</v>
      </c>
      <c r="V60" s="119">
        <v>1.0</v>
      </c>
      <c r="W60" s="120">
        <f t="shared" si="10"/>
        <v>1</v>
      </c>
      <c r="X60" s="119">
        <v>1.0</v>
      </c>
      <c r="Y60" s="120">
        <f t="shared" si="11"/>
        <v>1</v>
      </c>
      <c r="Z60" s="121"/>
      <c r="AA60" s="121"/>
      <c r="AB60" s="121"/>
      <c r="AC60" s="121"/>
      <c r="AD60" s="122">
        <v>0.0</v>
      </c>
      <c r="AE60" s="165">
        <v>0.0</v>
      </c>
      <c r="AF60" s="123">
        <v>0.0</v>
      </c>
      <c r="AG60" s="167">
        <v>0.0</v>
      </c>
      <c r="AH60" s="124">
        <v>0.004662257</v>
      </c>
      <c r="AI60" s="168">
        <v>0.0</v>
      </c>
      <c r="AJ60" s="125">
        <v>1.18E-5</v>
      </c>
      <c r="AK60" s="127">
        <v>0.07</v>
      </c>
      <c r="AL60" s="169">
        <v>0.179032064</v>
      </c>
      <c r="AM60" s="128"/>
      <c r="AN60" s="149" t="str">
        <f>IFERROR(
  AVERAGEIFS(
    'New 20102013 LF Efficacy'!$J:$J,
    'New 20102013 LF Efficacy'!$D:$D, $A60,
    'New 20102013 LF Efficacy'!$F:$F,"DEC", 
    'New 20102013 LF Efficacy'!$W:$W,"&lt;2011",
    'New 20102013 LF Efficacy'!$AA:$AA,""),
  ""
)</f>
        <v/>
      </c>
      <c r="AO60" s="115">
        <f t="shared" si="12"/>
        <v>0.478175</v>
      </c>
      <c r="AP60" s="121" t="str">
        <f>IFERROR(
AVERAGEIFS(
'New 20102013 LF Efficacy'!$J:$J,
'New 20102013 LF Efficacy'!$D:$D,$A60,
'New 20102013 LF Efficacy'!$F:$F,"Albendazole &amp; DEC",
'New 20102013 LF Efficacy'!$W:$W,"&lt;2011",
'New 20102013 LF Efficacy'!$AA:$AA,""),
"")
</f>
        <v/>
      </c>
      <c r="AQ60" s="115">
        <f t="shared" si="13"/>
        <v>0.5831666667</v>
      </c>
      <c r="AR60" s="121" t="str">
        <f>IFERROR(
AVERAGEIFS(
'New 20102013 LF Efficacy'!$J:$J,
'New 20102013 LF Efficacy'!$D:$D,$A60,
'New 20102013 LF Efficacy'!$F:$F,"Albendazole &amp; Ivermectin", 
'New 20102013 LF Efficacy'!$W:$W,"&lt;2011",
'New 20102013 LF Efficacy'!$AA:$AA,""),"")</f>
        <v/>
      </c>
      <c r="AS60" s="115">
        <f t="shared" si="14"/>
        <v>0.14</v>
      </c>
      <c r="AT60" s="130" t="str">
        <f>IFERROR(AVERAGEIFS(
'20102013 Schist Efficacy'!$O:$O, 
'20102013 Schist Efficacy'!$C:$C,$A60, 
'20102013 Schist Efficacy'!$D:$D, "Praziquantel",
'20102013 Schist Efficacy'!$J:$J,"&lt;2011",
'20102013 Schist Efficacy'!$U:$U,""),
"")</f>
        <v/>
      </c>
      <c r="AU60" s="118">
        <f t="shared" si="15"/>
        <v>0.6869715828</v>
      </c>
      <c r="AV60" s="131" t="str">
        <f>IFERROR(AVERAGEIFS(
'20102013 STH Efficacy'!$AX:$AX, 
'20102013 STH Efficacy'!$AL:$AL, $A60, 
'20102013 STH Efficacy'!$AM:$AM, "Albendazole",
'20102013 STH Efficacy'!$AS:$AS,"&lt;2011",
'20102013 STH Efficacy'!$BP:$BP,""),
"")</f>
        <v/>
      </c>
      <c r="AW60" s="132">
        <f t="shared" si="16"/>
        <v>0.4756666667</v>
      </c>
      <c r="AX60" s="131" t="str">
        <f>IFERROR(AVERAGEIFS(
'20102013 STH Efficacy'!$AX:$AX, 
'20102013 STH Efficacy'!$AL:$AL, $A60, 
'20102013 STH Efficacy'!$AM:$AM, "Mebendazole",
'20102013 STH Efficacy'!$AS:$AS,"&lt;2011",
'20102013 STH Efficacy'!$BP:$BP,""),
"")</f>
        <v/>
      </c>
      <c r="AY60" s="132">
        <f t="shared" si="17"/>
        <v>0.3786666667</v>
      </c>
      <c r="AZ60" s="131" t="str">
        <f>IFERROR(AVERAGEIFS(
'20102013 STH Efficacy'!$AX:$AX, 
'20102013 STH Efficacy'!$AL:$AL, $A60, 
'20102013 STH Efficacy'!$AM:$AM, "Albendazole &amp; Ivermectin",
'20102013 STH Efficacy'!$AS:$AS,"&lt;2011",
'20102013 STH Efficacy'!$BP:$BP,""),
"")</f>
        <v/>
      </c>
      <c r="BA60" s="133">
        <f t="shared" si="18"/>
        <v>0.7176666667</v>
      </c>
      <c r="BB60" s="134" t="str">
        <f>IFERROR(AVERAGEIFS(
'20102013 STH Efficacy'!$N:$N, 
'20102013 STH Efficacy'!$B:$B, $A60, 
'20102013 STH Efficacy'!$C:$C, "Albendazole",
'20102013 STH Efficacy'!$I:$I,"&lt;2011",
'20102013 STH Efficacy'!$AH:$AH,""),
"")</f>
        <v/>
      </c>
      <c r="BC60" s="135">
        <f t="shared" si="19"/>
        <v>0.7133333333</v>
      </c>
      <c r="BD60" s="134" t="str">
        <f>IFERROR(AVERAGEIFS(
'20102013 STH Efficacy'!$N:$N, 
'20102013 STH Efficacy'!$B:$B, $A60, 
'20102013 STH Efficacy'!$C:$C, "Mebendazole",
'20102013 STH Efficacy'!$I:$I,"&lt;2011",
'20102013 STH Efficacy'!$AH:$AH,""),
"")</f>
        <v/>
      </c>
      <c r="BE60" s="135">
        <f t="shared" si="20"/>
        <v>0.22675</v>
      </c>
      <c r="BF60" s="128" t="str">
        <f>IFERROR(AVERAGEIFS(
'20102013 STH Efficacy'!$CD:$CD, 
'20102013 STH Efficacy'!$BS:$BS, $A60, 
'20102013 STH Efficacy'!$BT:$BT, "Albendazole",
'20102013 STH Efficacy'!$BZ:$BZ,"&lt;2011",
'20102013 STH Efficacy'!$CU:$CU,""),
"")</f>
        <v/>
      </c>
      <c r="BG60" s="136">
        <f t="shared" si="21"/>
        <v>1</v>
      </c>
      <c r="BH60" s="128" t="str">
        <f>IFERROR(AVERAGEIFS(
'20102013 STH Efficacy'!$CD:$CD, 
'20102013 STH Efficacy'!$BS:$BS, $A60, 
'20102013 STH Efficacy'!$BT:$BT, "Mebendazole",
'20102013 STH Efficacy'!$BZ:$BZ,"&lt;2011",
'20102013 STH Efficacy'!$CU:$CU,""),
"")</f>
        <v/>
      </c>
      <c r="BI60" s="136">
        <f t="shared" si="22"/>
        <v>1</v>
      </c>
      <c r="BJ60" s="128" t="str">
        <f>IFERROR(AVERAGEIFS(
'20102013 STH Efficacy'!$CD:$CD, 
'20102013 STH Efficacy'!$BS:$BS, $A60, 
'20102013 STH Efficacy'!$BT:$BT, "Albendazole &amp; Ivermectin",
'20102013 STH Efficacy'!$BZ:$BZ,"&lt;2011",
'20102013 STH Efficacy'!$CU:$CU,""),
"")</f>
        <v/>
      </c>
      <c r="BK60" s="136">
        <f t="shared" si="23"/>
        <v>1</v>
      </c>
      <c r="BL60" s="137"/>
      <c r="BM60" s="137"/>
      <c r="BN60" s="138">
        <v>0.0</v>
      </c>
      <c r="BO60" s="139">
        <v>0.0</v>
      </c>
      <c r="BP60" s="140">
        <v>0.0</v>
      </c>
      <c r="BQ60" s="141">
        <f t="shared" si="24"/>
        <v>0</v>
      </c>
      <c r="BR60" s="104" t="str">
        <f t="shared" si="25"/>
        <v>0000</v>
      </c>
      <c r="BS60" s="104" t="str">
        <f t="shared" si="26"/>
        <v>no action required</v>
      </c>
      <c r="BT60" s="142" t="str">
        <f t="shared" si="27"/>
        <v/>
      </c>
      <c r="BU60" s="104" t="str">
        <f t="shared" si="28"/>
        <v/>
      </c>
      <c r="BV60" s="104" t="str">
        <f t="shared" si="29"/>
        <v>none</v>
      </c>
      <c r="BW60" s="150" t="str">
        <f t="shared" si="30"/>
        <v/>
      </c>
      <c r="BX60" s="150" t="str">
        <f t="shared" si="31"/>
        <v/>
      </c>
      <c r="BY60" s="151" t="str">
        <f t="shared" si="32"/>
        <v/>
      </c>
      <c r="BZ60" s="152" t="str">
        <f t="shared" si="33"/>
        <v/>
      </c>
      <c r="CA60" s="152" t="str">
        <f t="shared" si="34"/>
        <v/>
      </c>
      <c r="CB60" s="152" t="str">
        <f t="shared" si="35"/>
        <v/>
      </c>
      <c r="CC60" s="153" t="str">
        <f t="shared" si="36"/>
        <v/>
      </c>
      <c r="CD60" s="153" t="str">
        <f t="shared" si="37"/>
        <v/>
      </c>
      <c r="CE60" s="154" t="str">
        <f t="shared" si="38"/>
        <v/>
      </c>
      <c r="CF60" s="154" t="str">
        <f t="shared" si="39"/>
        <v/>
      </c>
      <c r="CG60" s="154" t="str">
        <f t="shared" si="40"/>
        <v/>
      </c>
    </row>
    <row r="61">
      <c r="A61" s="155" t="s">
        <v>150</v>
      </c>
      <c r="B61" s="104" t="s">
        <v>92</v>
      </c>
      <c r="C61" s="105">
        <v>6.4523263E7</v>
      </c>
      <c r="D61" s="106">
        <v>23384.44199</v>
      </c>
      <c r="E61" s="107">
        <v>180088.9405</v>
      </c>
      <c r="F61" s="157">
        <v>830.3379117</v>
      </c>
      <c r="G61" s="157">
        <v>3168.71242</v>
      </c>
      <c r="H61" s="157">
        <v>3999.050332</v>
      </c>
      <c r="I61" s="110">
        <v>6098.19968</v>
      </c>
      <c r="J61" s="110">
        <v>15792.1433</v>
      </c>
      <c r="K61" s="110">
        <v>21890.34299</v>
      </c>
      <c r="L61" s="111">
        <v>56492.86785</v>
      </c>
      <c r="M61" s="111">
        <v>13959.86338</v>
      </c>
      <c r="N61" s="158">
        <v>70452.73123</v>
      </c>
      <c r="O61" s="159"/>
      <c r="P61" s="160">
        <v>4.914E7</v>
      </c>
      <c r="Q61" s="156"/>
      <c r="R61" s="115">
        <f t="shared" si="8"/>
        <v>0</v>
      </c>
      <c r="S61" s="116">
        <f t="shared" si="9"/>
        <v>0.1716437208</v>
      </c>
      <c r="T61" s="117"/>
      <c r="U61" s="118">
        <f t="shared" si="41"/>
        <v>0.252</v>
      </c>
      <c r="V61" s="119">
        <v>0.064</v>
      </c>
      <c r="W61" s="120">
        <f t="shared" si="10"/>
        <v>0.064</v>
      </c>
      <c r="X61" s="119">
        <v>0.0194</v>
      </c>
      <c r="Y61" s="120">
        <f t="shared" si="11"/>
        <v>0.0194</v>
      </c>
      <c r="Z61" s="121"/>
      <c r="AA61" s="121"/>
      <c r="AB61" s="121"/>
      <c r="AC61" s="121"/>
      <c r="AD61" s="122">
        <v>0.0064</v>
      </c>
      <c r="AE61" s="123">
        <v>0.31</v>
      </c>
      <c r="AF61" s="166">
        <v>0.0</v>
      </c>
      <c r="AG61" s="124">
        <v>0.1362</v>
      </c>
      <c r="AH61" s="124">
        <v>0.213144269</v>
      </c>
      <c r="AI61" s="125">
        <v>0.1233</v>
      </c>
      <c r="AJ61" s="125">
        <v>0.197009163</v>
      </c>
      <c r="AK61" s="126">
        <v>0.0</v>
      </c>
      <c r="AL61" s="169">
        <v>0.277809981</v>
      </c>
      <c r="AM61" s="128"/>
      <c r="AN61" s="149" t="str">
        <f>IFERROR(
  AVERAGEIFS(
    'New 20102013 LF Efficacy'!$J:$J,
    'New 20102013 LF Efficacy'!$D:$D, $A61,
    'New 20102013 LF Efficacy'!$F:$F,"DEC", 
    'New 20102013 LF Efficacy'!$W:$W,"&lt;2011",
    'New 20102013 LF Efficacy'!$AA:$AA,""),
  ""
)</f>
        <v/>
      </c>
      <c r="AO61" s="115">
        <f t="shared" si="12"/>
        <v>0.31225</v>
      </c>
      <c r="AP61" s="121" t="str">
        <f>IFERROR(
AVERAGEIFS(
'New 20102013 LF Efficacy'!$J:$J,
'New 20102013 LF Efficacy'!$D:$D,$A61,
'New 20102013 LF Efficacy'!$F:$F,"Albendazole &amp; DEC",
'New 20102013 LF Efficacy'!$W:$W,"&lt;2011",
'New 20102013 LF Efficacy'!$AA:$AA,""),
"")
</f>
        <v/>
      </c>
      <c r="AQ61" s="115">
        <f t="shared" si="13"/>
        <v>0.4</v>
      </c>
      <c r="AR61" s="121" t="str">
        <f>IFERROR(
AVERAGEIFS(
'New 20102013 LF Efficacy'!$J:$J,
'New 20102013 LF Efficacy'!$D:$D,$A61,
'New 20102013 LF Efficacy'!$F:$F,"Albendazole &amp; Ivermectin", 
'New 20102013 LF Efficacy'!$W:$W,"&lt;2011",
'New 20102013 LF Efficacy'!$AA:$AA,""),"")</f>
        <v/>
      </c>
      <c r="AS61" s="115">
        <f t="shared" si="14"/>
        <v>0.2943125</v>
      </c>
      <c r="AT61" s="130" t="str">
        <f>IFERROR(AVERAGEIFS(
'20102013 Schist Efficacy'!$O:$O, 
'20102013 Schist Efficacy'!$C:$C,$A61, 
'20102013 Schist Efficacy'!$D:$D, "Praziquantel",
'20102013 Schist Efficacy'!$J:$J,"&lt;2011",
'20102013 Schist Efficacy'!$U:$U,""),
"")</f>
        <v/>
      </c>
      <c r="AU61" s="118">
        <f t="shared" si="15"/>
        <v>0.6444020147</v>
      </c>
      <c r="AV61" s="131" t="str">
        <f>IFERROR(AVERAGEIFS(
'20102013 STH Efficacy'!$AX:$AX, 
'20102013 STH Efficacy'!$AL:$AL, $A61, 
'20102013 STH Efficacy'!$AM:$AM, "Albendazole",
'20102013 STH Efficacy'!$AS:$AS,"&lt;2011",
'20102013 STH Efficacy'!$BP:$BP,""),
"")</f>
        <v/>
      </c>
      <c r="AW61" s="132">
        <f t="shared" si="16"/>
        <v>0.3538333333</v>
      </c>
      <c r="AX61" s="131" t="str">
        <f>IFERROR(AVERAGEIFS(
'20102013 STH Efficacy'!$AX:$AX, 
'20102013 STH Efficacy'!$AL:$AL, $A61, 
'20102013 STH Efficacy'!$AM:$AM, "Mebendazole",
'20102013 STH Efficacy'!$AS:$AS,"&lt;2011",
'20102013 STH Efficacy'!$BP:$BP,""),
"")</f>
        <v/>
      </c>
      <c r="AY61" s="132">
        <f t="shared" si="17"/>
        <v>0.5918333333</v>
      </c>
      <c r="AZ61" s="131" t="str">
        <f>IFERROR(AVERAGEIFS(
'20102013 STH Efficacy'!$AX:$AX, 
'20102013 STH Efficacy'!$AL:$AL, $A61, 
'20102013 STH Efficacy'!$AM:$AM, "Albendazole &amp; Ivermectin",
'20102013 STH Efficacy'!$AS:$AS,"&lt;2011",
'20102013 STH Efficacy'!$BP:$BP,""),
"")</f>
        <v/>
      </c>
      <c r="BA61" s="133">
        <f t="shared" si="18"/>
        <v>0.706</v>
      </c>
      <c r="BB61" s="134" t="str">
        <f>IFERROR(AVERAGEIFS(
'20102013 STH Efficacy'!$N:$N, 
'20102013 STH Efficacy'!$B:$B, $A61, 
'20102013 STH Efficacy'!$C:$C, "Albendazole",
'20102013 STH Efficacy'!$I:$I,"&lt;2011",
'20102013 STH Efficacy'!$AH:$AH,""),
"")</f>
        <v/>
      </c>
      <c r="BC61" s="135">
        <f t="shared" si="19"/>
        <v>0.9116666667</v>
      </c>
      <c r="BD61" s="134" t="str">
        <f>IFERROR(AVERAGEIFS(
'20102013 STH Efficacy'!$N:$N, 
'20102013 STH Efficacy'!$B:$B, $A61, 
'20102013 STH Efficacy'!$C:$C, "Mebendazole",
'20102013 STH Efficacy'!$I:$I,"&lt;2011",
'20102013 STH Efficacy'!$AH:$AH,""),
"")</f>
        <v/>
      </c>
      <c r="BE61" s="135">
        <f t="shared" si="20"/>
        <v>0.7092416667</v>
      </c>
      <c r="BF61" s="128" t="str">
        <f>IFERROR(AVERAGEIFS(
'20102013 STH Efficacy'!$CD:$CD, 
'20102013 STH Efficacy'!$BS:$BS, $A61, 
'20102013 STH Efficacy'!$BT:$BT, "Albendazole",
'20102013 STH Efficacy'!$BZ:$BZ,"&lt;2011",
'20102013 STH Efficacy'!$CU:$CU,""),
"")</f>
        <v/>
      </c>
      <c r="BG61" s="136">
        <f t="shared" si="21"/>
        <v>0.8656666667</v>
      </c>
      <c r="BH61" s="128" t="str">
        <f>IFERROR(AVERAGEIFS(
'20102013 STH Efficacy'!$CD:$CD, 
'20102013 STH Efficacy'!$BS:$BS, $A61, 
'20102013 STH Efficacy'!$BT:$BT, "Mebendazole",
'20102013 STH Efficacy'!$BZ:$BZ,"&lt;2011",
'20102013 STH Efficacy'!$CU:$CU,""),
"")</f>
        <v/>
      </c>
      <c r="BI61" s="136">
        <f t="shared" si="22"/>
        <v>0.9203333333</v>
      </c>
      <c r="BJ61" s="128" t="str">
        <f>IFERROR(AVERAGEIFS(
'20102013 STH Efficacy'!$CD:$CD, 
'20102013 STH Efficacy'!$BS:$BS, $A61, 
'20102013 STH Efficacy'!$BT:$BT, "Albendazole &amp; Ivermectin",
'20102013 STH Efficacy'!$BZ:$BZ,"&lt;2011",
'20102013 STH Efficacy'!$CU:$CU,""),
"")</f>
        <v/>
      </c>
      <c r="BK61" s="136">
        <f t="shared" si="23"/>
        <v>1</v>
      </c>
      <c r="BL61" s="137"/>
      <c r="BM61" s="137"/>
      <c r="BN61" s="138">
        <v>1.0</v>
      </c>
      <c r="BO61" s="139">
        <v>1.0</v>
      </c>
      <c r="BP61" s="140">
        <v>1.0</v>
      </c>
      <c r="BQ61" s="141">
        <f t="shared" si="24"/>
        <v>1</v>
      </c>
      <c r="BR61" s="104" t="str">
        <f t="shared" si="25"/>
        <v>1111</v>
      </c>
      <c r="BS61" s="104" t="str">
        <f t="shared" si="26"/>
        <v>MDA1+T2</v>
      </c>
      <c r="BT61" s="142" t="str">
        <f t="shared" si="27"/>
        <v>IVM+ALB</v>
      </c>
      <c r="BU61" s="104" t="str">
        <f t="shared" si="28"/>
        <v>PZQ</v>
      </c>
      <c r="BV61" s="104" t="str">
        <f t="shared" si="29"/>
        <v>lf+onch+schist+sth</v>
      </c>
      <c r="BW61" s="150" t="str">
        <f t="shared" si="30"/>
        <v/>
      </c>
      <c r="BX61" s="150">
        <f t="shared" si="31"/>
        <v>1244.160464</v>
      </c>
      <c r="BY61" s="162">
        <f t="shared" si="32"/>
        <v>34914.2133</v>
      </c>
      <c r="BZ61" s="152">
        <f t="shared" si="33"/>
        <v>41.1404954</v>
      </c>
      <c r="CA61" s="152" t="str">
        <f t="shared" si="34"/>
        <v/>
      </c>
      <c r="CB61" s="152">
        <f t="shared" si="35"/>
        <v>83.29605261</v>
      </c>
      <c r="CC61" s="170">
        <f t="shared" si="36"/>
        <v>662.1902135</v>
      </c>
      <c r="CD61" s="153" t="str">
        <f t="shared" si="37"/>
        <v/>
      </c>
      <c r="CE61" s="154">
        <f t="shared" si="38"/>
        <v>3551.873742</v>
      </c>
      <c r="CF61" s="154" t="str">
        <f t="shared" si="39"/>
        <v/>
      </c>
      <c r="CG61" s="154">
        <f t="shared" si="40"/>
        <v>4138.939421</v>
      </c>
    </row>
    <row r="62">
      <c r="A62" s="155" t="s">
        <v>151</v>
      </c>
      <c r="B62" s="104" t="s">
        <v>90</v>
      </c>
      <c r="C62" s="105">
        <v>5547683.0</v>
      </c>
      <c r="D62" s="106">
        <v>0.0</v>
      </c>
      <c r="E62" s="107">
        <v>0.0</v>
      </c>
      <c r="F62" s="108">
        <v>0.0</v>
      </c>
      <c r="G62" s="108">
        <v>0.0</v>
      </c>
      <c r="H62" s="157">
        <v>0.0</v>
      </c>
      <c r="I62" s="110">
        <v>0.0</v>
      </c>
      <c r="J62" s="110">
        <v>0.0</v>
      </c>
      <c r="K62" s="109">
        <v>0.0</v>
      </c>
      <c r="L62" s="112">
        <v>0.0</v>
      </c>
      <c r="M62" s="112">
        <v>0.0</v>
      </c>
      <c r="N62" s="112">
        <v>0.0</v>
      </c>
      <c r="O62" s="113"/>
      <c r="P62" s="114"/>
      <c r="Q62" s="114"/>
      <c r="R62" s="115" t="str">
        <f t="shared" si="8"/>
        <v/>
      </c>
      <c r="S62" s="116">
        <f t="shared" si="9"/>
        <v>0.4013436246</v>
      </c>
      <c r="T62" s="117"/>
      <c r="U62" s="118">
        <f t="shared" si="41"/>
        <v>0.3468166667</v>
      </c>
      <c r="V62" s="148"/>
      <c r="W62" s="120">
        <f t="shared" si="10"/>
        <v>1</v>
      </c>
      <c r="X62" s="148"/>
      <c r="Y62" s="120">
        <f t="shared" si="11"/>
        <v>0.71735</v>
      </c>
      <c r="Z62" s="121"/>
      <c r="AA62" s="121"/>
      <c r="AB62" s="121"/>
      <c r="AC62" s="121"/>
      <c r="AD62" s="122">
        <v>0.0</v>
      </c>
      <c r="AE62" s="123">
        <v>0.0</v>
      </c>
      <c r="AF62" s="123">
        <v>0.0</v>
      </c>
      <c r="AG62" s="124">
        <v>0.0</v>
      </c>
      <c r="AH62" s="124">
        <v>0.0</v>
      </c>
      <c r="AI62" s="125">
        <v>0.0</v>
      </c>
      <c r="AJ62" s="125">
        <v>0.0</v>
      </c>
      <c r="AK62" s="127">
        <v>0.0</v>
      </c>
      <c r="AL62" s="127">
        <v>0.0</v>
      </c>
      <c r="AM62" s="128"/>
      <c r="AN62" s="149" t="str">
        <f>IFERROR(
  AVERAGEIFS(
    'New 20102013 LF Efficacy'!$J:$J,
    'New 20102013 LF Efficacy'!$D:$D, $A62,
    'New 20102013 LF Efficacy'!$F:$F,"DEC", 
    'New 20102013 LF Efficacy'!$W:$W,"&lt;2011",
    'New 20102013 LF Efficacy'!$AA:$AA,""),
  ""
)</f>
        <v/>
      </c>
      <c r="AO62" s="115">
        <f t="shared" si="12"/>
        <v>0.3573520833</v>
      </c>
      <c r="AP62" s="121" t="str">
        <f>IFERROR(
AVERAGEIFS(
'New 20102013 LF Efficacy'!$J:$J,
'New 20102013 LF Efficacy'!$D:$D,$A62,
'New 20102013 LF Efficacy'!$F:$F,"Albendazole &amp; DEC",
'New 20102013 LF Efficacy'!$W:$W,"&lt;2011",
'New 20102013 LF Efficacy'!$AA:$AA,""),
"")
</f>
        <v/>
      </c>
      <c r="AQ62" s="115">
        <f t="shared" si="13"/>
        <v>0.5137291667</v>
      </c>
      <c r="AR62" s="121" t="str">
        <f>IFERROR(
AVERAGEIFS(
'New 20102013 LF Efficacy'!$J:$J,
'New 20102013 LF Efficacy'!$D:$D,$A62,
'New 20102013 LF Efficacy'!$F:$F,"Albendazole &amp; Ivermectin", 
'New 20102013 LF Efficacy'!$W:$W,"&lt;2011",
'New 20102013 LF Efficacy'!$AA:$AA,""),"")</f>
        <v/>
      </c>
      <c r="AS62" s="115">
        <f t="shared" si="14"/>
        <v>0.37153125</v>
      </c>
      <c r="AT62" s="130" t="str">
        <f>IFERROR(AVERAGEIFS(
'20102013 Schist Efficacy'!$O:$O, 
'20102013 Schist Efficacy'!$C:$C,$A62, 
'20102013 Schist Efficacy'!$D:$D, "Praziquantel",
'20102013 Schist Efficacy'!$J:$J,"&lt;2011",
'20102013 Schist Efficacy'!$U:$U,""),
"")</f>
        <v/>
      </c>
      <c r="AU62" s="118">
        <f t="shared" si="15"/>
        <v>0.655</v>
      </c>
      <c r="AV62" s="131" t="str">
        <f>IFERROR(AVERAGEIFS(
'20102013 STH Efficacy'!$AX:$AX, 
'20102013 STH Efficacy'!$AL:$AL, $A62, 
'20102013 STH Efficacy'!$AM:$AM, "Albendazole",
'20102013 STH Efficacy'!$AS:$AS,"&lt;2011",
'20102013 STH Efficacy'!$BP:$BP,""),
"")</f>
        <v/>
      </c>
      <c r="AW62" s="132">
        <f t="shared" si="16"/>
        <v>0.3842878788</v>
      </c>
      <c r="AX62" s="131" t="str">
        <f>IFERROR(AVERAGEIFS(
'20102013 STH Efficacy'!$AX:$AX, 
'20102013 STH Efficacy'!$AL:$AL, $A62, 
'20102013 STH Efficacy'!$AM:$AM, "Mebendazole",
'20102013 STH Efficacy'!$AS:$AS,"&lt;2011",
'20102013 STH Efficacy'!$BP:$BP,""),
"")</f>
        <v/>
      </c>
      <c r="AY62" s="132">
        <f t="shared" si="17"/>
        <v>0.5121666667</v>
      </c>
      <c r="AZ62" s="131" t="str">
        <f>IFERROR(AVERAGEIFS(
'20102013 STH Efficacy'!$AX:$AX, 
'20102013 STH Efficacy'!$AL:$AL, $A62, 
'20102013 STH Efficacy'!$AM:$AM, "Albendazole &amp; Ivermectin",
'20102013 STH Efficacy'!$AS:$AS,"&lt;2011",
'20102013 STH Efficacy'!$BP:$BP,""),
"")</f>
        <v/>
      </c>
      <c r="BA62" s="133">
        <f t="shared" si="18"/>
        <v>0.7176666667</v>
      </c>
      <c r="BB62" s="134" t="str">
        <f>IFERROR(AVERAGEIFS(
'20102013 STH Efficacy'!$N:$N, 
'20102013 STH Efficacy'!$B:$B, $A62, 
'20102013 STH Efficacy'!$C:$C, "Albendazole",
'20102013 STH Efficacy'!$I:$I,"&lt;2011",
'20102013 STH Efficacy'!$AH:$AH,""),
"")</f>
        <v/>
      </c>
      <c r="BC62" s="135">
        <f t="shared" si="19"/>
        <v>0.7630416667</v>
      </c>
      <c r="BD62" s="134" t="str">
        <f>IFERROR(AVERAGEIFS(
'20102013 STH Efficacy'!$N:$N, 
'20102013 STH Efficacy'!$B:$B, $A62, 
'20102013 STH Efficacy'!$C:$C, "Mebendazole",
'20102013 STH Efficacy'!$I:$I,"&lt;2011",
'20102013 STH Efficacy'!$AH:$AH,""),
"")</f>
        <v/>
      </c>
      <c r="BE62" s="135">
        <f t="shared" si="20"/>
        <v>0.4405966667</v>
      </c>
      <c r="BF62" s="128" t="str">
        <f>IFERROR(AVERAGEIFS(
'20102013 STH Efficacy'!$CD:$CD, 
'20102013 STH Efficacy'!$BS:$BS, $A62, 
'20102013 STH Efficacy'!$BT:$BT, "Albendazole",
'20102013 STH Efficacy'!$BZ:$BZ,"&lt;2011",
'20102013 STH Efficacy'!$CU:$CU,""),
"")</f>
        <v/>
      </c>
      <c r="BG62" s="136">
        <f t="shared" si="21"/>
        <v>0.9403222222</v>
      </c>
      <c r="BH62" s="128" t="str">
        <f>IFERROR(AVERAGEIFS(
'20102013 STH Efficacy'!$CD:$CD, 
'20102013 STH Efficacy'!$BS:$BS, $A62, 
'20102013 STH Efficacy'!$BT:$BT, "Mebendazole",
'20102013 STH Efficacy'!$BZ:$BZ,"&lt;2011",
'20102013 STH Efficacy'!$CU:$CU,""),
"")</f>
        <v/>
      </c>
      <c r="BI62" s="136">
        <f t="shared" si="22"/>
        <v>0.9229285714</v>
      </c>
      <c r="BJ62" s="128" t="str">
        <f>IFERROR(AVERAGEIFS(
'20102013 STH Efficacy'!$CD:$CD, 
'20102013 STH Efficacy'!$BS:$BS, $A62, 
'20102013 STH Efficacy'!$BT:$BT, "Albendazole &amp; Ivermectin",
'20102013 STH Efficacy'!$BZ:$BZ,"&lt;2011",
'20102013 STH Efficacy'!$CU:$CU,""),
"")</f>
        <v/>
      </c>
      <c r="BK62" s="136">
        <f t="shared" si="23"/>
        <v>1</v>
      </c>
      <c r="BL62" s="137"/>
      <c r="BM62" s="137"/>
      <c r="BN62" s="138">
        <v>0.0</v>
      </c>
      <c r="BO62" s="139">
        <v>0.0</v>
      </c>
      <c r="BP62" s="140">
        <v>0.0</v>
      </c>
      <c r="BQ62" s="141">
        <f t="shared" si="24"/>
        <v>0</v>
      </c>
      <c r="BR62" s="104" t="str">
        <f t="shared" si="25"/>
        <v>0000</v>
      </c>
      <c r="BS62" s="104" t="str">
        <f t="shared" si="26"/>
        <v>no action required</v>
      </c>
      <c r="BT62" s="142" t="str">
        <f t="shared" si="27"/>
        <v/>
      </c>
      <c r="BU62" s="104" t="str">
        <f t="shared" si="28"/>
        <v/>
      </c>
      <c r="BV62" s="104" t="str">
        <f t="shared" si="29"/>
        <v>none</v>
      </c>
      <c r="BW62" s="150" t="str">
        <f t="shared" si="30"/>
        <v/>
      </c>
      <c r="BX62" s="150" t="str">
        <f t="shared" si="31"/>
        <v/>
      </c>
      <c r="BY62" s="151" t="str">
        <f t="shared" si="32"/>
        <v/>
      </c>
      <c r="BZ62" s="152" t="str">
        <f t="shared" si="33"/>
        <v/>
      </c>
      <c r="CA62" s="152" t="str">
        <f t="shared" si="34"/>
        <v/>
      </c>
      <c r="CB62" s="152" t="str">
        <f t="shared" si="35"/>
        <v/>
      </c>
      <c r="CC62" s="153" t="str">
        <f t="shared" si="36"/>
        <v/>
      </c>
      <c r="CD62" s="153" t="str">
        <f t="shared" si="37"/>
        <v/>
      </c>
      <c r="CE62" s="154" t="str">
        <f t="shared" si="38"/>
        <v/>
      </c>
      <c r="CF62" s="154" t="str">
        <f t="shared" si="39"/>
        <v/>
      </c>
      <c r="CG62" s="154" t="str">
        <f t="shared" si="40"/>
        <v/>
      </c>
    </row>
    <row r="63">
      <c r="A63" s="103" t="s">
        <v>152</v>
      </c>
      <c r="B63" s="104" t="s">
        <v>88</v>
      </c>
      <c r="C63" s="105">
        <v>851146.0</v>
      </c>
      <c r="D63" s="106">
        <v>0.0</v>
      </c>
      <c r="E63" s="107">
        <v>414.0793484</v>
      </c>
      <c r="F63" s="108">
        <v>20.43807318</v>
      </c>
      <c r="G63" s="108">
        <v>42.41712675</v>
      </c>
      <c r="H63" s="108">
        <v>62.85519993</v>
      </c>
      <c r="I63" s="109">
        <v>16.6858398</v>
      </c>
      <c r="J63" s="109">
        <v>29.3066117</v>
      </c>
      <c r="K63" s="109">
        <v>45.99245149</v>
      </c>
      <c r="L63" s="112">
        <v>49.22152126</v>
      </c>
      <c r="M63" s="112">
        <v>5.08908625</v>
      </c>
      <c r="N63" s="112">
        <v>54.31060751</v>
      </c>
      <c r="O63" s="113"/>
      <c r="P63" s="114"/>
      <c r="Q63" s="114"/>
      <c r="R63" s="115" t="str">
        <f t="shared" si="8"/>
        <v/>
      </c>
      <c r="S63" s="116">
        <f t="shared" si="9"/>
        <v>0.3211323089</v>
      </c>
      <c r="T63" s="117"/>
      <c r="U63" s="118">
        <f t="shared" si="41"/>
        <v>0.5949</v>
      </c>
      <c r="V63" s="148"/>
      <c r="W63" s="120">
        <f t="shared" si="10"/>
        <v>0.9019</v>
      </c>
      <c r="X63" s="148"/>
      <c r="Y63" s="120">
        <f t="shared" si="11"/>
        <v>0.094</v>
      </c>
      <c r="Z63" s="121"/>
      <c r="AA63" s="121"/>
      <c r="AB63" s="121"/>
      <c r="AC63" s="121"/>
      <c r="AD63" s="122">
        <v>0.0</v>
      </c>
      <c r="AE63" s="123">
        <v>0.01</v>
      </c>
      <c r="AF63" s="123">
        <v>0.0013</v>
      </c>
      <c r="AG63" s="124">
        <v>0.1654</v>
      </c>
      <c r="AH63" s="124">
        <v>0.261072657</v>
      </c>
      <c r="AI63" s="125">
        <v>0.0267</v>
      </c>
      <c r="AJ63" s="125">
        <v>0.043623866</v>
      </c>
      <c r="AK63" s="127">
        <v>0.03</v>
      </c>
      <c r="AL63" s="127">
        <v>0.05503286</v>
      </c>
      <c r="AM63" s="128"/>
      <c r="AN63" s="149" t="str">
        <f>IFERROR(
  AVERAGEIFS(
    'New 20102013 LF Efficacy'!$J:$J,
    'New 20102013 LF Efficacy'!$D:$D, $A63,
    'New 20102013 LF Efficacy'!$F:$F,"DEC", 
    'New 20102013 LF Efficacy'!$W:$W,"&lt;2011",
    'New 20102013 LF Efficacy'!$AA:$AA,""),
  ""
)</f>
        <v/>
      </c>
      <c r="AO63" s="115">
        <f t="shared" si="12"/>
        <v>0.3573520833</v>
      </c>
      <c r="AP63" s="121" t="str">
        <f>IFERROR(
AVERAGEIFS(
'New 20102013 LF Efficacy'!$J:$J,
'New 20102013 LF Efficacy'!$D:$D,$A63,
'New 20102013 LF Efficacy'!$F:$F,"Albendazole &amp; DEC",
'New 20102013 LF Efficacy'!$W:$W,"&lt;2011",
'New 20102013 LF Efficacy'!$AA:$AA,""),
"")
</f>
        <v/>
      </c>
      <c r="AQ63" s="115">
        <f t="shared" si="13"/>
        <v>0.7935</v>
      </c>
      <c r="AR63" s="121" t="str">
        <f>IFERROR(
AVERAGEIFS(
'New 20102013 LF Efficacy'!$J:$J,
'New 20102013 LF Efficacy'!$D:$D,$A63,
'New 20102013 LF Efficacy'!$F:$F,"Albendazole &amp; Ivermectin", 
'New 20102013 LF Efficacy'!$W:$W,"&lt;2011",
'New 20102013 LF Efficacy'!$AA:$AA,""),"")</f>
        <v/>
      </c>
      <c r="AS63" s="115">
        <f t="shared" si="14"/>
        <v>0.37153125</v>
      </c>
      <c r="AT63" s="130" t="str">
        <f>IFERROR(AVERAGEIFS(
'20102013 Schist Efficacy'!$O:$O, 
'20102013 Schist Efficacy'!$C:$C,$A63, 
'20102013 Schist Efficacy'!$D:$D, "Praziquantel",
'20102013 Schist Efficacy'!$J:$J,"&lt;2011",
'20102013 Schist Efficacy'!$U:$U,""),
"")</f>
        <v/>
      </c>
      <c r="AU63" s="118">
        <f t="shared" si="15"/>
        <v>0.7763141026</v>
      </c>
      <c r="AV63" s="131" t="str">
        <f>IFERROR(AVERAGEIFS(
'20102013 STH Efficacy'!$AX:$AX, 
'20102013 STH Efficacy'!$AL:$AL, $A63, 
'20102013 STH Efficacy'!$AM:$AM, "Albendazole",
'20102013 STH Efficacy'!$AS:$AS,"&lt;2011",
'20102013 STH Efficacy'!$BP:$BP,""),
"")</f>
        <v/>
      </c>
      <c r="AW63" s="132">
        <f t="shared" si="16"/>
        <v>0.3842878788</v>
      </c>
      <c r="AX63" s="131" t="str">
        <f>IFERROR(AVERAGEIFS(
'20102013 STH Efficacy'!$AX:$AX, 
'20102013 STH Efficacy'!$AL:$AL, $A63, 
'20102013 STH Efficacy'!$AM:$AM, "Mebendazole",
'20102013 STH Efficacy'!$AS:$AS,"&lt;2011",
'20102013 STH Efficacy'!$BP:$BP,""),
"")</f>
        <v/>
      </c>
      <c r="AY63" s="132">
        <f t="shared" si="17"/>
        <v>0.5121666667</v>
      </c>
      <c r="AZ63" s="131" t="str">
        <f>IFERROR(AVERAGEIFS(
'20102013 STH Efficacy'!$AX:$AX, 
'20102013 STH Efficacy'!$AL:$AL, $A63, 
'20102013 STH Efficacy'!$AM:$AM, "Albendazole &amp; Ivermectin",
'20102013 STH Efficacy'!$AS:$AS,"&lt;2011",
'20102013 STH Efficacy'!$BP:$BP,""),
"")</f>
        <v/>
      </c>
      <c r="BA63" s="133">
        <f t="shared" si="18"/>
        <v>0.7176666667</v>
      </c>
      <c r="BB63" s="134" t="str">
        <f>IFERROR(AVERAGEIFS(
'20102013 STH Efficacy'!$N:$N, 
'20102013 STH Efficacy'!$B:$B, $A63, 
'20102013 STH Efficacy'!$C:$C, "Albendazole",
'20102013 STH Efficacy'!$I:$I,"&lt;2011",
'20102013 STH Efficacy'!$AH:$AH,""),
"")</f>
        <v/>
      </c>
      <c r="BC63" s="135">
        <f t="shared" si="19"/>
        <v>0.7630416667</v>
      </c>
      <c r="BD63" s="134" t="str">
        <f>IFERROR(AVERAGEIFS(
'20102013 STH Efficacy'!$N:$N, 
'20102013 STH Efficacy'!$B:$B, $A63, 
'20102013 STH Efficacy'!$C:$C, "Mebendazole",
'20102013 STH Efficacy'!$I:$I,"&lt;2011",
'20102013 STH Efficacy'!$AH:$AH,""),
"")</f>
        <v/>
      </c>
      <c r="BE63" s="135">
        <f t="shared" si="20"/>
        <v>0.4405966667</v>
      </c>
      <c r="BF63" s="128" t="str">
        <f>IFERROR(AVERAGEIFS(
'20102013 STH Efficacy'!$CD:$CD, 
'20102013 STH Efficacy'!$BS:$BS, $A63, 
'20102013 STH Efficacy'!$BT:$BT, "Albendazole",
'20102013 STH Efficacy'!$BZ:$BZ,"&lt;2011",
'20102013 STH Efficacy'!$CU:$CU,""),
"")</f>
        <v/>
      </c>
      <c r="BG63" s="136">
        <f t="shared" si="21"/>
        <v>0.955</v>
      </c>
      <c r="BH63" s="128" t="str">
        <f>IFERROR(AVERAGEIFS(
'20102013 STH Efficacy'!$CD:$CD, 
'20102013 STH Efficacy'!$BS:$BS, $A63, 
'20102013 STH Efficacy'!$BT:$BT, "Mebendazole",
'20102013 STH Efficacy'!$BZ:$BZ,"&lt;2011",
'20102013 STH Efficacy'!$CU:$CU,""),
"")</f>
        <v/>
      </c>
      <c r="BI63" s="136">
        <f t="shared" si="22"/>
        <v>1</v>
      </c>
      <c r="BJ63" s="128" t="str">
        <f>IFERROR(AVERAGEIFS(
'20102013 STH Efficacy'!$CD:$CD, 
'20102013 STH Efficacy'!$BS:$BS, $A63, 
'20102013 STH Efficacy'!$BT:$BT, "Albendazole &amp; Ivermectin",
'20102013 STH Efficacy'!$BZ:$BZ,"&lt;2011",
'20102013 STH Efficacy'!$CU:$CU,""),
"")</f>
        <v/>
      </c>
      <c r="BK63" s="136">
        <f t="shared" si="23"/>
        <v>1</v>
      </c>
      <c r="BL63" s="137"/>
      <c r="BM63" s="137"/>
      <c r="BN63" s="138">
        <v>0.0</v>
      </c>
      <c r="BO63" s="139">
        <v>0.0</v>
      </c>
      <c r="BP63" s="140">
        <v>0.0</v>
      </c>
      <c r="BQ63" s="141">
        <f t="shared" si="24"/>
        <v>0</v>
      </c>
      <c r="BR63" s="104" t="str">
        <f t="shared" si="25"/>
        <v>0000</v>
      </c>
      <c r="BS63" s="104" t="str">
        <f t="shared" si="26"/>
        <v>no action required</v>
      </c>
      <c r="BT63" s="142" t="str">
        <f t="shared" si="27"/>
        <v/>
      </c>
      <c r="BU63" s="104" t="str">
        <f t="shared" si="28"/>
        <v/>
      </c>
      <c r="BV63" s="104" t="str">
        <f t="shared" si="29"/>
        <v>none</v>
      </c>
      <c r="BW63" s="150" t="str">
        <f t="shared" si="30"/>
        <v/>
      </c>
      <c r="BX63" s="150" t="str">
        <f t="shared" si="31"/>
        <v/>
      </c>
      <c r="BY63" s="151" t="str">
        <f t="shared" si="32"/>
        <v/>
      </c>
      <c r="BZ63" s="152" t="str">
        <f t="shared" si="33"/>
        <v/>
      </c>
      <c r="CA63" s="152" t="str">
        <f t="shared" si="34"/>
        <v/>
      </c>
      <c r="CB63" s="152" t="str">
        <f t="shared" si="35"/>
        <v/>
      </c>
      <c r="CC63" s="153" t="str">
        <f t="shared" si="36"/>
        <v/>
      </c>
      <c r="CD63" s="153" t="str">
        <f t="shared" si="37"/>
        <v/>
      </c>
      <c r="CE63" s="154" t="str">
        <f t="shared" si="38"/>
        <v/>
      </c>
      <c r="CF63" s="154" t="str">
        <f t="shared" si="39"/>
        <v/>
      </c>
      <c r="CG63" s="154" t="str">
        <f t="shared" si="40"/>
        <v/>
      </c>
    </row>
    <row r="64">
      <c r="A64" s="103" t="s">
        <v>153</v>
      </c>
      <c r="B64" s="104" t="s">
        <v>98</v>
      </c>
      <c r="C64" s="105">
        <v>71440.0</v>
      </c>
      <c r="D64" s="106">
        <v>0.0</v>
      </c>
      <c r="E64" s="107">
        <v>0.0</v>
      </c>
      <c r="F64" s="108">
        <v>0.0</v>
      </c>
      <c r="G64" s="108">
        <v>0.0</v>
      </c>
      <c r="H64" s="108">
        <v>0.0</v>
      </c>
      <c r="I64" s="109">
        <v>0.00428066</v>
      </c>
      <c r="J64" s="109">
        <v>0.00653701</v>
      </c>
      <c r="K64" s="109">
        <v>0.010817666</v>
      </c>
      <c r="L64" s="112">
        <v>0.085876699</v>
      </c>
      <c r="M64" s="112">
        <v>0.046671998</v>
      </c>
      <c r="N64" s="112">
        <v>0.132548697</v>
      </c>
      <c r="O64" s="113"/>
      <c r="P64" s="114"/>
      <c r="Q64" s="114"/>
      <c r="R64" s="115" t="str">
        <f t="shared" si="8"/>
        <v/>
      </c>
      <c r="S64" s="116">
        <f t="shared" si="9"/>
        <v>0.14553293</v>
      </c>
      <c r="T64" s="117"/>
      <c r="U64" s="118">
        <f t="shared" si="41"/>
        <v>0.39435</v>
      </c>
      <c r="V64" s="148"/>
      <c r="W64" s="120">
        <f t="shared" si="10"/>
        <v>0.3616</v>
      </c>
      <c r="X64" s="148"/>
      <c r="Y64" s="120">
        <f t="shared" si="11"/>
        <v>0.5015615385</v>
      </c>
      <c r="Z64" s="121"/>
      <c r="AA64" s="121"/>
      <c r="AB64" s="121"/>
      <c r="AC64" s="121"/>
      <c r="AD64" s="122">
        <v>0.0</v>
      </c>
      <c r="AE64" s="123">
        <v>0.0</v>
      </c>
      <c r="AF64" s="123">
        <v>0.0</v>
      </c>
      <c r="AG64" s="124">
        <v>1.0E-4</v>
      </c>
      <c r="AH64" s="124">
        <v>1.23803E-4</v>
      </c>
      <c r="AI64" s="125">
        <v>1.0E-4</v>
      </c>
      <c r="AJ64" s="125">
        <v>1.19201E-4</v>
      </c>
      <c r="AK64" s="127">
        <v>0.0</v>
      </c>
      <c r="AL64" s="127">
        <v>1.19275E-4</v>
      </c>
      <c r="AM64" s="128"/>
      <c r="AN64" s="149" t="str">
        <f>IFERROR(
  AVERAGEIFS(
    'New 20102013 LF Efficacy'!$J:$J,
    'New 20102013 LF Efficacy'!$D:$D, $A64,
    'New 20102013 LF Efficacy'!$F:$F,"DEC", 
    'New 20102013 LF Efficacy'!$W:$W,"&lt;2011",
    'New 20102013 LF Efficacy'!$AA:$AA,""),
  ""
)</f>
        <v/>
      </c>
      <c r="AO64" s="115">
        <f t="shared" si="12"/>
        <v>0.2589833333</v>
      </c>
      <c r="AP64" s="121" t="str">
        <f>IFERROR(
AVERAGEIFS(
'New 20102013 LF Efficacy'!$J:$J,
'New 20102013 LF Efficacy'!$D:$D,$A64,
'New 20102013 LF Efficacy'!$F:$F,"Albendazole &amp; DEC",
'New 20102013 LF Efficacy'!$W:$W,"&lt;2011",
'New 20102013 LF Efficacy'!$AA:$AA,""),
"")
</f>
        <v/>
      </c>
      <c r="AQ64" s="115">
        <f t="shared" si="13"/>
        <v>0.3465</v>
      </c>
      <c r="AR64" s="121" t="str">
        <f>IFERROR(
AVERAGEIFS(
'New 20102013 LF Efficacy'!$J:$J,
'New 20102013 LF Efficacy'!$D:$D,$A64,
'New 20102013 LF Efficacy'!$F:$F,"Albendazole &amp; Ivermectin", 
'New 20102013 LF Efficacy'!$W:$W,"&lt;2011",
'New 20102013 LF Efficacy'!$AA:$AA,""),"")</f>
        <v/>
      </c>
      <c r="AS64" s="115">
        <f t="shared" si="14"/>
        <v>0.7575</v>
      </c>
      <c r="AT64" s="130" t="str">
        <f>IFERROR(AVERAGEIFS(
'20102013 Schist Efficacy'!$O:$O, 
'20102013 Schist Efficacy'!$C:$C,$A64, 
'20102013 Schist Efficacy'!$D:$D, "Praziquantel",
'20102013 Schist Efficacy'!$J:$J,"&lt;2011",
'20102013 Schist Efficacy'!$U:$U,""),
"")</f>
        <v/>
      </c>
      <c r="AU64" s="118">
        <f t="shared" si="15"/>
        <v>0.7732631579</v>
      </c>
      <c r="AV64" s="131" t="str">
        <f>IFERROR(AVERAGEIFS(
'20102013 STH Efficacy'!$AX:$AX, 
'20102013 STH Efficacy'!$AL:$AL, $A64, 
'20102013 STH Efficacy'!$AM:$AM, "Albendazole",
'20102013 STH Efficacy'!$AS:$AS,"&lt;2011",
'20102013 STH Efficacy'!$BP:$BP,""),
"")</f>
        <v/>
      </c>
      <c r="AW64" s="132">
        <f t="shared" si="16"/>
        <v>0.3945</v>
      </c>
      <c r="AX64" s="131" t="str">
        <f>IFERROR(AVERAGEIFS(
'20102013 STH Efficacy'!$AX:$AX, 
'20102013 STH Efficacy'!$AL:$AL, $A64, 
'20102013 STH Efficacy'!$AM:$AM, "Mebendazole",
'20102013 STH Efficacy'!$AS:$AS,"&lt;2011",
'20102013 STH Efficacy'!$BP:$BP,""),
"")</f>
        <v/>
      </c>
      <c r="AY64" s="132">
        <f t="shared" si="17"/>
        <v>0.6</v>
      </c>
      <c r="AZ64" s="131" t="str">
        <f>IFERROR(AVERAGEIFS(
'20102013 STH Efficacy'!$AX:$AX, 
'20102013 STH Efficacy'!$AL:$AL, $A64, 
'20102013 STH Efficacy'!$AM:$AM, "Albendazole &amp; Ivermectin",
'20102013 STH Efficacy'!$AS:$AS,"&lt;2011",
'20102013 STH Efficacy'!$BP:$BP,""),
"")</f>
        <v/>
      </c>
      <c r="BA64" s="133">
        <f t="shared" si="18"/>
        <v>0.796</v>
      </c>
      <c r="BB64" s="134" t="str">
        <f>IFERROR(AVERAGEIFS(
'20102013 STH Efficacy'!$N:$N, 
'20102013 STH Efficacy'!$B:$B, $A64, 
'20102013 STH Efficacy'!$C:$C, "Albendazole",
'20102013 STH Efficacy'!$I:$I,"&lt;2011",
'20102013 STH Efficacy'!$AH:$AH,""),
"")</f>
        <v/>
      </c>
      <c r="BC64" s="135">
        <f t="shared" si="19"/>
        <v>0.869</v>
      </c>
      <c r="BD64" s="134" t="str">
        <f>IFERROR(AVERAGEIFS(
'20102013 STH Efficacy'!$N:$N, 
'20102013 STH Efficacy'!$B:$B, $A64, 
'20102013 STH Efficacy'!$C:$C, "Mebendazole",
'20102013 STH Efficacy'!$I:$I,"&lt;2011",
'20102013 STH Efficacy'!$AH:$AH,""),
"")</f>
        <v/>
      </c>
      <c r="BE64" s="135">
        <f t="shared" si="20"/>
        <v>0.172</v>
      </c>
      <c r="BF64" s="128" t="str">
        <f>IFERROR(AVERAGEIFS(
'20102013 STH Efficacy'!$CD:$CD, 
'20102013 STH Efficacy'!$BS:$BS, $A64, 
'20102013 STH Efficacy'!$BT:$BT, "Albendazole",
'20102013 STH Efficacy'!$BZ:$BZ,"&lt;2011",
'20102013 STH Efficacy'!$CU:$CU,""),
"")</f>
        <v/>
      </c>
      <c r="BG64" s="136">
        <f t="shared" si="21"/>
        <v>0.9862</v>
      </c>
      <c r="BH64" s="128" t="str">
        <f>IFERROR(AVERAGEIFS(
'20102013 STH Efficacy'!$CD:$CD, 
'20102013 STH Efficacy'!$BS:$BS, $A64, 
'20102013 STH Efficacy'!$BT:$BT, "Mebendazole",
'20102013 STH Efficacy'!$BZ:$BZ,"&lt;2011",
'20102013 STH Efficacy'!$CU:$CU,""),
"")</f>
        <v/>
      </c>
      <c r="BI64" s="136">
        <f t="shared" si="22"/>
        <v>0.769</v>
      </c>
      <c r="BJ64" s="128" t="str">
        <f>IFERROR(AVERAGEIFS(
'20102013 STH Efficacy'!$CD:$CD, 
'20102013 STH Efficacy'!$BS:$BS, $A64, 
'20102013 STH Efficacy'!$BT:$BT, "Albendazole &amp; Ivermectin",
'20102013 STH Efficacy'!$BZ:$BZ,"&lt;2011",
'20102013 STH Efficacy'!$CU:$CU,""),
"")</f>
        <v/>
      </c>
      <c r="BK64" s="136">
        <f t="shared" si="23"/>
        <v>1</v>
      </c>
      <c r="BL64" s="137"/>
      <c r="BM64" s="137"/>
      <c r="BN64" s="138">
        <v>0.0</v>
      </c>
      <c r="BO64" s="139">
        <v>0.0</v>
      </c>
      <c r="BP64" s="140">
        <v>0.0</v>
      </c>
      <c r="BQ64" s="141">
        <f t="shared" si="24"/>
        <v>0</v>
      </c>
      <c r="BR64" s="104" t="str">
        <f t="shared" si="25"/>
        <v>0000</v>
      </c>
      <c r="BS64" s="104" t="str">
        <f t="shared" si="26"/>
        <v>no action required</v>
      </c>
      <c r="BT64" s="142" t="str">
        <f t="shared" si="27"/>
        <v/>
      </c>
      <c r="BU64" s="104" t="str">
        <f t="shared" si="28"/>
        <v/>
      </c>
      <c r="BV64" s="104" t="str">
        <f t="shared" si="29"/>
        <v>none</v>
      </c>
      <c r="BW64" s="150" t="str">
        <f t="shared" si="30"/>
        <v/>
      </c>
      <c r="BX64" s="150" t="str">
        <f t="shared" si="31"/>
        <v/>
      </c>
      <c r="BY64" s="151" t="str">
        <f t="shared" si="32"/>
        <v/>
      </c>
      <c r="BZ64" s="152" t="str">
        <f t="shared" si="33"/>
        <v/>
      </c>
      <c r="CA64" s="152" t="str">
        <f t="shared" si="34"/>
        <v/>
      </c>
      <c r="CB64" s="152" t="str">
        <f t="shared" si="35"/>
        <v/>
      </c>
      <c r="CC64" s="153" t="str">
        <f t="shared" si="36"/>
        <v/>
      </c>
      <c r="CD64" s="153" t="str">
        <f t="shared" si="37"/>
        <v/>
      </c>
      <c r="CE64" s="154" t="str">
        <f t="shared" si="38"/>
        <v/>
      </c>
      <c r="CF64" s="154" t="str">
        <f t="shared" si="39"/>
        <v/>
      </c>
      <c r="CG64" s="154" t="str">
        <f t="shared" si="40"/>
        <v/>
      </c>
    </row>
    <row r="65">
      <c r="A65" s="103" t="s">
        <v>154</v>
      </c>
      <c r="B65" s="104" t="s">
        <v>98</v>
      </c>
      <c r="C65" s="105">
        <v>9897985.0</v>
      </c>
      <c r="D65" s="106">
        <v>409.8090366</v>
      </c>
      <c r="E65" s="107">
        <v>1264.224358</v>
      </c>
      <c r="F65" s="108">
        <v>0.0</v>
      </c>
      <c r="G65" s="108">
        <v>0.0</v>
      </c>
      <c r="H65" s="108">
        <v>0.0</v>
      </c>
      <c r="I65" s="109">
        <v>0.06355659</v>
      </c>
      <c r="J65" s="109">
        <v>0.12467121</v>
      </c>
      <c r="K65" s="109">
        <v>0.188227799</v>
      </c>
      <c r="L65" s="112">
        <v>16.69212831</v>
      </c>
      <c r="M65" s="112">
        <v>7.591097276</v>
      </c>
      <c r="N65" s="158">
        <v>24.28322559</v>
      </c>
      <c r="O65" s="159"/>
      <c r="P65" s="160">
        <v>249803.0</v>
      </c>
      <c r="Q65" s="156"/>
      <c r="R65" s="115">
        <f t="shared" si="8"/>
        <v>0</v>
      </c>
      <c r="S65" s="116">
        <f t="shared" si="9"/>
        <v>0.14553293</v>
      </c>
      <c r="T65" s="117"/>
      <c r="U65" s="118">
        <f t="shared" si="41"/>
        <v>0.39435</v>
      </c>
      <c r="V65" s="119">
        <v>0.0028</v>
      </c>
      <c r="W65" s="120">
        <f t="shared" si="10"/>
        <v>0.0028</v>
      </c>
      <c r="X65" s="119">
        <v>1.0</v>
      </c>
      <c r="Y65" s="120">
        <f t="shared" si="11"/>
        <v>1</v>
      </c>
      <c r="Z65" s="121"/>
      <c r="AA65" s="121"/>
      <c r="AB65" s="121"/>
      <c r="AC65" s="121"/>
      <c r="AD65" s="122">
        <v>8.0E-4</v>
      </c>
      <c r="AE65" s="123">
        <v>0.01</v>
      </c>
      <c r="AF65" s="123">
        <v>3.0E-4</v>
      </c>
      <c r="AG65" s="124">
        <v>0.0</v>
      </c>
      <c r="AH65" s="124">
        <v>1.20769E-5</v>
      </c>
      <c r="AI65" s="125">
        <v>0.0</v>
      </c>
      <c r="AJ65" s="125">
        <v>1.18E-5</v>
      </c>
      <c r="AK65" s="127">
        <v>0.0</v>
      </c>
      <c r="AL65" s="127">
        <v>1.19918E-5</v>
      </c>
      <c r="AM65" s="128"/>
      <c r="AN65" s="149" t="str">
        <f>IFERROR(
  AVERAGEIFS(
    'New 20102013 LF Efficacy'!$J:$J,
    'New 20102013 LF Efficacy'!$D:$D, $A65,
    'New 20102013 LF Efficacy'!$F:$F,"DEC", 
    'New 20102013 LF Efficacy'!$W:$W,"&lt;2011",
    'New 20102013 LF Efficacy'!$AA:$AA,""),
  ""
)</f>
        <v/>
      </c>
      <c r="AO65" s="115">
        <f t="shared" si="12"/>
        <v>0.2589833333</v>
      </c>
      <c r="AP65" s="121" t="str">
        <f>IFERROR(
AVERAGEIFS(
'New 20102013 LF Efficacy'!$J:$J,
'New 20102013 LF Efficacy'!$D:$D,$A65,
'New 20102013 LF Efficacy'!$F:$F,"Albendazole &amp; DEC",
'New 20102013 LF Efficacy'!$W:$W,"&lt;2011",
'New 20102013 LF Efficacy'!$AA:$AA,""),
"")
</f>
        <v/>
      </c>
      <c r="AQ65" s="115">
        <f t="shared" si="13"/>
        <v>0.3465</v>
      </c>
      <c r="AR65" s="121" t="str">
        <f>IFERROR(
AVERAGEIFS(
'New 20102013 LF Efficacy'!$J:$J,
'New 20102013 LF Efficacy'!$D:$D,$A65,
'New 20102013 LF Efficacy'!$F:$F,"Albendazole &amp; Ivermectin", 
'New 20102013 LF Efficacy'!$W:$W,"&lt;2011",
'New 20102013 LF Efficacy'!$AA:$AA,""),"")</f>
        <v/>
      </c>
      <c r="AS65" s="115">
        <f t="shared" si="14"/>
        <v>0.7575</v>
      </c>
      <c r="AT65" s="130" t="str">
        <f>IFERROR(AVERAGEIFS(
'20102013 Schist Efficacy'!$O:$O, 
'20102013 Schist Efficacy'!$C:$C,$A65, 
'20102013 Schist Efficacy'!$D:$D, "Praziquantel",
'20102013 Schist Efficacy'!$J:$J,"&lt;2011",
'20102013 Schist Efficacy'!$U:$U,""),
"")</f>
        <v/>
      </c>
      <c r="AU65" s="118">
        <f t="shared" si="15"/>
        <v>0.7732631579</v>
      </c>
      <c r="AV65" s="131" t="str">
        <f>IFERROR(AVERAGEIFS(
'20102013 STH Efficacy'!$AX:$AX, 
'20102013 STH Efficacy'!$AL:$AL, $A65, 
'20102013 STH Efficacy'!$AM:$AM, "Albendazole",
'20102013 STH Efficacy'!$AS:$AS,"&lt;2011",
'20102013 STH Efficacy'!$BP:$BP,""),
"")</f>
        <v/>
      </c>
      <c r="AW65" s="132">
        <f t="shared" si="16"/>
        <v>0.3945</v>
      </c>
      <c r="AX65" s="131" t="str">
        <f>IFERROR(AVERAGEIFS(
'20102013 STH Efficacy'!$AX:$AX, 
'20102013 STH Efficacy'!$AL:$AL, $A65, 
'20102013 STH Efficacy'!$AM:$AM, "Mebendazole",
'20102013 STH Efficacy'!$AS:$AS,"&lt;2011",
'20102013 STH Efficacy'!$BP:$BP,""),
"")</f>
        <v/>
      </c>
      <c r="AY65" s="132">
        <f t="shared" si="17"/>
        <v>0.6</v>
      </c>
      <c r="AZ65" s="131" t="str">
        <f>IFERROR(AVERAGEIFS(
'20102013 STH Efficacy'!$AX:$AX, 
'20102013 STH Efficacy'!$AL:$AL, $A65, 
'20102013 STH Efficacy'!$AM:$AM, "Albendazole &amp; Ivermectin",
'20102013 STH Efficacy'!$AS:$AS,"&lt;2011",
'20102013 STH Efficacy'!$BP:$BP,""),
"")</f>
        <v/>
      </c>
      <c r="BA65" s="133">
        <f t="shared" si="18"/>
        <v>0.796</v>
      </c>
      <c r="BB65" s="134" t="str">
        <f>IFERROR(AVERAGEIFS(
'20102013 STH Efficacy'!$N:$N, 
'20102013 STH Efficacy'!$B:$B, $A65, 
'20102013 STH Efficacy'!$C:$C, "Albendazole",
'20102013 STH Efficacy'!$I:$I,"&lt;2011",
'20102013 STH Efficacy'!$AH:$AH,""),
"")</f>
        <v/>
      </c>
      <c r="BC65" s="135">
        <f t="shared" si="19"/>
        <v>0.869</v>
      </c>
      <c r="BD65" s="134" t="str">
        <f>IFERROR(AVERAGEIFS(
'20102013 STH Efficacy'!$N:$N, 
'20102013 STH Efficacy'!$B:$B, $A65, 
'20102013 STH Efficacy'!$C:$C, "Mebendazole",
'20102013 STH Efficacy'!$I:$I,"&lt;2011",
'20102013 STH Efficacy'!$AH:$AH,""),
"")</f>
        <v/>
      </c>
      <c r="BE65" s="135">
        <f t="shared" si="20"/>
        <v>0.172</v>
      </c>
      <c r="BF65" s="128" t="str">
        <f>IFERROR(AVERAGEIFS(
'20102013 STH Efficacy'!$CD:$CD, 
'20102013 STH Efficacy'!$BS:$BS, $A65, 
'20102013 STH Efficacy'!$BT:$BT, "Albendazole",
'20102013 STH Efficacy'!$BZ:$BZ,"&lt;2011",
'20102013 STH Efficacy'!$CU:$CU,""),
"")</f>
        <v/>
      </c>
      <c r="BG65" s="136">
        <f t="shared" si="21"/>
        <v>0.9862</v>
      </c>
      <c r="BH65" s="128" t="str">
        <f>IFERROR(AVERAGEIFS(
'20102013 STH Efficacy'!$CD:$CD, 
'20102013 STH Efficacy'!$BS:$BS, $A65, 
'20102013 STH Efficacy'!$BT:$BT, "Mebendazole",
'20102013 STH Efficacy'!$BZ:$BZ,"&lt;2011",
'20102013 STH Efficacy'!$CU:$CU,""),
"")</f>
        <v/>
      </c>
      <c r="BI65" s="136">
        <f t="shared" si="22"/>
        <v>0.769</v>
      </c>
      <c r="BJ65" s="128" t="str">
        <f>IFERROR(AVERAGEIFS(
'20102013 STH Efficacy'!$CD:$CD, 
'20102013 STH Efficacy'!$BS:$BS, $A65, 
'20102013 STH Efficacy'!$BT:$BT, "Albendazole &amp; Ivermectin",
'20102013 STH Efficacy'!$BZ:$BZ,"&lt;2011",
'20102013 STH Efficacy'!$CU:$CU,""),
"")</f>
        <v/>
      </c>
      <c r="BK65" s="136">
        <f t="shared" si="23"/>
        <v>1</v>
      </c>
      <c r="BL65" s="137"/>
      <c r="BM65" s="137"/>
      <c r="BN65" s="138">
        <v>1.0</v>
      </c>
      <c r="BO65" s="139">
        <v>0.0</v>
      </c>
      <c r="BP65" s="140">
        <v>0.0</v>
      </c>
      <c r="BQ65" s="141">
        <f t="shared" si="24"/>
        <v>0</v>
      </c>
      <c r="BR65" s="104" t="str">
        <f t="shared" si="25"/>
        <v>1000</v>
      </c>
      <c r="BS65" s="104" t="str">
        <f t="shared" si="26"/>
        <v>MDA1/2</v>
      </c>
      <c r="BT65" s="142" t="str">
        <f t="shared" si="27"/>
        <v>DEC+ALB</v>
      </c>
      <c r="BU65" s="104" t="str">
        <f t="shared" si="28"/>
        <v/>
      </c>
      <c r="BV65" s="104" t="str">
        <f t="shared" si="29"/>
        <v>lf only</v>
      </c>
      <c r="BW65" s="150">
        <f t="shared" si="30"/>
        <v>21.76294972</v>
      </c>
      <c r="BX65" s="150" t="str">
        <f t="shared" si="31"/>
        <v/>
      </c>
      <c r="BY65" s="151" t="str">
        <f t="shared" si="32"/>
        <v/>
      </c>
      <c r="BZ65" s="152" t="str">
        <f t="shared" si="33"/>
        <v/>
      </c>
      <c r="CA65" s="152" t="str">
        <f t="shared" si="34"/>
        <v/>
      </c>
      <c r="CB65" s="152" t="str">
        <f t="shared" si="35"/>
        <v/>
      </c>
      <c r="CC65" s="153" t="str">
        <f t="shared" si="36"/>
        <v/>
      </c>
      <c r="CD65" s="153" t="str">
        <f t="shared" si="37"/>
        <v/>
      </c>
      <c r="CE65" s="154" t="str">
        <f t="shared" si="38"/>
        <v/>
      </c>
      <c r="CF65" s="154" t="str">
        <f t="shared" si="39"/>
        <v/>
      </c>
      <c r="CG65" s="154" t="str">
        <f t="shared" si="40"/>
        <v/>
      </c>
    </row>
    <row r="66">
      <c r="A66" s="103" t="s">
        <v>155</v>
      </c>
      <c r="B66" s="104" t="s">
        <v>98</v>
      </c>
      <c r="C66" s="105">
        <v>1.493469E7</v>
      </c>
      <c r="D66" s="106">
        <v>0.0</v>
      </c>
      <c r="E66" s="107">
        <v>0.0</v>
      </c>
      <c r="F66" s="108">
        <v>410.8279729</v>
      </c>
      <c r="G66" s="157">
        <v>1105.795035</v>
      </c>
      <c r="H66" s="108">
        <v>1516.623008</v>
      </c>
      <c r="I66" s="109">
        <v>132.138527</v>
      </c>
      <c r="J66" s="110">
        <v>240.534541</v>
      </c>
      <c r="K66" s="110">
        <v>372.6730688</v>
      </c>
      <c r="L66" s="111">
        <v>1150.154217</v>
      </c>
      <c r="M66" s="111">
        <v>1178.622046</v>
      </c>
      <c r="N66" s="112">
        <v>2328.776263</v>
      </c>
      <c r="O66" s="113"/>
      <c r="P66" s="114"/>
      <c r="Q66" s="114"/>
      <c r="R66" s="115" t="str">
        <f t="shared" si="8"/>
        <v/>
      </c>
      <c r="S66" s="116">
        <f t="shared" si="9"/>
        <v>0.14553293</v>
      </c>
      <c r="T66" s="117"/>
      <c r="U66" s="118">
        <f t="shared" si="41"/>
        <v>0.39435</v>
      </c>
      <c r="V66" s="148"/>
      <c r="W66" s="120">
        <f t="shared" si="10"/>
        <v>0.3616</v>
      </c>
      <c r="X66" s="148"/>
      <c r="Y66" s="120">
        <f t="shared" si="11"/>
        <v>0.5015615385</v>
      </c>
      <c r="Z66" s="121"/>
      <c r="AA66" s="121"/>
      <c r="AB66" s="121"/>
      <c r="AC66" s="121"/>
      <c r="AD66" s="122">
        <v>0.0</v>
      </c>
      <c r="AE66" s="123">
        <v>0.0</v>
      </c>
      <c r="AF66" s="123">
        <v>0.0</v>
      </c>
      <c r="AG66" s="124">
        <v>0.234</v>
      </c>
      <c r="AH66" s="124">
        <v>0.280818553</v>
      </c>
      <c r="AI66" s="125">
        <v>0.0216</v>
      </c>
      <c r="AJ66" s="125">
        <v>0.020941671</v>
      </c>
      <c r="AK66" s="127">
        <v>0.29</v>
      </c>
      <c r="AL66" s="127">
        <v>0.292260419</v>
      </c>
      <c r="AM66" s="128"/>
      <c r="AN66" s="149" t="str">
        <f>IFERROR(
  AVERAGEIFS(
    'New 20102013 LF Efficacy'!$J:$J,
    'New 20102013 LF Efficacy'!$D:$D, $A66,
    'New 20102013 LF Efficacy'!$F:$F,"DEC", 
    'New 20102013 LF Efficacy'!$W:$W,"&lt;2011",
    'New 20102013 LF Efficacy'!$AA:$AA,""),
  ""
)</f>
        <v/>
      </c>
      <c r="AO66" s="115">
        <f t="shared" si="12"/>
        <v>0.2589833333</v>
      </c>
      <c r="AP66" s="121" t="str">
        <f>IFERROR(
AVERAGEIFS(
'New 20102013 LF Efficacy'!$J:$J,
'New 20102013 LF Efficacy'!$D:$D,$A66,
'New 20102013 LF Efficacy'!$F:$F,"Albendazole &amp; DEC",
'New 20102013 LF Efficacy'!$W:$W,"&lt;2011",
'New 20102013 LF Efficacy'!$AA:$AA,""),
"")
</f>
        <v/>
      </c>
      <c r="AQ66" s="115">
        <f t="shared" si="13"/>
        <v>0.3465</v>
      </c>
      <c r="AR66" s="121" t="str">
        <f>IFERROR(
AVERAGEIFS(
'New 20102013 LF Efficacy'!$J:$J,
'New 20102013 LF Efficacy'!$D:$D,$A66,
'New 20102013 LF Efficacy'!$F:$F,"Albendazole &amp; Ivermectin", 
'New 20102013 LF Efficacy'!$W:$W,"&lt;2011",
'New 20102013 LF Efficacy'!$AA:$AA,""),"")</f>
        <v/>
      </c>
      <c r="AS66" s="115">
        <f t="shared" si="14"/>
        <v>0.7575</v>
      </c>
      <c r="AT66" s="130" t="str">
        <f>IFERROR(AVERAGEIFS(
'20102013 Schist Efficacy'!$O:$O, 
'20102013 Schist Efficacy'!$C:$C,$A66, 
'20102013 Schist Efficacy'!$D:$D, "Praziquantel",
'20102013 Schist Efficacy'!$J:$J,"&lt;2011",
'20102013 Schist Efficacy'!$U:$U,""),
"")</f>
        <v/>
      </c>
      <c r="AU66" s="118">
        <f t="shared" si="15"/>
        <v>0.7732631579</v>
      </c>
      <c r="AV66" s="131" t="str">
        <f>IFERROR(AVERAGEIFS(
'20102013 STH Efficacy'!$AX:$AX, 
'20102013 STH Efficacy'!$AL:$AL, $A66, 
'20102013 STH Efficacy'!$AM:$AM, "Albendazole",
'20102013 STH Efficacy'!$AS:$AS,"&lt;2011",
'20102013 STH Efficacy'!$BP:$BP,""),
"")</f>
        <v/>
      </c>
      <c r="AW66" s="132">
        <f t="shared" si="16"/>
        <v>0.3945</v>
      </c>
      <c r="AX66" s="131" t="str">
        <f>IFERROR(AVERAGEIFS(
'20102013 STH Efficacy'!$AX:$AX, 
'20102013 STH Efficacy'!$AL:$AL, $A66, 
'20102013 STH Efficacy'!$AM:$AM, "Mebendazole",
'20102013 STH Efficacy'!$AS:$AS,"&lt;2011",
'20102013 STH Efficacy'!$BP:$BP,""),
"")</f>
        <v/>
      </c>
      <c r="AY66" s="132">
        <f t="shared" si="17"/>
        <v>0.6</v>
      </c>
      <c r="AZ66" s="131" t="str">
        <f>IFERROR(AVERAGEIFS(
'20102013 STH Efficacy'!$AX:$AX, 
'20102013 STH Efficacy'!$AL:$AL, $A66, 
'20102013 STH Efficacy'!$AM:$AM, "Albendazole &amp; Ivermectin",
'20102013 STH Efficacy'!$AS:$AS,"&lt;2011",
'20102013 STH Efficacy'!$BP:$BP,""),
"")</f>
        <v/>
      </c>
      <c r="BA66" s="133">
        <f t="shared" si="18"/>
        <v>0.796</v>
      </c>
      <c r="BB66" s="134" t="str">
        <f>IFERROR(AVERAGEIFS(
'20102013 STH Efficacy'!$N:$N, 
'20102013 STH Efficacy'!$B:$B, $A66, 
'20102013 STH Efficacy'!$C:$C, "Albendazole",
'20102013 STH Efficacy'!$I:$I,"&lt;2011",
'20102013 STH Efficacy'!$AH:$AH,""),
"")</f>
        <v/>
      </c>
      <c r="BC66" s="135">
        <f t="shared" si="19"/>
        <v>0.869</v>
      </c>
      <c r="BD66" s="134" t="str">
        <f>IFERROR(AVERAGEIFS(
'20102013 STH Efficacy'!$N:$N, 
'20102013 STH Efficacy'!$B:$B, $A66, 
'20102013 STH Efficacy'!$C:$C, "Mebendazole",
'20102013 STH Efficacy'!$I:$I,"&lt;2011",
'20102013 STH Efficacy'!$AH:$AH,""),
"")</f>
        <v/>
      </c>
      <c r="BE66" s="135">
        <f t="shared" si="20"/>
        <v>0.172</v>
      </c>
      <c r="BF66" s="128" t="str">
        <f>IFERROR(AVERAGEIFS(
'20102013 STH Efficacy'!$CD:$CD, 
'20102013 STH Efficacy'!$BS:$BS, $A66, 
'20102013 STH Efficacy'!$BT:$BT, "Albendazole",
'20102013 STH Efficacy'!$BZ:$BZ,"&lt;2011",
'20102013 STH Efficacy'!$CU:$CU,""),
"")</f>
        <v/>
      </c>
      <c r="BG66" s="136">
        <f t="shared" si="21"/>
        <v>0.9862</v>
      </c>
      <c r="BH66" s="128" t="str">
        <f>IFERROR(AVERAGEIFS(
'20102013 STH Efficacy'!$CD:$CD, 
'20102013 STH Efficacy'!$BS:$BS, $A66, 
'20102013 STH Efficacy'!$BT:$BT, "Mebendazole",
'20102013 STH Efficacy'!$BZ:$BZ,"&lt;2011",
'20102013 STH Efficacy'!$CU:$CU,""),
"")</f>
        <v/>
      </c>
      <c r="BI66" s="136">
        <f t="shared" si="22"/>
        <v>0.769</v>
      </c>
      <c r="BJ66" s="128" t="str">
        <f>IFERROR(AVERAGEIFS(
'20102013 STH Efficacy'!$CD:$CD, 
'20102013 STH Efficacy'!$BS:$BS, $A66, 
'20102013 STH Efficacy'!$BT:$BT, "Albendazole &amp; Ivermectin",
'20102013 STH Efficacy'!$BZ:$BZ,"&lt;2011",
'20102013 STH Efficacy'!$CU:$CU,""),
"")</f>
        <v/>
      </c>
      <c r="BK66" s="136">
        <f t="shared" si="23"/>
        <v>1</v>
      </c>
      <c r="BL66" s="137"/>
      <c r="BM66" s="137"/>
      <c r="BN66" s="138">
        <v>0.0</v>
      </c>
      <c r="BO66" s="139">
        <v>0.0</v>
      </c>
      <c r="BP66" s="140">
        <v>0.0</v>
      </c>
      <c r="BQ66" s="141">
        <f t="shared" si="24"/>
        <v>0</v>
      </c>
      <c r="BR66" s="104" t="str">
        <f t="shared" si="25"/>
        <v>0000</v>
      </c>
      <c r="BS66" s="104" t="str">
        <f t="shared" si="26"/>
        <v>no action required</v>
      </c>
      <c r="BT66" s="142" t="str">
        <f t="shared" si="27"/>
        <v/>
      </c>
      <c r="BU66" s="104" t="str">
        <f t="shared" si="28"/>
        <v/>
      </c>
      <c r="BV66" s="104" t="str">
        <f t="shared" si="29"/>
        <v>none</v>
      </c>
      <c r="BW66" s="150" t="str">
        <f t="shared" si="30"/>
        <v/>
      </c>
      <c r="BX66" s="150" t="str">
        <f t="shared" si="31"/>
        <v/>
      </c>
      <c r="BY66" s="151" t="str">
        <f t="shared" si="32"/>
        <v/>
      </c>
      <c r="BZ66" s="152" t="str">
        <f t="shared" si="33"/>
        <v/>
      </c>
      <c r="CA66" s="152" t="str">
        <f t="shared" si="34"/>
        <v/>
      </c>
      <c r="CB66" s="152" t="str">
        <f t="shared" si="35"/>
        <v/>
      </c>
      <c r="CC66" s="153" t="str">
        <f t="shared" si="36"/>
        <v/>
      </c>
      <c r="CD66" s="153" t="str">
        <f t="shared" si="37"/>
        <v/>
      </c>
      <c r="CE66" s="154" t="str">
        <f t="shared" si="38"/>
        <v/>
      </c>
      <c r="CF66" s="154" t="str">
        <f t="shared" si="39"/>
        <v/>
      </c>
      <c r="CG66" s="154" t="str">
        <f t="shared" si="40"/>
        <v/>
      </c>
    </row>
    <row r="67">
      <c r="A67" s="155" t="s">
        <v>156</v>
      </c>
      <c r="B67" s="104" t="s">
        <v>88</v>
      </c>
      <c r="C67" s="105">
        <v>8.4107606E7</v>
      </c>
      <c r="D67" s="106">
        <v>516.6400562</v>
      </c>
      <c r="E67" s="107">
        <v>149394.8691</v>
      </c>
      <c r="F67" s="108">
        <v>0.202772658</v>
      </c>
      <c r="G67" s="108">
        <v>0.993401798</v>
      </c>
      <c r="H67" s="157">
        <v>1.196174457</v>
      </c>
      <c r="I67" s="110">
        <v>465.083685</v>
      </c>
      <c r="J67" s="110">
        <v>1197.87798</v>
      </c>
      <c r="K67" s="110">
        <v>1662.961666</v>
      </c>
      <c r="L67" s="111">
        <v>190.3640096</v>
      </c>
      <c r="M67" s="112">
        <v>240.2398162</v>
      </c>
      <c r="N67" s="158">
        <v>430.6038257</v>
      </c>
      <c r="O67" s="159"/>
      <c r="P67" s="160">
        <v>515148.0</v>
      </c>
      <c r="Q67" s="160">
        <v>496292.0</v>
      </c>
      <c r="R67" s="115">
        <f t="shared" si="8"/>
        <v>0.9633969267</v>
      </c>
      <c r="S67" s="116">
        <f t="shared" si="9"/>
        <v>0.9633969267</v>
      </c>
      <c r="T67" s="118">
        <v>1.0</v>
      </c>
      <c r="U67" s="118">
        <f t="shared" si="41"/>
        <v>1</v>
      </c>
      <c r="V67" s="148"/>
      <c r="W67" s="120">
        <f t="shared" si="10"/>
        <v>0.9019</v>
      </c>
      <c r="X67" s="148"/>
      <c r="Y67" s="120">
        <f t="shared" si="11"/>
        <v>0.094</v>
      </c>
      <c r="Z67" s="121"/>
      <c r="AA67" s="121"/>
      <c r="AB67" s="121"/>
      <c r="AC67" s="121"/>
      <c r="AD67" s="122">
        <v>1.0E-4</v>
      </c>
      <c r="AE67" s="123">
        <v>0.23</v>
      </c>
      <c r="AF67" s="123">
        <v>0.0597</v>
      </c>
      <c r="AG67" s="124">
        <v>0.0017</v>
      </c>
      <c r="AH67" s="124">
        <v>0.002587431</v>
      </c>
      <c r="AI67" s="125">
        <v>0.0128</v>
      </c>
      <c r="AJ67" s="125">
        <v>0.018828027</v>
      </c>
      <c r="AK67" s="127">
        <v>0.02</v>
      </c>
      <c r="AL67" s="127">
        <v>0.027227343</v>
      </c>
      <c r="AM67" s="128"/>
      <c r="AN67" s="149" t="str">
        <f>IFERROR(
  AVERAGEIFS(
    'New 20102013 LF Efficacy'!$J:$J,
    'New 20102013 LF Efficacy'!$D:$D, $A67,
    'New 20102013 LF Efficacy'!$F:$F,"DEC", 
    'New 20102013 LF Efficacy'!$W:$W,"&lt;2011",
    'New 20102013 LF Efficacy'!$AA:$AA,""),
  ""
)</f>
        <v/>
      </c>
      <c r="AO67" s="115">
        <f t="shared" si="12"/>
        <v>0.3573520833</v>
      </c>
      <c r="AP67" s="121">
        <f>IFERROR(
AVERAGEIFS(
'New 20102013 LF Efficacy'!$J:$J,
'New 20102013 LF Efficacy'!$D:$D,$A67,
'New 20102013 LF Efficacy'!$F:$F,"Albendazole &amp; DEC",
'New 20102013 LF Efficacy'!$W:$W,"&lt;2011",
'New 20102013 LF Efficacy'!$AA:$AA,""),
"")
</f>
        <v>0.7935</v>
      </c>
      <c r="AQ67" s="115">
        <f t="shared" si="13"/>
        <v>0.7935</v>
      </c>
      <c r="AR67" s="121" t="str">
        <f>IFERROR(
AVERAGEIFS(
'New 20102013 LF Efficacy'!$J:$J,
'New 20102013 LF Efficacy'!$D:$D,$A67,
'New 20102013 LF Efficacy'!$F:$F,"Albendazole &amp; Ivermectin", 
'New 20102013 LF Efficacy'!$W:$W,"&lt;2011",
'New 20102013 LF Efficacy'!$AA:$AA,""),"")</f>
        <v/>
      </c>
      <c r="AS67" s="115">
        <f t="shared" si="14"/>
        <v>0.37153125</v>
      </c>
      <c r="AT67" s="130">
        <f>IFERROR(AVERAGEIFS(
'20102013 Schist Efficacy'!$O:$O, 
'20102013 Schist Efficacy'!$C:$C,$A67, 
'20102013 Schist Efficacy'!$D:$D, "Praziquantel",
'20102013 Schist Efficacy'!$J:$J,"&lt;2011",
'20102013 Schist Efficacy'!$U:$U,""),
"")</f>
        <v>0.59825</v>
      </c>
      <c r="AU67" s="118">
        <f t="shared" si="15"/>
        <v>0.59825</v>
      </c>
      <c r="AV67" s="131" t="str">
        <f>IFERROR(AVERAGEIFS(
'20102013 STH Efficacy'!$AX:$AX, 
'20102013 STH Efficacy'!$AL:$AL, $A67, 
'20102013 STH Efficacy'!$AM:$AM, "Albendazole",
'20102013 STH Efficacy'!$AS:$AS,"&lt;2011",
'20102013 STH Efficacy'!$BP:$BP,""),
"")</f>
        <v/>
      </c>
      <c r="AW67" s="132">
        <f t="shared" si="16"/>
        <v>0.3842878788</v>
      </c>
      <c r="AX67" s="131" t="str">
        <f>IFERROR(AVERAGEIFS(
'20102013 STH Efficacy'!$AX:$AX, 
'20102013 STH Efficacy'!$AL:$AL, $A67, 
'20102013 STH Efficacy'!$AM:$AM, "Mebendazole",
'20102013 STH Efficacy'!$AS:$AS,"&lt;2011",
'20102013 STH Efficacy'!$BP:$BP,""),
"")</f>
        <v/>
      </c>
      <c r="AY67" s="132">
        <f t="shared" si="17"/>
        <v>0.5121666667</v>
      </c>
      <c r="AZ67" s="131" t="str">
        <f>IFERROR(AVERAGEIFS(
'20102013 STH Efficacy'!$AX:$AX, 
'20102013 STH Efficacy'!$AL:$AL, $A67, 
'20102013 STH Efficacy'!$AM:$AM, "Albendazole &amp; Ivermectin",
'20102013 STH Efficacy'!$AS:$AS,"&lt;2011",
'20102013 STH Efficacy'!$BP:$BP,""),
"")</f>
        <v/>
      </c>
      <c r="BA67" s="133">
        <f t="shared" si="18"/>
        <v>0.7176666667</v>
      </c>
      <c r="BB67" s="134" t="str">
        <f>IFERROR(AVERAGEIFS(
'20102013 STH Efficacy'!$N:$N, 
'20102013 STH Efficacy'!$B:$B, $A67, 
'20102013 STH Efficacy'!$C:$C, "Albendazole",
'20102013 STH Efficacy'!$I:$I,"&lt;2011",
'20102013 STH Efficacy'!$AH:$AH,""),
"")</f>
        <v/>
      </c>
      <c r="BC67" s="135">
        <f t="shared" si="19"/>
        <v>0.7630416667</v>
      </c>
      <c r="BD67" s="134" t="str">
        <f>IFERROR(AVERAGEIFS(
'20102013 STH Efficacy'!$N:$N, 
'20102013 STH Efficacy'!$B:$B, $A67, 
'20102013 STH Efficacy'!$C:$C, "Mebendazole",
'20102013 STH Efficacy'!$I:$I,"&lt;2011",
'20102013 STH Efficacy'!$AH:$AH,""),
"")</f>
        <v/>
      </c>
      <c r="BE67" s="135">
        <f t="shared" si="20"/>
        <v>0.4405966667</v>
      </c>
      <c r="BF67" s="128" t="str">
        <f>IFERROR(AVERAGEIFS(
'20102013 STH Efficacy'!$CD:$CD, 
'20102013 STH Efficacy'!$BS:$BS, $A67, 
'20102013 STH Efficacy'!$BT:$BT, "Albendazole",
'20102013 STH Efficacy'!$BZ:$BZ,"&lt;2011",
'20102013 STH Efficacy'!$CU:$CU,""),
"")</f>
        <v/>
      </c>
      <c r="BG67" s="136">
        <f t="shared" si="21"/>
        <v>0.955</v>
      </c>
      <c r="BH67" s="128" t="str">
        <f>IFERROR(AVERAGEIFS(
'20102013 STH Efficacy'!$CD:$CD, 
'20102013 STH Efficacy'!$BS:$BS, $A67, 
'20102013 STH Efficacy'!$BT:$BT, "Mebendazole",
'20102013 STH Efficacy'!$BZ:$BZ,"&lt;2011",
'20102013 STH Efficacy'!$CU:$CU,""),
"")</f>
        <v/>
      </c>
      <c r="BI67" s="136">
        <f t="shared" si="22"/>
        <v>1</v>
      </c>
      <c r="BJ67" s="128" t="str">
        <f>IFERROR(AVERAGEIFS(
'20102013 STH Efficacy'!$CD:$CD, 
'20102013 STH Efficacy'!$BS:$BS, $A67, 
'20102013 STH Efficacy'!$BT:$BT, "Albendazole &amp; Ivermectin",
'20102013 STH Efficacy'!$BZ:$BZ,"&lt;2011",
'20102013 STH Efficacy'!$CU:$CU,""),
"")</f>
        <v/>
      </c>
      <c r="BK67" s="136">
        <f t="shared" si="23"/>
        <v>1</v>
      </c>
      <c r="BL67" s="137"/>
      <c r="BM67" s="137"/>
      <c r="BN67" s="138">
        <v>1.0</v>
      </c>
      <c r="BO67" s="139">
        <v>1.0</v>
      </c>
      <c r="BP67" s="140">
        <v>1.0</v>
      </c>
      <c r="BQ67" s="141">
        <f t="shared" si="24"/>
        <v>0</v>
      </c>
      <c r="BR67" s="104" t="str">
        <f t="shared" si="25"/>
        <v>1110</v>
      </c>
      <c r="BS67" s="104" t="str">
        <f t="shared" si="26"/>
        <v>MDA1+T2</v>
      </c>
      <c r="BT67" s="142" t="str">
        <f t="shared" si="27"/>
        <v>IVM+ALB</v>
      </c>
      <c r="BU67" s="104" t="str">
        <f t="shared" si="28"/>
        <v>PZQ</v>
      </c>
      <c r="BV67" s="104" t="str">
        <f t="shared" si="29"/>
        <v>lf+onch+schist </v>
      </c>
      <c r="BW67" s="150" t="str">
        <f t="shared" si="30"/>
        <v/>
      </c>
      <c r="BX67" s="150">
        <f t="shared" si="31"/>
        <v>288.0100868</v>
      </c>
      <c r="BY67" s="162">
        <f t="shared" si="32"/>
        <v>222465.4149</v>
      </c>
      <c r="BZ67" s="152" t="str">
        <f t="shared" si="33"/>
        <v/>
      </c>
      <c r="CA67" s="152" t="str">
        <f t="shared" si="34"/>
        <v/>
      </c>
      <c r="CB67" s="152" t="str">
        <f t="shared" si="35"/>
        <v/>
      </c>
      <c r="CC67" s="153" t="str">
        <f t="shared" si="36"/>
        <v/>
      </c>
      <c r="CD67" s="153" t="str">
        <f t="shared" si="37"/>
        <v/>
      </c>
      <c r="CE67" s="154" t="str">
        <f t="shared" si="38"/>
        <v/>
      </c>
      <c r="CF67" s="154" t="str">
        <f t="shared" si="39"/>
        <v/>
      </c>
      <c r="CG67" s="154" t="str">
        <f t="shared" si="40"/>
        <v/>
      </c>
    </row>
    <row r="68">
      <c r="A68" s="155" t="s">
        <v>157</v>
      </c>
      <c r="B68" s="104" t="s">
        <v>98</v>
      </c>
      <c r="C68" s="105">
        <v>6164626.0</v>
      </c>
      <c r="D68" s="106">
        <v>0.0</v>
      </c>
      <c r="E68" s="107">
        <v>0.0</v>
      </c>
      <c r="F68" s="108">
        <v>12.41513255</v>
      </c>
      <c r="G68" s="108">
        <v>0.197623251</v>
      </c>
      <c r="H68" s="157">
        <v>12.6127558</v>
      </c>
      <c r="I68" s="110">
        <v>225.827684</v>
      </c>
      <c r="J68" s="109">
        <v>88.1100489</v>
      </c>
      <c r="K68" s="109">
        <v>313.9377325</v>
      </c>
      <c r="L68" s="112">
        <v>36.31196219</v>
      </c>
      <c r="M68" s="112">
        <v>19.293065</v>
      </c>
      <c r="N68" s="112">
        <v>55.60502718</v>
      </c>
      <c r="O68" s="113"/>
      <c r="P68" s="114"/>
      <c r="Q68" s="114"/>
      <c r="R68" s="115" t="str">
        <f t="shared" si="8"/>
        <v/>
      </c>
      <c r="S68" s="116">
        <f t="shared" si="9"/>
        <v>0.14553293</v>
      </c>
      <c r="T68" s="117"/>
      <c r="U68" s="118">
        <f t="shared" si="41"/>
        <v>0.39435</v>
      </c>
      <c r="V68" s="119">
        <v>1.0</v>
      </c>
      <c r="W68" s="120">
        <f t="shared" si="10"/>
        <v>1</v>
      </c>
      <c r="X68" s="119">
        <v>0.5916</v>
      </c>
      <c r="Y68" s="120">
        <f t="shared" si="11"/>
        <v>0.5916</v>
      </c>
      <c r="Z68" s="114"/>
      <c r="AA68" s="114"/>
      <c r="AB68" s="114"/>
      <c r="AC68" s="114"/>
      <c r="AD68" s="164">
        <v>0.0</v>
      </c>
      <c r="AE68" s="123">
        <v>0.0</v>
      </c>
      <c r="AF68" s="123">
        <v>0.0</v>
      </c>
      <c r="AG68" s="124">
        <v>0.1118</v>
      </c>
      <c r="AH68" s="124">
        <v>0.028666583</v>
      </c>
      <c r="AI68" s="125">
        <v>0.1257</v>
      </c>
      <c r="AJ68" s="125">
        <v>0.017591304</v>
      </c>
      <c r="AK68" s="127">
        <v>0.04</v>
      </c>
      <c r="AL68" s="169">
        <v>0.010924381</v>
      </c>
      <c r="AM68" s="128"/>
      <c r="AN68" s="149" t="str">
        <f>IFERROR(
  AVERAGEIFS(
    'New 20102013 LF Efficacy'!$J:$J,
    'New 20102013 LF Efficacy'!$D:$D, $A68,
    'New 20102013 LF Efficacy'!$F:$F,"DEC", 
    'New 20102013 LF Efficacy'!$W:$W,"&lt;2011",
    'New 20102013 LF Efficacy'!$AA:$AA,""),
  ""
)</f>
        <v/>
      </c>
      <c r="AO68" s="115">
        <f t="shared" si="12"/>
        <v>0.2589833333</v>
      </c>
      <c r="AP68" s="121" t="str">
        <f>IFERROR(
AVERAGEIFS(
'New 20102013 LF Efficacy'!$J:$J,
'New 20102013 LF Efficacy'!$D:$D,$A68,
'New 20102013 LF Efficacy'!$F:$F,"Albendazole &amp; DEC",
'New 20102013 LF Efficacy'!$W:$W,"&lt;2011",
'New 20102013 LF Efficacy'!$AA:$AA,""),
"")
</f>
        <v/>
      </c>
      <c r="AQ68" s="115">
        <f t="shared" si="13"/>
        <v>0.3465</v>
      </c>
      <c r="AR68" s="121" t="str">
        <f>IFERROR(
AVERAGEIFS(
'New 20102013 LF Efficacy'!$J:$J,
'New 20102013 LF Efficacy'!$D:$D,$A68,
'New 20102013 LF Efficacy'!$F:$F,"Albendazole &amp; Ivermectin", 
'New 20102013 LF Efficacy'!$W:$W,"&lt;2011",
'New 20102013 LF Efficacy'!$AA:$AA,""),"")</f>
        <v/>
      </c>
      <c r="AS68" s="115">
        <f t="shared" si="14"/>
        <v>0.7575</v>
      </c>
      <c r="AT68" s="130" t="str">
        <f>IFERROR(AVERAGEIFS(
'20102013 Schist Efficacy'!$O:$O, 
'20102013 Schist Efficacy'!$C:$C,$A68, 
'20102013 Schist Efficacy'!$D:$D, "Praziquantel",
'20102013 Schist Efficacy'!$J:$J,"&lt;2011",
'20102013 Schist Efficacy'!$U:$U,""),
"")</f>
        <v/>
      </c>
      <c r="AU68" s="118">
        <f t="shared" si="15"/>
        <v>0.7732631579</v>
      </c>
      <c r="AV68" s="131" t="str">
        <f>IFERROR(AVERAGEIFS(
'20102013 STH Efficacy'!$AX:$AX, 
'20102013 STH Efficacy'!$AL:$AL, $A68, 
'20102013 STH Efficacy'!$AM:$AM, "Albendazole",
'20102013 STH Efficacy'!$AS:$AS,"&lt;2011",
'20102013 STH Efficacy'!$BP:$BP,""),
"")</f>
        <v/>
      </c>
      <c r="AW68" s="132">
        <f t="shared" si="16"/>
        <v>0.3945</v>
      </c>
      <c r="AX68" s="131" t="str">
        <f>IFERROR(AVERAGEIFS(
'20102013 STH Efficacy'!$AX:$AX, 
'20102013 STH Efficacy'!$AL:$AL, $A68, 
'20102013 STH Efficacy'!$AM:$AM, "Mebendazole",
'20102013 STH Efficacy'!$AS:$AS,"&lt;2011",
'20102013 STH Efficacy'!$BP:$BP,""),
"")</f>
        <v/>
      </c>
      <c r="AY68" s="132">
        <f t="shared" si="17"/>
        <v>0.6</v>
      </c>
      <c r="AZ68" s="131" t="str">
        <f>IFERROR(AVERAGEIFS(
'20102013 STH Efficacy'!$AX:$AX, 
'20102013 STH Efficacy'!$AL:$AL, $A68, 
'20102013 STH Efficacy'!$AM:$AM, "Albendazole &amp; Ivermectin",
'20102013 STH Efficacy'!$AS:$AS,"&lt;2011",
'20102013 STH Efficacy'!$BP:$BP,""),
"")</f>
        <v/>
      </c>
      <c r="BA68" s="133">
        <f t="shared" si="18"/>
        <v>0.796</v>
      </c>
      <c r="BB68" s="134" t="str">
        <f>IFERROR(AVERAGEIFS(
'20102013 STH Efficacy'!$N:$N, 
'20102013 STH Efficacy'!$B:$B, $A68, 
'20102013 STH Efficacy'!$C:$C, "Albendazole",
'20102013 STH Efficacy'!$I:$I,"&lt;2011",
'20102013 STH Efficacy'!$AH:$AH,""),
"")</f>
        <v/>
      </c>
      <c r="BC68" s="135">
        <f t="shared" si="19"/>
        <v>0.869</v>
      </c>
      <c r="BD68" s="134" t="str">
        <f>IFERROR(AVERAGEIFS(
'20102013 STH Efficacy'!$N:$N, 
'20102013 STH Efficacy'!$B:$B, $A68, 
'20102013 STH Efficacy'!$C:$C, "Mebendazole",
'20102013 STH Efficacy'!$I:$I,"&lt;2011",
'20102013 STH Efficacy'!$AH:$AH,""),
"")</f>
        <v/>
      </c>
      <c r="BE68" s="135">
        <f t="shared" si="20"/>
        <v>0.172</v>
      </c>
      <c r="BF68" s="128" t="str">
        <f>IFERROR(AVERAGEIFS(
'20102013 STH Efficacy'!$CD:$CD, 
'20102013 STH Efficacy'!$BS:$BS, $A68, 
'20102013 STH Efficacy'!$BT:$BT, "Albendazole",
'20102013 STH Efficacy'!$BZ:$BZ,"&lt;2011",
'20102013 STH Efficacy'!$CU:$CU,""),
"")</f>
        <v/>
      </c>
      <c r="BG68" s="136">
        <f t="shared" si="21"/>
        <v>0.9862</v>
      </c>
      <c r="BH68" s="128" t="str">
        <f>IFERROR(AVERAGEIFS(
'20102013 STH Efficacy'!$CD:$CD, 
'20102013 STH Efficacy'!$BS:$BS, $A68, 
'20102013 STH Efficacy'!$BT:$BT, "Mebendazole",
'20102013 STH Efficacy'!$BZ:$BZ,"&lt;2011",
'20102013 STH Efficacy'!$CU:$CU,""),
"")</f>
        <v/>
      </c>
      <c r="BI68" s="136">
        <f t="shared" si="22"/>
        <v>0.769</v>
      </c>
      <c r="BJ68" s="128" t="str">
        <f>IFERROR(AVERAGEIFS(
'20102013 STH Efficacy'!$CD:$CD, 
'20102013 STH Efficacy'!$BS:$BS, $A68, 
'20102013 STH Efficacy'!$BT:$BT, "Albendazole &amp; Ivermectin",
'20102013 STH Efficacy'!$BZ:$BZ,"&lt;2011",
'20102013 STH Efficacy'!$CU:$CU,""),
"")</f>
        <v/>
      </c>
      <c r="BK68" s="136">
        <f t="shared" si="23"/>
        <v>1</v>
      </c>
      <c r="BL68" s="137"/>
      <c r="BM68" s="137"/>
      <c r="BN68" s="138">
        <v>0.0</v>
      </c>
      <c r="BO68" s="139">
        <v>0.0</v>
      </c>
      <c r="BP68" s="140">
        <v>0.0</v>
      </c>
      <c r="BQ68" s="141">
        <f t="shared" si="24"/>
        <v>0</v>
      </c>
      <c r="BR68" s="104" t="str">
        <f t="shared" si="25"/>
        <v>0000</v>
      </c>
      <c r="BS68" s="104" t="str">
        <f t="shared" si="26"/>
        <v>no action required</v>
      </c>
      <c r="BT68" s="142" t="str">
        <f t="shared" si="27"/>
        <v/>
      </c>
      <c r="BU68" s="104" t="str">
        <f t="shared" si="28"/>
        <v/>
      </c>
      <c r="BV68" s="104" t="str">
        <f t="shared" si="29"/>
        <v>none</v>
      </c>
      <c r="BW68" s="150" t="str">
        <f t="shared" si="30"/>
        <v/>
      </c>
      <c r="BX68" s="150" t="str">
        <f t="shared" si="31"/>
        <v/>
      </c>
      <c r="BY68" s="151" t="str">
        <f t="shared" si="32"/>
        <v/>
      </c>
      <c r="BZ68" s="152" t="str">
        <f t="shared" si="33"/>
        <v/>
      </c>
      <c r="CA68" s="152" t="str">
        <f t="shared" si="34"/>
        <v/>
      </c>
      <c r="CB68" s="152" t="str">
        <f t="shared" si="35"/>
        <v/>
      </c>
      <c r="CC68" s="153" t="str">
        <f t="shared" si="36"/>
        <v/>
      </c>
      <c r="CD68" s="153" t="str">
        <f t="shared" si="37"/>
        <v/>
      </c>
      <c r="CE68" s="154" t="str">
        <f t="shared" si="38"/>
        <v/>
      </c>
      <c r="CF68" s="154" t="str">
        <f t="shared" si="39"/>
        <v/>
      </c>
      <c r="CG68" s="154" t="str">
        <f t="shared" si="40"/>
        <v/>
      </c>
    </row>
    <row r="69">
      <c r="A69" s="155" t="s">
        <v>158</v>
      </c>
      <c r="B69" s="104" t="s">
        <v>92</v>
      </c>
      <c r="C69" s="105">
        <v>951104.0</v>
      </c>
      <c r="D69" s="106">
        <v>1121.399883</v>
      </c>
      <c r="E69" s="107">
        <v>557.0205427</v>
      </c>
      <c r="F69" s="108">
        <v>19.42691185</v>
      </c>
      <c r="G69" s="157">
        <v>100.9037647</v>
      </c>
      <c r="H69" s="157">
        <v>120.3306765</v>
      </c>
      <c r="I69" s="110">
        <v>37.4835204</v>
      </c>
      <c r="J69" s="110">
        <v>124.464185</v>
      </c>
      <c r="K69" s="110">
        <v>161.9477054</v>
      </c>
      <c r="L69" s="111">
        <v>204.7029678</v>
      </c>
      <c r="M69" s="111">
        <v>243.3216846</v>
      </c>
      <c r="N69" s="158">
        <v>448.0246524</v>
      </c>
      <c r="O69" s="159"/>
      <c r="P69" s="160">
        <v>420000.0</v>
      </c>
      <c r="Q69" s="156"/>
      <c r="R69" s="115">
        <f t="shared" si="8"/>
        <v>0</v>
      </c>
      <c r="S69" s="116">
        <f t="shared" si="9"/>
        <v>0.1716437208</v>
      </c>
      <c r="T69" s="117"/>
      <c r="U69" s="118">
        <f t="shared" si="41"/>
        <v>0.252</v>
      </c>
      <c r="V69" s="148"/>
      <c r="W69" s="120">
        <f t="shared" si="10"/>
        <v>0.7266555556</v>
      </c>
      <c r="X69" s="148"/>
      <c r="Y69" s="120">
        <f t="shared" si="11"/>
        <v>0.4342071429</v>
      </c>
      <c r="Z69" s="121"/>
      <c r="AA69" s="121"/>
      <c r="AB69" s="121"/>
      <c r="AC69" s="121"/>
      <c r="AD69" s="122">
        <v>0.0372</v>
      </c>
      <c r="AE69" s="123">
        <v>0.1</v>
      </c>
      <c r="AF69" s="123">
        <v>0.0201</v>
      </c>
      <c r="AG69" s="124">
        <v>0.2222</v>
      </c>
      <c r="AH69" s="124">
        <v>0.347165338</v>
      </c>
      <c r="AI69" s="125">
        <v>0.1076</v>
      </c>
      <c r="AJ69" s="125">
        <v>0.172261758</v>
      </c>
      <c r="AK69" s="126">
        <v>0.0</v>
      </c>
      <c r="AL69" s="169">
        <v>0.467226291</v>
      </c>
      <c r="AM69" s="128"/>
      <c r="AN69" s="149" t="str">
        <f>IFERROR(
  AVERAGEIFS(
    'New 20102013 LF Efficacy'!$J:$J,
    'New 20102013 LF Efficacy'!$D:$D, $A69,
    'New 20102013 LF Efficacy'!$F:$F,"DEC", 
    'New 20102013 LF Efficacy'!$W:$W,"&lt;2011",
    'New 20102013 LF Efficacy'!$AA:$AA,""),
  ""
)</f>
        <v/>
      </c>
      <c r="AO69" s="115">
        <f t="shared" si="12"/>
        <v>0.31225</v>
      </c>
      <c r="AP69" s="121" t="str">
        <f>IFERROR(
AVERAGEIFS(
'New 20102013 LF Efficacy'!$J:$J,
'New 20102013 LF Efficacy'!$D:$D,$A69,
'New 20102013 LF Efficacy'!$F:$F,"Albendazole &amp; DEC",
'New 20102013 LF Efficacy'!$W:$W,"&lt;2011",
'New 20102013 LF Efficacy'!$AA:$AA,""),
"")
</f>
        <v/>
      </c>
      <c r="AQ69" s="115">
        <f t="shared" si="13"/>
        <v>0.4</v>
      </c>
      <c r="AR69" s="121" t="str">
        <f>IFERROR(
AVERAGEIFS(
'New 20102013 LF Efficacy'!$J:$J,
'New 20102013 LF Efficacy'!$D:$D,$A69,
'New 20102013 LF Efficacy'!$F:$F,"Albendazole &amp; Ivermectin", 
'New 20102013 LF Efficacy'!$W:$W,"&lt;2011",
'New 20102013 LF Efficacy'!$AA:$AA,""),"")</f>
        <v/>
      </c>
      <c r="AS69" s="115">
        <f t="shared" si="14"/>
        <v>0.2943125</v>
      </c>
      <c r="AT69" s="130" t="str">
        <f>IFERROR(AVERAGEIFS(
'20102013 Schist Efficacy'!$O:$O, 
'20102013 Schist Efficacy'!$C:$C,$A69, 
'20102013 Schist Efficacy'!$D:$D, "Praziquantel",
'20102013 Schist Efficacy'!$J:$J,"&lt;2011",
'20102013 Schist Efficacy'!$U:$U,""),
"")</f>
        <v/>
      </c>
      <c r="AU69" s="118">
        <f t="shared" si="15"/>
        <v>0.6444020147</v>
      </c>
      <c r="AV69" s="131" t="str">
        <f>IFERROR(AVERAGEIFS(
'20102013 STH Efficacy'!$AX:$AX, 
'20102013 STH Efficacy'!$AL:$AL, $A69, 
'20102013 STH Efficacy'!$AM:$AM, "Albendazole",
'20102013 STH Efficacy'!$AS:$AS,"&lt;2011",
'20102013 STH Efficacy'!$BP:$BP,""),
"")</f>
        <v/>
      </c>
      <c r="AW69" s="132">
        <f t="shared" si="16"/>
        <v>0.3538333333</v>
      </c>
      <c r="AX69" s="131" t="str">
        <f>IFERROR(AVERAGEIFS(
'20102013 STH Efficacy'!$AX:$AX, 
'20102013 STH Efficacy'!$AL:$AL, $A69, 
'20102013 STH Efficacy'!$AM:$AM, "Mebendazole",
'20102013 STH Efficacy'!$AS:$AS,"&lt;2011",
'20102013 STH Efficacy'!$BP:$BP,""),
"")</f>
        <v/>
      </c>
      <c r="AY69" s="132">
        <f t="shared" si="17"/>
        <v>0.5918333333</v>
      </c>
      <c r="AZ69" s="131" t="str">
        <f>IFERROR(AVERAGEIFS(
'20102013 STH Efficacy'!$AX:$AX, 
'20102013 STH Efficacy'!$AL:$AL, $A69, 
'20102013 STH Efficacy'!$AM:$AM, "Albendazole &amp; Ivermectin",
'20102013 STH Efficacy'!$AS:$AS,"&lt;2011",
'20102013 STH Efficacy'!$BP:$BP,""),
"")</f>
        <v/>
      </c>
      <c r="BA69" s="133">
        <f t="shared" si="18"/>
        <v>0.706</v>
      </c>
      <c r="BB69" s="134" t="str">
        <f>IFERROR(AVERAGEIFS(
'20102013 STH Efficacy'!$N:$N, 
'20102013 STH Efficacy'!$B:$B, $A69, 
'20102013 STH Efficacy'!$C:$C, "Albendazole",
'20102013 STH Efficacy'!$I:$I,"&lt;2011",
'20102013 STH Efficacy'!$AH:$AH,""),
"")</f>
        <v/>
      </c>
      <c r="BC69" s="135">
        <f t="shared" si="19"/>
        <v>0.9116666667</v>
      </c>
      <c r="BD69" s="134" t="str">
        <f>IFERROR(AVERAGEIFS(
'20102013 STH Efficacy'!$N:$N, 
'20102013 STH Efficacy'!$B:$B, $A69, 
'20102013 STH Efficacy'!$C:$C, "Mebendazole",
'20102013 STH Efficacy'!$I:$I,"&lt;2011",
'20102013 STH Efficacy'!$AH:$AH,""),
"")</f>
        <v/>
      </c>
      <c r="BE69" s="135">
        <f t="shared" si="20"/>
        <v>0.7092416667</v>
      </c>
      <c r="BF69" s="128" t="str">
        <f>IFERROR(AVERAGEIFS(
'20102013 STH Efficacy'!$CD:$CD, 
'20102013 STH Efficacy'!$BS:$BS, $A69, 
'20102013 STH Efficacy'!$BT:$BT, "Albendazole",
'20102013 STH Efficacy'!$BZ:$BZ,"&lt;2011",
'20102013 STH Efficacy'!$CU:$CU,""),
"")</f>
        <v/>
      </c>
      <c r="BG69" s="136">
        <f t="shared" si="21"/>
        <v>0.8656666667</v>
      </c>
      <c r="BH69" s="128" t="str">
        <f>IFERROR(AVERAGEIFS(
'20102013 STH Efficacy'!$CD:$CD, 
'20102013 STH Efficacy'!$BS:$BS, $A69, 
'20102013 STH Efficacy'!$BT:$BT, "Mebendazole",
'20102013 STH Efficacy'!$BZ:$BZ,"&lt;2011",
'20102013 STH Efficacy'!$CU:$CU,""),
"")</f>
        <v/>
      </c>
      <c r="BI69" s="136">
        <f t="shared" si="22"/>
        <v>0.9203333333</v>
      </c>
      <c r="BJ69" s="128" t="str">
        <f>IFERROR(AVERAGEIFS(
'20102013 STH Efficacy'!$CD:$CD, 
'20102013 STH Efficacy'!$BS:$BS, $A69, 
'20102013 STH Efficacy'!$BT:$BT, "Albendazole &amp; Ivermectin",
'20102013 STH Efficacy'!$BZ:$BZ,"&lt;2011",
'20102013 STH Efficacy'!$CU:$CU,""),
"")</f>
        <v/>
      </c>
      <c r="BK69" s="136">
        <f t="shared" si="23"/>
        <v>1</v>
      </c>
      <c r="BL69" s="137"/>
      <c r="BM69" s="137"/>
      <c r="BN69" s="138">
        <v>1.0</v>
      </c>
      <c r="BO69" s="139">
        <v>1.0</v>
      </c>
      <c r="BP69" s="140">
        <v>1.0</v>
      </c>
      <c r="BQ69" s="141">
        <f t="shared" si="24"/>
        <v>1</v>
      </c>
      <c r="BR69" s="104" t="str">
        <f t="shared" si="25"/>
        <v>1111</v>
      </c>
      <c r="BS69" s="104" t="str">
        <f t="shared" si="26"/>
        <v>MDA1+T2</v>
      </c>
      <c r="BT69" s="142" t="str">
        <f t="shared" si="27"/>
        <v>IVM+ALB</v>
      </c>
      <c r="BU69" s="104" t="str">
        <f t="shared" si="28"/>
        <v>PZQ</v>
      </c>
      <c r="BV69" s="104" t="str">
        <f t="shared" si="29"/>
        <v>lf+onch+schist+sth</v>
      </c>
      <c r="BW69" s="150" t="str">
        <f t="shared" si="30"/>
        <v/>
      </c>
      <c r="BX69" s="150">
        <f t="shared" si="31"/>
        <v>59.66366013</v>
      </c>
      <c r="BY69" s="162">
        <f t="shared" si="32"/>
        <v>107.9907183</v>
      </c>
      <c r="BZ69" s="152">
        <f t="shared" si="33"/>
        <v>25.04038249</v>
      </c>
      <c r="CA69" s="152" t="str">
        <f t="shared" si="34"/>
        <v/>
      </c>
      <c r="CB69" s="152">
        <f t="shared" si="35"/>
        <v>65.07169684</v>
      </c>
      <c r="CC69" s="170">
        <f t="shared" si="36"/>
        <v>155.1200437</v>
      </c>
      <c r="CD69" s="153" t="str">
        <f t="shared" si="37"/>
        <v/>
      </c>
      <c r="CE69" s="154">
        <f t="shared" si="38"/>
        <v>493.6598643</v>
      </c>
      <c r="CF69" s="154" t="str">
        <f t="shared" si="39"/>
        <v/>
      </c>
      <c r="CG69" s="154">
        <f t="shared" si="40"/>
        <v>730.9125612</v>
      </c>
    </row>
    <row r="70">
      <c r="A70" s="103" t="s">
        <v>159</v>
      </c>
      <c r="B70" s="104" t="s">
        <v>92</v>
      </c>
      <c r="C70" s="105">
        <v>4390840.0</v>
      </c>
      <c r="D70" s="106">
        <v>165.9351501</v>
      </c>
      <c r="E70" s="107">
        <v>4339.341911</v>
      </c>
      <c r="F70" s="108">
        <v>7.145733102</v>
      </c>
      <c r="G70" s="108">
        <v>26.89523988</v>
      </c>
      <c r="H70" s="108">
        <v>34.04097298</v>
      </c>
      <c r="I70" s="109">
        <v>38.251602</v>
      </c>
      <c r="J70" s="109">
        <v>74.6538252</v>
      </c>
      <c r="K70" s="109">
        <v>112.9054272</v>
      </c>
      <c r="L70" s="112">
        <v>596.4989631</v>
      </c>
      <c r="M70" s="112">
        <v>76.82291826</v>
      </c>
      <c r="N70" s="158">
        <v>673.3218813</v>
      </c>
      <c r="O70" s="159"/>
      <c r="P70" s="160">
        <v>3577000.0</v>
      </c>
      <c r="Q70" s="156"/>
      <c r="R70" s="115">
        <f t="shared" si="8"/>
        <v>0</v>
      </c>
      <c r="S70" s="116">
        <f t="shared" si="9"/>
        <v>0.1716437208</v>
      </c>
      <c r="T70" s="117"/>
      <c r="U70" s="118">
        <f t="shared" si="41"/>
        <v>0.252</v>
      </c>
      <c r="V70" s="148"/>
      <c r="W70" s="120">
        <f t="shared" si="10"/>
        <v>0.7266555556</v>
      </c>
      <c r="X70" s="148"/>
      <c r="Y70" s="120">
        <f t="shared" si="11"/>
        <v>0.4342071429</v>
      </c>
      <c r="Z70" s="121"/>
      <c r="AA70" s="121"/>
      <c r="AB70" s="121"/>
      <c r="AC70" s="121"/>
      <c r="AD70" s="122">
        <v>9.0E-4</v>
      </c>
      <c r="AE70" s="123">
        <v>0.05</v>
      </c>
      <c r="AF70" s="123">
        <v>0.0085</v>
      </c>
      <c r="AG70" s="124">
        <v>0.0835</v>
      </c>
      <c r="AH70" s="124">
        <v>0.132443924</v>
      </c>
      <c r="AI70" s="125">
        <v>0.0142</v>
      </c>
      <c r="AJ70" s="125">
        <v>0.022961775</v>
      </c>
      <c r="AK70" s="127">
        <v>0.04</v>
      </c>
      <c r="AL70" s="127">
        <v>0.056366435</v>
      </c>
      <c r="AM70" s="128"/>
      <c r="AN70" s="149" t="str">
        <f>IFERROR(
  AVERAGEIFS(
    'New 20102013 LF Efficacy'!$J:$J,
    'New 20102013 LF Efficacy'!$D:$D, $A70,
    'New 20102013 LF Efficacy'!$F:$F,"DEC", 
    'New 20102013 LF Efficacy'!$W:$W,"&lt;2011",
    'New 20102013 LF Efficacy'!$AA:$AA,""),
  ""
)</f>
        <v/>
      </c>
      <c r="AO70" s="115">
        <f t="shared" si="12"/>
        <v>0.31225</v>
      </c>
      <c r="AP70" s="121" t="str">
        <f>IFERROR(
AVERAGEIFS(
'New 20102013 LF Efficacy'!$J:$J,
'New 20102013 LF Efficacy'!$D:$D,$A70,
'New 20102013 LF Efficacy'!$F:$F,"Albendazole &amp; DEC",
'New 20102013 LF Efficacy'!$W:$W,"&lt;2011",
'New 20102013 LF Efficacy'!$AA:$AA,""),
"")
</f>
        <v/>
      </c>
      <c r="AQ70" s="115">
        <f t="shared" si="13"/>
        <v>0.4</v>
      </c>
      <c r="AR70" s="121" t="str">
        <f>IFERROR(
AVERAGEIFS(
'New 20102013 LF Efficacy'!$J:$J,
'New 20102013 LF Efficacy'!$D:$D,$A70,
'New 20102013 LF Efficacy'!$F:$F,"Albendazole &amp; Ivermectin", 
'New 20102013 LF Efficacy'!$W:$W,"&lt;2011",
'New 20102013 LF Efficacy'!$AA:$AA,""),"")</f>
        <v/>
      </c>
      <c r="AS70" s="115">
        <f t="shared" si="14"/>
        <v>0.2943125</v>
      </c>
      <c r="AT70" s="130" t="str">
        <f>IFERROR(AVERAGEIFS(
'20102013 Schist Efficacy'!$O:$O, 
'20102013 Schist Efficacy'!$C:$C,$A70, 
'20102013 Schist Efficacy'!$D:$D, "Praziquantel",
'20102013 Schist Efficacy'!$J:$J,"&lt;2011",
'20102013 Schist Efficacy'!$U:$U,""),
"")</f>
        <v/>
      </c>
      <c r="AU70" s="118">
        <f t="shared" si="15"/>
        <v>0.6444020147</v>
      </c>
      <c r="AV70" s="131" t="str">
        <f>IFERROR(AVERAGEIFS(
'20102013 STH Efficacy'!$AX:$AX, 
'20102013 STH Efficacy'!$AL:$AL, $A70, 
'20102013 STH Efficacy'!$AM:$AM, "Albendazole",
'20102013 STH Efficacy'!$AS:$AS,"&lt;2011",
'20102013 STH Efficacy'!$BP:$BP,""),
"")</f>
        <v/>
      </c>
      <c r="AW70" s="132">
        <f t="shared" si="16"/>
        <v>0.3538333333</v>
      </c>
      <c r="AX70" s="131" t="str">
        <f>IFERROR(AVERAGEIFS(
'20102013 STH Efficacy'!$AX:$AX, 
'20102013 STH Efficacy'!$AL:$AL, $A70, 
'20102013 STH Efficacy'!$AM:$AM, "Mebendazole",
'20102013 STH Efficacy'!$AS:$AS,"&lt;2011",
'20102013 STH Efficacy'!$BP:$BP,""),
"")</f>
        <v/>
      </c>
      <c r="AY70" s="132">
        <f t="shared" si="17"/>
        <v>0.5918333333</v>
      </c>
      <c r="AZ70" s="131" t="str">
        <f>IFERROR(AVERAGEIFS(
'20102013 STH Efficacy'!$AX:$AX, 
'20102013 STH Efficacy'!$AL:$AL, $A70, 
'20102013 STH Efficacy'!$AM:$AM, "Albendazole &amp; Ivermectin",
'20102013 STH Efficacy'!$AS:$AS,"&lt;2011",
'20102013 STH Efficacy'!$BP:$BP,""),
"")</f>
        <v/>
      </c>
      <c r="BA70" s="133">
        <f t="shared" si="18"/>
        <v>0.706</v>
      </c>
      <c r="BB70" s="134" t="str">
        <f>IFERROR(AVERAGEIFS(
'20102013 STH Efficacy'!$N:$N, 
'20102013 STH Efficacy'!$B:$B, $A70, 
'20102013 STH Efficacy'!$C:$C, "Albendazole",
'20102013 STH Efficacy'!$I:$I,"&lt;2011",
'20102013 STH Efficacy'!$AH:$AH,""),
"")</f>
        <v/>
      </c>
      <c r="BC70" s="135">
        <f t="shared" si="19"/>
        <v>0.9116666667</v>
      </c>
      <c r="BD70" s="134" t="str">
        <f>IFERROR(AVERAGEIFS(
'20102013 STH Efficacy'!$N:$N, 
'20102013 STH Efficacy'!$B:$B, $A70, 
'20102013 STH Efficacy'!$C:$C, "Mebendazole",
'20102013 STH Efficacy'!$I:$I,"&lt;2011",
'20102013 STH Efficacy'!$AH:$AH,""),
"")</f>
        <v/>
      </c>
      <c r="BE70" s="135">
        <f t="shared" si="20"/>
        <v>0.7092416667</v>
      </c>
      <c r="BF70" s="128" t="str">
        <f>IFERROR(AVERAGEIFS(
'20102013 STH Efficacy'!$CD:$CD, 
'20102013 STH Efficacy'!$BS:$BS, $A70, 
'20102013 STH Efficacy'!$BT:$BT, "Albendazole",
'20102013 STH Efficacy'!$BZ:$BZ,"&lt;2011",
'20102013 STH Efficacy'!$CU:$CU,""),
"")</f>
        <v/>
      </c>
      <c r="BG70" s="136">
        <f t="shared" si="21"/>
        <v>0.8656666667</v>
      </c>
      <c r="BH70" s="128" t="str">
        <f>IFERROR(AVERAGEIFS(
'20102013 STH Efficacy'!$CD:$CD, 
'20102013 STH Efficacy'!$BS:$BS, $A70, 
'20102013 STH Efficacy'!$BT:$BT, "Mebendazole",
'20102013 STH Efficacy'!$BZ:$BZ,"&lt;2011",
'20102013 STH Efficacy'!$CU:$CU,""),
"")</f>
        <v/>
      </c>
      <c r="BI70" s="136">
        <f t="shared" si="22"/>
        <v>0.9203333333</v>
      </c>
      <c r="BJ70" s="128" t="str">
        <f>IFERROR(AVERAGEIFS(
'20102013 STH Efficacy'!$CD:$CD, 
'20102013 STH Efficacy'!$BS:$BS, $A70, 
'20102013 STH Efficacy'!$BT:$BT, "Albendazole &amp; Ivermectin",
'20102013 STH Efficacy'!$BZ:$BZ,"&lt;2011",
'20102013 STH Efficacy'!$CU:$CU,""),
"")</f>
        <v/>
      </c>
      <c r="BK70" s="136">
        <f t="shared" si="23"/>
        <v>1</v>
      </c>
      <c r="BL70" s="137"/>
      <c r="BM70" s="137"/>
      <c r="BN70" s="138">
        <v>1.0</v>
      </c>
      <c r="BO70" s="139">
        <v>1.0</v>
      </c>
      <c r="BP70" s="140">
        <v>1.0</v>
      </c>
      <c r="BQ70" s="141">
        <f t="shared" si="24"/>
        <v>0</v>
      </c>
      <c r="BR70" s="104" t="str">
        <f t="shared" si="25"/>
        <v>1110</v>
      </c>
      <c r="BS70" s="104" t="str">
        <f t="shared" si="26"/>
        <v>MDA1+T2</v>
      </c>
      <c r="BT70" s="142" t="str">
        <f t="shared" si="27"/>
        <v>IVM+ALB</v>
      </c>
      <c r="BU70" s="104" t="str">
        <f t="shared" si="28"/>
        <v>PZQ</v>
      </c>
      <c r="BV70" s="104" t="str">
        <f t="shared" si="29"/>
        <v>lf+onch+schist </v>
      </c>
      <c r="BW70" s="150" t="str">
        <f t="shared" si="30"/>
        <v/>
      </c>
      <c r="BX70" s="150">
        <f t="shared" si="31"/>
        <v>8.828517418</v>
      </c>
      <c r="BY70" s="162">
        <f t="shared" si="32"/>
        <v>841.2771413</v>
      </c>
      <c r="BZ70" s="152" t="str">
        <f t="shared" si="33"/>
        <v/>
      </c>
      <c r="CA70" s="152" t="str">
        <f t="shared" si="34"/>
        <v/>
      </c>
      <c r="CB70" s="152" t="str">
        <f t="shared" si="35"/>
        <v/>
      </c>
      <c r="CC70" s="153" t="str">
        <f t="shared" si="36"/>
        <v/>
      </c>
      <c r="CD70" s="153" t="str">
        <f t="shared" si="37"/>
        <v/>
      </c>
      <c r="CE70" s="154" t="str">
        <f t="shared" si="38"/>
        <v/>
      </c>
      <c r="CF70" s="154" t="str">
        <f t="shared" si="39"/>
        <v/>
      </c>
      <c r="CG70" s="154" t="str">
        <f t="shared" si="40"/>
        <v/>
      </c>
    </row>
    <row r="71">
      <c r="A71" s="103" t="s">
        <v>160</v>
      </c>
      <c r="B71" s="104" t="s">
        <v>90</v>
      </c>
      <c r="C71" s="105">
        <v>1331475.0</v>
      </c>
      <c r="D71" s="106">
        <v>0.0</v>
      </c>
      <c r="E71" s="107">
        <v>0.0</v>
      </c>
      <c r="F71" s="108">
        <v>0.0</v>
      </c>
      <c r="G71" s="108">
        <v>0.0</v>
      </c>
      <c r="H71" s="108">
        <v>0.0</v>
      </c>
      <c r="I71" s="109">
        <v>0.0</v>
      </c>
      <c r="J71" s="109">
        <v>0.0</v>
      </c>
      <c r="K71" s="109">
        <v>0.0</v>
      </c>
      <c r="L71" s="112">
        <v>0.014807296</v>
      </c>
      <c r="M71" s="112">
        <v>0.007303807</v>
      </c>
      <c r="N71" s="112">
        <v>0.022111103</v>
      </c>
      <c r="O71" s="113"/>
      <c r="P71" s="114"/>
      <c r="Q71" s="114"/>
      <c r="R71" s="115" t="str">
        <f t="shared" si="8"/>
        <v/>
      </c>
      <c r="S71" s="116">
        <f t="shared" si="9"/>
        <v>0.4013436246</v>
      </c>
      <c r="T71" s="117"/>
      <c r="U71" s="118">
        <f t="shared" si="41"/>
        <v>0.3468166667</v>
      </c>
      <c r="V71" s="148"/>
      <c r="W71" s="120">
        <f t="shared" si="10"/>
        <v>1</v>
      </c>
      <c r="X71" s="148"/>
      <c r="Y71" s="120">
        <f t="shared" si="11"/>
        <v>0.71735</v>
      </c>
      <c r="Z71" s="121"/>
      <c r="AA71" s="121"/>
      <c r="AB71" s="121"/>
      <c r="AC71" s="121"/>
      <c r="AD71" s="122">
        <v>0.0</v>
      </c>
      <c r="AE71" s="123">
        <v>0.0</v>
      </c>
      <c r="AF71" s="123">
        <v>0.0</v>
      </c>
      <c r="AG71" s="124">
        <v>0.0</v>
      </c>
      <c r="AH71" s="124">
        <v>0.0</v>
      </c>
      <c r="AI71" s="125">
        <v>0.0</v>
      </c>
      <c r="AJ71" s="125">
        <v>0.0</v>
      </c>
      <c r="AK71" s="127">
        <v>0.0</v>
      </c>
      <c r="AL71" s="127">
        <v>0.0</v>
      </c>
      <c r="AM71" s="128"/>
      <c r="AN71" s="149" t="str">
        <f>IFERROR(
  AVERAGEIFS(
    'New 20102013 LF Efficacy'!$J:$J,
    'New 20102013 LF Efficacy'!$D:$D, $A71,
    'New 20102013 LF Efficacy'!$F:$F,"DEC", 
    'New 20102013 LF Efficacy'!$W:$W,"&lt;2011",
    'New 20102013 LF Efficacy'!$AA:$AA,""),
  ""
)</f>
        <v/>
      </c>
      <c r="AO71" s="115">
        <f t="shared" si="12"/>
        <v>0.3573520833</v>
      </c>
      <c r="AP71" s="121" t="str">
        <f>IFERROR(
AVERAGEIFS(
'New 20102013 LF Efficacy'!$J:$J,
'New 20102013 LF Efficacy'!$D:$D,$A71,
'New 20102013 LF Efficacy'!$F:$F,"Albendazole &amp; DEC",
'New 20102013 LF Efficacy'!$W:$W,"&lt;2011",
'New 20102013 LF Efficacy'!$AA:$AA,""),
"")
</f>
        <v/>
      </c>
      <c r="AQ71" s="115">
        <f t="shared" si="13"/>
        <v>0.5137291667</v>
      </c>
      <c r="AR71" s="121" t="str">
        <f>IFERROR(
AVERAGEIFS(
'New 20102013 LF Efficacy'!$J:$J,
'New 20102013 LF Efficacy'!$D:$D,$A71,
'New 20102013 LF Efficacy'!$F:$F,"Albendazole &amp; Ivermectin", 
'New 20102013 LF Efficacy'!$W:$W,"&lt;2011",
'New 20102013 LF Efficacy'!$AA:$AA,""),"")</f>
        <v/>
      </c>
      <c r="AS71" s="115">
        <f t="shared" si="14"/>
        <v>0.37153125</v>
      </c>
      <c r="AT71" s="130" t="str">
        <f>IFERROR(AVERAGEIFS(
'20102013 Schist Efficacy'!$O:$O, 
'20102013 Schist Efficacy'!$C:$C,$A71, 
'20102013 Schist Efficacy'!$D:$D, "Praziquantel",
'20102013 Schist Efficacy'!$J:$J,"&lt;2011",
'20102013 Schist Efficacy'!$U:$U,""),
"")</f>
        <v/>
      </c>
      <c r="AU71" s="118">
        <f t="shared" si="15"/>
        <v>0.655</v>
      </c>
      <c r="AV71" s="131" t="str">
        <f>IFERROR(AVERAGEIFS(
'20102013 STH Efficacy'!$AX:$AX, 
'20102013 STH Efficacy'!$AL:$AL, $A71, 
'20102013 STH Efficacy'!$AM:$AM, "Albendazole",
'20102013 STH Efficacy'!$AS:$AS,"&lt;2011",
'20102013 STH Efficacy'!$BP:$BP,""),
"")</f>
        <v/>
      </c>
      <c r="AW71" s="132">
        <f t="shared" si="16"/>
        <v>0.3842878788</v>
      </c>
      <c r="AX71" s="131" t="str">
        <f>IFERROR(AVERAGEIFS(
'20102013 STH Efficacy'!$AX:$AX, 
'20102013 STH Efficacy'!$AL:$AL, $A71, 
'20102013 STH Efficacy'!$AM:$AM, "Mebendazole",
'20102013 STH Efficacy'!$AS:$AS,"&lt;2011",
'20102013 STH Efficacy'!$BP:$BP,""),
"")</f>
        <v/>
      </c>
      <c r="AY71" s="132">
        <f t="shared" si="17"/>
        <v>0.5121666667</v>
      </c>
      <c r="AZ71" s="131" t="str">
        <f>IFERROR(AVERAGEIFS(
'20102013 STH Efficacy'!$AX:$AX, 
'20102013 STH Efficacy'!$AL:$AL, $A71, 
'20102013 STH Efficacy'!$AM:$AM, "Albendazole &amp; Ivermectin",
'20102013 STH Efficacy'!$AS:$AS,"&lt;2011",
'20102013 STH Efficacy'!$BP:$BP,""),
"")</f>
        <v/>
      </c>
      <c r="BA71" s="133">
        <f t="shared" si="18"/>
        <v>0.7176666667</v>
      </c>
      <c r="BB71" s="134" t="str">
        <f>IFERROR(AVERAGEIFS(
'20102013 STH Efficacy'!$N:$N, 
'20102013 STH Efficacy'!$B:$B, $A71, 
'20102013 STH Efficacy'!$C:$C, "Albendazole",
'20102013 STH Efficacy'!$I:$I,"&lt;2011",
'20102013 STH Efficacy'!$AH:$AH,""),
"")</f>
        <v/>
      </c>
      <c r="BC71" s="135">
        <f t="shared" si="19"/>
        <v>0.7630416667</v>
      </c>
      <c r="BD71" s="134" t="str">
        <f>IFERROR(AVERAGEIFS(
'20102013 STH Efficacy'!$N:$N, 
'20102013 STH Efficacy'!$B:$B, $A71, 
'20102013 STH Efficacy'!$C:$C, "Mebendazole",
'20102013 STH Efficacy'!$I:$I,"&lt;2011",
'20102013 STH Efficacy'!$AH:$AH,""),
"")</f>
        <v/>
      </c>
      <c r="BE71" s="135">
        <f t="shared" si="20"/>
        <v>0.4405966667</v>
      </c>
      <c r="BF71" s="128" t="str">
        <f>IFERROR(AVERAGEIFS(
'20102013 STH Efficacy'!$CD:$CD, 
'20102013 STH Efficacy'!$BS:$BS, $A71, 
'20102013 STH Efficacy'!$BT:$BT, "Albendazole",
'20102013 STH Efficacy'!$BZ:$BZ,"&lt;2011",
'20102013 STH Efficacy'!$CU:$CU,""),
"")</f>
        <v/>
      </c>
      <c r="BG71" s="136">
        <f t="shared" si="21"/>
        <v>0.9403222222</v>
      </c>
      <c r="BH71" s="128" t="str">
        <f>IFERROR(AVERAGEIFS(
'20102013 STH Efficacy'!$CD:$CD, 
'20102013 STH Efficacy'!$BS:$BS, $A71, 
'20102013 STH Efficacy'!$BT:$BT, "Mebendazole",
'20102013 STH Efficacy'!$BZ:$BZ,"&lt;2011",
'20102013 STH Efficacy'!$CU:$CU,""),
"")</f>
        <v/>
      </c>
      <c r="BI71" s="136">
        <f t="shared" si="22"/>
        <v>0.9229285714</v>
      </c>
      <c r="BJ71" s="128" t="str">
        <f>IFERROR(AVERAGEIFS(
'20102013 STH Efficacy'!$CD:$CD, 
'20102013 STH Efficacy'!$BS:$BS, $A71, 
'20102013 STH Efficacy'!$BT:$BT, "Albendazole &amp; Ivermectin",
'20102013 STH Efficacy'!$BZ:$BZ,"&lt;2011",
'20102013 STH Efficacy'!$CU:$CU,""),
"")</f>
        <v/>
      </c>
      <c r="BK71" s="136">
        <f t="shared" si="23"/>
        <v>1</v>
      </c>
      <c r="BL71" s="137"/>
      <c r="BM71" s="137"/>
      <c r="BN71" s="138">
        <v>0.0</v>
      </c>
      <c r="BO71" s="139">
        <v>0.0</v>
      </c>
      <c r="BP71" s="140">
        <v>0.0</v>
      </c>
      <c r="BQ71" s="141">
        <f t="shared" si="24"/>
        <v>0</v>
      </c>
      <c r="BR71" s="104" t="str">
        <f t="shared" si="25"/>
        <v>0000</v>
      </c>
      <c r="BS71" s="104" t="str">
        <f t="shared" si="26"/>
        <v>no action required</v>
      </c>
      <c r="BT71" s="142" t="str">
        <f t="shared" si="27"/>
        <v/>
      </c>
      <c r="BU71" s="104" t="str">
        <f t="shared" si="28"/>
        <v/>
      </c>
      <c r="BV71" s="104" t="str">
        <f t="shared" si="29"/>
        <v>none</v>
      </c>
      <c r="BW71" s="150" t="str">
        <f t="shared" si="30"/>
        <v/>
      </c>
      <c r="BX71" s="150" t="str">
        <f t="shared" si="31"/>
        <v/>
      </c>
      <c r="BY71" s="151" t="str">
        <f t="shared" si="32"/>
        <v/>
      </c>
      <c r="BZ71" s="152" t="str">
        <f t="shared" si="33"/>
        <v/>
      </c>
      <c r="CA71" s="152" t="str">
        <f t="shared" si="34"/>
        <v/>
      </c>
      <c r="CB71" s="152" t="str">
        <f t="shared" si="35"/>
        <v/>
      </c>
      <c r="CC71" s="153" t="str">
        <f t="shared" si="36"/>
        <v/>
      </c>
      <c r="CD71" s="153" t="str">
        <f t="shared" si="37"/>
        <v/>
      </c>
      <c r="CE71" s="154" t="str">
        <f t="shared" si="38"/>
        <v/>
      </c>
      <c r="CF71" s="154" t="str">
        <f t="shared" si="39"/>
        <v/>
      </c>
      <c r="CG71" s="154" t="str">
        <f t="shared" si="40"/>
        <v/>
      </c>
    </row>
    <row r="72">
      <c r="A72" s="103" t="s">
        <v>161</v>
      </c>
      <c r="B72" s="104" t="s">
        <v>92</v>
      </c>
      <c r="C72" s="105">
        <v>8.770267E7</v>
      </c>
      <c r="D72" s="106">
        <v>1086.296615</v>
      </c>
      <c r="E72" s="107">
        <v>220079.3995</v>
      </c>
      <c r="F72" s="157">
        <v>818.6429407</v>
      </c>
      <c r="G72" s="157">
        <v>3799.521791</v>
      </c>
      <c r="H72" s="157">
        <v>4618.164731</v>
      </c>
      <c r="I72" s="110">
        <v>3367.33415</v>
      </c>
      <c r="J72" s="110">
        <v>11365.3769</v>
      </c>
      <c r="K72" s="110">
        <v>14732.71104</v>
      </c>
      <c r="L72" s="111">
        <v>21698.25146</v>
      </c>
      <c r="M72" s="111">
        <v>7462.324908</v>
      </c>
      <c r="N72" s="158">
        <v>29160.57637</v>
      </c>
      <c r="O72" s="159"/>
      <c r="P72" s="160">
        <v>3.0E7</v>
      </c>
      <c r="Q72" s="160">
        <v>73435.0</v>
      </c>
      <c r="R72" s="115">
        <f t="shared" si="8"/>
        <v>0.002447833333</v>
      </c>
      <c r="S72" s="116">
        <f t="shared" si="9"/>
        <v>0.002447833333</v>
      </c>
      <c r="T72" s="118">
        <v>0.0452</v>
      </c>
      <c r="U72" s="118">
        <f t="shared" si="41"/>
        <v>0.0452</v>
      </c>
      <c r="V72" s="119">
        <v>0.715</v>
      </c>
      <c r="W72" s="120">
        <f t="shared" si="10"/>
        <v>0.715</v>
      </c>
      <c r="X72" s="119">
        <v>0.001</v>
      </c>
      <c r="Y72" s="120">
        <f t="shared" si="11"/>
        <v>0.001</v>
      </c>
      <c r="Z72" s="121"/>
      <c r="AA72" s="121"/>
      <c r="AB72" s="121"/>
      <c r="AC72" s="121"/>
      <c r="AD72" s="122">
        <v>3.0E-4</v>
      </c>
      <c r="AE72" s="123">
        <v>0.26</v>
      </c>
      <c r="AF72" s="123">
        <v>0.1139</v>
      </c>
      <c r="AG72" s="124">
        <v>0.1329</v>
      </c>
      <c r="AH72" s="124">
        <v>0.207164128</v>
      </c>
      <c r="AI72" s="125">
        <v>0.0703</v>
      </c>
      <c r="AJ72" s="125">
        <v>0.112322159</v>
      </c>
      <c r="AK72" s="127">
        <v>0.12</v>
      </c>
      <c r="AL72" s="127">
        <v>0.192226452</v>
      </c>
      <c r="AM72" s="128"/>
      <c r="AN72" s="149" t="str">
        <f>IFERROR(
  AVERAGEIFS(
    'New 20102013 LF Efficacy'!$J:$J,
    'New 20102013 LF Efficacy'!$D:$D, $A72,
    'New 20102013 LF Efficacy'!$F:$F,"DEC", 
    'New 20102013 LF Efficacy'!$W:$W,"&lt;2011",
    'New 20102013 LF Efficacy'!$AA:$AA,""),
  ""
)</f>
        <v/>
      </c>
      <c r="AO72" s="115">
        <f t="shared" si="12"/>
        <v>0.31225</v>
      </c>
      <c r="AP72" s="121" t="str">
        <f>IFERROR(
AVERAGEIFS(
'New 20102013 LF Efficacy'!$J:$J,
'New 20102013 LF Efficacy'!$D:$D,$A72,
'New 20102013 LF Efficacy'!$F:$F,"Albendazole &amp; DEC",
'New 20102013 LF Efficacy'!$W:$W,"&lt;2011",
'New 20102013 LF Efficacy'!$AA:$AA,""),
"")
</f>
        <v/>
      </c>
      <c r="AQ72" s="115">
        <f t="shared" si="13"/>
        <v>0.4</v>
      </c>
      <c r="AR72" s="121" t="str">
        <f>IFERROR(
AVERAGEIFS(
'New 20102013 LF Efficacy'!$J:$J,
'New 20102013 LF Efficacy'!$D:$D,$A72,
'New 20102013 LF Efficacy'!$F:$F,"Albendazole &amp; Ivermectin", 
'New 20102013 LF Efficacy'!$W:$W,"&lt;2011",
'New 20102013 LF Efficacy'!$AA:$AA,""),"")</f>
        <v/>
      </c>
      <c r="AS72" s="115">
        <f t="shared" si="14"/>
        <v>0.2943125</v>
      </c>
      <c r="AT72" s="130">
        <f>IFERROR(AVERAGEIFS(
'20102013 Schist Efficacy'!$O:$O, 
'20102013 Schist Efficacy'!$C:$C,$A72, 
'20102013 Schist Efficacy'!$D:$D, "Praziquantel",
'20102013 Schist Efficacy'!$J:$J,"&lt;2011",
'20102013 Schist Efficacy'!$U:$U,""),
"")</f>
        <v>0.94</v>
      </c>
      <c r="AU72" s="118">
        <f t="shared" si="15"/>
        <v>0.94</v>
      </c>
      <c r="AV72" s="131">
        <f>IFERROR(AVERAGEIFS(
'20102013 STH Efficacy'!$AX:$AX, 
'20102013 STH Efficacy'!$AL:$AL, $A72, 
'20102013 STH Efficacy'!$AM:$AM, "Albendazole",
'20102013 STH Efficacy'!$AS:$AS,"&lt;2011",
'20102013 STH Efficacy'!$BP:$BP,""),
"")</f>
        <v>0.171</v>
      </c>
      <c r="AW72" s="132">
        <f t="shared" si="16"/>
        <v>0.171</v>
      </c>
      <c r="AX72" s="131">
        <f>IFERROR(AVERAGEIFS(
'20102013 STH Efficacy'!$AX:$AX, 
'20102013 STH Efficacy'!$AL:$AL, $A72, 
'20102013 STH Efficacy'!$AM:$AM, "Mebendazole",
'20102013 STH Efficacy'!$AS:$AS,"&lt;2011",
'20102013 STH Efficacy'!$BP:$BP,""),
"")</f>
        <v>0.535</v>
      </c>
      <c r="AY72" s="132">
        <f t="shared" si="17"/>
        <v>0.535</v>
      </c>
      <c r="AZ72" s="131" t="str">
        <f>IFERROR(AVERAGEIFS(
'20102013 STH Efficacy'!$AX:$AX, 
'20102013 STH Efficacy'!$AL:$AL, $A72, 
'20102013 STH Efficacy'!$AM:$AM, "Albendazole &amp; Ivermectin",
'20102013 STH Efficacy'!$AS:$AS,"&lt;2011",
'20102013 STH Efficacy'!$BP:$BP,""),
"")</f>
        <v/>
      </c>
      <c r="BA72" s="133">
        <f t="shared" si="18"/>
        <v>0.706</v>
      </c>
      <c r="BB72" s="134" t="str">
        <f>IFERROR(AVERAGEIFS(
'20102013 STH Efficacy'!$N:$N, 
'20102013 STH Efficacy'!$B:$B, $A72, 
'20102013 STH Efficacy'!$C:$C, "Albendazole",
'20102013 STH Efficacy'!$I:$I,"&lt;2011",
'20102013 STH Efficacy'!$AH:$AH,""),
"")</f>
        <v/>
      </c>
      <c r="BC72" s="135">
        <f t="shared" si="19"/>
        <v>0.9116666667</v>
      </c>
      <c r="BD72" s="134" t="str">
        <f>IFERROR(AVERAGEIFS(
'20102013 STH Efficacy'!$N:$N, 
'20102013 STH Efficacy'!$B:$B, $A72, 
'20102013 STH Efficacy'!$C:$C, "Mebendazole",
'20102013 STH Efficacy'!$I:$I,"&lt;2011",
'20102013 STH Efficacy'!$AH:$AH,""),
"")</f>
        <v/>
      </c>
      <c r="BE72" s="135">
        <f t="shared" si="20"/>
        <v>0.7092416667</v>
      </c>
      <c r="BF72" s="128">
        <f>IFERROR(AVERAGEIFS(
'20102013 STH Efficacy'!$CD:$CD, 
'20102013 STH Efficacy'!$BS:$BS, $A72, 
'20102013 STH Efficacy'!$BT:$BT, "Albendazole",
'20102013 STH Efficacy'!$BZ:$BZ,"&lt;2011",
'20102013 STH Efficacy'!$CU:$CU,""),
"")</f>
        <v>0.839</v>
      </c>
      <c r="BG72" s="136">
        <f t="shared" si="21"/>
        <v>0.839</v>
      </c>
      <c r="BH72" s="128">
        <f>IFERROR(AVERAGEIFS(
'20102013 STH Efficacy'!$CD:$CD, 
'20102013 STH Efficacy'!$BS:$BS, $A72, 
'20102013 STH Efficacy'!$BT:$BT, "Mebendazole",
'20102013 STH Efficacy'!$BZ:$BZ,"&lt;2011",
'20102013 STH Efficacy'!$CU:$CU,""),
"")</f>
        <v>0.906</v>
      </c>
      <c r="BI72" s="136">
        <f t="shared" si="22"/>
        <v>0.906</v>
      </c>
      <c r="BJ72" s="128" t="str">
        <f>IFERROR(AVERAGEIFS(
'20102013 STH Efficacy'!$CD:$CD, 
'20102013 STH Efficacy'!$BS:$BS, $A72, 
'20102013 STH Efficacy'!$BT:$BT, "Albendazole &amp; Ivermectin",
'20102013 STH Efficacy'!$BZ:$BZ,"&lt;2011",
'20102013 STH Efficacy'!$CU:$CU,""),
"")</f>
        <v/>
      </c>
      <c r="BK72" s="136">
        <f t="shared" si="23"/>
        <v>1</v>
      </c>
      <c r="BL72" s="137"/>
      <c r="BM72" s="137"/>
      <c r="BN72" s="138">
        <v>1.0</v>
      </c>
      <c r="BO72" s="139">
        <v>1.0</v>
      </c>
      <c r="BP72" s="140">
        <v>1.0</v>
      </c>
      <c r="BQ72" s="141">
        <f t="shared" si="24"/>
        <v>0</v>
      </c>
      <c r="BR72" s="104" t="str">
        <f t="shared" si="25"/>
        <v>1110</v>
      </c>
      <c r="BS72" s="104" t="str">
        <f t="shared" si="26"/>
        <v>MDA1+T2</v>
      </c>
      <c r="BT72" s="142" t="str">
        <f t="shared" si="27"/>
        <v>IVM+ALB</v>
      </c>
      <c r="BU72" s="104" t="str">
        <f t="shared" si="28"/>
        <v>PZQ</v>
      </c>
      <c r="BV72" s="104" t="str">
        <f t="shared" si="29"/>
        <v>lf+onch+schist </v>
      </c>
      <c r="BW72" s="150" t="str">
        <f t="shared" si="30"/>
        <v/>
      </c>
      <c r="BX72" s="150">
        <f t="shared" si="31"/>
        <v>0.7831626534</v>
      </c>
      <c r="BY72" s="176">
        <f t="shared" si="32"/>
        <v>9765.65675</v>
      </c>
      <c r="BZ72" s="152" t="str">
        <f t="shared" si="33"/>
        <v/>
      </c>
      <c r="CA72" s="152" t="str">
        <f t="shared" si="34"/>
        <v/>
      </c>
      <c r="CB72" s="152" t="str">
        <f t="shared" si="35"/>
        <v/>
      </c>
      <c r="CC72" s="153" t="str">
        <f t="shared" si="36"/>
        <v/>
      </c>
      <c r="CD72" s="153" t="str">
        <f t="shared" si="37"/>
        <v/>
      </c>
      <c r="CE72" s="154" t="str">
        <f t="shared" si="38"/>
        <v/>
      </c>
      <c r="CF72" s="154" t="str">
        <f t="shared" si="39"/>
        <v/>
      </c>
      <c r="CG72" s="154" t="str">
        <f t="shared" si="40"/>
        <v/>
      </c>
    </row>
    <row r="73">
      <c r="A73" s="103" t="s">
        <v>162</v>
      </c>
      <c r="B73" s="104" t="s">
        <v>94</v>
      </c>
      <c r="C73" s="105">
        <v>859950.0</v>
      </c>
      <c r="D73" s="106">
        <v>1215.899993</v>
      </c>
      <c r="E73" s="107">
        <v>0.0</v>
      </c>
      <c r="F73" s="108">
        <v>1.813166844</v>
      </c>
      <c r="G73" s="108">
        <v>18.58051708</v>
      </c>
      <c r="H73" s="108">
        <v>20.39368393</v>
      </c>
      <c r="I73" s="109">
        <v>45.7512374</v>
      </c>
      <c r="J73" s="110">
        <v>207.718425</v>
      </c>
      <c r="K73" s="109">
        <v>253.4696622</v>
      </c>
      <c r="L73" s="112">
        <v>41.36065327</v>
      </c>
      <c r="M73" s="112">
        <v>81.8013125</v>
      </c>
      <c r="N73" s="158">
        <v>123.1619658</v>
      </c>
      <c r="O73" s="159"/>
      <c r="P73" s="160">
        <v>879985.0</v>
      </c>
      <c r="Q73" s="160">
        <v>276604.0</v>
      </c>
      <c r="R73" s="115">
        <f t="shared" si="8"/>
        <v>0.3143280851</v>
      </c>
      <c r="S73" s="116">
        <f t="shared" si="9"/>
        <v>0.3143280851</v>
      </c>
      <c r="T73" s="117"/>
      <c r="U73" s="118">
        <f t="shared" si="41"/>
        <v>0.6259666667</v>
      </c>
      <c r="V73" s="148"/>
      <c r="W73" s="120">
        <f t="shared" si="10"/>
        <v>0.55175</v>
      </c>
      <c r="X73" s="148"/>
      <c r="Y73" s="120">
        <f t="shared" si="11"/>
        <v>0.4826142857</v>
      </c>
      <c r="Z73" s="121"/>
      <c r="AA73" s="121"/>
      <c r="AB73" s="121"/>
      <c r="AC73" s="121"/>
      <c r="AD73" s="122">
        <v>0.027</v>
      </c>
      <c r="AE73" s="123">
        <v>0.0</v>
      </c>
      <c r="AF73" s="123">
        <v>0.0</v>
      </c>
      <c r="AG73" s="124">
        <v>0.0314</v>
      </c>
      <c r="AH73" s="124">
        <v>0.053934791</v>
      </c>
      <c r="AI73" s="125">
        <v>0.1841</v>
      </c>
      <c r="AJ73" s="125">
        <v>0.276666042</v>
      </c>
      <c r="AK73" s="127">
        <v>0.21</v>
      </c>
      <c r="AL73" s="127">
        <v>0.314096464</v>
      </c>
      <c r="AM73" s="128"/>
      <c r="AN73" s="149" t="str">
        <f>IFERROR(
  AVERAGEIFS(
    'New 20102013 LF Efficacy'!$J:$J,
    'New 20102013 LF Efficacy'!$D:$D, $A73,
    'New 20102013 LF Efficacy'!$F:$F,"DEC", 
    'New 20102013 LF Efficacy'!$W:$W,"&lt;2011",
    'New 20102013 LF Efficacy'!$AA:$AA,""),
  ""
)</f>
        <v/>
      </c>
      <c r="AO73" s="115">
        <f t="shared" si="12"/>
        <v>0.38</v>
      </c>
      <c r="AP73" s="121" t="str">
        <f>IFERROR(
AVERAGEIFS(
'New 20102013 LF Efficacy'!$J:$J,
'New 20102013 LF Efficacy'!$D:$D,$A73,
'New 20102013 LF Efficacy'!$F:$F,"Albendazole &amp; DEC",
'New 20102013 LF Efficacy'!$W:$W,"&lt;2011",
'New 20102013 LF Efficacy'!$AA:$AA,""),
"")
</f>
        <v/>
      </c>
      <c r="AQ73" s="115">
        <f t="shared" si="13"/>
        <v>0.657</v>
      </c>
      <c r="AR73" s="121" t="str">
        <f>IFERROR(
AVERAGEIFS(
'New 20102013 LF Efficacy'!$J:$J,
'New 20102013 LF Efficacy'!$D:$D,$A73,
'New 20102013 LF Efficacy'!$F:$F,"Albendazole &amp; Ivermectin", 
'New 20102013 LF Efficacy'!$W:$W,"&lt;2011",
'New 20102013 LF Efficacy'!$AA:$AA,""),"")</f>
        <v/>
      </c>
      <c r="AS73" s="115">
        <f t="shared" si="14"/>
        <v>0.37153125</v>
      </c>
      <c r="AT73" s="130" t="str">
        <f>IFERROR(AVERAGEIFS(
'20102013 Schist Efficacy'!$O:$O, 
'20102013 Schist Efficacy'!$C:$C,$A73, 
'20102013 Schist Efficacy'!$D:$D, "Praziquantel",
'20102013 Schist Efficacy'!$J:$J,"&lt;2011",
'20102013 Schist Efficacy'!$U:$U,""),
"")</f>
        <v/>
      </c>
      <c r="AU73" s="118">
        <f t="shared" si="15"/>
        <v>0.95</v>
      </c>
      <c r="AV73" s="131" t="str">
        <f>IFERROR(AVERAGEIFS(
'20102013 STH Efficacy'!$AX:$AX, 
'20102013 STH Efficacy'!$AL:$AL, $A73, 
'20102013 STH Efficacy'!$AM:$AM, "Albendazole",
'20102013 STH Efficacy'!$AS:$AS,"&lt;2011",
'20102013 STH Efficacy'!$BP:$BP,""),
"")</f>
        <v/>
      </c>
      <c r="AW73" s="132">
        <f t="shared" si="16"/>
        <v>0.3571666667</v>
      </c>
      <c r="AX73" s="131" t="str">
        <f>IFERROR(AVERAGEIFS(
'20102013 STH Efficacy'!$AX:$AX, 
'20102013 STH Efficacy'!$AL:$AL, $A73, 
'20102013 STH Efficacy'!$AM:$AM, "Mebendazole",
'20102013 STH Efficacy'!$AS:$AS,"&lt;2011",
'20102013 STH Efficacy'!$BP:$BP,""),
"")</f>
        <v/>
      </c>
      <c r="AY73" s="132">
        <f t="shared" si="17"/>
        <v>0.4155</v>
      </c>
      <c r="AZ73" s="131" t="str">
        <f>IFERROR(AVERAGEIFS(
'20102013 STH Efficacy'!$AX:$AX, 
'20102013 STH Efficacy'!$AL:$AL, $A73, 
'20102013 STH Efficacy'!$AM:$AM, "Albendazole &amp; Ivermectin",
'20102013 STH Efficacy'!$AS:$AS,"&lt;2011",
'20102013 STH Efficacy'!$BP:$BP,""),
"")</f>
        <v/>
      </c>
      <c r="BA73" s="133">
        <f t="shared" si="18"/>
        <v>0.651</v>
      </c>
      <c r="BB73" s="134" t="str">
        <f>IFERROR(AVERAGEIFS(
'20102013 STH Efficacy'!$N:$N, 
'20102013 STH Efficacy'!$B:$B, $A73, 
'20102013 STH Efficacy'!$C:$C, "Albendazole",
'20102013 STH Efficacy'!$I:$I,"&lt;2011",
'20102013 STH Efficacy'!$AH:$AH,""),
"")</f>
        <v/>
      </c>
      <c r="BC73" s="135">
        <f t="shared" si="19"/>
        <v>0.5769166667</v>
      </c>
      <c r="BD73" s="134" t="str">
        <f>IFERROR(AVERAGEIFS(
'20102013 STH Efficacy'!$N:$N, 
'20102013 STH Efficacy'!$B:$B, $A73, 
'20102013 STH Efficacy'!$C:$C, "Mebendazole",
'20102013 STH Efficacy'!$I:$I,"&lt;2011",
'20102013 STH Efficacy'!$AH:$AH,""),
"")</f>
        <v/>
      </c>
      <c r="BE73" s="135">
        <f t="shared" si="20"/>
        <v>0.3145</v>
      </c>
      <c r="BF73" s="128" t="str">
        <f>IFERROR(AVERAGEIFS(
'20102013 STH Efficacy'!$CD:$CD, 
'20102013 STH Efficacy'!$BS:$BS, $A73, 
'20102013 STH Efficacy'!$BT:$BT, "Albendazole",
'20102013 STH Efficacy'!$BZ:$BZ,"&lt;2011",
'20102013 STH Efficacy'!$CU:$CU,""),
"")</f>
        <v/>
      </c>
      <c r="BG73" s="136">
        <f t="shared" si="21"/>
        <v>0.96925</v>
      </c>
      <c r="BH73" s="128" t="str">
        <f>IFERROR(AVERAGEIFS(
'20102013 STH Efficacy'!$CD:$CD, 
'20102013 STH Efficacy'!$BS:$BS, $A73, 
'20102013 STH Efficacy'!$BT:$BT, "Mebendazole",
'20102013 STH Efficacy'!$BZ:$BZ,"&lt;2011",
'20102013 STH Efficacy'!$CU:$CU,""),
"")</f>
        <v/>
      </c>
      <c r="BI73" s="136">
        <f t="shared" si="22"/>
        <v>0.9305</v>
      </c>
      <c r="BJ73" s="128" t="str">
        <f>IFERROR(AVERAGEIFS(
'20102013 STH Efficacy'!$CD:$CD, 
'20102013 STH Efficacy'!$BS:$BS, $A73, 
'20102013 STH Efficacy'!$BT:$BT, "Albendazole &amp; Ivermectin",
'20102013 STH Efficacy'!$BZ:$BZ,"&lt;2011",
'20102013 STH Efficacy'!$CU:$CU,""),
"")</f>
        <v/>
      </c>
      <c r="BK73" s="136">
        <f t="shared" si="23"/>
        <v>1</v>
      </c>
      <c r="BL73" s="137"/>
      <c r="BM73" s="137"/>
      <c r="BN73" s="138">
        <v>1.0</v>
      </c>
      <c r="BO73" s="139">
        <v>0.0</v>
      </c>
      <c r="BP73" s="140">
        <v>0.0</v>
      </c>
      <c r="BQ73" s="141">
        <f t="shared" si="24"/>
        <v>1</v>
      </c>
      <c r="BR73" s="104" t="str">
        <f t="shared" si="25"/>
        <v>1001</v>
      </c>
      <c r="BS73" s="104" t="str">
        <f t="shared" si="26"/>
        <v>MDA1/2</v>
      </c>
      <c r="BT73" s="142" t="str">
        <f t="shared" si="27"/>
        <v>DEC+ALB</v>
      </c>
      <c r="BU73" s="104" t="str">
        <f t="shared" si="28"/>
        <v/>
      </c>
      <c r="BV73" s="104" t="str">
        <f t="shared" si="29"/>
        <v>lf+sth</v>
      </c>
      <c r="BW73" s="150">
        <f t="shared" si="30"/>
        <v>316.4513105</v>
      </c>
      <c r="BX73" s="150" t="str">
        <f t="shared" si="31"/>
        <v/>
      </c>
      <c r="BY73" s="151" t="str">
        <f t="shared" si="32"/>
        <v/>
      </c>
      <c r="BZ73" s="152">
        <f t="shared" si="33"/>
        <v>4.31486624</v>
      </c>
      <c r="CA73" s="152" t="str">
        <f t="shared" si="34"/>
        <v/>
      </c>
      <c r="CB73" s="152" t="str">
        <f t="shared" si="35"/>
        <v/>
      </c>
      <c r="CC73" s="170">
        <f t="shared" si="36"/>
        <v>101.5145288</v>
      </c>
      <c r="CD73" s="153" t="str">
        <f t="shared" si="37"/>
        <v/>
      </c>
      <c r="CE73" s="154">
        <f t="shared" si="38"/>
        <v>119.4408611</v>
      </c>
      <c r="CF73" s="154" t="str">
        <f t="shared" si="39"/>
        <v/>
      </c>
      <c r="CG73" s="154" t="str">
        <f t="shared" si="40"/>
        <v/>
      </c>
    </row>
    <row r="74">
      <c r="A74" s="103" t="s">
        <v>163</v>
      </c>
      <c r="B74" s="104" t="s">
        <v>90</v>
      </c>
      <c r="C74" s="105">
        <v>5363352.0</v>
      </c>
      <c r="D74" s="106">
        <v>0.0</v>
      </c>
      <c r="E74" s="107">
        <v>0.0</v>
      </c>
      <c r="F74" s="108">
        <v>0.0</v>
      </c>
      <c r="G74" s="108">
        <v>0.0</v>
      </c>
      <c r="H74" s="157">
        <v>0.0</v>
      </c>
      <c r="I74" s="110">
        <v>0.0</v>
      </c>
      <c r="J74" s="110">
        <v>0.0</v>
      </c>
      <c r="K74" s="109">
        <v>0.0</v>
      </c>
      <c r="L74" s="112">
        <v>0.0</v>
      </c>
      <c r="M74" s="112">
        <v>0.0</v>
      </c>
      <c r="N74" s="112">
        <v>0.0</v>
      </c>
      <c r="O74" s="113"/>
      <c r="P74" s="114"/>
      <c r="Q74" s="114"/>
      <c r="R74" s="115" t="str">
        <f t="shared" si="8"/>
        <v/>
      </c>
      <c r="S74" s="116">
        <f t="shared" si="9"/>
        <v>0.4013436246</v>
      </c>
      <c r="T74" s="117"/>
      <c r="U74" s="118">
        <f t="shared" si="41"/>
        <v>0.3468166667</v>
      </c>
      <c r="V74" s="148"/>
      <c r="W74" s="120">
        <f t="shared" si="10"/>
        <v>1</v>
      </c>
      <c r="X74" s="148"/>
      <c r="Y74" s="120">
        <f t="shared" si="11"/>
        <v>0.71735</v>
      </c>
      <c r="Z74" s="121"/>
      <c r="AA74" s="121"/>
      <c r="AB74" s="121"/>
      <c r="AC74" s="121"/>
      <c r="AD74" s="122">
        <v>0.0</v>
      </c>
      <c r="AE74" s="123">
        <v>0.0</v>
      </c>
      <c r="AF74" s="123">
        <v>0.0</v>
      </c>
      <c r="AG74" s="124">
        <v>0.0</v>
      </c>
      <c r="AH74" s="124">
        <v>0.0</v>
      </c>
      <c r="AI74" s="125">
        <v>0.0</v>
      </c>
      <c r="AJ74" s="125">
        <v>0.0</v>
      </c>
      <c r="AK74" s="127">
        <v>0.0</v>
      </c>
      <c r="AL74" s="127">
        <v>0.0</v>
      </c>
      <c r="AM74" s="128"/>
      <c r="AN74" s="149" t="str">
        <f>IFERROR(
  AVERAGEIFS(
    'New 20102013 LF Efficacy'!$J:$J,
    'New 20102013 LF Efficacy'!$D:$D, $A74,
    'New 20102013 LF Efficacy'!$F:$F,"DEC", 
    'New 20102013 LF Efficacy'!$W:$W,"&lt;2011",
    'New 20102013 LF Efficacy'!$AA:$AA,""),
  ""
)</f>
        <v/>
      </c>
      <c r="AO74" s="115">
        <f t="shared" si="12"/>
        <v>0.3573520833</v>
      </c>
      <c r="AP74" s="121" t="str">
        <f>IFERROR(
AVERAGEIFS(
'New 20102013 LF Efficacy'!$J:$J,
'New 20102013 LF Efficacy'!$D:$D,$A74,
'New 20102013 LF Efficacy'!$F:$F,"Albendazole &amp; DEC",
'New 20102013 LF Efficacy'!$W:$W,"&lt;2011",
'New 20102013 LF Efficacy'!$AA:$AA,""),
"")
</f>
        <v/>
      </c>
      <c r="AQ74" s="115">
        <f t="shared" si="13"/>
        <v>0.5137291667</v>
      </c>
      <c r="AR74" s="121" t="str">
        <f>IFERROR(
AVERAGEIFS(
'New 20102013 LF Efficacy'!$J:$J,
'New 20102013 LF Efficacy'!$D:$D,$A74,
'New 20102013 LF Efficacy'!$F:$F,"Albendazole &amp; Ivermectin", 
'New 20102013 LF Efficacy'!$W:$W,"&lt;2011",
'New 20102013 LF Efficacy'!$AA:$AA,""),"")</f>
        <v/>
      </c>
      <c r="AS74" s="115">
        <f t="shared" si="14"/>
        <v>0.37153125</v>
      </c>
      <c r="AT74" s="130" t="str">
        <f>IFERROR(AVERAGEIFS(
'20102013 Schist Efficacy'!$O:$O, 
'20102013 Schist Efficacy'!$C:$C,$A74, 
'20102013 Schist Efficacy'!$D:$D, "Praziquantel",
'20102013 Schist Efficacy'!$J:$J,"&lt;2011",
'20102013 Schist Efficacy'!$U:$U,""),
"")</f>
        <v/>
      </c>
      <c r="AU74" s="118">
        <f t="shared" si="15"/>
        <v>0.655</v>
      </c>
      <c r="AV74" s="131" t="str">
        <f>IFERROR(AVERAGEIFS(
'20102013 STH Efficacy'!$AX:$AX, 
'20102013 STH Efficacy'!$AL:$AL, $A74, 
'20102013 STH Efficacy'!$AM:$AM, "Albendazole",
'20102013 STH Efficacy'!$AS:$AS,"&lt;2011",
'20102013 STH Efficacy'!$BP:$BP,""),
"")</f>
        <v/>
      </c>
      <c r="AW74" s="132">
        <f t="shared" si="16"/>
        <v>0.3842878788</v>
      </c>
      <c r="AX74" s="131" t="str">
        <f>IFERROR(AVERAGEIFS(
'20102013 STH Efficacy'!$AX:$AX, 
'20102013 STH Efficacy'!$AL:$AL, $A74, 
'20102013 STH Efficacy'!$AM:$AM, "Mebendazole",
'20102013 STH Efficacy'!$AS:$AS,"&lt;2011",
'20102013 STH Efficacy'!$BP:$BP,""),
"")</f>
        <v/>
      </c>
      <c r="AY74" s="132">
        <f t="shared" si="17"/>
        <v>0.5121666667</v>
      </c>
      <c r="AZ74" s="131" t="str">
        <f>IFERROR(AVERAGEIFS(
'20102013 STH Efficacy'!$AX:$AX, 
'20102013 STH Efficacy'!$AL:$AL, $A74, 
'20102013 STH Efficacy'!$AM:$AM, "Albendazole &amp; Ivermectin",
'20102013 STH Efficacy'!$AS:$AS,"&lt;2011",
'20102013 STH Efficacy'!$BP:$BP,""),
"")</f>
        <v/>
      </c>
      <c r="BA74" s="133">
        <f t="shared" si="18"/>
        <v>0.7176666667</v>
      </c>
      <c r="BB74" s="134" t="str">
        <f>IFERROR(AVERAGEIFS(
'20102013 STH Efficacy'!$N:$N, 
'20102013 STH Efficacy'!$B:$B, $A74, 
'20102013 STH Efficacy'!$C:$C, "Albendazole",
'20102013 STH Efficacy'!$I:$I,"&lt;2011",
'20102013 STH Efficacy'!$AH:$AH,""),
"")</f>
        <v/>
      </c>
      <c r="BC74" s="135">
        <f t="shared" si="19"/>
        <v>0.7630416667</v>
      </c>
      <c r="BD74" s="134" t="str">
        <f>IFERROR(AVERAGEIFS(
'20102013 STH Efficacy'!$N:$N, 
'20102013 STH Efficacy'!$B:$B, $A74, 
'20102013 STH Efficacy'!$C:$C, "Mebendazole",
'20102013 STH Efficacy'!$I:$I,"&lt;2011",
'20102013 STH Efficacy'!$AH:$AH,""),
"")</f>
        <v/>
      </c>
      <c r="BE74" s="135">
        <f t="shared" si="20"/>
        <v>0.4405966667</v>
      </c>
      <c r="BF74" s="128" t="str">
        <f>IFERROR(AVERAGEIFS(
'20102013 STH Efficacy'!$CD:$CD, 
'20102013 STH Efficacy'!$BS:$BS, $A74, 
'20102013 STH Efficacy'!$BT:$BT, "Albendazole",
'20102013 STH Efficacy'!$BZ:$BZ,"&lt;2011",
'20102013 STH Efficacy'!$CU:$CU,""),
"")</f>
        <v/>
      </c>
      <c r="BG74" s="136">
        <f t="shared" si="21"/>
        <v>0.9403222222</v>
      </c>
      <c r="BH74" s="128" t="str">
        <f>IFERROR(AVERAGEIFS(
'20102013 STH Efficacy'!$CD:$CD, 
'20102013 STH Efficacy'!$BS:$BS, $A74, 
'20102013 STH Efficacy'!$BT:$BT, "Mebendazole",
'20102013 STH Efficacy'!$BZ:$BZ,"&lt;2011",
'20102013 STH Efficacy'!$CU:$CU,""),
"")</f>
        <v/>
      </c>
      <c r="BI74" s="136">
        <f t="shared" si="22"/>
        <v>0.9229285714</v>
      </c>
      <c r="BJ74" s="128" t="str">
        <f>IFERROR(AVERAGEIFS(
'20102013 STH Efficacy'!$CD:$CD, 
'20102013 STH Efficacy'!$BS:$BS, $A74, 
'20102013 STH Efficacy'!$BT:$BT, "Albendazole &amp; Ivermectin",
'20102013 STH Efficacy'!$BZ:$BZ,"&lt;2011",
'20102013 STH Efficacy'!$CU:$CU,""),
"")</f>
        <v/>
      </c>
      <c r="BK74" s="136">
        <f t="shared" si="23"/>
        <v>1</v>
      </c>
      <c r="BL74" s="137"/>
      <c r="BM74" s="137"/>
      <c r="BN74" s="138">
        <v>0.0</v>
      </c>
      <c r="BO74" s="139">
        <v>0.0</v>
      </c>
      <c r="BP74" s="140">
        <v>0.0</v>
      </c>
      <c r="BQ74" s="141">
        <f t="shared" si="24"/>
        <v>0</v>
      </c>
      <c r="BR74" s="104" t="str">
        <f t="shared" si="25"/>
        <v>0000</v>
      </c>
      <c r="BS74" s="104" t="str">
        <f t="shared" si="26"/>
        <v>no action required</v>
      </c>
      <c r="BT74" s="142" t="str">
        <f t="shared" si="27"/>
        <v/>
      </c>
      <c r="BU74" s="104" t="str">
        <f t="shared" si="28"/>
        <v/>
      </c>
      <c r="BV74" s="104" t="str">
        <f t="shared" si="29"/>
        <v>none</v>
      </c>
      <c r="BW74" s="150" t="str">
        <f t="shared" si="30"/>
        <v/>
      </c>
      <c r="BX74" s="150" t="str">
        <f t="shared" si="31"/>
        <v/>
      </c>
      <c r="BY74" s="151" t="str">
        <f t="shared" si="32"/>
        <v/>
      </c>
      <c r="BZ74" s="152" t="str">
        <f t="shared" si="33"/>
        <v/>
      </c>
      <c r="CA74" s="152" t="str">
        <f t="shared" si="34"/>
        <v/>
      </c>
      <c r="CB74" s="152" t="str">
        <f t="shared" si="35"/>
        <v/>
      </c>
      <c r="CC74" s="153" t="str">
        <f t="shared" si="36"/>
        <v/>
      </c>
      <c r="CD74" s="153" t="str">
        <f t="shared" si="37"/>
        <v/>
      </c>
      <c r="CE74" s="154" t="str">
        <f t="shared" si="38"/>
        <v/>
      </c>
      <c r="CF74" s="154" t="str">
        <f t="shared" si="39"/>
        <v/>
      </c>
      <c r="CG74" s="154" t="str">
        <f t="shared" si="40"/>
        <v/>
      </c>
    </row>
    <row r="75">
      <c r="A75" s="103" t="s">
        <v>164</v>
      </c>
      <c r="B75" s="104" t="s">
        <v>90</v>
      </c>
      <c r="C75" s="105">
        <v>6.5027512E7</v>
      </c>
      <c r="D75" s="106">
        <v>0.0</v>
      </c>
      <c r="E75" s="107">
        <v>12.8645042</v>
      </c>
      <c r="F75" s="108">
        <v>0.0</v>
      </c>
      <c r="G75" s="108">
        <v>0.0</v>
      </c>
      <c r="H75" s="108">
        <v>0.0</v>
      </c>
      <c r="I75" s="109">
        <v>0.0</v>
      </c>
      <c r="J75" s="109">
        <v>0.0</v>
      </c>
      <c r="K75" s="109">
        <v>0.0</v>
      </c>
      <c r="L75" s="112">
        <v>0.0</v>
      </c>
      <c r="M75" s="112">
        <v>0.0</v>
      </c>
      <c r="N75" s="112">
        <v>0.0</v>
      </c>
      <c r="O75" s="113"/>
      <c r="P75" s="114"/>
      <c r="Q75" s="114"/>
      <c r="R75" s="115" t="str">
        <f t="shared" si="8"/>
        <v/>
      </c>
      <c r="S75" s="116">
        <f t="shared" si="9"/>
        <v>0.4013436246</v>
      </c>
      <c r="T75" s="117"/>
      <c r="U75" s="118">
        <f t="shared" si="41"/>
        <v>0.3468166667</v>
      </c>
      <c r="V75" s="148"/>
      <c r="W75" s="120">
        <f t="shared" si="10"/>
        <v>1</v>
      </c>
      <c r="X75" s="148"/>
      <c r="Y75" s="120">
        <f t="shared" si="11"/>
        <v>0.71735</v>
      </c>
      <c r="Z75" s="121"/>
      <c r="AA75" s="121"/>
      <c r="AB75" s="121"/>
      <c r="AC75" s="121"/>
      <c r="AD75" s="122">
        <v>0.0</v>
      </c>
      <c r="AE75" s="123">
        <v>0.0</v>
      </c>
      <c r="AF75" s="123">
        <v>0.0</v>
      </c>
      <c r="AG75" s="124">
        <v>0.0</v>
      </c>
      <c r="AH75" s="124">
        <v>0.0</v>
      </c>
      <c r="AI75" s="125">
        <v>0.0</v>
      </c>
      <c r="AJ75" s="125">
        <v>0.0</v>
      </c>
      <c r="AK75" s="127">
        <v>0.0</v>
      </c>
      <c r="AL75" s="127">
        <v>0.0</v>
      </c>
      <c r="AM75" s="128"/>
      <c r="AN75" s="149" t="str">
        <f>IFERROR(
  AVERAGEIFS(
    'New 20102013 LF Efficacy'!$J:$J,
    'New 20102013 LF Efficacy'!$D:$D, $A75,
    'New 20102013 LF Efficacy'!$F:$F,"DEC", 
    'New 20102013 LF Efficacy'!$W:$W,"&lt;2011",
    'New 20102013 LF Efficacy'!$AA:$AA,""),
  ""
)</f>
        <v/>
      </c>
      <c r="AO75" s="115">
        <f t="shared" si="12"/>
        <v>0.3573520833</v>
      </c>
      <c r="AP75" s="121" t="str">
        <f>IFERROR(
AVERAGEIFS(
'New 20102013 LF Efficacy'!$J:$J,
'New 20102013 LF Efficacy'!$D:$D,$A75,
'New 20102013 LF Efficacy'!$F:$F,"Albendazole &amp; DEC",
'New 20102013 LF Efficacy'!$W:$W,"&lt;2011",
'New 20102013 LF Efficacy'!$AA:$AA,""),
"")
</f>
        <v/>
      </c>
      <c r="AQ75" s="115">
        <f t="shared" si="13"/>
        <v>0.5137291667</v>
      </c>
      <c r="AR75" s="121" t="str">
        <f>IFERROR(
AVERAGEIFS(
'New 20102013 LF Efficacy'!$J:$J,
'New 20102013 LF Efficacy'!$D:$D,$A75,
'New 20102013 LF Efficacy'!$F:$F,"Albendazole &amp; Ivermectin", 
'New 20102013 LF Efficacy'!$W:$W,"&lt;2011",
'New 20102013 LF Efficacy'!$AA:$AA,""),"")</f>
        <v/>
      </c>
      <c r="AS75" s="115">
        <f t="shared" si="14"/>
        <v>0.37153125</v>
      </c>
      <c r="AT75" s="130" t="str">
        <f>IFERROR(AVERAGEIFS(
'20102013 Schist Efficacy'!$O:$O, 
'20102013 Schist Efficacy'!$C:$C,$A75, 
'20102013 Schist Efficacy'!$D:$D, "Praziquantel",
'20102013 Schist Efficacy'!$J:$J,"&lt;2011",
'20102013 Schist Efficacy'!$U:$U,""),
"")</f>
        <v/>
      </c>
      <c r="AU75" s="118">
        <f t="shared" si="15"/>
        <v>0.655</v>
      </c>
      <c r="AV75" s="131" t="str">
        <f>IFERROR(AVERAGEIFS(
'20102013 STH Efficacy'!$AX:$AX, 
'20102013 STH Efficacy'!$AL:$AL, $A75, 
'20102013 STH Efficacy'!$AM:$AM, "Albendazole",
'20102013 STH Efficacy'!$AS:$AS,"&lt;2011",
'20102013 STH Efficacy'!$BP:$BP,""),
"")</f>
        <v/>
      </c>
      <c r="AW75" s="132">
        <f t="shared" si="16"/>
        <v>0.3842878788</v>
      </c>
      <c r="AX75" s="131" t="str">
        <f>IFERROR(AVERAGEIFS(
'20102013 STH Efficacy'!$AX:$AX, 
'20102013 STH Efficacy'!$AL:$AL, $A75, 
'20102013 STH Efficacy'!$AM:$AM, "Mebendazole",
'20102013 STH Efficacy'!$AS:$AS,"&lt;2011",
'20102013 STH Efficacy'!$BP:$BP,""),
"")</f>
        <v/>
      </c>
      <c r="AY75" s="132">
        <f t="shared" si="17"/>
        <v>0.5121666667</v>
      </c>
      <c r="AZ75" s="131" t="str">
        <f>IFERROR(AVERAGEIFS(
'20102013 STH Efficacy'!$AX:$AX, 
'20102013 STH Efficacy'!$AL:$AL, $A75, 
'20102013 STH Efficacy'!$AM:$AM, "Albendazole &amp; Ivermectin",
'20102013 STH Efficacy'!$AS:$AS,"&lt;2011",
'20102013 STH Efficacy'!$BP:$BP,""),
"")</f>
        <v/>
      </c>
      <c r="BA75" s="133">
        <f t="shared" si="18"/>
        <v>0.7176666667</v>
      </c>
      <c r="BB75" s="134" t="str">
        <f>IFERROR(AVERAGEIFS(
'20102013 STH Efficacy'!$N:$N, 
'20102013 STH Efficacy'!$B:$B, $A75, 
'20102013 STH Efficacy'!$C:$C, "Albendazole",
'20102013 STH Efficacy'!$I:$I,"&lt;2011",
'20102013 STH Efficacy'!$AH:$AH,""),
"")</f>
        <v/>
      </c>
      <c r="BC75" s="135">
        <f t="shared" si="19"/>
        <v>0.7630416667</v>
      </c>
      <c r="BD75" s="134" t="str">
        <f>IFERROR(AVERAGEIFS(
'20102013 STH Efficacy'!$N:$N, 
'20102013 STH Efficacy'!$B:$B, $A75, 
'20102013 STH Efficacy'!$C:$C, "Mebendazole",
'20102013 STH Efficacy'!$I:$I,"&lt;2011",
'20102013 STH Efficacy'!$AH:$AH,""),
"")</f>
        <v/>
      </c>
      <c r="BE75" s="135">
        <f t="shared" si="20"/>
        <v>0.4405966667</v>
      </c>
      <c r="BF75" s="128" t="str">
        <f>IFERROR(AVERAGEIFS(
'20102013 STH Efficacy'!$CD:$CD, 
'20102013 STH Efficacy'!$BS:$BS, $A75, 
'20102013 STH Efficacy'!$BT:$BT, "Albendazole",
'20102013 STH Efficacy'!$BZ:$BZ,"&lt;2011",
'20102013 STH Efficacy'!$CU:$CU,""),
"")</f>
        <v/>
      </c>
      <c r="BG75" s="136">
        <f t="shared" si="21"/>
        <v>0.9403222222</v>
      </c>
      <c r="BH75" s="128" t="str">
        <f>IFERROR(AVERAGEIFS(
'20102013 STH Efficacy'!$CD:$CD, 
'20102013 STH Efficacy'!$BS:$BS, $A75, 
'20102013 STH Efficacy'!$BT:$BT, "Mebendazole",
'20102013 STH Efficacy'!$BZ:$BZ,"&lt;2011",
'20102013 STH Efficacy'!$CU:$CU,""),
"")</f>
        <v/>
      </c>
      <c r="BI75" s="136">
        <f t="shared" si="22"/>
        <v>0.9229285714</v>
      </c>
      <c r="BJ75" s="128" t="str">
        <f>IFERROR(AVERAGEIFS(
'20102013 STH Efficacy'!$CD:$CD, 
'20102013 STH Efficacy'!$BS:$BS, $A75, 
'20102013 STH Efficacy'!$BT:$BT, "Albendazole &amp; Ivermectin",
'20102013 STH Efficacy'!$BZ:$BZ,"&lt;2011",
'20102013 STH Efficacy'!$CU:$CU,""),
"")</f>
        <v/>
      </c>
      <c r="BK75" s="136">
        <f t="shared" si="23"/>
        <v>1</v>
      </c>
      <c r="BL75" s="137"/>
      <c r="BM75" s="137"/>
      <c r="BN75" s="138">
        <v>0.0</v>
      </c>
      <c r="BO75" s="139">
        <v>0.0</v>
      </c>
      <c r="BP75" s="140">
        <v>0.0</v>
      </c>
      <c r="BQ75" s="141">
        <f t="shared" si="24"/>
        <v>0</v>
      </c>
      <c r="BR75" s="104" t="str">
        <f t="shared" si="25"/>
        <v>0000</v>
      </c>
      <c r="BS75" s="104" t="str">
        <f t="shared" si="26"/>
        <v>no action required</v>
      </c>
      <c r="BT75" s="142" t="str">
        <f t="shared" si="27"/>
        <v/>
      </c>
      <c r="BU75" s="104" t="str">
        <f t="shared" si="28"/>
        <v/>
      </c>
      <c r="BV75" s="104" t="str">
        <f t="shared" si="29"/>
        <v>none</v>
      </c>
      <c r="BW75" s="150" t="str">
        <f t="shared" si="30"/>
        <v/>
      </c>
      <c r="BX75" s="150" t="str">
        <f t="shared" si="31"/>
        <v/>
      </c>
      <c r="BY75" s="151" t="str">
        <f t="shared" si="32"/>
        <v/>
      </c>
      <c r="BZ75" s="152" t="str">
        <f t="shared" si="33"/>
        <v/>
      </c>
      <c r="CA75" s="152" t="str">
        <f t="shared" si="34"/>
        <v/>
      </c>
      <c r="CB75" s="152" t="str">
        <f t="shared" si="35"/>
        <v/>
      </c>
      <c r="CC75" s="153" t="str">
        <f t="shared" si="36"/>
        <v/>
      </c>
      <c r="CD75" s="153" t="str">
        <f t="shared" si="37"/>
        <v/>
      </c>
      <c r="CE75" s="154" t="str">
        <f t="shared" si="38"/>
        <v/>
      </c>
      <c r="CF75" s="154" t="str">
        <f t="shared" si="39"/>
        <v/>
      </c>
      <c r="CG75" s="154" t="str">
        <f t="shared" si="40"/>
        <v/>
      </c>
    </row>
    <row r="76">
      <c r="A76" s="155" t="s">
        <v>165</v>
      </c>
      <c r="B76" s="104" t="s">
        <v>94</v>
      </c>
      <c r="C76" s="105">
        <v>267820.0</v>
      </c>
      <c r="D76" s="106">
        <v>0.0</v>
      </c>
      <c r="E76" s="107">
        <v>0.0</v>
      </c>
      <c r="F76" s="163"/>
      <c r="G76" s="177"/>
      <c r="H76" s="157">
        <v>0.0</v>
      </c>
      <c r="I76" s="110">
        <v>0.0</v>
      </c>
      <c r="J76" s="110">
        <v>0.0</v>
      </c>
      <c r="K76" s="110">
        <v>0.0</v>
      </c>
      <c r="L76" s="178"/>
      <c r="M76" s="178"/>
      <c r="N76" s="158">
        <v>0.0</v>
      </c>
      <c r="O76" s="159"/>
      <c r="P76" s="160">
        <v>266796.0</v>
      </c>
      <c r="Q76" s="160">
        <v>183726.0</v>
      </c>
      <c r="R76" s="115">
        <f t="shared" si="8"/>
        <v>0.6886385103</v>
      </c>
      <c r="S76" s="116">
        <f t="shared" si="9"/>
        <v>0.6886385103</v>
      </c>
      <c r="T76" s="117"/>
      <c r="U76" s="118">
        <f t="shared" si="41"/>
        <v>0.6259666667</v>
      </c>
      <c r="V76" s="148"/>
      <c r="W76" s="120">
        <f t="shared" si="10"/>
        <v>0.55175</v>
      </c>
      <c r="X76" s="148"/>
      <c r="Y76" s="120">
        <f t="shared" si="11"/>
        <v>0.4826142857</v>
      </c>
      <c r="Z76" s="114"/>
      <c r="AA76" s="114"/>
      <c r="AB76" s="114"/>
      <c r="AC76" s="114"/>
      <c r="AD76" s="164">
        <v>0.0</v>
      </c>
      <c r="AE76" s="165">
        <v>0.0</v>
      </c>
      <c r="AF76" s="166">
        <v>0.0</v>
      </c>
      <c r="AG76" s="167">
        <v>0.0</v>
      </c>
      <c r="AH76" s="172">
        <v>0.0</v>
      </c>
      <c r="AI76" s="168">
        <v>0.0</v>
      </c>
      <c r="AJ76" s="173">
        <v>0.0</v>
      </c>
      <c r="AK76" s="126">
        <v>0.0</v>
      </c>
      <c r="AL76" s="169">
        <v>0.0</v>
      </c>
      <c r="AM76" s="128"/>
      <c r="AN76" s="149">
        <f>IFERROR(
  AVERAGEIFS(
    'New 20102013 LF Efficacy'!$J:$J,
    'New 20102013 LF Efficacy'!$D:$D, $A76,
    'New 20102013 LF Efficacy'!$F:$F,"DEC", 
    'New 20102013 LF Efficacy'!$W:$W,"&lt;2011",
    'New 20102013 LF Efficacy'!$AA:$AA,""),
  ""
)</f>
        <v>0.26</v>
      </c>
      <c r="AO76" s="115">
        <f t="shared" si="12"/>
        <v>0.26</v>
      </c>
      <c r="AP76" s="121" t="str">
        <f>IFERROR(
AVERAGEIFS(
'New 20102013 LF Efficacy'!$J:$J,
'New 20102013 LF Efficacy'!$D:$D,$A76,
'New 20102013 LF Efficacy'!$F:$F,"Albendazole &amp; DEC",
'New 20102013 LF Efficacy'!$W:$W,"&lt;2011",
'New 20102013 LF Efficacy'!$AA:$AA,""),
"")
</f>
        <v/>
      </c>
      <c r="AQ76" s="115">
        <f t="shared" si="13"/>
        <v>0.657</v>
      </c>
      <c r="AR76" s="121" t="str">
        <f>IFERROR(
AVERAGEIFS(
'New 20102013 LF Efficacy'!$J:$J,
'New 20102013 LF Efficacy'!$D:$D,$A76,
'New 20102013 LF Efficacy'!$F:$F,"Albendazole &amp; Ivermectin", 
'New 20102013 LF Efficacy'!$W:$W,"&lt;2011",
'New 20102013 LF Efficacy'!$AA:$AA,""),"")</f>
        <v/>
      </c>
      <c r="AS76" s="115">
        <f t="shared" si="14"/>
        <v>0.37153125</v>
      </c>
      <c r="AT76" s="130" t="str">
        <f>IFERROR(AVERAGEIFS(
'20102013 Schist Efficacy'!$O:$O, 
'20102013 Schist Efficacy'!$C:$C,$A76, 
'20102013 Schist Efficacy'!$D:$D, "Praziquantel",
'20102013 Schist Efficacy'!$J:$J,"&lt;2011",
'20102013 Schist Efficacy'!$U:$U,""),
"")</f>
        <v/>
      </c>
      <c r="AU76" s="118">
        <f t="shared" si="15"/>
        <v>0.95</v>
      </c>
      <c r="AV76" s="131" t="str">
        <f>IFERROR(AVERAGEIFS(
'20102013 STH Efficacy'!$AX:$AX, 
'20102013 STH Efficacy'!$AL:$AL, $A76, 
'20102013 STH Efficacy'!$AM:$AM, "Albendazole",
'20102013 STH Efficacy'!$AS:$AS,"&lt;2011",
'20102013 STH Efficacy'!$BP:$BP,""),
"")</f>
        <v/>
      </c>
      <c r="AW76" s="132">
        <f t="shared" si="16"/>
        <v>0.3571666667</v>
      </c>
      <c r="AX76" s="131" t="str">
        <f>IFERROR(AVERAGEIFS(
'20102013 STH Efficacy'!$AX:$AX, 
'20102013 STH Efficacy'!$AL:$AL, $A76, 
'20102013 STH Efficacy'!$AM:$AM, "Mebendazole",
'20102013 STH Efficacy'!$AS:$AS,"&lt;2011",
'20102013 STH Efficacy'!$BP:$BP,""),
"")</f>
        <v/>
      </c>
      <c r="AY76" s="132">
        <f t="shared" si="17"/>
        <v>0.4155</v>
      </c>
      <c r="AZ76" s="131" t="str">
        <f>IFERROR(AVERAGEIFS(
'20102013 STH Efficacy'!$AX:$AX, 
'20102013 STH Efficacy'!$AL:$AL, $A76, 
'20102013 STH Efficacy'!$AM:$AM, "Albendazole &amp; Ivermectin",
'20102013 STH Efficacy'!$AS:$AS,"&lt;2011",
'20102013 STH Efficacy'!$BP:$BP,""),
"")</f>
        <v/>
      </c>
      <c r="BA76" s="133">
        <f t="shared" si="18"/>
        <v>0.651</v>
      </c>
      <c r="BB76" s="134" t="str">
        <f>IFERROR(AVERAGEIFS(
'20102013 STH Efficacy'!$N:$N, 
'20102013 STH Efficacy'!$B:$B, $A76, 
'20102013 STH Efficacy'!$C:$C, "Albendazole",
'20102013 STH Efficacy'!$I:$I,"&lt;2011",
'20102013 STH Efficacy'!$AH:$AH,""),
"")</f>
        <v/>
      </c>
      <c r="BC76" s="135">
        <f t="shared" si="19"/>
        <v>0.5769166667</v>
      </c>
      <c r="BD76" s="134" t="str">
        <f>IFERROR(AVERAGEIFS(
'20102013 STH Efficacy'!$N:$N, 
'20102013 STH Efficacy'!$B:$B, $A76, 
'20102013 STH Efficacy'!$C:$C, "Mebendazole",
'20102013 STH Efficacy'!$I:$I,"&lt;2011",
'20102013 STH Efficacy'!$AH:$AH,""),
"")</f>
        <v/>
      </c>
      <c r="BE76" s="135">
        <f t="shared" si="20"/>
        <v>0.3145</v>
      </c>
      <c r="BF76" s="128" t="str">
        <f>IFERROR(AVERAGEIFS(
'20102013 STH Efficacy'!$CD:$CD, 
'20102013 STH Efficacy'!$BS:$BS, $A76, 
'20102013 STH Efficacy'!$BT:$BT, "Albendazole",
'20102013 STH Efficacy'!$BZ:$BZ,"&lt;2011",
'20102013 STH Efficacy'!$CU:$CU,""),
"")</f>
        <v/>
      </c>
      <c r="BG76" s="136">
        <f t="shared" si="21"/>
        <v>0.96925</v>
      </c>
      <c r="BH76" s="128" t="str">
        <f>IFERROR(AVERAGEIFS(
'20102013 STH Efficacy'!$CD:$CD, 
'20102013 STH Efficacy'!$BS:$BS, $A76, 
'20102013 STH Efficacy'!$BT:$BT, "Mebendazole",
'20102013 STH Efficacy'!$BZ:$BZ,"&lt;2011",
'20102013 STH Efficacy'!$CU:$CU,""),
"")</f>
        <v/>
      </c>
      <c r="BI76" s="136">
        <f t="shared" si="22"/>
        <v>0.9305</v>
      </c>
      <c r="BJ76" s="128" t="str">
        <f>IFERROR(AVERAGEIFS(
'20102013 STH Efficacy'!$CD:$CD, 
'20102013 STH Efficacy'!$BS:$BS, $A76, 
'20102013 STH Efficacy'!$BT:$BT, "Albendazole &amp; Ivermectin",
'20102013 STH Efficacy'!$BZ:$BZ,"&lt;2011",
'20102013 STH Efficacy'!$CU:$CU,""),
"")</f>
        <v/>
      </c>
      <c r="BK76" s="136">
        <f t="shared" si="23"/>
        <v>1</v>
      </c>
      <c r="BL76" s="137"/>
      <c r="BM76" s="137"/>
      <c r="BN76" s="138">
        <v>1.0</v>
      </c>
      <c r="BO76" s="139">
        <v>0.0</v>
      </c>
      <c r="BP76" s="140">
        <v>0.0</v>
      </c>
      <c r="BQ76" s="141">
        <f t="shared" si="24"/>
        <v>0</v>
      </c>
      <c r="BR76" s="104" t="str">
        <f t="shared" si="25"/>
        <v>1000</v>
      </c>
      <c r="BS76" s="104" t="str">
        <f t="shared" si="26"/>
        <v>MDA1/2</v>
      </c>
      <c r="BT76" s="142" t="str">
        <f t="shared" si="27"/>
        <v>DEC+ALB</v>
      </c>
      <c r="BU76" s="104" t="str">
        <f t="shared" si="28"/>
        <v/>
      </c>
      <c r="BV76" s="104" t="str">
        <f t="shared" si="29"/>
        <v>lf only</v>
      </c>
      <c r="BW76" s="150">
        <f t="shared" si="30"/>
        <v>0</v>
      </c>
      <c r="BX76" s="150" t="str">
        <f t="shared" si="31"/>
        <v/>
      </c>
      <c r="BY76" s="151" t="str">
        <f t="shared" si="32"/>
        <v/>
      </c>
      <c r="BZ76" s="152" t="str">
        <f t="shared" si="33"/>
        <v/>
      </c>
      <c r="CA76" s="152" t="str">
        <f t="shared" si="34"/>
        <v/>
      </c>
      <c r="CB76" s="152" t="str">
        <f t="shared" si="35"/>
        <v/>
      </c>
      <c r="CC76" s="153" t="str">
        <f t="shared" si="36"/>
        <v/>
      </c>
      <c r="CD76" s="153" t="str">
        <f t="shared" si="37"/>
        <v/>
      </c>
      <c r="CE76" s="154" t="str">
        <f t="shared" si="38"/>
        <v/>
      </c>
      <c r="CF76" s="154" t="str">
        <f t="shared" si="39"/>
        <v/>
      </c>
      <c r="CG76" s="154" t="str">
        <f t="shared" si="40"/>
        <v/>
      </c>
    </row>
    <row r="77">
      <c r="A77" s="103" t="s">
        <v>166</v>
      </c>
      <c r="B77" s="104" t="s">
        <v>92</v>
      </c>
      <c r="C77" s="105">
        <v>1640210.0</v>
      </c>
      <c r="D77" s="106">
        <v>1205.013787</v>
      </c>
      <c r="E77" s="107">
        <v>3066.480873</v>
      </c>
      <c r="F77" s="108">
        <v>56.1594281</v>
      </c>
      <c r="G77" s="108">
        <v>245.9811506</v>
      </c>
      <c r="H77" s="108">
        <v>302.1405787</v>
      </c>
      <c r="I77" s="109">
        <v>95.5137195</v>
      </c>
      <c r="J77" s="109">
        <v>268.033551</v>
      </c>
      <c r="K77" s="109">
        <v>363.5472704</v>
      </c>
      <c r="L77" s="112">
        <v>355.9323746</v>
      </c>
      <c r="M77" s="112">
        <v>357.4113518</v>
      </c>
      <c r="N77" s="158">
        <v>713.3437264</v>
      </c>
      <c r="O77" s="159"/>
      <c r="P77" s="160">
        <v>1290600.0</v>
      </c>
      <c r="Q77" s="156"/>
      <c r="R77" s="115">
        <f t="shared" si="8"/>
        <v>0</v>
      </c>
      <c r="S77" s="116">
        <f t="shared" si="9"/>
        <v>0.1716437208</v>
      </c>
      <c r="T77" s="117"/>
      <c r="U77" s="118">
        <f t="shared" si="41"/>
        <v>0.252</v>
      </c>
      <c r="V77" s="148"/>
      <c r="W77" s="120">
        <f t="shared" si="10"/>
        <v>0.7266555556</v>
      </c>
      <c r="X77" s="148"/>
      <c r="Y77" s="120">
        <f t="shared" si="11"/>
        <v>0.4342071429</v>
      </c>
      <c r="Z77" s="121"/>
      <c r="AA77" s="121"/>
      <c r="AB77" s="121"/>
      <c r="AC77" s="121"/>
      <c r="AD77" s="122">
        <v>0.0084</v>
      </c>
      <c r="AE77" s="123">
        <v>0.2</v>
      </c>
      <c r="AF77" s="123">
        <v>0.0195</v>
      </c>
      <c r="AG77" s="124">
        <v>0.2403</v>
      </c>
      <c r="AH77" s="124">
        <v>0.373189976</v>
      </c>
      <c r="AI77" s="125">
        <v>0.1081</v>
      </c>
      <c r="AJ77" s="125">
        <v>0.173257173</v>
      </c>
      <c r="AK77" s="127">
        <v>0.27</v>
      </c>
      <c r="AL77" s="169">
        <v>0.41217546</v>
      </c>
      <c r="AM77" s="128"/>
      <c r="AN77" s="149" t="str">
        <f>IFERROR(
  AVERAGEIFS(
    'New 20102013 LF Efficacy'!$J:$J,
    'New 20102013 LF Efficacy'!$D:$D, $A77,
    'New 20102013 LF Efficacy'!$F:$F,"DEC", 
    'New 20102013 LF Efficacy'!$W:$W,"&lt;2011",
    'New 20102013 LF Efficacy'!$AA:$AA,""),
  ""
)</f>
        <v/>
      </c>
      <c r="AO77" s="115">
        <f t="shared" si="12"/>
        <v>0.31225</v>
      </c>
      <c r="AP77" s="121" t="str">
        <f>IFERROR(
AVERAGEIFS(
'New 20102013 LF Efficacy'!$J:$J,
'New 20102013 LF Efficacy'!$D:$D,$A77,
'New 20102013 LF Efficacy'!$F:$F,"Albendazole &amp; DEC",
'New 20102013 LF Efficacy'!$W:$W,"&lt;2011",
'New 20102013 LF Efficacy'!$AA:$AA,""),
"")
</f>
        <v/>
      </c>
      <c r="AQ77" s="115">
        <f t="shared" si="13"/>
        <v>0.4</v>
      </c>
      <c r="AR77" s="121" t="str">
        <f>IFERROR(
AVERAGEIFS(
'New 20102013 LF Efficacy'!$J:$J,
'New 20102013 LF Efficacy'!$D:$D,$A77,
'New 20102013 LF Efficacy'!$F:$F,"Albendazole &amp; Ivermectin", 
'New 20102013 LF Efficacy'!$W:$W,"&lt;2011",
'New 20102013 LF Efficacy'!$AA:$AA,""),"")</f>
        <v/>
      </c>
      <c r="AS77" s="115">
        <f t="shared" si="14"/>
        <v>0.2943125</v>
      </c>
      <c r="AT77" s="130" t="str">
        <f>IFERROR(AVERAGEIFS(
'20102013 Schist Efficacy'!$O:$O, 
'20102013 Schist Efficacy'!$C:$C,$A77, 
'20102013 Schist Efficacy'!$D:$D, "Praziquantel",
'20102013 Schist Efficacy'!$J:$J,"&lt;2011",
'20102013 Schist Efficacy'!$U:$U,""),
"")</f>
        <v/>
      </c>
      <c r="AU77" s="118">
        <f t="shared" si="15"/>
        <v>0.6444020147</v>
      </c>
      <c r="AV77" s="131" t="str">
        <f>IFERROR(AVERAGEIFS(
'20102013 STH Efficacy'!$AX:$AX, 
'20102013 STH Efficacy'!$AL:$AL, $A77, 
'20102013 STH Efficacy'!$AM:$AM, "Albendazole",
'20102013 STH Efficacy'!$AS:$AS,"&lt;2011",
'20102013 STH Efficacy'!$BP:$BP,""),
"")</f>
        <v/>
      </c>
      <c r="AW77" s="132">
        <f t="shared" si="16"/>
        <v>0.3538333333</v>
      </c>
      <c r="AX77" s="131" t="str">
        <f>IFERROR(AVERAGEIFS(
'20102013 STH Efficacy'!$AX:$AX, 
'20102013 STH Efficacy'!$AL:$AL, $A77, 
'20102013 STH Efficacy'!$AM:$AM, "Mebendazole",
'20102013 STH Efficacy'!$AS:$AS,"&lt;2011",
'20102013 STH Efficacy'!$BP:$BP,""),
"")</f>
        <v/>
      </c>
      <c r="AY77" s="132">
        <f t="shared" si="17"/>
        <v>0.5918333333</v>
      </c>
      <c r="AZ77" s="131" t="str">
        <f>IFERROR(AVERAGEIFS(
'20102013 STH Efficacy'!$AX:$AX, 
'20102013 STH Efficacy'!$AL:$AL, $A77, 
'20102013 STH Efficacy'!$AM:$AM, "Albendazole &amp; Ivermectin",
'20102013 STH Efficacy'!$AS:$AS,"&lt;2011",
'20102013 STH Efficacy'!$BP:$BP,""),
"")</f>
        <v/>
      </c>
      <c r="BA77" s="133">
        <f t="shared" si="18"/>
        <v>0.706</v>
      </c>
      <c r="BB77" s="134" t="str">
        <f>IFERROR(AVERAGEIFS(
'20102013 STH Efficacy'!$N:$N, 
'20102013 STH Efficacy'!$B:$B, $A77, 
'20102013 STH Efficacy'!$C:$C, "Albendazole",
'20102013 STH Efficacy'!$I:$I,"&lt;2011",
'20102013 STH Efficacy'!$AH:$AH,""),
"")</f>
        <v/>
      </c>
      <c r="BC77" s="135">
        <f t="shared" si="19"/>
        <v>0.9116666667</v>
      </c>
      <c r="BD77" s="134" t="str">
        <f>IFERROR(AVERAGEIFS(
'20102013 STH Efficacy'!$N:$N, 
'20102013 STH Efficacy'!$B:$B, $A77, 
'20102013 STH Efficacy'!$C:$C, "Mebendazole",
'20102013 STH Efficacy'!$I:$I,"&lt;2011",
'20102013 STH Efficacy'!$AH:$AH,""),
"")</f>
        <v/>
      </c>
      <c r="BE77" s="135">
        <f t="shared" si="20"/>
        <v>0.7092416667</v>
      </c>
      <c r="BF77" s="128" t="str">
        <f>IFERROR(AVERAGEIFS(
'20102013 STH Efficacy'!$CD:$CD, 
'20102013 STH Efficacy'!$BS:$BS, $A77, 
'20102013 STH Efficacy'!$BT:$BT, "Albendazole",
'20102013 STH Efficacy'!$BZ:$BZ,"&lt;2011",
'20102013 STH Efficacy'!$CU:$CU,""),
"")</f>
        <v/>
      </c>
      <c r="BG77" s="136">
        <f t="shared" si="21"/>
        <v>0.8656666667</v>
      </c>
      <c r="BH77" s="128" t="str">
        <f>IFERROR(AVERAGEIFS(
'20102013 STH Efficacy'!$CD:$CD, 
'20102013 STH Efficacy'!$BS:$BS, $A77, 
'20102013 STH Efficacy'!$BT:$BT, "Mebendazole",
'20102013 STH Efficacy'!$BZ:$BZ,"&lt;2011",
'20102013 STH Efficacy'!$CU:$CU,""),
"")</f>
        <v/>
      </c>
      <c r="BI77" s="136">
        <f t="shared" si="22"/>
        <v>0.9203333333</v>
      </c>
      <c r="BJ77" s="128" t="str">
        <f>IFERROR(AVERAGEIFS(
'20102013 STH Efficacy'!$CD:$CD, 
'20102013 STH Efficacy'!$BS:$BS, $A77, 
'20102013 STH Efficacy'!$BT:$BT, "Albendazole &amp; Ivermectin",
'20102013 STH Efficacy'!$BZ:$BZ,"&lt;2011",
'20102013 STH Efficacy'!$CU:$CU,""),
"")</f>
        <v/>
      </c>
      <c r="BK77" s="136">
        <f t="shared" si="23"/>
        <v>1</v>
      </c>
      <c r="BL77" s="137"/>
      <c r="BM77" s="137"/>
      <c r="BN77" s="138">
        <v>1.0</v>
      </c>
      <c r="BO77" s="139">
        <v>1.0</v>
      </c>
      <c r="BP77" s="140">
        <v>1.0</v>
      </c>
      <c r="BQ77" s="141">
        <f t="shared" si="24"/>
        <v>1</v>
      </c>
      <c r="BR77" s="104" t="str">
        <f t="shared" si="25"/>
        <v>1111</v>
      </c>
      <c r="BS77" s="104" t="str">
        <f t="shared" si="26"/>
        <v>MDA1+T2</v>
      </c>
      <c r="BT77" s="142" t="str">
        <f t="shared" si="27"/>
        <v>IVM+ALB</v>
      </c>
      <c r="BU77" s="104" t="str">
        <f t="shared" si="28"/>
        <v>PZQ</v>
      </c>
      <c r="BV77" s="104" t="str">
        <f t="shared" si="29"/>
        <v>lf+onch+schist+sth</v>
      </c>
      <c r="BW77" s="150" t="str">
        <f t="shared" si="30"/>
        <v/>
      </c>
      <c r="BX77" s="150">
        <f t="shared" si="31"/>
        <v>64.11230653</v>
      </c>
      <c r="BY77" s="162">
        <f t="shared" si="32"/>
        <v>594.5049539</v>
      </c>
      <c r="BZ77" s="152">
        <f t="shared" si="33"/>
        <v>64.08895568</v>
      </c>
      <c r="CA77" s="152" t="str">
        <f t="shared" si="34"/>
        <v/>
      </c>
      <c r="CB77" s="152">
        <f t="shared" si="35"/>
        <v>167.9019205</v>
      </c>
      <c r="CC77" s="170">
        <f t="shared" si="36"/>
        <v>363.0847956</v>
      </c>
      <c r="CD77" s="153" t="str">
        <f t="shared" si="37"/>
        <v/>
      </c>
      <c r="CE77" s="154">
        <f t="shared" si="38"/>
        <v>818.8132735</v>
      </c>
      <c r="CF77" s="154" t="str">
        <f t="shared" si="39"/>
        <v/>
      </c>
      <c r="CG77" s="154">
        <f t="shared" si="40"/>
        <v>1220.494962</v>
      </c>
    </row>
    <row r="78">
      <c r="A78" s="103" t="s">
        <v>167</v>
      </c>
      <c r="B78" s="104" t="s">
        <v>92</v>
      </c>
      <c r="C78" s="105">
        <v>1692149.0</v>
      </c>
      <c r="D78" s="106">
        <v>2142.640401</v>
      </c>
      <c r="E78" s="107">
        <v>5378.474437</v>
      </c>
      <c r="F78" s="108">
        <v>0.036094</v>
      </c>
      <c r="G78" s="108">
        <v>0.143083579</v>
      </c>
      <c r="H78" s="108">
        <v>0.179177578</v>
      </c>
      <c r="I78" s="109">
        <v>0.0</v>
      </c>
      <c r="J78" s="109">
        <v>0.0</v>
      </c>
      <c r="K78" s="109">
        <v>103.459765</v>
      </c>
      <c r="L78" s="112">
        <v>142.6780747</v>
      </c>
      <c r="M78" s="112">
        <v>17.33088069</v>
      </c>
      <c r="N78" s="158">
        <v>160.0089554</v>
      </c>
      <c r="O78" s="159"/>
      <c r="P78" s="160">
        <v>1200000.0</v>
      </c>
      <c r="Q78" s="156"/>
      <c r="R78" s="115">
        <f t="shared" si="8"/>
        <v>0</v>
      </c>
      <c r="S78" s="116">
        <f t="shared" si="9"/>
        <v>0.1716437208</v>
      </c>
      <c r="T78" s="117"/>
      <c r="U78" s="118">
        <f t="shared" si="41"/>
        <v>0.252</v>
      </c>
      <c r="V78" s="119">
        <v>0.5454</v>
      </c>
      <c r="W78" s="120">
        <f t="shared" si="10"/>
        <v>0.5454</v>
      </c>
      <c r="X78" s="119">
        <v>1.0</v>
      </c>
      <c r="Y78" s="120">
        <f t="shared" si="11"/>
        <v>1</v>
      </c>
      <c r="Z78" s="121"/>
      <c r="AA78" s="121"/>
      <c r="AB78" s="121"/>
      <c r="AC78" s="121"/>
      <c r="AD78" s="122">
        <v>0.017</v>
      </c>
      <c r="AE78" s="123">
        <v>0.37</v>
      </c>
      <c r="AF78" s="123">
        <v>0.0885</v>
      </c>
      <c r="AG78" s="167">
        <v>0.0</v>
      </c>
      <c r="AH78" s="124">
        <v>0.031932032</v>
      </c>
      <c r="AI78" s="168">
        <v>0.0</v>
      </c>
      <c r="AJ78" s="125">
        <v>0.049106366</v>
      </c>
      <c r="AK78" s="127">
        <v>0.01</v>
      </c>
      <c r="AL78" s="169">
        <v>0.01082994</v>
      </c>
      <c r="AM78" s="128"/>
      <c r="AN78" s="149" t="str">
        <f>IFERROR(
  AVERAGEIFS(
    'New 20102013 LF Efficacy'!$J:$J,
    'New 20102013 LF Efficacy'!$D:$D, $A78,
    'New 20102013 LF Efficacy'!$F:$F,"DEC", 
    'New 20102013 LF Efficacy'!$W:$W,"&lt;2011",
    'New 20102013 LF Efficacy'!$AA:$AA,""),
  ""
)</f>
        <v/>
      </c>
      <c r="AO78" s="115">
        <f t="shared" si="12"/>
        <v>0.31225</v>
      </c>
      <c r="AP78" s="121" t="str">
        <f>IFERROR(
AVERAGEIFS(
'New 20102013 LF Efficacy'!$J:$J,
'New 20102013 LF Efficacy'!$D:$D,$A78,
'New 20102013 LF Efficacy'!$F:$F,"Albendazole &amp; DEC",
'New 20102013 LF Efficacy'!$W:$W,"&lt;2011",
'New 20102013 LF Efficacy'!$AA:$AA,""),
"")
</f>
        <v/>
      </c>
      <c r="AQ78" s="115">
        <f t="shared" si="13"/>
        <v>0.4</v>
      </c>
      <c r="AR78" s="121" t="str">
        <f>IFERROR(
AVERAGEIFS(
'New 20102013 LF Efficacy'!$J:$J,
'New 20102013 LF Efficacy'!$D:$D,$A78,
'New 20102013 LF Efficacy'!$F:$F,"Albendazole &amp; Ivermectin", 
'New 20102013 LF Efficacy'!$W:$W,"&lt;2011",
'New 20102013 LF Efficacy'!$AA:$AA,""),"")</f>
        <v/>
      </c>
      <c r="AS78" s="115">
        <f t="shared" si="14"/>
        <v>0.2943125</v>
      </c>
      <c r="AT78" s="130" t="str">
        <f>IFERROR(AVERAGEIFS(
'20102013 Schist Efficacy'!$O:$O, 
'20102013 Schist Efficacy'!$C:$C,$A78, 
'20102013 Schist Efficacy'!$D:$D, "Praziquantel",
'20102013 Schist Efficacy'!$J:$J,"&lt;2011",
'20102013 Schist Efficacy'!$U:$U,""),
"")</f>
        <v/>
      </c>
      <c r="AU78" s="118">
        <f t="shared" si="15"/>
        <v>0.6444020147</v>
      </c>
      <c r="AV78" s="131" t="str">
        <f>IFERROR(AVERAGEIFS(
'20102013 STH Efficacy'!$AX:$AX, 
'20102013 STH Efficacy'!$AL:$AL, $A78, 
'20102013 STH Efficacy'!$AM:$AM, "Albendazole",
'20102013 STH Efficacy'!$AS:$AS,"&lt;2011",
'20102013 STH Efficacy'!$BP:$BP,""),
"")</f>
        <v/>
      </c>
      <c r="AW78" s="132">
        <f t="shared" si="16"/>
        <v>0.3538333333</v>
      </c>
      <c r="AX78" s="131" t="str">
        <f>IFERROR(AVERAGEIFS(
'20102013 STH Efficacy'!$AX:$AX, 
'20102013 STH Efficacy'!$AL:$AL, $A78, 
'20102013 STH Efficacy'!$AM:$AM, "Mebendazole",
'20102013 STH Efficacy'!$AS:$AS,"&lt;2011",
'20102013 STH Efficacy'!$BP:$BP,""),
"")</f>
        <v/>
      </c>
      <c r="AY78" s="132">
        <f t="shared" si="17"/>
        <v>0.5918333333</v>
      </c>
      <c r="AZ78" s="131" t="str">
        <f>IFERROR(AVERAGEIFS(
'20102013 STH Efficacy'!$AX:$AX, 
'20102013 STH Efficacy'!$AL:$AL, $A78, 
'20102013 STH Efficacy'!$AM:$AM, "Albendazole &amp; Ivermectin",
'20102013 STH Efficacy'!$AS:$AS,"&lt;2011",
'20102013 STH Efficacy'!$BP:$BP,""),
"")</f>
        <v/>
      </c>
      <c r="BA78" s="133">
        <f t="shared" si="18"/>
        <v>0.706</v>
      </c>
      <c r="BB78" s="134" t="str">
        <f>IFERROR(AVERAGEIFS(
'20102013 STH Efficacy'!$N:$N, 
'20102013 STH Efficacy'!$B:$B, $A78, 
'20102013 STH Efficacy'!$C:$C, "Albendazole",
'20102013 STH Efficacy'!$I:$I,"&lt;2011",
'20102013 STH Efficacy'!$AH:$AH,""),
"")</f>
        <v/>
      </c>
      <c r="BC78" s="135">
        <f t="shared" si="19"/>
        <v>0.9116666667</v>
      </c>
      <c r="BD78" s="134" t="str">
        <f>IFERROR(AVERAGEIFS(
'20102013 STH Efficacy'!$N:$N, 
'20102013 STH Efficacy'!$B:$B, $A78, 
'20102013 STH Efficacy'!$C:$C, "Mebendazole",
'20102013 STH Efficacy'!$I:$I,"&lt;2011",
'20102013 STH Efficacy'!$AH:$AH,""),
"")</f>
        <v/>
      </c>
      <c r="BE78" s="135">
        <f t="shared" si="20"/>
        <v>0.7092416667</v>
      </c>
      <c r="BF78" s="128" t="str">
        <f>IFERROR(AVERAGEIFS(
'20102013 STH Efficacy'!$CD:$CD, 
'20102013 STH Efficacy'!$BS:$BS, $A78, 
'20102013 STH Efficacy'!$BT:$BT, "Albendazole",
'20102013 STH Efficacy'!$BZ:$BZ,"&lt;2011",
'20102013 STH Efficacy'!$CU:$CU,""),
"")</f>
        <v/>
      </c>
      <c r="BG78" s="136">
        <f t="shared" si="21"/>
        <v>0.8656666667</v>
      </c>
      <c r="BH78" s="128" t="str">
        <f>IFERROR(AVERAGEIFS(
'20102013 STH Efficacy'!$CD:$CD, 
'20102013 STH Efficacy'!$BS:$BS, $A78, 
'20102013 STH Efficacy'!$BT:$BT, "Mebendazole",
'20102013 STH Efficacy'!$BZ:$BZ,"&lt;2011",
'20102013 STH Efficacy'!$CU:$CU,""),
"")</f>
        <v/>
      </c>
      <c r="BI78" s="136">
        <f t="shared" si="22"/>
        <v>0.9203333333</v>
      </c>
      <c r="BJ78" s="128" t="str">
        <f>IFERROR(AVERAGEIFS(
'20102013 STH Efficacy'!$CD:$CD, 
'20102013 STH Efficacy'!$BS:$BS, $A78, 
'20102013 STH Efficacy'!$BT:$BT, "Albendazole &amp; Ivermectin",
'20102013 STH Efficacy'!$BZ:$BZ,"&lt;2011",
'20102013 STH Efficacy'!$CU:$CU,""),
"")</f>
        <v/>
      </c>
      <c r="BK78" s="136">
        <f t="shared" si="23"/>
        <v>1</v>
      </c>
      <c r="BL78" s="137"/>
      <c r="BM78" s="137"/>
      <c r="BN78" s="138">
        <v>1.0</v>
      </c>
      <c r="BO78" s="139">
        <v>1.0</v>
      </c>
      <c r="BP78" s="140">
        <v>1.0</v>
      </c>
      <c r="BQ78" s="141">
        <f t="shared" si="24"/>
        <v>0</v>
      </c>
      <c r="BR78" s="104" t="str">
        <f t="shared" si="25"/>
        <v>1110</v>
      </c>
      <c r="BS78" s="104" t="str">
        <f t="shared" si="26"/>
        <v>MDA1+T2</v>
      </c>
      <c r="BT78" s="142" t="str">
        <f t="shared" si="27"/>
        <v>IVM+ALB</v>
      </c>
      <c r="BU78" s="104" t="str">
        <f t="shared" si="28"/>
        <v>PZQ</v>
      </c>
      <c r="BV78" s="104" t="str">
        <f t="shared" si="29"/>
        <v>lf+onch+schist </v>
      </c>
      <c r="BW78" s="150" t="str">
        <f t="shared" si="30"/>
        <v/>
      </c>
      <c r="BX78" s="150">
        <f t="shared" si="31"/>
        <v>113.9983788</v>
      </c>
      <c r="BY78" s="162">
        <f t="shared" si="32"/>
        <v>1042.735901</v>
      </c>
      <c r="BZ78" s="152" t="str">
        <f t="shared" si="33"/>
        <v/>
      </c>
      <c r="CA78" s="152" t="str">
        <f t="shared" si="34"/>
        <v/>
      </c>
      <c r="CB78" s="152" t="str">
        <f t="shared" si="35"/>
        <v/>
      </c>
      <c r="CC78" s="153" t="str">
        <f t="shared" si="36"/>
        <v/>
      </c>
      <c r="CD78" s="153" t="str">
        <f t="shared" si="37"/>
        <v/>
      </c>
      <c r="CE78" s="154" t="str">
        <f t="shared" si="38"/>
        <v/>
      </c>
      <c r="CF78" s="154" t="str">
        <f t="shared" si="39"/>
        <v/>
      </c>
      <c r="CG78" s="154" t="str">
        <f t="shared" si="40"/>
        <v/>
      </c>
    </row>
    <row r="79">
      <c r="A79" s="103" t="s">
        <v>168</v>
      </c>
      <c r="B79" s="104" t="s">
        <v>90</v>
      </c>
      <c r="C79" s="105">
        <v>3926000.0</v>
      </c>
      <c r="D79" s="106">
        <v>0.0</v>
      </c>
      <c r="E79" s="107">
        <v>0.0</v>
      </c>
      <c r="F79" s="108">
        <v>0.0</v>
      </c>
      <c r="G79" s="157">
        <v>0.0</v>
      </c>
      <c r="H79" s="157">
        <v>0.0</v>
      </c>
      <c r="I79" s="110">
        <v>0.01849339</v>
      </c>
      <c r="J79" s="110">
        <v>0.01789313</v>
      </c>
      <c r="K79" s="110">
        <v>0.03638652</v>
      </c>
      <c r="L79" s="111">
        <v>0.001570528</v>
      </c>
      <c r="M79" s="111">
        <v>0.002628525</v>
      </c>
      <c r="N79" s="112">
        <v>0.004199053</v>
      </c>
      <c r="O79" s="113"/>
      <c r="P79" s="114"/>
      <c r="Q79" s="114"/>
      <c r="R79" s="115" t="str">
        <f t="shared" si="8"/>
        <v/>
      </c>
      <c r="S79" s="116">
        <f t="shared" si="9"/>
        <v>0.4013436246</v>
      </c>
      <c r="T79" s="117"/>
      <c r="U79" s="118">
        <f t="shared" si="41"/>
        <v>0.3468166667</v>
      </c>
      <c r="V79" s="148"/>
      <c r="W79" s="120">
        <f t="shared" si="10"/>
        <v>1</v>
      </c>
      <c r="X79" s="148"/>
      <c r="Y79" s="120">
        <f t="shared" si="11"/>
        <v>0.71735</v>
      </c>
      <c r="Z79" s="121"/>
      <c r="AA79" s="121"/>
      <c r="AB79" s="121"/>
      <c r="AC79" s="121"/>
      <c r="AD79" s="122">
        <v>0.0</v>
      </c>
      <c r="AE79" s="123">
        <v>0.0</v>
      </c>
      <c r="AF79" s="123">
        <v>0.0</v>
      </c>
      <c r="AG79" s="124">
        <v>8.0E-4</v>
      </c>
      <c r="AH79" s="124">
        <v>0.0</v>
      </c>
      <c r="AI79" s="125">
        <v>0.0</v>
      </c>
      <c r="AJ79" s="125">
        <v>0.0</v>
      </c>
      <c r="AK79" s="127">
        <v>0.0</v>
      </c>
      <c r="AL79" s="127">
        <v>0.006189945</v>
      </c>
      <c r="AM79" s="128"/>
      <c r="AN79" s="149" t="str">
        <f>IFERROR(
  AVERAGEIFS(
    'New 20102013 LF Efficacy'!$J:$J,
    'New 20102013 LF Efficacy'!$D:$D, $A79,
    'New 20102013 LF Efficacy'!$F:$F,"DEC", 
    'New 20102013 LF Efficacy'!$W:$W,"&lt;2011",
    'New 20102013 LF Efficacy'!$AA:$AA,""),
  ""
)</f>
        <v/>
      </c>
      <c r="AO79" s="115">
        <f t="shared" si="12"/>
        <v>0.3573520833</v>
      </c>
      <c r="AP79" s="121" t="str">
        <f>IFERROR(
AVERAGEIFS(
'New 20102013 LF Efficacy'!$J:$J,
'New 20102013 LF Efficacy'!$D:$D,$A79,
'New 20102013 LF Efficacy'!$F:$F,"Albendazole &amp; DEC",
'New 20102013 LF Efficacy'!$W:$W,"&lt;2011",
'New 20102013 LF Efficacy'!$AA:$AA,""),
"")
</f>
        <v/>
      </c>
      <c r="AQ79" s="115">
        <f t="shared" si="13"/>
        <v>0.5137291667</v>
      </c>
      <c r="AR79" s="121" t="str">
        <f>IFERROR(
AVERAGEIFS(
'New 20102013 LF Efficacy'!$J:$J,
'New 20102013 LF Efficacy'!$D:$D,$A79,
'New 20102013 LF Efficacy'!$F:$F,"Albendazole &amp; Ivermectin", 
'New 20102013 LF Efficacy'!$W:$W,"&lt;2011",
'New 20102013 LF Efficacy'!$AA:$AA,""),"")</f>
        <v/>
      </c>
      <c r="AS79" s="115">
        <f t="shared" si="14"/>
        <v>0.37153125</v>
      </c>
      <c r="AT79" s="130" t="str">
        <f>IFERROR(AVERAGEIFS(
'20102013 Schist Efficacy'!$O:$O, 
'20102013 Schist Efficacy'!$C:$C,$A79, 
'20102013 Schist Efficacy'!$D:$D, "Praziquantel",
'20102013 Schist Efficacy'!$J:$J,"&lt;2011",
'20102013 Schist Efficacy'!$U:$U,""),
"")</f>
        <v/>
      </c>
      <c r="AU79" s="118">
        <f t="shared" si="15"/>
        <v>0.655</v>
      </c>
      <c r="AV79" s="131" t="str">
        <f>IFERROR(AVERAGEIFS(
'20102013 STH Efficacy'!$AX:$AX, 
'20102013 STH Efficacy'!$AL:$AL, $A79, 
'20102013 STH Efficacy'!$AM:$AM, "Albendazole",
'20102013 STH Efficacy'!$AS:$AS,"&lt;2011",
'20102013 STH Efficacy'!$BP:$BP,""),
"")</f>
        <v/>
      </c>
      <c r="AW79" s="132">
        <f t="shared" si="16"/>
        <v>0.3842878788</v>
      </c>
      <c r="AX79" s="131" t="str">
        <f>IFERROR(AVERAGEIFS(
'20102013 STH Efficacy'!$AX:$AX, 
'20102013 STH Efficacy'!$AL:$AL, $A79, 
'20102013 STH Efficacy'!$AM:$AM, "Mebendazole",
'20102013 STH Efficacy'!$AS:$AS,"&lt;2011",
'20102013 STH Efficacy'!$BP:$BP,""),
"")</f>
        <v/>
      </c>
      <c r="AY79" s="132">
        <f t="shared" si="17"/>
        <v>0.5121666667</v>
      </c>
      <c r="AZ79" s="131" t="str">
        <f>IFERROR(AVERAGEIFS(
'20102013 STH Efficacy'!$AX:$AX, 
'20102013 STH Efficacy'!$AL:$AL, $A79, 
'20102013 STH Efficacy'!$AM:$AM, "Albendazole &amp; Ivermectin",
'20102013 STH Efficacy'!$AS:$AS,"&lt;2011",
'20102013 STH Efficacy'!$BP:$BP,""),
"")</f>
        <v/>
      </c>
      <c r="BA79" s="133">
        <f t="shared" si="18"/>
        <v>0.7176666667</v>
      </c>
      <c r="BB79" s="134" t="str">
        <f>IFERROR(AVERAGEIFS(
'20102013 STH Efficacy'!$N:$N, 
'20102013 STH Efficacy'!$B:$B, $A79, 
'20102013 STH Efficacy'!$C:$C, "Albendazole",
'20102013 STH Efficacy'!$I:$I,"&lt;2011",
'20102013 STH Efficacy'!$AH:$AH,""),
"")</f>
        <v/>
      </c>
      <c r="BC79" s="135">
        <f t="shared" si="19"/>
        <v>0.7630416667</v>
      </c>
      <c r="BD79" s="134" t="str">
        <f>IFERROR(AVERAGEIFS(
'20102013 STH Efficacy'!$N:$N, 
'20102013 STH Efficacy'!$B:$B, $A79, 
'20102013 STH Efficacy'!$C:$C, "Mebendazole",
'20102013 STH Efficacy'!$I:$I,"&lt;2011",
'20102013 STH Efficacy'!$AH:$AH,""),
"")</f>
        <v/>
      </c>
      <c r="BE79" s="135">
        <f t="shared" si="20"/>
        <v>0.4405966667</v>
      </c>
      <c r="BF79" s="128" t="str">
        <f>IFERROR(AVERAGEIFS(
'20102013 STH Efficacy'!$CD:$CD, 
'20102013 STH Efficacy'!$BS:$BS, $A79, 
'20102013 STH Efficacy'!$BT:$BT, "Albendazole",
'20102013 STH Efficacy'!$BZ:$BZ,"&lt;2011",
'20102013 STH Efficacy'!$CU:$CU,""),
"")</f>
        <v/>
      </c>
      <c r="BG79" s="136">
        <f t="shared" si="21"/>
        <v>0.9403222222</v>
      </c>
      <c r="BH79" s="128" t="str">
        <f>IFERROR(AVERAGEIFS(
'20102013 STH Efficacy'!$CD:$CD, 
'20102013 STH Efficacy'!$BS:$BS, $A79, 
'20102013 STH Efficacy'!$BT:$BT, "Mebendazole",
'20102013 STH Efficacy'!$BZ:$BZ,"&lt;2011",
'20102013 STH Efficacy'!$CU:$CU,""),
"")</f>
        <v/>
      </c>
      <c r="BI79" s="136">
        <f t="shared" si="22"/>
        <v>0.9229285714</v>
      </c>
      <c r="BJ79" s="128" t="str">
        <f>IFERROR(AVERAGEIFS(
'20102013 STH Efficacy'!$CD:$CD, 
'20102013 STH Efficacy'!$BS:$BS, $A79, 
'20102013 STH Efficacy'!$BT:$BT, "Albendazole &amp; Ivermectin",
'20102013 STH Efficacy'!$BZ:$BZ,"&lt;2011",
'20102013 STH Efficacy'!$CU:$CU,""),
"")</f>
        <v/>
      </c>
      <c r="BK79" s="136">
        <f t="shared" si="23"/>
        <v>1</v>
      </c>
      <c r="BL79" s="137"/>
      <c r="BM79" s="137"/>
      <c r="BN79" s="138">
        <v>0.0</v>
      </c>
      <c r="BO79" s="139">
        <v>0.0</v>
      </c>
      <c r="BP79" s="140">
        <v>0.0</v>
      </c>
      <c r="BQ79" s="141">
        <f t="shared" si="24"/>
        <v>0</v>
      </c>
      <c r="BR79" s="104" t="str">
        <f t="shared" si="25"/>
        <v>0000</v>
      </c>
      <c r="BS79" s="104" t="str">
        <f t="shared" si="26"/>
        <v>no action required</v>
      </c>
      <c r="BT79" s="142" t="str">
        <f t="shared" si="27"/>
        <v/>
      </c>
      <c r="BU79" s="104" t="str">
        <f t="shared" si="28"/>
        <v/>
      </c>
      <c r="BV79" s="104" t="str">
        <f t="shared" si="29"/>
        <v>none</v>
      </c>
      <c r="BW79" s="150" t="str">
        <f t="shared" si="30"/>
        <v/>
      </c>
      <c r="BX79" s="150" t="str">
        <f t="shared" si="31"/>
        <v/>
      </c>
      <c r="BY79" s="151" t="str">
        <f t="shared" si="32"/>
        <v/>
      </c>
      <c r="BZ79" s="152" t="str">
        <f t="shared" si="33"/>
        <v/>
      </c>
      <c r="CA79" s="152" t="str">
        <f t="shared" si="34"/>
        <v/>
      </c>
      <c r="CB79" s="152" t="str">
        <f t="shared" si="35"/>
        <v/>
      </c>
      <c r="CC79" s="153" t="str">
        <f t="shared" si="36"/>
        <v/>
      </c>
      <c r="CD79" s="153" t="str">
        <f t="shared" si="37"/>
        <v/>
      </c>
      <c r="CE79" s="154" t="str">
        <f t="shared" si="38"/>
        <v/>
      </c>
      <c r="CF79" s="154" t="str">
        <f t="shared" si="39"/>
        <v/>
      </c>
      <c r="CG79" s="154" t="str">
        <f t="shared" si="40"/>
        <v/>
      </c>
    </row>
    <row r="80">
      <c r="A80" s="103" t="s">
        <v>169</v>
      </c>
      <c r="B80" s="104" t="s">
        <v>90</v>
      </c>
      <c r="C80" s="105">
        <v>8.177693E7</v>
      </c>
      <c r="D80" s="106">
        <v>0.0</v>
      </c>
      <c r="E80" s="107">
        <v>0.0</v>
      </c>
      <c r="F80" s="108">
        <v>0.0</v>
      </c>
      <c r="G80" s="108">
        <v>0.0</v>
      </c>
      <c r="H80" s="108">
        <v>0.0</v>
      </c>
      <c r="I80" s="109">
        <v>0.0</v>
      </c>
      <c r="J80" s="109">
        <v>0.0</v>
      </c>
      <c r="K80" s="109">
        <v>0.0</v>
      </c>
      <c r="L80" s="112">
        <v>0.0</v>
      </c>
      <c r="M80" s="112">
        <v>0.0</v>
      </c>
      <c r="N80" s="112">
        <v>0.0</v>
      </c>
      <c r="O80" s="113"/>
      <c r="P80" s="114"/>
      <c r="Q80" s="114"/>
      <c r="R80" s="115" t="str">
        <f t="shared" si="8"/>
        <v/>
      </c>
      <c r="S80" s="116">
        <f t="shared" si="9"/>
        <v>0.4013436246</v>
      </c>
      <c r="T80" s="117"/>
      <c r="U80" s="118">
        <f t="shared" si="41"/>
        <v>0.3468166667</v>
      </c>
      <c r="V80" s="148"/>
      <c r="W80" s="120">
        <f t="shared" si="10"/>
        <v>1</v>
      </c>
      <c r="X80" s="148"/>
      <c r="Y80" s="120">
        <f t="shared" si="11"/>
        <v>0.71735</v>
      </c>
      <c r="Z80" s="121"/>
      <c r="AA80" s="121"/>
      <c r="AB80" s="121"/>
      <c r="AC80" s="121"/>
      <c r="AD80" s="122">
        <v>0.0</v>
      </c>
      <c r="AE80" s="123">
        <v>0.0</v>
      </c>
      <c r="AF80" s="123">
        <v>0.0</v>
      </c>
      <c r="AG80" s="124">
        <v>0.0</v>
      </c>
      <c r="AH80" s="124">
        <v>0.0</v>
      </c>
      <c r="AI80" s="125">
        <v>0.0</v>
      </c>
      <c r="AJ80" s="125">
        <v>0.0</v>
      </c>
      <c r="AK80" s="127">
        <v>0.0</v>
      </c>
      <c r="AL80" s="127">
        <v>0.0</v>
      </c>
      <c r="AM80" s="128"/>
      <c r="AN80" s="149" t="str">
        <f>IFERROR(
  AVERAGEIFS(
    'New 20102013 LF Efficacy'!$J:$J,
    'New 20102013 LF Efficacy'!$D:$D, $A80,
    'New 20102013 LF Efficacy'!$F:$F,"DEC", 
    'New 20102013 LF Efficacy'!$W:$W,"&lt;2011",
    'New 20102013 LF Efficacy'!$AA:$AA,""),
  ""
)</f>
        <v/>
      </c>
      <c r="AO80" s="115">
        <f t="shared" si="12"/>
        <v>0.3573520833</v>
      </c>
      <c r="AP80" s="121" t="str">
        <f>IFERROR(
AVERAGEIFS(
'New 20102013 LF Efficacy'!$J:$J,
'New 20102013 LF Efficacy'!$D:$D,$A80,
'New 20102013 LF Efficacy'!$F:$F,"Albendazole &amp; DEC",
'New 20102013 LF Efficacy'!$W:$W,"&lt;2011",
'New 20102013 LF Efficacy'!$AA:$AA,""),
"")
</f>
        <v/>
      </c>
      <c r="AQ80" s="115">
        <f t="shared" si="13"/>
        <v>0.5137291667</v>
      </c>
      <c r="AR80" s="121" t="str">
        <f>IFERROR(
AVERAGEIFS(
'New 20102013 LF Efficacy'!$J:$J,
'New 20102013 LF Efficacy'!$D:$D,$A80,
'New 20102013 LF Efficacy'!$F:$F,"Albendazole &amp; Ivermectin", 
'New 20102013 LF Efficacy'!$W:$W,"&lt;2011",
'New 20102013 LF Efficacy'!$AA:$AA,""),"")</f>
        <v/>
      </c>
      <c r="AS80" s="115">
        <f t="shared" si="14"/>
        <v>0.37153125</v>
      </c>
      <c r="AT80" s="130" t="str">
        <f>IFERROR(AVERAGEIFS(
'20102013 Schist Efficacy'!$O:$O, 
'20102013 Schist Efficacy'!$C:$C,$A80, 
'20102013 Schist Efficacy'!$D:$D, "Praziquantel",
'20102013 Schist Efficacy'!$J:$J,"&lt;2011",
'20102013 Schist Efficacy'!$U:$U,""),
"")</f>
        <v/>
      </c>
      <c r="AU80" s="118">
        <f t="shared" si="15"/>
        <v>0.655</v>
      </c>
      <c r="AV80" s="131" t="str">
        <f>IFERROR(AVERAGEIFS(
'20102013 STH Efficacy'!$AX:$AX, 
'20102013 STH Efficacy'!$AL:$AL, $A80, 
'20102013 STH Efficacy'!$AM:$AM, "Albendazole",
'20102013 STH Efficacy'!$AS:$AS,"&lt;2011",
'20102013 STH Efficacy'!$BP:$BP,""),
"")</f>
        <v/>
      </c>
      <c r="AW80" s="132">
        <f t="shared" si="16"/>
        <v>0.3842878788</v>
      </c>
      <c r="AX80" s="131" t="str">
        <f>IFERROR(AVERAGEIFS(
'20102013 STH Efficacy'!$AX:$AX, 
'20102013 STH Efficacy'!$AL:$AL, $A80, 
'20102013 STH Efficacy'!$AM:$AM, "Mebendazole",
'20102013 STH Efficacy'!$AS:$AS,"&lt;2011",
'20102013 STH Efficacy'!$BP:$BP,""),
"")</f>
        <v/>
      </c>
      <c r="AY80" s="132">
        <f t="shared" si="17"/>
        <v>0.5121666667</v>
      </c>
      <c r="AZ80" s="131" t="str">
        <f>IFERROR(AVERAGEIFS(
'20102013 STH Efficacy'!$AX:$AX, 
'20102013 STH Efficacy'!$AL:$AL, $A80, 
'20102013 STH Efficacy'!$AM:$AM, "Albendazole &amp; Ivermectin",
'20102013 STH Efficacy'!$AS:$AS,"&lt;2011",
'20102013 STH Efficacy'!$BP:$BP,""),
"")</f>
        <v/>
      </c>
      <c r="BA80" s="133">
        <f t="shared" si="18"/>
        <v>0.7176666667</v>
      </c>
      <c r="BB80" s="134" t="str">
        <f>IFERROR(AVERAGEIFS(
'20102013 STH Efficacy'!$N:$N, 
'20102013 STH Efficacy'!$B:$B, $A80, 
'20102013 STH Efficacy'!$C:$C, "Albendazole",
'20102013 STH Efficacy'!$I:$I,"&lt;2011",
'20102013 STH Efficacy'!$AH:$AH,""),
"")</f>
        <v/>
      </c>
      <c r="BC80" s="135">
        <f t="shared" si="19"/>
        <v>0.7630416667</v>
      </c>
      <c r="BD80" s="134" t="str">
        <f>IFERROR(AVERAGEIFS(
'20102013 STH Efficacy'!$N:$N, 
'20102013 STH Efficacy'!$B:$B, $A80, 
'20102013 STH Efficacy'!$C:$C, "Mebendazole",
'20102013 STH Efficacy'!$I:$I,"&lt;2011",
'20102013 STH Efficacy'!$AH:$AH,""),
"")</f>
        <v/>
      </c>
      <c r="BE80" s="135">
        <f t="shared" si="20"/>
        <v>0.4405966667</v>
      </c>
      <c r="BF80" s="128" t="str">
        <f>IFERROR(AVERAGEIFS(
'20102013 STH Efficacy'!$CD:$CD, 
'20102013 STH Efficacy'!$BS:$BS, $A80, 
'20102013 STH Efficacy'!$BT:$BT, "Albendazole",
'20102013 STH Efficacy'!$BZ:$BZ,"&lt;2011",
'20102013 STH Efficacy'!$CU:$CU,""),
"")</f>
        <v/>
      </c>
      <c r="BG80" s="136">
        <f t="shared" si="21"/>
        <v>0.9403222222</v>
      </c>
      <c r="BH80" s="128" t="str">
        <f>IFERROR(AVERAGEIFS(
'20102013 STH Efficacy'!$CD:$CD, 
'20102013 STH Efficacy'!$BS:$BS, $A80, 
'20102013 STH Efficacy'!$BT:$BT, "Mebendazole",
'20102013 STH Efficacy'!$BZ:$BZ,"&lt;2011",
'20102013 STH Efficacy'!$CU:$CU,""),
"")</f>
        <v/>
      </c>
      <c r="BI80" s="136">
        <f t="shared" si="22"/>
        <v>0.9229285714</v>
      </c>
      <c r="BJ80" s="128" t="str">
        <f>IFERROR(AVERAGEIFS(
'20102013 STH Efficacy'!$CD:$CD, 
'20102013 STH Efficacy'!$BS:$BS, $A80, 
'20102013 STH Efficacy'!$BT:$BT, "Albendazole &amp; Ivermectin",
'20102013 STH Efficacy'!$BZ:$BZ,"&lt;2011",
'20102013 STH Efficacy'!$CU:$CU,""),
"")</f>
        <v/>
      </c>
      <c r="BK80" s="136">
        <f t="shared" si="23"/>
        <v>1</v>
      </c>
      <c r="BL80" s="137"/>
      <c r="BM80" s="137"/>
      <c r="BN80" s="138">
        <v>0.0</v>
      </c>
      <c r="BO80" s="139">
        <v>0.0</v>
      </c>
      <c r="BP80" s="140">
        <v>0.0</v>
      </c>
      <c r="BQ80" s="141">
        <f t="shared" si="24"/>
        <v>0</v>
      </c>
      <c r="BR80" s="104" t="str">
        <f t="shared" si="25"/>
        <v>0000</v>
      </c>
      <c r="BS80" s="104" t="str">
        <f t="shared" si="26"/>
        <v>no action required</v>
      </c>
      <c r="BT80" s="142" t="str">
        <f t="shared" si="27"/>
        <v/>
      </c>
      <c r="BU80" s="104" t="str">
        <f t="shared" si="28"/>
        <v/>
      </c>
      <c r="BV80" s="104" t="str">
        <f t="shared" si="29"/>
        <v>none</v>
      </c>
      <c r="BW80" s="150" t="str">
        <f t="shared" si="30"/>
        <v/>
      </c>
      <c r="BX80" s="150" t="str">
        <f t="shared" si="31"/>
        <v/>
      </c>
      <c r="BY80" s="151" t="str">
        <f t="shared" si="32"/>
        <v/>
      </c>
      <c r="BZ80" s="152" t="str">
        <f t="shared" si="33"/>
        <v/>
      </c>
      <c r="CA80" s="152" t="str">
        <f t="shared" si="34"/>
        <v/>
      </c>
      <c r="CB80" s="152" t="str">
        <f t="shared" si="35"/>
        <v/>
      </c>
      <c r="CC80" s="153" t="str">
        <f t="shared" si="36"/>
        <v/>
      </c>
      <c r="CD80" s="153" t="str">
        <f t="shared" si="37"/>
        <v/>
      </c>
      <c r="CE80" s="154" t="str">
        <f t="shared" si="38"/>
        <v/>
      </c>
      <c r="CF80" s="154" t="str">
        <f t="shared" si="39"/>
        <v/>
      </c>
      <c r="CG80" s="154" t="str">
        <f t="shared" si="40"/>
        <v/>
      </c>
    </row>
    <row r="81">
      <c r="A81" s="103" t="s">
        <v>170</v>
      </c>
      <c r="B81" s="104" t="s">
        <v>92</v>
      </c>
      <c r="C81" s="105">
        <v>2.4512104E7</v>
      </c>
      <c r="D81" s="106">
        <v>21374.71558</v>
      </c>
      <c r="E81" s="107">
        <v>50239.32446</v>
      </c>
      <c r="F81" s="108">
        <v>0.556144047</v>
      </c>
      <c r="G81" s="108">
        <v>2.366500797</v>
      </c>
      <c r="H81" s="108">
        <v>2.922644844</v>
      </c>
      <c r="I81" s="109">
        <v>330.944232</v>
      </c>
      <c r="J81" s="109">
        <v>912.174802</v>
      </c>
      <c r="K81" s="109">
        <v>1243.119034</v>
      </c>
      <c r="L81" s="112">
        <v>2494.307908</v>
      </c>
      <c r="M81" s="112">
        <v>401.2669847</v>
      </c>
      <c r="N81" s="158">
        <v>2895.574893</v>
      </c>
      <c r="O81" s="159"/>
      <c r="P81" s="160">
        <v>1.1925399E7</v>
      </c>
      <c r="Q81" s="160">
        <v>7491873.0</v>
      </c>
      <c r="R81" s="115">
        <f t="shared" si="8"/>
        <v>0.6282282882</v>
      </c>
      <c r="S81" s="116">
        <f t="shared" si="9"/>
        <v>0.6282282882</v>
      </c>
      <c r="T81" s="130"/>
      <c r="U81" s="118">
        <f t="shared" si="41"/>
        <v>0.252</v>
      </c>
      <c r="V81" s="148"/>
      <c r="W81" s="120">
        <f t="shared" si="10"/>
        <v>0.7266555556</v>
      </c>
      <c r="X81" s="119">
        <v>1.0</v>
      </c>
      <c r="Y81" s="120">
        <f t="shared" si="11"/>
        <v>1</v>
      </c>
      <c r="Z81" s="121"/>
      <c r="AA81" s="121"/>
      <c r="AB81" s="121"/>
      <c r="AC81" s="121"/>
      <c r="AD81" s="122">
        <v>0.018</v>
      </c>
      <c r="AE81" s="123">
        <v>0.2</v>
      </c>
      <c r="AF81" s="123">
        <v>0.0619</v>
      </c>
      <c r="AG81" s="124">
        <v>0.0203</v>
      </c>
      <c r="AH81" s="124">
        <v>0.031667993</v>
      </c>
      <c r="AI81" s="125">
        <v>0.0304</v>
      </c>
      <c r="AJ81" s="125">
        <v>0.050410222</v>
      </c>
      <c r="AK81" s="127">
        <v>0.03</v>
      </c>
      <c r="AL81" s="127">
        <v>0.047774275</v>
      </c>
      <c r="AM81" s="128"/>
      <c r="AN81" s="149" t="str">
        <f>IFERROR(
  AVERAGEIFS(
    'New 20102013 LF Efficacy'!$J:$J,
    'New 20102013 LF Efficacy'!$D:$D, $A81,
    'New 20102013 LF Efficacy'!$F:$F,"DEC", 
    'New 20102013 LF Efficacy'!$W:$W,"&lt;2011",
    'New 20102013 LF Efficacy'!$AA:$AA,""),
  ""
)</f>
        <v/>
      </c>
      <c r="AO81" s="115">
        <f t="shared" si="12"/>
        <v>0.31225</v>
      </c>
      <c r="AP81" s="121" t="str">
        <f>IFERROR(
AVERAGEIFS(
'New 20102013 LF Efficacy'!$J:$J,
'New 20102013 LF Efficacy'!$D:$D,$A81,
'New 20102013 LF Efficacy'!$F:$F,"Albendazole &amp; DEC",
'New 20102013 LF Efficacy'!$W:$W,"&lt;2011",
'New 20102013 LF Efficacy'!$AA:$AA,""),
"")
</f>
        <v/>
      </c>
      <c r="AQ81" s="115">
        <f t="shared" si="13"/>
        <v>0.4</v>
      </c>
      <c r="AR81" s="121">
        <f>IFERROR(
AVERAGEIFS(
'New 20102013 LF Efficacy'!$J:$J,
'New 20102013 LF Efficacy'!$D:$D,$A81,
'New 20102013 LF Efficacy'!$F:$F,"Albendazole &amp; Ivermectin", 
'New 20102013 LF Efficacy'!$W:$W,"&lt;2011",
'New 20102013 LF Efficacy'!$AA:$AA,""),"")</f>
        <v>0.394625</v>
      </c>
      <c r="AS81" s="115">
        <f t="shared" si="14"/>
        <v>0.394625</v>
      </c>
      <c r="AT81" s="130" t="str">
        <f>IFERROR(AVERAGEIFS(
'20102013 Schist Efficacy'!$O:$O, 
'20102013 Schist Efficacy'!$C:$C,$A81, 
'20102013 Schist Efficacy'!$D:$D, "Praziquantel",
'20102013 Schist Efficacy'!$J:$J,"&lt;2011",
'20102013 Schist Efficacy'!$U:$U,""),
"")</f>
        <v/>
      </c>
      <c r="AU81" s="118">
        <f t="shared" si="15"/>
        <v>0.6444020147</v>
      </c>
      <c r="AV81" s="131" t="str">
        <f>IFERROR(AVERAGEIFS(
'20102013 STH Efficacy'!$AX:$AX, 
'20102013 STH Efficacy'!$AL:$AL, $A81, 
'20102013 STH Efficacy'!$AM:$AM, "Albendazole",
'20102013 STH Efficacy'!$AS:$AS,"&lt;2011",
'20102013 STH Efficacy'!$BP:$BP,""),
"")</f>
        <v/>
      </c>
      <c r="AW81" s="132">
        <f t="shared" si="16"/>
        <v>0.3538333333</v>
      </c>
      <c r="AX81" s="131" t="str">
        <f>IFERROR(AVERAGEIFS(
'20102013 STH Efficacy'!$AX:$AX, 
'20102013 STH Efficacy'!$AL:$AL, $A81, 
'20102013 STH Efficacy'!$AM:$AM, "Mebendazole",
'20102013 STH Efficacy'!$AS:$AS,"&lt;2011",
'20102013 STH Efficacy'!$BP:$BP,""),
"")</f>
        <v/>
      </c>
      <c r="AY81" s="132">
        <f t="shared" si="17"/>
        <v>0.5918333333</v>
      </c>
      <c r="AZ81" s="131" t="str">
        <f>IFERROR(AVERAGEIFS(
'20102013 STH Efficacy'!$AX:$AX, 
'20102013 STH Efficacy'!$AL:$AL, $A81, 
'20102013 STH Efficacy'!$AM:$AM, "Albendazole &amp; Ivermectin",
'20102013 STH Efficacy'!$AS:$AS,"&lt;2011",
'20102013 STH Efficacy'!$BP:$BP,""),
"")</f>
        <v/>
      </c>
      <c r="BA81" s="133">
        <f t="shared" si="18"/>
        <v>0.706</v>
      </c>
      <c r="BB81" s="134" t="str">
        <f>IFERROR(AVERAGEIFS(
'20102013 STH Efficacy'!$N:$N, 
'20102013 STH Efficacy'!$B:$B, $A81, 
'20102013 STH Efficacy'!$C:$C, "Albendazole",
'20102013 STH Efficacy'!$I:$I,"&lt;2011",
'20102013 STH Efficacy'!$AH:$AH,""),
"")</f>
        <v/>
      </c>
      <c r="BC81" s="135">
        <f t="shared" si="19"/>
        <v>0.9116666667</v>
      </c>
      <c r="BD81" s="134" t="str">
        <f>IFERROR(AVERAGEIFS(
'20102013 STH Efficacy'!$N:$N, 
'20102013 STH Efficacy'!$B:$B, $A81, 
'20102013 STH Efficacy'!$C:$C, "Mebendazole",
'20102013 STH Efficacy'!$I:$I,"&lt;2011",
'20102013 STH Efficacy'!$AH:$AH,""),
"")</f>
        <v/>
      </c>
      <c r="BE81" s="135">
        <f t="shared" si="20"/>
        <v>0.7092416667</v>
      </c>
      <c r="BF81" s="128" t="str">
        <f>IFERROR(AVERAGEIFS(
'20102013 STH Efficacy'!$CD:$CD, 
'20102013 STH Efficacy'!$BS:$BS, $A81, 
'20102013 STH Efficacy'!$BT:$BT, "Albendazole",
'20102013 STH Efficacy'!$BZ:$BZ,"&lt;2011",
'20102013 STH Efficacy'!$CU:$CU,""),
"")</f>
        <v/>
      </c>
      <c r="BG81" s="136">
        <f t="shared" si="21"/>
        <v>0.8656666667</v>
      </c>
      <c r="BH81" s="128" t="str">
        <f>IFERROR(AVERAGEIFS(
'20102013 STH Efficacy'!$CD:$CD, 
'20102013 STH Efficacy'!$BS:$BS, $A81, 
'20102013 STH Efficacy'!$BT:$BT, "Mebendazole",
'20102013 STH Efficacy'!$BZ:$BZ,"&lt;2011",
'20102013 STH Efficacy'!$CU:$CU,""),
"")</f>
        <v/>
      </c>
      <c r="BI81" s="136">
        <f t="shared" si="22"/>
        <v>0.9203333333</v>
      </c>
      <c r="BJ81" s="128" t="str">
        <f>IFERROR(AVERAGEIFS(
'20102013 STH Efficacy'!$CD:$CD, 
'20102013 STH Efficacy'!$BS:$BS, $A81, 
'20102013 STH Efficacy'!$BT:$BT, "Albendazole &amp; Ivermectin",
'20102013 STH Efficacy'!$BZ:$BZ,"&lt;2011",
'20102013 STH Efficacy'!$CU:$CU,""),
"")</f>
        <v/>
      </c>
      <c r="BK81" s="136">
        <f t="shared" si="23"/>
        <v>1</v>
      </c>
      <c r="BL81" s="137"/>
      <c r="BM81" s="137"/>
      <c r="BN81" s="138">
        <v>1.0</v>
      </c>
      <c r="BO81" s="139">
        <v>1.0</v>
      </c>
      <c r="BP81" s="140">
        <v>1.0</v>
      </c>
      <c r="BQ81" s="141">
        <f t="shared" si="24"/>
        <v>0</v>
      </c>
      <c r="BR81" s="104" t="str">
        <f t="shared" si="25"/>
        <v>1110</v>
      </c>
      <c r="BS81" s="104" t="str">
        <f t="shared" si="26"/>
        <v>MDA1+T2</v>
      </c>
      <c r="BT81" s="142" t="str">
        <f t="shared" si="27"/>
        <v>IVM+ALB</v>
      </c>
      <c r="BU81" s="104" t="str">
        <f t="shared" si="28"/>
        <v>PZQ</v>
      </c>
      <c r="BV81" s="104" t="str">
        <f t="shared" si="29"/>
        <v>lf+onch+schist </v>
      </c>
      <c r="BW81" s="150" t="str">
        <f t="shared" si="30"/>
        <v/>
      </c>
      <c r="BX81" s="150">
        <f t="shared" si="31"/>
        <v>7045.880333</v>
      </c>
      <c r="BY81" s="162">
        <f t="shared" si="32"/>
        <v>9740.001164</v>
      </c>
      <c r="BZ81" s="152" t="str">
        <f t="shared" si="33"/>
        <v/>
      </c>
      <c r="CA81" s="152" t="str">
        <f t="shared" si="34"/>
        <v/>
      </c>
      <c r="CB81" s="152" t="str">
        <f t="shared" si="35"/>
        <v/>
      </c>
      <c r="CC81" s="153" t="str">
        <f t="shared" si="36"/>
        <v/>
      </c>
      <c r="CD81" s="153" t="str">
        <f t="shared" si="37"/>
        <v/>
      </c>
      <c r="CE81" s="154" t="str">
        <f t="shared" si="38"/>
        <v/>
      </c>
      <c r="CF81" s="154" t="str">
        <f t="shared" si="39"/>
        <v/>
      </c>
      <c r="CG81" s="154" t="str">
        <f t="shared" si="40"/>
        <v/>
      </c>
    </row>
    <row r="82">
      <c r="A82" s="103" t="s">
        <v>171</v>
      </c>
      <c r="B82" s="104" t="s">
        <v>90</v>
      </c>
      <c r="C82" s="105">
        <v>1.1121341E7</v>
      </c>
      <c r="D82" s="106">
        <v>0.0</v>
      </c>
      <c r="E82" s="107">
        <v>0.0</v>
      </c>
      <c r="F82" s="108">
        <v>0.0</v>
      </c>
      <c r="G82" s="108">
        <v>0.0</v>
      </c>
      <c r="H82" s="108">
        <v>0.0</v>
      </c>
      <c r="I82" s="109">
        <v>0.0</v>
      </c>
      <c r="J82" s="109">
        <v>0.0</v>
      </c>
      <c r="K82" s="109">
        <v>0.0</v>
      </c>
      <c r="L82" s="112">
        <v>0.0</v>
      </c>
      <c r="M82" s="112">
        <v>0.0</v>
      </c>
      <c r="N82" s="112">
        <v>0.0</v>
      </c>
      <c r="O82" s="113"/>
      <c r="P82" s="114"/>
      <c r="Q82" s="114"/>
      <c r="R82" s="115" t="str">
        <f t="shared" si="8"/>
        <v/>
      </c>
      <c r="S82" s="116">
        <f t="shared" si="9"/>
        <v>0.4013436246</v>
      </c>
      <c r="T82" s="117"/>
      <c r="U82" s="118">
        <f t="shared" si="41"/>
        <v>0.3468166667</v>
      </c>
      <c r="V82" s="148"/>
      <c r="W82" s="120">
        <f t="shared" si="10"/>
        <v>1</v>
      </c>
      <c r="X82" s="148"/>
      <c r="Y82" s="120">
        <f t="shared" si="11"/>
        <v>0.71735</v>
      </c>
      <c r="Z82" s="121"/>
      <c r="AA82" s="121"/>
      <c r="AB82" s="121"/>
      <c r="AC82" s="121"/>
      <c r="AD82" s="122">
        <v>0.0</v>
      </c>
      <c r="AE82" s="123">
        <v>0.0</v>
      </c>
      <c r="AF82" s="123">
        <v>0.0</v>
      </c>
      <c r="AG82" s="124">
        <v>0.0</v>
      </c>
      <c r="AH82" s="124">
        <v>0.0</v>
      </c>
      <c r="AI82" s="125">
        <v>0.0</v>
      </c>
      <c r="AJ82" s="125">
        <v>0.0</v>
      </c>
      <c r="AK82" s="127">
        <v>0.0</v>
      </c>
      <c r="AL82" s="127">
        <v>0.0</v>
      </c>
      <c r="AM82" s="128"/>
      <c r="AN82" s="149" t="str">
        <f>IFERROR(
  AVERAGEIFS(
    'New 20102013 LF Efficacy'!$J:$J,
    'New 20102013 LF Efficacy'!$D:$D, $A82,
    'New 20102013 LF Efficacy'!$F:$F,"DEC", 
    'New 20102013 LF Efficacy'!$W:$W,"&lt;2011",
    'New 20102013 LF Efficacy'!$AA:$AA,""),
  ""
)</f>
        <v/>
      </c>
      <c r="AO82" s="115">
        <f t="shared" si="12"/>
        <v>0.3573520833</v>
      </c>
      <c r="AP82" s="121" t="str">
        <f>IFERROR(
AVERAGEIFS(
'New 20102013 LF Efficacy'!$J:$J,
'New 20102013 LF Efficacy'!$D:$D,$A82,
'New 20102013 LF Efficacy'!$F:$F,"Albendazole &amp; DEC",
'New 20102013 LF Efficacy'!$W:$W,"&lt;2011",
'New 20102013 LF Efficacy'!$AA:$AA,""),
"")
</f>
        <v/>
      </c>
      <c r="AQ82" s="115">
        <f t="shared" si="13"/>
        <v>0.5137291667</v>
      </c>
      <c r="AR82" s="121" t="str">
        <f>IFERROR(
AVERAGEIFS(
'New 20102013 LF Efficacy'!$J:$J,
'New 20102013 LF Efficacy'!$D:$D,$A82,
'New 20102013 LF Efficacy'!$F:$F,"Albendazole &amp; Ivermectin", 
'New 20102013 LF Efficacy'!$W:$W,"&lt;2011",
'New 20102013 LF Efficacy'!$AA:$AA,""),"")</f>
        <v/>
      </c>
      <c r="AS82" s="115">
        <f t="shared" si="14"/>
        <v>0.37153125</v>
      </c>
      <c r="AT82" s="130" t="str">
        <f>IFERROR(AVERAGEIFS(
'20102013 Schist Efficacy'!$O:$O, 
'20102013 Schist Efficacy'!$C:$C,$A82, 
'20102013 Schist Efficacy'!$D:$D, "Praziquantel",
'20102013 Schist Efficacy'!$J:$J,"&lt;2011",
'20102013 Schist Efficacy'!$U:$U,""),
"")</f>
        <v/>
      </c>
      <c r="AU82" s="118">
        <f t="shared" si="15"/>
        <v>0.655</v>
      </c>
      <c r="AV82" s="131" t="str">
        <f>IFERROR(AVERAGEIFS(
'20102013 STH Efficacy'!$AX:$AX, 
'20102013 STH Efficacy'!$AL:$AL, $A82, 
'20102013 STH Efficacy'!$AM:$AM, "Albendazole",
'20102013 STH Efficacy'!$AS:$AS,"&lt;2011",
'20102013 STH Efficacy'!$BP:$BP,""),
"")</f>
        <v/>
      </c>
      <c r="AW82" s="132">
        <f t="shared" si="16"/>
        <v>0.3842878788</v>
      </c>
      <c r="AX82" s="131" t="str">
        <f>IFERROR(AVERAGEIFS(
'20102013 STH Efficacy'!$AX:$AX, 
'20102013 STH Efficacy'!$AL:$AL, $A82, 
'20102013 STH Efficacy'!$AM:$AM, "Mebendazole",
'20102013 STH Efficacy'!$AS:$AS,"&lt;2011",
'20102013 STH Efficacy'!$BP:$BP,""),
"")</f>
        <v/>
      </c>
      <c r="AY82" s="132">
        <f t="shared" si="17"/>
        <v>0.5121666667</v>
      </c>
      <c r="AZ82" s="131" t="str">
        <f>IFERROR(AVERAGEIFS(
'20102013 STH Efficacy'!$AX:$AX, 
'20102013 STH Efficacy'!$AL:$AL, $A82, 
'20102013 STH Efficacy'!$AM:$AM, "Albendazole &amp; Ivermectin",
'20102013 STH Efficacy'!$AS:$AS,"&lt;2011",
'20102013 STH Efficacy'!$BP:$BP,""),
"")</f>
        <v/>
      </c>
      <c r="BA82" s="133">
        <f t="shared" si="18"/>
        <v>0.7176666667</v>
      </c>
      <c r="BB82" s="134" t="str">
        <f>IFERROR(AVERAGEIFS(
'20102013 STH Efficacy'!$N:$N, 
'20102013 STH Efficacy'!$B:$B, $A82, 
'20102013 STH Efficacy'!$C:$C, "Albendazole",
'20102013 STH Efficacy'!$I:$I,"&lt;2011",
'20102013 STH Efficacy'!$AH:$AH,""),
"")</f>
        <v/>
      </c>
      <c r="BC82" s="135">
        <f t="shared" si="19"/>
        <v>0.7630416667</v>
      </c>
      <c r="BD82" s="134" t="str">
        <f>IFERROR(AVERAGEIFS(
'20102013 STH Efficacy'!$N:$N, 
'20102013 STH Efficacy'!$B:$B, $A82, 
'20102013 STH Efficacy'!$C:$C, "Mebendazole",
'20102013 STH Efficacy'!$I:$I,"&lt;2011",
'20102013 STH Efficacy'!$AH:$AH,""),
"")</f>
        <v/>
      </c>
      <c r="BE82" s="135">
        <f t="shared" si="20"/>
        <v>0.4405966667</v>
      </c>
      <c r="BF82" s="128" t="str">
        <f>IFERROR(AVERAGEIFS(
'20102013 STH Efficacy'!$CD:$CD, 
'20102013 STH Efficacy'!$BS:$BS, $A82, 
'20102013 STH Efficacy'!$BT:$BT, "Albendazole",
'20102013 STH Efficacy'!$BZ:$BZ,"&lt;2011",
'20102013 STH Efficacy'!$CU:$CU,""),
"")</f>
        <v/>
      </c>
      <c r="BG82" s="136">
        <f t="shared" si="21"/>
        <v>0.9403222222</v>
      </c>
      <c r="BH82" s="128" t="str">
        <f>IFERROR(AVERAGEIFS(
'20102013 STH Efficacy'!$CD:$CD, 
'20102013 STH Efficacy'!$BS:$BS, $A82, 
'20102013 STH Efficacy'!$BT:$BT, "Mebendazole",
'20102013 STH Efficacy'!$BZ:$BZ,"&lt;2011",
'20102013 STH Efficacy'!$CU:$CU,""),
"")</f>
        <v/>
      </c>
      <c r="BI82" s="136">
        <f t="shared" si="22"/>
        <v>0.9229285714</v>
      </c>
      <c r="BJ82" s="128" t="str">
        <f>IFERROR(AVERAGEIFS(
'20102013 STH Efficacy'!$CD:$CD, 
'20102013 STH Efficacy'!$BS:$BS, $A82, 
'20102013 STH Efficacy'!$BT:$BT, "Albendazole &amp; Ivermectin",
'20102013 STH Efficacy'!$BZ:$BZ,"&lt;2011",
'20102013 STH Efficacy'!$CU:$CU,""),
"")</f>
        <v/>
      </c>
      <c r="BK82" s="136">
        <f t="shared" si="23"/>
        <v>1</v>
      </c>
      <c r="BL82" s="137"/>
      <c r="BM82" s="137"/>
      <c r="BN82" s="138">
        <v>0.0</v>
      </c>
      <c r="BO82" s="139">
        <v>0.0</v>
      </c>
      <c r="BP82" s="140">
        <v>0.0</v>
      </c>
      <c r="BQ82" s="141">
        <f t="shared" si="24"/>
        <v>0</v>
      </c>
      <c r="BR82" s="104" t="str">
        <f t="shared" si="25"/>
        <v>0000</v>
      </c>
      <c r="BS82" s="104" t="str">
        <f t="shared" si="26"/>
        <v>no action required</v>
      </c>
      <c r="BT82" s="142" t="str">
        <f t="shared" si="27"/>
        <v/>
      </c>
      <c r="BU82" s="104" t="str">
        <f t="shared" si="28"/>
        <v/>
      </c>
      <c r="BV82" s="104" t="str">
        <f t="shared" si="29"/>
        <v>none</v>
      </c>
      <c r="BW82" s="150" t="str">
        <f t="shared" si="30"/>
        <v/>
      </c>
      <c r="BX82" s="150" t="str">
        <f t="shared" si="31"/>
        <v/>
      </c>
      <c r="BY82" s="151" t="str">
        <f t="shared" si="32"/>
        <v/>
      </c>
      <c r="BZ82" s="152" t="str">
        <f t="shared" si="33"/>
        <v/>
      </c>
      <c r="CA82" s="152" t="str">
        <f t="shared" si="34"/>
        <v/>
      </c>
      <c r="CB82" s="152" t="str">
        <f t="shared" si="35"/>
        <v/>
      </c>
      <c r="CC82" s="153" t="str">
        <f t="shared" si="36"/>
        <v/>
      </c>
      <c r="CD82" s="153" t="str">
        <f t="shared" si="37"/>
        <v/>
      </c>
      <c r="CE82" s="154" t="str">
        <f t="shared" si="38"/>
        <v/>
      </c>
      <c r="CF82" s="154" t="str">
        <f t="shared" si="39"/>
        <v/>
      </c>
      <c r="CG82" s="154" t="str">
        <f t="shared" si="40"/>
        <v/>
      </c>
    </row>
    <row r="83">
      <c r="A83" s="103" t="s">
        <v>172</v>
      </c>
      <c r="B83" s="104" t="s">
        <v>90</v>
      </c>
      <c r="C83" s="105">
        <v>56905.0</v>
      </c>
      <c r="D83" s="106">
        <v>0.0</v>
      </c>
      <c r="E83" s="107">
        <v>0.0</v>
      </c>
      <c r="F83" s="108">
        <v>0.0</v>
      </c>
      <c r="G83" s="108">
        <v>0.0</v>
      </c>
      <c r="H83" s="108">
        <v>0.0</v>
      </c>
      <c r="I83" s="109">
        <v>0.0</v>
      </c>
      <c r="J83" s="110">
        <v>0.0</v>
      </c>
      <c r="K83" s="109">
        <v>0.0</v>
      </c>
      <c r="L83" s="112">
        <v>0.0</v>
      </c>
      <c r="M83" s="112">
        <v>0.0</v>
      </c>
      <c r="N83" s="112">
        <v>0.0</v>
      </c>
      <c r="O83" s="113"/>
      <c r="P83" s="114"/>
      <c r="Q83" s="114"/>
      <c r="R83" s="115" t="str">
        <f t="shared" si="8"/>
        <v/>
      </c>
      <c r="S83" s="116">
        <f t="shared" si="9"/>
        <v>0.4013436246</v>
      </c>
      <c r="T83" s="130"/>
      <c r="U83" s="118">
        <f t="shared" si="41"/>
        <v>0.3468166667</v>
      </c>
      <c r="V83" s="148"/>
      <c r="W83" s="120">
        <f t="shared" si="10"/>
        <v>1</v>
      </c>
      <c r="X83" s="148"/>
      <c r="Y83" s="120">
        <f t="shared" si="11"/>
        <v>0.71735</v>
      </c>
      <c r="Z83" s="121"/>
      <c r="AA83" s="121"/>
      <c r="AB83" s="121"/>
      <c r="AC83" s="121"/>
      <c r="AD83" s="122">
        <v>0.0</v>
      </c>
      <c r="AE83" s="123">
        <v>0.0</v>
      </c>
      <c r="AF83" s="123">
        <v>0.0</v>
      </c>
      <c r="AG83" s="124">
        <v>0.0</v>
      </c>
      <c r="AH83" s="124">
        <v>0.0</v>
      </c>
      <c r="AI83" s="125">
        <v>0.0</v>
      </c>
      <c r="AJ83" s="125">
        <v>0.0</v>
      </c>
      <c r="AK83" s="127">
        <v>0.0</v>
      </c>
      <c r="AL83" s="127">
        <v>0.0</v>
      </c>
      <c r="AM83" s="128"/>
      <c r="AN83" s="149" t="str">
        <f>IFERROR(
  AVERAGEIFS(
    'New 20102013 LF Efficacy'!$J:$J,
    'New 20102013 LF Efficacy'!$D:$D, $A83,
    'New 20102013 LF Efficacy'!$F:$F,"DEC", 
    'New 20102013 LF Efficacy'!$W:$W,"&lt;2011",
    'New 20102013 LF Efficacy'!$AA:$AA,""),
  ""
)</f>
        <v/>
      </c>
      <c r="AO83" s="115">
        <f t="shared" si="12"/>
        <v>0.3573520833</v>
      </c>
      <c r="AP83" s="121" t="str">
        <f>IFERROR(
AVERAGEIFS(
'New 20102013 LF Efficacy'!$J:$J,
'New 20102013 LF Efficacy'!$D:$D,$A83,
'New 20102013 LF Efficacy'!$F:$F,"Albendazole &amp; DEC",
'New 20102013 LF Efficacy'!$W:$W,"&lt;2011",
'New 20102013 LF Efficacy'!$AA:$AA,""),
"")
</f>
        <v/>
      </c>
      <c r="AQ83" s="115">
        <f t="shared" si="13"/>
        <v>0.5137291667</v>
      </c>
      <c r="AR83" s="121" t="str">
        <f>IFERROR(
AVERAGEIFS(
'New 20102013 LF Efficacy'!$J:$J,
'New 20102013 LF Efficacy'!$D:$D,$A83,
'New 20102013 LF Efficacy'!$F:$F,"Albendazole &amp; Ivermectin", 
'New 20102013 LF Efficacy'!$W:$W,"&lt;2011",
'New 20102013 LF Efficacy'!$AA:$AA,""),"")</f>
        <v/>
      </c>
      <c r="AS83" s="115">
        <f t="shared" si="14"/>
        <v>0.37153125</v>
      </c>
      <c r="AT83" s="130" t="str">
        <f>IFERROR(AVERAGEIFS(
'20102013 Schist Efficacy'!$O:$O, 
'20102013 Schist Efficacy'!$C:$C,$A83, 
'20102013 Schist Efficacy'!$D:$D, "Praziquantel",
'20102013 Schist Efficacy'!$J:$J,"&lt;2011",
'20102013 Schist Efficacy'!$U:$U,""),
"")</f>
        <v/>
      </c>
      <c r="AU83" s="118">
        <f t="shared" si="15"/>
        <v>0.655</v>
      </c>
      <c r="AV83" s="131" t="str">
        <f>IFERROR(AVERAGEIFS(
'20102013 STH Efficacy'!$AX:$AX, 
'20102013 STH Efficacy'!$AL:$AL, $A83, 
'20102013 STH Efficacy'!$AM:$AM, "Albendazole",
'20102013 STH Efficacy'!$AS:$AS,"&lt;2011",
'20102013 STH Efficacy'!$BP:$BP,""),
"")</f>
        <v/>
      </c>
      <c r="AW83" s="132">
        <f t="shared" si="16"/>
        <v>0.3842878788</v>
      </c>
      <c r="AX83" s="131" t="str">
        <f>IFERROR(AVERAGEIFS(
'20102013 STH Efficacy'!$AX:$AX, 
'20102013 STH Efficacy'!$AL:$AL, $A83, 
'20102013 STH Efficacy'!$AM:$AM, "Mebendazole",
'20102013 STH Efficacy'!$AS:$AS,"&lt;2011",
'20102013 STH Efficacy'!$BP:$BP,""),
"")</f>
        <v/>
      </c>
      <c r="AY83" s="132">
        <f t="shared" si="17"/>
        <v>0.5121666667</v>
      </c>
      <c r="AZ83" s="131" t="str">
        <f>IFERROR(AVERAGEIFS(
'20102013 STH Efficacy'!$AX:$AX, 
'20102013 STH Efficacy'!$AL:$AL, $A83, 
'20102013 STH Efficacy'!$AM:$AM, "Albendazole &amp; Ivermectin",
'20102013 STH Efficacy'!$AS:$AS,"&lt;2011",
'20102013 STH Efficacy'!$BP:$BP,""),
"")</f>
        <v/>
      </c>
      <c r="BA83" s="133">
        <f t="shared" si="18"/>
        <v>0.7176666667</v>
      </c>
      <c r="BB83" s="134" t="str">
        <f>IFERROR(AVERAGEIFS(
'20102013 STH Efficacy'!$N:$N, 
'20102013 STH Efficacy'!$B:$B, $A83, 
'20102013 STH Efficacy'!$C:$C, "Albendazole",
'20102013 STH Efficacy'!$I:$I,"&lt;2011",
'20102013 STH Efficacy'!$AH:$AH,""),
"")</f>
        <v/>
      </c>
      <c r="BC83" s="135">
        <f t="shared" si="19"/>
        <v>0.7630416667</v>
      </c>
      <c r="BD83" s="134" t="str">
        <f>IFERROR(AVERAGEIFS(
'20102013 STH Efficacy'!$N:$N, 
'20102013 STH Efficacy'!$B:$B, $A83, 
'20102013 STH Efficacy'!$C:$C, "Mebendazole",
'20102013 STH Efficacy'!$I:$I,"&lt;2011",
'20102013 STH Efficacy'!$AH:$AH,""),
"")</f>
        <v/>
      </c>
      <c r="BE83" s="135">
        <f t="shared" si="20"/>
        <v>0.4405966667</v>
      </c>
      <c r="BF83" s="128" t="str">
        <f>IFERROR(AVERAGEIFS(
'20102013 STH Efficacy'!$CD:$CD, 
'20102013 STH Efficacy'!$BS:$BS, $A83, 
'20102013 STH Efficacy'!$BT:$BT, "Albendazole",
'20102013 STH Efficacy'!$BZ:$BZ,"&lt;2011",
'20102013 STH Efficacy'!$CU:$CU,""),
"")</f>
        <v/>
      </c>
      <c r="BG83" s="136">
        <f t="shared" si="21"/>
        <v>0.9403222222</v>
      </c>
      <c r="BH83" s="128" t="str">
        <f>IFERROR(AVERAGEIFS(
'20102013 STH Efficacy'!$CD:$CD, 
'20102013 STH Efficacy'!$BS:$BS, $A83, 
'20102013 STH Efficacy'!$BT:$BT, "Mebendazole",
'20102013 STH Efficacy'!$BZ:$BZ,"&lt;2011",
'20102013 STH Efficacy'!$CU:$CU,""),
"")</f>
        <v/>
      </c>
      <c r="BI83" s="136">
        <f t="shared" si="22"/>
        <v>0.9229285714</v>
      </c>
      <c r="BJ83" s="128" t="str">
        <f>IFERROR(AVERAGEIFS(
'20102013 STH Efficacy'!$CD:$CD, 
'20102013 STH Efficacy'!$BS:$BS, $A83, 
'20102013 STH Efficacy'!$BT:$BT, "Albendazole &amp; Ivermectin",
'20102013 STH Efficacy'!$BZ:$BZ,"&lt;2011",
'20102013 STH Efficacy'!$CU:$CU,""),
"")</f>
        <v/>
      </c>
      <c r="BK83" s="136">
        <f t="shared" si="23"/>
        <v>1</v>
      </c>
      <c r="BL83" s="137"/>
      <c r="BM83" s="137"/>
      <c r="BN83" s="138">
        <v>0.0</v>
      </c>
      <c r="BO83" s="139">
        <v>0.0</v>
      </c>
      <c r="BP83" s="140">
        <v>0.0</v>
      </c>
      <c r="BQ83" s="141">
        <f t="shared" si="24"/>
        <v>0</v>
      </c>
      <c r="BR83" s="104" t="str">
        <f t="shared" si="25"/>
        <v>0000</v>
      </c>
      <c r="BS83" s="104" t="str">
        <f t="shared" si="26"/>
        <v>no action required</v>
      </c>
      <c r="BT83" s="142" t="str">
        <f t="shared" si="27"/>
        <v/>
      </c>
      <c r="BU83" s="104" t="str">
        <f t="shared" si="28"/>
        <v/>
      </c>
      <c r="BV83" s="104" t="str">
        <f t="shared" si="29"/>
        <v>none</v>
      </c>
      <c r="BW83" s="150" t="str">
        <f t="shared" si="30"/>
        <v/>
      </c>
      <c r="BX83" s="150" t="str">
        <f t="shared" si="31"/>
        <v/>
      </c>
      <c r="BY83" s="151" t="str">
        <f t="shared" si="32"/>
        <v/>
      </c>
      <c r="BZ83" s="152" t="str">
        <f t="shared" si="33"/>
        <v/>
      </c>
      <c r="CA83" s="152" t="str">
        <f t="shared" si="34"/>
        <v/>
      </c>
      <c r="CB83" s="152" t="str">
        <f t="shared" si="35"/>
        <v/>
      </c>
      <c r="CC83" s="153" t="str">
        <f t="shared" si="36"/>
        <v/>
      </c>
      <c r="CD83" s="153" t="str">
        <f t="shared" si="37"/>
        <v/>
      </c>
      <c r="CE83" s="154" t="str">
        <f t="shared" si="38"/>
        <v/>
      </c>
      <c r="CF83" s="154" t="str">
        <f t="shared" si="39"/>
        <v/>
      </c>
      <c r="CG83" s="154" t="str">
        <f t="shared" si="40"/>
        <v/>
      </c>
    </row>
    <row r="84">
      <c r="A84" s="103" t="s">
        <v>173</v>
      </c>
      <c r="B84" s="104" t="s">
        <v>98</v>
      </c>
      <c r="C84" s="105">
        <v>104677.0</v>
      </c>
      <c r="D84" s="106">
        <v>0.0</v>
      </c>
      <c r="E84" s="107">
        <v>0.0</v>
      </c>
      <c r="F84" s="108">
        <v>0.00294254</v>
      </c>
      <c r="G84" s="108">
        <v>0.018606454</v>
      </c>
      <c r="H84" s="157">
        <v>0.021548994</v>
      </c>
      <c r="I84" s="110">
        <v>3.57027258</v>
      </c>
      <c r="J84" s="110">
        <v>11.8609182</v>
      </c>
      <c r="K84" s="109">
        <v>15.43119073</v>
      </c>
      <c r="L84" s="112">
        <v>0.515903873</v>
      </c>
      <c r="M84" s="112">
        <v>0.744697516</v>
      </c>
      <c r="N84" s="112">
        <v>1.260601389</v>
      </c>
      <c r="O84" s="113"/>
      <c r="P84" s="114"/>
      <c r="Q84" s="114"/>
      <c r="R84" s="115" t="str">
        <f t="shared" si="8"/>
        <v/>
      </c>
      <c r="S84" s="116">
        <f t="shared" si="9"/>
        <v>0.14553293</v>
      </c>
      <c r="T84" s="117"/>
      <c r="U84" s="118">
        <f t="shared" si="41"/>
        <v>0.39435</v>
      </c>
      <c r="V84" s="148"/>
      <c r="W84" s="120">
        <f t="shared" si="10"/>
        <v>0.3616</v>
      </c>
      <c r="X84" s="148"/>
      <c r="Y84" s="120">
        <f t="shared" si="11"/>
        <v>0.5015615385</v>
      </c>
      <c r="Z84" s="121"/>
      <c r="AA84" s="121"/>
      <c r="AB84" s="121"/>
      <c r="AC84" s="121"/>
      <c r="AD84" s="122">
        <v>0.0</v>
      </c>
      <c r="AE84" s="123">
        <v>0.0</v>
      </c>
      <c r="AF84" s="123">
        <v>0.0</v>
      </c>
      <c r="AG84" s="124">
        <v>0.0277</v>
      </c>
      <c r="AH84" s="124">
        <v>0.043790686</v>
      </c>
      <c r="AI84" s="125">
        <v>0.1016</v>
      </c>
      <c r="AJ84" s="125">
        <v>0.158877223</v>
      </c>
      <c r="AK84" s="127">
        <v>0.07</v>
      </c>
      <c r="AL84" s="169">
        <v>0.110529066</v>
      </c>
      <c r="AM84" s="128"/>
      <c r="AN84" s="149" t="str">
        <f>IFERROR(
  AVERAGEIFS(
    'New 20102013 LF Efficacy'!$J:$J,
    'New 20102013 LF Efficacy'!$D:$D, $A84,
    'New 20102013 LF Efficacy'!$F:$F,"DEC", 
    'New 20102013 LF Efficacy'!$W:$W,"&lt;2011",
    'New 20102013 LF Efficacy'!$AA:$AA,""),
  ""
)</f>
        <v/>
      </c>
      <c r="AO84" s="115">
        <f t="shared" si="12"/>
        <v>0.2589833333</v>
      </c>
      <c r="AP84" s="121" t="str">
        <f>IFERROR(
AVERAGEIFS(
'New 20102013 LF Efficacy'!$J:$J,
'New 20102013 LF Efficacy'!$D:$D,$A84,
'New 20102013 LF Efficacy'!$F:$F,"Albendazole &amp; DEC",
'New 20102013 LF Efficacy'!$W:$W,"&lt;2011",
'New 20102013 LF Efficacy'!$AA:$AA,""),
"")
</f>
        <v/>
      </c>
      <c r="AQ84" s="115">
        <f t="shared" si="13"/>
        <v>0.3465</v>
      </c>
      <c r="AR84" s="121" t="str">
        <f>IFERROR(
AVERAGEIFS(
'New 20102013 LF Efficacy'!$J:$J,
'New 20102013 LF Efficacy'!$D:$D,$A84,
'New 20102013 LF Efficacy'!$F:$F,"Albendazole &amp; Ivermectin", 
'New 20102013 LF Efficacy'!$W:$W,"&lt;2011",
'New 20102013 LF Efficacy'!$AA:$AA,""),"")</f>
        <v/>
      </c>
      <c r="AS84" s="115">
        <f t="shared" si="14"/>
        <v>0.7575</v>
      </c>
      <c r="AT84" s="130" t="str">
        <f>IFERROR(AVERAGEIFS(
'20102013 Schist Efficacy'!$O:$O, 
'20102013 Schist Efficacy'!$C:$C,$A84, 
'20102013 Schist Efficacy'!$D:$D, "Praziquantel",
'20102013 Schist Efficacy'!$J:$J,"&lt;2011",
'20102013 Schist Efficacy'!$U:$U,""),
"")</f>
        <v/>
      </c>
      <c r="AU84" s="118">
        <f t="shared" si="15"/>
        <v>0.7732631579</v>
      </c>
      <c r="AV84" s="131" t="str">
        <f>IFERROR(AVERAGEIFS(
'20102013 STH Efficacy'!$AX:$AX, 
'20102013 STH Efficacy'!$AL:$AL, $A84, 
'20102013 STH Efficacy'!$AM:$AM, "Albendazole",
'20102013 STH Efficacy'!$AS:$AS,"&lt;2011",
'20102013 STH Efficacy'!$BP:$BP,""),
"")</f>
        <v/>
      </c>
      <c r="AW84" s="132">
        <f t="shared" si="16"/>
        <v>0.3945</v>
      </c>
      <c r="AX84" s="131" t="str">
        <f>IFERROR(AVERAGEIFS(
'20102013 STH Efficacy'!$AX:$AX, 
'20102013 STH Efficacy'!$AL:$AL, $A84, 
'20102013 STH Efficacy'!$AM:$AM, "Mebendazole",
'20102013 STH Efficacy'!$AS:$AS,"&lt;2011",
'20102013 STH Efficacy'!$BP:$BP,""),
"")</f>
        <v/>
      </c>
      <c r="AY84" s="132">
        <f t="shared" si="17"/>
        <v>0.6</v>
      </c>
      <c r="AZ84" s="131" t="str">
        <f>IFERROR(AVERAGEIFS(
'20102013 STH Efficacy'!$AX:$AX, 
'20102013 STH Efficacy'!$AL:$AL, $A84, 
'20102013 STH Efficacy'!$AM:$AM, "Albendazole &amp; Ivermectin",
'20102013 STH Efficacy'!$AS:$AS,"&lt;2011",
'20102013 STH Efficacy'!$BP:$BP,""),
"")</f>
        <v/>
      </c>
      <c r="BA84" s="133">
        <f t="shared" si="18"/>
        <v>0.796</v>
      </c>
      <c r="BB84" s="134" t="str">
        <f>IFERROR(AVERAGEIFS(
'20102013 STH Efficacy'!$N:$N, 
'20102013 STH Efficacy'!$B:$B, $A84, 
'20102013 STH Efficacy'!$C:$C, "Albendazole",
'20102013 STH Efficacy'!$I:$I,"&lt;2011",
'20102013 STH Efficacy'!$AH:$AH,""),
"")</f>
        <v/>
      </c>
      <c r="BC84" s="135">
        <f t="shared" si="19"/>
        <v>0.869</v>
      </c>
      <c r="BD84" s="134" t="str">
        <f>IFERROR(AVERAGEIFS(
'20102013 STH Efficacy'!$N:$N, 
'20102013 STH Efficacy'!$B:$B, $A84, 
'20102013 STH Efficacy'!$C:$C, "Mebendazole",
'20102013 STH Efficacy'!$I:$I,"&lt;2011",
'20102013 STH Efficacy'!$AH:$AH,""),
"")</f>
        <v/>
      </c>
      <c r="BE84" s="135">
        <f t="shared" si="20"/>
        <v>0.172</v>
      </c>
      <c r="BF84" s="128" t="str">
        <f>IFERROR(AVERAGEIFS(
'20102013 STH Efficacy'!$CD:$CD, 
'20102013 STH Efficacy'!$BS:$BS, $A84, 
'20102013 STH Efficacy'!$BT:$BT, "Albendazole",
'20102013 STH Efficacy'!$BZ:$BZ,"&lt;2011",
'20102013 STH Efficacy'!$CU:$CU,""),
"")</f>
        <v/>
      </c>
      <c r="BG84" s="136">
        <f t="shared" si="21"/>
        <v>0.9862</v>
      </c>
      <c r="BH84" s="128" t="str">
        <f>IFERROR(AVERAGEIFS(
'20102013 STH Efficacy'!$CD:$CD, 
'20102013 STH Efficacy'!$BS:$BS, $A84, 
'20102013 STH Efficacy'!$BT:$BT, "Mebendazole",
'20102013 STH Efficacy'!$BZ:$BZ,"&lt;2011",
'20102013 STH Efficacy'!$CU:$CU,""),
"")</f>
        <v/>
      </c>
      <c r="BI84" s="136">
        <f t="shared" si="22"/>
        <v>0.769</v>
      </c>
      <c r="BJ84" s="128" t="str">
        <f>IFERROR(AVERAGEIFS(
'20102013 STH Efficacy'!$CD:$CD, 
'20102013 STH Efficacy'!$BS:$BS, $A84, 
'20102013 STH Efficacy'!$BT:$BT, "Albendazole &amp; Ivermectin",
'20102013 STH Efficacy'!$BZ:$BZ,"&lt;2011",
'20102013 STH Efficacy'!$CU:$CU,""),
"")</f>
        <v/>
      </c>
      <c r="BK84" s="136">
        <f t="shared" si="23"/>
        <v>1</v>
      </c>
      <c r="BL84" s="137"/>
      <c r="BM84" s="137"/>
      <c r="BN84" s="138">
        <v>0.0</v>
      </c>
      <c r="BO84" s="139">
        <v>0.0</v>
      </c>
      <c r="BP84" s="140">
        <v>0.0</v>
      </c>
      <c r="BQ84" s="141">
        <f t="shared" si="24"/>
        <v>0</v>
      </c>
      <c r="BR84" s="104" t="str">
        <f t="shared" si="25"/>
        <v>0000</v>
      </c>
      <c r="BS84" s="104" t="str">
        <f t="shared" si="26"/>
        <v>no action required</v>
      </c>
      <c r="BT84" s="142" t="str">
        <f t="shared" si="27"/>
        <v/>
      </c>
      <c r="BU84" s="104" t="str">
        <f t="shared" si="28"/>
        <v/>
      </c>
      <c r="BV84" s="104" t="str">
        <f t="shared" si="29"/>
        <v>none</v>
      </c>
      <c r="BW84" s="150" t="str">
        <f t="shared" si="30"/>
        <v/>
      </c>
      <c r="BX84" s="150" t="str">
        <f t="shared" si="31"/>
        <v/>
      </c>
      <c r="BY84" s="151" t="str">
        <f t="shared" si="32"/>
        <v/>
      </c>
      <c r="BZ84" s="152" t="str">
        <f t="shared" si="33"/>
        <v/>
      </c>
      <c r="CA84" s="152" t="str">
        <f t="shared" si="34"/>
        <v/>
      </c>
      <c r="CB84" s="152" t="str">
        <f t="shared" si="35"/>
        <v/>
      </c>
      <c r="CC84" s="153" t="str">
        <f t="shared" si="36"/>
        <v/>
      </c>
      <c r="CD84" s="153" t="str">
        <f t="shared" si="37"/>
        <v/>
      </c>
      <c r="CE84" s="154" t="str">
        <f t="shared" si="38"/>
        <v/>
      </c>
      <c r="CF84" s="154" t="str">
        <f t="shared" si="39"/>
        <v/>
      </c>
      <c r="CG84" s="154" t="str">
        <f t="shared" si="40"/>
        <v/>
      </c>
    </row>
    <row r="85">
      <c r="A85" s="155" t="s">
        <v>174</v>
      </c>
      <c r="B85" s="104" t="s">
        <v>94</v>
      </c>
      <c r="C85" s="105">
        <v>159444.0</v>
      </c>
      <c r="D85" s="106">
        <v>0.0</v>
      </c>
      <c r="E85" s="107">
        <v>0.0</v>
      </c>
      <c r="F85" s="108">
        <v>0.0</v>
      </c>
      <c r="G85" s="108">
        <v>0.0</v>
      </c>
      <c r="H85" s="108">
        <v>0.0</v>
      </c>
      <c r="I85" s="109">
        <v>0.00822087</v>
      </c>
      <c r="J85" s="109">
        <v>0.01188015</v>
      </c>
      <c r="K85" s="109">
        <v>0.020101018</v>
      </c>
      <c r="L85" s="112">
        <v>0.602264051</v>
      </c>
      <c r="M85" s="112">
        <v>0.279324405</v>
      </c>
      <c r="N85" s="112">
        <v>0.881588456</v>
      </c>
      <c r="O85" s="113"/>
      <c r="P85" s="114"/>
      <c r="Q85" s="114"/>
      <c r="R85" s="115" t="str">
        <f t="shared" si="8"/>
        <v/>
      </c>
      <c r="S85" s="116">
        <f t="shared" si="9"/>
        <v>0.1955251818</v>
      </c>
      <c r="T85" s="117"/>
      <c r="U85" s="118">
        <f t="shared" si="41"/>
        <v>0.6259666667</v>
      </c>
      <c r="V85" s="148"/>
      <c r="W85" s="120">
        <f t="shared" si="10"/>
        <v>0.55175</v>
      </c>
      <c r="X85" s="148"/>
      <c r="Y85" s="120">
        <f t="shared" si="11"/>
        <v>0.4826142857</v>
      </c>
      <c r="Z85" s="121"/>
      <c r="AA85" s="121"/>
      <c r="AB85" s="121"/>
      <c r="AC85" s="121"/>
      <c r="AD85" s="122">
        <v>0.0</v>
      </c>
      <c r="AE85" s="123">
        <v>0.0</v>
      </c>
      <c r="AF85" s="123">
        <v>0.0</v>
      </c>
      <c r="AG85" s="124">
        <v>1.0E-4</v>
      </c>
      <c r="AH85" s="124">
        <v>1.18297E-4</v>
      </c>
      <c r="AI85" s="125">
        <v>1.0E-4</v>
      </c>
      <c r="AJ85" s="125">
        <v>1.17728E-4</v>
      </c>
      <c r="AK85" s="127">
        <v>0.0</v>
      </c>
      <c r="AL85" s="127">
        <v>1.16649E-4</v>
      </c>
      <c r="AM85" s="128"/>
      <c r="AN85" s="149" t="str">
        <f>IFERROR(
  AVERAGEIFS(
    'New 20102013 LF Efficacy'!$J:$J,
    'New 20102013 LF Efficacy'!$D:$D, $A85,
    'New 20102013 LF Efficacy'!$F:$F,"DEC", 
    'New 20102013 LF Efficacy'!$W:$W,"&lt;2011",
    'New 20102013 LF Efficacy'!$AA:$AA,""),
  ""
)</f>
        <v/>
      </c>
      <c r="AO85" s="115">
        <f t="shared" si="12"/>
        <v>0.38</v>
      </c>
      <c r="AP85" s="121" t="str">
        <f>IFERROR(
AVERAGEIFS(
'New 20102013 LF Efficacy'!$J:$J,
'New 20102013 LF Efficacy'!$D:$D,$A85,
'New 20102013 LF Efficacy'!$F:$F,"Albendazole &amp; DEC",
'New 20102013 LF Efficacy'!$W:$W,"&lt;2011",
'New 20102013 LF Efficacy'!$AA:$AA,""),
"")
</f>
        <v/>
      </c>
      <c r="AQ85" s="115">
        <f t="shared" si="13"/>
        <v>0.657</v>
      </c>
      <c r="AR85" s="121" t="str">
        <f>IFERROR(
AVERAGEIFS(
'New 20102013 LF Efficacy'!$J:$J,
'New 20102013 LF Efficacy'!$D:$D,$A85,
'New 20102013 LF Efficacy'!$F:$F,"Albendazole &amp; Ivermectin", 
'New 20102013 LF Efficacy'!$W:$W,"&lt;2011",
'New 20102013 LF Efficacy'!$AA:$AA,""),"")</f>
        <v/>
      </c>
      <c r="AS85" s="115">
        <f t="shared" si="14"/>
        <v>0.37153125</v>
      </c>
      <c r="AT85" s="130" t="str">
        <f>IFERROR(AVERAGEIFS(
'20102013 Schist Efficacy'!$O:$O, 
'20102013 Schist Efficacy'!$C:$C,$A85, 
'20102013 Schist Efficacy'!$D:$D, "Praziquantel",
'20102013 Schist Efficacy'!$J:$J,"&lt;2011",
'20102013 Schist Efficacy'!$U:$U,""),
"")</f>
        <v/>
      </c>
      <c r="AU85" s="118">
        <f t="shared" si="15"/>
        <v>0.95</v>
      </c>
      <c r="AV85" s="131" t="str">
        <f>IFERROR(AVERAGEIFS(
'20102013 STH Efficacy'!$AX:$AX, 
'20102013 STH Efficacy'!$AL:$AL, $A85, 
'20102013 STH Efficacy'!$AM:$AM, "Albendazole",
'20102013 STH Efficacy'!$AS:$AS,"&lt;2011",
'20102013 STH Efficacy'!$BP:$BP,""),
"")</f>
        <v/>
      </c>
      <c r="AW85" s="132">
        <f t="shared" si="16"/>
        <v>0.3571666667</v>
      </c>
      <c r="AX85" s="131" t="str">
        <f>IFERROR(AVERAGEIFS(
'20102013 STH Efficacy'!$AX:$AX, 
'20102013 STH Efficacy'!$AL:$AL, $A85, 
'20102013 STH Efficacy'!$AM:$AM, "Mebendazole",
'20102013 STH Efficacy'!$AS:$AS,"&lt;2011",
'20102013 STH Efficacy'!$BP:$BP,""),
"")</f>
        <v/>
      </c>
      <c r="AY85" s="132">
        <f t="shared" si="17"/>
        <v>0.4155</v>
      </c>
      <c r="AZ85" s="131" t="str">
        <f>IFERROR(AVERAGEIFS(
'20102013 STH Efficacy'!$AX:$AX, 
'20102013 STH Efficacy'!$AL:$AL, $A85, 
'20102013 STH Efficacy'!$AM:$AM, "Albendazole &amp; Ivermectin",
'20102013 STH Efficacy'!$AS:$AS,"&lt;2011",
'20102013 STH Efficacy'!$BP:$BP,""),
"")</f>
        <v/>
      </c>
      <c r="BA85" s="133">
        <f t="shared" si="18"/>
        <v>0.651</v>
      </c>
      <c r="BB85" s="134" t="str">
        <f>IFERROR(AVERAGEIFS(
'20102013 STH Efficacy'!$N:$N, 
'20102013 STH Efficacy'!$B:$B, $A85, 
'20102013 STH Efficacy'!$C:$C, "Albendazole",
'20102013 STH Efficacy'!$I:$I,"&lt;2011",
'20102013 STH Efficacy'!$AH:$AH,""),
"")</f>
        <v/>
      </c>
      <c r="BC85" s="135">
        <f t="shared" si="19"/>
        <v>0.5769166667</v>
      </c>
      <c r="BD85" s="134" t="str">
        <f>IFERROR(AVERAGEIFS(
'20102013 STH Efficacy'!$N:$N, 
'20102013 STH Efficacy'!$B:$B, $A85, 
'20102013 STH Efficacy'!$C:$C, "Mebendazole",
'20102013 STH Efficacy'!$I:$I,"&lt;2011",
'20102013 STH Efficacy'!$AH:$AH,""),
"")</f>
        <v/>
      </c>
      <c r="BE85" s="135">
        <f t="shared" si="20"/>
        <v>0.3145</v>
      </c>
      <c r="BF85" s="128" t="str">
        <f>IFERROR(AVERAGEIFS(
'20102013 STH Efficacy'!$CD:$CD, 
'20102013 STH Efficacy'!$BS:$BS, $A85, 
'20102013 STH Efficacy'!$BT:$BT, "Albendazole",
'20102013 STH Efficacy'!$BZ:$BZ,"&lt;2011",
'20102013 STH Efficacy'!$CU:$CU,""),
"")</f>
        <v/>
      </c>
      <c r="BG85" s="136">
        <f t="shared" si="21"/>
        <v>0.96925</v>
      </c>
      <c r="BH85" s="128" t="str">
        <f>IFERROR(AVERAGEIFS(
'20102013 STH Efficacy'!$CD:$CD, 
'20102013 STH Efficacy'!$BS:$BS, $A85, 
'20102013 STH Efficacy'!$BT:$BT, "Mebendazole",
'20102013 STH Efficacy'!$BZ:$BZ,"&lt;2011",
'20102013 STH Efficacy'!$CU:$CU,""),
"")</f>
        <v/>
      </c>
      <c r="BI85" s="136">
        <f t="shared" si="22"/>
        <v>0.9305</v>
      </c>
      <c r="BJ85" s="128" t="str">
        <f>IFERROR(AVERAGEIFS(
'20102013 STH Efficacy'!$CD:$CD, 
'20102013 STH Efficacy'!$BS:$BS, $A85, 
'20102013 STH Efficacy'!$BT:$BT, "Albendazole &amp; Ivermectin",
'20102013 STH Efficacy'!$BZ:$BZ,"&lt;2011",
'20102013 STH Efficacy'!$CU:$CU,""),
"")</f>
        <v/>
      </c>
      <c r="BK85" s="136">
        <f t="shared" si="23"/>
        <v>1</v>
      </c>
      <c r="BL85" s="137"/>
      <c r="BM85" s="137"/>
      <c r="BN85" s="138">
        <v>0.0</v>
      </c>
      <c r="BO85" s="139">
        <v>0.0</v>
      </c>
      <c r="BP85" s="140">
        <v>0.0</v>
      </c>
      <c r="BQ85" s="141">
        <f t="shared" si="24"/>
        <v>0</v>
      </c>
      <c r="BR85" s="104" t="str">
        <f t="shared" si="25"/>
        <v>0000</v>
      </c>
      <c r="BS85" s="104" t="str">
        <f t="shared" si="26"/>
        <v>no action required</v>
      </c>
      <c r="BT85" s="142" t="str">
        <f t="shared" si="27"/>
        <v/>
      </c>
      <c r="BU85" s="104" t="str">
        <f t="shared" si="28"/>
        <v/>
      </c>
      <c r="BV85" s="104" t="str">
        <f t="shared" si="29"/>
        <v>none</v>
      </c>
      <c r="BW85" s="150" t="str">
        <f t="shared" si="30"/>
        <v/>
      </c>
      <c r="BX85" s="150" t="str">
        <f t="shared" si="31"/>
        <v/>
      </c>
      <c r="BY85" s="151" t="str">
        <f t="shared" si="32"/>
        <v/>
      </c>
      <c r="BZ85" s="152" t="str">
        <f t="shared" si="33"/>
        <v/>
      </c>
      <c r="CA85" s="152" t="str">
        <f t="shared" si="34"/>
        <v/>
      </c>
      <c r="CB85" s="152" t="str">
        <f t="shared" si="35"/>
        <v/>
      </c>
      <c r="CC85" s="153" t="str">
        <f t="shared" si="36"/>
        <v/>
      </c>
      <c r="CD85" s="153" t="str">
        <f t="shared" si="37"/>
        <v/>
      </c>
      <c r="CE85" s="154" t="str">
        <f t="shared" si="38"/>
        <v/>
      </c>
      <c r="CF85" s="154" t="str">
        <f t="shared" si="39"/>
        <v/>
      </c>
      <c r="CG85" s="154" t="str">
        <f t="shared" si="40"/>
        <v/>
      </c>
    </row>
    <row r="86">
      <c r="A86" s="103" t="s">
        <v>175</v>
      </c>
      <c r="B86" s="104" t="s">
        <v>98</v>
      </c>
      <c r="C86" s="105">
        <v>1.4630417E7</v>
      </c>
      <c r="D86" s="106">
        <v>0.0</v>
      </c>
      <c r="E86" s="107">
        <v>0.0</v>
      </c>
      <c r="F86" s="108">
        <v>590.4517906</v>
      </c>
      <c r="G86" s="108">
        <v>605.248104</v>
      </c>
      <c r="H86" s="157">
        <v>1195.699895</v>
      </c>
      <c r="I86" s="110">
        <v>1941.674</v>
      </c>
      <c r="J86" s="110">
        <v>4302.11822</v>
      </c>
      <c r="K86" s="110">
        <v>6243.792216</v>
      </c>
      <c r="L86" s="111">
        <v>1680.719345</v>
      </c>
      <c r="M86" s="112">
        <v>461.2489216</v>
      </c>
      <c r="N86" s="112">
        <v>2141.968267</v>
      </c>
      <c r="O86" s="113"/>
      <c r="P86" s="114"/>
      <c r="Q86" s="114"/>
      <c r="R86" s="115" t="str">
        <f t="shared" si="8"/>
        <v/>
      </c>
      <c r="S86" s="116">
        <f t="shared" si="9"/>
        <v>0.14553293</v>
      </c>
      <c r="T86" s="117"/>
      <c r="U86" s="118">
        <f t="shared" si="41"/>
        <v>0.39435</v>
      </c>
      <c r="V86" s="119">
        <v>0.2439</v>
      </c>
      <c r="W86" s="120">
        <f t="shared" si="10"/>
        <v>0.2439</v>
      </c>
      <c r="X86" s="119">
        <v>0.1801</v>
      </c>
      <c r="Y86" s="120">
        <f t="shared" si="11"/>
        <v>0.1801</v>
      </c>
      <c r="Z86" s="114"/>
      <c r="AA86" s="114"/>
      <c r="AB86" s="114"/>
      <c r="AC86" s="114"/>
      <c r="AD86" s="164">
        <v>0.0</v>
      </c>
      <c r="AE86" s="123">
        <v>0.0</v>
      </c>
      <c r="AF86" s="123">
        <v>0.0</v>
      </c>
      <c r="AG86" s="167">
        <v>0.0</v>
      </c>
      <c r="AH86" s="124">
        <v>0.234416673</v>
      </c>
      <c r="AI86" s="168">
        <v>0.0</v>
      </c>
      <c r="AJ86" s="125">
        <v>0.204010388</v>
      </c>
      <c r="AK86" s="126">
        <v>0.0</v>
      </c>
      <c r="AL86" s="169">
        <v>0.136430809</v>
      </c>
      <c r="AM86" s="128"/>
      <c r="AN86" s="149" t="str">
        <f>IFERROR(
  AVERAGEIFS(
    'New 20102013 LF Efficacy'!$J:$J,
    'New 20102013 LF Efficacy'!$D:$D, $A86,
    'New 20102013 LF Efficacy'!$F:$F,"DEC", 
    'New 20102013 LF Efficacy'!$W:$W,"&lt;2011",
    'New 20102013 LF Efficacy'!$AA:$AA,""),
  ""
)</f>
        <v/>
      </c>
      <c r="AO86" s="115">
        <f t="shared" si="12"/>
        <v>0.2589833333</v>
      </c>
      <c r="AP86" s="121" t="str">
        <f>IFERROR(
AVERAGEIFS(
'New 20102013 LF Efficacy'!$J:$J,
'New 20102013 LF Efficacy'!$D:$D,$A86,
'New 20102013 LF Efficacy'!$F:$F,"Albendazole &amp; DEC",
'New 20102013 LF Efficacy'!$W:$W,"&lt;2011",
'New 20102013 LF Efficacy'!$AA:$AA,""),
"")
</f>
        <v/>
      </c>
      <c r="AQ86" s="115">
        <f t="shared" si="13"/>
        <v>0.3465</v>
      </c>
      <c r="AR86" s="121" t="str">
        <f>IFERROR(
AVERAGEIFS(
'New 20102013 LF Efficacy'!$J:$J,
'New 20102013 LF Efficacy'!$D:$D,$A86,
'New 20102013 LF Efficacy'!$F:$F,"Albendazole &amp; Ivermectin", 
'New 20102013 LF Efficacy'!$W:$W,"&lt;2011",
'New 20102013 LF Efficacy'!$AA:$AA,""),"")</f>
        <v/>
      </c>
      <c r="AS86" s="115">
        <f t="shared" si="14"/>
        <v>0.7575</v>
      </c>
      <c r="AT86" s="130" t="str">
        <f>IFERROR(AVERAGEIFS(
'20102013 Schist Efficacy'!$O:$O, 
'20102013 Schist Efficacy'!$C:$C,$A86, 
'20102013 Schist Efficacy'!$D:$D, "Praziquantel",
'20102013 Schist Efficacy'!$J:$J,"&lt;2011",
'20102013 Schist Efficacy'!$U:$U,""),
"")</f>
        <v/>
      </c>
      <c r="AU86" s="118">
        <f t="shared" si="15"/>
        <v>0.7732631579</v>
      </c>
      <c r="AV86" s="131" t="str">
        <f>IFERROR(AVERAGEIFS(
'20102013 STH Efficacy'!$AX:$AX, 
'20102013 STH Efficacy'!$AL:$AL, $A86, 
'20102013 STH Efficacy'!$AM:$AM, "Albendazole",
'20102013 STH Efficacy'!$AS:$AS,"&lt;2011",
'20102013 STH Efficacy'!$BP:$BP,""),
"")</f>
        <v/>
      </c>
      <c r="AW86" s="132">
        <f t="shared" si="16"/>
        <v>0.3945</v>
      </c>
      <c r="AX86" s="131" t="str">
        <f>IFERROR(AVERAGEIFS(
'20102013 STH Efficacy'!$AX:$AX, 
'20102013 STH Efficacy'!$AL:$AL, $A86, 
'20102013 STH Efficacy'!$AM:$AM, "Mebendazole",
'20102013 STH Efficacy'!$AS:$AS,"&lt;2011",
'20102013 STH Efficacy'!$BP:$BP,""),
"")</f>
        <v/>
      </c>
      <c r="AY86" s="132">
        <f t="shared" si="17"/>
        <v>0.6</v>
      </c>
      <c r="AZ86" s="131" t="str">
        <f>IFERROR(AVERAGEIFS(
'20102013 STH Efficacy'!$AX:$AX, 
'20102013 STH Efficacy'!$AL:$AL, $A86, 
'20102013 STH Efficacy'!$AM:$AM, "Albendazole &amp; Ivermectin",
'20102013 STH Efficacy'!$AS:$AS,"&lt;2011",
'20102013 STH Efficacy'!$BP:$BP,""),
"")</f>
        <v/>
      </c>
      <c r="BA86" s="133">
        <f t="shared" si="18"/>
        <v>0.796</v>
      </c>
      <c r="BB86" s="134" t="str">
        <f>IFERROR(AVERAGEIFS(
'20102013 STH Efficacy'!$N:$N, 
'20102013 STH Efficacy'!$B:$B, $A86, 
'20102013 STH Efficacy'!$C:$C, "Albendazole",
'20102013 STH Efficacy'!$I:$I,"&lt;2011",
'20102013 STH Efficacy'!$AH:$AH,""),
"")</f>
        <v/>
      </c>
      <c r="BC86" s="135">
        <f t="shared" si="19"/>
        <v>0.869</v>
      </c>
      <c r="BD86" s="134" t="str">
        <f>IFERROR(AVERAGEIFS(
'20102013 STH Efficacy'!$N:$N, 
'20102013 STH Efficacy'!$B:$B, $A86, 
'20102013 STH Efficacy'!$C:$C, "Mebendazole",
'20102013 STH Efficacy'!$I:$I,"&lt;2011",
'20102013 STH Efficacy'!$AH:$AH,""),
"")</f>
        <v/>
      </c>
      <c r="BE86" s="135">
        <f t="shared" si="20"/>
        <v>0.172</v>
      </c>
      <c r="BF86" s="128" t="str">
        <f>IFERROR(AVERAGEIFS(
'20102013 STH Efficacy'!$CD:$CD, 
'20102013 STH Efficacy'!$BS:$BS, $A86, 
'20102013 STH Efficacy'!$BT:$BT, "Albendazole",
'20102013 STH Efficacy'!$BZ:$BZ,"&lt;2011",
'20102013 STH Efficacy'!$CU:$CU,""),
"")</f>
        <v/>
      </c>
      <c r="BG86" s="136">
        <f t="shared" si="21"/>
        <v>0.9862</v>
      </c>
      <c r="BH86" s="128" t="str">
        <f>IFERROR(AVERAGEIFS(
'20102013 STH Efficacy'!$CD:$CD, 
'20102013 STH Efficacy'!$BS:$BS, $A86, 
'20102013 STH Efficacy'!$BT:$BT, "Mebendazole",
'20102013 STH Efficacy'!$BZ:$BZ,"&lt;2011",
'20102013 STH Efficacy'!$CU:$CU,""),
"")</f>
        <v/>
      </c>
      <c r="BI86" s="136">
        <f t="shared" si="22"/>
        <v>0.769</v>
      </c>
      <c r="BJ86" s="128" t="str">
        <f>IFERROR(AVERAGEIFS(
'20102013 STH Efficacy'!$CD:$CD, 
'20102013 STH Efficacy'!$BS:$BS, $A86, 
'20102013 STH Efficacy'!$BT:$BT, "Albendazole &amp; Ivermectin",
'20102013 STH Efficacy'!$BZ:$BZ,"&lt;2011",
'20102013 STH Efficacy'!$CU:$CU,""),
"")</f>
        <v/>
      </c>
      <c r="BK86" s="136">
        <f t="shared" si="23"/>
        <v>1</v>
      </c>
      <c r="BL86" s="137"/>
      <c r="BM86" s="137"/>
      <c r="BN86" s="138">
        <v>0.0</v>
      </c>
      <c r="BO86" s="139">
        <v>0.0</v>
      </c>
      <c r="BP86" s="140">
        <v>0.0</v>
      </c>
      <c r="BQ86" s="141">
        <f t="shared" si="24"/>
        <v>0</v>
      </c>
      <c r="BR86" s="104" t="str">
        <f t="shared" si="25"/>
        <v>0000</v>
      </c>
      <c r="BS86" s="104" t="str">
        <f t="shared" si="26"/>
        <v>no action required</v>
      </c>
      <c r="BT86" s="142" t="str">
        <f t="shared" si="27"/>
        <v/>
      </c>
      <c r="BU86" s="104" t="str">
        <f t="shared" si="28"/>
        <v/>
      </c>
      <c r="BV86" s="104" t="str">
        <f t="shared" si="29"/>
        <v>none</v>
      </c>
      <c r="BW86" s="150" t="str">
        <f t="shared" si="30"/>
        <v/>
      </c>
      <c r="BX86" s="150" t="str">
        <f t="shared" si="31"/>
        <v/>
      </c>
      <c r="BY86" s="151" t="str">
        <f t="shared" si="32"/>
        <v/>
      </c>
      <c r="BZ86" s="152" t="str">
        <f t="shared" si="33"/>
        <v/>
      </c>
      <c r="CA86" s="152" t="str">
        <f t="shared" si="34"/>
        <v/>
      </c>
      <c r="CB86" s="152" t="str">
        <f t="shared" si="35"/>
        <v/>
      </c>
      <c r="CC86" s="153" t="str">
        <f t="shared" si="36"/>
        <v/>
      </c>
      <c r="CD86" s="153" t="str">
        <f t="shared" si="37"/>
        <v/>
      </c>
      <c r="CE86" s="154" t="str">
        <f t="shared" si="38"/>
        <v/>
      </c>
      <c r="CF86" s="154" t="str">
        <f t="shared" si="39"/>
        <v/>
      </c>
      <c r="CG86" s="154" t="str">
        <f t="shared" si="40"/>
        <v/>
      </c>
    </row>
    <row r="87">
      <c r="A87" s="103" t="s">
        <v>176</v>
      </c>
      <c r="B87" s="104" t="s">
        <v>92</v>
      </c>
      <c r="C87" s="105">
        <v>1.079417E7</v>
      </c>
      <c r="D87" s="106">
        <v>11755.47192</v>
      </c>
      <c r="E87" s="107">
        <v>32894.73205</v>
      </c>
      <c r="F87" s="108">
        <v>19.96004806</v>
      </c>
      <c r="G87" s="108">
        <v>84.28424802</v>
      </c>
      <c r="H87" s="157">
        <v>104.2442961</v>
      </c>
      <c r="I87" s="110">
        <v>1141.0757</v>
      </c>
      <c r="J87" s="110">
        <v>2997.12717</v>
      </c>
      <c r="K87" s="109">
        <v>4138.202868</v>
      </c>
      <c r="L87" s="112">
        <v>10675.66802</v>
      </c>
      <c r="M87" s="112">
        <v>1324.916896</v>
      </c>
      <c r="N87" s="158">
        <v>12000.58492</v>
      </c>
      <c r="O87" s="159"/>
      <c r="P87" s="160">
        <v>6067135.0</v>
      </c>
      <c r="Q87" s="156"/>
      <c r="R87" s="115">
        <f t="shared" si="8"/>
        <v>0</v>
      </c>
      <c r="S87" s="116">
        <f t="shared" si="9"/>
        <v>0.1716437208</v>
      </c>
      <c r="T87" s="117"/>
      <c r="U87" s="118">
        <f t="shared" si="41"/>
        <v>0.252</v>
      </c>
      <c r="V87" s="119">
        <v>1.0</v>
      </c>
      <c r="W87" s="120">
        <f t="shared" si="10"/>
        <v>1</v>
      </c>
      <c r="X87" s="119">
        <v>0.7231</v>
      </c>
      <c r="Y87" s="120">
        <f t="shared" si="11"/>
        <v>0.7231</v>
      </c>
      <c r="Z87" s="121"/>
      <c r="AA87" s="121"/>
      <c r="AB87" s="121"/>
      <c r="AC87" s="121"/>
      <c r="AD87" s="122">
        <v>0.0169</v>
      </c>
      <c r="AE87" s="123">
        <v>0.31</v>
      </c>
      <c r="AF87" s="123">
        <v>0.0979</v>
      </c>
      <c r="AG87" s="124">
        <v>0.0728</v>
      </c>
      <c r="AH87" s="124">
        <v>0.113859088</v>
      </c>
      <c r="AI87" s="125">
        <v>0.1409</v>
      </c>
      <c r="AJ87" s="125">
        <v>0.223618958</v>
      </c>
      <c r="AK87" s="127">
        <v>0.06</v>
      </c>
      <c r="AL87" s="127">
        <v>0.099022168</v>
      </c>
      <c r="AM87" s="128"/>
      <c r="AN87" s="149" t="str">
        <f>IFERROR(
  AVERAGEIFS(
    'New 20102013 LF Efficacy'!$J:$J,
    'New 20102013 LF Efficacy'!$D:$D, $A87,
    'New 20102013 LF Efficacy'!$F:$F,"DEC", 
    'New 20102013 LF Efficacy'!$W:$W,"&lt;2011",
    'New 20102013 LF Efficacy'!$AA:$AA,""),
  ""
)</f>
        <v/>
      </c>
      <c r="AO87" s="115">
        <f t="shared" si="12"/>
        <v>0.31225</v>
      </c>
      <c r="AP87" s="121" t="str">
        <f>IFERROR(
AVERAGEIFS(
'New 20102013 LF Efficacy'!$J:$J,
'New 20102013 LF Efficacy'!$D:$D,$A87,
'New 20102013 LF Efficacy'!$F:$F,"Albendazole &amp; DEC",
'New 20102013 LF Efficacy'!$W:$W,"&lt;2011",
'New 20102013 LF Efficacy'!$AA:$AA,""),
"")
</f>
        <v/>
      </c>
      <c r="AQ87" s="115">
        <f t="shared" si="13"/>
        <v>0.4</v>
      </c>
      <c r="AR87" s="121" t="str">
        <f>IFERROR(
AVERAGEIFS(
'New 20102013 LF Efficacy'!$J:$J,
'New 20102013 LF Efficacy'!$D:$D,$A87,
'New 20102013 LF Efficacy'!$F:$F,"Albendazole &amp; Ivermectin", 
'New 20102013 LF Efficacy'!$W:$W,"&lt;2011",
'New 20102013 LF Efficacy'!$AA:$AA,""),"")</f>
        <v/>
      </c>
      <c r="AS87" s="115">
        <f t="shared" si="14"/>
        <v>0.2943125</v>
      </c>
      <c r="AT87" s="130" t="str">
        <f>IFERROR(AVERAGEIFS(
'20102013 Schist Efficacy'!$O:$O, 
'20102013 Schist Efficacy'!$C:$C,$A87, 
'20102013 Schist Efficacy'!$D:$D, "Praziquantel",
'20102013 Schist Efficacy'!$J:$J,"&lt;2011",
'20102013 Schist Efficacy'!$U:$U,""),
"")</f>
        <v/>
      </c>
      <c r="AU87" s="118">
        <f t="shared" si="15"/>
        <v>0.6444020147</v>
      </c>
      <c r="AV87" s="131" t="str">
        <f>IFERROR(AVERAGEIFS(
'20102013 STH Efficacy'!$AX:$AX, 
'20102013 STH Efficacy'!$AL:$AL, $A87, 
'20102013 STH Efficacy'!$AM:$AM, "Albendazole",
'20102013 STH Efficacy'!$AS:$AS,"&lt;2011",
'20102013 STH Efficacy'!$BP:$BP,""),
"")</f>
        <v/>
      </c>
      <c r="AW87" s="132">
        <f t="shared" si="16"/>
        <v>0.3538333333</v>
      </c>
      <c r="AX87" s="131" t="str">
        <f>IFERROR(AVERAGEIFS(
'20102013 STH Efficacy'!$AX:$AX, 
'20102013 STH Efficacy'!$AL:$AL, $A87, 
'20102013 STH Efficacy'!$AM:$AM, "Mebendazole",
'20102013 STH Efficacy'!$AS:$AS,"&lt;2011",
'20102013 STH Efficacy'!$BP:$BP,""),
"")</f>
        <v/>
      </c>
      <c r="AY87" s="132">
        <f t="shared" si="17"/>
        <v>0.5918333333</v>
      </c>
      <c r="AZ87" s="131" t="str">
        <f>IFERROR(AVERAGEIFS(
'20102013 STH Efficacy'!$AX:$AX, 
'20102013 STH Efficacy'!$AL:$AL, $A87, 
'20102013 STH Efficacy'!$AM:$AM, "Albendazole &amp; Ivermectin",
'20102013 STH Efficacy'!$AS:$AS,"&lt;2011",
'20102013 STH Efficacy'!$BP:$BP,""),
"")</f>
        <v/>
      </c>
      <c r="BA87" s="133">
        <f t="shared" si="18"/>
        <v>0.706</v>
      </c>
      <c r="BB87" s="134" t="str">
        <f>IFERROR(AVERAGEIFS(
'20102013 STH Efficacy'!$N:$N, 
'20102013 STH Efficacy'!$B:$B, $A87, 
'20102013 STH Efficacy'!$C:$C, "Albendazole",
'20102013 STH Efficacy'!$I:$I,"&lt;2011",
'20102013 STH Efficacy'!$AH:$AH,""),
"")</f>
        <v/>
      </c>
      <c r="BC87" s="135">
        <f t="shared" si="19"/>
        <v>0.9116666667</v>
      </c>
      <c r="BD87" s="134" t="str">
        <f>IFERROR(AVERAGEIFS(
'20102013 STH Efficacy'!$N:$N, 
'20102013 STH Efficacy'!$B:$B, $A87, 
'20102013 STH Efficacy'!$C:$C, "Mebendazole",
'20102013 STH Efficacy'!$I:$I,"&lt;2011",
'20102013 STH Efficacy'!$AH:$AH,""),
"")</f>
        <v/>
      </c>
      <c r="BE87" s="135">
        <f t="shared" si="20"/>
        <v>0.7092416667</v>
      </c>
      <c r="BF87" s="128" t="str">
        <f>IFERROR(AVERAGEIFS(
'20102013 STH Efficacy'!$CD:$CD, 
'20102013 STH Efficacy'!$BS:$BS, $A87, 
'20102013 STH Efficacy'!$BT:$BT, "Albendazole",
'20102013 STH Efficacy'!$BZ:$BZ,"&lt;2011",
'20102013 STH Efficacy'!$CU:$CU,""),
"")</f>
        <v/>
      </c>
      <c r="BG87" s="136">
        <f t="shared" si="21"/>
        <v>0.8656666667</v>
      </c>
      <c r="BH87" s="128" t="str">
        <f>IFERROR(AVERAGEIFS(
'20102013 STH Efficacy'!$CD:$CD, 
'20102013 STH Efficacy'!$BS:$BS, $A87, 
'20102013 STH Efficacy'!$BT:$BT, "Mebendazole",
'20102013 STH Efficacy'!$BZ:$BZ,"&lt;2011",
'20102013 STH Efficacy'!$CU:$CU,""),
"")</f>
        <v/>
      </c>
      <c r="BI87" s="136">
        <f t="shared" si="22"/>
        <v>0.9203333333</v>
      </c>
      <c r="BJ87" s="128" t="str">
        <f>IFERROR(AVERAGEIFS(
'20102013 STH Efficacy'!$CD:$CD, 
'20102013 STH Efficacy'!$BS:$BS, $A87, 
'20102013 STH Efficacy'!$BT:$BT, "Albendazole &amp; Ivermectin",
'20102013 STH Efficacy'!$BZ:$BZ,"&lt;2011",
'20102013 STH Efficacy'!$CU:$CU,""),
"")</f>
        <v/>
      </c>
      <c r="BK87" s="136">
        <f t="shared" si="23"/>
        <v>1</v>
      </c>
      <c r="BL87" s="137"/>
      <c r="BM87" s="137"/>
      <c r="BN87" s="138">
        <v>1.0</v>
      </c>
      <c r="BO87" s="139">
        <v>1.0</v>
      </c>
      <c r="BP87" s="140">
        <v>1.0</v>
      </c>
      <c r="BQ87" s="141">
        <f t="shared" si="24"/>
        <v>0</v>
      </c>
      <c r="BR87" s="104" t="str">
        <f t="shared" si="25"/>
        <v>1110</v>
      </c>
      <c r="BS87" s="104" t="str">
        <f t="shared" si="26"/>
        <v>MDA1+T2</v>
      </c>
      <c r="BT87" s="142" t="str">
        <f t="shared" si="27"/>
        <v>IVM+ALB</v>
      </c>
      <c r="BU87" s="104" t="str">
        <f t="shared" si="28"/>
        <v>PZQ</v>
      </c>
      <c r="BV87" s="104" t="str">
        <f t="shared" si="29"/>
        <v>lf+onch+schist </v>
      </c>
      <c r="BW87" s="150" t="str">
        <f t="shared" si="30"/>
        <v/>
      </c>
      <c r="BX87" s="150">
        <f t="shared" si="31"/>
        <v>625.445474</v>
      </c>
      <c r="BY87" s="162">
        <f t="shared" si="32"/>
        <v>6377.36936</v>
      </c>
      <c r="BZ87" s="152" t="str">
        <f t="shared" si="33"/>
        <v/>
      </c>
      <c r="CA87" s="152" t="str">
        <f t="shared" si="34"/>
        <v/>
      </c>
      <c r="CB87" s="152" t="str">
        <f t="shared" si="35"/>
        <v/>
      </c>
      <c r="CC87" s="153" t="str">
        <f t="shared" si="36"/>
        <v/>
      </c>
      <c r="CD87" s="153" t="str">
        <f t="shared" si="37"/>
        <v/>
      </c>
      <c r="CE87" s="154" t="str">
        <f t="shared" si="38"/>
        <v/>
      </c>
      <c r="CF87" s="154" t="str">
        <f t="shared" si="39"/>
        <v/>
      </c>
      <c r="CG87" s="154" t="str">
        <f t="shared" si="40"/>
        <v/>
      </c>
    </row>
    <row r="88">
      <c r="A88" s="155" t="s">
        <v>177</v>
      </c>
      <c r="B88" s="104" t="s">
        <v>92</v>
      </c>
      <c r="C88" s="105">
        <v>1555880.0</v>
      </c>
      <c r="D88" s="106">
        <v>3323.932689</v>
      </c>
      <c r="E88" s="107">
        <v>4383.072286</v>
      </c>
      <c r="F88" s="108">
        <v>0.290758506</v>
      </c>
      <c r="G88" s="108">
        <v>1.220592487</v>
      </c>
      <c r="H88" s="108">
        <v>1.511350993</v>
      </c>
      <c r="I88" s="109">
        <v>99.297819</v>
      </c>
      <c r="J88" s="109">
        <v>252.805891</v>
      </c>
      <c r="K88" s="109">
        <v>352.1037102</v>
      </c>
      <c r="L88" s="112">
        <v>1221.852443</v>
      </c>
      <c r="M88" s="112">
        <v>118.9922384</v>
      </c>
      <c r="N88" s="158">
        <v>1340.844681</v>
      </c>
      <c r="O88" s="159"/>
      <c r="P88" s="160">
        <v>1311741.0</v>
      </c>
      <c r="Q88" s="156"/>
      <c r="R88" s="115">
        <f t="shared" si="8"/>
        <v>0</v>
      </c>
      <c r="S88" s="116">
        <f t="shared" si="9"/>
        <v>0.1716437208</v>
      </c>
      <c r="T88" s="117"/>
      <c r="U88" s="118">
        <f t="shared" si="41"/>
        <v>0.252</v>
      </c>
      <c r="V88" s="119">
        <v>1.0</v>
      </c>
      <c r="W88" s="120">
        <f t="shared" si="10"/>
        <v>1</v>
      </c>
      <c r="X88" s="148"/>
      <c r="Y88" s="120">
        <f t="shared" si="11"/>
        <v>0.4342071429</v>
      </c>
      <c r="Z88" s="121"/>
      <c r="AA88" s="121"/>
      <c r="AB88" s="121"/>
      <c r="AC88" s="121"/>
      <c r="AD88" s="122">
        <v>0.0475</v>
      </c>
      <c r="AE88" s="123">
        <v>0.26</v>
      </c>
      <c r="AF88" s="123">
        <v>0.0247</v>
      </c>
      <c r="AG88" s="124">
        <v>0.0353</v>
      </c>
      <c r="AH88" s="124">
        <v>0.055779577</v>
      </c>
      <c r="AI88" s="125">
        <v>0.0868</v>
      </c>
      <c r="AJ88" s="125">
        <v>0.138596935</v>
      </c>
      <c r="AK88" s="127">
        <v>0.02</v>
      </c>
      <c r="AL88" s="127">
        <v>0.036125228</v>
      </c>
      <c r="AM88" s="128"/>
      <c r="AN88" s="149" t="str">
        <f>IFERROR(
  AVERAGEIFS(
    'New 20102013 LF Efficacy'!$J:$J,
    'New 20102013 LF Efficacy'!$D:$D, $A88,
    'New 20102013 LF Efficacy'!$F:$F,"DEC", 
    'New 20102013 LF Efficacy'!$W:$W,"&lt;2011",
    'New 20102013 LF Efficacy'!$AA:$AA,""),
  ""
)</f>
        <v/>
      </c>
      <c r="AO88" s="115">
        <f t="shared" si="12"/>
        <v>0.31225</v>
      </c>
      <c r="AP88" s="121" t="str">
        <f>IFERROR(
AVERAGEIFS(
'New 20102013 LF Efficacy'!$J:$J,
'New 20102013 LF Efficacy'!$D:$D,$A88,
'New 20102013 LF Efficacy'!$F:$F,"Albendazole &amp; DEC",
'New 20102013 LF Efficacy'!$W:$W,"&lt;2011",
'New 20102013 LF Efficacy'!$AA:$AA,""),
"")
</f>
        <v/>
      </c>
      <c r="AQ88" s="115">
        <f t="shared" si="13"/>
        <v>0.4</v>
      </c>
      <c r="AR88" s="121" t="str">
        <f>IFERROR(
AVERAGEIFS(
'New 20102013 LF Efficacy'!$J:$J,
'New 20102013 LF Efficacy'!$D:$D,$A88,
'New 20102013 LF Efficacy'!$F:$F,"Albendazole &amp; Ivermectin", 
'New 20102013 LF Efficacy'!$W:$W,"&lt;2011",
'New 20102013 LF Efficacy'!$AA:$AA,""),"")</f>
        <v/>
      </c>
      <c r="AS88" s="115">
        <f t="shared" si="14"/>
        <v>0.2943125</v>
      </c>
      <c r="AT88" s="130" t="str">
        <f>IFERROR(AVERAGEIFS(
'20102013 Schist Efficacy'!$O:$O, 
'20102013 Schist Efficacy'!$C:$C,$A88, 
'20102013 Schist Efficacy'!$D:$D, "Praziquantel",
'20102013 Schist Efficacy'!$J:$J,"&lt;2011",
'20102013 Schist Efficacy'!$U:$U,""),
"")</f>
        <v/>
      </c>
      <c r="AU88" s="118">
        <f t="shared" si="15"/>
        <v>0.6444020147</v>
      </c>
      <c r="AV88" s="131" t="str">
        <f>IFERROR(AVERAGEIFS(
'20102013 STH Efficacy'!$AX:$AX, 
'20102013 STH Efficacy'!$AL:$AL, $A88, 
'20102013 STH Efficacy'!$AM:$AM, "Albendazole",
'20102013 STH Efficacy'!$AS:$AS,"&lt;2011",
'20102013 STH Efficacy'!$BP:$BP,""),
"")</f>
        <v/>
      </c>
      <c r="AW88" s="132">
        <f t="shared" si="16"/>
        <v>0.3538333333</v>
      </c>
      <c r="AX88" s="131" t="str">
        <f>IFERROR(AVERAGEIFS(
'20102013 STH Efficacy'!$AX:$AX, 
'20102013 STH Efficacy'!$AL:$AL, $A88, 
'20102013 STH Efficacy'!$AM:$AM, "Mebendazole",
'20102013 STH Efficacy'!$AS:$AS,"&lt;2011",
'20102013 STH Efficacy'!$BP:$BP,""),
"")</f>
        <v/>
      </c>
      <c r="AY88" s="132">
        <f t="shared" si="17"/>
        <v>0.5918333333</v>
      </c>
      <c r="AZ88" s="131" t="str">
        <f>IFERROR(AVERAGEIFS(
'20102013 STH Efficacy'!$AX:$AX, 
'20102013 STH Efficacy'!$AL:$AL, $A88, 
'20102013 STH Efficacy'!$AM:$AM, "Albendazole &amp; Ivermectin",
'20102013 STH Efficacy'!$AS:$AS,"&lt;2011",
'20102013 STH Efficacy'!$BP:$BP,""),
"")</f>
        <v/>
      </c>
      <c r="BA88" s="133">
        <f t="shared" si="18"/>
        <v>0.706</v>
      </c>
      <c r="BB88" s="134" t="str">
        <f>IFERROR(AVERAGEIFS(
'20102013 STH Efficacy'!$N:$N, 
'20102013 STH Efficacy'!$B:$B, $A88, 
'20102013 STH Efficacy'!$C:$C, "Albendazole",
'20102013 STH Efficacy'!$I:$I,"&lt;2011",
'20102013 STH Efficacy'!$AH:$AH,""),
"")</f>
        <v/>
      </c>
      <c r="BC88" s="135">
        <f t="shared" si="19"/>
        <v>0.9116666667</v>
      </c>
      <c r="BD88" s="134" t="str">
        <f>IFERROR(AVERAGEIFS(
'20102013 STH Efficacy'!$N:$N, 
'20102013 STH Efficacy'!$B:$B, $A88, 
'20102013 STH Efficacy'!$C:$C, "Mebendazole",
'20102013 STH Efficacy'!$I:$I,"&lt;2011",
'20102013 STH Efficacy'!$AH:$AH,""),
"")</f>
        <v/>
      </c>
      <c r="BE88" s="135">
        <f t="shared" si="20"/>
        <v>0.7092416667</v>
      </c>
      <c r="BF88" s="128" t="str">
        <f>IFERROR(AVERAGEIFS(
'20102013 STH Efficacy'!$CD:$CD, 
'20102013 STH Efficacy'!$BS:$BS, $A88, 
'20102013 STH Efficacy'!$BT:$BT, "Albendazole",
'20102013 STH Efficacy'!$BZ:$BZ,"&lt;2011",
'20102013 STH Efficacy'!$CU:$CU,""),
"")</f>
        <v/>
      </c>
      <c r="BG88" s="136">
        <f t="shared" si="21"/>
        <v>0.8656666667</v>
      </c>
      <c r="BH88" s="128" t="str">
        <f>IFERROR(AVERAGEIFS(
'20102013 STH Efficacy'!$CD:$CD, 
'20102013 STH Efficacy'!$BS:$BS, $A88, 
'20102013 STH Efficacy'!$BT:$BT, "Mebendazole",
'20102013 STH Efficacy'!$BZ:$BZ,"&lt;2011",
'20102013 STH Efficacy'!$CU:$CU,""),
"")</f>
        <v/>
      </c>
      <c r="BI88" s="136">
        <f t="shared" si="22"/>
        <v>0.9203333333</v>
      </c>
      <c r="BJ88" s="128" t="str">
        <f>IFERROR(AVERAGEIFS(
'20102013 STH Efficacy'!$CD:$CD, 
'20102013 STH Efficacy'!$BS:$BS, $A88, 
'20102013 STH Efficacy'!$BT:$BT, "Albendazole &amp; Ivermectin",
'20102013 STH Efficacy'!$BZ:$BZ,"&lt;2011",
'20102013 STH Efficacy'!$CU:$CU,""),
"")</f>
        <v/>
      </c>
      <c r="BK88" s="136">
        <f t="shared" si="23"/>
        <v>1</v>
      </c>
      <c r="BL88" s="137"/>
      <c r="BM88" s="137"/>
      <c r="BN88" s="138">
        <v>1.0</v>
      </c>
      <c r="BO88" s="139">
        <v>1.0</v>
      </c>
      <c r="BP88" s="140">
        <v>1.0</v>
      </c>
      <c r="BQ88" s="141">
        <f t="shared" si="24"/>
        <v>0</v>
      </c>
      <c r="BR88" s="104" t="str">
        <f t="shared" si="25"/>
        <v>1110</v>
      </c>
      <c r="BS88" s="104" t="str">
        <f t="shared" si="26"/>
        <v>MDA1+T2</v>
      </c>
      <c r="BT88" s="142" t="str">
        <f t="shared" si="27"/>
        <v>IVM+ALB</v>
      </c>
      <c r="BU88" s="104" t="str">
        <f t="shared" si="28"/>
        <v>PZQ</v>
      </c>
      <c r="BV88" s="104" t="str">
        <f t="shared" si="29"/>
        <v>lf+onch+schist </v>
      </c>
      <c r="BW88" s="150" t="str">
        <f t="shared" si="30"/>
        <v/>
      </c>
      <c r="BX88" s="150">
        <f t="shared" si="31"/>
        <v>176.8485919</v>
      </c>
      <c r="BY88" s="162">
        <f t="shared" si="32"/>
        <v>849.7552391</v>
      </c>
      <c r="BZ88" s="152" t="str">
        <f t="shared" si="33"/>
        <v/>
      </c>
      <c r="CA88" s="152" t="str">
        <f t="shared" si="34"/>
        <v/>
      </c>
      <c r="CB88" s="152" t="str">
        <f t="shared" si="35"/>
        <v/>
      </c>
      <c r="CC88" s="153" t="str">
        <f t="shared" si="36"/>
        <v/>
      </c>
      <c r="CD88" s="153" t="str">
        <f t="shared" si="37"/>
        <v/>
      </c>
      <c r="CE88" s="154" t="str">
        <f t="shared" si="38"/>
        <v/>
      </c>
      <c r="CF88" s="154" t="str">
        <f t="shared" si="39"/>
        <v/>
      </c>
      <c r="CG88" s="154" t="str">
        <f t="shared" si="40"/>
        <v/>
      </c>
    </row>
    <row r="89">
      <c r="A89" s="103" t="s">
        <v>178</v>
      </c>
      <c r="B89" s="104" t="s">
        <v>98</v>
      </c>
      <c r="C89" s="105">
        <v>746556.0</v>
      </c>
      <c r="D89" s="106">
        <v>1570.13183</v>
      </c>
      <c r="E89" s="107">
        <v>0.0</v>
      </c>
      <c r="F89" s="108">
        <v>0.541702707</v>
      </c>
      <c r="G89" s="108">
        <v>3.70684743</v>
      </c>
      <c r="H89" s="108">
        <v>4.248550137</v>
      </c>
      <c r="I89" s="109">
        <v>4.63278332</v>
      </c>
      <c r="J89" s="109">
        <v>18.6873609</v>
      </c>
      <c r="K89" s="109">
        <v>23.32014421</v>
      </c>
      <c r="L89" s="112">
        <v>14.24701654</v>
      </c>
      <c r="M89" s="112">
        <v>21.25391422</v>
      </c>
      <c r="N89" s="158">
        <v>35.50093076</v>
      </c>
      <c r="O89" s="159"/>
      <c r="P89" s="160">
        <v>690869.0</v>
      </c>
      <c r="Q89" s="160">
        <v>43029.0</v>
      </c>
      <c r="R89" s="115">
        <f t="shared" si="8"/>
        <v>0.06228242981</v>
      </c>
      <c r="S89" s="116">
        <f t="shared" si="9"/>
        <v>0.06228242981</v>
      </c>
      <c r="T89" s="117"/>
      <c r="U89" s="118">
        <f t="shared" si="41"/>
        <v>0.39435</v>
      </c>
      <c r="V89" s="119">
        <v>0.2359</v>
      </c>
      <c r="W89" s="120">
        <f t="shared" si="10"/>
        <v>0.2359</v>
      </c>
      <c r="X89" s="119">
        <v>0.3145</v>
      </c>
      <c r="Y89" s="120">
        <f t="shared" si="11"/>
        <v>0.3145</v>
      </c>
      <c r="Z89" s="121"/>
      <c r="AA89" s="121"/>
      <c r="AB89" s="121"/>
      <c r="AC89" s="121"/>
      <c r="AD89" s="122">
        <v>0.0505</v>
      </c>
      <c r="AE89" s="123">
        <v>0.0</v>
      </c>
      <c r="AF89" s="123">
        <v>0.0</v>
      </c>
      <c r="AG89" s="124">
        <v>0.073</v>
      </c>
      <c r="AH89" s="124">
        <v>0.111476473</v>
      </c>
      <c r="AI89" s="125">
        <v>0.024</v>
      </c>
      <c r="AJ89" s="125">
        <v>0.034900714</v>
      </c>
      <c r="AK89" s="127">
        <v>0.1</v>
      </c>
      <c r="AL89" s="169">
        <v>0.150459931</v>
      </c>
      <c r="AM89" s="128"/>
      <c r="AN89" s="149" t="str">
        <f>IFERROR(
  AVERAGEIFS(
    'New 20102013 LF Efficacy'!$J:$J,
    'New 20102013 LF Efficacy'!$D:$D, $A89,
    'New 20102013 LF Efficacy'!$F:$F,"DEC", 
    'New 20102013 LF Efficacy'!$W:$W,"&lt;2011",
    'New 20102013 LF Efficacy'!$AA:$AA,""),
  ""
)</f>
        <v/>
      </c>
      <c r="AO89" s="115">
        <f t="shared" si="12"/>
        <v>0.2589833333</v>
      </c>
      <c r="AP89" s="121" t="str">
        <f>IFERROR(
AVERAGEIFS(
'New 20102013 LF Efficacy'!$J:$J,
'New 20102013 LF Efficacy'!$D:$D,$A89,
'New 20102013 LF Efficacy'!$F:$F,"Albendazole &amp; DEC",
'New 20102013 LF Efficacy'!$W:$W,"&lt;2011",
'New 20102013 LF Efficacy'!$AA:$AA,""),
"")
</f>
        <v/>
      </c>
      <c r="AQ89" s="115">
        <f t="shared" si="13"/>
        <v>0.3465</v>
      </c>
      <c r="AR89" s="121" t="str">
        <f>IFERROR(
AVERAGEIFS(
'New 20102013 LF Efficacy'!$J:$J,
'New 20102013 LF Efficacy'!$D:$D,$A89,
'New 20102013 LF Efficacy'!$F:$F,"Albendazole &amp; Ivermectin", 
'New 20102013 LF Efficacy'!$W:$W,"&lt;2011",
'New 20102013 LF Efficacy'!$AA:$AA,""),"")</f>
        <v/>
      </c>
      <c r="AS89" s="115">
        <f t="shared" si="14"/>
        <v>0.7575</v>
      </c>
      <c r="AT89" s="130" t="str">
        <f>IFERROR(AVERAGEIFS(
'20102013 Schist Efficacy'!$O:$O, 
'20102013 Schist Efficacy'!$C:$C,$A89, 
'20102013 Schist Efficacy'!$D:$D, "Praziquantel",
'20102013 Schist Efficacy'!$J:$J,"&lt;2011",
'20102013 Schist Efficacy'!$U:$U,""),
"")</f>
        <v/>
      </c>
      <c r="AU89" s="118">
        <f t="shared" si="15"/>
        <v>0.7732631579</v>
      </c>
      <c r="AV89" s="131" t="str">
        <f>IFERROR(AVERAGEIFS(
'20102013 STH Efficacy'!$AX:$AX, 
'20102013 STH Efficacy'!$AL:$AL, $A89, 
'20102013 STH Efficacy'!$AM:$AM, "Albendazole",
'20102013 STH Efficacy'!$AS:$AS,"&lt;2011",
'20102013 STH Efficacy'!$BP:$BP,""),
"")</f>
        <v/>
      </c>
      <c r="AW89" s="132">
        <f t="shared" si="16"/>
        <v>0.3945</v>
      </c>
      <c r="AX89" s="131" t="str">
        <f>IFERROR(AVERAGEIFS(
'20102013 STH Efficacy'!$AX:$AX, 
'20102013 STH Efficacy'!$AL:$AL, $A89, 
'20102013 STH Efficacy'!$AM:$AM, "Mebendazole",
'20102013 STH Efficacy'!$AS:$AS,"&lt;2011",
'20102013 STH Efficacy'!$BP:$BP,""),
"")</f>
        <v/>
      </c>
      <c r="AY89" s="132">
        <f t="shared" si="17"/>
        <v>0.6</v>
      </c>
      <c r="AZ89" s="131" t="str">
        <f>IFERROR(AVERAGEIFS(
'20102013 STH Efficacy'!$AX:$AX, 
'20102013 STH Efficacy'!$AL:$AL, $A89, 
'20102013 STH Efficacy'!$AM:$AM, "Albendazole &amp; Ivermectin",
'20102013 STH Efficacy'!$AS:$AS,"&lt;2011",
'20102013 STH Efficacy'!$BP:$BP,""),
"")</f>
        <v/>
      </c>
      <c r="BA89" s="133">
        <f t="shared" si="18"/>
        <v>0.796</v>
      </c>
      <c r="BB89" s="134" t="str">
        <f>IFERROR(AVERAGEIFS(
'20102013 STH Efficacy'!$N:$N, 
'20102013 STH Efficacy'!$B:$B, $A89, 
'20102013 STH Efficacy'!$C:$C, "Albendazole",
'20102013 STH Efficacy'!$I:$I,"&lt;2011",
'20102013 STH Efficacy'!$AH:$AH,""),
"")</f>
        <v/>
      </c>
      <c r="BC89" s="135">
        <f t="shared" si="19"/>
        <v>0.869</v>
      </c>
      <c r="BD89" s="134" t="str">
        <f>IFERROR(AVERAGEIFS(
'20102013 STH Efficacy'!$N:$N, 
'20102013 STH Efficacy'!$B:$B, $A89, 
'20102013 STH Efficacy'!$C:$C, "Mebendazole",
'20102013 STH Efficacy'!$I:$I,"&lt;2011",
'20102013 STH Efficacy'!$AH:$AH,""),
"")</f>
        <v/>
      </c>
      <c r="BE89" s="135">
        <f t="shared" si="20"/>
        <v>0.172</v>
      </c>
      <c r="BF89" s="128" t="str">
        <f>IFERROR(AVERAGEIFS(
'20102013 STH Efficacy'!$CD:$CD, 
'20102013 STH Efficacy'!$BS:$BS, $A89, 
'20102013 STH Efficacy'!$BT:$BT, "Albendazole",
'20102013 STH Efficacy'!$BZ:$BZ,"&lt;2011",
'20102013 STH Efficacy'!$CU:$CU,""),
"")</f>
        <v/>
      </c>
      <c r="BG89" s="136">
        <f t="shared" si="21"/>
        <v>0.9862</v>
      </c>
      <c r="BH89" s="128" t="str">
        <f>IFERROR(AVERAGEIFS(
'20102013 STH Efficacy'!$CD:$CD, 
'20102013 STH Efficacy'!$BS:$BS, $A89, 
'20102013 STH Efficacy'!$BT:$BT, "Mebendazole",
'20102013 STH Efficacy'!$BZ:$BZ,"&lt;2011",
'20102013 STH Efficacy'!$CU:$CU,""),
"")</f>
        <v/>
      </c>
      <c r="BI89" s="136">
        <f t="shared" si="22"/>
        <v>0.769</v>
      </c>
      <c r="BJ89" s="128" t="str">
        <f>IFERROR(AVERAGEIFS(
'20102013 STH Efficacy'!$CD:$CD, 
'20102013 STH Efficacy'!$BS:$BS, $A89, 
'20102013 STH Efficacy'!$BT:$BT, "Albendazole &amp; Ivermectin",
'20102013 STH Efficacy'!$BZ:$BZ,"&lt;2011",
'20102013 STH Efficacy'!$CU:$CU,""),
"")</f>
        <v/>
      </c>
      <c r="BK89" s="136">
        <f t="shared" si="23"/>
        <v>1</v>
      </c>
      <c r="BL89" s="137"/>
      <c r="BM89" s="137"/>
      <c r="BN89" s="138">
        <v>1.0</v>
      </c>
      <c r="BO89" s="139">
        <v>0.0</v>
      </c>
      <c r="BP89" s="140">
        <v>0.0</v>
      </c>
      <c r="BQ89" s="141">
        <f t="shared" si="24"/>
        <v>0</v>
      </c>
      <c r="BR89" s="104" t="str">
        <f t="shared" si="25"/>
        <v>1000</v>
      </c>
      <c r="BS89" s="104" t="str">
        <f t="shared" si="26"/>
        <v>MDA1/2</v>
      </c>
      <c r="BT89" s="142" t="str">
        <f t="shared" si="27"/>
        <v>DEC+ALB</v>
      </c>
      <c r="BU89" s="104" t="str">
        <f t="shared" si="28"/>
        <v/>
      </c>
      <c r="BV89" s="104" t="str">
        <f t="shared" si="29"/>
        <v>lf only</v>
      </c>
      <c r="BW89" s="150">
        <f t="shared" si="30"/>
        <v>34.63219076</v>
      </c>
      <c r="BX89" s="150" t="str">
        <f t="shared" si="31"/>
        <v/>
      </c>
      <c r="BY89" s="151" t="str">
        <f t="shared" si="32"/>
        <v/>
      </c>
      <c r="BZ89" s="152" t="str">
        <f t="shared" si="33"/>
        <v/>
      </c>
      <c r="CA89" s="152" t="str">
        <f t="shared" si="34"/>
        <v/>
      </c>
      <c r="CB89" s="152" t="str">
        <f t="shared" si="35"/>
        <v/>
      </c>
      <c r="CC89" s="153" t="str">
        <f t="shared" si="36"/>
        <v/>
      </c>
      <c r="CD89" s="153" t="str">
        <f t="shared" si="37"/>
        <v/>
      </c>
      <c r="CE89" s="154" t="str">
        <f t="shared" si="38"/>
        <v/>
      </c>
      <c r="CF89" s="154" t="str">
        <f t="shared" si="39"/>
        <v/>
      </c>
      <c r="CG89" s="154" t="str">
        <f t="shared" si="40"/>
        <v/>
      </c>
    </row>
    <row r="90">
      <c r="A90" s="103" t="s">
        <v>179</v>
      </c>
      <c r="B90" s="104" t="s">
        <v>98</v>
      </c>
      <c r="C90" s="105">
        <v>9999617.0</v>
      </c>
      <c r="D90" s="106">
        <v>32396.96757</v>
      </c>
      <c r="E90" s="107">
        <v>0.0</v>
      </c>
      <c r="F90" s="108">
        <v>2.122276946</v>
      </c>
      <c r="G90" s="108">
        <v>9.208980843</v>
      </c>
      <c r="H90" s="108">
        <v>11.33125779</v>
      </c>
      <c r="I90" s="109">
        <v>60.4178494</v>
      </c>
      <c r="J90" s="109">
        <v>152.727119</v>
      </c>
      <c r="K90" s="110">
        <v>213.1449684</v>
      </c>
      <c r="L90" s="111">
        <v>1012.800901</v>
      </c>
      <c r="M90" s="112">
        <v>237.6405749</v>
      </c>
      <c r="N90" s="158">
        <v>1250.441476</v>
      </c>
      <c r="O90" s="159"/>
      <c r="P90" s="160">
        <v>9197056.0</v>
      </c>
      <c r="Q90" s="160">
        <v>3947635.0</v>
      </c>
      <c r="R90" s="115">
        <f t="shared" si="8"/>
        <v>0.4292281139</v>
      </c>
      <c r="S90" s="116">
        <f t="shared" si="9"/>
        <v>0.4292281139</v>
      </c>
      <c r="T90" s="117"/>
      <c r="U90" s="118">
        <f t="shared" si="41"/>
        <v>0.39435</v>
      </c>
      <c r="V90" s="119">
        <v>0.306</v>
      </c>
      <c r="W90" s="120">
        <f t="shared" si="10"/>
        <v>0.306</v>
      </c>
      <c r="X90" s="119">
        <v>0.4159</v>
      </c>
      <c r="Y90" s="120">
        <f t="shared" si="11"/>
        <v>0.4159</v>
      </c>
      <c r="Z90" s="121"/>
      <c r="AA90" s="121"/>
      <c r="AB90" s="121"/>
      <c r="AC90" s="121"/>
      <c r="AD90" s="122">
        <v>0.0879</v>
      </c>
      <c r="AE90" s="123">
        <v>0.0</v>
      </c>
      <c r="AF90" s="123">
        <v>0.0</v>
      </c>
      <c r="AG90" s="124">
        <v>0.023</v>
      </c>
      <c r="AH90" s="124">
        <v>0.037214688</v>
      </c>
      <c r="AI90" s="125">
        <v>0.0135</v>
      </c>
      <c r="AJ90" s="125">
        <v>0.02196988</v>
      </c>
      <c r="AK90" s="127">
        <v>0.05</v>
      </c>
      <c r="AL90" s="169">
        <v>0.081377179</v>
      </c>
      <c r="AM90" s="128"/>
      <c r="AN90" s="149">
        <f>IFERROR(
  AVERAGEIFS(
    'New 20102013 LF Efficacy'!$J:$J,
    'New 20102013 LF Efficacy'!$D:$D, $A90,
    'New 20102013 LF Efficacy'!$F:$F,"DEC", 
    'New 20102013 LF Efficacy'!$W:$W,"&lt;2011",
    'New 20102013 LF Efficacy'!$AA:$AA,""),
  ""
)</f>
        <v>0.09196666667</v>
      </c>
      <c r="AO90" s="115">
        <f t="shared" si="12"/>
        <v>0.09196666667</v>
      </c>
      <c r="AP90" s="121">
        <f>IFERROR(
AVERAGEIFS(
'New 20102013 LF Efficacy'!$J:$J,
'New 20102013 LF Efficacy'!$D:$D,$A90,
'New 20102013 LF Efficacy'!$F:$F,"Albendazole &amp; DEC",
'New 20102013 LF Efficacy'!$W:$W,"&lt;2011",
'New 20102013 LF Efficacy'!$AA:$AA,""),
"")
</f>
        <v>0.114</v>
      </c>
      <c r="AQ90" s="115">
        <f t="shared" si="13"/>
        <v>0.114</v>
      </c>
      <c r="AR90" s="121">
        <f>IFERROR(
AVERAGEIFS(
'New 20102013 LF Efficacy'!$J:$J,
'New 20102013 LF Efficacy'!$D:$D,$A90,
'New 20102013 LF Efficacy'!$F:$F,"Albendazole &amp; Ivermectin", 
'New 20102013 LF Efficacy'!$W:$W,"&lt;2011",
'New 20102013 LF Efficacy'!$AA:$AA,""),"")</f>
        <v>0.7575</v>
      </c>
      <c r="AS90" s="115">
        <f t="shared" si="14"/>
        <v>0.7575</v>
      </c>
      <c r="AT90" s="130" t="str">
        <f>IFERROR(AVERAGEIFS(
'20102013 Schist Efficacy'!$O:$O, 
'20102013 Schist Efficacy'!$C:$C,$A90, 
'20102013 Schist Efficacy'!$D:$D, "Praziquantel",
'20102013 Schist Efficacy'!$J:$J,"&lt;2011",
'20102013 Schist Efficacy'!$U:$U,""),
"")</f>
        <v/>
      </c>
      <c r="AU90" s="118">
        <f t="shared" si="15"/>
        <v>0.7732631579</v>
      </c>
      <c r="AV90" s="131">
        <f>IFERROR(AVERAGEIFS(
'20102013 STH Efficacy'!$AX:$AX, 
'20102013 STH Efficacy'!$AL:$AL, $A90, 
'20102013 STH Efficacy'!$AM:$AM, "Albendazole",
'20102013 STH Efficacy'!$AS:$AS,"&lt;2011",
'20102013 STH Efficacy'!$BP:$BP,""),
"")</f>
        <v>0.456</v>
      </c>
      <c r="AW90" s="132">
        <f t="shared" si="16"/>
        <v>0.456</v>
      </c>
      <c r="AX90" s="131" t="str">
        <f>IFERROR(AVERAGEIFS(
'20102013 STH Efficacy'!$AX:$AX, 
'20102013 STH Efficacy'!$AL:$AL, $A90, 
'20102013 STH Efficacy'!$AM:$AM, "Mebendazole",
'20102013 STH Efficacy'!$AS:$AS,"&lt;2011",
'20102013 STH Efficacy'!$BP:$BP,""),
"")</f>
        <v/>
      </c>
      <c r="AY90" s="132">
        <f t="shared" si="17"/>
        <v>0.6</v>
      </c>
      <c r="AZ90" s="131">
        <f>IFERROR(AVERAGEIFS(
'20102013 STH Efficacy'!$AX:$AX, 
'20102013 STH Efficacy'!$AL:$AL, $A90, 
'20102013 STH Efficacy'!$AM:$AM, "Albendazole &amp; Ivermectin",
'20102013 STH Efficacy'!$AS:$AS,"&lt;2011",
'20102013 STH Efficacy'!$BP:$BP,""),
"")</f>
        <v>0.796</v>
      </c>
      <c r="BA90" s="133">
        <f t="shared" si="18"/>
        <v>0.796</v>
      </c>
      <c r="BB90" s="134">
        <f>IFERROR(AVERAGEIFS(
'20102013 STH Efficacy'!$N:$N, 
'20102013 STH Efficacy'!$B:$B, $A90, 
'20102013 STH Efficacy'!$C:$C, "Albendazole",
'20102013 STH Efficacy'!$I:$I,"&lt;2011",
'20102013 STH Efficacy'!$AH:$AH,""),
"")</f>
        <v>0.92</v>
      </c>
      <c r="BC90" s="135">
        <f t="shared" si="19"/>
        <v>0.92</v>
      </c>
      <c r="BD90" s="134" t="str">
        <f>IFERROR(AVERAGEIFS(
'20102013 STH Efficacy'!$N:$N, 
'20102013 STH Efficacy'!$B:$B, $A90, 
'20102013 STH Efficacy'!$C:$C, "Mebendazole",
'20102013 STH Efficacy'!$I:$I,"&lt;2011",
'20102013 STH Efficacy'!$AH:$AH,""),
"")</f>
        <v/>
      </c>
      <c r="BE90" s="135">
        <f t="shared" si="20"/>
        <v>0.172</v>
      </c>
      <c r="BF90" s="128">
        <f>IFERROR(AVERAGEIFS(
'20102013 STH Efficacy'!$CD:$CD, 
'20102013 STH Efficacy'!$BS:$BS, $A90, 
'20102013 STH Efficacy'!$BT:$BT, "Albendazole",
'20102013 STH Efficacy'!$BZ:$BZ,"&lt;2011",
'20102013 STH Efficacy'!$CU:$CU,""),
"")</f>
        <v>0.9764</v>
      </c>
      <c r="BG90" s="136">
        <f t="shared" si="21"/>
        <v>0.9764</v>
      </c>
      <c r="BH90" s="128" t="str">
        <f>IFERROR(AVERAGEIFS(
'20102013 STH Efficacy'!$CD:$CD, 
'20102013 STH Efficacy'!$BS:$BS, $A90, 
'20102013 STH Efficacy'!$BT:$BT, "Mebendazole",
'20102013 STH Efficacy'!$BZ:$BZ,"&lt;2011",
'20102013 STH Efficacy'!$CU:$CU,""),
"")</f>
        <v/>
      </c>
      <c r="BI90" s="136">
        <f t="shared" si="22"/>
        <v>0.769</v>
      </c>
      <c r="BJ90" s="128">
        <f>IFERROR(AVERAGEIFS(
'20102013 STH Efficacy'!$CD:$CD, 
'20102013 STH Efficacy'!$BS:$BS, $A90, 
'20102013 STH Efficacy'!$BT:$BT, "Albendazole &amp; Ivermectin",
'20102013 STH Efficacy'!$BZ:$BZ,"&lt;2011",
'20102013 STH Efficacy'!$CU:$CU,""),
"")</f>
        <v>1</v>
      </c>
      <c r="BK90" s="136">
        <f t="shared" si="23"/>
        <v>1</v>
      </c>
      <c r="BL90" s="137"/>
      <c r="BM90" s="137"/>
      <c r="BN90" s="138">
        <v>1.0</v>
      </c>
      <c r="BO90" s="139">
        <v>0.0</v>
      </c>
      <c r="BP90" s="140">
        <v>0.0</v>
      </c>
      <c r="BQ90" s="141">
        <f t="shared" si="24"/>
        <v>0</v>
      </c>
      <c r="BR90" s="104" t="str">
        <f t="shared" si="25"/>
        <v>1000</v>
      </c>
      <c r="BS90" s="104" t="str">
        <f t="shared" si="26"/>
        <v>MDA1/2</v>
      </c>
      <c r="BT90" s="142" t="str">
        <f t="shared" si="27"/>
        <v>DEC+ALB</v>
      </c>
      <c r="BU90" s="104" t="str">
        <f t="shared" si="28"/>
        <v/>
      </c>
      <c r="BV90" s="104" t="str">
        <f t="shared" si="29"/>
        <v>lf only</v>
      </c>
      <c r="BW90" s="150">
        <f t="shared" si="30"/>
        <v>1666.808879</v>
      </c>
      <c r="BX90" s="150" t="str">
        <f t="shared" si="31"/>
        <v/>
      </c>
      <c r="BY90" s="151" t="str">
        <f t="shared" si="32"/>
        <v/>
      </c>
      <c r="BZ90" s="152" t="str">
        <f t="shared" si="33"/>
        <v/>
      </c>
      <c r="CA90" s="152" t="str">
        <f t="shared" si="34"/>
        <v/>
      </c>
      <c r="CB90" s="152" t="str">
        <f t="shared" si="35"/>
        <v/>
      </c>
      <c r="CC90" s="153" t="str">
        <f t="shared" si="36"/>
        <v/>
      </c>
      <c r="CD90" s="153" t="str">
        <f t="shared" si="37"/>
        <v/>
      </c>
      <c r="CE90" s="154" t="str">
        <f t="shared" si="38"/>
        <v/>
      </c>
      <c r="CF90" s="154" t="str">
        <f t="shared" si="39"/>
        <v/>
      </c>
      <c r="CG90" s="154" t="str">
        <f t="shared" si="40"/>
        <v/>
      </c>
    </row>
    <row r="91">
      <c r="A91" s="103" t="s">
        <v>180</v>
      </c>
      <c r="B91" s="104" t="s">
        <v>98</v>
      </c>
      <c r="C91" s="105">
        <v>8194778.0</v>
      </c>
      <c r="D91" s="106">
        <v>0.0</v>
      </c>
      <c r="E91" s="107">
        <v>0.0</v>
      </c>
      <c r="F91" s="157">
        <v>166.4186672</v>
      </c>
      <c r="G91" s="157">
        <v>749.6569777</v>
      </c>
      <c r="H91" s="157">
        <v>916.0756449</v>
      </c>
      <c r="I91" s="110">
        <v>73.0092515</v>
      </c>
      <c r="J91" s="110">
        <v>182.649895</v>
      </c>
      <c r="K91" s="110">
        <v>255.6591464</v>
      </c>
      <c r="L91" s="111">
        <v>442.0560292</v>
      </c>
      <c r="M91" s="111">
        <v>490.6945265</v>
      </c>
      <c r="N91" s="112">
        <v>932.7505557</v>
      </c>
      <c r="O91" s="113"/>
      <c r="P91" s="114"/>
      <c r="Q91" s="114"/>
      <c r="R91" s="115" t="str">
        <f t="shared" si="8"/>
        <v/>
      </c>
      <c r="S91" s="116">
        <f t="shared" si="9"/>
        <v>0.14553293</v>
      </c>
      <c r="T91" s="117"/>
      <c r="U91" s="118">
        <f t="shared" si="41"/>
        <v>0.39435</v>
      </c>
      <c r="V91" s="148"/>
      <c r="W91" s="120">
        <f t="shared" si="10"/>
        <v>0.3616</v>
      </c>
      <c r="X91" s="119">
        <v>0.7123</v>
      </c>
      <c r="Y91" s="120">
        <f t="shared" si="11"/>
        <v>0.7123</v>
      </c>
      <c r="Z91" s="114"/>
      <c r="AA91" s="114"/>
      <c r="AB91" s="114"/>
      <c r="AC91" s="114"/>
      <c r="AD91" s="164">
        <v>0.0</v>
      </c>
      <c r="AE91" s="123">
        <v>0.0</v>
      </c>
      <c r="AF91" s="123">
        <v>0.0</v>
      </c>
      <c r="AG91" s="124">
        <v>0.2158</v>
      </c>
      <c r="AH91" s="124">
        <v>0.289378264</v>
      </c>
      <c r="AI91" s="125">
        <v>0.0332</v>
      </c>
      <c r="AJ91" s="125">
        <v>0.037228704</v>
      </c>
      <c r="AK91" s="126">
        <v>0.0</v>
      </c>
      <c r="AL91" s="169">
        <v>0.228964758</v>
      </c>
      <c r="AM91" s="128"/>
      <c r="AN91" s="149" t="str">
        <f>IFERROR(
  AVERAGEIFS(
    'New 20102013 LF Efficacy'!$J:$J,
    'New 20102013 LF Efficacy'!$D:$D, $A91,
    'New 20102013 LF Efficacy'!$F:$F,"DEC", 
    'New 20102013 LF Efficacy'!$W:$W,"&lt;2011",
    'New 20102013 LF Efficacy'!$AA:$AA,""),
  ""
)</f>
        <v/>
      </c>
      <c r="AO91" s="115">
        <f t="shared" si="12"/>
        <v>0.2589833333</v>
      </c>
      <c r="AP91" s="121" t="str">
        <f>IFERROR(
AVERAGEIFS(
'New 20102013 LF Efficacy'!$J:$J,
'New 20102013 LF Efficacy'!$D:$D,$A91,
'New 20102013 LF Efficacy'!$F:$F,"Albendazole &amp; DEC",
'New 20102013 LF Efficacy'!$W:$W,"&lt;2011",
'New 20102013 LF Efficacy'!$AA:$AA,""),
"")
</f>
        <v/>
      </c>
      <c r="AQ91" s="115">
        <f t="shared" si="13"/>
        <v>0.3465</v>
      </c>
      <c r="AR91" s="121" t="str">
        <f>IFERROR(
AVERAGEIFS(
'New 20102013 LF Efficacy'!$J:$J,
'New 20102013 LF Efficacy'!$D:$D,$A91,
'New 20102013 LF Efficacy'!$F:$F,"Albendazole &amp; Ivermectin", 
'New 20102013 LF Efficacy'!$W:$W,"&lt;2011",
'New 20102013 LF Efficacy'!$AA:$AA,""),"")</f>
        <v/>
      </c>
      <c r="AS91" s="115">
        <f t="shared" si="14"/>
        <v>0.7575</v>
      </c>
      <c r="AT91" s="130" t="str">
        <f>IFERROR(AVERAGEIFS(
'20102013 Schist Efficacy'!$O:$O, 
'20102013 Schist Efficacy'!$C:$C,$A91, 
'20102013 Schist Efficacy'!$D:$D, "Praziquantel",
'20102013 Schist Efficacy'!$J:$J,"&lt;2011",
'20102013 Schist Efficacy'!$U:$U,""),
"")</f>
        <v/>
      </c>
      <c r="AU91" s="118">
        <f t="shared" si="15"/>
        <v>0.7732631579</v>
      </c>
      <c r="AV91" s="131" t="str">
        <f>IFERROR(AVERAGEIFS(
'20102013 STH Efficacy'!$AX:$AX, 
'20102013 STH Efficacy'!$AL:$AL, $A91, 
'20102013 STH Efficacy'!$AM:$AM, "Albendazole",
'20102013 STH Efficacy'!$AS:$AS,"&lt;2011",
'20102013 STH Efficacy'!$BP:$BP,""),
"")</f>
        <v/>
      </c>
      <c r="AW91" s="132">
        <f t="shared" si="16"/>
        <v>0.3945</v>
      </c>
      <c r="AX91" s="131" t="str">
        <f>IFERROR(AVERAGEIFS(
'20102013 STH Efficacy'!$AX:$AX, 
'20102013 STH Efficacy'!$AL:$AL, $A91, 
'20102013 STH Efficacy'!$AM:$AM, "Mebendazole",
'20102013 STH Efficacy'!$AS:$AS,"&lt;2011",
'20102013 STH Efficacy'!$BP:$BP,""),
"")</f>
        <v/>
      </c>
      <c r="AY91" s="132">
        <f t="shared" si="17"/>
        <v>0.6</v>
      </c>
      <c r="AZ91" s="131" t="str">
        <f>IFERROR(AVERAGEIFS(
'20102013 STH Efficacy'!$AX:$AX, 
'20102013 STH Efficacy'!$AL:$AL, $A91, 
'20102013 STH Efficacy'!$AM:$AM, "Albendazole &amp; Ivermectin",
'20102013 STH Efficacy'!$AS:$AS,"&lt;2011",
'20102013 STH Efficacy'!$BP:$BP,""),
"")</f>
        <v/>
      </c>
      <c r="BA91" s="133">
        <f t="shared" si="18"/>
        <v>0.796</v>
      </c>
      <c r="BB91" s="134" t="str">
        <f>IFERROR(AVERAGEIFS(
'20102013 STH Efficacy'!$N:$N, 
'20102013 STH Efficacy'!$B:$B, $A91, 
'20102013 STH Efficacy'!$C:$C, "Albendazole",
'20102013 STH Efficacy'!$I:$I,"&lt;2011",
'20102013 STH Efficacy'!$AH:$AH,""),
"")</f>
        <v/>
      </c>
      <c r="BC91" s="135">
        <f t="shared" si="19"/>
        <v>0.869</v>
      </c>
      <c r="BD91" s="134" t="str">
        <f>IFERROR(AVERAGEIFS(
'20102013 STH Efficacy'!$N:$N, 
'20102013 STH Efficacy'!$B:$B, $A91, 
'20102013 STH Efficacy'!$C:$C, "Mebendazole",
'20102013 STH Efficacy'!$I:$I,"&lt;2011",
'20102013 STH Efficacy'!$AH:$AH,""),
"")</f>
        <v/>
      </c>
      <c r="BE91" s="135">
        <f t="shared" si="20"/>
        <v>0.172</v>
      </c>
      <c r="BF91" s="128" t="str">
        <f>IFERROR(AVERAGEIFS(
'20102013 STH Efficacy'!$CD:$CD, 
'20102013 STH Efficacy'!$BS:$BS, $A91, 
'20102013 STH Efficacy'!$BT:$BT, "Albendazole",
'20102013 STH Efficacy'!$BZ:$BZ,"&lt;2011",
'20102013 STH Efficacy'!$CU:$CU,""),
"")</f>
        <v/>
      </c>
      <c r="BG91" s="136">
        <f t="shared" si="21"/>
        <v>0.9862</v>
      </c>
      <c r="BH91" s="128" t="str">
        <f>IFERROR(AVERAGEIFS(
'20102013 STH Efficacy'!$CD:$CD, 
'20102013 STH Efficacy'!$BS:$BS, $A91, 
'20102013 STH Efficacy'!$BT:$BT, "Mebendazole",
'20102013 STH Efficacy'!$BZ:$BZ,"&lt;2011",
'20102013 STH Efficacy'!$CU:$CU,""),
"")</f>
        <v/>
      </c>
      <c r="BI91" s="136">
        <f t="shared" si="22"/>
        <v>0.769</v>
      </c>
      <c r="BJ91" s="128" t="str">
        <f>IFERROR(AVERAGEIFS(
'20102013 STH Efficacy'!$CD:$CD, 
'20102013 STH Efficacy'!$BS:$BS, $A91, 
'20102013 STH Efficacy'!$BT:$BT, "Albendazole &amp; Ivermectin",
'20102013 STH Efficacy'!$BZ:$BZ,"&lt;2011",
'20102013 STH Efficacy'!$CU:$CU,""),
"")</f>
        <v/>
      </c>
      <c r="BK91" s="136">
        <f t="shared" si="23"/>
        <v>1</v>
      </c>
      <c r="BL91" s="137"/>
      <c r="BM91" s="137"/>
      <c r="BN91" s="138">
        <v>0.0</v>
      </c>
      <c r="BO91" s="139">
        <v>0.0</v>
      </c>
      <c r="BP91" s="140">
        <v>0.0</v>
      </c>
      <c r="BQ91" s="141">
        <f t="shared" si="24"/>
        <v>0</v>
      </c>
      <c r="BR91" s="104" t="str">
        <f t="shared" si="25"/>
        <v>0000</v>
      </c>
      <c r="BS91" s="104" t="str">
        <f t="shared" si="26"/>
        <v>no action required</v>
      </c>
      <c r="BT91" s="142" t="str">
        <f t="shared" si="27"/>
        <v/>
      </c>
      <c r="BU91" s="104" t="str">
        <f t="shared" si="28"/>
        <v/>
      </c>
      <c r="BV91" s="104" t="str">
        <f t="shared" si="29"/>
        <v>none</v>
      </c>
      <c r="BW91" s="150" t="str">
        <f t="shared" si="30"/>
        <v/>
      </c>
      <c r="BX91" s="150" t="str">
        <f t="shared" si="31"/>
        <v/>
      </c>
      <c r="BY91" s="151" t="str">
        <f t="shared" si="32"/>
        <v/>
      </c>
      <c r="BZ91" s="152" t="str">
        <f t="shared" si="33"/>
        <v/>
      </c>
      <c r="CA91" s="152" t="str">
        <f t="shared" si="34"/>
        <v/>
      </c>
      <c r="CB91" s="152" t="str">
        <f t="shared" si="35"/>
        <v/>
      </c>
      <c r="CC91" s="153" t="str">
        <f t="shared" si="36"/>
        <v/>
      </c>
      <c r="CD91" s="153" t="str">
        <f t="shared" si="37"/>
        <v/>
      </c>
      <c r="CE91" s="154" t="str">
        <f t="shared" si="38"/>
        <v/>
      </c>
      <c r="CF91" s="154" t="str">
        <f t="shared" si="39"/>
        <v/>
      </c>
      <c r="CG91" s="154" t="str">
        <f t="shared" si="40"/>
        <v/>
      </c>
    </row>
    <row r="92">
      <c r="A92" s="103" t="s">
        <v>181</v>
      </c>
      <c r="B92" s="104" t="s">
        <v>90</v>
      </c>
      <c r="C92" s="105">
        <v>1.0000023E7</v>
      </c>
      <c r="D92" s="106">
        <v>0.0</v>
      </c>
      <c r="E92" s="107">
        <v>0.0</v>
      </c>
      <c r="F92" s="108">
        <v>0.0</v>
      </c>
      <c r="G92" s="108">
        <v>0.0</v>
      </c>
      <c r="H92" s="108">
        <v>0.0</v>
      </c>
      <c r="I92" s="109">
        <v>0.0</v>
      </c>
      <c r="J92" s="109">
        <v>0.0</v>
      </c>
      <c r="K92" s="109">
        <v>0.0</v>
      </c>
      <c r="L92" s="112">
        <v>0.0</v>
      </c>
      <c r="M92" s="112">
        <v>0.0</v>
      </c>
      <c r="N92" s="112">
        <v>0.0</v>
      </c>
      <c r="O92" s="113"/>
      <c r="P92" s="114"/>
      <c r="Q92" s="114"/>
      <c r="R92" s="115" t="str">
        <f t="shared" si="8"/>
        <v/>
      </c>
      <c r="S92" s="116">
        <f t="shared" si="9"/>
        <v>0.4013436246</v>
      </c>
      <c r="T92" s="117"/>
      <c r="U92" s="118">
        <f t="shared" si="41"/>
        <v>0.3468166667</v>
      </c>
      <c r="V92" s="148"/>
      <c r="W92" s="120">
        <f t="shared" si="10"/>
        <v>1</v>
      </c>
      <c r="X92" s="148"/>
      <c r="Y92" s="120">
        <f t="shared" si="11"/>
        <v>0.71735</v>
      </c>
      <c r="Z92" s="114"/>
      <c r="AA92" s="114"/>
      <c r="AB92" s="114"/>
      <c r="AC92" s="114"/>
      <c r="AD92" s="164">
        <v>0.0</v>
      </c>
      <c r="AE92" s="123">
        <v>0.0</v>
      </c>
      <c r="AF92" s="123">
        <v>0.0</v>
      </c>
      <c r="AG92" s="124">
        <v>0.0</v>
      </c>
      <c r="AH92" s="124">
        <v>0.0</v>
      </c>
      <c r="AI92" s="125">
        <v>0.0</v>
      </c>
      <c r="AJ92" s="125">
        <v>0.0</v>
      </c>
      <c r="AK92" s="126">
        <v>0.0</v>
      </c>
      <c r="AL92" s="127">
        <v>0.0</v>
      </c>
      <c r="AM92" s="128"/>
      <c r="AN92" s="149" t="str">
        <f>IFERROR(
  AVERAGEIFS(
    'New 20102013 LF Efficacy'!$J:$J,
    'New 20102013 LF Efficacy'!$D:$D, $A92,
    'New 20102013 LF Efficacy'!$F:$F,"DEC", 
    'New 20102013 LF Efficacy'!$W:$W,"&lt;2011",
    'New 20102013 LF Efficacy'!$AA:$AA,""),
  ""
)</f>
        <v/>
      </c>
      <c r="AO92" s="115">
        <f t="shared" si="12"/>
        <v>0.3573520833</v>
      </c>
      <c r="AP92" s="121" t="str">
        <f>IFERROR(
AVERAGEIFS(
'New 20102013 LF Efficacy'!$J:$J,
'New 20102013 LF Efficacy'!$D:$D,$A92,
'New 20102013 LF Efficacy'!$F:$F,"Albendazole &amp; DEC",
'New 20102013 LF Efficacy'!$W:$W,"&lt;2011",
'New 20102013 LF Efficacy'!$AA:$AA,""),
"")
</f>
        <v/>
      </c>
      <c r="AQ92" s="115">
        <f t="shared" si="13"/>
        <v>0.5137291667</v>
      </c>
      <c r="AR92" s="121" t="str">
        <f>IFERROR(
AVERAGEIFS(
'New 20102013 LF Efficacy'!$J:$J,
'New 20102013 LF Efficacy'!$D:$D,$A92,
'New 20102013 LF Efficacy'!$F:$F,"Albendazole &amp; Ivermectin", 
'New 20102013 LF Efficacy'!$W:$W,"&lt;2011",
'New 20102013 LF Efficacy'!$AA:$AA,""),"")</f>
        <v/>
      </c>
      <c r="AS92" s="115">
        <f t="shared" si="14"/>
        <v>0.37153125</v>
      </c>
      <c r="AT92" s="130" t="str">
        <f>IFERROR(AVERAGEIFS(
'20102013 Schist Efficacy'!$O:$O, 
'20102013 Schist Efficacy'!$C:$C,$A92, 
'20102013 Schist Efficacy'!$D:$D, "Praziquantel",
'20102013 Schist Efficacy'!$J:$J,"&lt;2011",
'20102013 Schist Efficacy'!$U:$U,""),
"")</f>
        <v/>
      </c>
      <c r="AU92" s="118">
        <f t="shared" si="15"/>
        <v>0.655</v>
      </c>
      <c r="AV92" s="131" t="str">
        <f>IFERROR(AVERAGEIFS(
'20102013 STH Efficacy'!$AX:$AX, 
'20102013 STH Efficacy'!$AL:$AL, $A92, 
'20102013 STH Efficacy'!$AM:$AM, "Albendazole",
'20102013 STH Efficacy'!$AS:$AS,"&lt;2011",
'20102013 STH Efficacy'!$BP:$BP,""),
"")</f>
        <v/>
      </c>
      <c r="AW92" s="132">
        <f t="shared" si="16"/>
        <v>0.3842878788</v>
      </c>
      <c r="AX92" s="131" t="str">
        <f>IFERROR(AVERAGEIFS(
'20102013 STH Efficacy'!$AX:$AX, 
'20102013 STH Efficacy'!$AL:$AL, $A92, 
'20102013 STH Efficacy'!$AM:$AM, "Mebendazole",
'20102013 STH Efficacy'!$AS:$AS,"&lt;2011",
'20102013 STH Efficacy'!$BP:$BP,""),
"")</f>
        <v/>
      </c>
      <c r="AY92" s="132">
        <f t="shared" si="17"/>
        <v>0.5121666667</v>
      </c>
      <c r="AZ92" s="131" t="str">
        <f>IFERROR(AVERAGEIFS(
'20102013 STH Efficacy'!$AX:$AX, 
'20102013 STH Efficacy'!$AL:$AL, $A92, 
'20102013 STH Efficacy'!$AM:$AM, "Albendazole &amp; Ivermectin",
'20102013 STH Efficacy'!$AS:$AS,"&lt;2011",
'20102013 STH Efficacy'!$BP:$BP,""),
"")</f>
        <v/>
      </c>
      <c r="BA92" s="133">
        <f t="shared" si="18"/>
        <v>0.7176666667</v>
      </c>
      <c r="BB92" s="134" t="str">
        <f>IFERROR(AVERAGEIFS(
'20102013 STH Efficacy'!$N:$N, 
'20102013 STH Efficacy'!$B:$B, $A92, 
'20102013 STH Efficacy'!$C:$C, "Albendazole",
'20102013 STH Efficacy'!$I:$I,"&lt;2011",
'20102013 STH Efficacy'!$AH:$AH,""),
"")</f>
        <v/>
      </c>
      <c r="BC92" s="135">
        <f t="shared" si="19"/>
        <v>0.7630416667</v>
      </c>
      <c r="BD92" s="134" t="str">
        <f>IFERROR(AVERAGEIFS(
'20102013 STH Efficacy'!$N:$N, 
'20102013 STH Efficacy'!$B:$B, $A92, 
'20102013 STH Efficacy'!$C:$C, "Mebendazole",
'20102013 STH Efficacy'!$I:$I,"&lt;2011",
'20102013 STH Efficacy'!$AH:$AH,""),
"")</f>
        <v/>
      </c>
      <c r="BE92" s="135">
        <f t="shared" si="20"/>
        <v>0.4405966667</v>
      </c>
      <c r="BF92" s="128" t="str">
        <f>IFERROR(AVERAGEIFS(
'20102013 STH Efficacy'!$CD:$CD, 
'20102013 STH Efficacy'!$BS:$BS, $A92, 
'20102013 STH Efficacy'!$BT:$BT, "Albendazole",
'20102013 STH Efficacy'!$BZ:$BZ,"&lt;2011",
'20102013 STH Efficacy'!$CU:$CU,""),
"")</f>
        <v/>
      </c>
      <c r="BG92" s="136">
        <f t="shared" si="21"/>
        <v>0.9403222222</v>
      </c>
      <c r="BH92" s="128" t="str">
        <f>IFERROR(AVERAGEIFS(
'20102013 STH Efficacy'!$CD:$CD, 
'20102013 STH Efficacy'!$BS:$BS, $A92, 
'20102013 STH Efficacy'!$BT:$BT, "Mebendazole",
'20102013 STH Efficacy'!$BZ:$BZ,"&lt;2011",
'20102013 STH Efficacy'!$CU:$CU,""),
"")</f>
        <v/>
      </c>
      <c r="BI92" s="136">
        <f t="shared" si="22"/>
        <v>0.9229285714</v>
      </c>
      <c r="BJ92" s="128" t="str">
        <f>IFERROR(AVERAGEIFS(
'20102013 STH Efficacy'!$CD:$CD, 
'20102013 STH Efficacy'!$BS:$BS, $A92, 
'20102013 STH Efficacy'!$BT:$BT, "Albendazole &amp; Ivermectin",
'20102013 STH Efficacy'!$BZ:$BZ,"&lt;2011",
'20102013 STH Efficacy'!$CU:$CU,""),
"")</f>
        <v/>
      </c>
      <c r="BK92" s="136">
        <f t="shared" si="23"/>
        <v>1</v>
      </c>
      <c r="BL92" s="137"/>
      <c r="BM92" s="137"/>
      <c r="BN92" s="138">
        <v>0.0</v>
      </c>
      <c r="BO92" s="139">
        <v>0.0</v>
      </c>
      <c r="BP92" s="140">
        <v>0.0</v>
      </c>
      <c r="BQ92" s="141">
        <f t="shared" si="24"/>
        <v>0</v>
      </c>
      <c r="BR92" s="104" t="str">
        <f t="shared" si="25"/>
        <v>0000</v>
      </c>
      <c r="BS92" s="104" t="str">
        <f t="shared" si="26"/>
        <v>no action required</v>
      </c>
      <c r="BT92" s="142" t="str">
        <f t="shared" si="27"/>
        <v/>
      </c>
      <c r="BU92" s="104" t="str">
        <f t="shared" si="28"/>
        <v/>
      </c>
      <c r="BV92" s="104" t="str">
        <f t="shared" si="29"/>
        <v>none</v>
      </c>
      <c r="BW92" s="150" t="str">
        <f t="shared" si="30"/>
        <v/>
      </c>
      <c r="BX92" s="150" t="str">
        <f t="shared" si="31"/>
        <v/>
      </c>
      <c r="BY92" s="151" t="str">
        <f t="shared" si="32"/>
        <v/>
      </c>
      <c r="BZ92" s="152" t="str">
        <f t="shared" si="33"/>
        <v/>
      </c>
      <c r="CA92" s="152" t="str">
        <f t="shared" si="34"/>
        <v/>
      </c>
      <c r="CB92" s="152" t="str">
        <f t="shared" si="35"/>
        <v/>
      </c>
      <c r="CC92" s="153" t="str">
        <f t="shared" si="36"/>
        <v/>
      </c>
      <c r="CD92" s="153" t="str">
        <f t="shared" si="37"/>
        <v/>
      </c>
      <c r="CE92" s="154" t="str">
        <f t="shared" si="38"/>
        <v/>
      </c>
      <c r="CF92" s="154" t="str">
        <f t="shared" si="39"/>
        <v/>
      </c>
      <c r="CG92" s="154" t="str">
        <f t="shared" si="40"/>
        <v/>
      </c>
    </row>
    <row r="93">
      <c r="A93" s="103" t="s">
        <v>182</v>
      </c>
      <c r="B93" s="104" t="s">
        <v>90</v>
      </c>
      <c r="C93" s="105">
        <v>318041.0</v>
      </c>
      <c r="D93" s="106">
        <v>0.0</v>
      </c>
      <c r="E93" s="107">
        <v>0.0</v>
      </c>
      <c r="F93" s="108">
        <v>0.0</v>
      </c>
      <c r="G93" s="108">
        <v>0.0</v>
      </c>
      <c r="H93" s="108">
        <v>0.0</v>
      </c>
      <c r="I93" s="109">
        <v>0.0</v>
      </c>
      <c r="J93" s="109">
        <v>0.0</v>
      </c>
      <c r="K93" s="109">
        <v>0.0</v>
      </c>
      <c r="L93" s="112">
        <v>0.0</v>
      </c>
      <c r="M93" s="112">
        <v>0.0</v>
      </c>
      <c r="N93" s="112">
        <v>0.0</v>
      </c>
      <c r="O93" s="113"/>
      <c r="P93" s="114"/>
      <c r="Q93" s="114"/>
      <c r="R93" s="115" t="str">
        <f t="shared" si="8"/>
        <v/>
      </c>
      <c r="S93" s="116">
        <f t="shared" si="9"/>
        <v>0.4013436246</v>
      </c>
      <c r="T93" s="117"/>
      <c r="U93" s="118">
        <f t="shared" si="41"/>
        <v>0.3468166667</v>
      </c>
      <c r="V93" s="148"/>
      <c r="W93" s="120">
        <f t="shared" si="10"/>
        <v>1</v>
      </c>
      <c r="X93" s="148"/>
      <c r="Y93" s="120">
        <f t="shared" si="11"/>
        <v>0.71735</v>
      </c>
      <c r="Z93" s="121"/>
      <c r="AA93" s="121"/>
      <c r="AB93" s="121"/>
      <c r="AC93" s="121"/>
      <c r="AD93" s="122">
        <v>0.0</v>
      </c>
      <c r="AE93" s="123">
        <v>0.0</v>
      </c>
      <c r="AF93" s="123">
        <v>0.0</v>
      </c>
      <c r="AG93" s="124">
        <v>0.0</v>
      </c>
      <c r="AH93" s="124">
        <v>0.0</v>
      </c>
      <c r="AI93" s="125">
        <v>0.0</v>
      </c>
      <c r="AJ93" s="125">
        <v>0.0</v>
      </c>
      <c r="AK93" s="127">
        <v>0.0</v>
      </c>
      <c r="AL93" s="127">
        <v>0.0</v>
      </c>
      <c r="AM93" s="128"/>
      <c r="AN93" s="149" t="str">
        <f>IFERROR(
  AVERAGEIFS(
    'New 20102013 LF Efficacy'!$J:$J,
    'New 20102013 LF Efficacy'!$D:$D, $A93,
    'New 20102013 LF Efficacy'!$F:$F,"DEC", 
    'New 20102013 LF Efficacy'!$W:$W,"&lt;2011",
    'New 20102013 LF Efficacy'!$AA:$AA,""),
  ""
)</f>
        <v/>
      </c>
      <c r="AO93" s="115">
        <f t="shared" si="12"/>
        <v>0.3573520833</v>
      </c>
      <c r="AP93" s="121" t="str">
        <f>IFERROR(
AVERAGEIFS(
'New 20102013 LF Efficacy'!$J:$J,
'New 20102013 LF Efficacy'!$D:$D,$A93,
'New 20102013 LF Efficacy'!$F:$F,"Albendazole &amp; DEC",
'New 20102013 LF Efficacy'!$W:$W,"&lt;2011",
'New 20102013 LF Efficacy'!$AA:$AA,""),
"")
</f>
        <v/>
      </c>
      <c r="AQ93" s="115">
        <f t="shared" si="13"/>
        <v>0.5137291667</v>
      </c>
      <c r="AR93" s="121" t="str">
        <f>IFERROR(
AVERAGEIFS(
'New 20102013 LF Efficacy'!$J:$J,
'New 20102013 LF Efficacy'!$D:$D,$A93,
'New 20102013 LF Efficacy'!$F:$F,"Albendazole &amp; Ivermectin", 
'New 20102013 LF Efficacy'!$W:$W,"&lt;2011",
'New 20102013 LF Efficacy'!$AA:$AA,""),"")</f>
        <v/>
      </c>
      <c r="AS93" s="115">
        <f t="shared" si="14"/>
        <v>0.37153125</v>
      </c>
      <c r="AT93" s="130" t="str">
        <f>IFERROR(AVERAGEIFS(
'20102013 Schist Efficacy'!$O:$O, 
'20102013 Schist Efficacy'!$C:$C,$A93, 
'20102013 Schist Efficacy'!$D:$D, "Praziquantel",
'20102013 Schist Efficacy'!$J:$J,"&lt;2011",
'20102013 Schist Efficacy'!$U:$U,""),
"")</f>
        <v/>
      </c>
      <c r="AU93" s="118">
        <f t="shared" si="15"/>
        <v>0.655</v>
      </c>
      <c r="AV93" s="131" t="str">
        <f>IFERROR(AVERAGEIFS(
'20102013 STH Efficacy'!$AX:$AX, 
'20102013 STH Efficacy'!$AL:$AL, $A93, 
'20102013 STH Efficacy'!$AM:$AM, "Albendazole",
'20102013 STH Efficacy'!$AS:$AS,"&lt;2011",
'20102013 STH Efficacy'!$BP:$BP,""),
"")</f>
        <v/>
      </c>
      <c r="AW93" s="132">
        <f t="shared" si="16"/>
        <v>0.3842878788</v>
      </c>
      <c r="AX93" s="131" t="str">
        <f>IFERROR(AVERAGEIFS(
'20102013 STH Efficacy'!$AX:$AX, 
'20102013 STH Efficacy'!$AL:$AL, $A93, 
'20102013 STH Efficacy'!$AM:$AM, "Mebendazole",
'20102013 STH Efficacy'!$AS:$AS,"&lt;2011",
'20102013 STH Efficacy'!$BP:$BP,""),
"")</f>
        <v/>
      </c>
      <c r="AY93" s="132">
        <f t="shared" si="17"/>
        <v>0.5121666667</v>
      </c>
      <c r="AZ93" s="131" t="str">
        <f>IFERROR(AVERAGEIFS(
'20102013 STH Efficacy'!$AX:$AX, 
'20102013 STH Efficacy'!$AL:$AL, $A93, 
'20102013 STH Efficacy'!$AM:$AM, "Albendazole &amp; Ivermectin",
'20102013 STH Efficacy'!$AS:$AS,"&lt;2011",
'20102013 STH Efficacy'!$BP:$BP,""),
"")</f>
        <v/>
      </c>
      <c r="BA93" s="133">
        <f t="shared" si="18"/>
        <v>0.7176666667</v>
      </c>
      <c r="BB93" s="134" t="str">
        <f>IFERROR(AVERAGEIFS(
'20102013 STH Efficacy'!$N:$N, 
'20102013 STH Efficacy'!$B:$B, $A93, 
'20102013 STH Efficacy'!$C:$C, "Albendazole",
'20102013 STH Efficacy'!$I:$I,"&lt;2011",
'20102013 STH Efficacy'!$AH:$AH,""),
"")</f>
        <v/>
      </c>
      <c r="BC93" s="135">
        <f t="shared" si="19"/>
        <v>0.7630416667</v>
      </c>
      <c r="BD93" s="134" t="str">
        <f>IFERROR(AVERAGEIFS(
'20102013 STH Efficacy'!$N:$N, 
'20102013 STH Efficacy'!$B:$B, $A93, 
'20102013 STH Efficacy'!$C:$C, "Mebendazole",
'20102013 STH Efficacy'!$I:$I,"&lt;2011",
'20102013 STH Efficacy'!$AH:$AH,""),
"")</f>
        <v/>
      </c>
      <c r="BE93" s="135">
        <f t="shared" si="20"/>
        <v>0.4405966667</v>
      </c>
      <c r="BF93" s="128" t="str">
        <f>IFERROR(AVERAGEIFS(
'20102013 STH Efficacy'!$CD:$CD, 
'20102013 STH Efficacy'!$BS:$BS, $A93, 
'20102013 STH Efficacy'!$BT:$BT, "Albendazole",
'20102013 STH Efficacy'!$BZ:$BZ,"&lt;2011",
'20102013 STH Efficacy'!$CU:$CU,""),
"")</f>
        <v/>
      </c>
      <c r="BG93" s="136">
        <f t="shared" si="21"/>
        <v>0.9403222222</v>
      </c>
      <c r="BH93" s="128" t="str">
        <f>IFERROR(AVERAGEIFS(
'20102013 STH Efficacy'!$CD:$CD, 
'20102013 STH Efficacy'!$BS:$BS, $A93, 
'20102013 STH Efficacy'!$BT:$BT, "Mebendazole",
'20102013 STH Efficacy'!$BZ:$BZ,"&lt;2011",
'20102013 STH Efficacy'!$CU:$CU,""),
"")</f>
        <v/>
      </c>
      <c r="BI93" s="136">
        <f t="shared" si="22"/>
        <v>0.9229285714</v>
      </c>
      <c r="BJ93" s="128" t="str">
        <f>IFERROR(AVERAGEIFS(
'20102013 STH Efficacy'!$CD:$CD, 
'20102013 STH Efficacy'!$BS:$BS, $A93, 
'20102013 STH Efficacy'!$BT:$BT, "Albendazole &amp; Ivermectin",
'20102013 STH Efficacy'!$BZ:$BZ,"&lt;2011",
'20102013 STH Efficacy'!$CU:$CU,""),
"")</f>
        <v/>
      </c>
      <c r="BK93" s="136">
        <f t="shared" si="23"/>
        <v>1</v>
      </c>
      <c r="BL93" s="137"/>
      <c r="BM93" s="137"/>
      <c r="BN93" s="138">
        <v>0.0</v>
      </c>
      <c r="BO93" s="139">
        <v>0.0</v>
      </c>
      <c r="BP93" s="140">
        <v>0.0</v>
      </c>
      <c r="BQ93" s="141">
        <f t="shared" si="24"/>
        <v>0</v>
      </c>
      <c r="BR93" s="104" t="str">
        <f t="shared" si="25"/>
        <v>0000</v>
      </c>
      <c r="BS93" s="104" t="str">
        <f t="shared" si="26"/>
        <v>no action required</v>
      </c>
      <c r="BT93" s="142" t="str">
        <f t="shared" si="27"/>
        <v/>
      </c>
      <c r="BU93" s="104" t="str">
        <f t="shared" si="28"/>
        <v/>
      </c>
      <c r="BV93" s="104" t="str">
        <f t="shared" si="29"/>
        <v>none</v>
      </c>
      <c r="BW93" s="150" t="str">
        <f t="shared" si="30"/>
        <v/>
      </c>
      <c r="BX93" s="150" t="str">
        <f t="shared" si="31"/>
        <v/>
      </c>
      <c r="BY93" s="151" t="str">
        <f t="shared" si="32"/>
        <v/>
      </c>
      <c r="BZ93" s="152" t="str">
        <f t="shared" si="33"/>
        <v/>
      </c>
      <c r="CA93" s="152" t="str">
        <f t="shared" si="34"/>
        <v/>
      </c>
      <c r="CB93" s="152" t="str">
        <f t="shared" si="35"/>
        <v/>
      </c>
      <c r="CC93" s="153" t="str">
        <f t="shared" si="36"/>
        <v/>
      </c>
      <c r="CD93" s="153" t="str">
        <f t="shared" si="37"/>
        <v/>
      </c>
      <c r="CE93" s="154" t="str">
        <f t="shared" si="38"/>
        <v/>
      </c>
      <c r="CF93" s="154" t="str">
        <f t="shared" si="39"/>
        <v/>
      </c>
      <c r="CG93" s="154" t="str">
        <f t="shared" si="40"/>
        <v/>
      </c>
    </row>
    <row r="94">
      <c r="A94" s="103" t="s">
        <v>183</v>
      </c>
      <c r="B94" s="104" t="s">
        <v>109</v>
      </c>
      <c r="C94" s="105">
        <v>1.230980691E9</v>
      </c>
      <c r="D94" s="106">
        <v>410851.8009</v>
      </c>
      <c r="E94" s="107">
        <v>0.0</v>
      </c>
      <c r="F94" s="157">
        <v>1682.498222</v>
      </c>
      <c r="G94" s="157">
        <v>8067.536126</v>
      </c>
      <c r="H94" s="157">
        <v>9750.034347</v>
      </c>
      <c r="I94" s="110">
        <v>22642.9259</v>
      </c>
      <c r="J94" s="110">
        <v>77172.321</v>
      </c>
      <c r="K94" s="110">
        <v>99815.2469</v>
      </c>
      <c r="L94" s="111">
        <v>55898.83232</v>
      </c>
      <c r="M94" s="111">
        <v>64309.70123</v>
      </c>
      <c r="N94" s="158">
        <v>120208.5335</v>
      </c>
      <c r="O94" s="159"/>
      <c r="P94" s="160">
        <v>6.04113435E8</v>
      </c>
      <c r="Q94" s="160">
        <v>3.07786908E8</v>
      </c>
      <c r="R94" s="115">
        <f t="shared" si="8"/>
        <v>0.509485289</v>
      </c>
      <c r="S94" s="116">
        <f t="shared" si="9"/>
        <v>0.509485289</v>
      </c>
      <c r="T94" s="118">
        <v>0.5581</v>
      </c>
      <c r="U94" s="118">
        <f t="shared" si="41"/>
        <v>0.5581</v>
      </c>
      <c r="V94" s="119">
        <v>0.2873</v>
      </c>
      <c r="W94" s="120">
        <f t="shared" si="10"/>
        <v>0.2873</v>
      </c>
      <c r="X94" s="119">
        <v>0.3831</v>
      </c>
      <c r="Y94" s="120">
        <f t="shared" si="11"/>
        <v>0.3831</v>
      </c>
      <c r="Z94" s="121"/>
      <c r="AA94" s="121"/>
      <c r="AB94" s="121"/>
      <c r="AC94" s="121"/>
      <c r="AD94" s="122">
        <v>0.0124</v>
      </c>
      <c r="AE94" s="123">
        <v>0.0</v>
      </c>
      <c r="AF94" s="123">
        <v>0.0</v>
      </c>
      <c r="AG94" s="167">
        <v>0.0</v>
      </c>
      <c r="AH94" s="124">
        <v>0.055156503</v>
      </c>
      <c r="AI94" s="168">
        <v>0.0</v>
      </c>
      <c r="AJ94" s="125">
        <v>0.074045494</v>
      </c>
      <c r="AK94" s="127">
        <v>0.1</v>
      </c>
      <c r="AL94" s="127">
        <v>0.162661532</v>
      </c>
      <c r="AM94" s="128"/>
      <c r="AN94" s="149">
        <f>IFERROR(
  AVERAGEIFS(
    'New 20102013 LF Efficacy'!$J:$J,
    'New 20102013 LF Efficacy'!$D:$D, $A94,
    'New 20102013 LF Efficacy'!$F:$F,"DEC", 
    'New 20102013 LF Efficacy'!$W:$W,"&lt;2011",
    'New 20102013 LF Efficacy'!$AA:$AA,""),
  ""
)</f>
        <v>0.373</v>
      </c>
      <c r="AO94" s="115">
        <f t="shared" si="12"/>
        <v>0.373</v>
      </c>
      <c r="AP94" s="121">
        <f>IFERROR(
AVERAGEIFS(
'New 20102013 LF Efficacy'!$J:$J,
'New 20102013 LF Efficacy'!$D:$D,$A94,
'New 20102013 LF Efficacy'!$F:$F,"Albendazole &amp; DEC",
'New 20102013 LF Efficacy'!$W:$W,"&lt;2011",
'New 20102013 LF Efficacy'!$AA:$AA,""),
"")
</f>
        <v>0.4463333333</v>
      </c>
      <c r="AQ94" s="115">
        <f t="shared" si="13"/>
        <v>0.4463333333</v>
      </c>
      <c r="AR94" s="121">
        <f>IFERROR(
AVERAGEIFS(
'New 20102013 LF Efficacy'!$J:$J,
'New 20102013 LF Efficacy'!$D:$D,$A94,
'New 20102013 LF Efficacy'!$F:$F,"Albendazole &amp; Ivermectin", 
'New 20102013 LF Efficacy'!$W:$W,"&lt;2011",
'New 20102013 LF Efficacy'!$AA:$AA,""),"")</f>
        <v>0.14</v>
      </c>
      <c r="AS94" s="115">
        <f t="shared" si="14"/>
        <v>0.14</v>
      </c>
      <c r="AT94" s="130" t="str">
        <f>IFERROR(AVERAGEIFS(
'20102013 Schist Efficacy'!$O:$O, 
'20102013 Schist Efficacy'!$C:$C,$A94, 
'20102013 Schist Efficacy'!$D:$D, "Praziquantel",
'20102013 Schist Efficacy'!$J:$J,"&lt;2011",
'20102013 Schist Efficacy'!$U:$U,""),
"")</f>
        <v/>
      </c>
      <c r="AU94" s="118">
        <f t="shared" si="15"/>
        <v>0.6869715828</v>
      </c>
      <c r="AV94" s="131" t="str">
        <f>IFERROR(AVERAGEIFS(
'20102013 STH Efficacy'!$AX:$AX, 
'20102013 STH Efficacy'!$AL:$AL, $A94, 
'20102013 STH Efficacy'!$AM:$AM, "Albendazole",
'20102013 STH Efficacy'!$AS:$AS,"&lt;2011",
'20102013 STH Efficacy'!$BP:$BP,""),
"")</f>
        <v/>
      </c>
      <c r="AW94" s="132">
        <f t="shared" si="16"/>
        <v>0.4756666667</v>
      </c>
      <c r="AX94" s="131" t="str">
        <f>IFERROR(AVERAGEIFS(
'20102013 STH Efficacy'!$AX:$AX, 
'20102013 STH Efficacy'!$AL:$AL, $A94, 
'20102013 STH Efficacy'!$AM:$AM, "Mebendazole",
'20102013 STH Efficacy'!$AS:$AS,"&lt;2011",
'20102013 STH Efficacy'!$BP:$BP,""),
"")</f>
        <v/>
      </c>
      <c r="AY94" s="132">
        <f t="shared" si="17"/>
        <v>0.3786666667</v>
      </c>
      <c r="AZ94" s="131" t="str">
        <f>IFERROR(AVERAGEIFS(
'20102013 STH Efficacy'!$AX:$AX, 
'20102013 STH Efficacy'!$AL:$AL, $A94, 
'20102013 STH Efficacy'!$AM:$AM, "Albendazole &amp; Ivermectin",
'20102013 STH Efficacy'!$AS:$AS,"&lt;2011",
'20102013 STH Efficacy'!$BP:$BP,""),
"")</f>
        <v/>
      </c>
      <c r="BA94" s="133">
        <f t="shared" si="18"/>
        <v>0.7176666667</v>
      </c>
      <c r="BB94" s="134" t="str">
        <f>IFERROR(AVERAGEIFS(
'20102013 STH Efficacy'!$N:$N, 
'20102013 STH Efficacy'!$B:$B, $A94, 
'20102013 STH Efficacy'!$C:$C, "Albendazole",
'20102013 STH Efficacy'!$I:$I,"&lt;2011",
'20102013 STH Efficacy'!$AH:$AH,""),
"")</f>
        <v/>
      </c>
      <c r="BC94" s="135">
        <f t="shared" si="19"/>
        <v>0.7133333333</v>
      </c>
      <c r="BD94" s="134" t="str">
        <f>IFERROR(AVERAGEIFS(
'20102013 STH Efficacy'!$N:$N, 
'20102013 STH Efficacy'!$B:$B, $A94, 
'20102013 STH Efficacy'!$C:$C, "Mebendazole",
'20102013 STH Efficacy'!$I:$I,"&lt;2011",
'20102013 STH Efficacy'!$AH:$AH,""),
"")</f>
        <v/>
      </c>
      <c r="BE94" s="135">
        <f t="shared" si="20"/>
        <v>0.22675</v>
      </c>
      <c r="BF94" s="128" t="str">
        <f>IFERROR(AVERAGEIFS(
'20102013 STH Efficacy'!$CD:$CD, 
'20102013 STH Efficacy'!$BS:$BS, $A94, 
'20102013 STH Efficacy'!$BT:$BT, "Albendazole",
'20102013 STH Efficacy'!$BZ:$BZ,"&lt;2011",
'20102013 STH Efficacy'!$CU:$CU,""),
"")</f>
        <v/>
      </c>
      <c r="BG94" s="136">
        <f t="shared" si="21"/>
        <v>1</v>
      </c>
      <c r="BH94" s="128" t="str">
        <f>IFERROR(AVERAGEIFS(
'20102013 STH Efficacy'!$CD:$CD, 
'20102013 STH Efficacy'!$BS:$BS, $A94, 
'20102013 STH Efficacy'!$BT:$BT, "Mebendazole",
'20102013 STH Efficacy'!$BZ:$BZ,"&lt;2011",
'20102013 STH Efficacy'!$CU:$CU,""),
"")</f>
        <v/>
      </c>
      <c r="BI94" s="136">
        <f t="shared" si="22"/>
        <v>1</v>
      </c>
      <c r="BJ94" s="128" t="str">
        <f>IFERROR(AVERAGEIFS(
'20102013 STH Efficacy'!$CD:$CD, 
'20102013 STH Efficacy'!$BS:$BS, $A94, 
'20102013 STH Efficacy'!$BT:$BT, "Albendazole &amp; Ivermectin",
'20102013 STH Efficacy'!$BZ:$BZ,"&lt;2011",
'20102013 STH Efficacy'!$CU:$CU,""),
"")</f>
        <v/>
      </c>
      <c r="BK94" s="136">
        <f t="shared" si="23"/>
        <v>1</v>
      </c>
      <c r="BL94" s="137"/>
      <c r="BM94" s="137"/>
      <c r="BN94" s="138">
        <v>1.0</v>
      </c>
      <c r="BO94" s="139">
        <v>0.0</v>
      </c>
      <c r="BP94" s="140">
        <v>0.0</v>
      </c>
      <c r="BQ94" s="141">
        <f t="shared" si="24"/>
        <v>0</v>
      </c>
      <c r="BR94" s="104" t="str">
        <f t="shared" si="25"/>
        <v>1000</v>
      </c>
      <c r="BS94" s="104" t="str">
        <f t="shared" si="26"/>
        <v>MDA1/2</v>
      </c>
      <c r="BT94" s="142" t="str">
        <f t="shared" si="27"/>
        <v>DEC+ALB</v>
      </c>
      <c r="BU94" s="104" t="str">
        <f t="shared" si="28"/>
        <v/>
      </c>
      <c r="BV94" s="104" t="str">
        <f t="shared" si="29"/>
        <v>lf only</v>
      </c>
      <c r="BW94" s="150">
        <f t="shared" si="30"/>
        <v>120926.5359</v>
      </c>
      <c r="BX94" s="150" t="str">
        <f t="shared" si="31"/>
        <v/>
      </c>
      <c r="BY94" s="151" t="str">
        <f t="shared" si="32"/>
        <v/>
      </c>
      <c r="BZ94" s="152" t="str">
        <f t="shared" si="33"/>
        <v/>
      </c>
      <c r="CA94" s="152" t="str">
        <f t="shared" si="34"/>
        <v/>
      </c>
      <c r="CB94" s="152" t="str">
        <f t="shared" si="35"/>
        <v/>
      </c>
      <c r="CC94" s="153" t="str">
        <f t="shared" si="36"/>
        <v/>
      </c>
      <c r="CD94" s="153" t="str">
        <f t="shared" si="37"/>
        <v/>
      </c>
      <c r="CE94" s="154" t="str">
        <f t="shared" si="38"/>
        <v/>
      </c>
      <c r="CF94" s="154" t="str">
        <f t="shared" si="39"/>
        <v/>
      </c>
      <c r="CG94" s="154" t="str">
        <f t="shared" si="40"/>
        <v/>
      </c>
    </row>
    <row r="95">
      <c r="A95" s="103" t="s">
        <v>184</v>
      </c>
      <c r="B95" s="104" t="s">
        <v>109</v>
      </c>
      <c r="C95" s="105">
        <v>2.42524123E8</v>
      </c>
      <c r="D95" s="106">
        <v>248934.9663</v>
      </c>
      <c r="E95" s="107">
        <v>673.2775024</v>
      </c>
      <c r="F95" s="108">
        <v>274.8804542</v>
      </c>
      <c r="G95" s="157">
        <v>1330.549853</v>
      </c>
      <c r="H95" s="157">
        <v>1605.430307</v>
      </c>
      <c r="I95" s="110">
        <v>2773.94746</v>
      </c>
      <c r="J95" s="110">
        <v>8567.69329</v>
      </c>
      <c r="K95" s="110">
        <v>11341.64075</v>
      </c>
      <c r="L95" s="111">
        <v>16838.85881</v>
      </c>
      <c r="M95" s="111">
        <v>12913.98418</v>
      </c>
      <c r="N95" s="158">
        <v>29752.84299</v>
      </c>
      <c r="O95" s="159"/>
      <c r="P95" s="160">
        <v>1.30488888E8</v>
      </c>
      <c r="Q95" s="160">
        <v>1.8456273E7</v>
      </c>
      <c r="R95" s="115">
        <f t="shared" si="8"/>
        <v>0.1414394228</v>
      </c>
      <c r="S95" s="116">
        <f t="shared" si="9"/>
        <v>0.1414394228</v>
      </c>
      <c r="T95" s="117"/>
      <c r="U95" s="118">
        <f t="shared" si="41"/>
        <v>0.7367</v>
      </c>
      <c r="V95" s="119">
        <v>0.0617</v>
      </c>
      <c r="W95" s="120">
        <f t="shared" si="10"/>
        <v>0.0617</v>
      </c>
      <c r="X95" s="119">
        <v>0.0822</v>
      </c>
      <c r="Y95" s="120">
        <f t="shared" si="11"/>
        <v>0.0822</v>
      </c>
      <c r="Z95" s="114"/>
      <c r="AA95" s="114"/>
      <c r="AB95" s="114"/>
      <c r="AC95" s="114"/>
      <c r="AD95" s="164">
        <v>0.0</v>
      </c>
      <c r="AE95" s="123">
        <v>0.0</v>
      </c>
      <c r="AF95" s="123">
        <v>0.0</v>
      </c>
      <c r="AG95" s="124">
        <v>0.0552</v>
      </c>
      <c r="AH95" s="124">
        <v>0.086375628</v>
      </c>
      <c r="AI95" s="125">
        <v>0.0394</v>
      </c>
      <c r="AJ95" s="125">
        <v>0.062031401</v>
      </c>
      <c r="AK95" s="127">
        <v>0.09</v>
      </c>
      <c r="AL95" s="127">
        <v>0.137835865</v>
      </c>
      <c r="AM95" s="128"/>
      <c r="AN95" s="149" t="str">
        <f>IFERROR(
  AVERAGEIFS(
    'New 20102013 LF Efficacy'!$J:$J,
    'New 20102013 LF Efficacy'!$D:$D, $A95,
    'New 20102013 LF Efficacy'!$F:$F,"DEC", 
    'New 20102013 LF Efficacy'!$W:$W,"&lt;2011",
    'New 20102013 LF Efficacy'!$AA:$AA,""),
  ""
)</f>
        <v/>
      </c>
      <c r="AO95" s="115">
        <f t="shared" si="12"/>
        <v>0.478175</v>
      </c>
      <c r="AP95" s="121">
        <f>IFERROR(
AVERAGEIFS(
'New 20102013 LF Efficacy'!$J:$J,
'New 20102013 LF Efficacy'!$D:$D,$A95,
'New 20102013 LF Efficacy'!$F:$F,"Albendazole &amp; DEC",
'New 20102013 LF Efficacy'!$W:$W,"&lt;2011",
'New 20102013 LF Efficacy'!$AA:$AA,""),
"")
</f>
        <v>0.72</v>
      </c>
      <c r="AQ95" s="115">
        <f t="shared" si="13"/>
        <v>0.72</v>
      </c>
      <c r="AR95" s="121" t="str">
        <f>IFERROR(
AVERAGEIFS(
'New 20102013 LF Efficacy'!$J:$J,
'New 20102013 LF Efficacy'!$D:$D,$A95,
'New 20102013 LF Efficacy'!$F:$F,"Albendazole &amp; Ivermectin", 
'New 20102013 LF Efficacy'!$W:$W,"&lt;2011",
'New 20102013 LF Efficacy'!$AA:$AA,""),"")</f>
        <v/>
      </c>
      <c r="AS95" s="115">
        <f t="shared" si="14"/>
        <v>0.14</v>
      </c>
      <c r="AT95" s="130" t="str">
        <f>IFERROR(AVERAGEIFS(
'20102013 Schist Efficacy'!$O:$O, 
'20102013 Schist Efficacy'!$C:$C,$A95, 
'20102013 Schist Efficacy'!$D:$D, "Praziquantel",
'20102013 Schist Efficacy'!$J:$J,"&lt;2011",
'20102013 Schist Efficacy'!$U:$U,""),
"")</f>
        <v/>
      </c>
      <c r="AU95" s="118">
        <f t="shared" si="15"/>
        <v>0.6869715828</v>
      </c>
      <c r="AV95" s="131" t="str">
        <f>IFERROR(AVERAGEIFS(
'20102013 STH Efficacy'!$AX:$AX, 
'20102013 STH Efficacy'!$AL:$AL, $A95, 
'20102013 STH Efficacy'!$AM:$AM, "Albendazole",
'20102013 STH Efficacy'!$AS:$AS,"&lt;2011",
'20102013 STH Efficacy'!$BP:$BP,""),
"")</f>
        <v/>
      </c>
      <c r="AW95" s="132">
        <f t="shared" si="16"/>
        <v>0.4756666667</v>
      </c>
      <c r="AX95" s="131" t="str">
        <f>IFERROR(AVERAGEIFS(
'20102013 STH Efficacy'!$AX:$AX, 
'20102013 STH Efficacy'!$AL:$AL, $A95, 
'20102013 STH Efficacy'!$AM:$AM, "Mebendazole",
'20102013 STH Efficacy'!$AS:$AS,"&lt;2011",
'20102013 STH Efficacy'!$BP:$BP,""),
"")</f>
        <v/>
      </c>
      <c r="AY95" s="132">
        <f t="shared" si="17"/>
        <v>0.3786666667</v>
      </c>
      <c r="AZ95" s="131" t="str">
        <f>IFERROR(AVERAGEIFS(
'20102013 STH Efficacy'!$AX:$AX, 
'20102013 STH Efficacy'!$AL:$AL, $A95, 
'20102013 STH Efficacy'!$AM:$AM, "Albendazole &amp; Ivermectin",
'20102013 STH Efficacy'!$AS:$AS,"&lt;2011",
'20102013 STH Efficacy'!$BP:$BP,""),
"")</f>
        <v/>
      </c>
      <c r="BA95" s="133">
        <f t="shared" si="18"/>
        <v>0.7176666667</v>
      </c>
      <c r="BB95" s="134" t="str">
        <f>IFERROR(AVERAGEIFS(
'20102013 STH Efficacy'!$N:$N, 
'20102013 STH Efficacy'!$B:$B, $A95, 
'20102013 STH Efficacy'!$C:$C, "Albendazole",
'20102013 STH Efficacy'!$I:$I,"&lt;2011",
'20102013 STH Efficacy'!$AH:$AH,""),
"")</f>
        <v/>
      </c>
      <c r="BC95" s="135">
        <f t="shared" si="19"/>
        <v>0.7133333333</v>
      </c>
      <c r="BD95" s="134" t="str">
        <f>IFERROR(AVERAGEIFS(
'20102013 STH Efficacy'!$N:$N, 
'20102013 STH Efficacy'!$B:$B, $A95, 
'20102013 STH Efficacy'!$C:$C, "Mebendazole",
'20102013 STH Efficacy'!$I:$I,"&lt;2011",
'20102013 STH Efficacy'!$AH:$AH,""),
"")</f>
        <v/>
      </c>
      <c r="BE95" s="135">
        <f t="shared" si="20"/>
        <v>0.22675</v>
      </c>
      <c r="BF95" s="128" t="str">
        <f>IFERROR(AVERAGEIFS(
'20102013 STH Efficacy'!$CD:$CD, 
'20102013 STH Efficacy'!$BS:$BS, $A95, 
'20102013 STH Efficacy'!$BT:$BT, "Albendazole",
'20102013 STH Efficacy'!$BZ:$BZ,"&lt;2011",
'20102013 STH Efficacy'!$CU:$CU,""),
"")</f>
        <v/>
      </c>
      <c r="BG95" s="136">
        <f t="shared" si="21"/>
        <v>1</v>
      </c>
      <c r="BH95" s="128" t="str">
        <f>IFERROR(AVERAGEIFS(
'20102013 STH Efficacy'!$CD:$CD, 
'20102013 STH Efficacy'!$BS:$BS, $A95, 
'20102013 STH Efficacy'!$BT:$BT, "Mebendazole",
'20102013 STH Efficacy'!$BZ:$BZ,"&lt;2011",
'20102013 STH Efficacy'!$CU:$CU,""),
"")</f>
        <v/>
      </c>
      <c r="BI95" s="136">
        <f t="shared" si="22"/>
        <v>1</v>
      </c>
      <c r="BJ95" s="128" t="str">
        <f>IFERROR(AVERAGEIFS(
'20102013 STH Efficacy'!$CD:$CD, 
'20102013 STH Efficacy'!$BS:$BS, $A95, 
'20102013 STH Efficacy'!$BT:$BT, "Albendazole &amp; Ivermectin",
'20102013 STH Efficacy'!$BZ:$BZ,"&lt;2011",
'20102013 STH Efficacy'!$CU:$CU,""),
"")</f>
        <v/>
      </c>
      <c r="BK95" s="136">
        <f t="shared" si="23"/>
        <v>1</v>
      </c>
      <c r="BL95" s="137"/>
      <c r="BM95" s="137"/>
      <c r="BN95" s="138">
        <v>1.0</v>
      </c>
      <c r="BO95" s="139">
        <v>1.0</v>
      </c>
      <c r="BP95" s="140">
        <v>1.0</v>
      </c>
      <c r="BQ95" s="141">
        <f t="shared" si="24"/>
        <v>0</v>
      </c>
      <c r="BR95" s="104" t="str">
        <f t="shared" si="25"/>
        <v>1110</v>
      </c>
      <c r="BS95" s="104" t="str">
        <f t="shared" si="26"/>
        <v>MDA1+T2</v>
      </c>
      <c r="BT95" s="142" t="str">
        <f t="shared" si="27"/>
        <v>IVM+ALB</v>
      </c>
      <c r="BU95" s="104" t="str">
        <f t="shared" si="28"/>
        <v>PZQ</v>
      </c>
      <c r="BV95" s="104" t="str">
        <f t="shared" si="29"/>
        <v>lf+onch+schist </v>
      </c>
      <c r="BW95" s="150" t="str">
        <f t="shared" si="30"/>
        <v/>
      </c>
      <c r="BX95" s="150">
        <f t="shared" si="31"/>
        <v>5028.869774</v>
      </c>
      <c r="BY95" s="162">
        <f t="shared" si="32"/>
        <v>689.8861936</v>
      </c>
      <c r="BZ95" s="152" t="str">
        <f t="shared" si="33"/>
        <v/>
      </c>
      <c r="CA95" s="152" t="str">
        <f t="shared" si="34"/>
        <v/>
      </c>
      <c r="CB95" s="152" t="str">
        <f t="shared" si="35"/>
        <v/>
      </c>
      <c r="CC95" s="153" t="str">
        <f t="shared" si="36"/>
        <v/>
      </c>
      <c r="CD95" s="153" t="str">
        <f t="shared" si="37"/>
        <v/>
      </c>
      <c r="CE95" s="154" t="str">
        <f t="shared" si="38"/>
        <v/>
      </c>
      <c r="CF95" s="154" t="str">
        <f t="shared" si="39"/>
        <v/>
      </c>
      <c r="CG95" s="154" t="str">
        <f t="shared" si="40"/>
        <v/>
      </c>
    </row>
    <row r="96">
      <c r="A96" s="155" t="s">
        <v>185</v>
      </c>
      <c r="B96" s="104" t="s">
        <v>88</v>
      </c>
      <c r="C96" s="105">
        <v>7.4567511E7</v>
      </c>
      <c r="D96" s="106">
        <v>0.0</v>
      </c>
      <c r="E96" s="107">
        <v>270.1795771</v>
      </c>
      <c r="F96" s="108">
        <v>2.43302E-4</v>
      </c>
      <c r="G96" s="157">
        <v>0.001263646</v>
      </c>
      <c r="H96" s="108">
        <v>0.001506948</v>
      </c>
      <c r="I96" s="109">
        <v>59.4382217</v>
      </c>
      <c r="J96" s="109">
        <v>67.4203814</v>
      </c>
      <c r="K96" s="110">
        <v>126.8586031</v>
      </c>
      <c r="L96" s="111">
        <v>89.8314063</v>
      </c>
      <c r="M96" s="111">
        <v>53.33096332</v>
      </c>
      <c r="N96" s="112">
        <v>143.1623696</v>
      </c>
      <c r="O96" s="113"/>
      <c r="P96" s="114"/>
      <c r="Q96" s="114"/>
      <c r="R96" s="115" t="str">
        <f t="shared" si="8"/>
        <v/>
      </c>
      <c r="S96" s="116">
        <f t="shared" si="9"/>
        <v>0.3211323089</v>
      </c>
      <c r="T96" s="117"/>
      <c r="U96" s="118">
        <f t="shared" si="41"/>
        <v>0.5949</v>
      </c>
      <c r="V96" s="148"/>
      <c r="W96" s="120">
        <f t="shared" si="10"/>
        <v>0.9019</v>
      </c>
      <c r="X96" s="148"/>
      <c r="Y96" s="120">
        <f t="shared" si="11"/>
        <v>0.094</v>
      </c>
      <c r="Z96" s="121"/>
      <c r="AA96" s="121"/>
      <c r="AB96" s="121"/>
      <c r="AC96" s="121"/>
      <c r="AD96" s="122">
        <v>0.0</v>
      </c>
      <c r="AE96" s="123">
        <v>0.0</v>
      </c>
      <c r="AF96" s="123">
        <v>0.0</v>
      </c>
      <c r="AG96" s="124">
        <v>0.0014</v>
      </c>
      <c r="AH96" s="124">
        <v>0.001873079</v>
      </c>
      <c r="AI96" s="125">
        <v>0.0014</v>
      </c>
      <c r="AJ96" s="125">
        <v>0.001941468</v>
      </c>
      <c r="AK96" s="127">
        <v>0.01</v>
      </c>
      <c r="AL96" s="127">
        <v>0.013881925</v>
      </c>
      <c r="AM96" s="128"/>
      <c r="AN96" s="149" t="str">
        <f>IFERROR(
  AVERAGEIFS(
    'New 20102013 LF Efficacy'!$J:$J,
    'New 20102013 LF Efficacy'!$D:$D, $A96,
    'New 20102013 LF Efficacy'!$F:$F,"DEC", 
    'New 20102013 LF Efficacy'!$W:$W,"&lt;2011",
    'New 20102013 LF Efficacy'!$AA:$AA,""),
  ""
)</f>
        <v/>
      </c>
      <c r="AO96" s="115">
        <f t="shared" si="12"/>
        <v>0.3573520833</v>
      </c>
      <c r="AP96" s="121" t="str">
        <f>IFERROR(
AVERAGEIFS(
'New 20102013 LF Efficacy'!$J:$J,
'New 20102013 LF Efficacy'!$D:$D,$A96,
'New 20102013 LF Efficacy'!$F:$F,"Albendazole &amp; DEC",
'New 20102013 LF Efficacy'!$W:$W,"&lt;2011",
'New 20102013 LF Efficacy'!$AA:$AA,""),
"")
</f>
        <v/>
      </c>
      <c r="AQ96" s="115">
        <f t="shared" si="13"/>
        <v>0.7935</v>
      </c>
      <c r="AR96" s="121" t="str">
        <f>IFERROR(
AVERAGEIFS(
'New 20102013 LF Efficacy'!$J:$J,
'New 20102013 LF Efficacy'!$D:$D,$A96,
'New 20102013 LF Efficacy'!$F:$F,"Albendazole &amp; Ivermectin", 
'New 20102013 LF Efficacy'!$W:$W,"&lt;2011",
'New 20102013 LF Efficacy'!$AA:$AA,""),"")</f>
        <v/>
      </c>
      <c r="AS96" s="115">
        <f t="shared" si="14"/>
        <v>0.37153125</v>
      </c>
      <c r="AT96" s="130" t="str">
        <f>IFERROR(AVERAGEIFS(
'20102013 Schist Efficacy'!$O:$O, 
'20102013 Schist Efficacy'!$C:$C,$A96, 
'20102013 Schist Efficacy'!$D:$D, "Praziquantel",
'20102013 Schist Efficacy'!$J:$J,"&lt;2011",
'20102013 Schist Efficacy'!$U:$U,""),
"")</f>
        <v/>
      </c>
      <c r="AU96" s="118">
        <f t="shared" si="15"/>
        <v>0.7763141026</v>
      </c>
      <c r="AV96" s="131" t="str">
        <f>IFERROR(AVERAGEIFS(
'20102013 STH Efficacy'!$AX:$AX, 
'20102013 STH Efficacy'!$AL:$AL, $A96, 
'20102013 STH Efficacy'!$AM:$AM, "Albendazole",
'20102013 STH Efficacy'!$AS:$AS,"&lt;2011",
'20102013 STH Efficacy'!$BP:$BP,""),
"")</f>
        <v/>
      </c>
      <c r="AW96" s="132">
        <f t="shared" si="16"/>
        <v>0.3842878788</v>
      </c>
      <c r="AX96" s="131" t="str">
        <f>IFERROR(AVERAGEIFS(
'20102013 STH Efficacy'!$AX:$AX, 
'20102013 STH Efficacy'!$AL:$AL, $A96, 
'20102013 STH Efficacy'!$AM:$AM, "Mebendazole",
'20102013 STH Efficacy'!$AS:$AS,"&lt;2011",
'20102013 STH Efficacy'!$BP:$BP,""),
"")</f>
        <v/>
      </c>
      <c r="AY96" s="132">
        <f t="shared" si="17"/>
        <v>0.5121666667</v>
      </c>
      <c r="AZ96" s="131" t="str">
        <f>IFERROR(AVERAGEIFS(
'20102013 STH Efficacy'!$AX:$AX, 
'20102013 STH Efficacy'!$AL:$AL, $A96, 
'20102013 STH Efficacy'!$AM:$AM, "Albendazole &amp; Ivermectin",
'20102013 STH Efficacy'!$AS:$AS,"&lt;2011",
'20102013 STH Efficacy'!$BP:$BP,""),
"")</f>
        <v/>
      </c>
      <c r="BA96" s="133">
        <f t="shared" si="18"/>
        <v>0.7176666667</v>
      </c>
      <c r="BB96" s="134" t="str">
        <f>IFERROR(AVERAGEIFS(
'20102013 STH Efficacy'!$N:$N, 
'20102013 STH Efficacy'!$B:$B, $A96, 
'20102013 STH Efficacy'!$C:$C, "Albendazole",
'20102013 STH Efficacy'!$I:$I,"&lt;2011",
'20102013 STH Efficacy'!$AH:$AH,""),
"")</f>
        <v/>
      </c>
      <c r="BC96" s="135">
        <f t="shared" si="19"/>
        <v>0.7630416667</v>
      </c>
      <c r="BD96" s="134" t="str">
        <f>IFERROR(AVERAGEIFS(
'20102013 STH Efficacy'!$N:$N, 
'20102013 STH Efficacy'!$B:$B, $A96, 
'20102013 STH Efficacy'!$C:$C, "Mebendazole",
'20102013 STH Efficacy'!$I:$I,"&lt;2011",
'20102013 STH Efficacy'!$AH:$AH,""),
"")</f>
        <v/>
      </c>
      <c r="BE96" s="135">
        <f t="shared" si="20"/>
        <v>0.4405966667</v>
      </c>
      <c r="BF96" s="128" t="str">
        <f>IFERROR(AVERAGEIFS(
'20102013 STH Efficacy'!$CD:$CD, 
'20102013 STH Efficacy'!$BS:$BS, $A96, 
'20102013 STH Efficacy'!$BT:$BT, "Albendazole",
'20102013 STH Efficacy'!$BZ:$BZ,"&lt;2011",
'20102013 STH Efficacy'!$CU:$CU,""),
"")</f>
        <v/>
      </c>
      <c r="BG96" s="136">
        <f t="shared" si="21"/>
        <v>0.955</v>
      </c>
      <c r="BH96" s="128" t="str">
        <f>IFERROR(AVERAGEIFS(
'20102013 STH Efficacy'!$CD:$CD, 
'20102013 STH Efficacy'!$BS:$BS, $A96, 
'20102013 STH Efficacy'!$BT:$BT, "Mebendazole",
'20102013 STH Efficacy'!$BZ:$BZ,"&lt;2011",
'20102013 STH Efficacy'!$CU:$CU,""),
"")</f>
        <v/>
      </c>
      <c r="BI96" s="136">
        <f t="shared" si="22"/>
        <v>1</v>
      </c>
      <c r="BJ96" s="128" t="str">
        <f>IFERROR(AVERAGEIFS(
'20102013 STH Efficacy'!$CD:$CD, 
'20102013 STH Efficacy'!$BS:$BS, $A96, 
'20102013 STH Efficacy'!$BT:$BT, "Albendazole &amp; Ivermectin",
'20102013 STH Efficacy'!$BZ:$BZ,"&lt;2011",
'20102013 STH Efficacy'!$CU:$CU,""),
"")</f>
        <v/>
      </c>
      <c r="BK96" s="136">
        <f t="shared" si="23"/>
        <v>1</v>
      </c>
      <c r="BL96" s="137"/>
      <c r="BM96" s="137"/>
      <c r="BN96" s="138">
        <v>0.0</v>
      </c>
      <c r="BO96" s="139">
        <v>0.0</v>
      </c>
      <c r="BP96" s="140">
        <v>0.0</v>
      </c>
      <c r="BQ96" s="141">
        <f t="shared" si="24"/>
        <v>0</v>
      </c>
      <c r="BR96" s="104" t="str">
        <f t="shared" si="25"/>
        <v>0000</v>
      </c>
      <c r="BS96" s="104" t="str">
        <f t="shared" si="26"/>
        <v>no action required</v>
      </c>
      <c r="BT96" s="142" t="str">
        <f t="shared" si="27"/>
        <v/>
      </c>
      <c r="BU96" s="104" t="str">
        <f t="shared" si="28"/>
        <v/>
      </c>
      <c r="BV96" s="104" t="str">
        <f t="shared" si="29"/>
        <v>none</v>
      </c>
      <c r="BW96" s="150" t="str">
        <f t="shared" si="30"/>
        <v/>
      </c>
      <c r="BX96" s="150" t="str">
        <f t="shared" si="31"/>
        <v/>
      </c>
      <c r="BY96" s="151" t="str">
        <f t="shared" si="32"/>
        <v/>
      </c>
      <c r="BZ96" s="152" t="str">
        <f t="shared" si="33"/>
        <v/>
      </c>
      <c r="CA96" s="152" t="str">
        <f t="shared" si="34"/>
        <v/>
      </c>
      <c r="CB96" s="152" t="str">
        <f t="shared" si="35"/>
        <v/>
      </c>
      <c r="CC96" s="153" t="str">
        <f t="shared" si="36"/>
        <v/>
      </c>
      <c r="CD96" s="153" t="str">
        <f t="shared" si="37"/>
        <v/>
      </c>
      <c r="CE96" s="154" t="str">
        <f t="shared" si="38"/>
        <v/>
      </c>
      <c r="CF96" s="154" t="str">
        <f t="shared" si="39"/>
        <v/>
      </c>
      <c r="CG96" s="154" t="str">
        <f t="shared" si="40"/>
        <v/>
      </c>
    </row>
    <row r="97">
      <c r="A97" s="155" t="s">
        <v>186</v>
      </c>
      <c r="B97" s="104" t="s">
        <v>88</v>
      </c>
      <c r="C97" s="105">
        <v>3.0762701E7</v>
      </c>
      <c r="D97" s="106">
        <v>0.0</v>
      </c>
      <c r="E97" s="107">
        <v>4938.395689</v>
      </c>
      <c r="F97" s="108">
        <v>0.002811919</v>
      </c>
      <c r="G97" s="108">
        <v>0.011415774</v>
      </c>
      <c r="H97" s="157">
        <v>0.014227693</v>
      </c>
      <c r="I97" s="110">
        <v>0.47692411</v>
      </c>
      <c r="J97" s="110">
        <v>0.8786239</v>
      </c>
      <c r="K97" s="110">
        <v>1.355548005</v>
      </c>
      <c r="L97" s="111">
        <v>54.0447701</v>
      </c>
      <c r="M97" s="112">
        <v>21.15575386</v>
      </c>
      <c r="N97" s="112">
        <v>75.20052396</v>
      </c>
      <c r="O97" s="113"/>
      <c r="P97" s="114"/>
      <c r="Q97" s="114"/>
      <c r="R97" s="115" t="str">
        <f t="shared" si="8"/>
        <v/>
      </c>
      <c r="S97" s="116">
        <f t="shared" si="9"/>
        <v>0.3211323089</v>
      </c>
      <c r="T97" s="117"/>
      <c r="U97" s="118">
        <f t="shared" si="41"/>
        <v>0.5949</v>
      </c>
      <c r="V97" s="148"/>
      <c r="W97" s="120">
        <f t="shared" si="10"/>
        <v>0.9019</v>
      </c>
      <c r="X97" s="148"/>
      <c r="Y97" s="120">
        <f t="shared" si="11"/>
        <v>0.094</v>
      </c>
      <c r="Z97" s="121"/>
      <c r="AA97" s="121"/>
      <c r="AB97" s="121"/>
      <c r="AC97" s="121"/>
      <c r="AD97" s="122">
        <v>0.0</v>
      </c>
      <c r="AE97" s="123">
        <v>0.02</v>
      </c>
      <c r="AF97" s="123">
        <v>0.0026</v>
      </c>
      <c r="AG97" s="124">
        <v>2.0E-4</v>
      </c>
      <c r="AH97" s="124">
        <v>3.62614E-4</v>
      </c>
      <c r="AI97" s="125">
        <v>0.0</v>
      </c>
      <c r="AJ97" s="125">
        <v>2.64E-5</v>
      </c>
      <c r="AK97" s="127">
        <v>0.0</v>
      </c>
      <c r="AL97" s="127">
        <v>5.91351E-4</v>
      </c>
      <c r="AM97" s="128"/>
      <c r="AN97" s="149" t="str">
        <f>IFERROR(
  AVERAGEIFS(
    'New 20102013 LF Efficacy'!$J:$J,
    'New 20102013 LF Efficacy'!$D:$D, $A97,
    'New 20102013 LF Efficacy'!$F:$F,"DEC", 
    'New 20102013 LF Efficacy'!$W:$W,"&lt;2011",
    'New 20102013 LF Efficacy'!$AA:$AA,""),
  ""
)</f>
        <v/>
      </c>
      <c r="AO97" s="115">
        <f t="shared" si="12"/>
        <v>0.3573520833</v>
      </c>
      <c r="AP97" s="121" t="str">
        <f>IFERROR(
AVERAGEIFS(
'New 20102013 LF Efficacy'!$J:$J,
'New 20102013 LF Efficacy'!$D:$D,$A97,
'New 20102013 LF Efficacy'!$F:$F,"Albendazole &amp; DEC",
'New 20102013 LF Efficacy'!$W:$W,"&lt;2011",
'New 20102013 LF Efficacy'!$AA:$AA,""),
"")
</f>
        <v/>
      </c>
      <c r="AQ97" s="115">
        <f t="shared" si="13"/>
        <v>0.7935</v>
      </c>
      <c r="AR97" s="121" t="str">
        <f>IFERROR(
AVERAGEIFS(
'New 20102013 LF Efficacy'!$J:$J,
'New 20102013 LF Efficacy'!$D:$D,$A97,
'New 20102013 LF Efficacy'!$F:$F,"Albendazole &amp; Ivermectin", 
'New 20102013 LF Efficacy'!$W:$W,"&lt;2011",
'New 20102013 LF Efficacy'!$AA:$AA,""),"")</f>
        <v/>
      </c>
      <c r="AS97" s="115">
        <f t="shared" si="14"/>
        <v>0.37153125</v>
      </c>
      <c r="AT97" s="130" t="str">
        <f>IFERROR(AVERAGEIFS(
'20102013 Schist Efficacy'!$O:$O, 
'20102013 Schist Efficacy'!$C:$C,$A97, 
'20102013 Schist Efficacy'!$D:$D, "Praziquantel",
'20102013 Schist Efficacy'!$J:$J,"&lt;2011",
'20102013 Schist Efficacy'!$U:$U,""),
"")</f>
        <v/>
      </c>
      <c r="AU97" s="118">
        <f t="shared" si="15"/>
        <v>0.7763141026</v>
      </c>
      <c r="AV97" s="131" t="str">
        <f>IFERROR(AVERAGEIFS(
'20102013 STH Efficacy'!$AX:$AX, 
'20102013 STH Efficacy'!$AL:$AL, $A97, 
'20102013 STH Efficacy'!$AM:$AM, "Albendazole",
'20102013 STH Efficacy'!$AS:$AS,"&lt;2011",
'20102013 STH Efficacy'!$BP:$BP,""),
"")</f>
        <v/>
      </c>
      <c r="AW97" s="132">
        <f t="shared" si="16"/>
        <v>0.3842878788</v>
      </c>
      <c r="AX97" s="131" t="str">
        <f>IFERROR(AVERAGEIFS(
'20102013 STH Efficacy'!$AX:$AX, 
'20102013 STH Efficacy'!$AL:$AL, $A97, 
'20102013 STH Efficacy'!$AM:$AM, "Mebendazole",
'20102013 STH Efficacy'!$AS:$AS,"&lt;2011",
'20102013 STH Efficacy'!$BP:$BP,""),
"")</f>
        <v/>
      </c>
      <c r="AY97" s="132">
        <f t="shared" si="17"/>
        <v>0.5121666667</v>
      </c>
      <c r="AZ97" s="131" t="str">
        <f>IFERROR(AVERAGEIFS(
'20102013 STH Efficacy'!$AX:$AX, 
'20102013 STH Efficacy'!$AL:$AL, $A97, 
'20102013 STH Efficacy'!$AM:$AM, "Albendazole &amp; Ivermectin",
'20102013 STH Efficacy'!$AS:$AS,"&lt;2011",
'20102013 STH Efficacy'!$BP:$BP,""),
"")</f>
        <v/>
      </c>
      <c r="BA97" s="133">
        <f t="shared" si="18"/>
        <v>0.7176666667</v>
      </c>
      <c r="BB97" s="134" t="str">
        <f>IFERROR(AVERAGEIFS(
'20102013 STH Efficacy'!$N:$N, 
'20102013 STH Efficacy'!$B:$B, $A97, 
'20102013 STH Efficacy'!$C:$C, "Albendazole",
'20102013 STH Efficacy'!$I:$I,"&lt;2011",
'20102013 STH Efficacy'!$AH:$AH,""),
"")</f>
        <v/>
      </c>
      <c r="BC97" s="135">
        <f t="shared" si="19"/>
        <v>0.7630416667</v>
      </c>
      <c r="BD97" s="134" t="str">
        <f>IFERROR(AVERAGEIFS(
'20102013 STH Efficacy'!$N:$N, 
'20102013 STH Efficacy'!$B:$B, $A97, 
'20102013 STH Efficacy'!$C:$C, "Mebendazole",
'20102013 STH Efficacy'!$I:$I,"&lt;2011",
'20102013 STH Efficacy'!$AH:$AH,""),
"")</f>
        <v/>
      </c>
      <c r="BE97" s="135">
        <f t="shared" si="20"/>
        <v>0.4405966667</v>
      </c>
      <c r="BF97" s="128">
        <f>IFERROR(AVERAGEIFS(
'20102013 STH Efficacy'!$CD:$CD, 
'20102013 STH Efficacy'!$BS:$BS, $A97, 
'20102013 STH Efficacy'!$BT:$BT, "Albendazole",
'20102013 STH Efficacy'!$BZ:$BZ,"&lt;2011",
'20102013 STH Efficacy'!$CU:$CU,""),
"")</f>
        <v>0.955</v>
      </c>
      <c r="BG97" s="136">
        <f t="shared" si="21"/>
        <v>0.955</v>
      </c>
      <c r="BH97" s="128" t="str">
        <f>IFERROR(AVERAGEIFS(
'20102013 STH Efficacy'!$CD:$CD, 
'20102013 STH Efficacy'!$BS:$BS, $A97, 
'20102013 STH Efficacy'!$BT:$BT, "Mebendazole",
'20102013 STH Efficacy'!$BZ:$BZ,"&lt;2011",
'20102013 STH Efficacy'!$CU:$CU,""),
"")</f>
        <v/>
      </c>
      <c r="BI97" s="136">
        <f t="shared" si="22"/>
        <v>1</v>
      </c>
      <c r="BJ97" s="128" t="str">
        <f>IFERROR(AVERAGEIFS(
'20102013 STH Efficacy'!$CD:$CD, 
'20102013 STH Efficacy'!$BS:$BS, $A97, 
'20102013 STH Efficacy'!$BT:$BT, "Albendazole &amp; Ivermectin",
'20102013 STH Efficacy'!$BZ:$BZ,"&lt;2011",
'20102013 STH Efficacy'!$CU:$CU,""),
"")</f>
        <v/>
      </c>
      <c r="BK97" s="136">
        <f t="shared" si="23"/>
        <v>1</v>
      </c>
      <c r="BL97" s="137"/>
      <c r="BM97" s="137"/>
      <c r="BN97" s="138">
        <v>0.0</v>
      </c>
      <c r="BO97" s="139">
        <v>0.0</v>
      </c>
      <c r="BP97" s="140">
        <v>0.0</v>
      </c>
      <c r="BQ97" s="141">
        <f t="shared" si="24"/>
        <v>0</v>
      </c>
      <c r="BR97" s="104" t="str">
        <f t="shared" si="25"/>
        <v>0000</v>
      </c>
      <c r="BS97" s="104" t="str">
        <f t="shared" si="26"/>
        <v>no action required</v>
      </c>
      <c r="BT97" s="142" t="str">
        <f t="shared" si="27"/>
        <v/>
      </c>
      <c r="BU97" s="104" t="str">
        <f t="shared" si="28"/>
        <v/>
      </c>
      <c r="BV97" s="104" t="str">
        <f t="shared" si="29"/>
        <v>none</v>
      </c>
      <c r="BW97" s="150" t="str">
        <f t="shared" si="30"/>
        <v/>
      </c>
      <c r="BX97" s="150" t="str">
        <f t="shared" si="31"/>
        <v/>
      </c>
      <c r="BY97" s="151" t="str">
        <f t="shared" si="32"/>
        <v/>
      </c>
      <c r="BZ97" s="152" t="str">
        <f t="shared" si="33"/>
        <v/>
      </c>
      <c r="CA97" s="152" t="str">
        <f t="shared" si="34"/>
        <v/>
      </c>
      <c r="CB97" s="152" t="str">
        <f t="shared" si="35"/>
        <v/>
      </c>
      <c r="CC97" s="153" t="str">
        <f t="shared" si="36"/>
        <v/>
      </c>
      <c r="CD97" s="153" t="str">
        <f t="shared" si="37"/>
        <v/>
      </c>
      <c r="CE97" s="154" t="str">
        <f t="shared" si="38"/>
        <v/>
      </c>
      <c r="CF97" s="154" t="str">
        <f t="shared" si="39"/>
        <v/>
      </c>
      <c r="CG97" s="154" t="str">
        <f t="shared" si="40"/>
        <v/>
      </c>
    </row>
    <row r="98">
      <c r="A98" s="155" t="s">
        <v>187</v>
      </c>
      <c r="B98" s="104" t="s">
        <v>90</v>
      </c>
      <c r="C98" s="105">
        <v>4560155.0</v>
      </c>
      <c r="D98" s="106">
        <v>0.0</v>
      </c>
      <c r="E98" s="107">
        <v>0.0</v>
      </c>
      <c r="F98" s="108">
        <v>0.0</v>
      </c>
      <c r="G98" s="108">
        <v>0.0</v>
      </c>
      <c r="H98" s="157">
        <v>0.0</v>
      </c>
      <c r="I98" s="110">
        <v>0.0</v>
      </c>
      <c r="J98" s="109">
        <v>0.0</v>
      </c>
      <c r="K98" s="109">
        <v>0.0</v>
      </c>
      <c r="L98" s="112">
        <v>0.0</v>
      </c>
      <c r="M98" s="112">
        <v>0.0</v>
      </c>
      <c r="N98" s="112">
        <v>0.0</v>
      </c>
      <c r="O98" s="113"/>
      <c r="P98" s="114"/>
      <c r="Q98" s="114"/>
      <c r="R98" s="115" t="str">
        <f t="shared" si="8"/>
        <v/>
      </c>
      <c r="S98" s="116">
        <f t="shared" si="9"/>
        <v>0.4013436246</v>
      </c>
      <c r="T98" s="117"/>
      <c r="U98" s="118">
        <f t="shared" si="41"/>
        <v>0.3468166667</v>
      </c>
      <c r="V98" s="148"/>
      <c r="W98" s="120">
        <f t="shared" si="10"/>
        <v>1</v>
      </c>
      <c r="X98" s="148"/>
      <c r="Y98" s="120">
        <f t="shared" si="11"/>
        <v>0.71735</v>
      </c>
      <c r="Z98" s="121"/>
      <c r="AA98" s="121"/>
      <c r="AB98" s="121"/>
      <c r="AC98" s="121"/>
      <c r="AD98" s="122">
        <v>0.0</v>
      </c>
      <c r="AE98" s="123">
        <v>0.0</v>
      </c>
      <c r="AF98" s="123">
        <v>0.0</v>
      </c>
      <c r="AG98" s="167">
        <v>0.0</v>
      </c>
      <c r="AH98" s="124">
        <v>0.0</v>
      </c>
      <c r="AI98" s="168">
        <v>0.0</v>
      </c>
      <c r="AJ98" s="125">
        <v>0.0</v>
      </c>
      <c r="AK98" s="127">
        <v>0.0</v>
      </c>
      <c r="AL98" s="127">
        <v>0.0</v>
      </c>
      <c r="AM98" s="128"/>
      <c r="AN98" s="149" t="str">
        <f>IFERROR(
  AVERAGEIFS(
    'New 20102013 LF Efficacy'!$J:$J,
    'New 20102013 LF Efficacy'!$D:$D, $A98,
    'New 20102013 LF Efficacy'!$F:$F,"DEC", 
    'New 20102013 LF Efficacy'!$W:$W,"&lt;2011",
    'New 20102013 LF Efficacy'!$AA:$AA,""),
  ""
)</f>
        <v/>
      </c>
      <c r="AO98" s="115">
        <f t="shared" si="12"/>
        <v>0.3573520833</v>
      </c>
      <c r="AP98" s="121" t="str">
        <f>IFERROR(
AVERAGEIFS(
'New 20102013 LF Efficacy'!$J:$J,
'New 20102013 LF Efficacy'!$D:$D,$A98,
'New 20102013 LF Efficacy'!$F:$F,"Albendazole &amp; DEC",
'New 20102013 LF Efficacy'!$W:$W,"&lt;2011",
'New 20102013 LF Efficacy'!$AA:$AA,""),
"")
</f>
        <v/>
      </c>
      <c r="AQ98" s="115">
        <f t="shared" si="13"/>
        <v>0.5137291667</v>
      </c>
      <c r="AR98" s="121" t="str">
        <f>IFERROR(
AVERAGEIFS(
'New 20102013 LF Efficacy'!$J:$J,
'New 20102013 LF Efficacy'!$D:$D,$A98,
'New 20102013 LF Efficacy'!$F:$F,"Albendazole &amp; Ivermectin", 
'New 20102013 LF Efficacy'!$W:$W,"&lt;2011",
'New 20102013 LF Efficacy'!$AA:$AA,""),"")</f>
        <v/>
      </c>
      <c r="AS98" s="115">
        <f t="shared" si="14"/>
        <v>0.37153125</v>
      </c>
      <c r="AT98" s="130" t="str">
        <f>IFERROR(AVERAGEIFS(
'20102013 Schist Efficacy'!$O:$O, 
'20102013 Schist Efficacy'!$C:$C,$A98, 
'20102013 Schist Efficacy'!$D:$D, "Praziquantel",
'20102013 Schist Efficacy'!$J:$J,"&lt;2011",
'20102013 Schist Efficacy'!$U:$U,""),
"")</f>
        <v/>
      </c>
      <c r="AU98" s="118">
        <f t="shared" si="15"/>
        <v>0.655</v>
      </c>
      <c r="AV98" s="131" t="str">
        <f>IFERROR(AVERAGEIFS(
'20102013 STH Efficacy'!$AX:$AX, 
'20102013 STH Efficacy'!$AL:$AL, $A98, 
'20102013 STH Efficacy'!$AM:$AM, "Albendazole",
'20102013 STH Efficacy'!$AS:$AS,"&lt;2011",
'20102013 STH Efficacy'!$BP:$BP,""),
"")</f>
        <v/>
      </c>
      <c r="AW98" s="132">
        <f t="shared" si="16"/>
        <v>0.3842878788</v>
      </c>
      <c r="AX98" s="131" t="str">
        <f>IFERROR(AVERAGEIFS(
'20102013 STH Efficacy'!$AX:$AX, 
'20102013 STH Efficacy'!$AL:$AL, $A98, 
'20102013 STH Efficacy'!$AM:$AM, "Mebendazole",
'20102013 STH Efficacy'!$AS:$AS,"&lt;2011",
'20102013 STH Efficacy'!$BP:$BP,""),
"")</f>
        <v/>
      </c>
      <c r="AY98" s="132">
        <f t="shared" si="17"/>
        <v>0.5121666667</v>
      </c>
      <c r="AZ98" s="131" t="str">
        <f>IFERROR(AVERAGEIFS(
'20102013 STH Efficacy'!$AX:$AX, 
'20102013 STH Efficacy'!$AL:$AL, $A98, 
'20102013 STH Efficacy'!$AM:$AM, "Albendazole &amp; Ivermectin",
'20102013 STH Efficacy'!$AS:$AS,"&lt;2011",
'20102013 STH Efficacy'!$BP:$BP,""),
"")</f>
        <v/>
      </c>
      <c r="BA98" s="133">
        <f t="shared" si="18"/>
        <v>0.7176666667</v>
      </c>
      <c r="BB98" s="134" t="str">
        <f>IFERROR(AVERAGEIFS(
'20102013 STH Efficacy'!$N:$N, 
'20102013 STH Efficacy'!$B:$B, $A98, 
'20102013 STH Efficacy'!$C:$C, "Albendazole",
'20102013 STH Efficacy'!$I:$I,"&lt;2011",
'20102013 STH Efficacy'!$AH:$AH,""),
"")</f>
        <v/>
      </c>
      <c r="BC98" s="135">
        <f t="shared" si="19"/>
        <v>0.7630416667</v>
      </c>
      <c r="BD98" s="134" t="str">
        <f>IFERROR(AVERAGEIFS(
'20102013 STH Efficacy'!$N:$N, 
'20102013 STH Efficacy'!$B:$B, $A98, 
'20102013 STH Efficacy'!$C:$C, "Mebendazole",
'20102013 STH Efficacy'!$I:$I,"&lt;2011",
'20102013 STH Efficacy'!$AH:$AH,""),
"")</f>
        <v/>
      </c>
      <c r="BE98" s="135">
        <f t="shared" si="20"/>
        <v>0.4405966667</v>
      </c>
      <c r="BF98" s="128" t="str">
        <f>IFERROR(AVERAGEIFS(
'20102013 STH Efficacy'!$CD:$CD, 
'20102013 STH Efficacy'!$BS:$BS, $A98, 
'20102013 STH Efficacy'!$BT:$BT, "Albendazole",
'20102013 STH Efficacy'!$BZ:$BZ,"&lt;2011",
'20102013 STH Efficacy'!$CU:$CU,""),
"")</f>
        <v/>
      </c>
      <c r="BG98" s="136">
        <f t="shared" si="21"/>
        <v>0.9403222222</v>
      </c>
      <c r="BH98" s="128" t="str">
        <f>IFERROR(AVERAGEIFS(
'20102013 STH Efficacy'!$CD:$CD, 
'20102013 STH Efficacy'!$BS:$BS, $A98, 
'20102013 STH Efficacy'!$BT:$BT, "Mebendazole",
'20102013 STH Efficacy'!$BZ:$BZ,"&lt;2011",
'20102013 STH Efficacy'!$CU:$CU,""),
"")</f>
        <v/>
      </c>
      <c r="BI98" s="136">
        <f t="shared" si="22"/>
        <v>0.9229285714</v>
      </c>
      <c r="BJ98" s="128" t="str">
        <f>IFERROR(AVERAGEIFS(
'20102013 STH Efficacy'!$CD:$CD, 
'20102013 STH Efficacy'!$BS:$BS, $A98, 
'20102013 STH Efficacy'!$BT:$BT, "Albendazole &amp; Ivermectin",
'20102013 STH Efficacy'!$BZ:$BZ,"&lt;2011",
'20102013 STH Efficacy'!$CU:$CU,""),
"")</f>
        <v/>
      </c>
      <c r="BK98" s="136">
        <f t="shared" si="23"/>
        <v>1</v>
      </c>
      <c r="BL98" s="137"/>
      <c r="BM98" s="137"/>
      <c r="BN98" s="138">
        <v>0.0</v>
      </c>
      <c r="BO98" s="139">
        <v>0.0</v>
      </c>
      <c r="BP98" s="140">
        <v>0.0</v>
      </c>
      <c r="BQ98" s="141">
        <f t="shared" si="24"/>
        <v>0</v>
      </c>
      <c r="BR98" s="104" t="str">
        <f t="shared" si="25"/>
        <v>0000</v>
      </c>
      <c r="BS98" s="104" t="str">
        <f t="shared" si="26"/>
        <v>no action required</v>
      </c>
      <c r="BT98" s="142" t="str">
        <f t="shared" si="27"/>
        <v/>
      </c>
      <c r="BU98" s="104" t="str">
        <f t="shared" si="28"/>
        <v/>
      </c>
      <c r="BV98" s="104" t="str">
        <f t="shared" si="29"/>
        <v>none</v>
      </c>
      <c r="BW98" s="150" t="str">
        <f t="shared" si="30"/>
        <v/>
      </c>
      <c r="BX98" s="150" t="str">
        <f t="shared" si="31"/>
        <v/>
      </c>
      <c r="BY98" s="151" t="str">
        <f t="shared" si="32"/>
        <v/>
      </c>
      <c r="BZ98" s="152" t="str">
        <f t="shared" si="33"/>
        <v/>
      </c>
      <c r="CA98" s="152" t="str">
        <f t="shared" si="34"/>
        <v/>
      </c>
      <c r="CB98" s="152" t="str">
        <f t="shared" si="35"/>
        <v/>
      </c>
      <c r="CC98" s="153" t="str">
        <f t="shared" si="36"/>
        <v/>
      </c>
      <c r="CD98" s="153" t="str">
        <f t="shared" si="37"/>
        <v/>
      </c>
      <c r="CE98" s="154" t="str">
        <f t="shared" si="38"/>
        <v/>
      </c>
      <c r="CF98" s="154" t="str">
        <f t="shared" si="39"/>
        <v/>
      </c>
      <c r="CG98" s="154" t="str">
        <f t="shared" si="40"/>
        <v/>
      </c>
    </row>
    <row r="99">
      <c r="A99" s="155" t="s">
        <v>188</v>
      </c>
      <c r="B99" s="104" t="s">
        <v>90</v>
      </c>
      <c r="C99" s="105">
        <v>7623600.0</v>
      </c>
      <c r="D99" s="106">
        <v>0.0</v>
      </c>
      <c r="E99" s="107">
        <v>0.0</v>
      </c>
      <c r="F99" s="108">
        <v>0.0</v>
      </c>
      <c r="G99" s="108">
        <v>0.0</v>
      </c>
      <c r="H99" s="108">
        <v>0.0</v>
      </c>
      <c r="I99" s="109">
        <v>0.0</v>
      </c>
      <c r="J99" s="109">
        <v>0.0</v>
      </c>
      <c r="K99" s="109">
        <v>0.0</v>
      </c>
      <c r="L99" s="112">
        <v>0.0</v>
      </c>
      <c r="M99" s="112">
        <v>0.0</v>
      </c>
      <c r="N99" s="112">
        <v>0.0</v>
      </c>
      <c r="O99" s="113"/>
      <c r="P99" s="114"/>
      <c r="Q99" s="114"/>
      <c r="R99" s="115" t="str">
        <f t="shared" si="8"/>
        <v/>
      </c>
      <c r="S99" s="116">
        <f t="shared" si="9"/>
        <v>0.4013436246</v>
      </c>
      <c r="T99" s="117"/>
      <c r="U99" s="118">
        <f t="shared" si="41"/>
        <v>0.3468166667</v>
      </c>
      <c r="V99" s="148"/>
      <c r="W99" s="120">
        <f t="shared" si="10"/>
        <v>1</v>
      </c>
      <c r="X99" s="148"/>
      <c r="Y99" s="120">
        <f t="shared" si="11"/>
        <v>0.71735</v>
      </c>
      <c r="Z99" s="114"/>
      <c r="AA99" s="114"/>
      <c r="AB99" s="114"/>
      <c r="AC99" s="114"/>
      <c r="AD99" s="164">
        <v>0.0</v>
      </c>
      <c r="AE99" s="123">
        <v>0.0</v>
      </c>
      <c r="AF99" s="123">
        <v>0.0</v>
      </c>
      <c r="AG99" s="167">
        <v>0.0</v>
      </c>
      <c r="AH99" s="124">
        <v>0.0</v>
      </c>
      <c r="AI99" s="168">
        <v>0.0</v>
      </c>
      <c r="AJ99" s="125">
        <v>0.0</v>
      </c>
      <c r="AK99" s="127">
        <v>0.0</v>
      </c>
      <c r="AL99" s="169">
        <v>0.0</v>
      </c>
      <c r="AM99" s="128"/>
      <c r="AN99" s="149" t="str">
        <f>IFERROR(
  AVERAGEIFS(
    'New 20102013 LF Efficacy'!$J:$J,
    'New 20102013 LF Efficacy'!$D:$D, $A99,
    'New 20102013 LF Efficacy'!$F:$F,"DEC", 
    'New 20102013 LF Efficacy'!$W:$W,"&lt;2011",
    'New 20102013 LF Efficacy'!$AA:$AA,""),
  ""
)</f>
        <v/>
      </c>
      <c r="AO99" s="115">
        <f t="shared" si="12"/>
        <v>0.3573520833</v>
      </c>
      <c r="AP99" s="121" t="str">
        <f>IFERROR(
AVERAGEIFS(
'New 20102013 LF Efficacy'!$J:$J,
'New 20102013 LF Efficacy'!$D:$D,$A99,
'New 20102013 LF Efficacy'!$F:$F,"Albendazole &amp; DEC",
'New 20102013 LF Efficacy'!$W:$W,"&lt;2011",
'New 20102013 LF Efficacy'!$AA:$AA,""),
"")
</f>
        <v/>
      </c>
      <c r="AQ99" s="115">
        <f t="shared" si="13"/>
        <v>0.5137291667</v>
      </c>
      <c r="AR99" s="121" t="str">
        <f>IFERROR(
AVERAGEIFS(
'New 20102013 LF Efficacy'!$J:$J,
'New 20102013 LF Efficacy'!$D:$D,$A99,
'New 20102013 LF Efficacy'!$F:$F,"Albendazole &amp; Ivermectin", 
'New 20102013 LF Efficacy'!$W:$W,"&lt;2011",
'New 20102013 LF Efficacy'!$AA:$AA,""),"")</f>
        <v/>
      </c>
      <c r="AS99" s="115">
        <f t="shared" si="14"/>
        <v>0.37153125</v>
      </c>
      <c r="AT99" s="130" t="str">
        <f>IFERROR(AVERAGEIFS(
'20102013 Schist Efficacy'!$O:$O, 
'20102013 Schist Efficacy'!$C:$C,$A99, 
'20102013 Schist Efficacy'!$D:$D, "Praziquantel",
'20102013 Schist Efficacy'!$J:$J,"&lt;2011",
'20102013 Schist Efficacy'!$U:$U,""),
"")</f>
        <v/>
      </c>
      <c r="AU99" s="118">
        <f t="shared" si="15"/>
        <v>0.655</v>
      </c>
      <c r="AV99" s="131" t="str">
        <f>IFERROR(AVERAGEIFS(
'20102013 STH Efficacy'!$AX:$AX, 
'20102013 STH Efficacy'!$AL:$AL, $A99, 
'20102013 STH Efficacy'!$AM:$AM, "Albendazole",
'20102013 STH Efficacy'!$AS:$AS,"&lt;2011",
'20102013 STH Efficacy'!$BP:$BP,""),
"")</f>
        <v/>
      </c>
      <c r="AW99" s="132">
        <f t="shared" si="16"/>
        <v>0.3842878788</v>
      </c>
      <c r="AX99" s="131" t="str">
        <f>IFERROR(AVERAGEIFS(
'20102013 STH Efficacy'!$AX:$AX, 
'20102013 STH Efficacy'!$AL:$AL, $A99, 
'20102013 STH Efficacy'!$AM:$AM, "Mebendazole",
'20102013 STH Efficacy'!$AS:$AS,"&lt;2011",
'20102013 STH Efficacy'!$BP:$BP,""),
"")</f>
        <v/>
      </c>
      <c r="AY99" s="132">
        <f t="shared" si="17"/>
        <v>0.5121666667</v>
      </c>
      <c r="AZ99" s="131" t="str">
        <f>IFERROR(AVERAGEIFS(
'20102013 STH Efficacy'!$AX:$AX, 
'20102013 STH Efficacy'!$AL:$AL, $A99, 
'20102013 STH Efficacy'!$AM:$AM, "Albendazole &amp; Ivermectin",
'20102013 STH Efficacy'!$AS:$AS,"&lt;2011",
'20102013 STH Efficacy'!$BP:$BP,""),
"")</f>
        <v/>
      </c>
      <c r="BA99" s="133">
        <f t="shared" si="18"/>
        <v>0.7176666667</v>
      </c>
      <c r="BB99" s="134" t="str">
        <f>IFERROR(AVERAGEIFS(
'20102013 STH Efficacy'!$N:$N, 
'20102013 STH Efficacy'!$B:$B, $A99, 
'20102013 STH Efficacy'!$C:$C, "Albendazole",
'20102013 STH Efficacy'!$I:$I,"&lt;2011",
'20102013 STH Efficacy'!$AH:$AH,""),
"")</f>
        <v/>
      </c>
      <c r="BC99" s="135">
        <f t="shared" si="19"/>
        <v>0.7630416667</v>
      </c>
      <c r="BD99" s="134" t="str">
        <f>IFERROR(AVERAGEIFS(
'20102013 STH Efficacy'!$N:$N, 
'20102013 STH Efficacy'!$B:$B, $A99, 
'20102013 STH Efficacy'!$C:$C, "Mebendazole",
'20102013 STH Efficacy'!$I:$I,"&lt;2011",
'20102013 STH Efficacy'!$AH:$AH,""),
"")</f>
        <v/>
      </c>
      <c r="BE99" s="135">
        <f t="shared" si="20"/>
        <v>0.4405966667</v>
      </c>
      <c r="BF99" s="128" t="str">
        <f>IFERROR(AVERAGEIFS(
'20102013 STH Efficacy'!$CD:$CD, 
'20102013 STH Efficacy'!$BS:$BS, $A99, 
'20102013 STH Efficacy'!$BT:$BT, "Albendazole",
'20102013 STH Efficacy'!$BZ:$BZ,"&lt;2011",
'20102013 STH Efficacy'!$CU:$CU,""),
"")</f>
        <v/>
      </c>
      <c r="BG99" s="136">
        <f t="shared" si="21"/>
        <v>0.9403222222</v>
      </c>
      <c r="BH99" s="128" t="str">
        <f>IFERROR(AVERAGEIFS(
'20102013 STH Efficacy'!$CD:$CD, 
'20102013 STH Efficacy'!$BS:$BS, $A99, 
'20102013 STH Efficacy'!$BT:$BT, "Mebendazole",
'20102013 STH Efficacy'!$BZ:$BZ,"&lt;2011",
'20102013 STH Efficacy'!$CU:$CU,""),
"")</f>
        <v/>
      </c>
      <c r="BI99" s="136">
        <f t="shared" si="22"/>
        <v>0.9229285714</v>
      </c>
      <c r="BJ99" s="128" t="str">
        <f>IFERROR(AVERAGEIFS(
'20102013 STH Efficacy'!$CD:$CD, 
'20102013 STH Efficacy'!$BS:$BS, $A99, 
'20102013 STH Efficacy'!$BT:$BT, "Albendazole &amp; Ivermectin",
'20102013 STH Efficacy'!$BZ:$BZ,"&lt;2011",
'20102013 STH Efficacy'!$CU:$CU,""),
"")</f>
        <v/>
      </c>
      <c r="BK99" s="136">
        <f t="shared" si="23"/>
        <v>1</v>
      </c>
      <c r="BL99" s="137"/>
      <c r="BM99" s="137"/>
      <c r="BN99" s="138">
        <v>0.0</v>
      </c>
      <c r="BO99" s="139">
        <v>0.0</v>
      </c>
      <c r="BP99" s="140">
        <v>0.0</v>
      </c>
      <c r="BQ99" s="141">
        <f t="shared" si="24"/>
        <v>0</v>
      </c>
      <c r="BR99" s="104" t="str">
        <f t="shared" si="25"/>
        <v>0000</v>
      </c>
      <c r="BS99" s="104" t="str">
        <f t="shared" si="26"/>
        <v>no action required</v>
      </c>
      <c r="BT99" s="142" t="str">
        <f t="shared" si="27"/>
        <v/>
      </c>
      <c r="BU99" s="104" t="str">
        <f t="shared" si="28"/>
        <v/>
      </c>
      <c r="BV99" s="104" t="str">
        <f t="shared" si="29"/>
        <v>none</v>
      </c>
      <c r="BW99" s="150" t="str">
        <f t="shared" si="30"/>
        <v/>
      </c>
      <c r="BX99" s="150" t="str">
        <f t="shared" si="31"/>
        <v/>
      </c>
      <c r="BY99" s="151" t="str">
        <f t="shared" si="32"/>
        <v/>
      </c>
      <c r="BZ99" s="152" t="str">
        <f t="shared" si="33"/>
        <v/>
      </c>
      <c r="CA99" s="152" t="str">
        <f t="shared" si="34"/>
        <v/>
      </c>
      <c r="CB99" s="152" t="str">
        <f t="shared" si="35"/>
        <v/>
      </c>
      <c r="CC99" s="153" t="str">
        <f t="shared" si="36"/>
        <v/>
      </c>
      <c r="CD99" s="153" t="str">
        <f t="shared" si="37"/>
        <v/>
      </c>
      <c r="CE99" s="154" t="str">
        <f t="shared" si="38"/>
        <v/>
      </c>
      <c r="CF99" s="154" t="str">
        <f t="shared" si="39"/>
        <v/>
      </c>
      <c r="CG99" s="154" t="str">
        <f t="shared" si="40"/>
        <v/>
      </c>
    </row>
    <row r="100">
      <c r="A100" s="155" t="s">
        <v>189</v>
      </c>
      <c r="B100" s="104" t="s">
        <v>90</v>
      </c>
      <c r="C100" s="105">
        <v>5.9277417E7</v>
      </c>
      <c r="D100" s="106">
        <v>0.0</v>
      </c>
      <c r="E100" s="107">
        <v>0.0</v>
      </c>
      <c r="F100" s="108">
        <v>0.0</v>
      </c>
      <c r="G100" s="108">
        <v>0.0</v>
      </c>
      <c r="H100" s="108">
        <v>0.0</v>
      </c>
      <c r="I100" s="109">
        <v>0.0</v>
      </c>
      <c r="J100" s="109">
        <v>0.0</v>
      </c>
      <c r="K100" s="109">
        <v>0.0</v>
      </c>
      <c r="L100" s="112">
        <v>0.0</v>
      </c>
      <c r="M100" s="112">
        <v>0.0</v>
      </c>
      <c r="N100" s="112">
        <v>0.0</v>
      </c>
      <c r="O100" s="113"/>
      <c r="P100" s="114"/>
      <c r="Q100" s="114"/>
      <c r="R100" s="115" t="str">
        <f t="shared" si="8"/>
        <v/>
      </c>
      <c r="S100" s="116">
        <f t="shared" si="9"/>
        <v>0.4013436246</v>
      </c>
      <c r="T100" s="117"/>
      <c r="U100" s="118">
        <f t="shared" si="41"/>
        <v>0.3468166667</v>
      </c>
      <c r="V100" s="148"/>
      <c r="W100" s="120">
        <f t="shared" si="10"/>
        <v>1</v>
      </c>
      <c r="X100" s="148"/>
      <c r="Y100" s="120">
        <f t="shared" si="11"/>
        <v>0.71735</v>
      </c>
      <c r="Z100" s="114"/>
      <c r="AA100" s="114"/>
      <c r="AB100" s="114"/>
      <c r="AC100" s="114"/>
      <c r="AD100" s="164">
        <v>0.0</v>
      </c>
      <c r="AE100" s="123">
        <v>0.0</v>
      </c>
      <c r="AF100" s="123">
        <v>0.0</v>
      </c>
      <c r="AG100" s="167">
        <v>0.0</v>
      </c>
      <c r="AH100" s="124">
        <v>0.0</v>
      </c>
      <c r="AI100" s="168">
        <v>0.0</v>
      </c>
      <c r="AJ100" s="125">
        <v>0.0</v>
      </c>
      <c r="AK100" s="126">
        <v>0.0</v>
      </c>
      <c r="AL100" s="169">
        <v>0.0</v>
      </c>
      <c r="AM100" s="128"/>
      <c r="AN100" s="149" t="str">
        <f>IFERROR(
  AVERAGEIFS(
    'New 20102013 LF Efficacy'!$J:$J,
    'New 20102013 LF Efficacy'!$D:$D, $A100,
    'New 20102013 LF Efficacy'!$F:$F,"DEC", 
    'New 20102013 LF Efficacy'!$W:$W,"&lt;2011",
    'New 20102013 LF Efficacy'!$AA:$AA,""),
  ""
)</f>
        <v/>
      </c>
      <c r="AO100" s="115">
        <f t="shared" si="12"/>
        <v>0.3573520833</v>
      </c>
      <c r="AP100" s="121" t="str">
        <f>IFERROR(
AVERAGEIFS(
'New 20102013 LF Efficacy'!$J:$J,
'New 20102013 LF Efficacy'!$D:$D,$A100,
'New 20102013 LF Efficacy'!$F:$F,"Albendazole &amp; DEC",
'New 20102013 LF Efficacy'!$W:$W,"&lt;2011",
'New 20102013 LF Efficacy'!$AA:$AA,""),
"")
</f>
        <v/>
      </c>
      <c r="AQ100" s="115">
        <f t="shared" si="13"/>
        <v>0.5137291667</v>
      </c>
      <c r="AR100" s="121" t="str">
        <f>IFERROR(
AVERAGEIFS(
'New 20102013 LF Efficacy'!$J:$J,
'New 20102013 LF Efficacy'!$D:$D,$A100,
'New 20102013 LF Efficacy'!$F:$F,"Albendazole &amp; Ivermectin", 
'New 20102013 LF Efficacy'!$W:$W,"&lt;2011",
'New 20102013 LF Efficacy'!$AA:$AA,""),"")</f>
        <v/>
      </c>
      <c r="AS100" s="115">
        <f t="shared" si="14"/>
        <v>0.37153125</v>
      </c>
      <c r="AT100" s="130" t="str">
        <f>IFERROR(AVERAGEIFS(
'20102013 Schist Efficacy'!$O:$O, 
'20102013 Schist Efficacy'!$C:$C,$A100, 
'20102013 Schist Efficacy'!$D:$D, "Praziquantel",
'20102013 Schist Efficacy'!$J:$J,"&lt;2011",
'20102013 Schist Efficacy'!$U:$U,""),
"")</f>
        <v/>
      </c>
      <c r="AU100" s="118">
        <f t="shared" si="15"/>
        <v>0.655</v>
      </c>
      <c r="AV100" s="131" t="str">
        <f>IFERROR(AVERAGEIFS(
'20102013 STH Efficacy'!$AX:$AX, 
'20102013 STH Efficacy'!$AL:$AL, $A100, 
'20102013 STH Efficacy'!$AM:$AM, "Albendazole",
'20102013 STH Efficacy'!$AS:$AS,"&lt;2011",
'20102013 STH Efficacy'!$BP:$BP,""),
"")</f>
        <v/>
      </c>
      <c r="AW100" s="132">
        <f t="shared" si="16"/>
        <v>0.3842878788</v>
      </c>
      <c r="AX100" s="131" t="str">
        <f>IFERROR(AVERAGEIFS(
'20102013 STH Efficacy'!$AX:$AX, 
'20102013 STH Efficacy'!$AL:$AL, $A100, 
'20102013 STH Efficacy'!$AM:$AM, "Mebendazole",
'20102013 STH Efficacy'!$AS:$AS,"&lt;2011",
'20102013 STH Efficacy'!$BP:$BP,""),
"")</f>
        <v/>
      </c>
      <c r="AY100" s="132">
        <f t="shared" si="17"/>
        <v>0.5121666667</v>
      </c>
      <c r="AZ100" s="131" t="str">
        <f>IFERROR(AVERAGEIFS(
'20102013 STH Efficacy'!$AX:$AX, 
'20102013 STH Efficacy'!$AL:$AL, $A100, 
'20102013 STH Efficacy'!$AM:$AM, "Albendazole &amp; Ivermectin",
'20102013 STH Efficacy'!$AS:$AS,"&lt;2011",
'20102013 STH Efficacy'!$BP:$BP,""),
"")</f>
        <v/>
      </c>
      <c r="BA100" s="133">
        <f t="shared" si="18"/>
        <v>0.7176666667</v>
      </c>
      <c r="BB100" s="134" t="str">
        <f>IFERROR(AVERAGEIFS(
'20102013 STH Efficacy'!$N:$N, 
'20102013 STH Efficacy'!$B:$B, $A100, 
'20102013 STH Efficacy'!$C:$C, "Albendazole",
'20102013 STH Efficacy'!$I:$I,"&lt;2011",
'20102013 STH Efficacy'!$AH:$AH,""),
"")</f>
        <v/>
      </c>
      <c r="BC100" s="135">
        <f t="shared" si="19"/>
        <v>0.7630416667</v>
      </c>
      <c r="BD100" s="134" t="str">
        <f>IFERROR(AVERAGEIFS(
'20102013 STH Efficacy'!$N:$N, 
'20102013 STH Efficacy'!$B:$B, $A100, 
'20102013 STH Efficacy'!$C:$C, "Mebendazole",
'20102013 STH Efficacy'!$I:$I,"&lt;2011",
'20102013 STH Efficacy'!$AH:$AH,""),
"")</f>
        <v/>
      </c>
      <c r="BE100" s="135">
        <f t="shared" si="20"/>
        <v>0.4405966667</v>
      </c>
      <c r="BF100" s="128" t="str">
        <f>IFERROR(AVERAGEIFS(
'20102013 STH Efficacy'!$CD:$CD, 
'20102013 STH Efficacy'!$BS:$BS, $A100, 
'20102013 STH Efficacy'!$BT:$BT, "Albendazole",
'20102013 STH Efficacy'!$BZ:$BZ,"&lt;2011",
'20102013 STH Efficacy'!$CU:$CU,""),
"")</f>
        <v/>
      </c>
      <c r="BG100" s="136">
        <f t="shared" si="21"/>
        <v>0.9403222222</v>
      </c>
      <c r="BH100" s="128" t="str">
        <f>IFERROR(AVERAGEIFS(
'20102013 STH Efficacy'!$CD:$CD, 
'20102013 STH Efficacy'!$BS:$BS, $A100, 
'20102013 STH Efficacy'!$BT:$BT, "Mebendazole",
'20102013 STH Efficacy'!$BZ:$BZ,"&lt;2011",
'20102013 STH Efficacy'!$CU:$CU,""),
"")</f>
        <v/>
      </c>
      <c r="BI100" s="136">
        <f t="shared" si="22"/>
        <v>0.9229285714</v>
      </c>
      <c r="BJ100" s="128" t="str">
        <f>IFERROR(AVERAGEIFS(
'20102013 STH Efficacy'!$CD:$CD, 
'20102013 STH Efficacy'!$BS:$BS, $A100, 
'20102013 STH Efficacy'!$BT:$BT, "Albendazole &amp; Ivermectin",
'20102013 STH Efficacy'!$BZ:$BZ,"&lt;2011",
'20102013 STH Efficacy'!$CU:$CU,""),
"")</f>
        <v/>
      </c>
      <c r="BK100" s="136">
        <f t="shared" si="23"/>
        <v>1</v>
      </c>
      <c r="BL100" s="137"/>
      <c r="BM100" s="137"/>
      <c r="BN100" s="138">
        <v>0.0</v>
      </c>
      <c r="BO100" s="139">
        <v>0.0</v>
      </c>
      <c r="BP100" s="140">
        <v>0.0</v>
      </c>
      <c r="BQ100" s="141">
        <f t="shared" si="24"/>
        <v>0</v>
      </c>
      <c r="BR100" s="104" t="str">
        <f t="shared" si="25"/>
        <v>0000</v>
      </c>
      <c r="BS100" s="104" t="str">
        <f t="shared" si="26"/>
        <v>no action required</v>
      </c>
      <c r="BT100" s="142" t="str">
        <f t="shared" si="27"/>
        <v/>
      </c>
      <c r="BU100" s="104" t="str">
        <f t="shared" si="28"/>
        <v/>
      </c>
      <c r="BV100" s="104" t="str">
        <f t="shared" si="29"/>
        <v>none</v>
      </c>
      <c r="BW100" s="150" t="str">
        <f t="shared" si="30"/>
        <v/>
      </c>
      <c r="BX100" s="150" t="str">
        <f t="shared" si="31"/>
        <v/>
      </c>
      <c r="BY100" s="151" t="str">
        <f t="shared" si="32"/>
        <v/>
      </c>
      <c r="BZ100" s="152" t="str">
        <f t="shared" si="33"/>
        <v/>
      </c>
      <c r="CA100" s="152" t="str">
        <f t="shared" si="34"/>
        <v/>
      </c>
      <c r="CB100" s="152" t="str">
        <f t="shared" si="35"/>
        <v/>
      </c>
      <c r="CC100" s="153" t="str">
        <f t="shared" si="36"/>
        <v/>
      </c>
      <c r="CD100" s="153" t="str">
        <f t="shared" si="37"/>
        <v/>
      </c>
      <c r="CE100" s="154" t="str">
        <f t="shared" si="38"/>
        <v/>
      </c>
      <c r="CF100" s="154" t="str">
        <f t="shared" si="39"/>
        <v/>
      </c>
      <c r="CG100" s="154" t="str">
        <f t="shared" si="40"/>
        <v/>
      </c>
    </row>
    <row r="101">
      <c r="A101" s="155" t="s">
        <v>190</v>
      </c>
      <c r="B101" s="104" t="s">
        <v>98</v>
      </c>
      <c r="C101" s="105">
        <v>2817210.0</v>
      </c>
      <c r="D101" s="106">
        <v>0.0</v>
      </c>
      <c r="E101" s="107">
        <v>0.0</v>
      </c>
      <c r="F101" s="108">
        <v>24.92934513</v>
      </c>
      <c r="G101" s="157">
        <v>129.6720007</v>
      </c>
      <c r="H101" s="108">
        <v>154.6013459</v>
      </c>
      <c r="I101" s="109">
        <v>37.2840542</v>
      </c>
      <c r="J101" s="109">
        <v>110.867008</v>
      </c>
      <c r="K101" s="109">
        <v>148.1510617</v>
      </c>
      <c r="L101" s="112">
        <v>132.1507705</v>
      </c>
      <c r="M101" s="112">
        <v>278.5956802</v>
      </c>
      <c r="N101" s="112">
        <v>410.7464507</v>
      </c>
      <c r="O101" s="113"/>
      <c r="P101" s="114"/>
      <c r="Q101" s="114"/>
      <c r="R101" s="115" t="str">
        <f t="shared" si="8"/>
        <v/>
      </c>
      <c r="S101" s="116">
        <f t="shared" si="9"/>
        <v>0.14553293</v>
      </c>
      <c r="T101" s="117"/>
      <c r="U101" s="118">
        <f t="shared" si="41"/>
        <v>0.39435</v>
      </c>
      <c r="V101" s="148"/>
      <c r="W101" s="120">
        <f t="shared" si="10"/>
        <v>0.3616</v>
      </c>
      <c r="X101" s="148"/>
      <c r="Y101" s="120">
        <f t="shared" si="11"/>
        <v>0.5015615385</v>
      </c>
      <c r="Z101" s="121"/>
      <c r="AA101" s="121"/>
      <c r="AB101" s="121"/>
      <c r="AC101" s="121"/>
      <c r="AD101" s="122">
        <v>0.0</v>
      </c>
      <c r="AE101" s="123">
        <v>0.0</v>
      </c>
      <c r="AF101" s="123">
        <v>0.0</v>
      </c>
      <c r="AG101" s="124">
        <v>0.0515</v>
      </c>
      <c r="AH101" s="124">
        <v>0.077605068</v>
      </c>
      <c r="AI101" s="125">
        <v>0.0413</v>
      </c>
      <c r="AJ101" s="125">
        <v>0.06633239</v>
      </c>
      <c r="AK101" s="127">
        <v>0.21</v>
      </c>
      <c r="AL101" s="169">
        <v>0.322238793</v>
      </c>
      <c r="AM101" s="128"/>
      <c r="AN101" s="149" t="str">
        <f>IFERROR(
  AVERAGEIFS(
    'New 20102013 LF Efficacy'!$J:$J,
    'New 20102013 LF Efficacy'!$D:$D, $A101,
    'New 20102013 LF Efficacy'!$F:$F,"DEC", 
    'New 20102013 LF Efficacy'!$W:$W,"&lt;2011",
    'New 20102013 LF Efficacy'!$AA:$AA,""),
  ""
)</f>
        <v/>
      </c>
      <c r="AO101" s="115">
        <f t="shared" si="12"/>
        <v>0.2589833333</v>
      </c>
      <c r="AP101" s="121" t="str">
        <f>IFERROR(
AVERAGEIFS(
'New 20102013 LF Efficacy'!$J:$J,
'New 20102013 LF Efficacy'!$D:$D,$A101,
'New 20102013 LF Efficacy'!$F:$F,"Albendazole &amp; DEC",
'New 20102013 LF Efficacy'!$W:$W,"&lt;2011",
'New 20102013 LF Efficacy'!$AA:$AA,""),
"")
</f>
        <v/>
      </c>
      <c r="AQ101" s="115">
        <f t="shared" si="13"/>
        <v>0.3465</v>
      </c>
      <c r="AR101" s="121" t="str">
        <f>IFERROR(
AVERAGEIFS(
'New 20102013 LF Efficacy'!$J:$J,
'New 20102013 LF Efficacy'!$D:$D,$A101,
'New 20102013 LF Efficacy'!$F:$F,"Albendazole &amp; Ivermectin", 
'New 20102013 LF Efficacy'!$W:$W,"&lt;2011",
'New 20102013 LF Efficacy'!$AA:$AA,""),"")</f>
        <v/>
      </c>
      <c r="AS101" s="115">
        <f t="shared" si="14"/>
        <v>0.7575</v>
      </c>
      <c r="AT101" s="130" t="str">
        <f>IFERROR(AVERAGEIFS(
'20102013 Schist Efficacy'!$O:$O, 
'20102013 Schist Efficacy'!$C:$C,$A101, 
'20102013 Schist Efficacy'!$D:$D, "Praziquantel",
'20102013 Schist Efficacy'!$J:$J,"&lt;2011",
'20102013 Schist Efficacy'!$U:$U,""),
"")</f>
        <v/>
      </c>
      <c r="AU101" s="118">
        <f t="shared" si="15"/>
        <v>0.7732631579</v>
      </c>
      <c r="AV101" s="131" t="str">
        <f>IFERROR(AVERAGEIFS(
'20102013 STH Efficacy'!$AX:$AX, 
'20102013 STH Efficacy'!$AL:$AL, $A101, 
'20102013 STH Efficacy'!$AM:$AM, "Albendazole",
'20102013 STH Efficacy'!$AS:$AS,"&lt;2011",
'20102013 STH Efficacy'!$BP:$BP,""),
"")</f>
        <v/>
      </c>
      <c r="AW101" s="132">
        <f t="shared" si="16"/>
        <v>0.3945</v>
      </c>
      <c r="AX101" s="131" t="str">
        <f>IFERROR(AVERAGEIFS(
'20102013 STH Efficacy'!$AX:$AX, 
'20102013 STH Efficacy'!$AL:$AL, $A101, 
'20102013 STH Efficacy'!$AM:$AM, "Mebendazole",
'20102013 STH Efficacy'!$AS:$AS,"&lt;2011",
'20102013 STH Efficacy'!$BP:$BP,""),
"")</f>
        <v/>
      </c>
      <c r="AY101" s="132">
        <f t="shared" si="17"/>
        <v>0.6</v>
      </c>
      <c r="AZ101" s="131" t="str">
        <f>IFERROR(AVERAGEIFS(
'20102013 STH Efficacy'!$AX:$AX, 
'20102013 STH Efficacy'!$AL:$AL, $A101, 
'20102013 STH Efficacy'!$AM:$AM, "Albendazole &amp; Ivermectin",
'20102013 STH Efficacy'!$AS:$AS,"&lt;2011",
'20102013 STH Efficacy'!$BP:$BP,""),
"")</f>
        <v/>
      </c>
      <c r="BA101" s="133">
        <f t="shared" si="18"/>
        <v>0.796</v>
      </c>
      <c r="BB101" s="134" t="str">
        <f>IFERROR(AVERAGEIFS(
'20102013 STH Efficacy'!$N:$N, 
'20102013 STH Efficacy'!$B:$B, $A101, 
'20102013 STH Efficacy'!$C:$C, "Albendazole",
'20102013 STH Efficacy'!$I:$I,"&lt;2011",
'20102013 STH Efficacy'!$AH:$AH,""),
"")</f>
        <v/>
      </c>
      <c r="BC101" s="135">
        <f t="shared" si="19"/>
        <v>0.869</v>
      </c>
      <c r="BD101" s="134" t="str">
        <f>IFERROR(AVERAGEIFS(
'20102013 STH Efficacy'!$N:$N, 
'20102013 STH Efficacy'!$B:$B, $A101, 
'20102013 STH Efficacy'!$C:$C, "Mebendazole",
'20102013 STH Efficacy'!$I:$I,"&lt;2011",
'20102013 STH Efficacy'!$AH:$AH,""),
"")</f>
        <v/>
      </c>
      <c r="BE101" s="135">
        <f t="shared" si="20"/>
        <v>0.172</v>
      </c>
      <c r="BF101" s="128" t="str">
        <f>IFERROR(AVERAGEIFS(
'20102013 STH Efficacy'!$CD:$CD, 
'20102013 STH Efficacy'!$BS:$BS, $A101, 
'20102013 STH Efficacy'!$BT:$BT, "Albendazole",
'20102013 STH Efficacy'!$BZ:$BZ,"&lt;2011",
'20102013 STH Efficacy'!$CU:$CU,""),
"")</f>
        <v/>
      </c>
      <c r="BG101" s="136">
        <f t="shared" si="21"/>
        <v>0.9862</v>
      </c>
      <c r="BH101" s="128" t="str">
        <f>IFERROR(AVERAGEIFS(
'20102013 STH Efficacy'!$CD:$CD, 
'20102013 STH Efficacy'!$BS:$BS, $A101, 
'20102013 STH Efficacy'!$BT:$BT, "Mebendazole",
'20102013 STH Efficacy'!$BZ:$BZ,"&lt;2011",
'20102013 STH Efficacy'!$CU:$CU,""),
"")</f>
        <v/>
      </c>
      <c r="BI101" s="136">
        <f t="shared" si="22"/>
        <v>0.769</v>
      </c>
      <c r="BJ101" s="128" t="str">
        <f>IFERROR(AVERAGEIFS(
'20102013 STH Efficacy'!$CD:$CD, 
'20102013 STH Efficacy'!$BS:$BS, $A101, 
'20102013 STH Efficacy'!$BT:$BT, "Albendazole &amp; Ivermectin",
'20102013 STH Efficacy'!$BZ:$BZ,"&lt;2011",
'20102013 STH Efficacy'!$CU:$CU,""),
"")</f>
        <v/>
      </c>
      <c r="BK101" s="136">
        <f t="shared" si="23"/>
        <v>1</v>
      </c>
      <c r="BL101" s="137"/>
      <c r="BM101" s="137"/>
      <c r="BN101" s="138">
        <v>0.0</v>
      </c>
      <c r="BO101" s="139">
        <v>0.0</v>
      </c>
      <c r="BP101" s="140">
        <v>0.0</v>
      </c>
      <c r="BQ101" s="141">
        <f t="shared" si="24"/>
        <v>0</v>
      </c>
      <c r="BR101" s="104" t="str">
        <f t="shared" si="25"/>
        <v>0000</v>
      </c>
      <c r="BS101" s="104" t="str">
        <f t="shared" si="26"/>
        <v>no action required</v>
      </c>
      <c r="BT101" s="142" t="str">
        <f t="shared" si="27"/>
        <v/>
      </c>
      <c r="BU101" s="104" t="str">
        <f t="shared" si="28"/>
        <v/>
      </c>
      <c r="BV101" s="104" t="str">
        <f t="shared" si="29"/>
        <v>none</v>
      </c>
      <c r="BW101" s="150" t="str">
        <f t="shared" si="30"/>
        <v/>
      </c>
      <c r="BX101" s="150" t="str">
        <f t="shared" si="31"/>
        <v/>
      </c>
      <c r="BY101" s="151" t="str">
        <f t="shared" si="32"/>
        <v/>
      </c>
      <c r="BZ101" s="152" t="str">
        <f t="shared" si="33"/>
        <v/>
      </c>
      <c r="CA101" s="152" t="str">
        <f t="shared" si="34"/>
        <v/>
      </c>
      <c r="CB101" s="152" t="str">
        <f t="shared" si="35"/>
        <v/>
      </c>
      <c r="CC101" s="153" t="str">
        <f t="shared" si="36"/>
        <v/>
      </c>
      <c r="CD101" s="153" t="str">
        <f t="shared" si="37"/>
        <v/>
      </c>
      <c r="CE101" s="154" t="str">
        <f t="shared" si="38"/>
        <v/>
      </c>
      <c r="CF101" s="154" t="str">
        <f t="shared" si="39"/>
        <v/>
      </c>
      <c r="CG101" s="154" t="str">
        <f t="shared" si="40"/>
        <v/>
      </c>
    </row>
    <row r="102">
      <c r="A102" s="155" t="s">
        <v>191</v>
      </c>
      <c r="B102" s="104" t="s">
        <v>94</v>
      </c>
      <c r="C102" s="105">
        <v>1.2807E8</v>
      </c>
      <c r="D102" s="106">
        <v>0.0</v>
      </c>
      <c r="E102" s="107">
        <v>52.42395324</v>
      </c>
      <c r="F102" s="157">
        <v>0.0</v>
      </c>
      <c r="G102" s="157">
        <v>0.0</v>
      </c>
      <c r="H102" s="157">
        <v>0.0</v>
      </c>
      <c r="I102" s="110">
        <v>0.0</v>
      </c>
      <c r="J102" s="110">
        <v>0.0</v>
      </c>
      <c r="K102" s="110">
        <v>0.0</v>
      </c>
      <c r="L102" s="111">
        <v>0.0</v>
      </c>
      <c r="M102" s="111">
        <v>0.0</v>
      </c>
      <c r="N102" s="112">
        <v>0.0</v>
      </c>
      <c r="O102" s="113"/>
      <c r="P102" s="114"/>
      <c r="Q102" s="114"/>
      <c r="R102" s="115" t="str">
        <f t="shared" si="8"/>
        <v/>
      </c>
      <c r="S102" s="116">
        <f t="shared" si="9"/>
        <v>0.1955251818</v>
      </c>
      <c r="T102" s="117"/>
      <c r="U102" s="118">
        <f t="shared" si="41"/>
        <v>0.6259666667</v>
      </c>
      <c r="V102" s="148"/>
      <c r="W102" s="120">
        <f t="shared" si="10"/>
        <v>0.55175</v>
      </c>
      <c r="X102" s="148"/>
      <c r="Y102" s="120">
        <f t="shared" si="11"/>
        <v>0.4826142857</v>
      </c>
      <c r="Z102" s="114"/>
      <c r="AA102" s="114"/>
      <c r="AB102" s="114"/>
      <c r="AC102" s="114"/>
      <c r="AD102" s="164">
        <v>0.0</v>
      </c>
      <c r="AE102" s="123">
        <v>0.0</v>
      </c>
      <c r="AF102" s="123">
        <v>0.0</v>
      </c>
      <c r="AG102" s="167">
        <v>0.0</v>
      </c>
      <c r="AH102" s="124">
        <v>0.0</v>
      </c>
      <c r="AI102" s="168">
        <v>0.0</v>
      </c>
      <c r="AJ102" s="125">
        <v>0.0</v>
      </c>
      <c r="AK102" s="126">
        <v>0.0</v>
      </c>
      <c r="AL102" s="169">
        <v>0.0</v>
      </c>
      <c r="AM102" s="128"/>
      <c r="AN102" s="149" t="str">
        <f>IFERROR(
  AVERAGEIFS(
    'New 20102013 LF Efficacy'!$J:$J,
    'New 20102013 LF Efficacy'!$D:$D, $A102,
    'New 20102013 LF Efficacy'!$F:$F,"DEC", 
    'New 20102013 LF Efficacy'!$W:$W,"&lt;2011",
    'New 20102013 LF Efficacy'!$AA:$AA,""),
  ""
)</f>
        <v/>
      </c>
      <c r="AO102" s="115">
        <f t="shared" si="12"/>
        <v>0.38</v>
      </c>
      <c r="AP102" s="121" t="str">
        <f>IFERROR(
AVERAGEIFS(
'New 20102013 LF Efficacy'!$J:$J,
'New 20102013 LF Efficacy'!$D:$D,$A102,
'New 20102013 LF Efficacy'!$F:$F,"Albendazole &amp; DEC",
'New 20102013 LF Efficacy'!$W:$W,"&lt;2011",
'New 20102013 LF Efficacy'!$AA:$AA,""),
"")
</f>
        <v/>
      </c>
      <c r="AQ102" s="115">
        <f t="shared" si="13"/>
        <v>0.657</v>
      </c>
      <c r="AR102" s="121" t="str">
        <f>IFERROR(
AVERAGEIFS(
'New 20102013 LF Efficacy'!$J:$J,
'New 20102013 LF Efficacy'!$D:$D,$A102,
'New 20102013 LF Efficacy'!$F:$F,"Albendazole &amp; Ivermectin", 
'New 20102013 LF Efficacy'!$W:$W,"&lt;2011",
'New 20102013 LF Efficacy'!$AA:$AA,""),"")</f>
        <v/>
      </c>
      <c r="AS102" s="115">
        <f t="shared" si="14"/>
        <v>0.37153125</v>
      </c>
      <c r="AT102" s="130" t="str">
        <f>IFERROR(AVERAGEIFS(
'20102013 Schist Efficacy'!$O:$O, 
'20102013 Schist Efficacy'!$C:$C,$A102, 
'20102013 Schist Efficacy'!$D:$D, "Praziquantel",
'20102013 Schist Efficacy'!$J:$J,"&lt;2011",
'20102013 Schist Efficacy'!$U:$U,""),
"")</f>
        <v/>
      </c>
      <c r="AU102" s="118">
        <f t="shared" si="15"/>
        <v>0.95</v>
      </c>
      <c r="AV102" s="131" t="str">
        <f>IFERROR(AVERAGEIFS(
'20102013 STH Efficacy'!$AX:$AX, 
'20102013 STH Efficacy'!$AL:$AL, $A102, 
'20102013 STH Efficacy'!$AM:$AM, "Albendazole",
'20102013 STH Efficacy'!$AS:$AS,"&lt;2011",
'20102013 STH Efficacy'!$BP:$BP,""),
"")</f>
        <v/>
      </c>
      <c r="AW102" s="132">
        <f t="shared" si="16"/>
        <v>0.3571666667</v>
      </c>
      <c r="AX102" s="131" t="str">
        <f>IFERROR(AVERAGEIFS(
'20102013 STH Efficacy'!$AX:$AX, 
'20102013 STH Efficacy'!$AL:$AL, $A102, 
'20102013 STH Efficacy'!$AM:$AM, "Mebendazole",
'20102013 STH Efficacy'!$AS:$AS,"&lt;2011",
'20102013 STH Efficacy'!$BP:$BP,""),
"")</f>
        <v/>
      </c>
      <c r="AY102" s="132">
        <f t="shared" si="17"/>
        <v>0.4155</v>
      </c>
      <c r="AZ102" s="131" t="str">
        <f>IFERROR(AVERAGEIFS(
'20102013 STH Efficacy'!$AX:$AX, 
'20102013 STH Efficacy'!$AL:$AL, $A102, 
'20102013 STH Efficacy'!$AM:$AM, "Albendazole &amp; Ivermectin",
'20102013 STH Efficacy'!$AS:$AS,"&lt;2011",
'20102013 STH Efficacy'!$BP:$BP,""),
"")</f>
        <v/>
      </c>
      <c r="BA102" s="133">
        <f t="shared" si="18"/>
        <v>0.651</v>
      </c>
      <c r="BB102" s="134" t="str">
        <f>IFERROR(AVERAGEIFS(
'20102013 STH Efficacy'!$N:$N, 
'20102013 STH Efficacy'!$B:$B, $A102, 
'20102013 STH Efficacy'!$C:$C, "Albendazole",
'20102013 STH Efficacy'!$I:$I,"&lt;2011",
'20102013 STH Efficacy'!$AH:$AH,""),
"")</f>
        <v/>
      </c>
      <c r="BC102" s="135">
        <f t="shared" si="19"/>
        <v>0.5769166667</v>
      </c>
      <c r="BD102" s="134" t="str">
        <f>IFERROR(AVERAGEIFS(
'20102013 STH Efficacy'!$N:$N, 
'20102013 STH Efficacy'!$B:$B, $A102, 
'20102013 STH Efficacy'!$C:$C, "Mebendazole",
'20102013 STH Efficacy'!$I:$I,"&lt;2011",
'20102013 STH Efficacy'!$AH:$AH,""),
"")</f>
        <v/>
      </c>
      <c r="BE102" s="135">
        <f t="shared" si="20"/>
        <v>0.3145</v>
      </c>
      <c r="BF102" s="128" t="str">
        <f>IFERROR(AVERAGEIFS(
'20102013 STH Efficacy'!$CD:$CD, 
'20102013 STH Efficacy'!$BS:$BS, $A102, 
'20102013 STH Efficacy'!$BT:$BT, "Albendazole",
'20102013 STH Efficacy'!$BZ:$BZ,"&lt;2011",
'20102013 STH Efficacy'!$CU:$CU,""),
"")</f>
        <v/>
      </c>
      <c r="BG102" s="136">
        <f t="shared" si="21"/>
        <v>0.96925</v>
      </c>
      <c r="BH102" s="128" t="str">
        <f>IFERROR(AVERAGEIFS(
'20102013 STH Efficacy'!$CD:$CD, 
'20102013 STH Efficacy'!$BS:$BS, $A102, 
'20102013 STH Efficacy'!$BT:$BT, "Mebendazole",
'20102013 STH Efficacy'!$BZ:$BZ,"&lt;2011",
'20102013 STH Efficacy'!$CU:$CU,""),
"")</f>
        <v/>
      </c>
      <c r="BI102" s="136">
        <f t="shared" si="22"/>
        <v>0.9305</v>
      </c>
      <c r="BJ102" s="128" t="str">
        <f>IFERROR(AVERAGEIFS(
'20102013 STH Efficacy'!$CD:$CD, 
'20102013 STH Efficacy'!$BS:$BS, $A102, 
'20102013 STH Efficacy'!$BT:$BT, "Albendazole &amp; Ivermectin",
'20102013 STH Efficacy'!$BZ:$BZ,"&lt;2011",
'20102013 STH Efficacy'!$CU:$CU,""),
"")</f>
        <v/>
      </c>
      <c r="BK102" s="136">
        <f t="shared" si="23"/>
        <v>1</v>
      </c>
      <c r="BL102" s="137"/>
      <c r="BM102" s="137"/>
      <c r="BN102" s="138">
        <v>0.0</v>
      </c>
      <c r="BO102" s="139">
        <v>0.0</v>
      </c>
      <c r="BP102" s="140">
        <v>0.0</v>
      </c>
      <c r="BQ102" s="141">
        <f t="shared" si="24"/>
        <v>0</v>
      </c>
      <c r="BR102" s="104" t="str">
        <f t="shared" si="25"/>
        <v>0000</v>
      </c>
      <c r="BS102" s="104" t="str">
        <f t="shared" si="26"/>
        <v>no action required</v>
      </c>
      <c r="BT102" s="142" t="str">
        <f t="shared" si="27"/>
        <v/>
      </c>
      <c r="BU102" s="104" t="str">
        <f t="shared" si="28"/>
        <v/>
      </c>
      <c r="BV102" s="104" t="str">
        <f t="shared" si="29"/>
        <v>none</v>
      </c>
      <c r="BW102" s="150" t="str">
        <f t="shared" si="30"/>
        <v/>
      </c>
      <c r="BX102" s="150" t="str">
        <f t="shared" si="31"/>
        <v/>
      </c>
      <c r="BY102" s="151" t="str">
        <f t="shared" si="32"/>
        <v/>
      </c>
      <c r="BZ102" s="152" t="str">
        <f t="shared" si="33"/>
        <v/>
      </c>
      <c r="CA102" s="152" t="str">
        <f t="shared" si="34"/>
        <v/>
      </c>
      <c r="CB102" s="152" t="str">
        <f t="shared" si="35"/>
        <v/>
      </c>
      <c r="CC102" s="153" t="str">
        <f t="shared" si="36"/>
        <v/>
      </c>
      <c r="CD102" s="153" t="str">
        <f t="shared" si="37"/>
        <v/>
      </c>
      <c r="CE102" s="154" t="str">
        <f t="shared" si="38"/>
        <v/>
      </c>
      <c r="CF102" s="154" t="str">
        <f t="shared" si="39"/>
        <v/>
      </c>
      <c r="CG102" s="154" t="str">
        <f t="shared" si="40"/>
        <v/>
      </c>
    </row>
    <row r="103">
      <c r="A103" s="155" t="s">
        <v>192</v>
      </c>
      <c r="B103" s="104" t="s">
        <v>88</v>
      </c>
      <c r="C103" s="105">
        <v>7182390.0</v>
      </c>
      <c r="D103" s="106">
        <v>0.0</v>
      </c>
      <c r="E103" s="107">
        <v>185.5348892</v>
      </c>
      <c r="F103" s="108">
        <v>0.748247859</v>
      </c>
      <c r="G103" s="108">
        <v>3.726847945</v>
      </c>
      <c r="H103" s="108">
        <v>4.475095804</v>
      </c>
      <c r="I103" s="109">
        <v>19.7323982</v>
      </c>
      <c r="J103" s="110">
        <v>55.9611782</v>
      </c>
      <c r="K103" s="109">
        <v>75.69357641</v>
      </c>
      <c r="L103" s="112">
        <v>96.96126009</v>
      </c>
      <c r="M103" s="112">
        <v>225.1172771</v>
      </c>
      <c r="N103" s="112">
        <v>322.0785372</v>
      </c>
      <c r="O103" s="113"/>
      <c r="P103" s="114"/>
      <c r="Q103" s="114"/>
      <c r="R103" s="115" t="str">
        <f t="shared" si="8"/>
        <v/>
      </c>
      <c r="S103" s="116">
        <f t="shared" si="9"/>
        <v>0.3211323089</v>
      </c>
      <c r="T103" s="117"/>
      <c r="U103" s="118">
        <f t="shared" si="41"/>
        <v>0.5949</v>
      </c>
      <c r="V103" s="148"/>
      <c r="W103" s="120">
        <f t="shared" si="10"/>
        <v>0.9019</v>
      </c>
      <c r="X103" s="148"/>
      <c r="Y103" s="120">
        <f t="shared" si="11"/>
        <v>0.094</v>
      </c>
      <c r="Z103" s="121"/>
      <c r="AA103" s="121"/>
      <c r="AB103" s="121"/>
      <c r="AC103" s="121"/>
      <c r="AD103" s="122">
        <v>0.0</v>
      </c>
      <c r="AE103" s="123">
        <v>0.0</v>
      </c>
      <c r="AF103" s="123">
        <v>2.0E-4</v>
      </c>
      <c r="AG103" s="124">
        <v>0.0363</v>
      </c>
      <c r="AH103" s="124">
        <v>0.055315762</v>
      </c>
      <c r="AI103" s="125">
        <v>0.0107</v>
      </c>
      <c r="AJ103" s="125">
        <v>0.016328401</v>
      </c>
      <c r="AK103" s="127">
        <v>0.13</v>
      </c>
      <c r="AL103" s="127">
        <v>0.192493658</v>
      </c>
      <c r="AM103" s="128"/>
      <c r="AN103" s="149" t="str">
        <f>IFERROR(
  AVERAGEIFS(
    'New 20102013 LF Efficacy'!$J:$J,
    'New 20102013 LF Efficacy'!$D:$D, $A103,
    'New 20102013 LF Efficacy'!$F:$F,"DEC", 
    'New 20102013 LF Efficacy'!$W:$W,"&lt;2011",
    'New 20102013 LF Efficacy'!$AA:$AA,""),
  ""
)</f>
        <v/>
      </c>
      <c r="AO103" s="115">
        <f t="shared" si="12"/>
        <v>0.3573520833</v>
      </c>
      <c r="AP103" s="121" t="str">
        <f>IFERROR(
AVERAGEIFS(
'New 20102013 LF Efficacy'!$J:$J,
'New 20102013 LF Efficacy'!$D:$D,$A103,
'New 20102013 LF Efficacy'!$F:$F,"Albendazole &amp; DEC",
'New 20102013 LF Efficacy'!$W:$W,"&lt;2011",
'New 20102013 LF Efficacy'!$AA:$AA,""),
"")
</f>
        <v/>
      </c>
      <c r="AQ103" s="115">
        <f t="shared" si="13"/>
        <v>0.7935</v>
      </c>
      <c r="AR103" s="121" t="str">
        <f>IFERROR(
AVERAGEIFS(
'New 20102013 LF Efficacy'!$J:$J,
'New 20102013 LF Efficacy'!$D:$D,$A103,
'New 20102013 LF Efficacy'!$F:$F,"Albendazole &amp; Ivermectin", 
'New 20102013 LF Efficacy'!$W:$W,"&lt;2011",
'New 20102013 LF Efficacy'!$AA:$AA,""),"")</f>
        <v/>
      </c>
      <c r="AS103" s="115">
        <f t="shared" si="14"/>
        <v>0.37153125</v>
      </c>
      <c r="AT103" s="130" t="str">
        <f>IFERROR(AVERAGEIFS(
'20102013 Schist Efficacy'!$O:$O, 
'20102013 Schist Efficacy'!$C:$C,$A103, 
'20102013 Schist Efficacy'!$D:$D, "Praziquantel",
'20102013 Schist Efficacy'!$J:$J,"&lt;2011",
'20102013 Schist Efficacy'!$U:$U,""),
"")</f>
        <v/>
      </c>
      <c r="AU103" s="118">
        <f t="shared" si="15"/>
        <v>0.7763141026</v>
      </c>
      <c r="AV103" s="131" t="str">
        <f>IFERROR(AVERAGEIFS(
'20102013 STH Efficacy'!$AX:$AX, 
'20102013 STH Efficacy'!$AL:$AL, $A103, 
'20102013 STH Efficacy'!$AM:$AM, "Albendazole",
'20102013 STH Efficacy'!$AS:$AS,"&lt;2011",
'20102013 STH Efficacy'!$BP:$BP,""),
"")</f>
        <v/>
      </c>
      <c r="AW103" s="132">
        <f t="shared" si="16"/>
        <v>0.3842878788</v>
      </c>
      <c r="AX103" s="131" t="str">
        <f>IFERROR(AVERAGEIFS(
'20102013 STH Efficacy'!$AX:$AX, 
'20102013 STH Efficacy'!$AL:$AL, $A103, 
'20102013 STH Efficacy'!$AM:$AM, "Mebendazole",
'20102013 STH Efficacy'!$AS:$AS,"&lt;2011",
'20102013 STH Efficacy'!$BP:$BP,""),
"")</f>
        <v/>
      </c>
      <c r="AY103" s="132">
        <f t="shared" si="17"/>
        <v>0.5121666667</v>
      </c>
      <c r="AZ103" s="131" t="str">
        <f>IFERROR(AVERAGEIFS(
'20102013 STH Efficacy'!$AX:$AX, 
'20102013 STH Efficacy'!$AL:$AL, $A103, 
'20102013 STH Efficacy'!$AM:$AM, "Albendazole &amp; Ivermectin",
'20102013 STH Efficacy'!$AS:$AS,"&lt;2011",
'20102013 STH Efficacy'!$BP:$BP,""),
"")</f>
        <v/>
      </c>
      <c r="BA103" s="133">
        <f t="shared" si="18"/>
        <v>0.7176666667</v>
      </c>
      <c r="BB103" s="134" t="str">
        <f>IFERROR(AVERAGEIFS(
'20102013 STH Efficacy'!$N:$N, 
'20102013 STH Efficacy'!$B:$B, $A103, 
'20102013 STH Efficacy'!$C:$C, "Albendazole",
'20102013 STH Efficacy'!$I:$I,"&lt;2011",
'20102013 STH Efficacy'!$AH:$AH,""),
"")</f>
        <v/>
      </c>
      <c r="BC103" s="135">
        <f t="shared" si="19"/>
        <v>0.7630416667</v>
      </c>
      <c r="BD103" s="134" t="str">
        <f>IFERROR(AVERAGEIFS(
'20102013 STH Efficacy'!$N:$N, 
'20102013 STH Efficacy'!$B:$B, $A103, 
'20102013 STH Efficacy'!$C:$C, "Mebendazole",
'20102013 STH Efficacy'!$I:$I,"&lt;2011",
'20102013 STH Efficacy'!$AH:$AH,""),
"")</f>
        <v/>
      </c>
      <c r="BE103" s="135">
        <f t="shared" si="20"/>
        <v>0.4405966667</v>
      </c>
      <c r="BF103" s="128" t="str">
        <f>IFERROR(AVERAGEIFS(
'20102013 STH Efficacy'!$CD:$CD, 
'20102013 STH Efficacy'!$BS:$BS, $A103, 
'20102013 STH Efficacy'!$BT:$BT, "Albendazole",
'20102013 STH Efficacy'!$BZ:$BZ,"&lt;2011",
'20102013 STH Efficacy'!$CU:$CU,""),
"")</f>
        <v/>
      </c>
      <c r="BG103" s="136">
        <f t="shared" si="21"/>
        <v>0.955</v>
      </c>
      <c r="BH103" s="128" t="str">
        <f>IFERROR(AVERAGEIFS(
'20102013 STH Efficacy'!$CD:$CD, 
'20102013 STH Efficacy'!$BS:$BS, $A103, 
'20102013 STH Efficacy'!$BT:$BT, "Mebendazole",
'20102013 STH Efficacy'!$BZ:$BZ,"&lt;2011",
'20102013 STH Efficacy'!$CU:$CU,""),
"")</f>
        <v/>
      </c>
      <c r="BI103" s="136">
        <f t="shared" si="22"/>
        <v>1</v>
      </c>
      <c r="BJ103" s="128" t="str">
        <f>IFERROR(AVERAGEIFS(
'20102013 STH Efficacy'!$CD:$CD, 
'20102013 STH Efficacy'!$BS:$BS, $A103, 
'20102013 STH Efficacy'!$BT:$BT, "Albendazole &amp; Ivermectin",
'20102013 STH Efficacy'!$BZ:$BZ,"&lt;2011",
'20102013 STH Efficacy'!$CU:$CU,""),
"")</f>
        <v/>
      </c>
      <c r="BK103" s="136">
        <f t="shared" si="23"/>
        <v>1</v>
      </c>
      <c r="BL103" s="137"/>
      <c r="BM103" s="137"/>
      <c r="BN103" s="138">
        <v>0.0</v>
      </c>
      <c r="BO103" s="139">
        <v>0.0</v>
      </c>
      <c r="BP103" s="140">
        <v>0.0</v>
      </c>
      <c r="BQ103" s="141">
        <f t="shared" si="24"/>
        <v>0</v>
      </c>
      <c r="BR103" s="104" t="str">
        <f t="shared" si="25"/>
        <v>0000</v>
      </c>
      <c r="BS103" s="104" t="str">
        <f t="shared" si="26"/>
        <v>no action required</v>
      </c>
      <c r="BT103" s="142" t="str">
        <f t="shared" si="27"/>
        <v/>
      </c>
      <c r="BU103" s="104" t="str">
        <f t="shared" si="28"/>
        <v/>
      </c>
      <c r="BV103" s="104" t="str">
        <f t="shared" si="29"/>
        <v>none</v>
      </c>
      <c r="BW103" s="150" t="str">
        <f t="shared" si="30"/>
        <v/>
      </c>
      <c r="BX103" s="150" t="str">
        <f t="shared" si="31"/>
        <v/>
      </c>
      <c r="BY103" s="151" t="str">
        <f t="shared" si="32"/>
        <v/>
      </c>
      <c r="BZ103" s="152" t="str">
        <f t="shared" si="33"/>
        <v/>
      </c>
      <c r="CA103" s="152" t="str">
        <f t="shared" si="34"/>
        <v/>
      </c>
      <c r="CB103" s="152" t="str">
        <f t="shared" si="35"/>
        <v/>
      </c>
      <c r="CC103" s="153" t="str">
        <f t="shared" si="36"/>
        <v/>
      </c>
      <c r="CD103" s="153" t="str">
        <f t="shared" si="37"/>
        <v/>
      </c>
      <c r="CE103" s="154" t="str">
        <f t="shared" si="38"/>
        <v/>
      </c>
      <c r="CF103" s="154" t="str">
        <f t="shared" si="39"/>
        <v/>
      </c>
      <c r="CG103" s="154" t="str">
        <f t="shared" si="40"/>
        <v/>
      </c>
    </row>
    <row r="104">
      <c r="A104" s="155" t="s">
        <v>193</v>
      </c>
      <c r="B104" s="104" t="s">
        <v>90</v>
      </c>
      <c r="C104" s="105">
        <v>1.6321581E7</v>
      </c>
      <c r="D104" s="106">
        <v>0.0</v>
      </c>
      <c r="E104" s="107">
        <v>0.0</v>
      </c>
      <c r="F104" s="108">
        <v>0.0</v>
      </c>
      <c r="G104" s="108">
        <v>0.0</v>
      </c>
      <c r="H104" s="108">
        <v>0.0</v>
      </c>
      <c r="I104" s="109">
        <v>0.09876956</v>
      </c>
      <c r="J104" s="109">
        <v>0.12209762</v>
      </c>
      <c r="K104" s="110">
        <v>0.220867176</v>
      </c>
      <c r="L104" s="111">
        <v>478.3565698</v>
      </c>
      <c r="M104" s="111">
        <v>866.148146</v>
      </c>
      <c r="N104" s="112">
        <v>1344.504716</v>
      </c>
      <c r="O104" s="113"/>
      <c r="P104" s="114"/>
      <c r="Q104" s="114"/>
      <c r="R104" s="115" t="str">
        <f t="shared" si="8"/>
        <v/>
      </c>
      <c r="S104" s="116">
        <f t="shared" si="9"/>
        <v>0.4013436246</v>
      </c>
      <c r="T104" s="118">
        <v>0.1552</v>
      </c>
      <c r="U104" s="118">
        <f t="shared" si="41"/>
        <v>0.1552</v>
      </c>
      <c r="V104" s="148"/>
      <c r="W104" s="120">
        <f t="shared" si="10"/>
        <v>1</v>
      </c>
      <c r="X104" s="148"/>
      <c r="Y104" s="120">
        <f t="shared" si="11"/>
        <v>0.71735</v>
      </c>
      <c r="Z104" s="121"/>
      <c r="AA104" s="121"/>
      <c r="AB104" s="121"/>
      <c r="AC104" s="121"/>
      <c r="AD104" s="122">
        <v>0.0</v>
      </c>
      <c r="AE104" s="123">
        <v>0.0</v>
      </c>
      <c r="AF104" s="123">
        <v>0.0</v>
      </c>
      <c r="AG104" s="124">
        <v>0.0</v>
      </c>
      <c r="AH104" s="124">
        <v>1.22097E-5</v>
      </c>
      <c r="AI104" s="125">
        <v>0.0</v>
      </c>
      <c r="AJ104" s="125">
        <v>1.16E-5</v>
      </c>
      <c r="AK104" s="127">
        <v>0.2</v>
      </c>
      <c r="AL104" s="127">
        <v>0.303671157</v>
      </c>
      <c r="AM104" s="128"/>
      <c r="AN104" s="149" t="str">
        <f>IFERROR(
  AVERAGEIFS(
    'New 20102013 LF Efficacy'!$J:$J,
    'New 20102013 LF Efficacy'!$D:$D, $A104,
    'New 20102013 LF Efficacy'!$F:$F,"DEC", 
    'New 20102013 LF Efficacy'!$W:$W,"&lt;2011",
    'New 20102013 LF Efficacy'!$AA:$AA,""),
  ""
)</f>
        <v/>
      </c>
      <c r="AO104" s="115">
        <f t="shared" si="12"/>
        <v>0.3573520833</v>
      </c>
      <c r="AP104" s="121" t="str">
        <f>IFERROR(
AVERAGEIFS(
'New 20102013 LF Efficacy'!$J:$J,
'New 20102013 LF Efficacy'!$D:$D,$A104,
'New 20102013 LF Efficacy'!$F:$F,"Albendazole &amp; DEC",
'New 20102013 LF Efficacy'!$W:$W,"&lt;2011",
'New 20102013 LF Efficacy'!$AA:$AA,""),
"")
</f>
        <v/>
      </c>
      <c r="AQ104" s="115">
        <f t="shared" si="13"/>
        <v>0.5137291667</v>
      </c>
      <c r="AR104" s="121" t="str">
        <f>IFERROR(
AVERAGEIFS(
'New 20102013 LF Efficacy'!$J:$J,
'New 20102013 LF Efficacy'!$D:$D,$A104,
'New 20102013 LF Efficacy'!$F:$F,"Albendazole &amp; Ivermectin", 
'New 20102013 LF Efficacy'!$W:$W,"&lt;2011",
'New 20102013 LF Efficacy'!$AA:$AA,""),"")</f>
        <v/>
      </c>
      <c r="AS104" s="115">
        <f t="shared" si="14"/>
        <v>0.37153125</v>
      </c>
      <c r="AT104" s="130" t="str">
        <f>IFERROR(AVERAGEIFS(
'20102013 Schist Efficacy'!$O:$O, 
'20102013 Schist Efficacy'!$C:$C,$A104, 
'20102013 Schist Efficacy'!$D:$D, "Praziquantel",
'20102013 Schist Efficacy'!$J:$J,"&lt;2011",
'20102013 Schist Efficacy'!$U:$U,""),
"")</f>
        <v/>
      </c>
      <c r="AU104" s="118">
        <f t="shared" si="15"/>
        <v>0.655</v>
      </c>
      <c r="AV104" s="131" t="str">
        <f>IFERROR(AVERAGEIFS(
'20102013 STH Efficacy'!$AX:$AX, 
'20102013 STH Efficacy'!$AL:$AL, $A104, 
'20102013 STH Efficacy'!$AM:$AM, "Albendazole",
'20102013 STH Efficacy'!$AS:$AS,"&lt;2011",
'20102013 STH Efficacy'!$BP:$BP,""),
"")</f>
        <v/>
      </c>
      <c r="AW104" s="132">
        <f t="shared" si="16"/>
        <v>0.3842878788</v>
      </c>
      <c r="AX104" s="131" t="str">
        <f>IFERROR(AVERAGEIFS(
'20102013 STH Efficacy'!$AX:$AX, 
'20102013 STH Efficacy'!$AL:$AL, $A104, 
'20102013 STH Efficacy'!$AM:$AM, "Mebendazole",
'20102013 STH Efficacy'!$AS:$AS,"&lt;2011",
'20102013 STH Efficacy'!$BP:$BP,""),
"")</f>
        <v/>
      </c>
      <c r="AY104" s="132">
        <f t="shared" si="17"/>
        <v>0.5121666667</v>
      </c>
      <c r="AZ104" s="131" t="str">
        <f>IFERROR(AVERAGEIFS(
'20102013 STH Efficacy'!$AX:$AX, 
'20102013 STH Efficacy'!$AL:$AL, $A104, 
'20102013 STH Efficacy'!$AM:$AM, "Albendazole &amp; Ivermectin",
'20102013 STH Efficacy'!$AS:$AS,"&lt;2011",
'20102013 STH Efficacy'!$BP:$BP,""),
"")</f>
        <v/>
      </c>
      <c r="BA104" s="133">
        <f t="shared" si="18"/>
        <v>0.7176666667</v>
      </c>
      <c r="BB104" s="134" t="str">
        <f>IFERROR(AVERAGEIFS(
'20102013 STH Efficacy'!$N:$N, 
'20102013 STH Efficacy'!$B:$B, $A104, 
'20102013 STH Efficacy'!$C:$C, "Albendazole",
'20102013 STH Efficacy'!$I:$I,"&lt;2011",
'20102013 STH Efficacy'!$AH:$AH,""),
"")</f>
        <v/>
      </c>
      <c r="BC104" s="135">
        <f t="shared" si="19"/>
        <v>0.7630416667</v>
      </c>
      <c r="BD104" s="134" t="str">
        <f>IFERROR(AVERAGEIFS(
'20102013 STH Efficacy'!$N:$N, 
'20102013 STH Efficacy'!$B:$B, $A104, 
'20102013 STH Efficacy'!$C:$C, "Mebendazole",
'20102013 STH Efficacy'!$I:$I,"&lt;2011",
'20102013 STH Efficacy'!$AH:$AH,""),
"")</f>
        <v/>
      </c>
      <c r="BE104" s="135">
        <f t="shared" si="20"/>
        <v>0.4405966667</v>
      </c>
      <c r="BF104" s="128" t="str">
        <f>IFERROR(AVERAGEIFS(
'20102013 STH Efficacy'!$CD:$CD, 
'20102013 STH Efficacy'!$BS:$BS, $A104, 
'20102013 STH Efficacy'!$BT:$BT, "Albendazole",
'20102013 STH Efficacy'!$BZ:$BZ,"&lt;2011",
'20102013 STH Efficacy'!$CU:$CU,""),
"")</f>
        <v/>
      </c>
      <c r="BG104" s="136">
        <f t="shared" si="21"/>
        <v>0.9403222222</v>
      </c>
      <c r="BH104" s="128" t="str">
        <f>IFERROR(AVERAGEIFS(
'20102013 STH Efficacy'!$CD:$CD, 
'20102013 STH Efficacy'!$BS:$BS, $A104, 
'20102013 STH Efficacy'!$BT:$BT, "Mebendazole",
'20102013 STH Efficacy'!$BZ:$BZ,"&lt;2011",
'20102013 STH Efficacy'!$CU:$CU,""),
"")</f>
        <v/>
      </c>
      <c r="BI104" s="136">
        <f t="shared" si="22"/>
        <v>0.9229285714</v>
      </c>
      <c r="BJ104" s="128" t="str">
        <f>IFERROR(AVERAGEIFS(
'20102013 STH Efficacy'!$CD:$CD, 
'20102013 STH Efficacy'!$BS:$BS, $A104, 
'20102013 STH Efficacy'!$BT:$BT, "Albendazole &amp; Ivermectin",
'20102013 STH Efficacy'!$BZ:$BZ,"&lt;2011",
'20102013 STH Efficacy'!$CU:$CU,""),
"")</f>
        <v/>
      </c>
      <c r="BK104" s="136">
        <f t="shared" si="23"/>
        <v>1</v>
      </c>
      <c r="BL104" s="137"/>
      <c r="BM104" s="137"/>
      <c r="BN104" s="138">
        <v>0.0</v>
      </c>
      <c r="BO104" s="139">
        <v>0.0</v>
      </c>
      <c r="BP104" s="140">
        <v>0.0</v>
      </c>
      <c r="BQ104" s="141">
        <f t="shared" si="24"/>
        <v>0</v>
      </c>
      <c r="BR104" s="104" t="str">
        <f t="shared" si="25"/>
        <v>0000</v>
      </c>
      <c r="BS104" s="104" t="str">
        <f t="shared" si="26"/>
        <v>no action required</v>
      </c>
      <c r="BT104" s="142" t="str">
        <f t="shared" si="27"/>
        <v/>
      </c>
      <c r="BU104" s="104" t="str">
        <f t="shared" si="28"/>
        <v/>
      </c>
      <c r="BV104" s="104" t="str">
        <f t="shared" si="29"/>
        <v>none</v>
      </c>
      <c r="BW104" s="150" t="str">
        <f t="shared" si="30"/>
        <v/>
      </c>
      <c r="BX104" s="150" t="str">
        <f t="shared" si="31"/>
        <v/>
      </c>
      <c r="BY104" s="151" t="str">
        <f t="shared" si="32"/>
        <v/>
      </c>
      <c r="BZ104" s="152" t="str">
        <f t="shared" si="33"/>
        <v/>
      </c>
      <c r="CA104" s="152" t="str">
        <f t="shared" si="34"/>
        <v/>
      </c>
      <c r="CB104" s="152" t="str">
        <f t="shared" si="35"/>
        <v/>
      </c>
      <c r="CC104" s="153" t="str">
        <f t="shared" si="36"/>
        <v/>
      </c>
      <c r="CD104" s="153" t="str">
        <f t="shared" si="37"/>
        <v/>
      </c>
      <c r="CE104" s="154" t="str">
        <f t="shared" si="38"/>
        <v/>
      </c>
      <c r="CF104" s="154" t="str">
        <f t="shared" si="39"/>
        <v/>
      </c>
      <c r="CG104" s="154" t="str">
        <f t="shared" si="40"/>
        <v/>
      </c>
    </row>
    <row r="105">
      <c r="A105" s="103" t="s">
        <v>194</v>
      </c>
      <c r="B105" s="104" t="s">
        <v>92</v>
      </c>
      <c r="C105" s="105">
        <v>4.1350152E7</v>
      </c>
      <c r="D105" s="106">
        <v>778.4299938</v>
      </c>
      <c r="E105" s="107">
        <v>63380.6212</v>
      </c>
      <c r="F105" s="108">
        <v>27.99912957</v>
      </c>
      <c r="G105" s="108">
        <v>120.1869682</v>
      </c>
      <c r="H105" s="157">
        <v>148.1860978</v>
      </c>
      <c r="I105" s="110">
        <v>694.641941</v>
      </c>
      <c r="J105" s="110">
        <v>1894.07639</v>
      </c>
      <c r="K105" s="109">
        <v>2588.718329</v>
      </c>
      <c r="L105" s="112">
        <v>2536.905129</v>
      </c>
      <c r="M105" s="112">
        <v>592.0052251</v>
      </c>
      <c r="N105" s="158">
        <v>3128.910354</v>
      </c>
      <c r="O105" s="159"/>
      <c r="P105" s="160">
        <v>3031878.0</v>
      </c>
      <c r="Q105" s="156"/>
      <c r="R105" s="115">
        <f t="shared" si="8"/>
        <v>0</v>
      </c>
      <c r="S105" s="116">
        <f t="shared" si="9"/>
        <v>0.1716437208</v>
      </c>
      <c r="T105" s="117"/>
      <c r="U105" s="118">
        <f t="shared" si="41"/>
        <v>0.252</v>
      </c>
      <c r="V105" s="148"/>
      <c r="W105" s="120">
        <f t="shared" si="10"/>
        <v>0.7266555556</v>
      </c>
      <c r="X105" s="119">
        <v>0.0043</v>
      </c>
      <c r="Y105" s="120">
        <f t="shared" si="11"/>
        <v>0.0043</v>
      </c>
      <c r="Z105" s="121"/>
      <c r="AA105" s="121"/>
      <c r="AB105" s="121"/>
      <c r="AC105" s="121"/>
      <c r="AD105" s="122">
        <v>6.0E-4</v>
      </c>
      <c r="AE105" s="123">
        <v>0.17</v>
      </c>
      <c r="AF105" s="123">
        <v>0.0552</v>
      </c>
      <c r="AG105" s="167">
        <v>0.0</v>
      </c>
      <c r="AH105" s="124">
        <v>0.044945157</v>
      </c>
      <c r="AI105" s="168">
        <v>0.0</v>
      </c>
      <c r="AJ105" s="125">
        <v>0.054967665</v>
      </c>
      <c r="AK105" s="127">
        <v>0.04</v>
      </c>
      <c r="AL105" s="127">
        <v>0.060258176</v>
      </c>
      <c r="AM105" s="128"/>
      <c r="AN105" s="149">
        <f>IFERROR(
  AVERAGEIFS(
    'New 20102013 LF Efficacy'!$J:$J,
    'New 20102013 LF Efficacy'!$D:$D, $A105,
    'New 20102013 LF Efficacy'!$F:$F,"DEC", 
    'New 20102013 LF Efficacy'!$W:$W,"&lt;2011",
    'New 20102013 LF Efficacy'!$AA:$AA,""),
  ""
)</f>
        <v>0.5185</v>
      </c>
      <c r="AO105" s="115">
        <f t="shared" si="12"/>
        <v>0.5185</v>
      </c>
      <c r="AP105" s="121">
        <f>IFERROR(
AVERAGEIFS(
'New 20102013 LF Efficacy'!$J:$J,
'New 20102013 LF Efficacy'!$D:$D,$A105,
'New 20102013 LF Efficacy'!$F:$F,"Albendazole &amp; DEC",
'New 20102013 LF Efficacy'!$W:$W,"&lt;2011",
'New 20102013 LF Efficacy'!$AA:$AA,""),
"")
</f>
        <v>0.537</v>
      </c>
      <c r="AQ105" s="115">
        <f t="shared" si="13"/>
        <v>0.537</v>
      </c>
      <c r="AR105" s="121" t="str">
        <f>IFERROR(
AVERAGEIFS(
'New 20102013 LF Efficacy'!$J:$J,
'New 20102013 LF Efficacy'!$D:$D,$A105,
'New 20102013 LF Efficacy'!$F:$F,"Albendazole &amp; Ivermectin", 
'New 20102013 LF Efficacy'!$W:$W,"&lt;2011",
'New 20102013 LF Efficacy'!$AA:$AA,""),"")</f>
        <v/>
      </c>
      <c r="AS105" s="115">
        <f t="shared" si="14"/>
        <v>0.2943125</v>
      </c>
      <c r="AT105" s="130">
        <f>IFERROR(AVERAGEIFS(
'20102013 Schist Efficacy'!$O:$O, 
'20102013 Schist Efficacy'!$C:$C,$A105, 
'20102013 Schist Efficacy'!$D:$D, "Praziquantel",
'20102013 Schist Efficacy'!$J:$J,"&lt;2011",
'20102013 Schist Efficacy'!$U:$U,""),
"")</f>
        <v>0.7191428571</v>
      </c>
      <c r="AU105" s="118">
        <f t="shared" si="15"/>
        <v>0.7191428571</v>
      </c>
      <c r="AV105" s="131" t="str">
        <f>IFERROR(AVERAGEIFS(
'20102013 STH Efficacy'!$AX:$AX, 
'20102013 STH Efficacy'!$AL:$AL, $A105, 
'20102013 STH Efficacy'!$AM:$AM, "Albendazole",
'20102013 STH Efficacy'!$AS:$AS,"&lt;2011",
'20102013 STH Efficacy'!$BP:$BP,""),
"")</f>
        <v/>
      </c>
      <c r="AW105" s="132">
        <f t="shared" si="16"/>
        <v>0.3538333333</v>
      </c>
      <c r="AX105" s="131" t="str">
        <f>IFERROR(AVERAGEIFS(
'20102013 STH Efficacy'!$AX:$AX, 
'20102013 STH Efficacy'!$AL:$AL, $A105, 
'20102013 STH Efficacy'!$AM:$AM, "Mebendazole",
'20102013 STH Efficacy'!$AS:$AS,"&lt;2011",
'20102013 STH Efficacy'!$BP:$BP,""),
"")</f>
        <v/>
      </c>
      <c r="AY105" s="132">
        <f t="shared" si="17"/>
        <v>0.5918333333</v>
      </c>
      <c r="AZ105" s="131" t="str">
        <f>IFERROR(AVERAGEIFS(
'20102013 STH Efficacy'!$AX:$AX, 
'20102013 STH Efficacy'!$AL:$AL, $A105, 
'20102013 STH Efficacy'!$AM:$AM, "Albendazole &amp; Ivermectin",
'20102013 STH Efficacy'!$AS:$AS,"&lt;2011",
'20102013 STH Efficacy'!$BP:$BP,""),
"")</f>
        <v/>
      </c>
      <c r="BA105" s="133">
        <f t="shared" si="18"/>
        <v>0.706</v>
      </c>
      <c r="BB105" s="134" t="str">
        <f>IFERROR(AVERAGEIFS(
'20102013 STH Efficacy'!$N:$N, 
'20102013 STH Efficacy'!$B:$B, $A105, 
'20102013 STH Efficacy'!$C:$C, "Albendazole",
'20102013 STH Efficacy'!$I:$I,"&lt;2011",
'20102013 STH Efficacy'!$AH:$AH,""),
"")</f>
        <v/>
      </c>
      <c r="BC105" s="135">
        <f t="shared" si="19"/>
        <v>0.9116666667</v>
      </c>
      <c r="BD105" s="134" t="str">
        <f>IFERROR(AVERAGEIFS(
'20102013 STH Efficacy'!$N:$N, 
'20102013 STH Efficacy'!$B:$B, $A105, 
'20102013 STH Efficacy'!$C:$C, "Mebendazole",
'20102013 STH Efficacy'!$I:$I,"&lt;2011",
'20102013 STH Efficacy'!$AH:$AH,""),
"")</f>
        <v/>
      </c>
      <c r="BE105" s="135">
        <f t="shared" si="20"/>
        <v>0.7092416667</v>
      </c>
      <c r="BF105" s="128">
        <f>IFERROR(AVERAGEIFS(
'20102013 STH Efficacy'!$CD:$CD, 
'20102013 STH Efficacy'!$BS:$BS, $A105, 
'20102013 STH Efficacy'!$BT:$BT, "Albendazole",
'20102013 STH Efficacy'!$BZ:$BZ,"&lt;2011",
'20102013 STH Efficacy'!$CU:$CU,""),
"")</f>
        <v>0.758</v>
      </c>
      <c r="BG105" s="136">
        <f t="shared" si="21"/>
        <v>0.758</v>
      </c>
      <c r="BH105" s="128">
        <f>IFERROR(AVERAGEIFS(
'20102013 STH Efficacy'!$CD:$CD, 
'20102013 STH Efficacy'!$BS:$BS, $A105, 
'20102013 STH Efficacy'!$BT:$BT, "Mebendazole",
'20102013 STH Efficacy'!$BZ:$BZ,"&lt;2011",
'20102013 STH Efficacy'!$CU:$CU,""),
"")</f>
        <v>0.855</v>
      </c>
      <c r="BI105" s="136">
        <f t="shared" si="22"/>
        <v>0.855</v>
      </c>
      <c r="BJ105" s="128" t="str">
        <f>IFERROR(AVERAGEIFS(
'20102013 STH Efficacy'!$CD:$CD, 
'20102013 STH Efficacy'!$BS:$BS, $A105, 
'20102013 STH Efficacy'!$BT:$BT, "Albendazole &amp; Ivermectin",
'20102013 STH Efficacy'!$BZ:$BZ,"&lt;2011",
'20102013 STH Efficacy'!$CU:$CU,""),
"")</f>
        <v/>
      </c>
      <c r="BK105" s="136">
        <f t="shared" si="23"/>
        <v>1</v>
      </c>
      <c r="BL105" s="137"/>
      <c r="BM105" s="137"/>
      <c r="BN105" s="138">
        <v>1.0</v>
      </c>
      <c r="BO105" s="139">
        <v>1.0</v>
      </c>
      <c r="BP105" s="140">
        <v>1.0</v>
      </c>
      <c r="BQ105" s="141">
        <f t="shared" si="24"/>
        <v>0</v>
      </c>
      <c r="BR105" s="104" t="str">
        <f t="shared" si="25"/>
        <v>1110</v>
      </c>
      <c r="BS105" s="104" t="str">
        <f t="shared" si="26"/>
        <v>MDA1+T2</v>
      </c>
      <c r="BT105" s="142" t="str">
        <f t="shared" si="27"/>
        <v>IVM+ALB</v>
      </c>
      <c r="BU105" s="104" t="str">
        <f t="shared" si="28"/>
        <v>PZQ</v>
      </c>
      <c r="BV105" s="104" t="str">
        <f t="shared" si="29"/>
        <v>lf+onch+schist </v>
      </c>
      <c r="BW105" s="150" t="str">
        <f t="shared" si="30"/>
        <v/>
      </c>
      <c r="BX105" s="150">
        <f t="shared" si="31"/>
        <v>41.41607583</v>
      </c>
      <c r="BY105" s="162">
        <f t="shared" si="32"/>
        <v>14028.36636</v>
      </c>
      <c r="BZ105" s="152" t="str">
        <f t="shared" si="33"/>
        <v/>
      </c>
      <c r="CA105" s="152" t="str">
        <f t="shared" si="34"/>
        <v/>
      </c>
      <c r="CB105" s="152" t="str">
        <f t="shared" si="35"/>
        <v/>
      </c>
      <c r="CC105" s="153" t="str">
        <f t="shared" si="36"/>
        <v/>
      </c>
      <c r="CD105" s="153" t="str">
        <f t="shared" si="37"/>
        <v/>
      </c>
      <c r="CE105" s="154" t="str">
        <f t="shared" si="38"/>
        <v/>
      </c>
      <c r="CF105" s="154" t="str">
        <f t="shared" si="39"/>
        <v/>
      </c>
      <c r="CG105" s="154" t="str">
        <f t="shared" si="40"/>
        <v/>
      </c>
    </row>
    <row r="106">
      <c r="A106" s="155" t="s">
        <v>195</v>
      </c>
      <c r="B106" s="104" t="s">
        <v>94</v>
      </c>
      <c r="C106" s="105">
        <v>102652.0</v>
      </c>
      <c r="D106" s="106">
        <v>0.0</v>
      </c>
      <c r="E106" s="107">
        <v>0.0</v>
      </c>
      <c r="F106" s="108">
        <v>0.077483266</v>
      </c>
      <c r="G106" s="108">
        <v>0.724006471</v>
      </c>
      <c r="H106" s="108">
        <v>0.801489737</v>
      </c>
      <c r="I106" s="109">
        <v>2.34716916</v>
      </c>
      <c r="J106" s="109">
        <v>7.33544444</v>
      </c>
      <c r="K106" s="109">
        <v>9.682613602</v>
      </c>
      <c r="L106" s="112">
        <v>0.807784608</v>
      </c>
      <c r="M106" s="112">
        <v>0.164026116</v>
      </c>
      <c r="N106" s="158">
        <v>0.971810724</v>
      </c>
      <c r="O106" s="159"/>
      <c r="P106" s="160">
        <v>93236.0</v>
      </c>
      <c r="Q106" s="160">
        <v>34632.0</v>
      </c>
      <c r="R106" s="115">
        <f t="shared" si="8"/>
        <v>0.3714445064</v>
      </c>
      <c r="S106" s="116">
        <f t="shared" si="9"/>
        <v>0.3714445064</v>
      </c>
      <c r="T106" s="117"/>
      <c r="U106" s="118">
        <f t="shared" si="41"/>
        <v>0.6259666667</v>
      </c>
      <c r="V106" s="119">
        <v>0.3942</v>
      </c>
      <c r="W106" s="120">
        <f t="shared" si="10"/>
        <v>0.3942</v>
      </c>
      <c r="X106" s="119">
        <v>0.5256</v>
      </c>
      <c r="Y106" s="120">
        <f t="shared" si="11"/>
        <v>0.5256</v>
      </c>
      <c r="Z106" s="114"/>
      <c r="AA106" s="114"/>
      <c r="AB106" s="114"/>
      <c r="AC106" s="114"/>
      <c r="AD106" s="164">
        <v>0.0</v>
      </c>
      <c r="AE106" s="123">
        <v>0.0</v>
      </c>
      <c r="AF106" s="123">
        <v>0.0</v>
      </c>
      <c r="AG106" s="167">
        <v>0.0</v>
      </c>
      <c r="AH106" s="124">
        <v>0.05484358</v>
      </c>
      <c r="AI106" s="168">
        <v>0.0</v>
      </c>
      <c r="AJ106" s="125">
        <v>0.079813354</v>
      </c>
      <c r="AK106" s="126">
        <v>0.0</v>
      </c>
      <c r="AL106" s="169">
        <v>1.17094E-5</v>
      </c>
      <c r="AM106" s="128"/>
      <c r="AN106" s="149" t="str">
        <f>IFERROR(
  AVERAGEIFS(
    'New 20102013 LF Efficacy'!$J:$J,
    'New 20102013 LF Efficacy'!$D:$D, $A106,
    'New 20102013 LF Efficacy'!$F:$F,"DEC", 
    'New 20102013 LF Efficacy'!$W:$W,"&lt;2011",
    'New 20102013 LF Efficacy'!$AA:$AA,""),
  ""
)</f>
        <v/>
      </c>
      <c r="AO106" s="115">
        <f t="shared" si="12"/>
        <v>0.38</v>
      </c>
      <c r="AP106" s="121" t="str">
        <f>IFERROR(
AVERAGEIFS(
'New 20102013 LF Efficacy'!$J:$J,
'New 20102013 LF Efficacy'!$D:$D,$A106,
'New 20102013 LF Efficacy'!$F:$F,"Albendazole &amp; DEC",
'New 20102013 LF Efficacy'!$W:$W,"&lt;2011",
'New 20102013 LF Efficacy'!$AA:$AA,""),
"")
</f>
        <v/>
      </c>
      <c r="AQ106" s="115">
        <f t="shared" si="13"/>
        <v>0.657</v>
      </c>
      <c r="AR106" s="121" t="str">
        <f>IFERROR(
AVERAGEIFS(
'New 20102013 LF Efficacy'!$J:$J,
'New 20102013 LF Efficacy'!$D:$D,$A106,
'New 20102013 LF Efficacy'!$F:$F,"Albendazole &amp; Ivermectin", 
'New 20102013 LF Efficacy'!$W:$W,"&lt;2011",
'New 20102013 LF Efficacy'!$AA:$AA,""),"")</f>
        <v/>
      </c>
      <c r="AS106" s="115">
        <f t="shared" si="14"/>
        <v>0.37153125</v>
      </c>
      <c r="AT106" s="130" t="str">
        <f>IFERROR(AVERAGEIFS(
'20102013 Schist Efficacy'!$O:$O, 
'20102013 Schist Efficacy'!$C:$C,$A106, 
'20102013 Schist Efficacy'!$D:$D, "Praziquantel",
'20102013 Schist Efficacy'!$J:$J,"&lt;2011",
'20102013 Schist Efficacy'!$U:$U,""),
"")</f>
        <v/>
      </c>
      <c r="AU106" s="118">
        <f t="shared" si="15"/>
        <v>0.95</v>
      </c>
      <c r="AV106" s="131" t="str">
        <f>IFERROR(AVERAGEIFS(
'20102013 STH Efficacy'!$AX:$AX, 
'20102013 STH Efficacy'!$AL:$AL, $A106, 
'20102013 STH Efficacy'!$AM:$AM, "Albendazole",
'20102013 STH Efficacy'!$AS:$AS,"&lt;2011",
'20102013 STH Efficacy'!$BP:$BP,""),
"")</f>
        <v/>
      </c>
      <c r="AW106" s="132">
        <f t="shared" si="16"/>
        <v>0.3571666667</v>
      </c>
      <c r="AX106" s="131" t="str">
        <f>IFERROR(AVERAGEIFS(
'20102013 STH Efficacy'!$AX:$AX, 
'20102013 STH Efficacy'!$AL:$AL, $A106, 
'20102013 STH Efficacy'!$AM:$AM, "Mebendazole",
'20102013 STH Efficacy'!$AS:$AS,"&lt;2011",
'20102013 STH Efficacy'!$BP:$BP,""),
"")</f>
        <v/>
      </c>
      <c r="AY106" s="132">
        <f t="shared" si="17"/>
        <v>0.4155</v>
      </c>
      <c r="AZ106" s="131" t="str">
        <f>IFERROR(AVERAGEIFS(
'20102013 STH Efficacy'!$AX:$AX, 
'20102013 STH Efficacy'!$AL:$AL, $A106, 
'20102013 STH Efficacy'!$AM:$AM, "Albendazole &amp; Ivermectin",
'20102013 STH Efficacy'!$AS:$AS,"&lt;2011",
'20102013 STH Efficacy'!$BP:$BP,""),
"")</f>
        <v/>
      </c>
      <c r="BA106" s="133">
        <f t="shared" si="18"/>
        <v>0.651</v>
      </c>
      <c r="BB106" s="134" t="str">
        <f>IFERROR(AVERAGEIFS(
'20102013 STH Efficacy'!$N:$N, 
'20102013 STH Efficacy'!$B:$B, $A106, 
'20102013 STH Efficacy'!$C:$C, "Albendazole",
'20102013 STH Efficacy'!$I:$I,"&lt;2011",
'20102013 STH Efficacy'!$AH:$AH,""),
"")</f>
        <v/>
      </c>
      <c r="BC106" s="135">
        <f t="shared" si="19"/>
        <v>0.5769166667</v>
      </c>
      <c r="BD106" s="134" t="str">
        <f>IFERROR(AVERAGEIFS(
'20102013 STH Efficacy'!$N:$N, 
'20102013 STH Efficacy'!$B:$B, $A106, 
'20102013 STH Efficacy'!$C:$C, "Mebendazole",
'20102013 STH Efficacy'!$I:$I,"&lt;2011",
'20102013 STH Efficacy'!$AH:$AH,""),
"")</f>
        <v/>
      </c>
      <c r="BE106" s="135">
        <f t="shared" si="20"/>
        <v>0.3145</v>
      </c>
      <c r="BF106" s="128" t="str">
        <f>IFERROR(AVERAGEIFS(
'20102013 STH Efficacy'!$CD:$CD, 
'20102013 STH Efficacy'!$BS:$BS, $A106, 
'20102013 STH Efficacy'!$BT:$BT, "Albendazole",
'20102013 STH Efficacy'!$BZ:$BZ,"&lt;2011",
'20102013 STH Efficacy'!$CU:$CU,""),
"")</f>
        <v/>
      </c>
      <c r="BG106" s="136">
        <f t="shared" si="21"/>
        <v>0.96925</v>
      </c>
      <c r="BH106" s="128" t="str">
        <f>IFERROR(AVERAGEIFS(
'20102013 STH Efficacy'!$CD:$CD, 
'20102013 STH Efficacy'!$BS:$BS, $A106, 
'20102013 STH Efficacy'!$BT:$BT, "Mebendazole",
'20102013 STH Efficacy'!$BZ:$BZ,"&lt;2011",
'20102013 STH Efficacy'!$CU:$CU,""),
"")</f>
        <v/>
      </c>
      <c r="BI106" s="136">
        <f t="shared" si="22"/>
        <v>0.9305</v>
      </c>
      <c r="BJ106" s="128" t="str">
        <f>IFERROR(AVERAGEIFS(
'20102013 STH Efficacy'!$CD:$CD, 
'20102013 STH Efficacy'!$BS:$BS, $A106, 
'20102013 STH Efficacy'!$BT:$BT, "Albendazole &amp; Ivermectin",
'20102013 STH Efficacy'!$BZ:$BZ,"&lt;2011",
'20102013 STH Efficacy'!$CU:$CU,""),
"")</f>
        <v/>
      </c>
      <c r="BK106" s="136">
        <f t="shared" si="23"/>
        <v>1</v>
      </c>
      <c r="BL106" s="137"/>
      <c r="BM106" s="137"/>
      <c r="BN106" s="138">
        <v>1.0</v>
      </c>
      <c r="BO106" s="139">
        <v>0.0</v>
      </c>
      <c r="BP106" s="140">
        <v>0.0</v>
      </c>
      <c r="BQ106" s="141">
        <f t="shared" si="24"/>
        <v>0</v>
      </c>
      <c r="BR106" s="104" t="str">
        <f t="shared" si="25"/>
        <v>1000</v>
      </c>
      <c r="BS106" s="104" t="str">
        <f t="shared" si="26"/>
        <v>MDA1/2</v>
      </c>
      <c r="BT106" s="142" t="str">
        <f t="shared" si="27"/>
        <v>DEC+ALB</v>
      </c>
      <c r="BU106" s="104" t="str">
        <f t="shared" si="28"/>
        <v/>
      </c>
      <c r="BV106" s="104" t="str">
        <f t="shared" si="29"/>
        <v>lf only</v>
      </c>
      <c r="BW106" s="150">
        <f t="shared" si="30"/>
        <v>0</v>
      </c>
      <c r="BX106" s="150" t="str">
        <f t="shared" si="31"/>
        <v/>
      </c>
      <c r="BY106" s="151" t="str">
        <f t="shared" si="32"/>
        <v/>
      </c>
      <c r="BZ106" s="152" t="str">
        <f t="shared" si="33"/>
        <v/>
      </c>
      <c r="CA106" s="152" t="str">
        <f t="shared" si="34"/>
        <v/>
      </c>
      <c r="CB106" s="152" t="str">
        <f t="shared" si="35"/>
        <v/>
      </c>
      <c r="CC106" s="153" t="str">
        <f t="shared" si="36"/>
        <v/>
      </c>
      <c r="CD106" s="153" t="str">
        <f t="shared" si="37"/>
        <v/>
      </c>
      <c r="CE106" s="154" t="str">
        <f t="shared" si="38"/>
        <v/>
      </c>
      <c r="CF106" s="154" t="str">
        <f t="shared" si="39"/>
        <v/>
      </c>
      <c r="CG106" s="154" t="str">
        <f t="shared" si="40"/>
        <v/>
      </c>
    </row>
    <row r="107">
      <c r="A107" s="155" t="s">
        <v>196</v>
      </c>
      <c r="B107" s="104" t="s">
        <v>88</v>
      </c>
      <c r="C107" s="105">
        <v>2998083.0</v>
      </c>
      <c r="D107" s="106">
        <v>0.0</v>
      </c>
      <c r="E107" s="107">
        <v>0.0</v>
      </c>
      <c r="F107" s="108">
        <v>0.0</v>
      </c>
      <c r="G107" s="108">
        <v>0.0</v>
      </c>
      <c r="H107" s="108">
        <v>0.0</v>
      </c>
      <c r="I107" s="109">
        <v>0.0</v>
      </c>
      <c r="J107" s="109">
        <v>0.0</v>
      </c>
      <c r="K107" s="109">
        <v>0.0</v>
      </c>
      <c r="L107" s="112">
        <v>0.0</v>
      </c>
      <c r="M107" s="112">
        <v>0.0</v>
      </c>
      <c r="N107" s="112">
        <v>0.0</v>
      </c>
      <c r="O107" s="113"/>
      <c r="P107" s="114"/>
      <c r="Q107" s="114"/>
      <c r="R107" s="115" t="str">
        <f t="shared" si="8"/>
        <v/>
      </c>
      <c r="S107" s="116">
        <f t="shared" si="9"/>
        <v>0.3211323089</v>
      </c>
      <c r="T107" s="117"/>
      <c r="U107" s="118">
        <f t="shared" si="41"/>
        <v>0.5949</v>
      </c>
      <c r="V107" s="148"/>
      <c r="W107" s="120">
        <f t="shared" si="10"/>
        <v>0.9019</v>
      </c>
      <c r="X107" s="148"/>
      <c r="Y107" s="120">
        <f t="shared" si="11"/>
        <v>0.094</v>
      </c>
      <c r="Z107" s="121"/>
      <c r="AA107" s="121"/>
      <c r="AB107" s="121"/>
      <c r="AC107" s="121"/>
      <c r="AD107" s="122">
        <v>0.0</v>
      </c>
      <c r="AE107" s="123">
        <v>0.0</v>
      </c>
      <c r="AF107" s="123">
        <v>0.0</v>
      </c>
      <c r="AG107" s="124">
        <v>0.0</v>
      </c>
      <c r="AH107" s="124">
        <v>0.0</v>
      </c>
      <c r="AI107" s="125">
        <v>0.0</v>
      </c>
      <c r="AJ107" s="125">
        <v>0.0</v>
      </c>
      <c r="AK107" s="127">
        <v>0.0</v>
      </c>
      <c r="AL107" s="127">
        <v>0.0</v>
      </c>
      <c r="AM107" s="128"/>
      <c r="AN107" s="149" t="str">
        <f>IFERROR(
  AVERAGEIFS(
    'New 20102013 LF Efficacy'!$J:$J,
    'New 20102013 LF Efficacy'!$D:$D, $A107,
    'New 20102013 LF Efficacy'!$F:$F,"DEC", 
    'New 20102013 LF Efficacy'!$W:$W,"&lt;2011",
    'New 20102013 LF Efficacy'!$AA:$AA,""),
  ""
)</f>
        <v/>
      </c>
      <c r="AO107" s="115">
        <f t="shared" si="12"/>
        <v>0.3573520833</v>
      </c>
      <c r="AP107" s="121" t="str">
        <f>IFERROR(
AVERAGEIFS(
'New 20102013 LF Efficacy'!$J:$J,
'New 20102013 LF Efficacy'!$D:$D,$A107,
'New 20102013 LF Efficacy'!$F:$F,"Albendazole &amp; DEC",
'New 20102013 LF Efficacy'!$W:$W,"&lt;2011",
'New 20102013 LF Efficacy'!$AA:$AA,""),
"")
</f>
        <v/>
      </c>
      <c r="AQ107" s="115">
        <f t="shared" si="13"/>
        <v>0.7935</v>
      </c>
      <c r="AR107" s="121" t="str">
        <f>IFERROR(
AVERAGEIFS(
'New 20102013 LF Efficacy'!$J:$J,
'New 20102013 LF Efficacy'!$D:$D,$A107,
'New 20102013 LF Efficacy'!$F:$F,"Albendazole &amp; Ivermectin", 
'New 20102013 LF Efficacy'!$W:$W,"&lt;2011",
'New 20102013 LF Efficacy'!$AA:$AA,""),"")</f>
        <v/>
      </c>
      <c r="AS107" s="115">
        <f t="shared" si="14"/>
        <v>0.37153125</v>
      </c>
      <c r="AT107" s="130" t="str">
        <f>IFERROR(AVERAGEIFS(
'20102013 Schist Efficacy'!$O:$O, 
'20102013 Schist Efficacy'!$C:$C,$A107, 
'20102013 Schist Efficacy'!$D:$D, "Praziquantel",
'20102013 Schist Efficacy'!$J:$J,"&lt;2011",
'20102013 Schist Efficacy'!$U:$U,""),
"")</f>
        <v/>
      </c>
      <c r="AU107" s="118">
        <f t="shared" si="15"/>
        <v>0.7763141026</v>
      </c>
      <c r="AV107" s="131" t="str">
        <f>IFERROR(AVERAGEIFS(
'20102013 STH Efficacy'!$AX:$AX, 
'20102013 STH Efficacy'!$AL:$AL, $A107, 
'20102013 STH Efficacy'!$AM:$AM, "Albendazole",
'20102013 STH Efficacy'!$AS:$AS,"&lt;2011",
'20102013 STH Efficacy'!$BP:$BP,""),
"")</f>
        <v/>
      </c>
      <c r="AW107" s="132">
        <f t="shared" si="16"/>
        <v>0.3842878788</v>
      </c>
      <c r="AX107" s="131" t="str">
        <f>IFERROR(AVERAGEIFS(
'20102013 STH Efficacy'!$AX:$AX, 
'20102013 STH Efficacy'!$AL:$AL, $A107, 
'20102013 STH Efficacy'!$AM:$AM, "Mebendazole",
'20102013 STH Efficacy'!$AS:$AS,"&lt;2011",
'20102013 STH Efficacy'!$BP:$BP,""),
"")</f>
        <v/>
      </c>
      <c r="AY107" s="132">
        <f t="shared" si="17"/>
        <v>0.5121666667</v>
      </c>
      <c r="AZ107" s="131" t="str">
        <f>IFERROR(AVERAGEIFS(
'20102013 STH Efficacy'!$AX:$AX, 
'20102013 STH Efficacy'!$AL:$AL, $A107, 
'20102013 STH Efficacy'!$AM:$AM, "Albendazole &amp; Ivermectin",
'20102013 STH Efficacy'!$AS:$AS,"&lt;2011",
'20102013 STH Efficacy'!$BP:$BP,""),
"")</f>
        <v/>
      </c>
      <c r="BA107" s="133">
        <f t="shared" si="18"/>
        <v>0.7176666667</v>
      </c>
      <c r="BB107" s="134" t="str">
        <f>IFERROR(AVERAGEIFS(
'20102013 STH Efficacy'!$N:$N, 
'20102013 STH Efficacy'!$B:$B, $A107, 
'20102013 STH Efficacy'!$C:$C, "Albendazole",
'20102013 STH Efficacy'!$I:$I,"&lt;2011",
'20102013 STH Efficacy'!$AH:$AH,""),
"")</f>
        <v/>
      </c>
      <c r="BC107" s="135">
        <f t="shared" si="19"/>
        <v>0.7630416667</v>
      </c>
      <c r="BD107" s="134" t="str">
        <f>IFERROR(AVERAGEIFS(
'20102013 STH Efficacy'!$N:$N, 
'20102013 STH Efficacy'!$B:$B, $A107, 
'20102013 STH Efficacy'!$C:$C, "Mebendazole",
'20102013 STH Efficacy'!$I:$I,"&lt;2011",
'20102013 STH Efficacy'!$AH:$AH,""),
"")</f>
        <v/>
      </c>
      <c r="BE107" s="135">
        <f t="shared" si="20"/>
        <v>0.4405966667</v>
      </c>
      <c r="BF107" s="128" t="str">
        <f>IFERROR(AVERAGEIFS(
'20102013 STH Efficacy'!$CD:$CD, 
'20102013 STH Efficacy'!$BS:$BS, $A107, 
'20102013 STH Efficacy'!$BT:$BT, "Albendazole",
'20102013 STH Efficacy'!$BZ:$BZ,"&lt;2011",
'20102013 STH Efficacy'!$CU:$CU,""),
"")</f>
        <v/>
      </c>
      <c r="BG107" s="136">
        <f t="shared" si="21"/>
        <v>0.955</v>
      </c>
      <c r="BH107" s="128" t="str">
        <f>IFERROR(AVERAGEIFS(
'20102013 STH Efficacy'!$CD:$CD, 
'20102013 STH Efficacy'!$BS:$BS, $A107, 
'20102013 STH Efficacy'!$BT:$BT, "Mebendazole",
'20102013 STH Efficacy'!$BZ:$BZ,"&lt;2011",
'20102013 STH Efficacy'!$CU:$CU,""),
"")</f>
        <v/>
      </c>
      <c r="BI107" s="136">
        <f t="shared" si="22"/>
        <v>1</v>
      </c>
      <c r="BJ107" s="128" t="str">
        <f>IFERROR(AVERAGEIFS(
'20102013 STH Efficacy'!$CD:$CD, 
'20102013 STH Efficacy'!$BS:$BS, $A107, 
'20102013 STH Efficacy'!$BT:$BT, "Albendazole &amp; Ivermectin",
'20102013 STH Efficacy'!$BZ:$BZ,"&lt;2011",
'20102013 STH Efficacy'!$CU:$CU,""),
"")</f>
        <v/>
      </c>
      <c r="BK107" s="136">
        <f t="shared" si="23"/>
        <v>1</v>
      </c>
      <c r="BL107" s="137"/>
      <c r="BM107" s="137"/>
      <c r="BN107" s="138">
        <v>0.0</v>
      </c>
      <c r="BO107" s="139">
        <v>0.0</v>
      </c>
      <c r="BP107" s="140">
        <v>0.0</v>
      </c>
      <c r="BQ107" s="141">
        <f t="shared" si="24"/>
        <v>0</v>
      </c>
      <c r="BR107" s="104" t="str">
        <f t="shared" si="25"/>
        <v>0000</v>
      </c>
      <c r="BS107" s="104" t="str">
        <f t="shared" si="26"/>
        <v>no action required</v>
      </c>
      <c r="BT107" s="142" t="str">
        <f t="shared" si="27"/>
        <v/>
      </c>
      <c r="BU107" s="104" t="str">
        <f t="shared" si="28"/>
        <v/>
      </c>
      <c r="BV107" s="104" t="str">
        <f t="shared" si="29"/>
        <v>none</v>
      </c>
      <c r="BW107" s="150" t="str">
        <f t="shared" si="30"/>
        <v/>
      </c>
      <c r="BX107" s="150" t="str">
        <f t="shared" si="31"/>
        <v/>
      </c>
      <c r="BY107" s="151" t="str">
        <f t="shared" si="32"/>
        <v/>
      </c>
      <c r="BZ107" s="152" t="str">
        <f t="shared" si="33"/>
        <v/>
      </c>
      <c r="CA107" s="152" t="str">
        <f t="shared" si="34"/>
        <v/>
      </c>
      <c r="CB107" s="152" t="str">
        <f t="shared" si="35"/>
        <v/>
      </c>
      <c r="CC107" s="153" t="str">
        <f t="shared" si="36"/>
        <v/>
      </c>
      <c r="CD107" s="153" t="str">
        <f t="shared" si="37"/>
        <v/>
      </c>
      <c r="CE107" s="154" t="str">
        <f t="shared" si="38"/>
        <v/>
      </c>
      <c r="CF107" s="154" t="str">
        <f t="shared" si="39"/>
        <v/>
      </c>
      <c r="CG107" s="154" t="str">
        <f t="shared" si="40"/>
        <v/>
      </c>
    </row>
    <row r="108">
      <c r="A108" s="155" t="s">
        <v>197</v>
      </c>
      <c r="B108" s="104" t="s">
        <v>90</v>
      </c>
      <c r="C108" s="105">
        <v>5447900.0</v>
      </c>
      <c r="D108" s="106">
        <v>0.0</v>
      </c>
      <c r="E108" s="107">
        <v>0.0</v>
      </c>
      <c r="F108" s="108">
        <v>0.0</v>
      </c>
      <c r="G108" s="108">
        <v>0.0</v>
      </c>
      <c r="H108" s="108">
        <v>0.0</v>
      </c>
      <c r="I108" s="109">
        <v>0.02938392</v>
      </c>
      <c r="J108" s="109">
        <v>0.03560246</v>
      </c>
      <c r="K108" s="109">
        <v>0.064986373</v>
      </c>
      <c r="L108" s="112">
        <v>186.4027884</v>
      </c>
      <c r="M108" s="112">
        <v>451.4199033</v>
      </c>
      <c r="N108" s="112">
        <v>637.8226917</v>
      </c>
      <c r="O108" s="113"/>
      <c r="P108" s="114"/>
      <c r="Q108" s="114"/>
      <c r="R108" s="115" t="str">
        <f t="shared" si="8"/>
        <v/>
      </c>
      <c r="S108" s="116">
        <f t="shared" si="9"/>
        <v>0.4013436246</v>
      </c>
      <c r="T108" s="118">
        <v>1.0</v>
      </c>
      <c r="U108" s="118">
        <f t="shared" si="41"/>
        <v>1</v>
      </c>
      <c r="V108" s="119">
        <v>1.0</v>
      </c>
      <c r="W108" s="120">
        <f t="shared" si="10"/>
        <v>1</v>
      </c>
      <c r="X108" s="119">
        <v>1.0</v>
      </c>
      <c r="Y108" s="120">
        <f t="shared" si="11"/>
        <v>1</v>
      </c>
      <c r="Z108" s="121"/>
      <c r="AA108" s="121"/>
      <c r="AB108" s="121"/>
      <c r="AC108" s="121"/>
      <c r="AD108" s="122">
        <v>0.0</v>
      </c>
      <c r="AE108" s="123">
        <v>0.0</v>
      </c>
      <c r="AF108" s="123">
        <v>0.0</v>
      </c>
      <c r="AG108" s="124">
        <v>0.0</v>
      </c>
      <c r="AH108" s="124">
        <v>1.19022E-5</v>
      </c>
      <c r="AI108" s="125">
        <v>0.0</v>
      </c>
      <c r="AJ108" s="125">
        <v>1.15E-5</v>
      </c>
      <c r="AK108" s="127">
        <v>0.21</v>
      </c>
      <c r="AL108" s="127">
        <v>0.307815473</v>
      </c>
      <c r="AM108" s="128"/>
      <c r="AN108" s="149" t="str">
        <f>IFERROR(
  AVERAGEIFS(
    'New 20102013 LF Efficacy'!$J:$J,
    'New 20102013 LF Efficacy'!$D:$D, $A108,
    'New 20102013 LF Efficacy'!$F:$F,"DEC", 
    'New 20102013 LF Efficacy'!$W:$W,"&lt;2011",
    'New 20102013 LF Efficacy'!$AA:$AA,""),
  ""
)</f>
        <v/>
      </c>
      <c r="AO108" s="115">
        <f t="shared" si="12"/>
        <v>0.3573520833</v>
      </c>
      <c r="AP108" s="121" t="str">
        <f>IFERROR(
AVERAGEIFS(
'New 20102013 LF Efficacy'!$J:$J,
'New 20102013 LF Efficacy'!$D:$D,$A108,
'New 20102013 LF Efficacy'!$F:$F,"Albendazole &amp; DEC",
'New 20102013 LF Efficacy'!$W:$W,"&lt;2011",
'New 20102013 LF Efficacy'!$AA:$AA,""),
"")
</f>
        <v/>
      </c>
      <c r="AQ108" s="115">
        <f t="shared" si="13"/>
        <v>0.5137291667</v>
      </c>
      <c r="AR108" s="121" t="str">
        <f>IFERROR(
AVERAGEIFS(
'New 20102013 LF Efficacy'!$J:$J,
'New 20102013 LF Efficacy'!$D:$D,$A108,
'New 20102013 LF Efficacy'!$F:$F,"Albendazole &amp; Ivermectin", 
'New 20102013 LF Efficacy'!$W:$W,"&lt;2011",
'New 20102013 LF Efficacy'!$AA:$AA,""),"")</f>
        <v/>
      </c>
      <c r="AS108" s="115">
        <f t="shared" si="14"/>
        <v>0.37153125</v>
      </c>
      <c r="AT108" s="130" t="str">
        <f>IFERROR(AVERAGEIFS(
'20102013 Schist Efficacy'!$O:$O, 
'20102013 Schist Efficacy'!$C:$C,$A108, 
'20102013 Schist Efficacy'!$D:$D, "Praziquantel",
'20102013 Schist Efficacy'!$J:$J,"&lt;2011",
'20102013 Schist Efficacy'!$U:$U,""),
"")</f>
        <v/>
      </c>
      <c r="AU108" s="118">
        <f t="shared" si="15"/>
        <v>0.655</v>
      </c>
      <c r="AV108" s="131" t="str">
        <f>IFERROR(AVERAGEIFS(
'20102013 STH Efficacy'!$AX:$AX, 
'20102013 STH Efficacy'!$AL:$AL, $A108, 
'20102013 STH Efficacy'!$AM:$AM, "Albendazole",
'20102013 STH Efficacy'!$AS:$AS,"&lt;2011",
'20102013 STH Efficacy'!$BP:$BP,""),
"")</f>
        <v/>
      </c>
      <c r="AW108" s="132">
        <f t="shared" si="16"/>
        <v>0.3842878788</v>
      </c>
      <c r="AX108" s="131" t="str">
        <f>IFERROR(AVERAGEIFS(
'20102013 STH Efficacy'!$AX:$AX, 
'20102013 STH Efficacy'!$AL:$AL, $A108, 
'20102013 STH Efficacy'!$AM:$AM, "Mebendazole",
'20102013 STH Efficacy'!$AS:$AS,"&lt;2011",
'20102013 STH Efficacy'!$BP:$BP,""),
"")</f>
        <v/>
      </c>
      <c r="AY108" s="132">
        <f t="shared" si="17"/>
        <v>0.5121666667</v>
      </c>
      <c r="AZ108" s="131" t="str">
        <f>IFERROR(AVERAGEIFS(
'20102013 STH Efficacy'!$AX:$AX, 
'20102013 STH Efficacy'!$AL:$AL, $A108, 
'20102013 STH Efficacy'!$AM:$AM, "Albendazole &amp; Ivermectin",
'20102013 STH Efficacy'!$AS:$AS,"&lt;2011",
'20102013 STH Efficacy'!$BP:$BP,""),
"")</f>
        <v/>
      </c>
      <c r="BA108" s="133">
        <f t="shared" si="18"/>
        <v>0.7176666667</v>
      </c>
      <c r="BB108" s="134" t="str">
        <f>IFERROR(AVERAGEIFS(
'20102013 STH Efficacy'!$N:$N, 
'20102013 STH Efficacy'!$B:$B, $A108, 
'20102013 STH Efficacy'!$C:$C, "Albendazole",
'20102013 STH Efficacy'!$I:$I,"&lt;2011",
'20102013 STH Efficacy'!$AH:$AH,""),
"")</f>
        <v/>
      </c>
      <c r="BC108" s="135">
        <f t="shared" si="19"/>
        <v>0.7630416667</v>
      </c>
      <c r="BD108" s="134" t="str">
        <f>IFERROR(AVERAGEIFS(
'20102013 STH Efficacy'!$N:$N, 
'20102013 STH Efficacy'!$B:$B, $A108, 
'20102013 STH Efficacy'!$C:$C, "Mebendazole",
'20102013 STH Efficacy'!$I:$I,"&lt;2011",
'20102013 STH Efficacy'!$AH:$AH,""),
"")</f>
        <v/>
      </c>
      <c r="BE108" s="135">
        <f t="shared" si="20"/>
        <v>0.4405966667</v>
      </c>
      <c r="BF108" s="128" t="str">
        <f>IFERROR(AVERAGEIFS(
'20102013 STH Efficacy'!$CD:$CD, 
'20102013 STH Efficacy'!$BS:$BS, $A108, 
'20102013 STH Efficacy'!$BT:$BT, "Albendazole",
'20102013 STH Efficacy'!$BZ:$BZ,"&lt;2011",
'20102013 STH Efficacy'!$CU:$CU,""),
"")</f>
        <v/>
      </c>
      <c r="BG108" s="136">
        <f t="shared" si="21"/>
        <v>0.9403222222</v>
      </c>
      <c r="BH108" s="128" t="str">
        <f>IFERROR(AVERAGEIFS(
'20102013 STH Efficacy'!$CD:$CD, 
'20102013 STH Efficacy'!$BS:$BS, $A108, 
'20102013 STH Efficacy'!$BT:$BT, "Mebendazole",
'20102013 STH Efficacy'!$BZ:$BZ,"&lt;2011",
'20102013 STH Efficacy'!$CU:$CU,""),
"")</f>
        <v/>
      </c>
      <c r="BI108" s="136">
        <f t="shared" si="22"/>
        <v>0.9229285714</v>
      </c>
      <c r="BJ108" s="128" t="str">
        <f>IFERROR(AVERAGEIFS(
'20102013 STH Efficacy'!$CD:$CD, 
'20102013 STH Efficacy'!$BS:$BS, $A108, 
'20102013 STH Efficacy'!$BT:$BT, "Albendazole &amp; Ivermectin",
'20102013 STH Efficacy'!$BZ:$BZ,"&lt;2011",
'20102013 STH Efficacy'!$CU:$CU,""),
"")</f>
        <v/>
      </c>
      <c r="BK108" s="136">
        <f t="shared" si="23"/>
        <v>1</v>
      </c>
      <c r="BL108" s="137"/>
      <c r="BM108" s="137"/>
      <c r="BN108" s="138">
        <v>0.0</v>
      </c>
      <c r="BO108" s="139">
        <v>0.0</v>
      </c>
      <c r="BP108" s="140">
        <v>0.0</v>
      </c>
      <c r="BQ108" s="141">
        <f t="shared" si="24"/>
        <v>0</v>
      </c>
      <c r="BR108" s="104" t="str">
        <f t="shared" si="25"/>
        <v>0000</v>
      </c>
      <c r="BS108" s="104" t="str">
        <f t="shared" si="26"/>
        <v>no action required</v>
      </c>
      <c r="BT108" s="142" t="str">
        <f t="shared" si="27"/>
        <v/>
      </c>
      <c r="BU108" s="104" t="str">
        <f t="shared" si="28"/>
        <v/>
      </c>
      <c r="BV108" s="104" t="str">
        <f t="shared" si="29"/>
        <v>none</v>
      </c>
      <c r="BW108" s="150" t="str">
        <f t="shared" si="30"/>
        <v/>
      </c>
      <c r="BX108" s="150" t="str">
        <f t="shared" si="31"/>
        <v/>
      </c>
      <c r="BY108" s="151" t="str">
        <f t="shared" si="32"/>
        <v/>
      </c>
      <c r="BZ108" s="152" t="str">
        <f t="shared" si="33"/>
        <v/>
      </c>
      <c r="CA108" s="152" t="str">
        <f t="shared" si="34"/>
        <v/>
      </c>
      <c r="CB108" s="152" t="str">
        <f t="shared" si="35"/>
        <v/>
      </c>
      <c r="CC108" s="153" t="str">
        <f t="shared" si="36"/>
        <v/>
      </c>
      <c r="CD108" s="153" t="str">
        <f t="shared" si="37"/>
        <v/>
      </c>
      <c r="CE108" s="154" t="str">
        <f t="shared" si="38"/>
        <v/>
      </c>
      <c r="CF108" s="154" t="str">
        <f t="shared" si="39"/>
        <v/>
      </c>
      <c r="CG108" s="154" t="str">
        <f t="shared" si="40"/>
        <v/>
      </c>
    </row>
    <row r="109">
      <c r="A109" s="155" t="s">
        <v>198</v>
      </c>
      <c r="B109" s="104" t="s">
        <v>94</v>
      </c>
      <c r="C109" s="105">
        <v>6246274.0</v>
      </c>
      <c r="D109" s="106">
        <v>276.7514889</v>
      </c>
      <c r="E109" s="107">
        <v>2469.841647</v>
      </c>
      <c r="F109" s="108">
        <v>248.255461</v>
      </c>
      <c r="G109" s="108">
        <v>199.5395906</v>
      </c>
      <c r="H109" s="108">
        <v>447.7950516</v>
      </c>
      <c r="I109" s="109">
        <v>0.0</v>
      </c>
      <c r="J109" s="109">
        <v>0.0</v>
      </c>
      <c r="K109" s="109">
        <v>764.6576146</v>
      </c>
      <c r="L109" s="112">
        <v>4348.983645</v>
      </c>
      <c r="M109" s="112">
        <v>1112.497583</v>
      </c>
      <c r="N109" s="158">
        <v>5461.481229</v>
      </c>
      <c r="O109" s="159"/>
      <c r="P109" s="160">
        <v>123779.0</v>
      </c>
      <c r="Q109" s="160">
        <v>86153.0</v>
      </c>
      <c r="R109" s="115">
        <f t="shared" si="8"/>
        <v>0.6960227502</v>
      </c>
      <c r="S109" s="116">
        <f t="shared" si="9"/>
        <v>0.6960227502</v>
      </c>
      <c r="T109" s="130"/>
      <c r="U109" s="118">
        <f t="shared" si="41"/>
        <v>0.6259666667</v>
      </c>
      <c r="V109" s="119">
        <v>0.8311</v>
      </c>
      <c r="W109" s="120">
        <f t="shared" si="10"/>
        <v>0.8311</v>
      </c>
      <c r="X109" s="119">
        <v>0.5996</v>
      </c>
      <c r="Y109" s="120">
        <f t="shared" si="11"/>
        <v>0.5996</v>
      </c>
      <c r="Z109" s="121"/>
      <c r="AA109" s="121"/>
      <c r="AB109" s="121"/>
      <c r="AC109" s="121"/>
      <c r="AD109" s="122">
        <v>0.001</v>
      </c>
      <c r="AE109" s="123">
        <v>0.04</v>
      </c>
      <c r="AF109" s="123">
        <v>0.0064</v>
      </c>
      <c r="AG109" s="167">
        <v>0.0</v>
      </c>
      <c r="AH109" s="124">
        <v>0.149533409</v>
      </c>
      <c r="AI109" s="168">
        <v>0.0</v>
      </c>
      <c r="AJ109" s="125">
        <v>0.087977404</v>
      </c>
      <c r="AK109" s="127">
        <v>0.21</v>
      </c>
      <c r="AL109" s="169">
        <v>0.129835401</v>
      </c>
      <c r="AM109" s="128"/>
      <c r="AN109" s="149" t="str">
        <f>IFERROR(
  AVERAGEIFS(
    'New 20102013 LF Efficacy'!$J:$J,
    'New 20102013 LF Efficacy'!$D:$D, $A109,
    'New 20102013 LF Efficacy'!$F:$F,"DEC", 
    'New 20102013 LF Efficacy'!$W:$W,"&lt;2011",
    'New 20102013 LF Efficacy'!$AA:$AA,""),
  ""
)</f>
        <v/>
      </c>
      <c r="AO109" s="115">
        <f t="shared" si="12"/>
        <v>0.38</v>
      </c>
      <c r="AP109" s="121" t="str">
        <f>IFERROR(
AVERAGEIFS(
'New 20102013 LF Efficacy'!$J:$J,
'New 20102013 LF Efficacy'!$D:$D,$A109,
'New 20102013 LF Efficacy'!$F:$F,"Albendazole &amp; DEC",
'New 20102013 LF Efficacy'!$W:$W,"&lt;2011",
'New 20102013 LF Efficacy'!$AA:$AA,""),
"")
</f>
        <v/>
      </c>
      <c r="AQ109" s="115">
        <f t="shared" si="13"/>
        <v>0.657</v>
      </c>
      <c r="AR109" s="121" t="str">
        <f>IFERROR(
AVERAGEIFS(
'New 20102013 LF Efficacy'!$J:$J,
'New 20102013 LF Efficacy'!$D:$D,$A109,
'New 20102013 LF Efficacy'!$F:$F,"Albendazole &amp; Ivermectin", 
'New 20102013 LF Efficacy'!$W:$W,"&lt;2011",
'New 20102013 LF Efficacy'!$AA:$AA,""),"")</f>
        <v/>
      </c>
      <c r="AS109" s="115">
        <f t="shared" si="14"/>
        <v>0.37153125</v>
      </c>
      <c r="AT109" s="130" t="str">
        <f>IFERROR(AVERAGEIFS(
'20102013 Schist Efficacy'!$O:$O, 
'20102013 Schist Efficacy'!$C:$C,$A109, 
'20102013 Schist Efficacy'!$D:$D, "Praziquantel",
'20102013 Schist Efficacy'!$J:$J,"&lt;2011",
'20102013 Schist Efficacy'!$U:$U,""),
"")</f>
        <v/>
      </c>
      <c r="AU109" s="118">
        <f t="shared" si="15"/>
        <v>0.95</v>
      </c>
      <c r="AV109" s="131">
        <f>IFERROR(AVERAGEIFS(
'20102013 STH Efficacy'!$AX:$AX, 
'20102013 STH Efficacy'!$AL:$AL, $A109, 
'20102013 STH Efficacy'!$AM:$AM, "Albendazole",
'20102013 STH Efficacy'!$AS:$AS,"&lt;2011",
'20102013 STH Efficacy'!$BP:$BP,""),
"")</f>
        <v>0.333</v>
      </c>
      <c r="AW109" s="132">
        <f t="shared" si="16"/>
        <v>0.333</v>
      </c>
      <c r="AX109" s="131">
        <f>IFERROR(AVERAGEIFS(
'20102013 STH Efficacy'!$AX:$AX, 
'20102013 STH Efficacy'!$AL:$AL, $A109, 
'20102013 STH Efficacy'!$AM:$AM, "Mebendazole",
'20102013 STH Efficacy'!$AS:$AS,"&lt;2011",
'20102013 STH Efficacy'!$BP:$BP,""),
"")</f>
        <v>0.279</v>
      </c>
      <c r="AY109" s="132">
        <f t="shared" si="17"/>
        <v>0.279</v>
      </c>
      <c r="AZ109" s="131" t="str">
        <f>IFERROR(AVERAGEIFS(
'20102013 STH Efficacy'!$AX:$AX, 
'20102013 STH Efficacy'!$AL:$AL, $A109, 
'20102013 STH Efficacy'!$AM:$AM, "Albendazole &amp; Ivermectin",
'20102013 STH Efficacy'!$AS:$AS,"&lt;2011",
'20102013 STH Efficacy'!$BP:$BP,""),
"")</f>
        <v/>
      </c>
      <c r="BA109" s="133">
        <f t="shared" si="18"/>
        <v>0.651</v>
      </c>
      <c r="BB109" s="134">
        <f>IFERROR(AVERAGEIFS(
'20102013 STH Efficacy'!$N:$N, 
'20102013 STH Efficacy'!$B:$B, $A109, 
'20102013 STH Efficacy'!$C:$C, "Albendazole",
'20102013 STH Efficacy'!$I:$I,"&lt;2011",
'20102013 STH Efficacy'!$AH:$AH,""),
"")</f>
        <v>0.36</v>
      </c>
      <c r="BC109" s="135">
        <f t="shared" si="19"/>
        <v>0.36</v>
      </c>
      <c r="BD109" s="134">
        <f>IFERROR(AVERAGEIFS(
'20102013 STH Efficacy'!$N:$N, 
'20102013 STH Efficacy'!$B:$B, $A109, 
'20102013 STH Efficacy'!$C:$C, "Mebendazole",
'20102013 STH Efficacy'!$I:$I,"&lt;2011",
'20102013 STH Efficacy'!$AH:$AH,""),
"")</f>
        <v>0.176</v>
      </c>
      <c r="BE109" s="135">
        <f t="shared" si="20"/>
        <v>0.176</v>
      </c>
      <c r="BF109" s="128" t="str">
        <f>IFERROR(AVERAGEIFS(
'20102013 STH Efficacy'!$CD:$CD, 
'20102013 STH Efficacy'!$BS:$BS, $A109, 
'20102013 STH Efficacy'!$BT:$BT, "Albendazole",
'20102013 STH Efficacy'!$BZ:$BZ,"&lt;2011",
'20102013 STH Efficacy'!$CU:$CU,""),
"")</f>
        <v/>
      </c>
      <c r="BG109" s="136">
        <f t="shared" si="21"/>
        <v>0.96925</v>
      </c>
      <c r="BH109" s="128" t="str">
        <f>IFERROR(AVERAGEIFS(
'20102013 STH Efficacy'!$CD:$CD, 
'20102013 STH Efficacy'!$BS:$BS, $A109, 
'20102013 STH Efficacy'!$BT:$BT, "Mebendazole",
'20102013 STH Efficacy'!$BZ:$BZ,"&lt;2011",
'20102013 STH Efficacy'!$CU:$CU,""),
"")</f>
        <v/>
      </c>
      <c r="BI109" s="136">
        <f t="shared" si="22"/>
        <v>0.9305</v>
      </c>
      <c r="BJ109" s="128" t="str">
        <f>IFERROR(AVERAGEIFS(
'20102013 STH Efficacy'!$CD:$CD, 
'20102013 STH Efficacy'!$BS:$BS, $A109, 
'20102013 STH Efficacy'!$BT:$BT, "Albendazole &amp; Ivermectin",
'20102013 STH Efficacy'!$BZ:$BZ,"&lt;2011",
'20102013 STH Efficacy'!$CU:$CU,""),
"")</f>
        <v/>
      </c>
      <c r="BK109" s="136">
        <f t="shared" si="23"/>
        <v>1</v>
      </c>
      <c r="BL109" s="137"/>
      <c r="BM109" s="137"/>
      <c r="BN109" s="138">
        <v>1.0</v>
      </c>
      <c r="BO109" s="139">
        <v>1.0</v>
      </c>
      <c r="BP109" s="140">
        <v>1.0</v>
      </c>
      <c r="BQ109" s="141">
        <f t="shared" si="24"/>
        <v>0</v>
      </c>
      <c r="BR109" s="104" t="str">
        <f t="shared" si="25"/>
        <v>1110</v>
      </c>
      <c r="BS109" s="104" t="str">
        <f t="shared" si="26"/>
        <v>MDA1+T2</v>
      </c>
      <c r="BT109" s="142" t="str">
        <f t="shared" si="27"/>
        <v>IVM+ALB</v>
      </c>
      <c r="BU109" s="104" t="str">
        <f t="shared" si="28"/>
        <v>PZQ</v>
      </c>
      <c r="BV109" s="104" t="str">
        <f t="shared" si="29"/>
        <v>lf+onch+schist </v>
      </c>
      <c r="BW109" s="150" t="str">
        <f t="shared" si="30"/>
        <v/>
      </c>
      <c r="BX109" s="150">
        <f t="shared" si="31"/>
        <v>96.52788092</v>
      </c>
      <c r="BY109" s="162">
        <f t="shared" si="32"/>
        <v>3623.542735</v>
      </c>
      <c r="BZ109" s="152" t="str">
        <f t="shared" si="33"/>
        <v/>
      </c>
      <c r="CA109" s="152" t="str">
        <f t="shared" si="34"/>
        <v/>
      </c>
      <c r="CB109" s="152" t="str">
        <f t="shared" si="35"/>
        <v/>
      </c>
      <c r="CC109" s="153" t="str">
        <f t="shared" si="36"/>
        <v/>
      </c>
      <c r="CD109" s="153" t="str">
        <f t="shared" si="37"/>
        <v/>
      </c>
      <c r="CE109" s="154" t="str">
        <f t="shared" si="38"/>
        <v/>
      </c>
      <c r="CF109" s="154" t="str">
        <f t="shared" si="39"/>
        <v/>
      </c>
      <c r="CG109" s="154" t="str">
        <f t="shared" si="40"/>
        <v/>
      </c>
    </row>
    <row r="110">
      <c r="A110" s="155" t="s">
        <v>199</v>
      </c>
      <c r="B110" s="104" t="s">
        <v>90</v>
      </c>
      <c r="C110" s="105">
        <v>2097555.0</v>
      </c>
      <c r="D110" s="106">
        <v>0.0</v>
      </c>
      <c r="E110" s="107">
        <v>0.0</v>
      </c>
      <c r="F110" s="108">
        <v>0.0</v>
      </c>
      <c r="G110" s="108">
        <v>0.0</v>
      </c>
      <c r="H110" s="108">
        <v>0.0</v>
      </c>
      <c r="I110" s="109">
        <v>0.0</v>
      </c>
      <c r="J110" s="109">
        <v>0.0</v>
      </c>
      <c r="K110" s="109">
        <v>0.0</v>
      </c>
      <c r="L110" s="112">
        <v>0.04643424</v>
      </c>
      <c r="M110" s="112">
        <v>0.033011242</v>
      </c>
      <c r="N110" s="112">
        <v>0.079445482</v>
      </c>
      <c r="O110" s="113"/>
      <c r="P110" s="114"/>
      <c r="Q110" s="114"/>
      <c r="R110" s="115" t="str">
        <f t="shared" si="8"/>
        <v/>
      </c>
      <c r="S110" s="116">
        <f t="shared" si="9"/>
        <v>0.4013436246</v>
      </c>
      <c r="T110" s="117"/>
      <c r="U110" s="118">
        <f t="shared" si="41"/>
        <v>0.3468166667</v>
      </c>
      <c r="V110" s="148"/>
      <c r="W110" s="120">
        <f t="shared" si="10"/>
        <v>1</v>
      </c>
      <c r="X110" s="148"/>
      <c r="Y110" s="120">
        <f t="shared" si="11"/>
        <v>0.71735</v>
      </c>
      <c r="Z110" s="121"/>
      <c r="AA110" s="121"/>
      <c r="AB110" s="121"/>
      <c r="AC110" s="121"/>
      <c r="AD110" s="122">
        <v>0.0</v>
      </c>
      <c r="AE110" s="123">
        <v>0.0</v>
      </c>
      <c r="AF110" s="123">
        <v>0.0</v>
      </c>
      <c r="AG110" s="124">
        <v>0.0</v>
      </c>
      <c r="AH110" s="124">
        <v>0.0</v>
      </c>
      <c r="AI110" s="125">
        <v>0.0</v>
      </c>
      <c r="AJ110" s="125">
        <v>0.0</v>
      </c>
      <c r="AK110" s="127">
        <v>0.0</v>
      </c>
      <c r="AL110" s="127">
        <v>0.0</v>
      </c>
      <c r="AM110" s="128"/>
      <c r="AN110" s="149" t="str">
        <f>IFERROR(
  AVERAGEIFS(
    'New 20102013 LF Efficacy'!$J:$J,
    'New 20102013 LF Efficacy'!$D:$D, $A110,
    'New 20102013 LF Efficacy'!$F:$F,"DEC", 
    'New 20102013 LF Efficacy'!$W:$W,"&lt;2011",
    'New 20102013 LF Efficacy'!$AA:$AA,""),
  ""
)</f>
        <v/>
      </c>
      <c r="AO110" s="115">
        <f t="shared" si="12"/>
        <v>0.3573520833</v>
      </c>
      <c r="AP110" s="121" t="str">
        <f>IFERROR(
AVERAGEIFS(
'New 20102013 LF Efficacy'!$J:$J,
'New 20102013 LF Efficacy'!$D:$D,$A110,
'New 20102013 LF Efficacy'!$F:$F,"Albendazole &amp; DEC",
'New 20102013 LF Efficacy'!$W:$W,"&lt;2011",
'New 20102013 LF Efficacy'!$AA:$AA,""),
"")
</f>
        <v/>
      </c>
      <c r="AQ110" s="115">
        <f t="shared" si="13"/>
        <v>0.5137291667</v>
      </c>
      <c r="AR110" s="121" t="str">
        <f>IFERROR(
AVERAGEIFS(
'New 20102013 LF Efficacy'!$J:$J,
'New 20102013 LF Efficacy'!$D:$D,$A110,
'New 20102013 LF Efficacy'!$F:$F,"Albendazole &amp; Ivermectin", 
'New 20102013 LF Efficacy'!$W:$W,"&lt;2011",
'New 20102013 LF Efficacy'!$AA:$AA,""),"")</f>
        <v/>
      </c>
      <c r="AS110" s="115">
        <f t="shared" si="14"/>
        <v>0.37153125</v>
      </c>
      <c r="AT110" s="130" t="str">
        <f>IFERROR(AVERAGEIFS(
'20102013 Schist Efficacy'!$O:$O, 
'20102013 Schist Efficacy'!$C:$C,$A110, 
'20102013 Schist Efficacy'!$D:$D, "Praziquantel",
'20102013 Schist Efficacy'!$J:$J,"&lt;2011",
'20102013 Schist Efficacy'!$U:$U,""),
"")</f>
        <v/>
      </c>
      <c r="AU110" s="118">
        <f t="shared" si="15"/>
        <v>0.655</v>
      </c>
      <c r="AV110" s="131" t="str">
        <f>IFERROR(AVERAGEIFS(
'20102013 STH Efficacy'!$AX:$AX, 
'20102013 STH Efficacy'!$AL:$AL, $A110, 
'20102013 STH Efficacy'!$AM:$AM, "Albendazole",
'20102013 STH Efficacy'!$AS:$AS,"&lt;2011",
'20102013 STH Efficacy'!$BP:$BP,""),
"")</f>
        <v/>
      </c>
      <c r="AW110" s="132">
        <f t="shared" si="16"/>
        <v>0.3842878788</v>
      </c>
      <c r="AX110" s="131" t="str">
        <f>IFERROR(AVERAGEIFS(
'20102013 STH Efficacy'!$AX:$AX, 
'20102013 STH Efficacy'!$AL:$AL, $A110, 
'20102013 STH Efficacy'!$AM:$AM, "Mebendazole",
'20102013 STH Efficacy'!$AS:$AS,"&lt;2011",
'20102013 STH Efficacy'!$BP:$BP,""),
"")</f>
        <v/>
      </c>
      <c r="AY110" s="132">
        <f t="shared" si="17"/>
        <v>0.5121666667</v>
      </c>
      <c r="AZ110" s="131" t="str">
        <f>IFERROR(AVERAGEIFS(
'20102013 STH Efficacy'!$AX:$AX, 
'20102013 STH Efficacy'!$AL:$AL, $A110, 
'20102013 STH Efficacy'!$AM:$AM, "Albendazole &amp; Ivermectin",
'20102013 STH Efficacy'!$AS:$AS,"&lt;2011",
'20102013 STH Efficacy'!$BP:$BP,""),
"")</f>
        <v/>
      </c>
      <c r="BA110" s="133">
        <f t="shared" si="18"/>
        <v>0.7176666667</v>
      </c>
      <c r="BB110" s="134" t="str">
        <f>IFERROR(AVERAGEIFS(
'20102013 STH Efficacy'!$N:$N, 
'20102013 STH Efficacy'!$B:$B, $A110, 
'20102013 STH Efficacy'!$C:$C, "Albendazole",
'20102013 STH Efficacy'!$I:$I,"&lt;2011",
'20102013 STH Efficacy'!$AH:$AH,""),
"")</f>
        <v/>
      </c>
      <c r="BC110" s="135">
        <f t="shared" si="19"/>
        <v>0.7630416667</v>
      </c>
      <c r="BD110" s="134" t="str">
        <f>IFERROR(AVERAGEIFS(
'20102013 STH Efficacy'!$N:$N, 
'20102013 STH Efficacy'!$B:$B, $A110, 
'20102013 STH Efficacy'!$C:$C, "Mebendazole",
'20102013 STH Efficacy'!$I:$I,"&lt;2011",
'20102013 STH Efficacy'!$AH:$AH,""),
"")</f>
        <v/>
      </c>
      <c r="BE110" s="135">
        <f t="shared" si="20"/>
        <v>0.4405966667</v>
      </c>
      <c r="BF110" s="128" t="str">
        <f>IFERROR(AVERAGEIFS(
'20102013 STH Efficacy'!$CD:$CD, 
'20102013 STH Efficacy'!$BS:$BS, $A110, 
'20102013 STH Efficacy'!$BT:$BT, "Albendazole",
'20102013 STH Efficacy'!$BZ:$BZ,"&lt;2011",
'20102013 STH Efficacy'!$CU:$CU,""),
"")</f>
        <v/>
      </c>
      <c r="BG110" s="136">
        <f t="shared" si="21"/>
        <v>0.9403222222</v>
      </c>
      <c r="BH110" s="128" t="str">
        <f>IFERROR(AVERAGEIFS(
'20102013 STH Efficacy'!$CD:$CD, 
'20102013 STH Efficacy'!$BS:$BS, $A110, 
'20102013 STH Efficacy'!$BT:$BT, "Mebendazole",
'20102013 STH Efficacy'!$BZ:$BZ,"&lt;2011",
'20102013 STH Efficacy'!$CU:$CU,""),
"")</f>
        <v/>
      </c>
      <c r="BI110" s="136">
        <f t="shared" si="22"/>
        <v>0.9229285714</v>
      </c>
      <c r="BJ110" s="128" t="str">
        <f>IFERROR(AVERAGEIFS(
'20102013 STH Efficacy'!$CD:$CD, 
'20102013 STH Efficacy'!$BS:$BS, $A110, 
'20102013 STH Efficacy'!$BT:$BT, "Albendazole &amp; Ivermectin",
'20102013 STH Efficacy'!$BZ:$BZ,"&lt;2011",
'20102013 STH Efficacy'!$CU:$CU,""),
"")</f>
        <v/>
      </c>
      <c r="BK110" s="136">
        <f t="shared" si="23"/>
        <v>1</v>
      </c>
      <c r="BL110" s="137"/>
      <c r="BM110" s="137"/>
      <c r="BN110" s="138">
        <v>0.0</v>
      </c>
      <c r="BO110" s="139">
        <v>0.0</v>
      </c>
      <c r="BP110" s="140">
        <v>0.0</v>
      </c>
      <c r="BQ110" s="141">
        <f t="shared" si="24"/>
        <v>0</v>
      </c>
      <c r="BR110" s="104" t="str">
        <f t="shared" si="25"/>
        <v>0000</v>
      </c>
      <c r="BS110" s="104" t="str">
        <f t="shared" si="26"/>
        <v>no action required</v>
      </c>
      <c r="BT110" s="142" t="str">
        <f t="shared" si="27"/>
        <v/>
      </c>
      <c r="BU110" s="104" t="str">
        <f t="shared" si="28"/>
        <v/>
      </c>
      <c r="BV110" s="104" t="str">
        <f t="shared" si="29"/>
        <v>none</v>
      </c>
      <c r="BW110" s="150" t="str">
        <f t="shared" si="30"/>
        <v/>
      </c>
      <c r="BX110" s="150" t="str">
        <f t="shared" si="31"/>
        <v/>
      </c>
      <c r="BY110" s="151" t="str">
        <f t="shared" si="32"/>
        <v/>
      </c>
      <c r="BZ110" s="152" t="str">
        <f t="shared" si="33"/>
        <v/>
      </c>
      <c r="CA110" s="152" t="str">
        <f t="shared" si="34"/>
        <v/>
      </c>
      <c r="CB110" s="152" t="str">
        <f t="shared" si="35"/>
        <v/>
      </c>
      <c r="CC110" s="153" t="str">
        <f t="shared" si="36"/>
        <v/>
      </c>
      <c r="CD110" s="153" t="str">
        <f t="shared" si="37"/>
        <v/>
      </c>
      <c r="CE110" s="154" t="str">
        <f t="shared" si="38"/>
        <v/>
      </c>
      <c r="CF110" s="154" t="str">
        <f t="shared" si="39"/>
        <v/>
      </c>
      <c r="CG110" s="154" t="str">
        <f t="shared" si="40"/>
        <v/>
      </c>
    </row>
    <row r="111">
      <c r="A111" s="155" t="s">
        <v>200</v>
      </c>
      <c r="B111" s="104" t="s">
        <v>88</v>
      </c>
      <c r="C111" s="105">
        <v>4337141.0</v>
      </c>
      <c r="D111" s="106">
        <v>0.0</v>
      </c>
      <c r="E111" s="107">
        <v>1.211426992</v>
      </c>
      <c r="F111" s="108">
        <v>0.0</v>
      </c>
      <c r="G111" s="108">
        <v>0.0</v>
      </c>
      <c r="H111" s="108">
        <v>0.0</v>
      </c>
      <c r="I111" s="109">
        <v>0.01394155</v>
      </c>
      <c r="J111" s="109">
        <v>0.02030465</v>
      </c>
      <c r="K111" s="109">
        <v>0.034246196</v>
      </c>
      <c r="L111" s="112">
        <v>0.199338283</v>
      </c>
      <c r="M111" s="112">
        <v>0.184784212</v>
      </c>
      <c r="N111" s="112">
        <v>0.384122496</v>
      </c>
      <c r="O111" s="113"/>
      <c r="P111" s="114"/>
      <c r="Q111" s="114"/>
      <c r="R111" s="115" t="str">
        <f t="shared" si="8"/>
        <v/>
      </c>
      <c r="S111" s="116">
        <f t="shared" si="9"/>
        <v>0.3211323089</v>
      </c>
      <c r="T111" s="117"/>
      <c r="U111" s="118">
        <f t="shared" si="41"/>
        <v>0.5949</v>
      </c>
      <c r="V111" s="148"/>
      <c r="W111" s="120">
        <f t="shared" si="10"/>
        <v>0.9019</v>
      </c>
      <c r="X111" s="148"/>
      <c r="Y111" s="120">
        <f t="shared" si="11"/>
        <v>0.094</v>
      </c>
      <c r="Z111" s="121"/>
      <c r="AA111" s="121"/>
      <c r="AB111" s="121"/>
      <c r="AC111" s="121"/>
      <c r="AD111" s="122">
        <v>0.0</v>
      </c>
      <c r="AE111" s="123">
        <v>0.0</v>
      </c>
      <c r="AF111" s="123">
        <v>0.0</v>
      </c>
      <c r="AG111" s="124">
        <v>0.0</v>
      </c>
      <c r="AH111" s="124">
        <v>1.13696E-5</v>
      </c>
      <c r="AI111" s="125">
        <v>0.0</v>
      </c>
      <c r="AJ111" s="125">
        <v>1.14E-5</v>
      </c>
      <c r="AK111" s="127">
        <v>0.0</v>
      </c>
      <c r="AL111" s="127">
        <v>1.15426E-5</v>
      </c>
      <c r="AM111" s="128"/>
      <c r="AN111" s="149" t="str">
        <f>IFERROR(
  AVERAGEIFS(
    'New 20102013 LF Efficacy'!$J:$J,
    'New 20102013 LF Efficacy'!$D:$D, $A111,
    'New 20102013 LF Efficacy'!$F:$F,"DEC", 
    'New 20102013 LF Efficacy'!$W:$W,"&lt;2011",
    'New 20102013 LF Efficacy'!$AA:$AA,""),
  ""
)</f>
        <v/>
      </c>
      <c r="AO111" s="115">
        <f t="shared" si="12"/>
        <v>0.3573520833</v>
      </c>
      <c r="AP111" s="121" t="str">
        <f>IFERROR(
AVERAGEIFS(
'New 20102013 LF Efficacy'!$J:$J,
'New 20102013 LF Efficacy'!$D:$D,$A111,
'New 20102013 LF Efficacy'!$F:$F,"Albendazole &amp; DEC",
'New 20102013 LF Efficacy'!$W:$W,"&lt;2011",
'New 20102013 LF Efficacy'!$AA:$AA,""),
"")
</f>
        <v/>
      </c>
      <c r="AQ111" s="115">
        <f t="shared" si="13"/>
        <v>0.7935</v>
      </c>
      <c r="AR111" s="121" t="str">
        <f>IFERROR(
AVERAGEIFS(
'New 20102013 LF Efficacy'!$J:$J,
'New 20102013 LF Efficacy'!$D:$D,$A111,
'New 20102013 LF Efficacy'!$F:$F,"Albendazole &amp; Ivermectin", 
'New 20102013 LF Efficacy'!$W:$W,"&lt;2011",
'New 20102013 LF Efficacy'!$AA:$AA,""),"")</f>
        <v/>
      </c>
      <c r="AS111" s="115">
        <f t="shared" si="14"/>
        <v>0.37153125</v>
      </c>
      <c r="AT111" s="130" t="str">
        <f>IFERROR(AVERAGEIFS(
'20102013 Schist Efficacy'!$O:$O, 
'20102013 Schist Efficacy'!$C:$C,$A111, 
'20102013 Schist Efficacy'!$D:$D, "Praziquantel",
'20102013 Schist Efficacy'!$J:$J,"&lt;2011",
'20102013 Schist Efficacy'!$U:$U,""),
"")</f>
        <v/>
      </c>
      <c r="AU111" s="118">
        <f t="shared" si="15"/>
        <v>0.7763141026</v>
      </c>
      <c r="AV111" s="131" t="str">
        <f>IFERROR(AVERAGEIFS(
'20102013 STH Efficacy'!$AX:$AX, 
'20102013 STH Efficacy'!$AL:$AL, $A111, 
'20102013 STH Efficacy'!$AM:$AM, "Albendazole",
'20102013 STH Efficacy'!$AS:$AS,"&lt;2011",
'20102013 STH Efficacy'!$BP:$BP,""),
"")</f>
        <v/>
      </c>
      <c r="AW111" s="132">
        <f t="shared" si="16"/>
        <v>0.3842878788</v>
      </c>
      <c r="AX111" s="131" t="str">
        <f>IFERROR(AVERAGEIFS(
'20102013 STH Efficacy'!$AX:$AX, 
'20102013 STH Efficacy'!$AL:$AL, $A111, 
'20102013 STH Efficacy'!$AM:$AM, "Mebendazole",
'20102013 STH Efficacy'!$AS:$AS,"&lt;2011",
'20102013 STH Efficacy'!$BP:$BP,""),
"")</f>
        <v/>
      </c>
      <c r="AY111" s="132">
        <f t="shared" si="17"/>
        <v>0.5121666667</v>
      </c>
      <c r="AZ111" s="131" t="str">
        <f>IFERROR(AVERAGEIFS(
'20102013 STH Efficacy'!$AX:$AX, 
'20102013 STH Efficacy'!$AL:$AL, $A111, 
'20102013 STH Efficacy'!$AM:$AM, "Albendazole &amp; Ivermectin",
'20102013 STH Efficacy'!$AS:$AS,"&lt;2011",
'20102013 STH Efficacy'!$BP:$BP,""),
"")</f>
        <v/>
      </c>
      <c r="BA111" s="133">
        <f t="shared" si="18"/>
        <v>0.7176666667</v>
      </c>
      <c r="BB111" s="134" t="str">
        <f>IFERROR(AVERAGEIFS(
'20102013 STH Efficacy'!$N:$N, 
'20102013 STH Efficacy'!$B:$B, $A111, 
'20102013 STH Efficacy'!$C:$C, "Albendazole",
'20102013 STH Efficacy'!$I:$I,"&lt;2011",
'20102013 STH Efficacy'!$AH:$AH,""),
"")</f>
        <v/>
      </c>
      <c r="BC111" s="135">
        <f t="shared" si="19"/>
        <v>0.7630416667</v>
      </c>
      <c r="BD111" s="134" t="str">
        <f>IFERROR(AVERAGEIFS(
'20102013 STH Efficacy'!$N:$N, 
'20102013 STH Efficacy'!$B:$B, $A111, 
'20102013 STH Efficacy'!$C:$C, "Mebendazole",
'20102013 STH Efficacy'!$I:$I,"&lt;2011",
'20102013 STH Efficacy'!$AH:$AH,""),
"")</f>
        <v/>
      </c>
      <c r="BE111" s="135">
        <f t="shared" si="20"/>
        <v>0.4405966667</v>
      </c>
      <c r="BF111" s="128" t="str">
        <f>IFERROR(AVERAGEIFS(
'20102013 STH Efficacy'!$CD:$CD, 
'20102013 STH Efficacy'!$BS:$BS, $A111, 
'20102013 STH Efficacy'!$BT:$BT, "Albendazole",
'20102013 STH Efficacy'!$BZ:$BZ,"&lt;2011",
'20102013 STH Efficacy'!$CU:$CU,""),
"")</f>
        <v/>
      </c>
      <c r="BG111" s="136">
        <f t="shared" si="21"/>
        <v>0.955</v>
      </c>
      <c r="BH111" s="128" t="str">
        <f>IFERROR(AVERAGEIFS(
'20102013 STH Efficacy'!$CD:$CD, 
'20102013 STH Efficacy'!$BS:$BS, $A111, 
'20102013 STH Efficacy'!$BT:$BT, "Mebendazole",
'20102013 STH Efficacy'!$BZ:$BZ,"&lt;2011",
'20102013 STH Efficacy'!$CU:$CU,""),
"")</f>
        <v/>
      </c>
      <c r="BI111" s="136">
        <f t="shared" si="22"/>
        <v>1</v>
      </c>
      <c r="BJ111" s="128" t="str">
        <f>IFERROR(AVERAGEIFS(
'20102013 STH Efficacy'!$CD:$CD, 
'20102013 STH Efficacy'!$BS:$BS, $A111, 
'20102013 STH Efficacy'!$BT:$BT, "Albendazole &amp; Ivermectin",
'20102013 STH Efficacy'!$BZ:$BZ,"&lt;2011",
'20102013 STH Efficacy'!$CU:$CU,""),
"")</f>
        <v/>
      </c>
      <c r="BK111" s="136">
        <f t="shared" si="23"/>
        <v>1</v>
      </c>
      <c r="BL111" s="137"/>
      <c r="BM111" s="137"/>
      <c r="BN111" s="138">
        <v>0.0</v>
      </c>
      <c r="BO111" s="139">
        <v>0.0</v>
      </c>
      <c r="BP111" s="140">
        <v>0.0</v>
      </c>
      <c r="BQ111" s="141">
        <f t="shared" si="24"/>
        <v>0</v>
      </c>
      <c r="BR111" s="104" t="str">
        <f t="shared" si="25"/>
        <v>0000</v>
      </c>
      <c r="BS111" s="104" t="str">
        <f t="shared" si="26"/>
        <v>no action required</v>
      </c>
      <c r="BT111" s="142" t="str">
        <f t="shared" si="27"/>
        <v/>
      </c>
      <c r="BU111" s="104" t="str">
        <f t="shared" si="28"/>
        <v/>
      </c>
      <c r="BV111" s="104" t="str">
        <f t="shared" si="29"/>
        <v>none</v>
      </c>
      <c r="BW111" s="150" t="str">
        <f t="shared" si="30"/>
        <v/>
      </c>
      <c r="BX111" s="150" t="str">
        <f t="shared" si="31"/>
        <v/>
      </c>
      <c r="BY111" s="151" t="str">
        <f t="shared" si="32"/>
        <v/>
      </c>
      <c r="BZ111" s="152" t="str">
        <f t="shared" si="33"/>
        <v/>
      </c>
      <c r="CA111" s="152" t="str">
        <f t="shared" si="34"/>
        <v/>
      </c>
      <c r="CB111" s="152" t="str">
        <f t="shared" si="35"/>
        <v/>
      </c>
      <c r="CC111" s="153" t="str">
        <f t="shared" si="36"/>
        <v/>
      </c>
      <c r="CD111" s="153" t="str">
        <f t="shared" si="37"/>
        <v/>
      </c>
      <c r="CE111" s="154" t="str">
        <f t="shared" si="38"/>
        <v/>
      </c>
      <c r="CF111" s="154" t="str">
        <f t="shared" si="39"/>
        <v/>
      </c>
      <c r="CG111" s="154" t="str">
        <f t="shared" si="40"/>
        <v/>
      </c>
    </row>
    <row r="112">
      <c r="A112" s="155" t="s">
        <v>201</v>
      </c>
      <c r="B112" s="104" t="s">
        <v>92</v>
      </c>
      <c r="C112" s="105">
        <v>2040551.0</v>
      </c>
      <c r="D112" s="106">
        <v>0.0</v>
      </c>
      <c r="E112" s="107">
        <v>0.0</v>
      </c>
      <c r="F112" s="108">
        <v>147.5815802</v>
      </c>
      <c r="G112" s="108">
        <v>823.0253481</v>
      </c>
      <c r="H112" s="108">
        <v>970.6069282</v>
      </c>
      <c r="I112" s="109">
        <v>110.641798</v>
      </c>
      <c r="J112" s="109">
        <v>387.742185</v>
      </c>
      <c r="K112" s="109">
        <v>498.3839832</v>
      </c>
      <c r="L112" s="112">
        <v>99.38662148</v>
      </c>
      <c r="M112" s="112">
        <v>101.5977957</v>
      </c>
      <c r="N112" s="112">
        <v>200.9844172</v>
      </c>
      <c r="O112" s="113"/>
      <c r="P112" s="114"/>
      <c r="Q112" s="114"/>
      <c r="R112" s="115" t="str">
        <f t="shared" si="8"/>
        <v/>
      </c>
      <c r="S112" s="116">
        <f t="shared" si="9"/>
        <v>0.1716437208</v>
      </c>
      <c r="T112" s="118">
        <v>0.2896</v>
      </c>
      <c r="U112" s="118">
        <f t="shared" si="41"/>
        <v>0.2896</v>
      </c>
      <c r="V112" s="119">
        <v>0.9743</v>
      </c>
      <c r="W112" s="120">
        <f t="shared" si="10"/>
        <v>0.9743</v>
      </c>
      <c r="X112" s="148"/>
      <c r="Y112" s="120">
        <f t="shared" si="11"/>
        <v>0.4342071429</v>
      </c>
      <c r="Z112" s="114"/>
      <c r="AA112" s="114"/>
      <c r="AB112" s="114"/>
      <c r="AC112" s="114"/>
      <c r="AD112" s="164">
        <v>0.0</v>
      </c>
      <c r="AE112" s="123">
        <v>0.0</v>
      </c>
      <c r="AF112" s="123">
        <v>0.0</v>
      </c>
      <c r="AG112" s="167">
        <v>0.0</v>
      </c>
      <c r="AH112" s="124">
        <v>0.516466303</v>
      </c>
      <c r="AI112" s="168">
        <v>0.0</v>
      </c>
      <c r="AJ112" s="125">
        <v>0.190235958</v>
      </c>
      <c r="AK112" s="127">
        <v>0.13</v>
      </c>
      <c r="AL112" s="169">
        <v>0.210447001</v>
      </c>
      <c r="AM112" s="128"/>
      <c r="AN112" s="149" t="str">
        <f>IFERROR(
  AVERAGEIFS(
    'New 20102013 LF Efficacy'!$J:$J,
    'New 20102013 LF Efficacy'!$D:$D, $A112,
    'New 20102013 LF Efficacy'!$F:$F,"DEC", 
    'New 20102013 LF Efficacy'!$W:$W,"&lt;2011",
    'New 20102013 LF Efficacy'!$AA:$AA,""),
  ""
)</f>
        <v/>
      </c>
      <c r="AO112" s="115">
        <f t="shared" si="12"/>
        <v>0.31225</v>
      </c>
      <c r="AP112" s="121" t="str">
        <f>IFERROR(
AVERAGEIFS(
'New 20102013 LF Efficacy'!$J:$J,
'New 20102013 LF Efficacy'!$D:$D,$A112,
'New 20102013 LF Efficacy'!$F:$F,"Albendazole &amp; DEC",
'New 20102013 LF Efficacy'!$W:$W,"&lt;2011",
'New 20102013 LF Efficacy'!$AA:$AA,""),
"")
</f>
        <v/>
      </c>
      <c r="AQ112" s="115">
        <f t="shared" si="13"/>
        <v>0.4</v>
      </c>
      <c r="AR112" s="121" t="str">
        <f>IFERROR(
AVERAGEIFS(
'New 20102013 LF Efficacy'!$J:$J,
'New 20102013 LF Efficacy'!$D:$D,$A112,
'New 20102013 LF Efficacy'!$F:$F,"Albendazole &amp; Ivermectin", 
'New 20102013 LF Efficacy'!$W:$W,"&lt;2011",
'New 20102013 LF Efficacy'!$AA:$AA,""),"")</f>
        <v/>
      </c>
      <c r="AS112" s="115">
        <f t="shared" si="14"/>
        <v>0.2943125</v>
      </c>
      <c r="AT112" s="130" t="str">
        <f>IFERROR(AVERAGEIFS(
'20102013 Schist Efficacy'!$O:$O, 
'20102013 Schist Efficacy'!$C:$C,$A112, 
'20102013 Schist Efficacy'!$D:$D, "Praziquantel",
'20102013 Schist Efficacy'!$J:$J,"&lt;2011",
'20102013 Schist Efficacy'!$U:$U,""),
"")</f>
        <v/>
      </c>
      <c r="AU112" s="118">
        <f t="shared" si="15"/>
        <v>0.6444020147</v>
      </c>
      <c r="AV112" s="131" t="str">
        <f>IFERROR(AVERAGEIFS(
'20102013 STH Efficacy'!$AX:$AX, 
'20102013 STH Efficacy'!$AL:$AL, $A112, 
'20102013 STH Efficacy'!$AM:$AM, "Albendazole",
'20102013 STH Efficacy'!$AS:$AS,"&lt;2011",
'20102013 STH Efficacy'!$BP:$BP,""),
"")</f>
        <v/>
      </c>
      <c r="AW112" s="132">
        <f t="shared" si="16"/>
        <v>0.3538333333</v>
      </c>
      <c r="AX112" s="131" t="str">
        <f>IFERROR(AVERAGEIFS(
'20102013 STH Efficacy'!$AX:$AX, 
'20102013 STH Efficacy'!$AL:$AL, $A112, 
'20102013 STH Efficacy'!$AM:$AM, "Mebendazole",
'20102013 STH Efficacy'!$AS:$AS,"&lt;2011",
'20102013 STH Efficacy'!$BP:$BP,""),
"")</f>
        <v/>
      </c>
      <c r="AY112" s="132">
        <f t="shared" si="17"/>
        <v>0.5918333333</v>
      </c>
      <c r="AZ112" s="131" t="str">
        <f>IFERROR(AVERAGEIFS(
'20102013 STH Efficacy'!$AX:$AX, 
'20102013 STH Efficacy'!$AL:$AL, $A112, 
'20102013 STH Efficacy'!$AM:$AM, "Albendazole &amp; Ivermectin",
'20102013 STH Efficacy'!$AS:$AS,"&lt;2011",
'20102013 STH Efficacy'!$BP:$BP,""),
"")</f>
        <v/>
      </c>
      <c r="BA112" s="133">
        <f t="shared" si="18"/>
        <v>0.706</v>
      </c>
      <c r="BB112" s="134" t="str">
        <f>IFERROR(AVERAGEIFS(
'20102013 STH Efficacy'!$N:$N, 
'20102013 STH Efficacy'!$B:$B, $A112, 
'20102013 STH Efficacy'!$C:$C, "Albendazole",
'20102013 STH Efficacy'!$I:$I,"&lt;2011",
'20102013 STH Efficacy'!$AH:$AH,""),
"")</f>
        <v/>
      </c>
      <c r="BC112" s="135">
        <f t="shared" si="19"/>
        <v>0.9116666667</v>
      </c>
      <c r="BD112" s="134" t="str">
        <f>IFERROR(AVERAGEIFS(
'20102013 STH Efficacy'!$N:$N, 
'20102013 STH Efficacy'!$B:$B, $A112, 
'20102013 STH Efficacy'!$C:$C, "Mebendazole",
'20102013 STH Efficacy'!$I:$I,"&lt;2011",
'20102013 STH Efficacy'!$AH:$AH,""),
"")</f>
        <v/>
      </c>
      <c r="BE112" s="135">
        <f t="shared" si="20"/>
        <v>0.7092416667</v>
      </c>
      <c r="BF112" s="128" t="str">
        <f>IFERROR(AVERAGEIFS(
'20102013 STH Efficacy'!$CD:$CD, 
'20102013 STH Efficacy'!$BS:$BS, $A112, 
'20102013 STH Efficacy'!$BT:$BT, "Albendazole",
'20102013 STH Efficacy'!$BZ:$BZ,"&lt;2011",
'20102013 STH Efficacy'!$CU:$CU,""),
"")</f>
        <v/>
      </c>
      <c r="BG112" s="136">
        <f t="shared" si="21"/>
        <v>0.8656666667</v>
      </c>
      <c r="BH112" s="128" t="str">
        <f>IFERROR(AVERAGEIFS(
'20102013 STH Efficacy'!$CD:$CD, 
'20102013 STH Efficacy'!$BS:$BS, $A112, 
'20102013 STH Efficacy'!$BT:$BT, "Mebendazole",
'20102013 STH Efficacy'!$BZ:$BZ,"&lt;2011",
'20102013 STH Efficacy'!$CU:$CU,""),
"")</f>
        <v/>
      </c>
      <c r="BI112" s="136">
        <f t="shared" si="22"/>
        <v>0.9203333333</v>
      </c>
      <c r="BJ112" s="128" t="str">
        <f>IFERROR(AVERAGEIFS(
'20102013 STH Efficacy'!$CD:$CD, 
'20102013 STH Efficacy'!$BS:$BS, $A112, 
'20102013 STH Efficacy'!$BT:$BT, "Albendazole &amp; Ivermectin",
'20102013 STH Efficacy'!$BZ:$BZ,"&lt;2011",
'20102013 STH Efficacy'!$CU:$CU,""),
"")</f>
        <v/>
      </c>
      <c r="BK112" s="136">
        <f t="shared" si="23"/>
        <v>1</v>
      </c>
      <c r="BL112" s="137"/>
      <c r="BM112" s="137"/>
      <c r="BN112" s="138">
        <v>0.0</v>
      </c>
      <c r="BO112" s="139">
        <v>0.0</v>
      </c>
      <c r="BP112" s="140">
        <v>0.0</v>
      </c>
      <c r="BQ112" s="141">
        <f t="shared" si="24"/>
        <v>1</v>
      </c>
      <c r="BR112" s="104" t="str">
        <f t="shared" si="25"/>
        <v>0001</v>
      </c>
      <c r="BS112" s="104" t="str">
        <f t="shared" si="26"/>
        <v>T3</v>
      </c>
      <c r="BT112" s="142" t="str">
        <f t="shared" si="27"/>
        <v>ALB or MBD</v>
      </c>
      <c r="BU112" s="104" t="str">
        <f t="shared" si="28"/>
        <v/>
      </c>
      <c r="BV112" s="104" t="str">
        <f t="shared" si="29"/>
        <v>sth only</v>
      </c>
      <c r="BW112" s="150" t="str">
        <f t="shared" si="30"/>
        <v/>
      </c>
      <c r="BX112" s="150" t="str">
        <f t="shared" si="31"/>
        <v/>
      </c>
      <c r="BY112" s="151" t="str">
        <f t="shared" si="32"/>
        <v/>
      </c>
      <c r="BZ112" s="152">
        <f t="shared" si="33"/>
        <v>227.044905</v>
      </c>
      <c r="CA112" s="152">
        <f t="shared" si="34"/>
        <v>485.6485083</v>
      </c>
      <c r="CB112" s="152" t="str">
        <f t="shared" si="35"/>
        <v/>
      </c>
      <c r="CC112" s="170">
        <f t="shared" si="36"/>
        <v>1133.382768</v>
      </c>
      <c r="CD112" s="170">
        <f t="shared" si="37"/>
        <v>419.9833994</v>
      </c>
      <c r="CE112" s="154">
        <f t="shared" si="38"/>
        <v>596.5308071</v>
      </c>
      <c r="CF112" s="154">
        <f t="shared" si="39"/>
        <v>930.1740176</v>
      </c>
      <c r="CG112" s="154" t="str">
        <f t="shared" si="40"/>
        <v/>
      </c>
    </row>
    <row r="113">
      <c r="A113" s="103" t="s">
        <v>202</v>
      </c>
      <c r="B113" s="104" t="s">
        <v>92</v>
      </c>
      <c r="C113" s="105">
        <v>3948125.0</v>
      </c>
      <c r="D113" s="106">
        <v>12070.70926</v>
      </c>
      <c r="E113" s="107">
        <v>12686.82697</v>
      </c>
      <c r="F113" s="108">
        <v>24.77353656</v>
      </c>
      <c r="G113" s="108">
        <v>103.6939458</v>
      </c>
      <c r="H113" s="108">
        <v>128.4674823</v>
      </c>
      <c r="I113" s="109">
        <v>468.562048</v>
      </c>
      <c r="J113" s="110">
        <v>1324.55877</v>
      </c>
      <c r="K113" s="109">
        <v>1793.120822</v>
      </c>
      <c r="L113" s="112">
        <v>1912.300626</v>
      </c>
      <c r="M113" s="112">
        <v>471.7049805</v>
      </c>
      <c r="N113" s="158">
        <v>2384.005606</v>
      </c>
      <c r="O113" s="159"/>
      <c r="P113" s="160">
        <v>3600000.0</v>
      </c>
      <c r="Q113" s="156"/>
      <c r="R113" s="115">
        <f t="shared" si="8"/>
        <v>0</v>
      </c>
      <c r="S113" s="116">
        <f t="shared" si="9"/>
        <v>0.1716437208</v>
      </c>
      <c r="T113" s="117"/>
      <c r="U113" s="118">
        <f t="shared" si="41"/>
        <v>0.252</v>
      </c>
      <c r="V113" s="119">
        <v>1.0</v>
      </c>
      <c r="W113" s="120">
        <f t="shared" si="10"/>
        <v>1</v>
      </c>
      <c r="X113" s="119">
        <v>0.0239</v>
      </c>
      <c r="Y113" s="120">
        <f t="shared" si="11"/>
        <v>0.0239</v>
      </c>
      <c r="Z113" s="121"/>
      <c r="AA113" s="121"/>
      <c r="AB113" s="121"/>
      <c r="AC113" s="121"/>
      <c r="AD113" s="122">
        <v>0.0905</v>
      </c>
      <c r="AE113" s="123">
        <v>0.36</v>
      </c>
      <c r="AF113" s="123">
        <v>0.1163</v>
      </c>
      <c r="AG113" s="167">
        <v>0.0</v>
      </c>
      <c r="AH113" s="124">
        <v>0.20489481</v>
      </c>
      <c r="AI113" s="168">
        <v>0.0</v>
      </c>
      <c r="AJ113" s="125">
        <v>0.269863769</v>
      </c>
      <c r="AK113" s="126">
        <v>0.0</v>
      </c>
      <c r="AL113" s="169">
        <v>0.182509903</v>
      </c>
      <c r="AM113" s="128"/>
      <c r="AN113" s="149" t="str">
        <f>IFERROR(
  AVERAGEIFS(
    'New 20102013 LF Efficacy'!$J:$J,
    'New 20102013 LF Efficacy'!$D:$D, $A113,
    'New 20102013 LF Efficacy'!$F:$F,"DEC", 
    'New 20102013 LF Efficacy'!$W:$W,"&lt;2011",
    'New 20102013 LF Efficacy'!$AA:$AA,""),
  ""
)</f>
        <v/>
      </c>
      <c r="AO113" s="115">
        <f t="shared" si="12"/>
        <v>0.31225</v>
      </c>
      <c r="AP113" s="121" t="str">
        <f>IFERROR(
AVERAGEIFS(
'New 20102013 LF Efficacy'!$J:$J,
'New 20102013 LF Efficacy'!$D:$D,$A113,
'New 20102013 LF Efficacy'!$F:$F,"Albendazole &amp; DEC",
'New 20102013 LF Efficacy'!$W:$W,"&lt;2011",
'New 20102013 LF Efficacy'!$AA:$AA,""),
"")
</f>
        <v/>
      </c>
      <c r="AQ113" s="115">
        <f t="shared" si="13"/>
        <v>0.4</v>
      </c>
      <c r="AR113" s="121" t="str">
        <f>IFERROR(
AVERAGEIFS(
'New 20102013 LF Efficacy'!$J:$J,
'New 20102013 LF Efficacy'!$D:$D,$A113,
'New 20102013 LF Efficacy'!$F:$F,"Albendazole &amp; Ivermectin", 
'New 20102013 LF Efficacy'!$W:$W,"&lt;2011",
'New 20102013 LF Efficacy'!$AA:$AA,""),"")</f>
        <v/>
      </c>
      <c r="AS113" s="115">
        <f t="shared" si="14"/>
        <v>0.2943125</v>
      </c>
      <c r="AT113" s="130" t="str">
        <f>IFERROR(AVERAGEIFS(
'20102013 Schist Efficacy'!$O:$O, 
'20102013 Schist Efficacy'!$C:$C,$A113, 
'20102013 Schist Efficacy'!$D:$D, "Praziquantel",
'20102013 Schist Efficacy'!$J:$J,"&lt;2011",
'20102013 Schist Efficacy'!$U:$U,""),
"")</f>
        <v/>
      </c>
      <c r="AU113" s="118">
        <f t="shared" si="15"/>
        <v>0.6444020147</v>
      </c>
      <c r="AV113" s="131" t="str">
        <f>IFERROR(AVERAGEIFS(
'20102013 STH Efficacy'!$AX:$AX, 
'20102013 STH Efficacy'!$AL:$AL, $A113, 
'20102013 STH Efficacy'!$AM:$AM, "Albendazole",
'20102013 STH Efficacy'!$AS:$AS,"&lt;2011",
'20102013 STH Efficacy'!$BP:$BP,""),
"")</f>
        <v/>
      </c>
      <c r="AW113" s="132">
        <f t="shared" si="16"/>
        <v>0.3538333333</v>
      </c>
      <c r="AX113" s="131" t="str">
        <f>IFERROR(AVERAGEIFS(
'20102013 STH Efficacy'!$AX:$AX, 
'20102013 STH Efficacy'!$AL:$AL, $A113, 
'20102013 STH Efficacy'!$AM:$AM, "Mebendazole",
'20102013 STH Efficacy'!$AS:$AS,"&lt;2011",
'20102013 STH Efficacy'!$BP:$BP,""),
"")</f>
        <v/>
      </c>
      <c r="AY113" s="132">
        <f t="shared" si="17"/>
        <v>0.5918333333</v>
      </c>
      <c r="AZ113" s="131" t="str">
        <f>IFERROR(AVERAGEIFS(
'20102013 STH Efficacy'!$AX:$AX, 
'20102013 STH Efficacy'!$AL:$AL, $A113, 
'20102013 STH Efficacy'!$AM:$AM, "Albendazole &amp; Ivermectin",
'20102013 STH Efficacy'!$AS:$AS,"&lt;2011",
'20102013 STH Efficacy'!$BP:$BP,""),
"")</f>
        <v/>
      </c>
      <c r="BA113" s="133">
        <f t="shared" si="18"/>
        <v>0.706</v>
      </c>
      <c r="BB113" s="134" t="str">
        <f>IFERROR(AVERAGEIFS(
'20102013 STH Efficacy'!$N:$N, 
'20102013 STH Efficacy'!$B:$B, $A113, 
'20102013 STH Efficacy'!$C:$C, "Albendazole",
'20102013 STH Efficacy'!$I:$I,"&lt;2011",
'20102013 STH Efficacy'!$AH:$AH,""),
"")</f>
        <v/>
      </c>
      <c r="BC113" s="135">
        <f t="shared" si="19"/>
        <v>0.9116666667</v>
      </c>
      <c r="BD113" s="134" t="str">
        <f>IFERROR(AVERAGEIFS(
'20102013 STH Efficacy'!$N:$N, 
'20102013 STH Efficacy'!$B:$B, $A113, 
'20102013 STH Efficacy'!$C:$C, "Mebendazole",
'20102013 STH Efficacy'!$I:$I,"&lt;2011",
'20102013 STH Efficacy'!$AH:$AH,""),
"")</f>
        <v/>
      </c>
      <c r="BE113" s="135">
        <f t="shared" si="20"/>
        <v>0.7092416667</v>
      </c>
      <c r="BF113" s="128" t="str">
        <f>IFERROR(AVERAGEIFS(
'20102013 STH Efficacy'!$CD:$CD, 
'20102013 STH Efficacy'!$BS:$BS, $A113, 
'20102013 STH Efficacy'!$BT:$BT, "Albendazole",
'20102013 STH Efficacy'!$BZ:$BZ,"&lt;2011",
'20102013 STH Efficacy'!$CU:$CU,""),
"")</f>
        <v/>
      </c>
      <c r="BG113" s="136">
        <f t="shared" si="21"/>
        <v>0.8656666667</v>
      </c>
      <c r="BH113" s="128" t="str">
        <f>IFERROR(AVERAGEIFS(
'20102013 STH Efficacy'!$CD:$CD, 
'20102013 STH Efficacy'!$BS:$BS, $A113, 
'20102013 STH Efficacy'!$BT:$BT, "Mebendazole",
'20102013 STH Efficacy'!$BZ:$BZ,"&lt;2011",
'20102013 STH Efficacy'!$CU:$CU,""),
"")</f>
        <v/>
      </c>
      <c r="BI113" s="136">
        <f t="shared" si="22"/>
        <v>0.9203333333</v>
      </c>
      <c r="BJ113" s="128" t="str">
        <f>IFERROR(AVERAGEIFS(
'20102013 STH Efficacy'!$CD:$CD, 
'20102013 STH Efficacy'!$BS:$BS, $A113, 
'20102013 STH Efficacy'!$BT:$BT, "Albendazole &amp; Ivermectin",
'20102013 STH Efficacy'!$BZ:$BZ,"&lt;2011",
'20102013 STH Efficacy'!$CU:$CU,""),
"")</f>
        <v/>
      </c>
      <c r="BK113" s="136">
        <f t="shared" si="23"/>
        <v>1</v>
      </c>
      <c r="BL113" s="137"/>
      <c r="BM113" s="137"/>
      <c r="BN113" s="138">
        <v>1.0</v>
      </c>
      <c r="BO113" s="139">
        <v>1.0</v>
      </c>
      <c r="BP113" s="140">
        <v>1.0</v>
      </c>
      <c r="BQ113" s="141">
        <f t="shared" si="24"/>
        <v>1</v>
      </c>
      <c r="BR113" s="104" t="str">
        <f t="shared" si="25"/>
        <v>1111</v>
      </c>
      <c r="BS113" s="104" t="str">
        <f t="shared" si="26"/>
        <v>MDA1+T2</v>
      </c>
      <c r="BT113" s="142" t="str">
        <f t="shared" si="27"/>
        <v>IVM+ALB</v>
      </c>
      <c r="BU113" s="104" t="str">
        <f t="shared" si="28"/>
        <v>PZQ</v>
      </c>
      <c r="BV113" s="104" t="str">
        <f t="shared" si="29"/>
        <v>lf+onch+schist+sth</v>
      </c>
      <c r="BW113" s="150" t="str">
        <f t="shared" si="30"/>
        <v/>
      </c>
      <c r="BX113" s="150">
        <f t="shared" si="31"/>
        <v>642.2175584</v>
      </c>
      <c r="BY113" s="162">
        <f t="shared" si="32"/>
        <v>2459.621239</v>
      </c>
      <c r="BZ113" s="152">
        <f t="shared" si="33"/>
        <v>14.4500786</v>
      </c>
      <c r="CA113" s="152" t="str">
        <f t="shared" si="34"/>
        <v/>
      </c>
      <c r="CB113" s="152">
        <f t="shared" si="35"/>
        <v>61.26989223</v>
      </c>
      <c r="CC113" s="170">
        <f t="shared" si="36"/>
        <v>4865.417403</v>
      </c>
      <c r="CD113" s="153" t="str">
        <f t="shared" si="37"/>
        <v/>
      </c>
      <c r="CE113" s="154">
        <f t="shared" si="38"/>
        <v>12333.15339</v>
      </c>
      <c r="CF113" s="154" t="str">
        <f t="shared" si="39"/>
        <v/>
      </c>
      <c r="CG113" s="154" t="str">
        <f t="shared" si="40"/>
        <v/>
      </c>
    </row>
    <row r="114">
      <c r="A114" s="103" t="s">
        <v>203</v>
      </c>
      <c r="B114" s="104" t="s">
        <v>88</v>
      </c>
      <c r="C114" s="105">
        <v>6169140.0</v>
      </c>
      <c r="D114" s="106">
        <v>0.0</v>
      </c>
      <c r="E114" s="107">
        <v>7596.24071</v>
      </c>
      <c r="F114" s="108">
        <v>0.32809293</v>
      </c>
      <c r="G114" s="108">
        <v>1.28247347</v>
      </c>
      <c r="H114" s="108">
        <v>1.6105664</v>
      </c>
      <c r="I114" s="109">
        <v>0.0259901</v>
      </c>
      <c r="J114" s="109">
        <v>0.05239087</v>
      </c>
      <c r="K114" s="109">
        <v>0.078380969</v>
      </c>
      <c r="L114" s="112">
        <v>10.02669621</v>
      </c>
      <c r="M114" s="112">
        <v>6.681175165</v>
      </c>
      <c r="N114" s="112">
        <v>16.70787138</v>
      </c>
      <c r="O114" s="113"/>
      <c r="P114" s="114"/>
      <c r="Q114" s="114"/>
      <c r="R114" s="115" t="str">
        <f t="shared" si="8"/>
        <v/>
      </c>
      <c r="S114" s="116">
        <f t="shared" si="9"/>
        <v>0.3211323089</v>
      </c>
      <c r="T114" s="117"/>
      <c r="U114" s="118">
        <f t="shared" si="41"/>
        <v>0.5949</v>
      </c>
      <c r="V114" s="148"/>
      <c r="W114" s="120">
        <f t="shared" si="10"/>
        <v>0.9019</v>
      </c>
      <c r="X114" s="148"/>
      <c r="Y114" s="120">
        <f t="shared" si="11"/>
        <v>0.094</v>
      </c>
      <c r="Z114" s="114"/>
      <c r="AA114" s="114"/>
      <c r="AB114" s="114"/>
      <c r="AC114" s="114"/>
      <c r="AD114" s="164">
        <v>0.0</v>
      </c>
      <c r="AE114" s="123">
        <v>0.16</v>
      </c>
      <c r="AF114" s="123">
        <v>0.0213</v>
      </c>
      <c r="AG114" s="124">
        <v>0.0043</v>
      </c>
      <c r="AH114" s="124">
        <v>0.006298915</v>
      </c>
      <c r="AI114" s="125">
        <v>0.0</v>
      </c>
      <c r="AJ114" s="125">
        <v>7.04E-6</v>
      </c>
      <c r="AK114" s="127">
        <v>0.01</v>
      </c>
      <c r="AL114" s="127">
        <v>0.009298654</v>
      </c>
      <c r="AM114" s="128"/>
      <c r="AN114" s="149" t="str">
        <f>IFERROR(
  AVERAGEIFS(
    'New 20102013 LF Efficacy'!$J:$J,
    'New 20102013 LF Efficacy'!$D:$D, $A114,
    'New 20102013 LF Efficacy'!$F:$F,"DEC", 
    'New 20102013 LF Efficacy'!$W:$W,"&lt;2011",
    'New 20102013 LF Efficacy'!$AA:$AA,""),
  ""
)</f>
        <v/>
      </c>
      <c r="AO114" s="115">
        <f t="shared" si="12"/>
        <v>0.3573520833</v>
      </c>
      <c r="AP114" s="121" t="str">
        <f>IFERROR(
AVERAGEIFS(
'New 20102013 LF Efficacy'!$J:$J,
'New 20102013 LF Efficacy'!$D:$D,$A114,
'New 20102013 LF Efficacy'!$F:$F,"Albendazole &amp; DEC",
'New 20102013 LF Efficacy'!$W:$W,"&lt;2011",
'New 20102013 LF Efficacy'!$AA:$AA,""),
"")
</f>
        <v/>
      </c>
      <c r="AQ114" s="115">
        <f t="shared" si="13"/>
        <v>0.7935</v>
      </c>
      <c r="AR114" s="121" t="str">
        <f>IFERROR(
AVERAGEIFS(
'New 20102013 LF Efficacy'!$J:$J,
'New 20102013 LF Efficacy'!$D:$D,$A114,
'New 20102013 LF Efficacy'!$F:$F,"Albendazole &amp; Ivermectin", 
'New 20102013 LF Efficacy'!$W:$W,"&lt;2011",
'New 20102013 LF Efficacy'!$AA:$AA,""),"")</f>
        <v/>
      </c>
      <c r="AS114" s="115">
        <f t="shared" si="14"/>
        <v>0.37153125</v>
      </c>
      <c r="AT114" s="130" t="str">
        <f>IFERROR(AVERAGEIFS(
'20102013 Schist Efficacy'!$O:$O, 
'20102013 Schist Efficacy'!$C:$C,$A114, 
'20102013 Schist Efficacy'!$D:$D, "Praziquantel",
'20102013 Schist Efficacy'!$J:$J,"&lt;2011",
'20102013 Schist Efficacy'!$U:$U,""),
"")</f>
        <v/>
      </c>
      <c r="AU114" s="118">
        <f t="shared" si="15"/>
        <v>0.7763141026</v>
      </c>
      <c r="AV114" s="131" t="str">
        <f>IFERROR(AVERAGEIFS(
'20102013 STH Efficacy'!$AX:$AX, 
'20102013 STH Efficacy'!$AL:$AL, $A114, 
'20102013 STH Efficacy'!$AM:$AM, "Albendazole",
'20102013 STH Efficacy'!$AS:$AS,"&lt;2011",
'20102013 STH Efficacy'!$BP:$BP,""),
"")</f>
        <v/>
      </c>
      <c r="AW114" s="132">
        <f t="shared" si="16"/>
        <v>0.3842878788</v>
      </c>
      <c r="AX114" s="131" t="str">
        <f>IFERROR(AVERAGEIFS(
'20102013 STH Efficacy'!$AX:$AX, 
'20102013 STH Efficacy'!$AL:$AL, $A114, 
'20102013 STH Efficacy'!$AM:$AM, "Mebendazole",
'20102013 STH Efficacy'!$AS:$AS,"&lt;2011",
'20102013 STH Efficacy'!$BP:$BP,""),
"")</f>
        <v/>
      </c>
      <c r="AY114" s="132">
        <f t="shared" si="17"/>
        <v>0.5121666667</v>
      </c>
      <c r="AZ114" s="131" t="str">
        <f>IFERROR(AVERAGEIFS(
'20102013 STH Efficacy'!$AX:$AX, 
'20102013 STH Efficacy'!$AL:$AL, $A114, 
'20102013 STH Efficacy'!$AM:$AM, "Albendazole &amp; Ivermectin",
'20102013 STH Efficacy'!$AS:$AS,"&lt;2011",
'20102013 STH Efficacy'!$BP:$BP,""),
"")</f>
        <v/>
      </c>
      <c r="BA114" s="133">
        <f t="shared" si="18"/>
        <v>0.7176666667</v>
      </c>
      <c r="BB114" s="134" t="str">
        <f>IFERROR(AVERAGEIFS(
'20102013 STH Efficacy'!$N:$N, 
'20102013 STH Efficacy'!$B:$B, $A114, 
'20102013 STH Efficacy'!$C:$C, "Albendazole",
'20102013 STH Efficacy'!$I:$I,"&lt;2011",
'20102013 STH Efficacy'!$AH:$AH,""),
"")</f>
        <v/>
      </c>
      <c r="BC114" s="135">
        <f t="shared" si="19"/>
        <v>0.7630416667</v>
      </c>
      <c r="BD114" s="134" t="str">
        <f>IFERROR(AVERAGEIFS(
'20102013 STH Efficacy'!$N:$N, 
'20102013 STH Efficacy'!$B:$B, $A114, 
'20102013 STH Efficacy'!$C:$C, "Mebendazole",
'20102013 STH Efficacy'!$I:$I,"&lt;2011",
'20102013 STH Efficacy'!$AH:$AH,""),
"")</f>
        <v/>
      </c>
      <c r="BE114" s="135">
        <f t="shared" si="20"/>
        <v>0.4405966667</v>
      </c>
      <c r="BF114" s="128" t="str">
        <f>IFERROR(AVERAGEIFS(
'20102013 STH Efficacy'!$CD:$CD, 
'20102013 STH Efficacy'!$BS:$BS, $A114, 
'20102013 STH Efficacy'!$BT:$BT, "Albendazole",
'20102013 STH Efficacy'!$BZ:$BZ,"&lt;2011",
'20102013 STH Efficacy'!$CU:$CU,""),
"")</f>
        <v/>
      </c>
      <c r="BG114" s="136">
        <f t="shared" si="21"/>
        <v>0.955</v>
      </c>
      <c r="BH114" s="128" t="str">
        <f>IFERROR(AVERAGEIFS(
'20102013 STH Efficacy'!$CD:$CD, 
'20102013 STH Efficacy'!$BS:$BS, $A114, 
'20102013 STH Efficacy'!$BT:$BT, "Mebendazole",
'20102013 STH Efficacy'!$BZ:$BZ,"&lt;2011",
'20102013 STH Efficacy'!$CU:$CU,""),
"")</f>
        <v/>
      </c>
      <c r="BI114" s="136">
        <f t="shared" si="22"/>
        <v>1</v>
      </c>
      <c r="BJ114" s="128" t="str">
        <f>IFERROR(AVERAGEIFS(
'20102013 STH Efficacy'!$CD:$CD, 
'20102013 STH Efficacy'!$BS:$BS, $A114, 
'20102013 STH Efficacy'!$BT:$BT, "Albendazole &amp; Ivermectin",
'20102013 STH Efficacy'!$BZ:$BZ,"&lt;2011",
'20102013 STH Efficacy'!$CU:$CU,""),
"")</f>
        <v/>
      </c>
      <c r="BK114" s="136">
        <f t="shared" si="23"/>
        <v>1</v>
      </c>
      <c r="BL114" s="137"/>
      <c r="BM114" s="137"/>
      <c r="BN114" s="138">
        <v>0.0</v>
      </c>
      <c r="BO114" s="139">
        <v>0.0</v>
      </c>
      <c r="BP114" s="140">
        <v>0.0</v>
      </c>
      <c r="BQ114" s="141">
        <f t="shared" si="24"/>
        <v>0</v>
      </c>
      <c r="BR114" s="104" t="str">
        <f t="shared" si="25"/>
        <v>0000</v>
      </c>
      <c r="BS114" s="104" t="str">
        <f t="shared" si="26"/>
        <v>no action required</v>
      </c>
      <c r="BT114" s="142" t="str">
        <f t="shared" si="27"/>
        <v/>
      </c>
      <c r="BU114" s="104" t="str">
        <f t="shared" si="28"/>
        <v/>
      </c>
      <c r="BV114" s="104" t="str">
        <f t="shared" si="29"/>
        <v>none</v>
      </c>
      <c r="BW114" s="150" t="str">
        <f t="shared" si="30"/>
        <v/>
      </c>
      <c r="BX114" s="150" t="str">
        <f t="shared" si="31"/>
        <v/>
      </c>
      <c r="BY114" s="151" t="str">
        <f t="shared" si="32"/>
        <v/>
      </c>
      <c r="BZ114" s="152" t="str">
        <f t="shared" si="33"/>
        <v/>
      </c>
      <c r="CA114" s="152" t="str">
        <f t="shared" si="34"/>
        <v/>
      </c>
      <c r="CB114" s="152" t="str">
        <f t="shared" si="35"/>
        <v/>
      </c>
      <c r="CC114" s="153" t="str">
        <f t="shared" si="36"/>
        <v/>
      </c>
      <c r="CD114" s="153" t="str">
        <f t="shared" si="37"/>
        <v/>
      </c>
      <c r="CE114" s="154" t="str">
        <f t="shared" si="38"/>
        <v/>
      </c>
      <c r="CF114" s="154" t="str">
        <f t="shared" si="39"/>
        <v/>
      </c>
      <c r="CG114" s="154" t="str">
        <f t="shared" si="40"/>
        <v/>
      </c>
    </row>
    <row r="115">
      <c r="A115" s="103" t="s">
        <v>204</v>
      </c>
      <c r="B115" s="104" t="s">
        <v>90</v>
      </c>
      <c r="C115" s="105">
        <v>3097282.0</v>
      </c>
      <c r="D115" s="106">
        <v>0.0</v>
      </c>
      <c r="E115" s="107">
        <v>0.0</v>
      </c>
      <c r="F115" s="108">
        <v>0.0</v>
      </c>
      <c r="G115" s="108">
        <v>0.0</v>
      </c>
      <c r="H115" s="108">
        <v>0.0</v>
      </c>
      <c r="I115" s="109">
        <v>0.0</v>
      </c>
      <c r="J115" s="109">
        <v>0.0</v>
      </c>
      <c r="K115" s="109">
        <v>0.0</v>
      </c>
      <c r="L115" s="112">
        <v>0.074419415</v>
      </c>
      <c r="M115" s="112">
        <v>0.046493903</v>
      </c>
      <c r="N115" s="112">
        <v>0.120913318</v>
      </c>
      <c r="O115" s="113"/>
      <c r="P115" s="114"/>
      <c r="Q115" s="114"/>
      <c r="R115" s="115" t="str">
        <f t="shared" si="8"/>
        <v/>
      </c>
      <c r="S115" s="116">
        <f t="shared" si="9"/>
        <v>0.4013436246</v>
      </c>
      <c r="T115" s="117"/>
      <c r="U115" s="118">
        <f t="shared" si="41"/>
        <v>0.3468166667</v>
      </c>
      <c r="V115" s="148"/>
      <c r="W115" s="120">
        <f t="shared" si="10"/>
        <v>1</v>
      </c>
      <c r="X115" s="148"/>
      <c r="Y115" s="120">
        <f t="shared" si="11"/>
        <v>0.71735</v>
      </c>
      <c r="Z115" s="121"/>
      <c r="AA115" s="121"/>
      <c r="AB115" s="121"/>
      <c r="AC115" s="121"/>
      <c r="AD115" s="122">
        <v>0.0</v>
      </c>
      <c r="AE115" s="123">
        <v>0.0</v>
      </c>
      <c r="AF115" s="123">
        <v>0.0</v>
      </c>
      <c r="AG115" s="124">
        <v>0.0</v>
      </c>
      <c r="AH115" s="124">
        <v>0.0</v>
      </c>
      <c r="AI115" s="125">
        <v>0.0</v>
      </c>
      <c r="AJ115" s="125">
        <v>0.0</v>
      </c>
      <c r="AK115" s="127">
        <v>0.0</v>
      </c>
      <c r="AL115" s="127">
        <v>0.0</v>
      </c>
      <c r="AM115" s="128"/>
      <c r="AN115" s="149" t="str">
        <f>IFERROR(
  AVERAGEIFS(
    'New 20102013 LF Efficacy'!$J:$J,
    'New 20102013 LF Efficacy'!$D:$D, $A115,
    'New 20102013 LF Efficacy'!$F:$F,"DEC", 
    'New 20102013 LF Efficacy'!$W:$W,"&lt;2011",
    'New 20102013 LF Efficacy'!$AA:$AA,""),
  ""
)</f>
        <v/>
      </c>
      <c r="AO115" s="115">
        <f t="shared" si="12"/>
        <v>0.3573520833</v>
      </c>
      <c r="AP115" s="121" t="str">
        <f>IFERROR(
AVERAGEIFS(
'New 20102013 LF Efficacy'!$J:$J,
'New 20102013 LF Efficacy'!$D:$D,$A115,
'New 20102013 LF Efficacy'!$F:$F,"Albendazole &amp; DEC",
'New 20102013 LF Efficacy'!$W:$W,"&lt;2011",
'New 20102013 LF Efficacy'!$AA:$AA,""),
"")
</f>
        <v/>
      </c>
      <c r="AQ115" s="115">
        <f t="shared" si="13"/>
        <v>0.5137291667</v>
      </c>
      <c r="AR115" s="121" t="str">
        <f>IFERROR(
AVERAGEIFS(
'New 20102013 LF Efficacy'!$J:$J,
'New 20102013 LF Efficacy'!$D:$D,$A115,
'New 20102013 LF Efficacy'!$F:$F,"Albendazole &amp; Ivermectin", 
'New 20102013 LF Efficacy'!$W:$W,"&lt;2011",
'New 20102013 LF Efficacy'!$AA:$AA,""),"")</f>
        <v/>
      </c>
      <c r="AS115" s="115">
        <f t="shared" si="14"/>
        <v>0.37153125</v>
      </c>
      <c r="AT115" s="130" t="str">
        <f>IFERROR(AVERAGEIFS(
'20102013 Schist Efficacy'!$O:$O, 
'20102013 Schist Efficacy'!$C:$C,$A115, 
'20102013 Schist Efficacy'!$D:$D, "Praziquantel",
'20102013 Schist Efficacy'!$J:$J,"&lt;2011",
'20102013 Schist Efficacy'!$U:$U,""),
"")</f>
        <v/>
      </c>
      <c r="AU115" s="118">
        <f t="shared" si="15"/>
        <v>0.655</v>
      </c>
      <c r="AV115" s="131" t="str">
        <f>IFERROR(AVERAGEIFS(
'20102013 STH Efficacy'!$AX:$AX, 
'20102013 STH Efficacy'!$AL:$AL, $A115, 
'20102013 STH Efficacy'!$AM:$AM, "Albendazole",
'20102013 STH Efficacy'!$AS:$AS,"&lt;2011",
'20102013 STH Efficacy'!$BP:$BP,""),
"")</f>
        <v/>
      </c>
      <c r="AW115" s="132">
        <f t="shared" si="16"/>
        <v>0.3842878788</v>
      </c>
      <c r="AX115" s="131" t="str">
        <f>IFERROR(AVERAGEIFS(
'20102013 STH Efficacy'!$AX:$AX, 
'20102013 STH Efficacy'!$AL:$AL, $A115, 
'20102013 STH Efficacy'!$AM:$AM, "Mebendazole",
'20102013 STH Efficacy'!$AS:$AS,"&lt;2011",
'20102013 STH Efficacy'!$BP:$BP,""),
"")</f>
        <v/>
      </c>
      <c r="AY115" s="132">
        <f t="shared" si="17"/>
        <v>0.5121666667</v>
      </c>
      <c r="AZ115" s="131" t="str">
        <f>IFERROR(AVERAGEIFS(
'20102013 STH Efficacy'!$AX:$AX, 
'20102013 STH Efficacy'!$AL:$AL, $A115, 
'20102013 STH Efficacy'!$AM:$AM, "Albendazole &amp; Ivermectin",
'20102013 STH Efficacy'!$AS:$AS,"&lt;2011",
'20102013 STH Efficacy'!$BP:$BP,""),
"")</f>
        <v/>
      </c>
      <c r="BA115" s="133">
        <f t="shared" si="18"/>
        <v>0.7176666667</v>
      </c>
      <c r="BB115" s="134" t="str">
        <f>IFERROR(AVERAGEIFS(
'20102013 STH Efficacy'!$N:$N, 
'20102013 STH Efficacy'!$B:$B, $A115, 
'20102013 STH Efficacy'!$C:$C, "Albendazole",
'20102013 STH Efficacy'!$I:$I,"&lt;2011",
'20102013 STH Efficacy'!$AH:$AH,""),
"")</f>
        <v/>
      </c>
      <c r="BC115" s="135">
        <f t="shared" si="19"/>
        <v>0.7630416667</v>
      </c>
      <c r="BD115" s="134" t="str">
        <f>IFERROR(AVERAGEIFS(
'20102013 STH Efficacy'!$N:$N, 
'20102013 STH Efficacy'!$B:$B, $A115, 
'20102013 STH Efficacy'!$C:$C, "Mebendazole",
'20102013 STH Efficacy'!$I:$I,"&lt;2011",
'20102013 STH Efficacy'!$AH:$AH,""),
"")</f>
        <v/>
      </c>
      <c r="BE115" s="135">
        <f t="shared" si="20"/>
        <v>0.4405966667</v>
      </c>
      <c r="BF115" s="128" t="str">
        <f>IFERROR(AVERAGEIFS(
'20102013 STH Efficacy'!$CD:$CD, 
'20102013 STH Efficacy'!$BS:$BS, $A115, 
'20102013 STH Efficacy'!$BT:$BT, "Albendazole",
'20102013 STH Efficacy'!$BZ:$BZ,"&lt;2011",
'20102013 STH Efficacy'!$CU:$CU,""),
"")</f>
        <v/>
      </c>
      <c r="BG115" s="136">
        <f t="shared" si="21"/>
        <v>0.9403222222</v>
      </c>
      <c r="BH115" s="128" t="str">
        <f>IFERROR(AVERAGEIFS(
'20102013 STH Efficacy'!$CD:$CD, 
'20102013 STH Efficacy'!$BS:$BS, $A115, 
'20102013 STH Efficacy'!$BT:$BT, "Mebendazole",
'20102013 STH Efficacy'!$BZ:$BZ,"&lt;2011",
'20102013 STH Efficacy'!$CU:$CU,""),
"")</f>
        <v/>
      </c>
      <c r="BI115" s="136">
        <f t="shared" si="22"/>
        <v>0.9229285714</v>
      </c>
      <c r="BJ115" s="128" t="str">
        <f>IFERROR(AVERAGEIFS(
'20102013 STH Efficacy'!$CD:$CD, 
'20102013 STH Efficacy'!$BS:$BS, $A115, 
'20102013 STH Efficacy'!$BT:$BT, "Albendazole &amp; Ivermectin",
'20102013 STH Efficacy'!$BZ:$BZ,"&lt;2011",
'20102013 STH Efficacy'!$CU:$CU,""),
"")</f>
        <v/>
      </c>
      <c r="BK115" s="136">
        <f t="shared" si="23"/>
        <v>1</v>
      </c>
      <c r="BL115" s="137"/>
      <c r="BM115" s="137"/>
      <c r="BN115" s="138">
        <v>0.0</v>
      </c>
      <c r="BO115" s="139">
        <v>0.0</v>
      </c>
      <c r="BP115" s="140">
        <v>0.0</v>
      </c>
      <c r="BQ115" s="141">
        <f t="shared" si="24"/>
        <v>0</v>
      </c>
      <c r="BR115" s="104" t="str">
        <f t="shared" si="25"/>
        <v>0000</v>
      </c>
      <c r="BS115" s="104" t="str">
        <f t="shared" si="26"/>
        <v>no action required</v>
      </c>
      <c r="BT115" s="142" t="str">
        <f t="shared" si="27"/>
        <v/>
      </c>
      <c r="BU115" s="104" t="str">
        <f t="shared" si="28"/>
        <v/>
      </c>
      <c r="BV115" s="104" t="str">
        <f t="shared" si="29"/>
        <v>none</v>
      </c>
      <c r="BW115" s="150" t="str">
        <f t="shared" si="30"/>
        <v/>
      </c>
      <c r="BX115" s="150" t="str">
        <f t="shared" si="31"/>
        <v/>
      </c>
      <c r="BY115" s="151" t="str">
        <f t="shared" si="32"/>
        <v/>
      </c>
      <c r="BZ115" s="152" t="str">
        <f t="shared" si="33"/>
        <v/>
      </c>
      <c r="CA115" s="152" t="str">
        <f t="shared" si="34"/>
        <v/>
      </c>
      <c r="CB115" s="152" t="str">
        <f t="shared" si="35"/>
        <v/>
      </c>
      <c r="CC115" s="153" t="str">
        <f t="shared" si="36"/>
        <v/>
      </c>
      <c r="CD115" s="153" t="str">
        <f t="shared" si="37"/>
        <v/>
      </c>
      <c r="CE115" s="154" t="str">
        <f t="shared" si="38"/>
        <v/>
      </c>
      <c r="CF115" s="154" t="str">
        <f t="shared" si="39"/>
        <v/>
      </c>
      <c r="CG115" s="154" t="str">
        <f t="shared" si="40"/>
        <v/>
      </c>
    </row>
    <row r="116">
      <c r="A116" s="103" t="s">
        <v>205</v>
      </c>
      <c r="B116" s="104" t="s">
        <v>90</v>
      </c>
      <c r="C116" s="105">
        <v>506953.0</v>
      </c>
      <c r="D116" s="106">
        <v>0.0</v>
      </c>
      <c r="E116" s="107">
        <v>0.0</v>
      </c>
      <c r="F116" s="108">
        <v>0.0</v>
      </c>
      <c r="G116" s="108">
        <v>0.0</v>
      </c>
      <c r="H116" s="157">
        <v>0.0</v>
      </c>
      <c r="I116" s="110">
        <v>0.0</v>
      </c>
      <c r="J116" s="110">
        <v>0.0</v>
      </c>
      <c r="K116" s="110">
        <v>0.0</v>
      </c>
      <c r="L116" s="111">
        <v>0.0</v>
      </c>
      <c r="M116" s="112">
        <v>0.0</v>
      </c>
      <c r="N116" s="112">
        <v>0.0</v>
      </c>
      <c r="O116" s="113"/>
      <c r="P116" s="114"/>
      <c r="Q116" s="114"/>
      <c r="R116" s="115" t="str">
        <f t="shared" si="8"/>
        <v/>
      </c>
      <c r="S116" s="116">
        <f t="shared" si="9"/>
        <v>0.4013436246</v>
      </c>
      <c r="T116" s="118">
        <v>0.1545</v>
      </c>
      <c r="U116" s="118">
        <f t="shared" si="41"/>
        <v>0.1545</v>
      </c>
      <c r="V116" s="148"/>
      <c r="W116" s="120">
        <f t="shared" si="10"/>
        <v>1</v>
      </c>
      <c r="X116" s="148"/>
      <c r="Y116" s="120">
        <f t="shared" si="11"/>
        <v>0.71735</v>
      </c>
      <c r="Z116" s="114"/>
      <c r="AA116" s="114"/>
      <c r="AB116" s="114"/>
      <c r="AC116" s="114"/>
      <c r="AD116" s="164">
        <v>0.0</v>
      </c>
      <c r="AE116" s="123">
        <v>0.0</v>
      </c>
      <c r="AF116" s="123">
        <v>0.0</v>
      </c>
      <c r="AG116" s="167">
        <v>0.0</v>
      </c>
      <c r="AH116" s="124">
        <v>0.0</v>
      </c>
      <c r="AI116" s="168">
        <v>0.0</v>
      </c>
      <c r="AJ116" s="125">
        <v>0.0</v>
      </c>
      <c r="AK116" s="126">
        <v>0.0</v>
      </c>
      <c r="AL116" s="169">
        <v>0.0</v>
      </c>
      <c r="AM116" s="128"/>
      <c r="AN116" s="149" t="str">
        <f>IFERROR(
  AVERAGEIFS(
    'New 20102013 LF Efficacy'!$J:$J,
    'New 20102013 LF Efficacy'!$D:$D, $A116,
    'New 20102013 LF Efficacy'!$F:$F,"DEC", 
    'New 20102013 LF Efficacy'!$W:$W,"&lt;2011",
    'New 20102013 LF Efficacy'!$AA:$AA,""),
  ""
)</f>
        <v/>
      </c>
      <c r="AO116" s="115">
        <f t="shared" si="12"/>
        <v>0.3573520833</v>
      </c>
      <c r="AP116" s="121" t="str">
        <f>IFERROR(
AVERAGEIFS(
'New 20102013 LF Efficacy'!$J:$J,
'New 20102013 LF Efficacy'!$D:$D,$A116,
'New 20102013 LF Efficacy'!$F:$F,"Albendazole &amp; DEC",
'New 20102013 LF Efficacy'!$W:$W,"&lt;2011",
'New 20102013 LF Efficacy'!$AA:$AA,""),
"")
</f>
        <v/>
      </c>
      <c r="AQ116" s="115">
        <f t="shared" si="13"/>
        <v>0.5137291667</v>
      </c>
      <c r="AR116" s="121" t="str">
        <f>IFERROR(
AVERAGEIFS(
'New 20102013 LF Efficacy'!$J:$J,
'New 20102013 LF Efficacy'!$D:$D,$A116,
'New 20102013 LF Efficacy'!$F:$F,"Albendazole &amp; Ivermectin", 
'New 20102013 LF Efficacy'!$W:$W,"&lt;2011",
'New 20102013 LF Efficacy'!$AA:$AA,""),"")</f>
        <v/>
      </c>
      <c r="AS116" s="115">
        <f t="shared" si="14"/>
        <v>0.37153125</v>
      </c>
      <c r="AT116" s="130" t="str">
        <f>IFERROR(AVERAGEIFS(
'20102013 Schist Efficacy'!$O:$O, 
'20102013 Schist Efficacy'!$C:$C,$A116, 
'20102013 Schist Efficacy'!$D:$D, "Praziquantel",
'20102013 Schist Efficacy'!$J:$J,"&lt;2011",
'20102013 Schist Efficacy'!$U:$U,""),
"")</f>
        <v/>
      </c>
      <c r="AU116" s="118">
        <f t="shared" si="15"/>
        <v>0.655</v>
      </c>
      <c r="AV116" s="131" t="str">
        <f>IFERROR(AVERAGEIFS(
'20102013 STH Efficacy'!$AX:$AX, 
'20102013 STH Efficacy'!$AL:$AL, $A116, 
'20102013 STH Efficacy'!$AM:$AM, "Albendazole",
'20102013 STH Efficacy'!$AS:$AS,"&lt;2011",
'20102013 STH Efficacy'!$BP:$BP,""),
"")</f>
        <v/>
      </c>
      <c r="AW116" s="132">
        <f t="shared" si="16"/>
        <v>0.3842878788</v>
      </c>
      <c r="AX116" s="131" t="str">
        <f>IFERROR(AVERAGEIFS(
'20102013 STH Efficacy'!$AX:$AX, 
'20102013 STH Efficacy'!$AL:$AL, $A116, 
'20102013 STH Efficacy'!$AM:$AM, "Mebendazole",
'20102013 STH Efficacy'!$AS:$AS,"&lt;2011",
'20102013 STH Efficacy'!$BP:$BP,""),
"")</f>
        <v/>
      </c>
      <c r="AY116" s="132">
        <f t="shared" si="17"/>
        <v>0.5121666667</v>
      </c>
      <c r="AZ116" s="131" t="str">
        <f>IFERROR(AVERAGEIFS(
'20102013 STH Efficacy'!$AX:$AX, 
'20102013 STH Efficacy'!$AL:$AL, $A116, 
'20102013 STH Efficacy'!$AM:$AM, "Albendazole &amp; Ivermectin",
'20102013 STH Efficacy'!$AS:$AS,"&lt;2011",
'20102013 STH Efficacy'!$BP:$BP,""),
"")</f>
        <v/>
      </c>
      <c r="BA116" s="133">
        <f t="shared" si="18"/>
        <v>0.7176666667</v>
      </c>
      <c r="BB116" s="134" t="str">
        <f>IFERROR(AVERAGEIFS(
'20102013 STH Efficacy'!$N:$N, 
'20102013 STH Efficacy'!$B:$B, $A116, 
'20102013 STH Efficacy'!$C:$C, "Albendazole",
'20102013 STH Efficacy'!$I:$I,"&lt;2011",
'20102013 STH Efficacy'!$AH:$AH,""),
"")</f>
        <v/>
      </c>
      <c r="BC116" s="135">
        <f t="shared" si="19"/>
        <v>0.7630416667</v>
      </c>
      <c r="BD116" s="134" t="str">
        <f>IFERROR(AVERAGEIFS(
'20102013 STH Efficacy'!$N:$N, 
'20102013 STH Efficacy'!$B:$B, $A116, 
'20102013 STH Efficacy'!$C:$C, "Mebendazole",
'20102013 STH Efficacy'!$I:$I,"&lt;2011",
'20102013 STH Efficacy'!$AH:$AH,""),
"")</f>
        <v/>
      </c>
      <c r="BE116" s="135">
        <f t="shared" si="20"/>
        <v>0.4405966667</v>
      </c>
      <c r="BF116" s="128" t="str">
        <f>IFERROR(AVERAGEIFS(
'20102013 STH Efficacy'!$CD:$CD, 
'20102013 STH Efficacy'!$BS:$BS, $A116, 
'20102013 STH Efficacy'!$BT:$BT, "Albendazole",
'20102013 STH Efficacy'!$BZ:$BZ,"&lt;2011",
'20102013 STH Efficacy'!$CU:$CU,""),
"")</f>
        <v/>
      </c>
      <c r="BG116" s="136">
        <f t="shared" si="21"/>
        <v>0.9403222222</v>
      </c>
      <c r="BH116" s="128" t="str">
        <f>IFERROR(AVERAGEIFS(
'20102013 STH Efficacy'!$CD:$CD, 
'20102013 STH Efficacy'!$BS:$BS, $A116, 
'20102013 STH Efficacy'!$BT:$BT, "Mebendazole",
'20102013 STH Efficacy'!$BZ:$BZ,"&lt;2011",
'20102013 STH Efficacy'!$CU:$CU,""),
"")</f>
        <v/>
      </c>
      <c r="BI116" s="136">
        <f t="shared" si="22"/>
        <v>0.9229285714</v>
      </c>
      <c r="BJ116" s="128" t="str">
        <f>IFERROR(AVERAGEIFS(
'20102013 STH Efficacy'!$CD:$CD, 
'20102013 STH Efficacy'!$BS:$BS, $A116, 
'20102013 STH Efficacy'!$BT:$BT, "Albendazole &amp; Ivermectin",
'20102013 STH Efficacy'!$BZ:$BZ,"&lt;2011",
'20102013 STH Efficacy'!$CU:$CU,""),
"")</f>
        <v/>
      </c>
      <c r="BK116" s="136">
        <f t="shared" si="23"/>
        <v>1</v>
      </c>
      <c r="BL116" s="137"/>
      <c r="BM116" s="137"/>
      <c r="BN116" s="138">
        <v>0.0</v>
      </c>
      <c r="BO116" s="139">
        <v>0.0</v>
      </c>
      <c r="BP116" s="140">
        <v>0.0</v>
      </c>
      <c r="BQ116" s="141">
        <f t="shared" si="24"/>
        <v>0</v>
      </c>
      <c r="BR116" s="104" t="str">
        <f t="shared" si="25"/>
        <v>0000</v>
      </c>
      <c r="BS116" s="104" t="str">
        <f t="shared" si="26"/>
        <v>no action required</v>
      </c>
      <c r="BT116" s="142" t="str">
        <f t="shared" si="27"/>
        <v/>
      </c>
      <c r="BU116" s="104" t="str">
        <f t="shared" si="28"/>
        <v/>
      </c>
      <c r="BV116" s="104" t="str">
        <f t="shared" si="29"/>
        <v>none</v>
      </c>
      <c r="BW116" s="150" t="str">
        <f t="shared" si="30"/>
        <v/>
      </c>
      <c r="BX116" s="150" t="str">
        <f t="shared" si="31"/>
        <v/>
      </c>
      <c r="BY116" s="151" t="str">
        <f t="shared" si="32"/>
        <v/>
      </c>
      <c r="BZ116" s="152" t="str">
        <f t="shared" si="33"/>
        <v/>
      </c>
      <c r="CA116" s="152" t="str">
        <f t="shared" si="34"/>
        <v/>
      </c>
      <c r="CB116" s="152" t="str">
        <f t="shared" si="35"/>
        <v/>
      </c>
      <c r="CC116" s="153" t="str">
        <f t="shared" si="36"/>
        <v/>
      </c>
      <c r="CD116" s="153" t="str">
        <f t="shared" si="37"/>
        <v/>
      </c>
      <c r="CE116" s="154" t="str">
        <f t="shared" si="38"/>
        <v/>
      </c>
      <c r="CF116" s="154" t="str">
        <f t="shared" si="39"/>
        <v/>
      </c>
      <c r="CG116" s="154" t="str">
        <f t="shared" si="40"/>
        <v/>
      </c>
    </row>
    <row r="117">
      <c r="A117" s="103" t="s">
        <v>206</v>
      </c>
      <c r="B117" s="104" t="s">
        <v>92</v>
      </c>
      <c r="C117" s="105">
        <v>2.115164E7</v>
      </c>
      <c r="D117" s="106">
        <v>24192.62496</v>
      </c>
      <c r="E117" s="107">
        <v>39064.33936</v>
      </c>
      <c r="F117" s="157">
        <v>1520.012635</v>
      </c>
      <c r="G117" s="108">
        <v>5283.080639</v>
      </c>
      <c r="H117" s="157">
        <v>6803.093275</v>
      </c>
      <c r="I117" s="110">
        <v>968.634116</v>
      </c>
      <c r="J117" s="110">
        <v>2376.19671</v>
      </c>
      <c r="K117" s="110">
        <v>3344.830826</v>
      </c>
      <c r="L117" s="111">
        <v>17778.58844</v>
      </c>
      <c r="M117" s="111">
        <v>9203.657812</v>
      </c>
      <c r="N117" s="158">
        <v>26982.24625</v>
      </c>
      <c r="O117" s="159"/>
      <c r="P117" s="160">
        <v>1.8602379E7</v>
      </c>
      <c r="Q117" s="160">
        <v>6868762.0</v>
      </c>
      <c r="R117" s="115">
        <f t="shared" si="8"/>
        <v>0.3692410524</v>
      </c>
      <c r="S117" s="116">
        <f t="shared" si="9"/>
        <v>0.3692410524</v>
      </c>
      <c r="T117" s="130"/>
      <c r="U117" s="118">
        <f t="shared" si="41"/>
        <v>0.252</v>
      </c>
      <c r="V117" s="119">
        <v>0.2731</v>
      </c>
      <c r="W117" s="120">
        <f t="shared" si="10"/>
        <v>0.2731</v>
      </c>
      <c r="X117" s="119">
        <v>0.3641</v>
      </c>
      <c r="Y117" s="120">
        <f t="shared" si="11"/>
        <v>0.3641</v>
      </c>
      <c r="Z117" s="121"/>
      <c r="AA117" s="121"/>
      <c r="AB117" s="121"/>
      <c r="AC117" s="121"/>
      <c r="AD117" s="122">
        <v>0.031</v>
      </c>
      <c r="AE117" s="123">
        <v>0.17</v>
      </c>
      <c r="AF117" s="123">
        <v>0.0656</v>
      </c>
      <c r="AG117" s="124">
        <v>0.267</v>
      </c>
      <c r="AH117" s="124">
        <v>0.415541986</v>
      </c>
      <c r="AI117" s="125">
        <v>0.0686</v>
      </c>
      <c r="AJ117" s="125">
        <v>0.110369035</v>
      </c>
      <c r="AK117" s="127">
        <v>0.28</v>
      </c>
      <c r="AL117" s="127">
        <v>0.438934299</v>
      </c>
      <c r="AM117" s="128"/>
      <c r="AN117" s="149" t="str">
        <f>IFERROR(
  AVERAGEIFS(
    'New 20102013 LF Efficacy'!$J:$J,
    'New 20102013 LF Efficacy'!$D:$D, $A117,
    'New 20102013 LF Efficacy'!$F:$F,"DEC", 
    'New 20102013 LF Efficacy'!$W:$W,"&lt;2011",
    'New 20102013 LF Efficacy'!$AA:$AA,""),
  ""
)</f>
        <v/>
      </c>
      <c r="AO117" s="115">
        <f t="shared" si="12"/>
        <v>0.31225</v>
      </c>
      <c r="AP117" s="121" t="str">
        <f>IFERROR(
AVERAGEIFS(
'New 20102013 LF Efficacy'!$J:$J,
'New 20102013 LF Efficacy'!$D:$D,$A117,
'New 20102013 LF Efficacy'!$F:$F,"Albendazole &amp; DEC",
'New 20102013 LF Efficacy'!$W:$W,"&lt;2011",
'New 20102013 LF Efficacy'!$AA:$AA,""),
"")
</f>
        <v/>
      </c>
      <c r="AQ117" s="115">
        <f t="shared" si="13"/>
        <v>0.4</v>
      </c>
      <c r="AR117" s="121" t="str">
        <f>IFERROR(
AVERAGEIFS(
'New 20102013 LF Efficacy'!$J:$J,
'New 20102013 LF Efficacy'!$D:$D,$A117,
'New 20102013 LF Efficacy'!$F:$F,"Albendazole &amp; Ivermectin", 
'New 20102013 LF Efficacy'!$W:$W,"&lt;2011",
'New 20102013 LF Efficacy'!$AA:$AA,""),"")</f>
        <v/>
      </c>
      <c r="AS117" s="115">
        <f t="shared" si="14"/>
        <v>0.2943125</v>
      </c>
      <c r="AT117" s="130" t="str">
        <f>IFERROR(AVERAGEIFS(
'20102013 Schist Efficacy'!$O:$O, 
'20102013 Schist Efficacy'!$C:$C,$A117, 
'20102013 Schist Efficacy'!$D:$D, "Praziquantel",
'20102013 Schist Efficacy'!$J:$J,"&lt;2011",
'20102013 Schist Efficacy'!$U:$U,""),
"")</f>
        <v/>
      </c>
      <c r="AU117" s="118">
        <f t="shared" si="15"/>
        <v>0.6444020147</v>
      </c>
      <c r="AV117" s="131" t="str">
        <f>IFERROR(AVERAGEIFS(
'20102013 STH Efficacy'!$AX:$AX, 
'20102013 STH Efficacy'!$AL:$AL, $A117, 
'20102013 STH Efficacy'!$AM:$AM, "Albendazole",
'20102013 STH Efficacy'!$AS:$AS,"&lt;2011",
'20102013 STH Efficacy'!$BP:$BP,""),
"")</f>
        <v/>
      </c>
      <c r="AW117" s="132">
        <f t="shared" si="16"/>
        <v>0.3538333333</v>
      </c>
      <c r="AX117" s="131" t="str">
        <f>IFERROR(AVERAGEIFS(
'20102013 STH Efficacy'!$AX:$AX, 
'20102013 STH Efficacy'!$AL:$AL, $A117, 
'20102013 STH Efficacy'!$AM:$AM, "Mebendazole",
'20102013 STH Efficacy'!$AS:$AS,"&lt;2011",
'20102013 STH Efficacy'!$BP:$BP,""),
"")</f>
        <v/>
      </c>
      <c r="AY117" s="132">
        <f t="shared" si="17"/>
        <v>0.5918333333</v>
      </c>
      <c r="AZ117" s="131" t="str">
        <f>IFERROR(AVERAGEIFS(
'20102013 STH Efficacy'!$AX:$AX, 
'20102013 STH Efficacy'!$AL:$AL, $A117, 
'20102013 STH Efficacy'!$AM:$AM, "Albendazole &amp; Ivermectin",
'20102013 STH Efficacy'!$AS:$AS,"&lt;2011",
'20102013 STH Efficacy'!$BP:$BP,""),
"")</f>
        <v/>
      </c>
      <c r="BA117" s="133">
        <f t="shared" si="18"/>
        <v>0.706</v>
      </c>
      <c r="BB117" s="134" t="str">
        <f>IFERROR(AVERAGEIFS(
'20102013 STH Efficacy'!$N:$N, 
'20102013 STH Efficacy'!$B:$B, $A117, 
'20102013 STH Efficacy'!$C:$C, "Albendazole",
'20102013 STH Efficacy'!$I:$I,"&lt;2011",
'20102013 STH Efficacy'!$AH:$AH,""),
"")</f>
        <v/>
      </c>
      <c r="BC117" s="135">
        <f t="shared" si="19"/>
        <v>0.9116666667</v>
      </c>
      <c r="BD117" s="134" t="str">
        <f>IFERROR(AVERAGEIFS(
'20102013 STH Efficacy'!$N:$N, 
'20102013 STH Efficacy'!$B:$B, $A117, 
'20102013 STH Efficacy'!$C:$C, "Mebendazole",
'20102013 STH Efficacy'!$I:$I,"&lt;2011",
'20102013 STH Efficacy'!$AH:$AH,""),
"")</f>
        <v/>
      </c>
      <c r="BE117" s="135">
        <f t="shared" si="20"/>
        <v>0.7092416667</v>
      </c>
      <c r="BF117" s="128" t="str">
        <f>IFERROR(AVERAGEIFS(
'20102013 STH Efficacy'!$CD:$CD, 
'20102013 STH Efficacy'!$BS:$BS, $A117, 
'20102013 STH Efficacy'!$BT:$BT, "Albendazole",
'20102013 STH Efficacy'!$BZ:$BZ,"&lt;2011",
'20102013 STH Efficacy'!$CU:$CU,""),
"")</f>
        <v/>
      </c>
      <c r="BG117" s="136">
        <f t="shared" si="21"/>
        <v>0.8656666667</v>
      </c>
      <c r="BH117" s="128" t="str">
        <f>IFERROR(AVERAGEIFS(
'20102013 STH Efficacy'!$CD:$CD, 
'20102013 STH Efficacy'!$BS:$BS, $A117, 
'20102013 STH Efficacy'!$BT:$BT, "Mebendazole",
'20102013 STH Efficacy'!$BZ:$BZ,"&lt;2011",
'20102013 STH Efficacy'!$CU:$CU,""),
"")</f>
        <v/>
      </c>
      <c r="BI117" s="136">
        <f t="shared" si="22"/>
        <v>0.9203333333</v>
      </c>
      <c r="BJ117" s="128" t="str">
        <f>IFERROR(AVERAGEIFS(
'20102013 STH Efficacy'!$CD:$CD, 
'20102013 STH Efficacy'!$BS:$BS, $A117, 
'20102013 STH Efficacy'!$BT:$BT, "Albendazole &amp; Ivermectin",
'20102013 STH Efficacy'!$BZ:$BZ,"&lt;2011",
'20102013 STH Efficacy'!$CU:$CU,""),
"")</f>
        <v/>
      </c>
      <c r="BK117" s="136">
        <f t="shared" si="23"/>
        <v>1</v>
      </c>
      <c r="BL117" s="137"/>
      <c r="BM117" s="137"/>
      <c r="BN117" s="138">
        <v>1.0</v>
      </c>
      <c r="BO117" s="139">
        <v>1.0</v>
      </c>
      <c r="BP117" s="140">
        <v>1.0</v>
      </c>
      <c r="BQ117" s="141">
        <f t="shared" si="24"/>
        <v>1</v>
      </c>
      <c r="BR117" s="104" t="str">
        <f t="shared" si="25"/>
        <v>1111</v>
      </c>
      <c r="BS117" s="104" t="str">
        <f t="shared" si="26"/>
        <v>MDA1+T2</v>
      </c>
      <c r="BT117" s="142" t="str">
        <f t="shared" si="27"/>
        <v>IVM+ALB</v>
      </c>
      <c r="BU117" s="104" t="str">
        <f t="shared" si="28"/>
        <v>PZQ</v>
      </c>
      <c r="BV117" s="104" t="str">
        <f t="shared" si="29"/>
        <v>lf+onch+schist+sth</v>
      </c>
      <c r="BW117" s="150" t="str">
        <f t="shared" si="30"/>
        <v/>
      </c>
      <c r="BX117" s="150">
        <f t="shared" si="31"/>
        <v>2949.607689</v>
      </c>
      <c r="BY117" s="162">
        <f t="shared" si="32"/>
        <v>7573.483818</v>
      </c>
      <c r="BZ117" s="152">
        <f t="shared" si="33"/>
        <v>943.868714</v>
      </c>
      <c r="CA117" s="152" t="str">
        <f t="shared" si="34"/>
        <v/>
      </c>
      <c r="CB117" s="152">
        <f t="shared" si="35"/>
        <v>2190.98945</v>
      </c>
      <c r="CC117" s="170">
        <f t="shared" si="36"/>
        <v>1501.770364</v>
      </c>
      <c r="CD117" s="153" t="str">
        <f t="shared" si="37"/>
        <v/>
      </c>
      <c r="CE117" s="154">
        <f t="shared" si="38"/>
        <v>9740.470534</v>
      </c>
      <c r="CF117" s="154" t="str">
        <f t="shared" si="39"/>
        <v/>
      </c>
      <c r="CG117" s="154">
        <f t="shared" si="40"/>
        <v>11949.28341</v>
      </c>
    </row>
    <row r="118">
      <c r="A118" s="103" t="s">
        <v>207</v>
      </c>
      <c r="B118" s="104" t="s">
        <v>92</v>
      </c>
      <c r="C118" s="105">
        <v>1.5167095E7</v>
      </c>
      <c r="D118" s="106">
        <v>22763.32632</v>
      </c>
      <c r="E118" s="107">
        <v>33590.25556</v>
      </c>
      <c r="F118" s="108">
        <v>1.740156904</v>
      </c>
      <c r="G118" s="108">
        <v>7.611882836</v>
      </c>
      <c r="H118" s="108">
        <v>9.35203974</v>
      </c>
      <c r="I118" s="109">
        <v>325.566479</v>
      </c>
      <c r="J118" s="109">
        <v>770.014731</v>
      </c>
      <c r="K118" s="109">
        <v>1095.58121</v>
      </c>
      <c r="L118" s="112">
        <v>2757.525496</v>
      </c>
      <c r="M118" s="112">
        <v>303.165997</v>
      </c>
      <c r="N118" s="158">
        <v>3060.691493</v>
      </c>
      <c r="O118" s="159"/>
      <c r="P118" s="160">
        <v>1.3065294E7</v>
      </c>
      <c r="Q118" s="160">
        <v>1.0797082E7</v>
      </c>
      <c r="R118" s="115">
        <f t="shared" si="8"/>
        <v>0.8263941095</v>
      </c>
      <c r="S118" s="116">
        <f t="shared" si="9"/>
        <v>0.8263941095</v>
      </c>
      <c r="T118" s="130"/>
      <c r="U118" s="118">
        <f t="shared" si="41"/>
        <v>0.252</v>
      </c>
      <c r="V118" s="119">
        <v>0.9533</v>
      </c>
      <c r="W118" s="120">
        <f t="shared" si="10"/>
        <v>0.9533</v>
      </c>
      <c r="X118" s="119">
        <v>0.8298</v>
      </c>
      <c r="Y118" s="120">
        <f t="shared" si="11"/>
        <v>0.8298</v>
      </c>
      <c r="Z118" s="121"/>
      <c r="AA118" s="121"/>
      <c r="AB118" s="121"/>
      <c r="AC118" s="121"/>
      <c r="AD118" s="122">
        <v>0.0391</v>
      </c>
      <c r="AE118" s="123">
        <v>0.22</v>
      </c>
      <c r="AF118" s="123">
        <v>0.0889</v>
      </c>
      <c r="AG118" s="167">
        <v>0.0</v>
      </c>
      <c r="AH118" s="124">
        <v>0.058979027</v>
      </c>
      <c r="AI118" s="168">
        <v>0.0</v>
      </c>
      <c r="AJ118" s="125">
        <v>0.058660803</v>
      </c>
      <c r="AK118" s="127">
        <v>0.03</v>
      </c>
      <c r="AL118" s="127">
        <v>0.053448987</v>
      </c>
      <c r="AM118" s="128"/>
      <c r="AN118" s="149" t="str">
        <f>IFERROR(
  AVERAGEIFS(
    'New 20102013 LF Efficacy'!$J:$J,
    'New 20102013 LF Efficacy'!$D:$D, $A118,
    'New 20102013 LF Efficacy'!$F:$F,"DEC", 
    'New 20102013 LF Efficacy'!$W:$W,"&lt;2011",
    'New 20102013 LF Efficacy'!$AA:$AA,""),
  ""
)</f>
        <v/>
      </c>
      <c r="AO118" s="115">
        <f t="shared" si="12"/>
        <v>0.31225</v>
      </c>
      <c r="AP118" s="121" t="str">
        <f>IFERROR(
AVERAGEIFS(
'New 20102013 LF Efficacy'!$J:$J,
'New 20102013 LF Efficacy'!$D:$D,$A118,
'New 20102013 LF Efficacy'!$F:$F,"Albendazole &amp; DEC",
'New 20102013 LF Efficacy'!$W:$W,"&lt;2011",
'New 20102013 LF Efficacy'!$AA:$AA,""),
"")
</f>
        <v/>
      </c>
      <c r="AQ118" s="115">
        <f t="shared" si="13"/>
        <v>0.4</v>
      </c>
      <c r="AR118" s="121" t="str">
        <f>IFERROR(
AVERAGEIFS(
'New 20102013 LF Efficacy'!$J:$J,
'New 20102013 LF Efficacy'!$D:$D,$A118,
'New 20102013 LF Efficacy'!$F:$F,"Albendazole &amp; Ivermectin", 
'New 20102013 LF Efficacy'!$W:$W,"&lt;2011",
'New 20102013 LF Efficacy'!$AA:$AA,""),"")</f>
        <v/>
      </c>
      <c r="AS118" s="115">
        <f t="shared" si="14"/>
        <v>0.2943125</v>
      </c>
      <c r="AT118" s="130">
        <f>IFERROR(AVERAGEIFS(
'20102013 Schist Efficacy'!$O:$O, 
'20102013 Schist Efficacy'!$C:$C,$A118, 
'20102013 Schist Efficacy'!$D:$D, "Praziquantel",
'20102013 Schist Efficacy'!$J:$J,"&lt;2011",
'20102013 Schist Efficacy'!$U:$U,""),
"")</f>
        <v>0.2825</v>
      </c>
      <c r="AU118" s="118">
        <f t="shared" si="15"/>
        <v>0.2825</v>
      </c>
      <c r="AV118" s="131" t="str">
        <f>IFERROR(AVERAGEIFS(
'20102013 STH Efficacy'!$AX:$AX, 
'20102013 STH Efficacy'!$AL:$AL, $A118, 
'20102013 STH Efficacy'!$AM:$AM, "Albendazole",
'20102013 STH Efficacy'!$AS:$AS,"&lt;2011",
'20102013 STH Efficacy'!$BP:$BP,""),
"")</f>
        <v/>
      </c>
      <c r="AW118" s="132">
        <f t="shared" si="16"/>
        <v>0.3538333333</v>
      </c>
      <c r="AX118" s="131" t="str">
        <f>IFERROR(AVERAGEIFS(
'20102013 STH Efficacy'!$AX:$AX, 
'20102013 STH Efficacy'!$AL:$AL, $A118, 
'20102013 STH Efficacy'!$AM:$AM, "Mebendazole",
'20102013 STH Efficacy'!$AS:$AS,"&lt;2011",
'20102013 STH Efficacy'!$BP:$BP,""),
"")</f>
        <v/>
      </c>
      <c r="AY118" s="132">
        <f t="shared" si="17"/>
        <v>0.5918333333</v>
      </c>
      <c r="AZ118" s="131" t="str">
        <f>IFERROR(AVERAGEIFS(
'20102013 STH Efficacy'!$AX:$AX, 
'20102013 STH Efficacy'!$AL:$AL, $A118, 
'20102013 STH Efficacy'!$AM:$AM, "Albendazole &amp; Ivermectin",
'20102013 STH Efficacy'!$AS:$AS,"&lt;2011",
'20102013 STH Efficacy'!$BP:$BP,""),
"")</f>
        <v/>
      </c>
      <c r="BA118" s="133">
        <f t="shared" si="18"/>
        <v>0.706</v>
      </c>
      <c r="BB118" s="134">
        <f>IFERROR(AVERAGEIFS(
'20102013 STH Efficacy'!$N:$N, 
'20102013 STH Efficacy'!$B:$B, $A118, 
'20102013 STH Efficacy'!$C:$C, "Albendazole",
'20102013 STH Efficacy'!$I:$I,"&lt;2011",
'20102013 STH Efficacy'!$AH:$AH,""),
"")</f>
        <v>0.923</v>
      </c>
      <c r="BC118" s="135">
        <f t="shared" si="19"/>
        <v>0.923</v>
      </c>
      <c r="BD118" s="134">
        <f>IFERROR(AVERAGEIFS(
'20102013 STH Efficacy'!$N:$N, 
'20102013 STH Efficacy'!$B:$B, $A118, 
'20102013 STH Efficacy'!$C:$C, "Mebendazole",
'20102013 STH Efficacy'!$I:$I,"&lt;2011",
'20102013 STH Efficacy'!$AH:$AH,""),
"")</f>
        <v>0.982</v>
      </c>
      <c r="BE118" s="135">
        <f t="shared" si="20"/>
        <v>0.982</v>
      </c>
      <c r="BF118" s="128" t="str">
        <f>IFERROR(AVERAGEIFS(
'20102013 STH Efficacy'!$CD:$CD, 
'20102013 STH Efficacy'!$BS:$BS, $A118, 
'20102013 STH Efficacy'!$BT:$BT, "Albendazole",
'20102013 STH Efficacy'!$BZ:$BZ,"&lt;2011",
'20102013 STH Efficacy'!$CU:$CU,""),
"")</f>
        <v/>
      </c>
      <c r="BG118" s="136">
        <f t="shared" si="21"/>
        <v>0.8656666667</v>
      </c>
      <c r="BH118" s="128" t="str">
        <f>IFERROR(AVERAGEIFS(
'20102013 STH Efficacy'!$CD:$CD, 
'20102013 STH Efficacy'!$BS:$BS, $A118, 
'20102013 STH Efficacy'!$BT:$BT, "Mebendazole",
'20102013 STH Efficacy'!$BZ:$BZ,"&lt;2011",
'20102013 STH Efficacy'!$CU:$CU,""),
"")</f>
        <v/>
      </c>
      <c r="BI118" s="136">
        <f t="shared" si="22"/>
        <v>0.9203333333</v>
      </c>
      <c r="BJ118" s="128" t="str">
        <f>IFERROR(AVERAGEIFS(
'20102013 STH Efficacy'!$CD:$CD, 
'20102013 STH Efficacy'!$BS:$BS, $A118, 
'20102013 STH Efficacy'!$BT:$BT, "Albendazole &amp; Ivermectin",
'20102013 STH Efficacy'!$BZ:$BZ,"&lt;2011",
'20102013 STH Efficacy'!$CU:$CU,""),
"")</f>
        <v/>
      </c>
      <c r="BK118" s="136">
        <f t="shared" si="23"/>
        <v>1</v>
      </c>
      <c r="BL118" s="137"/>
      <c r="BM118" s="137"/>
      <c r="BN118" s="138">
        <v>1.0</v>
      </c>
      <c r="BO118" s="139">
        <v>1.0</v>
      </c>
      <c r="BP118" s="140">
        <v>1.0</v>
      </c>
      <c r="BQ118" s="141">
        <f t="shared" si="24"/>
        <v>0</v>
      </c>
      <c r="BR118" s="104" t="str">
        <f t="shared" si="25"/>
        <v>1110</v>
      </c>
      <c r="BS118" s="104" t="str">
        <f t="shared" si="26"/>
        <v>MDA1+T2</v>
      </c>
      <c r="BT118" s="142" t="str">
        <f t="shared" si="27"/>
        <v>IVM+ALB</v>
      </c>
      <c r="BU118" s="104" t="str">
        <f t="shared" si="28"/>
        <v>PZQ</v>
      </c>
      <c r="BV118" s="104" t="str">
        <f t="shared" si="29"/>
        <v>lf+onch+schist </v>
      </c>
      <c r="BW118" s="150" t="str">
        <f t="shared" si="30"/>
        <v/>
      </c>
      <c r="BX118" s="150">
        <f t="shared" si="31"/>
        <v>7315.784731</v>
      </c>
      <c r="BY118" s="162">
        <f t="shared" si="32"/>
        <v>2574.574233</v>
      </c>
      <c r="BZ118" s="152" t="str">
        <f t="shared" si="33"/>
        <v/>
      </c>
      <c r="CA118" s="152" t="str">
        <f t="shared" si="34"/>
        <v/>
      </c>
      <c r="CB118" s="152" t="str">
        <f t="shared" si="35"/>
        <v/>
      </c>
      <c r="CC118" s="153" t="str">
        <f t="shared" si="36"/>
        <v/>
      </c>
      <c r="CD118" s="153" t="str">
        <f t="shared" si="37"/>
        <v/>
      </c>
      <c r="CE118" s="154" t="str">
        <f t="shared" si="38"/>
        <v/>
      </c>
      <c r="CF118" s="154" t="str">
        <f t="shared" si="39"/>
        <v/>
      </c>
      <c r="CG118" s="154" t="str">
        <f t="shared" si="40"/>
        <v/>
      </c>
    </row>
    <row r="119">
      <c r="A119" s="103" t="s">
        <v>208</v>
      </c>
      <c r="B119" s="104" t="s">
        <v>94</v>
      </c>
      <c r="C119" s="105">
        <v>2.8112289E7</v>
      </c>
      <c r="D119" s="106">
        <v>113.7382957</v>
      </c>
      <c r="E119" s="107">
        <v>0.0</v>
      </c>
      <c r="F119" s="157">
        <v>175.3867803</v>
      </c>
      <c r="G119" s="157">
        <v>592.605403</v>
      </c>
      <c r="H119" s="157">
        <v>767.9921833</v>
      </c>
      <c r="I119" s="110">
        <v>1424.96585</v>
      </c>
      <c r="J119" s="110">
        <v>3964.48848</v>
      </c>
      <c r="K119" s="110">
        <v>5389.454326</v>
      </c>
      <c r="L119" s="111">
        <v>1634.061868</v>
      </c>
      <c r="M119" s="111">
        <v>5399.413652</v>
      </c>
      <c r="N119" s="158">
        <v>7033.47552</v>
      </c>
      <c r="O119" s="159"/>
      <c r="P119" s="160">
        <v>589140.0</v>
      </c>
      <c r="Q119" s="156"/>
      <c r="R119" s="115">
        <f t="shared" si="8"/>
        <v>0</v>
      </c>
      <c r="S119" s="116">
        <f t="shared" si="9"/>
        <v>0.1955251818</v>
      </c>
      <c r="T119" s="117"/>
      <c r="U119" s="118">
        <f t="shared" si="41"/>
        <v>0.6259666667</v>
      </c>
      <c r="V119" s="148"/>
      <c r="W119" s="120">
        <f t="shared" si="10"/>
        <v>0.55175</v>
      </c>
      <c r="X119" s="148"/>
      <c r="Y119" s="120">
        <f t="shared" si="11"/>
        <v>0.4826142857</v>
      </c>
      <c r="Z119" s="114"/>
      <c r="AA119" s="114"/>
      <c r="AB119" s="114"/>
      <c r="AC119" s="114"/>
      <c r="AD119" s="164">
        <v>0.0</v>
      </c>
      <c r="AE119" s="123">
        <v>0.0</v>
      </c>
      <c r="AF119" s="123">
        <v>0.0</v>
      </c>
      <c r="AG119" s="124">
        <v>0.1414</v>
      </c>
      <c r="AH119" s="124">
        <v>0.149673308</v>
      </c>
      <c r="AI119" s="125">
        <v>0.13</v>
      </c>
      <c r="AJ119" s="125">
        <v>0.205794082</v>
      </c>
      <c r="AK119" s="126">
        <v>0.0</v>
      </c>
      <c r="AL119" s="169">
        <v>0.430455018</v>
      </c>
      <c r="AM119" s="128"/>
      <c r="AN119" s="149" t="str">
        <f>IFERROR(
  AVERAGEIFS(
    'New 20102013 LF Efficacy'!$J:$J,
    'New 20102013 LF Efficacy'!$D:$D, $A119,
    'New 20102013 LF Efficacy'!$F:$F,"DEC", 
    'New 20102013 LF Efficacy'!$W:$W,"&lt;2011",
    'New 20102013 LF Efficacy'!$AA:$AA,""),
  ""
)</f>
        <v/>
      </c>
      <c r="AO119" s="115">
        <f t="shared" si="12"/>
        <v>0.38</v>
      </c>
      <c r="AP119" s="121" t="str">
        <f>IFERROR(
AVERAGEIFS(
'New 20102013 LF Efficacy'!$J:$J,
'New 20102013 LF Efficacy'!$D:$D,$A119,
'New 20102013 LF Efficacy'!$F:$F,"Albendazole &amp; DEC",
'New 20102013 LF Efficacy'!$W:$W,"&lt;2011",
'New 20102013 LF Efficacy'!$AA:$AA,""),
"")
</f>
        <v/>
      </c>
      <c r="AQ119" s="115">
        <f t="shared" si="13"/>
        <v>0.657</v>
      </c>
      <c r="AR119" s="121" t="str">
        <f>IFERROR(
AVERAGEIFS(
'New 20102013 LF Efficacy'!$J:$J,
'New 20102013 LF Efficacy'!$D:$D,$A119,
'New 20102013 LF Efficacy'!$F:$F,"Albendazole &amp; Ivermectin", 
'New 20102013 LF Efficacy'!$W:$W,"&lt;2011",
'New 20102013 LF Efficacy'!$AA:$AA,""),"")</f>
        <v/>
      </c>
      <c r="AS119" s="115">
        <f t="shared" si="14"/>
        <v>0.37153125</v>
      </c>
      <c r="AT119" s="130" t="str">
        <f>IFERROR(AVERAGEIFS(
'20102013 Schist Efficacy'!$O:$O, 
'20102013 Schist Efficacy'!$C:$C,$A119, 
'20102013 Schist Efficacy'!$D:$D, "Praziquantel",
'20102013 Schist Efficacy'!$J:$J,"&lt;2011",
'20102013 Schist Efficacy'!$U:$U,""),
"")</f>
        <v/>
      </c>
      <c r="AU119" s="118">
        <f t="shared" si="15"/>
        <v>0.95</v>
      </c>
      <c r="AV119" s="131" t="str">
        <f>IFERROR(AVERAGEIFS(
'20102013 STH Efficacy'!$AX:$AX, 
'20102013 STH Efficacy'!$AL:$AL, $A119, 
'20102013 STH Efficacy'!$AM:$AM, "Albendazole",
'20102013 STH Efficacy'!$AS:$AS,"&lt;2011",
'20102013 STH Efficacy'!$BP:$BP,""),
"")</f>
        <v/>
      </c>
      <c r="AW119" s="132">
        <f t="shared" si="16"/>
        <v>0.3571666667</v>
      </c>
      <c r="AX119" s="131" t="str">
        <f>IFERROR(AVERAGEIFS(
'20102013 STH Efficacy'!$AX:$AX, 
'20102013 STH Efficacy'!$AL:$AL, $A119, 
'20102013 STH Efficacy'!$AM:$AM, "Mebendazole",
'20102013 STH Efficacy'!$AS:$AS,"&lt;2011",
'20102013 STH Efficacy'!$BP:$BP,""),
"")</f>
        <v/>
      </c>
      <c r="AY119" s="132">
        <f t="shared" si="17"/>
        <v>0.4155</v>
      </c>
      <c r="AZ119" s="131" t="str">
        <f>IFERROR(AVERAGEIFS(
'20102013 STH Efficacy'!$AX:$AX, 
'20102013 STH Efficacy'!$AL:$AL, $A119, 
'20102013 STH Efficacy'!$AM:$AM, "Albendazole &amp; Ivermectin",
'20102013 STH Efficacy'!$AS:$AS,"&lt;2011",
'20102013 STH Efficacy'!$BP:$BP,""),
"")</f>
        <v/>
      </c>
      <c r="BA119" s="133">
        <f t="shared" si="18"/>
        <v>0.651</v>
      </c>
      <c r="BB119" s="134" t="str">
        <f>IFERROR(AVERAGEIFS(
'20102013 STH Efficacy'!$N:$N, 
'20102013 STH Efficacy'!$B:$B, $A119, 
'20102013 STH Efficacy'!$C:$C, "Albendazole",
'20102013 STH Efficacy'!$I:$I,"&lt;2011",
'20102013 STH Efficacy'!$AH:$AH,""),
"")</f>
        <v/>
      </c>
      <c r="BC119" s="135">
        <f t="shared" si="19"/>
        <v>0.5769166667</v>
      </c>
      <c r="BD119" s="134" t="str">
        <f>IFERROR(AVERAGEIFS(
'20102013 STH Efficacy'!$N:$N, 
'20102013 STH Efficacy'!$B:$B, $A119, 
'20102013 STH Efficacy'!$C:$C, "Mebendazole",
'20102013 STH Efficacy'!$I:$I,"&lt;2011",
'20102013 STH Efficacy'!$AH:$AH,""),
"")</f>
        <v/>
      </c>
      <c r="BE119" s="135">
        <f t="shared" si="20"/>
        <v>0.3145</v>
      </c>
      <c r="BF119" s="128">
        <f>IFERROR(AVERAGEIFS(
'20102013 STH Efficacy'!$CD:$CD, 
'20102013 STH Efficacy'!$BS:$BS, $A119, 
'20102013 STH Efficacy'!$BT:$BT, "Albendazole",
'20102013 STH Efficacy'!$BZ:$BZ,"&lt;2011",
'20102013 STH Efficacy'!$CU:$CU,""),
"")</f>
        <v>0.974</v>
      </c>
      <c r="BG119" s="136">
        <f t="shared" si="21"/>
        <v>0.974</v>
      </c>
      <c r="BH119" s="128" t="str">
        <f>IFERROR(AVERAGEIFS(
'20102013 STH Efficacy'!$CD:$CD, 
'20102013 STH Efficacy'!$BS:$BS, $A119, 
'20102013 STH Efficacy'!$BT:$BT, "Mebendazole",
'20102013 STH Efficacy'!$BZ:$BZ,"&lt;2011",
'20102013 STH Efficacy'!$CU:$CU,""),
"")</f>
        <v/>
      </c>
      <c r="BI119" s="136">
        <f t="shared" si="22"/>
        <v>0.9305</v>
      </c>
      <c r="BJ119" s="128" t="str">
        <f>IFERROR(AVERAGEIFS(
'20102013 STH Efficacy'!$CD:$CD, 
'20102013 STH Efficacy'!$BS:$BS, $A119, 
'20102013 STH Efficacy'!$BT:$BT, "Albendazole &amp; Ivermectin",
'20102013 STH Efficacy'!$BZ:$BZ,"&lt;2011",
'20102013 STH Efficacy'!$CU:$CU,""),
"")</f>
        <v/>
      </c>
      <c r="BK119" s="136">
        <f t="shared" si="23"/>
        <v>1</v>
      </c>
      <c r="BL119" s="137"/>
      <c r="BM119" s="137"/>
      <c r="BN119" s="138">
        <v>1.0</v>
      </c>
      <c r="BO119" s="139">
        <v>0.0</v>
      </c>
      <c r="BP119" s="140">
        <v>0.0</v>
      </c>
      <c r="BQ119" s="141">
        <f t="shared" si="24"/>
        <v>1</v>
      </c>
      <c r="BR119" s="104" t="str">
        <f t="shared" si="25"/>
        <v>1001</v>
      </c>
      <c r="BS119" s="104" t="str">
        <f t="shared" si="26"/>
        <v>MDA1/2</v>
      </c>
      <c r="BT119" s="142" t="str">
        <f t="shared" si="27"/>
        <v>DEC+ALB</v>
      </c>
      <c r="BU119" s="104" t="str">
        <f t="shared" si="28"/>
        <v/>
      </c>
      <c r="BV119" s="104" t="str">
        <f t="shared" si="29"/>
        <v>lf+sth</v>
      </c>
      <c r="BW119" s="150">
        <f t="shared" si="30"/>
        <v>16.76437945</v>
      </c>
      <c r="BX119" s="150" t="str">
        <f t="shared" si="31"/>
        <v/>
      </c>
      <c r="BY119" s="151" t="str">
        <f t="shared" si="32"/>
        <v/>
      </c>
      <c r="BZ119" s="152">
        <f t="shared" si="33"/>
        <v>166.4705882</v>
      </c>
      <c r="CA119" s="152" t="str">
        <f t="shared" si="34"/>
        <v/>
      </c>
      <c r="CB119" s="152" t="str">
        <f t="shared" si="35"/>
        <v/>
      </c>
      <c r="CC119" s="170">
        <f t="shared" si="36"/>
        <v>2195.14009</v>
      </c>
      <c r="CD119" s="153" t="str">
        <f t="shared" si="37"/>
        <v/>
      </c>
      <c r="CE119" s="154">
        <f t="shared" si="38"/>
        <v>6687.749604</v>
      </c>
      <c r="CF119" s="154" t="str">
        <f t="shared" si="39"/>
        <v/>
      </c>
      <c r="CG119" s="154" t="str">
        <f t="shared" si="40"/>
        <v/>
      </c>
    </row>
    <row r="120">
      <c r="A120" s="155" t="s">
        <v>209</v>
      </c>
      <c r="B120" s="104" t="s">
        <v>109</v>
      </c>
      <c r="C120" s="105">
        <v>367000.0</v>
      </c>
      <c r="D120" s="106">
        <v>0.0</v>
      </c>
      <c r="E120" s="107">
        <v>0.0</v>
      </c>
      <c r="F120" s="108">
        <v>0.0</v>
      </c>
      <c r="G120" s="108">
        <v>0.0</v>
      </c>
      <c r="H120" s="108">
        <v>0.0</v>
      </c>
      <c r="I120" s="109">
        <v>0.00147885</v>
      </c>
      <c r="J120" s="109">
        <v>0.00204691</v>
      </c>
      <c r="K120" s="109">
        <v>0.003525756</v>
      </c>
      <c r="L120" s="112">
        <v>0.077150388</v>
      </c>
      <c r="M120" s="112">
        <v>0.028184115</v>
      </c>
      <c r="N120" s="112">
        <v>0.105334503</v>
      </c>
      <c r="O120" s="113"/>
      <c r="P120" s="156"/>
      <c r="Q120" s="156"/>
      <c r="R120" s="115" t="str">
        <f t="shared" si="8"/>
        <v/>
      </c>
      <c r="S120" s="116">
        <f t="shared" si="9"/>
        <v>0.3842933666</v>
      </c>
      <c r="T120" s="118">
        <v>0.704</v>
      </c>
      <c r="U120" s="118">
        <f t="shared" si="41"/>
        <v>0.704</v>
      </c>
      <c r="V120" s="148"/>
      <c r="W120" s="120">
        <f t="shared" si="10"/>
        <v>0.32505</v>
      </c>
      <c r="X120" s="148"/>
      <c r="Y120" s="120">
        <f t="shared" si="11"/>
        <v>0.3778666667</v>
      </c>
      <c r="Z120" s="121"/>
      <c r="AA120" s="121"/>
      <c r="AB120" s="121"/>
      <c r="AC120" s="121"/>
      <c r="AD120" s="122">
        <v>0.0</v>
      </c>
      <c r="AE120" s="123">
        <v>0.0</v>
      </c>
      <c r="AF120" s="123">
        <v>0.0</v>
      </c>
      <c r="AG120" s="124">
        <v>0.0</v>
      </c>
      <c r="AH120" s="124">
        <v>1.12116E-5</v>
      </c>
      <c r="AI120" s="125">
        <v>0.0</v>
      </c>
      <c r="AJ120" s="125">
        <v>1.12E-5</v>
      </c>
      <c r="AK120" s="127">
        <v>0.0</v>
      </c>
      <c r="AL120" s="169">
        <v>1.11018E-5</v>
      </c>
      <c r="AM120" s="128"/>
      <c r="AN120" s="149" t="str">
        <f>IFERROR(
  AVERAGEIFS(
    'New 20102013 LF Efficacy'!$J:$J,
    'New 20102013 LF Efficacy'!$D:$D, $A120,
    'New 20102013 LF Efficacy'!$F:$F,"DEC", 
    'New 20102013 LF Efficacy'!$W:$W,"&lt;2011",
    'New 20102013 LF Efficacy'!$AA:$AA,""),
  ""
)</f>
        <v/>
      </c>
      <c r="AO120" s="115">
        <f t="shared" si="12"/>
        <v>0.478175</v>
      </c>
      <c r="AP120" s="121" t="str">
        <f>IFERROR(
AVERAGEIFS(
'New 20102013 LF Efficacy'!$J:$J,
'New 20102013 LF Efficacy'!$D:$D,$A120,
'New 20102013 LF Efficacy'!$F:$F,"Albendazole &amp; DEC",
'New 20102013 LF Efficacy'!$W:$W,"&lt;2011",
'New 20102013 LF Efficacy'!$AA:$AA,""),
"")
</f>
        <v/>
      </c>
      <c r="AQ120" s="115">
        <f t="shared" si="13"/>
        <v>0.5831666667</v>
      </c>
      <c r="AR120" s="121" t="str">
        <f>IFERROR(
AVERAGEIFS(
'New 20102013 LF Efficacy'!$J:$J,
'New 20102013 LF Efficacy'!$D:$D,$A120,
'New 20102013 LF Efficacy'!$F:$F,"Albendazole &amp; Ivermectin", 
'New 20102013 LF Efficacy'!$W:$W,"&lt;2011",
'New 20102013 LF Efficacy'!$AA:$AA,""),"")</f>
        <v/>
      </c>
      <c r="AS120" s="115">
        <f t="shared" si="14"/>
        <v>0.14</v>
      </c>
      <c r="AT120" s="130" t="str">
        <f>IFERROR(AVERAGEIFS(
'20102013 Schist Efficacy'!$O:$O, 
'20102013 Schist Efficacy'!$C:$C,$A120, 
'20102013 Schist Efficacy'!$D:$D, "Praziquantel",
'20102013 Schist Efficacy'!$J:$J,"&lt;2011",
'20102013 Schist Efficacy'!$U:$U,""),
"")</f>
        <v/>
      </c>
      <c r="AU120" s="118">
        <f t="shared" si="15"/>
        <v>0.6869715828</v>
      </c>
      <c r="AV120" s="131" t="str">
        <f>IFERROR(AVERAGEIFS(
'20102013 STH Efficacy'!$AX:$AX, 
'20102013 STH Efficacy'!$AL:$AL, $A120, 
'20102013 STH Efficacy'!$AM:$AM, "Albendazole",
'20102013 STH Efficacy'!$AS:$AS,"&lt;2011",
'20102013 STH Efficacy'!$BP:$BP,""),
"")</f>
        <v/>
      </c>
      <c r="AW120" s="132">
        <f t="shared" si="16"/>
        <v>0.4756666667</v>
      </c>
      <c r="AX120" s="131" t="str">
        <f>IFERROR(AVERAGEIFS(
'20102013 STH Efficacy'!$AX:$AX, 
'20102013 STH Efficacy'!$AL:$AL, $A120, 
'20102013 STH Efficacy'!$AM:$AM, "Mebendazole",
'20102013 STH Efficacy'!$AS:$AS,"&lt;2011",
'20102013 STH Efficacy'!$BP:$BP,""),
"")</f>
        <v/>
      </c>
      <c r="AY120" s="132">
        <f t="shared" si="17"/>
        <v>0.3786666667</v>
      </c>
      <c r="AZ120" s="131" t="str">
        <f>IFERROR(AVERAGEIFS(
'20102013 STH Efficacy'!$AX:$AX, 
'20102013 STH Efficacy'!$AL:$AL, $A120, 
'20102013 STH Efficacy'!$AM:$AM, "Albendazole &amp; Ivermectin",
'20102013 STH Efficacy'!$AS:$AS,"&lt;2011",
'20102013 STH Efficacy'!$BP:$BP,""),
"")</f>
        <v/>
      </c>
      <c r="BA120" s="133">
        <f t="shared" si="18"/>
        <v>0.7176666667</v>
      </c>
      <c r="BB120" s="134" t="str">
        <f>IFERROR(AVERAGEIFS(
'20102013 STH Efficacy'!$N:$N, 
'20102013 STH Efficacy'!$B:$B, $A120, 
'20102013 STH Efficacy'!$C:$C, "Albendazole",
'20102013 STH Efficacy'!$I:$I,"&lt;2011",
'20102013 STH Efficacy'!$AH:$AH,""),
"")</f>
        <v/>
      </c>
      <c r="BC120" s="135">
        <f t="shared" si="19"/>
        <v>0.7133333333</v>
      </c>
      <c r="BD120" s="134" t="str">
        <f>IFERROR(AVERAGEIFS(
'20102013 STH Efficacy'!$N:$N, 
'20102013 STH Efficacy'!$B:$B, $A120, 
'20102013 STH Efficacy'!$C:$C, "Mebendazole",
'20102013 STH Efficacy'!$I:$I,"&lt;2011",
'20102013 STH Efficacy'!$AH:$AH,""),
"")</f>
        <v/>
      </c>
      <c r="BE120" s="135">
        <f t="shared" si="20"/>
        <v>0.22675</v>
      </c>
      <c r="BF120" s="128" t="str">
        <f>IFERROR(AVERAGEIFS(
'20102013 STH Efficacy'!$CD:$CD, 
'20102013 STH Efficacy'!$BS:$BS, $A120, 
'20102013 STH Efficacy'!$BT:$BT, "Albendazole",
'20102013 STH Efficacy'!$BZ:$BZ,"&lt;2011",
'20102013 STH Efficacy'!$CU:$CU,""),
"")</f>
        <v/>
      </c>
      <c r="BG120" s="136">
        <f t="shared" si="21"/>
        <v>1</v>
      </c>
      <c r="BH120" s="128" t="str">
        <f>IFERROR(AVERAGEIFS(
'20102013 STH Efficacy'!$CD:$CD, 
'20102013 STH Efficacy'!$BS:$BS, $A120, 
'20102013 STH Efficacy'!$BT:$BT, "Mebendazole",
'20102013 STH Efficacy'!$BZ:$BZ,"&lt;2011",
'20102013 STH Efficacy'!$CU:$CU,""),
"")</f>
        <v/>
      </c>
      <c r="BI120" s="136">
        <f t="shared" si="22"/>
        <v>1</v>
      </c>
      <c r="BJ120" s="128" t="str">
        <f>IFERROR(AVERAGEIFS(
'20102013 STH Efficacy'!$CD:$CD, 
'20102013 STH Efficacy'!$BS:$BS, $A120, 
'20102013 STH Efficacy'!$BT:$BT, "Albendazole &amp; Ivermectin",
'20102013 STH Efficacy'!$BZ:$BZ,"&lt;2011",
'20102013 STH Efficacy'!$CU:$CU,""),
"")</f>
        <v/>
      </c>
      <c r="BK120" s="136">
        <f t="shared" si="23"/>
        <v>1</v>
      </c>
      <c r="BL120" s="137"/>
      <c r="BM120" s="137"/>
      <c r="BN120" s="138">
        <v>0.0</v>
      </c>
      <c r="BO120" s="139">
        <v>0.0</v>
      </c>
      <c r="BP120" s="140">
        <v>0.0</v>
      </c>
      <c r="BQ120" s="141">
        <f t="shared" si="24"/>
        <v>0</v>
      </c>
      <c r="BR120" s="104" t="str">
        <f t="shared" si="25"/>
        <v>0000</v>
      </c>
      <c r="BS120" s="104" t="str">
        <f t="shared" si="26"/>
        <v>no action required</v>
      </c>
      <c r="BT120" s="142" t="str">
        <f t="shared" si="27"/>
        <v/>
      </c>
      <c r="BU120" s="104" t="str">
        <f t="shared" si="28"/>
        <v/>
      </c>
      <c r="BV120" s="104" t="str">
        <f t="shared" si="29"/>
        <v>none</v>
      </c>
      <c r="BW120" s="150" t="str">
        <f t="shared" si="30"/>
        <v/>
      </c>
      <c r="BX120" s="150" t="str">
        <f t="shared" si="31"/>
        <v/>
      </c>
      <c r="BY120" s="151" t="str">
        <f t="shared" si="32"/>
        <v/>
      </c>
      <c r="BZ120" s="152" t="str">
        <f t="shared" si="33"/>
        <v/>
      </c>
      <c r="CA120" s="152" t="str">
        <f t="shared" si="34"/>
        <v/>
      </c>
      <c r="CB120" s="152" t="str">
        <f t="shared" si="35"/>
        <v/>
      </c>
      <c r="CC120" s="153" t="str">
        <f t="shared" si="36"/>
        <v/>
      </c>
      <c r="CD120" s="153" t="str">
        <f t="shared" si="37"/>
        <v/>
      </c>
      <c r="CE120" s="154" t="str">
        <f t="shared" si="38"/>
        <v/>
      </c>
      <c r="CF120" s="154" t="str">
        <f t="shared" si="39"/>
        <v/>
      </c>
      <c r="CG120" s="154" t="str">
        <f t="shared" si="40"/>
        <v/>
      </c>
    </row>
    <row r="121">
      <c r="A121" s="103" t="s">
        <v>210</v>
      </c>
      <c r="B121" s="104" t="s">
        <v>92</v>
      </c>
      <c r="C121" s="105">
        <v>1.5075085E7</v>
      </c>
      <c r="D121" s="106">
        <v>37387.62847</v>
      </c>
      <c r="E121" s="107">
        <v>34798.01162</v>
      </c>
      <c r="F121" s="108">
        <v>0.019298712</v>
      </c>
      <c r="G121" s="108">
        <v>0.096301271</v>
      </c>
      <c r="H121" s="157">
        <v>0.115599984</v>
      </c>
      <c r="I121" s="110">
        <v>614.596018</v>
      </c>
      <c r="J121" s="110">
        <v>1762.29126</v>
      </c>
      <c r="K121" s="109">
        <v>2376.887278</v>
      </c>
      <c r="L121" s="112">
        <v>2857.305546</v>
      </c>
      <c r="M121" s="112">
        <v>327.1752692</v>
      </c>
      <c r="N121" s="158">
        <v>3184.480815</v>
      </c>
      <c r="O121" s="159"/>
      <c r="P121" s="160">
        <v>1.5039794E7</v>
      </c>
      <c r="Q121" s="160">
        <v>1.0046835E7</v>
      </c>
      <c r="R121" s="115">
        <f t="shared" si="8"/>
        <v>0.668016796</v>
      </c>
      <c r="S121" s="116">
        <f t="shared" si="9"/>
        <v>0.668016796</v>
      </c>
      <c r="T121" s="130"/>
      <c r="U121" s="118">
        <f t="shared" si="41"/>
        <v>0.252</v>
      </c>
      <c r="V121" s="119">
        <v>0.0014</v>
      </c>
      <c r="W121" s="120">
        <f t="shared" si="10"/>
        <v>0.0014</v>
      </c>
      <c r="X121" s="119">
        <v>0.9122</v>
      </c>
      <c r="Y121" s="120">
        <f t="shared" si="11"/>
        <v>0.9122</v>
      </c>
      <c r="Z121" s="114"/>
      <c r="AA121" s="114"/>
      <c r="AB121" s="114"/>
      <c r="AC121" s="114"/>
      <c r="AD121" s="164">
        <v>0.0</v>
      </c>
      <c r="AE121" s="123">
        <v>0.22</v>
      </c>
      <c r="AF121" s="123">
        <v>0.0688</v>
      </c>
      <c r="AG121" s="167">
        <v>0.0</v>
      </c>
      <c r="AH121" s="124">
        <v>0.016647963</v>
      </c>
      <c r="AI121" s="168">
        <v>0.0</v>
      </c>
      <c r="AJ121" s="125">
        <v>0.099099083</v>
      </c>
      <c r="AK121" s="126">
        <v>0.0</v>
      </c>
      <c r="AL121" s="169">
        <v>0.006277948</v>
      </c>
      <c r="AM121" s="128"/>
      <c r="AN121" s="149" t="str">
        <f>IFERROR(
  AVERAGEIFS(
    'New 20102013 LF Efficacy'!$J:$J,
    'New 20102013 LF Efficacy'!$D:$D, $A121,
    'New 20102013 LF Efficacy'!$F:$F,"DEC", 
    'New 20102013 LF Efficacy'!$W:$W,"&lt;2011",
    'New 20102013 LF Efficacy'!$AA:$AA,""),
  ""
)</f>
        <v/>
      </c>
      <c r="AO121" s="115">
        <f t="shared" si="12"/>
        <v>0.31225</v>
      </c>
      <c r="AP121" s="121" t="str">
        <f>IFERROR(
AVERAGEIFS(
'New 20102013 LF Efficacy'!$J:$J,
'New 20102013 LF Efficacy'!$D:$D,$A121,
'New 20102013 LF Efficacy'!$F:$F,"Albendazole &amp; DEC",
'New 20102013 LF Efficacy'!$W:$W,"&lt;2011",
'New 20102013 LF Efficacy'!$AA:$AA,""),
"")
</f>
        <v/>
      </c>
      <c r="AQ121" s="115">
        <f t="shared" si="13"/>
        <v>0.4</v>
      </c>
      <c r="AR121" s="121" t="str">
        <f>IFERROR(
AVERAGEIFS(
'New 20102013 LF Efficacy'!$J:$J,
'New 20102013 LF Efficacy'!$D:$D,$A121,
'New 20102013 LF Efficacy'!$F:$F,"Albendazole &amp; Ivermectin", 
'New 20102013 LF Efficacy'!$W:$W,"&lt;2011",
'New 20102013 LF Efficacy'!$AA:$AA,""),"")</f>
        <v/>
      </c>
      <c r="AS121" s="115">
        <f t="shared" si="14"/>
        <v>0.2943125</v>
      </c>
      <c r="AT121" s="130">
        <f>IFERROR(AVERAGEIFS(
'20102013 Schist Efficacy'!$O:$O, 
'20102013 Schist Efficacy'!$C:$C,$A121, 
'20102013 Schist Efficacy'!$D:$D, "Praziquantel",
'20102013 Schist Efficacy'!$J:$J,"&lt;2011",
'20102013 Schist Efficacy'!$U:$U,""),
"")</f>
        <v>0.977</v>
      </c>
      <c r="AU121" s="118">
        <f t="shared" si="15"/>
        <v>0.977</v>
      </c>
      <c r="AV121" s="131" t="str">
        <f>IFERROR(AVERAGEIFS(
'20102013 STH Efficacy'!$AX:$AX, 
'20102013 STH Efficacy'!$AL:$AL, $A121, 
'20102013 STH Efficacy'!$AM:$AM, "Albendazole",
'20102013 STH Efficacy'!$AS:$AS,"&lt;2011",
'20102013 STH Efficacy'!$BP:$BP,""),
"")</f>
        <v/>
      </c>
      <c r="AW121" s="132">
        <f t="shared" si="16"/>
        <v>0.3538333333</v>
      </c>
      <c r="AX121" s="131" t="str">
        <f>IFERROR(AVERAGEIFS(
'20102013 STH Efficacy'!$AX:$AX, 
'20102013 STH Efficacy'!$AL:$AL, $A121, 
'20102013 STH Efficacy'!$AM:$AM, "Mebendazole",
'20102013 STH Efficacy'!$AS:$AS,"&lt;2011",
'20102013 STH Efficacy'!$BP:$BP,""),
"")</f>
        <v/>
      </c>
      <c r="AY121" s="132">
        <f t="shared" si="17"/>
        <v>0.5918333333</v>
      </c>
      <c r="AZ121" s="131" t="str">
        <f>IFERROR(AVERAGEIFS(
'20102013 STH Efficacy'!$AX:$AX, 
'20102013 STH Efficacy'!$AL:$AL, $A121, 
'20102013 STH Efficacy'!$AM:$AM, "Albendazole &amp; Ivermectin",
'20102013 STH Efficacy'!$AS:$AS,"&lt;2011",
'20102013 STH Efficacy'!$BP:$BP,""),
"")</f>
        <v/>
      </c>
      <c r="BA121" s="133">
        <f t="shared" si="18"/>
        <v>0.706</v>
      </c>
      <c r="BB121" s="134">
        <f>IFERROR(AVERAGEIFS(
'20102013 STH Efficacy'!$N:$N, 
'20102013 STH Efficacy'!$B:$B, $A121, 
'20102013 STH Efficacy'!$C:$C, "Albendazole",
'20102013 STH Efficacy'!$I:$I,"&lt;2011",
'20102013 STH Efficacy'!$AH:$AH,""),
"")</f>
        <v>0.838</v>
      </c>
      <c r="BC121" s="135">
        <f t="shared" si="19"/>
        <v>0.838</v>
      </c>
      <c r="BD121" s="134">
        <f>IFERROR(AVERAGEIFS(
'20102013 STH Efficacy'!$N:$N, 
'20102013 STH Efficacy'!$B:$B, $A121, 
'20102013 STH Efficacy'!$C:$C, "Mebendazole",
'20102013 STH Efficacy'!$I:$I,"&lt;2011",
'20102013 STH Efficacy'!$AH:$AH,""),
"")</f>
        <v>0.3715</v>
      </c>
      <c r="BE121" s="135">
        <f t="shared" si="20"/>
        <v>0.3715</v>
      </c>
      <c r="BF121" s="128" t="str">
        <f>IFERROR(AVERAGEIFS(
'20102013 STH Efficacy'!$CD:$CD, 
'20102013 STH Efficacy'!$BS:$BS, $A121, 
'20102013 STH Efficacy'!$BT:$BT, "Albendazole",
'20102013 STH Efficacy'!$BZ:$BZ,"&lt;2011",
'20102013 STH Efficacy'!$CU:$CU,""),
"")</f>
        <v/>
      </c>
      <c r="BG121" s="136">
        <f t="shared" si="21"/>
        <v>0.8656666667</v>
      </c>
      <c r="BH121" s="128" t="str">
        <f>IFERROR(AVERAGEIFS(
'20102013 STH Efficacy'!$CD:$CD, 
'20102013 STH Efficacy'!$BS:$BS, $A121, 
'20102013 STH Efficacy'!$BT:$BT, "Mebendazole",
'20102013 STH Efficacy'!$BZ:$BZ,"&lt;2011",
'20102013 STH Efficacy'!$CU:$CU,""),
"")</f>
        <v/>
      </c>
      <c r="BI121" s="136">
        <f t="shared" si="22"/>
        <v>0.9203333333</v>
      </c>
      <c r="BJ121" s="128" t="str">
        <f>IFERROR(AVERAGEIFS(
'20102013 STH Efficacy'!$CD:$CD, 
'20102013 STH Efficacy'!$BS:$BS, $A121, 
'20102013 STH Efficacy'!$BT:$BT, "Albendazole &amp; Ivermectin",
'20102013 STH Efficacy'!$BZ:$BZ,"&lt;2011",
'20102013 STH Efficacy'!$CU:$CU,""),
"")</f>
        <v/>
      </c>
      <c r="BK121" s="136">
        <f t="shared" si="23"/>
        <v>1</v>
      </c>
      <c r="BL121" s="137"/>
      <c r="BM121" s="137"/>
      <c r="BN121" s="138">
        <v>1.0</v>
      </c>
      <c r="BO121" s="139">
        <v>1.0</v>
      </c>
      <c r="BP121" s="140">
        <v>1.0</v>
      </c>
      <c r="BQ121" s="141">
        <f t="shared" si="24"/>
        <v>0</v>
      </c>
      <c r="BR121" s="104" t="str">
        <f t="shared" si="25"/>
        <v>1110</v>
      </c>
      <c r="BS121" s="104" t="str">
        <f t="shared" si="26"/>
        <v>MDA1+T2</v>
      </c>
      <c r="BT121" s="142" t="str">
        <f t="shared" si="27"/>
        <v>IVM+ALB</v>
      </c>
      <c r="BU121" s="104" t="str">
        <f t="shared" si="28"/>
        <v>PZQ</v>
      </c>
      <c r="BV121" s="104" t="str">
        <f t="shared" si="29"/>
        <v>lf+onch+schist </v>
      </c>
      <c r="BW121" s="150" t="str">
        <f t="shared" si="30"/>
        <v/>
      </c>
      <c r="BX121" s="150">
        <f t="shared" si="31"/>
        <v>9149.455695</v>
      </c>
      <c r="BY121" s="162">
        <f t="shared" si="32"/>
        <v>11365.68734</v>
      </c>
      <c r="BZ121" s="152" t="str">
        <f t="shared" si="33"/>
        <v/>
      </c>
      <c r="CA121" s="152" t="str">
        <f t="shared" si="34"/>
        <v/>
      </c>
      <c r="CB121" s="152" t="str">
        <f t="shared" si="35"/>
        <v/>
      </c>
      <c r="CC121" s="153" t="str">
        <f t="shared" si="36"/>
        <v/>
      </c>
      <c r="CD121" s="153" t="str">
        <f t="shared" si="37"/>
        <v/>
      </c>
      <c r="CE121" s="154" t="str">
        <f t="shared" si="38"/>
        <v/>
      </c>
      <c r="CF121" s="154" t="str">
        <f t="shared" si="39"/>
        <v/>
      </c>
      <c r="CG121" s="154" t="str">
        <f t="shared" si="40"/>
        <v/>
      </c>
    </row>
    <row r="122">
      <c r="A122" s="103" t="s">
        <v>211</v>
      </c>
      <c r="B122" s="104" t="s">
        <v>90</v>
      </c>
      <c r="C122" s="105">
        <v>414508.0</v>
      </c>
      <c r="D122" s="106">
        <v>0.0</v>
      </c>
      <c r="E122" s="107">
        <v>0.0</v>
      </c>
      <c r="F122" s="108">
        <v>0.0</v>
      </c>
      <c r="G122" s="108">
        <v>0.0</v>
      </c>
      <c r="H122" s="108">
        <v>0.0</v>
      </c>
      <c r="I122" s="109">
        <v>0.0</v>
      </c>
      <c r="J122" s="109">
        <v>0.0</v>
      </c>
      <c r="K122" s="109">
        <v>0.0</v>
      </c>
      <c r="L122" s="112">
        <v>0.0</v>
      </c>
      <c r="M122" s="112">
        <v>0.0</v>
      </c>
      <c r="N122" s="112">
        <v>0.0</v>
      </c>
      <c r="O122" s="113"/>
      <c r="P122" s="114"/>
      <c r="Q122" s="114"/>
      <c r="R122" s="115" t="str">
        <f t="shared" si="8"/>
        <v/>
      </c>
      <c r="S122" s="116">
        <f t="shared" si="9"/>
        <v>0.4013436246</v>
      </c>
      <c r="T122" s="117"/>
      <c r="U122" s="118">
        <f t="shared" si="41"/>
        <v>0.3468166667</v>
      </c>
      <c r="V122" s="148"/>
      <c r="W122" s="120">
        <f t="shared" si="10"/>
        <v>1</v>
      </c>
      <c r="X122" s="148"/>
      <c r="Y122" s="120">
        <f t="shared" si="11"/>
        <v>0.71735</v>
      </c>
      <c r="Z122" s="114"/>
      <c r="AA122" s="114"/>
      <c r="AB122" s="114"/>
      <c r="AC122" s="114"/>
      <c r="AD122" s="164">
        <v>0.0</v>
      </c>
      <c r="AE122" s="123">
        <v>0.0</v>
      </c>
      <c r="AF122" s="123">
        <v>0.0</v>
      </c>
      <c r="AG122" s="167">
        <v>0.0</v>
      </c>
      <c r="AH122" s="124">
        <v>0.0</v>
      </c>
      <c r="AI122" s="168">
        <v>0.0</v>
      </c>
      <c r="AJ122" s="125">
        <v>0.0</v>
      </c>
      <c r="AK122" s="126">
        <v>0.0</v>
      </c>
      <c r="AL122" s="169">
        <v>0.0</v>
      </c>
      <c r="AM122" s="128"/>
      <c r="AN122" s="149" t="str">
        <f>IFERROR(
  AVERAGEIFS(
    'New 20102013 LF Efficacy'!$J:$J,
    'New 20102013 LF Efficacy'!$D:$D, $A122,
    'New 20102013 LF Efficacy'!$F:$F,"DEC", 
    'New 20102013 LF Efficacy'!$W:$W,"&lt;2011",
    'New 20102013 LF Efficacy'!$AA:$AA,""),
  ""
)</f>
        <v/>
      </c>
      <c r="AO122" s="115">
        <f t="shared" si="12"/>
        <v>0.3573520833</v>
      </c>
      <c r="AP122" s="121" t="str">
        <f>IFERROR(
AVERAGEIFS(
'New 20102013 LF Efficacy'!$J:$J,
'New 20102013 LF Efficacy'!$D:$D,$A122,
'New 20102013 LF Efficacy'!$F:$F,"Albendazole &amp; DEC",
'New 20102013 LF Efficacy'!$W:$W,"&lt;2011",
'New 20102013 LF Efficacy'!$AA:$AA,""),
"")
</f>
        <v/>
      </c>
      <c r="AQ122" s="115">
        <f t="shared" si="13"/>
        <v>0.5137291667</v>
      </c>
      <c r="AR122" s="121" t="str">
        <f>IFERROR(
AVERAGEIFS(
'New 20102013 LF Efficacy'!$J:$J,
'New 20102013 LF Efficacy'!$D:$D,$A122,
'New 20102013 LF Efficacy'!$F:$F,"Albendazole &amp; Ivermectin", 
'New 20102013 LF Efficacy'!$W:$W,"&lt;2011",
'New 20102013 LF Efficacy'!$AA:$AA,""),"")</f>
        <v/>
      </c>
      <c r="AS122" s="115">
        <f t="shared" si="14"/>
        <v>0.37153125</v>
      </c>
      <c r="AT122" s="130" t="str">
        <f>IFERROR(AVERAGEIFS(
'20102013 Schist Efficacy'!$O:$O, 
'20102013 Schist Efficacy'!$C:$C,$A122, 
'20102013 Schist Efficacy'!$D:$D, "Praziquantel",
'20102013 Schist Efficacy'!$J:$J,"&lt;2011",
'20102013 Schist Efficacy'!$U:$U,""),
"")</f>
        <v/>
      </c>
      <c r="AU122" s="118">
        <f t="shared" si="15"/>
        <v>0.655</v>
      </c>
      <c r="AV122" s="131" t="str">
        <f>IFERROR(AVERAGEIFS(
'20102013 STH Efficacy'!$AX:$AX, 
'20102013 STH Efficacy'!$AL:$AL, $A122, 
'20102013 STH Efficacy'!$AM:$AM, "Albendazole",
'20102013 STH Efficacy'!$AS:$AS,"&lt;2011",
'20102013 STH Efficacy'!$BP:$BP,""),
"")</f>
        <v/>
      </c>
      <c r="AW122" s="132">
        <f t="shared" si="16"/>
        <v>0.3842878788</v>
      </c>
      <c r="AX122" s="131" t="str">
        <f>IFERROR(AVERAGEIFS(
'20102013 STH Efficacy'!$AX:$AX, 
'20102013 STH Efficacy'!$AL:$AL, $A122, 
'20102013 STH Efficacy'!$AM:$AM, "Mebendazole",
'20102013 STH Efficacy'!$AS:$AS,"&lt;2011",
'20102013 STH Efficacy'!$BP:$BP,""),
"")</f>
        <v/>
      </c>
      <c r="AY122" s="132">
        <f t="shared" si="17"/>
        <v>0.5121666667</v>
      </c>
      <c r="AZ122" s="131" t="str">
        <f>IFERROR(AVERAGEIFS(
'20102013 STH Efficacy'!$AX:$AX, 
'20102013 STH Efficacy'!$AL:$AL, $A122, 
'20102013 STH Efficacy'!$AM:$AM, "Albendazole &amp; Ivermectin",
'20102013 STH Efficacy'!$AS:$AS,"&lt;2011",
'20102013 STH Efficacy'!$BP:$BP,""),
"")</f>
        <v/>
      </c>
      <c r="BA122" s="133">
        <f t="shared" si="18"/>
        <v>0.7176666667</v>
      </c>
      <c r="BB122" s="134" t="str">
        <f>IFERROR(AVERAGEIFS(
'20102013 STH Efficacy'!$N:$N, 
'20102013 STH Efficacy'!$B:$B, $A122, 
'20102013 STH Efficacy'!$C:$C, "Albendazole",
'20102013 STH Efficacy'!$I:$I,"&lt;2011",
'20102013 STH Efficacy'!$AH:$AH,""),
"")</f>
        <v/>
      </c>
      <c r="BC122" s="135">
        <f t="shared" si="19"/>
        <v>0.7630416667</v>
      </c>
      <c r="BD122" s="134" t="str">
        <f>IFERROR(AVERAGEIFS(
'20102013 STH Efficacy'!$N:$N, 
'20102013 STH Efficacy'!$B:$B, $A122, 
'20102013 STH Efficacy'!$C:$C, "Mebendazole",
'20102013 STH Efficacy'!$I:$I,"&lt;2011",
'20102013 STH Efficacy'!$AH:$AH,""),
"")</f>
        <v/>
      </c>
      <c r="BE122" s="135">
        <f t="shared" si="20"/>
        <v>0.4405966667</v>
      </c>
      <c r="BF122" s="128" t="str">
        <f>IFERROR(AVERAGEIFS(
'20102013 STH Efficacy'!$CD:$CD, 
'20102013 STH Efficacy'!$BS:$BS, $A122, 
'20102013 STH Efficacy'!$BT:$BT, "Albendazole",
'20102013 STH Efficacy'!$BZ:$BZ,"&lt;2011",
'20102013 STH Efficacy'!$CU:$CU,""),
"")</f>
        <v/>
      </c>
      <c r="BG122" s="136">
        <f t="shared" si="21"/>
        <v>0.9403222222</v>
      </c>
      <c r="BH122" s="128" t="str">
        <f>IFERROR(AVERAGEIFS(
'20102013 STH Efficacy'!$CD:$CD, 
'20102013 STH Efficacy'!$BS:$BS, $A122, 
'20102013 STH Efficacy'!$BT:$BT, "Mebendazole",
'20102013 STH Efficacy'!$BZ:$BZ,"&lt;2011",
'20102013 STH Efficacy'!$CU:$CU,""),
"")</f>
        <v/>
      </c>
      <c r="BI122" s="136">
        <f t="shared" si="22"/>
        <v>0.9229285714</v>
      </c>
      <c r="BJ122" s="128" t="str">
        <f>IFERROR(AVERAGEIFS(
'20102013 STH Efficacy'!$CD:$CD, 
'20102013 STH Efficacy'!$BS:$BS, $A122, 
'20102013 STH Efficacy'!$BT:$BT, "Albendazole &amp; Ivermectin",
'20102013 STH Efficacy'!$BZ:$BZ,"&lt;2011",
'20102013 STH Efficacy'!$CU:$CU,""),
"")</f>
        <v/>
      </c>
      <c r="BK122" s="136">
        <f t="shared" si="23"/>
        <v>1</v>
      </c>
      <c r="BL122" s="137"/>
      <c r="BM122" s="137"/>
      <c r="BN122" s="138">
        <v>0.0</v>
      </c>
      <c r="BO122" s="139">
        <v>0.0</v>
      </c>
      <c r="BP122" s="140">
        <v>0.0</v>
      </c>
      <c r="BQ122" s="141">
        <f t="shared" si="24"/>
        <v>0</v>
      </c>
      <c r="BR122" s="104" t="str">
        <f t="shared" si="25"/>
        <v>0000</v>
      </c>
      <c r="BS122" s="104" t="str">
        <f t="shared" si="26"/>
        <v>no action required</v>
      </c>
      <c r="BT122" s="142" t="str">
        <f t="shared" si="27"/>
        <v/>
      </c>
      <c r="BU122" s="104" t="str">
        <f t="shared" si="28"/>
        <v/>
      </c>
      <c r="BV122" s="104" t="str">
        <f t="shared" si="29"/>
        <v>none</v>
      </c>
      <c r="BW122" s="150" t="str">
        <f t="shared" si="30"/>
        <v/>
      </c>
      <c r="BX122" s="150" t="str">
        <f t="shared" si="31"/>
        <v/>
      </c>
      <c r="BY122" s="151" t="str">
        <f t="shared" si="32"/>
        <v/>
      </c>
      <c r="BZ122" s="152" t="str">
        <f t="shared" si="33"/>
        <v/>
      </c>
      <c r="CA122" s="152" t="str">
        <f t="shared" si="34"/>
        <v/>
      </c>
      <c r="CB122" s="152" t="str">
        <f t="shared" si="35"/>
        <v/>
      </c>
      <c r="CC122" s="153" t="str">
        <f t="shared" si="36"/>
        <v/>
      </c>
      <c r="CD122" s="153" t="str">
        <f t="shared" si="37"/>
        <v/>
      </c>
      <c r="CE122" s="154" t="str">
        <f t="shared" si="38"/>
        <v/>
      </c>
      <c r="CF122" s="154" t="str">
        <f t="shared" si="39"/>
        <v/>
      </c>
      <c r="CG122" s="154" t="str">
        <f t="shared" si="40"/>
        <v/>
      </c>
    </row>
    <row r="123">
      <c r="A123" s="103" t="s">
        <v>212</v>
      </c>
      <c r="B123" s="104" t="s">
        <v>94</v>
      </c>
      <c r="C123" s="105">
        <v>52425.0</v>
      </c>
      <c r="D123" s="106">
        <v>0.0</v>
      </c>
      <c r="E123" s="107">
        <v>0.0</v>
      </c>
      <c r="F123" s="108">
        <v>0.044831583</v>
      </c>
      <c r="G123" s="108">
        <v>0.320774375</v>
      </c>
      <c r="H123" s="108">
        <v>0.365605957</v>
      </c>
      <c r="I123" s="109">
        <v>6.56829803</v>
      </c>
      <c r="J123" s="109">
        <v>16.4154243</v>
      </c>
      <c r="K123" s="109">
        <v>22.98372231</v>
      </c>
      <c r="L123" s="112">
        <v>1.038571686</v>
      </c>
      <c r="M123" s="112">
        <v>0.389748005</v>
      </c>
      <c r="N123" s="112">
        <v>1.428319691</v>
      </c>
      <c r="O123" s="113"/>
      <c r="P123" s="156"/>
      <c r="Q123" s="156"/>
      <c r="R123" s="115" t="str">
        <f t="shared" si="8"/>
        <v/>
      </c>
      <c r="S123" s="116">
        <f t="shared" si="9"/>
        <v>0.1955251818</v>
      </c>
      <c r="T123" s="118">
        <v>0.0959</v>
      </c>
      <c r="U123" s="118">
        <f t="shared" si="41"/>
        <v>0.0959</v>
      </c>
      <c r="V123" s="119">
        <v>1.0</v>
      </c>
      <c r="W123" s="120">
        <f t="shared" si="10"/>
        <v>1</v>
      </c>
      <c r="X123" s="148"/>
      <c r="Y123" s="120">
        <f t="shared" si="11"/>
        <v>0.4826142857</v>
      </c>
      <c r="Z123" s="114"/>
      <c r="AA123" s="114"/>
      <c r="AB123" s="114"/>
      <c r="AC123" s="114"/>
      <c r="AD123" s="164">
        <v>0.0</v>
      </c>
      <c r="AE123" s="123">
        <v>0.0</v>
      </c>
      <c r="AF123" s="123">
        <v>0.0</v>
      </c>
      <c r="AG123" s="167">
        <v>0.0</v>
      </c>
      <c r="AH123" s="124">
        <v>0.053358519</v>
      </c>
      <c r="AI123" s="168">
        <v>0.0</v>
      </c>
      <c r="AJ123" s="125">
        <v>0.237192833</v>
      </c>
      <c r="AK123" s="126">
        <v>0.0</v>
      </c>
      <c r="AL123" s="169">
        <v>0.057943138</v>
      </c>
      <c r="AM123" s="128"/>
      <c r="AN123" s="149" t="str">
        <f>IFERROR(
  AVERAGEIFS(
    'New 20102013 LF Efficacy'!$J:$J,
    'New 20102013 LF Efficacy'!$D:$D, $A123,
    'New 20102013 LF Efficacy'!$F:$F,"DEC", 
    'New 20102013 LF Efficacy'!$W:$W,"&lt;2011",
    'New 20102013 LF Efficacy'!$AA:$AA,""),
  ""
)</f>
        <v/>
      </c>
      <c r="AO123" s="115">
        <f t="shared" si="12"/>
        <v>0.38</v>
      </c>
      <c r="AP123" s="121" t="str">
        <f>IFERROR(
AVERAGEIFS(
'New 20102013 LF Efficacy'!$J:$J,
'New 20102013 LF Efficacy'!$D:$D,$A123,
'New 20102013 LF Efficacy'!$F:$F,"Albendazole &amp; DEC",
'New 20102013 LF Efficacy'!$W:$W,"&lt;2011",
'New 20102013 LF Efficacy'!$AA:$AA,""),
"")
</f>
        <v/>
      </c>
      <c r="AQ123" s="115">
        <f t="shared" si="13"/>
        <v>0.657</v>
      </c>
      <c r="AR123" s="121" t="str">
        <f>IFERROR(
AVERAGEIFS(
'New 20102013 LF Efficacy'!$J:$J,
'New 20102013 LF Efficacy'!$D:$D,$A123,
'New 20102013 LF Efficacy'!$F:$F,"Albendazole &amp; Ivermectin", 
'New 20102013 LF Efficacy'!$W:$W,"&lt;2011",
'New 20102013 LF Efficacy'!$AA:$AA,""),"")</f>
        <v/>
      </c>
      <c r="AS123" s="115">
        <f t="shared" si="14"/>
        <v>0.37153125</v>
      </c>
      <c r="AT123" s="130" t="str">
        <f>IFERROR(AVERAGEIFS(
'20102013 Schist Efficacy'!$O:$O, 
'20102013 Schist Efficacy'!$C:$C,$A123, 
'20102013 Schist Efficacy'!$D:$D, "Praziquantel",
'20102013 Schist Efficacy'!$J:$J,"&lt;2011",
'20102013 Schist Efficacy'!$U:$U,""),
"")</f>
        <v/>
      </c>
      <c r="AU123" s="118">
        <f t="shared" si="15"/>
        <v>0.95</v>
      </c>
      <c r="AV123" s="131" t="str">
        <f>IFERROR(AVERAGEIFS(
'20102013 STH Efficacy'!$AX:$AX, 
'20102013 STH Efficacy'!$AL:$AL, $A123, 
'20102013 STH Efficacy'!$AM:$AM, "Albendazole",
'20102013 STH Efficacy'!$AS:$AS,"&lt;2011",
'20102013 STH Efficacy'!$BP:$BP,""),
"")</f>
        <v/>
      </c>
      <c r="AW123" s="132">
        <f t="shared" si="16"/>
        <v>0.3571666667</v>
      </c>
      <c r="AX123" s="131" t="str">
        <f>IFERROR(AVERAGEIFS(
'20102013 STH Efficacy'!$AX:$AX, 
'20102013 STH Efficacy'!$AL:$AL, $A123, 
'20102013 STH Efficacy'!$AM:$AM, "Mebendazole",
'20102013 STH Efficacy'!$AS:$AS,"&lt;2011",
'20102013 STH Efficacy'!$BP:$BP,""),
"")</f>
        <v/>
      </c>
      <c r="AY123" s="132">
        <f t="shared" si="17"/>
        <v>0.4155</v>
      </c>
      <c r="AZ123" s="131" t="str">
        <f>IFERROR(AVERAGEIFS(
'20102013 STH Efficacy'!$AX:$AX, 
'20102013 STH Efficacy'!$AL:$AL, $A123, 
'20102013 STH Efficacy'!$AM:$AM, "Albendazole &amp; Ivermectin",
'20102013 STH Efficacy'!$AS:$AS,"&lt;2011",
'20102013 STH Efficacy'!$BP:$BP,""),
"")</f>
        <v/>
      </c>
      <c r="BA123" s="133">
        <f t="shared" si="18"/>
        <v>0.651</v>
      </c>
      <c r="BB123" s="134" t="str">
        <f>IFERROR(AVERAGEIFS(
'20102013 STH Efficacy'!$N:$N, 
'20102013 STH Efficacy'!$B:$B, $A123, 
'20102013 STH Efficacy'!$C:$C, "Albendazole",
'20102013 STH Efficacy'!$I:$I,"&lt;2011",
'20102013 STH Efficacy'!$AH:$AH,""),
"")</f>
        <v/>
      </c>
      <c r="BC123" s="135">
        <f t="shared" si="19"/>
        <v>0.5769166667</v>
      </c>
      <c r="BD123" s="134" t="str">
        <f>IFERROR(AVERAGEIFS(
'20102013 STH Efficacy'!$N:$N, 
'20102013 STH Efficacy'!$B:$B, $A123, 
'20102013 STH Efficacy'!$C:$C, "Mebendazole",
'20102013 STH Efficacy'!$I:$I,"&lt;2011",
'20102013 STH Efficacy'!$AH:$AH,""),
"")</f>
        <v/>
      </c>
      <c r="BE123" s="135">
        <f t="shared" si="20"/>
        <v>0.3145</v>
      </c>
      <c r="BF123" s="128" t="str">
        <f>IFERROR(AVERAGEIFS(
'20102013 STH Efficacy'!$CD:$CD, 
'20102013 STH Efficacy'!$BS:$BS, $A123, 
'20102013 STH Efficacy'!$BT:$BT, "Albendazole",
'20102013 STH Efficacy'!$BZ:$BZ,"&lt;2011",
'20102013 STH Efficacy'!$CU:$CU,""),
"")</f>
        <v/>
      </c>
      <c r="BG123" s="136">
        <f t="shared" si="21"/>
        <v>0.96925</v>
      </c>
      <c r="BH123" s="128" t="str">
        <f>IFERROR(AVERAGEIFS(
'20102013 STH Efficacy'!$CD:$CD, 
'20102013 STH Efficacy'!$BS:$BS, $A123, 
'20102013 STH Efficacy'!$BT:$BT, "Mebendazole",
'20102013 STH Efficacy'!$BZ:$BZ,"&lt;2011",
'20102013 STH Efficacy'!$CU:$CU,""),
"")</f>
        <v/>
      </c>
      <c r="BI123" s="136">
        <f t="shared" si="22"/>
        <v>0.9305</v>
      </c>
      <c r="BJ123" s="128" t="str">
        <f>IFERROR(AVERAGEIFS(
'20102013 STH Efficacy'!$CD:$CD, 
'20102013 STH Efficacy'!$BS:$BS, $A123, 
'20102013 STH Efficacy'!$BT:$BT, "Albendazole &amp; Ivermectin",
'20102013 STH Efficacy'!$BZ:$BZ,"&lt;2011",
'20102013 STH Efficacy'!$CU:$CU,""),
"")</f>
        <v/>
      </c>
      <c r="BK123" s="136">
        <f t="shared" si="23"/>
        <v>1</v>
      </c>
      <c r="BL123" s="137"/>
      <c r="BM123" s="137"/>
      <c r="BN123" s="138">
        <v>0.0</v>
      </c>
      <c r="BO123" s="139">
        <v>0.0</v>
      </c>
      <c r="BP123" s="140">
        <v>0.0</v>
      </c>
      <c r="BQ123" s="141">
        <f t="shared" si="24"/>
        <v>0</v>
      </c>
      <c r="BR123" s="104" t="str">
        <f t="shared" si="25"/>
        <v>0000</v>
      </c>
      <c r="BS123" s="104" t="str">
        <f t="shared" si="26"/>
        <v>no action required</v>
      </c>
      <c r="BT123" s="142" t="str">
        <f t="shared" si="27"/>
        <v/>
      </c>
      <c r="BU123" s="104" t="str">
        <f t="shared" si="28"/>
        <v/>
      </c>
      <c r="BV123" s="104" t="str">
        <f t="shared" si="29"/>
        <v>none</v>
      </c>
      <c r="BW123" s="150" t="str">
        <f t="shared" si="30"/>
        <v/>
      </c>
      <c r="BX123" s="150" t="str">
        <f t="shared" si="31"/>
        <v/>
      </c>
      <c r="BY123" s="151" t="str">
        <f t="shared" si="32"/>
        <v/>
      </c>
      <c r="BZ123" s="152" t="str">
        <f t="shared" si="33"/>
        <v/>
      </c>
      <c r="CA123" s="152" t="str">
        <f t="shared" si="34"/>
        <v/>
      </c>
      <c r="CB123" s="152" t="str">
        <f t="shared" si="35"/>
        <v/>
      </c>
      <c r="CC123" s="153" t="str">
        <f t="shared" si="36"/>
        <v/>
      </c>
      <c r="CD123" s="153" t="str">
        <f t="shared" si="37"/>
        <v/>
      </c>
      <c r="CE123" s="154" t="str">
        <f t="shared" si="38"/>
        <v/>
      </c>
      <c r="CF123" s="154" t="str">
        <f t="shared" si="39"/>
        <v/>
      </c>
      <c r="CG123" s="154" t="str">
        <f t="shared" si="40"/>
        <v/>
      </c>
    </row>
    <row r="124">
      <c r="A124" s="103" t="s">
        <v>213</v>
      </c>
      <c r="B124" s="104" t="s">
        <v>92</v>
      </c>
      <c r="C124" s="105">
        <v>3609543.0</v>
      </c>
      <c r="D124" s="106">
        <v>83.40032915</v>
      </c>
      <c r="E124" s="107">
        <v>6803.145892</v>
      </c>
      <c r="F124" s="157">
        <v>0.40212407</v>
      </c>
      <c r="G124" s="157">
        <v>1.98343346</v>
      </c>
      <c r="H124" s="157">
        <v>2.385557529</v>
      </c>
      <c r="I124" s="110">
        <v>23.1415534</v>
      </c>
      <c r="J124" s="110">
        <v>74.0018231</v>
      </c>
      <c r="K124" s="110">
        <v>97.1433765</v>
      </c>
      <c r="L124" s="111">
        <v>97.21248177</v>
      </c>
      <c r="M124" s="111">
        <v>16.97229908</v>
      </c>
      <c r="N124" s="112">
        <v>114.1847808</v>
      </c>
      <c r="O124" s="113"/>
      <c r="P124" s="114"/>
      <c r="Q124" s="114"/>
      <c r="R124" s="115" t="str">
        <f t="shared" si="8"/>
        <v/>
      </c>
      <c r="S124" s="116">
        <f t="shared" si="9"/>
        <v>0.1716437208</v>
      </c>
      <c r="T124" s="130"/>
      <c r="U124" s="118">
        <f t="shared" si="41"/>
        <v>0.252</v>
      </c>
      <c r="V124" s="148"/>
      <c r="W124" s="120">
        <f t="shared" si="10"/>
        <v>0.7266555556</v>
      </c>
      <c r="X124" s="148"/>
      <c r="Y124" s="120">
        <f t="shared" si="11"/>
        <v>0.4342071429</v>
      </c>
      <c r="Z124" s="114"/>
      <c r="AA124" s="114"/>
      <c r="AB124" s="114"/>
      <c r="AC124" s="114"/>
      <c r="AD124" s="164">
        <v>0.0</v>
      </c>
      <c r="AE124" s="123">
        <v>0.22</v>
      </c>
      <c r="AF124" s="123">
        <v>0.0683</v>
      </c>
      <c r="AG124" s="167">
        <v>0.0</v>
      </c>
      <c r="AH124" s="124">
        <v>0.033160129</v>
      </c>
      <c r="AI124" s="168">
        <v>0.0</v>
      </c>
      <c r="AJ124" s="125">
        <v>0.030068283</v>
      </c>
      <c r="AK124" s="126">
        <v>0.0</v>
      </c>
      <c r="AL124" s="169">
        <v>0.00817055</v>
      </c>
      <c r="AM124" s="128"/>
      <c r="AN124" s="149" t="str">
        <f>IFERROR(
  AVERAGEIFS(
    'New 20102013 LF Efficacy'!$J:$J,
    'New 20102013 LF Efficacy'!$D:$D, $A124,
    'New 20102013 LF Efficacy'!$F:$F,"DEC", 
    'New 20102013 LF Efficacy'!$W:$W,"&lt;2011",
    'New 20102013 LF Efficacy'!$AA:$AA,""),
  ""
)</f>
        <v/>
      </c>
      <c r="AO124" s="115">
        <f t="shared" si="12"/>
        <v>0.31225</v>
      </c>
      <c r="AP124" s="121" t="str">
        <f>IFERROR(
AVERAGEIFS(
'New 20102013 LF Efficacy'!$J:$J,
'New 20102013 LF Efficacy'!$D:$D,$A124,
'New 20102013 LF Efficacy'!$F:$F,"Albendazole &amp; DEC",
'New 20102013 LF Efficacy'!$W:$W,"&lt;2011",
'New 20102013 LF Efficacy'!$AA:$AA,""),
"")
</f>
        <v/>
      </c>
      <c r="AQ124" s="115">
        <f t="shared" si="13"/>
        <v>0.4</v>
      </c>
      <c r="AR124" s="121" t="str">
        <f>IFERROR(
AVERAGEIFS(
'New 20102013 LF Efficacy'!$J:$J,
'New 20102013 LF Efficacy'!$D:$D,$A124,
'New 20102013 LF Efficacy'!$F:$F,"Albendazole &amp; Ivermectin", 
'New 20102013 LF Efficacy'!$W:$W,"&lt;2011",
'New 20102013 LF Efficacy'!$AA:$AA,""),"")</f>
        <v/>
      </c>
      <c r="AS124" s="115">
        <f t="shared" si="14"/>
        <v>0.2943125</v>
      </c>
      <c r="AT124" s="130" t="str">
        <f>IFERROR(AVERAGEIFS(
'20102013 Schist Efficacy'!$O:$O, 
'20102013 Schist Efficacy'!$C:$C,$A124, 
'20102013 Schist Efficacy'!$D:$D, "Praziquantel",
'20102013 Schist Efficacy'!$J:$J,"&lt;2011",
'20102013 Schist Efficacy'!$U:$U,""),
"")</f>
        <v/>
      </c>
      <c r="AU124" s="118">
        <f t="shared" si="15"/>
        <v>0.6444020147</v>
      </c>
      <c r="AV124" s="131" t="str">
        <f>IFERROR(AVERAGEIFS(
'20102013 STH Efficacy'!$AX:$AX, 
'20102013 STH Efficacy'!$AL:$AL, $A124, 
'20102013 STH Efficacy'!$AM:$AM, "Albendazole",
'20102013 STH Efficacy'!$AS:$AS,"&lt;2011",
'20102013 STH Efficacy'!$BP:$BP,""),
"")</f>
        <v/>
      </c>
      <c r="AW124" s="132">
        <f t="shared" si="16"/>
        <v>0.3538333333</v>
      </c>
      <c r="AX124" s="131" t="str">
        <f>IFERROR(AVERAGEIFS(
'20102013 STH Efficacy'!$AX:$AX, 
'20102013 STH Efficacy'!$AL:$AL, $A124, 
'20102013 STH Efficacy'!$AM:$AM, "Mebendazole",
'20102013 STH Efficacy'!$AS:$AS,"&lt;2011",
'20102013 STH Efficacy'!$BP:$BP,""),
"")</f>
        <v/>
      </c>
      <c r="AY124" s="132">
        <f t="shared" si="17"/>
        <v>0.5918333333</v>
      </c>
      <c r="AZ124" s="131" t="str">
        <f>IFERROR(AVERAGEIFS(
'20102013 STH Efficacy'!$AX:$AX, 
'20102013 STH Efficacy'!$AL:$AL, $A124, 
'20102013 STH Efficacy'!$AM:$AM, "Albendazole &amp; Ivermectin",
'20102013 STH Efficacy'!$AS:$AS,"&lt;2011",
'20102013 STH Efficacy'!$BP:$BP,""),
"")</f>
        <v/>
      </c>
      <c r="BA124" s="133">
        <f t="shared" si="18"/>
        <v>0.706</v>
      </c>
      <c r="BB124" s="134" t="str">
        <f>IFERROR(AVERAGEIFS(
'20102013 STH Efficacy'!$N:$N, 
'20102013 STH Efficacy'!$B:$B, $A124, 
'20102013 STH Efficacy'!$C:$C, "Albendazole",
'20102013 STH Efficacy'!$I:$I,"&lt;2011",
'20102013 STH Efficacy'!$AH:$AH,""),
"")</f>
        <v/>
      </c>
      <c r="BC124" s="135">
        <f t="shared" si="19"/>
        <v>0.9116666667</v>
      </c>
      <c r="BD124" s="134" t="str">
        <f>IFERROR(AVERAGEIFS(
'20102013 STH Efficacy'!$N:$N, 
'20102013 STH Efficacy'!$B:$B, $A124, 
'20102013 STH Efficacy'!$C:$C, "Mebendazole",
'20102013 STH Efficacy'!$I:$I,"&lt;2011",
'20102013 STH Efficacy'!$AH:$AH,""),
"")</f>
        <v/>
      </c>
      <c r="BE124" s="135">
        <f t="shared" si="20"/>
        <v>0.7092416667</v>
      </c>
      <c r="BF124" s="128" t="str">
        <f>IFERROR(AVERAGEIFS(
'20102013 STH Efficacy'!$CD:$CD, 
'20102013 STH Efficacy'!$BS:$BS, $A124, 
'20102013 STH Efficacy'!$BT:$BT, "Albendazole",
'20102013 STH Efficacy'!$BZ:$BZ,"&lt;2011",
'20102013 STH Efficacy'!$CU:$CU,""),
"")</f>
        <v/>
      </c>
      <c r="BG124" s="136">
        <f t="shared" si="21"/>
        <v>0.8656666667</v>
      </c>
      <c r="BH124" s="128" t="str">
        <f>IFERROR(AVERAGEIFS(
'20102013 STH Efficacy'!$CD:$CD, 
'20102013 STH Efficacy'!$BS:$BS, $A124, 
'20102013 STH Efficacy'!$BT:$BT, "Mebendazole",
'20102013 STH Efficacy'!$BZ:$BZ,"&lt;2011",
'20102013 STH Efficacy'!$CU:$CU,""),
"")</f>
        <v/>
      </c>
      <c r="BI124" s="136">
        <f t="shared" si="22"/>
        <v>0.9203333333</v>
      </c>
      <c r="BJ124" s="128" t="str">
        <f>IFERROR(AVERAGEIFS(
'20102013 STH Efficacy'!$CD:$CD, 
'20102013 STH Efficacy'!$BS:$BS, $A124, 
'20102013 STH Efficacy'!$BT:$BT, "Albendazole &amp; Ivermectin",
'20102013 STH Efficacy'!$BZ:$BZ,"&lt;2011",
'20102013 STH Efficacy'!$CU:$CU,""),
"")</f>
        <v/>
      </c>
      <c r="BK124" s="136">
        <f t="shared" si="23"/>
        <v>1</v>
      </c>
      <c r="BL124" s="137"/>
      <c r="BM124" s="137"/>
      <c r="BN124" s="138">
        <v>0.0</v>
      </c>
      <c r="BO124" s="139">
        <v>1.0</v>
      </c>
      <c r="BP124" s="140">
        <v>1.0</v>
      </c>
      <c r="BQ124" s="141">
        <f t="shared" si="24"/>
        <v>0</v>
      </c>
      <c r="BR124" s="104" t="str">
        <f t="shared" si="25"/>
        <v>0110</v>
      </c>
      <c r="BS124" s="104" t="str">
        <f t="shared" si="26"/>
        <v>MDA3+T2</v>
      </c>
      <c r="BT124" s="142" t="str">
        <f t="shared" si="27"/>
        <v>IVM</v>
      </c>
      <c r="BU124" s="104" t="str">
        <f t="shared" si="28"/>
        <v>PZQ</v>
      </c>
      <c r="BV124" s="104" t="str">
        <f t="shared" si="29"/>
        <v>onch+schist</v>
      </c>
      <c r="BW124" s="150" t="str">
        <f t="shared" si="30"/>
        <v/>
      </c>
      <c r="BX124" s="150" t="str">
        <f t="shared" si="31"/>
        <v/>
      </c>
      <c r="BY124" s="162">
        <f t="shared" si="32"/>
        <v>1318.939887</v>
      </c>
      <c r="BZ124" s="152" t="str">
        <f t="shared" si="33"/>
        <v/>
      </c>
      <c r="CA124" s="152" t="str">
        <f t="shared" si="34"/>
        <v/>
      </c>
      <c r="CB124" s="152" t="str">
        <f t="shared" si="35"/>
        <v/>
      </c>
      <c r="CC124" s="153" t="str">
        <f t="shared" si="36"/>
        <v/>
      </c>
      <c r="CD124" s="153" t="str">
        <f t="shared" si="37"/>
        <v/>
      </c>
      <c r="CE124" s="154" t="str">
        <f t="shared" si="38"/>
        <v/>
      </c>
      <c r="CF124" s="154" t="str">
        <f t="shared" si="39"/>
        <v/>
      </c>
      <c r="CG124" s="154" t="str">
        <f t="shared" si="40"/>
        <v/>
      </c>
    </row>
    <row r="125">
      <c r="A125" s="103" t="s">
        <v>214</v>
      </c>
      <c r="B125" s="104" t="s">
        <v>92</v>
      </c>
      <c r="C125" s="105">
        <v>1250400.0</v>
      </c>
      <c r="D125" s="106">
        <v>0.0</v>
      </c>
      <c r="E125" s="107">
        <v>1152.403161</v>
      </c>
      <c r="F125" s="108">
        <v>0.0</v>
      </c>
      <c r="G125" s="157">
        <v>0.0</v>
      </c>
      <c r="H125" s="157">
        <v>0.0</v>
      </c>
      <c r="I125" s="110">
        <v>0.00342204</v>
      </c>
      <c r="J125" s="110">
        <v>0.00622052</v>
      </c>
      <c r="K125" s="110">
        <v>0.009642563</v>
      </c>
      <c r="L125" s="111">
        <v>0.392777494</v>
      </c>
      <c r="M125" s="111">
        <v>0.182940779</v>
      </c>
      <c r="N125" s="112">
        <v>0.575718273</v>
      </c>
      <c r="O125" s="113"/>
      <c r="P125" s="156"/>
      <c r="Q125" s="156"/>
      <c r="R125" s="115" t="str">
        <f t="shared" si="8"/>
        <v/>
      </c>
      <c r="S125" s="116">
        <f t="shared" si="9"/>
        <v>0.1716437208</v>
      </c>
      <c r="T125" s="117"/>
      <c r="U125" s="118">
        <f t="shared" si="41"/>
        <v>0.252</v>
      </c>
      <c r="V125" s="148"/>
      <c r="W125" s="120">
        <f t="shared" si="10"/>
        <v>0.7266555556</v>
      </c>
      <c r="X125" s="148"/>
      <c r="Y125" s="120">
        <f t="shared" si="11"/>
        <v>0.4342071429</v>
      </c>
      <c r="Z125" s="121"/>
      <c r="AA125" s="121"/>
      <c r="AB125" s="121"/>
      <c r="AC125" s="121"/>
      <c r="AD125" s="122">
        <v>0.0</v>
      </c>
      <c r="AE125" s="123">
        <v>0.07</v>
      </c>
      <c r="AF125" s="123">
        <v>0.006</v>
      </c>
      <c r="AG125" s="167">
        <v>0.0</v>
      </c>
      <c r="AH125" s="124">
        <v>1.14004E-5</v>
      </c>
      <c r="AI125" s="125">
        <v>0.0</v>
      </c>
      <c r="AJ125" s="125">
        <v>1.11E-5</v>
      </c>
      <c r="AK125" s="127">
        <v>0.0</v>
      </c>
      <c r="AL125" s="127">
        <v>1.1381E-5</v>
      </c>
      <c r="AM125" s="128"/>
      <c r="AN125" s="149" t="str">
        <f>IFERROR(
  AVERAGEIFS(
    'New 20102013 LF Efficacy'!$J:$J,
    'New 20102013 LF Efficacy'!$D:$D, $A125,
    'New 20102013 LF Efficacy'!$F:$F,"DEC", 
    'New 20102013 LF Efficacy'!$W:$W,"&lt;2011",
    'New 20102013 LF Efficacy'!$AA:$AA,""),
  ""
)</f>
        <v/>
      </c>
      <c r="AO125" s="115">
        <f t="shared" si="12"/>
        <v>0.31225</v>
      </c>
      <c r="AP125" s="121" t="str">
        <f>IFERROR(
AVERAGEIFS(
'New 20102013 LF Efficacy'!$J:$J,
'New 20102013 LF Efficacy'!$D:$D,$A125,
'New 20102013 LF Efficacy'!$F:$F,"Albendazole &amp; DEC",
'New 20102013 LF Efficacy'!$W:$W,"&lt;2011",
'New 20102013 LF Efficacy'!$AA:$AA,""),
"")
</f>
        <v/>
      </c>
      <c r="AQ125" s="115">
        <f t="shared" si="13"/>
        <v>0.4</v>
      </c>
      <c r="AR125" s="121" t="str">
        <f>IFERROR(
AVERAGEIFS(
'New 20102013 LF Efficacy'!$J:$J,
'New 20102013 LF Efficacy'!$D:$D,$A125,
'New 20102013 LF Efficacy'!$F:$F,"Albendazole &amp; Ivermectin", 
'New 20102013 LF Efficacy'!$W:$W,"&lt;2011",
'New 20102013 LF Efficacy'!$AA:$AA,""),"")</f>
        <v/>
      </c>
      <c r="AS125" s="115">
        <f t="shared" si="14"/>
        <v>0.2943125</v>
      </c>
      <c r="AT125" s="130" t="str">
        <f>IFERROR(AVERAGEIFS(
'20102013 Schist Efficacy'!$O:$O, 
'20102013 Schist Efficacy'!$C:$C,$A125, 
'20102013 Schist Efficacy'!$D:$D, "Praziquantel",
'20102013 Schist Efficacy'!$J:$J,"&lt;2011",
'20102013 Schist Efficacy'!$U:$U,""),
"")</f>
        <v/>
      </c>
      <c r="AU125" s="118">
        <f t="shared" si="15"/>
        <v>0.6444020147</v>
      </c>
      <c r="AV125" s="131" t="str">
        <f>IFERROR(AVERAGEIFS(
'20102013 STH Efficacy'!$AX:$AX, 
'20102013 STH Efficacy'!$AL:$AL, $A125, 
'20102013 STH Efficacy'!$AM:$AM, "Albendazole",
'20102013 STH Efficacy'!$AS:$AS,"&lt;2011",
'20102013 STH Efficacy'!$BP:$BP,""),
"")</f>
        <v/>
      </c>
      <c r="AW125" s="132">
        <f t="shared" si="16"/>
        <v>0.3538333333</v>
      </c>
      <c r="AX125" s="131" t="str">
        <f>IFERROR(AVERAGEIFS(
'20102013 STH Efficacy'!$AX:$AX, 
'20102013 STH Efficacy'!$AL:$AL, $A125, 
'20102013 STH Efficacy'!$AM:$AM, "Mebendazole",
'20102013 STH Efficacy'!$AS:$AS,"&lt;2011",
'20102013 STH Efficacy'!$BP:$BP,""),
"")</f>
        <v/>
      </c>
      <c r="AY125" s="132">
        <f t="shared" si="17"/>
        <v>0.5918333333</v>
      </c>
      <c r="AZ125" s="131" t="str">
        <f>IFERROR(AVERAGEIFS(
'20102013 STH Efficacy'!$AX:$AX, 
'20102013 STH Efficacy'!$AL:$AL, $A125, 
'20102013 STH Efficacy'!$AM:$AM, "Albendazole &amp; Ivermectin",
'20102013 STH Efficacy'!$AS:$AS,"&lt;2011",
'20102013 STH Efficacy'!$BP:$BP,""),
"")</f>
        <v/>
      </c>
      <c r="BA125" s="133">
        <f t="shared" si="18"/>
        <v>0.706</v>
      </c>
      <c r="BB125" s="134" t="str">
        <f>IFERROR(AVERAGEIFS(
'20102013 STH Efficacy'!$N:$N, 
'20102013 STH Efficacy'!$B:$B, $A125, 
'20102013 STH Efficacy'!$C:$C, "Albendazole",
'20102013 STH Efficacy'!$I:$I,"&lt;2011",
'20102013 STH Efficacy'!$AH:$AH,""),
"")</f>
        <v/>
      </c>
      <c r="BC125" s="135">
        <f t="shared" si="19"/>
        <v>0.9116666667</v>
      </c>
      <c r="BD125" s="134" t="str">
        <f>IFERROR(AVERAGEIFS(
'20102013 STH Efficacy'!$N:$N, 
'20102013 STH Efficacy'!$B:$B, $A125, 
'20102013 STH Efficacy'!$C:$C, "Mebendazole",
'20102013 STH Efficacy'!$I:$I,"&lt;2011",
'20102013 STH Efficacy'!$AH:$AH,""),
"")</f>
        <v/>
      </c>
      <c r="BE125" s="135">
        <f t="shared" si="20"/>
        <v>0.7092416667</v>
      </c>
      <c r="BF125" s="128" t="str">
        <f>IFERROR(AVERAGEIFS(
'20102013 STH Efficacy'!$CD:$CD, 
'20102013 STH Efficacy'!$BS:$BS, $A125, 
'20102013 STH Efficacy'!$BT:$BT, "Albendazole",
'20102013 STH Efficacy'!$BZ:$BZ,"&lt;2011",
'20102013 STH Efficacy'!$CU:$CU,""),
"")</f>
        <v/>
      </c>
      <c r="BG125" s="136">
        <f t="shared" si="21"/>
        <v>0.8656666667</v>
      </c>
      <c r="BH125" s="128" t="str">
        <f>IFERROR(AVERAGEIFS(
'20102013 STH Efficacy'!$CD:$CD, 
'20102013 STH Efficacy'!$BS:$BS, $A125, 
'20102013 STH Efficacy'!$BT:$BT, "Mebendazole",
'20102013 STH Efficacy'!$BZ:$BZ,"&lt;2011",
'20102013 STH Efficacy'!$CU:$CU,""),
"")</f>
        <v/>
      </c>
      <c r="BI125" s="136">
        <f t="shared" si="22"/>
        <v>0.9203333333</v>
      </c>
      <c r="BJ125" s="128" t="str">
        <f>IFERROR(AVERAGEIFS(
'20102013 STH Efficacy'!$CD:$CD, 
'20102013 STH Efficacy'!$BS:$BS, $A125, 
'20102013 STH Efficacy'!$BT:$BT, "Albendazole &amp; Ivermectin",
'20102013 STH Efficacy'!$BZ:$BZ,"&lt;2011",
'20102013 STH Efficacy'!$CU:$CU,""),
"")</f>
        <v/>
      </c>
      <c r="BK125" s="136">
        <f t="shared" si="23"/>
        <v>1</v>
      </c>
      <c r="BL125" s="137"/>
      <c r="BM125" s="137"/>
      <c r="BN125" s="138">
        <v>0.0</v>
      </c>
      <c r="BO125" s="139">
        <v>0.0</v>
      </c>
      <c r="BP125" s="140">
        <v>0.0</v>
      </c>
      <c r="BQ125" s="141">
        <f t="shared" si="24"/>
        <v>0</v>
      </c>
      <c r="BR125" s="104" t="str">
        <f t="shared" si="25"/>
        <v>0000</v>
      </c>
      <c r="BS125" s="104" t="str">
        <f t="shared" si="26"/>
        <v>no action required</v>
      </c>
      <c r="BT125" s="142" t="str">
        <f t="shared" si="27"/>
        <v/>
      </c>
      <c r="BU125" s="104" t="str">
        <f t="shared" si="28"/>
        <v/>
      </c>
      <c r="BV125" s="104" t="str">
        <f t="shared" si="29"/>
        <v>none</v>
      </c>
      <c r="BW125" s="150" t="str">
        <f t="shared" si="30"/>
        <v/>
      </c>
      <c r="BX125" s="150" t="str">
        <f t="shared" si="31"/>
        <v/>
      </c>
      <c r="BY125" s="151" t="str">
        <f t="shared" si="32"/>
        <v/>
      </c>
      <c r="BZ125" s="152" t="str">
        <f t="shared" si="33"/>
        <v/>
      </c>
      <c r="CA125" s="152" t="str">
        <f t="shared" si="34"/>
        <v/>
      </c>
      <c r="CB125" s="152" t="str">
        <f t="shared" si="35"/>
        <v/>
      </c>
      <c r="CC125" s="153" t="str">
        <f t="shared" si="36"/>
        <v/>
      </c>
      <c r="CD125" s="153" t="str">
        <f t="shared" si="37"/>
        <v/>
      </c>
      <c r="CE125" s="154" t="str">
        <f t="shared" si="38"/>
        <v/>
      </c>
      <c r="CF125" s="154" t="str">
        <f t="shared" si="39"/>
        <v/>
      </c>
      <c r="CG125" s="154" t="str">
        <f t="shared" si="40"/>
        <v/>
      </c>
    </row>
    <row r="126">
      <c r="A126" s="103" t="s">
        <v>215</v>
      </c>
      <c r="B126" s="104" t="s">
        <v>98</v>
      </c>
      <c r="C126" s="105">
        <v>1.17318941E8</v>
      </c>
      <c r="D126" s="106">
        <v>0.0</v>
      </c>
      <c r="E126" s="107">
        <v>0.0</v>
      </c>
      <c r="F126" s="157">
        <v>1022.712278</v>
      </c>
      <c r="G126" s="157">
        <v>5420.232189</v>
      </c>
      <c r="H126" s="108">
        <v>6442.944467</v>
      </c>
      <c r="I126" s="109">
        <v>6.82935764</v>
      </c>
      <c r="J126" s="110">
        <v>20.1188629</v>
      </c>
      <c r="K126" s="110">
        <v>26.94822058</v>
      </c>
      <c r="L126" s="111">
        <v>1812.236171</v>
      </c>
      <c r="M126" s="111">
        <v>3578.632575</v>
      </c>
      <c r="N126" s="112">
        <v>5390.868746</v>
      </c>
      <c r="O126" s="113"/>
      <c r="P126" s="114"/>
      <c r="Q126" s="114"/>
      <c r="R126" s="115" t="str">
        <f t="shared" si="8"/>
        <v/>
      </c>
      <c r="S126" s="116">
        <f t="shared" si="9"/>
        <v>0.14553293</v>
      </c>
      <c r="T126" s="117"/>
      <c r="U126" s="118">
        <f t="shared" si="41"/>
        <v>0.39435</v>
      </c>
      <c r="V126" s="119">
        <v>1.0</v>
      </c>
      <c r="W126" s="120">
        <f t="shared" si="10"/>
        <v>1</v>
      </c>
      <c r="X126" s="119">
        <v>1.0</v>
      </c>
      <c r="Y126" s="120">
        <f t="shared" si="11"/>
        <v>1</v>
      </c>
      <c r="Z126" s="114"/>
      <c r="AA126" s="114"/>
      <c r="AB126" s="114"/>
      <c r="AC126" s="114"/>
      <c r="AD126" s="164">
        <v>0.0</v>
      </c>
      <c r="AE126" s="123">
        <v>0.0</v>
      </c>
      <c r="AF126" s="123">
        <v>0.0</v>
      </c>
      <c r="AG126" s="167">
        <v>0.0</v>
      </c>
      <c r="AH126" s="124">
        <v>0.174764771</v>
      </c>
      <c r="AI126" s="168">
        <v>0.0</v>
      </c>
      <c r="AJ126" s="125">
        <v>1.04775E-4</v>
      </c>
      <c r="AK126" s="126">
        <v>0.0</v>
      </c>
      <c r="AL126" s="169">
        <v>0.157169093</v>
      </c>
      <c r="AM126" s="128"/>
      <c r="AN126" s="149" t="str">
        <f>IFERROR(
  AVERAGEIFS(
    'New 20102013 LF Efficacy'!$J:$J,
    'New 20102013 LF Efficacy'!$D:$D, $A126,
    'New 20102013 LF Efficacy'!$F:$F,"DEC", 
    'New 20102013 LF Efficacy'!$W:$W,"&lt;2011",
    'New 20102013 LF Efficacy'!$AA:$AA,""),
  ""
)</f>
        <v/>
      </c>
      <c r="AO126" s="115">
        <f t="shared" si="12"/>
        <v>0.2589833333</v>
      </c>
      <c r="AP126" s="121" t="str">
        <f>IFERROR(
AVERAGEIFS(
'New 20102013 LF Efficacy'!$J:$J,
'New 20102013 LF Efficacy'!$D:$D,$A126,
'New 20102013 LF Efficacy'!$F:$F,"Albendazole &amp; DEC",
'New 20102013 LF Efficacy'!$W:$W,"&lt;2011",
'New 20102013 LF Efficacy'!$AA:$AA,""),
"")
</f>
        <v/>
      </c>
      <c r="AQ126" s="115">
        <f t="shared" si="13"/>
        <v>0.3465</v>
      </c>
      <c r="AR126" s="121" t="str">
        <f>IFERROR(
AVERAGEIFS(
'New 20102013 LF Efficacy'!$J:$J,
'New 20102013 LF Efficacy'!$D:$D,$A126,
'New 20102013 LF Efficacy'!$F:$F,"Albendazole &amp; Ivermectin", 
'New 20102013 LF Efficacy'!$W:$W,"&lt;2011",
'New 20102013 LF Efficacy'!$AA:$AA,""),"")</f>
        <v/>
      </c>
      <c r="AS126" s="115">
        <f t="shared" si="14"/>
        <v>0.7575</v>
      </c>
      <c r="AT126" s="130" t="str">
        <f>IFERROR(AVERAGEIFS(
'20102013 Schist Efficacy'!$O:$O, 
'20102013 Schist Efficacy'!$C:$C,$A126, 
'20102013 Schist Efficacy'!$D:$D, "Praziquantel",
'20102013 Schist Efficacy'!$J:$J,"&lt;2011",
'20102013 Schist Efficacy'!$U:$U,""),
"")</f>
        <v/>
      </c>
      <c r="AU126" s="118">
        <f t="shared" si="15"/>
        <v>0.7732631579</v>
      </c>
      <c r="AV126" s="131" t="str">
        <f>IFERROR(AVERAGEIFS(
'20102013 STH Efficacy'!$AX:$AX, 
'20102013 STH Efficacy'!$AL:$AL, $A126, 
'20102013 STH Efficacy'!$AM:$AM, "Albendazole",
'20102013 STH Efficacy'!$AS:$AS,"&lt;2011",
'20102013 STH Efficacy'!$BP:$BP,""),
"")</f>
        <v/>
      </c>
      <c r="AW126" s="132">
        <f t="shared" si="16"/>
        <v>0.3945</v>
      </c>
      <c r="AX126" s="131" t="str">
        <f>IFERROR(AVERAGEIFS(
'20102013 STH Efficacy'!$AX:$AX, 
'20102013 STH Efficacy'!$AL:$AL, $A126, 
'20102013 STH Efficacy'!$AM:$AM, "Mebendazole",
'20102013 STH Efficacy'!$AS:$AS,"&lt;2011",
'20102013 STH Efficacy'!$BP:$BP,""),
"")</f>
        <v/>
      </c>
      <c r="AY126" s="132">
        <f t="shared" si="17"/>
        <v>0.6</v>
      </c>
      <c r="AZ126" s="131" t="str">
        <f>IFERROR(AVERAGEIFS(
'20102013 STH Efficacy'!$AX:$AX, 
'20102013 STH Efficacy'!$AL:$AL, $A126, 
'20102013 STH Efficacy'!$AM:$AM, "Albendazole &amp; Ivermectin",
'20102013 STH Efficacy'!$AS:$AS,"&lt;2011",
'20102013 STH Efficacy'!$BP:$BP,""),
"")</f>
        <v/>
      </c>
      <c r="BA126" s="133">
        <f t="shared" si="18"/>
        <v>0.796</v>
      </c>
      <c r="BB126" s="134" t="str">
        <f>IFERROR(AVERAGEIFS(
'20102013 STH Efficacy'!$N:$N, 
'20102013 STH Efficacy'!$B:$B, $A126, 
'20102013 STH Efficacy'!$C:$C, "Albendazole",
'20102013 STH Efficacy'!$I:$I,"&lt;2011",
'20102013 STH Efficacy'!$AH:$AH,""),
"")</f>
        <v/>
      </c>
      <c r="BC126" s="135">
        <f t="shared" si="19"/>
        <v>0.869</v>
      </c>
      <c r="BD126" s="134" t="str">
        <f>IFERROR(AVERAGEIFS(
'20102013 STH Efficacy'!$N:$N, 
'20102013 STH Efficacy'!$B:$B, $A126, 
'20102013 STH Efficacy'!$C:$C, "Mebendazole",
'20102013 STH Efficacy'!$I:$I,"&lt;2011",
'20102013 STH Efficacy'!$AH:$AH,""),
"")</f>
        <v/>
      </c>
      <c r="BE126" s="135">
        <f t="shared" si="20"/>
        <v>0.172</v>
      </c>
      <c r="BF126" s="128" t="str">
        <f>IFERROR(AVERAGEIFS(
'20102013 STH Efficacy'!$CD:$CD, 
'20102013 STH Efficacy'!$BS:$BS, $A126, 
'20102013 STH Efficacy'!$BT:$BT, "Albendazole",
'20102013 STH Efficacy'!$BZ:$BZ,"&lt;2011",
'20102013 STH Efficacy'!$CU:$CU,""),
"")</f>
        <v/>
      </c>
      <c r="BG126" s="136">
        <f t="shared" si="21"/>
        <v>0.9862</v>
      </c>
      <c r="BH126" s="128" t="str">
        <f>IFERROR(AVERAGEIFS(
'20102013 STH Efficacy'!$CD:$CD, 
'20102013 STH Efficacy'!$BS:$BS, $A126, 
'20102013 STH Efficacy'!$BT:$BT, "Mebendazole",
'20102013 STH Efficacy'!$BZ:$BZ,"&lt;2011",
'20102013 STH Efficacy'!$CU:$CU,""),
"")</f>
        <v/>
      </c>
      <c r="BI126" s="136">
        <f t="shared" si="22"/>
        <v>0.769</v>
      </c>
      <c r="BJ126" s="128" t="str">
        <f>IFERROR(AVERAGEIFS(
'20102013 STH Efficacy'!$CD:$CD, 
'20102013 STH Efficacy'!$BS:$BS, $A126, 
'20102013 STH Efficacy'!$BT:$BT, "Albendazole &amp; Ivermectin",
'20102013 STH Efficacy'!$BZ:$BZ,"&lt;2011",
'20102013 STH Efficacy'!$CU:$CU,""),
"")</f>
        <v/>
      </c>
      <c r="BK126" s="136">
        <f t="shared" si="23"/>
        <v>1</v>
      </c>
      <c r="BL126" s="137"/>
      <c r="BM126" s="137"/>
      <c r="BN126" s="138">
        <v>0.0</v>
      </c>
      <c r="BO126" s="139">
        <v>0.0</v>
      </c>
      <c r="BP126" s="140">
        <v>0.0</v>
      </c>
      <c r="BQ126" s="141">
        <f t="shared" si="24"/>
        <v>0</v>
      </c>
      <c r="BR126" s="104" t="str">
        <f t="shared" si="25"/>
        <v>0000</v>
      </c>
      <c r="BS126" s="104" t="str">
        <f t="shared" si="26"/>
        <v>no action required</v>
      </c>
      <c r="BT126" s="142" t="str">
        <f t="shared" si="27"/>
        <v/>
      </c>
      <c r="BU126" s="104" t="str">
        <f t="shared" si="28"/>
        <v/>
      </c>
      <c r="BV126" s="104" t="str">
        <f t="shared" si="29"/>
        <v>none</v>
      </c>
      <c r="BW126" s="150" t="str">
        <f t="shared" si="30"/>
        <v/>
      </c>
      <c r="BX126" s="150" t="str">
        <f t="shared" si="31"/>
        <v/>
      </c>
      <c r="BY126" s="151" t="str">
        <f t="shared" si="32"/>
        <v/>
      </c>
      <c r="BZ126" s="152" t="str">
        <f t="shared" si="33"/>
        <v/>
      </c>
      <c r="CA126" s="152" t="str">
        <f t="shared" si="34"/>
        <v/>
      </c>
      <c r="CB126" s="152" t="str">
        <f t="shared" si="35"/>
        <v/>
      </c>
      <c r="CC126" s="153" t="str">
        <f t="shared" si="36"/>
        <v/>
      </c>
      <c r="CD126" s="153" t="str">
        <f t="shared" si="37"/>
        <v/>
      </c>
      <c r="CE126" s="154" t="str">
        <f t="shared" si="38"/>
        <v/>
      </c>
      <c r="CF126" s="154" t="str">
        <f t="shared" si="39"/>
        <v/>
      </c>
      <c r="CG126" s="154" t="str">
        <f t="shared" si="40"/>
        <v/>
      </c>
    </row>
    <row r="127">
      <c r="A127" s="103" t="s">
        <v>216</v>
      </c>
      <c r="B127" s="104" t="s">
        <v>94</v>
      </c>
      <c r="C127" s="105">
        <v>103616.0</v>
      </c>
      <c r="D127" s="106">
        <v>25.07314473</v>
      </c>
      <c r="E127" s="107">
        <v>0.0</v>
      </c>
      <c r="F127" s="163"/>
      <c r="G127" s="163"/>
      <c r="H127" s="108">
        <v>0.422888554</v>
      </c>
      <c r="I127" s="109">
        <v>0.0</v>
      </c>
      <c r="J127" s="109">
        <v>0.0</v>
      </c>
      <c r="K127" s="109">
        <v>10.84327969</v>
      </c>
      <c r="L127" s="112">
        <v>5.945326265</v>
      </c>
      <c r="M127" s="112">
        <v>16.67576151</v>
      </c>
      <c r="N127" s="158">
        <v>22.62108778</v>
      </c>
      <c r="O127" s="159"/>
      <c r="P127" s="160">
        <v>11241.0</v>
      </c>
      <c r="Q127" s="156"/>
      <c r="R127" s="115">
        <f t="shared" si="8"/>
        <v>0</v>
      </c>
      <c r="S127" s="116">
        <f t="shared" si="9"/>
        <v>0.1955251818</v>
      </c>
      <c r="T127" s="117"/>
      <c r="U127" s="118">
        <f t="shared" si="41"/>
        <v>0.6259666667</v>
      </c>
      <c r="V127" s="148"/>
      <c r="W127" s="120">
        <f t="shared" si="10"/>
        <v>0.55175</v>
      </c>
      <c r="X127" s="148"/>
      <c r="Y127" s="120">
        <f t="shared" si="11"/>
        <v>0.4826142857</v>
      </c>
      <c r="Z127" s="121"/>
      <c r="AA127" s="121"/>
      <c r="AB127" s="121"/>
      <c r="AC127" s="121"/>
      <c r="AD127" s="122">
        <v>0.0047</v>
      </c>
      <c r="AE127" s="165">
        <v>0.0</v>
      </c>
      <c r="AF127" s="123">
        <v>0.0</v>
      </c>
      <c r="AG127" s="167">
        <v>0.0</v>
      </c>
      <c r="AH127" s="124">
        <v>0.096937809</v>
      </c>
      <c r="AI127" s="168">
        <v>0.0</v>
      </c>
      <c r="AJ127" s="125">
        <v>0.089673173</v>
      </c>
      <c r="AK127" s="127">
        <v>0.29</v>
      </c>
      <c r="AL127" s="169">
        <v>0.364293045</v>
      </c>
      <c r="AM127" s="128"/>
      <c r="AN127" s="149" t="str">
        <f>IFERROR(
  AVERAGEIFS(
    'New 20102013 LF Efficacy'!$J:$J,
    'New 20102013 LF Efficacy'!$D:$D, $A127,
    'New 20102013 LF Efficacy'!$F:$F,"DEC", 
    'New 20102013 LF Efficacy'!$W:$W,"&lt;2011",
    'New 20102013 LF Efficacy'!$AA:$AA,""),
  ""
)</f>
        <v/>
      </c>
      <c r="AO127" s="115">
        <f t="shared" si="12"/>
        <v>0.38</v>
      </c>
      <c r="AP127" s="121" t="str">
        <f>IFERROR(
AVERAGEIFS(
'New 20102013 LF Efficacy'!$J:$J,
'New 20102013 LF Efficacy'!$D:$D,$A127,
'New 20102013 LF Efficacy'!$F:$F,"Albendazole &amp; DEC",
'New 20102013 LF Efficacy'!$W:$W,"&lt;2011",
'New 20102013 LF Efficacy'!$AA:$AA,""),
"")
</f>
        <v/>
      </c>
      <c r="AQ127" s="115">
        <f t="shared" si="13"/>
        <v>0.657</v>
      </c>
      <c r="AR127" s="121" t="str">
        <f>IFERROR(
AVERAGEIFS(
'New 20102013 LF Efficacy'!$J:$J,
'New 20102013 LF Efficacy'!$D:$D,$A127,
'New 20102013 LF Efficacy'!$F:$F,"Albendazole &amp; Ivermectin", 
'New 20102013 LF Efficacy'!$W:$W,"&lt;2011",
'New 20102013 LF Efficacy'!$AA:$AA,""),"")</f>
        <v/>
      </c>
      <c r="AS127" s="115">
        <f t="shared" si="14"/>
        <v>0.37153125</v>
      </c>
      <c r="AT127" s="130" t="str">
        <f>IFERROR(AVERAGEIFS(
'20102013 Schist Efficacy'!$O:$O, 
'20102013 Schist Efficacy'!$C:$C,$A127, 
'20102013 Schist Efficacy'!$D:$D, "Praziquantel",
'20102013 Schist Efficacy'!$J:$J,"&lt;2011",
'20102013 Schist Efficacy'!$U:$U,""),
"")</f>
        <v/>
      </c>
      <c r="AU127" s="118">
        <f t="shared" si="15"/>
        <v>0.95</v>
      </c>
      <c r="AV127" s="131" t="str">
        <f>IFERROR(AVERAGEIFS(
'20102013 STH Efficacy'!$AX:$AX, 
'20102013 STH Efficacy'!$AL:$AL, $A127, 
'20102013 STH Efficacy'!$AM:$AM, "Albendazole",
'20102013 STH Efficacy'!$AS:$AS,"&lt;2011",
'20102013 STH Efficacy'!$BP:$BP,""),
"")</f>
        <v/>
      </c>
      <c r="AW127" s="132">
        <f t="shared" si="16"/>
        <v>0.3571666667</v>
      </c>
      <c r="AX127" s="131" t="str">
        <f>IFERROR(AVERAGEIFS(
'20102013 STH Efficacy'!$AX:$AX, 
'20102013 STH Efficacy'!$AL:$AL, $A127, 
'20102013 STH Efficacy'!$AM:$AM, "Mebendazole",
'20102013 STH Efficacy'!$AS:$AS,"&lt;2011",
'20102013 STH Efficacy'!$BP:$BP,""),
"")</f>
        <v/>
      </c>
      <c r="AY127" s="132">
        <f t="shared" si="17"/>
        <v>0.4155</v>
      </c>
      <c r="AZ127" s="131" t="str">
        <f>IFERROR(AVERAGEIFS(
'20102013 STH Efficacy'!$AX:$AX, 
'20102013 STH Efficacy'!$AL:$AL, $A127, 
'20102013 STH Efficacy'!$AM:$AM, "Albendazole &amp; Ivermectin",
'20102013 STH Efficacy'!$AS:$AS,"&lt;2011",
'20102013 STH Efficacy'!$BP:$BP,""),
"")</f>
        <v/>
      </c>
      <c r="BA127" s="133">
        <f t="shared" si="18"/>
        <v>0.651</v>
      </c>
      <c r="BB127" s="134" t="str">
        <f>IFERROR(AVERAGEIFS(
'20102013 STH Efficacy'!$N:$N, 
'20102013 STH Efficacy'!$B:$B, $A127, 
'20102013 STH Efficacy'!$C:$C, "Albendazole",
'20102013 STH Efficacy'!$I:$I,"&lt;2011",
'20102013 STH Efficacy'!$AH:$AH,""),
"")</f>
        <v/>
      </c>
      <c r="BC127" s="135">
        <f t="shared" si="19"/>
        <v>0.5769166667</v>
      </c>
      <c r="BD127" s="134" t="str">
        <f>IFERROR(AVERAGEIFS(
'20102013 STH Efficacy'!$N:$N, 
'20102013 STH Efficacy'!$B:$B, $A127, 
'20102013 STH Efficacy'!$C:$C, "Mebendazole",
'20102013 STH Efficacy'!$I:$I,"&lt;2011",
'20102013 STH Efficacy'!$AH:$AH,""),
"")</f>
        <v/>
      </c>
      <c r="BE127" s="135">
        <f t="shared" si="20"/>
        <v>0.3145</v>
      </c>
      <c r="BF127" s="128" t="str">
        <f>IFERROR(AVERAGEIFS(
'20102013 STH Efficacy'!$CD:$CD, 
'20102013 STH Efficacy'!$BS:$BS, $A127, 
'20102013 STH Efficacy'!$BT:$BT, "Albendazole",
'20102013 STH Efficacy'!$BZ:$BZ,"&lt;2011",
'20102013 STH Efficacy'!$CU:$CU,""),
"")</f>
        <v/>
      </c>
      <c r="BG127" s="136">
        <f t="shared" si="21"/>
        <v>0.96925</v>
      </c>
      <c r="BH127" s="128" t="str">
        <f>IFERROR(AVERAGEIFS(
'20102013 STH Efficacy'!$CD:$CD, 
'20102013 STH Efficacy'!$BS:$BS, $A127, 
'20102013 STH Efficacy'!$BT:$BT, "Mebendazole",
'20102013 STH Efficacy'!$BZ:$BZ,"&lt;2011",
'20102013 STH Efficacy'!$CU:$CU,""),
"")</f>
        <v/>
      </c>
      <c r="BI127" s="136">
        <f t="shared" si="22"/>
        <v>0.9305</v>
      </c>
      <c r="BJ127" s="128" t="str">
        <f>IFERROR(AVERAGEIFS(
'20102013 STH Efficacy'!$CD:$CD, 
'20102013 STH Efficacy'!$BS:$BS, $A127, 
'20102013 STH Efficacy'!$BT:$BT, "Albendazole &amp; Ivermectin",
'20102013 STH Efficacy'!$BZ:$BZ,"&lt;2011",
'20102013 STH Efficacy'!$CU:$CU,""),
"")</f>
        <v/>
      </c>
      <c r="BK127" s="136">
        <f t="shared" si="23"/>
        <v>1</v>
      </c>
      <c r="BL127" s="137"/>
      <c r="BM127" s="137"/>
      <c r="BN127" s="138">
        <v>1.0</v>
      </c>
      <c r="BO127" s="139">
        <v>0.0</v>
      </c>
      <c r="BP127" s="140">
        <v>0.0</v>
      </c>
      <c r="BQ127" s="141">
        <f t="shared" si="24"/>
        <v>0</v>
      </c>
      <c r="BR127" s="104" t="str">
        <f t="shared" si="25"/>
        <v>1000</v>
      </c>
      <c r="BS127" s="104" t="str">
        <f t="shared" si="26"/>
        <v>MDA1/2</v>
      </c>
      <c r="BT127" s="142" t="str">
        <f t="shared" si="27"/>
        <v>DEC+ALB</v>
      </c>
      <c r="BU127" s="104" t="str">
        <f t="shared" si="28"/>
        <v/>
      </c>
      <c r="BV127" s="104" t="str">
        <f t="shared" si="29"/>
        <v>lf only</v>
      </c>
      <c r="BW127" s="150">
        <f t="shared" si="30"/>
        <v>3.695639271</v>
      </c>
      <c r="BX127" s="150" t="str">
        <f t="shared" si="31"/>
        <v/>
      </c>
      <c r="BY127" s="151" t="str">
        <f t="shared" si="32"/>
        <v/>
      </c>
      <c r="BZ127" s="152" t="str">
        <f t="shared" si="33"/>
        <v/>
      </c>
      <c r="CA127" s="152" t="str">
        <f t="shared" si="34"/>
        <v/>
      </c>
      <c r="CB127" s="152" t="str">
        <f t="shared" si="35"/>
        <v/>
      </c>
      <c r="CC127" s="153" t="str">
        <f t="shared" si="36"/>
        <v/>
      </c>
      <c r="CD127" s="153" t="str">
        <f t="shared" si="37"/>
        <v/>
      </c>
      <c r="CE127" s="154" t="str">
        <f t="shared" si="38"/>
        <v/>
      </c>
      <c r="CF127" s="154" t="str">
        <f t="shared" si="39"/>
        <v/>
      </c>
      <c r="CG127" s="154" t="str">
        <f t="shared" si="40"/>
        <v/>
      </c>
    </row>
    <row r="128">
      <c r="A128" s="103" t="s">
        <v>217</v>
      </c>
      <c r="B128" s="104" t="s">
        <v>90</v>
      </c>
      <c r="C128" s="105">
        <v>37094.0</v>
      </c>
      <c r="D128" s="106">
        <v>0.0</v>
      </c>
      <c r="E128" s="107">
        <v>0.0</v>
      </c>
      <c r="F128" s="163"/>
      <c r="G128" s="163"/>
      <c r="H128" s="108">
        <v>0.0</v>
      </c>
      <c r="I128" s="109">
        <v>0.0</v>
      </c>
      <c r="J128" s="109">
        <v>0.0</v>
      </c>
      <c r="K128" s="109">
        <v>0.0</v>
      </c>
      <c r="L128" s="113"/>
      <c r="M128" s="113"/>
      <c r="N128" s="112">
        <v>0.0</v>
      </c>
      <c r="O128" s="113"/>
      <c r="P128" s="114"/>
      <c r="Q128" s="114"/>
      <c r="R128" s="115" t="str">
        <f t="shared" si="8"/>
        <v/>
      </c>
      <c r="S128" s="116">
        <f t="shared" si="9"/>
        <v>0.4013436246</v>
      </c>
      <c r="T128" s="117"/>
      <c r="U128" s="118">
        <f t="shared" si="41"/>
        <v>0.3468166667</v>
      </c>
      <c r="V128" s="148"/>
      <c r="W128" s="120">
        <f t="shared" si="10"/>
        <v>1</v>
      </c>
      <c r="X128" s="148"/>
      <c r="Y128" s="120">
        <f t="shared" si="11"/>
        <v>0.71735</v>
      </c>
      <c r="Z128" s="114"/>
      <c r="AA128" s="114"/>
      <c r="AB128" s="114"/>
      <c r="AC128" s="114"/>
      <c r="AD128" s="164">
        <v>0.0</v>
      </c>
      <c r="AE128" s="165">
        <v>0.0</v>
      </c>
      <c r="AF128" s="166">
        <v>0.0</v>
      </c>
      <c r="AG128" s="167">
        <v>0.0</v>
      </c>
      <c r="AH128" s="172">
        <v>0.0</v>
      </c>
      <c r="AI128" s="168">
        <v>0.0</v>
      </c>
      <c r="AJ128" s="173">
        <v>0.0</v>
      </c>
      <c r="AK128" s="126">
        <v>0.0</v>
      </c>
      <c r="AL128" s="169">
        <v>0.0</v>
      </c>
      <c r="AM128" s="128"/>
      <c r="AN128" s="149" t="str">
        <f>IFERROR(
  AVERAGEIFS(
    'New 20102013 LF Efficacy'!$J:$J,
    'New 20102013 LF Efficacy'!$D:$D, $A128,
    'New 20102013 LF Efficacy'!$F:$F,"DEC", 
    'New 20102013 LF Efficacy'!$W:$W,"&lt;2011",
    'New 20102013 LF Efficacy'!$AA:$AA,""),
  ""
)</f>
        <v/>
      </c>
      <c r="AO128" s="115">
        <f t="shared" si="12"/>
        <v>0.3573520833</v>
      </c>
      <c r="AP128" s="121" t="str">
        <f>IFERROR(
AVERAGEIFS(
'New 20102013 LF Efficacy'!$J:$J,
'New 20102013 LF Efficacy'!$D:$D,$A128,
'New 20102013 LF Efficacy'!$F:$F,"Albendazole &amp; DEC",
'New 20102013 LF Efficacy'!$W:$W,"&lt;2011",
'New 20102013 LF Efficacy'!$AA:$AA,""),
"")
</f>
        <v/>
      </c>
      <c r="AQ128" s="115">
        <f t="shared" si="13"/>
        <v>0.5137291667</v>
      </c>
      <c r="AR128" s="121" t="str">
        <f>IFERROR(
AVERAGEIFS(
'New 20102013 LF Efficacy'!$J:$J,
'New 20102013 LF Efficacy'!$D:$D,$A128,
'New 20102013 LF Efficacy'!$F:$F,"Albendazole &amp; Ivermectin", 
'New 20102013 LF Efficacy'!$W:$W,"&lt;2011",
'New 20102013 LF Efficacy'!$AA:$AA,""),"")</f>
        <v/>
      </c>
      <c r="AS128" s="115">
        <f t="shared" si="14"/>
        <v>0.37153125</v>
      </c>
      <c r="AT128" s="130" t="str">
        <f>IFERROR(AVERAGEIFS(
'20102013 Schist Efficacy'!$O:$O, 
'20102013 Schist Efficacy'!$C:$C,$A128, 
'20102013 Schist Efficacy'!$D:$D, "Praziquantel",
'20102013 Schist Efficacy'!$J:$J,"&lt;2011",
'20102013 Schist Efficacy'!$U:$U,""),
"")</f>
        <v/>
      </c>
      <c r="AU128" s="118">
        <f t="shared" si="15"/>
        <v>0.655</v>
      </c>
      <c r="AV128" s="131" t="str">
        <f>IFERROR(AVERAGEIFS(
'20102013 STH Efficacy'!$AX:$AX, 
'20102013 STH Efficacy'!$AL:$AL, $A128, 
'20102013 STH Efficacy'!$AM:$AM, "Albendazole",
'20102013 STH Efficacy'!$AS:$AS,"&lt;2011",
'20102013 STH Efficacy'!$BP:$BP,""),
"")</f>
        <v/>
      </c>
      <c r="AW128" s="132">
        <f t="shared" si="16"/>
        <v>0.3842878788</v>
      </c>
      <c r="AX128" s="131" t="str">
        <f>IFERROR(AVERAGEIFS(
'20102013 STH Efficacy'!$AX:$AX, 
'20102013 STH Efficacy'!$AL:$AL, $A128, 
'20102013 STH Efficacy'!$AM:$AM, "Mebendazole",
'20102013 STH Efficacy'!$AS:$AS,"&lt;2011",
'20102013 STH Efficacy'!$BP:$BP,""),
"")</f>
        <v/>
      </c>
      <c r="AY128" s="132">
        <f t="shared" si="17"/>
        <v>0.5121666667</v>
      </c>
      <c r="AZ128" s="131" t="str">
        <f>IFERROR(AVERAGEIFS(
'20102013 STH Efficacy'!$AX:$AX, 
'20102013 STH Efficacy'!$AL:$AL, $A128, 
'20102013 STH Efficacy'!$AM:$AM, "Albendazole &amp; Ivermectin",
'20102013 STH Efficacy'!$AS:$AS,"&lt;2011",
'20102013 STH Efficacy'!$BP:$BP,""),
"")</f>
        <v/>
      </c>
      <c r="BA128" s="133">
        <f t="shared" si="18"/>
        <v>0.7176666667</v>
      </c>
      <c r="BB128" s="134" t="str">
        <f>IFERROR(AVERAGEIFS(
'20102013 STH Efficacy'!$N:$N, 
'20102013 STH Efficacy'!$B:$B, $A128, 
'20102013 STH Efficacy'!$C:$C, "Albendazole",
'20102013 STH Efficacy'!$I:$I,"&lt;2011",
'20102013 STH Efficacy'!$AH:$AH,""),
"")</f>
        <v/>
      </c>
      <c r="BC128" s="135">
        <f t="shared" si="19"/>
        <v>0.7630416667</v>
      </c>
      <c r="BD128" s="134" t="str">
        <f>IFERROR(AVERAGEIFS(
'20102013 STH Efficacy'!$N:$N, 
'20102013 STH Efficacy'!$B:$B, $A128, 
'20102013 STH Efficacy'!$C:$C, "Mebendazole",
'20102013 STH Efficacy'!$I:$I,"&lt;2011",
'20102013 STH Efficacy'!$AH:$AH,""),
"")</f>
        <v/>
      </c>
      <c r="BE128" s="135">
        <f t="shared" si="20"/>
        <v>0.4405966667</v>
      </c>
      <c r="BF128" s="128" t="str">
        <f>IFERROR(AVERAGEIFS(
'20102013 STH Efficacy'!$CD:$CD, 
'20102013 STH Efficacy'!$BS:$BS, $A128, 
'20102013 STH Efficacy'!$BT:$BT, "Albendazole",
'20102013 STH Efficacy'!$BZ:$BZ,"&lt;2011",
'20102013 STH Efficacy'!$CU:$CU,""),
"")</f>
        <v/>
      </c>
      <c r="BG128" s="136">
        <f t="shared" si="21"/>
        <v>0.9403222222</v>
      </c>
      <c r="BH128" s="128" t="str">
        <f>IFERROR(AVERAGEIFS(
'20102013 STH Efficacy'!$CD:$CD, 
'20102013 STH Efficacy'!$BS:$BS, $A128, 
'20102013 STH Efficacy'!$BT:$BT, "Mebendazole",
'20102013 STH Efficacy'!$BZ:$BZ,"&lt;2011",
'20102013 STH Efficacy'!$CU:$CU,""),
"")</f>
        <v/>
      </c>
      <c r="BI128" s="136">
        <f t="shared" si="22"/>
        <v>0.9229285714</v>
      </c>
      <c r="BJ128" s="128" t="str">
        <f>IFERROR(AVERAGEIFS(
'20102013 STH Efficacy'!$CD:$CD, 
'20102013 STH Efficacy'!$BS:$BS, $A128, 
'20102013 STH Efficacy'!$BT:$BT, "Albendazole &amp; Ivermectin",
'20102013 STH Efficacy'!$BZ:$BZ,"&lt;2011",
'20102013 STH Efficacy'!$CU:$CU,""),
"")</f>
        <v/>
      </c>
      <c r="BK128" s="136">
        <f t="shared" si="23"/>
        <v>1</v>
      </c>
      <c r="BL128" s="137"/>
      <c r="BM128" s="137"/>
      <c r="BN128" s="138">
        <v>0.0</v>
      </c>
      <c r="BO128" s="139">
        <v>0.0</v>
      </c>
      <c r="BP128" s="140">
        <v>0.0</v>
      </c>
      <c r="BQ128" s="141">
        <f t="shared" si="24"/>
        <v>0</v>
      </c>
      <c r="BR128" s="104" t="str">
        <f t="shared" si="25"/>
        <v>0000</v>
      </c>
      <c r="BS128" s="104" t="str">
        <f t="shared" si="26"/>
        <v>no action required</v>
      </c>
      <c r="BT128" s="142" t="str">
        <f t="shared" si="27"/>
        <v/>
      </c>
      <c r="BU128" s="104" t="str">
        <f t="shared" si="28"/>
        <v/>
      </c>
      <c r="BV128" s="104" t="str">
        <f t="shared" si="29"/>
        <v>none</v>
      </c>
      <c r="BW128" s="150" t="str">
        <f t="shared" si="30"/>
        <v/>
      </c>
      <c r="BX128" s="150" t="str">
        <f t="shared" si="31"/>
        <v/>
      </c>
      <c r="BY128" s="151" t="str">
        <f t="shared" si="32"/>
        <v/>
      </c>
      <c r="BZ128" s="152" t="str">
        <f t="shared" si="33"/>
        <v/>
      </c>
      <c r="CA128" s="152" t="str">
        <f t="shared" si="34"/>
        <v/>
      </c>
      <c r="CB128" s="152" t="str">
        <f t="shared" si="35"/>
        <v/>
      </c>
      <c r="CC128" s="153" t="str">
        <f t="shared" si="36"/>
        <v/>
      </c>
      <c r="CD128" s="153" t="str">
        <f t="shared" si="37"/>
        <v/>
      </c>
      <c r="CE128" s="154" t="str">
        <f t="shared" si="38"/>
        <v/>
      </c>
      <c r="CF128" s="154" t="str">
        <f t="shared" si="39"/>
        <v/>
      </c>
      <c r="CG128" s="154" t="str">
        <f t="shared" si="40"/>
        <v/>
      </c>
    </row>
    <row r="129">
      <c r="A129" s="103" t="s">
        <v>218</v>
      </c>
      <c r="B129" s="104" t="s">
        <v>94</v>
      </c>
      <c r="C129" s="105">
        <v>2712650.0</v>
      </c>
      <c r="D129" s="106">
        <v>0.0</v>
      </c>
      <c r="E129" s="107">
        <v>0.0</v>
      </c>
      <c r="F129" s="108">
        <v>0.0</v>
      </c>
      <c r="G129" s="108">
        <v>0.0</v>
      </c>
      <c r="H129" s="108">
        <v>0.0</v>
      </c>
      <c r="I129" s="109">
        <v>0.02026968</v>
      </c>
      <c r="J129" s="109">
        <v>0.02411702</v>
      </c>
      <c r="K129" s="109">
        <v>0.044386703</v>
      </c>
      <c r="L129" s="112">
        <v>0.0</v>
      </c>
      <c r="M129" s="112">
        <v>0.0</v>
      </c>
      <c r="N129" s="112">
        <v>0.0</v>
      </c>
      <c r="O129" s="113"/>
      <c r="P129" s="114"/>
      <c r="Q129" s="114"/>
      <c r="R129" s="115" t="str">
        <f t="shared" si="8"/>
        <v/>
      </c>
      <c r="S129" s="116">
        <f t="shared" si="9"/>
        <v>0.1955251818</v>
      </c>
      <c r="T129" s="117"/>
      <c r="U129" s="118">
        <f t="shared" si="41"/>
        <v>0.6259666667</v>
      </c>
      <c r="V129" s="148"/>
      <c r="W129" s="120">
        <f t="shared" si="10"/>
        <v>0.55175</v>
      </c>
      <c r="X129" s="148"/>
      <c r="Y129" s="120">
        <f t="shared" si="11"/>
        <v>0.4826142857</v>
      </c>
      <c r="Z129" s="121"/>
      <c r="AA129" s="121"/>
      <c r="AB129" s="121"/>
      <c r="AC129" s="121"/>
      <c r="AD129" s="122">
        <v>0.0</v>
      </c>
      <c r="AE129" s="123">
        <v>0.0</v>
      </c>
      <c r="AF129" s="123">
        <v>0.0</v>
      </c>
      <c r="AG129" s="167">
        <v>0.0</v>
      </c>
      <c r="AH129" s="124">
        <v>1.16874E-5</v>
      </c>
      <c r="AI129" s="125">
        <v>0.0</v>
      </c>
      <c r="AJ129" s="125">
        <v>1.13E-5</v>
      </c>
      <c r="AK129" s="127">
        <v>0.0</v>
      </c>
      <c r="AL129" s="127">
        <v>1.15185E-5</v>
      </c>
      <c r="AM129" s="128"/>
      <c r="AN129" s="149" t="str">
        <f>IFERROR(
  AVERAGEIFS(
    'New 20102013 LF Efficacy'!$J:$J,
    'New 20102013 LF Efficacy'!$D:$D, $A129,
    'New 20102013 LF Efficacy'!$F:$F,"DEC", 
    'New 20102013 LF Efficacy'!$W:$W,"&lt;2011",
    'New 20102013 LF Efficacy'!$AA:$AA,""),
  ""
)</f>
        <v/>
      </c>
      <c r="AO129" s="115">
        <f t="shared" si="12"/>
        <v>0.38</v>
      </c>
      <c r="AP129" s="121" t="str">
        <f>IFERROR(
AVERAGEIFS(
'New 20102013 LF Efficacy'!$J:$J,
'New 20102013 LF Efficacy'!$D:$D,$A129,
'New 20102013 LF Efficacy'!$F:$F,"Albendazole &amp; DEC",
'New 20102013 LF Efficacy'!$W:$W,"&lt;2011",
'New 20102013 LF Efficacy'!$AA:$AA,""),
"")
</f>
        <v/>
      </c>
      <c r="AQ129" s="115">
        <f t="shared" si="13"/>
        <v>0.657</v>
      </c>
      <c r="AR129" s="121" t="str">
        <f>IFERROR(
AVERAGEIFS(
'New 20102013 LF Efficacy'!$J:$J,
'New 20102013 LF Efficacy'!$D:$D,$A129,
'New 20102013 LF Efficacy'!$F:$F,"Albendazole &amp; Ivermectin", 
'New 20102013 LF Efficacy'!$W:$W,"&lt;2011",
'New 20102013 LF Efficacy'!$AA:$AA,""),"")</f>
        <v/>
      </c>
      <c r="AS129" s="115">
        <f t="shared" si="14"/>
        <v>0.37153125</v>
      </c>
      <c r="AT129" s="130" t="str">
        <f>IFERROR(AVERAGEIFS(
'20102013 Schist Efficacy'!$O:$O, 
'20102013 Schist Efficacy'!$C:$C,$A129, 
'20102013 Schist Efficacy'!$D:$D, "Praziquantel",
'20102013 Schist Efficacy'!$J:$J,"&lt;2011",
'20102013 Schist Efficacy'!$U:$U,""),
"")</f>
        <v/>
      </c>
      <c r="AU129" s="118">
        <f t="shared" si="15"/>
        <v>0.95</v>
      </c>
      <c r="AV129" s="131" t="str">
        <f>IFERROR(AVERAGEIFS(
'20102013 STH Efficacy'!$AX:$AX, 
'20102013 STH Efficacy'!$AL:$AL, $A129, 
'20102013 STH Efficacy'!$AM:$AM, "Albendazole",
'20102013 STH Efficacy'!$AS:$AS,"&lt;2011",
'20102013 STH Efficacy'!$BP:$BP,""),
"")</f>
        <v/>
      </c>
      <c r="AW129" s="132">
        <f t="shared" si="16"/>
        <v>0.3571666667</v>
      </c>
      <c r="AX129" s="131" t="str">
        <f>IFERROR(AVERAGEIFS(
'20102013 STH Efficacy'!$AX:$AX, 
'20102013 STH Efficacy'!$AL:$AL, $A129, 
'20102013 STH Efficacy'!$AM:$AM, "Mebendazole",
'20102013 STH Efficacy'!$AS:$AS,"&lt;2011",
'20102013 STH Efficacy'!$BP:$BP,""),
"")</f>
        <v/>
      </c>
      <c r="AY129" s="132">
        <f t="shared" si="17"/>
        <v>0.4155</v>
      </c>
      <c r="AZ129" s="131" t="str">
        <f>IFERROR(AVERAGEIFS(
'20102013 STH Efficacy'!$AX:$AX, 
'20102013 STH Efficacy'!$AL:$AL, $A129, 
'20102013 STH Efficacy'!$AM:$AM, "Albendazole &amp; Ivermectin",
'20102013 STH Efficacy'!$AS:$AS,"&lt;2011",
'20102013 STH Efficacy'!$BP:$BP,""),
"")</f>
        <v/>
      </c>
      <c r="BA129" s="133">
        <f t="shared" si="18"/>
        <v>0.651</v>
      </c>
      <c r="BB129" s="134" t="str">
        <f>IFERROR(AVERAGEIFS(
'20102013 STH Efficacy'!$N:$N, 
'20102013 STH Efficacy'!$B:$B, $A129, 
'20102013 STH Efficacy'!$C:$C, "Albendazole",
'20102013 STH Efficacy'!$I:$I,"&lt;2011",
'20102013 STH Efficacy'!$AH:$AH,""),
"")</f>
        <v/>
      </c>
      <c r="BC129" s="135">
        <f t="shared" si="19"/>
        <v>0.5769166667</v>
      </c>
      <c r="BD129" s="134" t="str">
        <f>IFERROR(AVERAGEIFS(
'20102013 STH Efficacy'!$N:$N, 
'20102013 STH Efficacy'!$B:$B, $A129, 
'20102013 STH Efficacy'!$C:$C, "Mebendazole",
'20102013 STH Efficacy'!$I:$I,"&lt;2011",
'20102013 STH Efficacy'!$AH:$AH,""),
"")</f>
        <v/>
      </c>
      <c r="BE129" s="135">
        <f t="shared" si="20"/>
        <v>0.3145</v>
      </c>
      <c r="BF129" s="128" t="str">
        <f>IFERROR(AVERAGEIFS(
'20102013 STH Efficacy'!$CD:$CD, 
'20102013 STH Efficacy'!$BS:$BS, $A129, 
'20102013 STH Efficacy'!$BT:$BT, "Albendazole",
'20102013 STH Efficacy'!$BZ:$BZ,"&lt;2011",
'20102013 STH Efficacy'!$CU:$CU,""),
"")</f>
        <v/>
      </c>
      <c r="BG129" s="136">
        <f t="shared" si="21"/>
        <v>0.96925</v>
      </c>
      <c r="BH129" s="128" t="str">
        <f>IFERROR(AVERAGEIFS(
'20102013 STH Efficacy'!$CD:$CD, 
'20102013 STH Efficacy'!$BS:$BS, $A129, 
'20102013 STH Efficacy'!$BT:$BT, "Mebendazole",
'20102013 STH Efficacy'!$BZ:$BZ,"&lt;2011",
'20102013 STH Efficacy'!$CU:$CU,""),
"")</f>
        <v/>
      </c>
      <c r="BI129" s="136">
        <f t="shared" si="22"/>
        <v>0.9305</v>
      </c>
      <c r="BJ129" s="128" t="str">
        <f>IFERROR(AVERAGEIFS(
'20102013 STH Efficacy'!$CD:$CD, 
'20102013 STH Efficacy'!$BS:$BS, $A129, 
'20102013 STH Efficacy'!$BT:$BT, "Albendazole &amp; Ivermectin",
'20102013 STH Efficacy'!$BZ:$BZ,"&lt;2011",
'20102013 STH Efficacy'!$CU:$CU,""),
"")</f>
        <v/>
      </c>
      <c r="BK129" s="136">
        <f t="shared" si="23"/>
        <v>1</v>
      </c>
      <c r="BL129" s="137"/>
      <c r="BM129" s="137"/>
      <c r="BN129" s="138">
        <v>0.0</v>
      </c>
      <c r="BO129" s="139">
        <v>0.0</v>
      </c>
      <c r="BP129" s="140">
        <v>0.0</v>
      </c>
      <c r="BQ129" s="141">
        <f t="shared" si="24"/>
        <v>0</v>
      </c>
      <c r="BR129" s="104" t="str">
        <f t="shared" si="25"/>
        <v>0000</v>
      </c>
      <c r="BS129" s="104" t="str">
        <f t="shared" si="26"/>
        <v>no action required</v>
      </c>
      <c r="BT129" s="142" t="str">
        <f t="shared" si="27"/>
        <v/>
      </c>
      <c r="BU129" s="104" t="str">
        <f t="shared" si="28"/>
        <v/>
      </c>
      <c r="BV129" s="104" t="str">
        <f t="shared" si="29"/>
        <v>none</v>
      </c>
      <c r="BW129" s="150" t="str">
        <f t="shared" si="30"/>
        <v/>
      </c>
      <c r="BX129" s="150" t="str">
        <f t="shared" si="31"/>
        <v/>
      </c>
      <c r="BY129" s="151" t="str">
        <f t="shared" si="32"/>
        <v/>
      </c>
      <c r="BZ129" s="152" t="str">
        <f t="shared" si="33"/>
        <v/>
      </c>
      <c r="CA129" s="152" t="str">
        <f t="shared" si="34"/>
        <v/>
      </c>
      <c r="CB129" s="152" t="str">
        <f t="shared" si="35"/>
        <v/>
      </c>
      <c r="CC129" s="153" t="str">
        <f t="shared" si="36"/>
        <v/>
      </c>
      <c r="CD129" s="153" t="str">
        <f t="shared" si="37"/>
        <v/>
      </c>
      <c r="CE129" s="154" t="str">
        <f t="shared" si="38"/>
        <v/>
      </c>
      <c r="CF129" s="154" t="str">
        <f t="shared" si="39"/>
        <v/>
      </c>
      <c r="CG129" s="154" t="str">
        <f t="shared" si="40"/>
        <v/>
      </c>
    </row>
    <row r="130">
      <c r="A130" s="155" t="s">
        <v>219</v>
      </c>
      <c r="B130" s="104" t="s">
        <v>90</v>
      </c>
      <c r="C130" s="105">
        <v>619428.0</v>
      </c>
      <c r="D130" s="106">
        <v>0.0</v>
      </c>
      <c r="E130" s="107">
        <v>0.0</v>
      </c>
      <c r="F130" s="108">
        <v>0.0</v>
      </c>
      <c r="G130" s="108">
        <v>0.0</v>
      </c>
      <c r="H130" s="108">
        <v>0.0</v>
      </c>
      <c r="I130" s="109">
        <v>0.0</v>
      </c>
      <c r="J130" s="109">
        <v>0.0</v>
      </c>
      <c r="K130" s="109">
        <v>0.0</v>
      </c>
      <c r="L130" s="112">
        <v>0.10274047</v>
      </c>
      <c r="M130" s="112">
        <v>0.056002469</v>
      </c>
      <c r="N130" s="112">
        <v>0.158742939</v>
      </c>
      <c r="O130" s="113"/>
      <c r="P130" s="114"/>
      <c r="Q130" s="114"/>
      <c r="R130" s="115" t="str">
        <f t="shared" si="8"/>
        <v/>
      </c>
      <c r="S130" s="116">
        <f t="shared" si="9"/>
        <v>0.4013436246</v>
      </c>
      <c r="T130" s="117"/>
      <c r="U130" s="118">
        <f t="shared" si="41"/>
        <v>0.3468166667</v>
      </c>
      <c r="V130" s="148"/>
      <c r="W130" s="120">
        <f t="shared" si="10"/>
        <v>1</v>
      </c>
      <c r="X130" s="148"/>
      <c r="Y130" s="120">
        <f t="shared" si="11"/>
        <v>0.71735</v>
      </c>
      <c r="Z130" s="114"/>
      <c r="AA130" s="114"/>
      <c r="AB130" s="114"/>
      <c r="AC130" s="114"/>
      <c r="AD130" s="164">
        <v>0.0</v>
      </c>
      <c r="AE130" s="123">
        <v>0.0</v>
      </c>
      <c r="AF130" s="123">
        <v>0.0</v>
      </c>
      <c r="AG130" s="167">
        <v>0.0</v>
      </c>
      <c r="AH130" s="124">
        <v>0.0</v>
      </c>
      <c r="AI130" s="168">
        <v>0.0</v>
      </c>
      <c r="AJ130" s="125">
        <v>0.0</v>
      </c>
      <c r="AK130" s="126">
        <v>0.0</v>
      </c>
      <c r="AL130" s="169">
        <v>0.0</v>
      </c>
      <c r="AM130" s="128"/>
      <c r="AN130" s="149" t="str">
        <f>IFERROR(
  AVERAGEIFS(
    'New 20102013 LF Efficacy'!$J:$J,
    'New 20102013 LF Efficacy'!$D:$D, $A130,
    'New 20102013 LF Efficacy'!$F:$F,"DEC", 
    'New 20102013 LF Efficacy'!$W:$W,"&lt;2011",
    'New 20102013 LF Efficacy'!$AA:$AA,""),
  ""
)</f>
        <v/>
      </c>
      <c r="AO130" s="115">
        <f t="shared" si="12"/>
        <v>0.3573520833</v>
      </c>
      <c r="AP130" s="121" t="str">
        <f>IFERROR(
AVERAGEIFS(
'New 20102013 LF Efficacy'!$J:$J,
'New 20102013 LF Efficacy'!$D:$D,$A130,
'New 20102013 LF Efficacy'!$F:$F,"Albendazole &amp; DEC",
'New 20102013 LF Efficacy'!$W:$W,"&lt;2011",
'New 20102013 LF Efficacy'!$AA:$AA,""),
"")
</f>
        <v/>
      </c>
      <c r="AQ130" s="115">
        <f t="shared" si="13"/>
        <v>0.5137291667</v>
      </c>
      <c r="AR130" s="121" t="str">
        <f>IFERROR(
AVERAGEIFS(
'New 20102013 LF Efficacy'!$J:$J,
'New 20102013 LF Efficacy'!$D:$D,$A130,
'New 20102013 LF Efficacy'!$F:$F,"Albendazole &amp; Ivermectin", 
'New 20102013 LF Efficacy'!$W:$W,"&lt;2011",
'New 20102013 LF Efficacy'!$AA:$AA,""),"")</f>
        <v/>
      </c>
      <c r="AS130" s="115">
        <f t="shared" si="14"/>
        <v>0.37153125</v>
      </c>
      <c r="AT130" s="130" t="str">
        <f>IFERROR(AVERAGEIFS(
'20102013 Schist Efficacy'!$O:$O, 
'20102013 Schist Efficacy'!$C:$C,$A130, 
'20102013 Schist Efficacy'!$D:$D, "Praziquantel",
'20102013 Schist Efficacy'!$J:$J,"&lt;2011",
'20102013 Schist Efficacy'!$U:$U,""),
"")</f>
        <v/>
      </c>
      <c r="AU130" s="118">
        <f t="shared" si="15"/>
        <v>0.655</v>
      </c>
      <c r="AV130" s="131" t="str">
        <f>IFERROR(AVERAGEIFS(
'20102013 STH Efficacy'!$AX:$AX, 
'20102013 STH Efficacy'!$AL:$AL, $A130, 
'20102013 STH Efficacy'!$AM:$AM, "Albendazole",
'20102013 STH Efficacy'!$AS:$AS,"&lt;2011",
'20102013 STH Efficacy'!$BP:$BP,""),
"")</f>
        <v/>
      </c>
      <c r="AW130" s="132">
        <f t="shared" si="16"/>
        <v>0.3842878788</v>
      </c>
      <c r="AX130" s="131" t="str">
        <f>IFERROR(AVERAGEIFS(
'20102013 STH Efficacy'!$AX:$AX, 
'20102013 STH Efficacy'!$AL:$AL, $A130, 
'20102013 STH Efficacy'!$AM:$AM, "Mebendazole",
'20102013 STH Efficacy'!$AS:$AS,"&lt;2011",
'20102013 STH Efficacy'!$BP:$BP,""),
"")</f>
        <v/>
      </c>
      <c r="AY130" s="132">
        <f t="shared" si="17"/>
        <v>0.5121666667</v>
      </c>
      <c r="AZ130" s="131" t="str">
        <f>IFERROR(AVERAGEIFS(
'20102013 STH Efficacy'!$AX:$AX, 
'20102013 STH Efficacy'!$AL:$AL, $A130, 
'20102013 STH Efficacy'!$AM:$AM, "Albendazole &amp; Ivermectin",
'20102013 STH Efficacy'!$AS:$AS,"&lt;2011",
'20102013 STH Efficacy'!$BP:$BP,""),
"")</f>
        <v/>
      </c>
      <c r="BA130" s="133">
        <f t="shared" si="18"/>
        <v>0.7176666667</v>
      </c>
      <c r="BB130" s="134" t="str">
        <f>IFERROR(AVERAGEIFS(
'20102013 STH Efficacy'!$N:$N, 
'20102013 STH Efficacy'!$B:$B, $A130, 
'20102013 STH Efficacy'!$C:$C, "Albendazole",
'20102013 STH Efficacy'!$I:$I,"&lt;2011",
'20102013 STH Efficacy'!$AH:$AH,""),
"")</f>
        <v/>
      </c>
      <c r="BC130" s="135">
        <f t="shared" si="19"/>
        <v>0.7630416667</v>
      </c>
      <c r="BD130" s="134" t="str">
        <f>IFERROR(AVERAGEIFS(
'20102013 STH Efficacy'!$N:$N, 
'20102013 STH Efficacy'!$B:$B, $A130, 
'20102013 STH Efficacy'!$C:$C, "Mebendazole",
'20102013 STH Efficacy'!$I:$I,"&lt;2011",
'20102013 STH Efficacy'!$AH:$AH,""),
"")</f>
        <v/>
      </c>
      <c r="BE130" s="135">
        <f t="shared" si="20"/>
        <v>0.4405966667</v>
      </c>
      <c r="BF130" s="128" t="str">
        <f>IFERROR(AVERAGEIFS(
'20102013 STH Efficacy'!$CD:$CD, 
'20102013 STH Efficacy'!$BS:$BS, $A130, 
'20102013 STH Efficacy'!$BT:$BT, "Albendazole",
'20102013 STH Efficacy'!$BZ:$BZ,"&lt;2011",
'20102013 STH Efficacy'!$CU:$CU,""),
"")</f>
        <v/>
      </c>
      <c r="BG130" s="136">
        <f t="shared" si="21"/>
        <v>0.9403222222</v>
      </c>
      <c r="BH130" s="128" t="str">
        <f>IFERROR(AVERAGEIFS(
'20102013 STH Efficacy'!$CD:$CD, 
'20102013 STH Efficacy'!$BS:$BS, $A130, 
'20102013 STH Efficacy'!$BT:$BT, "Mebendazole",
'20102013 STH Efficacy'!$BZ:$BZ,"&lt;2011",
'20102013 STH Efficacy'!$CU:$CU,""),
"")</f>
        <v/>
      </c>
      <c r="BI130" s="136">
        <f t="shared" si="22"/>
        <v>0.9229285714</v>
      </c>
      <c r="BJ130" s="128" t="str">
        <f>IFERROR(AVERAGEIFS(
'20102013 STH Efficacy'!$CD:$CD, 
'20102013 STH Efficacy'!$BS:$BS, $A130, 
'20102013 STH Efficacy'!$BT:$BT, "Albendazole &amp; Ivermectin",
'20102013 STH Efficacy'!$BZ:$BZ,"&lt;2011",
'20102013 STH Efficacy'!$CU:$CU,""),
"")</f>
        <v/>
      </c>
      <c r="BK130" s="136">
        <f t="shared" si="23"/>
        <v>1</v>
      </c>
      <c r="BL130" s="137"/>
      <c r="BM130" s="137"/>
      <c r="BN130" s="138">
        <v>0.0</v>
      </c>
      <c r="BO130" s="139">
        <v>0.0</v>
      </c>
      <c r="BP130" s="140">
        <v>0.0</v>
      </c>
      <c r="BQ130" s="141">
        <f t="shared" si="24"/>
        <v>0</v>
      </c>
      <c r="BR130" s="104" t="str">
        <f t="shared" si="25"/>
        <v>0000</v>
      </c>
      <c r="BS130" s="104" t="str">
        <f t="shared" si="26"/>
        <v>no action required</v>
      </c>
      <c r="BT130" s="142" t="str">
        <f t="shared" si="27"/>
        <v/>
      </c>
      <c r="BU130" s="104" t="str">
        <f t="shared" si="28"/>
        <v/>
      </c>
      <c r="BV130" s="104" t="str">
        <f t="shared" si="29"/>
        <v>none</v>
      </c>
      <c r="BW130" s="150" t="str">
        <f t="shared" si="30"/>
        <v/>
      </c>
      <c r="BX130" s="150" t="str">
        <f t="shared" si="31"/>
        <v/>
      </c>
      <c r="BY130" s="151" t="str">
        <f t="shared" si="32"/>
        <v/>
      </c>
      <c r="BZ130" s="152" t="str">
        <f t="shared" si="33"/>
        <v/>
      </c>
      <c r="CA130" s="152" t="str">
        <f t="shared" si="34"/>
        <v/>
      </c>
      <c r="CB130" s="152" t="str">
        <f t="shared" si="35"/>
        <v/>
      </c>
      <c r="CC130" s="153" t="str">
        <f t="shared" si="36"/>
        <v/>
      </c>
      <c r="CD130" s="153" t="str">
        <f t="shared" si="37"/>
        <v/>
      </c>
      <c r="CE130" s="154" t="str">
        <f t="shared" si="38"/>
        <v/>
      </c>
      <c r="CF130" s="154" t="str">
        <f t="shared" si="39"/>
        <v/>
      </c>
      <c r="CG130" s="154" t="str">
        <f t="shared" si="40"/>
        <v/>
      </c>
    </row>
    <row r="131">
      <c r="A131" s="155" t="s">
        <v>220</v>
      </c>
      <c r="B131" s="104" t="s">
        <v>98</v>
      </c>
      <c r="C131" s="105">
        <v>5020.0</v>
      </c>
      <c r="D131" s="106">
        <v>0.0</v>
      </c>
      <c r="E131" s="107">
        <v>0.0</v>
      </c>
      <c r="F131" s="163"/>
      <c r="G131" s="177"/>
      <c r="H131" s="108">
        <v>0.0</v>
      </c>
      <c r="I131" s="109">
        <v>0.0</v>
      </c>
      <c r="J131" s="109">
        <v>0.0</v>
      </c>
      <c r="K131" s="109">
        <v>0.0</v>
      </c>
      <c r="L131" s="113"/>
      <c r="M131" s="113"/>
      <c r="N131" s="112">
        <v>0.0</v>
      </c>
      <c r="O131" s="113"/>
      <c r="P131" s="114"/>
      <c r="Q131" s="114"/>
      <c r="R131" s="115" t="str">
        <f t="shared" si="8"/>
        <v/>
      </c>
      <c r="S131" s="116">
        <f t="shared" si="9"/>
        <v>0.14553293</v>
      </c>
      <c r="T131" s="117"/>
      <c r="U131" s="118">
        <f t="shared" si="41"/>
        <v>0.39435</v>
      </c>
      <c r="V131" s="148"/>
      <c r="W131" s="120">
        <f t="shared" si="10"/>
        <v>0.3616</v>
      </c>
      <c r="X131" s="148"/>
      <c r="Y131" s="120">
        <f t="shared" si="11"/>
        <v>0.5015615385</v>
      </c>
      <c r="Z131" s="114"/>
      <c r="AA131" s="114"/>
      <c r="AB131" s="114"/>
      <c r="AC131" s="114"/>
      <c r="AD131" s="164">
        <v>0.0</v>
      </c>
      <c r="AE131" s="165">
        <v>0.0</v>
      </c>
      <c r="AF131" s="166">
        <v>0.0</v>
      </c>
      <c r="AG131" s="167">
        <v>0.0</v>
      </c>
      <c r="AH131" s="172">
        <v>0.0</v>
      </c>
      <c r="AI131" s="168">
        <v>0.0</v>
      </c>
      <c r="AJ131" s="173">
        <v>0.0</v>
      </c>
      <c r="AK131" s="126">
        <v>0.0</v>
      </c>
      <c r="AL131" s="169">
        <v>0.0</v>
      </c>
      <c r="AM131" s="128"/>
      <c r="AN131" s="149" t="str">
        <f>IFERROR(
  AVERAGEIFS(
    'New 20102013 LF Efficacy'!$J:$J,
    'New 20102013 LF Efficacy'!$D:$D, $A131,
    'New 20102013 LF Efficacy'!$F:$F,"DEC", 
    'New 20102013 LF Efficacy'!$W:$W,"&lt;2011",
    'New 20102013 LF Efficacy'!$AA:$AA,""),
  ""
)</f>
        <v/>
      </c>
      <c r="AO131" s="115">
        <f t="shared" si="12"/>
        <v>0.2589833333</v>
      </c>
      <c r="AP131" s="121" t="str">
        <f>IFERROR(
AVERAGEIFS(
'New 20102013 LF Efficacy'!$J:$J,
'New 20102013 LF Efficacy'!$D:$D,$A131,
'New 20102013 LF Efficacy'!$F:$F,"Albendazole &amp; DEC",
'New 20102013 LF Efficacy'!$W:$W,"&lt;2011",
'New 20102013 LF Efficacy'!$AA:$AA,""),
"")
</f>
        <v/>
      </c>
      <c r="AQ131" s="115">
        <f t="shared" si="13"/>
        <v>0.3465</v>
      </c>
      <c r="AR131" s="121" t="str">
        <f>IFERROR(
AVERAGEIFS(
'New 20102013 LF Efficacy'!$J:$J,
'New 20102013 LF Efficacy'!$D:$D,$A131,
'New 20102013 LF Efficacy'!$F:$F,"Albendazole &amp; Ivermectin", 
'New 20102013 LF Efficacy'!$W:$W,"&lt;2011",
'New 20102013 LF Efficacy'!$AA:$AA,""),"")</f>
        <v/>
      </c>
      <c r="AS131" s="115">
        <f t="shared" si="14"/>
        <v>0.7575</v>
      </c>
      <c r="AT131" s="130" t="str">
        <f>IFERROR(AVERAGEIFS(
'20102013 Schist Efficacy'!$O:$O, 
'20102013 Schist Efficacy'!$C:$C,$A131, 
'20102013 Schist Efficacy'!$D:$D, "Praziquantel",
'20102013 Schist Efficacy'!$J:$J,"&lt;2011",
'20102013 Schist Efficacy'!$U:$U,""),
"")</f>
        <v/>
      </c>
      <c r="AU131" s="118">
        <f t="shared" si="15"/>
        <v>0.7732631579</v>
      </c>
      <c r="AV131" s="131" t="str">
        <f>IFERROR(AVERAGEIFS(
'20102013 STH Efficacy'!$AX:$AX, 
'20102013 STH Efficacy'!$AL:$AL, $A131, 
'20102013 STH Efficacy'!$AM:$AM, "Albendazole",
'20102013 STH Efficacy'!$AS:$AS,"&lt;2011",
'20102013 STH Efficacy'!$BP:$BP,""),
"")</f>
        <v/>
      </c>
      <c r="AW131" s="132">
        <f t="shared" si="16"/>
        <v>0.3945</v>
      </c>
      <c r="AX131" s="131" t="str">
        <f>IFERROR(AVERAGEIFS(
'20102013 STH Efficacy'!$AX:$AX, 
'20102013 STH Efficacy'!$AL:$AL, $A131, 
'20102013 STH Efficacy'!$AM:$AM, "Mebendazole",
'20102013 STH Efficacy'!$AS:$AS,"&lt;2011",
'20102013 STH Efficacy'!$BP:$BP,""),
"")</f>
        <v/>
      </c>
      <c r="AY131" s="132">
        <f t="shared" si="17"/>
        <v>0.6</v>
      </c>
      <c r="AZ131" s="131" t="str">
        <f>IFERROR(AVERAGEIFS(
'20102013 STH Efficacy'!$AX:$AX, 
'20102013 STH Efficacy'!$AL:$AL, $A131, 
'20102013 STH Efficacy'!$AM:$AM, "Albendazole &amp; Ivermectin",
'20102013 STH Efficacy'!$AS:$AS,"&lt;2011",
'20102013 STH Efficacy'!$BP:$BP,""),
"")</f>
        <v/>
      </c>
      <c r="BA131" s="133">
        <f t="shared" si="18"/>
        <v>0.796</v>
      </c>
      <c r="BB131" s="134" t="str">
        <f>IFERROR(AVERAGEIFS(
'20102013 STH Efficacy'!$N:$N, 
'20102013 STH Efficacy'!$B:$B, $A131, 
'20102013 STH Efficacy'!$C:$C, "Albendazole",
'20102013 STH Efficacy'!$I:$I,"&lt;2011",
'20102013 STH Efficacy'!$AH:$AH,""),
"")</f>
        <v/>
      </c>
      <c r="BC131" s="135">
        <f t="shared" si="19"/>
        <v>0.869</v>
      </c>
      <c r="BD131" s="134" t="str">
        <f>IFERROR(AVERAGEIFS(
'20102013 STH Efficacy'!$N:$N, 
'20102013 STH Efficacy'!$B:$B, $A131, 
'20102013 STH Efficacy'!$C:$C, "Mebendazole",
'20102013 STH Efficacy'!$I:$I,"&lt;2011",
'20102013 STH Efficacy'!$AH:$AH,""),
"")</f>
        <v/>
      </c>
      <c r="BE131" s="135">
        <f t="shared" si="20"/>
        <v>0.172</v>
      </c>
      <c r="BF131" s="128" t="str">
        <f>IFERROR(AVERAGEIFS(
'20102013 STH Efficacy'!$CD:$CD, 
'20102013 STH Efficacy'!$BS:$BS, $A131, 
'20102013 STH Efficacy'!$BT:$BT, "Albendazole",
'20102013 STH Efficacy'!$BZ:$BZ,"&lt;2011",
'20102013 STH Efficacy'!$CU:$CU,""),
"")</f>
        <v/>
      </c>
      <c r="BG131" s="136">
        <f t="shared" si="21"/>
        <v>0.9862</v>
      </c>
      <c r="BH131" s="128" t="str">
        <f>IFERROR(AVERAGEIFS(
'20102013 STH Efficacy'!$CD:$CD, 
'20102013 STH Efficacy'!$BS:$BS, $A131, 
'20102013 STH Efficacy'!$BT:$BT, "Mebendazole",
'20102013 STH Efficacy'!$BZ:$BZ,"&lt;2011",
'20102013 STH Efficacy'!$CU:$CU,""),
"")</f>
        <v/>
      </c>
      <c r="BI131" s="136">
        <f t="shared" si="22"/>
        <v>0.769</v>
      </c>
      <c r="BJ131" s="128" t="str">
        <f>IFERROR(AVERAGEIFS(
'20102013 STH Efficacy'!$CD:$CD, 
'20102013 STH Efficacy'!$BS:$BS, $A131, 
'20102013 STH Efficacy'!$BT:$BT, "Albendazole &amp; Ivermectin",
'20102013 STH Efficacy'!$BZ:$BZ,"&lt;2011",
'20102013 STH Efficacy'!$CU:$CU,""),
"")</f>
        <v/>
      </c>
      <c r="BK131" s="136">
        <f t="shared" si="23"/>
        <v>1</v>
      </c>
      <c r="BL131" s="137"/>
      <c r="BM131" s="137"/>
      <c r="BN131" s="138">
        <v>0.0</v>
      </c>
      <c r="BO131" s="139">
        <v>0.0</v>
      </c>
      <c r="BP131" s="140">
        <v>0.0</v>
      </c>
      <c r="BQ131" s="141">
        <f t="shared" si="24"/>
        <v>0</v>
      </c>
      <c r="BR131" s="104" t="str">
        <f t="shared" si="25"/>
        <v>0000</v>
      </c>
      <c r="BS131" s="104" t="str">
        <f t="shared" si="26"/>
        <v>no action required</v>
      </c>
      <c r="BT131" s="142" t="str">
        <f t="shared" si="27"/>
        <v/>
      </c>
      <c r="BU131" s="104" t="str">
        <f t="shared" si="28"/>
        <v/>
      </c>
      <c r="BV131" s="104" t="str">
        <f t="shared" si="29"/>
        <v>none</v>
      </c>
      <c r="BW131" s="150" t="str">
        <f t="shared" si="30"/>
        <v/>
      </c>
      <c r="BX131" s="150" t="str">
        <f t="shared" si="31"/>
        <v/>
      </c>
      <c r="BY131" s="151" t="str">
        <f t="shared" si="32"/>
        <v/>
      </c>
      <c r="BZ131" s="152" t="str">
        <f t="shared" si="33"/>
        <v/>
      </c>
      <c r="CA131" s="152" t="str">
        <f t="shared" si="34"/>
        <v/>
      </c>
      <c r="CB131" s="152" t="str">
        <f t="shared" si="35"/>
        <v/>
      </c>
      <c r="CC131" s="153" t="str">
        <f t="shared" si="36"/>
        <v/>
      </c>
      <c r="CD131" s="153" t="str">
        <f t="shared" si="37"/>
        <v/>
      </c>
      <c r="CE131" s="154" t="str">
        <f t="shared" si="38"/>
        <v/>
      </c>
      <c r="CF131" s="154" t="str">
        <f t="shared" si="39"/>
        <v/>
      </c>
      <c r="CG131" s="154" t="str">
        <f t="shared" si="40"/>
        <v/>
      </c>
    </row>
    <row r="132">
      <c r="A132" s="103" t="s">
        <v>221</v>
      </c>
      <c r="B132" s="104" t="s">
        <v>88</v>
      </c>
      <c r="C132" s="105">
        <v>3.2409639E7</v>
      </c>
      <c r="D132" s="106">
        <v>0.0</v>
      </c>
      <c r="E132" s="107">
        <v>2864.386241</v>
      </c>
      <c r="F132" s="108">
        <v>9.838152942</v>
      </c>
      <c r="G132" s="108">
        <v>54.63515263</v>
      </c>
      <c r="H132" s="108">
        <v>64.47330557</v>
      </c>
      <c r="I132" s="109">
        <v>0.13302304</v>
      </c>
      <c r="J132" s="109">
        <v>0.1614369</v>
      </c>
      <c r="K132" s="110">
        <v>0.294459938</v>
      </c>
      <c r="L132" s="111">
        <v>136.4512014</v>
      </c>
      <c r="M132" s="112">
        <v>296.9782381</v>
      </c>
      <c r="N132" s="112">
        <v>433.4294395</v>
      </c>
      <c r="O132" s="113"/>
      <c r="P132" s="114"/>
      <c r="Q132" s="114"/>
      <c r="R132" s="115" t="str">
        <f t="shared" si="8"/>
        <v/>
      </c>
      <c r="S132" s="116">
        <f t="shared" si="9"/>
        <v>0.3211323089</v>
      </c>
      <c r="T132" s="118">
        <v>0.2809</v>
      </c>
      <c r="U132" s="118">
        <f t="shared" si="41"/>
        <v>0.2809</v>
      </c>
      <c r="V132" s="148"/>
      <c r="W132" s="120">
        <f t="shared" si="10"/>
        <v>0.9019</v>
      </c>
      <c r="X132" s="148"/>
      <c r="Y132" s="120">
        <f t="shared" si="11"/>
        <v>0.094</v>
      </c>
      <c r="Z132" s="114"/>
      <c r="AA132" s="114"/>
      <c r="AB132" s="114"/>
      <c r="AC132" s="114"/>
      <c r="AD132" s="164">
        <v>0.0</v>
      </c>
      <c r="AE132" s="123">
        <v>0.01</v>
      </c>
      <c r="AF132" s="123">
        <v>0.001</v>
      </c>
      <c r="AG132" s="167">
        <v>0.0</v>
      </c>
      <c r="AH132" s="124">
        <v>0.075095719</v>
      </c>
      <c r="AI132" s="168">
        <v>0.0</v>
      </c>
      <c r="AJ132" s="125">
        <v>1.1E-5</v>
      </c>
      <c r="AK132" s="126">
        <v>0.0</v>
      </c>
      <c r="AL132" s="169">
        <v>0.103435225</v>
      </c>
      <c r="AM132" s="128"/>
      <c r="AN132" s="149" t="str">
        <f>IFERROR(
  AVERAGEIFS(
    'New 20102013 LF Efficacy'!$J:$J,
    'New 20102013 LF Efficacy'!$D:$D, $A132,
    'New 20102013 LF Efficacy'!$F:$F,"DEC", 
    'New 20102013 LF Efficacy'!$W:$W,"&lt;2011",
    'New 20102013 LF Efficacy'!$AA:$AA,""),
  ""
)</f>
        <v/>
      </c>
      <c r="AO132" s="115">
        <f t="shared" si="12"/>
        <v>0.3573520833</v>
      </c>
      <c r="AP132" s="121" t="str">
        <f>IFERROR(
AVERAGEIFS(
'New 20102013 LF Efficacy'!$J:$J,
'New 20102013 LF Efficacy'!$D:$D,$A132,
'New 20102013 LF Efficacy'!$F:$F,"Albendazole &amp; DEC",
'New 20102013 LF Efficacy'!$W:$W,"&lt;2011",
'New 20102013 LF Efficacy'!$AA:$AA,""),
"")
</f>
        <v/>
      </c>
      <c r="AQ132" s="115">
        <f t="shared" si="13"/>
        <v>0.7935</v>
      </c>
      <c r="AR132" s="121" t="str">
        <f>IFERROR(
AVERAGEIFS(
'New 20102013 LF Efficacy'!$J:$J,
'New 20102013 LF Efficacy'!$D:$D,$A132,
'New 20102013 LF Efficacy'!$F:$F,"Albendazole &amp; Ivermectin", 
'New 20102013 LF Efficacy'!$W:$W,"&lt;2011",
'New 20102013 LF Efficacy'!$AA:$AA,""),"")</f>
        <v/>
      </c>
      <c r="AS132" s="115">
        <f t="shared" si="14"/>
        <v>0.37153125</v>
      </c>
      <c r="AT132" s="130" t="str">
        <f>IFERROR(AVERAGEIFS(
'20102013 Schist Efficacy'!$O:$O, 
'20102013 Schist Efficacy'!$C:$C,$A132, 
'20102013 Schist Efficacy'!$D:$D, "Praziquantel",
'20102013 Schist Efficacy'!$J:$J,"&lt;2011",
'20102013 Schist Efficacy'!$U:$U,""),
"")</f>
        <v/>
      </c>
      <c r="AU132" s="118">
        <f t="shared" si="15"/>
        <v>0.7763141026</v>
      </c>
      <c r="AV132" s="131" t="str">
        <f>IFERROR(AVERAGEIFS(
'20102013 STH Efficacy'!$AX:$AX, 
'20102013 STH Efficacy'!$AL:$AL, $A132, 
'20102013 STH Efficacy'!$AM:$AM, "Albendazole",
'20102013 STH Efficacy'!$AS:$AS,"&lt;2011",
'20102013 STH Efficacy'!$BP:$BP,""),
"")</f>
        <v/>
      </c>
      <c r="AW132" s="132">
        <f t="shared" si="16"/>
        <v>0.3842878788</v>
      </c>
      <c r="AX132" s="131" t="str">
        <f>IFERROR(AVERAGEIFS(
'20102013 STH Efficacy'!$AX:$AX, 
'20102013 STH Efficacy'!$AL:$AL, $A132, 
'20102013 STH Efficacy'!$AM:$AM, "Mebendazole",
'20102013 STH Efficacy'!$AS:$AS,"&lt;2011",
'20102013 STH Efficacy'!$BP:$BP,""),
"")</f>
        <v/>
      </c>
      <c r="AY132" s="132">
        <f t="shared" si="17"/>
        <v>0.5121666667</v>
      </c>
      <c r="AZ132" s="131" t="str">
        <f>IFERROR(AVERAGEIFS(
'20102013 STH Efficacy'!$AX:$AX, 
'20102013 STH Efficacy'!$AL:$AL, $A132, 
'20102013 STH Efficacy'!$AM:$AM, "Albendazole &amp; Ivermectin",
'20102013 STH Efficacy'!$AS:$AS,"&lt;2011",
'20102013 STH Efficacy'!$BP:$BP,""),
"")</f>
        <v/>
      </c>
      <c r="BA132" s="133">
        <f t="shared" si="18"/>
        <v>0.7176666667</v>
      </c>
      <c r="BB132" s="134" t="str">
        <f>IFERROR(AVERAGEIFS(
'20102013 STH Efficacy'!$N:$N, 
'20102013 STH Efficacy'!$B:$B, $A132, 
'20102013 STH Efficacy'!$C:$C, "Albendazole",
'20102013 STH Efficacy'!$I:$I,"&lt;2011",
'20102013 STH Efficacy'!$AH:$AH,""),
"")</f>
        <v/>
      </c>
      <c r="BC132" s="135">
        <f t="shared" si="19"/>
        <v>0.7630416667</v>
      </c>
      <c r="BD132" s="134" t="str">
        <f>IFERROR(AVERAGEIFS(
'20102013 STH Efficacy'!$N:$N, 
'20102013 STH Efficacy'!$B:$B, $A132, 
'20102013 STH Efficacy'!$C:$C, "Mebendazole",
'20102013 STH Efficacy'!$I:$I,"&lt;2011",
'20102013 STH Efficacy'!$AH:$AH,""),
"")</f>
        <v/>
      </c>
      <c r="BE132" s="135">
        <f t="shared" si="20"/>
        <v>0.4405966667</v>
      </c>
      <c r="BF132" s="128" t="str">
        <f>IFERROR(AVERAGEIFS(
'20102013 STH Efficacy'!$CD:$CD, 
'20102013 STH Efficacy'!$BS:$BS, $A132, 
'20102013 STH Efficacy'!$BT:$BT, "Albendazole",
'20102013 STH Efficacy'!$BZ:$BZ,"&lt;2011",
'20102013 STH Efficacy'!$CU:$CU,""),
"")</f>
        <v/>
      </c>
      <c r="BG132" s="136">
        <f t="shared" si="21"/>
        <v>0.955</v>
      </c>
      <c r="BH132" s="128" t="str">
        <f>IFERROR(AVERAGEIFS(
'20102013 STH Efficacy'!$CD:$CD, 
'20102013 STH Efficacy'!$BS:$BS, $A132, 
'20102013 STH Efficacy'!$BT:$BT, "Mebendazole",
'20102013 STH Efficacy'!$BZ:$BZ,"&lt;2011",
'20102013 STH Efficacy'!$CU:$CU,""),
"")</f>
        <v/>
      </c>
      <c r="BI132" s="136">
        <f t="shared" si="22"/>
        <v>1</v>
      </c>
      <c r="BJ132" s="128" t="str">
        <f>IFERROR(AVERAGEIFS(
'20102013 STH Efficacy'!$CD:$CD, 
'20102013 STH Efficacy'!$BS:$BS, $A132, 
'20102013 STH Efficacy'!$BT:$BT, "Albendazole &amp; Ivermectin",
'20102013 STH Efficacy'!$BZ:$BZ,"&lt;2011",
'20102013 STH Efficacy'!$CU:$CU,""),
"")</f>
        <v/>
      </c>
      <c r="BK132" s="136">
        <f t="shared" si="23"/>
        <v>1</v>
      </c>
      <c r="BL132" s="137"/>
      <c r="BM132" s="137"/>
      <c r="BN132" s="138">
        <v>0.0</v>
      </c>
      <c r="BO132" s="139">
        <v>0.0</v>
      </c>
      <c r="BP132" s="140">
        <v>0.0</v>
      </c>
      <c r="BQ132" s="141">
        <f t="shared" si="24"/>
        <v>0</v>
      </c>
      <c r="BR132" s="104" t="str">
        <f t="shared" si="25"/>
        <v>0000</v>
      </c>
      <c r="BS132" s="104" t="str">
        <f t="shared" si="26"/>
        <v>no action required</v>
      </c>
      <c r="BT132" s="142" t="str">
        <f t="shared" si="27"/>
        <v/>
      </c>
      <c r="BU132" s="104" t="str">
        <f t="shared" si="28"/>
        <v/>
      </c>
      <c r="BV132" s="104" t="str">
        <f t="shared" si="29"/>
        <v>none</v>
      </c>
      <c r="BW132" s="150" t="str">
        <f t="shared" si="30"/>
        <v/>
      </c>
      <c r="BX132" s="150" t="str">
        <f t="shared" si="31"/>
        <v/>
      </c>
      <c r="BY132" s="151" t="str">
        <f t="shared" si="32"/>
        <v/>
      </c>
      <c r="BZ132" s="152" t="str">
        <f t="shared" si="33"/>
        <v/>
      </c>
      <c r="CA132" s="152" t="str">
        <f t="shared" si="34"/>
        <v/>
      </c>
      <c r="CB132" s="152" t="str">
        <f t="shared" si="35"/>
        <v/>
      </c>
      <c r="CC132" s="153" t="str">
        <f t="shared" si="36"/>
        <v/>
      </c>
      <c r="CD132" s="153" t="str">
        <f t="shared" si="37"/>
        <v/>
      </c>
      <c r="CE132" s="154" t="str">
        <f t="shared" si="38"/>
        <v/>
      </c>
      <c r="CF132" s="154" t="str">
        <f t="shared" si="39"/>
        <v/>
      </c>
      <c r="CG132" s="154" t="str">
        <f t="shared" si="40"/>
        <v/>
      </c>
    </row>
    <row r="133">
      <c r="A133" s="103" t="s">
        <v>222</v>
      </c>
      <c r="B133" s="104" t="s">
        <v>92</v>
      </c>
      <c r="C133" s="105">
        <v>2.4221405E7</v>
      </c>
      <c r="D133" s="106">
        <v>44335.16609</v>
      </c>
      <c r="E133" s="107">
        <v>25749.72152</v>
      </c>
      <c r="F133" s="157">
        <v>1494.82416</v>
      </c>
      <c r="G133" s="157">
        <v>6609.203197</v>
      </c>
      <c r="H133" s="157">
        <v>8104.027357</v>
      </c>
      <c r="I133" s="110">
        <v>2224.73196</v>
      </c>
      <c r="J133" s="110">
        <v>6030.7021</v>
      </c>
      <c r="K133" s="109">
        <v>8255.434053</v>
      </c>
      <c r="L133" s="112">
        <v>16511.8267</v>
      </c>
      <c r="M133" s="112">
        <v>2551.895163</v>
      </c>
      <c r="N133" s="158">
        <v>19063.72186</v>
      </c>
      <c r="O133" s="159"/>
      <c r="P133" s="160">
        <v>1.711846E7</v>
      </c>
      <c r="Q133" s="160">
        <v>3739881.0</v>
      </c>
      <c r="R133" s="115">
        <f t="shared" si="8"/>
        <v>0.2184706451</v>
      </c>
      <c r="S133" s="116">
        <f t="shared" si="9"/>
        <v>0.2184706451</v>
      </c>
      <c r="T133" s="130"/>
      <c r="U133" s="118">
        <f t="shared" si="41"/>
        <v>0.252</v>
      </c>
      <c r="V133" s="119">
        <v>1.0</v>
      </c>
      <c r="W133" s="120">
        <f t="shared" si="10"/>
        <v>1</v>
      </c>
      <c r="X133" s="119">
        <v>0.1969</v>
      </c>
      <c r="Y133" s="120">
        <f t="shared" si="11"/>
        <v>0.1969</v>
      </c>
      <c r="Z133" s="121"/>
      <c r="AA133" s="121"/>
      <c r="AB133" s="121"/>
      <c r="AC133" s="121"/>
      <c r="AD133" s="122">
        <v>0.055</v>
      </c>
      <c r="AE133" s="123">
        <v>0.06</v>
      </c>
      <c r="AF133" s="123">
        <v>0.0209</v>
      </c>
      <c r="AG133" s="167">
        <v>0.0</v>
      </c>
      <c r="AH133" s="124">
        <v>0.329409288</v>
      </c>
      <c r="AI133" s="168">
        <v>0.0</v>
      </c>
      <c r="AJ133" s="125">
        <v>0.18750684</v>
      </c>
      <c r="AK133" s="127">
        <v>0.08</v>
      </c>
      <c r="AL133" s="127">
        <v>0.130175938</v>
      </c>
      <c r="AM133" s="128"/>
      <c r="AN133" s="149" t="str">
        <f>IFERROR(
  AVERAGEIFS(
    'New 20102013 LF Efficacy'!$J:$J,
    'New 20102013 LF Efficacy'!$D:$D, $A133,
    'New 20102013 LF Efficacy'!$F:$F,"DEC", 
    'New 20102013 LF Efficacy'!$W:$W,"&lt;2011",
    'New 20102013 LF Efficacy'!$AA:$AA,""),
  ""
)</f>
        <v/>
      </c>
      <c r="AO133" s="115">
        <f t="shared" si="12"/>
        <v>0.31225</v>
      </c>
      <c r="AP133" s="121" t="str">
        <f>IFERROR(
AVERAGEIFS(
'New 20102013 LF Efficacy'!$J:$J,
'New 20102013 LF Efficacy'!$D:$D,$A133,
'New 20102013 LF Efficacy'!$F:$F,"Albendazole &amp; DEC",
'New 20102013 LF Efficacy'!$W:$W,"&lt;2011",
'New 20102013 LF Efficacy'!$AA:$AA,""),
"")
</f>
        <v/>
      </c>
      <c r="AQ133" s="115">
        <f t="shared" si="13"/>
        <v>0.4</v>
      </c>
      <c r="AR133" s="121" t="str">
        <f>IFERROR(
AVERAGEIFS(
'New 20102013 LF Efficacy'!$J:$J,
'New 20102013 LF Efficacy'!$D:$D,$A133,
'New 20102013 LF Efficacy'!$F:$F,"Albendazole &amp; Ivermectin", 
'New 20102013 LF Efficacy'!$W:$W,"&lt;2011",
'New 20102013 LF Efficacy'!$AA:$AA,""),"")</f>
        <v/>
      </c>
      <c r="AS133" s="115">
        <f t="shared" si="14"/>
        <v>0.2943125</v>
      </c>
      <c r="AT133" s="130" t="str">
        <f>IFERROR(AVERAGEIFS(
'20102013 Schist Efficacy'!$O:$O, 
'20102013 Schist Efficacy'!$C:$C,$A133, 
'20102013 Schist Efficacy'!$D:$D, "Praziquantel",
'20102013 Schist Efficacy'!$J:$J,"&lt;2011",
'20102013 Schist Efficacy'!$U:$U,""),
"")</f>
        <v/>
      </c>
      <c r="AU133" s="118">
        <f t="shared" si="15"/>
        <v>0.6444020147</v>
      </c>
      <c r="AV133" s="131" t="str">
        <f>IFERROR(AVERAGEIFS(
'20102013 STH Efficacy'!$AX:$AX, 
'20102013 STH Efficacy'!$AL:$AL, $A133, 
'20102013 STH Efficacy'!$AM:$AM, "Albendazole",
'20102013 STH Efficacy'!$AS:$AS,"&lt;2011",
'20102013 STH Efficacy'!$BP:$BP,""),
"")</f>
        <v/>
      </c>
      <c r="AW133" s="132">
        <f t="shared" si="16"/>
        <v>0.3538333333</v>
      </c>
      <c r="AX133" s="131" t="str">
        <f>IFERROR(AVERAGEIFS(
'20102013 STH Efficacy'!$AX:$AX, 
'20102013 STH Efficacy'!$AL:$AL, $A133, 
'20102013 STH Efficacy'!$AM:$AM, "Mebendazole",
'20102013 STH Efficacy'!$AS:$AS,"&lt;2011",
'20102013 STH Efficacy'!$BP:$BP,""),
"")</f>
        <v/>
      </c>
      <c r="AY133" s="132">
        <f t="shared" si="17"/>
        <v>0.5918333333</v>
      </c>
      <c r="AZ133" s="131" t="str">
        <f>IFERROR(AVERAGEIFS(
'20102013 STH Efficacy'!$AX:$AX, 
'20102013 STH Efficacy'!$AL:$AL, $A133, 
'20102013 STH Efficacy'!$AM:$AM, "Albendazole &amp; Ivermectin",
'20102013 STH Efficacy'!$AS:$AS,"&lt;2011",
'20102013 STH Efficacy'!$BP:$BP,""),
"")</f>
        <v/>
      </c>
      <c r="BA133" s="133">
        <f t="shared" si="18"/>
        <v>0.706</v>
      </c>
      <c r="BB133" s="134" t="str">
        <f>IFERROR(AVERAGEIFS(
'20102013 STH Efficacy'!$N:$N, 
'20102013 STH Efficacy'!$B:$B, $A133, 
'20102013 STH Efficacy'!$C:$C, "Albendazole",
'20102013 STH Efficacy'!$I:$I,"&lt;2011",
'20102013 STH Efficacy'!$AH:$AH,""),
"")</f>
        <v/>
      </c>
      <c r="BC133" s="135">
        <f t="shared" si="19"/>
        <v>0.9116666667</v>
      </c>
      <c r="BD133" s="134" t="str">
        <f>IFERROR(AVERAGEIFS(
'20102013 STH Efficacy'!$N:$N, 
'20102013 STH Efficacy'!$B:$B, $A133, 
'20102013 STH Efficacy'!$C:$C, "Mebendazole",
'20102013 STH Efficacy'!$I:$I,"&lt;2011",
'20102013 STH Efficacy'!$AH:$AH,""),
"")</f>
        <v/>
      </c>
      <c r="BE133" s="135">
        <f t="shared" si="20"/>
        <v>0.7092416667</v>
      </c>
      <c r="BF133" s="128" t="str">
        <f>IFERROR(AVERAGEIFS(
'20102013 STH Efficacy'!$CD:$CD, 
'20102013 STH Efficacy'!$BS:$BS, $A133, 
'20102013 STH Efficacy'!$BT:$BT, "Albendazole",
'20102013 STH Efficacy'!$BZ:$BZ,"&lt;2011",
'20102013 STH Efficacy'!$CU:$CU,""),
"")</f>
        <v/>
      </c>
      <c r="BG133" s="136">
        <f t="shared" si="21"/>
        <v>0.8656666667</v>
      </c>
      <c r="BH133" s="128" t="str">
        <f>IFERROR(AVERAGEIFS(
'20102013 STH Efficacy'!$CD:$CD, 
'20102013 STH Efficacy'!$BS:$BS, $A133, 
'20102013 STH Efficacy'!$BT:$BT, "Mebendazole",
'20102013 STH Efficacy'!$BZ:$BZ,"&lt;2011",
'20102013 STH Efficacy'!$CU:$CU,""),
"")</f>
        <v/>
      </c>
      <c r="BI133" s="136">
        <f t="shared" si="22"/>
        <v>0.9203333333</v>
      </c>
      <c r="BJ133" s="128" t="str">
        <f>IFERROR(AVERAGEIFS(
'20102013 STH Efficacy'!$CD:$CD, 
'20102013 STH Efficacy'!$BS:$BS, $A133, 
'20102013 STH Efficacy'!$BT:$BT, "Albendazole &amp; Ivermectin",
'20102013 STH Efficacy'!$BZ:$BZ,"&lt;2011",
'20102013 STH Efficacy'!$CU:$CU,""),
"")</f>
        <v/>
      </c>
      <c r="BK133" s="136">
        <f t="shared" si="23"/>
        <v>1</v>
      </c>
      <c r="BL133" s="137"/>
      <c r="BM133" s="137"/>
      <c r="BN133" s="138">
        <v>1.0</v>
      </c>
      <c r="BO133" s="139">
        <v>1.0</v>
      </c>
      <c r="BP133" s="140">
        <v>1.0</v>
      </c>
      <c r="BQ133" s="141">
        <f t="shared" si="24"/>
        <v>1</v>
      </c>
      <c r="BR133" s="104" t="str">
        <f t="shared" si="25"/>
        <v>1111</v>
      </c>
      <c r="BS133" s="104" t="str">
        <f t="shared" si="26"/>
        <v>MDA1+T2</v>
      </c>
      <c r="BT133" s="142" t="str">
        <f t="shared" si="27"/>
        <v>IVM+ALB</v>
      </c>
      <c r="BU133" s="104" t="str">
        <f t="shared" si="28"/>
        <v>PZQ</v>
      </c>
      <c r="BV133" s="104" t="str">
        <f t="shared" si="29"/>
        <v>lf+onch+schist+sth</v>
      </c>
      <c r="BW133" s="150" t="str">
        <f t="shared" si="30"/>
        <v/>
      </c>
      <c r="BX133" s="150">
        <f t="shared" si="31"/>
        <v>3046.582049</v>
      </c>
      <c r="BY133" s="162">
        <f t="shared" si="32"/>
        <v>4992.151472</v>
      </c>
      <c r="BZ133" s="152">
        <f t="shared" si="33"/>
        <v>1313.492708</v>
      </c>
      <c r="CA133" s="152" t="str">
        <f t="shared" si="34"/>
        <v/>
      </c>
      <c r="CB133" s="152">
        <f t="shared" si="35"/>
        <v>4656.704388</v>
      </c>
      <c r="CC133" s="170">
        <f t="shared" si="36"/>
        <v>24280.308</v>
      </c>
      <c r="CD133" s="153" t="str">
        <f t="shared" si="37"/>
        <v/>
      </c>
      <c r="CE133" s="154">
        <f t="shared" si="38"/>
        <v>106929.3417</v>
      </c>
      <c r="CF133" s="154" t="str">
        <f t="shared" si="39"/>
        <v/>
      </c>
      <c r="CG133" s="154" t="str">
        <f t="shared" si="40"/>
        <v/>
      </c>
    </row>
    <row r="134">
      <c r="A134" s="103" t="s">
        <v>223</v>
      </c>
      <c r="B134" s="104" t="s">
        <v>109</v>
      </c>
      <c r="C134" s="105">
        <v>5.0155896E7</v>
      </c>
      <c r="D134" s="106">
        <v>73183.62845</v>
      </c>
      <c r="E134" s="107">
        <v>0.0</v>
      </c>
      <c r="F134" s="157">
        <v>3680.386527</v>
      </c>
      <c r="G134" s="108">
        <v>105.6489307</v>
      </c>
      <c r="H134" s="157">
        <v>3786.035458</v>
      </c>
      <c r="I134" s="110">
        <v>630.274609</v>
      </c>
      <c r="J134" s="109">
        <v>176.250503</v>
      </c>
      <c r="K134" s="110">
        <v>806.5251119</v>
      </c>
      <c r="L134" s="111">
        <v>6523.672441</v>
      </c>
      <c r="M134" s="111">
        <v>1221.309017</v>
      </c>
      <c r="N134" s="158">
        <v>7744.981459</v>
      </c>
      <c r="O134" s="159"/>
      <c r="P134" s="160">
        <v>4.6994323E7</v>
      </c>
      <c r="Q134" s="160">
        <v>9002092.0</v>
      </c>
      <c r="R134" s="115">
        <f t="shared" si="8"/>
        <v>0.19155701</v>
      </c>
      <c r="S134" s="116">
        <f t="shared" si="9"/>
        <v>0.19155701</v>
      </c>
      <c r="T134" s="117"/>
      <c r="U134" s="118">
        <f t="shared" si="41"/>
        <v>0.7367</v>
      </c>
      <c r="V134" s="119">
        <v>0.1388</v>
      </c>
      <c r="W134" s="120">
        <f t="shared" si="10"/>
        <v>0.1388</v>
      </c>
      <c r="X134" s="119">
        <v>0.1851</v>
      </c>
      <c r="Y134" s="120">
        <f t="shared" si="11"/>
        <v>0.1851</v>
      </c>
      <c r="Z134" s="121"/>
      <c r="AA134" s="121"/>
      <c r="AB134" s="121"/>
      <c r="AC134" s="121"/>
      <c r="AD134" s="122">
        <v>0.0253</v>
      </c>
      <c r="AE134" s="123">
        <v>0.0</v>
      </c>
      <c r="AF134" s="123">
        <v>0.0</v>
      </c>
      <c r="AG134" s="124">
        <v>0.3517</v>
      </c>
      <c r="AH134" s="124">
        <v>0.099782691</v>
      </c>
      <c r="AI134" s="125">
        <v>0.0415</v>
      </c>
      <c r="AJ134" s="125">
        <v>0.006226158</v>
      </c>
      <c r="AK134" s="127">
        <v>0.3</v>
      </c>
      <c r="AL134" s="169">
        <v>0.083387262</v>
      </c>
      <c r="AM134" s="128"/>
      <c r="AN134" s="149" t="str">
        <f>IFERROR(
  AVERAGEIFS(
    'New 20102013 LF Efficacy'!$J:$J,
    'New 20102013 LF Efficacy'!$D:$D, $A134,
    'New 20102013 LF Efficacy'!$F:$F,"DEC", 
    'New 20102013 LF Efficacy'!$W:$W,"&lt;2011",
    'New 20102013 LF Efficacy'!$AA:$AA,""),
  ""
)</f>
        <v/>
      </c>
      <c r="AO134" s="115">
        <f t="shared" si="12"/>
        <v>0.478175</v>
      </c>
      <c r="AP134" s="121" t="str">
        <f>IFERROR(
AVERAGEIFS(
'New 20102013 LF Efficacy'!$J:$J,
'New 20102013 LF Efficacy'!$D:$D,$A134,
'New 20102013 LF Efficacy'!$F:$F,"Albendazole &amp; DEC",
'New 20102013 LF Efficacy'!$W:$W,"&lt;2011",
'New 20102013 LF Efficacy'!$AA:$AA,""),
"")
</f>
        <v/>
      </c>
      <c r="AQ134" s="115">
        <f t="shared" si="13"/>
        <v>0.5831666667</v>
      </c>
      <c r="AR134" s="121" t="str">
        <f>IFERROR(
AVERAGEIFS(
'New 20102013 LF Efficacy'!$J:$J,
'New 20102013 LF Efficacy'!$D:$D,$A134,
'New 20102013 LF Efficacy'!$F:$F,"Albendazole &amp; Ivermectin", 
'New 20102013 LF Efficacy'!$W:$W,"&lt;2011",
'New 20102013 LF Efficacy'!$AA:$AA,""),"")</f>
        <v/>
      </c>
      <c r="AS134" s="115">
        <f t="shared" si="14"/>
        <v>0.14</v>
      </c>
      <c r="AT134" s="130" t="str">
        <f>IFERROR(AVERAGEIFS(
'20102013 Schist Efficacy'!$O:$O, 
'20102013 Schist Efficacy'!$C:$C,$A134, 
'20102013 Schist Efficacy'!$D:$D, "Praziquantel",
'20102013 Schist Efficacy'!$J:$J,"&lt;2011",
'20102013 Schist Efficacy'!$U:$U,""),
"")</f>
        <v/>
      </c>
      <c r="AU134" s="118">
        <f t="shared" si="15"/>
        <v>0.6869715828</v>
      </c>
      <c r="AV134" s="131" t="str">
        <f>IFERROR(AVERAGEIFS(
'20102013 STH Efficacy'!$AX:$AX, 
'20102013 STH Efficacy'!$AL:$AL, $A134, 
'20102013 STH Efficacy'!$AM:$AM, "Albendazole",
'20102013 STH Efficacy'!$AS:$AS,"&lt;2011",
'20102013 STH Efficacy'!$BP:$BP,""),
"")</f>
        <v/>
      </c>
      <c r="AW134" s="132">
        <f t="shared" si="16"/>
        <v>0.4756666667</v>
      </c>
      <c r="AX134" s="131" t="str">
        <f>IFERROR(AVERAGEIFS(
'20102013 STH Efficacy'!$AX:$AX, 
'20102013 STH Efficacy'!$AL:$AL, $A134, 
'20102013 STH Efficacy'!$AM:$AM, "Mebendazole",
'20102013 STH Efficacy'!$AS:$AS,"&lt;2011",
'20102013 STH Efficacy'!$BP:$BP,""),
"")</f>
        <v/>
      </c>
      <c r="AY134" s="132">
        <f t="shared" si="17"/>
        <v>0.3786666667</v>
      </c>
      <c r="AZ134" s="131" t="str">
        <f>IFERROR(AVERAGEIFS(
'20102013 STH Efficacy'!$AX:$AX, 
'20102013 STH Efficacy'!$AL:$AL, $A134, 
'20102013 STH Efficacy'!$AM:$AM, "Albendazole &amp; Ivermectin",
'20102013 STH Efficacy'!$AS:$AS,"&lt;2011",
'20102013 STH Efficacy'!$BP:$BP,""),
"")</f>
        <v/>
      </c>
      <c r="BA134" s="133">
        <f t="shared" si="18"/>
        <v>0.7176666667</v>
      </c>
      <c r="BB134" s="134" t="str">
        <f>IFERROR(AVERAGEIFS(
'20102013 STH Efficacy'!$N:$N, 
'20102013 STH Efficacy'!$B:$B, $A134, 
'20102013 STH Efficacy'!$C:$C, "Albendazole",
'20102013 STH Efficacy'!$I:$I,"&lt;2011",
'20102013 STH Efficacy'!$AH:$AH,""),
"")</f>
        <v/>
      </c>
      <c r="BC134" s="135">
        <f t="shared" si="19"/>
        <v>0.7133333333</v>
      </c>
      <c r="BD134" s="134" t="str">
        <f>IFERROR(AVERAGEIFS(
'20102013 STH Efficacy'!$N:$N, 
'20102013 STH Efficacy'!$B:$B, $A134, 
'20102013 STH Efficacy'!$C:$C, "Mebendazole",
'20102013 STH Efficacy'!$I:$I,"&lt;2011",
'20102013 STH Efficacy'!$AH:$AH,""),
"")</f>
        <v/>
      </c>
      <c r="BE134" s="135">
        <f t="shared" si="20"/>
        <v>0.22675</v>
      </c>
      <c r="BF134" s="128" t="str">
        <f>IFERROR(AVERAGEIFS(
'20102013 STH Efficacy'!$CD:$CD, 
'20102013 STH Efficacy'!$BS:$BS, $A134, 
'20102013 STH Efficacy'!$BT:$BT, "Albendazole",
'20102013 STH Efficacy'!$BZ:$BZ,"&lt;2011",
'20102013 STH Efficacy'!$CU:$CU,""),
"")</f>
        <v/>
      </c>
      <c r="BG134" s="136">
        <f t="shared" si="21"/>
        <v>1</v>
      </c>
      <c r="BH134" s="128" t="str">
        <f>IFERROR(AVERAGEIFS(
'20102013 STH Efficacy'!$CD:$CD, 
'20102013 STH Efficacy'!$BS:$BS, $A134, 
'20102013 STH Efficacy'!$BT:$BT, "Mebendazole",
'20102013 STH Efficacy'!$BZ:$BZ,"&lt;2011",
'20102013 STH Efficacy'!$CU:$CU,""),
"")</f>
        <v/>
      </c>
      <c r="BI134" s="136">
        <f t="shared" si="22"/>
        <v>1</v>
      </c>
      <c r="BJ134" s="128" t="str">
        <f>IFERROR(AVERAGEIFS(
'20102013 STH Efficacy'!$CD:$CD, 
'20102013 STH Efficacy'!$BS:$BS, $A134, 
'20102013 STH Efficacy'!$BT:$BT, "Albendazole &amp; Ivermectin",
'20102013 STH Efficacy'!$BZ:$BZ,"&lt;2011",
'20102013 STH Efficacy'!$CU:$CU,""),
"")</f>
        <v/>
      </c>
      <c r="BK134" s="136">
        <f t="shared" si="23"/>
        <v>1</v>
      </c>
      <c r="BL134" s="137"/>
      <c r="BM134" s="137"/>
      <c r="BN134" s="138">
        <v>1.0</v>
      </c>
      <c r="BO134" s="139">
        <v>0.0</v>
      </c>
      <c r="BP134" s="140">
        <v>0.0</v>
      </c>
      <c r="BQ134" s="141">
        <f t="shared" si="24"/>
        <v>0</v>
      </c>
      <c r="BR134" s="104" t="str">
        <f t="shared" si="25"/>
        <v>1000</v>
      </c>
      <c r="BS134" s="104" t="str">
        <f t="shared" si="26"/>
        <v>MDA1/2</v>
      </c>
      <c r="BT134" s="142" t="str">
        <f t="shared" si="27"/>
        <v>DEC+ALB</v>
      </c>
      <c r="BU134" s="104" t="str">
        <f t="shared" si="28"/>
        <v/>
      </c>
      <c r="BV134" s="104" t="str">
        <f t="shared" si="29"/>
        <v>lf only</v>
      </c>
      <c r="BW134" s="150">
        <f t="shared" si="30"/>
        <v>9203.430601</v>
      </c>
      <c r="BX134" s="150" t="str">
        <f t="shared" si="31"/>
        <v/>
      </c>
      <c r="BY134" s="151" t="str">
        <f t="shared" si="32"/>
        <v/>
      </c>
      <c r="BZ134" s="152" t="str">
        <f t="shared" si="33"/>
        <v/>
      </c>
      <c r="CA134" s="152" t="str">
        <f t="shared" si="34"/>
        <v/>
      </c>
      <c r="CB134" s="152" t="str">
        <f t="shared" si="35"/>
        <v/>
      </c>
      <c r="CC134" s="153" t="str">
        <f t="shared" si="36"/>
        <v/>
      </c>
      <c r="CD134" s="153" t="str">
        <f t="shared" si="37"/>
        <v/>
      </c>
      <c r="CE134" s="154" t="str">
        <f t="shared" si="38"/>
        <v/>
      </c>
      <c r="CF134" s="154" t="str">
        <f t="shared" si="39"/>
        <v/>
      </c>
      <c r="CG134" s="154" t="str">
        <f t="shared" si="40"/>
        <v/>
      </c>
    </row>
    <row r="135">
      <c r="A135" s="103" t="s">
        <v>224</v>
      </c>
      <c r="B135" s="104" t="s">
        <v>92</v>
      </c>
      <c r="C135" s="105">
        <v>2173170.0</v>
      </c>
      <c r="D135" s="106">
        <v>0.0</v>
      </c>
      <c r="E135" s="107">
        <v>1522.844253</v>
      </c>
      <c r="F135" s="157">
        <v>1.021617367</v>
      </c>
      <c r="G135" s="108">
        <v>4.725342181</v>
      </c>
      <c r="H135" s="157">
        <v>5.746959547</v>
      </c>
      <c r="I135" s="110">
        <v>110.607859</v>
      </c>
      <c r="J135" s="110">
        <v>367.95177</v>
      </c>
      <c r="K135" s="109">
        <v>478.5596293</v>
      </c>
      <c r="L135" s="112">
        <v>14.33048178</v>
      </c>
      <c r="M135" s="112">
        <v>3.773190165</v>
      </c>
      <c r="N135" s="112">
        <v>18.10367195</v>
      </c>
      <c r="O135" s="113"/>
      <c r="P135" s="114"/>
      <c r="Q135" s="114"/>
      <c r="R135" s="115" t="str">
        <f t="shared" si="8"/>
        <v/>
      </c>
      <c r="S135" s="116">
        <f t="shared" si="9"/>
        <v>0.1716437208</v>
      </c>
      <c r="T135" s="117"/>
      <c r="U135" s="118">
        <f t="shared" si="41"/>
        <v>0.252</v>
      </c>
      <c r="V135" s="148"/>
      <c r="W135" s="120">
        <f t="shared" si="10"/>
        <v>0.7266555556</v>
      </c>
      <c r="X135" s="148"/>
      <c r="Y135" s="120">
        <f t="shared" si="11"/>
        <v>0.4342071429</v>
      </c>
      <c r="Z135" s="114"/>
      <c r="AA135" s="114"/>
      <c r="AB135" s="114"/>
      <c r="AC135" s="114"/>
      <c r="AD135" s="164">
        <v>0.0</v>
      </c>
      <c r="AE135" s="123">
        <v>0.09</v>
      </c>
      <c r="AF135" s="123">
        <v>0.0183</v>
      </c>
      <c r="AG135" s="167">
        <v>0.0</v>
      </c>
      <c r="AH135" s="124">
        <v>0.05884917</v>
      </c>
      <c r="AI135" s="168">
        <v>0.0</v>
      </c>
      <c r="AJ135" s="125">
        <v>0.170510955</v>
      </c>
      <c r="AK135" s="126">
        <v>0.0</v>
      </c>
      <c r="AL135" s="169">
        <v>0.024984014</v>
      </c>
      <c r="AM135" s="128"/>
      <c r="AN135" s="149" t="str">
        <f>IFERROR(
  AVERAGEIFS(
    'New 20102013 LF Efficacy'!$J:$J,
    'New 20102013 LF Efficacy'!$D:$D, $A135,
    'New 20102013 LF Efficacy'!$F:$F,"DEC", 
    'New 20102013 LF Efficacy'!$W:$W,"&lt;2011",
    'New 20102013 LF Efficacy'!$AA:$AA,""),
  ""
)</f>
        <v/>
      </c>
      <c r="AO135" s="115">
        <f t="shared" si="12"/>
        <v>0.31225</v>
      </c>
      <c r="AP135" s="121" t="str">
        <f>IFERROR(
AVERAGEIFS(
'New 20102013 LF Efficacy'!$J:$J,
'New 20102013 LF Efficacy'!$D:$D,$A135,
'New 20102013 LF Efficacy'!$F:$F,"Albendazole &amp; DEC",
'New 20102013 LF Efficacy'!$W:$W,"&lt;2011",
'New 20102013 LF Efficacy'!$AA:$AA,""),
"")
</f>
        <v/>
      </c>
      <c r="AQ135" s="115">
        <f t="shared" si="13"/>
        <v>0.4</v>
      </c>
      <c r="AR135" s="121" t="str">
        <f>IFERROR(
AVERAGEIFS(
'New 20102013 LF Efficacy'!$J:$J,
'New 20102013 LF Efficacy'!$D:$D,$A135,
'New 20102013 LF Efficacy'!$F:$F,"Albendazole &amp; Ivermectin", 
'New 20102013 LF Efficacy'!$W:$W,"&lt;2011",
'New 20102013 LF Efficacy'!$AA:$AA,""),"")</f>
        <v/>
      </c>
      <c r="AS135" s="115">
        <f t="shared" si="14"/>
        <v>0.2943125</v>
      </c>
      <c r="AT135" s="130" t="str">
        <f>IFERROR(AVERAGEIFS(
'20102013 Schist Efficacy'!$O:$O, 
'20102013 Schist Efficacy'!$C:$C,$A135, 
'20102013 Schist Efficacy'!$D:$D, "Praziquantel",
'20102013 Schist Efficacy'!$J:$J,"&lt;2011",
'20102013 Schist Efficacy'!$U:$U,""),
"")</f>
        <v/>
      </c>
      <c r="AU135" s="118">
        <f t="shared" si="15"/>
        <v>0.6444020147</v>
      </c>
      <c r="AV135" s="131" t="str">
        <f>IFERROR(AVERAGEIFS(
'20102013 STH Efficacy'!$AX:$AX, 
'20102013 STH Efficacy'!$AL:$AL, $A135, 
'20102013 STH Efficacy'!$AM:$AM, "Albendazole",
'20102013 STH Efficacy'!$AS:$AS,"&lt;2011",
'20102013 STH Efficacy'!$BP:$BP,""),
"")</f>
        <v/>
      </c>
      <c r="AW135" s="132">
        <f t="shared" si="16"/>
        <v>0.3538333333</v>
      </c>
      <c r="AX135" s="131" t="str">
        <f>IFERROR(AVERAGEIFS(
'20102013 STH Efficacy'!$AX:$AX, 
'20102013 STH Efficacy'!$AL:$AL, $A135, 
'20102013 STH Efficacy'!$AM:$AM, "Mebendazole",
'20102013 STH Efficacy'!$AS:$AS,"&lt;2011",
'20102013 STH Efficacy'!$BP:$BP,""),
"")</f>
        <v/>
      </c>
      <c r="AY135" s="132">
        <f t="shared" si="17"/>
        <v>0.5918333333</v>
      </c>
      <c r="AZ135" s="131" t="str">
        <f>IFERROR(AVERAGEIFS(
'20102013 STH Efficacy'!$AX:$AX, 
'20102013 STH Efficacy'!$AL:$AL, $A135, 
'20102013 STH Efficacy'!$AM:$AM, "Albendazole &amp; Ivermectin",
'20102013 STH Efficacy'!$AS:$AS,"&lt;2011",
'20102013 STH Efficacy'!$BP:$BP,""),
"")</f>
        <v/>
      </c>
      <c r="BA135" s="133">
        <f t="shared" si="18"/>
        <v>0.706</v>
      </c>
      <c r="BB135" s="134" t="str">
        <f>IFERROR(AVERAGEIFS(
'20102013 STH Efficacy'!$N:$N, 
'20102013 STH Efficacy'!$B:$B, $A135, 
'20102013 STH Efficacy'!$C:$C, "Albendazole",
'20102013 STH Efficacy'!$I:$I,"&lt;2011",
'20102013 STH Efficacy'!$AH:$AH,""),
"")</f>
        <v/>
      </c>
      <c r="BC135" s="135">
        <f t="shared" si="19"/>
        <v>0.9116666667</v>
      </c>
      <c r="BD135" s="134" t="str">
        <f>IFERROR(AVERAGEIFS(
'20102013 STH Efficacy'!$N:$N, 
'20102013 STH Efficacy'!$B:$B, $A135, 
'20102013 STH Efficacy'!$C:$C, "Mebendazole",
'20102013 STH Efficacy'!$I:$I,"&lt;2011",
'20102013 STH Efficacy'!$AH:$AH,""),
"")</f>
        <v/>
      </c>
      <c r="BE135" s="135">
        <f t="shared" si="20"/>
        <v>0.7092416667</v>
      </c>
      <c r="BF135" s="128" t="str">
        <f>IFERROR(AVERAGEIFS(
'20102013 STH Efficacy'!$CD:$CD, 
'20102013 STH Efficacy'!$BS:$BS, $A135, 
'20102013 STH Efficacy'!$BT:$BT, "Albendazole",
'20102013 STH Efficacy'!$BZ:$BZ,"&lt;2011",
'20102013 STH Efficacy'!$CU:$CU,""),
"")</f>
        <v/>
      </c>
      <c r="BG135" s="136">
        <f t="shared" si="21"/>
        <v>0.8656666667</v>
      </c>
      <c r="BH135" s="128" t="str">
        <f>IFERROR(AVERAGEIFS(
'20102013 STH Efficacy'!$CD:$CD, 
'20102013 STH Efficacy'!$BS:$BS, $A135, 
'20102013 STH Efficacy'!$BT:$BT, "Mebendazole",
'20102013 STH Efficacy'!$BZ:$BZ,"&lt;2011",
'20102013 STH Efficacy'!$CU:$CU,""),
"")</f>
        <v/>
      </c>
      <c r="BI135" s="136">
        <f t="shared" si="22"/>
        <v>0.9203333333</v>
      </c>
      <c r="BJ135" s="128" t="str">
        <f>IFERROR(AVERAGEIFS(
'20102013 STH Efficacy'!$CD:$CD, 
'20102013 STH Efficacy'!$BS:$BS, $A135, 
'20102013 STH Efficacy'!$BT:$BT, "Albendazole &amp; Ivermectin",
'20102013 STH Efficacy'!$BZ:$BZ,"&lt;2011",
'20102013 STH Efficacy'!$CU:$CU,""),
"")</f>
        <v/>
      </c>
      <c r="BK135" s="136">
        <f t="shared" si="23"/>
        <v>1</v>
      </c>
      <c r="BL135" s="137"/>
      <c r="BM135" s="137"/>
      <c r="BN135" s="138">
        <v>0.0</v>
      </c>
      <c r="BO135" s="139">
        <v>1.0</v>
      </c>
      <c r="BP135" s="140">
        <v>1.0</v>
      </c>
      <c r="BQ135" s="141">
        <f t="shared" si="24"/>
        <v>0</v>
      </c>
      <c r="BR135" s="104" t="str">
        <f t="shared" si="25"/>
        <v>0110</v>
      </c>
      <c r="BS135" s="104" t="str">
        <f t="shared" si="26"/>
        <v>MDA3+T2</v>
      </c>
      <c r="BT135" s="142" t="str">
        <f t="shared" si="27"/>
        <v>IVM</v>
      </c>
      <c r="BU135" s="104" t="str">
        <f t="shared" si="28"/>
        <v>PZQ</v>
      </c>
      <c r="BV135" s="104" t="str">
        <f t="shared" si="29"/>
        <v>onch+schist</v>
      </c>
      <c r="BW135" s="150" t="str">
        <f t="shared" si="30"/>
        <v/>
      </c>
      <c r="BX135" s="150" t="str">
        <f t="shared" si="31"/>
        <v/>
      </c>
      <c r="BY135" s="162">
        <f t="shared" si="32"/>
        <v>295.2369475</v>
      </c>
      <c r="BZ135" s="152" t="str">
        <f t="shared" si="33"/>
        <v/>
      </c>
      <c r="CA135" s="152" t="str">
        <f t="shared" si="34"/>
        <v/>
      </c>
      <c r="CB135" s="152" t="str">
        <f t="shared" si="35"/>
        <v/>
      </c>
      <c r="CC135" s="153" t="str">
        <f t="shared" si="36"/>
        <v/>
      </c>
      <c r="CD135" s="153" t="str">
        <f t="shared" si="37"/>
        <v/>
      </c>
      <c r="CE135" s="154" t="str">
        <f t="shared" si="38"/>
        <v/>
      </c>
      <c r="CF135" s="154" t="str">
        <f t="shared" si="39"/>
        <v/>
      </c>
      <c r="CG135" s="154" t="str">
        <f t="shared" si="40"/>
        <v/>
      </c>
    </row>
    <row r="136">
      <c r="A136" s="103" t="s">
        <v>225</v>
      </c>
      <c r="B136" s="104" t="s">
        <v>94</v>
      </c>
      <c r="C136" s="105">
        <v>10025.0</v>
      </c>
      <c r="D136" s="106">
        <v>0.0</v>
      </c>
      <c r="E136" s="107">
        <v>0.0</v>
      </c>
      <c r="F136" s="163"/>
      <c r="G136" s="163"/>
      <c r="H136" s="108">
        <v>0.0</v>
      </c>
      <c r="I136" s="109">
        <v>0.0</v>
      </c>
      <c r="J136" s="109">
        <v>0.0</v>
      </c>
      <c r="K136" s="109">
        <v>0.0</v>
      </c>
      <c r="L136" s="113"/>
      <c r="M136" s="113"/>
      <c r="N136" s="112">
        <v>0.0</v>
      </c>
      <c r="O136" s="113"/>
      <c r="P136" s="114"/>
      <c r="Q136" s="114"/>
      <c r="R136" s="115" t="str">
        <f t="shared" si="8"/>
        <v/>
      </c>
      <c r="S136" s="116">
        <f t="shared" si="9"/>
        <v>0.1955251818</v>
      </c>
      <c r="T136" s="117"/>
      <c r="U136" s="118">
        <f t="shared" si="41"/>
        <v>0.6259666667</v>
      </c>
      <c r="V136" s="148"/>
      <c r="W136" s="120">
        <f t="shared" si="10"/>
        <v>0.55175</v>
      </c>
      <c r="X136" s="148"/>
      <c r="Y136" s="120">
        <f t="shared" si="11"/>
        <v>0.4826142857</v>
      </c>
      <c r="Z136" s="114"/>
      <c r="AA136" s="114"/>
      <c r="AB136" s="114"/>
      <c r="AC136" s="114"/>
      <c r="AD136" s="164">
        <v>0.0</v>
      </c>
      <c r="AE136" s="165">
        <v>0.0</v>
      </c>
      <c r="AF136" s="166">
        <v>0.0</v>
      </c>
      <c r="AG136" s="167">
        <v>0.0</v>
      </c>
      <c r="AH136" s="172">
        <v>0.0</v>
      </c>
      <c r="AI136" s="168">
        <v>0.0</v>
      </c>
      <c r="AJ136" s="173">
        <v>0.0</v>
      </c>
      <c r="AK136" s="126">
        <v>0.0</v>
      </c>
      <c r="AL136" s="169">
        <v>0.0</v>
      </c>
      <c r="AM136" s="128"/>
      <c r="AN136" s="149" t="str">
        <f>IFERROR(
  AVERAGEIFS(
    'New 20102013 LF Efficacy'!$J:$J,
    'New 20102013 LF Efficacy'!$D:$D, $A136,
    'New 20102013 LF Efficacy'!$F:$F,"DEC", 
    'New 20102013 LF Efficacy'!$W:$W,"&lt;2011",
    'New 20102013 LF Efficacy'!$AA:$AA,""),
  ""
)</f>
        <v/>
      </c>
      <c r="AO136" s="115">
        <f t="shared" si="12"/>
        <v>0.38</v>
      </c>
      <c r="AP136" s="121" t="str">
        <f>IFERROR(
AVERAGEIFS(
'New 20102013 LF Efficacy'!$J:$J,
'New 20102013 LF Efficacy'!$D:$D,$A136,
'New 20102013 LF Efficacy'!$F:$F,"Albendazole &amp; DEC",
'New 20102013 LF Efficacy'!$W:$W,"&lt;2011",
'New 20102013 LF Efficacy'!$AA:$AA,""),
"")
</f>
        <v/>
      </c>
      <c r="AQ136" s="115">
        <f t="shared" si="13"/>
        <v>0.657</v>
      </c>
      <c r="AR136" s="121" t="str">
        <f>IFERROR(
AVERAGEIFS(
'New 20102013 LF Efficacy'!$J:$J,
'New 20102013 LF Efficacy'!$D:$D,$A136,
'New 20102013 LF Efficacy'!$F:$F,"Albendazole &amp; Ivermectin", 
'New 20102013 LF Efficacy'!$W:$W,"&lt;2011",
'New 20102013 LF Efficacy'!$AA:$AA,""),"")</f>
        <v/>
      </c>
      <c r="AS136" s="115">
        <f t="shared" si="14"/>
        <v>0.37153125</v>
      </c>
      <c r="AT136" s="130" t="str">
        <f>IFERROR(AVERAGEIFS(
'20102013 Schist Efficacy'!$O:$O, 
'20102013 Schist Efficacy'!$C:$C,$A136, 
'20102013 Schist Efficacy'!$D:$D, "Praziquantel",
'20102013 Schist Efficacy'!$J:$J,"&lt;2011",
'20102013 Schist Efficacy'!$U:$U,""),
"")</f>
        <v/>
      </c>
      <c r="AU136" s="118">
        <f t="shared" si="15"/>
        <v>0.95</v>
      </c>
      <c r="AV136" s="131" t="str">
        <f>IFERROR(AVERAGEIFS(
'20102013 STH Efficacy'!$AX:$AX, 
'20102013 STH Efficacy'!$AL:$AL, $A136, 
'20102013 STH Efficacy'!$AM:$AM, "Albendazole",
'20102013 STH Efficacy'!$AS:$AS,"&lt;2011",
'20102013 STH Efficacy'!$BP:$BP,""),
"")</f>
        <v/>
      </c>
      <c r="AW136" s="132">
        <f t="shared" si="16"/>
        <v>0.3571666667</v>
      </c>
      <c r="AX136" s="131" t="str">
        <f>IFERROR(AVERAGEIFS(
'20102013 STH Efficacy'!$AX:$AX, 
'20102013 STH Efficacy'!$AL:$AL, $A136, 
'20102013 STH Efficacy'!$AM:$AM, "Mebendazole",
'20102013 STH Efficacy'!$AS:$AS,"&lt;2011",
'20102013 STH Efficacy'!$BP:$BP,""),
"")</f>
        <v/>
      </c>
      <c r="AY136" s="132">
        <f t="shared" si="17"/>
        <v>0.4155</v>
      </c>
      <c r="AZ136" s="131" t="str">
        <f>IFERROR(AVERAGEIFS(
'20102013 STH Efficacy'!$AX:$AX, 
'20102013 STH Efficacy'!$AL:$AL, $A136, 
'20102013 STH Efficacy'!$AM:$AM, "Albendazole &amp; Ivermectin",
'20102013 STH Efficacy'!$AS:$AS,"&lt;2011",
'20102013 STH Efficacy'!$BP:$BP,""),
"")</f>
        <v/>
      </c>
      <c r="BA136" s="133">
        <f t="shared" si="18"/>
        <v>0.651</v>
      </c>
      <c r="BB136" s="134" t="str">
        <f>IFERROR(AVERAGEIFS(
'20102013 STH Efficacy'!$N:$N, 
'20102013 STH Efficacy'!$B:$B, $A136, 
'20102013 STH Efficacy'!$C:$C, "Albendazole",
'20102013 STH Efficacy'!$I:$I,"&lt;2011",
'20102013 STH Efficacy'!$AH:$AH,""),
"")</f>
        <v/>
      </c>
      <c r="BC136" s="135">
        <f t="shared" si="19"/>
        <v>0.5769166667</v>
      </c>
      <c r="BD136" s="134" t="str">
        <f>IFERROR(AVERAGEIFS(
'20102013 STH Efficacy'!$N:$N, 
'20102013 STH Efficacy'!$B:$B, $A136, 
'20102013 STH Efficacy'!$C:$C, "Mebendazole",
'20102013 STH Efficacy'!$I:$I,"&lt;2011",
'20102013 STH Efficacy'!$AH:$AH,""),
"")</f>
        <v/>
      </c>
      <c r="BE136" s="135">
        <f t="shared" si="20"/>
        <v>0.3145</v>
      </c>
      <c r="BF136" s="128" t="str">
        <f>IFERROR(AVERAGEIFS(
'20102013 STH Efficacy'!$CD:$CD, 
'20102013 STH Efficacy'!$BS:$BS, $A136, 
'20102013 STH Efficacy'!$BT:$BT, "Albendazole",
'20102013 STH Efficacy'!$BZ:$BZ,"&lt;2011",
'20102013 STH Efficacy'!$CU:$CU,""),
"")</f>
        <v/>
      </c>
      <c r="BG136" s="136">
        <f t="shared" si="21"/>
        <v>0.96925</v>
      </c>
      <c r="BH136" s="128" t="str">
        <f>IFERROR(AVERAGEIFS(
'20102013 STH Efficacy'!$CD:$CD, 
'20102013 STH Efficacy'!$BS:$BS, $A136, 
'20102013 STH Efficacy'!$BT:$BT, "Mebendazole",
'20102013 STH Efficacy'!$BZ:$BZ,"&lt;2011",
'20102013 STH Efficacy'!$CU:$CU,""),
"")</f>
        <v/>
      </c>
      <c r="BI136" s="136">
        <f t="shared" si="22"/>
        <v>0.9305</v>
      </c>
      <c r="BJ136" s="128" t="str">
        <f>IFERROR(AVERAGEIFS(
'20102013 STH Efficacy'!$CD:$CD, 
'20102013 STH Efficacy'!$BS:$BS, $A136, 
'20102013 STH Efficacy'!$BT:$BT, "Albendazole &amp; Ivermectin",
'20102013 STH Efficacy'!$BZ:$BZ,"&lt;2011",
'20102013 STH Efficacy'!$CU:$CU,""),
"")</f>
        <v/>
      </c>
      <c r="BK136" s="136">
        <f t="shared" si="23"/>
        <v>1</v>
      </c>
      <c r="BL136" s="137"/>
      <c r="BM136" s="137"/>
      <c r="BN136" s="138">
        <v>0.0</v>
      </c>
      <c r="BO136" s="139">
        <v>0.0</v>
      </c>
      <c r="BP136" s="140">
        <v>0.0</v>
      </c>
      <c r="BQ136" s="141">
        <f t="shared" si="24"/>
        <v>0</v>
      </c>
      <c r="BR136" s="104" t="str">
        <f t="shared" si="25"/>
        <v>0000</v>
      </c>
      <c r="BS136" s="104" t="str">
        <f t="shared" si="26"/>
        <v>no action required</v>
      </c>
      <c r="BT136" s="142" t="str">
        <f t="shared" si="27"/>
        <v/>
      </c>
      <c r="BU136" s="104" t="str">
        <f t="shared" si="28"/>
        <v/>
      </c>
      <c r="BV136" s="104" t="str">
        <f t="shared" si="29"/>
        <v>none</v>
      </c>
      <c r="BW136" s="150" t="str">
        <f t="shared" si="30"/>
        <v/>
      </c>
      <c r="BX136" s="150" t="str">
        <f t="shared" si="31"/>
        <v/>
      </c>
      <c r="BY136" s="151" t="str">
        <f t="shared" si="32"/>
        <v/>
      </c>
      <c r="BZ136" s="152" t="str">
        <f t="shared" si="33"/>
        <v/>
      </c>
      <c r="CA136" s="152" t="str">
        <f t="shared" si="34"/>
        <v/>
      </c>
      <c r="CB136" s="152" t="str">
        <f t="shared" si="35"/>
        <v/>
      </c>
      <c r="CC136" s="153" t="str">
        <f t="shared" si="36"/>
        <v/>
      </c>
      <c r="CD136" s="153" t="str">
        <f t="shared" si="37"/>
        <v/>
      </c>
      <c r="CE136" s="154" t="str">
        <f t="shared" si="38"/>
        <v/>
      </c>
      <c r="CF136" s="154" t="str">
        <f t="shared" si="39"/>
        <v/>
      </c>
      <c r="CG136" s="154" t="str">
        <f t="shared" si="40"/>
        <v/>
      </c>
    </row>
    <row r="137">
      <c r="A137" s="103" t="s">
        <v>226</v>
      </c>
      <c r="B137" s="104" t="s">
        <v>109</v>
      </c>
      <c r="C137" s="105">
        <v>2.7023137E7</v>
      </c>
      <c r="D137" s="106">
        <v>30099.49567</v>
      </c>
      <c r="E137" s="107">
        <v>0.0</v>
      </c>
      <c r="F137" s="108">
        <v>251.1113288</v>
      </c>
      <c r="G137" s="157">
        <v>1388.701615</v>
      </c>
      <c r="H137" s="157">
        <v>1639.812944</v>
      </c>
      <c r="I137" s="110">
        <v>2774.3102</v>
      </c>
      <c r="J137" s="110">
        <v>9471.6565</v>
      </c>
      <c r="K137" s="110">
        <v>12245.9667</v>
      </c>
      <c r="L137" s="111">
        <v>1420.351656</v>
      </c>
      <c r="M137" s="111">
        <v>1519.256372</v>
      </c>
      <c r="N137" s="158">
        <v>2939.608028</v>
      </c>
      <c r="O137" s="159"/>
      <c r="P137" s="160">
        <v>2.5E7</v>
      </c>
      <c r="Q137" s="160">
        <v>1.1508311E7</v>
      </c>
      <c r="R137" s="115">
        <f t="shared" si="8"/>
        <v>0.46033244</v>
      </c>
      <c r="S137" s="116">
        <f t="shared" si="9"/>
        <v>0.46033244</v>
      </c>
      <c r="T137" s="117"/>
      <c r="U137" s="118">
        <f t="shared" si="41"/>
        <v>0.7367</v>
      </c>
      <c r="V137" s="119">
        <v>0.3032</v>
      </c>
      <c r="W137" s="120">
        <f t="shared" si="10"/>
        <v>0.3032</v>
      </c>
      <c r="X137" s="119">
        <v>0.4043</v>
      </c>
      <c r="Y137" s="120">
        <f t="shared" si="11"/>
        <v>0.4043</v>
      </c>
      <c r="Z137" s="121"/>
      <c r="AA137" s="121"/>
      <c r="AB137" s="121"/>
      <c r="AC137" s="121"/>
      <c r="AD137" s="122">
        <v>0.0214</v>
      </c>
      <c r="AE137" s="123">
        <v>0.0</v>
      </c>
      <c r="AF137" s="123">
        <v>0.0</v>
      </c>
      <c r="AG137" s="124">
        <v>0.1188</v>
      </c>
      <c r="AH137" s="124">
        <v>0.185870165</v>
      </c>
      <c r="AI137" s="125">
        <v>0.1883</v>
      </c>
      <c r="AJ137" s="125">
        <v>0.301102458</v>
      </c>
      <c r="AK137" s="127">
        <v>0.14</v>
      </c>
      <c r="AL137" s="127">
        <v>0.214349799</v>
      </c>
      <c r="AM137" s="128"/>
      <c r="AN137" s="149" t="str">
        <f>IFERROR(
  AVERAGEIFS(
    'New 20102013 LF Efficacy'!$J:$J,
    'New 20102013 LF Efficacy'!$D:$D, $A137,
    'New 20102013 LF Efficacy'!$F:$F,"DEC", 
    'New 20102013 LF Efficacy'!$W:$W,"&lt;2011",
    'New 20102013 LF Efficacy'!$AA:$AA,""),
  ""
)</f>
        <v/>
      </c>
      <c r="AO137" s="115">
        <f t="shared" si="12"/>
        <v>0.478175</v>
      </c>
      <c r="AP137" s="121" t="str">
        <f>IFERROR(
AVERAGEIFS(
'New 20102013 LF Efficacy'!$J:$J,
'New 20102013 LF Efficacy'!$D:$D,$A137,
'New 20102013 LF Efficacy'!$F:$F,"Albendazole &amp; DEC",
'New 20102013 LF Efficacy'!$W:$W,"&lt;2011",
'New 20102013 LF Efficacy'!$AA:$AA,""),
"")
</f>
        <v/>
      </c>
      <c r="AQ137" s="115">
        <f t="shared" si="13"/>
        <v>0.5831666667</v>
      </c>
      <c r="AR137" s="121" t="str">
        <f>IFERROR(
AVERAGEIFS(
'New 20102013 LF Efficacy'!$J:$J,
'New 20102013 LF Efficacy'!$D:$D,$A137,
'New 20102013 LF Efficacy'!$F:$F,"Albendazole &amp; Ivermectin", 
'New 20102013 LF Efficacy'!$W:$W,"&lt;2011",
'New 20102013 LF Efficacy'!$AA:$AA,""),"")</f>
        <v/>
      </c>
      <c r="AS137" s="115">
        <f t="shared" si="14"/>
        <v>0.14</v>
      </c>
      <c r="AT137" s="130" t="str">
        <f>IFERROR(AVERAGEIFS(
'20102013 Schist Efficacy'!$O:$O, 
'20102013 Schist Efficacy'!$C:$C,$A137, 
'20102013 Schist Efficacy'!$D:$D, "Praziquantel",
'20102013 Schist Efficacy'!$J:$J,"&lt;2011",
'20102013 Schist Efficacy'!$U:$U,""),
"")</f>
        <v/>
      </c>
      <c r="AU137" s="118">
        <f t="shared" si="15"/>
        <v>0.6869715828</v>
      </c>
      <c r="AV137" s="131">
        <f>IFERROR(AVERAGEIFS(
'20102013 STH Efficacy'!$AX:$AX, 
'20102013 STH Efficacy'!$AL:$AL, $A137, 
'20102013 STH Efficacy'!$AM:$AM, "Albendazole",
'20102013 STH Efficacy'!$AS:$AS,"&lt;2011",
'20102013 STH Efficacy'!$BP:$BP,""),
"")</f>
        <v>0.2773333333</v>
      </c>
      <c r="AW137" s="132">
        <f t="shared" si="16"/>
        <v>0.2773333333</v>
      </c>
      <c r="AX137" s="131" t="str">
        <f>IFERROR(AVERAGEIFS(
'20102013 STH Efficacy'!$AX:$AX, 
'20102013 STH Efficacy'!$AL:$AL, $A137, 
'20102013 STH Efficacy'!$AM:$AM, "Mebendazole",
'20102013 STH Efficacy'!$AS:$AS,"&lt;2011",
'20102013 STH Efficacy'!$BP:$BP,""),
"")</f>
        <v/>
      </c>
      <c r="AY137" s="132">
        <f t="shared" si="17"/>
        <v>0.3786666667</v>
      </c>
      <c r="AZ137" s="131" t="str">
        <f>IFERROR(AVERAGEIFS(
'20102013 STH Efficacy'!$AX:$AX, 
'20102013 STH Efficacy'!$AL:$AL, $A137, 
'20102013 STH Efficacy'!$AM:$AM, "Albendazole &amp; Ivermectin",
'20102013 STH Efficacy'!$AS:$AS,"&lt;2011",
'20102013 STH Efficacy'!$BP:$BP,""),
"")</f>
        <v/>
      </c>
      <c r="BA137" s="133">
        <f t="shared" si="18"/>
        <v>0.7176666667</v>
      </c>
      <c r="BB137" s="134" t="str">
        <f>IFERROR(AVERAGEIFS(
'20102013 STH Efficacy'!$N:$N, 
'20102013 STH Efficacy'!$B:$B, $A137, 
'20102013 STH Efficacy'!$C:$C, "Albendazole",
'20102013 STH Efficacy'!$I:$I,"&lt;2011",
'20102013 STH Efficacy'!$AH:$AH,""),
"")</f>
        <v/>
      </c>
      <c r="BC137" s="135">
        <f t="shared" si="19"/>
        <v>0.7133333333</v>
      </c>
      <c r="BD137" s="134" t="str">
        <f>IFERROR(AVERAGEIFS(
'20102013 STH Efficacy'!$N:$N, 
'20102013 STH Efficacy'!$B:$B, $A137, 
'20102013 STH Efficacy'!$C:$C, "Mebendazole",
'20102013 STH Efficacy'!$I:$I,"&lt;2011",
'20102013 STH Efficacy'!$AH:$AH,""),
"")</f>
        <v/>
      </c>
      <c r="BE137" s="135">
        <f t="shared" si="20"/>
        <v>0.22675</v>
      </c>
      <c r="BF137" s="128" t="str">
        <f>IFERROR(AVERAGEIFS(
'20102013 STH Efficacy'!$CD:$CD, 
'20102013 STH Efficacy'!$BS:$BS, $A137, 
'20102013 STH Efficacy'!$BT:$BT, "Albendazole",
'20102013 STH Efficacy'!$BZ:$BZ,"&lt;2011",
'20102013 STH Efficacy'!$CU:$CU,""),
"")</f>
        <v/>
      </c>
      <c r="BG137" s="136">
        <f t="shared" si="21"/>
        <v>1</v>
      </c>
      <c r="BH137" s="128" t="str">
        <f>IFERROR(AVERAGEIFS(
'20102013 STH Efficacy'!$CD:$CD, 
'20102013 STH Efficacy'!$BS:$BS, $A137, 
'20102013 STH Efficacy'!$BT:$BT, "Mebendazole",
'20102013 STH Efficacy'!$BZ:$BZ,"&lt;2011",
'20102013 STH Efficacy'!$CU:$CU,""),
"")</f>
        <v/>
      </c>
      <c r="BI137" s="136">
        <f t="shared" si="22"/>
        <v>1</v>
      </c>
      <c r="BJ137" s="128" t="str">
        <f>IFERROR(AVERAGEIFS(
'20102013 STH Efficacy'!$CD:$CD, 
'20102013 STH Efficacy'!$BS:$BS, $A137, 
'20102013 STH Efficacy'!$BT:$BT, "Albendazole &amp; Ivermectin",
'20102013 STH Efficacy'!$BZ:$BZ,"&lt;2011",
'20102013 STH Efficacy'!$CU:$CU,""),
"")</f>
        <v/>
      </c>
      <c r="BK137" s="136">
        <f t="shared" si="23"/>
        <v>1</v>
      </c>
      <c r="BL137" s="137"/>
      <c r="BM137" s="137"/>
      <c r="BN137" s="138">
        <v>1.0</v>
      </c>
      <c r="BO137" s="139">
        <v>0.0</v>
      </c>
      <c r="BP137" s="140">
        <v>0.0</v>
      </c>
      <c r="BQ137" s="141">
        <f t="shared" si="24"/>
        <v>1</v>
      </c>
      <c r="BR137" s="104" t="str">
        <f t="shared" si="25"/>
        <v>1001</v>
      </c>
      <c r="BS137" s="104" t="str">
        <f t="shared" si="26"/>
        <v>MDA1/2</v>
      </c>
      <c r="BT137" s="142" t="str">
        <f t="shared" si="27"/>
        <v>DEC+ALB</v>
      </c>
      <c r="BU137" s="104" t="str">
        <f t="shared" si="28"/>
        <v/>
      </c>
      <c r="BV137" s="104" t="str">
        <f t="shared" si="29"/>
        <v>lf+sth</v>
      </c>
      <c r="BW137" s="150">
        <f t="shared" si="30"/>
        <v>11045.35795</v>
      </c>
      <c r="BX137" s="150" t="str">
        <f t="shared" si="31"/>
        <v/>
      </c>
      <c r="BY137" s="151" t="str">
        <f t="shared" si="32"/>
        <v/>
      </c>
      <c r="BZ137" s="152">
        <f t="shared" si="33"/>
        <v>198.4271056</v>
      </c>
      <c r="CA137" s="152" t="str">
        <f t="shared" si="34"/>
        <v/>
      </c>
      <c r="CB137" s="152" t="str">
        <f t="shared" si="35"/>
        <v/>
      </c>
      <c r="CC137" s="170">
        <f t="shared" si="36"/>
        <v>4604.34912</v>
      </c>
      <c r="CD137" s="153" t="str">
        <f t="shared" si="37"/>
        <v/>
      </c>
      <c r="CE137" s="154">
        <f t="shared" si="38"/>
        <v>1649.155747</v>
      </c>
      <c r="CF137" s="154" t="str">
        <f t="shared" si="39"/>
        <v/>
      </c>
      <c r="CG137" s="154" t="str">
        <f t="shared" si="40"/>
        <v/>
      </c>
    </row>
    <row r="138">
      <c r="A138" s="103" t="s">
        <v>227</v>
      </c>
      <c r="B138" s="104" t="s">
        <v>90</v>
      </c>
      <c r="C138" s="105">
        <v>1.6615394E7</v>
      </c>
      <c r="D138" s="106">
        <v>0.0</v>
      </c>
      <c r="E138" s="107">
        <v>0.0</v>
      </c>
      <c r="F138" s="108">
        <v>0.0</v>
      </c>
      <c r="G138" s="108">
        <v>0.0</v>
      </c>
      <c r="H138" s="108">
        <v>0.0</v>
      </c>
      <c r="I138" s="109">
        <v>0.0</v>
      </c>
      <c r="J138" s="109">
        <v>0.0</v>
      </c>
      <c r="K138" s="109">
        <v>0.0</v>
      </c>
      <c r="L138" s="112">
        <v>0.0</v>
      </c>
      <c r="M138" s="112">
        <v>0.0</v>
      </c>
      <c r="N138" s="112">
        <v>0.0</v>
      </c>
      <c r="O138" s="113"/>
      <c r="P138" s="114"/>
      <c r="Q138" s="114"/>
      <c r="R138" s="115" t="str">
        <f t="shared" si="8"/>
        <v/>
      </c>
      <c r="S138" s="116">
        <f t="shared" si="9"/>
        <v>0.4013436246</v>
      </c>
      <c r="T138" s="117"/>
      <c r="U138" s="118">
        <f t="shared" si="41"/>
        <v>0.3468166667</v>
      </c>
      <c r="V138" s="148"/>
      <c r="W138" s="120">
        <f t="shared" si="10"/>
        <v>1</v>
      </c>
      <c r="X138" s="148"/>
      <c r="Y138" s="120">
        <f t="shared" si="11"/>
        <v>0.71735</v>
      </c>
      <c r="Z138" s="114"/>
      <c r="AA138" s="114"/>
      <c r="AB138" s="114"/>
      <c r="AC138" s="114"/>
      <c r="AD138" s="164">
        <v>0.0</v>
      </c>
      <c r="AE138" s="123">
        <v>0.0</v>
      </c>
      <c r="AF138" s="123">
        <v>0.0</v>
      </c>
      <c r="AG138" s="167">
        <v>0.0</v>
      </c>
      <c r="AH138" s="124">
        <v>0.0</v>
      </c>
      <c r="AI138" s="168">
        <v>0.0</v>
      </c>
      <c r="AJ138" s="125">
        <v>0.0</v>
      </c>
      <c r="AK138" s="126">
        <v>0.0</v>
      </c>
      <c r="AL138" s="169">
        <v>0.0</v>
      </c>
      <c r="AM138" s="128"/>
      <c r="AN138" s="149" t="str">
        <f>IFERROR(
  AVERAGEIFS(
    'New 20102013 LF Efficacy'!$J:$J,
    'New 20102013 LF Efficacy'!$D:$D, $A138,
    'New 20102013 LF Efficacy'!$F:$F,"DEC", 
    'New 20102013 LF Efficacy'!$W:$W,"&lt;2011",
    'New 20102013 LF Efficacy'!$AA:$AA,""),
  ""
)</f>
        <v/>
      </c>
      <c r="AO138" s="115">
        <f t="shared" si="12"/>
        <v>0.3573520833</v>
      </c>
      <c r="AP138" s="121" t="str">
        <f>IFERROR(
AVERAGEIFS(
'New 20102013 LF Efficacy'!$J:$J,
'New 20102013 LF Efficacy'!$D:$D,$A138,
'New 20102013 LF Efficacy'!$F:$F,"Albendazole &amp; DEC",
'New 20102013 LF Efficacy'!$W:$W,"&lt;2011",
'New 20102013 LF Efficacy'!$AA:$AA,""),
"")
</f>
        <v/>
      </c>
      <c r="AQ138" s="115">
        <f t="shared" si="13"/>
        <v>0.5137291667</v>
      </c>
      <c r="AR138" s="121" t="str">
        <f>IFERROR(
AVERAGEIFS(
'New 20102013 LF Efficacy'!$J:$J,
'New 20102013 LF Efficacy'!$D:$D,$A138,
'New 20102013 LF Efficacy'!$F:$F,"Albendazole &amp; Ivermectin", 
'New 20102013 LF Efficacy'!$W:$W,"&lt;2011",
'New 20102013 LF Efficacy'!$AA:$AA,""),"")</f>
        <v/>
      </c>
      <c r="AS138" s="115">
        <f t="shared" si="14"/>
        <v>0.37153125</v>
      </c>
      <c r="AT138" s="130" t="str">
        <f>IFERROR(AVERAGEIFS(
'20102013 Schist Efficacy'!$O:$O, 
'20102013 Schist Efficacy'!$C:$C,$A138, 
'20102013 Schist Efficacy'!$D:$D, "Praziquantel",
'20102013 Schist Efficacy'!$J:$J,"&lt;2011",
'20102013 Schist Efficacy'!$U:$U,""),
"")</f>
        <v/>
      </c>
      <c r="AU138" s="118">
        <f t="shared" si="15"/>
        <v>0.655</v>
      </c>
      <c r="AV138" s="131" t="str">
        <f>IFERROR(AVERAGEIFS(
'20102013 STH Efficacy'!$AX:$AX, 
'20102013 STH Efficacy'!$AL:$AL, $A138, 
'20102013 STH Efficacy'!$AM:$AM, "Albendazole",
'20102013 STH Efficacy'!$AS:$AS,"&lt;2011",
'20102013 STH Efficacy'!$BP:$BP,""),
"")</f>
        <v/>
      </c>
      <c r="AW138" s="132">
        <f t="shared" si="16"/>
        <v>0.3842878788</v>
      </c>
      <c r="AX138" s="131" t="str">
        <f>IFERROR(AVERAGEIFS(
'20102013 STH Efficacy'!$AX:$AX, 
'20102013 STH Efficacy'!$AL:$AL, $A138, 
'20102013 STH Efficacy'!$AM:$AM, "Mebendazole",
'20102013 STH Efficacy'!$AS:$AS,"&lt;2011",
'20102013 STH Efficacy'!$BP:$BP,""),
"")</f>
        <v/>
      </c>
      <c r="AY138" s="132">
        <f t="shared" si="17"/>
        <v>0.5121666667</v>
      </c>
      <c r="AZ138" s="131" t="str">
        <f>IFERROR(AVERAGEIFS(
'20102013 STH Efficacy'!$AX:$AX, 
'20102013 STH Efficacy'!$AL:$AL, $A138, 
'20102013 STH Efficacy'!$AM:$AM, "Albendazole &amp; Ivermectin",
'20102013 STH Efficacy'!$AS:$AS,"&lt;2011",
'20102013 STH Efficacy'!$BP:$BP,""),
"")</f>
        <v/>
      </c>
      <c r="BA138" s="133">
        <f t="shared" si="18"/>
        <v>0.7176666667</v>
      </c>
      <c r="BB138" s="134" t="str">
        <f>IFERROR(AVERAGEIFS(
'20102013 STH Efficacy'!$N:$N, 
'20102013 STH Efficacy'!$B:$B, $A138, 
'20102013 STH Efficacy'!$C:$C, "Albendazole",
'20102013 STH Efficacy'!$I:$I,"&lt;2011",
'20102013 STH Efficacy'!$AH:$AH,""),
"")</f>
        <v/>
      </c>
      <c r="BC138" s="135">
        <f t="shared" si="19"/>
        <v>0.7630416667</v>
      </c>
      <c r="BD138" s="134" t="str">
        <f>IFERROR(AVERAGEIFS(
'20102013 STH Efficacy'!$N:$N, 
'20102013 STH Efficacy'!$B:$B, $A138, 
'20102013 STH Efficacy'!$C:$C, "Mebendazole",
'20102013 STH Efficacy'!$I:$I,"&lt;2011",
'20102013 STH Efficacy'!$AH:$AH,""),
"")</f>
        <v/>
      </c>
      <c r="BE138" s="135">
        <f t="shared" si="20"/>
        <v>0.4405966667</v>
      </c>
      <c r="BF138" s="128" t="str">
        <f>IFERROR(AVERAGEIFS(
'20102013 STH Efficacy'!$CD:$CD, 
'20102013 STH Efficacy'!$BS:$BS, $A138, 
'20102013 STH Efficacy'!$BT:$BT, "Albendazole",
'20102013 STH Efficacy'!$BZ:$BZ,"&lt;2011",
'20102013 STH Efficacy'!$CU:$CU,""),
"")</f>
        <v/>
      </c>
      <c r="BG138" s="136">
        <f t="shared" si="21"/>
        <v>0.9403222222</v>
      </c>
      <c r="BH138" s="128" t="str">
        <f>IFERROR(AVERAGEIFS(
'20102013 STH Efficacy'!$CD:$CD, 
'20102013 STH Efficacy'!$BS:$BS, $A138, 
'20102013 STH Efficacy'!$BT:$BT, "Mebendazole",
'20102013 STH Efficacy'!$BZ:$BZ,"&lt;2011",
'20102013 STH Efficacy'!$CU:$CU,""),
"")</f>
        <v/>
      </c>
      <c r="BI138" s="136">
        <f t="shared" si="22"/>
        <v>0.9229285714</v>
      </c>
      <c r="BJ138" s="128" t="str">
        <f>IFERROR(AVERAGEIFS(
'20102013 STH Efficacy'!$CD:$CD, 
'20102013 STH Efficacy'!$BS:$BS, $A138, 
'20102013 STH Efficacy'!$BT:$BT, "Albendazole &amp; Ivermectin",
'20102013 STH Efficacy'!$BZ:$BZ,"&lt;2011",
'20102013 STH Efficacy'!$CU:$CU,""),
"")</f>
        <v/>
      </c>
      <c r="BK138" s="136">
        <f t="shared" si="23"/>
        <v>1</v>
      </c>
      <c r="BL138" s="137"/>
      <c r="BM138" s="137"/>
      <c r="BN138" s="138">
        <v>0.0</v>
      </c>
      <c r="BO138" s="139">
        <v>0.0</v>
      </c>
      <c r="BP138" s="140">
        <v>0.0</v>
      </c>
      <c r="BQ138" s="141">
        <f t="shared" si="24"/>
        <v>0</v>
      </c>
      <c r="BR138" s="104" t="str">
        <f t="shared" si="25"/>
        <v>0000</v>
      </c>
      <c r="BS138" s="104" t="str">
        <f t="shared" si="26"/>
        <v>no action required</v>
      </c>
      <c r="BT138" s="142" t="str">
        <f t="shared" si="27"/>
        <v/>
      </c>
      <c r="BU138" s="104" t="str">
        <f t="shared" si="28"/>
        <v/>
      </c>
      <c r="BV138" s="104" t="str">
        <f t="shared" si="29"/>
        <v>none</v>
      </c>
      <c r="BW138" s="150" t="str">
        <f t="shared" si="30"/>
        <v/>
      </c>
      <c r="BX138" s="150" t="str">
        <f t="shared" si="31"/>
        <v/>
      </c>
      <c r="BY138" s="151" t="str">
        <f t="shared" si="32"/>
        <v/>
      </c>
      <c r="BZ138" s="152" t="str">
        <f t="shared" si="33"/>
        <v/>
      </c>
      <c r="CA138" s="152" t="str">
        <f t="shared" si="34"/>
        <v/>
      </c>
      <c r="CB138" s="152" t="str">
        <f t="shared" si="35"/>
        <v/>
      </c>
      <c r="CC138" s="153" t="str">
        <f t="shared" si="36"/>
        <v/>
      </c>
      <c r="CD138" s="153" t="str">
        <f t="shared" si="37"/>
        <v/>
      </c>
      <c r="CE138" s="154" t="str">
        <f t="shared" si="38"/>
        <v/>
      </c>
      <c r="CF138" s="154" t="str">
        <f t="shared" si="39"/>
        <v/>
      </c>
      <c r="CG138" s="154" t="str">
        <f t="shared" si="40"/>
        <v/>
      </c>
    </row>
    <row r="139">
      <c r="A139" s="155" t="s">
        <v>228</v>
      </c>
      <c r="B139" s="104" t="s">
        <v>94</v>
      </c>
      <c r="C139" s="105">
        <v>250000.0</v>
      </c>
      <c r="D139" s="106">
        <v>0.0</v>
      </c>
      <c r="E139" s="107">
        <v>0.0</v>
      </c>
      <c r="F139" s="163"/>
      <c r="G139" s="163"/>
      <c r="H139" s="108">
        <v>0.0</v>
      </c>
      <c r="I139" s="109">
        <v>0.0</v>
      </c>
      <c r="J139" s="109">
        <v>0.0</v>
      </c>
      <c r="K139" s="109">
        <v>0.0</v>
      </c>
      <c r="L139" s="113"/>
      <c r="M139" s="113"/>
      <c r="N139" s="158">
        <v>0.0</v>
      </c>
      <c r="O139" s="159"/>
      <c r="P139" s="160">
        <v>12378.0</v>
      </c>
      <c r="Q139" s="156"/>
      <c r="R139" s="115">
        <f t="shared" si="8"/>
        <v>0</v>
      </c>
      <c r="S139" s="116">
        <f t="shared" si="9"/>
        <v>0.1955251818</v>
      </c>
      <c r="T139" s="117"/>
      <c r="U139" s="118">
        <f t="shared" si="41"/>
        <v>0.6259666667</v>
      </c>
      <c r="V139" s="148"/>
      <c r="W139" s="120">
        <f t="shared" si="10"/>
        <v>0.55175</v>
      </c>
      <c r="X139" s="148"/>
      <c r="Y139" s="120">
        <f t="shared" si="11"/>
        <v>0.4826142857</v>
      </c>
      <c r="Z139" s="114"/>
      <c r="AA139" s="114"/>
      <c r="AB139" s="114"/>
      <c r="AC139" s="114"/>
      <c r="AD139" s="164">
        <v>0.0</v>
      </c>
      <c r="AE139" s="165">
        <v>0.0</v>
      </c>
      <c r="AF139" s="166">
        <v>0.0</v>
      </c>
      <c r="AG139" s="167">
        <v>0.0</v>
      </c>
      <c r="AH139" s="172">
        <v>0.0</v>
      </c>
      <c r="AI139" s="168">
        <v>0.0</v>
      </c>
      <c r="AJ139" s="173">
        <v>0.0</v>
      </c>
      <c r="AK139" s="126">
        <v>0.0</v>
      </c>
      <c r="AL139" s="169">
        <v>0.0</v>
      </c>
      <c r="AM139" s="128"/>
      <c r="AN139" s="149" t="str">
        <f>IFERROR(
  AVERAGEIFS(
    'New 20102013 LF Efficacy'!$J:$J,
    'New 20102013 LF Efficacy'!$D:$D, $A139,
    'New 20102013 LF Efficacy'!$F:$F,"DEC", 
    'New 20102013 LF Efficacy'!$W:$W,"&lt;2011",
    'New 20102013 LF Efficacy'!$AA:$AA,""),
  ""
)</f>
        <v/>
      </c>
      <c r="AO139" s="115">
        <f t="shared" si="12"/>
        <v>0.38</v>
      </c>
      <c r="AP139" s="121" t="str">
        <f>IFERROR(
AVERAGEIFS(
'New 20102013 LF Efficacy'!$J:$J,
'New 20102013 LF Efficacy'!$D:$D,$A139,
'New 20102013 LF Efficacy'!$F:$F,"Albendazole &amp; DEC",
'New 20102013 LF Efficacy'!$W:$W,"&lt;2011",
'New 20102013 LF Efficacy'!$AA:$AA,""),
"")
</f>
        <v/>
      </c>
      <c r="AQ139" s="115">
        <f t="shared" si="13"/>
        <v>0.657</v>
      </c>
      <c r="AR139" s="121" t="str">
        <f>IFERROR(
AVERAGEIFS(
'New 20102013 LF Efficacy'!$J:$J,
'New 20102013 LF Efficacy'!$D:$D,$A139,
'New 20102013 LF Efficacy'!$F:$F,"Albendazole &amp; Ivermectin", 
'New 20102013 LF Efficacy'!$W:$W,"&lt;2011",
'New 20102013 LF Efficacy'!$AA:$AA,""),"")</f>
        <v/>
      </c>
      <c r="AS139" s="115">
        <f t="shared" si="14"/>
        <v>0.37153125</v>
      </c>
      <c r="AT139" s="130" t="str">
        <f>IFERROR(AVERAGEIFS(
'20102013 Schist Efficacy'!$O:$O, 
'20102013 Schist Efficacy'!$C:$C,$A139, 
'20102013 Schist Efficacy'!$D:$D, "Praziquantel",
'20102013 Schist Efficacy'!$J:$J,"&lt;2011",
'20102013 Schist Efficacy'!$U:$U,""),
"")</f>
        <v/>
      </c>
      <c r="AU139" s="118">
        <f t="shared" si="15"/>
        <v>0.95</v>
      </c>
      <c r="AV139" s="131" t="str">
        <f>IFERROR(AVERAGEIFS(
'20102013 STH Efficacy'!$AX:$AX, 
'20102013 STH Efficacy'!$AL:$AL, $A139, 
'20102013 STH Efficacy'!$AM:$AM, "Albendazole",
'20102013 STH Efficacy'!$AS:$AS,"&lt;2011",
'20102013 STH Efficacy'!$BP:$BP,""),
"")</f>
        <v/>
      </c>
      <c r="AW139" s="132">
        <f t="shared" si="16"/>
        <v>0.3571666667</v>
      </c>
      <c r="AX139" s="131" t="str">
        <f>IFERROR(AVERAGEIFS(
'20102013 STH Efficacy'!$AX:$AX, 
'20102013 STH Efficacy'!$AL:$AL, $A139, 
'20102013 STH Efficacy'!$AM:$AM, "Mebendazole",
'20102013 STH Efficacy'!$AS:$AS,"&lt;2011",
'20102013 STH Efficacy'!$BP:$BP,""),
"")</f>
        <v/>
      </c>
      <c r="AY139" s="132">
        <f t="shared" si="17"/>
        <v>0.4155</v>
      </c>
      <c r="AZ139" s="131" t="str">
        <f>IFERROR(AVERAGEIFS(
'20102013 STH Efficacy'!$AX:$AX, 
'20102013 STH Efficacy'!$AL:$AL, $A139, 
'20102013 STH Efficacy'!$AM:$AM, "Albendazole &amp; Ivermectin",
'20102013 STH Efficacy'!$AS:$AS,"&lt;2011",
'20102013 STH Efficacy'!$BP:$BP,""),
"")</f>
        <v/>
      </c>
      <c r="BA139" s="133">
        <f t="shared" si="18"/>
        <v>0.651</v>
      </c>
      <c r="BB139" s="134" t="str">
        <f>IFERROR(AVERAGEIFS(
'20102013 STH Efficacy'!$N:$N, 
'20102013 STH Efficacy'!$B:$B, $A139, 
'20102013 STH Efficacy'!$C:$C, "Albendazole",
'20102013 STH Efficacy'!$I:$I,"&lt;2011",
'20102013 STH Efficacy'!$AH:$AH,""),
"")</f>
        <v/>
      </c>
      <c r="BC139" s="135">
        <f t="shared" si="19"/>
        <v>0.5769166667</v>
      </c>
      <c r="BD139" s="134" t="str">
        <f>IFERROR(AVERAGEIFS(
'20102013 STH Efficacy'!$N:$N, 
'20102013 STH Efficacy'!$B:$B, $A139, 
'20102013 STH Efficacy'!$C:$C, "Mebendazole",
'20102013 STH Efficacy'!$I:$I,"&lt;2011",
'20102013 STH Efficacy'!$AH:$AH,""),
"")</f>
        <v/>
      </c>
      <c r="BE139" s="135">
        <f t="shared" si="20"/>
        <v>0.3145</v>
      </c>
      <c r="BF139" s="128" t="str">
        <f>IFERROR(AVERAGEIFS(
'20102013 STH Efficacy'!$CD:$CD, 
'20102013 STH Efficacy'!$BS:$BS, $A139, 
'20102013 STH Efficacy'!$BT:$BT, "Albendazole",
'20102013 STH Efficacy'!$BZ:$BZ,"&lt;2011",
'20102013 STH Efficacy'!$CU:$CU,""),
"")</f>
        <v/>
      </c>
      <c r="BG139" s="136">
        <f t="shared" si="21"/>
        <v>0.96925</v>
      </c>
      <c r="BH139" s="128" t="str">
        <f>IFERROR(AVERAGEIFS(
'20102013 STH Efficacy'!$CD:$CD, 
'20102013 STH Efficacy'!$BS:$BS, $A139, 
'20102013 STH Efficacy'!$BT:$BT, "Mebendazole",
'20102013 STH Efficacy'!$BZ:$BZ,"&lt;2011",
'20102013 STH Efficacy'!$CU:$CU,""),
"")</f>
        <v/>
      </c>
      <c r="BI139" s="136">
        <f t="shared" si="22"/>
        <v>0.9305</v>
      </c>
      <c r="BJ139" s="128" t="str">
        <f>IFERROR(AVERAGEIFS(
'20102013 STH Efficacy'!$CD:$CD, 
'20102013 STH Efficacy'!$BS:$BS, $A139, 
'20102013 STH Efficacy'!$BT:$BT, "Albendazole &amp; Ivermectin",
'20102013 STH Efficacy'!$BZ:$BZ,"&lt;2011",
'20102013 STH Efficacy'!$CU:$CU,""),
"")</f>
        <v/>
      </c>
      <c r="BK139" s="136">
        <f t="shared" si="23"/>
        <v>1</v>
      </c>
      <c r="BL139" s="137"/>
      <c r="BM139" s="137"/>
      <c r="BN139" s="138">
        <v>1.0</v>
      </c>
      <c r="BO139" s="139">
        <v>0.0</v>
      </c>
      <c r="BP139" s="140">
        <v>0.0</v>
      </c>
      <c r="BQ139" s="141">
        <f t="shared" si="24"/>
        <v>0</v>
      </c>
      <c r="BR139" s="104" t="str">
        <f t="shared" si="25"/>
        <v>1000</v>
      </c>
      <c r="BS139" s="104" t="str">
        <f t="shared" si="26"/>
        <v>MDA1/2</v>
      </c>
      <c r="BT139" s="142" t="str">
        <f t="shared" si="27"/>
        <v>DEC+ALB</v>
      </c>
      <c r="BU139" s="104" t="str">
        <f t="shared" si="28"/>
        <v/>
      </c>
      <c r="BV139" s="104" t="str">
        <f t="shared" si="29"/>
        <v>lf only</v>
      </c>
      <c r="BW139" s="150">
        <f t="shared" si="30"/>
        <v>0</v>
      </c>
      <c r="BX139" s="150" t="str">
        <f t="shared" si="31"/>
        <v/>
      </c>
      <c r="BY139" s="151" t="str">
        <f t="shared" si="32"/>
        <v/>
      </c>
      <c r="BZ139" s="152" t="str">
        <f t="shared" si="33"/>
        <v/>
      </c>
      <c r="CA139" s="152" t="str">
        <f t="shared" si="34"/>
        <v/>
      </c>
      <c r="CB139" s="152" t="str">
        <f t="shared" si="35"/>
        <v/>
      </c>
      <c r="CC139" s="153" t="str">
        <f t="shared" si="36"/>
        <v/>
      </c>
      <c r="CD139" s="153" t="str">
        <f t="shared" si="37"/>
        <v/>
      </c>
      <c r="CE139" s="154" t="str">
        <f t="shared" si="38"/>
        <v/>
      </c>
      <c r="CF139" s="154" t="str">
        <f t="shared" si="39"/>
        <v/>
      </c>
      <c r="CG139" s="154" t="str">
        <f t="shared" si="40"/>
        <v/>
      </c>
    </row>
    <row r="140">
      <c r="A140" s="103" t="s">
        <v>229</v>
      </c>
      <c r="B140" s="104" t="s">
        <v>94</v>
      </c>
      <c r="C140" s="105">
        <v>4350700.0</v>
      </c>
      <c r="D140" s="106">
        <v>0.0</v>
      </c>
      <c r="E140" s="107">
        <v>0.0</v>
      </c>
      <c r="F140" s="108">
        <v>0.0</v>
      </c>
      <c r="G140" s="108">
        <v>0.0</v>
      </c>
      <c r="H140" s="108">
        <v>0.0</v>
      </c>
      <c r="I140" s="109">
        <v>0.0</v>
      </c>
      <c r="J140" s="109">
        <v>0.0</v>
      </c>
      <c r="K140" s="109">
        <v>0.0</v>
      </c>
      <c r="L140" s="112">
        <v>0.0</v>
      </c>
      <c r="M140" s="112">
        <v>0.0</v>
      </c>
      <c r="N140" s="112">
        <v>0.0</v>
      </c>
      <c r="O140" s="113"/>
      <c r="P140" s="114"/>
      <c r="Q140" s="114"/>
      <c r="R140" s="115" t="str">
        <f t="shared" si="8"/>
        <v/>
      </c>
      <c r="S140" s="116">
        <f t="shared" si="9"/>
        <v>0.1955251818</v>
      </c>
      <c r="T140" s="117"/>
      <c r="U140" s="118">
        <f t="shared" si="41"/>
        <v>0.6259666667</v>
      </c>
      <c r="V140" s="148"/>
      <c r="W140" s="120">
        <f t="shared" si="10"/>
        <v>0.55175</v>
      </c>
      <c r="X140" s="148"/>
      <c r="Y140" s="120">
        <f t="shared" si="11"/>
        <v>0.4826142857</v>
      </c>
      <c r="Z140" s="114"/>
      <c r="AA140" s="114"/>
      <c r="AB140" s="114"/>
      <c r="AC140" s="114"/>
      <c r="AD140" s="164">
        <v>0.0</v>
      </c>
      <c r="AE140" s="123">
        <v>0.0</v>
      </c>
      <c r="AF140" s="123">
        <v>0.0</v>
      </c>
      <c r="AG140" s="167">
        <v>0.0</v>
      </c>
      <c r="AH140" s="124">
        <v>0.0</v>
      </c>
      <c r="AI140" s="168">
        <v>0.0</v>
      </c>
      <c r="AJ140" s="125">
        <v>0.0</v>
      </c>
      <c r="AK140" s="126">
        <v>0.0</v>
      </c>
      <c r="AL140" s="169">
        <v>0.0</v>
      </c>
      <c r="AM140" s="128"/>
      <c r="AN140" s="149" t="str">
        <f>IFERROR(
  AVERAGEIFS(
    'New 20102013 LF Efficacy'!$J:$J,
    'New 20102013 LF Efficacy'!$D:$D, $A140,
    'New 20102013 LF Efficacy'!$F:$F,"DEC", 
    'New 20102013 LF Efficacy'!$W:$W,"&lt;2011",
    'New 20102013 LF Efficacy'!$AA:$AA,""),
  ""
)</f>
        <v/>
      </c>
      <c r="AO140" s="115">
        <f t="shared" si="12"/>
        <v>0.38</v>
      </c>
      <c r="AP140" s="121" t="str">
        <f>IFERROR(
AVERAGEIFS(
'New 20102013 LF Efficacy'!$J:$J,
'New 20102013 LF Efficacy'!$D:$D,$A140,
'New 20102013 LF Efficacy'!$F:$F,"Albendazole &amp; DEC",
'New 20102013 LF Efficacy'!$W:$W,"&lt;2011",
'New 20102013 LF Efficacy'!$AA:$AA,""),
"")
</f>
        <v/>
      </c>
      <c r="AQ140" s="115">
        <f t="shared" si="13"/>
        <v>0.657</v>
      </c>
      <c r="AR140" s="121" t="str">
        <f>IFERROR(
AVERAGEIFS(
'New 20102013 LF Efficacy'!$J:$J,
'New 20102013 LF Efficacy'!$D:$D,$A140,
'New 20102013 LF Efficacy'!$F:$F,"Albendazole &amp; Ivermectin", 
'New 20102013 LF Efficacy'!$W:$W,"&lt;2011",
'New 20102013 LF Efficacy'!$AA:$AA,""),"")</f>
        <v/>
      </c>
      <c r="AS140" s="115">
        <f t="shared" si="14"/>
        <v>0.37153125</v>
      </c>
      <c r="AT140" s="130" t="str">
        <f>IFERROR(AVERAGEIFS(
'20102013 Schist Efficacy'!$O:$O, 
'20102013 Schist Efficacy'!$C:$C,$A140, 
'20102013 Schist Efficacy'!$D:$D, "Praziquantel",
'20102013 Schist Efficacy'!$J:$J,"&lt;2011",
'20102013 Schist Efficacy'!$U:$U,""),
"")</f>
        <v/>
      </c>
      <c r="AU140" s="118">
        <f t="shared" si="15"/>
        <v>0.95</v>
      </c>
      <c r="AV140" s="131" t="str">
        <f>IFERROR(AVERAGEIFS(
'20102013 STH Efficacy'!$AX:$AX, 
'20102013 STH Efficacy'!$AL:$AL, $A140, 
'20102013 STH Efficacy'!$AM:$AM, "Albendazole",
'20102013 STH Efficacy'!$AS:$AS,"&lt;2011",
'20102013 STH Efficacy'!$BP:$BP,""),
"")</f>
        <v/>
      </c>
      <c r="AW140" s="132">
        <f t="shared" si="16"/>
        <v>0.3571666667</v>
      </c>
      <c r="AX140" s="131" t="str">
        <f>IFERROR(AVERAGEIFS(
'20102013 STH Efficacy'!$AX:$AX, 
'20102013 STH Efficacy'!$AL:$AL, $A140, 
'20102013 STH Efficacy'!$AM:$AM, "Mebendazole",
'20102013 STH Efficacy'!$AS:$AS,"&lt;2011",
'20102013 STH Efficacy'!$BP:$BP,""),
"")</f>
        <v/>
      </c>
      <c r="AY140" s="132">
        <f t="shared" si="17"/>
        <v>0.4155</v>
      </c>
      <c r="AZ140" s="131" t="str">
        <f>IFERROR(AVERAGEIFS(
'20102013 STH Efficacy'!$AX:$AX, 
'20102013 STH Efficacy'!$AL:$AL, $A140, 
'20102013 STH Efficacy'!$AM:$AM, "Albendazole &amp; Ivermectin",
'20102013 STH Efficacy'!$AS:$AS,"&lt;2011",
'20102013 STH Efficacy'!$BP:$BP,""),
"")</f>
        <v/>
      </c>
      <c r="BA140" s="133">
        <f t="shared" si="18"/>
        <v>0.651</v>
      </c>
      <c r="BB140" s="134" t="str">
        <f>IFERROR(AVERAGEIFS(
'20102013 STH Efficacy'!$N:$N, 
'20102013 STH Efficacy'!$B:$B, $A140, 
'20102013 STH Efficacy'!$C:$C, "Albendazole",
'20102013 STH Efficacy'!$I:$I,"&lt;2011",
'20102013 STH Efficacy'!$AH:$AH,""),
"")</f>
        <v/>
      </c>
      <c r="BC140" s="135">
        <f t="shared" si="19"/>
        <v>0.5769166667</v>
      </c>
      <c r="BD140" s="134" t="str">
        <f>IFERROR(AVERAGEIFS(
'20102013 STH Efficacy'!$N:$N, 
'20102013 STH Efficacy'!$B:$B, $A140, 
'20102013 STH Efficacy'!$C:$C, "Mebendazole",
'20102013 STH Efficacy'!$I:$I,"&lt;2011",
'20102013 STH Efficacy'!$AH:$AH,""),
"")</f>
        <v/>
      </c>
      <c r="BE140" s="135">
        <f t="shared" si="20"/>
        <v>0.3145</v>
      </c>
      <c r="BF140" s="128" t="str">
        <f>IFERROR(AVERAGEIFS(
'20102013 STH Efficacy'!$CD:$CD, 
'20102013 STH Efficacy'!$BS:$BS, $A140, 
'20102013 STH Efficacy'!$BT:$BT, "Albendazole",
'20102013 STH Efficacy'!$BZ:$BZ,"&lt;2011",
'20102013 STH Efficacy'!$CU:$CU,""),
"")</f>
        <v/>
      </c>
      <c r="BG140" s="136">
        <f t="shared" si="21"/>
        <v>0.96925</v>
      </c>
      <c r="BH140" s="128" t="str">
        <f>IFERROR(AVERAGEIFS(
'20102013 STH Efficacy'!$CD:$CD, 
'20102013 STH Efficacy'!$BS:$BS, $A140, 
'20102013 STH Efficacy'!$BT:$BT, "Mebendazole",
'20102013 STH Efficacy'!$BZ:$BZ,"&lt;2011",
'20102013 STH Efficacy'!$CU:$CU,""),
"")</f>
        <v/>
      </c>
      <c r="BI140" s="136">
        <f t="shared" si="22"/>
        <v>0.9305</v>
      </c>
      <c r="BJ140" s="128" t="str">
        <f>IFERROR(AVERAGEIFS(
'20102013 STH Efficacy'!$CD:$CD, 
'20102013 STH Efficacy'!$BS:$BS, $A140, 
'20102013 STH Efficacy'!$BT:$BT, "Albendazole &amp; Ivermectin",
'20102013 STH Efficacy'!$BZ:$BZ,"&lt;2011",
'20102013 STH Efficacy'!$CU:$CU,""),
"")</f>
        <v/>
      </c>
      <c r="BK140" s="136">
        <f t="shared" si="23"/>
        <v>1</v>
      </c>
      <c r="BL140" s="137"/>
      <c r="BM140" s="137"/>
      <c r="BN140" s="138">
        <v>0.0</v>
      </c>
      <c r="BO140" s="139">
        <v>0.0</v>
      </c>
      <c r="BP140" s="140">
        <v>0.0</v>
      </c>
      <c r="BQ140" s="141">
        <f t="shared" si="24"/>
        <v>0</v>
      </c>
      <c r="BR140" s="104" t="str">
        <f t="shared" si="25"/>
        <v>0000</v>
      </c>
      <c r="BS140" s="104" t="str">
        <f t="shared" si="26"/>
        <v>no action required</v>
      </c>
      <c r="BT140" s="142" t="str">
        <f t="shared" si="27"/>
        <v/>
      </c>
      <c r="BU140" s="104" t="str">
        <f t="shared" si="28"/>
        <v/>
      </c>
      <c r="BV140" s="104" t="str">
        <f t="shared" si="29"/>
        <v>none</v>
      </c>
      <c r="BW140" s="150" t="str">
        <f t="shared" si="30"/>
        <v/>
      </c>
      <c r="BX140" s="150" t="str">
        <f t="shared" si="31"/>
        <v/>
      </c>
      <c r="BY140" s="151" t="str">
        <f t="shared" si="32"/>
        <v/>
      </c>
      <c r="BZ140" s="152" t="str">
        <f t="shared" si="33"/>
        <v/>
      </c>
      <c r="CA140" s="152" t="str">
        <f t="shared" si="34"/>
        <v/>
      </c>
      <c r="CB140" s="152" t="str">
        <f t="shared" si="35"/>
        <v/>
      </c>
      <c r="CC140" s="153" t="str">
        <f t="shared" si="36"/>
        <v/>
      </c>
      <c r="CD140" s="153" t="str">
        <f t="shared" si="37"/>
        <v/>
      </c>
      <c r="CE140" s="154" t="str">
        <f t="shared" si="38"/>
        <v/>
      </c>
      <c r="CF140" s="154" t="str">
        <f t="shared" si="39"/>
        <v/>
      </c>
      <c r="CG140" s="154" t="str">
        <f t="shared" si="40"/>
        <v/>
      </c>
    </row>
    <row r="141">
      <c r="A141" s="103" t="s">
        <v>230</v>
      </c>
      <c r="B141" s="104" t="s">
        <v>98</v>
      </c>
      <c r="C141" s="105">
        <v>5737723.0</v>
      </c>
      <c r="D141" s="106">
        <v>0.0</v>
      </c>
      <c r="E141" s="107">
        <v>0.0</v>
      </c>
      <c r="F141" s="108">
        <v>39.68340005</v>
      </c>
      <c r="G141" s="108">
        <v>0.780581187</v>
      </c>
      <c r="H141" s="108">
        <v>40.46398123</v>
      </c>
      <c r="I141" s="109">
        <v>6.8725135</v>
      </c>
      <c r="J141" s="109">
        <v>4.17904504</v>
      </c>
      <c r="K141" s="109">
        <v>11.05155854</v>
      </c>
      <c r="L141" s="112">
        <v>164.2688749</v>
      </c>
      <c r="M141" s="112">
        <v>32.55341818</v>
      </c>
      <c r="N141" s="112">
        <v>196.8222931</v>
      </c>
      <c r="O141" s="113"/>
      <c r="P141" s="114"/>
      <c r="Q141" s="114"/>
      <c r="R141" s="115" t="str">
        <f t="shared" si="8"/>
        <v/>
      </c>
      <c r="S141" s="116">
        <f t="shared" si="9"/>
        <v>0.14553293</v>
      </c>
      <c r="T141" s="118">
        <v>0.4238</v>
      </c>
      <c r="U141" s="118">
        <f t="shared" si="41"/>
        <v>0.4238</v>
      </c>
      <c r="V141" s="119">
        <v>0.2577</v>
      </c>
      <c r="W141" s="120">
        <f t="shared" si="10"/>
        <v>0.2577</v>
      </c>
      <c r="X141" s="119">
        <v>0.8679</v>
      </c>
      <c r="Y141" s="120">
        <f t="shared" si="11"/>
        <v>0.8679</v>
      </c>
      <c r="Z141" s="114"/>
      <c r="AA141" s="114"/>
      <c r="AB141" s="114"/>
      <c r="AC141" s="114"/>
      <c r="AD141" s="164">
        <v>0.0</v>
      </c>
      <c r="AE141" s="123">
        <v>0.0</v>
      </c>
      <c r="AF141" s="123">
        <v>0.0</v>
      </c>
      <c r="AG141" s="124">
        <v>0.1465</v>
      </c>
      <c r="AH141" s="124">
        <v>0.037993592</v>
      </c>
      <c r="AI141" s="125">
        <v>0.0062</v>
      </c>
      <c r="AJ141" s="125">
        <v>8.41002E-4</v>
      </c>
      <c r="AK141" s="126">
        <v>0.0</v>
      </c>
      <c r="AL141" s="169">
        <v>0.029613399</v>
      </c>
      <c r="AM141" s="128"/>
      <c r="AN141" s="149" t="str">
        <f>IFERROR(
  AVERAGEIFS(
    'New 20102013 LF Efficacy'!$J:$J,
    'New 20102013 LF Efficacy'!$D:$D, $A141,
    'New 20102013 LF Efficacy'!$F:$F,"DEC", 
    'New 20102013 LF Efficacy'!$W:$W,"&lt;2011",
    'New 20102013 LF Efficacy'!$AA:$AA,""),
  ""
)</f>
        <v/>
      </c>
      <c r="AO141" s="115">
        <f t="shared" si="12"/>
        <v>0.2589833333</v>
      </c>
      <c r="AP141" s="121" t="str">
        <f>IFERROR(
AVERAGEIFS(
'New 20102013 LF Efficacy'!$J:$J,
'New 20102013 LF Efficacy'!$D:$D,$A141,
'New 20102013 LF Efficacy'!$F:$F,"Albendazole &amp; DEC",
'New 20102013 LF Efficacy'!$W:$W,"&lt;2011",
'New 20102013 LF Efficacy'!$AA:$AA,""),
"")
</f>
        <v/>
      </c>
      <c r="AQ141" s="115">
        <f t="shared" si="13"/>
        <v>0.3465</v>
      </c>
      <c r="AR141" s="121" t="str">
        <f>IFERROR(
AVERAGEIFS(
'New 20102013 LF Efficacy'!$J:$J,
'New 20102013 LF Efficacy'!$D:$D,$A141,
'New 20102013 LF Efficacy'!$F:$F,"Albendazole &amp; Ivermectin", 
'New 20102013 LF Efficacy'!$W:$W,"&lt;2011",
'New 20102013 LF Efficacy'!$AA:$AA,""),"")</f>
        <v/>
      </c>
      <c r="AS141" s="115">
        <f t="shared" si="14"/>
        <v>0.7575</v>
      </c>
      <c r="AT141" s="130" t="str">
        <f>IFERROR(AVERAGEIFS(
'20102013 Schist Efficacy'!$O:$O, 
'20102013 Schist Efficacy'!$C:$C,$A141, 
'20102013 Schist Efficacy'!$D:$D, "Praziquantel",
'20102013 Schist Efficacy'!$J:$J,"&lt;2011",
'20102013 Schist Efficacy'!$U:$U,""),
"")</f>
        <v/>
      </c>
      <c r="AU141" s="118">
        <f t="shared" si="15"/>
        <v>0.7732631579</v>
      </c>
      <c r="AV141" s="131" t="str">
        <f>IFERROR(AVERAGEIFS(
'20102013 STH Efficacy'!$AX:$AX, 
'20102013 STH Efficacy'!$AL:$AL, $A141, 
'20102013 STH Efficacy'!$AM:$AM, "Albendazole",
'20102013 STH Efficacy'!$AS:$AS,"&lt;2011",
'20102013 STH Efficacy'!$BP:$BP,""),
"")</f>
        <v/>
      </c>
      <c r="AW141" s="132">
        <f t="shared" si="16"/>
        <v>0.3945</v>
      </c>
      <c r="AX141" s="131" t="str">
        <f>IFERROR(AVERAGEIFS(
'20102013 STH Efficacy'!$AX:$AX, 
'20102013 STH Efficacy'!$AL:$AL, $A141, 
'20102013 STH Efficacy'!$AM:$AM, "Mebendazole",
'20102013 STH Efficacy'!$AS:$AS,"&lt;2011",
'20102013 STH Efficacy'!$BP:$BP,""),
"")</f>
        <v/>
      </c>
      <c r="AY141" s="132">
        <f t="shared" si="17"/>
        <v>0.6</v>
      </c>
      <c r="AZ141" s="131" t="str">
        <f>IFERROR(AVERAGEIFS(
'20102013 STH Efficacy'!$AX:$AX, 
'20102013 STH Efficacy'!$AL:$AL, $A141, 
'20102013 STH Efficacy'!$AM:$AM, "Albendazole &amp; Ivermectin",
'20102013 STH Efficacy'!$AS:$AS,"&lt;2011",
'20102013 STH Efficacy'!$BP:$BP,""),
"")</f>
        <v/>
      </c>
      <c r="BA141" s="133">
        <f t="shared" si="18"/>
        <v>0.796</v>
      </c>
      <c r="BB141" s="134" t="str">
        <f>IFERROR(AVERAGEIFS(
'20102013 STH Efficacy'!$N:$N, 
'20102013 STH Efficacy'!$B:$B, $A141, 
'20102013 STH Efficacy'!$C:$C, "Albendazole",
'20102013 STH Efficacy'!$I:$I,"&lt;2011",
'20102013 STH Efficacy'!$AH:$AH,""),
"")</f>
        <v/>
      </c>
      <c r="BC141" s="135">
        <f t="shared" si="19"/>
        <v>0.869</v>
      </c>
      <c r="BD141" s="134" t="str">
        <f>IFERROR(AVERAGEIFS(
'20102013 STH Efficacy'!$N:$N, 
'20102013 STH Efficacy'!$B:$B, $A141, 
'20102013 STH Efficacy'!$C:$C, "Mebendazole",
'20102013 STH Efficacy'!$I:$I,"&lt;2011",
'20102013 STH Efficacy'!$AH:$AH,""),
"")</f>
        <v/>
      </c>
      <c r="BE141" s="135">
        <f t="shared" si="20"/>
        <v>0.172</v>
      </c>
      <c r="BF141" s="128" t="str">
        <f>IFERROR(AVERAGEIFS(
'20102013 STH Efficacy'!$CD:$CD, 
'20102013 STH Efficacy'!$BS:$BS, $A141, 
'20102013 STH Efficacy'!$BT:$BT, "Albendazole",
'20102013 STH Efficacy'!$BZ:$BZ,"&lt;2011",
'20102013 STH Efficacy'!$CU:$CU,""),
"")</f>
        <v/>
      </c>
      <c r="BG141" s="136">
        <f t="shared" si="21"/>
        <v>0.9862</v>
      </c>
      <c r="BH141" s="128" t="str">
        <f>IFERROR(AVERAGEIFS(
'20102013 STH Efficacy'!$CD:$CD, 
'20102013 STH Efficacy'!$BS:$BS, $A141, 
'20102013 STH Efficacy'!$BT:$BT, "Mebendazole",
'20102013 STH Efficacy'!$BZ:$BZ,"&lt;2011",
'20102013 STH Efficacy'!$CU:$CU,""),
"")</f>
        <v/>
      </c>
      <c r="BI141" s="136">
        <f t="shared" si="22"/>
        <v>0.769</v>
      </c>
      <c r="BJ141" s="128" t="str">
        <f>IFERROR(AVERAGEIFS(
'20102013 STH Efficacy'!$CD:$CD, 
'20102013 STH Efficacy'!$BS:$BS, $A141, 
'20102013 STH Efficacy'!$BT:$BT, "Albendazole &amp; Ivermectin",
'20102013 STH Efficacy'!$BZ:$BZ,"&lt;2011",
'20102013 STH Efficacy'!$CU:$CU,""),
"")</f>
        <v/>
      </c>
      <c r="BK141" s="136">
        <f t="shared" si="23"/>
        <v>1</v>
      </c>
      <c r="BL141" s="137"/>
      <c r="BM141" s="137"/>
      <c r="BN141" s="138">
        <v>0.0</v>
      </c>
      <c r="BO141" s="139">
        <v>0.0</v>
      </c>
      <c r="BP141" s="140">
        <v>0.0</v>
      </c>
      <c r="BQ141" s="141">
        <f t="shared" si="24"/>
        <v>0</v>
      </c>
      <c r="BR141" s="104" t="str">
        <f t="shared" si="25"/>
        <v>0000</v>
      </c>
      <c r="BS141" s="104" t="str">
        <f t="shared" si="26"/>
        <v>no action required</v>
      </c>
      <c r="BT141" s="142" t="str">
        <f t="shared" si="27"/>
        <v/>
      </c>
      <c r="BU141" s="104" t="str">
        <f t="shared" si="28"/>
        <v/>
      </c>
      <c r="BV141" s="104" t="str">
        <f t="shared" si="29"/>
        <v>none</v>
      </c>
      <c r="BW141" s="150" t="str">
        <f t="shared" si="30"/>
        <v/>
      </c>
      <c r="BX141" s="150" t="str">
        <f t="shared" si="31"/>
        <v/>
      </c>
      <c r="BY141" s="151" t="str">
        <f t="shared" si="32"/>
        <v/>
      </c>
      <c r="BZ141" s="152" t="str">
        <f t="shared" si="33"/>
        <v/>
      </c>
      <c r="CA141" s="152" t="str">
        <f t="shared" si="34"/>
        <v/>
      </c>
      <c r="CB141" s="152" t="str">
        <f t="shared" si="35"/>
        <v/>
      </c>
      <c r="CC141" s="153" t="str">
        <f t="shared" si="36"/>
        <v/>
      </c>
      <c r="CD141" s="153" t="str">
        <f t="shared" si="37"/>
        <v/>
      </c>
      <c r="CE141" s="154" t="str">
        <f t="shared" si="38"/>
        <v/>
      </c>
      <c r="CF141" s="154" t="str">
        <f t="shared" si="39"/>
        <v/>
      </c>
      <c r="CG141" s="154" t="str">
        <f t="shared" si="40"/>
        <v/>
      </c>
    </row>
    <row r="142">
      <c r="A142" s="103" t="s">
        <v>231</v>
      </c>
      <c r="B142" s="104" t="s">
        <v>92</v>
      </c>
      <c r="C142" s="105">
        <v>1.6425578E7</v>
      </c>
      <c r="D142" s="106">
        <v>11209.69157</v>
      </c>
      <c r="E142" s="107">
        <v>22823.27546</v>
      </c>
      <c r="F142" s="108">
        <v>6.15968E-4</v>
      </c>
      <c r="G142" s="108">
        <v>0.003511511</v>
      </c>
      <c r="H142" s="108">
        <v>0.004127479</v>
      </c>
      <c r="I142" s="109">
        <v>162.925622</v>
      </c>
      <c r="J142" s="109">
        <v>367.316678</v>
      </c>
      <c r="K142" s="109">
        <v>530.2423001</v>
      </c>
      <c r="L142" s="112">
        <v>3651.585467</v>
      </c>
      <c r="M142" s="112">
        <v>359.9719075</v>
      </c>
      <c r="N142" s="158">
        <v>4011.557375</v>
      </c>
      <c r="O142" s="159"/>
      <c r="P142" s="160">
        <v>1.1465194E7</v>
      </c>
      <c r="Q142" s="160">
        <v>7802679.0</v>
      </c>
      <c r="R142" s="115">
        <f t="shared" si="8"/>
        <v>0.6805535955</v>
      </c>
      <c r="S142" s="116">
        <f t="shared" si="9"/>
        <v>0.6805535955</v>
      </c>
      <c r="T142" s="118">
        <v>0.0591</v>
      </c>
      <c r="U142" s="118">
        <f t="shared" si="41"/>
        <v>0.0591</v>
      </c>
      <c r="V142" s="119">
        <v>0.0261</v>
      </c>
      <c r="W142" s="120">
        <f t="shared" si="10"/>
        <v>0.0261</v>
      </c>
      <c r="X142" s="119">
        <v>0.6534</v>
      </c>
      <c r="Y142" s="120">
        <f t="shared" si="11"/>
        <v>0.6534</v>
      </c>
      <c r="Z142" s="114"/>
      <c r="AA142" s="114"/>
      <c r="AB142" s="114"/>
      <c r="AC142" s="114"/>
      <c r="AD142" s="164">
        <v>0.0</v>
      </c>
      <c r="AE142" s="123">
        <v>0.13</v>
      </c>
      <c r="AF142" s="123">
        <v>0.0521</v>
      </c>
      <c r="AG142" s="124">
        <v>0.0035</v>
      </c>
      <c r="AH142" s="124">
        <v>0.005581628</v>
      </c>
      <c r="AI142" s="125">
        <v>0.0172</v>
      </c>
      <c r="AJ142" s="125">
        <v>0.028604088</v>
      </c>
      <c r="AK142" s="126">
        <v>0.0</v>
      </c>
      <c r="AL142" s="169">
        <v>0.026150504</v>
      </c>
      <c r="AM142" s="128"/>
      <c r="AN142" s="149" t="str">
        <f>IFERROR(
  AVERAGEIFS(
    'New 20102013 LF Efficacy'!$J:$J,
    'New 20102013 LF Efficacy'!$D:$D, $A142,
    'New 20102013 LF Efficacy'!$F:$F,"DEC", 
    'New 20102013 LF Efficacy'!$W:$W,"&lt;2011",
    'New 20102013 LF Efficacy'!$AA:$AA,""),
  ""
)</f>
        <v/>
      </c>
      <c r="AO142" s="115">
        <f t="shared" si="12"/>
        <v>0.31225</v>
      </c>
      <c r="AP142" s="121" t="str">
        <f>IFERROR(
AVERAGEIFS(
'New 20102013 LF Efficacy'!$J:$J,
'New 20102013 LF Efficacy'!$D:$D,$A142,
'New 20102013 LF Efficacy'!$F:$F,"Albendazole &amp; DEC",
'New 20102013 LF Efficacy'!$W:$W,"&lt;2011",
'New 20102013 LF Efficacy'!$AA:$AA,""),
"")
</f>
        <v/>
      </c>
      <c r="AQ142" s="115">
        <f t="shared" si="13"/>
        <v>0.4</v>
      </c>
      <c r="AR142" s="121" t="str">
        <f>IFERROR(
AVERAGEIFS(
'New 20102013 LF Efficacy'!$J:$J,
'New 20102013 LF Efficacy'!$D:$D,$A142,
'New 20102013 LF Efficacy'!$F:$F,"Albendazole &amp; Ivermectin", 
'New 20102013 LF Efficacy'!$W:$W,"&lt;2011",
'New 20102013 LF Efficacy'!$AA:$AA,""),"")</f>
        <v/>
      </c>
      <c r="AS142" s="115">
        <f t="shared" si="14"/>
        <v>0.2943125</v>
      </c>
      <c r="AT142" s="130" t="str">
        <f>IFERROR(AVERAGEIFS(
'20102013 Schist Efficacy'!$O:$O, 
'20102013 Schist Efficacy'!$C:$C,$A142, 
'20102013 Schist Efficacy'!$D:$D, "Praziquantel",
'20102013 Schist Efficacy'!$J:$J,"&lt;2011",
'20102013 Schist Efficacy'!$U:$U,""),
"")</f>
        <v/>
      </c>
      <c r="AU142" s="118">
        <f t="shared" si="15"/>
        <v>0.6444020147</v>
      </c>
      <c r="AV142" s="131" t="str">
        <f>IFERROR(AVERAGEIFS(
'20102013 STH Efficacy'!$AX:$AX, 
'20102013 STH Efficacy'!$AL:$AL, $A142, 
'20102013 STH Efficacy'!$AM:$AM, "Albendazole",
'20102013 STH Efficacy'!$AS:$AS,"&lt;2011",
'20102013 STH Efficacy'!$BP:$BP,""),
"")</f>
        <v/>
      </c>
      <c r="AW142" s="132">
        <f t="shared" si="16"/>
        <v>0.3538333333</v>
      </c>
      <c r="AX142" s="131" t="str">
        <f>IFERROR(AVERAGEIFS(
'20102013 STH Efficacy'!$AX:$AX, 
'20102013 STH Efficacy'!$AL:$AL, $A142, 
'20102013 STH Efficacy'!$AM:$AM, "Mebendazole",
'20102013 STH Efficacy'!$AS:$AS,"&lt;2011",
'20102013 STH Efficacy'!$BP:$BP,""),
"")</f>
        <v/>
      </c>
      <c r="AY142" s="132">
        <f t="shared" si="17"/>
        <v>0.5918333333</v>
      </c>
      <c r="AZ142" s="131" t="str">
        <f>IFERROR(AVERAGEIFS(
'20102013 STH Efficacy'!$AX:$AX, 
'20102013 STH Efficacy'!$AL:$AL, $A142, 
'20102013 STH Efficacy'!$AM:$AM, "Albendazole &amp; Ivermectin",
'20102013 STH Efficacy'!$AS:$AS,"&lt;2011",
'20102013 STH Efficacy'!$BP:$BP,""),
"")</f>
        <v/>
      </c>
      <c r="BA142" s="133">
        <f t="shared" si="18"/>
        <v>0.706</v>
      </c>
      <c r="BB142" s="134" t="str">
        <f>IFERROR(AVERAGEIFS(
'20102013 STH Efficacy'!$N:$N, 
'20102013 STH Efficacy'!$B:$B, $A142, 
'20102013 STH Efficacy'!$C:$C, "Albendazole",
'20102013 STH Efficacy'!$I:$I,"&lt;2011",
'20102013 STH Efficacy'!$AH:$AH,""),
"")</f>
        <v/>
      </c>
      <c r="BC142" s="135">
        <f t="shared" si="19"/>
        <v>0.9116666667</v>
      </c>
      <c r="BD142" s="134" t="str">
        <f>IFERROR(AVERAGEIFS(
'20102013 STH Efficacy'!$N:$N, 
'20102013 STH Efficacy'!$B:$B, $A142, 
'20102013 STH Efficacy'!$C:$C, "Mebendazole",
'20102013 STH Efficacy'!$I:$I,"&lt;2011",
'20102013 STH Efficacy'!$AH:$AH,""),
"")</f>
        <v/>
      </c>
      <c r="BE142" s="135">
        <f t="shared" si="20"/>
        <v>0.7092416667</v>
      </c>
      <c r="BF142" s="128" t="str">
        <f>IFERROR(AVERAGEIFS(
'20102013 STH Efficacy'!$CD:$CD, 
'20102013 STH Efficacy'!$BS:$BS, $A142, 
'20102013 STH Efficacy'!$BT:$BT, "Albendazole",
'20102013 STH Efficacy'!$BZ:$BZ,"&lt;2011",
'20102013 STH Efficacy'!$CU:$CU,""),
"")</f>
        <v/>
      </c>
      <c r="BG142" s="136">
        <f t="shared" si="21"/>
        <v>0.8656666667</v>
      </c>
      <c r="BH142" s="128" t="str">
        <f>IFERROR(AVERAGEIFS(
'20102013 STH Efficacy'!$CD:$CD, 
'20102013 STH Efficacy'!$BS:$BS, $A142, 
'20102013 STH Efficacy'!$BT:$BT, "Mebendazole",
'20102013 STH Efficacy'!$BZ:$BZ,"&lt;2011",
'20102013 STH Efficacy'!$CU:$CU,""),
"")</f>
        <v/>
      </c>
      <c r="BI142" s="136">
        <f t="shared" si="22"/>
        <v>0.9203333333</v>
      </c>
      <c r="BJ142" s="128" t="str">
        <f>IFERROR(AVERAGEIFS(
'20102013 STH Efficacy'!$CD:$CD, 
'20102013 STH Efficacy'!$BS:$BS, $A142, 
'20102013 STH Efficacy'!$BT:$BT, "Albendazole &amp; Ivermectin",
'20102013 STH Efficacy'!$BZ:$BZ,"&lt;2011",
'20102013 STH Efficacy'!$CU:$CU,""),
"")</f>
        <v/>
      </c>
      <c r="BK142" s="136">
        <f t="shared" si="23"/>
        <v>1</v>
      </c>
      <c r="BL142" s="137"/>
      <c r="BM142" s="137"/>
      <c r="BN142" s="138">
        <v>1.0</v>
      </c>
      <c r="BO142" s="139">
        <v>1.0</v>
      </c>
      <c r="BP142" s="140">
        <v>1.0</v>
      </c>
      <c r="BQ142" s="141">
        <f t="shared" si="24"/>
        <v>0</v>
      </c>
      <c r="BR142" s="104" t="str">
        <f t="shared" si="25"/>
        <v>1110</v>
      </c>
      <c r="BS142" s="104" t="str">
        <f t="shared" si="26"/>
        <v>MDA1+T2</v>
      </c>
      <c r="BT142" s="142" t="str">
        <f t="shared" si="27"/>
        <v>IVM+ALB</v>
      </c>
      <c r="BU142" s="104" t="str">
        <f t="shared" si="28"/>
        <v>PZQ</v>
      </c>
      <c r="BV142" s="104" t="str">
        <f t="shared" si="29"/>
        <v>lf+onch+schist </v>
      </c>
      <c r="BW142" s="150" t="str">
        <f t="shared" si="30"/>
        <v/>
      </c>
      <c r="BX142" s="150">
        <f t="shared" si="31"/>
        <v>2807.599304</v>
      </c>
      <c r="BY142" s="162">
        <f t="shared" si="32"/>
        <v>903.6188157</v>
      </c>
      <c r="BZ142" s="152" t="str">
        <f t="shared" si="33"/>
        <v/>
      </c>
      <c r="CA142" s="152" t="str">
        <f t="shared" si="34"/>
        <v/>
      </c>
      <c r="CB142" s="152" t="str">
        <f t="shared" si="35"/>
        <v/>
      </c>
      <c r="CC142" s="153" t="str">
        <f t="shared" si="36"/>
        <v/>
      </c>
      <c r="CD142" s="153" t="str">
        <f t="shared" si="37"/>
        <v/>
      </c>
      <c r="CE142" s="154" t="str">
        <f t="shared" si="38"/>
        <v/>
      </c>
      <c r="CF142" s="154" t="str">
        <f t="shared" si="39"/>
        <v/>
      </c>
      <c r="CG142" s="154" t="str">
        <f t="shared" si="40"/>
        <v/>
      </c>
    </row>
    <row r="143">
      <c r="A143" s="103" t="s">
        <v>232</v>
      </c>
      <c r="B143" s="104" t="s">
        <v>92</v>
      </c>
      <c r="C143" s="105">
        <v>1.58578261E8</v>
      </c>
      <c r="D143" s="106">
        <v>242127.3323</v>
      </c>
      <c r="E143" s="107">
        <v>367922.8742</v>
      </c>
      <c r="F143" s="108">
        <v>92.18026826</v>
      </c>
      <c r="G143" s="108">
        <v>361.0216331</v>
      </c>
      <c r="H143" s="157">
        <v>453.2019013</v>
      </c>
      <c r="I143" s="110">
        <v>5237.56901</v>
      </c>
      <c r="J143" s="110">
        <v>14678.3335</v>
      </c>
      <c r="K143" s="110">
        <v>19915.9025</v>
      </c>
      <c r="L143" s="111">
        <v>118911.8055</v>
      </c>
      <c r="M143" s="111">
        <v>36238.53579</v>
      </c>
      <c r="N143" s="158">
        <v>155150.3413</v>
      </c>
      <c r="O143" s="159"/>
      <c r="P143" s="160">
        <v>8.8966825E7</v>
      </c>
      <c r="Q143" s="160">
        <v>1.048979E7</v>
      </c>
      <c r="R143" s="115">
        <f t="shared" si="8"/>
        <v>0.1179067591</v>
      </c>
      <c r="S143" s="116">
        <f t="shared" si="9"/>
        <v>0.1179067591</v>
      </c>
      <c r="T143" s="130"/>
      <c r="U143" s="118">
        <f t="shared" si="41"/>
        <v>0.252</v>
      </c>
      <c r="V143" s="148"/>
      <c r="W143" s="120">
        <f t="shared" si="10"/>
        <v>0.7266555556</v>
      </c>
      <c r="X143" s="119">
        <v>0.0792</v>
      </c>
      <c r="Y143" s="120">
        <f t="shared" si="11"/>
        <v>0.0792</v>
      </c>
      <c r="Z143" s="114"/>
      <c r="AA143" s="114"/>
      <c r="AB143" s="114"/>
      <c r="AC143" s="114"/>
      <c r="AD143" s="164">
        <v>0.0</v>
      </c>
      <c r="AE143" s="123">
        <v>0.26</v>
      </c>
      <c r="AF143" s="123">
        <v>0.122</v>
      </c>
      <c r="AG143" s="167">
        <v>0.0</v>
      </c>
      <c r="AH143" s="124">
        <v>0.058466365</v>
      </c>
      <c r="AI143" s="168">
        <v>0.0</v>
      </c>
      <c r="AJ143" s="125">
        <v>0.087731962</v>
      </c>
      <c r="AK143" s="126">
        <v>0.0</v>
      </c>
      <c r="AL143" s="169">
        <v>0.309545395</v>
      </c>
      <c r="AM143" s="128"/>
      <c r="AN143" s="149" t="str">
        <f>IFERROR(
  AVERAGEIFS(
    'New 20102013 LF Efficacy'!$J:$J,
    'New 20102013 LF Efficacy'!$D:$D, $A143,
    'New 20102013 LF Efficacy'!$F:$F,"DEC", 
    'New 20102013 LF Efficacy'!$W:$W,"&lt;2011",
    'New 20102013 LF Efficacy'!$AA:$AA,""),
  ""
)</f>
        <v/>
      </c>
      <c r="AO143" s="115">
        <f t="shared" si="12"/>
        <v>0.31225</v>
      </c>
      <c r="AP143" s="121" t="str">
        <f>IFERROR(
AVERAGEIFS(
'New 20102013 LF Efficacy'!$J:$J,
'New 20102013 LF Efficacy'!$D:$D,$A143,
'New 20102013 LF Efficacy'!$F:$F,"Albendazole &amp; DEC",
'New 20102013 LF Efficacy'!$W:$W,"&lt;2011",
'New 20102013 LF Efficacy'!$AA:$AA,""),
"")
</f>
        <v/>
      </c>
      <c r="AQ143" s="115">
        <f t="shared" si="13"/>
        <v>0.4</v>
      </c>
      <c r="AR143" s="121" t="str">
        <f>IFERROR(
AVERAGEIFS(
'New 20102013 LF Efficacy'!$J:$J,
'New 20102013 LF Efficacy'!$D:$D,$A143,
'New 20102013 LF Efficacy'!$F:$F,"Albendazole &amp; Ivermectin", 
'New 20102013 LF Efficacy'!$W:$W,"&lt;2011",
'New 20102013 LF Efficacy'!$AA:$AA,""),"")</f>
        <v/>
      </c>
      <c r="AS143" s="115">
        <f t="shared" si="14"/>
        <v>0.2943125</v>
      </c>
      <c r="AT143" s="130">
        <f>IFERROR(AVERAGEIFS(
'20102013 Schist Efficacy'!$O:$O, 
'20102013 Schist Efficacy'!$C:$C,$A143, 
'20102013 Schist Efficacy'!$D:$D, "Praziquantel",
'20102013 Schist Efficacy'!$J:$J,"&lt;2011",
'20102013 Schist Efficacy'!$U:$U,""),
"")</f>
        <v>0.778</v>
      </c>
      <c r="AU143" s="118">
        <f t="shared" si="15"/>
        <v>0.778</v>
      </c>
      <c r="AV143" s="131" t="str">
        <f>IFERROR(AVERAGEIFS(
'20102013 STH Efficacy'!$AX:$AX, 
'20102013 STH Efficacy'!$AL:$AL, $A143, 
'20102013 STH Efficacy'!$AM:$AM, "Albendazole",
'20102013 STH Efficacy'!$AS:$AS,"&lt;2011",
'20102013 STH Efficacy'!$BP:$BP,""),
"")</f>
        <v/>
      </c>
      <c r="AW143" s="132">
        <f t="shared" si="16"/>
        <v>0.3538333333</v>
      </c>
      <c r="AX143" s="131">
        <f>IFERROR(AVERAGEIFS(
'20102013 STH Efficacy'!$AX:$AX, 
'20102013 STH Efficacy'!$AL:$AL, $A143, 
'20102013 STH Efficacy'!$AM:$AM, "Mebendazole",
'20102013 STH Efficacy'!$AS:$AS,"&lt;2011",
'20102013 STH Efficacy'!$BP:$BP,""),
"")</f>
        <v>1</v>
      </c>
      <c r="AY143" s="132">
        <f t="shared" si="17"/>
        <v>1</v>
      </c>
      <c r="AZ143" s="131" t="str">
        <f>IFERROR(AVERAGEIFS(
'20102013 STH Efficacy'!$AX:$AX, 
'20102013 STH Efficacy'!$AL:$AL, $A143, 
'20102013 STH Efficacy'!$AM:$AM, "Albendazole &amp; Ivermectin",
'20102013 STH Efficacy'!$AS:$AS,"&lt;2011",
'20102013 STH Efficacy'!$BP:$BP,""),
"")</f>
        <v/>
      </c>
      <c r="BA143" s="133">
        <f t="shared" si="18"/>
        <v>0.706</v>
      </c>
      <c r="BB143" s="134" t="str">
        <f>IFERROR(AVERAGEIFS(
'20102013 STH Efficacy'!$N:$N, 
'20102013 STH Efficacy'!$B:$B, $A143, 
'20102013 STH Efficacy'!$C:$C, "Albendazole",
'20102013 STH Efficacy'!$I:$I,"&lt;2011",
'20102013 STH Efficacy'!$AH:$AH,""),
"")</f>
        <v/>
      </c>
      <c r="BC143" s="135">
        <f t="shared" si="19"/>
        <v>0.9116666667</v>
      </c>
      <c r="BD143" s="134">
        <f>IFERROR(AVERAGEIFS(
'20102013 STH Efficacy'!$N:$N, 
'20102013 STH Efficacy'!$B:$B, $A143, 
'20102013 STH Efficacy'!$C:$C, "Mebendazole",
'20102013 STH Efficacy'!$I:$I,"&lt;2011",
'20102013 STH Efficacy'!$AH:$AH,""),
"")</f>
        <v>0.9048</v>
      </c>
      <c r="BE143" s="135">
        <f t="shared" si="20"/>
        <v>0.9048</v>
      </c>
      <c r="BF143" s="128" t="str">
        <f>IFERROR(AVERAGEIFS(
'20102013 STH Efficacy'!$CD:$CD, 
'20102013 STH Efficacy'!$BS:$BS, $A143, 
'20102013 STH Efficacy'!$BT:$BT, "Albendazole",
'20102013 STH Efficacy'!$BZ:$BZ,"&lt;2011",
'20102013 STH Efficacy'!$CU:$CU,""),
"")</f>
        <v/>
      </c>
      <c r="BG143" s="136">
        <f t="shared" si="21"/>
        <v>0.8656666667</v>
      </c>
      <c r="BH143" s="128">
        <f>IFERROR(AVERAGEIFS(
'20102013 STH Efficacy'!$CD:$CD, 
'20102013 STH Efficacy'!$BS:$BS, $A143, 
'20102013 STH Efficacy'!$BT:$BT, "Mebendazole",
'20102013 STH Efficacy'!$BZ:$BZ,"&lt;2011",
'20102013 STH Efficacy'!$CU:$CU,""),
"")</f>
        <v>1</v>
      </c>
      <c r="BI143" s="136">
        <f t="shared" si="22"/>
        <v>1</v>
      </c>
      <c r="BJ143" s="128" t="str">
        <f>IFERROR(AVERAGEIFS(
'20102013 STH Efficacy'!$CD:$CD, 
'20102013 STH Efficacy'!$BS:$BS, $A143, 
'20102013 STH Efficacy'!$BT:$BT, "Albendazole &amp; Ivermectin",
'20102013 STH Efficacy'!$BZ:$BZ,"&lt;2011",
'20102013 STH Efficacy'!$CU:$CU,""),
"")</f>
        <v/>
      </c>
      <c r="BK143" s="136">
        <f t="shared" si="23"/>
        <v>1</v>
      </c>
      <c r="BL143" s="137"/>
      <c r="BM143" s="137"/>
      <c r="BN143" s="138">
        <v>1.0</v>
      </c>
      <c r="BO143" s="139">
        <v>1.0</v>
      </c>
      <c r="BP143" s="140">
        <v>1.0</v>
      </c>
      <c r="BQ143" s="141">
        <f t="shared" si="24"/>
        <v>0</v>
      </c>
      <c r="BR143" s="104" t="str">
        <f t="shared" si="25"/>
        <v>1110</v>
      </c>
      <c r="BS143" s="104" t="str">
        <f t="shared" si="26"/>
        <v>MDA1+T2</v>
      </c>
      <c r="BT143" s="142" t="str">
        <f t="shared" si="27"/>
        <v>IVM+ALB</v>
      </c>
      <c r="BU143" s="104" t="str">
        <f t="shared" si="28"/>
        <v>PZQ</v>
      </c>
      <c r="BV143" s="104" t="str">
        <f t="shared" si="29"/>
        <v>lf+onch+schist </v>
      </c>
      <c r="BW143" s="150" t="str">
        <f t="shared" si="30"/>
        <v/>
      </c>
      <c r="BX143" s="150">
        <f t="shared" si="31"/>
        <v>8704.214109</v>
      </c>
      <c r="BY143" s="162">
        <f t="shared" si="32"/>
        <v>89724.51691</v>
      </c>
      <c r="BZ143" s="152" t="str">
        <f t="shared" si="33"/>
        <v/>
      </c>
      <c r="CA143" s="152" t="str">
        <f t="shared" si="34"/>
        <v/>
      </c>
      <c r="CB143" s="152" t="str">
        <f t="shared" si="35"/>
        <v/>
      </c>
      <c r="CC143" s="153" t="str">
        <f t="shared" si="36"/>
        <v/>
      </c>
      <c r="CD143" s="153" t="str">
        <f t="shared" si="37"/>
        <v/>
      </c>
      <c r="CE143" s="154" t="str">
        <f t="shared" si="38"/>
        <v/>
      </c>
      <c r="CF143" s="154" t="str">
        <f t="shared" si="39"/>
        <v/>
      </c>
      <c r="CG143" s="154" t="str">
        <f t="shared" si="40"/>
        <v/>
      </c>
    </row>
    <row r="144">
      <c r="A144" s="103" t="s">
        <v>233</v>
      </c>
      <c r="B144" s="104" t="s">
        <v>94</v>
      </c>
      <c r="C144" s="105">
        <v>1496.0</v>
      </c>
      <c r="D144" s="106">
        <v>0.0</v>
      </c>
      <c r="E144" s="107">
        <v>0.0</v>
      </c>
      <c r="F144" s="163"/>
      <c r="G144" s="163"/>
      <c r="H144" s="108">
        <v>0.0</v>
      </c>
      <c r="I144" s="109">
        <v>0.0</v>
      </c>
      <c r="J144" s="109">
        <v>0.0</v>
      </c>
      <c r="K144" s="109">
        <v>0.0</v>
      </c>
      <c r="L144" s="113"/>
      <c r="M144" s="113"/>
      <c r="N144" s="112">
        <v>0.0</v>
      </c>
      <c r="O144" s="113"/>
      <c r="P144" s="156"/>
      <c r="Q144" s="156"/>
      <c r="R144" s="115" t="str">
        <f t="shared" si="8"/>
        <v/>
      </c>
      <c r="S144" s="116">
        <f t="shared" si="9"/>
        <v>0.1955251818</v>
      </c>
      <c r="T144" s="117"/>
      <c r="U144" s="118">
        <f t="shared" si="41"/>
        <v>0.6259666667</v>
      </c>
      <c r="V144" s="148"/>
      <c r="W144" s="120">
        <f t="shared" si="10"/>
        <v>0.55175</v>
      </c>
      <c r="X144" s="148"/>
      <c r="Y144" s="120">
        <f t="shared" si="11"/>
        <v>0.4826142857</v>
      </c>
      <c r="Z144" s="114"/>
      <c r="AA144" s="114"/>
      <c r="AB144" s="114"/>
      <c r="AC144" s="114"/>
      <c r="AD144" s="164">
        <v>0.0</v>
      </c>
      <c r="AE144" s="165">
        <v>0.0</v>
      </c>
      <c r="AF144" s="166">
        <v>0.0</v>
      </c>
      <c r="AG144" s="167">
        <v>0.0</v>
      </c>
      <c r="AH144" s="172">
        <v>0.0</v>
      </c>
      <c r="AI144" s="168">
        <v>0.0</v>
      </c>
      <c r="AJ144" s="173">
        <v>0.0</v>
      </c>
      <c r="AK144" s="126">
        <v>0.0</v>
      </c>
      <c r="AL144" s="169">
        <v>0.0</v>
      </c>
      <c r="AM144" s="128"/>
      <c r="AN144" s="149" t="str">
        <f>IFERROR(
  AVERAGEIFS(
    'New 20102013 LF Efficacy'!$J:$J,
    'New 20102013 LF Efficacy'!$D:$D, $A144,
    'New 20102013 LF Efficacy'!$F:$F,"DEC", 
    'New 20102013 LF Efficacy'!$W:$W,"&lt;2011",
    'New 20102013 LF Efficacy'!$AA:$AA,""),
  ""
)</f>
        <v/>
      </c>
      <c r="AO144" s="115">
        <f t="shared" si="12"/>
        <v>0.38</v>
      </c>
      <c r="AP144" s="121" t="str">
        <f>IFERROR(
AVERAGEIFS(
'New 20102013 LF Efficacy'!$J:$J,
'New 20102013 LF Efficacy'!$D:$D,$A144,
'New 20102013 LF Efficacy'!$F:$F,"Albendazole &amp; DEC",
'New 20102013 LF Efficacy'!$W:$W,"&lt;2011",
'New 20102013 LF Efficacy'!$AA:$AA,""),
"")
</f>
        <v/>
      </c>
      <c r="AQ144" s="115">
        <f t="shared" si="13"/>
        <v>0.657</v>
      </c>
      <c r="AR144" s="121" t="str">
        <f>IFERROR(
AVERAGEIFS(
'New 20102013 LF Efficacy'!$J:$J,
'New 20102013 LF Efficacy'!$D:$D,$A144,
'New 20102013 LF Efficacy'!$F:$F,"Albendazole &amp; Ivermectin", 
'New 20102013 LF Efficacy'!$W:$W,"&lt;2011",
'New 20102013 LF Efficacy'!$AA:$AA,""),"")</f>
        <v/>
      </c>
      <c r="AS144" s="115">
        <f t="shared" si="14"/>
        <v>0.37153125</v>
      </c>
      <c r="AT144" s="130" t="str">
        <f>IFERROR(AVERAGEIFS(
'20102013 Schist Efficacy'!$O:$O, 
'20102013 Schist Efficacy'!$C:$C,$A144, 
'20102013 Schist Efficacy'!$D:$D, "Praziquantel",
'20102013 Schist Efficacy'!$J:$J,"&lt;2011",
'20102013 Schist Efficacy'!$U:$U,""),
"")</f>
        <v/>
      </c>
      <c r="AU144" s="118">
        <f t="shared" si="15"/>
        <v>0.95</v>
      </c>
      <c r="AV144" s="131" t="str">
        <f>IFERROR(AVERAGEIFS(
'20102013 STH Efficacy'!$AX:$AX, 
'20102013 STH Efficacy'!$AL:$AL, $A144, 
'20102013 STH Efficacy'!$AM:$AM, "Albendazole",
'20102013 STH Efficacy'!$AS:$AS,"&lt;2011",
'20102013 STH Efficacy'!$BP:$BP,""),
"")</f>
        <v/>
      </c>
      <c r="AW144" s="132">
        <f t="shared" si="16"/>
        <v>0.3571666667</v>
      </c>
      <c r="AX144" s="131" t="str">
        <f>IFERROR(AVERAGEIFS(
'20102013 STH Efficacy'!$AX:$AX, 
'20102013 STH Efficacy'!$AL:$AL, $A144, 
'20102013 STH Efficacy'!$AM:$AM, "Mebendazole",
'20102013 STH Efficacy'!$AS:$AS,"&lt;2011",
'20102013 STH Efficacy'!$BP:$BP,""),
"")</f>
        <v/>
      </c>
      <c r="AY144" s="132">
        <f t="shared" si="17"/>
        <v>0.4155</v>
      </c>
      <c r="AZ144" s="131" t="str">
        <f>IFERROR(AVERAGEIFS(
'20102013 STH Efficacy'!$AX:$AX, 
'20102013 STH Efficacy'!$AL:$AL, $A144, 
'20102013 STH Efficacy'!$AM:$AM, "Albendazole &amp; Ivermectin",
'20102013 STH Efficacy'!$AS:$AS,"&lt;2011",
'20102013 STH Efficacy'!$BP:$BP,""),
"")</f>
        <v/>
      </c>
      <c r="BA144" s="133">
        <f t="shared" si="18"/>
        <v>0.651</v>
      </c>
      <c r="BB144" s="134" t="str">
        <f>IFERROR(AVERAGEIFS(
'20102013 STH Efficacy'!$N:$N, 
'20102013 STH Efficacy'!$B:$B, $A144, 
'20102013 STH Efficacy'!$C:$C, "Albendazole",
'20102013 STH Efficacy'!$I:$I,"&lt;2011",
'20102013 STH Efficacy'!$AH:$AH,""),
"")</f>
        <v/>
      </c>
      <c r="BC144" s="135">
        <f t="shared" si="19"/>
        <v>0.5769166667</v>
      </c>
      <c r="BD144" s="134" t="str">
        <f>IFERROR(AVERAGEIFS(
'20102013 STH Efficacy'!$N:$N, 
'20102013 STH Efficacy'!$B:$B, $A144, 
'20102013 STH Efficacy'!$C:$C, "Mebendazole",
'20102013 STH Efficacy'!$I:$I,"&lt;2011",
'20102013 STH Efficacy'!$AH:$AH,""),
"")</f>
        <v/>
      </c>
      <c r="BE144" s="135">
        <f t="shared" si="20"/>
        <v>0.3145</v>
      </c>
      <c r="BF144" s="128" t="str">
        <f>IFERROR(AVERAGEIFS(
'20102013 STH Efficacy'!$CD:$CD, 
'20102013 STH Efficacy'!$BS:$BS, $A144, 
'20102013 STH Efficacy'!$BT:$BT, "Albendazole",
'20102013 STH Efficacy'!$BZ:$BZ,"&lt;2011",
'20102013 STH Efficacy'!$CU:$CU,""),
"")</f>
        <v/>
      </c>
      <c r="BG144" s="136">
        <f t="shared" si="21"/>
        <v>0.96925</v>
      </c>
      <c r="BH144" s="128" t="str">
        <f>IFERROR(AVERAGEIFS(
'20102013 STH Efficacy'!$CD:$CD, 
'20102013 STH Efficacy'!$BS:$BS, $A144, 
'20102013 STH Efficacy'!$BT:$BT, "Mebendazole",
'20102013 STH Efficacy'!$BZ:$BZ,"&lt;2011",
'20102013 STH Efficacy'!$CU:$CU,""),
"")</f>
        <v/>
      </c>
      <c r="BI144" s="136">
        <f t="shared" si="22"/>
        <v>0.9305</v>
      </c>
      <c r="BJ144" s="128" t="str">
        <f>IFERROR(AVERAGEIFS(
'20102013 STH Efficacy'!$CD:$CD, 
'20102013 STH Efficacy'!$BS:$BS, $A144, 
'20102013 STH Efficacy'!$BT:$BT, "Albendazole &amp; Ivermectin",
'20102013 STH Efficacy'!$BZ:$BZ,"&lt;2011",
'20102013 STH Efficacy'!$CU:$CU,""),
"")</f>
        <v/>
      </c>
      <c r="BK144" s="136">
        <f t="shared" si="23"/>
        <v>1</v>
      </c>
      <c r="BL144" s="137"/>
      <c r="BM144" s="137"/>
      <c r="BN144" s="138">
        <v>0.0</v>
      </c>
      <c r="BO144" s="139">
        <v>0.0</v>
      </c>
      <c r="BP144" s="140">
        <v>0.0</v>
      </c>
      <c r="BQ144" s="141">
        <f t="shared" si="24"/>
        <v>0</v>
      </c>
      <c r="BR144" s="104" t="str">
        <f t="shared" si="25"/>
        <v>0000</v>
      </c>
      <c r="BS144" s="104" t="str">
        <f t="shared" si="26"/>
        <v>no action required</v>
      </c>
      <c r="BT144" s="142" t="str">
        <f t="shared" si="27"/>
        <v/>
      </c>
      <c r="BU144" s="104" t="str">
        <f t="shared" si="28"/>
        <v/>
      </c>
      <c r="BV144" s="104" t="str">
        <f t="shared" si="29"/>
        <v>none</v>
      </c>
      <c r="BW144" s="150" t="str">
        <f t="shared" si="30"/>
        <v/>
      </c>
      <c r="BX144" s="150" t="str">
        <f t="shared" si="31"/>
        <v/>
      </c>
      <c r="BY144" s="151" t="str">
        <f t="shared" si="32"/>
        <v/>
      </c>
      <c r="BZ144" s="152" t="str">
        <f t="shared" si="33"/>
        <v/>
      </c>
      <c r="CA144" s="152" t="str">
        <f t="shared" si="34"/>
        <v/>
      </c>
      <c r="CB144" s="152" t="str">
        <f t="shared" si="35"/>
        <v/>
      </c>
      <c r="CC144" s="153" t="str">
        <f t="shared" si="36"/>
        <v/>
      </c>
      <c r="CD144" s="153" t="str">
        <f t="shared" si="37"/>
        <v/>
      </c>
      <c r="CE144" s="154" t="str">
        <f t="shared" si="38"/>
        <v/>
      </c>
      <c r="CF144" s="154" t="str">
        <f t="shared" si="39"/>
        <v/>
      </c>
      <c r="CG144" s="154" t="str">
        <f t="shared" si="40"/>
        <v/>
      </c>
    </row>
    <row r="145">
      <c r="A145" s="155" t="s">
        <v>234</v>
      </c>
      <c r="B145" s="104" t="s">
        <v>94</v>
      </c>
      <c r="C145" s="105">
        <v>54424.0</v>
      </c>
      <c r="D145" s="106">
        <v>0.0</v>
      </c>
      <c r="E145" s="107">
        <v>0.0</v>
      </c>
      <c r="F145" s="108">
        <v>0.0</v>
      </c>
      <c r="G145" s="108">
        <v>0.0</v>
      </c>
      <c r="H145" s="108">
        <v>0.0</v>
      </c>
      <c r="I145" s="109">
        <v>0.01077579</v>
      </c>
      <c r="J145" s="109">
        <v>0.0170191</v>
      </c>
      <c r="K145" s="109">
        <v>0.027794881</v>
      </c>
      <c r="L145" s="112">
        <v>0.0</v>
      </c>
      <c r="M145" s="112">
        <v>0.0</v>
      </c>
      <c r="N145" s="112">
        <v>0.0</v>
      </c>
      <c r="O145" s="113"/>
      <c r="P145" s="114"/>
      <c r="Q145" s="114"/>
      <c r="R145" s="115" t="str">
        <f t="shared" si="8"/>
        <v/>
      </c>
      <c r="S145" s="116">
        <f t="shared" si="9"/>
        <v>0.1955251818</v>
      </c>
      <c r="T145" s="117"/>
      <c r="U145" s="118">
        <f t="shared" si="41"/>
        <v>0.6259666667</v>
      </c>
      <c r="V145" s="148"/>
      <c r="W145" s="120">
        <f t="shared" si="10"/>
        <v>0.55175</v>
      </c>
      <c r="X145" s="148"/>
      <c r="Y145" s="120">
        <f t="shared" si="11"/>
        <v>0.4826142857</v>
      </c>
      <c r="Z145" s="121"/>
      <c r="AA145" s="121"/>
      <c r="AB145" s="121"/>
      <c r="AC145" s="121"/>
      <c r="AD145" s="122">
        <v>0.0</v>
      </c>
      <c r="AE145" s="123">
        <v>0.0</v>
      </c>
      <c r="AF145" s="123">
        <v>0.0</v>
      </c>
      <c r="AG145" s="167">
        <v>0.0</v>
      </c>
      <c r="AH145" s="124">
        <v>1.17169E-4</v>
      </c>
      <c r="AI145" s="125">
        <v>1.0E-4</v>
      </c>
      <c r="AJ145" s="125">
        <v>1.15495E-4</v>
      </c>
      <c r="AK145" s="127">
        <v>0.0</v>
      </c>
      <c r="AL145" s="127">
        <v>1.15458E-4</v>
      </c>
      <c r="AM145" s="128"/>
      <c r="AN145" s="149" t="str">
        <f>IFERROR(
  AVERAGEIFS(
    'New 20102013 LF Efficacy'!$J:$J,
    'New 20102013 LF Efficacy'!$D:$D, $A145,
    'New 20102013 LF Efficacy'!$F:$F,"DEC", 
    'New 20102013 LF Efficacy'!$W:$W,"&lt;2011",
    'New 20102013 LF Efficacy'!$AA:$AA,""),
  ""
)</f>
        <v/>
      </c>
      <c r="AO145" s="115">
        <f t="shared" si="12"/>
        <v>0.38</v>
      </c>
      <c r="AP145" s="121" t="str">
        <f>IFERROR(
AVERAGEIFS(
'New 20102013 LF Efficacy'!$J:$J,
'New 20102013 LF Efficacy'!$D:$D,$A145,
'New 20102013 LF Efficacy'!$F:$F,"Albendazole &amp; DEC",
'New 20102013 LF Efficacy'!$W:$W,"&lt;2011",
'New 20102013 LF Efficacy'!$AA:$AA,""),
"")
</f>
        <v/>
      </c>
      <c r="AQ145" s="115">
        <f t="shared" si="13"/>
        <v>0.657</v>
      </c>
      <c r="AR145" s="121" t="str">
        <f>IFERROR(
AVERAGEIFS(
'New 20102013 LF Efficacy'!$J:$J,
'New 20102013 LF Efficacy'!$D:$D,$A145,
'New 20102013 LF Efficacy'!$F:$F,"Albendazole &amp; Ivermectin", 
'New 20102013 LF Efficacy'!$W:$W,"&lt;2011",
'New 20102013 LF Efficacy'!$AA:$AA,""),"")</f>
        <v/>
      </c>
      <c r="AS145" s="115">
        <f t="shared" si="14"/>
        <v>0.37153125</v>
      </c>
      <c r="AT145" s="130" t="str">
        <f>IFERROR(AVERAGEIFS(
'20102013 Schist Efficacy'!$O:$O, 
'20102013 Schist Efficacy'!$C:$C,$A145, 
'20102013 Schist Efficacy'!$D:$D, "Praziquantel",
'20102013 Schist Efficacy'!$J:$J,"&lt;2011",
'20102013 Schist Efficacy'!$U:$U,""),
"")</f>
        <v/>
      </c>
      <c r="AU145" s="118">
        <f t="shared" si="15"/>
        <v>0.95</v>
      </c>
      <c r="AV145" s="131" t="str">
        <f>IFERROR(AVERAGEIFS(
'20102013 STH Efficacy'!$AX:$AX, 
'20102013 STH Efficacy'!$AL:$AL, $A145, 
'20102013 STH Efficacy'!$AM:$AM, "Albendazole",
'20102013 STH Efficacy'!$AS:$AS,"&lt;2011",
'20102013 STH Efficacy'!$BP:$BP,""),
"")</f>
        <v/>
      </c>
      <c r="AW145" s="132">
        <f t="shared" si="16"/>
        <v>0.3571666667</v>
      </c>
      <c r="AX145" s="131" t="str">
        <f>IFERROR(AVERAGEIFS(
'20102013 STH Efficacy'!$AX:$AX, 
'20102013 STH Efficacy'!$AL:$AL, $A145, 
'20102013 STH Efficacy'!$AM:$AM, "Mebendazole",
'20102013 STH Efficacy'!$AS:$AS,"&lt;2011",
'20102013 STH Efficacy'!$BP:$BP,""),
"")</f>
        <v/>
      </c>
      <c r="AY145" s="132">
        <f t="shared" si="17"/>
        <v>0.4155</v>
      </c>
      <c r="AZ145" s="131" t="str">
        <f>IFERROR(AVERAGEIFS(
'20102013 STH Efficacy'!$AX:$AX, 
'20102013 STH Efficacy'!$AL:$AL, $A145, 
'20102013 STH Efficacy'!$AM:$AM, "Albendazole &amp; Ivermectin",
'20102013 STH Efficacy'!$AS:$AS,"&lt;2011",
'20102013 STH Efficacy'!$BP:$BP,""),
"")</f>
        <v/>
      </c>
      <c r="BA145" s="133">
        <f t="shared" si="18"/>
        <v>0.651</v>
      </c>
      <c r="BB145" s="134" t="str">
        <f>IFERROR(AVERAGEIFS(
'20102013 STH Efficacy'!$N:$N, 
'20102013 STH Efficacy'!$B:$B, $A145, 
'20102013 STH Efficacy'!$C:$C, "Albendazole",
'20102013 STH Efficacy'!$I:$I,"&lt;2011",
'20102013 STH Efficacy'!$AH:$AH,""),
"")</f>
        <v/>
      </c>
      <c r="BC145" s="135">
        <f t="shared" si="19"/>
        <v>0.5769166667</v>
      </c>
      <c r="BD145" s="134" t="str">
        <f>IFERROR(AVERAGEIFS(
'20102013 STH Efficacy'!$N:$N, 
'20102013 STH Efficacy'!$B:$B, $A145, 
'20102013 STH Efficacy'!$C:$C, "Mebendazole",
'20102013 STH Efficacy'!$I:$I,"&lt;2011",
'20102013 STH Efficacy'!$AH:$AH,""),
"")</f>
        <v/>
      </c>
      <c r="BE145" s="135">
        <f t="shared" si="20"/>
        <v>0.3145</v>
      </c>
      <c r="BF145" s="128" t="str">
        <f>IFERROR(AVERAGEIFS(
'20102013 STH Efficacy'!$CD:$CD, 
'20102013 STH Efficacy'!$BS:$BS, $A145, 
'20102013 STH Efficacy'!$BT:$BT, "Albendazole",
'20102013 STH Efficacy'!$BZ:$BZ,"&lt;2011",
'20102013 STH Efficacy'!$CU:$CU,""),
"")</f>
        <v/>
      </c>
      <c r="BG145" s="136">
        <f t="shared" si="21"/>
        <v>0.96925</v>
      </c>
      <c r="BH145" s="128" t="str">
        <f>IFERROR(AVERAGEIFS(
'20102013 STH Efficacy'!$CD:$CD, 
'20102013 STH Efficacy'!$BS:$BS, $A145, 
'20102013 STH Efficacy'!$BT:$BT, "Mebendazole",
'20102013 STH Efficacy'!$BZ:$BZ,"&lt;2011",
'20102013 STH Efficacy'!$CU:$CU,""),
"")</f>
        <v/>
      </c>
      <c r="BI145" s="136">
        <f t="shared" si="22"/>
        <v>0.9305</v>
      </c>
      <c r="BJ145" s="128" t="str">
        <f>IFERROR(AVERAGEIFS(
'20102013 STH Efficacy'!$CD:$CD, 
'20102013 STH Efficacy'!$BS:$BS, $A145, 
'20102013 STH Efficacy'!$BT:$BT, "Albendazole &amp; Ivermectin",
'20102013 STH Efficacy'!$BZ:$BZ,"&lt;2011",
'20102013 STH Efficacy'!$CU:$CU,""),
"")</f>
        <v/>
      </c>
      <c r="BK145" s="136">
        <f t="shared" si="23"/>
        <v>1</v>
      </c>
      <c r="BL145" s="137"/>
      <c r="BM145" s="137"/>
      <c r="BN145" s="138">
        <v>0.0</v>
      </c>
      <c r="BO145" s="139">
        <v>0.0</v>
      </c>
      <c r="BP145" s="140">
        <v>0.0</v>
      </c>
      <c r="BQ145" s="141">
        <f t="shared" si="24"/>
        <v>0</v>
      </c>
      <c r="BR145" s="104" t="str">
        <f t="shared" si="25"/>
        <v>0000</v>
      </c>
      <c r="BS145" s="104" t="str">
        <f t="shared" si="26"/>
        <v>no action required</v>
      </c>
      <c r="BT145" s="142" t="str">
        <f t="shared" si="27"/>
        <v/>
      </c>
      <c r="BU145" s="104" t="str">
        <f t="shared" si="28"/>
        <v/>
      </c>
      <c r="BV145" s="104" t="str">
        <f t="shared" si="29"/>
        <v>none</v>
      </c>
      <c r="BW145" s="150" t="str">
        <f t="shared" si="30"/>
        <v/>
      </c>
      <c r="BX145" s="150" t="str">
        <f t="shared" si="31"/>
        <v/>
      </c>
      <c r="BY145" s="151" t="str">
        <f t="shared" si="32"/>
        <v/>
      </c>
      <c r="BZ145" s="152" t="str">
        <f t="shared" si="33"/>
        <v/>
      </c>
      <c r="CA145" s="152" t="str">
        <f t="shared" si="34"/>
        <v/>
      </c>
      <c r="CB145" s="152" t="str">
        <f t="shared" si="35"/>
        <v/>
      </c>
      <c r="CC145" s="153" t="str">
        <f t="shared" si="36"/>
        <v/>
      </c>
      <c r="CD145" s="153" t="str">
        <f t="shared" si="37"/>
        <v/>
      </c>
      <c r="CE145" s="154" t="str">
        <f t="shared" si="38"/>
        <v/>
      </c>
      <c r="CF145" s="154" t="str">
        <f t="shared" si="39"/>
        <v/>
      </c>
      <c r="CG145" s="154" t="str">
        <f t="shared" si="40"/>
        <v/>
      </c>
    </row>
    <row r="146">
      <c r="A146" s="103" t="s">
        <v>235</v>
      </c>
      <c r="B146" s="104" t="s">
        <v>90</v>
      </c>
      <c r="C146" s="105">
        <v>4889252.0</v>
      </c>
      <c r="D146" s="106">
        <v>0.0</v>
      </c>
      <c r="E146" s="107">
        <v>0.0</v>
      </c>
      <c r="F146" s="108">
        <v>0.0</v>
      </c>
      <c r="G146" s="108">
        <v>0.0</v>
      </c>
      <c r="H146" s="108">
        <v>0.0</v>
      </c>
      <c r="I146" s="109">
        <v>0.0</v>
      </c>
      <c r="J146" s="109">
        <v>0.0</v>
      </c>
      <c r="K146" s="109">
        <v>0.0</v>
      </c>
      <c r="L146" s="112">
        <v>0.0</v>
      </c>
      <c r="M146" s="112">
        <v>0.0</v>
      </c>
      <c r="N146" s="112">
        <v>0.0</v>
      </c>
      <c r="O146" s="113"/>
      <c r="P146" s="114"/>
      <c r="Q146" s="114"/>
      <c r="R146" s="115" t="str">
        <f t="shared" si="8"/>
        <v/>
      </c>
      <c r="S146" s="116">
        <f t="shared" si="9"/>
        <v>0.4013436246</v>
      </c>
      <c r="T146" s="117"/>
      <c r="U146" s="118">
        <f t="shared" si="41"/>
        <v>0.3468166667</v>
      </c>
      <c r="V146" s="148"/>
      <c r="W146" s="120">
        <f t="shared" si="10"/>
        <v>1</v>
      </c>
      <c r="X146" s="148"/>
      <c r="Y146" s="120">
        <f t="shared" si="11"/>
        <v>0.71735</v>
      </c>
      <c r="Z146" s="114"/>
      <c r="AA146" s="114"/>
      <c r="AB146" s="114"/>
      <c r="AC146" s="114"/>
      <c r="AD146" s="164">
        <v>0.0</v>
      </c>
      <c r="AE146" s="123">
        <v>0.0</v>
      </c>
      <c r="AF146" s="123">
        <v>0.0</v>
      </c>
      <c r="AG146" s="167">
        <v>0.0</v>
      </c>
      <c r="AH146" s="124">
        <v>0.0</v>
      </c>
      <c r="AI146" s="168">
        <v>0.0</v>
      </c>
      <c r="AJ146" s="125">
        <v>0.0</v>
      </c>
      <c r="AK146" s="126">
        <v>0.0</v>
      </c>
      <c r="AL146" s="169">
        <v>0.0</v>
      </c>
      <c r="AM146" s="128"/>
      <c r="AN146" s="149" t="str">
        <f>IFERROR(
  AVERAGEIFS(
    'New 20102013 LF Efficacy'!$J:$J,
    'New 20102013 LF Efficacy'!$D:$D, $A146,
    'New 20102013 LF Efficacy'!$F:$F,"DEC", 
    'New 20102013 LF Efficacy'!$W:$W,"&lt;2011",
    'New 20102013 LF Efficacy'!$AA:$AA,""),
  ""
)</f>
        <v/>
      </c>
      <c r="AO146" s="115">
        <f t="shared" si="12"/>
        <v>0.3573520833</v>
      </c>
      <c r="AP146" s="121" t="str">
        <f>IFERROR(
AVERAGEIFS(
'New 20102013 LF Efficacy'!$J:$J,
'New 20102013 LF Efficacy'!$D:$D,$A146,
'New 20102013 LF Efficacy'!$F:$F,"Albendazole &amp; DEC",
'New 20102013 LF Efficacy'!$W:$W,"&lt;2011",
'New 20102013 LF Efficacy'!$AA:$AA,""),
"")
</f>
        <v/>
      </c>
      <c r="AQ146" s="115">
        <f t="shared" si="13"/>
        <v>0.5137291667</v>
      </c>
      <c r="AR146" s="121" t="str">
        <f>IFERROR(
AVERAGEIFS(
'New 20102013 LF Efficacy'!$J:$J,
'New 20102013 LF Efficacy'!$D:$D,$A146,
'New 20102013 LF Efficacy'!$F:$F,"Albendazole &amp; Ivermectin", 
'New 20102013 LF Efficacy'!$W:$W,"&lt;2011",
'New 20102013 LF Efficacy'!$AA:$AA,""),"")</f>
        <v/>
      </c>
      <c r="AS146" s="115">
        <f t="shared" si="14"/>
        <v>0.37153125</v>
      </c>
      <c r="AT146" s="130" t="str">
        <f>IFERROR(AVERAGEIFS(
'20102013 Schist Efficacy'!$O:$O, 
'20102013 Schist Efficacy'!$C:$C,$A146, 
'20102013 Schist Efficacy'!$D:$D, "Praziquantel",
'20102013 Schist Efficacy'!$J:$J,"&lt;2011",
'20102013 Schist Efficacy'!$U:$U,""),
"")</f>
        <v/>
      </c>
      <c r="AU146" s="118">
        <f t="shared" si="15"/>
        <v>0.655</v>
      </c>
      <c r="AV146" s="131" t="str">
        <f>IFERROR(AVERAGEIFS(
'20102013 STH Efficacy'!$AX:$AX, 
'20102013 STH Efficacy'!$AL:$AL, $A146, 
'20102013 STH Efficacy'!$AM:$AM, "Albendazole",
'20102013 STH Efficacy'!$AS:$AS,"&lt;2011",
'20102013 STH Efficacy'!$BP:$BP,""),
"")</f>
        <v/>
      </c>
      <c r="AW146" s="132">
        <f t="shared" si="16"/>
        <v>0.3842878788</v>
      </c>
      <c r="AX146" s="131" t="str">
        <f>IFERROR(AVERAGEIFS(
'20102013 STH Efficacy'!$AX:$AX, 
'20102013 STH Efficacy'!$AL:$AL, $A146, 
'20102013 STH Efficacy'!$AM:$AM, "Mebendazole",
'20102013 STH Efficacy'!$AS:$AS,"&lt;2011",
'20102013 STH Efficacy'!$BP:$BP,""),
"")</f>
        <v/>
      </c>
      <c r="AY146" s="132">
        <f t="shared" si="17"/>
        <v>0.5121666667</v>
      </c>
      <c r="AZ146" s="131" t="str">
        <f>IFERROR(AVERAGEIFS(
'20102013 STH Efficacy'!$AX:$AX, 
'20102013 STH Efficacy'!$AL:$AL, $A146, 
'20102013 STH Efficacy'!$AM:$AM, "Albendazole &amp; Ivermectin",
'20102013 STH Efficacy'!$AS:$AS,"&lt;2011",
'20102013 STH Efficacy'!$BP:$BP,""),
"")</f>
        <v/>
      </c>
      <c r="BA146" s="133">
        <f t="shared" si="18"/>
        <v>0.7176666667</v>
      </c>
      <c r="BB146" s="134" t="str">
        <f>IFERROR(AVERAGEIFS(
'20102013 STH Efficacy'!$N:$N, 
'20102013 STH Efficacy'!$B:$B, $A146, 
'20102013 STH Efficacy'!$C:$C, "Albendazole",
'20102013 STH Efficacy'!$I:$I,"&lt;2011",
'20102013 STH Efficacy'!$AH:$AH,""),
"")</f>
        <v/>
      </c>
      <c r="BC146" s="135">
        <f t="shared" si="19"/>
        <v>0.7630416667</v>
      </c>
      <c r="BD146" s="134" t="str">
        <f>IFERROR(AVERAGEIFS(
'20102013 STH Efficacy'!$N:$N, 
'20102013 STH Efficacy'!$B:$B, $A146, 
'20102013 STH Efficacy'!$C:$C, "Mebendazole",
'20102013 STH Efficacy'!$I:$I,"&lt;2011",
'20102013 STH Efficacy'!$AH:$AH,""),
"")</f>
        <v/>
      </c>
      <c r="BE146" s="135">
        <f t="shared" si="20"/>
        <v>0.4405966667</v>
      </c>
      <c r="BF146" s="128" t="str">
        <f>IFERROR(AVERAGEIFS(
'20102013 STH Efficacy'!$CD:$CD, 
'20102013 STH Efficacy'!$BS:$BS, $A146, 
'20102013 STH Efficacy'!$BT:$BT, "Albendazole",
'20102013 STH Efficacy'!$BZ:$BZ,"&lt;2011",
'20102013 STH Efficacy'!$CU:$CU,""),
"")</f>
        <v/>
      </c>
      <c r="BG146" s="136">
        <f t="shared" si="21"/>
        <v>0.9403222222</v>
      </c>
      <c r="BH146" s="128" t="str">
        <f>IFERROR(AVERAGEIFS(
'20102013 STH Efficacy'!$CD:$CD, 
'20102013 STH Efficacy'!$BS:$BS, $A146, 
'20102013 STH Efficacy'!$BT:$BT, "Mebendazole",
'20102013 STH Efficacy'!$BZ:$BZ,"&lt;2011",
'20102013 STH Efficacy'!$CU:$CU,""),
"")</f>
        <v/>
      </c>
      <c r="BI146" s="136">
        <f t="shared" si="22"/>
        <v>0.9229285714</v>
      </c>
      <c r="BJ146" s="128" t="str">
        <f>IFERROR(AVERAGEIFS(
'20102013 STH Efficacy'!$CD:$CD, 
'20102013 STH Efficacy'!$BS:$BS, $A146, 
'20102013 STH Efficacy'!$BT:$BT, "Albendazole &amp; Ivermectin",
'20102013 STH Efficacy'!$BZ:$BZ,"&lt;2011",
'20102013 STH Efficacy'!$CU:$CU,""),
"")</f>
        <v/>
      </c>
      <c r="BK146" s="136">
        <f t="shared" si="23"/>
        <v>1</v>
      </c>
      <c r="BL146" s="137"/>
      <c r="BM146" s="137"/>
      <c r="BN146" s="138">
        <v>0.0</v>
      </c>
      <c r="BO146" s="139">
        <v>0.0</v>
      </c>
      <c r="BP146" s="140">
        <v>0.0</v>
      </c>
      <c r="BQ146" s="141">
        <f t="shared" si="24"/>
        <v>0</v>
      </c>
      <c r="BR146" s="104" t="str">
        <f t="shared" si="25"/>
        <v>0000</v>
      </c>
      <c r="BS146" s="104" t="str">
        <f t="shared" si="26"/>
        <v>no action required</v>
      </c>
      <c r="BT146" s="142" t="str">
        <f t="shared" si="27"/>
        <v/>
      </c>
      <c r="BU146" s="104" t="str">
        <f t="shared" si="28"/>
        <v/>
      </c>
      <c r="BV146" s="104" t="str">
        <f t="shared" si="29"/>
        <v>none</v>
      </c>
      <c r="BW146" s="150" t="str">
        <f t="shared" si="30"/>
        <v/>
      </c>
      <c r="BX146" s="150" t="str">
        <f t="shared" si="31"/>
        <v/>
      </c>
      <c r="BY146" s="151" t="str">
        <f t="shared" si="32"/>
        <v/>
      </c>
      <c r="BZ146" s="152" t="str">
        <f t="shared" si="33"/>
        <v/>
      </c>
      <c r="CA146" s="152" t="str">
        <f t="shared" si="34"/>
        <v/>
      </c>
      <c r="CB146" s="152" t="str">
        <f t="shared" si="35"/>
        <v/>
      </c>
      <c r="CC146" s="153" t="str">
        <f t="shared" si="36"/>
        <v/>
      </c>
      <c r="CD146" s="153" t="str">
        <f t="shared" si="37"/>
        <v/>
      </c>
      <c r="CE146" s="154" t="str">
        <f t="shared" si="38"/>
        <v/>
      </c>
      <c r="CF146" s="154" t="str">
        <f t="shared" si="39"/>
        <v/>
      </c>
      <c r="CG146" s="154" t="str">
        <f t="shared" si="40"/>
        <v/>
      </c>
    </row>
    <row r="147">
      <c r="A147" s="103" t="s">
        <v>236</v>
      </c>
      <c r="B147" s="104" t="s">
        <v>88</v>
      </c>
      <c r="C147" s="105">
        <v>3041460.0</v>
      </c>
      <c r="D147" s="106">
        <v>0.0</v>
      </c>
      <c r="E147" s="107">
        <v>71.80471386</v>
      </c>
      <c r="F147" s="157">
        <v>2.74146E-5</v>
      </c>
      <c r="G147" s="108">
        <v>1.18747E-4</v>
      </c>
      <c r="H147" s="157">
        <v>1.46161E-4</v>
      </c>
      <c r="I147" s="110">
        <v>0.02508678</v>
      </c>
      <c r="J147" s="110">
        <v>0.01416844</v>
      </c>
      <c r="K147" s="110">
        <v>0.039255216</v>
      </c>
      <c r="L147" s="111">
        <v>0.896848122</v>
      </c>
      <c r="M147" s="111">
        <v>0.238172858</v>
      </c>
      <c r="N147" s="112">
        <v>1.13502098</v>
      </c>
      <c r="O147" s="113"/>
      <c r="P147" s="114"/>
      <c r="Q147" s="114"/>
      <c r="R147" s="115" t="str">
        <f t="shared" si="8"/>
        <v/>
      </c>
      <c r="S147" s="116">
        <f t="shared" si="9"/>
        <v>0.3211323089</v>
      </c>
      <c r="T147" s="117"/>
      <c r="U147" s="118">
        <f t="shared" si="41"/>
        <v>0.5949</v>
      </c>
      <c r="V147" s="148"/>
      <c r="W147" s="120">
        <f t="shared" si="10"/>
        <v>0.9019</v>
      </c>
      <c r="X147" s="148"/>
      <c r="Y147" s="120">
        <f t="shared" si="11"/>
        <v>0.094</v>
      </c>
      <c r="Z147" s="114"/>
      <c r="AA147" s="114"/>
      <c r="AB147" s="114"/>
      <c r="AC147" s="114"/>
      <c r="AD147" s="164">
        <v>0.0</v>
      </c>
      <c r="AE147" s="123">
        <v>0.0</v>
      </c>
      <c r="AF147" s="123">
        <v>4.0E-4</v>
      </c>
      <c r="AG147" s="167">
        <v>0.0</v>
      </c>
      <c r="AH147" s="124">
        <v>0.005556837</v>
      </c>
      <c r="AI147" s="168">
        <v>0.0</v>
      </c>
      <c r="AJ147" s="125">
        <v>1.16E-5</v>
      </c>
      <c r="AK147" s="126">
        <v>0.0</v>
      </c>
      <c r="AL147" s="169">
        <v>0.002750303</v>
      </c>
      <c r="AM147" s="128"/>
      <c r="AN147" s="149" t="str">
        <f>IFERROR(
  AVERAGEIFS(
    'New 20102013 LF Efficacy'!$J:$J,
    'New 20102013 LF Efficacy'!$D:$D, $A147,
    'New 20102013 LF Efficacy'!$F:$F,"DEC", 
    'New 20102013 LF Efficacy'!$W:$W,"&lt;2011",
    'New 20102013 LF Efficacy'!$AA:$AA,""),
  ""
)</f>
        <v/>
      </c>
      <c r="AO147" s="115">
        <f t="shared" si="12"/>
        <v>0.3573520833</v>
      </c>
      <c r="AP147" s="121" t="str">
        <f>IFERROR(
AVERAGEIFS(
'New 20102013 LF Efficacy'!$J:$J,
'New 20102013 LF Efficacy'!$D:$D,$A147,
'New 20102013 LF Efficacy'!$F:$F,"Albendazole &amp; DEC",
'New 20102013 LF Efficacy'!$W:$W,"&lt;2011",
'New 20102013 LF Efficacy'!$AA:$AA,""),
"")
</f>
        <v/>
      </c>
      <c r="AQ147" s="115">
        <f t="shared" si="13"/>
        <v>0.7935</v>
      </c>
      <c r="AR147" s="121" t="str">
        <f>IFERROR(
AVERAGEIFS(
'New 20102013 LF Efficacy'!$J:$J,
'New 20102013 LF Efficacy'!$D:$D,$A147,
'New 20102013 LF Efficacy'!$F:$F,"Albendazole &amp; Ivermectin", 
'New 20102013 LF Efficacy'!$W:$W,"&lt;2011",
'New 20102013 LF Efficacy'!$AA:$AA,""),"")</f>
        <v/>
      </c>
      <c r="AS147" s="115">
        <f t="shared" si="14"/>
        <v>0.37153125</v>
      </c>
      <c r="AT147" s="130" t="str">
        <f>IFERROR(AVERAGEIFS(
'20102013 Schist Efficacy'!$O:$O, 
'20102013 Schist Efficacy'!$C:$C,$A147, 
'20102013 Schist Efficacy'!$D:$D, "Praziquantel",
'20102013 Schist Efficacy'!$J:$J,"&lt;2011",
'20102013 Schist Efficacy'!$U:$U,""),
"")</f>
        <v/>
      </c>
      <c r="AU147" s="118">
        <f t="shared" si="15"/>
        <v>0.7763141026</v>
      </c>
      <c r="AV147" s="131" t="str">
        <f>IFERROR(AVERAGEIFS(
'20102013 STH Efficacy'!$AX:$AX, 
'20102013 STH Efficacy'!$AL:$AL, $A147, 
'20102013 STH Efficacy'!$AM:$AM, "Albendazole",
'20102013 STH Efficacy'!$AS:$AS,"&lt;2011",
'20102013 STH Efficacy'!$BP:$BP,""),
"")</f>
        <v/>
      </c>
      <c r="AW147" s="132">
        <f t="shared" si="16"/>
        <v>0.3842878788</v>
      </c>
      <c r="AX147" s="131" t="str">
        <f>IFERROR(AVERAGEIFS(
'20102013 STH Efficacy'!$AX:$AX, 
'20102013 STH Efficacy'!$AL:$AL, $A147, 
'20102013 STH Efficacy'!$AM:$AM, "Mebendazole",
'20102013 STH Efficacy'!$AS:$AS,"&lt;2011",
'20102013 STH Efficacy'!$BP:$BP,""),
"")</f>
        <v/>
      </c>
      <c r="AY147" s="132">
        <f t="shared" si="17"/>
        <v>0.5121666667</v>
      </c>
      <c r="AZ147" s="131" t="str">
        <f>IFERROR(AVERAGEIFS(
'20102013 STH Efficacy'!$AX:$AX, 
'20102013 STH Efficacy'!$AL:$AL, $A147, 
'20102013 STH Efficacy'!$AM:$AM, "Albendazole &amp; Ivermectin",
'20102013 STH Efficacy'!$AS:$AS,"&lt;2011",
'20102013 STH Efficacy'!$BP:$BP,""),
"")</f>
        <v/>
      </c>
      <c r="BA147" s="133">
        <f t="shared" si="18"/>
        <v>0.7176666667</v>
      </c>
      <c r="BB147" s="134" t="str">
        <f>IFERROR(AVERAGEIFS(
'20102013 STH Efficacy'!$N:$N, 
'20102013 STH Efficacy'!$B:$B, $A147, 
'20102013 STH Efficacy'!$C:$C, "Albendazole",
'20102013 STH Efficacy'!$I:$I,"&lt;2011",
'20102013 STH Efficacy'!$AH:$AH,""),
"")</f>
        <v/>
      </c>
      <c r="BC147" s="135">
        <f t="shared" si="19"/>
        <v>0.7630416667</v>
      </c>
      <c r="BD147" s="134" t="str">
        <f>IFERROR(AVERAGEIFS(
'20102013 STH Efficacy'!$N:$N, 
'20102013 STH Efficacy'!$B:$B, $A147, 
'20102013 STH Efficacy'!$C:$C, "Mebendazole",
'20102013 STH Efficacy'!$I:$I,"&lt;2011",
'20102013 STH Efficacy'!$AH:$AH,""),
"")</f>
        <v/>
      </c>
      <c r="BE147" s="135">
        <f t="shared" si="20"/>
        <v>0.4405966667</v>
      </c>
      <c r="BF147" s="128" t="str">
        <f>IFERROR(AVERAGEIFS(
'20102013 STH Efficacy'!$CD:$CD, 
'20102013 STH Efficacy'!$BS:$BS, $A147, 
'20102013 STH Efficacy'!$BT:$BT, "Albendazole",
'20102013 STH Efficacy'!$BZ:$BZ,"&lt;2011",
'20102013 STH Efficacy'!$CU:$CU,""),
"")</f>
        <v/>
      </c>
      <c r="BG147" s="136">
        <f t="shared" si="21"/>
        <v>0.955</v>
      </c>
      <c r="BH147" s="128" t="str">
        <f>IFERROR(AVERAGEIFS(
'20102013 STH Efficacy'!$CD:$CD, 
'20102013 STH Efficacy'!$BS:$BS, $A147, 
'20102013 STH Efficacy'!$BT:$BT, "Mebendazole",
'20102013 STH Efficacy'!$BZ:$BZ,"&lt;2011",
'20102013 STH Efficacy'!$CU:$CU,""),
"")</f>
        <v/>
      </c>
      <c r="BI147" s="136">
        <f t="shared" si="22"/>
        <v>1</v>
      </c>
      <c r="BJ147" s="128" t="str">
        <f>IFERROR(AVERAGEIFS(
'20102013 STH Efficacy'!$CD:$CD, 
'20102013 STH Efficacy'!$BS:$BS, $A147, 
'20102013 STH Efficacy'!$BT:$BT, "Albendazole &amp; Ivermectin",
'20102013 STH Efficacy'!$BZ:$BZ,"&lt;2011",
'20102013 STH Efficacy'!$CU:$CU,""),
"")</f>
        <v/>
      </c>
      <c r="BK147" s="136">
        <f t="shared" si="23"/>
        <v>1</v>
      </c>
      <c r="BL147" s="137"/>
      <c r="BM147" s="137"/>
      <c r="BN147" s="138">
        <v>0.0</v>
      </c>
      <c r="BO147" s="139">
        <v>1.0</v>
      </c>
      <c r="BP147" s="140">
        <v>0.0</v>
      </c>
      <c r="BQ147" s="141">
        <f t="shared" si="24"/>
        <v>0</v>
      </c>
      <c r="BR147" s="104" t="str">
        <f t="shared" si="25"/>
        <v>0100</v>
      </c>
      <c r="BS147" s="104" t="str">
        <f t="shared" si="26"/>
        <v>MDA3</v>
      </c>
      <c r="BT147" s="142" t="str">
        <f t="shared" si="27"/>
        <v>IVM</v>
      </c>
      <c r="BU147" s="104" t="str">
        <f t="shared" si="28"/>
        <v/>
      </c>
      <c r="BV147" s="104" t="str">
        <f t="shared" si="29"/>
        <v>onch only</v>
      </c>
      <c r="BW147" s="150" t="str">
        <f t="shared" si="30"/>
        <v/>
      </c>
      <c r="BX147" s="150" t="str">
        <f t="shared" si="31"/>
        <v/>
      </c>
      <c r="BY147" s="151" t="str">
        <f t="shared" si="32"/>
        <v/>
      </c>
      <c r="BZ147" s="152" t="str">
        <f t="shared" si="33"/>
        <v/>
      </c>
      <c r="CA147" s="152" t="str">
        <f t="shared" si="34"/>
        <v/>
      </c>
      <c r="CB147" s="152" t="str">
        <f t="shared" si="35"/>
        <v/>
      </c>
      <c r="CC147" s="153" t="str">
        <f t="shared" si="36"/>
        <v/>
      </c>
      <c r="CD147" s="153" t="str">
        <f t="shared" si="37"/>
        <v/>
      </c>
      <c r="CE147" s="154" t="str">
        <f t="shared" si="38"/>
        <v/>
      </c>
      <c r="CF147" s="154" t="str">
        <f t="shared" si="39"/>
        <v/>
      </c>
      <c r="CG147" s="154" t="str">
        <f t="shared" si="40"/>
        <v/>
      </c>
    </row>
    <row r="148">
      <c r="A148" s="103" t="s">
        <v>237</v>
      </c>
      <c r="B148" s="104" t="s">
        <v>88</v>
      </c>
      <c r="C148" s="105">
        <v>1.70560182E8</v>
      </c>
      <c r="D148" s="106">
        <v>0.0</v>
      </c>
      <c r="E148" s="107">
        <v>0.0</v>
      </c>
      <c r="F148" s="108">
        <v>5.819218149</v>
      </c>
      <c r="G148" s="108">
        <v>22.27365224</v>
      </c>
      <c r="H148" s="108">
        <v>28.09287039</v>
      </c>
      <c r="I148" s="109">
        <v>450.998122</v>
      </c>
      <c r="J148" s="110">
        <v>965.221582</v>
      </c>
      <c r="K148" s="110">
        <v>1416.219704</v>
      </c>
      <c r="L148" s="111">
        <v>6547.739495</v>
      </c>
      <c r="M148" s="111">
        <v>11370.89059</v>
      </c>
      <c r="N148" s="112">
        <v>17918.63009</v>
      </c>
      <c r="O148" s="113"/>
      <c r="P148" s="114"/>
      <c r="Q148" s="114"/>
      <c r="R148" s="115" t="str">
        <f t="shared" si="8"/>
        <v/>
      </c>
      <c r="S148" s="116">
        <f t="shared" si="9"/>
        <v>0.3211323089</v>
      </c>
      <c r="T148" s="117"/>
      <c r="U148" s="118">
        <f t="shared" si="41"/>
        <v>0.5949</v>
      </c>
      <c r="V148" s="148"/>
      <c r="W148" s="120">
        <f t="shared" si="10"/>
        <v>0.9019</v>
      </c>
      <c r="X148" s="119">
        <v>0.0039</v>
      </c>
      <c r="Y148" s="120">
        <f t="shared" si="11"/>
        <v>0.0039</v>
      </c>
      <c r="Z148" s="121"/>
      <c r="AA148" s="121"/>
      <c r="AB148" s="121"/>
      <c r="AC148" s="121"/>
      <c r="AD148" s="122">
        <v>0.0</v>
      </c>
      <c r="AE148" s="123">
        <v>0.0</v>
      </c>
      <c r="AF148" s="123">
        <v>0.0</v>
      </c>
      <c r="AG148" s="167">
        <v>0.0</v>
      </c>
      <c r="AH148" s="124">
        <v>0.006928088</v>
      </c>
      <c r="AI148" s="168">
        <v>0.0</v>
      </c>
      <c r="AJ148" s="125">
        <v>0.006032921</v>
      </c>
      <c r="AK148" s="127">
        <v>0.06</v>
      </c>
      <c r="AL148" s="127">
        <v>0.090482475</v>
      </c>
      <c r="AM148" s="128"/>
      <c r="AN148" s="149" t="str">
        <f>IFERROR(
  AVERAGEIFS(
    'New 20102013 LF Efficacy'!$J:$J,
    'New 20102013 LF Efficacy'!$D:$D, $A148,
    'New 20102013 LF Efficacy'!$F:$F,"DEC", 
    'New 20102013 LF Efficacy'!$W:$W,"&lt;2011",
    'New 20102013 LF Efficacy'!$AA:$AA,""),
  ""
)</f>
        <v/>
      </c>
      <c r="AO148" s="115">
        <f t="shared" si="12"/>
        <v>0.3573520833</v>
      </c>
      <c r="AP148" s="121" t="str">
        <f>IFERROR(
AVERAGEIFS(
'New 20102013 LF Efficacy'!$J:$J,
'New 20102013 LF Efficacy'!$D:$D,$A148,
'New 20102013 LF Efficacy'!$F:$F,"Albendazole &amp; DEC",
'New 20102013 LF Efficacy'!$W:$W,"&lt;2011",
'New 20102013 LF Efficacy'!$AA:$AA,""),
"")
</f>
        <v/>
      </c>
      <c r="AQ148" s="115">
        <f t="shared" si="13"/>
        <v>0.7935</v>
      </c>
      <c r="AR148" s="121" t="str">
        <f>IFERROR(
AVERAGEIFS(
'New 20102013 LF Efficacy'!$J:$J,
'New 20102013 LF Efficacy'!$D:$D,$A148,
'New 20102013 LF Efficacy'!$F:$F,"Albendazole &amp; Ivermectin", 
'New 20102013 LF Efficacy'!$W:$W,"&lt;2011",
'New 20102013 LF Efficacy'!$AA:$AA,""),"")</f>
        <v/>
      </c>
      <c r="AS148" s="115">
        <f t="shared" si="14"/>
        <v>0.37153125</v>
      </c>
      <c r="AT148" s="130" t="str">
        <f>IFERROR(AVERAGEIFS(
'20102013 Schist Efficacy'!$O:$O, 
'20102013 Schist Efficacy'!$C:$C,$A148, 
'20102013 Schist Efficacy'!$D:$D, "Praziquantel",
'20102013 Schist Efficacy'!$J:$J,"&lt;2011",
'20102013 Schist Efficacy'!$U:$U,""),
"")</f>
        <v/>
      </c>
      <c r="AU148" s="118">
        <f t="shared" si="15"/>
        <v>0.7763141026</v>
      </c>
      <c r="AV148" s="131" t="str">
        <f>IFERROR(AVERAGEIFS(
'20102013 STH Efficacy'!$AX:$AX, 
'20102013 STH Efficacy'!$AL:$AL, $A148, 
'20102013 STH Efficacy'!$AM:$AM, "Albendazole",
'20102013 STH Efficacy'!$AS:$AS,"&lt;2011",
'20102013 STH Efficacy'!$BP:$BP,""),
"")</f>
        <v/>
      </c>
      <c r="AW148" s="132">
        <f t="shared" si="16"/>
        <v>0.3842878788</v>
      </c>
      <c r="AX148" s="131" t="str">
        <f>IFERROR(AVERAGEIFS(
'20102013 STH Efficacy'!$AX:$AX, 
'20102013 STH Efficacy'!$AL:$AL, $A148, 
'20102013 STH Efficacy'!$AM:$AM, "Mebendazole",
'20102013 STH Efficacy'!$AS:$AS,"&lt;2011",
'20102013 STH Efficacy'!$BP:$BP,""),
"")</f>
        <v/>
      </c>
      <c r="AY148" s="132">
        <f t="shared" si="17"/>
        <v>0.5121666667</v>
      </c>
      <c r="AZ148" s="131" t="str">
        <f>IFERROR(AVERAGEIFS(
'20102013 STH Efficacy'!$AX:$AX, 
'20102013 STH Efficacy'!$AL:$AL, $A148, 
'20102013 STH Efficacy'!$AM:$AM, "Albendazole &amp; Ivermectin",
'20102013 STH Efficacy'!$AS:$AS,"&lt;2011",
'20102013 STH Efficacy'!$BP:$BP,""),
"")</f>
        <v/>
      </c>
      <c r="BA148" s="133">
        <f t="shared" si="18"/>
        <v>0.7176666667</v>
      </c>
      <c r="BB148" s="134" t="str">
        <f>IFERROR(AVERAGEIFS(
'20102013 STH Efficacy'!$N:$N, 
'20102013 STH Efficacy'!$B:$B, $A148, 
'20102013 STH Efficacy'!$C:$C, "Albendazole",
'20102013 STH Efficacy'!$I:$I,"&lt;2011",
'20102013 STH Efficacy'!$AH:$AH,""),
"")</f>
        <v/>
      </c>
      <c r="BC148" s="135">
        <f t="shared" si="19"/>
        <v>0.7630416667</v>
      </c>
      <c r="BD148" s="134" t="str">
        <f>IFERROR(AVERAGEIFS(
'20102013 STH Efficacy'!$N:$N, 
'20102013 STH Efficacy'!$B:$B, $A148, 
'20102013 STH Efficacy'!$C:$C, "Mebendazole",
'20102013 STH Efficacy'!$I:$I,"&lt;2011",
'20102013 STH Efficacy'!$AH:$AH,""),
"")</f>
        <v/>
      </c>
      <c r="BE148" s="135">
        <f t="shared" si="20"/>
        <v>0.4405966667</v>
      </c>
      <c r="BF148" s="128" t="str">
        <f>IFERROR(AVERAGEIFS(
'20102013 STH Efficacy'!$CD:$CD, 
'20102013 STH Efficacy'!$BS:$BS, $A148, 
'20102013 STH Efficacy'!$BT:$BT, "Albendazole",
'20102013 STH Efficacy'!$BZ:$BZ,"&lt;2011",
'20102013 STH Efficacy'!$CU:$CU,""),
"")</f>
        <v/>
      </c>
      <c r="BG148" s="136">
        <f t="shared" si="21"/>
        <v>0.955</v>
      </c>
      <c r="BH148" s="128">
        <f>IFERROR(AVERAGEIFS(
'20102013 STH Efficacy'!$CD:$CD, 
'20102013 STH Efficacy'!$BS:$BS, $A148, 
'20102013 STH Efficacy'!$BT:$BT, "Mebendazole",
'20102013 STH Efficacy'!$BZ:$BZ,"&lt;2011",
'20102013 STH Efficacy'!$CU:$CU,""),
"")</f>
        <v>1</v>
      </c>
      <c r="BI148" s="136">
        <f t="shared" si="22"/>
        <v>1</v>
      </c>
      <c r="BJ148" s="128" t="str">
        <f>IFERROR(AVERAGEIFS(
'20102013 STH Efficacy'!$CD:$CD, 
'20102013 STH Efficacy'!$BS:$BS, $A148, 
'20102013 STH Efficacy'!$BT:$BT, "Albendazole &amp; Ivermectin",
'20102013 STH Efficacy'!$BZ:$BZ,"&lt;2011",
'20102013 STH Efficacy'!$CU:$CU,""),
"")</f>
        <v/>
      </c>
      <c r="BK148" s="136">
        <f t="shared" si="23"/>
        <v>1</v>
      </c>
      <c r="BL148" s="137"/>
      <c r="BM148" s="137"/>
      <c r="BN148" s="138">
        <v>0.0</v>
      </c>
      <c r="BO148" s="139">
        <v>0.0</v>
      </c>
      <c r="BP148" s="140">
        <v>0.0</v>
      </c>
      <c r="BQ148" s="141">
        <f t="shared" si="24"/>
        <v>0</v>
      </c>
      <c r="BR148" s="104" t="str">
        <f t="shared" si="25"/>
        <v>0000</v>
      </c>
      <c r="BS148" s="104" t="str">
        <f t="shared" si="26"/>
        <v>no action required</v>
      </c>
      <c r="BT148" s="142" t="str">
        <f t="shared" si="27"/>
        <v/>
      </c>
      <c r="BU148" s="104" t="str">
        <f t="shared" si="28"/>
        <v/>
      </c>
      <c r="BV148" s="104" t="str">
        <f t="shared" si="29"/>
        <v>none</v>
      </c>
      <c r="BW148" s="150" t="str">
        <f t="shared" si="30"/>
        <v/>
      </c>
      <c r="BX148" s="150" t="str">
        <f t="shared" si="31"/>
        <v/>
      </c>
      <c r="BY148" s="151" t="str">
        <f t="shared" si="32"/>
        <v/>
      </c>
      <c r="BZ148" s="152" t="str">
        <f t="shared" si="33"/>
        <v/>
      </c>
      <c r="CA148" s="152" t="str">
        <f t="shared" si="34"/>
        <v/>
      </c>
      <c r="CB148" s="152" t="str">
        <f t="shared" si="35"/>
        <v/>
      </c>
      <c r="CC148" s="153" t="str">
        <f t="shared" si="36"/>
        <v/>
      </c>
      <c r="CD148" s="153" t="str">
        <f t="shared" si="37"/>
        <v/>
      </c>
      <c r="CE148" s="154" t="str">
        <f t="shared" si="38"/>
        <v/>
      </c>
      <c r="CF148" s="154" t="str">
        <f t="shared" si="39"/>
        <v/>
      </c>
      <c r="CG148" s="154" t="str">
        <f t="shared" si="40"/>
        <v/>
      </c>
    </row>
    <row r="149">
      <c r="A149" s="103" t="s">
        <v>238</v>
      </c>
      <c r="B149" s="104" t="s">
        <v>94</v>
      </c>
      <c r="C149" s="105">
        <v>20470.0</v>
      </c>
      <c r="D149" s="106">
        <v>0.0</v>
      </c>
      <c r="E149" s="107">
        <v>0.0</v>
      </c>
      <c r="F149" s="177"/>
      <c r="G149" s="177"/>
      <c r="H149" s="157">
        <v>0.0</v>
      </c>
      <c r="I149" s="110">
        <v>0.0</v>
      </c>
      <c r="J149" s="110">
        <v>0.0</v>
      </c>
      <c r="K149" s="110">
        <v>0.0</v>
      </c>
      <c r="L149" s="178"/>
      <c r="M149" s="178"/>
      <c r="N149" s="158">
        <v>0.0</v>
      </c>
      <c r="O149" s="159"/>
      <c r="P149" s="160">
        <v>20044.0</v>
      </c>
      <c r="Q149" s="156"/>
      <c r="R149" s="115">
        <f t="shared" si="8"/>
        <v>0</v>
      </c>
      <c r="S149" s="116">
        <f t="shared" si="9"/>
        <v>0.1955251818</v>
      </c>
      <c r="T149" s="117"/>
      <c r="U149" s="118">
        <f t="shared" si="41"/>
        <v>0.6259666667</v>
      </c>
      <c r="V149" s="148"/>
      <c r="W149" s="120">
        <f t="shared" si="10"/>
        <v>0.55175</v>
      </c>
      <c r="X149" s="148"/>
      <c r="Y149" s="120">
        <f t="shared" si="11"/>
        <v>0.4826142857</v>
      </c>
      <c r="Z149" s="114"/>
      <c r="AA149" s="114"/>
      <c r="AB149" s="114"/>
      <c r="AC149" s="114"/>
      <c r="AD149" s="164">
        <v>0.0</v>
      </c>
      <c r="AE149" s="165">
        <v>0.0</v>
      </c>
      <c r="AF149" s="166">
        <v>0.0</v>
      </c>
      <c r="AG149" s="167">
        <v>0.0</v>
      </c>
      <c r="AH149" s="172">
        <v>0.0</v>
      </c>
      <c r="AI149" s="168">
        <v>0.0</v>
      </c>
      <c r="AJ149" s="173">
        <v>0.0</v>
      </c>
      <c r="AK149" s="126">
        <v>0.0</v>
      </c>
      <c r="AL149" s="169">
        <v>0.0</v>
      </c>
      <c r="AM149" s="128"/>
      <c r="AN149" s="149" t="str">
        <f>IFERROR(
  AVERAGEIFS(
    'New 20102013 LF Efficacy'!$J:$J,
    'New 20102013 LF Efficacy'!$D:$D, $A149,
    'New 20102013 LF Efficacy'!$F:$F,"DEC", 
    'New 20102013 LF Efficacy'!$W:$W,"&lt;2011",
    'New 20102013 LF Efficacy'!$AA:$AA,""),
  ""
)</f>
        <v/>
      </c>
      <c r="AO149" s="115">
        <f t="shared" si="12"/>
        <v>0.38</v>
      </c>
      <c r="AP149" s="121" t="str">
        <f>IFERROR(
AVERAGEIFS(
'New 20102013 LF Efficacy'!$J:$J,
'New 20102013 LF Efficacy'!$D:$D,$A149,
'New 20102013 LF Efficacy'!$F:$F,"Albendazole &amp; DEC",
'New 20102013 LF Efficacy'!$W:$W,"&lt;2011",
'New 20102013 LF Efficacy'!$AA:$AA,""),
"")
</f>
        <v/>
      </c>
      <c r="AQ149" s="115">
        <f t="shared" si="13"/>
        <v>0.657</v>
      </c>
      <c r="AR149" s="121" t="str">
        <f>IFERROR(
AVERAGEIFS(
'New 20102013 LF Efficacy'!$J:$J,
'New 20102013 LF Efficacy'!$D:$D,$A149,
'New 20102013 LF Efficacy'!$F:$F,"Albendazole &amp; Ivermectin", 
'New 20102013 LF Efficacy'!$W:$W,"&lt;2011",
'New 20102013 LF Efficacy'!$AA:$AA,""),"")</f>
        <v/>
      </c>
      <c r="AS149" s="115">
        <f t="shared" si="14"/>
        <v>0.37153125</v>
      </c>
      <c r="AT149" s="130" t="str">
        <f>IFERROR(AVERAGEIFS(
'20102013 Schist Efficacy'!$O:$O, 
'20102013 Schist Efficacy'!$C:$C,$A149, 
'20102013 Schist Efficacy'!$D:$D, "Praziquantel",
'20102013 Schist Efficacy'!$J:$J,"&lt;2011",
'20102013 Schist Efficacy'!$U:$U,""),
"")</f>
        <v/>
      </c>
      <c r="AU149" s="118">
        <f t="shared" si="15"/>
        <v>0.95</v>
      </c>
      <c r="AV149" s="131" t="str">
        <f>IFERROR(AVERAGEIFS(
'20102013 STH Efficacy'!$AX:$AX, 
'20102013 STH Efficacy'!$AL:$AL, $A149, 
'20102013 STH Efficacy'!$AM:$AM, "Albendazole",
'20102013 STH Efficacy'!$AS:$AS,"&lt;2011",
'20102013 STH Efficacy'!$BP:$BP,""),
"")</f>
        <v/>
      </c>
      <c r="AW149" s="132">
        <f t="shared" si="16"/>
        <v>0.3571666667</v>
      </c>
      <c r="AX149" s="131" t="str">
        <f>IFERROR(AVERAGEIFS(
'20102013 STH Efficacy'!$AX:$AX, 
'20102013 STH Efficacy'!$AL:$AL, $A149, 
'20102013 STH Efficacy'!$AM:$AM, "Mebendazole",
'20102013 STH Efficacy'!$AS:$AS,"&lt;2011",
'20102013 STH Efficacy'!$BP:$BP,""),
"")</f>
        <v/>
      </c>
      <c r="AY149" s="132">
        <f t="shared" si="17"/>
        <v>0.4155</v>
      </c>
      <c r="AZ149" s="131" t="str">
        <f>IFERROR(AVERAGEIFS(
'20102013 STH Efficacy'!$AX:$AX, 
'20102013 STH Efficacy'!$AL:$AL, $A149, 
'20102013 STH Efficacy'!$AM:$AM, "Albendazole &amp; Ivermectin",
'20102013 STH Efficacy'!$AS:$AS,"&lt;2011",
'20102013 STH Efficacy'!$BP:$BP,""),
"")</f>
        <v/>
      </c>
      <c r="BA149" s="133">
        <f t="shared" si="18"/>
        <v>0.651</v>
      </c>
      <c r="BB149" s="134" t="str">
        <f>IFERROR(AVERAGEIFS(
'20102013 STH Efficacy'!$N:$N, 
'20102013 STH Efficacy'!$B:$B, $A149, 
'20102013 STH Efficacy'!$C:$C, "Albendazole",
'20102013 STH Efficacy'!$I:$I,"&lt;2011",
'20102013 STH Efficacy'!$AH:$AH,""),
"")</f>
        <v/>
      </c>
      <c r="BC149" s="135">
        <f t="shared" si="19"/>
        <v>0.5769166667</v>
      </c>
      <c r="BD149" s="134" t="str">
        <f>IFERROR(AVERAGEIFS(
'20102013 STH Efficacy'!$N:$N, 
'20102013 STH Efficacy'!$B:$B, $A149, 
'20102013 STH Efficacy'!$C:$C, "Mebendazole",
'20102013 STH Efficacy'!$I:$I,"&lt;2011",
'20102013 STH Efficacy'!$AH:$AH,""),
"")</f>
        <v/>
      </c>
      <c r="BE149" s="135">
        <f t="shared" si="20"/>
        <v>0.3145</v>
      </c>
      <c r="BF149" s="128" t="str">
        <f>IFERROR(AVERAGEIFS(
'20102013 STH Efficacy'!$CD:$CD, 
'20102013 STH Efficacy'!$BS:$BS, $A149, 
'20102013 STH Efficacy'!$BT:$BT, "Albendazole",
'20102013 STH Efficacy'!$BZ:$BZ,"&lt;2011",
'20102013 STH Efficacy'!$CU:$CU,""),
"")</f>
        <v/>
      </c>
      <c r="BG149" s="136">
        <f t="shared" si="21"/>
        <v>0.96925</v>
      </c>
      <c r="BH149" s="128" t="str">
        <f>IFERROR(AVERAGEIFS(
'20102013 STH Efficacy'!$CD:$CD, 
'20102013 STH Efficacy'!$BS:$BS, $A149, 
'20102013 STH Efficacy'!$BT:$BT, "Mebendazole",
'20102013 STH Efficacy'!$BZ:$BZ,"&lt;2011",
'20102013 STH Efficacy'!$CU:$CU,""),
"")</f>
        <v/>
      </c>
      <c r="BI149" s="136">
        <f t="shared" si="22"/>
        <v>0.9305</v>
      </c>
      <c r="BJ149" s="128" t="str">
        <f>IFERROR(AVERAGEIFS(
'20102013 STH Efficacy'!$CD:$CD, 
'20102013 STH Efficacy'!$BS:$BS, $A149, 
'20102013 STH Efficacy'!$BT:$BT, "Albendazole &amp; Ivermectin",
'20102013 STH Efficacy'!$BZ:$BZ,"&lt;2011",
'20102013 STH Efficacy'!$CU:$CU,""),
"")</f>
        <v/>
      </c>
      <c r="BK149" s="136">
        <f t="shared" si="23"/>
        <v>1</v>
      </c>
      <c r="BL149" s="137"/>
      <c r="BM149" s="137"/>
      <c r="BN149" s="138">
        <v>1.0</v>
      </c>
      <c r="BO149" s="139">
        <v>0.0</v>
      </c>
      <c r="BP149" s="140">
        <v>0.0</v>
      </c>
      <c r="BQ149" s="141">
        <f t="shared" si="24"/>
        <v>0</v>
      </c>
      <c r="BR149" s="104" t="str">
        <f t="shared" si="25"/>
        <v>1000</v>
      </c>
      <c r="BS149" s="104" t="str">
        <f t="shared" si="26"/>
        <v>MDA1/2</v>
      </c>
      <c r="BT149" s="142" t="str">
        <f t="shared" si="27"/>
        <v>DEC+ALB</v>
      </c>
      <c r="BU149" s="104" t="str">
        <f t="shared" si="28"/>
        <v/>
      </c>
      <c r="BV149" s="104" t="str">
        <f t="shared" si="29"/>
        <v>lf only</v>
      </c>
      <c r="BW149" s="150">
        <f t="shared" si="30"/>
        <v>0</v>
      </c>
      <c r="BX149" s="150" t="str">
        <f t="shared" si="31"/>
        <v/>
      </c>
      <c r="BY149" s="151" t="str">
        <f t="shared" si="32"/>
        <v/>
      </c>
      <c r="BZ149" s="152" t="str">
        <f t="shared" si="33"/>
        <v/>
      </c>
      <c r="CA149" s="152" t="str">
        <f t="shared" si="34"/>
        <v/>
      </c>
      <c r="CB149" s="152" t="str">
        <f t="shared" si="35"/>
        <v/>
      </c>
      <c r="CC149" s="153" t="str">
        <f t="shared" si="36"/>
        <v/>
      </c>
      <c r="CD149" s="153" t="str">
        <f t="shared" si="37"/>
        <v/>
      </c>
      <c r="CE149" s="154" t="str">
        <f t="shared" si="38"/>
        <v/>
      </c>
      <c r="CF149" s="154" t="str">
        <f t="shared" si="39"/>
        <v/>
      </c>
      <c r="CG149" s="154" t="str">
        <f t="shared" si="40"/>
        <v/>
      </c>
    </row>
    <row r="150">
      <c r="A150" s="103" t="s">
        <v>239</v>
      </c>
      <c r="B150" s="104" t="s">
        <v>98</v>
      </c>
      <c r="C150" s="105">
        <v>3643222.0</v>
      </c>
      <c r="D150" s="106">
        <v>0.0</v>
      </c>
      <c r="E150" s="107">
        <v>0.0</v>
      </c>
      <c r="F150" s="108">
        <v>0.0</v>
      </c>
      <c r="G150" s="108">
        <v>0.0</v>
      </c>
      <c r="H150" s="108">
        <v>0.0</v>
      </c>
      <c r="I150" s="109">
        <v>0.02071655</v>
      </c>
      <c r="J150" s="109">
        <v>0.03698534</v>
      </c>
      <c r="K150" s="109">
        <v>0.057701893</v>
      </c>
      <c r="L150" s="112">
        <v>66.94600257</v>
      </c>
      <c r="M150" s="112">
        <v>44.90897736</v>
      </c>
      <c r="N150" s="112">
        <v>111.8549799</v>
      </c>
      <c r="O150" s="113"/>
      <c r="P150" s="114"/>
      <c r="Q150" s="114"/>
      <c r="R150" s="115" t="str">
        <f t="shared" si="8"/>
        <v/>
      </c>
      <c r="S150" s="116">
        <f t="shared" si="9"/>
        <v>0.14553293</v>
      </c>
      <c r="T150" s="117"/>
      <c r="U150" s="118">
        <f t="shared" si="41"/>
        <v>0.39435</v>
      </c>
      <c r="V150" s="119">
        <v>0.0035</v>
      </c>
      <c r="W150" s="120">
        <f t="shared" si="10"/>
        <v>0.0035</v>
      </c>
      <c r="X150" s="119">
        <v>0.0013</v>
      </c>
      <c r="Y150" s="120">
        <f t="shared" si="11"/>
        <v>0.0013</v>
      </c>
      <c r="Z150" s="114"/>
      <c r="AA150" s="114"/>
      <c r="AB150" s="114"/>
      <c r="AC150" s="114"/>
      <c r="AD150" s="164">
        <v>0.0</v>
      </c>
      <c r="AE150" s="123">
        <v>0.0</v>
      </c>
      <c r="AF150" s="123">
        <v>0.0</v>
      </c>
      <c r="AG150" s="167">
        <v>0.0</v>
      </c>
      <c r="AH150" s="124">
        <v>1.18213E-5</v>
      </c>
      <c r="AI150" s="168">
        <v>0.0</v>
      </c>
      <c r="AJ150" s="125">
        <v>1.15E-5</v>
      </c>
      <c r="AK150" s="126">
        <v>0.0</v>
      </c>
      <c r="AL150" s="169">
        <v>0.119814944</v>
      </c>
      <c r="AM150" s="128"/>
      <c r="AN150" s="149" t="str">
        <f>IFERROR(
  AVERAGEIFS(
    'New 20102013 LF Efficacy'!$J:$J,
    'New 20102013 LF Efficacy'!$D:$D, $A150,
    'New 20102013 LF Efficacy'!$F:$F,"DEC", 
    'New 20102013 LF Efficacy'!$W:$W,"&lt;2011",
    'New 20102013 LF Efficacy'!$AA:$AA,""),
  ""
)</f>
        <v/>
      </c>
      <c r="AO150" s="115">
        <f t="shared" si="12"/>
        <v>0.2589833333</v>
      </c>
      <c r="AP150" s="121" t="str">
        <f>IFERROR(
AVERAGEIFS(
'New 20102013 LF Efficacy'!$J:$J,
'New 20102013 LF Efficacy'!$D:$D,$A150,
'New 20102013 LF Efficacy'!$F:$F,"Albendazole &amp; DEC",
'New 20102013 LF Efficacy'!$W:$W,"&lt;2011",
'New 20102013 LF Efficacy'!$AA:$AA,""),
"")
</f>
        <v/>
      </c>
      <c r="AQ150" s="115">
        <f t="shared" si="13"/>
        <v>0.3465</v>
      </c>
      <c r="AR150" s="121" t="str">
        <f>IFERROR(
AVERAGEIFS(
'New 20102013 LF Efficacy'!$J:$J,
'New 20102013 LF Efficacy'!$D:$D,$A150,
'New 20102013 LF Efficacy'!$F:$F,"Albendazole &amp; Ivermectin", 
'New 20102013 LF Efficacy'!$W:$W,"&lt;2011",
'New 20102013 LF Efficacy'!$AA:$AA,""),"")</f>
        <v/>
      </c>
      <c r="AS150" s="115">
        <f t="shared" si="14"/>
        <v>0.7575</v>
      </c>
      <c r="AT150" s="130" t="str">
        <f>IFERROR(AVERAGEIFS(
'20102013 Schist Efficacy'!$O:$O, 
'20102013 Schist Efficacy'!$C:$C,$A150, 
'20102013 Schist Efficacy'!$D:$D, "Praziquantel",
'20102013 Schist Efficacy'!$J:$J,"&lt;2011",
'20102013 Schist Efficacy'!$U:$U,""),
"")</f>
        <v/>
      </c>
      <c r="AU150" s="118">
        <f t="shared" si="15"/>
        <v>0.7732631579</v>
      </c>
      <c r="AV150" s="131" t="str">
        <f>IFERROR(AVERAGEIFS(
'20102013 STH Efficacy'!$AX:$AX, 
'20102013 STH Efficacy'!$AL:$AL, $A150, 
'20102013 STH Efficacy'!$AM:$AM, "Albendazole",
'20102013 STH Efficacy'!$AS:$AS,"&lt;2011",
'20102013 STH Efficacy'!$BP:$BP,""),
"")</f>
        <v/>
      </c>
      <c r="AW150" s="132">
        <f t="shared" si="16"/>
        <v>0.3945</v>
      </c>
      <c r="AX150" s="131" t="str">
        <f>IFERROR(AVERAGEIFS(
'20102013 STH Efficacy'!$AX:$AX, 
'20102013 STH Efficacy'!$AL:$AL, $A150, 
'20102013 STH Efficacy'!$AM:$AM, "Mebendazole",
'20102013 STH Efficacy'!$AS:$AS,"&lt;2011",
'20102013 STH Efficacy'!$BP:$BP,""),
"")</f>
        <v/>
      </c>
      <c r="AY150" s="132">
        <f t="shared" si="17"/>
        <v>0.6</v>
      </c>
      <c r="AZ150" s="131" t="str">
        <f>IFERROR(AVERAGEIFS(
'20102013 STH Efficacy'!$AX:$AX, 
'20102013 STH Efficacy'!$AL:$AL, $A150, 
'20102013 STH Efficacy'!$AM:$AM, "Albendazole &amp; Ivermectin",
'20102013 STH Efficacy'!$AS:$AS,"&lt;2011",
'20102013 STH Efficacy'!$BP:$BP,""),
"")</f>
        <v/>
      </c>
      <c r="BA150" s="133">
        <f t="shared" si="18"/>
        <v>0.796</v>
      </c>
      <c r="BB150" s="134" t="str">
        <f>IFERROR(AVERAGEIFS(
'20102013 STH Efficacy'!$N:$N, 
'20102013 STH Efficacy'!$B:$B, $A150, 
'20102013 STH Efficacy'!$C:$C, "Albendazole",
'20102013 STH Efficacy'!$I:$I,"&lt;2011",
'20102013 STH Efficacy'!$AH:$AH,""),
"")</f>
        <v/>
      </c>
      <c r="BC150" s="135">
        <f t="shared" si="19"/>
        <v>0.869</v>
      </c>
      <c r="BD150" s="134" t="str">
        <f>IFERROR(AVERAGEIFS(
'20102013 STH Efficacy'!$N:$N, 
'20102013 STH Efficacy'!$B:$B, $A150, 
'20102013 STH Efficacy'!$C:$C, "Mebendazole",
'20102013 STH Efficacy'!$I:$I,"&lt;2011",
'20102013 STH Efficacy'!$AH:$AH,""),
"")</f>
        <v/>
      </c>
      <c r="BE150" s="135">
        <f t="shared" si="20"/>
        <v>0.172</v>
      </c>
      <c r="BF150" s="128" t="str">
        <f>IFERROR(AVERAGEIFS(
'20102013 STH Efficacy'!$CD:$CD, 
'20102013 STH Efficacy'!$BS:$BS, $A150, 
'20102013 STH Efficacy'!$BT:$BT, "Albendazole",
'20102013 STH Efficacy'!$BZ:$BZ,"&lt;2011",
'20102013 STH Efficacy'!$CU:$CU,""),
"")</f>
        <v/>
      </c>
      <c r="BG150" s="136">
        <f t="shared" si="21"/>
        <v>0.9862</v>
      </c>
      <c r="BH150" s="128" t="str">
        <f>IFERROR(AVERAGEIFS(
'20102013 STH Efficacy'!$CD:$CD, 
'20102013 STH Efficacy'!$BS:$BS, $A150, 
'20102013 STH Efficacy'!$BT:$BT, "Mebendazole",
'20102013 STH Efficacy'!$BZ:$BZ,"&lt;2011",
'20102013 STH Efficacy'!$CU:$CU,""),
"")</f>
        <v/>
      </c>
      <c r="BI150" s="136">
        <f t="shared" si="22"/>
        <v>0.769</v>
      </c>
      <c r="BJ150" s="128" t="str">
        <f>IFERROR(AVERAGEIFS(
'20102013 STH Efficacy'!$CD:$CD, 
'20102013 STH Efficacy'!$BS:$BS, $A150, 
'20102013 STH Efficacy'!$BT:$BT, "Albendazole &amp; Ivermectin",
'20102013 STH Efficacy'!$BZ:$BZ,"&lt;2011",
'20102013 STH Efficacy'!$CU:$CU,""),
"")</f>
        <v/>
      </c>
      <c r="BK150" s="136">
        <f t="shared" si="23"/>
        <v>1</v>
      </c>
      <c r="BL150" s="137"/>
      <c r="BM150" s="137"/>
      <c r="BN150" s="138">
        <v>0.0</v>
      </c>
      <c r="BO150" s="139">
        <v>0.0</v>
      </c>
      <c r="BP150" s="140">
        <v>0.0</v>
      </c>
      <c r="BQ150" s="141">
        <f t="shared" si="24"/>
        <v>0</v>
      </c>
      <c r="BR150" s="104" t="str">
        <f t="shared" si="25"/>
        <v>0000</v>
      </c>
      <c r="BS150" s="104" t="str">
        <f t="shared" si="26"/>
        <v>no action required</v>
      </c>
      <c r="BT150" s="142" t="str">
        <f t="shared" si="27"/>
        <v/>
      </c>
      <c r="BU150" s="104" t="str">
        <f t="shared" si="28"/>
        <v/>
      </c>
      <c r="BV150" s="104" t="str">
        <f t="shared" si="29"/>
        <v>none</v>
      </c>
      <c r="BW150" s="150" t="str">
        <f t="shared" si="30"/>
        <v/>
      </c>
      <c r="BX150" s="150" t="str">
        <f t="shared" si="31"/>
        <v/>
      </c>
      <c r="BY150" s="151" t="str">
        <f t="shared" si="32"/>
        <v/>
      </c>
      <c r="BZ150" s="152" t="str">
        <f t="shared" si="33"/>
        <v/>
      </c>
      <c r="CA150" s="152" t="str">
        <f t="shared" si="34"/>
        <v/>
      </c>
      <c r="CB150" s="152" t="str">
        <f t="shared" si="35"/>
        <v/>
      </c>
      <c r="CC150" s="153" t="str">
        <f t="shared" si="36"/>
        <v/>
      </c>
      <c r="CD150" s="153" t="str">
        <f t="shared" si="37"/>
        <v/>
      </c>
      <c r="CE150" s="154" t="str">
        <f t="shared" si="38"/>
        <v/>
      </c>
      <c r="CF150" s="154" t="str">
        <f t="shared" si="39"/>
        <v/>
      </c>
      <c r="CG150" s="154" t="str">
        <f t="shared" si="40"/>
        <v/>
      </c>
    </row>
    <row r="151">
      <c r="A151" s="103" t="s">
        <v>240</v>
      </c>
      <c r="B151" s="104" t="s">
        <v>94</v>
      </c>
      <c r="C151" s="105">
        <v>7108239.0</v>
      </c>
      <c r="D151" s="106">
        <v>15916.26268</v>
      </c>
      <c r="E151" s="107">
        <v>0.0</v>
      </c>
      <c r="F151" s="108">
        <v>0.0</v>
      </c>
      <c r="G151" s="108">
        <v>0.0</v>
      </c>
      <c r="H151" s="157">
        <v>0.0</v>
      </c>
      <c r="I151" s="110">
        <v>2217.77975</v>
      </c>
      <c r="J151" s="110">
        <v>6429.8344</v>
      </c>
      <c r="K151" s="109">
        <v>8647.614152</v>
      </c>
      <c r="L151" s="112">
        <v>3723.43067</v>
      </c>
      <c r="M151" s="112">
        <v>1436.747164</v>
      </c>
      <c r="N151" s="158">
        <v>5160.177834</v>
      </c>
      <c r="O151" s="159"/>
      <c r="P151" s="160">
        <v>5602188.0</v>
      </c>
      <c r="Q151" s="160">
        <v>132355.0</v>
      </c>
      <c r="R151" s="115">
        <f t="shared" si="8"/>
        <v>0.02362559057</v>
      </c>
      <c r="S151" s="116">
        <f t="shared" si="9"/>
        <v>0.02362559057</v>
      </c>
      <c r="T151" s="117"/>
      <c r="U151" s="118">
        <f t="shared" si="41"/>
        <v>0.6259666667</v>
      </c>
      <c r="V151" s="119">
        <v>0.0153</v>
      </c>
      <c r="W151" s="120">
        <f t="shared" si="10"/>
        <v>0.0153</v>
      </c>
      <c r="X151" s="119">
        <v>0.0204</v>
      </c>
      <c r="Y151" s="120">
        <f t="shared" si="11"/>
        <v>0.0204</v>
      </c>
      <c r="Z151" s="114"/>
      <c r="AA151" s="114"/>
      <c r="AB151" s="114"/>
      <c r="AC151" s="114"/>
      <c r="AD151" s="164">
        <v>0.0</v>
      </c>
      <c r="AE151" s="123">
        <v>0.0</v>
      </c>
      <c r="AF151" s="123">
        <v>0.0</v>
      </c>
      <c r="AG151" s="167">
        <v>0.0</v>
      </c>
      <c r="AH151" s="124">
        <v>1.12168E-5</v>
      </c>
      <c r="AI151" s="168">
        <v>0.0</v>
      </c>
      <c r="AJ151" s="125">
        <v>0.577490657</v>
      </c>
      <c r="AK151" s="126">
        <v>0.0</v>
      </c>
      <c r="AL151" s="169">
        <v>0.280083941</v>
      </c>
      <c r="AM151" s="128"/>
      <c r="AN151" s="149">
        <f>IFERROR(
  AVERAGEIFS(
    'New 20102013 LF Efficacy'!$J:$J,
    'New 20102013 LF Efficacy'!$D:$D, $A151,
    'New 20102013 LF Efficacy'!$F:$F,"DEC", 
    'New 20102013 LF Efficacy'!$W:$W,"&lt;2011",
    'New 20102013 LF Efficacy'!$AA:$AA,""),
  ""
)</f>
        <v>0.5</v>
      </c>
      <c r="AO151" s="115">
        <f t="shared" si="12"/>
        <v>0.5</v>
      </c>
      <c r="AP151" s="121">
        <f>IFERROR(
AVERAGEIFS(
'New 20102013 LF Efficacy'!$J:$J,
'New 20102013 LF Efficacy'!$D:$D,$A151,
'New 20102013 LF Efficacy'!$F:$F,"Albendazole &amp; DEC",
'New 20102013 LF Efficacy'!$W:$W,"&lt;2011",
'New 20102013 LF Efficacy'!$AA:$AA,""),
"")
</f>
        <v>0.657</v>
      </c>
      <c r="AQ151" s="115">
        <f t="shared" si="13"/>
        <v>0.657</v>
      </c>
      <c r="AR151" s="121" t="str">
        <f>IFERROR(
AVERAGEIFS(
'New 20102013 LF Efficacy'!$J:$J,
'New 20102013 LF Efficacy'!$D:$D,$A151,
'New 20102013 LF Efficacy'!$F:$F,"Albendazole &amp; Ivermectin", 
'New 20102013 LF Efficacy'!$W:$W,"&lt;2011",
'New 20102013 LF Efficacy'!$AA:$AA,""),"")</f>
        <v/>
      </c>
      <c r="AS151" s="115">
        <f t="shared" si="14"/>
        <v>0.37153125</v>
      </c>
      <c r="AT151" s="130" t="str">
        <f>IFERROR(AVERAGEIFS(
'20102013 Schist Efficacy'!$O:$O, 
'20102013 Schist Efficacy'!$C:$C,$A151, 
'20102013 Schist Efficacy'!$D:$D, "Praziquantel",
'20102013 Schist Efficacy'!$J:$J,"&lt;2011",
'20102013 Schist Efficacy'!$U:$U,""),
"")</f>
        <v/>
      </c>
      <c r="AU151" s="118">
        <f t="shared" si="15"/>
        <v>0.95</v>
      </c>
      <c r="AV151" s="131" t="str">
        <f>IFERROR(AVERAGEIFS(
'20102013 STH Efficacy'!$AX:$AX, 
'20102013 STH Efficacy'!$AL:$AL, $A151, 
'20102013 STH Efficacy'!$AM:$AM, "Albendazole",
'20102013 STH Efficacy'!$AS:$AS,"&lt;2011",
'20102013 STH Efficacy'!$BP:$BP,""),
"")</f>
        <v/>
      </c>
      <c r="AW151" s="132">
        <f t="shared" si="16"/>
        <v>0.3571666667</v>
      </c>
      <c r="AX151" s="131" t="str">
        <f>IFERROR(AVERAGEIFS(
'20102013 STH Efficacy'!$AX:$AX, 
'20102013 STH Efficacy'!$AL:$AL, $A151, 
'20102013 STH Efficacy'!$AM:$AM, "Mebendazole",
'20102013 STH Efficacy'!$AS:$AS,"&lt;2011",
'20102013 STH Efficacy'!$BP:$BP,""),
"")</f>
        <v/>
      </c>
      <c r="AY151" s="132">
        <f t="shared" si="17"/>
        <v>0.4155</v>
      </c>
      <c r="AZ151" s="131" t="str">
        <f>IFERROR(AVERAGEIFS(
'20102013 STH Efficacy'!$AX:$AX, 
'20102013 STH Efficacy'!$AL:$AL, $A151, 
'20102013 STH Efficacy'!$AM:$AM, "Albendazole &amp; Ivermectin",
'20102013 STH Efficacy'!$AS:$AS,"&lt;2011",
'20102013 STH Efficacy'!$BP:$BP,""),
"")</f>
        <v/>
      </c>
      <c r="BA151" s="133">
        <f t="shared" si="18"/>
        <v>0.651</v>
      </c>
      <c r="BB151" s="134" t="str">
        <f>IFERROR(AVERAGEIFS(
'20102013 STH Efficacy'!$N:$N, 
'20102013 STH Efficacy'!$B:$B, $A151, 
'20102013 STH Efficacy'!$C:$C, "Albendazole",
'20102013 STH Efficacy'!$I:$I,"&lt;2011",
'20102013 STH Efficacy'!$AH:$AH,""),
"")</f>
        <v/>
      </c>
      <c r="BC151" s="135">
        <f t="shared" si="19"/>
        <v>0.5769166667</v>
      </c>
      <c r="BD151" s="134" t="str">
        <f>IFERROR(AVERAGEIFS(
'20102013 STH Efficacy'!$N:$N, 
'20102013 STH Efficacy'!$B:$B, $A151, 
'20102013 STH Efficacy'!$C:$C, "Mebendazole",
'20102013 STH Efficacy'!$I:$I,"&lt;2011",
'20102013 STH Efficacy'!$AH:$AH,""),
"")</f>
        <v/>
      </c>
      <c r="BE151" s="135">
        <f t="shared" si="20"/>
        <v>0.3145</v>
      </c>
      <c r="BF151" s="128" t="str">
        <f>IFERROR(AVERAGEIFS(
'20102013 STH Efficacy'!$CD:$CD, 
'20102013 STH Efficacy'!$BS:$BS, $A151, 
'20102013 STH Efficacy'!$BT:$BT, "Albendazole",
'20102013 STH Efficacy'!$BZ:$BZ,"&lt;2011",
'20102013 STH Efficacy'!$CU:$CU,""),
"")</f>
        <v/>
      </c>
      <c r="BG151" s="136">
        <f t="shared" si="21"/>
        <v>0.96925</v>
      </c>
      <c r="BH151" s="128" t="str">
        <f>IFERROR(AVERAGEIFS(
'20102013 STH Efficacy'!$CD:$CD, 
'20102013 STH Efficacy'!$BS:$BS, $A151, 
'20102013 STH Efficacy'!$BT:$BT, "Mebendazole",
'20102013 STH Efficacy'!$BZ:$BZ,"&lt;2011",
'20102013 STH Efficacy'!$CU:$CU,""),
"")</f>
        <v/>
      </c>
      <c r="BI151" s="136">
        <f t="shared" si="22"/>
        <v>0.9305</v>
      </c>
      <c r="BJ151" s="128" t="str">
        <f>IFERROR(AVERAGEIFS(
'20102013 STH Efficacy'!$CD:$CD, 
'20102013 STH Efficacy'!$BS:$BS, $A151, 
'20102013 STH Efficacy'!$BT:$BT, "Albendazole &amp; Ivermectin",
'20102013 STH Efficacy'!$BZ:$BZ,"&lt;2011",
'20102013 STH Efficacy'!$CU:$CU,""),
"")</f>
        <v/>
      </c>
      <c r="BK151" s="136">
        <f t="shared" si="23"/>
        <v>1</v>
      </c>
      <c r="BL151" s="137"/>
      <c r="BM151" s="137"/>
      <c r="BN151" s="138">
        <v>1.0</v>
      </c>
      <c r="BO151" s="139">
        <v>0.0</v>
      </c>
      <c r="BP151" s="140">
        <v>0.0</v>
      </c>
      <c r="BQ151" s="141">
        <f t="shared" si="24"/>
        <v>1</v>
      </c>
      <c r="BR151" s="104" t="str">
        <f t="shared" si="25"/>
        <v>1001</v>
      </c>
      <c r="BS151" s="104" t="str">
        <f t="shared" si="26"/>
        <v>MDA1/2</v>
      </c>
      <c r="BT151" s="142" t="str">
        <f t="shared" si="27"/>
        <v>DEC+ALB</v>
      </c>
      <c r="BU151" s="104" t="str">
        <f t="shared" si="28"/>
        <v/>
      </c>
      <c r="BV151" s="104" t="str">
        <f t="shared" si="29"/>
        <v>lf+sth</v>
      </c>
      <c r="BW151" s="150">
        <f t="shared" si="30"/>
        <v>250.947649</v>
      </c>
      <c r="BX151" s="150" t="str">
        <f t="shared" si="31"/>
        <v/>
      </c>
      <c r="BY151" s="151" t="str">
        <f t="shared" si="32"/>
        <v/>
      </c>
      <c r="BZ151" s="152">
        <f t="shared" si="33"/>
        <v>0</v>
      </c>
      <c r="CA151" s="152" t="str">
        <f t="shared" si="34"/>
        <v/>
      </c>
      <c r="CB151" s="152" t="str">
        <f t="shared" si="35"/>
        <v/>
      </c>
      <c r="CC151" s="170">
        <f t="shared" si="36"/>
        <v>96.32486396</v>
      </c>
      <c r="CD151" s="153" t="str">
        <f t="shared" si="37"/>
        <v/>
      </c>
      <c r="CE151" s="154">
        <f t="shared" si="38"/>
        <v>85.02928292</v>
      </c>
      <c r="CF151" s="154" t="str">
        <f t="shared" si="39"/>
        <v/>
      </c>
      <c r="CG151" s="154" t="str">
        <f t="shared" si="40"/>
        <v/>
      </c>
    </row>
    <row r="152">
      <c r="A152" s="103" t="s">
        <v>241</v>
      </c>
      <c r="B152" s="104" t="s">
        <v>98</v>
      </c>
      <c r="C152" s="105">
        <v>6209877.0</v>
      </c>
      <c r="D152" s="106">
        <v>0.0</v>
      </c>
      <c r="E152" s="107">
        <v>0.0</v>
      </c>
      <c r="F152" s="108">
        <v>0.945588331</v>
      </c>
      <c r="G152" s="108">
        <v>5.001151504</v>
      </c>
      <c r="H152" s="108">
        <v>5.946739835</v>
      </c>
      <c r="I152" s="109">
        <v>80.2169506</v>
      </c>
      <c r="J152" s="109">
        <v>268.990437</v>
      </c>
      <c r="K152" s="109">
        <v>349.2073872</v>
      </c>
      <c r="L152" s="112">
        <v>92.63883029</v>
      </c>
      <c r="M152" s="112">
        <v>96.99443796</v>
      </c>
      <c r="N152" s="112">
        <v>189.6332683</v>
      </c>
      <c r="O152" s="113"/>
      <c r="P152" s="114"/>
      <c r="Q152" s="114"/>
      <c r="R152" s="115" t="str">
        <f t="shared" si="8"/>
        <v/>
      </c>
      <c r="S152" s="116">
        <f t="shared" si="9"/>
        <v>0.14553293</v>
      </c>
      <c r="T152" s="117"/>
      <c r="U152" s="118">
        <f t="shared" si="41"/>
        <v>0.39435</v>
      </c>
      <c r="V152" s="148"/>
      <c r="W152" s="120">
        <f t="shared" si="10"/>
        <v>0.3616</v>
      </c>
      <c r="X152" s="148"/>
      <c r="Y152" s="120">
        <f t="shared" si="11"/>
        <v>0.5015615385</v>
      </c>
      <c r="Z152" s="121"/>
      <c r="AA152" s="121"/>
      <c r="AB152" s="121"/>
      <c r="AC152" s="121"/>
      <c r="AD152" s="122">
        <v>0.0</v>
      </c>
      <c r="AE152" s="123">
        <v>0.0</v>
      </c>
      <c r="AF152" s="123">
        <v>0.0</v>
      </c>
      <c r="AG152" s="167">
        <v>0.0</v>
      </c>
      <c r="AH152" s="124">
        <v>0.061273922</v>
      </c>
      <c r="AI152" s="168">
        <v>0.0</v>
      </c>
      <c r="AJ152" s="125">
        <v>0.06236548</v>
      </c>
      <c r="AK152" s="127">
        <v>0.08</v>
      </c>
      <c r="AL152" s="127">
        <v>0.11559967</v>
      </c>
      <c r="AM152" s="128"/>
      <c r="AN152" s="149" t="str">
        <f>IFERROR(
  AVERAGEIFS(
    'New 20102013 LF Efficacy'!$J:$J,
    'New 20102013 LF Efficacy'!$D:$D, $A152,
    'New 20102013 LF Efficacy'!$F:$F,"DEC", 
    'New 20102013 LF Efficacy'!$W:$W,"&lt;2011",
    'New 20102013 LF Efficacy'!$AA:$AA,""),
  ""
)</f>
        <v/>
      </c>
      <c r="AO152" s="115">
        <f t="shared" si="12"/>
        <v>0.2589833333</v>
      </c>
      <c r="AP152" s="121" t="str">
        <f>IFERROR(
AVERAGEIFS(
'New 20102013 LF Efficacy'!$J:$J,
'New 20102013 LF Efficacy'!$D:$D,$A152,
'New 20102013 LF Efficacy'!$F:$F,"Albendazole &amp; DEC",
'New 20102013 LF Efficacy'!$W:$W,"&lt;2011",
'New 20102013 LF Efficacy'!$AA:$AA,""),
"")
</f>
        <v/>
      </c>
      <c r="AQ152" s="115">
        <f t="shared" si="13"/>
        <v>0.3465</v>
      </c>
      <c r="AR152" s="121" t="str">
        <f>IFERROR(
AVERAGEIFS(
'New 20102013 LF Efficacy'!$J:$J,
'New 20102013 LF Efficacy'!$D:$D,$A152,
'New 20102013 LF Efficacy'!$F:$F,"Albendazole &amp; Ivermectin", 
'New 20102013 LF Efficacy'!$W:$W,"&lt;2011",
'New 20102013 LF Efficacy'!$AA:$AA,""),"")</f>
        <v/>
      </c>
      <c r="AS152" s="115">
        <f t="shared" si="14"/>
        <v>0.7575</v>
      </c>
      <c r="AT152" s="130" t="str">
        <f>IFERROR(AVERAGEIFS(
'20102013 Schist Efficacy'!$O:$O, 
'20102013 Schist Efficacy'!$C:$C,$A152, 
'20102013 Schist Efficacy'!$D:$D, "Praziquantel",
'20102013 Schist Efficacy'!$J:$J,"&lt;2011",
'20102013 Schist Efficacy'!$U:$U,""),
"")</f>
        <v/>
      </c>
      <c r="AU152" s="118">
        <f t="shared" si="15"/>
        <v>0.7732631579</v>
      </c>
      <c r="AV152" s="131" t="str">
        <f>IFERROR(AVERAGEIFS(
'20102013 STH Efficacy'!$AX:$AX, 
'20102013 STH Efficacy'!$AL:$AL, $A152, 
'20102013 STH Efficacy'!$AM:$AM, "Albendazole",
'20102013 STH Efficacy'!$AS:$AS,"&lt;2011",
'20102013 STH Efficacy'!$BP:$BP,""),
"")</f>
        <v/>
      </c>
      <c r="AW152" s="132">
        <f t="shared" si="16"/>
        <v>0.3945</v>
      </c>
      <c r="AX152" s="131" t="str">
        <f>IFERROR(AVERAGEIFS(
'20102013 STH Efficacy'!$AX:$AX, 
'20102013 STH Efficacy'!$AL:$AL, $A152, 
'20102013 STH Efficacy'!$AM:$AM, "Mebendazole",
'20102013 STH Efficacy'!$AS:$AS,"&lt;2011",
'20102013 STH Efficacy'!$BP:$BP,""),
"")</f>
        <v/>
      </c>
      <c r="AY152" s="132">
        <f t="shared" si="17"/>
        <v>0.6</v>
      </c>
      <c r="AZ152" s="131" t="str">
        <f>IFERROR(AVERAGEIFS(
'20102013 STH Efficacy'!$AX:$AX, 
'20102013 STH Efficacy'!$AL:$AL, $A152, 
'20102013 STH Efficacy'!$AM:$AM, "Albendazole &amp; Ivermectin",
'20102013 STH Efficacy'!$AS:$AS,"&lt;2011",
'20102013 STH Efficacy'!$BP:$BP,""),
"")</f>
        <v/>
      </c>
      <c r="BA152" s="133">
        <f t="shared" si="18"/>
        <v>0.796</v>
      </c>
      <c r="BB152" s="134" t="str">
        <f>IFERROR(AVERAGEIFS(
'20102013 STH Efficacy'!$N:$N, 
'20102013 STH Efficacy'!$B:$B, $A152, 
'20102013 STH Efficacy'!$C:$C, "Albendazole",
'20102013 STH Efficacy'!$I:$I,"&lt;2011",
'20102013 STH Efficacy'!$AH:$AH,""),
"")</f>
        <v/>
      </c>
      <c r="BC152" s="135">
        <f t="shared" si="19"/>
        <v>0.869</v>
      </c>
      <c r="BD152" s="134" t="str">
        <f>IFERROR(AVERAGEIFS(
'20102013 STH Efficacy'!$N:$N, 
'20102013 STH Efficacy'!$B:$B, $A152, 
'20102013 STH Efficacy'!$C:$C, "Mebendazole",
'20102013 STH Efficacy'!$I:$I,"&lt;2011",
'20102013 STH Efficacy'!$AH:$AH,""),
"")</f>
        <v/>
      </c>
      <c r="BE152" s="135">
        <f t="shared" si="20"/>
        <v>0.172</v>
      </c>
      <c r="BF152" s="128" t="str">
        <f>IFERROR(AVERAGEIFS(
'20102013 STH Efficacy'!$CD:$CD, 
'20102013 STH Efficacy'!$BS:$BS, $A152, 
'20102013 STH Efficacy'!$BT:$BT, "Albendazole",
'20102013 STH Efficacy'!$BZ:$BZ,"&lt;2011",
'20102013 STH Efficacy'!$CU:$CU,""),
"")</f>
        <v/>
      </c>
      <c r="BG152" s="136">
        <f t="shared" si="21"/>
        <v>0.9862</v>
      </c>
      <c r="BH152" s="128" t="str">
        <f>IFERROR(AVERAGEIFS(
'20102013 STH Efficacy'!$CD:$CD, 
'20102013 STH Efficacy'!$BS:$BS, $A152, 
'20102013 STH Efficacy'!$BT:$BT, "Mebendazole",
'20102013 STH Efficacy'!$BZ:$BZ,"&lt;2011",
'20102013 STH Efficacy'!$CU:$CU,""),
"")</f>
        <v/>
      </c>
      <c r="BI152" s="136">
        <f t="shared" si="22"/>
        <v>0.769</v>
      </c>
      <c r="BJ152" s="128" t="str">
        <f>IFERROR(AVERAGEIFS(
'20102013 STH Efficacy'!$CD:$CD, 
'20102013 STH Efficacy'!$BS:$BS, $A152, 
'20102013 STH Efficacy'!$BT:$BT, "Albendazole &amp; Ivermectin",
'20102013 STH Efficacy'!$BZ:$BZ,"&lt;2011",
'20102013 STH Efficacy'!$CU:$CU,""),
"")</f>
        <v/>
      </c>
      <c r="BK152" s="136">
        <f t="shared" si="23"/>
        <v>1</v>
      </c>
      <c r="BL152" s="137"/>
      <c r="BM152" s="137"/>
      <c r="BN152" s="138">
        <v>0.0</v>
      </c>
      <c r="BO152" s="139">
        <v>0.0</v>
      </c>
      <c r="BP152" s="140">
        <v>0.0</v>
      </c>
      <c r="BQ152" s="141">
        <f t="shared" si="24"/>
        <v>0</v>
      </c>
      <c r="BR152" s="104" t="str">
        <f t="shared" si="25"/>
        <v>0000</v>
      </c>
      <c r="BS152" s="104" t="str">
        <f t="shared" si="26"/>
        <v>no action required</v>
      </c>
      <c r="BT152" s="142" t="str">
        <f t="shared" si="27"/>
        <v/>
      </c>
      <c r="BU152" s="104" t="str">
        <f t="shared" si="28"/>
        <v/>
      </c>
      <c r="BV152" s="104" t="str">
        <f t="shared" si="29"/>
        <v>none</v>
      </c>
      <c r="BW152" s="150" t="str">
        <f t="shared" si="30"/>
        <v/>
      </c>
      <c r="BX152" s="150" t="str">
        <f t="shared" si="31"/>
        <v/>
      </c>
      <c r="BY152" s="151" t="str">
        <f t="shared" si="32"/>
        <v/>
      </c>
      <c r="BZ152" s="152" t="str">
        <f t="shared" si="33"/>
        <v/>
      </c>
      <c r="CA152" s="152" t="str">
        <f t="shared" si="34"/>
        <v/>
      </c>
      <c r="CB152" s="152" t="str">
        <f t="shared" si="35"/>
        <v/>
      </c>
      <c r="CC152" s="153" t="str">
        <f t="shared" si="36"/>
        <v/>
      </c>
      <c r="CD152" s="153" t="str">
        <f t="shared" si="37"/>
        <v/>
      </c>
      <c r="CE152" s="154" t="str">
        <f t="shared" si="38"/>
        <v/>
      </c>
      <c r="CF152" s="154" t="str">
        <f t="shared" si="39"/>
        <v/>
      </c>
      <c r="CG152" s="154" t="str">
        <f t="shared" si="40"/>
        <v/>
      </c>
    </row>
    <row r="153">
      <c r="A153" s="103" t="s">
        <v>242</v>
      </c>
      <c r="B153" s="104" t="s">
        <v>98</v>
      </c>
      <c r="C153" s="105">
        <v>2.9373646E7</v>
      </c>
      <c r="D153" s="106">
        <v>0.0</v>
      </c>
      <c r="E153" s="107">
        <v>0.0</v>
      </c>
      <c r="F153" s="108">
        <v>263.0272829</v>
      </c>
      <c r="G153" s="108">
        <v>729.8312849</v>
      </c>
      <c r="H153" s="108">
        <v>992.8585677</v>
      </c>
      <c r="I153" s="109">
        <v>63.0483169</v>
      </c>
      <c r="J153" s="109">
        <v>107.767382</v>
      </c>
      <c r="K153" s="109">
        <v>170.8156988</v>
      </c>
      <c r="L153" s="112">
        <v>589.1139748</v>
      </c>
      <c r="M153" s="112">
        <v>545.5757553</v>
      </c>
      <c r="N153" s="112">
        <v>1134.68973</v>
      </c>
      <c r="O153" s="113"/>
      <c r="P153" s="114"/>
      <c r="Q153" s="114"/>
      <c r="R153" s="115" t="str">
        <f t="shared" si="8"/>
        <v/>
      </c>
      <c r="S153" s="116">
        <f t="shared" si="9"/>
        <v>0.14553293</v>
      </c>
      <c r="T153" s="118">
        <v>0.3649</v>
      </c>
      <c r="U153" s="118">
        <f t="shared" si="41"/>
        <v>0.3649</v>
      </c>
      <c r="V153" s="119">
        <v>0.1059</v>
      </c>
      <c r="W153" s="120">
        <f t="shared" si="10"/>
        <v>0.1059</v>
      </c>
      <c r="X153" s="119">
        <v>0.1128</v>
      </c>
      <c r="Y153" s="120">
        <f t="shared" si="11"/>
        <v>0.1128</v>
      </c>
      <c r="Z153" s="121"/>
      <c r="AA153" s="121"/>
      <c r="AB153" s="121"/>
      <c r="AC153" s="121"/>
      <c r="AD153" s="122">
        <v>0.0</v>
      </c>
      <c r="AE153" s="123">
        <v>0.0</v>
      </c>
      <c r="AF153" s="123">
        <v>0.0</v>
      </c>
      <c r="AG153" s="124">
        <v>0.1295</v>
      </c>
      <c r="AH153" s="124">
        <v>0.156257054</v>
      </c>
      <c r="AI153" s="125">
        <v>0.0103</v>
      </c>
      <c r="AJ153" s="125">
        <v>0.009905314</v>
      </c>
      <c r="AK153" s="127">
        <v>0.12</v>
      </c>
      <c r="AL153" s="127">
        <v>0.12777694</v>
      </c>
      <c r="AM153" s="128"/>
      <c r="AN153" s="149" t="str">
        <f>IFERROR(
  AVERAGEIFS(
    'New 20102013 LF Efficacy'!$J:$J,
    'New 20102013 LF Efficacy'!$D:$D, $A153,
    'New 20102013 LF Efficacy'!$F:$F,"DEC", 
    'New 20102013 LF Efficacy'!$W:$W,"&lt;2011",
    'New 20102013 LF Efficacy'!$AA:$AA,""),
  ""
)</f>
        <v/>
      </c>
      <c r="AO153" s="115">
        <f t="shared" si="12"/>
        <v>0.2589833333</v>
      </c>
      <c r="AP153" s="121" t="str">
        <f>IFERROR(
AVERAGEIFS(
'New 20102013 LF Efficacy'!$J:$J,
'New 20102013 LF Efficacy'!$D:$D,$A153,
'New 20102013 LF Efficacy'!$F:$F,"Albendazole &amp; DEC",
'New 20102013 LF Efficacy'!$W:$W,"&lt;2011",
'New 20102013 LF Efficacy'!$AA:$AA,""),
"")
</f>
        <v/>
      </c>
      <c r="AQ153" s="115">
        <f t="shared" si="13"/>
        <v>0.3465</v>
      </c>
      <c r="AR153" s="121" t="str">
        <f>IFERROR(
AVERAGEIFS(
'New 20102013 LF Efficacy'!$J:$J,
'New 20102013 LF Efficacy'!$D:$D,$A153,
'New 20102013 LF Efficacy'!$F:$F,"Albendazole &amp; Ivermectin", 
'New 20102013 LF Efficacy'!$W:$W,"&lt;2011",
'New 20102013 LF Efficacy'!$AA:$AA,""),"")</f>
        <v/>
      </c>
      <c r="AS153" s="115">
        <f t="shared" si="14"/>
        <v>0.7575</v>
      </c>
      <c r="AT153" s="130" t="str">
        <f>IFERROR(AVERAGEIFS(
'20102013 Schist Efficacy'!$O:$O, 
'20102013 Schist Efficacy'!$C:$C,$A153, 
'20102013 Schist Efficacy'!$D:$D, "Praziquantel",
'20102013 Schist Efficacy'!$J:$J,"&lt;2011",
'20102013 Schist Efficacy'!$U:$U,""),
"")</f>
        <v/>
      </c>
      <c r="AU153" s="118">
        <f t="shared" si="15"/>
        <v>0.7732631579</v>
      </c>
      <c r="AV153" s="131" t="str">
        <f>IFERROR(AVERAGEIFS(
'20102013 STH Efficacy'!$AX:$AX, 
'20102013 STH Efficacy'!$AL:$AL, $A153, 
'20102013 STH Efficacy'!$AM:$AM, "Albendazole",
'20102013 STH Efficacy'!$AS:$AS,"&lt;2011",
'20102013 STH Efficacy'!$BP:$BP,""),
"")</f>
        <v/>
      </c>
      <c r="AW153" s="132">
        <f t="shared" si="16"/>
        <v>0.3945</v>
      </c>
      <c r="AX153" s="131" t="str">
        <f>IFERROR(AVERAGEIFS(
'20102013 STH Efficacy'!$AX:$AX, 
'20102013 STH Efficacy'!$AL:$AL, $A153, 
'20102013 STH Efficacy'!$AM:$AM, "Mebendazole",
'20102013 STH Efficacy'!$AS:$AS,"&lt;2011",
'20102013 STH Efficacy'!$BP:$BP,""),
"")</f>
        <v/>
      </c>
      <c r="AY153" s="132">
        <f t="shared" si="17"/>
        <v>0.6</v>
      </c>
      <c r="AZ153" s="131" t="str">
        <f>IFERROR(AVERAGEIFS(
'20102013 STH Efficacy'!$AX:$AX, 
'20102013 STH Efficacy'!$AL:$AL, $A153, 
'20102013 STH Efficacy'!$AM:$AM, "Albendazole &amp; Ivermectin",
'20102013 STH Efficacy'!$AS:$AS,"&lt;2011",
'20102013 STH Efficacy'!$BP:$BP,""),
"")</f>
        <v/>
      </c>
      <c r="BA153" s="133">
        <f t="shared" si="18"/>
        <v>0.796</v>
      </c>
      <c r="BB153" s="134" t="str">
        <f>IFERROR(AVERAGEIFS(
'20102013 STH Efficacy'!$N:$N, 
'20102013 STH Efficacy'!$B:$B, $A153, 
'20102013 STH Efficacy'!$C:$C, "Albendazole",
'20102013 STH Efficacy'!$I:$I,"&lt;2011",
'20102013 STH Efficacy'!$AH:$AH,""),
"")</f>
        <v/>
      </c>
      <c r="BC153" s="135">
        <f t="shared" si="19"/>
        <v>0.869</v>
      </c>
      <c r="BD153" s="134" t="str">
        <f>IFERROR(AVERAGEIFS(
'20102013 STH Efficacy'!$N:$N, 
'20102013 STH Efficacy'!$B:$B, $A153, 
'20102013 STH Efficacy'!$C:$C, "Mebendazole",
'20102013 STH Efficacy'!$I:$I,"&lt;2011",
'20102013 STH Efficacy'!$AH:$AH,""),
"")</f>
        <v/>
      </c>
      <c r="BE153" s="135">
        <f t="shared" si="20"/>
        <v>0.172</v>
      </c>
      <c r="BF153" s="128">
        <f>IFERROR(AVERAGEIFS(
'20102013 STH Efficacy'!$CD:$CD, 
'20102013 STH Efficacy'!$BS:$BS, $A153, 
'20102013 STH Efficacy'!$BT:$BT, "Albendazole",
'20102013 STH Efficacy'!$BZ:$BZ,"&lt;2011",
'20102013 STH Efficacy'!$CU:$CU,""),
"")</f>
        <v>0.996</v>
      </c>
      <c r="BG153" s="136">
        <f t="shared" si="21"/>
        <v>0.996</v>
      </c>
      <c r="BH153" s="128" t="str">
        <f>IFERROR(AVERAGEIFS(
'20102013 STH Efficacy'!$CD:$CD, 
'20102013 STH Efficacy'!$BS:$BS, $A153, 
'20102013 STH Efficacy'!$BT:$BT, "Mebendazole",
'20102013 STH Efficacy'!$BZ:$BZ,"&lt;2011",
'20102013 STH Efficacy'!$CU:$CU,""),
"")</f>
        <v/>
      </c>
      <c r="BI153" s="136">
        <f t="shared" si="22"/>
        <v>0.769</v>
      </c>
      <c r="BJ153" s="128" t="str">
        <f>IFERROR(AVERAGEIFS(
'20102013 STH Efficacy'!$CD:$CD, 
'20102013 STH Efficacy'!$BS:$BS, $A153, 
'20102013 STH Efficacy'!$BT:$BT, "Albendazole &amp; Ivermectin",
'20102013 STH Efficacy'!$BZ:$BZ,"&lt;2011",
'20102013 STH Efficacy'!$CU:$CU,""),
"")</f>
        <v/>
      </c>
      <c r="BK153" s="136">
        <f t="shared" si="23"/>
        <v>1</v>
      </c>
      <c r="BL153" s="137"/>
      <c r="BM153" s="137"/>
      <c r="BN153" s="138">
        <v>0.0</v>
      </c>
      <c r="BO153" s="139">
        <v>0.0</v>
      </c>
      <c r="BP153" s="140">
        <v>0.0</v>
      </c>
      <c r="BQ153" s="141">
        <f t="shared" si="24"/>
        <v>0</v>
      </c>
      <c r="BR153" s="104" t="str">
        <f t="shared" si="25"/>
        <v>0000</v>
      </c>
      <c r="BS153" s="104" t="str">
        <f t="shared" si="26"/>
        <v>no action required</v>
      </c>
      <c r="BT153" s="142" t="str">
        <f t="shared" si="27"/>
        <v/>
      </c>
      <c r="BU153" s="104" t="str">
        <f t="shared" si="28"/>
        <v/>
      </c>
      <c r="BV153" s="104" t="str">
        <f t="shared" si="29"/>
        <v>none</v>
      </c>
      <c r="BW153" s="150" t="str">
        <f t="shared" si="30"/>
        <v/>
      </c>
      <c r="BX153" s="150" t="str">
        <f t="shared" si="31"/>
        <v/>
      </c>
      <c r="BY153" s="151" t="str">
        <f t="shared" si="32"/>
        <v/>
      </c>
      <c r="BZ153" s="152" t="str">
        <f t="shared" si="33"/>
        <v/>
      </c>
      <c r="CA153" s="152" t="str">
        <f t="shared" si="34"/>
        <v/>
      </c>
      <c r="CB153" s="152" t="str">
        <f t="shared" si="35"/>
        <v/>
      </c>
      <c r="CC153" s="153" t="str">
        <f t="shared" si="36"/>
        <v/>
      </c>
      <c r="CD153" s="153" t="str">
        <f t="shared" si="37"/>
        <v/>
      </c>
      <c r="CE153" s="154" t="str">
        <f t="shared" si="38"/>
        <v/>
      </c>
      <c r="CF153" s="154" t="str">
        <f t="shared" si="39"/>
        <v/>
      </c>
      <c r="CG153" s="154" t="str">
        <f t="shared" si="40"/>
        <v/>
      </c>
    </row>
    <row r="154">
      <c r="A154" s="155" t="s">
        <v>243</v>
      </c>
      <c r="B154" s="104" t="s">
        <v>94</v>
      </c>
      <c r="C154" s="105">
        <v>9.3726624E7</v>
      </c>
      <c r="D154" s="106">
        <v>55452.14015</v>
      </c>
      <c r="E154" s="107">
        <v>61667.61793</v>
      </c>
      <c r="F154" s="157">
        <v>1222.915408</v>
      </c>
      <c r="G154" s="157">
        <v>4340.31759</v>
      </c>
      <c r="H154" s="157">
        <v>5563.232998</v>
      </c>
      <c r="I154" s="110">
        <v>5188.16355</v>
      </c>
      <c r="J154" s="110">
        <v>15846.1008</v>
      </c>
      <c r="K154" s="110">
        <v>21034.26433</v>
      </c>
      <c r="L154" s="111">
        <v>7215.352292</v>
      </c>
      <c r="M154" s="111">
        <v>12142.8959</v>
      </c>
      <c r="N154" s="158">
        <v>19358.2482</v>
      </c>
      <c r="O154" s="159"/>
      <c r="P154" s="160">
        <v>3.3908807E7</v>
      </c>
      <c r="Q154" s="160">
        <v>1.5183276E7</v>
      </c>
      <c r="R154" s="115">
        <f t="shared" si="8"/>
        <v>0.4477679206</v>
      </c>
      <c r="S154" s="116">
        <f t="shared" si="9"/>
        <v>0.4477679206</v>
      </c>
      <c r="T154" s="130"/>
      <c r="U154" s="118">
        <f t="shared" si="41"/>
        <v>0.6259666667</v>
      </c>
      <c r="V154" s="119">
        <v>0.1276</v>
      </c>
      <c r="W154" s="120">
        <f t="shared" si="10"/>
        <v>0.1276</v>
      </c>
      <c r="X154" s="119">
        <v>0.1702</v>
      </c>
      <c r="Y154" s="120">
        <f t="shared" si="11"/>
        <v>0.1702</v>
      </c>
      <c r="Z154" s="121"/>
      <c r="AA154" s="121"/>
      <c r="AB154" s="121"/>
      <c r="AC154" s="121"/>
      <c r="AD154" s="122">
        <v>0.0112</v>
      </c>
      <c r="AE154" s="123">
        <v>0.09</v>
      </c>
      <c r="AF154" s="123">
        <v>0.0174</v>
      </c>
      <c r="AG154" s="124">
        <v>0.1337</v>
      </c>
      <c r="AH154" s="124">
        <v>0.143815527</v>
      </c>
      <c r="AI154" s="168">
        <v>0.0</v>
      </c>
      <c r="AJ154" s="125">
        <v>0.183081478</v>
      </c>
      <c r="AK154" s="127">
        <v>0.22</v>
      </c>
      <c r="AL154" s="169">
        <v>0.339681302</v>
      </c>
      <c r="AM154" s="128"/>
      <c r="AN154" s="149" t="str">
        <f>IFERROR(
  AVERAGEIFS(
    'New 20102013 LF Efficacy'!$J:$J,
    'New 20102013 LF Efficacy'!$D:$D, $A154,
    'New 20102013 LF Efficacy'!$F:$F,"DEC", 
    'New 20102013 LF Efficacy'!$W:$W,"&lt;2011",
    'New 20102013 LF Efficacy'!$AA:$AA,""),
  ""
)</f>
        <v/>
      </c>
      <c r="AO154" s="115">
        <f t="shared" si="12"/>
        <v>0.38</v>
      </c>
      <c r="AP154" s="121" t="str">
        <f>IFERROR(
AVERAGEIFS(
'New 20102013 LF Efficacy'!$J:$J,
'New 20102013 LF Efficacy'!$D:$D,$A154,
'New 20102013 LF Efficacy'!$F:$F,"Albendazole &amp; DEC",
'New 20102013 LF Efficacy'!$W:$W,"&lt;2011",
'New 20102013 LF Efficacy'!$AA:$AA,""),
"")
</f>
        <v/>
      </c>
      <c r="AQ154" s="115">
        <f t="shared" si="13"/>
        <v>0.657</v>
      </c>
      <c r="AR154" s="121" t="str">
        <f>IFERROR(
AVERAGEIFS(
'New 20102013 LF Efficacy'!$J:$J,
'New 20102013 LF Efficacy'!$D:$D,$A154,
'New 20102013 LF Efficacy'!$F:$F,"Albendazole &amp; Ivermectin", 
'New 20102013 LF Efficacy'!$W:$W,"&lt;2011",
'New 20102013 LF Efficacy'!$AA:$AA,""),"")</f>
        <v/>
      </c>
      <c r="AS154" s="115">
        <f t="shared" si="14"/>
        <v>0.37153125</v>
      </c>
      <c r="AT154" s="130" t="str">
        <f>IFERROR(AVERAGEIFS(
'20102013 Schist Efficacy'!$O:$O, 
'20102013 Schist Efficacy'!$C:$C,$A154, 
'20102013 Schist Efficacy'!$D:$D, "Praziquantel",
'20102013 Schist Efficacy'!$J:$J,"&lt;2011",
'20102013 Schist Efficacy'!$U:$U,""),
"")</f>
        <v/>
      </c>
      <c r="AU154" s="118">
        <f t="shared" si="15"/>
        <v>0.95</v>
      </c>
      <c r="AV154" s="131">
        <f>IFERROR(AVERAGEIFS(
'20102013 STH Efficacy'!$AX:$AX, 
'20102013 STH Efficacy'!$AL:$AL, $A154, 
'20102013 STH Efficacy'!$AM:$AM, "Albendazole",
'20102013 STH Efficacy'!$AS:$AS,"&lt;2011",
'20102013 STH Efficacy'!$BP:$BP,""),
"")</f>
        <v>0.315</v>
      </c>
      <c r="AW154" s="132">
        <f t="shared" si="16"/>
        <v>0.315</v>
      </c>
      <c r="AX154" s="131" t="str">
        <f>IFERROR(AVERAGEIFS(
'20102013 STH Efficacy'!$AX:$AX, 
'20102013 STH Efficacy'!$AL:$AL, $A154, 
'20102013 STH Efficacy'!$AM:$AM, "Mebendazole",
'20102013 STH Efficacy'!$AS:$AS,"&lt;2011",
'20102013 STH Efficacy'!$BP:$BP,""),
"")</f>
        <v/>
      </c>
      <c r="AY154" s="132">
        <f t="shared" si="17"/>
        <v>0.4155</v>
      </c>
      <c r="AZ154" s="131">
        <f>IFERROR(AVERAGEIFS(
'20102013 STH Efficacy'!$AX:$AX, 
'20102013 STH Efficacy'!$AL:$AL, $A154, 
'20102013 STH Efficacy'!$AM:$AM, "Albendazole &amp; Ivermectin",
'20102013 STH Efficacy'!$AS:$AS,"&lt;2011",
'20102013 STH Efficacy'!$BP:$BP,""),
"")</f>
        <v>0.651</v>
      </c>
      <c r="BA154" s="133">
        <f t="shared" si="18"/>
        <v>0.651</v>
      </c>
      <c r="BB154" s="134" t="str">
        <f>IFERROR(AVERAGEIFS(
'20102013 STH Efficacy'!$N:$N, 
'20102013 STH Efficacy'!$B:$B, $A154, 
'20102013 STH Efficacy'!$C:$C, "Albendazole",
'20102013 STH Efficacy'!$I:$I,"&lt;2011",
'20102013 STH Efficacy'!$AH:$AH,""),
"")</f>
        <v/>
      </c>
      <c r="BC154" s="135">
        <f t="shared" si="19"/>
        <v>0.5769166667</v>
      </c>
      <c r="BD154" s="134" t="str">
        <f>IFERROR(AVERAGEIFS(
'20102013 STH Efficacy'!$N:$N, 
'20102013 STH Efficacy'!$B:$B, $A154, 
'20102013 STH Efficacy'!$C:$C, "Mebendazole",
'20102013 STH Efficacy'!$I:$I,"&lt;2011",
'20102013 STH Efficacy'!$AH:$AH,""),
"")</f>
        <v/>
      </c>
      <c r="BE154" s="135">
        <f t="shared" si="20"/>
        <v>0.3145</v>
      </c>
      <c r="BF154" s="128" t="str">
        <f>IFERROR(AVERAGEIFS(
'20102013 STH Efficacy'!$CD:$CD, 
'20102013 STH Efficacy'!$BS:$BS, $A154, 
'20102013 STH Efficacy'!$BT:$BT, "Albendazole",
'20102013 STH Efficacy'!$BZ:$BZ,"&lt;2011",
'20102013 STH Efficacy'!$CU:$CU,""),
"")</f>
        <v/>
      </c>
      <c r="BG154" s="136">
        <f t="shared" si="21"/>
        <v>0.96925</v>
      </c>
      <c r="BH154" s="128" t="str">
        <f>IFERROR(AVERAGEIFS(
'20102013 STH Efficacy'!$CD:$CD, 
'20102013 STH Efficacy'!$BS:$BS, $A154, 
'20102013 STH Efficacy'!$BT:$BT, "Mebendazole",
'20102013 STH Efficacy'!$BZ:$BZ,"&lt;2011",
'20102013 STH Efficacy'!$CU:$CU,""),
"")</f>
        <v/>
      </c>
      <c r="BI154" s="136">
        <f t="shared" si="22"/>
        <v>0.9305</v>
      </c>
      <c r="BJ154" s="128" t="str">
        <f>IFERROR(AVERAGEIFS(
'20102013 STH Efficacy'!$CD:$CD, 
'20102013 STH Efficacy'!$BS:$BS, $A154, 
'20102013 STH Efficacy'!$BT:$BT, "Albendazole &amp; Ivermectin",
'20102013 STH Efficacy'!$BZ:$BZ,"&lt;2011",
'20102013 STH Efficacy'!$CU:$CU,""),
"")</f>
        <v/>
      </c>
      <c r="BK154" s="136">
        <f t="shared" si="23"/>
        <v>1</v>
      </c>
      <c r="BL154" s="137"/>
      <c r="BM154" s="137"/>
      <c r="BN154" s="138">
        <v>1.0</v>
      </c>
      <c r="BO154" s="139">
        <v>1.0</v>
      </c>
      <c r="BP154" s="140">
        <v>1.0</v>
      </c>
      <c r="BQ154" s="141">
        <f t="shared" si="24"/>
        <v>1</v>
      </c>
      <c r="BR154" s="104" t="str">
        <f t="shared" si="25"/>
        <v>1111</v>
      </c>
      <c r="BS154" s="104" t="str">
        <f t="shared" si="26"/>
        <v>MDA1+T2</v>
      </c>
      <c r="BT154" s="142" t="str">
        <f t="shared" si="27"/>
        <v>IVM+ALB</v>
      </c>
      <c r="BU154" s="104" t="str">
        <f t="shared" si="28"/>
        <v>PZQ</v>
      </c>
      <c r="BV154" s="104" t="str">
        <f t="shared" si="29"/>
        <v>lf+onch+schist+sth</v>
      </c>
      <c r="BW154" s="150" t="str">
        <f t="shared" si="30"/>
        <v/>
      </c>
      <c r="BX154" s="150">
        <f t="shared" si="31"/>
        <v>11065.93144</v>
      </c>
      <c r="BY154" s="162">
        <f t="shared" si="32"/>
        <v>90473.51241</v>
      </c>
      <c r="BZ154" s="152">
        <f t="shared" si="33"/>
        <v>297.0920893</v>
      </c>
      <c r="CA154" s="152" t="str">
        <f t="shared" si="34"/>
        <v/>
      </c>
      <c r="CB154" s="152">
        <f t="shared" si="35"/>
        <v>651.6198942</v>
      </c>
      <c r="CC154" s="170">
        <f t="shared" si="36"/>
        <v>2137.63722</v>
      </c>
      <c r="CD154" s="153" t="str">
        <f t="shared" si="37"/>
        <v/>
      </c>
      <c r="CE154" s="154">
        <f t="shared" si="38"/>
        <v>3417.217104</v>
      </c>
      <c r="CF154" s="154" t="str">
        <f t="shared" si="39"/>
        <v/>
      </c>
      <c r="CG154" s="154">
        <f t="shared" si="40"/>
        <v>3545.965696</v>
      </c>
    </row>
    <row r="155">
      <c r="A155" s="155" t="s">
        <v>244</v>
      </c>
      <c r="B155" s="104" t="s">
        <v>90</v>
      </c>
      <c r="C155" s="105">
        <v>3.8042794E7</v>
      </c>
      <c r="D155" s="106">
        <v>0.0</v>
      </c>
      <c r="E155" s="107">
        <v>0.0</v>
      </c>
      <c r="F155" s="108">
        <v>0.0</v>
      </c>
      <c r="G155" s="108">
        <v>0.0</v>
      </c>
      <c r="H155" s="108">
        <v>0.0</v>
      </c>
      <c r="I155" s="109">
        <v>0.0</v>
      </c>
      <c r="J155" s="109">
        <v>0.0</v>
      </c>
      <c r="K155" s="109">
        <v>0.0</v>
      </c>
      <c r="L155" s="112">
        <v>0.535786083</v>
      </c>
      <c r="M155" s="112">
        <v>0.292129957</v>
      </c>
      <c r="N155" s="112">
        <v>0.82791604</v>
      </c>
      <c r="O155" s="113"/>
      <c r="P155" s="114"/>
      <c r="Q155" s="114"/>
      <c r="R155" s="115" t="str">
        <f t="shared" si="8"/>
        <v/>
      </c>
      <c r="S155" s="116">
        <f t="shared" si="9"/>
        <v>0.4013436246</v>
      </c>
      <c r="T155" s="117"/>
      <c r="U155" s="118">
        <f t="shared" si="41"/>
        <v>0.3468166667</v>
      </c>
      <c r="V155" s="148"/>
      <c r="W155" s="120">
        <f t="shared" si="10"/>
        <v>1</v>
      </c>
      <c r="X155" s="148"/>
      <c r="Y155" s="120">
        <f t="shared" si="11"/>
        <v>0.71735</v>
      </c>
      <c r="Z155" s="114"/>
      <c r="AA155" s="114"/>
      <c r="AB155" s="114"/>
      <c r="AC155" s="114"/>
      <c r="AD155" s="164">
        <v>0.0</v>
      </c>
      <c r="AE155" s="123">
        <v>0.0</v>
      </c>
      <c r="AF155" s="123">
        <v>0.0</v>
      </c>
      <c r="AG155" s="167">
        <v>0.0</v>
      </c>
      <c r="AH155" s="124">
        <v>0.0</v>
      </c>
      <c r="AI155" s="168">
        <v>0.0</v>
      </c>
      <c r="AJ155" s="125">
        <v>0.0</v>
      </c>
      <c r="AK155" s="126">
        <v>0.0</v>
      </c>
      <c r="AL155" s="169">
        <v>0.0</v>
      </c>
      <c r="AM155" s="128"/>
      <c r="AN155" s="149" t="str">
        <f>IFERROR(
  AVERAGEIFS(
    'New 20102013 LF Efficacy'!$J:$J,
    'New 20102013 LF Efficacy'!$D:$D, $A155,
    'New 20102013 LF Efficacy'!$F:$F,"DEC", 
    'New 20102013 LF Efficacy'!$W:$W,"&lt;2011",
    'New 20102013 LF Efficacy'!$AA:$AA,""),
  ""
)</f>
        <v/>
      </c>
      <c r="AO155" s="115">
        <f t="shared" si="12"/>
        <v>0.3573520833</v>
      </c>
      <c r="AP155" s="121" t="str">
        <f>IFERROR(
AVERAGEIFS(
'New 20102013 LF Efficacy'!$J:$J,
'New 20102013 LF Efficacy'!$D:$D,$A155,
'New 20102013 LF Efficacy'!$F:$F,"Albendazole &amp; DEC",
'New 20102013 LF Efficacy'!$W:$W,"&lt;2011",
'New 20102013 LF Efficacy'!$AA:$AA,""),
"")
</f>
        <v/>
      </c>
      <c r="AQ155" s="115">
        <f t="shared" si="13"/>
        <v>0.5137291667</v>
      </c>
      <c r="AR155" s="121" t="str">
        <f>IFERROR(
AVERAGEIFS(
'New 20102013 LF Efficacy'!$J:$J,
'New 20102013 LF Efficacy'!$D:$D,$A155,
'New 20102013 LF Efficacy'!$F:$F,"Albendazole &amp; Ivermectin", 
'New 20102013 LF Efficacy'!$W:$W,"&lt;2011",
'New 20102013 LF Efficacy'!$AA:$AA,""),"")</f>
        <v/>
      </c>
      <c r="AS155" s="115">
        <f t="shared" si="14"/>
        <v>0.37153125</v>
      </c>
      <c r="AT155" s="130" t="str">
        <f>IFERROR(AVERAGEIFS(
'20102013 Schist Efficacy'!$O:$O, 
'20102013 Schist Efficacy'!$C:$C,$A155, 
'20102013 Schist Efficacy'!$D:$D, "Praziquantel",
'20102013 Schist Efficacy'!$J:$J,"&lt;2011",
'20102013 Schist Efficacy'!$U:$U,""),
"")</f>
        <v/>
      </c>
      <c r="AU155" s="118">
        <f t="shared" si="15"/>
        <v>0.655</v>
      </c>
      <c r="AV155" s="131" t="str">
        <f>IFERROR(AVERAGEIFS(
'20102013 STH Efficacy'!$AX:$AX, 
'20102013 STH Efficacy'!$AL:$AL, $A155, 
'20102013 STH Efficacy'!$AM:$AM, "Albendazole",
'20102013 STH Efficacy'!$AS:$AS,"&lt;2011",
'20102013 STH Efficacy'!$BP:$BP,""),
"")</f>
        <v/>
      </c>
      <c r="AW155" s="132">
        <f t="shared" si="16"/>
        <v>0.3842878788</v>
      </c>
      <c r="AX155" s="131" t="str">
        <f>IFERROR(AVERAGEIFS(
'20102013 STH Efficacy'!$AX:$AX, 
'20102013 STH Efficacy'!$AL:$AL, $A155, 
'20102013 STH Efficacy'!$AM:$AM, "Mebendazole",
'20102013 STH Efficacy'!$AS:$AS,"&lt;2011",
'20102013 STH Efficacy'!$BP:$BP,""),
"")</f>
        <v/>
      </c>
      <c r="AY155" s="132">
        <f t="shared" si="17"/>
        <v>0.5121666667</v>
      </c>
      <c r="AZ155" s="131" t="str">
        <f>IFERROR(AVERAGEIFS(
'20102013 STH Efficacy'!$AX:$AX, 
'20102013 STH Efficacy'!$AL:$AL, $A155, 
'20102013 STH Efficacy'!$AM:$AM, "Albendazole &amp; Ivermectin",
'20102013 STH Efficacy'!$AS:$AS,"&lt;2011",
'20102013 STH Efficacy'!$BP:$BP,""),
"")</f>
        <v/>
      </c>
      <c r="BA155" s="133">
        <f t="shared" si="18"/>
        <v>0.7176666667</v>
      </c>
      <c r="BB155" s="134" t="str">
        <f>IFERROR(AVERAGEIFS(
'20102013 STH Efficacy'!$N:$N, 
'20102013 STH Efficacy'!$B:$B, $A155, 
'20102013 STH Efficacy'!$C:$C, "Albendazole",
'20102013 STH Efficacy'!$I:$I,"&lt;2011",
'20102013 STH Efficacy'!$AH:$AH,""),
"")</f>
        <v/>
      </c>
      <c r="BC155" s="135">
        <f t="shared" si="19"/>
        <v>0.7630416667</v>
      </c>
      <c r="BD155" s="134" t="str">
        <f>IFERROR(AVERAGEIFS(
'20102013 STH Efficacy'!$N:$N, 
'20102013 STH Efficacy'!$B:$B, $A155, 
'20102013 STH Efficacy'!$C:$C, "Mebendazole",
'20102013 STH Efficacy'!$I:$I,"&lt;2011",
'20102013 STH Efficacy'!$AH:$AH,""),
"")</f>
        <v/>
      </c>
      <c r="BE155" s="135">
        <f t="shared" si="20"/>
        <v>0.4405966667</v>
      </c>
      <c r="BF155" s="128" t="str">
        <f>IFERROR(AVERAGEIFS(
'20102013 STH Efficacy'!$CD:$CD, 
'20102013 STH Efficacy'!$BS:$BS, $A155, 
'20102013 STH Efficacy'!$BT:$BT, "Albendazole",
'20102013 STH Efficacy'!$BZ:$BZ,"&lt;2011",
'20102013 STH Efficacy'!$CU:$CU,""),
"")</f>
        <v/>
      </c>
      <c r="BG155" s="136">
        <f t="shared" si="21"/>
        <v>0.9403222222</v>
      </c>
      <c r="BH155" s="128" t="str">
        <f>IFERROR(AVERAGEIFS(
'20102013 STH Efficacy'!$CD:$CD, 
'20102013 STH Efficacy'!$BS:$BS, $A155, 
'20102013 STH Efficacy'!$BT:$BT, "Mebendazole",
'20102013 STH Efficacy'!$BZ:$BZ,"&lt;2011",
'20102013 STH Efficacy'!$CU:$CU,""),
"")</f>
        <v/>
      </c>
      <c r="BI155" s="136">
        <f t="shared" si="22"/>
        <v>0.9229285714</v>
      </c>
      <c r="BJ155" s="128" t="str">
        <f>IFERROR(AVERAGEIFS(
'20102013 STH Efficacy'!$CD:$CD, 
'20102013 STH Efficacy'!$BS:$BS, $A155, 
'20102013 STH Efficacy'!$BT:$BT, "Albendazole &amp; Ivermectin",
'20102013 STH Efficacy'!$BZ:$BZ,"&lt;2011",
'20102013 STH Efficacy'!$CU:$CU,""),
"")</f>
        <v/>
      </c>
      <c r="BK155" s="136">
        <f t="shared" si="23"/>
        <v>1</v>
      </c>
      <c r="BL155" s="137"/>
      <c r="BM155" s="137"/>
      <c r="BN155" s="138">
        <v>0.0</v>
      </c>
      <c r="BO155" s="139">
        <v>0.0</v>
      </c>
      <c r="BP155" s="140">
        <v>0.0</v>
      </c>
      <c r="BQ155" s="141">
        <f t="shared" si="24"/>
        <v>0</v>
      </c>
      <c r="BR155" s="104" t="str">
        <f t="shared" si="25"/>
        <v>0000</v>
      </c>
      <c r="BS155" s="104" t="str">
        <f t="shared" si="26"/>
        <v>no action required</v>
      </c>
      <c r="BT155" s="142" t="str">
        <f t="shared" si="27"/>
        <v/>
      </c>
      <c r="BU155" s="104" t="str">
        <f t="shared" si="28"/>
        <v/>
      </c>
      <c r="BV155" s="104" t="str">
        <f t="shared" si="29"/>
        <v>none</v>
      </c>
      <c r="BW155" s="150" t="str">
        <f t="shared" si="30"/>
        <v/>
      </c>
      <c r="BX155" s="150" t="str">
        <f t="shared" si="31"/>
        <v/>
      </c>
      <c r="BY155" s="151" t="str">
        <f t="shared" si="32"/>
        <v/>
      </c>
      <c r="BZ155" s="152" t="str">
        <f t="shared" si="33"/>
        <v/>
      </c>
      <c r="CA155" s="152" t="str">
        <f t="shared" si="34"/>
        <v/>
      </c>
      <c r="CB155" s="152" t="str">
        <f t="shared" si="35"/>
        <v/>
      </c>
      <c r="CC155" s="153" t="str">
        <f t="shared" si="36"/>
        <v/>
      </c>
      <c r="CD155" s="153" t="str">
        <f t="shared" si="37"/>
        <v/>
      </c>
      <c r="CE155" s="154" t="str">
        <f t="shared" si="38"/>
        <v/>
      </c>
      <c r="CF155" s="154" t="str">
        <f t="shared" si="39"/>
        <v/>
      </c>
      <c r="CG155" s="154" t="str">
        <f t="shared" si="40"/>
        <v/>
      </c>
    </row>
    <row r="156">
      <c r="A156" s="155" t="s">
        <v>245</v>
      </c>
      <c r="B156" s="104" t="s">
        <v>90</v>
      </c>
      <c r="C156" s="105">
        <v>1.05731E7</v>
      </c>
      <c r="D156" s="106">
        <v>0.0</v>
      </c>
      <c r="E156" s="107">
        <v>0.0</v>
      </c>
      <c r="F156" s="157">
        <v>0.0</v>
      </c>
      <c r="G156" s="157">
        <v>0.0</v>
      </c>
      <c r="H156" s="108">
        <v>0.0</v>
      </c>
      <c r="I156" s="109">
        <v>0.0</v>
      </c>
      <c r="J156" s="110">
        <v>0.0</v>
      </c>
      <c r="K156" s="110">
        <v>0.0</v>
      </c>
      <c r="L156" s="111">
        <v>0.0</v>
      </c>
      <c r="M156" s="111">
        <v>0.0</v>
      </c>
      <c r="N156" s="112">
        <v>0.0</v>
      </c>
      <c r="O156" s="113"/>
      <c r="P156" s="114"/>
      <c r="Q156" s="114"/>
      <c r="R156" s="115" t="str">
        <f t="shared" si="8"/>
        <v/>
      </c>
      <c r="S156" s="116">
        <f t="shared" si="9"/>
        <v>0.4013436246</v>
      </c>
      <c r="T156" s="117"/>
      <c r="U156" s="118">
        <f t="shared" si="41"/>
        <v>0.3468166667</v>
      </c>
      <c r="V156" s="148"/>
      <c r="W156" s="120">
        <f t="shared" si="10"/>
        <v>1</v>
      </c>
      <c r="X156" s="148"/>
      <c r="Y156" s="120">
        <f t="shared" si="11"/>
        <v>0.71735</v>
      </c>
      <c r="Z156" s="121"/>
      <c r="AA156" s="121"/>
      <c r="AB156" s="121"/>
      <c r="AC156" s="121"/>
      <c r="AD156" s="122">
        <v>0.0</v>
      </c>
      <c r="AE156" s="123">
        <v>0.0</v>
      </c>
      <c r="AF156" s="123">
        <v>0.0</v>
      </c>
      <c r="AG156" s="167">
        <v>0.0</v>
      </c>
      <c r="AH156" s="124">
        <v>0.0</v>
      </c>
      <c r="AI156" s="168">
        <v>0.0</v>
      </c>
      <c r="AJ156" s="125">
        <v>0.0</v>
      </c>
      <c r="AK156" s="126">
        <v>0.0</v>
      </c>
      <c r="AL156" s="169">
        <v>0.0</v>
      </c>
      <c r="AM156" s="128"/>
      <c r="AN156" s="149" t="str">
        <f>IFERROR(
  AVERAGEIFS(
    'New 20102013 LF Efficacy'!$J:$J,
    'New 20102013 LF Efficacy'!$D:$D, $A156,
    'New 20102013 LF Efficacy'!$F:$F,"DEC", 
    'New 20102013 LF Efficacy'!$W:$W,"&lt;2011",
    'New 20102013 LF Efficacy'!$AA:$AA,""),
  ""
)</f>
        <v/>
      </c>
      <c r="AO156" s="115">
        <f t="shared" si="12"/>
        <v>0.3573520833</v>
      </c>
      <c r="AP156" s="121" t="str">
        <f>IFERROR(
AVERAGEIFS(
'New 20102013 LF Efficacy'!$J:$J,
'New 20102013 LF Efficacy'!$D:$D,$A156,
'New 20102013 LF Efficacy'!$F:$F,"Albendazole &amp; DEC",
'New 20102013 LF Efficacy'!$W:$W,"&lt;2011",
'New 20102013 LF Efficacy'!$AA:$AA,""),
"")
</f>
        <v/>
      </c>
      <c r="AQ156" s="115">
        <f t="shared" si="13"/>
        <v>0.5137291667</v>
      </c>
      <c r="AR156" s="121" t="str">
        <f>IFERROR(
AVERAGEIFS(
'New 20102013 LF Efficacy'!$J:$J,
'New 20102013 LF Efficacy'!$D:$D,$A156,
'New 20102013 LF Efficacy'!$F:$F,"Albendazole &amp; Ivermectin", 
'New 20102013 LF Efficacy'!$W:$W,"&lt;2011",
'New 20102013 LF Efficacy'!$AA:$AA,""),"")</f>
        <v/>
      </c>
      <c r="AS156" s="115">
        <f t="shared" si="14"/>
        <v>0.37153125</v>
      </c>
      <c r="AT156" s="130" t="str">
        <f>IFERROR(AVERAGEIFS(
'20102013 Schist Efficacy'!$O:$O, 
'20102013 Schist Efficacy'!$C:$C,$A156, 
'20102013 Schist Efficacy'!$D:$D, "Praziquantel",
'20102013 Schist Efficacy'!$J:$J,"&lt;2011",
'20102013 Schist Efficacy'!$U:$U,""),
"")</f>
        <v/>
      </c>
      <c r="AU156" s="118">
        <f t="shared" si="15"/>
        <v>0.655</v>
      </c>
      <c r="AV156" s="131" t="str">
        <f>IFERROR(AVERAGEIFS(
'20102013 STH Efficacy'!$AX:$AX, 
'20102013 STH Efficacy'!$AL:$AL, $A156, 
'20102013 STH Efficacy'!$AM:$AM, "Albendazole",
'20102013 STH Efficacy'!$AS:$AS,"&lt;2011",
'20102013 STH Efficacy'!$BP:$BP,""),
"")</f>
        <v/>
      </c>
      <c r="AW156" s="132">
        <f t="shared" si="16"/>
        <v>0.3842878788</v>
      </c>
      <c r="AX156" s="131" t="str">
        <f>IFERROR(AVERAGEIFS(
'20102013 STH Efficacy'!$AX:$AX, 
'20102013 STH Efficacy'!$AL:$AL, $A156, 
'20102013 STH Efficacy'!$AM:$AM, "Mebendazole",
'20102013 STH Efficacy'!$AS:$AS,"&lt;2011",
'20102013 STH Efficacy'!$BP:$BP,""),
"")</f>
        <v/>
      </c>
      <c r="AY156" s="132">
        <f t="shared" si="17"/>
        <v>0.5121666667</v>
      </c>
      <c r="AZ156" s="131" t="str">
        <f>IFERROR(AVERAGEIFS(
'20102013 STH Efficacy'!$AX:$AX, 
'20102013 STH Efficacy'!$AL:$AL, $A156, 
'20102013 STH Efficacy'!$AM:$AM, "Albendazole &amp; Ivermectin",
'20102013 STH Efficacy'!$AS:$AS,"&lt;2011",
'20102013 STH Efficacy'!$BP:$BP,""),
"")</f>
        <v/>
      </c>
      <c r="BA156" s="133">
        <f t="shared" si="18"/>
        <v>0.7176666667</v>
      </c>
      <c r="BB156" s="134" t="str">
        <f>IFERROR(AVERAGEIFS(
'20102013 STH Efficacy'!$N:$N, 
'20102013 STH Efficacy'!$B:$B, $A156, 
'20102013 STH Efficacy'!$C:$C, "Albendazole",
'20102013 STH Efficacy'!$I:$I,"&lt;2011",
'20102013 STH Efficacy'!$AH:$AH,""),
"")</f>
        <v/>
      </c>
      <c r="BC156" s="135">
        <f t="shared" si="19"/>
        <v>0.7630416667</v>
      </c>
      <c r="BD156" s="134" t="str">
        <f>IFERROR(AVERAGEIFS(
'20102013 STH Efficacy'!$N:$N, 
'20102013 STH Efficacy'!$B:$B, $A156, 
'20102013 STH Efficacy'!$C:$C, "Mebendazole",
'20102013 STH Efficacy'!$I:$I,"&lt;2011",
'20102013 STH Efficacy'!$AH:$AH,""),
"")</f>
        <v/>
      </c>
      <c r="BE156" s="135">
        <f t="shared" si="20"/>
        <v>0.4405966667</v>
      </c>
      <c r="BF156" s="128" t="str">
        <f>IFERROR(AVERAGEIFS(
'20102013 STH Efficacy'!$CD:$CD, 
'20102013 STH Efficacy'!$BS:$BS, $A156, 
'20102013 STH Efficacy'!$BT:$BT, "Albendazole",
'20102013 STH Efficacy'!$BZ:$BZ,"&lt;2011",
'20102013 STH Efficacy'!$CU:$CU,""),
"")</f>
        <v/>
      </c>
      <c r="BG156" s="136">
        <f t="shared" si="21"/>
        <v>0.9403222222</v>
      </c>
      <c r="BH156" s="128" t="str">
        <f>IFERROR(AVERAGEIFS(
'20102013 STH Efficacy'!$CD:$CD, 
'20102013 STH Efficacy'!$BS:$BS, $A156, 
'20102013 STH Efficacy'!$BT:$BT, "Mebendazole",
'20102013 STH Efficacy'!$BZ:$BZ,"&lt;2011",
'20102013 STH Efficacy'!$CU:$CU,""),
"")</f>
        <v/>
      </c>
      <c r="BI156" s="136">
        <f t="shared" si="22"/>
        <v>0.9229285714</v>
      </c>
      <c r="BJ156" s="128" t="str">
        <f>IFERROR(AVERAGEIFS(
'20102013 STH Efficacy'!$CD:$CD, 
'20102013 STH Efficacy'!$BS:$BS, $A156, 
'20102013 STH Efficacy'!$BT:$BT, "Albendazole &amp; Ivermectin",
'20102013 STH Efficacy'!$BZ:$BZ,"&lt;2011",
'20102013 STH Efficacy'!$CU:$CU,""),
"")</f>
        <v/>
      </c>
      <c r="BK156" s="136">
        <f t="shared" si="23"/>
        <v>1</v>
      </c>
      <c r="BL156" s="137"/>
      <c r="BM156" s="137"/>
      <c r="BN156" s="138">
        <v>0.0</v>
      </c>
      <c r="BO156" s="139">
        <v>0.0</v>
      </c>
      <c r="BP156" s="140">
        <v>0.0</v>
      </c>
      <c r="BQ156" s="141">
        <f t="shared" si="24"/>
        <v>0</v>
      </c>
      <c r="BR156" s="104" t="str">
        <f t="shared" si="25"/>
        <v>0000</v>
      </c>
      <c r="BS156" s="104" t="str">
        <f t="shared" si="26"/>
        <v>no action required</v>
      </c>
      <c r="BT156" s="142" t="str">
        <f t="shared" si="27"/>
        <v/>
      </c>
      <c r="BU156" s="104" t="str">
        <f t="shared" si="28"/>
        <v/>
      </c>
      <c r="BV156" s="104" t="str">
        <f t="shared" si="29"/>
        <v>none</v>
      </c>
      <c r="BW156" s="150" t="str">
        <f t="shared" si="30"/>
        <v/>
      </c>
      <c r="BX156" s="150" t="str">
        <f t="shared" si="31"/>
        <v/>
      </c>
      <c r="BY156" s="151" t="str">
        <f t="shared" si="32"/>
        <v/>
      </c>
      <c r="BZ156" s="152" t="str">
        <f t="shared" si="33"/>
        <v/>
      </c>
      <c r="CA156" s="152" t="str">
        <f t="shared" si="34"/>
        <v/>
      </c>
      <c r="CB156" s="152" t="str">
        <f t="shared" si="35"/>
        <v/>
      </c>
      <c r="CC156" s="153" t="str">
        <f t="shared" si="36"/>
        <v/>
      </c>
      <c r="CD156" s="153" t="str">
        <f t="shared" si="37"/>
        <v/>
      </c>
      <c r="CE156" s="154" t="str">
        <f t="shared" si="38"/>
        <v/>
      </c>
      <c r="CF156" s="154" t="str">
        <f t="shared" si="39"/>
        <v/>
      </c>
      <c r="CG156" s="154" t="str">
        <f t="shared" si="40"/>
        <v/>
      </c>
    </row>
    <row r="157">
      <c r="A157" s="155" t="s">
        <v>246</v>
      </c>
      <c r="B157" s="104" t="s">
        <v>98</v>
      </c>
      <c r="C157" s="105">
        <v>3721525.0</v>
      </c>
      <c r="D157" s="106">
        <v>0.0</v>
      </c>
      <c r="E157" s="107">
        <v>157.5518636</v>
      </c>
      <c r="F157" s="108">
        <v>0.0</v>
      </c>
      <c r="G157" s="108">
        <v>0.0</v>
      </c>
      <c r="H157" s="108">
        <v>0.0</v>
      </c>
      <c r="I157" s="109">
        <v>0.0</v>
      </c>
      <c r="J157" s="109">
        <v>0.0</v>
      </c>
      <c r="K157" s="109">
        <v>0.0</v>
      </c>
      <c r="L157" s="112">
        <v>0.0</v>
      </c>
      <c r="M157" s="112">
        <v>0.0</v>
      </c>
      <c r="N157" s="112">
        <v>0.0</v>
      </c>
      <c r="O157" s="113"/>
      <c r="P157" s="114"/>
      <c r="Q157" s="114"/>
      <c r="R157" s="115" t="str">
        <f t="shared" si="8"/>
        <v/>
      </c>
      <c r="S157" s="116">
        <f t="shared" si="9"/>
        <v>0.14553293</v>
      </c>
      <c r="T157" s="117"/>
      <c r="U157" s="118">
        <f t="shared" si="41"/>
        <v>0.39435</v>
      </c>
      <c r="V157" s="148"/>
      <c r="W157" s="120">
        <f t="shared" si="10"/>
        <v>0.3616</v>
      </c>
      <c r="X157" s="148"/>
      <c r="Y157" s="120">
        <f t="shared" si="11"/>
        <v>0.5015615385</v>
      </c>
      <c r="Z157" s="121"/>
      <c r="AA157" s="121"/>
      <c r="AB157" s="121"/>
      <c r="AC157" s="121"/>
      <c r="AD157" s="122">
        <v>0.0</v>
      </c>
      <c r="AE157" s="123">
        <v>0.0</v>
      </c>
      <c r="AF157" s="123">
        <v>1.0E-4</v>
      </c>
      <c r="AG157" s="167">
        <v>0.0</v>
      </c>
      <c r="AH157" s="124">
        <v>0.0</v>
      </c>
      <c r="AI157" s="168">
        <v>0.0</v>
      </c>
      <c r="AJ157" s="125">
        <v>0.0</v>
      </c>
      <c r="AK157" s="126">
        <v>0.0</v>
      </c>
      <c r="AL157" s="127">
        <v>0.0</v>
      </c>
      <c r="AM157" s="128"/>
      <c r="AN157" s="149" t="str">
        <f>IFERROR(
  AVERAGEIFS(
    'New 20102013 LF Efficacy'!$J:$J,
    'New 20102013 LF Efficacy'!$D:$D, $A157,
    'New 20102013 LF Efficacy'!$F:$F,"DEC", 
    'New 20102013 LF Efficacy'!$W:$W,"&lt;2011",
    'New 20102013 LF Efficacy'!$AA:$AA,""),
  ""
)</f>
        <v/>
      </c>
      <c r="AO157" s="115">
        <f t="shared" si="12"/>
        <v>0.2589833333</v>
      </c>
      <c r="AP157" s="121" t="str">
        <f>IFERROR(
AVERAGEIFS(
'New 20102013 LF Efficacy'!$J:$J,
'New 20102013 LF Efficacy'!$D:$D,$A157,
'New 20102013 LF Efficacy'!$F:$F,"Albendazole &amp; DEC",
'New 20102013 LF Efficacy'!$W:$W,"&lt;2011",
'New 20102013 LF Efficacy'!$AA:$AA,""),
"")
</f>
        <v/>
      </c>
      <c r="AQ157" s="115">
        <f t="shared" si="13"/>
        <v>0.3465</v>
      </c>
      <c r="AR157" s="121" t="str">
        <f>IFERROR(
AVERAGEIFS(
'New 20102013 LF Efficacy'!$J:$J,
'New 20102013 LF Efficacy'!$D:$D,$A157,
'New 20102013 LF Efficacy'!$F:$F,"Albendazole &amp; Ivermectin", 
'New 20102013 LF Efficacy'!$W:$W,"&lt;2011",
'New 20102013 LF Efficacy'!$AA:$AA,""),"")</f>
        <v/>
      </c>
      <c r="AS157" s="115">
        <f t="shared" si="14"/>
        <v>0.7575</v>
      </c>
      <c r="AT157" s="130" t="str">
        <f>IFERROR(AVERAGEIFS(
'20102013 Schist Efficacy'!$O:$O, 
'20102013 Schist Efficacy'!$C:$C,$A157, 
'20102013 Schist Efficacy'!$D:$D, "Praziquantel",
'20102013 Schist Efficacy'!$J:$J,"&lt;2011",
'20102013 Schist Efficacy'!$U:$U,""),
"")</f>
        <v/>
      </c>
      <c r="AU157" s="118">
        <f t="shared" si="15"/>
        <v>0.7732631579</v>
      </c>
      <c r="AV157" s="131" t="str">
        <f>IFERROR(AVERAGEIFS(
'20102013 STH Efficacy'!$AX:$AX, 
'20102013 STH Efficacy'!$AL:$AL, $A157, 
'20102013 STH Efficacy'!$AM:$AM, "Albendazole",
'20102013 STH Efficacy'!$AS:$AS,"&lt;2011",
'20102013 STH Efficacy'!$BP:$BP,""),
"")</f>
        <v/>
      </c>
      <c r="AW157" s="132">
        <f t="shared" si="16"/>
        <v>0.3945</v>
      </c>
      <c r="AX157" s="131" t="str">
        <f>IFERROR(AVERAGEIFS(
'20102013 STH Efficacy'!$AX:$AX, 
'20102013 STH Efficacy'!$AL:$AL, $A157, 
'20102013 STH Efficacy'!$AM:$AM, "Mebendazole",
'20102013 STH Efficacy'!$AS:$AS,"&lt;2011",
'20102013 STH Efficacy'!$BP:$BP,""),
"")</f>
        <v/>
      </c>
      <c r="AY157" s="132">
        <f t="shared" si="17"/>
        <v>0.6</v>
      </c>
      <c r="AZ157" s="131" t="str">
        <f>IFERROR(AVERAGEIFS(
'20102013 STH Efficacy'!$AX:$AX, 
'20102013 STH Efficacy'!$AL:$AL, $A157, 
'20102013 STH Efficacy'!$AM:$AM, "Albendazole &amp; Ivermectin",
'20102013 STH Efficacy'!$AS:$AS,"&lt;2011",
'20102013 STH Efficacy'!$BP:$BP,""),
"")</f>
        <v/>
      </c>
      <c r="BA157" s="133">
        <f t="shared" si="18"/>
        <v>0.796</v>
      </c>
      <c r="BB157" s="134" t="str">
        <f>IFERROR(AVERAGEIFS(
'20102013 STH Efficacy'!$N:$N, 
'20102013 STH Efficacy'!$B:$B, $A157, 
'20102013 STH Efficacy'!$C:$C, "Albendazole",
'20102013 STH Efficacy'!$I:$I,"&lt;2011",
'20102013 STH Efficacy'!$AH:$AH,""),
"")</f>
        <v/>
      </c>
      <c r="BC157" s="135">
        <f t="shared" si="19"/>
        <v>0.869</v>
      </c>
      <c r="BD157" s="134" t="str">
        <f>IFERROR(AVERAGEIFS(
'20102013 STH Efficacy'!$N:$N, 
'20102013 STH Efficacy'!$B:$B, $A157, 
'20102013 STH Efficacy'!$C:$C, "Mebendazole",
'20102013 STH Efficacy'!$I:$I,"&lt;2011",
'20102013 STH Efficacy'!$AH:$AH,""),
"")</f>
        <v/>
      </c>
      <c r="BE157" s="135">
        <f t="shared" si="20"/>
        <v>0.172</v>
      </c>
      <c r="BF157" s="128" t="str">
        <f>IFERROR(AVERAGEIFS(
'20102013 STH Efficacy'!$CD:$CD, 
'20102013 STH Efficacy'!$BS:$BS, $A157, 
'20102013 STH Efficacy'!$BT:$BT, "Albendazole",
'20102013 STH Efficacy'!$BZ:$BZ,"&lt;2011",
'20102013 STH Efficacy'!$CU:$CU,""),
"")</f>
        <v/>
      </c>
      <c r="BG157" s="136">
        <f t="shared" si="21"/>
        <v>0.9862</v>
      </c>
      <c r="BH157" s="128" t="str">
        <f>IFERROR(AVERAGEIFS(
'20102013 STH Efficacy'!$CD:$CD, 
'20102013 STH Efficacy'!$BS:$BS, $A157, 
'20102013 STH Efficacy'!$BT:$BT, "Mebendazole",
'20102013 STH Efficacy'!$BZ:$BZ,"&lt;2011",
'20102013 STH Efficacy'!$CU:$CU,""),
"")</f>
        <v/>
      </c>
      <c r="BI157" s="136">
        <f t="shared" si="22"/>
        <v>0.769</v>
      </c>
      <c r="BJ157" s="128" t="str">
        <f>IFERROR(AVERAGEIFS(
'20102013 STH Efficacy'!$CD:$CD, 
'20102013 STH Efficacy'!$BS:$BS, $A157, 
'20102013 STH Efficacy'!$BT:$BT, "Albendazole &amp; Ivermectin",
'20102013 STH Efficacy'!$BZ:$BZ,"&lt;2011",
'20102013 STH Efficacy'!$CU:$CU,""),
"")</f>
        <v/>
      </c>
      <c r="BK157" s="136">
        <f t="shared" si="23"/>
        <v>1</v>
      </c>
      <c r="BL157" s="137"/>
      <c r="BM157" s="137"/>
      <c r="BN157" s="138">
        <v>0.0</v>
      </c>
      <c r="BO157" s="139">
        <v>0.0</v>
      </c>
      <c r="BP157" s="140">
        <v>0.0</v>
      </c>
      <c r="BQ157" s="141">
        <f t="shared" si="24"/>
        <v>0</v>
      </c>
      <c r="BR157" s="104" t="str">
        <f t="shared" si="25"/>
        <v>0000</v>
      </c>
      <c r="BS157" s="104" t="str">
        <f t="shared" si="26"/>
        <v>no action required</v>
      </c>
      <c r="BT157" s="142" t="str">
        <f t="shared" si="27"/>
        <v/>
      </c>
      <c r="BU157" s="104" t="str">
        <f t="shared" si="28"/>
        <v/>
      </c>
      <c r="BV157" s="104" t="str">
        <f t="shared" si="29"/>
        <v>none</v>
      </c>
      <c r="BW157" s="150" t="str">
        <f t="shared" si="30"/>
        <v/>
      </c>
      <c r="BX157" s="150" t="str">
        <f t="shared" si="31"/>
        <v/>
      </c>
      <c r="BY157" s="151" t="str">
        <f t="shared" si="32"/>
        <v/>
      </c>
      <c r="BZ157" s="152" t="str">
        <f t="shared" si="33"/>
        <v/>
      </c>
      <c r="CA157" s="152" t="str">
        <f t="shared" si="34"/>
        <v/>
      </c>
      <c r="CB157" s="152" t="str">
        <f t="shared" si="35"/>
        <v/>
      </c>
      <c r="CC157" s="153" t="str">
        <f t="shared" si="36"/>
        <v/>
      </c>
      <c r="CD157" s="153" t="str">
        <f t="shared" si="37"/>
        <v/>
      </c>
      <c r="CE157" s="154" t="str">
        <f t="shared" si="38"/>
        <v/>
      </c>
      <c r="CF157" s="154" t="str">
        <f t="shared" si="39"/>
        <v/>
      </c>
      <c r="CG157" s="154" t="str">
        <f t="shared" si="40"/>
        <v/>
      </c>
    </row>
    <row r="158">
      <c r="A158" s="155" t="s">
        <v>247</v>
      </c>
      <c r="B158" s="104" t="s">
        <v>88</v>
      </c>
      <c r="C158" s="105">
        <v>1779676.0</v>
      </c>
      <c r="D158" s="106">
        <v>0.0</v>
      </c>
      <c r="E158" s="107">
        <v>0.0</v>
      </c>
      <c r="F158" s="108">
        <v>0.0</v>
      </c>
      <c r="G158" s="108">
        <v>0.0</v>
      </c>
      <c r="H158" s="108">
        <v>0.0</v>
      </c>
      <c r="I158" s="109">
        <v>0.00446404</v>
      </c>
      <c r="J158" s="109">
        <v>0.00373486</v>
      </c>
      <c r="K158" s="109">
        <v>0.008198895</v>
      </c>
      <c r="L158" s="112">
        <v>0.0</v>
      </c>
      <c r="M158" s="112">
        <v>0.0</v>
      </c>
      <c r="N158" s="112">
        <v>0.0</v>
      </c>
      <c r="O158" s="113"/>
      <c r="P158" s="114"/>
      <c r="Q158" s="114"/>
      <c r="R158" s="115" t="str">
        <f t="shared" si="8"/>
        <v/>
      </c>
      <c r="S158" s="116">
        <f t="shared" si="9"/>
        <v>0.3211323089</v>
      </c>
      <c r="T158" s="117"/>
      <c r="U158" s="118">
        <f t="shared" si="41"/>
        <v>0.5949</v>
      </c>
      <c r="V158" s="148"/>
      <c r="W158" s="120">
        <f t="shared" si="10"/>
        <v>0.9019</v>
      </c>
      <c r="X158" s="148"/>
      <c r="Y158" s="120">
        <f t="shared" si="11"/>
        <v>0.094</v>
      </c>
      <c r="Z158" s="114"/>
      <c r="AA158" s="114"/>
      <c r="AB158" s="114"/>
      <c r="AC158" s="114"/>
      <c r="AD158" s="164">
        <v>0.0</v>
      </c>
      <c r="AE158" s="123">
        <v>0.0</v>
      </c>
      <c r="AF158" s="123">
        <v>0.0</v>
      </c>
      <c r="AG158" s="124">
        <v>0.0</v>
      </c>
      <c r="AH158" s="124">
        <v>1.17053E-5</v>
      </c>
      <c r="AI158" s="125">
        <v>0.0</v>
      </c>
      <c r="AJ158" s="125">
        <v>1.16E-5</v>
      </c>
      <c r="AK158" s="126">
        <v>0.0</v>
      </c>
      <c r="AL158" s="169">
        <v>1.1677E-5</v>
      </c>
      <c r="AM158" s="128"/>
      <c r="AN158" s="149" t="str">
        <f>IFERROR(
  AVERAGEIFS(
    'New 20102013 LF Efficacy'!$J:$J,
    'New 20102013 LF Efficacy'!$D:$D, $A158,
    'New 20102013 LF Efficacy'!$F:$F,"DEC", 
    'New 20102013 LF Efficacy'!$W:$W,"&lt;2011",
    'New 20102013 LF Efficacy'!$AA:$AA,""),
  ""
)</f>
        <v/>
      </c>
      <c r="AO158" s="115">
        <f t="shared" si="12"/>
        <v>0.3573520833</v>
      </c>
      <c r="AP158" s="121" t="str">
        <f>IFERROR(
AVERAGEIFS(
'New 20102013 LF Efficacy'!$J:$J,
'New 20102013 LF Efficacy'!$D:$D,$A158,
'New 20102013 LF Efficacy'!$F:$F,"Albendazole &amp; DEC",
'New 20102013 LF Efficacy'!$W:$W,"&lt;2011",
'New 20102013 LF Efficacy'!$AA:$AA,""),
"")
</f>
        <v/>
      </c>
      <c r="AQ158" s="115">
        <f t="shared" si="13"/>
        <v>0.7935</v>
      </c>
      <c r="AR158" s="121" t="str">
        <f>IFERROR(
AVERAGEIFS(
'New 20102013 LF Efficacy'!$J:$J,
'New 20102013 LF Efficacy'!$D:$D,$A158,
'New 20102013 LF Efficacy'!$F:$F,"Albendazole &amp; Ivermectin", 
'New 20102013 LF Efficacy'!$W:$W,"&lt;2011",
'New 20102013 LF Efficacy'!$AA:$AA,""),"")</f>
        <v/>
      </c>
      <c r="AS158" s="115">
        <f t="shared" si="14"/>
        <v>0.37153125</v>
      </c>
      <c r="AT158" s="130" t="str">
        <f>IFERROR(AVERAGEIFS(
'20102013 Schist Efficacy'!$O:$O, 
'20102013 Schist Efficacy'!$C:$C,$A158, 
'20102013 Schist Efficacy'!$D:$D, "Praziquantel",
'20102013 Schist Efficacy'!$J:$J,"&lt;2011",
'20102013 Schist Efficacy'!$U:$U,""),
"")</f>
        <v/>
      </c>
      <c r="AU158" s="118">
        <f t="shared" si="15"/>
        <v>0.7763141026</v>
      </c>
      <c r="AV158" s="131" t="str">
        <f>IFERROR(AVERAGEIFS(
'20102013 STH Efficacy'!$AX:$AX, 
'20102013 STH Efficacy'!$AL:$AL, $A158, 
'20102013 STH Efficacy'!$AM:$AM, "Albendazole",
'20102013 STH Efficacy'!$AS:$AS,"&lt;2011",
'20102013 STH Efficacy'!$BP:$BP,""),
"")</f>
        <v/>
      </c>
      <c r="AW158" s="132">
        <f t="shared" si="16"/>
        <v>0.3842878788</v>
      </c>
      <c r="AX158" s="131" t="str">
        <f>IFERROR(AVERAGEIFS(
'20102013 STH Efficacy'!$AX:$AX, 
'20102013 STH Efficacy'!$AL:$AL, $A158, 
'20102013 STH Efficacy'!$AM:$AM, "Mebendazole",
'20102013 STH Efficacy'!$AS:$AS,"&lt;2011",
'20102013 STH Efficacy'!$BP:$BP,""),
"")</f>
        <v/>
      </c>
      <c r="AY158" s="132">
        <f t="shared" si="17"/>
        <v>0.5121666667</v>
      </c>
      <c r="AZ158" s="131" t="str">
        <f>IFERROR(AVERAGEIFS(
'20102013 STH Efficacy'!$AX:$AX, 
'20102013 STH Efficacy'!$AL:$AL, $A158, 
'20102013 STH Efficacy'!$AM:$AM, "Albendazole &amp; Ivermectin",
'20102013 STH Efficacy'!$AS:$AS,"&lt;2011",
'20102013 STH Efficacy'!$BP:$BP,""),
"")</f>
        <v/>
      </c>
      <c r="BA158" s="133">
        <f t="shared" si="18"/>
        <v>0.7176666667</v>
      </c>
      <c r="BB158" s="134" t="str">
        <f>IFERROR(AVERAGEIFS(
'20102013 STH Efficacy'!$N:$N, 
'20102013 STH Efficacy'!$B:$B, $A158, 
'20102013 STH Efficacy'!$C:$C, "Albendazole",
'20102013 STH Efficacy'!$I:$I,"&lt;2011",
'20102013 STH Efficacy'!$AH:$AH,""),
"")</f>
        <v/>
      </c>
      <c r="BC158" s="135">
        <f t="shared" si="19"/>
        <v>0.7630416667</v>
      </c>
      <c r="BD158" s="134" t="str">
        <f>IFERROR(AVERAGEIFS(
'20102013 STH Efficacy'!$N:$N, 
'20102013 STH Efficacy'!$B:$B, $A158, 
'20102013 STH Efficacy'!$C:$C, "Mebendazole",
'20102013 STH Efficacy'!$I:$I,"&lt;2011",
'20102013 STH Efficacy'!$AH:$AH,""),
"")</f>
        <v/>
      </c>
      <c r="BE158" s="135">
        <f t="shared" si="20"/>
        <v>0.4405966667</v>
      </c>
      <c r="BF158" s="128" t="str">
        <f>IFERROR(AVERAGEIFS(
'20102013 STH Efficacy'!$CD:$CD, 
'20102013 STH Efficacy'!$BS:$BS, $A158, 
'20102013 STH Efficacy'!$BT:$BT, "Albendazole",
'20102013 STH Efficacy'!$BZ:$BZ,"&lt;2011",
'20102013 STH Efficacy'!$CU:$CU,""),
"")</f>
        <v/>
      </c>
      <c r="BG158" s="136">
        <f t="shared" si="21"/>
        <v>0.955</v>
      </c>
      <c r="BH158" s="128" t="str">
        <f>IFERROR(AVERAGEIFS(
'20102013 STH Efficacy'!$CD:$CD, 
'20102013 STH Efficacy'!$BS:$BS, $A158, 
'20102013 STH Efficacy'!$BT:$BT, "Mebendazole",
'20102013 STH Efficacy'!$BZ:$BZ,"&lt;2011",
'20102013 STH Efficacy'!$CU:$CU,""),
"")</f>
        <v/>
      </c>
      <c r="BI158" s="136">
        <f t="shared" si="22"/>
        <v>1</v>
      </c>
      <c r="BJ158" s="128" t="str">
        <f>IFERROR(AVERAGEIFS(
'20102013 STH Efficacy'!$CD:$CD, 
'20102013 STH Efficacy'!$BS:$BS, $A158, 
'20102013 STH Efficacy'!$BT:$BT, "Albendazole &amp; Ivermectin",
'20102013 STH Efficacy'!$BZ:$BZ,"&lt;2011",
'20102013 STH Efficacy'!$CU:$CU,""),
"")</f>
        <v/>
      </c>
      <c r="BK158" s="136">
        <f t="shared" si="23"/>
        <v>1</v>
      </c>
      <c r="BL158" s="137"/>
      <c r="BM158" s="137"/>
      <c r="BN158" s="138">
        <v>0.0</v>
      </c>
      <c r="BO158" s="139">
        <v>0.0</v>
      </c>
      <c r="BP158" s="140">
        <v>0.0</v>
      </c>
      <c r="BQ158" s="141">
        <f t="shared" si="24"/>
        <v>0</v>
      </c>
      <c r="BR158" s="104" t="str">
        <f t="shared" si="25"/>
        <v>0000</v>
      </c>
      <c r="BS158" s="104" t="str">
        <f t="shared" si="26"/>
        <v>no action required</v>
      </c>
      <c r="BT158" s="142" t="str">
        <f t="shared" si="27"/>
        <v/>
      </c>
      <c r="BU158" s="104" t="str">
        <f t="shared" si="28"/>
        <v/>
      </c>
      <c r="BV158" s="104" t="str">
        <f t="shared" si="29"/>
        <v>none</v>
      </c>
      <c r="BW158" s="150" t="str">
        <f t="shared" si="30"/>
        <v/>
      </c>
      <c r="BX158" s="150" t="str">
        <f t="shared" si="31"/>
        <v/>
      </c>
      <c r="BY158" s="151" t="str">
        <f t="shared" si="32"/>
        <v/>
      </c>
      <c r="BZ158" s="152" t="str">
        <f t="shared" si="33"/>
        <v/>
      </c>
      <c r="CA158" s="152" t="str">
        <f t="shared" si="34"/>
        <v/>
      </c>
      <c r="CB158" s="152" t="str">
        <f t="shared" si="35"/>
        <v/>
      </c>
      <c r="CC158" s="153" t="str">
        <f t="shared" si="36"/>
        <v/>
      </c>
      <c r="CD158" s="153" t="str">
        <f t="shared" si="37"/>
        <v/>
      </c>
      <c r="CE158" s="154" t="str">
        <f t="shared" si="38"/>
        <v/>
      </c>
      <c r="CF158" s="154" t="str">
        <f t="shared" si="39"/>
        <v/>
      </c>
      <c r="CG158" s="154" t="str">
        <f t="shared" si="40"/>
        <v/>
      </c>
    </row>
    <row r="159">
      <c r="A159" s="155" t="s">
        <v>248</v>
      </c>
      <c r="B159" s="104" t="s">
        <v>94</v>
      </c>
      <c r="C159" s="105">
        <v>4.9554112E7</v>
      </c>
      <c r="D159" s="106">
        <v>12680.18642</v>
      </c>
      <c r="E159" s="107">
        <v>0.0</v>
      </c>
      <c r="F159" s="108">
        <v>0.0</v>
      </c>
      <c r="G159" s="179">
        <v>8.09019E-5</v>
      </c>
      <c r="H159" s="179">
        <v>8.09019E-5</v>
      </c>
      <c r="I159" s="109">
        <v>0.0</v>
      </c>
      <c r="J159" s="109">
        <v>0.0</v>
      </c>
      <c r="K159" s="109">
        <v>0.515864635</v>
      </c>
      <c r="L159" s="112">
        <v>0.0</v>
      </c>
      <c r="M159" s="112">
        <v>0.0</v>
      </c>
      <c r="N159" s="112">
        <v>0.0</v>
      </c>
      <c r="O159" s="113"/>
      <c r="P159" s="114"/>
      <c r="Q159" s="114"/>
      <c r="R159" s="115" t="str">
        <f t="shared" si="8"/>
        <v/>
      </c>
      <c r="S159" s="116">
        <f t="shared" si="9"/>
        <v>0.1955251818</v>
      </c>
      <c r="T159" s="117"/>
      <c r="U159" s="118">
        <f t="shared" si="41"/>
        <v>0.6259666667</v>
      </c>
      <c r="V159" s="148"/>
      <c r="W159" s="120">
        <f t="shared" si="10"/>
        <v>0.55175</v>
      </c>
      <c r="X159" s="148"/>
      <c r="Y159" s="120">
        <f t="shared" si="11"/>
        <v>0.4826142857</v>
      </c>
      <c r="Z159" s="121"/>
      <c r="AA159" s="121"/>
      <c r="AB159" s="121"/>
      <c r="AC159" s="121"/>
      <c r="AD159" s="122">
        <v>0.0024</v>
      </c>
      <c r="AE159" s="123">
        <v>0.0</v>
      </c>
      <c r="AF159" s="166">
        <v>0.0</v>
      </c>
      <c r="AG159" s="167">
        <v>0.0</v>
      </c>
      <c r="AH159" s="124">
        <v>0.0</v>
      </c>
      <c r="AI159" s="168">
        <v>0.0</v>
      </c>
      <c r="AJ159" s="125">
        <v>1.32E-5</v>
      </c>
      <c r="AK159" s="126">
        <v>0.0</v>
      </c>
      <c r="AL159" s="169">
        <v>6.23385E-4</v>
      </c>
      <c r="AM159" s="128"/>
      <c r="AN159" s="149" t="str">
        <f>IFERROR(
  AVERAGEIFS(
    'New 20102013 LF Efficacy'!$J:$J,
    'New 20102013 LF Efficacy'!$D:$D, $A159,
    'New 20102013 LF Efficacy'!$F:$F,"DEC", 
    'New 20102013 LF Efficacy'!$W:$W,"&lt;2011",
    'New 20102013 LF Efficacy'!$AA:$AA,""),
  ""
)</f>
        <v/>
      </c>
      <c r="AO159" s="115">
        <f t="shared" si="12"/>
        <v>0.38</v>
      </c>
      <c r="AP159" s="121" t="str">
        <f>IFERROR(
AVERAGEIFS(
'New 20102013 LF Efficacy'!$J:$J,
'New 20102013 LF Efficacy'!$D:$D,$A159,
'New 20102013 LF Efficacy'!$F:$F,"Albendazole &amp; DEC",
'New 20102013 LF Efficacy'!$W:$W,"&lt;2011",
'New 20102013 LF Efficacy'!$AA:$AA,""),
"")
</f>
        <v/>
      </c>
      <c r="AQ159" s="115">
        <f t="shared" si="13"/>
        <v>0.657</v>
      </c>
      <c r="AR159" s="121" t="str">
        <f>IFERROR(
AVERAGEIFS(
'New 20102013 LF Efficacy'!$J:$J,
'New 20102013 LF Efficacy'!$D:$D,$A159,
'New 20102013 LF Efficacy'!$F:$F,"Albendazole &amp; Ivermectin", 
'New 20102013 LF Efficacy'!$W:$W,"&lt;2011",
'New 20102013 LF Efficacy'!$AA:$AA,""),"")</f>
        <v/>
      </c>
      <c r="AS159" s="115">
        <f t="shared" si="14"/>
        <v>0.37153125</v>
      </c>
      <c r="AT159" s="130" t="str">
        <f>IFERROR(AVERAGEIFS(
'20102013 Schist Efficacy'!$O:$O, 
'20102013 Schist Efficacy'!$C:$C,$A159, 
'20102013 Schist Efficacy'!$D:$D, "Praziquantel",
'20102013 Schist Efficacy'!$J:$J,"&lt;2011",
'20102013 Schist Efficacy'!$U:$U,""),
"")</f>
        <v/>
      </c>
      <c r="AU159" s="118">
        <f t="shared" si="15"/>
        <v>0.95</v>
      </c>
      <c r="AV159" s="131" t="str">
        <f>IFERROR(AVERAGEIFS(
'20102013 STH Efficacy'!$AX:$AX, 
'20102013 STH Efficacy'!$AL:$AL, $A159, 
'20102013 STH Efficacy'!$AM:$AM, "Albendazole",
'20102013 STH Efficacy'!$AS:$AS,"&lt;2011",
'20102013 STH Efficacy'!$BP:$BP,""),
"")</f>
        <v/>
      </c>
      <c r="AW159" s="132">
        <f t="shared" si="16"/>
        <v>0.3571666667</v>
      </c>
      <c r="AX159" s="131" t="str">
        <f>IFERROR(AVERAGEIFS(
'20102013 STH Efficacy'!$AX:$AX, 
'20102013 STH Efficacy'!$AL:$AL, $A159, 
'20102013 STH Efficacy'!$AM:$AM, "Mebendazole",
'20102013 STH Efficacy'!$AS:$AS,"&lt;2011",
'20102013 STH Efficacy'!$BP:$BP,""),
"")</f>
        <v/>
      </c>
      <c r="AY159" s="132">
        <f t="shared" si="17"/>
        <v>0.4155</v>
      </c>
      <c r="AZ159" s="131" t="str">
        <f>IFERROR(AVERAGEIFS(
'20102013 STH Efficacy'!$AX:$AX, 
'20102013 STH Efficacy'!$AL:$AL, $A159, 
'20102013 STH Efficacy'!$AM:$AM, "Albendazole &amp; Ivermectin",
'20102013 STH Efficacy'!$AS:$AS,"&lt;2011",
'20102013 STH Efficacy'!$BP:$BP,""),
"")</f>
        <v/>
      </c>
      <c r="BA159" s="133">
        <f t="shared" si="18"/>
        <v>0.651</v>
      </c>
      <c r="BB159" s="134" t="str">
        <f>IFERROR(AVERAGEIFS(
'20102013 STH Efficacy'!$N:$N, 
'20102013 STH Efficacy'!$B:$B, $A159, 
'20102013 STH Efficacy'!$C:$C, "Albendazole",
'20102013 STH Efficacy'!$I:$I,"&lt;2011",
'20102013 STH Efficacy'!$AH:$AH,""),
"")</f>
        <v/>
      </c>
      <c r="BC159" s="135">
        <f t="shared" si="19"/>
        <v>0.5769166667</v>
      </c>
      <c r="BD159" s="134" t="str">
        <f>IFERROR(AVERAGEIFS(
'20102013 STH Efficacy'!$N:$N, 
'20102013 STH Efficacy'!$B:$B, $A159, 
'20102013 STH Efficacy'!$C:$C, "Mebendazole",
'20102013 STH Efficacy'!$I:$I,"&lt;2011",
'20102013 STH Efficacy'!$AH:$AH,""),
"")</f>
        <v/>
      </c>
      <c r="BE159" s="135">
        <f t="shared" si="20"/>
        <v>0.3145</v>
      </c>
      <c r="BF159" s="128" t="str">
        <f>IFERROR(AVERAGEIFS(
'20102013 STH Efficacy'!$CD:$CD, 
'20102013 STH Efficacy'!$BS:$BS, $A159, 
'20102013 STH Efficacy'!$BT:$BT, "Albendazole",
'20102013 STH Efficacy'!$BZ:$BZ,"&lt;2011",
'20102013 STH Efficacy'!$CU:$CU,""),
"")</f>
        <v/>
      </c>
      <c r="BG159" s="136">
        <f t="shared" si="21"/>
        <v>0.96925</v>
      </c>
      <c r="BH159" s="128" t="str">
        <f>IFERROR(AVERAGEIFS(
'20102013 STH Efficacy'!$CD:$CD, 
'20102013 STH Efficacy'!$BS:$BS, $A159, 
'20102013 STH Efficacy'!$BT:$BT, "Mebendazole",
'20102013 STH Efficacy'!$BZ:$BZ,"&lt;2011",
'20102013 STH Efficacy'!$CU:$CU,""),
"")</f>
        <v/>
      </c>
      <c r="BI159" s="136">
        <f t="shared" si="22"/>
        <v>0.9305</v>
      </c>
      <c r="BJ159" s="128" t="str">
        <f>IFERROR(AVERAGEIFS(
'20102013 STH Efficacy'!$CD:$CD, 
'20102013 STH Efficacy'!$BS:$BS, $A159, 
'20102013 STH Efficacy'!$BT:$BT, "Albendazole &amp; Ivermectin",
'20102013 STH Efficacy'!$BZ:$BZ,"&lt;2011",
'20102013 STH Efficacy'!$CU:$CU,""),
"")</f>
        <v/>
      </c>
      <c r="BK159" s="136">
        <f t="shared" si="23"/>
        <v>1</v>
      </c>
      <c r="BL159" s="137"/>
      <c r="BM159" s="137"/>
      <c r="BN159" s="138">
        <v>0.0</v>
      </c>
      <c r="BO159" s="139">
        <v>0.0</v>
      </c>
      <c r="BP159" s="140">
        <v>0.0</v>
      </c>
      <c r="BQ159" s="141">
        <f t="shared" si="24"/>
        <v>0</v>
      </c>
      <c r="BR159" s="104" t="str">
        <f t="shared" si="25"/>
        <v>0000</v>
      </c>
      <c r="BS159" s="104" t="str">
        <f t="shared" si="26"/>
        <v>no action required</v>
      </c>
      <c r="BT159" s="142" t="str">
        <f t="shared" si="27"/>
        <v/>
      </c>
      <c r="BU159" s="104" t="str">
        <f t="shared" si="28"/>
        <v/>
      </c>
      <c r="BV159" s="104" t="str">
        <f t="shared" si="29"/>
        <v>none</v>
      </c>
      <c r="BW159" s="150" t="str">
        <f t="shared" si="30"/>
        <v/>
      </c>
      <c r="BX159" s="150" t="str">
        <f t="shared" si="31"/>
        <v/>
      </c>
      <c r="BY159" s="151" t="str">
        <f t="shared" si="32"/>
        <v/>
      </c>
      <c r="BZ159" s="152" t="str">
        <f t="shared" si="33"/>
        <v/>
      </c>
      <c r="CA159" s="152" t="str">
        <f t="shared" si="34"/>
        <v/>
      </c>
      <c r="CB159" s="152" t="str">
        <f t="shared" si="35"/>
        <v/>
      </c>
      <c r="CC159" s="153" t="str">
        <f t="shared" si="36"/>
        <v/>
      </c>
      <c r="CD159" s="153" t="str">
        <f t="shared" si="37"/>
        <v/>
      </c>
      <c r="CE159" s="154" t="str">
        <f t="shared" si="38"/>
        <v/>
      </c>
      <c r="CF159" s="154" t="str">
        <f t="shared" si="39"/>
        <v/>
      </c>
      <c r="CG159" s="154" t="str">
        <f t="shared" si="40"/>
        <v/>
      </c>
    </row>
    <row r="160">
      <c r="A160" s="155" t="s">
        <v>249</v>
      </c>
      <c r="B160" s="104" t="s">
        <v>90</v>
      </c>
      <c r="C160" s="105">
        <v>3562045.0</v>
      </c>
      <c r="D160" s="106">
        <v>0.0</v>
      </c>
      <c r="E160" s="107">
        <v>0.0</v>
      </c>
      <c r="F160" s="108">
        <v>0.0</v>
      </c>
      <c r="G160" s="108">
        <v>0.0</v>
      </c>
      <c r="H160" s="108">
        <v>0.0</v>
      </c>
      <c r="I160" s="109">
        <v>0.0</v>
      </c>
      <c r="J160" s="109">
        <v>0.0</v>
      </c>
      <c r="K160" s="109">
        <v>0.0</v>
      </c>
      <c r="L160" s="112">
        <v>0.240320501</v>
      </c>
      <c r="M160" s="112">
        <v>0.147670863</v>
      </c>
      <c r="N160" s="112">
        <v>0.387991364</v>
      </c>
      <c r="O160" s="113"/>
      <c r="P160" s="114"/>
      <c r="Q160" s="114"/>
      <c r="R160" s="115" t="str">
        <f t="shared" si="8"/>
        <v/>
      </c>
      <c r="S160" s="116">
        <f t="shared" si="9"/>
        <v>0.4013436246</v>
      </c>
      <c r="T160" s="117"/>
      <c r="U160" s="118">
        <f t="shared" si="41"/>
        <v>0.3468166667</v>
      </c>
      <c r="V160" s="148"/>
      <c r="W160" s="120">
        <f t="shared" si="10"/>
        <v>1</v>
      </c>
      <c r="X160" s="148"/>
      <c r="Y160" s="120">
        <f t="shared" si="11"/>
        <v>0.71735</v>
      </c>
      <c r="Z160" s="121"/>
      <c r="AA160" s="121"/>
      <c r="AB160" s="121"/>
      <c r="AC160" s="121"/>
      <c r="AD160" s="122">
        <v>0.0</v>
      </c>
      <c r="AE160" s="123">
        <v>0.0</v>
      </c>
      <c r="AF160" s="123">
        <v>0.0</v>
      </c>
      <c r="AG160" s="167">
        <v>0.0</v>
      </c>
      <c r="AH160" s="124">
        <v>0.0</v>
      </c>
      <c r="AI160" s="168">
        <v>0.0</v>
      </c>
      <c r="AJ160" s="173">
        <v>0.0</v>
      </c>
      <c r="AK160" s="127">
        <v>0.0</v>
      </c>
      <c r="AL160" s="169">
        <v>0.0</v>
      </c>
      <c r="AM160" s="128"/>
      <c r="AN160" s="149" t="str">
        <f>IFERROR(
  AVERAGEIFS(
    'New 20102013 LF Efficacy'!$J:$J,
    'New 20102013 LF Efficacy'!$D:$D, $A160,
    'New 20102013 LF Efficacy'!$F:$F,"DEC", 
    'New 20102013 LF Efficacy'!$W:$W,"&lt;2011",
    'New 20102013 LF Efficacy'!$AA:$AA,""),
  ""
)</f>
        <v/>
      </c>
      <c r="AO160" s="115">
        <f t="shared" si="12"/>
        <v>0.3573520833</v>
      </c>
      <c r="AP160" s="121" t="str">
        <f>IFERROR(
AVERAGEIFS(
'New 20102013 LF Efficacy'!$J:$J,
'New 20102013 LF Efficacy'!$D:$D,$A160,
'New 20102013 LF Efficacy'!$F:$F,"Albendazole &amp; DEC",
'New 20102013 LF Efficacy'!$W:$W,"&lt;2011",
'New 20102013 LF Efficacy'!$AA:$AA,""),
"")
</f>
        <v/>
      </c>
      <c r="AQ160" s="115">
        <f t="shared" si="13"/>
        <v>0.5137291667</v>
      </c>
      <c r="AR160" s="121" t="str">
        <f>IFERROR(
AVERAGEIFS(
'New 20102013 LF Efficacy'!$J:$J,
'New 20102013 LF Efficacy'!$D:$D,$A160,
'New 20102013 LF Efficacy'!$F:$F,"Albendazole &amp; Ivermectin", 
'New 20102013 LF Efficacy'!$W:$W,"&lt;2011",
'New 20102013 LF Efficacy'!$AA:$AA,""),"")</f>
        <v/>
      </c>
      <c r="AS160" s="115">
        <f t="shared" si="14"/>
        <v>0.37153125</v>
      </c>
      <c r="AT160" s="130" t="str">
        <f>IFERROR(AVERAGEIFS(
'20102013 Schist Efficacy'!$O:$O, 
'20102013 Schist Efficacy'!$C:$C,$A160, 
'20102013 Schist Efficacy'!$D:$D, "Praziquantel",
'20102013 Schist Efficacy'!$J:$J,"&lt;2011",
'20102013 Schist Efficacy'!$U:$U,""),
"")</f>
        <v/>
      </c>
      <c r="AU160" s="118">
        <f t="shared" si="15"/>
        <v>0.655</v>
      </c>
      <c r="AV160" s="131" t="str">
        <f>IFERROR(AVERAGEIFS(
'20102013 STH Efficacy'!$AX:$AX, 
'20102013 STH Efficacy'!$AL:$AL, $A160, 
'20102013 STH Efficacy'!$AM:$AM, "Albendazole",
'20102013 STH Efficacy'!$AS:$AS,"&lt;2011",
'20102013 STH Efficacy'!$BP:$BP,""),
"")</f>
        <v/>
      </c>
      <c r="AW160" s="132">
        <f t="shared" si="16"/>
        <v>0.3842878788</v>
      </c>
      <c r="AX160" s="131" t="str">
        <f>IFERROR(AVERAGEIFS(
'20102013 STH Efficacy'!$AX:$AX, 
'20102013 STH Efficacy'!$AL:$AL, $A160, 
'20102013 STH Efficacy'!$AM:$AM, "Mebendazole",
'20102013 STH Efficacy'!$AS:$AS,"&lt;2011",
'20102013 STH Efficacy'!$BP:$BP,""),
"")</f>
        <v/>
      </c>
      <c r="AY160" s="132">
        <f t="shared" si="17"/>
        <v>0.5121666667</v>
      </c>
      <c r="AZ160" s="131" t="str">
        <f>IFERROR(AVERAGEIFS(
'20102013 STH Efficacy'!$AX:$AX, 
'20102013 STH Efficacy'!$AL:$AL, $A160, 
'20102013 STH Efficacy'!$AM:$AM, "Albendazole &amp; Ivermectin",
'20102013 STH Efficacy'!$AS:$AS,"&lt;2011",
'20102013 STH Efficacy'!$BP:$BP,""),
"")</f>
        <v/>
      </c>
      <c r="BA160" s="133">
        <f t="shared" si="18"/>
        <v>0.7176666667</v>
      </c>
      <c r="BB160" s="134" t="str">
        <f>IFERROR(AVERAGEIFS(
'20102013 STH Efficacy'!$N:$N, 
'20102013 STH Efficacy'!$B:$B, $A160, 
'20102013 STH Efficacy'!$C:$C, "Albendazole",
'20102013 STH Efficacy'!$I:$I,"&lt;2011",
'20102013 STH Efficacy'!$AH:$AH,""),
"")</f>
        <v/>
      </c>
      <c r="BC160" s="135">
        <f t="shared" si="19"/>
        <v>0.7630416667</v>
      </c>
      <c r="BD160" s="134" t="str">
        <f>IFERROR(AVERAGEIFS(
'20102013 STH Efficacy'!$N:$N, 
'20102013 STH Efficacy'!$B:$B, $A160, 
'20102013 STH Efficacy'!$C:$C, "Mebendazole",
'20102013 STH Efficacy'!$I:$I,"&lt;2011",
'20102013 STH Efficacy'!$AH:$AH,""),
"")</f>
        <v/>
      </c>
      <c r="BE160" s="135">
        <f t="shared" si="20"/>
        <v>0.4405966667</v>
      </c>
      <c r="BF160" s="128" t="str">
        <f>IFERROR(AVERAGEIFS(
'20102013 STH Efficacy'!$CD:$CD, 
'20102013 STH Efficacy'!$BS:$BS, $A160, 
'20102013 STH Efficacy'!$BT:$BT, "Albendazole",
'20102013 STH Efficacy'!$BZ:$BZ,"&lt;2011",
'20102013 STH Efficacy'!$CU:$CU,""),
"")</f>
        <v/>
      </c>
      <c r="BG160" s="136">
        <f t="shared" si="21"/>
        <v>0.9403222222</v>
      </c>
      <c r="BH160" s="128" t="str">
        <f>IFERROR(AVERAGEIFS(
'20102013 STH Efficacy'!$CD:$CD, 
'20102013 STH Efficacy'!$BS:$BS, $A160, 
'20102013 STH Efficacy'!$BT:$BT, "Mebendazole",
'20102013 STH Efficacy'!$BZ:$BZ,"&lt;2011",
'20102013 STH Efficacy'!$CU:$CU,""),
"")</f>
        <v/>
      </c>
      <c r="BI160" s="136">
        <f t="shared" si="22"/>
        <v>0.9229285714</v>
      </c>
      <c r="BJ160" s="128" t="str">
        <f>IFERROR(AVERAGEIFS(
'20102013 STH Efficacy'!$CD:$CD, 
'20102013 STH Efficacy'!$BS:$BS, $A160, 
'20102013 STH Efficacy'!$BT:$BT, "Albendazole &amp; Ivermectin",
'20102013 STH Efficacy'!$BZ:$BZ,"&lt;2011",
'20102013 STH Efficacy'!$CU:$CU,""),
"")</f>
        <v/>
      </c>
      <c r="BK160" s="136">
        <f t="shared" si="23"/>
        <v>1</v>
      </c>
      <c r="BL160" s="137"/>
      <c r="BM160" s="137"/>
      <c r="BN160" s="138">
        <v>0.0</v>
      </c>
      <c r="BO160" s="139">
        <v>0.0</v>
      </c>
      <c r="BP160" s="140">
        <v>0.0</v>
      </c>
      <c r="BQ160" s="141">
        <f t="shared" si="24"/>
        <v>0</v>
      </c>
      <c r="BR160" s="104" t="str">
        <f t="shared" si="25"/>
        <v>0000</v>
      </c>
      <c r="BS160" s="104" t="str">
        <f t="shared" si="26"/>
        <v>no action required</v>
      </c>
      <c r="BT160" s="142" t="str">
        <f t="shared" si="27"/>
        <v/>
      </c>
      <c r="BU160" s="104" t="str">
        <f t="shared" si="28"/>
        <v/>
      </c>
      <c r="BV160" s="104" t="str">
        <f t="shared" si="29"/>
        <v>none</v>
      </c>
      <c r="BW160" s="150" t="str">
        <f t="shared" si="30"/>
        <v/>
      </c>
      <c r="BX160" s="150" t="str">
        <f t="shared" si="31"/>
        <v/>
      </c>
      <c r="BY160" s="151" t="str">
        <f t="shared" si="32"/>
        <v/>
      </c>
      <c r="BZ160" s="152" t="str">
        <f t="shared" si="33"/>
        <v/>
      </c>
      <c r="CA160" s="152" t="str">
        <f t="shared" si="34"/>
        <v/>
      </c>
      <c r="CB160" s="152" t="str">
        <f t="shared" si="35"/>
        <v/>
      </c>
      <c r="CC160" s="153" t="str">
        <f t="shared" si="36"/>
        <v/>
      </c>
      <c r="CD160" s="153" t="str">
        <f t="shared" si="37"/>
        <v/>
      </c>
      <c r="CE160" s="154" t="str">
        <f t="shared" si="38"/>
        <v/>
      </c>
      <c r="CF160" s="154" t="str">
        <f t="shared" si="39"/>
        <v/>
      </c>
      <c r="CG160" s="154" t="str">
        <f t="shared" si="40"/>
        <v/>
      </c>
    </row>
    <row r="161">
      <c r="A161" s="155" t="s">
        <v>250</v>
      </c>
      <c r="B161" s="104" t="s">
        <v>90</v>
      </c>
      <c r="C161" s="105">
        <v>2.0246871E7</v>
      </c>
      <c r="D161" s="106">
        <v>0.0</v>
      </c>
      <c r="E161" s="107">
        <v>0.0</v>
      </c>
      <c r="F161" s="108">
        <v>0.0</v>
      </c>
      <c r="G161" s="108">
        <v>0.0</v>
      </c>
      <c r="H161" s="108">
        <v>0.0</v>
      </c>
      <c r="I161" s="109">
        <v>0.0</v>
      </c>
      <c r="J161" s="109">
        <v>0.0</v>
      </c>
      <c r="K161" s="109">
        <v>0.0</v>
      </c>
      <c r="L161" s="112">
        <v>1.684629911</v>
      </c>
      <c r="M161" s="112">
        <v>0.776393514</v>
      </c>
      <c r="N161" s="112">
        <v>2.461023425</v>
      </c>
      <c r="O161" s="113"/>
      <c r="P161" s="114"/>
      <c r="Q161" s="114"/>
      <c r="R161" s="115" t="str">
        <f t="shared" si="8"/>
        <v/>
      </c>
      <c r="S161" s="116">
        <f t="shared" si="9"/>
        <v>0.4013436246</v>
      </c>
      <c r="T161" s="117"/>
      <c r="U161" s="118">
        <f t="shared" si="41"/>
        <v>0.3468166667</v>
      </c>
      <c r="V161" s="148"/>
      <c r="W161" s="120">
        <f t="shared" si="10"/>
        <v>1</v>
      </c>
      <c r="X161" s="148"/>
      <c r="Y161" s="120">
        <f t="shared" si="11"/>
        <v>0.71735</v>
      </c>
      <c r="Z161" s="114"/>
      <c r="AA161" s="114"/>
      <c r="AB161" s="114"/>
      <c r="AC161" s="114"/>
      <c r="AD161" s="164">
        <v>0.0</v>
      </c>
      <c r="AE161" s="123">
        <v>0.0</v>
      </c>
      <c r="AF161" s="123">
        <v>0.0</v>
      </c>
      <c r="AG161" s="124">
        <v>0.0</v>
      </c>
      <c r="AH161" s="124">
        <v>0.0</v>
      </c>
      <c r="AI161" s="125">
        <v>0.0</v>
      </c>
      <c r="AJ161" s="125">
        <v>0.0</v>
      </c>
      <c r="AK161" s="126">
        <v>0.0</v>
      </c>
      <c r="AL161" s="169">
        <v>0.0</v>
      </c>
      <c r="AM161" s="128"/>
      <c r="AN161" s="149" t="str">
        <f>IFERROR(
  AVERAGEIFS(
    'New 20102013 LF Efficacy'!$J:$J,
    'New 20102013 LF Efficacy'!$D:$D, $A161,
    'New 20102013 LF Efficacy'!$F:$F,"DEC", 
    'New 20102013 LF Efficacy'!$W:$W,"&lt;2011",
    'New 20102013 LF Efficacy'!$AA:$AA,""),
  ""
)</f>
        <v/>
      </c>
      <c r="AO161" s="115">
        <f t="shared" si="12"/>
        <v>0.3573520833</v>
      </c>
      <c r="AP161" s="121" t="str">
        <f>IFERROR(
AVERAGEIFS(
'New 20102013 LF Efficacy'!$J:$J,
'New 20102013 LF Efficacy'!$D:$D,$A161,
'New 20102013 LF Efficacy'!$F:$F,"Albendazole &amp; DEC",
'New 20102013 LF Efficacy'!$W:$W,"&lt;2011",
'New 20102013 LF Efficacy'!$AA:$AA,""),
"")
</f>
        <v/>
      </c>
      <c r="AQ161" s="115">
        <f t="shared" si="13"/>
        <v>0.5137291667</v>
      </c>
      <c r="AR161" s="121" t="str">
        <f>IFERROR(
AVERAGEIFS(
'New 20102013 LF Efficacy'!$J:$J,
'New 20102013 LF Efficacy'!$D:$D,$A161,
'New 20102013 LF Efficacy'!$F:$F,"Albendazole &amp; Ivermectin", 
'New 20102013 LF Efficacy'!$W:$W,"&lt;2011",
'New 20102013 LF Efficacy'!$AA:$AA,""),"")</f>
        <v/>
      </c>
      <c r="AS161" s="115">
        <f t="shared" si="14"/>
        <v>0.37153125</v>
      </c>
      <c r="AT161" s="130" t="str">
        <f>IFERROR(AVERAGEIFS(
'20102013 Schist Efficacy'!$O:$O, 
'20102013 Schist Efficacy'!$C:$C,$A161, 
'20102013 Schist Efficacy'!$D:$D, "Praziquantel",
'20102013 Schist Efficacy'!$J:$J,"&lt;2011",
'20102013 Schist Efficacy'!$U:$U,""),
"")</f>
        <v/>
      </c>
      <c r="AU161" s="118">
        <f t="shared" si="15"/>
        <v>0.655</v>
      </c>
      <c r="AV161" s="131" t="str">
        <f>IFERROR(AVERAGEIFS(
'20102013 STH Efficacy'!$AX:$AX, 
'20102013 STH Efficacy'!$AL:$AL, $A161, 
'20102013 STH Efficacy'!$AM:$AM, "Albendazole",
'20102013 STH Efficacy'!$AS:$AS,"&lt;2011",
'20102013 STH Efficacy'!$BP:$BP,""),
"")</f>
        <v/>
      </c>
      <c r="AW161" s="132">
        <f t="shared" si="16"/>
        <v>0.3842878788</v>
      </c>
      <c r="AX161" s="131" t="str">
        <f>IFERROR(AVERAGEIFS(
'20102013 STH Efficacy'!$AX:$AX, 
'20102013 STH Efficacy'!$AL:$AL, $A161, 
'20102013 STH Efficacy'!$AM:$AM, "Mebendazole",
'20102013 STH Efficacy'!$AS:$AS,"&lt;2011",
'20102013 STH Efficacy'!$BP:$BP,""),
"")</f>
        <v/>
      </c>
      <c r="AY161" s="132">
        <f t="shared" si="17"/>
        <v>0.5121666667</v>
      </c>
      <c r="AZ161" s="131" t="str">
        <f>IFERROR(AVERAGEIFS(
'20102013 STH Efficacy'!$AX:$AX, 
'20102013 STH Efficacy'!$AL:$AL, $A161, 
'20102013 STH Efficacy'!$AM:$AM, "Albendazole &amp; Ivermectin",
'20102013 STH Efficacy'!$AS:$AS,"&lt;2011",
'20102013 STH Efficacy'!$BP:$BP,""),
"")</f>
        <v/>
      </c>
      <c r="BA161" s="133">
        <f t="shared" si="18"/>
        <v>0.7176666667</v>
      </c>
      <c r="BB161" s="134" t="str">
        <f>IFERROR(AVERAGEIFS(
'20102013 STH Efficacy'!$N:$N, 
'20102013 STH Efficacy'!$B:$B, $A161, 
'20102013 STH Efficacy'!$C:$C, "Albendazole",
'20102013 STH Efficacy'!$I:$I,"&lt;2011",
'20102013 STH Efficacy'!$AH:$AH,""),
"")</f>
        <v/>
      </c>
      <c r="BC161" s="135">
        <f t="shared" si="19"/>
        <v>0.7630416667</v>
      </c>
      <c r="BD161" s="134" t="str">
        <f>IFERROR(AVERAGEIFS(
'20102013 STH Efficacy'!$N:$N, 
'20102013 STH Efficacy'!$B:$B, $A161, 
'20102013 STH Efficacy'!$C:$C, "Mebendazole",
'20102013 STH Efficacy'!$I:$I,"&lt;2011",
'20102013 STH Efficacy'!$AH:$AH,""),
"")</f>
        <v/>
      </c>
      <c r="BE161" s="135">
        <f t="shared" si="20"/>
        <v>0.4405966667</v>
      </c>
      <c r="BF161" s="128" t="str">
        <f>IFERROR(AVERAGEIFS(
'20102013 STH Efficacy'!$CD:$CD, 
'20102013 STH Efficacy'!$BS:$BS, $A161, 
'20102013 STH Efficacy'!$BT:$BT, "Albendazole",
'20102013 STH Efficacy'!$BZ:$BZ,"&lt;2011",
'20102013 STH Efficacy'!$CU:$CU,""),
"")</f>
        <v/>
      </c>
      <c r="BG161" s="136">
        <f t="shared" si="21"/>
        <v>0.9403222222</v>
      </c>
      <c r="BH161" s="128" t="str">
        <f>IFERROR(AVERAGEIFS(
'20102013 STH Efficacy'!$CD:$CD, 
'20102013 STH Efficacy'!$BS:$BS, $A161, 
'20102013 STH Efficacy'!$BT:$BT, "Mebendazole",
'20102013 STH Efficacy'!$BZ:$BZ,"&lt;2011",
'20102013 STH Efficacy'!$CU:$CU,""),
"")</f>
        <v/>
      </c>
      <c r="BI161" s="136">
        <f t="shared" si="22"/>
        <v>0.9229285714</v>
      </c>
      <c r="BJ161" s="128" t="str">
        <f>IFERROR(AVERAGEIFS(
'20102013 STH Efficacy'!$CD:$CD, 
'20102013 STH Efficacy'!$BS:$BS, $A161, 
'20102013 STH Efficacy'!$BT:$BT, "Albendazole &amp; Ivermectin",
'20102013 STH Efficacy'!$BZ:$BZ,"&lt;2011",
'20102013 STH Efficacy'!$CU:$CU,""),
"")</f>
        <v/>
      </c>
      <c r="BK161" s="136">
        <f t="shared" si="23"/>
        <v>1</v>
      </c>
      <c r="BL161" s="137"/>
      <c r="BM161" s="137"/>
      <c r="BN161" s="138">
        <v>0.0</v>
      </c>
      <c r="BO161" s="139">
        <v>0.0</v>
      </c>
      <c r="BP161" s="140">
        <v>0.0</v>
      </c>
      <c r="BQ161" s="141">
        <f t="shared" si="24"/>
        <v>0</v>
      </c>
      <c r="BR161" s="104" t="str">
        <f t="shared" si="25"/>
        <v>0000</v>
      </c>
      <c r="BS161" s="104" t="str">
        <f t="shared" si="26"/>
        <v>no action required</v>
      </c>
      <c r="BT161" s="142" t="str">
        <f t="shared" si="27"/>
        <v/>
      </c>
      <c r="BU161" s="104" t="str">
        <f t="shared" si="28"/>
        <v/>
      </c>
      <c r="BV161" s="104" t="str">
        <f t="shared" si="29"/>
        <v>none</v>
      </c>
      <c r="BW161" s="150" t="str">
        <f t="shared" si="30"/>
        <v/>
      </c>
      <c r="BX161" s="150" t="str">
        <f t="shared" si="31"/>
        <v/>
      </c>
      <c r="BY161" s="151" t="str">
        <f t="shared" si="32"/>
        <v/>
      </c>
      <c r="BZ161" s="152" t="str">
        <f t="shared" si="33"/>
        <v/>
      </c>
      <c r="CA161" s="152" t="str">
        <f t="shared" si="34"/>
        <v/>
      </c>
      <c r="CB161" s="152" t="str">
        <f t="shared" si="35"/>
        <v/>
      </c>
      <c r="CC161" s="153" t="str">
        <f t="shared" si="36"/>
        <v/>
      </c>
      <c r="CD161" s="153" t="str">
        <f t="shared" si="37"/>
        <v/>
      </c>
      <c r="CE161" s="154" t="str">
        <f t="shared" si="38"/>
        <v/>
      </c>
      <c r="CF161" s="154" t="str">
        <f t="shared" si="39"/>
        <v/>
      </c>
      <c r="CG161" s="154" t="str">
        <f t="shared" si="40"/>
        <v/>
      </c>
    </row>
    <row r="162">
      <c r="A162" s="155" t="s">
        <v>251</v>
      </c>
      <c r="B162" s="104" t="s">
        <v>90</v>
      </c>
      <c r="C162" s="105">
        <v>1.42849449E8</v>
      </c>
      <c r="D162" s="106">
        <v>0.0</v>
      </c>
      <c r="E162" s="107">
        <v>0.0</v>
      </c>
      <c r="F162" s="163"/>
      <c r="G162" s="163"/>
      <c r="H162" s="108">
        <v>0.0</v>
      </c>
      <c r="I162" s="109">
        <v>0.0</v>
      </c>
      <c r="J162" s="109">
        <v>0.0</v>
      </c>
      <c r="K162" s="110">
        <v>0.0</v>
      </c>
      <c r="L162" s="111">
        <v>0.0</v>
      </c>
      <c r="M162" s="112">
        <v>0.0</v>
      </c>
      <c r="N162" s="112">
        <v>0.0</v>
      </c>
      <c r="O162" s="113"/>
      <c r="P162" s="114"/>
      <c r="Q162" s="114"/>
      <c r="R162" s="115" t="str">
        <f t="shared" si="8"/>
        <v/>
      </c>
      <c r="S162" s="116">
        <f t="shared" si="9"/>
        <v>0.4013436246</v>
      </c>
      <c r="T162" s="118">
        <v>0.2474</v>
      </c>
      <c r="U162" s="118">
        <f t="shared" si="41"/>
        <v>0.2474</v>
      </c>
      <c r="V162" s="148"/>
      <c r="W162" s="120">
        <f t="shared" si="10"/>
        <v>1</v>
      </c>
      <c r="X162" s="148"/>
      <c r="Y162" s="120">
        <f t="shared" si="11"/>
        <v>0.71735</v>
      </c>
      <c r="Z162" s="121"/>
      <c r="AA162" s="121"/>
      <c r="AB162" s="121"/>
      <c r="AC162" s="121"/>
      <c r="AD162" s="122">
        <v>0.0</v>
      </c>
      <c r="AE162" s="123">
        <v>0.0</v>
      </c>
      <c r="AF162" s="123">
        <v>0.0</v>
      </c>
      <c r="AG162" s="124">
        <v>0.0</v>
      </c>
      <c r="AH162" s="124">
        <v>0.0</v>
      </c>
      <c r="AI162" s="125">
        <v>0.0</v>
      </c>
      <c r="AJ162" s="125">
        <v>0.0</v>
      </c>
      <c r="AK162" s="127">
        <v>0.0</v>
      </c>
      <c r="AL162" s="127">
        <v>0.0</v>
      </c>
      <c r="AM162" s="128"/>
      <c r="AN162" s="149" t="str">
        <f>IFERROR(
  AVERAGEIFS(
    'New 20102013 LF Efficacy'!$J:$J,
    'New 20102013 LF Efficacy'!$D:$D, $A162,
    'New 20102013 LF Efficacy'!$F:$F,"DEC", 
    'New 20102013 LF Efficacy'!$W:$W,"&lt;2011",
    'New 20102013 LF Efficacy'!$AA:$AA,""),
  ""
)</f>
        <v/>
      </c>
      <c r="AO162" s="115">
        <f t="shared" si="12"/>
        <v>0.3573520833</v>
      </c>
      <c r="AP162" s="121" t="str">
        <f>IFERROR(
AVERAGEIFS(
'New 20102013 LF Efficacy'!$J:$J,
'New 20102013 LF Efficacy'!$D:$D,$A162,
'New 20102013 LF Efficacy'!$F:$F,"Albendazole &amp; DEC",
'New 20102013 LF Efficacy'!$W:$W,"&lt;2011",
'New 20102013 LF Efficacy'!$AA:$AA,""),
"")
</f>
        <v/>
      </c>
      <c r="AQ162" s="115">
        <f t="shared" si="13"/>
        <v>0.5137291667</v>
      </c>
      <c r="AR162" s="121" t="str">
        <f>IFERROR(
AVERAGEIFS(
'New 20102013 LF Efficacy'!$J:$J,
'New 20102013 LF Efficacy'!$D:$D,$A162,
'New 20102013 LF Efficacy'!$F:$F,"Albendazole &amp; Ivermectin", 
'New 20102013 LF Efficacy'!$W:$W,"&lt;2011",
'New 20102013 LF Efficacy'!$AA:$AA,""),"")</f>
        <v/>
      </c>
      <c r="AS162" s="115">
        <f t="shared" si="14"/>
        <v>0.37153125</v>
      </c>
      <c r="AT162" s="130" t="str">
        <f>IFERROR(AVERAGEIFS(
'20102013 Schist Efficacy'!$O:$O, 
'20102013 Schist Efficacy'!$C:$C,$A162, 
'20102013 Schist Efficacy'!$D:$D, "Praziquantel",
'20102013 Schist Efficacy'!$J:$J,"&lt;2011",
'20102013 Schist Efficacy'!$U:$U,""),
"")</f>
        <v/>
      </c>
      <c r="AU162" s="118">
        <f t="shared" si="15"/>
        <v>0.655</v>
      </c>
      <c r="AV162" s="131" t="str">
        <f>IFERROR(AVERAGEIFS(
'20102013 STH Efficacy'!$AX:$AX, 
'20102013 STH Efficacy'!$AL:$AL, $A162, 
'20102013 STH Efficacy'!$AM:$AM, "Albendazole",
'20102013 STH Efficacy'!$AS:$AS,"&lt;2011",
'20102013 STH Efficacy'!$BP:$BP,""),
"")</f>
        <v/>
      </c>
      <c r="AW162" s="132">
        <f t="shared" si="16"/>
        <v>0.3842878788</v>
      </c>
      <c r="AX162" s="131" t="str">
        <f>IFERROR(AVERAGEIFS(
'20102013 STH Efficacy'!$AX:$AX, 
'20102013 STH Efficacy'!$AL:$AL, $A162, 
'20102013 STH Efficacy'!$AM:$AM, "Mebendazole",
'20102013 STH Efficacy'!$AS:$AS,"&lt;2011",
'20102013 STH Efficacy'!$BP:$BP,""),
"")</f>
        <v/>
      </c>
      <c r="AY162" s="132">
        <f t="shared" si="17"/>
        <v>0.5121666667</v>
      </c>
      <c r="AZ162" s="131" t="str">
        <f>IFERROR(AVERAGEIFS(
'20102013 STH Efficacy'!$AX:$AX, 
'20102013 STH Efficacy'!$AL:$AL, $A162, 
'20102013 STH Efficacy'!$AM:$AM, "Albendazole &amp; Ivermectin",
'20102013 STH Efficacy'!$AS:$AS,"&lt;2011",
'20102013 STH Efficacy'!$BP:$BP,""),
"")</f>
        <v/>
      </c>
      <c r="BA162" s="133">
        <f t="shared" si="18"/>
        <v>0.7176666667</v>
      </c>
      <c r="BB162" s="134" t="str">
        <f>IFERROR(AVERAGEIFS(
'20102013 STH Efficacy'!$N:$N, 
'20102013 STH Efficacy'!$B:$B, $A162, 
'20102013 STH Efficacy'!$C:$C, "Albendazole",
'20102013 STH Efficacy'!$I:$I,"&lt;2011",
'20102013 STH Efficacy'!$AH:$AH,""),
"")</f>
        <v/>
      </c>
      <c r="BC162" s="135">
        <f t="shared" si="19"/>
        <v>0.7630416667</v>
      </c>
      <c r="BD162" s="134" t="str">
        <f>IFERROR(AVERAGEIFS(
'20102013 STH Efficacy'!$N:$N, 
'20102013 STH Efficacy'!$B:$B, $A162, 
'20102013 STH Efficacy'!$C:$C, "Mebendazole",
'20102013 STH Efficacy'!$I:$I,"&lt;2011",
'20102013 STH Efficacy'!$AH:$AH,""),
"")</f>
        <v/>
      </c>
      <c r="BE162" s="135">
        <f t="shared" si="20"/>
        <v>0.4405966667</v>
      </c>
      <c r="BF162" s="128" t="str">
        <f>IFERROR(AVERAGEIFS(
'20102013 STH Efficacy'!$CD:$CD, 
'20102013 STH Efficacy'!$BS:$BS, $A162, 
'20102013 STH Efficacy'!$BT:$BT, "Albendazole",
'20102013 STH Efficacy'!$BZ:$BZ,"&lt;2011",
'20102013 STH Efficacy'!$CU:$CU,""),
"")</f>
        <v/>
      </c>
      <c r="BG162" s="136">
        <f t="shared" si="21"/>
        <v>0.9403222222</v>
      </c>
      <c r="BH162" s="128" t="str">
        <f>IFERROR(AVERAGEIFS(
'20102013 STH Efficacy'!$CD:$CD, 
'20102013 STH Efficacy'!$BS:$BS, $A162, 
'20102013 STH Efficacy'!$BT:$BT, "Mebendazole",
'20102013 STH Efficacy'!$BZ:$BZ,"&lt;2011",
'20102013 STH Efficacy'!$CU:$CU,""),
"")</f>
        <v/>
      </c>
      <c r="BI162" s="136">
        <f t="shared" si="22"/>
        <v>0.9229285714</v>
      </c>
      <c r="BJ162" s="128" t="str">
        <f>IFERROR(AVERAGEIFS(
'20102013 STH Efficacy'!$CD:$CD, 
'20102013 STH Efficacy'!$BS:$BS, $A162, 
'20102013 STH Efficacy'!$BT:$BT, "Albendazole &amp; Ivermectin",
'20102013 STH Efficacy'!$BZ:$BZ,"&lt;2011",
'20102013 STH Efficacy'!$CU:$CU,""),
"")</f>
        <v/>
      </c>
      <c r="BK162" s="136">
        <f t="shared" si="23"/>
        <v>1</v>
      </c>
      <c r="BL162" s="137"/>
      <c r="BM162" s="137"/>
      <c r="BN162" s="138">
        <v>0.0</v>
      </c>
      <c r="BO162" s="139">
        <v>0.0</v>
      </c>
      <c r="BP162" s="140">
        <v>0.0</v>
      </c>
      <c r="BQ162" s="141">
        <f t="shared" si="24"/>
        <v>0</v>
      </c>
      <c r="BR162" s="104" t="str">
        <f t="shared" si="25"/>
        <v>0000</v>
      </c>
      <c r="BS162" s="104" t="str">
        <f t="shared" si="26"/>
        <v>no action required</v>
      </c>
      <c r="BT162" s="142" t="str">
        <f t="shared" si="27"/>
        <v/>
      </c>
      <c r="BU162" s="104" t="str">
        <f t="shared" si="28"/>
        <v/>
      </c>
      <c r="BV162" s="104" t="str">
        <f t="shared" si="29"/>
        <v>none</v>
      </c>
      <c r="BW162" s="150" t="str">
        <f t="shared" si="30"/>
        <v/>
      </c>
      <c r="BX162" s="150" t="str">
        <f t="shared" si="31"/>
        <v/>
      </c>
      <c r="BY162" s="151" t="str">
        <f t="shared" si="32"/>
        <v/>
      </c>
      <c r="BZ162" s="152" t="str">
        <f t="shared" si="33"/>
        <v/>
      </c>
      <c r="CA162" s="152" t="str">
        <f t="shared" si="34"/>
        <v/>
      </c>
      <c r="CB162" s="152" t="str">
        <f t="shared" si="35"/>
        <v/>
      </c>
      <c r="CC162" s="153" t="str">
        <f t="shared" si="36"/>
        <v/>
      </c>
      <c r="CD162" s="153" t="str">
        <f t="shared" si="37"/>
        <v/>
      </c>
      <c r="CE162" s="154" t="str">
        <f t="shared" si="38"/>
        <v/>
      </c>
      <c r="CF162" s="154" t="str">
        <f t="shared" si="39"/>
        <v/>
      </c>
      <c r="CG162" s="154" t="str">
        <f t="shared" si="40"/>
        <v/>
      </c>
    </row>
    <row r="163">
      <c r="A163" s="103" t="s">
        <v>252</v>
      </c>
      <c r="B163" s="104" t="s">
        <v>92</v>
      </c>
      <c r="C163" s="105">
        <v>1.0246842E7</v>
      </c>
      <c r="D163" s="106">
        <v>0.0</v>
      </c>
      <c r="E163" s="107">
        <v>11511.81529</v>
      </c>
      <c r="F163" s="157">
        <v>130.4489548</v>
      </c>
      <c r="G163" s="157">
        <v>510.0958841</v>
      </c>
      <c r="H163" s="157">
        <v>640.5448389</v>
      </c>
      <c r="I163" s="110">
        <v>1181.55794</v>
      </c>
      <c r="J163" s="110">
        <v>2999.13125</v>
      </c>
      <c r="K163" s="110">
        <v>4180.689185</v>
      </c>
      <c r="L163" s="111">
        <v>3241.438843</v>
      </c>
      <c r="M163" s="111">
        <v>1889.75286</v>
      </c>
      <c r="N163" s="112">
        <v>5131.191703</v>
      </c>
      <c r="O163" s="113"/>
      <c r="P163" s="156"/>
      <c r="Q163" s="156"/>
      <c r="R163" s="115" t="str">
        <f t="shared" si="8"/>
        <v/>
      </c>
      <c r="S163" s="116">
        <f t="shared" si="9"/>
        <v>0.1716437208</v>
      </c>
      <c r="T163" s="117"/>
      <c r="U163" s="118">
        <f t="shared" si="41"/>
        <v>0.252</v>
      </c>
      <c r="V163" s="119">
        <v>0.9953</v>
      </c>
      <c r="W163" s="120">
        <f t="shared" si="10"/>
        <v>0.9953</v>
      </c>
      <c r="X163" s="119">
        <v>1.0</v>
      </c>
      <c r="Y163" s="120">
        <f t="shared" si="11"/>
        <v>1</v>
      </c>
      <c r="Z163" s="121"/>
      <c r="AA163" s="121"/>
      <c r="AB163" s="121"/>
      <c r="AC163" s="121"/>
      <c r="AD163" s="122">
        <v>0.0</v>
      </c>
      <c r="AE163" s="123">
        <v>0.1</v>
      </c>
      <c r="AF163" s="123">
        <v>0.0291</v>
      </c>
      <c r="AG163" s="167">
        <v>0.0</v>
      </c>
      <c r="AH163" s="124">
        <v>0.196341148</v>
      </c>
      <c r="AI163" s="168">
        <v>0.0</v>
      </c>
      <c r="AJ163" s="125">
        <v>0.259073341</v>
      </c>
      <c r="AK163" s="127">
        <v>0.18</v>
      </c>
      <c r="AL163" s="127">
        <v>0.266508309</v>
      </c>
      <c r="AM163" s="128"/>
      <c r="AN163" s="149" t="str">
        <f>IFERROR(
  AVERAGEIFS(
    'New 20102013 LF Efficacy'!$J:$J,
    'New 20102013 LF Efficacy'!$D:$D, $A163,
    'New 20102013 LF Efficacy'!$F:$F,"DEC", 
    'New 20102013 LF Efficacy'!$W:$W,"&lt;2011",
    'New 20102013 LF Efficacy'!$AA:$AA,""),
  ""
)</f>
        <v/>
      </c>
      <c r="AO163" s="115">
        <f t="shared" si="12"/>
        <v>0.31225</v>
      </c>
      <c r="AP163" s="121" t="str">
        <f>IFERROR(
AVERAGEIFS(
'New 20102013 LF Efficacy'!$J:$J,
'New 20102013 LF Efficacy'!$D:$D,$A163,
'New 20102013 LF Efficacy'!$F:$F,"Albendazole &amp; DEC",
'New 20102013 LF Efficacy'!$W:$W,"&lt;2011",
'New 20102013 LF Efficacy'!$AA:$AA,""),
"")
</f>
        <v/>
      </c>
      <c r="AQ163" s="115">
        <f t="shared" si="13"/>
        <v>0.4</v>
      </c>
      <c r="AR163" s="121" t="str">
        <f>IFERROR(
AVERAGEIFS(
'New 20102013 LF Efficacy'!$J:$J,
'New 20102013 LF Efficacy'!$D:$D,$A163,
'New 20102013 LF Efficacy'!$F:$F,"Albendazole &amp; Ivermectin", 
'New 20102013 LF Efficacy'!$W:$W,"&lt;2011",
'New 20102013 LF Efficacy'!$AA:$AA,""),"")</f>
        <v/>
      </c>
      <c r="AS163" s="115">
        <f t="shared" si="14"/>
        <v>0.2943125</v>
      </c>
      <c r="AT163" s="130" t="str">
        <f>IFERROR(AVERAGEIFS(
'20102013 Schist Efficacy'!$O:$O, 
'20102013 Schist Efficacy'!$C:$C,$A163, 
'20102013 Schist Efficacy'!$D:$D, "Praziquantel",
'20102013 Schist Efficacy'!$J:$J,"&lt;2011",
'20102013 Schist Efficacy'!$U:$U,""),
"")</f>
        <v/>
      </c>
      <c r="AU163" s="118">
        <f t="shared" si="15"/>
        <v>0.6444020147</v>
      </c>
      <c r="AV163" s="131" t="str">
        <f>IFERROR(AVERAGEIFS(
'20102013 STH Efficacy'!$AX:$AX, 
'20102013 STH Efficacy'!$AL:$AL, $A163, 
'20102013 STH Efficacy'!$AM:$AM, "Albendazole",
'20102013 STH Efficacy'!$AS:$AS,"&lt;2011",
'20102013 STH Efficacy'!$BP:$BP,""),
"")</f>
        <v/>
      </c>
      <c r="AW163" s="132">
        <f t="shared" si="16"/>
        <v>0.3538333333</v>
      </c>
      <c r="AX163" s="131" t="str">
        <f>IFERROR(AVERAGEIFS(
'20102013 STH Efficacy'!$AX:$AX, 
'20102013 STH Efficacy'!$AL:$AL, $A163, 
'20102013 STH Efficacy'!$AM:$AM, "Mebendazole",
'20102013 STH Efficacy'!$AS:$AS,"&lt;2011",
'20102013 STH Efficacy'!$BP:$BP,""),
"")</f>
        <v/>
      </c>
      <c r="AY163" s="132">
        <f t="shared" si="17"/>
        <v>0.5918333333</v>
      </c>
      <c r="AZ163" s="131" t="str">
        <f>IFERROR(AVERAGEIFS(
'20102013 STH Efficacy'!$AX:$AX, 
'20102013 STH Efficacy'!$AL:$AL, $A163, 
'20102013 STH Efficacy'!$AM:$AM, "Albendazole &amp; Ivermectin",
'20102013 STH Efficacy'!$AS:$AS,"&lt;2011",
'20102013 STH Efficacy'!$BP:$BP,""),
"")</f>
        <v/>
      </c>
      <c r="BA163" s="133">
        <f t="shared" si="18"/>
        <v>0.706</v>
      </c>
      <c r="BB163" s="134" t="str">
        <f>IFERROR(AVERAGEIFS(
'20102013 STH Efficacy'!$N:$N, 
'20102013 STH Efficacy'!$B:$B, $A163, 
'20102013 STH Efficacy'!$C:$C, "Albendazole",
'20102013 STH Efficacy'!$I:$I,"&lt;2011",
'20102013 STH Efficacy'!$AH:$AH,""),
"")</f>
        <v/>
      </c>
      <c r="BC163" s="135">
        <f t="shared" si="19"/>
        <v>0.9116666667</v>
      </c>
      <c r="BD163" s="134" t="str">
        <f>IFERROR(AVERAGEIFS(
'20102013 STH Efficacy'!$N:$N, 
'20102013 STH Efficacy'!$B:$B, $A163, 
'20102013 STH Efficacy'!$C:$C, "Mebendazole",
'20102013 STH Efficacy'!$I:$I,"&lt;2011",
'20102013 STH Efficacy'!$AH:$AH,""),
"")</f>
        <v/>
      </c>
      <c r="BE163" s="135">
        <f t="shared" si="20"/>
        <v>0.7092416667</v>
      </c>
      <c r="BF163" s="128" t="str">
        <f>IFERROR(AVERAGEIFS(
'20102013 STH Efficacy'!$CD:$CD, 
'20102013 STH Efficacy'!$BS:$BS, $A163, 
'20102013 STH Efficacy'!$BT:$BT, "Albendazole",
'20102013 STH Efficacy'!$BZ:$BZ,"&lt;2011",
'20102013 STH Efficacy'!$CU:$CU,""),
"")</f>
        <v/>
      </c>
      <c r="BG163" s="136">
        <f t="shared" si="21"/>
        <v>0.8656666667</v>
      </c>
      <c r="BH163" s="128" t="str">
        <f>IFERROR(AVERAGEIFS(
'20102013 STH Efficacy'!$CD:$CD, 
'20102013 STH Efficacy'!$BS:$BS, $A163, 
'20102013 STH Efficacy'!$BT:$BT, "Mebendazole",
'20102013 STH Efficacy'!$BZ:$BZ,"&lt;2011",
'20102013 STH Efficacy'!$CU:$CU,""),
"")</f>
        <v/>
      </c>
      <c r="BI163" s="136">
        <f t="shared" si="22"/>
        <v>0.9203333333</v>
      </c>
      <c r="BJ163" s="128" t="str">
        <f>IFERROR(AVERAGEIFS(
'20102013 STH Efficacy'!$CD:$CD, 
'20102013 STH Efficacy'!$BS:$BS, $A163, 
'20102013 STH Efficacy'!$BT:$BT, "Albendazole &amp; Ivermectin",
'20102013 STH Efficacy'!$BZ:$BZ,"&lt;2011",
'20102013 STH Efficacy'!$CU:$CU,""),
"")</f>
        <v/>
      </c>
      <c r="BK163" s="136">
        <f t="shared" si="23"/>
        <v>1</v>
      </c>
      <c r="BL163" s="137"/>
      <c r="BM163" s="137"/>
      <c r="BN163" s="138">
        <v>0.0</v>
      </c>
      <c r="BO163" s="139">
        <v>1.0</v>
      </c>
      <c r="BP163" s="140">
        <v>1.0</v>
      </c>
      <c r="BQ163" s="141">
        <f t="shared" si="24"/>
        <v>1</v>
      </c>
      <c r="BR163" s="104" t="str">
        <f t="shared" si="25"/>
        <v>0111</v>
      </c>
      <c r="BS163" s="104" t="str">
        <f t="shared" si="26"/>
        <v>MDA1+T2</v>
      </c>
      <c r="BT163" s="142" t="str">
        <f t="shared" si="27"/>
        <v>IVM+ALB</v>
      </c>
      <c r="BU163" s="104" t="str">
        <f t="shared" si="28"/>
        <v>PZQ</v>
      </c>
      <c r="BV163" s="104" t="str">
        <f t="shared" si="29"/>
        <v>onch+schist+sth</v>
      </c>
      <c r="BW163" s="150" t="str">
        <f t="shared" si="30"/>
        <v/>
      </c>
      <c r="BX163" s="150" t="str">
        <f t="shared" si="31"/>
        <v/>
      </c>
      <c r="BY163" s="162">
        <f t="shared" si="32"/>
        <v>2231.819307</v>
      </c>
      <c r="BZ163" s="152">
        <f t="shared" si="33"/>
        <v>350.2366449</v>
      </c>
      <c r="CA163" s="152" t="str">
        <f t="shared" si="34"/>
        <v/>
      </c>
      <c r="CB163" s="152">
        <f t="shared" si="35"/>
        <v>1533.227175</v>
      </c>
      <c r="CC163" s="170">
        <f t="shared" si="36"/>
        <v>42529.04224</v>
      </c>
      <c r="CD163" s="153" t="str">
        <f t="shared" si="37"/>
        <v/>
      </c>
      <c r="CE163" s="154">
        <f t="shared" si="38"/>
        <v>32356.91554</v>
      </c>
      <c r="CF163" s="154" t="str">
        <f t="shared" si="39"/>
        <v/>
      </c>
      <c r="CG163" s="154" t="str">
        <f t="shared" si="40"/>
        <v/>
      </c>
    </row>
    <row r="164">
      <c r="A164" s="103" t="s">
        <v>253</v>
      </c>
      <c r="B164" s="104" t="s">
        <v>98</v>
      </c>
      <c r="C164" s="105">
        <v>51445.0</v>
      </c>
      <c r="D164" s="106">
        <v>0.0</v>
      </c>
      <c r="E164" s="107">
        <v>0.0</v>
      </c>
      <c r="F164" s="177"/>
      <c r="G164" s="163"/>
      <c r="H164" s="157">
        <v>0.0</v>
      </c>
      <c r="I164" s="110">
        <v>0.0</v>
      </c>
      <c r="J164" s="109">
        <v>0.0</v>
      </c>
      <c r="K164" s="110">
        <v>0.0</v>
      </c>
      <c r="L164" s="178"/>
      <c r="M164" s="113"/>
      <c r="N164" s="112">
        <v>0.0</v>
      </c>
      <c r="O164" s="113"/>
      <c r="P164" s="114"/>
      <c r="Q164" s="114"/>
      <c r="R164" s="115" t="str">
        <f t="shared" si="8"/>
        <v/>
      </c>
      <c r="S164" s="116">
        <f t="shared" si="9"/>
        <v>0.14553293</v>
      </c>
      <c r="T164" s="117"/>
      <c r="U164" s="118">
        <f t="shared" si="41"/>
        <v>0.39435</v>
      </c>
      <c r="V164" s="148"/>
      <c r="W164" s="120">
        <f t="shared" si="10"/>
        <v>0.3616</v>
      </c>
      <c r="X164" s="148"/>
      <c r="Y164" s="120">
        <f t="shared" si="11"/>
        <v>0.5015615385</v>
      </c>
      <c r="Z164" s="114"/>
      <c r="AA164" s="114"/>
      <c r="AB164" s="114"/>
      <c r="AC164" s="114"/>
      <c r="AD164" s="164">
        <v>0.0</v>
      </c>
      <c r="AE164" s="165">
        <v>0.0</v>
      </c>
      <c r="AF164" s="166">
        <v>0.0</v>
      </c>
      <c r="AG164" s="167">
        <v>0.0</v>
      </c>
      <c r="AH164" s="172">
        <v>0.0</v>
      </c>
      <c r="AI164" s="168">
        <v>0.0</v>
      </c>
      <c r="AJ164" s="173">
        <v>0.0</v>
      </c>
      <c r="AK164" s="126">
        <v>0.0</v>
      </c>
      <c r="AL164" s="169">
        <v>0.0</v>
      </c>
      <c r="AM164" s="128"/>
      <c r="AN164" s="149" t="str">
        <f>IFERROR(
  AVERAGEIFS(
    'New 20102013 LF Efficacy'!$J:$J,
    'New 20102013 LF Efficacy'!$D:$D, $A164,
    'New 20102013 LF Efficacy'!$F:$F,"DEC", 
    'New 20102013 LF Efficacy'!$W:$W,"&lt;2011",
    'New 20102013 LF Efficacy'!$AA:$AA,""),
  ""
)</f>
        <v/>
      </c>
      <c r="AO164" s="115">
        <f t="shared" si="12"/>
        <v>0.2589833333</v>
      </c>
      <c r="AP164" s="121" t="str">
        <f>IFERROR(
AVERAGEIFS(
'New 20102013 LF Efficacy'!$J:$J,
'New 20102013 LF Efficacy'!$D:$D,$A164,
'New 20102013 LF Efficacy'!$F:$F,"Albendazole &amp; DEC",
'New 20102013 LF Efficacy'!$W:$W,"&lt;2011",
'New 20102013 LF Efficacy'!$AA:$AA,""),
"")
</f>
        <v/>
      </c>
      <c r="AQ164" s="115">
        <f t="shared" si="13"/>
        <v>0.3465</v>
      </c>
      <c r="AR164" s="121" t="str">
        <f>IFERROR(
AVERAGEIFS(
'New 20102013 LF Efficacy'!$J:$J,
'New 20102013 LF Efficacy'!$D:$D,$A164,
'New 20102013 LF Efficacy'!$F:$F,"Albendazole &amp; Ivermectin", 
'New 20102013 LF Efficacy'!$W:$W,"&lt;2011",
'New 20102013 LF Efficacy'!$AA:$AA,""),"")</f>
        <v/>
      </c>
      <c r="AS164" s="115">
        <f t="shared" si="14"/>
        <v>0.7575</v>
      </c>
      <c r="AT164" s="130" t="str">
        <f>IFERROR(AVERAGEIFS(
'20102013 Schist Efficacy'!$O:$O, 
'20102013 Schist Efficacy'!$C:$C,$A164, 
'20102013 Schist Efficacy'!$D:$D, "Praziquantel",
'20102013 Schist Efficacy'!$J:$J,"&lt;2011",
'20102013 Schist Efficacy'!$U:$U,""),
"")</f>
        <v/>
      </c>
      <c r="AU164" s="118">
        <f t="shared" si="15"/>
        <v>0.7732631579</v>
      </c>
      <c r="AV164" s="131" t="str">
        <f>IFERROR(AVERAGEIFS(
'20102013 STH Efficacy'!$AX:$AX, 
'20102013 STH Efficacy'!$AL:$AL, $A164, 
'20102013 STH Efficacy'!$AM:$AM, "Albendazole",
'20102013 STH Efficacy'!$AS:$AS,"&lt;2011",
'20102013 STH Efficacy'!$BP:$BP,""),
"")</f>
        <v/>
      </c>
      <c r="AW164" s="132">
        <f t="shared" si="16"/>
        <v>0.3945</v>
      </c>
      <c r="AX164" s="131" t="str">
        <f>IFERROR(AVERAGEIFS(
'20102013 STH Efficacy'!$AX:$AX, 
'20102013 STH Efficacy'!$AL:$AL, $A164, 
'20102013 STH Efficacy'!$AM:$AM, "Mebendazole",
'20102013 STH Efficacy'!$AS:$AS,"&lt;2011",
'20102013 STH Efficacy'!$BP:$BP,""),
"")</f>
        <v/>
      </c>
      <c r="AY164" s="132">
        <f t="shared" si="17"/>
        <v>0.6</v>
      </c>
      <c r="AZ164" s="131" t="str">
        <f>IFERROR(AVERAGEIFS(
'20102013 STH Efficacy'!$AX:$AX, 
'20102013 STH Efficacy'!$AL:$AL, $A164, 
'20102013 STH Efficacy'!$AM:$AM, "Albendazole &amp; Ivermectin",
'20102013 STH Efficacy'!$AS:$AS,"&lt;2011",
'20102013 STH Efficacy'!$BP:$BP,""),
"")</f>
        <v/>
      </c>
      <c r="BA164" s="133">
        <f t="shared" si="18"/>
        <v>0.796</v>
      </c>
      <c r="BB164" s="134" t="str">
        <f>IFERROR(AVERAGEIFS(
'20102013 STH Efficacy'!$N:$N, 
'20102013 STH Efficacy'!$B:$B, $A164, 
'20102013 STH Efficacy'!$C:$C, "Albendazole",
'20102013 STH Efficacy'!$I:$I,"&lt;2011",
'20102013 STH Efficacy'!$AH:$AH,""),
"")</f>
        <v/>
      </c>
      <c r="BC164" s="135">
        <f t="shared" si="19"/>
        <v>0.869</v>
      </c>
      <c r="BD164" s="134" t="str">
        <f>IFERROR(AVERAGEIFS(
'20102013 STH Efficacy'!$N:$N, 
'20102013 STH Efficacy'!$B:$B, $A164, 
'20102013 STH Efficacy'!$C:$C, "Mebendazole",
'20102013 STH Efficacy'!$I:$I,"&lt;2011",
'20102013 STH Efficacy'!$AH:$AH,""),
"")</f>
        <v/>
      </c>
      <c r="BE164" s="135">
        <f t="shared" si="20"/>
        <v>0.172</v>
      </c>
      <c r="BF164" s="128" t="str">
        <f>IFERROR(AVERAGEIFS(
'20102013 STH Efficacy'!$CD:$CD, 
'20102013 STH Efficacy'!$BS:$BS, $A164, 
'20102013 STH Efficacy'!$BT:$BT, "Albendazole",
'20102013 STH Efficacy'!$BZ:$BZ,"&lt;2011",
'20102013 STH Efficacy'!$CU:$CU,""),
"")</f>
        <v/>
      </c>
      <c r="BG164" s="136">
        <f t="shared" si="21"/>
        <v>0.9862</v>
      </c>
      <c r="BH164" s="128" t="str">
        <f>IFERROR(AVERAGEIFS(
'20102013 STH Efficacy'!$CD:$CD, 
'20102013 STH Efficacy'!$BS:$BS, $A164, 
'20102013 STH Efficacy'!$BT:$BT, "Mebendazole",
'20102013 STH Efficacy'!$BZ:$BZ,"&lt;2011",
'20102013 STH Efficacy'!$CU:$CU,""),
"")</f>
        <v/>
      </c>
      <c r="BI164" s="136">
        <f t="shared" si="22"/>
        <v>0.769</v>
      </c>
      <c r="BJ164" s="128" t="str">
        <f>IFERROR(AVERAGEIFS(
'20102013 STH Efficacy'!$CD:$CD, 
'20102013 STH Efficacy'!$BS:$BS, $A164, 
'20102013 STH Efficacy'!$BT:$BT, "Albendazole &amp; Ivermectin",
'20102013 STH Efficacy'!$BZ:$BZ,"&lt;2011",
'20102013 STH Efficacy'!$CU:$CU,""),
"")</f>
        <v/>
      </c>
      <c r="BK164" s="136">
        <f t="shared" si="23"/>
        <v>1</v>
      </c>
      <c r="BL164" s="137"/>
      <c r="BM164" s="137"/>
      <c r="BN164" s="138">
        <v>0.0</v>
      </c>
      <c r="BO164" s="139">
        <v>0.0</v>
      </c>
      <c r="BP164" s="140">
        <v>0.0</v>
      </c>
      <c r="BQ164" s="141">
        <f t="shared" si="24"/>
        <v>0</v>
      </c>
      <c r="BR164" s="104" t="str">
        <f t="shared" si="25"/>
        <v>0000</v>
      </c>
      <c r="BS164" s="104" t="str">
        <f t="shared" si="26"/>
        <v>no action required</v>
      </c>
      <c r="BT164" s="142" t="str">
        <f t="shared" si="27"/>
        <v/>
      </c>
      <c r="BU164" s="104" t="str">
        <f t="shared" si="28"/>
        <v/>
      </c>
      <c r="BV164" s="104" t="str">
        <f t="shared" si="29"/>
        <v>none</v>
      </c>
      <c r="BW164" s="150" t="str">
        <f t="shared" si="30"/>
        <v/>
      </c>
      <c r="BX164" s="150" t="str">
        <f t="shared" si="31"/>
        <v/>
      </c>
      <c r="BY164" s="151" t="str">
        <f t="shared" si="32"/>
        <v/>
      </c>
      <c r="BZ164" s="152" t="str">
        <f t="shared" si="33"/>
        <v/>
      </c>
      <c r="CA164" s="152" t="str">
        <f t="shared" si="34"/>
        <v/>
      </c>
      <c r="CB164" s="152" t="str">
        <f t="shared" si="35"/>
        <v/>
      </c>
      <c r="CC164" s="153" t="str">
        <f t="shared" si="36"/>
        <v/>
      </c>
      <c r="CD164" s="153" t="str">
        <f t="shared" si="37"/>
        <v/>
      </c>
      <c r="CE164" s="154" t="str">
        <f t="shared" si="38"/>
        <v/>
      </c>
      <c r="CF164" s="154" t="str">
        <f t="shared" si="39"/>
        <v/>
      </c>
      <c r="CG164" s="154" t="str">
        <f t="shared" si="40"/>
        <v/>
      </c>
    </row>
    <row r="165">
      <c r="A165" s="103" t="s">
        <v>254</v>
      </c>
      <c r="B165" s="104" t="s">
        <v>98</v>
      </c>
      <c r="C165" s="105">
        <v>172580.0</v>
      </c>
      <c r="D165" s="106">
        <v>0.0</v>
      </c>
      <c r="E165" s="107">
        <v>28.68391488</v>
      </c>
      <c r="F165" s="157">
        <v>0.1998639</v>
      </c>
      <c r="G165" s="108">
        <v>1.386737193</v>
      </c>
      <c r="H165" s="108">
        <v>1.586601093</v>
      </c>
      <c r="I165" s="109">
        <v>3.50137914</v>
      </c>
      <c r="J165" s="109">
        <v>16.0868507</v>
      </c>
      <c r="K165" s="109">
        <v>19.58822985</v>
      </c>
      <c r="L165" s="112">
        <v>1.246582724</v>
      </c>
      <c r="M165" s="112">
        <v>4.221302209</v>
      </c>
      <c r="N165" s="112">
        <v>5.467884933</v>
      </c>
      <c r="O165" s="113"/>
      <c r="P165" s="114"/>
      <c r="Q165" s="114"/>
      <c r="R165" s="115" t="str">
        <f t="shared" si="8"/>
        <v/>
      </c>
      <c r="S165" s="116">
        <f t="shared" si="9"/>
        <v>0.14553293</v>
      </c>
      <c r="T165" s="117"/>
      <c r="U165" s="118">
        <f t="shared" si="41"/>
        <v>0.39435</v>
      </c>
      <c r="V165" s="148"/>
      <c r="W165" s="120">
        <f t="shared" si="10"/>
        <v>0.3616</v>
      </c>
      <c r="X165" s="148"/>
      <c r="Y165" s="120">
        <f t="shared" si="11"/>
        <v>0.5015615385</v>
      </c>
      <c r="Z165" s="121"/>
      <c r="AA165" s="121"/>
      <c r="AB165" s="121"/>
      <c r="AC165" s="121"/>
      <c r="AD165" s="122">
        <v>0.0</v>
      </c>
      <c r="AE165" s="123">
        <v>0.02</v>
      </c>
      <c r="AF165" s="123">
        <v>5.0E-4</v>
      </c>
      <c r="AG165" s="124">
        <v>0.0873</v>
      </c>
      <c r="AH165" s="124">
        <v>0.139985537</v>
      </c>
      <c r="AI165" s="125">
        <v>0.0824</v>
      </c>
      <c r="AJ165" s="125">
        <v>0.131212416</v>
      </c>
      <c r="AK165" s="127">
        <v>0.12</v>
      </c>
      <c r="AL165" s="169">
        <v>0.185311732</v>
      </c>
      <c r="AM165" s="128"/>
      <c r="AN165" s="149" t="str">
        <f>IFERROR(
  AVERAGEIFS(
    'New 20102013 LF Efficacy'!$J:$J,
    'New 20102013 LF Efficacy'!$D:$D, $A165,
    'New 20102013 LF Efficacy'!$F:$F,"DEC", 
    'New 20102013 LF Efficacy'!$W:$W,"&lt;2011",
    'New 20102013 LF Efficacy'!$AA:$AA,""),
  ""
)</f>
        <v/>
      </c>
      <c r="AO165" s="115">
        <f t="shared" si="12"/>
        <v>0.2589833333</v>
      </c>
      <c r="AP165" s="121" t="str">
        <f>IFERROR(
AVERAGEIFS(
'New 20102013 LF Efficacy'!$J:$J,
'New 20102013 LF Efficacy'!$D:$D,$A165,
'New 20102013 LF Efficacy'!$F:$F,"Albendazole &amp; DEC",
'New 20102013 LF Efficacy'!$W:$W,"&lt;2011",
'New 20102013 LF Efficacy'!$AA:$AA,""),
"")
</f>
        <v/>
      </c>
      <c r="AQ165" s="115">
        <f t="shared" si="13"/>
        <v>0.3465</v>
      </c>
      <c r="AR165" s="121" t="str">
        <f>IFERROR(
AVERAGEIFS(
'New 20102013 LF Efficacy'!$J:$J,
'New 20102013 LF Efficacy'!$D:$D,$A165,
'New 20102013 LF Efficacy'!$F:$F,"Albendazole &amp; Ivermectin", 
'New 20102013 LF Efficacy'!$W:$W,"&lt;2011",
'New 20102013 LF Efficacy'!$AA:$AA,""),"")</f>
        <v/>
      </c>
      <c r="AS165" s="115">
        <f t="shared" si="14"/>
        <v>0.7575</v>
      </c>
      <c r="AT165" s="130" t="str">
        <f>IFERROR(AVERAGEIFS(
'20102013 Schist Efficacy'!$O:$O, 
'20102013 Schist Efficacy'!$C:$C,$A165, 
'20102013 Schist Efficacy'!$D:$D, "Praziquantel",
'20102013 Schist Efficacy'!$J:$J,"&lt;2011",
'20102013 Schist Efficacy'!$U:$U,""),
"")</f>
        <v/>
      </c>
      <c r="AU165" s="118">
        <f t="shared" si="15"/>
        <v>0.7732631579</v>
      </c>
      <c r="AV165" s="131" t="str">
        <f>IFERROR(AVERAGEIFS(
'20102013 STH Efficacy'!$AX:$AX, 
'20102013 STH Efficacy'!$AL:$AL, $A165, 
'20102013 STH Efficacy'!$AM:$AM, "Albendazole",
'20102013 STH Efficacy'!$AS:$AS,"&lt;2011",
'20102013 STH Efficacy'!$BP:$BP,""),
"")</f>
        <v/>
      </c>
      <c r="AW165" s="132">
        <f t="shared" si="16"/>
        <v>0.3945</v>
      </c>
      <c r="AX165" s="131" t="str">
        <f>IFERROR(AVERAGEIFS(
'20102013 STH Efficacy'!$AX:$AX, 
'20102013 STH Efficacy'!$AL:$AL, $A165, 
'20102013 STH Efficacy'!$AM:$AM, "Mebendazole",
'20102013 STH Efficacy'!$AS:$AS,"&lt;2011",
'20102013 STH Efficacy'!$BP:$BP,""),
"")</f>
        <v/>
      </c>
      <c r="AY165" s="132">
        <f t="shared" si="17"/>
        <v>0.6</v>
      </c>
      <c r="AZ165" s="131" t="str">
        <f>IFERROR(AVERAGEIFS(
'20102013 STH Efficacy'!$AX:$AX, 
'20102013 STH Efficacy'!$AL:$AL, $A165, 
'20102013 STH Efficacy'!$AM:$AM, "Albendazole &amp; Ivermectin",
'20102013 STH Efficacy'!$AS:$AS,"&lt;2011",
'20102013 STH Efficacy'!$BP:$BP,""),
"")</f>
        <v/>
      </c>
      <c r="BA165" s="133">
        <f t="shared" si="18"/>
        <v>0.796</v>
      </c>
      <c r="BB165" s="134" t="str">
        <f>IFERROR(AVERAGEIFS(
'20102013 STH Efficacy'!$N:$N, 
'20102013 STH Efficacy'!$B:$B, $A165, 
'20102013 STH Efficacy'!$C:$C, "Albendazole",
'20102013 STH Efficacy'!$I:$I,"&lt;2011",
'20102013 STH Efficacy'!$AH:$AH,""),
"")</f>
        <v/>
      </c>
      <c r="BC165" s="135">
        <f t="shared" si="19"/>
        <v>0.869</v>
      </c>
      <c r="BD165" s="134" t="str">
        <f>IFERROR(AVERAGEIFS(
'20102013 STH Efficacy'!$N:$N, 
'20102013 STH Efficacy'!$B:$B, $A165, 
'20102013 STH Efficacy'!$C:$C, "Mebendazole",
'20102013 STH Efficacy'!$I:$I,"&lt;2011",
'20102013 STH Efficacy'!$AH:$AH,""),
"")</f>
        <v/>
      </c>
      <c r="BE165" s="135">
        <f t="shared" si="20"/>
        <v>0.172</v>
      </c>
      <c r="BF165" s="128" t="str">
        <f>IFERROR(AVERAGEIFS(
'20102013 STH Efficacy'!$CD:$CD, 
'20102013 STH Efficacy'!$BS:$BS, $A165, 
'20102013 STH Efficacy'!$BT:$BT, "Albendazole",
'20102013 STH Efficacy'!$BZ:$BZ,"&lt;2011",
'20102013 STH Efficacy'!$CU:$CU,""),
"")</f>
        <v/>
      </c>
      <c r="BG165" s="136">
        <f t="shared" si="21"/>
        <v>0.9862</v>
      </c>
      <c r="BH165" s="128" t="str">
        <f>IFERROR(AVERAGEIFS(
'20102013 STH Efficacy'!$CD:$CD, 
'20102013 STH Efficacy'!$BS:$BS, $A165, 
'20102013 STH Efficacy'!$BT:$BT, "Mebendazole",
'20102013 STH Efficacy'!$BZ:$BZ,"&lt;2011",
'20102013 STH Efficacy'!$CU:$CU,""),
"")</f>
        <v/>
      </c>
      <c r="BI165" s="136">
        <f t="shared" si="22"/>
        <v>0.769</v>
      </c>
      <c r="BJ165" s="128" t="str">
        <f>IFERROR(AVERAGEIFS(
'20102013 STH Efficacy'!$CD:$CD, 
'20102013 STH Efficacy'!$BS:$BS, $A165, 
'20102013 STH Efficacy'!$BT:$BT, "Albendazole &amp; Ivermectin",
'20102013 STH Efficacy'!$BZ:$BZ,"&lt;2011",
'20102013 STH Efficacy'!$CU:$CU,""),
"")</f>
        <v/>
      </c>
      <c r="BK165" s="136">
        <f t="shared" si="23"/>
        <v>1</v>
      </c>
      <c r="BL165" s="137"/>
      <c r="BM165" s="137"/>
      <c r="BN165" s="138">
        <v>0.0</v>
      </c>
      <c r="BO165" s="139">
        <v>0.0</v>
      </c>
      <c r="BP165" s="140">
        <v>0.0</v>
      </c>
      <c r="BQ165" s="141">
        <f t="shared" si="24"/>
        <v>0</v>
      </c>
      <c r="BR165" s="104" t="str">
        <f t="shared" si="25"/>
        <v>0000</v>
      </c>
      <c r="BS165" s="104" t="str">
        <f t="shared" si="26"/>
        <v>no action required</v>
      </c>
      <c r="BT165" s="142" t="str">
        <f t="shared" si="27"/>
        <v/>
      </c>
      <c r="BU165" s="104" t="str">
        <f t="shared" si="28"/>
        <v/>
      </c>
      <c r="BV165" s="104" t="str">
        <f t="shared" si="29"/>
        <v>none</v>
      </c>
      <c r="BW165" s="150" t="str">
        <f t="shared" si="30"/>
        <v/>
      </c>
      <c r="BX165" s="150" t="str">
        <f t="shared" si="31"/>
        <v/>
      </c>
      <c r="BY165" s="151" t="str">
        <f t="shared" si="32"/>
        <v/>
      </c>
      <c r="BZ165" s="152" t="str">
        <f t="shared" si="33"/>
        <v/>
      </c>
      <c r="CA165" s="152" t="str">
        <f t="shared" si="34"/>
        <v/>
      </c>
      <c r="CB165" s="152" t="str">
        <f t="shared" si="35"/>
        <v/>
      </c>
      <c r="CC165" s="153" t="str">
        <f t="shared" si="36"/>
        <v/>
      </c>
      <c r="CD165" s="153" t="str">
        <f t="shared" si="37"/>
        <v/>
      </c>
      <c r="CE165" s="154" t="str">
        <f t="shared" si="38"/>
        <v/>
      </c>
      <c r="CF165" s="154" t="str">
        <f t="shared" si="39"/>
        <v/>
      </c>
      <c r="CG165" s="154" t="str">
        <f t="shared" si="40"/>
        <v/>
      </c>
    </row>
    <row r="166">
      <c r="A166" s="103" t="s">
        <v>255</v>
      </c>
      <c r="B166" s="104" t="s">
        <v>98</v>
      </c>
      <c r="C166" s="105">
        <v>109315.0</v>
      </c>
      <c r="D166" s="106">
        <v>0.0</v>
      </c>
      <c r="E166" s="107">
        <v>0.0</v>
      </c>
      <c r="F166" s="108">
        <v>0.002384223</v>
      </c>
      <c r="G166" s="108">
        <v>0.016099252</v>
      </c>
      <c r="H166" s="108">
        <v>0.018483475</v>
      </c>
      <c r="I166" s="109">
        <v>3.05922575</v>
      </c>
      <c r="J166" s="109">
        <v>10.0241389</v>
      </c>
      <c r="K166" s="109">
        <v>13.08336466</v>
      </c>
      <c r="L166" s="112">
        <v>0.520856166</v>
      </c>
      <c r="M166" s="112">
        <v>0.816573991</v>
      </c>
      <c r="N166" s="112">
        <v>1.337430157</v>
      </c>
      <c r="O166" s="113"/>
      <c r="P166" s="114"/>
      <c r="Q166" s="114"/>
      <c r="R166" s="115" t="str">
        <f t="shared" si="8"/>
        <v/>
      </c>
      <c r="S166" s="116">
        <f t="shared" si="9"/>
        <v>0.14553293</v>
      </c>
      <c r="T166" s="117"/>
      <c r="U166" s="118">
        <f t="shared" si="41"/>
        <v>0.39435</v>
      </c>
      <c r="V166" s="148"/>
      <c r="W166" s="120">
        <f t="shared" si="10"/>
        <v>0.3616</v>
      </c>
      <c r="X166" s="148"/>
      <c r="Y166" s="120">
        <f t="shared" si="11"/>
        <v>0.5015615385</v>
      </c>
      <c r="Z166" s="121"/>
      <c r="AA166" s="121"/>
      <c r="AB166" s="121"/>
      <c r="AC166" s="121"/>
      <c r="AD166" s="122">
        <v>0.0</v>
      </c>
      <c r="AE166" s="123">
        <v>0.0</v>
      </c>
      <c r="AF166" s="123">
        <v>0.0</v>
      </c>
      <c r="AG166" s="124">
        <v>0.029</v>
      </c>
      <c r="AH166" s="124">
        <v>0.0458969</v>
      </c>
      <c r="AI166" s="125">
        <v>0.0904</v>
      </c>
      <c r="AJ166" s="125">
        <v>0.138918331</v>
      </c>
      <c r="AK166" s="127">
        <v>0.07</v>
      </c>
      <c r="AL166" s="169">
        <v>0.105680905</v>
      </c>
      <c r="AM166" s="128"/>
      <c r="AN166" s="149" t="str">
        <f>IFERROR(
  AVERAGEIFS(
    'New 20102013 LF Efficacy'!$J:$J,
    'New 20102013 LF Efficacy'!$D:$D, $A166,
    'New 20102013 LF Efficacy'!$F:$F,"DEC", 
    'New 20102013 LF Efficacy'!$W:$W,"&lt;2011",
    'New 20102013 LF Efficacy'!$AA:$AA,""),
  ""
)</f>
        <v/>
      </c>
      <c r="AO166" s="115">
        <f t="shared" si="12"/>
        <v>0.2589833333</v>
      </c>
      <c r="AP166" s="121" t="str">
        <f>IFERROR(
AVERAGEIFS(
'New 20102013 LF Efficacy'!$J:$J,
'New 20102013 LF Efficacy'!$D:$D,$A166,
'New 20102013 LF Efficacy'!$F:$F,"Albendazole &amp; DEC",
'New 20102013 LF Efficacy'!$W:$W,"&lt;2011",
'New 20102013 LF Efficacy'!$AA:$AA,""),
"")
</f>
        <v/>
      </c>
      <c r="AQ166" s="115">
        <f t="shared" si="13"/>
        <v>0.3465</v>
      </c>
      <c r="AR166" s="121" t="str">
        <f>IFERROR(
AVERAGEIFS(
'New 20102013 LF Efficacy'!$J:$J,
'New 20102013 LF Efficacy'!$D:$D,$A166,
'New 20102013 LF Efficacy'!$F:$F,"Albendazole &amp; Ivermectin", 
'New 20102013 LF Efficacy'!$W:$W,"&lt;2011",
'New 20102013 LF Efficacy'!$AA:$AA,""),"")</f>
        <v/>
      </c>
      <c r="AS166" s="115">
        <f t="shared" si="14"/>
        <v>0.7575</v>
      </c>
      <c r="AT166" s="130" t="str">
        <f>IFERROR(AVERAGEIFS(
'20102013 Schist Efficacy'!$O:$O, 
'20102013 Schist Efficacy'!$C:$C,$A166, 
'20102013 Schist Efficacy'!$D:$D, "Praziquantel",
'20102013 Schist Efficacy'!$J:$J,"&lt;2011",
'20102013 Schist Efficacy'!$U:$U,""),
"")</f>
        <v/>
      </c>
      <c r="AU166" s="118">
        <f t="shared" si="15"/>
        <v>0.7732631579</v>
      </c>
      <c r="AV166" s="131" t="str">
        <f>IFERROR(AVERAGEIFS(
'20102013 STH Efficacy'!$AX:$AX, 
'20102013 STH Efficacy'!$AL:$AL, $A166, 
'20102013 STH Efficacy'!$AM:$AM, "Albendazole",
'20102013 STH Efficacy'!$AS:$AS,"&lt;2011",
'20102013 STH Efficacy'!$BP:$BP,""),
"")</f>
        <v/>
      </c>
      <c r="AW166" s="132">
        <f t="shared" si="16"/>
        <v>0.3945</v>
      </c>
      <c r="AX166" s="131" t="str">
        <f>IFERROR(AVERAGEIFS(
'20102013 STH Efficacy'!$AX:$AX, 
'20102013 STH Efficacy'!$AL:$AL, $A166, 
'20102013 STH Efficacy'!$AM:$AM, "Mebendazole",
'20102013 STH Efficacy'!$AS:$AS,"&lt;2011",
'20102013 STH Efficacy'!$BP:$BP,""),
"")</f>
        <v/>
      </c>
      <c r="AY166" s="132">
        <f t="shared" si="17"/>
        <v>0.6</v>
      </c>
      <c r="AZ166" s="131" t="str">
        <f>IFERROR(AVERAGEIFS(
'20102013 STH Efficacy'!$AX:$AX, 
'20102013 STH Efficacy'!$AL:$AL, $A166, 
'20102013 STH Efficacy'!$AM:$AM, "Albendazole &amp; Ivermectin",
'20102013 STH Efficacy'!$AS:$AS,"&lt;2011",
'20102013 STH Efficacy'!$BP:$BP,""),
"")</f>
        <v/>
      </c>
      <c r="BA166" s="133">
        <f t="shared" si="18"/>
        <v>0.796</v>
      </c>
      <c r="BB166" s="134" t="str">
        <f>IFERROR(AVERAGEIFS(
'20102013 STH Efficacy'!$N:$N, 
'20102013 STH Efficacy'!$B:$B, $A166, 
'20102013 STH Efficacy'!$C:$C, "Albendazole",
'20102013 STH Efficacy'!$I:$I,"&lt;2011",
'20102013 STH Efficacy'!$AH:$AH,""),
"")</f>
        <v/>
      </c>
      <c r="BC166" s="135">
        <f t="shared" si="19"/>
        <v>0.869</v>
      </c>
      <c r="BD166" s="134" t="str">
        <f>IFERROR(AVERAGEIFS(
'20102013 STH Efficacy'!$N:$N, 
'20102013 STH Efficacy'!$B:$B, $A166, 
'20102013 STH Efficacy'!$C:$C, "Mebendazole",
'20102013 STH Efficacy'!$I:$I,"&lt;2011",
'20102013 STH Efficacy'!$AH:$AH,""),
"")</f>
        <v/>
      </c>
      <c r="BE166" s="135">
        <f t="shared" si="20"/>
        <v>0.172</v>
      </c>
      <c r="BF166" s="128" t="str">
        <f>IFERROR(AVERAGEIFS(
'20102013 STH Efficacy'!$CD:$CD, 
'20102013 STH Efficacy'!$BS:$BS, $A166, 
'20102013 STH Efficacy'!$BT:$BT, "Albendazole",
'20102013 STH Efficacy'!$BZ:$BZ,"&lt;2011",
'20102013 STH Efficacy'!$CU:$CU,""),
"")</f>
        <v/>
      </c>
      <c r="BG166" s="136">
        <f t="shared" si="21"/>
        <v>0.9862</v>
      </c>
      <c r="BH166" s="128" t="str">
        <f>IFERROR(AVERAGEIFS(
'20102013 STH Efficacy'!$CD:$CD, 
'20102013 STH Efficacy'!$BS:$BS, $A166, 
'20102013 STH Efficacy'!$BT:$BT, "Mebendazole",
'20102013 STH Efficacy'!$BZ:$BZ,"&lt;2011",
'20102013 STH Efficacy'!$CU:$CU,""),
"")</f>
        <v/>
      </c>
      <c r="BI166" s="136">
        <f t="shared" si="22"/>
        <v>0.769</v>
      </c>
      <c r="BJ166" s="128" t="str">
        <f>IFERROR(AVERAGEIFS(
'20102013 STH Efficacy'!$CD:$CD, 
'20102013 STH Efficacy'!$BS:$BS, $A166, 
'20102013 STH Efficacy'!$BT:$BT, "Albendazole &amp; Ivermectin",
'20102013 STH Efficacy'!$BZ:$BZ,"&lt;2011",
'20102013 STH Efficacy'!$CU:$CU,""),
"")</f>
        <v/>
      </c>
      <c r="BK166" s="136">
        <f t="shared" si="23"/>
        <v>1</v>
      </c>
      <c r="BL166" s="137"/>
      <c r="BM166" s="137"/>
      <c r="BN166" s="138">
        <v>0.0</v>
      </c>
      <c r="BO166" s="139">
        <v>0.0</v>
      </c>
      <c r="BP166" s="140">
        <v>0.0</v>
      </c>
      <c r="BQ166" s="141">
        <f t="shared" si="24"/>
        <v>0</v>
      </c>
      <c r="BR166" s="104" t="str">
        <f t="shared" si="25"/>
        <v>0000</v>
      </c>
      <c r="BS166" s="104" t="str">
        <f t="shared" si="26"/>
        <v>no action required</v>
      </c>
      <c r="BT166" s="142" t="str">
        <f t="shared" si="27"/>
        <v/>
      </c>
      <c r="BU166" s="104" t="str">
        <f t="shared" si="28"/>
        <v/>
      </c>
      <c r="BV166" s="104" t="str">
        <f t="shared" si="29"/>
        <v>none</v>
      </c>
      <c r="BW166" s="150" t="str">
        <f t="shared" si="30"/>
        <v/>
      </c>
      <c r="BX166" s="150" t="str">
        <f t="shared" si="31"/>
        <v/>
      </c>
      <c r="BY166" s="151" t="str">
        <f t="shared" si="32"/>
        <v/>
      </c>
      <c r="BZ166" s="152" t="str">
        <f t="shared" si="33"/>
        <v/>
      </c>
      <c r="CA166" s="152" t="str">
        <f t="shared" si="34"/>
        <v/>
      </c>
      <c r="CB166" s="152" t="str">
        <f t="shared" si="35"/>
        <v/>
      </c>
      <c r="CC166" s="153" t="str">
        <f t="shared" si="36"/>
        <v/>
      </c>
      <c r="CD166" s="153" t="str">
        <f t="shared" si="37"/>
        <v/>
      </c>
      <c r="CE166" s="154" t="str">
        <f t="shared" si="38"/>
        <v/>
      </c>
      <c r="CF166" s="154" t="str">
        <f t="shared" si="39"/>
        <v/>
      </c>
      <c r="CG166" s="154" t="str">
        <f t="shared" si="40"/>
        <v/>
      </c>
    </row>
    <row r="167">
      <c r="A167" s="103" t="s">
        <v>256</v>
      </c>
      <c r="B167" s="104" t="s">
        <v>94</v>
      </c>
      <c r="C167" s="105">
        <v>186205.0</v>
      </c>
      <c r="D167" s="106">
        <v>163.3138161</v>
      </c>
      <c r="E167" s="107">
        <v>0.0</v>
      </c>
      <c r="F167" s="108">
        <v>4.23362E-4</v>
      </c>
      <c r="G167" s="157">
        <v>0.002241327</v>
      </c>
      <c r="H167" s="157">
        <v>0.002664689</v>
      </c>
      <c r="I167" s="110">
        <v>0.92497308</v>
      </c>
      <c r="J167" s="110">
        <v>2.95223983</v>
      </c>
      <c r="K167" s="110">
        <v>3.877212909</v>
      </c>
      <c r="L167" s="111">
        <v>1.501121109</v>
      </c>
      <c r="M167" s="111">
        <v>0.409638211</v>
      </c>
      <c r="N167" s="158">
        <v>1.910759319</v>
      </c>
      <c r="O167" s="159"/>
      <c r="P167" s="160">
        <v>186649.0</v>
      </c>
      <c r="Q167" s="156"/>
      <c r="R167" s="115">
        <f t="shared" si="8"/>
        <v>0</v>
      </c>
      <c r="S167" s="116">
        <f t="shared" si="9"/>
        <v>0.1955251818</v>
      </c>
      <c r="T167" s="117"/>
      <c r="U167" s="118">
        <f t="shared" si="41"/>
        <v>0.6259666667</v>
      </c>
      <c r="V167" s="148"/>
      <c r="W167" s="120">
        <f t="shared" si="10"/>
        <v>0.55175</v>
      </c>
      <c r="X167" s="148"/>
      <c r="Y167" s="120">
        <f t="shared" si="11"/>
        <v>0.4826142857</v>
      </c>
      <c r="Z167" s="114"/>
      <c r="AA167" s="114"/>
      <c r="AB167" s="114"/>
      <c r="AC167" s="114"/>
      <c r="AD167" s="164">
        <v>0.0</v>
      </c>
      <c r="AE167" s="123">
        <v>0.0</v>
      </c>
      <c r="AF167" s="123">
        <v>0.0</v>
      </c>
      <c r="AG167" s="167">
        <v>0.0</v>
      </c>
      <c r="AH167" s="124">
        <v>0.020052479</v>
      </c>
      <c r="AI167" s="168">
        <v>0.0</v>
      </c>
      <c r="AJ167" s="125">
        <v>0.019502462</v>
      </c>
      <c r="AK167" s="126">
        <v>0.0</v>
      </c>
      <c r="AL167" s="169">
        <v>1.21133E-5</v>
      </c>
      <c r="AM167" s="128"/>
      <c r="AN167" s="149" t="str">
        <f>IFERROR(
  AVERAGEIFS(
    'New 20102013 LF Efficacy'!$J:$J,
    'New 20102013 LF Efficacy'!$D:$D, $A167,
    'New 20102013 LF Efficacy'!$F:$F,"DEC", 
    'New 20102013 LF Efficacy'!$W:$W,"&lt;2011",
    'New 20102013 LF Efficacy'!$AA:$AA,""),
  ""
)</f>
        <v/>
      </c>
      <c r="AO167" s="115">
        <f t="shared" si="12"/>
        <v>0.38</v>
      </c>
      <c r="AP167" s="121" t="str">
        <f>IFERROR(
AVERAGEIFS(
'New 20102013 LF Efficacy'!$J:$J,
'New 20102013 LF Efficacy'!$D:$D,$A167,
'New 20102013 LF Efficacy'!$F:$F,"Albendazole &amp; DEC",
'New 20102013 LF Efficacy'!$W:$W,"&lt;2011",
'New 20102013 LF Efficacy'!$AA:$AA,""),
"")
</f>
        <v/>
      </c>
      <c r="AQ167" s="115">
        <f t="shared" si="13"/>
        <v>0.657</v>
      </c>
      <c r="AR167" s="121" t="str">
        <f>IFERROR(
AVERAGEIFS(
'New 20102013 LF Efficacy'!$J:$J,
'New 20102013 LF Efficacy'!$D:$D,$A167,
'New 20102013 LF Efficacy'!$F:$F,"Albendazole &amp; Ivermectin", 
'New 20102013 LF Efficacy'!$W:$W,"&lt;2011",
'New 20102013 LF Efficacy'!$AA:$AA,""),"")</f>
        <v/>
      </c>
      <c r="AS167" s="115">
        <f t="shared" si="14"/>
        <v>0.37153125</v>
      </c>
      <c r="AT167" s="130" t="str">
        <f>IFERROR(AVERAGEIFS(
'20102013 Schist Efficacy'!$O:$O, 
'20102013 Schist Efficacy'!$C:$C,$A167, 
'20102013 Schist Efficacy'!$D:$D, "Praziquantel",
'20102013 Schist Efficacy'!$J:$J,"&lt;2011",
'20102013 Schist Efficacy'!$U:$U,""),
"")</f>
        <v/>
      </c>
      <c r="AU167" s="118">
        <f t="shared" si="15"/>
        <v>0.95</v>
      </c>
      <c r="AV167" s="131" t="str">
        <f>IFERROR(AVERAGEIFS(
'20102013 STH Efficacy'!$AX:$AX, 
'20102013 STH Efficacy'!$AL:$AL, $A167, 
'20102013 STH Efficacy'!$AM:$AM, "Albendazole",
'20102013 STH Efficacy'!$AS:$AS,"&lt;2011",
'20102013 STH Efficacy'!$BP:$BP,""),
"")</f>
        <v/>
      </c>
      <c r="AW167" s="132">
        <f t="shared" si="16"/>
        <v>0.3571666667</v>
      </c>
      <c r="AX167" s="131" t="str">
        <f>IFERROR(AVERAGEIFS(
'20102013 STH Efficacy'!$AX:$AX, 
'20102013 STH Efficacy'!$AL:$AL, $A167, 
'20102013 STH Efficacy'!$AM:$AM, "Mebendazole",
'20102013 STH Efficacy'!$AS:$AS,"&lt;2011",
'20102013 STH Efficacy'!$BP:$BP,""),
"")</f>
        <v/>
      </c>
      <c r="AY167" s="132">
        <f t="shared" si="17"/>
        <v>0.4155</v>
      </c>
      <c r="AZ167" s="131" t="str">
        <f>IFERROR(AVERAGEIFS(
'20102013 STH Efficacy'!$AX:$AX, 
'20102013 STH Efficacy'!$AL:$AL, $A167, 
'20102013 STH Efficacy'!$AM:$AM, "Albendazole &amp; Ivermectin",
'20102013 STH Efficacy'!$AS:$AS,"&lt;2011",
'20102013 STH Efficacy'!$BP:$BP,""),
"")</f>
        <v/>
      </c>
      <c r="BA167" s="133">
        <f t="shared" si="18"/>
        <v>0.651</v>
      </c>
      <c r="BB167" s="134" t="str">
        <f>IFERROR(AVERAGEIFS(
'20102013 STH Efficacy'!$N:$N, 
'20102013 STH Efficacy'!$B:$B, $A167, 
'20102013 STH Efficacy'!$C:$C, "Albendazole",
'20102013 STH Efficacy'!$I:$I,"&lt;2011",
'20102013 STH Efficacy'!$AH:$AH,""),
"")</f>
        <v/>
      </c>
      <c r="BC167" s="135">
        <f t="shared" si="19"/>
        <v>0.5769166667</v>
      </c>
      <c r="BD167" s="134" t="str">
        <f>IFERROR(AVERAGEIFS(
'20102013 STH Efficacy'!$N:$N, 
'20102013 STH Efficacy'!$B:$B, $A167, 
'20102013 STH Efficacy'!$C:$C, "Mebendazole",
'20102013 STH Efficacy'!$I:$I,"&lt;2011",
'20102013 STH Efficacy'!$AH:$AH,""),
"")</f>
        <v/>
      </c>
      <c r="BE167" s="135">
        <f t="shared" si="20"/>
        <v>0.3145</v>
      </c>
      <c r="BF167" s="128" t="str">
        <f>IFERROR(AVERAGEIFS(
'20102013 STH Efficacy'!$CD:$CD, 
'20102013 STH Efficacy'!$BS:$BS, $A167, 
'20102013 STH Efficacy'!$BT:$BT, "Albendazole",
'20102013 STH Efficacy'!$BZ:$BZ,"&lt;2011",
'20102013 STH Efficacy'!$CU:$CU,""),
"")</f>
        <v/>
      </c>
      <c r="BG167" s="136">
        <f t="shared" si="21"/>
        <v>0.96925</v>
      </c>
      <c r="BH167" s="128" t="str">
        <f>IFERROR(AVERAGEIFS(
'20102013 STH Efficacy'!$CD:$CD, 
'20102013 STH Efficacy'!$BS:$BS, $A167, 
'20102013 STH Efficacy'!$BT:$BT, "Mebendazole",
'20102013 STH Efficacy'!$BZ:$BZ,"&lt;2011",
'20102013 STH Efficacy'!$CU:$CU,""),
"")</f>
        <v/>
      </c>
      <c r="BI167" s="136">
        <f t="shared" si="22"/>
        <v>0.9305</v>
      </c>
      <c r="BJ167" s="128" t="str">
        <f>IFERROR(AVERAGEIFS(
'20102013 STH Efficacy'!$CD:$CD, 
'20102013 STH Efficacy'!$BS:$BS, $A167, 
'20102013 STH Efficacy'!$BT:$BT, "Albendazole &amp; Ivermectin",
'20102013 STH Efficacy'!$BZ:$BZ,"&lt;2011",
'20102013 STH Efficacy'!$CU:$CU,""),
"")</f>
        <v/>
      </c>
      <c r="BK167" s="136">
        <f t="shared" si="23"/>
        <v>1</v>
      </c>
      <c r="BL167" s="137"/>
      <c r="BM167" s="137"/>
      <c r="BN167" s="138">
        <v>1.0</v>
      </c>
      <c r="BO167" s="139">
        <v>0.0</v>
      </c>
      <c r="BP167" s="140">
        <v>0.0</v>
      </c>
      <c r="BQ167" s="141">
        <f t="shared" si="24"/>
        <v>0</v>
      </c>
      <c r="BR167" s="104" t="str">
        <f t="shared" si="25"/>
        <v>1000</v>
      </c>
      <c r="BS167" s="104" t="str">
        <f t="shared" si="26"/>
        <v>MDA1/2</v>
      </c>
      <c r="BT167" s="142" t="str">
        <f t="shared" si="27"/>
        <v>DEC+ALB</v>
      </c>
      <c r="BU167" s="104" t="str">
        <f t="shared" si="28"/>
        <v/>
      </c>
      <c r="BV167" s="104" t="str">
        <f t="shared" si="29"/>
        <v>lf only</v>
      </c>
      <c r="BW167" s="150">
        <f t="shared" si="30"/>
        <v>24.07152987</v>
      </c>
      <c r="BX167" s="150" t="str">
        <f t="shared" si="31"/>
        <v/>
      </c>
      <c r="BY167" s="151" t="str">
        <f t="shared" si="32"/>
        <v/>
      </c>
      <c r="BZ167" s="152" t="str">
        <f t="shared" si="33"/>
        <v/>
      </c>
      <c r="CA167" s="152" t="str">
        <f t="shared" si="34"/>
        <v/>
      </c>
      <c r="CB167" s="152" t="str">
        <f t="shared" si="35"/>
        <v/>
      </c>
      <c r="CC167" s="153" t="str">
        <f t="shared" si="36"/>
        <v/>
      </c>
      <c r="CD167" s="153" t="str">
        <f t="shared" si="37"/>
        <v/>
      </c>
      <c r="CE167" s="154" t="str">
        <f t="shared" si="38"/>
        <v/>
      </c>
      <c r="CF167" s="154" t="str">
        <f t="shared" si="39"/>
        <v/>
      </c>
      <c r="CG167" s="154" t="str">
        <f t="shared" si="40"/>
        <v/>
      </c>
    </row>
    <row r="168">
      <c r="A168" s="103" t="s">
        <v>257</v>
      </c>
      <c r="B168" s="104" t="s">
        <v>90</v>
      </c>
      <c r="C168" s="105">
        <v>31110.0</v>
      </c>
      <c r="D168" s="106">
        <v>0.0</v>
      </c>
      <c r="E168" s="107">
        <v>0.0</v>
      </c>
      <c r="F168" s="163"/>
      <c r="G168" s="163"/>
      <c r="H168" s="108">
        <v>0.0</v>
      </c>
      <c r="I168" s="109">
        <v>0.0</v>
      </c>
      <c r="J168" s="109">
        <v>0.0</v>
      </c>
      <c r="K168" s="109">
        <v>0.0</v>
      </c>
      <c r="L168" s="113"/>
      <c r="M168" s="113"/>
      <c r="N168" s="112">
        <v>0.0</v>
      </c>
      <c r="O168" s="113"/>
      <c r="P168" s="114"/>
      <c r="Q168" s="114"/>
      <c r="R168" s="115" t="str">
        <f t="shared" si="8"/>
        <v/>
      </c>
      <c r="S168" s="116">
        <f t="shared" si="9"/>
        <v>0.4013436246</v>
      </c>
      <c r="T168" s="117"/>
      <c r="U168" s="118">
        <f t="shared" si="41"/>
        <v>0.3468166667</v>
      </c>
      <c r="V168" s="148"/>
      <c r="W168" s="120">
        <f t="shared" si="10"/>
        <v>1</v>
      </c>
      <c r="X168" s="148"/>
      <c r="Y168" s="120">
        <f t="shared" si="11"/>
        <v>0.71735</v>
      </c>
      <c r="Z168" s="114"/>
      <c r="AA168" s="114"/>
      <c r="AB168" s="114"/>
      <c r="AC168" s="114"/>
      <c r="AD168" s="164">
        <v>0.0</v>
      </c>
      <c r="AE168" s="165">
        <v>0.0</v>
      </c>
      <c r="AF168" s="166">
        <v>0.0</v>
      </c>
      <c r="AG168" s="167">
        <v>0.0</v>
      </c>
      <c r="AH168" s="172">
        <v>0.0</v>
      </c>
      <c r="AI168" s="168">
        <v>0.0</v>
      </c>
      <c r="AJ168" s="173">
        <v>0.0</v>
      </c>
      <c r="AK168" s="126">
        <v>0.0</v>
      </c>
      <c r="AL168" s="169">
        <v>0.0</v>
      </c>
      <c r="AM168" s="128"/>
      <c r="AN168" s="149" t="str">
        <f>IFERROR(
  AVERAGEIFS(
    'New 20102013 LF Efficacy'!$J:$J,
    'New 20102013 LF Efficacy'!$D:$D, $A168,
    'New 20102013 LF Efficacy'!$F:$F,"DEC", 
    'New 20102013 LF Efficacy'!$W:$W,"&lt;2011",
    'New 20102013 LF Efficacy'!$AA:$AA,""),
  ""
)</f>
        <v/>
      </c>
      <c r="AO168" s="115">
        <f t="shared" si="12"/>
        <v>0.3573520833</v>
      </c>
      <c r="AP168" s="121" t="str">
        <f>IFERROR(
AVERAGEIFS(
'New 20102013 LF Efficacy'!$J:$J,
'New 20102013 LF Efficacy'!$D:$D,$A168,
'New 20102013 LF Efficacy'!$F:$F,"Albendazole &amp; DEC",
'New 20102013 LF Efficacy'!$W:$W,"&lt;2011",
'New 20102013 LF Efficacy'!$AA:$AA,""),
"")
</f>
        <v/>
      </c>
      <c r="AQ168" s="115">
        <f t="shared" si="13"/>
        <v>0.5137291667</v>
      </c>
      <c r="AR168" s="121" t="str">
        <f>IFERROR(
AVERAGEIFS(
'New 20102013 LF Efficacy'!$J:$J,
'New 20102013 LF Efficacy'!$D:$D,$A168,
'New 20102013 LF Efficacy'!$F:$F,"Albendazole &amp; Ivermectin", 
'New 20102013 LF Efficacy'!$W:$W,"&lt;2011",
'New 20102013 LF Efficacy'!$AA:$AA,""),"")</f>
        <v/>
      </c>
      <c r="AS168" s="115">
        <f t="shared" si="14"/>
        <v>0.37153125</v>
      </c>
      <c r="AT168" s="130" t="str">
        <f>IFERROR(AVERAGEIFS(
'20102013 Schist Efficacy'!$O:$O, 
'20102013 Schist Efficacy'!$C:$C,$A168, 
'20102013 Schist Efficacy'!$D:$D, "Praziquantel",
'20102013 Schist Efficacy'!$J:$J,"&lt;2011",
'20102013 Schist Efficacy'!$U:$U,""),
"")</f>
        <v/>
      </c>
      <c r="AU168" s="118">
        <f t="shared" si="15"/>
        <v>0.655</v>
      </c>
      <c r="AV168" s="131" t="str">
        <f>IFERROR(AVERAGEIFS(
'20102013 STH Efficacy'!$AX:$AX, 
'20102013 STH Efficacy'!$AL:$AL, $A168, 
'20102013 STH Efficacy'!$AM:$AM, "Albendazole",
'20102013 STH Efficacy'!$AS:$AS,"&lt;2011",
'20102013 STH Efficacy'!$BP:$BP,""),
"")</f>
        <v/>
      </c>
      <c r="AW168" s="132">
        <f t="shared" si="16"/>
        <v>0.3842878788</v>
      </c>
      <c r="AX168" s="131" t="str">
        <f>IFERROR(AVERAGEIFS(
'20102013 STH Efficacy'!$AX:$AX, 
'20102013 STH Efficacy'!$AL:$AL, $A168, 
'20102013 STH Efficacy'!$AM:$AM, "Mebendazole",
'20102013 STH Efficacy'!$AS:$AS,"&lt;2011",
'20102013 STH Efficacy'!$BP:$BP,""),
"")</f>
        <v/>
      </c>
      <c r="AY168" s="132">
        <f t="shared" si="17"/>
        <v>0.5121666667</v>
      </c>
      <c r="AZ168" s="131" t="str">
        <f>IFERROR(AVERAGEIFS(
'20102013 STH Efficacy'!$AX:$AX, 
'20102013 STH Efficacy'!$AL:$AL, $A168, 
'20102013 STH Efficacy'!$AM:$AM, "Albendazole &amp; Ivermectin",
'20102013 STH Efficacy'!$AS:$AS,"&lt;2011",
'20102013 STH Efficacy'!$BP:$BP,""),
"")</f>
        <v/>
      </c>
      <c r="BA168" s="133">
        <f t="shared" si="18"/>
        <v>0.7176666667</v>
      </c>
      <c r="BB168" s="134" t="str">
        <f>IFERROR(AVERAGEIFS(
'20102013 STH Efficacy'!$N:$N, 
'20102013 STH Efficacy'!$B:$B, $A168, 
'20102013 STH Efficacy'!$C:$C, "Albendazole",
'20102013 STH Efficacy'!$I:$I,"&lt;2011",
'20102013 STH Efficacy'!$AH:$AH,""),
"")</f>
        <v/>
      </c>
      <c r="BC168" s="135">
        <f t="shared" si="19"/>
        <v>0.7630416667</v>
      </c>
      <c r="BD168" s="134" t="str">
        <f>IFERROR(AVERAGEIFS(
'20102013 STH Efficacy'!$N:$N, 
'20102013 STH Efficacy'!$B:$B, $A168, 
'20102013 STH Efficacy'!$C:$C, "Mebendazole",
'20102013 STH Efficacy'!$I:$I,"&lt;2011",
'20102013 STH Efficacy'!$AH:$AH,""),
"")</f>
        <v/>
      </c>
      <c r="BE168" s="135">
        <f t="shared" si="20"/>
        <v>0.4405966667</v>
      </c>
      <c r="BF168" s="128" t="str">
        <f>IFERROR(AVERAGEIFS(
'20102013 STH Efficacy'!$CD:$CD, 
'20102013 STH Efficacy'!$BS:$BS, $A168, 
'20102013 STH Efficacy'!$BT:$BT, "Albendazole",
'20102013 STH Efficacy'!$BZ:$BZ,"&lt;2011",
'20102013 STH Efficacy'!$CU:$CU,""),
"")</f>
        <v/>
      </c>
      <c r="BG168" s="136">
        <f t="shared" si="21"/>
        <v>0.9403222222</v>
      </c>
      <c r="BH168" s="128" t="str">
        <f>IFERROR(AVERAGEIFS(
'20102013 STH Efficacy'!$CD:$CD, 
'20102013 STH Efficacy'!$BS:$BS, $A168, 
'20102013 STH Efficacy'!$BT:$BT, "Mebendazole",
'20102013 STH Efficacy'!$BZ:$BZ,"&lt;2011",
'20102013 STH Efficacy'!$CU:$CU,""),
"")</f>
        <v/>
      </c>
      <c r="BI168" s="136">
        <f t="shared" si="22"/>
        <v>0.9229285714</v>
      </c>
      <c r="BJ168" s="128" t="str">
        <f>IFERROR(AVERAGEIFS(
'20102013 STH Efficacy'!$CD:$CD, 
'20102013 STH Efficacy'!$BS:$BS, $A168, 
'20102013 STH Efficacy'!$BT:$BT, "Albendazole &amp; Ivermectin",
'20102013 STH Efficacy'!$BZ:$BZ,"&lt;2011",
'20102013 STH Efficacy'!$CU:$CU,""),
"")</f>
        <v/>
      </c>
      <c r="BK168" s="136">
        <f t="shared" si="23"/>
        <v>1</v>
      </c>
      <c r="BL168" s="137"/>
      <c r="BM168" s="137"/>
      <c r="BN168" s="138">
        <v>0.0</v>
      </c>
      <c r="BO168" s="139">
        <v>0.0</v>
      </c>
      <c r="BP168" s="140">
        <v>0.0</v>
      </c>
      <c r="BQ168" s="141">
        <f t="shared" si="24"/>
        <v>0</v>
      </c>
      <c r="BR168" s="104" t="str">
        <f t="shared" si="25"/>
        <v>0000</v>
      </c>
      <c r="BS168" s="104" t="str">
        <f t="shared" si="26"/>
        <v>no action required</v>
      </c>
      <c r="BT168" s="142" t="str">
        <f t="shared" si="27"/>
        <v/>
      </c>
      <c r="BU168" s="104" t="str">
        <f t="shared" si="28"/>
        <v/>
      </c>
      <c r="BV168" s="104" t="str">
        <f t="shared" si="29"/>
        <v>none</v>
      </c>
      <c r="BW168" s="150" t="str">
        <f t="shared" si="30"/>
        <v/>
      </c>
      <c r="BX168" s="150" t="str">
        <f t="shared" si="31"/>
        <v/>
      </c>
      <c r="BY168" s="151" t="str">
        <f t="shared" si="32"/>
        <v/>
      </c>
      <c r="BZ168" s="152" t="str">
        <f t="shared" si="33"/>
        <v/>
      </c>
      <c r="CA168" s="152" t="str">
        <f t="shared" si="34"/>
        <v/>
      </c>
      <c r="CB168" s="152" t="str">
        <f t="shared" si="35"/>
        <v/>
      </c>
      <c r="CC168" s="153" t="str">
        <f t="shared" si="36"/>
        <v/>
      </c>
      <c r="CD168" s="153" t="str">
        <f t="shared" si="37"/>
        <v/>
      </c>
      <c r="CE168" s="154" t="str">
        <f t="shared" si="38"/>
        <v/>
      </c>
      <c r="CF168" s="154" t="str">
        <f t="shared" si="39"/>
        <v/>
      </c>
      <c r="CG168" s="154" t="str">
        <f t="shared" si="40"/>
        <v/>
      </c>
    </row>
    <row r="169">
      <c r="A169" s="155" t="s">
        <v>258</v>
      </c>
      <c r="B169" s="104" t="s">
        <v>92</v>
      </c>
      <c r="C169" s="105">
        <v>174776.0</v>
      </c>
      <c r="D169" s="106">
        <v>422.0683152</v>
      </c>
      <c r="E169" s="107">
        <v>195.5539584</v>
      </c>
      <c r="F169" s="108">
        <v>6.147341671</v>
      </c>
      <c r="G169" s="108">
        <v>21.7702436</v>
      </c>
      <c r="H169" s="108">
        <v>27.91758527</v>
      </c>
      <c r="I169" s="109">
        <v>10.1985797</v>
      </c>
      <c r="J169" s="109">
        <v>26.5915571</v>
      </c>
      <c r="K169" s="109">
        <v>36.79013678</v>
      </c>
      <c r="L169" s="112">
        <v>34.38840886</v>
      </c>
      <c r="M169" s="112">
        <v>38.4773931</v>
      </c>
      <c r="N169" s="158">
        <v>72.86580196</v>
      </c>
      <c r="O169" s="159"/>
      <c r="P169" s="160">
        <v>410000.0</v>
      </c>
      <c r="Q169" s="156"/>
      <c r="R169" s="115">
        <f t="shared" si="8"/>
        <v>0</v>
      </c>
      <c r="S169" s="116">
        <f t="shared" si="9"/>
        <v>0.1716437208</v>
      </c>
      <c r="T169" s="117"/>
      <c r="U169" s="118">
        <f t="shared" si="41"/>
        <v>0.252</v>
      </c>
      <c r="V169" s="119">
        <v>0.2494</v>
      </c>
      <c r="W169" s="120">
        <f t="shared" si="10"/>
        <v>0.2494</v>
      </c>
      <c r="X169" s="119">
        <v>0.6271</v>
      </c>
      <c r="Y169" s="120">
        <f t="shared" si="11"/>
        <v>0.6271</v>
      </c>
      <c r="Z169" s="114"/>
      <c r="AA169" s="114"/>
      <c r="AB169" s="114"/>
      <c r="AC169" s="114"/>
      <c r="AD169" s="164">
        <v>0.0</v>
      </c>
      <c r="AE169" s="123">
        <v>0.15</v>
      </c>
      <c r="AF169" s="123">
        <v>0.0559</v>
      </c>
      <c r="AG169" s="124">
        <v>0.2135</v>
      </c>
      <c r="AH169" s="124">
        <v>0.326124443</v>
      </c>
      <c r="AI169" s="125">
        <v>0.0953</v>
      </c>
      <c r="AJ169" s="125">
        <v>0.154838048</v>
      </c>
      <c r="AK169" s="126">
        <v>0.0</v>
      </c>
      <c r="AL169" s="169">
        <v>0.393448263</v>
      </c>
      <c r="AM169" s="128"/>
      <c r="AN169" s="149" t="str">
        <f>IFERROR(
  AVERAGEIFS(
    'New 20102013 LF Efficacy'!$J:$J,
    'New 20102013 LF Efficacy'!$D:$D, $A169,
    'New 20102013 LF Efficacy'!$F:$F,"DEC", 
    'New 20102013 LF Efficacy'!$W:$W,"&lt;2011",
    'New 20102013 LF Efficacy'!$AA:$AA,""),
  ""
)</f>
        <v/>
      </c>
      <c r="AO169" s="115">
        <f t="shared" si="12"/>
        <v>0.31225</v>
      </c>
      <c r="AP169" s="121" t="str">
        <f>IFERROR(
AVERAGEIFS(
'New 20102013 LF Efficacy'!$J:$J,
'New 20102013 LF Efficacy'!$D:$D,$A169,
'New 20102013 LF Efficacy'!$F:$F,"Albendazole &amp; DEC",
'New 20102013 LF Efficacy'!$W:$W,"&lt;2011",
'New 20102013 LF Efficacy'!$AA:$AA,""),
"")
</f>
        <v/>
      </c>
      <c r="AQ169" s="115">
        <f t="shared" si="13"/>
        <v>0.4</v>
      </c>
      <c r="AR169" s="121" t="str">
        <f>IFERROR(
AVERAGEIFS(
'New 20102013 LF Efficacy'!$J:$J,
'New 20102013 LF Efficacy'!$D:$D,$A169,
'New 20102013 LF Efficacy'!$F:$F,"Albendazole &amp; Ivermectin", 
'New 20102013 LF Efficacy'!$W:$W,"&lt;2011",
'New 20102013 LF Efficacy'!$AA:$AA,""),"")</f>
        <v/>
      </c>
      <c r="AS169" s="115">
        <f t="shared" si="14"/>
        <v>0.2943125</v>
      </c>
      <c r="AT169" s="130" t="str">
        <f>IFERROR(AVERAGEIFS(
'20102013 Schist Efficacy'!$O:$O, 
'20102013 Schist Efficacy'!$C:$C,$A169, 
'20102013 Schist Efficacy'!$D:$D, "Praziquantel",
'20102013 Schist Efficacy'!$J:$J,"&lt;2011",
'20102013 Schist Efficacy'!$U:$U,""),
"")</f>
        <v/>
      </c>
      <c r="AU169" s="118">
        <f t="shared" si="15"/>
        <v>0.6444020147</v>
      </c>
      <c r="AV169" s="131" t="str">
        <f>IFERROR(AVERAGEIFS(
'20102013 STH Efficacy'!$AX:$AX, 
'20102013 STH Efficacy'!$AL:$AL, $A169, 
'20102013 STH Efficacy'!$AM:$AM, "Albendazole",
'20102013 STH Efficacy'!$AS:$AS,"&lt;2011",
'20102013 STH Efficacy'!$BP:$BP,""),
"")</f>
        <v/>
      </c>
      <c r="AW169" s="132">
        <f t="shared" si="16"/>
        <v>0.3538333333</v>
      </c>
      <c r="AX169" s="131" t="str">
        <f>IFERROR(AVERAGEIFS(
'20102013 STH Efficacy'!$AX:$AX, 
'20102013 STH Efficacy'!$AL:$AL, $A169, 
'20102013 STH Efficacy'!$AM:$AM, "Mebendazole",
'20102013 STH Efficacy'!$AS:$AS,"&lt;2011",
'20102013 STH Efficacy'!$BP:$BP,""),
"")</f>
        <v/>
      </c>
      <c r="AY169" s="132">
        <f t="shared" si="17"/>
        <v>0.5918333333</v>
      </c>
      <c r="AZ169" s="131" t="str">
        <f>IFERROR(AVERAGEIFS(
'20102013 STH Efficacy'!$AX:$AX, 
'20102013 STH Efficacy'!$AL:$AL, $A169, 
'20102013 STH Efficacy'!$AM:$AM, "Albendazole &amp; Ivermectin",
'20102013 STH Efficacy'!$AS:$AS,"&lt;2011",
'20102013 STH Efficacy'!$BP:$BP,""),
"")</f>
        <v/>
      </c>
      <c r="BA169" s="133">
        <f t="shared" si="18"/>
        <v>0.706</v>
      </c>
      <c r="BB169" s="134" t="str">
        <f>IFERROR(AVERAGEIFS(
'20102013 STH Efficacy'!$N:$N, 
'20102013 STH Efficacy'!$B:$B, $A169, 
'20102013 STH Efficacy'!$C:$C, "Albendazole",
'20102013 STH Efficacy'!$I:$I,"&lt;2011",
'20102013 STH Efficacy'!$AH:$AH,""),
"")</f>
        <v/>
      </c>
      <c r="BC169" s="135">
        <f t="shared" si="19"/>
        <v>0.9116666667</v>
      </c>
      <c r="BD169" s="134" t="str">
        <f>IFERROR(AVERAGEIFS(
'20102013 STH Efficacy'!$N:$N, 
'20102013 STH Efficacy'!$B:$B, $A169, 
'20102013 STH Efficacy'!$C:$C, "Mebendazole",
'20102013 STH Efficacy'!$I:$I,"&lt;2011",
'20102013 STH Efficacy'!$AH:$AH,""),
"")</f>
        <v/>
      </c>
      <c r="BE169" s="135">
        <f t="shared" si="20"/>
        <v>0.7092416667</v>
      </c>
      <c r="BF169" s="128" t="str">
        <f>IFERROR(AVERAGEIFS(
'20102013 STH Efficacy'!$CD:$CD, 
'20102013 STH Efficacy'!$BS:$BS, $A169, 
'20102013 STH Efficacy'!$BT:$BT, "Albendazole",
'20102013 STH Efficacy'!$BZ:$BZ,"&lt;2011",
'20102013 STH Efficacy'!$CU:$CU,""),
"")</f>
        <v/>
      </c>
      <c r="BG169" s="136">
        <f t="shared" si="21"/>
        <v>0.8656666667</v>
      </c>
      <c r="BH169" s="128" t="str">
        <f>IFERROR(AVERAGEIFS(
'20102013 STH Efficacy'!$CD:$CD, 
'20102013 STH Efficacy'!$BS:$BS, $A169, 
'20102013 STH Efficacy'!$BT:$BT, "Mebendazole",
'20102013 STH Efficacy'!$BZ:$BZ,"&lt;2011",
'20102013 STH Efficacy'!$CU:$CU,""),
"")</f>
        <v/>
      </c>
      <c r="BI169" s="136">
        <f t="shared" si="22"/>
        <v>0.9203333333</v>
      </c>
      <c r="BJ169" s="128" t="str">
        <f>IFERROR(AVERAGEIFS(
'20102013 STH Efficacy'!$CD:$CD, 
'20102013 STH Efficacy'!$BS:$BS, $A169, 
'20102013 STH Efficacy'!$BT:$BT, "Albendazole &amp; Ivermectin",
'20102013 STH Efficacy'!$BZ:$BZ,"&lt;2011",
'20102013 STH Efficacy'!$CU:$CU,""),
"")</f>
        <v/>
      </c>
      <c r="BK169" s="136">
        <f t="shared" si="23"/>
        <v>1</v>
      </c>
      <c r="BL169" s="137"/>
      <c r="BM169" s="137"/>
      <c r="BN169" s="138">
        <v>1.0</v>
      </c>
      <c r="BO169" s="139">
        <v>1.0</v>
      </c>
      <c r="BP169" s="140">
        <v>1.0</v>
      </c>
      <c r="BQ169" s="141">
        <f t="shared" si="24"/>
        <v>1</v>
      </c>
      <c r="BR169" s="104" t="str">
        <f t="shared" si="25"/>
        <v>1111</v>
      </c>
      <c r="BS169" s="104" t="str">
        <f t="shared" si="26"/>
        <v>MDA1+T2</v>
      </c>
      <c r="BT169" s="142" t="str">
        <f t="shared" si="27"/>
        <v>IVM+ALB</v>
      </c>
      <c r="BU169" s="104" t="str">
        <f t="shared" si="28"/>
        <v>PZQ</v>
      </c>
      <c r="BV169" s="104" t="str">
        <f t="shared" si="29"/>
        <v>lf+onch+schist+sth</v>
      </c>
      <c r="BW169" s="150" t="str">
        <f t="shared" si="30"/>
        <v/>
      </c>
      <c r="BX169" s="150">
        <f t="shared" si="31"/>
        <v>22.45598639</v>
      </c>
      <c r="BY169" s="162">
        <f t="shared" si="32"/>
        <v>37.91244813</v>
      </c>
      <c r="BZ169" s="152">
        <f t="shared" si="33"/>
        <v>6.803062138</v>
      </c>
      <c r="CA169" s="152" t="str">
        <f t="shared" si="34"/>
        <v/>
      </c>
      <c r="CB169" s="152">
        <f t="shared" si="35"/>
        <v>18.60953605</v>
      </c>
      <c r="CC169" s="170">
        <f t="shared" si="36"/>
        <v>38.49686291</v>
      </c>
      <c r="CD169" s="153" t="str">
        <f t="shared" si="37"/>
        <v/>
      </c>
      <c r="CE169" s="154">
        <f t="shared" si="38"/>
        <v>55.16096121</v>
      </c>
      <c r="CF169" s="154" t="str">
        <f t="shared" si="39"/>
        <v/>
      </c>
      <c r="CG169" s="154">
        <f t="shared" si="40"/>
        <v>76.1329714</v>
      </c>
    </row>
    <row r="170">
      <c r="A170" s="103" t="s">
        <v>259</v>
      </c>
      <c r="B170" s="104" t="s">
        <v>88</v>
      </c>
      <c r="C170" s="105">
        <v>2.7425676E7</v>
      </c>
      <c r="D170" s="106">
        <v>0.0</v>
      </c>
      <c r="E170" s="107">
        <v>479.3114935</v>
      </c>
      <c r="F170" s="108">
        <v>0.008854095</v>
      </c>
      <c r="G170" s="108">
        <v>0.052564997</v>
      </c>
      <c r="H170" s="108">
        <v>0.061419092</v>
      </c>
      <c r="I170" s="109">
        <v>163.997528</v>
      </c>
      <c r="J170" s="109">
        <v>362.887787</v>
      </c>
      <c r="K170" s="109">
        <v>526.885315</v>
      </c>
      <c r="L170" s="112">
        <v>35.08426773</v>
      </c>
      <c r="M170" s="112">
        <v>39.92156368</v>
      </c>
      <c r="N170" s="112">
        <v>75.00583141</v>
      </c>
      <c r="O170" s="113"/>
      <c r="P170" s="114"/>
      <c r="Q170" s="114"/>
      <c r="R170" s="115" t="str">
        <f t="shared" si="8"/>
        <v/>
      </c>
      <c r="S170" s="116">
        <f t="shared" si="9"/>
        <v>0.3211323089</v>
      </c>
      <c r="T170" s="118">
        <v>0.4234</v>
      </c>
      <c r="U170" s="118">
        <f t="shared" si="41"/>
        <v>0.4234</v>
      </c>
      <c r="V170" s="148"/>
      <c r="W170" s="120">
        <f t="shared" si="10"/>
        <v>0.9019</v>
      </c>
      <c r="X170" s="148"/>
      <c r="Y170" s="120">
        <f t="shared" si="11"/>
        <v>0.094</v>
      </c>
      <c r="Z170" s="114"/>
      <c r="AA170" s="114"/>
      <c r="AB170" s="114"/>
      <c r="AC170" s="114"/>
      <c r="AD170" s="164">
        <v>0.0</v>
      </c>
      <c r="AE170" s="123">
        <v>0.0</v>
      </c>
      <c r="AF170" s="123">
        <v>1.0E-4</v>
      </c>
      <c r="AG170" s="167">
        <v>0.0</v>
      </c>
      <c r="AH170" s="124">
        <v>0.008889291</v>
      </c>
      <c r="AI170" s="168">
        <v>0.0</v>
      </c>
      <c r="AJ170" s="125">
        <v>0.02372993</v>
      </c>
      <c r="AK170" s="126">
        <v>0.0</v>
      </c>
      <c r="AL170" s="169">
        <v>0.043225325</v>
      </c>
      <c r="AM170" s="128"/>
      <c r="AN170" s="149" t="str">
        <f>IFERROR(
  AVERAGEIFS(
    'New 20102013 LF Efficacy'!$J:$J,
    'New 20102013 LF Efficacy'!$D:$D, $A170,
    'New 20102013 LF Efficacy'!$F:$F,"DEC", 
    'New 20102013 LF Efficacy'!$W:$W,"&lt;2011",
    'New 20102013 LF Efficacy'!$AA:$AA,""),
  ""
)</f>
        <v/>
      </c>
      <c r="AO170" s="115">
        <f t="shared" si="12"/>
        <v>0.3573520833</v>
      </c>
      <c r="AP170" s="121" t="str">
        <f>IFERROR(
AVERAGEIFS(
'New 20102013 LF Efficacy'!$J:$J,
'New 20102013 LF Efficacy'!$D:$D,$A170,
'New 20102013 LF Efficacy'!$F:$F,"Albendazole &amp; DEC",
'New 20102013 LF Efficacy'!$W:$W,"&lt;2011",
'New 20102013 LF Efficacy'!$AA:$AA,""),
"")
</f>
        <v/>
      </c>
      <c r="AQ170" s="115">
        <f t="shared" si="13"/>
        <v>0.7935</v>
      </c>
      <c r="AR170" s="121" t="str">
        <f>IFERROR(
AVERAGEIFS(
'New 20102013 LF Efficacy'!$J:$J,
'New 20102013 LF Efficacy'!$D:$D,$A170,
'New 20102013 LF Efficacy'!$F:$F,"Albendazole &amp; Ivermectin", 
'New 20102013 LF Efficacy'!$W:$W,"&lt;2011",
'New 20102013 LF Efficacy'!$AA:$AA,""),"")</f>
        <v/>
      </c>
      <c r="AS170" s="115">
        <f t="shared" si="14"/>
        <v>0.37153125</v>
      </c>
      <c r="AT170" s="130">
        <f>IFERROR(AVERAGEIFS(
'20102013 Schist Efficacy'!$O:$O, 
'20102013 Schist Efficacy'!$C:$C,$A170, 
'20102013 Schist Efficacy'!$D:$D, "Praziquantel",
'20102013 Schist Efficacy'!$J:$J,"&lt;2011",
'20102013 Schist Efficacy'!$U:$U,""),
"")</f>
        <v>0.96</v>
      </c>
      <c r="AU170" s="118">
        <f t="shared" si="15"/>
        <v>0.96</v>
      </c>
      <c r="AV170" s="131" t="str">
        <f>IFERROR(AVERAGEIFS(
'20102013 STH Efficacy'!$AX:$AX, 
'20102013 STH Efficacy'!$AL:$AL, $A170, 
'20102013 STH Efficacy'!$AM:$AM, "Albendazole",
'20102013 STH Efficacy'!$AS:$AS,"&lt;2011",
'20102013 STH Efficacy'!$BP:$BP,""),
"")</f>
        <v/>
      </c>
      <c r="AW170" s="132">
        <f t="shared" si="16"/>
        <v>0.3842878788</v>
      </c>
      <c r="AX170" s="131" t="str">
        <f>IFERROR(AVERAGEIFS(
'20102013 STH Efficacy'!$AX:$AX, 
'20102013 STH Efficacy'!$AL:$AL, $A170, 
'20102013 STH Efficacy'!$AM:$AM, "Mebendazole",
'20102013 STH Efficacy'!$AS:$AS,"&lt;2011",
'20102013 STH Efficacy'!$BP:$BP,""),
"")</f>
        <v/>
      </c>
      <c r="AY170" s="132">
        <f t="shared" si="17"/>
        <v>0.5121666667</v>
      </c>
      <c r="AZ170" s="131" t="str">
        <f>IFERROR(AVERAGEIFS(
'20102013 STH Efficacy'!$AX:$AX, 
'20102013 STH Efficacy'!$AL:$AL, $A170, 
'20102013 STH Efficacy'!$AM:$AM, "Albendazole &amp; Ivermectin",
'20102013 STH Efficacy'!$AS:$AS,"&lt;2011",
'20102013 STH Efficacy'!$BP:$BP,""),
"")</f>
        <v/>
      </c>
      <c r="BA170" s="133">
        <f t="shared" si="18"/>
        <v>0.7176666667</v>
      </c>
      <c r="BB170" s="134" t="str">
        <f>IFERROR(AVERAGEIFS(
'20102013 STH Efficacy'!$N:$N, 
'20102013 STH Efficacy'!$B:$B, $A170, 
'20102013 STH Efficacy'!$C:$C, "Albendazole",
'20102013 STH Efficacy'!$I:$I,"&lt;2011",
'20102013 STH Efficacy'!$AH:$AH,""),
"")</f>
        <v/>
      </c>
      <c r="BC170" s="135">
        <f t="shared" si="19"/>
        <v>0.7630416667</v>
      </c>
      <c r="BD170" s="134" t="str">
        <f>IFERROR(AVERAGEIFS(
'20102013 STH Efficacy'!$N:$N, 
'20102013 STH Efficacy'!$B:$B, $A170, 
'20102013 STH Efficacy'!$C:$C, "Mebendazole",
'20102013 STH Efficacy'!$I:$I,"&lt;2011",
'20102013 STH Efficacy'!$AH:$AH,""),
"")</f>
        <v/>
      </c>
      <c r="BE170" s="135">
        <f t="shared" si="20"/>
        <v>0.4405966667</v>
      </c>
      <c r="BF170" s="128" t="str">
        <f>IFERROR(AVERAGEIFS(
'20102013 STH Efficacy'!$CD:$CD, 
'20102013 STH Efficacy'!$BS:$BS, $A170, 
'20102013 STH Efficacy'!$BT:$BT, "Albendazole",
'20102013 STH Efficacy'!$BZ:$BZ,"&lt;2011",
'20102013 STH Efficacy'!$CU:$CU,""),
"")</f>
        <v/>
      </c>
      <c r="BG170" s="136">
        <f t="shared" si="21"/>
        <v>0.955</v>
      </c>
      <c r="BH170" s="128" t="str">
        <f>IFERROR(AVERAGEIFS(
'20102013 STH Efficacy'!$CD:$CD, 
'20102013 STH Efficacy'!$BS:$BS, $A170, 
'20102013 STH Efficacy'!$BT:$BT, "Mebendazole",
'20102013 STH Efficacy'!$BZ:$BZ,"&lt;2011",
'20102013 STH Efficacy'!$CU:$CU,""),
"")</f>
        <v/>
      </c>
      <c r="BI170" s="136">
        <f t="shared" si="22"/>
        <v>1</v>
      </c>
      <c r="BJ170" s="128" t="str">
        <f>IFERROR(AVERAGEIFS(
'20102013 STH Efficacy'!$CD:$CD, 
'20102013 STH Efficacy'!$BS:$BS, $A170, 
'20102013 STH Efficacy'!$BT:$BT, "Albendazole &amp; Ivermectin",
'20102013 STH Efficacy'!$BZ:$BZ,"&lt;2011",
'20102013 STH Efficacy'!$CU:$CU,""),
"")</f>
        <v/>
      </c>
      <c r="BK170" s="136">
        <f t="shared" si="23"/>
        <v>1</v>
      </c>
      <c r="BL170" s="137"/>
      <c r="BM170" s="137"/>
      <c r="BN170" s="138">
        <v>0.0</v>
      </c>
      <c r="BO170" s="139">
        <v>0.0</v>
      </c>
      <c r="BP170" s="140">
        <v>0.0</v>
      </c>
      <c r="BQ170" s="141">
        <f t="shared" si="24"/>
        <v>0</v>
      </c>
      <c r="BR170" s="104" t="str">
        <f t="shared" si="25"/>
        <v>0000</v>
      </c>
      <c r="BS170" s="104" t="str">
        <f t="shared" si="26"/>
        <v>no action required</v>
      </c>
      <c r="BT170" s="142" t="str">
        <f t="shared" si="27"/>
        <v/>
      </c>
      <c r="BU170" s="104" t="str">
        <f t="shared" si="28"/>
        <v/>
      </c>
      <c r="BV170" s="104" t="str">
        <f t="shared" si="29"/>
        <v>none</v>
      </c>
      <c r="BW170" s="150" t="str">
        <f t="shared" si="30"/>
        <v/>
      </c>
      <c r="BX170" s="150" t="str">
        <f t="shared" si="31"/>
        <v/>
      </c>
      <c r="BY170" s="151" t="str">
        <f t="shared" si="32"/>
        <v/>
      </c>
      <c r="BZ170" s="152" t="str">
        <f t="shared" si="33"/>
        <v/>
      </c>
      <c r="CA170" s="152" t="str">
        <f t="shared" si="34"/>
        <v/>
      </c>
      <c r="CB170" s="152" t="str">
        <f t="shared" si="35"/>
        <v/>
      </c>
      <c r="CC170" s="153" t="str">
        <f t="shared" si="36"/>
        <v/>
      </c>
      <c r="CD170" s="153" t="str">
        <f t="shared" si="37"/>
        <v/>
      </c>
      <c r="CE170" s="154" t="str">
        <f t="shared" si="38"/>
        <v/>
      </c>
      <c r="CF170" s="154" t="str">
        <f t="shared" si="39"/>
        <v/>
      </c>
      <c r="CG170" s="154" t="str">
        <f t="shared" si="40"/>
        <v/>
      </c>
    </row>
    <row r="171">
      <c r="A171" s="103" t="s">
        <v>260</v>
      </c>
      <c r="B171" s="104" t="s">
        <v>92</v>
      </c>
      <c r="C171" s="105">
        <v>1.2916229E7</v>
      </c>
      <c r="D171" s="106">
        <v>8577.339184</v>
      </c>
      <c r="E171" s="107">
        <v>43189.84889</v>
      </c>
      <c r="F171" s="108">
        <v>12.0094881</v>
      </c>
      <c r="G171" s="108">
        <v>48.21143218</v>
      </c>
      <c r="H171" s="108">
        <v>60.22092027</v>
      </c>
      <c r="I171" s="109">
        <v>148.370429</v>
      </c>
      <c r="J171" s="109">
        <v>343.789155</v>
      </c>
      <c r="K171" s="109">
        <v>492.1595839</v>
      </c>
      <c r="L171" s="112">
        <v>1200.630374</v>
      </c>
      <c r="M171" s="112">
        <v>166.5084045</v>
      </c>
      <c r="N171" s="158">
        <v>1367.138779</v>
      </c>
      <c r="O171" s="159"/>
      <c r="P171" s="160">
        <v>5314600.0</v>
      </c>
      <c r="Q171" s="156"/>
      <c r="R171" s="115">
        <f t="shared" si="8"/>
        <v>0</v>
      </c>
      <c r="S171" s="116">
        <f t="shared" si="9"/>
        <v>0.1716437208</v>
      </c>
      <c r="T171" s="130"/>
      <c r="U171" s="118">
        <f t="shared" si="41"/>
        <v>0.252</v>
      </c>
      <c r="V171" s="119">
        <v>1.0</v>
      </c>
      <c r="W171" s="120">
        <f t="shared" si="10"/>
        <v>1</v>
      </c>
      <c r="X171" s="119">
        <v>0.139</v>
      </c>
      <c r="Y171" s="120">
        <f t="shared" si="11"/>
        <v>0.139</v>
      </c>
      <c r="Z171" s="114"/>
      <c r="AA171" s="114"/>
      <c r="AB171" s="114"/>
      <c r="AC171" s="114"/>
      <c r="AD171" s="164">
        <v>0.0</v>
      </c>
      <c r="AE171" s="123">
        <v>0.38</v>
      </c>
      <c r="AF171" s="123">
        <v>0.1317</v>
      </c>
      <c r="AG171" s="167">
        <v>0.0</v>
      </c>
      <c r="AH171" s="124">
        <v>0.082967835</v>
      </c>
      <c r="AI171" s="168">
        <v>0.0</v>
      </c>
      <c r="AJ171" s="125">
        <v>0.033939291</v>
      </c>
      <c r="AK171" s="126">
        <v>0.0</v>
      </c>
      <c r="AL171" s="169">
        <v>0.031628113</v>
      </c>
      <c r="AM171" s="128"/>
      <c r="AN171" s="149" t="str">
        <f>IFERROR(
  AVERAGEIFS(
    'New 20102013 LF Efficacy'!$J:$J,
    'New 20102013 LF Efficacy'!$D:$D, $A171,
    'New 20102013 LF Efficacy'!$F:$F,"DEC", 
    'New 20102013 LF Efficacy'!$W:$W,"&lt;2011",
    'New 20102013 LF Efficacy'!$AA:$AA,""),
  ""
)</f>
        <v/>
      </c>
      <c r="AO171" s="115">
        <f t="shared" si="12"/>
        <v>0.31225</v>
      </c>
      <c r="AP171" s="121" t="str">
        <f>IFERROR(
AVERAGEIFS(
'New 20102013 LF Efficacy'!$J:$J,
'New 20102013 LF Efficacy'!$D:$D,$A171,
'New 20102013 LF Efficacy'!$F:$F,"Albendazole &amp; DEC",
'New 20102013 LF Efficacy'!$W:$W,"&lt;2011",
'New 20102013 LF Efficacy'!$AA:$AA,""),
"")
</f>
        <v/>
      </c>
      <c r="AQ171" s="115">
        <f t="shared" si="13"/>
        <v>0.4</v>
      </c>
      <c r="AR171" s="121" t="str">
        <f>IFERROR(
AVERAGEIFS(
'New 20102013 LF Efficacy'!$J:$J,
'New 20102013 LF Efficacy'!$D:$D,$A171,
'New 20102013 LF Efficacy'!$F:$F,"Albendazole &amp; Ivermectin", 
'New 20102013 LF Efficacy'!$W:$W,"&lt;2011",
'New 20102013 LF Efficacy'!$AA:$AA,""),"")</f>
        <v/>
      </c>
      <c r="AS171" s="115">
        <f t="shared" si="14"/>
        <v>0.2943125</v>
      </c>
      <c r="AT171" s="130">
        <f>IFERROR(AVERAGEIFS(
'20102013 Schist Efficacy'!$O:$O, 
'20102013 Schist Efficacy'!$C:$C,$A171, 
'20102013 Schist Efficacy'!$D:$D, "Praziquantel",
'20102013 Schist Efficacy'!$J:$J,"&lt;2011",
'20102013 Schist Efficacy'!$U:$U,""),
"")</f>
        <v>0.412</v>
      </c>
      <c r="AU171" s="118">
        <f t="shared" si="15"/>
        <v>0.412</v>
      </c>
      <c r="AV171" s="131" t="str">
        <f>IFERROR(AVERAGEIFS(
'20102013 STH Efficacy'!$AX:$AX, 
'20102013 STH Efficacy'!$AL:$AL, $A171, 
'20102013 STH Efficacy'!$AM:$AM, "Albendazole",
'20102013 STH Efficacy'!$AS:$AS,"&lt;2011",
'20102013 STH Efficacy'!$BP:$BP,""),
"")</f>
        <v/>
      </c>
      <c r="AW171" s="132">
        <f t="shared" si="16"/>
        <v>0.3538333333</v>
      </c>
      <c r="AX171" s="131" t="str">
        <f>IFERROR(AVERAGEIFS(
'20102013 STH Efficacy'!$AX:$AX, 
'20102013 STH Efficacy'!$AL:$AL, $A171, 
'20102013 STH Efficacy'!$AM:$AM, "Mebendazole",
'20102013 STH Efficacy'!$AS:$AS,"&lt;2011",
'20102013 STH Efficacy'!$BP:$BP,""),
"")</f>
        <v/>
      </c>
      <c r="AY171" s="132">
        <f t="shared" si="17"/>
        <v>0.5918333333</v>
      </c>
      <c r="AZ171" s="131" t="str">
        <f>IFERROR(AVERAGEIFS(
'20102013 STH Efficacy'!$AX:$AX, 
'20102013 STH Efficacy'!$AL:$AL, $A171, 
'20102013 STH Efficacy'!$AM:$AM, "Albendazole &amp; Ivermectin",
'20102013 STH Efficacy'!$AS:$AS,"&lt;2011",
'20102013 STH Efficacy'!$BP:$BP,""),
"")</f>
        <v/>
      </c>
      <c r="BA171" s="133">
        <f t="shared" si="18"/>
        <v>0.706</v>
      </c>
      <c r="BB171" s="134" t="str">
        <f>IFERROR(AVERAGEIFS(
'20102013 STH Efficacy'!$N:$N, 
'20102013 STH Efficacy'!$B:$B, $A171, 
'20102013 STH Efficacy'!$C:$C, "Albendazole",
'20102013 STH Efficacy'!$I:$I,"&lt;2011",
'20102013 STH Efficacy'!$AH:$AH,""),
"")</f>
        <v/>
      </c>
      <c r="BC171" s="135">
        <f t="shared" si="19"/>
        <v>0.9116666667</v>
      </c>
      <c r="BD171" s="134" t="str">
        <f>IFERROR(AVERAGEIFS(
'20102013 STH Efficacy'!$N:$N, 
'20102013 STH Efficacy'!$B:$B, $A171, 
'20102013 STH Efficacy'!$C:$C, "Mebendazole",
'20102013 STH Efficacy'!$I:$I,"&lt;2011",
'20102013 STH Efficacy'!$AH:$AH,""),
"")</f>
        <v/>
      </c>
      <c r="BE171" s="135">
        <f t="shared" si="20"/>
        <v>0.7092416667</v>
      </c>
      <c r="BF171" s="128" t="str">
        <f>IFERROR(AVERAGEIFS(
'20102013 STH Efficacy'!$CD:$CD, 
'20102013 STH Efficacy'!$BS:$BS, $A171, 
'20102013 STH Efficacy'!$BT:$BT, "Albendazole",
'20102013 STH Efficacy'!$BZ:$BZ,"&lt;2011",
'20102013 STH Efficacy'!$CU:$CU,""),
"")</f>
        <v/>
      </c>
      <c r="BG171" s="136">
        <f t="shared" si="21"/>
        <v>0.8656666667</v>
      </c>
      <c r="BH171" s="128" t="str">
        <f>IFERROR(AVERAGEIFS(
'20102013 STH Efficacy'!$CD:$CD, 
'20102013 STH Efficacy'!$BS:$BS, $A171, 
'20102013 STH Efficacy'!$BT:$BT, "Mebendazole",
'20102013 STH Efficacy'!$BZ:$BZ,"&lt;2011",
'20102013 STH Efficacy'!$CU:$CU,""),
"")</f>
        <v/>
      </c>
      <c r="BI171" s="136">
        <f t="shared" si="22"/>
        <v>0.9203333333</v>
      </c>
      <c r="BJ171" s="128" t="str">
        <f>IFERROR(AVERAGEIFS(
'20102013 STH Efficacy'!$CD:$CD, 
'20102013 STH Efficacy'!$BS:$BS, $A171, 
'20102013 STH Efficacy'!$BT:$BT, "Albendazole &amp; Ivermectin",
'20102013 STH Efficacy'!$BZ:$BZ,"&lt;2011",
'20102013 STH Efficacy'!$CU:$CU,""),
"")</f>
        <v/>
      </c>
      <c r="BK171" s="136">
        <f t="shared" si="23"/>
        <v>1</v>
      </c>
      <c r="BL171" s="137"/>
      <c r="BM171" s="137"/>
      <c r="BN171" s="138">
        <v>1.0</v>
      </c>
      <c r="BO171" s="139">
        <v>1.0</v>
      </c>
      <c r="BP171" s="140">
        <v>1.0</v>
      </c>
      <c r="BQ171" s="141">
        <f t="shared" si="24"/>
        <v>0</v>
      </c>
      <c r="BR171" s="104" t="str">
        <f t="shared" si="25"/>
        <v>1110</v>
      </c>
      <c r="BS171" s="104" t="str">
        <f t="shared" si="26"/>
        <v>MDA1+T2</v>
      </c>
      <c r="BT171" s="142" t="str">
        <f t="shared" si="27"/>
        <v>IVM+ALB</v>
      </c>
      <c r="BU171" s="104" t="str">
        <f t="shared" si="28"/>
        <v>PZQ</v>
      </c>
      <c r="BV171" s="104" t="str">
        <f t="shared" si="29"/>
        <v>lf+onch+schist </v>
      </c>
      <c r="BW171" s="150" t="str">
        <f t="shared" si="30"/>
        <v/>
      </c>
      <c r="BX171" s="150">
        <f t="shared" si="31"/>
        <v>456.3541139</v>
      </c>
      <c r="BY171" s="162">
        <f t="shared" si="32"/>
        <v>5003.640882</v>
      </c>
      <c r="BZ171" s="152" t="str">
        <f t="shared" si="33"/>
        <v/>
      </c>
      <c r="CA171" s="152" t="str">
        <f t="shared" si="34"/>
        <v/>
      </c>
      <c r="CB171" s="152" t="str">
        <f t="shared" si="35"/>
        <v/>
      </c>
      <c r="CC171" s="153" t="str">
        <f t="shared" si="36"/>
        <v/>
      </c>
      <c r="CD171" s="153" t="str">
        <f t="shared" si="37"/>
        <v/>
      </c>
      <c r="CE171" s="154" t="str">
        <f t="shared" si="38"/>
        <v/>
      </c>
      <c r="CF171" s="154" t="str">
        <f t="shared" si="39"/>
        <v/>
      </c>
      <c r="CG171" s="154" t="str">
        <f t="shared" si="40"/>
        <v/>
      </c>
    </row>
    <row r="172">
      <c r="A172" s="155" t="s">
        <v>261</v>
      </c>
      <c r="B172" s="104" t="s">
        <v>90</v>
      </c>
      <c r="C172" s="105">
        <v>7291436.0</v>
      </c>
      <c r="D172" s="106">
        <v>0.0</v>
      </c>
      <c r="E172" s="107">
        <v>0.0</v>
      </c>
      <c r="F172" s="108">
        <v>0.0</v>
      </c>
      <c r="G172" s="108">
        <v>0.0</v>
      </c>
      <c r="H172" s="108">
        <v>0.0</v>
      </c>
      <c r="I172" s="109">
        <v>0.0</v>
      </c>
      <c r="J172" s="109">
        <v>0.0</v>
      </c>
      <c r="K172" s="109">
        <v>0.0</v>
      </c>
      <c r="L172" s="112">
        <v>0.546816719</v>
      </c>
      <c r="M172" s="112">
        <v>0.274769012</v>
      </c>
      <c r="N172" s="112">
        <v>0.821585732</v>
      </c>
      <c r="O172" s="113"/>
      <c r="P172" s="114"/>
      <c r="Q172" s="114"/>
      <c r="R172" s="115" t="str">
        <f t="shared" si="8"/>
        <v/>
      </c>
      <c r="S172" s="116">
        <f t="shared" si="9"/>
        <v>0.4013436246</v>
      </c>
      <c r="T172" s="117"/>
      <c r="U172" s="118">
        <f t="shared" si="41"/>
        <v>0.3468166667</v>
      </c>
      <c r="V172" s="148"/>
      <c r="W172" s="120">
        <f t="shared" si="10"/>
        <v>1</v>
      </c>
      <c r="X172" s="148"/>
      <c r="Y172" s="120">
        <f t="shared" si="11"/>
        <v>0.71735</v>
      </c>
      <c r="Z172" s="114"/>
      <c r="AA172" s="114"/>
      <c r="AB172" s="114"/>
      <c r="AC172" s="114"/>
      <c r="AD172" s="164">
        <v>0.0</v>
      </c>
      <c r="AE172" s="123">
        <v>0.0</v>
      </c>
      <c r="AF172" s="123">
        <v>0.0</v>
      </c>
      <c r="AG172" s="167">
        <v>0.0</v>
      </c>
      <c r="AH172" s="124">
        <v>0.0</v>
      </c>
      <c r="AI172" s="168">
        <v>0.0</v>
      </c>
      <c r="AJ172" s="125">
        <v>0.0</v>
      </c>
      <c r="AK172" s="126">
        <v>0.0</v>
      </c>
      <c r="AL172" s="169">
        <v>0.0</v>
      </c>
      <c r="AM172" s="128"/>
      <c r="AN172" s="149" t="str">
        <f>IFERROR(
  AVERAGEIFS(
    'New 20102013 LF Efficacy'!$J:$J,
    'New 20102013 LF Efficacy'!$D:$D, $A172,
    'New 20102013 LF Efficacy'!$F:$F,"DEC", 
    'New 20102013 LF Efficacy'!$W:$W,"&lt;2011",
    'New 20102013 LF Efficacy'!$AA:$AA,""),
  ""
)</f>
        <v/>
      </c>
      <c r="AO172" s="115">
        <f t="shared" si="12"/>
        <v>0.3573520833</v>
      </c>
      <c r="AP172" s="121" t="str">
        <f>IFERROR(
AVERAGEIFS(
'New 20102013 LF Efficacy'!$J:$J,
'New 20102013 LF Efficacy'!$D:$D,$A172,
'New 20102013 LF Efficacy'!$F:$F,"Albendazole &amp; DEC",
'New 20102013 LF Efficacy'!$W:$W,"&lt;2011",
'New 20102013 LF Efficacy'!$AA:$AA,""),
"")
</f>
        <v/>
      </c>
      <c r="AQ172" s="115">
        <f t="shared" si="13"/>
        <v>0.5137291667</v>
      </c>
      <c r="AR172" s="121" t="str">
        <f>IFERROR(
AVERAGEIFS(
'New 20102013 LF Efficacy'!$J:$J,
'New 20102013 LF Efficacy'!$D:$D,$A172,
'New 20102013 LF Efficacy'!$F:$F,"Albendazole &amp; Ivermectin", 
'New 20102013 LF Efficacy'!$W:$W,"&lt;2011",
'New 20102013 LF Efficacy'!$AA:$AA,""),"")</f>
        <v/>
      </c>
      <c r="AS172" s="115">
        <f t="shared" si="14"/>
        <v>0.37153125</v>
      </c>
      <c r="AT172" s="130" t="str">
        <f>IFERROR(AVERAGEIFS(
'20102013 Schist Efficacy'!$O:$O, 
'20102013 Schist Efficacy'!$C:$C,$A172, 
'20102013 Schist Efficacy'!$D:$D, "Praziquantel",
'20102013 Schist Efficacy'!$J:$J,"&lt;2011",
'20102013 Schist Efficacy'!$U:$U,""),
"")</f>
        <v/>
      </c>
      <c r="AU172" s="118">
        <f t="shared" si="15"/>
        <v>0.655</v>
      </c>
      <c r="AV172" s="131" t="str">
        <f>IFERROR(AVERAGEIFS(
'20102013 STH Efficacy'!$AX:$AX, 
'20102013 STH Efficacy'!$AL:$AL, $A172, 
'20102013 STH Efficacy'!$AM:$AM, "Albendazole",
'20102013 STH Efficacy'!$AS:$AS,"&lt;2011",
'20102013 STH Efficacy'!$BP:$BP,""),
"")</f>
        <v/>
      </c>
      <c r="AW172" s="132">
        <f t="shared" si="16"/>
        <v>0.3842878788</v>
      </c>
      <c r="AX172" s="131" t="str">
        <f>IFERROR(AVERAGEIFS(
'20102013 STH Efficacy'!$AX:$AX, 
'20102013 STH Efficacy'!$AL:$AL, $A172, 
'20102013 STH Efficacy'!$AM:$AM, "Mebendazole",
'20102013 STH Efficacy'!$AS:$AS,"&lt;2011",
'20102013 STH Efficacy'!$BP:$BP,""),
"")</f>
        <v/>
      </c>
      <c r="AY172" s="132">
        <f t="shared" si="17"/>
        <v>0.5121666667</v>
      </c>
      <c r="AZ172" s="131" t="str">
        <f>IFERROR(AVERAGEIFS(
'20102013 STH Efficacy'!$AX:$AX, 
'20102013 STH Efficacy'!$AL:$AL, $A172, 
'20102013 STH Efficacy'!$AM:$AM, "Albendazole &amp; Ivermectin",
'20102013 STH Efficacy'!$AS:$AS,"&lt;2011",
'20102013 STH Efficacy'!$BP:$BP,""),
"")</f>
        <v/>
      </c>
      <c r="BA172" s="133">
        <f t="shared" si="18"/>
        <v>0.7176666667</v>
      </c>
      <c r="BB172" s="134" t="str">
        <f>IFERROR(AVERAGEIFS(
'20102013 STH Efficacy'!$N:$N, 
'20102013 STH Efficacy'!$B:$B, $A172, 
'20102013 STH Efficacy'!$C:$C, "Albendazole",
'20102013 STH Efficacy'!$I:$I,"&lt;2011",
'20102013 STH Efficacy'!$AH:$AH,""),
"")</f>
        <v/>
      </c>
      <c r="BC172" s="135">
        <f t="shared" si="19"/>
        <v>0.7630416667</v>
      </c>
      <c r="BD172" s="134" t="str">
        <f>IFERROR(AVERAGEIFS(
'20102013 STH Efficacy'!$N:$N, 
'20102013 STH Efficacy'!$B:$B, $A172, 
'20102013 STH Efficacy'!$C:$C, "Mebendazole",
'20102013 STH Efficacy'!$I:$I,"&lt;2011",
'20102013 STH Efficacy'!$AH:$AH,""),
"")</f>
        <v/>
      </c>
      <c r="BE172" s="135">
        <f t="shared" si="20"/>
        <v>0.4405966667</v>
      </c>
      <c r="BF172" s="128" t="str">
        <f>IFERROR(AVERAGEIFS(
'20102013 STH Efficacy'!$CD:$CD, 
'20102013 STH Efficacy'!$BS:$BS, $A172, 
'20102013 STH Efficacy'!$BT:$BT, "Albendazole",
'20102013 STH Efficacy'!$BZ:$BZ,"&lt;2011",
'20102013 STH Efficacy'!$CU:$CU,""),
"")</f>
        <v/>
      </c>
      <c r="BG172" s="136">
        <f t="shared" si="21"/>
        <v>0.9403222222</v>
      </c>
      <c r="BH172" s="128" t="str">
        <f>IFERROR(AVERAGEIFS(
'20102013 STH Efficacy'!$CD:$CD, 
'20102013 STH Efficacy'!$BS:$BS, $A172, 
'20102013 STH Efficacy'!$BT:$BT, "Mebendazole",
'20102013 STH Efficacy'!$BZ:$BZ,"&lt;2011",
'20102013 STH Efficacy'!$CU:$CU,""),
"")</f>
        <v/>
      </c>
      <c r="BI172" s="136">
        <f t="shared" si="22"/>
        <v>0.9229285714</v>
      </c>
      <c r="BJ172" s="128" t="str">
        <f>IFERROR(AVERAGEIFS(
'20102013 STH Efficacy'!$CD:$CD, 
'20102013 STH Efficacy'!$BS:$BS, $A172, 
'20102013 STH Efficacy'!$BT:$BT, "Albendazole &amp; Ivermectin",
'20102013 STH Efficacy'!$BZ:$BZ,"&lt;2011",
'20102013 STH Efficacy'!$CU:$CU,""),
"")</f>
        <v/>
      </c>
      <c r="BK172" s="136">
        <f t="shared" si="23"/>
        <v>1</v>
      </c>
      <c r="BL172" s="137"/>
      <c r="BM172" s="137"/>
      <c r="BN172" s="138">
        <v>0.0</v>
      </c>
      <c r="BO172" s="139">
        <v>0.0</v>
      </c>
      <c r="BP172" s="140">
        <v>0.0</v>
      </c>
      <c r="BQ172" s="141">
        <f t="shared" si="24"/>
        <v>0</v>
      </c>
      <c r="BR172" s="104" t="str">
        <f t="shared" si="25"/>
        <v>0000</v>
      </c>
      <c r="BS172" s="104" t="str">
        <f t="shared" si="26"/>
        <v>no action required</v>
      </c>
      <c r="BT172" s="142" t="str">
        <f t="shared" si="27"/>
        <v/>
      </c>
      <c r="BU172" s="104" t="str">
        <f t="shared" si="28"/>
        <v/>
      </c>
      <c r="BV172" s="104" t="str">
        <f t="shared" si="29"/>
        <v>none</v>
      </c>
      <c r="BW172" s="150" t="str">
        <f t="shared" si="30"/>
        <v/>
      </c>
      <c r="BX172" s="150" t="str">
        <f t="shared" si="31"/>
        <v/>
      </c>
      <c r="BY172" s="151" t="str">
        <f t="shared" si="32"/>
        <v/>
      </c>
      <c r="BZ172" s="152" t="str">
        <f t="shared" si="33"/>
        <v/>
      </c>
      <c r="CA172" s="152" t="str">
        <f t="shared" si="34"/>
        <v/>
      </c>
      <c r="CB172" s="152" t="str">
        <f t="shared" si="35"/>
        <v/>
      </c>
      <c r="CC172" s="153" t="str">
        <f t="shared" si="36"/>
        <v/>
      </c>
      <c r="CD172" s="153" t="str">
        <f t="shared" si="37"/>
        <v/>
      </c>
      <c r="CE172" s="154" t="str">
        <f t="shared" si="38"/>
        <v/>
      </c>
      <c r="CF172" s="154" t="str">
        <f t="shared" si="39"/>
        <v/>
      </c>
      <c r="CG172" s="154" t="str">
        <f t="shared" si="40"/>
        <v/>
      </c>
    </row>
    <row r="173">
      <c r="A173" s="155" t="s">
        <v>262</v>
      </c>
      <c r="B173" s="104" t="s">
        <v>92</v>
      </c>
      <c r="C173" s="105">
        <v>89770.0</v>
      </c>
      <c r="D173" s="106">
        <v>0.0</v>
      </c>
      <c r="E173" s="107">
        <v>0.0</v>
      </c>
      <c r="F173" s="108">
        <v>4.048196999</v>
      </c>
      <c r="G173" s="108">
        <v>14.59599173</v>
      </c>
      <c r="H173" s="157">
        <v>18.64418872</v>
      </c>
      <c r="I173" s="110">
        <v>3.80984249</v>
      </c>
      <c r="J173" s="110">
        <v>12.9541914</v>
      </c>
      <c r="K173" s="110">
        <v>16.76403386</v>
      </c>
      <c r="L173" s="111">
        <v>1.422047146</v>
      </c>
      <c r="M173" s="111">
        <v>2.426278086</v>
      </c>
      <c r="N173" s="112">
        <v>3.848325233</v>
      </c>
      <c r="O173" s="113"/>
      <c r="P173" s="156"/>
      <c r="Q173" s="156"/>
      <c r="R173" s="115" t="str">
        <f t="shared" si="8"/>
        <v/>
      </c>
      <c r="S173" s="116">
        <f t="shared" si="9"/>
        <v>0.1716437208</v>
      </c>
      <c r="T173" s="118">
        <v>0.932</v>
      </c>
      <c r="U173" s="118">
        <f t="shared" si="41"/>
        <v>0.932</v>
      </c>
      <c r="V173" s="148"/>
      <c r="W173" s="120">
        <f t="shared" si="10"/>
        <v>0.7266555556</v>
      </c>
      <c r="X173" s="148"/>
      <c r="Y173" s="120">
        <f t="shared" si="11"/>
        <v>0.4342071429</v>
      </c>
      <c r="Z173" s="121"/>
      <c r="AA173" s="121"/>
      <c r="AB173" s="121"/>
      <c r="AC173" s="121"/>
      <c r="AD173" s="122">
        <v>0.0</v>
      </c>
      <c r="AE173" s="123">
        <v>0.0</v>
      </c>
      <c r="AF173" s="123">
        <v>0.0</v>
      </c>
      <c r="AG173" s="167">
        <v>0.0</v>
      </c>
      <c r="AH173" s="124">
        <v>0.444949673</v>
      </c>
      <c r="AI173" s="168">
        <v>0.0</v>
      </c>
      <c r="AJ173" s="125">
        <v>0.176272141</v>
      </c>
      <c r="AK173" s="127">
        <v>0.15</v>
      </c>
      <c r="AL173" s="127">
        <v>0.217550857</v>
      </c>
      <c r="AM173" s="128"/>
      <c r="AN173" s="149" t="str">
        <f>IFERROR(
  AVERAGEIFS(
    'New 20102013 LF Efficacy'!$J:$J,
    'New 20102013 LF Efficacy'!$D:$D, $A173,
    'New 20102013 LF Efficacy'!$F:$F,"DEC", 
    'New 20102013 LF Efficacy'!$W:$W,"&lt;2011",
    'New 20102013 LF Efficacy'!$AA:$AA,""),
  ""
)</f>
        <v/>
      </c>
      <c r="AO173" s="115">
        <f t="shared" si="12"/>
        <v>0.31225</v>
      </c>
      <c r="AP173" s="121" t="str">
        <f>IFERROR(
AVERAGEIFS(
'New 20102013 LF Efficacy'!$J:$J,
'New 20102013 LF Efficacy'!$D:$D,$A173,
'New 20102013 LF Efficacy'!$F:$F,"Albendazole &amp; DEC",
'New 20102013 LF Efficacy'!$W:$W,"&lt;2011",
'New 20102013 LF Efficacy'!$AA:$AA,""),
"")
</f>
        <v/>
      </c>
      <c r="AQ173" s="115">
        <f t="shared" si="13"/>
        <v>0.4</v>
      </c>
      <c r="AR173" s="121" t="str">
        <f>IFERROR(
AVERAGEIFS(
'New 20102013 LF Efficacy'!$J:$J,
'New 20102013 LF Efficacy'!$D:$D,$A173,
'New 20102013 LF Efficacy'!$F:$F,"Albendazole &amp; Ivermectin", 
'New 20102013 LF Efficacy'!$W:$W,"&lt;2011",
'New 20102013 LF Efficacy'!$AA:$AA,""),"")</f>
        <v/>
      </c>
      <c r="AS173" s="115">
        <f t="shared" si="14"/>
        <v>0.2943125</v>
      </c>
      <c r="AT173" s="130" t="str">
        <f>IFERROR(AVERAGEIFS(
'20102013 Schist Efficacy'!$O:$O, 
'20102013 Schist Efficacy'!$C:$C,$A173, 
'20102013 Schist Efficacy'!$D:$D, "Praziquantel",
'20102013 Schist Efficacy'!$J:$J,"&lt;2011",
'20102013 Schist Efficacy'!$U:$U,""),
"")</f>
        <v/>
      </c>
      <c r="AU173" s="118">
        <f t="shared" si="15"/>
        <v>0.6444020147</v>
      </c>
      <c r="AV173" s="131" t="str">
        <f>IFERROR(AVERAGEIFS(
'20102013 STH Efficacy'!$AX:$AX, 
'20102013 STH Efficacy'!$AL:$AL, $A173, 
'20102013 STH Efficacy'!$AM:$AM, "Albendazole",
'20102013 STH Efficacy'!$AS:$AS,"&lt;2011",
'20102013 STH Efficacy'!$BP:$BP,""),
"")</f>
        <v/>
      </c>
      <c r="AW173" s="132">
        <f t="shared" si="16"/>
        <v>0.3538333333</v>
      </c>
      <c r="AX173" s="131" t="str">
        <f>IFERROR(AVERAGEIFS(
'20102013 STH Efficacy'!$AX:$AX, 
'20102013 STH Efficacy'!$AL:$AL, $A173, 
'20102013 STH Efficacy'!$AM:$AM, "Mebendazole",
'20102013 STH Efficacy'!$AS:$AS,"&lt;2011",
'20102013 STH Efficacy'!$BP:$BP,""),
"")</f>
        <v/>
      </c>
      <c r="AY173" s="132">
        <f t="shared" si="17"/>
        <v>0.5918333333</v>
      </c>
      <c r="AZ173" s="131" t="str">
        <f>IFERROR(AVERAGEIFS(
'20102013 STH Efficacy'!$AX:$AX, 
'20102013 STH Efficacy'!$AL:$AL, $A173, 
'20102013 STH Efficacy'!$AM:$AM, "Albendazole &amp; Ivermectin",
'20102013 STH Efficacy'!$AS:$AS,"&lt;2011",
'20102013 STH Efficacy'!$BP:$BP,""),
"")</f>
        <v/>
      </c>
      <c r="BA173" s="133">
        <f t="shared" si="18"/>
        <v>0.706</v>
      </c>
      <c r="BB173" s="134" t="str">
        <f>IFERROR(AVERAGEIFS(
'20102013 STH Efficacy'!$N:$N, 
'20102013 STH Efficacy'!$B:$B, $A173, 
'20102013 STH Efficacy'!$C:$C, "Albendazole",
'20102013 STH Efficacy'!$I:$I,"&lt;2011",
'20102013 STH Efficacy'!$AH:$AH,""),
"")</f>
        <v/>
      </c>
      <c r="BC173" s="135">
        <f t="shared" si="19"/>
        <v>0.9116666667</v>
      </c>
      <c r="BD173" s="134" t="str">
        <f>IFERROR(AVERAGEIFS(
'20102013 STH Efficacy'!$N:$N, 
'20102013 STH Efficacy'!$B:$B, $A173, 
'20102013 STH Efficacy'!$C:$C, "Mebendazole",
'20102013 STH Efficacy'!$I:$I,"&lt;2011",
'20102013 STH Efficacy'!$AH:$AH,""),
"")</f>
        <v/>
      </c>
      <c r="BE173" s="135">
        <f t="shared" si="20"/>
        <v>0.7092416667</v>
      </c>
      <c r="BF173" s="128" t="str">
        <f>IFERROR(AVERAGEIFS(
'20102013 STH Efficacy'!$CD:$CD, 
'20102013 STH Efficacy'!$BS:$BS, $A173, 
'20102013 STH Efficacy'!$BT:$BT, "Albendazole",
'20102013 STH Efficacy'!$BZ:$BZ,"&lt;2011",
'20102013 STH Efficacy'!$CU:$CU,""),
"")</f>
        <v/>
      </c>
      <c r="BG173" s="136">
        <f t="shared" si="21"/>
        <v>0.8656666667</v>
      </c>
      <c r="BH173" s="128" t="str">
        <f>IFERROR(AVERAGEIFS(
'20102013 STH Efficacy'!$CD:$CD, 
'20102013 STH Efficacy'!$BS:$BS, $A173, 
'20102013 STH Efficacy'!$BT:$BT, "Mebendazole",
'20102013 STH Efficacy'!$BZ:$BZ,"&lt;2011",
'20102013 STH Efficacy'!$CU:$CU,""),
"")</f>
        <v/>
      </c>
      <c r="BI173" s="136">
        <f t="shared" si="22"/>
        <v>0.9203333333</v>
      </c>
      <c r="BJ173" s="128" t="str">
        <f>IFERROR(AVERAGEIFS(
'20102013 STH Efficacy'!$CD:$CD, 
'20102013 STH Efficacy'!$BS:$BS, $A173, 
'20102013 STH Efficacy'!$BT:$BT, "Albendazole &amp; Ivermectin",
'20102013 STH Efficacy'!$BZ:$BZ,"&lt;2011",
'20102013 STH Efficacy'!$CU:$CU,""),
"")</f>
        <v/>
      </c>
      <c r="BK173" s="136">
        <f t="shared" si="23"/>
        <v>1</v>
      </c>
      <c r="BL173" s="137"/>
      <c r="BM173" s="137"/>
      <c r="BN173" s="138">
        <v>0.0</v>
      </c>
      <c r="BO173" s="139">
        <v>0.0</v>
      </c>
      <c r="BP173" s="140">
        <v>0.0</v>
      </c>
      <c r="BQ173" s="141">
        <f t="shared" si="24"/>
        <v>1</v>
      </c>
      <c r="BR173" s="104" t="str">
        <f t="shared" si="25"/>
        <v>0001</v>
      </c>
      <c r="BS173" s="104" t="str">
        <f t="shared" si="26"/>
        <v>T3</v>
      </c>
      <c r="BT173" s="142" t="str">
        <f t="shared" si="27"/>
        <v>ALB or MBD</v>
      </c>
      <c r="BU173" s="104" t="str">
        <f t="shared" si="28"/>
        <v/>
      </c>
      <c r="BV173" s="104" t="str">
        <f t="shared" si="29"/>
        <v>sth only</v>
      </c>
      <c r="BW173" s="150" t="str">
        <f t="shared" si="30"/>
        <v/>
      </c>
      <c r="BX173" s="150" t="str">
        <f t="shared" si="31"/>
        <v/>
      </c>
      <c r="BY173" s="151" t="str">
        <f t="shared" si="32"/>
        <v/>
      </c>
      <c r="BZ173" s="152">
        <f t="shared" si="33"/>
        <v>4.050647393</v>
      </c>
      <c r="CA173" s="152">
        <f t="shared" si="34"/>
        <v>8.102744043</v>
      </c>
      <c r="CB173" s="152" t="str">
        <f t="shared" si="35"/>
        <v/>
      </c>
      <c r="CC173" s="170">
        <f t="shared" si="36"/>
        <v>15.9653954</v>
      </c>
      <c r="CD173" s="170">
        <f t="shared" si="37"/>
        <v>9.816168279</v>
      </c>
      <c r="CE173" s="154">
        <f t="shared" si="38"/>
        <v>3.87262483</v>
      </c>
      <c r="CF173" s="154">
        <f t="shared" si="39"/>
        <v>4.486051736</v>
      </c>
      <c r="CG173" s="154" t="str">
        <f t="shared" si="40"/>
        <v/>
      </c>
    </row>
    <row r="174">
      <c r="A174" s="103" t="s">
        <v>263</v>
      </c>
      <c r="B174" s="104" t="s">
        <v>92</v>
      </c>
      <c r="C174" s="105">
        <v>6458720.0</v>
      </c>
      <c r="D174" s="106">
        <v>7020.289712</v>
      </c>
      <c r="E174" s="107">
        <v>5659.540458</v>
      </c>
      <c r="F174" s="108">
        <v>49.14689241</v>
      </c>
      <c r="G174" s="108">
        <v>205.3233071</v>
      </c>
      <c r="H174" s="108">
        <v>254.4701995</v>
      </c>
      <c r="I174" s="109">
        <v>538.583461</v>
      </c>
      <c r="J174" s="110">
        <v>1494.91661</v>
      </c>
      <c r="K174" s="109">
        <v>2033.500066</v>
      </c>
      <c r="L174" s="112">
        <v>6190.486491</v>
      </c>
      <c r="M174" s="112">
        <v>1163.976668</v>
      </c>
      <c r="N174" s="158">
        <v>7354.46316</v>
      </c>
      <c r="O174" s="159"/>
      <c r="P174" s="160">
        <v>6127337.0</v>
      </c>
      <c r="Q174" s="160">
        <v>4760021.0</v>
      </c>
      <c r="R174" s="115">
        <f t="shared" si="8"/>
        <v>0.7768498779</v>
      </c>
      <c r="S174" s="116">
        <f t="shared" si="9"/>
        <v>0.7768498779</v>
      </c>
      <c r="T174" s="130"/>
      <c r="U174" s="118">
        <f t="shared" si="41"/>
        <v>0.252</v>
      </c>
      <c r="V174" s="119">
        <v>1.0</v>
      </c>
      <c r="W174" s="120">
        <f t="shared" si="10"/>
        <v>1</v>
      </c>
      <c r="X174" s="119">
        <v>0.9803</v>
      </c>
      <c r="Y174" s="120">
        <f t="shared" si="11"/>
        <v>0.9803</v>
      </c>
      <c r="Z174" s="114"/>
      <c r="AA174" s="114"/>
      <c r="AB174" s="114"/>
      <c r="AC174" s="114"/>
      <c r="AD174" s="164">
        <v>0.0</v>
      </c>
      <c r="AE174" s="123">
        <v>0.04</v>
      </c>
      <c r="AF174" s="123">
        <v>0.0123</v>
      </c>
      <c r="AG174" s="124">
        <v>0.136</v>
      </c>
      <c r="AH174" s="124">
        <v>0.211873443</v>
      </c>
      <c r="AI174" s="125">
        <v>0.1297</v>
      </c>
      <c r="AJ174" s="125">
        <v>0.208593264</v>
      </c>
      <c r="AK174" s="126">
        <v>0.0</v>
      </c>
      <c r="AL174" s="169">
        <v>0.217217341</v>
      </c>
      <c r="AM174" s="128"/>
      <c r="AN174" s="149" t="str">
        <f>IFERROR(
  AVERAGEIFS(
    'New 20102013 LF Efficacy'!$J:$J,
    'New 20102013 LF Efficacy'!$D:$D, $A174,
    'New 20102013 LF Efficacy'!$F:$F,"DEC", 
    'New 20102013 LF Efficacy'!$W:$W,"&lt;2011",
    'New 20102013 LF Efficacy'!$AA:$AA,""),
  ""
)</f>
        <v/>
      </c>
      <c r="AO174" s="115">
        <f t="shared" si="12"/>
        <v>0.31225</v>
      </c>
      <c r="AP174" s="121" t="str">
        <f>IFERROR(
AVERAGEIFS(
'New 20102013 LF Efficacy'!$J:$J,
'New 20102013 LF Efficacy'!$D:$D,$A174,
'New 20102013 LF Efficacy'!$F:$F,"Albendazole &amp; DEC",
'New 20102013 LF Efficacy'!$W:$W,"&lt;2011",
'New 20102013 LF Efficacy'!$AA:$AA,""),
"")
</f>
        <v/>
      </c>
      <c r="AQ174" s="115">
        <f t="shared" si="13"/>
        <v>0.4</v>
      </c>
      <c r="AR174" s="121" t="str">
        <f>IFERROR(
AVERAGEIFS(
'New 20102013 LF Efficacy'!$J:$J,
'New 20102013 LF Efficacy'!$D:$D,$A174,
'New 20102013 LF Efficacy'!$F:$F,"Albendazole &amp; Ivermectin", 
'New 20102013 LF Efficacy'!$W:$W,"&lt;2011",
'New 20102013 LF Efficacy'!$AA:$AA,""),"")</f>
        <v/>
      </c>
      <c r="AS174" s="115">
        <f t="shared" si="14"/>
        <v>0.2943125</v>
      </c>
      <c r="AT174" s="130" t="str">
        <f>IFERROR(AVERAGEIFS(
'20102013 Schist Efficacy'!$O:$O, 
'20102013 Schist Efficacy'!$C:$C,$A174, 
'20102013 Schist Efficacy'!$D:$D, "Praziquantel",
'20102013 Schist Efficacy'!$J:$J,"&lt;2011",
'20102013 Schist Efficacy'!$U:$U,""),
"")</f>
        <v/>
      </c>
      <c r="AU174" s="118">
        <f t="shared" si="15"/>
        <v>0.6444020147</v>
      </c>
      <c r="AV174" s="131" t="str">
        <f>IFERROR(AVERAGEIFS(
'20102013 STH Efficacy'!$AX:$AX, 
'20102013 STH Efficacy'!$AL:$AL, $A174, 
'20102013 STH Efficacy'!$AM:$AM, "Albendazole",
'20102013 STH Efficacy'!$AS:$AS,"&lt;2011",
'20102013 STH Efficacy'!$BP:$BP,""),
"")</f>
        <v/>
      </c>
      <c r="AW174" s="132">
        <f t="shared" si="16"/>
        <v>0.3538333333</v>
      </c>
      <c r="AX174" s="131" t="str">
        <f>IFERROR(AVERAGEIFS(
'20102013 STH Efficacy'!$AX:$AX, 
'20102013 STH Efficacy'!$AL:$AL, $A174, 
'20102013 STH Efficacy'!$AM:$AM, "Mebendazole",
'20102013 STH Efficacy'!$AS:$AS,"&lt;2011",
'20102013 STH Efficacy'!$BP:$BP,""),
"")</f>
        <v/>
      </c>
      <c r="AY174" s="132">
        <f t="shared" si="17"/>
        <v>0.5918333333</v>
      </c>
      <c r="AZ174" s="131" t="str">
        <f>IFERROR(AVERAGEIFS(
'20102013 STH Efficacy'!$AX:$AX, 
'20102013 STH Efficacy'!$AL:$AL, $A174, 
'20102013 STH Efficacy'!$AM:$AM, "Albendazole &amp; Ivermectin",
'20102013 STH Efficacy'!$AS:$AS,"&lt;2011",
'20102013 STH Efficacy'!$BP:$BP,""),
"")</f>
        <v/>
      </c>
      <c r="BA174" s="133">
        <f t="shared" si="18"/>
        <v>0.706</v>
      </c>
      <c r="BB174" s="134" t="str">
        <f>IFERROR(AVERAGEIFS(
'20102013 STH Efficacy'!$N:$N, 
'20102013 STH Efficacy'!$B:$B, $A174, 
'20102013 STH Efficacy'!$C:$C, "Albendazole",
'20102013 STH Efficacy'!$I:$I,"&lt;2011",
'20102013 STH Efficacy'!$AH:$AH,""),
"")</f>
        <v/>
      </c>
      <c r="BC174" s="135">
        <f t="shared" si="19"/>
        <v>0.9116666667</v>
      </c>
      <c r="BD174" s="134" t="str">
        <f>IFERROR(AVERAGEIFS(
'20102013 STH Efficacy'!$N:$N, 
'20102013 STH Efficacy'!$B:$B, $A174, 
'20102013 STH Efficacy'!$C:$C, "Mebendazole",
'20102013 STH Efficacy'!$I:$I,"&lt;2011",
'20102013 STH Efficacy'!$AH:$AH,""),
"")</f>
        <v/>
      </c>
      <c r="BE174" s="135">
        <f t="shared" si="20"/>
        <v>0.7092416667</v>
      </c>
      <c r="BF174" s="128" t="str">
        <f>IFERROR(AVERAGEIFS(
'20102013 STH Efficacy'!$CD:$CD, 
'20102013 STH Efficacy'!$BS:$BS, $A174, 
'20102013 STH Efficacy'!$BT:$BT, "Albendazole",
'20102013 STH Efficacy'!$BZ:$BZ,"&lt;2011",
'20102013 STH Efficacy'!$CU:$CU,""),
"")</f>
        <v/>
      </c>
      <c r="BG174" s="136">
        <f t="shared" si="21"/>
        <v>0.8656666667</v>
      </c>
      <c r="BH174" s="128" t="str">
        <f>IFERROR(AVERAGEIFS(
'20102013 STH Efficacy'!$CD:$CD, 
'20102013 STH Efficacy'!$BS:$BS, $A174, 
'20102013 STH Efficacy'!$BT:$BT, "Mebendazole",
'20102013 STH Efficacy'!$BZ:$BZ,"&lt;2011",
'20102013 STH Efficacy'!$CU:$CU,""),
"")</f>
        <v/>
      </c>
      <c r="BI174" s="136">
        <f t="shared" si="22"/>
        <v>0.9203333333</v>
      </c>
      <c r="BJ174" s="128" t="str">
        <f>IFERROR(AVERAGEIFS(
'20102013 STH Efficacy'!$CD:$CD, 
'20102013 STH Efficacy'!$BS:$BS, $A174, 
'20102013 STH Efficacy'!$BT:$BT, "Albendazole &amp; Ivermectin",
'20102013 STH Efficacy'!$BZ:$BZ,"&lt;2011",
'20102013 STH Efficacy'!$CU:$CU,""),
"")</f>
        <v/>
      </c>
      <c r="BK174" s="136">
        <f t="shared" si="23"/>
        <v>1</v>
      </c>
      <c r="BL174" s="137"/>
      <c r="BM174" s="137"/>
      <c r="BN174" s="138">
        <v>1.0</v>
      </c>
      <c r="BO174" s="139">
        <v>1.0</v>
      </c>
      <c r="BP174" s="140">
        <v>1.0</v>
      </c>
      <c r="BQ174" s="141">
        <f t="shared" si="24"/>
        <v>1</v>
      </c>
      <c r="BR174" s="104" t="str">
        <f t="shared" si="25"/>
        <v>1111</v>
      </c>
      <c r="BS174" s="104" t="str">
        <f t="shared" si="26"/>
        <v>MDA1+T2</v>
      </c>
      <c r="BT174" s="142" t="str">
        <f t="shared" si="27"/>
        <v>IVM+ALB</v>
      </c>
      <c r="BU174" s="104" t="str">
        <f t="shared" si="28"/>
        <v>PZQ</v>
      </c>
      <c r="BV174" s="104" t="str">
        <f t="shared" si="29"/>
        <v>lf+onch+schist+sth</v>
      </c>
      <c r="BW174" s="150" t="str">
        <f t="shared" si="30"/>
        <v/>
      </c>
      <c r="BX174" s="150">
        <f t="shared" si="31"/>
        <v>2080.855069</v>
      </c>
      <c r="BY174" s="162">
        <f t="shared" si="32"/>
        <v>1097.226749</v>
      </c>
      <c r="BZ174" s="152">
        <f t="shared" si="33"/>
        <v>135.9537078</v>
      </c>
      <c r="CA174" s="152" t="str">
        <f t="shared" si="34"/>
        <v/>
      </c>
      <c r="CB174" s="152">
        <f t="shared" si="35"/>
        <v>579.528966</v>
      </c>
      <c r="CC174" s="170">
        <f t="shared" si="36"/>
        <v>18127.76069</v>
      </c>
      <c r="CD174" s="153" t="str">
        <f t="shared" si="37"/>
        <v/>
      </c>
      <c r="CE174" s="154">
        <f t="shared" si="38"/>
        <v>46417.31367</v>
      </c>
      <c r="CF174" s="154" t="str">
        <f t="shared" si="39"/>
        <v/>
      </c>
      <c r="CG174" s="154" t="str">
        <f t="shared" si="40"/>
        <v/>
      </c>
    </row>
    <row r="175">
      <c r="A175" s="155" t="s">
        <v>264</v>
      </c>
      <c r="B175" s="104" t="s">
        <v>94</v>
      </c>
      <c r="C175" s="105">
        <v>5076732.0</v>
      </c>
      <c r="D175" s="106">
        <v>0.0</v>
      </c>
      <c r="E175" s="107">
        <v>0.0</v>
      </c>
      <c r="F175" s="108">
        <v>0.0</v>
      </c>
      <c r="G175" s="108">
        <v>0.0</v>
      </c>
      <c r="H175" s="108">
        <v>0.0</v>
      </c>
      <c r="I175" s="109">
        <v>0.0</v>
      </c>
      <c r="J175" s="109">
        <v>0.0</v>
      </c>
      <c r="K175" s="109">
        <v>0.0</v>
      </c>
      <c r="L175" s="112">
        <v>0.0</v>
      </c>
      <c r="M175" s="112">
        <v>0.0</v>
      </c>
      <c r="N175" s="112">
        <v>0.0</v>
      </c>
      <c r="O175" s="113"/>
      <c r="P175" s="114"/>
      <c r="Q175" s="114"/>
      <c r="R175" s="115" t="str">
        <f t="shared" si="8"/>
        <v/>
      </c>
      <c r="S175" s="116">
        <f t="shared" si="9"/>
        <v>0.1955251818</v>
      </c>
      <c r="T175" s="117"/>
      <c r="U175" s="118">
        <f t="shared" si="41"/>
        <v>0.6259666667</v>
      </c>
      <c r="V175" s="148"/>
      <c r="W175" s="120">
        <f t="shared" si="10"/>
        <v>0.55175</v>
      </c>
      <c r="X175" s="148"/>
      <c r="Y175" s="120">
        <f t="shared" si="11"/>
        <v>0.4826142857</v>
      </c>
      <c r="Z175" s="114"/>
      <c r="AA175" s="114"/>
      <c r="AB175" s="114"/>
      <c r="AC175" s="114"/>
      <c r="AD175" s="164">
        <v>0.0</v>
      </c>
      <c r="AE175" s="123">
        <v>0.0</v>
      </c>
      <c r="AF175" s="123">
        <v>0.0</v>
      </c>
      <c r="AG175" s="167">
        <v>0.0</v>
      </c>
      <c r="AH175" s="124">
        <v>0.0</v>
      </c>
      <c r="AI175" s="168">
        <v>0.0</v>
      </c>
      <c r="AJ175" s="125">
        <v>0.0</v>
      </c>
      <c r="AK175" s="126">
        <v>0.0</v>
      </c>
      <c r="AL175" s="169">
        <v>0.0</v>
      </c>
      <c r="AM175" s="128"/>
      <c r="AN175" s="149" t="str">
        <f>IFERROR(
  AVERAGEIFS(
    'New 20102013 LF Efficacy'!$J:$J,
    'New 20102013 LF Efficacy'!$D:$D, $A175,
    'New 20102013 LF Efficacy'!$F:$F,"DEC", 
    'New 20102013 LF Efficacy'!$W:$W,"&lt;2011",
    'New 20102013 LF Efficacy'!$AA:$AA,""),
  ""
)</f>
        <v/>
      </c>
      <c r="AO175" s="115">
        <f t="shared" si="12"/>
        <v>0.38</v>
      </c>
      <c r="AP175" s="121" t="str">
        <f>IFERROR(
AVERAGEIFS(
'New 20102013 LF Efficacy'!$J:$J,
'New 20102013 LF Efficacy'!$D:$D,$A175,
'New 20102013 LF Efficacy'!$F:$F,"Albendazole &amp; DEC",
'New 20102013 LF Efficacy'!$W:$W,"&lt;2011",
'New 20102013 LF Efficacy'!$AA:$AA,""),
"")
</f>
        <v/>
      </c>
      <c r="AQ175" s="115">
        <f t="shared" si="13"/>
        <v>0.657</v>
      </c>
      <c r="AR175" s="121" t="str">
        <f>IFERROR(
AVERAGEIFS(
'New 20102013 LF Efficacy'!$J:$J,
'New 20102013 LF Efficacy'!$D:$D,$A175,
'New 20102013 LF Efficacy'!$F:$F,"Albendazole &amp; Ivermectin", 
'New 20102013 LF Efficacy'!$W:$W,"&lt;2011",
'New 20102013 LF Efficacy'!$AA:$AA,""),"")</f>
        <v/>
      </c>
      <c r="AS175" s="115">
        <f t="shared" si="14"/>
        <v>0.37153125</v>
      </c>
      <c r="AT175" s="130" t="str">
        <f>IFERROR(AVERAGEIFS(
'20102013 Schist Efficacy'!$O:$O, 
'20102013 Schist Efficacy'!$C:$C,$A175, 
'20102013 Schist Efficacy'!$D:$D, "Praziquantel",
'20102013 Schist Efficacy'!$J:$J,"&lt;2011",
'20102013 Schist Efficacy'!$U:$U,""),
"")</f>
        <v/>
      </c>
      <c r="AU175" s="118">
        <f t="shared" si="15"/>
        <v>0.95</v>
      </c>
      <c r="AV175" s="131" t="str">
        <f>IFERROR(AVERAGEIFS(
'20102013 STH Efficacy'!$AX:$AX, 
'20102013 STH Efficacy'!$AL:$AL, $A175, 
'20102013 STH Efficacy'!$AM:$AM, "Albendazole",
'20102013 STH Efficacy'!$AS:$AS,"&lt;2011",
'20102013 STH Efficacy'!$BP:$BP,""),
"")</f>
        <v/>
      </c>
      <c r="AW175" s="132">
        <f t="shared" si="16"/>
        <v>0.3571666667</v>
      </c>
      <c r="AX175" s="131" t="str">
        <f>IFERROR(AVERAGEIFS(
'20102013 STH Efficacy'!$AX:$AX, 
'20102013 STH Efficacy'!$AL:$AL, $A175, 
'20102013 STH Efficacy'!$AM:$AM, "Mebendazole",
'20102013 STH Efficacy'!$AS:$AS,"&lt;2011",
'20102013 STH Efficacy'!$BP:$BP,""),
"")</f>
        <v/>
      </c>
      <c r="AY175" s="132">
        <f t="shared" si="17"/>
        <v>0.4155</v>
      </c>
      <c r="AZ175" s="131" t="str">
        <f>IFERROR(AVERAGEIFS(
'20102013 STH Efficacy'!$AX:$AX, 
'20102013 STH Efficacy'!$AL:$AL, $A175, 
'20102013 STH Efficacy'!$AM:$AM, "Albendazole &amp; Ivermectin",
'20102013 STH Efficacy'!$AS:$AS,"&lt;2011",
'20102013 STH Efficacy'!$BP:$BP,""),
"")</f>
        <v/>
      </c>
      <c r="BA175" s="133">
        <f t="shared" si="18"/>
        <v>0.651</v>
      </c>
      <c r="BB175" s="134" t="str">
        <f>IFERROR(AVERAGEIFS(
'20102013 STH Efficacy'!$N:$N, 
'20102013 STH Efficacy'!$B:$B, $A175, 
'20102013 STH Efficacy'!$C:$C, "Albendazole",
'20102013 STH Efficacy'!$I:$I,"&lt;2011",
'20102013 STH Efficacy'!$AH:$AH,""),
"")</f>
        <v/>
      </c>
      <c r="BC175" s="135">
        <f t="shared" si="19"/>
        <v>0.5769166667</v>
      </c>
      <c r="BD175" s="134" t="str">
        <f>IFERROR(AVERAGEIFS(
'20102013 STH Efficacy'!$N:$N, 
'20102013 STH Efficacy'!$B:$B, $A175, 
'20102013 STH Efficacy'!$C:$C, "Mebendazole",
'20102013 STH Efficacy'!$I:$I,"&lt;2011",
'20102013 STH Efficacy'!$AH:$AH,""),
"")</f>
        <v/>
      </c>
      <c r="BE175" s="135">
        <f t="shared" si="20"/>
        <v>0.3145</v>
      </c>
      <c r="BF175" s="128" t="str">
        <f>IFERROR(AVERAGEIFS(
'20102013 STH Efficacy'!$CD:$CD, 
'20102013 STH Efficacy'!$BS:$BS, $A175, 
'20102013 STH Efficacy'!$BT:$BT, "Albendazole",
'20102013 STH Efficacy'!$BZ:$BZ,"&lt;2011",
'20102013 STH Efficacy'!$CU:$CU,""),
"")</f>
        <v/>
      </c>
      <c r="BG175" s="136">
        <f t="shared" si="21"/>
        <v>0.96925</v>
      </c>
      <c r="BH175" s="128" t="str">
        <f>IFERROR(AVERAGEIFS(
'20102013 STH Efficacy'!$CD:$CD, 
'20102013 STH Efficacy'!$BS:$BS, $A175, 
'20102013 STH Efficacy'!$BT:$BT, "Mebendazole",
'20102013 STH Efficacy'!$BZ:$BZ,"&lt;2011",
'20102013 STH Efficacy'!$CU:$CU,""),
"")</f>
        <v/>
      </c>
      <c r="BI175" s="136">
        <f t="shared" si="22"/>
        <v>0.9305</v>
      </c>
      <c r="BJ175" s="128" t="str">
        <f>IFERROR(AVERAGEIFS(
'20102013 STH Efficacy'!$CD:$CD, 
'20102013 STH Efficacy'!$BS:$BS, $A175, 
'20102013 STH Efficacy'!$BT:$BT, "Albendazole &amp; Ivermectin",
'20102013 STH Efficacy'!$BZ:$BZ,"&lt;2011",
'20102013 STH Efficacy'!$CU:$CU,""),
"")</f>
        <v/>
      </c>
      <c r="BK175" s="136">
        <f t="shared" si="23"/>
        <v>1</v>
      </c>
      <c r="BL175" s="137"/>
      <c r="BM175" s="137"/>
      <c r="BN175" s="138">
        <v>0.0</v>
      </c>
      <c r="BO175" s="139">
        <v>0.0</v>
      </c>
      <c r="BP175" s="140">
        <v>0.0</v>
      </c>
      <c r="BQ175" s="141">
        <f t="shared" si="24"/>
        <v>0</v>
      </c>
      <c r="BR175" s="104" t="str">
        <f t="shared" si="25"/>
        <v>0000</v>
      </c>
      <c r="BS175" s="104" t="str">
        <f t="shared" si="26"/>
        <v>no action required</v>
      </c>
      <c r="BT175" s="142" t="str">
        <f t="shared" si="27"/>
        <v/>
      </c>
      <c r="BU175" s="104" t="str">
        <f t="shared" si="28"/>
        <v/>
      </c>
      <c r="BV175" s="104" t="str">
        <f t="shared" si="29"/>
        <v>none</v>
      </c>
      <c r="BW175" s="150" t="str">
        <f t="shared" si="30"/>
        <v/>
      </c>
      <c r="BX175" s="150" t="str">
        <f t="shared" si="31"/>
        <v/>
      </c>
      <c r="BY175" s="151" t="str">
        <f t="shared" si="32"/>
        <v/>
      </c>
      <c r="BZ175" s="152" t="str">
        <f t="shared" si="33"/>
        <v/>
      </c>
      <c r="CA175" s="152" t="str">
        <f t="shared" si="34"/>
        <v/>
      </c>
      <c r="CB175" s="152" t="str">
        <f t="shared" si="35"/>
        <v/>
      </c>
      <c r="CC175" s="153" t="str">
        <f t="shared" si="36"/>
        <v/>
      </c>
      <c r="CD175" s="153" t="str">
        <f t="shared" si="37"/>
        <v/>
      </c>
      <c r="CE175" s="154" t="str">
        <f t="shared" si="38"/>
        <v/>
      </c>
      <c r="CF175" s="154" t="str">
        <f t="shared" si="39"/>
        <v/>
      </c>
      <c r="CG175" s="154" t="str">
        <f t="shared" si="40"/>
        <v/>
      </c>
    </row>
    <row r="176">
      <c r="A176" s="155" t="s">
        <v>265</v>
      </c>
      <c r="B176" s="104" t="s">
        <v>98</v>
      </c>
      <c r="C176" s="105">
        <v>35474.0</v>
      </c>
      <c r="D176" s="106">
        <v>0.0</v>
      </c>
      <c r="E176" s="107">
        <v>0.0</v>
      </c>
      <c r="F176" s="163"/>
      <c r="G176" s="163"/>
      <c r="H176" s="108">
        <v>0.0</v>
      </c>
      <c r="I176" s="109">
        <v>0.0</v>
      </c>
      <c r="J176" s="109">
        <v>0.0</v>
      </c>
      <c r="K176" s="109">
        <v>0.0</v>
      </c>
      <c r="L176" s="113"/>
      <c r="M176" s="113"/>
      <c r="N176" s="112">
        <v>0.0</v>
      </c>
      <c r="O176" s="113"/>
      <c r="P176" s="114"/>
      <c r="Q176" s="114"/>
      <c r="R176" s="115" t="str">
        <f t="shared" si="8"/>
        <v/>
      </c>
      <c r="S176" s="116">
        <f t="shared" si="9"/>
        <v>0.14553293</v>
      </c>
      <c r="T176" s="117"/>
      <c r="U176" s="118">
        <f t="shared" si="41"/>
        <v>0.39435</v>
      </c>
      <c r="V176" s="148"/>
      <c r="W176" s="120">
        <f t="shared" si="10"/>
        <v>0.3616</v>
      </c>
      <c r="X176" s="148"/>
      <c r="Y176" s="120">
        <f t="shared" si="11"/>
        <v>0.5015615385</v>
      </c>
      <c r="Z176" s="114"/>
      <c r="AA176" s="114"/>
      <c r="AB176" s="114"/>
      <c r="AC176" s="114"/>
      <c r="AD176" s="164">
        <v>0.0</v>
      </c>
      <c r="AE176" s="165">
        <v>0.0</v>
      </c>
      <c r="AF176" s="166">
        <v>0.0</v>
      </c>
      <c r="AG176" s="167">
        <v>0.0</v>
      </c>
      <c r="AH176" s="172">
        <v>0.0</v>
      </c>
      <c r="AI176" s="168">
        <v>0.0</v>
      </c>
      <c r="AJ176" s="173">
        <v>0.0</v>
      </c>
      <c r="AK176" s="126">
        <v>0.0</v>
      </c>
      <c r="AL176" s="169">
        <v>0.0</v>
      </c>
      <c r="AM176" s="128"/>
      <c r="AN176" s="149" t="str">
        <f>IFERROR(
  AVERAGEIFS(
    'New 20102013 LF Efficacy'!$J:$J,
    'New 20102013 LF Efficacy'!$D:$D, $A176,
    'New 20102013 LF Efficacy'!$F:$F,"DEC", 
    'New 20102013 LF Efficacy'!$W:$W,"&lt;2011",
    'New 20102013 LF Efficacy'!$AA:$AA,""),
  ""
)</f>
        <v/>
      </c>
      <c r="AO176" s="115">
        <f t="shared" si="12"/>
        <v>0.2589833333</v>
      </c>
      <c r="AP176" s="121" t="str">
        <f>IFERROR(
AVERAGEIFS(
'New 20102013 LF Efficacy'!$J:$J,
'New 20102013 LF Efficacy'!$D:$D,$A176,
'New 20102013 LF Efficacy'!$F:$F,"Albendazole &amp; DEC",
'New 20102013 LF Efficacy'!$W:$W,"&lt;2011",
'New 20102013 LF Efficacy'!$AA:$AA,""),
"")
</f>
        <v/>
      </c>
      <c r="AQ176" s="115">
        <f t="shared" si="13"/>
        <v>0.3465</v>
      </c>
      <c r="AR176" s="121" t="str">
        <f>IFERROR(
AVERAGEIFS(
'New 20102013 LF Efficacy'!$J:$J,
'New 20102013 LF Efficacy'!$D:$D,$A176,
'New 20102013 LF Efficacy'!$F:$F,"Albendazole &amp; Ivermectin", 
'New 20102013 LF Efficacy'!$W:$W,"&lt;2011",
'New 20102013 LF Efficacy'!$AA:$AA,""),"")</f>
        <v/>
      </c>
      <c r="AS176" s="115">
        <f t="shared" si="14"/>
        <v>0.7575</v>
      </c>
      <c r="AT176" s="130" t="str">
        <f>IFERROR(AVERAGEIFS(
'20102013 Schist Efficacy'!$O:$O, 
'20102013 Schist Efficacy'!$C:$C,$A176, 
'20102013 Schist Efficacy'!$D:$D, "Praziquantel",
'20102013 Schist Efficacy'!$J:$J,"&lt;2011",
'20102013 Schist Efficacy'!$U:$U,""),
"")</f>
        <v/>
      </c>
      <c r="AU176" s="118">
        <f t="shared" si="15"/>
        <v>0.7732631579</v>
      </c>
      <c r="AV176" s="131" t="str">
        <f>IFERROR(AVERAGEIFS(
'20102013 STH Efficacy'!$AX:$AX, 
'20102013 STH Efficacy'!$AL:$AL, $A176, 
'20102013 STH Efficacy'!$AM:$AM, "Albendazole",
'20102013 STH Efficacy'!$AS:$AS,"&lt;2011",
'20102013 STH Efficacy'!$BP:$BP,""),
"")</f>
        <v/>
      </c>
      <c r="AW176" s="132">
        <f t="shared" si="16"/>
        <v>0.3945</v>
      </c>
      <c r="AX176" s="131" t="str">
        <f>IFERROR(AVERAGEIFS(
'20102013 STH Efficacy'!$AX:$AX, 
'20102013 STH Efficacy'!$AL:$AL, $A176, 
'20102013 STH Efficacy'!$AM:$AM, "Mebendazole",
'20102013 STH Efficacy'!$AS:$AS,"&lt;2011",
'20102013 STH Efficacy'!$BP:$BP,""),
"")</f>
        <v/>
      </c>
      <c r="AY176" s="132">
        <f t="shared" si="17"/>
        <v>0.6</v>
      </c>
      <c r="AZ176" s="131" t="str">
        <f>IFERROR(AVERAGEIFS(
'20102013 STH Efficacy'!$AX:$AX, 
'20102013 STH Efficacy'!$AL:$AL, $A176, 
'20102013 STH Efficacy'!$AM:$AM, "Albendazole &amp; Ivermectin",
'20102013 STH Efficacy'!$AS:$AS,"&lt;2011",
'20102013 STH Efficacy'!$BP:$BP,""),
"")</f>
        <v/>
      </c>
      <c r="BA176" s="133">
        <f t="shared" si="18"/>
        <v>0.796</v>
      </c>
      <c r="BB176" s="134" t="str">
        <f>IFERROR(AVERAGEIFS(
'20102013 STH Efficacy'!$N:$N, 
'20102013 STH Efficacy'!$B:$B, $A176, 
'20102013 STH Efficacy'!$C:$C, "Albendazole",
'20102013 STH Efficacy'!$I:$I,"&lt;2011",
'20102013 STH Efficacy'!$AH:$AH,""),
"")</f>
        <v/>
      </c>
      <c r="BC176" s="135">
        <f t="shared" si="19"/>
        <v>0.869</v>
      </c>
      <c r="BD176" s="134" t="str">
        <f>IFERROR(AVERAGEIFS(
'20102013 STH Efficacy'!$N:$N, 
'20102013 STH Efficacy'!$B:$B, $A176, 
'20102013 STH Efficacy'!$C:$C, "Mebendazole",
'20102013 STH Efficacy'!$I:$I,"&lt;2011",
'20102013 STH Efficacy'!$AH:$AH,""),
"")</f>
        <v/>
      </c>
      <c r="BE176" s="135">
        <f t="shared" si="20"/>
        <v>0.172</v>
      </c>
      <c r="BF176" s="128" t="str">
        <f>IFERROR(AVERAGEIFS(
'20102013 STH Efficacy'!$CD:$CD, 
'20102013 STH Efficacy'!$BS:$BS, $A176, 
'20102013 STH Efficacy'!$BT:$BT, "Albendazole",
'20102013 STH Efficacy'!$BZ:$BZ,"&lt;2011",
'20102013 STH Efficacy'!$CU:$CU,""),
"")</f>
        <v/>
      </c>
      <c r="BG176" s="136">
        <f t="shared" si="21"/>
        <v>0.9862</v>
      </c>
      <c r="BH176" s="128" t="str">
        <f>IFERROR(AVERAGEIFS(
'20102013 STH Efficacy'!$CD:$CD, 
'20102013 STH Efficacy'!$BS:$BS, $A176, 
'20102013 STH Efficacy'!$BT:$BT, "Mebendazole",
'20102013 STH Efficacy'!$BZ:$BZ,"&lt;2011",
'20102013 STH Efficacy'!$CU:$CU,""),
"")</f>
        <v/>
      </c>
      <c r="BI176" s="136">
        <f t="shared" si="22"/>
        <v>0.769</v>
      </c>
      <c r="BJ176" s="128" t="str">
        <f>IFERROR(AVERAGEIFS(
'20102013 STH Efficacy'!$CD:$CD, 
'20102013 STH Efficacy'!$BS:$BS, $A176, 
'20102013 STH Efficacy'!$BT:$BT, "Albendazole &amp; Ivermectin",
'20102013 STH Efficacy'!$BZ:$BZ,"&lt;2011",
'20102013 STH Efficacy'!$CU:$CU,""),
"")</f>
        <v/>
      </c>
      <c r="BK176" s="136">
        <f t="shared" si="23"/>
        <v>1</v>
      </c>
      <c r="BL176" s="137"/>
      <c r="BM176" s="137"/>
      <c r="BN176" s="138">
        <v>0.0</v>
      </c>
      <c r="BO176" s="139">
        <v>0.0</v>
      </c>
      <c r="BP176" s="140">
        <v>0.0</v>
      </c>
      <c r="BQ176" s="141">
        <f t="shared" si="24"/>
        <v>0</v>
      </c>
      <c r="BR176" s="104" t="str">
        <f t="shared" si="25"/>
        <v>0000</v>
      </c>
      <c r="BS176" s="104" t="str">
        <f t="shared" si="26"/>
        <v>no action required</v>
      </c>
      <c r="BT176" s="142" t="str">
        <f t="shared" si="27"/>
        <v/>
      </c>
      <c r="BU176" s="104" t="str">
        <f t="shared" si="28"/>
        <v/>
      </c>
      <c r="BV176" s="104" t="str">
        <f t="shared" si="29"/>
        <v>none</v>
      </c>
      <c r="BW176" s="150" t="str">
        <f t="shared" si="30"/>
        <v/>
      </c>
      <c r="BX176" s="150" t="str">
        <f t="shared" si="31"/>
        <v/>
      </c>
      <c r="BY176" s="151" t="str">
        <f t="shared" si="32"/>
        <v/>
      </c>
      <c r="BZ176" s="152" t="str">
        <f t="shared" si="33"/>
        <v/>
      </c>
      <c r="CA176" s="152" t="str">
        <f t="shared" si="34"/>
        <v/>
      </c>
      <c r="CB176" s="152" t="str">
        <f t="shared" si="35"/>
        <v/>
      </c>
      <c r="CC176" s="153" t="str">
        <f t="shared" si="36"/>
        <v/>
      </c>
      <c r="CD176" s="153" t="str">
        <f t="shared" si="37"/>
        <v/>
      </c>
      <c r="CE176" s="154" t="str">
        <f t="shared" si="38"/>
        <v/>
      </c>
      <c r="CF176" s="154" t="str">
        <f t="shared" si="39"/>
        <v/>
      </c>
      <c r="CG176" s="154" t="str">
        <f t="shared" si="40"/>
        <v/>
      </c>
    </row>
    <row r="177">
      <c r="A177" s="155" t="s">
        <v>266</v>
      </c>
      <c r="B177" s="104" t="s">
        <v>90</v>
      </c>
      <c r="C177" s="105">
        <v>5391428.0</v>
      </c>
      <c r="D177" s="106">
        <v>0.0</v>
      </c>
      <c r="E177" s="107">
        <v>0.0</v>
      </c>
      <c r="F177" s="108">
        <v>0.0</v>
      </c>
      <c r="G177" s="108">
        <v>0.0</v>
      </c>
      <c r="H177" s="108">
        <v>0.0</v>
      </c>
      <c r="I177" s="109">
        <v>0.0</v>
      </c>
      <c r="J177" s="109">
        <v>0.0</v>
      </c>
      <c r="K177" s="109">
        <v>0.0</v>
      </c>
      <c r="L177" s="112">
        <v>0.184055759</v>
      </c>
      <c r="M177" s="112">
        <v>0.091193479</v>
      </c>
      <c r="N177" s="112">
        <v>0.275249237</v>
      </c>
      <c r="O177" s="113"/>
      <c r="P177" s="114"/>
      <c r="Q177" s="114"/>
      <c r="R177" s="115" t="str">
        <f t="shared" si="8"/>
        <v/>
      </c>
      <c r="S177" s="116">
        <f t="shared" si="9"/>
        <v>0.4013436246</v>
      </c>
      <c r="T177" s="117"/>
      <c r="U177" s="118">
        <f t="shared" si="41"/>
        <v>0.3468166667</v>
      </c>
      <c r="V177" s="148"/>
      <c r="W177" s="120">
        <f t="shared" si="10"/>
        <v>1</v>
      </c>
      <c r="X177" s="148"/>
      <c r="Y177" s="120">
        <f t="shared" si="11"/>
        <v>0.71735</v>
      </c>
      <c r="Z177" s="114"/>
      <c r="AA177" s="114"/>
      <c r="AB177" s="114"/>
      <c r="AC177" s="114"/>
      <c r="AD177" s="164">
        <v>0.0</v>
      </c>
      <c r="AE177" s="123">
        <v>0.0</v>
      </c>
      <c r="AF177" s="123">
        <v>0.0</v>
      </c>
      <c r="AG177" s="124">
        <v>0.0</v>
      </c>
      <c r="AH177" s="124">
        <v>0.0</v>
      </c>
      <c r="AI177" s="125">
        <v>0.0</v>
      </c>
      <c r="AJ177" s="125">
        <v>0.0</v>
      </c>
      <c r="AK177" s="126">
        <v>0.0</v>
      </c>
      <c r="AL177" s="169">
        <v>0.0</v>
      </c>
      <c r="AM177" s="128"/>
      <c r="AN177" s="149" t="str">
        <f>IFERROR(
  AVERAGEIFS(
    'New 20102013 LF Efficacy'!$J:$J,
    'New 20102013 LF Efficacy'!$D:$D, $A177,
    'New 20102013 LF Efficacy'!$F:$F,"DEC", 
    'New 20102013 LF Efficacy'!$W:$W,"&lt;2011",
    'New 20102013 LF Efficacy'!$AA:$AA,""),
  ""
)</f>
        <v/>
      </c>
      <c r="AO177" s="115">
        <f t="shared" si="12"/>
        <v>0.3573520833</v>
      </c>
      <c r="AP177" s="121" t="str">
        <f>IFERROR(
AVERAGEIFS(
'New 20102013 LF Efficacy'!$J:$J,
'New 20102013 LF Efficacy'!$D:$D,$A177,
'New 20102013 LF Efficacy'!$F:$F,"Albendazole &amp; DEC",
'New 20102013 LF Efficacy'!$W:$W,"&lt;2011",
'New 20102013 LF Efficacy'!$AA:$AA,""),
"")
</f>
        <v/>
      </c>
      <c r="AQ177" s="115">
        <f t="shared" si="13"/>
        <v>0.5137291667</v>
      </c>
      <c r="AR177" s="121" t="str">
        <f>IFERROR(
AVERAGEIFS(
'New 20102013 LF Efficacy'!$J:$J,
'New 20102013 LF Efficacy'!$D:$D,$A177,
'New 20102013 LF Efficacy'!$F:$F,"Albendazole &amp; Ivermectin", 
'New 20102013 LF Efficacy'!$W:$W,"&lt;2011",
'New 20102013 LF Efficacy'!$AA:$AA,""),"")</f>
        <v/>
      </c>
      <c r="AS177" s="115">
        <f t="shared" si="14"/>
        <v>0.37153125</v>
      </c>
      <c r="AT177" s="130">
        <f>IFERROR(AVERAGEIFS(
'20102013 Schist Efficacy'!$O:$O, 
'20102013 Schist Efficacy'!$C:$C,$A177, 
'20102013 Schist Efficacy'!$D:$D, "Praziquantel",
'20102013 Schist Efficacy'!$J:$J,"&lt;2011",
'20102013 Schist Efficacy'!$U:$U,""),
"")</f>
        <v>0.655</v>
      </c>
      <c r="AU177" s="118">
        <f t="shared" si="15"/>
        <v>0.655</v>
      </c>
      <c r="AV177" s="131" t="str">
        <f>IFERROR(AVERAGEIFS(
'20102013 STH Efficacy'!$AX:$AX, 
'20102013 STH Efficacy'!$AL:$AL, $A177, 
'20102013 STH Efficacy'!$AM:$AM, "Albendazole",
'20102013 STH Efficacy'!$AS:$AS,"&lt;2011",
'20102013 STH Efficacy'!$BP:$BP,""),
"")</f>
        <v/>
      </c>
      <c r="AW177" s="132">
        <f t="shared" si="16"/>
        <v>0.3842878788</v>
      </c>
      <c r="AX177" s="131" t="str">
        <f>IFERROR(AVERAGEIFS(
'20102013 STH Efficacy'!$AX:$AX, 
'20102013 STH Efficacy'!$AL:$AL, $A177, 
'20102013 STH Efficacy'!$AM:$AM, "Mebendazole",
'20102013 STH Efficacy'!$AS:$AS,"&lt;2011",
'20102013 STH Efficacy'!$BP:$BP,""),
"")</f>
        <v/>
      </c>
      <c r="AY177" s="132">
        <f t="shared" si="17"/>
        <v>0.5121666667</v>
      </c>
      <c r="AZ177" s="131" t="str">
        <f>IFERROR(AVERAGEIFS(
'20102013 STH Efficacy'!$AX:$AX, 
'20102013 STH Efficacy'!$AL:$AL, $A177, 
'20102013 STH Efficacy'!$AM:$AM, "Albendazole &amp; Ivermectin",
'20102013 STH Efficacy'!$AS:$AS,"&lt;2011",
'20102013 STH Efficacy'!$BP:$BP,""),
"")</f>
        <v/>
      </c>
      <c r="BA177" s="133">
        <f t="shared" si="18"/>
        <v>0.7176666667</v>
      </c>
      <c r="BB177" s="134" t="str">
        <f>IFERROR(AVERAGEIFS(
'20102013 STH Efficacy'!$N:$N, 
'20102013 STH Efficacy'!$B:$B, $A177, 
'20102013 STH Efficacy'!$C:$C, "Albendazole",
'20102013 STH Efficacy'!$I:$I,"&lt;2011",
'20102013 STH Efficacy'!$AH:$AH,""),
"")</f>
        <v/>
      </c>
      <c r="BC177" s="135">
        <f t="shared" si="19"/>
        <v>0.7630416667</v>
      </c>
      <c r="BD177" s="134" t="str">
        <f>IFERROR(AVERAGEIFS(
'20102013 STH Efficacy'!$N:$N, 
'20102013 STH Efficacy'!$B:$B, $A177, 
'20102013 STH Efficacy'!$C:$C, "Mebendazole",
'20102013 STH Efficacy'!$I:$I,"&lt;2011",
'20102013 STH Efficacy'!$AH:$AH,""),
"")</f>
        <v/>
      </c>
      <c r="BE177" s="135">
        <f t="shared" si="20"/>
        <v>0.4405966667</v>
      </c>
      <c r="BF177" s="128" t="str">
        <f>IFERROR(AVERAGEIFS(
'20102013 STH Efficacy'!$CD:$CD, 
'20102013 STH Efficacy'!$BS:$BS, $A177, 
'20102013 STH Efficacy'!$BT:$BT, "Albendazole",
'20102013 STH Efficacy'!$BZ:$BZ,"&lt;2011",
'20102013 STH Efficacy'!$CU:$CU,""),
"")</f>
        <v/>
      </c>
      <c r="BG177" s="136">
        <f t="shared" si="21"/>
        <v>0.9403222222</v>
      </c>
      <c r="BH177" s="128" t="str">
        <f>IFERROR(AVERAGEIFS(
'20102013 STH Efficacy'!$CD:$CD, 
'20102013 STH Efficacy'!$BS:$BS, $A177, 
'20102013 STH Efficacy'!$BT:$BT, "Mebendazole",
'20102013 STH Efficacy'!$BZ:$BZ,"&lt;2011",
'20102013 STH Efficacy'!$CU:$CU,""),
"")</f>
        <v/>
      </c>
      <c r="BI177" s="136">
        <f t="shared" si="22"/>
        <v>0.9229285714</v>
      </c>
      <c r="BJ177" s="128" t="str">
        <f>IFERROR(AVERAGEIFS(
'20102013 STH Efficacy'!$CD:$CD, 
'20102013 STH Efficacy'!$BS:$BS, $A177, 
'20102013 STH Efficacy'!$BT:$BT, "Albendazole &amp; Ivermectin",
'20102013 STH Efficacy'!$BZ:$BZ,"&lt;2011",
'20102013 STH Efficacy'!$CU:$CU,""),
"")</f>
        <v/>
      </c>
      <c r="BK177" s="136">
        <f t="shared" si="23"/>
        <v>1</v>
      </c>
      <c r="BL177" s="137"/>
      <c r="BM177" s="137"/>
      <c r="BN177" s="138">
        <v>0.0</v>
      </c>
      <c r="BO177" s="139">
        <v>0.0</v>
      </c>
      <c r="BP177" s="140">
        <v>0.0</v>
      </c>
      <c r="BQ177" s="141">
        <f t="shared" si="24"/>
        <v>0</v>
      </c>
      <c r="BR177" s="104" t="str">
        <f t="shared" si="25"/>
        <v>0000</v>
      </c>
      <c r="BS177" s="104" t="str">
        <f t="shared" si="26"/>
        <v>no action required</v>
      </c>
      <c r="BT177" s="142" t="str">
        <f t="shared" si="27"/>
        <v/>
      </c>
      <c r="BU177" s="104" t="str">
        <f t="shared" si="28"/>
        <v/>
      </c>
      <c r="BV177" s="104" t="str">
        <f t="shared" si="29"/>
        <v>none</v>
      </c>
      <c r="BW177" s="150" t="str">
        <f t="shared" si="30"/>
        <v/>
      </c>
      <c r="BX177" s="150" t="str">
        <f t="shared" si="31"/>
        <v/>
      </c>
      <c r="BY177" s="151" t="str">
        <f t="shared" si="32"/>
        <v/>
      </c>
      <c r="BZ177" s="152" t="str">
        <f t="shared" si="33"/>
        <v/>
      </c>
      <c r="CA177" s="152" t="str">
        <f t="shared" si="34"/>
        <v/>
      </c>
      <c r="CB177" s="152" t="str">
        <f t="shared" si="35"/>
        <v/>
      </c>
      <c r="CC177" s="153" t="str">
        <f t="shared" si="36"/>
        <v/>
      </c>
      <c r="CD177" s="153" t="str">
        <f t="shared" si="37"/>
        <v/>
      </c>
      <c r="CE177" s="154" t="str">
        <f t="shared" si="38"/>
        <v/>
      </c>
      <c r="CF177" s="154" t="str">
        <f t="shared" si="39"/>
        <v/>
      </c>
      <c r="CG177" s="154" t="str">
        <f t="shared" si="40"/>
        <v/>
      </c>
    </row>
    <row r="178">
      <c r="A178" s="155" t="s">
        <v>267</v>
      </c>
      <c r="B178" s="104" t="s">
        <v>90</v>
      </c>
      <c r="C178" s="105">
        <v>2048583.0</v>
      </c>
      <c r="D178" s="106">
        <v>0.0</v>
      </c>
      <c r="E178" s="107">
        <v>0.0</v>
      </c>
      <c r="F178" s="108">
        <v>0.0</v>
      </c>
      <c r="G178" s="108">
        <v>0.0</v>
      </c>
      <c r="H178" s="108">
        <v>0.0</v>
      </c>
      <c r="I178" s="109">
        <v>0.0</v>
      </c>
      <c r="J178" s="110">
        <v>0.0</v>
      </c>
      <c r="K178" s="110">
        <v>0.0</v>
      </c>
      <c r="L178" s="111">
        <v>0.0</v>
      </c>
      <c r="M178" s="111">
        <v>0.0</v>
      </c>
      <c r="N178" s="112">
        <v>0.0</v>
      </c>
      <c r="O178" s="113"/>
      <c r="P178" s="114"/>
      <c r="Q178" s="114"/>
      <c r="R178" s="115" t="str">
        <f t="shared" si="8"/>
        <v/>
      </c>
      <c r="S178" s="116">
        <f t="shared" si="9"/>
        <v>0.4013436246</v>
      </c>
      <c r="T178" s="117"/>
      <c r="U178" s="118">
        <f t="shared" si="41"/>
        <v>0.3468166667</v>
      </c>
      <c r="V178" s="148"/>
      <c r="W178" s="120">
        <f t="shared" si="10"/>
        <v>1</v>
      </c>
      <c r="X178" s="148"/>
      <c r="Y178" s="120">
        <f t="shared" si="11"/>
        <v>0.71735</v>
      </c>
      <c r="Z178" s="114"/>
      <c r="AA178" s="114"/>
      <c r="AB178" s="114"/>
      <c r="AC178" s="114"/>
      <c r="AD178" s="164">
        <v>0.0</v>
      </c>
      <c r="AE178" s="123">
        <v>0.0</v>
      </c>
      <c r="AF178" s="123">
        <v>0.0</v>
      </c>
      <c r="AG178" s="167">
        <v>0.0</v>
      </c>
      <c r="AH178" s="124">
        <v>0.0</v>
      </c>
      <c r="AI178" s="168">
        <v>0.0</v>
      </c>
      <c r="AJ178" s="125">
        <v>0.0</v>
      </c>
      <c r="AK178" s="126">
        <v>0.0</v>
      </c>
      <c r="AL178" s="169">
        <v>0.0</v>
      </c>
      <c r="AM178" s="128"/>
      <c r="AN178" s="149" t="str">
        <f>IFERROR(
  AVERAGEIFS(
    'New 20102013 LF Efficacy'!$J:$J,
    'New 20102013 LF Efficacy'!$D:$D, $A178,
    'New 20102013 LF Efficacy'!$F:$F,"DEC", 
    'New 20102013 LF Efficacy'!$W:$W,"&lt;2011",
    'New 20102013 LF Efficacy'!$AA:$AA,""),
  ""
)</f>
        <v/>
      </c>
      <c r="AO178" s="115">
        <f t="shared" si="12"/>
        <v>0.3573520833</v>
      </c>
      <c r="AP178" s="121" t="str">
        <f>IFERROR(
AVERAGEIFS(
'New 20102013 LF Efficacy'!$J:$J,
'New 20102013 LF Efficacy'!$D:$D,$A178,
'New 20102013 LF Efficacy'!$F:$F,"Albendazole &amp; DEC",
'New 20102013 LF Efficacy'!$W:$W,"&lt;2011",
'New 20102013 LF Efficacy'!$AA:$AA,""),
"")
</f>
        <v/>
      </c>
      <c r="AQ178" s="115">
        <f t="shared" si="13"/>
        <v>0.5137291667</v>
      </c>
      <c r="AR178" s="121" t="str">
        <f>IFERROR(
AVERAGEIFS(
'New 20102013 LF Efficacy'!$J:$J,
'New 20102013 LF Efficacy'!$D:$D,$A178,
'New 20102013 LF Efficacy'!$F:$F,"Albendazole &amp; Ivermectin", 
'New 20102013 LF Efficacy'!$W:$W,"&lt;2011",
'New 20102013 LF Efficacy'!$AA:$AA,""),"")</f>
        <v/>
      </c>
      <c r="AS178" s="115">
        <f t="shared" si="14"/>
        <v>0.37153125</v>
      </c>
      <c r="AT178" s="130" t="str">
        <f>IFERROR(AVERAGEIFS(
'20102013 Schist Efficacy'!$O:$O, 
'20102013 Schist Efficacy'!$C:$C,$A178, 
'20102013 Schist Efficacy'!$D:$D, "Praziquantel",
'20102013 Schist Efficacy'!$J:$J,"&lt;2011",
'20102013 Schist Efficacy'!$U:$U,""),
"")</f>
        <v/>
      </c>
      <c r="AU178" s="118">
        <f t="shared" si="15"/>
        <v>0.655</v>
      </c>
      <c r="AV178" s="131" t="str">
        <f>IFERROR(AVERAGEIFS(
'20102013 STH Efficacy'!$AX:$AX, 
'20102013 STH Efficacy'!$AL:$AL, $A178, 
'20102013 STH Efficacy'!$AM:$AM, "Albendazole",
'20102013 STH Efficacy'!$AS:$AS,"&lt;2011",
'20102013 STH Efficacy'!$BP:$BP,""),
"")</f>
        <v/>
      </c>
      <c r="AW178" s="132">
        <f t="shared" si="16"/>
        <v>0.3842878788</v>
      </c>
      <c r="AX178" s="131" t="str">
        <f>IFERROR(AVERAGEIFS(
'20102013 STH Efficacy'!$AX:$AX, 
'20102013 STH Efficacy'!$AL:$AL, $A178, 
'20102013 STH Efficacy'!$AM:$AM, "Mebendazole",
'20102013 STH Efficacy'!$AS:$AS,"&lt;2011",
'20102013 STH Efficacy'!$BP:$BP,""),
"")</f>
        <v/>
      </c>
      <c r="AY178" s="132">
        <f t="shared" si="17"/>
        <v>0.5121666667</v>
      </c>
      <c r="AZ178" s="131" t="str">
        <f>IFERROR(AVERAGEIFS(
'20102013 STH Efficacy'!$AX:$AX, 
'20102013 STH Efficacy'!$AL:$AL, $A178, 
'20102013 STH Efficacy'!$AM:$AM, "Albendazole &amp; Ivermectin",
'20102013 STH Efficacy'!$AS:$AS,"&lt;2011",
'20102013 STH Efficacy'!$BP:$BP,""),
"")</f>
        <v/>
      </c>
      <c r="BA178" s="133">
        <f t="shared" si="18"/>
        <v>0.7176666667</v>
      </c>
      <c r="BB178" s="134" t="str">
        <f>IFERROR(AVERAGEIFS(
'20102013 STH Efficacy'!$N:$N, 
'20102013 STH Efficacy'!$B:$B, $A178, 
'20102013 STH Efficacy'!$C:$C, "Albendazole",
'20102013 STH Efficacy'!$I:$I,"&lt;2011",
'20102013 STH Efficacy'!$AH:$AH,""),
"")</f>
        <v/>
      </c>
      <c r="BC178" s="135">
        <f t="shared" si="19"/>
        <v>0.7630416667</v>
      </c>
      <c r="BD178" s="134" t="str">
        <f>IFERROR(AVERAGEIFS(
'20102013 STH Efficacy'!$N:$N, 
'20102013 STH Efficacy'!$B:$B, $A178, 
'20102013 STH Efficacy'!$C:$C, "Mebendazole",
'20102013 STH Efficacy'!$I:$I,"&lt;2011",
'20102013 STH Efficacy'!$AH:$AH,""),
"")</f>
        <v/>
      </c>
      <c r="BE178" s="135">
        <f t="shared" si="20"/>
        <v>0.4405966667</v>
      </c>
      <c r="BF178" s="128" t="str">
        <f>IFERROR(AVERAGEIFS(
'20102013 STH Efficacy'!$CD:$CD, 
'20102013 STH Efficacy'!$BS:$BS, $A178, 
'20102013 STH Efficacy'!$BT:$BT, "Albendazole",
'20102013 STH Efficacy'!$BZ:$BZ,"&lt;2011",
'20102013 STH Efficacy'!$CU:$CU,""),
"")</f>
        <v/>
      </c>
      <c r="BG178" s="136">
        <f t="shared" si="21"/>
        <v>0.9403222222</v>
      </c>
      <c r="BH178" s="128" t="str">
        <f>IFERROR(AVERAGEIFS(
'20102013 STH Efficacy'!$CD:$CD, 
'20102013 STH Efficacy'!$BS:$BS, $A178, 
'20102013 STH Efficacy'!$BT:$BT, "Mebendazole",
'20102013 STH Efficacy'!$BZ:$BZ,"&lt;2011",
'20102013 STH Efficacy'!$CU:$CU,""),
"")</f>
        <v/>
      </c>
      <c r="BI178" s="136">
        <f t="shared" si="22"/>
        <v>0.9229285714</v>
      </c>
      <c r="BJ178" s="128" t="str">
        <f>IFERROR(AVERAGEIFS(
'20102013 STH Efficacy'!$CD:$CD, 
'20102013 STH Efficacy'!$BS:$BS, $A178, 
'20102013 STH Efficacy'!$BT:$BT, "Albendazole &amp; Ivermectin",
'20102013 STH Efficacy'!$BZ:$BZ,"&lt;2011",
'20102013 STH Efficacy'!$CU:$CU,""),
"")</f>
        <v/>
      </c>
      <c r="BK178" s="136">
        <f t="shared" si="23"/>
        <v>1</v>
      </c>
      <c r="BL178" s="137"/>
      <c r="BM178" s="137"/>
      <c r="BN178" s="138">
        <v>0.0</v>
      </c>
      <c r="BO178" s="139">
        <v>0.0</v>
      </c>
      <c r="BP178" s="140">
        <v>0.0</v>
      </c>
      <c r="BQ178" s="141">
        <f t="shared" si="24"/>
        <v>0</v>
      </c>
      <c r="BR178" s="104" t="str">
        <f t="shared" si="25"/>
        <v>0000</v>
      </c>
      <c r="BS178" s="104" t="str">
        <f t="shared" si="26"/>
        <v>no action required</v>
      </c>
      <c r="BT178" s="142" t="str">
        <f t="shared" si="27"/>
        <v/>
      </c>
      <c r="BU178" s="104" t="str">
        <f t="shared" si="28"/>
        <v/>
      </c>
      <c r="BV178" s="104" t="str">
        <f t="shared" si="29"/>
        <v>none</v>
      </c>
      <c r="BW178" s="150" t="str">
        <f t="shared" si="30"/>
        <v/>
      </c>
      <c r="BX178" s="150" t="str">
        <f t="shared" si="31"/>
        <v/>
      </c>
      <c r="BY178" s="151" t="str">
        <f t="shared" si="32"/>
        <v/>
      </c>
      <c r="BZ178" s="152" t="str">
        <f t="shared" si="33"/>
        <v/>
      </c>
      <c r="CA178" s="152" t="str">
        <f t="shared" si="34"/>
        <v/>
      </c>
      <c r="CB178" s="152" t="str">
        <f t="shared" si="35"/>
        <v/>
      </c>
      <c r="CC178" s="153" t="str">
        <f t="shared" si="36"/>
        <v/>
      </c>
      <c r="CD178" s="153" t="str">
        <f t="shared" si="37"/>
        <v/>
      </c>
      <c r="CE178" s="154" t="str">
        <f t="shared" si="38"/>
        <v/>
      </c>
      <c r="CF178" s="154" t="str">
        <f t="shared" si="39"/>
        <v/>
      </c>
      <c r="CG178" s="154" t="str">
        <f t="shared" si="40"/>
        <v/>
      </c>
    </row>
    <row r="179">
      <c r="A179" s="103" t="s">
        <v>268</v>
      </c>
      <c r="B179" s="104" t="s">
        <v>94</v>
      </c>
      <c r="C179" s="105">
        <v>527790.0</v>
      </c>
      <c r="D179" s="106">
        <v>0.0</v>
      </c>
      <c r="E179" s="107">
        <v>0.0</v>
      </c>
      <c r="F179" s="108">
        <v>8.856644534</v>
      </c>
      <c r="G179" s="108">
        <v>34.68912185</v>
      </c>
      <c r="H179" s="108">
        <v>43.54576639</v>
      </c>
      <c r="I179" s="109">
        <v>81.0778054</v>
      </c>
      <c r="J179" s="109">
        <v>215.482529</v>
      </c>
      <c r="K179" s="109">
        <v>296.5603341</v>
      </c>
      <c r="L179" s="112">
        <v>26.96973632</v>
      </c>
      <c r="M179" s="112">
        <v>11.93238798</v>
      </c>
      <c r="N179" s="112">
        <v>38.9021243</v>
      </c>
      <c r="O179" s="113"/>
      <c r="P179" s="156"/>
      <c r="Q179" s="156"/>
      <c r="R179" s="115" t="str">
        <f t="shared" si="8"/>
        <v/>
      </c>
      <c r="S179" s="116">
        <f t="shared" si="9"/>
        <v>0.1955251818</v>
      </c>
      <c r="T179" s="117"/>
      <c r="U179" s="118">
        <f t="shared" si="41"/>
        <v>0.6259666667</v>
      </c>
      <c r="V179" s="148"/>
      <c r="W179" s="120">
        <f t="shared" si="10"/>
        <v>0.55175</v>
      </c>
      <c r="X179" s="148"/>
      <c r="Y179" s="120">
        <f t="shared" si="11"/>
        <v>0.4826142857</v>
      </c>
      <c r="Z179" s="114"/>
      <c r="AA179" s="114"/>
      <c r="AB179" s="114"/>
      <c r="AC179" s="114"/>
      <c r="AD179" s="164">
        <v>0.0</v>
      </c>
      <c r="AE179" s="123">
        <v>0.0</v>
      </c>
      <c r="AF179" s="123">
        <v>0.0</v>
      </c>
      <c r="AG179" s="167">
        <v>0.0</v>
      </c>
      <c r="AH179" s="124">
        <v>0.262538733</v>
      </c>
      <c r="AI179" s="168">
        <v>0.0</v>
      </c>
      <c r="AJ179" s="125">
        <v>0.306589345</v>
      </c>
      <c r="AK179" s="126">
        <v>0.0</v>
      </c>
      <c r="AL179" s="169">
        <v>0.034318016</v>
      </c>
      <c r="AM179" s="128"/>
      <c r="AN179" s="149" t="str">
        <f>IFERROR(
  AVERAGEIFS(
    'New 20102013 LF Efficacy'!$J:$J,
    'New 20102013 LF Efficacy'!$D:$D, $A179,
    'New 20102013 LF Efficacy'!$F:$F,"DEC", 
    'New 20102013 LF Efficacy'!$W:$W,"&lt;2011",
    'New 20102013 LF Efficacy'!$AA:$AA,""),
  ""
)</f>
        <v/>
      </c>
      <c r="AO179" s="115">
        <f t="shared" si="12"/>
        <v>0.38</v>
      </c>
      <c r="AP179" s="121" t="str">
        <f>IFERROR(
AVERAGEIFS(
'New 20102013 LF Efficacy'!$J:$J,
'New 20102013 LF Efficacy'!$D:$D,$A179,
'New 20102013 LF Efficacy'!$F:$F,"Albendazole &amp; DEC",
'New 20102013 LF Efficacy'!$W:$W,"&lt;2011",
'New 20102013 LF Efficacy'!$AA:$AA,""),
"")
</f>
        <v/>
      </c>
      <c r="AQ179" s="115">
        <f t="shared" si="13"/>
        <v>0.657</v>
      </c>
      <c r="AR179" s="121" t="str">
        <f>IFERROR(
AVERAGEIFS(
'New 20102013 LF Efficacy'!$J:$J,
'New 20102013 LF Efficacy'!$D:$D,$A179,
'New 20102013 LF Efficacy'!$F:$F,"Albendazole &amp; Ivermectin", 
'New 20102013 LF Efficacy'!$W:$W,"&lt;2011",
'New 20102013 LF Efficacy'!$AA:$AA,""),"")</f>
        <v/>
      </c>
      <c r="AS179" s="115">
        <f t="shared" si="14"/>
        <v>0.37153125</v>
      </c>
      <c r="AT179" s="130" t="str">
        <f>IFERROR(AVERAGEIFS(
'20102013 Schist Efficacy'!$O:$O, 
'20102013 Schist Efficacy'!$C:$C,$A179, 
'20102013 Schist Efficacy'!$D:$D, "Praziquantel",
'20102013 Schist Efficacy'!$J:$J,"&lt;2011",
'20102013 Schist Efficacy'!$U:$U,""),
"")</f>
        <v/>
      </c>
      <c r="AU179" s="118">
        <f t="shared" si="15"/>
        <v>0.95</v>
      </c>
      <c r="AV179" s="131" t="str">
        <f>IFERROR(AVERAGEIFS(
'20102013 STH Efficacy'!$AX:$AX, 
'20102013 STH Efficacy'!$AL:$AL, $A179, 
'20102013 STH Efficacy'!$AM:$AM, "Albendazole",
'20102013 STH Efficacy'!$AS:$AS,"&lt;2011",
'20102013 STH Efficacy'!$BP:$BP,""),
"")</f>
        <v/>
      </c>
      <c r="AW179" s="132">
        <f t="shared" si="16"/>
        <v>0.3571666667</v>
      </c>
      <c r="AX179" s="131" t="str">
        <f>IFERROR(AVERAGEIFS(
'20102013 STH Efficacy'!$AX:$AX, 
'20102013 STH Efficacy'!$AL:$AL, $A179, 
'20102013 STH Efficacy'!$AM:$AM, "Mebendazole",
'20102013 STH Efficacy'!$AS:$AS,"&lt;2011",
'20102013 STH Efficacy'!$BP:$BP,""),
"")</f>
        <v/>
      </c>
      <c r="AY179" s="132">
        <f t="shared" si="17"/>
        <v>0.4155</v>
      </c>
      <c r="AZ179" s="131" t="str">
        <f>IFERROR(AVERAGEIFS(
'20102013 STH Efficacy'!$AX:$AX, 
'20102013 STH Efficacy'!$AL:$AL, $A179, 
'20102013 STH Efficacy'!$AM:$AM, "Albendazole &amp; Ivermectin",
'20102013 STH Efficacy'!$AS:$AS,"&lt;2011",
'20102013 STH Efficacy'!$BP:$BP,""),
"")</f>
        <v/>
      </c>
      <c r="BA179" s="133">
        <f t="shared" si="18"/>
        <v>0.651</v>
      </c>
      <c r="BB179" s="134" t="str">
        <f>IFERROR(AVERAGEIFS(
'20102013 STH Efficacy'!$N:$N, 
'20102013 STH Efficacy'!$B:$B, $A179, 
'20102013 STH Efficacy'!$C:$C, "Albendazole",
'20102013 STH Efficacy'!$I:$I,"&lt;2011",
'20102013 STH Efficacy'!$AH:$AH,""),
"")</f>
        <v/>
      </c>
      <c r="BC179" s="135">
        <f t="shared" si="19"/>
        <v>0.5769166667</v>
      </c>
      <c r="BD179" s="134" t="str">
        <f>IFERROR(AVERAGEIFS(
'20102013 STH Efficacy'!$N:$N, 
'20102013 STH Efficacy'!$B:$B, $A179, 
'20102013 STH Efficacy'!$C:$C, "Mebendazole",
'20102013 STH Efficacy'!$I:$I,"&lt;2011",
'20102013 STH Efficacy'!$AH:$AH,""),
"")</f>
        <v/>
      </c>
      <c r="BE179" s="135">
        <f t="shared" si="20"/>
        <v>0.3145</v>
      </c>
      <c r="BF179" s="128" t="str">
        <f>IFERROR(AVERAGEIFS(
'20102013 STH Efficacy'!$CD:$CD, 
'20102013 STH Efficacy'!$BS:$BS, $A179, 
'20102013 STH Efficacy'!$BT:$BT, "Albendazole",
'20102013 STH Efficacy'!$BZ:$BZ,"&lt;2011",
'20102013 STH Efficacy'!$CU:$CU,""),
"")</f>
        <v/>
      </c>
      <c r="BG179" s="136">
        <f t="shared" si="21"/>
        <v>0.96925</v>
      </c>
      <c r="BH179" s="128" t="str">
        <f>IFERROR(AVERAGEIFS(
'20102013 STH Efficacy'!$CD:$CD, 
'20102013 STH Efficacy'!$BS:$BS, $A179, 
'20102013 STH Efficacy'!$BT:$BT, "Mebendazole",
'20102013 STH Efficacy'!$BZ:$BZ,"&lt;2011",
'20102013 STH Efficacy'!$CU:$CU,""),
"")</f>
        <v/>
      </c>
      <c r="BI179" s="136">
        <f t="shared" si="22"/>
        <v>0.9305</v>
      </c>
      <c r="BJ179" s="128" t="str">
        <f>IFERROR(AVERAGEIFS(
'20102013 STH Efficacy'!$CD:$CD, 
'20102013 STH Efficacy'!$BS:$BS, $A179, 
'20102013 STH Efficacy'!$BT:$BT, "Albendazole &amp; Ivermectin",
'20102013 STH Efficacy'!$BZ:$BZ,"&lt;2011",
'20102013 STH Efficacy'!$CU:$CU,""),
"")</f>
        <v/>
      </c>
      <c r="BK179" s="136">
        <f t="shared" si="23"/>
        <v>1</v>
      </c>
      <c r="BL179" s="137"/>
      <c r="BM179" s="137"/>
      <c r="BN179" s="138">
        <v>0.0</v>
      </c>
      <c r="BO179" s="139">
        <v>0.0</v>
      </c>
      <c r="BP179" s="140">
        <v>0.0</v>
      </c>
      <c r="BQ179" s="141">
        <f t="shared" si="24"/>
        <v>1</v>
      </c>
      <c r="BR179" s="104" t="str">
        <f t="shared" si="25"/>
        <v>0001</v>
      </c>
      <c r="BS179" s="104" t="str">
        <f t="shared" si="26"/>
        <v>T3</v>
      </c>
      <c r="BT179" s="142" t="str">
        <f t="shared" si="27"/>
        <v>ALB or MBD</v>
      </c>
      <c r="BU179" s="104" t="str">
        <f t="shared" si="28"/>
        <v/>
      </c>
      <c r="BV179" s="104" t="str">
        <f t="shared" si="29"/>
        <v>sth only</v>
      </c>
      <c r="BW179" s="150" t="str">
        <f t="shared" si="30"/>
        <v/>
      </c>
      <c r="BX179" s="150" t="str">
        <f t="shared" si="31"/>
        <v/>
      </c>
      <c r="BY179" s="151" t="str">
        <f t="shared" si="32"/>
        <v/>
      </c>
      <c r="BZ179" s="152">
        <f t="shared" si="33"/>
        <v>9.398588685</v>
      </c>
      <c r="CA179" s="152">
        <f t="shared" si="34"/>
        <v>11.33515256</v>
      </c>
      <c r="CB179" s="152" t="str">
        <f t="shared" si="35"/>
        <v/>
      </c>
      <c r="CC179" s="170">
        <f t="shared" si="36"/>
        <v>121.0061743</v>
      </c>
      <c r="CD179" s="170">
        <f t="shared" si="37"/>
        <v>55.58195148</v>
      </c>
      <c r="CE179" s="154">
        <f t="shared" si="38"/>
        <v>41.4901127</v>
      </c>
      <c r="CF179" s="154">
        <f t="shared" si="39"/>
        <v>38.18184901</v>
      </c>
      <c r="CG179" s="154" t="str">
        <f t="shared" si="40"/>
        <v/>
      </c>
    </row>
    <row r="180">
      <c r="A180" s="103" t="s">
        <v>269</v>
      </c>
      <c r="B180" s="104" t="s">
        <v>88</v>
      </c>
      <c r="C180" s="105">
        <v>1.2053223E7</v>
      </c>
      <c r="D180" s="106">
        <v>0.0</v>
      </c>
      <c r="E180" s="107">
        <v>17559.73689</v>
      </c>
      <c r="F180" s="108">
        <v>196.0855349</v>
      </c>
      <c r="G180" s="157">
        <v>1095.199783</v>
      </c>
      <c r="H180" s="157">
        <v>1291.285318</v>
      </c>
      <c r="I180" s="110">
        <v>775.979166</v>
      </c>
      <c r="J180" s="110">
        <v>3222.82091</v>
      </c>
      <c r="K180" s="109">
        <v>3998.800073</v>
      </c>
      <c r="L180" s="112">
        <v>2186.311012</v>
      </c>
      <c r="M180" s="112">
        <v>444.0345945</v>
      </c>
      <c r="N180" s="112">
        <v>2630.345607</v>
      </c>
      <c r="O180" s="113"/>
      <c r="P180" s="114"/>
      <c r="Q180" s="114"/>
      <c r="R180" s="115" t="str">
        <f t="shared" si="8"/>
        <v/>
      </c>
      <c r="S180" s="116">
        <f t="shared" si="9"/>
        <v>0.3211323089</v>
      </c>
      <c r="T180" s="130"/>
      <c r="U180" s="118">
        <f t="shared" si="41"/>
        <v>0.5949</v>
      </c>
      <c r="V180" s="119">
        <v>0.7057</v>
      </c>
      <c r="W180" s="120">
        <f t="shared" si="10"/>
        <v>0.7057</v>
      </c>
      <c r="X180" s="119">
        <v>2.0E-4</v>
      </c>
      <c r="Y180" s="120">
        <f t="shared" si="11"/>
        <v>0.0002</v>
      </c>
      <c r="Z180" s="121"/>
      <c r="AA180" s="121"/>
      <c r="AB180" s="121"/>
      <c r="AC180" s="121"/>
      <c r="AD180" s="122">
        <v>0.0</v>
      </c>
      <c r="AE180" s="123">
        <v>0.16</v>
      </c>
      <c r="AF180" s="123">
        <v>0.0469</v>
      </c>
      <c r="AG180" s="124">
        <v>0.1848</v>
      </c>
      <c r="AH180" s="124">
        <v>0.289037786</v>
      </c>
      <c r="AI180" s="125">
        <v>0.1252</v>
      </c>
      <c r="AJ180" s="125">
        <v>0.202221577</v>
      </c>
      <c r="AK180" s="127">
        <v>0.05</v>
      </c>
      <c r="AL180" s="127">
        <v>0.079213455</v>
      </c>
      <c r="AM180" s="128"/>
      <c r="AN180" s="149" t="str">
        <f>IFERROR(
  AVERAGEIFS(
    'New 20102013 LF Efficacy'!$J:$J,
    'New 20102013 LF Efficacy'!$D:$D, $A180,
    'New 20102013 LF Efficacy'!$F:$F,"DEC", 
    'New 20102013 LF Efficacy'!$W:$W,"&lt;2011",
    'New 20102013 LF Efficacy'!$AA:$AA,""),
  ""
)</f>
        <v/>
      </c>
      <c r="AO180" s="115">
        <f t="shared" si="12"/>
        <v>0.3573520833</v>
      </c>
      <c r="AP180" s="121" t="str">
        <f>IFERROR(
AVERAGEIFS(
'New 20102013 LF Efficacy'!$J:$J,
'New 20102013 LF Efficacy'!$D:$D,$A180,
'New 20102013 LF Efficacy'!$F:$F,"Albendazole &amp; DEC",
'New 20102013 LF Efficacy'!$W:$W,"&lt;2011",
'New 20102013 LF Efficacy'!$AA:$AA,""),
"")
</f>
        <v/>
      </c>
      <c r="AQ180" s="115">
        <f t="shared" si="13"/>
        <v>0.7935</v>
      </c>
      <c r="AR180" s="121" t="str">
        <f>IFERROR(
AVERAGEIFS(
'New 20102013 LF Efficacy'!$J:$J,
'New 20102013 LF Efficacy'!$D:$D,$A180,
'New 20102013 LF Efficacy'!$F:$F,"Albendazole &amp; Ivermectin", 
'New 20102013 LF Efficacy'!$W:$W,"&lt;2011",
'New 20102013 LF Efficacy'!$AA:$AA,""),"")</f>
        <v/>
      </c>
      <c r="AS180" s="115">
        <f t="shared" si="14"/>
        <v>0.37153125</v>
      </c>
      <c r="AT180" s="130" t="str">
        <f>IFERROR(AVERAGEIFS(
'20102013 Schist Efficacy'!$O:$O, 
'20102013 Schist Efficacy'!$C:$C,$A180, 
'20102013 Schist Efficacy'!$D:$D, "Praziquantel",
'20102013 Schist Efficacy'!$J:$J,"&lt;2011",
'20102013 Schist Efficacy'!$U:$U,""),
"")</f>
        <v/>
      </c>
      <c r="AU180" s="118">
        <f t="shared" si="15"/>
        <v>0.7763141026</v>
      </c>
      <c r="AV180" s="131" t="str">
        <f>IFERROR(AVERAGEIFS(
'20102013 STH Efficacy'!$AX:$AX, 
'20102013 STH Efficacy'!$AL:$AL, $A180, 
'20102013 STH Efficacy'!$AM:$AM, "Albendazole",
'20102013 STH Efficacy'!$AS:$AS,"&lt;2011",
'20102013 STH Efficacy'!$BP:$BP,""),
"")</f>
        <v/>
      </c>
      <c r="AW180" s="132">
        <f t="shared" si="16"/>
        <v>0.3842878788</v>
      </c>
      <c r="AX180" s="131" t="str">
        <f>IFERROR(AVERAGEIFS(
'20102013 STH Efficacy'!$AX:$AX, 
'20102013 STH Efficacy'!$AL:$AL, $A180, 
'20102013 STH Efficacy'!$AM:$AM, "Mebendazole",
'20102013 STH Efficacy'!$AS:$AS,"&lt;2011",
'20102013 STH Efficacy'!$BP:$BP,""),
"")</f>
        <v/>
      </c>
      <c r="AY180" s="132">
        <f t="shared" si="17"/>
        <v>0.5121666667</v>
      </c>
      <c r="AZ180" s="131" t="str">
        <f>IFERROR(AVERAGEIFS(
'20102013 STH Efficacy'!$AX:$AX, 
'20102013 STH Efficacy'!$AL:$AL, $A180, 
'20102013 STH Efficacy'!$AM:$AM, "Albendazole &amp; Ivermectin",
'20102013 STH Efficacy'!$AS:$AS,"&lt;2011",
'20102013 STH Efficacy'!$BP:$BP,""),
"")</f>
        <v/>
      </c>
      <c r="BA180" s="133">
        <f t="shared" si="18"/>
        <v>0.7176666667</v>
      </c>
      <c r="BB180" s="134" t="str">
        <f>IFERROR(AVERAGEIFS(
'20102013 STH Efficacy'!$N:$N, 
'20102013 STH Efficacy'!$B:$B, $A180, 
'20102013 STH Efficacy'!$C:$C, "Albendazole",
'20102013 STH Efficacy'!$I:$I,"&lt;2011",
'20102013 STH Efficacy'!$AH:$AH,""),
"")</f>
        <v/>
      </c>
      <c r="BC180" s="135">
        <f t="shared" si="19"/>
        <v>0.7630416667</v>
      </c>
      <c r="BD180" s="134" t="str">
        <f>IFERROR(AVERAGEIFS(
'20102013 STH Efficacy'!$N:$N, 
'20102013 STH Efficacy'!$B:$B, $A180, 
'20102013 STH Efficacy'!$C:$C, "Mebendazole",
'20102013 STH Efficacy'!$I:$I,"&lt;2011",
'20102013 STH Efficacy'!$AH:$AH,""),
"")</f>
        <v/>
      </c>
      <c r="BE180" s="135">
        <f t="shared" si="20"/>
        <v>0.4405966667</v>
      </c>
      <c r="BF180" s="128" t="str">
        <f>IFERROR(AVERAGEIFS(
'20102013 STH Efficacy'!$CD:$CD, 
'20102013 STH Efficacy'!$BS:$BS, $A180, 
'20102013 STH Efficacy'!$BT:$BT, "Albendazole",
'20102013 STH Efficacy'!$BZ:$BZ,"&lt;2011",
'20102013 STH Efficacy'!$CU:$CU,""),
"")</f>
        <v/>
      </c>
      <c r="BG180" s="136">
        <f t="shared" si="21"/>
        <v>0.955</v>
      </c>
      <c r="BH180" s="128" t="str">
        <f>IFERROR(AVERAGEIFS(
'20102013 STH Efficacy'!$CD:$CD, 
'20102013 STH Efficacy'!$BS:$BS, $A180, 
'20102013 STH Efficacy'!$BT:$BT, "Mebendazole",
'20102013 STH Efficacy'!$BZ:$BZ,"&lt;2011",
'20102013 STH Efficacy'!$CU:$CU,""),
"")</f>
        <v/>
      </c>
      <c r="BI180" s="136">
        <f t="shared" si="22"/>
        <v>1</v>
      </c>
      <c r="BJ180" s="128" t="str">
        <f>IFERROR(AVERAGEIFS(
'20102013 STH Efficacy'!$CD:$CD, 
'20102013 STH Efficacy'!$BS:$BS, $A180, 
'20102013 STH Efficacy'!$BT:$BT, "Albendazole &amp; Ivermectin",
'20102013 STH Efficacy'!$BZ:$BZ,"&lt;2011",
'20102013 STH Efficacy'!$CU:$CU,""),
"")</f>
        <v/>
      </c>
      <c r="BK180" s="136">
        <f t="shared" si="23"/>
        <v>1</v>
      </c>
      <c r="BL180" s="137"/>
      <c r="BM180" s="137"/>
      <c r="BN180" s="138">
        <v>0.0</v>
      </c>
      <c r="BO180" s="139">
        <v>1.0</v>
      </c>
      <c r="BP180" s="140">
        <v>1.0</v>
      </c>
      <c r="BQ180" s="141">
        <f t="shared" si="24"/>
        <v>0</v>
      </c>
      <c r="BR180" s="104" t="str">
        <f t="shared" si="25"/>
        <v>0110</v>
      </c>
      <c r="BS180" s="104" t="str">
        <f t="shared" si="26"/>
        <v>MDA3+T2</v>
      </c>
      <c r="BT180" s="142" t="str">
        <f t="shared" si="27"/>
        <v>IVM</v>
      </c>
      <c r="BU180" s="104" t="str">
        <f t="shared" si="28"/>
        <v>PZQ</v>
      </c>
      <c r="BV180" s="104" t="str">
        <f t="shared" si="29"/>
        <v>onch+schist</v>
      </c>
      <c r="BW180" s="150" t="str">
        <f t="shared" si="30"/>
        <v/>
      </c>
      <c r="BX180" s="150" t="str">
        <f t="shared" si="31"/>
        <v/>
      </c>
      <c r="BY180" s="162">
        <f t="shared" si="32"/>
        <v>15068.82422</v>
      </c>
      <c r="BZ180" s="152" t="str">
        <f t="shared" si="33"/>
        <v/>
      </c>
      <c r="CA180" s="152" t="str">
        <f t="shared" si="34"/>
        <v/>
      </c>
      <c r="CB180" s="152" t="str">
        <f t="shared" si="35"/>
        <v/>
      </c>
      <c r="CC180" s="153" t="str">
        <f t="shared" si="36"/>
        <v/>
      </c>
      <c r="CD180" s="153" t="str">
        <f t="shared" si="37"/>
        <v/>
      </c>
      <c r="CE180" s="154" t="str">
        <f t="shared" si="38"/>
        <v/>
      </c>
      <c r="CF180" s="154" t="str">
        <f t="shared" si="39"/>
        <v/>
      </c>
      <c r="CG180" s="154" t="str">
        <f t="shared" si="40"/>
        <v/>
      </c>
    </row>
    <row r="181">
      <c r="A181" s="155" t="s">
        <v>270</v>
      </c>
      <c r="B181" s="104" t="s">
        <v>92</v>
      </c>
      <c r="C181" s="105">
        <v>5.0979432E7</v>
      </c>
      <c r="D181" s="106">
        <v>0.0</v>
      </c>
      <c r="E181" s="107">
        <v>45344.39498</v>
      </c>
      <c r="F181" s="157">
        <v>1177.035501</v>
      </c>
      <c r="G181" s="157">
        <v>6244.190716</v>
      </c>
      <c r="H181" s="157">
        <v>7421.226217</v>
      </c>
      <c r="I181" s="110">
        <v>2904.19732</v>
      </c>
      <c r="J181" s="110">
        <v>8955.30581</v>
      </c>
      <c r="K181" s="110">
        <v>11859.50313</v>
      </c>
      <c r="L181" s="111">
        <v>682.256887</v>
      </c>
      <c r="M181" s="111">
        <v>1463.518998</v>
      </c>
      <c r="N181" s="112">
        <v>2145.775885</v>
      </c>
      <c r="O181" s="113"/>
      <c r="P181" s="114"/>
      <c r="Q181" s="114"/>
      <c r="R181" s="115" t="str">
        <f t="shared" si="8"/>
        <v/>
      </c>
      <c r="S181" s="116">
        <f t="shared" si="9"/>
        <v>0.1716437208</v>
      </c>
      <c r="T181" s="117"/>
      <c r="U181" s="118">
        <f t="shared" si="41"/>
        <v>0.252</v>
      </c>
      <c r="V181" s="148"/>
      <c r="W181" s="120">
        <f t="shared" si="10"/>
        <v>0.7266555556</v>
      </c>
      <c r="X181" s="148"/>
      <c r="Y181" s="120">
        <f t="shared" si="11"/>
        <v>0.4342071429</v>
      </c>
      <c r="Z181" s="114"/>
      <c r="AA181" s="114"/>
      <c r="AB181" s="114"/>
      <c r="AC181" s="114"/>
      <c r="AD181" s="164">
        <v>0.0</v>
      </c>
      <c r="AE181" s="123">
        <v>0.11</v>
      </c>
      <c r="AF181" s="123">
        <v>0.0274</v>
      </c>
      <c r="AG181" s="167">
        <v>0.0</v>
      </c>
      <c r="AH181" s="124">
        <v>0.420709662</v>
      </c>
      <c r="AI181" s="168">
        <v>0.0</v>
      </c>
      <c r="AJ181" s="125">
        <v>0.226069306</v>
      </c>
      <c r="AK181" s="126">
        <v>0.0</v>
      </c>
      <c r="AL181" s="169">
        <v>0.19657506</v>
      </c>
      <c r="AM181" s="128"/>
      <c r="AN181" s="149" t="str">
        <f>IFERROR(
  AVERAGEIFS(
    'New 20102013 LF Efficacy'!$J:$J,
    'New 20102013 LF Efficacy'!$D:$D, $A181,
    'New 20102013 LF Efficacy'!$F:$F,"DEC", 
    'New 20102013 LF Efficacy'!$W:$W,"&lt;2011",
    'New 20102013 LF Efficacy'!$AA:$AA,""),
  ""
)</f>
        <v/>
      </c>
      <c r="AO181" s="115">
        <f t="shared" si="12"/>
        <v>0.31225</v>
      </c>
      <c r="AP181" s="121" t="str">
        <f>IFERROR(
AVERAGEIFS(
'New 20102013 LF Efficacy'!$J:$J,
'New 20102013 LF Efficacy'!$D:$D,$A181,
'New 20102013 LF Efficacy'!$F:$F,"Albendazole &amp; DEC",
'New 20102013 LF Efficacy'!$W:$W,"&lt;2011",
'New 20102013 LF Efficacy'!$AA:$AA,""),
"")
</f>
        <v/>
      </c>
      <c r="AQ181" s="115">
        <f t="shared" si="13"/>
        <v>0.4</v>
      </c>
      <c r="AR181" s="121" t="str">
        <f>IFERROR(
AVERAGEIFS(
'New 20102013 LF Efficacy'!$J:$J,
'New 20102013 LF Efficacy'!$D:$D,$A181,
'New 20102013 LF Efficacy'!$F:$F,"Albendazole &amp; Ivermectin", 
'New 20102013 LF Efficacy'!$W:$W,"&lt;2011",
'New 20102013 LF Efficacy'!$AA:$AA,""),"")</f>
        <v/>
      </c>
      <c r="AS181" s="115">
        <f t="shared" si="14"/>
        <v>0.2943125</v>
      </c>
      <c r="AT181" s="130">
        <f>IFERROR(AVERAGEIFS(
'20102013 Schist Efficacy'!$O:$O, 
'20102013 Schist Efficacy'!$C:$C,$A181, 
'20102013 Schist Efficacy'!$D:$D, "Praziquantel",
'20102013 Schist Efficacy'!$J:$J,"&lt;2011",
'20102013 Schist Efficacy'!$U:$U,""),
"")</f>
        <v>0.579</v>
      </c>
      <c r="AU181" s="118">
        <f t="shared" si="15"/>
        <v>0.579</v>
      </c>
      <c r="AV181" s="131">
        <f>IFERROR(AVERAGEIFS(
'20102013 STH Efficacy'!$AX:$AX, 
'20102013 STH Efficacy'!$AL:$AL, $A181, 
'20102013 STH Efficacy'!$AM:$AM, "Albendazole",
'20102013 STH Efficacy'!$AS:$AS,"&lt;2011",
'20102013 STH Efficacy'!$BP:$BP,""),
"")</f>
        <v>0.4853333333</v>
      </c>
      <c r="AW181" s="132">
        <f t="shared" si="16"/>
        <v>0.4853333333</v>
      </c>
      <c r="AX181" s="131" t="str">
        <f>IFERROR(AVERAGEIFS(
'20102013 STH Efficacy'!$AX:$AX, 
'20102013 STH Efficacy'!$AL:$AL, $A181, 
'20102013 STH Efficacy'!$AM:$AM, "Mebendazole",
'20102013 STH Efficacy'!$AS:$AS,"&lt;2011",
'20102013 STH Efficacy'!$BP:$BP,""),
"")</f>
        <v/>
      </c>
      <c r="AY181" s="132">
        <f t="shared" si="17"/>
        <v>0.5918333333</v>
      </c>
      <c r="AZ181" s="131" t="str">
        <f>IFERROR(AVERAGEIFS(
'20102013 STH Efficacy'!$AX:$AX, 
'20102013 STH Efficacy'!$AL:$AL, $A181, 
'20102013 STH Efficacy'!$AM:$AM, "Albendazole &amp; Ivermectin",
'20102013 STH Efficacy'!$AS:$AS,"&lt;2011",
'20102013 STH Efficacy'!$BP:$BP,""),
"")</f>
        <v/>
      </c>
      <c r="BA181" s="133">
        <f t="shared" si="18"/>
        <v>0.706</v>
      </c>
      <c r="BB181" s="134" t="str">
        <f>IFERROR(AVERAGEIFS(
'20102013 STH Efficacy'!$N:$N, 
'20102013 STH Efficacy'!$B:$B, $A181, 
'20102013 STH Efficacy'!$C:$C, "Albendazole",
'20102013 STH Efficacy'!$I:$I,"&lt;2011",
'20102013 STH Efficacy'!$AH:$AH,""),
"")</f>
        <v/>
      </c>
      <c r="BC181" s="135">
        <f t="shared" si="19"/>
        <v>0.9116666667</v>
      </c>
      <c r="BD181" s="134" t="str">
        <f>IFERROR(AVERAGEIFS(
'20102013 STH Efficacy'!$N:$N, 
'20102013 STH Efficacy'!$B:$B, $A181, 
'20102013 STH Efficacy'!$C:$C, "Mebendazole",
'20102013 STH Efficacy'!$I:$I,"&lt;2011",
'20102013 STH Efficacy'!$AH:$AH,""),
"")</f>
        <v/>
      </c>
      <c r="BE181" s="135">
        <f t="shared" si="20"/>
        <v>0.7092416667</v>
      </c>
      <c r="BF181" s="128" t="str">
        <f>IFERROR(AVERAGEIFS(
'20102013 STH Efficacy'!$CD:$CD, 
'20102013 STH Efficacy'!$BS:$BS, $A181, 
'20102013 STH Efficacy'!$BT:$BT, "Albendazole",
'20102013 STH Efficacy'!$BZ:$BZ,"&lt;2011",
'20102013 STH Efficacy'!$CU:$CU,""),
"")</f>
        <v/>
      </c>
      <c r="BG181" s="136">
        <f t="shared" si="21"/>
        <v>0.8656666667</v>
      </c>
      <c r="BH181" s="128" t="str">
        <f>IFERROR(AVERAGEIFS(
'20102013 STH Efficacy'!$CD:$CD, 
'20102013 STH Efficacy'!$BS:$BS, $A181, 
'20102013 STH Efficacy'!$BT:$BT, "Mebendazole",
'20102013 STH Efficacy'!$BZ:$BZ,"&lt;2011",
'20102013 STH Efficacy'!$CU:$CU,""),
"")</f>
        <v/>
      </c>
      <c r="BI181" s="136">
        <f t="shared" si="22"/>
        <v>0.9203333333</v>
      </c>
      <c r="BJ181" s="128" t="str">
        <f>IFERROR(AVERAGEIFS(
'20102013 STH Efficacy'!$CD:$CD, 
'20102013 STH Efficacy'!$BS:$BS, $A181, 
'20102013 STH Efficacy'!$BT:$BT, "Albendazole &amp; Ivermectin",
'20102013 STH Efficacy'!$BZ:$BZ,"&lt;2011",
'20102013 STH Efficacy'!$CU:$CU,""),
"")</f>
        <v/>
      </c>
      <c r="BK181" s="136">
        <f t="shared" si="23"/>
        <v>1</v>
      </c>
      <c r="BL181" s="137"/>
      <c r="BM181" s="137"/>
      <c r="BN181" s="138">
        <v>0.0</v>
      </c>
      <c r="BO181" s="139">
        <v>1.0</v>
      </c>
      <c r="BP181" s="140">
        <v>1.0</v>
      </c>
      <c r="BQ181" s="141">
        <f t="shared" si="24"/>
        <v>1</v>
      </c>
      <c r="BR181" s="104" t="str">
        <f t="shared" si="25"/>
        <v>0111</v>
      </c>
      <c r="BS181" s="104" t="str">
        <f t="shared" si="26"/>
        <v>MDA1+T2</v>
      </c>
      <c r="BT181" s="142" t="str">
        <f t="shared" si="27"/>
        <v>IVM+ALB</v>
      </c>
      <c r="BU181" s="104" t="str">
        <f t="shared" si="28"/>
        <v>PZQ</v>
      </c>
      <c r="BV181" s="104" t="str">
        <f t="shared" si="29"/>
        <v>onch+schist+sth</v>
      </c>
      <c r="BW181" s="150" t="str">
        <f t="shared" si="30"/>
        <v/>
      </c>
      <c r="BX181" s="150" t="str">
        <f t="shared" si="31"/>
        <v/>
      </c>
      <c r="BY181" s="162">
        <f t="shared" si="32"/>
        <v>7746.366882</v>
      </c>
      <c r="BZ181" s="152">
        <f t="shared" si="33"/>
        <v>2308.468568</v>
      </c>
      <c r="CA181" s="152" t="str">
        <f t="shared" si="34"/>
        <v/>
      </c>
      <c r="CB181" s="152">
        <f t="shared" si="35"/>
        <v>4000.310149</v>
      </c>
      <c r="CC181" s="170">
        <f t="shared" si="36"/>
        <v>11567.73869</v>
      </c>
      <c r="CD181" s="153" t="str">
        <f t="shared" si="37"/>
        <v/>
      </c>
      <c r="CE181" s="154">
        <f t="shared" si="38"/>
        <v>2038.324147</v>
      </c>
      <c r="CF181" s="154" t="str">
        <f t="shared" si="39"/>
        <v/>
      </c>
      <c r="CG181" s="154">
        <f t="shared" si="40"/>
        <v>2936.853707</v>
      </c>
    </row>
    <row r="182">
      <c r="A182" s="103" t="s">
        <v>271</v>
      </c>
      <c r="B182" s="104" t="s">
        <v>92</v>
      </c>
      <c r="C182" s="105">
        <v>1.0067192E7</v>
      </c>
      <c r="D182" s="106">
        <v>2485.452318</v>
      </c>
      <c r="E182" s="107">
        <v>16228.14738</v>
      </c>
      <c r="F182" s="108">
        <v>1.086049839</v>
      </c>
      <c r="G182" s="108">
        <v>3.083783816</v>
      </c>
      <c r="H182" s="108">
        <v>4.169833655</v>
      </c>
      <c r="I182" s="109">
        <v>504.061587</v>
      </c>
      <c r="J182" s="109">
        <v>919.086975</v>
      </c>
      <c r="K182" s="109">
        <v>1423.148562</v>
      </c>
      <c r="L182" s="112">
        <v>7094.201147</v>
      </c>
      <c r="M182" s="112">
        <v>565.0620872</v>
      </c>
      <c r="N182" s="112">
        <v>7659.263235</v>
      </c>
      <c r="O182" s="113"/>
      <c r="P182" s="114"/>
      <c r="Q182" s="114"/>
      <c r="R182" s="115" t="str">
        <f t="shared" si="8"/>
        <v/>
      </c>
      <c r="S182" s="116">
        <f t="shared" si="9"/>
        <v>0.1716437208</v>
      </c>
      <c r="T182" s="130"/>
      <c r="U182" s="118">
        <f t="shared" si="41"/>
        <v>0.252</v>
      </c>
      <c r="V182" s="148"/>
      <c r="W182" s="120">
        <f t="shared" si="10"/>
        <v>0.7266555556</v>
      </c>
      <c r="X182" s="148"/>
      <c r="Y182" s="120">
        <f t="shared" si="11"/>
        <v>0.4342071429</v>
      </c>
      <c r="Z182" s="121"/>
      <c r="AA182" s="121"/>
      <c r="AB182" s="121"/>
      <c r="AC182" s="121"/>
      <c r="AD182" s="122">
        <v>0.0028</v>
      </c>
      <c r="AE182" s="123">
        <v>0.15</v>
      </c>
      <c r="AF182" s="123">
        <v>0.0559</v>
      </c>
      <c r="AG182" s="124">
        <v>0.0205</v>
      </c>
      <c r="AH182" s="124">
        <v>0.032853644</v>
      </c>
      <c r="AI182" s="125">
        <v>0.0565</v>
      </c>
      <c r="AJ182" s="125">
        <v>0.090826994</v>
      </c>
      <c r="AK182" s="127">
        <v>0.01</v>
      </c>
      <c r="AL182" s="127">
        <v>0.016615973</v>
      </c>
      <c r="AM182" s="128"/>
      <c r="AN182" s="149" t="str">
        <f>IFERROR(
  AVERAGEIFS(
    'New 20102013 LF Efficacy'!$J:$J,
    'New 20102013 LF Efficacy'!$D:$D, $A182,
    'New 20102013 LF Efficacy'!$F:$F,"DEC", 
    'New 20102013 LF Efficacy'!$W:$W,"&lt;2011",
    'New 20102013 LF Efficacy'!$AA:$AA,""),
  ""
)</f>
        <v/>
      </c>
      <c r="AO182" s="115">
        <f t="shared" si="12"/>
        <v>0.31225</v>
      </c>
      <c r="AP182" s="121" t="str">
        <f>IFERROR(
AVERAGEIFS(
'New 20102013 LF Efficacy'!$J:$J,
'New 20102013 LF Efficacy'!$D:$D,$A182,
'New 20102013 LF Efficacy'!$F:$F,"Albendazole &amp; DEC",
'New 20102013 LF Efficacy'!$W:$W,"&lt;2011",
'New 20102013 LF Efficacy'!$AA:$AA,""),
"")
</f>
        <v/>
      </c>
      <c r="AQ182" s="115">
        <f t="shared" si="13"/>
        <v>0.4</v>
      </c>
      <c r="AR182" s="121" t="str">
        <f>IFERROR(
AVERAGEIFS(
'New 20102013 LF Efficacy'!$J:$J,
'New 20102013 LF Efficacy'!$D:$D,$A182,
'New 20102013 LF Efficacy'!$F:$F,"Albendazole &amp; Ivermectin", 
'New 20102013 LF Efficacy'!$W:$W,"&lt;2011",
'New 20102013 LF Efficacy'!$AA:$AA,""),"")</f>
        <v/>
      </c>
      <c r="AS182" s="115">
        <f t="shared" si="14"/>
        <v>0.2943125</v>
      </c>
      <c r="AT182" s="130" t="str">
        <f>IFERROR(AVERAGEIFS(
'20102013 Schist Efficacy'!$O:$O, 
'20102013 Schist Efficacy'!$C:$C,$A182, 
'20102013 Schist Efficacy'!$D:$D, "Praziquantel",
'20102013 Schist Efficacy'!$J:$J,"&lt;2011",
'20102013 Schist Efficacy'!$U:$U,""),
"")</f>
        <v/>
      </c>
      <c r="AU182" s="118">
        <f t="shared" si="15"/>
        <v>0.6444020147</v>
      </c>
      <c r="AV182" s="131" t="str">
        <f>IFERROR(AVERAGEIFS(
'20102013 STH Efficacy'!$AX:$AX, 
'20102013 STH Efficacy'!$AL:$AL, $A182, 
'20102013 STH Efficacy'!$AM:$AM, "Albendazole",
'20102013 STH Efficacy'!$AS:$AS,"&lt;2011",
'20102013 STH Efficacy'!$BP:$BP,""),
"")</f>
        <v/>
      </c>
      <c r="AW182" s="132">
        <f t="shared" si="16"/>
        <v>0.3538333333</v>
      </c>
      <c r="AX182" s="131" t="str">
        <f>IFERROR(AVERAGEIFS(
'20102013 STH Efficacy'!$AX:$AX, 
'20102013 STH Efficacy'!$AL:$AL, $A182, 
'20102013 STH Efficacy'!$AM:$AM, "Mebendazole",
'20102013 STH Efficacy'!$AS:$AS,"&lt;2011",
'20102013 STH Efficacy'!$BP:$BP,""),
"")</f>
        <v/>
      </c>
      <c r="AY182" s="132">
        <f t="shared" si="17"/>
        <v>0.5918333333</v>
      </c>
      <c r="AZ182" s="131" t="str">
        <f>IFERROR(AVERAGEIFS(
'20102013 STH Efficacy'!$AX:$AX, 
'20102013 STH Efficacy'!$AL:$AL, $A182, 
'20102013 STH Efficacy'!$AM:$AM, "Albendazole &amp; Ivermectin",
'20102013 STH Efficacy'!$AS:$AS,"&lt;2011",
'20102013 STH Efficacy'!$BP:$BP,""),
"")</f>
        <v/>
      </c>
      <c r="BA182" s="133">
        <f t="shared" si="18"/>
        <v>0.706</v>
      </c>
      <c r="BB182" s="134" t="str">
        <f>IFERROR(AVERAGEIFS(
'20102013 STH Efficacy'!$N:$N, 
'20102013 STH Efficacy'!$B:$B, $A182, 
'20102013 STH Efficacy'!$C:$C, "Albendazole",
'20102013 STH Efficacy'!$I:$I,"&lt;2011",
'20102013 STH Efficacy'!$AH:$AH,""),
"")</f>
        <v/>
      </c>
      <c r="BC182" s="135">
        <f t="shared" si="19"/>
        <v>0.9116666667</v>
      </c>
      <c r="BD182" s="134" t="str">
        <f>IFERROR(AVERAGEIFS(
'20102013 STH Efficacy'!$N:$N, 
'20102013 STH Efficacy'!$B:$B, $A182, 
'20102013 STH Efficacy'!$C:$C, "Mebendazole",
'20102013 STH Efficacy'!$I:$I,"&lt;2011",
'20102013 STH Efficacy'!$AH:$AH,""),
"")</f>
        <v/>
      </c>
      <c r="BE182" s="135">
        <f t="shared" si="20"/>
        <v>0.7092416667</v>
      </c>
      <c r="BF182" s="128" t="str">
        <f>IFERROR(AVERAGEIFS(
'20102013 STH Efficacy'!$CD:$CD, 
'20102013 STH Efficacy'!$BS:$BS, $A182, 
'20102013 STH Efficacy'!$BT:$BT, "Albendazole",
'20102013 STH Efficacy'!$BZ:$BZ,"&lt;2011",
'20102013 STH Efficacy'!$CU:$CU,""),
"")</f>
        <v/>
      </c>
      <c r="BG182" s="136">
        <f t="shared" si="21"/>
        <v>0.8656666667</v>
      </c>
      <c r="BH182" s="128" t="str">
        <f>IFERROR(AVERAGEIFS(
'20102013 STH Efficacy'!$CD:$CD, 
'20102013 STH Efficacy'!$BS:$BS, $A182, 
'20102013 STH Efficacy'!$BT:$BT, "Mebendazole",
'20102013 STH Efficacy'!$BZ:$BZ,"&lt;2011",
'20102013 STH Efficacy'!$CU:$CU,""),
"")</f>
        <v/>
      </c>
      <c r="BI182" s="136">
        <f t="shared" si="22"/>
        <v>0.9203333333</v>
      </c>
      <c r="BJ182" s="128" t="str">
        <f>IFERROR(AVERAGEIFS(
'20102013 STH Efficacy'!$CD:$CD, 
'20102013 STH Efficacy'!$BS:$BS, $A182, 
'20102013 STH Efficacy'!$BT:$BT, "Albendazole &amp; Ivermectin",
'20102013 STH Efficacy'!$BZ:$BZ,"&lt;2011",
'20102013 STH Efficacy'!$CU:$CU,""),
"")</f>
        <v/>
      </c>
      <c r="BK182" s="136">
        <f t="shared" si="23"/>
        <v>1</v>
      </c>
      <c r="BL182" s="137"/>
      <c r="BM182" s="137"/>
      <c r="BN182" s="138">
        <v>0.0</v>
      </c>
      <c r="BO182" s="139">
        <v>0.0</v>
      </c>
      <c r="BP182" s="140">
        <v>0.0</v>
      </c>
      <c r="BQ182" s="141">
        <f t="shared" si="24"/>
        <v>0</v>
      </c>
      <c r="BR182" s="104" t="str">
        <f t="shared" si="25"/>
        <v>0000</v>
      </c>
      <c r="BS182" s="104" t="str">
        <f t="shared" si="26"/>
        <v>no action required</v>
      </c>
      <c r="BT182" s="142" t="str">
        <f t="shared" si="27"/>
        <v/>
      </c>
      <c r="BU182" s="104" t="str">
        <f t="shared" si="28"/>
        <v/>
      </c>
      <c r="BV182" s="104" t="str">
        <f t="shared" si="29"/>
        <v>none</v>
      </c>
      <c r="BW182" s="150" t="str">
        <f t="shared" si="30"/>
        <v/>
      </c>
      <c r="BX182" s="150" t="str">
        <f t="shared" si="31"/>
        <v/>
      </c>
      <c r="BY182" s="151" t="str">
        <f t="shared" si="32"/>
        <v/>
      </c>
      <c r="BZ182" s="152" t="str">
        <f t="shared" si="33"/>
        <v/>
      </c>
      <c r="CA182" s="152" t="str">
        <f t="shared" si="34"/>
        <v/>
      </c>
      <c r="CB182" s="152" t="str">
        <f t="shared" si="35"/>
        <v/>
      </c>
      <c r="CC182" s="153" t="str">
        <f t="shared" si="36"/>
        <v/>
      </c>
      <c r="CD182" s="153" t="str">
        <f t="shared" si="37"/>
        <v/>
      </c>
      <c r="CE182" s="154" t="str">
        <f t="shared" si="38"/>
        <v/>
      </c>
      <c r="CF182" s="154" t="str">
        <f t="shared" si="39"/>
        <v/>
      </c>
      <c r="CG182" s="154" t="str">
        <f t="shared" si="40"/>
        <v/>
      </c>
    </row>
    <row r="183">
      <c r="A183" s="155" t="s">
        <v>272</v>
      </c>
      <c r="B183" s="104" t="s">
        <v>90</v>
      </c>
      <c r="C183" s="105">
        <v>4.6576897E7</v>
      </c>
      <c r="D183" s="106">
        <v>0.0</v>
      </c>
      <c r="E183" s="107">
        <v>0.0</v>
      </c>
      <c r="F183" s="108">
        <v>0.0</v>
      </c>
      <c r="G183" s="108">
        <v>0.0</v>
      </c>
      <c r="H183" s="108">
        <v>0.0</v>
      </c>
      <c r="I183" s="109">
        <v>0.0</v>
      </c>
      <c r="J183" s="109">
        <v>0.0</v>
      </c>
      <c r="K183" s="109">
        <v>0.0</v>
      </c>
      <c r="L183" s="112">
        <v>0.0</v>
      </c>
      <c r="M183" s="112">
        <v>0.0</v>
      </c>
      <c r="N183" s="112">
        <v>0.0</v>
      </c>
      <c r="O183" s="113"/>
      <c r="P183" s="114"/>
      <c r="Q183" s="114"/>
      <c r="R183" s="115" t="str">
        <f t="shared" si="8"/>
        <v/>
      </c>
      <c r="S183" s="116">
        <f t="shared" si="9"/>
        <v>0.4013436246</v>
      </c>
      <c r="T183" s="118">
        <v>0.2479</v>
      </c>
      <c r="U183" s="118">
        <f t="shared" si="41"/>
        <v>0.2479</v>
      </c>
      <c r="V183" s="148"/>
      <c r="W183" s="120">
        <f t="shared" si="10"/>
        <v>1</v>
      </c>
      <c r="X183" s="148"/>
      <c r="Y183" s="120">
        <f t="shared" si="11"/>
        <v>0.71735</v>
      </c>
      <c r="Z183" s="114"/>
      <c r="AA183" s="114"/>
      <c r="AB183" s="114"/>
      <c r="AC183" s="114"/>
      <c r="AD183" s="164">
        <v>0.0</v>
      </c>
      <c r="AE183" s="123">
        <v>0.0</v>
      </c>
      <c r="AF183" s="123">
        <v>0.0</v>
      </c>
      <c r="AG183" s="167">
        <v>0.0</v>
      </c>
      <c r="AH183" s="124">
        <v>0.0</v>
      </c>
      <c r="AI183" s="168">
        <v>0.0</v>
      </c>
      <c r="AJ183" s="125">
        <v>0.0</v>
      </c>
      <c r="AK183" s="126">
        <v>0.0</v>
      </c>
      <c r="AL183" s="169">
        <v>0.0</v>
      </c>
      <c r="AM183" s="128"/>
      <c r="AN183" s="149" t="str">
        <f>IFERROR(
  AVERAGEIFS(
    'New 20102013 LF Efficacy'!$J:$J,
    'New 20102013 LF Efficacy'!$D:$D, $A183,
    'New 20102013 LF Efficacy'!$F:$F,"DEC", 
    'New 20102013 LF Efficacy'!$W:$W,"&lt;2011",
    'New 20102013 LF Efficacy'!$AA:$AA,""),
  ""
)</f>
        <v/>
      </c>
      <c r="AO183" s="115">
        <f t="shared" si="12"/>
        <v>0.3573520833</v>
      </c>
      <c r="AP183" s="121" t="str">
        <f>IFERROR(
AVERAGEIFS(
'New 20102013 LF Efficacy'!$J:$J,
'New 20102013 LF Efficacy'!$D:$D,$A183,
'New 20102013 LF Efficacy'!$F:$F,"Albendazole &amp; DEC",
'New 20102013 LF Efficacy'!$W:$W,"&lt;2011",
'New 20102013 LF Efficacy'!$AA:$AA,""),
"")
</f>
        <v/>
      </c>
      <c r="AQ183" s="115">
        <f t="shared" si="13"/>
        <v>0.5137291667</v>
      </c>
      <c r="AR183" s="121" t="str">
        <f>IFERROR(
AVERAGEIFS(
'New 20102013 LF Efficacy'!$J:$J,
'New 20102013 LF Efficacy'!$D:$D,$A183,
'New 20102013 LF Efficacy'!$F:$F,"Albendazole &amp; Ivermectin", 
'New 20102013 LF Efficacy'!$W:$W,"&lt;2011",
'New 20102013 LF Efficacy'!$AA:$AA,""),"")</f>
        <v/>
      </c>
      <c r="AS183" s="115">
        <f t="shared" si="14"/>
        <v>0.37153125</v>
      </c>
      <c r="AT183" s="130" t="str">
        <f>IFERROR(AVERAGEIFS(
'20102013 Schist Efficacy'!$O:$O, 
'20102013 Schist Efficacy'!$C:$C,$A183, 
'20102013 Schist Efficacy'!$D:$D, "Praziquantel",
'20102013 Schist Efficacy'!$J:$J,"&lt;2011",
'20102013 Schist Efficacy'!$U:$U,""),
"")</f>
        <v/>
      </c>
      <c r="AU183" s="118">
        <f t="shared" si="15"/>
        <v>0.655</v>
      </c>
      <c r="AV183" s="131" t="str">
        <f>IFERROR(AVERAGEIFS(
'20102013 STH Efficacy'!$AX:$AX, 
'20102013 STH Efficacy'!$AL:$AL, $A183, 
'20102013 STH Efficacy'!$AM:$AM, "Albendazole",
'20102013 STH Efficacy'!$AS:$AS,"&lt;2011",
'20102013 STH Efficacy'!$BP:$BP,""),
"")</f>
        <v/>
      </c>
      <c r="AW183" s="132">
        <f t="shared" si="16"/>
        <v>0.3842878788</v>
      </c>
      <c r="AX183" s="131" t="str">
        <f>IFERROR(AVERAGEIFS(
'20102013 STH Efficacy'!$AX:$AX, 
'20102013 STH Efficacy'!$AL:$AL, $A183, 
'20102013 STH Efficacy'!$AM:$AM, "Mebendazole",
'20102013 STH Efficacy'!$AS:$AS,"&lt;2011",
'20102013 STH Efficacy'!$BP:$BP,""),
"")</f>
        <v/>
      </c>
      <c r="AY183" s="132">
        <f t="shared" si="17"/>
        <v>0.5121666667</v>
      </c>
      <c r="AZ183" s="131" t="str">
        <f>IFERROR(AVERAGEIFS(
'20102013 STH Efficacy'!$AX:$AX, 
'20102013 STH Efficacy'!$AL:$AL, $A183, 
'20102013 STH Efficacy'!$AM:$AM, "Albendazole &amp; Ivermectin",
'20102013 STH Efficacy'!$AS:$AS,"&lt;2011",
'20102013 STH Efficacy'!$BP:$BP,""),
"")</f>
        <v/>
      </c>
      <c r="BA183" s="133">
        <f t="shared" si="18"/>
        <v>0.7176666667</v>
      </c>
      <c r="BB183" s="134" t="str">
        <f>IFERROR(AVERAGEIFS(
'20102013 STH Efficacy'!$N:$N, 
'20102013 STH Efficacy'!$B:$B, $A183, 
'20102013 STH Efficacy'!$C:$C, "Albendazole",
'20102013 STH Efficacy'!$I:$I,"&lt;2011",
'20102013 STH Efficacy'!$AH:$AH,""),
"")</f>
        <v/>
      </c>
      <c r="BC183" s="135">
        <f t="shared" si="19"/>
        <v>0.7630416667</v>
      </c>
      <c r="BD183" s="134" t="str">
        <f>IFERROR(AVERAGEIFS(
'20102013 STH Efficacy'!$N:$N, 
'20102013 STH Efficacy'!$B:$B, $A183, 
'20102013 STH Efficacy'!$C:$C, "Mebendazole",
'20102013 STH Efficacy'!$I:$I,"&lt;2011",
'20102013 STH Efficacy'!$AH:$AH,""),
"")</f>
        <v/>
      </c>
      <c r="BE183" s="135">
        <f t="shared" si="20"/>
        <v>0.4405966667</v>
      </c>
      <c r="BF183" s="128" t="str">
        <f>IFERROR(AVERAGEIFS(
'20102013 STH Efficacy'!$CD:$CD, 
'20102013 STH Efficacy'!$BS:$BS, $A183, 
'20102013 STH Efficacy'!$BT:$BT, "Albendazole",
'20102013 STH Efficacy'!$BZ:$BZ,"&lt;2011",
'20102013 STH Efficacy'!$CU:$CU,""),
"")</f>
        <v/>
      </c>
      <c r="BG183" s="136">
        <f t="shared" si="21"/>
        <v>0.9403222222</v>
      </c>
      <c r="BH183" s="128" t="str">
        <f>IFERROR(AVERAGEIFS(
'20102013 STH Efficacy'!$CD:$CD, 
'20102013 STH Efficacy'!$BS:$BS, $A183, 
'20102013 STH Efficacy'!$BT:$BT, "Mebendazole",
'20102013 STH Efficacy'!$BZ:$BZ,"&lt;2011",
'20102013 STH Efficacy'!$CU:$CU,""),
"")</f>
        <v/>
      </c>
      <c r="BI183" s="136">
        <f t="shared" si="22"/>
        <v>0.9229285714</v>
      </c>
      <c r="BJ183" s="128" t="str">
        <f>IFERROR(AVERAGEIFS(
'20102013 STH Efficacy'!$CD:$CD, 
'20102013 STH Efficacy'!$BS:$BS, $A183, 
'20102013 STH Efficacy'!$BT:$BT, "Albendazole &amp; Ivermectin",
'20102013 STH Efficacy'!$BZ:$BZ,"&lt;2011",
'20102013 STH Efficacy'!$CU:$CU,""),
"")</f>
        <v/>
      </c>
      <c r="BK183" s="136">
        <f t="shared" si="23"/>
        <v>1</v>
      </c>
      <c r="BL183" s="137"/>
      <c r="BM183" s="137"/>
      <c r="BN183" s="138">
        <v>0.0</v>
      </c>
      <c r="BO183" s="139">
        <v>0.0</v>
      </c>
      <c r="BP183" s="140">
        <v>0.0</v>
      </c>
      <c r="BQ183" s="141">
        <f t="shared" si="24"/>
        <v>0</v>
      </c>
      <c r="BR183" s="104" t="str">
        <f t="shared" si="25"/>
        <v>0000</v>
      </c>
      <c r="BS183" s="104" t="str">
        <f t="shared" si="26"/>
        <v>no action required</v>
      </c>
      <c r="BT183" s="142" t="str">
        <f t="shared" si="27"/>
        <v/>
      </c>
      <c r="BU183" s="104" t="str">
        <f t="shared" si="28"/>
        <v/>
      </c>
      <c r="BV183" s="104" t="str">
        <f t="shared" si="29"/>
        <v>none</v>
      </c>
      <c r="BW183" s="150" t="str">
        <f t="shared" si="30"/>
        <v/>
      </c>
      <c r="BX183" s="150" t="str">
        <f t="shared" si="31"/>
        <v/>
      </c>
      <c r="BY183" s="151" t="str">
        <f t="shared" si="32"/>
        <v/>
      </c>
      <c r="BZ183" s="152" t="str">
        <f t="shared" si="33"/>
        <v/>
      </c>
      <c r="CA183" s="152" t="str">
        <f t="shared" si="34"/>
        <v/>
      </c>
      <c r="CB183" s="152" t="str">
        <f t="shared" si="35"/>
        <v/>
      </c>
      <c r="CC183" s="153" t="str">
        <f t="shared" si="36"/>
        <v/>
      </c>
      <c r="CD183" s="153" t="str">
        <f t="shared" si="37"/>
        <v/>
      </c>
      <c r="CE183" s="154" t="str">
        <f t="shared" si="38"/>
        <v/>
      </c>
      <c r="CF183" s="154" t="str">
        <f t="shared" si="39"/>
        <v/>
      </c>
      <c r="CG183" s="154" t="str">
        <f t="shared" si="40"/>
        <v/>
      </c>
    </row>
    <row r="184">
      <c r="A184" s="103" t="s">
        <v>273</v>
      </c>
      <c r="B184" s="104" t="s">
        <v>109</v>
      </c>
      <c r="C184" s="105">
        <v>2.0119E7</v>
      </c>
      <c r="D184" s="106">
        <v>8991.058577</v>
      </c>
      <c r="E184" s="107">
        <v>0.0</v>
      </c>
      <c r="F184" s="157">
        <v>26.26173304</v>
      </c>
      <c r="G184" s="157">
        <v>116.2706409</v>
      </c>
      <c r="H184" s="157">
        <v>142.5323739</v>
      </c>
      <c r="I184" s="110">
        <v>232.095887</v>
      </c>
      <c r="J184" s="110">
        <v>642.767253</v>
      </c>
      <c r="K184" s="110">
        <v>874.8631402</v>
      </c>
      <c r="L184" s="111">
        <v>152.0515547</v>
      </c>
      <c r="M184" s="111">
        <v>216.8138513</v>
      </c>
      <c r="N184" s="112">
        <v>368.865406</v>
      </c>
      <c r="O184" s="113"/>
      <c r="P184" s="156"/>
      <c r="Q184" s="156"/>
      <c r="R184" s="115" t="str">
        <f t="shared" si="8"/>
        <v/>
      </c>
      <c r="S184" s="116">
        <f t="shared" si="9"/>
        <v>0.3842933666</v>
      </c>
      <c r="T184" s="117"/>
      <c r="U184" s="118">
        <f t="shared" si="41"/>
        <v>0.7367</v>
      </c>
      <c r="V184" s="148"/>
      <c r="W184" s="120">
        <f t="shared" si="10"/>
        <v>0.32505</v>
      </c>
      <c r="X184" s="148"/>
      <c r="Y184" s="120">
        <f t="shared" si="11"/>
        <v>0.3778666667</v>
      </c>
      <c r="Z184" s="121"/>
      <c r="AA184" s="121"/>
      <c r="AB184" s="121"/>
      <c r="AC184" s="121"/>
      <c r="AD184" s="122">
        <v>0.0057</v>
      </c>
      <c r="AE184" s="123">
        <v>0.0</v>
      </c>
      <c r="AF184" s="123">
        <v>0.0</v>
      </c>
      <c r="AG184" s="167">
        <v>0.0</v>
      </c>
      <c r="AH184" s="124">
        <v>0.076948541</v>
      </c>
      <c r="AI184" s="168">
        <v>0.0</v>
      </c>
      <c r="AJ184" s="125">
        <v>0.05903325</v>
      </c>
      <c r="AK184" s="127">
        <v>0.05</v>
      </c>
      <c r="AL184" s="127">
        <v>0.074172459</v>
      </c>
      <c r="AM184" s="128"/>
      <c r="AN184" s="149">
        <f>IFERROR(
  AVERAGEIFS(
    'New 20102013 LF Efficacy'!$J:$J,
    'New 20102013 LF Efficacy'!$D:$D, $A184,
    'New 20102013 LF Efficacy'!$F:$F,"DEC", 
    'New 20102013 LF Efficacy'!$W:$W,"&lt;2011",
    'New 20102013 LF Efficacy'!$AA:$AA,""),
  ""
)</f>
        <v>0.58335</v>
      </c>
      <c r="AO184" s="115">
        <f t="shared" si="12"/>
        <v>0.58335</v>
      </c>
      <c r="AP184" s="121" t="str">
        <f>IFERROR(
AVERAGEIFS(
'New 20102013 LF Efficacy'!$J:$J,
'New 20102013 LF Efficacy'!$D:$D,$A184,
'New 20102013 LF Efficacy'!$F:$F,"Albendazole &amp; DEC",
'New 20102013 LF Efficacy'!$W:$W,"&lt;2011",
'New 20102013 LF Efficacy'!$AA:$AA,""),
"")
</f>
        <v/>
      </c>
      <c r="AQ184" s="115">
        <f t="shared" si="13"/>
        <v>0.5831666667</v>
      </c>
      <c r="AR184" s="121" t="str">
        <f>IFERROR(
AVERAGEIFS(
'New 20102013 LF Efficacy'!$J:$J,
'New 20102013 LF Efficacy'!$D:$D,$A184,
'New 20102013 LF Efficacy'!$F:$F,"Albendazole &amp; Ivermectin", 
'New 20102013 LF Efficacy'!$W:$W,"&lt;2011",
'New 20102013 LF Efficacy'!$AA:$AA,""),"")</f>
        <v/>
      </c>
      <c r="AS184" s="115">
        <f t="shared" si="14"/>
        <v>0.14</v>
      </c>
      <c r="AT184" s="130" t="str">
        <f>IFERROR(AVERAGEIFS(
'20102013 Schist Efficacy'!$O:$O, 
'20102013 Schist Efficacy'!$C:$C,$A184, 
'20102013 Schist Efficacy'!$D:$D, "Praziquantel",
'20102013 Schist Efficacy'!$J:$J,"&lt;2011",
'20102013 Schist Efficacy'!$U:$U,""),
"")</f>
        <v/>
      </c>
      <c r="AU184" s="118">
        <f t="shared" si="15"/>
        <v>0.6869715828</v>
      </c>
      <c r="AV184" s="131" t="str">
        <f>IFERROR(AVERAGEIFS(
'20102013 STH Efficacy'!$AX:$AX, 
'20102013 STH Efficacy'!$AL:$AL, $A184, 
'20102013 STH Efficacy'!$AM:$AM, "Albendazole",
'20102013 STH Efficacy'!$AS:$AS,"&lt;2011",
'20102013 STH Efficacy'!$BP:$BP,""),
"")</f>
        <v/>
      </c>
      <c r="AW184" s="132">
        <f t="shared" si="16"/>
        <v>0.4756666667</v>
      </c>
      <c r="AX184" s="131" t="str">
        <f>IFERROR(AVERAGEIFS(
'20102013 STH Efficacy'!$AX:$AX, 
'20102013 STH Efficacy'!$AL:$AL, $A184, 
'20102013 STH Efficacy'!$AM:$AM, "Mebendazole",
'20102013 STH Efficacy'!$AS:$AS,"&lt;2011",
'20102013 STH Efficacy'!$BP:$BP,""),
"")</f>
        <v/>
      </c>
      <c r="AY184" s="132">
        <f t="shared" si="17"/>
        <v>0.3786666667</v>
      </c>
      <c r="AZ184" s="131" t="str">
        <f>IFERROR(AVERAGEIFS(
'20102013 STH Efficacy'!$AX:$AX, 
'20102013 STH Efficacy'!$AL:$AL, $A184, 
'20102013 STH Efficacy'!$AM:$AM, "Albendazole &amp; Ivermectin",
'20102013 STH Efficacy'!$AS:$AS,"&lt;2011",
'20102013 STH Efficacy'!$BP:$BP,""),
"")</f>
        <v/>
      </c>
      <c r="BA184" s="133">
        <f t="shared" si="18"/>
        <v>0.7176666667</v>
      </c>
      <c r="BB184" s="134">
        <f>IFERROR(AVERAGEIFS(
'20102013 STH Efficacy'!$N:$N, 
'20102013 STH Efficacy'!$B:$B, $A184, 
'20102013 STH Efficacy'!$C:$C, "Albendazole",
'20102013 STH Efficacy'!$I:$I,"&lt;2011",
'20102013 STH Efficacy'!$AH:$AH,""),
"")</f>
        <v>0.779</v>
      </c>
      <c r="BC184" s="135">
        <f t="shared" si="19"/>
        <v>0.779</v>
      </c>
      <c r="BD184" s="134">
        <f>IFERROR(AVERAGEIFS(
'20102013 STH Efficacy'!$N:$N, 
'20102013 STH Efficacy'!$B:$B, $A184, 
'20102013 STH Efficacy'!$C:$C, "Mebendazole",
'20102013 STH Efficacy'!$I:$I,"&lt;2011",
'20102013 STH Efficacy'!$AH:$AH,""),
"")</f>
        <v>0.3225</v>
      </c>
      <c r="BE184" s="135">
        <f t="shared" si="20"/>
        <v>0.3225</v>
      </c>
      <c r="BF184" s="128" t="str">
        <f>IFERROR(AVERAGEIFS(
'20102013 STH Efficacy'!$CD:$CD, 
'20102013 STH Efficacy'!$BS:$BS, $A184, 
'20102013 STH Efficacy'!$BT:$BT, "Albendazole",
'20102013 STH Efficacy'!$BZ:$BZ,"&lt;2011",
'20102013 STH Efficacy'!$CU:$CU,""),
"")</f>
        <v/>
      </c>
      <c r="BG184" s="136">
        <f t="shared" si="21"/>
        <v>1</v>
      </c>
      <c r="BH184" s="128" t="str">
        <f>IFERROR(AVERAGEIFS(
'20102013 STH Efficacy'!$CD:$CD, 
'20102013 STH Efficacy'!$BS:$BS, $A184, 
'20102013 STH Efficacy'!$BT:$BT, "Mebendazole",
'20102013 STH Efficacy'!$BZ:$BZ,"&lt;2011",
'20102013 STH Efficacy'!$CU:$CU,""),
"")</f>
        <v/>
      </c>
      <c r="BI184" s="136">
        <f t="shared" si="22"/>
        <v>1</v>
      </c>
      <c r="BJ184" s="128" t="str">
        <f>IFERROR(AVERAGEIFS(
'20102013 STH Efficacy'!$CD:$CD, 
'20102013 STH Efficacy'!$BS:$BS, $A184, 
'20102013 STH Efficacy'!$BT:$BT, "Albendazole &amp; Ivermectin",
'20102013 STH Efficacy'!$BZ:$BZ,"&lt;2011",
'20102013 STH Efficacy'!$CU:$CU,""),
"")</f>
        <v/>
      </c>
      <c r="BK184" s="136">
        <f t="shared" si="23"/>
        <v>1</v>
      </c>
      <c r="BL184" s="137"/>
      <c r="BM184" s="137"/>
      <c r="BN184" s="138">
        <v>0.0</v>
      </c>
      <c r="BO184" s="139">
        <v>0.0</v>
      </c>
      <c r="BP184" s="140">
        <v>0.0</v>
      </c>
      <c r="BQ184" s="141">
        <f t="shared" si="24"/>
        <v>0</v>
      </c>
      <c r="BR184" s="104" t="str">
        <f t="shared" si="25"/>
        <v>0000</v>
      </c>
      <c r="BS184" s="104" t="str">
        <f t="shared" si="26"/>
        <v>no action required</v>
      </c>
      <c r="BT184" s="142" t="str">
        <f t="shared" si="27"/>
        <v/>
      </c>
      <c r="BU184" s="104" t="str">
        <f t="shared" si="28"/>
        <v/>
      </c>
      <c r="BV184" s="104" t="str">
        <f t="shared" si="29"/>
        <v>none</v>
      </c>
      <c r="BW184" s="150" t="str">
        <f t="shared" si="30"/>
        <v/>
      </c>
      <c r="BX184" s="150" t="str">
        <f t="shared" si="31"/>
        <v/>
      </c>
      <c r="BY184" s="151" t="str">
        <f t="shared" si="32"/>
        <v/>
      </c>
      <c r="BZ184" s="152" t="str">
        <f t="shared" si="33"/>
        <v/>
      </c>
      <c r="CA184" s="152" t="str">
        <f t="shared" si="34"/>
        <v/>
      </c>
      <c r="CB184" s="152" t="str">
        <f t="shared" si="35"/>
        <v/>
      </c>
      <c r="CC184" s="153" t="str">
        <f t="shared" si="36"/>
        <v/>
      </c>
      <c r="CD184" s="153" t="str">
        <f t="shared" si="37"/>
        <v/>
      </c>
      <c r="CE184" s="154" t="str">
        <f t="shared" si="38"/>
        <v/>
      </c>
      <c r="CF184" s="154" t="str">
        <f t="shared" si="39"/>
        <v/>
      </c>
      <c r="CG184" s="154" t="str">
        <f t="shared" si="40"/>
        <v/>
      </c>
    </row>
    <row r="185">
      <c r="A185" s="103" t="s">
        <v>274</v>
      </c>
      <c r="B185" s="104" t="s">
        <v>88</v>
      </c>
      <c r="C185" s="105">
        <v>3.4385963E7</v>
      </c>
      <c r="D185" s="106">
        <v>2341.429913</v>
      </c>
      <c r="E185" s="107">
        <v>21047.66159</v>
      </c>
      <c r="F185" s="108">
        <v>2.006578665</v>
      </c>
      <c r="G185" s="108">
        <v>10.88797944</v>
      </c>
      <c r="H185" s="108">
        <v>12.89455811</v>
      </c>
      <c r="I185" s="109">
        <v>855.996296</v>
      </c>
      <c r="J185" s="109">
        <v>3101.42338</v>
      </c>
      <c r="K185" s="109">
        <v>3957.419674</v>
      </c>
      <c r="L185" s="112">
        <v>1265.463273</v>
      </c>
      <c r="M185" s="112">
        <v>326.3822075</v>
      </c>
      <c r="N185" s="158">
        <v>1591.845481</v>
      </c>
      <c r="O185" s="159"/>
      <c r="P185" s="160">
        <v>2.3351147E7</v>
      </c>
      <c r="Q185" s="156"/>
      <c r="R185" s="115">
        <f t="shared" si="8"/>
        <v>0</v>
      </c>
      <c r="S185" s="116">
        <f t="shared" si="9"/>
        <v>0.3211323089</v>
      </c>
      <c r="T185" s="130"/>
      <c r="U185" s="118">
        <f t="shared" si="41"/>
        <v>0.5949</v>
      </c>
      <c r="V185" s="119">
        <v>1.0</v>
      </c>
      <c r="W185" s="120">
        <f t="shared" si="10"/>
        <v>1</v>
      </c>
      <c r="X185" s="119">
        <v>4.0E-4</v>
      </c>
      <c r="Y185" s="120">
        <f t="shared" si="11"/>
        <v>0.0004</v>
      </c>
      <c r="Z185" s="121"/>
      <c r="AA185" s="121"/>
      <c r="AB185" s="121"/>
      <c r="AC185" s="121"/>
      <c r="AD185" s="122">
        <v>0.0012</v>
      </c>
      <c r="AE185" s="123">
        <v>0.04</v>
      </c>
      <c r="AF185" s="123">
        <v>0.0102</v>
      </c>
      <c r="AG185" s="124">
        <v>0.0209</v>
      </c>
      <c r="AH185" s="124">
        <v>0.03284526</v>
      </c>
      <c r="AI185" s="125">
        <v>0.0576</v>
      </c>
      <c r="AJ185" s="125">
        <v>0.090717998</v>
      </c>
      <c r="AK185" s="126">
        <v>0.0</v>
      </c>
      <c r="AL185" s="169">
        <v>0.016608666</v>
      </c>
      <c r="AM185" s="128"/>
      <c r="AN185" s="149" t="str">
        <f>IFERROR(
  AVERAGEIFS(
    'New 20102013 LF Efficacy'!$J:$J,
    'New 20102013 LF Efficacy'!$D:$D, $A185,
    'New 20102013 LF Efficacy'!$F:$F,"DEC", 
    'New 20102013 LF Efficacy'!$W:$W,"&lt;2011",
    'New 20102013 LF Efficacy'!$AA:$AA,""),
  ""
)</f>
        <v/>
      </c>
      <c r="AO185" s="115">
        <f t="shared" si="12"/>
        <v>0.3573520833</v>
      </c>
      <c r="AP185" s="121" t="str">
        <f>IFERROR(
AVERAGEIFS(
'New 20102013 LF Efficacy'!$J:$J,
'New 20102013 LF Efficacy'!$D:$D,$A185,
'New 20102013 LF Efficacy'!$F:$F,"Albendazole &amp; DEC",
'New 20102013 LF Efficacy'!$W:$W,"&lt;2011",
'New 20102013 LF Efficacy'!$AA:$AA,""),
"")
</f>
        <v/>
      </c>
      <c r="AQ185" s="115">
        <f t="shared" si="13"/>
        <v>0.7935</v>
      </c>
      <c r="AR185" s="121" t="str">
        <f>IFERROR(
AVERAGEIFS(
'New 20102013 LF Efficacy'!$J:$J,
'New 20102013 LF Efficacy'!$D:$D,$A185,
'New 20102013 LF Efficacy'!$F:$F,"Albendazole &amp; Ivermectin", 
'New 20102013 LF Efficacy'!$W:$W,"&lt;2011",
'New 20102013 LF Efficacy'!$AA:$AA,""),"")</f>
        <v/>
      </c>
      <c r="AS185" s="115">
        <f t="shared" si="14"/>
        <v>0.37153125</v>
      </c>
      <c r="AT185" s="130">
        <f>IFERROR(AVERAGEIFS(
'20102013 Schist Efficacy'!$O:$O, 
'20102013 Schist Efficacy'!$C:$C,$A185, 
'20102013 Schist Efficacy'!$D:$D, "Praziquantel",
'20102013 Schist Efficacy'!$J:$J,"&lt;2011",
'20102013 Schist Efficacy'!$U:$U,""),
"")</f>
        <v>0.7706923077</v>
      </c>
      <c r="AU185" s="118">
        <f t="shared" si="15"/>
        <v>0.7706923077</v>
      </c>
      <c r="AV185" s="131" t="str">
        <f>IFERROR(AVERAGEIFS(
'20102013 STH Efficacy'!$AX:$AX, 
'20102013 STH Efficacy'!$AL:$AL, $A185, 
'20102013 STH Efficacy'!$AM:$AM, "Albendazole",
'20102013 STH Efficacy'!$AS:$AS,"&lt;2011",
'20102013 STH Efficacy'!$BP:$BP,""),
"")</f>
        <v/>
      </c>
      <c r="AW185" s="132">
        <f t="shared" si="16"/>
        <v>0.3842878788</v>
      </c>
      <c r="AX185" s="131" t="str">
        <f>IFERROR(AVERAGEIFS(
'20102013 STH Efficacy'!$AX:$AX, 
'20102013 STH Efficacy'!$AL:$AL, $A185, 
'20102013 STH Efficacy'!$AM:$AM, "Mebendazole",
'20102013 STH Efficacy'!$AS:$AS,"&lt;2011",
'20102013 STH Efficacy'!$BP:$BP,""),
"")</f>
        <v/>
      </c>
      <c r="AY185" s="132">
        <f t="shared" si="17"/>
        <v>0.5121666667</v>
      </c>
      <c r="AZ185" s="131" t="str">
        <f>IFERROR(AVERAGEIFS(
'20102013 STH Efficacy'!$AX:$AX, 
'20102013 STH Efficacy'!$AL:$AL, $A185, 
'20102013 STH Efficacy'!$AM:$AM, "Albendazole &amp; Ivermectin",
'20102013 STH Efficacy'!$AS:$AS,"&lt;2011",
'20102013 STH Efficacy'!$BP:$BP,""),
"")</f>
        <v/>
      </c>
      <c r="BA185" s="133">
        <f t="shared" si="18"/>
        <v>0.7176666667</v>
      </c>
      <c r="BB185" s="134" t="str">
        <f>IFERROR(AVERAGEIFS(
'20102013 STH Efficacy'!$N:$N, 
'20102013 STH Efficacy'!$B:$B, $A185, 
'20102013 STH Efficacy'!$C:$C, "Albendazole",
'20102013 STH Efficacy'!$I:$I,"&lt;2011",
'20102013 STH Efficacy'!$AH:$AH,""),
"")</f>
        <v/>
      </c>
      <c r="BC185" s="135">
        <f t="shared" si="19"/>
        <v>0.7630416667</v>
      </c>
      <c r="BD185" s="134" t="str">
        <f>IFERROR(AVERAGEIFS(
'20102013 STH Efficacy'!$N:$N, 
'20102013 STH Efficacy'!$B:$B, $A185, 
'20102013 STH Efficacy'!$C:$C, "Mebendazole",
'20102013 STH Efficacy'!$I:$I,"&lt;2011",
'20102013 STH Efficacy'!$AH:$AH,""),
"")</f>
        <v/>
      </c>
      <c r="BE185" s="135">
        <f t="shared" si="20"/>
        <v>0.4405966667</v>
      </c>
      <c r="BF185" s="128" t="str">
        <f>IFERROR(AVERAGEIFS(
'20102013 STH Efficacy'!$CD:$CD, 
'20102013 STH Efficacy'!$BS:$BS, $A185, 
'20102013 STH Efficacy'!$BT:$BT, "Albendazole",
'20102013 STH Efficacy'!$BZ:$BZ,"&lt;2011",
'20102013 STH Efficacy'!$CU:$CU,""),
"")</f>
        <v/>
      </c>
      <c r="BG185" s="136">
        <f t="shared" si="21"/>
        <v>0.955</v>
      </c>
      <c r="BH185" s="128" t="str">
        <f>IFERROR(AVERAGEIFS(
'20102013 STH Efficacy'!$CD:$CD, 
'20102013 STH Efficacy'!$BS:$BS, $A185, 
'20102013 STH Efficacy'!$BT:$BT, "Mebendazole",
'20102013 STH Efficacy'!$BZ:$BZ,"&lt;2011",
'20102013 STH Efficacy'!$CU:$CU,""),
"")</f>
        <v/>
      </c>
      <c r="BI185" s="136">
        <f t="shared" si="22"/>
        <v>1</v>
      </c>
      <c r="BJ185" s="128" t="str">
        <f>IFERROR(AVERAGEIFS(
'20102013 STH Efficacy'!$CD:$CD, 
'20102013 STH Efficacy'!$BS:$BS, $A185, 
'20102013 STH Efficacy'!$BT:$BT, "Albendazole &amp; Ivermectin",
'20102013 STH Efficacy'!$BZ:$BZ,"&lt;2011",
'20102013 STH Efficacy'!$CU:$CU,""),
"")</f>
        <v/>
      </c>
      <c r="BK185" s="136">
        <f t="shared" si="23"/>
        <v>1</v>
      </c>
      <c r="BL185" s="137"/>
      <c r="BM185" s="137"/>
      <c r="BN185" s="138">
        <v>1.0</v>
      </c>
      <c r="BO185" s="139">
        <v>1.0</v>
      </c>
      <c r="BP185" s="140">
        <v>1.0</v>
      </c>
      <c r="BQ185" s="141">
        <f t="shared" si="24"/>
        <v>0</v>
      </c>
      <c r="BR185" s="104" t="str">
        <f t="shared" si="25"/>
        <v>1110</v>
      </c>
      <c r="BS185" s="104" t="str">
        <f t="shared" si="26"/>
        <v>MDA1+T2</v>
      </c>
      <c r="BT185" s="142" t="str">
        <f t="shared" si="27"/>
        <v>IVM+ALB</v>
      </c>
      <c r="BU185" s="104" t="str">
        <f t="shared" si="28"/>
        <v>PZQ</v>
      </c>
      <c r="BV185" s="104" t="str">
        <f t="shared" si="29"/>
        <v>lf+onch+schist </v>
      </c>
      <c r="BW185" s="150" t="str">
        <f t="shared" si="30"/>
        <v/>
      </c>
      <c r="BX185" s="150">
        <f t="shared" si="31"/>
        <v>317.203366</v>
      </c>
      <c r="BY185" s="162">
        <f t="shared" si="32"/>
        <v>17820.43239</v>
      </c>
      <c r="BZ185" s="152" t="str">
        <f t="shared" si="33"/>
        <v/>
      </c>
      <c r="CA185" s="152" t="str">
        <f t="shared" si="34"/>
        <v/>
      </c>
      <c r="CB185" s="152" t="str">
        <f t="shared" si="35"/>
        <v/>
      </c>
      <c r="CC185" s="153" t="str">
        <f t="shared" si="36"/>
        <v/>
      </c>
      <c r="CD185" s="153" t="str">
        <f t="shared" si="37"/>
        <v/>
      </c>
      <c r="CE185" s="154" t="str">
        <f t="shared" si="38"/>
        <v/>
      </c>
      <c r="CF185" s="154" t="str">
        <f t="shared" si="39"/>
        <v/>
      </c>
      <c r="CG185" s="154" t="str">
        <f t="shared" si="40"/>
        <v/>
      </c>
    </row>
    <row r="186">
      <c r="A186" s="103" t="s">
        <v>275</v>
      </c>
      <c r="B186" s="104" t="s">
        <v>98</v>
      </c>
      <c r="C186" s="105">
        <v>526103.0</v>
      </c>
      <c r="D186" s="106">
        <v>0.0</v>
      </c>
      <c r="E186" s="107">
        <v>481.8913057</v>
      </c>
      <c r="F186" s="179">
        <v>2.89873E-6</v>
      </c>
      <c r="G186" s="179">
        <v>2.37859E-5</v>
      </c>
      <c r="H186" s="179">
        <v>2.66846E-5</v>
      </c>
      <c r="I186" s="109">
        <v>6.93059029</v>
      </c>
      <c r="J186" s="109">
        <v>25.414022</v>
      </c>
      <c r="K186" s="109">
        <v>32.3446123</v>
      </c>
      <c r="L186" s="112">
        <v>4.489049489</v>
      </c>
      <c r="M186" s="112">
        <v>1.818567069</v>
      </c>
      <c r="N186" s="112">
        <v>6.307616558</v>
      </c>
      <c r="O186" s="113"/>
      <c r="P186" s="114"/>
      <c r="Q186" s="114"/>
      <c r="R186" s="115" t="str">
        <f t="shared" si="8"/>
        <v/>
      </c>
      <c r="S186" s="116">
        <f t="shared" si="9"/>
        <v>0.14553293</v>
      </c>
      <c r="T186" s="117"/>
      <c r="U186" s="118">
        <f t="shared" si="41"/>
        <v>0.39435</v>
      </c>
      <c r="V186" s="148"/>
      <c r="W186" s="120">
        <f t="shared" si="10"/>
        <v>0.3616</v>
      </c>
      <c r="X186" s="148"/>
      <c r="Y186" s="120">
        <f t="shared" si="11"/>
        <v>0.5015615385</v>
      </c>
      <c r="Z186" s="121"/>
      <c r="AA186" s="121"/>
      <c r="AB186" s="121"/>
      <c r="AC186" s="121"/>
      <c r="AD186" s="122">
        <v>0.0</v>
      </c>
      <c r="AE186" s="123">
        <v>0.13</v>
      </c>
      <c r="AF186" s="123">
        <v>0.004</v>
      </c>
      <c r="AG186" s="124">
        <v>0.0029</v>
      </c>
      <c r="AH186" s="124">
        <v>0.004608305</v>
      </c>
      <c r="AI186" s="125">
        <v>0.0404</v>
      </c>
      <c r="AJ186" s="125">
        <v>0.065437164</v>
      </c>
      <c r="AK186" s="127">
        <v>0.01</v>
      </c>
      <c r="AL186" s="169">
        <v>0.017595256</v>
      </c>
      <c r="AM186" s="128"/>
      <c r="AN186" s="149" t="str">
        <f>IFERROR(
  AVERAGEIFS(
    'New 20102013 LF Efficacy'!$J:$J,
    'New 20102013 LF Efficacy'!$D:$D, $A186,
    'New 20102013 LF Efficacy'!$F:$F,"DEC", 
    'New 20102013 LF Efficacy'!$W:$W,"&lt;2011",
    'New 20102013 LF Efficacy'!$AA:$AA,""),
  ""
)</f>
        <v/>
      </c>
      <c r="AO186" s="115">
        <f t="shared" si="12"/>
        <v>0.2589833333</v>
      </c>
      <c r="AP186" s="121" t="str">
        <f>IFERROR(
AVERAGEIFS(
'New 20102013 LF Efficacy'!$J:$J,
'New 20102013 LF Efficacy'!$D:$D,$A186,
'New 20102013 LF Efficacy'!$F:$F,"Albendazole &amp; DEC",
'New 20102013 LF Efficacy'!$W:$W,"&lt;2011",
'New 20102013 LF Efficacy'!$AA:$AA,""),
"")
</f>
        <v/>
      </c>
      <c r="AQ186" s="115">
        <f t="shared" si="13"/>
        <v>0.3465</v>
      </c>
      <c r="AR186" s="121" t="str">
        <f>IFERROR(
AVERAGEIFS(
'New 20102013 LF Efficacy'!$J:$J,
'New 20102013 LF Efficacy'!$D:$D,$A186,
'New 20102013 LF Efficacy'!$F:$F,"Albendazole &amp; Ivermectin", 
'New 20102013 LF Efficacy'!$W:$W,"&lt;2011",
'New 20102013 LF Efficacy'!$AA:$AA,""),"")</f>
        <v/>
      </c>
      <c r="AS186" s="115">
        <f t="shared" si="14"/>
        <v>0.7575</v>
      </c>
      <c r="AT186" s="130" t="str">
        <f>IFERROR(AVERAGEIFS(
'20102013 Schist Efficacy'!$O:$O, 
'20102013 Schist Efficacy'!$C:$C,$A186, 
'20102013 Schist Efficacy'!$D:$D, "Praziquantel",
'20102013 Schist Efficacy'!$J:$J,"&lt;2011",
'20102013 Schist Efficacy'!$U:$U,""),
"")</f>
        <v/>
      </c>
      <c r="AU186" s="118">
        <f t="shared" si="15"/>
        <v>0.7732631579</v>
      </c>
      <c r="AV186" s="131" t="str">
        <f>IFERROR(AVERAGEIFS(
'20102013 STH Efficacy'!$AX:$AX, 
'20102013 STH Efficacy'!$AL:$AL, $A186, 
'20102013 STH Efficacy'!$AM:$AM, "Albendazole",
'20102013 STH Efficacy'!$AS:$AS,"&lt;2011",
'20102013 STH Efficacy'!$BP:$BP,""),
"")</f>
        <v/>
      </c>
      <c r="AW186" s="132">
        <f t="shared" si="16"/>
        <v>0.3945</v>
      </c>
      <c r="AX186" s="131" t="str">
        <f>IFERROR(AVERAGEIFS(
'20102013 STH Efficacy'!$AX:$AX, 
'20102013 STH Efficacy'!$AL:$AL, $A186, 
'20102013 STH Efficacy'!$AM:$AM, "Mebendazole",
'20102013 STH Efficacy'!$AS:$AS,"&lt;2011",
'20102013 STH Efficacy'!$BP:$BP,""),
"")</f>
        <v/>
      </c>
      <c r="AY186" s="132">
        <f t="shared" si="17"/>
        <v>0.6</v>
      </c>
      <c r="AZ186" s="131" t="str">
        <f>IFERROR(AVERAGEIFS(
'20102013 STH Efficacy'!$AX:$AX, 
'20102013 STH Efficacy'!$AL:$AL, $A186, 
'20102013 STH Efficacy'!$AM:$AM, "Albendazole &amp; Ivermectin",
'20102013 STH Efficacy'!$AS:$AS,"&lt;2011",
'20102013 STH Efficacy'!$BP:$BP,""),
"")</f>
        <v/>
      </c>
      <c r="BA186" s="133">
        <f t="shared" si="18"/>
        <v>0.796</v>
      </c>
      <c r="BB186" s="134" t="str">
        <f>IFERROR(AVERAGEIFS(
'20102013 STH Efficacy'!$N:$N, 
'20102013 STH Efficacy'!$B:$B, $A186, 
'20102013 STH Efficacy'!$C:$C, "Albendazole",
'20102013 STH Efficacy'!$I:$I,"&lt;2011",
'20102013 STH Efficacy'!$AH:$AH,""),
"")</f>
        <v/>
      </c>
      <c r="BC186" s="135">
        <f t="shared" si="19"/>
        <v>0.869</v>
      </c>
      <c r="BD186" s="134" t="str">
        <f>IFERROR(AVERAGEIFS(
'20102013 STH Efficacy'!$N:$N, 
'20102013 STH Efficacy'!$B:$B, $A186, 
'20102013 STH Efficacy'!$C:$C, "Mebendazole",
'20102013 STH Efficacy'!$I:$I,"&lt;2011",
'20102013 STH Efficacy'!$AH:$AH,""),
"")</f>
        <v/>
      </c>
      <c r="BE186" s="135">
        <f t="shared" si="20"/>
        <v>0.172</v>
      </c>
      <c r="BF186" s="128" t="str">
        <f>IFERROR(AVERAGEIFS(
'20102013 STH Efficacy'!$CD:$CD, 
'20102013 STH Efficacy'!$BS:$BS, $A186, 
'20102013 STH Efficacy'!$BT:$BT, "Albendazole",
'20102013 STH Efficacy'!$BZ:$BZ,"&lt;2011",
'20102013 STH Efficacy'!$CU:$CU,""),
"")</f>
        <v/>
      </c>
      <c r="BG186" s="136">
        <f t="shared" si="21"/>
        <v>0.9862</v>
      </c>
      <c r="BH186" s="128" t="str">
        <f>IFERROR(AVERAGEIFS(
'20102013 STH Efficacy'!$CD:$CD, 
'20102013 STH Efficacy'!$BS:$BS, $A186, 
'20102013 STH Efficacy'!$BT:$BT, "Mebendazole",
'20102013 STH Efficacy'!$BZ:$BZ,"&lt;2011",
'20102013 STH Efficacy'!$CU:$CU,""),
"")</f>
        <v/>
      </c>
      <c r="BI186" s="136">
        <f t="shared" si="22"/>
        <v>0.769</v>
      </c>
      <c r="BJ186" s="128" t="str">
        <f>IFERROR(AVERAGEIFS(
'20102013 STH Efficacy'!$CD:$CD, 
'20102013 STH Efficacy'!$BS:$BS, $A186, 
'20102013 STH Efficacy'!$BT:$BT, "Albendazole &amp; Ivermectin",
'20102013 STH Efficacy'!$BZ:$BZ,"&lt;2011",
'20102013 STH Efficacy'!$CU:$CU,""),
"")</f>
        <v/>
      </c>
      <c r="BK186" s="136">
        <f t="shared" si="23"/>
        <v>1</v>
      </c>
      <c r="BL186" s="137"/>
      <c r="BM186" s="137"/>
      <c r="BN186" s="138">
        <v>0.0</v>
      </c>
      <c r="BO186" s="139">
        <v>0.0</v>
      </c>
      <c r="BP186" s="140">
        <v>0.0</v>
      </c>
      <c r="BQ186" s="141">
        <f t="shared" si="24"/>
        <v>0</v>
      </c>
      <c r="BR186" s="104" t="str">
        <f t="shared" si="25"/>
        <v>0000</v>
      </c>
      <c r="BS186" s="104" t="str">
        <f t="shared" si="26"/>
        <v>no action required</v>
      </c>
      <c r="BT186" s="142" t="str">
        <f t="shared" si="27"/>
        <v/>
      </c>
      <c r="BU186" s="104" t="str">
        <f t="shared" si="28"/>
        <v/>
      </c>
      <c r="BV186" s="104" t="str">
        <f t="shared" si="29"/>
        <v>none</v>
      </c>
      <c r="BW186" s="150" t="str">
        <f t="shared" si="30"/>
        <v/>
      </c>
      <c r="BX186" s="150" t="str">
        <f t="shared" si="31"/>
        <v/>
      </c>
      <c r="BY186" s="151" t="str">
        <f t="shared" si="32"/>
        <v/>
      </c>
      <c r="BZ186" s="152" t="str">
        <f t="shared" si="33"/>
        <v/>
      </c>
      <c r="CA186" s="152" t="str">
        <f t="shared" si="34"/>
        <v/>
      </c>
      <c r="CB186" s="152" t="str">
        <f t="shared" si="35"/>
        <v/>
      </c>
      <c r="CC186" s="153" t="str">
        <f t="shared" si="36"/>
        <v/>
      </c>
      <c r="CD186" s="153" t="str">
        <f t="shared" si="37"/>
        <v/>
      </c>
      <c r="CE186" s="154" t="str">
        <f t="shared" si="38"/>
        <v/>
      </c>
      <c r="CF186" s="154" t="str">
        <f t="shared" si="39"/>
        <v/>
      </c>
      <c r="CG186" s="154" t="str">
        <f t="shared" si="40"/>
        <v/>
      </c>
    </row>
    <row r="187">
      <c r="A187" s="103" t="s">
        <v>276</v>
      </c>
      <c r="B187" s="104" t="s">
        <v>92</v>
      </c>
      <c r="C187" s="105">
        <v>1202843.0</v>
      </c>
      <c r="D187" s="106">
        <v>0.0</v>
      </c>
      <c r="E187" s="107">
        <v>958.7305991</v>
      </c>
      <c r="F187" s="108">
        <v>51.60476126</v>
      </c>
      <c r="G187" s="108">
        <v>239.645666</v>
      </c>
      <c r="H187" s="108">
        <v>291.2504273</v>
      </c>
      <c r="I187" s="109">
        <v>204.247898</v>
      </c>
      <c r="J187" s="109">
        <v>593.635581</v>
      </c>
      <c r="K187" s="109">
        <v>797.8834792</v>
      </c>
      <c r="L187" s="112">
        <v>97.20338888</v>
      </c>
      <c r="M187" s="112">
        <v>83.27161878</v>
      </c>
      <c r="N187" s="112">
        <v>180.4750077</v>
      </c>
      <c r="O187" s="113"/>
      <c r="P187" s="114"/>
      <c r="Q187" s="114"/>
      <c r="R187" s="115" t="str">
        <f t="shared" si="8"/>
        <v/>
      </c>
      <c r="S187" s="116">
        <f t="shared" si="9"/>
        <v>0.1716437208</v>
      </c>
      <c r="T187" s="117"/>
      <c r="U187" s="118">
        <f t="shared" si="41"/>
        <v>0.252</v>
      </c>
      <c r="V187" s="119">
        <v>0.5291</v>
      </c>
      <c r="W187" s="120">
        <f t="shared" si="10"/>
        <v>0.5291</v>
      </c>
      <c r="X187" s="148"/>
      <c r="Y187" s="120">
        <f t="shared" si="11"/>
        <v>0.4342071429</v>
      </c>
      <c r="Z187" s="114"/>
      <c r="AA187" s="114"/>
      <c r="AB187" s="114"/>
      <c r="AC187" s="114"/>
      <c r="AD187" s="164">
        <v>0.0</v>
      </c>
      <c r="AE187" s="123">
        <v>0.05</v>
      </c>
      <c r="AF187" s="123">
        <v>0.0153</v>
      </c>
      <c r="AG187" s="167">
        <v>0.0</v>
      </c>
      <c r="AH187" s="124">
        <v>0.414129752</v>
      </c>
      <c r="AI187" s="168">
        <v>0.0</v>
      </c>
      <c r="AJ187" s="125">
        <v>0.395107776</v>
      </c>
      <c r="AK187" s="126">
        <v>0.0</v>
      </c>
      <c r="AL187" s="169">
        <v>0.251603751</v>
      </c>
      <c r="AM187" s="128"/>
      <c r="AN187" s="149" t="str">
        <f>IFERROR(
  AVERAGEIFS(
    'New 20102013 LF Efficacy'!$J:$J,
    'New 20102013 LF Efficacy'!$D:$D, $A187,
    'New 20102013 LF Efficacy'!$F:$F,"DEC", 
    'New 20102013 LF Efficacy'!$W:$W,"&lt;2011",
    'New 20102013 LF Efficacy'!$AA:$AA,""),
  ""
)</f>
        <v/>
      </c>
      <c r="AO187" s="115">
        <f t="shared" si="12"/>
        <v>0.31225</v>
      </c>
      <c r="AP187" s="121" t="str">
        <f>IFERROR(
AVERAGEIFS(
'New 20102013 LF Efficacy'!$J:$J,
'New 20102013 LF Efficacy'!$D:$D,$A187,
'New 20102013 LF Efficacy'!$F:$F,"Albendazole &amp; DEC",
'New 20102013 LF Efficacy'!$W:$W,"&lt;2011",
'New 20102013 LF Efficacy'!$AA:$AA,""),
"")
</f>
        <v/>
      </c>
      <c r="AQ187" s="115">
        <f t="shared" si="13"/>
        <v>0.4</v>
      </c>
      <c r="AR187" s="121" t="str">
        <f>IFERROR(
AVERAGEIFS(
'New 20102013 LF Efficacy'!$J:$J,
'New 20102013 LF Efficacy'!$D:$D,$A187,
'New 20102013 LF Efficacy'!$F:$F,"Albendazole &amp; Ivermectin", 
'New 20102013 LF Efficacy'!$W:$W,"&lt;2011",
'New 20102013 LF Efficacy'!$AA:$AA,""),"")</f>
        <v/>
      </c>
      <c r="AS187" s="115">
        <f t="shared" si="14"/>
        <v>0.2943125</v>
      </c>
      <c r="AT187" s="130" t="str">
        <f>IFERROR(AVERAGEIFS(
'20102013 Schist Efficacy'!$O:$O, 
'20102013 Schist Efficacy'!$C:$C,$A187, 
'20102013 Schist Efficacy'!$D:$D, "Praziquantel",
'20102013 Schist Efficacy'!$J:$J,"&lt;2011",
'20102013 Schist Efficacy'!$U:$U,""),
"")</f>
        <v/>
      </c>
      <c r="AU187" s="118">
        <f t="shared" si="15"/>
        <v>0.6444020147</v>
      </c>
      <c r="AV187" s="131" t="str">
        <f>IFERROR(AVERAGEIFS(
'20102013 STH Efficacy'!$AX:$AX, 
'20102013 STH Efficacy'!$AL:$AL, $A187, 
'20102013 STH Efficacy'!$AM:$AM, "Albendazole",
'20102013 STH Efficacy'!$AS:$AS,"&lt;2011",
'20102013 STH Efficacy'!$BP:$BP,""),
"")</f>
        <v/>
      </c>
      <c r="AW187" s="132">
        <f t="shared" si="16"/>
        <v>0.3538333333</v>
      </c>
      <c r="AX187" s="131" t="str">
        <f>IFERROR(AVERAGEIFS(
'20102013 STH Efficacy'!$AX:$AX, 
'20102013 STH Efficacy'!$AL:$AL, $A187, 
'20102013 STH Efficacy'!$AM:$AM, "Mebendazole",
'20102013 STH Efficacy'!$AS:$AS,"&lt;2011",
'20102013 STH Efficacy'!$BP:$BP,""),
"")</f>
        <v/>
      </c>
      <c r="AY187" s="132">
        <f t="shared" si="17"/>
        <v>0.5918333333</v>
      </c>
      <c r="AZ187" s="131" t="str">
        <f>IFERROR(AVERAGEIFS(
'20102013 STH Efficacy'!$AX:$AX, 
'20102013 STH Efficacy'!$AL:$AL, $A187, 
'20102013 STH Efficacy'!$AM:$AM, "Albendazole &amp; Ivermectin",
'20102013 STH Efficacy'!$AS:$AS,"&lt;2011",
'20102013 STH Efficacy'!$BP:$BP,""),
"")</f>
        <v/>
      </c>
      <c r="BA187" s="133">
        <f t="shared" si="18"/>
        <v>0.706</v>
      </c>
      <c r="BB187" s="134" t="str">
        <f>IFERROR(AVERAGEIFS(
'20102013 STH Efficacy'!$N:$N, 
'20102013 STH Efficacy'!$B:$B, $A187, 
'20102013 STH Efficacy'!$C:$C, "Albendazole",
'20102013 STH Efficacy'!$I:$I,"&lt;2011",
'20102013 STH Efficacy'!$AH:$AH,""),
"")</f>
        <v/>
      </c>
      <c r="BC187" s="135">
        <f t="shared" si="19"/>
        <v>0.9116666667</v>
      </c>
      <c r="BD187" s="134" t="str">
        <f>IFERROR(AVERAGEIFS(
'20102013 STH Efficacy'!$N:$N, 
'20102013 STH Efficacy'!$B:$B, $A187, 
'20102013 STH Efficacy'!$C:$C, "Mebendazole",
'20102013 STH Efficacy'!$I:$I,"&lt;2011",
'20102013 STH Efficacy'!$AH:$AH,""),
"")</f>
        <v/>
      </c>
      <c r="BE187" s="135">
        <f t="shared" si="20"/>
        <v>0.7092416667</v>
      </c>
      <c r="BF187" s="128" t="str">
        <f>IFERROR(AVERAGEIFS(
'20102013 STH Efficacy'!$CD:$CD, 
'20102013 STH Efficacy'!$BS:$BS, $A187, 
'20102013 STH Efficacy'!$BT:$BT, "Albendazole",
'20102013 STH Efficacy'!$BZ:$BZ,"&lt;2011",
'20102013 STH Efficacy'!$CU:$CU,""),
"")</f>
        <v/>
      </c>
      <c r="BG187" s="136">
        <f t="shared" si="21"/>
        <v>0.8656666667</v>
      </c>
      <c r="BH187" s="128" t="str">
        <f>IFERROR(AVERAGEIFS(
'20102013 STH Efficacy'!$CD:$CD, 
'20102013 STH Efficacy'!$BS:$BS, $A187, 
'20102013 STH Efficacy'!$BT:$BT, "Mebendazole",
'20102013 STH Efficacy'!$BZ:$BZ,"&lt;2011",
'20102013 STH Efficacy'!$CU:$CU,""),
"")</f>
        <v/>
      </c>
      <c r="BI187" s="136">
        <f t="shared" si="22"/>
        <v>0.9203333333</v>
      </c>
      <c r="BJ187" s="128" t="str">
        <f>IFERROR(AVERAGEIFS(
'20102013 STH Efficacy'!$CD:$CD, 
'20102013 STH Efficacy'!$BS:$BS, $A187, 
'20102013 STH Efficacy'!$BT:$BT, "Albendazole &amp; Ivermectin",
'20102013 STH Efficacy'!$BZ:$BZ,"&lt;2011",
'20102013 STH Efficacy'!$CU:$CU,""),
"")</f>
        <v/>
      </c>
      <c r="BK187" s="136">
        <f t="shared" si="23"/>
        <v>1</v>
      </c>
      <c r="BL187" s="137"/>
      <c r="BM187" s="137"/>
      <c r="BN187" s="138">
        <v>0.0</v>
      </c>
      <c r="BO187" s="139">
        <v>1.0</v>
      </c>
      <c r="BP187" s="140">
        <v>1.0</v>
      </c>
      <c r="BQ187" s="141">
        <f t="shared" si="24"/>
        <v>1</v>
      </c>
      <c r="BR187" s="104" t="str">
        <f t="shared" si="25"/>
        <v>0111</v>
      </c>
      <c r="BS187" s="104" t="str">
        <f t="shared" si="26"/>
        <v>MDA1+T2</v>
      </c>
      <c r="BT187" s="142" t="str">
        <f t="shared" si="27"/>
        <v>IVM+ALB</v>
      </c>
      <c r="BU187" s="104" t="str">
        <f t="shared" si="28"/>
        <v>PZQ</v>
      </c>
      <c r="BV187" s="104" t="str">
        <f t="shared" si="29"/>
        <v>onch+schist+sth</v>
      </c>
      <c r="BW187" s="150" t="str">
        <f t="shared" si="30"/>
        <v/>
      </c>
      <c r="BX187" s="150" t="str">
        <f t="shared" si="31"/>
        <v/>
      </c>
      <c r="BY187" s="162">
        <f t="shared" si="32"/>
        <v>185.8710731</v>
      </c>
      <c r="BZ187" s="152">
        <f t="shared" si="33"/>
        <v>55.38831815</v>
      </c>
      <c r="CA187" s="152" t="str">
        <f t="shared" si="34"/>
        <v/>
      </c>
      <c r="CB187" s="152">
        <f t="shared" si="35"/>
        <v>136.7101245</v>
      </c>
      <c r="CC187" s="170">
        <f t="shared" si="36"/>
        <v>579.2937512</v>
      </c>
      <c r="CD187" s="153" t="str">
        <f t="shared" si="37"/>
        <v/>
      </c>
      <c r="CE187" s="154">
        <f t="shared" si="38"/>
        <v>132.2972174</v>
      </c>
      <c r="CF187" s="154" t="str">
        <f t="shared" si="39"/>
        <v/>
      </c>
      <c r="CG187" s="154">
        <f t="shared" si="40"/>
        <v>173.1223049</v>
      </c>
    </row>
    <row r="188">
      <c r="A188" s="103" t="s">
        <v>277</v>
      </c>
      <c r="B188" s="104" t="s">
        <v>90</v>
      </c>
      <c r="C188" s="105">
        <v>9378126.0</v>
      </c>
      <c r="D188" s="106">
        <v>0.0</v>
      </c>
      <c r="E188" s="107">
        <v>0.0</v>
      </c>
      <c r="F188" s="108">
        <v>0.0</v>
      </c>
      <c r="G188" s="108">
        <v>0.0</v>
      </c>
      <c r="H188" s="108">
        <v>0.0</v>
      </c>
      <c r="I188" s="109">
        <v>0.0</v>
      </c>
      <c r="J188" s="109">
        <v>0.0</v>
      </c>
      <c r="K188" s="109">
        <v>0.0</v>
      </c>
      <c r="L188" s="112">
        <v>0.0</v>
      </c>
      <c r="M188" s="112">
        <v>0.0</v>
      </c>
      <c r="N188" s="112">
        <v>0.0</v>
      </c>
      <c r="O188" s="113"/>
      <c r="P188" s="114"/>
      <c r="Q188" s="114"/>
      <c r="R188" s="115" t="str">
        <f t="shared" si="8"/>
        <v/>
      </c>
      <c r="S188" s="116">
        <f t="shared" si="9"/>
        <v>0.4013436246</v>
      </c>
      <c r="T188" s="117"/>
      <c r="U188" s="118">
        <f t="shared" si="41"/>
        <v>0.3468166667</v>
      </c>
      <c r="V188" s="148"/>
      <c r="W188" s="120">
        <f t="shared" si="10"/>
        <v>1</v>
      </c>
      <c r="X188" s="148"/>
      <c r="Y188" s="120">
        <f t="shared" si="11"/>
        <v>0.71735</v>
      </c>
      <c r="Z188" s="114"/>
      <c r="AA188" s="114"/>
      <c r="AB188" s="114"/>
      <c r="AC188" s="114"/>
      <c r="AD188" s="164">
        <v>0.0</v>
      </c>
      <c r="AE188" s="123">
        <v>0.0</v>
      </c>
      <c r="AF188" s="123">
        <v>0.0</v>
      </c>
      <c r="AG188" s="124">
        <v>0.0</v>
      </c>
      <c r="AH188" s="124">
        <v>0.0</v>
      </c>
      <c r="AI188" s="125">
        <v>0.0</v>
      </c>
      <c r="AJ188" s="125">
        <v>0.0</v>
      </c>
      <c r="AK188" s="126">
        <v>0.0</v>
      </c>
      <c r="AL188" s="169">
        <v>0.0</v>
      </c>
      <c r="AM188" s="128"/>
      <c r="AN188" s="149" t="str">
        <f>IFERROR(
  AVERAGEIFS(
    'New 20102013 LF Efficacy'!$J:$J,
    'New 20102013 LF Efficacy'!$D:$D, $A188,
    'New 20102013 LF Efficacy'!$F:$F,"DEC", 
    'New 20102013 LF Efficacy'!$W:$W,"&lt;2011",
    'New 20102013 LF Efficacy'!$AA:$AA,""),
  ""
)</f>
        <v/>
      </c>
      <c r="AO188" s="115">
        <f t="shared" si="12"/>
        <v>0.3573520833</v>
      </c>
      <c r="AP188" s="121" t="str">
        <f>IFERROR(
AVERAGEIFS(
'New 20102013 LF Efficacy'!$J:$J,
'New 20102013 LF Efficacy'!$D:$D,$A188,
'New 20102013 LF Efficacy'!$F:$F,"Albendazole &amp; DEC",
'New 20102013 LF Efficacy'!$W:$W,"&lt;2011",
'New 20102013 LF Efficacy'!$AA:$AA,""),
"")
</f>
        <v/>
      </c>
      <c r="AQ188" s="115">
        <f t="shared" si="13"/>
        <v>0.5137291667</v>
      </c>
      <c r="AR188" s="121" t="str">
        <f>IFERROR(
AVERAGEIFS(
'New 20102013 LF Efficacy'!$J:$J,
'New 20102013 LF Efficacy'!$D:$D,$A188,
'New 20102013 LF Efficacy'!$F:$F,"Albendazole &amp; Ivermectin", 
'New 20102013 LF Efficacy'!$W:$W,"&lt;2011",
'New 20102013 LF Efficacy'!$AA:$AA,""),"")</f>
        <v/>
      </c>
      <c r="AS188" s="115">
        <f t="shared" si="14"/>
        <v>0.37153125</v>
      </c>
      <c r="AT188" s="130" t="str">
        <f>IFERROR(AVERAGEIFS(
'20102013 Schist Efficacy'!$O:$O, 
'20102013 Schist Efficacy'!$C:$C,$A188, 
'20102013 Schist Efficacy'!$D:$D, "Praziquantel",
'20102013 Schist Efficacy'!$J:$J,"&lt;2011",
'20102013 Schist Efficacy'!$U:$U,""),
"")</f>
        <v/>
      </c>
      <c r="AU188" s="118">
        <f t="shared" si="15"/>
        <v>0.655</v>
      </c>
      <c r="AV188" s="131" t="str">
        <f>IFERROR(AVERAGEIFS(
'20102013 STH Efficacy'!$AX:$AX, 
'20102013 STH Efficacy'!$AL:$AL, $A188, 
'20102013 STH Efficacy'!$AM:$AM, "Albendazole",
'20102013 STH Efficacy'!$AS:$AS,"&lt;2011",
'20102013 STH Efficacy'!$BP:$BP,""),
"")</f>
        <v/>
      </c>
      <c r="AW188" s="132">
        <f t="shared" si="16"/>
        <v>0.3842878788</v>
      </c>
      <c r="AX188" s="131" t="str">
        <f>IFERROR(AVERAGEIFS(
'20102013 STH Efficacy'!$AX:$AX, 
'20102013 STH Efficacy'!$AL:$AL, $A188, 
'20102013 STH Efficacy'!$AM:$AM, "Mebendazole",
'20102013 STH Efficacy'!$AS:$AS,"&lt;2011",
'20102013 STH Efficacy'!$BP:$BP,""),
"")</f>
        <v/>
      </c>
      <c r="AY188" s="132">
        <f t="shared" si="17"/>
        <v>0.5121666667</v>
      </c>
      <c r="AZ188" s="131" t="str">
        <f>IFERROR(AVERAGEIFS(
'20102013 STH Efficacy'!$AX:$AX, 
'20102013 STH Efficacy'!$AL:$AL, $A188, 
'20102013 STH Efficacy'!$AM:$AM, "Albendazole &amp; Ivermectin",
'20102013 STH Efficacy'!$AS:$AS,"&lt;2011",
'20102013 STH Efficacy'!$BP:$BP,""),
"")</f>
        <v/>
      </c>
      <c r="BA188" s="133">
        <f t="shared" si="18"/>
        <v>0.7176666667</v>
      </c>
      <c r="BB188" s="134" t="str">
        <f>IFERROR(AVERAGEIFS(
'20102013 STH Efficacy'!$N:$N, 
'20102013 STH Efficacy'!$B:$B, $A188, 
'20102013 STH Efficacy'!$C:$C, "Albendazole",
'20102013 STH Efficacy'!$I:$I,"&lt;2011",
'20102013 STH Efficacy'!$AH:$AH,""),
"")</f>
        <v/>
      </c>
      <c r="BC188" s="135">
        <f t="shared" si="19"/>
        <v>0.7630416667</v>
      </c>
      <c r="BD188" s="134" t="str">
        <f>IFERROR(AVERAGEIFS(
'20102013 STH Efficacy'!$N:$N, 
'20102013 STH Efficacy'!$B:$B, $A188, 
'20102013 STH Efficacy'!$C:$C, "Mebendazole",
'20102013 STH Efficacy'!$I:$I,"&lt;2011",
'20102013 STH Efficacy'!$AH:$AH,""),
"")</f>
        <v/>
      </c>
      <c r="BE188" s="135">
        <f t="shared" si="20"/>
        <v>0.4405966667</v>
      </c>
      <c r="BF188" s="128" t="str">
        <f>IFERROR(AVERAGEIFS(
'20102013 STH Efficacy'!$CD:$CD, 
'20102013 STH Efficacy'!$BS:$BS, $A188, 
'20102013 STH Efficacy'!$BT:$BT, "Albendazole",
'20102013 STH Efficacy'!$BZ:$BZ,"&lt;2011",
'20102013 STH Efficacy'!$CU:$CU,""),
"")</f>
        <v/>
      </c>
      <c r="BG188" s="136">
        <f t="shared" si="21"/>
        <v>0.9403222222</v>
      </c>
      <c r="BH188" s="128" t="str">
        <f>IFERROR(AVERAGEIFS(
'20102013 STH Efficacy'!$CD:$CD, 
'20102013 STH Efficacy'!$BS:$BS, $A188, 
'20102013 STH Efficacy'!$BT:$BT, "Mebendazole",
'20102013 STH Efficacy'!$BZ:$BZ,"&lt;2011",
'20102013 STH Efficacy'!$CU:$CU,""),
"")</f>
        <v/>
      </c>
      <c r="BI188" s="136">
        <f t="shared" si="22"/>
        <v>0.9229285714</v>
      </c>
      <c r="BJ188" s="128" t="str">
        <f>IFERROR(AVERAGEIFS(
'20102013 STH Efficacy'!$CD:$CD, 
'20102013 STH Efficacy'!$BS:$BS, $A188, 
'20102013 STH Efficacy'!$BT:$BT, "Albendazole &amp; Ivermectin",
'20102013 STH Efficacy'!$BZ:$BZ,"&lt;2011",
'20102013 STH Efficacy'!$CU:$CU,""),
"")</f>
        <v/>
      </c>
      <c r="BK188" s="136">
        <f t="shared" si="23"/>
        <v>1</v>
      </c>
      <c r="BL188" s="137"/>
      <c r="BM188" s="137"/>
      <c r="BN188" s="138">
        <v>0.0</v>
      </c>
      <c r="BO188" s="139">
        <v>0.0</v>
      </c>
      <c r="BP188" s="140">
        <v>0.0</v>
      </c>
      <c r="BQ188" s="141">
        <f t="shared" si="24"/>
        <v>0</v>
      </c>
      <c r="BR188" s="104" t="str">
        <f t="shared" si="25"/>
        <v>0000</v>
      </c>
      <c r="BS188" s="104" t="str">
        <f t="shared" si="26"/>
        <v>no action required</v>
      </c>
      <c r="BT188" s="142" t="str">
        <f t="shared" si="27"/>
        <v/>
      </c>
      <c r="BU188" s="104" t="str">
        <f t="shared" si="28"/>
        <v/>
      </c>
      <c r="BV188" s="104" t="str">
        <f t="shared" si="29"/>
        <v>none</v>
      </c>
      <c r="BW188" s="150" t="str">
        <f t="shared" si="30"/>
        <v/>
      </c>
      <c r="BX188" s="150" t="str">
        <f t="shared" si="31"/>
        <v/>
      </c>
      <c r="BY188" s="151" t="str">
        <f t="shared" si="32"/>
        <v/>
      </c>
      <c r="BZ188" s="152" t="str">
        <f t="shared" si="33"/>
        <v/>
      </c>
      <c r="CA188" s="152" t="str">
        <f t="shared" si="34"/>
        <v/>
      </c>
      <c r="CB188" s="152" t="str">
        <f t="shared" si="35"/>
        <v/>
      </c>
      <c r="CC188" s="153" t="str">
        <f t="shared" si="36"/>
        <v/>
      </c>
      <c r="CD188" s="153" t="str">
        <f t="shared" si="37"/>
        <v/>
      </c>
      <c r="CE188" s="154" t="str">
        <f t="shared" si="38"/>
        <v/>
      </c>
      <c r="CF188" s="154" t="str">
        <f t="shared" si="39"/>
        <v/>
      </c>
      <c r="CG188" s="154" t="str">
        <f t="shared" si="40"/>
        <v/>
      </c>
    </row>
    <row r="189">
      <c r="A189" s="103" t="s">
        <v>278</v>
      </c>
      <c r="B189" s="104" t="s">
        <v>90</v>
      </c>
      <c r="C189" s="105">
        <v>7824909.0</v>
      </c>
      <c r="D189" s="106">
        <v>0.0</v>
      </c>
      <c r="E189" s="107">
        <v>0.0</v>
      </c>
      <c r="F189" s="108">
        <v>0.0</v>
      </c>
      <c r="G189" s="108">
        <v>0.0</v>
      </c>
      <c r="H189" s="108">
        <v>0.0</v>
      </c>
      <c r="I189" s="109">
        <v>0.0</v>
      </c>
      <c r="J189" s="109">
        <v>0.0</v>
      </c>
      <c r="K189" s="109">
        <v>0.0</v>
      </c>
      <c r="L189" s="112">
        <v>0.0</v>
      </c>
      <c r="M189" s="112">
        <v>0.0</v>
      </c>
      <c r="N189" s="112">
        <v>0.0</v>
      </c>
      <c r="O189" s="113"/>
      <c r="P189" s="114"/>
      <c r="Q189" s="114"/>
      <c r="R189" s="115" t="str">
        <f t="shared" si="8"/>
        <v/>
      </c>
      <c r="S189" s="116">
        <f t="shared" si="9"/>
        <v>0.4013436246</v>
      </c>
      <c r="T189" s="117"/>
      <c r="U189" s="118">
        <f t="shared" si="41"/>
        <v>0.3468166667</v>
      </c>
      <c r="V189" s="148"/>
      <c r="W189" s="120">
        <f t="shared" si="10"/>
        <v>1</v>
      </c>
      <c r="X189" s="148"/>
      <c r="Y189" s="120">
        <f t="shared" si="11"/>
        <v>0.71735</v>
      </c>
      <c r="Z189" s="114"/>
      <c r="AA189" s="114"/>
      <c r="AB189" s="114"/>
      <c r="AC189" s="114"/>
      <c r="AD189" s="164">
        <v>0.0</v>
      </c>
      <c r="AE189" s="123">
        <v>0.0</v>
      </c>
      <c r="AF189" s="123">
        <v>0.0</v>
      </c>
      <c r="AG189" s="167">
        <v>0.0</v>
      </c>
      <c r="AH189" s="124">
        <v>0.0</v>
      </c>
      <c r="AI189" s="168">
        <v>0.0</v>
      </c>
      <c r="AJ189" s="125">
        <v>0.0</v>
      </c>
      <c r="AK189" s="126">
        <v>0.0</v>
      </c>
      <c r="AL189" s="169">
        <v>0.0</v>
      </c>
      <c r="AM189" s="128"/>
      <c r="AN189" s="149" t="str">
        <f>IFERROR(
  AVERAGEIFS(
    'New 20102013 LF Efficacy'!$J:$J,
    'New 20102013 LF Efficacy'!$D:$D, $A189,
    'New 20102013 LF Efficacy'!$F:$F,"DEC", 
    'New 20102013 LF Efficacy'!$W:$W,"&lt;2011",
    'New 20102013 LF Efficacy'!$AA:$AA,""),
  ""
)</f>
        <v/>
      </c>
      <c r="AO189" s="115">
        <f t="shared" si="12"/>
        <v>0.3573520833</v>
      </c>
      <c r="AP189" s="121" t="str">
        <f>IFERROR(
AVERAGEIFS(
'New 20102013 LF Efficacy'!$J:$J,
'New 20102013 LF Efficacy'!$D:$D,$A189,
'New 20102013 LF Efficacy'!$F:$F,"Albendazole &amp; DEC",
'New 20102013 LF Efficacy'!$W:$W,"&lt;2011",
'New 20102013 LF Efficacy'!$AA:$AA,""),
"")
</f>
        <v/>
      </c>
      <c r="AQ189" s="115">
        <f t="shared" si="13"/>
        <v>0.5137291667</v>
      </c>
      <c r="AR189" s="121" t="str">
        <f>IFERROR(
AVERAGEIFS(
'New 20102013 LF Efficacy'!$J:$J,
'New 20102013 LF Efficacy'!$D:$D,$A189,
'New 20102013 LF Efficacy'!$F:$F,"Albendazole &amp; Ivermectin", 
'New 20102013 LF Efficacy'!$W:$W,"&lt;2011",
'New 20102013 LF Efficacy'!$AA:$AA,""),"")</f>
        <v/>
      </c>
      <c r="AS189" s="115">
        <f t="shared" si="14"/>
        <v>0.37153125</v>
      </c>
      <c r="AT189" s="130" t="str">
        <f>IFERROR(AVERAGEIFS(
'20102013 Schist Efficacy'!$O:$O, 
'20102013 Schist Efficacy'!$C:$C,$A189, 
'20102013 Schist Efficacy'!$D:$D, "Praziquantel",
'20102013 Schist Efficacy'!$J:$J,"&lt;2011",
'20102013 Schist Efficacy'!$U:$U,""),
"")</f>
        <v/>
      </c>
      <c r="AU189" s="118">
        <f t="shared" si="15"/>
        <v>0.655</v>
      </c>
      <c r="AV189" s="131" t="str">
        <f>IFERROR(AVERAGEIFS(
'20102013 STH Efficacy'!$AX:$AX, 
'20102013 STH Efficacy'!$AL:$AL, $A189, 
'20102013 STH Efficacy'!$AM:$AM, "Albendazole",
'20102013 STH Efficacy'!$AS:$AS,"&lt;2011",
'20102013 STH Efficacy'!$BP:$BP,""),
"")</f>
        <v/>
      </c>
      <c r="AW189" s="132">
        <f t="shared" si="16"/>
        <v>0.3842878788</v>
      </c>
      <c r="AX189" s="131" t="str">
        <f>IFERROR(AVERAGEIFS(
'20102013 STH Efficacy'!$AX:$AX, 
'20102013 STH Efficacy'!$AL:$AL, $A189, 
'20102013 STH Efficacy'!$AM:$AM, "Mebendazole",
'20102013 STH Efficacy'!$AS:$AS,"&lt;2011",
'20102013 STH Efficacy'!$BP:$BP,""),
"")</f>
        <v/>
      </c>
      <c r="AY189" s="132">
        <f t="shared" si="17"/>
        <v>0.5121666667</v>
      </c>
      <c r="AZ189" s="131" t="str">
        <f>IFERROR(AVERAGEIFS(
'20102013 STH Efficacy'!$AX:$AX, 
'20102013 STH Efficacy'!$AL:$AL, $A189, 
'20102013 STH Efficacy'!$AM:$AM, "Albendazole &amp; Ivermectin",
'20102013 STH Efficacy'!$AS:$AS,"&lt;2011",
'20102013 STH Efficacy'!$BP:$BP,""),
"")</f>
        <v/>
      </c>
      <c r="BA189" s="133">
        <f t="shared" si="18"/>
        <v>0.7176666667</v>
      </c>
      <c r="BB189" s="134" t="str">
        <f>IFERROR(AVERAGEIFS(
'20102013 STH Efficacy'!$N:$N, 
'20102013 STH Efficacy'!$B:$B, $A189, 
'20102013 STH Efficacy'!$C:$C, "Albendazole",
'20102013 STH Efficacy'!$I:$I,"&lt;2011",
'20102013 STH Efficacy'!$AH:$AH,""),
"")</f>
        <v/>
      </c>
      <c r="BC189" s="135">
        <f t="shared" si="19"/>
        <v>0.7630416667</v>
      </c>
      <c r="BD189" s="134" t="str">
        <f>IFERROR(AVERAGEIFS(
'20102013 STH Efficacy'!$N:$N, 
'20102013 STH Efficacy'!$B:$B, $A189, 
'20102013 STH Efficacy'!$C:$C, "Mebendazole",
'20102013 STH Efficacy'!$I:$I,"&lt;2011",
'20102013 STH Efficacy'!$AH:$AH,""),
"")</f>
        <v/>
      </c>
      <c r="BE189" s="135">
        <f t="shared" si="20"/>
        <v>0.4405966667</v>
      </c>
      <c r="BF189" s="128" t="str">
        <f>IFERROR(AVERAGEIFS(
'20102013 STH Efficacy'!$CD:$CD, 
'20102013 STH Efficacy'!$BS:$BS, $A189, 
'20102013 STH Efficacy'!$BT:$BT, "Albendazole",
'20102013 STH Efficacy'!$BZ:$BZ,"&lt;2011",
'20102013 STH Efficacy'!$CU:$CU,""),
"")</f>
        <v/>
      </c>
      <c r="BG189" s="136">
        <f t="shared" si="21"/>
        <v>0.9403222222</v>
      </c>
      <c r="BH189" s="128" t="str">
        <f>IFERROR(AVERAGEIFS(
'20102013 STH Efficacy'!$CD:$CD, 
'20102013 STH Efficacy'!$BS:$BS, $A189, 
'20102013 STH Efficacy'!$BT:$BT, "Mebendazole",
'20102013 STH Efficacy'!$BZ:$BZ,"&lt;2011",
'20102013 STH Efficacy'!$CU:$CU,""),
"")</f>
        <v/>
      </c>
      <c r="BI189" s="136">
        <f t="shared" si="22"/>
        <v>0.9229285714</v>
      </c>
      <c r="BJ189" s="128" t="str">
        <f>IFERROR(AVERAGEIFS(
'20102013 STH Efficacy'!$CD:$CD, 
'20102013 STH Efficacy'!$BS:$BS, $A189, 
'20102013 STH Efficacy'!$BT:$BT, "Albendazole &amp; Ivermectin",
'20102013 STH Efficacy'!$BZ:$BZ,"&lt;2011",
'20102013 STH Efficacy'!$CU:$CU,""),
"")</f>
        <v/>
      </c>
      <c r="BK189" s="136">
        <f t="shared" si="23"/>
        <v>1</v>
      </c>
      <c r="BL189" s="137"/>
      <c r="BM189" s="137"/>
      <c r="BN189" s="138">
        <v>0.0</v>
      </c>
      <c r="BO189" s="139">
        <v>0.0</v>
      </c>
      <c r="BP189" s="140">
        <v>0.0</v>
      </c>
      <c r="BQ189" s="141">
        <f t="shared" si="24"/>
        <v>0</v>
      </c>
      <c r="BR189" s="104" t="str">
        <f t="shared" si="25"/>
        <v>0000</v>
      </c>
      <c r="BS189" s="104" t="str">
        <f t="shared" si="26"/>
        <v>no action required</v>
      </c>
      <c r="BT189" s="142" t="str">
        <f t="shared" si="27"/>
        <v/>
      </c>
      <c r="BU189" s="104" t="str">
        <f t="shared" si="28"/>
        <v/>
      </c>
      <c r="BV189" s="104" t="str">
        <f t="shared" si="29"/>
        <v>none</v>
      </c>
      <c r="BW189" s="150" t="str">
        <f t="shared" si="30"/>
        <v/>
      </c>
      <c r="BX189" s="150" t="str">
        <f t="shared" si="31"/>
        <v/>
      </c>
      <c r="BY189" s="151" t="str">
        <f t="shared" si="32"/>
        <v/>
      </c>
      <c r="BZ189" s="152" t="str">
        <f t="shared" si="33"/>
        <v/>
      </c>
      <c r="CA189" s="152" t="str">
        <f t="shared" si="34"/>
        <v/>
      </c>
      <c r="CB189" s="152" t="str">
        <f t="shared" si="35"/>
        <v/>
      </c>
      <c r="CC189" s="153" t="str">
        <f t="shared" si="36"/>
        <v/>
      </c>
      <c r="CD189" s="153" t="str">
        <f t="shared" si="37"/>
        <v/>
      </c>
      <c r="CE189" s="154" t="str">
        <f t="shared" si="38"/>
        <v/>
      </c>
      <c r="CF189" s="154" t="str">
        <f t="shared" si="39"/>
        <v/>
      </c>
      <c r="CG189" s="154" t="str">
        <f t="shared" si="40"/>
        <v/>
      </c>
    </row>
    <row r="190">
      <c r="A190" s="103" t="s">
        <v>279</v>
      </c>
      <c r="B190" s="104" t="s">
        <v>88</v>
      </c>
      <c r="C190" s="105">
        <v>2.1018834E7</v>
      </c>
      <c r="D190" s="106">
        <v>0.0</v>
      </c>
      <c r="E190" s="107">
        <v>2903.128296</v>
      </c>
      <c r="F190" s="163"/>
      <c r="G190" s="163"/>
      <c r="H190" s="108">
        <v>15.06201776</v>
      </c>
      <c r="I190" s="109">
        <v>0.0</v>
      </c>
      <c r="J190" s="109">
        <v>0.0</v>
      </c>
      <c r="K190" s="109">
        <v>265.9330407</v>
      </c>
      <c r="L190" s="112">
        <v>338.7570791</v>
      </c>
      <c r="M190" s="112">
        <v>715.8408395</v>
      </c>
      <c r="N190" s="112">
        <v>1054.597919</v>
      </c>
      <c r="O190" s="113"/>
      <c r="P190" s="114"/>
      <c r="Q190" s="114"/>
      <c r="R190" s="115" t="str">
        <f t="shared" si="8"/>
        <v/>
      </c>
      <c r="S190" s="116">
        <f t="shared" si="9"/>
        <v>0.3211323089</v>
      </c>
      <c r="T190" s="117"/>
      <c r="U190" s="118">
        <f t="shared" si="41"/>
        <v>0.5949</v>
      </c>
      <c r="V190" s="148"/>
      <c r="W190" s="120">
        <f t="shared" si="10"/>
        <v>0.9019</v>
      </c>
      <c r="X190" s="148"/>
      <c r="Y190" s="120">
        <f t="shared" si="11"/>
        <v>0.094</v>
      </c>
      <c r="Z190" s="114"/>
      <c r="AA190" s="114"/>
      <c r="AB190" s="114"/>
      <c r="AC190" s="114"/>
      <c r="AD190" s="164">
        <v>0.0</v>
      </c>
      <c r="AE190" s="123">
        <v>0.02</v>
      </c>
      <c r="AF190" s="123">
        <v>0.0027</v>
      </c>
      <c r="AG190" s="167">
        <v>0.0</v>
      </c>
      <c r="AH190" s="124">
        <v>0.05416745</v>
      </c>
      <c r="AI190" s="168">
        <v>0.0</v>
      </c>
      <c r="AJ190" s="173">
        <v>0.016342514</v>
      </c>
      <c r="AK190" s="127">
        <v>0.0</v>
      </c>
      <c r="AL190" s="169">
        <v>0.189176713</v>
      </c>
      <c r="AM190" s="128"/>
      <c r="AN190" s="149" t="str">
        <f>IFERROR(
  AVERAGEIFS(
    'New 20102013 LF Efficacy'!$J:$J,
    'New 20102013 LF Efficacy'!$D:$D, $A190,
    'New 20102013 LF Efficacy'!$F:$F,"DEC", 
    'New 20102013 LF Efficacy'!$W:$W,"&lt;2011",
    'New 20102013 LF Efficacy'!$AA:$AA,""),
  ""
)</f>
        <v/>
      </c>
      <c r="AO190" s="115">
        <f t="shared" si="12"/>
        <v>0.3573520833</v>
      </c>
      <c r="AP190" s="121" t="str">
        <f>IFERROR(
AVERAGEIFS(
'New 20102013 LF Efficacy'!$J:$J,
'New 20102013 LF Efficacy'!$D:$D,$A190,
'New 20102013 LF Efficacy'!$F:$F,"Albendazole &amp; DEC",
'New 20102013 LF Efficacy'!$W:$W,"&lt;2011",
'New 20102013 LF Efficacy'!$AA:$AA,""),
"")
</f>
        <v/>
      </c>
      <c r="AQ190" s="115">
        <f t="shared" si="13"/>
        <v>0.7935</v>
      </c>
      <c r="AR190" s="121" t="str">
        <f>IFERROR(
AVERAGEIFS(
'New 20102013 LF Efficacy'!$J:$J,
'New 20102013 LF Efficacy'!$D:$D,$A190,
'New 20102013 LF Efficacy'!$F:$F,"Albendazole &amp; Ivermectin", 
'New 20102013 LF Efficacy'!$W:$W,"&lt;2011",
'New 20102013 LF Efficacy'!$AA:$AA,""),"")</f>
        <v/>
      </c>
      <c r="AS190" s="115">
        <f t="shared" si="14"/>
        <v>0.37153125</v>
      </c>
      <c r="AT190" s="130" t="str">
        <f>IFERROR(AVERAGEIFS(
'20102013 Schist Efficacy'!$O:$O, 
'20102013 Schist Efficacy'!$C:$C,$A190, 
'20102013 Schist Efficacy'!$D:$D, "Praziquantel",
'20102013 Schist Efficacy'!$J:$J,"&lt;2011",
'20102013 Schist Efficacy'!$U:$U,""),
"")</f>
        <v/>
      </c>
      <c r="AU190" s="118">
        <f t="shared" si="15"/>
        <v>0.7763141026</v>
      </c>
      <c r="AV190" s="131" t="str">
        <f>IFERROR(AVERAGEIFS(
'20102013 STH Efficacy'!$AX:$AX, 
'20102013 STH Efficacy'!$AL:$AL, $A190, 
'20102013 STH Efficacy'!$AM:$AM, "Albendazole",
'20102013 STH Efficacy'!$AS:$AS,"&lt;2011",
'20102013 STH Efficacy'!$BP:$BP,""),
"")</f>
        <v/>
      </c>
      <c r="AW190" s="132">
        <f t="shared" si="16"/>
        <v>0.3842878788</v>
      </c>
      <c r="AX190" s="131" t="str">
        <f>IFERROR(AVERAGEIFS(
'20102013 STH Efficacy'!$AX:$AX, 
'20102013 STH Efficacy'!$AL:$AL, $A190, 
'20102013 STH Efficacy'!$AM:$AM, "Mebendazole",
'20102013 STH Efficacy'!$AS:$AS,"&lt;2011",
'20102013 STH Efficacy'!$BP:$BP,""),
"")</f>
        <v/>
      </c>
      <c r="AY190" s="132">
        <f t="shared" si="17"/>
        <v>0.5121666667</v>
      </c>
      <c r="AZ190" s="131" t="str">
        <f>IFERROR(AVERAGEIFS(
'20102013 STH Efficacy'!$AX:$AX, 
'20102013 STH Efficacy'!$AL:$AL, $A190, 
'20102013 STH Efficacy'!$AM:$AM, "Albendazole &amp; Ivermectin",
'20102013 STH Efficacy'!$AS:$AS,"&lt;2011",
'20102013 STH Efficacy'!$BP:$BP,""),
"")</f>
        <v/>
      </c>
      <c r="BA190" s="133">
        <f t="shared" si="18"/>
        <v>0.7176666667</v>
      </c>
      <c r="BB190" s="134" t="str">
        <f>IFERROR(AVERAGEIFS(
'20102013 STH Efficacy'!$N:$N, 
'20102013 STH Efficacy'!$B:$B, $A190, 
'20102013 STH Efficacy'!$C:$C, "Albendazole",
'20102013 STH Efficacy'!$I:$I,"&lt;2011",
'20102013 STH Efficacy'!$AH:$AH,""),
"")</f>
        <v/>
      </c>
      <c r="BC190" s="135">
        <f t="shared" si="19"/>
        <v>0.7630416667</v>
      </c>
      <c r="BD190" s="134" t="str">
        <f>IFERROR(AVERAGEIFS(
'20102013 STH Efficacy'!$N:$N, 
'20102013 STH Efficacy'!$B:$B, $A190, 
'20102013 STH Efficacy'!$C:$C, "Mebendazole",
'20102013 STH Efficacy'!$I:$I,"&lt;2011",
'20102013 STH Efficacy'!$AH:$AH,""),
"")</f>
        <v/>
      </c>
      <c r="BE190" s="135">
        <f t="shared" si="20"/>
        <v>0.4405966667</v>
      </c>
      <c r="BF190" s="128" t="str">
        <f>IFERROR(AVERAGEIFS(
'20102013 STH Efficacy'!$CD:$CD, 
'20102013 STH Efficacy'!$BS:$BS, $A190, 
'20102013 STH Efficacy'!$BT:$BT, "Albendazole",
'20102013 STH Efficacy'!$BZ:$BZ,"&lt;2011",
'20102013 STH Efficacy'!$CU:$CU,""),
"")</f>
        <v/>
      </c>
      <c r="BG190" s="136">
        <f t="shared" si="21"/>
        <v>0.955</v>
      </c>
      <c r="BH190" s="128" t="str">
        <f>IFERROR(AVERAGEIFS(
'20102013 STH Efficacy'!$CD:$CD, 
'20102013 STH Efficacy'!$BS:$BS, $A190, 
'20102013 STH Efficacy'!$BT:$BT, "Mebendazole",
'20102013 STH Efficacy'!$BZ:$BZ,"&lt;2011",
'20102013 STH Efficacy'!$CU:$CU,""),
"")</f>
        <v/>
      </c>
      <c r="BI190" s="136">
        <f t="shared" si="22"/>
        <v>1</v>
      </c>
      <c r="BJ190" s="128" t="str">
        <f>IFERROR(AVERAGEIFS(
'20102013 STH Efficacy'!$CD:$CD, 
'20102013 STH Efficacy'!$BS:$BS, $A190, 
'20102013 STH Efficacy'!$BT:$BT, "Albendazole &amp; Ivermectin",
'20102013 STH Efficacy'!$BZ:$BZ,"&lt;2011",
'20102013 STH Efficacy'!$CU:$CU,""),
"")</f>
        <v/>
      </c>
      <c r="BK190" s="136">
        <f t="shared" si="23"/>
        <v>1</v>
      </c>
      <c r="BL190" s="137"/>
      <c r="BM190" s="137"/>
      <c r="BN190" s="138">
        <v>0.0</v>
      </c>
      <c r="BO190" s="139">
        <v>0.0</v>
      </c>
      <c r="BP190" s="140">
        <v>0.0</v>
      </c>
      <c r="BQ190" s="141">
        <f t="shared" si="24"/>
        <v>0</v>
      </c>
      <c r="BR190" s="104" t="str">
        <f t="shared" si="25"/>
        <v>0000</v>
      </c>
      <c r="BS190" s="104" t="str">
        <f t="shared" si="26"/>
        <v>no action required</v>
      </c>
      <c r="BT190" s="142" t="str">
        <f t="shared" si="27"/>
        <v/>
      </c>
      <c r="BU190" s="104" t="str">
        <f t="shared" si="28"/>
        <v/>
      </c>
      <c r="BV190" s="104" t="str">
        <f t="shared" si="29"/>
        <v>none</v>
      </c>
      <c r="BW190" s="150" t="str">
        <f t="shared" si="30"/>
        <v/>
      </c>
      <c r="BX190" s="150" t="str">
        <f t="shared" si="31"/>
        <v/>
      </c>
      <c r="BY190" s="151" t="str">
        <f t="shared" si="32"/>
        <v/>
      </c>
      <c r="BZ190" s="152" t="str">
        <f t="shared" si="33"/>
        <v/>
      </c>
      <c r="CA190" s="152" t="str">
        <f t="shared" si="34"/>
        <v/>
      </c>
      <c r="CB190" s="152" t="str">
        <f t="shared" si="35"/>
        <v/>
      </c>
      <c r="CC190" s="153" t="str">
        <f t="shared" si="36"/>
        <v/>
      </c>
      <c r="CD190" s="153" t="str">
        <f t="shared" si="37"/>
        <v/>
      </c>
      <c r="CE190" s="154" t="str">
        <f t="shared" si="38"/>
        <v/>
      </c>
      <c r="CF190" s="154" t="str">
        <f t="shared" si="39"/>
        <v/>
      </c>
      <c r="CG190" s="154" t="str">
        <f t="shared" si="40"/>
        <v/>
      </c>
    </row>
    <row r="191">
      <c r="A191" s="103" t="s">
        <v>280</v>
      </c>
      <c r="B191" s="104" t="s">
        <v>90</v>
      </c>
      <c r="C191" s="105">
        <v>7641630.0</v>
      </c>
      <c r="D191" s="106">
        <v>0.0</v>
      </c>
      <c r="E191" s="107">
        <v>0.0</v>
      </c>
      <c r="F191" s="108">
        <v>3.47131E-4</v>
      </c>
      <c r="G191" s="108">
        <v>0.002311432</v>
      </c>
      <c r="H191" s="108">
        <v>3.47131E-4</v>
      </c>
      <c r="I191" s="109">
        <v>0.05376845</v>
      </c>
      <c r="J191" s="109">
        <v>0.07410601</v>
      </c>
      <c r="K191" s="109">
        <v>0.053768453</v>
      </c>
      <c r="L191" s="112">
        <v>64.05492565</v>
      </c>
      <c r="M191" s="112">
        <v>68.83611284</v>
      </c>
      <c r="N191" s="112">
        <v>64.05492565</v>
      </c>
      <c r="O191" s="113"/>
      <c r="P191" s="114"/>
      <c r="Q191" s="114"/>
      <c r="R191" s="115" t="str">
        <f t="shared" si="8"/>
        <v/>
      </c>
      <c r="S191" s="116">
        <f t="shared" si="9"/>
        <v>0.4013436246</v>
      </c>
      <c r="T191" s="117"/>
      <c r="U191" s="118">
        <f t="shared" si="41"/>
        <v>0.3468166667</v>
      </c>
      <c r="V191" s="119">
        <v>1.0</v>
      </c>
      <c r="W191" s="120">
        <f t="shared" si="10"/>
        <v>1</v>
      </c>
      <c r="X191" s="148"/>
      <c r="Y191" s="120">
        <f t="shared" si="11"/>
        <v>0.71735</v>
      </c>
      <c r="Z191" s="121"/>
      <c r="AA191" s="121"/>
      <c r="AB191" s="121"/>
      <c r="AC191" s="121"/>
      <c r="AD191" s="122">
        <v>0.0</v>
      </c>
      <c r="AE191" s="123">
        <v>0.0</v>
      </c>
      <c r="AF191" s="123">
        <v>0.0</v>
      </c>
      <c r="AG191" s="167">
        <v>0.0</v>
      </c>
      <c r="AH191" s="124">
        <v>0.005864213</v>
      </c>
      <c r="AI191" s="168">
        <v>0.0</v>
      </c>
      <c r="AJ191" s="125">
        <v>1.18E-5</v>
      </c>
      <c r="AK191" s="127">
        <v>0.08</v>
      </c>
      <c r="AL191" s="169">
        <v>0.12191363</v>
      </c>
      <c r="AM191" s="128"/>
      <c r="AN191" s="149" t="str">
        <f>IFERROR(
  AVERAGEIFS(
    'New 20102013 LF Efficacy'!$J:$J,
    'New 20102013 LF Efficacy'!$D:$D, $A191,
    'New 20102013 LF Efficacy'!$F:$F,"DEC", 
    'New 20102013 LF Efficacy'!$W:$W,"&lt;2011",
    'New 20102013 LF Efficacy'!$AA:$AA,""),
  ""
)</f>
        <v/>
      </c>
      <c r="AO191" s="115">
        <f t="shared" si="12"/>
        <v>0.3573520833</v>
      </c>
      <c r="AP191" s="121" t="str">
        <f>IFERROR(
AVERAGEIFS(
'New 20102013 LF Efficacy'!$J:$J,
'New 20102013 LF Efficacy'!$D:$D,$A191,
'New 20102013 LF Efficacy'!$F:$F,"Albendazole &amp; DEC",
'New 20102013 LF Efficacy'!$W:$W,"&lt;2011",
'New 20102013 LF Efficacy'!$AA:$AA,""),
"")
</f>
        <v/>
      </c>
      <c r="AQ191" s="115">
        <f t="shared" si="13"/>
        <v>0.5137291667</v>
      </c>
      <c r="AR191" s="121" t="str">
        <f>IFERROR(
AVERAGEIFS(
'New 20102013 LF Efficacy'!$J:$J,
'New 20102013 LF Efficacy'!$D:$D,$A191,
'New 20102013 LF Efficacy'!$F:$F,"Albendazole &amp; Ivermectin", 
'New 20102013 LF Efficacy'!$W:$W,"&lt;2011",
'New 20102013 LF Efficacy'!$AA:$AA,""),"")</f>
        <v/>
      </c>
      <c r="AS191" s="115">
        <f t="shared" si="14"/>
        <v>0.37153125</v>
      </c>
      <c r="AT191" s="130" t="str">
        <f>IFERROR(AVERAGEIFS(
'20102013 Schist Efficacy'!$O:$O, 
'20102013 Schist Efficacy'!$C:$C,$A191, 
'20102013 Schist Efficacy'!$D:$D, "Praziquantel",
'20102013 Schist Efficacy'!$J:$J,"&lt;2011",
'20102013 Schist Efficacy'!$U:$U,""),
"")</f>
        <v/>
      </c>
      <c r="AU191" s="118">
        <f t="shared" si="15"/>
        <v>0.655</v>
      </c>
      <c r="AV191" s="131" t="str">
        <f>IFERROR(AVERAGEIFS(
'20102013 STH Efficacy'!$AX:$AX, 
'20102013 STH Efficacy'!$AL:$AL, $A191, 
'20102013 STH Efficacy'!$AM:$AM, "Albendazole",
'20102013 STH Efficacy'!$AS:$AS,"&lt;2011",
'20102013 STH Efficacy'!$BP:$BP,""),
"")</f>
        <v/>
      </c>
      <c r="AW191" s="132">
        <f t="shared" si="16"/>
        <v>0.3842878788</v>
      </c>
      <c r="AX191" s="131" t="str">
        <f>IFERROR(AVERAGEIFS(
'20102013 STH Efficacy'!$AX:$AX, 
'20102013 STH Efficacy'!$AL:$AL, $A191, 
'20102013 STH Efficacy'!$AM:$AM, "Mebendazole",
'20102013 STH Efficacy'!$AS:$AS,"&lt;2011",
'20102013 STH Efficacy'!$BP:$BP,""),
"")</f>
        <v/>
      </c>
      <c r="AY191" s="132">
        <f t="shared" si="17"/>
        <v>0.5121666667</v>
      </c>
      <c r="AZ191" s="131" t="str">
        <f>IFERROR(AVERAGEIFS(
'20102013 STH Efficacy'!$AX:$AX, 
'20102013 STH Efficacy'!$AL:$AL, $A191, 
'20102013 STH Efficacy'!$AM:$AM, "Albendazole &amp; Ivermectin",
'20102013 STH Efficacy'!$AS:$AS,"&lt;2011",
'20102013 STH Efficacy'!$BP:$BP,""),
"")</f>
        <v/>
      </c>
      <c r="BA191" s="133">
        <f t="shared" si="18"/>
        <v>0.7176666667</v>
      </c>
      <c r="BB191" s="134" t="str">
        <f>IFERROR(AVERAGEIFS(
'20102013 STH Efficacy'!$N:$N, 
'20102013 STH Efficacy'!$B:$B, $A191, 
'20102013 STH Efficacy'!$C:$C, "Albendazole",
'20102013 STH Efficacy'!$I:$I,"&lt;2011",
'20102013 STH Efficacy'!$AH:$AH,""),
"")</f>
        <v/>
      </c>
      <c r="BC191" s="135">
        <f t="shared" si="19"/>
        <v>0.7630416667</v>
      </c>
      <c r="BD191" s="134" t="str">
        <f>IFERROR(AVERAGEIFS(
'20102013 STH Efficacy'!$N:$N, 
'20102013 STH Efficacy'!$B:$B, $A191, 
'20102013 STH Efficacy'!$C:$C, "Mebendazole",
'20102013 STH Efficacy'!$I:$I,"&lt;2011",
'20102013 STH Efficacy'!$AH:$AH,""),
"")</f>
        <v/>
      </c>
      <c r="BE191" s="135">
        <f t="shared" si="20"/>
        <v>0.4405966667</v>
      </c>
      <c r="BF191" s="128" t="str">
        <f>IFERROR(AVERAGEIFS(
'20102013 STH Efficacy'!$CD:$CD, 
'20102013 STH Efficacy'!$BS:$BS, $A191, 
'20102013 STH Efficacy'!$BT:$BT, "Albendazole",
'20102013 STH Efficacy'!$BZ:$BZ,"&lt;2011",
'20102013 STH Efficacy'!$CU:$CU,""),
"")</f>
        <v/>
      </c>
      <c r="BG191" s="136">
        <f t="shared" si="21"/>
        <v>0.9403222222</v>
      </c>
      <c r="BH191" s="128" t="str">
        <f>IFERROR(AVERAGEIFS(
'20102013 STH Efficacy'!$CD:$CD, 
'20102013 STH Efficacy'!$BS:$BS, $A191, 
'20102013 STH Efficacy'!$BT:$BT, "Mebendazole",
'20102013 STH Efficacy'!$BZ:$BZ,"&lt;2011",
'20102013 STH Efficacy'!$CU:$CU,""),
"")</f>
        <v/>
      </c>
      <c r="BI191" s="136">
        <f t="shared" si="22"/>
        <v>0.9229285714</v>
      </c>
      <c r="BJ191" s="128" t="str">
        <f>IFERROR(AVERAGEIFS(
'20102013 STH Efficacy'!$CD:$CD, 
'20102013 STH Efficacy'!$BS:$BS, $A191, 
'20102013 STH Efficacy'!$BT:$BT, "Albendazole &amp; Ivermectin",
'20102013 STH Efficacy'!$BZ:$BZ,"&lt;2011",
'20102013 STH Efficacy'!$CU:$CU,""),
"")</f>
        <v/>
      </c>
      <c r="BK191" s="136">
        <f t="shared" si="23"/>
        <v>1</v>
      </c>
      <c r="BL191" s="137"/>
      <c r="BM191" s="137"/>
      <c r="BN191" s="138">
        <v>0.0</v>
      </c>
      <c r="BO191" s="139">
        <v>0.0</v>
      </c>
      <c r="BP191" s="140">
        <v>0.0</v>
      </c>
      <c r="BQ191" s="141">
        <f t="shared" si="24"/>
        <v>0</v>
      </c>
      <c r="BR191" s="104" t="str">
        <f t="shared" si="25"/>
        <v>0000</v>
      </c>
      <c r="BS191" s="104" t="str">
        <f t="shared" si="26"/>
        <v>no action required</v>
      </c>
      <c r="BT191" s="142" t="str">
        <f t="shared" si="27"/>
        <v/>
      </c>
      <c r="BU191" s="104" t="str">
        <f t="shared" si="28"/>
        <v/>
      </c>
      <c r="BV191" s="104" t="str">
        <f t="shared" si="29"/>
        <v>none</v>
      </c>
      <c r="BW191" s="150" t="str">
        <f t="shared" si="30"/>
        <v/>
      </c>
      <c r="BX191" s="150" t="str">
        <f t="shared" si="31"/>
        <v/>
      </c>
      <c r="BY191" s="151" t="str">
        <f t="shared" si="32"/>
        <v/>
      </c>
      <c r="BZ191" s="152" t="str">
        <f t="shared" si="33"/>
        <v/>
      </c>
      <c r="CA191" s="152" t="str">
        <f t="shared" si="34"/>
        <v/>
      </c>
      <c r="CB191" s="152" t="str">
        <f t="shared" si="35"/>
        <v/>
      </c>
      <c r="CC191" s="153" t="str">
        <f t="shared" si="36"/>
        <v/>
      </c>
      <c r="CD191" s="153" t="str">
        <f t="shared" si="37"/>
        <v/>
      </c>
      <c r="CE191" s="154" t="str">
        <f t="shared" si="38"/>
        <v/>
      </c>
      <c r="CF191" s="154" t="str">
        <f t="shared" si="39"/>
        <v/>
      </c>
      <c r="CG191" s="154" t="str">
        <f t="shared" si="40"/>
        <v/>
      </c>
    </row>
    <row r="192">
      <c r="A192" s="155" t="s">
        <v>281</v>
      </c>
      <c r="B192" s="104" t="s">
        <v>92</v>
      </c>
      <c r="C192" s="105">
        <v>4.6098591E7</v>
      </c>
      <c r="D192" s="106">
        <v>44776.04014</v>
      </c>
      <c r="E192" s="107">
        <v>153080.5071</v>
      </c>
      <c r="F192" s="108">
        <v>236.1607367</v>
      </c>
      <c r="G192" s="157">
        <v>1054.404109</v>
      </c>
      <c r="H192" s="157">
        <v>1290.564846</v>
      </c>
      <c r="I192" s="110">
        <v>5111.43831</v>
      </c>
      <c r="J192" s="110">
        <v>13813.7818</v>
      </c>
      <c r="K192" s="109">
        <v>18925.22016</v>
      </c>
      <c r="L192" s="112">
        <v>21841.81019</v>
      </c>
      <c r="M192" s="112">
        <v>2739.206458</v>
      </c>
      <c r="N192" s="158">
        <v>24581.01665</v>
      </c>
      <c r="O192" s="159"/>
      <c r="P192" s="160">
        <v>3.7369939E7</v>
      </c>
      <c r="Q192" s="160">
        <v>4465654.0</v>
      </c>
      <c r="R192" s="115">
        <f t="shared" si="8"/>
        <v>0.1194985627</v>
      </c>
      <c r="S192" s="116">
        <f t="shared" si="9"/>
        <v>0.1194985627</v>
      </c>
      <c r="T192" s="130"/>
      <c r="U192" s="118">
        <f t="shared" si="41"/>
        <v>0.252</v>
      </c>
      <c r="V192" s="119">
        <v>0.4522</v>
      </c>
      <c r="W192" s="120">
        <f t="shared" si="10"/>
        <v>0.4522</v>
      </c>
      <c r="X192" s="119">
        <v>0.1206</v>
      </c>
      <c r="Y192" s="120">
        <f t="shared" si="11"/>
        <v>0.1206</v>
      </c>
      <c r="Z192" s="121"/>
      <c r="AA192" s="121"/>
      <c r="AB192" s="121"/>
      <c r="AC192" s="121"/>
      <c r="AD192" s="122">
        <v>0.0301</v>
      </c>
      <c r="AE192" s="123">
        <v>0.37</v>
      </c>
      <c r="AF192" s="123">
        <v>0.2065</v>
      </c>
      <c r="AG192" s="124">
        <v>0.066</v>
      </c>
      <c r="AH192" s="124">
        <v>0.101124835</v>
      </c>
      <c r="AI192" s="125">
        <v>0.1527</v>
      </c>
      <c r="AJ192" s="125">
        <v>0.240236028</v>
      </c>
      <c r="AK192" s="127">
        <v>0.03</v>
      </c>
      <c r="AL192" s="127">
        <v>0.052157857</v>
      </c>
      <c r="AM192" s="128"/>
      <c r="AN192" s="149">
        <f>IFERROR(
  AVERAGEIFS(
    'New 20102013 LF Efficacy'!$J:$J,
    'New 20102013 LF Efficacy'!$D:$D, $A192,
    'New 20102013 LF Efficacy'!$F:$F,"DEC", 
    'New 20102013 LF Efficacy'!$W:$W,"&lt;2011",
    'New 20102013 LF Efficacy'!$AA:$AA,""),
  ""
)</f>
        <v>0.106</v>
      </c>
      <c r="AO192" s="115">
        <f t="shared" si="12"/>
        <v>0.106</v>
      </c>
      <c r="AP192" s="121">
        <f>IFERROR(
AVERAGEIFS(
'New 20102013 LF Efficacy'!$J:$J,
'New 20102013 LF Efficacy'!$D:$D,$A192,
'New 20102013 LF Efficacy'!$F:$F,"Albendazole &amp; DEC",
'New 20102013 LF Efficacy'!$W:$W,"&lt;2011",
'New 20102013 LF Efficacy'!$AA:$AA,""),
"")
</f>
        <v>0.263</v>
      </c>
      <c r="AQ192" s="115">
        <f t="shared" si="13"/>
        <v>0.263</v>
      </c>
      <c r="AR192" s="121">
        <f>IFERROR(
AVERAGEIFS(
'New 20102013 LF Efficacy'!$J:$J,
'New 20102013 LF Efficacy'!$D:$D,$A192,
'New 20102013 LF Efficacy'!$F:$F,"Albendazole &amp; Ivermectin", 
'New 20102013 LF Efficacy'!$W:$W,"&lt;2011",
'New 20102013 LF Efficacy'!$AA:$AA,""),"")</f>
        <v>0.194</v>
      </c>
      <c r="AS192" s="115">
        <f t="shared" si="14"/>
        <v>0.194</v>
      </c>
      <c r="AT192" s="130" t="str">
        <f>IFERROR(AVERAGEIFS(
'20102013 Schist Efficacy'!$O:$O, 
'20102013 Schist Efficacy'!$C:$C,$A192, 
'20102013 Schist Efficacy'!$D:$D, "Praziquantel",
'20102013 Schist Efficacy'!$J:$J,"&lt;2011",
'20102013 Schist Efficacy'!$U:$U,""),
"")</f>
        <v/>
      </c>
      <c r="AU192" s="118">
        <f t="shared" si="15"/>
        <v>0.6444020147</v>
      </c>
      <c r="AV192" s="131">
        <f>IFERROR(AVERAGEIFS(
'20102013 STH Efficacy'!$AX:$AX, 
'20102013 STH Efficacy'!$AL:$AL, $A192, 
'20102013 STH Efficacy'!$AM:$AM, "Albendazole",
'20102013 STH Efficacy'!$AS:$AS,"&lt;2011",
'20102013 STH Efficacy'!$BP:$BP,""),
"")</f>
        <v>0.426</v>
      </c>
      <c r="AW192" s="132">
        <f t="shared" si="16"/>
        <v>0.426</v>
      </c>
      <c r="AX192" s="131">
        <f>IFERROR(AVERAGEIFS(
'20102013 STH Efficacy'!$AX:$AX, 
'20102013 STH Efficacy'!$AL:$AL, $A192, 
'20102013 STH Efficacy'!$AM:$AM, "Mebendazole",
'20102013 STH Efficacy'!$AS:$AS,"&lt;2011",
'20102013 STH Efficacy'!$BP:$BP,""),
"")</f>
        <v>0.2405</v>
      </c>
      <c r="AY192" s="132">
        <f t="shared" si="17"/>
        <v>0.2405</v>
      </c>
      <c r="AZ192" s="131" t="str">
        <f>IFERROR(AVERAGEIFS(
'20102013 STH Efficacy'!$AX:$AX, 
'20102013 STH Efficacy'!$AL:$AL, $A192, 
'20102013 STH Efficacy'!$AM:$AM, "Albendazole &amp; Ivermectin",
'20102013 STH Efficacy'!$AS:$AS,"&lt;2011",
'20102013 STH Efficacy'!$BP:$BP,""),
"")</f>
        <v/>
      </c>
      <c r="BA192" s="133">
        <f t="shared" si="18"/>
        <v>0.706</v>
      </c>
      <c r="BB192" s="134">
        <f>IFERROR(AVERAGEIFS(
'20102013 STH Efficacy'!$N:$N, 
'20102013 STH Efficacy'!$B:$B, $A192, 
'20102013 STH Efficacy'!$C:$C, "Albendazole",
'20102013 STH Efficacy'!$I:$I,"&lt;2011",
'20102013 STH Efficacy'!$AH:$AH,""),
"")</f>
        <v>0.974</v>
      </c>
      <c r="BC192" s="135">
        <f t="shared" si="19"/>
        <v>0.974</v>
      </c>
      <c r="BD192" s="134">
        <f>IFERROR(AVERAGEIFS(
'20102013 STH Efficacy'!$N:$N, 
'20102013 STH Efficacy'!$B:$B, $A192, 
'20102013 STH Efficacy'!$C:$C, "Mebendazole",
'20102013 STH Efficacy'!$I:$I,"&lt;2011",
'20102013 STH Efficacy'!$AH:$AH,""),
"")</f>
        <v>0.5786666667</v>
      </c>
      <c r="BE192" s="135">
        <f t="shared" si="20"/>
        <v>0.5786666667</v>
      </c>
      <c r="BF192" s="128" t="str">
        <f>IFERROR(AVERAGEIFS(
'20102013 STH Efficacy'!$CD:$CD, 
'20102013 STH Efficacy'!$BS:$BS, $A192, 
'20102013 STH Efficacy'!$BT:$BT, "Albendazole",
'20102013 STH Efficacy'!$BZ:$BZ,"&lt;2011",
'20102013 STH Efficacy'!$CU:$CU,""),
"")</f>
        <v/>
      </c>
      <c r="BG192" s="136">
        <f t="shared" si="21"/>
        <v>0.8656666667</v>
      </c>
      <c r="BH192" s="128" t="str">
        <f>IFERROR(AVERAGEIFS(
'20102013 STH Efficacy'!$CD:$CD, 
'20102013 STH Efficacy'!$BS:$BS, $A192, 
'20102013 STH Efficacy'!$BT:$BT, "Mebendazole",
'20102013 STH Efficacy'!$BZ:$BZ,"&lt;2011",
'20102013 STH Efficacy'!$CU:$CU,""),
"")</f>
        <v/>
      </c>
      <c r="BI192" s="136">
        <f t="shared" si="22"/>
        <v>0.9203333333</v>
      </c>
      <c r="BJ192" s="128" t="str">
        <f>IFERROR(AVERAGEIFS(
'20102013 STH Efficacy'!$CD:$CD, 
'20102013 STH Efficacy'!$BS:$BS, $A192, 
'20102013 STH Efficacy'!$BT:$BT, "Albendazole &amp; Ivermectin",
'20102013 STH Efficacy'!$BZ:$BZ,"&lt;2011",
'20102013 STH Efficacy'!$CU:$CU,""),
"")</f>
        <v/>
      </c>
      <c r="BK192" s="136">
        <f t="shared" si="23"/>
        <v>1</v>
      </c>
      <c r="BL192" s="137"/>
      <c r="BM192" s="137"/>
      <c r="BN192" s="138">
        <v>1.0</v>
      </c>
      <c r="BO192" s="139">
        <v>1.0</v>
      </c>
      <c r="BP192" s="140">
        <v>1.0</v>
      </c>
      <c r="BQ192" s="141">
        <f t="shared" si="24"/>
        <v>0</v>
      </c>
      <c r="BR192" s="104" t="str">
        <f t="shared" si="25"/>
        <v>1110</v>
      </c>
      <c r="BS192" s="104" t="str">
        <f t="shared" si="26"/>
        <v>MDA1+T2</v>
      </c>
      <c r="BT192" s="142" t="str">
        <f t="shared" si="27"/>
        <v>IVM+ALB</v>
      </c>
      <c r="BU192" s="104" t="str">
        <f t="shared" si="28"/>
        <v>PZQ</v>
      </c>
      <c r="BV192" s="104" t="str">
        <f t="shared" si="29"/>
        <v>lf+onch+schist </v>
      </c>
      <c r="BW192" s="150" t="str">
        <f t="shared" si="30"/>
        <v/>
      </c>
      <c r="BX192" s="150">
        <f t="shared" si="31"/>
        <v>1062.665942</v>
      </c>
      <c r="BY192" s="162">
        <f t="shared" si="32"/>
        <v>29678.03276</v>
      </c>
      <c r="BZ192" s="152" t="str">
        <f t="shared" si="33"/>
        <v/>
      </c>
      <c r="CA192" s="152" t="str">
        <f t="shared" si="34"/>
        <v/>
      </c>
      <c r="CB192" s="152" t="str">
        <f t="shared" si="35"/>
        <v/>
      </c>
      <c r="CC192" s="153" t="str">
        <f t="shared" si="36"/>
        <v/>
      </c>
      <c r="CD192" s="153" t="str">
        <f t="shared" si="37"/>
        <v/>
      </c>
      <c r="CE192" s="154" t="str">
        <f t="shared" si="38"/>
        <v/>
      </c>
      <c r="CF192" s="154" t="str">
        <f t="shared" si="39"/>
        <v/>
      </c>
      <c r="CG192" s="154" t="str">
        <f t="shared" si="40"/>
        <v/>
      </c>
    </row>
    <row r="193">
      <c r="A193" s="103" t="s">
        <v>282</v>
      </c>
      <c r="B193" s="104" t="s">
        <v>109</v>
      </c>
      <c r="C193" s="105">
        <v>6.7208808E7</v>
      </c>
      <c r="D193" s="106">
        <v>69.71501673</v>
      </c>
      <c r="E193" s="107">
        <v>0.0</v>
      </c>
      <c r="F193" s="108">
        <v>1.608010463</v>
      </c>
      <c r="G193" s="108">
        <v>10.01195274</v>
      </c>
      <c r="H193" s="157">
        <v>11.6199632</v>
      </c>
      <c r="I193" s="110">
        <v>1212.37969</v>
      </c>
      <c r="J193" s="110">
        <v>4386.39766</v>
      </c>
      <c r="K193" s="110">
        <v>5598.77734</v>
      </c>
      <c r="L193" s="111">
        <v>253.9378446</v>
      </c>
      <c r="M193" s="111">
        <v>228.3878694</v>
      </c>
      <c r="N193" s="158">
        <v>482.325714</v>
      </c>
      <c r="O193" s="159"/>
      <c r="P193" s="160">
        <v>80930.0</v>
      </c>
      <c r="Q193" s="160">
        <v>76500.0</v>
      </c>
      <c r="R193" s="115">
        <f t="shared" si="8"/>
        <v>0.945261337</v>
      </c>
      <c r="S193" s="116">
        <f t="shared" si="9"/>
        <v>0.945261337</v>
      </c>
      <c r="T193" s="118">
        <v>0.948</v>
      </c>
      <c r="U193" s="118">
        <f t="shared" si="41"/>
        <v>0.948</v>
      </c>
      <c r="V193" s="148"/>
      <c r="W193" s="120">
        <f t="shared" si="10"/>
        <v>0.32505</v>
      </c>
      <c r="X193" s="148"/>
      <c r="Y193" s="120">
        <f t="shared" si="11"/>
        <v>0.3778666667</v>
      </c>
      <c r="Z193" s="121"/>
      <c r="AA193" s="121"/>
      <c r="AB193" s="121"/>
      <c r="AC193" s="121"/>
      <c r="AD193" s="122">
        <v>0.0</v>
      </c>
      <c r="AE193" s="123">
        <v>0.0</v>
      </c>
      <c r="AF193" s="123">
        <v>0.0</v>
      </c>
      <c r="AG193" s="167">
        <v>0.0</v>
      </c>
      <c r="AH193" s="124">
        <v>0.030828027</v>
      </c>
      <c r="AI193" s="168">
        <v>0.0</v>
      </c>
      <c r="AJ193" s="125">
        <v>0.16068408</v>
      </c>
      <c r="AK193" s="126">
        <v>0.0</v>
      </c>
      <c r="AL193" s="127">
        <v>0.052066916</v>
      </c>
      <c r="AM193" s="128"/>
      <c r="AN193" s="149" t="str">
        <f>IFERROR(
  AVERAGEIFS(
    'New 20102013 LF Efficacy'!$J:$J,
    'New 20102013 LF Efficacy'!$D:$D, $A193,
    'New 20102013 LF Efficacy'!$F:$F,"DEC", 
    'New 20102013 LF Efficacy'!$W:$W,"&lt;2011",
    'New 20102013 LF Efficacy'!$AA:$AA,""),
  ""
)</f>
        <v/>
      </c>
      <c r="AO193" s="115">
        <f t="shared" si="12"/>
        <v>0.478175</v>
      </c>
      <c r="AP193" s="121" t="str">
        <f>IFERROR(
AVERAGEIFS(
'New 20102013 LF Efficacy'!$J:$J,
'New 20102013 LF Efficacy'!$D:$D,$A193,
'New 20102013 LF Efficacy'!$F:$F,"Albendazole &amp; DEC",
'New 20102013 LF Efficacy'!$W:$W,"&lt;2011",
'New 20102013 LF Efficacy'!$AA:$AA,""),
"")
</f>
        <v/>
      </c>
      <c r="AQ193" s="115">
        <f t="shared" si="13"/>
        <v>0.5831666667</v>
      </c>
      <c r="AR193" s="121" t="str">
        <f>IFERROR(
AVERAGEIFS(
'New 20102013 LF Efficacy'!$J:$J,
'New 20102013 LF Efficacy'!$D:$D,$A193,
'New 20102013 LF Efficacy'!$F:$F,"Albendazole &amp; Ivermectin", 
'New 20102013 LF Efficacy'!$W:$W,"&lt;2011",
'New 20102013 LF Efficacy'!$AA:$AA,""),"")</f>
        <v/>
      </c>
      <c r="AS193" s="115">
        <f t="shared" si="14"/>
        <v>0.14</v>
      </c>
      <c r="AT193" s="130" t="str">
        <f>IFERROR(AVERAGEIFS(
'20102013 Schist Efficacy'!$O:$O, 
'20102013 Schist Efficacy'!$C:$C,$A193, 
'20102013 Schist Efficacy'!$D:$D, "Praziquantel",
'20102013 Schist Efficacy'!$J:$J,"&lt;2011",
'20102013 Schist Efficacy'!$U:$U,""),
"")</f>
        <v/>
      </c>
      <c r="AU193" s="118">
        <f t="shared" si="15"/>
        <v>0.6869715828</v>
      </c>
      <c r="AV193" s="131">
        <f>IFERROR(AVERAGEIFS(
'20102013 STH Efficacy'!$AX:$AX, 
'20102013 STH Efficacy'!$AL:$AL, $A193, 
'20102013 STH Efficacy'!$AM:$AM, "Albendazole",
'20102013 STH Efficacy'!$AS:$AS,"&lt;2011",
'20102013 STH Efficacy'!$BP:$BP,""),
"")</f>
        <v>0.674</v>
      </c>
      <c r="AW193" s="132">
        <f t="shared" si="16"/>
        <v>0.674</v>
      </c>
      <c r="AX193" s="131">
        <f>IFERROR(AVERAGEIFS(
'20102013 STH Efficacy'!$AX:$AX, 
'20102013 STH Efficacy'!$AL:$AL, $A193, 
'20102013 STH Efficacy'!$AM:$AM, "Mebendazole",
'20102013 STH Efficacy'!$AS:$AS,"&lt;2011",
'20102013 STH Efficacy'!$BP:$BP,""),
"")</f>
        <v>0.3786666667</v>
      </c>
      <c r="AY193" s="132">
        <f t="shared" si="17"/>
        <v>0.3786666667</v>
      </c>
      <c r="AZ193" s="131" t="str">
        <f>IFERROR(AVERAGEIFS(
'20102013 STH Efficacy'!$AX:$AX, 
'20102013 STH Efficacy'!$AL:$AL, $A193, 
'20102013 STH Efficacy'!$AM:$AM, "Albendazole &amp; Ivermectin",
'20102013 STH Efficacy'!$AS:$AS,"&lt;2011",
'20102013 STH Efficacy'!$BP:$BP,""),
"")</f>
        <v/>
      </c>
      <c r="BA193" s="133">
        <f t="shared" si="18"/>
        <v>0.7176666667</v>
      </c>
      <c r="BB193" s="134">
        <f>IFERROR(AVERAGEIFS(
'20102013 STH Efficacy'!$N:$N, 
'20102013 STH Efficacy'!$B:$B, $A193, 
'20102013 STH Efficacy'!$C:$C, "Albendazole",
'20102013 STH Efficacy'!$I:$I,"&lt;2011",
'20102013 STH Efficacy'!$AH:$AH,""),
"")</f>
        <v>0.6476666667</v>
      </c>
      <c r="BC193" s="135">
        <f t="shared" si="19"/>
        <v>0.6476666667</v>
      </c>
      <c r="BD193" s="134">
        <f>IFERROR(AVERAGEIFS(
'20102013 STH Efficacy'!$N:$N, 
'20102013 STH Efficacy'!$B:$B, $A193, 
'20102013 STH Efficacy'!$C:$C, "Mebendazole",
'20102013 STH Efficacy'!$I:$I,"&lt;2011",
'20102013 STH Efficacy'!$AH:$AH,""),
"")</f>
        <v>0.131</v>
      </c>
      <c r="BE193" s="135">
        <f t="shared" si="20"/>
        <v>0.131</v>
      </c>
      <c r="BF193" s="128">
        <f>IFERROR(AVERAGEIFS(
'20102013 STH Efficacy'!$CD:$CD, 
'20102013 STH Efficacy'!$BS:$BS, $A193, 
'20102013 STH Efficacy'!$BT:$BT, "Albendazole",
'20102013 STH Efficacy'!$BZ:$BZ,"&lt;2011",
'20102013 STH Efficacy'!$CU:$CU,""),
"")</f>
        <v>1</v>
      </c>
      <c r="BG193" s="136">
        <f t="shared" si="21"/>
        <v>1</v>
      </c>
      <c r="BH193" s="128">
        <f>IFERROR(AVERAGEIFS(
'20102013 STH Efficacy'!$CD:$CD, 
'20102013 STH Efficacy'!$BS:$BS, $A193, 
'20102013 STH Efficacy'!$BT:$BT, "Mebendazole",
'20102013 STH Efficacy'!$BZ:$BZ,"&lt;2011",
'20102013 STH Efficacy'!$CU:$CU,""),
"")</f>
        <v>1</v>
      </c>
      <c r="BI193" s="136">
        <f t="shared" si="22"/>
        <v>1</v>
      </c>
      <c r="BJ193" s="128" t="str">
        <f>IFERROR(AVERAGEIFS(
'20102013 STH Efficacy'!$CD:$CD, 
'20102013 STH Efficacy'!$BS:$BS, $A193, 
'20102013 STH Efficacy'!$BT:$BT, "Albendazole &amp; Ivermectin",
'20102013 STH Efficacy'!$BZ:$BZ,"&lt;2011",
'20102013 STH Efficacy'!$CU:$CU,""),
"")</f>
        <v/>
      </c>
      <c r="BK193" s="136">
        <f t="shared" si="23"/>
        <v>1</v>
      </c>
      <c r="BL193" s="137"/>
      <c r="BM193" s="137"/>
      <c r="BN193" s="138">
        <v>1.0</v>
      </c>
      <c r="BO193" s="139">
        <v>0.0</v>
      </c>
      <c r="BP193" s="140">
        <v>0.0</v>
      </c>
      <c r="BQ193" s="141">
        <f t="shared" si="24"/>
        <v>0</v>
      </c>
      <c r="BR193" s="104" t="str">
        <f t="shared" si="25"/>
        <v>1000</v>
      </c>
      <c r="BS193" s="104" t="str">
        <f t="shared" si="26"/>
        <v>MDA1/2</v>
      </c>
      <c r="BT193" s="142" t="str">
        <f t="shared" si="27"/>
        <v>DEC+ALB</v>
      </c>
      <c r="BU193" s="104" t="str">
        <f t="shared" si="28"/>
        <v/>
      </c>
      <c r="BV193" s="104" t="str">
        <f t="shared" si="29"/>
        <v>lf only</v>
      </c>
      <c r="BW193" s="150">
        <f t="shared" si="30"/>
        <v>85.63701648</v>
      </c>
      <c r="BX193" s="150" t="str">
        <f t="shared" si="31"/>
        <v/>
      </c>
      <c r="BY193" s="151" t="str">
        <f t="shared" si="32"/>
        <v/>
      </c>
      <c r="BZ193" s="152" t="str">
        <f t="shared" si="33"/>
        <v/>
      </c>
      <c r="CA193" s="152" t="str">
        <f t="shared" si="34"/>
        <v/>
      </c>
      <c r="CB193" s="152" t="str">
        <f t="shared" si="35"/>
        <v/>
      </c>
      <c r="CC193" s="153" t="str">
        <f t="shared" si="36"/>
        <v/>
      </c>
      <c r="CD193" s="153" t="str">
        <f t="shared" si="37"/>
        <v/>
      </c>
      <c r="CE193" s="154" t="str">
        <f t="shared" si="38"/>
        <v/>
      </c>
      <c r="CF193" s="154" t="str">
        <f t="shared" si="39"/>
        <v/>
      </c>
      <c r="CG193" s="154" t="str">
        <f t="shared" si="40"/>
        <v/>
      </c>
    </row>
    <row r="194">
      <c r="A194" s="155" t="s">
        <v>283</v>
      </c>
      <c r="B194" s="104" t="s">
        <v>90</v>
      </c>
      <c r="C194" s="105">
        <v>2070739.0</v>
      </c>
      <c r="D194" s="106">
        <v>0.0</v>
      </c>
      <c r="E194" s="107">
        <v>0.0</v>
      </c>
      <c r="F194" s="163"/>
      <c r="G194" s="163"/>
      <c r="H194" s="108">
        <v>0.0</v>
      </c>
      <c r="I194" s="109">
        <v>0.0</v>
      </c>
      <c r="J194" s="109">
        <v>0.0</v>
      </c>
      <c r="K194" s="109">
        <v>0.0</v>
      </c>
      <c r="L194" s="112">
        <v>0.16283512</v>
      </c>
      <c r="M194" s="112">
        <v>0.067589245</v>
      </c>
      <c r="N194" s="112">
        <v>0.230424365</v>
      </c>
      <c r="O194" s="113"/>
      <c r="P194" s="114"/>
      <c r="Q194" s="114"/>
      <c r="R194" s="115" t="str">
        <f t="shared" si="8"/>
        <v/>
      </c>
      <c r="S194" s="116">
        <f t="shared" si="9"/>
        <v>0.4013436246</v>
      </c>
      <c r="T194" s="117"/>
      <c r="U194" s="118">
        <f t="shared" si="41"/>
        <v>0.3468166667</v>
      </c>
      <c r="V194" s="148"/>
      <c r="W194" s="120">
        <f t="shared" si="10"/>
        <v>1</v>
      </c>
      <c r="X194" s="148"/>
      <c r="Y194" s="120">
        <f t="shared" si="11"/>
        <v>0.71735</v>
      </c>
      <c r="Z194" s="114"/>
      <c r="AA194" s="114"/>
      <c r="AB194" s="114"/>
      <c r="AC194" s="114"/>
      <c r="AD194" s="164">
        <v>0.0</v>
      </c>
      <c r="AE194" s="165">
        <v>0.0</v>
      </c>
      <c r="AF194" s="166">
        <v>0.0</v>
      </c>
      <c r="AG194" s="167">
        <v>0.0</v>
      </c>
      <c r="AH194" s="124">
        <v>0.0</v>
      </c>
      <c r="AI194" s="168">
        <v>0.0</v>
      </c>
      <c r="AJ194" s="173">
        <v>0.0</v>
      </c>
      <c r="AK194" s="126">
        <v>0.0</v>
      </c>
      <c r="AL194" s="169">
        <v>0.0</v>
      </c>
      <c r="AM194" s="128"/>
      <c r="AN194" s="149" t="str">
        <f>IFERROR(
  AVERAGEIFS(
    'New 20102013 LF Efficacy'!$J:$J,
    'New 20102013 LF Efficacy'!$D:$D, $A194,
    'New 20102013 LF Efficacy'!$F:$F,"DEC", 
    'New 20102013 LF Efficacy'!$W:$W,"&lt;2011",
    'New 20102013 LF Efficacy'!$AA:$AA,""),
  ""
)</f>
        <v/>
      </c>
      <c r="AO194" s="115">
        <f t="shared" si="12"/>
        <v>0.3573520833</v>
      </c>
      <c r="AP194" s="121" t="str">
        <f>IFERROR(
AVERAGEIFS(
'New 20102013 LF Efficacy'!$J:$J,
'New 20102013 LF Efficacy'!$D:$D,$A194,
'New 20102013 LF Efficacy'!$F:$F,"Albendazole &amp; DEC",
'New 20102013 LF Efficacy'!$W:$W,"&lt;2011",
'New 20102013 LF Efficacy'!$AA:$AA,""),
"")
</f>
        <v/>
      </c>
      <c r="AQ194" s="115">
        <f t="shared" si="13"/>
        <v>0.5137291667</v>
      </c>
      <c r="AR194" s="121" t="str">
        <f>IFERROR(
AVERAGEIFS(
'New 20102013 LF Efficacy'!$J:$J,
'New 20102013 LF Efficacy'!$D:$D,$A194,
'New 20102013 LF Efficacy'!$F:$F,"Albendazole &amp; Ivermectin", 
'New 20102013 LF Efficacy'!$W:$W,"&lt;2011",
'New 20102013 LF Efficacy'!$AA:$AA,""),"")</f>
        <v/>
      </c>
      <c r="AS194" s="115">
        <f t="shared" si="14"/>
        <v>0.37153125</v>
      </c>
      <c r="AT194" s="130" t="str">
        <f>IFERROR(AVERAGEIFS(
'20102013 Schist Efficacy'!$O:$O, 
'20102013 Schist Efficacy'!$C:$C,$A194, 
'20102013 Schist Efficacy'!$D:$D, "Praziquantel",
'20102013 Schist Efficacy'!$J:$J,"&lt;2011",
'20102013 Schist Efficacy'!$U:$U,""),
"")</f>
        <v/>
      </c>
      <c r="AU194" s="118">
        <f t="shared" si="15"/>
        <v>0.655</v>
      </c>
      <c r="AV194" s="131" t="str">
        <f>IFERROR(AVERAGEIFS(
'20102013 STH Efficacy'!$AX:$AX, 
'20102013 STH Efficacy'!$AL:$AL, $A194, 
'20102013 STH Efficacy'!$AM:$AM, "Albendazole",
'20102013 STH Efficacy'!$AS:$AS,"&lt;2011",
'20102013 STH Efficacy'!$BP:$BP,""),
"")</f>
        <v/>
      </c>
      <c r="AW194" s="132">
        <f t="shared" si="16"/>
        <v>0.3842878788</v>
      </c>
      <c r="AX194" s="131" t="str">
        <f>IFERROR(AVERAGEIFS(
'20102013 STH Efficacy'!$AX:$AX, 
'20102013 STH Efficacy'!$AL:$AL, $A194, 
'20102013 STH Efficacy'!$AM:$AM, "Mebendazole",
'20102013 STH Efficacy'!$AS:$AS,"&lt;2011",
'20102013 STH Efficacy'!$BP:$BP,""),
"")</f>
        <v/>
      </c>
      <c r="AY194" s="132">
        <f t="shared" si="17"/>
        <v>0.5121666667</v>
      </c>
      <c r="AZ194" s="131" t="str">
        <f>IFERROR(AVERAGEIFS(
'20102013 STH Efficacy'!$AX:$AX, 
'20102013 STH Efficacy'!$AL:$AL, $A194, 
'20102013 STH Efficacy'!$AM:$AM, "Albendazole &amp; Ivermectin",
'20102013 STH Efficacy'!$AS:$AS,"&lt;2011",
'20102013 STH Efficacy'!$BP:$BP,""),
"")</f>
        <v/>
      </c>
      <c r="BA194" s="133">
        <f t="shared" si="18"/>
        <v>0.7176666667</v>
      </c>
      <c r="BB194" s="134" t="str">
        <f>IFERROR(AVERAGEIFS(
'20102013 STH Efficacy'!$N:$N, 
'20102013 STH Efficacy'!$B:$B, $A194, 
'20102013 STH Efficacy'!$C:$C, "Albendazole",
'20102013 STH Efficacy'!$I:$I,"&lt;2011",
'20102013 STH Efficacy'!$AH:$AH,""),
"")</f>
        <v/>
      </c>
      <c r="BC194" s="135">
        <f t="shared" si="19"/>
        <v>0.7630416667</v>
      </c>
      <c r="BD194" s="134" t="str">
        <f>IFERROR(AVERAGEIFS(
'20102013 STH Efficacy'!$N:$N, 
'20102013 STH Efficacy'!$B:$B, $A194, 
'20102013 STH Efficacy'!$C:$C, "Mebendazole",
'20102013 STH Efficacy'!$I:$I,"&lt;2011",
'20102013 STH Efficacy'!$AH:$AH,""),
"")</f>
        <v/>
      </c>
      <c r="BE194" s="135">
        <f t="shared" si="20"/>
        <v>0.4405966667</v>
      </c>
      <c r="BF194" s="128" t="str">
        <f>IFERROR(AVERAGEIFS(
'20102013 STH Efficacy'!$CD:$CD, 
'20102013 STH Efficacy'!$BS:$BS, $A194, 
'20102013 STH Efficacy'!$BT:$BT, "Albendazole",
'20102013 STH Efficacy'!$BZ:$BZ,"&lt;2011",
'20102013 STH Efficacy'!$CU:$CU,""),
"")</f>
        <v/>
      </c>
      <c r="BG194" s="136">
        <f t="shared" si="21"/>
        <v>0.9403222222</v>
      </c>
      <c r="BH194" s="128" t="str">
        <f>IFERROR(AVERAGEIFS(
'20102013 STH Efficacy'!$CD:$CD, 
'20102013 STH Efficacy'!$BS:$BS, $A194, 
'20102013 STH Efficacy'!$BT:$BT, "Mebendazole",
'20102013 STH Efficacy'!$BZ:$BZ,"&lt;2011",
'20102013 STH Efficacy'!$CU:$CU,""),
"")</f>
        <v/>
      </c>
      <c r="BI194" s="136">
        <f t="shared" si="22"/>
        <v>0.9229285714</v>
      </c>
      <c r="BJ194" s="128" t="str">
        <f>IFERROR(AVERAGEIFS(
'20102013 STH Efficacy'!$CD:$CD, 
'20102013 STH Efficacy'!$BS:$BS, $A194, 
'20102013 STH Efficacy'!$BT:$BT, "Albendazole &amp; Ivermectin",
'20102013 STH Efficacy'!$BZ:$BZ,"&lt;2011",
'20102013 STH Efficacy'!$CU:$CU,""),
"")</f>
        <v/>
      </c>
      <c r="BK194" s="136">
        <f t="shared" si="23"/>
        <v>1</v>
      </c>
      <c r="BL194" s="137"/>
      <c r="BM194" s="137"/>
      <c r="BN194" s="138">
        <v>0.0</v>
      </c>
      <c r="BO194" s="139">
        <v>0.0</v>
      </c>
      <c r="BP194" s="140">
        <v>0.0</v>
      </c>
      <c r="BQ194" s="141">
        <f t="shared" si="24"/>
        <v>0</v>
      </c>
      <c r="BR194" s="104" t="str">
        <f t="shared" si="25"/>
        <v>0000</v>
      </c>
      <c r="BS194" s="104" t="str">
        <f t="shared" si="26"/>
        <v>no action required</v>
      </c>
      <c r="BT194" s="142" t="str">
        <f t="shared" si="27"/>
        <v/>
      </c>
      <c r="BU194" s="104" t="str">
        <f t="shared" si="28"/>
        <v/>
      </c>
      <c r="BV194" s="104" t="str">
        <f t="shared" si="29"/>
        <v>none</v>
      </c>
      <c r="BW194" s="150" t="str">
        <f t="shared" si="30"/>
        <v/>
      </c>
      <c r="BX194" s="150" t="str">
        <f t="shared" si="31"/>
        <v/>
      </c>
      <c r="BY194" s="151" t="str">
        <f t="shared" si="32"/>
        <v/>
      </c>
      <c r="BZ194" s="152" t="str">
        <f t="shared" si="33"/>
        <v/>
      </c>
      <c r="CA194" s="152" t="str">
        <f t="shared" si="34"/>
        <v/>
      </c>
      <c r="CB194" s="152" t="str">
        <f t="shared" si="35"/>
        <v/>
      </c>
      <c r="CC194" s="153" t="str">
        <f t="shared" si="36"/>
        <v/>
      </c>
      <c r="CD194" s="153" t="str">
        <f t="shared" si="37"/>
        <v/>
      </c>
      <c r="CE194" s="154" t="str">
        <f t="shared" si="38"/>
        <v/>
      </c>
      <c r="CF194" s="154" t="str">
        <f t="shared" si="39"/>
        <v/>
      </c>
      <c r="CG194" s="154" t="str">
        <f t="shared" si="40"/>
        <v/>
      </c>
    </row>
    <row r="195">
      <c r="A195" s="155" t="s">
        <v>284</v>
      </c>
      <c r="B195" s="104" t="s">
        <v>109</v>
      </c>
      <c r="C195" s="105">
        <v>1109591.0</v>
      </c>
      <c r="D195" s="106">
        <v>3513.91483</v>
      </c>
      <c r="E195" s="107">
        <v>0.0</v>
      </c>
      <c r="F195" s="108">
        <v>1.530184867</v>
      </c>
      <c r="G195" s="108">
        <v>6.87007539</v>
      </c>
      <c r="H195" s="108">
        <v>8.400260257</v>
      </c>
      <c r="I195" s="109">
        <v>17.613141</v>
      </c>
      <c r="J195" s="109">
        <v>51.6101257</v>
      </c>
      <c r="K195" s="109">
        <v>69.2232667</v>
      </c>
      <c r="L195" s="112">
        <v>122.9999958</v>
      </c>
      <c r="M195" s="112">
        <v>60.5226671</v>
      </c>
      <c r="N195" s="158">
        <v>183.5226629</v>
      </c>
      <c r="O195" s="159"/>
      <c r="P195" s="160">
        <v>1047632.0</v>
      </c>
      <c r="Q195" s="156"/>
      <c r="R195" s="115">
        <f t="shared" si="8"/>
        <v>0</v>
      </c>
      <c r="S195" s="116">
        <f t="shared" si="9"/>
        <v>0.3842933666</v>
      </c>
      <c r="T195" s="117"/>
      <c r="U195" s="118">
        <f t="shared" si="41"/>
        <v>0.7367</v>
      </c>
      <c r="V195" s="148"/>
      <c r="W195" s="120">
        <f t="shared" si="10"/>
        <v>0.32505</v>
      </c>
      <c r="X195" s="148"/>
      <c r="Y195" s="120">
        <f t="shared" si="11"/>
        <v>0.3778666667</v>
      </c>
      <c r="Z195" s="121"/>
      <c r="AA195" s="121"/>
      <c r="AB195" s="121"/>
      <c r="AC195" s="121"/>
      <c r="AD195" s="122">
        <v>0.1109</v>
      </c>
      <c r="AE195" s="123">
        <v>0.0</v>
      </c>
      <c r="AF195" s="123">
        <v>0.0</v>
      </c>
      <c r="AG195" s="167">
        <v>0.0</v>
      </c>
      <c r="AH195" s="124">
        <v>0.113579847</v>
      </c>
      <c r="AI195" s="168">
        <v>0.0</v>
      </c>
      <c r="AJ195" s="125">
        <v>0.061875814</v>
      </c>
      <c r="AK195" s="127">
        <v>0.08</v>
      </c>
      <c r="AL195" s="127">
        <v>0.122283009</v>
      </c>
      <c r="AM195" s="128"/>
      <c r="AN195" s="149" t="str">
        <f>IFERROR(
  AVERAGEIFS(
    'New 20102013 LF Efficacy'!$J:$J,
    'New 20102013 LF Efficacy'!$D:$D, $A195,
    'New 20102013 LF Efficacy'!$F:$F,"DEC", 
    'New 20102013 LF Efficacy'!$W:$W,"&lt;2011",
    'New 20102013 LF Efficacy'!$AA:$AA,""),
  ""
)</f>
        <v/>
      </c>
      <c r="AO195" s="115">
        <f t="shared" si="12"/>
        <v>0.478175</v>
      </c>
      <c r="AP195" s="121" t="str">
        <f>IFERROR(
AVERAGEIFS(
'New 20102013 LF Efficacy'!$J:$J,
'New 20102013 LF Efficacy'!$D:$D,$A195,
'New 20102013 LF Efficacy'!$F:$F,"Albendazole &amp; DEC",
'New 20102013 LF Efficacy'!$W:$W,"&lt;2011",
'New 20102013 LF Efficacy'!$AA:$AA,""),
"")
</f>
        <v/>
      </c>
      <c r="AQ195" s="115">
        <f t="shared" si="13"/>
        <v>0.5831666667</v>
      </c>
      <c r="AR195" s="121" t="str">
        <f>IFERROR(
AVERAGEIFS(
'New 20102013 LF Efficacy'!$J:$J,
'New 20102013 LF Efficacy'!$D:$D,$A195,
'New 20102013 LF Efficacy'!$F:$F,"Albendazole &amp; Ivermectin", 
'New 20102013 LF Efficacy'!$W:$W,"&lt;2011",
'New 20102013 LF Efficacy'!$AA:$AA,""),"")</f>
        <v/>
      </c>
      <c r="AS195" s="115">
        <f t="shared" si="14"/>
        <v>0.14</v>
      </c>
      <c r="AT195" s="130" t="str">
        <f>IFERROR(AVERAGEIFS(
'20102013 Schist Efficacy'!$O:$O, 
'20102013 Schist Efficacy'!$C:$C,$A195, 
'20102013 Schist Efficacy'!$D:$D, "Praziquantel",
'20102013 Schist Efficacy'!$J:$J,"&lt;2011",
'20102013 Schist Efficacy'!$U:$U,""),
"")</f>
        <v/>
      </c>
      <c r="AU195" s="118">
        <f t="shared" si="15"/>
        <v>0.6869715828</v>
      </c>
      <c r="AV195" s="131" t="str">
        <f>IFERROR(AVERAGEIFS(
'20102013 STH Efficacy'!$AX:$AX, 
'20102013 STH Efficacy'!$AL:$AL, $A195, 
'20102013 STH Efficacy'!$AM:$AM, "Albendazole",
'20102013 STH Efficacy'!$AS:$AS,"&lt;2011",
'20102013 STH Efficacy'!$BP:$BP,""),
"")</f>
        <v/>
      </c>
      <c r="AW195" s="132">
        <f t="shared" si="16"/>
        <v>0.4756666667</v>
      </c>
      <c r="AX195" s="131" t="str">
        <f>IFERROR(AVERAGEIFS(
'20102013 STH Efficacy'!$AX:$AX, 
'20102013 STH Efficacy'!$AL:$AL, $A195, 
'20102013 STH Efficacy'!$AM:$AM, "Mebendazole",
'20102013 STH Efficacy'!$AS:$AS,"&lt;2011",
'20102013 STH Efficacy'!$BP:$BP,""),
"")</f>
        <v/>
      </c>
      <c r="AY195" s="132">
        <f t="shared" si="17"/>
        <v>0.3786666667</v>
      </c>
      <c r="AZ195" s="131" t="str">
        <f>IFERROR(AVERAGEIFS(
'20102013 STH Efficacy'!$AX:$AX, 
'20102013 STH Efficacy'!$AL:$AL, $A195, 
'20102013 STH Efficacy'!$AM:$AM, "Albendazole &amp; Ivermectin",
'20102013 STH Efficacy'!$AS:$AS,"&lt;2011",
'20102013 STH Efficacy'!$BP:$BP,""),
"")</f>
        <v/>
      </c>
      <c r="BA195" s="133">
        <f t="shared" si="18"/>
        <v>0.7176666667</v>
      </c>
      <c r="BB195" s="134" t="str">
        <f>IFERROR(AVERAGEIFS(
'20102013 STH Efficacy'!$N:$N, 
'20102013 STH Efficacy'!$B:$B, $A195, 
'20102013 STH Efficacy'!$C:$C, "Albendazole",
'20102013 STH Efficacy'!$I:$I,"&lt;2011",
'20102013 STH Efficacy'!$AH:$AH,""),
"")</f>
        <v/>
      </c>
      <c r="BC195" s="135">
        <f t="shared" si="19"/>
        <v>0.7133333333</v>
      </c>
      <c r="BD195" s="134" t="str">
        <f>IFERROR(AVERAGEIFS(
'20102013 STH Efficacy'!$N:$N, 
'20102013 STH Efficacy'!$B:$B, $A195, 
'20102013 STH Efficacy'!$C:$C, "Mebendazole",
'20102013 STH Efficacy'!$I:$I,"&lt;2011",
'20102013 STH Efficacy'!$AH:$AH,""),
"")</f>
        <v/>
      </c>
      <c r="BE195" s="135">
        <f t="shared" si="20"/>
        <v>0.22675</v>
      </c>
      <c r="BF195" s="128" t="str">
        <f>IFERROR(AVERAGEIFS(
'20102013 STH Efficacy'!$CD:$CD, 
'20102013 STH Efficacy'!$BS:$BS, $A195, 
'20102013 STH Efficacy'!$BT:$BT, "Albendazole",
'20102013 STH Efficacy'!$BZ:$BZ,"&lt;2011",
'20102013 STH Efficacy'!$CU:$CU,""),
"")</f>
        <v/>
      </c>
      <c r="BG195" s="136">
        <f t="shared" si="21"/>
        <v>1</v>
      </c>
      <c r="BH195" s="128" t="str">
        <f>IFERROR(AVERAGEIFS(
'20102013 STH Efficacy'!$CD:$CD, 
'20102013 STH Efficacy'!$BS:$BS, $A195, 
'20102013 STH Efficacy'!$BT:$BT, "Mebendazole",
'20102013 STH Efficacy'!$BZ:$BZ,"&lt;2011",
'20102013 STH Efficacy'!$CU:$CU,""),
"")</f>
        <v/>
      </c>
      <c r="BI195" s="136">
        <f t="shared" si="22"/>
        <v>1</v>
      </c>
      <c r="BJ195" s="128" t="str">
        <f>IFERROR(AVERAGEIFS(
'20102013 STH Efficacy'!$CD:$CD, 
'20102013 STH Efficacy'!$BS:$BS, $A195, 
'20102013 STH Efficacy'!$BT:$BT, "Albendazole &amp; Ivermectin",
'20102013 STH Efficacy'!$BZ:$BZ,"&lt;2011",
'20102013 STH Efficacy'!$CU:$CU,""),
"")</f>
        <v/>
      </c>
      <c r="BK195" s="136">
        <f t="shared" si="23"/>
        <v>1</v>
      </c>
      <c r="BL195" s="137"/>
      <c r="BM195" s="137"/>
      <c r="BN195" s="138">
        <v>1.0</v>
      </c>
      <c r="BO195" s="139">
        <v>0.0</v>
      </c>
      <c r="BP195" s="140">
        <v>0.0</v>
      </c>
      <c r="BQ195" s="141">
        <f t="shared" si="24"/>
        <v>0</v>
      </c>
      <c r="BR195" s="104" t="str">
        <f t="shared" si="25"/>
        <v>1000</v>
      </c>
      <c r="BS195" s="104" t="str">
        <f t="shared" si="26"/>
        <v>MDA1/2</v>
      </c>
      <c r="BT195" s="142" t="str">
        <f t="shared" si="27"/>
        <v>DEC+ALB</v>
      </c>
      <c r="BU195" s="104" t="str">
        <f t="shared" si="28"/>
        <v/>
      </c>
      <c r="BV195" s="104" t="str">
        <f t="shared" si="29"/>
        <v>lf only</v>
      </c>
      <c r="BW195" s="150">
        <f t="shared" si="30"/>
        <v>1014.950877</v>
      </c>
      <c r="BX195" s="150" t="str">
        <f t="shared" si="31"/>
        <v/>
      </c>
      <c r="BY195" s="151" t="str">
        <f t="shared" si="32"/>
        <v/>
      </c>
      <c r="BZ195" s="152" t="str">
        <f t="shared" si="33"/>
        <v/>
      </c>
      <c r="CA195" s="152" t="str">
        <f t="shared" si="34"/>
        <v/>
      </c>
      <c r="CB195" s="152" t="str">
        <f t="shared" si="35"/>
        <v/>
      </c>
      <c r="CC195" s="153" t="str">
        <f t="shared" si="36"/>
        <v/>
      </c>
      <c r="CD195" s="153" t="str">
        <f t="shared" si="37"/>
        <v/>
      </c>
      <c r="CE195" s="154" t="str">
        <f t="shared" si="38"/>
        <v/>
      </c>
      <c r="CF195" s="154" t="str">
        <f t="shared" si="39"/>
        <v/>
      </c>
      <c r="CG195" s="154" t="str">
        <f t="shared" si="40"/>
        <v/>
      </c>
    </row>
    <row r="196">
      <c r="A196" s="103" t="s">
        <v>285</v>
      </c>
      <c r="B196" s="104" t="s">
        <v>92</v>
      </c>
      <c r="C196" s="105">
        <v>6502952.0</v>
      </c>
      <c r="D196" s="106">
        <v>768.2594503</v>
      </c>
      <c r="E196" s="107">
        <v>29847.55203</v>
      </c>
      <c r="F196" s="108">
        <v>0.023544917</v>
      </c>
      <c r="G196" s="108">
        <v>0.121483193</v>
      </c>
      <c r="H196" s="108">
        <v>0.14502811</v>
      </c>
      <c r="I196" s="109">
        <v>92.3088879</v>
      </c>
      <c r="J196" s="109">
        <v>266.567813</v>
      </c>
      <c r="K196" s="109">
        <v>358.8767012</v>
      </c>
      <c r="L196" s="112">
        <v>1785.296072</v>
      </c>
      <c r="M196" s="112">
        <v>243.3993308</v>
      </c>
      <c r="N196" s="112">
        <v>2028.695403</v>
      </c>
      <c r="O196" s="113"/>
      <c r="P196" s="156"/>
      <c r="Q196" s="156"/>
      <c r="R196" s="115" t="str">
        <f t="shared" si="8"/>
        <v/>
      </c>
      <c r="S196" s="116">
        <f t="shared" si="9"/>
        <v>0.1716437208</v>
      </c>
      <c r="T196" s="130"/>
      <c r="U196" s="118">
        <f t="shared" si="41"/>
        <v>0.252</v>
      </c>
      <c r="V196" s="119">
        <v>1.0</v>
      </c>
      <c r="W196" s="120">
        <f t="shared" si="10"/>
        <v>1</v>
      </c>
      <c r="X196" s="119">
        <v>0.1329</v>
      </c>
      <c r="Y196" s="120">
        <f t="shared" si="11"/>
        <v>0.1329</v>
      </c>
      <c r="Z196" s="114"/>
      <c r="AA196" s="114"/>
      <c r="AB196" s="114"/>
      <c r="AC196" s="114"/>
      <c r="AD196" s="164">
        <v>0.0</v>
      </c>
      <c r="AE196" s="123">
        <v>0.52</v>
      </c>
      <c r="AF196" s="123">
        <v>0.149</v>
      </c>
      <c r="AG196" s="167">
        <v>0.0</v>
      </c>
      <c r="AH196" s="124">
        <v>0.022975264</v>
      </c>
      <c r="AI196" s="168">
        <v>0.0</v>
      </c>
      <c r="AJ196" s="125">
        <v>0.049345388</v>
      </c>
      <c r="AK196" s="126">
        <v>0.0</v>
      </c>
      <c r="AL196" s="169">
        <v>0.050987082</v>
      </c>
      <c r="AM196" s="128"/>
      <c r="AN196" s="149" t="str">
        <f>IFERROR(
  AVERAGEIFS(
    'New 20102013 LF Efficacy'!$J:$J,
    'New 20102013 LF Efficacy'!$D:$D, $A196,
    'New 20102013 LF Efficacy'!$F:$F,"DEC", 
    'New 20102013 LF Efficacy'!$W:$W,"&lt;2011",
    'New 20102013 LF Efficacy'!$AA:$AA,""),
  ""
)</f>
        <v/>
      </c>
      <c r="AO196" s="115">
        <f t="shared" si="12"/>
        <v>0.31225</v>
      </c>
      <c r="AP196" s="121" t="str">
        <f>IFERROR(
AVERAGEIFS(
'New 20102013 LF Efficacy'!$J:$J,
'New 20102013 LF Efficacy'!$D:$D,$A196,
'New 20102013 LF Efficacy'!$F:$F,"Albendazole &amp; DEC",
'New 20102013 LF Efficacy'!$W:$W,"&lt;2011",
'New 20102013 LF Efficacy'!$AA:$AA,""),
"")
</f>
        <v/>
      </c>
      <c r="AQ196" s="115">
        <f t="shared" si="13"/>
        <v>0.4</v>
      </c>
      <c r="AR196" s="121" t="str">
        <f>IFERROR(
AVERAGEIFS(
'New 20102013 LF Efficacy'!$J:$J,
'New 20102013 LF Efficacy'!$D:$D,$A196,
'New 20102013 LF Efficacy'!$F:$F,"Albendazole &amp; Ivermectin", 
'New 20102013 LF Efficacy'!$W:$W,"&lt;2011",
'New 20102013 LF Efficacy'!$AA:$AA,""),"")</f>
        <v/>
      </c>
      <c r="AS196" s="115">
        <f t="shared" si="14"/>
        <v>0.2943125</v>
      </c>
      <c r="AT196" s="130" t="str">
        <f>IFERROR(AVERAGEIFS(
'20102013 Schist Efficacy'!$O:$O, 
'20102013 Schist Efficacy'!$C:$C,$A196, 
'20102013 Schist Efficacy'!$D:$D, "Praziquantel",
'20102013 Schist Efficacy'!$J:$J,"&lt;2011",
'20102013 Schist Efficacy'!$U:$U,""),
"")</f>
        <v/>
      </c>
      <c r="AU196" s="118">
        <f t="shared" si="15"/>
        <v>0.6444020147</v>
      </c>
      <c r="AV196" s="131" t="str">
        <f>IFERROR(AVERAGEIFS(
'20102013 STH Efficacy'!$AX:$AX, 
'20102013 STH Efficacy'!$AL:$AL, $A196, 
'20102013 STH Efficacy'!$AM:$AM, "Albendazole",
'20102013 STH Efficacy'!$AS:$AS,"&lt;2011",
'20102013 STH Efficacy'!$BP:$BP,""),
"")</f>
        <v/>
      </c>
      <c r="AW196" s="132">
        <f t="shared" si="16"/>
        <v>0.3538333333</v>
      </c>
      <c r="AX196" s="131" t="str">
        <f>IFERROR(AVERAGEIFS(
'20102013 STH Efficacy'!$AX:$AX, 
'20102013 STH Efficacy'!$AL:$AL, $A196, 
'20102013 STH Efficacy'!$AM:$AM, "Mebendazole",
'20102013 STH Efficacy'!$AS:$AS,"&lt;2011",
'20102013 STH Efficacy'!$BP:$BP,""),
"")</f>
        <v/>
      </c>
      <c r="AY196" s="132">
        <f t="shared" si="17"/>
        <v>0.5918333333</v>
      </c>
      <c r="AZ196" s="131" t="str">
        <f>IFERROR(AVERAGEIFS(
'20102013 STH Efficacy'!$AX:$AX, 
'20102013 STH Efficacy'!$AL:$AL, $A196, 
'20102013 STH Efficacy'!$AM:$AM, "Albendazole &amp; Ivermectin",
'20102013 STH Efficacy'!$AS:$AS,"&lt;2011",
'20102013 STH Efficacy'!$BP:$BP,""),
"")</f>
        <v/>
      </c>
      <c r="BA196" s="133">
        <f t="shared" si="18"/>
        <v>0.706</v>
      </c>
      <c r="BB196" s="134" t="str">
        <f>IFERROR(AVERAGEIFS(
'20102013 STH Efficacy'!$N:$N, 
'20102013 STH Efficacy'!$B:$B, $A196, 
'20102013 STH Efficacy'!$C:$C, "Albendazole",
'20102013 STH Efficacy'!$I:$I,"&lt;2011",
'20102013 STH Efficacy'!$AH:$AH,""),
"")</f>
        <v/>
      </c>
      <c r="BC196" s="135">
        <f t="shared" si="19"/>
        <v>0.9116666667</v>
      </c>
      <c r="BD196" s="134" t="str">
        <f>IFERROR(AVERAGEIFS(
'20102013 STH Efficacy'!$N:$N, 
'20102013 STH Efficacy'!$B:$B, $A196, 
'20102013 STH Efficacy'!$C:$C, "Mebendazole",
'20102013 STH Efficacy'!$I:$I,"&lt;2011",
'20102013 STH Efficacy'!$AH:$AH,""),
"")</f>
        <v/>
      </c>
      <c r="BE196" s="135">
        <f t="shared" si="20"/>
        <v>0.7092416667</v>
      </c>
      <c r="BF196" s="128" t="str">
        <f>IFERROR(AVERAGEIFS(
'20102013 STH Efficacy'!$CD:$CD, 
'20102013 STH Efficacy'!$BS:$BS, $A196, 
'20102013 STH Efficacy'!$BT:$BT, "Albendazole",
'20102013 STH Efficacy'!$BZ:$BZ,"&lt;2011",
'20102013 STH Efficacy'!$CU:$CU,""),
"")</f>
        <v/>
      </c>
      <c r="BG196" s="136">
        <f t="shared" si="21"/>
        <v>0.8656666667</v>
      </c>
      <c r="BH196" s="128" t="str">
        <f>IFERROR(AVERAGEIFS(
'20102013 STH Efficacy'!$CD:$CD, 
'20102013 STH Efficacy'!$BS:$BS, $A196, 
'20102013 STH Efficacy'!$BT:$BT, "Mebendazole",
'20102013 STH Efficacy'!$BZ:$BZ,"&lt;2011",
'20102013 STH Efficacy'!$CU:$CU,""),
"")</f>
        <v/>
      </c>
      <c r="BI196" s="136">
        <f t="shared" si="22"/>
        <v>0.9203333333</v>
      </c>
      <c r="BJ196" s="128" t="str">
        <f>IFERROR(AVERAGEIFS(
'20102013 STH Efficacy'!$CD:$CD, 
'20102013 STH Efficacy'!$BS:$BS, $A196, 
'20102013 STH Efficacy'!$BT:$BT, "Albendazole &amp; Ivermectin",
'20102013 STH Efficacy'!$BZ:$BZ,"&lt;2011",
'20102013 STH Efficacy'!$CU:$CU,""),
"")</f>
        <v/>
      </c>
      <c r="BK196" s="136">
        <f t="shared" si="23"/>
        <v>1</v>
      </c>
      <c r="BL196" s="137"/>
      <c r="BM196" s="137"/>
      <c r="BN196" s="138">
        <v>0.0</v>
      </c>
      <c r="BO196" s="139">
        <v>1.0</v>
      </c>
      <c r="BP196" s="140">
        <v>1.0</v>
      </c>
      <c r="BQ196" s="141">
        <f t="shared" si="24"/>
        <v>0</v>
      </c>
      <c r="BR196" s="104" t="str">
        <f t="shared" si="25"/>
        <v>0110</v>
      </c>
      <c r="BS196" s="104" t="str">
        <f t="shared" si="26"/>
        <v>MDA3+T2</v>
      </c>
      <c r="BT196" s="142" t="str">
        <f t="shared" si="27"/>
        <v>IVM</v>
      </c>
      <c r="BU196" s="104" t="str">
        <f t="shared" si="28"/>
        <v>PZQ</v>
      </c>
      <c r="BV196" s="104" t="str">
        <f t="shared" si="29"/>
        <v>onch+schist</v>
      </c>
      <c r="BW196" s="150" t="str">
        <f t="shared" si="30"/>
        <v/>
      </c>
      <c r="BX196" s="150" t="str">
        <f t="shared" si="31"/>
        <v/>
      </c>
      <c r="BY196" s="162">
        <f t="shared" si="32"/>
        <v>5786.606302</v>
      </c>
      <c r="BZ196" s="152" t="str">
        <f t="shared" si="33"/>
        <v/>
      </c>
      <c r="CA196" s="152" t="str">
        <f t="shared" si="34"/>
        <v/>
      </c>
      <c r="CB196" s="152" t="str">
        <f t="shared" si="35"/>
        <v/>
      </c>
      <c r="CC196" s="153" t="str">
        <f t="shared" si="36"/>
        <v/>
      </c>
      <c r="CD196" s="153" t="str">
        <f t="shared" si="37"/>
        <v/>
      </c>
      <c r="CE196" s="154" t="str">
        <f t="shared" si="38"/>
        <v/>
      </c>
      <c r="CF196" s="154" t="str">
        <f t="shared" si="39"/>
        <v/>
      </c>
      <c r="CG196" s="154" t="str">
        <f t="shared" si="40"/>
        <v/>
      </c>
    </row>
    <row r="197">
      <c r="A197" s="155" t="s">
        <v>286</v>
      </c>
      <c r="B197" s="104" t="s">
        <v>94</v>
      </c>
      <c r="C197" s="171"/>
      <c r="D197" s="106">
        <v>0.0</v>
      </c>
      <c r="E197" s="107">
        <v>0.0</v>
      </c>
      <c r="F197" s="163"/>
      <c r="G197" s="163"/>
      <c r="H197" s="108">
        <v>0.0</v>
      </c>
      <c r="I197" s="109">
        <v>0.0</v>
      </c>
      <c r="J197" s="109">
        <v>0.0</v>
      </c>
      <c r="K197" s="109">
        <v>0.0</v>
      </c>
      <c r="L197" s="113"/>
      <c r="M197" s="113"/>
      <c r="N197" s="112">
        <v>0.0</v>
      </c>
      <c r="O197" s="113"/>
      <c r="P197" s="114"/>
      <c r="Q197" s="114"/>
      <c r="R197" s="115" t="str">
        <f t="shared" si="8"/>
        <v/>
      </c>
      <c r="S197" s="116">
        <f t="shared" si="9"/>
        <v>0.1955251818</v>
      </c>
      <c r="T197" s="117"/>
      <c r="U197" s="118">
        <f t="shared" si="41"/>
        <v>0.6259666667</v>
      </c>
      <c r="V197" s="148"/>
      <c r="W197" s="120">
        <f t="shared" si="10"/>
        <v>0.55175</v>
      </c>
      <c r="X197" s="148"/>
      <c r="Y197" s="120">
        <f t="shared" si="11"/>
        <v>0.4826142857</v>
      </c>
      <c r="Z197" s="114"/>
      <c r="AA197" s="114"/>
      <c r="AB197" s="114"/>
      <c r="AC197" s="114"/>
      <c r="AD197" s="164">
        <v>0.0</v>
      </c>
      <c r="AE197" s="165">
        <v>0.0</v>
      </c>
      <c r="AF197" s="166">
        <v>0.0</v>
      </c>
      <c r="AG197" s="167">
        <v>0.0</v>
      </c>
      <c r="AH197" s="172">
        <v>0.0</v>
      </c>
      <c r="AI197" s="168">
        <v>0.0</v>
      </c>
      <c r="AJ197" s="173">
        <v>0.0</v>
      </c>
      <c r="AK197" s="126">
        <v>0.0</v>
      </c>
      <c r="AL197" s="169">
        <v>0.0</v>
      </c>
      <c r="AM197" s="128"/>
      <c r="AN197" s="149" t="str">
        <f>IFERROR(
  AVERAGEIFS(
    'New 20102013 LF Efficacy'!$J:$J,
    'New 20102013 LF Efficacy'!$D:$D, $A197,
    'New 20102013 LF Efficacy'!$F:$F,"DEC", 
    'New 20102013 LF Efficacy'!$W:$W,"&lt;2011",
    'New 20102013 LF Efficacy'!$AA:$AA,""),
  ""
)</f>
        <v/>
      </c>
      <c r="AO197" s="115">
        <f t="shared" si="12"/>
        <v>0.38</v>
      </c>
      <c r="AP197" s="121" t="str">
        <f>IFERROR(
AVERAGEIFS(
'New 20102013 LF Efficacy'!$J:$J,
'New 20102013 LF Efficacy'!$D:$D,$A197,
'New 20102013 LF Efficacy'!$F:$F,"Albendazole &amp; DEC",
'New 20102013 LF Efficacy'!$W:$W,"&lt;2011",
'New 20102013 LF Efficacy'!$AA:$AA,""),
"")
</f>
        <v/>
      </c>
      <c r="AQ197" s="115">
        <f t="shared" si="13"/>
        <v>0.657</v>
      </c>
      <c r="AR197" s="121" t="str">
        <f>IFERROR(
AVERAGEIFS(
'New 20102013 LF Efficacy'!$J:$J,
'New 20102013 LF Efficacy'!$D:$D,$A197,
'New 20102013 LF Efficacy'!$F:$F,"Albendazole &amp; Ivermectin", 
'New 20102013 LF Efficacy'!$W:$W,"&lt;2011",
'New 20102013 LF Efficacy'!$AA:$AA,""),"")</f>
        <v/>
      </c>
      <c r="AS197" s="115">
        <f t="shared" si="14"/>
        <v>0.37153125</v>
      </c>
      <c r="AT197" s="130" t="str">
        <f>IFERROR(AVERAGEIFS(
'20102013 Schist Efficacy'!$O:$O, 
'20102013 Schist Efficacy'!$C:$C,$A197, 
'20102013 Schist Efficacy'!$D:$D, "Praziquantel",
'20102013 Schist Efficacy'!$J:$J,"&lt;2011",
'20102013 Schist Efficacy'!$U:$U,""),
"")</f>
        <v/>
      </c>
      <c r="AU197" s="118">
        <f t="shared" si="15"/>
        <v>0.95</v>
      </c>
      <c r="AV197" s="131" t="str">
        <f>IFERROR(AVERAGEIFS(
'20102013 STH Efficacy'!$AX:$AX, 
'20102013 STH Efficacy'!$AL:$AL, $A197, 
'20102013 STH Efficacy'!$AM:$AM, "Albendazole",
'20102013 STH Efficacy'!$AS:$AS,"&lt;2011",
'20102013 STH Efficacy'!$BP:$BP,""),
"")</f>
        <v/>
      </c>
      <c r="AW197" s="132">
        <f t="shared" si="16"/>
        <v>0.3571666667</v>
      </c>
      <c r="AX197" s="131" t="str">
        <f>IFERROR(AVERAGEIFS(
'20102013 STH Efficacy'!$AX:$AX, 
'20102013 STH Efficacy'!$AL:$AL, $A197, 
'20102013 STH Efficacy'!$AM:$AM, "Mebendazole",
'20102013 STH Efficacy'!$AS:$AS,"&lt;2011",
'20102013 STH Efficacy'!$BP:$BP,""),
"")</f>
        <v/>
      </c>
      <c r="AY197" s="132">
        <f t="shared" si="17"/>
        <v>0.4155</v>
      </c>
      <c r="AZ197" s="131" t="str">
        <f>IFERROR(AVERAGEIFS(
'20102013 STH Efficacy'!$AX:$AX, 
'20102013 STH Efficacy'!$AL:$AL, $A197, 
'20102013 STH Efficacy'!$AM:$AM, "Albendazole &amp; Ivermectin",
'20102013 STH Efficacy'!$AS:$AS,"&lt;2011",
'20102013 STH Efficacy'!$BP:$BP,""),
"")</f>
        <v/>
      </c>
      <c r="BA197" s="133">
        <f t="shared" si="18"/>
        <v>0.651</v>
      </c>
      <c r="BB197" s="134" t="str">
        <f>IFERROR(AVERAGEIFS(
'20102013 STH Efficacy'!$N:$N, 
'20102013 STH Efficacy'!$B:$B, $A197, 
'20102013 STH Efficacy'!$C:$C, "Albendazole",
'20102013 STH Efficacy'!$I:$I,"&lt;2011",
'20102013 STH Efficacy'!$AH:$AH,""),
"")</f>
        <v/>
      </c>
      <c r="BC197" s="135">
        <f t="shared" si="19"/>
        <v>0.5769166667</v>
      </c>
      <c r="BD197" s="134" t="str">
        <f>IFERROR(AVERAGEIFS(
'20102013 STH Efficacy'!$N:$N, 
'20102013 STH Efficacy'!$B:$B, $A197, 
'20102013 STH Efficacy'!$C:$C, "Mebendazole",
'20102013 STH Efficacy'!$I:$I,"&lt;2011",
'20102013 STH Efficacy'!$AH:$AH,""),
"")</f>
        <v/>
      </c>
      <c r="BE197" s="135">
        <f t="shared" si="20"/>
        <v>0.3145</v>
      </c>
      <c r="BF197" s="128" t="str">
        <f>IFERROR(AVERAGEIFS(
'20102013 STH Efficacy'!$CD:$CD, 
'20102013 STH Efficacy'!$BS:$BS, $A197, 
'20102013 STH Efficacy'!$BT:$BT, "Albendazole",
'20102013 STH Efficacy'!$BZ:$BZ,"&lt;2011",
'20102013 STH Efficacy'!$CU:$CU,""),
"")</f>
        <v/>
      </c>
      <c r="BG197" s="136">
        <f t="shared" si="21"/>
        <v>0.96925</v>
      </c>
      <c r="BH197" s="128" t="str">
        <f>IFERROR(AVERAGEIFS(
'20102013 STH Efficacy'!$CD:$CD, 
'20102013 STH Efficacy'!$BS:$BS, $A197, 
'20102013 STH Efficacy'!$BT:$BT, "Mebendazole",
'20102013 STH Efficacy'!$BZ:$BZ,"&lt;2011",
'20102013 STH Efficacy'!$CU:$CU,""),
"")</f>
        <v/>
      </c>
      <c r="BI197" s="136">
        <f t="shared" si="22"/>
        <v>0.9305</v>
      </c>
      <c r="BJ197" s="128" t="str">
        <f>IFERROR(AVERAGEIFS(
'20102013 STH Efficacy'!$CD:$CD, 
'20102013 STH Efficacy'!$BS:$BS, $A197, 
'20102013 STH Efficacy'!$BT:$BT, "Albendazole &amp; Ivermectin",
'20102013 STH Efficacy'!$BZ:$BZ,"&lt;2011",
'20102013 STH Efficacy'!$CU:$CU,""),
"")</f>
        <v/>
      </c>
      <c r="BK197" s="136">
        <f t="shared" si="23"/>
        <v>1</v>
      </c>
      <c r="BL197" s="137"/>
      <c r="BM197" s="137"/>
      <c r="BN197" s="138">
        <v>0.0</v>
      </c>
      <c r="BO197" s="139">
        <v>0.0</v>
      </c>
      <c r="BP197" s="140">
        <v>0.0</v>
      </c>
      <c r="BQ197" s="141">
        <f t="shared" si="24"/>
        <v>0</v>
      </c>
      <c r="BR197" s="104" t="str">
        <f t="shared" si="25"/>
        <v>0000</v>
      </c>
      <c r="BS197" s="104" t="str">
        <f t="shared" si="26"/>
        <v>no action required</v>
      </c>
      <c r="BT197" s="142" t="str">
        <f t="shared" si="27"/>
        <v/>
      </c>
      <c r="BU197" s="104" t="str">
        <f t="shared" si="28"/>
        <v/>
      </c>
      <c r="BV197" s="104" t="str">
        <f t="shared" si="29"/>
        <v>none</v>
      </c>
      <c r="BW197" s="150" t="str">
        <f t="shared" si="30"/>
        <v/>
      </c>
      <c r="BX197" s="150" t="str">
        <f t="shared" si="31"/>
        <v/>
      </c>
      <c r="BY197" s="151" t="str">
        <f t="shared" si="32"/>
        <v/>
      </c>
      <c r="BZ197" s="152" t="str">
        <f t="shared" si="33"/>
        <v/>
      </c>
      <c r="CA197" s="152" t="str">
        <f t="shared" si="34"/>
        <v/>
      </c>
      <c r="CB197" s="152" t="str">
        <f t="shared" si="35"/>
        <v/>
      </c>
      <c r="CC197" s="153" t="str">
        <f t="shared" si="36"/>
        <v/>
      </c>
      <c r="CD197" s="153" t="str">
        <f t="shared" si="37"/>
        <v/>
      </c>
      <c r="CE197" s="154" t="str">
        <f t="shared" si="38"/>
        <v/>
      </c>
      <c r="CF197" s="154" t="str">
        <f t="shared" si="39"/>
        <v/>
      </c>
      <c r="CG197" s="154" t="str">
        <f t="shared" si="40"/>
        <v/>
      </c>
    </row>
    <row r="198">
      <c r="A198" s="155" t="s">
        <v>287</v>
      </c>
      <c r="B198" s="104" t="s">
        <v>94</v>
      </c>
      <c r="C198" s="105">
        <v>104137.0</v>
      </c>
      <c r="D198" s="106">
        <v>55.7198942</v>
      </c>
      <c r="E198" s="107">
        <v>0.0</v>
      </c>
      <c r="F198" s="108">
        <v>0.020441932</v>
      </c>
      <c r="G198" s="108">
        <v>0.087779338</v>
      </c>
      <c r="H198" s="108">
        <v>0.108221271</v>
      </c>
      <c r="I198" s="109">
        <v>1.99002754</v>
      </c>
      <c r="J198" s="109">
        <v>4.48038477</v>
      </c>
      <c r="K198" s="109">
        <v>6.470412318</v>
      </c>
      <c r="L198" s="112">
        <v>0.598937986</v>
      </c>
      <c r="M198" s="112">
        <v>0.174029347</v>
      </c>
      <c r="N198" s="112">
        <v>0.772967333</v>
      </c>
      <c r="O198" s="113"/>
      <c r="P198" s="156"/>
      <c r="Q198" s="156"/>
      <c r="R198" s="115" t="str">
        <f t="shared" si="8"/>
        <v/>
      </c>
      <c r="S198" s="116">
        <f t="shared" si="9"/>
        <v>0.1955251818</v>
      </c>
      <c r="T198" s="117"/>
      <c r="U198" s="118">
        <f t="shared" si="41"/>
        <v>0.6259666667</v>
      </c>
      <c r="V198" s="148"/>
      <c r="W198" s="120">
        <f t="shared" si="10"/>
        <v>0.55175</v>
      </c>
      <c r="X198" s="148"/>
      <c r="Y198" s="120">
        <f t="shared" si="11"/>
        <v>0.4826142857</v>
      </c>
      <c r="Z198" s="114"/>
      <c r="AA198" s="114"/>
      <c r="AB198" s="114"/>
      <c r="AC198" s="114"/>
      <c r="AD198" s="164">
        <v>0.0</v>
      </c>
      <c r="AE198" s="123">
        <v>0.0</v>
      </c>
      <c r="AF198" s="123">
        <v>0.0</v>
      </c>
      <c r="AG198" s="167">
        <v>0.0</v>
      </c>
      <c r="AH198" s="124">
        <v>0.064883874</v>
      </c>
      <c r="AI198" s="168">
        <v>0.0</v>
      </c>
      <c r="AJ198" s="125">
        <v>0.058199158</v>
      </c>
      <c r="AK198" s="126">
        <v>0.0</v>
      </c>
      <c r="AL198" s="169">
        <v>0.022020931</v>
      </c>
      <c r="AM198" s="128"/>
      <c r="AN198" s="149" t="str">
        <f>IFERROR(
  AVERAGEIFS(
    'New 20102013 LF Efficacy'!$J:$J,
    'New 20102013 LF Efficacy'!$D:$D, $A198,
    'New 20102013 LF Efficacy'!$F:$F,"DEC", 
    'New 20102013 LF Efficacy'!$W:$W,"&lt;2011",
    'New 20102013 LF Efficacy'!$AA:$AA,""),
  ""
)</f>
        <v/>
      </c>
      <c r="AO198" s="115">
        <f t="shared" si="12"/>
        <v>0.38</v>
      </c>
      <c r="AP198" s="121" t="str">
        <f>IFERROR(
AVERAGEIFS(
'New 20102013 LF Efficacy'!$J:$J,
'New 20102013 LF Efficacy'!$D:$D,$A198,
'New 20102013 LF Efficacy'!$F:$F,"Albendazole &amp; DEC",
'New 20102013 LF Efficacy'!$W:$W,"&lt;2011",
'New 20102013 LF Efficacy'!$AA:$AA,""),
"")
</f>
        <v/>
      </c>
      <c r="AQ198" s="115">
        <f t="shared" si="13"/>
        <v>0.657</v>
      </c>
      <c r="AR198" s="121" t="str">
        <f>IFERROR(
AVERAGEIFS(
'New 20102013 LF Efficacy'!$J:$J,
'New 20102013 LF Efficacy'!$D:$D,$A198,
'New 20102013 LF Efficacy'!$F:$F,"Albendazole &amp; Ivermectin", 
'New 20102013 LF Efficacy'!$W:$W,"&lt;2011",
'New 20102013 LF Efficacy'!$AA:$AA,""),"")</f>
        <v/>
      </c>
      <c r="AS198" s="115">
        <f t="shared" si="14"/>
        <v>0.37153125</v>
      </c>
      <c r="AT198" s="130" t="str">
        <f>IFERROR(AVERAGEIFS(
'20102013 Schist Efficacy'!$O:$O, 
'20102013 Schist Efficacy'!$C:$C,$A198, 
'20102013 Schist Efficacy'!$D:$D, "Praziquantel",
'20102013 Schist Efficacy'!$J:$J,"&lt;2011",
'20102013 Schist Efficacy'!$U:$U,""),
"")</f>
        <v/>
      </c>
      <c r="AU198" s="118">
        <f t="shared" si="15"/>
        <v>0.95</v>
      </c>
      <c r="AV198" s="131" t="str">
        <f>IFERROR(AVERAGEIFS(
'20102013 STH Efficacy'!$AX:$AX, 
'20102013 STH Efficacy'!$AL:$AL, $A198, 
'20102013 STH Efficacy'!$AM:$AM, "Albendazole",
'20102013 STH Efficacy'!$AS:$AS,"&lt;2011",
'20102013 STH Efficacy'!$BP:$BP,""),
"")</f>
        <v/>
      </c>
      <c r="AW198" s="132">
        <f t="shared" si="16"/>
        <v>0.3571666667</v>
      </c>
      <c r="AX198" s="131" t="str">
        <f>IFERROR(AVERAGEIFS(
'20102013 STH Efficacy'!$AX:$AX, 
'20102013 STH Efficacy'!$AL:$AL, $A198, 
'20102013 STH Efficacy'!$AM:$AM, "Mebendazole",
'20102013 STH Efficacy'!$AS:$AS,"&lt;2011",
'20102013 STH Efficacy'!$BP:$BP,""),
"")</f>
        <v/>
      </c>
      <c r="AY198" s="132">
        <f t="shared" si="17"/>
        <v>0.4155</v>
      </c>
      <c r="AZ198" s="131" t="str">
        <f>IFERROR(AVERAGEIFS(
'20102013 STH Efficacy'!$AX:$AX, 
'20102013 STH Efficacy'!$AL:$AL, $A198, 
'20102013 STH Efficacy'!$AM:$AM, "Albendazole &amp; Ivermectin",
'20102013 STH Efficacy'!$AS:$AS,"&lt;2011",
'20102013 STH Efficacy'!$BP:$BP,""),
"")</f>
        <v/>
      </c>
      <c r="BA198" s="133">
        <f t="shared" si="18"/>
        <v>0.651</v>
      </c>
      <c r="BB198" s="134" t="str">
        <f>IFERROR(AVERAGEIFS(
'20102013 STH Efficacy'!$N:$N, 
'20102013 STH Efficacy'!$B:$B, $A198, 
'20102013 STH Efficacy'!$C:$C, "Albendazole",
'20102013 STH Efficacy'!$I:$I,"&lt;2011",
'20102013 STH Efficacy'!$AH:$AH,""),
"")</f>
        <v/>
      </c>
      <c r="BC198" s="135">
        <f t="shared" si="19"/>
        <v>0.5769166667</v>
      </c>
      <c r="BD198" s="134" t="str">
        <f>IFERROR(AVERAGEIFS(
'20102013 STH Efficacy'!$N:$N, 
'20102013 STH Efficacy'!$B:$B, $A198, 
'20102013 STH Efficacy'!$C:$C, "Mebendazole",
'20102013 STH Efficacy'!$I:$I,"&lt;2011",
'20102013 STH Efficacy'!$AH:$AH,""),
"")</f>
        <v/>
      </c>
      <c r="BE198" s="135">
        <f t="shared" si="20"/>
        <v>0.3145</v>
      </c>
      <c r="BF198" s="128" t="str">
        <f>IFERROR(AVERAGEIFS(
'20102013 STH Efficacy'!$CD:$CD, 
'20102013 STH Efficacy'!$BS:$BS, $A198, 
'20102013 STH Efficacy'!$BT:$BT, "Albendazole",
'20102013 STH Efficacy'!$BZ:$BZ,"&lt;2011",
'20102013 STH Efficacy'!$CU:$CU,""),
"")</f>
        <v/>
      </c>
      <c r="BG198" s="136">
        <f t="shared" si="21"/>
        <v>0.96925</v>
      </c>
      <c r="BH198" s="128" t="str">
        <f>IFERROR(AVERAGEIFS(
'20102013 STH Efficacy'!$CD:$CD, 
'20102013 STH Efficacy'!$BS:$BS, $A198, 
'20102013 STH Efficacy'!$BT:$BT, "Mebendazole",
'20102013 STH Efficacy'!$BZ:$BZ,"&lt;2011",
'20102013 STH Efficacy'!$CU:$CU,""),
"")</f>
        <v/>
      </c>
      <c r="BI198" s="136">
        <f t="shared" si="22"/>
        <v>0.9305</v>
      </c>
      <c r="BJ198" s="128" t="str">
        <f>IFERROR(AVERAGEIFS(
'20102013 STH Efficacy'!$CD:$CD, 
'20102013 STH Efficacy'!$BS:$BS, $A198, 
'20102013 STH Efficacy'!$BT:$BT, "Albendazole &amp; Ivermectin",
'20102013 STH Efficacy'!$BZ:$BZ,"&lt;2011",
'20102013 STH Efficacy'!$CU:$CU,""),
"")</f>
        <v/>
      </c>
      <c r="BK198" s="136">
        <f t="shared" si="23"/>
        <v>1</v>
      </c>
      <c r="BL198" s="137"/>
      <c r="BM198" s="137"/>
      <c r="BN198" s="138">
        <v>0.0</v>
      </c>
      <c r="BO198" s="139">
        <v>0.0</v>
      </c>
      <c r="BP198" s="140">
        <v>0.0</v>
      </c>
      <c r="BQ198" s="141">
        <f t="shared" si="24"/>
        <v>0</v>
      </c>
      <c r="BR198" s="104" t="str">
        <f t="shared" si="25"/>
        <v>0000</v>
      </c>
      <c r="BS198" s="104" t="str">
        <f t="shared" si="26"/>
        <v>no action required</v>
      </c>
      <c r="BT198" s="142" t="str">
        <f t="shared" si="27"/>
        <v/>
      </c>
      <c r="BU198" s="104" t="str">
        <f t="shared" si="28"/>
        <v/>
      </c>
      <c r="BV198" s="104" t="str">
        <f t="shared" si="29"/>
        <v>none</v>
      </c>
      <c r="BW198" s="150" t="str">
        <f t="shared" si="30"/>
        <v/>
      </c>
      <c r="BX198" s="150" t="str">
        <f t="shared" si="31"/>
        <v/>
      </c>
      <c r="BY198" s="151" t="str">
        <f t="shared" si="32"/>
        <v/>
      </c>
      <c r="BZ198" s="152" t="str">
        <f t="shared" si="33"/>
        <v/>
      </c>
      <c r="CA198" s="152" t="str">
        <f t="shared" si="34"/>
        <v/>
      </c>
      <c r="CB198" s="152" t="str">
        <f t="shared" si="35"/>
        <v/>
      </c>
      <c r="CC198" s="153" t="str">
        <f t="shared" si="36"/>
        <v/>
      </c>
      <c r="CD198" s="153" t="str">
        <f t="shared" si="37"/>
        <v/>
      </c>
      <c r="CE198" s="154" t="str">
        <f t="shared" si="38"/>
        <v/>
      </c>
      <c r="CF198" s="154" t="str">
        <f t="shared" si="39"/>
        <v/>
      </c>
      <c r="CG198" s="154" t="str">
        <f t="shared" si="40"/>
        <v/>
      </c>
    </row>
    <row r="199">
      <c r="A199" s="155" t="s">
        <v>288</v>
      </c>
      <c r="B199" s="104" t="s">
        <v>98</v>
      </c>
      <c r="C199" s="105">
        <v>1328100.0</v>
      </c>
      <c r="D199" s="106">
        <v>0.0</v>
      </c>
      <c r="E199" s="107">
        <v>0.0</v>
      </c>
      <c r="F199" s="108">
        <v>0.004825054</v>
      </c>
      <c r="G199" s="108">
        <v>0.032882281</v>
      </c>
      <c r="H199" s="108">
        <v>0.037707335</v>
      </c>
      <c r="I199" s="109">
        <v>1.69658831</v>
      </c>
      <c r="J199" s="109">
        <v>3.48334058</v>
      </c>
      <c r="K199" s="109">
        <v>5.17992889</v>
      </c>
      <c r="L199" s="112">
        <v>2.075504425</v>
      </c>
      <c r="M199" s="112">
        <v>0.999362432</v>
      </c>
      <c r="N199" s="112">
        <v>3.074866857</v>
      </c>
      <c r="O199" s="113"/>
      <c r="P199" s="156"/>
      <c r="Q199" s="156"/>
      <c r="R199" s="115" t="str">
        <f t="shared" si="8"/>
        <v/>
      </c>
      <c r="S199" s="116">
        <f t="shared" si="9"/>
        <v>0.14553293</v>
      </c>
      <c r="T199" s="117"/>
      <c r="U199" s="118">
        <f t="shared" si="41"/>
        <v>0.39435</v>
      </c>
      <c r="V199" s="148"/>
      <c r="W199" s="120">
        <f t="shared" si="10"/>
        <v>0.3616</v>
      </c>
      <c r="X199" s="148"/>
      <c r="Y199" s="120">
        <f t="shared" si="11"/>
        <v>0.5015615385</v>
      </c>
      <c r="Z199" s="121"/>
      <c r="AA199" s="121"/>
      <c r="AB199" s="121"/>
      <c r="AC199" s="121"/>
      <c r="AD199" s="122">
        <v>0.0</v>
      </c>
      <c r="AE199" s="123">
        <v>0.0</v>
      </c>
      <c r="AF199" s="123">
        <v>0.0</v>
      </c>
      <c r="AG199" s="124">
        <v>0.016</v>
      </c>
      <c r="AH199" s="124">
        <v>0.025857622</v>
      </c>
      <c r="AI199" s="125">
        <v>0.0055</v>
      </c>
      <c r="AJ199" s="125">
        <v>0.008782734</v>
      </c>
      <c r="AK199" s="127">
        <v>0.0</v>
      </c>
      <c r="AL199" s="169">
        <v>0.007175817</v>
      </c>
      <c r="AM199" s="128"/>
      <c r="AN199" s="149" t="str">
        <f>IFERROR(
  AVERAGEIFS(
    'New 20102013 LF Efficacy'!$J:$J,
    'New 20102013 LF Efficacy'!$D:$D, $A199,
    'New 20102013 LF Efficacy'!$F:$F,"DEC", 
    'New 20102013 LF Efficacy'!$W:$W,"&lt;2011",
    'New 20102013 LF Efficacy'!$AA:$AA,""),
  ""
)</f>
        <v/>
      </c>
      <c r="AO199" s="115">
        <f t="shared" si="12"/>
        <v>0.2589833333</v>
      </c>
      <c r="AP199" s="121" t="str">
        <f>IFERROR(
AVERAGEIFS(
'New 20102013 LF Efficacy'!$J:$J,
'New 20102013 LF Efficacy'!$D:$D,$A199,
'New 20102013 LF Efficacy'!$F:$F,"Albendazole &amp; DEC",
'New 20102013 LF Efficacy'!$W:$W,"&lt;2011",
'New 20102013 LF Efficacy'!$AA:$AA,""),
"")
</f>
        <v/>
      </c>
      <c r="AQ199" s="115">
        <f t="shared" si="13"/>
        <v>0.3465</v>
      </c>
      <c r="AR199" s="121" t="str">
        <f>IFERROR(
AVERAGEIFS(
'New 20102013 LF Efficacy'!$J:$J,
'New 20102013 LF Efficacy'!$D:$D,$A199,
'New 20102013 LF Efficacy'!$F:$F,"Albendazole &amp; Ivermectin", 
'New 20102013 LF Efficacy'!$W:$W,"&lt;2011",
'New 20102013 LF Efficacy'!$AA:$AA,""),"")</f>
        <v/>
      </c>
      <c r="AS199" s="115">
        <f t="shared" si="14"/>
        <v>0.7575</v>
      </c>
      <c r="AT199" s="130" t="str">
        <f>IFERROR(AVERAGEIFS(
'20102013 Schist Efficacy'!$O:$O, 
'20102013 Schist Efficacy'!$C:$C,$A199, 
'20102013 Schist Efficacy'!$D:$D, "Praziquantel",
'20102013 Schist Efficacy'!$J:$J,"&lt;2011",
'20102013 Schist Efficacy'!$U:$U,""),
"")</f>
        <v/>
      </c>
      <c r="AU199" s="118">
        <f t="shared" si="15"/>
        <v>0.7732631579</v>
      </c>
      <c r="AV199" s="131" t="str">
        <f>IFERROR(AVERAGEIFS(
'20102013 STH Efficacy'!$AX:$AX, 
'20102013 STH Efficacy'!$AL:$AL, $A199, 
'20102013 STH Efficacy'!$AM:$AM, "Albendazole",
'20102013 STH Efficacy'!$AS:$AS,"&lt;2011",
'20102013 STH Efficacy'!$BP:$BP,""),
"")</f>
        <v/>
      </c>
      <c r="AW199" s="132">
        <f t="shared" si="16"/>
        <v>0.3945</v>
      </c>
      <c r="AX199" s="131" t="str">
        <f>IFERROR(AVERAGEIFS(
'20102013 STH Efficacy'!$AX:$AX, 
'20102013 STH Efficacy'!$AL:$AL, $A199, 
'20102013 STH Efficacy'!$AM:$AM, "Mebendazole",
'20102013 STH Efficacy'!$AS:$AS,"&lt;2011",
'20102013 STH Efficacy'!$BP:$BP,""),
"")</f>
        <v/>
      </c>
      <c r="AY199" s="132">
        <f t="shared" si="17"/>
        <v>0.6</v>
      </c>
      <c r="AZ199" s="131" t="str">
        <f>IFERROR(AVERAGEIFS(
'20102013 STH Efficacy'!$AX:$AX, 
'20102013 STH Efficacy'!$AL:$AL, $A199, 
'20102013 STH Efficacy'!$AM:$AM, "Albendazole &amp; Ivermectin",
'20102013 STH Efficacy'!$AS:$AS,"&lt;2011",
'20102013 STH Efficacy'!$BP:$BP,""),
"")</f>
        <v/>
      </c>
      <c r="BA199" s="133">
        <f t="shared" si="18"/>
        <v>0.796</v>
      </c>
      <c r="BB199" s="134" t="str">
        <f>IFERROR(AVERAGEIFS(
'20102013 STH Efficacy'!$N:$N, 
'20102013 STH Efficacy'!$B:$B, $A199, 
'20102013 STH Efficacy'!$C:$C, "Albendazole",
'20102013 STH Efficacy'!$I:$I,"&lt;2011",
'20102013 STH Efficacy'!$AH:$AH,""),
"")</f>
        <v/>
      </c>
      <c r="BC199" s="135">
        <f t="shared" si="19"/>
        <v>0.869</v>
      </c>
      <c r="BD199" s="134" t="str">
        <f>IFERROR(AVERAGEIFS(
'20102013 STH Efficacy'!$N:$N, 
'20102013 STH Efficacy'!$B:$B, $A199, 
'20102013 STH Efficacy'!$C:$C, "Mebendazole",
'20102013 STH Efficacy'!$I:$I,"&lt;2011",
'20102013 STH Efficacy'!$AH:$AH,""),
"")</f>
        <v/>
      </c>
      <c r="BE199" s="135">
        <f t="shared" si="20"/>
        <v>0.172</v>
      </c>
      <c r="BF199" s="128" t="str">
        <f>IFERROR(AVERAGEIFS(
'20102013 STH Efficacy'!$CD:$CD, 
'20102013 STH Efficacy'!$BS:$BS, $A199, 
'20102013 STH Efficacy'!$BT:$BT, "Albendazole",
'20102013 STH Efficacy'!$BZ:$BZ,"&lt;2011",
'20102013 STH Efficacy'!$CU:$CU,""),
"")</f>
        <v/>
      </c>
      <c r="BG199" s="136">
        <f t="shared" si="21"/>
        <v>0.9862</v>
      </c>
      <c r="BH199" s="128" t="str">
        <f>IFERROR(AVERAGEIFS(
'20102013 STH Efficacy'!$CD:$CD, 
'20102013 STH Efficacy'!$BS:$BS, $A199, 
'20102013 STH Efficacy'!$BT:$BT, "Mebendazole",
'20102013 STH Efficacy'!$BZ:$BZ,"&lt;2011",
'20102013 STH Efficacy'!$CU:$CU,""),
"")</f>
        <v/>
      </c>
      <c r="BI199" s="136">
        <f t="shared" si="22"/>
        <v>0.769</v>
      </c>
      <c r="BJ199" s="128" t="str">
        <f>IFERROR(AVERAGEIFS(
'20102013 STH Efficacy'!$CD:$CD, 
'20102013 STH Efficacy'!$BS:$BS, $A199, 
'20102013 STH Efficacy'!$BT:$BT, "Albendazole &amp; Ivermectin",
'20102013 STH Efficacy'!$BZ:$BZ,"&lt;2011",
'20102013 STH Efficacy'!$CU:$CU,""),
"")</f>
        <v/>
      </c>
      <c r="BK199" s="136">
        <f t="shared" si="23"/>
        <v>1</v>
      </c>
      <c r="BL199" s="137"/>
      <c r="BM199" s="137"/>
      <c r="BN199" s="138">
        <v>0.0</v>
      </c>
      <c r="BO199" s="139">
        <v>0.0</v>
      </c>
      <c r="BP199" s="140">
        <v>0.0</v>
      </c>
      <c r="BQ199" s="141">
        <f t="shared" si="24"/>
        <v>0</v>
      </c>
      <c r="BR199" s="104" t="str">
        <f t="shared" si="25"/>
        <v>0000</v>
      </c>
      <c r="BS199" s="104" t="str">
        <f t="shared" si="26"/>
        <v>no action required</v>
      </c>
      <c r="BT199" s="142" t="str">
        <f t="shared" si="27"/>
        <v/>
      </c>
      <c r="BU199" s="104" t="str">
        <f t="shared" si="28"/>
        <v/>
      </c>
      <c r="BV199" s="104" t="str">
        <f t="shared" si="29"/>
        <v>none</v>
      </c>
      <c r="BW199" s="150" t="str">
        <f t="shared" si="30"/>
        <v/>
      </c>
      <c r="BX199" s="150" t="str">
        <f t="shared" si="31"/>
        <v/>
      </c>
      <c r="BY199" s="151" t="str">
        <f t="shared" si="32"/>
        <v/>
      </c>
      <c r="BZ199" s="152" t="str">
        <f t="shared" si="33"/>
        <v/>
      </c>
      <c r="CA199" s="152" t="str">
        <f t="shared" si="34"/>
        <v/>
      </c>
      <c r="CB199" s="152" t="str">
        <f t="shared" si="35"/>
        <v/>
      </c>
      <c r="CC199" s="153" t="str">
        <f t="shared" si="36"/>
        <v/>
      </c>
      <c r="CD199" s="153" t="str">
        <f t="shared" si="37"/>
        <v/>
      </c>
      <c r="CE199" s="154" t="str">
        <f t="shared" si="38"/>
        <v/>
      </c>
      <c r="CF199" s="154" t="str">
        <f t="shared" si="39"/>
        <v/>
      </c>
      <c r="CG199" s="154" t="str">
        <f t="shared" si="40"/>
        <v/>
      </c>
    </row>
    <row r="200">
      <c r="A200" s="155" t="s">
        <v>289</v>
      </c>
      <c r="B200" s="104" t="s">
        <v>88</v>
      </c>
      <c r="C200" s="105">
        <v>1.0639931E7</v>
      </c>
      <c r="D200" s="106">
        <v>0.0</v>
      </c>
      <c r="E200" s="107">
        <v>576.6160245</v>
      </c>
      <c r="F200" s="108">
        <v>0.083891877</v>
      </c>
      <c r="G200" s="108">
        <v>0.463814834</v>
      </c>
      <c r="H200" s="108">
        <v>0.547706711</v>
      </c>
      <c r="I200" s="109">
        <v>0.1177892</v>
      </c>
      <c r="J200" s="109">
        <v>0.097668</v>
      </c>
      <c r="K200" s="109">
        <v>0.215457205</v>
      </c>
      <c r="L200" s="112">
        <v>13.9701494</v>
      </c>
      <c r="M200" s="112">
        <v>18.82813736</v>
      </c>
      <c r="N200" s="112">
        <v>32.79828676</v>
      </c>
      <c r="O200" s="113"/>
      <c r="P200" s="114"/>
      <c r="Q200" s="114"/>
      <c r="R200" s="115" t="str">
        <f t="shared" si="8"/>
        <v/>
      </c>
      <c r="S200" s="116">
        <f t="shared" si="9"/>
        <v>0.3211323089</v>
      </c>
      <c r="T200" s="117"/>
      <c r="U200" s="118">
        <f t="shared" si="41"/>
        <v>0.5949</v>
      </c>
      <c r="V200" s="148"/>
      <c r="W200" s="120">
        <f t="shared" si="10"/>
        <v>0.9019</v>
      </c>
      <c r="X200" s="148"/>
      <c r="Y200" s="120">
        <f t="shared" si="11"/>
        <v>0.094</v>
      </c>
      <c r="Z200" s="114"/>
      <c r="AA200" s="114"/>
      <c r="AB200" s="114"/>
      <c r="AC200" s="114"/>
      <c r="AD200" s="164">
        <v>0.0</v>
      </c>
      <c r="AE200" s="123">
        <v>0.01</v>
      </c>
      <c r="AF200" s="123">
        <v>7.0E-4</v>
      </c>
      <c r="AG200" s="167">
        <v>0.0</v>
      </c>
      <c r="AH200" s="124">
        <v>0.029075575</v>
      </c>
      <c r="AI200" s="168">
        <v>0.0</v>
      </c>
      <c r="AJ200" s="125">
        <v>1.11E-5</v>
      </c>
      <c r="AK200" s="126">
        <v>0.0</v>
      </c>
      <c r="AL200" s="169">
        <v>0.065670148</v>
      </c>
      <c r="AM200" s="128"/>
      <c r="AN200" s="149" t="str">
        <f>IFERROR(
  AVERAGEIFS(
    'New 20102013 LF Efficacy'!$J:$J,
    'New 20102013 LF Efficacy'!$D:$D, $A200,
    'New 20102013 LF Efficacy'!$F:$F,"DEC", 
    'New 20102013 LF Efficacy'!$W:$W,"&lt;2011",
    'New 20102013 LF Efficacy'!$AA:$AA,""),
  ""
)</f>
        <v/>
      </c>
      <c r="AO200" s="115">
        <f t="shared" si="12"/>
        <v>0.3573520833</v>
      </c>
      <c r="AP200" s="121" t="str">
        <f>IFERROR(
AVERAGEIFS(
'New 20102013 LF Efficacy'!$J:$J,
'New 20102013 LF Efficacy'!$D:$D,$A200,
'New 20102013 LF Efficacy'!$F:$F,"Albendazole &amp; DEC",
'New 20102013 LF Efficacy'!$W:$W,"&lt;2011",
'New 20102013 LF Efficacy'!$AA:$AA,""),
"")
</f>
        <v/>
      </c>
      <c r="AQ200" s="115">
        <f t="shared" si="13"/>
        <v>0.7935</v>
      </c>
      <c r="AR200" s="121" t="str">
        <f>IFERROR(
AVERAGEIFS(
'New 20102013 LF Efficacy'!$J:$J,
'New 20102013 LF Efficacy'!$D:$D,$A200,
'New 20102013 LF Efficacy'!$F:$F,"Albendazole &amp; Ivermectin", 
'New 20102013 LF Efficacy'!$W:$W,"&lt;2011",
'New 20102013 LF Efficacy'!$AA:$AA,""),"")</f>
        <v/>
      </c>
      <c r="AS200" s="115">
        <f t="shared" si="14"/>
        <v>0.37153125</v>
      </c>
      <c r="AT200" s="130" t="str">
        <f>IFERROR(AVERAGEIFS(
'20102013 Schist Efficacy'!$O:$O, 
'20102013 Schist Efficacy'!$C:$C,$A200, 
'20102013 Schist Efficacy'!$D:$D, "Praziquantel",
'20102013 Schist Efficacy'!$J:$J,"&lt;2011",
'20102013 Schist Efficacy'!$U:$U,""),
"")</f>
        <v/>
      </c>
      <c r="AU200" s="118">
        <f t="shared" si="15"/>
        <v>0.7763141026</v>
      </c>
      <c r="AV200" s="131" t="str">
        <f>IFERROR(AVERAGEIFS(
'20102013 STH Efficacy'!$AX:$AX, 
'20102013 STH Efficacy'!$AL:$AL, $A200, 
'20102013 STH Efficacy'!$AM:$AM, "Albendazole",
'20102013 STH Efficacy'!$AS:$AS,"&lt;2011",
'20102013 STH Efficacy'!$BP:$BP,""),
"")</f>
        <v/>
      </c>
      <c r="AW200" s="132">
        <f t="shared" si="16"/>
        <v>0.3842878788</v>
      </c>
      <c r="AX200" s="131" t="str">
        <f>IFERROR(AVERAGEIFS(
'20102013 STH Efficacy'!$AX:$AX, 
'20102013 STH Efficacy'!$AL:$AL, $A200, 
'20102013 STH Efficacy'!$AM:$AM, "Mebendazole",
'20102013 STH Efficacy'!$AS:$AS,"&lt;2011",
'20102013 STH Efficacy'!$BP:$BP,""),
"")</f>
        <v/>
      </c>
      <c r="AY200" s="132">
        <f t="shared" si="17"/>
        <v>0.5121666667</v>
      </c>
      <c r="AZ200" s="131" t="str">
        <f>IFERROR(AVERAGEIFS(
'20102013 STH Efficacy'!$AX:$AX, 
'20102013 STH Efficacy'!$AL:$AL, $A200, 
'20102013 STH Efficacy'!$AM:$AM, "Albendazole &amp; Ivermectin",
'20102013 STH Efficacy'!$AS:$AS,"&lt;2011",
'20102013 STH Efficacy'!$BP:$BP,""),
"")</f>
        <v/>
      </c>
      <c r="BA200" s="133">
        <f t="shared" si="18"/>
        <v>0.7176666667</v>
      </c>
      <c r="BB200" s="134" t="str">
        <f>IFERROR(AVERAGEIFS(
'20102013 STH Efficacy'!$N:$N, 
'20102013 STH Efficacy'!$B:$B, $A200, 
'20102013 STH Efficacy'!$C:$C, "Albendazole",
'20102013 STH Efficacy'!$I:$I,"&lt;2011",
'20102013 STH Efficacy'!$AH:$AH,""),
"")</f>
        <v/>
      </c>
      <c r="BC200" s="135">
        <f t="shared" si="19"/>
        <v>0.7630416667</v>
      </c>
      <c r="BD200" s="134" t="str">
        <f>IFERROR(AVERAGEIFS(
'20102013 STH Efficacy'!$N:$N, 
'20102013 STH Efficacy'!$B:$B, $A200, 
'20102013 STH Efficacy'!$C:$C, "Mebendazole",
'20102013 STH Efficacy'!$I:$I,"&lt;2011",
'20102013 STH Efficacy'!$AH:$AH,""),
"")</f>
        <v/>
      </c>
      <c r="BE200" s="135">
        <f t="shared" si="20"/>
        <v>0.4405966667</v>
      </c>
      <c r="BF200" s="128" t="str">
        <f>IFERROR(AVERAGEIFS(
'20102013 STH Efficacy'!$CD:$CD, 
'20102013 STH Efficacy'!$BS:$BS, $A200, 
'20102013 STH Efficacy'!$BT:$BT, "Albendazole",
'20102013 STH Efficacy'!$BZ:$BZ,"&lt;2011",
'20102013 STH Efficacy'!$CU:$CU,""),
"")</f>
        <v/>
      </c>
      <c r="BG200" s="136">
        <f t="shared" si="21"/>
        <v>0.955</v>
      </c>
      <c r="BH200" s="128" t="str">
        <f>IFERROR(AVERAGEIFS(
'20102013 STH Efficacy'!$CD:$CD, 
'20102013 STH Efficacy'!$BS:$BS, $A200, 
'20102013 STH Efficacy'!$BT:$BT, "Mebendazole",
'20102013 STH Efficacy'!$BZ:$BZ,"&lt;2011",
'20102013 STH Efficacy'!$CU:$CU,""),
"")</f>
        <v/>
      </c>
      <c r="BI200" s="136">
        <f t="shared" si="22"/>
        <v>1</v>
      </c>
      <c r="BJ200" s="128" t="str">
        <f>IFERROR(AVERAGEIFS(
'20102013 STH Efficacy'!$CD:$CD, 
'20102013 STH Efficacy'!$BS:$BS, $A200, 
'20102013 STH Efficacy'!$BT:$BT, "Albendazole &amp; Ivermectin",
'20102013 STH Efficacy'!$BZ:$BZ,"&lt;2011",
'20102013 STH Efficacy'!$CU:$CU,""),
"")</f>
        <v/>
      </c>
      <c r="BK200" s="136">
        <f t="shared" si="23"/>
        <v>1</v>
      </c>
      <c r="BL200" s="137"/>
      <c r="BM200" s="137"/>
      <c r="BN200" s="138">
        <v>0.0</v>
      </c>
      <c r="BO200" s="139">
        <v>0.0</v>
      </c>
      <c r="BP200" s="140">
        <v>0.0</v>
      </c>
      <c r="BQ200" s="141">
        <f t="shared" si="24"/>
        <v>0</v>
      </c>
      <c r="BR200" s="104" t="str">
        <f t="shared" si="25"/>
        <v>0000</v>
      </c>
      <c r="BS200" s="104" t="str">
        <f t="shared" si="26"/>
        <v>no action required</v>
      </c>
      <c r="BT200" s="142" t="str">
        <f t="shared" si="27"/>
        <v/>
      </c>
      <c r="BU200" s="104" t="str">
        <f t="shared" si="28"/>
        <v/>
      </c>
      <c r="BV200" s="104" t="str">
        <f t="shared" si="29"/>
        <v>none</v>
      </c>
      <c r="BW200" s="150" t="str">
        <f t="shared" si="30"/>
        <v/>
      </c>
      <c r="BX200" s="150" t="str">
        <f t="shared" si="31"/>
        <v/>
      </c>
      <c r="BY200" s="151" t="str">
        <f t="shared" si="32"/>
        <v/>
      </c>
      <c r="BZ200" s="152" t="str">
        <f t="shared" si="33"/>
        <v/>
      </c>
      <c r="CA200" s="152" t="str">
        <f t="shared" si="34"/>
        <v/>
      </c>
      <c r="CB200" s="152" t="str">
        <f t="shared" si="35"/>
        <v/>
      </c>
      <c r="CC200" s="153" t="str">
        <f t="shared" si="36"/>
        <v/>
      </c>
      <c r="CD200" s="153" t="str">
        <f t="shared" si="37"/>
        <v/>
      </c>
      <c r="CE200" s="154" t="str">
        <f t="shared" si="38"/>
        <v/>
      </c>
      <c r="CF200" s="154" t="str">
        <f t="shared" si="39"/>
        <v/>
      </c>
      <c r="CG200" s="154" t="str">
        <f t="shared" si="40"/>
        <v/>
      </c>
    </row>
    <row r="201">
      <c r="A201" s="155" t="s">
        <v>290</v>
      </c>
      <c r="B201" s="104" t="s">
        <v>90</v>
      </c>
      <c r="C201" s="105">
        <v>7.2326914E7</v>
      </c>
      <c r="D201" s="106">
        <v>0.0</v>
      </c>
      <c r="E201" s="107">
        <v>446.8344325</v>
      </c>
      <c r="F201" s="108">
        <v>2.593983163</v>
      </c>
      <c r="G201" s="108">
        <v>15.25729884</v>
      </c>
      <c r="H201" s="108">
        <v>17.851282</v>
      </c>
      <c r="I201" s="109">
        <v>0.40340993</v>
      </c>
      <c r="J201" s="109">
        <v>1.08172904</v>
      </c>
      <c r="K201" s="110">
        <v>1.485138963</v>
      </c>
      <c r="L201" s="111">
        <v>95.49254568</v>
      </c>
      <c r="M201" s="112">
        <v>65.12514656</v>
      </c>
      <c r="N201" s="112">
        <v>160.6176922</v>
      </c>
      <c r="O201" s="113"/>
      <c r="P201" s="114"/>
      <c r="Q201" s="114"/>
      <c r="R201" s="115" t="str">
        <f t="shared" si="8"/>
        <v/>
      </c>
      <c r="S201" s="116">
        <f t="shared" si="9"/>
        <v>0.4013436246</v>
      </c>
      <c r="T201" s="117"/>
      <c r="U201" s="118">
        <f t="shared" si="41"/>
        <v>0.3468166667</v>
      </c>
      <c r="V201" s="148"/>
      <c r="W201" s="120">
        <f t="shared" si="10"/>
        <v>1</v>
      </c>
      <c r="X201" s="148"/>
      <c r="Y201" s="120">
        <f t="shared" si="11"/>
        <v>0.71735</v>
      </c>
      <c r="Z201" s="114"/>
      <c r="AA201" s="114"/>
      <c r="AB201" s="114"/>
      <c r="AC201" s="114"/>
      <c r="AD201" s="164">
        <v>0.0</v>
      </c>
      <c r="AE201" s="123">
        <v>0.0</v>
      </c>
      <c r="AF201" s="123">
        <v>1.0E-4</v>
      </c>
      <c r="AG201" s="124">
        <v>0.017</v>
      </c>
      <c r="AH201" s="124">
        <v>0.025416155</v>
      </c>
      <c r="AI201" s="125">
        <v>0.0</v>
      </c>
      <c r="AJ201" s="125">
        <v>1.16E-5</v>
      </c>
      <c r="AK201" s="126">
        <v>0.0</v>
      </c>
      <c r="AL201" s="169">
        <v>0.041225849</v>
      </c>
      <c r="AM201" s="128"/>
      <c r="AN201" s="149" t="str">
        <f>IFERROR(
  AVERAGEIFS(
    'New 20102013 LF Efficacy'!$J:$J,
    'New 20102013 LF Efficacy'!$D:$D, $A201,
    'New 20102013 LF Efficacy'!$F:$F,"DEC", 
    'New 20102013 LF Efficacy'!$W:$W,"&lt;2011",
    'New 20102013 LF Efficacy'!$AA:$AA,""),
  ""
)</f>
        <v/>
      </c>
      <c r="AO201" s="115">
        <f t="shared" si="12"/>
        <v>0.3573520833</v>
      </c>
      <c r="AP201" s="121" t="str">
        <f>IFERROR(
AVERAGEIFS(
'New 20102013 LF Efficacy'!$J:$J,
'New 20102013 LF Efficacy'!$D:$D,$A201,
'New 20102013 LF Efficacy'!$F:$F,"Albendazole &amp; DEC",
'New 20102013 LF Efficacy'!$W:$W,"&lt;2011",
'New 20102013 LF Efficacy'!$AA:$AA,""),
"")
</f>
        <v/>
      </c>
      <c r="AQ201" s="115">
        <f t="shared" si="13"/>
        <v>0.5137291667</v>
      </c>
      <c r="AR201" s="121" t="str">
        <f>IFERROR(
AVERAGEIFS(
'New 20102013 LF Efficacy'!$J:$J,
'New 20102013 LF Efficacy'!$D:$D,$A201,
'New 20102013 LF Efficacy'!$F:$F,"Albendazole &amp; Ivermectin", 
'New 20102013 LF Efficacy'!$W:$W,"&lt;2011",
'New 20102013 LF Efficacy'!$AA:$AA,""),"")</f>
        <v/>
      </c>
      <c r="AS201" s="115">
        <f t="shared" si="14"/>
        <v>0.37153125</v>
      </c>
      <c r="AT201" s="130" t="str">
        <f>IFERROR(AVERAGEIFS(
'20102013 Schist Efficacy'!$O:$O, 
'20102013 Schist Efficacy'!$C:$C,$A201, 
'20102013 Schist Efficacy'!$D:$D, "Praziquantel",
'20102013 Schist Efficacy'!$J:$J,"&lt;2011",
'20102013 Schist Efficacy'!$U:$U,""),
"")</f>
        <v/>
      </c>
      <c r="AU201" s="118">
        <f t="shared" si="15"/>
        <v>0.655</v>
      </c>
      <c r="AV201" s="131" t="str">
        <f>IFERROR(AVERAGEIFS(
'20102013 STH Efficacy'!$AX:$AX, 
'20102013 STH Efficacy'!$AL:$AL, $A201, 
'20102013 STH Efficacy'!$AM:$AM, "Albendazole",
'20102013 STH Efficacy'!$AS:$AS,"&lt;2011",
'20102013 STH Efficacy'!$BP:$BP,""),
"")</f>
        <v/>
      </c>
      <c r="AW201" s="132">
        <f t="shared" si="16"/>
        <v>0.3842878788</v>
      </c>
      <c r="AX201" s="131" t="str">
        <f>IFERROR(AVERAGEIFS(
'20102013 STH Efficacy'!$AX:$AX, 
'20102013 STH Efficacy'!$AL:$AL, $A201, 
'20102013 STH Efficacy'!$AM:$AM, "Mebendazole",
'20102013 STH Efficacy'!$AS:$AS,"&lt;2011",
'20102013 STH Efficacy'!$BP:$BP,""),
"")</f>
        <v/>
      </c>
      <c r="AY201" s="132">
        <f t="shared" si="17"/>
        <v>0.5121666667</v>
      </c>
      <c r="AZ201" s="131" t="str">
        <f>IFERROR(AVERAGEIFS(
'20102013 STH Efficacy'!$AX:$AX, 
'20102013 STH Efficacy'!$AL:$AL, $A201, 
'20102013 STH Efficacy'!$AM:$AM, "Albendazole &amp; Ivermectin",
'20102013 STH Efficacy'!$AS:$AS,"&lt;2011",
'20102013 STH Efficacy'!$BP:$BP,""),
"")</f>
        <v/>
      </c>
      <c r="BA201" s="133">
        <f t="shared" si="18"/>
        <v>0.7176666667</v>
      </c>
      <c r="BB201" s="134" t="str">
        <f>IFERROR(AVERAGEIFS(
'20102013 STH Efficacy'!$N:$N, 
'20102013 STH Efficacy'!$B:$B, $A201, 
'20102013 STH Efficacy'!$C:$C, "Albendazole",
'20102013 STH Efficacy'!$I:$I,"&lt;2011",
'20102013 STH Efficacy'!$AH:$AH,""),
"")</f>
        <v/>
      </c>
      <c r="BC201" s="135">
        <f t="shared" si="19"/>
        <v>0.7630416667</v>
      </c>
      <c r="BD201" s="134" t="str">
        <f>IFERROR(AVERAGEIFS(
'20102013 STH Efficacy'!$N:$N, 
'20102013 STH Efficacy'!$B:$B, $A201, 
'20102013 STH Efficacy'!$C:$C, "Mebendazole",
'20102013 STH Efficacy'!$I:$I,"&lt;2011",
'20102013 STH Efficacy'!$AH:$AH,""),
"")</f>
        <v/>
      </c>
      <c r="BE201" s="135">
        <f t="shared" si="20"/>
        <v>0.4405966667</v>
      </c>
      <c r="BF201" s="128" t="str">
        <f>IFERROR(AVERAGEIFS(
'20102013 STH Efficacy'!$CD:$CD, 
'20102013 STH Efficacy'!$BS:$BS, $A201, 
'20102013 STH Efficacy'!$BT:$BT, "Albendazole",
'20102013 STH Efficacy'!$BZ:$BZ,"&lt;2011",
'20102013 STH Efficacy'!$CU:$CU,""),
"")</f>
        <v/>
      </c>
      <c r="BG201" s="136">
        <f t="shared" si="21"/>
        <v>0.9403222222</v>
      </c>
      <c r="BH201" s="128" t="str">
        <f>IFERROR(AVERAGEIFS(
'20102013 STH Efficacy'!$CD:$CD, 
'20102013 STH Efficacy'!$BS:$BS, $A201, 
'20102013 STH Efficacy'!$BT:$BT, "Mebendazole",
'20102013 STH Efficacy'!$BZ:$BZ,"&lt;2011",
'20102013 STH Efficacy'!$CU:$CU,""),
"")</f>
        <v/>
      </c>
      <c r="BI201" s="136">
        <f t="shared" si="22"/>
        <v>0.9229285714</v>
      </c>
      <c r="BJ201" s="128" t="str">
        <f>IFERROR(AVERAGEIFS(
'20102013 STH Efficacy'!$CD:$CD, 
'20102013 STH Efficacy'!$BS:$BS, $A201, 
'20102013 STH Efficacy'!$BT:$BT, "Albendazole &amp; Ivermectin",
'20102013 STH Efficacy'!$BZ:$BZ,"&lt;2011",
'20102013 STH Efficacy'!$CU:$CU,""),
"")</f>
        <v/>
      </c>
      <c r="BK201" s="136">
        <f t="shared" si="23"/>
        <v>1</v>
      </c>
      <c r="BL201" s="137"/>
      <c r="BM201" s="137"/>
      <c r="BN201" s="138">
        <v>0.0</v>
      </c>
      <c r="BO201" s="139">
        <v>0.0</v>
      </c>
      <c r="BP201" s="140">
        <v>0.0</v>
      </c>
      <c r="BQ201" s="141">
        <f t="shared" si="24"/>
        <v>0</v>
      </c>
      <c r="BR201" s="104" t="str">
        <f t="shared" si="25"/>
        <v>0000</v>
      </c>
      <c r="BS201" s="104" t="str">
        <f t="shared" si="26"/>
        <v>no action required</v>
      </c>
      <c r="BT201" s="142" t="str">
        <f t="shared" si="27"/>
        <v/>
      </c>
      <c r="BU201" s="104" t="str">
        <f t="shared" si="28"/>
        <v/>
      </c>
      <c r="BV201" s="104" t="str">
        <f t="shared" si="29"/>
        <v>none</v>
      </c>
      <c r="BW201" s="150" t="str">
        <f t="shared" si="30"/>
        <v/>
      </c>
      <c r="BX201" s="150" t="str">
        <f t="shared" si="31"/>
        <v/>
      </c>
      <c r="BY201" s="151" t="str">
        <f t="shared" si="32"/>
        <v/>
      </c>
      <c r="BZ201" s="152" t="str">
        <f t="shared" si="33"/>
        <v/>
      </c>
      <c r="CA201" s="152" t="str">
        <f t="shared" si="34"/>
        <v/>
      </c>
      <c r="CB201" s="152" t="str">
        <f t="shared" si="35"/>
        <v/>
      </c>
      <c r="CC201" s="153" t="str">
        <f t="shared" si="36"/>
        <v/>
      </c>
      <c r="CD201" s="153" t="str">
        <f t="shared" si="37"/>
        <v/>
      </c>
      <c r="CE201" s="154" t="str">
        <f t="shared" si="38"/>
        <v/>
      </c>
      <c r="CF201" s="154" t="str">
        <f t="shared" si="39"/>
        <v/>
      </c>
      <c r="CG201" s="154" t="str">
        <f t="shared" si="40"/>
        <v/>
      </c>
    </row>
    <row r="202">
      <c r="A202" s="155" t="s">
        <v>291</v>
      </c>
      <c r="B202" s="104" t="s">
        <v>90</v>
      </c>
      <c r="C202" s="105">
        <v>5087210.0</v>
      </c>
      <c r="D202" s="106">
        <v>0.0</v>
      </c>
      <c r="E202" s="107">
        <v>0.0</v>
      </c>
      <c r="F202" s="108">
        <v>0.0</v>
      </c>
      <c r="G202" s="108">
        <v>0.0</v>
      </c>
      <c r="H202" s="108">
        <v>0.0</v>
      </c>
      <c r="I202" s="109">
        <v>0.06096478</v>
      </c>
      <c r="J202" s="109">
        <v>0.0453269</v>
      </c>
      <c r="K202" s="109">
        <v>0.106291673</v>
      </c>
      <c r="L202" s="112">
        <v>19.54634619</v>
      </c>
      <c r="M202" s="112">
        <v>4.374047711</v>
      </c>
      <c r="N202" s="112">
        <v>23.92039391</v>
      </c>
      <c r="O202" s="113"/>
      <c r="P202" s="114"/>
      <c r="Q202" s="114"/>
      <c r="R202" s="115" t="str">
        <f t="shared" si="8"/>
        <v/>
      </c>
      <c r="S202" s="116">
        <f t="shared" si="9"/>
        <v>0.4013436246</v>
      </c>
      <c r="T202" s="117"/>
      <c r="U202" s="118">
        <f t="shared" si="41"/>
        <v>0.3468166667</v>
      </c>
      <c r="V202" s="148"/>
      <c r="W202" s="120">
        <f t="shared" si="10"/>
        <v>1</v>
      </c>
      <c r="X202" s="148"/>
      <c r="Y202" s="120">
        <f t="shared" si="11"/>
        <v>0.71735</v>
      </c>
      <c r="Z202" s="121"/>
      <c r="AA202" s="121"/>
      <c r="AB202" s="121"/>
      <c r="AC202" s="121"/>
      <c r="AD202" s="122">
        <v>0.0</v>
      </c>
      <c r="AE202" s="123">
        <v>0.0</v>
      </c>
      <c r="AF202" s="123">
        <v>0.0</v>
      </c>
      <c r="AG202" s="167">
        <v>0.0</v>
      </c>
      <c r="AH202" s="124">
        <v>1.24928E-5</v>
      </c>
      <c r="AI202" s="168">
        <v>0.0</v>
      </c>
      <c r="AJ202" s="125">
        <v>1.2E-5</v>
      </c>
      <c r="AK202" s="127">
        <v>0.02</v>
      </c>
      <c r="AL202" s="169">
        <v>0.029605486</v>
      </c>
      <c r="AM202" s="128"/>
      <c r="AN202" s="149" t="str">
        <f>IFERROR(
  AVERAGEIFS(
    'New 20102013 LF Efficacy'!$J:$J,
    'New 20102013 LF Efficacy'!$D:$D, $A202,
    'New 20102013 LF Efficacy'!$F:$F,"DEC", 
    'New 20102013 LF Efficacy'!$W:$W,"&lt;2011",
    'New 20102013 LF Efficacy'!$AA:$AA,""),
  ""
)</f>
        <v/>
      </c>
      <c r="AO202" s="115">
        <f t="shared" si="12"/>
        <v>0.3573520833</v>
      </c>
      <c r="AP202" s="121" t="str">
        <f>IFERROR(
AVERAGEIFS(
'New 20102013 LF Efficacy'!$J:$J,
'New 20102013 LF Efficacy'!$D:$D,$A202,
'New 20102013 LF Efficacy'!$F:$F,"Albendazole &amp; DEC",
'New 20102013 LF Efficacy'!$W:$W,"&lt;2011",
'New 20102013 LF Efficacy'!$AA:$AA,""),
"")
</f>
        <v/>
      </c>
      <c r="AQ202" s="115">
        <f t="shared" si="13"/>
        <v>0.5137291667</v>
      </c>
      <c r="AR202" s="121" t="str">
        <f>IFERROR(
AVERAGEIFS(
'New 20102013 LF Efficacy'!$J:$J,
'New 20102013 LF Efficacy'!$D:$D,$A202,
'New 20102013 LF Efficacy'!$F:$F,"Albendazole &amp; Ivermectin", 
'New 20102013 LF Efficacy'!$W:$W,"&lt;2011",
'New 20102013 LF Efficacy'!$AA:$AA,""),"")</f>
        <v/>
      </c>
      <c r="AS202" s="115">
        <f t="shared" si="14"/>
        <v>0.37153125</v>
      </c>
      <c r="AT202" s="130" t="str">
        <f>IFERROR(AVERAGEIFS(
'20102013 Schist Efficacy'!$O:$O, 
'20102013 Schist Efficacy'!$C:$C,$A202, 
'20102013 Schist Efficacy'!$D:$D, "Praziquantel",
'20102013 Schist Efficacy'!$J:$J,"&lt;2011",
'20102013 Schist Efficacy'!$U:$U,""),
"")</f>
        <v/>
      </c>
      <c r="AU202" s="118">
        <f t="shared" si="15"/>
        <v>0.655</v>
      </c>
      <c r="AV202" s="131" t="str">
        <f>IFERROR(AVERAGEIFS(
'20102013 STH Efficacy'!$AX:$AX, 
'20102013 STH Efficacy'!$AL:$AL, $A202, 
'20102013 STH Efficacy'!$AM:$AM, "Albendazole",
'20102013 STH Efficacy'!$AS:$AS,"&lt;2011",
'20102013 STH Efficacy'!$BP:$BP,""),
"")</f>
        <v/>
      </c>
      <c r="AW202" s="132">
        <f t="shared" si="16"/>
        <v>0.3842878788</v>
      </c>
      <c r="AX202" s="131" t="str">
        <f>IFERROR(AVERAGEIFS(
'20102013 STH Efficacy'!$AX:$AX, 
'20102013 STH Efficacy'!$AL:$AL, $A202, 
'20102013 STH Efficacy'!$AM:$AM, "Mebendazole",
'20102013 STH Efficacy'!$AS:$AS,"&lt;2011",
'20102013 STH Efficacy'!$BP:$BP,""),
"")</f>
        <v/>
      </c>
      <c r="AY202" s="132">
        <f t="shared" si="17"/>
        <v>0.5121666667</v>
      </c>
      <c r="AZ202" s="131" t="str">
        <f>IFERROR(AVERAGEIFS(
'20102013 STH Efficacy'!$AX:$AX, 
'20102013 STH Efficacy'!$AL:$AL, $A202, 
'20102013 STH Efficacy'!$AM:$AM, "Albendazole &amp; Ivermectin",
'20102013 STH Efficacy'!$AS:$AS,"&lt;2011",
'20102013 STH Efficacy'!$BP:$BP,""),
"")</f>
        <v/>
      </c>
      <c r="BA202" s="133">
        <f t="shared" si="18"/>
        <v>0.7176666667</v>
      </c>
      <c r="BB202" s="134" t="str">
        <f>IFERROR(AVERAGEIFS(
'20102013 STH Efficacy'!$N:$N, 
'20102013 STH Efficacy'!$B:$B, $A202, 
'20102013 STH Efficacy'!$C:$C, "Albendazole",
'20102013 STH Efficacy'!$I:$I,"&lt;2011",
'20102013 STH Efficacy'!$AH:$AH,""),
"")</f>
        <v/>
      </c>
      <c r="BC202" s="135">
        <f t="shared" si="19"/>
        <v>0.7630416667</v>
      </c>
      <c r="BD202" s="134" t="str">
        <f>IFERROR(AVERAGEIFS(
'20102013 STH Efficacy'!$N:$N, 
'20102013 STH Efficacy'!$B:$B, $A202, 
'20102013 STH Efficacy'!$C:$C, "Mebendazole",
'20102013 STH Efficacy'!$I:$I,"&lt;2011",
'20102013 STH Efficacy'!$AH:$AH,""),
"")</f>
        <v/>
      </c>
      <c r="BE202" s="135">
        <f t="shared" si="20"/>
        <v>0.4405966667</v>
      </c>
      <c r="BF202" s="128" t="str">
        <f>IFERROR(AVERAGEIFS(
'20102013 STH Efficacy'!$CD:$CD, 
'20102013 STH Efficacy'!$BS:$BS, $A202, 
'20102013 STH Efficacy'!$BT:$BT, "Albendazole",
'20102013 STH Efficacy'!$BZ:$BZ,"&lt;2011",
'20102013 STH Efficacy'!$CU:$CU,""),
"")</f>
        <v/>
      </c>
      <c r="BG202" s="136">
        <f t="shared" si="21"/>
        <v>0.9403222222</v>
      </c>
      <c r="BH202" s="128" t="str">
        <f>IFERROR(AVERAGEIFS(
'20102013 STH Efficacy'!$CD:$CD, 
'20102013 STH Efficacy'!$BS:$BS, $A202, 
'20102013 STH Efficacy'!$BT:$BT, "Mebendazole",
'20102013 STH Efficacy'!$BZ:$BZ,"&lt;2011",
'20102013 STH Efficacy'!$CU:$CU,""),
"")</f>
        <v/>
      </c>
      <c r="BI202" s="136">
        <f t="shared" si="22"/>
        <v>0.9229285714</v>
      </c>
      <c r="BJ202" s="128" t="str">
        <f>IFERROR(AVERAGEIFS(
'20102013 STH Efficacy'!$CD:$CD, 
'20102013 STH Efficacy'!$BS:$BS, $A202, 
'20102013 STH Efficacy'!$BT:$BT, "Albendazole &amp; Ivermectin",
'20102013 STH Efficacy'!$BZ:$BZ,"&lt;2011",
'20102013 STH Efficacy'!$CU:$CU,""),
"")</f>
        <v/>
      </c>
      <c r="BK202" s="136">
        <f t="shared" si="23"/>
        <v>1</v>
      </c>
      <c r="BL202" s="137"/>
      <c r="BM202" s="137"/>
      <c r="BN202" s="138">
        <v>0.0</v>
      </c>
      <c r="BO202" s="139">
        <v>0.0</v>
      </c>
      <c r="BP202" s="140">
        <v>0.0</v>
      </c>
      <c r="BQ202" s="141">
        <f t="shared" si="24"/>
        <v>0</v>
      </c>
      <c r="BR202" s="104" t="str">
        <f t="shared" si="25"/>
        <v>0000</v>
      </c>
      <c r="BS202" s="104" t="str">
        <f t="shared" si="26"/>
        <v>no action required</v>
      </c>
      <c r="BT202" s="142" t="str">
        <f t="shared" si="27"/>
        <v/>
      </c>
      <c r="BU202" s="104" t="str">
        <f t="shared" si="28"/>
        <v/>
      </c>
      <c r="BV202" s="104" t="str">
        <f t="shared" si="29"/>
        <v>none</v>
      </c>
      <c r="BW202" s="150" t="str">
        <f t="shared" si="30"/>
        <v/>
      </c>
      <c r="BX202" s="150" t="str">
        <f t="shared" si="31"/>
        <v/>
      </c>
      <c r="BY202" s="151" t="str">
        <f t="shared" si="32"/>
        <v/>
      </c>
      <c r="BZ202" s="152" t="str">
        <f t="shared" si="33"/>
        <v/>
      </c>
      <c r="CA202" s="152" t="str">
        <f t="shared" si="34"/>
        <v/>
      </c>
      <c r="CB202" s="152" t="str">
        <f t="shared" si="35"/>
        <v/>
      </c>
      <c r="CC202" s="153" t="str">
        <f t="shared" si="36"/>
        <v/>
      </c>
      <c r="CD202" s="153" t="str">
        <f t="shared" si="37"/>
        <v/>
      </c>
      <c r="CE202" s="154" t="str">
        <f t="shared" si="38"/>
        <v/>
      </c>
      <c r="CF202" s="154" t="str">
        <f t="shared" si="39"/>
        <v/>
      </c>
      <c r="CG202" s="154" t="str">
        <f t="shared" si="40"/>
        <v/>
      </c>
    </row>
    <row r="203">
      <c r="A203" s="155" t="s">
        <v>292</v>
      </c>
      <c r="B203" s="104" t="s">
        <v>98</v>
      </c>
      <c r="C203" s="105">
        <v>30994.0</v>
      </c>
      <c r="D203" s="106">
        <v>0.0</v>
      </c>
      <c r="E203" s="107">
        <v>0.0</v>
      </c>
      <c r="F203" s="163"/>
      <c r="G203" s="163"/>
      <c r="H203" s="108">
        <v>0.0</v>
      </c>
      <c r="I203" s="109">
        <v>0.0</v>
      </c>
      <c r="J203" s="109">
        <v>0.0</v>
      </c>
      <c r="K203" s="109">
        <v>0.0</v>
      </c>
      <c r="L203" s="113"/>
      <c r="M203" s="113"/>
      <c r="N203" s="112">
        <v>0.0</v>
      </c>
      <c r="O203" s="113"/>
      <c r="P203" s="114"/>
      <c r="Q203" s="114"/>
      <c r="R203" s="115" t="str">
        <f t="shared" si="8"/>
        <v/>
      </c>
      <c r="S203" s="116">
        <f t="shared" si="9"/>
        <v>0.14553293</v>
      </c>
      <c r="T203" s="117"/>
      <c r="U203" s="118">
        <f t="shared" si="41"/>
        <v>0.39435</v>
      </c>
      <c r="V203" s="148"/>
      <c r="W203" s="120">
        <f t="shared" si="10"/>
        <v>0.3616</v>
      </c>
      <c r="X203" s="148"/>
      <c r="Y203" s="120">
        <f t="shared" si="11"/>
        <v>0.5015615385</v>
      </c>
      <c r="Z203" s="114"/>
      <c r="AA203" s="114"/>
      <c r="AB203" s="114"/>
      <c r="AC203" s="114"/>
      <c r="AD203" s="164">
        <v>0.0</v>
      </c>
      <c r="AE203" s="165">
        <v>0.0</v>
      </c>
      <c r="AF203" s="166">
        <v>0.0</v>
      </c>
      <c r="AG203" s="167">
        <v>0.0</v>
      </c>
      <c r="AH203" s="172">
        <v>0.0</v>
      </c>
      <c r="AI203" s="168">
        <v>0.0</v>
      </c>
      <c r="AJ203" s="173">
        <v>0.0</v>
      </c>
      <c r="AK203" s="126">
        <v>0.0</v>
      </c>
      <c r="AL203" s="169">
        <v>0.0</v>
      </c>
      <c r="AM203" s="128"/>
      <c r="AN203" s="149" t="str">
        <f>IFERROR(
  AVERAGEIFS(
    'New 20102013 LF Efficacy'!$J:$J,
    'New 20102013 LF Efficacy'!$D:$D, $A203,
    'New 20102013 LF Efficacy'!$F:$F,"DEC", 
    'New 20102013 LF Efficacy'!$W:$W,"&lt;2011",
    'New 20102013 LF Efficacy'!$AA:$AA,""),
  ""
)</f>
        <v/>
      </c>
      <c r="AO203" s="115">
        <f t="shared" si="12"/>
        <v>0.2589833333</v>
      </c>
      <c r="AP203" s="121" t="str">
        <f>IFERROR(
AVERAGEIFS(
'New 20102013 LF Efficacy'!$J:$J,
'New 20102013 LF Efficacy'!$D:$D,$A203,
'New 20102013 LF Efficacy'!$F:$F,"Albendazole &amp; DEC",
'New 20102013 LF Efficacy'!$W:$W,"&lt;2011",
'New 20102013 LF Efficacy'!$AA:$AA,""),
"")
</f>
        <v/>
      </c>
      <c r="AQ203" s="115">
        <f t="shared" si="13"/>
        <v>0.3465</v>
      </c>
      <c r="AR203" s="121" t="str">
        <f>IFERROR(
AVERAGEIFS(
'New 20102013 LF Efficacy'!$J:$J,
'New 20102013 LF Efficacy'!$D:$D,$A203,
'New 20102013 LF Efficacy'!$F:$F,"Albendazole &amp; Ivermectin", 
'New 20102013 LF Efficacy'!$W:$W,"&lt;2011",
'New 20102013 LF Efficacy'!$AA:$AA,""),"")</f>
        <v/>
      </c>
      <c r="AS203" s="115">
        <f t="shared" si="14"/>
        <v>0.7575</v>
      </c>
      <c r="AT203" s="130" t="str">
        <f>IFERROR(AVERAGEIFS(
'20102013 Schist Efficacy'!$O:$O, 
'20102013 Schist Efficacy'!$C:$C,$A203, 
'20102013 Schist Efficacy'!$D:$D, "Praziquantel",
'20102013 Schist Efficacy'!$J:$J,"&lt;2011",
'20102013 Schist Efficacy'!$U:$U,""),
"")</f>
        <v/>
      </c>
      <c r="AU203" s="118">
        <f t="shared" si="15"/>
        <v>0.7732631579</v>
      </c>
      <c r="AV203" s="131" t="str">
        <f>IFERROR(AVERAGEIFS(
'20102013 STH Efficacy'!$AX:$AX, 
'20102013 STH Efficacy'!$AL:$AL, $A203, 
'20102013 STH Efficacy'!$AM:$AM, "Albendazole",
'20102013 STH Efficacy'!$AS:$AS,"&lt;2011",
'20102013 STH Efficacy'!$BP:$BP,""),
"")</f>
        <v/>
      </c>
      <c r="AW203" s="132">
        <f t="shared" si="16"/>
        <v>0.3945</v>
      </c>
      <c r="AX203" s="131" t="str">
        <f>IFERROR(AVERAGEIFS(
'20102013 STH Efficacy'!$AX:$AX, 
'20102013 STH Efficacy'!$AL:$AL, $A203, 
'20102013 STH Efficacy'!$AM:$AM, "Mebendazole",
'20102013 STH Efficacy'!$AS:$AS,"&lt;2011",
'20102013 STH Efficacy'!$BP:$BP,""),
"")</f>
        <v/>
      </c>
      <c r="AY203" s="132">
        <f t="shared" si="17"/>
        <v>0.6</v>
      </c>
      <c r="AZ203" s="131" t="str">
        <f>IFERROR(AVERAGEIFS(
'20102013 STH Efficacy'!$AX:$AX, 
'20102013 STH Efficacy'!$AL:$AL, $A203, 
'20102013 STH Efficacy'!$AM:$AM, "Albendazole &amp; Ivermectin",
'20102013 STH Efficacy'!$AS:$AS,"&lt;2011",
'20102013 STH Efficacy'!$BP:$BP,""),
"")</f>
        <v/>
      </c>
      <c r="BA203" s="133">
        <f t="shared" si="18"/>
        <v>0.796</v>
      </c>
      <c r="BB203" s="134" t="str">
        <f>IFERROR(AVERAGEIFS(
'20102013 STH Efficacy'!$N:$N, 
'20102013 STH Efficacy'!$B:$B, $A203, 
'20102013 STH Efficacy'!$C:$C, "Albendazole",
'20102013 STH Efficacy'!$I:$I,"&lt;2011",
'20102013 STH Efficacy'!$AH:$AH,""),
"")</f>
        <v/>
      </c>
      <c r="BC203" s="135">
        <f t="shared" si="19"/>
        <v>0.869</v>
      </c>
      <c r="BD203" s="134" t="str">
        <f>IFERROR(AVERAGEIFS(
'20102013 STH Efficacy'!$N:$N, 
'20102013 STH Efficacy'!$B:$B, $A203, 
'20102013 STH Efficacy'!$C:$C, "Mebendazole",
'20102013 STH Efficacy'!$I:$I,"&lt;2011",
'20102013 STH Efficacy'!$AH:$AH,""),
"")</f>
        <v/>
      </c>
      <c r="BE203" s="135">
        <f t="shared" si="20"/>
        <v>0.172</v>
      </c>
      <c r="BF203" s="128" t="str">
        <f>IFERROR(AVERAGEIFS(
'20102013 STH Efficacy'!$CD:$CD, 
'20102013 STH Efficacy'!$BS:$BS, $A203, 
'20102013 STH Efficacy'!$BT:$BT, "Albendazole",
'20102013 STH Efficacy'!$BZ:$BZ,"&lt;2011",
'20102013 STH Efficacy'!$CU:$CU,""),
"")</f>
        <v/>
      </c>
      <c r="BG203" s="136">
        <f t="shared" si="21"/>
        <v>0.9862</v>
      </c>
      <c r="BH203" s="128" t="str">
        <f>IFERROR(AVERAGEIFS(
'20102013 STH Efficacy'!$CD:$CD, 
'20102013 STH Efficacy'!$BS:$BS, $A203, 
'20102013 STH Efficacy'!$BT:$BT, "Mebendazole",
'20102013 STH Efficacy'!$BZ:$BZ,"&lt;2011",
'20102013 STH Efficacy'!$CU:$CU,""),
"")</f>
        <v/>
      </c>
      <c r="BI203" s="136">
        <f t="shared" si="22"/>
        <v>0.769</v>
      </c>
      <c r="BJ203" s="128" t="str">
        <f>IFERROR(AVERAGEIFS(
'20102013 STH Efficacy'!$CD:$CD, 
'20102013 STH Efficacy'!$BS:$BS, $A203, 
'20102013 STH Efficacy'!$BT:$BT, "Albendazole &amp; Ivermectin",
'20102013 STH Efficacy'!$BZ:$BZ,"&lt;2011",
'20102013 STH Efficacy'!$CU:$CU,""),
"")</f>
        <v/>
      </c>
      <c r="BK203" s="136">
        <f t="shared" si="23"/>
        <v>1</v>
      </c>
      <c r="BL203" s="137"/>
      <c r="BM203" s="137"/>
      <c r="BN203" s="138">
        <v>0.0</v>
      </c>
      <c r="BO203" s="139">
        <v>0.0</v>
      </c>
      <c r="BP203" s="140">
        <v>0.0</v>
      </c>
      <c r="BQ203" s="141">
        <f t="shared" si="24"/>
        <v>0</v>
      </c>
      <c r="BR203" s="104" t="str">
        <f t="shared" si="25"/>
        <v>0000</v>
      </c>
      <c r="BS203" s="104" t="str">
        <f t="shared" si="26"/>
        <v>no action required</v>
      </c>
      <c r="BT203" s="142" t="str">
        <f t="shared" si="27"/>
        <v/>
      </c>
      <c r="BU203" s="104" t="str">
        <f t="shared" si="28"/>
        <v/>
      </c>
      <c r="BV203" s="104" t="str">
        <f t="shared" si="29"/>
        <v>none</v>
      </c>
      <c r="BW203" s="150" t="str">
        <f t="shared" si="30"/>
        <v/>
      </c>
      <c r="BX203" s="150" t="str">
        <f t="shared" si="31"/>
        <v/>
      </c>
      <c r="BY203" s="151" t="str">
        <f t="shared" si="32"/>
        <v/>
      </c>
      <c r="BZ203" s="152" t="str">
        <f t="shared" si="33"/>
        <v/>
      </c>
      <c r="CA203" s="152" t="str">
        <f t="shared" si="34"/>
        <v/>
      </c>
      <c r="CB203" s="152" t="str">
        <f t="shared" si="35"/>
        <v/>
      </c>
      <c r="CC203" s="153" t="str">
        <f t="shared" si="36"/>
        <v/>
      </c>
      <c r="CD203" s="153" t="str">
        <f t="shared" si="37"/>
        <v/>
      </c>
      <c r="CE203" s="154" t="str">
        <f t="shared" si="38"/>
        <v/>
      </c>
      <c r="CF203" s="154" t="str">
        <f t="shared" si="39"/>
        <v/>
      </c>
      <c r="CG203" s="154" t="str">
        <f t="shared" si="40"/>
        <v/>
      </c>
    </row>
    <row r="204">
      <c r="A204" s="155" t="s">
        <v>293</v>
      </c>
      <c r="B204" s="104" t="s">
        <v>94</v>
      </c>
      <c r="C204" s="105">
        <v>10531.0</v>
      </c>
      <c r="D204" s="106">
        <v>0.0</v>
      </c>
      <c r="E204" s="107">
        <v>0.0</v>
      </c>
      <c r="F204" s="163"/>
      <c r="G204" s="163"/>
      <c r="H204" s="108">
        <v>0.0</v>
      </c>
      <c r="I204" s="109">
        <v>0.0</v>
      </c>
      <c r="J204" s="110">
        <v>0.0</v>
      </c>
      <c r="K204" s="109">
        <v>0.0</v>
      </c>
      <c r="L204" s="113"/>
      <c r="M204" s="113"/>
      <c r="N204" s="158">
        <v>0.0</v>
      </c>
      <c r="O204" s="159"/>
      <c r="P204" s="160">
        <v>9561.0</v>
      </c>
      <c r="Q204" s="156"/>
      <c r="R204" s="115">
        <f t="shared" si="8"/>
        <v>0</v>
      </c>
      <c r="S204" s="116">
        <f t="shared" si="9"/>
        <v>0.1955251818</v>
      </c>
      <c r="T204" s="117"/>
      <c r="U204" s="118">
        <f t="shared" si="41"/>
        <v>0.6259666667</v>
      </c>
      <c r="V204" s="119">
        <v>0.8768</v>
      </c>
      <c r="W204" s="120">
        <f t="shared" si="10"/>
        <v>0.8768</v>
      </c>
      <c r="X204" s="119">
        <v>0.6885</v>
      </c>
      <c r="Y204" s="120">
        <f t="shared" si="11"/>
        <v>0.6885</v>
      </c>
      <c r="Z204" s="114"/>
      <c r="AA204" s="114"/>
      <c r="AB204" s="114"/>
      <c r="AC204" s="114"/>
      <c r="AD204" s="164">
        <v>0.0</v>
      </c>
      <c r="AE204" s="165">
        <v>0.0</v>
      </c>
      <c r="AF204" s="166">
        <v>0.0</v>
      </c>
      <c r="AG204" s="167">
        <v>0.0</v>
      </c>
      <c r="AH204" s="172">
        <v>0.0</v>
      </c>
      <c r="AI204" s="168">
        <v>0.0</v>
      </c>
      <c r="AJ204" s="173">
        <v>0.0</v>
      </c>
      <c r="AK204" s="126">
        <v>0.0</v>
      </c>
      <c r="AL204" s="169">
        <v>0.0</v>
      </c>
      <c r="AM204" s="128"/>
      <c r="AN204" s="149" t="str">
        <f>IFERROR(
  AVERAGEIFS(
    'New 20102013 LF Efficacy'!$J:$J,
    'New 20102013 LF Efficacy'!$D:$D, $A204,
    'New 20102013 LF Efficacy'!$F:$F,"DEC", 
    'New 20102013 LF Efficacy'!$W:$W,"&lt;2011",
    'New 20102013 LF Efficacy'!$AA:$AA,""),
  ""
)</f>
        <v/>
      </c>
      <c r="AO204" s="115">
        <f t="shared" si="12"/>
        <v>0.38</v>
      </c>
      <c r="AP204" s="121" t="str">
        <f>IFERROR(
AVERAGEIFS(
'New 20102013 LF Efficacy'!$J:$J,
'New 20102013 LF Efficacy'!$D:$D,$A204,
'New 20102013 LF Efficacy'!$F:$F,"Albendazole &amp; DEC",
'New 20102013 LF Efficacy'!$W:$W,"&lt;2011",
'New 20102013 LF Efficacy'!$AA:$AA,""),
"")
</f>
        <v/>
      </c>
      <c r="AQ204" s="115">
        <f t="shared" si="13"/>
        <v>0.657</v>
      </c>
      <c r="AR204" s="121" t="str">
        <f>IFERROR(
AVERAGEIFS(
'New 20102013 LF Efficacy'!$J:$J,
'New 20102013 LF Efficacy'!$D:$D,$A204,
'New 20102013 LF Efficacy'!$F:$F,"Albendazole &amp; Ivermectin", 
'New 20102013 LF Efficacy'!$W:$W,"&lt;2011",
'New 20102013 LF Efficacy'!$AA:$AA,""),"")</f>
        <v/>
      </c>
      <c r="AS204" s="115">
        <f t="shared" si="14"/>
        <v>0.37153125</v>
      </c>
      <c r="AT204" s="130" t="str">
        <f>IFERROR(AVERAGEIFS(
'20102013 Schist Efficacy'!$O:$O, 
'20102013 Schist Efficacy'!$C:$C,$A204, 
'20102013 Schist Efficacy'!$D:$D, "Praziquantel",
'20102013 Schist Efficacy'!$J:$J,"&lt;2011",
'20102013 Schist Efficacy'!$U:$U,""),
"")</f>
        <v/>
      </c>
      <c r="AU204" s="118">
        <f t="shared" si="15"/>
        <v>0.95</v>
      </c>
      <c r="AV204" s="131" t="str">
        <f>IFERROR(AVERAGEIFS(
'20102013 STH Efficacy'!$AX:$AX, 
'20102013 STH Efficacy'!$AL:$AL, $A204, 
'20102013 STH Efficacy'!$AM:$AM, "Albendazole",
'20102013 STH Efficacy'!$AS:$AS,"&lt;2011",
'20102013 STH Efficacy'!$BP:$BP,""),
"")</f>
        <v/>
      </c>
      <c r="AW204" s="132">
        <f t="shared" si="16"/>
        <v>0.3571666667</v>
      </c>
      <c r="AX204" s="131" t="str">
        <f>IFERROR(AVERAGEIFS(
'20102013 STH Efficacy'!$AX:$AX, 
'20102013 STH Efficacy'!$AL:$AL, $A204, 
'20102013 STH Efficacy'!$AM:$AM, "Mebendazole",
'20102013 STH Efficacy'!$AS:$AS,"&lt;2011",
'20102013 STH Efficacy'!$BP:$BP,""),
"")</f>
        <v/>
      </c>
      <c r="AY204" s="132">
        <f t="shared" si="17"/>
        <v>0.4155</v>
      </c>
      <c r="AZ204" s="131" t="str">
        <f>IFERROR(AVERAGEIFS(
'20102013 STH Efficacy'!$AX:$AX, 
'20102013 STH Efficacy'!$AL:$AL, $A204, 
'20102013 STH Efficacy'!$AM:$AM, "Albendazole &amp; Ivermectin",
'20102013 STH Efficacy'!$AS:$AS,"&lt;2011",
'20102013 STH Efficacy'!$BP:$BP,""),
"")</f>
        <v/>
      </c>
      <c r="BA204" s="133">
        <f t="shared" si="18"/>
        <v>0.651</v>
      </c>
      <c r="BB204" s="134" t="str">
        <f>IFERROR(AVERAGEIFS(
'20102013 STH Efficacy'!$N:$N, 
'20102013 STH Efficacy'!$B:$B, $A204, 
'20102013 STH Efficacy'!$C:$C, "Albendazole",
'20102013 STH Efficacy'!$I:$I,"&lt;2011",
'20102013 STH Efficacy'!$AH:$AH,""),
"")</f>
        <v/>
      </c>
      <c r="BC204" s="135">
        <f t="shared" si="19"/>
        <v>0.5769166667</v>
      </c>
      <c r="BD204" s="134" t="str">
        <f>IFERROR(AVERAGEIFS(
'20102013 STH Efficacy'!$N:$N, 
'20102013 STH Efficacy'!$B:$B, $A204, 
'20102013 STH Efficacy'!$C:$C, "Mebendazole",
'20102013 STH Efficacy'!$I:$I,"&lt;2011",
'20102013 STH Efficacy'!$AH:$AH,""),
"")</f>
        <v/>
      </c>
      <c r="BE204" s="135">
        <f t="shared" si="20"/>
        <v>0.3145</v>
      </c>
      <c r="BF204" s="128" t="str">
        <f>IFERROR(AVERAGEIFS(
'20102013 STH Efficacy'!$CD:$CD, 
'20102013 STH Efficacy'!$BS:$BS, $A204, 
'20102013 STH Efficacy'!$BT:$BT, "Albendazole",
'20102013 STH Efficacy'!$BZ:$BZ,"&lt;2011",
'20102013 STH Efficacy'!$CU:$CU,""),
"")</f>
        <v/>
      </c>
      <c r="BG204" s="136">
        <f t="shared" si="21"/>
        <v>0.96925</v>
      </c>
      <c r="BH204" s="128" t="str">
        <f>IFERROR(AVERAGEIFS(
'20102013 STH Efficacy'!$CD:$CD, 
'20102013 STH Efficacy'!$BS:$BS, $A204, 
'20102013 STH Efficacy'!$BT:$BT, "Mebendazole",
'20102013 STH Efficacy'!$BZ:$BZ,"&lt;2011",
'20102013 STH Efficacy'!$CU:$CU,""),
"")</f>
        <v/>
      </c>
      <c r="BI204" s="136">
        <f t="shared" si="22"/>
        <v>0.9305</v>
      </c>
      <c r="BJ204" s="128" t="str">
        <f>IFERROR(AVERAGEIFS(
'20102013 STH Efficacy'!$CD:$CD, 
'20102013 STH Efficacy'!$BS:$BS, $A204, 
'20102013 STH Efficacy'!$BT:$BT, "Albendazole &amp; Ivermectin",
'20102013 STH Efficacy'!$BZ:$BZ,"&lt;2011",
'20102013 STH Efficacy'!$CU:$CU,""),
"")</f>
        <v/>
      </c>
      <c r="BK204" s="136">
        <f t="shared" si="23"/>
        <v>1</v>
      </c>
      <c r="BL204" s="137"/>
      <c r="BM204" s="137"/>
      <c r="BN204" s="138">
        <v>1.0</v>
      </c>
      <c r="BO204" s="139">
        <v>0.0</v>
      </c>
      <c r="BP204" s="140">
        <v>0.0</v>
      </c>
      <c r="BQ204" s="141">
        <f t="shared" si="24"/>
        <v>0</v>
      </c>
      <c r="BR204" s="104" t="str">
        <f t="shared" si="25"/>
        <v>1000</v>
      </c>
      <c r="BS204" s="104" t="str">
        <f t="shared" si="26"/>
        <v>MDA1/2</v>
      </c>
      <c r="BT204" s="142" t="str">
        <f t="shared" si="27"/>
        <v>DEC+ALB</v>
      </c>
      <c r="BU204" s="104" t="str">
        <f t="shared" si="28"/>
        <v/>
      </c>
      <c r="BV204" s="104" t="str">
        <f t="shared" si="29"/>
        <v>lf only</v>
      </c>
      <c r="BW204" s="150">
        <f t="shared" si="30"/>
        <v>0</v>
      </c>
      <c r="BX204" s="150" t="str">
        <f t="shared" si="31"/>
        <v/>
      </c>
      <c r="BY204" s="151" t="str">
        <f t="shared" si="32"/>
        <v/>
      </c>
      <c r="BZ204" s="152" t="str">
        <f t="shared" si="33"/>
        <v/>
      </c>
      <c r="CA204" s="152" t="str">
        <f t="shared" si="34"/>
        <v/>
      </c>
      <c r="CB204" s="152" t="str">
        <f t="shared" si="35"/>
        <v/>
      </c>
      <c r="CC204" s="153" t="str">
        <f t="shared" si="36"/>
        <v/>
      </c>
      <c r="CD204" s="153" t="str">
        <f t="shared" si="37"/>
        <v/>
      </c>
      <c r="CE204" s="154" t="str">
        <f t="shared" si="38"/>
        <v/>
      </c>
      <c r="CF204" s="154" t="str">
        <f t="shared" si="39"/>
        <v/>
      </c>
      <c r="CG204" s="154" t="str">
        <f t="shared" si="40"/>
        <v/>
      </c>
    </row>
    <row r="205">
      <c r="A205" s="103" t="s">
        <v>294</v>
      </c>
      <c r="B205" s="104" t="s">
        <v>92</v>
      </c>
      <c r="C205" s="105">
        <v>3.3915133E7</v>
      </c>
      <c r="D205" s="106">
        <v>19248.42684</v>
      </c>
      <c r="E205" s="107">
        <v>116555.026</v>
      </c>
      <c r="F205" s="108">
        <v>29.98771318</v>
      </c>
      <c r="G205" s="108">
        <v>115.523194</v>
      </c>
      <c r="H205" s="157">
        <v>145.5109072</v>
      </c>
      <c r="I205" s="110">
        <v>2069.51579</v>
      </c>
      <c r="J205" s="110">
        <v>5665.01481</v>
      </c>
      <c r="K205" s="109">
        <v>7734.530596</v>
      </c>
      <c r="L205" s="112">
        <v>10179.2919</v>
      </c>
      <c r="M205" s="112">
        <v>1607.840536</v>
      </c>
      <c r="N205" s="158">
        <v>11787.13244</v>
      </c>
      <c r="O205" s="159"/>
      <c r="P205" s="160">
        <v>1.47042E7</v>
      </c>
      <c r="Q205" s="160">
        <v>9183256.0</v>
      </c>
      <c r="R205" s="115">
        <f t="shared" si="8"/>
        <v>0.6245328546</v>
      </c>
      <c r="S205" s="116">
        <f t="shared" si="9"/>
        <v>0.6245328546</v>
      </c>
      <c r="T205" s="130"/>
      <c r="U205" s="118">
        <f t="shared" si="41"/>
        <v>0.252</v>
      </c>
      <c r="V205" s="119">
        <v>0.5301</v>
      </c>
      <c r="W205" s="120">
        <f t="shared" si="10"/>
        <v>0.5301</v>
      </c>
      <c r="X205" s="119">
        <v>0.6846</v>
      </c>
      <c r="Y205" s="120">
        <f t="shared" si="11"/>
        <v>0.6846</v>
      </c>
      <c r="Z205" s="114"/>
      <c r="AA205" s="114"/>
      <c r="AB205" s="114"/>
      <c r="AC205" s="114"/>
      <c r="AD205" s="164">
        <v>0.0</v>
      </c>
      <c r="AE205" s="123">
        <v>0.38</v>
      </c>
      <c r="AF205" s="123">
        <v>0.2269</v>
      </c>
      <c r="AG205" s="167">
        <v>0.0</v>
      </c>
      <c r="AH205" s="124">
        <v>0.042769445</v>
      </c>
      <c r="AI205" s="168">
        <v>0.0</v>
      </c>
      <c r="AJ205" s="125">
        <v>0.137410265</v>
      </c>
      <c r="AK205" s="126">
        <v>0.0</v>
      </c>
      <c r="AL205" s="169">
        <v>0.03666353</v>
      </c>
      <c r="AM205" s="128"/>
      <c r="AN205" s="149" t="str">
        <f>IFERROR(
  AVERAGEIFS(
    'New 20102013 LF Efficacy'!$J:$J,
    'New 20102013 LF Efficacy'!$D:$D, $A205,
    'New 20102013 LF Efficacy'!$F:$F,"DEC", 
    'New 20102013 LF Efficacy'!$W:$W,"&lt;2011",
    'New 20102013 LF Efficacy'!$AA:$AA,""),
  ""
)</f>
        <v/>
      </c>
      <c r="AO205" s="115">
        <f t="shared" si="12"/>
        <v>0.31225</v>
      </c>
      <c r="AP205" s="121" t="str">
        <f>IFERROR(
AVERAGEIFS(
'New 20102013 LF Efficacy'!$J:$J,
'New 20102013 LF Efficacy'!$D:$D,$A205,
'New 20102013 LF Efficacy'!$F:$F,"Albendazole &amp; DEC",
'New 20102013 LF Efficacy'!$W:$W,"&lt;2011",
'New 20102013 LF Efficacy'!$AA:$AA,""),
"")
</f>
        <v/>
      </c>
      <c r="AQ205" s="115">
        <f t="shared" si="13"/>
        <v>0.4</v>
      </c>
      <c r="AR205" s="121" t="str">
        <f>IFERROR(
AVERAGEIFS(
'New 20102013 LF Efficacy'!$J:$J,
'New 20102013 LF Efficacy'!$D:$D,$A205,
'New 20102013 LF Efficacy'!$F:$F,"Albendazole &amp; Ivermectin", 
'New 20102013 LF Efficacy'!$W:$W,"&lt;2011",
'New 20102013 LF Efficacy'!$AA:$AA,""),"")</f>
        <v/>
      </c>
      <c r="AS205" s="115">
        <f t="shared" si="14"/>
        <v>0.2943125</v>
      </c>
      <c r="AT205" s="130">
        <f>IFERROR(AVERAGEIFS(
'20102013 Schist Efficacy'!$O:$O, 
'20102013 Schist Efficacy'!$C:$C,$A205, 
'20102013 Schist Efficacy'!$D:$D, "Praziquantel",
'20102013 Schist Efficacy'!$J:$J,"&lt;2011",
'20102013 Schist Efficacy'!$U:$U,""),
"")</f>
        <v>0.634</v>
      </c>
      <c r="AU205" s="118">
        <f t="shared" si="15"/>
        <v>0.634</v>
      </c>
      <c r="AV205" s="131">
        <f>IFERROR(AVERAGEIFS(
'20102013 STH Efficacy'!$AX:$AX, 
'20102013 STH Efficacy'!$AL:$AL, $A205, 
'20102013 STH Efficacy'!$AM:$AM, "Albendazole",
'20102013 STH Efficacy'!$AS:$AS,"&lt;2011",
'20102013 STH Efficacy'!$BP:$BP,""),
"")</f>
        <v>0.333</v>
      </c>
      <c r="AW205" s="132">
        <f t="shared" si="16"/>
        <v>0.333</v>
      </c>
      <c r="AX205" s="131" t="str">
        <f>IFERROR(AVERAGEIFS(
'20102013 STH Efficacy'!$AX:$AX, 
'20102013 STH Efficacy'!$AL:$AL, $A205, 
'20102013 STH Efficacy'!$AM:$AM, "Mebendazole",
'20102013 STH Efficacy'!$AS:$AS,"&lt;2011",
'20102013 STH Efficacy'!$BP:$BP,""),
"")</f>
        <v/>
      </c>
      <c r="AY205" s="132">
        <f t="shared" si="17"/>
        <v>0.5918333333</v>
      </c>
      <c r="AZ205" s="131">
        <f>IFERROR(AVERAGEIFS(
'20102013 STH Efficacy'!$AX:$AX, 
'20102013 STH Efficacy'!$AL:$AL, $A205, 
'20102013 STH Efficacy'!$AM:$AM, "Albendazole &amp; Ivermectin",
'20102013 STH Efficacy'!$AS:$AS,"&lt;2011",
'20102013 STH Efficacy'!$BP:$BP,""),
"")</f>
        <v>0.706</v>
      </c>
      <c r="BA205" s="133">
        <f t="shared" si="18"/>
        <v>0.706</v>
      </c>
      <c r="BB205" s="134" t="str">
        <f>IFERROR(AVERAGEIFS(
'20102013 STH Efficacy'!$N:$N, 
'20102013 STH Efficacy'!$B:$B, $A205, 
'20102013 STH Efficacy'!$C:$C, "Albendazole",
'20102013 STH Efficacy'!$I:$I,"&lt;2011",
'20102013 STH Efficacy'!$AH:$AH,""),
"")</f>
        <v/>
      </c>
      <c r="BC205" s="135">
        <f t="shared" si="19"/>
        <v>0.9116666667</v>
      </c>
      <c r="BD205" s="134" t="str">
        <f>IFERROR(AVERAGEIFS(
'20102013 STH Efficacy'!$N:$N, 
'20102013 STH Efficacy'!$B:$B, $A205, 
'20102013 STH Efficacy'!$C:$C, "Mebendazole",
'20102013 STH Efficacy'!$I:$I,"&lt;2011",
'20102013 STH Efficacy'!$AH:$AH,""),
"")</f>
        <v/>
      </c>
      <c r="BE205" s="135">
        <f t="shared" si="20"/>
        <v>0.7092416667</v>
      </c>
      <c r="BF205" s="128" t="str">
        <f>IFERROR(AVERAGEIFS(
'20102013 STH Efficacy'!$CD:$CD, 
'20102013 STH Efficacy'!$BS:$BS, $A205, 
'20102013 STH Efficacy'!$BT:$BT, "Albendazole",
'20102013 STH Efficacy'!$BZ:$BZ,"&lt;2011",
'20102013 STH Efficacy'!$CU:$CU,""),
"")</f>
        <v/>
      </c>
      <c r="BG205" s="136">
        <f t="shared" si="21"/>
        <v>0.8656666667</v>
      </c>
      <c r="BH205" s="128" t="str">
        <f>IFERROR(AVERAGEIFS(
'20102013 STH Efficacy'!$CD:$CD, 
'20102013 STH Efficacy'!$BS:$BS, $A205, 
'20102013 STH Efficacy'!$BT:$BT, "Mebendazole",
'20102013 STH Efficacy'!$BZ:$BZ,"&lt;2011",
'20102013 STH Efficacy'!$CU:$CU,""),
"")</f>
        <v/>
      </c>
      <c r="BI205" s="136">
        <f t="shared" si="22"/>
        <v>0.9203333333</v>
      </c>
      <c r="BJ205" s="128" t="str">
        <f>IFERROR(AVERAGEIFS(
'20102013 STH Efficacy'!$CD:$CD, 
'20102013 STH Efficacy'!$BS:$BS, $A205, 
'20102013 STH Efficacy'!$BT:$BT, "Albendazole &amp; Ivermectin",
'20102013 STH Efficacy'!$BZ:$BZ,"&lt;2011",
'20102013 STH Efficacy'!$CU:$CU,""),
"")</f>
        <v/>
      </c>
      <c r="BK205" s="136">
        <f t="shared" si="23"/>
        <v>1</v>
      </c>
      <c r="BL205" s="137"/>
      <c r="BM205" s="137"/>
      <c r="BN205" s="138">
        <v>1.0</v>
      </c>
      <c r="BO205" s="139">
        <v>1.0</v>
      </c>
      <c r="BP205" s="140">
        <v>1.0</v>
      </c>
      <c r="BQ205" s="141">
        <f t="shared" si="24"/>
        <v>0</v>
      </c>
      <c r="BR205" s="104" t="str">
        <f t="shared" si="25"/>
        <v>1110</v>
      </c>
      <c r="BS205" s="104" t="str">
        <f t="shared" si="26"/>
        <v>MDA1+T2</v>
      </c>
      <c r="BT205" s="142" t="str">
        <f t="shared" si="27"/>
        <v>IVM+ALB</v>
      </c>
      <c r="BU205" s="104" t="str">
        <f t="shared" si="28"/>
        <v>PZQ</v>
      </c>
      <c r="BV205" s="104" t="str">
        <f t="shared" si="29"/>
        <v>lf+onch+schist </v>
      </c>
      <c r="BW205" s="150" t="str">
        <f t="shared" si="30"/>
        <v/>
      </c>
      <c r="BX205" s="150">
        <f t="shared" si="31"/>
        <v>4334.777517</v>
      </c>
      <c r="BY205" s="162">
        <f t="shared" si="32"/>
        <v>22162.64483</v>
      </c>
      <c r="BZ205" s="152" t="str">
        <f t="shared" si="33"/>
        <v/>
      </c>
      <c r="CA205" s="152" t="str">
        <f t="shared" si="34"/>
        <v/>
      </c>
      <c r="CB205" s="152" t="str">
        <f t="shared" si="35"/>
        <v/>
      </c>
      <c r="CC205" s="153" t="str">
        <f t="shared" si="36"/>
        <v/>
      </c>
      <c r="CD205" s="153" t="str">
        <f t="shared" si="37"/>
        <v/>
      </c>
      <c r="CE205" s="154" t="str">
        <f t="shared" si="38"/>
        <v/>
      </c>
      <c r="CF205" s="154" t="str">
        <f t="shared" si="39"/>
        <v/>
      </c>
      <c r="CG205" s="154" t="str">
        <f t="shared" si="40"/>
        <v/>
      </c>
    </row>
    <row r="206">
      <c r="A206" s="155" t="s">
        <v>295</v>
      </c>
      <c r="B206" s="104" t="s">
        <v>90</v>
      </c>
      <c r="C206" s="105">
        <v>4.58707E7</v>
      </c>
      <c r="D206" s="106">
        <v>0.0</v>
      </c>
      <c r="E206" s="107">
        <v>0.0</v>
      </c>
      <c r="F206" s="108">
        <v>0.0</v>
      </c>
      <c r="G206" s="108">
        <v>0.0</v>
      </c>
      <c r="H206" s="108">
        <v>0.0</v>
      </c>
      <c r="I206" s="109">
        <v>0.0</v>
      </c>
      <c r="J206" s="109">
        <v>0.0</v>
      </c>
      <c r="K206" s="109">
        <v>0.0</v>
      </c>
      <c r="L206" s="112">
        <v>0.0</v>
      </c>
      <c r="M206" s="112">
        <v>0.0</v>
      </c>
      <c r="N206" s="112">
        <v>0.0</v>
      </c>
      <c r="O206" s="113"/>
      <c r="P206" s="114"/>
      <c r="Q206" s="114"/>
      <c r="R206" s="115" t="str">
        <f t="shared" si="8"/>
        <v/>
      </c>
      <c r="S206" s="116">
        <f t="shared" si="9"/>
        <v>0.4013436246</v>
      </c>
      <c r="T206" s="118">
        <v>0.2759</v>
      </c>
      <c r="U206" s="118">
        <f t="shared" si="41"/>
        <v>0.2759</v>
      </c>
      <c r="V206" s="148"/>
      <c r="W206" s="120">
        <f t="shared" si="10"/>
        <v>1</v>
      </c>
      <c r="X206" s="148"/>
      <c r="Y206" s="120">
        <f t="shared" si="11"/>
        <v>0.71735</v>
      </c>
      <c r="Z206" s="121"/>
      <c r="AA206" s="121"/>
      <c r="AB206" s="121"/>
      <c r="AC206" s="121"/>
      <c r="AD206" s="122">
        <v>0.0</v>
      </c>
      <c r="AE206" s="123">
        <v>0.0</v>
      </c>
      <c r="AF206" s="123">
        <v>0.0</v>
      </c>
      <c r="AG206" s="124">
        <v>0.0</v>
      </c>
      <c r="AH206" s="124">
        <v>0.0</v>
      </c>
      <c r="AI206" s="125">
        <v>0.0</v>
      </c>
      <c r="AJ206" s="125">
        <v>0.0</v>
      </c>
      <c r="AK206" s="127">
        <v>0.0</v>
      </c>
      <c r="AL206" s="169">
        <v>0.0</v>
      </c>
      <c r="AM206" s="128"/>
      <c r="AN206" s="149" t="str">
        <f>IFERROR(
  AVERAGEIFS(
    'New 20102013 LF Efficacy'!$J:$J,
    'New 20102013 LF Efficacy'!$D:$D, $A206,
    'New 20102013 LF Efficacy'!$F:$F,"DEC", 
    'New 20102013 LF Efficacy'!$W:$W,"&lt;2011",
    'New 20102013 LF Efficacy'!$AA:$AA,""),
  ""
)</f>
        <v/>
      </c>
      <c r="AO206" s="115">
        <f t="shared" si="12"/>
        <v>0.3573520833</v>
      </c>
      <c r="AP206" s="121" t="str">
        <f>IFERROR(
AVERAGEIFS(
'New 20102013 LF Efficacy'!$J:$J,
'New 20102013 LF Efficacy'!$D:$D,$A206,
'New 20102013 LF Efficacy'!$F:$F,"Albendazole &amp; DEC",
'New 20102013 LF Efficacy'!$W:$W,"&lt;2011",
'New 20102013 LF Efficacy'!$AA:$AA,""),
"")
</f>
        <v/>
      </c>
      <c r="AQ206" s="115">
        <f t="shared" si="13"/>
        <v>0.5137291667</v>
      </c>
      <c r="AR206" s="121" t="str">
        <f>IFERROR(
AVERAGEIFS(
'New 20102013 LF Efficacy'!$J:$J,
'New 20102013 LF Efficacy'!$D:$D,$A206,
'New 20102013 LF Efficacy'!$F:$F,"Albendazole &amp; Ivermectin", 
'New 20102013 LF Efficacy'!$W:$W,"&lt;2011",
'New 20102013 LF Efficacy'!$AA:$AA,""),"")</f>
        <v/>
      </c>
      <c r="AS206" s="115">
        <f t="shared" si="14"/>
        <v>0.37153125</v>
      </c>
      <c r="AT206" s="130" t="str">
        <f>IFERROR(AVERAGEIFS(
'20102013 Schist Efficacy'!$O:$O, 
'20102013 Schist Efficacy'!$C:$C,$A206, 
'20102013 Schist Efficacy'!$D:$D, "Praziquantel",
'20102013 Schist Efficacy'!$J:$J,"&lt;2011",
'20102013 Schist Efficacy'!$U:$U,""),
"")</f>
        <v/>
      </c>
      <c r="AU206" s="118">
        <f t="shared" si="15"/>
        <v>0.655</v>
      </c>
      <c r="AV206" s="131" t="str">
        <f>IFERROR(AVERAGEIFS(
'20102013 STH Efficacy'!$AX:$AX, 
'20102013 STH Efficacy'!$AL:$AL, $A206, 
'20102013 STH Efficacy'!$AM:$AM, "Albendazole",
'20102013 STH Efficacy'!$AS:$AS,"&lt;2011",
'20102013 STH Efficacy'!$BP:$BP,""),
"")</f>
        <v/>
      </c>
      <c r="AW206" s="132">
        <f t="shared" si="16"/>
        <v>0.3842878788</v>
      </c>
      <c r="AX206" s="131" t="str">
        <f>IFERROR(AVERAGEIFS(
'20102013 STH Efficacy'!$AX:$AX, 
'20102013 STH Efficacy'!$AL:$AL, $A206, 
'20102013 STH Efficacy'!$AM:$AM, "Mebendazole",
'20102013 STH Efficacy'!$AS:$AS,"&lt;2011",
'20102013 STH Efficacy'!$BP:$BP,""),
"")</f>
        <v/>
      </c>
      <c r="AY206" s="132">
        <f t="shared" si="17"/>
        <v>0.5121666667</v>
      </c>
      <c r="AZ206" s="131" t="str">
        <f>IFERROR(AVERAGEIFS(
'20102013 STH Efficacy'!$AX:$AX, 
'20102013 STH Efficacy'!$AL:$AL, $A206, 
'20102013 STH Efficacy'!$AM:$AM, "Albendazole &amp; Ivermectin",
'20102013 STH Efficacy'!$AS:$AS,"&lt;2011",
'20102013 STH Efficacy'!$BP:$BP,""),
"")</f>
        <v/>
      </c>
      <c r="BA206" s="133">
        <f t="shared" si="18"/>
        <v>0.7176666667</v>
      </c>
      <c r="BB206" s="134" t="str">
        <f>IFERROR(AVERAGEIFS(
'20102013 STH Efficacy'!$N:$N, 
'20102013 STH Efficacy'!$B:$B, $A206, 
'20102013 STH Efficacy'!$C:$C, "Albendazole",
'20102013 STH Efficacy'!$I:$I,"&lt;2011",
'20102013 STH Efficacy'!$AH:$AH,""),
"")</f>
        <v/>
      </c>
      <c r="BC206" s="135">
        <f t="shared" si="19"/>
        <v>0.7630416667</v>
      </c>
      <c r="BD206" s="134" t="str">
        <f>IFERROR(AVERAGEIFS(
'20102013 STH Efficacy'!$N:$N, 
'20102013 STH Efficacy'!$B:$B, $A206, 
'20102013 STH Efficacy'!$C:$C, "Mebendazole",
'20102013 STH Efficacy'!$I:$I,"&lt;2011",
'20102013 STH Efficacy'!$AH:$AH,""),
"")</f>
        <v/>
      </c>
      <c r="BE206" s="135">
        <f t="shared" si="20"/>
        <v>0.4405966667</v>
      </c>
      <c r="BF206" s="128" t="str">
        <f>IFERROR(AVERAGEIFS(
'20102013 STH Efficacy'!$CD:$CD, 
'20102013 STH Efficacy'!$BS:$BS, $A206, 
'20102013 STH Efficacy'!$BT:$BT, "Albendazole",
'20102013 STH Efficacy'!$BZ:$BZ,"&lt;2011",
'20102013 STH Efficacy'!$CU:$CU,""),
"")</f>
        <v/>
      </c>
      <c r="BG206" s="136">
        <f t="shared" si="21"/>
        <v>0.9403222222</v>
      </c>
      <c r="BH206" s="128" t="str">
        <f>IFERROR(AVERAGEIFS(
'20102013 STH Efficacy'!$CD:$CD, 
'20102013 STH Efficacy'!$BS:$BS, $A206, 
'20102013 STH Efficacy'!$BT:$BT, "Mebendazole",
'20102013 STH Efficacy'!$BZ:$BZ,"&lt;2011",
'20102013 STH Efficacy'!$CU:$CU,""),
"")</f>
        <v/>
      </c>
      <c r="BI206" s="136">
        <f t="shared" si="22"/>
        <v>0.9229285714</v>
      </c>
      <c r="BJ206" s="128" t="str">
        <f>IFERROR(AVERAGEIFS(
'20102013 STH Efficacy'!$CD:$CD, 
'20102013 STH Efficacy'!$BS:$BS, $A206, 
'20102013 STH Efficacy'!$BT:$BT, "Albendazole &amp; Ivermectin",
'20102013 STH Efficacy'!$BZ:$BZ,"&lt;2011",
'20102013 STH Efficacy'!$CU:$CU,""),
"")</f>
        <v/>
      </c>
      <c r="BK206" s="136">
        <f t="shared" si="23"/>
        <v>1</v>
      </c>
      <c r="BL206" s="137"/>
      <c r="BM206" s="137"/>
      <c r="BN206" s="138">
        <v>0.0</v>
      </c>
      <c r="BO206" s="139">
        <v>0.0</v>
      </c>
      <c r="BP206" s="140">
        <v>0.0</v>
      </c>
      <c r="BQ206" s="141">
        <f t="shared" si="24"/>
        <v>0</v>
      </c>
      <c r="BR206" s="104" t="str">
        <f t="shared" si="25"/>
        <v>0000</v>
      </c>
      <c r="BS206" s="104" t="str">
        <f t="shared" si="26"/>
        <v>no action required</v>
      </c>
      <c r="BT206" s="142" t="str">
        <f t="shared" si="27"/>
        <v/>
      </c>
      <c r="BU206" s="104" t="str">
        <f t="shared" si="28"/>
        <v/>
      </c>
      <c r="BV206" s="104" t="str">
        <f t="shared" si="29"/>
        <v>none</v>
      </c>
      <c r="BW206" s="150" t="str">
        <f t="shared" si="30"/>
        <v/>
      </c>
      <c r="BX206" s="150" t="str">
        <f t="shared" si="31"/>
        <v/>
      </c>
      <c r="BY206" s="151" t="str">
        <f t="shared" si="32"/>
        <v/>
      </c>
      <c r="BZ206" s="152" t="str">
        <f t="shared" si="33"/>
        <v/>
      </c>
      <c r="CA206" s="152" t="str">
        <f t="shared" si="34"/>
        <v/>
      </c>
      <c r="CB206" s="152" t="str">
        <f t="shared" si="35"/>
        <v/>
      </c>
      <c r="CC206" s="153" t="str">
        <f t="shared" si="36"/>
        <v/>
      </c>
      <c r="CD206" s="153" t="str">
        <f t="shared" si="37"/>
        <v/>
      </c>
      <c r="CE206" s="154" t="str">
        <f t="shared" si="38"/>
        <v/>
      </c>
      <c r="CF206" s="154" t="str">
        <f t="shared" si="39"/>
        <v/>
      </c>
      <c r="CG206" s="154" t="str">
        <f t="shared" si="40"/>
        <v/>
      </c>
    </row>
    <row r="207">
      <c r="A207" s="155" t="s">
        <v>296</v>
      </c>
      <c r="B207" s="104" t="s">
        <v>88</v>
      </c>
      <c r="C207" s="105">
        <v>8270684.0</v>
      </c>
      <c r="D207" s="106">
        <v>0.0</v>
      </c>
      <c r="E207" s="107">
        <v>0.0</v>
      </c>
      <c r="F207" s="108">
        <v>0.0</v>
      </c>
      <c r="G207" s="108">
        <v>0.0</v>
      </c>
      <c r="H207" s="108">
        <v>0.0</v>
      </c>
      <c r="I207" s="109">
        <v>0.04552268</v>
      </c>
      <c r="J207" s="109">
        <v>0.03293672</v>
      </c>
      <c r="K207" s="109">
        <v>0.078459397</v>
      </c>
      <c r="L207" s="112">
        <v>0.587896964</v>
      </c>
      <c r="M207" s="112">
        <v>0.114154025</v>
      </c>
      <c r="N207" s="112">
        <v>0.702050989</v>
      </c>
      <c r="O207" s="113"/>
      <c r="P207" s="114"/>
      <c r="Q207" s="114"/>
      <c r="R207" s="115" t="str">
        <f t="shared" si="8"/>
        <v/>
      </c>
      <c r="S207" s="116">
        <f t="shared" si="9"/>
        <v>0.3211323089</v>
      </c>
      <c r="T207" s="117"/>
      <c r="U207" s="118">
        <f t="shared" si="41"/>
        <v>0.5949</v>
      </c>
      <c r="V207" s="148"/>
      <c r="W207" s="120">
        <f t="shared" si="10"/>
        <v>0.9019</v>
      </c>
      <c r="X207" s="148"/>
      <c r="Y207" s="120">
        <f t="shared" si="11"/>
        <v>0.094</v>
      </c>
      <c r="Z207" s="114"/>
      <c r="AA207" s="114"/>
      <c r="AB207" s="114"/>
      <c r="AC207" s="114"/>
      <c r="AD207" s="164">
        <v>0.0</v>
      </c>
      <c r="AE207" s="123">
        <v>0.0</v>
      </c>
      <c r="AF207" s="123">
        <v>0.0</v>
      </c>
      <c r="AG207" s="167">
        <v>0.0</v>
      </c>
      <c r="AH207" s="124">
        <v>1.14736E-5</v>
      </c>
      <c r="AI207" s="168">
        <v>0.0</v>
      </c>
      <c r="AJ207" s="125">
        <v>1.14E-5</v>
      </c>
      <c r="AK207" s="126">
        <v>0.0</v>
      </c>
      <c r="AL207" s="169">
        <v>1.17079E-5</v>
      </c>
      <c r="AM207" s="128"/>
      <c r="AN207" s="149" t="str">
        <f>IFERROR(
  AVERAGEIFS(
    'New 20102013 LF Efficacy'!$J:$J,
    'New 20102013 LF Efficacy'!$D:$D, $A207,
    'New 20102013 LF Efficacy'!$F:$F,"DEC", 
    'New 20102013 LF Efficacy'!$W:$W,"&lt;2011",
    'New 20102013 LF Efficacy'!$AA:$AA,""),
  ""
)</f>
        <v/>
      </c>
      <c r="AO207" s="115">
        <f t="shared" si="12"/>
        <v>0.3573520833</v>
      </c>
      <c r="AP207" s="121" t="str">
        <f>IFERROR(
AVERAGEIFS(
'New 20102013 LF Efficacy'!$J:$J,
'New 20102013 LF Efficacy'!$D:$D,$A207,
'New 20102013 LF Efficacy'!$F:$F,"Albendazole &amp; DEC",
'New 20102013 LF Efficacy'!$W:$W,"&lt;2011",
'New 20102013 LF Efficacy'!$AA:$AA,""),
"")
</f>
        <v/>
      </c>
      <c r="AQ207" s="115">
        <f t="shared" si="13"/>
        <v>0.7935</v>
      </c>
      <c r="AR207" s="121" t="str">
        <f>IFERROR(
AVERAGEIFS(
'New 20102013 LF Efficacy'!$J:$J,
'New 20102013 LF Efficacy'!$D:$D,$A207,
'New 20102013 LF Efficacy'!$F:$F,"Albendazole &amp; Ivermectin", 
'New 20102013 LF Efficacy'!$W:$W,"&lt;2011",
'New 20102013 LF Efficacy'!$AA:$AA,""),"")</f>
        <v/>
      </c>
      <c r="AS207" s="115">
        <f t="shared" si="14"/>
        <v>0.37153125</v>
      </c>
      <c r="AT207" s="130" t="str">
        <f>IFERROR(AVERAGEIFS(
'20102013 Schist Efficacy'!$O:$O, 
'20102013 Schist Efficacy'!$C:$C,$A207, 
'20102013 Schist Efficacy'!$D:$D, "Praziquantel",
'20102013 Schist Efficacy'!$J:$J,"&lt;2011",
'20102013 Schist Efficacy'!$U:$U,""),
"")</f>
        <v/>
      </c>
      <c r="AU207" s="118">
        <f t="shared" si="15"/>
        <v>0.7763141026</v>
      </c>
      <c r="AV207" s="131" t="str">
        <f>IFERROR(AVERAGEIFS(
'20102013 STH Efficacy'!$AX:$AX, 
'20102013 STH Efficacy'!$AL:$AL, $A207, 
'20102013 STH Efficacy'!$AM:$AM, "Albendazole",
'20102013 STH Efficacy'!$AS:$AS,"&lt;2011",
'20102013 STH Efficacy'!$BP:$BP,""),
"")</f>
        <v/>
      </c>
      <c r="AW207" s="132">
        <f t="shared" si="16"/>
        <v>0.3842878788</v>
      </c>
      <c r="AX207" s="131" t="str">
        <f>IFERROR(AVERAGEIFS(
'20102013 STH Efficacy'!$AX:$AX, 
'20102013 STH Efficacy'!$AL:$AL, $A207, 
'20102013 STH Efficacy'!$AM:$AM, "Mebendazole",
'20102013 STH Efficacy'!$AS:$AS,"&lt;2011",
'20102013 STH Efficacy'!$BP:$BP,""),
"")</f>
        <v/>
      </c>
      <c r="AY207" s="132">
        <f t="shared" si="17"/>
        <v>0.5121666667</v>
      </c>
      <c r="AZ207" s="131" t="str">
        <f>IFERROR(AVERAGEIFS(
'20102013 STH Efficacy'!$AX:$AX, 
'20102013 STH Efficacy'!$AL:$AL, $A207, 
'20102013 STH Efficacy'!$AM:$AM, "Albendazole &amp; Ivermectin",
'20102013 STH Efficacy'!$AS:$AS,"&lt;2011",
'20102013 STH Efficacy'!$BP:$BP,""),
"")</f>
        <v/>
      </c>
      <c r="BA207" s="133">
        <f t="shared" si="18"/>
        <v>0.7176666667</v>
      </c>
      <c r="BB207" s="134" t="str">
        <f>IFERROR(AVERAGEIFS(
'20102013 STH Efficacy'!$N:$N, 
'20102013 STH Efficacy'!$B:$B, $A207, 
'20102013 STH Efficacy'!$C:$C, "Albendazole",
'20102013 STH Efficacy'!$I:$I,"&lt;2011",
'20102013 STH Efficacy'!$AH:$AH,""),
"")</f>
        <v/>
      </c>
      <c r="BC207" s="135">
        <f t="shared" si="19"/>
        <v>0.7630416667</v>
      </c>
      <c r="BD207" s="134" t="str">
        <f>IFERROR(AVERAGEIFS(
'20102013 STH Efficacy'!$N:$N, 
'20102013 STH Efficacy'!$B:$B, $A207, 
'20102013 STH Efficacy'!$C:$C, "Mebendazole",
'20102013 STH Efficacy'!$I:$I,"&lt;2011",
'20102013 STH Efficacy'!$AH:$AH,""),
"")</f>
        <v/>
      </c>
      <c r="BE207" s="135">
        <f t="shared" si="20"/>
        <v>0.4405966667</v>
      </c>
      <c r="BF207" s="128" t="str">
        <f>IFERROR(AVERAGEIFS(
'20102013 STH Efficacy'!$CD:$CD, 
'20102013 STH Efficacy'!$BS:$BS, $A207, 
'20102013 STH Efficacy'!$BT:$BT, "Albendazole",
'20102013 STH Efficacy'!$BZ:$BZ,"&lt;2011",
'20102013 STH Efficacy'!$CU:$CU,""),
"")</f>
        <v/>
      </c>
      <c r="BG207" s="136">
        <f t="shared" si="21"/>
        <v>0.955</v>
      </c>
      <c r="BH207" s="128" t="str">
        <f>IFERROR(AVERAGEIFS(
'20102013 STH Efficacy'!$CD:$CD, 
'20102013 STH Efficacy'!$BS:$BS, $A207, 
'20102013 STH Efficacy'!$BT:$BT, "Mebendazole",
'20102013 STH Efficacy'!$BZ:$BZ,"&lt;2011",
'20102013 STH Efficacy'!$CU:$CU,""),
"")</f>
        <v/>
      </c>
      <c r="BI207" s="136">
        <f t="shared" si="22"/>
        <v>1</v>
      </c>
      <c r="BJ207" s="128" t="str">
        <f>IFERROR(AVERAGEIFS(
'20102013 STH Efficacy'!$CD:$CD, 
'20102013 STH Efficacy'!$BS:$BS, $A207, 
'20102013 STH Efficacy'!$BT:$BT, "Albendazole &amp; Ivermectin",
'20102013 STH Efficacy'!$BZ:$BZ,"&lt;2011",
'20102013 STH Efficacy'!$CU:$CU,""),
"")</f>
        <v/>
      </c>
      <c r="BK207" s="136">
        <f t="shared" si="23"/>
        <v>1</v>
      </c>
      <c r="BL207" s="137"/>
      <c r="BM207" s="137"/>
      <c r="BN207" s="138">
        <v>0.0</v>
      </c>
      <c r="BO207" s="139">
        <v>0.0</v>
      </c>
      <c r="BP207" s="140">
        <v>0.0</v>
      </c>
      <c r="BQ207" s="141">
        <f t="shared" si="24"/>
        <v>0</v>
      </c>
      <c r="BR207" s="104" t="str">
        <f t="shared" si="25"/>
        <v>0000</v>
      </c>
      <c r="BS207" s="104" t="str">
        <f t="shared" si="26"/>
        <v>no action required</v>
      </c>
      <c r="BT207" s="142" t="str">
        <f t="shared" si="27"/>
        <v/>
      </c>
      <c r="BU207" s="104" t="str">
        <f t="shared" si="28"/>
        <v/>
      </c>
      <c r="BV207" s="104" t="str">
        <f t="shared" si="29"/>
        <v>none</v>
      </c>
      <c r="BW207" s="150" t="str">
        <f t="shared" si="30"/>
        <v/>
      </c>
      <c r="BX207" s="150" t="str">
        <f t="shared" si="31"/>
        <v/>
      </c>
      <c r="BY207" s="151" t="str">
        <f t="shared" si="32"/>
        <v/>
      </c>
      <c r="BZ207" s="152" t="str">
        <f t="shared" si="33"/>
        <v/>
      </c>
      <c r="CA207" s="152" t="str">
        <f t="shared" si="34"/>
        <v/>
      </c>
      <c r="CB207" s="152" t="str">
        <f t="shared" si="35"/>
        <v/>
      </c>
      <c r="CC207" s="153" t="str">
        <f t="shared" si="36"/>
        <v/>
      </c>
      <c r="CD207" s="153" t="str">
        <f t="shared" si="37"/>
        <v/>
      </c>
      <c r="CE207" s="154" t="str">
        <f t="shared" si="38"/>
        <v/>
      </c>
      <c r="CF207" s="154" t="str">
        <f t="shared" si="39"/>
        <v/>
      </c>
      <c r="CG207" s="154" t="str">
        <f t="shared" si="40"/>
        <v/>
      </c>
    </row>
    <row r="208">
      <c r="A208" s="155" t="s">
        <v>297</v>
      </c>
      <c r="B208" s="104" t="s">
        <v>90</v>
      </c>
      <c r="C208" s="105">
        <v>6.2766365E7</v>
      </c>
      <c r="D208" s="106">
        <v>0.0</v>
      </c>
      <c r="E208" s="107">
        <v>0.0</v>
      </c>
      <c r="F208" s="163"/>
      <c r="G208" s="163"/>
      <c r="H208" s="108">
        <v>0.0</v>
      </c>
      <c r="I208" s="109">
        <v>0.0</v>
      </c>
      <c r="J208" s="109">
        <v>0.0</v>
      </c>
      <c r="K208" s="109">
        <v>0.0</v>
      </c>
      <c r="L208" s="113"/>
      <c r="M208" s="113"/>
      <c r="N208" s="112">
        <v>0.0</v>
      </c>
      <c r="O208" s="113"/>
      <c r="P208" s="114"/>
      <c r="Q208" s="114"/>
      <c r="R208" s="115" t="str">
        <f t="shared" si="8"/>
        <v/>
      </c>
      <c r="S208" s="116">
        <f t="shared" si="9"/>
        <v>0.4013436246</v>
      </c>
      <c r="T208" s="117"/>
      <c r="U208" s="118">
        <f t="shared" si="41"/>
        <v>0.3468166667</v>
      </c>
      <c r="V208" s="148"/>
      <c r="W208" s="120">
        <f t="shared" si="10"/>
        <v>1</v>
      </c>
      <c r="X208" s="148"/>
      <c r="Y208" s="120">
        <f t="shared" si="11"/>
        <v>0.71735</v>
      </c>
      <c r="Z208" s="114"/>
      <c r="AA208" s="114"/>
      <c r="AB208" s="114"/>
      <c r="AC208" s="114"/>
      <c r="AD208" s="164">
        <v>0.0</v>
      </c>
      <c r="AE208" s="165">
        <v>0.0</v>
      </c>
      <c r="AF208" s="166">
        <v>0.0</v>
      </c>
      <c r="AG208" s="167">
        <v>0.0</v>
      </c>
      <c r="AH208" s="172">
        <v>0.0</v>
      </c>
      <c r="AI208" s="168">
        <v>0.0</v>
      </c>
      <c r="AJ208" s="173">
        <v>0.0</v>
      </c>
      <c r="AK208" s="126">
        <v>0.0</v>
      </c>
      <c r="AL208" s="169">
        <v>0.0</v>
      </c>
      <c r="AM208" s="128"/>
      <c r="AN208" s="149" t="str">
        <f>IFERROR(
  AVERAGEIFS(
    'New 20102013 LF Efficacy'!$J:$J,
    'New 20102013 LF Efficacy'!$D:$D, $A208,
    'New 20102013 LF Efficacy'!$F:$F,"DEC", 
    'New 20102013 LF Efficacy'!$W:$W,"&lt;2011",
    'New 20102013 LF Efficacy'!$AA:$AA,""),
  ""
)</f>
        <v/>
      </c>
      <c r="AO208" s="115">
        <f t="shared" si="12"/>
        <v>0.3573520833</v>
      </c>
      <c r="AP208" s="121" t="str">
        <f>IFERROR(
AVERAGEIFS(
'New 20102013 LF Efficacy'!$J:$J,
'New 20102013 LF Efficacy'!$D:$D,$A208,
'New 20102013 LF Efficacy'!$F:$F,"Albendazole &amp; DEC",
'New 20102013 LF Efficacy'!$W:$W,"&lt;2011",
'New 20102013 LF Efficacy'!$AA:$AA,""),
"")
</f>
        <v/>
      </c>
      <c r="AQ208" s="115">
        <f t="shared" si="13"/>
        <v>0.5137291667</v>
      </c>
      <c r="AR208" s="121" t="str">
        <f>IFERROR(
AVERAGEIFS(
'New 20102013 LF Efficacy'!$J:$J,
'New 20102013 LF Efficacy'!$D:$D,$A208,
'New 20102013 LF Efficacy'!$F:$F,"Albendazole &amp; Ivermectin", 
'New 20102013 LF Efficacy'!$W:$W,"&lt;2011",
'New 20102013 LF Efficacy'!$AA:$AA,""),"")</f>
        <v/>
      </c>
      <c r="AS208" s="115">
        <f t="shared" si="14"/>
        <v>0.37153125</v>
      </c>
      <c r="AT208" s="130" t="str">
        <f>IFERROR(AVERAGEIFS(
'20102013 Schist Efficacy'!$O:$O, 
'20102013 Schist Efficacy'!$C:$C,$A208, 
'20102013 Schist Efficacy'!$D:$D, "Praziquantel",
'20102013 Schist Efficacy'!$J:$J,"&lt;2011",
'20102013 Schist Efficacy'!$U:$U,""),
"")</f>
        <v/>
      </c>
      <c r="AU208" s="118">
        <f t="shared" si="15"/>
        <v>0.655</v>
      </c>
      <c r="AV208" s="131" t="str">
        <f>IFERROR(AVERAGEIFS(
'20102013 STH Efficacy'!$AX:$AX, 
'20102013 STH Efficacy'!$AL:$AL, $A208, 
'20102013 STH Efficacy'!$AM:$AM, "Albendazole",
'20102013 STH Efficacy'!$AS:$AS,"&lt;2011",
'20102013 STH Efficacy'!$BP:$BP,""),
"")</f>
        <v/>
      </c>
      <c r="AW208" s="132">
        <f t="shared" si="16"/>
        <v>0.3842878788</v>
      </c>
      <c r="AX208" s="131" t="str">
        <f>IFERROR(AVERAGEIFS(
'20102013 STH Efficacy'!$AX:$AX, 
'20102013 STH Efficacy'!$AL:$AL, $A208, 
'20102013 STH Efficacy'!$AM:$AM, "Mebendazole",
'20102013 STH Efficacy'!$AS:$AS,"&lt;2011",
'20102013 STH Efficacy'!$BP:$BP,""),
"")</f>
        <v/>
      </c>
      <c r="AY208" s="132">
        <f t="shared" si="17"/>
        <v>0.5121666667</v>
      </c>
      <c r="AZ208" s="131" t="str">
        <f>IFERROR(AVERAGEIFS(
'20102013 STH Efficacy'!$AX:$AX, 
'20102013 STH Efficacy'!$AL:$AL, $A208, 
'20102013 STH Efficacy'!$AM:$AM, "Albendazole &amp; Ivermectin",
'20102013 STH Efficacy'!$AS:$AS,"&lt;2011",
'20102013 STH Efficacy'!$BP:$BP,""),
"")</f>
        <v/>
      </c>
      <c r="BA208" s="133">
        <f t="shared" si="18"/>
        <v>0.7176666667</v>
      </c>
      <c r="BB208" s="134" t="str">
        <f>IFERROR(AVERAGEIFS(
'20102013 STH Efficacy'!$N:$N, 
'20102013 STH Efficacy'!$B:$B, $A208, 
'20102013 STH Efficacy'!$C:$C, "Albendazole",
'20102013 STH Efficacy'!$I:$I,"&lt;2011",
'20102013 STH Efficacy'!$AH:$AH,""),
"")</f>
        <v/>
      </c>
      <c r="BC208" s="135">
        <f t="shared" si="19"/>
        <v>0.7630416667</v>
      </c>
      <c r="BD208" s="134" t="str">
        <f>IFERROR(AVERAGEIFS(
'20102013 STH Efficacy'!$N:$N, 
'20102013 STH Efficacy'!$B:$B, $A208, 
'20102013 STH Efficacy'!$C:$C, "Mebendazole",
'20102013 STH Efficacy'!$I:$I,"&lt;2011",
'20102013 STH Efficacy'!$AH:$AH,""),
"")</f>
        <v/>
      </c>
      <c r="BE208" s="135">
        <f t="shared" si="20"/>
        <v>0.4405966667</v>
      </c>
      <c r="BF208" s="128" t="str">
        <f>IFERROR(AVERAGEIFS(
'20102013 STH Efficacy'!$CD:$CD, 
'20102013 STH Efficacy'!$BS:$BS, $A208, 
'20102013 STH Efficacy'!$BT:$BT, "Albendazole",
'20102013 STH Efficacy'!$BZ:$BZ,"&lt;2011",
'20102013 STH Efficacy'!$CU:$CU,""),
"")</f>
        <v/>
      </c>
      <c r="BG208" s="136">
        <f t="shared" si="21"/>
        <v>0.9403222222</v>
      </c>
      <c r="BH208" s="128" t="str">
        <f>IFERROR(AVERAGEIFS(
'20102013 STH Efficacy'!$CD:$CD, 
'20102013 STH Efficacy'!$BS:$BS, $A208, 
'20102013 STH Efficacy'!$BT:$BT, "Mebendazole",
'20102013 STH Efficacy'!$BZ:$BZ,"&lt;2011",
'20102013 STH Efficacy'!$CU:$CU,""),
"")</f>
        <v/>
      </c>
      <c r="BI208" s="136">
        <f t="shared" si="22"/>
        <v>0.9229285714</v>
      </c>
      <c r="BJ208" s="128" t="str">
        <f>IFERROR(AVERAGEIFS(
'20102013 STH Efficacy'!$CD:$CD, 
'20102013 STH Efficacy'!$BS:$BS, $A208, 
'20102013 STH Efficacy'!$BT:$BT, "Albendazole &amp; Ivermectin",
'20102013 STH Efficacy'!$BZ:$BZ,"&lt;2011",
'20102013 STH Efficacy'!$CU:$CU,""),
"")</f>
        <v/>
      </c>
      <c r="BK208" s="136">
        <f t="shared" si="23"/>
        <v>1</v>
      </c>
      <c r="BL208" s="137"/>
      <c r="BM208" s="137"/>
      <c r="BN208" s="138">
        <v>0.0</v>
      </c>
      <c r="BO208" s="139">
        <v>0.0</v>
      </c>
      <c r="BP208" s="140">
        <v>0.0</v>
      </c>
      <c r="BQ208" s="141">
        <f t="shared" si="24"/>
        <v>0</v>
      </c>
      <c r="BR208" s="104" t="str">
        <f t="shared" si="25"/>
        <v>0000</v>
      </c>
      <c r="BS208" s="104" t="str">
        <f t="shared" si="26"/>
        <v>no action required</v>
      </c>
      <c r="BT208" s="142" t="str">
        <f t="shared" si="27"/>
        <v/>
      </c>
      <c r="BU208" s="104" t="str">
        <f t="shared" si="28"/>
        <v/>
      </c>
      <c r="BV208" s="104" t="str">
        <f t="shared" si="29"/>
        <v>none</v>
      </c>
      <c r="BW208" s="150" t="str">
        <f t="shared" si="30"/>
        <v/>
      </c>
      <c r="BX208" s="150" t="str">
        <f t="shared" si="31"/>
        <v/>
      </c>
      <c r="BY208" s="151" t="str">
        <f t="shared" si="32"/>
        <v/>
      </c>
      <c r="BZ208" s="152" t="str">
        <f t="shared" si="33"/>
        <v/>
      </c>
      <c r="CA208" s="152" t="str">
        <f t="shared" si="34"/>
        <v/>
      </c>
      <c r="CB208" s="152" t="str">
        <f t="shared" si="35"/>
        <v/>
      </c>
      <c r="CC208" s="153" t="str">
        <f t="shared" si="36"/>
        <v/>
      </c>
      <c r="CD208" s="153" t="str">
        <f t="shared" si="37"/>
        <v/>
      </c>
      <c r="CE208" s="154" t="str">
        <f t="shared" si="38"/>
        <v/>
      </c>
      <c r="CF208" s="154" t="str">
        <f t="shared" si="39"/>
        <v/>
      </c>
      <c r="CG208" s="154" t="str">
        <f t="shared" si="40"/>
        <v/>
      </c>
    </row>
    <row r="209">
      <c r="A209" s="155" t="s">
        <v>298</v>
      </c>
      <c r="B209" s="104" t="s">
        <v>98</v>
      </c>
      <c r="C209" s="105">
        <v>3.09348193E8</v>
      </c>
      <c r="D209" s="106">
        <v>0.0</v>
      </c>
      <c r="E209" s="107">
        <v>0.0</v>
      </c>
      <c r="F209" s="108">
        <v>0.0</v>
      </c>
      <c r="G209" s="108">
        <v>0.0</v>
      </c>
      <c r="H209" s="108">
        <v>0.0</v>
      </c>
      <c r="I209" s="109">
        <v>0.0</v>
      </c>
      <c r="J209" s="109">
        <v>0.0</v>
      </c>
      <c r="K209" s="109">
        <v>0.0</v>
      </c>
      <c r="L209" s="112">
        <v>0.0</v>
      </c>
      <c r="M209" s="112">
        <v>0.0</v>
      </c>
      <c r="N209" s="112">
        <v>0.0</v>
      </c>
      <c r="O209" s="113"/>
      <c r="P209" s="114"/>
      <c r="Q209" s="114"/>
      <c r="R209" s="115" t="str">
        <f t="shared" si="8"/>
        <v/>
      </c>
      <c r="S209" s="116">
        <f t="shared" si="9"/>
        <v>0.14553293</v>
      </c>
      <c r="T209" s="117"/>
      <c r="U209" s="118">
        <f t="shared" si="41"/>
        <v>0.39435</v>
      </c>
      <c r="V209" s="148"/>
      <c r="W209" s="120">
        <f t="shared" si="10"/>
        <v>0.3616</v>
      </c>
      <c r="X209" s="148"/>
      <c r="Y209" s="120">
        <f t="shared" si="11"/>
        <v>0.5015615385</v>
      </c>
      <c r="Z209" s="121"/>
      <c r="AA209" s="121"/>
      <c r="AB209" s="121"/>
      <c r="AC209" s="121"/>
      <c r="AD209" s="122">
        <v>0.0</v>
      </c>
      <c r="AE209" s="123">
        <v>0.0</v>
      </c>
      <c r="AF209" s="123">
        <v>0.0</v>
      </c>
      <c r="AG209" s="167">
        <v>0.0</v>
      </c>
      <c r="AH209" s="124">
        <v>0.0</v>
      </c>
      <c r="AI209" s="168">
        <v>0.0</v>
      </c>
      <c r="AJ209" s="125">
        <v>0.0</v>
      </c>
      <c r="AK209" s="127">
        <v>0.0</v>
      </c>
      <c r="AL209" s="169">
        <v>0.0</v>
      </c>
      <c r="AM209" s="128"/>
      <c r="AN209" s="149" t="str">
        <f>IFERROR(
  AVERAGEIFS(
    'New 20102013 LF Efficacy'!$J:$J,
    'New 20102013 LF Efficacy'!$D:$D, $A209,
    'New 20102013 LF Efficacy'!$F:$F,"DEC", 
    'New 20102013 LF Efficacy'!$W:$W,"&lt;2011",
    'New 20102013 LF Efficacy'!$AA:$AA,""),
  ""
)</f>
        <v/>
      </c>
      <c r="AO209" s="115">
        <f t="shared" si="12"/>
        <v>0.2589833333</v>
      </c>
      <c r="AP209" s="121" t="str">
        <f>IFERROR(
AVERAGEIFS(
'New 20102013 LF Efficacy'!$J:$J,
'New 20102013 LF Efficacy'!$D:$D,$A209,
'New 20102013 LF Efficacy'!$F:$F,"Albendazole &amp; DEC",
'New 20102013 LF Efficacy'!$W:$W,"&lt;2011",
'New 20102013 LF Efficacy'!$AA:$AA,""),
"")
</f>
        <v/>
      </c>
      <c r="AQ209" s="115">
        <f t="shared" si="13"/>
        <v>0.3465</v>
      </c>
      <c r="AR209" s="121" t="str">
        <f>IFERROR(
AVERAGEIFS(
'New 20102013 LF Efficacy'!$J:$J,
'New 20102013 LF Efficacy'!$D:$D,$A209,
'New 20102013 LF Efficacy'!$F:$F,"Albendazole &amp; Ivermectin", 
'New 20102013 LF Efficacy'!$W:$W,"&lt;2011",
'New 20102013 LF Efficacy'!$AA:$AA,""),"")</f>
        <v/>
      </c>
      <c r="AS209" s="115">
        <f t="shared" si="14"/>
        <v>0.7575</v>
      </c>
      <c r="AT209" s="130" t="str">
        <f>IFERROR(AVERAGEIFS(
'20102013 Schist Efficacy'!$O:$O, 
'20102013 Schist Efficacy'!$C:$C,$A209, 
'20102013 Schist Efficacy'!$D:$D, "Praziquantel",
'20102013 Schist Efficacy'!$J:$J,"&lt;2011",
'20102013 Schist Efficacy'!$U:$U,""),
"")</f>
        <v/>
      </c>
      <c r="AU209" s="118">
        <f t="shared" si="15"/>
        <v>0.7732631579</v>
      </c>
      <c r="AV209" s="131" t="str">
        <f>IFERROR(AVERAGEIFS(
'20102013 STH Efficacy'!$AX:$AX, 
'20102013 STH Efficacy'!$AL:$AL, $A209, 
'20102013 STH Efficacy'!$AM:$AM, "Albendazole",
'20102013 STH Efficacy'!$AS:$AS,"&lt;2011",
'20102013 STH Efficacy'!$BP:$BP,""),
"")</f>
        <v/>
      </c>
      <c r="AW209" s="132">
        <f t="shared" si="16"/>
        <v>0.3945</v>
      </c>
      <c r="AX209" s="131" t="str">
        <f>IFERROR(AVERAGEIFS(
'20102013 STH Efficacy'!$AX:$AX, 
'20102013 STH Efficacy'!$AL:$AL, $A209, 
'20102013 STH Efficacy'!$AM:$AM, "Mebendazole",
'20102013 STH Efficacy'!$AS:$AS,"&lt;2011",
'20102013 STH Efficacy'!$BP:$BP,""),
"")</f>
        <v/>
      </c>
      <c r="AY209" s="132">
        <f t="shared" si="17"/>
        <v>0.6</v>
      </c>
      <c r="AZ209" s="131" t="str">
        <f>IFERROR(AVERAGEIFS(
'20102013 STH Efficacy'!$AX:$AX, 
'20102013 STH Efficacy'!$AL:$AL, $A209, 
'20102013 STH Efficacy'!$AM:$AM, "Albendazole &amp; Ivermectin",
'20102013 STH Efficacy'!$AS:$AS,"&lt;2011",
'20102013 STH Efficacy'!$BP:$BP,""),
"")</f>
        <v/>
      </c>
      <c r="BA209" s="133">
        <f t="shared" si="18"/>
        <v>0.796</v>
      </c>
      <c r="BB209" s="134" t="str">
        <f>IFERROR(AVERAGEIFS(
'20102013 STH Efficacy'!$N:$N, 
'20102013 STH Efficacy'!$B:$B, $A209, 
'20102013 STH Efficacy'!$C:$C, "Albendazole",
'20102013 STH Efficacy'!$I:$I,"&lt;2011",
'20102013 STH Efficacy'!$AH:$AH,""),
"")</f>
        <v/>
      </c>
      <c r="BC209" s="135">
        <f t="shared" si="19"/>
        <v>0.869</v>
      </c>
      <c r="BD209" s="134" t="str">
        <f>IFERROR(AVERAGEIFS(
'20102013 STH Efficacy'!$N:$N, 
'20102013 STH Efficacy'!$B:$B, $A209, 
'20102013 STH Efficacy'!$C:$C, "Mebendazole",
'20102013 STH Efficacy'!$I:$I,"&lt;2011",
'20102013 STH Efficacy'!$AH:$AH,""),
"")</f>
        <v/>
      </c>
      <c r="BE209" s="135">
        <f t="shared" si="20"/>
        <v>0.172</v>
      </c>
      <c r="BF209" s="128" t="str">
        <f>IFERROR(AVERAGEIFS(
'20102013 STH Efficacy'!$CD:$CD, 
'20102013 STH Efficacy'!$BS:$BS, $A209, 
'20102013 STH Efficacy'!$BT:$BT, "Albendazole",
'20102013 STH Efficacy'!$BZ:$BZ,"&lt;2011",
'20102013 STH Efficacy'!$CU:$CU,""),
"")</f>
        <v/>
      </c>
      <c r="BG209" s="136">
        <f t="shared" si="21"/>
        <v>0.9862</v>
      </c>
      <c r="BH209" s="128" t="str">
        <f>IFERROR(AVERAGEIFS(
'20102013 STH Efficacy'!$CD:$CD, 
'20102013 STH Efficacy'!$BS:$BS, $A209, 
'20102013 STH Efficacy'!$BT:$BT, "Mebendazole",
'20102013 STH Efficacy'!$BZ:$BZ,"&lt;2011",
'20102013 STH Efficacy'!$CU:$CU,""),
"")</f>
        <v/>
      </c>
      <c r="BI209" s="136">
        <f t="shared" si="22"/>
        <v>0.769</v>
      </c>
      <c r="BJ209" s="128" t="str">
        <f>IFERROR(AVERAGEIFS(
'20102013 STH Efficacy'!$CD:$CD, 
'20102013 STH Efficacy'!$BS:$BS, $A209, 
'20102013 STH Efficacy'!$BT:$BT, "Albendazole &amp; Ivermectin",
'20102013 STH Efficacy'!$BZ:$BZ,"&lt;2011",
'20102013 STH Efficacy'!$CU:$CU,""),
"")</f>
        <v/>
      </c>
      <c r="BK209" s="136">
        <f t="shared" si="23"/>
        <v>1</v>
      </c>
      <c r="BL209" s="137"/>
      <c r="BM209" s="137"/>
      <c r="BN209" s="138">
        <v>0.0</v>
      </c>
      <c r="BO209" s="139">
        <v>0.0</v>
      </c>
      <c r="BP209" s="140">
        <v>0.0</v>
      </c>
      <c r="BQ209" s="141">
        <f t="shared" si="24"/>
        <v>0</v>
      </c>
      <c r="BR209" s="104" t="str">
        <f t="shared" si="25"/>
        <v>0000</v>
      </c>
      <c r="BS209" s="104" t="str">
        <f t="shared" si="26"/>
        <v>no action required</v>
      </c>
      <c r="BT209" s="142" t="str">
        <f t="shared" si="27"/>
        <v/>
      </c>
      <c r="BU209" s="104" t="str">
        <f t="shared" si="28"/>
        <v/>
      </c>
      <c r="BV209" s="104" t="str">
        <f t="shared" si="29"/>
        <v>none</v>
      </c>
      <c r="BW209" s="150" t="str">
        <f t="shared" si="30"/>
        <v/>
      </c>
      <c r="BX209" s="150" t="str">
        <f t="shared" si="31"/>
        <v/>
      </c>
      <c r="BY209" s="151" t="str">
        <f t="shared" si="32"/>
        <v/>
      </c>
      <c r="BZ209" s="152" t="str">
        <f t="shared" si="33"/>
        <v/>
      </c>
      <c r="CA209" s="152" t="str">
        <f t="shared" si="34"/>
        <v/>
      </c>
      <c r="CB209" s="152" t="str">
        <f t="shared" si="35"/>
        <v/>
      </c>
      <c r="CC209" s="153" t="str">
        <f t="shared" si="36"/>
        <v/>
      </c>
      <c r="CD209" s="153" t="str">
        <f t="shared" si="37"/>
        <v/>
      </c>
      <c r="CE209" s="154" t="str">
        <f t="shared" si="38"/>
        <v/>
      </c>
      <c r="CF209" s="154" t="str">
        <f t="shared" si="39"/>
        <v/>
      </c>
      <c r="CG209" s="154" t="str">
        <f t="shared" si="40"/>
        <v/>
      </c>
    </row>
    <row r="210">
      <c r="A210" s="155" t="s">
        <v>299</v>
      </c>
      <c r="B210" s="104" t="s">
        <v>98</v>
      </c>
      <c r="C210" s="105">
        <v>3374415.0</v>
      </c>
      <c r="D210" s="106">
        <v>0.0</v>
      </c>
      <c r="E210" s="107">
        <v>0.0</v>
      </c>
      <c r="F210" s="108">
        <v>0.0</v>
      </c>
      <c r="G210" s="157">
        <v>0.0</v>
      </c>
      <c r="H210" s="157">
        <v>0.0</v>
      </c>
      <c r="I210" s="110">
        <v>0.0</v>
      </c>
      <c r="J210" s="110">
        <v>0.0</v>
      </c>
      <c r="K210" s="109">
        <v>0.0</v>
      </c>
      <c r="L210" s="112">
        <v>0.512947821</v>
      </c>
      <c r="M210" s="112">
        <v>0.24959478</v>
      </c>
      <c r="N210" s="112">
        <v>0.762542601</v>
      </c>
      <c r="O210" s="113"/>
      <c r="P210" s="114"/>
      <c r="Q210" s="114"/>
      <c r="R210" s="115" t="str">
        <f t="shared" si="8"/>
        <v/>
      </c>
      <c r="S210" s="116">
        <f t="shared" si="9"/>
        <v>0.14553293</v>
      </c>
      <c r="T210" s="117"/>
      <c r="U210" s="118">
        <f t="shared" si="41"/>
        <v>0.39435</v>
      </c>
      <c r="V210" s="148"/>
      <c r="W210" s="120">
        <f t="shared" si="10"/>
        <v>0.3616</v>
      </c>
      <c r="X210" s="148"/>
      <c r="Y210" s="120">
        <f t="shared" si="11"/>
        <v>0.5015615385</v>
      </c>
      <c r="Z210" s="121"/>
      <c r="AA210" s="121"/>
      <c r="AB210" s="121"/>
      <c r="AC210" s="121"/>
      <c r="AD210" s="122">
        <v>0.0</v>
      </c>
      <c r="AE210" s="123">
        <v>0.0</v>
      </c>
      <c r="AF210" s="123">
        <v>0.0</v>
      </c>
      <c r="AG210" s="167">
        <v>0.0</v>
      </c>
      <c r="AH210" s="124">
        <v>0.0</v>
      </c>
      <c r="AI210" s="168">
        <v>0.0</v>
      </c>
      <c r="AJ210" s="125">
        <v>0.0</v>
      </c>
      <c r="AK210" s="127">
        <v>0.0</v>
      </c>
      <c r="AL210" s="169">
        <v>0.0</v>
      </c>
      <c r="AM210" s="128"/>
      <c r="AN210" s="149" t="str">
        <f>IFERROR(
  AVERAGEIFS(
    'New 20102013 LF Efficacy'!$J:$J,
    'New 20102013 LF Efficacy'!$D:$D, $A210,
    'New 20102013 LF Efficacy'!$F:$F,"DEC", 
    'New 20102013 LF Efficacy'!$W:$W,"&lt;2011",
    'New 20102013 LF Efficacy'!$AA:$AA,""),
  ""
)</f>
        <v/>
      </c>
      <c r="AO210" s="115">
        <f t="shared" si="12"/>
        <v>0.2589833333</v>
      </c>
      <c r="AP210" s="121" t="str">
        <f>IFERROR(
AVERAGEIFS(
'New 20102013 LF Efficacy'!$J:$J,
'New 20102013 LF Efficacy'!$D:$D,$A210,
'New 20102013 LF Efficacy'!$F:$F,"Albendazole &amp; DEC",
'New 20102013 LF Efficacy'!$W:$W,"&lt;2011",
'New 20102013 LF Efficacy'!$AA:$AA,""),
"")
</f>
        <v/>
      </c>
      <c r="AQ210" s="115">
        <f t="shared" si="13"/>
        <v>0.3465</v>
      </c>
      <c r="AR210" s="121" t="str">
        <f>IFERROR(
AVERAGEIFS(
'New 20102013 LF Efficacy'!$J:$J,
'New 20102013 LF Efficacy'!$D:$D,$A210,
'New 20102013 LF Efficacy'!$F:$F,"Albendazole &amp; Ivermectin", 
'New 20102013 LF Efficacy'!$W:$W,"&lt;2011",
'New 20102013 LF Efficacy'!$AA:$AA,""),"")</f>
        <v/>
      </c>
      <c r="AS210" s="115">
        <f t="shared" si="14"/>
        <v>0.7575</v>
      </c>
      <c r="AT210" s="130" t="str">
        <f>IFERROR(AVERAGEIFS(
'20102013 Schist Efficacy'!$O:$O, 
'20102013 Schist Efficacy'!$C:$C,$A210, 
'20102013 Schist Efficacy'!$D:$D, "Praziquantel",
'20102013 Schist Efficacy'!$J:$J,"&lt;2011",
'20102013 Schist Efficacy'!$U:$U,""),
"")</f>
        <v/>
      </c>
      <c r="AU210" s="118">
        <f t="shared" si="15"/>
        <v>0.7732631579</v>
      </c>
      <c r="AV210" s="131" t="str">
        <f>IFERROR(AVERAGEIFS(
'20102013 STH Efficacy'!$AX:$AX, 
'20102013 STH Efficacy'!$AL:$AL, $A210, 
'20102013 STH Efficacy'!$AM:$AM, "Albendazole",
'20102013 STH Efficacy'!$AS:$AS,"&lt;2011",
'20102013 STH Efficacy'!$BP:$BP,""),
"")</f>
        <v/>
      </c>
      <c r="AW210" s="132">
        <f t="shared" si="16"/>
        <v>0.3945</v>
      </c>
      <c r="AX210" s="131" t="str">
        <f>IFERROR(AVERAGEIFS(
'20102013 STH Efficacy'!$AX:$AX, 
'20102013 STH Efficacy'!$AL:$AL, $A210, 
'20102013 STH Efficacy'!$AM:$AM, "Mebendazole",
'20102013 STH Efficacy'!$AS:$AS,"&lt;2011",
'20102013 STH Efficacy'!$BP:$BP,""),
"")</f>
        <v/>
      </c>
      <c r="AY210" s="132">
        <f t="shared" si="17"/>
        <v>0.6</v>
      </c>
      <c r="AZ210" s="131" t="str">
        <f>IFERROR(AVERAGEIFS(
'20102013 STH Efficacy'!$AX:$AX, 
'20102013 STH Efficacy'!$AL:$AL, $A210, 
'20102013 STH Efficacy'!$AM:$AM, "Albendazole &amp; Ivermectin",
'20102013 STH Efficacy'!$AS:$AS,"&lt;2011",
'20102013 STH Efficacy'!$BP:$BP,""),
"")</f>
        <v/>
      </c>
      <c r="BA210" s="133">
        <f t="shared" si="18"/>
        <v>0.796</v>
      </c>
      <c r="BB210" s="134" t="str">
        <f>IFERROR(AVERAGEIFS(
'20102013 STH Efficacy'!$N:$N, 
'20102013 STH Efficacy'!$B:$B, $A210, 
'20102013 STH Efficacy'!$C:$C, "Albendazole",
'20102013 STH Efficacy'!$I:$I,"&lt;2011",
'20102013 STH Efficacy'!$AH:$AH,""),
"")</f>
        <v/>
      </c>
      <c r="BC210" s="135">
        <f t="shared" si="19"/>
        <v>0.869</v>
      </c>
      <c r="BD210" s="134" t="str">
        <f>IFERROR(AVERAGEIFS(
'20102013 STH Efficacy'!$N:$N, 
'20102013 STH Efficacy'!$B:$B, $A210, 
'20102013 STH Efficacy'!$C:$C, "Mebendazole",
'20102013 STH Efficacy'!$I:$I,"&lt;2011",
'20102013 STH Efficacy'!$AH:$AH,""),
"")</f>
        <v/>
      </c>
      <c r="BE210" s="135">
        <f t="shared" si="20"/>
        <v>0.172</v>
      </c>
      <c r="BF210" s="128" t="str">
        <f>IFERROR(AVERAGEIFS(
'20102013 STH Efficacy'!$CD:$CD, 
'20102013 STH Efficacy'!$BS:$BS, $A210, 
'20102013 STH Efficacy'!$BT:$BT, "Albendazole",
'20102013 STH Efficacy'!$BZ:$BZ,"&lt;2011",
'20102013 STH Efficacy'!$CU:$CU,""),
"")</f>
        <v/>
      </c>
      <c r="BG210" s="136">
        <f t="shared" si="21"/>
        <v>0.9862</v>
      </c>
      <c r="BH210" s="128" t="str">
        <f>IFERROR(AVERAGEIFS(
'20102013 STH Efficacy'!$CD:$CD, 
'20102013 STH Efficacy'!$BS:$BS, $A210, 
'20102013 STH Efficacy'!$BT:$BT, "Mebendazole",
'20102013 STH Efficacy'!$BZ:$BZ,"&lt;2011",
'20102013 STH Efficacy'!$CU:$CU,""),
"")</f>
        <v/>
      </c>
      <c r="BI210" s="136">
        <f t="shared" si="22"/>
        <v>0.769</v>
      </c>
      <c r="BJ210" s="128" t="str">
        <f>IFERROR(AVERAGEIFS(
'20102013 STH Efficacy'!$CD:$CD, 
'20102013 STH Efficacy'!$BS:$BS, $A210, 
'20102013 STH Efficacy'!$BT:$BT, "Albendazole &amp; Ivermectin",
'20102013 STH Efficacy'!$BZ:$BZ,"&lt;2011",
'20102013 STH Efficacy'!$CU:$CU,""),
"")</f>
        <v/>
      </c>
      <c r="BK210" s="136">
        <f t="shared" si="23"/>
        <v>1</v>
      </c>
      <c r="BL210" s="137"/>
      <c r="BM210" s="137"/>
      <c r="BN210" s="138">
        <v>0.0</v>
      </c>
      <c r="BO210" s="139">
        <v>0.0</v>
      </c>
      <c r="BP210" s="140">
        <v>0.0</v>
      </c>
      <c r="BQ210" s="141">
        <f t="shared" si="24"/>
        <v>0</v>
      </c>
      <c r="BR210" s="104" t="str">
        <f t="shared" si="25"/>
        <v>0000</v>
      </c>
      <c r="BS210" s="104" t="str">
        <f t="shared" si="26"/>
        <v>no action required</v>
      </c>
      <c r="BT210" s="142" t="str">
        <f t="shared" si="27"/>
        <v/>
      </c>
      <c r="BU210" s="104" t="str">
        <f t="shared" si="28"/>
        <v/>
      </c>
      <c r="BV210" s="104" t="str">
        <f t="shared" si="29"/>
        <v>none</v>
      </c>
      <c r="BW210" s="150" t="str">
        <f t="shared" si="30"/>
        <v/>
      </c>
      <c r="BX210" s="150" t="str">
        <f t="shared" si="31"/>
        <v/>
      </c>
      <c r="BY210" s="151" t="str">
        <f t="shared" si="32"/>
        <v/>
      </c>
      <c r="BZ210" s="152" t="str">
        <f t="shared" si="33"/>
        <v/>
      </c>
      <c r="CA210" s="152" t="str">
        <f t="shared" si="34"/>
        <v/>
      </c>
      <c r="CB210" s="152" t="str">
        <f t="shared" si="35"/>
        <v/>
      </c>
      <c r="CC210" s="153" t="str">
        <f t="shared" si="36"/>
        <v/>
      </c>
      <c r="CD210" s="153" t="str">
        <f t="shared" si="37"/>
        <v/>
      </c>
      <c r="CE210" s="154" t="str">
        <f t="shared" si="38"/>
        <v/>
      </c>
      <c r="CF210" s="154" t="str">
        <f t="shared" si="39"/>
        <v/>
      </c>
      <c r="CG210" s="154" t="str">
        <f t="shared" si="40"/>
        <v/>
      </c>
    </row>
    <row r="211">
      <c r="A211" s="155" t="s">
        <v>300</v>
      </c>
      <c r="B211" s="104" t="s">
        <v>98</v>
      </c>
      <c r="C211" s="105">
        <v>106267.0</v>
      </c>
      <c r="D211" s="106">
        <v>0.0</v>
      </c>
      <c r="E211" s="107">
        <v>0.0</v>
      </c>
      <c r="F211" s="177"/>
      <c r="G211" s="177"/>
      <c r="H211" s="157">
        <v>0.0</v>
      </c>
      <c r="I211" s="110">
        <v>0.0</v>
      </c>
      <c r="J211" s="110">
        <v>0.0</v>
      </c>
      <c r="K211" s="110">
        <v>0.0</v>
      </c>
      <c r="L211" s="178"/>
      <c r="M211" s="178"/>
      <c r="N211" s="112">
        <v>0.0</v>
      </c>
      <c r="O211" s="113"/>
      <c r="P211" s="114"/>
      <c r="Q211" s="114"/>
      <c r="R211" s="115" t="str">
        <f t="shared" si="8"/>
        <v/>
      </c>
      <c r="S211" s="116">
        <f t="shared" si="9"/>
        <v>0.14553293</v>
      </c>
      <c r="T211" s="117"/>
      <c r="U211" s="118">
        <f t="shared" si="41"/>
        <v>0.39435</v>
      </c>
      <c r="V211" s="148"/>
      <c r="W211" s="120">
        <f t="shared" si="10"/>
        <v>0.3616</v>
      </c>
      <c r="X211" s="148"/>
      <c r="Y211" s="120">
        <f t="shared" si="11"/>
        <v>0.5015615385</v>
      </c>
      <c r="Z211" s="114"/>
      <c r="AA211" s="114"/>
      <c r="AB211" s="114"/>
      <c r="AC211" s="114"/>
      <c r="AD211" s="164">
        <v>0.0</v>
      </c>
      <c r="AE211" s="165">
        <v>0.0</v>
      </c>
      <c r="AF211" s="166">
        <v>0.0</v>
      </c>
      <c r="AG211" s="167">
        <v>0.0</v>
      </c>
      <c r="AH211" s="172">
        <v>0.0</v>
      </c>
      <c r="AI211" s="168">
        <v>0.0</v>
      </c>
      <c r="AJ211" s="173">
        <v>0.0</v>
      </c>
      <c r="AK211" s="126">
        <v>0.0</v>
      </c>
      <c r="AL211" s="169">
        <v>0.0</v>
      </c>
      <c r="AM211" s="128"/>
      <c r="AN211" s="149" t="str">
        <f>IFERROR(
  AVERAGEIFS(
    'New 20102013 LF Efficacy'!$J:$J,
    'New 20102013 LF Efficacy'!$D:$D, $A211,
    'New 20102013 LF Efficacy'!$F:$F,"DEC", 
    'New 20102013 LF Efficacy'!$W:$W,"&lt;2011",
    'New 20102013 LF Efficacy'!$AA:$AA,""),
  ""
)</f>
        <v/>
      </c>
      <c r="AO211" s="115">
        <f t="shared" si="12"/>
        <v>0.2589833333</v>
      </c>
      <c r="AP211" s="121" t="str">
        <f>IFERROR(
AVERAGEIFS(
'New 20102013 LF Efficacy'!$J:$J,
'New 20102013 LF Efficacy'!$D:$D,$A211,
'New 20102013 LF Efficacy'!$F:$F,"Albendazole &amp; DEC",
'New 20102013 LF Efficacy'!$W:$W,"&lt;2011",
'New 20102013 LF Efficacy'!$AA:$AA,""),
"")
</f>
        <v/>
      </c>
      <c r="AQ211" s="115">
        <f t="shared" si="13"/>
        <v>0.3465</v>
      </c>
      <c r="AR211" s="121" t="str">
        <f>IFERROR(
AVERAGEIFS(
'New 20102013 LF Efficacy'!$J:$J,
'New 20102013 LF Efficacy'!$D:$D,$A211,
'New 20102013 LF Efficacy'!$F:$F,"Albendazole &amp; Ivermectin", 
'New 20102013 LF Efficacy'!$W:$W,"&lt;2011",
'New 20102013 LF Efficacy'!$AA:$AA,""),"")</f>
        <v/>
      </c>
      <c r="AS211" s="115">
        <f t="shared" si="14"/>
        <v>0.7575</v>
      </c>
      <c r="AT211" s="130" t="str">
        <f>IFERROR(AVERAGEIFS(
'20102013 Schist Efficacy'!$O:$O, 
'20102013 Schist Efficacy'!$C:$C,$A211, 
'20102013 Schist Efficacy'!$D:$D, "Praziquantel",
'20102013 Schist Efficacy'!$J:$J,"&lt;2011",
'20102013 Schist Efficacy'!$U:$U,""),
"")</f>
        <v/>
      </c>
      <c r="AU211" s="118">
        <f t="shared" si="15"/>
        <v>0.7732631579</v>
      </c>
      <c r="AV211" s="131" t="str">
        <f>IFERROR(AVERAGEIFS(
'20102013 STH Efficacy'!$AX:$AX, 
'20102013 STH Efficacy'!$AL:$AL, $A211, 
'20102013 STH Efficacy'!$AM:$AM, "Albendazole",
'20102013 STH Efficacy'!$AS:$AS,"&lt;2011",
'20102013 STH Efficacy'!$BP:$BP,""),
"")</f>
        <v/>
      </c>
      <c r="AW211" s="132">
        <f t="shared" si="16"/>
        <v>0.3945</v>
      </c>
      <c r="AX211" s="131" t="str">
        <f>IFERROR(AVERAGEIFS(
'20102013 STH Efficacy'!$AX:$AX, 
'20102013 STH Efficacy'!$AL:$AL, $A211, 
'20102013 STH Efficacy'!$AM:$AM, "Mebendazole",
'20102013 STH Efficacy'!$AS:$AS,"&lt;2011",
'20102013 STH Efficacy'!$BP:$BP,""),
"")</f>
        <v/>
      </c>
      <c r="AY211" s="132">
        <f t="shared" si="17"/>
        <v>0.6</v>
      </c>
      <c r="AZ211" s="131" t="str">
        <f>IFERROR(AVERAGEIFS(
'20102013 STH Efficacy'!$AX:$AX, 
'20102013 STH Efficacy'!$AL:$AL, $A211, 
'20102013 STH Efficacy'!$AM:$AM, "Albendazole &amp; Ivermectin",
'20102013 STH Efficacy'!$AS:$AS,"&lt;2011",
'20102013 STH Efficacy'!$BP:$BP,""),
"")</f>
        <v/>
      </c>
      <c r="BA211" s="133">
        <f t="shared" si="18"/>
        <v>0.796</v>
      </c>
      <c r="BB211" s="134" t="str">
        <f>IFERROR(AVERAGEIFS(
'20102013 STH Efficacy'!$N:$N, 
'20102013 STH Efficacy'!$B:$B, $A211, 
'20102013 STH Efficacy'!$C:$C, "Albendazole",
'20102013 STH Efficacy'!$I:$I,"&lt;2011",
'20102013 STH Efficacy'!$AH:$AH,""),
"")</f>
        <v/>
      </c>
      <c r="BC211" s="135">
        <f t="shared" si="19"/>
        <v>0.869</v>
      </c>
      <c r="BD211" s="134" t="str">
        <f>IFERROR(AVERAGEIFS(
'20102013 STH Efficacy'!$N:$N, 
'20102013 STH Efficacy'!$B:$B, $A211, 
'20102013 STH Efficacy'!$C:$C, "Mebendazole",
'20102013 STH Efficacy'!$I:$I,"&lt;2011",
'20102013 STH Efficacy'!$AH:$AH,""),
"")</f>
        <v/>
      </c>
      <c r="BE211" s="135">
        <f t="shared" si="20"/>
        <v>0.172</v>
      </c>
      <c r="BF211" s="128" t="str">
        <f>IFERROR(AVERAGEIFS(
'20102013 STH Efficacy'!$CD:$CD, 
'20102013 STH Efficacy'!$BS:$BS, $A211, 
'20102013 STH Efficacy'!$BT:$BT, "Albendazole",
'20102013 STH Efficacy'!$BZ:$BZ,"&lt;2011",
'20102013 STH Efficacy'!$CU:$CU,""),
"")</f>
        <v/>
      </c>
      <c r="BG211" s="136">
        <f t="shared" si="21"/>
        <v>0.9862</v>
      </c>
      <c r="BH211" s="128" t="str">
        <f>IFERROR(AVERAGEIFS(
'20102013 STH Efficacy'!$CD:$CD, 
'20102013 STH Efficacy'!$BS:$BS, $A211, 
'20102013 STH Efficacy'!$BT:$BT, "Mebendazole",
'20102013 STH Efficacy'!$BZ:$BZ,"&lt;2011",
'20102013 STH Efficacy'!$CU:$CU,""),
"")</f>
        <v/>
      </c>
      <c r="BI211" s="136">
        <f t="shared" si="22"/>
        <v>0.769</v>
      </c>
      <c r="BJ211" s="128" t="str">
        <f>IFERROR(AVERAGEIFS(
'20102013 STH Efficacy'!$CD:$CD, 
'20102013 STH Efficacy'!$BS:$BS, $A211, 
'20102013 STH Efficacy'!$BT:$BT, "Albendazole &amp; Ivermectin",
'20102013 STH Efficacy'!$BZ:$BZ,"&lt;2011",
'20102013 STH Efficacy'!$CU:$CU,""),
"")</f>
        <v/>
      </c>
      <c r="BK211" s="136">
        <f t="shared" si="23"/>
        <v>1</v>
      </c>
      <c r="BL211" s="137"/>
      <c r="BM211" s="137"/>
      <c r="BN211" s="138">
        <v>0.0</v>
      </c>
      <c r="BO211" s="139">
        <v>0.0</v>
      </c>
      <c r="BP211" s="140">
        <v>0.0</v>
      </c>
      <c r="BQ211" s="141">
        <f t="shared" si="24"/>
        <v>0</v>
      </c>
      <c r="BR211" s="104" t="str">
        <f t="shared" si="25"/>
        <v>0000</v>
      </c>
      <c r="BS211" s="104" t="str">
        <f t="shared" si="26"/>
        <v>no action required</v>
      </c>
      <c r="BT211" s="142" t="str">
        <f t="shared" si="27"/>
        <v/>
      </c>
      <c r="BU211" s="104" t="str">
        <f t="shared" si="28"/>
        <v/>
      </c>
      <c r="BV211" s="104" t="str">
        <f t="shared" si="29"/>
        <v>none</v>
      </c>
      <c r="BW211" s="150" t="str">
        <f t="shared" si="30"/>
        <v/>
      </c>
      <c r="BX211" s="150" t="str">
        <f t="shared" si="31"/>
        <v/>
      </c>
      <c r="BY211" s="151" t="str">
        <f t="shared" si="32"/>
        <v/>
      </c>
      <c r="BZ211" s="152" t="str">
        <f t="shared" si="33"/>
        <v/>
      </c>
      <c r="CA211" s="152" t="str">
        <f t="shared" si="34"/>
        <v/>
      </c>
      <c r="CB211" s="152" t="str">
        <f t="shared" si="35"/>
        <v/>
      </c>
      <c r="CC211" s="153" t="str">
        <f t="shared" si="36"/>
        <v/>
      </c>
      <c r="CD211" s="153" t="str">
        <f t="shared" si="37"/>
        <v/>
      </c>
      <c r="CE211" s="154" t="str">
        <f t="shared" si="38"/>
        <v/>
      </c>
      <c r="CF211" s="154" t="str">
        <f t="shared" si="39"/>
        <v/>
      </c>
      <c r="CG211" s="154" t="str">
        <f t="shared" si="40"/>
        <v/>
      </c>
    </row>
    <row r="212">
      <c r="A212" s="155" t="s">
        <v>301</v>
      </c>
      <c r="B212" s="104" t="s">
        <v>90</v>
      </c>
      <c r="C212" s="105">
        <v>2.85624E7</v>
      </c>
      <c r="D212" s="106">
        <v>0.0</v>
      </c>
      <c r="E212" s="107">
        <v>0.0</v>
      </c>
      <c r="F212" s="108">
        <v>0.0</v>
      </c>
      <c r="G212" s="108">
        <v>0.0</v>
      </c>
      <c r="H212" s="108">
        <v>0.0</v>
      </c>
      <c r="I212" s="109">
        <v>0.17534156</v>
      </c>
      <c r="J212" s="109">
        <v>0.18552885</v>
      </c>
      <c r="K212" s="109">
        <v>0.360870408</v>
      </c>
      <c r="L212" s="112">
        <v>7.003883756</v>
      </c>
      <c r="M212" s="112">
        <v>1.782864657</v>
      </c>
      <c r="N212" s="112">
        <v>8.786748413</v>
      </c>
      <c r="O212" s="113"/>
      <c r="P212" s="114"/>
      <c r="Q212" s="114"/>
      <c r="R212" s="115" t="str">
        <f t="shared" si="8"/>
        <v/>
      </c>
      <c r="S212" s="116">
        <f t="shared" si="9"/>
        <v>0.4013436246</v>
      </c>
      <c r="T212" s="117"/>
      <c r="U212" s="118">
        <f t="shared" si="41"/>
        <v>0.3468166667</v>
      </c>
      <c r="V212" s="148"/>
      <c r="W212" s="120">
        <f t="shared" si="10"/>
        <v>1</v>
      </c>
      <c r="X212" s="148"/>
      <c r="Y212" s="120">
        <f t="shared" si="11"/>
        <v>0.71735</v>
      </c>
      <c r="Z212" s="121"/>
      <c r="AA212" s="121"/>
      <c r="AB212" s="121"/>
      <c r="AC212" s="121"/>
      <c r="AD212" s="122">
        <v>0.0</v>
      </c>
      <c r="AE212" s="123">
        <v>0.0</v>
      </c>
      <c r="AF212" s="123">
        <v>0.0</v>
      </c>
      <c r="AG212" s="167">
        <v>0.0</v>
      </c>
      <c r="AH212" s="124">
        <v>1.23954E-5</v>
      </c>
      <c r="AI212" s="168">
        <v>0.0</v>
      </c>
      <c r="AJ212" s="125">
        <v>1.16E-5</v>
      </c>
      <c r="AK212" s="127">
        <v>0.0</v>
      </c>
      <c r="AL212" s="169">
        <v>1.21899E-5</v>
      </c>
      <c r="AM212" s="128"/>
      <c r="AN212" s="149" t="str">
        <f>IFERROR(
  AVERAGEIFS(
    'New 20102013 LF Efficacy'!$J:$J,
    'New 20102013 LF Efficacy'!$D:$D, $A212,
    'New 20102013 LF Efficacy'!$F:$F,"DEC", 
    'New 20102013 LF Efficacy'!$W:$W,"&lt;2011",
    'New 20102013 LF Efficacy'!$AA:$AA,""),
  ""
)</f>
        <v/>
      </c>
      <c r="AO212" s="115">
        <f t="shared" si="12"/>
        <v>0.3573520833</v>
      </c>
      <c r="AP212" s="121" t="str">
        <f>IFERROR(
AVERAGEIFS(
'New 20102013 LF Efficacy'!$J:$J,
'New 20102013 LF Efficacy'!$D:$D,$A212,
'New 20102013 LF Efficacy'!$F:$F,"Albendazole &amp; DEC",
'New 20102013 LF Efficacy'!$W:$W,"&lt;2011",
'New 20102013 LF Efficacy'!$AA:$AA,""),
"")
</f>
        <v/>
      </c>
      <c r="AQ212" s="115">
        <f t="shared" si="13"/>
        <v>0.5137291667</v>
      </c>
      <c r="AR212" s="121" t="str">
        <f>IFERROR(
AVERAGEIFS(
'New 20102013 LF Efficacy'!$J:$J,
'New 20102013 LF Efficacy'!$D:$D,$A212,
'New 20102013 LF Efficacy'!$F:$F,"Albendazole &amp; Ivermectin", 
'New 20102013 LF Efficacy'!$W:$W,"&lt;2011",
'New 20102013 LF Efficacy'!$AA:$AA,""),"")</f>
        <v/>
      </c>
      <c r="AS212" s="115">
        <f t="shared" si="14"/>
        <v>0.37153125</v>
      </c>
      <c r="AT212" s="130" t="str">
        <f>IFERROR(AVERAGEIFS(
'20102013 Schist Efficacy'!$O:$O, 
'20102013 Schist Efficacy'!$C:$C,$A212, 
'20102013 Schist Efficacy'!$D:$D, "Praziquantel",
'20102013 Schist Efficacy'!$J:$J,"&lt;2011",
'20102013 Schist Efficacy'!$U:$U,""),
"")</f>
        <v/>
      </c>
      <c r="AU212" s="118">
        <f t="shared" si="15"/>
        <v>0.655</v>
      </c>
      <c r="AV212" s="131" t="str">
        <f>IFERROR(AVERAGEIFS(
'20102013 STH Efficacy'!$AX:$AX, 
'20102013 STH Efficacy'!$AL:$AL, $A212, 
'20102013 STH Efficacy'!$AM:$AM, "Albendazole",
'20102013 STH Efficacy'!$AS:$AS,"&lt;2011",
'20102013 STH Efficacy'!$BP:$BP,""),
"")</f>
        <v/>
      </c>
      <c r="AW212" s="132">
        <f t="shared" si="16"/>
        <v>0.3842878788</v>
      </c>
      <c r="AX212" s="131" t="str">
        <f>IFERROR(AVERAGEIFS(
'20102013 STH Efficacy'!$AX:$AX, 
'20102013 STH Efficacy'!$AL:$AL, $A212, 
'20102013 STH Efficacy'!$AM:$AM, "Mebendazole",
'20102013 STH Efficacy'!$AS:$AS,"&lt;2011",
'20102013 STH Efficacy'!$BP:$BP,""),
"")</f>
        <v/>
      </c>
      <c r="AY212" s="132">
        <f t="shared" si="17"/>
        <v>0.5121666667</v>
      </c>
      <c r="AZ212" s="131" t="str">
        <f>IFERROR(AVERAGEIFS(
'20102013 STH Efficacy'!$AX:$AX, 
'20102013 STH Efficacy'!$AL:$AL, $A212, 
'20102013 STH Efficacy'!$AM:$AM, "Albendazole &amp; Ivermectin",
'20102013 STH Efficacy'!$AS:$AS,"&lt;2011",
'20102013 STH Efficacy'!$BP:$BP,""),
"")</f>
        <v/>
      </c>
      <c r="BA212" s="133">
        <f t="shared" si="18"/>
        <v>0.7176666667</v>
      </c>
      <c r="BB212" s="134" t="str">
        <f>IFERROR(AVERAGEIFS(
'20102013 STH Efficacy'!$N:$N, 
'20102013 STH Efficacy'!$B:$B, $A212, 
'20102013 STH Efficacy'!$C:$C, "Albendazole",
'20102013 STH Efficacy'!$I:$I,"&lt;2011",
'20102013 STH Efficacy'!$AH:$AH,""),
"")</f>
        <v/>
      </c>
      <c r="BC212" s="135">
        <f t="shared" si="19"/>
        <v>0.7630416667</v>
      </c>
      <c r="BD212" s="134" t="str">
        <f>IFERROR(AVERAGEIFS(
'20102013 STH Efficacy'!$N:$N, 
'20102013 STH Efficacy'!$B:$B, $A212, 
'20102013 STH Efficacy'!$C:$C, "Mebendazole",
'20102013 STH Efficacy'!$I:$I,"&lt;2011",
'20102013 STH Efficacy'!$AH:$AH,""),
"")</f>
        <v/>
      </c>
      <c r="BE212" s="135">
        <f t="shared" si="20"/>
        <v>0.4405966667</v>
      </c>
      <c r="BF212" s="128" t="str">
        <f>IFERROR(AVERAGEIFS(
'20102013 STH Efficacy'!$CD:$CD, 
'20102013 STH Efficacy'!$BS:$BS, $A212, 
'20102013 STH Efficacy'!$BT:$BT, "Albendazole",
'20102013 STH Efficacy'!$BZ:$BZ,"&lt;2011",
'20102013 STH Efficacy'!$CU:$CU,""),
"")</f>
        <v/>
      </c>
      <c r="BG212" s="136">
        <f t="shared" si="21"/>
        <v>0.9403222222</v>
      </c>
      <c r="BH212" s="128" t="str">
        <f>IFERROR(AVERAGEIFS(
'20102013 STH Efficacy'!$CD:$CD, 
'20102013 STH Efficacy'!$BS:$BS, $A212, 
'20102013 STH Efficacy'!$BT:$BT, "Mebendazole",
'20102013 STH Efficacy'!$BZ:$BZ,"&lt;2011",
'20102013 STH Efficacy'!$CU:$CU,""),
"")</f>
        <v/>
      </c>
      <c r="BI212" s="136">
        <f t="shared" si="22"/>
        <v>0.9229285714</v>
      </c>
      <c r="BJ212" s="128" t="str">
        <f>IFERROR(AVERAGEIFS(
'20102013 STH Efficacy'!$CD:$CD, 
'20102013 STH Efficacy'!$BS:$BS, $A212, 
'20102013 STH Efficacy'!$BT:$BT, "Albendazole &amp; Ivermectin",
'20102013 STH Efficacy'!$BZ:$BZ,"&lt;2011",
'20102013 STH Efficacy'!$CU:$CU,""),
"")</f>
        <v/>
      </c>
      <c r="BK212" s="136">
        <f t="shared" si="23"/>
        <v>1</v>
      </c>
      <c r="BL212" s="137"/>
      <c r="BM212" s="137"/>
      <c r="BN212" s="138">
        <v>0.0</v>
      </c>
      <c r="BO212" s="139">
        <v>0.0</v>
      </c>
      <c r="BP212" s="140">
        <v>0.0</v>
      </c>
      <c r="BQ212" s="141">
        <f t="shared" si="24"/>
        <v>0</v>
      </c>
      <c r="BR212" s="104" t="str">
        <f t="shared" si="25"/>
        <v>0000</v>
      </c>
      <c r="BS212" s="104" t="str">
        <f t="shared" si="26"/>
        <v>no action required</v>
      </c>
      <c r="BT212" s="142" t="str">
        <f t="shared" si="27"/>
        <v/>
      </c>
      <c r="BU212" s="104" t="str">
        <f t="shared" si="28"/>
        <v/>
      </c>
      <c r="BV212" s="104" t="str">
        <f t="shared" si="29"/>
        <v>none</v>
      </c>
      <c r="BW212" s="150" t="str">
        <f t="shared" si="30"/>
        <v/>
      </c>
      <c r="BX212" s="150" t="str">
        <f t="shared" si="31"/>
        <v/>
      </c>
      <c r="BY212" s="151" t="str">
        <f t="shared" si="32"/>
        <v/>
      </c>
      <c r="BZ212" s="152" t="str">
        <f t="shared" si="33"/>
        <v/>
      </c>
      <c r="CA212" s="152" t="str">
        <f t="shared" si="34"/>
        <v/>
      </c>
      <c r="CB212" s="152" t="str">
        <f t="shared" si="35"/>
        <v/>
      </c>
      <c r="CC212" s="153" t="str">
        <f t="shared" si="36"/>
        <v/>
      </c>
      <c r="CD212" s="153" t="str">
        <f t="shared" si="37"/>
        <v/>
      </c>
      <c r="CE212" s="154" t="str">
        <f t="shared" si="38"/>
        <v/>
      </c>
      <c r="CF212" s="154" t="str">
        <f t="shared" si="39"/>
        <v/>
      </c>
      <c r="CG212" s="154" t="str">
        <f t="shared" si="40"/>
        <v/>
      </c>
    </row>
    <row r="213">
      <c r="A213" s="103" t="s">
        <v>302</v>
      </c>
      <c r="B213" s="104" t="s">
        <v>94</v>
      </c>
      <c r="C213" s="105">
        <v>236295.0</v>
      </c>
      <c r="D213" s="106">
        <v>216.2339608</v>
      </c>
      <c r="E213" s="107">
        <v>0.0</v>
      </c>
      <c r="F213" s="108">
        <v>3.43835319</v>
      </c>
      <c r="G213" s="108">
        <v>12.39397977</v>
      </c>
      <c r="H213" s="108">
        <v>15.83233296</v>
      </c>
      <c r="I213" s="109">
        <v>36.4930314</v>
      </c>
      <c r="J213" s="109">
        <v>85.9599408</v>
      </c>
      <c r="K213" s="109">
        <v>122.4529722</v>
      </c>
      <c r="L213" s="112">
        <v>50.37292808</v>
      </c>
      <c r="M213" s="112">
        <v>47.93576158</v>
      </c>
      <c r="N213" s="112">
        <v>98.30868966</v>
      </c>
      <c r="O213" s="113"/>
      <c r="P213" s="156"/>
      <c r="Q213" s="156"/>
      <c r="R213" s="115" t="str">
        <f t="shared" si="8"/>
        <v/>
      </c>
      <c r="S213" s="116">
        <f t="shared" si="9"/>
        <v>0.1955251818</v>
      </c>
      <c r="T213" s="117"/>
      <c r="U213" s="118">
        <f t="shared" si="41"/>
        <v>0.6259666667</v>
      </c>
      <c r="V213" s="148"/>
      <c r="W213" s="120">
        <f t="shared" si="10"/>
        <v>0.55175</v>
      </c>
      <c r="X213" s="148"/>
      <c r="Y213" s="120">
        <f t="shared" si="11"/>
        <v>0.4826142857</v>
      </c>
      <c r="Z213" s="114"/>
      <c r="AA213" s="114"/>
      <c r="AB213" s="114"/>
      <c r="AC213" s="114"/>
      <c r="AD213" s="164">
        <v>0.0</v>
      </c>
      <c r="AE213" s="123">
        <v>0.0</v>
      </c>
      <c r="AF213" s="123">
        <v>0.0</v>
      </c>
      <c r="AG213" s="167">
        <v>0.0</v>
      </c>
      <c r="AH213" s="124">
        <v>0.245564598</v>
      </c>
      <c r="AI213" s="168">
        <v>0.0</v>
      </c>
      <c r="AJ213" s="125">
        <v>0.310491118</v>
      </c>
      <c r="AK213" s="126">
        <v>0.0</v>
      </c>
      <c r="AL213" s="169">
        <v>0.375478533</v>
      </c>
      <c r="AM213" s="128"/>
      <c r="AN213" s="149" t="str">
        <f>IFERROR(
  AVERAGEIFS(
    'New 20102013 LF Efficacy'!$J:$J,
    'New 20102013 LF Efficacy'!$D:$D, $A213,
    'New 20102013 LF Efficacy'!$F:$F,"DEC", 
    'New 20102013 LF Efficacy'!$W:$W,"&lt;2011",
    'New 20102013 LF Efficacy'!$AA:$AA,""),
  ""
)</f>
        <v/>
      </c>
      <c r="AO213" s="115">
        <f t="shared" si="12"/>
        <v>0.38</v>
      </c>
      <c r="AP213" s="121" t="str">
        <f>IFERROR(
AVERAGEIFS(
'New 20102013 LF Efficacy'!$J:$J,
'New 20102013 LF Efficacy'!$D:$D,$A213,
'New 20102013 LF Efficacy'!$F:$F,"Albendazole &amp; DEC",
'New 20102013 LF Efficacy'!$W:$W,"&lt;2011",
'New 20102013 LF Efficacy'!$AA:$AA,""),
"")
</f>
        <v/>
      </c>
      <c r="AQ213" s="115">
        <f t="shared" si="13"/>
        <v>0.657</v>
      </c>
      <c r="AR213" s="121" t="str">
        <f>IFERROR(
AVERAGEIFS(
'New 20102013 LF Efficacy'!$J:$J,
'New 20102013 LF Efficacy'!$D:$D,$A213,
'New 20102013 LF Efficacy'!$F:$F,"Albendazole &amp; Ivermectin", 
'New 20102013 LF Efficacy'!$W:$W,"&lt;2011",
'New 20102013 LF Efficacy'!$AA:$AA,""),"")</f>
        <v/>
      </c>
      <c r="AS213" s="115">
        <f t="shared" si="14"/>
        <v>0.37153125</v>
      </c>
      <c r="AT213" s="130" t="str">
        <f>IFERROR(AVERAGEIFS(
'20102013 Schist Efficacy'!$O:$O, 
'20102013 Schist Efficacy'!$C:$C,$A213, 
'20102013 Schist Efficacy'!$D:$D, "Praziquantel",
'20102013 Schist Efficacy'!$J:$J,"&lt;2011",
'20102013 Schist Efficacy'!$U:$U,""),
"")</f>
        <v/>
      </c>
      <c r="AU213" s="118">
        <f t="shared" si="15"/>
        <v>0.95</v>
      </c>
      <c r="AV213" s="131" t="str">
        <f>IFERROR(AVERAGEIFS(
'20102013 STH Efficacy'!$AX:$AX, 
'20102013 STH Efficacy'!$AL:$AL, $A213, 
'20102013 STH Efficacy'!$AM:$AM, "Albendazole",
'20102013 STH Efficacy'!$AS:$AS,"&lt;2011",
'20102013 STH Efficacy'!$BP:$BP,""),
"")</f>
        <v/>
      </c>
      <c r="AW213" s="132">
        <f t="shared" si="16"/>
        <v>0.3571666667</v>
      </c>
      <c r="AX213" s="131" t="str">
        <f>IFERROR(AVERAGEIFS(
'20102013 STH Efficacy'!$AX:$AX, 
'20102013 STH Efficacy'!$AL:$AL, $A213, 
'20102013 STH Efficacy'!$AM:$AM, "Mebendazole",
'20102013 STH Efficacy'!$AS:$AS,"&lt;2011",
'20102013 STH Efficacy'!$BP:$BP,""),
"")</f>
        <v/>
      </c>
      <c r="AY213" s="132">
        <f t="shared" si="17"/>
        <v>0.4155</v>
      </c>
      <c r="AZ213" s="131" t="str">
        <f>IFERROR(AVERAGEIFS(
'20102013 STH Efficacy'!$AX:$AX, 
'20102013 STH Efficacy'!$AL:$AL, $A213, 
'20102013 STH Efficacy'!$AM:$AM, "Albendazole &amp; Ivermectin",
'20102013 STH Efficacy'!$AS:$AS,"&lt;2011",
'20102013 STH Efficacy'!$BP:$BP,""),
"")</f>
        <v/>
      </c>
      <c r="BA213" s="133">
        <f t="shared" si="18"/>
        <v>0.651</v>
      </c>
      <c r="BB213" s="134" t="str">
        <f>IFERROR(AVERAGEIFS(
'20102013 STH Efficacy'!$N:$N, 
'20102013 STH Efficacy'!$B:$B, $A213, 
'20102013 STH Efficacy'!$C:$C, "Albendazole",
'20102013 STH Efficacy'!$I:$I,"&lt;2011",
'20102013 STH Efficacy'!$AH:$AH,""),
"")</f>
        <v/>
      </c>
      <c r="BC213" s="135">
        <f t="shared" si="19"/>
        <v>0.5769166667</v>
      </c>
      <c r="BD213" s="134" t="str">
        <f>IFERROR(AVERAGEIFS(
'20102013 STH Efficacy'!$N:$N, 
'20102013 STH Efficacy'!$B:$B, $A213, 
'20102013 STH Efficacy'!$C:$C, "Mebendazole",
'20102013 STH Efficacy'!$I:$I,"&lt;2011",
'20102013 STH Efficacy'!$AH:$AH,""),
"")</f>
        <v/>
      </c>
      <c r="BE213" s="135">
        <f t="shared" si="20"/>
        <v>0.3145</v>
      </c>
      <c r="BF213" s="128" t="str">
        <f>IFERROR(AVERAGEIFS(
'20102013 STH Efficacy'!$CD:$CD, 
'20102013 STH Efficacy'!$BS:$BS, $A213, 
'20102013 STH Efficacy'!$BT:$BT, "Albendazole",
'20102013 STH Efficacy'!$BZ:$BZ,"&lt;2011",
'20102013 STH Efficacy'!$CU:$CU,""),
"")</f>
        <v/>
      </c>
      <c r="BG213" s="136">
        <f t="shared" si="21"/>
        <v>0.96925</v>
      </c>
      <c r="BH213" s="128" t="str">
        <f>IFERROR(AVERAGEIFS(
'20102013 STH Efficacy'!$CD:$CD, 
'20102013 STH Efficacy'!$BS:$BS, $A213, 
'20102013 STH Efficacy'!$BT:$BT, "Mebendazole",
'20102013 STH Efficacy'!$BZ:$BZ,"&lt;2011",
'20102013 STH Efficacy'!$CU:$CU,""),
"")</f>
        <v/>
      </c>
      <c r="BI213" s="136">
        <f t="shared" si="22"/>
        <v>0.9305</v>
      </c>
      <c r="BJ213" s="128" t="str">
        <f>IFERROR(AVERAGEIFS(
'20102013 STH Efficacy'!$CD:$CD, 
'20102013 STH Efficacy'!$BS:$BS, $A213, 
'20102013 STH Efficacy'!$BT:$BT, "Albendazole &amp; Ivermectin",
'20102013 STH Efficacy'!$BZ:$BZ,"&lt;2011",
'20102013 STH Efficacy'!$CU:$CU,""),
"")</f>
        <v/>
      </c>
      <c r="BK213" s="136">
        <f t="shared" si="23"/>
        <v>1</v>
      </c>
      <c r="BL213" s="137"/>
      <c r="BM213" s="137"/>
      <c r="BN213" s="138">
        <v>0.0</v>
      </c>
      <c r="BO213" s="139">
        <v>0.0</v>
      </c>
      <c r="BP213" s="140">
        <v>0.0</v>
      </c>
      <c r="BQ213" s="141">
        <f t="shared" si="24"/>
        <v>1</v>
      </c>
      <c r="BR213" s="104" t="str">
        <f t="shared" si="25"/>
        <v>0001</v>
      </c>
      <c r="BS213" s="104" t="str">
        <f t="shared" si="26"/>
        <v>T3</v>
      </c>
      <c r="BT213" s="142" t="str">
        <f t="shared" si="27"/>
        <v>ALB or MBD</v>
      </c>
      <c r="BU213" s="104" t="str">
        <f t="shared" si="28"/>
        <v/>
      </c>
      <c r="BV213" s="104" t="str">
        <f t="shared" si="29"/>
        <v>sth only</v>
      </c>
      <c r="BW213" s="150" t="str">
        <f t="shared" si="30"/>
        <v/>
      </c>
      <c r="BX213" s="150" t="str">
        <f t="shared" si="31"/>
        <v/>
      </c>
      <c r="BY213" s="151" t="str">
        <f t="shared" si="32"/>
        <v/>
      </c>
      <c r="BZ213" s="152">
        <f t="shared" si="33"/>
        <v>3.425241246</v>
      </c>
      <c r="CA213" s="152">
        <f t="shared" si="34"/>
        <v>4.131400203</v>
      </c>
      <c r="CB213" s="152" t="str">
        <f t="shared" si="35"/>
        <v/>
      </c>
      <c r="CC213" s="170">
        <f t="shared" si="36"/>
        <v>50.20924701</v>
      </c>
      <c r="CD213" s="170">
        <f t="shared" si="37"/>
        <v>23.04390671</v>
      </c>
      <c r="CE213" s="154">
        <f t="shared" si="38"/>
        <v>100.0363542</v>
      </c>
      <c r="CF213" s="154">
        <f t="shared" si="39"/>
        <v>92.22144146</v>
      </c>
      <c r="CG213" s="154" t="str">
        <f t="shared" si="40"/>
        <v/>
      </c>
    </row>
    <row r="214">
      <c r="A214" s="155" t="s">
        <v>303</v>
      </c>
      <c r="B214" s="104" t="s">
        <v>98</v>
      </c>
      <c r="C214" s="105">
        <v>2.9028033E7</v>
      </c>
      <c r="D214" s="106">
        <v>0.0</v>
      </c>
      <c r="E214" s="107">
        <v>4884.599715</v>
      </c>
      <c r="F214" s="108">
        <v>682.5868153</v>
      </c>
      <c r="G214" s="157">
        <v>2729.475097</v>
      </c>
      <c r="H214" s="157">
        <v>3412.061912</v>
      </c>
      <c r="I214" s="110">
        <v>619.410815</v>
      </c>
      <c r="J214" s="110">
        <v>895.372659</v>
      </c>
      <c r="K214" s="110">
        <v>1514.783474</v>
      </c>
      <c r="L214" s="111">
        <v>1051.640506</v>
      </c>
      <c r="M214" s="111">
        <v>1741.59417</v>
      </c>
      <c r="N214" s="112">
        <v>2793.234676</v>
      </c>
      <c r="O214" s="113"/>
      <c r="P214" s="114"/>
      <c r="Q214" s="114"/>
      <c r="R214" s="115" t="str">
        <f t="shared" si="8"/>
        <v/>
      </c>
      <c r="S214" s="116">
        <f t="shared" si="9"/>
        <v>0.14553293</v>
      </c>
      <c r="T214" s="130"/>
      <c r="U214" s="118">
        <f t="shared" si="41"/>
        <v>0.39435</v>
      </c>
      <c r="V214" s="119">
        <v>0.4603</v>
      </c>
      <c r="W214" s="120">
        <f t="shared" si="10"/>
        <v>0.4603</v>
      </c>
      <c r="X214" s="119">
        <v>0.2988</v>
      </c>
      <c r="Y214" s="120">
        <f t="shared" si="11"/>
        <v>0.2988</v>
      </c>
      <c r="Z214" s="114"/>
      <c r="AA214" s="114"/>
      <c r="AB214" s="114"/>
      <c r="AC214" s="114"/>
      <c r="AD214" s="164">
        <v>0.0</v>
      </c>
      <c r="AE214" s="123">
        <v>0.02</v>
      </c>
      <c r="AF214" s="123">
        <v>3.0E-4</v>
      </c>
      <c r="AG214" s="124">
        <v>0.2534</v>
      </c>
      <c r="AH214" s="124">
        <v>0.337328615</v>
      </c>
      <c r="AI214" s="125">
        <v>0.0323</v>
      </c>
      <c r="AJ214" s="125">
        <v>0.036687261</v>
      </c>
      <c r="AK214" s="126">
        <v>0.0</v>
      </c>
      <c r="AL214" s="169">
        <v>0.263700261</v>
      </c>
      <c r="AM214" s="128"/>
      <c r="AN214" s="149" t="str">
        <f>IFERROR(
  AVERAGEIFS(
    'New 20102013 LF Efficacy'!$J:$J,
    'New 20102013 LF Efficacy'!$D:$D, $A214,
    'New 20102013 LF Efficacy'!$F:$F,"DEC", 
    'New 20102013 LF Efficacy'!$W:$W,"&lt;2011",
    'New 20102013 LF Efficacy'!$AA:$AA,""),
  ""
)</f>
        <v/>
      </c>
      <c r="AO214" s="115">
        <f t="shared" si="12"/>
        <v>0.2589833333</v>
      </c>
      <c r="AP214" s="121" t="str">
        <f>IFERROR(
AVERAGEIFS(
'New 20102013 LF Efficacy'!$J:$J,
'New 20102013 LF Efficacy'!$D:$D,$A214,
'New 20102013 LF Efficacy'!$F:$F,"Albendazole &amp; DEC",
'New 20102013 LF Efficacy'!$W:$W,"&lt;2011",
'New 20102013 LF Efficacy'!$AA:$AA,""),
"")
</f>
        <v/>
      </c>
      <c r="AQ214" s="115">
        <f t="shared" si="13"/>
        <v>0.3465</v>
      </c>
      <c r="AR214" s="121" t="str">
        <f>IFERROR(
AVERAGEIFS(
'New 20102013 LF Efficacy'!$J:$J,
'New 20102013 LF Efficacy'!$D:$D,$A214,
'New 20102013 LF Efficacy'!$F:$F,"Albendazole &amp; Ivermectin", 
'New 20102013 LF Efficacy'!$W:$W,"&lt;2011",
'New 20102013 LF Efficacy'!$AA:$AA,""),"")</f>
        <v/>
      </c>
      <c r="AS214" s="115">
        <f t="shared" si="14"/>
        <v>0.7575</v>
      </c>
      <c r="AT214" s="130" t="str">
        <f>IFERROR(AVERAGEIFS(
'20102013 Schist Efficacy'!$O:$O, 
'20102013 Schist Efficacy'!$C:$C,$A214, 
'20102013 Schist Efficacy'!$D:$D, "Praziquantel",
'20102013 Schist Efficacy'!$J:$J,"&lt;2011",
'20102013 Schist Efficacy'!$U:$U,""),
"")</f>
        <v/>
      </c>
      <c r="AU214" s="118">
        <f t="shared" si="15"/>
        <v>0.7732631579</v>
      </c>
      <c r="AV214" s="131" t="str">
        <f>IFERROR(AVERAGEIFS(
'20102013 STH Efficacy'!$AX:$AX, 
'20102013 STH Efficacy'!$AL:$AL, $A214, 
'20102013 STH Efficacy'!$AM:$AM, "Albendazole",
'20102013 STH Efficacy'!$AS:$AS,"&lt;2011",
'20102013 STH Efficacy'!$BP:$BP,""),
"")</f>
        <v/>
      </c>
      <c r="AW214" s="132">
        <f t="shared" si="16"/>
        <v>0.3945</v>
      </c>
      <c r="AX214" s="131" t="str">
        <f>IFERROR(AVERAGEIFS(
'20102013 STH Efficacy'!$AX:$AX, 
'20102013 STH Efficacy'!$AL:$AL, $A214, 
'20102013 STH Efficacy'!$AM:$AM, "Mebendazole",
'20102013 STH Efficacy'!$AS:$AS,"&lt;2011",
'20102013 STH Efficacy'!$BP:$BP,""),
"")</f>
        <v/>
      </c>
      <c r="AY214" s="132">
        <f t="shared" si="17"/>
        <v>0.6</v>
      </c>
      <c r="AZ214" s="131" t="str">
        <f>IFERROR(AVERAGEIFS(
'20102013 STH Efficacy'!$AX:$AX, 
'20102013 STH Efficacy'!$AL:$AL, $A214, 
'20102013 STH Efficacy'!$AM:$AM, "Albendazole &amp; Ivermectin",
'20102013 STH Efficacy'!$AS:$AS,"&lt;2011",
'20102013 STH Efficacy'!$BP:$BP,""),
"")</f>
        <v/>
      </c>
      <c r="BA214" s="133">
        <f t="shared" si="18"/>
        <v>0.796</v>
      </c>
      <c r="BB214" s="134" t="str">
        <f>IFERROR(AVERAGEIFS(
'20102013 STH Efficacy'!$N:$N, 
'20102013 STH Efficacy'!$B:$B, $A214, 
'20102013 STH Efficacy'!$C:$C, "Albendazole",
'20102013 STH Efficacy'!$I:$I,"&lt;2011",
'20102013 STH Efficacy'!$AH:$AH,""),
"")</f>
        <v/>
      </c>
      <c r="BC214" s="135">
        <f t="shared" si="19"/>
        <v>0.869</v>
      </c>
      <c r="BD214" s="134" t="str">
        <f>IFERROR(AVERAGEIFS(
'20102013 STH Efficacy'!$N:$N, 
'20102013 STH Efficacy'!$B:$B, $A214, 
'20102013 STH Efficacy'!$C:$C, "Mebendazole",
'20102013 STH Efficacy'!$I:$I,"&lt;2011",
'20102013 STH Efficacy'!$AH:$AH,""),
"")</f>
        <v/>
      </c>
      <c r="BE214" s="135">
        <f t="shared" si="20"/>
        <v>0.172</v>
      </c>
      <c r="BF214" s="128" t="str">
        <f>IFERROR(AVERAGEIFS(
'20102013 STH Efficacy'!$CD:$CD, 
'20102013 STH Efficacy'!$BS:$BS, $A214, 
'20102013 STH Efficacy'!$BT:$BT, "Albendazole",
'20102013 STH Efficacy'!$BZ:$BZ,"&lt;2011",
'20102013 STH Efficacy'!$CU:$CU,""),
"")</f>
        <v/>
      </c>
      <c r="BG214" s="136">
        <f t="shared" si="21"/>
        <v>0.9862</v>
      </c>
      <c r="BH214" s="128" t="str">
        <f>IFERROR(AVERAGEIFS(
'20102013 STH Efficacy'!$CD:$CD, 
'20102013 STH Efficacy'!$BS:$BS, $A214, 
'20102013 STH Efficacy'!$BT:$BT, "Mebendazole",
'20102013 STH Efficacy'!$BZ:$BZ,"&lt;2011",
'20102013 STH Efficacy'!$CU:$CU,""),
"")</f>
        <v/>
      </c>
      <c r="BI214" s="136">
        <f t="shared" si="22"/>
        <v>0.769</v>
      </c>
      <c r="BJ214" s="128" t="str">
        <f>IFERROR(AVERAGEIFS(
'20102013 STH Efficacy'!$CD:$CD, 
'20102013 STH Efficacy'!$BS:$BS, $A214, 
'20102013 STH Efficacy'!$BT:$BT, "Albendazole &amp; Ivermectin",
'20102013 STH Efficacy'!$BZ:$BZ,"&lt;2011",
'20102013 STH Efficacy'!$CU:$CU,""),
"")</f>
        <v/>
      </c>
      <c r="BK214" s="136">
        <f t="shared" si="23"/>
        <v>1</v>
      </c>
      <c r="BL214" s="137"/>
      <c r="BM214" s="137"/>
      <c r="BN214" s="138">
        <v>0.0</v>
      </c>
      <c r="BO214" s="139">
        <v>1.0</v>
      </c>
      <c r="BP214" s="140">
        <v>1.0</v>
      </c>
      <c r="BQ214" s="141">
        <f t="shared" si="24"/>
        <v>1</v>
      </c>
      <c r="BR214" s="104" t="str">
        <f t="shared" si="25"/>
        <v>0111</v>
      </c>
      <c r="BS214" s="104" t="str">
        <f t="shared" si="26"/>
        <v>MDA1+T2</v>
      </c>
      <c r="BT214" s="142" t="str">
        <f t="shared" si="27"/>
        <v>IVM+ALB</v>
      </c>
      <c r="BU214" s="104" t="str">
        <f t="shared" si="28"/>
        <v>PZQ</v>
      </c>
      <c r="BV214" s="104" t="str">
        <f t="shared" si="29"/>
        <v>onch+schist+sth</v>
      </c>
      <c r="BW214" s="150" t="str">
        <f t="shared" si="30"/>
        <v/>
      </c>
      <c r="BX214" s="150" t="str">
        <f t="shared" si="31"/>
        <v/>
      </c>
      <c r="BY214" s="162">
        <f t="shared" si="32"/>
        <v>2142.957471</v>
      </c>
      <c r="BZ214" s="152">
        <f t="shared" si="33"/>
        <v>516.1866343</v>
      </c>
      <c r="CA214" s="152" t="str">
        <f t="shared" si="34"/>
        <v/>
      </c>
      <c r="CB214" s="152">
        <f t="shared" si="35"/>
        <v>1246.510002</v>
      </c>
      <c r="CC214" s="170">
        <f t="shared" si="36"/>
        <v>726.9718938</v>
      </c>
      <c r="CD214" s="153" t="str">
        <f t="shared" si="37"/>
        <v/>
      </c>
      <c r="CE214" s="154">
        <f t="shared" si="38"/>
        <v>1601.876438</v>
      </c>
      <c r="CF214" s="154" t="str">
        <f t="shared" si="39"/>
        <v/>
      </c>
      <c r="CG214" s="154">
        <f t="shared" si="40"/>
        <v>1639.064121</v>
      </c>
    </row>
    <row r="215">
      <c r="A215" s="180" t="s">
        <v>304</v>
      </c>
      <c r="B215" s="104" t="s">
        <v>94</v>
      </c>
      <c r="C215" s="105">
        <v>8.69325E7</v>
      </c>
      <c r="D215" s="106">
        <v>1389.131376</v>
      </c>
      <c r="E215" s="107">
        <v>0.0</v>
      </c>
      <c r="F215" s="108">
        <v>777.3736669</v>
      </c>
      <c r="G215" s="108">
        <v>18.21906857</v>
      </c>
      <c r="H215" s="157">
        <v>795.5927355</v>
      </c>
      <c r="I215" s="110">
        <v>0.0</v>
      </c>
      <c r="J215" s="110">
        <v>0.0</v>
      </c>
      <c r="K215" s="110">
        <v>6634.965964</v>
      </c>
      <c r="L215" s="111">
        <v>4941.045949</v>
      </c>
      <c r="M215" s="112">
        <v>453.8576545</v>
      </c>
      <c r="N215" s="112">
        <v>5394.903603</v>
      </c>
      <c r="O215" s="113"/>
      <c r="P215" s="156"/>
      <c r="Q215" s="156"/>
      <c r="R215" s="115" t="str">
        <f t="shared" si="8"/>
        <v/>
      </c>
      <c r="S215" s="116">
        <f t="shared" si="9"/>
        <v>0.1955251818</v>
      </c>
      <c r="T215" s="117"/>
      <c r="U215" s="118">
        <f t="shared" si="41"/>
        <v>0.6259666667</v>
      </c>
      <c r="V215" s="119">
        <v>0.2544</v>
      </c>
      <c r="W215" s="120">
        <f t="shared" si="10"/>
        <v>0.2544</v>
      </c>
      <c r="X215" s="119">
        <v>0.5593</v>
      </c>
      <c r="Y215" s="120">
        <f t="shared" si="11"/>
        <v>0.5593</v>
      </c>
      <c r="Z215" s="121"/>
      <c r="AA215" s="121"/>
      <c r="AB215" s="121"/>
      <c r="AC215" s="121"/>
      <c r="AD215" s="122">
        <v>3.0E-4</v>
      </c>
      <c r="AE215" s="123">
        <v>0.0</v>
      </c>
      <c r="AF215" s="123">
        <v>0.0</v>
      </c>
      <c r="AG215" s="167">
        <v>0.0</v>
      </c>
      <c r="AH215" s="124">
        <v>0.035738065</v>
      </c>
      <c r="AI215" s="168">
        <v>0.0</v>
      </c>
      <c r="AJ215" s="125">
        <v>0.026606799</v>
      </c>
      <c r="AK215" s="127">
        <v>0.25</v>
      </c>
      <c r="AL215" s="127">
        <v>0.069202383</v>
      </c>
      <c r="AM215" s="128"/>
      <c r="AN215" s="149" t="str">
        <f>IFERROR(
  AVERAGEIFS(
    'New 20102013 LF Efficacy'!$J:$J,
    'New 20102013 LF Efficacy'!$D:$D, $A215,
    'New 20102013 LF Efficacy'!$F:$F,"DEC", 
    'New 20102013 LF Efficacy'!$W:$W,"&lt;2011",
    'New 20102013 LF Efficacy'!$AA:$AA,""),
  ""
)</f>
        <v/>
      </c>
      <c r="AO215" s="115">
        <f t="shared" si="12"/>
        <v>0.38</v>
      </c>
      <c r="AP215" s="121" t="str">
        <f>IFERROR(
AVERAGEIFS(
'New 20102013 LF Efficacy'!$J:$J,
'New 20102013 LF Efficacy'!$D:$D,$A215,
'New 20102013 LF Efficacy'!$F:$F,"Albendazole &amp; DEC",
'New 20102013 LF Efficacy'!$W:$W,"&lt;2011",
'New 20102013 LF Efficacy'!$AA:$AA,""),
"")
</f>
        <v/>
      </c>
      <c r="AQ215" s="115">
        <f t="shared" si="13"/>
        <v>0.657</v>
      </c>
      <c r="AR215" s="121" t="str">
        <f>IFERROR(
AVERAGEIFS(
'New 20102013 LF Efficacy'!$J:$J,
'New 20102013 LF Efficacy'!$D:$D,$A215,
'New 20102013 LF Efficacy'!$F:$F,"Albendazole &amp; Ivermectin", 
'New 20102013 LF Efficacy'!$W:$W,"&lt;2011",
'New 20102013 LF Efficacy'!$AA:$AA,""),"")</f>
        <v/>
      </c>
      <c r="AS215" s="115">
        <f t="shared" si="14"/>
        <v>0.37153125</v>
      </c>
      <c r="AT215" s="130" t="str">
        <f>IFERROR(AVERAGEIFS(
'20102013 Schist Efficacy'!$O:$O, 
'20102013 Schist Efficacy'!$C:$C,$A215, 
'20102013 Schist Efficacy'!$D:$D, "Praziquantel",
'20102013 Schist Efficacy'!$J:$J,"&lt;2011",
'20102013 Schist Efficacy'!$U:$U,""),
"")</f>
        <v/>
      </c>
      <c r="AU215" s="118">
        <f t="shared" si="15"/>
        <v>0.95</v>
      </c>
      <c r="AV215" s="131" t="str">
        <f>IFERROR(AVERAGEIFS(
'20102013 STH Efficacy'!$AX:$AX, 
'20102013 STH Efficacy'!$AL:$AL, $A215, 
'20102013 STH Efficacy'!$AM:$AM, "Albendazole",
'20102013 STH Efficacy'!$AS:$AS,"&lt;2011",
'20102013 STH Efficacy'!$BP:$BP,""),
"")</f>
        <v/>
      </c>
      <c r="AW215" s="132">
        <f t="shared" si="16"/>
        <v>0.3571666667</v>
      </c>
      <c r="AX215" s="131" t="str">
        <f>IFERROR(AVERAGEIFS(
'20102013 STH Efficacy'!$AX:$AX, 
'20102013 STH Efficacy'!$AL:$AL, $A215, 
'20102013 STH Efficacy'!$AM:$AM, "Mebendazole",
'20102013 STH Efficacy'!$AS:$AS,"&lt;2011",
'20102013 STH Efficacy'!$BP:$BP,""),
"")</f>
        <v/>
      </c>
      <c r="AY215" s="132">
        <f t="shared" si="17"/>
        <v>0.4155</v>
      </c>
      <c r="AZ215" s="131" t="str">
        <f>IFERROR(AVERAGEIFS(
'20102013 STH Efficacy'!$AX:$AX, 
'20102013 STH Efficacy'!$AL:$AL, $A215, 
'20102013 STH Efficacy'!$AM:$AM, "Albendazole &amp; Ivermectin",
'20102013 STH Efficacy'!$AS:$AS,"&lt;2011",
'20102013 STH Efficacy'!$BP:$BP,""),
"")</f>
        <v/>
      </c>
      <c r="BA215" s="133">
        <f t="shared" si="18"/>
        <v>0.651</v>
      </c>
      <c r="BB215" s="134">
        <f>IFERROR(AVERAGEIFS(
'20102013 STH Efficacy'!$N:$N, 
'20102013 STH Efficacy'!$B:$B, $A215, 
'20102013 STH Efficacy'!$C:$C, "Albendazole",
'20102013 STH Efficacy'!$I:$I,"&lt;2011",
'20102013 STH Efficacy'!$AH:$AH,""),
"")</f>
        <v>0.62</v>
      </c>
      <c r="BC215" s="135">
        <f t="shared" si="19"/>
        <v>0.62</v>
      </c>
      <c r="BD215" s="134">
        <f>IFERROR(AVERAGEIFS(
'20102013 STH Efficacy'!$N:$N, 
'20102013 STH Efficacy'!$B:$B, $A215, 
'20102013 STH Efficacy'!$C:$C, "Mebendazole",
'20102013 STH Efficacy'!$I:$I,"&lt;2011",
'20102013 STH Efficacy'!$AH:$AH,""),
"")</f>
        <v>0.32</v>
      </c>
      <c r="BE215" s="135">
        <f t="shared" si="20"/>
        <v>0.32</v>
      </c>
      <c r="BF215" s="128" t="str">
        <f>IFERROR(AVERAGEIFS(
'20102013 STH Efficacy'!$CD:$CD, 
'20102013 STH Efficacy'!$BS:$BS, $A215, 
'20102013 STH Efficacy'!$BT:$BT, "Albendazole",
'20102013 STH Efficacy'!$BZ:$BZ,"&lt;2011",
'20102013 STH Efficacy'!$CU:$CU,""),
"")</f>
        <v/>
      </c>
      <c r="BG215" s="136">
        <f t="shared" si="21"/>
        <v>0.96925</v>
      </c>
      <c r="BH215" s="128" t="str">
        <f>IFERROR(AVERAGEIFS(
'20102013 STH Efficacy'!$CD:$CD, 
'20102013 STH Efficacy'!$BS:$BS, $A215, 
'20102013 STH Efficacy'!$BT:$BT, "Mebendazole",
'20102013 STH Efficacy'!$BZ:$BZ,"&lt;2011",
'20102013 STH Efficacy'!$CU:$CU,""),
"")</f>
        <v/>
      </c>
      <c r="BI215" s="136">
        <f t="shared" si="22"/>
        <v>0.9305</v>
      </c>
      <c r="BJ215" s="128" t="str">
        <f>IFERROR(AVERAGEIFS(
'20102013 STH Efficacy'!$CD:$CD, 
'20102013 STH Efficacy'!$BS:$BS, $A215, 
'20102013 STH Efficacy'!$BT:$BT, "Albendazole &amp; Ivermectin",
'20102013 STH Efficacy'!$BZ:$BZ,"&lt;2011",
'20102013 STH Efficacy'!$CU:$CU,""),
"")</f>
        <v/>
      </c>
      <c r="BK215" s="136">
        <f t="shared" si="23"/>
        <v>1</v>
      </c>
      <c r="BL215" s="137"/>
      <c r="BM215" s="137"/>
      <c r="BN215" s="138">
        <v>0.0</v>
      </c>
      <c r="BO215" s="139">
        <v>0.0</v>
      </c>
      <c r="BP215" s="140">
        <v>0.0</v>
      </c>
      <c r="BQ215" s="141">
        <f t="shared" si="24"/>
        <v>0</v>
      </c>
      <c r="BR215" s="104" t="str">
        <f t="shared" si="25"/>
        <v>0000</v>
      </c>
      <c r="BS215" s="104" t="str">
        <f t="shared" si="26"/>
        <v>no action required</v>
      </c>
      <c r="BT215" s="142" t="str">
        <f t="shared" si="27"/>
        <v/>
      </c>
      <c r="BU215" s="104" t="str">
        <f t="shared" si="28"/>
        <v/>
      </c>
      <c r="BV215" s="104" t="str">
        <f t="shared" si="29"/>
        <v>none</v>
      </c>
      <c r="BW215" s="150" t="str">
        <f t="shared" si="30"/>
        <v/>
      </c>
      <c r="BX215" s="150" t="str">
        <f t="shared" si="31"/>
        <v/>
      </c>
      <c r="BY215" s="151" t="str">
        <f t="shared" si="32"/>
        <v/>
      </c>
      <c r="BZ215" s="152" t="str">
        <f t="shared" si="33"/>
        <v/>
      </c>
      <c r="CA215" s="152" t="str">
        <f t="shared" si="34"/>
        <v/>
      </c>
      <c r="CB215" s="152" t="str">
        <f t="shared" si="35"/>
        <v/>
      </c>
      <c r="CC215" s="153" t="str">
        <f t="shared" si="36"/>
        <v/>
      </c>
      <c r="CD215" s="153" t="str">
        <f t="shared" si="37"/>
        <v/>
      </c>
      <c r="CE215" s="154" t="str">
        <f t="shared" si="38"/>
        <v/>
      </c>
      <c r="CF215" s="154" t="str">
        <f t="shared" si="39"/>
        <v/>
      </c>
      <c r="CG215" s="154" t="str">
        <f t="shared" si="40"/>
        <v/>
      </c>
    </row>
    <row r="216">
      <c r="A216" s="155" t="s">
        <v>305</v>
      </c>
      <c r="B216" s="104" t="s">
        <v>94</v>
      </c>
      <c r="C216" s="171"/>
      <c r="D216" s="106">
        <v>0.0</v>
      </c>
      <c r="E216" s="107">
        <v>0.0</v>
      </c>
      <c r="F216" s="163"/>
      <c r="G216" s="163"/>
      <c r="H216" s="108">
        <v>0.0</v>
      </c>
      <c r="I216" s="109">
        <v>0.0</v>
      </c>
      <c r="J216" s="109">
        <v>0.0</v>
      </c>
      <c r="K216" s="109">
        <v>0.0</v>
      </c>
      <c r="L216" s="113"/>
      <c r="M216" s="113"/>
      <c r="N216" s="112">
        <v>0.0</v>
      </c>
      <c r="O216" s="113"/>
      <c r="P216" s="114"/>
      <c r="Q216" s="114"/>
      <c r="R216" s="115" t="str">
        <f t="shared" si="8"/>
        <v/>
      </c>
      <c r="S216" s="116">
        <f t="shared" si="9"/>
        <v>0.1955251818</v>
      </c>
      <c r="T216" s="118">
        <v>0.782</v>
      </c>
      <c r="U216" s="118">
        <f t="shared" si="41"/>
        <v>0.782</v>
      </c>
      <c r="V216" s="148"/>
      <c r="W216" s="120">
        <f t="shared" si="10"/>
        <v>0.55175</v>
      </c>
      <c r="X216" s="148"/>
      <c r="Y216" s="120">
        <f t="shared" si="11"/>
        <v>0.4826142857</v>
      </c>
      <c r="Z216" s="114"/>
      <c r="AA216" s="114"/>
      <c r="AB216" s="114"/>
      <c r="AC216" s="114"/>
      <c r="AD216" s="164">
        <v>0.0</v>
      </c>
      <c r="AE216" s="165">
        <v>0.0</v>
      </c>
      <c r="AF216" s="166">
        <v>0.0</v>
      </c>
      <c r="AG216" s="167">
        <v>0.0</v>
      </c>
      <c r="AH216" s="172">
        <v>0.0</v>
      </c>
      <c r="AI216" s="168">
        <v>0.0</v>
      </c>
      <c r="AJ216" s="173">
        <v>0.0</v>
      </c>
      <c r="AK216" s="126">
        <v>0.0</v>
      </c>
      <c r="AL216" s="169">
        <v>0.0</v>
      </c>
      <c r="AM216" s="128"/>
      <c r="AN216" s="149" t="str">
        <f>IFERROR(
  AVERAGEIFS(
    'New 20102013 LF Efficacy'!$J:$J,
    'New 20102013 LF Efficacy'!$D:$D, $A216,
    'New 20102013 LF Efficacy'!$F:$F,"DEC", 
    'New 20102013 LF Efficacy'!$W:$W,"&lt;2011",
    'New 20102013 LF Efficacy'!$AA:$AA,""),
  ""
)</f>
        <v/>
      </c>
      <c r="AO216" s="115">
        <f t="shared" si="12"/>
        <v>0.38</v>
      </c>
      <c r="AP216" s="121" t="str">
        <f>IFERROR(
AVERAGEIFS(
'New 20102013 LF Efficacy'!$J:$J,
'New 20102013 LF Efficacy'!$D:$D,$A216,
'New 20102013 LF Efficacy'!$F:$F,"Albendazole &amp; DEC",
'New 20102013 LF Efficacy'!$W:$W,"&lt;2011",
'New 20102013 LF Efficacy'!$AA:$AA,""),
"")
</f>
        <v/>
      </c>
      <c r="AQ216" s="115">
        <f t="shared" si="13"/>
        <v>0.657</v>
      </c>
      <c r="AR216" s="121" t="str">
        <f>IFERROR(
AVERAGEIFS(
'New 20102013 LF Efficacy'!$J:$J,
'New 20102013 LF Efficacy'!$D:$D,$A216,
'New 20102013 LF Efficacy'!$F:$F,"Albendazole &amp; Ivermectin", 
'New 20102013 LF Efficacy'!$W:$W,"&lt;2011",
'New 20102013 LF Efficacy'!$AA:$AA,""),"")</f>
        <v/>
      </c>
      <c r="AS216" s="115">
        <f t="shared" si="14"/>
        <v>0.37153125</v>
      </c>
      <c r="AT216" s="130" t="str">
        <f>IFERROR(AVERAGEIFS(
'20102013 Schist Efficacy'!$O:$O, 
'20102013 Schist Efficacy'!$C:$C,$A216, 
'20102013 Schist Efficacy'!$D:$D, "Praziquantel",
'20102013 Schist Efficacy'!$J:$J,"&lt;2011",
'20102013 Schist Efficacy'!$U:$U,""),
"")</f>
        <v/>
      </c>
      <c r="AU216" s="118">
        <f t="shared" si="15"/>
        <v>0.95</v>
      </c>
      <c r="AV216" s="131" t="str">
        <f>IFERROR(AVERAGEIFS(
'20102013 STH Efficacy'!$AX:$AX, 
'20102013 STH Efficacy'!$AL:$AL, $A216, 
'20102013 STH Efficacy'!$AM:$AM, "Albendazole",
'20102013 STH Efficacy'!$AS:$AS,"&lt;2011",
'20102013 STH Efficacy'!$BP:$BP,""),
"")</f>
        <v/>
      </c>
      <c r="AW216" s="132">
        <f t="shared" si="16"/>
        <v>0.3571666667</v>
      </c>
      <c r="AX216" s="131" t="str">
        <f>IFERROR(AVERAGEIFS(
'20102013 STH Efficacy'!$AX:$AX, 
'20102013 STH Efficacy'!$AL:$AL, $A216, 
'20102013 STH Efficacy'!$AM:$AM, "Mebendazole",
'20102013 STH Efficacy'!$AS:$AS,"&lt;2011",
'20102013 STH Efficacy'!$BP:$BP,""),
"")</f>
        <v/>
      </c>
      <c r="AY216" s="132">
        <f t="shared" si="17"/>
        <v>0.4155</v>
      </c>
      <c r="AZ216" s="131" t="str">
        <f>IFERROR(AVERAGEIFS(
'20102013 STH Efficacy'!$AX:$AX, 
'20102013 STH Efficacy'!$AL:$AL, $A216, 
'20102013 STH Efficacy'!$AM:$AM, "Albendazole &amp; Ivermectin",
'20102013 STH Efficacy'!$AS:$AS,"&lt;2011",
'20102013 STH Efficacy'!$BP:$BP,""),
"")</f>
        <v/>
      </c>
      <c r="BA216" s="133">
        <f t="shared" si="18"/>
        <v>0.651</v>
      </c>
      <c r="BB216" s="134" t="str">
        <f>IFERROR(AVERAGEIFS(
'20102013 STH Efficacy'!$N:$N, 
'20102013 STH Efficacy'!$B:$B, $A216, 
'20102013 STH Efficacy'!$C:$C, "Albendazole",
'20102013 STH Efficacy'!$I:$I,"&lt;2011",
'20102013 STH Efficacy'!$AH:$AH,""),
"")</f>
        <v/>
      </c>
      <c r="BC216" s="135">
        <f t="shared" si="19"/>
        <v>0.5769166667</v>
      </c>
      <c r="BD216" s="134" t="str">
        <f>IFERROR(AVERAGEIFS(
'20102013 STH Efficacy'!$N:$N, 
'20102013 STH Efficacy'!$B:$B, $A216, 
'20102013 STH Efficacy'!$C:$C, "Mebendazole",
'20102013 STH Efficacy'!$I:$I,"&lt;2011",
'20102013 STH Efficacy'!$AH:$AH,""),
"")</f>
        <v/>
      </c>
      <c r="BE216" s="135">
        <f t="shared" si="20"/>
        <v>0.3145</v>
      </c>
      <c r="BF216" s="128" t="str">
        <f>IFERROR(AVERAGEIFS(
'20102013 STH Efficacy'!$CD:$CD, 
'20102013 STH Efficacy'!$BS:$BS, $A216, 
'20102013 STH Efficacy'!$BT:$BT, "Albendazole",
'20102013 STH Efficacy'!$BZ:$BZ,"&lt;2011",
'20102013 STH Efficacy'!$CU:$CU,""),
"")</f>
        <v/>
      </c>
      <c r="BG216" s="136">
        <f t="shared" si="21"/>
        <v>0.96925</v>
      </c>
      <c r="BH216" s="128" t="str">
        <f>IFERROR(AVERAGEIFS(
'20102013 STH Efficacy'!$CD:$CD, 
'20102013 STH Efficacy'!$BS:$BS, $A216, 
'20102013 STH Efficacy'!$BT:$BT, "Mebendazole",
'20102013 STH Efficacy'!$BZ:$BZ,"&lt;2011",
'20102013 STH Efficacy'!$CU:$CU,""),
"")</f>
        <v/>
      </c>
      <c r="BI216" s="136">
        <f t="shared" si="22"/>
        <v>0.9305</v>
      </c>
      <c r="BJ216" s="128" t="str">
        <f>IFERROR(AVERAGEIFS(
'20102013 STH Efficacy'!$CD:$CD, 
'20102013 STH Efficacy'!$BS:$BS, $A216, 
'20102013 STH Efficacy'!$BT:$BT, "Albendazole &amp; Ivermectin",
'20102013 STH Efficacy'!$BZ:$BZ,"&lt;2011",
'20102013 STH Efficacy'!$CU:$CU,""),
"")</f>
        <v/>
      </c>
      <c r="BK216" s="136">
        <f t="shared" si="23"/>
        <v>1</v>
      </c>
      <c r="BL216" s="137"/>
      <c r="BM216" s="137"/>
      <c r="BN216" s="138">
        <v>0.0</v>
      </c>
      <c r="BO216" s="139">
        <v>0.0</v>
      </c>
      <c r="BP216" s="140">
        <v>0.0</v>
      </c>
      <c r="BQ216" s="141">
        <f t="shared" si="24"/>
        <v>0</v>
      </c>
      <c r="BR216" s="104" t="str">
        <f t="shared" si="25"/>
        <v>0000</v>
      </c>
      <c r="BS216" s="104" t="str">
        <f t="shared" si="26"/>
        <v>no action required</v>
      </c>
      <c r="BT216" s="142" t="str">
        <f t="shared" si="27"/>
        <v/>
      </c>
      <c r="BU216" s="104" t="str">
        <f t="shared" si="28"/>
        <v/>
      </c>
      <c r="BV216" s="104" t="str">
        <f t="shared" si="29"/>
        <v>none</v>
      </c>
      <c r="BW216" s="150" t="str">
        <f t="shared" si="30"/>
        <v/>
      </c>
      <c r="BX216" s="150" t="str">
        <f t="shared" si="31"/>
        <v/>
      </c>
      <c r="BY216" s="151" t="str">
        <f t="shared" si="32"/>
        <v/>
      </c>
      <c r="BZ216" s="152" t="str">
        <f t="shared" si="33"/>
        <v/>
      </c>
      <c r="CA216" s="152" t="str">
        <f t="shared" si="34"/>
        <v/>
      </c>
      <c r="CB216" s="152" t="str">
        <f t="shared" si="35"/>
        <v/>
      </c>
      <c r="CC216" s="153" t="str">
        <f t="shared" si="36"/>
        <v/>
      </c>
      <c r="CD216" s="153" t="str">
        <f t="shared" si="37"/>
        <v/>
      </c>
      <c r="CE216" s="154" t="str">
        <f t="shared" si="38"/>
        <v/>
      </c>
      <c r="CF216" s="154" t="str">
        <f t="shared" si="39"/>
        <v/>
      </c>
      <c r="CG216" s="154" t="str">
        <f t="shared" si="40"/>
        <v/>
      </c>
    </row>
    <row r="217">
      <c r="A217" s="155" t="s">
        <v>306</v>
      </c>
      <c r="B217" s="104" t="s">
        <v>88</v>
      </c>
      <c r="C217" s="105">
        <v>3811102.0</v>
      </c>
      <c r="D217" s="106">
        <v>0.0</v>
      </c>
      <c r="E217" s="107">
        <v>0.0</v>
      </c>
      <c r="F217" s="163"/>
      <c r="G217" s="163"/>
      <c r="H217" s="108">
        <v>0.0</v>
      </c>
      <c r="I217" s="109">
        <v>0.0</v>
      </c>
      <c r="J217" s="109">
        <v>0.0</v>
      </c>
      <c r="K217" s="109">
        <v>0.0</v>
      </c>
      <c r="L217" s="113"/>
      <c r="M217" s="113"/>
      <c r="N217" s="112">
        <v>0.0</v>
      </c>
      <c r="O217" s="113"/>
      <c r="P217" s="114"/>
      <c r="Q217" s="114"/>
      <c r="R217" s="115" t="str">
        <f t="shared" si="8"/>
        <v/>
      </c>
      <c r="S217" s="116">
        <f t="shared" si="9"/>
        <v>0.3211323089</v>
      </c>
      <c r="T217" s="117"/>
      <c r="U217" s="118">
        <f t="shared" si="41"/>
        <v>0.5949</v>
      </c>
      <c r="V217" s="148"/>
      <c r="W217" s="120">
        <f t="shared" si="10"/>
        <v>0.9019</v>
      </c>
      <c r="X217" s="148"/>
      <c r="Y217" s="120">
        <f t="shared" si="11"/>
        <v>0.094</v>
      </c>
      <c r="Z217" s="114"/>
      <c r="AA217" s="114"/>
      <c r="AB217" s="114"/>
      <c r="AC217" s="114"/>
      <c r="AD217" s="164">
        <v>0.0</v>
      </c>
      <c r="AE217" s="165">
        <v>0.0</v>
      </c>
      <c r="AF217" s="166">
        <v>0.0</v>
      </c>
      <c r="AG217" s="167">
        <v>0.0</v>
      </c>
      <c r="AH217" s="172">
        <v>0.0</v>
      </c>
      <c r="AI217" s="168">
        <v>0.0</v>
      </c>
      <c r="AJ217" s="173">
        <v>0.0</v>
      </c>
      <c r="AK217" s="126">
        <v>0.0</v>
      </c>
      <c r="AL217" s="169">
        <v>0.0</v>
      </c>
      <c r="AM217" s="128"/>
      <c r="AN217" s="149" t="str">
        <f>IFERROR(
  AVERAGEIFS(
    'New 20102013 LF Efficacy'!$J:$J,
    'New 20102013 LF Efficacy'!$D:$D, $A217,
    'New 20102013 LF Efficacy'!$F:$F,"DEC", 
    'New 20102013 LF Efficacy'!$W:$W,"&lt;2011",
    'New 20102013 LF Efficacy'!$AA:$AA,""),
  ""
)</f>
        <v/>
      </c>
      <c r="AO217" s="115">
        <f t="shared" si="12"/>
        <v>0.3573520833</v>
      </c>
      <c r="AP217" s="121" t="str">
        <f>IFERROR(
AVERAGEIFS(
'New 20102013 LF Efficacy'!$J:$J,
'New 20102013 LF Efficacy'!$D:$D,$A217,
'New 20102013 LF Efficacy'!$F:$F,"Albendazole &amp; DEC",
'New 20102013 LF Efficacy'!$W:$W,"&lt;2011",
'New 20102013 LF Efficacy'!$AA:$AA,""),
"")
</f>
        <v/>
      </c>
      <c r="AQ217" s="115">
        <f t="shared" si="13"/>
        <v>0.7935</v>
      </c>
      <c r="AR217" s="121" t="str">
        <f>IFERROR(
AVERAGEIFS(
'New 20102013 LF Efficacy'!$J:$J,
'New 20102013 LF Efficacy'!$D:$D,$A217,
'New 20102013 LF Efficacy'!$F:$F,"Albendazole &amp; Ivermectin", 
'New 20102013 LF Efficacy'!$W:$W,"&lt;2011",
'New 20102013 LF Efficacy'!$AA:$AA,""),"")</f>
        <v/>
      </c>
      <c r="AS217" s="115">
        <f t="shared" si="14"/>
        <v>0.37153125</v>
      </c>
      <c r="AT217" s="130" t="str">
        <f>IFERROR(AVERAGEIFS(
'20102013 Schist Efficacy'!$O:$O, 
'20102013 Schist Efficacy'!$C:$C,$A217, 
'20102013 Schist Efficacy'!$D:$D, "Praziquantel",
'20102013 Schist Efficacy'!$J:$J,"&lt;2011",
'20102013 Schist Efficacy'!$U:$U,""),
"")</f>
        <v/>
      </c>
      <c r="AU217" s="118">
        <f t="shared" si="15"/>
        <v>0.7763141026</v>
      </c>
      <c r="AV217" s="131" t="str">
        <f>IFERROR(AVERAGEIFS(
'20102013 STH Efficacy'!$AX:$AX, 
'20102013 STH Efficacy'!$AL:$AL, $A217, 
'20102013 STH Efficacy'!$AM:$AM, "Albendazole",
'20102013 STH Efficacy'!$AS:$AS,"&lt;2011",
'20102013 STH Efficacy'!$BP:$BP,""),
"")</f>
        <v/>
      </c>
      <c r="AW217" s="132">
        <f t="shared" si="16"/>
        <v>0.3842878788</v>
      </c>
      <c r="AX217" s="131" t="str">
        <f>IFERROR(AVERAGEIFS(
'20102013 STH Efficacy'!$AX:$AX, 
'20102013 STH Efficacy'!$AL:$AL, $A217, 
'20102013 STH Efficacy'!$AM:$AM, "Mebendazole",
'20102013 STH Efficacy'!$AS:$AS,"&lt;2011",
'20102013 STH Efficacy'!$BP:$BP,""),
"")</f>
        <v/>
      </c>
      <c r="AY217" s="132">
        <f t="shared" si="17"/>
        <v>0.5121666667</v>
      </c>
      <c r="AZ217" s="131" t="str">
        <f>IFERROR(AVERAGEIFS(
'20102013 STH Efficacy'!$AX:$AX, 
'20102013 STH Efficacy'!$AL:$AL, $A217, 
'20102013 STH Efficacy'!$AM:$AM, "Albendazole &amp; Ivermectin",
'20102013 STH Efficacy'!$AS:$AS,"&lt;2011",
'20102013 STH Efficacy'!$BP:$BP,""),
"")</f>
        <v/>
      </c>
      <c r="BA217" s="133">
        <f t="shared" si="18"/>
        <v>0.7176666667</v>
      </c>
      <c r="BB217" s="134" t="str">
        <f>IFERROR(AVERAGEIFS(
'20102013 STH Efficacy'!$N:$N, 
'20102013 STH Efficacy'!$B:$B, $A217, 
'20102013 STH Efficacy'!$C:$C, "Albendazole",
'20102013 STH Efficacy'!$I:$I,"&lt;2011",
'20102013 STH Efficacy'!$AH:$AH,""),
"")</f>
        <v/>
      </c>
      <c r="BC217" s="135">
        <f t="shared" si="19"/>
        <v>0.7630416667</v>
      </c>
      <c r="BD217" s="134" t="str">
        <f>IFERROR(AVERAGEIFS(
'20102013 STH Efficacy'!$N:$N, 
'20102013 STH Efficacy'!$B:$B, $A217, 
'20102013 STH Efficacy'!$C:$C, "Mebendazole",
'20102013 STH Efficacy'!$I:$I,"&lt;2011",
'20102013 STH Efficacy'!$AH:$AH,""),
"")</f>
        <v/>
      </c>
      <c r="BE217" s="135">
        <f t="shared" si="20"/>
        <v>0.4405966667</v>
      </c>
      <c r="BF217" s="128" t="str">
        <f>IFERROR(AVERAGEIFS(
'20102013 STH Efficacy'!$CD:$CD, 
'20102013 STH Efficacy'!$BS:$BS, $A217, 
'20102013 STH Efficacy'!$BT:$BT, "Albendazole",
'20102013 STH Efficacy'!$BZ:$BZ,"&lt;2011",
'20102013 STH Efficacy'!$CU:$CU,""),
"")</f>
        <v/>
      </c>
      <c r="BG217" s="136">
        <f t="shared" si="21"/>
        <v>0.955</v>
      </c>
      <c r="BH217" s="128" t="str">
        <f>IFERROR(AVERAGEIFS(
'20102013 STH Efficacy'!$CD:$CD, 
'20102013 STH Efficacy'!$BS:$BS, $A217, 
'20102013 STH Efficacy'!$BT:$BT, "Mebendazole",
'20102013 STH Efficacy'!$BZ:$BZ,"&lt;2011",
'20102013 STH Efficacy'!$CU:$CU,""),
"")</f>
        <v/>
      </c>
      <c r="BI217" s="136">
        <f t="shared" si="22"/>
        <v>1</v>
      </c>
      <c r="BJ217" s="128" t="str">
        <f>IFERROR(AVERAGEIFS(
'20102013 STH Efficacy'!$CD:$CD, 
'20102013 STH Efficacy'!$BS:$BS, $A217, 
'20102013 STH Efficacy'!$BT:$BT, "Albendazole &amp; Ivermectin",
'20102013 STH Efficacy'!$BZ:$BZ,"&lt;2011",
'20102013 STH Efficacy'!$CU:$CU,""),
"")</f>
        <v/>
      </c>
      <c r="BK217" s="136">
        <f t="shared" si="23"/>
        <v>1</v>
      </c>
      <c r="BL217" s="137"/>
      <c r="BM217" s="137"/>
      <c r="BN217" s="138">
        <v>0.0</v>
      </c>
      <c r="BO217" s="139">
        <v>0.0</v>
      </c>
      <c r="BP217" s="140">
        <v>0.0</v>
      </c>
      <c r="BQ217" s="141">
        <f t="shared" si="24"/>
        <v>0</v>
      </c>
      <c r="BR217" s="104" t="str">
        <f t="shared" si="25"/>
        <v>0000</v>
      </c>
      <c r="BS217" s="104" t="str">
        <f t="shared" si="26"/>
        <v>no action required</v>
      </c>
      <c r="BT217" s="142" t="str">
        <f t="shared" si="27"/>
        <v/>
      </c>
      <c r="BU217" s="104" t="str">
        <f t="shared" si="28"/>
        <v/>
      </c>
      <c r="BV217" s="104" t="str">
        <f t="shared" si="29"/>
        <v>none</v>
      </c>
      <c r="BW217" s="150" t="str">
        <f t="shared" si="30"/>
        <v/>
      </c>
      <c r="BX217" s="150" t="str">
        <f t="shared" si="31"/>
        <v/>
      </c>
      <c r="BY217" s="151" t="str">
        <f t="shared" si="32"/>
        <v/>
      </c>
      <c r="BZ217" s="152" t="str">
        <f t="shared" si="33"/>
        <v/>
      </c>
      <c r="CA217" s="152" t="str">
        <f t="shared" si="34"/>
        <v/>
      </c>
      <c r="CB217" s="152" t="str">
        <f t="shared" si="35"/>
        <v/>
      </c>
      <c r="CC217" s="153" t="str">
        <f t="shared" si="36"/>
        <v/>
      </c>
      <c r="CD217" s="153" t="str">
        <f t="shared" si="37"/>
        <v/>
      </c>
      <c r="CE217" s="154" t="str">
        <f t="shared" si="38"/>
        <v/>
      </c>
      <c r="CF217" s="154" t="str">
        <f t="shared" si="39"/>
        <v/>
      </c>
      <c r="CG217" s="154" t="str">
        <f t="shared" si="40"/>
        <v/>
      </c>
    </row>
    <row r="218">
      <c r="A218" s="103" t="s">
        <v>307</v>
      </c>
      <c r="B218" s="104" t="s">
        <v>88</v>
      </c>
      <c r="C218" s="105">
        <v>2.3606779E7</v>
      </c>
      <c r="D218" s="106">
        <v>51.06183874</v>
      </c>
      <c r="E218" s="107">
        <v>17085.50146</v>
      </c>
      <c r="F218" s="108">
        <v>3.574832186</v>
      </c>
      <c r="G218" s="108">
        <v>15.43787138</v>
      </c>
      <c r="H218" s="108">
        <v>19.01270357</v>
      </c>
      <c r="I218" s="109">
        <v>163.133088</v>
      </c>
      <c r="J218" s="109">
        <v>361.830485</v>
      </c>
      <c r="K218" s="109">
        <v>524.9635731</v>
      </c>
      <c r="L218" s="112">
        <v>763.6985614</v>
      </c>
      <c r="M218" s="112">
        <v>1043.946028</v>
      </c>
      <c r="N218" s="158">
        <v>1807.64459</v>
      </c>
      <c r="O218" s="159"/>
      <c r="P218" s="160">
        <v>48867.0</v>
      </c>
      <c r="Q218" s="156"/>
      <c r="R218" s="115">
        <f t="shared" si="8"/>
        <v>0</v>
      </c>
      <c r="S218" s="116">
        <f t="shared" si="9"/>
        <v>0.3211323089</v>
      </c>
      <c r="T218" s="118">
        <v>0.6753</v>
      </c>
      <c r="U218" s="118">
        <f t="shared" si="41"/>
        <v>0.6753</v>
      </c>
      <c r="V218" s="148"/>
      <c r="W218" s="120">
        <f t="shared" si="10"/>
        <v>0.9019</v>
      </c>
      <c r="X218" s="119">
        <v>0.1592</v>
      </c>
      <c r="Y218" s="120">
        <f t="shared" si="11"/>
        <v>0.1592</v>
      </c>
      <c r="Z218" s="114"/>
      <c r="AA218" s="114"/>
      <c r="AB218" s="114"/>
      <c r="AC218" s="114"/>
      <c r="AD218" s="164">
        <v>0.0</v>
      </c>
      <c r="AE218" s="123">
        <v>0.07</v>
      </c>
      <c r="AF218" s="123">
        <v>0.0154</v>
      </c>
      <c r="AG218" s="124">
        <v>0.0336</v>
      </c>
      <c r="AH218" s="124">
        <v>0.053850554</v>
      </c>
      <c r="AI218" s="125">
        <v>0.0104</v>
      </c>
      <c r="AJ218" s="125">
        <v>0.016572272</v>
      </c>
      <c r="AK218" s="127">
        <v>0.12</v>
      </c>
      <c r="AL218" s="169">
        <v>0.186846649</v>
      </c>
      <c r="AM218" s="128"/>
      <c r="AN218" s="149" t="str">
        <f>IFERROR(
  AVERAGEIFS(
    'New 20102013 LF Efficacy'!$J:$J,
    'New 20102013 LF Efficacy'!$D:$D, $A218,
    'New 20102013 LF Efficacy'!$F:$F,"DEC", 
    'New 20102013 LF Efficacy'!$W:$W,"&lt;2011",
    'New 20102013 LF Efficacy'!$AA:$AA,""),
  ""
)</f>
        <v/>
      </c>
      <c r="AO218" s="115">
        <f t="shared" si="12"/>
        <v>0.3573520833</v>
      </c>
      <c r="AP218" s="121" t="str">
        <f>IFERROR(
AVERAGEIFS(
'New 20102013 LF Efficacy'!$J:$J,
'New 20102013 LF Efficacy'!$D:$D,$A218,
'New 20102013 LF Efficacy'!$F:$F,"Albendazole &amp; DEC",
'New 20102013 LF Efficacy'!$W:$W,"&lt;2011",
'New 20102013 LF Efficacy'!$AA:$AA,""),
"")
</f>
        <v/>
      </c>
      <c r="AQ218" s="115">
        <f t="shared" si="13"/>
        <v>0.7935</v>
      </c>
      <c r="AR218" s="121" t="str">
        <f>IFERROR(
AVERAGEIFS(
'New 20102013 LF Efficacy'!$J:$J,
'New 20102013 LF Efficacy'!$D:$D,$A218,
'New 20102013 LF Efficacy'!$F:$F,"Albendazole &amp; Ivermectin", 
'New 20102013 LF Efficacy'!$W:$W,"&lt;2011",
'New 20102013 LF Efficacy'!$AA:$AA,""),"")</f>
        <v/>
      </c>
      <c r="AS218" s="115">
        <f t="shared" si="14"/>
        <v>0.37153125</v>
      </c>
      <c r="AT218" s="130" t="str">
        <f>IFERROR(AVERAGEIFS(
'20102013 Schist Efficacy'!$O:$O, 
'20102013 Schist Efficacy'!$C:$C,$A218, 
'20102013 Schist Efficacy'!$D:$D, "Praziquantel",
'20102013 Schist Efficacy'!$J:$J,"&lt;2011",
'20102013 Schist Efficacy'!$U:$U,""),
"")</f>
        <v/>
      </c>
      <c r="AU218" s="118">
        <f t="shared" si="15"/>
        <v>0.7763141026</v>
      </c>
      <c r="AV218" s="131" t="str">
        <f>IFERROR(AVERAGEIFS(
'20102013 STH Efficacy'!$AX:$AX, 
'20102013 STH Efficacy'!$AL:$AL, $A218, 
'20102013 STH Efficacy'!$AM:$AM, "Albendazole",
'20102013 STH Efficacy'!$AS:$AS,"&lt;2011",
'20102013 STH Efficacy'!$BP:$BP,""),
"")</f>
        <v/>
      </c>
      <c r="AW218" s="132">
        <f t="shared" si="16"/>
        <v>0.3842878788</v>
      </c>
      <c r="AX218" s="131" t="str">
        <f>IFERROR(AVERAGEIFS(
'20102013 STH Efficacy'!$AX:$AX, 
'20102013 STH Efficacy'!$AL:$AL, $A218, 
'20102013 STH Efficacy'!$AM:$AM, "Mebendazole",
'20102013 STH Efficacy'!$AS:$AS,"&lt;2011",
'20102013 STH Efficacy'!$BP:$BP,""),
"")</f>
        <v/>
      </c>
      <c r="AY218" s="132">
        <f t="shared" si="17"/>
        <v>0.5121666667</v>
      </c>
      <c r="AZ218" s="131" t="str">
        <f>IFERROR(AVERAGEIFS(
'20102013 STH Efficacy'!$AX:$AX, 
'20102013 STH Efficacy'!$AL:$AL, $A218, 
'20102013 STH Efficacy'!$AM:$AM, "Albendazole &amp; Ivermectin",
'20102013 STH Efficacy'!$AS:$AS,"&lt;2011",
'20102013 STH Efficacy'!$BP:$BP,""),
"")</f>
        <v/>
      </c>
      <c r="BA218" s="133">
        <f t="shared" si="18"/>
        <v>0.7176666667</v>
      </c>
      <c r="BB218" s="134" t="str">
        <f>IFERROR(AVERAGEIFS(
'20102013 STH Efficacy'!$N:$N, 
'20102013 STH Efficacy'!$B:$B, $A218, 
'20102013 STH Efficacy'!$C:$C, "Albendazole",
'20102013 STH Efficacy'!$I:$I,"&lt;2011",
'20102013 STH Efficacy'!$AH:$AH,""),
"")</f>
        <v/>
      </c>
      <c r="BC218" s="135">
        <f t="shared" si="19"/>
        <v>0.7630416667</v>
      </c>
      <c r="BD218" s="134" t="str">
        <f>IFERROR(AVERAGEIFS(
'20102013 STH Efficacy'!$N:$N, 
'20102013 STH Efficacy'!$B:$B, $A218, 
'20102013 STH Efficacy'!$C:$C, "Mebendazole",
'20102013 STH Efficacy'!$I:$I,"&lt;2011",
'20102013 STH Efficacy'!$AH:$AH,""),
"")</f>
        <v/>
      </c>
      <c r="BE218" s="135">
        <f t="shared" si="20"/>
        <v>0.4405966667</v>
      </c>
      <c r="BF218" s="128" t="str">
        <f>IFERROR(AVERAGEIFS(
'20102013 STH Efficacy'!$CD:$CD, 
'20102013 STH Efficacy'!$BS:$BS, $A218, 
'20102013 STH Efficacy'!$BT:$BT, "Albendazole",
'20102013 STH Efficacy'!$BZ:$BZ,"&lt;2011",
'20102013 STH Efficacy'!$CU:$CU,""),
"")</f>
        <v/>
      </c>
      <c r="BG218" s="136">
        <f t="shared" si="21"/>
        <v>0.955</v>
      </c>
      <c r="BH218" s="128" t="str">
        <f>IFERROR(AVERAGEIFS(
'20102013 STH Efficacy'!$CD:$CD, 
'20102013 STH Efficacy'!$BS:$BS, $A218, 
'20102013 STH Efficacy'!$BT:$BT, "Mebendazole",
'20102013 STH Efficacy'!$BZ:$BZ,"&lt;2011",
'20102013 STH Efficacy'!$CU:$CU,""),
"")</f>
        <v/>
      </c>
      <c r="BI218" s="136">
        <f t="shared" si="22"/>
        <v>1</v>
      </c>
      <c r="BJ218" s="128" t="str">
        <f>IFERROR(AVERAGEIFS(
'20102013 STH Efficacy'!$CD:$CD, 
'20102013 STH Efficacy'!$BS:$BS, $A218, 
'20102013 STH Efficacy'!$BT:$BT, "Albendazole &amp; Ivermectin",
'20102013 STH Efficacy'!$BZ:$BZ,"&lt;2011",
'20102013 STH Efficacy'!$CU:$CU,""),
"")</f>
        <v/>
      </c>
      <c r="BK218" s="136">
        <f t="shared" si="23"/>
        <v>1</v>
      </c>
      <c r="BL218" s="137"/>
      <c r="BM218" s="137"/>
      <c r="BN218" s="138">
        <v>1.0</v>
      </c>
      <c r="BO218" s="139">
        <v>1.0</v>
      </c>
      <c r="BP218" s="140">
        <v>1.0</v>
      </c>
      <c r="BQ218" s="141">
        <f t="shared" si="24"/>
        <v>0</v>
      </c>
      <c r="BR218" s="104" t="str">
        <f t="shared" si="25"/>
        <v>1110</v>
      </c>
      <c r="BS218" s="104" t="str">
        <f t="shared" si="26"/>
        <v>MDA1+T2</v>
      </c>
      <c r="BT218" s="142" t="str">
        <f t="shared" si="27"/>
        <v>IVM+ALB</v>
      </c>
      <c r="BU218" s="104" t="str">
        <f t="shared" si="28"/>
        <v>PZQ</v>
      </c>
      <c r="BV218" s="104" t="str">
        <f t="shared" si="29"/>
        <v>lf+onch+schist </v>
      </c>
      <c r="BW218" s="150" t="str">
        <f t="shared" si="30"/>
        <v/>
      </c>
      <c r="BX218" s="150">
        <f t="shared" si="31"/>
        <v>6.917562227</v>
      </c>
      <c r="BY218" s="162">
        <f t="shared" si="32"/>
        <v>18826.88696</v>
      </c>
      <c r="BZ218" s="152" t="str">
        <f t="shared" si="33"/>
        <v/>
      </c>
      <c r="CA218" s="152" t="str">
        <f t="shared" si="34"/>
        <v/>
      </c>
      <c r="CB218" s="152" t="str">
        <f t="shared" si="35"/>
        <v/>
      </c>
      <c r="CC218" s="153" t="str">
        <f t="shared" si="36"/>
        <v/>
      </c>
      <c r="CD218" s="153" t="str">
        <f t="shared" si="37"/>
        <v/>
      </c>
      <c r="CE218" s="154" t="str">
        <f t="shared" si="38"/>
        <v/>
      </c>
      <c r="CF218" s="154" t="str">
        <f t="shared" si="39"/>
        <v/>
      </c>
      <c r="CG218" s="154" t="str">
        <f t="shared" si="40"/>
        <v/>
      </c>
    </row>
    <row r="219">
      <c r="A219" s="103" t="s">
        <v>308</v>
      </c>
      <c r="B219" s="104" t="s">
        <v>92</v>
      </c>
      <c r="C219" s="105">
        <v>1.3850033E7</v>
      </c>
      <c r="D219" s="106">
        <v>4527.76798</v>
      </c>
      <c r="E219" s="107">
        <v>30006.67938</v>
      </c>
      <c r="F219" s="108">
        <v>3.931860404</v>
      </c>
      <c r="G219" s="108">
        <v>17.52896164</v>
      </c>
      <c r="H219" s="157">
        <v>21.46082205</v>
      </c>
      <c r="I219" s="110">
        <v>1934.72978</v>
      </c>
      <c r="J219" s="110">
        <v>5052.04172</v>
      </c>
      <c r="K219" s="109">
        <v>6986.771502</v>
      </c>
      <c r="L219" s="112">
        <v>4447.945738</v>
      </c>
      <c r="M219" s="112">
        <v>580.8273977</v>
      </c>
      <c r="N219" s="158">
        <v>5028.773136</v>
      </c>
      <c r="O219" s="159"/>
      <c r="P219" s="160">
        <v>8780000.0</v>
      </c>
      <c r="Q219" s="156"/>
      <c r="R219" s="115">
        <f t="shared" si="8"/>
        <v>0</v>
      </c>
      <c r="S219" s="116">
        <f t="shared" si="9"/>
        <v>0.1716437208</v>
      </c>
      <c r="T219" s="118">
        <v>0.0</v>
      </c>
      <c r="U219" s="118">
        <f t="shared" si="41"/>
        <v>0</v>
      </c>
      <c r="V219" s="119">
        <v>1.0</v>
      </c>
      <c r="W219" s="120">
        <f t="shared" si="10"/>
        <v>1</v>
      </c>
      <c r="X219" s="119">
        <v>0.0058</v>
      </c>
      <c r="Y219" s="120">
        <f t="shared" si="11"/>
        <v>0.0058</v>
      </c>
      <c r="Z219" s="114"/>
      <c r="AA219" s="114"/>
      <c r="AB219" s="114"/>
      <c r="AC219" s="114"/>
      <c r="AD219" s="164">
        <v>0.0</v>
      </c>
      <c r="AE219" s="123">
        <v>0.21</v>
      </c>
      <c r="AF219" s="123">
        <v>0.0858</v>
      </c>
      <c r="AG219" s="167">
        <v>0.0</v>
      </c>
      <c r="AH219" s="124">
        <v>0.068790102</v>
      </c>
      <c r="AI219" s="168">
        <v>0.0</v>
      </c>
      <c r="AJ219" s="125">
        <v>0.270816599</v>
      </c>
      <c r="AK219" s="126">
        <v>0.0</v>
      </c>
      <c r="AL219" s="169">
        <v>0.048077951</v>
      </c>
      <c r="AM219" s="128"/>
      <c r="AN219" s="149" t="str">
        <f>IFERROR(
  AVERAGEIFS(
    'New 20102013 LF Efficacy'!$J:$J,
    'New 20102013 LF Efficacy'!$D:$D, $A219,
    'New 20102013 LF Efficacy'!$F:$F,"DEC", 
    'New 20102013 LF Efficacy'!$W:$W,"&lt;2011",
    'New 20102013 LF Efficacy'!$AA:$AA,""),
  ""
)</f>
        <v/>
      </c>
      <c r="AO219" s="115">
        <f t="shared" si="12"/>
        <v>0.31225</v>
      </c>
      <c r="AP219" s="121" t="str">
        <f>IFERROR(
AVERAGEIFS(
'New 20102013 LF Efficacy'!$J:$J,
'New 20102013 LF Efficacy'!$D:$D,$A219,
'New 20102013 LF Efficacy'!$F:$F,"Albendazole &amp; DEC",
'New 20102013 LF Efficacy'!$W:$W,"&lt;2011",
'New 20102013 LF Efficacy'!$AA:$AA,""),
"")
</f>
        <v/>
      </c>
      <c r="AQ219" s="115">
        <f t="shared" si="13"/>
        <v>0.4</v>
      </c>
      <c r="AR219" s="121" t="str">
        <f>IFERROR(
AVERAGEIFS(
'New 20102013 LF Efficacy'!$J:$J,
'New 20102013 LF Efficacy'!$D:$D,$A219,
'New 20102013 LF Efficacy'!$F:$F,"Albendazole &amp; Ivermectin", 
'New 20102013 LF Efficacy'!$W:$W,"&lt;2011",
'New 20102013 LF Efficacy'!$AA:$AA,""),"")</f>
        <v/>
      </c>
      <c r="AS219" s="115">
        <f t="shared" si="14"/>
        <v>0.2943125</v>
      </c>
      <c r="AT219" s="130">
        <f>IFERROR(AVERAGEIFS(
'20102013 Schist Efficacy'!$O:$O, 
'20102013 Schist Efficacy'!$C:$C,$A219, 
'20102013 Schist Efficacy'!$D:$D, "Praziquantel",
'20102013 Schist Efficacy'!$J:$J,"&lt;2011",
'20102013 Schist Efficacy'!$U:$U,""),
"")</f>
        <v>0.57</v>
      </c>
      <c r="AU219" s="118">
        <f t="shared" si="15"/>
        <v>0.57</v>
      </c>
      <c r="AV219" s="131" t="str">
        <f>IFERROR(AVERAGEIFS(
'20102013 STH Efficacy'!$AX:$AX, 
'20102013 STH Efficacy'!$AL:$AL, $A219, 
'20102013 STH Efficacy'!$AM:$AM, "Albendazole",
'20102013 STH Efficacy'!$AS:$AS,"&lt;2011",
'20102013 STH Efficacy'!$BP:$BP,""),
"")</f>
        <v/>
      </c>
      <c r="AW219" s="132">
        <f t="shared" si="16"/>
        <v>0.3538333333</v>
      </c>
      <c r="AX219" s="131" t="str">
        <f>IFERROR(AVERAGEIFS(
'20102013 STH Efficacy'!$AX:$AX, 
'20102013 STH Efficacy'!$AL:$AL, $A219, 
'20102013 STH Efficacy'!$AM:$AM, "Mebendazole",
'20102013 STH Efficacy'!$AS:$AS,"&lt;2011",
'20102013 STH Efficacy'!$BP:$BP,""),
"")</f>
        <v/>
      </c>
      <c r="AY219" s="132">
        <f t="shared" si="17"/>
        <v>0.5918333333</v>
      </c>
      <c r="AZ219" s="131" t="str">
        <f>IFERROR(AVERAGEIFS(
'20102013 STH Efficacy'!$AX:$AX, 
'20102013 STH Efficacy'!$AL:$AL, $A219, 
'20102013 STH Efficacy'!$AM:$AM, "Albendazole &amp; Ivermectin",
'20102013 STH Efficacy'!$AS:$AS,"&lt;2011",
'20102013 STH Efficacy'!$BP:$BP,""),
"")</f>
        <v/>
      </c>
      <c r="BA219" s="133">
        <f t="shared" si="18"/>
        <v>0.706</v>
      </c>
      <c r="BB219" s="134" t="str">
        <f>IFERROR(AVERAGEIFS(
'20102013 STH Efficacy'!$N:$N, 
'20102013 STH Efficacy'!$B:$B, $A219, 
'20102013 STH Efficacy'!$C:$C, "Albendazole",
'20102013 STH Efficacy'!$I:$I,"&lt;2011",
'20102013 STH Efficacy'!$AH:$AH,""),
"")</f>
        <v/>
      </c>
      <c r="BC219" s="135">
        <f t="shared" si="19"/>
        <v>0.9116666667</v>
      </c>
      <c r="BD219" s="134" t="str">
        <f>IFERROR(AVERAGEIFS(
'20102013 STH Efficacy'!$N:$N, 
'20102013 STH Efficacy'!$B:$B, $A219, 
'20102013 STH Efficacy'!$C:$C, "Mebendazole",
'20102013 STH Efficacy'!$I:$I,"&lt;2011",
'20102013 STH Efficacy'!$AH:$AH,""),
"")</f>
        <v/>
      </c>
      <c r="BE219" s="135">
        <f t="shared" si="20"/>
        <v>0.7092416667</v>
      </c>
      <c r="BF219" s="128" t="str">
        <f>IFERROR(AVERAGEIFS(
'20102013 STH Efficacy'!$CD:$CD, 
'20102013 STH Efficacy'!$BS:$BS, $A219, 
'20102013 STH Efficacy'!$BT:$BT, "Albendazole",
'20102013 STH Efficacy'!$BZ:$BZ,"&lt;2011",
'20102013 STH Efficacy'!$CU:$CU,""),
"")</f>
        <v/>
      </c>
      <c r="BG219" s="136">
        <f t="shared" si="21"/>
        <v>0.8656666667</v>
      </c>
      <c r="BH219" s="128" t="str">
        <f>IFERROR(AVERAGEIFS(
'20102013 STH Efficacy'!$CD:$CD, 
'20102013 STH Efficacy'!$BS:$BS, $A219, 
'20102013 STH Efficacy'!$BT:$BT, "Mebendazole",
'20102013 STH Efficacy'!$BZ:$BZ,"&lt;2011",
'20102013 STH Efficacy'!$CU:$CU,""),
"")</f>
        <v/>
      </c>
      <c r="BI219" s="136">
        <f t="shared" si="22"/>
        <v>0.9203333333</v>
      </c>
      <c r="BJ219" s="128" t="str">
        <f>IFERROR(AVERAGEIFS(
'20102013 STH Efficacy'!$CD:$CD, 
'20102013 STH Efficacy'!$BS:$BS, $A219, 
'20102013 STH Efficacy'!$BT:$BT, "Albendazole &amp; Ivermectin",
'20102013 STH Efficacy'!$BZ:$BZ,"&lt;2011",
'20102013 STH Efficacy'!$CU:$CU,""),
"")</f>
        <v/>
      </c>
      <c r="BK219" s="136">
        <f t="shared" si="23"/>
        <v>1</v>
      </c>
      <c r="BL219" s="137"/>
      <c r="BM219" s="137"/>
      <c r="BN219" s="138">
        <v>1.0</v>
      </c>
      <c r="BO219" s="139">
        <v>1.0</v>
      </c>
      <c r="BP219" s="140">
        <v>1.0</v>
      </c>
      <c r="BQ219" s="141">
        <f t="shared" si="24"/>
        <v>0</v>
      </c>
      <c r="BR219" s="104" t="str">
        <f t="shared" si="25"/>
        <v>1110</v>
      </c>
      <c r="BS219" s="104" t="str">
        <f t="shared" si="26"/>
        <v>MDA1+T2</v>
      </c>
      <c r="BT219" s="142" t="str">
        <f t="shared" si="27"/>
        <v>IVM+ALB</v>
      </c>
      <c r="BU219" s="104" t="str">
        <f t="shared" si="28"/>
        <v>PZQ</v>
      </c>
      <c r="BV219" s="104" t="str">
        <f t="shared" si="29"/>
        <v>lf+onch+schist </v>
      </c>
      <c r="BW219" s="150" t="str">
        <f t="shared" si="30"/>
        <v/>
      </c>
      <c r="BX219" s="150">
        <f t="shared" si="31"/>
        <v>240.898197</v>
      </c>
      <c r="BY219" s="162">
        <f t="shared" si="32"/>
        <v>0</v>
      </c>
      <c r="BZ219" s="152" t="str">
        <f t="shared" si="33"/>
        <v/>
      </c>
      <c r="CA219" s="152" t="str">
        <f t="shared" si="34"/>
        <v/>
      </c>
      <c r="CB219" s="152" t="str">
        <f t="shared" si="35"/>
        <v/>
      </c>
      <c r="CC219" s="153" t="str">
        <f t="shared" si="36"/>
        <v/>
      </c>
      <c r="CD219" s="153" t="str">
        <f t="shared" si="37"/>
        <v/>
      </c>
      <c r="CE219" s="154" t="str">
        <f t="shared" si="38"/>
        <v/>
      </c>
      <c r="CF219" s="154" t="str">
        <f t="shared" si="39"/>
        <v/>
      </c>
      <c r="CG219" s="154" t="str">
        <f t="shared" si="40"/>
        <v/>
      </c>
    </row>
    <row r="220">
      <c r="A220" s="181" t="s">
        <v>309</v>
      </c>
      <c r="B220" s="182" t="s">
        <v>92</v>
      </c>
      <c r="C220" s="183">
        <v>1.4086317E7</v>
      </c>
      <c r="D220" s="184">
        <v>58.98326144</v>
      </c>
      <c r="E220" s="185">
        <v>26083.20982</v>
      </c>
      <c r="F220" s="186">
        <v>428.1237568</v>
      </c>
      <c r="G220" s="186">
        <v>1957.367123</v>
      </c>
      <c r="H220" s="187">
        <v>2385.49088</v>
      </c>
      <c r="I220" s="188">
        <v>2669.75215</v>
      </c>
      <c r="J220" s="188">
        <v>2754.79298</v>
      </c>
      <c r="K220" s="189">
        <v>5424.545125</v>
      </c>
      <c r="L220" s="190">
        <v>994.8667347</v>
      </c>
      <c r="M220" s="190">
        <v>271.7603626</v>
      </c>
      <c r="N220" s="191">
        <v>1266.627097</v>
      </c>
      <c r="O220" s="192"/>
      <c r="P220" s="193">
        <v>6000000.0</v>
      </c>
      <c r="Q220" s="194"/>
      <c r="R220" s="115">
        <f t="shared" si="8"/>
        <v>0</v>
      </c>
      <c r="S220" s="195">
        <f t="shared" si="9"/>
        <v>0.1716437208</v>
      </c>
      <c r="T220" s="196">
        <v>0.0</v>
      </c>
      <c r="U220" s="196">
        <f t="shared" si="41"/>
        <v>0</v>
      </c>
      <c r="V220" s="197"/>
      <c r="W220" s="198">
        <f t="shared" si="10"/>
        <v>0.7266555556</v>
      </c>
      <c r="X220" s="197"/>
      <c r="Y220" s="198">
        <f t="shared" si="11"/>
        <v>0.4342071429</v>
      </c>
      <c r="Z220" s="199"/>
      <c r="AA220" s="199"/>
      <c r="AB220" s="199"/>
      <c r="AC220" s="199"/>
      <c r="AD220" s="200">
        <v>0.0</v>
      </c>
      <c r="AE220" s="201">
        <v>0.17</v>
      </c>
      <c r="AF220" s="201">
        <v>0.115</v>
      </c>
      <c r="AG220" s="202">
        <v>0.1966</v>
      </c>
      <c r="AH220" s="202">
        <v>0.304788922</v>
      </c>
      <c r="AI220" s="203">
        <v>0.1151</v>
      </c>
      <c r="AJ220" s="203">
        <v>0.182702588</v>
      </c>
      <c r="AK220" s="204">
        <v>0.0</v>
      </c>
      <c r="AL220" s="205">
        <v>0.066560715</v>
      </c>
      <c r="AM220" s="206"/>
      <c r="AN220" s="149" t="str">
        <f>IFERROR(
  AVERAGEIFS(
    'New 20102013 LF Efficacy'!$J:$J,
    'New 20102013 LF Efficacy'!$D:$D, $A220,
    'New 20102013 LF Efficacy'!$F:$F,"DEC", 
    'New 20102013 LF Efficacy'!$W:$W,"&lt;2011",
    'New 20102013 LF Efficacy'!$AA:$AA,""),
  ""
)</f>
        <v/>
      </c>
      <c r="AO220" s="115">
        <f t="shared" si="12"/>
        <v>0.31225</v>
      </c>
      <c r="AP220" s="121" t="str">
        <f>IFERROR(
AVERAGEIFS(
'New 20102013 LF Efficacy'!$J:$J,
'New 20102013 LF Efficacy'!$D:$D,$A220,
'New 20102013 LF Efficacy'!$F:$F,"Albendazole &amp; DEC",
'New 20102013 LF Efficacy'!$W:$W,"&lt;2011",
'New 20102013 LF Efficacy'!$AA:$AA,""),
"")
</f>
        <v/>
      </c>
      <c r="AQ220" s="115">
        <f t="shared" si="13"/>
        <v>0.4</v>
      </c>
      <c r="AR220" s="121" t="str">
        <f>IFERROR(
AVERAGEIFS(
'New 20102013 LF Efficacy'!$J:$J,
'New 20102013 LF Efficacy'!$D:$D,$A220,
'New 20102013 LF Efficacy'!$F:$F,"Albendazole &amp; Ivermectin", 
'New 20102013 LF Efficacy'!$W:$W,"&lt;2011",
'New 20102013 LF Efficacy'!$AA:$AA,""),"")</f>
        <v/>
      </c>
      <c r="AS220" s="115">
        <f t="shared" si="14"/>
        <v>0.2943125</v>
      </c>
      <c r="AT220" s="130">
        <f>IFERROR(AVERAGEIFS(
'20102013 Schist Efficacy'!$O:$O, 
'20102013 Schist Efficacy'!$C:$C,$A220, 
'20102013 Schist Efficacy'!$D:$D, "Praziquantel",
'20102013 Schist Efficacy'!$J:$J,"&lt;2011",
'20102013 Schist Efficacy'!$U:$U,""),
"")</f>
        <v>0.34325</v>
      </c>
      <c r="AU220" s="118">
        <f t="shared" si="15"/>
        <v>0.34325</v>
      </c>
      <c r="AV220" s="131" t="str">
        <f>IFERROR(AVERAGEIFS(
'20102013 STH Efficacy'!$AX:$AX, 
'20102013 STH Efficacy'!$AL:$AL, $A220, 
'20102013 STH Efficacy'!$AM:$AM, "Albendazole",
'20102013 STH Efficacy'!$AS:$AS,"&lt;2011",
'20102013 STH Efficacy'!$BP:$BP,""),
"")</f>
        <v/>
      </c>
      <c r="AW220" s="132">
        <f t="shared" si="16"/>
        <v>0.3538333333</v>
      </c>
      <c r="AX220" s="131" t="str">
        <f>IFERROR(AVERAGEIFS(
'20102013 STH Efficacy'!$AX:$AX, 
'20102013 STH Efficacy'!$AL:$AL, $A220, 
'20102013 STH Efficacy'!$AM:$AM, "Mebendazole",
'20102013 STH Efficacy'!$AS:$AS,"&lt;2011",
'20102013 STH Efficacy'!$BP:$BP,""),
"")</f>
        <v/>
      </c>
      <c r="AY220" s="132">
        <f t="shared" si="17"/>
        <v>0.5918333333</v>
      </c>
      <c r="AZ220" s="131" t="str">
        <f>IFERROR(AVERAGEIFS(
'20102013 STH Efficacy'!$AX:$AX, 
'20102013 STH Efficacy'!$AL:$AL, $A220, 
'20102013 STH Efficacy'!$AM:$AM, "Albendazole &amp; Ivermectin",
'20102013 STH Efficacy'!$AS:$AS,"&lt;2011",
'20102013 STH Efficacy'!$BP:$BP,""),
"")</f>
        <v/>
      </c>
      <c r="BA220" s="133">
        <f t="shared" si="18"/>
        <v>0.706</v>
      </c>
      <c r="BB220" s="134" t="str">
        <f>IFERROR(AVERAGEIFS(
'20102013 STH Efficacy'!$N:$N, 
'20102013 STH Efficacy'!$B:$B, $A220, 
'20102013 STH Efficacy'!$C:$C, "Albendazole",
'20102013 STH Efficacy'!$I:$I,"&lt;2011",
'20102013 STH Efficacy'!$AH:$AH,""),
"")</f>
        <v/>
      </c>
      <c r="BC220" s="135">
        <f t="shared" si="19"/>
        <v>0.9116666667</v>
      </c>
      <c r="BD220" s="134" t="str">
        <f>IFERROR(AVERAGEIFS(
'20102013 STH Efficacy'!$N:$N, 
'20102013 STH Efficacy'!$B:$B, $A220, 
'20102013 STH Efficacy'!$C:$C, "Mebendazole",
'20102013 STH Efficacy'!$I:$I,"&lt;2011",
'20102013 STH Efficacy'!$AH:$AH,""),
"")</f>
        <v/>
      </c>
      <c r="BE220" s="135">
        <f t="shared" si="20"/>
        <v>0.7092416667</v>
      </c>
      <c r="BF220" s="128" t="str">
        <f>IFERROR(AVERAGEIFS(
'20102013 STH Efficacy'!$CD:$CD, 
'20102013 STH Efficacy'!$BS:$BS, $A220, 
'20102013 STH Efficacy'!$BT:$BT, "Albendazole",
'20102013 STH Efficacy'!$BZ:$BZ,"&lt;2011",
'20102013 STH Efficacy'!$CU:$CU,""),
"")</f>
        <v/>
      </c>
      <c r="BG220" s="136">
        <f t="shared" si="21"/>
        <v>0.8656666667</v>
      </c>
      <c r="BH220" s="128" t="str">
        <f>IFERROR(AVERAGEIFS(
'20102013 STH Efficacy'!$CD:$CD, 
'20102013 STH Efficacy'!$BS:$BS, $A220, 
'20102013 STH Efficacy'!$BT:$BT, "Mebendazole",
'20102013 STH Efficacy'!$BZ:$BZ,"&lt;2011",
'20102013 STH Efficacy'!$CU:$CU,""),
"")</f>
        <v/>
      </c>
      <c r="BI220" s="136">
        <f t="shared" si="22"/>
        <v>0.9203333333</v>
      </c>
      <c r="BJ220" s="128" t="str">
        <f>IFERROR(AVERAGEIFS(
'20102013 STH Efficacy'!$CD:$CD, 
'20102013 STH Efficacy'!$BS:$BS, $A220, 
'20102013 STH Efficacy'!$BT:$BT, "Albendazole &amp; Ivermectin",
'20102013 STH Efficacy'!$BZ:$BZ,"&lt;2011",
'20102013 STH Efficacy'!$CU:$CU,""),
"")</f>
        <v/>
      </c>
      <c r="BK220" s="136">
        <f t="shared" si="23"/>
        <v>1</v>
      </c>
      <c r="BL220" s="207"/>
      <c r="BM220" s="207"/>
      <c r="BN220" s="208">
        <v>1.0</v>
      </c>
      <c r="BO220" s="209">
        <v>1.0</v>
      </c>
      <c r="BP220" s="210">
        <v>1.0</v>
      </c>
      <c r="BQ220" s="211">
        <f t="shared" si="24"/>
        <v>0</v>
      </c>
      <c r="BR220" s="182" t="str">
        <f t="shared" si="25"/>
        <v>1110</v>
      </c>
      <c r="BS220" s="182" t="str">
        <f t="shared" si="26"/>
        <v>MDA1+T2</v>
      </c>
      <c r="BT220" s="212" t="str">
        <f t="shared" si="27"/>
        <v>IVM+ALB</v>
      </c>
      <c r="BU220" s="182" t="str">
        <f t="shared" si="28"/>
        <v>PZQ</v>
      </c>
      <c r="BV220" s="104" t="str">
        <f t="shared" si="29"/>
        <v>lf+onch+schist </v>
      </c>
      <c r="BW220" s="150" t="str">
        <f t="shared" si="30"/>
        <v/>
      </c>
      <c r="BX220" s="150">
        <f t="shared" si="31"/>
        <v>3.1381823</v>
      </c>
      <c r="BY220" s="213">
        <f t="shared" si="32"/>
        <v>0</v>
      </c>
      <c r="BZ220" s="152" t="str">
        <f t="shared" si="33"/>
        <v/>
      </c>
      <c r="CA220" s="152" t="str">
        <f t="shared" si="34"/>
        <v/>
      </c>
      <c r="CB220" s="152" t="str">
        <f t="shared" si="35"/>
        <v/>
      </c>
      <c r="CC220" s="153" t="str">
        <f t="shared" si="36"/>
        <v/>
      </c>
      <c r="CD220" s="153" t="str">
        <f t="shared" si="37"/>
        <v/>
      </c>
      <c r="CE220" s="154" t="str">
        <f t="shared" si="38"/>
        <v/>
      </c>
      <c r="CF220" s="154" t="str">
        <f t="shared" si="39"/>
        <v/>
      </c>
      <c r="CG220" s="154" t="str">
        <f t="shared" si="40"/>
        <v/>
      </c>
    </row>
    <row r="221">
      <c r="A221" s="40"/>
      <c r="B221" s="40"/>
      <c r="C221" s="40"/>
      <c r="D221" s="214"/>
      <c r="E221" s="214">
        <f>sum(E4:E220)</f>
        <v>2388539.47</v>
      </c>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215">
        <f>sum(AE4:AE220)</f>
        <v>10.43</v>
      </c>
      <c r="AF221" s="216"/>
      <c r="AG221" s="217"/>
      <c r="AH221" s="217"/>
      <c r="AI221" s="217"/>
      <c r="AJ221" s="216"/>
      <c r="AK221" s="217"/>
      <c r="AL221" s="217"/>
      <c r="AM221" s="40"/>
      <c r="AN221" s="40"/>
      <c r="AO221" s="218" t="s">
        <v>310</v>
      </c>
      <c r="AP221" s="40"/>
      <c r="AQ221" s="40"/>
      <c r="AR221" s="40"/>
      <c r="AS221" s="40"/>
      <c r="AT221" s="40"/>
      <c r="AU221" s="216"/>
      <c r="AV221" s="40"/>
      <c r="AW221" s="40"/>
      <c r="AX221" s="40"/>
      <c r="AY221" s="40"/>
      <c r="AZ221" s="40"/>
      <c r="BA221" s="40"/>
      <c r="BB221" s="216"/>
      <c r="BC221" s="40"/>
      <c r="BD221" s="40"/>
      <c r="BE221" s="40"/>
      <c r="BF221" s="40"/>
      <c r="BG221" s="40"/>
      <c r="BH221" s="40"/>
      <c r="BI221" s="40"/>
      <c r="BJ221" s="40"/>
      <c r="BK221" s="40"/>
      <c r="BL221" s="40"/>
      <c r="BM221" s="40"/>
      <c r="BN221" s="40"/>
      <c r="BQ221" s="219"/>
      <c r="BR221" s="220" t="s">
        <v>311</v>
      </c>
      <c r="BS221" s="221" t="s">
        <v>312</v>
      </c>
      <c r="BT221" s="40"/>
      <c r="BU221" s="40"/>
      <c r="BV221" s="222" t="s">
        <v>88</v>
      </c>
      <c r="BW221" s="223">
        <f>SUMIF(B4:B220,"EMR",BW4:BW220)</f>
        <v>0</v>
      </c>
      <c r="BX221" s="223">
        <f>SUMIF(B4:B220,"EMR",BX4:BX220)</f>
        <v>612.1310151</v>
      </c>
      <c r="BY221" s="222">
        <f>count(BY4:BY220)</f>
        <v>51</v>
      </c>
      <c r="BZ221" s="223">
        <f>SUMIF(B4:B220,"EMR",BZ4:BZ220)</f>
        <v>0</v>
      </c>
      <c r="CA221" s="223">
        <f>SUMIF(B4:B220,"EMR",CA4:CA220)</f>
        <v>0</v>
      </c>
      <c r="CB221" s="223">
        <f>SUMIF(B4:B220,"EMR",CB4:CB220)</f>
        <v>0</v>
      </c>
      <c r="CC221" s="223">
        <f>SUMIF(B4:B220,"EMR",CC4:CC220)</f>
        <v>0</v>
      </c>
      <c r="CD221" s="223">
        <f>SUMIF(B4:B220,"EMR",CD4:CD220)</f>
        <v>0</v>
      </c>
      <c r="CE221" s="223">
        <f>SUMIF(B4:B220,"EMR",CE4:CE220)</f>
        <v>0</v>
      </c>
      <c r="CF221" s="223">
        <f>SUMIF(B4:B220,"EMR",CF4:CF220)</f>
        <v>0</v>
      </c>
      <c r="CG221" s="223">
        <f>SUMIF(B4:B220,"EMR",CG4:CG220)</f>
        <v>0</v>
      </c>
    </row>
    <row r="222">
      <c r="A222" s="103"/>
      <c r="B222" s="40"/>
      <c r="C222" s="40"/>
      <c r="D222" s="214"/>
      <c r="E222" s="40"/>
      <c r="F222" s="40"/>
      <c r="G222" s="214"/>
      <c r="H222" s="214"/>
      <c r="I222" s="214"/>
      <c r="J222" s="214"/>
      <c r="K222" s="40"/>
      <c r="L222" s="40"/>
      <c r="M222" s="40"/>
      <c r="N222" s="40"/>
      <c r="O222" s="40"/>
      <c r="P222" s="40"/>
      <c r="Q222" s="40"/>
      <c r="R222" s="40"/>
      <c r="S222" s="40"/>
      <c r="T222" s="40"/>
      <c r="U222" s="40"/>
      <c r="V222" s="40"/>
      <c r="W222" s="40"/>
      <c r="X222" s="40"/>
      <c r="Y222" s="40"/>
      <c r="Z222" s="40"/>
      <c r="AA222" s="40"/>
      <c r="AB222" s="40"/>
      <c r="AC222" s="40"/>
      <c r="AD222" s="40"/>
      <c r="AE222" s="40"/>
      <c r="AF222" s="216"/>
      <c r="AG222" s="217"/>
      <c r="AH222" s="40"/>
      <c r="AI222" s="40"/>
      <c r="AJ222" s="216"/>
      <c r="AK222" s="40"/>
      <c r="AL222" s="40"/>
      <c r="AM222" s="40"/>
      <c r="AN222" s="40"/>
      <c r="AO222" s="40"/>
      <c r="AP222" s="40"/>
      <c r="AQ222" s="40"/>
      <c r="AR222" s="40"/>
      <c r="AS222" s="40"/>
      <c r="AT222" s="40"/>
      <c r="AU222" s="216"/>
      <c r="AV222" s="40"/>
      <c r="AW222" s="40"/>
      <c r="AX222" s="40"/>
      <c r="AY222" s="40"/>
      <c r="AZ222" s="40"/>
      <c r="BA222" s="40"/>
      <c r="BB222" s="216"/>
      <c r="BC222" s="40"/>
      <c r="BD222" s="40"/>
      <c r="BE222" s="40"/>
      <c r="BF222" s="40"/>
      <c r="BG222" s="40"/>
      <c r="BH222" s="40"/>
      <c r="BI222" s="40"/>
      <c r="BJ222" s="40"/>
      <c r="BK222" s="40"/>
      <c r="BL222" s="40"/>
      <c r="BM222" s="40"/>
      <c r="BN222" s="40"/>
      <c r="BQ222" s="219"/>
      <c r="BR222" s="220" t="s">
        <v>313</v>
      </c>
      <c r="BS222" s="221" t="s">
        <v>314</v>
      </c>
      <c r="BT222" s="40"/>
      <c r="BU222" s="40"/>
      <c r="BV222" s="224" t="s">
        <v>92</v>
      </c>
      <c r="BW222" s="223">
        <f>SUMIF(B4:B220,"AFR",BW4:BW220)</f>
        <v>78.6741355</v>
      </c>
      <c r="BX222" s="223">
        <f>SUMIF(B4:B220,"AFR",BX4:BX220)</f>
        <v>60473.86142</v>
      </c>
      <c r="BY222" s="40"/>
      <c r="BZ222" s="223">
        <f>SUMIF(B4:B220,"AFR",BZ4:BZ220)</f>
        <v>6378.241181</v>
      </c>
      <c r="CA222" s="223">
        <f>SUMIF(B4:B220,"AFR",CA4:CA220)</f>
        <v>493.7512523</v>
      </c>
      <c r="CB222" s="223">
        <f>SUMIF(B4:B220,"AFR",CB4:CB220)</f>
        <v>16227.05593</v>
      </c>
      <c r="CC222" s="223">
        <f>SUMIF(B4:B220,"AFR",CC4:CC220)</f>
        <v>123803.1472</v>
      </c>
      <c r="CD222" s="223">
        <f>SUMIF(B4:B220,"AFR",CD4:CD220)</f>
        <v>429.7995677</v>
      </c>
      <c r="CE222" s="223">
        <f>SUMIF(B4:B220,"AFR",CE4:CE220)</f>
        <v>840078.7957</v>
      </c>
      <c r="CF222" s="223">
        <f>SUMIF(B4:B220,"AFR",CF4:CF220)</f>
        <v>934.6600693</v>
      </c>
      <c r="CG222" s="223">
        <f>SUMIF(B4:B220,"AFR",CG4:CG220)</f>
        <v>636164.0352</v>
      </c>
    </row>
    <row r="223">
      <c r="A223" s="103"/>
      <c r="B223" s="225" t="s">
        <v>6</v>
      </c>
      <c r="C223" s="225" t="s">
        <v>9</v>
      </c>
      <c r="D223" s="225" t="s">
        <v>315</v>
      </c>
      <c r="E223" s="226"/>
      <c r="F223" s="227" t="s">
        <v>20</v>
      </c>
      <c r="G223" s="228"/>
      <c r="H223" s="229"/>
      <c r="I223" s="227" t="s">
        <v>18</v>
      </c>
      <c r="J223" s="230"/>
      <c r="K223" s="230"/>
      <c r="L223" s="227" t="s">
        <v>17</v>
      </c>
      <c r="M223" s="230"/>
      <c r="N223" s="230"/>
      <c r="O223" s="231" t="s">
        <v>16</v>
      </c>
      <c r="P223" s="227" t="s">
        <v>16</v>
      </c>
      <c r="Q223" s="230"/>
      <c r="R223" s="10"/>
      <c r="S223" s="227" t="s">
        <v>15</v>
      </c>
      <c r="T223" s="230"/>
      <c r="U223" s="230"/>
      <c r="V223" s="40"/>
      <c r="W223" s="40"/>
      <c r="X223" s="40"/>
      <c r="Y223" s="40"/>
      <c r="Z223" s="40"/>
      <c r="AA223" s="40"/>
      <c r="AB223" s="40"/>
      <c r="AC223" s="40"/>
      <c r="AD223" s="40"/>
      <c r="AE223" s="40"/>
      <c r="AF223" s="216"/>
      <c r="AG223" s="40"/>
      <c r="AH223" s="40"/>
      <c r="AI223" s="40"/>
      <c r="AJ223" s="216"/>
      <c r="AK223" s="40"/>
      <c r="AL223" s="40"/>
      <c r="AM223" s="40"/>
      <c r="AN223" s="40"/>
      <c r="AO223" s="40"/>
      <c r="AP223" s="40"/>
      <c r="AQ223" s="40"/>
      <c r="AR223" s="40"/>
      <c r="AS223" s="40"/>
      <c r="AT223" s="40"/>
      <c r="AU223" s="216"/>
      <c r="AV223" s="40"/>
      <c r="AW223" s="40"/>
      <c r="AX223" s="40"/>
      <c r="AY223" s="40"/>
      <c r="AZ223" s="40"/>
      <c r="BA223" s="40"/>
      <c r="BB223" s="216"/>
      <c r="BC223" s="40"/>
      <c r="BD223" s="40"/>
      <c r="BE223" s="40"/>
      <c r="BF223" s="40"/>
      <c r="BG223" s="40"/>
      <c r="BH223" s="40"/>
      <c r="BI223" s="40"/>
      <c r="BJ223" s="40"/>
      <c r="BK223" s="40"/>
      <c r="BL223" s="40"/>
      <c r="BM223" s="40"/>
      <c r="BN223" s="40"/>
      <c r="BQ223" s="219"/>
      <c r="BR223" s="220" t="s">
        <v>316</v>
      </c>
      <c r="BS223" s="221" t="s">
        <v>317</v>
      </c>
      <c r="BT223" s="40"/>
      <c r="BU223" s="40"/>
      <c r="BV223" s="224" t="s">
        <v>94</v>
      </c>
      <c r="BW223" s="223">
        <f>SUMIF(B4:B220,"WPR",BW4:BW220)</f>
        <v>617.5025286</v>
      </c>
      <c r="BX223" s="223">
        <f>SUMIF(B4:B220,"WPR",BX4:BX220)</f>
        <v>11162.45932</v>
      </c>
      <c r="BY223" s="40"/>
      <c r="BZ223" s="223">
        <f>SUMIF(B4:B220,"WPR",BZ4:BZ220)</f>
        <v>480.7013737</v>
      </c>
      <c r="CA223" s="223">
        <f>SUMIF(B4:B220,"WPR",CA4:CA220)</f>
        <v>15.46655277</v>
      </c>
      <c r="CB223" s="223">
        <f>SUMIF(B4:B220,"WPR",CB4:CB220)</f>
        <v>651.6198942</v>
      </c>
      <c r="CC223" s="223">
        <f>SUMIF(B4:B220,"WPR",CC4:CC220)</f>
        <v>4701.832124</v>
      </c>
      <c r="CD223" s="223">
        <f>SUMIF(B4:B220,"WPR",CD4:CD220)</f>
        <v>78.62585819</v>
      </c>
      <c r="CE223" s="223">
        <f>SUMIF(B4:B220,"WPR",CE4:CE220)</f>
        <v>10450.96332</v>
      </c>
      <c r="CF223" s="223">
        <f>SUMIF(B4:B220,"WPR",CF4:CF220)</f>
        <v>130.4032905</v>
      </c>
      <c r="CG223" s="223">
        <f>SUMIF(B4:B220,"WPR",CG4:CG220)</f>
        <v>3545.965696</v>
      </c>
    </row>
    <row r="224">
      <c r="A224" s="103"/>
      <c r="B224" s="214" t="s">
        <v>2</v>
      </c>
      <c r="C224" s="214" t="s">
        <v>66</v>
      </c>
      <c r="D224" s="232">
        <f>$BY$3</f>
        <v>1103593.445</v>
      </c>
      <c r="E224" s="214"/>
      <c r="F224" s="230" t="s">
        <v>4</v>
      </c>
      <c r="G224" s="230" t="s">
        <v>80</v>
      </c>
      <c r="H224" s="233">
        <f>($BW$3+$BX$3)/2</f>
        <v>132884.8588</v>
      </c>
      <c r="I224" s="230" t="s">
        <v>2</v>
      </c>
      <c r="J224" s="230" t="s">
        <v>66</v>
      </c>
      <c r="K224" s="230">
        <f>$BY$3</f>
        <v>1103593.445</v>
      </c>
      <c r="L224" s="230" t="s">
        <v>4</v>
      </c>
      <c r="M224" s="230" t="s">
        <v>80</v>
      </c>
      <c r="N224" s="230">
        <f>$BZ$3+$CB$3/2</f>
        <v>18230.44284</v>
      </c>
      <c r="O224" s="230" t="s">
        <v>318</v>
      </c>
      <c r="P224" s="230" t="s">
        <v>4</v>
      </c>
      <c r="Q224" s="230" t="s">
        <v>80</v>
      </c>
      <c r="R224" s="230">
        <f>$CC$3</f>
        <v>144404.908</v>
      </c>
      <c r="S224" s="230" t="s">
        <v>4</v>
      </c>
      <c r="T224" s="230" t="s">
        <v>80</v>
      </c>
      <c r="U224" s="230">
        <f>$CE$3+$CG$3/2</f>
        <v>1193761.797</v>
      </c>
      <c r="V224" s="40"/>
      <c r="W224" s="40"/>
      <c r="X224" s="40"/>
      <c r="Y224" s="40"/>
      <c r="Z224" s="40"/>
      <c r="AA224" s="40"/>
      <c r="AB224" s="40"/>
      <c r="AC224" s="40"/>
      <c r="AD224" s="40"/>
      <c r="AE224" s="40"/>
      <c r="AF224" s="216"/>
      <c r="AG224" s="40"/>
      <c r="AH224" s="40"/>
      <c r="AI224" s="40"/>
      <c r="AJ224" s="216"/>
      <c r="AK224" s="40"/>
      <c r="AL224" s="40"/>
      <c r="AM224" s="40"/>
      <c r="AN224" s="40"/>
      <c r="AO224" s="40"/>
      <c r="AP224" s="40"/>
      <c r="AQ224" s="40"/>
      <c r="AR224" s="40"/>
      <c r="AS224" s="40"/>
      <c r="AT224" s="40"/>
      <c r="AU224" s="216"/>
      <c r="AV224" s="40"/>
      <c r="AW224" s="40"/>
      <c r="AX224" s="40"/>
      <c r="AY224" s="40"/>
      <c r="AZ224" s="40"/>
      <c r="BA224" s="40"/>
      <c r="BB224" s="216"/>
      <c r="BC224" s="40"/>
      <c r="BD224" s="40"/>
      <c r="BE224" s="40"/>
      <c r="BF224" s="40"/>
      <c r="BG224" s="40"/>
      <c r="BH224" s="40"/>
      <c r="BI224" s="40"/>
      <c r="BJ224" s="40"/>
      <c r="BK224" s="40"/>
      <c r="BL224" s="40"/>
      <c r="BM224" s="40"/>
      <c r="BN224" s="40"/>
      <c r="BQ224" s="219"/>
      <c r="BR224" s="220" t="s">
        <v>319</v>
      </c>
      <c r="BS224" s="221" t="s">
        <v>320</v>
      </c>
      <c r="BT224" s="40"/>
      <c r="BU224" s="40"/>
      <c r="BV224" s="224" t="s">
        <v>98</v>
      </c>
      <c r="BW224" s="223">
        <f>SUMIF(B4:B220,"AMR",BW4:BW220)</f>
        <v>1723.204019</v>
      </c>
      <c r="BX224" s="223">
        <f>SUMIF(B4:B220,"AMR",BX4:BX220)</f>
        <v>16.0783761</v>
      </c>
      <c r="BY224" s="214"/>
      <c r="BZ224" s="223">
        <f>SUMIF(B4:B220,"AMR",BZ4:BZ220)</f>
        <v>948.7546402</v>
      </c>
      <c r="CA224" s="223">
        <f>SUMIF(B4:B220,"AMR",CA4:CA220)</f>
        <v>750.9545888</v>
      </c>
      <c r="CB224" s="223">
        <f>SUMIF(B4:B220,"AMR",CB4:CB220)</f>
        <v>1246.510002</v>
      </c>
      <c r="CC224" s="223">
        <f>SUMIF(B4:B220,"AMR",CC4:CC220)</f>
        <v>4879.950894</v>
      </c>
      <c r="CD224" s="223">
        <f>SUMIF(B4:B220,"AMR",CD4:CD220)</f>
        <v>517.7842914</v>
      </c>
      <c r="CE224" s="223">
        <f>SUMIF(B4:B220,"AMR",CE4:CE220)</f>
        <v>6903.562481</v>
      </c>
      <c r="CF224" s="223">
        <f>SUMIF(B4:B220,"AMR",CF4:CF220)</f>
        <v>3457.070015</v>
      </c>
      <c r="CG224" s="223">
        <f>SUMIF(B4:B220,"AMR",CG4:CG220)</f>
        <v>1639.064121</v>
      </c>
    </row>
    <row r="225">
      <c r="A225" s="155"/>
      <c r="B225" s="214" t="s">
        <v>4</v>
      </c>
      <c r="C225" s="214" t="s">
        <v>80</v>
      </c>
      <c r="D225" s="232">
        <f>$BW$3/2+$BX$3/2+$BZ$3+$CB$3/2+$CC$3+$CE$3+$CG$3/2</f>
        <v>1489282.006</v>
      </c>
      <c r="E225" s="214"/>
      <c r="F225" s="230" t="s">
        <v>321</v>
      </c>
      <c r="G225" s="230" t="s">
        <v>322</v>
      </c>
      <c r="H225" s="233">
        <f>$BW$3/2</f>
        <v>94238.15887</v>
      </c>
      <c r="I225" s="10"/>
      <c r="J225" s="10"/>
      <c r="K225" s="10"/>
      <c r="L225" s="231" t="s">
        <v>323</v>
      </c>
      <c r="M225" s="230" t="s">
        <v>324</v>
      </c>
      <c r="N225" s="230">
        <f>$CB$3/2</f>
        <v>9062.592914</v>
      </c>
      <c r="O225" s="230" t="s">
        <v>4</v>
      </c>
      <c r="P225" s="231" t="s">
        <v>323</v>
      </c>
      <c r="Q225" s="230" t="s">
        <v>325</v>
      </c>
      <c r="R225" s="230">
        <f>$CD$3</f>
        <v>1026.209717</v>
      </c>
      <c r="S225" s="231" t="s">
        <v>323</v>
      </c>
      <c r="T225" s="230" t="s">
        <v>324</v>
      </c>
      <c r="U225" s="230">
        <f>$CG$3/2</f>
        <v>320674.5325</v>
      </c>
      <c r="V225" s="40"/>
      <c r="W225" s="40"/>
      <c r="X225" s="40"/>
      <c r="Y225" s="40"/>
      <c r="Z225" s="40"/>
      <c r="AA225" s="40"/>
      <c r="AB225" s="40"/>
      <c r="AC225" s="40"/>
      <c r="AD225" s="40"/>
      <c r="AE225" s="40"/>
      <c r="AF225" s="216"/>
      <c r="AG225" s="217"/>
      <c r="AH225" s="40"/>
      <c r="AI225" s="40"/>
      <c r="AJ225" s="216"/>
      <c r="AK225" s="40"/>
      <c r="AL225" s="40"/>
      <c r="AM225" s="40"/>
      <c r="AN225" s="40"/>
      <c r="AO225" s="40"/>
      <c r="AP225" s="40"/>
      <c r="AQ225" s="40"/>
      <c r="AR225" s="40"/>
      <c r="AS225" s="40"/>
      <c r="AT225" s="40"/>
      <c r="AU225" s="216"/>
      <c r="AV225" s="40"/>
      <c r="AW225" s="40"/>
      <c r="AX225" s="40"/>
      <c r="AY225" s="40"/>
      <c r="AZ225" s="40"/>
      <c r="BA225" s="40"/>
      <c r="BB225" s="216"/>
      <c r="BC225" s="40"/>
      <c r="BD225" s="40"/>
      <c r="BE225" s="40"/>
      <c r="BF225" s="40"/>
      <c r="BG225" s="40"/>
      <c r="BH225" s="40"/>
      <c r="BI225" s="40"/>
      <c r="BJ225" s="40"/>
      <c r="BK225" s="40"/>
      <c r="BL225" s="40"/>
      <c r="BM225" s="40"/>
      <c r="BN225" s="40"/>
      <c r="BQ225" s="219"/>
      <c r="BR225" s="220" t="s">
        <v>326</v>
      </c>
      <c r="BS225" s="221" t="s">
        <v>327</v>
      </c>
      <c r="BT225" s="40"/>
      <c r="BU225" s="40"/>
      <c r="BV225" s="224" t="s">
        <v>90</v>
      </c>
      <c r="BW225" s="223">
        <f>SUMIF(B4:B220,"EUR",BW4:BW220)</f>
        <v>0</v>
      </c>
      <c r="BX225" s="223">
        <f>SUMIF(B4:B220,"EUR",BX4:BX220)</f>
        <v>0</v>
      </c>
      <c r="BY225" s="214"/>
      <c r="BZ225" s="223">
        <f>SUMIF(B4:B220,"EUR",BZ4:BZ220)</f>
        <v>0</v>
      </c>
      <c r="CA225" s="223">
        <f>SUMIF(B4:B220,"EUR",CA4:CA220)</f>
        <v>0</v>
      </c>
      <c r="CB225" s="223">
        <f>SUMIF(B4:B220,"EUR",CB4:CB220)</f>
        <v>0</v>
      </c>
      <c r="CC225" s="223">
        <f>SUMIF(B4:B220,"EUR",CC4:CC220)</f>
        <v>0</v>
      </c>
      <c r="CD225" s="223">
        <f>SUMIF(B4:B220,"EUR",CD4:CD220)</f>
        <v>0</v>
      </c>
      <c r="CE225" s="223">
        <f>SUMIF(B4:B220,"EUR",CE4:CE220)</f>
        <v>0</v>
      </c>
      <c r="CF225" s="223">
        <f>SUMIF(B4:B220,"EUR",CF4:CF220)</f>
        <v>0</v>
      </c>
      <c r="CG225" s="223">
        <f>SUMIF(B4:B220,"EUR",CG4:CG220)</f>
        <v>0</v>
      </c>
    </row>
    <row r="226">
      <c r="A226" s="103"/>
      <c r="B226" s="234" t="s">
        <v>323</v>
      </c>
      <c r="C226" s="214" t="s">
        <v>324</v>
      </c>
      <c r="D226" s="232">
        <f>($BX$3+$CB$3+$CG$3)/2</f>
        <v>368383.8254</v>
      </c>
      <c r="E226" s="214"/>
      <c r="F226" s="231" t="s">
        <v>323</v>
      </c>
      <c r="G226" s="230" t="s">
        <v>324</v>
      </c>
      <c r="H226" s="233">
        <f>$BX$3/2</f>
        <v>38646.69995</v>
      </c>
      <c r="I226" s="230"/>
      <c r="J226" s="230"/>
      <c r="K226" s="230"/>
      <c r="L226" s="230" t="s">
        <v>5</v>
      </c>
      <c r="M226" s="230" t="s">
        <v>325</v>
      </c>
      <c r="N226" s="230">
        <f>$CA$3</f>
        <v>1260.172394</v>
      </c>
      <c r="O226" s="230" t="s">
        <v>5</v>
      </c>
      <c r="P226" s="10"/>
      <c r="Q226" s="10"/>
      <c r="R226" s="10"/>
      <c r="S226" s="230" t="s">
        <v>5</v>
      </c>
      <c r="T226" s="230" t="s">
        <v>325</v>
      </c>
      <c r="U226" s="230">
        <f>$CF$3</f>
        <v>4522.133375</v>
      </c>
      <c r="V226" s="40"/>
      <c r="W226" s="40"/>
      <c r="X226" s="40"/>
      <c r="Y226" s="40"/>
      <c r="Z226" s="40"/>
      <c r="AA226" s="40"/>
      <c r="AB226" s="40"/>
      <c r="AC226" s="40"/>
      <c r="AD226" s="40"/>
      <c r="AE226" s="40"/>
      <c r="AF226" s="216"/>
      <c r="AG226" s="217"/>
      <c r="AH226" s="40"/>
      <c r="AI226" s="40"/>
      <c r="AJ226" s="216"/>
      <c r="AK226" s="40"/>
      <c r="AL226" s="40"/>
      <c r="AM226" s="40"/>
      <c r="AN226" s="40"/>
      <c r="AO226" s="40"/>
      <c r="AP226" s="40"/>
      <c r="AQ226" s="40"/>
      <c r="AR226" s="40"/>
      <c r="AS226" s="40"/>
      <c r="AT226" s="40"/>
      <c r="AU226" s="216"/>
      <c r="AV226" s="40"/>
      <c r="AW226" s="40"/>
      <c r="AX226" s="40"/>
      <c r="AY226" s="40"/>
      <c r="AZ226" s="40"/>
      <c r="BA226" s="40"/>
      <c r="BB226" s="216"/>
      <c r="BC226" s="40"/>
      <c r="BD226" s="40"/>
      <c r="BE226" s="40"/>
      <c r="BF226" s="40"/>
      <c r="BG226" s="40"/>
      <c r="BH226" s="40"/>
      <c r="BI226" s="40"/>
      <c r="BJ226" s="40"/>
      <c r="BK226" s="40"/>
      <c r="BL226" s="40"/>
      <c r="BM226" s="40"/>
      <c r="BN226" s="40"/>
      <c r="BQ226" s="219"/>
      <c r="BR226" s="220" t="s">
        <v>328</v>
      </c>
      <c r="BS226" s="221" t="s">
        <v>329</v>
      </c>
      <c r="BT226" s="40"/>
      <c r="BU226" s="40"/>
      <c r="BV226" s="224" t="s">
        <v>109</v>
      </c>
      <c r="BW226" s="223">
        <f>SUMIF(B4:B220,"SEA",BW4:BW220)</f>
        <v>186056.9371</v>
      </c>
      <c r="BX226" s="223">
        <f>SUMIF(B4:B220,"SEA",BX4:BX220)</f>
        <v>5028.869774</v>
      </c>
      <c r="BY226" s="214"/>
      <c r="BZ226" s="223">
        <f>SUMIF(B4:B220,"SEA",BZ4:BZ220)</f>
        <v>1360.152732</v>
      </c>
      <c r="CA226" s="223">
        <f>SUMIF(B4:B220,"SEA",CA4:CA220)</f>
        <v>0</v>
      </c>
      <c r="CB226" s="223">
        <f>SUMIF(B4:B220,"SEA",CB4:CB220)</f>
        <v>0</v>
      </c>
      <c r="CC226" s="223">
        <f>SUMIF(B4:B220,"SEA",CC4:CC220)</f>
        <v>11019.97771</v>
      </c>
      <c r="CD226" s="223">
        <f>SUMIF(B4:B220,"SEA",CD4:CD220)</f>
        <v>0</v>
      </c>
      <c r="CE226" s="223">
        <f>SUMIF(B4:B220,"SEA",CE4:CE220)</f>
        <v>15653.94275</v>
      </c>
      <c r="CF226" s="223">
        <f>SUMIF(B4:B220,"SEA",CF4:CF220)</f>
        <v>0</v>
      </c>
      <c r="CG226" s="223">
        <f>SUMIF(B4:B220,"SEA",CG4:CG220)</f>
        <v>0</v>
      </c>
    </row>
    <row r="227">
      <c r="A227" s="103"/>
      <c r="B227" s="214" t="s">
        <v>5</v>
      </c>
      <c r="C227" s="214" t="s">
        <v>325</v>
      </c>
      <c r="D227" s="232">
        <f>$CA$3+$CD$3+$CF$3</f>
        <v>6808.515486</v>
      </c>
      <c r="E227" s="214"/>
      <c r="F227" s="10"/>
      <c r="G227" s="10"/>
      <c r="H227" s="10"/>
      <c r="I227" s="230"/>
      <c r="J227" s="230"/>
      <c r="K227" s="230"/>
      <c r="L227" s="10"/>
      <c r="M227" s="10"/>
      <c r="N227" s="10"/>
      <c r="O227" s="230"/>
      <c r="P227" s="230"/>
      <c r="Q227" s="230"/>
      <c r="R227" s="10"/>
      <c r="S227" s="10"/>
      <c r="T227" s="10"/>
      <c r="U227" s="214"/>
      <c r="V227" s="40"/>
      <c r="W227" s="40"/>
      <c r="X227" s="40"/>
      <c r="Y227" s="40"/>
      <c r="Z227" s="40"/>
      <c r="AA227" s="40"/>
      <c r="AB227" s="40"/>
      <c r="AC227" s="40"/>
      <c r="AD227" s="40"/>
      <c r="AE227" s="40"/>
      <c r="AF227" s="216"/>
      <c r="AG227" s="217"/>
      <c r="AH227" s="40"/>
      <c r="AI227" s="40"/>
      <c r="AJ227" s="216"/>
      <c r="AK227" s="40"/>
      <c r="AL227" s="40"/>
      <c r="AM227" s="40"/>
      <c r="AN227" s="40"/>
      <c r="AO227" s="40"/>
      <c r="AP227" s="40"/>
      <c r="AQ227" s="40"/>
      <c r="AR227" s="40"/>
      <c r="AS227" s="40"/>
      <c r="AT227" s="40"/>
      <c r="AU227" s="216"/>
      <c r="AV227" s="40"/>
      <c r="AW227" s="40"/>
      <c r="AX227" s="40"/>
      <c r="AY227" s="40"/>
      <c r="AZ227" s="40"/>
      <c r="BA227" s="40"/>
      <c r="BB227" s="216"/>
      <c r="BC227" s="40"/>
      <c r="BD227" s="40"/>
      <c r="BE227" s="40"/>
      <c r="BF227" s="40"/>
      <c r="BG227" s="40"/>
      <c r="BH227" s="40"/>
      <c r="BI227" s="40"/>
      <c r="BJ227" s="40"/>
      <c r="BK227" s="40"/>
      <c r="BL227" s="40"/>
      <c r="BM227" s="40"/>
      <c r="BN227" s="40"/>
      <c r="BQ227" s="219"/>
      <c r="BR227" s="220" t="s">
        <v>330</v>
      </c>
      <c r="BS227" s="221" t="s">
        <v>331</v>
      </c>
      <c r="BT227" s="40"/>
      <c r="BU227" s="40"/>
      <c r="BV227" s="224"/>
      <c r="BW227" s="40"/>
      <c r="BX227" s="214"/>
      <c r="BY227" s="214"/>
      <c r="BZ227" s="214"/>
      <c r="CA227" s="40"/>
      <c r="CB227" s="40"/>
      <c r="CC227" s="40"/>
      <c r="CD227" s="40"/>
      <c r="CE227" s="40"/>
      <c r="CF227" s="40"/>
      <c r="CG227" s="224"/>
    </row>
    <row r="228">
      <c r="A228" s="155"/>
      <c r="B228" s="40" t="s">
        <v>321</v>
      </c>
      <c r="C228" s="40" t="s">
        <v>322</v>
      </c>
      <c r="D228" s="232">
        <f>$BW$3/2</f>
        <v>94238.15887</v>
      </c>
      <c r="E228" s="40"/>
      <c r="F228" s="224"/>
      <c r="G228" s="224"/>
      <c r="H228" s="220"/>
      <c r="I228" s="224"/>
      <c r="J228" s="224"/>
      <c r="K228" s="224"/>
      <c r="N228" s="224"/>
      <c r="O228" s="224"/>
      <c r="P228" s="224"/>
      <c r="Q228" s="224"/>
      <c r="T228" s="224"/>
      <c r="U228" s="40"/>
      <c r="V228" s="40"/>
      <c r="W228" s="40"/>
      <c r="X228" s="40"/>
      <c r="Y228" s="40"/>
      <c r="Z228" s="40"/>
      <c r="AA228" s="40"/>
      <c r="AB228" s="40"/>
      <c r="AC228" s="40"/>
      <c r="AD228" s="40"/>
      <c r="AE228" s="40"/>
      <c r="AF228" s="216"/>
      <c r="AG228" s="217"/>
      <c r="AH228" s="40"/>
      <c r="AI228" s="40"/>
      <c r="AJ228" s="216"/>
      <c r="AK228" s="40"/>
      <c r="AL228" s="40"/>
      <c r="AM228" s="40"/>
      <c r="AN228" s="40"/>
      <c r="AO228" s="40"/>
      <c r="AP228" s="40"/>
      <c r="AQ228" s="40"/>
      <c r="AR228" s="40"/>
      <c r="AS228" s="40"/>
      <c r="AT228" s="40"/>
      <c r="AU228" s="216"/>
      <c r="AV228" s="40"/>
      <c r="AW228" s="40"/>
      <c r="AX228" s="40"/>
      <c r="AY228" s="40"/>
      <c r="AZ228" s="40"/>
      <c r="BA228" s="40"/>
      <c r="BB228" s="216"/>
      <c r="BC228" s="40"/>
      <c r="BD228" s="40"/>
      <c r="BE228" s="40"/>
      <c r="BF228" s="40"/>
      <c r="BG228" s="40"/>
      <c r="BH228" s="40"/>
      <c r="BI228" s="40"/>
      <c r="BJ228" s="40"/>
      <c r="BK228" s="40"/>
      <c r="BL228" s="40"/>
      <c r="BM228" s="40"/>
      <c r="BN228" s="40"/>
      <c r="BQ228" s="219"/>
      <c r="BR228" s="220" t="s">
        <v>332</v>
      </c>
      <c r="BS228" s="221" t="s">
        <v>333</v>
      </c>
      <c r="BT228" s="40"/>
      <c r="BU228" s="40"/>
      <c r="BV228" s="224"/>
      <c r="BW228" s="40"/>
      <c r="BX228" s="214"/>
      <c r="BY228" s="214"/>
      <c r="BZ228" s="214"/>
      <c r="CA228" s="40"/>
      <c r="CB228" s="40"/>
      <c r="CC228" s="40"/>
      <c r="CD228" s="40"/>
      <c r="CE228" s="40"/>
      <c r="CF228" s="40"/>
      <c r="CG228" s="224"/>
    </row>
    <row r="229">
      <c r="A229" s="103"/>
      <c r="B229" s="40"/>
      <c r="C229" s="40"/>
      <c r="D229" s="214"/>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216"/>
      <c r="AG229" s="217"/>
      <c r="AH229" s="40"/>
      <c r="AI229" s="40"/>
      <c r="AJ229" s="216"/>
      <c r="AK229" s="40"/>
      <c r="AL229" s="40"/>
      <c r="AM229" s="40"/>
      <c r="AN229" s="40"/>
      <c r="AO229" s="40"/>
      <c r="AP229" s="40"/>
      <c r="AQ229" s="40"/>
      <c r="AR229" s="40"/>
      <c r="AS229" s="40"/>
      <c r="AT229" s="40"/>
      <c r="AU229" s="216"/>
      <c r="AV229" s="40"/>
      <c r="AW229" s="40"/>
      <c r="AX229" s="40"/>
      <c r="AY229" s="40"/>
      <c r="AZ229" s="40"/>
      <c r="BA229" s="40"/>
      <c r="BB229" s="216"/>
      <c r="BC229" s="40"/>
      <c r="BD229" s="40"/>
      <c r="BE229" s="40"/>
      <c r="BF229" s="40"/>
      <c r="BG229" s="40"/>
      <c r="BH229" s="40"/>
      <c r="BI229" s="40"/>
      <c r="BJ229" s="40"/>
      <c r="BK229" s="40"/>
      <c r="BL229" s="40"/>
      <c r="BM229" s="40"/>
      <c r="BN229" s="40"/>
      <c r="BQ229" s="219"/>
      <c r="BR229" s="220" t="s">
        <v>334</v>
      </c>
      <c r="BS229" s="221" t="s">
        <v>335</v>
      </c>
      <c r="BT229" s="40"/>
      <c r="BU229" s="40"/>
      <c r="BV229" s="224"/>
      <c r="BW229" s="40"/>
      <c r="BX229" s="214"/>
      <c r="BY229" s="214"/>
      <c r="BZ229" s="214"/>
      <c r="CA229" s="40"/>
      <c r="CB229" s="40"/>
      <c r="CC229" s="40"/>
      <c r="CD229" s="224"/>
      <c r="CE229" s="224"/>
      <c r="CF229" s="224"/>
      <c r="CG229" s="224"/>
    </row>
    <row r="230">
      <c r="A230" s="103"/>
      <c r="B230" s="235"/>
      <c r="D230" s="10">
        <f>sum(D224:D228)</f>
        <v>3062305.951</v>
      </c>
      <c r="E230" s="40" t="str">
        <f>sum('2013 NTD Model'!D224:D228)</f>
        <v>#REF!</v>
      </c>
      <c r="F230" s="218">
        <v>526458.0</v>
      </c>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216"/>
      <c r="AG230" s="217"/>
      <c r="AH230" s="40"/>
      <c r="AI230" s="40"/>
      <c r="AJ230" s="216"/>
      <c r="AK230" s="40"/>
      <c r="AL230" s="40"/>
      <c r="AM230" s="40"/>
      <c r="AN230" s="40"/>
      <c r="AO230" s="40"/>
      <c r="AP230" s="40"/>
      <c r="AQ230" s="40"/>
      <c r="AR230" s="40"/>
      <c r="AS230" s="40"/>
      <c r="AT230" s="40"/>
      <c r="AU230" s="216"/>
      <c r="AV230" s="40"/>
      <c r="AW230" s="40"/>
      <c r="AX230" s="40"/>
      <c r="AY230" s="40"/>
      <c r="AZ230" s="40"/>
      <c r="BA230" s="40"/>
      <c r="BB230" s="216"/>
      <c r="BC230" s="40"/>
      <c r="BD230" s="40"/>
      <c r="BE230" s="40"/>
      <c r="BF230" s="40"/>
      <c r="BG230" s="40"/>
      <c r="BH230" s="40"/>
      <c r="BI230" s="40"/>
      <c r="BJ230" s="40"/>
      <c r="BK230" s="40"/>
      <c r="BL230" s="40"/>
      <c r="BM230" s="40"/>
      <c r="BN230" s="40"/>
      <c r="BQ230" s="40"/>
      <c r="BR230" s="236" t="s">
        <v>336</v>
      </c>
      <c r="BS230" s="237" t="s">
        <v>337</v>
      </c>
      <c r="BT230" s="40"/>
      <c r="BU230" s="40"/>
      <c r="BV230" s="224"/>
      <c r="BW230" s="238" t="s">
        <v>338</v>
      </c>
      <c r="BX230" s="238" t="s">
        <v>339</v>
      </c>
      <c r="BY230" s="238" t="s">
        <v>340</v>
      </c>
      <c r="BZ230" s="238" t="s">
        <v>341</v>
      </c>
      <c r="CA230" s="238" t="s">
        <v>342</v>
      </c>
      <c r="CB230" s="238" t="s">
        <v>343</v>
      </c>
      <c r="CC230" s="40"/>
      <c r="CD230" s="224"/>
      <c r="CE230" s="224"/>
      <c r="CF230" s="224"/>
      <c r="CG230" s="224"/>
    </row>
    <row r="231">
      <c r="A231" s="103"/>
      <c r="B231" s="214"/>
      <c r="C231" s="214"/>
      <c r="D231" s="232" t="str">
        <f>sum(D230:F230)</f>
        <v>#REF!</v>
      </c>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216"/>
      <c r="AG231" s="217"/>
      <c r="AH231" s="40"/>
      <c r="AI231" s="40"/>
      <c r="AJ231" s="216"/>
      <c r="AK231" s="40"/>
      <c r="AL231" s="40"/>
      <c r="AM231" s="40"/>
      <c r="AN231" s="40"/>
      <c r="AO231" s="40"/>
      <c r="AP231" s="40"/>
      <c r="AQ231" s="40"/>
      <c r="AR231" s="40"/>
      <c r="AS231" s="40"/>
      <c r="AT231" s="40"/>
      <c r="AU231" s="216"/>
      <c r="AV231" s="40"/>
      <c r="AW231" s="40"/>
      <c r="AX231" s="40"/>
      <c r="AY231" s="40"/>
      <c r="AZ231" s="40"/>
      <c r="BA231" s="40"/>
      <c r="BB231" s="216"/>
      <c r="BC231" s="40"/>
      <c r="BD231" s="40"/>
      <c r="BE231" s="40"/>
      <c r="BF231" s="40"/>
      <c r="BG231" s="40"/>
      <c r="BH231" s="40"/>
      <c r="BI231" s="40"/>
      <c r="BJ231" s="40"/>
      <c r="BK231" s="40"/>
      <c r="BL231" s="40"/>
      <c r="BM231" s="40"/>
      <c r="BN231" s="40"/>
      <c r="BQ231" s="40"/>
      <c r="BR231" s="236" t="s">
        <v>344</v>
      </c>
      <c r="BS231" s="237" t="s">
        <v>345</v>
      </c>
      <c r="BT231" s="40"/>
      <c r="BU231" s="40"/>
      <c r="BV231" s="224"/>
      <c r="BW231" s="238" t="s">
        <v>88</v>
      </c>
      <c r="BX231" s="239">
        <f t="shared" ref="BX231:BX236" si="42">BW221+BX221</f>
        <v>612.1310151</v>
      </c>
      <c r="BY231" s="239">
        <f>SUMIF(B4:B220,"EMR",BY4:BY220)</f>
        <v>274181.5585</v>
      </c>
      <c r="BZ231" s="239">
        <f t="shared" ref="BZ231:BZ236" si="43">BZ221+CA221+CB221</f>
        <v>0</v>
      </c>
      <c r="CA231" s="239">
        <f t="shared" ref="CA231:CA236" si="44">CC221+CD221</f>
        <v>0</v>
      </c>
      <c r="CB231" s="239">
        <f t="shared" ref="CB231:CB236" si="45">CE221+CF221+CG221</f>
        <v>0</v>
      </c>
      <c r="CC231" s="240"/>
      <c r="CD231" s="224"/>
      <c r="CE231" s="224"/>
      <c r="CF231" s="224"/>
      <c r="CG231" s="224"/>
    </row>
    <row r="232">
      <c r="A232" s="103"/>
      <c r="B232" s="214"/>
      <c r="C232" s="214"/>
      <c r="D232" s="232"/>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216"/>
      <c r="AG232" s="217"/>
      <c r="AH232" s="40"/>
      <c r="AI232" s="40"/>
      <c r="AJ232" s="216"/>
      <c r="AK232" s="40"/>
      <c r="AL232" s="40"/>
      <c r="AM232" s="40"/>
      <c r="AN232" s="40"/>
      <c r="AO232" s="40"/>
      <c r="AP232" s="40"/>
      <c r="AQ232" s="40"/>
      <c r="AR232" s="40"/>
      <c r="AS232" s="40"/>
      <c r="AT232" s="40"/>
      <c r="AU232" s="216"/>
      <c r="AV232" s="40"/>
      <c r="AW232" s="40"/>
      <c r="AX232" s="40"/>
      <c r="AY232" s="40"/>
      <c r="AZ232" s="40"/>
      <c r="BA232" s="40"/>
      <c r="BB232" s="216"/>
      <c r="BC232" s="40"/>
      <c r="BD232" s="40"/>
      <c r="BE232" s="40"/>
      <c r="BF232" s="40"/>
      <c r="BG232" s="40"/>
      <c r="BH232" s="40"/>
      <c r="BI232" s="40"/>
      <c r="BJ232" s="40"/>
      <c r="BK232" s="40"/>
      <c r="BL232" s="40"/>
      <c r="BM232" s="40"/>
      <c r="BN232" s="40"/>
      <c r="BQ232" s="40"/>
      <c r="BR232" s="236" t="s">
        <v>346</v>
      </c>
      <c r="BS232" s="237" t="s">
        <v>347</v>
      </c>
      <c r="BT232" s="40"/>
      <c r="BU232" s="40"/>
      <c r="BV232" s="224"/>
      <c r="BW232" s="238" t="s">
        <v>92</v>
      </c>
      <c r="BX232" s="239">
        <f t="shared" si="42"/>
        <v>60552.53555</v>
      </c>
      <c r="BY232" s="241">
        <f>SUMIF(B4:B220,"AFR",BY4:BY220)</f>
        <v>372163.2588</v>
      </c>
      <c r="BZ232" s="239">
        <f t="shared" si="43"/>
        <v>23099.04837</v>
      </c>
      <c r="CA232" s="239">
        <f t="shared" si="44"/>
        <v>124232.9468</v>
      </c>
      <c r="CB232" s="239">
        <f t="shared" si="45"/>
        <v>1477177.491</v>
      </c>
      <c r="CC232" s="242"/>
      <c r="CD232" s="224"/>
      <c r="CE232" s="224"/>
      <c r="CF232" s="224"/>
      <c r="CG232" s="224"/>
    </row>
    <row r="233">
      <c r="A233" s="103"/>
      <c r="B233" s="234"/>
      <c r="C233" s="214"/>
      <c r="D233" s="232"/>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216"/>
      <c r="AG233" s="217"/>
      <c r="AH233" s="40"/>
      <c r="AI233" s="40"/>
      <c r="AJ233" s="216"/>
      <c r="AK233" s="40"/>
      <c r="AL233" s="40"/>
      <c r="AM233" s="40"/>
      <c r="AN233" s="40"/>
      <c r="AO233" s="40"/>
      <c r="AP233" s="40"/>
      <c r="AQ233" s="40"/>
      <c r="AR233" s="40"/>
      <c r="AS233" s="40"/>
      <c r="AT233" s="40"/>
      <c r="AU233" s="216"/>
      <c r="AV233" s="40"/>
      <c r="AW233" s="40"/>
      <c r="AX233" s="40"/>
      <c r="AY233" s="40"/>
      <c r="AZ233" s="40"/>
      <c r="BA233" s="40"/>
      <c r="BB233" s="216"/>
      <c r="BC233" s="40"/>
      <c r="BD233" s="40"/>
      <c r="BE233" s="40"/>
      <c r="BF233" s="40"/>
      <c r="BG233" s="40"/>
      <c r="BH233" s="40"/>
      <c r="BI233" s="40"/>
      <c r="BJ233" s="40"/>
      <c r="BK233" s="40"/>
      <c r="BL233" s="40"/>
      <c r="BM233" s="40"/>
      <c r="BN233" s="40"/>
      <c r="BQ233" s="40"/>
      <c r="BR233" s="236" t="s">
        <v>348</v>
      </c>
      <c r="BS233" s="237" t="s">
        <v>349</v>
      </c>
      <c r="BT233" s="40"/>
      <c r="BU233" s="40"/>
      <c r="BV233" s="224"/>
      <c r="BW233" s="238" t="s">
        <v>94</v>
      </c>
      <c r="BX233" s="239">
        <f t="shared" si="42"/>
        <v>11779.96185</v>
      </c>
      <c r="BY233" s="241">
        <f>SUMIF(B4:B220,"WPR",BY4:BY220)</f>
        <v>399242.5817</v>
      </c>
      <c r="BZ233" s="239">
        <f t="shared" si="43"/>
        <v>1147.787821</v>
      </c>
      <c r="CA233" s="239">
        <f t="shared" si="44"/>
        <v>4780.457983</v>
      </c>
      <c r="CB233" s="239">
        <f t="shared" si="45"/>
        <v>14127.3323</v>
      </c>
      <c r="CC233" s="242"/>
      <c r="CD233" s="224"/>
      <c r="CE233" s="224"/>
      <c r="CF233" s="224"/>
      <c r="CG233" s="224"/>
    </row>
    <row r="234">
      <c r="A234" s="103"/>
      <c r="B234" s="214"/>
      <c r="C234" s="214"/>
      <c r="D234" s="232"/>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216"/>
      <c r="AG234" s="217"/>
      <c r="AH234" s="40"/>
      <c r="AI234" s="40"/>
      <c r="AJ234" s="216"/>
      <c r="AK234" s="40"/>
      <c r="AL234" s="40"/>
      <c r="AM234" s="40"/>
      <c r="AN234" s="40"/>
      <c r="AO234" s="40"/>
      <c r="AP234" s="40"/>
      <c r="AQ234" s="40"/>
      <c r="AR234" s="40"/>
      <c r="AS234" s="40"/>
      <c r="AT234" s="40"/>
      <c r="AU234" s="216"/>
      <c r="AV234" s="40"/>
      <c r="AW234" s="40"/>
      <c r="AX234" s="40"/>
      <c r="AY234" s="40"/>
      <c r="AZ234" s="40"/>
      <c r="BA234" s="40"/>
      <c r="BB234" s="216"/>
      <c r="BC234" s="40"/>
      <c r="BD234" s="40"/>
      <c r="BE234" s="40"/>
      <c r="BF234" s="40"/>
      <c r="BG234" s="40"/>
      <c r="BH234" s="40"/>
      <c r="BI234" s="40"/>
      <c r="BJ234" s="40"/>
      <c r="BK234" s="40"/>
      <c r="BL234" s="40"/>
      <c r="BM234" s="40"/>
      <c r="BN234" s="40"/>
      <c r="BQ234" s="40"/>
      <c r="BR234" s="220" t="s">
        <v>350</v>
      </c>
      <c r="BS234" s="237" t="s">
        <v>351</v>
      </c>
      <c r="BT234" s="40"/>
      <c r="BU234" s="40"/>
      <c r="BV234" s="224"/>
      <c r="BW234" s="238" t="s">
        <v>98</v>
      </c>
      <c r="BX234" s="239">
        <f t="shared" si="42"/>
        <v>1739.282395</v>
      </c>
      <c r="BY234" s="241">
        <f>SUMIF(B4:B220,"AMR",BY4:BY220)</f>
        <v>57316.1601</v>
      </c>
      <c r="BZ234" s="239">
        <f t="shared" si="43"/>
        <v>2946.219231</v>
      </c>
      <c r="CA234" s="239">
        <f t="shared" si="44"/>
        <v>5397.735185</v>
      </c>
      <c r="CB234" s="239">
        <f t="shared" si="45"/>
        <v>11999.69662</v>
      </c>
      <c r="CC234" s="242"/>
      <c r="CD234" s="224"/>
      <c r="CE234" s="224"/>
      <c r="CF234" s="224"/>
      <c r="CG234" s="224"/>
    </row>
    <row r="235">
      <c r="A235" s="103"/>
      <c r="B235" s="40"/>
      <c r="C235" s="40"/>
      <c r="D235" s="232"/>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216"/>
      <c r="AG235" s="217"/>
      <c r="AH235" s="40"/>
      <c r="AI235" s="40"/>
      <c r="AJ235" s="216"/>
      <c r="AK235" s="40"/>
      <c r="AL235" s="40"/>
      <c r="AM235" s="40"/>
      <c r="AN235" s="40"/>
      <c r="AO235" s="40"/>
      <c r="AP235" s="40"/>
      <c r="AQ235" s="40"/>
      <c r="AR235" s="40"/>
      <c r="AS235" s="40"/>
      <c r="AT235" s="40"/>
      <c r="AU235" s="216"/>
      <c r="AV235" s="40"/>
      <c r="AW235" s="40"/>
      <c r="AX235" s="40"/>
      <c r="AY235" s="40"/>
      <c r="AZ235" s="40"/>
      <c r="BA235" s="40"/>
      <c r="BB235" s="216"/>
      <c r="BC235" s="40"/>
      <c r="BD235" s="40"/>
      <c r="BE235" s="40"/>
      <c r="BF235" s="40"/>
      <c r="BG235" s="40"/>
      <c r="BH235" s="40"/>
      <c r="BI235" s="40"/>
      <c r="BJ235" s="40"/>
      <c r="BK235" s="40"/>
      <c r="BL235" s="40"/>
      <c r="BM235" s="40"/>
      <c r="BN235" s="40"/>
      <c r="BQ235" s="40"/>
      <c r="BR235" s="236" t="s">
        <v>352</v>
      </c>
      <c r="BS235" s="237" t="s">
        <v>353</v>
      </c>
      <c r="BT235" s="40"/>
      <c r="BU235" s="40"/>
      <c r="BV235" s="224"/>
      <c r="BW235" s="238" t="s">
        <v>90</v>
      </c>
      <c r="BX235" s="239">
        <f t="shared" si="42"/>
        <v>0</v>
      </c>
      <c r="BY235" s="241">
        <f>SUMIF(B4:B220,"EUR",BY4:BY220)</f>
        <v>0</v>
      </c>
      <c r="BZ235" s="239">
        <f t="shared" si="43"/>
        <v>0</v>
      </c>
      <c r="CA235" s="239">
        <f t="shared" si="44"/>
        <v>0</v>
      </c>
      <c r="CB235" s="239">
        <f t="shared" si="45"/>
        <v>0</v>
      </c>
      <c r="CC235" s="242"/>
      <c r="CD235" s="224"/>
      <c r="CE235" s="224"/>
      <c r="CF235" s="224"/>
      <c r="CG235" s="224"/>
    </row>
    <row r="236">
      <c r="A236" s="103"/>
      <c r="B236" s="40"/>
      <c r="C236" s="40"/>
      <c r="D236" s="214"/>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216"/>
      <c r="AG236" s="217"/>
      <c r="AH236" s="40"/>
      <c r="AI236" s="40"/>
      <c r="AJ236" s="216"/>
      <c r="AK236" s="40"/>
      <c r="AL236" s="40"/>
      <c r="AM236" s="40"/>
      <c r="AN236" s="40"/>
      <c r="AO236" s="40"/>
      <c r="AP236" s="40"/>
      <c r="AQ236" s="40"/>
      <c r="AR236" s="40"/>
      <c r="AS236" s="40"/>
      <c r="AT236" s="40"/>
      <c r="AU236" s="216"/>
      <c r="AV236" s="40"/>
      <c r="AW236" s="40"/>
      <c r="AX236" s="40"/>
      <c r="AY236" s="40"/>
      <c r="AZ236" s="40"/>
      <c r="BA236" s="40"/>
      <c r="BB236" s="216"/>
      <c r="BC236" s="40"/>
      <c r="BD236" s="40"/>
      <c r="BE236" s="40"/>
      <c r="BF236" s="40"/>
      <c r="BG236" s="40"/>
      <c r="BH236" s="40"/>
      <c r="BI236" s="40"/>
      <c r="BJ236" s="40"/>
      <c r="BK236" s="40"/>
      <c r="BL236" s="40"/>
      <c r="BM236" s="40"/>
      <c r="BN236" s="40"/>
      <c r="BQ236" s="40"/>
      <c r="BR236" s="243" t="s">
        <v>354</v>
      </c>
      <c r="BS236" s="244" t="s">
        <v>355</v>
      </c>
      <c r="BT236" s="40"/>
      <c r="BU236" s="40"/>
      <c r="BV236" s="224"/>
      <c r="BW236" s="238" t="s">
        <v>109</v>
      </c>
      <c r="BX236" s="239">
        <f t="shared" si="42"/>
        <v>191085.8068</v>
      </c>
      <c r="BY236" s="241">
        <f>SUMIF(B4:B220,"SEA",BY4:BY220)</f>
        <v>689.8861936</v>
      </c>
      <c r="BZ236" s="239">
        <f t="shared" si="43"/>
        <v>1360.152732</v>
      </c>
      <c r="CA236" s="239">
        <f t="shared" si="44"/>
        <v>11019.97771</v>
      </c>
      <c r="CB236" s="239">
        <f t="shared" si="45"/>
        <v>15653.94275</v>
      </c>
      <c r="CC236" s="242"/>
      <c r="CD236" s="224"/>
      <c r="CE236" s="224"/>
      <c r="CF236" s="224"/>
      <c r="CG236" s="224"/>
    </row>
  </sheetData>
  <mergeCells count="17">
    <mergeCell ref="F1:H1"/>
    <mergeCell ref="I1:K1"/>
    <mergeCell ref="L1:N1"/>
    <mergeCell ref="P1:S1"/>
    <mergeCell ref="T1:U1"/>
    <mergeCell ref="V1:Y1"/>
    <mergeCell ref="AD1:AL1"/>
    <mergeCell ref="BZ1:CB1"/>
    <mergeCell ref="CC1:CD1"/>
    <mergeCell ref="CE1:CG1"/>
    <mergeCell ref="AN1:AS1"/>
    <mergeCell ref="AT1:AU1"/>
    <mergeCell ref="AV1:BA1"/>
    <mergeCell ref="BB1:BE1"/>
    <mergeCell ref="BF1:BK1"/>
    <mergeCell ref="BN1:BV1"/>
    <mergeCell ref="BW1:BX1"/>
  </mergeCells>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2.63" defaultRowHeight="15.75"/>
  <sheetData>
    <row r="1">
      <c r="A1" s="245" t="s">
        <v>22</v>
      </c>
      <c r="B1" s="246" t="s">
        <v>23</v>
      </c>
      <c r="C1" s="246" t="s">
        <v>24</v>
      </c>
      <c r="D1" s="247" t="s">
        <v>25</v>
      </c>
      <c r="E1" s="248" t="s">
        <v>356</v>
      </c>
      <c r="F1" s="249" t="s">
        <v>27</v>
      </c>
      <c r="I1" s="250" t="s">
        <v>28</v>
      </c>
      <c r="L1" s="251" t="s">
        <v>29</v>
      </c>
      <c r="O1" s="252" t="s">
        <v>357</v>
      </c>
      <c r="P1" s="247" t="s">
        <v>30</v>
      </c>
      <c r="T1" s="253" t="s">
        <v>31</v>
      </c>
      <c r="V1" s="254" t="s">
        <v>32</v>
      </c>
      <c r="Z1" s="252" t="s">
        <v>358</v>
      </c>
      <c r="AD1" s="246" t="s">
        <v>33</v>
      </c>
      <c r="AN1" s="247" t="s">
        <v>34</v>
      </c>
      <c r="AT1" s="248" t="s">
        <v>359</v>
      </c>
      <c r="AV1" s="249" t="s">
        <v>36</v>
      </c>
      <c r="BB1" s="250" t="s">
        <v>37</v>
      </c>
      <c r="BF1" s="251" t="s">
        <v>38</v>
      </c>
      <c r="BL1" s="255" t="s">
        <v>360</v>
      </c>
      <c r="BN1" s="246" t="s">
        <v>39</v>
      </c>
      <c r="BW1" s="247" t="s">
        <v>361</v>
      </c>
      <c r="BY1" s="256" t="s">
        <v>41</v>
      </c>
      <c r="BZ1" s="257" t="s">
        <v>42</v>
      </c>
      <c r="CC1" s="250" t="s">
        <v>43</v>
      </c>
      <c r="CE1" s="251" t="s">
        <v>44</v>
      </c>
      <c r="CH1" s="252" t="s">
        <v>362</v>
      </c>
      <c r="CI1" s="252"/>
    </row>
    <row r="2">
      <c r="A2" s="40"/>
      <c r="B2" s="36"/>
      <c r="C2" s="36"/>
      <c r="D2" s="41" t="s">
        <v>45</v>
      </c>
      <c r="E2" s="42" t="s">
        <v>45</v>
      </c>
      <c r="F2" s="43" t="s">
        <v>47</v>
      </c>
      <c r="G2" s="43" t="s">
        <v>48</v>
      </c>
      <c r="H2" s="43" t="s">
        <v>45</v>
      </c>
      <c r="I2" s="44" t="s">
        <v>47</v>
      </c>
      <c r="J2" s="44" t="s">
        <v>48</v>
      </c>
      <c r="K2" s="44" t="s">
        <v>45</v>
      </c>
      <c r="L2" s="45" t="s">
        <v>47</v>
      </c>
      <c r="M2" s="45" t="s">
        <v>48</v>
      </c>
      <c r="N2" s="258" t="s">
        <v>45</v>
      </c>
      <c r="O2" s="61" t="s">
        <v>45</v>
      </c>
      <c r="P2" s="41" t="s">
        <v>50</v>
      </c>
      <c r="Q2" s="41" t="s">
        <v>51</v>
      </c>
      <c r="R2" s="41" t="s">
        <v>30</v>
      </c>
      <c r="S2" s="41" t="s">
        <v>52</v>
      </c>
      <c r="T2" s="259" t="s">
        <v>31</v>
      </c>
      <c r="U2" s="259" t="s">
        <v>53</v>
      </c>
      <c r="V2" s="48" t="s">
        <v>54</v>
      </c>
      <c r="W2" s="48" t="s">
        <v>363</v>
      </c>
      <c r="X2" s="48" t="s">
        <v>55</v>
      </c>
      <c r="Y2" s="48" t="s">
        <v>364</v>
      </c>
      <c r="Z2" s="61" t="s">
        <v>365</v>
      </c>
      <c r="AA2" s="61" t="s">
        <v>366</v>
      </c>
      <c r="AB2" s="61" t="s">
        <v>358</v>
      </c>
      <c r="AC2" s="61" t="s">
        <v>367</v>
      </c>
      <c r="AD2" s="41" t="s">
        <v>20</v>
      </c>
      <c r="AE2" s="42" t="s">
        <v>56</v>
      </c>
      <c r="AF2" s="260" t="s">
        <v>57</v>
      </c>
      <c r="AG2" s="51" t="s">
        <v>368</v>
      </c>
      <c r="AH2" s="51" t="s">
        <v>58</v>
      </c>
      <c r="AI2" s="52" t="s">
        <v>369</v>
      </c>
      <c r="AJ2" s="52" t="s">
        <v>59</v>
      </c>
      <c r="AK2" s="53" t="s">
        <v>370</v>
      </c>
      <c r="AL2" s="53" t="s">
        <v>60</v>
      </c>
      <c r="AM2" s="61" t="s">
        <v>70</v>
      </c>
      <c r="AN2" s="54" t="s">
        <v>62</v>
      </c>
      <c r="AO2" s="54" t="s">
        <v>63</v>
      </c>
      <c r="AP2" s="54" t="s">
        <v>64</v>
      </c>
      <c r="AQ2" s="54" t="s">
        <v>63</v>
      </c>
      <c r="AR2" s="54" t="s">
        <v>65</v>
      </c>
      <c r="AS2" s="54" t="s">
        <v>63</v>
      </c>
      <c r="AT2" s="261" t="s">
        <v>66</v>
      </c>
      <c r="AU2" s="262" t="s">
        <v>63</v>
      </c>
      <c r="AV2" s="56" t="s">
        <v>67</v>
      </c>
      <c r="AW2" s="263" t="s">
        <v>63</v>
      </c>
      <c r="AX2" s="56" t="s">
        <v>68</v>
      </c>
      <c r="AY2" s="263" t="s">
        <v>63</v>
      </c>
      <c r="AZ2" s="56" t="s">
        <v>69</v>
      </c>
      <c r="BA2" s="264" t="s">
        <v>63</v>
      </c>
      <c r="BB2" s="58" t="s">
        <v>67</v>
      </c>
      <c r="BC2" s="265" t="s">
        <v>63</v>
      </c>
      <c r="BD2" s="58" t="s">
        <v>68</v>
      </c>
      <c r="BE2" s="265" t="s">
        <v>63</v>
      </c>
      <c r="BF2" s="59" t="s">
        <v>67</v>
      </c>
      <c r="BG2" s="266" t="s">
        <v>63</v>
      </c>
      <c r="BH2" s="59" t="s">
        <v>68</v>
      </c>
      <c r="BI2" s="266" t="s">
        <v>63</v>
      </c>
      <c r="BJ2" s="59" t="s">
        <v>69</v>
      </c>
      <c r="BK2" s="266" t="s">
        <v>63</v>
      </c>
      <c r="BL2" s="267" t="s">
        <v>371</v>
      </c>
      <c r="BM2" s="268" t="s">
        <v>63</v>
      </c>
      <c r="BN2" s="60" t="s">
        <v>20</v>
      </c>
      <c r="BO2" s="61" t="s">
        <v>70</v>
      </c>
      <c r="BP2" s="42" t="s">
        <v>71</v>
      </c>
      <c r="BQ2" s="48" t="s">
        <v>72</v>
      </c>
      <c r="BR2" s="62" t="s">
        <v>73</v>
      </c>
      <c r="BS2" s="62" t="s">
        <v>74</v>
      </c>
      <c r="BT2" s="63" t="s">
        <v>75</v>
      </c>
      <c r="BU2" s="63" t="s">
        <v>76</v>
      </c>
      <c r="BV2" s="62" t="s">
        <v>77</v>
      </c>
      <c r="BW2" s="41" t="s">
        <v>78</v>
      </c>
      <c r="BX2" s="41" t="s">
        <v>79</v>
      </c>
      <c r="BY2" s="42" t="s">
        <v>66</v>
      </c>
      <c r="BZ2" s="43" t="s">
        <v>80</v>
      </c>
      <c r="CA2" s="43" t="s">
        <v>81</v>
      </c>
      <c r="CB2" s="43" t="s">
        <v>79</v>
      </c>
      <c r="CC2" s="44" t="s">
        <v>80</v>
      </c>
      <c r="CD2" s="44" t="s">
        <v>81</v>
      </c>
      <c r="CE2" s="45" t="s">
        <v>80</v>
      </c>
      <c r="CF2" s="45" t="s">
        <v>81</v>
      </c>
      <c r="CG2" s="45" t="s">
        <v>79</v>
      </c>
      <c r="CH2" s="269" t="s">
        <v>324</v>
      </c>
      <c r="CI2" s="269"/>
    </row>
    <row r="3">
      <c r="A3" s="270" t="s">
        <v>82</v>
      </c>
      <c r="B3" s="65"/>
      <c r="C3" s="271">
        <f t="shared" ref="C3:N3" si="1">sum(C4:C220)</f>
        <v>7152697151</v>
      </c>
      <c r="D3" s="66">
        <f t="shared" si="1"/>
        <v>1361353.76</v>
      </c>
      <c r="E3" s="83">
        <f t="shared" si="1"/>
        <v>2029995.519</v>
      </c>
      <c r="F3" s="68">
        <f t="shared" si="1"/>
        <v>20627.57237</v>
      </c>
      <c r="G3" s="68">
        <f t="shared" si="1"/>
        <v>76933.06464</v>
      </c>
      <c r="H3" s="68">
        <f t="shared" si="1"/>
        <v>97574.63099</v>
      </c>
      <c r="I3" s="69">
        <f t="shared" si="1"/>
        <v>110654.1986</v>
      </c>
      <c r="J3" s="69">
        <f t="shared" si="1"/>
        <v>321132.3279</v>
      </c>
      <c r="K3" s="70">
        <f t="shared" si="1"/>
        <v>443434.47</v>
      </c>
      <c r="L3" s="71">
        <f t="shared" si="1"/>
        <v>474803.9132</v>
      </c>
      <c r="M3" s="71">
        <f t="shared" si="1"/>
        <v>276287.2893</v>
      </c>
      <c r="N3" s="71">
        <f t="shared" si="1"/>
        <v>751024.7735</v>
      </c>
      <c r="O3" s="272">
        <f>SUM(O4:O220)</f>
        <v>1040301.479</v>
      </c>
      <c r="P3" s="73">
        <f t="shared" ref="P3:Q3" si="2">sum(P4:P220)</f>
        <v>1228327033</v>
      </c>
      <c r="Q3" s="73">
        <f t="shared" si="2"/>
        <v>493466325</v>
      </c>
      <c r="R3" s="73" t="s">
        <v>83</v>
      </c>
      <c r="S3" s="75">
        <f>AVERAGEIFS(R4:R220,R4:R220,"&lt;&gt;""",R4:R220,"&gt;0")</f>
        <v>0.526225767</v>
      </c>
      <c r="T3" s="83" t="s">
        <v>83</v>
      </c>
      <c r="U3" s="273">
        <f>AVERAGEIF(T4:T220,"&lt;&gt;""",T4:T220)</f>
        <v>0.4234714286</v>
      </c>
      <c r="V3" s="80" t="s">
        <v>83</v>
      </c>
      <c r="W3" s="274">
        <f>AVERAGEIF(V4:V220,"&lt;&gt;-",V4:V220)</f>
        <v>0.6508479167</v>
      </c>
      <c r="X3" s="80" t="s">
        <v>83</v>
      </c>
      <c r="Y3" s="274">
        <f>AVERAGEIF(X4:X220,"&lt;&gt;-",X4:X220)</f>
        <v>0.5599036364</v>
      </c>
      <c r="Z3" s="272"/>
      <c r="AA3" s="272"/>
      <c r="AB3" s="275">
        <f>max(AB4:AB220)</f>
        <v>1</v>
      </c>
      <c r="AC3" s="276">
        <f>AVERAGEIFS(AB4:AB220,AB4:AB220,"&lt;&gt;""",AB4:AB220,"&gt;0")</f>
        <v>0.6295826791</v>
      </c>
      <c r="AD3" s="82">
        <f t="shared" ref="AD3:AF3" si="3">average(AD4:AD220)</f>
        <v>0.005695852535</v>
      </c>
      <c r="AE3" s="277">
        <f t="shared" si="3"/>
        <v>0.03741935484</v>
      </c>
      <c r="AF3" s="277">
        <f t="shared" si="3"/>
        <v>0.01123364055</v>
      </c>
      <c r="AG3" s="278">
        <f t="shared" ref="AG3:AL3" si="4">average(AG4:AG221)</f>
        <v>0.01915714286</v>
      </c>
      <c r="AH3" s="278">
        <f t="shared" si="4"/>
        <v>0.06195371905</v>
      </c>
      <c r="AI3" s="279">
        <f t="shared" si="4"/>
        <v>0.01427235023</v>
      </c>
      <c r="AJ3" s="279">
        <f t="shared" si="4"/>
        <v>0.05476133874</v>
      </c>
      <c r="AK3" s="280">
        <f t="shared" si="4"/>
        <v>0.0252437788</v>
      </c>
      <c r="AL3" s="280">
        <f t="shared" si="4"/>
        <v>0.0393640553</v>
      </c>
      <c r="AM3" s="281">
        <f t="shared" ref="AM3:AS3" si="5">AVERAGE(AM4:AM220)</f>
        <v>0.003119815668</v>
      </c>
      <c r="AN3" s="282">
        <f t="shared" si="5"/>
        <v>0.3573520833</v>
      </c>
      <c r="AO3" s="282">
        <f t="shared" si="5"/>
        <v>0.3361596774</v>
      </c>
      <c r="AP3" s="282">
        <f t="shared" si="5"/>
        <v>0.5137291667</v>
      </c>
      <c r="AQ3" s="282">
        <f t="shared" si="5"/>
        <v>0.5085286098</v>
      </c>
      <c r="AR3" s="282">
        <f t="shared" si="5"/>
        <v>0.37153125</v>
      </c>
      <c r="AS3" s="282">
        <f t="shared" si="5"/>
        <v>0.4266667627</v>
      </c>
      <c r="AT3" s="283">
        <f t="shared" ref="AT3:AU3" si="6">average(AT4:AT220)</f>
        <v>0.7430399392</v>
      </c>
      <c r="AU3" s="284">
        <f t="shared" si="6"/>
        <v>0.7637563568</v>
      </c>
      <c r="AV3" s="285">
        <f t="shared" ref="AV3:BA3" si="7">AVERAGE(AV4:AV220)</f>
        <v>0.3933333333</v>
      </c>
      <c r="AW3" s="285">
        <f t="shared" si="7"/>
        <v>0.3892254992</v>
      </c>
      <c r="AX3" s="285">
        <f t="shared" si="7"/>
        <v>0.5017738095</v>
      </c>
      <c r="AY3" s="285">
        <f t="shared" si="7"/>
        <v>0.5167491222</v>
      </c>
      <c r="AZ3" s="285">
        <f t="shared" si="7"/>
        <v>0.597625</v>
      </c>
      <c r="BA3" s="285">
        <f t="shared" si="7"/>
        <v>0.6221826037</v>
      </c>
      <c r="BB3" s="279">
        <f t="shared" ref="BB3:BK3" si="8">average(BB4:BB220)</f>
        <v>0.7613712121</v>
      </c>
      <c r="BC3" s="279">
        <f t="shared" si="8"/>
        <v>0.7751565075</v>
      </c>
      <c r="BD3" s="279">
        <f t="shared" si="8"/>
        <v>0.4362466667</v>
      </c>
      <c r="BE3" s="279">
        <f t="shared" si="8"/>
        <v>0.406221682</v>
      </c>
      <c r="BF3" s="280">
        <f t="shared" si="8"/>
        <v>0.9216027778</v>
      </c>
      <c r="BG3" s="280">
        <f t="shared" si="8"/>
        <v>0.939005914</v>
      </c>
      <c r="BH3" s="280">
        <f t="shared" si="8"/>
        <v>0.9295857143</v>
      </c>
      <c r="BI3" s="280">
        <f t="shared" si="8"/>
        <v>0.9070247092</v>
      </c>
      <c r="BJ3" s="280">
        <f t="shared" si="8"/>
        <v>1</v>
      </c>
      <c r="BK3" s="280">
        <f t="shared" si="8"/>
        <v>1</v>
      </c>
      <c r="BL3" s="286">
        <f t="shared" ref="BL3:BM3" si="9">AVERAGE(BL4:BL220)</f>
        <v>0.7808368939</v>
      </c>
      <c r="BM3" s="286">
        <f t="shared" si="9"/>
        <v>0.7051968649</v>
      </c>
      <c r="BN3" s="94" t="s">
        <v>85</v>
      </c>
      <c r="BO3" s="95" t="s">
        <v>85</v>
      </c>
      <c r="BP3" s="96" t="s">
        <v>85</v>
      </c>
      <c r="BQ3" s="97" t="s">
        <v>86</v>
      </c>
      <c r="BR3" s="65"/>
      <c r="BS3" s="65"/>
      <c r="BT3" s="65"/>
      <c r="BU3" s="65"/>
      <c r="BV3" s="65"/>
      <c r="BW3" s="287">
        <f t="shared" ref="BW3:CH3" si="10">SUM(BW4:BW220)</f>
        <v>30205.31259</v>
      </c>
      <c r="BX3" s="287">
        <f t="shared" si="10"/>
        <v>59105.98974</v>
      </c>
      <c r="BY3" s="288">
        <f t="shared" si="10"/>
        <v>794478.286</v>
      </c>
      <c r="BZ3" s="289">
        <f t="shared" si="10"/>
        <v>9559.629886</v>
      </c>
      <c r="CA3" s="289">
        <f t="shared" si="10"/>
        <v>3981.040838</v>
      </c>
      <c r="CB3" s="289">
        <f t="shared" si="10"/>
        <v>2690.927859</v>
      </c>
      <c r="CC3" s="290">
        <f t="shared" si="10"/>
        <v>70583.89903</v>
      </c>
      <c r="CD3" s="290">
        <f t="shared" si="10"/>
        <v>9883.021391</v>
      </c>
      <c r="CE3" s="291">
        <f t="shared" si="10"/>
        <v>162127.3388</v>
      </c>
      <c r="CF3" s="291">
        <f t="shared" si="10"/>
        <v>3827.02159</v>
      </c>
      <c r="CG3" s="291">
        <f t="shared" si="10"/>
        <v>19471.50541</v>
      </c>
      <c r="CH3" s="292">
        <f t="shared" si="10"/>
        <v>22603.7388</v>
      </c>
      <c r="CI3" s="292"/>
    </row>
    <row r="4">
      <c r="A4" s="103" t="s">
        <v>87</v>
      </c>
      <c r="B4" s="104" t="s">
        <v>88</v>
      </c>
      <c r="C4" s="105">
        <v>3.1731688E7</v>
      </c>
      <c r="D4" s="293">
        <v>0.0</v>
      </c>
      <c r="E4" s="294">
        <v>0.0</v>
      </c>
      <c r="F4" s="295">
        <v>39.46233537</v>
      </c>
      <c r="G4" s="295">
        <v>187.8875255</v>
      </c>
      <c r="H4" s="108">
        <v>227.3498608</v>
      </c>
      <c r="I4" s="296">
        <v>96.2724471</v>
      </c>
      <c r="J4" s="296">
        <v>152.652758</v>
      </c>
      <c r="K4" s="110">
        <v>248.9252053</v>
      </c>
      <c r="L4" s="297">
        <v>4326.81891</v>
      </c>
      <c r="M4" s="297">
        <v>10026.64132</v>
      </c>
      <c r="N4" s="111">
        <v>14353.46023</v>
      </c>
      <c r="O4" s="298">
        <v>0.0</v>
      </c>
      <c r="P4" s="114"/>
      <c r="Q4" s="114"/>
      <c r="R4" s="121" t="str">
        <f t="shared" ref="R4:R220" si="11">IFERROR(Q4/P4,"")</f>
        <v/>
      </c>
      <c r="S4" s="116">
        <f t="shared" ref="S4:S220" si="12">IFERROR(IF(AND(R4&lt;&gt;"",R4&gt;0),R4, IF(AVERAGEIFS($R$4:$R$220,$B$4:$B$220,$B4,$R$4:$R$220,"&lt;&gt;""")&gt;0,AVERAGEIFS($R$4:$R$220,$B$4:$B$220,$B4,$R$4:$R$220,"&lt;&gt;"""))),$S$3)</f>
        <v>0.4713987966</v>
      </c>
      <c r="T4" s="130"/>
      <c r="U4" s="118">
        <f t="shared" ref="U4:U220" si="13">IFERROR(IF(T4&lt;&gt;"",T4, IF(AVERAGEIFS($T$4:$T$220,$B$4:$B$220,$B4,$T$4:$T$220,"&lt;&gt;""")&gt;0,AVERAGEIFS($T$4:$T$220,$B$4:$B$220,$B4,$T$4:$T$220,"&lt;&gt;"""))),$U$3)</f>
        <v>0.5949</v>
      </c>
      <c r="V4" s="148"/>
      <c r="W4" s="120">
        <f t="shared" ref="W4:W220" si="14">IFERROR(IF(V4&lt;&gt;"",V4,IF(AVERAGEIFS($V$4:$V$220,$B$4:$B$220,$B4,$V$4:$V$220,"&lt;&gt;""")&gt;0,AVERAGEIFS($V$4:$V$220,$B$4:$B$220,$B4,$V$4:$V$220,"&lt;&gt;"""))),W$3)</f>
        <v>0.9216</v>
      </c>
      <c r="X4" s="119">
        <v>0.6994</v>
      </c>
      <c r="Y4" s="120">
        <f t="shared" ref="Y4:Y220" si="15">IFERROR(IF(X4&lt;&gt;"",X4,IF(AVERAGEIFS($X$4:$X$220,$B$4:$B$220,$B4,$X$4:$X$220,"&lt;&gt;""")&gt;0,AVERAGEIFS($X$4:$X$220,$B$4:$B$220,$B4,$X$4:$X$220,"&lt;&gt;"""))),Y$3)</f>
        <v>0.6994</v>
      </c>
      <c r="Z4" s="299"/>
      <c r="AA4" s="299"/>
      <c r="AB4" s="300" t="str">
        <f t="shared" ref="AB4:AB220" si="16">IFERROR(if(AA4/Z4&gt;100%,100%,AA4/Z4),"")</f>
        <v/>
      </c>
      <c r="AC4" s="301">
        <f t="shared" ref="AC4:AC220" si="17">IFERROR(IF(AND(AB4&lt;&gt;"",AB4&gt;0),AB4, IF(AVERAGEIFS($AB$4:$AB$220,$B$4:$B$220,$B4,$AB$4:$AB$220,"&lt;&gt;""")&gt;0,AVERAGEIFS($AB$4:$AB$220,$B$4:$B$220,$B4,$AB$4:$AB$220,"&lt;&gt;"""))),AC$3)</f>
        <v>0.3122297241</v>
      </c>
      <c r="AD4" s="122">
        <v>0.0</v>
      </c>
      <c r="AE4" s="123">
        <v>0.0</v>
      </c>
      <c r="AF4" s="123">
        <v>0.0</v>
      </c>
      <c r="AG4" s="124">
        <v>0.0723</v>
      </c>
      <c r="AH4" s="124">
        <v>0.113128669</v>
      </c>
      <c r="AI4" s="125">
        <v>0.0043</v>
      </c>
      <c r="AJ4" s="125">
        <v>0.006959948</v>
      </c>
      <c r="AK4" s="127">
        <v>0.2921</v>
      </c>
      <c r="AL4" s="127">
        <v>0.4378</v>
      </c>
      <c r="AM4" s="302">
        <v>0.0</v>
      </c>
      <c r="AN4" s="129" t="str">
        <f>IFERROR(
  AVERAGEIFS(
    'New 20102013 LF Efficacy'!$J:$J,
    'New 20102013 LF Efficacy'!$D:$D, $A4,
    'New 20102013 LF Efficacy'!$F:$F,"DEC", 
    'New 20102013 LF Efficacy'!$W:$W,"&lt;2014",
    'New 20102013 LF Efficacy'!$AA:$AA,""),
  ""
)</f>
        <v/>
      </c>
      <c r="AO4" s="115">
        <f t="shared" ref="AO4:AO220" si="18">IFERROR(
  IFERROR(
    IF(
      AN4&lt;&gt;"",
      AN4,
      AVERAGEIFS($AN$4:$AN$220,$B$4:$B$220,B4,$AN$4:$AN$220,"&lt;&gt;""")
    ), 
    AVERAGEIFS($AN$4:$AN$220,$AN$4:$AN$220,"&lt;&gt;""")
  ),
  "")</f>
        <v>0.3573520833</v>
      </c>
      <c r="AP4" s="121" t="str">
        <f>IFERROR(
AVERAGEIFS(
'New 20102013 LF Efficacy'!$J:$J,
'New 20102013 LF Efficacy'!$D:$D,$A4,
'New 20102013 LF Efficacy'!$F:$F,"Albendazole &amp; DEC",
'New 20102013 LF Efficacy'!$W:$W,"&lt;2014",
'New 20102013 LF Efficacy'!$AA:$AA,""),
"")
</f>
        <v/>
      </c>
      <c r="AQ4" s="115">
        <f t="shared" ref="AQ4:AQ220" si="19">IFERROR(IFERROR(IF(AP4&lt;&gt;"",AP4,AVERAGEIFS($AP$4:$AP$220,$B$4:$B$220,B4,$AP$4:$AP$220,"&lt;&gt;""")), AVERAGEIFS($AP$4:$AP$220,$AP$4:$AP$220,"&lt;&gt;""")),"")</f>
        <v>0.7935</v>
      </c>
      <c r="AR4" s="121" t="str">
        <f>IFERROR(
AVERAGEIFS(
'New 20102013 LF Efficacy'!$J:$J,
'New 20102013 LF Efficacy'!$D:$D,$A4,
'New 20102013 LF Efficacy'!$F:$F,"Albendazole &amp; Ivermectin", 
'New 20102013 LF Efficacy'!$W:$W,"&lt;2014",
'New 20102013 LF Efficacy'!$AA:$AA,""),"")</f>
        <v/>
      </c>
      <c r="AS4" s="115">
        <f t="shared" ref="AS4:AS220" si="20">IFERROR(IFERROR(IF(AR4&lt;&gt;"",AR4,AVERAGEIFS($AR$4:$AR$220,$B$4:$B$220,B4,$AR$4:$AR$220,"&lt;&gt;""")), AVERAGEIFS($AR$4:$AR$220,$AR$4:$AR$220,"&lt;&gt;""")),"")</f>
        <v>0.37153125</v>
      </c>
      <c r="AT4" s="130" t="str">
        <f>IFERROR(AVERAGEIFS(
'20102013 Schist Efficacy'!$O:$O, 
'20102013 Schist Efficacy'!$C:$C,$A4, 
'20102013 Schist Efficacy'!$D:$D, "Praziquantel",
'20102013 Schist Efficacy'!$J:$J,"&lt;2014",
'20102013 Schist Efficacy'!$U:$U,""),
"")</f>
        <v/>
      </c>
      <c r="AU4" s="118">
        <f t="shared" ref="AU4:AU220" si="21">IFERROR(
IFERROR(
IF(AT4&lt;&gt;"",AT4,AVERAGEIFS(AT$4:AT$220,$B$4:$B$220,$B4,AT$4:AT$220,"&lt;&gt;""")),IFERROR(AVERAGE(AT$4:AT$220))),
"No Data")</f>
        <v>0.7763141026</v>
      </c>
      <c r="AV4" s="131" t="str">
        <f>IFERROR(AVERAGEIFS(
'20102013 STH Efficacy'!$AX:$AX, 
'20102013 STH Efficacy'!$AL:$AL, $A4, 
'20102013 STH Efficacy'!$AM:$AM, "Albendazole",
'20102013 STH Efficacy'!$AS:$AS,"&lt;2014",
'20102013 STH Efficacy'!$BP:$BP,""),
"")</f>
        <v/>
      </c>
      <c r="AW4" s="132">
        <f t="shared" ref="AW4:AW220" si="22">IFERROR(IFERROR(IF(AV4&lt;&gt;"",AV4,AVERAGEIFS(AV$4:AV$220,$B$4:$B$220,$B4,AV$4:AV$220,"&gt; 0")), AVERAGEIFS(AV$4:AV$220,AV$4:AV$220,"&lt;&gt;""")),"")</f>
        <v>0.3933333333</v>
      </c>
      <c r="AX4" s="131" t="str">
        <f>IFERROR(AVERAGEIFS(
'20102013 STH Efficacy'!$AX:$AX, 
'20102013 STH Efficacy'!$AL:$AL, $A4, 
'20102013 STH Efficacy'!$AM:$AM, "Mebendazole",
'20102013 STH Efficacy'!$AS:$AS,"&lt;2014",
'20102013 STH Efficacy'!$BP:$BP,""),
"")</f>
        <v/>
      </c>
      <c r="AY4" s="132">
        <f t="shared" ref="AY4:AY220" si="23">IFERROR(IFERROR(IF(AX4&lt;&gt;"",AX4,AVERAGEIFS(AX$4:AX$220,$B$4:$B$220,$B4,AX$4:AX$220,"&gt; 0")), AVERAGEIFS(AX$4:AX$220,AX$4:AX$220,"&lt;&gt;""")),"")</f>
        <v>0.5017738095</v>
      </c>
      <c r="AZ4" s="131" t="str">
        <f>IFERROR(AVERAGEIFS(
'20102013 STH Efficacy'!$AX:$AX, 
'20102013 STH Efficacy'!$AL:$AL, $A4, 
'20102013 STH Efficacy'!$AM:$AM, "Albendazole &amp; Ivermectin",
'20102013 STH Efficacy'!$AS:$AS,"&lt;2014",
'20102013 STH Efficacy'!$BP:$BP,""),
"")</f>
        <v/>
      </c>
      <c r="BA4" s="303">
        <f t="shared" ref="BA4:BA220" si="24">IFERROR(IFERROR(IF(AZ4&lt;&gt;"",AZ4,AVERAGEIFS(AZ$4:AZ$220,$B$4:$B$220,$B4,AZ$4:AZ$220,"&gt; 0")), AVERAGEIFS(AZ$4:AZ$220,AZ$4:AZ$220,"&lt;&gt;""")),"")</f>
        <v>0.597625</v>
      </c>
      <c r="BB4" s="134" t="str">
        <f>IFERROR(AVERAGEIFS(
'20102013 STH Efficacy'!$N:$N, 
'20102013 STH Efficacy'!$B:$B, $A4, 
'20102013 STH Efficacy'!$C:$C, "Albendazole",
'20102013 STH Efficacy'!$I:$I,"&lt;2014",
'20102013 STH Efficacy'!$AH:$AH,""),
"")</f>
        <v/>
      </c>
      <c r="BC4" s="135">
        <f t="shared" ref="BC4:BC220" si="25">IFERROR(
  IFERROR(
    IF(
      BB4&lt;&gt;"",
      BB4,
      AVERAGEIFS(
        BB$4:BB$220,
        $B$4:$B$220,$B4,
        BB$4:BB$220,"&lt;&gt;"""
      )
     ), AVERAGEIFS(BB$4:BB$220,BB$4:BB$220,"&lt;&gt;""")),"")</f>
        <v>0.7613712121</v>
      </c>
      <c r="BD4" s="134" t="str">
        <f>IFERROR(AVERAGEIFS(
'20102013 STH Efficacy'!$N:$N, 
'20102013 STH Efficacy'!$B:$B, $A4, 
'20102013 STH Efficacy'!$C:$C, "Mebendazole",
'20102013 STH Efficacy'!$I:$I,"&lt;2014",
'20102013 STH Efficacy'!$AH:$AH,""),
"")</f>
        <v/>
      </c>
      <c r="BE4" s="135">
        <f t="shared" ref="BE4:BE220" si="26">IFERROR(
  IFERROR(
    IF(
      BD4&lt;&gt;"",
      BD4,
      AVERAGEIFS(
        BD$4:BD$220,
        $B$4:$B$220,$B4,
        BD$4:BD$220,"&gt; 0"
      )
     ), AVERAGEIFS(BD$4:BD$220,BD$4:BD$220,"&lt;&gt;""")),"")</f>
        <v>0.4362466667</v>
      </c>
      <c r="BF4" s="128" t="str">
        <f>IFERROR(AVERAGEIFS(
'20102013 STH Efficacy'!$CD:$CD, 
'20102013 STH Efficacy'!$BS:$BS, $A4, 
'20102013 STH Efficacy'!$BT:$BT, "Albendazole",
'20102013 STH Efficacy'!$BZ:$BZ,"&lt;2014",
'20102013 STH Efficacy'!$CU:$CU,""),
"")</f>
        <v/>
      </c>
      <c r="BG4" s="136">
        <f t="shared" ref="BG4:BG220" si="27">IFERROR(IFERROR(IF(BF4&lt;&gt;"",BF4,AVERAGEIFS(BF$4:BF$220,$B$4:$B$220,$B4,BF$4:BF$220,"&gt; 0")), AVERAGEIFS(BF$4:BF$220,BF$4:BF$220,"&lt;&gt;""")),"")</f>
        <v>0.955</v>
      </c>
      <c r="BH4" s="128" t="str">
        <f>IFERROR(AVERAGEIFS(
'20102013 STH Efficacy'!$CD:$CD, 
'20102013 STH Efficacy'!$BS:$BS, $A4, 
'20102013 STH Efficacy'!$BT:$BT, "Mebendazole",
'20102013 STH Efficacy'!$BZ:$BZ,"&lt;2014",
'20102013 STH Efficacy'!$CU:$CU,""),
"")</f>
        <v/>
      </c>
      <c r="BI4" s="136">
        <f t="shared" ref="BI4:BI220" si="28">IFERROR(IFERROR(IF(BH4&lt;&gt;"",BH4,AVERAGEIFS(BH$4:BH$220,$B$4:$B$220,$B4,BH$4:BH$220,"&gt; 0")), AVERAGEIFS(BH$4:BH$220,BH$4:BH$220,"&lt;&gt;""")),"")</f>
        <v>1</v>
      </c>
      <c r="BJ4" s="128" t="str">
        <f>IFERROR(AVERAGEIFS(
'20102013 STH Efficacy'!$CD:$CD, 
'20102013 STH Efficacy'!$BS:$BS, $A4, 
'20102013 STH Efficacy'!$BT:$BT, "Albendazole &amp; Ivermectin",
'20102013 STH Efficacy'!$BZ:$BZ,"&lt;2014",
'20102013 STH Efficacy'!$CU:$CU,""),
"")</f>
        <v/>
      </c>
      <c r="BK4" s="136">
        <f t="shared" ref="BK4:BK220" si="29">IFERROR(IFERROR(IF(BJ4&lt;&gt;"",BJ4,AVERAGEIFS(BJ$4:BJ$220,$B$4:$B$220,$B4,BJ$4:BJ$220,"&gt; 0")), AVERAGEIFS(BJ$4:BJ$220,BJ$4:BJ$220,"&lt;&gt;""")),"")</f>
        <v>1</v>
      </c>
      <c r="BL4" s="300" t="str">
        <f>IFERROR(
  AVERAGEIFS(
    'NEW 20102013 Onchocerciasis Eff'!$AO:$AO,
    'NEW 20102013 Onchocerciasis Eff'!$C:$C,$A4,
    'NEW 20102013 Onchocerciasis Eff'!$D:$D,"Ivermectin",
    'NEW 20102013 Onchocerciasis Eff'!$AR:$AR,"&lt;2014",
    'NEW 20102013 Onchocerciasis Eff'!$BG:$BG,"")
,"")</f>
        <v/>
      </c>
      <c r="BM4" s="304">
        <f t="shared" ref="BM4:BM220" si="30">iferror(IF(BL4&lt;&gt;"",BL4,IF(AVERAGEIF($B$4:$B$220,B4,$BL$4:$BL$220)&gt;0,AVERAGEIF($B$4:$B$220,B4,$BL$4:BL$220),AVERAGE($BL$4:$BL$220))),AVERAGE($BL$4:$BL$220))</f>
        <v>0.7808368939</v>
      </c>
      <c r="BN4" s="305">
        <v>0.0</v>
      </c>
      <c r="BO4" s="139">
        <v>0.0</v>
      </c>
      <c r="BP4" s="140">
        <v>0.0</v>
      </c>
      <c r="BQ4" s="141">
        <f t="shared" ref="BQ4:BQ220" si="31">IF(AVERAGE(AH4, AJ4, AL4)&gt;=50%, 2, IF(AVERAGE(AH4, AJ4, AL4)&gt;=20%,1,0))</f>
        <v>0</v>
      </c>
      <c r="BR4" s="104" t="str">
        <f t="shared" ref="BR4:BR220" si="32">BN4&amp;BO4&amp;BP4&amp;BQ4</f>
        <v>0000</v>
      </c>
      <c r="BS4" s="104" t="str">
        <f t="shared" ref="BS4:BS220" si="33">IF(OR(BR4="1112",BR4="0112"),"MDA1+T1",IF(OR(BR4="1111",BR4="1110",BR4="0111"),"MDA1+T2",IF(OR(BR4="1102",BR4="0102"),"MDA1+T3",IF(OR(BR4="1101",BR4="1100",BR4="0101"),"MDA1",IF(BR4="1012","MDA1/2+T1",IF(OR(BR4="1011",BR4="1010"),"MDA1/2+T2",IF(BR4="1002","MDA1/2+T3",IF(OR(BR4="1001",BR4="1000"),"MDA1/2",IF(BR4="0110","MDA3+T2",IF(BR4="0100","MDA3",IF(BR4="0012","T1+T3",IF(BR4="0011","T1",IF(BR4="0010","T2",IF(BR4="0002","T3+T3",IF(BR4="0001","T3",IF(BR4="0000","no action required"))))))))))))))))</f>
        <v>no action required</v>
      </c>
      <c r="BT4" s="142" t="str">
        <f t="shared" ref="BT4:BT220" si="34">IF(BS4="no action required","",IF(BS4="MDA1","IVM+ALB",IF(BS4="MDA3","IVM",IF(BS4="T1","ALB+PZQ or MBD+PZQ",IF(BS4="T2","PZQ",IF(BS4="T3","ALB or MBD",IF(BS4="MDA1+T1","IVM+ALB",IF(BS4="MDA1+T2","IVM+ALB",IF(BS4="MDA1+T3","IVM+ALB",IF(BS4="MDA1/2+T1","DEC+ALB",IF(BS4="MDA1/2+T2","DEC +ALB",IF(BS4="MDA1/2+T3","DEC+ALB",IF(BS4="MDA1/2","DEC+ALB",IF(BS4="MDA3+T2","IVM",IF(BS4="T1+T3","ALB+PZQ or MBD+PZQ",IF(BS4="T3+T3","2(ALB or MBD)"))))))))))))))))</f>
        <v/>
      </c>
      <c r="BU4" s="104" t="str">
        <f t="shared" ref="BU4:BU123" si="35">IF(IF(BS4="MDA1+T1","ALB+PZQ or MBD+PZQ",IF(BS4="MDA1+T2","PZQ",IF(BS4="MDA1+T3","ALB or MBD",IF(BS4="MDA1/2+T1","ALB+PZQ or MBD+PZQ",IF(BS4="MDA1/2+T2","PZQ",IF(BS4="MDA1/2+T3","ALB or MBD",IF(BS4="MDA3+T2","PZQ",IF(BS4="T1+T3","ALB or MBD"))))))))=FALSE,"",IF(BS4="MDA1+T1","ALB+PZQ or MBD+PZQ",IF(BS4="MDA1+T2","PZQ",IF(BS4="MDA1+T3","ALB or MBD",IF(BS4="MDA1/2+T1","ALB+PZQ or MBD+PZQ",IF(BS4="MDA1/2+T2","PZQ",IF(BS4="MDA1/2+T3","ALB or MBD",IF(BS4="MDA3+T2","PZQ",IF(BS4="T1+T3","ALB or MBD")))))))))</f>
        <v/>
      </c>
      <c r="BV4" s="104" t="str">
        <f t="shared" ref="BV4:BV220" si="36">IF(BR4=$BR$221,$BS$221,IF(BR4=$BR$222,$BS$222,IF(BR4=$BR$223,$BS$223,IF(BR4=$BR$224,$BS$224,IF(BR4=$BR$225,$BS$225,IF(BR4=$BR$226,$BS$226,IF(BR4=$BR$227,$BS$227,IF(BR4=$BR$228,$BS$228,IF(BR4=$BR$229,$BS$229,IF(BR4=$BR$230,$BS$230,IF(BR4=$BR$231,$BS$231,IF(BR4=$BR$232,$BS$232,IF(BR4=$BR$233,$BS$233,IF(BR4=$BR$234,$BS$234,IF(BR4=$BR$235,$BS$235,IF(BR4=$BR$236,$BS$236))))))))))))))))</f>
        <v>none</v>
      </c>
      <c r="BW4" s="143" t="str">
        <f t="shared" ref="BW4:BW220" si="37">iferror(IF(and(search("lf",$BV4),search(BW$2,$BT4)),(($D4*$AQ4*$S4)/(1-$AQ4*$S4))," "))</f>
        <v/>
      </c>
      <c r="BX4" s="143" t="str">
        <f t="shared" ref="BX4:BX220" si="38">iferror(IF(and(search("lf",$BV4),search(BX$2,$BT4)),(($D4*$AS4*$S4)/(1-$AS4*$S4))," "))</f>
        <v/>
      </c>
      <c r="BY4" s="144" t="str">
        <f t="shared" ref="BY4:BY220" si="39">iferror(IF(and(search("schist",$BV4),search(BY$2,$BU4)),(($E4*$AU4*$U4)/(1-$AU4*$U4)),""))</f>
        <v/>
      </c>
      <c r="BZ4" s="145" t="str">
        <f t="shared" ref="BZ4:BZ220" si="40">iferror(IF(AND(search("sth",$BV4),search(BZ$2,$BT4)),((($G4*$AW4*$Y4)/(1-$AW4*$Y4)))+(($F4*$AW4*$W4)/(1-$AW4*$W4)),""),"")</f>
        <v/>
      </c>
      <c r="CA4" s="145" t="str">
        <f t="shared" ref="CA4:CA220" si="41">iferror(IF(AND(search("sth",$BV4),search(CA$2,$BT4)),((($G4*$AY4*$Y4)/(1-$AY4*$Y4)))+(($F4*$AY4*$W4)/(1-$AY4*$W4)),""),"")</f>
        <v/>
      </c>
      <c r="CB4" s="145" t="str">
        <f t="shared" ref="CB4:CB220" si="42">iferror(IF(AND(search("sth",$BV4),search(CB$2,$BT4)),((($G4*$BA4*$Y4)/(1-$BA4*$Y4)))+(($F4*$BA4*$W4)/(1-$BA4*$W4)),""),"")</f>
        <v/>
      </c>
      <c r="CC4" s="146" t="str">
        <f t="shared" ref="CC4:CC220" si="43">iferror(IF(AND(search("sth",$BV4),search(CC$2,$BT4)),((($J4*$BC4*$Y4)/(1-$BC4*$Y4)))+(($I4*$BC4*$W4)/(1-$BC4*$W4)),""),"")</f>
        <v/>
      </c>
      <c r="CD4" s="146" t="str">
        <f t="shared" ref="CD4:CD220" si="44">iferror(IF(AND(search("sth",$BV4),search(CD$2,$BT4)),((($J4*$BE4*$Y4)/(1-$BE4*$Y4)))+(($I4*$BE4*$W4)/(1-$BE4*$W4)),""),"")</f>
        <v/>
      </c>
      <c r="CE4" s="147" t="str">
        <f t="shared" ref="CE4:CE220" si="45">iferror(IF(AND(search("sth",$BV4),search(CE$2,$BT4)),((($M4*$BG4*$Y4)/(1-$BG4*$Y4)))+(($L4*$BG4*$W4)/(1-$BG4*$W4)),""),"")</f>
        <v/>
      </c>
      <c r="CF4" s="147" t="str">
        <f t="shared" ref="CF4:CF220" si="46">iferror(IF(AND(search("sth",$BV4),search(CF$2,$BT4)),((($M4*$BI4*$Y4)/(1-$BI4*$Y4)))+(($L4*$BI4*$W4)/(1-$BI4*$W4)),""),"")</f>
        <v/>
      </c>
      <c r="CG4" s="147" t="str">
        <f t="shared" ref="CG4:CG220" si="47">iferror(IF(AND(search("sth",$BV4),search(CG$2,$BT4)),((($M4*$BK4*$Y4)/(1-$BK4*$Y4)))+(($L4*$BK4*$W4)/(1-$BK4*$W4)),""),"")</f>
        <v/>
      </c>
      <c r="CH4" s="306" t="str">
        <f t="shared" ref="CH4:CH220" si="48">iferror(if(AND(search("onch",$BV4),search(CH$2,$BT4)),(($O4*$BM4*$AC4)/(1-$BM4*$AC4))/30,""))</f>
        <v/>
      </c>
      <c r="CI4" s="299">
        <f t="shared" ref="CI4:CI42" si="49">countifs(W:W,"&gt;98%",BF:BF,"&gt;98%)")</f>
        <v>0</v>
      </c>
    </row>
    <row r="5">
      <c r="A5" s="103" t="s">
        <v>89</v>
      </c>
      <c r="B5" s="104" t="s">
        <v>90</v>
      </c>
      <c r="C5" s="105">
        <v>2895092.0</v>
      </c>
      <c r="D5" s="293">
        <v>0.0</v>
      </c>
      <c r="E5" s="294">
        <v>0.0</v>
      </c>
      <c r="F5" s="307">
        <v>0.0</v>
      </c>
      <c r="G5" s="307">
        <v>0.0</v>
      </c>
      <c r="H5" s="108">
        <v>0.0</v>
      </c>
      <c r="I5" s="109">
        <v>0.0</v>
      </c>
      <c r="J5" s="109">
        <v>0.0</v>
      </c>
      <c r="K5" s="109">
        <v>0.0</v>
      </c>
      <c r="L5" s="112">
        <v>0.654818762</v>
      </c>
      <c r="M5" s="112">
        <v>0.405300656</v>
      </c>
      <c r="N5" s="111">
        <v>1.060119418</v>
      </c>
      <c r="O5" s="298">
        <v>0.0</v>
      </c>
      <c r="P5" s="114"/>
      <c r="Q5" s="114"/>
      <c r="R5" s="121" t="str">
        <f t="shared" si="11"/>
        <v/>
      </c>
      <c r="S5" s="116">
        <f t="shared" si="12"/>
        <v>0.526225767</v>
      </c>
      <c r="T5" s="130"/>
      <c r="U5" s="118">
        <f t="shared" si="13"/>
        <v>0.3468166667</v>
      </c>
      <c r="V5" s="148"/>
      <c r="W5" s="120">
        <f t="shared" si="14"/>
        <v>1</v>
      </c>
      <c r="X5" s="148"/>
      <c r="Y5" s="120">
        <f t="shared" si="15"/>
        <v>1</v>
      </c>
      <c r="Z5" s="299"/>
      <c r="AA5" s="299"/>
      <c r="AB5" s="300" t="str">
        <f t="shared" si="16"/>
        <v/>
      </c>
      <c r="AC5" s="301">
        <f t="shared" si="17"/>
        <v>0.6295826791</v>
      </c>
      <c r="AD5" s="122">
        <v>0.0</v>
      </c>
      <c r="AE5" s="123">
        <v>0.0</v>
      </c>
      <c r="AF5" s="123">
        <v>0.0</v>
      </c>
      <c r="AG5" s="124">
        <v>0.0</v>
      </c>
      <c r="AH5" s="124">
        <v>0.0</v>
      </c>
      <c r="AI5" s="125">
        <v>0.0</v>
      </c>
      <c r="AJ5" s="125">
        <v>0.0</v>
      </c>
      <c r="AK5" s="127">
        <v>0.0</v>
      </c>
      <c r="AL5" s="127">
        <v>0.0</v>
      </c>
      <c r="AM5" s="302">
        <v>0.0</v>
      </c>
      <c r="AN5" s="149" t="str">
        <f>IFERROR(
  AVERAGEIFS(
    'New 20102013 LF Efficacy'!$J:$J,
    'New 20102013 LF Efficacy'!$D:$D, $A5,
    'New 20102013 LF Efficacy'!$F:$F,"DEC", 
    'New 20102013 LF Efficacy'!$W:$W,"&lt;2014",
    'New 20102013 LF Efficacy'!$AA:$AA,""),
  ""
)</f>
        <v/>
      </c>
      <c r="AO5" s="115">
        <f t="shared" si="18"/>
        <v>0.3573520833</v>
      </c>
      <c r="AP5" s="121" t="str">
        <f>IFERROR(
AVERAGEIFS(
'New 20102013 LF Efficacy'!$J:$J,
'New 20102013 LF Efficacy'!$D:$D,$A5,
'New 20102013 LF Efficacy'!$F:$F,"Albendazole &amp; DEC",
'New 20102013 LF Efficacy'!$W:$W,"&lt;2014",
'New 20102013 LF Efficacy'!$AA:$AA,""),
"")
</f>
        <v/>
      </c>
      <c r="AQ5" s="115">
        <f t="shared" si="19"/>
        <v>0.5137291667</v>
      </c>
      <c r="AR5" s="121" t="str">
        <f>IFERROR(
AVERAGEIFS(
'New 20102013 LF Efficacy'!$J:$J,
'New 20102013 LF Efficacy'!$D:$D,$A5,
'New 20102013 LF Efficacy'!$F:$F,"Albendazole &amp; Ivermectin", 
'New 20102013 LF Efficacy'!$W:$W,"&lt;2014",
'New 20102013 LF Efficacy'!$AA:$AA,""),"")</f>
        <v/>
      </c>
      <c r="AS5" s="115">
        <f t="shared" si="20"/>
        <v>0.37153125</v>
      </c>
      <c r="AT5" s="130" t="str">
        <f>IFERROR(AVERAGEIFS(
'20102013 Schist Efficacy'!$O:$O, 
'20102013 Schist Efficacy'!$C:$C,$A5, 
'20102013 Schist Efficacy'!$D:$D, "Praziquantel",
'20102013 Schist Efficacy'!$J:$J,"&lt;2014",
'20102013 Schist Efficacy'!$U:$U,""),
"")</f>
        <v/>
      </c>
      <c r="AU5" s="118">
        <f t="shared" si="21"/>
        <v>0.655</v>
      </c>
      <c r="AV5" s="131" t="str">
        <f>IFERROR(AVERAGEIFS(
'20102013 STH Efficacy'!$AX:$AX, 
'20102013 STH Efficacy'!$AL:$AL, $A5, 
'20102013 STH Efficacy'!$AM:$AM, "Albendazole",
'20102013 STH Efficacy'!$AS:$AS,"&lt;2014",
'20102013 STH Efficacy'!$BP:$BP,""),
"")</f>
        <v/>
      </c>
      <c r="AW5" s="132">
        <f t="shared" si="22"/>
        <v>0.3933333333</v>
      </c>
      <c r="AX5" s="131" t="str">
        <f>IFERROR(AVERAGEIFS(
'20102013 STH Efficacy'!$AX:$AX, 
'20102013 STH Efficacy'!$AL:$AL, $A5, 
'20102013 STH Efficacy'!$AM:$AM, "Mebendazole",
'20102013 STH Efficacy'!$AS:$AS,"&lt;2014",
'20102013 STH Efficacy'!$BP:$BP,""),
"")</f>
        <v/>
      </c>
      <c r="AY5" s="132">
        <f t="shared" si="23"/>
        <v>0.5017738095</v>
      </c>
      <c r="AZ5" s="131" t="str">
        <f>IFERROR(AVERAGEIFS(
'20102013 STH Efficacy'!$AX:$AX, 
'20102013 STH Efficacy'!$AL:$AL, $A5, 
'20102013 STH Efficacy'!$AM:$AM, "Albendazole &amp; Ivermectin",
'20102013 STH Efficacy'!$AS:$AS,"&lt;2014",
'20102013 STH Efficacy'!$BP:$BP,""),
"")</f>
        <v/>
      </c>
      <c r="BA5" s="303">
        <f t="shared" si="24"/>
        <v>0.597625</v>
      </c>
      <c r="BB5" s="134" t="str">
        <f>IFERROR(AVERAGEIFS(
'20102013 STH Efficacy'!$N:$N, 
'20102013 STH Efficacy'!$B:$B, $A5, 
'20102013 STH Efficacy'!$C:$C, "Albendazole",
'20102013 STH Efficacy'!$I:$I,"&lt;2014",
'20102013 STH Efficacy'!$AH:$AH,""),
"")</f>
        <v/>
      </c>
      <c r="BC5" s="135">
        <f t="shared" si="25"/>
        <v>0.7613712121</v>
      </c>
      <c r="BD5" s="134" t="str">
        <f>IFERROR(AVERAGEIFS(
'20102013 STH Efficacy'!$N:$N, 
'20102013 STH Efficacy'!$B:$B, $A5, 
'20102013 STH Efficacy'!$C:$C, "Mebendazole",
'20102013 STH Efficacy'!$I:$I,"&lt;2014",
'20102013 STH Efficacy'!$AH:$AH,""),
"")</f>
        <v/>
      </c>
      <c r="BE5" s="135">
        <f t="shared" si="26"/>
        <v>0.4362466667</v>
      </c>
      <c r="BF5" s="128" t="str">
        <f>IFERROR(AVERAGEIFS(
'20102013 STH Efficacy'!$CD:$CD, 
'20102013 STH Efficacy'!$BS:$BS, $A5, 
'20102013 STH Efficacy'!$BT:$BT, "Albendazole",
'20102013 STH Efficacy'!$BZ:$BZ,"&lt;2014",
'20102013 STH Efficacy'!$CU:$CU,""),
"")</f>
        <v/>
      </c>
      <c r="BG5" s="136">
        <f t="shared" si="27"/>
        <v>0.9216027778</v>
      </c>
      <c r="BH5" s="128" t="str">
        <f>IFERROR(AVERAGEIFS(
'20102013 STH Efficacy'!$CD:$CD, 
'20102013 STH Efficacy'!$BS:$BS, $A5, 
'20102013 STH Efficacy'!$BT:$BT, "Mebendazole",
'20102013 STH Efficacy'!$BZ:$BZ,"&lt;2014",
'20102013 STH Efficacy'!$CU:$CU,""),
"")</f>
        <v/>
      </c>
      <c r="BI5" s="136">
        <f t="shared" si="28"/>
        <v>0.9295857143</v>
      </c>
      <c r="BJ5" s="128" t="str">
        <f>IFERROR(AVERAGEIFS(
'20102013 STH Efficacy'!$CD:$CD, 
'20102013 STH Efficacy'!$BS:$BS, $A5, 
'20102013 STH Efficacy'!$BT:$BT, "Albendazole &amp; Ivermectin",
'20102013 STH Efficacy'!$BZ:$BZ,"&lt;2014",
'20102013 STH Efficacy'!$CU:$CU,""),
"")</f>
        <v/>
      </c>
      <c r="BK5" s="136">
        <f t="shared" si="29"/>
        <v>1</v>
      </c>
      <c r="BL5" s="300" t="str">
        <f>IFERROR(
  AVERAGEIFS(
    'NEW 20102013 Onchocerciasis Eff'!$AO:$AO,
    'NEW 20102013 Onchocerciasis Eff'!$C:$C,$A5,
    'NEW 20102013 Onchocerciasis Eff'!$D:$D,"Ivermectin",
    'NEW 20102013 Onchocerciasis Eff'!$AR:$AR,"&lt;2014",
    'NEW 20102013 Onchocerciasis Eff'!$BG:$BG,"")
,"")</f>
        <v/>
      </c>
      <c r="BM5" s="304">
        <f t="shared" si="30"/>
        <v>0.7808368939</v>
      </c>
      <c r="BN5" s="305">
        <v>0.0</v>
      </c>
      <c r="BO5" s="139">
        <v>0.0</v>
      </c>
      <c r="BP5" s="140">
        <v>0.0</v>
      </c>
      <c r="BQ5" s="141">
        <f t="shared" si="31"/>
        <v>0</v>
      </c>
      <c r="BR5" s="104" t="str">
        <f t="shared" si="32"/>
        <v>0000</v>
      </c>
      <c r="BS5" s="104" t="str">
        <f t="shared" si="33"/>
        <v>no action required</v>
      </c>
      <c r="BT5" s="142" t="str">
        <f t="shared" si="34"/>
        <v/>
      </c>
      <c r="BU5" s="104" t="str">
        <f t="shared" si="35"/>
        <v/>
      </c>
      <c r="BV5" s="104" t="str">
        <f t="shared" si="36"/>
        <v>none</v>
      </c>
      <c r="BW5" s="150" t="str">
        <f t="shared" si="37"/>
        <v/>
      </c>
      <c r="BX5" s="150" t="str">
        <f t="shared" si="38"/>
        <v/>
      </c>
      <c r="BY5" s="151" t="str">
        <f t="shared" si="39"/>
        <v/>
      </c>
      <c r="BZ5" s="152" t="str">
        <f t="shared" si="40"/>
        <v/>
      </c>
      <c r="CA5" s="152" t="str">
        <f t="shared" si="41"/>
        <v/>
      </c>
      <c r="CB5" s="152" t="str">
        <f t="shared" si="42"/>
        <v/>
      </c>
      <c r="CC5" s="153" t="str">
        <f t="shared" si="43"/>
        <v/>
      </c>
      <c r="CD5" s="153" t="str">
        <f t="shared" si="44"/>
        <v/>
      </c>
      <c r="CE5" s="154" t="str">
        <f t="shared" si="45"/>
        <v/>
      </c>
      <c r="CF5" s="154" t="str">
        <f t="shared" si="46"/>
        <v/>
      </c>
      <c r="CG5" s="154" t="str">
        <f t="shared" si="47"/>
        <v/>
      </c>
      <c r="CH5" s="308" t="str">
        <f t="shared" si="48"/>
        <v/>
      </c>
      <c r="CI5" s="299">
        <f t="shared" si="49"/>
        <v>0</v>
      </c>
    </row>
    <row r="6">
      <c r="A6" s="103" t="s">
        <v>91</v>
      </c>
      <c r="B6" s="104" t="s">
        <v>92</v>
      </c>
      <c r="C6" s="105">
        <v>3.8338562E7</v>
      </c>
      <c r="D6" s="293">
        <v>0.0</v>
      </c>
      <c r="E6" s="294">
        <v>5580.508451</v>
      </c>
      <c r="F6" s="309">
        <v>0.325843014</v>
      </c>
      <c r="G6" s="309">
        <v>1.176086565</v>
      </c>
      <c r="H6" s="108">
        <v>1.501929579</v>
      </c>
      <c r="I6" s="109">
        <v>0.21426964</v>
      </c>
      <c r="J6" s="109">
        <v>0.18758945</v>
      </c>
      <c r="K6" s="110">
        <v>0.401859083</v>
      </c>
      <c r="L6" s="111">
        <v>75.01182114</v>
      </c>
      <c r="M6" s="112">
        <v>68.24546791</v>
      </c>
      <c r="N6" s="111">
        <v>143.257289</v>
      </c>
      <c r="O6" s="298">
        <v>0.0</v>
      </c>
      <c r="P6" s="114"/>
      <c r="Q6" s="114"/>
      <c r="R6" s="121" t="str">
        <f t="shared" si="11"/>
        <v/>
      </c>
      <c r="S6" s="116">
        <f t="shared" si="12"/>
        <v>0.2589669834</v>
      </c>
      <c r="T6" s="130"/>
      <c r="U6" s="118">
        <f t="shared" si="13"/>
        <v>0.252</v>
      </c>
      <c r="V6" s="148"/>
      <c r="W6" s="120">
        <f t="shared" si="14"/>
        <v>0.8114541667</v>
      </c>
      <c r="X6" s="148"/>
      <c r="Y6" s="120">
        <f t="shared" si="15"/>
        <v>0.5668291667</v>
      </c>
      <c r="Z6" s="299"/>
      <c r="AA6" s="299"/>
      <c r="AB6" s="300" t="str">
        <f t="shared" si="16"/>
        <v/>
      </c>
      <c r="AC6" s="301">
        <f t="shared" si="17"/>
        <v>0.655321236</v>
      </c>
      <c r="AD6" s="122">
        <v>0.0</v>
      </c>
      <c r="AE6" s="123">
        <v>0.01</v>
      </c>
      <c r="AF6" s="123">
        <v>0.0017</v>
      </c>
      <c r="AG6" s="124">
        <v>0.0145</v>
      </c>
      <c r="AH6" s="124">
        <v>0.022038166</v>
      </c>
      <c r="AI6" s="125">
        <v>0.0</v>
      </c>
      <c r="AJ6" s="125">
        <v>8.64165E-6</v>
      </c>
      <c r="AK6" s="127">
        <v>0.0332</v>
      </c>
      <c r="AL6" s="127">
        <v>0.0506</v>
      </c>
      <c r="AM6" s="302">
        <v>0.0</v>
      </c>
      <c r="AN6" s="149" t="str">
        <f>IFERROR(
  AVERAGEIFS(
    'New 20102013 LF Efficacy'!$J:$J,
    'New 20102013 LF Efficacy'!$D:$D, $A6,
    'New 20102013 LF Efficacy'!$F:$F,"DEC", 
    'New 20102013 LF Efficacy'!$W:$W,"&lt;2014",
    'New 20102013 LF Efficacy'!$AA:$AA,""),
  ""
)</f>
        <v/>
      </c>
      <c r="AO6" s="115">
        <f t="shared" si="18"/>
        <v>0.31225</v>
      </c>
      <c r="AP6" s="121" t="str">
        <f>IFERROR(
AVERAGEIFS(
'New 20102013 LF Efficacy'!$J:$J,
'New 20102013 LF Efficacy'!$D:$D,$A6,
'New 20102013 LF Efficacy'!$F:$F,"Albendazole &amp; DEC",
'New 20102013 LF Efficacy'!$W:$W,"&lt;2014",
'New 20102013 LF Efficacy'!$AA:$AA,""),
"")
</f>
        <v/>
      </c>
      <c r="AQ6" s="115">
        <f t="shared" si="19"/>
        <v>0.4</v>
      </c>
      <c r="AR6" s="121" t="str">
        <f>IFERROR(
AVERAGEIFS(
'New 20102013 LF Efficacy'!$J:$J,
'New 20102013 LF Efficacy'!$D:$D,$A6,
'New 20102013 LF Efficacy'!$F:$F,"Albendazole &amp; Ivermectin", 
'New 20102013 LF Efficacy'!$W:$W,"&lt;2014",
'New 20102013 LF Efficacy'!$AA:$AA,""),"")</f>
        <v/>
      </c>
      <c r="AS6" s="115">
        <f t="shared" si="20"/>
        <v>0.2943125</v>
      </c>
      <c r="AT6" s="130" t="str">
        <f>IFERROR(AVERAGEIFS(
'20102013 Schist Efficacy'!$O:$O, 
'20102013 Schist Efficacy'!$C:$C,$A6, 
'20102013 Schist Efficacy'!$D:$D, "Praziquantel",
'20102013 Schist Efficacy'!$J:$J,"&lt;2014",
'20102013 Schist Efficacy'!$U:$U,""),
"")</f>
        <v/>
      </c>
      <c r="AU6" s="118">
        <f t="shared" si="21"/>
        <v>0.7192212527</v>
      </c>
      <c r="AV6" s="131" t="str">
        <f>IFERROR(AVERAGEIFS(
'20102013 STH Efficacy'!$AX:$AX, 
'20102013 STH Efficacy'!$AL:$AL, $A6, 
'20102013 STH Efficacy'!$AM:$AM, "Albendazole",
'20102013 STH Efficacy'!$AS:$AS,"&lt;2014",
'20102013 STH Efficacy'!$BP:$BP,""),
"")</f>
        <v/>
      </c>
      <c r="AW6" s="132">
        <f t="shared" si="22"/>
        <v>0.3816333333</v>
      </c>
      <c r="AX6" s="131" t="str">
        <f>IFERROR(AVERAGEIFS(
'20102013 STH Efficacy'!$AX:$AX, 
'20102013 STH Efficacy'!$AL:$AL, $A6, 
'20102013 STH Efficacy'!$AM:$AM, "Mebendazole",
'20102013 STH Efficacy'!$AS:$AS,"&lt;2014",
'20102013 STH Efficacy'!$BP:$BP,""),
"")</f>
        <v/>
      </c>
      <c r="AY6" s="132">
        <f t="shared" si="23"/>
        <v>0.5675833333</v>
      </c>
      <c r="AZ6" s="131" t="str">
        <f>IFERROR(AVERAGEIFS(
'20102013 STH Efficacy'!$AX:$AX, 
'20102013 STH Efficacy'!$AL:$AL, $A6, 
'20102013 STH Efficacy'!$AM:$AM, "Albendazole &amp; Ivermectin",
'20102013 STH Efficacy'!$AS:$AS,"&lt;2014",
'20102013 STH Efficacy'!$BP:$BP,""),
"")</f>
        <v/>
      </c>
      <c r="BA6" s="303">
        <f t="shared" si="24"/>
        <v>0.47175</v>
      </c>
      <c r="BB6" s="134" t="str">
        <f>IFERROR(AVERAGEIFS(
'20102013 STH Efficacy'!$N:$N, 
'20102013 STH Efficacy'!$B:$B, $A6, 
'20102013 STH Efficacy'!$C:$C, "Albendazole",
'20102013 STH Efficacy'!$I:$I,"&lt;2014",
'20102013 STH Efficacy'!$AH:$AH,""),
"")</f>
        <v/>
      </c>
      <c r="BC6" s="135">
        <f t="shared" si="25"/>
        <v>0.8699166667</v>
      </c>
      <c r="BD6" s="134" t="str">
        <f>IFERROR(AVERAGEIFS(
'20102013 STH Efficacy'!$N:$N, 
'20102013 STH Efficacy'!$B:$B, $A6, 
'20102013 STH Efficacy'!$C:$C, "Mebendazole",
'20102013 STH Efficacy'!$I:$I,"&lt;2014",
'20102013 STH Efficacy'!$AH:$AH,""),
"")</f>
        <v/>
      </c>
      <c r="BE6" s="135">
        <f t="shared" si="26"/>
        <v>0.7092416667</v>
      </c>
      <c r="BF6" s="128" t="str">
        <f>IFERROR(AVERAGEIFS(
'20102013 STH Efficacy'!$CD:$CD, 
'20102013 STH Efficacy'!$BS:$BS, $A6, 
'20102013 STH Efficacy'!$BT:$BT, "Albendazole",
'20102013 STH Efficacy'!$BZ:$BZ,"&lt;2014",
'20102013 STH Efficacy'!$CU:$CU,""),
"")</f>
        <v/>
      </c>
      <c r="BG6" s="136">
        <f t="shared" si="27"/>
        <v>0.9066666667</v>
      </c>
      <c r="BH6" s="128" t="str">
        <f>IFERROR(AVERAGEIFS(
'20102013 STH Efficacy'!$CD:$CD, 
'20102013 STH Efficacy'!$BS:$BS, $A6, 
'20102013 STH Efficacy'!$BT:$BT, "Mebendazole",
'20102013 STH Efficacy'!$BZ:$BZ,"&lt;2014",
'20102013 STH Efficacy'!$CU:$CU,""),
"")</f>
        <v/>
      </c>
      <c r="BI6" s="136">
        <f t="shared" si="28"/>
        <v>0.9358666667</v>
      </c>
      <c r="BJ6" s="128" t="str">
        <f>IFERROR(AVERAGEIFS(
'20102013 STH Efficacy'!$CD:$CD, 
'20102013 STH Efficacy'!$BS:$BS, $A6, 
'20102013 STH Efficacy'!$BT:$BT, "Albendazole &amp; Ivermectin",
'20102013 STH Efficacy'!$BZ:$BZ,"&lt;2014",
'20102013 STH Efficacy'!$CU:$CU,""),
"")</f>
        <v/>
      </c>
      <c r="BK6" s="136">
        <f t="shared" si="29"/>
        <v>1</v>
      </c>
      <c r="BL6" s="300" t="str">
        <f>IFERROR(
  AVERAGEIFS(
    'NEW 20102013 Onchocerciasis Eff'!$AO:$AO,
    'NEW 20102013 Onchocerciasis Eff'!$C:$C,$A6,
    'NEW 20102013 Onchocerciasis Eff'!$D:$D,"Ivermectin",
    'NEW 20102013 Onchocerciasis Eff'!$AR:$AR,"&lt;2014",
    'NEW 20102013 Onchocerciasis Eff'!$BG:$BG,"")
,"")</f>
        <v/>
      </c>
      <c r="BM6" s="304">
        <f t="shared" si="30"/>
        <v>0.8390421645</v>
      </c>
      <c r="BN6" s="305">
        <v>0.0</v>
      </c>
      <c r="BO6" s="139">
        <v>0.0</v>
      </c>
      <c r="BP6" s="140">
        <v>0.0</v>
      </c>
      <c r="BQ6" s="141">
        <f t="shared" si="31"/>
        <v>0</v>
      </c>
      <c r="BR6" s="104" t="str">
        <f t="shared" si="32"/>
        <v>0000</v>
      </c>
      <c r="BS6" s="104" t="str">
        <f t="shared" si="33"/>
        <v>no action required</v>
      </c>
      <c r="BT6" s="142" t="str">
        <f t="shared" si="34"/>
        <v/>
      </c>
      <c r="BU6" s="104" t="str">
        <f t="shared" si="35"/>
        <v/>
      </c>
      <c r="BV6" s="104" t="str">
        <f t="shared" si="36"/>
        <v>none</v>
      </c>
      <c r="BW6" s="150" t="str">
        <f t="shared" si="37"/>
        <v/>
      </c>
      <c r="BX6" s="150" t="str">
        <f t="shared" si="38"/>
        <v/>
      </c>
      <c r="BY6" s="151" t="str">
        <f t="shared" si="39"/>
        <v/>
      </c>
      <c r="BZ6" s="152" t="str">
        <f t="shared" si="40"/>
        <v/>
      </c>
      <c r="CA6" s="152" t="str">
        <f t="shared" si="41"/>
        <v/>
      </c>
      <c r="CB6" s="152" t="str">
        <f t="shared" si="42"/>
        <v/>
      </c>
      <c r="CC6" s="153" t="str">
        <f t="shared" si="43"/>
        <v/>
      </c>
      <c r="CD6" s="153" t="str">
        <f t="shared" si="44"/>
        <v/>
      </c>
      <c r="CE6" s="154" t="str">
        <f t="shared" si="45"/>
        <v/>
      </c>
      <c r="CF6" s="154" t="str">
        <f t="shared" si="46"/>
        <v/>
      </c>
      <c r="CG6" s="154" t="str">
        <f t="shared" si="47"/>
        <v/>
      </c>
      <c r="CH6" s="308" t="str">
        <f t="shared" si="48"/>
        <v/>
      </c>
      <c r="CI6" s="299">
        <f t="shared" si="49"/>
        <v>0</v>
      </c>
    </row>
    <row r="7">
      <c r="A7" s="155" t="s">
        <v>93</v>
      </c>
      <c r="B7" s="104" t="s">
        <v>94</v>
      </c>
      <c r="C7" s="105">
        <v>55307.0</v>
      </c>
      <c r="D7" s="293">
        <v>133.03</v>
      </c>
      <c r="E7" s="294">
        <v>0.0</v>
      </c>
      <c r="F7" s="309">
        <v>0.0</v>
      </c>
      <c r="G7" s="309">
        <v>0.0</v>
      </c>
      <c r="H7" s="108">
        <v>0.0</v>
      </c>
      <c r="I7" s="109">
        <v>0.0</v>
      </c>
      <c r="J7" s="109">
        <v>0.0</v>
      </c>
      <c r="K7" s="109">
        <v>0.0</v>
      </c>
      <c r="L7" s="112">
        <v>0.0</v>
      </c>
      <c r="M7" s="112">
        <v>0.0</v>
      </c>
      <c r="N7" s="111">
        <v>0.0</v>
      </c>
      <c r="O7" s="298">
        <v>0.0</v>
      </c>
      <c r="P7" s="156"/>
      <c r="Q7" s="156"/>
      <c r="R7" s="121" t="str">
        <f t="shared" si="11"/>
        <v/>
      </c>
      <c r="S7" s="116">
        <f t="shared" si="12"/>
        <v>0.403639098</v>
      </c>
      <c r="T7" s="130"/>
      <c r="U7" s="118">
        <f t="shared" si="13"/>
        <v>0.6259666667</v>
      </c>
      <c r="V7" s="148"/>
      <c r="W7" s="120">
        <f t="shared" si="14"/>
        <v>0.3807857143</v>
      </c>
      <c r="X7" s="148"/>
      <c r="Y7" s="120">
        <f t="shared" si="15"/>
        <v>0.3971375</v>
      </c>
      <c r="Z7" s="299"/>
      <c r="AA7" s="299"/>
      <c r="AB7" s="300" t="str">
        <f t="shared" si="16"/>
        <v/>
      </c>
      <c r="AC7" s="301">
        <f t="shared" si="17"/>
        <v>0.6295826791</v>
      </c>
      <c r="AD7" s="122">
        <v>0.0421</v>
      </c>
      <c r="AE7" s="123">
        <v>0.0</v>
      </c>
      <c r="AF7" s="123">
        <v>0.0</v>
      </c>
      <c r="AG7" s="124">
        <v>0.0</v>
      </c>
      <c r="AH7" s="124">
        <v>0.0</v>
      </c>
      <c r="AI7" s="125">
        <v>0.0</v>
      </c>
      <c r="AJ7" s="125">
        <v>0.0</v>
      </c>
      <c r="AK7" s="127">
        <v>0.0</v>
      </c>
      <c r="AL7" s="127">
        <v>0.0</v>
      </c>
      <c r="AM7" s="302">
        <v>0.0</v>
      </c>
      <c r="AN7" s="149" t="str">
        <f>IFERROR(
  AVERAGEIFS(
    'New 20102013 LF Efficacy'!$J:$J,
    'New 20102013 LF Efficacy'!$D:$D, $A7,
    'New 20102013 LF Efficacy'!$F:$F,"DEC", 
    'New 20102013 LF Efficacy'!$W:$W,"&lt;2014",
    'New 20102013 LF Efficacy'!$AA:$AA,""),
  ""
)</f>
        <v/>
      </c>
      <c r="AO7" s="115">
        <f t="shared" si="18"/>
        <v>0.38</v>
      </c>
      <c r="AP7" s="121" t="str">
        <f>IFERROR(
AVERAGEIFS(
'New 20102013 LF Efficacy'!$J:$J,
'New 20102013 LF Efficacy'!$D:$D,$A7,
'New 20102013 LF Efficacy'!$F:$F,"Albendazole &amp; DEC",
'New 20102013 LF Efficacy'!$W:$W,"&lt;2014",
'New 20102013 LF Efficacy'!$AA:$AA,""),
"")
</f>
        <v/>
      </c>
      <c r="AQ7" s="115">
        <f t="shared" si="19"/>
        <v>0.657</v>
      </c>
      <c r="AR7" s="121" t="str">
        <f>IFERROR(
AVERAGEIFS(
'New 20102013 LF Efficacy'!$J:$J,
'New 20102013 LF Efficacy'!$D:$D,$A7,
'New 20102013 LF Efficacy'!$F:$F,"Albendazole &amp; Ivermectin", 
'New 20102013 LF Efficacy'!$W:$W,"&lt;2014",
'New 20102013 LF Efficacy'!$AA:$AA,""),"")</f>
        <v/>
      </c>
      <c r="AS7" s="115">
        <f t="shared" si="20"/>
        <v>0.37153125</v>
      </c>
      <c r="AT7" s="130" t="str">
        <f>IFERROR(AVERAGEIFS(
'20102013 Schist Efficacy'!$O:$O, 
'20102013 Schist Efficacy'!$C:$C,$A7, 
'20102013 Schist Efficacy'!$D:$D, "Praziquantel",
'20102013 Schist Efficacy'!$J:$J,"&lt;2014",
'20102013 Schist Efficacy'!$U:$U,""),
"")</f>
        <v/>
      </c>
      <c r="AU7" s="118">
        <f t="shared" si="21"/>
        <v>0.9475</v>
      </c>
      <c r="AV7" s="131" t="str">
        <f>IFERROR(AVERAGEIFS(
'20102013 STH Efficacy'!$AX:$AX, 
'20102013 STH Efficacy'!$AL:$AL, $A7, 
'20102013 STH Efficacy'!$AM:$AM, "Albendazole",
'20102013 STH Efficacy'!$AS:$AS,"&lt;2014",
'20102013 STH Efficacy'!$BP:$BP,""),
"")</f>
        <v/>
      </c>
      <c r="AW7" s="132">
        <f t="shared" si="22"/>
        <v>0.3571666667</v>
      </c>
      <c r="AX7" s="131" t="str">
        <f>IFERROR(AVERAGEIFS(
'20102013 STH Efficacy'!$AX:$AX, 
'20102013 STH Efficacy'!$AL:$AL, $A7, 
'20102013 STH Efficacy'!$AM:$AM, "Mebendazole",
'20102013 STH Efficacy'!$AS:$AS,"&lt;2014",
'20102013 STH Efficacy'!$BP:$BP,""),
"")</f>
        <v/>
      </c>
      <c r="AY7" s="132">
        <f t="shared" si="23"/>
        <v>0.4155</v>
      </c>
      <c r="AZ7" s="131" t="str">
        <f>IFERROR(AVERAGEIFS(
'20102013 STH Efficacy'!$AX:$AX, 
'20102013 STH Efficacy'!$AL:$AL, $A7, 
'20102013 STH Efficacy'!$AM:$AM, "Albendazole &amp; Ivermectin",
'20102013 STH Efficacy'!$AS:$AS,"&lt;2014",
'20102013 STH Efficacy'!$BP:$BP,""),
"")</f>
        <v/>
      </c>
      <c r="BA7" s="303">
        <f t="shared" si="24"/>
        <v>0.651</v>
      </c>
      <c r="BB7" s="134" t="str">
        <f>IFERROR(AVERAGEIFS(
'20102013 STH Efficacy'!$N:$N, 
'20102013 STH Efficacy'!$B:$B, $A7, 
'20102013 STH Efficacy'!$C:$C, "Albendazole",
'20102013 STH Efficacy'!$I:$I,"&lt;2014",
'20102013 STH Efficacy'!$AH:$AH,""),
"")</f>
        <v/>
      </c>
      <c r="BC7" s="135">
        <f t="shared" si="25"/>
        <v>0.5769166667</v>
      </c>
      <c r="BD7" s="134" t="str">
        <f>IFERROR(AVERAGEIFS(
'20102013 STH Efficacy'!$N:$N, 
'20102013 STH Efficacy'!$B:$B, $A7, 
'20102013 STH Efficacy'!$C:$C, "Mebendazole",
'20102013 STH Efficacy'!$I:$I,"&lt;2014",
'20102013 STH Efficacy'!$AH:$AH,""),
"")</f>
        <v/>
      </c>
      <c r="BE7" s="135">
        <f t="shared" si="26"/>
        <v>0.3145</v>
      </c>
      <c r="BF7" s="128" t="str">
        <f>IFERROR(AVERAGEIFS(
'20102013 STH Efficacy'!$CD:$CD, 
'20102013 STH Efficacy'!$BS:$BS, $A7, 
'20102013 STH Efficacy'!$BT:$BT, "Albendazole",
'20102013 STH Efficacy'!$BZ:$BZ,"&lt;2014",
'20102013 STH Efficacy'!$CU:$CU,""),
"")</f>
        <v/>
      </c>
      <c r="BG7" s="136">
        <f t="shared" si="27"/>
        <v>0.96925</v>
      </c>
      <c r="BH7" s="128" t="str">
        <f>IFERROR(AVERAGEIFS(
'20102013 STH Efficacy'!$CD:$CD, 
'20102013 STH Efficacy'!$BS:$BS, $A7, 
'20102013 STH Efficacy'!$BT:$BT, "Mebendazole",
'20102013 STH Efficacy'!$BZ:$BZ,"&lt;2014",
'20102013 STH Efficacy'!$CU:$CU,""),
"")</f>
        <v/>
      </c>
      <c r="BI7" s="136">
        <f t="shared" si="28"/>
        <v>0.9305</v>
      </c>
      <c r="BJ7" s="128" t="str">
        <f>IFERROR(AVERAGEIFS(
'20102013 STH Efficacy'!$CD:$CD, 
'20102013 STH Efficacy'!$BS:$BS, $A7, 
'20102013 STH Efficacy'!$BT:$BT, "Albendazole &amp; Ivermectin",
'20102013 STH Efficacy'!$BZ:$BZ,"&lt;2014",
'20102013 STH Efficacy'!$CU:$CU,""),
"")</f>
        <v/>
      </c>
      <c r="BK7" s="136">
        <f t="shared" si="29"/>
        <v>1</v>
      </c>
      <c r="BL7" s="300" t="str">
        <f>IFERROR(
  AVERAGEIFS(
    'NEW 20102013 Onchocerciasis Eff'!$AO:$AO,
    'NEW 20102013 Onchocerciasis Eff'!$C:$C,$A7,
    'NEW 20102013 Onchocerciasis Eff'!$D:$D,"Ivermectin",
    'NEW 20102013 Onchocerciasis Eff'!$AR:$AR,"&lt;2014",
    'NEW 20102013 Onchocerciasis Eff'!$BG:$BG,"")
,"")</f>
        <v/>
      </c>
      <c r="BM7" s="304">
        <f t="shared" si="30"/>
        <v>0.7808368939</v>
      </c>
      <c r="BN7" s="305">
        <v>0.0</v>
      </c>
      <c r="BO7" s="139">
        <v>0.0</v>
      </c>
      <c r="BP7" s="140">
        <v>0.0</v>
      </c>
      <c r="BQ7" s="141">
        <f t="shared" si="31"/>
        <v>0</v>
      </c>
      <c r="BR7" s="104" t="str">
        <f t="shared" si="32"/>
        <v>0000</v>
      </c>
      <c r="BS7" s="104" t="str">
        <f t="shared" si="33"/>
        <v>no action required</v>
      </c>
      <c r="BT7" s="142" t="str">
        <f t="shared" si="34"/>
        <v/>
      </c>
      <c r="BU7" s="104" t="str">
        <f t="shared" si="35"/>
        <v/>
      </c>
      <c r="BV7" s="104" t="str">
        <f t="shared" si="36"/>
        <v>none</v>
      </c>
      <c r="BW7" s="150" t="str">
        <f t="shared" si="37"/>
        <v/>
      </c>
      <c r="BX7" s="150" t="str">
        <f t="shared" si="38"/>
        <v/>
      </c>
      <c r="BY7" s="151" t="str">
        <f t="shared" si="39"/>
        <v/>
      </c>
      <c r="BZ7" s="152" t="str">
        <f t="shared" si="40"/>
        <v/>
      </c>
      <c r="CA7" s="152" t="str">
        <f t="shared" si="41"/>
        <v/>
      </c>
      <c r="CB7" s="152" t="str">
        <f t="shared" si="42"/>
        <v/>
      </c>
      <c r="CC7" s="153" t="str">
        <f t="shared" si="43"/>
        <v/>
      </c>
      <c r="CD7" s="153" t="str">
        <f t="shared" si="44"/>
        <v/>
      </c>
      <c r="CE7" s="154" t="str">
        <f t="shared" si="45"/>
        <v/>
      </c>
      <c r="CF7" s="154" t="str">
        <f t="shared" si="46"/>
        <v/>
      </c>
      <c r="CG7" s="154" t="str">
        <f t="shared" si="47"/>
        <v/>
      </c>
      <c r="CH7" s="308" t="str">
        <f t="shared" si="48"/>
        <v/>
      </c>
      <c r="CI7" s="299">
        <f t="shared" si="49"/>
        <v>0</v>
      </c>
    </row>
    <row r="8">
      <c r="A8" s="103" t="s">
        <v>95</v>
      </c>
      <c r="B8" s="104" t="s">
        <v>90</v>
      </c>
      <c r="C8" s="105">
        <v>80788.0</v>
      </c>
      <c r="D8" s="293">
        <v>0.0</v>
      </c>
      <c r="E8" s="294">
        <v>0.0</v>
      </c>
      <c r="F8" s="307">
        <v>0.0</v>
      </c>
      <c r="G8" s="307">
        <v>0.0</v>
      </c>
      <c r="H8" s="108">
        <v>0.0</v>
      </c>
      <c r="I8" s="109">
        <v>0.0</v>
      </c>
      <c r="J8" s="109">
        <v>0.0</v>
      </c>
      <c r="K8" s="109">
        <v>0.0</v>
      </c>
      <c r="L8" s="112">
        <v>0.0</v>
      </c>
      <c r="M8" s="112">
        <v>0.0</v>
      </c>
      <c r="N8" s="111">
        <v>0.0</v>
      </c>
      <c r="O8" s="298">
        <v>0.0</v>
      </c>
      <c r="P8" s="114"/>
      <c r="Q8" s="114"/>
      <c r="R8" s="121" t="str">
        <f t="shared" si="11"/>
        <v/>
      </c>
      <c r="S8" s="116">
        <f t="shared" si="12"/>
        <v>0.526225767</v>
      </c>
      <c r="T8" s="130"/>
      <c r="U8" s="118">
        <f t="shared" si="13"/>
        <v>0.3468166667</v>
      </c>
      <c r="V8" s="148"/>
      <c r="W8" s="120">
        <f t="shared" si="14"/>
        <v>1</v>
      </c>
      <c r="X8" s="148"/>
      <c r="Y8" s="120">
        <f t="shared" si="15"/>
        <v>1</v>
      </c>
      <c r="Z8" s="299"/>
      <c r="AA8" s="299"/>
      <c r="AB8" s="300" t="str">
        <f t="shared" si="16"/>
        <v/>
      </c>
      <c r="AC8" s="301">
        <f t="shared" si="17"/>
        <v>0.6295826791</v>
      </c>
      <c r="AD8" s="122">
        <v>0.0</v>
      </c>
      <c r="AE8" s="123">
        <v>0.0</v>
      </c>
      <c r="AF8" s="123">
        <v>0.0</v>
      </c>
      <c r="AG8" s="124">
        <v>0.0</v>
      </c>
      <c r="AH8" s="124">
        <v>0.0</v>
      </c>
      <c r="AI8" s="125">
        <v>0.0</v>
      </c>
      <c r="AJ8" s="125">
        <v>0.0</v>
      </c>
      <c r="AK8" s="127">
        <v>0.0</v>
      </c>
      <c r="AL8" s="127">
        <v>0.0</v>
      </c>
      <c r="AM8" s="302">
        <v>0.0</v>
      </c>
      <c r="AN8" s="149" t="str">
        <f>IFERROR(
  AVERAGEIFS(
    'New 20102013 LF Efficacy'!$J:$J,
    'New 20102013 LF Efficacy'!$D:$D, $A8,
    'New 20102013 LF Efficacy'!$F:$F,"DEC", 
    'New 20102013 LF Efficacy'!$W:$W,"&lt;2014",
    'New 20102013 LF Efficacy'!$AA:$AA,""),
  ""
)</f>
        <v/>
      </c>
      <c r="AO8" s="115">
        <f t="shared" si="18"/>
        <v>0.3573520833</v>
      </c>
      <c r="AP8" s="121" t="str">
        <f>IFERROR(
AVERAGEIFS(
'New 20102013 LF Efficacy'!$J:$J,
'New 20102013 LF Efficacy'!$D:$D,$A8,
'New 20102013 LF Efficacy'!$F:$F,"Albendazole &amp; DEC",
'New 20102013 LF Efficacy'!$W:$W,"&lt;2014",
'New 20102013 LF Efficacy'!$AA:$AA,""),
"")
</f>
        <v/>
      </c>
      <c r="AQ8" s="115">
        <f t="shared" si="19"/>
        <v>0.5137291667</v>
      </c>
      <c r="AR8" s="121" t="str">
        <f>IFERROR(
AVERAGEIFS(
'New 20102013 LF Efficacy'!$J:$J,
'New 20102013 LF Efficacy'!$D:$D,$A8,
'New 20102013 LF Efficacy'!$F:$F,"Albendazole &amp; Ivermectin", 
'New 20102013 LF Efficacy'!$W:$W,"&lt;2014",
'New 20102013 LF Efficacy'!$AA:$AA,""),"")</f>
        <v/>
      </c>
      <c r="AS8" s="115">
        <f t="shared" si="20"/>
        <v>0.37153125</v>
      </c>
      <c r="AT8" s="130" t="str">
        <f>IFERROR(AVERAGEIFS(
'20102013 Schist Efficacy'!$O:$O, 
'20102013 Schist Efficacy'!$C:$C,$A8, 
'20102013 Schist Efficacy'!$D:$D, "Praziquantel",
'20102013 Schist Efficacy'!$J:$J,"&lt;2014",
'20102013 Schist Efficacy'!$U:$U,""),
"")</f>
        <v/>
      </c>
      <c r="AU8" s="118">
        <f t="shared" si="21"/>
        <v>0.655</v>
      </c>
      <c r="AV8" s="131" t="str">
        <f>IFERROR(AVERAGEIFS(
'20102013 STH Efficacy'!$AX:$AX, 
'20102013 STH Efficacy'!$AL:$AL, $A8, 
'20102013 STH Efficacy'!$AM:$AM, "Albendazole",
'20102013 STH Efficacy'!$AS:$AS,"&lt;2014",
'20102013 STH Efficacy'!$BP:$BP,""),
"")</f>
        <v/>
      </c>
      <c r="AW8" s="132">
        <f t="shared" si="22"/>
        <v>0.3933333333</v>
      </c>
      <c r="AX8" s="131" t="str">
        <f>IFERROR(AVERAGEIFS(
'20102013 STH Efficacy'!$AX:$AX, 
'20102013 STH Efficacy'!$AL:$AL, $A8, 
'20102013 STH Efficacy'!$AM:$AM, "Mebendazole",
'20102013 STH Efficacy'!$AS:$AS,"&lt;2014",
'20102013 STH Efficacy'!$BP:$BP,""),
"")</f>
        <v/>
      </c>
      <c r="AY8" s="132">
        <f t="shared" si="23"/>
        <v>0.5017738095</v>
      </c>
      <c r="AZ8" s="131" t="str">
        <f>IFERROR(AVERAGEIFS(
'20102013 STH Efficacy'!$AX:$AX, 
'20102013 STH Efficacy'!$AL:$AL, $A8, 
'20102013 STH Efficacy'!$AM:$AM, "Albendazole &amp; Ivermectin",
'20102013 STH Efficacy'!$AS:$AS,"&lt;2014",
'20102013 STH Efficacy'!$BP:$BP,""),
"")</f>
        <v/>
      </c>
      <c r="BA8" s="303">
        <f t="shared" si="24"/>
        <v>0.597625</v>
      </c>
      <c r="BB8" s="134" t="str">
        <f>IFERROR(AVERAGEIFS(
'20102013 STH Efficacy'!$N:$N, 
'20102013 STH Efficacy'!$B:$B, $A8, 
'20102013 STH Efficacy'!$C:$C, "Albendazole",
'20102013 STH Efficacy'!$I:$I,"&lt;2014",
'20102013 STH Efficacy'!$AH:$AH,""),
"")</f>
        <v/>
      </c>
      <c r="BC8" s="135">
        <f t="shared" si="25"/>
        <v>0.7613712121</v>
      </c>
      <c r="BD8" s="134" t="str">
        <f>IFERROR(AVERAGEIFS(
'20102013 STH Efficacy'!$N:$N, 
'20102013 STH Efficacy'!$B:$B, $A8, 
'20102013 STH Efficacy'!$C:$C, "Mebendazole",
'20102013 STH Efficacy'!$I:$I,"&lt;2014",
'20102013 STH Efficacy'!$AH:$AH,""),
"")</f>
        <v/>
      </c>
      <c r="BE8" s="135">
        <f t="shared" si="26"/>
        <v>0.4362466667</v>
      </c>
      <c r="BF8" s="128" t="str">
        <f>IFERROR(AVERAGEIFS(
'20102013 STH Efficacy'!$CD:$CD, 
'20102013 STH Efficacy'!$BS:$BS, $A8, 
'20102013 STH Efficacy'!$BT:$BT, "Albendazole",
'20102013 STH Efficacy'!$BZ:$BZ,"&lt;2014",
'20102013 STH Efficacy'!$CU:$CU,""),
"")</f>
        <v/>
      </c>
      <c r="BG8" s="136">
        <f t="shared" si="27"/>
        <v>0.9216027778</v>
      </c>
      <c r="BH8" s="128" t="str">
        <f>IFERROR(AVERAGEIFS(
'20102013 STH Efficacy'!$CD:$CD, 
'20102013 STH Efficacy'!$BS:$BS, $A8, 
'20102013 STH Efficacy'!$BT:$BT, "Mebendazole",
'20102013 STH Efficacy'!$BZ:$BZ,"&lt;2014",
'20102013 STH Efficacy'!$CU:$CU,""),
"")</f>
        <v/>
      </c>
      <c r="BI8" s="136">
        <f t="shared" si="28"/>
        <v>0.9295857143</v>
      </c>
      <c r="BJ8" s="128" t="str">
        <f>IFERROR(AVERAGEIFS(
'20102013 STH Efficacy'!$CD:$CD, 
'20102013 STH Efficacy'!$BS:$BS, $A8, 
'20102013 STH Efficacy'!$BT:$BT, "Albendazole &amp; Ivermectin",
'20102013 STH Efficacy'!$BZ:$BZ,"&lt;2014",
'20102013 STH Efficacy'!$CU:$CU,""),
"")</f>
        <v/>
      </c>
      <c r="BK8" s="136">
        <f t="shared" si="29"/>
        <v>1</v>
      </c>
      <c r="BL8" s="300" t="str">
        <f>IFERROR(
  AVERAGEIFS(
    'NEW 20102013 Onchocerciasis Eff'!$AO:$AO,
    'NEW 20102013 Onchocerciasis Eff'!$C:$C,$A8,
    'NEW 20102013 Onchocerciasis Eff'!$D:$D,"Ivermectin",
    'NEW 20102013 Onchocerciasis Eff'!$AR:$AR,"&lt;2014",
    'NEW 20102013 Onchocerciasis Eff'!$BG:$BG,"")
,"")</f>
        <v/>
      </c>
      <c r="BM8" s="304">
        <f t="shared" si="30"/>
        <v>0.7808368939</v>
      </c>
      <c r="BN8" s="305">
        <v>0.0</v>
      </c>
      <c r="BO8" s="139">
        <v>0.0</v>
      </c>
      <c r="BP8" s="140">
        <v>0.0</v>
      </c>
      <c r="BQ8" s="141">
        <f t="shared" si="31"/>
        <v>0</v>
      </c>
      <c r="BR8" s="104" t="str">
        <f t="shared" si="32"/>
        <v>0000</v>
      </c>
      <c r="BS8" s="104" t="str">
        <f t="shared" si="33"/>
        <v>no action required</v>
      </c>
      <c r="BT8" s="142" t="str">
        <f t="shared" si="34"/>
        <v/>
      </c>
      <c r="BU8" s="104" t="str">
        <f t="shared" si="35"/>
        <v/>
      </c>
      <c r="BV8" s="104" t="str">
        <f t="shared" si="36"/>
        <v>none</v>
      </c>
      <c r="BW8" s="150" t="str">
        <f t="shared" si="37"/>
        <v/>
      </c>
      <c r="BX8" s="150" t="str">
        <f t="shared" si="38"/>
        <v/>
      </c>
      <c r="BY8" s="151" t="str">
        <f t="shared" si="39"/>
        <v/>
      </c>
      <c r="BZ8" s="152" t="str">
        <f t="shared" si="40"/>
        <v/>
      </c>
      <c r="CA8" s="152" t="str">
        <f t="shared" si="41"/>
        <v/>
      </c>
      <c r="CB8" s="152" t="str">
        <f t="shared" si="42"/>
        <v/>
      </c>
      <c r="CC8" s="153" t="str">
        <f t="shared" si="43"/>
        <v/>
      </c>
      <c r="CD8" s="153" t="str">
        <f t="shared" si="44"/>
        <v/>
      </c>
      <c r="CE8" s="154" t="str">
        <f t="shared" si="45"/>
        <v/>
      </c>
      <c r="CF8" s="154" t="str">
        <f t="shared" si="46"/>
        <v/>
      </c>
      <c r="CG8" s="154" t="str">
        <f t="shared" si="47"/>
        <v/>
      </c>
      <c r="CH8" s="308" t="str">
        <f t="shared" si="48"/>
        <v/>
      </c>
      <c r="CI8" s="299">
        <f t="shared" si="49"/>
        <v>0</v>
      </c>
    </row>
    <row r="9">
      <c r="A9" s="103" t="s">
        <v>96</v>
      </c>
      <c r="B9" s="104" t="s">
        <v>92</v>
      </c>
      <c r="C9" s="105">
        <v>2.599834E7</v>
      </c>
      <c r="D9" s="293">
        <v>24122.74</v>
      </c>
      <c r="E9" s="294">
        <v>27487.79761</v>
      </c>
      <c r="F9" s="295">
        <v>161.5427503</v>
      </c>
      <c r="G9" s="295">
        <v>579.5724919</v>
      </c>
      <c r="H9" s="157">
        <v>741.1152422</v>
      </c>
      <c r="I9" s="110">
        <v>1755.85612</v>
      </c>
      <c r="J9" s="110">
        <v>4058.69698</v>
      </c>
      <c r="K9" s="110">
        <v>5814.553098</v>
      </c>
      <c r="L9" s="111">
        <v>7335.863606</v>
      </c>
      <c r="M9" s="111">
        <v>1758.545476</v>
      </c>
      <c r="N9" s="111">
        <v>9094.409082</v>
      </c>
      <c r="O9" s="298">
        <v>6995.377847</v>
      </c>
      <c r="P9" s="160">
        <v>1.209E7</v>
      </c>
      <c r="Q9" s="121"/>
      <c r="R9" s="121">
        <f t="shared" si="11"/>
        <v>0</v>
      </c>
      <c r="S9" s="116">
        <f t="shared" si="12"/>
        <v>0.2589669834</v>
      </c>
      <c r="T9" s="130"/>
      <c r="U9" s="118">
        <f t="shared" si="13"/>
        <v>0.252</v>
      </c>
      <c r="V9" s="148"/>
      <c r="W9" s="120">
        <f t="shared" si="14"/>
        <v>0.8114541667</v>
      </c>
      <c r="X9" s="148"/>
      <c r="Y9" s="120">
        <f t="shared" si="15"/>
        <v>0.5668291667</v>
      </c>
      <c r="Z9" s="310">
        <v>2540933.0</v>
      </c>
      <c r="AA9" s="311" t="s">
        <v>372</v>
      </c>
      <c r="AB9" s="300" t="str">
        <f t="shared" si="16"/>
        <v/>
      </c>
      <c r="AC9" s="301">
        <f t="shared" si="17"/>
        <v>0.655321236</v>
      </c>
      <c r="AD9" s="122">
        <v>0.0305</v>
      </c>
      <c r="AE9" s="123">
        <v>0.11</v>
      </c>
      <c r="AF9" s="123">
        <v>0.0309</v>
      </c>
      <c r="AG9" s="124">
        <v>0.1114</v>
      </c>
      <c r="AH9" s="124">
        <v>0.17323793</v>
      </c>
      <c r="AI9" s="125">
        <v>0.1019</v>
      </c>
      <c r="AJ9" s="125">
        <v>0.161653781</v>
      </c>
      <c r="AK9" s="127">
        <v>0.122</v>
      </c>
      <c r="AL9" s="127">
        <v>0.1897</v>
      </c>
      <c r="AM9" s="302">
        <v>0.0051</v>
      </c>
      <c r="AN9" s="149" t="str">
        <f>IFERROR(
  AVERAGEIFS(
    'New 20102013 LF Efficacy'!$J:$J,
    'New 20102013 LF Efficacy'!$D:$D, $A9,
    'New 20102013 LF Efficacy'!$F:$F,"DEC", 
    'New 20102013 LF Efficacy'!$W:$W,"&lt;2014",
    'New 20102013 LF Efficacy'!$AA:$AA,""),
  ""
)</f>
        <v/>
      </c>
      <c r="AO9" s="115">
        <f t="shared" si="18"/>
        <v>0.31225</v>
      </c>
      <c r="AP9" s="121" t="str">
        <f>IFERROR(
AVERAGEIFS(
'New 20102013 LF Efficacy'!$J:$J,
'New 20102013 LF Efficacy'!$D:$D,$A9,
'New 20102013 LF Efficacy'!$F:$F,"Albendazole &amp; DEC",
'New 20102013 LF Efficacy'!$W:$W,"&lt;2014",
'New 20102013 LF Efficacy'!$AA:$AA,""),
"")
</f>
        <v/>
      </c>
      <c r="AQ9" s="115">
        <f t="shared" si="19"/>
        <v>0.4</v>
      </c>
      <c r="AR9" s="121" t="str">
        <f>IFERROR(
AVERAGEIFS(
'New 20102013 LF Efficacy'!$J:$J,
'New 20102013 LF Efficacy'!$D:$D,$A9,
'New 20102013 LF Efficacy'!$F:$F,"Albendazole &amp; Ivermectin", 
'New 20102013 LF Efficacy'!$W:$W,"&lt;2014",
'New 20102013 LF Efficacy'!$AA:$AA,""),"")</f>
        <v/>
      </c>
      <c r="AS9" s="115">
        <f t="shared" si="20"/>
        <v>0.2943125</v>
      </c>
      <c r="AT9" s="130" t="str">
        <f>IFERROR(AVERAGEIFS(
'20102013 Schist Efficacy'!$O:$O, 
'20102013 Schist Efficacy'!$C:$C,$A9, 
'20102013 Schist Efficacy'!$D:$D, "Praziquantel",
'20102013 Schist Efficacy'!$J:$J,"&lt;2014",
'20102013 Schist Efficacy'!$U:$U,""),
"")</f>
        <v/>
      </c>
      <c r="AU9" s="118">
        <f t="shared" si="21"/>
        <v>0.7192212527</v>
      </c>
      <c r="AV9" s="131" t="str">
        <f>IFERROR(AVERAGEIFS(
'20102013 STH Efficacy'!$AX:$AX, 
'20102013 STH Efficacy'!$AL:$AL, $A9, 
'20102013 STH Efficacy'!$AM:$AM, "Albendazole",
'20102013 STH Efficacy'!$AS:$AS,"&lt;2014",
'20102013 STH Efficacy'!$BP:$BP,""),
"")</f>
        <v/>
      </c>
      <c r="AW9" s="132">
        <f t="shared" si="22"/>
        <v>0.3816333333</v>
      </c>
      <c r="AX9" s="131" t="str">
        <f>IFERROR(AVERAGEIFS(
'20102013 STH Efficacy'!$AX:$AX, 
'20102013 STH Efficacy'!$AL:$AL, $A9, 
'20102013 STH Efficacy'!$AM:$AM, "Mebendazole",
'20102013 STH Efficacy'!$AS:$AS,"&lt;2014",
'20102013 STH Efficacy'!$BP:$BP,""),
"")</f>
        <v/>
      </c>
      <c r="AY9" s="132">
        <f t="shared" si="23"/>
        <v>0.5675833333</v>
      </c>
      <c r="AZ9" s="131" t="str">
        <f>IFERROR(AVERAGEIFS(
'20102013 STH Efficacy'!$AX:$AX, 
'20102013 STH Efficacy'!$AL:$AL, $A9, 
'20102013 STH Efficacy'!$AM:$AM, "Albendazole &amp; Ivermectin",
'20102013 STH Efficacy'!$AS:$AS,"&lt;2014",
'20102013 STH Efficacy'!$BP:$BP,""),
"")</f>
        <v/>
      </c>
      <c r="BA9" s="303">
        <f t="shared" si="24"/>
        <v>0.47175</v>
      </c>
      <c r="BB9" s="134" t="str">
        <f>IFERROR(AVERAGEIFS(
'20102013 STH Efficacy'!$N:$N, 
'20102013 STH Efficacy'!$B:$B, $A9, 
'20102013 STH Efficacy'!$C:$C, "Albendazole",
'20102013 STH Efficacy'!$I:$I,"&lt;2014",
'20102013 STH Efficacy'!$AH:$AH,""),
"")</f>
        <v/>
      </c>
      <c r="BC9" s="135">
        <f t="shared" si="25"/>
        <v>0.8699166667</v>
      </c>
      <c r="BD9" s="134" t="str">
        <f>IFERROR(AVERAGEIFS(
'20102013 STH Efficacy'!$N:$N, 
'20102013 STH Efficacy'!$B:$B, $A9, 
'20102013 STH Efficacy'!$C:$C, "Mebendazole",
'20102013 STH Efficacy'!$I:$I,"&lt;2014",
'20102013 STH Efficacy'!$AH:$AH,""),
"")</f>
        <v/>
      </c>
      <c r="BE9" s="135">
        <f t="shared" si="26"/>
        <v>0.7092416667</v>
      </c>
      <c r="BF9" s="128" t="str">
        <f>IFERROR(AVERAGEIFS(
'20102013 STH Efficacy'!$CD:$CD, 
'20102013 STH Efficacy'!$BS:$BS, $A9, 
'20102013 STH Efficacy'!$BT:$BT, "Albendazole",
'20102013 STH Efficacy'!$BZ:$BZ,"&lt;2014",
'20102013 STH Efficacy'!$CU:$CU,""),
"")</f>
        <v/>
      </c>
      <c r="BG9" s="136">
        <f t="shared" si="27"/>
        <v>0.9066666667</v>
      </c>
      <c r="BH9" s="128" t="str">
        <f>IFERROR(AVERAGEIFS(
'20102013 STH Efficacy'!$CD:$CD, 
'20102013 STH Efficacy'!$BS:$BS, $A9, 
'20102013 STH Efficacy'!$BT:$BT, "Mebendazole",
'20102013 STH Efficacy'!$BZ:$BZ,"&lt;2014",
'20102013 STH Efficacy'!$CU:$CU,""),
"")</f>
        <v/>
      </c>
      <c r="BI9" s="136">
        <f t="shared" si="28"/>
        <v>0.9358666667</v>
      </c>
      <c r="BJ9" s="128" t="str">
        <f>IFERROR(AVERAGEIFS(
'20102013 STH Efficacy'!$CD:$CD, 
'20102013 STH Efficacy'!$BS:$BS, $A9, 
'20102013 STH Efficacy'!$BT:$BT, "Albendazole &amp; Ivermectin",
'20102013 STH Efficacy'!$BZ:$BZ,"&lt;2014",
'20102013 STH Efficacy'!$CU:$CU,""),
"")</f>
        <v/>
      </c>
      <c r="BK9" s="136">
        <f t="shared" si="29"/>
        <v>1</v>
      </c>
      <c r="BL9" s="300" t="str">
        <f>IFERROR(
  AVERAGEIFS(
    'NEW 20102013 Onchocerciasis Eff'!$AO:$AO,
    'NEW 20102013 Onchocerciasis Eff'!$C:$C,$A9,
    'NEW 20102013 Onchocerciasis Eff'!$D:$D,"Ivermectin",
    'NEW 20102013 Onchocerciasis Eff'!$AR:$AR,"&lt;2014",
    'NEW 20102013 Onchocerciasis Eff'!$BG:$BG,"")
,"")</f>
        <v/>
      </c>
      <c r="BM9" s="304">
        <f t="shared" si="30"/>
        <v>0.8390421645</v>
      </c>
      <c r="BN9" s="305">
        <v>1.0</v>
      </c>
      <c r="BO9" s="139">
        <v>1.0</v>
      </c>
      <c r="BP9" s="140">
        <v>1.0</v>
      </c>
      <c r="BQ9" s="141">
        <f t="shared" si="31"/>
        <v>0</v>
      </c>
      <c r="BR9" s="104" t="str">
        <f t="shared" si="32"/>
        <v>1110</v>
      </c>
      <c r="BS9" s="104" t="str">
        <f t="shared" si="33"/>
        <v>MDA1+T2</v>
      </c>
      <c r="BT9" s="142" t="str">
        <f t="shared" si="34"/>
        <v>IVM+ALB</v>
      </c>
      <c r="BU9" s="104" t="str">
        <f t="shared" si="35"/>
        <v>PZQ</v>
      </c>
      <c r="BV9" s="104" t="str">
        <f t="shared" si="36"/>
        <v>lf+onch+schist </v>
      </c>
      <c r="BW9" s="150" t="str">
        <f t="shared" si="37"/>
        <v/>
      </c>
      <c r="BX9" s="312">
        <f t="shared" si="38"/>
        <v>1990.260297</v>
      </c>
      <c r="BY9" s="162">
        <f t="shared" si="39"/>
        <v>6084.82892</v>
      </c>
      <c r="BZ9" s="152" t="str">
        <f t="shared" si="40"/>
        <v/>
      </c>
      <c r="CA9" s="152" t="str">
        <f t="shared" si="41"/>
        <v/>
      </c>
      <c r="CB9" s="152" t="str">
        <f t="shared" si="42"/>
        <v/>
      </c>
      <c r="CC9" s="153" t="str">
        <f t="shared" si="43"/>
        <v/>
      </c>
      <c r="CD9" s="153" t="str">
        <f t="shared" si="44"/>
        <v/>
      </c>
      <c r="CE9" s="154" t="str">
        <f t="shared" si="45"/>
        <v/>
      </c>
      <c r="CF9" s="154" t="str">
        <f t="shared" si="46"/>
        <v/>
      </c>
      <c r="CG9" s="154" t="str">
        <f t="shared" si="47"/>
        <v/>
      </c>
      <c r="CH9" s="313">
        <f t="shared" si="48"/>
        <v>284.8151724</v>
      </c>
      <c r="CI9" s="299">
        <f t="shared" si="49"/>
        <v>0</v>
      </c>
    </row>
    <row r="10">
      <c r="A10" s="155" t="s">
        <v>97</v>
      </c>
      <c r="B10" s="104" t="s">
        <v>98</v>
      </c>
      <c r="C10" s="105">
        <v>13864.0</v>
      </c>
      <c r="D10" s="293">
        <v>0.0</v>
      </c>
      <c r="E10" s="294">
        <v>0.0</v>
      </c>
      <c r="F10" s="163"/>
      <c r="G10" s="163"/>
      <c r="H10" s="108">
        <v>0.0</v>
      </c>
      <c r="I10" s="109">
        <v>0.0</v>
      </c>
      <c r="J10" s="109">
        <v>0.0</v>
      </c>
      <c r="K10" s="109">
        <v>0.0</v>
      </c>
      <c r="L10" s="113"/>
      <c r="M10" s="113"/>
      <c r="N10" s="111">
        <v>0.0</v>
      </c>
      <c r="O10" s="298">
        <v>0.0</v>
      </c>
      <c r="P10" s="114"/>
      <c r="Q10" s="114"/>
      <c r="R10" s="121" t="str">
        <f t="shared" si="11"/>
        <v/>
      </c>
      <c r="S10" s="116">
        <f t="shared" si="12"/>
        <v>0.2288425133</v>
      </c>
      <c r="T10" s="130"/>
      <c r="U10" s="118">
        <f t="shared" si="13"/>
        <v>0.39435</v>
      </c>
      <c r="V10" s="148"/>
      <c r="W10" s="120">
        <f t="shared" si="14"/>
        <v>0.542475</v>
      </c>
      <c r="X10" s="148"/>
      <c r="Y10" s="120">
        <f t="shared" si="15"/>
        <v>0.6507333333</v>
      </c>
      <c r="Z10" s="299"/>
      <c r="AA10" s="299"/>
      <c r="AB10" s="300" t="str">
        <f t="shared" si="16"/>
        <v/>
      </c>
      <c r="AC10" s="301">
        <f t="shared" si="17"/>
        <v>0.3490201688</v>
      </c>
      <c r="AD10" s="314">
        <v>0.0</v>
      </c>
      <c r="AE10" s="315">
        <v>0.0</v>
      </c>
      <c r="AF10" s="166">
        <v>0.0</v>
      </c>
      <c r="AG10" s="316">
        <v>0.0</v>
      </c>
      <c r="AH10" s="307">
        <v>0.0</v>
      </c>
      <c r="AI10" s="317">
        <v>0.0</v>
      </c>
      <c r="AJ10" s="318">
        <v>0.0</v>
      </c>
      <c r="AK10" s="319">
        <v>0.0</v>
      </c>
      <c r="AL10" s="319">
        <v>0.0</v>
      </c>
      <c r="AM10" s="320">
        <v>0.0</v>
      </c>
      <c r="AN10" s="149" t="str">
        <f>IFERROR(
  AVERAGEIFS(
    'New 20102013 LF Efficacy'!$J:$J,
    'New 20102013 LF Efficacy'!$D:$D, $A10,
    'New 20102013 LF Efficacy'!$F:$F,"DEC", 
    'New 20102013 LF Efficacy'!$W:$W,"&lt;2014",
    'New 20102013 LF Efficacy'!$AA:$AA,""),
  ""
)</f>
        <v/>
      </c>
      <c r="AO10" s="115">
        <f t="shared" si="18"/>
        <v>0.2589833333</v>
      </c>
      <c r="AP10" s="121" t="str">
        <f>IFERROR(
AVERAGEIFS(
'New 20102013 LF Efficacy'!$J:$J,
'New 20102013 LF Efficacy'!$D:$D,$A10,
'New 20102013 LF Efficacy'!$F:$F,"Albendazole &amp; DEC",
'New 20102013 LF Efficacy'!$W:$W,"&lt;2014",
'New 20102013 LF Efficacy'!$AA:$AA,""),
"")
</f>
        <v/>
      </c>
      <c r="AQ10" s="115">
        <f t="shared" si="19"/>
        <v>0.3465</v>
      </c>
      <c r="AR10" s="121" t="str">
        <f>IFERROR(
AVERAGEIFS(
'New 20102013 LF Efficacy'!$J:$J,
'New 20102013 LF Efficacy'!$D:$D,$A10,
'New 20102013 LF Efficacy'!$F:$F,"Albendazole &amp; Ivermectin", 
'New 20102013 LF Efficacy'!$W:$W,"&lt;2014",
'New 20102013 LF Efficacy'!$AA:$AA,""),"")</f>
        <v/>
      </c>
      <c r="AS10" s="115">
        <f t="shared" si="20"/>
        <v>0.7575</v>
      </c>
      <c r="AT10" s="130" t="str">
        <f>IFERROR(AVERAGEIFS(
'20102013 Schist Efficacy'!$O:$O, 
'20102013 Schist Efficacy'!$C:$C,$A10, 
'20102013 Schist Efficacy'!$D:$D, "Praziquantel",
'20102013 Schist Efficacy'!$J:$J,"&lt;2014",
'20102013 Schist Efficacy'!$U:$U,""),
"")</f>
        <v/>
      </c>
      <c r="AU10" s="118">
        <f t="shared" si="21"/>
        <v>0.7914761905</v>
      </c>
      <c r="AV10" s="131" t="str">
        <f>IFERROR(AVERAGEIFS(
'20102013 STH Efficacy'!$AX:$AX, 
'20102013 STH Efficacy'!$AL:$AL, $A10, 
'20102013 STH Efficacy'!$AM:$AM, "Albendazole",
'20102013 STH Efficacy'!$AS:$AS,"&lt;2014",
'20102013 STH Efficacy'!$BP:$BP,""),
"")</f>
        <v/>
      </c>
      <c r="AW10" s="132">
        <f t="shared" si="22"/>
        <v>0.3945</v>
      </c>
      <c r="AX10" s="131" t="str">
        <f>IFERROR(AVERAGEIFS(
'20102013 STH Efficacy'!$AX:$AX, 
'20102013 STH Efficacy'!$AL:$AL, $A10, 
'20102013 STH Efficacy'!$AM:$AM, "Mebendazole",
'20102013 STH Efficacy'!$AS:$AS,"&lt;2014",
'20102013 STH Efficacy'!$BP:$BP,""),
"")</f>
        <v/>
      </c>
      <c r="AY10" s="132">
        <f t="shared" si="23"/>
        <v>0.6</v>
      </c>
      <c r="AZ10" s="131" t="str">
        <f>IFERROR(AVERAGEIFS(
'20102013 STH Efficacy'!$AX:$AX, 
'20102013 STH Efficacy'!$AL:$AL, $A10, 
'20102013 STH Efficacy'!$AM:$AM, "Albendazole &amp; Ivermectin",
'20102013 STH Efficacy'!$AS:$AS,"&lt;2014",
'20102013 STH Efficacy'!$BP:$BP,""),
"")</f>
        <v/>
      </c>
      <c r="BA10" s="303">
        <f t="shared" si="24"/>
        <v>0.796</v>
      </c>
      <c r="BB10" s="134" t="str">
        <f>IFERROR(AVERAGEIFS(
'20102013 STH Efficacy'!$N:$N, 
'20102013 STH Efficacy'!$B:$B, $A10, 
'20102013 STH Efficacy'!$C:$C, "Albendazole",
'20102013 STH Efficacy'!$I:$I,"&lt;2014",
'20102013 STH Efficacy'!$AH:$AH,""),
"")</f>
        <v/>
      </c>
      <c r="BC10" s="135">
        <f t="shared" si="25"/>
        <v>0.869</v>
      </c>
      <c r="BD10" s="134" t="str">
        <f>IFERROR(AVERAGEIFS(
'20102013 STH Efficacy'!$N:$N, 
'20102013 STH Efficacy'!$B:$B, $A10, 
'20102013 STH Efficacy'!$C:$C, "Mebendazole",
'20102013 STH Efficacy'!$I:$I,"&lt;2014",
'20102013 STH Efficacy'!$AH:$AH,""),
"")</f>
        <v/>
      </c>
      <c r="BE10" s="135">
        <f t="shared" si="26"/>
        <v>0.172</v>
      </c>
      <c r="BF10" s="128" t="str">
        <f>IFERROR(AVERAGEIFS(
'20102013 STH Efficacy'!$CD:$CD, 
'20102013 STH Efficacy'!$BS:$BS, $A10, 
'20102013 STH Efficacy'!$BT:$BT, "Albendazole",
'20102013 STH Efficacy'!$BZ:$BZ,"&lt;2014",
'20102013 STH Efficacy'!$CU:$CU,""),
"")</f>
        <v/>
      </c>
      <c r="BG10" s="136">
        <f t="shared" si="27"/>
        <v>0.9862</v>
      </c>
      <c r="BH10" s="128" t="str">
        <f>IFERROR(AVERAGEIFS(
'20102013 STH Efficacy'!$CD:$CD, 
'20102013 STH Efficacy'!$BS:$BS, $A10, 
'20102013 STH Efficacy'!$BT:$BT, "Mebendazole",
'20102013 STH Efficacy'!$BZ:$BZ,"&lt;2014",
'20102013 STH Efficacy'!$CU:$CU,""),
"")</f>
        <v/>
      </c>
      <c r="BI10" s="136">
        <f t="shared" si="28"/>
        <v>0.769</v>
      </c>
      <c r="BJ10" s="128" t="str">
        <f>IFERROR(AVERAGEIFS(
'20102013 STH Efficacy'!$CD:$CD, 
'20102013 STH Efficacy'!$BS:$BS, $A10, 
'20102013 STH Efficacy'!$BT:$BT, "Albendazole &amp; Ivermectin",
'20102013 STH Efficacy'!$BZ:$BZ,"&lt;2014",
'20102013 STH Efficacy'!$CU:$CU,""),
"")</f>
        <v/>
      </c>
      <c r="BK10" s="136">
        <f t="shared" si="29"/>
        <v>1</v>
      </c>
      <c r="BL10" s="300" t="str">
        <f>IFERROR(
  AVERAGEIFS(
    'NEW 20102013 Onchocerciasis Eff'!$AO:$AO,
    'NEW 20102013 Onchocerciasis Eff'!$C:$C,$A10,
    'NEW 20102013 Onchocerciasis Eff'!$D:$D,"Ivermectin",
    'NEW 20102013 Onchocerciasis Eff'!$AR:$AR,"&lt;2014",
    'NEW 20102013 Onchocerciasis Eff'!$BG:$BG,"")
,"")</f>
        <v/>
      </c>
      <c r="BM10" s="304">
        <f t="shared" si="30"/>
        <v>0.3734</v>
      </c>
      <c r="BN10" s="305">
        <v>0.0</v>
      </c>
      <c r="BO10" s="139">
        <v>0.0</v>
      </c>
      <c r="BP10" s="140">
        <v>0.0</v>
      </c>
      <c r="BQ10" s="141">
        <f t="shared" si="31"/>
        <v>0</v>
      </c>
      <c r="BR10" s="104" t="str">
        <f t="shared" si="32"/>
        <v>0000</v>
      </c>
      <c r="BS10" s="104" t="str">
        <f t="shared" si="33"/>
        <v>no action required</v>
      </c>
      <c r="BT10" s="142" t="str">
        <f t="shared" si="34"/>
        <v/>
      </c>
      <c r="BU10" s="104" t="str">
        <f t="shared" si="35"/>
        <v/>
      </c>
      <c r="BV10" s="104" t="str">
        <f t="shared" si="36"/>
        <v>none</v>
      </c>
      <c r="BW10" s="150" t="str">
        <f t="shared" si="37"/>
        <v/>
      </c>
      <c r="BX10" s="150" t="str">
        <f t="shared" si="38"/>
        <v/>
      </c>
      <c r="BY10" s="151" t="str">
        <f t="shared" si="39"/>
        <v/>
      </c>
      <c r="BZ10" s="152" t="str">
        <f t="shared" si="40"/>
        <v/>
      </c>
      <c r="CA10" s="152" t="str">
        <f t="shared" si="41"/>
        <v/>
      </c>
      <c r="CB10" s="152" t="str">
        <f t="shared" si="42"/>
        <v/>
      </c>
      <c r="CC10" s="153" t="str">
        <f t="shared" si="43"/>
        <v/>
      </c>
      <c r="CD10" s="153" t="str">
        <f t="shared" si="44"/>
        <v/>
      </c>
      <c r="CE10" s="154" t="str">
        <f t="shared" si="45"/>
        <v/>
      </c>
      <c r="CF10" s="154" t="str">
        <f t="shared" si="46"/>
        <v/>
      </c>
      <c r="CG10" s="154" t="str">
        <f t="shared" si="47"/>
        <v/>
      </c>
      <c r="CH10" s="308" t="str">
        <f t="shared" si="48"/>
        <v/>
      </c>
      <c r="CI10" s="299">
        <f t="shared" si="49"/>
        <v>0</v>
      </c>
    </row>
    <row r="11">
      <c r="A11" s="103" t="s">
        <v>99</v>
      </c>
      <c r="B11" s="104" t="s">
        <v>98</v>
      </c>
      <c r="C11" s="105">
        <v>97824.0</v>
      </c>
      <c r="D11" s="293">
        <v>0.0</v>
      </c>
      <c r="E11" s="294">
        <v>20.36703882</v>
      </c>
      <c r="F11" s="307">
        <v>0.0</v>
      </c>
      <c r="G11" s="307">
        <v>0.0</v>
      </c>
      <c r="H11" s="108">
        <v>0.0</v>
      </c>
      <c r="I11" s="109">
        <v>3.3152E-4</v>
      </c>
      <c r="J11" s="109">
        <v>5.2559E-4</v>
      </c>
      <c r="K11" s="109">
        <v>8.57115E-4</v>
      </c>
      <c r="L11" s="112">
        <v>0.035178157</v>
      </c>
      <c r="M11" s="112">
        <v>0.011560866</v>
      </c>
      <c r="N11" s="111">
        <v>0.046739023</v>
      </c>
      <c r="O11" s="298">
        <v>0.0</v>
      </c>
      <c r="P11" s="114"/>
      <c r="Q11" s="114"/>
      <c r="R11" s="121" t="str">
        <f t="shared" si="11"/>
        <v/>
      </c>
      <c r="S11" s="116">
        <f t="shared" si="12"/>
        <v>0.2288425133</v>
      </c>
      <c r="T11" s="130"/>
      <c r="U11" s="118">
        <f t="shared" si="13"/>
        <v>0.39435</v>
      </c>
      <c r="V11" s="148"/>
      <c r="W11" s="120">
        <f t="shared" si="14"/>
        <v>0.542475</v>
      </c>
      <c r="X11" s="148"/>
      <c r="Y11" s="120">
        <f t="shared" si="15"/>
        <v>0.6507333333</v>
      </c>
      <c r="Z11" s="299"/>
      <c r="AA11" s="299"/>
      <c r="AB11" s="300" t="str">
        <f t="shared" si="16"/>
        <v/>
      </c>
      <c r="AC11" s="301">
        <f t="shared" si="17"/>
        <v>0.3490201688</v>
      </c>
      <c r="AD11" s="122">
        <v>0.0</v>
      </c>
      <c r="AE11" s="123">
        <v>0.03</v>
      </c>
      <c r="AF11" s="123">
        <v>9.0E-4</v>
      </c>
      <c r="AG11" s="124">
        <v>0.0</v>
      </c>
      <c r="AH11" s="124">
        <v>1.23741E-5</v>
      </c>
      <c r="AI11" s="125">
        <v>0.0</v>
      </c>
      <c r="AJ11" s="125">
        <v>1.18766E-5</v>
      </c>
      <c r="AK11" s="127">
        <v>0.0</v>
      </c>
      <c r="AL11" s="127">
        <v>0.0</v>
      </c>
      <c r="AM11" s="302">
        <v>0.0</v>
      </c>
      <c r="AN11" s="149" t="str">
        <f>IFERROR(
  AVERAGEIFS(
    'New 20102013 LF Efficacy'!$J:$J,
    'New 20102013 LF Efficacy'!$D:$D, $A11,
    'New 20102013 LF Efficacy'!$F:$F,"DEC", 
    'New 20102013 LF Efficacy'!$W:$W,"&lt;2014",
    'New 20102013 LF Efficacy'!$AA:$AA,""),
  ""
)</f>
        <v/>
      </c>
      <c r="AO11" s="115">
        <f t="shared" si="18"/>
        <v>0.2589833333</v>
      </c>
      <c r="AP11" s="121" t="str">
        <f>IFERROR(
AVERAGEIFS(
'New 20102013 LF Efficacy'!$J:$J,
'New 20102013 LF Efficacy'!$D:$D,$A11,
'New 20102013 LF Efficacy'!$F:$F,"Albendazole &amp; DEC",
'New 20102013 LF Efficacy'!$W:$W,"&lt;2014",
'New 20102013 LF Efficacy'!$AA:$AA,""),
"")
</f>
        <v/>
      </c>
      <c r="AQ11" s="115">
        <f t="shared" si="19"/>
        <v>0.3465</v>
      </c>
      <c r="AR11" s="121" t="str">
        <f>IFERROR(
AVERAGEIFS(
'New 20102013 LF Efficacy'!$J:$J,
'New 20102013 LF Efficacy'!$D:$D,$A11,
'New 20102013 LF Efficacy'!$F:$F,"Albendazole &amp; Ivermectin", 
'New 20102013 LF Efficacy'!$W:$W,"&lt;2014",
'New 20102013 LF Efficacy'!$AA:$AA,""),"")</f>
        <v/>
      </c>
      <c r="AS11" s="115">
        <f t="shared" si="20"/>
        <v>0.7575</v>
      </c>
      <c r="AT11" s="130" t="str">
        <f>IFERROR(AVERAGEIFS(
'20102013 Schist Efficacy'!$O:$O, 
'20102013 Schist Efficacy'!$C:$C,$A11, 
'20102013 Schist Efficacy'!$D:$D, "Praziquantel",
'20102013 Schist Efficacy'!$J:$J,"&lt;2014",
'20102013 Schist Efficacy'!$U:$U,""),
"")</f>
        <v/>
      </c>
      <c r="AU11" s="118">
        <f t="shared" si="21"/>
        <v>0.7914761905</v>
      </c>
      <c r="AV11" s="131" t="str">
        <f>IFERROR(AVERAGEIFS(
'20102013 STH Efficacy'!$AX:$AX, 
'20102013 STH Efficacy'!$AL:$AL, $A11, 
'20102013 STH Efficacy'!$AM:$AM, "Albendazole",
'20102013 STH Efficacy'!$AS:$AS,"&lt;2014",
'20102013 STH Efficacy'!$BP:$BP,""),
"")</f>
        <v/>
      </c>
      <c r="AW11" s="132">
        <f t="shared" si="22"/>
        <v>0.3945</v>
      </c>
      <c r="AX11" s="131" t="str">
        <f>IFERROR(AVERAGEIFS(
'20102013 STH Efficacy'!$AX:$AX, 
'20102013 STH Efficacy'!$AL:$AL, $A11, 
'20102013 STH Efficacy'!$AM:$AM, "Mebendazole",
'20102013 STH Efficacy'!$AS:$AS,"&lt;2014",
'20102013 STH Efficacy'!$BP:$BP,""),
"")</f>
        <v/>
      </c>
      <c r="AY11" s="132">
        <f t="shared" si="23"/>
        <v>0.6</v>
      </c>
      <c r="AZ11" s="131" t="str">
        <f>IFERROR(AVERAGEIFS(
'20102013 STH Efficacy'!$AX:$AX, 
'20102013 STH Efficacy'!$AL:$AL, $A11, 
'20102013 STH Efficacy'!$AM:$AM, "Albendazole &amp; Ivermectin",
'20102013 STH Efficacy'!$AS:$AS,"&lt;2014",
'20102013 STH Efficacy'!$BP:$BP,""),
"")</f>
        <v/>
      </c>
      <c r="BA11" s="303">
        <f t="shared" si="24"/>
        <v>0.796</v>
      </c>
      <c r="BB11" s="134" t="str">
        <f>IFERROR(AVERAGEIFS(
'20102013 STH Efficacy'!$N:$N, 
'20102013 STH Efficacy'!$B:$B, $A11, 
'20102013 STH Efficacy'!$C:$C, "Albendazole",
'20102013 STH Efficacy'!$I:$I,"&lt;2014",
'20102013 STH Efficacy'!$AH:$AH,""),
"")</f>
        <v/>
      </c>
      <c r="BC11" s="135">
        <f t="shared" si="25"/>
        <v>0.869</v>
      </c>
      <c r="BD11" s="134" t="str">
        <f>IFERROR(AVERAGEIFS(
'20102013 STH Efficacy'!$N:$N, 
'20102013 STH Efficacy'!$B:$B, $A11, 
'20102013 STH Efficacy'!$C:$C, "Mebendazole",
'20102013 STH Efficacy'!$I:$I,"&lt;2014",
'20102013 STH Efficacy'!$AH:$AH,""),
"")</f>
        <v/>
      </c>
      <c r="BE11" s="135">
        <f t="shared" si="26"/>
        <v>0.172</v>
      </c>
      <c r="BF11" s="128" t="str">
        <f>IFERROR(AVERAGEIFS(
'20102013 STH Efficacy'!$CD:$CD, 
'20102013 STH Efficacy'!$BS:$BS, $A11, 
'20102013 STH Efficacy'!$BT:$BT, "Albendazole",
'20102013 STH Efficacy'!$BZ:$BZ,"&lt;2014",
'20102013 STH Efficacy'!$CU:$CU,""),
"")</f>
        <v/>
      </c>
      <c r="BG11" s="136">
        <f t="shared" si="27"/>
        <v>0.9862</v>
      </c>
      <c r="BH11" s="128" t="str">
        <f>IFERROR(AVERAGEIFS(
'20102013 STH Efficacy'!$CD:$CD, 
'20102013 STH Efficacy'!$BS:$BS, $A11, 
'20102013 STH Efficacy'!$BT:$BT, "Mebendazole",
'20102013 STH Efficacy'!$BZ:$BZ,"&lt;2014",
'20102013 STH Efficacy'!$CU:$CU,""),
"")</f>
        <v/>
      </c>
      <c r="BI11" s="136">
        <f t="shared" si="28"/>
        <v>0.769</v>
      </c>
      <c r="BJ11" s="128" t="str">
        <f>IFERROR(AVERAGEIFS(
'20102013 STH Efficacy'!$CD:$CD, 
'20102013 STH Efficacy'!$BS:$BS, $A11, 
'20102013 STH Efficacy'!$BT:$BT, "Albendazole &amp; Ivermectin",
'20102013 STH Efficacy'!$BZ:$BZ,"&lt;2014",
'20102013 STH Efficacy'!$CU:$CU,""),
"")</f>
        <v/>
      </c>
      <c r="BK11" s="136">
        <f t="shared" si="29"/>
        <v>1</v>
      </c>
      <c r="BL11" s="300" t="str">
        <f>IFERROR(
  AVERAGEIFS(
    'NEW 20102013 Onchocerciasis Eff'!$AO:$AO,
    'NEW 20102013 Onchocerciasis Eff'!$C:$C,$A11,
    'NEW 20102013 Onchocerciasis Eff'!$D:$D,"Ivermectin",
    'NEW 20102013 Onchocerciasis Eff'!$AR:$AR,"&lt;2014",
    'NEW 20102013 Onchocerciasis Eff'!$BG:$BG,"")
,"")</f>
        <v/>
      </c>
      <c r="BM11" s="304">
        <f t="shared" si="30"/>
        <v>0.3734</v>
      </c>
      <c r="BN11" s="305">
        <v>0.0</v>
      </c>
      <c r="BO11" s="139">
        <v>0.0</v>
      </c>
      <c r="BP11" s="140">
        <v>0.0</v>
      </c>
      <c r="BQ11" s="141">
        <f t="shared" si="31"/>
        <v>0</v>
      </c>
      <c r="BR11" s="104" t="str">
        <f t="shared" si="32"/>
        <v>0000</v>
      </c>
      <c r="BS11" s="104" t="str">
        <f t="shared" si="33"/>
        <v>no action required</v>
      </c>
      <c r="BT11" s="142" t="str">
        <f t="shared" si="34"/>
        <v/>
      </c>
      <c r="BU11" s="104" t="str">
        <f t="shared" si="35"/>
        <v/>
      </c>
      <c r="BV11" s="104" t="str">
        <f t="shared" si="36"/>
        <v>none</v>
      </c>
      <c r="BW11" s="150" t="str">
        <f t="shared" si="37"/>
        <v/>
      </c>
      <c r="BX11" s="150" t="str">
        <f t="shared" si="38"/>
        <v/>
      </c>
      <c r="BY11" s="151" t="str">
        <f t="shared" si="39"/>
        <v/>
      </c>
      <c r="BZ11" s="152" t="str">
        <f t="shared" si="40"/>
        <v/>
      </c>
      <c r="CA11" s="152" t="str">
        <f t="shared" si="41"/>
        <v/>
      </c>
      <c r="CB11" s="152" t="str">
        <f t="shared" si="42"/>
        <v/>
      </c>
      <c r="CC11" s="153" t="str">
        <f t="shared" si="43"/>
        <v/>
      </c>
      <c r="CD11" s="153" t="str">
        <f t="shared" si="44"/>
        <v/>
      </c>
      <c r="CE11" s="154" t="str">
        <f t="shared" si="45"/>
        <v/>
      </c>
      <c r="CF11" s="154" t="str">
        <f t="shared" si="46"/>
        <v/>
      </c>
      <c r="CG11" s="154" t="str">
        <f t="shared" si="47"/>
        <v/>
      </c>
      <c r="CH11" s="308" t="str">
        <f t="shared" si="48"/>
        <v/>
      </c>
      <c r="CI11" s="299">
        <f t="shared" si="49"/>
        <v>0</v>
      </c>
    </row>
    <row r="12">
      <c r="A12" s="103" t="s">
        <v>100</v>
      </c>
      <c r="B12" s="104" t="s">
        <v>98</v>
      </c>
      <c r="C12" s="105">
        <v>4.2539925E7</v>
      </c>
      <c r="D12" s="293">
        <v>0.0</v>
      </c>
      <c r="E12" s="294">
        <v>0.0</v>
      </c>
      <c r="F12" s="309">
        <v>0.202174444</v>
      </c>
      <c r="G12" s="309">
        <v>1.220094556</v>
      </c>
      <c r="H12" s="157">
        <v>1.422269</v>
      </c>
      <c r="I12" s="110">
        <v>197.182023</v>
      </c>
      <c r="J12" s="110">
        <v>537.695173</v>
      </c>
      <c r="K12" s="109">
        <v>734.8771957</v>
      </c>
      <c r="L12" s="112">
        <v>74.87347057</v>
      </c>
      <c r="M12" s="112">
        <v>117.7778702</v>
      </c>
      <c r="N12" s="111">
        <v>192.6513408</v>
      </c>
      <c r="O12" s="298">
        <v>0.0</v>
      </c>
      <c r="P12" s="114"/>
      <c r="Q12" s="114"/>
      <c r="R12" s="121" t="str">
        <f t="shared" si="11"/>
        <v/>
      </c>
      <c r="S12" s="116">
        <f t="shared" si="12"/>
        <v>0.2288425133</v>
      </c>
      <c r="T12" s="130"/>
      <c r="U12" s="118">
        <f t="shared" si="13"/>
        <v>0.39435</v>
      </c>
      <c r="V12" s="148"/>
      <c r="W12" s="120">
        <f t="shared" si="14"/>
        <v>0.542475</v>
      </c>
      <c r="X12" s="148"/>
      <c r="Y12" s="120">
        <f t="shared" si="15"/>
        <v>0.6507333333</v>
      </c>
      <c r="Z12" s="299"/>
      <c r="AA12" s="299"/>
      <c r="AB12" s="300" t="str">
        <f t="shared" si="16"/>
        <v/>
      </c>
      <c r="AC12" s="301">
        <f t="shared" si="17"/>
        <v>0.3490201688</v>
      </c>
      <c r="AD12" s="122">
        <v>0.0</v>
      </c>
      <c r="AE12" s="123">
        <v>0.0</v>
      </c>
      <c r="AF12" s="123">
        <v>0.0</v>
      </c>
      <c r="AG12" s="124">
        <v>0.0195</v>
      </c>
      <c r="AH12" s="124">
        <v>0.026244881</v>
      </c>
      <c r="AI12" s="125">
        <v>0.0268</v>
      </c>
      <c r="AJ12" s="125">
        <v>0.036267914</v>
      </c>
      <c r="AK12" s="127">
        <v>0.0629</v>
      </c>
      <c r="AL12" s="127">
        <v>0.0844</v>
      </c>
      <c r="AM12" s="302">
        <v>0.0</v>
      </c>
      <c r="AN12" s="149" t="str">
        <f>IFERROR(
  AVERAGEIFS(
    'New 20102013 LF Efficacy'!$J:$J,
    'New 20102013 LF Efficacy'!$D:$D, $A12,
    'New 20102013 LF Efficacy'!$F:$F,"DEC", 
    'New 20102013 LF Efficacy'!$W:$W,"&lt;2014",
    'New 20102013 LF Efficacy'!$AA:$AA,""),
  ""
)</f>
        <v/>
      </c>
      <c r="AO12" s="115">
        <f t="shared" si="18"/>
        <v>0.2589833333</v>
      </c>
      <c r="AP12" s="121" t="str">
        <f>IFERROR(
AVERAGEIFS(
'New 20102013 LF Efficacy'!$J:$J,
'New 20102013 LF Efficacy'!$D:$D,$A12,
'New 20102013 LF Efficacy'!$F:$F,"Albendazole &amp; DEC",
'New 20102013 LF Efficacy'!$W:$W,"&lt;2014",
'New 20102013 LF Efficacy'!$AA:$AA,""),
"")
</f>
        <v/>
      </c>
      <c r="AQ12" s="115">
        <f t="shared" si="19"/>
        <v>0.3465</v>
      </c>
      <c r="AR12" s="121" t="str">
        <f>IFERROR(
AVERAGEIFS(
'New 20102013 LF Efficacy'!$J:$J,
'New 20102013 LF Efficacy'!$D:$D,$A12,
'New 20102013 LF Efficacy'!$F:$F,"Albendazole &amp; Ivermectin", 
'New 20102013 LF Efficacy'!$W:$W,"&lt;2014",
'New 20102013 LF Efficacy'!$AA:$AA,""),"")</f>
        <v/>
      </c>
      <c r="AS12" s="115">
        <f t="shared" si="20"/>
        <v>0.7575</v>
      </c>
      <c r="AT12" s="130" t="str">
        <f>IFERROR(AVERAGEIFS(
'20102013 Schist Efficacy'!$O:$O, 
'20102013 Schist Efficacy'!$C:$C,$A12, 
'20102013 Schist Efficacy'!$D:$D, "Praziquantel",
'20102013 Schist Efficacy'!$J:$J,"&lt;2014",
'20102013 Schist Efficacy'!$U:$U,""),
"")</f>
        <v/>
      </c>
      <c r="AU12" s="118">
        <f t="shared" si="21"/>
        <v>0.7914761905</v>
      </c>
      <c r="AV12" s="131" t="str">
        <f>IFERROR(AVERAGEIFS(
'20102013 STH Efficacy'!$AX:$AX, 
'20102013 STH Efficacy'!$AL:$AL, $A12, 
'20102013 STH Efficacy'!$AM:$AM, "Albendazole",
'20102013 STH Efficacy'!$AS:$AS,"&lt;2014",
'20102013 STH Efficacy'!$BP:$BP,""),
"")</f>
        <v/>
      </c>
      <c r="AW12" s="132">
        <f t="shared" si="22"/>
        <v>0.3945</v>
      </c>
      <c r="AX12" s="131" t="str">
        <f>IFERROR(AVERAGEIFS(
'20102013 STH Efficacy'!$AX:$AX, 
'20102013 STH Efficacy'!$AL:$AL, $A12, 
'20102013 STH Efficacy'!$AM:$AM, "Mebendazole",
'20102013 STH Efficacy'!$AS:$AS,"&lt;2014",
'20102013 STH Efficacy'!$BP:$BP,""),
"")</f>
        <v/>
      </c>
      <c r="AY12" s="132">
        <f t="shared" si="23"/>
        <v>0.6</v>
      </c>
      <c r="AZ12" s="131" t="str">
        <f>IFERROR(AVERAGEIFS(
'20102013 STH Efficacy'!$AX:$AX, 
'20102013 STH Efficacy'!$AL:$AL, $A12, 
'20102013 STH Efficacy'!$AM:$AM, "Albendazole &amp; Ivermectin",
'20102013 STH Efficacy'!$AS:$AS,"&lt;2014",
'20102013 STH Efficacy'!$BP:$BP,""),
"")</f>
        <v/>
      </c>
      <c r="BA12" s="303">
        <f t="shared" si="24"/>
        <v>0.796</v>
      </c>
      <c r="BB12" s="134" t="str">
        <f>IFERROR(AVERAGEIFS(
'20102013 STH Efficacy'!$N:$N, 
'20102013 STH Efficacy'!$B:$B, $A12, 
'20102013 STH Efficacy'!$C:$C, "Albendazole",
'20102013 STH Efficacy'!$I:$I,"&lt;2014",
'20102013 STH Efficacy'!$AH:$AH,""),
"")</f>
        <v/>
      </c>
      <c r="BC12" s="135">
        <f t="shared" si="25"/>
        <v>0.869</v>
      </c>
      <c r="BD12" s="134" t="str">
        <f>IFERROR(AVERAGEIFS(
'20102013 STH Efficacy'!$N:$N, 
'20102013 STH Efficacy'!$B:$B, $A12, 
'20102013 STH Efficacy'!$C:$C, "Mebendazole",
'20102013 STH Efficacy'!$I:$I,"&lt;2014",
'20102013 STH Efficacy'!$AH:$AH,""),
"")</f>
        <v/>
      </c>
      <c r="BE12" s="135">
        <f t="shared" si="26"/>
        <v>0.172</v>
      </c>
      <c r="BF12" s="128" t="str">
        <f>IFERROR(AVERAGEIFS(
'20102013 STH Efficacy'!$CD:$CD, 
'20102013 STH Efficacy'!$BS:$BS, $A12, 
'20102013 STH Efficacy'!$BT:$BT, "Albendazole",
'20102013 STH Efficacy'!$BZ:$BZ,"&lt;2014",
'20102013 STH Efficacy'!$CU:$CU,""),
"")</f>
        <v/>
      </c>
      <c r="BG12" s="136">
        <f t="shared" si="27"/>
        <v>0.9862</v>
      </c>
      <c r="BH12" s="128" t="str">
        <f>IFERROR(AVERAGEIFS(
'20102013 STH Efficacy'!$CD:$CD, 
'20102013 STH Efficacy'!$BS:$BS, $A12, 
'20102013 STH Efficacy'!$BT:$BT, "Mebendazole",
'20102013 STH Efficacy'!$BZ:$BZ,"&lt;2014",
'20102013 STH Efficacy'!$CU:$CU,""),
"")</f>
        <v/>
      </c>
      <c r="BI12" s="136">
        <f t="shared" si="28"/>
        <v>0.769</v>
      </c>
      <c r="BJ12" s="128" t="str">
        <f>IFERROR(AVERAGEIFS(
'20102013 STH Efficacy'!$CD:$CD, 
'20102013 STH Efficacy'!$BS:$BS, $A12, 
'20102013 STH Efficacy'!$BT:$BT, "Albendazole &amp; Ivermectin",
'20102013 STH Efficacy'!$BZ:$BZ,"&lt;2014",
'20102013 STH Efficacy'!$CU:$CU,""),
"")</f>
        <v/>
      </c>
      <c r="BK12" s="136">
        <f t="shared" si="29"/>
        <v>1</v>
      </c>
      <c r="BL12" s="300" t="str">
        <f>IFERROR(
  AVERAGEIFS(
    'NEW 20102013 Onchocerciasis Eff'!$AO:$AO,
    'NEW 20102013 Onchocerciasis Eff'!$C:$C,$A12,
    'NEW 20102013 Onchocerciasis Eff'!$D:$D,"Ivermectin",
    'NEW 20102013 Onchocerciasis Eff'!$AR:$AR,"&lt;2014",
    'NEW 20102013 Onchocerciasis Eff'!$BG:$BG,"")
,"")</f>
        <v/>
      </c>
      <c r="BM12" s="304">
        <f t="shared" si="30"/>
        <v>0.3734</v>
      </c>
      <c r="BN12" s="305">
        <v>0.0</v>
      </c>
      <c r="BO12" s="139">
        <v>0.0</v>
      </c>
      <c r="BP12" s="140">
        <v>0.0</v>
      </c>
      <c r="BQ12" s="141">
        <f t="shared" si="31"/>
        <v>0</v>
      </c>
      <c r="BR12" s="104" t="str">
        <f t="shared" si="32"/>
        <v>0000</v>
      </c>
      <c r="BS12" s="104" t="str">
        <f t="shared" si="33"/>
        <v>no action required</v>
      </c>
      <c r="BT12" s="142" t="str">
        <f t="shared" si="34"/>
        <v/>
      </c>
      <c r="BU12" s="104" t="str">
        <f t="shared" si="35"/>
        <v/>
      </c>
      <c r="BV12" s="104" t="str">
        <f t="shared" si="36"/>
        <v>none</v>
      </c>
      <c r="BW12" s="150" t="str">
        <f t="shared" si="37"/>
        <v/>
      </c>
      <c r="BX12" s="150" t="str">
        <f t="shared" si="38"/>
        <v/>
      </c>
      <c r="BY12" s="151" t="str">
        <f t="shared" si="39"/>
        <v/>
      </c>
      <c r="BZ12" s="152" t="str">
        <f t="shared" si="40"/>
        <v/>
      </c>
      <c r="CA12" s="152" t="str">
        <f t="shared" si="41"/>
        <v/>
      </c>
      <c r="CB12" s="152" t="str">
        <f t="shared" si="42"/>
        <v/>
      </c>
      <c r="CC12" s="153" t="str">
        <f t="shared" si="43"/>
        <v/>
      </c>
      <c r="CD12" s="153" t="str">
        <f t="shared" si="44"/>
        <v/>
      </c>
      <c r="CE12" s="154" t="str">
        <f t="shared" si="45"/>
        <v/>
      </c>
      <c r="CF12" s="154" t="str">
        <f t="shared" si="46"/>
        <v/>
      </c>
      <c r="CG12" s="154" t="str">
        <f t="shared" si="47"/>
        <v/>
      </c>
      <c r="CH12" s="308" t="str">
        <f t="shared" si="48"/>
        <v/>
      </c>
      <c r="CI12" s="299">
        <f t="shared" si="49"/>
        <v>0</v>
      </c>
    </row>
    <row r="13">
      <c r="A13" s="103" t="s">
        <v>101</v>
      </c>
      <c r="B13" s="104" t="s">
        <v>90</v>
      </c>
      <c r="C13" s="105">
        <v>2893509.0</v>
      </c>
      <c r="D13" s="293">
        <v>0.0</v>
      </c>
      <c r="E13" s="294">
        <v>0.0</v>
      </c>
      <c r="F13" s="307">
        <v>0.0</v>
      </c>
      <c r="G13" s="307">
        <v>0.0</v>
      </c>
      <c r="H13" s="108">
        <v>0.0</v>
      </c>
      <c r="I13" s="109">
        <v>0.03627629</v>
      </c>
      <c r="J13" s="109">
        <v>0.03863539</v>
      </c>
      <c r="K13" s="109">
        <v>0.074911676</v>
      </c>
      <c r="L13" s="112">
        <v>0.762249171</v>
      </c>
      <c r="M13" s="112">
        <v>0.251265142</v>
      </c>
      <c r="N13" s="111">
        <v>1.013514313</v>
      </c>
      <c r="O13" s="298">
        <v>0.0</v>
      </c>
      <c r="P13" s="114"/>
      <c r="Q13" s="114"/>
      <c r="R13" s="121" t="str">
        <f t="shared" si="11"/>
        <v/>
      </c>
      <c r="S13" s="116">
        <f t="shared" si="12"/>
        <v>0.526225767</v>
      </c>
      <c r="T13" s="130"/>
      <c r="U13" s="118">
        <f t="shared" si="13"/>
        <v>0.3468166667</v>
      </c>
      <c r="V13" s="148"/>
      <c r="W13" s="120">
        <f t="shared" si="14"/>
        <v>1</v>
      </c>
      <c r="X13" s="148"/>
      <c r="Y13" s="120">
        <f t="shared" si="15"/>
        <v>1</v>
      </c>
      <c r="Z13" s="299"/>
      <c r="AA13" s="299"/>
      <c r="AB13" s="300" t="str">
        <f t="shared" si="16"/>
        <v/>
      </c>
      <c r="AC13" s="301">
        <f t="shared" si="17"/>
        <v>0.6295826791</v>
      </c>
      <c r="AD13" s="122">
        <v>0.0</v>
      </c>
      <c r="AE13" s="123">
        <v>0.0</v>
      </c>
      <c r="AF13" s="123">
        <v>0.0</v>
      </c>
      <c r="AG13" s="124">
        <v>0.001</v>
      </c>
      <c r="AH13" s="124">
        <v>0.00150821</v>
      </c>
      <c r="AI13" s="125">
        <v>0.0</v>
      </c>
      <c r="AJ13" s="125">
        <v>1.24585E-5</v>
      </c>
      <c r="AK13" s="127">
        <v>0.005</v>
      </c>
      <c r="AL13" s="127">
        <v>0.0076</v>
      </c>
      <c r="AM13" s="302">
        <v>0.0</v>
      </c>
      <c r="AN13" s="149" t="str">
        <f>IFERROR(
  AVERAGEIFS(
    'New 20102013 LF Efficacy'!$J:$J,
    'New 20102013 LF Efficacy'!$D:$D, $A13,
    'New 20102013 LF Efficacy'!$F:$F,"DEC", 
    'New 20102013 LF Efficacy'!$W:$W,"&lt;2014",
    'New 20102013 LF Efficacy'!$AA:$AA,""),
  ""
)</f>
        <v/>
      </c>
      <c r="AO13" s="115">
        <f t="shared" si="18"/>
        <v>0.3573520833</v>
      </c>
      <c r="AP13" s="121" t="str">
        <f>IFERROR(
AVERAGEIFS(
'New 20102013 LF Efficacy'!$J:$J,
'New 20102013 LF Efficacy'!$D:$D,$A13,
'New 20102013 LF Efficacy'!$F:$F,"Albendazole &amp; DEC",
'New 20102013 LF Efficacy'!$W:$W,"&lt;2014",
'New 20102013 LF Efficacy'!$AA:$AA,""),
"")
</f>
        <v/>
      </c>
      <c r="AQ13" s="115">
        <f t="shared" si="19"/>
        <v>0.5137291667</v>
      </c>
      <c r="AR13" s="121" t="str">
        <f>IFERROR(
AVERAGEIFS(
'New 20102013 LF Efficacy'!$J:$J,
'New 20102013 LF Efficacy'!$D:$D,$A13,
'New 20102013 LF Efficacy'!$F:$F,"Albendazole &amp; Ivermectin", 
'New 20102013 LF Efficacy'!$W:$W,"&lt;2014",
'New 20102013 LF Efficacy'!$AA:$AA,""),"")</f>
        <v/>
      </c>
      <c r="AS13" s="115">
        <f t="shared" si="20"/>
        <v>0.37153125</v>
      </c>
      <c r="AT13" s="130" t="str">
        <f>IFERROR(AVERAGEIFS(
'20102013 Schist Efficacy'!$O:$O, 
'20102013 Schist Efficacy'!$C:$C,$A13, 
'20102013 Schist Efficacy'!$D:$D, "Praziquantel",
'20102013 Schist Efficacy'!$J:$J,"&lt;2014",
'20102013 Schist Efficacy'!$U:$U,""),
"")</f>
        <v/>
      </c>
      <c r="AU13" s="118">
        <f t="shared" si="21"/>
        <v>0.655</v>
      </c>
      <c r="AV13" s="131" t="str">
        <f>IFERROR(AVERAGEIFS(
'20102013 STH Efficacy'!$AX:$AX, 
'20102013 STH Efficacy'!$AL:$AL, $A13, 
'20102013 STH Efficacy'!$AM:$AM, "Albendazole",
'20102013 STH Efficacy'!$AS:$AS,"&lt;2014",
'20102013 STH Efficacy'!$BP:$BP,""),
"")</f>
        <v/>
      </c>
      <c r="AW13" s="132">
        <f t="shared" si="22"/>
        <v>0.3933333333</v>
      </c>
      <c r="AX13" s="131" t="str">
        <f>IFERROR(AVERAGEIFS(
'20102013 STH Efficacy'!$AX:$AX, 
'20102013 STH Efficacy'!$AL:$AL, $A13, 
'20102013 STH Efficacy'!$AM:$AM, "Mebendazole",
'20102013 STH Efficacy'!$AS:$AS,"&lt;2014",
'20102013 STH Efficacy'!$BP:$BP,""),
"")</f>
        <v/>
      </c>
      <c r="AY13" s="132">
        <f t="shared" si="23"/>
        <v>0.5017738095</v>
      </c>
      <c r="AZ13" s="131" t="str">
        <f>IFERROR(AVERAGEIFS(
'20102013 STH Efficacy'!$AX:$AX, 
'20102013 STH Efficacy'!$AL:$AL, $A13, 
'20102013 STH Efficacy'!$AM:$AM, "Albendazole &amp; Ivermectin",
'20102013 STH Efficacy'!$AS:$AS,"&lt;2014",
'20102013 STH Efficacy'!$BP:$BP,""),
"")</f>
        <v/>
      </c>
      <c r="BA13" s="303">
        <f t="shared" si="24"/>
        <v>0.597625</v>
      </c>
      <c r="BB13" s="134" t="str">
        <f>IFERROR(AVERAGEIFS(
'20102013 STH Efficacy'!$N:$N, 
'20102013 STH Efficacy'!$B:$B, $A13, 
'20102013 STH Efficacy'!$C:$C, "Albendazole",
'20102013 STH Efficacy'!$I:$I,"&lt;2014",
'20102013 STH Efficacy'!$AH:$AH,""),
"")</f>
        <v/>
      </c>
      <c r="BC13" s="135">
        <f t="shared" si="25"/>
        <v>0.7613712121</v>
      </c>
      <c r="BD13" s="134" t="str">
        <f>IFERROR(AVERAGEIFS(
'20102013 STH Efficacy'!$N:$N, 
'20102013 STH Efficacy'!$B:$B, $A13, 
'20102013 STH Efficacy'!$C:$C, "Mebendazole",
'20102013 STH Efficacy'!$I:$I,"&lt;2014",
'20102013 STH Efficacy'!$AH:$AH,""),
"")</f>
        <v/>
      </c>
      <c r="BE13" s="135">
        <f t="shared" si="26"/>
        <v>0.4362466667</v>
      </c>
      <c r="BF13" s="128" t="str">
        <f>IFERROR(AVERAGEIFS(
'20102013 STH Efficacy'!$CD:$CD, 
'20102013 STH Efficacy'!$BS:$BS, $A13, 
'20102013 STH Efficacy'!$BT:$BT, "Albendazole",
'20102013 STH Efficacy'!$BZ:$BZ,"&lt;2014",
'20102013 STH Efficacy'!$CU:$CU,""),
"")</f>
        <v/>
      </c>
      <c r="BG13" s="136">
        <f t="shared" si="27"/>
        <v>0.9216027778</v>
      </c>
      <c r="BH13" s="128" t="str">
        <f>IFERROR(AVERAGEIFS(
'20102013 STH Efficacy'!$CD:$CD, 
'20102013 STH Efficacy'!$BS:$BS, $A13, 
'20102013 STH Efficacy'!$BT:$BT, "Mebendazole",
'20102013 STH Efficacy'!$BZ:$BZ,"&lt;2014",
'20102013 STH Efficacy'!$CU:$CU,""),
"")</f>
        <v/>
      </c>
      <c r="BI13" s="136">
        <f t="shared" si="28"/>
        <v>0.9295857143</v>
      </c>
      <c r="BJ13" s="128" t="str">
        <f>IFERROR(AVERAGEIFS(
'20102013 STH Efficacy'!$CD:$CD, 
'20102013 STH Efficacy'!$BS:$BS, $A13, 
'20102013 STH Efficacy'!$BT:$BT, "Albendazole &amp; Ivermectin",
'20102013 STH Efficacy'!$BZ:$BZ,"&lt;2014",
'20102013 STH Efficacy'!$CU:$CU,""),
"")</f>
        <v/>
      </c>
      <c r="BK13" s="136">
        <f t="shared" si="29"/>
        <v>1</v>
      </c>
      <c r="BL13" s="300" t="str">
        <f>IFERROR(
  AVERAGEIFS(
    'NEW 20102013 Onchocerciasis Eff'!$AO:$AO,
    'NEW 20102013 Onchocerciasis Eff'!$C:$C,$A13,
    'NEW 20102013 Onchocerciasis Eff'!$D:$D,"Ivermectin",
    'NEW 20102013 Onchocerciasis Eff'!$AR:$AR,"&lt;2014",
    'NEW 20102013 Onchocerciasis Eff'!$BG:$BG,"")
,"")</f>
        <v/>
      </c>
      <c r="BM13" s="304">
        <f t="shared" si="30"/>
        <v>0.7808368939</v>
      </c>
      <c r="BN13" s="305">
        <v>0.0</v>
      </c>
      <c r="BO13" s="139">
        <v>0.0</v>
      </c>
      <c r="BP13" s="140">
        <v>0.0</v>
      </c>
      <c r="BQ13" s="141">
        <f t="shared" si="31"/>
        <v>0</v>
      </c>
      <c r="BR13" s="104" t="str">
        <f t="shared" si="32"/>
        <v>0000</v>
      </c>
      <c r="BS13" s="104" t="str">
        <f t="shared" si="33"/>
        <v>no action required</v>
      </c>
      <c r="BT13" s="142" t="str">
        <f t="shared" si="34"/>
        <v/>
      </c>
      <c r="BU13" s="104" t="str">
        <f t="shared" si="35"/>
        <v/>
      </c>
      <c r="BV13" s="104" t="str">
        <f t="shared" si="36"/>
        <v>none</v>
      </c>
      <c r="BW13" s="150" t="str">
        <f t="shared" si="37"/>
        <v/>
      </c>
      <c r="BX13" s="150" t="str">
        <f t="shared" si="38"/>
        <v/>
      </c>
      <c r="BY13" s="151" t="str">
        <f t="shared" si="39"/>
        <v/>
      </c>
      <c r="BZ13" s="152" t="str">
        <f t="shared" si="40"/>
        <v/>
      </c>
      <c r="CA13" s="152" t="str">
        <f t="shared" si="41"/>
        <v/>
      </c>
      <c r="CB13" s="152" t="str">
        <f t="shared" si="42"/>
        <v/>
      </c>
      <c r="CC13" s="153" t="str">
        <f t="shared" si="43"/>
        <v/>
      </c>
      <c r="CD13" s="153" t="str">
        <f t="shared" si="44"/>
        <v/>
      </c>
      <c r="CE13" s="154" t="str">
        <f t="shared" si="45"/>
        <v/>
      </c>
      <c r="CF13" s="154" t="str">
        <f t="shared" si="46"/>
        <v/>
      </c>
      <c r="CG13" s="154" t="str">
        <f t="shared" si="47"/>
        <v/>
      </c>
      <c r="CH13" s="308" t="str">
        <f t="shared" si="48"/>
        <v/>
      </c>
      <c r="CI13" s="299">
        <f t="shared" si="49"/>
        <v>0</v>
      </c>
    </row>
    <row r="14">
      <c r="A14" s="155" t="s">
        <v>102</v>
      </c>
      <c r="B14" s="104" t="s">
        <v>98</v>
      </c>
      <c r="C14" s="105">
        <v>103187.0</v>
      </c>
      <c r="D14" s="293">
        <v>0.0</v>
      </c>
      <c r="E14" s="294">
        <v>0.0</v>
      </c>
      <c r="F14" s="163"/>
      <c r="G14" s="163"/>
      <c r="H14" s="108">
        <v>0.0</v>
      </c>
      <c r="I14" s="109">
        <v>0.0</v>
      </c>
      <c r="J14" s="109">
        <v>0.0</v>
      </c>
      <c r="K14" s="109">
        <v>0.0</v>
      </c>
      <c r="L14" s="113"/>
      <c r="M14" s="113"/>
      <c r="N14" s="111">
        <v>0.0</v>
      </c>
      <c r="O14" s="298">
        <v>0.0</v>
      </c>
      <c r="P14" s="114"/>
      <c r="Q14" s="114"/>
      <c r="R14" s="121" t="str">
        <f t="shared" si="11"/>
        <v/>
      </c>
      <c r="S14" s="116">
        <f t="shared" si="12"/>
        <v>0.2288425133</v>
      </c>
      <c r="T14" s="130"/>
      <c r="U14" s="118">
        <f t="shared" si="13"/>
        <v>0.39435</v>
      </c>
      <c r="V14" s="148"/>
      <c r="W14" s="120">
        <f t="shared" si="14"/>
        <v>0.542475</v>
      </c>
      <c r="X14" s="148"/>
      <c r="Y14" s="120">
        <f t="shared" si="15"/>
        <v>0.6507333333</v>
      </c>
      <c r="Z14" s="299"/>
      <c r="AA14" s="299"/>
      <c r="AB14" s="300" t="str">
        <f t="shared" si="16"/>
        <v/>
      </c>
      <c r="AC14" s="301">
        <f t="shared" si="17"/>
        <v>0.3490201688</v>
      </c>
      <c r="AD14" s="314">
        <v>0.0</v>
      </c>
      <c r="AE14" s="315">
        <v>0.0</v>
      </c>
      <c r="AF14" s="166">
        <v>0.0</v>
      </c>
      <c r="AG14" s="316">
        <v>0.0</v>
      </c>
      <c r="AH14" s="307">
        <v>0.0</v>
      </c>
      <c r="AI14" s="317">
        <v>0.0</v>
      </c>
      <c r="AJ14" s="318">
        <v>0.0</v>
      </c>
      <c r="AK14" s="319">
        <v>0.0</v>
      </c>
      <c r="AL14" s="319">
        <v>0.0</v>
      </c>
      <c r="AM14" s="320">
        <v>0.0</v>
      </c>
      <c r="AN14" s="149" t="str">
        <f>IFERROR(
  AVERAGEIFS(
    'New 20102013 LF Efficacy'!$J:$J,
    'New 20102013 LF Efficacy'!$D:$D, $A14,
    'New 20102013 LF Efficacy'!$F:$F,"DEC", 
    'New 20102013 LF Efficacy'!$W:$W,"&lt;2014",
    'New 20102013 LF Efficacy'!$AA:$AA,""),
  ""
)</f>
        <v/>
      </c>
      <c r="AO14" s="115">
        <f t="shared" si="18"/>
        <v>0.2589833333</v>
      </c>
      <c r="AP14" s="121" t="str">
        <f>IFERROR(
AVERAGEIFS(
'New 20102013 LF Efficacy'!$J:$J,
'New 20102013 LF Efficacy'!$D:$D,$A14,
'New 20102013 LF Efficacy'!$F:$F,"Albendazole &amp; DEC",
'New 20102013 LF Efficacy'!$W:$W,"&lt;2014",
'New 20102013 LF Efficacy'!$AA:$AA,""),
"")
</f>
        <v/>
      </c>
      <c r="AQ14" s="115">
        <f t="shared" si="19"/>
        <v>0.3465</v>
      </c>
      <c r="AR14" s="121" t="str">
        <f>IFERROR(
AVERAGEIFS(
'New 20102013 LF Efficacy'!$J:$J,
'New 20102013 LF Efficacy'!$D:$D,$A14,
'New 20102013 LF Efficacy'!$F:$F,"Albendazole &amp; Ivermectin", 
'New 20102013 LF Efficacy'!$W:$W,"&lt;2014",
'New 20102013 LF Efficacy'!$AA:$AA,""),"")</f>
        <v/>
      </c>
      <c r="AS14" s="115">
        <f t="shared" si="20"/>
        <v>0.7575</v>
      </c>
      <c r="AT14" s="130" t="str">
        <f>IFERROR(AVERAGEIFS(
'20102013 Schist Efficacy'!$O:$O, 
'20102013 Schist Efficacy'!$C:$C,$A14, 
'20102013 Schist Efficacy'!$D:$D, "Praziquantel",
'20102013 Schist Efficacy'!$J:$J,"&lt;2014",
'20102013 Schist Efficacy'!$U:$U,""),
"")</f>
        <v/>
      </c>
      <c r="AU14" s="118">
        <f t="shared" si="21"/>
        <v>0.7914761905</v>
      </c>
      <c r="AV14" s="131" t="str">
        <f>IFERROR(AVERAGEIFS(
'20102013 STH Efficacy'!$AX:$AX, 
'20102013 STH Efficacy'!$AL:$AL, $A14, 
'20102013 STH Efficacy'!$AM:$AM, "Albendazole",
'20102013 STH Efficacy'!$AS:$AS,"&lt;2014",
'20102013 STH Efficacy'!$BP:$BP,""),
"")</f>
        <v/>
      </c>
      <c r="AW14" s="132">
        <f t="shared" si="22"/>
        <v>0.3945</v>
      </c>
      <c r="AX14" s="131" t="str">
        <f>IFERROR(AVERAGEIFS(
'20102013 STH Efficacy'!$AX:$AX, 
'20102013 STH Efficacy'!$AL:$AL, $A14, 
'20102013 STH Efficacy'!$AM:$AM, "Mebendazole",
'20102013 STH Efficacy'!$AS:$AS,"&lt;2014",
'20102013 STH Efficacy'!$BP:$BP,""),
"")</f>
        <v/>
      </c>
      <c r="AY14" s="132">
        <f t="shared" si="23"/>
        <v>0.6</v>
      </c>
      <c r="AZ14" s="131" t="str">
        <f>IFERROR(AVERAGEIFS(
'20102013 STH Efficacy'!$AX:$AX, 
'20102013 STH Efficacy'!$AL:$AL, $A14, 
'20102013 STH Efficacy'!$AM:$AM, "Albendazole &amp; Ivermectin",
'20102013 STH Efficacy'!$AS:$AS,"&lt;2014",
'20102013 STH Efficacy'!$BP:$BP,""),
"")</f>
        <v/>
      </c>
      <c r="BA14" s="303">
        <f t="shared" si="24"/>
        <v>0.796</v>
      </c>
      <c r="BB14" s="134" t="str">
        <f>IFERROR(AVERAGEIFS(
'20102013 STH Efficacy'!$N:$N, 
'20102013 STH Efficacy'!$B:$B, $A14, 
'20102013 STH Efficacy'!$C:$C, "Albendazole",
'20102013 STH Efficacy'!$I:$I,"&lt;2014",
'20102013 STH Efficacy'!$AH:$AH,""),
"")</f>
        <v/>
      </c>
      <c r="BC14" s="135">
        <f t="shared" si="25"/>
        <v>0.869</v>
      </c>
      <c r="BD14" s="134" t="str">
        <f>IFERROR(AVERAGEIFS(
'20102013 STH Efficacy'!$N:$N, 
'20102013 STH Efficacy'!$B:$B, $A14, 
'20102013 STH Efficacy'!$C:$C, "Mebendazole",
'20102013 STH Efficacy'!$I:$I,"&lt;2014",
'20102013 STH Efficacy'!$AH:$AH,""),
"")</f>
        <v/>
      </c>
      <c r="BE14" s="135">
        <f t="shared" si="26"/>
        <v>0.172</v>
      </c>
      <c r="BF14" s="128" t="str">
        <f>IFERROR(AVERAGEIFS(
'20102013 STH Efficacy'!$CD:$CD, 
'20102013 STH Efficacy'!$BS:$BS, $A14, 
'20102013 STH Efficacy'!$BT:$BT, "Albendazole",
'20102013 STH Efficacy'!$BZ:$BZ,"&lt;2014",
'20102013 STH Efficacy'!$CU:$CU,""),
"")</f>
        <v/>
      </c>
      <c r="BG14" s="136">
        <f t="shared" si="27"/>
        <v>0.9862</v>
      </c>
      <c r="BH14" s="128" t="str">
        <f>IFERROR(AVERAGEIFS(
'20102013 STH Efficacy'!$CD:$CD, 
'20102013 STH Efficacy'!$BS:$BS, $A14, 
'20102013 STH Efficacy'!$BT:$BT, "Mebendazole",
'20102013 STH Efficacy'!$BZ:$BZ,"&lt;2014",
'20102013 STH Efficacy'!$CU:$CU,""),
"")</f>
        <v/>
      </c>
      <c r="BI14" s="136">
        <f t="shared" si="28"/>
        <v>0.769</v>
      </c>
      <c r="BJ14" s="128" t="str">
        <f>IFERROR(AVERAGEIFS(
'20102013 STH Efficacy'!$CD:$CD, 
'20102013 STH Efficacy'!$BS:$BS, $A14, 
'20102013 STH Efficacy'!$BT:$BT, "Albendazole &amp; Ivermectin",
'20102013 STH Efficacy'!$BZ:$BZ,"&lt;2014",
'20102013 STH Efficacy'!$CU:$CU,""),
"")</f>
        <v/>
      </c>
      <c r="BK14" s="136">
        <f t="shared" si="29"/>
        <v>1</v>
      </c>
      <c r="BL14" s="300" t="str">
        <f>IFERROR(
  AVERAGEIFS(
    'NEW 20102013 Onchocerciasis Eff'!$AO:$AO,
    'NEW 20102013 Onchocerciasis Eff'!$C:$C,$A14,
    'NEW 20102013 Onchocerciasis Eff'!$D:$D,"Ivermectin",
    'NEW 20102013 Onchocerciasis Eff'!$AR:$AR,"&lt;2014",
    'NEW 20102013 Onchocerciasis Eff'!$BG:$BG,"")
,"")</f>
        <v/>
      </c>
      <c r="BM14" s="304">
        <f t="shared" si="30"/>
        <v>0.3734</v>
      </c>
      <c r="BN14" s="305">
        <v>0.0</v>
      </c>
      <c r="BO14" s="139">
        <v>0.0</v>
      </c>
      <c r="BP14" s="140">
        <v>0.0</v>
      </c>
      <c r="BQ14" s="141">
        <f t="shared" si="31"/>
        <v>0</v>
      </c>
      <c r="BR14" s="104" t="str">
        <f t="shared" si="32"/>
        <v>0000</v>
      </c>
      <c r="BS14" s="104" t="str">
        <f t="shared" si="33"/>
        <v>no action required</v>
      </c>
      <c r="BT14" s="142" t="str">
        <f t="shared" si="34"/>
        <v/>
      </c>
      <c r="BU14" s="104" t="str">
        <f t="shared" si="35"/>
        <v/>
      </c>
      <c r="BV14" s="104" t="str">
        <f t="shared" si="36"/>
        <v>none</v>
      </c>
      <c r="BW14" s="150" t="str">
        <f t="shared" si="37"/>
        <v/>
      </c>
      <c r="BX14" s="150" t="str">
        <f t="shared" si="38"/>
        <v/>
      </c>
      <c r="BY14" s="151" t="str">
        <f t="shared" si="39"/>
        <v/>
      </c>
      <c r="BZ14" s="152" t="str">
        <f t="shared" si="40"/>
        <v/>
      </c>
      <c r="CA14" s="152" t="str">
        <f t="shared" si="41"/>
        <v/>
      </c>
      <c r="CB14" s="152" t="str">
        <f t="shared" si="42"/>
        <v/>
      </c>
      <c r="CC14" s="153" t="str">
        <f t="shared" si="43"/>
        <v/>
      </c>
      <c r="CD14" s="153" t="str">
        <f t="shared" si="44"/>
        <v/>
      </c>
      <c r="CE14" s="154" t="str">
        <f t="shared" si="45"/>
        <v/>
      </c>
      <c r="CF14" s="154" t="str">
        <f t="shared" si="46"/>
        <v/>
      </c>
      <c r="CG14" s="154" t="str">
        <f t="shared" si="47"/>
        <v/>
      </c>
      <c r="CH14" s="308" t="str">
        <f t="shared" si="48"/>
        <v/>
      </c>
      <c r="CI14" s="299">
        <f t="shared" si="49"/>
        <v>0</v>
      </c>
    </row>
    <row r="15">
      <c r="A15" s="103" t="s">
        <v>103</v>
      </c>
      <c r="B15" s="104" t="s">
        <v>94</v>
      </c>
      <c r="C15" s="105">
        <v>2.3117353E7</v>
      </c>
      <c r="D15" s="293">
        <v>0.0</v>
      </c>
      <c r="E15" s="294">
        <v>0.0</v>
      </c>
      <c r="F15" s="307">
        <v>0.0</v>
      </c>
      <c r="G15" s="307">
        <v>0.0</v>
      </c>
      <c r="H15" s="108">
        <v>0.0</v>
      </c>
      <c r="I15" s="109">
        <v>0.0</v>
      </c>
      <c r="J15" s="109">
        <v>0.0</v>
      </c>
      <c r="K15" s="109">
        <v>0.0</v>
      </c>
      <c r="L15" s="112">
        <v>0.0</v>
      </c>
      <c r="M15" s="112">
        <v>0.0</v>
      </c>
      <c r="N15" s="111">
        <v>0.0</v>
      </c>
      <c r="O15" s="298">
        <v>0.0</v>
      </c>
      <c r="P15" s="114"/>
      <c r="Q15" s="114"/>
      <c r="R15" s="121" t="str">
        <f t="shared" si="11"/>
        <v/>
      </c>
      <c r="S15" s="116">
        <f t="shared" si="12"/>
        <v>0.403639098</v>
      </c>
      <c r="T15" s="130"/>
      <c r="U15" s="118">
        <f t="shared" si="13"/>
        <v>0.6259666667</v>
      </c>
      <c r="V15" s="148"/>
      <c r="W15" s="120">
        <f t="shared" si="14"/>
        <v>0.3807857143</v>
      </c>
      <c r="X15" s="148"/>
      <c r="Y15" s="120">
        <f t="shared" si="15"/>
        <v>0.3971375</v>
      </c>
      <c r="Z15" s="299"/>
      <c r="AA15" s="299"/>
      <c r="AB15" s="300" t="str">
        <f t="shared" si="16"/>
        <v/>
      </c>
      <c r="AC15" s="301">
        <f t="shared" si="17"/>
        <v>0.6295826791</v>
      </c>
      <c r="AD15" s="122">
        <v>0.0</v>
      </c>
      <c r="AE15" s="123">
        <v>0.0</v>
      </c>
      <c r="AF15" s="123">
        <v>0.0</v>
      </c>
      <c r="AG15" s="124">
        <v>0.0</v>
      </c>
      <c r="AH15" s="124">
        <v>0.0</v>
      </c>
      <c r="AI15" s="125">
        <v>0.0</v>
      </c>
      <c r="AJ15" s="125">
        <v>0.0</v>
      </c>
      <c r="AK15" s="127">
        <v>0.0</v>
      </c>
      <c r="AL15" s="127">
        <v>0.0</v>
      </c>
      <c r="AM15" s="302">
        <v>0.0</v>
      </c>
      <c r="AN15" s="149" t="str">
        <f>IFERROR(
  AVERAGEIFS(
    'New 20102013 LF Efficacy'!$J:$J,
    'New 20102013 LF Efficacy'!$D:$D, $A15,
    'New 20102013 LF Efficacy'!$F:$F,"DEC", 
    'New 20102013 LF Efficacy'!$W:$W,"&lt;2014",
    'New 20102013 LF Efficacy'!$AA:$AA,""),
  ""
)</f>
        <v/>
      </c>
      <c r="AO15" s="115">
        <f t="shared" si="18"/>
        <v>0.38</v>
      </c>
      <c r="AP15" s="121" t="str">
        <f>IFERROR(
AVERAGEIFS(
'New 20102013 LF Efficacy'!$J:$J,
'New 20102013 LF Efficacy'!$D:$D,$A15,
'New 20102013 LF Efficacy'!$F:$F,"Albendazole &amp; DEC",
'New 20102013 LF Efficacy'!$W:$W,"&lt;2014",
'New 20102013 LF Efficacy'!$AA:$AA,""),
"")
</f>
        <v/>
      </c>
      <c r="AQ15" s="115">
        <f t="shared" si="19"/>
        <v>0.657</v>
      </c>
      <c r="AR15" s="121" t="str">
        <f>IFERROR(
AVERAGEIFS(
'New 20102013 LF Efficacy'!$J:$J,
'New 20102013 LF Efficacy'!$D:$D,$A15,
'New 20102013 LF Efficacy'!$F:$F,"Albendazole &amp; Ivermectin", 
'New 20102013 LF Efficacy'!$W:$W,"&lt;2014",
'New 20102013 LF Efficacy'!$AA:$AA,""),"")</f>
        <v/>
      </c>
      <c r="AS15" s="115">
        <f t="shared" si="20"/>
        <v>0.37153125</v>
      </c>
      <c r="AT15" s="130" t="str">
        <f>IFERROR(AVERAGEIFS(
'20102013 Schist Efficacy'!$O:$O, 
'20102013 Schist Efficacy'!$C:$C,$A15, 
'20102013 Schist Efficacy'!$D:$D, "Praziquantel",
'20102013 Schist Efficacy'!$J:$J,"&lt;2014",
'20102013 Schist Efficacy'!$U:$U,""),
"")</f>
        <v/>
      </c>
      <c r="AU15" s="118">
        <f t="shared" si="21"/>
        <v>0.9475</v>
      </c>
      <c r="AV15" s="131" t="str">
        <f>IFERROR(AVERAGEIFS(
'20102013 STH Efficacy'!$AX:$AX, 
'20102013 STH Efficacy'!$AL:$AL, $A15, 
'20102013 STH Efficacy'!$AM:$AM, "Albendazole",
'20102013 STH Efficacy'!$AS:$AS,"&lt;2014",
'20102013 STH Efficacy'!$BP:$BP,""),
"")</f>
        <v/>
      </c>
      <c r="AW15" s="132">
        <f t="shared" si="22"/>
        <v>0.3571666667</v>
      </c>
      <c r="AX15" s="131" t="str">
        <f>IFERROR(AVERAGEIFS(
'20102013 STH Efficacy'!$AX:$AX, 
'20102013 STH Efficacy'!$AL:$AL, $A15, 
'20102013 STH Efficacy'!$AM:$AM, "Mebendazole",
'20102013 STH Efficacy'!$AS:$AS,"&lt;2014",
'20102013 STH Efficacy'!$BP:$BP,""),
"")</f>
        <v/>
      </c>
      <c r="AY15" s="132">
        <f t="shared" si="23"/>
        <v>0.4155</v>
      </c>
      <c r="AZ15" s="131" t="str">
        <f>IFERROR(AVERAGEIFS(
'20102013 STH Efficacy'!$AX:$AX, 
'20102013 STH Efficacy'!$AL:$AL, $A15, 
'20102013 STH Efficacy'!$AM:$AM, "Albendazole &amp; Ivermectin",
'20102013 STH Efficacy'!$AS:$AS,"&lt;2014",
'20102013 STH Efficacy'!$BP:$BP,""),
"")</f>
        <v/>
      </c>
      <c r="BA15" s="303">
        <f t="shared" si="24"/>
        <v>0.651</v>
      </c>
      <c r="BB15" s="134" t="str">
        <f>IFERROR(AVERAGEIFS(
'20102013 STH Efficacy'!$N:$N, 
'20102013 STH Efficacy'!$B:$B, $A15, 
'20102013 STH Efficacy'!$C:$C, "Albendazole",
'20102013 STH Efficacy'!$I:$I,"&lt;2014",
'20102013 STH Efficacy'!$AH:$AH,""),
"")</f>
        <v/>
      </c>
      <c r="BC15" s="135">
        <f t="shared" si="25"/>
        <v>0.5769166667</v>
      </c>
      <c r="BD15" s="134" t="str">
        <f>IFERROR(AVERAGEIFS(
'20102013 STH Efficacy'!$N:$N, 
'20102013 STH Efficacy'!$B:$B, $A15, 
'20102013 STH Efficacy'!$C:$C, "Mebendazole",
'20102013 STH Efficacy'!$I:$I,"&lt;2014",
'20102013 STH Efficacy'!$AH:$AH,""),
"")</f>
        <v/>
      </c>
      <c r="BE15" s="135">
        <f t="shared" si="26"/>
        <v>0.3145</v>
      </c>
      <c r="BF15" s="128" t="str">
        <f>IFERROR(AVERAGEIFS(
'20102013 STH Efficacy'!$CD:$CD, 
'20102013 STH Efficacy'!$BS:$BS, $A15, 
'20102013 STH Efficacy'!$BT:$BT, "Albendazole",
'20102013 STH Efficacy'!$BZ:$BZ,"&lt;2014",
'20102013 STH Efficacy'!$CU:$CU,""),
"")</f>
        <v/>
      </c>
      <c r="BG15" s="136">
        <f t="shared" si="27"/>
        <v>0.96925</v>
      </c>
      <c r="BH15" s="128" t="str">
        <f>IFERROR(AVERAGEIFS(
'20102013 STH Efficacy'!$CD:$CD, 
'20102013 STH Efficacy'!$BS:$BS, $A15, 
'20102013 STH Efficacy'!$BT:$BT, "Mebendazole",
'20102013 STH Efficacy'!$BZ:$BZ,"&lt;2014",
'20102013 STH Efficacy'!$CU:$CU,""),
"")</f>
        <v/>
      </c>
      <c r="BI15" s="136">
        <f t="shared" si="28"/>
        <v>0.9305</v>
      </c>
      <c r="BJ15" s="128" t="str">
        <f>IFERROR(AVERAGEIFS(
'20102013 STH Efficacy'!$CD:$CD, 
'20102013 STH Efficacy'!$BS:$BS, $A15, 
'20102013 STH Efficacy'!$BT:$BT, "Albendazole &amp; Ivermectin",
'20102013 STH Efficacy'!$BZ:$BZ,"&lt;2014",
'20102013 STH Efficacy'!$CU:$CU,""),
"")</f>
        <v/>
      </c>
      <c r="BK15" s="136">
        <f t="shared" si="29"/>
        <v>1</v>
      </c>
      <c r="BL15" s="300" t="str">
        <f>IFERROR(
  AVERAGEIFS(
    'NEW 20102013 Onchocerciasis Eff'!$AO:$AO,
    'NEW 20102013 Onchocerciasis Eff'!$C:$C,$A15,
    'NEW 20102013 Onchocerciasis Eff'!$D:$D,"Ivermectin",
    'NEW 20102013 Onchocerciasis Eff'!$AR:$AR,"&lt;2014",
    'NEW 20102013 Onchocerciasis Eff'!$BG:$BG,"")
,"")</f>
        <v/>
      </c>
      <c r="BM15" s="304">
        <f t="shared" si="30"/>
        <v>0.7808368939</v>
      </c>
      <c r="BN15" s="305">
        <v>0.0</v>
      </c>
      <c r="BO15" s="139">
        <v>0.0</v>
      </c>
      <c r="BP15" s="140">
        <v>0.0</v>
      </c>
      <c r="BQ15" s="141">
        <f t="shared" si="31"/>
        <v>0</v>
      </c>
      <c r="BR15" s="104" t="str">
        <f t="shared" si="32"/>
        <v>0000</v>
      </c>
      <c r="BS15" s="104" t="str">
        <f t="shared" si="33"/>
        <v>no action required</v>
      </c>
      <c r="BT15" s="142" t="str">
        <f t="shared" si="34"/>
        <v/>
      </c>
      <c r="BU15" s="104" t="str">
        <f t="shared" si="35"/>
        <v/>
      </c>
      <c r="BV15" s="104" t="str">
        <f t="shared" si="36"/>
        <v>none</v>
      </c>
      <c r="BW15" s="150" t="str">
        <f t="shared" si="37"/>
        <v/>
      </c>
      <c r="BX15" s="150" t="str">
        <f t="shared" si="38"/>
        <v/>
      </c>
      <c r="BY15" s="151" t="str">
        <f t="shared" si="39"/>
        <v/>
      </c>
      <c r="BZ15" s="152" t="str">
        <f t="shared" si="40"/>
        <v/>
      </c>
      <c r="CA15" s="152" t="str">
        <f t="shared" si="41"/>
        <v/>
      </c>
      <c r="CB15" s="152" t="str">
        <f t="shared" si="42"/>
        <v/>
      </c>
      <c r="CC15" s="153" t="str">
        <f t="shared" si="43"/>
        <v/>
      </c>
      <c r="CD15" s="153" t="str">
        <f t="shared" si="44"/>
        <v/>
      </c>
      <c r="CE15" s="154" t="str">
        <f t="shared" si="45"/>
        <v/>
      </c>
      <c r="CF15" s="154" t="str">
        <f t="shared" si="46"/>
        <v/>
      </c>
      <c r="CG15" s="154" t="str">
        <f t="shared" si="47"/>
        <v/>
      </c>
      <c r="CH15" s="308" t="str">
        <f t="shared" si="48"/>
        <v/>
      </c>
      <c r="CI15" s="299">
        <f t="shared" si="49"/>
        <v>0</v>
      </c>
    </row>
    <row r="16">
      <c r="A16" s="103" t="s">
        <v>104</v>
      </c>
      <c r="B16" s="104" t="s">
        <v>90</v>
      </c>
      <c r="C16" s="105">
        <v>8479375.0</v>
      </c>
      <c r="D16" s="293">
        <v>0.0</v>
      </c>
      <c r="E16" s="294">
        <v>0.0</v>
      </c>
      <c r="F16" s="307">
        <v>0.0</v>
      </c>
      <c r="G16" s="307">
        <v>0.0</v>
      </c>
      <c r="H16" s="108">
        <v>0.0</v>
      </c>
      <c r="I16" s="109">
        <v>0.0</v>
      </c>
      <c r="J16" s="109">
        <v>0.0</v>
      </c>
      <c r="K16" s="109">
        <v>0.0</v>
      </c>
      <c r="L16" s="112">
        <v>0.0</v>
      </c>
      <c r="M16" s="112">
        <v>0.0</v>
      </c>
      <c r="N16" s="111">
        <v>0.0</v>
      </c>
      <c r="O16" s="298">
        <v>0.0</v>
      </c>
      <c r="P16" s="114"/>
      <c r="Q16" s="114"/>
      <c r="R16" s="121" t="str">
        <f t="shared" si="11"/>
        <v/>
      </c>
      <c r="S16" s="116">
        <f t="shared" si="12"/>
        <v>0.526225767</v>
      </c>
      <c r="T16" s="130"/>
      <c r="U16" s="118">
        <f t="shared" si="13"/>
        <v>0.3468166667</v>
      </c>
      <c r="V16" s="148"/>
      <c r="W16" s="120">
        <f t="shared" si="14"/>
        <v>1</v>
      </c>
      <c r="X16" s="148"/>
      <c r="Y16" s="120">
        <f t="shared" si="15"/>
        <v>1</v>
      </c>
      <c r="Z16" s="299"/>
      <c r="AA16" s="299"/>
      <c r="AB16" s="300" t="str">
        <f t="shared" si="16"/>
        <v/>
      </c>
      <c r="AC16" s="301">
        <f t="shared" si="17"/>
        <v>0.6295826791</v>
      </c>
      <c r="AD16" s="122">
        <v>0.0</v>
      </c>
      <c r="AE16" s="123">
        <v>0.0</v>
      </c>
      <c r="AF16" s="123">
        <v>0.0</v>
      </c>
      <c r="AG16" s="124">
        <v>0.0</v>
      </c>
      <c r="AH16" s="124">
        <v>0.0</v>
      </c>
      <c r="AI16" s="125">
        <v>0.0</v>
      </c>
      <c r="AJ16" s="125">
        <v>0.0</v>
      </c>
      <c r="AK16" s="127">
        <v>0.0</v>
      </c>
      <c r="AL16" s="127">
        <v>0.0</v>
      </c>
      <c r="AM16" s="302">
        <v>0.0</v>
      </c>
      <c r="AN16" s="149" t="str">
        <f>IFERROR(
  AVERAGEIFS(
    'New 20102013 LF Efficacy'!$J:$J,
    'New 20102013 LF Efficacy'!$D:$D, $A16,
    'New 20102013 LF Efficacy'!$F:$F,"DEC", 
    'New 20102013 LF Efficacy'!$W:$W,"&lt;2014",
    'New 20102013 LF Efficacy'!$AA:$AA,""),
  ""
)</f>
        <v/>
      </c>
      <c r="AO16" s="115">
        <f t="shared" si="18"/>
        <v>0.3573520833</v>
      </c>
      <c r="AP16" s="121" t="str">
        <f>IFERROR(
AVERAGEIFS(
'New 20102013 LF Efficacy'!$J:$J,
'New 20102013 LF Efficacy'!$D:$D,$A16,
'New 20102013 LF Efficacy'!$F:$F,"Albendazole &amp; DEC",
'New 20102013 LF Efficacy'!$W:$W,"&lt;2014",
'New 20102013 LF Efficacy'!$AA:$AA,""),
"")
</f>
        <v/>
      </c>
      <c r="AQ16" s="115">
        <f t="shared" si="19"/>
        <v>0.5137291667</v>
      </c>
      <c r="AR16" s="121" t="str">
        <f>IFERROR(
AVERAGEIFS(
'New 20102013 LF Efficacy'!$J:$J,
'New 20102013 LF Efficacy'!$D:$D,$A16,
'New 20102013 LF Efficacy'!$F:$F,"Albendazole &amp; Ivermectin", 
'New 20102013 LF Efficacy'!$W:$W,"&lt;2014",
'New 20102013 LF Efficacy'!$AA:$AA,""),"")</f>
        <v/>
      </c>
      <c r="AS16" s="115">
        <f t="shared" si="20"/>
        <v>0.37153125</v>
      </c>
      <c r="AT16" s="130" t="str">
        <f>IFERROR(AVERAGEIFS(
'20102013 Schist Efficacy'!$O:$O, 
'20102013 Schist Efficacy'!$C:$C,$A16, 
'20102013 Schist Efficacy'!$D:$D, "Praziquantel",
'20102013 Schist Efficacy'!$J:$J,"&lt;2014",
'20102013 Schist Efficacy'!$U:$U,""),
"")</f>
        <v/>
      </c>
      <c r="AU16" s="118">
        <f t="shared" si="21"/>
        <v>0.655</v>
      </c>
      <c r="AV16" s="131" t="str">
        <f>IFERROR(AVERAGEIFS(
'20102013 STH Efficacy'!$AX:$AX, 
'20102013 STH Efficacy'!$AL:$AL, $A16, 
'20102013 STH Efficacy'!$AM:$AM, "Albendazole",
'20102013 STH Efficacy'!$AS:$AS,"&lt;2014",
'20102013 STH Efficacy'!$BP:$BP,""),
"")</f>
        <v/>
      </c>
      <c r="AW16" s="132">
        <f t="shared" si="22"/>
        <v>0.3933333333</v>
      </c>
      <c r="AX16" s="131" t="str">
        <f>IFERROR(AVERAGEIFS(
'20102013 STH Efficacy'!$AX:$AX, 
'20102013 STH Efficacy'!$AL:$AL, $A16, 
'20102013 STH Efficacy'!$AM:$AM, "Mebendazole",
'20102013 STH Efficacy'!$AS:$AS,"&lt;2014",
'20102013 STH Efficacy'!$BP:$BP,""),
"")</f>
        <v/>
      </c>
      <c r="AY16" s="132">
        <f t="shared" si="23"/>
        <v>0.5017738095</v>
      </c>
      <c r="AZ16" s="131" t="str">
        <f>IFERROR(AVERAGEIFS(
'20102013 STH Efficacy'!$AX:$AX, 
'20102013 STH Efficacy'!$AL:$AL, $A16, 
'20102013 STH Efficacy'!$AM:$AM, "Albendazole &amp; Ivermectin",
'20102013 STH Efficacy'!$AS:$AS,"&lt;2014",
'20102013 STH Efficacy'!$BP:$BP,""),
"")</f>
        <v/>
      </c>
      <c r="BA16" s="303">
        <f t="shared" si="24"/>
        <v>0.597625</v>
      </c>
      <c r="BB16" s="134" t="str">
        <f>IFERROR(AVERAGEIFS(
'20102013 STH Efficacy'!$N:$N, 
'20102013 STH Efficacy'!$B:$B, $A16, 
'20102013 STH Efficacy'!$C:$C, "Albendazole",
'20102013 STH Efficacy'!$I:$I,"&lt;2014",
'20102013 STH Efficacy'!$AH:$AH,""),
"")</f>
        <v/>
      </c>
      <c r="BC16" s="135">
        <f t="shared" si="25"/>
        <v>0.7613712121</v>
      </c>
      <c r="BD16" s="134" t="str">
        <f>IFERROR(AVERAGEIFS(
'20102013 STH Efficacy'!$N:$N, 
'20102013 STH Efficacy'!$B:$B, $A16, 
'20102013 STH Efficacy'!$C:$C, "Mebendazole",
'20102013 STH Efficacy'!$I:$I,"&lt;2014",
'20102013 STH Efficacy'!$AH:$AH,""),
"")</f>
        <v/>
      </c>
      <c r="BE16" s="135">
        <f t="shared" si="26"/>
        <v>0.4362466667</v>
      </c>
      <c r="BF16" s="128" t="str">
        <f>IFERROR(AVERAGEIFS(
'20102013 STH Efficacy'!$CD:$CD, 
'20102013 STH Efficacy'!$BS:$BS, $A16, 
'20102013 STH Efficacy'!$BT:$BT, "Albendazole",
'20102013 STH Efficacy'!$BZ:$BZ,"&lt;2014",
'20102013 STH Efficacy'!$CU:$CU,""),
"")</f>
        <v/>
      </c>
      <c r="BG16" s="136">
        <f t="shared" si="27"/>
        <v>0.9216027778</v>
      </c>
      <c r="BH16" s="128" t="str">
        <f>IFERROR(AVERAGEIFS(
'20102013 STH Efficacy'!$CD:$CD, 
'20102013 STH Efficacy'!$BS:$BS, $A16, 
'20102013 STH Efficacy'!$BT:$BT, "Mebendazole",
'20102013 STH Efficacy'!$BZ:$BZ,"&lt;2014",
'20102013 STH Efficacy'!$CU:$CU,""),
"")</f>
        <v/>
      </c>
      <c r="BI16" s="136">
        <f t="shared" si="28"/>
        <v>0.9295857143</v>
      </c>
      <c r="BJ16" s="128" t="str">
        <f>IFERROR(AVERAGEIFS(
'20102013 STH Efficacy'!$CD:$CD, 
'20102013 STH Efficacy'!$BS:$BS, $A16, 
'20102013 STH Efficacy'!$BT:$BT, "Albendazole &amp; Ivermectin",
'20102013 STH Efficacy'!$BZ:$BZ,"&lt;2014",
'20102013 STH Efficacy'!$CU:$CU,""),
"")</f>
        <v/>
      </c>
      <c r="BK16" s="136">
        <f t="shared" si="29"/>
        <v>1</v>
      </c>
      <c r="BL16" s="300" t="str">
        <f>IFERROR(
  AVERAGEIFS(
    'NEW 20102013 Onchocerciasis Eff'!$AO:$AO,
    'NEW 20102013 Onchocerciasis Eff'!$C:$C,$A16,
    'NEW 20102013 Onchocerciasis Eff'!$D:$D,"Ivermectin",
    'NEW 20102013 Onchocerciasis Eff'!$AR:$AR,"&lt;2014",
    'NEW 20102013 Onchocerciasis Eff'!$BG:$BG,"")
,"")</f>
        <v/>
      </c>
      <c r="BM16" s="304">
        <f t="shared" si="30"/>
        <v>0.7808368939</v>
      </c>
      <c r="BN16" s="305">
        <v>0.0</v>
      </c>
      <c r="BO16" s="139">
        <v>0.0</v>
      </c>
      <c r="BP16" s="140">
        <v>0.0</v>
      </c>
      <c r="BQ16" s="141">
        <f t="shared" si="31"/>
        <v>0</v>
      </c>
      <c r="BR16" s="104" t="str">
        <f t="shared" si="32"/>
        <v>0000</v>
      </c>
      <c r="BS16" s="104" t="str">
        <f t="shared" si="33"/>
        <v>no action required</v>
      </c>
      <c r="BT16" s="142" t="str">
        <f t="shared" si="34"/>
        <v/>
      </c>
      <c r="BU16" s="104" t="str">
        <f t="shared" si="35"/>
        <v/>
      </c>
      <c r="BV16" s="104" t="str">
        <f t="shared" si="36"/>
        <v>none</v>
      </c>
      <c r="BW16" s="150" t="str">
        <f t="shared" si="37"/>
        <v/>
      </c>
      <c r="BX16" s="150" t="str">
        <f t="shared" si="38"/>
        <v/>
      </c>
      <c r="BY16" s="151" t="str">
        <f t="shared" si="39"/>
        <v/>
      </c>
      <c r="BZ16" s="152" t="str">
        <f t="shared" si="40"/>
        <v/>
      </c>
      <c r="CA16" s="152" t="str">
        <f t="shared" si="41"/>
        <v/>
      </c>
      <c r="CB16" s="152" t="str">
        <f t="shared" si="42"/>
        <v/>
      </c>
      <c r="CC16" s="153" t="str">
        <f t="shared" si="43"/>
        <v/>
      </c>
      <c r="CD16" s="153" t="str">
        <f t="shared" si="44"/>
        <v/>
      </c>
      <c r="CE16" s="154" t="str">
        <f t="shared" si="45"/>
        <v/>
      </c>
      <c r="CF16" s="154" t="str">
        <f t="shared" si="46"/>
        <v/>
      </c>
      <c r="CG16" s="154" t="str">
        <f t="shared" si="47"/>
        <v/>
      </c>
      <c r="CH16" s="308" t="str">
        <f t="shared" si="48"/>
        <v/>
      </c>
      <c r="CI16" s="299">
        <f t="shared" si="49"/>
        <v>0</v>
      </c>
    </row>
    <row r="17">
      <c r="A17" s="103" t="s">
        <v>105</v>
      </c>
      <c r="B17" s="104" t="s">
        <v>90</v>
      </c>
      <c r="C17" s="105">
        <v>9416801.0</v>
      </c>
      <c r="D17" s="293">
        <v>0.0</v>
      </c>
      <c r="E17" s="294">
        <v>0.0</v>
      </c>
      <c r="F17" s="307">
        <v>0.0</v>
      </c>
      <c r="G17" s="307">
        <v>0.0</v>
      </c>
      <c r="H17" s="108">
        <v>0.0</v>
      </c>
      <c r="I17" s="109">
        <v>0.05234929</v>
      </c>
      <c r="J17" s="109">
        <v>0.04082994</v>
      </c>
      <c r="K17" s="109">
        <v>0.093179229</v>
      </c>
      <c r="L17" s="112">
        <v>13.78168837</v>
      </c>
      <c r="M17" s="112">
        <v>6.618209188</v>
      </c>
      <c r="N17" s="111">
        <v>20.39989756</v>
      </c>
      <c r="O17" s="298">
        <v>0.0</v>
      </c>
      <c r="P17" s="114"/>
      <c r="Q17" s="114"/>
      <c r="R17" s="121" t="str">
        <f t="shared" si="11"/>
        <v/>
      </c>
      <c r="S17" s="116">
        <f t="shared" si="12"/>
        <v>0.526225767</v>
      </c>
      <c r="T17" s="130"/>
      <c r="U17" s="118">
        <f t="shared" si="13"/>
        <v>0.3468166667</v>
      </c>
      <c r="V17" s="148"/>
      <c r="W17" s="120">
        <f t="shared" si="14"/>
        <v>1</v>
      </c>
      <c r="X17" s="119">
        <v>1.0</v>
      </c>
      <c r="Y17" s="120">
        <f t="shared" si="15"/>
        <v>1</v>
      </c>
      <c r="Z17" s="299"/>
      <c r="AA17" s="299"/>
      <c r="AB17" s="300" t="str">
        <f t="shared" si="16"/>
        <v/>
      </c>
      <c r="AC17" s="301">
        <f t="shared" si="17"/>
        <v>0.6295826791</v>
      </c>
      <c r="AD17" s="122">
        <v>0.0</v>
      </c>
      <c r="AE17" s="123">
        <v>0.0</v>
      </c>
      <c r="AF17" s="123">
        <v>0.0</v>
      </c>
      <c r="AG17" s="124">
        <v>4.0E-4</v>
      </c>
      <c r="AH17" s="124">
        <v>6.70918E-4</v>
      </c>
      <c r="AI17" s="125">
        <v>0.0</v>
      </c>
      <c r="AJ17" s="125">
        <v>1.18377E-5</v>
      </c>
      <c r="AK17" s="127">
        <v>0.0213</v>
      </c>
      <c r="AL17" s="127">
        <v>0.0333</v>
      </c>
      <c r="AM17" s="302">
        <v>0.0</v>
      </c>
      <c r="AN17" s="149" t="str">
        <f>IFERROR(
  AVERAGEIFS(
    'New 20102013 LF Efficacy'!$J:$J,
    'New 20102013 LF Efficacy'!$D:$D, $A17,
    'New 20102013 LF Efficacy'!$F:$F,"DEC", 
    'New 20102013 LF Efficacy'!$W:$W,"&lt;2014",
    'New 20102013 LF Efficacy'!$AA:$AA,""),
  ""
)</f>
        <v/>
      </c>
      <c r="AO17" s="115">
        <f t="shared" si="18"/>
        <v>0.3573520833</v>
      </c>
      <c r="AP17" s="121" t="str">
        <f>IFERROR(
AVERAGEIFS(
'New 20102013 LF Efficacy'!$J:$J,
'New 20102013 LF Efficacy'!$D:$D,$A17,
'New 20102013 LF Efficacy'!$F:$F,"Albendazole &amp; DEC",
'New 20102013 LF Efficacy'!$W:$W,"&lt;2014",
'New 20102013 LF Efficacy'!$AA:$AA,""),
"")
</f>
        <v/>
      </c>
      <c r="AQ17" s="115">
        <f t="shared" si="19"/>
        <v>0.5137291667</v>
      </c>
      <c r="AR17" s="121" t="str">
        <f>IFERROR(
AVERAGEIFS(
'New 20102013 LF Efficacy'!$J:$J,
'New 20102013 LF Efficacy'!$D:$D,$A17,
'New 20102013 LF Efficacy'!$F:$F,"Albendazole &amp; Ivermectin", 
'New 20102013 LF Efficacy'!$W:$W,"&lt;2014",
'New 20102013 LF Efficacy'!$AA:$AA,""),"")</f>
        <v/>
      </c>
      <c r="AS17" s="115">
        <f t="shared" si="20"/>
        <v>0.37153125</v>
      </c>
      <c r="AT17" s="130" t="str">
        <f>IFERROR(AVERAGEIFS(
'20102013 Schist Efficacy'!$O:$O, 
'20102013 Schist Efficacy'!$C:$C,$A17, 
'20102013 Schist Efficacy'!$D:$D, "Praziquantel",
'20102013 Schist Efficacy'!$J:$J,"&lt;2014",
'20102013 Schist Efficacy'!$U:$U,""),
"")</f>
        <v/>
      </c>
      <c r="AU17" s="118">
        <f t="shared" si="21"/>
        <v>0.655</v>
      </c>
      <c r="AV17" s="131" t="str">
        <f>IFERROR(AVERAGEIFS(
'20102013 STH Efficacy'!$AX:$AX, 
'20102013 STH Efficacy'!$AL:$AL, $A17, 
'20102013 STH Efficacy'!$AM:$AM, "Albendazole",
'20102013 STH Efficacy'!$AS:$AS,"&lt;2014",
'20102013 STH Efficacy'!$BP:$BP,""),
"")</f>
        <v/>
      </c>
      <c r="AW17" s="132">
        <f t="shared" si="22"/>
        <v>0.3933333333</v>
      </c>
      <c r="AX17" s="131" t="str">
        <f>IFERROR(AVERAGEIFS(
'20102013 STH Efficacy'!$AX:$AX, 
'20102013 STH Efficacy'!$AL:$AL, $A17, 
'20102013 STH Efficacy'!$AM:$AM, "Mebendazole",
'20102013 STH Efficacy'!$AS:$AS,"&lt;2014",
'20102013 STH Efficacy'!$BP:$BP,""),
"")</f>
        <v/>
      </c>
      <c r="AY17" s="132">
        <f t="shared" si="23"/>
        <v>0.5017738095</v>
      </c>
      <c r="AZ17" s="131" t="str">
        <f>IFERROR(AVERAGEIFS(
'20102013 STH Efficacy'!$AX:$AX, 
'20102013 STH Efficacy'!$AL:$AL, $A17, 
'20102013 STH Efficacy'!$AM:$AM, "Albendazole &amp; Ivermectin",
'20102013 STH Efficacy'!$AS:$AS,"&lt;2014",
'20102013 STH Efficacy'!$BP:$BP,""),
"")</f>
        <v/>
      </c>
      <c r="BA17" s="303">
        <f t="shared" si="24"/>
        <v>0.597625</v>
      </c>
      <c r="BB17" s="134" t="str">
        <f>IFERROR(AVERAGEIFS(
'20102013 STH Efficacy'!$N:$N, 
'20102013 STH Efficacy'!$B:$B, $A17, 
'20102013 STH Efficacy'!$C:$C, "Albendazole",
'20102013 STH Efficacy'!$I:$I,"&lt;2014",
'20102013 STH Efficacy'!$AH:$AH,""),
"")</f>
        <v/>
      </c>
      <c r="BC17" s="135">
        <f t="shared" si="25"/>
        <v>0.7613712121</v>
      </c>
      <c r="BD17" s="134" t="str">
        <f>IFERROR(AVERAGEIFS(
'20102013 STH Efficacy'!$N:$N, 
'20102013 STH Efficacy'!$B:$B, $A17, 
'20102013 STH Efficacy'!$C:$C, "Mebendazole",
'20102013 STH Efficacy'!$I:$I,"&lt;2014",
'20102013 STH Efficacy'!$AH:$AH,""),
"")</f>
        <v/>
      </c>
      <c r="BE17" s="135">
        <f t="shared" si="26"/>
        <v>0.4362466667</v>
      </c>
      <c r="BF17" s="128" t="str">
        <f>IFERROR(AVERAGEIFS(
'20102013 STH Efficacy'!$CD:$CD, 
'20102013 STH Efficacy'!$BS:$BS, $A17, 
'20102013 STH Efficacy'!$BT:$BT, "Albendazole",
'20102013 STH Efficacy'!$BZ:$BZ,"&lt;2014",
'20102013 STH Efficacy'!$CU:$CU,""),
"")</f>
        <v/>
      </c>
      <c r="BG17" s="136">
        <f t="shared" si="27"/>
        <v>0.9216027778</v>
      </c>
      <c r="BH17" s="128" t="str">
        <f>IFERROR(AVERAGEIFS(
'20102013 STH Efficacy'!$CD:$CD, 
'20102013 STH Efficacy'!$BS:$BS, $A17, 
'20102013 STH Efficacy'!$BT:$BT, "Mebendazole",
'20102013 STH Efficacy'!$BZ:$BZ,"&lt;2014",
'20102013 STH Efficacy'!$CU:$CU,""),
"")</f>
        <v/>
      </c>
      <c r="BI17" s="136">
        <f t="shared" si="28"/>
        <v>0.9295857143</v>
      </c>
      <c r="BJ17" s="128" t="str">
        <f>IFERROR(AVERAGEIFS(
'20102013 STH Efficacy'!$CD:$CD, 
'20102013 STH Efficacy'!$BS:$BS, $A17, 
'20102013 STH Efficacy'!$BT:$BT, "Albendazole &amp; Ivermectin",
'20102013 STH Efficacy'!$BZ:$BZ,"&lt;2014",
'20102013 STH Efficacy'!$CU:$CU,""),
"")</f>
        <v/>
      </c>
      <c r="BK17" s="136">
        <f t="shared" si="29"/>
        <v>1</v>
      </c>
      <c r="BL17" s="300" t="str">
        <f>IFERROR(
  AVERAGEIFS(
    'NEW 20102013 Onchocerciasis Eff'!$AO:$AO,
    'NEW 20102013 Onchocerciasis Eff'!$C:$C,$A17,
    'NEW 20102013 Onchocerciasis Eff'!$D:$D,"Ivermectin",
    'NEW 20102013 Onchocerciasis Eff'!$AR:$AR,"&lt;2014",
    'NEW 20102013 Onchocerciasis Eff'!$BG:$BG,"")
,"")</f>
        <v/>
      </c>
      <c r="BM17" s="304">
        <f t="shared" si="30"/>
        <v>0.7808368939</v>
      </c>
      <c r="BN17" s="305">
        <v>0.0</v>
      </c>
      <c r="BO17" s="139">
        <v>0.0</v>
      </c>
      <c r="BP17" s="140">
        <v>0.0</v>
      </c>
      <c r="BQ17" s="141">
        <f t="shared" si="31"/>
        <v>0</v>
      </c>
      <c r="BR17" s="104" t="str">
        <f t="shared" si="32"/>
        <v>0000</v>
      </c>
      <c r="BS17" s="104" t="str">
        <f t="shared" si="33"/>
        <v>no action required</v>
      </c>
      <c r="BT17" s="142" t="str">
        <f t="shared" si="34"/>
        <v/>
      </c>
      <c r="BU17" s="104" t="str">
        <f t="shared" si="35"/>
        <v/>
      </c>
      <c r="BV17" s="104" t="str">
        <f t="shared" si="36"/>
        <v>none</v>
      </c>
      <c r="BW17" s="150" t="str">
        <f t="shared" si="37"/>
        <v/>
      </c>
      <c r="BX17" s="150" t="str">
        <f t="shared" si="38"/>
        <v/>
      </c>
      <c r="BY17" s="151" t="str">
        <f t="shared" si="39"/>
        <v/>
      </c>
      <c r="BZ17" s="152" t="str">
        <f t="shared" si="40"/>
        <v/>
      </c>
      <c r="CA17" s="152" t="str">
        <f t="shared" si="41"/>
        <v/>
      </c>
      <c r="CB17" s="152" t="str">
        <f t="shared" si="42"/>
        <v/>
      </c>
      <c r="CC17" s="153" t="str">
        <f t="shared" si="43"/>
        <v/>
      </c>
      <c r="CD17" s="153" t="str">
        <f t="shared" si="44"/>
        <v/>
      </c>
      <c r="CE17" s="154" t="str">
        <f t="shared" si="45"/>
        <v/>
      </c>
      <c r="CF17" s="154" t="str">
        <f t="shared" si="46"/>
        <v/>
      </c>
      <c r="CG17" s="154" t="str">
        <f t="shared" si="47"/>
        <v/>
      </c>
      <c r="CH17" s="308" t="str">
        <f t="shared" si="48"/>
        <v/>
      </c>
      <c r="CI17" s="299">
        <f t="shared" si="49"/>
        <v>0</v>
      </c>
    </row>
    <row r="18">
      <c r="A18" s="103" t="s">
        <v>106</v>
      </c>
      <c r="B18" s="104" t="s">
        <v>98</v>
      </c>
      <c r="C18" s="105">
        <v>377240.0</v>
      </c>
      <c r="D18" s="293">
        <v>0.0</v>
      </c>
      <c r="E18" s="294">
        <v>0.0</v>
      </c>
      <c r="F18" s="307">
        <v>0.0</v>
      </c>
      <c r="G18" s="307">
        <v>0.0</v>
      </c>
      <c r="H18" s="108">
        <v>0.0</v>
      </c>
      <c r="I18" s="109">
        <v>0.0</v>
      </c>
      <c r="J18" s="109">
        <v>0.0</v>
      </c>
      <c r="K18" s="109">
        <v>0.003578709</v>
      </c>
      <c r="L18" s="112">
        <v>0.106561842</v>
      </c>
      <c r="M18" s="112">
        <v>0.027008383</v>
      </c>
      <c r="N18" s="111">
        <v>0.133570225</v>
      </c>
      <c r="O18" s="298">
        <v>0.0</v>
      </c>
      <c r="P18" s="114"/>
      <c r="Q18" s="114"/>
      <c r="R18" s="121" t="str">
        <f t="shared" si="11"/>
        <v/>
      </c>
      <c r="S18" s="116">
        <f t="shared" si="12"/>
        <v>0.2288425133</v>
      </c>
      <c r="T18" s="130"/>
      <c r="U18" s="118">
        <f t="shared" si="13"/>
        <v>0.39435</v>
      </c>
      <c r="V18" s="148"/>
      <c r="W18" s="120">
        <f t="shared" si="14"/>
        <v>0.542475</v>
      </c>
      <c r="X18" s="148"/>
      <c r="Y18" s="120">
        <f t="shared" si="15"/>
        <v>0.6507333333</v>
      </c>
      <c r="Z18" s="299"/>
      <c r="AA18" s="299"/>
      <c r="AB18" s="300" t="str">
        <f t="shared" si="16"/>
        <v/>
      </c>
      <c r="AC18" s="301">
        <f t="shared" si="17"/>
        <v>0.3490201688</v>
      </c>
      <c r="AD18" s="122">
        <v>0.0</v>
      </c>
      <c r="AE18" s="123">
        <v>0.0</v>
      </c>
      <c r="AF18" s="123">
        <v>0.0</v>
      </c>
      <c r="AG18" s="316">
        <v>0.0</v>
      </c>
      <c r="AH18" s="124">
        <v>1.13615E-5</v>
      </c>
      <c r="AI18" s="317">
        <v>0.0</v>
      </c>
      <c r="AJ18" s="317">
        <v>1.11981E-5</v>
      </c>
      <c r="AK18" s="319">
        <v>0.0</v>
      </c>
      <c r="AL18" s="319">
        <v>0.0</v>
      </c>
      <c r="AM18" s="302">
        <v>0.0</v>
      </c>
      <c r="AN18" s="149" t="str">
        <f>IFERROR(
  AVERAGEIFS(
    'New 20102013 LF Efficacy'!$J:$J,
    'New 20102013 LF Efficacy'!$D:$D, $A18,
    'New 20102013 LF Efficacy'!$F:$F,"DEC", 
    'New 20102013 LF Efficacy'!$W:$W,"&lt;2014",
    'New 20102013 LF Efficacy'!$AA:$AA,""),
  ""
)</f>
        <v/>
      </c>
      <c r="AO18" s="115">
        <f t="shared" si="18"/>
        <v>0.2589833333</v>
      </c>
      <c r="AP18" s="121" t="str">
        <f>IFERROR(
AVERAGEIFS(
'New 20102013 LF Efficacy'!$J:$J,
'New 20102013 LF Efficacy'!$D:$D,$A18,
'New 20102013 LF Efficacy'!$F:$F,"Albendazole &amp; DEC",
'New 20102013 LF Efficacy'!$W:$W,"&lt;2014",
'New 20102013 LF Efficacy'!$AA:$AA,""),
"")
</f>
        <v/>
      </c>
      <c r="AQ18" s="115">
        <f t="shared" si="19"/>
        <v>0.3465</v>
      </c>
      <c r="AR18" s="121" t="str">
        <f>IFERROR(
AVERAGEIFS(
'New 20102013 LF Efficacy'!$J:$J,
'New 20102013 LF Efficacy'!$D:$D,$A18,
'New 20102013 LF Efficacy'!$F:$F,"Albendazole &amp; Ivermectin", 
'New 20102013 LF Efficacy'!$W:$W,"&lt;2014",
'New 20102013 LF Efficacy'!$AA:$AA,""),"")</f>
        <v/>
      </c>
      <c r="AS18" s="115">
        <f t="shared" si="20"/>
        <v>0.7575</v>
      </c>
      <c r="AT18" s="130" t="str">
        <f>IFERROR(AVERAGEIFS(
'20102013 Schist Efficacy'!$O:$O, 
'20102013 Schist Efficacy'!$C:$C,$A18, 
'20102013 Schist Efficacy'!$D:$D, "Praziquantel",
'20102013 Schist Efficacy'!$J:$J,"&lt;2014",
'20102013 Schist Efficacy'!$U:$U,""),
"")</f>
        <v/>
      </c>
      <c r="AU18" s="118">
        <f t="shared" si="21"/>
        <v>0.7914761905</v>
      </c>
      <c r="AV18" s="131" t="str">
        <f>IFERROR(AVERAGEIFS(
'20102013 STH Efficacy'!$AX:$AX, 
'20102013 STH Efficacy'!$AL:$AL, $A18, 
'20102013 STH Efficacy'!$AM:$AM, "Albendazole",
'20102013 STH Efficacy'!$AS:$AS,"&lt;2014",
'20102013 STH Efficacy'!$BP:$BP,""),
"")</f>
        <v/>
      </c>
      <c r="AW18" s="132">
        <f t="shared" si="22"/>
        <v>0.3945</v>
      </c>
      <c r="AX18" s="131" t="str">
        <f>IFERROR(AVERAGEIFS(
'20102013 STH Efficacy'!$AX:$AX, 
'20102013 STH Efficacy'!$AL:$AL, $A18, 
'20102013 STH Efficacy'!$AM:$AM, "Mebendazole",
'20102013 STH Efficacy'!$AS:$AS,"&lt;2014",
'20102013 STH Efficacy'!$BP:$BP,""),
"")</f>
        <v/>
      </c>
      <c r="AY18" s="132">
        <f t="shared" si="23"/>
        <v>0.6</v>
      </c>
      <c r="AZ18" s="131" t="str">
        <f>IFERROR(AVERAGEIFS(
'20102013 STH Efficacy'!$AX:$AX, 
'20102013 STH Efficacy'!$AL:$AL, $A18, 
'20102013 STH Efficacy'!$AM:$AM, "Albendazole &amp; Ivermectin",
'20102013 STH Efficacy'!$AS:$AS,"&lt;2014",
'20102013 STH Efficacy'!$BP:$BP,""),
"")</f>
        <v/>
      </c>
      <c r="BA18" s="303">
        <f t="shared" si="24"/>
        <v>0.796</v>
      </c>
      <c r="BB18" s="134" t="str">
        <f>IFERROR(AVERAGEIFS(
'20102013 STH Efficacy'!$N:$N, 
'20102013 STH Efficacy'!$B:$B, $A18, 
'20102013 STH Efficacy'!$C:$C, "Albendazole",
'20102013 STH Efficacy'!$I:$I,"&lt;2014",
'20102013 STH Efficacy'!$AH:$AH,""),
"")</f>
        <v/>
      </c>
      <c r="BC18" s="135">
        <f t="shared" si="25"/>
        <v>0.869</v>
      </c>
      <c r="BD18" s="134" t="str">
        <f>IFERROR(AVERAGEIFS(
'20102013 STH Efficacy'!$N:$N, 
'20102013 STH Efficacy'!$B:$B, $A18, 
'20102013 STH Efficacy'!$C:$C, "Mebendazole",
'20102013 STH Efficacy'!$I:$I,"&lt;2014",
'20102013 STH Efficacy'!$AH:$AH,""),
"")</f>
        <v/>
      </c>
      <c r="BE18" s="135">
        <f t="shared" si="26"/>
        <v>0.172</v>
      </c>
      <c r="BF18" s="128" t="str">
        <f>IFERROR(AVERAGEIFS(
'20102013 STH Efficacy'!$CD:$CD, 
'20102013 STH Efficacy'!$BS:$BS, $A18, 
'20102013 STH Efficacy'!$BT:$BT, "Albendazole",
'20102013 STH Efficacy'!$BZ:$BZ,"&lt;2014",
'20102013 STH Efficacy'!$CU:$CU,""),
"")</f>
        <v/>
      </c>
      <c r="BG18" s="136">
        <f t="shared" si="27"/>
        <v>0.9862</v>
      </c>
      <c r="BH18" s="128" t="str">
        <f>IFERROR(AVERAGEIFS(
'20102013 STH Efficacy'!$CD:$CD, 
'20102013 STH Efficacy'!$BS:$BS, $A18, 
'20102013 STH Efficacy'!$BT:$BT, "Mebendazole",
'20102013 STH Efficacy'!$BZ:$BZ,"&lt;2014",
'20102013 STH Efficacy'!$CU:$CU,""),
"")</f>
        <v/>
      </c>
      <c r="BI18" s="136">
        <f t="shared" si="28"/>
        <v>0.769</v>
      </c>
      <c r="BJ18" s="128" t="str">
        <f>IFERROR(AVERAGEIFS(
'20102013 STH Efficacy'!$CD:$CD, 
'20102013 STH Efficacy'!$BS:$BS, $A18, 
'20102013 STH Efficacy'!$BT:$BT, "Albendazole &amp; Ivermectin",
'20102013 STH Efficacy'!$BZ:$BZ,"&lt;2014",
'20102013 STH Efficacy'!$CU:$CU,""),
"")</f>
        <v/>
      </c>
      <c r="BK18" s="136">
        <f t="shared" si="29"/>
        <v>1</v>
      </c>
      <c r="BL18" s="300" t="str">
        <f>IFERROR(
  AVERAGEIFS(
    'NEW 20102013 Onchocerciasis Eff'!$AO:$AO,
    'NEW 20102013 Onchocerciasis Eff'!$C:$C,$A18,
    'NEW 20102013 Onchocerciasis Eff'!$D:$D,"Ivermectin",
    'NEW 20102013 Onchocerciasis Eff'!$AR:$AR,"&lt;2014",
    'NEW 20102013 Onchocerciasis Eff'!$BG:$BG,"")
,"")</f>
        <v/>
      </c>
      <c r="BM18" s="304">
        <f t="shared" si="30"/>
        <v>0.3734</v>
      </c>
      <c r="BN18" s="305">
        <v>0.0</v>
      </c>
      <c r="BO18" s="139">
        <v>0.0</v>
      </c>
      <c r="BP18" s="140">
        <v>0.0</v>
      </c>
      <c r="BQ18" s="141">
        <f t="shared" si="31"/>
        <v>0</v>
      </c>
      <c r="BR18" s="104" t="str">
        <f t="shared" si="32"/>
        <v>0000</v>
      </c>
      <c r="BS18" s="104" t="str">
        <f t="shared" si="33"/>
        <v>no action required</v>
      </c>
      <c r="BT18" s="142" t="str">
        <f t="shared" si="34"/>
        <v/>
      </c>
      <c r="BU18" s="104" t="str">
        <f t="shared" si="35"/>
        <v/>
      </c>
      <c r="BV18" s="104" t="str">
        <f t="shared" si="36"/>
        <v>none</v>
      </c>
      <c r="BW18" s="150" t="str">
        <f t="shared" si="37"/>
        <v/>
      </c>
      <c r="BX18" s="150" t="str">
        <f t="shared" si="38"/>
        <v/>
      </c>
      <c r="BY18" s="151" t="str">
        <f t="shared" si="39"/>
        <v/>
      </c>
      <c r="BZ18" s="152" t="str">
        <f t="shared" si="40"/>
        <v/>
      </c>
      <c r="CA18" s="152" t="str">
        <f t="shared" si="41"/>
        <v/>
      </c>
      <c r="CB18" s="152" t="str">
        <f t="shared" si="42"/>
        <v/>
      </c>
      <c r="CC18" s="153" t="str">
        <f t="shared" si="43"/>
        <v/>
      </c>
      <c r="CD18" s="153" t="str">
        <f t="shared" si="44"/>
        <v/>
      </c>
      <c r="CE18" s="154" t="str">
        <f t="shared" si="45"/>
        <v/>
      </c>
      <c r="CF18" s="154" t="str">
        <f t="shared" si="46"/>
        <v/>
      </c>
      <c r="CG18" s="154" t="str">
        <f t="shared" si="47"/>
        <v/>
      </c>
      <c r="CH18" s="308" t="str">
        <f t="shared" si="48"/>
        <v/>
      </c>
      <c r="CI18" s="299">
        <f t="shared" si="49"/>
        <v>0</v>
      </c>
    </row>
    <row r="19">
      <c r="A19" s="103" t="s">
        <v>107</v>
      </c>
      <c r="B19" s="104" t="s">
        <v>88</v>
      </c>
      <c r="C19" s="105">
        <v>1315411.0</v>
      </c>
      <c r="D19" s="293">
        <v>0.0</v>
      </c>
      <c r="E19" s="294">
        <v>0.0</v>
      </c>
      <c r="F19" s="307">
        <v>0.0</v>
      </c>
      <c r="G19" s="307">
        <v>0.0</v>
      </c>
      <c r="H19" s="108">
        <v>0.0</v>
      </c>
      <c r="I19" s="109">
        <v>0.00462673</v>
      </c>
      <c r="J19" s="109">
        <v>0.00507583</v>
      </c>
      <c r="K19" s="109">
        <v>0.009702557</v>
      </c>
      <c r="L19" s="112">
        <v>0.0</v>
      </c>
      <c r="M19" s="112">
        <v>0.0</v>
      </c>
      <c r="N19" s="111">
        <v>0.0</v>
      </c>
      <c r="O19" s="298">
        <v>0.0</v>
      </c>
      <c r="P19" s="114"/>
      <c r="Q19" s="114"/>
      <c r="R19" s="121" t="str">
        <f t="shared" si="11"/>
        <v/>
      </c>
      <c r="S19" s="116">
        <f t="shared" si="12"/>
        <v>0.4713987966</v>
      </c>
      <c r="T19" s="130"/>
      <c r="U19" s="118">
        <f t="shared" si="13"/>
        <v>0.5949</v>
      </c>
      <c r="V19" s="148"/>
      <c r="W19" s="120">
        <f t="shared" si="14"/>
        <v>0.9216</v>
      </c>
      <c r="X19" s="148"/>
      <c r="Y19" s="120">
        <f t="shared" si="15"/>
        <v>0.521</v>
      </c>
      <c r="Z19" s="299"/>
      <c r="AA19" s="299"/>
      <c r="AB19" s="300" t="str">
        <f t="shared" si="16"/>
        <v/>
      </c>
      <c r="AC19" s="301">
        <f t="shared" si="17"/>
        <v>0.3122297241</v>
      </c>
      <c r="AD19" s="122">
        <v>0.0</v>
      </c>
      <c r="AE19" s="123">
        <v>0.0</v>
      </c>
      <c r="AF19" s="123">
        <v>0.0</v>
      </c>
      <c r="AG19" s="124">
        <v>0.0</v>
      </c>
      <c r="AH19" s="124">
        <v>1.10653E-5</v>
      </c>
      <c r="AI19" s="125">
        <v>0.0</v>
      </c>
      <c r="AJ19" s="125">
        <v>1.08241E-5</v>
      </c>
      <c r="AK19" s="127">
        <v>0.0</v>
      </c>
      <c r="AL19" s="127">
        <v>0.0</v>
      </c>
      <c r="AM19" s="302">
        <v>0.0</v>
      </c>
      <c r="AN19" s="149" t="str">
        <f>IFERROR(
  AVERAGEIFS(
    'New 20102013 LF Efficacy'!$J:$J,
    'New 20102013 LF Efficacy'!$D:$D, $A19,
    'New 20102013 LF Efficacy'!$F:$F,"DEC", 
    'New 20102013 LF Efficacy'!$W:$W,"&lt;2014",
    'New 20102013 LF Efficacy'!$AA:$AA,""),
  ""
)</f>
        <v/>
      </c>
      <c r="AO19" s="115">
        <f t="shared" si="18"/>
        <v>0.3573520833</v>
      </c>
      <c r="AP19" s="121" t="str">
        <f>IFERROR(
AVERAGEIFS(
'New 20102013 LF Efficacy'!$J:$J,
'New 20102013 LF Efficacy'!$D:$D,$A19,
'New 20102013 LF Efficacy'!$F:$F,"Albendazole &amp; DEC",
'New 20102013 LF Efficacy'!$W:$W,"&lt;2014",
'New 20102013 LF Efficacy'!$AA:$AA,""),
"")
</f>
        <v/>
      </c>
      <c r="AQ19" s="115">
        <f t="shared" si="19"/>
        <v>0.7935</v>
      </c>
      <c r="AR19" s="121" t="str">
        <f>IFERROR(
AVERAGEIFS(
'New 20102013 LF Efficacy'!$J:$J,
'New 20102013 LF Efficacy'!$D:$D,$A19,
'New 20102013 LF Efficacy'!$F:$F,"Albendazole &amp; Ivermectin", 
'New 20102013 LF Efficacy'!$W:$W,"&lt;2014",
'New 20102013 LF Efficacy'!$AA:$AA,""),"")</f>
        <v/>
      </c>
      <c r="AS19" s="115">
        <f t="shared" si="20"/>
        <v>0.37153125</v>
      </c>
      <c r="AT19" s="130" t="str">
        <f>IFERROR(AVERAGEIFS(
'20102013 Schist Efficacy'!$O:$O, 
'20102013 Schist Efficacy'!$C:$C,$A19, 
'20102013 Schist Efficacy'!$D:$D, "Praziquantel",
'20102013 Schist Efficacy'!$J:$J,"&lt;2014",
'20102013 Schist Efficacy'!$U:$U,""),
"")</f>
        <v/>
      </c>
      <c r="AU19" s="118">
        <f t="shared" si="21"/>
        <v>0.7763141026</v>
      </c>
      <c r="AV19" s="131" t="str">
        <f>IFERROR(AVERAGEIFS(
'20102013 STH Efficacy'!$AX:$AX, 
'20102013 STH Efficacy'!$AL:$AL, $A19, 
'20102013 STH Efficacy'!$AM:$AM, "Albendazole",
'20102013 STH Efficacy'!$AS:$AS,"&lt;2014",
'20102013 STH Efficacy'!$BP:$BP,""),
"")</f>
        <v/>
      </c>
      <c r="AW19" s="132">
        <f t="shared" si="22"/>
        <v>0.3933333333</v>
      </c>
      <c r="AX19" s="131" t="str">
        <f>IFERROR(AVERAGEIFS(
'20102013 STH Efficacy'!$AX:$AX, 
'20102013 STH Efficacy'!$AL:$AL, $A19, 
'20102013 STH Efficacy'!$AM:$AM, "Mebendazole",
'20102013 STH Efficacy'!$AS:$AS,"&lt;2014",
'20102013 STH Efficacy'!$BP:$BP,""),
"")</f>
        <v/>
      </c>
      <c r="AY19" s="132">
        <f t="shared" si="23"/>
        <v>0.5017738095</v>
      </c>
      <c r="AZ19" s="131" t="str">
        <f>IFERROR(AVERAGEIFS(
'20102013 STH Efficacy'!$AX:$AX, 
'20102013 STH Efficacy'!$AL:$AL, $A19, 
'20102013 STH Efficacy'!$AM:$AM, "Albendazole &amp; Ivermectin",
'20102013 STH Efficacy'!$AS:$AS,"&lt;2014",
'20102013 STH Efficacy'!$BP:$BP,""),
"")</f>
        <v/>
      </c>
      <c r="BA19" s="303">
        <f t="shared" si="24"/>
        <v>0.597625</v>
      </c>
      <c r="BB19" s="134" t="str">
        <f>IFERROR(AVERAGEIFS(
'20102013 STH Efficacy'!$N:$N, 
'20102013 STH Efficacy'!$B:$B, $A19, 
'20102013 STH Efficacy'!$C:$C, "Albendazole",
'20102013 STH Efficacy'!$I:$I,"&lt;2014",
'20102013 STH Efficacy'!$AH:$AH,""),
"")</f>
        <v/>
      </c>
      <c r="BC19" s="135">
        <f t="shared" si="25"/>
        <v>0.7613712121</v>
      </c>
      <c r="BD19" s="134" t="str">
        <f>IFERROR(AVERAGEIFS(
'20102013 STH Efficacy'!$N:$N, 
'20102013 STH Efficacy'!$B:$B, $A19, 
'20102013 STH Efficacy'!$C:$C, "Mebendazole",
'20102013 STH Efficacy'!$I:$I,"&lt;2014",
'20102013 STH Efficacy'!$AH:$AH,""),
"")</f>
        <v/>
      </c>
      <c r="BE19" s="135">
        <f t="shared" si="26"/>
        <v>0.4362466667</v>
      </c>
      <c r="BF19" s="128" t="str">
        <f>IFERROR(AVERAGEIFS(
'20102013 STH Efficacy'!$CD:$CD, 
'20102013 STH Efficacy'!$BS:$BS, $A19, 
'20102013 STH Efficacy'!$BT:$BT, "Albendazole",
'20102013 STH Efficacy'!$BZ:$BZ,"&lt;2014",
'20102013 STH Efficacy'!$CU:$CU,""),
"")</f>
        <v/>
      </c>
      <c r="BG19" s="136">
        <f t="shared" si="27"/>
        <v>0.955</v>
      </c>
      <c r="BH19" s="128" t="str">
        <f>IFERROR(AVERAGEIFS(
'20102013 STH Efficacy'!$CD:$CD, 
'20102013 STH Efficacy'!$BS:$BS, $A19, 
'20102013 STH Efficacy'!$BT:$BT, "Mebendazole",
'20102013 STH Efficacy'!$BZ:$BZ,"&lt;2014",
'20102013 STH Efficacy'!$CU:$CU,""),
"")</f>
        <v/>
      </c>
      <c r="BI19" s="136">
        <f t="shared" si="28"/>
        <v>1</v>
      </c>
      <c r="BJ19" s="128" t="str">
        <f>IFERROR(AVERAGEIFS(
'20102013 STH Efficacy'!$CD:$CD, 
'20102013 STH Efficacy'!$BS:$BS, $A19, 
'20102013 STH Efficacy'!$BT:$BT, "Albendazole &amp; Ivermectin",
'20102013 STH Efficacy'!$BZ:$BZ,"&lt;2014",
'20102013 STH Efficacy'!$CU:$CU,""),
"")</f>
        <v/>
      </c>
      <c r="BK19" s="136">
        <f t="shared" si="29"/>
        <v>1</v>
      </c>
      <c r="BL19" s="300" t="str">
        <f>IFERROR(
  AVERAGEIFS(
    'NEW 20102013 Onchocerciasis Eff'!$AO:$AO,
    'NEW 20102013 Onchocerciasis Eff'!$C:$C,$A19,
    'NEW 20102013 Onchocerciasis Eff'!$D:$D,"Ivermectin",
    'NEW 20102013 Onchocerciasis Eff'!$AR:$AR,"&lt;2014",
    'NEW 20102013 Onchocerciasis Eff'!$BG:$BG,"")
,"")</f>
        <v/>
      </c>
      <c r="BM19" s="304">
        <f t="shared" si="30"/>
        <v>0.7808368939</v>
      </c>
      <c r="BN19" s="305">
        <v>0.0</v>
      </c>
      <c r="BO19" s="139">
        <v>0.0</v>
      </c>
      <c r="BP19" s="140">
        <v>0.0</v>
      </c>
      <c r="BQ19" s="141">
        <f t="shared" si="31"/>
        <v>0</v>
      </c>
      <c r="BR19" s="104" t="str">
        <f t="shared" si="32"/>
        <v>0000</v>
      </c>
      <c r="BS19" s="104" t="str">
        <f t="shared" si="33"/>
        <v>no action required</v>
      </c>
      <c r="BT19" s="142" t="str">
        <f t="shared" si="34"/>
        <v/>
      </c>
      <c r="BU19" s="104" t="str">
        <f t="shared" si="35"/>
        <v/>
      </c>
      <c r="BV19" s="104" t="str">
        <f t="shared" si="36"/>
        <v>none</v>
      </c>
      <c r="BW19" s="150" t="str">
        <f t="shared" si="37"/>
        <v/>
      </c>
      <c r="BX19" s="150" t="str">
        <f t="shared" si="38"/>
        <v/>
      </c>
      <c r="BY19" s="151" t="str">
        <f t="shared" si="39"/>
        <v/>
      </c>
      <c r="BZ19" s="152" t="str">
        <f t="shared" si="40"/>
        <v/>
      </c>
      <c r="CA19" s="152" t="str">
        <f t="shared" si="41"/>
        <v/>
      </c>
      <c r="CB19" s="152" t="str">
        <f t="shared" si="42"/>
        <v/>
      </c>
      <c r="CC19" s="153" t="str">
        <f t="shared" si="43"/>
        <v/>
      </c>
      <c r="CD19" s="153" t="str">
        <f t="shared" si="44"/>
        <v/>
      </c>
      <c r="CE19" s="154" t="str">
        <f t="shared" si="45"/>
        <v/>
      </c>
      <c r="CF19" s="154" t="str">
        <f t="shared" si="46"/>
        <v/>
      </c>
      <c r="CG19" s="154" t="str">
        <f t="shared" si="47"/>
        <v/>
      </c>
      <c r="CH19" s="308" t="str">
        <f t="shared" si="48"/>
        <v/>
      </c>
      <c r="CI19" s="299">
        <f t="shared" si="49"/>
        <v>0</v>
      </c>
    </row>
    <row r="20">
      <c r="A20" s="103" t="s">
        <v>108</v>
      </c>
      <c r="B20" s="104" t="s">
        <v>109</v>
      </c>
      <c r="C20" s="105">
        <v>1.57571292E8</v>
      </c>
      <c r="D20" s="293">
        <v>23375.96</v>
      </c>
      <c r="E20" s="321">
        <v>0.0</v>
      </c>
      <c r="F20" s="322">
        <v>1613.654444</v>
      </c>
      <c r="G20" s="322">
        <v>8475.332092</v>
      </c>
      <c r="H20" s="157">
        <v>10088.98654</v>
      </c>
      <c r="I20" s="110">
        <v>7446.63509</v>
      </c>
      <c r="J20" s="110">
        <v>26644.1451</v>
      </c>
      <c r="K20" s="110">
        <v>34090.78021</v>
      </c>
      <c r="L20" s="111">
        <v>15221.32088</v>
      </c>
      <c r="M20" s="111">
        <v>34360.67202</v>
      </c>
      <c r="N20" s="111">
        <v>49581.99289</v>
      </c>
      <c r="O20" s="298">
        <v>0.0</v>
      </c>
      <c r="P20" s="160">
        <v>4.966E7</v>
      </c>
      <c r="Q20" s="160">
        <v>7133685.0</v>
      </c>
      <c r="R20" s="121">
        <f t="shared" si="11"/>
        <v>0.1436505236</v>
      </c>
      <c r="S20" s="116">
        <f t="shared" si="12"/>
        <v>0.1436505236</v>
      </c>
      <c r="T20" s="130"/>
      <c r="U20" s="118">
        <f t="shared" si="13"/>
        <v>0.7367</v>
      </c>
      <c r="V20" s="119">
        <v>0.0356</v>
      </c>
      <c r="W20" s="120">
        <f t="shared" si="14"/>
        <v>0.0356</v>
      </c>
      <c r="X20" s="119">
        <v>0.0474</v>
      </c>
      <c r="Y20" s="120">
        <f t="shared" si="15"/>
        <v>0.0474</v>
      </c>
      <c r="Z20" s="299"/>
      <c r="AA20" s="299"/>
      <c r="AB20" s="300" t="str">
        <f t="shared" si="16"/>
        <v/>
      </c>
      <c r="AC20" s="301">
        <f t="shared" si="17"/>
        <v>0.6295826791</v>
      </c>
      <c r="AD20" s="122">
        <v>0.0024</v>
      </c>
      <c r="AE20" s="123">
        <v>0.0</v>
      </c>
      <c r="AF20" s="123">
        <v>0.0</v>
      </c>
      <c r="AG20" s="124">
        <v>0.1417</v>
      </c>
      <c r="AH20" s="124">
        <v>0.217975368</v>
      </c>
      <c r="AI20" s="125">
        <v>0.1249</v>
      </c>
      <c r="AJ20" s="125">
        <v>0.199006751</v>
      </c>
      <c r="AK20" s="127">
        <v>0.2653</v>
      </c>
      <c r="AL20" s="127">
        <v>0.4082</v>
      </c>
      <c r="AM20" s="302">
        <v>0.0</v>
      </c>
      <c r="AN20" s="149" t="str">
        <f>IFERROR(
  AVERAGEIFS(
    'New 20102013 LF Efficacy'!$J:$J,
    'New 20102013 LF Efficacy'!$D:$D, $A20,
    'New 20102013 LF Efficacy'!$F:$F,"DEC", 
    'New 20102013 LF Efficacy'!$W:$W,"&lt;2014",
    'New 20102013 LF Efficacy'!$AA:$AA,""),
  ""
)</f>
        <v/>
      </c>
      <c r="AO20" s="115">
        <f t="shared" si="18"/>
        <v>0.478175</v>
      </c>
      <c r="AP20" s="121" t="str">
        <f>IFERROR(
AVERAGEIFS(
'New 20102013 LF Efficacy'!$J:$J,
'New 20102013 LF Efficacy'!$D:$D,$A20,
'New 20102013 LF Efficacy'!$F:$F,"Albendazole &amp; DEC",
'New 20102013 LF Efficacy'!$W:$W,"&lt;2014",
'New 20102013 LF Efficacy'!$AA:$AA,""),
"")
</f>
        <v/>
      </c>
      <c r="AQ20" s="115">
        <f t="shared" si="19"/>
        <v>0.5831666667</v>
      </c>
      <c r="AR20" s="121" t="str">
        <f>IFERROR(
AVERAGEIFS(
'New 20102013 LF Efficacy'!$J:$J,
'New 20102013 LF Efficacy'!$D:$D,$A20,
'New 20102013 LF Efficacy'!$F:$F,"Albendazole &amp; Ivermectin", 
'New 20102013 LF Efficacy'!$W:$W,"&lt;2014",
'New 20102013 LF Efficacy'!$AA:$AA,""),"")</f>
        <v/>
      </c>
      <c r="AS20" s="115">
        <f t="shared" si="20"/>
        <v>0.14</v>
      </c>
      <c r="AT20" s="130" t="str">
        <f>IFERROR(AVERAGEIFS(
'20102013 Schist Efficacy'!$O:$O, 
'20102013 Schist Efficacy'!$C:$C,$A20, 
'20102013 Schist Efficacy'!$D:$D, "Praziquantel",
'20102013 Schist Efficacy'!$J:$J,"&lt;2014",
'20102013 Schist Efficacy'!$U:$U,""),
"")</f>
        <v/>
      </c>
      <c r="AU20" s="118">
        <f t="shared" si="21"/>
        <v>0.7430399392</v>
      </c>
      <c r="AV20" s="131" t="str">
        <f>IFERROR(AVERAGEIFS(
'20102013 STH Efficacy'!$AX:$AX, 
'20102013 STH Efficacy'!$AL:$AL, $A20, 
'20102013 STH Efficacy'!$AM:$AM, "Albendazole",
'20102013 STH Efficacy'!$AS:$AS,"&lt;2014",
'20102013 STH Efficacy'!$BP:$BP,""),
"")</f>
        <v/>
      </c>
      <c r="AW20" s="132">
        <f t="shared" si="22"/>
        <v>0.4756666667</v>
      </c>
      <c r="AX20" s="131" t="str">
        <f>IFERROR(AVERAGEIFS(
'20102013 STH Efficacy'!$AX:$AX, 
'20102013 STH Efficacy'!$AL:$AL, $A20, 
'20102013 STH Efficacy'!$AM:$AM, "Mebendazole",
'20102013 STH Efficacy'!$AS:$AS,"&lt;2014",
'20102013 STH Efficacy'!$BP:$BP,""),
"")</f>
        <v/>
      </c>
      <c r="AY20" s="132">
        <f t="shared" si="23"/>
        <v>0.3786666667</v>
      </c>
      <c r="AZ20" s="131" t="str">
        <f>IFERROR(AVERAGEIFS(
'20102013 STH Efficacy'!$AX:$AX, 
'20102013 STH Efficacy'!$AL:$AL, $A20, 
'20102013 STH Efficacy'!$AM:$AM, "Albendazole &amp; Ivermectin",
'20102013 STH Efficacy'!$AS:$AS,"&lt;2014",
'20102013 STH Efficacy'!$BP:$BP,""),
"")</f>
        <v/>
      </c>
      <c r="BA20" s="303">
        <f t="shared" si="24"/>
        <v>0.597625</v>
      </c>
      <c r="BB20" s="134" t="str">
        <f>IFERROR(AVERAGEIFS(
'20102013 STH Efficacy'!$N:$N, 
'20102013 STH Efficacy'!$B:$B, $A20, 
'20102013 STH Efficacy'!$C:$C, "Albendazole",
'20102013 STH Efficacy'!$I:$I,"&lt;2014",
'20102013 STH Efficacy'!$AH:$AH,""),
"")</f>
        <v/>
      </c>
      <c r="BC20" s="135">
        <f t="shared" si="25"/>
        <v>0.7133333333</v>
      </c>
      <c r="BD20" s="134" t="str">
        <f>IFERROR(AVERAGEIFS(
'20102013 STH Efficacy'!$N:$N, 
'20102013 STH Efficacy'!$B:$B, $A20, 
'20102013 STH Efficacy'!$C:$C, "Mebendazole",
'20102013 STH Efficacy'!$I:$I,"&lt;2014",
'20102013 STH Efficacy'!$AH:$AH,""),
"")</f>
        <v/>
      </c>
      <c r="BE20" s="135">
        <f t="shared" si="26"/>
        <v>0.205</v>
      </c>
      <c r="BF20" s="128" t="str">
        <f>IFERROR(AVERAGEIFS(
'20102013 STH Efficacy'!$CD:$CD, 
'20102013 STH Efficacy'!$BS:$BS, $A20, 
'20102013 STH Efficacy'!$BT:$BT, "Albendazole",
'20102013 STH Efficacy'!$BZ:$BZ,"&lt;2014",
'20102013 STH Efficacy'!$CU:$CU,""),
"")</f>
        <v/>
      </c>
      <c r="BG20" s="136">
        <f t="shared" si="27"/>
        <v>0.83</v>
      </c>
      <c r="BH20" s="128" t="str">
        <f>IFERROR(AVERAGEIFS(
'20102013 STH Efficacy'!$CD:$CD, 
'20102013 STH Efficacy'!$BS:$BS, $A20, 
'20102013 STH Efficacy'!$BT:$BT, "Mebendazole",
'20102013 STH Efficacy'!$BZ:$BZ,"&lt;2014",
'20102013 STH Efficacy'!$CU:$CU,""),
"")</f>
        <v/>
      </c>
      <c r="BI20" s="136">
        <f t="shared" si="28"/>
        <v>1</v>
      </c>
      <c r="BJ20" s="128" t="str">
        <f>IFERROR(AVERAGEIFS(
'20102013 STH Efficacy'!$CD:$CD, 
'20102013 STH Efficacy'!$BS:$BS, $A20, 
'20102013 STH Efficacy'!$BT:$BT, "Albendazole &amp; Ivermectin",
'20102013 STH Efficacy'!$BZ:$BZ,"&lt;2014",
'20102013 STH Efficacy'!$CU:$CU,""),
"")</f>
        <v/>
      </c>
      <c r="BK20" s="136">
        <f t="shared" si="29"/>
        <v>1</v>
      </c>
      <c r="BL20" s="300" t="str">
        <f>IFERROR(
  AVERAGEIFS(
    'NEW 20102013 Onchocerciasis Eff'!$AO:$AO,
    'NEW 20102013 Onchocerciasis Eff'!$C:$C,$A20,
    'NEW 20102013 Onchocerciasis Eff'!$D:$D,"Ivermectin",
    'NEW 20102013 Onchocerciasis Eff'!$AR:$AR,"&lt;2014",
    'NEW 20102013 Onchocerciasis Eff'!$BG:$BG,"")
,"")</f>
        <v/>
      </c>
      <c r="BM20" s="304">
        <f t="shared" si="30"/>
        <v>0.7808368939</v>
      </c>
      <c r="BN20" s="305">
        <v>1.0</v>
      </c>
      <c r="BO20" s="139">
        <v>0.0</v>
      </c>
      <c r="BP20" s="140">
        <v>0.0</v>
      </c>
      <c r="BQ20" s="141">
        <f t="shared" si="31"/>
        <v>1</v>
      </c>
      <c r="BR20" s="104" t="str">
        <f t="shared" si="32"/>
        <v>1001</v>
      </c>
      <c r="BS20" s="104" t="str">
        <f t="shared" si="33"/>
        <v>MDA1/2</v>
      </c>
      <c r="BT20" s="142" t="str">
        <f t="shared" si="34"/>
        <v>DEC+ALB</v>
      </c>
      <c r="BU20" s="104" t="str">
        <f t="shared" si="35"/>
        <v/>
      </c>
      <c r="BV20" s="104" t="str">
        <f t="shared" si="36"/>
        <v>lf+sth</v>
      </c>
      <c r="BW20" s="312">
        <f t="shared" si="37"/>
        <v>2137.302011</v>
      </c>
      <c r="BX20" s="150" t="str">
        <f t="shared" si="38"/>
        <v/>
      </c>
      <c r="BY20" s="151" t="str">
        <f t="shared" si="39"/>
        <v/>
      </c>
      <c r="BZ20" s="152">
        <f t="shared" si="40"/>
        <v>223.2936138</v>
      </c>
      <c r="CA20" s="152" t="str">
        <f t="shared" si="41"/>
        <v/>
      </c>
      <c r="CB20" s="152" t="str">
        <f t="shared" si="42"/>
        <v/>
      </c>
      <c r="CC20" s="323">
        <f t="shared" si="43"/>
        <v>1126.450977</v>
      </c>
      <c r="CD20" s="153" t="str">
        <f t="shared" si="44"/>
        <v/>
      </c>
      <c r="CE20" s="154">
        <f t="shared" si="45"/>
        <v>1870.632506</v>
      </c>
      <c r="CF20" s="154" t="str">
        <f t="shared" si="46"/>
        <v/>
      </c>
      <c r="CG20" s="154" t="str">
        <f t="shared" si="47"/>
        <v/>
      </c>
      <c r="CH20" s="308" t="str">
        <f t="shared" si="48"/>
        <v/>
      </c>
      <c r="CI20" s="299">
        <f t="shared" si="49"/>
        <v>0</v>
      </c>
    </row>
    <row r="21">
      <c r="A21" s="103" t="s">
        <v>110</v>
      </c>
      <c r="B21" s="104" t="s">
        <v>98</v>
      </c>
      <c r="C21" s="105">
        <v>282509.0</v>
      </c>
      <c r="D21" s="293">
        <v>0.0</v>
      </c>
      <c r="E21" s="294">
        <v>0.0</v>
      </c>
      <c r="F21" s="307">
        <v>0.0</v>
      </c>
      <c r="G21" s="307">
        <v>0.0</v>
      </c>
      <c r="H21" s="108">
        <v>0.0</v>
      </c>
      <c r="I21" s="109">
        <v>8.4422E-4</v>
      </c>
      <c r="J21" s="109">
        <v>0.00125609</v>
      </c>
      <c r="K21" s="109">
        <v>0.00210031</v>
      </c>
      <c r="L21" s="112">
        <v>0.0</v>
      </c>
      <c r="M21" s="112">
        <v>0.0</v>
      </c>
      <c r="N21" s="111">
        <v>0.0</v>
      </c>
      <c r="O21" s="298">
        <v>0.0</v>
      </c>
      <c r="P21" s="114"/>
      <c r="Q21" s="114"/>
      <c r="R21" s="121" t="str">
        <f t="shared" si="11"/>
        <v/>
      </c>
      <c r="S21" s="116">
        <f t="shared" si="12"/>
        <v>0.2288425133</v>
      </c>
      <c r="T21" s="130"/>
      <c r="U21" s="118">
        <f t="shared" si="13"/>
        <v>0.39435</v>
      </c>
      <c r="V21" s="148"/>
      <c r="W21" s="120">
        <f t="shared" si="14"/>
        <v>0.542475</v>
      </c>
      <c r="X21" s="148"/>
      <c r="Y21" s="120">
        <f t="shared" si="15"/>
        <v>0.6507333333</v>
      </c>
      <c r="Z21" s="299"/>
      <c r="AA21" s="299"/>
      <c r="AB21" s="300" t="str">
        <f t="shared" si="16"/>
        <v/>
      </c>
      <c r="AC21" s="301">
        <f t="shared" si="17"/>
        <v>0.3490201688</v>
      </c>
      <c r="AD21" s="122">
        <v>0.0</v>
      </c>
      <c r="AE21" s="123">
        <v>0.0</v>
      </c>
      <c r="AF21" s="123">
        <v>0.0</v>
      </c>
      <c r="AG21" s="124">
        <v>0.0</v>
      </c>
      <c r="AH21" s="124">
        <v>1.12417E-5</v>
      </c>
      <c r="AI21" s="125">
        <v>0.0</v>
      </c>
      <c r="AJ21" s="125">
        <v>1.12117E-5</v>
      </c>
      <c r="AK21" s="127">
        <v>0.0</v>
      </c>
      <c r="AL21" s="127">
        <v>0.0</v>
      </c>
      <c r="AM21" s="302">
        <v>0.0</v>
      </c>
      <c r="AN21" s="149" t="str">
        <f>IFERROR(
  AVERAGEIFS(
    'New 20102013 LF Efficacy'!$J:$J,
    'New 20102013 LF Efficacy'!$D:$D, $A21,
    'New 20102013 LF Efficacy'!$F:$F,"DEC", 
    'New 20102013 LF Efficacy'!$W:$W,"&lt;2014",
    'New 20102013 LF Efficacy'!$AA:$AA,""),
  ""
)</f>
        <v/>
      </c>
      <c r="AO21" s="115">
        <f t="shared" si="18"/>
        <v>0.2589833333</v>
      </c>
      <c r="AP21" s="121" t="str">
        <f>IFERROR(
AVERAGEIFS(
'New 20102013 LF Efficacy'!$J:$J,
'New 20102013 LF Efficacy'!$D:$D,$A21,
'New 20102013 LF Efficacy'!$F:$F,"Albendazole &amp; DEC",
'New 20102013 LF Efficacy'!$W:$W,"&lt;2014",
'New 20102013 LF Efficacy'!$AA:$AA,""),
"")
</f>
        <v/>
      </c>
      <c r="AQ21" s="115">
        <f t="shared" si="19"/>
        <v>0.3465</v>
      </c>
      <c r="AR21" s="121" t="str">
        <f>IFERROR(
AVERAGEIFS(
'New 20102013 LF Efficacy'!$J:$J,
'New 20102013 LF Efficacy'!$D:$D,$A21,
'New 20102013 LF Efficacy'!$F:$F,"Albendazole &amp; Ivermectin", 
'New 20102013 LF Efficacy'!$W:$W,"&lt;2014",
'New 20102013 LF Efficacy'!$AA:$AA,""),"")</f>
        <v/>
      </c>
      <c r="AS21" s="115">
        <f t="shared" si="20"/>
        <v>0.7575</v>
      </c>
      <c r="AT21" s="130" t="str">
        <f>IFERROR(AVERAGEIFS(
'20102013 Schist Efficacy'!$O:$O, 
'20102013 Schist Efficacy'!$C:$C,$A21, 
'20102013 Schist Efficacy'!$D:$D, "Praziquantel",
'20102013 Schist Efficacy'!$J:$J,"&lt;2014",
'20102013 Schist Efficacy'!$U:$U,""),
"")</f>
        <v/>
      </c>
      <c r="AU21" s="118">
        <f t="shared" si="21"/>
        <v>0.7914761905</v>
      </c>
      <c r="AV21" s="131" t="str">
        <f>IFERROR(AVERAGEIFS(
'20102013 STH Efficacy'!$AX:$AX, 
'20102013 STH Efficacy'!$AL:$AL, $A21, 
'20102013 STH Efficacy'!$AM:$AM, "Albendazole",
'20102013 STH Efficacy'!$AS:$AS,"&lt;2014",
'20102013 STH Efficacy'!$BP:$BP,""),
"")</f>
        <v/>
      </c>
      <c r="AW21" s="132">
        <f t="shared" si="22"/>
        <v>0.3945</v>
      </c>
      <c r="AX21" s="131" t="str">
        <f>IFERROR(AVERAGEIFS(
'20102013 STH Efficacy'!$AX:$AX, 
'20102013 STH Efficacy'!$AL:$AL, $A21, 
'20102013 STH Efficacy'!$AM:$AM, "Mebendazole",
'20102013 STH Efficacy'!$AS:$AS,"&lt;2014",
'20102013 STH Efficacy'!$BP:$BP,""),
"")</f>
        <v/>
      </c>
      <c r="AY21" s="132">
        <f t="shared" si="23"/>
        <v>0.6</v>
      </c>
      <c r="AZ21" s="131" t="str">
        <f>IFERROR(AVERAGEIFS(
'20102013 STH Efficacy'!$AX:$AX, 
'20102013 STH Efficacy'!$AL:$AL, $A21, 
'20102013 STH Efficacy'!$AM:$AM, "Albendazole &amp; Ivermectin",
'20102013 STH Efficacy'!$AS:$AS,"&lt;2014",
'20102013 STH Efficacy'!$BP:$BP,""),
"")</f>
        <v/>
      </c>
      <c r="BA21" s="303">
        <f t="shared" si="24"/>
        <v>0.796</v>
      </c>
      <c r="BB21" s="134" t="str">
        <f>IFERROR(AVERAGEIFS(
'20102013 STH Efficacy'!$N:$N, 
'20102013 STH Efficacy'!$B:$B, $A21, 
'20102013 STH Efficacy'!$C:$C, "Albendazole",
'20102013 STH Efficacy'!$I:$I,"&lt;2014",
'20102013 STH Efficacy'!$AH:$AH,""),
"")</f>
        <v/>
      </c>
      <c r="BC21" s="135">
        <f t="shared" si="25"/>
        <v>0.869</v>
      </c>
      <c r="BD21" s="134" t="str">
        <f>IFERROR(AVERAGEIFS(
'20102013 STH Efficacy'!$N:$N, 
'20102013 STH Efficacy'!$B:$B, $A21, 
'20102013 STH Efficacy'!$C:$C, "Mebendazole",
'20102013 STH Efficacy'!$I:$I,"&lt;2014",
'20102013 STH Efficacy'!$AH:$AH,""),
"")</f>
        <v/>
      </c>
      <c r="BE21" s="135">
        <f t="shared" si="26"/>
        <v>0.172</v>
      </c>
      <c r="BF21" s="128" t="str">
        <f>IFERROR(AVERAGEIFS(
'20102013 STH Efficacy'!$CD:$CD, 
'20102013 STH Efficacy'!$BS:$BS, $A21, 
'20102013 STH Efficacy'!$BT:$BT, "Albendazole",
'20102013 STH Efficacy'!$BZ:$BZ,"&lt;2014",
'20102013 STH Efficacy'!$CU:$CU,""),
"")</f>
        <v/>
      </c>
      <c r="BG21" s="136">
        <f t="shared" si="27"/>
        <v>0.9862</v>
      </c>
      <c r="BH21" s="128" t="str">
        <f>IFERROR(AVERAGEIFS(
'20102013 STH Efficacy'!$CD:$CD, 
'20102013 STH Efficacy'!$BS:$BS, $A21, 
'20102013 STH Efficacy'!$BT:$BT, "Mebendazole",
'20102013 STH Efficacy'!$BZ:$BZ,"&lt;2014",
'20102013 STH Efficacy'!$CU:$CU,""),
"")</f>
        <v/>
      </c>
      <c r="BI21" s="136">
        <f t="shared" si="28"/>
        <v>0.769</v>
      </c>
      <c r="BJ21" s="128" t="str">
        <f>IFERROR(AVERAGEIFS(
'20102013 STH Efficacy'!$CD:$CD, 
'20102013 STH Efficacy'!$BS:$BS, $A21, 
'20102013 STH Efficacy'!$BT:$BT, "Albendazole &amp; Ivermectin",
'20102013 STH Efficacy'!$BZ:$BZ,"&lt;2014",
'20102013 STH Efficacy'!$CU:$CU,""),
"")</f>
        <v/>
      </c>
      <c r="BK21" s="136">
        <f t="shared" si="29"/>
        <v>1</v>
      </c>
      <c r="BL21" s="300" t="str">
        <f>IFERROR(
  AVERAGEIFS(
    'NEW 20102013 Onchocerciasis Eff'!$AO:$AO,
    'NEW 20102013 Onchocerciasis Eff'!$C:$C,$A21,
    'NEW 20102013 Onchocerciasis Eff'!$D:$D,"Ivermectin",
    'NEW 20102013 Onchocerciasis Eff'!$AR:$AR,"&lt;2014",
    'NEW 20102013 Onchocerciasis Eff'!$BG:$BG,"")
,"")</f>
        <v/>
      </c>
      <c r="BM21" s="304">
        <f t="shared" si="30"/>
        <v>0.3734</v>
      </c>
      <c r="BN21" s="305">
        <v>0.0</v>
      </c>
      <c r="BO21" s="139">
        <v>0.0</v>
      </c>
      <c r="BP21" s="140">
        <v>0.0</v>
      </c>
      <c r="BQ21" s="141">
        <f t="shared" si="31"/>
        <v>0</v>
      </c>
      <c r="BR21" s="104" t="str">
        <f t="shared" si="32"/>
        <v>0000</v>
      </c>
      <c r="BS21" s="104" t="str">
        <f t="shared" si="33"/>
        <v>no action required</v>
      </c>
      <c r="BT21" s="142" t="str">
        <f t="shared" si="34"/>
        <v/>
      </c>
      <c r="BU21" s="104" t="str">
        <f t="shared" si="35"/>
        <v/>
      </c>
      <c r="BV21" s="104" t="str">
        <f t="shared" si="36"/>
        <v>none</v>
      </c>
      <c r="BW21" s="150" t="str">
        <f t="shared" si="37"/>
        <v/>
      </c>
      <c r="BX21" s="150" t="str">
        <f t="shared" si="38"/>
        <v/>
      </c>
      <c r="BY21" s="151" t="str">
        <f t="shared" si="39"/>
        <v/>
      </c>
      <c r="BZ21" s="152" t="str">
        <f t="shared" si="40"/>
        <v/>
      </c>
      <c r="CA21" s="152" t="str">
        <f t="shared" si="41"/>
        <v/>
      </c>
      <c r="CB21" s="152" t="str">
        <f t="shared" si="42"/>
        <v/>
      </c>
      <c r="CC21" s="153" t="str">
        <f t="shared" si="43"/>
        <v/>
      </c>
      <c r="CD21" s="153" t="str">
        <f t="shared" si="44"/>
        <v/>
      </c>
      <c r="CE21" s="154" t="str">
        <f t="shared" si="45"/>
        <v/>
      </c>
      <c r="CF21" s="154" t="str">
        <f t="shared" si="46"/>
        <v/>
      </c>
      <c r="CG21" s="154" t="str">
        <f t="shared" si="47"/>
        <v/>
      </c>
      <c r="CH21" s="308" t="str">
        <f t="shared" si="48"/>
        <v/>
      </c>
      <c r="CI21" s="299">
        <f t="shared" si="49"/>
        <v>0</v>
      </c>
    </row>
    <row r="22">
      <c r="A22" s="103" t="s">
        <v>111</v>
      </c>
      <c r="B22" s="104" t="s">
        <v>90</v>
      </c>
      <c r="C22" s="105">
        <v>9465997.0</v>
      </c>
      <c r="D22" s="293">
        <v>0.0</v>
      </c>
      <c r="E22" s="294">
        <v>0.0</v>
      </c>
      <c r="F22" s="307">
        <v>0.0</v>
      </c>
      <c r="G22" s="307">
        <v>0.0</v>
      </c>
      <c r="H22" s="108">
        <v>0.0</v>
      </c>
      <c r="I22" s="109">
        <v>0.0</v>
      </c>
      <c r="J22" s="109">
        <v>0.0</v>
      </c>
      <c r="K22" s="109">
        <v>0.0</v>
      </c>
      <c r="L22" s="112">
        <v>0.0</v>
      </c>
      <c r="M22" s="112">
        <v>0.0</v>
      </c>
      <c r="N22" s="111">
        <v>0.0</v>
      </c>
      <c r="O22" s="298">
        <v>0.0</v>
      </c>
      <c r="P22" s="114"/>
      <c r="Q22" s="114"/>
      <c r="R22" s="121" t="str">
        <f t="shared" si="11"/>
        <v/>
      </c>
      <c r="S22" s="116">
        <f t="shared" si="12"/>
        <v>0.526225767</v>
      </c>
      <c r="T22" s="130"/>
      <c r="U22" s="118">
        <f t="shared" si="13"/>
        <v>0.3468166667</v>
      </c>
      <c r="V22" s="148"/>
      <c r="W22" s="120">
        <f t="shared" si="14"/>
        <v>1</v>
      </c>
      <c r="X22" s="148"/>
      <c r="Y22" s="120">
        <f t="shared" si="15"/>
        <v>1</v>
      </c>
      <c r="Z22" s="299"/>
      <c r="AA22" s="299"/>
      <c r="AB22" s="300" t="str">
        <f t="shared" si="16"/>
        <v/>
      </c>
      <c r="AC22" s="301">
        <f t="shared" si="17"/>
        <v>0.6295826791</v>
      </c>
      <c r="AD22" s="122">
        <v>0.0</v>
      </c>
      <c r="AE22" s="123">
        <v>0.0</v>
      </c>
      <c r="AF22" s="123">
        <v>0.0</v>
      </c>
      <c r="AG22" s="124">
        <v>0.0</v>
      </c>
      <c r="AH22" s="124">
        <v>0.0</v>
      </c>
      <c r="AI22" s="125">
        <v>0.0</v>
      </c>
      <c r="AJ22" s="125">
        <v>0.0</v>
      </c>
      <c r="AK22" s="127">
        <v>0.0</v>
      </c>
      <c r="AL22" s="127">
        <v>0.0</v>
      </c>
      <c r="AM22" s="302">
        <v>0.0</v>
      </c>
      <c r="AN22" s="149" t="str">
        <f>IFERROR(
  AVERAGEIFS(
    'New 20102013 LF Efficacy'!$J:$J,
    'New 20102013 LF Efficacy'!$D:$D, $A22,
    'New 20102013 LF Efficacy'!$F:$F,"DEC", 
    'New 20102013 LF Efficacy'!$W:$W,"&lt;2014",
    'New 20102013 LF Efficacy'!$AA:$AA,""),
  ""
)</f>
        <v/>
      </c>
      <c r="AO22" s="115">
        <f t="shared" si="18"/>
        <v>0.3573520833</v>
      </c>
      <c r="AP22" s="121" t="str">
        <f>IFERROR(
AVERAGEIFS(
'New 20102013 LF Efficacy'!$J:$J,
'New 20102013 LF Efficacy'!$D:$D,$A22,
'New 20102013 LF Efficacy'!$F:$F,"Albendazole &amp; DEC",
'New 20102013 LF Efficacy'!$W:$W,"&lt;2014",
'New 20102013 LF Efficacy'!$AA:$AA,""),
"")
</f>
        <v/>
      </c>
      <c r="AQ22" s="115">
        <f t="shared" si="19"/>
        <v>0.5137291667</v>
      </c>
      <c r="AR22" s="121" t="str">
        <f>IFERROR(
AVERAGEIFS(
'New 20102013 LF Efficacy'!$J:$J,
'New 20102013 LF Efficacy'!$D:$D,$A22,
'New 20102013 LF Efficacy'!$F:$F,"Albendazole &amp; Ivermectin", 
'New 20102013 LF Efficacy'!$W:$W,"&lt;2014",
'New 20102013 LF Efficacy'!$AA:$AA,""),"")</f>
        <v/>
      </c>
      <c r="AS22" s="115">
        <f t="shared" si="20"/>
        <v>0.37153125</v>
      </c>
      <c r="AT22" s="130" t="str">
        <f>IFERROR(AVERAGEIFS(
'20102013 Schist Efficacy'!$O:$O, 
'20102013 Schist Efficacy'!$C:$C,$A22, 
'20102013 Schist Efficacy'!$D:$D, "Praziquantel",
'20102013 Schist Efficacy'!$J:$J,"&lt;2014",
'20102013 Schist Efficacy'!$U:$U,""),
"")</f>
        <v/>
      </c>
      <c r="AU22" s="118">
        <f t="shared" si="21"/>
        <v>0.655</v>
      </c>
      <c r="AV22" s="131" t="str">
        <f>IFERROR(AVERAGEIFS(
'20102013 STH Efficacy'!$AX:$AX, 
'20102013 STH Efficacy'!$AL:$AL, $A22, 
'20102013 STH Efficacy'!$AM:$AM, "Albendazole",
'20102013 STH Efficacy'!$AS:$AS,"&lt;2014",
'20102013 STH Efficacy'!$BP:$BP,""),
"")</f>
        <v/>
      </c>
      <c r="AW22" s="132">
        <f t="shared" si="22"/>
        <v>0.3933333333</v>
      </c>
      <c r="AX22" s="131" t="str">
        <f>IFERROR(AVERAGEIFS(
'20102013 STH Efficacy'!$AX:$AX, 
'20102013 STH Efficacy'!$AL:$AL, $A22, 
'20102013 STH Efficacy'!$AM:$AM, "Mebendazole",
'20102013 STH Efficacy'!$AS:$AS,"&lt;2014",
'20102013 STH Efficacy'!$BP:$BP,""),
"")</f>
        <v/>
      </c>
      <c r="AY22" s="132">
        <f t="shared" si="23"/>
        <v>0.5017738095</v>
      </c>
      <c r="AZ22" s="131" t="str">
        <f>IFERROR(AVERAGEIFS(
'20102013 STH Efficacy'!$AX:$AX, 
'20102013 STH Efficacy'!$AL:$AL, $A22, 
'20102013 STH Efficacy'!$AM:$AM, "Albendazole &amp; Ivermectin",
'20102013 STH Efficacy'!$AS:$AS,"&lt;2014",
'20102013 STH Efficacy'!$BP:$BP,""),
"")</f>
        <v/>
      </c>
      <c r="BA22" s="303">
        <f t="shared" si="24"/>
        <v>0.597625</v>
      </c>
      <c r="BB22" s="134" t="str">
        <f>IFERROR(AVERAGEIFS(
'20102013 STH Efficacy'!$N:$N, 
'20102013 STH Efficacy'!$B:$B, $A22, 
'20102013 STH Efficacy'!$C:$C, "Albendazole",
'20102013 STH Efficacy'!$I:$I,"&lt;2014",
'20102013 STH Efficacy'!$AH:$AH,""),
"")</f>
        <v/>
      </c>
      <c r="BC22" s="135">
        <f t="shared" si="25"/>
        <v>0.7613712121</v>
      </c>
      <c r="BD22" s="134" t="str">
        <f>IFERROR(AVERAGEIFS(
'20102013 STH Efficacy'!$N:$N, 
'20102013 STH Efficacy'!$B:$B, $A22, 
'20102013 STH Efficacy'!$C:$C, "Mebendazole",
'20102013 STH Efficacy'!$I:$I,"&lt;2014",
'20102013 STH Efficacy'!$AH:$AH,""),
"")</f>
        <v/>
      </c>
      <c r="BE22" s="135">
        <f t="shared" si="26"/>
        <v>0.4362466667</v>
      </c>
      <c r="BF22" s="128" t="str">
        <f>IFERROR(AVERAGEIFS(
'20102013 STH Efficacy'!$CD:$CD, 
'20102013 STH Efficacy'!$BS:$BS, $A22, 
'20102013 STH Efficacy'!$BT:$BT, "Albendazole",
'20102013 STH Efficacy'!$BZ:$BZ,"&lt;2014",
'20102013 STH Efficacy'!$CU:$CU,""),
"")</f>
        <v/>
      </c>
      <c r="BG22" s="136">
        <f t="shared" si="27"/>
        <v>0.9216027778</v>
      </c>
      <c r="BH22" s="128" t="str">
        <f>IFERROR(AVERAGEIFS(
'20102013 STH Efficacy'!$CD:$CD, 
'20102013 STH Efficacy'!$BS:$BS, $A22, 
'20102013 STH Efficacy'!$BT:$BT, "Mebendazole",
'20102013 STH Efficacy'!$BZ:$BZ,"&lt;2014",
'20102013 STH Efficacy'!$CU:$CU,""),
"")</f>
        <v/>
      </c>
      <c r="BI22" s="136">
        <f t="shared" si="28"/>
        <v>0.9295857143</v>
      </c>
      <c r="BJ22" s="128" t="str">
        <f>IFERROR(AVERAGEIFS(
'20102013 STH Efficacy'!$CD:$CD, 
'20102013 STH Efficacy'!$BS:$BS, $A22, 
'20102013 STH Efficacy'!$BT:$BT, "Albendazole &amp; Ivermectin",
'20102013 STH Efficacy'!$BZ:$BZ,"&lt;2014",
'20102013 STH Efficacy'!$CU:$CU,""),
"")</f>
        <v/>
      </c>
      <c r="BK22" s="136">
        <f t="shared" si="29"/>
        <v>1</v>
      </c>
      <c r="BL22" s="300" t="str">
        <f>IFERROR(
  AVERAGEIFS(
    'NEW 20102013 Onchocerciasis Eff'!$AO:$AO,
    'NEW 20102013 Onchocerciasis Eff'!$C:$C,$A22,
    'NEW 20102013 Onchocerciasis Eff'!$D:$D,"Ivermectin",
    'NEW 20102013 Onchocerciasis Eff'!$AR:$AR,"&lt;2014",
    'NEW 20102013 Onchocerciasis Eff'!$BG:$BG,"")
,"")</f>
        <v/>
      </c>
      <c r="BM22" s="304">
        <f t="shared" si="30"/>
        <v>0.7808368939</v>
      </c>
      <c r="BN22" s="305">
        <v>0.0</v>
      </c>
      <c r="BO22" s="139">
        <v>0.0</v>
      </c>
      <c r="BP22" s="140">
        <v>0.0</v>
      </c>
      <c r="BQ22" s="141">
        <f t="shared" si="31"/>
        <v>0</v>
      </c>
      <c r="BR22" s="104" t="str">
        <f t="shared" si="32"/>
        <v>0000</v>
      </c>
      <c r="BS22" s="104" t="str">
        <f t="shared" si="33"/>
        <v>no action required</v>
      </c>
      <c r="BT22" s="142" t="str">
        <f t="shared" si="34"/>
        <v/>
      </c>
      <c r="BU22" s="104" t="str">
        <f t="shared" si="35"/>
        <v/>
      </c>
      <c r="BV22" s="104" t="str">
        <f t="shared" si="36"/>
        <v>none</v>
      </c>
      <c r="BW22" s="150" t="str">
        <f t="shared" si="37"/>
        <v/>
      </c>
      <c r="BX22" s="150" t="str">
        <f t="shared" si="38"/>
        <v/>
      </c>
      <c r="BY22" s="151" t="str">
        <f t="shared" si="39"/>
        <v/>
      </c>
      <c r="BZ22" s="152" t="str">
        <f t="shared" si="40"/>
        <v/>
      </c>
      <c r="CA22" s="152" t="str">
        <f t="shared" si="41"/>
        <v/>
      </c>
      <c r="CB22" s="152" t="str">
        <f t="shared" si="42"/>
        <v/>
      </c>
      <c r="CC22" s="153" t="str">
        <f t="shared" si="43"/>
        <v/>
      </c>
      <c r="CD22" s="153" t="str">
        <f t="shared" si="44"/>
        <v/>
      </c>
      <c r="CE22" s="154" t="str">
        <f t="shared" si="45"/>
        <v/>
      </c>
      <c r="CF22" s="154" t="str">
        <f t="shared" si="46"/>
        <v/>
      </c>
      <c r="CG22" s="154" t="str">
        <f t="shared" si="47"/>
        <v/>
      </c>
      <c r="CH22" s="308" t="str">
        <f t="shared" si="48"/>
        <v/>
      </c>
      <c r="CI22" s="299">
        <f t="shared" si="49"/>
        <v>0</v>
      </c>
    </row>
    <row r="23">
      <c r="A23" s="103" t="s">
        <v>112</v>
      </c>
      <c r="B23" s="104" t="s">
        <v>90</v>
      </c>
      <c r="C23" s="105">
        <v>1.1182817E7</v>
      </c>
      <c r="D23" s="293">
        <v>0.0</v>
      </c>
      <c r="E23" s="294">
        <v>0.0</v>
      </c>
      <c r="F23" s="307">
        <v>0.0</v>
      </c>
      <c r="G23" s="307">
        <v>0.0</v>
      </c>
      <c r="H23" s="108">
        <v>0.0</v>
      </c>
      <c r="I23" s="109">
        <v>0.0</v>
      </c>
      <c r="J23" s="109">
        <v>0.0</v>
      </c>
      <c r="K23" s="109">
        <v>0.0</v>
      </c>
      <c r="L23" s="112">
        <v>0.0</v>
      </c>
      <c r="M23" s="112">
        <v>0.0</v>
      </c>
      <c r="N23" s="111">
        <v>0.0</v>
      </c>
      <c r="O23" s="298">
        <v>0.0</v>
      </c>
      <c r="P23" s="114"/>
      <c r="Q23" s="114"/>
      <c r="R23" s="121" t="str">
        <f t="shared" si="11"/>
        <v/>
      </c>
      <c r="S23" s="116">
        <f t="shared" si="12"/>
        <v>0.526225767</v>
      </c>
      <c r="T23" s="130"/>
      <c r="U23" s="118">
        <f t="shared" si="13"/>
        <v>0.3468166667</v>
      </c>
      <c r="V23" s="148"/>
      <c r="W23" s="120">
        <f t="shared" si="14"/>
        <v>1</v>
      </c>
      <c r="X23" s="148"/>
      <c r="Y23" s="120">
        <f t="shared" si="15"/>
        <v>1</v>
      </c>
      <c r="Z23" s="299"/>
      <c r="AA23" s="299"/>
      <c r="AB23" s="300" t="str">
        <f t="shared" si="16"/>
        <v/>
      </c>
      <c r="AC23" s="301">
        <f t="shared" si="17"/>
        <v>0.6295826791</v>
      </c>
      <c r="AD23" s="122">
        <v>0.0</v>
      </c>
      <c r="AE23" s="123">
        <v>0.0</v>
      </c>
      <c r="AF23" s="123">
        <v>0.0</v>
      </c>
      <c r="AG23" s="124">
        <v>0.0</v>
      </c>
      <c r="AH23" s="124">
        <v>0.0</v>
      </c>
      <c r="AI23" s="125">
        <v>0.0</v>
      </c>
      <c r="AJ23" s="125">
        <v>0.0</v>
      </c>
      <c r="AK23" s="127">
        <v>0.0</v>
      </c>
      <c r="AL23" s="127">
        <v>0.0</v>
      </c>
      <c r="AM23" s="302">
        <v>0.0</v>
      </c>
      <c r="AN23" s="149" t="str">
        <f>IFERROR(
  AVERAGEIFS(
    'New 20102013 LF Efficacy'!$J:$J,
    'New 20102013 LF Efficacy'!$D:$D, $A23,
    'New 20102013 LF Efficacy'!$F:$F,"DEC", 
    'New 20102013 LF Efficacy'!$W:$W,"&lt;2014",
    'New 20102013 LF Efficacy'!$AA:$AA,""),
  ""
)</f>
        <v/>
      </c>
      <c r="AO23" s="115">
        <f t="shared" si="18"/>
        <v>0.3573520833</v>
      </c>
      <c r="AP23" s="121" t="str">
        <f>IFERROR(
AVERAGEIFS(
'New 20102013 LF Efficacy'!$J:$J,
'New 20102013 LF Efficacy'!$D:$D,$A23,
'New 20102013 LF Efficacy'!$F:$F,"Albendazole &amp; DEC",
'New 20102013 LF Efficacy'!$W:$W,"&lt;2014",
'New 20102013 LF Efficacy'!$AA:$AA,""),
"")
</f>
        <v/>
      </c>
      <c r="AQ23" s="115">
        <f t="shared" si="19"/>
        <v>0.5137291667</v>
      </c>
      <c r="AR23" s="121" t="str">
        <f>IFERROR(
AVERAGEIFS(
'New 20102013 LF Efficacy'!$J:$J,
'New 20102013 LF Efficacy'!$D:$D,$A23,
'New 20102013 LF Efficacy'!$F:$F,"Albendazole &amp; Ivermectin", 
'New 20102013 LF Efficacy'!$W:$W,"&lt;2014",
'New 20102013 LF Efficacy'!$AA:$AA,""),"")</f>
        <v/>
      </c>
      <c r="AS23" s="115">
        <f t="shared" si="20"/>
        <v>0.37153125</v>
      </c>
      <c r="AT23" s="130" t="str">
        <f>IFERROR(AVERAGEIFS(
'20102013 Schist Efficacy'!$O:$O, 
'20102013 Schist Efficacy'!$C:$C,$A23, 
'20102013 Schist Efficacy'!$D:$D, "Praziquantel",
'20102013 Schist Efficacy'!$J:$J,"&lt;2014",
'20102013 Schist Efficacy'!$U:$U,""),
"")</f>
        <v/>
      </c>
      <c r="AU23" s="118">
        <f t="shared" si="21"/>
        <v>0.655</v>
      </c>
      <c r="AV23" s="131" t="str">
        <f>IFERROR(AVERAGEIFS(
'20102013 STH Efficacy'!$AX:$AX, 
'20102013 STH Efficacy'!$AL:$AL, $A23, 
'20102013 STH Efficacy'!$AM:$AM, "Albendazole",
'20102013 STH Efficacy'!$AS:$AS,"&lt;2014",
'20102013 STH Efficacy'!$BP:$BP,""),
"")</f>
        <v/>
      </c>
      <c r="AW23" s="132">
        <f t="shared" si="22"/>
        <v>0.3933333333</v>
      </c>
      <c r="AX23" s="131" t="str">
        <f>IFERROR(AVERAGEIFS(
'20102013 STH Efficacy'!$AX:$AX, 
'20102013 STH Efficacy'!$AL:$AL, $A23, 
'20102013 STH Efficacy'!$AM:$AM, "Mebendazole",
'20102013 STH Efficacy'!$AS:$AS,"&lt;2014",
'20102013 STH Efficacy'!$BP:$BP,""),
"")</f>
        <v/>
      </c>
      <c r="AY23" s="132">
        <f t="shared" si="23"/>
        <v>0.5017738095</v>
      </c>
      <c r="AZ23" s="131" t="str">
        <f>IFERROR(AVERAGEIFS(
'20102013 STH Efficacy'!$AX:$AX, 
'20102013 STH Efficacy'!$AL:$AL, $A23, 
'20102013 STH Efficacy'!$AM:$AM, "Albendazole &amp; Ivermectin",
'20102013 STH Efficacy'!$AS:$AS,"&lt;2014",
'20102013 STH Efficacy'!$BP:$BP,""),
"")</f>
        <v/>
      </c>
      <c r="BA23" s="303">
        <f t="shared" si="24"/>
        <v>0.597625</v>
      </c>
      <c r="BB23" s="134" t="str">
        <f>IFERROR(AVERAGEIFS(
'20102013 STH Efficacy'!$N:$N, 
'20102013 STH Efficacy'!$B:$B, $A23, 
'20102013 STH Efficacy'!$C:$C, "Albendazole",
'20102013 STH Efficacy'!$I:$I,"&lt;2014",
'20102013 STH Efficacy'!$AH:$AH,""),
"")</f>
        <v/>
      </c>
      <c r="BC23" s="135">
        <f t="shared" si="25"/>
        <v>0.7613712121</v>
      </c>
      <c r="BD23" s="134" t="str">
        <f>IFERROR(AVERAGEIFS(
'20102013 STH Efficacy'!$N:$N, 
'20102013 STH Efficacy'!$B:$B, $A23, 
'20102013 STH Efficacy'!$C:$C, "Mebendazole",
'20102013 STH Efficacy'!$I:$I,"&lt;2014",
'20102013 STH Efficacy'!$AH:$AH,""),
"")</f>
        <v/>
      </c>
      <c r="BE23" s="135">
        <f t="shared" si="26"/>
        <v>0.4362466667</v>
      </c>
      <c r="BF23" s="128" t="str">
        <f>IFERROR(AVERAGEIFS(
'20102013 STH Efficacy'!$CD:$CD, 
'20102013 STH Efficacy'!$BS:$BS, $A23, 
'20102013 STH Efficacy'!$BT:$BT, "Albendazole",
'20102013 STH Efficacy'!$BZ:$BZ,"&lt;2014",
'20102013 STH Efficacy'!$CU:$CU,""),
"")</f>
        <v/>
      </c>
      <c r="BG23" s="136">
        <f t="shared" si="27"/>
        <v>0.9216027778</v>
      </c>
      <c r="BH23" s="128" t="str">
        <f>IFERROR(AVERAGEIFS(
'20102013 STH Efficacy'!$CD:$CD, 
'20102013 STH Efficacy'!$BS:$BS, $A23, 
'20102013 STH Efficacy'!$BT:$BT, "Mebendazole",
'20102013 STH Efficacy'!$BZ:$BZ,"&lt;2014",
'20102013 STH Efficacy'!$CU:$CU,""),
"")</f>
        <v/>
      </c>
      <c r="BI23" s="136">
        <f t="shared" si="28"/>
        <v>0.9295857143</v>
      </c>
      <c r="BJ23" s="128" t="str">
        <f>IFERROR(AVERAGEIFS(
'20102013 STH Efficacy'!$CD:$CD, 
'20102013 STH Efficacy'!$BS:$BS, $A23, 
'20102013 STH Efficacy'!$BT:$BT, "Albendazole &amp; Ivermectin",
'20102013 STH Efficacy'!$BZ:$BZ,"&lt;2014",
'20102013 STH Efficacy'!$CU:$CU,""),
"")</f>
        <v/>
      </c>
      <c r="BK23" s="136">
        <f t="shared" si="29"/>
        <v>1</v>
      </c>
      <c r="BL23" s="300" t="str">
        <f>IFERROR(
  AVERAGEIFS(
    'NEW 20102013 Onchocerciasis Eff'!$AO:$AO,
    'NEW 20102013 Onchocerciasis Eff'!$C:$C,$A23,
    'NEW 20102013 Onchocerciasis Eff'!$D:$D,"Ivermectin",
    'NEW 20102013 Onchocerciasis Eff'!$AR:$AR,"&lt;2014",
    'NEW 20102013 Onchocerciasis Eff'!$BG:$BG,"")
,"")</f>
        <v/>
      </c>
      <c r="BM23" s="304">
        <f t="shared" si="30"/>
        <v>0.7808368939</v>
      </c>
      <c r="BN23" s="305">
        <v>0.0</v>
      </c>
      <c r="BO23" s="139">
        <v>0.0</v>
      </c>
      <c r="BP23" s="140">
        <v>0.0</v>
      </c>
      <c r="BQ23" s="141">
        <f t="shared" si="31"/>
        <v>0</v>
      </c>
      <c r="BR23" s="104" t="str">
        <f t="shared" si="32"/>
        <v>0000</v>
      </c>
      <c r="BS23" s="104" t="str">
        <f t="shared" si="33"/>
        <v>no action required</v>
      </c>
      <c r="BT23" s="142" t="str">
        <f t="shared" si="34"/>
        <v/>
      </c>
      <c r="BU23" s="104" t="str">
        <f t="shared" si="35"/>
        <v/>
      </c>
      <c r="BV23" s="104" t="str">
        <f t="shared" si="36"/>
        <v>none</v>
      </c>
      <c r="BW23" s="150" t="str">
        <f t="shared" si="37"/>
        <v/>
      </c>
      <c r="BX23" s="150" t="str">
        <f t="shared" si="38"/>
        <v/>
      </c>
      <c r="BY23" s="151" t="str">
        <f t="shared" si="39"/>
        <v/>
      </c>
      <c r="BZ23" s="152" t="str">
        <f t="shared" si="40"/>
        <v/>
      </c>
      <c r="CA23" s="152" t="str">
        <f t="shared" si="41"/>
        <v/>
      </c>
      <c r="CB23" s="152" t="str">
        <f t="shared" si="42"/>
        <v/>
      </c>
      <c r="CC23" s="153" t="str">
        <f t="shared" si="43"/>
        <v/>
      </c>
      <c r="CD23" s="153" t="str">
        <f t="shared" si="44"/>
        <v/>
      </c>
      <c r="CE23" s="154" t="str">
        <f t="shared" si="45"/>
        <v/>
      </c>
      <c r="CF23" s="154" t="str">
        <f t="shared" si="46"/>
        <v/>
      </c>
      <c r="CG23" s="154" t="str">
        <f t="shared" si="47"/>
        <v/>
      </c>
      <c r="CH23" s="308" t="str">
        <f t="shared" si="48"/>
        <v/>
      </c>
      <c r="CI23" s="299">
        <f t="shared" si="49"/>
        <v>0</v>
      </c>
    </row>
    <row r="24">
      <c r="A24" s="103" t="s">
        <v>113</v>
      </c>
      <c r="B24" s="104" t="s">
        <v>98</v>
      </c>
      <c r="C24" s="105">
        <v>344181.0</v>
      </c>
      <c r="D24" s="293">
        <v>0.0</v>
      </c>
      <c r="E24" s="294">
        <v>0.0</v>
      </c>
      <c r="F24" s="309">
        <v>0.070305862</v>
      </c>
      <c r="G24" s="309">
        <v>6.55774E-4</v>
      </c>
      <c r="H24" s="108">
        <v>0.070961636</v>
      </c>
      <c r="I24" s="109">
        <v>4.57464448</v>
      </c>
      <c r="J24" s="109">
        <v>0.64860964</v>
      </c>
      <c r="K24" s="109">
        <v>5.223254125</v>
      </c>
      <c r="L24" s="112">
        <v>7.434160341</v>
      </c>
      <c r="M24" s="112">
        <v>2.36435244</v>
      </c>
      <c r="N24" s="111">
        <v>9.798512781</v>
      </c>
      <c r="O24" s="298">
        <v>0.0</v>
      </c>
      <c r="P24" s="114"/>
      <c r="Q24" s="114"/>
      <c r="R24" s="121" t="str">
        <f t="shared" si="11"/>
        <v/>
      </c>
      <c r="S24" s="116">
        <f t="shared" si="12"/>
        <v>0.2288425133</v>
      </c>
      <c r="T24" s="130"/>
      <c r="U24" s="118">
        <f t="shared" si="13"/>
        <v>0.39435</v>
      </c>
      <c r="V24" s="119">
        <v>1.0</v>
      </c>
      <c r="W24" s="120">
        <f t="shared" si="14"/>
        <v>1</v>
      </c>
      <c r="X24" s="119">
        <v>1.0</v>
      </c>
      <c r="Y24" s="120">
        <f t="shared" si="15"/>
        <v>1</v>
      </c>
      <c r="Z24" s="299"/>
      <c r="AA24" s="299"/>
      <c r="AB24" s="300" t="str">
        <f t="shared" si="16"/>
        <v/>
      </c>
      <c r="AC24" s="301">
        <f t="shared" si="17"/>
        <v>0.3490201688</v>
      </c>
      <c r="AD24" s="122">
        <v>0.0</v>
      </c>
      <c r="AE24" s="123">
        <v>0.0</v>
      </c>
      <c r="AF24" s="123">
        <v>0.0</v>
      </c>
      <c r="AG24" s="316">
        <v>0.0</v>
      </c>
      <c r="AH24" s="124">
        <v>0.008978277</v>
      </c>
      <c r="AI24" s="317">
        <v>0.0</v>
      </c>
      <c r="AJ24" s="125">
        <v>0.003691566</v>
      </c>
      <c r="AK24" s="319">
        <v>0.0</v>
      </c>
      <c r="AL24" s="319">
        <v>0.0</v>
      </c>
      <c r="AM24" s="302">
        <v>0.0</v>
      </c>
      <c r="AN24" s="149" t="str">
        <f>IFERROR(
  AVERAGEIFS(
    'New 20102013 LF Efficacy'!$J:$J,
    'New 20102013 LF Efficacy'!$D:$D, $A24,
    'New 20102013 LF Efficacy'!$F:$F,"DEC", 
    'New 20102013 LF Efficacy'!$W:$W,"&lt;2014",
    'New 20102013 LF Efficacy'!$AA:$AA,""),
  ""
)</f>
        <v/>
      </c>
      <c r="AO24" s="115">
        <f t="shared" si="18"/>
        <v>0.2589833333</v>
      </c>
      <c r="AP24" s="121" t="str">
        <f>IFERROR(
AVERAGEIFS(
'New 20102013 LF Efficacy'!$J:$J,
'New 20102013 LF Efficacy'!$D:$D,$A24,
'New 20102013 LF Efficacy'!$F:$F,"Albendazole &amp; DEC",
'New 20102013 LF Efficacy'!$W:$W,"&lt;2014",
'New 20102013 LF Efficacy'!$AA:$AA,""),
"")
</f>
        <v/>
      </c>
      <c r="AQ24" s="115">
        <f t="shared" si="19"/>
        <v>0.3465</v>
      </c>
      <c r="AR24" s="121" t="str">
        <f>IFERROR(
AVERAGEIFS(
'New 20102013 LF Efficacy'!$J:$J,
'New 20102013 LF Efficacy'!$D:$D,$A24,
'New 20102013 LF Efficacy'!$F:$F,"Albendazole &amp; Ivermectin", 
'New 20102013 LF Efficacy'!$W:$W,"&lt;2014",
'New 20102013 LF Efficacy'!$AA:$AA,""),"")</f>
        <v/>
      </c>
      <c r="AS24" s="115">
        <f t="shared" si="20"/>
        <v>0.7575</v>
      </c>
      <c r="AT24" s="130" t="str">
        <f>IFERROR(AVERAGEIFS(
'20102013 Schist Efficacy'!$O:$O, 
'20102013 Schist Efficacy'!$C:$C,$A24, 
'20102013 Schist Efficacy'!$D:$D, "Praziquantel",
'20102013 Schist Efficacy'!$J:$J,"&lt;2014",
'20102013 Schist Efficacy'!$U:$U,""),
"")</f>
        <v/>
      </c>
      <c r="AU24" s="118">
        <f t="shared" si="21"/>
        <v>0.7914761905</v>
      </c>
      <c r="AV24" s="131" t="str">
        <f>IFERROR(AVERAGEIFS(
'20102013 STH Efficacy'!$AX:$AX, 
'20102013 STH Efficacy'!$AL:$AL, $A24, 
'20102013 STH Efficacy'!$AM:$AM, "Albendazole",
'20102013 STH Efficacy'!$AS:$AS,"&lt;2014",
'20102013 STH Efficacy'!$BP:$BP,""),
"")</f>
        <v/>
      </c>
      <c r="AW24" s="132">
        <f t="shared" si="22"/>
        <v>0.3945</v>
      </c>
      <c r="AX24" s="131" t="str">
        <f>IFERROR(AVERAGEIFS(
'20102013 STH Efficacy'!$AX:$AX, 
'20102013 STH Efficacy'!$AL:$AL, $A24, 
'20102013 STH Efficacy'!$AM:$AM, "Mebendazole",
'20102013 STH Efficacy'!$AS:$AS,"&lt;2014",
'20102013 STH Efficacy'!$BP:$BP,""),
"")</f>
        <v/>
      </c>
      <c r="AY24" s="132">
        <f t="shared" si="23"/>
        <v>0.6</v>
      </c>
      <c r="AZ24" s="131" t="str">
        <f>IFERROR(AVERAGEIFS(
'20102013 STH Efficacy'!$AX:$AX, 
'20102013 STH Efficacy'!$AL:$AL, $A24, 
'20102013 STH Efficacy'!$AM:$AM, "Albendazole &amp; Ivermectin",
'20102013 STH Efficacy'!$AS:$AS,"&lt;2014",
'20102013 STH Efficacy'!$BP:$BP,""),
"")</f>
        <v/>
      </c>
      <c r="BA24" s="303">
        <f t="shared" si="24"/>
        <v>0.796</v>
      </c>
      <c r="BB24" s="134" t="str">
        <f>IFERROR(AVERAGEIFS(
'20102013 STH Efficacy'!$N:$N, 
'20102013 STH Efficacy'!$B:$B, $A24, 
'20102013 STH Efficacy'!$C:$C, "Albendazole",
'20102013 STH Efficacy'!$I:$I,"&lt;2014",
'20102013 STH Efficacy'!$AH:$AH,""),
"")</f>
        <v/>
      </c>
      <c r="BC24" s="135">
        <f t="shared" si="25"/>
        <v>0.869</v>
      </c>
      <c r="BD24" s="134" t="str">
        <f>IFERROR(AVERAGEIFS(
'20102013 STH Efficacy'!$N:$N, 
'20102013 STH Efficacy'!$B:$B, $A24, 
'20102013 STH Efficacy'!$C:$C, "Mebendazole",
'20102013 STH Efficacy'!$I:$I,"&lt;2014",
'20102013 STH Efficacy'!$AH:$AH,""),
"")</f>
        <v/>
      </c>
      <c r="BE24" s="135">
        <f t="shared" si="26"/>
        <v>0.172</v>
      </c>
      <c r="BF24" s="128" t="str">
        <f>IFERROR(AVERAGEIFS(
'20102013 STH Efficacy'!$CD:$CD, 
'20102013 STH Efficacy'!$BS:$BS, $A24, 
'20102013 STH Efficacy'!$BT:$BT, "Albendazole",
'20102013 STH Efficacy'!$BZ:$BZ,"&lt;2014",
'20102013 STH Efficacy'!$CU:$CU,""),
"")</f>
        <v/>
      </c>
      <c r="BG24" s="136">
        <f t="shared" si="27"/>
        <v>0.9862</v>
      </c>
      <c r="BH24" s="128" t="str">
        <f>IFERROR(AVERAGEIFS(
'20102013 STH Efficacy'!$CD:$CD, 
'20102013 STH Efficacy'!$BS:$BS, $A24, 
'20102013 STH Efficacy'!$BT:$BT, "Mebendazole",
'20102013 STH Efficacy'!$BZ:$BZ,"&lt;2014",
'20102013 STH Efficacy'!$CU:$CU,""),
"")</f>
        <v/>
      </c>
      <c r="BI24" s="136">
        <f t="shared" si="28"/>
        <v>0.769</v>
      </c>
      <c r="BJ24" s="128" t="str">
        <f>IFERROR(AVERAGEIFS(
'20102013 STH Efficacy'!$CD:$CD, 
'20102013 STH Efficacy'!$BS:$BS, $A24, 
'20102013 STH Efficacy'!$BT:$BT, "Albendazole &amp; Ivermectin",
'20102013 STH Efficacy'!$BZ:$BZ,"&lt;2014",
'20102013 STH Efficacy'!$CU:$CU,""),
"")</f>
        <v/>
      </c>
      <c r="BK24" s="136">
        <f t="shared" si="29"/>
        <v>1</v>
      </c>
      <c r="BL24" s="300" t="str">
        <f>IFERROR(
  AVERAGEIFS(
    'NEW 20102013 Onchocerciasis Eff'!$AO:$AO,
    'NEW 20102013 Onchocerciasis Eff'!$C:$C,$A24,
    'NEW 20102013 Onchocerciasis Eff'!$D:$D,"Ivermectin",
    'NEW 20102013 Onchocerciasis Eff'!$AR:$AR,"&lt;2014",
    'NEW 20102013 Onchocerciasis Eff'!$BG:$BG,"")
,"")</f>
        <v/>
      </c>
      <c r="BM24" s="304">
        <f t="shared" si="30"/>
        <v>0.3734</v>
      </c>
      <c r="BN24" s="305">
        <v>0.0</v>
      </c>
      <c r="BO24" s="139">
        <v>0.0</v>
      </c>
      <c r="BP24" s="140">
        <v>0.0</v>
      </c>
      <c r="BQ24" s="141">
        <f t="shared" si="31"/>
        <v>0</v>
      </c>
      <c r="BR24" s="104" t="str">
        <f t="shared" si="32"/>
        <v>0000</v>
      </c>
      <c r="BS24" s="104" t="str">
        <f t="shared" si="33"/>
        <v>no action required</v>
      </c>
      <c r="BT24" s="142" t="str">
        <f t="shared" si="34"/>
        <v/>
      </c>
      <c r="BU24" s="104" t="str">
        <f t="shared" si="35"/>
        <v/>
      </c>
      <c r="BV24" s="104" t="str">
        <f t="shared" si="36"/>
        <v>none</v>
      </c>
      <c r="BW24" s="150" t="str">
        <f t="shared" si="37"/>
        <v/>
      </c>
      <c r="BX24" s="150" t="str">
        <f t="shared" si="38"/>
        <v/>
      </c>
      <c r="BY24" s="151" t="str">
        <f t="shared" si="39"/>
        <v/>
      </c>
      <c r="BZ24" s="152" t="str">
        <f t="shared" si="40"/>
        <v/>
      </c>
      <c r="CA24" s="152" t="str">
        <f t="shared" si="41"/>
        <v/>
      </c>
      <c r="CB24" s="152" t="str">
        <f t="shared" si="42"/>
        <v/>
      </c>
      <c r="CC24" s="153" t="str">
        <f t="shared" si="43"/>
        <v/>
      </c>
      <c r="CD24" s="153" t="str">
        <f t="shared" si="44"/>
        <v/>
      </c>
      <c r="CE24" s="154" t="str">
        <f t="shared" si="45"/>
        <v/>
      </c>
      <c r="CF24" s="154" t="str">
        <f t="shared" si="46"/>
        <v/>
      </c>
      <c r="CG24" s="154" t="str">
        <f t="shared" si="47"/>
        <v/>
      </c>
      <c r="CH24" s="308" t="str">
        <f t="shared" si="48"/>
        <v/>
      </c>
      <c r="CI24" s="299">
        <f t="shared" si="49"/>
        <v>0</v>
      </c>
    </row>
    <row r="25">
      <c r="A25" s="103" t="s">
        <v>114</v>
      </c>
      <c r="B25" s="104" t="s">
        <v>92</v>
      </c>
      <c r="C25" s="105">
        <v>1.0004451E7</v>
      </c>
      <c r="D25" s="293">
        <v>6871.9</v>
      </c>
      <c r="E25" s="294">
        <v>37324.87617</v>
      </c>
      <c r="F25" s="309">
        <v>0.083377965</v>
      </c>
      <c r="G25" s="309">
        <v>0.396539783</v>
      </c>
      <c r="H25" s="108">
        <v>0.479917747</v>
      </c>
      <c r="I25" s="109">
        <v>200.529791</v>
      </c>
      <c r="J25" s="109">
        <v>501.672195</v>
      </c>
      <c r="K25" s="109">
        <v>702.2019858</v>
      </c>
      <c r="L25" s="112">
        <v>2423.10383</v>
      </c>
      <c r="M25" s="112">
        <v>427.8599</v>
      </c>
      <c r="N25" s="111">
        <v>2850.96373</v>
      </c>
      <c r="O25" s="298">
        <v>452.3884753</v>
      </c>
      <c r="P25" s="160">
        <v>3747913.0</v>
      </c>
      <c r="Q25" s="160">
        <v>1155182.0</v>
      </c>
      <c r="R25" s="121">
        <f t="shared" si="11"/>
        <v>0.3082200681</v>
      </c>
      <c r="S25" s="116">
        <f t="shared" si="12"/>
        <v>0.3082200681</v>
      </c>
      <c r="T25" s="118">
        <v>0.0514</v>
      </c>
      <c r="U25" s="118">
        <f t="shared" si="13"/>
        <v>0.0514</v>
      </c>
      <c r="V25" s="148"/>
      <c r="W25" s="120">
        <f t="shared" si="14"/>
        <v>0.8114541667</v>
      </c>
      <c r="X25" s="119">
        <v>0.1333</v>
      </c>
      <c r="Y25" s="120">
        <f t="shared" si="15"/>
        <v>0.1333</v>
      </c>
      <c r="Z25" s="310">
        <v>3427756.0</v>
      </c>
      <c r="AA25" s="310">
        <v>2764755.0</v>
      </c>
      <c r="AB25" s="300">
        <f t="shared" si="16"/>
        <v>0.8065787063</v>
      </c>
      <c r="AC25" s="301">
        <f t="shared" si="17"/>
        <v>0.8065787063</v>
      </c>
      <c r="AD25" s="122">
        <v>0.0117</v>
      </c>
      <c r="AE25" s="123">
        <v>0.39</v>
      </c>
      <c r="AF25" s="123">
        <v>0.097</v>
      </c>
      <c r="AG25" s="124">
        <v>0.0176</v>
      </c>
      <c r="AH25" s="124">
        <v>0.028293127</v>
      </c>
      <c r="AI25" s="125">
        <v>0.0348</v>
      </c>
      <c r="AJ25" s="125">
        <v>0.056423296</v>
      </c>
      <c r="AK25" s="127">
        <v>0.0652</v>
      </c>
      <c r="AL25" s="127">
        <v>0.1023</v>
      </c>
      <c r="AM25" s="302">
        <v>5.0E-4</v>
      </c>
      <c r="AN25" s="149" t="str">
        <f>IFERROR(
  AVERAGEIFS(
    'New 20102013 LF Efficacy'!$J:$J,
    'New 20102013 LF Efficacy'!$D:$D, $A25,
    'New 20102013 LF Efficacy'!$F:$F,"DEC", 
    'New 20102013 LF Efficacy'!$W:$W,"&lt;2014",
    'New 20102013 LF Efficacy'!$AA:$AA,""),
  ""
)</f>
        <v/>
      </c>
      <c r="AO25" s="115">
        <f t="shared" si="18"/>
        <v>0.31225</v>
      </c>
      <c r="AP25" s="121" t="str">
        <f>IFERROR(
AVERAGEIFS(
'New 20102013 LF Efficacy'!$J:$J,
'New 20102013 LF Efficacy'!$D:$D,$A25,
'New 20102013 LF Efficacy'!$F:$F,"Albendazole &amp; DEC",
'New 20102013 LF Efficacy'!$W:$W,"&lt;2014",
'New 20102013 LF Efficacy'!$AA:$AA,""),
"")
</f>
        <v/>
      </c>
      <c r="AQ25" s="115">
        <f t="shared" si="19"/>
        <v>0.4</v>
      </c>
      <c r="AR25" s="121" t="str">
        <f>IFERROR(
AVERAGEIFS(
'New 20102013 LF Efficacy'!$J:$J,
'New 20102013 LF Efficacy'!$D:$D,$A25,
'New 20102013 LF Efficacy'!$F:$F,"Albendazole &amp; Ivermectin", 
'New 20102013 LF Efficacy'!$W:$W,"&lt;2014",
'New 20102013 LF Efficacy'!$AA:$AA,""),"")</f>
        <v/>
      </c>
      <c r="AS25" s="115">
        <f t="shared" si="20"/>
        <v>0.2943125</v>
      </c>
      <c r="AT25" s="130" t="str">
        <f>IFERROR(AVERAGEIFS(
'20102013 Schist Efficacy'!$O:$O, 
'20102013 Schist Efficacy'!$C:$C,$A25, 
'20102013 Schist Efficacy'!$D:$D, "Praziquantel",
'20102013 Schist Efficacy'!$J:$J,"&lt;2014",
'20102013 Schist Efficacy'!$U:$U,""),
"")</f>
        <v/>
      </c>
      <c r="AU25" s="118">
        <f t="shared" si="21"/>
        <v>0.7192212527</v>
      </c>
      <c r="AV25" s="131" t="str">
        <f>IFERROR(AVERAGEIFS(
'20102013 STH Efficacy'!$AX:$AX, 
'20102013 STH Efficacy'!$AL:$AL, $A25, 
'20102013 STH Efficacy'!$AM:$AM, "Albendazole",
'20102013 STH Efficacy'!$AS:$AS,"&lt;2014",
'20102013 STH Efficacy'!$BP:$BP,""),
"")</f>
        <v/>
      </c>
      <c r="AW25" s="132">
        <f t="shared" si="22"/>
        <v>0.3816333333</v>
      </c>
      <c r="AX25" s="131" t="str">
        <f>IFERROR(AVERAGEIFS(
'20102013 STH Efficacy'!$AX:$AX, 
'20102013 STH Efficacy'!$AL:$AL, $A25, 
'20102013 STH Efficacy'!$AM:$AM, "Mebendazole",
'20102013 STH Efficacy'!$AS:$AS,"&lt;2014",
'20102013 STH Efficacy'!$BP:$BP,""),
"")</f>
        <v/>
      </c>
      <c r="AY25" s="132">
        <f t="shared" si="23"/>
        <v>0.5675833333</v>
      </c>
      <c r="AZ25" s="131" t="str">
        <f>IFERROR(AVERAGEIFS(
'20102013 STH Efficacy'!$AX:$AX, 
'20102013 STH Efficacy'!$AL:$AL, $A25, 
'20102013 STH Efficacy'!$AM:$AM, "Albendazole &amp; Ivermectin",
'20102013 STH Efficacy'!$AS:$AS,"&lt;2014",
'20102013 STH Efficacy'!$BP:$BP,""),
"")</f>
        <v/>
      </c>
      <c r="BA25" s="303">
        <f t="shared" si="24"/>
        <v>0.47175</v>
      </c>
      <c r="BB25" s="134" t="str">
        <f>IFERROR(AVERAGEIFS(
'20102013 STH Efficacy'!$N:$N, 
'20102013 STH Efficacy'!$B:$B, $A25, 
'20102013 STH Efficacy'!$C:$C, "Albendazole",
'20102013 STH Efficacy'!$I:$I,"&lt;2014",
'20102013 STH Efficacy'!$AH:$AH,""),
"")</f>
        <v/>
      </c>
      <c r="BC25" s="135">
        <f t="shared" si="25"/>
        <v>0.8699166667</v>
      </c>
      <c r="BD25" s="134" t="str">
        <f>IFERROR(AVERAGEIFS(
'20102013 STH Efficacy'!$N:$N, 
'20102013 STH Efficacy'!$B:$B, $A25, 
'20102013 STH Efficacy'!$C:$C, "Mebendazole",
'20102013 STH Efficacy'!$I:$I,"&lt;2014",
'20102013 STH Efficacy'!$AH:$AH,""),
"")</f>
        <v/>
      </c>
      <c r="BE25" s="135">
        <f t="shared" si="26"/>
        <v>0.7092416667</v>
      </c>
      <c r="BF25" s="128" t="str">
        <f>IFERROR(AVERAGEIFS(
'20102013 STH Efficacy'!$CD:$CD, 
'20102013 STH Efficacy'!$BS:$BS, $A25, 
'20102013 STH Efficacy'!$BT:$BT, "Albendazole",
'20102013 STH Efficacy'!$BZ:$BZ,"&lt;2014",
'20102013 STH Efficacy'!$CU:$CU,""),
"")</f>
        <v/>
      </c>
      <c r="BG25" s="136">
        <f t="shared" si="27"/>
        <v>0.9066666667</v>
      </c>
      <c r="BH25" s="128" t="str">
        <f>IFERROR(AVERAGEIFS(
'20102013 STH Efficacy'!$CD:$CD, 
'20102013 STH Efficacy'!$BS:$BS, $A25, 
'20102013 STH Efficacy'!$BT:$BT, "Mebendazole",
'20102013 STH Efficacy'!$BZ:$BZ,"&lt;2014",
'20102013 STH Efficacy'!$CU:$CU,""),
"")</f>
        <v/>
      </c>
      <c r="BI25" s="136">
        <f t="shared" si="28"/>
        <v>0.9358666667</v>
      </c>
      <c r="BJ25" s="128" t="str">
        <f>IFERROR(AVERAGEIFS(
'20102013 STH Efficacy'!$CD:$CD, 
'20102013 STH Efficacy'!$BS:$BS, $A25, 
'20102013 STH Efficacy'!$BT:$BT, "Albendazole &amp; Ivermectin",
'20102013 STH Efficacy'!$BZ:$BZ,"&lt;2014",
'20102013 STH Efficacy'!$CU:$CU,""),
"")</f>
        <v/>
      </c>
      <c r="BK25" s="136">
        <f t="shared" si="29"/>
        <v>1</v>
      </c>
      <c r="BL25" s="300" t="str">
        <f>IFERROR(
  AVERAGEIFS(
    'NEW 20102013 Onchocerciasis Eff'!$AO:$AO,
    'NEW 20102013 Onchocerciasis Eff'!$C:$C,$A25,
    'NEW 20102013 Onchocerciasis Eff'!$D:$D,"Ivermectin",
    'NEW 20102013 Onchocerciasis Eff'!$AR:$AR,"&lt;2014",
    'NEW 20102013 Onchocerciasis Eff'!$BG:$BG,"")
,"")</f>
        <v/>
      </c>
      <c r="BM25" s="304">
        <f t="shared" si="30"/>
        <v>0.8390421645</v>
      </c>
      <c r="BN25" s="305">
        <v>1.0</v>
      </c>
      <c r="BO25" s="139">
        <v>1.0</v>
      </c>
      <c r="BP25" s="140">
        <v>1.0</v>
      </c>
      <c r="BQ25" s="141">
        <f t="shared" si="31"/>
        <v>0</v>
      </c>
      <c r="BR25" s="104" t="str">
        <f t="shared" si="32"/>
        <v>1110</v>
      </c>
      <c r="BS25" s="104" t="str">
        <f t="shared" si="33"/>
        <v>MDA1+T2</v>
      </c>
      <c r="BT25" s="142" t="str">
        <f t="shared" si="34"/>
        <v>IVM+ALB</v>
      </c>
      <c r="BU25" s="104" t="str">
        <f t="shared" si="35"/>
        <v>PZQ</v>
      </c>
      <c r="BV25" s="104" t="str">
        <f t="shared" si="36"/>
        <v>lf+onch+schist </v>
      </c>
      <c r="BW25" s="150" t="str">
        <f t="shared" si="37"/>
        <v/>
      </c>
      <c r="BX25" s="312">
        <f t="shared" si="38"/>
        <v>685.560012</v>
      </c>
      <c r="BY25" s="162">
        <f t="shared" si="39"/>
        <v>1432.792422</v>
      </c>
      <c r="BZ25" s="152" t="str">
        <f t="shared" si="40"/>
        <v/>
      </c>
      <c r="CA25" s="152" t="str">
        <f t="shared" si="41"/>
        <v/>
      </c>
      <c r="CB25" s="152" t="str">
        <f t="shared" si="42"/>
        <v/>
      </c>
      <c r="CC25" s="153" t="str">
        <f t="shared" si="43"/>
        <v/>
      </c>
      <c r="CD25" s="153" t="str">
        <f t="shared" si="44"/>
        <v/>
      </c>
      <c r="CE25" s="154" t="str">
        <f t="shared" si="45"/>
        <v/>
      </c>
      <c r="CF25" s="154" t="str">
        <f t="shared" si="46"/>
        <v/>
      </c>
      <c r="CG25" s="154" t="str">
        <f t="shared" si="47"/>
        <v/>
      </c>
      <c r="CH25" s="313">
        <f t="shared" si="48"/>
        <v>31.5709059</v>
      </c>
      <c r="CI25" s="299">
        <f t="shared" si="49"/>
        <v>0</v>
      </c>
    </row>
    <row r="26">
      <c r="A26" s="155" t="s">
        <v>115</v>
      </c>
      <c r="B26" s="104" t="s">
        <v>98</v>
      </c>
      <c r="C26" s="105">
        <v>65001.0</v>
      </c>
      <c r="D26" s="293">
        <v>0.0</v>
      </c>
      <c r="E26" s="294">
        <v>0.0</v>
      </c>
      <c r="F26" s="307">
        <v>0.0</v>
      </c>
      <c r="G26" s="307">
        <v>0.0</v>
      </c>
      <c r="H26" s="108">
        <v>0.0</v>
      </c>
      <c r="I26" s="109">
        <v>2.26E-4</v>
      </c>
      <c r="J26" s="109">
        <v>6.0754E-4</v>
      </c>
      <c r="K26" s="109">
        <v>8.33543E-4</v>
      </c>
      <c r="L26" s="112">
        <v>0.0</v>
      </c>
      <c r="M26" s="112">
        <v>0.0</v>
      </c>
      <c r="N26" s="111">
        <v>0.0</v>
      </c>
      <c r="O26" s="298">
        <v>0.0</v>
      </c>
      <c r="P26" s="114"/>
      <c r="Q26" s="114"/>
      <c r="R26" s="121" t="str">
        <f t="shared" si="11"/>
        <v/>
      </c>
      <c r="S26" s="116">
        <f t="shared" si="12"/>
        <v>0.2288425133</v>
      </c>
      <c r="T26" s="130"/>
      <c r="U26" s="118">
        <f t="shared" si="13"/>
        <v>0.39435</v>
      </c>
      <c r="V26" s="148"/>
      <c r="W26" s="120">
        <f t="shared" si="14"/>
        <v>0.542475</v>
      </c>
      <c r="X26" s="148"/>
      <c r="Y26" s="120">
        <f t="shared" si="15"/>
        <v>0.6507333333</v>
      </c>
      <c r="Z26" s="299"/>
      <c r="AA26" s="299"/>
      <c r="AB26" s="300" t="str">
        <f t="shared" si="16"/>
        <v/>
      </c>
      <c r="AC26" s="301">
        <f t="shared" si="17"/>
        <v>0.3490201688</v>
      </c>
      <c r="AD26" s="122">
        <v>0.0</v>
      </c>
      <c r="AE26" s="123">
        <v>0.0</v>
      </c>
      <c r="AF26" s="123">
        <v>0.0</v>
      </c>
      <c r="AG26" s="124">
        <v>0.0</v>
      </c>
      <c r="AH26" s="124">
        <v>1.17024E-5</v>
      </c>
      <c r="AI26" s="125">
        <v>0.0</v>
      </c>
      <c r="AJ26" s="125">
        <v>1.10282E-5</v>
      </c>
      <c r="AK26" s="127">
        <v>0.0</v>
      </c>
      <c r="AL26" s="127">
        <v>0.0</v>
      </c>
      <c r="AM26" s="302">
        <v>0.0</v>
      </c>
      <c r="AN26" s="149" t="str">
        <f>IFERROR(
  AVERAGEIFS(
    'New 20102013 LF Efficacy'!$J:$J,
    'New 20102013 LF Efficacy'!$D:$D, $A26,
    'New 20102013 LF Efficacy'!$F:$F,"DEC", 
    'New 20102013 LF Efficacy'!$W:$W,"&lt;2014",
    'New 20102013 LF Efficacy'!$AA:$AA,""),
  ""
)</f>
        <v/>
      </c>
      <c r="AO26" s="115">
        <f t="shared" si="18"/>
        <v>0.2589833333</v>
      </c>
      <c r="AP26" s="121" t="str">
        <f>IFERROR(
AVERAGEIFS(
'New 20102013 LF Efficacy'!$J:$J,
'New 20102013 LF Efficacy'!$D:$D,$A26,
'New 20102013 LF Efficacy'!$F:$F,"Albendazole &amp; DEC",
'New 20102013 LF Efficacy'!$W:$W,"&lt;2014",
'New 20102013 LF Efficacy'!$AA:$AA,""),
"")
</f>
        <v/>
      </c>
      <c r="AQ26" s="115">
        <f t="shared" si="19"/>
        <v>0.3465</v>
      </c>
      <c r="AR26" s="121" t="str">
        <f>IFERROR(
AVERAGEIFS(
'New 20102013 LF Efficacy'!$J:$J,
'New 20102013 LF Efficacy'!$D:$D,$A26,
'New 20102013 LF Efficacy'!$F:$F,"Albendazole &amp; Ivermectin", 
'New 20102013 LF Efficacy'!$W:$W,"&lt;2014",
'New 20102013 LF Efficacy'!$AA:$AA,""),"")</f>
        <v/>
      </c>
      <c r="AS26" s="115">
        <f t="shared" si="20"/>
        <v>0.7575</v>
      </c>
      <c r="AT26" s="130" t="str">
        <f>IFERROR(AVERAGEIFS(
'20102013 Schist Efficacy'!$O:$O, 
'20102013 Schist Efficacy'!$C:$C,$A26, 
'20102013 Schist Efficacy'!$D:$D, "Praziquantel",
'20102013 Schist Efficacy'!$J:$J,"&lt;2014",
'20102013 Schist Efficacy'!$U:$U,""),
"")</f>
        <v/>
      </c>
      <c r="AU26" s="118">
        <f t="shared" si="21"/>
        <v>0.7914761905</v>
      </c>
      <c r="AV26" s="131" t="str">
        <f>IFERROR(AVERAGEIFS(
'20102013 STH Efficacy'!$AX:$AX, 
'20102013 STH Efficacy'!$AL:$AL, $A26, 
'20102013 STH Efficacy'!$AM:$AM, "Albendazole",
'20102013 STH Efficacy'!$AS:$AS,"&lt;2014",
'20102013 STH Efficacy'!$BP:$BP,""),
"")</f>
        <v/>
      </c>
      <c r="AW26" s="132">
        <f t="shared" si="22"/>
        <v>0.3945</v>
      </c>
      <c r="AX26" s="131" t="str">
        <f>IFERROR(AVERAGEIFS(
'20102013 STH Efficacy'!$AX:$AX, 
'20102013 STH Efficacy'!$AL:$AL, $A26, 
'20102013 STH Efficacy'!$AM:$AM, "Mebendazole",
'20102013 STH Efficacy'!$AS:$AS,"&lt;2014",
'20102013 STH Efficacy'!$BP:$BP,""),
"")</f>
        <v/>
      </c>
      <c r="AY26" s="132">
        <f t="shared" si="23"/>
        <v>0.6</v>
      </c>
      <c r="AZ26" s="131" t="str">
        <f>IFERROR(AVERAGEIFS(
'20102013 STH Efficacy'!$AX:$AX, 
'20102013 STH Efficacy'!$AL:$AL, $A26, 
'20102013 STH Efficacy'!$AM:$AM, "Albendazole &amp; Ivermectin",
'20102013 STH Efficacy'!$AS:$AS,"&lt;2014",
'20102013 STH Efficacy'!$BP:$BP,""),
"")</f>
        <v/>
      </c>
      <c r="BA26" s="303">
        <f t="shared" si="24"/>
        <v>0.796</v>
      </c>
      <c r="BB26" s="134" t="str">
        <f>IFERROR(AVERAGEIFS(
'20102013 STH Efficacy'!$N:$N, 
'20102013 STH Efficacy'!$B:$B, $A26, 
'20102013 STH Efficacy'!$C:$C, "Albendazole",
'20102013 STH Efficacy'!$I:$I,"&lt;2014",
'20102013 STH Efficacy'!$AH:$AH,""),
"")</f>
        <v/>
      </c>
      <c r="BC26" s="135">
        <f t="shared" si="25"/>
        <v>0.869</v>
      </c>
      <c r="BD26" s="134" t="str">
        <f>IFERROR(AVERAGEIFS(
'20102013 STH Efficacy'!$N:$N, 
'20102013 STH Efficacy'!$B:$B, $A26, 
'20102013 STH Efficacy'!$C:$C, "Mebendazole",
'20102013 STH Efficacy'!$I:$I,"&lt;2014",
'20102013 STH Efficacy'!$AH:$AH,""),
"")</f>
        <v/>
      </c>
      <c r="BE26" s="135">
        <f t="shared" si="26"/>
        <v>0.172</v>
      </c>
      <c r="BF26" s="128" t="str">
        <f>IFERROR(AVERAGEIFS(
'20102013 STH Efficacy'!$CD:$CD, 
'20102013 STH Efficacy'!$BS:$BS, $A26, 
'20102013 STH Efficacy'!$BT:$BT, "Albendazole",
'20102013 STH Efficacy'!$BZ:$BZ,"&lt;2014",
'20102013 STH Efficacy'!$CU:$CU,""),
"")</f>
        <v/>
      </c>
      <c r="BG26" s="136">
        <f t="shared" si="27"/>
        <v>0.9862</v>
      </c>
      <c r="BH26" s="128" t="str">
        <f>IFERROR(AVERAGEIFS(
'20102013 STH Efficacy'!$CD:$CD, 
'20102013 STH Efficacy'!$BS:$BS, $A26, 
'20102013 STH Efficacy'!$BT:$BT, "Mebendazole",
'20102013 STH Efficacy'!$BZ:$BZ,"&lt;2014",
'20102013 STH Efficacy'!$CU:$CU,""),
"")</f>
        <v/>
      </c>
      <c r="BI26" s="136">
        <f t="shared" si="28"/>
        <v>0.769</v>
      </c>
      <c r="BJ26" s="128" t="str">
        <f>IFERROR(AVERAGEIFS(
'20102013 STH Efficacy'!$CD:$CD, 
'20102013 STH Efficacy'!$BS:$BS, $A26, 
'20102013 STH Efficacy'!$BT:$BT, "Albendazole &amp; Ivermectin",
'20102013 STH Efficacy'!$BZ:$BZ,"&lt;2014",
'20102013 STH Efficacy'!$CU:$CU,""),
"")</f>
        <v/>
      </c>
      <c r="BK26" s="136">
        <f t="shared" si="29"/>
        <v>1</v>
      </c>
      <c r="BL26" s="300" t="str">
        <f>IFERROR(
  AVERAGEIFS(
    'NEW 20102013 Onchocerciasis Eff'!$AO:$AO,
    'NEW 20102013 Onchocerciasis Eff'!$C:$C,$A26,
    'NEW 20102013 Onchocerciasis Eff'!$D:$D,"Ivermectin",
    'NEW 20102013 Onchocerciasis Eff'!$AR:$AR,"&lt;2014",
    'NEW 20102013 Onchocerciasis Eff'!$BG:$BG,"")
,"")</f>
        <v/>
      </c>
      <c r="BM26" s="304">
        <f t="shared" si="30"/>
        <v>0.3734</v>
      </c>
      <c r="BN26" s="305">
        <v>0.0</v>
      </c>
      <c r="BO26" s="139">
        <v>0.0</v>
      </c>
      <c r="BP26" s="140">
        <v>0.0</v>
      </c>
      <c r="BQ26" s="141">
        <f t="shared" si="31"/>
        <v>0</v>
      </c>
      <c r="BR26" s="104" t="str">
        <f t="shared" si="32"/>
        <v>0000</v>
      </c>
      <c r="BS26" s="104" t="str">
        <f t="shared" si="33"/>
        <v>no action required</v>
      </c>
      <c r="BT26" s="142" t="str">
        <f t="shared" si="34"/>
        <v/>
      </c>
      <c r="BU26" s="104" t="str">
        <f t="shared" si="35"/>
        <v/>
      </c>
      <c r="BV26" s="104" t="str">
        <f t="shared" si="36"/>
        <v>none</v>
      </c>
      <c r="BW26" s="150" t="str">
        <f t="shared" si="37"/>
        <v/>
      </c>
      <c r="BX26" s="150" t="str">
        <f t="shared" si="38"/>
        <v/>
      </c>
      <c r="BY26" s="151" t="str">
        <f t="shared" si="39"/>
        <v/>
      </c>
      <c r="BZ26" s="152" t="str">
        <f t="shared" si="40"/>
        <v/>
      </c>
      <c r="CA26" s="152" t="str">
        <f t="shared" si="41"/>
        <v/>
      </c>
      <c r="CB26" s="152" t="str">
        <f t="shared" si="42"/>
        <v/>
      </c>
      <c r="CC26" s="153" t="str">
        <f t="shared" si="43"/>
        <v/>
      </c>
      <c r="CD26" s="153" t="str">
        <f t="shared" si="44"/>
        <v/>
      </c>
      <c r="CE26" s="154" t="str">
        <f t="shared" si="45"/>
        <v/>
      </c>
      <c r="CF26" s="154" t="str">
        <f t="shared" si="46"/>
        <v/>
      </c>
      <c r="CG26" s="154" t="str">
        <f t="shared" si="47"/>
        <v/>
      </c>
      <c r="CH26" s="308" t="str">
        <f t="shared" si="48"/>
        <v/>
      </c>
      <c r="CI26" s="299">
        <f t="shared" si="49"/>
        <v>0</v>
      </c>
    </row>
    <row r="27">
      <c r="A27" s="103" t="s">
        <v>116</v>
      </c>
      <c r="B27" s="104" t="s">
        <v>109</v>
      </c>
      <c r="C27" s="105">
        <v>764961.0</v>
      </c>
      <c r="D27" s="293">
        <v>0.0</v>
      </c>
      <c r="E27" s="294">
        <v>0.0</v>
      </c>
      <c r="F27" s="309">
        <v>0.046109145</v>
      </c>
      <c r="G27" s="309">
        <v>0.228496157</v>
      </c>
      <c r="H27" s="108">
        <v>0.274605302</v>
      </c>
      <c r="I27" s="109">
        <v>2.73511902</v>
      </c>
      <c r="J27" s="109">
        <v>5.64033906</v>
      </c>
      <c r="K27" s="109">
        <v>8.375458077</v>
      </c>
      <c r="L27" s="112">
        <v>35.23591142</v>
      </c>
      <c r="M27" s="112">
        <v>13.53629245</v>
      </c>
      <c r="N27" s="111">
        <v>48.77220387</v>
      </c>
      <c r="O27" s="298">
        <v>0.0</v>
      </c>
      <c r="P27" s="114"/>
      <c r="Q27" s="114"/>
      <c r="R27" s="121" t="str">
        <f t="shared" si="11"/>
        <v/>
      </c>
      <c r="S27" s="116">
        <f t="shared" si="12"/>
        <v>0.3974936367</v>
      </c>
      <c r="T27" s="130"/>
      <c r="U27" s="118">
        <f t="shared" si="13"/>
        <v>0.7367</v>
      </c>
      <c r="V27" s="148"/>
      <c r="W27" s="120">
        <f t="shared" si="14"/>
        <v>0.4055571429</v>
      </c>
      <c r="X27" s="148"/>
      <c r="Y27" s="120">
        <f t="shared" si="15"/>
        <v>0.4403166667</v>
      </c>
      <c r="Z27" s="299"/>
      <c r="AA27" s="299"/>
      <c r="AB27" s="300" t="str">
        <f t="shared" si="16"/>
        <v/>
      </c>
      <c r="AC27" s="301">
        <f t="shared" si="17"/>
        <v>0.6295826791</v>
      </c>
      <c r="AD27" s="122">
        <v>0.0</v>
      </c>
      <c r="AE27" s="123">
        <v>0.0</v>
      </c>
      <c r="AF27" s="123">
        <v>0.0</v>
      </c>
      <c r="AG27" s="124">
        <v>0.033</v>
      </c>
      <c r="AH27" s="124">
        <v>0.053665611</v>
      </c>
      <c r="AI27" s="125">
        <v>0.0069</v>
      </c>
      <c r="AJ27" s="125">
        <v>0.0112707</v>
      </c>
      <c r="AK27" s="127">
        <v>0.0725</v>
      </c>
      <c r="AL27" s="127">
        <v>0.1166</v>
      </c>
      <c r="AM27" s="302">
        <v>0.0</v>
      </c>
      <c r="AN27" s="149" t="str">
        <f>IFERROR(
  AVERAGEIFS(
    'New 20102013 LF Efficacy'!$J:$J,
    'New 20102013 LF Efficacy'!$D:$D, $A27,
    'New 20102013 LF Efficacy'!$F:$F,"DEC", 
    'New 20102013 LF Efficacy'!$W:$W,"&lt;2014",
    'New 20102013 LF Efficacy'!$AA:$AA,""),
  ""
)</f>
        <v/>
      </c>
      <c r="AO27" s="115">
        <f t="shared" si="18"/>
        <v>0.478175</v>
      </c>
      <c r="AP27" s="121" t="str">
        <f>IFERROR(
AVERAGEIFS(
'New 20102013 LF Efficacy'!$J:$J,
'New 20102013 LF Efficacy'!$D:$D,$A27,
'New 20102013 LF Efficacy'!$F:$F,"Albendazole &amp; DEC",
'New 20102013 LF Efficacy'!$W:$W,"&lt;2014",
'New 20102013 LF Efficacy'!$AA:$AA,""),
"")
</f>
        <v/>
      </c>
      <c r="AQ27" s="115">
        <f t="shared" si="19"/>
        <v>0.5831666667</v>
      </c>
      <c r="AR27" s="121" t="str">
        <f>IFERROR(
AVERAGEIFS(
'New 20102013 LF Efficacy'!$J:$J,
'New 20102013 LF Efficacy'!$D:$D,$A27,
'New 20102013 LF Efficacy'!$F:$F,"Albendazole &amp; Ivermectin", 
'New 20102013 LF Efficacy'!$W:$W,"&lt;2014",
'New 20102013 LF Efficacy'!$AA:$AA,""),"")</f>
        <v/>
      </c>
      <c r="AS27" s="115">
        <f t="shared" si="20"/>
        <v>0.14</v>
      </c>
      <c r="AT27" s="130" t="str">
        <f>IFERROR(AVERAGEIFS(
'20102013 Schist Efficacy'!$O:$O, 
'20102013 Schist Efficacy'!$C:$C,$A27, 
'20102013 Schist Efficacy'!$D:$D, "Praziquantel",
'20102013 Schist Efficacy'!$J:$J,"&lt;2014",
'20102013 Schist Efficacy'!$U:$U,""),
"")</f>
        <v/>
      </c>
      <c r="AU27" s="118">
        <f t="shared" si="21"/>
        <v>0.7430399392</v>
      </c>
      <c r="AV27" s="131" t="str">
        <f>IFERROR(AVERAGEIFS(
'20102013 STH Efficacy'!$AX:$AX, 
'20102013 STH Efficacy'!$AL:$AL, $A27, 
'20102013 STH Efficacy'!$AM:$AM, "Albendazole",
'20102013 STH Efficacy'!$AS:$AS,"&lt;2014",
'20102013 STH Efficacy'!$BP:$BP,""),
"")</f>
        <v/>
      </c>
      <c r="AW27" s="132">
        <f t="shared" si="22"/>
        <v>0.4756666667</v>
      </c>
      <c r="AX27" s="131" t="str">
        <f>IFERROR(AVERAGEIFS(
'20102013 STH Efficacy'!$AX:$AX, 
'20102013 STH Efficacy'!$AL:$AL, $A27, 
'20102013 STH Efficacy'!$AM:$AM, "Mebendazole",
'20102013 STH Efficacy'!$AS:$AS,"&lt;2014",
'20102013 STH Efficacy'!$BP:$BP,""),
"")</f>
        <v/>
      </c>
      <c r="AY27" s="132">
        <f t="shared" si="23"/>
        <v>0.3786666667</v>
      </c>
      <c r="AZ27" s="131" t="str">
        <f>IFERROR(AVERAGEIFS(
'20102013 STH Efficacy'!$AX:$AX, 
'20102013 STH Efficacy'!$AL:$AL, $A27, 
'20102013 STH Efficacy'!$AM:$AM, "Albendazole &amp; Ivermectin",
'20102013 STH Efficacy'!$AS:$AS,"&lt;2014",
'20102013 STH Efficacy'!$BP:$BP,""),
"")</f>
        <v/>
      </c>
      <c r="BA27" s="303">
        <f t="shared" si="24"/>
        <v>0.597625</v>
      </c>
      <c r="BB27" s="134" t="str">
        <f>IFERROR(AVERAGEIFS(
'20102013 STH Efficacy'!$N:$N, 
'20102013 STH Efficacy'!$B:$B, $A27, 
'20102013 STH Efficacy'!$C:$C, "Albendazole",
'20102013 STH Efficacy'!$I:$I,"&lt;2014",
'20102013 STH Efficacy'!$AH:$AH,""),
"")</f>
        <v/>
      </c>
      <c r="BC27" s="135">
        <f t="shared" si="25"/>
        <v>0.7133333333</v>
      </c>
      <c r="BD27" s="134" t="str">
        <f>IFERROR(AVERAGEIFS(
'20102013 STH Efficacy'!$N:$N, 
'20102013 STH Efficacy'!$B:$B, $A27, 
'20102013 STH Efficacy'!$C:$C, "Mebendazole",
'20102013 STH Efficacy'!$I:$I,"&lt;2014",
'20102013 STH Efficacy'!$AH:$AH,""),
"")</f>
        <v/>
      </c>
      <c r="BE27" s="135">
        <f t="shared" si="26"/>
        <v>0.205</v>
      </c>
      <c r="BF27" s="128" t="str">
        <f>IFERROR(AVERAGEIFS(
'20102013 STH Efficacy'!$CD:$CD, 
'20102013 STH Efficacy'!$BS:$BS, $A27, 
'20102013 STH Efficacy'!$BT:$BT, "Albendazole",
'20102013 STH Efficacy'!$BZ:$BZ,"&lt;2014",
'20102013 STH Efficacy'!$CU:$CU,""),
"")</f>
        <v/>
      </c>
      <c r="BG27" s="136">
        <f t="shared" si="27"/>
        <v>0.83</v>
      </c>
      <c r="BH27" s="128" t="str">
        <f>IFERROR(AVERAGEIFS(
'20102013 STH Efficacy'!$CD:$CD, 
'20102013 STH Efficacy'!$BS:$BS, $A27, 
'20102013 STH Efficacy'!$BT:$BT, "Mebendazole",
'20102013 STH Efficacy'!$BZ:$BZ,"&lt;2014",
'20102013 STH Efficacy'!$CU:$CU,""),
"")</f>
        <v/>
      </c>
      <c r="BI27" s="136">
        <f t="shared" si="28"/>
        <v>1</v>
      </c>
      <c r="BJ27" s="128" t="str">
        <f>IFERROR(AVERAGEIFS(
'20102013 STH Efficacy'!$CD:$CD, 
'20102013 STH Efficacy'!$BS:$BS, $A27, 
'20102013 STH Efficacy'!$BT:$BT, "Albendazole &amp; Ivermectin",
'20102013 STH Efficacy'!$BZ:$BZ,"&lt;2014",
'20102013 STH Efficacy'!$CU:$CU,""),
"")</f>
        <v/>
      </c>
      <c r="BK27" s="136">
        <f t="shared" si="29"/>
        <v>1</v>
      </c>
      <c r="BL27" s="300" t="str">
        <f>IFERROR(
  AVERAGEIFS(
    'NEW 20102013 Onchocerciasis Eff'!$AO:$AO,
    'NEW 20102013 Onchocerciasis Eff'!$C:$C,$A27,
    'NEW 20102013 Onchocerciasis Eff'!$D:$D,"Ivermectin",
    'NEW 20102013 Onchocerciasis Eff'!$AR:$AR,"&lt;2014",
    'NEW 20102013 Onchocerciasis Eff'!$BG:$BG,"")
,"")</f>
        <v/>
      </c>
      <c r="BM27" s="304">
        <f t="shared" si="30"/>
        <v>0.7808368939</v>
      </c>
      <c r="BN27" s="305">
        <v>0.0</v>
      </c>
      <c r="BO27" s="139">
        <v>0.0</v>
      </c>
      <c r="BP27" s="140">
        <v>0.0</v>
      </c>
      <c r="BQ27" s="141">
        <f t="shared" si="31"/>
        <v>0</v>
      </c>
      <c r="BR27" s="104" t="str">
        <f t="shared" si="32"/>
        <v>0000</v>
      </c>
      <c r="BS27" s="104" t="str">
        <f t="shared" si="33"/>
        <v>no action required</v>
      </c>
      <c r="BT27" s="142" t="str">
        <f t="shared" si="34"/>
        <v/>
      </c>
      <c r="BU27" s="104" t="str">
        <f t="shared" si="35"/>
        <v/>
      </c>
      <c r="BV27" s="104" t="str">
        <f t="shared" si="36"/>
        <v>none</v>
      </c>
      <c r="BW27" s="150" t="str">
        <f t="shared" si="37"/>
        <v/>
      </c>
      <c r="BX27" s="150" t="str">
        <f t="shared" si="38"/>
        <v/>
      </c>
      <c r="BY27" s="151" t="str">
        <f t="shared" si="39"/>
        <v/>
      </c>
      <c r="BZ27" s="152" t="str">
        <f t="shared" si="40"/>
        <v/>
      </c>
      <c r="CA27" s="152" t="str">
        <f t="shared" si="41"/>
        <v/>
      </c>
      <c r="CB27" s="152" t="str">
        <f t="shared" si="42"/>
        <v/>
      </c>
      <c r="CC27" s="153" t="str">
        <f t="shared" si="43"/>
        <v/>
      </c>
      <c r="CD27" s="153" t="str">
        <f t="shared" si="44"/>
        <v/>
      </c>
      <c r="CE27" s="154" t="str">
        <f t="shared" si="45"/>
        <v/>
      </c>
      <c r="CF27" s="154" t="str">
        <f t="shared" si="46"/>
        <v/>
      </c>
      <c r="CG27" s="154" t="str">
        <f t="shared" si="47"/>
        <v/>
      </c>
      <c r="CH27" s="308" t="str">
        <f t="shared" si="48"/>
        <v/>
      </c>
      <c r="CI27" s="299">
        <f t="shared" si="49"/>
        <v>0</v>
      </c>
    </row>
    <row r="28">
      <c r="A28" s="155" t="s">
        <v>117</v>
      </c>
      <c r="B28" s="104" t="s">
        <v>98</v>
      </c>
      <c r="C28" s="105">
        <v>1.0400264E7</v>
      </c>
      <c r="D28" s="293">
        <v>0.0</v>
      </c>
      <c r="E28" s="294">
        <v>0.0</v>
      </c>
      <c r="F28" s="295">
        <v>5.835921761</v>
      </c>
      <c r="G28" s="295">
        <v>28.6528666</v>
      </c>
      <c r="H28" s="157">
        <v>34.48878836</v>
      </c>
      <c r="I28" s="110">
        <v>430.295626</v>
      </c>
      <c r="J28" s="110">
        <v>1320.64332</v>
      </c>
      <c r="K28" s="109">
        <v>1750.938946</v>
      </c>
      <c r="L28" s="112">
        <v>366.1473375</v>
      </c>
      <c r="M28" s="112">
        <v>124.7365411</v>
      </c>
      <c r="N28" s="111">
        <v>490.8838786</v>
      </c>
      <c r="O28" s="298">
        <v>0.0</v>
      </c>
      <c r="P28" s="114"/>
      <c r="Q28" s="114"/>
      <c r="R28" s="121" t="str">
        <f t="shared" si="11"/>
        <v/>
      </c>
      <c r="S28" s="116">
        <f t="shared" si="12"/>
        <v>0.2288425133</v>
      </c>
      <c r="T28" s="130"/>
      <c r="U28" s="118">
        <f t="shared" si="13"/>
        <v>0.39435</v>
      </c>
      <c r="V28" s="148"/>
      <c r="W28" s="120">
        <f t="shared" si="14"/>
        <v>0.542475</v>
      </c>
      <c r="X28" s="148"/>
      <c r="Y28" s="120">
        <f t="shared" si="15"/>
        <v>0.6507333333</v>
      </c>
      <c r="Z28" s="299"/>
      <c r="AA28" s="299"/>
      <c r="AB28" s="300" t="str">
        <f t="shared" si="16"/>
        <v/>
      </c>
      <c r="AC28" s="301">
        <f t="shared" si="17"/>
        <v>0.3490201688</v>
      </c>
      <c r="AD28" s="122">
        <v>0.0</v>
      </c>
      <c r="AE28" s="123">
        <v>0.0</v>
      </c>
      <c r="AF28" s="123">
        <v>0.0</v>
      </c>
      <c r="AG28" s="124">
        <v>0.0464</v>
      </c>
      <c r="AH28" s="124">
        <v>0.071531146</v>
      </c>
      <c r="AI28" s="125">
        <v>0.0843</v>
      </c>
      <c r="AJ28" s="125">
        <v>0.129402548</v>
      </c>
      <c r="AK28" s="127">
        <v>0.0473</v>
      </c>
      <c r="AL28" s="127">
        <v>0.0709</v>
      </c>
      <c r="AM28" s="302">
        <v>0.0</v>
      </c>
      <c r="AN28" s="149" t="str">
        <f>IFERROR(
  AVERAGEIFS(
    'New 20102013 LF Efficacy'!$J:$J,
    'New 20102013 LF Efficacy'!$D:$D, $A28,
    'New 20102013 LF Efficacy'!$F:$F,"DEC", 
    'New 20102013 LF Efficacy'!$W:$W,"&lt;2014",
    'New 20102013 LF Efficacy'!$AA:$AA,""),
  ""
)</f>
        <v/>
      </c>
      <c r="AO28" s="115">
        <f t="shared" si="18"/>
        <v>0.2589833333</v>
      </c>
      <c r="AP28" s="121" t="str">
        <f>IFERROR(
AVERAGEIFS(
'New 20102013 LF Efficacy'!$J:$J,
'New 20102013 LF Efficacy'!$D:$D,$A28,
'New 20102013 LF Efficacy'!$F:$F,"Albendazole &amp; DEC",
'New 20102013 LF Efficacy'!$W:$W,"&lt;2014",
'New 20102013 LF Efficacy'!$AA:$AA,""),
"")
</f>
        <v/>
      </c>
      <c r="AQ28" s="115">
        <f t="shared" si="19"/>
        <v>0.3465</v>
      </c>
      <c r="AR28" s="121" t="str">
        <f>IFERROR(
AVERAGEIFS(
'New 20102013 LF Efficacy'!$J:$J,
'New 20102013 LF Efficacy'!$D:$D,$A28,
'New 20102013 LF Efficacy'!$F:$F,"Albendazole &amp; Ivermectin", 
'New 20102013 LF Efficacy'!$W:$W,"&lt;2014",
'New 20102013 LF Efficacy'!$AA:$AA,""),"")</f>
        <v/>
      </c>
      <c r="AS28" s="115">
        <f t="shared" si="20"/>
        <v>0.7575</v>
      </c>
      <c r="AT28" s="130" t="str">
        <f>IFERROR(AVERAGEIFS(
'20102013 Schist Efficacy'!$O:$O, 
'20102013 Schist Efficacy'!$C:$C,$A28, 
'20102013 Schist Efficacy'!$D:$D, "Praziquantel",
'20102013 Schist Efficacy'!$J:$J,"&lt;2014",
'20102013 Schist Efficacy'!$U:$U,""),
"")</f>
        <v/>
      </c>
      <c r="AU28" s="118">
        <f t="shared" si="21"/>
        <v>0.7914761905</v>
      </c>
      <c r="AV28" s="131">
        <f>IFERROR(AVERAGEIFS(
'20102013 STH Efficacy'!$AX:$AX, 
'20102013 STH Efficacy'!$AL:$AL, $A28, 
'20102013 STH Efficacy'!$AM:$AM, "Albendazole",
'20102013 STH Efficacy'!$AS:$AS,"&lt;2014",
'20102013 STH Efficacy'!$BP:$BP,""),
"")</f>
        <v>0.333</v>
      </c>
      <c r="AW28" s="132">
        <f t="shared" si="22"/>
        <v>0.333</v>
      </c>
      <c r="AX28" s="131">
        <f>IFERROR(AVERAGEIFS(
'20102013 STH Efficacy'!$AX:$AX, 
'20102013 STH Efficacy'!$AL:$AL, $A28, 
'20102013 STH Efficacy'!$AM:$AM, "Mebendazole",
'20102013 STH Efficacy'!$AS:$AS,"&lt;2014",
'20102013 STH Efficacy'!$BP:$BP,""),
"")</f>
        <v>0.6</v>
      </c>
      <c r="AY28" s="132">
        <f t="shared" si="23"/>
        <v>0.6</v>
      </c>
      <c r="AZ28" s="131" t="str">
        <f>IFERROR(AVERAGEIFS(
'20102013 STH Efficacy'!$AX:$AX, 
'20102013 STH Efficacy'!$AL:$AL, $A28, 
'20102013 STH Efficacy'!$AM:$AM, "Albendazole &amp; Ivermectin",
'20102013 STH Efficacy'!$AS:$AS,"&lt;2014",
'20102013 STH Efficacy'!$BP:$BP,""),
"")</f>
        <v/>
      </c>
      <c r="BA28" s="303">
        <f t="shared" si="24"/>
        <v>0.796</v>
      </c>
      <c r="BB28" s="134">
        <f>IFERROR(AVERAGEIFS(
'20102013 STH Efficacy'!$N:$N, 
'20102013 STH Efficacy'!$B:$B, $A28, 
'20102013 STH Efficacy'!$C:$C, "Albendazole",
'20102013 STH Efficacy'!$I:$I,"&lt;2014",
'20102013 STH Efficacy'!$AH:$AH,""),
"")</f>
        <v>0.818</v>
      </c>
      <c r="BC28" s="135">
        <f t="shared" si="25"/>
        <v>0.818</v>
      </c>
      <c r="BD28" s="134">
        <f>IFERROR(AVERAGEIFS(
'20102013 STH Efficacy'!$N:$N, 
'20102013 STH Efficacy'!$B:$B, $A28, 
'20102013 STH Efficacy'!$C:$C, "Mebendazole",
'20102013 STH Efficacy'!$I:$I,"&lt;2014",
'20102013 STH Efficacy'!$AH:$AH,""),
"")</f>
        <v>0.172</v>
      </c>
      <c r="BE28" s="135">
        <f t="shared" si="26"/>
        <v>0.172</v>
      </c>
      <c r="BF28" s="128" t="str">
        <f>IFERROR(AVERAGEIFS(
'20102013 STH Efficacy'!$CD:$CD, 
'20102013 STH Efficacy'!$BS:$BS, $A28, 
'20102013 STH Efficacy'!$BT:$BT, "Albendazole",
'20102013 STH Efficacy'!$BZ:$BZ,"&lt;2014",
'20102013 STH Efficacy'!$CU:$CU,""),
"")</f>
        <v/>
      </c>
      <c r="BG28" s="136">
        <f t="shared" si="27"/>
        <v>0.9862</v>
      </c>
      <c r="BH28" s="128" t="str">
        <f>IFERROR(AVERAGEIFS(
'20102013 STH Efficacy'!$CD:$CD, 
'20102013 STH Efficacy'!$BS:$BS, $A28, 
'20102013 STH Efficacy'!$BT:$BT, "Mebendazole",
'20102013 STH Efficacy'!$BZ:$BZ,"&lt;2014",
'20102013 STH Efficacy'!$CU:$CU,""),
"")</f>
        <v/>
      </c>
      <c r="BI28" s="136">
        <f t="shared" si="28"/>
        <v>0.769</v>
      </c>
      <c r="BJ28" s="128" t="str">
        <f>IFERROR(AVERAGEIFS(
'20102013 STH Efficacy'!$CD:$CD, 
'20102013 STH Efficacy'!$BS:$BS, $A28, 
'20102013 STH Efficacy'!$BT:$BT, "Albendazole &amp; Ivermectin",
'20102013 STH Efficacy'!$BZ:$BZ,"&lt;2014",
'20102013 STH Efficacy'!$CU:$CU,""),
"")</f>
        <v/>
      </c>
      <c r="BK28" s="136">
        <f t="shared" si="29"/>
        <v>1</v>
      </c>
      <c r="BL28" s="300" t="str">
        <f>IFERROR(
  AVERAGEIFS(
    'NEW 20102013 Onchocerciasis Eff'!$AO:$AO,
    'NEW 20102013 Onchocerciasis Eff'!$C:$C,$A28,
    'NEW 20102013 Onchocerciasis Eff'!$D:$D,"Ivermectin",
    'NEW 20102013 Onchocerciasis Eff'!$AR:$AR,"&lt;2014",
    'NEW 20102013 Onchocerciasis Eff'!$BG:$BG,"")
,"")</f>
        <v/>
      </c>
      <c r="BM28" s="304">
        <f t="shared" si="30"/>
        <v>0.3734</v>
      </c>
      <c r="BN28" s="305">
        <v>0.0</v>
      </c>
      <c r="BO28" s="139">
        <v>0.0</v>
      </c>
      <c r="BP28" s="140">
        <v>0.0</v>
      </c>
      <c r="BQ28" s="141">
        <f t="shared" si="31"/>
        <v>0</v>
      </c>
      <c r="BR28" s="104" t="str">
        <f t="shared" si="32"/>
        <v>0000</v>
      </c>
      <c r="BS28" s="104" t="str">
        <f t="shared" si="33"/>
        <v>no action required</v>
      </c>
      <c r="BT28" s="142" t="str">
        <f t="shared" si="34"/>
        <v/>
      </c>
      <c r="BU28" s="104" t="str">
        <f t="shared" si="35"/>
        <v/>
      </c>
      <c r="BV28" s="104" t="str">
        <f t="shared" si="36"/>
        <v>none</v>
      </c>
      <c r="BW28" s="150" t="str">
        <f t="shared" si="37"/>
        <v/>
      </c>
      <c r="BX28" s="150" t="str">
        <f t="shared" si="38"/>
        <v/>
      </c>
      <c r="BY28" s="151" t="str">
        <f t="shared" si="39"/>
        <v/>
      </c>
      <c r="BZ28" s="152" t="str">
        <f t="shared" si="40"/>
        <v/>
      </c>
      <c r="CA28" s="152" t="str">
        <f t="shared" si="41"/>
        <v/>
      </c>
      <c r="CB28" s="152" t="str">
        <f t="shared" si="42"/>
        <v/>
      </c>
      <c r="CC28" s="153" t="str">
        <f t="shared" si="43"/>
        <v/>
      </c>
      <c r="CD28" s="153" t="str">
        <f t="shared" si="44"/>
        <v/>
      </c>
      <c r="CE28" s="154" t="str">
        <f t="shared" si="45"/>
        <v/>
      </c>
      <c r="CF28" s="154" t="str">
        <f t="shared" si="46"/>
        <v/>
      </c>
      <c r="CG28" s="154" t="str">
        <f t="shared" si="47"/>
        <v/>
      </c>
      <c r="CH28" s="308" t="str">
        <f t="shared" si="48"/>
        <v/>
      </c>
      <c r="CI28" s="299">
        <f t="shared" si="49"/>
        <v>0</v>
      </c>
    </row>
    <row r="29">
      <c r="A29" s="155" t="s">
        <v>118</v>
      </c>
      <c r="B29" s="104" t="s">
        <v>98</v>
      </c>
      <c r="C29" s="171"/>
      <c r="D29" s="293">
        <v>0.0</v>
      </c>
      <c r="E29" s="294">
        <v>0.0</v>
      </c>
      <c r="F29" s="163"/>
      <c r="G29" s="163"/>
      <c r="H29" s="108">
        <v>0.0</v>
      </c>
      <c r="I29" s="109">
        <v>0.0</v>
      </c>
      <c r="J29" s="109">
        <v>0.0</v>
      </c>
      <c r="K29" s="109">
        <v>0.0</v>
      </c>
      <c r="L29" s="113"/>
      <c r="M29" s="113"/>
      <c r="N29" s="111">
        <v>0.0</v>
      </c>
      <c r="O29" s="298">
        <v>0.0</v>
      </c>
      <c r="P29" s="114"/>
      <c r="Q29" s="114"/>
      <c r="R29" s="121" t="str">
        <f t="shared" si="11"/>
        <v/>
      </c>
      <c r="S29" s="116">
        <f t="shared" si="12"/>
        <v>0.2288425133</v>
      </c>
      <c r="T29" s="130"/>
      <c r="U29" s="118">
        <f t="shared" si="13"/>
        <v>0.39435</v>
      </c>
      <c r="V29" s="148"/>
      <c r="W29" s="120">
        <f t="shared" si="14"/>
        <v>0.542475</v>
      </c>
      <c r="X29" s="148"/>
      <c r="Y29" s="120">
        <f t="shared" si="15"/>
        <v>0.6507333333</v>
      </c>
      <c r="Z29" s="299"/>
      <c r="AA29" s="299"/>
      <c r="AB29" s="300" t="str">
        <f t="shared" si="16"/>
        <v/>
      </c>
      <c r="AC29" s="301">
        <f t="shared" si="17"/>
        <v>0.3490201688</v>
      </c>
      <c r="AD29" s="314">
        <v>0.0</v>
      </c>
      <c r="AE29" s="315">
        <v>0.0</v>
      </c>
      <c r="AF29" s="166">
        <v>0.0</v>
      </c>
      <c r="AG29" s="316">
        <v>0.0</v>
      </c>
      <c r="AH29" s="307">
        <v>0.0</v>
      </c>
      <c r="AI29" s="317">
        <v>0.0</v>
      </c>
      <c r="AJ29" s="318">
        <v>0.0</v>
      </c>
      <c r="AK29" s="319">
        <v>0.0</v>
      </c>
      <c r="AL29" s="319">
        <v>0.0</v>
      </c>
      <c r="AM29" s="320">
        <v>0.0</v>
      </c>
      <c r="AN29" s="149" t="str">
        <f>IFERROR(
  AVERAGEIFS(
    'New 20102013 LF Efficacy'!$J:$J,
    'New 20102013 LF Efficacy'!$D:$D, $A29,
    'New 20102013 LF Efficacy'!$F:$F,"DEC", 
    'New 20102013 LF Efficacy'!$W:$W,"&lt;2014",
    'New 20102013 LF Efficacy'!$AA:$AA,""),
  ""
)</f>
        <v/>
      </c>
      <c r="AO29" s="115">
        <f t="shared" si="18"/>
        <v>0.2589833333</v>
      </c>
      <c r="AP29" s="121" t="str">
        <f>IFERROR(
AVERAGEIFS(
'New 20102013 LF Efficacy'!$J:$J,
'New 20102013 LF Efficacy'!$D:$D,$A29,
'New 20102013 LF Efficacy'!$F:$F,"Albendazole &amp; DEC",
'New 20102013 LF Efficacy'!$W:$W,"&lt;2014",
'New 20102013 LF Efficacy'!$AA:$AA,""),
"")
</f>
        <v/>
      </c>
      <c r="AQ29" s="115">
        <f t="shared" si="19"/>
        <v>0.3465</v>
      </c>
      <c r="AR29" s="121" t="str">
        <f>IFERROR(
AVERAGEIFS(
'New 20102013 LF Efficacy'!$J:$J,
'New 20102013 LF Efficacy'!$D:$D,$A29,
'New 20102013 LF Efficacy'!$F:$F,"Albendazole &amp; Ivermectin", 
'New 20102013 LF Efficacy'!$W:$W,"&lt;2014",
'New 20102013 LF Efficacy'!$AA:$AA,""),"")</f>
        <v/>
      </c>
      <c r="AS29" s="115">
        <f t="shared" si="20"/>
        <v>0.7575</v>
      </c>
      <c r="AT29" s="130" t="str">
        <f>IFERROR(AVERAGEIFS(
'20102013 Schist Efficacy'!$O:$O, 
'20102013 Schist Efficacy'!$C:$C,$A29, 
'20102013 Schist Efficacy'!$D:$D, "Praziquantel",
'20102013 Schist Efficacy'!$J:$J,"&lt;2014",
'20102013 Schist Efficacy'!$U:$U,""),
"")</f>
        <v/>
      </c>
      <c r="AU29" s="118">
        <f t="shared" si="21"/>
        <v>0.7914761905</v>
      </c>
      <c r="AV29" s="131" t="str">
        <f>IFERROR(AVERAGEIFS(
'20102013 STH Efficacy'!$AX:$AX, 
'20102013 STH Efficacy'!$AL:$AL, $A29, 
'20102013 STH Efficacy'!$AM:$AM, "Albendazole",
'20102013 STH Efficacy'!$AS:$AS,"&lt;2014",
'20102013 STH Efficacy'!$BP:$BP,""),
"")</f>
        <v/>
      </c>
      <c r="AW29" s="132">
        <f t="shared" si="22"/>
        <v>0.3945</v>
      </c>
      <c r="AX29" s="131" t="str">
        <f>IFERROR(AVERAGEIFS(
'20102013 STH Efficacy'!$AX:$AX, 
'20102013 STH Efficacy'!$AL:$AL, $A29, 
'20102013 STH Efficacy'!$AM:$AM, "Mebendazole",
'20102013 STH Efficacy'!$AS:$AS,"&lt;2014",
'20102013 STH Efficacy'!$BP:$BP,""),
"")</f>
        <v/>
      </c>
      <c r="AY29" s="132">
        <f t="shared" si="23"/>
        <v>0.6</v>
      </c>
      <c r="AZ29" s="131" t="str">
        <f>IFERROR(AVERAGEIFS(
'20102013 STH Efficacy'!$AX:$AX, 
'20102013 STH Efficacy'!$AL:$AL, $A29, 
'20102013 STH Efficacy'!$AM:$AM, "Albendazole &amp; Ivermectin",
'20102013 STH Efficacy'!$AS:$AS,"&lt;2014",
'20102013 STH Efficacy'!$BP:$BP,""),
"")</f>
        <v/>
      </c>
      <c r="BA29" s="303">
        <f t="shared" si="24"/>
        <v>0.796</v>
      </c>
      <c r="BB29" s="134" t="str">
        <f>IFERROR(AVERAGEIFS(
'20102013 STH Efficacy'!$N:$N, 
'20102013 STH Efficacy'!$B:$B, $A29, 
'20102013 STH Efficacy'!$C:$C, "Albendazole",
'20102013 STH Efficacy'!$I:$I,"&lt;2014",
'20102013 STH Efficacy'!$AH:$AH,""),
"")</f>
        <v/>
      </c>
      <c r="BC29" s="135">
        <f t="shared" si="25"/>
        <v>0.869</v>
      </c>
      <c r="BD29" s="134" t="str">
        <f>IFERROR(AVERAGEIFS(
'20102013 STH Efficacy'!$N:$N, 
'20102013 STH Efficacy'!$B:$B, $A29, 
'20102013 STH Efficacy'!$C:$C, "Mebendazole",
'20102013 STH Efficacy'!$I:$I,"&lt;2014",
'20102013 STH Efficacy'!$AH:$AH,""),
"")</f>
        <v/>
      </c>
      <c r="BE29" s="135">
        <f t="shared" si="26"/>
        <v>0.172</v>
      </c>
      <c r="BF29" s="128" t="str">
        <f>IFERROR(AVERAGEIFS(
'20102013 STH Efficacy'!$CD:$CD, 
'20102013 STH Efficacy'!$BS:$BS, $A29, 
'20102013 STH Efficacy'!$BT:$BT, "Albendazole",
'20102013 STH Efficacy'!$BZ:$BZ,"&lt;2014",
'20102013 STH Efficacy'!$CU:$CU,""),
"")</f>
        <v/>
      </c>
      <c r="BG29" s="136">
        <f t="shared" si="27"/>
        <v>0.9862</v>
      </c>
      <c r="BH29" s="128" t="str">
        <f>IFERROR(AVERAGEIFS(
'20102013 STH Efficacy'!$CD:$CD, 
'20102013 STH Efficacy'!$BS:$BS, $A29, 
'20102013 STH Efficacy'!$BT:$BT, "Mebendazole",
'20102013 STH Efficacy'!$BZ:$BZ,"&lt;2014",
'20102013 STH Efficacy'!$CU:$CU,""),
"")</f>
        <v/>
      </c>
      <c r="BI29" s="136">
        <f t="shared" si="28"/>
        <v>0.769</v>
      </c>
      <c r="BJ29" s="128" t="str">
        <f>IFERROR(AVERAGEIFS(
'20102013 STH Efficacy'!$CD:$CD, 
'20102013 STH Efficacy'!$BS:$BS, $A29, 
'20102013 STH Efficacy'!$BT:$BT, "Albendazole &amp; Ivermectin",
'20102013 STH Efficacy'!$BZ:$BZ,"&lt;2014",
'20102013 STH Efficacy'!$CU:$CU,""),
"")</f>
        <v/>
      </c>
      <c r="BK29" s="136">
        <f t="shared" si="29"/>
        <v>1</v>
      </c>
      <c r="BL29" s="300" t="str">
        <f>IFERROR(
  AVERAGEIFS(
    'NEW 20102013 Onchocerciasis Eff'!$AO:$AO,
    'NEW 20102013 Onchocerciasis Eff'!$C:$C,$A29,
    'NEW 20102013 Onchocerciasis Eff'!$D:$D,"Ivermectin",
    'NEW 20102013 Onchocerciasis Eff'!$AR:$AR,"&lt;2014",
    'NEW 20102013 Onchocerciasis Eff'!$BG:$BG,"")
,"")</f>
        <v/>
      </c>
      <c r="BM29" s="304">
        <f t="shared" si="30"/>
        <v>0.3734</v>
      </c>
      <c r="BN29" s="305">
        <v>0.0</v>
      </c>
      <c r="BO29" s="139">
        <v>0.0</v>
      </c>
      <c r="BP29" s="140">
        <v>0.0</v>
      </c>
      <c r="BQ29" s="141">
        <f t="shared" si="31"/>
        <v>0</v>
      </c>
      <c r="BR29" s="104" t="str">
        <f t="shared" si="32"/>
        <v>0000</v>
      </c>
      <c r="BS29" s="104" t="str">
        <f t="shared" si="33"/>
        <v>no action required</v>
      </c>
      <c r="BT29" s="142" t="str">
        <f t="shared" si="34"/>
        <v/>
      </c>
      <c r="BU29" s="104" t="str">
        <f t="shared" si="35"/>
        <v/>
      </c>
      <c r="BV29" s="104" t="str">
        <f t="shared" si="36"/>
        <v>none</v>
      </c>
      <c r="BW29" s="150" t="str">
        <f t="shared" si="37"/>
        <v/>
      </c>
      <c r="BX29" s="150" t="str">
        <f t="shared" si="38"/>
        <v/>
      </c>
      <c r="BY29" s="151" t="str">
        <f t="shared" si="39"/>
        <v/>
      </c>
      <c r="BZ29" s="152" t="str">
        <f t="shared" si="40"/>
        <v/>
      </c>
      <c r="CA29" s="152" t="str">
        <f t="shared" si="41"/>
        <v/>
      </c>
      <c r="CB29" s="152" t="str">
        <f t="shared" si="42"/>
        <v/>
      </c>
      <c r="CC29" s="153" t="str">
        <f t="shared" si="43"/>
        <v/>
      </c>
      <c r="CD29" s="153" t="str">
        <f t="shared" si="44"/>
        <v/>
      </c>
      <c r="CE29" s="154" t="str">
        <f t="shared" si="45"/>
        <v/>
      </c>
      <c r="CF29" s="154" t="str">
        <f t="shared" si="46"/>
        <v/>
      </c>
      <c r="CG29" s="154" t="str">
        <f t="shared" si="47"/>
        <v/>
      </c>
      <c r="CH29" s="308" t="str">
        <f t="shared" si="48"/>
        <v/>
      </c>
      <c r="CI29" s="299">
        <f t="shared" si="49"/>
        <v>0</v>
      </c>
    </row>
    <row r="30">
      <c r="A30" s="155" t="s">
        <v>119</v>
      </c>
      <c r="B30" s="104" t="s">
        <v>90</v>
      </c>
      <c r="C30" s="105">
        <v>3604999.0</v>
      </c>
      <c r="D30" s="293">
        <v>0.0</v>
      </c>
      <c r="E30" s="294">
        <v>0.0</v>
      </c>
      <c r="F30" s="307">
        <v>0.0</v>
      </c>
      <c r="G30" s="307">
        <v>0.0</v>
      </c>
      <c r="H30" s="108">
        <v>0.0</v>
      </c>
      <c r="I30" s="109">
        <v>0.0</v>
      </c>
      <c r="J30" s="109">
        <v>0.0</v>
      </c>
      <c r="K30" s="109">
        <v>0.0</v>
      </c>
      <c r="L30" s="112">
        <v>0.0</v>
      </c>
      <c r="M30" s="112">
        <v>0.0</v>
      </c>
      <c r="N30" s="111">
        <v>0.0</v>
      </c>
      <c r="O30" s="298">
        <v>0.0</v>
      </c>
      <c r="P30" s="114"/>
      <c r="Q30" s="114"/>
      <c r="R30" s="121" t="str">
        <f t="shared" si="11"/>
        <v/>
      </c>
      <c r="S30" s="116">
        <f t="shared" si="12"/>
        <v>0.526225767</v>
      </c>
      <c r="T30" s="130"/>
      <c r="U30" s="118">
        <f t="shared" si="13"/>
        <v>0.3468166667</v>
      </c>
      <c r="V30" s="148"/>
      <c r="W30" s="120">
        <f t="shared" si="14"/>
        <v>1</v>
      </c>
      <c r="X30" s="148"/>
      <c r="Y30" s="120">
        <f t="shared" si="15"/>
        <v>1</v>
      </c>
      <c r="Z30" s="299"/>
      <c r="AA30" s="299"/>
      <c r="AB30" s="300" t="str">
        <f t="shared" si="16"/>
        <v/>
      </c>
      <c r="AC30" s="301">
        <f t="shared" si="17"/>
        <v>0.6295826791</v>
      </c>
      <c r="AD30" s="122">
        <v>0.0</v>
      </c>
      <c r="AE30" s="123">
        <v>0.0</v>
      </c>
      <c r="AF30" s="123">
        <v>0.0</v>
      </c>
      <c r="AG30" s="124">
        <v>0.0</v>
      </c>
      <c r="AH30" s="124">
        <v>0.0</v>
      </c>
      <c r="AI30" s="125">
        <v>0.0</v>
      </c>
      <c r="AJ30" s="125">
        <v>0.0</v>
      </c>
      <c r="AK30" s="127">
        <v>0.0</v>
      </c>
      <c r="AL30" s="127">
        <v>0.0</v>
      </c>
      <c r="AM30" s="302">
        <v>0.0</v>
      </c>
      <c r="AN30" s="149" t="str">
        <f>IFERROR(
  AVERAGEIFS(
    'New 20102013 LF Efficacy'!$J:$J,
    'New 20102013 LF Efficacy'!$D:$D, $A30,
    'New 20102013 LF Efficacy'!$F:$F,"DEC", 
    'New 20102013 LF Efficacy'!$W:$W,"&lt;2014",
    'New 20102013 LF Efficacy'!$AA:$AA,""),
  ""
)</f>
        <v/>
      </c>
      <c r="AO30" s="115">
        <f t="shared" si="18"/>
        <v>0.3573520833</v>
      </c>
      <c r="AP30" s="121" t="str">
        <f>IFERROR(
AVERAGEIFS(
'New 20102013 LF Efficacy'!$J:$J,
'New 20102013 LF Efficacy'!$D:$D,$A30,
'New 20102013 LF Efficacy'!$F:$F,"Albendazole &amp; DEC",
'New 20102013 LF Efficacy'!$W:$W,"&lt;2014",
'New 20102013 LF Efficacy'!$AA:$AA,""),
"")
</f>
        <v/>
      </c>
      <c r="AQ30" s="115">
        <f t="shared" si="19"/>
        <v>0.5137291667</v>
      </c>
      <c r="AR30" s="121" t="str">
        <f>IFERROR(
AVERAGEIFS(
'New 20102013 LF Efficacy'!$J:$J,
'New 20102013 LF Efficacy'!$D:$D,$A30,
'New 20102013 LF Efficacy'!$F:$F,"Albendazole &amp; Ivermectin", 
'New 20102013 LF Efficacy'!$W:$W,"&lt;2014",
'New 20102013 LF Efficacy'!$AA:$AA,""),"")</f>
        <v/>
      </c>
      <c r="AS30" s="115">
        <f t="shared" si="20"/>
        <v>0.37153125</v>
      </c>
      <c r="AT30" s="130" t="str">
        <f>IFERROR(AVERAGEIFS(
'20102013 Schist Efficacy'!$O:$O, 
'20102013 Schist Efficacy'!$C:$C,$A30, 
'20102013 Schist Efficacy'!$D:$D, "Praziquantel",
'20102013 Schist Efficacy'!$J:$J,"&lt;2014",
'20102013 Schist Efficacy'!$U:$U,""),
"")</f>
        <v/>
      </c>
      <c r="AU30" s="118">
        <f t="shared" si="21"/>
        <v>0.655</v>
      </c>
      <c r="AV30" s="131" t="str">
        <f>IFERROR(AVERAGEIFS(
'20102013 STH Efficacy'!$AX:$AX, 
'20102013 STH Efficacy'!$AL:$AL, $A30, 
'20102013 STH Efficacy'!$AM:$AM, "Albendazole",
'20102013 STH Efficacy'!$AS:$AS,"&lt;2014",
'20102013 STH Efficacy'!$BP:$BP,""),
"")</f>
        <v/>
      </c>
      <c r="AW30" s="132">
        <f t="shared" si="22"/>
        <v>0.3933333333</v>
      </c>
      <c r="AX30" s="131" t="str">
        <f>IFERROR(AVERAGEIFS(
'20102013 STH Efficacy'!$AX:$AX, 
'20102013 STH Efficacy'!$AL:$AL, $A30, 
'20102013 STH Efficacy'!$AM:$AM, "Mebendazole",
'20102013 STH Efficacy'!$AS:$AS,"&lt;2014",
'20102013 STH Efficacy'!$BP:$BP,""),
"")</f>
        <v/>
      </c>
      <c r="AY30" s="132">
        <f t="shared" si="23"/>
        <v>0.5017738095</v>
      </c>
      <c r="AZ30" s="131" t="str">
        <f>IFERROR(AVERAGEIFS(
'20102013 STH Efficacy'!$AX:$AX, 
'20102013 STH Efficacy'!$AL:$AL, $A30, 
'20102013 STH Efficacy'!$AM:$AM, "Albendazole &amp; Ivermectin",
'20102013 STH Efficacy'!$AS:$AS,"&lt;2014",
'20102013 STH Efficacy'!$BP:$BP,""),
"")</f>
        <v/>
      </c>
      <c r="BA30" s="303">
        <f t="shared" si="24"/>
        <v>0.597625</v>
      </c>
      <c r="BB30" s="134" t="str">
        <f>IFERROR(AVERAGEIFS(
'20102013 STH Efficacy'!$N:$N, 
'20102013 STH Efficacy'!$B:$B, $A30, 
'20102013 STH Efficacy'!$C:$C, "Albendazole",
'20102013 STH Efficacy'!$I:$I,"&lt;2014",
'20102013 STH Efficacy'!$AH:$AH,""),
"")</f>
        <v/>
      </c>
      <c r="BC30" s="135">
        <f t="shared" si="25"/>
        <v>0.7613712121</v>
      </c>
      <c r="BD30" s="134" t="str">
        <f>IFERROR(AVERAGEIFS(
'20102013 STH Efficacy'!$N:$N, 
'20102013 STH Efficacy'!$B:$B, $A30, 
'20102013 STH Efficacy'!$C:$C, "Mebendazole",
'20102013 STH Efficacy'!$I:$I,"&lt;2014",
'20102013 STH Efficacy'!$AH:$AH,""),
"")</f>
        <v/>
      </c>
      <c r="BE30" s="135">
        <f t="shared" si="26"/>
        <v>0.4362466667</v>
      </c>
      <c r="BF30" s="128" t="str">
        <f>IFERROR(AVERAGEIFS(
'20102013 STH Efficacy'!$CD:$CD, 
'20102013 STH Efficacy'!$BS:$BS, $A30, 
'20102013 STH Efficacy'!$BT:$BT, "Albendazole",
'20102013 STH Efficacy'!$BZ:$BZ,"&lt;2014",
'20102013 STH Efficacy'!$CU:$CU,""),
"")</f>
        <v/>
      </c>
      <c r="BG30" s="136">
        <f t="shared" si="27"/>
        <v>0.9216027778</v>
      </c>
      <c r="BH30" s="128" t="str">
        <f>IFERROR(AVERAGEIFS(
'20102013 STH Efficacy'!$CD:$CD, 
'20102013 STH Efficacy'!$BS:$BS, $A30, 
'20102013 STH Efficacy'!$BT:$BT, "Mebendazole",
'20102013 STH Efficacy'!$BZ:$BZ,"&lt;2014",
'20102013 STH Efficacy'!$CU:$CU,""),
"")</f>
        <v/>
      </c>
      <c r="BI30" s="136">
        <f t="shared" si="28"/>
        <v>0.9295857143</v>
      </c>
      <c r="BJ30" s="128" t="str">
        <f>IFERROR(AVERAGEIFS(
'20102013 STH Efficacy'!$CD:$CD, 
'20102013 STH Efficacy'!$BS:$BS, $A30, 
'20102013 STH Efficacy'!$BT:$BT, "Albendazole &amp; Ivermectin",
'20102013 STH Efficacy'!$BZ:$BZ,"&lt;2014",
'20102013 STH Efficacy'!$CU:$CU,""),
"")</f>
        <v/>
      </c>
      <c r="BK30" s="136">
        <f t="shared" si="29"/>
        <v>1</v>
      </c>
      <c r="BL30" s="300" t="str">
        <f>IFERROR(
  AVERAGEIFS(
    'NEW 20102013 Onchocerciasis Eff'!$AO:$AO,
    'NEW 20102013 Onchocerciasis Eff'!$C:$C,$A30,
    'NEW 20102013 Onchocerciasis Eff'!$D:$D,"Ivermectin",
    'NEW 20102013 Onchocerciasis Eff'!$AR:$AR,"&lt;2014",
    'NEW 20102013 Onchocerciasis Eff'!$BG:$BG,"")
,"")</f>
        <v/>
      </c>
      <c r="BM30" s="304">
        <f t="shared" si="30"/>
        <v>0.7808368939</v>
      </c>
      <c r="BN30" s="305">
        <v>0.0</v>
      </c>
      <c r="BO30" s="139">
        <v>0.0</v>
      </c>
      <c r="BP30" s="140">
        <v>0.0</v>
      </c>
      <c r="BQ30" s="141">
        <f t="shared" si="31"/>
        <v>0</v>
      </c>
      <c r="BR30" s="104" t="str">
        <f t="shared" si="32"/>
        <v>0000</v>
      </c>
      <c r="BS30" s="104" t="str">
        <f t="shared" si="33"/>
        <v>no action required</v>
      </c>
      <c r="BT30" s="142" t="str">
        <f t="shared" si="34"/>
        <v/>
      </c>
      <c r="BU30" s="104" t="str">
        <f t="shared" si="35"/>
        <v/>
      </c>
      <c r="BV30" s="104" t="str">
        <f t="shared" si="36"/>
        <v>none</v>
      </c>
      <c r="BW30" s="150" t="str">
        <f t="shared" si="37"/>
        <v/>
      </c>
      <c r="BX30" s="150" t="str">
        <f t="shared" si="38"/>
        <v/>
      </c>
      <c r="BY30" s="151" t="str">
        <f t="shared" si="39"/>
        <v/>
      </c>
      <c r="BZ30" s="152" t="str">
        <f t="shared" si="40"/>
        <v/>
      </c>
      <c r="CA30" s="152" t="str">
        <f t="shared" si="41"/>
        <v/>
      </c>
      <c r="CB30" s="152" t="str">
        <f t="shared" si="42"/>
        <v/>
      </c>
      <c r="CC30" s="153" t="str">
        <f t="shared" si="43"/>
        <v/>
      </c>
      <c r="CD30" s="153" t="str">
        <f t="shared" si="44"/>
        <v/>
      </c>
      <c r="CE30" s="154" t="str">
        <f t="shared" si="45"/>
        <v/>
      </c>
      <c r="CF30" s="154" t="str">
        <f t="shared" si="46"/>
        <v/>
      </c>
      <c r="CG30" s="154" t="str">
        <f t="shared" si="47"/>
        <v/>
      </c>
      <c r="CH30" s="308" t="str">
        <f t="shared" si="48"/>
        <v/>
      </c>
      <c r="CI30" s="299">
        <f t="shared" si="49"/>
        <v>0</v>
      </c>
    </row>
    <row r="31">
      <c r="A31" s="103" t="s">
        <v>120</v>
      </c>
      <c r="B31" s="104" t="s">
        <v>92</v>
      </c>
      <c r="C31" s="105">
        <v>2128507.0</v>
      </c>
      <c r="D31" s="293">
        <v>0.0</v>
      </c>
      <c r="E31" s="294">
        <v>3170.690186</v>
      </c>
      <c r="F31" s="295">
        <v>18.736319</v>
      </c>
      <c r="G31" s="295">
        <v>77.39440535</v>
      </c>
      <c r="H31" s="108">
        <v>96.13072435</v>
      </c>
      <c r="I31" s="109">
        <v>133.000905</v>
      </c>
      <c r="J31" s="110">
        <v>345.377286</v>
      </c>
      <c r="K31" s="109">
        <v>478.3781906</v>
      </c>
      <c r="L31" s="112">
        <v>9.053875072</v>
      </c>
      <c r="M31" s="112">
        <v>8.688999181</v>
      </c>
      <c r="N31" s="111">
        <v>17.74287425</v>
      </c>
      <c r="O31" s="298">
        <v>0.0</v>
      </c>
      <c r="P31" s="114"/>
      <c r="Q31" s="114"/>
      <c r="R31" s="121" t="str">
        <f t="shared" si="11"/>
        <v/>
      </c>
      <c r="S31" s="116">
        <f t="shared" si="12"/>
        <v>0.2589669834</v>
      </c>
      <c r="T31" s="130"/>
      <c r="U31" s="118">
        <f t="shared" si="13"/>
        <v>0.252</v>
      </c>
      <c r="V31" s="119">
        <v>1.0</v>
      </c>
      <c r="W31" s="120">
        <f t="shared" si="14"/>
        <v>1</v>
      </c>
      <c r="X31" s="148"/>
      <c r="Y31" s="120">
        <f t="shared" si="15"/>
        <v>0.5668291667</v>
      </c>
      <c r="Z31" s="299"/>
      <c r="AA31" s="299"/>
      <c r="AB31" s="300" t="str">
        <f t="shared" si="16"/>
        <v/>
      </c>
      <c r="AC31" s="301">
        <f t="shared" si="17"/>
        <v>0.655321236</v>
      </c>
      <c r="AD31" s="122">
        <v>0.0</v>
      </c>
      <c r="AE31" s="123">
        <v>0.18</v>
      </c>
      <c r="AF31" s="123">
        <v>0.0469</v>
      </c>
      <c r="AG31" s="124">
        <v>0.1473</v>
      </c>
      <c r="AH31" s="124">
        <v>0.228008201</v>
      </c>
      <c r="AI31" s="125">
        <v>0.1239</v>
      </c>
      <c r="AJ31" s="125">
        <v>0.1988124</v>
      </c>
      <c r="AK31" s="127">
        <v>0.0488</v>
      </c>
      <c r="AL31" s="127">
        <v>0.0768</v>
      </c>
      <c r="AM31" s="302">
        <v>0.0</v>
      </c>
      <c r="AN31" s="149" t="str">
        <f>IFERROR(
  AVERAGEIFS(
    'New 20102013 LF Efficacy'!$J:$J,
    'New 20102013 LF Efficacy'!$D:$D, $A31,
    'New 20102013 LF Efficacy'!$F:$F,"DEC", 
    'New 20102013 LF Efficacy'!$W:$W,"&lt;2014",
    'New 20102013 LF Efficacy'!$AA:$AA,""),
  ""
)</f>
        <v/>
      </c>
      <c r="AO31" s="115">
        <f t="shared" si="18"/>
        <v>0.31225</v>
      </c>
      <c r="AP31" s="121" t="str">
        <f>IFERROR(
AVERAGEIFS(
'New 20102013 LF Efficacy'!$J:$J,
'New 20102013 LF Efficacy'!$D:$D,$A31,
'New 20102013 LF Efficacy'!$F:$F,"Albendazole &amp; DEC",
'New 20102013 LF Efficacy'!$W:$W,"&lt;2014",
'New 20102013 LF Efficacy'!$AA:$AA,""),
"")
</f>
        <v/>
      </c>
      <c r="AQ31" s="115">
        <f t="shared" si="19"/>
        <v>0.4</v>
      </c>
      <c r="AR31" s="121" t="str">
        <f>IFERROR(
AVERAGEIFS(
'New 20102013 LF Efficacy'!$J:$J,
'New 20102013 LF Efficacy'!$D:$D,$A31,
'New 20102013 LF Efficacy'!$F:$F,"Albendazole &amp; Ivermectin", 
'New 20102013 LF Efficacy'!$W:$W,"&lt;2014",
'New 20102013 LF Efficacy'!$AA:$AA,""),"")</f>
        <v/>
      </c>
      <c r="AS31" s="115">
        <f t="shared" si="20"/>
        <v>0.2943125</v>
      </c>
      <c r="AT31" s="130" t="str">
        <f>IFERROR(AVERAGEIFS(
'20102013 Schist Efficacy'!$O:$O, 
'20102013 Schist Efficacy'!$C:$C,$A31, 
'20102013 Schist Efficacy'!$D:$D, "Praziquantel",
'20102013 Schist Efficacy'!$J:$J,"&lt;2014",
'20102013 Schist Efficacy'!$U:$U,""),
"")</f>
        <v/>
      </c>
      <c r="AU31" s="118">
        <f t="shared" si="21"/>
        <v>0.7192212527</v>
      </c>
      <c r="AV31" s="131" t="str">
        <f>IFERROR(AVERAGEIFS(
'20102013 STH Efficacy'!$AX:$AX, 
'20102013 STH Efficacy'!$AL:$AL, $A31, 
'20102013 STH Efficacy'!$AM:$AM, "Albendazole",
'20102013 STH Efficacy'!$AS:$AS,"&lt;2014",
'20102013 STH Efficacy'!$BP:$BP,""),
"")</f>
        <v/>
      </c>
      <c r="AW31" s="132">
        <f t="shared" si="22"/>
        <v>0.3816333333</v>
      </c>
      <c r="AX31" s="131" t="str">
        <f>IFERROR(AVERAGEIFS(
'20102013 STH Efficacy'!$AX:$AX, 
'20102013 STH Efficacy'!$AL:$AL, $A31, 
'20102013 STH Efficacy'!$AM:$AM, "Mebendazole",
'20102013 STH Efficacy'!$AS:$AS,"&lt;2014",
'20102013 STH Efficacy'!$BP:$BP,""),
"")</f>
        <v/>
      </c>
      <c r="AY31" s="132">
        <f t="shared" si="23"/>
        <v>0.5675833333</v>
      </c>
      <c r="AZ31" s="131" t="str">
        <f>IFERROR(AVERAGEIFS(
'20102013 STH Efficacy'!$AX:$AX, 
'20102013 STH Efficacy'!$AL:$AL, $A31, 
'20102013 STH Efficacy'!$AM:$AM, "Albendazole &amp; Ivermectin",
'20102013 STH Efficacy'!$AS:$AS,"&lt;2014",
'20102013 STH Efficacy'!$BP:$BP,""),
"")</f>
        <v/>
      </c>
      <c r="BA31" s="303">
        <f t="shared" si="24"/>
        <v>0.47175</v>
      </c>
      <c r="BB31" s="134" t="str">
        <f>IFERROR(AVERAGEIFS(
'20102013 STH Efficacy'!$N:$N, 
'20102013 STH Efficacy'!$B:$B, $A31, 
'20102013 STH Efficacy'!$C:$C, "Albendazole",
'20102013 STH Efficacy'!$I:$I,"&lt;2014",
'20102013 STH Efficacy'!$AH:$AH,""),
"")</f>
        <v/>
      </c>
      <c r="BC31" s="135">
        <f t="shared" si="25"/>
        <v>0.8699166667</v>
      </c>
      <c r="BD31" s="134" t="str">
        <f>IFERROR(AVERAGEIFS(
'20102013 STH Efficacy'!$N:$N, 
'20102013 STH Efficacy'!$B:$B, $A31, 
'20102013 STH Efficacy'!$C:$C, "Mebendazole",
'20102013 STH Efficacy'!$I:$I,"&lt;2014",
'20102013 STH Efficacy'!$AH:$AH,""),
"")</f>
        <v/>
      </c>
      <c r="BE31" s="135">
        <f t="shared" si="26"/>
        <v>0.7092416667</v>
      </c>
      <c r="BF31" s="128" t="str">
        <f>IFERROR(AVERAGEIFS(
'20102013 STH Efficacy'!$CD:$CD, 
'20102013 STH Efficacy'!$BS:$BS, $A31, 
'20102013 STH Efficacy'!$BT:$BT, "Albendazole",
'20102013 STH Efficacy'!$BZ:$BZ,"&lt;2014",
'20102013 STH Efficacy'!$CU:$CU,""),
"")</f>
        <v/>
      </c>
      <c r="BG31" s="136">
        <f t="shared" si="27"/>
        <v>0.9066666667</v>
      </c>
      <c r="BH31" s="128" t="str">
        <f>IFERROR(AVERAGEIFS(
'20102013 STH Efficacy'!$CD:$CD, 
'20102013 STH Efficacy'!$BS:$BS, $A31, 
'20102013 STH Efficacy'!$BT:$BT, "Mebendazole",
'20102013 STH Efficacy'!$BZ:$BZ,"&lt;2014",
'20102013 STH Efficacy'!$CU:$CU,""),
"")</f>
        <v/>
      </c>
      <c r="BI31" s="136">
        <f t="shared" si="28"/>
        <v>0.9358666667</v>
      </c>
      <c r="BJ31" s="128" t="str">
        <f>IFERROR(AVERAGEIFS(
'20102013 STH Efficacy'!$CD:$CD, 
'20102013 STH Efficacy'!$BS:$BS, $A31, 
'20102013 STH Efficacy'!$BT:$BT, "Albendazole &amp; Ivermectin",
'20102013 STH Efficacy'!$BZ:$BZ,"&lt;2014",
'20102013 STH Efficacy'!$CU:$CU,""),
"")</f>
        <v/>
      </c>
      <c r="BK31" s="136">
        <f t="shared" si="29"/>
        <v>1</v>
      </c>
      <c r="BL31" s="300" t="str">
        <f>IFERROR(
  AVERAGEIFS(
    'NEW 20102013 Onchocerciasis Eff'!$AO:$AO,
    'NEW 20102013 Onchocerciasis Eff'!$C:$C,$A31,
    'NEW 20102013 Onchocerciasis Eff'!$D:$D,"Ivermectin",
    'NEW 20102013 Onchocerciasis Eff'!$AR:$AR,"&lt;2014",
    'NEW 20102013 Onchocerciasis Eff'!$BG:$BG,"")
,"")</f>
        <v/>
      </c>
      <c r="BM31" s="304">
        <f t="shared" si="30"/>
        <v>0.8390421645</v>
      </c>
      <c r="BN31" s="305">
        <v>0.0</v>
      </c>
      <c r="BO31" s="139">
        <v>1.0</v>
      </c>
      <c r="BP31" s="140">
        <v>1.0</v>
      </c>
      <c r="BQ31" s="141">
        <f t="shared" si="31"/>
        <v>0</v>
      </c>
      <c r="BR31" s="104" t="str">
        <f t="shared" si="32"/>
        <v>0110</v>
      </c>
      <c r="BS31" s="104" t="str">
        <f t="shared" si="33"/>
        <v>MDA3+T2</v>
      </c>
      <c r="BT31" s="142" t="str">
        <f t="shared" si="34"/>
        <v>IVM</v>
      </c>
      <c r="BU31" s="104" t="str">
        <f t="shared" si="35"/>
        <v>PZQ</v>
      </c>
      <c r="BV31" s="104" t="str">
        <f t="shared" si="36"/>
        <v>onch+schist</v>
      </c>
      <c r="BW31" s="150" t="str">
        <f t="shared" si="37"/>
        <v/>
      </c>
      <c r="BX31" s="150" t="str">
        <f t="shared" si="38"/>
        <v/>
      </c>
      <c r="BY31" s="162">
        <f t="shared" si="39"/>
        <v>701.8789797</v>
      </c>
      <c r="BZ31" s="152" t="str">
        <f t="shared" si="40"/>
        <v/>
      </c>
      <c r="CA31" s="152" t="str">
        <f t="shared" si="41"/>
        <v/>
      </c>
      <c r="CB31" s="152" t="str">
        <f t="shared" si="42"/>
        <v/>
      </c>
      <c r="CC31" s="153" t="str">
        <f t="shared" si="43"/>
        <v/>
      </c>
      <c r="CD31" s="153" t="str">
        <f t="shared" si="44"/>
        <v/>
      </c>
      <c r="CE31" s="154" t="str">
        <f t="shared" si="45"/>
        <v/>
      </c>
      <c r="CF31" s="154" t="str">
        <f t="shared" si="46"/>
        <v/>
      </c>
      <c r="CG31" s="154" t="str">
        <f t="shared" si="47"/>
        <v/>
      </c>
      <c r="CH31" s="313">
        <f t="shared" si="48"/>
        <v>0</v>
      </c>
      <c r="CI31" s="299">
        <f t="shared" si="49"/>
        <v>0</v>
      </c>
    </row>
    <row r="32">
      <c r="A32" s="103" t="s">
        <v>121</v>
      </c>
      <c r="B32" s="104" t="s">
        <v>98</v>
      </c>
      <c r="C32" s="105">
        <v>2.02408632E8</v>
      </c>
      <c r="D32" s="293">
        <v>38.3</v>
      </c>
      <c r="E32" s="294">
        <v>108688.2626</v>
      </c>
      <c r="F32" s="307">
        <v>331.7523021</v>
      </c>
      <c r="G32" s="307">
        <v>2132.760805</v>
      </c>
      <c r="H32" s="157">
        <v>2464.513107</v>
      </c>
      <c r="I32" s="110">
        <v>1804.35364</v>
      </c>
      <c r="J32" s="110">
        <v>5860.74768</v>
      </c>
      <c r="K32" s="109">
        <v>7665.101318</v>
      </c>
      <c r="L32" s="112">
        <v>2042.777968</v>
      </c>
      <c r="M32" s="112">
        <v>4667.517048</v>
      </c>
      <c r="N32" s="111">
        <v>6710.295016</v>
      </c>
      <c r="O32" s="298">
        <v>37.93260135</v>
      </c>
      <c r="P32" s="160">
        <v>311451.0</v>
      </c>
      <c r="Q32" s="160">
        <v>85709.0</v>
      </c>
      <c r="R32" s="121">
        <f t="shared" si="11"/>
        <v>0.2751925664</v>
      </c>
      <c r="S32" s="116">
        <f t="shared" si="12"/>
        <v>0.2751925664</v>
      </c>
      <c r="T32" s="130"/>
      <c r="U32" s="118">
        <f t="shared" si="13"/>
        <v>0.39435</v>
      </c>
      <c r="V32" s="148"/>
      <c r="W32" s="120">
        <f t="shared" si="14"/>
        <v>0.542475</v>
      </c>
      <c r="X32" s="119">
        <v>0.332</v>
      </c>
      <c r="Y32" s="120">
        <f t="shared" si="15"/>
        <v>0.332</v>
      </c>
      <c r="Z32" s="310">
        <v>13982.0</v>
      </c>
      <c r="AA32" s="310">
        <v>9760.0</v>
      </c>
      <c r="AB32" s="300">
        <f t="shared" si="16"/>
        <v>0.6980403376</v>
      </c>
      <c r="AC32" s="301">
        <f t="shared" si="17"/>
        <v>0.6980403376</v>
      </c>
      <c r="AD32" s="122">
        <v>0.0</v>
      </c>
      <c r="AE32" s="123">
        <v>0.06</v>
      </c>
      <c r="AF32" s="123">
        <v>0.0011</v>
      </c>
      <c r="AG32" s="124">
        <v>0.0449</v>
      </c>
      <c r="AH32" s="124">
        <v>0.067890823</v>
      </c>
      <c r="AI32" s="125">
        <v>0.0342</v>
      </c>
      <c r="AJ32" s="125">
        <v>0.0519863</v>
      </c>
      <c r="AK32" s="127">
        <v>0.0824</v>
      </c>
      <c r="AL32" s="127">
        <v>0.1261</v>
      </c>
      <c r="AM32" s="302">
        <v>0.0</v>
      </c>
      <c r="AN32" s="149">
        <f>IFERROR(
  AVERAGEIFS(
    'New 20102013 LF Efficacy'!$J:$J,
    'New 20102013 LF Efficacy'!$D:$D, $A32,
    'New 20102013 LF Efficacy'!$F:$F,"DEC", 
    'New 20102013 LF Efficacy'!$W:$W,"&lt;2014",
    'New 20102013 LF Efficacy'!$AA:$AA,""),
  ""
)</f>
        <v>0.426</v>
      </c>
      <c r="AO32" s="115">
        <f t="shared" si="18"/>
        <v>0.426</v>
      </c>
      <c r="AP32" s="121">
        <f>IFERROR(
AVERAGEIFS(
'New 20102013 LF Efficacy'!$J:$J,
'New 20102013 LF Efficacy'!$D:$D,$A32,
'New 20102013 LF Efficacy'!$F:$F,"Albendazole &amp; DEC",
'New 20102013 LF Efficacy'!$W:$W,"&lt;2014",
'New 20102013 LF Efficacy'!$AA:$AA,""),
"")
</f>
        <v>0.579</v>
      </c>
      <c r="AQ32" s="115">
        <f t="shared" si="19"/>
        <v>0.579</v>
      </c>
      <c r="AR32" s="121" t="str">
        <f>IFERROR(
AVERAGEIFS(
'New 20102013 LF Efficacy'!$J:$J,
'New 20102013 LF Efficacy'!$D:$D,$A32,
'New 20102013 LF Efficacy'!$F:$F,"Albendazole &amp; Ivermectin", 
'New 20102013 LF Efficacy'!$W:$W,"&lt;2014",
'New 20102013 LF Efficacy'!$AA:$AA,""),"")</f>
        <v/>
      </c>
      <c r="AS32" s="115">
        <f t="shared" si="20"/>
        <v>0.7575</v>
      </c>
      <c r="AT32" s="130">
        <f>IFERROR(AVERAGEIFS(
'20102013 Schist Efficacy'!$O:$O, 
'20102013 Schist Efficacy'!$C:$C,$A32, 
'20102013 Schist Efficacy'!$D:$D, "Praziquantel",
'20102013 Schist Efficacy'!$J:$J,"&lt;2014",
'20102013 Schist Efficacy'!$U:$U,""),
"")</f>
        <v>0.7914761905</v>
      </c>
      <c r="AU32" s="118">
        <f t="shared" si="21"/>
        <v>0.7914761905</v>
      </c>
      <c r="AV32" s="131" t="str">
        <f>IFERROR(AVERAGEIFS(
'20102013 STH Efficacy'!$AX:$AX, 
'20102013 STH Efficacy'!$AL:$AL, $A32, 
'20102013 STH Efficacy'!$AM:$AM, "Albendazole",
'20102013 STH Efficacy'!$AS:$AS,"&lt;2014",
'20102013 STH Efficacy'!$BP:$BP,""),
"")</f>
        <v/>
      </c>
      <c r="AW32" s="132">
        <f t="shared" si="22"/>
        <v>0.3945</v>
      </c>
      <c r="AX32" s="131" t="str">
        <f>IFERROR(AVERAGEIFS(
'20102013 STH Efficacy'!$AX:$AX, 
'20102013 STH Efficacy'!$AL:$AL, $A32, 
'20102013 STH Efficacy'!$AM:$AM, "Mebendazole",
'20102013 STH Efficacy'!$AS:$AS,"&lt;2014",
'20102013 STH Efficacy'!$BP:$BP,""),
"")</f>
        <v/>
      </c>
      <c r="AY32" s="132">
        <f t="shared" si="23"/>
        <v>0.6</v>
      </c>
      <c r="AZ32" s="131" t="str">
        <f>IFERROR(AVERAGEIFS(
'20102013 STH Efficacy'!$AX:$AX, 
'20102013 STH Efficacy'!$AL:$AL, $A32, 
'20102013 STH Efficacy'!$AM:$AM, "Albendazole &amp; Ivermectin",
'20102013 STH Efficacy'!$AS:$AS,"&lt;2014",
'20102013 STH Efficacy'!$BP:$BP,""),
"")</f>
        <v/>
      </c>
      <c r="BA32" s="303">
        <f t="shared" si="24"/>
        <v>0.796</v>
      </c>
      <c r="BB32" s="134" t="str">
        <f>IFERROR(AVERAGEIFS(
'20102013 STH Efficacy'!$N:$N, 
'20102013 STH Efficacy'!$B:$B, $A32, 
'20102013 STH Efficacy'!$C:$C, "Albendazole",
'20102013 STH Efficacy'!$I:$I,"&lt;2014",
'20102013 STH Efficacy'!$AH:$AH,""),
"")</f>
        <v/>
      </c>
      <c r="BC32" s="135">
        <f t="shared" si="25"/>
        <v>0.869</v>
      </c>
      <c r="BD32" s="134" t="str">
        <f>IFERROR(AVERAGEIFS(
'20102013 STH Efficacy'!$N:$N, 
'20102013 STH Efficacy'!$B:$B, $A32, 
'20102013 STH Efficacy'!$C:$C, "Mebendazole",
'20102013 STH Efficacy'!$I:$I,"&lt;2014",
'20102013 STH Efficacy'!$AH:$AH,""),
"")</f>
        <v/>
      </c>
      <c r="BE32" s="135">
        <f t="shared" si="26"/>
        <v>0.172</v>
      </c>
      <c r="BF32" s="128" t="str">
        <f>IFERROR(AVERAGEIFS(
'20102013 STH Efficacy'!$CD:$CD, 
'20102013 STH Efficacy'!$BS:$BS, $A32, 
'20102013 STH Efficacy'!$BT:$BT, "Albendazole",
'20102013 STH Efficacy'!$BZ:$BZ,"&lt;2014",
'20102013 STH Efficacy'!$CU:$CU,""),
"")</f>
        <v/>
      </c>
      <c r="BG32" s="136">
        <f t="shared" si="27"/>
        <v>0.9862</v>
      </c>
      <c r="BH32" s="128" t="str">
        <f>IFERROR(AVERAGEIFS(
'20102013 STH Efficacy'!$CD:$CD, 
'20102013 STH Efficacy'!$BS:$BS, $A32, 
'20102013 STH Efficacy'!$BT:$BT, "Mebendazole",
'20102013 STH Efficacy'!$BZ:$BZ,"&lt;2014",
'20102013 STH Efficacy'!$CU:$CU,""),
"")</f>
        <v/>
      </c>
      <c r="BI32" s="136">
        <f t="shared" si="28"/>
        <v>0.769</v>
      </c>
      <c r="BJ32" s="128" t="str">
        <f>IFERROR(AVERAGEIFS(
'20102013 STH Efficacy'!$CD:$CD, 
'20102013 STH Efficacy'!$BS:$BS, $A32, 
'20102013 STH Efficacy'!$BT:$BT, "Albendazole &amp; Ivermectin",
'20102013 STH Efficacy'!$BZ:$BZ,"&lt;2014",
'20102013 STH Efficacy'!$CU:$CU,""),
"")</f>
        <v/>
      </c>
      <c r="BK32" s="136">
        <f t="shared" si="29"/>
        <v>1</v>
      </c>
      <c r="BL32" s="300" t="str">
        <f>IFERROR(
  AVERAGEIFS(
    'NEW 20102013 Onchocerciasis Eff'!$AO:$AO,
    'NEW 20102013 Onchocerciasis Eff'!$C:$C,$A32,
    'NEW 20102013 Onchocerciasis Eff'!$D:$D,"Ivermectin",
    'NEW 20102013 Onchocerciasis Eff'!$AR:$AR,"&lt;2014",
    'NEW 20102013 Onchocerciasis Eff'!$BG:$BG,"")
,"")</f>
        <v/>
      </c>
      <c r="BM32" s="304">
        <f t="shared" si="30"/>
        <v>0.3734</v>
      </c>
      <c r="BN32" s="305">
        <v>1.0</v>
      </c>
      <c r="BO32" s="139">
        <v>1.0</v>
      </c>
      <c r="BP32" s="140">
        <v>1.0</v>
      </c>
      <c r="BQ32" s="141">
        <f t="shared" si="31"/>
        <v>0</v>
      </c>
      <c r="BR32" s="104" t="str">
        <f t="shared" si="32"/>
        <v>1110</v>
      </c>
      <c r="BS32" s="104" t="str">
        <f t="shared" si="33"/>
        <v>MDA1+T2</v>
      </c>
      <c r="BT32" s="142" t="str">
        <f t="shared" si="34"/>
        <v>IVM+ALB</v>
      </c>
      <c r="BU32" s="104" t="str">
        <f t="shared" si="35"/>
        <v>PZQ</v>
      </c>
      <c r="BV32" s="104" t="str">
        <f t="shared" si="36"/>
        <v>lf+onch+schist </v>
      </c>
      <c r="BW32" s="150" t="str">
        <f t="shared" si="37"/>
        <v/>
      </c>
      <c r="BX32" s="312">
        <f t="shared" si="38"/>
        <v>10.08658954</v>
      </c>
      <c r="BY32" s="162">
        <f t="shared" si="39"/>
        <v>49316.10886</v>
      </c>
      <c r="BZ32" s="152" t="str">
        <f t="shared" si="40"/>
        <v/>
      </c>
      <c r="CA32" s="152" t="str">
        <f t="shared" si="41"/>
        <v/>
      </c>
      <c r="CB32" s="152" t="str">
        <f t="shared" si="42"/>
        <v/>
      </c>
      <c r="CC32" s="153" t="str">
        <f t="shared" si="43"/>
        <v/>
      </c>
      <c r="CD32" s="153" t="str">
        <f t="shared" si="44"/>
        <v/>
      </c>
      <c r="CE32" s="154" t="str">
        <f t="shared" si="45"/>
        <v/>
      </c>
      <c r="CF32" s="154" t="str">
        <f t="shared" si="46"/>
        <v/>
      </c>
      <c r="CG32" s="154" t="str">
        <f t="shared" si="47"/>
        <v/>
      </c>
      <c r="CH32" s="313">
        <f t="shared" si="48"/>
        <v>0.4457538548</v>
      </c>
      <c r="CI32" s="299">
        <f t="shared" si="49"/>
        <v>0</v>
      </c>
    </row>
    <row r="33">
      <c r="A33" s="155" t="s">
        <v>122</v>
      </c>
      <c r="B33" s="104" t="s">
        <v>98</v>
      </c>
      <c r="C33" s="105">
        <v>29056.0</v>
      </c>
      <c r="D33" s="293">
        <v>0.0</v>
      </c>
      <c r="E33" s="294">
        <v>0.0</v>
      </c>
      <c r="F33" s="163"/>
      <c r="G33" s="163"/>
      <c r="H33" s="108">
        <v>0.0</v>
      </c>
      <c r="I33" s="109">
        <v>0.0</v>
      </c>
      <c r="J33" s="109">
        <v>0.0</v>
      </c>
      <c r="K33" s="109">
        <v>0.0</v>
      </c>
      <c r="L33" s="113"/>
      <c r="M33" s="113"/>
      <c r="N33" s="111">
        <v>0.0</v>
      </c>
      <c r="O33" s="298">
        <v>0.0</v>
      </c>
      <c r="P33" s="114"/>
      <c r="Q33" s="114"/>
      <c r="R33" s="121" t="str">
        <f t="shared" si="11"/>
        <v/>
      </c>
      <c r="S33" s="116">
        <f t="shared" si="12"/>
        <v>0.2288425133</v>
      </c>
      <c r="T33" s="130"/>
      <c r="U33" s="118">
        <f t="shared" si="13"/>
        <v>0.39435</v>
      </c>
      <c r="V33" s="148"/>
      <c r="W33" s="120">
        <f t="shared" si="14"/>
        <v>0.542475</v>
      </c>
      <c r="X33" s="148"/>
      <c r="Y33" s="120">
        <f t="shared" si="15"/>
        <v>0.6507333333</v>
      </c>
      <c r="Z33" s="299"/>
      <c r="AA33" s="299"/>
      <c r="AB33" s="300" t="str">
        <f t="shared" si="16"/>
        <v/>
      </c>
      <c r="AC33" s="301">
        <f t="shared" si="17"/>
        <v>0.3490201688</v>
      </c>
      <c r="AD33" s="314">
        <v>0.0</v>
      </c>
      <c r="AE33" s="315">
        <v>0.0</v>
      </c>
      <c r="AF33" s="166">
        <v>0.0</v>
      </c>
      <c r="AG33" s="316">
        <v>0.0</v>
      </c>
      <c r="AH33" s="307">
        <v>0.0</v>
      </c>
      <c r="AI33" s="317">
        <v>0.0</v>
      </c>
      <c r="AJ33" s="318">
        <v>0.0</v>
      </c>
      <c r="AK33" s="319">
        <v>0.0</v>
      </c>
      <c r="AL33" s="319">
        <v>0.0</v>
      </c>
      <c r="AM33" s="320">
        <v>0.0</v>
      </c>
      <c r="AN33" s="149" t="str">
        <f>IFERROR(
  AVERAGEIFS(
    'New 20102013 LF Efficacy'!$J:$J,
    'New 20102013 LF Efficacy'!$D:$D, $A33,
    'New 20102013 LF Efficacy'!$F:$F,"DEC", 
    'New 20102013 LF Efficacy'!$W:$W,"&lt;2014",
    'New 20102013 LF Efficacy'!$AA:$AA,""),
  ""
)</f>
        <v/>
      </c>
      <c r="AO33" s="115">
        <f t="shared" si="18"/>
        <v>0.2589833333</v>
      </c>
      <c r="AP33" s="121" t="str">
        <f>IFERROR(
AVERAGEIFS(
'New 20102013 LF Efficacy'!$J:$J,
'New 20102013 LF Efficacy'!$D:$D,$A33,
'New 20102013 LF Efficacy'!$F:$F,"Albendazole &amp; DEC",
'New 20102013 LF Efficacy'!$W:$W,"&lt;2014",
'New 20102013 LF Efficacy'!$AA:$AA,""),
"")
</f>
        <v/>
      </c>
      <c r="AQ33" s="115">
        <f t="shared" si="19"/>
        <v>0.3465</v>
      </c>
      <c r="AR33" s="121" t="str">
        <f>IFERROR(
AVERAGEIFS(
'New 20102013 LF Efficacy'!$J:$J,
'New 20102013 LF Efficacy'!$D:$D,$A33,
'New 20102013 LF Efficacy'!$F:$F,"Albendazole &amp; Ivermectin", 
'New 20102013 LF Efficacy'!$W:$W,"&lt;2014",
'New 20102013 LF Efficacy'!$AA:$AA,""),"")</f>
        <v/>
      </c>
      <c r="AS33" s="115">
        <f t="shared" si="20"/>
        <v>0.7575</v>
      </c>
      <c r="AT33" s="130" t="str">
        <f>IFERROR(AVERAGEIFS(
'20102013 Schist Efficacy'!$O:$O, 
'20102013 Schist Efficacy'!$C:$C,$A33, 
'20102013 Schist Efficacy'!$D:$D, "Praziquantel",
'20102013 Schist Efficacy'!$J:$J,"&lt;2014",
'20102013 Schist Efficacy'!$U:$U,""),
"")</f>
        <v/>
      </c>
      <c r="AU33" s="118">
        <f t="shared" si="21"/>
        <v>0.7914761905</v>
      </c>
      <c r="AV33" s="131" t="str">
        <f>IFERROR(AVERAGEIFS(
'20102013 STH Efficacy'!$AX:$AX, 
'20102013 STH Efficacy'!$AL:$AL, $A33, 
'20102013 STH Efficacy'!$AM:$AM, "Albendazole",
'20102013 STH Efficacy'!$AS:$AS,"&lt;2014",
'20102013 STH Efficacy'!$BP:$BP,""),
"")</f>
        <v/>
      </c>
      <c r="AW33" s="132">
        <f t="shared" si="22"/>
        <v>0.3945</v>
      </c>
      <c r="AX33" s="131" t="str">
        <f>IFERROR(AVERAGEIFS(
'20102013 STH Efficacy'!$AX:$AX, 
'20102013 STH Efficacy'!$AL:$AL, $A33, 
'20102013 STH Efficacy'!$AM:$AM, "Mebendazole",
'20102013 STH Efficacy'!$AS:$AS,"&lt;2014",
'20102013 STH Efficacy'!$BP:$BP,""),
"")</f>
        <v/>
      </c>
      <c r="AY33" s="132">
        <f t="shared" si="23"/>
        <v>0.6</v>
      </c>
      <c r="AZ33" s="131" t="str">
        <f>IFERROR(AVERAGEIFS(
'20102013 STH Efficacy'!$AX:$AX, 
'20102013 STH Efficacy'!$AL:$AL, $A33, 
'20102013 STH Efficacy'!$AM:$AM, "Albendazole &amp; Ivermectin",
'20102013 STH Efficacy'!$AS:$AS,"&lt;2014",
'20102013 STH Efficacy'!$BP:$BP,""),
"")</f>
        <v/>
      </c>
      <c r="BA33" s="303">
        <f t="shared" si="24"/>
        <v>0.796</v>
      </c>
      <c r="BB33" s="134" t="str">
        <f>IFERROR(AVERAGEIFS(
'20102013 STH Efficacy'!$N:$N, 
'20102013 STH Efficacy'!$B:$B, $A33, 
'20102013 STH Efficacy'!$C:$C, "Albendazole",
'20102013 STH Efficacy'!$I:$I,"&lt;2014",
'20102013 STH Efficacy'!$AH:$AH,""),
"")</f>
        <v/>
      </c>
      <c r="BC33" s="135">
        <f t="shared" si="25"/>
        <v>0.869</v>
      </c>
      <c r="BD33" s="134" t="str">
        <f>IFERROR(AVERAGEIFS(
'20102013 STH Efficacy'!$N:$N, 
'20102013 STH Efficacy'!$B:$B, $A33, 
'20102013 STH Efficacy'!$C:$C, "Mebendazole",
'20102013 STH Efficacy'!$I:$I,"&lt;2014",
'20102013 STH Efficacy'!$AH:$AH,""),
"")</f>
        <v/>
      </c>
      <c r="BE33" s="135">
        <f t="shared" si="26"/>
        <v>0.172</v>
      </c>
      <c r="BF33" s="128" t="str">
        <f>IFERROR(AVERAGEIFS(
'20102013 STH Efficacy'!$CD:$CD, 
'20102013 STH Efficacy'!$BS:$BS, $A33, 
'20102013 STH Efficacy'!$BT:$BT, "Albendazole",
'20102013 STH Efficacy'!$BZ:$BZ,"&lt;2014",
'20102013 STH Efficacy'!$CU:$CU,""),
"")</f>
        <v/>
      </c>
      <c r="BG33" s="136">
        <f t="shared" si="27"/>
        <v>0.9862</v>
      </c>
      <c r="BH33" s="128" t="str">
        <f>IFERROR(AVERAGEIFS(
'20102013 STH Efficacy'!$CD:$CD, 
'20102013 STH Efficacy'!$BS:$BS, $A33, 
'20102013 STH Efficacy'!$BT:$BT, "Mebendazole",
'20102013 STH Efficacy'!$BZ:$BZ,"&lt;2014",
'20102013 STH Efficacy'!$CU:$CU,""),
"")</f>
        <v/>
      </c>
      <c r="BI33" s="136">
        <f t="shared" si="28"/>
        <v>0.769</v>
      </c>
      <c r="BJ33" s="128" t="str">
        <f>IFERROR(AVERAGEIFS(
'20102013 STH Efficacy'!$CD:$CD, 
'20102013 STH Efficacy'!$BS:$BS, $A33, 
'20102013 STH Efficacy'!$BT:$BT, "Albendazole &amp; Ivermectin",
'20102013 STH Efficacy'!$BZ:$BZ,"&lt;2014",
'20102013 STH Efficacy'!$CU:$CU,""),
"")</f>
        <v/>
      </c>
      <c r="BK33" s="136">
        <f t="shared" si="29"/>
        <v>1</v>
      </c>
      <c r="BL33" s="300" t="str">
        <f>IFERROR(
  AVERAGEIFS(
    'NEW 20102013 Onchocerciasis Eff'!$AO:$AO,
    'NEW 20102013 Onchocerciasis Eff'!$C:$C,$A33,
    'NEW 20102013 Onchocerciasis Eff'!$D:$D,"Ivermectin",
    'NEW 20102013 Onchocerciasis Eff'!$AR:$AR,"&lt;2014",
    'NEW 20102013 Onchocerciasis Eff'!$BG:$BG,"")
,"")</f>
        <v/>
      </c>
      <c r="BM33" s="304">
        <f t="shared" si="30"/>
        <v>0.3734</v>
      </c>
      <c r="BN33" s="305">
        <v>0.0</v>
      </c>
      <c r="BO33" s="139">
        <v>0.0</v>
      </c>
      <c r="BP33" s="140">
        <v>0.0</v>
      </c>
      <c r="BQ33" s="141">
        <f t="shared" si="31"/>
        <v>0</v>
      </c>
      <c r="BR33" s="104" t="str">
        <f t="shared" si="32"/>
        <v>0000</v>
      </c>
      <c r="BS33" s="104" t="str">
        <f t="shared" si="33"/>
        <v>no action required</v>
      </c>
      <c r="BT33" s="142" t="str">
        <f t="shared" si="34"/>
        <v/>
      </c>
      <c r="BU33" s="104" t="str">
        <f t="shared" si="35"/>
        <v/>
      </c>
      <c r="BV33" s="104" t="str">
        <f t="shared" si="36"/>
        <v>none</v>
      </c>
      <c r="BW33" s="150" t="str">
        <f t="shared" si="37"/>
        <v/>
      </c>
      <c r="BX33" s="150" t="str">
        <f t="shared" si="38"/>
        <v/>
      </c>
      <c r="BY33" s="151" t="str">
        <f t="shared" si="39"/>
        <v/>
      </c>
      <c r="BZ33" s="152" t="str">
        <f t="shared" si="40"/>
        <v/>
      </c>
      <c r="CA33" s="152" t="str">
        <f t="shared" si="41"/>
        <v/>
      </c>
      <c r="CB33" s="152" t="str">
        <f t="shared" si="42"/>
        <v/>
      </c>
      <c r="CC33" s="153" t="str">
        <f t="shared" si="43"/>
        <v/>
      </c>
      <c r="CD33" s="153" t="str">
        <f t="shared" si="44"/>
        <v/>
      </c>
      <c r="CE33" s="154" t="str">
        <f t="shared" si="45"/>
        <v/>
      </c>
      <c r="CF33" s="154" t="str">
        <f t="shared" si="46"/>
        <v/>
      </c>
      <c r="CG33" s="154" t="str">
        <f t="shared" si="47"/>
        <v/>
      </c>
      <c r="CH33" s="308" t="str">
        <f t="shared" si="48"/>
        <v/>
      </c>
      <c r="CI33" s="299">
        <f t="shared" si="49"/>
        <v>0</v>
      </c>
    </row>
    <row r="34">
      <c r="A34" s="103" t="s">
        <v>123</v>
      </c>
      <c r="B34" s="104" t="s">
        <v>94</v>
      </c>
      <c r="C34" s="105">
        <v>405716.0</v>
      </c>
      <c r="D34" s="293">
        <v>0.0</v>
      </c>
      <c r="E34" s="294">
        <v>0.0</v>
      </c>
      <c r="F34" s="163"/>
      <c r="G34" s="163"/>
      <c r="H34" s="108">
        <v>0.0</v>
      </c>
      <c r="I34" s="109">
        <v>0.0</v>
      </c>
      <c r="J34" s="109">
        <v>0.0</v>
      </c>
      <c r="K34" s="109">
        <v>0.0</v>
      </c>
      <c r="L34" s="112">
        <v>0.15108681</v>
      </c>
      <c r="M34" s="112">
        <v>0.070186785</v>
      </c>
      <c r="N34" s="111">
        <v>0.221273595</v>
      </c>
      <c r="O34" s="298">
        <v>0.0</v>
      </c>
      <c r="P34" s="160">
        <v>15000.0</v>
      </c>
      <c r="Q34" s="156"/>
      <c r="R34" s="121">
        <f t="shared" si="11"/>
        <v>0</v>
      </c>
      <c r="S34" s="116">
        <f t="shared" si="12"/>
        <v>0.403639098</v>
      </c>
      <c r="T34" s="130"/>
      <c r="U34" s="118">
        <f t="shared" si="13"/>
        <v>0.6259666667</v>
      </c>
      <c r="V34" s="148"/>
      <c r="W34" s="120">
        <f t="shared" si="14"/>
        <v>0.3807857143</v>
      </c>
      <c r="X34" s="148"/>
      <c r="Y34" s="120">
        <f t="shared" si="15"/>
        <v>0.3971375</v>
      </c>
      <c r="Z34" s="299"/>
      <c r="AA34" s="299"/>
      <c r="AB34" s="300" t="str">
        <f t="shared" si="16"/>
        <v/>
      </c>
      <c r="AC34" s="301">
        <f t="shared" si="17"/>
        <v>0.6295826791</v>
      </c>
      <c r="AD34" s="122">
        <v>0.0015</v>
      </c>
      <c r="AE34" s="123">
        <v>0.0</v>
      </c>
      <c r="AF34" s="166">
        <v>0.0</v>
      </c>
      <c r="AG34" s="316">
        <v>0.0</v>
      </c>
      <c r="AH34" s="124">
        <v>0.0</v>
      </c>
      <c r="AI34" s="317">
        <v>0.0</v>
      </c>
      <c r="AJ34" s="317">
        <v>0.0</v>
      </c>
      <c r="AK34" s="319">
        <v>0.0</v>
      </c>
      <c r="AL34" s="319">
        <v>0.0</v>
      </c>
      <c r="AM34" s="302">
        <v>0.0</v>
      </c>
      <c r="AN34" s="149" t="str">
        <f>IFERROR(
  AVERAGEIFS(
    'New 20102013 LF Efficacy'!$J:$J,
    'New 20102013 LF Efficacy'!$D:$D, $A34,
    'New 20102013 LF Efficacy'!$F:$F,"DEC", 
    'New 20102013 LF Efficacy'!$W:$W,"&lt;2014",
    'New 20102013 LF Efficacy'!$AA:$AA,""),
  ""
)</f>
        <v/>
      </c>
      <c r="AO34" s="115">
        <f t="shared" si="18"/>
        <v>0.38</v>
      </c>
      <c r="AP34" s="121" t="str">
        <f>IFERROR(
AVERAGEIFS(
'New 20102013 LF Efficacy'!$J:$J,
'New 20102013 LF Efficacy'!$D:$D,$A34,
'New 20102013 LF Efficacy'!$F:$F,"Albendazole &amp; DEC",
'New 20102013 LF Efficacy'!$W:$W,"&lt;2014",
'New 20102013 LF Efficacy'!$AA:$AA,""),
"")
</f>
        <v/>
      </c>
      <c r="AQ34" s="115">
        <f t="shared" si="19"/>
        <v>0.657</v>
      </c>
      <c r="AR34" s="121" t="str">
        <f>IFERROR(
AVERAGEIFS(
'New 20102013 LF Efficacy'!$J:$J,
'New 20102013 LF Efficacy'!$D:$D,$A34,
'New 20102013 LF Efficacy'!$F:$F,"Albendazole &amp; Ivermectin", 
'New 20102013 LF Efficacy'!$W:$W,"&lt;2014",
'New 20102013 LF Efficacy'!$AA:$AA,""),"")</f>
        <v/>
      </c>
      <c r="AS34" s="115">
        <f t="shared" si="20"/>
        <v>0.37153125</v>
      </c>
      <c r="AT34" s="130" t="str">
        <f>IFERROR(AVERAGEIFS(
'20102013 Schist Efficacy'!$O:$O, 
'20102013 Schist Efficacy'!$C:$C,$A34, 
'20102013 Schist Efficacy'!$D:$D, "Praziquantel",
'20102013 Schist Efficacy'!$J:$J,"&lt;2014",
'20102013 Schist Efficacy'!$U:$U,""),
"")</f>
        <v/>
      </c>
      <c r="AU34" s="118">
        <f t="shared" si="21"/>
        <v>0.9475</v>
      </c>
      <c r="AV34" s="131" t="str">
        <f>IFERROR(AVERAGEIFS(
'20102013 STH Efficacy'!$AX:$AX, 
'20102013 STH Efficacy'!$AL:$AL, $A34, 
'20102013 STH Efficacy'!$AM:$AM, "Albendazole",
'20102013 STH Efficacy'!$AS:$AS,"&lt;2014",
'20102013 STH Efficacy'!$BP:$BP,""),
"")</f>
        <v/>
      </c>
      <c r="AW34" s="132">
        <f t="shared" si="22"/>
        <v>0.3571666667</v>
      </c>
      <c r="AX34" s="131" t="str">
        <f>IFERROR(AVERAGEIFS(
'20102013 STH Efficacy'!$AX:$AX, 
'20102013 STH Efficacy'!$AL:$AL, $A34, 
'20102013 STH Efficacy'!$AM:$AM, "Mebendazole",
'20102013 STH Efficacy'!$AS:$AS,"&lt;2014",
'20102013 STH Efficacy'!$BP:$BP,""),
"")</f>
        <v/>
      </c>
      <c r="AY34" s="132">
        <f t="shared" si="23"/>
        <v>0.4155</v>
      </c>
      <c r="AZ34" s="131" t="str">
        <f>IFERROR(AVERAGEIFS(
'20102013 STH Efficacy'!$AX:$AX, 
'20102013 STH Efficacy'!$AL:$AL, $A34, 
'20102013 STH Efficacy'!$AM:$AM, "Albendazole &amp; Ivermectin",
'20102013 STH Efficacy'!$AS:$AS,"&lt;2014",
'20102013 STH Efficacy'!$BP:$BP,""),
"")</f>
        <v/>
      </c>
      <c r="BA34" s="303">
        <f t="shared" si="24"/>
        <v>0.651</v>
      </c>
      <c r="BB34" s="134" t="str">
        <f>IFERROR(AVERAGEIFS(
'20102013 STH Efficacy'!$N:$N, 
'20102013 STH Efficacy'!$B:$B, $A34, 
'20102013 STH Efficacy'!$C:$C, "Albendazole",
'20102013 STH Efficacy'!$I:$I,"&lt;2014",
'20102013 STH Efficacy'!$AH:$AH,""),
"")</f>
        <v/>
      </c>
      <c r="BC34" s="135">
        <f t="shared" si="25"/>
        <v>0.5769166667</v>
      </c>
      <c r="BD34" s="134" t="str">
        <f>IFERROR(AVERAGEIFS(
'20102013 STH Efficacy'!$N:$N, 
'20102013 STH Efficacy'!$B:$B, $A34, 
'20102013 STH Efficacy'!$C:$C, "Mebendazole",
'20102013 STH Efficacy'!$I:$I,"&lt;2014",
'20102013 STH Efficacy'!$AH:$AH,""),
"")</f>
        <v/>
      </c>
      <c r="BE34" s="135">
        <f t="shared" si="26"/>
        <v>0.3145</v>
      </c>
      <c r="BF34" s="128" t="str">
        <f>IFERROR(AVERAGEIFS(
'20102013 STH Efficacy'!$CD:$CD, 
'20102013 STH Efficacy'!$BS:$BS, $A34, 
'20102013 STH Efficacy'!$BT:$BT, "Albendazole",
'20102013 STH Efficacy'!$BZ:$BZ,"&lt;2014",
'20102013 STH Efficacy'!$CU:$CU,""),
"")</f>
        <v/>
      </c>
      <c r="BG34" s="136">
        <f t="shared" si="27"/>
        <v>0.96925</v>
      </c>
      <c r="BH34" s="128" t="str">
        <f>IFERROR(AVERAGEIFS(
'20102013 STH Efficacy'!$CD:$CD, 
'20102013 STH Efficacy'!$BS:$BS, $A34, 
'20102013 STH Efficacy'!$BT:$BT, "Mebendazole",
'20102013 STH Efficacy'!$BZ:$BZ,"&lt;2014",
'20102013 STH Efficacy'!$CU:$CU,""),
"")</f>
        <v/>
      </c>
      <c r="BI34" s="136">
        <f t="shared" si="28"/>
        <v>0.9305</v>
      </c>
      <c r="BJ34" s="128" t="str">
        <f>IFERROR(AVERAGEIFS(
'20102013 STH Efficacy'!$CD:$CD, 
'20102013 STH Efficacy'!$BS:$BS, $A34, 
'20102013 STH Efficacy'!$BT:$BT, "Albendazole &amp; Ivermectin",
'20102013 STH Efficacy'!$BZ:$BZ,"&lt;2014",
'20102013 STH Efficacy'!$CU:$CU,""),
"")</f>
        <v/>
      </c>
      <c r="BK34" s="136">
        <f t="shared" si="29"/>
        <v>1</v>
      </c>
      <c r="BL34" s="300" t="str">
        <f>IFERROR(
  AVERAGEIFS(
    'NEW 20102013 Onchocerciasis Eff'!$AO:$AO,
    'NEW 20102013 Onchocerciasis Eff'!$C:$C,$A34,
    'NEW 20102013 Onchocerciasis Eff'!$D:$D,"Ivermectin",
    'NEW 20102013 Onchocerciasis Eff'!$AR:$AR,"&lt;2014",
    'NEW 20102013 Onchocerciasis Eff'!$BG:$BG,"")
,"")</f>
        <v/>
      </c>
      <c r="BM34" s="304">
        <f t="shared" si="30"/>
        <v>0.7808368939</v>
      </c>
      <c r="BN34" s="305">
        <v>1.0</v>
      </c>
      <c r="BO34" s="139">
        <v>0.0</v>
      </c>
      <c r="BP34" s="140">
        <v>0.0</v>
      </c>
      <c r="BQ34" s="141">
        <f t="shared" si="31"/>
        <v>0</v>
      </c>
      <c r="BR34" s="104" t="str">
        <f t="shared" si="32"/>
        <v>1000</v>
      </c>
      <c r="BS34" s="104" t="str">
        <f t="shared" si="33"/>
        <v>MDA1/2</v>
      </c>
      <c r="BT34" s="142" t="str">
        <f t="shared" si="34"/>
        <v>DEC+ALB</v>
      </c>
      <c r="BU34" s="104" t="str">
        <f t="shared" si="35"/>
        <v/>
      </c>
      <c r="BV34" s="104" t="str">
        <f t="shared" si="36"/>
        <v>lf only</v>
      </c>
      <c r="BW34" s="312">
        <f t="shared" si="37"/>
        <v>0</v>
      </c>
      <c r="BX34" s="150" t="str">
        <f t="shared" si="38"/>
        <v/>
      </c>
      <c r="BY34" s="151" t="str">
        <f t="shared" si="39"/>
        <v/>
      </c>
      <c r="BZ34" s="152" t="str">
        <f t="shared" si="40"/>
        <v/>
      </c>
      <c r="CA34" s="152" t="str">
        <f t="shared" si="41"/>
        <v/>
      </c>
      <c r="CB34" s="152" t="str">
        <f t="shared" si="42"/>
        <v/>
      </c>
      <c r="CC34" s="153" t="str">
        <f t="shared" si="43"/>
        <v/>
      </c>
      <c r="CD34" s="153" t="str">
        <f t="shared" si="44"/>
        <v/>
      </c>
      <c r="CE34" s="154" t="str">
        <f t="shared" si="45"/>
        <v/>
      </c>
      <c r="CF34" s="154" t="str">
        <f t="shared" si="46"/>
        <v/>
      </c>
      <c r="CG34" s="154" t="str">
        <f t="shared" si="47"/>
        <v/>
      </c>
      <c r="CH34" s="308" t="str">
        <f t="shared" si="48"/>
        <v/>
      </c>
      <c r="CI34" s="299">
        <f t="shared" si="49"/>
        <v>0</v>
      </c>
    </row>
    <row r="35">
      <c r="A35" s="103" t="s">
        <v>124</v>
      </c>
      <c r="B35" s="104" t="s">
        <v>90</v>
      </c>
      <c r="C35" s="105">
        <v>7265115.0</v>
      </c>
      <c r="D35" s="293">
        <v>0.0</v>
      </c>
      <c r="E35" s="294">
        <v>0.0</v>
      </c>
      <c r="F35" s="307">
        <v>0.0</v>
      </c>
      <c r="G35" s="307">
        <v>0.0</v>
      </c>
      <c r="H35" s="108">
        <v>0.0</v>
      </c>
      <c r="I35" s="109">
        <v>0.0</v>
      </c>
      <c r="J35" s="109">
        <v>0.0</v>
      </c>
      <c r="K35" s="109">
        <v>0.0</v>
      </c>
      <c r="L35" s="112">
        <v>0.0</v>
      </c>
      <c r="M35" s="112">
        <v>0.0</v>
      </c>
      <c r="N35" s="111">
        <v>0.0</v>
      </c>
      <c r="O35" s="298">
        <v>0.0</v>
      </c>
      <c r="P35" s="114"/>
      <c r="Q35" s="114"/>
      <c r="R35" s="121" t="str">
        <f t="shared" si="11"/>
        <v/>
      </c>
      <c r="S35" s="116">
        <f t="shared" si="12"/>
        <v>0.526225767</v>
      </c>
      <c r="T35" s="130"/>
      <c r="U35" s="118">
        <f t="shared" si="13"/>
        <v>0.3468166667</v>
      </c>
      <c r="V35" s="148"/>
      <c r="W35" s="120">
        <f t="shared" si="14"/>
        <v>1</v>
      </c>
      <c r="X35" s="148"/>
      <c r="Y35" s="120">
        <f t="shared" si="15"/>
        <v>1</v>
      </c>
      <c r="Z35" s="299"/>
      <c r="AA35" s="299"/>
      <c r="AB35" s="300" t="str">
        <f t="shared" si="16"/>
        <v/>
      </c>
      <c r="AC35" s="301">
        <f t="shared" si="17"/>
        <v>0.6295826791</v>
      </c>
      <c r="AD35" s="122">
        <v>0.0</v>
      </c>
      <c r="AE35" s="123">
        <v>0.0</v>
      </c>
      <c r="AF35" s="123">
        <v>0.0</v>
      </c>
      <c r="AG35" s="316">
        <v>0.0</v>
      </c>
      <c r="AH35" s="124">
        <v>0.0</v>
      </c>
      <c r="AI35" s="317">
        <v>0.0</v>
      </c>
      <c r="AJ35" s="125">
        <v>0.0</v>
      </c>
      <c r="AK35" s="319">
        <v>0.0</v>
      </c>
      <c r="AL35" s="319">
        <v>0.0</v>
      </c>
      <c r="AM35" s="302">
        <v>0.0</v>
      </c>
      <c r="AN35" s="149" t="str">
        <f>IFERROR(
  AVERAGEIFS(
    'New 20102013 LF Efficacy'!$J:$J,
    'New 20102013 LF Efficacy'!$D:$D, $A35,
    'New 20102013 LF Efficacy'!$F:$F,"DEC", 
    'New 20102013 LF Efficacy'!$W:$W,"&lt;2014",
    'New 20102013 LF Efficacy'!$AA:$AA,""),
  ""
)</f>
        <v/>
      </c>
      <c r="AO35" s="115">
        <f t="shared" si="18"/>
        <v>0.3573520833</v>
      </c>
      <c r="AP35" s="121" t="str">
        <f>IFERROR(
AVERAGEIFS(
'New 20102013 LF Efficacy'!$J:$J,
'New 20102013 LF Efficacy'!$D:$D,$A35,
'New 20102013 LF Efficacy'!$F:$F,"Albendazole &amp; DEC",
'New 20102013 LF Efficacy'!$W:$W,"&lt;2014",
'New 20102013 LF Efficacy'!$AA:$AA,""),
"")
</f>
        <v/>
      </c>
      <c r="AQ35" s="115">
        <f t="shared" si="19"/>
        <v>0.5137291667</v>
      </c>
      <c r="AR35" s="121" t="str">
        <f>IFERROR(
AVERAGEIFS(
'New 20102013 LF Efficacy'!$J:$J,
'New 20102013 LF Efficacy'!$D:$D,$A35,
'New 20102013 LF Efficacy'!$F:$F,"Albendazole &amp; Ivermectin", 
'New 20102013 LF Efficacy'!$W:$W,"&lt;2014",
'New 20102013 LF Efficacy'!$AA:$AA,""),"")</f>
        <v/>
      </c>
      <c r="AS35" s="115">
        <f t="shared" si="20"/>
        <v>0.37153125</v>
      </c>
      <c r="AT35" s="130" t="str">
        <f>IFERROR(AVERAGEIFS(
'20102013 Schist Efficacy'!$O:$O, 
'20102013 Schist Efficacy'!$C:$C,$A35, 
'20102013 Schist Efficacy'!$D:$D, "Praziquantel",
'20102013 Schist Efficacy'!$J:$J,"&lt;2014",
'20102013 Schist Efficacy'!$U:$U,""),
"")</f>
        <v/>
      </c>
      <c r="AU35" s="118">
        <f t="shared" si="21"/>
        <v>0.655</v>
      </c>
      <c r="AV35" s="131" t="str">
        <f>IFERROR(AVERAGEIFS(
'20102013 STH Efficacy'!$AX:$AX, 
'20102013 STH Efficacy'!$AL:$AL, $A35, 
'20102013 STH Efficacy'!$AM:$AM, "Albendazole",
'20102013 STH Efficacy'!$AS:$AS,"&lt;2014",
'20102013 STH Efficacy'!$BP:$BP,""),
"")</f>
        <v/>
      </c>
      <c r="AW35" s="132">
        <f t="shared" si="22"/>
        <v>0.3933333333</v>
      </c>
      <c r="AX35" s="131" t="str">
        <f>IFERROR(AVERAGEIFS(
'20102013 STH Efficacy'!$AX:$AX, 
'20102013 STH Efficacy'!$AL:$AL, $A35, 
'20102013 STH Efficacy'!$AM:$AM, "Mebendazole",
'20102013 STH Efficacy'!$AS:$AS,"&lt;2014",
'20102013 STH Efficacy'!$BP:$BP,""),
"")</f>
        <v/>
      </c>
      <c r="AY35" s="132">
        <f t="shared" si="23"/>
        <v>0.5017738095</v>
      </c>
      <c r="AZ35" s="131" t="str">
        <f>IFERROR(AVERAGEIFS(
'20102013 STH Efficacy'!$AX:$AX, 
'20102013 STH Efficacy'!$AL:$AL, $A35, 
'20102013 STH Efficacy'!$AM:$AM, "Albendazole &amp; Ivermectin",
'20102013 STH Efficacy'!$AS:$AS,"&lt;2014",
'20102013 STH Efficacy'!$BP:$BP,""),
"")</f>
        <v/>
      </c>
      <c r="BA35" s="303">
        <f t="shared" si="24"/>
        <v>0.597625</v>
      </c>
      <c r="BB35" s="134" t="str">
        <f>IFERROR(AVERAGEIFS(
'20102013 STH Efficacy'!$N:$N, 
'20102013 STH Efficacy'!$B:$B, $A35, 
'20102013 STH Efficacy'!$C:$C, "Albendazole",
'20102013 STH Efficacy'!$I:$I,"&lt;2014",
'20102013 STH Efficacy'!$AH:$AH,""),
"")</f>
        <v/>
      </c>
      <c r="BC35" s="135">
        <f t="shared" si="25"/>
        <v>0.7613712121</v>
      </c>
      <c r="BD35" s="134" t="str">
        <f>IFERROR(AVERAGEIFS(
'20102013 STH Efficacy'!$N:$N, 
'20102013 STH Efficacy'!$B:$B, $A35, 
'20102013 STH Efficacy'!$C:$C, "Mebendazole",
'20102013 STH Efficacy'!$I:$I,"&lt;2014",
'20102013 STH Efficacy'!$AH:$AH,""),
"")</f>
        <v/>
      </c>
      <c r="BE35" s="135">
        <f t="shared" si="26"/>
        <v>0.4362466667</v>
      </c>
      <c r="BF35" s="128" t="str">
        <f>IFERROR(AVERAGEIFS(
'20102013 STH Efficacy'!$CD:$CD, 
'20102013 STH Efficacy'!$BS:$BS, $A35, 
'20102013 STH Efficacy'!$BT:$BT, "Albendazole",
'20102013 STH Efficacy'!$BZ:$BZ,"&lt;2014",
'20102013 STH Efficacy'!$CU:$CU,""),
"")</f>
        <v/>
      </c>
      <c r="BG35" s="136">
        <f t="shared" si="27"/>
        <v>0.9216027778</v>
      </c>
      <c r="BH35" s="128" t="str">
        <f>IFERROR(AVERAGEIFS(
'20102013 STH Efficacy'!$CD:$CD, 
'20102013 STH Efficacy'!$BS:$BS, $A35, 
'20102013 STH Efficacy'!$BT:$BT, "Mebendazole",
'20102013 STH Efficacy'!$BZ:$BZ,"&lt;2014",
'20102013 STH Efficacy'!$CU:$CU,""),
"")</f>
        <v/>
      </c>
      <c r="BI35" s="136">
        <f t="shared" si="28"/>
        <v>0.9295857143</v>
      </c>
      <c r="BJ35" s="128" t="str">
        <f>IFERROR(AVERAGEIFS(
'20102013 STH Efficacy'!$CD:$CD, 
'20102013 STH Efficacy'!$BS:$BS, $A35, 
'20102013 STH Efficacy'!$BT:$BT, "Albendazole &amp; Ivermectin",
'20102013 STH Efficacy'!$BZ:$BZ,"&lt;2014",
'20102013 STH Efficacy'!$CU:$CU,""),
"")</f>
        <v/>
      </c>
      <c r="BK35" s="136">
        <f t="shared" si="29"/>
        <v>1</v>
      </c>
      <c r="BL35" s="300" t="str">
        <f>IFERROR(
  AVERAGEIFS(
    'NEW 20102013 Onchocerciasis Eff'!$AO:$AO,
    'NEW 20102013 Onchocerciasis Eff'!$C:$C,$A35,
    'NEW 20102013 Onchocerciasis Eff'!$D:$D,"Ivermectin",
    'NEW 20102013 Onchocerciasis Eff'!$AR:$AR,"&lt;2014",
    'NEW 20102013 Onchocerciasis Eff'!$BG:$BG,"")
,"")</f>
        <v/>
      </c>
      <c r="BM35" s="304">
        <f t="shared" si="30"/>
        <v>0.7808368939</v>
      </c>
      <c r="BN35" s="305">
        <v>0.0</v>
      </c>
      <c r="BO35" s="139">
        <v>0.0</v>
      </c>
      <c r="BP35" s="140">
        <v>0.0</v>
      </c>
      <c r="BQ35" s="141">
        <f t="shared" si="31"/>
        <v>0</v>
      </c>
      <c r="BR35" s="104" t="str">
        <f t="shared" si="32"/>
        <v>0000</v>
      </c>
      <c r="BS35" s="104" t="str">
        <f t="shared" si="33"/>
        <v>no action required</v>
      </c>
      <c r="BT35" s="142" t="str">
        <f t="shared" si="34"/>
        <v/>
      </c>
      <c r="BU35" s="104" t="str">
        <f t="shared" si="35"/>
        <v/>
      </c>
      <c r="BV35" s="104" t="str">
        <f t="shared" si="36"/>
        <v>none</v>
      </c>
      <c r="BW35" s="150" t="str">
        <f t="shared" si="37"/>
        <v/>
      </c>
      <c r="BX35" s="150" t="str">
        <f t="shared" si="38"/>
        <v/>
      </c>
      <c r="BY35" s="151" t="str">
        <f t="shared" si="39"/>
        <v/>
      </c>
      <c r="BZ35" s="152" t="str">
        <f t="shared" si="40"/>
        <v/>
      </c>
      <c r="CA35" s="152" t="str">
        <f t="shared" si="41"/>
        <v/>
      </c>
      <c r="CB35" s="152" t="str">
        <f t="shared" si="42"/>
        <v/>
      </c>
      <c r="CC35" s="153" t="str">
        <f t="shared" si="43"/>
        <v/>
      </c>
      <c r="CD35" s="153" t="str">
        <f t="shared" si="44"/>
        <v/>
      </c>
      <c r="CE35" s="154" t="str">
        <f t="shared" si="45"/>
        <v/>
      </c>
      <c r="CF35" s="154" t="str">
        <f t="shared" si="46"/>
        <v/>
      </c>
      <c r="CG35" s="154" t="str">
        <f t="shared" si="47"/>
        <v/>
      </c>
      <c r="CH35" s="308" t="str">
        <f t="shared" si="48"/>
        <v/>
      </c>
      <c r="CI35" s="299">
        <f t="shared" si="49"/>
        <v>0</v>
      </c>
    </row>
    <row r="36">
      <c r="A36" s="103" t="s">
        <v>125</v>
      </c>
      <c r="B36" s="104" t="s">
        <v>92</v>
      </c>
      <c r="C36" s="105">
        <v>1.7072723E7</v>
      </c>
      <c r="D36" s="293">
        <v>19178.41</v>
      </c>
      <c r="E36" s="294">
        <v>16487.16853</v>
      </c>
      <c r="F36" s="309">
        <v>0.038396626</v>
      </c>
      <c r="G36" s="309">
        <v>0.184272654</v>
      </c>
      <c r="H36" s="157">
        <v>0.22266928</v>
      </c>
      <c r="I36" s="110">
        <v>376.522419</v>
      </c>
      <c r="J36" s="110">
        <v>984.615225</v>
      </c>
      <c r="K36" s="110">
        <v>1361.137644</v>
      </c>
      <c r="L36" s="111">
        <v>5989.970235</v>
      </c>
      <c r="M36" s="112">
        <v>546.602032</v>
      </c>
      <c r="N36" s="111">
        <v>6536.572267</v>
      </c>
      <c r="O36" s="298">
        <v>0.0</v>
      </c>
      <c r="P36" s="160">
        <v>1.3113401E7</v>
      </c>
      <c r="Q36" s="160">
        <v>9368472.0</v>
      </c>
      <c r="R36" s="121">
        <f t="shared" si="11"/>
        <v>0.7144196994</v>
      </c>
      <c r="S36" s="116">
        <f t="shared" si="12"/>
        <v>0.7144196994</v>
      </c>
      <c r="T36" s="118">
        <v>0.964</v>
      </c>
      <c r="U36" s="118">
        <f t="shared" si="13"/>
        <v>0.964</v>
      </c>
      <c r="V36" s="148"/>
      <c r="W36" s="120">
        <f t="shared" si="14"/>
        <v>0.8114541667</v>
      </c>
      <c r="X36" s="119">
        <v>0.7175</v>
      </c>
      <c r="Y36" s="120">
        <f t="shared" si="15"/>
        <v>0.7175</v>
      </c>
      <c r="Z36" s="310">
        <v>224342.0</v>
      </c>
      <c r="AA36" s="310">
        <v>187732.0</v>
      </c>
      <c r="AB36" s="300">
        <f t="shared" si="16"/>
        <v>0.8368116536</v>
      </c>
      <c r="AC36" s="301">
        <f t="shared" si="17"/>
        <v>0.8368116536</v>
      </c>
      <c r="AD36" s="122">
        <v>0.0187</v>
      </c>
      <c r="AE36" s="123">
        <v>0.04</v>
      </c>
      <c r="AF36" s="123">
        <v>0.0223</v>
      </c>
      <c r="AG36" s="124">
        <v>0.0119</v>
      </c>
      <c r="AH36" s="124">
        <v>0.019227788</v>
      </c>
      <c r="AI36" s="125">
        <v>0.0371</v>
      </c>
      <c r="AJ36" s="125">
        <v>0.060407091</v>
      </c>
      <c r="AK36" s="127">
        <v>0.0115</v>
      </c>
      <c r="AL36" s="127">
        <v>0.018</v>
      </c>
      <c r="AM36" s="302">
        <v>0.0</v>
      </c>
      <c r="AN36" s="149" t="str">
        <f>IFERROR(
  AVERAGEIFS(
    'New 20102013 LF Efficacy'!$J:$J,
    'New 20102013 LF Efficacy'!$D:$D, $A36,
    'New 20102013 LF Efficacy'!$F:$F,"DEC", 
    'New 20102013 LF Efficacy'!$W:$W,"&lt;2014",
    'New 20102013 LF Efficacy'!$AA:$AA,""),
  ""
)</f>
        <v/>
      </c>
      <c r="AO36" s="115">
        <f t="shared" si="18"/>
        <v>0.31225</v>
      </c>
      <c r="AP36" s="121" t="str">
        <f>IFERROR(
AVERAGEIFS(
'New 20102013 LF Efficacy'!$J:$J,
'New 20102013 LF Efficacy'!$D:$D,$A36,
'New 20102013 LF Efficacy'!$F:$F,"Albendazole &amp; DEC",
'New 20102013 LF Efficacy'!$W:$W,"&lt;2014",
'New 20102013 LF Efficacy'!$AA:$AA,""),
"")
</f>
        <v/>
      </c>
      <c r="AQ36" s="115">
        <f t="shared" si="19"/>
        <v>0.4</v>
      </c>
      <c r="AR36" s="121" t="str">
        <f>IFERROR(
AVERAGEIFS(
'New 20102013 LF Efficacy'!$J:$J,
'New 20102013 LF Efficacy'!$D:$D,$A36,
'New 20102013 LF Efficacy'!$F:$F,"Albendazole &amp; Ivermectin", 
'New 20102013 LF Efficacy'!$W:$W,"&lt;2014",
'New 20102013 LF Efficacy'!$AA:$AA,""),"")</f>
        <v/>
      </c>
      <c r="AS36" s="115">
        <f t="shared" si="20"/>
        <v>0.2943125</v>
      </c>
      <c r="AT36" s="130" t="str">
        <f>IFERROR(AVERAGEIFS(
'20102013 Schist Efficacy'!$O:$O, 
'20102013 Schist Efficacy'!$C:$C,$A36, 
'20102013 Schist Efficacy'!$D:$D, "Praziquantel",
'20102013 Schist Efficacy'!$J:$J,"&lt;2014",
'20102013 Schist Efficacy'!$U:$U,""),
"")</f>
        <v/>
      </c>
      <c r="AU36" s="118">
        <f t="shared" si="21"/>
        <v>0.7192212527</v>
      </c>
      <c r="AV36" s="131" t="str">
        <f>IFERROR(AVERAGEIFS(
'20102013 STH Efficacy'!$AX:$AX, 
'20102013 STH Efficacy'!$AL:$AL, $A36, 
'20102013 STH Efficacy'!$AM:$AM, "Albendazole",
'20102013 STH Efficacy'!$AS:$AS,"&lt;2014",
'20102013 STH Efficacy'!$BP:$BP,""),
"")</f>
        <v/>
      </c>
      <c r="AW36" s="132">
        <f t="shared" si="22"/>
        <v>0.3816333333</v>
      </c>
      <c r="AX36" s="131" t="str">
        <f>IFERROR(AVERAGEIFS(
'20102013 STH Efficacy'!$AX:$AX, 
'20102013 STH Efficacy'!$AL:$AL, $A36, 
'20102013 STH Efficacy'!$AM:$AM, "Mebendazole",
'20102013 STH Efficacy'!$AS:$AS,"&lt;2014",
'20102013 STH Efficacy'!$BP:$BP,""),
"")</f>
        <v/>
      </c>
      <c r="AY36" s="132">
        <f t="shared" si="23"/>
        <v>0.5675833333</v>
      </c>
      <c r="AZ36" s="131" t="str">
        <f>IFERROR(AVERAGEIFS(
'20102013 STH Efficacy'!$AX:$AX, 
'20102013 STH Efficacy'!$AL:$AL, $A36, 
'20102013 STH Efficacy'!$AM:$AM, "Albendazole &amp; Ivermectin",
'20102013 STH Efficacy'!$AS:$AS,"&lt;2014",
'20102013 STH Efficacy'!$BP:$BP,""),
"")</f>
        <v/>
      </c>
      <c r="BA36" s="303">
        <f t="shared" si="24"/>
        <v>0.47175</v>
      </c>
      <c r="BB36" s="134" t="str">
        <f>IFERROR(AVERAGEIFS(
'20102013 STH Efficacy'!$N:$N, 
'20102013 STH Efficacy'!$B:$B, $A36, 
'20102013 STH Efficacy'!$C:$C, "Albendazole",
'20102013 STH Efficacy'!$I:$I,"&lt;2014",
'20102013 STH Efficacy'!$AH:$AH,""),
"")</f>
        <v/>
      </c>
      <c r="BC36" s="135">
        <f t="shared" si="25"/>
        <v>0.8699166667</v>
      </c>
      <c r="BD36" s="134" t="str">
        <f>IFERROR(AVERAGEIFS(
'20102013 STH Efficacy'!$N:$N, 
'20102013 STH Efficacy'!$B:$B, $A36, 
'20102013 STH Efficacy'!$C:$C, "Mebendazole",
'20102013 STH Efficacy'!$I:$I,"&lt;2014",
'20102013 STH Efficacy'!$AH:$AH,""),
"")</f>
        <v/>
      </c>
      <c r="BE36" s="135">
        <f t="shared" si="26"/>
        <v>0.7092416667</v>
      </c>
      <c r="BF36" s="128" t="str">
        <f>IFERROR(AVERAGEIFS(
'20102013 STH Efficacy'!$CD:$CD, 
'20102013 STH Efficacy'!$BS:$BS, $A36, 
'20102013 STH Efficacy'!$BT:$BT, "Albendazole",
'20102013 STH Efficacy'!$BZ:$BZ,"&lt;2014",
'20102013 STH Efficacy'!$CU:$CU,""),
"")</f>
        <v/>
      </c>
      <c r="BG36" s="136">
        <f t="shared" si="27"/>
        <v>0.9066666667</v>
      </c>
      <c r="BH36" s="128" t="str">
        <f>IFERROR(AVERAGEIFS(
'20102013 STH Efficacy'!$CD:$CD, 
'20102013 STH Efficacy'!$BS:$BS, $A36, 
'20102013 STH Efficacy'!$BT:$BT, "Mebendazole",
'20102013 STH Efficacy'!$BZ:$BZ,"&lt;2014",
'20102013 STH Efficacy'!$CU:$CU,""),
"")</f>
        <v/>
      </c>
      <c r="BI36" s="136">
        <f t="shared" si="28"/>
        <v>0.9358666667</v>
      </c>
      <c r="BJ36" s="128" t="str">
        <f>IFERROR(AVERAGEIFS(
'20102013 STH Efficacy'!$CD:$CD, 
'20102013 STH Efficacy'!$BS:$BS, $A36, 
'20102013 STH Efficacy'!$BT:$BT, "Albendazole &amp; Ivermectin",
'20102013 STH Efficacy'!$BZ:$BZ,"&lt;2014",
'20102013 STH Efficacy'!$CU:$CU,""),
"")</f>
        <v/>
      </c>
      <c r="BK36" s="136">
        <f t="shared" si="29"/>
        <v>1</v>
      </c>
      <c r="BL36" s="300" t="str">
        <f>IFERROR(
  AVERAGEIFS(
    'NEW 20102013 Onchocerciasis Eff'!$AO:$AO,
    'NEW 20102013 Onchocerciasis Eff'!$C:$C,$A36,
    'NEW 20102013 Onchocerciasis Eff'!$D:$D,"Ivermectin",
    'NEW 20102013 Onchocerciasis Eff'!$AR:$AR,"&lt;2014",
    'NEW 20102013 Onchocerciasis Eff'!$BG:$BG,"")
,"")</f>
        <v/>
      </c>
      <c r="BM36" s="304">
        <f t="shared" si="30"/>
        <v>0.8390421645</v>
      </c>
      <c r="BN36" s="305">
        <v>1.0</v>
      </c>
      <c r="BO36" s="139">
        <v>1.0</v>
      </c>
      <c r="BP36" s="140">
        <v>1.0</v>
      </c>
      <c r="BQ36" s="141">
        <f t="shared" si="31"/>
        <v>0</v>
      </c>
      <c r="BR36" s="104" t="str">
        <f t="shared" si="32"/>
        <v>1110</v>
      </c>
      <c r="BS36" s="104" t="str">
        <f t="shared" si="33"/>
        <v>MDA1+T2</v>
      </c>
      <c r="BT36" s="142" t="str">
        <f t="shared" si="34"/>
        <v>IVM+ALB</v>
      </c>
      <c r="BU36" s="104" t="str">
        <f t="shared" si="35"/>
        <v>PZQ</v>
      </c>
      <c r="BV36" s="104" t="str">
        <f t="shared" si="36"/>
        <v>lf+onch+schist </v>
      </c>
      <c r="BW36" s="150" t="str">
        <f t="shared" si="37"/>
        <v/>
      </c>
      <c r="BX36" s="312">
        <f t="shared" si="38"/>
        <v>5106.132128</v>
      </c>
      <c r="BY36" s="162">
        <f t="shared" si="39"/>
        <v>37274.62829</v>
      </c>
      <c r="BZ36" s="152" t="str">
        <f t="shared" si="40"/>
        <v/>
      </c>
      <c r="CA36" s="152" t="str">
        <f t="shared" si="41"/>
        <v/>
      </c>
      <c r="CB36" s="152" t="str">
        <f t="shared" si="42"/>
        <v/>
      </c>
      <c r="CC36" s="153" t="str">
        <f t="shared" si="43"/>
        <v/>
      </c>
      <c r="CD36" s="153" t="str">
        <f t="shared" si="44"/>
        <v/>
      </c>
      <c r="CE36" s="154" t="str">
        <f t="shared" si="45"/>
        <v/>
      </c>
      <c r="CF36" s="154" t="str">
        <f t="shared" si="46"/>
        <v/>
      </c>
      <c r="CG36" s="154" t="str">
        <f t="shared" si="47"/>
        <v/>
      </c>
      <c r="CH36" s="313">
        <f t="shared" si="48"/>
        <v>0</v>
      </c>
      <c r="CI36" s="299">
        <f t="shared" si="49"/>
        <v>0</v>
      </c>
    </row>
    <row r="37">
      <c r="A37" s="103" t="s">
        <v>126</v>
      </c>
      <c r="B37" s="104" t="s">
        <v>92</v>
      </c>
      <c r="C37" s="105">
        <v>9600186.0</v>
      </c>
      <c r="D37" s="293">
        <v>0.0</v>
      </c>
      <c r="E37" s="294">
        <v>16118.16906</v>
      </c>
      <c r="F37" s="295">
        <v>37.11419238</v>
      </c>
      <c r="G37" s="295">
        <v>137.0133442</v>
      </c>
      <c r="H37" s="157">
        <v>174.1275365</v>
      </c>
      <c r="I37" s="110">
        <v>1119.09791</v>
      </c>
      <c r="J37" s="110">
        <v>2574.56811</v>
      </c>
      <c r="K37" s="110">
        <v>3693.666024</v>
      </c>
      <c r="L37" s="111">
        <v>2853.951762</v>
      </c>
      <c r="M37" s="111">
        <v>603.3041314</v>
      </c>
      <c r="N37" s="111">
        <v>3457.255893</v>
      </c>
      <c r="O37" s="298">
        <v>11736.65714</v>
      </c>
      <c r="P37" s="156"/>
      <c r="Q37" s="156"/>
      <c r="R37" s="121" t="str">
        <f t="shared" si="11"/>
        <v/>
      </c>
      <c r="S37" s="116">
        <f t="shared" si="12"/>
        <v>0.2589669834</v>
      </c>
      <c r="T37" s="130"/>
      <c r="U37" s="118">
        <f t="shared" si="13"/>
        <v>0.252</v>
      </c>
      <c r="V37" s="119">
        <v>0.7623</v>
      </c>
      <c r="W37" s="120">
        <f t="shared" si="14"/>
        <v>0.7623</v>
      </c>
      <c r="X37" s="119">
        <v>1.0</v>
      </c>
      <c r="Y37" s="120">
        <f t="shared" si="15"/>
        <v>1</v>
      </c>
      <c r="Z37" s="310">
        <v>1526788.0</v>
      </c>
      <c r="AA37" s="310">
        <v>1245115.0</v>
      </c>
      <c r="AB37" s="300">
        <f t="shared" si="16"/>
        <v>0.8155126972</v>
      </c>
      <c r="AC37" s="301">
        <f t="shared" si="17"/>
        <v>0.8155126972</v>
      </c>
      <c r="AD37" s="122">
        <v>0.0</v>
      </c>
      <c r="AE37" s="123">
        <v>0.13</v>
      </c>
      <c r="AF37" s="123">
        <v>0.0443</v>
      </c>
      <c r="AG37" s="124">
        <v>0.0845</v>
      </c>
      <c r="AH37" s="124">
        <v>0.131745289</v>
      </c>
      <c r="AI37" s="125">
        <v>0.1455</v>
      </c>
      <c r="AJ37" s="125">
        <v>0.232126063</v>
      </c>
      <c r="AK37" s="127">
        <v>0.0892</v>
      </c>
      <c r="AL37" s="127">
        <v>0.1396</v>
      </c>
      <c r="AM37" s="302">
        <v>0.0159</v>
      </c>
      <c r="AN37" s="149" t="str">
        <f>IFERROR(
  AVERAGEIFS(
    'New 20102013 LF Efficacy'!$J:$J,
    'New 20102013 LF Efficacy'!$D:$D, $A37,
    'New 20102013 LF Efficacy'!$F:$F,"DEC", 
    'New 20102013 LF Efficacy'!$W:$W,"&lt;2014",
    'New 20102013 LF Efficacy'!$AA:$AA,""),
  ""
)</f>
        <v/>
      </c>
      <c r="AO37" s="115">
        <f t="shared" si="18"/>
        <v>0.31225</v>
      </c>
      <c r="AP37" s="121" t="str">
        <f>IFERROR(
AVERAGEIFS(
'New 20102013 LF Efficacy'!$J:$J,
'New 20102013 LF Efficacy'!$D:$D,$A37,
'New 20102013 LF Efficacy'!$F:$F,"Albendazole &amp; DEC",
'New 20102013 LF Efficacy'!$W:$W,"&lt;2014",
'New 20102013 LF Efficacy'!$AA:$AA,""),
"")
</f>
        <v/>
      </c>
      <c r="AQ37" s="115">
        <f t="shared" si="19"/>
        <v>0.4</v>
      </c>
      <c r="AR37" s="121" t="str">
        <f>IFERROR(
AVERAGEIFS(
'New 20102013 LF Efficacy'!$J:$J,
'New 20102013 LF Efficacy'!$D:$D,$A37,
'New 20102013 LF Efficacy'!$F:$F,"Albendazole &amp; Ivermectin", 
'New 20102013 LF Efficacy'!$W:$W,"&lt;2014",
'New 20102013 LF Efficacy'!$AA:$AA,""),"")</f>
        <v/>
      </c>
      <c r="AS37" s="115">
        <f t="shared" si="20"/>
        <v>0.2943125</v>
      </c>
      <c r="AT37" s="130">
        <f>IFERROR(AVERAGEIFS(
'20102013 Schist Efficacy'!$O:$O, 
'20102013 Schist Efficacy'!$C:$C,$A37, 
'20102013 Schist Efficacy'!$D:$D, "Praziquantel",
'20102013 Schist Efficacy'!$J:$J,"&lt;2014",
'20102013 Schist Efficacy'!$U:$U,""),
"")</f>
        <v>0.6633333333</v>
      </c>
      <c r="AU37" s="118">
        <f t="shared" si="21"/>
        <v>0.6633333333</v>
      </c>
      <c r="AV37" s="131" t="str">
        <f>IFERROR(AVERAGEIFS(
'20102013 STH Efficacy'!$AX:$AX, 
'20102013 STH Efficacy'!$AL:$AL, $A37, 
'20102013 STH Efficacy'!$AM:$AM, "Albendazole",
'20102013 STH Efficacy'!$AS:$AS,"&lt;2014",
'20102013 STH Efficacy'!$BP:$BP,""),
"")</f>
        <v/>
      </c>
      <c r="AW37" s="132">
        <f t="shared" si="22"/>
        <v>0.3816333333</v>
      </c>
      <c r="AX37" s="131" t="str">
        <f>IFERROR(AVERAGEIFS(
'20102013 STH Efficacy'!$AX:$AX, 
'20102013 STH Efficacy'!$AL:$AL, $A37, 
'20102013 STH Efficacy'!$AM:$AM, "Mebendazole",
'20102013 STH Efficacy'!$AS:$AS,"&lt;2014",
'20102013 STH Efficacy'!$BP:$BP,""),
"")</f>
        <v/>
      </c>
      <c r="AY37" s="132">
        <f t="shared" si="23"/>
        <v>0.5675833333</v>
      </c>
      <c r="AZ37" s="131" t="str">
        <f>IFERROR(AVERAGEIFS(
'20102013 STH Efficacy'!$AX:$AX, 
'20102013 STH Efficacy'!$AL:$AL, $A37, 
'20102013 STH Efficacy'!$AM:$AM, "Albendazole &amp; Ivermectin",
'20102013 STH Efficacy'!$AS:$AS,"&lt;2014",
'20102013 STH Efficacy'!$BP:$BP,""),
"")</f>
        <v/>
      </c>
      <c r="BA37" s="303">
        <f t="shared" si="24"/>
        <v>0.47175</v>
      </c>
      <c r="BB37" s="134" t="str">
        <f>IFERROR(AVERAGEIFS(
'20102013 STH Efficacy'!$N:$N, 
'20102013 STH Efficacy'!$B:$B, $A37, 
'20102013 STH Efficacy'!$C:$C, "Albendazole",
'20102013 STH Efficacy'!$I:$I,"&lt;2014",
'20102013 STH Efficacy'!$AH:$AH,""),
"")</f>
        <v/>
      </c>
      <c r="BC37" s="135">
        <f t="shared" si="25"/>
        <v>0.8699166667</v>
      </c>
      <c r="BD37" s="134" t="str">
        <f>IFERROR(AVERAGEIFS(
'20102013 STH Efficacy'!$N:$N, 
'20102013 STH Efficacy'!$B:$B, $A37, 
'20102013 STH Efficacy'!$C:$C, "Mebendazole",
'20102013 STH Efficacy'!$I:$I,"&lt;2014",
'20102013 STH Efficacy'!$AH:$AH,""),
"")</f>
        <v/>
      </c>
      <c r="BE37" s="135">
        <f t="shared" si="26"/>
        <v>0.7092416667</v>
      </c>
      <c r="BF37" s="128" t="str">
        <f>IFERROR(AVERAGEIFS(
'20102013 STH Efficacy'!$CD:$CD, 
'20102013 STH Efficacy'!$BS:$BS, $A37, 
'20102013 STH Efficacy'!$BT:$BT, "Albendazole",
'20102013 STH Efficacy'!$BZ:$BZ,"&lt;2014",
'20102013 STH Efficacy'!$CU:$CU,""),
"")</f>
        <v/>
      </c>
      <c r="BG37" s="136">
        <f t="shared" si="27"/>
        <v>0.9066666667</v>
      </c>
      <c r="BH37" s="128" t="str">
        <f>IFERROR(AVERAGEIFS(
'20102013 STH Efficacy'!$CD:$CD, 
'20102013 STH Efficacy'!$BS:$BS, $A37, 
'20102013 STH Efficacy'!$BT:$BT, "Mebendazole",
'20102013 STH Efficacy'!$BZ:$BZ,"&lt;2014",
'20102013 STH Efficacy'!$CU:$CU,""),
"")</f>
        <v/>
      </c>
      <c r="BI37" s="136">
        <f t="shared" si="28"/>
        <v>0.9358666667</v>
      </c>
      <c r="BJ37" s="128" t="str">
        <f>IFERROR(AVERAGEIFS(
'20102013 STH Efficacy'!$CD:$CD, 
'20102013 STH Efficacy'!$BS:$BS, $A37, 
'20102013 STH Efficacy'!$BT:$BT, "Albendazole &amp; Ivermectin",
'20102013 STH Efficacy'!$BZ:$BZ,"&lt;2014",
'20102013 STH Efficacy'!$CU:$CU,""),
"")</f>
        <v/>
      </c>
      <c r="BK37" s="136">
        <f t="shared" si="29"/>
        <v>1</v>
      </c>
      <c r="BL37" s="300" t="str">
        <f>IFERROR(
  AVERAGEIFS(
    'NEW 20102013 Onchocerciasis Eff'!$AO:$AO,
    'NEW 20102013 Onchocerciasis Eff'!$C:$C,$A37,
    'NEW 20102013 Onchocerciasis Eff'!$D:$D,"Ivermectin",
    'NEW 20102013 Onchocerciasis Eff'!$AR:$AR,"&lt;2014",
    'NEW 20102013 Onchocerciasis Eff'!$BG:$BG,"")
,"")</f>
        <v/>
      </c>
      <c r="BM37" s="304">
        <f t="shared" si="30"/>
        <v>0.8390421645</v>
      </c>
      <c r="BN37" s="305">
        <v>0.0</v>
      </c>
      <c r="BO37" s="139">
        <v>1.0</v>
      </c>
      <c r="BP37" s="140">
        <v>1.0</v>
      </c>
      <c r="BQ37" s="141">
        <f t="shared" si="31"/>
        <v>0</v>
      </c>
      <c r="BR37" s="104" t="str">
        <f t="shared" si="32"/>
        <v>0110</v>
      </c>
      <c r="BS37" s="104" t="str">
        <f t="shared" si="33"/>
        <v>MDA3+T2</v>
      </c>
      <c r="BT37" s="142" t="str">
        <f t="shared" si="34"/>
        <v>IVM</v>
      </c>
      <c r="BU37" s="104" t="str">
        <f t="shared" si="35"/>
        <v>PZQ</v>
      </c>
      <c r="BV37" s="104" t="str">
        <f t="shared" si="36"/>
        <v>onch+schist</v>
      </c>
      <c r="BW37" s="150" t="str">
        <f t="shared" si="37"/>
        <v/>
      </c>
      <c r="BX37" s="150" t="str">
        <f t="shared" si="38"/>
        <v/>
      </c>
      <c r="BY37" s="162">
        <f t="shared" si="39"/>
        <v>3235.090942</v>
      </c>
      <c r="BZ37" s="152" t="str">
        <f t="shared" si="40"/>
        <v/>
      </c>
      <c r="CA37" s="152" t="str">
        <f t="shared" si="41"/>
        <v/>
      </c>
      <c r="CB37" s="152" t="str">
        <f t="shared" si="42"/>
        <v/>
      </c>
      <c r="CC37" s="153" t="str">
        <f t="shared" si="43"/>
        <v/>
      </c>
      <c r="CD37" s="153" t="str">
        <f t="shared" si="44"/>
        <v/>
      </c>
      <c r="CE37" s="154" t="str">
        <f t="shared" si="45"/>
        <v/>
      </c>
      <c r="CF37" s="154" t="str">
        <f t="shared" si="46"/>
        <v/>
      </c>
      <c r="CG37" s="154" t="str">
        <f t="shared" si="47"/>
        <v/>
      </c>
      <c r="CH37" s="313">
        <f t="shared" si="48"/>
        <v>847.8005279</v>
      </c>
      <c r="CI37" s="299">
        <f t="shared" si="49"/>
        <v>0</v>
      </c>
    </row>
    <row r="38">
      <c r="A38" s="103" t="s">
        <v>127</v>
      </c>
      <c r="B38" s="104" t="s">
        <v>94</v>
      </c>
      <c r="C38" s="105">
        <v>1.5022692E7</v>
      </c>
      <c r="D38" s="293">
        <v>830.38</v>
      </c>
      <c r="E38" s="294">
        <v>7697.903449</v>
      </c>
      <c r="F38" s="307">
        <v>0.0</v>
      </c>
      <c r="G38" s="307">
        <v>0.0</v>
      </c>
      <c r="H38" s="108">
        <v>0.0</v>
      </c>
      <c r="I38" s="109">
        <v>24.5873956</v>
      </c>
      <c r="J38" s="109">
        <v>43.0504921</v>
      </c>
      <c r="K38" s="109">
        <v>67.63788769</v>
      </c>
      <c r="L38" s="112">
        <v>175.9754194</v>
      </c>
      <c r="M38" s="112">
        <v>59.46605417</v>
      </c>
      <c r="N38" s="111">
        <v>235.4414736</v>
      </c>
      <c r="O38" s="298">
        <v>0.0</v>
      </c>
      <c r="P38" s="156"/>
      <c r="Q38" s="156"/>
      <c r="R38" s="121" t="str">
        <f t="shared" si="11"/>
        <v/>
      </c>
      <c r="S38" s="116">
        <f t="shared" si="12"/>
        <v>0.403639098</v>
      </c>
      <c r="T38" s="118">
        <v>1.0</v>
      </c>
      <c r="U38" s="118">
        <f t="shared" si="13"/>
        <v>1</v>
      </c>
      <c r="V38" s="119">
        <v>0.9765</v>
      </c>
      <c r="W38" s="120">
        <f t="shared" si="14"/>
        <v>0.9765</v>
      </c>
      <c r="X38" s="119">
        <v>0.8807</v>
      </c>
      <c r="Y38" s="120">
        <f t="shared" si="15"/>
        <v>0.8807</v>
      </c>
      <c r="Z38" s="299"/>
      <c r="AA38" s="299"/>
      <c r="AB38" s="300" t="str">
        <f t="shared" si="16"/>
        <v/>
      </c>
      <c r="AC38" s="301">
        <f t="shared" si="17"/>
        <v>0.6295826791</v>
      </c>
      <c r="AD38" s="122">
        <v>5.0E-4</v>
      </c>
      <c r="AE38" s="123">
        <v>0.04</v>
      </c>
      <c r="AF38" s="123">
        <v>0.0066</v>
      </c>
      <c r="AG38" s="124">
        <v>0.0</v>
      </c>
      <c r="AH38" s="124">
        <v>5.56705E-5</v>
      </c>
      <c r="AI38" s="125">
        <v>0.0044</v>
      </c>
      <c r="AJ38" s="125">
        <v>0.006910205</v>
      </c>
      <c r="AK38" s="127">
        <v>0.0058</v>
      </c>
      <c r="AL38" s="127">
        <v>0.0094</v>
      </c>
      <c r="AM38" s="302">
        <v>0.0</v>
      </c>
      <c r="AN38" s="149" t="str">
        <f>IFERROR(
  AVERAGEIFS(
    'New 20102013 LF Efficacy'!$J:$J,
    'New 20102013 LF Efficacy'!$D:$D, $A38,
    'New 20102013 LF Efficacy'!$F:$F,"DEC", 
    'New 20102013 LF Efficacy'!$W:$W,"&lt;2014",
    'New 20102013 LF Efficacy'!$AA:$AA,""),
  ""
)</f>
        <v/>
      </c>
      <c r="AO38" s="115">
        <f t="shared" si="18"/>
        <v>0.38</v>
      </c>
      <c r="AP38" s="121" t="str">
        <f>IFERROR(
AVERAGEIFS(
'New 20102013 LF Efficacy'!$J:$J,
'New 20102013 LF Efficacy'!$D:$D,$A38,
'New 20102013 LF Efficacy'!$F:$F,"Albendazole &amp; DEC",
'New 20102013 LF Efficacy'!$W:$W,"&lt;2014",
'New 20102013 LF Efficacy'!$AA:$AA,""),
"")
</f>
        <v/>
      </c>
      <c r="AQ38" s="115">
        <f t="shared" si="19"/>
        <v>0.657</v>
      </c>
      <c r="AR38" s="121" t="str">
        <f>IFERROR(
AVERAGEIFS(
'New 20102013 LF Efficacy'!$J:$J,
'New 20102013 LF Efficacy'!$D:$D,$A38,
'New 20102013 LF Efficacy'!$F:$F,"Albendazole &amp; Ivermectin", 
'New 20102013 LF Efficacy'!$W:$W,"&lt;2014",
'New 20102013 LF Efficacy'!$AA:$AA,""),"")</f>
        <v/>
      </c>
      <c r="AS38" s="115">
        <f t="shared" si="20"/>
        <v>0.37153125</v>
      </c>
      <c r="AT38" s="130" t="str">
        <f>IFERROR(AVERAGEIFS(
'20102013 Schist Efficacy'!$O:$O, 
'20102013 Schist Efficacy'!$C:$C,$A38, 
'20102013 Schist Efficacy'!$D:$D, "Praziquantel",
'20102013 Schist Efficacy'!$J:$J,"&lt;2014",
'20102013 Schist Efficacy'!$U:$U,""),
"")</f>
        <v/>
      </c>
      <c r="AU38" s="118">
        <f t="shared" si="21"/>
        <v>0.9475</v>
      </c>
      <c r="AV38" s="131" t="str">
        <f>IFERROR(AVERAGEIFS(
'20102013 STH Efficacy'!$AX:$AX, 
'20102013 STH Efficacy'!$AL:$AL, $A38, 
'20102013 STH Efficacy'!$AM:$AM, "Albendazole",
'20102013 STH Efficacy'!$AS:$AS,"&lt;2014",
'20102013 STH Efficacy'!$BP:$BP,""),
"")</f>
        <v/>
      </c>
      <c r="AW38" s="132">
        <f t="shared" si="22"/>
        <v>0.3571666667</v>
      </c>
      <c r="AX38" s="131" t="str">
        <f>IFERROR(AVERAGEIFS(
'20102013 STH Efficacy'!$AX:$AX, 
'20102013 STH Efficacy'!$AL:$AL, $A38, 
'20102013 STH Efficacy'!$AM:$AM, "Mebendazole",
'20102013 STH Efficacy'!$AS:$AS,"&lt;2014",
'20102013 STH Efficacy'!$BP:$BP,""),
"")</f>
        <v/>
      </c>
      <c r="AY38" s="132">
        <f t="shared" si="23"/>
        <v>0.4155</v>
      </c>
      <c r="AZ38" s="131" t="str">
        <f>IFERROR(AVERAGEIFS(
'20102013 STH Efficacy'!$AX:$AX, 
'20102013 STH Efficacy'!$AL:$AL, $A38, 
'20102013 STH Efficacy'!$AM:$AM, "Albendazole &amp; Ivermectin",
'20102013 STH Efficacy'!$AS:$AS,"&lt;2014",
'20102013 STH Efficacy'!$BP:$BP,""),
"")</f>
        <v/>
      </c>
      <c r="BA38" s="303">
        <f t="shared" si="24"/>
        <v>0.651</v>
      </c>
      <c r="BB38" s="134" t="str">
        <f>IFERROR(AVERAGEIFS(
'20102013 STH Efficacy'!$N:$N, 
'20102013 STH Efficacy'!$B:$B, $A38, 
'20102013 STH Efficacy'!$C:$C, "Albendazole",
'20102013 STH Efficacy'!$I:$I,"&lt;2014",
'20102013 STH Efficacy'!$AH:$AH,""),
"")</f>
        <v/>
      </c>
      <c r="BC38" s="135">
        <f t="shared" si="25"/>
        <v>0.5769166667</v>
      </c>
      <c r="BD38" s="134" t="str">
        <f>IFERROR(AVERAGEIFS(
'20102013 STH Efficacy'!$N:$N, 
'20102013 STH Efficacy'!$B:$B, $A38, 
'20102013 STH Efficacy'!$C:$C, "Mebendazole",
'20102013 STH Efficacy'!$I:$I,"&lt;2014",
'20102013 STH Efficacy'!$AH:$AH,""),
"")</f>
        <v/>
      </c>
      <c r="BE38" s="135">
        <f t="shared" si="26"/>
        <v>0.3145</v>
      </c>
      <c r="BF38" s="128" t="str">
        <f>IFERROR(AVERAGEIFS(
'20102013 STH Efficacy'!$CD:$CD, 
'20102013 STH Efficacy'!$BS:$BS, $A38, 
'20102013 STH Efficacy'!$BT:$BT, "Albendazole",
'20102013 STH Efficacy'!$BZ:$BZ,"&lt;2014",
'20102013 STH Efficacy'!$CU:$CU,""),
"")</f>
        <v/>
      </c>
      <c r="BG38" s="136">
        <f t="shared" si="27"/>
        <v>0.96925</v>
      </c>
      <c r="BH38" s="128" t="str">
        <f>IFERROR(AVERAGEIFS(
'20102013 STH Efficacy'!$CD:$CD, 
'20102013 STH Efficacy'!$BS:$BS, $A38, 
'20102013 STH Efficacy'!$BT:$BT, "Mebendazole",
'20102013 STH Efficacy'!$BZ:$BZ,"&lt;2014",
'20102013 STH Efficacy'!$CU:$CU,""),
"")</f>
        <v/>
      </c>
      <c r="BI38" s="136">
        <f t="shared" si="28"/>
        <v>0.9305</v>
      </c>
      <c r="BJ38" s="128" t="str">
        <f>IFERROR(AVERAGEIFS(
'20102013 STH Efficacy'!$CD:$CD, 
'20102013 STH Efficacy'!$BS:$BS, $A38, 
'20102013 STH Efficacy'!$BT:$BT, "Albendazole &amp; Ivermectin",
'20102013 STH Efficacy'!$BZ:$BZ,"&lt;2014",
'20102013 STH Efficacy'!$CU:$CU,""),
"")</f>
        <v/>
      </c>
      <c r="BK38" s="136">
        <f t="shared" si="29"/>
        <v>1</v>
      </c>
      <c r="BL38" s="300" t="str">
        <f>IFERROR(
  AVERAGEIFS(
    'NEW 20102013 Onchocerciasis Eff'!$AO:$AO,
    'NEW 20102013 Onchocerciasis Eff'!$C:$C,$A38,
    'NEW 20102013 Onchocerciasis Eff'!$D:$D,"Ivermectin",
    'NEW 20102013 Onchocerciasis Eff'!$AR:$AR,"&lt;2014",
    'NEW 20102013 Onchocerciasis Eff'!$BG:$BG,"")
,"")</f>
        <v/>
      </c>
      <c r="BM38" s="304">
        <f t="shared" si="30"/>
        <v>0.7808368939</v>
      </c>
      <c r="BN38" s="305">
        <v>0.0</v>
      </c>
      <c r="BO38" s="139">
        <v>1.0</v>
      </c>
      <c r="BP38" s="140">
        <v>1.0</v>
      </c>
      <c r="BQ38" s="141">
        <f t="shared" si="31"/>
        <v>0</v>
      </c>
      <c r="BR38" s="104" t="str">
        <f t="shared" si="32"/>
        <v>0110</v>
      </c>
      <c r="BS38" s="104" t="str">
        <f t="shared" si="33"/>
        <v>MDA3+T2</v>
      </c>
      <c r="BT38" s="142" t="str">
        <f t="shared" si="34"/>
        <v>IVM</v>
      </c>
      <c r="BU38" s="104" t="str">
        <f t="shared" si="35"/>
        <v>PZQ</v>
      </c>
      <c r="BV38" s="104" t="str">
        <f t="shared" si="36"/>
        <v>onch+schist</v>
      </c>
      <c r="BW38" s="150" t="str">
        <f t="shared" si="37"/>
        <v/>
      </c>
      <c r="BX38" s="150" t="str">
        <f t="shared" si="38"/>
        <v/>
      </c>
      <c r="BY38" s="162">
        <f t="shared" si="39"/>
        <v>138928.8289</v>
      </c>
      <c r="BZ38" s="152" t="str">
        <f t="shared" si="40"/>
        <v/>
      </c>
      <c r="CA38" s="152" t="str">
        <f t="shared" si="41"/>
        <v/>
      </c>
      <c r="CB38" s="152" t="str">
        <f t="shared" si="42"/>
        <v/>
      </c>
      <c r="CC38" s="153" t="str">
        <f t="shared" si="43"/>
        <v/>
      </c>
      <c r="CD38" s="153" t="str">
        <f t="shared" si="44"/>
        <v/>
      </c>
      <c r="CE38" s="154" t="str">
        <f t="shared" si="45"/>
        <v/>
      </c>
      <c r="CF38" s="154" t="str">
        <f t="shared" si="46"/>
        <v/>
      </c>
      <c r="CG38" s="154" t="str">
        <f t="shared" si="47"/>
        <v/>
      </c>
      <c r="CH38" s="313">
        <f t="shared" si="48"/>
        <v>0</v>
      </c>
      <c r="CI38" s="299">
        <f t="shared" si="49"/>
        <v>0</v>
      </c>
    </row>
    <row r="39">
      <c r="A39" s="103" t="s">
        <v>128</v>
      </c>
      <c r="B39" s="104" t="s">
        <v>92</v>
      </c>
      <c r="C39" s="105">
        <v>2.1655715E7</v>
      </c>
      <c r="D39" s="293">
        <v>26638.809999999998</v>
      </c>
      <c r="E39" s="294">
        <v>40124.59719</v>
      </c>
      <c r="F39" s="295">
        <v>332.4650662</v>
      </c>
      <c r="G39" s="322">
        <v>1359.487777</v>
      </c>
      <c r="H39" s="157">
        <v>1691.952843</v>
      </c>
      <c r="I39" s="110">
        <v>1021.09824</v>
      </c>
      <c r="J39" s="110">
        <v>2760.16997</v>
      </c>
      <c r="K39" s="110">
        <v>3781.268209</v>
      </c>
      <c r="L39" s="111">
        <v>18706.65888</v>
      </c>
      <c r="M39" s="111">
        <v>6370.138376</v>
      </c>
      <c r="N39" s="111">
        <v>25076.79725</v>
      </c>
      <c r="O39" s="298">
        <v>82414.12962</v>
      </c>
      <c r="P39" s="160">
        <v>1.7091469E7</v>
      </c>
      <c r="Q39" s="160">
        <v>9338427.0</v>
      </c>
      <c r="R39" s="121">
        <f t="shared" si="11"/>
        <v>0.5463794247</v>
      </c>
      <c r="S39" s="116">
        <f t="shared" si="12"/>
        <v>0.5463794247</v>
      </c>
      <c r="T39" s="118">
        <v>0.1004</v>
      </c>
      <c r="U39" s="118">
        <f t="shared" si="13"/>
        <v>0.1004</v>
      </c>
      <c r="V39" s="119">
        <v>1.0</v>
      </c>
      <c r="W39" s="120">
        <f t="shared" si="14"/>
        <v>1</v>
      </c>
      <c r="X39" s="119">
        <v>0.6821</v>
      </c>
      <c r="Y39" s="120">
        <f t="shared" si="15"/>
        <v>0.6821</v>
      </c>
      <c r="Z39" s="310">
        <v>8753217.0</v>
      </c>
      <c r="AA39" s="310">
        <v>6176064.0</v>
      </c>
      <c r="AB39" s="300">
        <f t="shared" si="16"/>
        <v>0.7055764755</v>
      </c>
      <c r="AC39" s="301">
        <f t="shared" si="17"/>
        <v>0.7055764755</v>
      </c>
      <c r="AD39" s="122">
        <v>0.0261</v>
      </c>
      <c r="AE39" s="123">
        <v>0.18</v>
      </c>
      <c r="AF39" s="123">
        <v>0.0576</v>
      </c>
      <c r="AG39" s="124">
        <v>0.1255</v>
      </c>
      <c r="AH39" s="124">
        <v>0.191691993</v>
      </c>
      <c r="AI39" s="125">
        <v>0.0759</v>
      </c>
      <c r="AJ39" s="125">
        <v>0.119827393</v>
      </c>
      <c r="AK39" s="127">
        <v>0.1999</v>
      </c>
      <c r="AL39" s="127">
        <v>0.2999</v>
      </c>
      <c r="AM39" s="302">
        <v>0.0461</v>
      </c>
      <c r="AN39" s="149" t="str">
        <f>IFERROR(
  AVERAGEIFS(
    'New 20102013 LF Efficacy'!$J:$J,
    'New 20102013 LF Efficacy'!$D:$D, $A39,
    'New 20102013 LF Efficacy'!$F:$F,"DEC", 
    'New 20102013 LF Efficacy'!$W:$W,"&lt;2014",
    'New 20102013 LF Efficacy'!$AA:$AA,""),
  ""
)</f>
        <v/>
      </c>
      <c r="AO39" s="115">
        <f t="shared" si="18"/>
        <v>0.31225</v>
      </c>
      <c r="AP39" s="121" t="str">
        <f>IFERROR(
AVERAGEIFS(
'New 20102013 LF Efficacy'!$J:$J,
'New 20102013 LF Efficacy'!$D:$D,$A39,
'New 20102013 LF Efficacy'!$F:$F,"Albendazole &amp; DEC",
'New 20102013 LF Efficacy'!$W:$W,"&lt;2014",
'New 20102013 LF Efficacy'!$AA:$AA,""),
"")
</f>
        <v/>
      </c>
      <c r="AQ39" s="115">
        <f t="shared" si="19"/>
        <v>0.4</v>
      </c>
      <c r="AR39" s="121" t="str">
        <f>IFERROR(
AVERAGEIFS(
'New 20102013 LF Efficacy'!$J:$J,
'New 20102013 LF Efficacy'!$D:$D,$A39,
'New 20102013 LF Efficacy'!$F:$F,"Albendazole &amp; Ivermectin", 
'New 20102013 LF Efficacy'!$W:$W,"&lt;2014",
'New 20102013 LF Efficacy'!$AA:$AA,""),"")</f>
        <v/>
      </c>
      <c r="AS39" s="115">
        <f t="shared" si="20"/>
        <v>0.2943125</v>
      </c>
      <c r="AT39" s="130">
        <f>IFERROR(AVERAGEIFS(
'20102013 Schist Efficacy'!$O:$O, 
'20102013 Schist Efficacy'!$C:$C,$A39, 
'20102013 Schist Efficacy'!$D:$D, "Praziquantel",
'20102013 Schist Efficacy'!$J:$J,"&lt;2014",
'20102013 Schist Efficacy'!$U:$U,""),
"")</f>
        <v>0.8</v>
      </c>
      <c r="AU39" s="118">
        <f t="shared" si="21"/>
        <v>0.8</v>
      </c>
      <c r="AV39" s="131" t="str">
        <f>IFERROR(AVERAGEIFS(
'20102013 STH Efficacy'!$AX:$AX, 
'20102013 STH Efficacy'!$AL:$AL, $A39, 
'20102013 STH Efficacy'!$AM:$AM, "Albendazole",
'20102013 STH Efficacy'!$AS:$AS,"&lt;2014",
'20102013 STH Efficacy'!$BP:$BP,""),
"")</f>
        <v/>
      </c>
      <c r="AW39" s="132">
        <f t="shared" si="22"/>
        <v>0.3816333333</v>
      </c>
      <c r="AX39" s="131" t="str">
        <f>IFERROR(AVERAGEIFS(
'20102013 STH Efficacy'!$AX:$AX, 
'20102013 STH Efficacy'!$AL:$AL, $A39, 
'20102013 STH Efficacy'!$AM:$AM, "Mebendazole",
'20102013 STH Efficacy'!$AS:$AS,"&lt;2014",
'20102013 STH Efficacy'!$BP:$BP,""),
"")</f>
        <v/>
      </c>
      <c r="AY39" s="132">
        <f t="shared" si="23"/>
        <v>0.5675833333</v>
      </c>
      <c r="AZ39" s="131" t="str">
        <f>IFERROR(AVERAGEIFS(
'20102013 STH Efficacy'!$AX:$AX, 
'20102013 STH Efficacy'!$AL:$AL, $A39, 
'20102013 STH Efficacy'!$AM:$AM, "Albendazole &amp; Ivermectin",
'20102013 STH Efficacy'!$AS:$AS,"&lt;2014",
'20102013 STH Efficacy'!$BP:$BP,""),
"")</f>
        <v/>
      </c>
      <c r="BA39" s="303">
        <f t="shared" si="24"/>
        <v>0.47175</v>
      </c>
      <c r="BB39" s="134" t="str">
        <f>IFERROR(AVERAGEIFS(
'20102013 STH Efficacy'!$N:$N, 
'20102013 STH Efficacy'!$B:$B, $A39, 
'20102013 STH Efficacy'!$C:$C, "Albendazole",
'20102013 STH Efficacy'!$I:$I,"&lt;2014",
'20102013 STH Efficacy'!$AH:$AH,""),
"")</f>
        <v/>
      </c>
      <c r="BC39" s="135">
        <f t="shared" si="25"/>
        <v>0.8699166667</v>
      </c>
      <c r="BD39" s="134" t="str">
        <f>IFERROR(AVERAGEIFS(
'20102013 STH Efficacy'!$N:$N, 
'20102013 STH Efficacy'!$B:$B, $A39, 
'20102013 STH Efficacy'!$C:$C, "Mebendazole",
'20102013 STH Efficacy'!$I:$I,"&lt;2014",
'20102013 STH Efficacy'!$AH:$AH,""),
"")</f>
        <v/>
      </c>
      <c r="BE39" s="135">
        <f t="shared" si="26"/>
        <v>0.7092416667</v>
      </c>
      <c r="BF39" s="128">
        <f>IFERROR(AVERAGEIFS(
'20102013 STH Efficacy'!$CD:$CD, 
'20102013 STH Efficacy'!$BS:$BS, $A39, 
'20102013 STH Efficacy'!$BT:$BT, "Albendazole",
'20102013 STH Efficacy'!$BZ:$BZ,"&lt;2014",
'20102013 STH Efficacy'!$CU:$CU,""),
"")</f>
        <v>1</v>
      </c>
      <c r="BG39" s="136">
        <f t="shared" si="27"/>
        <v>1</v>
      </c>
      <c r="BH39" s="128" t="str">
        <f>IFERROR(AVERAGEIFS(
'20102013 STH Efficacy'!$CD:$CD, 
'20102013 STH Efficacy'!$BS:$BS, $A39, 
'20102013 STH Efficacy'!$BT:$BT, "Mebendazole",
'20102013 STH Efficacy'!$BZ:$BZ,"&lt;2014",
'20102013 STH Efficacy'!$CU:$CU,""),
"")</f>
        <v/>
      </c>
      <c r="BI39" s="136">
        <f t="shared" si="28"/>
        <v>0.9358666667</v>
      </c>
      <c r="BJ39" s="128" t="str">
        <f>IFERROR(AVERAGEIFS(
'20102013 STH Efficacy'!$CD:$CD, 
'20102013 STH Efficacy'!$BS:$BS, $A39, 
'20102013 STH Efficacy'!$BT:$BT, "Albendazole &amp; Ivermectin",
'20102013 STH Efficacy'!$BZ:$BZ,"&lt;2014",
'20102013 STH Efficacy'!$CU:$CU,""),
"")</f>
        <v/>
      </c>
      <c r="BK39" s="136">
        <f t="shared" si="29"/>
        <v>1</v>
      </c>
      <c r="BL39" s="300" t="str">
        <f>IFERROR(
  AVERAGEIFS(
    'NEW 20102013 Onchocerciasis Eff'!$AO:$AO,
    'NEW 20102013 Onchocerciasis Eff'!$C:$C,$A39,
    'NEW 20102013 Onchocerciasis Eff'!$D:$D,"Ivermectin",
    'NEW 20102013 Onchocerciasis Eff'!$AR:$AR,"&lt;2014",
    'NEW 20102013 Onchocerciasis Eff'!$BG:$BG,"")
,"")</f>
        <v/>
      </c>
      <c r="BM39" s="304">
        <f t="shared" si="30"/>
        <v>0.8390421645</v>
      </c>
      <c r="BN39" s="305">
        <v>1.0</v>
      </c>
      <c r="BO39" s="139">
        <v>1.0</v>
      </c>
      <c r="BP39" s="140">
        <v>1.0</v>
      </c>
      <c r="BQ39" s="141">
        <f t="shared" si="31"/>
        <v>1</v>
      </c>
      <c r="BR39" s="104" t="str">
        <f t="shared" si="32"/>
        <v>1111</v>
      </c>
      <c r="BS39" s="104" t="str">
        <f t="shared" si="33"/>
        <v>MDA1+T2</v>
      </c>
      <c r="BT39" s="142" t="str">
        <f t="shared" si="34"/>
        <v>IVM+ALB</v>
      </c>
      <c r="BU39" s="104" t="str">
        <f t="shared" si="35"/>
        <v>PZQ</v>
      </c>
      <c r="BV39" s="104" t="str">
        <f t="shared" si="36"/>
        <v>lf+onch+schist+sth</v>
      </c>
      <c r="BW39" s="150" t="str">
        <f t="shared" si="37"/>
        <v/>
      </c>
      <c r="BX39" s="312">
        <f t="shared" si="38"/>
        <v>5104.528664</v>
      </c>
      <c r="BY39" s="162">
        <f t="shared" si="39"/>
        <v>3504.270666</v>
      </c>
      <c r="BZ39" s="152">
        <f t="shared" si="40"/>
        <v>683.6183171</v>
      </c>
      <c r="CA39" s="152" t="str">
        <f t="shared" si="41"/>
        <v/>
      </c>
      <c r="CB39" s="152">
        <f t="shared" si="42"/>
        <v>941.9136284</v>
      </c>
      <c r="CC39" s="323">
        <f t="shared" si="43"/>
        <v>10856.21973</v>
      </c>
      <c r="CD39" s="153" t="str">
        <f t="shared" si="44"/>
        <v/>
      </c>
      <c r="CE39" s="174" t="str">
        <f t="shared" si="45"/>
        <v/>
      </c>
      <c r="CF39" s="154" t="str">
        <f t="shared" si="46"/>
        <v/>
      </c>
      <c r="CG39" s="174" t="str">
        <f t="shared" si="47"/>
        <v/>
      </c>
      <c r="CH39" s="313">
        <f t="shared" si="48"/>
        <v>3986.181716</v>
      </c>
      <c r="CI39" s="299">
        <f t="shared" si="49"/>
        <v>0</v>
      </c>
    </row>
    <row r="40">
      <c r="A40" s="103" t="s">
        <v>129</v>
      </c>
      <c r="B40" s="104" t="s">
        <v>98</v>
      </c>
      <c r="C40" s="105">
        <v>3.5155451E7</v>
      </c>
      <c r="D40" s="293">
        <v>0.0</v>
      </c>
      <c r="E40" s="294">
        <v>0.0</v>
      </c>
      <c r="F40" s="307">
        <v>0.0</v>
      </c>
      <c r="G40" s="307">
        <v>0.0</v>
      </c>
      <c r="H40" s="108">
        <v>0.0</v>
      </c>
      <c r="I40" s="109">
        <v>0.0</v>
      </c>
      <c r="J40" s="109">
        <v>0.0</v>
      </c>
      <c r="K40" s="109">
        <v>0.0</v>
      </c>
      <c r="L40" s="112">
        <v>0.0</v>
      </c>
      <c r="M40" s="112">
        <v>0.0</v>
      </c>
      <c r="N40" s="111">
        <v>0.0</v>
      </c>
      <c r="O40" s="298">
        <v>0.0</v>
      </c>
      <c r="P40" s="114"/>
      <c r="Q40" s="114"/>
      <c r="R40" s="121" t="str">
        <f t="shared" si="11"/>
        <v/>
      </c>
      <c r="S40" s="116">
        <f t="shared" si="12"/>
        <v>0.2288425133</v>
      </c>
      <c r="T40" s="130"/>
      <c r="U40" s="118">
        <f t="shared" si="13"/>
        <v>0.39435</v>
      </c>
      <c r="V40" s="148"/>
      <c r="W40" s="120">
        <f t="shared" si="14"/>
        <v>0.542475</v>
      </c>
      <c r="X40" s="148"/>
      <c r="Y40" s="120">
        <f t="shared" si="15"/>
        <v>0.6507333333</v>
      </c>
      <c r="Z40" s="299"/>
      <c r="AA40" s="299"/>
      <c r="AB40" s="300" t="str">
        <f t="shared" si="16"/>
        <v/>
      </c>
      <c r="AC40" s="301">
        <f t="shared" si="17"/>
        <v>0.3490201688</v>
      </c>
      <c r="AD40" s="122">
        <v>0.0</v>
      </c>
      <c r="AE40" s="123">
        <v>0.0</v>
      </c>
      <c r="AF40" s="123">
        <v>0.0</v>
      </c>
      <c r="AG40" s="124">
        <v>0.0</v>
      </c>
      <c r="AH40" s="124">
        <v>0.0</v>
      </c>
      <c r="AI40" s="125">
        <v>0.0</v>
      </c>
      <c r="AJ40" s="125">
        <v>0.0</v>
      </c>
      <c r="AK40" s="127">
        <v>0.0</v>
      </c>
      <c r="AL40" s="127">
        <v>0.0</v>
      </c>
      <c r="AM40" s="302">
        <v>0.0</v>
      </c>
      <c r="AN40" s="149" t="str">
        <f>IFERROR(
  AVERAGEIFS(
    'New 20102013 LF Efficacy'!$J:$J,
    'New 20102013 LF Efficacy'!$D:$D, $A40,
    'New 20102013 LF Efficacy'!$F:$F,"DEC", 
    'New 20102013 LF Efficacy'!$W:$W,"&lt;2014",
    'New 20102013 LF Efficacy'!$AA:$AA,""),
  ""
)</f>
        <v/>
      </c>
      <c r="AO40" s="115">
        <f t="shared" si="18"/>
        <v>0.2589833333</v>
      </c>
      <c r="AP40" s="121" t="str">
        <f>IFERROR(
AVERAGEIFS(
'New 20102013 LF Efficacy'!$J:$J,
'New 20102013 LF Efficacy'!$D:$D,$A40,
'New 20102013 LF Efficacy'!$F:$F,"Albendazole &amp; DEC",
'New 20102013 LF Efficacy'!$W:$W,"&lt;2014",
'New 20102013 LF Efficacy'!$AA:$AA,""),
"")
</f>
        <v/>
      </c>
      <c r="AQ40" s="115">
        <f t="shared" si="19"/>
        <v>0.3465</v>
      </c>
      <c r="AR40" s="121" t="str">
        <f>IFERROR(
AVERAGEIFS(
'New 20102013 LF Efficacy'!$J:$J,
'New 20102013 LF Efficacy'!$D:$D,$A40,
'New 20102013 LF Efficacy'!$F:$F,"Albendazole &amp; Ivermectin", 
'New 20102013 LF Efficacy'!$W:$W,"&lt;2014",
'New 20102013 LF Efficacy'!$AA:$AA,""),"")</f>
        <v/>
      </c>
      <c r="AS40" s="115">
        <f t="shared" si="20"/>
        <v>0.7575</v>
      </c>
      <c r="AT40" s="130" t="str">
        <f>IFERROR(AVERAGEIFS(
'20102013 Schist Efficacy'!$O:$O, 
'20102013 Schist Efficacy'!$C:$C,$A40, 
'20102013 Schist Efficacy'!$D:$D, "Praziquantel",
'20102013 Schist Efficacy'!$J:$J,"&lt;2014",
'20102013 Schist Efficacy'!$U:$U,""),
"")</f>
        <v/>
      </c>
      <c r="AU40" s="118">
        <f t="shared" si="21"/>
        <v>0.7914761905</v>
      </c>
      <c r="AV40" s="131" t="str">
        <f>IFERROR(AVERAGEIFS(
'20102013 STH Efficacy'!$AX:$AX, 
'20102013 STH Efficacy'!$AL:$AL, $A40, 
'20102013 STH Efficacy'!$AM:$AM, "Albendazole",
'20102013 STH Efficacy'!$AS:$AS,"&lt;2014",
'20102013 STH Efficacy'!$BP:$BP,""),
"")</f>
        <v/>
      </c>
      <c r="AW40" s="132">
        <f t="shared" si="22"/>
        <v>0.3945</v>
      </c>
      <c r="AX40" s="131" t="str">
        <f>IFERROR(AVERAGEIFS(
'20102013 STH Efficacy'!$AX:$AX, 
'20102013 STH Efficacy'!$AL:$AL, $A40, 
'20102013 STH Efficacy'!$AM:$AM, "Mebendazole",
'20102013 STH Efficacy'!$AS:$AS,"&lt;2014",
'20102013 STH Efficacy'!$BP:$BP,""),
"")</f>
        <v/>
      </c>
      <c r="AY40" s="132">
        <f t="shared" si="23"/>
        <v>0.6</v>
      </c>
      <c r="AZ40" s="131" t="str">
        <f>IFERROR(AVERAGEIFS(
'20102013 STH Efficacy'!$AX:$AX, 
'20102013 STH Efficacy'!$AL:$AL, $A40, 
'20102013 STH Efficacy'!$AM:$AM, "Albendazole &amp; Ivermectin",
'20102013 STH Efficacy'!$AS:$AS,"&lt;2014",
'20102013 STH Efficacy'!$BP:$BP,""),
"")</f>
        <v/>
      </c>
      <c r="BA40" s="303">
        <f t="shared" si="24"/>
        <v>0.796</v>
      </c>
      <c r="BB40" s="134" t="str">
        <f>IFERROR(AVERAGEIFS(
'20102013 STH Efficacy'!$N:$N, 
'20102013 STH Efficacy'!$B:$B, $A40, 
'20102013 STH Efficacy'!$C:$C, "Albendazole",
'20102013 STH Efficacy'!$I:$I,"&lt;2014",
'20102013 STH Efficacy'!$AH:$AH,""),
"")</f>
        <v/>
      </c>
      <c r="BC40" s="135">
        <f t="shared" si="25"/>
        <v>0.869</v>
      </c>
      <c r="BD40" s="134" t="str">
        <f>IFERROR(AVERAGEIFS(
'20102013 STH Efficacy'!$N:$N, 
'20102013 STH Efficacy'!$B:$B, $A40, 
'20102013 STH Efficacy'!$C:$C, "Mebendazole",
'20102013 STH Efficacy'!$I:$I,"&lt;2014",
'20102013 STH Efficacy'!$AH:$AH,""),
"")</f>
        <v/>
      </c>
      <c r="BE40" s="135">
        <f t="shared" si="26"/>
        <v>0.172</v>
      </c>
      <c r="BF40" s="128" t="str">
        <f>IFERROR(AVERAGEIFS(
'20102013 STH Efficacy'!$CD:$CD, 
'20102013 STH Efficacy'!$BS:$BS, $A40, 
'20102013 STH Efficacy'!$BT:$BT, "Albendazole",
'20102013 STH Efficacy'!$BZ:$BZ,"&lt;2014",
'20102013 STH Efficacy'!$CU:$CU,""),
"")</f>
        <v/>
      </c>
      <c r="BG40" s="136">
        <f t="shared" si="27"/>
        <v>0.9862</v>
      </c>
      <c r="BH40" s="128" t="str">
        <f>IFERROR(AVERAGEIFS(
'20102013 STH Efficacy'!$CD:$CD, 
'20102013 STH Efficacy'!$BS:$BS, $A40, 
'20102013 STH Efficacy'!$BT:$BT, "Mebendazole",
'20102013 STH Efficacy'!$BZ:$BZ,"&lt;2014",
'20102013 STH Efficacy'!$CU:$CU,""),
"")</f>
        <v/>
      </c>
      <c r="BI40" s="136">
        <f t="shared" si="28"/>
        <v>0.769</v>
      </c>
      <c r="BJ40" s="128" t="str">
        <f>IFERROR(AVERAGEIFS(
'20102013 STH Efficacy'!$CD:$CD, 
'20102013 STH Efficacy'!$BS:$BS, $A40, 
'20102013 STH Efficacy'!$BT:$BT, "Albendazole &amp; Ivermectin",
'20102013 STH Efficacy'!$BZ:$BZ,"&lt;2014",
'20102013 STH Efficacy'!$CU:$CU,""),
"")</f>
        <v/>
      </c>
      <c r="BK40" s="136">
        <f t="shared" si="29"/>
        <v>1</v>
      </c>
      <c r="BL40" s="300" t="str">
        <f>IFERROR(
  AVERAGEIFS(
    'NEW 20102013 Onchocerciasis Eff'!$AO:$AO,
    'NEW 20102013 Onchocerciasis Eff'!$C:$C,$A40,
    'NEW 20102013 Onchocerciasis Eff'!$D:$D,"Ivermectin",
    'NEW 20102013 Onchocerciasis Eff'!$AR:$AR,"&lt;2014",
    'NEW 20102013 Onchocerciasis Eff'!$BG:$BG,"")
,"")</f>
        <v/>
      </c>
      <c r="BM40" s="304">
        <f t="shared" si="30"/>
        <v>0.3734</v>
      </c>
      <c r="BN40" s="305">
        <v>0.0</v>
      </c>
      <c r="BO40" s="139">
        <v>0.0</v>
      </c>
      <c r="BP40" s="140">
        <v>0.0</v>
      </c>
      <c r="BQ40" s="141">
        <f t="shared" si="31"/>
        <v>0</v>
      </c>
      <c r="BR40" s="104" t="str">
        <f t="shared" si="32"/>
        <v>0000</v>
      </c>
      <c r="BS40" s="104" t="str">
        <f t="shared" si="33"/>
        <v>no action required</v>
      </c>
      <c r="BT40" s="142" t="str">
        <f t="shared" si="34"/>
        <v/>
      </c>
      <c r="BU40" s="104" t="str">
        <f t="shared" si="35"/>
        <v/>
      </c>
      <c r="BV40" s="104" t="str">
        <f t="shared" si="36"/>
        <v>none</v>
      </c>
      <c r="BW40" s="150" t="str">
        <f t="shared" si="37"/>
        <v/>
      </c>
      <c r="BX40" s="150" t="str">
        <f t="shared" si="38"/>
        <v/>
      </c>
      <c r="BY40" s="151" t="str">
        <f t="shared" si="39"/>
        <v/>
      </c>
      <c r="BZ40" s="152" t="str">
        <f t="shared" si="40"/>
        <v/>
      </c>
      <c r="CA40" s="152" t="str">
        <f t="shared" si="41"/>
        <v/>
      </c>
      <c r="CB40" s="152" t="str">
        <f t="shared" si="42"/>
        <v/>
      </c>
      <c r="CC40" s="153" t="str">
        <f t="shared" si="43"/>
        <v/>
      </c>
      <c r="CD40" s="153" t="str">
        <f t="shared" si="44"/>
        <v/>
      </c>
      <c r="CE40" s="154" t="str">
        <f t="shared" si="45"/>
        <v/>
      </c>
      <c r="CF40" s="154" t="str">
        <f t="shared" si="46"/>
        <v/>
      </c>
      <c r="CG40" s="154" t="str">
        <f t="shared" si="47"/>
        <v/>
      </c>
      <c r="CH40" s="308" t="str">
        <f t="shared" si="48"/>
        <v/>
      </c>
      <c r="CI40" s="299">
        <f t="shared" si="49"/>
        <v>0</v>
      </c>
    </row>
    <row r="41">
      <c r="A41" s="103" t="s">
        <v>130</v>
      </c>
      <c r="B41" s="104" t="s">
        <v>92</v>
      </c>
      <c r="C41" s="105">
        <v>520106.0</v>
      </c>
      <c r="D41" s="293">
        <v>0.0</v>
      </c>
      <c r="E41" s="294">
        <v>0.0</v>
      </c>
      <c r="F41" s="309">
        <v>6.16175E-4</v>
      </c>
      <c r="G41" s="309">
        <v>0.001230108</v>
      </c>
      <c r="H41" s="108">
        <v>0.001846283</v>
      </c>
      <c r="I41" s="109">
        <v>0.42555877</v>
      </c>
      <c r="J41" s="109">
        <v>0.45093753</v>
      </c>
      <c r="K41" s="109">
        <v>0.876496301</v>
      </c>
      <c r="L41" s="112">
        <v>0.379063435</v>
      </c>
      <c r="M41" s="112">
        <v>0.068071801</v>
      </c>
      <c r="N41" s="111">
        <v>0.447135237</v>
      </c>
      <c r="O41" s="298">
        <v>0.0</v>
      </c>
      <c r="P41" s="156"/>
      <c r="Q41" s="156"/>
      <c r="R41" s="121" t="str">
        <f t="shared" si="11"/>
        <v/>
      </c>
      <c r="S41" s="116">
        <f t="shared" si="12"/>
        <v>0.2589669834</v>
      </c>
      <c r="T41" s="130"/>
      <c r="U41" s="118">
        <f t="shared" si="13"/>
        <v>0.252</v>
      </c>
      <c r="V41" s="148"/>
      <c r="W41" s="120">
        <f t="shared" si="14"/>
        <v>0.8114541667</v>
      </c>
      <c r="X41" s="148"/>
      <c r="Y41" s="120">
        <f t="shared" si="15"/>
        <v>0.5668291667</v>
      </c>
      <c r="Z41" s="299"/>
      <c r="AA41" s="299"/>
      <c r="AB41" s="300" t="str">
        <f t="shared" si="16"/>
        <v/>
      </c>
      <c r="AC41" s="301">
        <f t="shared" si="17"/>
        <v>0.655321236</v>
      </c>
      <c r="AD41" s="122">
        <v>0.0</v>
      </c>
      <c r="AE41" s="123">
        <v>0.0</v>
      </c>
      <c r="AF41" s="123">
        <v>0.0</v>
      </c>
      <c r="AG41" s="124">
        <v>0.0071</v>
      </c>
      <c r="AH41" s="124">
        <v>0.009311095</v>
      </c>
      <c r="AI41" s="125">
        <v>0.0013</v>
      </c>
      <c r="AJ41" s="125">
        <v>0.0013296</v>
      </c>
      <c r="AK41" s="127">
        <v>0.0</v>
      </c>
      <c r="AL41" s="127">
        <v>0.0</v>
      </c>
      <c r="AM41" s="302">
        <v>0.0</v>
      </c>
      <c r="AN41" s="149" t="str">
        <f>IFERROR(
  AVERAGEIFS(
    'New 20102013 LF Efficacy'!$J:$J,
    'New 20102013 LF Efficacy'!$D:$D, $A41,
    'New 20102013 LF Efficacy'!$F:$F,"DEC", 
    'New 20102013 LF Efficacy'!$W:$W,"&lt;2014",
    'New 20102013 LF Efficacy'!$AA:$AA,""),
  ""
)</f>
        <v/>
      </c>
      <c r="AO41" s="115">
        <f t="shared" si="18"/>
        <v>0.31225</v>
      </c>
      <c r="AP41" s="121" t="str">
        <f>IFERROR(
AVERAGEIFS(
'New 20102013 LF Efficacy'!$J:$J,
'New 20102013 LF Efficacy'!$D:$D,$A41,
'New 20102013 LF Efficacy'!$F:$F,"Albendazole &amp; DEC",
'New 20102013 LF Efficacy'!$W:$W,"&lt;2014",
'New 20102013 LF Efficacy'!$AA:$AA,""),
"")
</f>
        <v/>
      </c>
      <c r="AQ41" s="115">
        <f t="shared" si="19"/>
        <v>0.4</v>
      </c>
      <c r="AR41" s="121" t="str">
        <f>IFERROR(
AVERAGEIFS(
'New 20102013 LF Efficacy'!$J:$J,
'New 20102013 LF Efficacy'!$D:$D,$A41,
'New 20102013 LF Efficacy'!$F:$F,"Albendazole &amp; Ivermectin", 
'New 20102013 LF Efficacy'!$W:$W,"&lt;2014",
'New 20102013 LF Efficacy'!$AA:$AA,""),"")</f>
        <v/>
      </c>
      <c r="AS41" s="115">
        <f t="shared" si="20"/>
        <v>0.2943125</v>
      </c>
      <c r="AT41" s="130" t="str">
        <f>IFERROR(AVERAGEIFS(
'20102013 Schist Efficacy'!$O:$O, 
'20102013 Schist Efficacy'!$C:$C,$A41, 
'20102013 Schist Efficacy'!$D:$D, "Praziquantel",
'20102013 Schist Efficacy'!$J:$J,"&lt;2014",
'20102013 Schist Efficacy'!$U:$U,""),
"")</f>
        <v/>
      </c>
      <c r="AU41" s="118">
        <f t="shared" si="21"/>
        <v>0.7192212527</v>
      </c>
      <c r="AV41" s="131" t="str">
        <f>IFERROR(AVERAGEIFS(
'20102013 STH Efficacy'!$AX:$AX, 
'20102013 STH Efficacy'!$AL:$AL, $A41, 
'20102013 STH Efficacy'!$AM:$AM, "Albendazole",
'20102013 STH Efficacy'!$AS:$AS,"&lt;2014",
'20102013 STH Efficacy'!$BP:$BP,""),
"")</f>
        <v/>
      </c>
      <c r="AW41" s="132">
        <f t="shared" si="22"/>
        <v>0.3816333333</v>
      </c>
      <c r="AX41" s="131" t="str">
        <f>IFERROR(AVERAGEIFS(
'20102013 STH Efficacy'!$AX:$AX, 
'20102013 STH Efficacy'!$AL:$AL, $A41, 
'20102013 STH Efficacy'!$AM:$AM, "Mebendazole",
'20102013 STH Efficacy'!$AS:$AS,"&lt;2014",
'20102013 STH Efficacy'!$BP:$BP,""),
"")</f>
        <v/>
      </c>
      <c r="AY41" s="132">
        <f t="shared" si="23"/>
        <v>0.5675833333</v>
      </c>
      <c r="AZ41" s="131" t="str">
        <f>IFERROR(AVERAGEIFS(
'20102013 STH Efficacy'!$AX:$AX, 
'20102013 STH Efficacy'!$AL:$AL, $A41, 
'20102013 STH Efficacy'!$AM:$AM, "Albendazole &amp; Ivermectin",
'20102013 STH Efficacy'!$AS:$AS,"&lt;2014",
'20102013 STH Efficacy'!$BP:$BP,""),
"")</f>
        <v/>
      </c>
      <c r="BA41" s="303">
        <f t="shared" si="24"/>
        <v>0.47175</v>
      </c>
      <c r="BB41" s="134" t="str">
        <f>IFERROR(AVERAGEIFS(
'20102013 STH Efficacy'!$N:$N, 
'20102013 STH Efficacy'!$B:$B, $A41, 
'20102013 STH Efficacy'!$C:$C, "Albendazole",
'20102013 STH Efficacy'!$I:$I,"&lt;2014",
'20102013 STH Efficacy'!$AH:$AH,""),
"")</f>
        <v/>
      </c>
      <c r="BC41" s="135">
        <f t="shared" si="25"/>
        <v>0.8699166667</v>
      </c>
      <c r="BD41" s="134" t="str">
        <f>IFERROR(AVERAGEIFS(
'20102013 STH Efficacy'!$N:$N, 
'20102013 STH Efficacy'!$B:$B, $A41, 
'20102013 STH Efficacy'!$C:$C, "Mebendazole",
'20102013 STH Efficacy'!$I:$I,"&lt;2014",
'20102013 STH Efficacy'!$AH:$AH,""),
"")</f>
        <v/>
      </c>
      <c r="BE41" s="135">
        <f t="shared" si="26"/>
        <v>0.7092416667</v>
      </c>
      <c r="BF41" s="128" t="str">
        <f>IFERROR(AVERAGEIFS(
'20102013 STH Efficacy'!$CD:$CD, 
'20102013 STH Efficacy'!$BS:$BS, $A41, 
'20102013 STH Efficacy'!$BT:$BT, "Albendazole",
'20102013 STH Efficacy'!$BZ:$BZ,"&lt;2014",
'20102013 STH Efficacy'!$CU:$CU,""),
"")</f>
        <v/>
      </c>
      <c r="BG41" s="136">
        <f t="shared" si="27"/>
        <v>0.9066666667</v>
      </c>
      <c r="BH41" s="128" t="str">
        <f>IFERROR(AVERAGEIFS(
'20102013 STH Efficacy'!$CD:$CD, 
'20102013 STH Efficacy'!$BS:$BS, $A41, 
'20102013 STH Efficacy'!$BT:$BT, "Mebendazole",
'20102013 STH Efficacy'!$BZ:$BZ,"&lt;2014",
'20102013 STH Efficacy'!$CU:$CU,""),
"")</f>
        <v/>
      </c>
      <c r="BI41" s="136">
        <f t="shared" si="28"/>
        <v>0.9358666667</v>
      </c>
      <c r="BJ41" s="128" t="str">
        <f>IFERROR(AVERAGEIFS(
'20102013 STH Efficacy'!$CD:$CD, 
'20102013 STH Efficacy'!$BS:$BS, $A41, 
'20102013 STH Efficacy'!$BT:$BT, "Albendazole &amp; Ivermectin",
'20102013 STH Efficacy'!$BZ:$BZ,"&lt;2014",
'20102013 STH Efficacy'!$CU:$CU,""),
"")</f>
        <v/>
      </c>
      <c r="BK41" s="136">
        <f t="shared" si="29"/>
        <v>1</v>
      </c>
      <c r="BL41" s="300" t="str">
        <f>IFERROR(
  AVERAGEIFS(
    'NEW 20102013 Onchocerciasis Eff'!$AO:$AO,
    'NEW 20102013 Onchocerciasis Eff'!$C:$C,$A41,
    'NEW 20102013 Onchocerciasis Eff'!$D:$D,"Ivermectin",
    'NEW 20102013 Onchocerciasis Eff'!$AR:$AR,"&lt;2014",
    'NEW 20102013 Onchocerciasis Eff'!$BG:$BG,"")
,"")</f>
        <v/>
      </c>
      <c r="BM41" s="304">
        <f t="shared" si="30"/>
        <v>0.8390421645</v>
      </c>
      <c r="BN41" s="305">
        <v>0.0</v>
      </c>
      <c r="BO41" s="139">
        <v>0.0</v>
      </c>
      <c r="BP41" s="140">
        <v>0.0</v>
      </c>
      <c r="BQ41" s="141">
        <f t="shared" si="31"/>
        <v>0</v>
      </c>
      <c r="BR41" s="104" t="str">
        <f t="shared" si="32"/>
        <v>0000</v>
      </c>
      <c r="BS41" s="104" t="str">
        <f t="shared" si="33"/>
        <v>no action required</v>
      </c>
      <c r="BT41" s="142" t="str">
        <f t="shared" si="34"/>
        <v/>
      </c>
      <c r="BU41" s="104" t="str">
        <f t="shared" si="35"/>
        <v/>
      </c>
      <c r="BV41" s="104" t="str">
        <f t="shared" si="36"/>
        <v>none</v>
      </c>
      <c r="BW41" s="150" t="str">
        <f t="shared" si="37"/>
        <v/>
      </c>
      <c r="BX41" s="150" t="str">
        <f t="shared" si="38"/>
        <v/>
      </c>
      <c r="BY41" s="151" t="str">
        <f t="shared" si="39"/>
        <v/>
      </c>
      <c r="BZ41" s="152" t="str">
        <f t="shared" si="40"/>
        <v/>
      </c>
      <c r="CA41" s="152" t="str">
        <f t="shared" si="41"/>
        <v/>
      </c>
      <c r="CB41" s="152" t="str">
        <f t="shared" si="42"/>
        <v/>
      </c>
      <c r="CC41" s="153" t="str">
        <f t="shared" si="43"/>
        <v/>
      </c>
      <c r="CD41" s="153" t="str">
        <f t="shared" si="44"/>
        <v/>
      </c>
      <c r="CE41" s="154" t="str">
        <f t="shared" si="45"/>
        <v/>
      </c>
      <c r="CF41" s="154" t="str">
        <f t="shared" si="46"/>
        <v/>
      </c>
      <c r="CG41" s="154" t="str">
        <f t="shared" si="47"/>
        <v/>
      </c>
      <c r="CH41" s="308" t="str">
        <f t="shared" si="48"/>
        <v/>
      </c>
      <c r="CI41" s="299">
        <f t="shared" si="49"/>
        <v>0</v>
      </c>
    </row>
    <row r="42">
      <c r="A42" s="155" t="s">
        <v>131</v>
      </c>
      <c r="B42" s="104" t="s">
        <v>98</v>
      </c>
      <c r="C42" s="105">
        <v>58371.0</v>
      </c>
      <c r="D42" s="293">
        <v>0.0</v>
      </c>
      <c r="E42" s="294">
        <v>0.0</v>
      </c>
      <c r="F42" s="163"/>
      <c r="G42" s="163"/>
      <c r="H42" s="108">
        <v>0.0</v>
      </c>
      <c r="I42" s="109">
        <v>0.0</v>
      </c>
      <c r="J42" s="109">
        <v>0.0</v>
      </c>
      <c r="K42" s="109">
        <v>0.0</v>
      </c>
      <c r="L42" s="113"/>
      <c r="M42" s="113"/>
      <c r="N42" s="111">
        <v>0.0</v>
      </c>
      <c r="O42" s="298">
        <v>0.0</v>
      </c>
      <c r="P42" s="114"/>
      <c r="Q42" s="114"/>
      <c r="R42" s="121" t="str">
        <f t="shared" si="11"/>
        <v/>
      </c>
      <c r="S42" s="116">
        <f t="shared" si="12"/>
        <v>0.2288425133</v>
      </c>
      <c r="T42" s="130"/>
      <c r="U42" s="118">
        <f t="shared" si="13"/>
        <v>0.39435</v>
      </c>
      <c r="V42" s="148"/>
      <c r="W42" s="120">
        <f t="shared" si="14"/>
        <v>0.542475</v>
      </c>
      <c r="X42" s="148"/>
      <c r="Y42" s="120">
        <f t="shared" si="15"/>
        <v>0.6507333333</v>
      </c>
      <c r="Z42" s="299"/>
      <c r="AA42" s="299"/>
      <c r="AB42" s="300" t="str">
        <f t="shared" si="16"/>
        <v/>
      </c>
      <c r="AC42" s="301">
        <f t="shared" si="17"/>
        <v>0.3490201688</v>
      </c>
      <c r="AD42" s="314">
        <v>0.0</v>
      </c>
      <c r="AE42" s="315">
        <v>0.0</v>
      </c>
      <c r="AF42" s="166">
        <v>0.0</v>
      </c>
      <c r="AG42" s="316">
        <v>0.0</v>
      </c>
      <c r="AH42" s="307">
        <v>0.0</v>
      </c>
      <c r="AI42" s="317">
        <v>0.0</v>
      </c>
      <c r="AJ42" s="318">
        <v>0.0</v>
      </c>
      <c r="AK42" s="319">
        <v>0.0</v>
      </c>
      <c r="AL42" s="319">
        <v>0.0</v>
      </c>
      <c r="AM42" s="320">
        <v>0.0</v>
      </c>
      <c r="AN42" s="149" t="str">
        <f>IFERROR(
  AVERAGEIFS(
    'New 20102013 LF Efficacy'!$J:$J,
    'New 20102013 LF Efficacy'!$D:$D, $A42,
    'New 20102013 LF Efficacy'!$F:$F,"DEC", 
    'New 20102013 LF Efficacy'!$W:$W,"&lt;2014",
    'New 20102013 LF Efficacy'!$AA:$AA,""),
  ""
)</f>
        <v/>
      </c>
      <c r="AO42" s="115">
        <f t="shared" si="18"/>
        <v>0.2589833333</v>
      </c>
      <c r="AP42" s="121" t="str">
        <f>IFERROR(
AVERAGEIFS(
'New 20102013 LF Efficacy'!$J:$J,
'New 20102013 LF Efficacy'!$D:$D,$A42,
'New 20102013 LF Efficacy'!$F:$F,"Albendazole &amp; DEC",
'New 20102013 LF Efficacy'!$W:$W,"&lt;2014",
'New 20102013 LF Efficacy'!$AA:$AA,""),
"")
</f>
        <v/>
      </c>
      <c r="AQ42" s="115">
        <f t="shared" si="19"/>
        <v>0.3465</v>
      </c>
      <c r="AR42" s="121" t="str">
        <f>IFERROR(
AVERAGEIFS(
'New 20102013 LF Efficacy'!$J:$J,
'New 20102013 LF Efficacy'!$D:$D,$A42,
'New 20102013 LF Efficacy'!$F:$F,"Albendazole &amp; Ivermectin", 
'New 20102013 LF Efficacy'!$W:$W,"&lt;2014",
'New 20102013 LF Efficacy'!$AA:$AA,""),"")</f>
        <v/>
      </c>
      <c r="AS42" s="115">
        <f t="shared" si="20"/>
        <v>0.7575</v>
      </c>
      <c r="AT42" s="130" t="str">
        <f>IFERROR(AVERAGEIFS(
'20102013 Schist Efficacy'!$O:$O, 
'20102013 Schist Efficacy'!$C:$C,$A42, 
'20102013 Schist Efficacy'!$D:$D, "Praziquantel",
'20102013 Schist Efficacy'!$J:$J,"&lt;2014",
'20102013 Schist Efficacy'!$U:$U,""),
"")</f>
        <v/>
      </c>
      <c r="AU42" s="118">
        <f t="shared" si="21"/>
        <v>0.7914761905</v>
      </c>
      <c r="AV42" s="131" t="str">
        <f>IFERROR(AVERAGEIFS(
'20102013 STH Efficacy'!$AX:$AX, 
'20102013 STH Efficacy'!$AL:$AL, $A42, 
'20102013 STH Efficacy'!$AM:$AM, "Albendazole",
'20102013 STH Efficacy'!$AS:$AS,"&lt;2014",
'20102013 STH Efficacy'!$BP:$BP,""),
"")</f>
        <v/>
      </c>
      <c r="AW42" s="132">
        <f t="shared" si="22"/>
        <v>0.3945</v>
      </c>
      <c r="AX42" s="131" t="str">
        <f>IFERROR(AVERAGEIFS(
'20102013 STH Efficacy'!$AX:$AX, 
'20102013 STH Efficacy'!$AL:$AL, $A42, 
'20102013 STH Efficacy'!$AM:$AM, "Mebendazole",
'20102013 STH Efficacy'!$AS:$AS,"&lt;2014",
'20102013 STH Efficacy'!$BP:$BP,""),
"")</f>
        <v/>
      </c>
      <c r="AY42" s="132">
        <f t="shared" si="23"/>
        <v>0.6</v>
      </c>
      <c r="AZ42" s="131" t="str">
        <f>IFERROR(AVERAGEIFS(
'20102013 STH Efficacy'!$AX:$AX, 
'20102013 STH Efficacy'!$AL:$AL, $A42, 
'20102013 STH Efficacy'!$AM:$AM, "Albendazole &amp; Ivermectin",
'20102013 STH Efficacy'!$AS:$AS,"&lt;2014",
'20102013 STH Efficacy'!$BP:$BP,""),
"")</f>
        <v/>
      </c>
      <c r="BA42" s="303">
        <f t="shared" si="24"/>
        <v>0.796</v>
      </c>
      <c r="BB42" s="134" t="str">
        <f>IFERROR(AVERAGEIFS(
'20102013 STH Efficacy'!$N:$N, 
'20102013 STH Efficacy'!$B:$B, $A42, 
'20102013 STH Efficacy'!$C:$C, "Albendazole",
'20102013 STH Efficacy'!$I:$I,"&lt;2014",
'20102013 STH Efficacy'!$AH:$AH,""),
"")</f>
        <v/>
      </c>
      <c r="BC42" s="135">
        <f t="shared" si="25"/>
        <v>0.869</v>
      </c>
      <c r="BD42" s="134" t="str">
        <f>IFERROR(AVERAGEIFS(
'20102013 STH Efficacy'!$N:$N, 
'20102013 STH Efficacy'!$B:$B, $A42, 
'20102013 STH Efficacy'!$C:$C, "Mebendazole",
'20102013 STH Efficacy'!$I:$I,"&lt;2014",
'20102013 STH Efficacy'!$AH:$AH,""),
"")</f>
        <v/>
      </c>
      <c r="BE42" s="135">
        <f t="shared" si="26"/>
        <v>0.172</v>
      </c>
      <c r="BF42" s="128" t="str">
        <f>IFERROR(AVERAGEIFS(
'20102013 STH Efficacy'!$CD:$CD, 
'20102013 STH Efficacy'!$BS:$BS, $A42, 
'20102013 STH Efficacy'!$BT:$BT, "Albendazole",
'20102013 STH Efficacy'!$BZ:$BZ,"&lt;2014",
'20102013 STH Efficacy'!$CU:$CU,""),
"")</f>
        <v/>
      </c>
      <c r="BG42" s="136">
        <f t="shared" si="27"/>
        <v>0.9862</v>
      </c>
      <c r="BH42" s="128" t="str">
        <f>IFERROR(AVERAGEIFS(
'20102013 STH Efficacy'!$CD:$CD, 
'20102013 STH Efficacy'!$BS:$BS, $A42, 
'20102013 STH Efficacy'!$BT:$BT, "Mebendazole",
'20102013 STH Efficacy'!$BZ:$BZ,"&lt;2014",
'20102013 STH Efficacy'!$CU:$CU,""),
"")</f>
        <v/>
      </c>
      <c r="BI42" s="136">
        <f t="shared" si="28"/>
        <v>0.769</v>
      </c>
      <c r="BJ42" s="128" t="str">
        <f>IFERROR(AVERAGEIFS(
'20102013 STH Efficacy'!$CD:$CD, 
'20102013 STH Efficacy'!$BS:$BS, $A42, 
'20102013 STH Efficacy'!$BT:$BT, "Albendazole &amp; Ivermectin",
'20102013 STH Efficacy'!$BZ:$BZ,"&lt;2014",
'20102013 STH Efficacy'!$CU:$CU,""),
"")</f>
        <v/>
      </c>
      <c r="BK42" s="136">
        <f t="shared" si="29"/>
        <v>1</v>
      </c>
      <c r="BL42" s="300" t="str">
        <f>IFERROR(
  AVERAGEIFS(
    'NEW 20102013 Onchocerciasis Eff'!$AO:$AO,
    'NEW 20102013 Onchocerciasis Eff'!$C:$C,$A42,
    'NEW 20102013 Onchocerciasis Eff'!$D:$D,"Ivermectin",
    'NEW 20102013 Onchocerciasis Eff'!$AR:$AR,"&lt;2014",
    'NEW 20102013 Onchocerciasis Eff'!$BG:$BG,"")
,"")</f>
        <v/>
      </c>
      <c r="BM42" s="304">
        <f t="shared" si="30"/>
        <v>0.3734</v>
      </c>
      <c r="BN42" s="305">
        <v>0.0</v>
      </c>
      <c r="BO42" s="139">
        <v>0.0</v>
      </c>
      <c r="BP42" s="140">
        <v>0.0</v>
      </c>
      <c r="BQ42" s="141">
        <f t="shared" si="31"/>
        <v>0</v>
      </c>
      <c r="BR42" s="104" t="str">
        <f t="shared" si="32"/>
        <v>0000</v>
      </c>
      <c r="BS42" s="104" t="str">
        <f t="shared" si="33"/>
        <v>no action required</v>
      </c>
      <c r="BT42" s="142" t="str">
        <f t="shared" si="34"/>
        <v/>
      </c>
      <c r="BU42" s="104" t="str">
        <f t="shared" si="35"/>
        <v/>
      </c>
      <c r="BV42" s="104" t="str">
        <f t="shared" si="36"/>
        <v>none</v>
      </c>
      <c r="BW42" s="150" t="str">
        <f t="shared" si="37"/>
        <v/>
      </c>
      <c r="BX42" s="150" t="str">
        <f t="shared" si="38"/>
        <v/>
      </c>
      <c r="BY42" s="151" t="str">
        <f t="shared" si="39"/>
        <v/>
      </c>
      <c r="BZ42" s="152" t="str">
        <f t="shared" si="40"/>
        <v/>
      </c>
      <c r="CA42" s="152" t="str">
        <f t="shared" si="41"/>
        <v/>
      </c>
      <c r="CB42" s="152" t="str">
        <f t="shared" si="42"/>
        <v/>
      </c>
      <c r="CC42" s="153" t="str">
        <f t="shared" si="43"/>
        <v/>
      </c>
      <c r="CD42" s="153" t="str">
        <f t="shared" si="44"/>
        <v/>
      </c>
      <c r="CE42" s="154" t="str">
        <f t="shared" si="45"/>
        <v/>
      </c>
      <c r="CF42" s="154" t="str">
        <f t="shared" si="46"/>
        <v/>
      </c>
      <c r="CG42" s="154" t="str">
        <f t="shared" si="47"/>
        <v/>
      </c>
      <c r="CH42" s="308" t="str">
        <f t="shared" si="48"/>
        <v/>
      </c>
      <c r="CI42" s="299">
        <f t="shared" si="49"/>
        <v>0</v>
      </c>
    </row>
    <row r="43">
      <c r="A43" s="103" t="s">
        <v>132</v>
      </c>
      <c r="B43" s="104" t="s">
        <v>92</v>
      </c>
      <c r="C43" s="105">
        <v>4499653.0</v>
      </c>
      <c r="D43" s="293">
        <v>9792.48</v>
      </c>
      <c r="E43" s="294">
        <v>4207.723756</v>
      </c>
      <c r="F43" s="295">
        <v>7.443187097</v>
      </c>
      <c r="G43" s="295">
        <v>32.6597901</v>
      </c>
      <c r="H43" s="157">
        <v>40.1029772</v>
      </c>
      <c r="I43" s="110">
        <v>611.737559</v>
      </c>
      <c r="J43" s="110">
        <v>1685.16401</v>
      </c>
      <c r="K43" s="110">
        <v>2296.901565</v>
      </c>
      <c r="L43" s="111">
        <v>5416.547653</v>
      </c>
      <c r="M43" s="112">
        <v>749.8807342</v>
      </c>
      <c r="N43" s="111">
        <v>6166.428387</v>
      </c>
      <c r="O43" s="298">
        <v>22333.46105</v>
      </c>
      <c r="P43" s="160">
        <v>3300000.0</v>
      </c>
      <c r="Q43" s="156"/>
      <c r="R43" s="121">
        <f t="shared" si="11"/>
        <v>0</v>
      </c>
      <c r="S43" s="116">
        <f t="shared" si="12"/>
        <v>0.2589669834</v>
      </c>
      <c r="T43" s="118">
        <v>0.0783</v>
      </c>
      <c r="U43" s="118">
        <f t="shared" si="13"/>
        <v>0.0783</v>
      </c>
      <c r="V43" s="119">
        <v>0.9694</v>
      </c>
      <c r="W43" s="120">
        <f t="shared" si="14"/>
        <v>0.9694</v>
      </c>
      <c r="X43" s="148"/>
      <c r="Y43" s="120">
        <f t="shared" si="15"/>
        <v>0.5668291667</v>
      </c>
      <c r="Z43" s="310">
        <v>2107828.0</v>
      </c>
      <c r="AA43" s="311" t="s">
        <v>372</v>
      </c>
      <c r="AB43" s="300" t="str">
        <f t="shared" si="16"/>
        <v/>
      </c>
      <c r="AC43" s="301">
        <f t="shared" si="17"/>
        <v>0.655321236</v>
      </c>
      <c r="AD43" s="122">
        <v>0.083</v>
      </c>
      <c r="AE43" s="123">
        <v>0.07</v>
      </c>
      <c r="AF43" s="123">
        <v>0.0147</v>
      </c>
      <c r="AG43" s="316">
        <v>0.0</v>
      </c>
      <c r="AH43" s="124">
        <v>0.101339255</v>
      </c>
      <c r="AI43" s="317">
        <v>0.0</v>
      </c>
      <c r="AJ43" s="125">
        <v>0.289031538</v>
      </c>
      <c r="AK43" s="319">
        <v>0.0</v>
      </c>
      <c r="AL43" s="319">
        <v>0.0</v>
      </c>
      <c r="AM43" s="302">
        <v>0.0678</v>
      </c>
      <c r="AN43" s="149" t="str">
        <f>IFERROR(
  AVERAGEIFS(
    'New 20102013 LF Efficacy'!$J:$J,
    'New 20102013 LF Efficacy'!$D:$D, $A43,
    'New 20102013 LF Efficacy'!$F:$F,"DEC", 
    'New 20102013 LF Efficacy'!$W:$W,"&lt;2014",
    'New 20102013 LF Efficacy'!$AA:$AA,""),
  ""
)</f>
        <v/>
      </c>
      <c r="AO43" s="115">
        <f t="shared" si="18"/>
        <v>0.31225</v>
      </c>
      <c r="AP43" s="121" t="str">
        <f>IFERROR(
AVERAGEIFS(
'New 20102013 LF Efficacy'!$J:$J,
'New 20102013 LF Efficacy'!$D:$D,$A43,
'New 20102013 LF Efficacy'!$F:$F,"Albendazole &amp; DEC",
'New 20102013 LF Efficacy'!$W:$W,"&lt;2014",
'New 20102013 LF Efficacy'!$AA:$AA,""),
"")
</f>
        <v/>
      </c>
      <c r="AQ43" s="115">
        <f t="shared" si="19"/>
        <v>0.4</v>
      </c>
      <c r="AR43" s="121" t="str">
        <f>IFERROR(
AVERAGEIFS(
'New 20102013 LF Efficacy'!$J:$J,
'New 20102013 LF Efficacy'!$D:$D,$A43,
'New 20102013 LF Efficacy'!$F:$F,"Albendazole &amp; Ivermectin", 
'New 20102013 LF Efficacy'!$W:$W,"&lt;2014",
'New 20102013 LF Efficacy'!$AA:$AA,""),"")</f>
        <v/>
      </c>
      <c r="AS43" s="115">
        <f t="shared" si="20"/>
        <v>0.2943125</v>
      </c>
      <c r="AT43" s="130" t="str">
        <f>IFERROR(AVERAGEIFS(
'20102013 Schist Efficacy'!$O:$O, 
'20102013 Schist Efficacy'!$C:$C,$A43, 
'20102013 Schist Efficacy'!$D:$D, "Praziquantel",
'20102013 Schist Efficacy'!$J:$J,"&lt;2014",
'20102013 Schist Efficacy'!$U:$U,""),
"")</f>
        <v/>
      </c>
      <c r="AU43" s="118">
        <f t="shared" si="21"/>
        <v>0.7192212527</v>
      </c>
      <c r="AV43" s="131" t="str">
        <f>IFERROR(AVERAGEIFS(
'20102013 STH Efficacy'!$AX:$AX, 
'20102013 STH Efficacy'!$AL:$AL, $A43, 
'20102013 STH Efficacy'!$AM:$AM, "Albendazole",
'20102013 STH Efficacy'!$AS:$AS,"&lt;2014",
'20102013 STH Efficacy'!$BP:$BP,""),
"")</f>
        <v/>
      </c>
      <c r="AW43" s="132">
        <f t="shared" si="22"/>
        <v>0.3816333333</v>
      </c>
      <c r="AX43" s="131" t="str">
        <f>IFERROR(AVERAGEIFS(
'20102013 STH Efficacy'!$AX:$AX, 
'20102013 STH Efficacy'!$AL:$AL, $A43, 
'20102013 STH Efficacy'!$AM:$AM, "Mebendazole",
'20102013 STH Efficacy'!$AS:$AS,"&lt;2014",
'20102013 STH Efficacy'!$BP:$BP,""),
"")</f>
        <v/>
      </c>
      <c r="AY43" s="132">
        <f t="shared" si="23"/>
        <v>0.5675833333</v>
      </c>
      <c r="AZ43" s="131" t="str">
        <f>IFERROR(AVERAGEIFS(
'20102013 STH Efficacy'!$AX:$AX, 
'20102013 STH Efficacy'!$AL:$AL, $A43, 
'20102013 STH Efficacy'!$AM:$AM, "Albendazole &amp; Ivermectin",
'20102013 STH Efficacy'!$AS:$AS,"&lt;2014",
'20102013 STH Efficacy'!$BP:$BP,""),
"")</f>
        <v/>
      </c>
      <c r="BA43" s="303">
        <f t="shared" si="24"/>
        <v>0.47175</v>
      </c>
      <c r="BB43" s="134" t="str">
        <f>IFERROR(AVERAGEIFS(
'20102013 STH Efficacy'!$N:$N, 
'20102013 STH Efficacy'!$B:$B, $A43, 
'20102013 STH Efficacy'!$C:$C, "Albendazole",
'20102013 STH Efficacy'!$I:$I,"&lt;2014",
'20102013 STH Efficacy'!$AH:$AH,""),
"")</f>
        <v/>
      </c>
      <c r="BC43" s="135">
        <f t="shared" si="25"/>
        <v>0.8699166667</v>
      </c>
      <c r="BD43" s="134" t="str">
        <f>IFERROR(AVERAGEIFS(
'20102013 STH Efficacy'!$N:$N, 
'20102013 STH Efficacy'!$B:$B, $A43, 
'20102013 STH Efficacy'!$C:$C, "Mebendazole",
'20102013 STH Efficacy'!$I:$I,"&lt;2014",
'20102013 STH Efficacy'!$AH:$AH,""),
"")</f>
        <v/>
      </c>
      <c r="BE43" s="135">
        <f t="shared" si="26"/>
        <v>0.7092416667</v>
      </c>
      <c r="BF43" s="128" t="str">
        <f>IFERROR(AVERAGEIFS(
'20102013 STH Efficacy'!$CD:$CD, 
'20102013 STH Efficacy'!$BS:$BS, $A43, 
'20102013 STH Efficacy'!$BT:$BT, "Albendazole",
'20102013 STH Efficacy'!$BZ:$BZ,"&lt;2014",
'20102013 STH Efficacy'!$CU:$CU,""),
"")</f>
        <v/>
      </c>
      <c r="BG43" s="136">
        <f t="shared" si="27"/>
        <v>0.9066666667</v>
      </c>
      <c r="BH43" s="128" t="str">
        <f>IFERROR(AVERAGEIFS(
'20102013 STH Efficacy'!$CD:$CD, 
'20102013 STH Efficacy'!$BS:$BS, $A43, 
'20102013 STH Efficacy'!$BT:$BT, "Mebendazole",
'20102013 STH Efficacy'!$BZ:$BZ,"&lt;2014",
'20102013 STH Efficacy'!$CU:$CU,""),
"")</f>
        <v/>
      </c>
      <c r="BI43" s="136">
        <f t="shared" si="28"/>
        <v>0.9358666667</v>
      </c>
      <c r="BJ43" s="128" t="str">
        <f>IFERROR(AVERAGEIFS(
'20102013 STH Efficacy'!$CD:$CD, 
'20102013 STH Efficacy'!$BS:$BS, $A43, 
'20102013 STH Efficacy'!$BT:$BT, "Albendazole &amp; Ivermectin",
'20102013 STH Efficacy'!$BZ:$BZ,"&lt;2014",
'20102013 STH Efficacy'!$CU:$CU,""),
"")</f>
        <v/>
      </c>
      <c r="BK43" s="136">
        <f t="shared" si="29"/>
        <v>1</v>
      </c>
      <c r="BL43" s="300" t="str">
        <f>IFERROR(
  AVERAGEIFS(
    'NEW 20102013 Onchocerciasis Eff'!$AO:$AO,
    'NEW 20102013 Onchocerciasis Eff'!$C:$C,$A43,
    'NEW 20102013 Onchocerciasis Eff'!$D:$D,"Ivermectin",
    'NEW 20102013 Onchocerciasis Eff'!$AR:$AR,"&lt;2014",
    'NEW 20102013 Onchocerciasis Eff'!$BG:$BG,"")
,"")</f>
        <v/>
      </c>
      <c r="BM43" s="304">
        <f t="shared" si="30"/>
        <v>0.8390421645</v>
      </c>
      <c r="BN43" s="305">
        <v>1.0</v>
      </c>
      <c r="BO43" s="139">
        <v>1.0</v>
      </c>
      <c r="BP43" s="140">
        <v>1.0</v>
      </c>
      <c r="BQ43" s="141">
        <f t="shared" si="31"/>
        <v>0</v>
      </c>
      <c r="BR43" s="104" t="str">
        <f t="shared" si="32"/>
        <v>1110</v>
      </c>
      <c r="BS43" s="104" t="str">
        <f t="shared" si="33"/>
        <v>MDA1+T2</v>
      </c>
      <c r="BT43" s="142" t="str">
        <f t="shared" si="34"/>
        <v>IVM+ALB</v>
      </c>
      <c r="BU43" s="104" t="str">
        <f t="shared" si="35"/>
        <v>PZQ</v>
      </c>
      <c r="BV43" s="104" t="str">
        <f t="shared" si="36"/>
        <v>lf+onch+schist </v>
      </c>
      <c r="BW43" s="150" t="str">
        <f t="shared" si="37"/>
        <v/>
      </c>
      <c r="BX43" s="312">
        <f t="shared" si="38"/>
        <v>807.9340966</v>
      </c>
      <c r="BY43" s="162">
        <f t="shared" si="39"/>
        <v>251.0986937</v>
      </c>
      <c r="BZ43" s="152" t="str">
        <f t="shared" si="40"/>
        <v/>
      </c>
      <c r="CA43" s="152" t="str">
        <f t="shared" si="41"/>
        <v/>
      </c>
      <c r="CB43" s="152" t="str">
        <f t="shared" si="42"/>
        <v/>
      </c>
      <c r="CC43" s="153" t="str">
        <f t="shared" si="43"/>
        <v/>
      </c>
      <c r="CD43" s="153" t="str">
        <f t="shared" si="44"/>
        <v/>
      </c>
      <c r="CE43" s="154" t="str">
        <f t="shared" si="45"/>
        <v/>
      </c>
      <c r="CF43" s="154" t="str">
        <f t="shared" si="46"/>
        <v/>
      </c>
      <c r="CG43" s="154" t="str">
        <f t="shared" si="47"/>
        <v/>
      </c>
      <c r="CH43" s="313">
        <f t="shared" si="48"/>
        <v>909.3016414</v>
      </c>
      <c r="CI43" s="299"/>
    </row>
    <row r="44">
      <c r="A44" s="103" t="s">
        <v>133</v>
      </c>
      <c r="B44" s="104" t="s">
        <v>92</v>
      </c>
      <c r="C44" s="105">
        <v>1.3133589E7</v>
      </c>
      <c r="D44" s="293">
        <v>13639.77</v>
      </c>
      <c r="E44" s="294">
        <v>28653.82246</v>
      </c>
      <c r="F44" s="309">
        <v>0.039411622</v>
      </c>
      <c r="G44" s="309">
        <v>0.200511256</v>
      </c>
      <c r="H44" s="157">
        <v>0.239922878</v>
      </c>
      <c r="I44" s="110">
        <v>1272.81082</v>
      </c>
      <c r="J44" s="110">
        <v>3416.87248</v>
      </c>
      <c r="K44" s="110">
        <v>4689.683297</v>
      </c>
      <c r="L44" s="111">
        <v>5423.359698</v>
      </c>
      <c r="M44" s="112">
        <v>558.2591097</v>
      </c>
      <c r="N44" s="111">
        <v>5981.618807</v>
      </c>
      <c r="O44" s="298">
        <v>12650.0865</v>
      </c>
      <c r="P44" s="160">
        <v>7270000.0</v>
      </c>
      <c r="Q44" s="156"/>
      <c r="R44" s="121">
        <f t="shared" si="11"/>
        <v>0</v>
      </c>
      <c r="S44" s="116">
        <f t="shared" si="12"/>
        <v>0.2589669834</v>
      </c>
      <c r="T44" s="130"/>
      <c r="U44" s="118">
        <f t="shared" si="13"/>
        <v>0.252</v>
      </c>
      <c r="V44" s="119">
        <v>1.0</v>
      </c>
      <c r="W44" s="120">
        <f t="shared" si="14"/>
        <v>1</v>
      </c>
      <c r="X44" s="148"/>
      <c r="Y44" s="120">
        <f t="shared" si="15"/>
        <v>0.5668291667</v>
      </c>
      <c r="Z44" s="310">
        <v>2514704.0</v>
      </c>
      <c r="AA44" s="310">
        <v>300245.0</v>
      </c>
      <c r="AB44" s="300">
        <f t="shared" si="16"/>
        <v>0.1193957619</v>
      </c>
      <c r="AC44" s="301">
        <f t="shared" si="17"/>
        <v>0.1193957619</v>
      </c>
      <c r="AD44" s="122">
        <v>0.0241</v>
      </c>
      <c r="AE44" s="123">
        <v>0.24</v>
      </c>
      <c r="AF44" s="123">
        <v>0.0646</v>
      </c>
      <c r="AG44" s="124">
        <v>0.0113</v>
      </c>
      <c r="AH44" s="124">
        <v>0.018005522</v>
      </c>
      <c r="AI44" s="125">
        <v>0.1148</v>
      </c>
      <c r="AJ44" s="125">
        <v>0.186214835</v>
      </c>
      <c r="AK44" s="127">
        <v>0.0118</v>
      </c>
      <c r="AL44" s="127">
        <v>0.0188</v>
      </c>
      <c r="AM44" s="302">
        <v>0.0146</v>
      </c>
      <c r="AN44" s="149" t="str">
        <f>IFERROR(
  AVERAGEIFS(
    'New 20102013 LF Efficacy'!$J:$J,
    'New 20102013 LF Efficacy'!$D:$D, $A44,
    'New 20102013 LF Efficacy'!$F:$F,"DEC", 
    'New 20102013 LF Efficacy'!$W:$W,"&lt;2014",
    'New 20102013 LF Efficacy'!$AA:$AA,""),
  ""
)</f>
        <v/>
      </c>
      <c r="AO44" s="115">
        <f t="shared" si="18"/>
        <v>0.31225</v>
      </c>
      <c r="AP44" s="121" t="str">
        <f>IFERROR(
AVERAGEIFS(
'New 20102013 LF Efficacy'!$J:$J,
'New 20102013 LF Efficacy'!$D:$D,$A44,
'New 20102013 LF Efficacy'!$F:$F,"Albendazole &amp; DEC",
'New 20102013 LF Efficacy'!$W:$W,"&lt;2014",
'New 20102013 LF Efficacy'!$AA:$AA,""),
"")
</f>
        <v/>
      </c>
      <c r="AQ44" s="115">
        <f t="shared" si="19"/>
        <v>0.4</v>
      </c>
      <c r="AR44" s="121" t="str">
        <f>IFERROR(
AVERAGEIFS(
'New 20102013 LF Efficacy'!$J:$J,
'New 20102013 LF Efficacy'!$D:$D,$A44,
'New 20102013 LF Efficacy'!$F:$F,"Albendazole &amp; Ivermectin", 
'New 20102013 LF Efficacy'!$W:$W,"&lt;2014",
'New 20102013 LF Efficacy'!$AA:$AA,""),"")</f>
        <v/>
      </c>
      <c r="AS44" s="115">
        <f t="shared" si="20"/>
        <v>0.2943125</v>
      </c>
      <c r="AT44" s="130" t="str">
        <f>IFERROR(AVERAGEIFS(
'20102013 Schist Efficacy'!$O:$O, 
'20102013 Schist Efficacy'!$C:$C,$A44, 
'20102013 Schist Efficacy'!$D:$D, "Praziquantel",
'20102013 Schist Efficacy'!$J:$J,"&lt;2014",
'20102013 Schist Efficacy'!$U:$U,""),
"")</f>
        <v/>
      </c>
      <c r="AU44" s="118">
        <f t="shared" si="21"/>
        <v>0.7192212527</v>
      </c>
      <c r="AV44" s="131" t="str">
        <f>IFERROR(AVERAGEIFS(
'20102013 STH Efficacy'!$AX:$AX, 
'20102013 STH Efficacy'!$AL:$AL, $A44, 
'20102013 STH Efficacy'!$AM:$AM, "Albendazole",
'20102013 STH Efficacy'!$AS:$AS,"&lt;2014",
'20102013 STH Efficacy'!$BP:$BP,""),
"")</f>
        <v/>
      </c>
      <c r="AW44" s="132">
        <f t="shared" si="22"/>
        <v>0.3816333333</v>
      </c>
      <c r="AX44" s="131" t="str">
        <f>IFERROR(AVERAGEIFS(
'20102013 STH Efficacy'!$AX:$AX, 
'20102013 STH Efficacy'!$AL:$AL, $A44, 
'20102013 STH Efficacy'!$AM:$AM, "Mebendazole",
'20102013 STH Efficacy'!$AS:$AS,"&lt;2014",
'20102013 STH Efficacy'!$BP:$BP,""),
"")</f>
        <v/>
      </c>
      <c r="AY44" s="132">
        <f t="shared" si="23"/>
        <v>0.5675833333</v>
      </c>
      <c r="AZ44" s="131" t="str">
        <f>IFERROR(AVERAGEIFS(
'20102013 STH Efficacy'!$AX:$AX, 
'20102013 STH Efficacy'!$AL:$AL, $A44, 
'20102013 STH Efficacy'!$AM:$AM, "Albendazole &amp; Ivermectin",
'20102013 STH Efficacy'!$AS:$AS,"&lt;2014",
'20102013 STH Efficacy'!$BP:$BP,""),
"")</f>
        <v/>
      </c>
      <c r="BA44" s="303">
        <f t="shared" si="24"/>
        <v>0.47175</v>
      </c>
      <c r="BB44" s="134" t="str">
        <f>IFERROR(AVERAGEIFS(
'20102013 STH Efficacy'!$N:$N, 
'20102013 STH Efficacy'!$B:$B, $A44, 
'20102013 STH Efficacy'!$C:$C, "Albendazole",
'20102013 STH Efficacy'!$I:$I,"&lt;2014",
'20102013 STH Efficacy'!$AH:$AH,""),
"")</f>
        <v/>
      </c>
      <c r="BC44" s="135">
        <f t="shared" si="25"/>
        <v>0.8699166667</v>
      </c>
      <c r="BD44" s="134" t="str">
        <f>IFERROR(AVERAGEIFS(
'20102013 STH Efficacy'!$N:$N, 
'20102013 STH Efficacy'!$B:$B, $A44, 
'20102013 STH Efficacy'!$C:$C, "Mebendazole",
'20102013 STH Efficacy'!$I:$I,"&lt;2014",
'20102013 STH Efficacy'!$AH:$AH,""),
"")</f>
        <v/>
      </c>
      <c r="BE44" s="135">
        <f t="shared" si="26"/>
        <v>0.7092416667</v>
      </c>
      <c r="BF44" s="128" t="str">
        <f>IFERROR(AVERAGEIFS(
'20102013 STH Efficacy'!$CD:$CD, 
'20102013 STH Efficacy'!$BS:$BS, $A44, 
'20102013 STH Efficacy'!$BT:$BT, "Albendazole",
'20102013 STH Efficacy'!$BZ:$BZ,"&lt;2014",
'20102013 STH Efficacy'!$CU:$CU,""),
"")</f>
        <v/>
      </c>
      <c r="BG44" s="136">
        <f t="shared" si="27"/>
        <v>0.9066666667</v>
      </c>
      <c r="BH44" s="128" t="str">
        <f>IFERROR(AVERAGEIFS(
'20102013 STH Efficacy'!$CD:$CD, 
'20102013 STH Efficacy'!$BS:$BS, $A44, 
'20102013 STH Efficacy'!$BT:$BT, "Mebendazole",
'20102013 STH Efficacy'!$BZ:$BZ,"&lt;2014",
'20102013 STH Efficacy'!$CU:$CU,""),
"")</f>
        <v/>
      </c>
      <c r="BI44" s="136">
        <f t="shared" si="28"/>
        <v>0.9358666667</v>
      </c>
      <c r="BJ44" s="128" t="str">
        <f>IFERROR(AVERAGEIFS(
'20102013 STH Efficacy'!$CD:$CD, 
'20102013 STH Efficacy'!$BS:$BS, $A44, 
'20102013 STH Efficacy'!$BT:$BT, "Albendazole &amp; Ivermectin",
'20102013 STH Efficacy'!$BZ:$BZ,"&lt;2014",
'20102013 STH Efficacy'!$CU:$CU,""),
"")</f>
        <v/>
      </c>
      <c r="BK44" s="136">
        <f t="shared" si="29"/>
        <v>1</v>
      </c>
      <c r="BL44" s="300" t="str">
        <f>IFERROR(
  AVERAGEIFS(
    'NEW 20102013 Onchocerciasis Eff'!$AO:$AO,
    'NEW 20102013 Onchocerciasis Eff'!$C:$C,$A44,
    'NEW 20102013 Onchocerciasis Eff'!$D:$D,"Ivermectin",
    'NEW 20102013 Onchocerciasis Eff'!$AR:$AR,"&lt;2014",
    'NEW 20102013 Onchocerciasis Eff'!$BG:$BG,"")
,"")</f>
        <v/>
      </c>
      <c r="BM44" s="304">
        <f t="shared" si="30"/>
        <v>0.8390421645</v>
      </c>
      <c r="BN44" s="305">
        <v>1.0</v>
      </c>
      <c r="BO44" s="139">
        <v>1.0</v>
      </c>
      <c r="BP44" s="140">
        <v>1.0</v>
      </c>
      <c r="BQ44" s="141">
        <f t="shared" si="31"/>
        <v>0</v>
      </c>
      <c r="BR44" s="104" t="str">
        <f t="shared" si="32"/>
        <v>1110</v>
      </c>
      <c r="BS44" s="104" t="str">
        <f t="shared" si="33"/>
        <v>MDA1+T2</v>
      </c>
      <c r="BT44" s="142" t="str">
        <f t="shared" si="34"/>
        <v>IVM+ALB</v>
      </c>
      <c r="BU44" s="104" t="str">
        <f t="shared" si="35"/>
        <v>PZQ</v>
      </c>
      <c r="BV44" s="104" t="str">
        <f t="shared" si="36"/>
        <v>lf+onch+schist </v>
      </c>
      <c r="BW44" s="150" t="str">
        <f t="shared" si="37"/>
        <v/>
      </c>
      <c r="BX44" s="312">
        <f t="shared" si="38"/>
        <v>1125.356932</v>
      </c>
      <c r="BY44" s="162">
        <f t="shared" si="39"/>
        <v>6342.945698</v>
      </c>
      <c r="BZ44" s="152" t="str">
        <f t="shared" si="40"/>
        <v/>
      </c>
      <c r="CA44" s="152" t="str">
        <f t="shared" si="41"/>
        <v/>
      </c>
      <c r="CB44" s="152" t="str">
        <f t="shared" si="42"/>
        <v/>
      </c>
      <c r="CC44" s="153" t="str">
        <f t="shared" si="43"/>
        <v/>
      </c>
      <c r="CD44" s="153" t="str">
        <f t="shared" si="44"/>
        <v/>
      </c>
      <c r="CE44" s="154" t="str">
        <f t="shared" si="45"/>
        <v/>
      </c>
      <c r="CF44" s="154" t="str">
        <f t="shared" si="46"/>
        <v/>
      </c>
      <c r="CG44" s="154" t="str">
        <f t="shared" si="47"/>
        <v/>
      </c>
      <c r="CH44" s="313">
        <f t="shared" si="48"/>
        <v>46.94489461</v>
      </c>
      <c r="CI44" s="299"/>
    </row>
    <row r="45">
      <c r="A45" s="103" t="s">
        <v>134</v>
      </c>
      <c r="B45" s="104" t="s">
        <v>98</v>
      </c>
      <c r="C45" s="105">
        <v>1.7462982E7</v>
      </c>
      <c r="D45" s="293">
        <v>0.0</v>
      </c>
      <c r="E45" s="294">
        <v>0.0</v>
      </c>
      <c r="F45" s="295">
        <v>1.621535969</v>
      </c>
      <c r="G45" s="295">
        <v>9.815390757</v>
      </c>
      <c r="H45" s="108">
        <v>11.43692673</v>
      </c>
      <c r="I45" s="109">
        <v>0.08108343</v>
      </c>
      <c r="J45" s="109">
        <v>0.04266926</v>
      </c>
      <c r="K45" s="110">
        <v>0.123752697</v>
      </c>
      <c r="L45" s="111">
        <v>81.10092252</v>
      </c>
      <c r="M45" s="112">
        <v>233.4293158</v>
      </c>
      <c r="N45" s="111">
        <v>314.5302384</v>
      </c>
      <c r="O45" s="298">
        <v>0.0</v>
      </c>
      <c r="P45" s="114"/>
      <c r="Q45" s="114"/>
      <c r="R45" s="121" t="str">
        <f t="shared" si="11"/>
        <v/>
      </c>
      <c r="S45" s="116">
        <f t="shared" si="12"/>
        <v>0.2288425133</v>
      </c>
      <c r="T45" s="130"/>
      <c r="U45" s="118">
        <f t="shared" si="13"/>
        <v>0.39435</v>
      </c>
      <c r="V45" s="148"/>
      <c r="W45" s="120">
        <f t="shared" si="14"/>
        <v>0.542475</v>
      </c>
      <c r="X45" s="148"/>
      <c r="Y45" s="120">
        <f t="shared" si="15"/>
        <v>0.6507333333</v>
      </c>
      <c r="Z45" s="299"/>
      <c r="AA45" s="299"/>
      <c r="AB45" s="300" t="str">
        <f t="shared" si="16"/>
        <v/>
      </c>
      <c r="AC45" s="301">
        <f t="shared" si="17"/>
        <v>0.3490201688</v>
      </c>
      <c r="AD45" s="122">
        <v>0.0</v>
      </c>
      <c r="AE45" s="123">
        <v>0.0</v>
      </c>
      <c r="AF45" s="123">
        <v>0.0</v>
      </c>
      <c r="AG45" s="124">
        <v>0.045</v>
      </c>
      <c r="AH45" s="124">
        <v>0.061260313</v>
      </c>
      <c r="AI45" s="125">
        <v>0.0</v>
      </c>
      <c r="AJ45" s="125">
        <v>9.22839E-6</v>
      </c>
      <c r="AK45" s="127">
        <v>0.1103</v>
      </c>
      <c r="AL45" s="127">
        <v>0.1494</v>
      </c>
      <c r="AM45" s="302">
        <v>0.0</v>
      </c>
      <c r="AN45" s="149" t="str">
        <f>IFERROR(
  AVERAGEIFS(
    'New 20102013 LF Efficacy'!$J:$J,
    'New 20102013 LF Efficacy'!$D:$D, $A45,
    'New 20102013 LF Efficacy'!$F:$F,"DEC", 
    'New 20102013 LF Efficacy'!$W:$W,"&lt;2014",
    'New 20102013 LF Efficacy'!$AA:$AA,""),
  ""
)</f>
        <v/>
      </c>
      <c r="AO45" s="115">
        <f t="shared" si="18"/>
        <v>0.2589833333</v>
      </c>
      <c r="AP45" s="121" t="str">
        <f>IFERROR(
AVERAGEIFS(
'New 20102013 LF Efficacy'!$J:$J,
'New 20102013 LF Efficacy'!$D:$D,$A45,
'New 20102013 LF Efficacy'!$F:$F,"Albendazole &amp; DEC",
'New 20102013 LF Efficacy'!$W:$W,"&lt;2014",
'New 20102013 LF Efficacy'!$AA:$AA,""),
"")
</f>
        <v/>
      </c>
      <c r="AQ45" s="115">
        <f t="shared" si="19"/>
        <v>0.3465</v>
      </c>
      <c r="AR45" s="121" t="str">
        <f>IFERROR(
AVERAGEIFS(
'New 20102013 LF Efficacy'!$J:$J,
'New 20102013 LF Efficacy'!$D:$D,$A45,
'New 20102013 LF Efficacy'!$F:$F,"Albendazole &amp; Ivermectin", 
'New 20102013 LF Efficacy'!$W:$W,"&lt;2014",
'New 20102013 LF Efficacy'!$AA:$AA,""),"")</f>
        <v/>
      </c>
      <c r="AS45" s="115">
        <f t="shared" si="20"/>
        <v>0.7575</v>
      </c>
      <c r="AT45" s="130" t="str">
        <f>IFERROR(AVERAGEIFS(
'20102013 Schist Efficacy'!$O:$O, 
'20102013 Schist Efficacy'!$C:$C,$A45, 
'20102013 Schist Efficacy'!$D:$D, "Praziquantel",
'20102013 Schist Efficacy'!$J:$J,"&lt;2014",
'20102013 Schist Efficacy'!$U:$U,""),
"")</f>
        <v/>
      </c>
      <c r="AU45" s="118">
        <f t="shared" si="21"/>
        <v>0.7914761905</v>
      </c>
      <c r="AV45" s="131" t="str">
        <f>IFERROR(AVERAGEIFS(
'20102013 STH Efficacy'!$AX:$AX, 
'20102013 STH Efficacy'!$AL:$AL, $A45, 
'20102013 STH Efficacy'!$AM:$AM, "Albendazole",
'20102013 STH Efficacy'!$AS:$AS,"&lt;2014",
'20102013 STH Efficacy'!$BP:$BP,""),
"")</f>
        <v/>
      </c>
      <c r="AW45" s="132">
        <f t="shared" si="22"/>
        <v>0.3945</v>
      </c>
      <c r="AX45" s="131" t="str">
        <f>IFERROR(AVERAGEIFS(
'20102013 STH Efficacy'!$AX:$AX, 
'20102013 STH Efficacy'!$AL:$AL, $A45, 
'20102013 STH Efficacy'!$AM:$AM, "Mebendazole",
'20102013 STH Efficacy'!$AS:$AS,"&lt;2014",
'20102013 STH Efficacy'!$BP:$BP,""),
"")</f>
        <v/>
      </c>
      <c r="AY45" s="132">
        <f t="shared" si="23"/>
        <v>0.6</v>
      </c>
      <c r="AZ45" s="131" t="str">
        <f>IFERROR(AVERAGEIFS(
'20102013 STH Efficacy'!$AX:$AX, 
'20102013 STH Efficacy'!$AL:$AL, $A45, 
'20102013 STH Efficacy'!$AM:$AM, "Albendazole &amp; Ivermectin",
'20102013 STH Efficacy'!$AS:$AS,"&lt;2014",
'20102013 STH Efficacy'!$BP:$BP,""),
"")</f>
        <v/>
      </c>
      <c r="BA45" s="303">
        <f t="shared" si="24"/>
        <v>0.796</v>
      </c>
      <c r="BB45" s="134" t="str">
        <f>IFERROR(AVERAGEIFS(
'20102013 STH Efficacy'!$N:$N, 
'20102013 STH Efficacy'!$B:$B, $A45, 
'20102013 STH Efficacy'!$C:$C, "Albendazole",
'20102013 STH Efficacy'!$I:$I,"&lt;2014",
'20102013 STH Efficacy'!$AH:$AH,""),
"")</f>
        <v/>
      </c>
      <c r="BC45" s="135">
        <f t="shared" si="25"/>
        <v>0.869</v>
      </c>
      <c r="BD45" s="134" t="str">
        <f>IFERROR(AVERAGEIFS(
'20102013 STH Efficacy'!$N:$N, 
'20102013 STH Efficacy'!$B:$B, $A45, 
'20102013 STH Efficacy'!$C:$C, "Mebendazole",
'20102013 STH Efficacy'!$I:$I,"&lt;2014",
'20102013 STH Efficacy'!$AH:$AH,""),
"")</f>
        <v/>
      </c>
      <c r="BE45" s="135">
        <f t="shared" si="26"/>
        <v>0.172</v>
      </c>
      <c r="BF45" s="128" t="str">
        <f>IFERROR(AVERAGEIFS(
'20102013 STH Efficacy'!$CD:$CD, 
'20102013 STH Efficacy'!$BS:$BS, $A45, 
'20102013 STH Efficacy'!$BT:$BT, "Albendazole",
'20102013 STH Efficacy'!$BZ:$BZ,"&lt;2014",
'20102013 STH Efficacy'!$CU:$CU,""),
"")</f>
        <v/>
      </c>
      <c r="BG45" s="136">
        <f t="shared" si="27"/>
        <v>0.9862</v>
      </c>
      <c r="BH45" s="128" t="str">
        <f>IFERROR(AVERAGEIFS(
'20102013 STH Efficacy'!$CD:$CD, 
'20102013 STH Efficacy'!$BS:$BS, $A45, 
'20102013 STH Efficacy'!$BT:$BT, "Mebendazole",
'20102013 STH Efficacy'!$BZ:$BZ,"&lt;2014",
'20102013 STH Efficacy'!$CU:$CU,""),
"")</f>
        <v/>
      </c>
      <c r="BI45" s="136">
        <f t="shared" si="28"/>
        <v>0.769</v>
      </c>
      <c r="BJ45" s="128" t="str">
        <f>IFERROR(AVERAGEIFS(
'20102013 STH Efficacy'!$CD:$CD, 
'20102013 STH Efficacy'!$BS:$BS, $A45, 
'20102013 STH Efficacy'!$BT:$BT, "Albendazole &amp; Ivermectin",
'20102013 STH Efficacy'!$BZ:$BZ,"&lt;2014",
'20102013 STH Efficacy'!$CU:$CU,""),
"")</f>
        <v/>
      </c>
      <c r="BK45" s="136">
        <f t="shared" si="29"/>
        <v>1</v>
      </c>
      <c r="BL45" s="300" t="str">
        <f>IFERROR(
  AVERAGEIFS(
    'NEW 20102013 Onchocerciasis Eff'!$AO:$AO,
    'NEW 20102013 Onchocerciasis Eff'!$C:$C,$A45,
    'NEW 20102013 Onchocerciasis Eff'!$D:$D,"Ivermectin",
    'NEW 20102013 Onchocerciasis Eff'!$AR:$AR,"&lt;2014",
    'NEW 20102013 Onchocerciasis Eff'!$BG:$BG,"")
,"")</f>
        <v/>
      </c>
      <c r="BM45" s="304">
        <f t="shared" si="30"/>
        <v>0.3734</v>
      </c>
      <c r="BN45" s="305">
        <v>0.0</v>
      </c>
      <c r="BO45" s="139">
        <v>0.0</v>
      </c>
      <c r="BP45" s="140">
        <v>0.0</v>
      </c>
      <c r="BQ45" s="141">
        <f t="shared" si="31"/>
        <v>0</v>
      </c>
      <c r="BR45" s="104" t="str">
        <f t="shared" si="32"/>
        <v>0000</v>
      </c>
      <c r="BS45" s="104" t="str">
        <f t="shared" si="33"/>
        <v>no action required</v>
      </c>
      <c r="BT45" s="142" t="str">
        <f t="shared" si="34"/>
        <v/>
      </c>
      <c r="BU45" s="104" t="str">
        <f t="shared" si="35"/>
        <v/>
      </c>
      <c r="BV45" s="104" t="str">
        <f t="shared" si="36"/>
        <v>none</v>
      </c>
      <c r="BW45" s="150" t="str">
        <f t="shared" si="37"/>
        <v/>
      </c>
      <c r="BX45" s="150" t="str">
        <f t="shared" si="38"/>
        <v/>
      </c>
      <c r="BY45" s="151" t="str">
        <f t="shared" si="39"/>
        <v/>
      </c>
      <c r="BZ45" s="152" t="str">
        <f t="shared" si="40"/>
        <v/>
      </c>
      <c r="CA45" s="152" t="str">
        <f t="shared" si="41"/>
        <v/>
      </c>
      <c r="CB45" s="152" t="str">
        <f t="shared" si="42"/>
        <v/>
      </c>
      <c r="CC45" s="153" t="str">
        <f t="shared" si="43"/>
        <v/>
      </c>
      <c r="CD45" s="153" t="str">
        <f t="shared" si="44"/>
        <v/>
      </c>
      <c r="CE45" s="154" t="str">
        <f t="shared" si="45"/>
        <v/>
      </c>
      <c r="CF45" s="154" t="str">
        <f t="shared" si="46"/>
        <v/>
      </c>
      <c r="CG45" s="154" t="str">
        <f t="shared" si="47"/>
        <v/>
      </c>
      <c r="CH45" s="308" t="str">
        <f t="shared" si="48"/>
        <v/>
      </c>
      <c r="CI45" s="299"/>
    </row>
    <row r="46">
      <c r="A46" s="103" t="s">
        <v>135</v>
      </c>
      <c r="B46" s="104" t="s">
        <v>94</v>
      </c>
      <c r="C46" s="105">
        <v>1.35738E9</v>
      </c>
      <c r="D46" s="293">
        <v>0.0</v>
      </c>
      <c r="E46" s="321">
        <v>34174.36369</v>
      </c>
      <c r="F46" s="322">
        <v>239.7409462</v>
      </c>
      <c r="G46" s="322">
        <v>1675.67836</v>
      </c>
      <c r="H46" s="157">
        <v>1915.419306</v>
      </c>
      <c r="I46" s="110">
        <v>7854.5807</v>
      </c>
      <c r="J46" s="110">
        <v>23010.4477</v>
      </c>
      <c r="K46" s="110">
        <v>30865.02842</v>
      </c>
      <c r="L46" s="111">
        <v>2390.294927</v>
      </c>
      <c r="M46" s="111">
        <v>5024.17368</v>
      </c>
      <c r="N46" s="111">
        <v>7414.468607</v>
      </c>
      <c r="O46" s="298">
        <v>0.0</v>
      </c>
      <c r="P46" s="114"/>
      <c r="Q46" s="114"/>
      <c r="R46" s="121" t="str">
        <f t="shared" si="11"/>
        <v/>
      </c>
      <c r="S46" s="116">
        <f t="shared" si="12"/>
        <v>0.403639098</v>
      </c>
      <c r="T46" s="130"/>
      <c r="U46" s="118">
        <f t="shared" si="13"/>
        <v>0.6259666667</v>
      </c>
      <c r="V46" s="148"/>
      <c r="W46" s="120">
        <f t="shared" si="14"/>
        <v>0.3807857143</v>
      </c>
      <c r="X46" s="148"/>
      <c r="Y46" s="120">
        <f t="shared" si="15"/>
        <v>0.3971375</v>
      </c>
      <c r="Z46" s="299"/>
      <c r="AA46" s="299"/>
      <c r="AB46" s="300" t="str">
        <f t="shared" si="16"/>
        <v/>
      </c>
      <c r="AC46" s="301">
        <f t="shared" si="17"/>
        <v>0.6295826791</v>
      </c>
      <c r="AD46" s="122">
        <v>0.0</v>
      </c>
      <c r="AE46" s="123">
        <v>0.0</v>
      </c>
      <c r="AF46" s="123">
        <v>1.0E-4</v>
      </c>
      <c r="AG46" s="124">
        <v>0.0418</v>
      </c>
      <c r="AH46" s="124">
        <v>0.065108817</v>
      </c>
      <c r="AI46" s="125">
        <v>0.0274</v>
      </c>
      <c r="AJ46" s="125">
        <v>0.043720092</v>
      </c>
      <c r="AK46" s="127">
        <v>0.0593</v>
      </c>
      <c r="AL46" s="127">
        <v>0.0949</v>
      </c>
      <c r="AM46" s="302">
        <v>0.0</v>
      </c>
      <c r="AN46" s="149" t="str">
        <f>IFERROR(
  AVERAGEIFS(
    'New 20102013 LF Efficacy'!$J:$J,
    'New 20102013 LF Efficacy'!$D:$D, $A46,
    'New 20102013 LF Efficacy'!$F:$F,"DEC", 
    'New 20102013 LF Efficacy'!$W:$W,"&lt;2014",
    'New 20102013 LF Efficacy'!$AA:$AA,""),
  ""
)</f>
        <v/>
      </c>
      <c r="AO46" s="115">
        <f t="shared" si="18"/>
        <v>0.38</v>
      </c>
      <c r="AP46" s="121" t="str">
        <f>IFERROR(
AVERAGEIFS(
'New 20102013 LF Efficacy'!$J:$J,
'New 20102013 LF Efficacy'!$D:$D,$A46,
'New 20102013 LF Efficacy'!$F:$F,"Albendazole &amp; DEC",
'New 20102013 LF Efficacy'!$W:$W,"&lt;2014",
'New 20102013 LF Efficacy'!$AA:$AA,""),
"")
</f>
        <v/>
      </c>
      <c r="AQ46" s="115">
        <f t="shared" si="19"/>
        <v>0.657</v>
      </c>
      <c r="AR46" s="121" t="str">
        <f>IFERROR(
AVERAGEIFS(
'New 20102013 LF Efficacy'!$J:$J,
'New 20102013 LF Efficacy'!$D:$D,$A46,
'New 20102013 LF Efficacy'!$F:$F,"Albendazole &amp; Ivermectin", 
'New 20102013 LF Efficacy'!$W:$W,"&lt;2014",
'New 20102013 LF Efficacy'!$AA:$AA,""),"")</f>
        <v/>
      </c>
      <c r="AS46" s="115">
        <f t="shared" si="20"/>
        <v>0.37153125</v>
      </c>
      <c r="AT46" s="130">
        <f>IFERROR(AVERAGEIFS(
'20102013 Schist Efficacy'!$O:$O, 
'20102013 Schist Efficacy'!$C:$C,$A46, 
'20102013 Schist Efficacy'!$D:$D, "Praziquantel",
'20102013 Schist Efficacy'!$J:$J,"&lt;2014",
'20102013 Schist Efficacy'!$U:$U,""),
"")</f>
        <v>0.95</v>
      </c>
      <c r="AU46" s="118">
        <f t="shared" si="21"/>
        <v>0.95</v>
      </c>
      <c r="AV46" s="131">
        <f>IFERROR(AVERAGEIFS(
'20102013 STH Efficacy'!$AX:$AX, 
'20102013 STH Efficacy'!$AL:$AL, $A46, 
'20102013 STH Efficacy'!$AM:$AM, "Albendazole",
'20102013 STH Efficacy'!$AS:$AS,"&lt;2014",
'20102013 STH Efficacy'!$BP:$BP,""),
"")</f>
        <v>0.4235</v>
      </c>
      <c r="AW46" s="132">
        <f t="shared" si="22"/>
        <v>0.4235</v>
      </c>
      <c r="AX46" s="131">
        <f>IFERROR(AVERAGEIFS(
'20102013 STH Efficacy'!$AX:$AX, 
'20102013 STH Efficacy'!$AL:$AL, $A46, 
'20102013 STH Efficacy'!$AM:$AM, "Mebendazole",
'20102013 STH Efficacy'!$AS:$AS,"&lt;2014",
'20102013 STH Efficacy'!$BP:$BP,""),
"")</f>
        <v>0.552</v>
      </c>
      <c r="AY46" s="132">
        <f t="shared" si="23"/>
        <v>0.552</v>
      </c>
      <c r="AZ46" s="131" t="str">
        <f>IFERROR(AVERAGEIFS(
'20102013 STH Efficacy'!$AX:$AX, 
'20102013 STH Efficacy'!$AL:$AL, $A46, 
'20102013 STH Efficacy'!$AM:$AM, "Albendazole &amp; Ivermectin",
'20102013 STH Efficacy'!$AS:$AS,"&lt;2014",
'20102013 STH Efficacy'!$BP:$BP,""),
"")</f>
        <v/>
      </c>
      <c r="BA46" s="303">
        <f t="shared" si="24"/>
        <v>0.651</v>
      </c>
      <c r="BB46" s="134">
        <f>IFERROR(AVERAGEIFS(
'20102013 STH Efficacy'!$N:$N, 
'20102013 STH Efficacy'!$B:$B, $A46, 
'20102013 STH Efficacy'!$C:$C, "Albendazole",
'20102013 STH Efficacy'!$I:$I,"&lt;2014",
'20102013 STH Efficacy'!$AH:$AH,""),
"")</f>
        <v>0.75075</v>
      </c>
      <c r="BC46" s="135">
        <f t="shared" si="25"/>
        <v>0.75075</v>
      </c>
      <c r="BD46" s="134">
        <f>IFERROR(AVERAGEIFS(
'20102013 STH Efficacy'!$N:$N, 
'20102013 STH Efficacy'!$B:$B, $A46, 
'20102013 STH Efficacy'!$C:$C, "Mebendazole",
'20102013 STH Efficacy'!$I:$I,"&lt;2014",
'20102013 STH Efficacy'!$AH:$AH,""),
"")</f>
        <v>0.4475</v>
      </c>
      <c r="BE46" s="135">
        <f t="shared" si="26"/>
        <v>0.4475</v>
      </c>
      <c r="BF46" s="128">
        <f>IFERROR(AVERAGEIFS(
'20102013 STH Efficacy'!$CD:$CD, 
'20102013 STH Efficacy'!$BS:$BS, $A46, 
'20102013 STH Efficacy'!$BT:$BT, "Albendazole",
'20102013 STH Efficacy'!$BZ:$BZ,"&lt;2014",
'20102013 STH Efficacy'!$CU:$CU,""),
"")</f>
        <v>0.9645</v>
      </c>
      <c r="BG46" s="136">
        <f t="shared" si="27"/>
        <v>0.9645</v>
      </c>
      <c r="BH46" s="128">
        <f>IFERROR(AVERAGEIFS(
'20102013 STH Efficacy'!$CD:$CD, 
'20102013 STH Efficacy'!$BS:$BS, $A46, 
'20102013 STH Efficacy'!$BT:$BT, "Mebendazole",
'20102013 STH Efficacy'!$BZ:$BZ,"&lt;2014",
'20102013 STH Efficacy'!$CU:$CU,""),
"")</f>
        <v>0.9305</v>
      </c>
      <c r="BI46" s="136">
        <f t="shared" si="28"/>
        <v>0.9305</v>
      </c>
      <c r="BJ46" s="128" t="str">
        <f>IFERROR(AVERAGEIFS(
'20102013 STH Efficacy'!$CD:$CD, 
'20102013 STH Efficacy'!$BS:$BS, $A46, 
'20102013 STH Efficacy'!$BT:$BT, "Albendazole &amp; Ivermectin",
'20102013 STH Efficacy'!$BZ:$BZ,"&lt;2014",
'20102013 STH Efficacy'!$CU:$CU,""),
"")</f>
        <v/>
      </c>
      <c r="BK46" s="136">
        <f t="shared" si="29"/>
        <v>1</v>
      </c>
      <c r="BL46" s="300" t="str">
        <f>IFERROR(
  AVERAGEIFS(
    'NEW 20102013 Onchocerciasis Eff'!$AO:$AO,
    'NEW 20102013 Onchocerciasis Eff'!$C:$C,$A46,
    'NEW 20102013 Onchocerciasis Eff'!$D:$D,"Ivermectin",
    'NEW 20102013 Onchocerciasis Eff'!$AR:$AR,"&lt;2014",
    'NEW 20102013 Onchocerciasis Eff'!$BG:$BG,"")
,"")</f>
        <v/>
      </c>
      <c r="BM46" s="304">
        <f t="shared" si="30"/>
        <v>0.7808368939</v>
      </c>
      <c r="BN46" s="305">
        <v>0.0</v>
      </c>
      <c r="BO46" s="139">
        <v>1.0</v>
      </c>
      <c r="BP46" s="140">
        <v>1.0</v>
      </c>
      <c r="BQ46" s="141">
        <f t="shared" si="31"/>
        <v>0</v>
      </c>
      <c r="BR46" s="104" t="str">
        <f t="shared" si="32"/>
        <v>0110</v>
      </c>
      <c r="BS46" s="104" t="str">
        <f t="shared" si="33"/>
        <v>MDA3+T2</v>
      </c>
      <c r="BT46" s="142" t="str">
        <f t="shared" si="34"/>
        <v>IVM</v>
      </c>
      <c r="BU46" s="104" t="str">
        <f t="shared" si="35"/>
        <v>PZQ</v>
      </c>
      <c r="BV46" s="104" t="str">
        <f t="shared" si="36"/>
        <v>onch+schist</v>
      </c>
      <c r="BW46" s="150" t="str">
        <f t="shared" si="37"/>
        <v/>
      </c>
      <c r="BX46" s="150" t="str">
        <f t="shared" si="38"/>
        <v/>
      </c>
      <c r="BY46" s="162">
        <f t="shared" si="39"/>
        <v>50137.73551</v>
      </c>
      <c r="BZ46" s="152" t="str">
        <f t="shared" si="40"/>
        <v/>
      </c>
      <c r="CA46" s="152" t="str">
        <f t="shared" si="41"/>
        <v/>
      </c>
      <c r="CB46" s="152" t="str">
        <f t="shared" si="42"/>
        <v/>
      </c>
      <c r="CC46" s="153" t="str">
        <f t="shared" si="43"/>
        <v/>
      </c>
      <c r="CD46" s="153" t="str">
        <f t="shared" si="44"/>
        <v/>
      </c>
      <c r="CE46" s="154" t="str">
        <f t="shared" si="45"/>
        <v/>
      </c>
      <c r="CF46" s="154" t="str">
        <f t="shared" si="46"/>
        <v/>
      </c>
      <c r="CG46" s="154" t="str">
        <f t="shared" si="47"/>
        <v/>
      </c>
      <c r="CH46" s="313">
        <f t="shared" si="48"/>
        <v>0</v>
      </c>
      <c r="CI46" s="299"/>
    </row>
    <row r="47">
      <c r="A47" s="155" t="s">
        <v>136</v>
      </c>
      <c r="B47" s="104" t="s">
        <v>94</v>
      </c>
      <c r="C47" s="105">
        <v>7187500.0</v>
      </c>
      <c r="D47" s="293">
        <v>0.0</v>
      </c>
      <c r="E47" s="294">
        <v>0.0</v>
      </c>
      <c r="F47" s="163"/>
      <c r="G47" s="163"/>
      <c r="H47" s="108">
        <v>0.0</v>
      </c>
      <c r="I47" s="109">
        <v>0.0</v>
      </c>
      <c r="J47" s="109">
        <v>0.0</v>
      </c>
      <c r="K47" s="109">
        <v>0.0</v>
      </c>
      <c r="L47" s="113"/>
      <c r="M47" s="113"/>
      <c r="N47" s="111">
        <v>0.0</v>
      </c>
      <c r="O47" s="298">
        <v>0.0</v>
      </c>
      <c r="P47" s="114"/>
      <c r="Q47" s="114"/>
      <c r="R47" s="121" t="str">
        <f t="shared" si="11"/>
        <v/>
      </c>
      <c r="S47" s="116">
        <f t="shared" si="12"/>
        <v>0.403639098</v>
      </c>
      <c r="T47" s="130"/>
      <c r="U47" s="118">
        <f t="shared" si="13"/>
        <v>0.6259666667</v>
      </c>
      <c r="V47" s="148"/>
      <c r="W47" s="120">
        <f t="shared" si="14"/>
        <v>0.3807857143</v>
      </c>
      <c r="X47" s="148"/>
      <c r="Y47" s="120">
        <f t="shared" si="15"/>
        <v>0.3971375</v>
      </c>
      <c r="Z47" s="299"/>
      <c r="AA47" s="299"/>
      <c r="AB47" s="300" t="str">
        <f t="shared" si="16"/>
        <v/>
      </c>
      <c r="AC47" s="301">
        <f t="shared" si="17"/>
        <v>0.6295826791</v>
      </c>
      <c r="AD47" s="314">
        <v>0.0</v>
      </c>
      <c r="AE47" s="315">
        <v>0.0</v>
      </c>
      <c r="AF47" s="166">
        <v>0.0</v>
      </c>
      <c r="AG47" s="316">
        <v>0.0</v>
      </c>
      <c r="AH47" s="307">
        <v>0.0</v>
      </c>
      <c r="AI47" s="317">
        <v>0.0</v>
      </c>
      <c r="AJ47" s="318">
        <v>0.0</v>
      </c>
      <c r="AK47" s="319">
        <v>0.0</v>
      </c>
      <c r="AL47" s="319">
        <v>0.0</v>
      </c>
      <c r="AM47" s="320">
        <v>0.0</v>
      </c>
      <c r="AN47" s="149" t="str">
        <f>IFERROR(
  AVERAGEIFS(
    'New 20102013 LF Efficacy'!$J:$J,
    'New 20102013 LF Efficacy'!$D:$D, $A47,
    'New 20102013 LF Efficacy'!$F:$F,"DEC", 
    'New 20102013 LF Efficacy'!$W:$W,"&lt;2014",
    'New 20102013 LF Efficacy'!$AA:$AA,""),
  ""
)</f>
        <v/>
      </c>
      <c r="AO47" s="115">
        <f t="shared" si="18"/>
        <v>0.38</v>
      </c>
      <c r="AP47" s="121" t="str">
        <f>IFERROR(
AVERAGEIFS(
'New 20102013 LF Efficacy'!$J:$J,
'New 20102013 LF Efficacy'!$D:$D,$A47,
'New 20102013 LF Efficacy'!$F:$F,"Albendazole &amp; DEC",
'New 20102013 LF Efficacy'!$W:$W,"&lt;2014",
'New 20102013 LF Efficacy'!$AA:$AA,""),
"")
</f>
        <v/>
      </c>
      <c r="AQ47" s="115">
        <f t="shared" si="19"/>
        <v>0.657</v>
      </c>
      <c r="AR47" s="121" t="str">
        <f>IFERROR(
AVERAGEIFS(
'New 20102013 LF Efficacy'!$J:$J,
'New 20102013 LF Efficacy'!$D:$D,$A47,
'New 20102013 LF Efficacy'!$F:$F,"Albendazole &amp; Ivermectin", 
'New 20102013 LF Efficacy'!$W:$W,"&lt;2014",
'New 20102013 LF Efficacy'!$AA:$AA,""),"")</f>
        <v/>
      </c>
      <c r="AS47" s="115">
        <f t="shared" si="20"/>
        <v>0.37153125</v>
      </c>
      <c r="AT47" s="130" t="str">
        <f>IFERROR(AVERAGEIFS(
'20102013 Schist Efficacy'!$O:$O, 
'20102013 Schist Efficacy'!$C:$C,$A47, 
'20102013 Schist Efficacy'!$D:$D, "Praziquantel",
'20102013 Schist Efficacy'!$J:$J,"&lt;2014",
'20102013 Schist Efficacy'!$U:$U,""),
"")</f>
        <v/>
      </c>
      <c r="AU47" s="118">
        <f t="shared" si="21"/>
        <v>0.9475</v>
      </c>
      <c r="AV47" s="131" t="str">
        <f>IFERROR(AVERAGEIFS(
'20102013 STH Efficacy'!$AX:$AX, 
'20102013 STH Efficacy'!$AL:$AL, $A47, 
'20102013 STH Efficacy'!$AM:$AM, "Albendazole",
'20102013 STH Efficacy'!$AS:$AS,"&lt;2014",
'20102013 STH Efficacy'!$BP:$BP,""),
"")</f>
        <v/>
      </c>
      <c r="AW47" s="132">
        <f t="shared" si="22"/>
        <v>0.3571666667</v>
      </c>
      <c r="AX47" s="131" t="str">
        <f>IFERROR(AVERAGEIFS(
'20102013 STH Efficacy'!$AX:$AX, 
'20102013 STH Efficacy'!$AL:$AL, $A47, 
'20102013 STH Efficacy'!$AM:$AM, "Mebendazole",
'20102013 STH Efficacy'!$AS:$AS,"&lt;2014",
'20102013 STH Efficacy'!$BP:$BP,""),
"")</f>
        <v/>
      </c>
      <c r="AY47" s="132">
        <f t="shared" si="23"/>
        <v>0.4155</v>
      </c>
      <c r="AZ47" s="131" t="str">
        <f>IFERROR(AVERAGEIFS(
'20102013 STH Efficacy'!$AX:$AX, 
'20102013 STH Efficacy'!$AL:$AL, $A47, 
'20102013 STH Efficacy'!$AM:$AM, "Albendazole &amp; Ivermectin",
'20102013 STH Efficacy'!$AS:$AS,"&lt;2014",
'20102013 STH Efficacy'!$BP:$BP,""),
"")</f>
        <v/>
      </c>
      <c r="BA47" s="303">
        <f t="shared" si="24"/>
        <v>0.651</v>
      </c>
      <c r="BB47" s="134" t="str">
        <f>IFERROR(AVERAGEIFS(
'20102013 STH Efficacy'!$N:$N, 
'20102013 STH Efficacy'!$B:$B, $A47, 
'20102013 STH Efficacy'!$C:$C, "Albendazole",
'20102013 STH Efficacy'!$I:$I,"&lt;2014",
'20102013 STH Efficacy'!$AH:$AH,""),
"")</f>
        <v/>
      </c>
      <c r="BC47" s="135">
        <f t="shared" si="25"/>
        <v>0.5769166667</v>
      </c>
      <c r="BD47" s="134" t="str">
        <f>IFERROR(AVERAGEIFS(
'20102013 STH Efficacy'!$N:$N, 
'20102013 STH Efficacy'!$B:$B, $A47, 
'20102013 STH Efficacy'!$C:$C, "Mebendazole",
'20102013 STH Efficacy'!$I:$I,"&lt;2014",
'20102013 STH Efficacy'!$AH:$AH,""),
"")</f>
        <v/>
      </c>
      <c r="BE47" s="135">
        <f t="shared" si="26"/>
        <v>0.3145</v>
      </c>
      <c r="BF47" s="128" t="str">
        <f>IFERROR(AVERAGEIFS(
'20102013 STH Efficacy'!$CD:$CD, 
'20102013 STH Efficacy'!$BS:$BS, $A47, 
'20102013 STH Efficacy'!$BT:$BT, "Albendazole",
'20102013 STH Efficacy'!$BZ:$BZ,"&lt;2014",
'20102013 STH Efficacy'!$CU:$CU,""),
"")</f>
        <v/>
      </c>
      <c r="BG47" s="136">
        <f t="shared" si="27"/>
        <v>0.96925</v>
      </c>
      <c r="BH47" s="128" t="str">
        <f>IFERROR(AVERAGEIFS(
'20102013 STH Efficacy'!$CD:$CD, 
'20102013 STH Efficacy'!$BS:$BS, $A47, 
'20102013 STH Efficacy'!$BT:$BT, "Mebendazole",
'20102013 STH Efficacy'!$BZ:$BZ,"&lt;2014",
'20102013 STH Efficacy'!$CU:$CU,""),
"")</f>
        <v/>
      </c>
      <c r="BI47" s="136">
        <f t="shared" si="28"/>
        <v>0.9305</v>
      </c>
      <c r="BJ47" s="128" t="str">
        <f>IFERROR(AVERAGEIFS(
'20102013 STH Efficacy'!$CD:$CD, 
'20102013 STH Efficacy'!$BS:$BS, $A47, 
'20102013 STH Efficacy'!$BT:$BT, "Albendazole &amp; Ivermectin",
'20102013 STH Efficacy'!$BZ:$BZ,"&lt;2014",
'20102013 STH Efficacy'!$CU:$CU,""),
"")</f>
        <v/>
      </c>
      <c r="BK47" s="136">
        <f t="shared" si="29"/>
        <v>1</v>
      </c>
      <c r="BL47" s="300" t="str">
        <f>IFERROR(
  AVERAGEIFS(
    'NEW 20102013 Onchocerciasis Eff'!$AO:$AO,
    'NEW 20102013 Onchocerciasis Eff'!$C:$C,$A47,
    'NEW 20102013 Onchocerciasis Eff'!$D:$D,"Ivermectin",
    'NEW 20102013 Onchocerciasis Eff'!$AR:$AR,"&lt;2014",
    'NEW 20102013 Onchocerciasis Eff'!$BG:$BG,"")
,"")</f>
        <v/>
      </c>
      <c r="BM47" s="304">
        <f t="shared" si="30"/>
        <v>0.7808368939</v>
      </c>
      <c r="BN47" s="305">
        <v>0.0</v>
      </c>
      <c r="BO47" s="139">
        <v>0.0</v>
      </c>
      <c r="BP47" s="140">
        <v>0.0</v>
      </c>
      <c r="BQ47" s="141">
        <f t="shared" si="31"/>
        <v>0</v>
      </c>
      <c r="BR47" s="104" t="str">
        <f t="shared" si="32"/>
        <v>0000</v>
      </c>
      <c r="BS47" s="104" t="str">
        <f t="shared" si="33"/>
        <v>no action required</v>
      </c>
      <c r="BT47" s="142" t="str">
        <f t="shared" si="34"/>
        <v/>
      </c>
      <c r="BU47" s="104" t="str">
        <f t="shared" si="35"/>
        <v/>
      </c>
      <c r="BV47" s="104" t="str">
        <f t="shared" si="36"/>
        <v>none</v>
      </c>
      <c r="BW47" s="150" t="str">
        <f t="shared" si="37"/>
        <v/>
      </c>
      <c r="BX47" s="150" t="str">
        <f t="shared" si="38"/>
        <v/>
      </c>
      <c r="BY47" s="151" t="str">
        <f t="shared" si="39"/>
        <v/>
      </c>
      <c r="BZ47" s="152" t="str">
        <f t="shared" si="40"/>
        <v/>
      </c>
      <c r="CA47" s="152" t="str">
        <f t="shared" si="41"/>
        <v/>
      </c>
      <c r="CB47" s="152" t="str">
        <f t="shared" si="42"/>
        <v/>
      </c>
      <c r="CC47" s="153" t="str">
        <f t="shared" si="43"/>
        <v/>
      </c>
      <c r="CD47" s="153" t="str">
        <f t="shared" si="44"/>
        <v/>
      </c>
      <c r="CE47" s="154" t="str">
        <f t="shared" si="45"/>
        <v/>
      </c>
      <c r="CF47" s="154" t="str">
        <f t="shared" si="46"/>
        <v/>
      </c>
      <c r="CG47" s="154" t="str">
        <f t="shared" si="47"/>
        <v/>
      </c>
      <c r="CH47" s="308" t="str">
        <f t="shared" si="48"/>
        <v/>
      </c>
      <c r="CI47" s="299"/>
    </row>
    <row r="48">
      <c r="A48" s="155" t="s">
        <v>137</v>
      </c>
      <c r="B48" s="104" t="s">
        <v>94</v>
      </c>
      <c r="C48" s="105">
        <v>575841.0</v>
      </c>
      <c r="D48" s="293">
        <v>0.0</v>
      </c>
      <c r="E48" s="294">
        <v>0.0</v>
      </c>
      <c r="F48" s="163"/>
      <c r="G48" s="163"/>
      <c r="H48" s="108">
        <v>0.0</v>
      </c>
      <c r="I48" s="109">
        <v>0.0</v>
      </c>
      <c r="J48" s="109">
        <v>0.0</v>
      </c>
      <c r="K48" s="109">
        <v>0.0</v>
      </c>
      <c r="L48" s="113"/>
      <c r="M48" s="113"/>
      <c r="N48" s="111">
        <v>0.0</v>
      </c>
      <c r="O48" s="298">
        <v>0.0</v>
      </c>
      <c r="P48" s="114"/>
      <c r="Q48" s="114"/>
      <c r="R48" s="121" t="str">
        <f t="shared" si="11"/>
        <v/>
      </c>
      <c r="S48" s="116">
        <f t="shared" si="12"/>
        <v>0.403639098</v>
      </c>
      <c r="T48" s="130"/>
      <c r="U48" s="118">
        <f t="shared" si="13"/>
        <v>0.6259666667</v>
      </c>
      <c r="V48" s="148"/>
      <c r="W48" s="120">
        <f t="shared" si="14"/>
        <v>0.3807857143</v>
      </c>
      <c r="X48" s="148"/>
      <c r="Y48" s="120">
        <f t="shared" si="15"/>
        <v>0.3971375</v>
      </c>
      <c r="Z48" s="299"/>
      <c r="AA48" s="299"/>
      <c r="AB48" s="300" t="str">
        <f t="shared" si="16"/>
        <v/>
      </c>
      <c r="AC48" s="301">
        <f t="shared" si="17"/>
        <v>0.6295826791</v>
      </c>
      <c r="AD48" s="314">
        <v>0.0</v>
      </c>
      <c r="AE48" s="315">
        <v>0.0</v>
      </c>
      <c r="AF48" s="166">
        <v>0.0</v>
      </c>
      <c r="AG48" s="316">
        <v>0.0</v>
      </c>
      <c r="AH48" s="307">
        <v>0.0</v>
      </c>
      <c r="AI48" s="317">
        <v>0.0</v>
      </c>
      <c r="AJ48" s="318">
        <v>0.0</v>
      </c>
      <c r="AK48" s="319">
        <v>0.0</v>
      </c>
      <c r="AL48" s="319">
        <v>0.0</v>
      </c>
      <c r="AM48" s="320">
        <v>0.0</v>
      </c>
      <c r="AN48" s="149" t="str">
        <f>IFERROR(
  AVERAGEIFS(
    'New 20102013 LF Efficacy'!$J:$J,
    'New 20102013 LF Efficacy'!$D:$D, $A48,
    'New 20102013 LF Efficacy'!$F:$F,"DEC", 
    'New 20102013 LF Efficacy'!$W:$W,"&lt;2014",
    'New 20102013 LF Efficacy'!$AA:$AA,""),
  ""
)</f>
        <v/>
      </c>
      <c r="AO48" s="115">
        <f t="shared" si="18"/>
        <v>0.38</v>
      </c>
      <c r="AP48" s="121" t="str">
        <f>IFERROR(
AVERAGEIFS(
'New 20102013 LF Efficacy'!$J:$J,
'New 20102013 LF Efficacy'!$D:$D,$A48,
'New 20102013 LF Efficacy'!$F:$F,"Albendazole &amp; DEC",
'New 20102013 LF Efficacy'!$W:$W,"&lt;2014",
'New 20102013 LF Efficacy'!$AA:$AA,""),
"")
</f>
        <v/>
      </c>
      <c r="AQ48" s="115">
        <f t="shared" si="19"/>
        <v>0.657</v>
      </c>
      <c r="AR48" s="121" t="str">
        <f>IFERROR(
AVERAGEIFS(
'New 20102013 LF Efficacy'!$J:$J,
'New 20102013 LF Efficacy'!$D:$D,$A48,
'New 20102013 LF Efficacy'!$F:$F,"Albendazole &amp; Ivermectin", 
'New 20102013 LF Efficacy'!$W:$W,"&lt;2014",
'New 20102013 LF Efficacy'!$AA:$AA,""),"")</f>
        <v/>
      </c>
      <c r="AS48" s="115">
        <f t="shared" si="20"/>
        <v>0.37153125</v>
      </c>
      <c r="AT48" s="130" t="str">
        <f>IFERROR(AVERAGEIFS(
'20102013 Schist Efficacy'!$O:$O, 
'20102013 Schist Efficacy'!$C:$C,$A48, 
'20102013 Schist Efficacy'!$D:$D, "Praziquantel",
'20102013 Schist Efficacy'!$J:$J,"&lt;2014",
'20102013 Schist Efficacy'!$U:$U,""),
"")</f>
        <v/>
      </c>
      <c r="AU48" s="118">
        <f t="shared" si="21"/>
        <v>0.9475</v>
      </c>
      <c r="AV48" s="131" t="str">
        <f>IFERROR(AVERAGEIFS(
'20102013 STH Efficacy'!$AX:$AX, 
'20102013 STH Efficacy'!$AL:$AL, $A48, 
'20102013 STH Efficacy'!$AM:$AM, "Albendazole",
'20102013 STH Efficacy'!$AS:$AS,"&lt;2014",
'20102013 STH Efficacy'!$BP:$BP,""),
"")</f>
        <v/>
      </c>
      <c r="AW48" s="132">
        <f t="shared" si="22"/>
        <v>0.3571666667</v>
      </c>
      <c r="AX48" s="131" t="str">
        <f>IFERROR(AVERAGEIFS(
'20102013 STH Efficacy'!$AX:$AX, 
'20102013 STH Efficacy'!$AL:$AL, $A48, 
'20102013 STH Efficacy'!$AM:$AM, "Mebendazole",
'20102013 STH Efficacy'!$AS:$AS,"&lt;2014",
'20102013 STH Efficacy'!$BP:$BP,""),
"")</f>
        <v/>
      </c>
      <c r="AY48" s="132">
        <f t="shared" si="23"/>
        <v>0.4155</v>
      </c>
      <c r="AZ48" s="131" t="str">
        <f>IFERROR(AVERAGEIFS(
'20102013 STH Efficacy'!$AX:$AX, 
'20102013 STH Efficacy'!$AL:$AL, $A48, 
'20102013 STH Efficacy'!$AM:$AM, "Albendazole &amp; Ivermectin",
'20102013 STH Efficacy'!$AS:$AS,"&lt;2014",
'20102013 STH Efficacy'!$BP:$BP,""),
"")</f>
        <v/>
      </c>
      <c r="BA48" s="303">
        <f t="shared" si="24"/>
        <v>0.651</v>
      </c>
      <c r="BB48" s="134" t="str">
        <f>IFERROR(AVERAGEIFS(
'20102013 STH Efficacy'!$N:$N, 
'20102013 STH Efficacy'!$B:$B, $A48, 
'20102013 STH Efficacy'!$C:$C, "Albendazole",
'20102013 STH Efficacy'!$I:$I,"&lt;2014",
'20102013 STH Efficacy'!$AH:$AH,""),
"")</f>
        <v/>
      </c>
      <c r="BC48" s="135">
        <f t="shared" si="25"/>
        <v>0.5769166667</v>
      </c>
      <c r="BD48" s="134" t="str">
        <f>IFERROR(AVERAGEIFS(
'20102013 STH Efficacy'!$N:$N, 
'20102013 STH Efficacy'!$B:$B, $A48, 
'20102013 STH Efficacy'!$C:$C, "Mebendazole",
'20102013 STH Efficacy'!$I:$I,"&lt;2014",
'20102013 STH Efficacy'!$AH:$AH,""),
"")</f>
        <v/>
      </c>
      <c r="BE48" s="135">
        <f t="shared" si="26"/>
        <v>0.3145</v>
      </c>
      <c r="BF48" s="128" t="str">
        <f>IFERROR(AVERAGEIFS(
'20102013 STH Efficacy'!$CD:$CD, 
'20102013 STH Efficacy'!$BS:$BS, $A48, 
'20102013 STH Efficacy'!$BT:$BT, "Albendazole",
'20102013 STH Efficacy'!$BZ:$BZ,"&lt;2014",
'20102013 STH Efficacy'!$CU:$CU,""),
"")</f>
        <v/>
      </c>
      <c r="BG48" s="136">
        <f t="shared" si="27"/>
        <v>0.96925</v>
      </c>
      <c r="BH48" s="128" t="str">
        <f>IFERROR(AVERAGEIFS(
'20102013 STH Efficacy'!$CD:$CD, 
'20102013 STH Efficacy'!$BS:$BS, $A48, 
'20102013 STH Efficacy'!$BT:$BT, "Mebendazole",
'20102013 STH Efficacy'!$BZ:$BZ,"&lt;2014",
'20102013 STH Efficacy'!$CU:$CU,""),
"")</f>
        <v/>
      </c>
      <c r="BI48" s="136">
        <f t="shared" si="28"/>
        <v>0.9305</v>
      </c>
      <c r="BJ48" s="128" t="str">
        <f>IFERROR(AVERAGEIFS(
'20102013 STH Efficacy'!$CD:$CD, 
'20102013 STH Efficacy'!$BS:$BS, $A48, 
'20102013 STH Efficacy'!$BT:$BT, "Albendazole &amp; Ivermectin",
'20102013 STH Efficacy'!$BZ:$BZ,"&lt;2014",
'20102013 STH Efficacy'!$CU:$CU,""),
"")</f>
        <v/>
      </c>
      <c r="BK48" s="136">
        <f t="shared" si="29"/>
        <v>1</v>
      </c>
      <c r="BL48" s="300" t="str">
        <f>IFERROR(
  AVERAGEIFS(
    'NEW 20102013 Onchocerciasis Eff'!$AO:$AO,
    'NEW 20102013 Onchocerciasis Eff'!$C:$C,$A48,
    'NEW 20102013 Onchocerciasis Eff'!$D:$D,"Ivermectin",
    'NEW 20102013 Onchocerciasis Eff'!$AR:$AR,"&lt;2014",
    'NEW 20102013 Onchocerciasis Eff'!$BG:$BG,"")
,"")</f>
        <v/>
      </c>
      <c r="BM48" s="304">
        <f t="shared" si="30"/>
        <v>0.7808368939</v>
      </c>
      <c r="BN48" s="305">
        <v>0.0</v>
      </c>
      <c r="BO48" s="139">
        <v>0.0</v>
      </c>
      <c r="BP48" s="140">
        <v>0.0</v>
      </c>
      <c r="BQ48" s="141">
        <f t="shared" si="31"/>
        <v>0</v>
      </c>
      <c r="BR48" s="104" t="str">
        <f t="shared" si="32"/>
        <v>0000</v>
      </c>
      <c r="BS48" s="104" t="str">
        <f t="shared" si="33"/>
        <v>no action required</v>
      </c>
      <c r="BT48" s="142" t="str">
        <f t="shared" si="34"/>
        <v/>
      </c>
      <c r="BU48" s="104" t="str">
        <f t="shared" si="35"/>
        <v/>
      </c>
      <c r="BV48" s="104" t="str">
        <f t="shared" si="36"/>
        <v>none</v>
      </c>
      <c r="BW48" s="150" t="str">
        <f t="shared" si="37"/>
        <v/>
      </c>
      <c r="BX48" s="150" t="str">
        <f t="shared" si="38"/>
        <v/>
      </c>
      <c r="BY48" s="151" t="str">
        <f t="shared" si="39"/>
        <v/>
      </c>
      <c r="BZ48" s="152" t="str">
        <f t="shared" si="40"/>
        <v/>
      </c>
      <c r="CA48" s="152" t="str">
        <f t="shared" si="41"/>
        <v/>
      </c>
      <c r="CB48" s="152" t="str">
        <f t="shared" si="42"/>
        <v/>
      </c>
      <c r="CC48" s="153" t="str">
        <f t="shared" si="43"/>
        <v/>
      </c>
      <c r="CD48" s="153" t="str">
        <f t="shared" si="44"/>
        <v/>
      </c>
      <c r="CE48" s="154" t="str">
        <f t="shared" si="45"/>
        <v/>
      </c>
      <c r="CF48" s="154" t="str">
        <f t="shared" si="46"/>
        <v/>
      </c>
      <c r="CG48" s="154" t="str">
        <f t="shared" si="47"/>
        <v/>
      </c>
      <c r="CH48" s="308" t="str">
        <f t="shared" si="48"/>
        <v/>
      </c>
      <c r="CI48" s="299"/>
    </row>
    <row r="49">
      <c r="A49" s="103" t="s">
        <v>138</v>
      </c>
      <c r="B49" s="104" t="s">
        <v>98</v>
      </c>
      <c r="C49" s="105">
        <v>4.7342981E7</v>
      </c>
      <c r="D49" s="293">
        <v>0.0</v>
      </c>
      <c r="E49" s="321">
        <v>0.0</v>
      </c>
      <c r="F49" s="322">
        <v>282.6916744</v>
      </c>
      <c r="G49" s="322">
        <v>1515.160225</v>
      </c>
      <c r="H49" s="157">
        <v>1797.851899</v>
      </c>
      <c r="I49" s="110">
        <v>913.009445</v>
      </c>
      <c r="J49" s="110">
        <v>4272.66691</v>
      </c>
      <c r="K49" s="110">
        <v>5185.676358</v>
      </c>
      <c r="L49" s="111">
        <v>1708.261388</v>
      </c>
      <c r="M49" s="111">
        <v>4222.728315</v>
      </c>
      <c r="N49" s="111">
        <v>5930.989703</v>
      </c>
      <c r="O49" s="298">
        <v>0.0</v>
      </c>
      <c r="P49" s="114"/>
      <c r="Q49" s="114"/>
      <c r="R49" s="121" t="str">
        <f t="shared" si="11"/>
        <v/>
      </c>
      <c r="S49" s="116">
        <f t="shared" si="12"/>
        <v>0.2288425133</v>
      </c>
      <c r="T49" s="130"/>
      <c r="U49" s="118">
        <f t="shared" si="13"/>
        <v>0.39435</v>
      </c>
      <c r="V49" s="119">
        <v>0.0162</v>
      </c>
      <c r="W49" s="120">
        <f t="shared" si="14"/>
        <v>0.0162</v>
      </c>
      <c r="X49" s="119">
        <v>0.0053</v>
      </c>
      <c r="Y49" s="120">
        <f t="shared" si="15"/>
        <v>0.0053</v>
      </c>
      <c r="Z49" s="311" t="s">
        <v>373</v>
      </c>
      <c r="AA49" s="311" t="s">
        <v>373</v>
      </c>
      <c r="AB49" s="300" t="str">
        <f t="shared" si="16"/>
        <v/>
      </c>
      <c r="AC49" s="301">
        <f t="shared" si="17"/>
        <v>0.3490201688</v>
      </c>
      <c r="AD49" s="122">
        <v>0.0</v>
      </c>
      <c r="AE49" s="123">
        <v>0.0</v>
      </c>
      <c r="AF49" s="123">
        <v>0.0</v>
      </c>
      <c r="AG49" s="124">
        <v>0.1626</v>
      </c>
      <c r="AH49" s="124">
        <v>0.241806238</v>
      </c>
      <c r="AI49" s="125">
        <v>0.0741</v>
      </c>
      <c r="AJ49" s="125">
        <v>0.11247461</v>
      </c>
      <c r="AK49" s="127">
        <v>0.2254</v>
      </c>
      <c r="AL49" s="127">
        <v>0.3302</v>
      </c>
      <c r="AM49" s="302">
        <v>0.0</v>
      </c>
      <c r="AN49" s="149" t="str">
        <f>IFERROR(
  AVERAGEIFS(
    'New 20102013 LF Efficacy'!$J:$J,
    'New 20102013 LF Efficacy'!$D:$D, $A49,
    'New 20102013 LF Efficacy'!$F:$F,"DEC", 
    'New 20102013 LF Efficacy'!$W:$W,"&lt;2014",
    'New 20102013 LF Efficacy'!$AA:$AA,""),
  ""
)</f>
        <v/>
      </c>
      <c r="AO49" s="115">
        <f t="shared" si="18"/>
        <v>0.2589833333</v>
      </c>
      <c r="AP49" s="121" t="str">
        <f>IFERROR(
AVERAGEIFS(
'New 20102013 LF Efficacy'!$J:$J,
'New 20102013 LF Efficacy'!$D:$D,$A49,
'New 20102013 LF Efficacy'!$F:$F,"Albendazole &amp; DEC",
'New 20102013 LF Efficacy'!$W:$W,"&lt;2014",
'New 20102013 LF Efficacy'!$AA:$AA,""),
"")
</f>
        <v/>
      </c>
      <c r="AQ49" s="115">
        <f t="shared" si="19"/>
        <v>0.3465</v>
      </c>
      <c r="AR49" s="121" t="str">
        <f>IFERROR(
AVERAGEIFS(
'New 20102013 LF Efficacy'!$J:$J,
'New 20102013 LF Efficacy'!$D:$D,$A49,
'New 20102013 LF Efficacy'!$F:$F,"Albendazole &amp; Ivermectin", 
'New 20102013 LF Efficacy'!$W:$W,"&lt;2014",
'New 20102013 LF Efficacy'!$AA:$AA,""),"")</f>
        <v/>
      </c>
      <c r="AS49" s="115">
        <f t="shared" si="20"/>
        <v>0.7575</v>
      </c>
      <c r="AT49" s="130" t="str">
        <f>IFERROR(AVERAGEIFS(
'20102013 Schist Efficacy'!$O:$O, 
'20102013 Schist Efficacy'!$C:$C,$A49, 
'20102013 Schist Efficacy'!$D:$D, "Praziquantel",
'20102013 Schist Efficacy'!$J:$J,"&lt;2014",
'20102013 Schist Efficacy'!$U:$U,""),
"")</f>
        <v/>
      </c>
      <c r="AU49" s="118">
        <f t="shared" si="21"/>
        <v>0.7914761905</v>
      </c>
      <c r="AV49" s="131" t="str">
        <f>IFERROR(AVERAGEIFS(
'20102013 STH Efficacy'!$AX:$AX, 
'20102013 STH Efficacy'!$AL:$AL, $A49, 
'20102013 STH Efficacy'!$AM:$AM, "Albendazole",
'20102013 STH Efficacy'!$AS:$AS,"&lt;2014",
'20102013 STH Efficacy'!$BP:$BP,""),
"")</f>
        <v/>
      </c>
      <c r="AW49" s="132">
        <f t="shared" si="22"/>
        <v>0.3945</v>
      </c>
      <c r="AX49" s="131" t="str">
        <f>IFERROR(AVERAGEIFS(
'20102013 STH Efficacy'!$AX:$AX, 
'20102013 STH Efficacy'!$AL:$AL, $A49, 
'20102013 STH Efficacy'!$AM:$AM, "Mebendazole",
'20102013 STH Efficacy'!$AS:$AS,"&lt;2014",
'20102013 STH Efficacy'!$BP:$BP,""),
"")</f>
        <v/>
      </c>
      <c r="AY49" s="132">
        <f t="shared" si="23"/>
        <v>0.6</v>
      </c>
      <c r="AZ49" s="131" t="str">
        <f>IFERROR(AVERAGEIFS(
'20102013 STH Efficacy'!$AX:$AX, 
'20102013 STH Efficacy'!$AL:$AL, $A49, 
'20102013 STH Efficacy'!$AM:$AM, "Albendazole &amp; Ivermectin",
'20102013 STH Efficacy'!$AS:$AS,"&lt;2014",
'20102013 STH Efficacy'!$BP:$BP,""),
"")</f>
        <v/>
      </c>
      <c r="BA49" s="303">
        <f t="shared" si="24"/>
        <v>0.796</v>
      </c>
      <c r="BB49" s="134" t="str">
        <f>IFERROR(AVERAGEIFS(
'20102013 STH Efficacy'!$N:$N, 
'20102013 STH Efficacy'!$B:$B, $A49, 
'20102013 STH Efficacy'!$C:$C, "Albendazole",
'20102013 STH Efficacy'!$I:$I,"&lt;2014",
'20102013 STH Efficacy'!$AH:$AH,""),
"")</f>
        <v/>
      </c>
      <c r="BC49" s="135">
        <f t="shared" si="25"/>
        <v>0.869</v>
      </c>
      <c r="BD49" s="134" t="str">
        <f>IFERROR(AVERAGEIFS(
'20102013 STH Efficacy'!$N:$N, 
'20102013 STH Efficacy'!$B:$B, $A49, 
'20102013 STH Efficacy'!$C:$C, "Mebendazole",
'20102013 STH Efficacy'!$I:$I,"&lt;2014",
'20102013 STH Efficacy'!$AH:$AH,""),
"")</f>
        <v/>
      </c>
      <c r="BE49" s="135">
        <f t="shared" si="26"/>
        <v>0.172</v>
      </c>
      <c r="BF49" s="128" t="str">
        <f>IFERROR(AVERAGEIFS(
'20102013 STH Efficacy'!$CD:$CD, 
'20102013 STH Efficacy'!$BS:$BS, $A49, 
'20102013 STH Efficacy'!$BT:$BT, "Albendazole",
'20102013 STH Efficacy'!$BZ:$BZ,"&lt;2014",
'20102013 STH Efficacy'!$CU:$CU,""),
"")</f>
        <v/>
      </c>
      <c r="BG49" s="136">
        <f t="shared" si="27"/>
        <v>0.9862</v>
      </c>
      <c r="BH49" s="128" t="str">
        <f>IFERROR(AVERAGEIFS(
'20102013 STH Efficacy'!$CD:$CD, 
'20102013 STH Efficacy'!$BS:$BS, $A49, 
'20102013 STH Efficacy'!$BT:$BT, "Mebendazole",
'20102013 STH Efficacy'!$BZ:$BZ,"&lt;2014",
'20102013 STH Efficacy'!$CU:$CU,""),
"")</f>
        <v/>
      </c>
      <c r="BI49" s="136">
        <f t="shared" si="28"/>
        <v>0.769</v>
      </c>
      <c r="BJ49" s="128" t="str">
        <f>IFERROR(AVERAGEIFS(
'20102013 STH Efficacy'!$CD:$CD, 
'20102013 STH Efficacy'!$BS:$BS, $A49, 
'20102013 STH Efficacy'!$BT:$BT, "Albendazole &amp; Ivermectin",
'20102013 STH Efficacy'!$BZ:$BZ,"&lt;2014",
'20102013 STH Efficacy'!$CU:$CU,""),
"")</f>
        <v/>
      </c>
      <c r="BK49" s="136">
        <f t="shared" si="29"/>
        <v>1</v>
      </c>
      <c r="BL49" s="300" t="str">
        <f>IFERROR(
  AVERAGEIFS(
    'NEW 20102013 Onchocerciasis Eff'!$AO:$AO,
    'NEW 20102013 Onchocerciasis Eff'!$C:$C,$A49,
    'NEW 20102013 Onchocerciasis Eff'!$D:$D,"Ivermectin",
    'NEW 20102013 Onchocerciasis Eff'!$AR:$AR,"&lt;2014",
    'NEW 20102013 Onchocerciasis Eff'!$BG:$BG,"")
,"")</f>
        <v/>
      </c>
      <c r="BM49" s="304">
        <f t="shared" si="30"/>
        <v>0.3734</v>
      </c>
      <c r="BN49" s="305">
        <v>0.0</v>
      </c>
      <c r="BO49" s="139">
        <v>0.0</v>
      </c>
      <c r="BP49" s="140">
        <v>0.0</v>
      </c>
      <c r="BQ49" s="141">
        <f t="shared" si="31"/>
        <v>1</v>
      </c>
      <c r="BR49" s="104" t="str">
        <f t="shared" si="32"/>
        <v>0001</v>
      </c>
      <c r="BS49" s="104" t="str">
        <f t="shared" si="33"/>
        <v>T3</v>
      </c>
      <c r="BT49" s="142" t="str">
        <f t="shared" si="34"/>
        <v>ALB or MBD</v>
      </c>
      <c r="BU49" s="104" t="str">
        <f t="shared" si="35"/>
        <v/>
      </c>
      <c r="BV49" s="104" t="str">
        <f t="shared" si="36"/>
        <v>sth only</v>
      </c>
      <c r="BW49" s="150" t="str">
        <f t="shared" si="37"/>
        <v/>
      </c>
      <c r="BX49" s="150" t="str">
        <f t="shared" si="38"/>
        <v/>
      </c>
      <c r="BY49" s="151" t="str">
        <f t="shared" si="39"/>
        <v/>
      </c>
      <c r="BZ49" s="152">
        <f t="shared" si="40"/>
        <v>4.992885024</v>
      </c>
      <c r="CA49" s="152">
        <f t="shared" si="41"/>
        <v>7.608313785</v>
      </c>
      <c r="CB49" s="152" t="str">
        <f t="shared" si="42"/>
        <v/>
      </c>
      <c r="CC49" s="323">
        <f t="shared" si="43"/>
        <v>32.80636749</v>
      </c>
      <c r="CD49" s="323">
        <f t="shared" si="44"/>
        <v>6.449634996</v>
      </c>
      <c r="CE49" s="154">
        <f t="shared" si="45"/>
        <v>49.92262392</v>
      </c>
      <c r="CF49" s="154">
        <f t="shared" si="46"/>
        <v>38.83064581</v>
      </c>
      <c r="CG49" s="154" t="str">
        <f t="shared" si="47"/>
        <v/>
      </c>
      <c r="CH49" s="308" t="str">
        <f t="shared" si="48"/>
        <v/>
      </c>
      <c r="CI49" s="299"/>
    </row>
    <row r="50">
      <c r="A50" s="103" t="s">
        <v>139</v>
      </c>
      <c r="B50" s="104" t="s">
        <v>92</v>
      </c>
      <c r="C50" s="105">
        <v>741500.0</v>
      </c>
      <c r="D50" s="293">
        <v>1104.53</v>
      </c>
      <c r="E50" s="294">
        <v>0.0</v>
      </c>
      <c r="F50" s="295">
        <v>29.80400302</v>
      </c>
      <c r="G50" s="295">
        <v>141.8427861</v>
      </c>
      <c r="H50" s="108">
        <v>171.6467891</v>
      </c>
      <c r="I50" s="109">
        <v>51.9661943</v>
      </c>
      <c r="J50" s="109">
        <v>160.483525</v>
      </c>
      <c r="K50" s="109">
        <v>212.4497198</v>
      </c>
      <c r="L50" s="112">
        <v>71.88549963</v>
      </c>
      <c r="M50" s="112">
        <v>63.18504205</v>
      </c>
      <c r="N50" s="111">
        <v>135.0705417</v>
      </c>
      <c r="O50" s="298">
        <v>0.0</v>
      </c>
      <c r="P50" s="160">
        <v>514110.0</v>
      </c>
      <c r="Q50" s="156"/>
      <c r="R50" s="121">
        <f t="shared" si="11"/>
        <v>0</v>
      </c>
      <c r="S50" s="116">
        <f t="shared" si="12"/>
        <v>0.2589669834</v>
      </c>
      <c r="T50" s="130"/>
      <c r="U50" s="118">
        <f t="shared" si="13"/>
        <v>0.252</v>
      </c>
      <c r="V50" s="119">
        <v>1.0</v>
      </c>
      <c r="W50" s="120">
        <f t="shared" si="14"/>
        <v>1</v>
      </c>
      <c r="X50" s="148"/>
      <c r="Y50" s="120">
        <f t="shared" si="15"/>
        <v>0.5668291667</v>
      </c>
      <c r="Z50" s="299"/>
      <c r="AA50" s="299"/>
      <c r="AB50" s="300" t="str">
        <f t="shared" si="16"/>
        <v/>
      </c>
      <c r="AC50" s="301">
        <f t="shared" si="17"/>
        <v>0.655321236</v>
      </c>
      <c r="AD50" s="122">
        <v>0.0331</v>
      </c>
      <c r="AE50" s="123">
        <v>0.0</v>
      </c>
      <c r="AF50" s="123">
        <v>0.0</v>
      </c>
      <c r="AG50" s="124">
        <v>0.2594</v>
      </c>
      <c r="AH50" s="124">
        <v>0.393520892</v>
      </c>
      <c r="AI50" s="125">
        <v>0.121</v>
      </c>
      <c r="AJ50" s="125">
        <v>0.190269061</v>
      </c>
      <c r="AK50" s="127">
        <v>0.1693</v>
      </c>
      <c r="AL50" s="127">
        <v>0.263</v>
      </c>
      <c r="AM50" s="302">
        <v>0.0</v>
      </c>
      <c r="AN50" s="149" t="str">
        <f>IFERROR(
  AVERAGEIFS(
    'New 20102013 LF Efficacy'!$J:$J,
    'New 20102013 LF Efficacy'!$D:$D, $A50,
    'New 20102013 LF Efficacy'!$F:$F,"DEC", 
    'New 20102013 LF Efficacy'!$W:$W,"&lt;2014",
    'New 20102013 LF Efficacy'!$AA:$AA,""),
  ""
)</f>
        <v/>
      </c>
      <c r="AO50" s="115">
        <f t="shared" si="18"/>
        <v>0.31225</v>
      </c>
      <c r="AP50" s="121" t="str">
        <f>IFERROR(
AVERAGEIFS(
'New 20102013 LF Efficacy'!$J:$J,
'New 20102013 LF Efficacy'!$D:$D,$A50,
'New 20102013 LF Efficacy'!$F:$F,"Albendazole &amp; DEC",
'New 20102013 LF Efficacy'!$W:$W,"&lt;2014",
'New 20102013 LF Efficacy'!$AA:$AA,""),
"")
</f>
        <v/>
      </c>
      <c r="AQ50" s="115">
        <f t="shared" si="19"/>
        <v>0.4</v>
      </c>
      <c r="AR50" s="121" t="str">
        <f>IFERROR(
AVERAGEIFS(
'New 20102013 LF Efficacy'!$J:$J,
'New 20102013 LF Efficacy'!$D:$D,$A50,
'New 20102013 LF Efficacy'!$F:$F,"Albendazole &amp; Ivermectin", 
'New 20102013 LF Efficacy'!$W:$W,"&lt;2014",
'New 20102013 LF Efficacy'!$AA:$AA,""),"")</f>
        <v/>
      </c>
      <c r="AS50" s="115">
        <f t="shared" si="20"/>
        <v>0.2943125</v>
      </c>
      <c r="AT50" s="130" t="str">
        <f>IFERROR(AVERAGEIFS(
'20102013 Schist Efficacy'!$O:$O, 
'20102013 Schist Efficacy'!$C:$C,$A50, 
'20102013 Schist Efficacy'!$D:$D, "Praziquantel",
'20102013 Schist Efficacy'!$J:$J,"&lt;2014",
'20102013 Schist Efficacy'!$U:$U,""),
"")</f>
        <v/>
      </c>
      <c r="AU50" s="118">
        <f t="shared" si="21"/>
        <v>0.7192212527</v>
      </c>
      <c r="AV50" s="131" t="str">
        <f>IFERROR(AVERAGEIFS(
'20102013 STH Efficacy'!$AX:$AX, 
'20102013 STH Efficacy'!$AL:$AL, $A50, 
'20102013 STH Efficacy'!$AM:$AM, "Albendazole",
'20102013 STH Efficacy'!$AS:$AS,"&lt;2014",
'20102013 STH Efficacy'!$BP:$BP,""),
"")</f>
        <v/>
      </c>
      <c r="AW50" s="132">
        <f t="shared" si="22"/>
        <v>0.3816333333</v>
      </c>
      <c r="AX50" s="131" t="str">
        <f>IFERROR(AVERAGEIFS(
'20102013 STH Efficacy'!$AX:$AX, 
'20102013 STH Efficacy'!$AL:$AL, $A50, 
'20102013 STH Efficacy'!$AM:$AM, "Mebendazole",
'20102013 STH Efficacy'!$AS:$AS,"&lt;2014",
'20102013 STH Efficacy'!$BP:$BP,""),
"")</f>
        <v/>
      </c>
      <c r="AY50" s="132">
        <f t="shared" si="23"/>
        <v>0.5675833333</v>
      </c>
      <c r="AZ50" s="131" t="str">
        <f>IFERROR(AVERAGEIFS(
'20102013 STH Efficacy'!$AX:$AX, 
'20102013 STH Efficacy'!$AL:$AL, $A50, 
'20102013 STH Efficacy'!$AM:$AM, "Albendazole &amp; Ivermectin",
'20102013 STH Efficacy'!$AS:$AS,"&lt;2014",
'20102013 STH Efficacy'!$BP:$BP,""),
"")</f>
        <v/>
      </c>
      <c r="BA50" s="303">
        <f t="shared" si="24"/>
        <v>0.47175</v>
      </c>
      <c r="BB50" s="134" t="str">
        <f>IFERROR(AVERAGEIFS(
'20102013 STH Efficacy'!$N:$N, 
'20102013 STH Efficacy'!$B:$B, $A50, 
'20102013 STH Efficacy'!$C:$C, "Albendazole",
'20102013 STH Efficacy'!$I:$I,"&lt;2014",
'20102013 STH Efficacy'!$AH:$AH,""),
"")</f>
        <v/>
      </c>
      <c r="BC50" s="135">
        <f t="shared" si="25"/>
        <v>0.8699166667</v>
      </c>
      <c r="BD50" s="134" t="str">
        <f>IFERROR(AVERAGEIFS(
'20102013 STH Efficacy'!$N:$N, 
'20102013 STH Efficacy'!$B:$B, $A50, 
'20102013 STH Efficacy'!$C:$C, "Mebendazole",
'20102013 STH Efficacy'!$I:$I,"&lt;2014",
'20102013 STH Efficacy'!$AH:$AH,""),
"")</f>
        <v/>
      </c>
      <c r="BE50" s="135">
        <f t="shared" si="26"/>
        <v>0.7092416667</v>
      </c>
      <c r="BF50" s="128" t="str">
        <f>IFERROR(AVERAGEIFS(
'20102013 STH Efficacy'!$CD:$CD, 
'20102013 STH Efficacy'!$BS:$BS, $A50, 
'20102013 STH Efficacy'!$BT:$BT, "Albendazole",
'20102013 STH Efficacy'!$BZ:$BZ,"&lt;2014",
'20102013 STH Efficacy'!$CU:$CU,""),
"")</f>
        <v/>
      </c>
      <c r="BG50" s="136">
        <f t="shared" si="27"/>
        <v>0.9066666667</v>
      </c>
      <c r="BH50" s="128" t="str">
        <f>IFERROR(AVERAGEIFS(
'20102013 STH Efficacy'!$CD:$CD, 
'20102013 STH Efficacy'!$BS:$BS, $A50, 
'20102013 STH Efficacy'!$BT:$BT, "Mebendazole",
'20102013 STH Efficacy'!$BZ:$BZ,"&lt;2014",
'20102013 STH Efficacy'!$CU:$CU,""),
"")</f>
        <v/>
      </c>
      <c r="BI50" s="136">
        <f t="shared" si="28"/>
        <v>0.9358666667</v>
      </c>
      <c r="BJ50" s="128" t="str">
        <f>IFERROR(AVERAGEIFS(
'20102013 STH Efficacy'!$CD:$CD, 
'20102013 STH Efficacy'!$BS:$BS, $A50, 
'20102013 STH Efficacy'!$BT:$BT, "Albendazole &amp; Ivermectin",
'20102013 STH Efficacy'!$BZ:$BZ,"&lt;2014",
'20102013 STH Efficacy'!$CU:$CU,""),
"")</f>
        <v/>
      </c>
      <c r="BK50" s="136">
        <f t="shared" si="29"/>
        <v>1</v>
      </c>
      <c r="BL50" s="300" t="str">
        <f>IFERROR(
  AVERAGEIFS(
    'NEW 20102013 Onchocerciasis Eff'!$AO:$AO,
    'NEW 20102013 Onchocerciasis Eff'!$C:$C,$A50,
    'NEW 20102013 Onchocerciasis Eff'!$D:$D,"Ivermectin",
    'NEW 20102013 Onchocerciasis Eff'!$AR:$AR,"&lt;2014",
    'NEW 20102013 Onchocerciasis Eff'!$BG:$BG,"")
,"")</f>
        <v/>
      </c>
      <c r="BM50" s="304">
        <f t="shared" si="30"/>
        <v>0.8390421645</v>
      </c>
      <c r="BN50" s="305">
        <v>1.0</v>
      </c>
      <c r="BO50" s="139">
        <v>0.0</v>
      </c>
      <c r="BP50" s="140">
        <v>0.0</v>
      </c>
      <c r="BQ50" s="141">
        <f t="shared" si="31"/>
        <v>1</v>
      </c>
      <c r="BR50" s="104" t="str">
        <f t="shared" si="32"/>
        <v>1001</v>
      </c>
      <c r="BS50" s="104" t="str">
        <f t="shared" si="33"/>
        <v>MDA1/2</v>
      </c>
      <c r="BT50" s="142" t="str">
        <f t="shared" si="34"/>
        <v>DEC+ALB</v>
      </c>
      <c r="BU50" s="104" t="str">
        <f t="shared" si="35"/>
        <v/>
      </c>
      <c r="BV50" s="104" t="str">
        <f t="shared" si="36"/>
        <v>lf+sth</v>
      </c>
      <c r="BW50" s="312">
        <f t="shared" si="37"/>
        <v>127.6361393</v>
      </c>
      <c r="BX50" s="150" t="str">
        <f t="shared" si="38"/>
        <v/>
      </c>
      <c r="BY50" s="151" t="str">
        <f t="shared" si="39"/>
        <v/>
      </c>
      <c r="BZ50" s="152">
        <f t="shared" si="40"/>
        <v>57.54716231</v>
      </c>
      <c r="CA50" s="152" t="str">
        <f t="shared" si="41"/>
        <v/>
      </c>
      <c r="CB50" s="152" t="str">
        <f t="shared" si="42"/>
        <v/>
      </c>
      <c r="CC50" s="323">
        <f t="shared" si="43"/>
        <v>503.6284946</v>
      </c>
      <c r="CD50" s="153" t="str">
        <f t="shared" si="44"/>
        <v/>
      </c>
      <c r="CE50" s="154">
        <f t="shared" si="45"/>
        <v>765.1215841</v>
      </c>
      <c r="CF50" s="154" t="str">
        <f t="shared" si="46"/>
        <v/>
      </c>
      <c r="CG50" s="154" t="str">
        <f t="shared" si="47"/>
        <v/>
      </c>
      <c r="CH50" s="308" t="str">
        <f t="shared" si="48"/>
        <v/>
      </c>
      <c r="CI50" s="299"/>
    </row>
    <row r="51">
      <c r="A51" s="103" t="s">
        <v>140</v>
      </c>
      <c r="B51" s="104" t="s">
        <v>92</v>
      </c>
      <c r="C51" s="105">
        <v>4751393.0</v>
      </c>
      <c r="D51" s="293">
        <v>5072.92</v>
      </c>
      <c r="E51" s="294">
        <v>9736.932253</v>
      </c>
      <c r="F51" s="295">
        <v>145.282585</v>
      </c>
      <c r="G51" s="322">
        <v>568.6756027</v>
      </c>
      <c r="H51" s="157">
        <v>713.9581877</v>
      </c>
      <c r="I51" s="110">
        <v>363.826387</v>
      </c>
      <c r="J51" s="110">
        <v>918.934977</v>
      </c>
      <c r="K51" s="110">
        <v>1282.761364</v>
      </c>
      <c r="L51" s="111">
        <v>1106.055337</v>
      </c>
      <c r="M51" s="111">
        <v>930.9428252</v>
      </c>
      <c r="N51" s="111">
        <v>2036.998162</v>
      </c>
      <c r="O51" s="298">
        <v>1682.842112</v>
      </c>
      <c r="P51" s="160">
        <v>2600000.0</v>
      </c>
      <c r="Q51" s="160">
        <v>103724.0</v>
      </c>
      <c r="R51" s="121">
        <f t="shared" si="11"/>
        <v>0.03989384615</v>
      </c>
      <c r="S51" s="116">
        <f t="shared" si="12"/>
        <v>0.03989384615</v>
      </c>
      <c r="T51" s="130"/>
      <c r="U51" s="118">
        <f t="shared" si="13"/>
        <v>0.252</v>
      </c>
      <c r="V51" s="119">
        <v>1.0</v>
      </c>
      <c r="W51" s="120">
        <f t="shared" si="14"/>
        <v>1</v>
      </c>
      <c r="X51" s="119">
        <v>0.0273</v>
      </c>
      <c r="Y51" s="120">
        <f t="shared" si="15"/>
        <v>0.0273</v>
      </c>
      <c r="Z51" s="310">
        <v>1427670.0</v>
      </c>
      <c r="AA51" s="310">
        <v>688131.0</v>
      </c>
      <c r="AB51" s="300">
        <f t="shared" si="16"/>
        <v>0.4819958394</v>
      </c>
      <c r="AC51" s="301">
        <f t="shared" si="17"/>
        <v>0.4819958394</v>
      </c>
      <c r="AD51" s="122">
        <v>0.0311</v>
      </c>
      <c r="AE51" s="123">
        <v>0.25</v>
      </c>
      <c r="AF51" s="123">
        <v>0.0459</v>
      </c>
      <c r="AG51" s="316">
        <v>0.0</v>
      </c>
      <c r="AH51" s="124">
        <v>0.340230179</v>
      </c>
      <c r="AI51" s="317">
        <v>0.0</v>
      </c>
      <c r="AJ51" s="125">
        <v>0.198979191</v>
      </c>
      <c r="AK51" s="319">
        <v>0.0</v>
      </c>
      <c r="AL51" s="319">
        <v>0.0</v>
      </c>
      <c r="AM51" s="302">
        <v>0.0053</v>
      </c>
      <c r="AN51" s="149" t="str">
        <f>IFERROR(
  AVERAGEIFS(
    'New 20102013 LF Efficacy'!$J:$J,
    'New 20102013 LF Efficacy'!$D:$D, $A51,
    'New 20102013 LF Efficacy'!$F:$F,"DEC", 
    'New 20102013 LF Efficacy'!$W:$W,"&lt;2014",
    'New 20102013 LF Efficacy'!$AA:$AA,""),
  ""
)</f>
        <v/>
      </c>
      <c r="AO51" s="115">
        <f t="shared" si="18"/>
        <v>0.31225</v>
      </c>
      <c r="AP51" s="121" t="str">
        <f>IFERROR(
AVERAGEIFS(
'New 20102013 LF Efficacy'!$J:$J,
'New 20102013 LF Efficacy'!$D:$D,$A51,
'New 20102013 LF Efficacy'!$F:$F,"Albendazole &amp; DEC",
'New 20102013 LF Efficacy'!$W:$W,"&lt;2014",
'New 20102013 LF Efficacy'!$AA:$AA,""),
"")
</f>
        <v/>
      </c>
      <c r="AQ51" s="115">
        <f t="shared" si="19"/>
        <v>0.4</v>
      </c>
      <c r="AR51" s="121" t="str">
        <f>IFERROR(
AVERAGEIFS(
'New 20102013 LF Efficacy'!$J:$J,
'New 20102013 LF Efficacy'!$D:$D,$A51,
'New 20102013 LF Efficacy'!$F:$F,"Albendazole &amp; Ivermectin", 
'New 20102013 LF Efficacy'!$W:$W,"&lt;2014",
'New 20102013 LF Efficacy'!$AA:$AA,""),"")</f>
        <v/>
      </c>
      <c r="AS51" s="115">
        <f t="shared" si="20"/>
        <v>0.2943125</v>
      </c>
      <c r="AT51" s="130" t="str">
        <f>IFERROR(AVERAGEIFS(
'20102013 Schist Efficacy'!$O:$O, 
'20102013 Schist Efficacy'!$C:$C,$A51, 
'20102013 Schist Efficacy'!$D:$D, "Praziquantel",
'20102013 Schist Efficacy'!$J:$J,"&lt;2014",
'20102013 Schist Efficacy'!$U:$U,""),
"")</f>
        <v/>
      </c>
      <c r="AU51" s="118">
        <f t="shared" si="21"/>
        <v>0.7192212527</v>
      </c>
      <c r="AV51" s="131" t="str">
        <f>IFERROR(AVERAGEIFS(
'20102013 STH Efficacy'!$AX:$AX, 
'20102013 STH Efficacy'!$AL:$AL, $A51, 
'20102013 STH Efficacy'!$AM:$AM, "Albendazole",
'20102013 STH Efficacy'!$AS:$AS,"&lt;2014",
'20102013 STH Efficacy'!$BP:$BP,""),
"")</f>
        <v/>
      </c>
      <c r="AW51" s="132">
        <f t="shared" si="22"/>
        <v>0.3816333333</v>
      </c>
      <c r="AX51" s="131" t="str">
        <f>IFERROR(AVERAGEIFS(
'20102013 STH Efficacy'!$AX:$AX, 
'20102013 STH Efficacy'!$AL:$AL, $A51, 
'20102013 STH Efficacy'!$AM:$AM, "Mebendazole",
'20102013 STH Efficacy'!$AS:$AS,"&lt;2014",
'20102013 STH Efficacy'!$BP:$BP,""),
"")</f>
        <v/>
      </c>
      <c r="AY51" s="132">
        <f t="shared" si="23"/>
        <v>0.5675833333</v>
      </c>
      <c r="AZ51" s="131" t="str">
        <f>IFERROR(AVERAGEIFS(
'20102013 STH Efficacy'!$AX:$AX, 
'20102013 STH Efficacy'!$AL:$AL, $A51, 
'20102013 STH Efficacy'!$AM:$AM, "Albendazole &amp; Ivermectin",
'20102013 STH Efficacy'!$AS:$AS,"&lt;2014",
'20102013 STH Efficacy'!$BP:$BP,""),
"")</f>
        <v/>
      </c>
      <c r="BA51" s="303">
        <f t="shared" si="24"/>
        <v>0.47175</v>
      </c>
      <c r="BB51" s="134" t="str">
        <f>IFERROR(AVERAGEIFS(
'20102013 STH Efficacy'!$N:$N, 
'20102013 STH Efficacy'!$B:$B, $A51, 
'20102013 STH Efficacy'!$C:$C, "Albendazole",
'20102013 STH Efficacy'!$I:$I,"&lt;2014",
'20102013 STH Efficacy'!$AH:$AH,""),
"")</f>
        <v/>
      </c>
      <c r="BC51" s="135">
        <f t="shared" si="25"/>
        <v>0.8699166667</v>
      </c>
      <c r="BD51" s="134" t="str">
        <f>IFERROR(AVERAGEIFS(
'20102013 STH Efficacy'!$N:$N, 
'20102013 STH Efficacy'!$B:$B, $A51, 
'20102013 STH Efficacy'!$C:$C, "Mebendazole",
'20102013 STH Efficacy'!$I:$I,"&lt;2014",
'20102013 STH Efficacy'!$AH:$AH,""),
"")</f>
        <v/>
      </c>
      <c r="BE51" s="135">
        <f t="shared" si="26"/>
        <v>0.7092416667</v>
      </c>
      <c r="BF51" s="128" t="str">
        <f>IFERROR(AVERAGEIFS(
'20102013 STH Efficacy'!$CD:$CD, 
'20102013 STH Efficacy'!$BS:$BS, $A51, 
'20102013 STH Efficacy'!$BT:$BT, "Albendazole",
'20102013 STH Efficacy'!$BZ:$BZ,"&lt;2014",
'20102013 STH Efficacy'!$CU:$CU,""),
"")</f>
        <v/>
      </c>
      <c r="BG51" s="136">
        <f t="shared" si="27"/>
        <v>0.9066666667</v>
      </c>
      <c r="BH51" s="128" t="str">
        <f>IFERROR(AVERAGEIFS(
'20102013 STH Efficacy'!$CD:$CD, 
'20102013 STH Efficacy'!$BS:$BS, $A51, 
'20102013 STH Efficacy'!$BT:$BT, "Mebendazole",
'20102013 STH Efficacy'!$BZ:$BZ,"&lt;2014",
'20102013 STH Efficacy'!$CU:$CU,""),
"")</f>
        <v/>
      </c>
      <c r="BI51" s="136">
        <f t="shared" si="28"/>
        <v>0.9358666667</v>
      </c>
      <c r="BJ51" s="128" t="str">
        <f>IFERROR(AVERAGEIFS(
'20102013 STH Efficacy'!$CD:$CD, 
'20102013 STH Efficacy'!$BS:$BS, $A51, 
'20102013 STH Efficacy'!$BT:$BT, "Albendazole &amp; Ivermectin",
'20102013 STH Efficacy'!$BZ:$BZ,"&lt;2014",
'20102013 STH Efficacy'!$CU:$CU,""),
"")</f>
        <v/>
      </c>
      <c r="BK51" s="136">
        <f t="shared" si="29"/>
        <v>1</v>
      </c>
      <c r="BL51" s="300" t="str">
        <f>IFERROR(
  AVERAGEIFS(
    'NEW 20102013 Onchocerciasis Eff'!$AO:$AO,
    'NEW 20102013 Onchocerciasis Eff'!$C:$C,$A51,
    'NEW 20102013 Onchocerciasis Eff'!$D:$D,"Ivermectin",
    'NEW 20102013 Onchocerciasis Eff'!$AR:$AR,"&lt;2014",
    'NEW 20102013 Onchocerciasis Eff'!$BG:$BG,"")
,"")</f>
        <v/>
      </c>
      <c r="BM51" s="304">
        <f t="shared" si="30"/>
        <v>0.8390421645</v>
      </c>
      <c r="BN51" s="305">
        <v>1.0</v>
      </c>
      <c r="BO51" s="139">
        <v>1.0</v>
      </c>
      <c r="BP51" s="140">
        <v>1.0</v>
      </c>
      <c r="BQ51" s="141">
        <f t="shared" si="31"/>
        <v>0</v>
      </c>
      <c r="BR51" s="104" t="str">
        <f t="shared" si="32"/>
        <v>1110</v>
      </c>
      <c r="BS51" s="104" t="str">
        <f t="shared" si="33"/>
        <v>MDA1+T2</v>
      </c>
      <c r="BT51" s="142" t="str">
        <f t="shared" si="34"/>
        <v>IVM+ALB</v>
      </c>
      <c r="BU51" s="104" t="str">
        <f t="shared" si="35"/>
        <v>PZQ</v>
      </c>
      <c r="BV51" s="104" t="str">
        <f t="shared" si="36"/>
        <v>lf+onch+schist </v>
      </c>
      <c r="BW51" s="150" t="str">
        <f t="shared" si="37"/>
        <v/>
      </c>
      <c r="BX51" s="312">
        <f t="shared" si="38"/>
        <v>60.27010734</v>
      </c>
      <c r="BY51" s="162">
        <f t="shared" si="39"/>
        <v>2155.413388</v>
      </c>
      <c r="BZ51" s="152" t="str">
        <f t="shared" si="40"/>
        <v/>
      </c>
      <c r="CA51" s="152" t="str">
        <f t="shared" si="41"/>
        <v/>
      </c>
      <c r="CB51" s="152" t="str">
        <f t="shared" si="42"/>
        <v/>
      </c>
      <c r="CC51" s="153" t="str">
        <f t="shared" si="43"/>
        <v/>
      </c>
      <c r="CD51" s="153" t="str">
        <f t="shared" si="44"/>
        <v/>
      </c>
      <c r="CE51" s="154" t="str">
        <f t="shared" si="45"/>
        <v/>
      </c>
      <c r="CF51" s="154" t="str">
        <f t="shared" si="46"/>
        <v/>
      </c>
      <c r="CG51" s="154" t="str">
        <f t="shared" si="47"/>
        <v/>
      </c>
      <c r="CH51" s="313">
        <f t="shared" si="48"/>
        <v>38.0895041</v>
      </c>
      <c r="CI51" s="299"/>
    </row>
    <row r="52">
      <c r="A52" s="103" t="s">
        <v>141</v>
      </c>
      <c r="B52" s="104" t="s">
        <v>94</v>
      </c>
      <c r="C52" s="105">
        <v>18600.0</v>
      </c>
      <c r="D52" s="293">
        <v>0.0</v>
      </c>
      <c r="E52" s="294">
        <v>0.0</v>
      </c>
      <c r="F52" s="163"/>
      <c r="G52" s="163"/>
      <c r="H52" s="108">
        <v>0.0</v>
      </c>
      <c r="I52" s="109">
        <v>0.0</v>
      </c>
      <c r="J52" s="109">
        <v>0.0</v>
      </c>
      <c r="K52" s="109">
        <v>0.0</v>
      </c>
      <c r="L52" s="113"/>
      <c r="M52" s="113"/>
      <c r="N52" s="111">
        <v>0.0</v>
      </c>
      <c r="O52" s="298">
        <v>0.0</v>
      </c>
      <c r="P52" s="156"/>
      <c r="Q52" s="156"/>
      <c r="R52" s="121" t="str">
        <f t="shared" si="11"/>
        <v/>
      </c>
      <c r="S52" s="116">
        <f t="shared" si="12"/>
        <v>0.403639098</v>
      </c>
      <c r="T52" s="130"/>
      <c r="U52" s="118">
        <f t="shared" si="13"/>
        <v>0.6259666667</v>
      </c>
      <c r="V52" s="148"/>
      <c r="W52" s="120">
        <f t="shared" si="14"/>
        <v>0.3807857143</v>
      </c>
      <c r="X52" s="148"/>
      <c r="Y52" s="120">
        <f t="shared" si="15"/>
        <v>0.3971375</v>
      </c>
      <c r="Z52" s="299"/>
      <c r="AA52" s="299"/>
      <c r="AB52" s="300" t="str">
        <f t="shared" si="16"/>
        <v/>
      </c>
      <c r="AC52" s="301">
        <f t="shared" si="17"/>
        <v>0.6295826791</v>
      </c>
      <c r="AD52" s="314">
        <v>0.0</v>
      </c>
      <c r="AE52" s="315">
        <v>0.0</v>
      </c>
      <c r="AF52" s="166">
        <v>0.0</v>
      </c>
      <c r="AG52" s="316">
        <v>0.0</v>
      </c>
      <c r="AH52" s="307">
        <v>0.0</v>
      </c>
      <c r="AI52" s="317">
        <v>0.0</v>
      </c>
      <c r="AJ52" s="318">
        <v>0.0</v>
      </c>
      <c r="AK52" s="319">
        <v>0.0</v>
      </c>
      <c r="AL52" s="319">
        <v>0.0</v>
      </c>
      <c r="AM52" s="320">
        <v>0.0</v>
      </c>
      <c r="AN52" s="149" t="str">
        <f>IFERROR(
  AVERAGEIFS(
    'New 20102013 LF Efficacy'!$J:$J,
    'New 20102013 LF Efficacy'!$D:$D, $A52,
    'New 20102013 LF Efficacy'!$F:$F,"DEC", 
    'New 20102013 LF Efficacy'!$W:$W,"&lt;2014",
    'New 20102013 LF Efficacy'!$AA:$AA,""),
  ""
)</f>
        <v/>
      </c>
      <c r="AO52" s="115">
        <f t="shared" si="18"/>
        <v>0.38</v>
      </c>
      <c r="AP52" s="121" t="str">
        <f>IFERROR(
AVERAGEIFS(
'New 20102013 LF Efficacy'!$J:$J,
'New 20102013 LF Efficacy'!$D:$D,$A52,
'New 20102013 LF Efficacy'!$F:$F,"Albendazole &amp; DEC",
'New 20102013 LF Efficacy'!$W:$W,"&lt;2014",
'New 20102013 LF Efficacy'!$AA:$AA,""),
"")
</f>
        <v/>
      </c>
      <c r="AQ52" s="115">
        <f t="shared" si="19"/>
        <v>0.657</v>
      </c>
      <c r="AR52" s="121" t="str">
        <f>IFERROR(
AVERAGEIFS(
'New 20102013 LF Efficacy'!$J:$J,
'New 20102013 LF Efficacy'!$D:$D,$A52,
'New 20102013 LF Efficacy'!$F:$F,"Albendazole &amp; Ivermectin", 
'New 20102013 LF Efficacy'!$W:$W,"&lt;2014",
'New 20102013 LF Efficacy'!$AA:$AA,""),"")</f>
        <v/>
      </c>
      <c r="AS52" s="115">
        <f t="shared" si="20"/>
        <v>0.37153125</v>
      </c>
      <c r="AT52" s="130" t="str">
        <f>IFERROR(AVERAGEIFS(
'20102013 Schist Efficacy'!$O:$O, 
'20102013 Schist Efficacy'!$C:$C,$A52, 
'20102013 Schist Efficacy'!$D:$D, "Praziquantel",
'20102013 Schist Efficacy'!$J:$J,"&lt;2014",
'20102013 Schist Efficacy'!$U:$U,""),
"")</f>
        <v/>
      </c>
      <c r="AU52" s="118">
        <f t="shared" si="21"/>
        <v>0.9475</v>
      </c>
      <c r="AV52" s="131" t="str">
        <f>IFERROR(AVERAGEIFS(
'20102013 STH Efficacy'!$AX:$AX, 
'20102013 STH Efficacy'!$AL:$AL, $A52, 
'20102013 STH Efficacy'!$AM:$AM, "Albendazole",
'20102013 STH Efficacy'!$AS:$AS,"&lt;2014",
'20102013 STH Efficacy'!$BP:$BP,""),
"")</f>
        <v/>
      </c>
      <c r="AW52" s="132">
        <f t="shared" si="22"/>
        <v>0.3571666667</v>
      </c>
      <c r="AX52" s="131" t="str">
        <f>IFERROR(AVERAGEIFS(
'20102013 STH Efficacy'!$AX:$AX, 
'20102013 STH Efficacy'!$AL:$AL, $A52, 
'20102013 STH Efficacy'!$AM:$AM, "Mebendazole",
'20102013 STH Efficacy'!$AS:$AS,"&lt;2014",
'20102013 STH Efficacy'!$BP:$BP,""),
"")</f>
        <v/>
      </c>
      <c r="AY52" s="132">
        <f t="shared" si="23"/>
        <v>0.4155</v>
      </c>
      <c r="AZ52" s="131" t="str">
        <f>IFERROR(AVERAGEIFS(
'20102013 STH Efficacy'!$AX:$AX, 
'20102013 STH Efficacy'!$AL:$AL, $A52, 
'20102013 STH Efficacy'!$AM:$AM, "Albendazole &amp; Ivermectin",
'20102013 STH Efficacy'!$AS:$AS,"&lt;2014",
'20102013 STH Efficacy'!$BP:$BP,""),
"")</f>
        <v/>
      </c>
      <c r="BA52" s="303">
        <f t="shared" si="24"/>
        <v>0.651</v>
      </c>
      <c r="BB52" s="134" t="str">
        <f>IFERROR(AVERAGEIFS(
'20102013 STH Efficacy'!$N:$N, 
'20102013 STH Efficacy'!$B:$B, $A52, 
'20102013 STH Efficacy'!$C:$C, "Albendazole",
'20102013 STH Efficacy'!$I:$I,"&lt;2014",
'20102013 STH Efficacy'!$AH:$AH,""),
"")</f>
        <v/>
      </c>
      <c r="BC52" s="135">
        <f t="shared" si="25"/>
        <v>0.5769166667</v>
      </c>
      <c r="BD52" s="134" t="str">
        <f>IFERROR(AVERAGEIFS(
'20102013 STH Efficacy'!$N:$N, 
'20102013 STH Efficacy'!$B:$B, $A52, 
'20102013 STH Efficacy'!$C:$C, "Mebendazole",
'20102013 STH Efficacy'!$I:$I,"&lt;2014",
'20102013 STH Efficacy'!$AH:$AH,""),
"")</f>
        <v/>
      </c>
      <c r="BE52" s="135">
        <f t="shared" si="26"/>
        <v>0.3145</v>
      </c>
      <c r="BF52" s="128" t="str">
        <f>IFERROR(AVERAGEIFS(
'20102013 STH Efficacy'!$CD:$CD, 
'20102013 STH Efficacy'!$BS:$BS, $A52, 
'20102013 STH Efficacy'!$BT:$BT, "Albendazole",
'20102013 STH Efficacy'!$BZ:$BZ,"&lt;2014",
'20102013 STH Efficacy'!$CU:$CU,""),
"")</f>
        <v/>
      </c>
      <c r="BG52" s="136">
        <f t="shared" si="27"/>
        <v>0.96925</v>
      </c>
      <c r="BH52" s="128" t="str">
        <f>IFERROR(AVERAGEIFS(
'20102013 STH Efficacy'!$CD:$CD, 
'20102013 STH Efficacy'!$BS:$BS, $A52, 
'20102013 STH Efficacy'!$BT:$BT, "Mebendazole",
'20102013 STH Efficacy'!$BZ:$BZ,"&lt;2014",
'20102013 STH Efficacy'!$CU:$CU,""),
"")</f>
        <v/>
      </c>
      <c r="BI52" s="136">
        <f t="shared" si="28"/>
        <v>0.9305</v>
      </c>
      <c r="BJ52" s="128" t="str">
        <f>IFERROR(AVERAGEIFS(
'20102013 STH Efficacy'!$CD:$CD, 
'20102013 STH Efficacy'!$BS:$BS, $A52, 
'20102013 STH Efficacy'!$BT:$BT, "Albendazole &amp; Ivermectin",
'20102013 STH Efficacy'!$BZ:$BZ,"&lt;2014",
'20102013 STH Efficacy'!$CU:$CU,""),
"")</f>
        <v/>
      </c>
      <c r="BK52" s="136">
        <f t="shared" si="29"/>
        <v>1</v>
      </c>
      <c r="BL52" s="300" t="str">
        <f>IFERROR(
  AVERAGEIFS(
    'NEW 20102013 Onchocerciasis Eff'!$AO:$AO,
    'NEW 20102013 Onchocerciasis Eff'!$C:$C,$A52,
    'NEW 20102013 Onchocerciasis Eff'!$D:$D,"Ivermectin",
    'NEW 20102013 Onchocerciasis Eff'!$AR:$AR,"&lt;2014",
    'NEW 20102013 Onchocerciasis Eff'!$BG:$BG,"")
,"")</f>
        <v/>
      </c>
      <c r="BM52" s="304">
        <f t="shared" si="30"/>
        <v>0.7808368939</v>
      </c>
      <c r="BN52" s="305">
        <v>0.0</v>
      </c>
      <c r="BO52" s="139">
        <v>0.0</v>
      </c>
      <c r="BP52" s="140">
        <v>0.0</v>
      </c>
      <c r="BQ52" s="141">
        <f t="shared" si="31"/>
        <v>0</v>
      </c>
      <c r="BR52" s="104" t="str">
        <f t="shared" si="32"/>
        <v>0000</v>
      </c>
      <c r="BS52" s="104" t="str">
        <f t="shared" si="33"/>
        <v>no action required</v>
      </c>
      <c r="BT52" s="142" t="str">
        <f t="shared" si="34"/>
        <v/>
      </c>
      <c r="BU52" s="104" t="str">
        <f t="shared" si="35"/>
        <v/>
      </c>
      <c r="BV52" s="104" t="str">
        <f t="shared" si="36"/>
        <v>none</v>
      </c>
      <c r="BW52" s="150" t="str">
        <f t="shared" si="37"/>
        <v/>
      </c>
      <c r="BX52" s="150" t="str">
        <f t="shared" si="38"/>
        <v/>
      </c>
      <c r="BY52" s="151" t="str">
        <f t="shared" si="39"/>
        <v/>
      </c>
      <c r="BZ52" s="152" t="str">
        <f t="shared" si="40"/>
        <v/>
      </c>
      <c r="CA52" s="152" t="str">
        <f t="shared" si="41"/>
        <v/>
      </c>
      <c r="CB52" s="152" t="str">
        <f t="shared" si="42"/>
        <v/>
      </c>
      <c r="CC52" s="153" t="str">
        <f t="shared" si="43"/>
        <v/>
      </c>
      <c r="CD52" s="153" t="str">
        <f t="shared" si="44"/>
        <v/>
      </c>
      <c r="CE52" s="154" t="str">
        <f t="shared" si="45"/>
        <v/>
      </c>
      <c r="CF52" s="154" t="str">
        <f t="shared" si="46"/>
        <v/>
      </c>
      <c r="CG52" s="154" t="str">
        <f t="shared" si="47"/>
        <v/>
      </c>
      <c r="CH52" s="308" t="str">
        <f t="shared" si="48"/>
        <v/>
      </c>
      <c r="CI52" s="299"/>
    </row>
    <row r="53">
      <c r="A53" s="103" t="s">
        <v>142</v>
      </c>
      <c r="B53" s="104" t="s">
        <v>98</v>
      </c>
      <c r="C53" s="105">
        <v>4706401.0</v>
      </c>
      <c r="D53" s="293">
        <v>0.0</v>
      </c>
      <c r="E53" s="294">
        <v>0.0</v>
      </c>
      <c r="F53" s="295">
        <v>3.099290765</v>
      </c>
      <c r="G53" s="295">
        <v>20.20557795</v>
      </c>
      <c r="H53" s="108">
        <v>23.30486871</v>
      </c>
      <c r="I53" s="109">
        <v>56.2940142</v>
      </c>
      <c r="J53" s="110">
        <v>259.717219</v>
      </c>
      <c r="K53" s="109">
        <v>316.0112332</v>
      </c>
      <c r="L53" s="112">
        <v>54.41997387</v>
      </c>
      <c r="M53" s="112">
        <v>123.9833995</v>
      </c>
      <c r="N53" s="111">
        <v>178.4033733</v>
      </c>
      <c r="O53" s="298">
        <v>0.0</v>
      </c>
      <c r="P53" s="156"/>
      <c r="Q53" s="156"/>
      <c r="R53" s="121" t="str">
        <f t="shared" si="11"/>
        <v/>
      </c>
      <c r="S53" s="116">
        <f t="shared" si="12"/>
        <v>0.2288425133</v>
      </c>
      <c r="T53" s="130"/>
      <c r="U53" s="118">
        <f t="shared" si="13"/>
        <v>0.39435</v>
      </c>
      <c r="V53" s="148"/>
      <c r="W53" s="120">
        <f t="shared" si="14"/>
        <v>0.542475</v>
      </c>
      <c r="X53" s="148"/>
      <c r="Y53" s="120">
        <f t="shared" si="15"/>
        <v>0.6507333333</v>
      </c>
      <c r="Z53" s="299"/>
      <c r="AA53" s="299"/>
      <c r="AB53" s="300" t="str">
        <f t="shared" si="16"/>
        <v/>
      </c>
      <c r="AC53" s="301">
        <f t="shared" si="17"/>
        <v>0.3490201688</v>
      </c>
      <c r="AD53" s="122">
        <v>0.0</v>
      </c>
      <c r="AE53" s="123">
        <v>0.0</v>
      </c>
      <c r="AF53" s="123">
        <v>0.0</v>
      </c>
      <c r="AG53" s="124">
        <v>0.0867</v>
      </c>
      <c r="AH53" s="124">
        <v>0.129471666</v>
      </c>
      <c r="AI53" s="125">
        <v>0.0582</v>
      </c>
      <c r="AJ53" s="125">
        <v>0.086776181</v>
      </c>
      <c r="AK53" s="127">
        <v>0.1506</v>
      </c>
      <c r="AL53" s="127">
        <v>0.2189</v>
      </c>
      <c r="AM53" s="302">
        <v>0.0</v>
      </c>
      <c r="AN53" s="149" t="str">
        <f>IFERROR(
  AVERAGEIFS(
    'New 20102013 LF Efficacy'!$J:$J,
    'New 20102013 LF Efficacy'!$D:$D, $A53,
    'New 20102013 LF Efficacy'!$F:$F,"DEC", 
    'New 20102013 LF Efficacy'!$W:$W,"&lt;2014",
    'New 20102013 LF Efficacy'!$AA:$AA,""),
  ""
)</f>
        <v/>
      </c>
      <c r="AO53" s="115">
        <f t="shared" si="18"/>
        <v>0.2589833333</v>
      </c>
      <c r="AP53" s="121" t="str">
        <f>IFERROR(
AVERAGEIFS(
'New 20102013 LF Efficacy'!$J:$J,
'New 20102013 LF Efficacy'!$D:$D,$A53,
'New 20102013 LF Efficacy'!$F:$F,"Albendazole &amp; DEC",
'New 20102013 LF Efficacy'!$W:$W,"&lt;2014",
'New 20102013 LF Efficacy'!$AA:$AA,""),
"")
</f>
        <v/>
      </c>
      <c r="AQ53" s="115">
        <f t="shared" si="19"/>
        <v>0.3465</v>
      </c>
      <c r="AR53" s="121" t="str">
        <f>IFERROR(
AVERAGEIFS(
'New 20102013 LF Efficacy'!$J:$J,
'New 20102013 LF Efficacy'!$D:$D,$A53,
'New 20102013 LF Efficacy'!$F:$F,"Albendazole &amp; Ivermectin", 
'New 20102013 LF Efficacy'!$W:$W,"&lt;2014",
'New 20102013 LF Efficacy'!$AA:$AA,""),"")</f>
        <v/>
      </c>
      <c r="AS53" s="115">
        <f t="shared" si="20"/>
        <v>0.7575</v>
      </c>
      <c r="AT53" s="130" t="str">
        <f>IFERROR(AVERAGEIFS(
'20102013 Schist Efficacy'!$O:$O, 
'20102013 Schist Efficacy'!$C:$C,$A53, 
'20102013 Schist Efficacy'!$D:$D, "Praziquantel",
'20102013 Schist Efficacy'!$J:$J,"&lt;2014",
'20102013 Schist Efficacy'!$U:$U,""),
"")</f>
        <v/>
      </c>
      <c r="AU53" s="118">
        <f t="shared" si="21"/>
        <v>0.7914761905</v>
      </c>
      <c r="AV53" s="131" t="str">
        <f>IFERROR(AVERAGEIFS(
'20102013 STH Efficacy'!$AX:$AX, 
'20102013 STH Efficacy'!$AL:$AL, $A53, 
'20102013 STH Efficacy'!$AM:$AM, "Albendazole",
'20102013 STH Efficacy'!$AS:$AS,"&lt;2014",
'20102013 STH Efficacy'!$BP:$BP,""),
"")</f>
        <v/>
      </c>
      <c r="AW53" s="132">
        <f t="shared" si="22"/>
        <v>0.3945</v>
      </c>
      <c r="AX53" s="131" t="str">
        <f>IFERROR(AVERAGEIFS(
'20102013 STH Efficacy'!$AX:$AX, 
'20102013 STH Efficacy'!$AL:$AL, $A53, 
'20102013 STH Efficacy'!$AM:$AM, "Mebendazole",
'20102013 STH Efficacy'!$AS:$AS,"&lt;2014",
'20102013 STH Efficacy'!$BP:$BP,""),
"")</f>
        <v/>
      </c>
      <c r="AY53" s="132">
        <f t="shared" si="23"/>
        <v>0.6</v>
      </c>
      <c r="AZ53" s="131" t="str">
        <f>IFERROR(AVERAGEIFS(
'20102013 STH Efficacy'!$AX:$AX, 
'20102013 STH Efficacy'!$AL:$AL, $A53, 
'20102013 STH Efficacy'!$AM:$AM, "Albendazole &amp; Ivermectin",
'20102013 STH Efficacy'!$AS:$AS,"&lt;2014",
'20102013 STH Efficacy'!$BP:$BP,""),
"")</f>
        <v/>
      </c>
      <c r="BA53" s="303">
        <f t="shared" si="24"/>
        <v>0.796</v>
      </c>
      <c r="BB53" s="134" t="str">
        <f>IFERROR(AVERAGEIFS(
'20102013 STH Efficacy'!$N:$N, 
'20102013 STH Efficacy'!$B:$B, $A53, 
'20102013 STH Efficacy'!$C:$C, "Albendazole",
'20102013 STH Efficacy'!$I:$I,"&lt;2014",
'20102013 STH Efficacy'!$AH:$AH,""),
"")</f>
        <v/>
      </c>
      <c r="BC53" s="135">
        <f t="shared" si="25"/>
        <v>0.869</v>
      </c>
      <c r="BD53" s="134" t="str">
        <f>IFERROR(AVERAGEIFS(
'20102013 STH Efficacy'!$N:$N, 
'20102013 STH Efficacy'!$B:$B, $A53, 
'20102013 STH Efficacy'!$C:$C, "Mebendazole",
'20102013 STH Efficacy'!$I:$I,"&lt;2014",
'20102013 STH Efficacy'!$AH:$AH,""),
"")</f>
        <v/>
      </c>
      <c r="BE53" s="135">
        <f t="shared" si="26"/>
        <v>0.172</v>
      </c>
      <c r="BF53" s="128" t="str">
        <f>IFERROR(AVERAGEIFS(
'20102013 STH Efficacy'!$CD:$CD, 
'20102013 STH Efficacy'!$BS:$BS, $A53, 
'20102013 STH Efficacy'!$BT:$BT, "Albendazole",
'20102013 STH Efficacy'!$BZ:$BZ,"&lt;2014",
'20102013 STH Efficacy'!$CU:$CU,""),
"")</f>
        <v/>
      </c>
      <c r="BG53" s="136">
        <f t="shared" si="27"/>
        <v>0.9862</v>
      </c>
      <c r="BH53" s="128" t="str">
        <f>IFERROR(AVERAGEIFS(
'20102013 STH Efficacy'!$CD:$CD, 
'20102013 STH Efficacy'!$BS:$BS, $A53, 
'20102013 STH Efficacy'!$BT:$BT, "Mebendazole",
'20102013 STH Efficacy'!$BZ:$BZ,"&lt;2014",
'20102013 STH Efficacy'!$CU:$CU,""),
"")</f>
        <v/>
      </c>
      <c r="BI53" s="136">
        <f t="shared" si="28"/>
        <v>0.769</v>
      </c>
      <c r="BJ53" s="128" t="str">
        <f>IFERROR(AVERAGEIFS(
'20102013 STH Efficacy'!$CD:$CD, 
'20102013 STH Efficacy'!$BS:$BS, $A53, 
'20102013 STH Efficacy'!$BT:$BT, "Albendazole &amp; Ivermectin",
'20102013 STH Efficacy'!$BZ:$BZ,"&lt;2014",
'20102013 STH Efficacy'!$CU:$CU,""),
"")</f>
        <v/>
      </c>
      <c r="BK53" s="136">
        <f t="shared" si="29"/>
        <v>1</v>
      </c>
      <c r="BL53" s="300" t="str">
        <f>IFERROR(
  AVERAGEIFS(
    'NEW 20102013 Onchocerciasis Eff'!$AO:$AO,
    'NEW 20102013 Onchocerciasis Eff'!$C:$C,$A53,
    'NEW 20102013 Onchocerciasis Eff'!$D:$D,"Ivermectin",
    'NEW 20102013 Onchocerciasis Eff'!$AR:$AR,"&lt;2014",
    'NEW 20102013 Onchocerciasis Eff'!$BG:$BG,"")
,"")</f>
        <v/>
      </c>
      <c r="BM53" s="304">
        <f t="shared" si="30"/>
        <v>0.3734</v>
      </c>
      <c r="BN53" s="305">
        <v>0.0</v>
      </c>
      <c r="BO53" s="139">
        <v>0.0</v>
      </c>
      <c r="BP53" s="140">
        <v>0.0</v>
      </c>
      <c r="BQ53" s="141">
        <f t="shared" si="31"/>
        <v>0</v>
      </c>
      <c r="BR53" s="104" t="str">
        <f t="shared" si="32"/>
        <v>0000</v>
      </c>
      <c r="BS53" s="104" t="str">
        <f t="shared" si="33"/>
        <v>no action required</v>
      </c>
      <c r="BT53" s="142" t="str">
        <f t="shared" si="34"/>
        <v/>
      </c>
      <c r="BU53" s="104" t="str">
        <f t="shared" si="35"/>
        <v/>
      </c>
      <c r="BV53" s="104" t="str">
        <f t="shared" si="36"/>
        <v>none</v>
      </c>
      <c r="BW53" s="150" t="str">
        <f t="shared" si="37"/>
        <v/>
      </c>
      <c r="BX53" s="150" t="str">
        <f t="shared" si="38"/>
        <v/>
      </c>
      <c r="BY53" s="151" t="str">
        <f t="shared" si="39"/>
        <v/>
      </c>
      <c r="BZ53" s="152" t="str">
        <f t="shared" si="40"/>
        <v/>
      </c>
      <c r="CA53" s="152" t="str">
        <f t="shared" si="41"/>
        <v/>
      </c>
      <c r="CB53" s="152" t="str">
        <f t="shared" si="42"/>
        <v/>
      </c>
      <c r="CC53" s="153" t="str">
        <f t="shared" si="43"/>
        <v/>
      </c>
      <c r="CD53" s="153" t="str">
        <f t="shared" si="44"/>
        <v/>
      </c>
      <c r="CE53" s="154" t="str">
        <f t="shared" si="45"/>
        <v/>
      </c>
      <c r="CF53" s="154" t="str">
        <f t="shared" si="46"/>
        <v/>
      </c>
      <c r="CG53" s="154" t="str">
        <f t="shared" si="47"/>
        <v/>
      </c>
      <c r="CH53" s="308" t="str">
        <f t="shared" si="48"/>
        <v/>
      </c>
      <c r="CI53" s="299"/>
    </row>
    <row r="54">
      <c r="A54" s="175" t="s">
        <v>143</v>
      </c>
      <c r="B54" s="104" t="s">
        <v>92</v>
      </c>
      <c r="C54" s="105">
        <v>2.1966312E7</v>
      </c>
      <c r="D54" s="293">
        <v>31338.8</v>
      </c>
      <c r="E54" s="294">
        <v>74900.14605</v>
      </c>
      <c r="F54" s="309">
        <v>58.40608574</v>
      </c>
      <c r="G54" s="309">
        <v>267.5979099</v>
      </c>
      <c r="H54" s="108">
        <v>326.0039956</v>
      </c>
      <c r="I54" s="109">
        <v>0.0</v>
      </c>
      <c r="J54" s="109">
        <v>0.0</v>
      </c>
      <c r="K54" s="109">
        <v>6528.544816</v>
      </c>
      <c r="L54" s="112">
        <v>8482.268285</v>
      </c>
      <c r="M54" s="112">
        <v>1902.670277</v>
      </c>
      <c r="N54" s="111">
        <v>10384.93856</v>
      </c>
      <c r="O54" s="298">
        <v>0.0</v>
      </c>
      <c r="P54" s="160">
        <v>1.7443064E7</v>
      </c>
      <c r="Q54" s="160">
        <v>1500714.0</v>
      </c>
      <c r="R54" s="121">
        <f t="shared" si="11"/>
        <v>0.08603499936</v>
      </c>
      <c r="S54" s="116">
        <f t="shared" si="12"/>
        <v>0.08603499936</v>
      </c>
      <c r="T54" s="130"/>
      <c r="U54" s="118">
        <f t="shared" si="13"/>
        <v>0.252</v>
      </c>
      <c r="V54" s="148"/>
      <c r="W54" s="120">
        <f t="shared" si="14"/>
        <v>0.8114541667</v>
      </c>
      <c r="X54" s="119">
        <v>0.0877</v>
      </c>
      <c r="Y54" s="120">
        <f t="shared" si="15"/>
        <v>0.0877</v>
      </c>
      <c r="Z54" s="310">
        <v>2285120.0</v>
      </c>
      <c r="AA54" s="310">
        <v>1001818.0</v>
      </c>
      <c r="AB54" s="300">
        <f t="shared" si="16"/>
        <v>0.4384093614</v>
      </c>
      <c r="AC54" s="301">
        <f t="shared" si="17"/>
        <v>0.4384093614</v>
      </c>
      <c r="AD54" s="122">
        <v>0.0307</v>
      </c>
      <c r="AE54" s="123">
        <v>0.37</v>
      </c>
      <c r="AF54" s="123">
        <v>0.1526</v>
      </c>
      <c r="AG54" s="316">
        <v>0.0</v>
      </c>
      <c r="AH54" s="124">
        <v>0.127147338</v>
      </c>
      <c r="AI54" s="317">
        <v>0.0</v>
      </c>
      <c r="AJ54" s="317">
        <v>0.19070704</v>
      </c>
      <c r="AK54" s="319">
        <v>0.0</v>
      </c>
      <c r="AL54" s="319">
        <v>0.0</v>
      </c>
      <c r="AM54" s="302">
        <v>0.0</v>
      </c>
      <c r="AN54" s="149" t="str">
        <f>IFERROR(
  AVERAGEIFS(
    'New 20102013 LF Efficacy'!$J:$J,
    'New 20102013 LF Efficacy'!$D:$D, $A54,
    'New 20102013 LF Efficacy'!$F:$F,"DEC", 
    'New 20102013 LF Efficacy'!$W:$W,"&lt;2014",
    'New 20102013 LF Efficacy'!$AA:$AA,""),
  ""
)</f>
        <v/>
      </c>
      <c r="AO54" s="115">
        <f t="shared" si="18"/>
        <v>0.31225</v>
      </c>
      <c r="AP54" s="121" t="str">
        <f>IFERROR(
AVERAGEIFS(
'New 20102013 LF Efficacy'!$J:$J,
'New 20102013 LF Efficacy'!$D:$D,$A54,
'New 20102013 LF Efficacy'!$F:$F,"Albendazole &amp; DEC",
'New 20102013 LF Efficacy'!$W:$W,"&lt;2014",
'New 20102013 LF Efficacy'!$AA:$AA,""),
"")
</f>
        <v/>
      </c>
      <c r="AQ54" s="115">
        <f t="shared" si="19"/>
        <v>0.4</v>
      </c>
      <c r="AR54" s="121" t="str">
        <f>IFERROR(
AVERAGEIFS(
'New 20102013 LF Efficacy'!$J:$J,
'New 20102013 LF Efficacy'!$D:$D,$A54,
'New 20102013 LF Efficacy'!$F:$F,"Albendazole &amp; Ivermectin", 
'New 20102013 LF Efficacy'!$W:$W,"&lt;2014",
'New 20102013 LF Efficacy'!$AA:$AA,""),"")</f>
        <v/>
      </c>
      <c r="AS54" s="115">
        <f t="shared" si="20"/>
        <v>0.2943125</v>
      </c>
      <c r="AT54" s="130">
        <f>IFERROR(AVERAGEIFS(
'20102013 Schist Efficacy'!$O:$O, 
'20102013 Schist Efficacy'!$C:$C,$A54, 
'20102013 Schist Efficacy'!$D:$D, "Praziquantel",
'20102013 Schist Efficacy'!$J:$J,"&lt;2014",
'20102013 Schist Efficacy'!$U:$U,""),
"")</f>
        <v>0.7085714286</v>
      </c>
      <c r="AU54" s="118">
        <f t="shared" si="21"/>
        <v>0.7085714286</v>
      </c>
      <c r="AV54" s="131" t="str">
        <f>IFERROR(AVERAGEIFS(
'20102013 STH Efficacy'!$AX:$AX, 
'20102013 STH Efficacy'!$AL:$AL, $A54, 
'20102013 STH Efficacy'!$AM:$AM, "Albendazole",
'20102013 STH Efficacy'!$AS:$AS,"&lt;2014",
'20102013 STH Efficacy'!$BP:$BP,""),
"")</f>
        <v/>
      </c>
      <c r="AW54" s="132">
        <f t="shared" si="22"/>
        <v>0.3816333333</v>
      </c>
      <c r="AX54" s="131" t="str">
        <f>IFERROR(AVERAGEIFS(
'20102013 STH Efficacy'!$AX:$AX, 
'20102013 STH Efficacy'!$AL:$AL, $A54, 
'20102013 STH Efficacy'!$AM:$AM, "Mebendazole",
'20102013 STH Efficacy'!$AS:$AS,"&lt;2014",
'20102013 STH Efficacy'!$BP:$BP,""),
"")</f>
        <v/>
      </c>
      <c r="AY54" s="132">
        <f t="shared" si="23"/>
        <v>0.5675833333</v>
      </c>
      <c r="AZ54" s="131" t="str">
        <f>IFERROR(AVERAGEIFS(
'20102013 STH Efficacy'!$AX:$AX, 
'20102013 STH Efficacy'!$AL:$AL, $A54, 
'20102013 STH Efficacy'!$AM:$AM, "Albendazole &amp; Ivermectin",
'20102013 STH Efficacy'!$AS:$AS,"&lt;2014",
'20102013 STH Efficacy'!$BP:$BP,""),
"")</f>
        <v/>
      </c>
      <c r="BA54" s="303">
        <f t="shared" si="24"/>
        <v>0.47175</v>
      </c>
      <c r="BB54" s="134" t="str">
        <f>IFERROR(AVERAGEIFS(
'20102013 STH Efficacy'!$N:$N, 
'20102013 STH Efficacy'!$B:$B, $A54, 
'20102013 STH Efficacy'!$C:$C, "Albendazole",
'20102013 STH Efficacy'!$I:$I,"&lt;2014",
'20102013 STH Efficacy'!$AH:$AH,""),
"")</f>
        <v/>
      </c>
      <c r="BC54" s="135">
        <f t="shared" si="25"/>
        <v>0.8699166667</v>
      </c>
      <c r="BD54" s="134" t="str">
        <f>IFERROR(AVERAGEIFS(
'20102013 STH Efficacy'!$N:$N, 
'20102013 STH Efficacy'!$B:$B, $A54, 
'20102013 STH Efficacy'!$C:$C, "Mebendazole",
'20102013 STH Efficacy'!$I:$I,"&lt;2014",
'20102013 STH Efficacy'!$AH:$AH,""),
"")</f>
        <v/>
      </c>
      <c r="BE54" s="135">
        <f t="shared" si="26"/>
        <v>0.7092416667</v>
      </c>
      <c r="BF54" s="128" t="str">
        <f>IFERROR(AVERAGEIFS(
'20102013 STH Efficacy'!$CD:$CD, 
'20102013 STH Efficacy'!$BS:$BS, $A54, 
'20102013 STH Efficacy'!$BT:$BT, "Albendazole",
'20102013 STH Efficacy'!$BZ:$BZ,"&lt;2014",
'20102013 STH Efficacy'!$CU:$CU,""),
"")</f>
        <v/>
      </c>
      <c r="BG54" s="136">
        <f t="shared" si="27"/>
        <v>0.9066666667</v>
      </c>
      <c r="BH54" s="128" t="str">
        <f>IFERROR(AVERAGEIFS(
'20102013 STH Efficacy'!$CD:$CD, 
'20102013 STH Efficacy'!$BS:$BS, $A54, 
'20102013 STH Efficacy'!$BT:$BT, "Mebendazole",
'20102013 STH Efficacy'!$BZ:$BZ,"&lt;2014",
'20102013 STH Efficacy'!$CU:$CU,""),
"")</f>
        <v/>
      </c>
      <c r="BI54" s="136">
        <f t="shared" si="28"/>
        <v>0.9358666667</v>
      </c>
      <c r="BJ54" s="128" t="str">
        <f>IFERROR(AVERAGEIFS(
'20102013 STH Efficacy'!$CD:$CD, 
'20102013 STH Efficacy'!$BS:$BS, $A54, 
'20102013 STH Efficacy'!$BT:$BT, "Albendazole &amp; Ivermectin",
'20102013 STH Efficacy'!$BZ:$BZ,"&lt;2014",
'20102013 STH Efficacy'!$CU:$CU,""),
"")</f>
        <v/>
      </c>
      <c r="BK54" s="136">
        <f t="shared" si="29"/>
        <v>1</v>
      </c>
      <c r="BL54" s="300" t="str">
        <f>IFERROR(
  AVERAGEIFS(
    'NEW 20102013 Onchocerciasis Eff'!$AO:$AO,
    'NEW 20102013 Onchocerciasis Eff'!$C:$C,$A54,
    'NEW 20102013 Onchocerciasis Eff'!$D:$D,"Ivermectin",
    'NEW 20102013 Onchocerciasis Eff'!$AR:$AR,"&lt;2014",
    'NEW 20102013 Onchocerciasis Eff'!$BG:$BG,"")
,"")</f>
        <v/>
      </c>
      <c r="BM54" s="304">
        <f t="shared" si="30"/>
        <v>0.8390421645</v>
      </c>
      <c r="BN54" s="305">
        <v>1.0</v>
      </c>
      <c r="BO54" s="139">
        <v>1.0</v>
      </c>
      <c r="BP54" s="140">
        <v>1.0</v>
      </c>
      <c r="BQ54" s="141">
        <f t="shared" si="31"/>
        <v>0</v>
      </c>
      <c r="BR54" s="104" t="str">
        <f t="shared" si="32"/>
        <v>1110</v>
      </c>
      <c r="BS54" s="104" t="str">
        <f t="shared" si="33"/>
        <v>MDA1+T2</v>
      </c>
      <c r="BT54" s="142" t="str">
        <f t="shared" si="34"/>
        <v>IVM+ALB</v>
      </c>
      <c r="BU54" s="104" t="str">
        <f t="shared" si="35"/>
        <v>PZQ</v>
      </c>
      <c r="BV54" s="104" t="str">
        <f t="shared" si="36"/>
        <v>lf+onch+schist </v>
      </c>
      <c r="BW54" s="150" t="str">
        <f t="shared" si="37"/>
        <v/>
      </c>
      <c r="BX54" s="312">
        <f t="shared" si="38"/>
        <v>814.1505107</v>
      </c>
      <c r="BY54" s="162">
        <f t="shared" si="39"/>
        <v>16281.37183</v>
      </c>
      <c r="BZ54" s="152" t="str">
        <f t="shared" si="40"/>
        <v/>
      </c>
      <c r="CA54" s="152" t="str">
        <f t="shared" si="41"/>
        <v/>
      </c>
      <c r="CB54" s="152" t="str">
        <f t="shared" si="42"/>
        <v/>
      </c>
      <c r="CC54" s="153" t="str">
        <f t="shared" si="43"/>
        <v/>
      </c>
      <c r="CD54" s="153" t="str">
        <f t="shared" si="44"/>
        <v/>
      </c>
      <c r="CE54" s="154" t="str">
        <f t="shared" si="45"/>
        <v/>
      </c>
      <c r="CF54" s="154" t="str">
        <f t="shared" si="46"/>
        <v/>
      </c>
      <c r="CG54" s="154" t="str">
        <f t="shared" si="47"/>
        <v/>
      </c>
      <c r="CH54" s="313">
        <f t="shared" si="48"/>
        <v>0</v>
      </c>
      <c r="CI54" s="299"/>
    </row>
    <row r="55">
      <c r="A55" s="103" t="s">
        <v>144</v>
      </c>
      <c r="B55" s="104" t="s">
        <v>90</v>
      </c>
      <c r="C55" s="105">
        <v>4255689.0</v>
      </c>
      <c r="D55" s="293">
        <v>0.0</v>
      </c>
      <c r="E55" s="294">
        <v>0.0</v>
      </c>
      <c r="F55" s="307">
        <v>0.0</v>
      </c>
      <c r="G55" s="307">
        <v>0.0</v>
      </c>
      <c r="H55" s="108">
        <v>0.0</v>
      </c>
      <c r="I55" s="109">
        <v>0.0</v>
      </c>
      <c r="J55" s="109">
        <v>0.0</v>
      </c>
      <c r="K55" s="109">
        <v>0.0</v>
      </c>
      <c r="L55" s="112">
        <v>0.0</v>
      </c>
      <c r="M55" s="112">
        <v>0.0</v>
      </c>
      <c r="N55" s="111">
        <v>0.0</v>
      </c>
      <c r="O55" s="298">
        <v>0.0</v>
      </c>
      <c r="P55" s="114"/>
      <c r="Q55" s="114"/>
      <c r="R55" s="121" t="str">
        <f t="shared" si="11"/>
        <v/>
      </c>
      <c r="S55" s="116">
        <f t="shared" si="12"/>
        <v>0.526225767</v>
      </c>
      <c r="T55" s="130"/>
      <c r="U55" s="118">
        <f t="shared" si="13"/>
        <v>0.3468166667</v>
      </c>
      <c r="V55" s="148"/>
      <c r="W55" s="120">
        <f t="shared" si="14"/>
        <v>1</v>
      </c>
      <c r="X55" s="148"/>
      <c r="Y55" s="120">
        <f t="shared" si="15"/>
        <v>1</v>
      </c>
      <c r="Z55" s="299"/>
      <c r="AA55" s="299"/>
      <c r="AB55" s="300" t="str">
        <f t="shared" si="16"/>
        <v/>
      </c>
      <c r="AC55" s="301">
        <f t="shared" si="17"/>
        <v>0.6295826791</v>
      </c>
      <c r="AD55" s="122">
        <v>0.0</v>
      </c>
      <c r="AE55" s="123">
        <v>0.0</v>
      </c>
      <c r="AF55" s="123">
        <v>0.0</v>
      </c>
      <c r="AG55" s="316">
        <v>0.0</v>
      </c>
      <c r="AH55" s="124">
        <v>0.0</v>
      </c>
      <c r="AI55" s="317">
        <v>0.0</v>
      </c>
      <c r="AJ55" s="125">
        <v>0.0</v>
      </c>
      <c r="AK55" s="319">
        <v>0.0</v>
      </c>
      <c r="AL55" s="319">
        <v>0.0</v>
      </c>
      <c r="AM55" s="302">
        <v>0.0</v>
      </c>
      <c r="AN55" s="149" t="str">
        <f>IFERROR(
  AVERAGEIFS(
    'New 20102013 LF Efficacy'!$J:$J,
    'New 20102013 LF Efficacy'!$D:$D, $A55,
    'New 20102013 LF Efficacy'!$F:$F,"DEC", 
    'New 20102013 LF Efficacy'!$W:$W,"&lt;2014",
    'New 20102013 LF Efficacy'!$AA:$AA,""),
  ""
)</f>
        <v/>
      </c>
      <c r="AO55" s="115">
        <f t="shared" si="18"/>
        <v>0.3573520833</v>
      </c>
      <c r="AP55" s="121" t="str">
        <f>IFERROR(
AVERAGEIFS(
'New 20102013 LF Efficacy'!$J:$J,
'New 20102013 LF Efficacy'!$D:$D,$A55,
'New 20102013 LF Efficacy'!$F:$F,"Albendazole &amp; DEC",
'New 20102013 LF Efficacy'!$W:$W,"&lt;2014",
'New 20102013 LF Efficacy'!$AA:$AA,""),
"")
</f>
        <v/>
      </c>
      <c r="AQ55" s="115">
        <f t="shared" si="19"/>
        <v>0.5137291667</v>
      </c>
      <c r="AR55" s="121" t="str">
        <f>IFERROR(
AVERAGEIFS(
'New 20102013 LF Efficacy'!$J:$J,
'New 20102013 LF Efficacy'!$D:$D,$A55,
'New 20102013 LF Efficacy'!$F:$F,"Albendazole &amp; Ivermectin", 
'New 20102013 LF Efficacy'!$W:$W,"&lt;2014",
'New 20102013 LF Efficacy'!$AA:$AA,""),"")</f>
        <v/>
      </c>
      <c r="AS55" s="115">
        <f t="shared" si="20"/>
        <v>0.37153125</v>
      </c>
      <c r="AT55" s="130" t="str">
        <f>IFERROR(AVERAGEIFS(
'20102013 Schist Efficacy'!$O:$O, 
'20102013 Schist Efficacy'!$C:$C,$A55, 
'20102013 Schist Efficacy'!$D:$D, "Praziquantel",
'20102013 Schist Efficacy'!$J:$J,"&lt;2014",
'20102013 Schist Efficacy'!$U:$U,""),
"")</f>
        <v/>
      </c>
      <c r="AU55" s="118">
        <f t="shared" si="21"/>
        <v>0.655</v>
      </c>
      <c r="AV55" s="131" t="str">
        <f>IFERROR(AVERAGEIFS(
'20102013 STH Efficacy'!$AX:$AX, 
'20102013 STH Efficacy'!$AL:$AL, $A55, 
'20102013 STH Efficacy'!$AM:$AM, "Albendazole",
'20102013 STH Efficacy'!$AS:$AS,"&lt;2014",
'20102013 STH Efficacy'!$BP:$BP,""),
"")</f>
        <v/>
      </c>
      <c r="AW55" s="132">
        <f t="shared" si="22"/>
        <v>0.3933333333</v>
      </c>
      <c r="AX55" s="131" t="str">
        <f>IFERROR(AVERAGEIFS(
'20102013 STH Efficacy'!$AX:$AX, 
'20102013 STH Efficacy'!$AL:$AL, $A55, 
'20102013 STH Efficacy'!$AM:$AM, "Mebendazole",
'20102013 STH Efficacy'!$AS:$AS,"&lt;2014",
'20102013 STH Efficacy'!$BP:$BP,""),
"")</f>
        <v/>
      </c>
      <c r="AY55" s="132">
        <f t="shared" si="23"/>
        <v>0.5017738095</v>
      </c>
      <c r="AZ55" s="131" t="str">
        <f>IFERROR(AVERAGEIFS(
'20102013 STH Efficacy'!$AX:$AX, 
'20102013 STH Efficacy'!$AL:$AL, $A55, 
'20102013 STH Efficacy'!$AM:$AM, "Albendazole &amp; Ivermectin",
'20102013 STH Efficacy'!$AS:$AS,"&lt;2014",
'20102013 STH Efficacy'!$BP:$BP,""),
"")</f>
        <v/>
      </c>
      <c r="BA55" s="303">
        <f t="shared" si="24"/>
        <v>0.597625</v>
      </c>
      <c r="BB55" s="134" t="str">
        <f>IFERROR(AVERAGEIFS(
'20102013 STH Efficacy'!$N:$N, 
'20102013 STH Efficacy'!$B:$B, $A55, 
'20102013 STH Efficacy'!$C:$C, "Albendazole",
'20102013 STH Efficacy'!$I:$I,"&lt;2014",
'20102013 STH Efficacy'!$AH:$AH,""),
"")</f>
        <v/>
      </c>
      <c r="BC55" s="135">
        <f t="shared" si="25"/>
        <v>0.7613712121</v>
      </c>
      <c r="BD55" s="134" t="str">
        <f>IFERROR(AVERAGEIFS(
'20102013 STH Efficacy'!$N:$N, 
'20102013 STH Efficacy'!$B:$B, $A55, 
'20102013 STH Efficacy'!$C:$C, "Mebendazole",
'20102013 STH Efficacy'!$I:$I,"&lt;2014",
'20102013 STH Efficacy'!$AH:$AH,""),
"")</f>
        <v/>
      </c>
      <c r="BE55" s="135">
        <f t="shared" si="26"/>
        <v>0.4362466667</v>
      </c>
      <c r="BF55" s="128" t="str">
        <f>IFERROR(AVERAGEIFS(
'20102013 STH Efficacy'!$CD:$CD, 
'20102013 STH Efficacy'!$BS:$BS, $A55, 
'20102013 STH Efficacy'!$BT:$BT, "Albendazole",
'20102013 STH Efficacy'!$BZ:$BZ,"&lt;2014",
'20102013 STH Efficacy'!$CU:$CU,""),
"")</f>
        <v/>
      </c>
      <c r="BG55" s="136">
        <f t="shared" si="27"/>
        <v>0.9216027778</v>
      </c>
      <c r="BH55" s="128" t="str">
        <f>IFERROR(AVERAGEIFS(
'20102013 STH Efficacy'!$CD:$CD, 
'20102013 STH Efficacy'!$BS:$BS, $A55, 
'20102013 STH Efficacy'!$BT:$BT, "Mebendazole",
'20102013 STH Efficacy'!$BZ:$BZ,"&lt;2014",
'20102013 STH Efficacy'!$CU:$CU,""),
"")</f>
        <v/>
      </c>
      <c r="BI55" s="136">
        <f t="shared" si="28"/>
        <v>0.9295857143</v>
      </c>
      <c r="BJ55" s="128" t="str">
        <f>IFERROR(AVERAGEIFS(
'20102013 STH Efficacy'!$CD:$CD, 
'20102013 STH Efficacy'!$BS:$BS, $A55, 
'20102013 STH Efficacy'!$BT:$BT, "Albendazole &amp; Ivermectin",
'20102013 STH Efficacy'!$BZ:$BZ,"&lt;2014",
'20102013 STH Efficacy'!$CU:$CU,""),
"")</f>
        <v/>
      </c>
      <c r="BK55" s="136">
        <f t="shared" si="29"/>
        <v>1</v>
      </c>
      <c r="BL55" s="300" t="str">
        <f>IFERROR(
  AVERAGEIFS(
    'NEW 20102013 Onchocerciasis Eff'!$AO:$AO,
    'NEW 20102013 Onchocerciasis Eff'!$C:$C,$A55,
    'NEW 20102013 Onchocerciasis Eff'!$D:$D,"Ivermectin",
    'NEW 20102013 Onchocerciasis Eff'!$AR:$AR,"&lt;2014",
    'NEW 20102013 Onchocerciasis Eff'!$BG:$BG,"")
,"")</f>
        <v/>
      </c>
      <c r="BM55" s="304">
        <f t="shared" si="30"/>
        <v>0.7808368939</v>
      </c>
      <c r="BN55" s="305">
        <v>0.0</v>
      </c>
      <c r="BO55" s="139">
        <v>0.0</v>
      </c>
      <c r="BP55" s="140">
        <v>0.0</v>
      </c>
      <c r="BQ55" s="141">
        <f t="shared" si="31"/>
        <v>0</v>
      </c>
      <c r="BR55" s="104" t="str">
        <f t="shared" si="32"/>
        <v>0000</v>
      </c>
      <c r="BS55" s="104" t="str">
        <f t="shared" si="33"/>
        <v>no action required</v>
      </c>
      <c r="BT55" s="142" t="str">
        <f t="shared" si="34"/>
        <v/>
      </c>
      <c r="BU55" s="104" t="str">
        <f t="shared" si="35"/>
        <v/>
      </c>
      <c r="BV55" s="104" t="str">
        <f t="shared" si="36"/>
        <v>none</v>
      </c>
      <c r="BW55" s="150" t="str">
        <f t="shared" si="37"/>
        <v/>
      </c>
      <c r="BX55" s="150" t="str">
        <f t="shared" si="38"/>
        <v/>
      </c>
      <c r="BY55" s="151" t="str">
        <f t="shared" si="39"/>
        <v/>
      </c>
      <c r="BZ55" s="152" t="str">
        <f t="shared" si="40"/>
        <v/>
      </c>
      <c r="CA55" s="152" t="str">
        <f t="shared" si="41"/>
        <v/>
      </c>
      <c r="CB55" s="152" t="str">
        <f t="shared" si="42"/>
        <v/>
      </c>
      <c r="CC55" s="153" t="str">
        <f t="shared" si="43"/>
        <v/>
      </c>
      <c r="CD55" s="153" t="str">
        <f t="shared" si="44"/>
        <v/>
      </c>
      <c r="CE55" s="154" t="str">
        <f t="shared" si="45"/>
        <v/>
      </c>
      <c r="CF55" s="154" t="str">
        <f t="shared" si="46"/>
        <v/>
      </c>
      <c r="CG55" s="154" t="str">
        <f t="shared" si="47"/>
        <v/>
      </c>
      <c r="CH55" s="308" t="str">
        <f t="shared" si="48"/>
        <v/>
      </c>
      <c r="CI55" s="299"/>
    </row>
    <row r="56">
      <c r="A56" s="103" t="s">
        <v>145</v>
      </c>
      <c r="B56" s="104" t="s">
        <v>98</v>
      </c>
      <c r="C56" s="105">
        <v>1.1412167E7</v>
      </c>
      <c r="D56" s="293">
        <v>0.0</v>
      </c>
      <c r="E56" s="294">
        <v>0.0</v>
      </c>
      <c r="F56" s="295">
        <v>3.664073874</v>
      </c>
      <c r="G56" s="295">
        <v>19.5486454</v>
      </c>
      <c r="H56" s="157">
        <v>23.21271928</v>
      </c>
      <c r="I56" s="110">
        <v>184.757827</v>
      </c>
      <c r="J56" s="110">
        <v>706.448096</v>
      </c>
      <c r="K56" s="109">
        <v>891.2059234</v>
      </c>
      <c r="L56" s="112">
        <v>134.1119739</v>
      </c>
      <c r="M56" s="111">
        <v>461.682313</v>
      </c>
      <c r="N56" s="111">
        <v>595.794287</v>
      </c>
      <c r="O56" s="298">
        <v>0.0</v>
      </c>
      <c r="P56" s="114"/>
      <c r="Q56" s="114"/>
      <c r="R56" s="121" t="str">
        <f t="shared" si="11"/>
        <v/>
      </c>
      <c r="S56" s="116">
        <f t="shared" si="12"/>
        <v>0.2288425133</v>
      </c>
      <c r="T56" s="130"/>
      <c r="U56" s="118">
        <f t="shared" si="13"/>
        <v>0.39435</v>
      </c>
      <c r="V56" s="148"/>
      <c r="W56" s="120">
        <f t="shared" si="14"/>
        <v>0.542475</v>
      </c>
      <c r="X56" s="148"/>
      <c r="Y56" s="120">
        <f t="shared" si="15"/>
        <v>0.6507333333</v>
      </c>
      <c r="Z56" s="299"/>
      <c r="AA56" s="299"/>
      <c r="AB56" s="300" t="str">
        <f t="shared" si="16"/>
        <v/>
      </c>
      <c r="AC56" s="301">
        <f t="shared" si="17"/>
        <v>0.3490201688</v>
      </c>
      <c r="AD56" s="122">
        <v>0.0</v>
      </c>
      <c r="AE56" s="123">
        <v>0.0</v>
      </c>
      <c r="AF56" s="123">
        <v>0.0</v>
      </c>
      <c r="AG56" s="316">
        <v>0.0</v>
      </c>
      <c r="AH56" s="124">
        <v>0.072068848</v>
      </c>
      <c r="AI56" s="317">
        <v>0.0</v>
      </c>
      <c r="AJ56" s="125">
        <v>0.12305563</v>
      </c>
      <c r="AK56" s="319">
        <v>0.0</v>
      </c>
      <c r="AL56" s="319">
        <v>0.0</v>
      </c>
      <c r="AM56" s="302">
        <v>0.0</v>
      </c>
      <c r="AN56" s="149" t="str">
        <f>IFERROR(
  AVERAGEIFS(
    'New 20102013 LF Efficacy'!$J:$J,
    'New 20102013 LF Efficacy'!$D:$D, $A56,
    'New 20102013 LF Efficacy'!$F:$F,"DEC", 
    'New 20102013 LF Efficacy'!$W:$W,"&lt;2014",
    'New 20102013 LF Efficacy'!$AA:$AA,""),
  ""
)</f>
        <v/>
      </c>
      <c r="AO56" s="115">
        <f t="shared" si="18"/>
        <v>0.2589833333</v>
      </c>
      <c r="AP56" s="121" t="str">
        <f>IFERROR(
AVERAGEIFS(
'New 20102013 LF Efficacy'!$J:$J,
'New 20102013 LF Efficacy'!$D:$D,$A56,
'New 20102013 LF Efficacy'!$F:$F,"Albendazole &amp; DEC",
'New 20102013 LF Efficacy'!$W:$W,"&lt;2014",
'New 20102013 LF Efficacy'!$AA:$AA,""),
"")
</f>
        <v/>
      </c>
      <c r="AQ56" s="115">
        <f t="shared" si="19"/>
        <v>0.3465</v>
      </c>
      <c r="AR56" s="121" t="str">
        <f>IFERROR(
AVERAGEIFS(
'New 20102013 LF Efficacy'!$J:$J,
'New 20102013 LF Efficacy'!$D:$D,$A56,
'New 20102013 LF Efficacy'!$F:$F,"Albendazole &amp; Ivermectin", 
'New 20102013 LF Efficacy'!$W:$W,"&lt;2014",
'New 20102013 LF Efficacy'!$AA:$AA,""),"")</f>
        <v/>
      </c>
      <c r="AS56" s="115">
        <f t="shared" si="20"/>
        <v>0.7575</v>
      </c>
      <c r="AT56" s="130" t="str">
        <f>IFERROR(AVERAGEIFS(
'20102013 Schist Efficacy'!$O:$O, 
'20102013 Schist Efficacy'!$C:$C,$A56, 
'20102013 Schist Efficacy'!$D:$D, "Praziquantel",
'20102013 Schist Efficacy'!$J:$J,"&lt;2014",
'20102013 Schist Efficacy'!$U:$U,""),
"")</f>
        <v/>
      </c>
      <c r="AU56" s="118">
        <f t="shared" si="21"/>
        <v>0.7914761905</v>
      </c>
      <c r="AV56" s="131" t="str">
        <f>IFERROR(AVERAGEIFS(
'20102013 STH Efficacy'!$AX:$AX, 
'20102013 STH Efficacy'!$AL:$AL, $A56, 
'20102013 STH Efficacy'!$AM:$AM, "Albendazole",
'20102013 STH Efficacy'!$AS:$AS,"&lt;2014",
'20102013 STH Efficacy'!$BP:$BP,""),
"")</f>
        <v/>
      </c>
      <c r="AW56" s="132">
        <f t="shared" si="22"/>
        <v>0.3945</v>
      </c>
      <c r="AX56" s="131" t="str">
        <f>IFERROR(AVERAGEIFS(
'20102013 STH Efficacy'!$AX:$AX, 
'20102013 STH Efficacy'!$AL:$AL, $A56, 
'20102013 STH Efficacy'!$AM:$AM, "Mebendazole",
'20102013 STH Efficacy'!$AS:$AS,"&lt;2014",
'20102013 STH Efficacy'!$BP:$BP,""),
"")</f>
        <v/>
      </c>
      <c r="AY56" s="132">
        <f t="shared" si="23"/>
        <v>0.6</v>
      </c>
      <c r="AZ56" s="131" t="str">
        <f>IFERROR(AVERAGEIFS(
'20102013 STH Efficacy'!$AX:$AX, 
'20102013 STH Efficacy'!$AL:$AL, $A56, 
'20102013 STH Efficacy'!$AM:$AM, "Albendazole &amp; Ivermectin",
'20102013 STH Efficacy'!$AS:$AS,"&lt;2014",
'20102013 STH Efficacy'!$BP:$BP,""),
"")</f>
        <v/>
      </c>
      <c r="BA56" s="303">
        <f t="shared" si="24"/>
        <v>0.796</v>
      </c>
      <c r="BB56" s="134" t="str">
        <f>IFERROR(AVERAGEIFS(
'20102013 STH Efficacy'!$N:$N, 
'20102013 STH Efficacy'!$B:$B, $A56, 
'20102013 STH Efficacy'!$C:$C, "Albendazole",
'20102013 STH Efficacy'!$I:$I,"&lt;2014",
'20102013 STH Efficacy'!$AH:$AH,""),
"")</f>
        <v/>
      </c>
      <c r="BC56" s="135">
        <f t="shared" si="25"/>
        <v>0.869</v>
      </c>
      <c r="BD56" s="134" t="str">
        <f>IFERROR(AVERAGEIFS(
'20102013 STH Efficacy'!$N:$N, 
'20102013 STH Efficacy'!$B:$B, $A56, 
'20102013 STH Efficacy'!$C:$C, "Mebendazole",
'20102013 STH Efficacy'!$I:$I,"&lt;2014",
'20102013 STH Efficacy'!$AH:$AH,""),
"")</f>
        <v/>
      </c>
      <c r="BE56" s="135">
        <f t="shared" si="26"/>
        <v>0.172</v>
      </c>
      <c r="BF56" s="128" t="str">
        <f>IFERROR(AVERAGEIFS(
'20102013 STH Efficacy'!$CD:$CD, 
'20102013 STH Efficacy'!$BS:$BS, $A56, 
'20102013 STH Efficacy'!$BT:$BT, "Albendazole",
'20102013 STH Efficacy'!$BZ:$BZ,"&lt;2014",
'20102013 STH Efficacy'!$CU:$CU,""),
"")</f>
        <v/>
      </c>
      <c r="BG56" s="136">
        <f t="shared" si="27"/>
        <v>0.9862</v>
      </c>
      <c r="BH56" s="128">
        <f>IFERROR(AVERAGEIFS(
'20102013 STH Efficacy'!$CD:$CD, 
'20102013 STH Efficacy'!$BS:$BS, $A56, 
'20102013 STH Efficacy'!$BT:$BT, "Mebendazole",
'20102013 STH Efficacy'!$BZ:$BZ,"&lt;2014",
'20102013 STH Efficacy'!$CU:$CU,""),
"")</f>
        <v>0.769</v>
      </c>
      <c r="BI56" s="136">
        <f t="shared" si="28"/>
        <v>0.769</v>
      </c>
      <c r="BJ56" s="128" t="str">
        <f>IFERROR(AVERAGEIFS(
'20102013 STH Efficacy'!$CD:$CD, 
'20102013 STH Efficacy'!$BS:$BS, $A56, 
'20102013 STH Efficacy'!$BT:$BT, "Albendazole &amp; Ivermectin",
'20102013 STH Efficacy'!$BZ:$BZ,"&lt;2014",
'20102013 STH Efficacy'!$CU:$CU,""),
"")</f>
        <v/>
      </c>
      <c r="BK56" s="136">
        <f t="shared" si="29"/>
        <v>1</v>
      </c>
      <c r="BL56" s="300" t="str">
        <f>IFERROR(
  AVERAGEIFS(
    'NEW 20102013 Onchocerciasis Eff'!$AO:$AO,
    'NEW 20102013 Onchocerciasis Eff'!$C:$C,$A56,
    'NEW 20102013 Onchocerciasis Eff'!$D:$D,"Ivermectin",
    'NEW 20102013 Onchocerciasis Eff'!$AR:$AR,"&lt;2014",
    'NEW 20102013 Onchocerciasis Eff'!$BG:$BG,"")
,"")</f>
        <v/>
      </c>
      <c r="BM56" s="304">
        <f t="shared" si="30"/>
        <v>0.3734</v>
      </c>
      <c r="BN56" s="305">
        <v>0.0</v>
      </c>
      <c r="BO56" s="139">
        <v>0.0</v>
      </c>
      <c r="BP56" s="140">
        <v>0.0</v>
      </c>
      <c r="BQ56" s="141">
        <f t="shared" si="31"/>
        <v>0</v>
      </c>
      <c r="BR56" s="104" t="str">
        <f t="shared" si="32"/>
        <v>0000</v>
      </c>
      <c r="BS56" s="104" t="str">
        <f t="shared" si="33"/>
        <v>no action required</v>
      </c>
      <c r="BT56" s="142" t="str">
        <f t="shared" si="34"/>
        <v/>
      </c>
      <c r="BU56" s="104" t="str">
        <f t="shared" si="35"/>
        <v/>
      </c>
      <c r="BV56" s="104" t="str">
        <f t="shared" si="36"/>
        <v>none</v>
      </c>
      <c r="BW56" s="150" t="str">
        <f t="shared" si="37"/>
        <v/>
      </c>
      <c r="BX56" s="150" t="str">
        <f t="shared" si="38"/>
        <v/>
      </c>
      <c r="BY56" s="151" t="str">
        <f t="shared" si="39"/>
        <v/>
      </c>
      <c r="BZ56" s="152" t="str">
        <f t="shared" si="40"/>
        <v/>
      </c>
      <c r="CA56" s="152" t="str">
        <f t="shared" si="41"/>
        <v/>
      </c>
      <c r="CB56" s="152" t="str">
        <f t="shared" si="42"/>
        <v/>
      </c>
      <c r="CC56" s="153" t="str">
        <f t="shared" si="43"/>
        <v/>
      </c>
      <c r="CD56" s="153" t="str">
        <f t="shared" si="44"/>
        <v/>
      </c>
      <c r="CE56" s="154" t="str">
        <f t="shared" si="45"/>
        <v/>
      </c>
      <c r="CF56" s="154" t="str">
        <f t="shared" si="46"/>
        <v/>
      </c>
      <c r="CG56" s="154" t="str">
        <f t="shared" si="47"/>
        <v/>
      </c>
      <c r="CH56" s="308" t="str">
        <f t="shared" si="48"/>
        <v/>
      </c>
      <c r="CI56" s="299"/>
    </row>
    <row r="57">
      <c r="A57" s="175" t="s">
        <v>146</v>
      </c>
      <c r="B57" s="104" t="s">
        <v>98</v>
      </c>
      <c r="C57" s="105">
        <v>153822.0</v>
      </c>
      <c r="D57" s="293">
        <v>0.0</v>
      </c>
      <c r="E57" s="294">
        <v>0.0</v>
      </c>
      <c r="F57" s="163"/>
      <c r="G57" s="163"/>
      <c r="H57" s="108">
        <v>0.0</v>
      </c>
      <c r="I57" s="109">
        <v>0.0</v>
      </c>
      <c r="J57" s="109">
        <v>0.0</v>
      </c>
      <c r="K57" s="109">
        <v>0.0</v>
      </c>
      <c r="L57" s="113"/>
      <c r="M57" s="113"/>
      <c r="N57" s="111">
        <v>0.0</v>
      </c>
      <c r="O57" s="298">
        <v>0.0</v>
      </c>
      <c r="P57" s="114"/>
      <c r="Q57" s="114"/>
      <c r="R57" s="121" t="str">
        <f t="shared" si="11"/>
        <v/>
      </c>
      <c r="S57" s="116">
        <f t="shared" si="12"/>
        <v>0.2288425133</v>
      </c>
      <c r="T57" s="130"/>
      <c r="U57" s="118">
        <f t="shared" si="13"/>
        <v>0.39435</v>
      </c>
      <c r="V57" s="148"/>
      <c r="W57" s="120">
        <f t="shared" si="14"/>
        <v>0.542475</v>
      </c>
      <c r="X57" s="148"/>
      <c r="Y57" s="120">
        <f t="shared" si="15"/>
        <v>0.6507333333</v>
      </c>
      <c r="Z57" s="299"/>
      <c r="AA57" s="299"/>
      <c r="AB57" s="300" t="str">
        <f t="shared" si="16"/>
        <v/>
      </c>
      <c r="AC57" s="301">
        <f t="shared" si="17"/>
        <v>0.3490201688</v>
      </c>
      <c r="AD57" s="314">
        <v>0.0</v>
      </c>
      <c r="AE57" s="315">
        <v>0.0</v>
      </c>
      <c r="AF57" s="166">
        <v>0.0</v>
      </c>
      <c r="AG57" s="316">
        <v>0.0</v>
      </c>
      <c r="AH57" s="307">
        <v>0.0</v>
      </c>
      <c r="AI57" s="317">
        <v>0.0</v>
      </c>
      <c r="AJ57" s="318">
        <v>0.0</v>
      </c>
      <c r="AK57" s="319">
        <v>0.0</v>
      </c>
      <c r="AL57" s="319">
        <v>0.0</v>
      </c>
      <c r="AM57" s="320">
        <v>0.0</v>
      </c>
      <c r="AN57" s="149" t="str">
        <f>IFERROR(
  AVERAGEIFS(
    'New 20102013 LF Efficacy'!$J:$J,
    'New 20102013 LF Efficacy'!$D:$D, $A57,
    'New 20102013 LF Efficacy'!$F:$F,"DEC", 
    'New 20102013 LF Efficacy'!$W:$W,"&lt;2014",
    'New 20102013 LF Efficacy'!$AA:$AA,""),
  ""
)</f>
        <v/>
      </c>
      <c r="AO57" s="115">
        <f t="shared" si="18"/>
        <v>0.2589833333</v>
      </c>
      <c r="AP57" s="121" t="str">
        <f>IFERROR(
AVERAGEIFS(
'New 20102013 LF Efficacy'!$J:$J,
'New 20102013 LF Efficacy'!$D:$D,$A57,
'New 20102013 LF Efficacy'!$F:$F,"Albendazole &amp; DEC",
'New 20102013 LF Efficacy'!$W:$W,"&lt;2014",
'New 20102013 LF Efficacy'!$AA:$AA,""),
"")
</f>
        <v/>
      </c>
      <c r="AQ57" s="115">
        <f t="shared" si="19"/>
        <v>0.3465</v>
      </c>
      <c r="AR57" s="121" t="str">
        <f>IFERROR(
AVERAGEIFS(
'New 20102013 LF Efficacy'!$J:$J,
'New 20102013 LF Efficacy'!$D:$D,$A57,
'New 20102013 LF Efficacy'!$F:$F,"Albendazole &amp; Ivermectin", 
'New 20102013 LF Efficacy'!$W:$W,"&lt;2014",
'New 20102013 LF Efficacy'!$AA:$AA,""),"")</f>
        <v/>
      </c>
      <c r="AS57" s="115">
        <f t="shared" si="20"/>
        <v>0.7575</v>
      </c>
      <c r="AT57" s="130" t="str">
        <f>IFERROR(AVERAGEIFS(
'20102013 Schist Efficacy'!$O:$O, 
'20102013 Schist Efficacy'!$C:$C,$A57, 
'20102013 Schist Efficacy'!$D:$D, "Praziquantel",
'20102013 Schist Efficacy'!$J:$J,"&lt;2014",
'20102013 Schist Efficacy'!$U:$U,""),
"")</f>
        <v/>
      </c>
      <c r="AU57" s="118">
        <f t="shared" si="21"/>
        <v>0.7914761905</v>
      </c>
      <c r="AV57" s="131" t="str">
        <f>IFERROR(AVERAGEIFS(
'20102013 STH Efficacy'!$AX:$AX, 
'20102013 STH Efficacy'!$AL:$AL, $A57, 
'20102013 STH Efficacy'!$AM:$AM, "Albendazole",
'20102013 STH Efficacy'!$AS:$AS,"&lt;2014",
'20102013 STH Efficacy'!$BP:$BP,""),
"")</f>
        <v/>
      </c>
      <c r="AW57" s="132">
        <f t="shared" si="22"/>
        <v>0.3945</v>
      </c>
      <c r="AX57" s="131" t="str">
        <f>IFERROR(AVERAGEIFS(
'20102013 STH Efficacy'!$AX:$AX, 
'20102013 STH Efficacy'!$AL:$AL, $A57, 
'20102013 STH Efficacy'!$AM:$AM, "Mebendazole",
'20102013 STH Efficacy'!$AS:$AS,"&lt;2014",
'20102013 STH Efficacy'!$BP:$BP,""),
"")</f>
        <v/>
      </c>
      <c r="AY57" s="132">
        <f t="shared" si="23"/>
        <v>0.6</v>
      </c>
      <c r="AZ57" s="131" t="str">
        <f>IFERROR(AVERAGEIFS(
'20102013 STH Efficacy'!$AX:$AX, 
'20102013 STH Efficacy'!$AL:$AL, $A57, 
'20102013 STH Efficacy'!$AM:$AM, "Albendazole &amp; Ivermectin",
'20102013 STH Efficacy'!$AS:$AS,"&lt;2014",
'20102013 STH Efficacy'!$BP:$BP,""),
"")</f>
        <v/>
      </c>
      <c r="BA57" s="303">
        <f t="shared" si="24"/>
        <v>0.796</v>
      </c>
      <c r="BB57" s="134" t="str">
        <f>IFERROR(AVERAGEIFS(
'20102013 STH Efficacy'!$N:$N, 
'20102013 STH Efficacy'!$B:$B, $A57, 
'20102013 STH Efficacy'!$C:$C, "Albendazole",
'20102013 STH Efficacy'!$I:$I,"&lt;2014",
'20102013 STH Efficacy'!$AH:$AH,""),
"")</f>
        <v/>
      </c>
      <c r="BC57" s="135">
        <f t="shared" si="25"/>
        <v>0.869</v>
      </c>
      <c r="BD57" s="134" t="str">
        <f>IFERROR(AVERAGEIFS(
'20102013 STH Efficacy'!$N:$N, 
'20102013 STH Efficacy'!$B:$B, $A57, 
'20102013 STH Efficacy'!$C:$C, "Mebendazole",
'20102013 STH Efficacy'!$I:$I,"&lt;2014",
'20102013 STH Efficacy'!$AH:$AH,""),
"")</f>
        <v/>
      </c>
      <c r="BE57" s="135">
        <f t="shared" si="26"/>
        <v>0.172</v>
      </c>
      <c r="BF57" s="128" t="str">
        <f>IFERROR(AVERAGEIFS(
'20102013 STH Efficacy'!$CD:$CD, 
'20102013 STH Efficacy'!$BS:$BS, $A57, 
'20102013 STH Efficacy'!$BT:$BT, "Albendazole",
'20102013 STH Efficacy'!$BZ:$BZ,"&lt;2014",
'20102013 STH Efficacy'!$CU:$CU,""),
"")</f>
        <v/>
      </c>
      <c r="BG57" s="136">
        <f t="shared" si="27"/>
        <v>0.9862</v>
      </c>
      <c r="BH57" s="128" t="str">
        <f>IFERROR(AVERAGEIFS(
'20102013 STH Efficacy'!$CD:$CD, 
'20102013 STH Efficacy'!$BS:$BS, $A57, 
'20102013 STH Efficacy'!$BT:$BT, "Mebendazole",
'20102013 STH Efficacy'!$BZ:$BZ,"&lt;2014",
'20102013 STH Efficacy'!$CU:$CU,""),
"")</f>
        <v/>
      </c>
      <c r="BI57" s="136">
        <f t="shared" si="28"/>
        <v>0.769</v>
      </c>
      <c r="BJ57" s="128" t="str">
        <f>IFERROR(AVERAGEIFS(
'20102013 STH Efficacy'!$CD:$CD, 
'20102013 STH Efficacy'!$BS:$BS, $A57, 
'20102013 STH Efficacy'!$BT:$BT, "Albendazole &amp; Ivermectin",
'20102013 STH Efficacy'!$BZ:$BZ,"&lt;2014",
'20102013 STH Efficacy'!$CU:$CU,""),
"")</f>
        <v/>
      </c>
      <c r="BK57" s="136">
        <f t="shared" si="29"/>
        <v>1</v>
      </c>
      <c r="BL57" s="300" t="str">
        <f>IFERROR(
  AVERAGEIFS(
    'NEW 20102013 Onchocerciasis Eff'!$AO:$AO,
    'NEW 20102013 Onchocerciasis Eff'!$C:$C,$A57,
    'NEW 20102013 Onchocerciasis Eff'!$D:$D,"Ivermectin",
    'NEW 20102013 Onchocerciasis Eff'!$AR:$AR,"&lt;2014",
    'NEW 20102013 Onchocerciasis Eff'!$BG:$BG,"")
,"")</f>
        <v/>
      </c>
      <c r="BM57" s="304">
        <f t="shared" si="30"/>
        <v>0.3734</v>
      </c>
      <c r="BN57" s="305">
        <v>0.0</v>
      </c>
      <c r="BO57" s="139">
        <v>0.0</v>
      </c>
      <c r="BP57" s="140">
        <v>0.0</v>
      </c>
      <c r="BQ57" s="141">
        <f t="shared" si="31"/>
        <v>0</v>
      </c>
      <c r="BR57" s="104" t="str">
        <f t="shared" si="32"/>
        <v>0000</v>
      </c>
      <c r="BS57" s="104" t="str">
        <f t="shared" si="33"/>
        <v>no action required</v>
      </c>
      <c r="BT57" s="142" t="str">
        <f t="shared" si="34"/>
        <v/>
      </c>
      <c r="BU57" s="104" t="str">
        <f t="shared" si="35"/>
        <v/>
      </c>
      <c r="BV57" s="104" t="str">
        <f t="shared" si="36"/>
        <v>none</v>
      </c>
      <c r="BW57" s="150" t="str">
        <f t="shared" si="37"/>
        <v/>
      </c>
      <c r="BX57" s="150" t="str">
        <f t="shared" si="38"/>
        <v/>
      </c>
      <c r="BY57" s="151" t="str">
        <f t="shared" si="39"/>
        <v/>
      </c>
      <c r="BZ57" s="152" t="str">
        <f t="shared" si="40"/>
        <v/>
      </c>
      <c r="CA57" s="152" t="str">
        <f t="shared" si="41"/>
        <v/>
      </c>
      <c r="CB57" s="152" t="str">
        <f t="shared" si="42"/>
        <v/>
      </c>
      <c r="CC57" s="153" t="str">
        <f t="shared" si="43"/>
        <v/>
      </c>
      <c r="CD57" s="153" t="str">
        <f t="shared" si="44"/>
        <v/>
      </c>
      <c r="CE57" s="154" t="str">
        <f t="shared" si="45"/>
        <v/>
      </c>
      <c r="CF57" s="154" t="str">
        <f t="shared" si="46"/>
        <v/>
      </c>
      <c r="CG57" s="154" t="str">
        <f t="shared" si="47"/>
        <v/>
      </c>
      <c r="CH57" s="308" t="str">
        <f t="shared" si="48"/>
        <v/>
      </c>
      <c r="CI57" s="299"/>
    </row>
    <row r="58">
      <c r="A58" s="103" t="s">
        <v>147</v>
      </c>
      <c r="B58" s="104" t="s">
        <v>90</v>
      </c>
      <c r="C58" s="105">
        <v>1143896.0</v>
      </c>
      <c r="D58" s="293">
        <v>0.0</v>
      </c>
      <c r="E58" s="294">
        <v>0.0</v>
      </c>
      <c r="F58" s="307">
        <v>0.0</v>
      </c>
      <c r="G58" s="307">
        <v>0.0</v>
      </c>
      <c r="H58" s="108">
        <v>0.0</v>
      </c>
      <c r="I58" s="109">
        <v>0.0</v>
      </c>
      <c r="J58" s="109">
        <v>0.0</v>
      </c>
      <c r="K58" s="109">
        <v>0.0</v>
      </c>
      <c r="L58" s="112">
        <v>0.0</v>
      </c>
      <c r="M58" s="112">
        <v>0.0</v>
      </c>
      <c r="N58" s="111">
        <v>0.0</v>
      </c>
      <c r="O58" s="298">
        <v>0.0</v>
      </c>
      <c r="P58" s="114"/>
      <c r="Q58" s="114"/>
      <c r="R58" s="121" t="str">
        <f t="shared" si="11"/>
        <v/>
      </c>
      <c r="S58" s="116">
        <f t="shared" si="12"/>
        <v>0.526225767</v>
      </c>
      <c r="T58" s="130"/>
      <c r="U58" s="118">
        <f t="shared" si="13"/>
        <v>0.3468166667</v>
      </c>
      <c r="V58" s="148"/>
      <c r="W58" s="120">
        <f t="shared" si="14"/>
        <v>1</v>
      </c>
      <c r="X58" s="148"/>
      <c r="Y58" s="120">
        <f t="shared" si="15"/>
        <v>1</v>
      </c>
      <c r="Z58" s="299"/>
      <c r="AA58" s="299"/>
      <c r="AB58" s="300" t="str">
        <f t="shared" si="16"/>
        <v/>
      </c>
      <c r="AC58" s="301">
        <f t="shared" si="17"/>
        <v>0.6295826791</v>
      </c>
      <c r="AD58" s="122">
        <v>0.0</v>
      </c>
      <c r="AE58" s="123">
        <v>0.0</v>
      </c>
      <c r="AF58" s="123">
        <v>0.0</v>
      </c>
      <c r="AG58" s="124">
        <v>0.0</v>
      </c>
      <c r="AH58" s="124">
        <v>0.0</v>
      </c>
      <c r="AI58" s="125">
        <v>0.0</v>
      </c>
      <c r="AJ58" s="125">
        <v>0.0</v>
      </c>
      <c r="AK58" s="127">
        <v>0.0</v>
      </c>
      <c r="AL58" s="127">
        <v>0.0</v>
      </c>
      <c r="AM58" s="302">
        <v>0.0</v>
      </c>
      <c r="AN58" s="149" t="str">
        <f>IFERROR(
  AVERAGEIFS(
    'New 20102013 LF Efficacy'!$J:$J,
    'New 20102013 LF Efficacy'!$D:$D, $A58,
    'New 20102013 LF Efficacy'!$F:$F,"DEC", 
    'New 20102013 LF Efficacy'!$W:$W,"&lt;2014",
    'New 20102013 LF Efficacy'!$AA:$AA,""),
  ""
)</f>
        <v/>
      </c>
      <c r="AO58" s="115">
        <f t="shared" si="18"/>
        <v>0.3573520833</v>
      </c>
      <c r="AP58" s="121" t="str">
        <f>IFERROR(
AVERAGEIFS(
'New 20102013 LF Efficacy'!$J:$J,
'New 20102013 LF Efficacy'!$D:$D,$A58,
'New 20102013 LF Efficacy'!$F:$F,"Albendazole &amp; DEC",
'New 20102013 LF Efficacy'!$W:$W,"&lt;2014",
'New 20102013 LF Efficacy'!$AA:$AA,""),
"")
</f>
        <v/>
      </c>
      <c r="AQ58" s="115">
        <f t="shared" si="19"/>
        <v>0.5137291667</v>
      </c>
      <c r="AR58" s="121" t="str">
        <f>IFERROR(
AVERAGEIFS(
'New 20102013 LF Efficacy'!$J:$J,
'New 20102013 LF Efficacy'!$D:$D,$A58,
'New 20102013 LF Efficacy'!$F:$F,"Albendazole &amp; Ivermectin", 
'New 20102013 LF Efficacy'!$W:$W,"&lt;2014",
'New 20102013 LF Efficacy'!$AA:$AA,""),"")</f>
        <v/>
      </c>
      <c r="AS58" s="115">
        <f t="shared" si="20"/>
        <v>0.37153125</v>
      </c>
      <c r="AT58" s="130" t="str">
        <f>IFERROR(AVERAGEIFS(
'20102013 Schist Efficacy'!$O:$O, 
'20102013 Schist Efficacy'!$C:$C,$A58, 
'20102013 Schist Efficacy'!$D:$D, "Praziquantel",
'20102013 Schist Efficacy'!$J:$J,"&lt;2014",
'20102013 Schist Efficacy'!$U:$U,""),
"")</f>
        <v/>
      </c>
      <c r="AU58" s="118">
        <f t="shared" si="21"/>
        <v>0.655</v>
      </c>
      <c r="AV58" s="131" t="str">
        <f>IFERROR(AVERAGEIFS(
'20102013 STH Efficacy'!$AX:$AX, 
'20102013 STH Efficacy'!$AL:$AL, $A58, 
'20102013 STH Efficacy'!$AM:$AM, "Albendazole",
'20102013 STH Efficacy'!$AS:$AS,"&lt;2014",
'20102013 STH Efficacy'!$BP:$BP,""),
"")</f>
        <v/>
      </c>
      <c r="AW58" s="132">
        <f t="shared" si="22"/>
        <v>0.3933333333</v>
      </c>
      <c r="AX58" s="131" t="str">
        <f>IFERROR(AVERAGEIFS(
'20102013 STH Efficacy'!$AX:$AX, 
'20102013 STH Efficacy'!$AL:$AL, $A58, 
'20102013 STH Efficacy'!$AM:$AM, "Mebendazole",
'20102013 STH Efficacy'!$AS:$AS,"&lt;2014",
'20102013 STH Efficacy'!$BP:$BP,""),
"")</f>
        <v/>
      </c>
      <c r="AY58" s="132">
        <f t="shared" si="23"/>
        <v>0.5017738095</v>
      </c>
      <c r="AZ58" s="131" t="str">
        <f>IFERROR(AVERAGEIFS(
'20102013 STH Efficacy'!$AX:$AX, 
'20102013 STH Efficacy'!$AL:$AL, $A58, 
'20102013 STH Efficacy'!$AM:$AM, "Albendazole &amp; Ivermectin",
'20102013 STH Efficacy'!$AS:$AS,"&lt;2014",
'20102013 STH Efficacy'!$BP:$BP,""),
"")</f>
        <v/>
      </c>
      <c r="BA58" s="303">
        <f t="shared" si="24"/>
        <v>0.597625</v>
      </c>
      <c r="BB58" s="134" t="str">
        <f>IFERROR(AVERAGEIFS(
'20102013 STH Efficacy'!$N:$N, 
'20102013 STH Efficacy'!$B:$B, $A58, 
'20102013 STH Efficacy'!$C:$C, "Albendazole",
'20102013 STH Efficacy'!$I:$I,"&lt;2014",
'20102013 STH Efficacy'!$AH:$AH,""),
"")</f>
        <v/>
      </c>
      <c r="BC58" s="135">
        <f t="shared" si="25"/>
        <v>0.7613712121</v>
      </c>
      <c r="BD58" s="134" t="str">
        <f>IFERROR(AVERAGEIFS(
'20102013 STH Efficacy'!$N:$N, 
'20102013 STH Efficacy'!$B:$B, $A58, 
'20102013 STH Efficacy'!$C:$C, "Mebendazole",
'20102013 STH Efficacy'!$I:$I,"&lt;2014",
'20102013 STH Efficacy'!$AH:$AH,""),
"")</f>
        <v/>
      </c>
      <c r="BE58" s="135">
        <f t="shared" si="26"/>
        <v>0.4362466667</v>
      </c>
      <c r="BF58" s="128" t="str">
        <f>IFERROR(AVERAGEIFS(
'20102013 STH Efficacy'!$CD:$CD, 
'20102013 STH Efficacy'!$BS:$BS, $A58, 
'20102013 STH Efficacy'!$BT:$BT, "Albendazole",
'20102013 STH Efficacy'!$BZ:$BZ,"&lt;2014",
'20102013 STH Efficacy'!$CU:$CU,""),
"")</f>
        <v/>
      </c>
      <c r="BG58" s="136">
        <f t="shared" si="27"/>
        <v>0.9216027778</v>
      </c>
      <c r="BH58" s="128" t="str">
        <f>IFERROR(AVERAGEIFS(
'20102013 STH Efficacy'!$CD:$CD, 
'20102013 STH Efficacy'!$BS:$BS, $A58, 
'20102013 STH Efficacy'!$BT:$BT, "Mebendazole",
'20102013 STH Efficacy'!$BZ:$BZ,"&lt;2014",
'20102013 STH Efficacy'!$CU:$CU,""),
"")</f>
        <v/>
      </c>
      <c r="BI58" s="136">
        <f t="shared" si="28"/>
        <v>0.9295857143</v>
      </c>
      <c r="BJ58" s="128" t="str">
        <f>IFERROR(AVERAGEIFS(
'20102013 STH Efficacy'!$CD:$CD, 
'20102013 STH Efficacy'!$BS:$BS, $A58, 
'20102013 STH Efficacy'!$BT:$BT, "Albendazole &amp; Ivermectin",
'20102013 STH Efficacy'!$BZ:$BZ,"&lt;2014",
'20102013 STH Efficacy'!$CU:$CU,""),
"")</f>
        <v/>
      </c>
      <c r="BK58" s="136">
        <f t="shared" si="29"/>
        <v>1</v>
      </c>
      <c r="BL58" s="300" t="str">
        <f>IFERROR(
  AVERAGEIFS(
    'NEW 20102013 Onchocerciasis Eff'!$AO:$AO,
    'NEW 20102013 Onchocerciasis Eff'!$C:$C,$A58,
    'NEW 20102013 Onchocerciasis Eff'!$D:$D,"Ivermectin",
    'NEW 20102013 Onchocerciasis Eff'!$AR:$AR,"&lt;2014",
    'NEW 20102013 Onchocerciasis Eff'!$BG:$BG,"")
,"")</f>
        <v/>
      </c>
      <c r="BM58" s="304">
        <f t="shared" si="30"/>
        <v>0.7808368939</v>
      </c>
      <c r="BN58" s="305">
        <v>0.0</v>
      </c>
      <c r="BO58" s="139">
        <v>0.0</v>
      </c>
      <c r="BP58" s="140">
        <v>0.0</v>
      </c>
      <c r="BQ58" s="141">
        <f t="shared" si="31"/>
        <v>0</v>
      </c>
      <c r="BR58" s="104" t="str">
        <f t="shared" si="32"/>
        <v>0000</v>
      </c>
      <c r="BS58" s="104" t="str">
        <f t="shared" si="33"/>
        <v>no action required</v>
      </c>
      <c r="BT58" s="142" t="str">
        <f t="shared" si="34"/>
        <v/>
      </c>
      <c r="BU58" s="104" t="str">
        <f t="shared" si="35"/>
        <v/>
      </c>
      <c r="BV58" s="104" t="str">
        <f t="shared" si="36"/>
        <v>none</v>
      </c>
      <c r="BW58" s="150" t="str">
        <f t="shared" si="37"/>
        <v/>
      </c>
      <c r="BX58" s="150" t="str">
        <f t="shared" si="38"/>
        <v/>
      </c>
      <c r="BY58" s="151" t="str">
        <f t="shared" si="39"/>
        <v/>
      </c>
      <c r="BZ58" s="152" t="str">
        <f t="shared" si="40"/>
        <v/>
      </c>
      <c r="CA58" s="152" t="str">
        <f t="shared" si="41"/>
        <v/>
      </c>
      <c r="CB58" s="152" t="str">
        <f t="shared" si="42"/>
        <v/>
      </c>
      <c r="CC58" s="153" t="str">
        <f t="shared" si="43"/>
        <v/>
      </c>
      <c r="CD58" s="153" t="str">
        <f t="shared" si="44"/>
        <v/>
      </c>
      <c r="CE58" s="154" t="str">
        <f t="shared" si="45"/>
        <v/>
      </c>
      <c r="CF58" s="154" t="str">
        <f t="shared" si="46"/>
        <v/>
      </c>
      <c r="CG58" s="154" t="str">
        <f t="shared" si="47"/>
        <v/>
      </c>
      <c r="CH58" s="308" t="str">
        <f t="shared" si="48"/>
        <v/>
      </c>
      <c r="CI58" s="299"/>
    </row>
    <row r="59">
      <c r="A59" s="103" t="s">
        <v>148</v>
      </c>
      <c r="B59" s="104" t="s">
        <v>90</v>
      </c>
      <c r="C59" s="105">
        <v>1.0514272E7</v>
      </c>
      <c r="D59" s="293">
        <v>0.0</v>
      </c>
      <c r="E59" s="294">
        <v>0.0</v>
      </c>
      <c r="F59" s="307">
        <v>0.0</v>
      </c>
      <c r="G59" s="307">
        <v>0.0</v>
      </c>
      <c r="H59" s="108">
        <v>0.0</v>
      </c>
      <c r="I59" s="109">
        <v>0.0</v>
      </c>
      <c r="J59" s="109">
        <v>0.0</v>
      </c>
      <c r="K59" s="109">
        <v>0.0</v>
      </c>
      <c r="L59" s="112">
        <v>0.0</v>
      </c>
      <c r="M59" s="112">
        <v>0.0</v>
      </c>
      <c r="N59" s="111">
        <v>0.0</v>
      </c>
      <c r="O59" s="298">
        <v>0.0</v>
      </c>
      <c r="P59" s="114"/>
      <c r="Q59" s="114"/>
      <c r="R59" s="121" t="str">
        <f t="shared" si="11"/>
        <v/>
      </c>
      <c r="S59" s="116">
        <f t="shared" si="12"/>
        <v>0.526225767</v>
      </c>
      <c r="T59" s="130"/>
      <c r="U59" s="118">
        <f t="shared" si="13"/>
        <v>0.3468166667</v>
      </c>
      <c r="V59" s="148"/>
      <c r="W59" s="120">
        <f t="shared" si="14"/>
        <v>1</v>
      </c>
      <c r="X59" s="148"/>
      <c r="Y59" s="120">
        <f t="shared" si="15"/>
        <v>1</v>
      </c>
      <c r="Z59" s="299"/>
      <c r="AA59" s="299"/>
      <c r="AB59" s="300" t="str">
        <f t="shared" si="16"/>
        <v/>
      </c>
      <c r="AC59" s="301">
        <f t="shared" si="17"/>
        <v>0.6295826791</v>
      </c>
      <c r="AD59" s="122">
        <v>0.0</v>
      </c>
      <c r="AE59" s="123">
        <v>0.0</v>
      </c>
      <c r="AF59" s="123">
        <v>0.0</v>
      </c>
      <c r="AG59" s="316">
        <v>0.0</v>
      </c>
      <c r="AH59" s="124">
        <v>0.0</v>
      </c>
      <c r="AI59" s="317">
        <v>0.0</v>
      </c>
      <c r="AJ59" s="125">
        <v>0.0</v>
      </c>
      <c r="AK59" s="319">
        <v>0.0</v>
      </c>
      <c r="AL59" s="319">
        <v>0.0</v>
      </c>
      <c r="AM59" s="302">
        <v>0.0</v>
      </c>
      <c r="AN59" s="149" t="str">
        <f>IFERROR(
  AVERAGEIFS(
    'New 20102013 LF Efficacy'!$J:$J,
    'New 20102013 LF Efficacy'!$D:$D, $A59,
    'New 20102013 LF Efficacy'!$F:$F,"DEC", 
    'New 20102013 LF Efficacy'!$W:$W,"&lt;2014",
    'New 20102013 LF Efficacy'!$AA:$AA,""),
  ""
)</f>
        <v/>
      </c>
      <c r="AO59" s="115">
        <f t="shared" si="18"/>
        <v>0.3573520833</v>
      </c>
      <c r="AP59" s="121" t="str">
        <f>IFERROR(
AVERAGEIFS(
'New 20102013 LF Efficacy'!$J:$J,
'New 20102013 LF Efficacy'!$D:$D,$A59,
'New 20102013 LF Efficacy'!$F:$F,"Albendazole &amp; DEC",
'New 20102013 LF Efficacy'!$W:$W,"&lt;2014",
'New 20102013 LF Efficacy'!$AA:$AA,""),
"")
</f>
        <v/>
      </c>
      <c r="AQ59" s="115">
        <f t="shared" si="19"/>
        <v>0.5137291667</v>
      </c>
      <c r="AR59" s="121" t="str">
        <f>IFERROR(
AVERAGEIFS(
'New 20102013 LF Efficacy'!$J:$J,
'New 20102013 LF Efficacy'!$D:$D,$A59,
'New 20102013 LF Efficacy'!$F:$F,"Albendazole &amp; Ivermectin", 
'New 20102013 LF Efficacy'!$W:$W,"&lt;2014",
'New 20102013 LF Efficacy'!$AA:$AA,""),"")</f>
        <v/>
      </c>
      <c r="AS59" s="115">
        <f t="shared" si="20"/>
        <v>0.37153125</v>
      </c>
      <c r="AT59" s="130">
        <f>IFERROR(AVERAGEIFS(
'20102013 Schist Efficacy'!$O:$O, 
'20102013 Schist Efficacy'!$C:$C,$A59, 
'20102013 Schist Efficacy'!$D:$D, "Praziquantel",
'20102013 Schist Efficacy'!$J:$J,"&lt;2014",
'20102013 Schist Efficacy'!$U:$U,""),
"")</f>
        <v>0.655</v>
      </c>
      <c r="AU59" s="118">
        <f t="shared" si="21"/>
        <v>0.655</v>
      </c>
      <c r="AV59" s="131" t="str">
        <f>IFERROR(AVERAGEIFS(
'20102013 STH Efficacy'!$AX:$AX, 
'20102013 STH Efficacy'!$AL:$AL, $A59, 
'20102013 STH Efficacy'!$AM:$AM, "Albendazole",
'20102013 STH Efficacy'!$AS:$AS,"&lt;2014",
'20102013 STH Efficacy'!$BP:$BP,""),
"")</f>
        <v/>
      </c>
      <c r="AW59" s="132">
        <f t="shared" si="22"/>
        <v>0.3933333333</v>
      </c>
      <c r="AX59" s="131" t="str">
        <f>IFERROR(AVERAGEIFS(
'20102013 STH Efficacy'!$AX:$AX, 
'20102013 STH Efficacy'!$AL:$AL, $A59, 
'20102013 STH Efficacy'!$AM:$AM, "Mebendazole",
'20102013 STH Efficacy'!$AS:$AS,"&lt;2014",
'20102013 STH Efficacy'!$BP:$BP,""),
"")</f>
        <v/>
      </c>
      <c r="AY59" s="132">
        <f t="shared" si="23"/>
        <v>0.5017738095</v>
      </c>
      <c r="AZ59" s="131" t="str">
        <f>IFERROR(AVERAGEIFS(
'20102013 STH Efficacy'!$AX:$AX, 
'20102013 STH Efficacy'!$AL:$AL, $A59, 
'20102013 STH Efficacy'!$AM:$AM, "Albendazole &amp; Ivermectin",
'20102013 STH Efficacy'!$AS:$AS,"&lt;2014",
'20102013 STH Efficacy'!$BP:$BP,""),
"")</f>
        <v/>
      </c>
      <c r="BA59" s="303">
        <f t="shared" si="24"/>
        <v>0.597625</v>
      </c>
      <c r="BB59" s="134" t="str">
        <f>IFERROR(AVERAGEIFS(
'20102013 STH Efficacy'!$N:$N, 
'20102013 STH Efficacy'!$B:$B, $A59, 
'20102013 STH Efficacy'!$C:$C, "Albendazole",
'20102013 STH Efficacy'!$I:$I,"&lt;2014",
'20102013 STH Efficacy'!$AH:$AH,""),
"")</f>
        <v/>
      </c>
      <c r="BC59" s="135">
        <f t="shared" si="25"/>
        <v>0.7613712121</v>
      </c>
      <c r="BD59" s="134" t="str">
        <f>IFERROR(AVERAGEIFS(
'20102013 STH Efficacy'!$N:$N, 
'20102013 STH Efficacy'!$B:$B, $A59, 
'20102013 STH Efficacy'!$C:$C, "Mebendazole",
'20102013 STH Efficacy'!$I:$I,"&lt;2014",
'20102013 STH Efficacy'!$AH:$AH,""),
"")</f>
        <v/>
      </c>
      <c r="BE59" s="135">
        <f t="shared" si="26"/>
        <v>0.4362466667</v>
      </c>
      <c r="BF59" s="128" t="str">
        <f>IFERROR(AVERAGEIFS(
'20102013 STH Efficacy'!$CD:$CD, 
'20102013 STH Efficacy'!$BS:$BS, $A59, 
'20102013 STH Efficacy'!$BT:$BT, "Albendazole",
'20102013 STH Efficacy'!$BZ:$BZ,"&lt;2014",
'20102013 STH Efficacy'!$CU:$CU,""),
"")</f>
        <v/>
      </c>
      <c r="BG59" s="136">
        <f t="shared" si="27"/>
        <v>0.9216027778</v>
      </c>
      <c r="BH59" s="128" t="str">
        <f>IFERROR(AVERAGEIFS(
'20102013 STH Efficacy'!$CD:$CD, 
'20102013 STH Efficacy'!$BS:$BS, $A59, 
'20102013 STH Efficacy'!$BT:$BT, "Mebendazole",
'20102013 STH Efficacy'!$BZ:$BZ,"&lt;2014",
'20102013 STH Efficacy'!$CU:$CU,""),
"")</f>
        <v/>
      </c>
      <c r="BI59" s="136">
        <f t="shared" si="28"/>
        <v>0.9295857143</v>
      </c>
      <c r="BJ59" s="128" t="str">
        <f>IFERROR(AVERAGEIFS(
'20102013 STH Efficacy'!$CD:$CD, 
'20102013 STH Efficacy'!$BS:$BS, $A59, 
'20102013 STH Efficacy'!$BT:$BT, "Albendazole &amp; Ivermectin",
'20102013 STH Efficacy'!$BZ:$BZ,"&lt;2014",
'20102013 STH Efficacy'!$CU:$CU,""),
"")</f>
        <v/>
      </c>
      <c r="BK59" s="136">
        <f t="shared" si="29"/>
        <v>1</v>
      </c>
      <c r="BL59" s="300" t="str">
        <f>IFERROR(
  AVERAGEIFS(
    'NEW 20102013 Onchocerciasis Eff'!$AO:$AO,
    'NEW 20102013 Onchocerciasis Eff'!$C:$C,$A59,
    'NEW 20102013 Onchocerciasis Eff'!$D:$D,"Ivermectin",
    'NEW 20102013 Onchocerciasis Eff'!$AR:$AR,"&lt;2014",
    'NEW 20102013 Onchocerciasis Eff'!$BG:$BG,"")
,"")</f>
        <v/>
      </c>
      <c r="BM59" s="304">
        <f t="shared" si="30"/>
        <v>0.7808368939</v>
      </c>
      <c r="BN59" s="305">
        <v>0.0</v>
      </c>
      <c r="BO59" s="139">
        <v>0.0</v>
      </c>
      <c r="BP59" s="140">
        <v>0.0</v>
      </c>
      <c r="BQ59" s="141">
        <f t="shared" si="31"/>
        <v>0</v>
      </c>
      <c r="BR59" s="104" t="str">
        <f t="shared" si="32"/>
        <v>0000</v>
      </c>
      <c r="BS59" s="104" t="str">
        <f t="shared" si="33"/>
        <v>no action required</v>
      </c>
      <c r="BT59" s="142" t="str">
        <f t="shared" si="34"/>
        <v/>
      </c>
      <c r="BU59" s="104" t="str">
        <f t="shared" si="35"/>
        <v/>
      </c>
      <c r="BV59" s="104" t="str">
        <f t="shared" si="36"/>
        <v>none</v>
      </c>
      <c r="BW59" s="150" t="str">
        <f t="shared" si="37"/>
        <v/>
      </c>
      <c r="BX59" s="150" t="str">
        <f t="shared" si="38"/>
        <v/>
      </c>
      <c r="BY59" s="151" t="str">
        <f t="shared" si="39"/>
        <v/>
      </c>
      <c r="BZ59" s="152" t="str">
        <f t="shared" si="40"/>
        <v/>
      </c>
      <c r="CA59" s="152" t="str">
        <f t="shared" si="41"/>
        <v/>
      </c>
      <c r="CB59" s="152" t="str">
        <f t="shared" si="42"/>
        <v/>
      </c>
      <c r="CC59" s="153" t="str">
        <f t="shared" si="43"/>
        <v/>
      </c>
      <c r="CD59" s="153" t="str">
        <f t="shared" si="44"/>
        <v/>
      </c>
      <c r="CE59" s="154" t="str">
        <f t="shared" si="45"/>
        <v/>
      </c>
      <c r="CF59" s="154" t="str">
        <f t="shared" si="46"/>
        <v/>
      </c>
      <c r="CG59" s="154" t="str">
        <f t="shared" si="47"/>
        <v/>
      </c>
      <c r="CH59" s="308" t="str">
        <f t="shared" si="48"/>
        <v/>
      </c>
      <c r="CI59" s="299"/>
    </row>
    <row r="60">
      <c r="A60" s="103" t="s">
        <v>149</v>
      </c>
      <c r="B60" s="104" t="s">
        <v>109</v>
      </c>
      <c r="C60" s="105">
        <v>2.4985976E7</v>
      </c>
      <c r="D60" s="293">
        <v>0.0</v>
      </c>
      <c r="E60" s="294">
        <v>0.0</v>
      </c>
      <c r="F60" s="163"/>
      <c r="G60" s="163"/>
      <c r="H60" s="108">
        <v>2.34991E-4</v>
      </c>
      <c r="I60" s="109">
        <v>0.0</v>
      </c>
      <c r="J60" s="109">
        <v>0.0</v>
      </c>
      <c r="K60" s="109">
        <v>0.310341105</v>
      </c>
      <c r="L60" s="112">
        <v>334.4109097</v>
      </c>
      <c r="M60" s="112">
        <v>339.6189285</v>
      </c>
      <c r="N60" s="111">
        <v>674.0298383</v>
      </c>
      <c r="O60" s="298">
        <v>0.0</v>
      </c>
      <c r="P60" s="114"/>
      <c r="Q60" s="114"/>
      <c r="R60" s="121" t="str">
        <f t="shared" si="11"/>
        <v/>
      </c>
      <c r="S60" s="116">
        <f t="shared" si="12"/>
        <v>0.3974936367</v>
      </c>
      <c r="T60" s="130"/>
      <c r="U60" s="118">
        <f t="shared" si="13"/>
        <v>0.7367</v>
      </c>
      <c r="V60" s="119">
        <v>1.0</v>
      </c>
      <c r="W60" s="120">
        <f t="shared" si="14"/>
        <v>1</v>
      </c>
      <c r="X60" s="119">
        <v>1.0</v>
      </c>
      <c r="Y60" s="120">
        <f t="shared" si="15"/>
        <v>1</v>
      </c>
      <c r="Z60" s="299"/>
      <c r="AA60" s="299"/>
      <c r="AB60" s="300" t="str">
        <f t="shared" si="16"/>
        <v/>
      </c>
      <c r="AC60" s="301">
        <f t="shared" si="17"/>
        <v>0.6295826791</v>
      </c>
      <c r="AD60" s="122">
        <v>0.0</v>
      </c>
      <c r="AE60" s="315">
        <v>0.0</v>
      </c>
      <c r="AF60" s="123">
        <v>0.0</v>
      </c>
      <c r="AG60" s="316">
        <v>0.0</v>
      </c>
      <c r="AH60" s="124">
        <v>0.004255033</v>
      </c>
      <c r="AI60" s="317">
        <v>0.0</v>
      </c>
      <c r="AJ60" s="317">
        <v>1.17696E-5</v>
      </c>
      <c r="AK60" s="319">
        <v>0.0</v>
      </c>
      <c r="AL60" s="319">
        <v>0.0</v>
      </c>
      <c r="AM60" s="302">
        <v>0.0</v>
      </c>
      <c r="AN60" s="149" t="str">
        <f>IFERROR(
  AVERAGEIFS(
    'New 20102013 LF Efficacy'!$J:$J,
    'New 20102013 LF Efficacy'!$D:$D, $A60,
    'New 20102013 LF Efficacy'!$F:$F,"DEC", 
    'New 20102013 LF Efficacy'!$W:$W,"&lt;2014",
    'New 20102013 LF Efficacy'!$AA:$AA,""),
  ""
)</f>
        <v/>
      </c>
      <c r="AO60" s="115">
        <f t="shared" si="18"/>
        <v>0.478175</v>
      </c>
      <c r="AP60" s="121" t="str">
        <f>IFERROR(
AVERAGEIFS(
'New 20102013 LF Efficacy'!$J:$J,
'New 20102013 LF Efficacy'!$D:$D,$A60,
'New 20102013 LF Efficacy'!$F:$F,"Albendazole &amp; DEC",
'New 20102013 LF Efficacy'!$W:$W,"&lt;2014",
'New 20102013 LF Efficacy'!$AA:$AA,""),
"")
</f>
        <v/>
      </c>
      <c r="AQ60" s="115">
        <f t="shared" si="19"/>
        <v>0.5831666667</v>
      </c>
      <c r="AR60" s="121" t="str">
        <f>IFERROR(
AVERAGEIFS(
'New 20102013 LF Efficacy'!$J:$J,
'New 20102013 LF Efficacy'!$D:$D,$A60,
'New 20102013 LF Efficacy'!$F:$F,"Albendazole &amp; Ivermectin", 
'New 20102013 LF Efficacy'!$W:$W,"&lt;2014",
'New 20102013 LF Efficacy'!$AA:$AA,""),"")</f>
        <v/>
      </c>
      <c r="AS60" s="115">
        <f t="shared" si="20"/>
        <v>0.14</v>
      </c>
      <c r="AT60" s="130" t="str">
        <f>IFERROR(AVERAGEIFS(
'20102013 Schist Efficacy'!$O:$O, 
'20102013 Schist Efficacy'!$C:$C,$A60, 
'20102013 Schist Efficacy'!$D:$D, "Praziquantel",
'20102013 Schist Efficacy'!$J:$J,"&lt;2014",
'20102013 Schist Efficacy'!$U:$U,""),
"")</f>
        <v/>
      </c>
      <c r="AU60" s="118">
        <f t="shared" si="21"/>
        <v>0.7430399392</v>
      </c>
      <c r="AV60" s="131" t="str">
        <f>IFERROR(AVERAGEIFS(
'20102013 STH Efficacy'!$AX:$AX, 
'20102013 STH Efficacy'!$AL:$AL, $A60, 
'20102013 STH Efficacy'!$AM:$AM, "Albendazole",
'20102013 STH Efficacy'!$AS:$AS,"&lt;2014",
'20102013 STH Efficacy'!$BP:$BP,""),
"")</f>
        <v/>
      </c>
      <c r="AW60" s="132">
        <f t="shared" si="22"/>
        <v>0.4756666667</v>
      </c>
      <c r="AX60" s="131" t="str">
        <f>IFERROR(AVERAGEIFS(
'20102013 STH Efficacy'!$AX:$AX, 
'20102013 STH Efficacy'!$AL:$AL, $A60, 
'20102013 STH Efficacy'!$AM:$AM, "Mebendazole",
'20102013 STH Efficacy'!$AS:$AS,"&lt;2014",
'20102013 STH Efficacy'!$BP:$BP,""),
"")</f>
        <v/>
      </c>
      <c r="AY60" s="132">
        <f t="shared" si="23"/>
        <v>0.3786666667</v>
      </c>
      <c r="AZ60" s="131" t="str">
        <f>IFERROR(AVERAGEIFS(
'20102013 STH Efficacy'!$AX:$AX, 
'20102013 STH Efficacy'!$AL:$AL, $A60, 
'20102013 STH Efficacy'!$AM:$AM, "Albendazole &amp; Ivermectin",
'20102013 STH Efficacy'!$AS:$AS,"&lt;2014",
'20102013 STH Efficacy'!$BP:$BP,""),
"")</f>
        <v/>
      </c>
      <c r="BA60" s="303">
        <f t="shared" si="24"/>
        <v>0.597625</v>
      </c>
      <c r="BB60" s="134" t="str">
        <f>IFERROR(AVERAGEIFS(
'20102013 STH Efficacy'!$N:$N, 
'20102013 STH Efficacy'!$B:$B, $A60, 
'20102013 STH Efficacy'!$C:$C, "Albendazole",
'20102013 STH Efficacy'!$I:$I,"&lt;2014",
'20102013 STH Efficacy'!$AH:$AH,""),
"")</f>
        <v/>
      </c>
      <c r="BC60" s="135">
        <f t="shared" si="25"/>
        <v>0.7133333333</v>
      </c>
      <c r="BD60" s="134" t="str">
        <f>IFERROR(AVERAGEIFS(
'20102013 STH Efficacy'!$N:$N, 
'20102013 STH Efficacy'!$B:$B, $A60, 
'20102013 STH Efficacy'!$C:$C, "Mebendazole",
'20102013 STH Efficacy'!$I:$I,"&lt;2014",
'20102013 STH Efficacy'!$AH:$AH,""),
"")</f>
        <v/>
      </c>
      <c r="BE60" s="135">
        <f t="shared" si="26"/>
        <v>0.205</v>
      </c>
      <c r="BF60" s="128" t="str">
        <f>IFERROR(AVERAGEIFS(
'20102013 STH Efficacy'!$CD:$CD, 
'20102013 STH Efficacy'!$BS:$BS, $A60, 
'20102013 STH Efficacy'!$BT:$BT, "Albendazole",
'20102013 STH Efficacy'!$BZ:$BZ,"&lt;2014",
'20102013 STH Efficacy'!$CU:$CU,""),
"")</f>
        <v/>
      </c>
      <c r="BG60" s="136">
        <f t="shared" si="27"/>
        <v>0.83</v>
      </c>
      <c r="BH60" s="128" t="str">
        <f>IFERROR(AVERAGEIFS(
'20102013 STH Efficacy'!$CD:$CD, 
'20102013 STH Efficacy'!$BS:$BS, $A60, 
'20102013 STH Efficacy'!$BT:$BT, "Mebendazole",
'20102013 STH Efficacy'!$BZ:$BZ,"&lt;2014",
'20102013 STH Efficacy'!$CU:$CU,""),
"")</f>
        <v/>
      </c>
      <c r="BI60" s="136">
        <f t="shared" si="28"/>
        <v>1</v>
      </c>
      <c r="BJ60" s="128" t="str">
        <f>IFERROR(AVERAGEIFS(
'20102013 STH Efficacy'!$CD:$CD, 
'20102013 STH Efficacy'!$BS:$BS, $A60, 
'20102013 STH Efficacy'!$BT:$BT, "Albendazole &amp; Ivermectin",
'20102013 STH Efficacy'!$BZ:$BZ,"&lt;2014",
'20102013 STH Efficacy'!$CU:$CU,""),
"")</f>
        <v/>
      </c>
      <c r="BK60" s="136">
        <f t="shared" si="29"/>
        <v>1</v>
      </c>
      <c r="BL60" s="300" t="str">
        <f>IFERROR(
  AVERAGEIFS(
    'NEW 20102013 Onchocerciasis Eff'!$AO:$AO,
    'NEW 20102013 Onchocerciasis Eff'!$C:$C,$A60,
    'NEW 20102013 Onchocerciasis Eff'!$D:$D,"Ivermectin",
    'NEW 20102013 Onchocerciasis Eff'!$AR:$AR,"&lt;2014",
    'NEW 20102013 Onchocerciasis Eff'!$BG:$BG,"")
,"")</f>
        <v/>
      </c>
      <c r="BM60" s="304">
        <f t="shared" si="30"/>
        <v>0.7808368939</v>
      </c>
      <c r="BN60" s="305">
        <v>0.0</v>
      </c>
      <c r="BO60" s="139">
        <v>0.0</v>
      </c>
      <c r="BP60" s="140">
        <v>0.0</v>
      </c>
      <c r="BQ60" s="141">
        <f t="shared" si="31"/>
        <v>0</v>
      </c>
      <c r="BR60" s="104" t="str">
        <f t="shared" si="32"/>
        <v>0000</v>
      </c>
      <c r="BS60" s="104" t="str">
        <f t="shared" si="33"/>
        <v>no action required</v>
      </c>
      <c r="BT60" s="142" t="str">
        <f t="shared" si="34"/>
        <v/>
      </c>
      <c r="BU60" s="104" t="str">
        <f t="shared" si="35"/>
        <v/>
      </c>
      <c r="BV60" s="104" t="str">
        <f t="shared" si="36"/>
        <v>none</v>
      </c>
      <c r="BW60" s="150" t="str">
        <f t="shared" si="37"/>
        <v/>
      </c>
      <c r="BX60" s="150" t="str">
        <f t="shared" si="38"/>
        <v/>
      </c>
      <c r="BY60" s="151" t="str">
        <f t="shared" si="39"/>
        <v/>
      </c>
      <c r="BZ60" s="152" t="str">
        <f t="shared" si="40"/>
        <v/>
      </c>
      <c r="CA60" s="152" t="str">
        <f t="shared" si="41"/>
        <v/>
      </c>
      <c r="CB60" s="152" t="str">
        <f t="shared" si="42"/>
        <v/>
      </c>
      <c r="CC60" s="153" t="str">
        <f t="shared" si="43"/>
        <v/>
      </c>
      <c r="CD60" s="153" t="str">
        <f t="shared" si="44"/>
        <v/>
      </c>
      <c r="CE60" s="154" t="str">
        <f t="shared" si="45"/>
        <v/>
      </c>
      <c r="CF60" s="154" t="str">
        <f t="shared" si="46"/>
        <v/>
      </c>
      <c r="CG60" s="154" t="str">
        <f t="shared" si="47"/>
        <v/>
      </c>
      <c r="CH60" s="308" t="str">
        <f t="shared" si="48"/>
        <v/>
      </c>
      <c r="CI60" s="299"/>
    </row>
    <row r="61">
      <c r="A61" s="155" t="s">
        <v>150</v>
      </c>
      <c r="B61" s="104" t="s">
        <v>92</v>
      </c>
      <c r="C61" s="105">
        <v>7.1316033E7</v>
      </c>
      <c r="D61" s="293">
        <v>24649.2</v>
      </c>
      <c r="E61" s="294">
        <v>186238.4134</v>
      </c>
      <c r="F61" s="309">
        <v>906.0389386</v>
      </c>
      <c r="G61" s="309">
        <v>3517.975385</v>
      </c>
      <c r="H61" s="108">
        <v>4424.014323</v>
      </c>
      <c r="I61" s="109">
        <v>6691.65527</v>
      </c>
      <c r="J61" s="109">
        <v>17299.8655</v>
      </c>
      <c r="K61" s="109">
        <v>23991.52078</v>
      </c>
      <c r="L61" s="112">
        <v>57474.52163</v>
      </c>
      <c r="M61" s="112">
        <v>14673.03766</v>
      </c>
      <c r="N61" s="111">
        <v>72147.5593</v>
      </c>
      <c r="O61" s="298">
        <v>494002.172</v>
      </c>
      <c r="P61" s="160">
        <v>4.914E7</v>
      </c>
      <c r="Q61" s="156"/>
      <c r="R61" s="121">
        <f t="shared" si="11"/>
        <v>0</v>
      </c>
      <c r="S61" s="116">
        <f t="shared" si="12"/>
        <v>0.2589669834</v>
      </c>
      <c r="T61" s="130"/>
      <c r="U61" s="118">
        <f t="shared" si="13"/>
        <v>0.252</v>
      </c>
      <c r="V61" s="119">
        <v>0.5792</v>
      </c>
      <c r="W61" s="120">
        <f t="shared" si="14"/>
        <v>0.5792</v>
      </c>
      <c r="X61" s="148"/>
      <c r="Y61" s="120">
        <f t="shared" si="15"/>
        <v>0.5668291667</v>
      </c>
      <c r="Z61" s="310">
        <v>4.2394937E7</v>
      </c>
      <c r="AA61" s="310">
        <v>2.453618E7</v>
      </c>
      <c r="AB61" s="300">
        <f t="shared" si="16"/>
        <v>0.5787525996</v>
      </c>
      <c r="AC61" s="301">
        <f t="shared" si="17"/>
        <v>0.5787525996</v>
      </c>
      <c r="AD61" s="122">
        <v>0.0059</v>
      </c>
      <c r="AE61" s="123">
        <v>0.29</v>
      </c>
      <c r="AF61" s="123">
        <v>0.091</v>
      </c>
      <c r="AG61" s="316">
        <v>0.0</v>
      </c>
      <c r="AH61" s="124">
        <v>0.21290849</v>
      </c>
      <c r="AI61" s="317">
        <v>0.0</v>
      </c>
      <c r="AJ61" s="125">
        <v>0.197300775</v>
      </c>
      <c r="AK61" s="319">
        <v>0.0</v>
      </c>
      <c r="AL61" s="319">
        <v>0.0</v>
      </c>
      <c r="AM61" s="302">
        <v>0.1103</v>
      </c>
      <c r="AN61" s="149" t="str">
        <f>IFERROR(
  AVERAGEIFS(
    'New 20102013 LF Efficacy'!$J:$J,
    'New 20102013 LF Efficacy'!$D:$D, $A61,
    'New 20102013 LF Efficacy'!$F:$F,"DEC", 
    'New 20102013 LF Efficacy'!$W:$W,"&lt;2014",
    'New 20102013 LF Efficacy'!$AA:$AA,""),
  ""
)</f>
        <v/>
      </c>
      <c r="AO61" s="115">
        <f t="shared" si="18"/>
        <v>0.31225</v>
      </c>
      <c r="AP61" s="121" t="str">
        <f>IFERROR(
AVERAGEIFS(
'New 20102013 LF Efficacy'!$J:$J,
'New 20102013 LF Efficacy'!$D:$D,$A61,
'New 20102013 LF Efficacy'!$F:$F,"Albendazole &amp; DEC",
'New 20102013 LF Efficacy'!$W:$W,"&lt;2014",
'New 20102013 LF Efficacy'!$AA:$AA,""),
"")
</f>
        <v/>
      </c>
      <c r="AQ61" s="115">
        <f t="shared" si="19"/>
        <v>0.4</v>
      </c>
      <c r="AR61" s="121" t="str">
        <f>IFERROR(
AVERAGEIFS(
'New 20102013 LF Efficacy'!$J:$J,
'New 20102013 LF Efficacy'!$D:$D,$A61,
'New 20102013 LF Efficacy'!$F:$F,"Albendazole &amp; Ivermectin", 
'New 20102013 LF Efficacy'!$W:$W,"&lt;2014",
'New 20102013 LF Efficacy'!$AA:$AA,""),"")</f>
        <v/>
      </c>
      <c r="AS61" s="115">
        <f t="shared" si="20"/>
        <v>0.2943125</v>
      </c>
      <c r="AT61" s="130" t="str">
        <f>IFERROR(AVERAGEIFS(
'20102013 Schist Efficacy'!$O:$O, 
'20102013 Schist Efficacy'!$C:$C,$A61, 
'20102013 Schist Efficacy'!$D:$D, "Praziquantel",
'20102013 Schist Efficacy'!$J:$J,"&lt;2014",
'20102013 Schist Efficacy'!$U:$U,""),
"")</f>
        <v/>
      </c>
      <c r="AU61" s="118">
        <f t="shared" si="21"/>
        <v>0.7192212527</v>
      </c>
      <c r="AV61" s="131" t="str">
        <f>IFERROR(AVERAGEIFS(
'20102013 STH Efficacy'!$AX:$AX, 
'20102013 STH Efficacy'!$AL:$AL, $A61, 
'20102013 STH Efficacy'!$AM:$AM, "Albendazole",
'20102013 STH Efficacy'!$AS:$AS,"&lt;2014",
'20102013 STH Efficacy'!$BP:$BP,""),
"")</f>
        <v/>
      </c>
      <c r="AW61" s="132">
        <f t="shared" si="22"/>
        <v>0.3816333333</v>
      </c>
      <c r="AX61" s="131" t="str">
        <f>IFERROR(AVERAGEIFS(
'20102013 STH Efficacy'!$AX:$AX, 
'20102013 STH Efficacy'!$AL:$AL, $A61, 
'20102013 STH Efficacy'!$AM:$AM, "Mebendazole",
'20102013 STH Efficacy'!$AS:$AS,"&lt;2014",
'20102013 STH Efficacy'!$BP:$BP,""),
"")</f>
        <v/>
      </c>
      <c r="AY61" s="132">
        <f t="shared" si="23"/>
        <v>0.5675833333</v>
      </c>
      <c r="AZ61" s="131" t="str">
        <f>IFERROR(AVERAGEIFS(
'20102013 STH Efficacy'!$AX:$AX, 
'20102013 STH Efficacy'!$AL:$AL, $A61, 
'20102013 STH Efficacy'!$AM:$AM, "Albendazole &amp; Ivermectin",
'20102013 STH Efficacy'!$AS:$AS,"&lt;2014",
'20102013 STH Efficacy'!$BP:$BP,""),
"")</f>
        <v/>
      </c>
      <c r="BA61" s="303">
        <f t="shared" si="24"/>
        <v>0.47175</v>
      </c>
      <c r="BB61" s="134" t="str">
        <f>IFERROR(AVERAGEIFS(
'20102013 STH Efficacy'!$N:$N, 
'20102013 STH Efficacy'!$B:$B, $A61, 
'20102013 STH Efficacy'!$C:$C, "Albendazole",
'20102013 STH Efficacy'!$I:$I,"&lt;2014",
'20102013 STH Efficacy'!$AH:$AH,""),
"")</f>
        <v/>
      </c>
      <c r="BC61" s="135">
        <f t="shared" si="25"/>
        <v>0.8699166667</v>
      </c>
      <c r="BD61" s="134" t="str">
        <f>IFERROR(AVERAGEIFS(
'20102013 STH Efficacy'!$N:$N, 
'20102013 STH Efficacy'!$B:$B, $A61, 
'20102013 STH Efficacy'!$C:$C, "Mebendazole",
'20102013 STH Efficacy'!$I:$I,"&lt;2014",
'20102013 STH Efficacy'!$AH:$AH,""),
"")</f>
        <v/>
      </c>
      <c r="BE61" s="135">
        <f t="shared" si="26"/>
        <v>0.7092416667</v>
      </c>
      <c r="BF61" s="128" t="str">
        <f>IFERROR(AVERAGEIFS(
'20102013 STH Efficacy'!$CD:$CD, 
'20102013 STH Efficacy'!$BS:$BS, $A61, 
'20102013 STH Efficacy'!$BT:$BT, "Albendazole",
'20102013 STH Efficacy'!$BZ:$BZ,"&lt;2014",
'20102013 STH Efficacy'!$CU:$CU,""),
"")</f>
        <v/>
      </c>
      <c r="BG61" s="136">
        <f t="shared" si="27"/>
        <v>0.9066666667</v>
      </c>
      <c r="BH61" s="128" t="str">
        <f>IFERROR(AVERAGEIFS(
'20102013 STH Efficacy'!$CD:$CD, 
'20102013 STH Efficacy'!$BS:$BS, $A61, 
'20102013 STH Efficacy'!$BT:$BT, "Mebendazole",
'20102013 STH Efficacy'!$BZ:$BZ,"&lt;2014",
'20102013 STH Efficacy'!$CU:$CU,""),
"")</f>
        <v/>
      </c>
      <c r="BI61" s="136">
        <f t="shared" si="28"/>
        <v>0.9358666667</v>
      </c>
      <c r="BJ61" s="128" t="str">
        <f>IFERROR(AVERAGEIFS(
'20102013 STH Efficacy'!$CD:$CD, 
'20102013 STH Efficacy'!$BS:$BS, $A61, 
'20102013 STH Efficacy'!$BT:$BT, "Albendazole &amp; Ivermectin",
'20102013 STH Efficacy'!$BZ:$BZ,"&lt;2014",
'20102013 STH Efficacy'!$CU:$CU,""),
"")</f>
        <v/>
      </c>
      <c r="BK61" s="136">
        <f t="shared" si="29"/>
        <v>1</v>
      </c>
      <c r="BL61" s="300" t="str">
        <f>IFERROR(
  AVERAGEIFS(
    'NEW 20102013 Onchocerciasis Eff'!$AO:$AO,
    'NEW 20102013 Onchocerciasis Eff'!$C:$C,$A61,
    'NEW 20102013 Onchocerciasis Eff'!$D:$D,"Ivermectin",
    'NEW 20102013 Onchocerciasis Eff'!$AR:$AR,"&lt;2014",
    'NEW 20102013 Onchocerciasis Eff'!$BG:$BG,"")
,"")</f>
        <v/>
      </c>
      <c r="BM61" s="304">
        <f t="shared" si="30"/>
        <v>0.8390421645</v>
      </c>
      <c r="BN61" s="305">
        <v>1.0</v>
      </c>
      <c r="BO61" s="139">
        <v>1.0</v>
      </c>
      <c r="BP61" s="140">
        <v>1.0</v>
      </c>
      <c r="BQ61" s="141">
        <f t="shared" si="31"/>
        <v>0</v>
      </c>
      <c r="BR61" s="104" t="str">
        <f t="shared" si="32"/>
        <v>1110</v>
      </c>
      <c r="BS61" s="104" t="str">
        <f t="shared" si="33"/>
        <v>MDA1+T2</v>
      </c>
      <c r="BT61" s="142" t="str">
        <f t="shared" si="34"/>
        <v>IVM+ALB</v>
      </c>
      <c r="BU61" s="104" t="str">
        <f t="shared" si="35"/>
        <v>PZQ</v>
      </c>
      <c r="BV61" s="104" t="str">
        <f t="shared" si="36"/>
        <v>lf+onch+schist </v>
      </c>
      <c r="BW61" s="150" t="str">
        <f t="shared" si="37"/>
        <v/>
      </c>
      <c r="BX61" s="312">
        <f t="shared" si="38"/>
        <v>2033.696176</v>
      </c>
      <c r="BY61" s="162">
        <f t="shared" si="39"/>
        <v>41226.61626</v>
      </c>
      <c r="BZ61" s="152" t="str">
        <f t="shared" si="40"/>
        <v/>
      </c>
      <c r="CA61" s="152" t="str">
        <f t="shared" si="41"/>
        <v/>
      </c>
      <c r="CB61" s="152" t="str">
        <f t="shared" si="42"/>
        <v/>
      </c>
      <c r="CC61" s="153" t="str">
        <f t="shared" si="43"/>
        <v/>
      </c>
      <c r="CD61" s="153" t="str">
        <f t="shared" si="44"/>
        <v/>
      </c>
      <c r="CE61" s="154" t="str">
        <f t="shared" si="45"/>
        <v/>
      </c>
      <c r="CF61" s="154" t="str">
        <f t="shared" si="46"/>
        <v/>
      </c>
      <c r="CG61" s="154" t="str">
        <f t="shared" si="47"/>
        <v/>
      </c>
      <c r="CH61" s="313">
        <f t="shared" si="48"/>
        <v>15544.67176</v>
      </c>
      <c r="CI61" s="299"/>
    </row>
    <row r="62">
      <c r="A62" s="155" t="s">
        <v>151</v>
      </c>
      <c r="B62" s="104" t="s">
        <v>90</v>
      </c>
      <c r="C62" s="105">
        <v>5614932.0</v>
      </c>
      <c r="D62" s="293">
        <v>0.0</v>
      </c>
      <c r="E62" s="294">
        <v>0.0</v>
      </c>
      <c r="F62" s="307">
        <v>0.0</v>
      </c>
      <c r="G62" s="307">
        <v>0.0</v>
      </c>
      <c r="H62" s="108">
        <v>0.0</v>
      </c>
      <c r="I62" s="109">
        <v>0.0</v>
      </c>
      <c r="J62" s="109">
        <v>0.0</v>
      </c>
      <c r="K62" s="109">
        <v>0.0</v>
      </c>
      <c r="L62" s="112">
        <v>0.0</v>
      </c>
      <c r="M62" s="112">
        <v>0.0</v>
      </c>
      <c r="N62" s="111">
        <v>0.0</v>
      </c>
      <c r="O62" s="298">
        <v>0.0</v>
      </c>
      <c r="P62" s="114"/>
      <c r="Q62" s="114"/>
      <c r="R62" s="121" t="str">
        <f t="shared" si="11"/>
        <v/>
      </c>
      <c r="S62" s="116">
        <f t="shared" si="12"/>
        <v>0.526225767</v>
      </c>
      <c r="T62" s="130"/>
      <c r="U62" s="118">
        <f t="shared" si="13"/>
        <v>0.3468166667</v>
      </c>
      <c r="V62" s="148"/>
      <c r="W62" s="120">
        <f t="shared" si="14"/>
        <v>1</v>
      </c>
      <c r="X62" s="148"/>
      <c r="Y62" s="120">
        <f t="shared" si="15"/>
        <v>1</v>
      </c>
      <c r="Z62" s="299"/>
      <c r="AA62" s="299"/>
      <c r="AB62" s="300" t="str">
        <f t="shared" si="16"/>
        <v/>
      </c>
      <c r="AC62" s="301">
        <f t="shared" si="17"/>
        <v>0.6295826791</v>
      </c>
      <c r="AD62" s="122">
        <v>0.0</v>
      </c>
      <c r="AE62" s="123">
        <v>0.0</v>
      </c>
      <c r="AF62" s="123">
        <v>0.0</v>
      </c>
      <c r="AG62" s="124">
        <v>0.0</v>
      </c>
      <c r="AH62" s="124">
        <v>0.0</v>
      </c>
      <c r="AI62" s="125">
        <v>0.0</v>
      </c>
      <c r="AJ62" s="125">
        <v>0.0</v>
      </c>
      <c r="AK62" s="127">
        <v>0.0</v>
      </c>
      <c r="AL62" s="127">
        <v>0.0</v>
      </c>
      <c r="AM62" s="302">
        <v>0.0</v>
      </c>
      <c r="AN62" s="149" t="str">
        <f>IFERROR(
  AVERAGEIFS(
    'New 20102013 LF Efficacy'!$J:$J,
    'New 20102013 LF Efficacy'!$D:$D, $A62,
    'New 20102013 LF Efficacy'!$F:$F,"DEC", 
    'New 20102013 LF Efficacy'!$W:$W,"&lt;2014",
    'New 20102013 LF Efficacy'!$AA:$AA,""),
  ""
)</f>
        <v/>
      </c>
      <c r="AO62" s="115">
        <f t="shared" si="18"/>
        <v>0.3573520833</v>
      </c>
      <c r="AP62" s="121" t="str">
        <f>IFERROR(
AVERAGEIFS(
'New 20102013 LF Efficacy'!$J:$J,
'New 20102013 LF Efficacy'!$D:$D,$A62,
'New 20102013 LF Efficacy'!$F:$F,"Albendazole &amp; DEC",
'New 20102013 LF Efficacy'!$W:$W,"&lt;2014",
'New 20102013 LF Efficacy'!$AA:$AA,""),
"")
</f>
        <v/>
      </c>
      <c r="AQ62" s="115">
        <f t="shared" si="19"/>
        <v>0.5137291667</v>
      </c>
      <c r="AR62" s="121" t="str">
        <f>IFERROR(
AVERAGEIFS(
'New 20102013 LF Efficacy'!$J:$J,
'New 20102013 LF Efficacy'!$D:$D,$A62,
'New 20102013 LF Efficacy'!$F:$F,"Albendazole &amp; Ivermectin", 
'New 20102013 LF Efficacy'!$W:$W,"&lt;2014",
'New 20102013 LF Efficacy'!$AA:$AA,""),"")</f>
        <v/>
      </c>
      <c r="AS62" s="115">
        <f t="shared" si="20"/>
        <v>0.37153125</v>
      </c>
      <c r="AT62" s="130" t="str">
        <f>IFERROR(AVERAGEIFS(
'20102013 Schist Efficacy'!$O:$O, 
'20102013 Schist Efficacy'!$C:$C,$A62, 
'20102013 Schist Efficacy'!$D:$D, "Praziquantel",
'20102013 Schist Efficacy'!$J:$J,"&lt;2014",
'20102013 Schist Efficacy'!$U:$U,""),
"")</f>
        <v/>
      </c>
      <c r="AU62" s="118">
        <f t="shared" si="21"/>
        <v>0.655</v>
      </c>
      <c r="AV62" s="131" t="str">
        <f>IFERROR(AVERAGEIFS(
'20102013 STH Efficacy'!$AX:$AX, 
'20102013 STH Efficacy'!$AL:$AL, $A62, 
'20102013 STH Efficacy'!$AM:$AM, "Albendazole",
'20102013 STH Efficacy'!$AS:$AS,"&lt;2014",
'20102013 STH Efficacy'!$BP:$BP,""),
"")</f>
        <v/>
      </c>
      <c r="AW62" s="132">
        <f t="shared" si="22"/>
        <v>0.3933333333</v>
      </c>
      <c r="AX62" s="131" t="str">
        <f>IFERROR(AVERAGEIFS(
'20102013 STH Efficacy'!$AX:$AX, 
'20102013 STH Efficacy'!$AL:$AL, $A62, 
'20102013 STH Efficacy'!$AM:$AM, "Mebendazole",
'20102013 STH Efficacy'!$AS:$AS,"&lt;2014",
'20102013 STH Efficacy'!$BP:$BP,""),
"")</f>
        <v/>
      </c>
      <c r="AY62" s="132">
        <f t="shared" si="23"/>
        <v>0.5017738095</v>
      </c>
      <c r="AZ62" s="131" t="str">
        <f>IFERROR(AVERAGEIFS(
'20102013 STH Efficacy'!$AX:$AX, 
'20102013 STH Efficacy'!$AL:$AL, $A62, 
'20102013 STH Efficacy'!$AM:$AM, "Albendazole &amp; Ivermectin",
'20102013 STH Efficacy'!$AS:$AS,"&lt;2014",
'20102013 STH Efficacy'!$BP:$BP,""),
"")</f>
        <v/>
      </c>
      <c r="BA62" s="303">
        <f t="shared" si="24"/>
        <v>0.597625</v>
      </c>
      <c r="BB62" s="134" t="str">
        <f>IFERROR(AVERAGEIFS(
'20102013 STH Efficacy'!$N:$N, 
'20102013 STH Efficacy'!$B:$B, $A62, 
'20102013 STH Efficacy'!$C:$C, "Albendazole",
'20102013 STH Efficacy'!$I:$I,"&lt;2014",
'20102013 STH Efficacy'!$AH:$AH,""),
"")</f>
        <v/>
      </c>
      <c r="BC62" s="135">
        <f t="shared" si="25"/>
        <v>0.7613712121</v>
      </c>
      <c r="BD62" s="134" t="str">
        <f>IFERROR(AVERAGEIFS(
'20102013 STH Efficacy'!$N:$N, 
'20102013 STH Efficacy'!$B:$B, $A62, 
'20102013 STH Efficacy'!$C:$C, "Mebendazole",
'20102013 STH Efficacy'!$I:$I,"&lt;2014",
'20102013 STH Efficacy'!$AH:$AH,""),
"")</f>
        <v/>
      </c>
      <c r="BE62" s="135">
        <f t="shared" si="26"/>
        <v>0.4362466667</v>
      </c>
      <c r="BF62" s="128" t="str">
        <f>IFERROR(AVERAGEIFS(
'20102013 STH Efficacy'!$CD:$CD, 
'20102013 STH Efficacy'!$BS:$BS, $A62, 
'20102013 STH Efficacy'!$BT:$BT, "Albendazole",
'20102013 STH Efficacy'!$BZ:$BZ,"&lt;2014",
'20102013 STH Efficacy'!$CU:$CU,""),
"")</f>
        <v/>
      </c>
      <c r="BG62" s="136">
        <f t="shared" si="27"/>
        <v>0.9216027778</v>
      </c>
      <c r="BH62" s="128" t="str">
        <f>IFERROR(AVERAGEIFS(
'20102013 STH Efficacy'!$CD:$CD, 
'20102013 STH Efficacy'!$BS:$BS, $A62, 
'20102013 STH Efficacy'!$BT:$BT, "Mebendazole",
'20102013 STH Efficacy'!$BZ:$BZ,"&lt;2014",
'20102013 STH Efficacy'!$CU:$CU,""),
"")</f>
        <v/>
      </c>
      <c r="BI62" s="136">
        <f t="shared" si="28"/>
        <v>0.9295857143</v>
      </c>
      <c r="BJ62" s="128" t="str">
        <f>IFERROR(AVERAGEIFS(
'20102013 STH Efficacy'!$CD:$CD, 
'20102013 STH Efficacy'!$BS:$BS, $A62, 
'20102013 STH Efficacy'!$BT:$BT, "Albendazole &amp; Ivermectin",
'20102013 STH Efficacy'!$BZ:$BZ,"&lt;2014",
'20102013 STH Efficacy'!$CU:$CU,""),
"")</f>
        <v/>
      </c>
      <c r="BK62" s="136">
        <f t="shared" si="29"/>
        <v>1</v>
      </c>
      <c r="BL62" s="300" t="str">
        <f>IFERROR(
  AVERAGEIFS(
    'NEW 20102013 Onchocerciasis Eff'!$AO:$AO,
    'NEW 20102013 Onchocerciasis Eff'!$C:$C,$A62,
    'NEW 20102013 Onchocerciasis Eff'!$D:$D,"Ivermectin",
    'NEW 20102013 Onchocerciasis Eff'!$AR:$AR,"&lt;2014",
    'NEW 20102013 Onchocerciasis Eff'!$BG:$BG,"")
,"")</f>
        <v/>
      </c>
      <c r="BM62" s="304">
        <f t="shared" si="30"/>
        <v>0.7808368939</v>
      </c>
      <c r="BN62" s="305">
        <v>0.0</v>
      </c>
      <c r="BO62" s="139">
        <v>0.0</v>
      </c>
      <c r="BP62" s="140">
        <v>0.0</v>
      </c>
      <c r="BQ62" s="141">
        <f t="shared" si="31"/>
        <v>0</v>
      </c>
      <c r="BR62" s="104" t="str">
        <f t="shared" si="32"/>
        <v>0000</v>
      </c>
      <c r="BS62" s="104" t="str">
        <f t="shared" si="33"/>
        <v>no action required</v>
      </c>
      <c r="BT62" s="142" t="str">
        <f t="shared" si="34"/>
        <v/>
      </c>
      <c r="BU62" s="104" t="str">
        <f t="shared" si="35"/>
        <v/>
      </c>
      <c r="BV62" s="104" t="str">
        <f t="shared" si="36"/>
        <v>none</v>
      </c>
      <c r="BW62" s="150" t="str">
        <f t="shared" si="37"/>
        <v/>
      </c>
      <c r="BX62" s="150" t="str">
        <f t="shared" si="38"/>
        <v/>
      </c>
      <c r="BY62" s="151" t="str">
        <f t="shared" si="39"/>
        <v/>
      </c>
      <c r="BZ62" s="152" t="str">
        <f t="shared" si="40"/>
        <v/>
      </c>
      <c r="CA62" s="152" t="str">
        <f t="shared" si="41"/>
        <v/>
      </c>
      <c r="CB62" s="152" t="str">
        <f t="shared" si="42"/>
        <v/>
      </c>
      <c r="CC62" s="153" t="str">
        <f t="shared" si="43"/>
        <v/>
      </c>
      <c r="CD62" s="153" t="str">
        <f t="shared" si="44"/>
        <v/>
      </c>
      <c r="CE62" s="154" t="str">
        <f t="shared" si="45"/>
        <v/>
      </c>
      <c r="CF62" s="154" t="str">
        <f t="shared" si="46"/>
        <v/>
      </c>
      <c r="CG62" s="154" t="str">
        <f t="shared" si="47"/>
        <v/>
      </c>
      <c r="CH62" s="308" t="str">
        <f t="shared" si="48"/>
        <v/>
      </c>
      <c r="CI62" s="299"/>
    </row>
    <row r="63">
      <c r="A63" s="103" t="s">
        <v>152</v>
      </c>
      <c r="B63" s="104" t="s">
        <v>88</v>
      </c>
      <c r="C63" s="105">
        <v>896688.0</v>
      </c>
      <c r="D63" s="293">
        <v>0.0</v>
      </c>
      <c r="E63" s="294">
        <v>387.3948644</v>
      </c>
      <c r="F63" s="295">
        <v>20.1488713</v>
      </c>
      <c r="G63" s="295">
        <v>42.69052873</v>
      </c>
      <c r="H63" s="108">
        <v>62.83940004</v>
      </c>
      <c r="I63" s="109">
        <v>15.2689482</v>
      </c>
      <c r="J63" s="109">
        <v>25.6710544</v>
      </c>
      <c r="K63" s="109">
        <v>40.94000258</v>
      </c>
      <c r="L63" s="112">
        <v>39.09634226</v>
      </c>
      <c r="M63" s="112">
        <v>4.404417908</v>
      </c>
      <c r="N63" s="111">
        <v>43.50076017</v>
      </c>
      <c r="O63" s="298">
        <v>0.0</v>
      </c>
      <c r="P63" s="114"/>
      <c r="Q63" s="114"/>
      <c r="R63" s="121" t="str">
        <f t="shared" si="11"/>
        <v/>
      </c>
      <c r="S63" s="116">
        <f t="shared" si="12"/>
        <v>0.4713987966</v>
      </c>
      <c r="T63" s="130"/>
      <c r="U63" s="118">
        <f t="shared" si="13"/>
        <v>0.5949</v>
      </c>
      <c r="V63" s="148"/>
      <c r="W63" s="120">
        <f t="shared" si="14"/>
        <v>0.9216</v>
      </c>
      <c r="X63" s="148"/>
      <c r="Y63" s="120">
        <f t="shared" si="15"/>
        <v>0.521</v>
      </c>
      <c r="Z63" s="299"/>
      <c r="AA63" s="299"/>
      <c r="AB63" s="300" t="str">
        <f t="shared" si="16"/>
        <v/>
      </c>
      <c r="AC63" s="301">
        <f t="shared" si="17"/>
        <v>0.3122297241</v>
      </c>
      <c r="AD63" s="122">
        <v>0.0</v>
      </c>
      <c r="AE63" s="123">
        <v>0.01</v>
      </c>
      <c r="AF63" s="123">
        <v>0.0012</v>
      </c>
      <c r="AG63" s="124">
        <v>0.1652</v>
      </c>
      <c r="AH63" s="124">
        <v>0.260488945</v>
      </c>
      <c r="AI63" s="125">
        <v>0.0267</v>
      </c>
      <c r="AJ63" s="125">
        <v>0.043539457</v>
      </c>
      <c r="AK63" s="127">
        <v>0.0347</v>
      </c>
      <c r="AL63" s="127">
        <v>0.0551</v>
      </c>
      <c r="AM63" s="302">
        <v>0.0</v>
      </c>
      <c r="AN63" s="149" t="str">
        <f>IFERROR(
  AVERAGEIFS(
    'New 20102013 LF Efficacy'!$J:$J,
    'New 20102013 LF Efficacy'!$D:$D, $A63,
    'New 20102013 LF Efficacy'!$F:$F,"DEC", 
    'New 20102013 LF Efficacy'!$W:$W,"&lt;2014",
    'New 20102013 LF Efficacy'!$AA:$AA,""),
  ""
)</f>
        <v/>
      </c>
      <c r="AO63" s="115">
        <f t="shared" si="18"/>
        <v>0.3573520833</v>
      </c>
      <c r="AP63" s="121" t="str">
        <f>IFERROR(
AVERAGEIFS(
'New 20102013 LF Efficacy'!$J:$J,
'New 20102013 LF Efficacy'!$D:$D,$A63,
'New 20102013 LF Efficacy'!$F:$F,"Albendazole &amp; DEC",
'New 20102013 LF Efficacy'!$W:$W,"&lt;2014",
'New 20102013 LF Efficacy'!$AA:$AA,""),
"")
</f>
        <v/>
      </c>
      <c r="AQ63" s="115">
        <f t="shared" si="19"/>
        <v>0.7935</v>
      </c>
      <c r="AR63" s="121" t="str">
        <f>IFERROR(
AVERAGEIFS(
'New 20102013 LF Efficacy'!$J:$J,
'New 20102013 LF Efficacy'!$D:$D,$A63,
'New 20102013 LF Efficacy'!$F:$F,"Albendazole &amp; Ivermectin", 
'New 20102013 LF Efficacy'!$W:$W,"&lt;2014",
'New 20102013 LF Efficacy'!$AA:$AA,""),"")</f>
        <v/>
      </c>
      <c r="AS63" s="115">
        <f t="shared" si="20"/>
        <v>0.37153125</v>
      </c>
      <c r="AT63" s="130" t="str">
        <f>IFERROR(AVERAGEIFS(
'20102013 Schist Efficacy'!$O:$O, 
'20102013 Schist Efficacy'!$C:$C,$A63, 
'20102013 Schist Efficacy'!$D:$D, "Praziquantel",
'20102013 Schist Efficacy'!$J:$J,"&lt;2014",
'20102013 Schist Efficacy'!$U:$U,""),
"")</f>
        <v/>
      </c>
      <c r="AU63" s="118">
        <f t="shared" si="21"/>
        <v>0.7763141026</v>
      </c>
      <c r="AV63" s="131" t="str">
        <f>IFERROR(AVERAGEIFS(
'20102013 STH Efficacy'!$AX:$AX, 
'20102013 STH Efficacy'!$AL:$AL, $A63, 
'20102013 STH Efficacy'!$AM:$AM, "Albendazole",
'20102013 STH Efficacy'!$AS:$AS,"&lt;2014",
'20102013 STH Efficacy'!$BP:$BP,""),
"")</f>
        <v/>
      </c>
      <c r="AW63" s="132">
        <f t="shared" si="22"/>
        <v>0.3933333333</v>
      </c>
      <c r="AX63" s="131" t="str">
        <f>IFERROR(AVERAGEIFS(
'20102013 STH Efficacy'!$AX:$AX, 
'20102013 STH Efficacy'!$AL:$AL, $A63, 
'20102013 STH Efficacy'!$AM:$AM, "Mebendazole",
'20102013 STH Efficacy'!$AS:$AS,"&lt;2014",
'20102013 STH Efficacy'!$BP:$BP,""),
"")</f>
        <v/>
      </c>
      <c r="AY63" s="132">
        <f t="shared" si="23"/>
        <v>0.5017738095</v>
      </c>
      <c r="AZ63" s="131" t="str">
        <f>IFERROR(AVERAGEIFS(
'20102013 STH Efficacy'!$AX:$AX, 
'20102013 STH Efficacy'!$AL:$AL, $A63, 
'20102013 STH Efficacy'!$AM:$AM, "Albendazole &amp; Ivermectin",
'20102013 STH Efficacy'!$AS:$AS,"&lt;2014",
'20102013 STH Efficacy'!$BP:$BP,""),
"")</f>
        <v/>
      </c>
      <c r="BA63" s="303">
        <f t="shared" si="24"/>
        <v>0.597625</v>
      </c>
      <c r="BB63" s="134" t="str">
        <f>IFERROR(AVERAGEIFS(
'20102013 STH Efficacy'!$N:$N, 
'20102013 STH Efficacy'!$B:$B, $A63, 
'20102013 STH Efficacy'!$C:$C, "Albendazole",
'20102013 STH Efficacy'!$I:$I,"&lt;2014",
'20102013 STH Efficacy'!$AH:$AH,""),
"")</f>
        <v/>
      </c>
      <c r="BC63" s="135">
        <f t="shared" si="25"/>
        <v>0.7613712121</v>
      </c>
      <c r="BD63" s="134" t="str">
        <f>IFERROR(AVERAGEIFS(
'20102013 STH Efficacy'!$N:$N, 
'20102013 STH Efficacy'!$B:$B, $A63, 
'20102013 STH Efficacy'!$C:$C, "Mebendazole",
'20102013 STH Efficacy'!$I:$I,"&lt;2014",
'20102013 STH Efficacy'!$AH:$AH,""),
"")</f>
        <v/>
      </c>
      <c r="BE63" s="135">
        <f t="shared" si="26"/>
        <v>0.4362466667</v>
      </c>
      <c r="BF63" s="128" t="str">
        <f>IFERROR(AVERAGEIFS(
'20102013 STH Efficacy'!$CD:$CD, 
'20102013 STH Efficacy'!$BS:$BS, $A63, 
'20102013 STH Efficacy'!$BT:$BT, "Albendazole",
'20102013 STH Efficacy'!$BZ:$BZ,"&lt;2014",
'20102013 STH Efficacy'!$CU:$CU,""),
"")</f>
        <v/>
      </c>
      <c r="BG63" s="136">
        <f t="shared" si="27"/>
        <v>0.955</v>
      </c>
      <c r="BH63" s="128" t="str">
        <f>IFERROR(AVERAGEIFS(
'20102013 STH Efficacy'!$CD:$CD, 
'20102013 STH Efficacy'!$BS:$BS, $A63, 
'20102013 STH Efficacy'!$BT:$BT, "Mebendazole",
'20102013 STH Efficacy'!$BZ:$BZ,"&lt;2014",
'20102013 STH Efficacy'!$CU:$CU,""),
"")</f>
        <v/>
      </c>
      <c r="BI63" s="136">
        <f t="shared" si="28"/>
        <v>1</v>
      </c>
      <c r="BJ63" s="128" t="str">
        <f>IFERROR(AVERAGEIFS(
'20102013 STH Efficacy'!$CD:$CD, 
'20102013 STH Efficacy'!$BS:$BS, $A63, 
'20102013 STH Efficacy'!$BT:$BT, "Albendazole &amp; Ivermectin",
'20102013 STH Efficacy'!$BZ:$BZ,"&lt;2014",
'20102013 STH Efficacy'!$CU:$CU,""),
"")</f>
        <v/>
      </c>
      <c r="BK63" s="136">
        <f t="shared" si="29"/>
        <v>1</v>
      </c>
      <c r="BL63" s="300" t="str">
        <f>IFERROR(
  AVERAGEIFS(
    'NEW 20102013 Onchocerciasis Eff'!$AO:$AO,
    'NEW 20102013 Onchocerciasis Eff'!$C:$C,$A63,
    'NEW 20102013 Onchocerciasis Eff'!$D:$D,"Ivermectin",
    'NEW 20102013 Onchocerciasis Eff'!$AR:$AR,"&lt;2014",
    'NEW 20102013 Onchocerciasis Eff'!$BG:$BG,"")
,"")</f>
        <v/>
      </c>
      <c r="BM63" s="304">
        <f t="shared" si="30"/>
        <v>0.7808368939</v>
      </c>
      <c r="BN63" s="305">
        <v>0.0</v>
      </c>
      <c r="BO63" s="139">
        <v>0.0</v>
      </c>
      <c r="BP63" s="140">
        <v>0.0</v>
      </c>
      <c r="BQ63" s="141">
        <f t="shared" si="31"/>
        <v>0</v>
      </c>
      <c r="BR63" s="104" t="str">
        <f t="shared" si="32"/>
        <v>0000</v>
      </c>
      <c r="BS63" s="104" t="str">
        <f t="shared" si="33"/>
        <v>no action required</v>
      </c>
      <c r="BT63" s="142" t="str">
        <f t="shared" si="34"/>
        <v/>
      </c>
      <c r="BU63" s="104" t="str">
        <f t="shared" si="35"/>
        <v/>
      </c>
      <c r="BV63" s="104" t="str">
        <f t="shared" si="36"/>
        <v>none</v>
      </c>
      <c r="BW63" s="150" t="str">
        <f t="shared" si="37"/>
        <v/>
      </c>
      <c r="BX63" s="150" t="str">
        <f t="shared" si="38"/>
        <v/>
      </c>
      <c r="BY63" s="151" t="str">
        <f t="shared" si="39"/>
        <v/>
      </c>
      <c r="BZ63" s="152" t="str">
        <f t="shared" si="40"/>
        <v/>
      </c>
      <c r="CA63" s="152" t="str">
        <f t="shared" si="41"/>
        <v/>
      </c>
      <c r="CB63" s="152" t="str">
        <f t="shared" si="42"/>
        <v/>
      </c>
      <c r="CC63" s="153" t="str">
        <f t="shared" si="43"/>
        <v/>
      </c>
      <c r="CD63" s="153" t="str">
        <f t="shared" si="44"/>
        <v/>
      </c>
      <c r="CE63" s="154" t="str">
        <f t="shared" si="45"/>
        <v/>
      </c>
      <c r="CF63" s="154" t="str">
        <f t="shared" si="46"/>
        <v/>
      </c>
      <c r="CG63" s="154" t="str">
        <f t="shared" si="47"/>
        <v/>
      </c>
      <c r="CH63" s="308" t="str">
        <f t="shared" si="48"/>
        <v/>
      </c>
      <c r="CI63" s="299"/>
    </row>
    <row r="64">
      <c r="A64" s="103" t="s">
        <v>153</v>
      </c>
      <c r="B64" s="104" t="s">
        <v>98</v>
      </c>
      <c r="C64" s="105">
        <v>72400.0</v>
      </c>
      <c r="D64" s="293">
        <v>0.0</v>
      </c>
      <c r="E64" s="294">
        <v>0.0</v>
      </c>
      <c r="F64" s="307">
        <v>0.0</v>
      </c>
      <c r="G64" s="307">
        <v>0.0</v>
      </c>
      <c r="H64" s="108">
        <v>0.0</v>
      </c>
      <c r="I64" s="109">
        <v>0.00342942</v>
      </c>
      <c r="J64" s="109">
        <v>0.00436365</v>
      </c>
      <c r="K64" s="109">
        <v>0.007793075</v>
      </c>
      <c r="L64" s="112">
        <v>0.080209861</v>
      </c>
      <c r="M64" s="112">
        <v>0.040834736</v>
      </c>
      <c r="N64" s="111">
        <v>0.121044597</v>
      </c>
      <c r="O64" s="298">
        <v>0.0</v>
      </c>
      <c r="P64" s="114"/>
      <c r="Q64" s="114"/>
      <c r="R64" s="121" t="str">
        <f t="shared" si="11"/>
        <v/>
      </c>
      <c r="S64" s="116">
        <f t="shared" si="12"/>
        <v>0.2288425133</v>
      </c>
      <c r="T64" s="130"/>
      <c r="U64" s="118">
        <f t="shared" si="13"/>
        <v>0.39435</v>
      </c>
      <c r="V64" s="148"/>
      <c r="W64" s="120">
        <f t="shared" si="14"/>
        <v>0.542475</v>
      </c>
      <c r="X64" s="148"/>
      <c r="Y64" s="120">
        <f t="shared" si="15"/>
        <v>0.6507333333</v>
      </c>
      <c r="Z64" s="299"/>
      <c r="AA64" s="299"/>
      <c r="AB64" s="300" t="str">
        <f t="shared" si="16"/>
        <v/>
      </c>
      <c r="AC64" s="301">
        <f t="shared" si="17"/>
        <v>0.3490201688</v>
      </c>
      <c r="AD64" s="122">
        <v>0.0</v>
      </c>
      <c r="AE64" s="123">
        <v>0.0</v>
      </c>
      <c r="AF64" s="123">
        <v>0.0</v>
      </c>
      <c r="AG64" s="316">
        <v>0.0</v>
      </c>
      <c r="AH64" s="124">
        <v>1.04818E-4</v>
      </c>
      <c r="AI64" s="317">
        <v>0.0</v>
      </c>
      <c r="AJ64" s="125">
        <v>9.87106E-5</v>
      </c>
      <c r="AK64" s="319">
        <v>0.0</v>
      </c>
      <c r="AL64" s="319">
        <v>0.0</v>
      </c>
      <c r="AM64" s="302">
        <v>0.0</v>
      </c>
      <c r="AN64" s="149" t="str">
        <f>IFERROR(
  AVERAGEIFS(
    'New 20102013 LF Efficacy'!$J:$J,
    'New 20102013 LF Efficacy'!$D:$D, $A64,
    'New 20102013 LF Efficacy'!$F:$F,"DEC", 
    'New 20102013 LF Efficacy'!$W:$W,"&lt;2014",
    'New 20102013 LF Efficacy'!$AA:$AA,""),
  ""
)</f>
        <v/>
      </c>
      <c r="AO64" s="115">
        <f t="shared" si="18"/>
        <v>0.2589833333</v>
      </c>
      <c r="AP64" s="121" t="str">
        <f>IFERROR(
AVERAGEIFS(
'New 20102013 LF Efficacy'!$J:$J,
'New 20102013 LF Efficacy'!$D:$D,$A64,
'New 20102013 LF Efficacy'!$F:$F,"Albendazole &amp; DEC",
'New 20102013 LF Efficacy'!$W:$W,"&lt;2014",
'New 20102013 LF Efficacy'!$AA:$AA,""),
"")
</f>
        <v/>
      </c>
      <c r="AQ64" s="115">
        <f t="shared" si="19"/>
        <v>0.3465</v>
      </c>
      <c r="AR64" s="121" t="str">
        <f>IFERROR(
AVERAGEIFS(
'New 20102013 LF Efficacy'!$J:$J,
'New 20102013 LF Efficacy'!$D:$D,$A64,
'New 20102013 LF Efficacy'!$F:$F,"Albendazole &amp; Ivermectin", 
'New 20102013 LF Efficacy'!$W:$W,"&lt;2014",
'New 20102013 LF Efficacy'!$AA:$AA,""),"")</f>
        <v/>
      </c>
      <c r="AS64" s="115">
        <f t="shared" si="20"/>
        <v>0.7575</v>
      </c>
      <c r="AT64" s="130" t="str">
        <f>IFERROR(AVERAGEIFS(
'20102013 Schist Efficacy'!$O:$O, 
'20102013 Schist Efficacy'!$C:$C,$A64, 
'20102013 Schist Efficacy'!$D:$D, "Praziquantel",
'20102013 Schist Efficacy'!$J:$J,"&lt;2014",
'20102013 Schist Efficacy'!$U:$U,""),
"")</f>
        <v/>
      </c>
      <c r="AU64" s="118">
        <f t="shared" si="21"/>
        <v>0.7914761905</v>
      </c>
      <c r="AV64" s="131" t="str">
        <f>IFERROR(AVERAGEIFS(
'20102013 STH Efficacy'!$AX:$AX, 
'20102013 STH Efficacy'!$AL:$AL, $A64, 
'20102013 STH Efficacy'!$AM:$AM, "Albendazole",
'20102013 STH Efficacy'!$AS:$AS,"&lt;2014",
'20102013 STH Efficacy'!$BP:$BP,""),
"")</f>
        <v/>
      </c>
      <c r="AW64" s="132">
        <f t="shared" si="22"/>
        <v>0.3945</v>
      </c>
      <c r="AX64" s="131" t="str">
        <f>IFERROR(AVERAGEIFS(
'20102013 STH Efficacy'!$AX:$AX, 
'20102013 STH Efficacy'!$AL:$AL, $A64, 
'20102013 STH Efficacy'!$AM:$AM, "Mebendazole",
'20102013 STH Efficacy'!$AS:$AS,"&lt;2014",
'20102013 STH Efficacy'!$BP:$BP,""),
"")</f>
        <v/>
      </c>
      <c r="AY64" s="132">
        <f t="shared" si="23"/>
        <v>0.6</v>
      </c>
      <c r="AZ64" s="131" t="str">
        <f>IFERROR(AVERAGEIFS(
'20102013 STH Efficacy'!$AX:$AX, 
'20102013 STH Efficacy'!$AL:$AL, $A64, 
'20102013 STH Efficacy'!$AM:$AM, "Albendazole &amp; Ivermectin",
'20102013 STH Efficacy'!$AS:$AS,"&lt;2014",
'20102013 STH Efficacy'!$BP:$BP,""),
"")</f>
        <v/>
      </c>
      <c r="BA64" s="303">
        <f t="shared" si="24"/>
        <v>0.796</v>
      </c>
      <c r="BB64" s="134" t="str">
        <f>IFERROR(AVERAGEIFS(
'20102013 STH Efficacy'!$N:$N, 
'20102013 STH Efficacy'!$B:$B, $A64, 
'20102013 STH Efficacy'!$C:$C, "Albendazole",
'20102013 STH Efficacy'!$I:$I,"&lt;2014",
'20102013 STH Efficacy'!$AH:$AH,""),
"")</f>
        <v/>
      </c>
      <c r="BC64" s="135">
        <f t="shared" si="25"/>
        <v>0.869</v>
      </c>
      <c r="BD64" s="134" t="str">
        <f>IFERROR(AVERAGEIFS(
'20102013 STH Efficacy'!$N:$N, 
'20102013 STH Efficacy'!$B:$B, $A64, 
'20102013 STH Efficacy'!$C:$C, "Mebendazole",
'20102013 STH Efficacy'!$I:$I,"&lt;2014",
'20102013 STH Efficacy'!$AH:$AH,""),
"")</f>
        <v/>
      </c>
      <c r="BE64" s="135">
        <f t="shared" si="26"/>
        <v>0.172</v>
      </c>
      <c r="BF64" s="128" t="str">
        <f>IFERROR(AVERAGEIFS(
'20102013 STH Efficacy'!$CD:$CD, 
'20102013 STH Efficacy'!$BS:$BS, $A64, 
'20102013 STH Efficacy'!$BT:$BT, "Albendazole",
'20102013 STH Efficacy'!$BZ:$BZ,"&lt;2014",
'20102013 STH Efficacy'!$CU:$CU,""),
"")</f>
        <v/>
      </c>
      <c r="BG64" s="136">
        <f t="shared" si="27"/>
        <v>0.9862</v>
      </c>
      <c r="BH64" s="128" t="str">
        <f>IFERROR(AVERAGEIFS(
'20102013 STH Efficacy'!$CD:$CD, 
'20102013 STH Efficacy'!$BS:$BS, $A64, 
'20102013 STH Efficacy'!$BT:$BT, "Mebendazole",
'20102013 STH Efficacy'!$BZ:$BZ,"&lt;2014",
'20102013 STH Efficacy'!$CU:$CU,""),
"")</f>
        <v/>
      </c>
      <c r="BI64" s="136">
        <f t="shared" si="28"/>
        <v>0.769</v>
      </c>
      <c r="BJ64" s="128" t="str">
        <f>IFERROR(AVERAGEIFS(
'20102013 STH Efficacy'!$CD:$CD, 
'20102013 STH Efficacy'!$BS:$BS, $A64, 
'20102013 STH Efficacy'!$BT:$BT, "Albendazole &amp; Ivermectin",
'20102013 STH Efficacy'!$BZ:$BZ,"&lt;2014",
'20102013 STH Efficacy'!$CU:$CU,""),
"")</f>
        <v/>
      </c>
      <c r="BK64" s="136">
        <f t="shared" si="29"/>
        <v>1</v>
      </c>
      <c r="BL64" s="300" t="str">
        <f>IFERROR(
  AVERAGEIFS(
    'NEW 20102013 Onchocerciasis Eff'!$AO:$AO,
    'NEW 20102013 Onchocerciasis Eff'!$C:$C,$A64,
    'NEW 20102013 Onchocerciasis Eff'!$D:$D,"Ivermectin",
    'NEW 20102013 Onchocerciasis Eff'!$AR:$AR,"&lt;2014",
    'NEW 20102013 Onchocerciasis Eff'!$BG:$BG,"")
,"")</f>
        <v/>
      </c>
      <c r="BM64" s="304">
        <f t="shared" si="30"/>
        <v>0.3734</v>
      </c>
      <c r="BN64" s="305">
        <v>0.0</v>
      </c>
      <c r="BO64" s="139">
        <v>0.0</v>
      </c>
      <c r="BP64" s="140">
        <v>0.0</v>
      </c>
      <c r="BQ64" s="141">
        <f t="shared" si="31"/>
        <v>0</v>
      </c>
      <c r="BR64" s="104" t="str">
        <f t="shared" si="32"/>
        <v>0000</v>
      </c>
      <c r="BS64" s="104" t="str">
        <f t="shared" si="33"/>
        <v>no action required</v>
      </c>
      <c r="BT64" s="142" t="str">
        <f t="shared" si="34"/>
        <v/>
      </c>
      <c r="BU64" s="104" t="str">
        <f t="shared" si="35"/>
        <v/>
      </c>
      <c r="BV64" s="104" t="str">
        <f t="shared" si="36"/>
        <v>none</v>
      </c>
      <c r="BW64" s="150" t="str">
        <f t="shared" si="37"/>
        <v/>
      </c>
      <c r="BX64" s="150" t="str">
        <f t="shared" si="38"/>
        <v/>
      </c>
      <c r="BY64" s="151" t="str">
        <f t="shared" si="39"/>
        <v/>
      </c>
      <c r="BZ64" s="152" t="str">
        <f t="shared" si="40"/>
        <v/>
      </c>
      <c r="CA64" s="152" t="str">
        <f t="shared" si="41"/>
        <v/>
      </c>
      <c r="CB64" s="152" t="str">
        <f t="shared" si="42"/>
        <v/>
      </c>
      <c r="CC64" s="153" t="str">
        <f t="shared" si="43"/>
        <v/>
      </c>
      <c r="CD64" s="153" t="str">
        <f t="shared" si="44"/>
        <v/>
      </c>
      <c r="CE64" s="154" t="str">
        <f t="shared" si="45"/>
        <v/>
      </c>
      <c r="CF64" s="154" t="str">
        <f t="shared" si="46"/>
        <v/>
      </c>
      <c r="CG64" s="154" t="str">
        <f t="shared" si="47"/>
        <v/>
      </c>
      <c r="CH64" s="308" t="str">
        <f t="shared" si="48"/>
        <v/>
      </c>
      <c r="CI64" s="299"/>
    </row>
    <row r="65">
      <c r="A65" s="103" t="s">
        <v>154</v>
      </c>
      <c r="B65" s="104" t="s">
        <v>98</v>
      </c>
      <c r="C65" s="105">
        <v>1.0281296E7</v>
      </c>
      <c r="D65" s="293">
        <v>204.79000000000002</v>
      </c>
      <c r="E65" s="294">
        <v>1286.763055</v>
      </c>
      <c r="F65" s="307">
        <v>0.0</v>
      </c>
      <c r="G65" s="307">
        <v>0.0</v>
      </c>
      <c r="H65" s="108">
        <v>0.0</v>
      </c>
      <c r="I65" s="109">
        <v>0.0610828</v>
      </c>
      <c r="J65" s="109">
        <v>0.09615686</v>
      </c>
      <c r="K65" s="109">
        <v>0.157239662</v>
      </c>
      <c r="L65" s="112">
        <v>14.04121983</v>
      </c>
      <c r="M65" s="112">
        <v>6.948816757</v>
      </c>
      <c r="N65" s="111">
        <v>20.99003659</v>
      </c>
      <c r="O65" s="298">
        <v>0.0</v>
      </c>
      <c r="P65" s="160">
        <v>217756.0</v>
      </c>
      <c r="Q65" s="156"/>
      <c r="R65" s="121">
        <f t="shared" si="11"/>
        <v>0</v>
      </c>
      <c r="S65" s="116">
        <f t="shared" si="12"/>
        <v>0.2288425133</v>
      </c>
      <c r="T65" s="130"/>
      <c r="U65" s="118">
        <f t="shared" si="13"/>
        <v>0.39435</v>
      </c>
      <c r="V65" s="119">
        <v>0.3306</v>
      </c>
      <c r="W65" s="120">
        <f t="shared" si="14"/>
        <v>0.3306</v>
      </c>
      <c r="X65" s="119">
        <v>1.0</v>
      </c>
      <c r="Y65" s="120">
        <f t="shared" si="15"/>
        <v>1</v>
      </c>
      <c r="Z65" s="299"/>
      <c r="AA65" s="299"/>
      <c r="AB65" s="300" t="str">
        <f t="shared" si="16"/>
        <v/>
      </c>
      <c r="AC65" s="301">
        <f t="shared" si="17"/>
        <v>0.3490201688</v>
      </c>
      <c r="AD65" s="122">
        <v>4.0E-4</v>
      </c>
      <c r="AE65" s="123">
        <v>0.01</v>
      </c>
      <c r="AF65" s="123">
        <v>3.0E-4</v>
      </c>
      <c r="AG65" s="124">
        <v>0.0</v>
      </c>
      <c r="AH65" s="124">
        <v>1.20844E-5</v>
      </c>
      <c r="AI65" s="125">
        <v>0.0</v>
      </c>
      <c r="AJ65" s="125">
        <v>1.17684E-5</v>
      </c>
      <c r="AK65" s="127">
        <v>0.0</v>
      </c>
      <c r="AL65" s="127">
        <v>0.0</v>
      </c>
      <c r="AM65" s="302">
        <v>0.0</v>
      </c>
      <c r="AN65" s="149" t="str">
        <f>IFERROR(
  AVERAGEIFS(
    'New 20102013 LF Efficacy'!$J:$J,
    'New 20102013 LF Efficacy'!$D:$D, $A65,
    'New 20102013 LF Efficacy'!$F:$F,"DEC", 
    'New 20102013 LF Efficacy'!$W:$W,"&lt;2014",
    'New 20102013 LF Efficacy'!$AA:$AA,""),
  ""
)</f>
        <v/>
      </c>
      <c r="AO65" s="115">
        <f t="shared" si="18"/>
        <v>0.2589833333</v>
      </c>
      <c r="AP65" s="121" t="str">
        <f>IFERROR(
AVERAGEIFS(
'New 20102013 LF Efficacy'!$J:$J,
'New 20102013 LF Efficacy'!$D:$D,$A65,
'New 20102013 LF Efficacy'!$F:$F,"Albendazole &amp; DEC",
'New 20102013 LF Efficacy'!$W:$W,"&lt;2014",
'New 20102013 LF Efficacy'!$AA:$AA,""),
"")
</f>
        <v/>
      </c>
      <c r="AQ65" s="115">
        <f t="shared" si="19"/>
        <v>0.3465</v>
      </c>
      <c r="AR65" s="121" t="str">
        <f>IFERROR(
AVERAGEIFS(
'New 20102013 LF Efficacy'!$J:$J,
'New 20102013 LF Efficacy'!$D:$D,$A65,
'New 20102013 LF Efficacy'!$F:$F,"Albendazole &amp; Ivermectin", 
'New 20102013 LF Efficacy'!$W:$W,"&lt;2014",
'New 20102013 LF Efficacy'!$AA:$AA,""),"")</f>
        <v/>
      </c>
      <c r="AS65" s="115">
        <f t="shared" si="20"/>
        <v>0.7575</v>
      </c>
      <c r="AT65" s="130" t="str">
        <f>IFERROR(AVERAGEIFS(
'20102013 Schist Efficacy'!$O:$O, 
'20102013 Schist Efficacy'!$C:$C,$A65, 
'20102013 Schist Efficacy'!$D:$D, "Praziquantel",
'20102013 Schist Efficacy'!$J:$J,"&lt;2014",
'20102013 Schist Efficacy'!$U:$U,""),
"")</f>
        <v/>
      </c>
      <c r="AU65" s="118">
        <f t="shared" si="21"/>
        <v>0.7914761905</v>
      </c>
      <c r="AV65" s="131" t="str">
        <f>IFERROR(AVERAGEIFS(
'20102013 STH Efficacy'!$AX:$AX, 
'20102013 STH Efficacy'!$AL:$AL, $A65, 
'20102013 STH Efficacy'!$AM:$AM, "Albendazole",
'20102013 STH Efficacy'!$AS:$AS,"&lt;2014",
'20102013 STH Efficacy'!$BP:$BP,""),
"")</f>
        <v/>
      </c>
      <c r="AW65" s="132">
        <f t="shared" si="22"/>
        <v>0.3945</v>
      </c>
      <c r="AX65" s="131" t="str">
        <f>IFERROR(AVERAGEIFS(
'20102013 STH Efficacy'!$AX:$AX, 
'20102013 STH Efficacy'!$AL:$AL, $A65, 
'20102013 STH Efficacy'!$AM:$AM, "Mebendazole",
'20102013 STH Efficacy'!$AS:$AS,"&lt;2014",
'20102013 STH Efficacy'!$BP:$BP,""),
"")</f>
        <v/>
      </c>
      <c r="AY65" s="132">
        <f t="shared" si="23"/>
        <v>0.6</v>
      </c>
      <c r="AZ65" s="131" t="str">
        <f>IFERROR(AVERAGEIFS(
'20102013 STH Efficacy'!$AX:$AX, 
'20102013 STH Efficacy'!$AL:$AL, $A65, 
'20102013 STH Efficacy'!$AM:$AM, "Albendazole &amp; Ivermectin",
'20102013 STH Efficacy'!$AS:$AS,"&lt;2014",
'20102013 STH Efficacy'!$BP:$BP,""),
"")</f>
        <v/>
      </c>
      <c r="BA65" s="303">
        <f t="shared" si="24"/>
        <v>0.796</v>
      </c>
      <c r="BB65" s="134" t="str">
        <f>IFERROR(AVERAGEIFS(
'20102013 STH Efficacy'!$N:$N, 
'20102013 STH Efficacy'!$B:$B, $A65, 
'20102013 STH Efficacy'!$C:$C, "Albendazole",
'20102013 STH Efficacy'!$I:$I,"&lt;2014",
'20102013 STH Efficacy'!$AH:$AH,""),
"")</f>
        <v/>
      </c>
      <c r="BC65" s="135">
        <f t="shared" si="25"/>
        <v>0.869</v>
      </c>
      <c r="BD65" s="134" t="str">
        <f>IFERROR(AVERAGEIFS(
'20102013 STH Efficacy'!$N:$N, 
'20102013 STH Efficacy'!$B:$B, $A65, 
'20102013 STH Efficacy'!$C:$C, "Mebendazole",
'20102013 STH Efficacy'!$I:$I,"&lt;2014",
'20102013 STH Efficacy'!$AH:$AH,""),
"")</f>
        <v/>
      </c>
      <c r="BE65" s="135">
        <f t="shared" si="26"/>
        <v>0.172</v>
      </c>
      <c r="BF65" s="128" t="str">
        <f>IFERROR(AVERAGEIFS(
'20102013 STH Efficacy'!$CD:$CD, 
'20102013 STH Efficacy'!$BS:$BS, $A65, 
'20102013 STH Efficacy'!$BT:$BT, "Albendazole",
'20102013 STH Efficacy'!$BZ:$BZ,"&lt;2014",
'20102013 STH Efficacy'!$CU:$CU,""),
"")</f>
        <v/>
      </c>
      <c r="BG65" s="136">
        <f t="shared" si="27"/>
        <v>0.9862</v>
      </c>
      <c r="BH65" s="128" t="str">
        <f>IFERROR(AVERAGEIFS(
'20102013 STH Efficacy'!$CD:$CD, 
'20102013 STH Efficacy'!$BS:$BS, $A65, 
'20102013 STH Efficacy'!$BT:$BT, "Mebendazole",
'20102013 STH Efficacy'!$BZ:$BZ,"&lt;2014",
'20102013 STH Efficacy'!$CU:$CU,""),
"")</f>
        <v/>
      </c>
      <c r="BI65" s="136">
        <f t="shared" si="28"/>
        <v>0.769</v>
      </c>
      <c r="BJ65" s="128" t="str">
        <f>IFERROR(AVERAGEIFS(
'20102013 STH Efficacy'!$CD:$CD, 
'20102013 STH Efficacy'!$BS:$BS, $A65, 
'20102013 STH Efficacy'!$BT:$BT, "Albendazole &amp; Ivermectin",
'20102013 STH Efficacy'!$BZ:$BZ,"&lt;2014",
'20102013 STH Efficacy'!$CU:$CU,""),
"")</f>
        <v/>
      </c>
      <c r="BK65" s="136">
        <f t="shared" si="29"/>
        <v>1</v>
      </c>
      <c r="BL65" s="300" t="str">
        <f>IFERROR(
  AVERAGEIFS(
    'NEW 20102013 Onchocerciasis Eff'!$AO:$AO,
    'NEW 20102013 Onchocerciasis Eff'!$C:$C,$A65,
    'NEW 20102013 Onchocerciasis Eff'!$D:$D,"Ivermectin",
    'NEW 20102013 Onchocerciasis Eff'!$AR:$AR,"&lt;2014",
    'NEW 20102013 Onchocerciasis Eff'!$BG:$BG,"")
,"")</f>
        <v/>
      </c>
      <c r="BM65" s="304">
        <f t="shared" si="30"/>
        <v>0.3734</v>
      </c>
      <c r="BN65" s="305">
        <v>1.0</v>
      </c>
      <c r="BO65" s="139">
        <v>0.0</v>
      </c>
      <c r="BP65" s="140">
        <v>0.0</v>
      </c>
      <c r="BQ65" s="141">
        <f t="shared" si="31"/>
        <v>0</v>
      </c>
      <c r="BR65" s="104" t="str">
        <f t="shared" si="32"/>
        <v>1000</v>
      </c>
      <c r="BS65" s="104" t="str">
        <f t="shared" si="33"/>
        <v>MDA1/2</v>
      </c>
      <c r="BT65" s="142" t="str">
        <f t="shared" si="34"/>
        <v>DEC+ALB</v>
      </c>
      <c r="BU65" s="104" t="str">
        <f t="shared" si="35"/>
        <v/>
      </c>
      <c r="BV65" s="104" t="str">
        <f t="shared" si="36"/>
        <v>lf only</v>
      </c>
      <c r="BW65" s="312">
        <f t="shared" si="37"/>
        <v>17.63712073</v>
      </c>
      <c r="BX65" s="150" t="str">
        <f t="shared" si="38"/>
        <v/>
      </c>
      <c r="BY65" s="151" t="str">
        <f t="shared" si="39"/>
        <v/>
      </c>
      <c r="BZ65" s="152" t="str">
        <f t="shared" si="40"/>
        <v/>
      </c>
      <c r="CA65" s="152" t="str">
        <f t="shared" si="41"/>
        <v/>
      </c>
      <c r="CB65" s="152" t="str">
        <f t="shared" si="42"/>
        <v/>
      </c>
      <c r="CC65" s="153" t="str">
        <f t="shared" si="43"/>
        <v/>
      </c>
      <c r="CD65" s="153" t="str">
        <f t="shared" si="44"/>
        <v/>
      </c>
      <c r="CE65" s="154" t="str">
        <f t="shared" si="45"/>
        <v/>
      </c>
      <c r="CF65" s="154" t="str">
        <f t="shared" si="46"/>
        <v/>
      </c>
      <c r="CG65" s="154" t="str">
        <f t="shared" si="47"/>
        <v/>
      </c>
      <c r="CH65" s="308" t="str">
        <f t="shared" si="48"/>
        <v/>
      </c>
      <c r="CI65" s="299"/>
    </row>
    <row r="66">
      <c r="A66" s="103" t="s">
        <v>155</v>
      </c>
      <c r="B66" s="104" t="s">
        <v>98</v>
      </c>
      <c r="C66" s="105">
        <v>1.5661547E7</v>
      </c>
      <c r="D66" s="293">
        <v>0.0</v>
      </c>
      <c r="E66" s="321">
        <v>0.0</v>
      </c>
      <c r="F66" s="322">
        <v>399.9163561</v>
      </c>
      <c r="G66" s="322">
        <v>1057.464635</v>
      </c>
      <c r="H66" s="108">
        <v>1457.380991</v>
      </c>
      <c r="I66" s="109">
        <v>102.077254</v>
      </c>
      <c r="J66" s="110">
        <v>188.268537</v>
      </c>
      <c r="K66" s="110">
        <v>290.3457915</v>
      </c>
      <c r="L66" s="111">
        <v>1048.858976</v>
      </c>
      <c r="M66" s="111">
        <v>1079.761359</v>
      </c>
      <c r="N66" s="111">
        <v>2128.620335</v>
      </c>
      <c r="O66" s="324">
        <v>3.37315E-48</v>
      </c>
      <c r="P66" s="114"/>
      <c r="Q66" s="114"/>
      <c r="R66" s="121" t="str">
        <f t="shared" si="11"/>
        <v/>
      </c>
      <c r="S66" s="116">
        <f t="shared" si="12"/>
        <v>0.2288425133</v>
      </c>
      <c r="T66" s="130"/>
      <c r="U66" s="118">
        <f t="shared" si="13"/>
        <v>0.39435</v>
      </c>
      <c r="V66" s="148"/>
      <c r="W66" s="120">
        <f t="shared" si="14"/>
        <v>0.542475</v>
      </c>
      <c r="X66" s="148"/>
      <c r="Y66" s="120">
        <f t="shared" si="15"/>
        <v>0.6507333333</v>
      </c>
      <c r="Z66" s="311" t="s">
        <v>373</v>
      </c>
      <c r="AA66" s="311" t="s">
        <v>373</v>
      </c>
      <c r="AB66" s="300" t="str">
        <f t="shared" si="16"/>
        <v/>
      </c>
      <c r="AC66" s="301">
        <f t="shared" si="17"/>
        <v>0.3490201688</v>
      </c>
      <c r="AD66" s="122">
        <v>0.0</v>
      </c>
      <c r="AE66" s="123">
        <v>0.0</v>
      </c>
      <c r="AF66" s="123">
        <v>0.0</v>
      </c>
      <c r="AG66" s="124">
        <v>0.2232</v>
      </c>
      <c r="AH66" s="124">
        <v>0.266670315</v>
      </c>
      <c r="AI66" s="125">
        <v>0.019</v>
      </c>
      <c r="AJ66" s="125">
        <v>0.018453618</v>
      </c>
      <c r="AK66" s="127">
        <v>0.2661</v>
      </c>
      <c r="AL66" s="127">
        <v>0.2707</v>
      </c>
      <c r="AM66" s="302">
        <v>0.0</v>
      </c>
      <c r="AN66" s="149" t="str">
        <f>IFERROR(
  AVERAGEIFS(
    'New 20102013 LF Efficacy'!$J:$J,
    'New 20102013 LF Efficacy'!$D:$D, $A66,
    'New 20102013 LF Efficacy'!$F:$F,"DEC", 
    'New 20102013 LF Efficacy'!$W:$W,"&lt;2014",
    'New 20102013 LF Efficacy'!$AA:$AA,""),
  ""
)</f>
        <v/>
      </c>
      <c r="AO66" s="115">
        <f t="shared" si="18"/>
        <v>0.2589833333</v>
      </c>
      <c r="AP66" s="121" t="str">
        <f>IFERROR(
AVERAGEIFS(
'New 20102013 LF Efficacy'!$J:$J,
'New 20102013 LF Efficacy'!$D:$D,$A66,
'New 20102013 LF Efficacy'!$F:$F,"Albendazole &amp; DEC",
'New 20102013 LF Efficacy'!$W:$W,"&lt;2014",
'New 20102013 LF Efficacy'!$AA:$AA,""),
"")
</f>
        <v/>
      </c>
      <c r="AQ66" s="115">
        <f t="shared" si="19"/>
        <v>0.3465</v>
      </c>
      <c r="AR66" s="121" t="str">
        <f>IFERROR(
AVERAGEIFS(
'New 20102013 LF Efficacy'!$J:$J,
'New 20102013 LF Efficacy'!$D:$D,$A66,
'New 20102013 LF Efficacy'!$F:$F,"Albendazole &amp; Ivermectin", 
'New 20102013 LF Efficacy'!$W:$W,"&lt;2014",
'New 20102013 LF Efficacy'!$AA:$AA,""),"")</f>
        <v/>
      </c>
      <c r="AS66" s="115">
        <f t="shared" si="20"/>
        <v>0.7575</v>
      </c>
      <c r="AT66" s="130" t="str">
        <f>IFERROR(AVERAGEIFS(
'20102013 Schist Efficacy'!$O:$O, 
'20102013 Schist Efficacy'!$C:$C,$A66, 
'20102013 Schist Efficacy'!$D:$D, "Praziquantel",
'20102013 Schist Efficacy'!$J:$J,"&lt;2014",
'20102013 Schist Efficacy'!$U:$U,""),
"")</f>
        <v/>
      </c>
      <c r="AU66" s="118">
        <f t="shared" si="21"/>
        <v>0.7914761905</v>
      </c>
      <c r="AV66" s="131" t="str">
        <f>IFERROR(AVERAGEIFS(
'20102013 STH Efficacy'!$AX:$AX, 
'20102013 STH Efficacy'!$AL:$AL, $A66, 
'20102013 STH Efficacy'!$AM:$AM, "Albendazole",
'20102013 STH Efficacy'!$AS:$AS,"&lt;2014",
'20102013 STH Efficacy'!$BP:$BP,""),
"")</f>
        <v/>
      </c>
      <c r="AW66" s="132">
        <f t="shared" si="22"/>
        <v>0.3945</v>
      </c>
      <c r="AX66" s="131" t="str">
        <f>IFERROR(AVERAGEIFS(
'20102013 STH Efficacy'!$AX:$AX, 
'20102013 STH Efficacy'!$AL:$AL, $A66, 
'20102013 STH Efficacy'!$AM:$AM, "Mebendazole",
'20102013 STH Efficacy'!$AS:$AS,"&lt;2014",
'20102013 STH Efficacy'!$BP:$BP,""),
"")</f>
        <v/>
      </c>
      <c r="AY66" s="132">
        <f t="shared" si="23"/>
        <v>0.6</v>
      </c>
      <c r="AZ66" s="131" t="str">
        <f>IFERROR(AVERAGEIFS(
'20102013 STH Efficacy'!$AX:$AX, 
'20102013 STH Efficacy'!$AL:$AL, $A66, 
'20102013 STH Efficacy'!$AM:$AM, "Albendazole &amp; Ivermectin",
'20102013 STH Efficacy'!$AS:$AS,"&lt;2014",
'20102013 STH Efficacy'!$BP:$BP,""),
"")</f>
        <v/>
      </c>
      <c r="BA66" s="303">
        <f t="shared" si="24"/>
        <v>0.796</v>
      </c>
      <c r="BB66" s="134" t="str">
        <f>IFERROR(AVERAGEIFS(
'20102013 STH Efficacy'!$N:$N, 
'20102013 STH Efficacy'!$B:$B, $A66, 
'20102013 STH Efficacy'!$C:$C, "Albendazole",
'20102013 STH Efficacy'!$I:$I,"&lt;2014",
'20102013 STH Efficacy'!$AH:$AH,""),
"")</f>
        <v/>
      </c>
      <c r="BC66" s="135">
        <f t="shared" si="25"/>
        <v>0.869</v>
      </c>
      <c r="BD66" s="134" t="str">
        <f>IFERROR(AVERAGEIFS(
'20102013 STH Efficacy'!$N:$N, 
'20102013 STH Efficacy'!$B:$B, $A66, 
'20102013 STH Efficacy'!$C:$C, "Mebendazole",
'20102013 STH Efficacy'!$I:$I,"&lt;2014",
'20102013 STH Efficacy'!$AH:$AH,""),
"")</f>
        <v/>
      </c>
      <c r="BE66" s="135">
        <f t="shared" si="26"/>
        <v>0.172</v>
      </c>
      <c r="BF66" s="128" t="str">
        <f>IFERROR(AVERAGEIFS(
'20102013 STH Efficacy'!$CD:$CD, 
'20102013 STH Efficacy'!$BS:$BS, $A66, 
'20102013 STH Efficacy'!$BT:$BT, "Albendazole",
'20102013 STH Efficacy'!$BZ:$BZ,"&lt;2014",
'20102013 STH Efficacy'!$CU:$CU,""),
"")</f>
        <v/>
      </c>
      <c r="BG66" s="136">
        <f t="shared" si="27"/>
        <v>0.9862</v>
      </c>
      <c r="BH66" s="128" t="str">
        <f>IFERROR(AVERAGEIFS(
'20102013 STH Efficacy'!$CD:$CD, 
'20102013 STH Efficacy'!$BS:$BS, $A66, 
'20102013 STH Efficacy'!$BT:$BT, "Mebendazole",
'20102013 STH Efficacy'!$BZ:$BZ,"&lt;2014",
'20102013 STH Efficacy'!$CU:$CU,""),
"")</f>
        <v/>
      </c>
      <c r="BI66" s="136">
        <f t="shared" si="28"/>
        <v>0.769</v>
      </c>
      <c r="BJ66" s="128" t="str">
        <f>IFERROR(AVERAGEIFS(
'20102013 STH Efficacy'!$CD:$CD, 
'20102013 STH Efficacy'!$BS:$BS, $A66, 
'20102013 STH Efficacy'!$BT:$BT, "Albendazole &amp; Ivermectin",
'20102013 STH Efficacy'!$BZ:$BZ,"&lt;2014",
'20102013 STH Efficacy'!$CU:$CU,""),
"")</f>
        <v/>
      </c>
      <c r="BK66" s="136">
        <f t="shared" si="29"/>
        <v>1</v>
      </c>
      <c r="BL66" s="300" t="str">
        <f>IFERROR(
  AVERAGEIFS(
    'NEW 20102013 Onchocerciasis Eff'!$AO:$AO,
    'NEW 20102013 Onchocerciasis Eff'!$C:$C,$A66,
    'NEW 20102013 Onchocerciasis Eff'!$D:$D,"Ivermectin",
    'NEW 20102013 Onchocerciasis Eff'!$AR:$AR,"&lt;2014",
    'NEW 20102013 Onchocerciasis Eff'!$BG:$BG,"")
,"")</f>
        <v/>
      </c>
      <c r="BM66" s="304">
        <f t="shared" si="30"/>
        <v>0.3734</v>
      </c>
      <c r="BN66" s="305">
        <v>0.0</v>
      </c>
      <c r="BO66" s="139">
        <v>0.0</v>
      </c>
      <c r="BP66" s="140">
        <v>0.0</v>
      </c>
      <c r="BQ66" s="141">
        <f t="shared" si="31"/>
        <v>0</v>
      </c>
      <c r="BR66" s="104" t="str">
        <f t="shared" si="32"/>
        <v>0000</v>
      </c>
      <c r="BS66" s="104" t="str">
        <f t="shared" si="33"/>
        <v>no action required</v>
      </c>
      <c r="BT66" s="142" t="str">
        <f t="shared" si="34"/>
        <v/>
      </c>
      <c r="BU66" s="104" t="str">
        <f t="shared" si="35"/>
        <v/>
      </c>
      <c r="BV66" s="104" t="str">
        <f t="shared" si="36"/>
        <v>none</v>
      </c>
      <c r="BW66" s="150" t="str">
        <f t="shared" si="37"/>
        <v/>
      </c>
      <c r="BX66" s="150" t="str">
        <f t="shared" si="38"/>
        <v/>
      </c>
      <c r="BY66" s="151" t="str">
        <f t="shared" si="39"/>
        <v/>
      </c>
      <c r="BZ66" s="152" t="str">
        <f t="shared" si="40"/>
        <v/>
      </c>
      <c r="CA66" s="152" t="str">
        <f t="shared" si="41"/>
        <v/>
      </c>
      <c r="CB66" s="152" t="str">
        <f t="shared" si="42"/>
        <v/>
      </c>
      <c r="CC66" s="153" t="str">
        <f t="shared" si="43"/>
        <v/>
      </c>
      <c r="CD66" s="153" t="str">
        <f t="shared" si="44"/>
        <v/>
      </c>
      <c r="CE66" s="154" t="str">
        <f t="shared" si="45"/>
        <v/>
      </c>
      <c r="CF66" s="154" t="str">
        <f t="shared" si="46"/>
        <v/>
      </c>
      <c r="CG66" s="154" t="str">
        <f t="shared" si="47"/>
        <v/>
      </c>
      <c r="CH66" s="308" t="str">
        <f t="shared" si="48"/>
        <v/>
      </c>
      <c r="CI66" s="299"/>
    </row>
    <row r="67">
      <c r="A67" s="155" t="s">
        <v>156</v>
      </c>
      <c r="B67" s="104" t="s">
        <v>88</v>
      </c>
      <c r="C67" s="105">
        <v>8.9807433E7</v>
      </c>
      <c r="D67" s="293">
        <v>527.44</v>
      </c>
      <c r="E67" s="294">
        <v>58360.65071</v>
      </c>
      <c r="F67" s="309">
        <v>0.20690121</v>
      </c>
      <c r="G67" s="309">
        <v>1.013228346</v>
      </c>
      <c r="H67" s="157">
        <v>1.220129556</v>
      </c>
      <c r="I67" s="110">
        <v>481.047672</v>
      </c>
      <c r="J67" s="110">
        <v>1195.18406</v>
      </c>
      <c r="K67" s="110">
        <v>1676.231737</v>
      </c>
      <c r="L67" s="111">
        <v>171.0367129</v>
      </c>
      <c r="M67" s="112">
        <v>236.2579179</v>
      </c>
      <c r="N67" s="111">
        <v>407.2946309</v>
      </c>
      <c r="O67" s="298">
        <v>0.0</v>
      </c>
      <c r="P67" s="160">
        <v>550172.0</v>
      </c>
      <c r="Q67" s="160">
        <v>510605.0</v>
      </c>
      <c r="R67" s="121">
        <f t="shared" si="11"/>
        <v>0.9280824906</v>
      </c>
      <c r="S67" s="116">
        <f t="shared" si="12"/>
        <v>0.9280824906</v>
      </c>
      <c r="T67" s="118">
        <v>1.0</v>
      </c>
      <c r="U67" s="118">
        <f t="shared" si="13"/>
        <v>1</v>
      </c>
      <c r="V67" s="148"/>
      <c r="W67" s="120">
        <f t="shared" si="14"/>
        <v>0.9216</v>
      </c>
      <c r="X67" s="148"/>
      <c r="Y67" s="120">
        <f t="shared" si="15"/>
        <v>0.521</v>
      </c>
      <c r="Z67" s="299"/>
      <c r="AA67" s="299"/>
      <c r="AB67" s="300" t="str">
        <f t="shared" si="16"/>
        <v/>
      </c>
      <c r="AC67" s="301">
        <f t="shared" si="17"/>
        <v>0.3122297241</v>
      </c>
      <c r="AD67" s="122">
        <v>1.0E-4</v>
      </c>
      <c r="AE67" s="123">
        <v>0.06</v>
      </c>
      <c r="AF67" s="123">
        <v>0.0208</v>
      </c>
      <c r="AG67" s="124">
        <v>0.0018</v>
      </c>
      <c r="AH67" s="124">
        <v>0.002598974</v>
      </c>
      <c r="AI67" s="125">
        <v>0.0128</v>
      </c>
      <c r="AJ67" s="125">
        <v>0.018906284</v>
      </c>
      <c r="AK67" s="127">
        <v>0.0189</v>
      </c>
      <c r="AL67" s="127">
        <v>0.0273</v>
      </c>
      <c r="AM67" s="302">
        <v>0.0</v>
      </c>
      <c r="AN67" s="149" t="str">
        <f>IFERROR(
  AVERAGEIFS(
    'New 20102013 LF Efficacy'!$J:$J,
    'New 20102013 LF Efficacy'!$D:$D, $A67,
    'New 20102013 LF Efficacy'!$F:$F,"DEC", 
    'New 20102013 LF Efficacy'!$W:$W,"&lt;2014",
    'New 20102013 LF Efficacy'!$AA:$AA,""),
  ""
)</f>
        <v/>
      </c>
      <c r="AO67" s="115">
        <f t="shared" si="18"/>
        <v>0.3573520833</v>
      </c>
      <c r="AP67" s="121">
        <f>IFERROR(
AVERAGEIFS(
'New 20102013 LF Efficacy'!$J:$J,
'New 20102013 LF Efficacy'!$D:$D,$A67,
'New 20102013 LF Efficacy'!$F:$F,"Albendazole &amp; DEC",
'New 20102013 LF Efficacy'!$W:$W,"&lt;2014",
'New 20102013 LF Efficacy'!$AA:$AA,""),
"")
</f>
        <v>0.7935</v>
      </c>
      <c r="AQ67" s="115">
        <f t="shared" si="19"/>
        <v>0.7935</v>
      </c>
      <c r="AR67" s="121" t="str">
        <f>IFERROR(
AVERAGEIFS(
'New 20102013 LF Efficacy'!$J:$J,
'New 20102013 LF Efficacy'!$D:$D,$A67,
'New 20102013 LF Efficacy'!$F:$F,"Albendazole &amp; Ivermectin", 
'New 20102013 LF Efficacy'!$W:$W,"&lt;2014",
'New 20102013 LF Efficacy'!$AA:$AA,""),"")</f>
        <v/>
      </c>
      <c r="AS67" s="115">
        <f t="shared" si="20"/>
        <v>0.37153125</v>
      </c>
      <c r="AT67" s="130">
        <f>IFERROR(AVERAGEIFS(
'20102013 Schist Efficacy'!$O:$O, 
'20102013 Schist Efficacy'!$C:$C,$A67, 
'20102013 Schist Efficacy'!$D:$D, "Praziquantel",
'20102013 Schist Efficacy'!$J:$J,"&lt;2014",
'20102013 Schist Efficacy'!$U:$U,""),
"")</f>
        <v>0.59825</v>
      </c>
      <c r="AU67" s="118">
        <f t="shared" si="21"/>
        <v>0.59825</v>
      </c>
      <c r="AV67" s="131" t="str">
        <f>IFERROR(AVERAGEIFS(
'20102013 STH Efficacy'!$AX:$AX, 
'20102013 STH Efficacy'!$AL:$AL, $A67, 
'20102013 STH Efficacy'!$AM:$AM, "Albendazole",
'20102013 STH Efficacy'!$AS:$AS,"&lt;2014",
'20102013 STH Efficacy'!$BP:$BP,""),
"")</f>
        <v/>
      </c>
      <c r="AW67" s="132">
        <f t="shared" si="22"/>
        <v>0.3933333333</v>
      </c>
      <c r="AX67" s="131" t="str">
        <f>IFERROR(AVERAGEIFS(
'20102013 STH Efficacy'!$AX:$AX, 
'20102013 STH Efficacy'!$AL:$AL, $A67, 
'20102013 STH Efficacy'!$AM:$AM, "Mebendazole",
'20102013 STH Efficacy'!$AS:$AS,"&lt;2014",
'20102013 STH Efficacy'!$BP:$BP,""),
"")</f>
        <v/>
      </c>
      <c r="AY67" s="132">
        <f t="shared" si="23"/>
        <v>0.5017738095</v>
      </c>
      <c r="AZ67" s="131" t="str">
        <f>IFERROR(AVERAGEIFS(
'20102013 STH Efficacy'!$AX:$AX, 
'20102013 STH Efficacy'!$AL:$AL, $A67, 
'20102013 STH Efficacy'!$AM:$AM, "Albendazole &amp; Ivermectin",
'20102013 STH Efficacy'!$AS:$AS,"&lt;2014",
'20102013 STH Efficacy'!$BP:$BP,""),
"")</f>
        <v/>
      </c>
      <c r="BA67" s="303">
        <f t="shared" si="24"/>
        <v>0.597625</v>
      </c>
      <c r="BB67" s="134" t="str">
        <f>IFERROR(AVERAGEIFS(
'20102013 STH Efficacy'!$N:$N, 
'20102013 STH Efficacy'!$B:$B, $A67, 
'20102013 STH Efficacy'!$C:$C, "Albendazole",
'20102013 STH Efficacy'!$I:$I,"&lt;2014",
'20102013 STH Efficacy'!$AH:$AH,""),
"")</f>
        <v/>
      </c>
      <c r="BC67" s="135">
        <f t="shared" si="25"/>
        <v>0.7613712121</v>
      </c>
      <c r="BD67" s="134" t="str">
        <f>IFERROR(AVERAGEIFS(
'20102013 STH Efficacy'!$N:$N, 
'20102013 STH Efficacy'!$B:$B, $A67, 
'20102013 STH Efficacy'!$C:$C, "Mebendazole",
'20102013 STH Efficacy'!$I:$I,"&lt;2014",
'20102013 STH Efficacy'!$AH:$AH,""),
"")</f>
        <v/>
      </c>
      <c r="BE67" s="135">
        <f t="shared" si="26"/>
        <v>0.4362466667</v>
      </c>
      <c r="BF67" s="128" t="str">
        <f>IFERROR(AVERAGEIFS(
'20102013 STH Efficacy'!$CD:$CD, 
'20102013 STH Efficacy'!$BS:$BS, $A67, 
'20102013 STH Efficacy'!$BT:$BT, "Albendazole",
'20102013 STH Efficacy'!$BZ:$BZ,"&lt;2014",
'20102013 STH Efficacy'!$CU:$CU,""),
"")</f>
        <v/>
      </c>
      <c r="BG67" s="136">
        <f t="shared" si="27"/>
        <v>0.955</v>
      </c>
      <c r="BH67" s="128" t="str">
        <f>IFERROR(AVERAGEIFS(
'20102013 STH Efficacy'!$CD:$CD, 
'20102013 STH Efficacy'!$BS:$BS, $A67, 
'20102013 STH Efficacy'!$BT:$BT, "Mebendazole",
'20102013 STH Efficacy'!$BZ:$BZ,"&lt;2014",
'20102013 STH Efficacy'!$CU:$CU,""),
"")</f>
        <v/>
      </c>
      <c r="BI67" s="136">
        <f t="shared" si="28"/>
        <v>1</v>
      </c>
      <c r="BJ67" s="128" t="str">
        <f>IFERROR(AVERAGEIFS(
'20102013 STH Efficacy'!$CD:$CD, 
'20102013 STH Efficacy'!$BS:$BS, $A67, 
'20102013 STH Efficacy'!$BT:$BT, "Albendazole &amp; Ivermectin",
'20102013 STH Efficacy'!$BZ:$BZ,"&lt;2014",
'20102013 STH Efficacy'!$CU:$CU,""),
"")</f>
        <v/>
      </c>
      <c r="BK67" s="136">
        <f t="shared" si="29"/>
        <v>1</v>
      </c>
      <c r="BL67" s="300" t="str">
        <f>IFERROR(
  AVERAGEIFS(
    'NEW 20102013 Onchocerciasis Eff'!$AO:$AO,
    'NEW 20102013 Onchocerciasis Eff'!$C:$C,$A67,
    'NEW 20102013 Onchocerciasis Eff'!$D:$D,"Ivermectin",
    'NEW 20102013 Onchocerciasis Eff'!$AR:$AR,"&lt;2014",
    'NEW 20102013 Onchocerciasis Eff'!$BG:$BG,"")
,"")</f>
        <v/>
      </c>
      <c r="BM67" s="304">
        <f t="shared" si="30"/>
        <v>0.7808368939</v>
      </c>
      <c r="BN67" s="305">
        <v>1.0</v>
      </c>
      <c r="BO67" s="139">
        <v>1.0</v>
      </c>
      <c r="BP67" s="140">
        <v>1.0</v>
      </c>
      <c r="BQ67" s="141">
        <f t="shared" si="31"/>
        <v>0</v>
      </c>
      <c r="BR67" s="104" t="str">
        <f t="shared" si="32"/>
        <v>1110</v>
      </c>
      <c r="BS67" s="104" t="str">
        <f t="shared" si="33"/>
        <v>MDA1+T2</v>
      </c>
      <c r="BT67" s="142" t="str">
        <f t="shared" si="34"/>
        <v>IVM+ALB</v>
      </c>
      <c r="BU67" s="104" t="str">
        <f t="shared" si="35"/>
        <v>PZQ</v>
      </c>
      <c r="BV67" s="104" t="str">
        <f t="shared" si="36"/>
        <v>lf+onch+schist </v>
      </c>
      <c r="BW67" s="150" t="str">
        <f t="shared" si="37"/>
        <v/>
      </c>
      <c r="BX67" s="312">
        <f t="shared" si="38"/>
        <v>277.5804163</v>
      </c>
      <c r="BY67" s="162">
        <f t="shared" si="39"/>
        <v>86905.43693</v>
      </c>
      <c r="BZ67" s="152" t="str">
        <f t="shared" si="40"/>
        <v/>
      </c>
      <c r="CA67" s="152" t="str">
        <f t="shared" si="41"/>
        <v/>
      </c>
      <c r="CB67" s="152" t="str">
        <f t="shared" si="42"/>
        <v/>
      </c>
      <c r="CC67" s="153" t="str">
        <f t="shared" si="43"/>
        <v/>
      </c>
      <c r="CD67" s="153" t="str">
        <f t="shared" si="44"/>
        <v/>
      </c>
      <c r="CE67" s="154" t="str">
        <f t="shared" si="45"/>
        <v/>
      </c>
      <c r="CF67" s="154" t="str">
        <f t="shared" si="46"/>
        <v/>
      </c>
      <c r="CG67" s="154" t="str">
        <f t="shared" si="47"/>
        <v/>
      </c>
      <c r="CH67" s="313">
        <f t="shared" si="48"/>
        <v>0</v>
      </c>
      <c r="CI67" s="299"/>
    </row>
    <row r="68">
      <c r="A68" s="155" t="s">
        <v>157</v>
      </c>
      <c r="B68" s="104" t="s">
        <v>98</v>
      </c>
      <c r="C68" s="105">
        <v>6250777.0</v>
      </c>
      <c r="D68" s="293">
        <v>0.0</v>
      </c>
      <c r="E68" s="294">
        <v>0.0</v>
      </c>
      <c r="F68" s="295">
        <v>7.829399973</v>
      </c>
      <c r="G68" s="295">
        <v>0.129499093</v>
      </c>
      <c r="H68" s="157">
        <v>7.958899067</v>
      </c>
      <c r="I68" s="110">
        <v>131.734125</v>
      </c>
      <c r="J68" s="109">
        <v>41.8341183</v>
      </c>
      <c r="K68" s="109">
        <v>173.5682432</v>
      </c>
      <c r="L68" s="112">
        <v>27.42581962</v>
      </c>
      <c r="M68" s="112">
        <v>11.00925875</v>
      </c>
      <c r="N68" s="111">
        <v>38.43507838</v>
      </c>
      <c r="O68" s="298">
        <v>0.0</v>
      </c>
      <c r="P68" s="114"/>
      <c r="Q68" s="114"/>
      <c r="R68" s="121" t="str">
        <f t="shared" si="11"/>
        <v/>
      </c>
      <c r="S68" s="116">
        <f t="shared" si="12"/>
        <v>0.2288425133</v>
      </c>
      <c r="T68" s="130"/>
      <c r="U68" s="118">
        <f t="shared" si="13"/>
        <v>0.39435</v>
      </c>
      <c r="V68" s="148"/>
      <c r="W68" s="120">
        <f t="shared" si="14"/>
        <v>0.542475</v>
      </c>
      <c r="X68" s="119">
        <v>0.3156</v>
      </c>
      <c r="Y68" s="120">
        <f t="shared" si="15"/>
        <v>0.3156</v>
      </c>
      <c r="Z68" s="299"/>
      <c r="AA68" s="299"/>
      <c r="AB68" s="300" t="str">
        <f t="shared" si="16"/>
        <v/>
      </c>
      <c r="AC68" s="301">
        <f t="shared" si="17"/>
        <v>0.3490201688</v>
      </c>
      <c r="AD68" s="122">
        <v>0.0</v>
      </c>
      <c r="AE68" s="123">
        <v>0.0</v>
      </c>
      <c r="AF68" s="123">
        <v>0.0</v>
      </c>
      <c r="AG68" s="316">
        <v>0.0</v>
      </c>
      <c r="AH68" s="124">
        <v>0.020511932</v>
      </c>
      <c r="AI68" s="317">
        <v>0.0</v>
      </c>
      <c r="AJ68" s="125">
        <v>0.011100254</v>
      </c>
      <c r="AK68" s="319">
        <v>0.0</v>
      </c>
      <c r="AL68" s="319">
        <v>0.0</v>
      </c>
      <c r="AM68" s="302">
        <v>0.0</v>
      </c>
      <c r="AN68" s="149" t="str">
        <f>IFERROR(
  AVERAGEIFS(
    'New 20102013 LF Efficacy'!$J:$J,
    'New 20102013 LF Efficacy'!$D:$D, $A68,
    'New 20102013 LF Efficacy'!$F:$F,"DEC", 
    'New 20102013 LF Efficacy'!$W:$W,"&lt;2014",
    'New 20102013 LF Efficacy'!$AA:$AA,""),
  ""
)</f>
        <v/>
      </c>
      <c r="AO68" s="115">
        <f t="shared" si="18"/>
        <v>0.2589833333</v>
      </c>
      <c r="AP68" s="121" t="str">
        <f>IFERROR(
AVERAGEIFS(
'New 20102013 LF Efficacy'!$J:$J,
'New 20102013 LF Efficacy'!$D:$D,$A68,
'New 20102013 LF Efficacy'!$F:$F,"Albendazole &amp; DEC",
'New 20102013 LF Efficacy'!$W:$W,"&lt;2014",
'New 20102013 LF Efficacy'!$AA:$AA,""),
"")
</f>
        <v/>
      </c>
      <c r="AQ68" s="115">
        <f t="shared" si="19"/>
        <v>0.3465</v>
      </c>
      <c r="AR68" s="121" t="str">
        <f>IFERROR(
AVERAGEIFS(
'New 20102013 LF Efficacy'!$J:$J,
'New 20102013 LF Efficacy'!$D:$D,$A68,
'New 20102013 LF Efficacy'!$F:$F,"Albendazole &amp; Ivermectin", 
'New 20102013 LF Efficacy'!$W:$W,"&lt;2014",
'New 20102013 LF Efficacy'!$AA:$AA,""),"")</f>
        <v/>
      </c>
      <c r="AS68" s="115">
        <f t="shared" si="20"/>
        <v>0.7575</v>
      </c>
      <c r="AT68" s="130" t="str">
        <f>IFERROR(AVERAGEIFS(
'20102013 Schist Efficacy'!$O:$O, 
'20102013 Schist Efficacy'!$C:$C,$A68, 
'20102013 Schist Efficacy'!$D:$D, "Praziquantel",
'20102013 Schist Efficacy'!$J:$J,"&lt;2014",
'20102013 Schist Efficacy'!$U:$U,""),
"")</f>
        <v/>
      </c>
      <c r="AU68" s="118">
        <f t="shared" si="21"/>
        <v>0.7914761905</v>
      </c>
      <c r="AV68" s="131" t="str">
        <f>IFERROR(AVERAGEIFS(
'20102013 STH Efficacy'!$AX:$AX, 
'20102013 STH Efficacy'!$AL:$AL, $A68, 
'20102013 STH Efficacy'!$AM:$AM, "Albendazole",
'20102013 STH Efficacy'!$AS:$AS,"&lt;2014",
'20102013 STH Efficacy'!$BP:$BP,""),
"")</f>
        <v/>
      </c>
      <c r="AW68" s="132">
        <f t="shared" si="22"/>
        <v>0.3945</v>
      </c>
      <c r="AX68" s="131" t="str">
        <f>IFERROR(AVERAGEIFS(
'20102013 STH Efficacy'!$AX:$AX, 
'20102013 STH Efficacy'!$AL:$AL, $A68, 
'20102013 STH Efficacy'!$AM:$AM, "Mebendazole",
'20102013 STH Efficacy'!$AS:$AS,"&lt;2014",
'20102013 STH Efficacy'!$BP:$BP,""),
"")</f>
        <v/>
      </c>
      <c r="AY68" s="132">
        <f t="shared" si="23"/>
        <v>0.6</v>
      </c>
      <c r="AZ68" s="131" t="str">
        <f>IFERROR(AVERAGEIFS(
'20102013 STH Efficacy'!$AX:$AX, 
'20102013 STH Efficacy'!$AL:$AL, $A68, 
'20102013 STH Efficacy'!$AM:$AM, "Albendazole &amp; Ivermectin",
'20102013 STH Efficacy'!$AS:$AS,"&lt;2014",
'20102013 STH Efficacy'!$BP:$BP,""),
"")</f>
        <v/>
      </c>
      <c r="BA68" s="303">
        <f t="shared" si="24"/>
        <v>0.796</v>
      </c>
      <c r="BB68" s="134" t="str">
        <f>IFERROR(AVERAGEIFS(
'20102013 STH Efficacy'!$N:$N, 
'20102013 STH Efficacy'!$B:$B, $A68, 
'20102013 STH Efficacy'!$C:$C, "Albendazole",
'20102013 STH Efficacy'!$I:$I,"&lt;2014",
'20102013 STH Efficacy'!$AH:$AH,""),
"")</f>
        <v/>
      </c>
      <c r="BC68" s="135">
        <f t="shared" si="25"/>
        <v>0.869</v>
      </c>
      <c r="BD68" s="134" t="str">
        <f>IFERROR(AVERAGEIFS(
'20102013 STH Efficacy'!$N:$N, 
'20102013 STH Efficacy'!$B:$B, $A68, 
'20102013 STH Efficacy'!$C:$C, "Mebendazole",
'20102013 STH Efficacy'!$I:$I,"&lt;2014",
'20102013 STH Efficacy'!$AH:$AH,""),
"")</f>
        <v/>
      </c>
      <c r="BE68" s="135">
        <f t="shared" si="26"/>
        <v>0.172</v>
      </c>
      <c r="BF68" s="128" t="str">
        <f>IFERROR(AVERAGEIFS(
'20102013 STH Efficacy'!$CD:$CD, 
'20102013 STH Efficacy'!$BS:$BS, $A68, 
'20102013 STH Efficacy'!$BT:$BT, "Albendazole",
'20102013 STH Efficacy'!$BZ:$BZ,"&lt;2014",
'20102013 STH Efficacy'!$CU:$CU,""),
"")</f>
        <v/>
      </c>
      <c r="BG68" s="136">
        <f t="shared" si="27"/>
        <v>0.9862</v>
      </c>
      <c r="BH68" s="128" t="str">
        <f>IFERROR(AVERAGEIFS(
'20102013 STH Efficacy'!$CD:$CD, 
'20102013 STH Efficacy'!$BS:$BS, $A68, 
'20102013 STH Efficacy'!$BT:$BT, "Mebendazole",
'20102013 STH Efficacy'!$BZ:$BZ,"&lt;2014",
'20102013 STH Efficacy'!$CU:$CU,""),
"")</f>
        <v/>
      </c>
      <c r="BI68" s="136">
        <f t="shared" si="28"/>
        <v>0.769</v>
      </c>
      <c r="BJ68" s="128" t="str">
        <f>IFERROR(AVERAGEIFS(
'20102013 STH Efficacy'!$CD:$CD, 
'20102013 STH Efficacy'!$BS:$BS, $A68, 
'20102013 STH Efficacy'!$BT:$BT, "Albendazole &amp; Ivermectin",
'20102013 STH Efficacy'!$BZ:$BZ,"&lt;2014",
'20102013 STH Efficacy'!$CU:$CU,""),
"")</f>
        <v/>
      </c>
      <c r="BK68" s="136">
        <f t="shared" si="29"/>
        <v>1</v>
      </c>
      <c r="BL68" s="300" t="str">
        <f>IFERROR(
  AVERAGEIFS(
    'NEW 20102013 Onchocerciasis Eff'!$AO:$AO,
    'NEW 20102013 Onchocerciasis Eff'!$C:$C,$A68,
    'NEW 20102013 Onchocerciasis Eff'!$D:$D,"Ivermectin",
    'NEW 20102013 Onchocerciasis Eff'!$AR:$AR,"&lt;2014",
    'NEW 20102013 Onchocerciasis Eff'!$BG:$BG,"")
,"")</f>
        <v/>
      </c>
      <c r="BM68" s="304">
        <f t="shared" si="30"/>
        <v>0.3734</v>
      </c>
      <c r="BN68" s="305">
        <v>0.0</v>
      </c>
      <c r="BO68" s="139">
        <v>0.0</v>
      </c>
      <c r="BP68" s="140">
        <v>0.0</v>
      </c>
      <c r="BQ68" s="141">
        <f t="shared" si="31"/>
        <v>0</v>
      </c>
      <c r="BR68" s="104" t="str">
        <f t="shared" si="32"/>
        <v>0000</v>
      </c>
      <c r="BS68" s="104" t="str">
        <f t="shared" si="33"/>
        <v>no action required</v>
      </c>
      <c r="BT68" s="142" t="str">
        <f t="shared" si="34"/>
        <v/>
      </c>
      <c r="BU68" s="104" t="str">
        <f t="shared" si="35"/>
        <v/>
      </c>
      <c r="BV68" s="104" t="str">
        <f t="shared" si="36"/>
        <v>none</v>
      </c>
      <c r="BW68" s="150" t="str">
        <f t="shared" si="37"/>
        <v/>
      </c>
      <c r="BX68" s="150" t="str">
        <f t="shared" si="38"/>
        <v/>
      </c>
      <c r="BY68" s="151" t="str">
        <f t="shared" si="39"/>
        <v/>
      </c>
      <c r="BZ68" s="152" t="str">
        <f t="shared" si="40"/>
        <v/>
      </c>
      <c r="CA68" s="152" t="str">
        <f t="shared" si="41"/>
        <v/>
      </c>
      <c r="CB68" s="152" t="str">
        <f t="shared" si="42"/>
        <v/>
      </c>
      <c r="CC68" s="153" t="str">
        <f t="shared" si="43"/>
        <v/>
      </c>
      <c r="CD68" s="153" t="str">
        <f t="shared" si="44"/>
        <v/>
      </c>
      <c r="CE68" s="154" t="str">
        <f t="shared" si="45"/>
        <v/>
      </c>
      <c r="CF68" s="154" t="str">
        <f t="shared" si="46"/>
        <v/>
      </c>
      <c r="CG68" s="154" t="str">
        <f t="shared" si="47"/>
        <v/>
      </c>
      <c r="CH68" s="308" t="str">
        <f t="shared" si="48"/>
        <v/>
      </c>
      <c r="CI68" s="299"/>
    </row>
    <row r="69">
      <c r="A69" s="155" t="s">
        <v>158</v>
      </c>
      <c r="B69" s="104" t="s">
        <v>92</v>
      </c>
      <c r="C69" s="105">
        <v>1083746.0</v>
      </c>
      <c r="D69" s="293">
        <v>1173.8899999999999</v>
      </c>
      <c r="E69" s="294">
        <v>579.2278851</v>
      </c>
      <c r="F69" s="295">
        <v>20.96612681</v>
      </c>
      <c r="G69" s="295">
        <v>108.8710203</v>
      </c>
      <c r="H69" s="108">
        <v>129.8371471</v>
      </c>
      <c r="I69" s="109">
        <v>40.6299905</v>
      </c>
      <c r="J69" s="109">
        <v>127.417038</v>
      </c>
      <c r="K69" s="109">
        <v>168.0470283</v>
      </c>
      <c r="L69" s="112">
        <v>131.6277698</v>
      </c>
      <c r="M69" s="112">
        <v>251.662201</v>
      </c>
      <c r="N69" s="111">
        <v>383.2899708</v>
      </c>
      <c r="O69" s="298">
        <v>1472.145416</v>
      </c>
      <c r="P69" s="160">
        <v>420000.0</v>
      </c>
      <c r="Q69" s="156"/>
      <c r="R69" s="121">
        <f t="shared" si="11"/>
        <v>0</v>
      </c>
      <c r="S69" s="116">
        <f t="shared" si="12"/>
        <v>0.2589669834</v>
      </c>
      <c r="T69" s="130"/>
      <c r="U69" s="118">
        <f t="shared" si="13"/>
        <v>0.252</v>
      </c>
      <c r="V69" s="148"/>
      <c r="W69" s="120">
        <f t="shared" si="14"/>
        <v>0.8114541667</v>
      </c>
      <c r="X69" s="148"/>
      <c r="Y69" s="120">
        <f t="shared" si="15"/>
        <v>0.5668291667</v>
      </c>
      <c r="Z69" s="310">
        <v>85805.0</v>
      </c>
      <c r="AA69" s="310">
        <v>11840.0</v>
      </c>
      <c r="AB69" s="300">
        <f t="shared" si="16"/>
        <v>0.1379872968</v>
      </c>
      <c r="AC69" s="301">
        <f t="shared" si="17"/>
        <v>0.1379872968</v>
      </c>
      <c r="AD69" s="122">
        <v>0.0348</v>
      </c>
      <c r="AE69" s="123">
        <v>0.1</v>
      </c>
      <c r="AF69" s="123">
        <v>0.0188</v>
      </c>
      <c r="AG69" s="316">
        <v>0.0</v>
      </c>
      <c r="AH69" s="124">
        <v>0.346139064</v>
      </c>
      <c r="AI69" s="317">
        <v>0.0</v>
      </c>
      <c r="AJ69" s="125">
        <v>0.171711141</v>
      </c>
      <c r="AK69" s="319">
        <v>0.0</v>
      </c>
      <c r="AL69" s="319">
        <v>0.0</v>
      </c>
      <c r="AM69" s="302">
        <v>0.0346</v>
      </c>
      <c r="AN69" s="149" t="str">
        <f>IFERROR(
  AVERAGEIFS(
    'New 20102013 LF Efficacy'!$J:$J,
    'New 20102013 LF Efficacy'!$D:$D, $A69,
    'New 20102013 LF Efficacy'!$F:$F,"DEC", 
    'New 20102013 LF Efficacy'!$W:$W,"&lt;2014",
    'New 20102013 LF Efficacy'!$AA:$AA,""),
  ""
)</f>
        <v/>
      </c>
      <c r="AO69" s="115">
        <f t="shared" si="18"/>
        <v>0.31225</v>
      </c>
      <c r="AP69" s="121" t="str">
        <f>IFERROR(
AVERAGEIFS(
'New 20102013 LF Efficacy'!$J:$J,
'New 20102013 LF Efficacy'!$D:$D,$A69,
'New 20102013 LF Efficacy'!$F:$F,"Albendazole &amp; DEC",
'New 20102013 LF Efficacy'!$W:$W,"&lt;2014",
'New 20102013 LF Efficacy'!$AA:$AA,""),
"")
</f>
        <v/>
      </c>
      <c r="AQ69" s="115">
        <f t="shared" si="19"/>
        <v>0.4</v>
      </c>
      <c r="AR69" s="121" t="str">
        <f>IFERROR(
AVERAGEIFS(
'New 20102013 LF Efficacy'!$J:$J,
'New 20102013 LF Efficacy'!$D:$D,$A69,
'New 20102013 LF Efficacy'!$F:$F,"Albendazole &amp; Ivermectin", 
'New 20102013 LF Efficacy'!$W:$W,"&lt;2014",
'New 20102013 LF Efficacy'!$AA:$AA,""),"")</f>
        <v/>
      </c>
      <c r="AS69" s="115">
        <f t="shared" si="20"/>
        <v>0.2943125</v>
      </c>
      <c r="AT69" s="130" t="str">
        <f>IFERROR(AVERAGEIFS(
'20102013 Schist Efficacy'!$O:$O, 
'20102013 Schist Efficacy'!$C:$C,$A69, 
'20102013 Schist Efficacy'!$D:$D, "Praziquantel",
'20102013 Schist Efficacy'!$J:$J,"&lt;2014",
'20102013 Schist Efficacy'!$U:$U,""),
"")</f>
        <v/>
      </c>
      <c r="AU69" s="118">
        <f t="shared" si="21"/>
        <v>0.7192212527</v>
      </c>
      <c r="AV69" s="131" t="str">
        <f>IFERROR(AVERAGEIFS(
'20102013 STH Efficacy'!$AX:$AX, 
'20102013 STH Efficacy'!$AL:$AL, $A69, 
'20102013 STH Efficacy'!$AM:$AM, "Albendazole",
'20102013 STH Efficacy'!$AS:$AS,"&lt;2014",
'20102013 STH Efficacy'!$BP:$BP,""),
"")</f>
        <v/>
      </c>
      <c r="AW69" s="132">
        <f t="shared" si="22"/>
        <v>0.3816333333</v>
      </c>
      <c r="AX69" s="131" t="str">
        <f>IFERROR(AVERAGEIFS(
'20102013 STH Efficacy'!$AX:$AX, 
'20102013 STH Efficacy'!$AL:$AL, $A69, 
'20102013 STH Efficacy'!$AM:$AM, "Mebendazole",
'20102013 STH Efficacy'!$AS:$AS,"&lt;2014",
'20102013 STH Efficacy'!$BP:$BP,""),
"")</f>
        <v/>
      </c>
      <c r="AY69" s="132">
        <f t="shared" si="23"/>
        <v>0.5675833333</v>
      </c>
      <c r="AZ69" s="131" t="str">
        <f>IFERROR(AVERAGEIFS(
'20102013 STH Efficacy'!$AX:$AX, 
'20102013 STH Efficacy'!$AL:$AL, $A69, 
'20102013 STH Efficacy'!$AM:$AM, "Albendazole &amp; Ivermectin",
'20102013 STH Efficacy'!$AS:$AS,"&lt;2014",
'20102013 STH Efficacy'!$BP:$BP,""),
"")</f>
        <v/>
      </c>
      <c r="BA69" s="303">
        <f t="shared" si="24"/>
        <v>0.47175</v>
      </c>
      <c r="BB69" s="134" t="str">
        <f>IFERROR(AVERAGEIFS(
'20102013 STH Efficacy'!$N:$N, 
'20102013 STH Efficacy'!$B:$B, $A69, 
'20102013 STH Efficacy'!$C:$C, "Albendazole",
'20102013 STH Efficacy'!$I:$I,"&lt;2014",
'20102013 STH Efficacy'!$AH:$AH,""),
"")</f>
        <v/>
      </c>
      <c r="BC69" s="135">
        <f t="shared" si="25"/>
        <v>0.8699166667</v>
      </c>
      <c r="BD69" s="134" t="str">
        <f>IFERROR(AVERAGEIFS(
'20102013 STH Efficacy'!$N:$N, 
'20102013 STH Efficacy'!$B:$B, $A69, 
'20102013 STH Efficacy'!$C:$C, "Mebendazole",
'20102013 STH Efficacy'!$I:$I,"&lt;2014",
'20102013 STH Efficacy'!$AH:$AH,""),
"")</f>
        <v/>
      </c>
      <c r="BE69" s="135">
        <f t="shared" si="26"/>
        <v>0.7092416667</v>
      </c>
      <c r="BF69" s="128" t="str">
        <f>IFERROR(AVERAGEIFS(
'20102013 STH Efficacy'!$CD:$CD, 
'20102013 STH Efficacy'!$BS:$BS, $A69, 
'20102013 STH Efficacy'!$BT:$BT, "Albendazole",
'20102013 STH Efficacy'!$BZ:$BZ,"&lt;2014",
'20102013 STH Efficacy'!$CU:$CU,""),
"")</f>
        <v/>
      </c>
      <c r="BG69" s="136">
        <f t="shared" si="27"/>
        <v>0.9066666667</v>
      </c>
      <c r="BH69" s="128" t="str">
        <f>IFERROR(AVERAGEIFS(
'20102013 STH Efficacy'!$CD:$CD, 
'20102013 STH Efficacy'!$BS:$BS, $A69, 
'20102013 STH Efficacy'!$BT:$BT, "Mebendazole",
'20102013 STH Efficacy'!$BZ:$BZ,"&lt;2014",
'20102013 STH Efficacy'!$CU:$CU,""),
"")</f>
        <v/>
      </c>
      <c r="BI69" s="136">
        <f t="shared" si="28"/>
        <v>0.9358666667</v>
      </c>
      <c r="BJ69" s="128" t="str">
        <f>IFERROR(AVERAGEIFS(
'20102013 STH Efficacy'!$CD:$CD, 
'20102013 STH Efficacy'!$BS:$BS, $A69, 
'20102013 STH Efficacy'!$BT:$BT, "Albendazole &amp; Ivermectin",
'20102013 STH Efficacy'!$BZ:$BZ,"&lt;2014",
'20102013 STH Efficacy'!$CU:$CU,""),
"")</f>
        <v/>
      </c>
      <c r="BK69" s="136">
        <f t="shared" si="29"/>
        <v>1</v>
      </c>
      <c r="BL69" s="300" t="str">
        <f>IFERROR(
  AVERAGEIFS(
    'NEW 20102013 Onchocerciasis Eff'!$AO:$AO,
    'NEW 20102013 Onchocerciasis Eff'!$C:$C,$A69,
    'NEW 20102013 Onchocerciasis Eff'!$D:$D,"Ivermectin",
    'NEW 20102013 Onchocerciasis Eff'!$AR:$AR,"&lt;2014",
    'NEW 20102013 Onchocerciasis Eff'!$BG:$BG,"")
,"")</f>
        <v/>
      </c>
      <c r="BM69" s="304">
        <f t="shared" si="30"/>
        <v>0.8390421645</v>
      </c>
      <c r="BN69" s="305">
        <v>1.0</v>
      </c>
      <c r="BO69" s="139">
        <v>1.0</v>
      </c>
      <c r="BP69" s="140">
        <v>1.0</v>
      </c>
      <c r="BQ69" s="141">
        <f t="shared" si="31"/>
        <v>0</v>
      </c>
      <c r="BR69" s="104" t="str">
        <f t="shared" si="32"/>
        <v>1110</v>
      </c>
      <c r="BS69" s="104" t="str">
        <f t="shared" si="33"/>
        <v>MDA1+T2</v>
      </c>
      <c r="BT69" s="142" t="str">
        <f t="shared" si="34"/>
        <v>IVM+ALB</v>
      </c>
      <c r="BU69" s="104" t="str">
        <f t="shared" si="35"/>
        <v>PZQ</v>
      </c>
      <c r="BV69" s="104" t="str">
        <f t="shared" si="36"/>
        <v>lf+onch+schist </v>
      </c>
      <c r="BW69" s="150" t="str">
        <f t="shared" si="37"/>
        <v/>
      </c>
      <c r="BX69" s="312">
        <f t="shared" si="38"/>
        <v>96.85245787</v>
      </c>
      <c r="BY69" s="162">
        <f t="shared" si="39"/>
        <v>128.2206249</v>
      </c>
      <c r="BZ69" s="152" t="str">
        <f t="shared" si="40"/>
        <v/>
      </c>
      <c r="CA69" s="152" t="str">
        <f t="shared" si="41"/>
        <v/>
      </c>
      <c r="CB69" s="152" t="str">
        <f t="shared" si="42"/>
        <v/>
      </c>
      <c r="CC69" s="153" t="str">
        <f t="shared" si="43"/>
        <v/>
      </c>
      <c r="CD69" s="153" t="str">
        <f t="shared" si="44"/>
        <v/>
      </c>
      <c r="CE69" s="154" t="str">
        <f t="shared" si="45"/>
        <v/>
      </c>
      <c r="CF69" s="154" t="str">
        <f t="shared" si="46"/>
        <v/>
      </c>
      <c r="CG69" s="154" t="str">
        <f t="shared" si="47"/>
        <v/>
      </c>
      <c r="CH69" s="313">
        <f t="shared" si="48"/>
        <v>6.425258729</v>
      </c>
      <c r="CI69" s="299"/>
    </row>
    <row r="70">
      <c r="A70" s="103" t="s">
        <v>159</v>
      </c>
      <c r="B70" s="104" t="s">
        <v>92</v>
      </c>
      <c r="C70" s="171"/>
      <c r="D70" s="293">
        <v>181.87</v>
      </c>
      <c r="E70" s="294">
        <v>4191.410679</v>
      </c>
      <c r="F70" s="295">
        <v>7.287115811</v>
      </c>
      <c r="G70" s="295">
        <v>29.57170186</v>
      </c>
      <c r="H70" s="108">
        <v>36.85881767</v>
      </c>
      <c r="I70" s="109">
        <v>35.6944534</v>
      </c>
      <c r="J70" s="109">
        <v>75.8239797</v>
      </c>
      <c r="K70" s="109">
        <v>111.5184331</v>
      </c>
      <c r="L70" s="112">
        <v>500.9951335</v>
      </c>
      <c r="M70" s="112">
        <v>77.08207029</v>
      </c>
      <c r="N70" s="111">
        <v>578.0772037</v>
      </c>
      <c r="O70" s="298">
        <v>0.0</v>
      </c>
      <c r="P70" s="160">
        <v>3577000.0</v>
      </c>
      <c r="Q70" s="156"/>
      <c r="R70" s="121">
        <f t="shared" si="11"/>
        <v>0</v>
      </c>
      <c r="S70" s="116">
        <f t="shared" si="12"/>
        <v>0.2589669834</v>
      </c>
      <c r="T70" s="130"/>
      <c r="U70" s="118">
        <f t="shared" si="13"/>
        <v>0.252</v>
      </c>
      <c r="V70" s="148"/>
      <c r="W70" s="120">
        <f t="shared" si="14"/>
        <v>0.8114541667</v>
      </c>
      <c r="X70" s="148"/>
      <c r="Y70" s="120">
        <f t="shared" si="15"/>
        <v>0.5668291667</v>
      </c>
      <c r="Z70" s="299"/>
      <c r="AA70" s="299"/>
      <c r="AB70" s="300" t="str">
        <f t="shared" si="16"/>
        <v/>
      </c>
      <c r="AC70" s="301">
        <f t="shared" si="17"/>
        <v>0.655321236</v>
      </c>
      <c r="AD70" s="122">
        <v>9.0E-4</v>
      </c>
      <c r="AE70" s="123">
        <v>0.04</v>
      </c>
      <c r="AF70" s="123">
        <v>0.0073</v>
      </c>
      <c r="AG70" s="124">
        <v>0.0832</v>
      </c>
      <c r="AH70" s="124">
        <v>0.131818253</v>
      </c>
      <c r="AI70" s="125">
        <v>0.0142</v>
      </c>
      <c r="AJ70" s="125">
        <v>0.022883113</v>
      </c>
      <c r="AK70" s="127">
        <v>0.0355</v>
      </c>
      <c r="AL70" s="127">
        <v>0.0561</v>
      </c>
      <c r="AM70" s="302">
        <v>0.0</v>
      </c>
      <c r="AN70" s="149" t="str">
        <f>IFERROR(
  AVERAGEIFS(
    'New 20102013 LF Efficacy'!$J:$J,
    'New 20102013 LF Efficacy'!$D:$D, $A70,
    'New 20102013 LF Efficacy'!$F:$F,"DEC", 
    'New 20102013 LF Efficacy'!$W:$W,"&lt;2014",
    'New 20102013 LF Efficacy'!$AA:$AA,""),
  ""
)</f>
        <v/>
      </c>
      <c r="AO70" s="115">
        <f t="shared" si="18"/>
        <v>0.31225</v>
      </c>
      <c r="AP70" s="121" t="str">
        <f>IFERROR(
AVERAGEIFS(
'New 20102013 LF Efficacy'!$J:$J,
'New 20102013 LF Efficacy'!$D:$D,$A70,
'New 20102013 LF Efficacy'!$F:$F,"Albendazole &amp; DEC",
'New 20102013 LF Efficacy'!$W:$W,"&lt;2014",
'New 20102013 LF Efficacy'!$AA:$AA,""),
"")
</f>
        <v/>
      </c>
      <c r="AQ70" s="115">
        <f t="shared" si="19"/>
        <v>0.4</v>
      </c>
      <c r="AR70" s="121" t="str">
        <f>IFERROR(
AVERAGEIFS(
'New 20102013 LF Efficacy'!$J:$J,
'New 20102013 LF Efficacy'!$D:$D,$A70,
'New 20102013 LF Efficacy'!$F:$F,"Albendazole &amp; Ivermectin", 
'New 20102013 LF Efficacy'!$W:$W,"&lt;2014",
'New 20102013 LF Efficacy'!$AA:$AA,""),"")</f>
        <v/>
      </c>
      <c r="AS70" s="115">
        <f t="shared" si="20"/>
        <v>0.2943125</v>
      </c>
      <c r="AT70" s="130" t="str">
        <f>IFERROR(AVERAGEIFS(
'20102013 Schist Efficacy'!$O:$O, 
'20102013 Schist Efficacy'!$C:$C,$A70, 
'20102013 Schist Efficacy'!$D:$D, "Praziquantel",
'20102013 Schist Efficacy'!$J:$J,"&lt;2014",
'20102013 Schist Efficacy'!$U:$U,""),
"")</f>
        <v/>
      </c>
      <c r="AU70" s="118">
        <f t="shared" si="21"/>
        <v>0.7192212527</v>
      </c>
      <c r="AV70" s="131" t="str">
        <f>IFERROR(AVERAGEIFS(
'20102013 STH Efficacy'!$AX:$AX, 
'20102013 STH Efficacy'!$AL:$AL, $A70, 
'20102013 STH Efficacy'!$AM:$AM, "Albendazole",
'20102013 STH Efficacy'!$AS:$AS,"&lt;2014",
'20102013 STH Efficacy'!$BP:$BP,""),
"")</f>
        <v/>
      </c>
      <c r="AW70" s="132">
        <f t="shared" si="22"/>
        <v>0.3816333333</v>
      </c>
      <c r="AX70" s="131" t="str">
        <f>IFERROR(AVERAGEIFS(
'20102013 STH Efficacy'!$AX:$AX, 
'20102013 STH Efficacy'!$AL:$AL, $A70, 
'20102013 STH Efficacy'!$AM:$AM, "Mebendazole",
'20102013 STH Efficacy'!$AS:$AS,"&lt;2014",
'20102013 STH Efficacy'!$BP:$BP,""),
"")</f>
        <v/>
      </c>
      <c r="AY70" s="132">
        <f t="shared" si="23"/>
        <v>0.5675833333</v>
      </c>
      <c r="AZ70" s="131" t="str">
        <f>IFERROR(AVERAGEIFS(
'20102013 STH Efficacy'!$AX:$AX, 
'20102013 STH Efficacy'!$AL:$AL, $A70, 
'20102013 STH Efficacy'!$AM:$AM, "Albendazole &amp; Ivermectin",
'20102013 STH Efficacy'!$AS:$AS,"&lt;2014",
'20102013 STH Efficacy'!$BP:$BP,""),
"")</f>
        <v/>
      </c>
      <c r="BA70" s="303">
        <f t="shared" si="24"/>
        <v>0.47175</v>
      </c>
      <c r="BB70" s="134" t="str">
        <f>IFERROR(AVERAGEIFS(
'20102013 STH Efficacy'!$N:$N, 
'20102013 STH Efficacy'!$B:$B, $A70, 
'20102013 STH Efficacy'!$C:$C, "Albendazole",
'20102013 STH Efficacy'!$I:$I,"&lt;2014",
'20102013 STH Efficacy'!$AH:$AH,""),
"")</f>
        <v/>
      </c>
      <c r="BC70" s="135">
        <f t="shared" si="25"/>
        <v>0.8699166667</v>
      </c>
      <c r="BD70" s="134" t="str">
        <f>IFERROR(AVERAGEIFS(
'20102013 STH Efficacy'!$N:$N, 
'20102013 STH Efficacy'!$B:$B, $A70, 
'20102013 STH Efficacy'!$C:$C, "Mebendazole",
'20102013 STH Efficacy'!$I:$I,"&lt;2014",
'20102013 STH Efficacy'!$AH:$AH,""),
"")</f>
        <v/>
      </c>
      <c r="BE70" s="135">
        <f t="shared" si="26"/>
        <v>0.7092416667</v>
      </c>
      <c r="BF70" s="128" t="str">
        <f>IFERROR(AVERAGEIFS(
'20102013 STH Efficacy'!$CD:$CD, 
'20102013 STH Efficacy'!$BS:$BS, $A70, 
'20102013 STH Efficacy'!$BT:$BT, "Albendazole",
'20102013 STH Efficacy'!$BZ:$BZ,"&lt;2014",
'20102013 STH Efficacy'!$CU:$CU,""),
"")</f>
        <v/>
      </c>
      <c r="BG70" s="136">
        <f t="shared" si="27"/>
        <v>0.9066666667</v>
      </c>
      <c r="BH70" s="128" t="str">
        <f>IFERROR(AVERAGEIFS(
'20102013 STH Efficacy'!$CD:$CD, 
'20102013 STH Efficacy'!$BS:$BS, $A70, 
'20102013 STH Efficacy'!$BT:$BT, "Mebendazole",
'20102013 STH Efficacy'!$BZ:$BZ,"&lt;2014",
'20102013 STH Efficacy'!$CU:$CU,""),
"")</f>
        <v/>
      </c>
      <c r="BI70" s="136">
        <f t="shared" si="28"/>
        <v>0.9358666667</v>
      </c>
      <c r="BJ70" s="128" t="str">
        <f>IFERROR(AVERAGEIFS(
'20102013 STH Efficacy'!$CD:$CD, 
'20102013 STH Efficacy'!$BS:$BS, $A70, 
'20102013 STH Efficacy'!$BT:$BT, "Albendazole &amp; Ivermectin",
'20102013 STH Efficacy'!$BZ:$BZ,"&lt;2014",
'20102013 STH Efficacy'!$CU:$CU,""),
"")</f>
        <v/>
      </c>
      <c r="BK70" s="136">
        <f t="shared" si="29"/>
        <v>1</v>
      </c>
      <c r="BL70" s="300" t="str">
        <f>IFERROR(
  AVERAGEIFS(
    'NEW 20102013 Onchocerciasis Eff'!$AO:$AO,
    'NEW 20102013 Onchocerciasis Eff'!$C:$C,$A70,
    'NEW 20102013 Onchocerciasis Eff'!$D:$D,"Ivermectin",
    'NEW 20102013 Onchocerciasis Eff'!$AR:$AR,"&lt;2014",
    'NEW 20102013 Onchocerciasis Eff'!$BG:$BG,"")
,"")</f>
        <v/>
      </c>
      <c r="BM70" s="304">
        <f t="shared" si="30"/>
        <v>0.8390421645</v>
      </c>
      <c r="BN70" s="305">
        <v>1.0</v>
      </c>
      <c r="BO70" s="139">
        <v>1.0</v>
      </c>
      <c r="BP70" s="140">
        <v>1.0</v>
      </c>
      <c r="BQ70" s="141">
        <f t="shared" si="31"/>
        <v>0</v>
      </c>
      <c r="BR70" s="104" t="str">
        <f t="shared" si="32"/>
        <v>1110</v>
      </c>
      <c r="BS70" s="104" t="str">
        <f t="shared" si="33"/>
        <v>MDA1+T2</v>
      </c>
      <c r="BT70" s="142" t="str">
        <f t="shared" si="34"/>
        <v>IVM+ALB</v>
      </c>
      <c r="BU70" s="104" t="str">
        <f t="shared" si="35"/>
        <v>PZQ</v>
      </c>
      <c r="BV70" s="104" t="str">
        <f t="shared" si="36"/>
        <v>lf+onch+schist </v>
      </c>
      <c r="BW70" s="150" t="str">
        <f t="shared" si="37"/>
        <v/>
      </c>
      <c r="BX70" s="312">
        <f t="shared" si="38"/>
        <v>15.00528713</v>
      </c>
      <c r="BY70" s="162">
        <f t="shared" si="39"/>
        <v>927.830497</v>
      </c>
      <c r="BZ70" s="152" t="str">
        <f t="shared" si="40"/>
        <v/>
      </c>
      <c r="CA70" s="152" t="str">
        <f t="shared" si="41"/>
        <v/>
      </c>
      <c r="CB70" s="152" t="str">
        <f t="shared" si="42"/>
        <v/>
      </c>
      <c r="CC70" s="153" t="str">
        <f t="shared" si="43"/>
        <v/>
      </c>
      <c r="CD70" s="153" t="str">
        <f t="shared" si="44"/>
        <v/>
      </c>
      <c r="CE70" s="154" t="str">
        <f t="shared" si="45"/>
        <v/>
      </c>
      <c r="CF70" s="154" t="str">
        <f t="shared" si="46"/>
        <v/>
      </c>
      <c r="CG70" s="154" t="str">
        <f t="shared" si="47"/>
        <v/>
      </c>
      <c r="CH70" s="313">
        <f t="shared" si="48"/>
        <v>0</v>
      </c>
      <c r="CI70" s="299"/>
    </row>
    <row r="71">
      <c r="A71" s="103" t="s">
        <v>160</v>
      </c>
      <c r="B71" s="104" t="s">
        <v>90</v>
      </c>
      <c r="C71" s="105">
        <v>1317997.0</v>
      </c>
      <c r="D71" s="293">
        <v>0.0</v>
      </c>
      <c r="E71" s="294">
        <v>0.0</v>
      </c>
      <c r="F71" s="307">
        <v>0.0</v>
      </c>
      <c r="G71" s="307">
        <v>0.0</v>
      </c>
      <c r="H71" s="108">
        <v>0.0</v>
      </c>
      <c r="I71" s="109">
        <v>0.0</v>
      </c>
      <c r="J71" s="109">
        <v>0.0</v>
      </c>
      <c r="K71" s="109">
        <v>0.0</v>
      </c>
      <c r="L71" s="112">
        <v>0.007981737</v>
      </c>
      <c r="M71" s="112">
        <v>0.004042072</v>
      </c>
      <c r="N71" s="111">
        <v>0.012023809</v>
      </c>
      <c r="O71" s="298">
        <v>0.0</v>
      </c>
      <c r="P71" s="114"/>
      <c r="Q71" s="114"/>
      <c r="R71" s="121" t="str">
        <f t="shared" si="11"/>
        <v/>
      </c>
      <c r="S71" s="116">
        <f t="shared" si="12"/>
        <v>0.526225767</v>
      </c>
      <c r="T71" s="130"/>
      <c r="U71" s="118">
        <f t="shared" si="13"/>
        <v>0.3468166667</v>
      </c>
      <c r="V71" s="148"/>
      <c r="W71" s="120">
        <f t="shared" si="14"/>
        <v>1</v>
      </c>
      <c r="X71" s="148"/>
      <c r="Y71" s="120">
        <f t="shared" si="15"/>
        <v>1</v>
      </c>
      <c r="Z71" s="299"/>
      <c r="AA71" s="299"/>
      <c r="AB71" s="300" t="str">
        <f t="shared" si="16"/>
        <v/>
      </c>
      <c r="AC71" s="301">
        <f t="shared" si="17"/>
        <v>0.6295826791</v>
      </c>
      <c r="AD71" s="122">
        <v>0.0</v>
      </c>
      <c r="AE71" s="123">
        <v>0.0</v>
      </c>
      <c r="AF71" s="123">
        <v>0.0</v>
      </c>
      <c r="AG71" s="124">
        <v>0.0</v>
      </c>
      <c r="AH71" s="124">
        <v>0.0</v>
      </c>
      <c r="AI71" s="125">
        <v>0.0</v>
      </c>
      <c r="AJ71" s="125">
        <v>0.0</v>
      </c>
      <c r="AK71" s="127">
        <v>0.0</v>
      </c>
      <c r="AL71" s="127">
        <v>0.0</v>
      </c>
      <c r="AM71" s="302">
        <v>0.0</v>
      </c>
      <c r="AN71" s="149" t="str">
        <f>IFERROR(
  AVERAGEIFS(
    'New 20102013 LF Efficacy'!$J:$J,
    'New 20102013 LF Efficacy'!$D:$D, $A71,
    'New 20102013 LF Efficacy'!$F:$F,"DEC", 
    'New 20102013 LF Efficacy'!$W:$W,"&lt;2014",
    'New 20102013 LF Efficacy'!$AA:$AA,""),
  ""
)</f>
        <v/>
      </c>
      <c r="AO71" s="115">
        <f t="shared" si="18"/>
        <v>0.3573520833</v>
      </c>
      <c r="AP71" s="121" t="str">
        <f>IFERROR(
AVERAGEIFS(
'New 20102013 LF Efficacy'!$J:$J,
'New 20102013 LF Efficacy'!$D:$D,$A71,
'New 20102013 LF Efficacy'!$F:$F,"Albendazole &amp; DEC",
'New 20102013 LF Efficacy'!$W:$W,"&lt;2014",
'New 20102013 LF Efficacy'!$AA:$AA,""),
"")
</f>
        <v/>
      </c>
      <c r="AQ71" s="115">
        <f t="shared" si="19"/>
        <v>0.5137291667</v>
      </c>
      <c r="AR71" s="121" t="str">
        <f>IFERROR(
AVERAGEIFS(
'New 20102013 LF Efficacy'!$J:$J,
'New 20102013 LF Efficacy'!$D:$D,$A71,
'New 20102013 LF Efficacy'!$F:$F,"Albendazole &amp; Ivermectin", 
'New 20102013 LF Efficacy'!$W:$W,"&lt;2014",
'New 20102013 LF Efficacy'!$AA:$AA,""),"")</f>
        <v/>
      </c>
      <c r="AS71" s="115">
        <f t="shared" si="20"/>
        <v>0.37153125</v>
      </c>
      <c r="AT71" s="130" t="str">
        <f>IFERROR(AVERAGEIFS(
'20102013 Schist Efficacy'!$O:$O, 
'20102013 Schist Efficacy'!$C:$C,$A71, 
'20102013 Schist Efficacy'!$D:$D, "Praziquantel",
'20102013 Schist Efficacy'!$J:$J,"&lt;2014",
'20102013 Schist Efficacy'!$U:$U,""),
"")</f>
        <v/>
      </c>
      <c r="AU71" s="118">
        <f t="shared" si="21"/>
        <v>0.655</v>
      </c>
      <c r="AV71" s="131" t="str">
        <f>IFERROR(AVERAGEIFS(
'20102013 STH Efficacy'!$AX:$AX, 
'20102013 STH Efficacy'!$AL:$AL, $A71, 
'20102013 STH Efficacy'!$AM:$AM, "Albendazole",
'20102013 STH Efficacy'!$AS:$AS,"&lt;2014",
'20102013 STH Efficacy'!$BP:$BP,""),
"")</f>
        <v/>
      </c>
      <c r="AW71" s="132">
        <f t="shared" si="22"/>
        <v>0.3933333333</v>
      </c>
      <c r="AX71" s="131" t="str">
        <f>IFERROR(AVERAGEIFS(
'20102013 STH Efficacy'!$AX:$AX, 
'20102013 STH Efficacy'!$AL:$AL, $A71, 
'20102013 STH Efficacy'!$AM:$AM, "Mebendazole",
'20102013 STH Efficacy'!$AS:$AS,"&lt;2014",
'20102013 STH Efficacy'!$BP:$BP,""),
"")</f>
        <v/>
      </c>
      <c r="AY71" s="132">
        <f t="shared" si="23"/>
        <v>0.5017738095</v>
      </c>
      <c r="AZ71" s="131" t="str">
        <f>IFERROR(AVERAGEIFS(
'20102013 STH Efficacy'!$AX:$AX, 
'20102013 STH Efficacy'!$AL:$AL, $A71, 
'20102013 STH Efficacy'!$AM:$AM, "Albendazole &amp; Ivermectin",
'20102013 STH Efficacy'!$AS:$AS,"&lt;2014",
'20102013 STH Efficacy'!$BP:$BP,""),
"")</f>
        <v/>
      </c>
      <c r="BA71" s="303">
        <f t="shared" si="24"/>
        <v>0.597625</v>
      </c>
      <c r="BB71" s="134" t="str">
        <f>IFERROR(AVERAGEIFS(
'20102013 STH Efficacy'!$N:$N, 
'20102013 STH Efficacy'!$B:$B, $A71, 
'20102013 STH Efficacy'!$C:$C, "Albendazole",
'20102013 STH Efficacy'!$I:$I,"&lt;2014",
'20102013 STH Efficacy'!$AH:$AH,""),
"")</f>
        <v/>
      </c>
      <c r="BC71" s="135">
        <f t="shared" si="25"/>
        <v>0.7613712121</v>
      </c>
      <c r="BD71" s="134" t="str">
        <f>IFERROR(AVERAGEIFS(
'20102013 STH Efficacy'!$N:$N, 
'20102013 STH Efficacy'!$B:$B, $A71, 
'20102013 STH Efficacy'!$C:$C, "Mebendazole",
'20102013 STH Efficacy'!$I:$I,"&lt;2014",
'20102013 STH Efficacy'!$AH:$AH,""),
"")</f>
        <v/>
      </c>
      <c r="BE71" s="135">
        <f t="shared" si="26"/>
        <v>0.4362466667</v>
      </c>
      <c r="BF71" s="128" t="str">
        <f>IFERROR(AVERAGEIFS(
'20102013 STH Efficacy'!$CD:$CD, 
'20102013 STH Efficacy'!$BS:$BS, $A71, 
'20102013 STH Efficacy'!$BT:$BT, "Albendazole",
'20102013 STH Efficacy'!$BZ:$BZ,"&lt;2014",
'20102013 STH Efficacy'!$CU:$CU,""),
"")</f>
        <v/>
      </c>
      <c r="BG71" s="136">
        <f t="shared" si="27"/>
        <v>0.9216027778</v>
      </c>
      <c r="BH71" s="128" t="str">
        <f>IFERROR(AVERAGEIFS(
'20102013 STH Efficacy'!$CD:$CD, 
'20102013 STH Efficacy'!$BS:$BS, $A71, 
'20102013 STH Efficacy'!$BT:$BT, "Mebendazole",
'20102013 STH Efficacy'!$BZ:$BZ,"&lt;2014",
'20102013 STH Efficacy'!$CU:$CU,""),
"")</f>
        <v/>
      </c>
      <c r="BI71" s="136">
        <f t="shared" si="28"/>
        <v>0.9295857143</v>
      </c>
      <c r="BJ71" s="128" t="str">
        <f>IFERROR(AVERAGEIFS(
'20102013 STH Efficacy'!$CD:$CD, 
'20102013 STH Efficacy'!$BS:$BS, $A71, 
'20102013 STH Efficacy'!$BT:$BT, "Albendazole &amp; Ivermectin",
'20102013 STH Efficacy'!$BZ:$BZ,"&lt;2014",
'20102013 STH Efficacy'!$CU:$CU,""),
"")</f>
        <v/>
      </c>
      <c r="BK71" s="136">
        <f t="shared" si="29"/>
        <v>1</v>
      </c>
      <c r="BL71" s="300" t="str">
        <f>IFERROR(
  AVERAGEIFS(
    'NEW 20102013 Onchocerciasis Eff'!$AO:$AO,
    'NEW 20102013 Onchocerciasis Eff'!$C:$C,$A71,
    'NEW 20102013 Onchocerciasis Eff'!$D:$D,"Ivermectin",
    'NEW 20102013 Onchocerciasis Eff'!$AR:$AR,"&lt;2014",
    'NEW 20102013 Onchocerciasis Eff'!$BG:$BG,"")
,"")</f>
        <v/>
      </c>
      <c r="BM71" s="304">
        <f t="shared" si="30"/>
        <v>0.7808368939</v>
      </c>
      <c r="BN71" s="305">
        <v>0.0</v>
      </c>
      <c r="BO71" s="139">
        <v>0.0</v>
      </c>
      <c r="BP71" s="140">
        <v>0.0</v>
      </c>
      <c r="BQ71" s="141">
        <f t="shared" si="31"/>
        <v>0</v>
      </c>
      <c r="BR71" s="104" t="str">
        <f t="shared" si="32"/>
        <v>0000</v>
      </c>
      <c r="BS71" s="104" t="str">
        <f t="shared" si="33"/>
        <v>no action required</v>
      </c>
      <c r="BT71" s="142" t="str">
        <f t="shared" si="34"/>
        <v/>
      </c>
      <c r="BU71" s="104" t="str">
        <f t="shared" si="35"/>
        <v/>
      </c>
      <c r="BV71" s="104" t="str">
        <f t="shared" si="36"/>
        <v>none</v>
      </c>
      <c r="BW71" s="150" t="str">
        <f t="shared" si="37"/>
        <v/>
      </c>
      <c r="BX71" s="150" t="str">
        <f t="shared" si="38"/>
        <v/>
      </c>
      <c r="BY71" s="151" t="str">
        <f t="shared" si="39"/>
        <v/>
      </c>
      <c r="BZ71" s="152" t="str">
        <f t="shared" si="40"/>
        <v/>
      </c>
      <c r="CA71" s="152" t="str">
        <f t="shared" si="41"/>
        <v/>
      </c>
      <c r="CB71" s="152" t="str">
        <f t="shared" si="42"/>
        <v/>
      </c>
      <c r="CC71" s="153" t="str">
        <f t="shared" si="43"/>
        <v/>
      </c>
      <c r="CD71" s="153" t="str">
        <f t="shared" si="44"/>
        <v/>
      </c>
      <c r="CE71" s="154" t="str">
        <f t="shared" si="45"/>
        <v/>
      </c>
      <c r="CF71" s="154" t="str">
        <f t="shared" si="46"/>
        <v/>
      </c>
      <c r="CG71" s="154" t="str">
        <f t="shared" si="47"/>
        <v/>
      </c>
      <c r="CH71" s="308" t="str">
        <f t="shared" si="48"/>
        <v/>
      </c>
      <c r="CI71" s="299"/>
    </row>
    <row r="72">
      <c r="A72" s="103" t="s">
        <v>161</v>
      </c>
      <c r="B72" s="104" t="s">
        <v>92</v>
      </c>
      <c r="C72" s="105">
        <v>9.4887724E7</v>
      </c>
      <c r="D72" s="293">
        <v>1138.88</v>
      </c>
      <c r="E72" s="321">
        <v>213435.8868</v>
      </c>
      <c r="F72" s="322">
        <v>881.2920516</v>
      </c>
      <c r="G72" s="322">
        <v>3977.447422</v>
      </c>
      <c r="H72" s="157">
        <v>4858.739473</v>
      </c>
      <c r="I72" s="110">
        <v>3448.79355</v>
      </c>
      <c r="J72" s="110">
        <v>11300.2275</v>
      </c>
      <c r="K72" s="110">
        <v>14749.02109</v>
      </c>
      <c r="L72" s="111">
        <v>14058.69267</v>
      </c>
      <c r="M72" s="111">
        <v>6460.3896</v>
      </c>
      <c r="N72" s="111">
        <v>20519.08227</v>
      </c>
      <c r="O72" s="298">
        <v>28397.40578</v>
      </c>
      <c r="P72" s="160">
        <v>3.0E7</v>
      </c>
      <c r="Q72" s="160">
        <v>1422298.0</v>
      </c>
      <c r="R72" s="121">
        <f t="shared" si="11"/>
        <v>0.04740993333</v>
      </c>
      <c r="S72" s="116">
        <f t="shared" si="12"/>
        <v>0.04740993333</v>
      </c>
      <c r="T72" s="118">
        <v>0.0452</v>
      </c>
      <c r="U72" s="118">
        <f t="shared" si="13"/>
        <v>0.0452</v>
      </c>
      <c r="V72" s="119">
        <v>0.6145</v>
      </c>
      <c r="W72" s="120">
        <f t="shared" si="14"/>
        <v>0.6145</v>
      </c>
      <c r="X72" s="119">
        <v>0.0178</v>
      </c>
      <c r="Y72" s="120">
        <f t="shared" si="15"/>
        <v>0.0178</v>
      </c>
      <c r="Z72" s="310">
        <v>1.1858617E7</v>
      </c>
      <c r="AA72" s="310">
        <v>7165807.0</v>
      </c>
      <c r="AB72" s="300">
        <f t="shared" si="16"/>
        <v>0.6042700426</v>
      </c>
      <c r="AC72" s="301">
        <f t="shared" si="17"/>
        <v>0.6042700426</v>
      </c>
      <c r="AD72" s="122">
        <v>3.0E-4</v>
      </c>
      <c r="AE72" s="123">
        <v>0.24</v>
      </c>
      <c r="AF72" s="123">
        <v>0.1048</v>
      </c>
      <c r="AG72" s="124">
        <v>0.1331</v>
      </c>
      <c r="AH72" s="124">
        <v>0.207796893</v>
      </c>
      <c r="AI72" s="125">
        <v>0.0703</v>
      </c>
      <c r="AJ72" s="125">
        <v>0.112752283</v>
      </c>
      <c r="AK72" s="127">
        <v>0.1239</v>
      </c>
      <c r="AL72" s="127">
        <v>0.1912</v>
      </c>
      <c r="AM72" s="302">
        <v>0.0042</v>
      </c>
      <c r="AN72" s="149" t="str">
        <f>IFERROR(
  AVERAGEIFS(
    'New 20102013 LF Efficacy'!$J:$J,
    'New 20102013 LF Efficacy'!$D:$D, $A72,
    'New 20102013 LF Efficacy'!$F:$F,"DEC", 
    'New 20102013 LF Efficacy'!$W:$W,"&lt;2014",
    'New 20102013 LF Efficacy'!$AA:$AA,""),
  ""
)</f>
        <v/>
      </c>
      <c r="AO72" s="115">
        <f t="shared" si="18"/>
        <v>0.31225</v>
      </c>
      <c r="AP72" s="121" t="str">
        <f>IFERROR(
AVERAGEIFS(
'New 20102013 LF Efficacy'!$J:$J,
'New 20102013 LF Efficacy'!$D:$D,$A72,
'New 20102013 LF Efficacy'!$F:$F,"Albendazole &amp; DEC",
'New 20102013 LF Efficacy'!$W:$W,"&lt;2014",
'New 20102013 LF Efficacy'!$AA:$AA,""),
"")
</f>
        <v/>
      </c>
      <c r="AQ72" s="115">
        <f t="shared" si="19"/>
        <v>0.4</v>
      </c>
      <c r="AR72" s="121" t="str">
        <f>IFERROR(
AVERAGEIFS(
'New 20102013 LF Efficacy'!$J:$J,
'New 20102013 LF Efficacy'!$D:$D,$A72,
'New 20102013 LF Efficacy'!$F:$F,"Albendazole &amp; Ivermectin", 
'New 20102013 LF Efficacy'!$W:$W,"&lt;2014",
'New 20102013 LF Efficacy'!$AA:$AA,""),"")</f>
        <v/>
      </c>
      <c r="AS72" s="115">
        <f t="shared" si="20"/>
        <v>0.2943125</v>
      </c>
      <c r="AT72" s="130">
        <f>IFERROR(AVERAGEIFS(
'20102013 Schist Efficacy'!$O:$O, 
'20102013 Schist Efficacy'!$C:$C,$A72, 
'20102013 Schist Efficacy'!$D:$D, "Praziquantel",
'20102013 Schist Efficacy'!$J:$J,"&lt;2014",
'20102013 Schist Efficacy'!$U:$U,""),
"")</f>
        <v>0.94</v>
      </c>
      <c r="AU72" s="118">
        <f t="shared" si="21"/>
        <v>0.94</v>
      </c>
      <c r="AV72" s="131">
        <f>IFERROR(AVERAGEIFS(
'20102013 STH Efficacy'!$AX:$AX, 
'20102013 STH Efficacy'!$AL:$AL, $A72, 
'20102013 STH Efficacy'!$AM:$AM, "Albendazole",
'20102013 STH Efficacy'!$AS:$AS,"&lt;2014",
'20102013 STH Efficacy'!$BP:$BP,""),
"")</f>
        <v>0.171</v>
      </c>
      <c r="AW72" s="132">
        <f t="shared" si="22"/>
        <v>0.171</v>
      </c>
      <c r="AX72" s="131">
        <f>IFERROR(AVERAGEIFS(
'20102013 STH Efficacy'!$AX:$AX, 
'20102013 STH Efficacy'!$AL:$AL, $A72, 
'20102013 STH Efficacy'!$AM:$AM, "Mebendazole",
'20102013 STH Efficacy'!$AS:$AS,"&lt;2014",
'20102013 STH Efficacy'!$BP:$BP,""),
"")</f>
        <v>0.535</v>
      </c>
      <c r="AY72" s="132">
        <f t="shared" si="23"/>
        <v>0.535</v>
      </c>
      <c r="AZ72" s="131" t="str">
        <f>IFERROR(AVERAGEIFS(
'20102013 STH Efficacy'!$AX:$AX, 
'20102013 STH Efficacy'!$AL:$AL, $A72, 
'20102013 STH Efficacy'!$AM:$AM, "Albendazole &amp; Ivermectin",
'20102013 STH Efficacy'!$AS:$AS,"&lt;2014",
'20102013 STH Efficacy'!$BP:$BP,""),
"")</f>
        <v/>
      </c>
      <c r="BA72" s="303">
        <f t="shared" si="24"/>
        <v>0.47175</v>
      </c>
      <c r="BB72" s="134" t="str">
        <f>IFERROR(AVERAGEIFS(
'20102013 STH Efficacy'!$N:$N, 
'20102013 STH Efficacy'!$B:$B, $A72, 
'20102013 STH Efficacy'!$C:$C, "Albendazole",
'20102013 STH Efficacy'!$I:$I,"&lt;2014",
'20102013 STH Efficacy'!$AH:$AH,""),
"")</f>
        <v/>
      </c>
      <c r="BC72" s="135">
        <f t="shared" si="25"/>
        <v>0.8699166667</v>
      </c>
      <c r="BD72" s="134" t="str">
        <f>IFERROR(AVERAGEIFS(
'20102013 STH Efficacy'!$N:$N, 
'20102013 STH Efficacy'!$B:$B, $A72, 
'20102013 STH Efficacy'!$C:$C, "Mebendazole",
'20102013 STH Efficacy'!$I:$I,"&lt;2014",
'20102013 STH Efficacy'!$AH:$AH,""),
"")</f>
        <v/>
      </c>
      <c r="BE72" s="135">
        <f t="shared" si="26"/>
        <v>0.7092416667</v>
      </c>
      <c r="BF72" s="128">
        <f>IFERROR(AVERAGEIFS(
'20102013 STH Efficacy'!$CD:$CD, 
'20102013 STH Efficacy'!$BS:$BS, $A72, 
'20102013 STH Efficacy'!$BT:$BT, "Albendazole",
'20102013 STH Efficacy'!$BZ:$BZ,"&lt;2014",
'20102013 STH Efficacy'!$CU:$CU,""),
"")</f>
        <v>0.882</v>
      </c>
      <c r="BG72" s="136">
        <f t="shared" si="27"/>
        <v>0.882</v>
      </c>
      <c r="BH72" s="128">
        <f>IFERROR(AVERAGEIFS(
'20102013 STH Efficacy'!$CD:$CD, 
'20102013 STH Efficacy'!$BS:$BS, $A72, 
'20102013 STH Efficacy'!$BT:$BT, "Mebendazole",
'20102013 STH Efficacy'!$BZ:$BZ,"&lt;2014",
'20102013 STH Efficacy'!$CU:$CU,""),
"")</f>
        <v>0.9526</v>
      </c>
      <c r="BI72" s="136">
        <f t="shared" si="28"/>
        <v>0.9526</v>
      </c>
      <c r="BJ72" s="128" t="str">
        <f>IFERROR(AVERAGEIFS(
'20102013 STH Efficacy'!$CD:$CD, 
'20102013 STH Efficacy'!$BS:$BS, $A72, 
'20102013 STH Efficacy'!$BT:$BT, "Albendazole &amp; Ivermectin",
'20102013 STH Efficacy'!$BZ:$BZ,"&lt;2014",
'20102013 STH Efficacy'!$CU:$CU,""),
"")</f>
        <v/>
      </c>
      <c r="BK72" s="136">
        <f t="shared" si="29"/>
        <v>1</v>
      </c>
      <c r="BL72" s="300">
        <f>IFERROR(
  AVERAGEIFS(
    'NEW 20102013 Onchocerciasis Eff'!$AO:$AO,
    'NEW 20102013 Onchocerciasis Eff'!$C:$C,$A72,
    'NEW 20102013 Onchocerciasis Eff'!$D:$D,"Ivermectin",
    'NEW 20102013 Onchocerciasis Eff'!$AR:$AR,"&lt;2014",
    'NEW 20102013 Onchocerciasis Eff'!$BG:$BG,"")
,"")</f>
        <v>0.81</v>
      </c>
      <c r="BM72" s="304">
        <f t="shared" si="30"/>
        <v>0.81</v>
      </c>
      <c r="BN72" s="305">
        <v>1.0</v>
      </c>
      <c r="BO72" s="139">
        <v>1.0</v>
      </c>
      <c r="BP72" s="140">
        <v>1.0</v>
      </c>
      <c r="BQ72" s="141">
        <f t="shared" si="31"/>
        <v>0</v>
      </c>
      <c r="BR72" s="104" t="str">
        <f t="shared" si="32"/>
        <v>1110</v>
      </c>
      <c r="BS72" s="104" t="str">
        <f t="shared" si="33"/>
        <v>MDA1+T2</v>
      </c>
      <c r="BT72" s="142" t="str">
        <f t="shared" si="34"/>
        <v>IVM+ALB</v>
      </c>
      <c r="BU72" s="104" t="str">
        <f t="shared" si="35"/>
        <v>PZQ</v>
      </c>
      <c r="BV72" s="104" t="str">
        <f t="shared" si="36"/>
        <v>lf+onch+schist </v>
      </c>
      <c r="BW72" s="150" t="str">
        <f t="shared" si="37"/>
        <v/>
      </c>
      <c r="BX72" s="312">
        <f t="shared" si="38"/>
        <v>16.11604794</v>
      </c>
      <c r="BY72" s="162">
        <f t="shared" si="39"/>
        <v>9470.86194</v>
      </c>
      <c r="BZ72" s="152" t="str">
        <f t="shared" si="40"/>
        <v/>
      </c>
      <c r="CA72" s="152" t="str">
        <f t="shared" si="41"/>
        <v/>
      </c>
      <c r="CB72" s="152" t="str">
        <f t="shared" si="42"/>
        <v/>
      </c>
      <c r="CC72" s="153" t="str">
        <f t="shared" si="43"/>
        <v/>
      </c>
      <c r="CD72" s="153" t="str">
        <f t="shared" si="44"/>
        <v/>
      </c>
      <c r="CE72" s="154" t="str">
        <f t="shared" si="45"/>
        <v/>
      </c>
      <c r="CF72" s="154" t="str">
        <f t="shared" si="46"/>
        <v/>
      </c>
      <c r="CG72" s="154" t="str">
        <f t="shared" si="47"/>
        <v/>
      </c>
      <c r="CH72" s="313">
        <f t="shared" si="48"/>
        <v>907.4916653</v>
      </c>
      <c r="CI72" s="299"/>
    </row>
    <row r="73">
      <c r="A73" s="103" t="s">
        <v>162</v>
      </c>
      <c r="B73" s="104" t="s">
        <v>94</v>
      </c>
      <c r="C73" s="105">
        <v>879715.0</v>
      </c>
      <c r="D73" s="293">
        <v>281.83</v>
      </c>
      <c r="E73" s="294">
        <v>0.0</v>
      </c>
      <c r="F73" s="295">
        <v>1.64272028</v>
      </c>
      <c r="G73" s="322">
        <v>18.89233547</v>
      </c>
      <c r="H73" s="108">
        <v>20.53505575</v>
      </c>
      <c r="I73" s="109">
        <v>41.9278877</v>
      </c>
      <c r="J73" s="110">
        <v>204.937512</v>
      </c>
      <c r="K73" s="109">
        <v>246.8653997</v>
      </c>
      <c r="L73" s="112">
        <v>36.28418908</v>
      </c>
      <c r="M73" s="112">
        <v>82.04551906</v>
      </c>
      <c r="N73" s="111">
        <v>118.3297081</v>
      </c>
      <c r="O73" s="298">
        <v>0.0</v>
      </c>
      <c r="P73" s="160">
        <v>55548.0</v>
      </c>
      <c r="Q73" s="160">
        <v>42550.0</v>
      </c>
      <c r="R73" s="121">
        <f t="shared" si="11"/>
        <v>0.7660041766</v>
      </c>
      <c r="S73" s="116">
        <f t="shared" si="12"/>
        <v>0.7660041766</v>
      </c>
      <c r="T73" s="130"/>
      <c r="U73" s="118">
        <f t="shared" si="13"/>
        <v>0.6259666667</v>
      </c>
      <c r="V73" s="119">
        <v>0.0638</v>
      </c>
      <c r="W73" s="120">
        <f t="shared" si="14"/>
        <v>0.0638</v>
      </c>
      <c r="X73" s="119">
        <v>0.049</v>
      </c>
      <c r="Y73" s="120">
        <f t="shared" si="15"/>
        <v>0.049</v>
      </c>
      <c r="Z73" s="299"/>
      <c r="AA73" s="299"/>
      <c r="AB73" s="300" t="str">
        <f t="shared" si="16"/>
        <v/>
      </c>
      <c r="AC73" s="301">
        <f t="shared" si="17"/>
        <v>0.6295826791</v>
      </c>
      <c r="AD73" s="122">
        <v>0.0051</v>
      </c>
      <c r="AE73" s="123">
        <v>0.0</v>
      </c>
      <c r="AF73" s="123">
        <v>0.0</v>
      </c>
      <c r="AG73" s="124">
        <v>0.0301</v>
      </c>
      <c r="AH73" s="124">
        <v>0.053987157</v>
      </c>
      <c r="AI73" s="125">
        <v>0.1831</v>
      </c>
      <c r="AJ73" s="125">
        <v>0.273977602</v>
      </c>
      <c r="AK73" s="127">
        <v>0.2119</v>
      </c>
      <c r="AL73" s="127">
        <v>0.3146</v>
      </c>
      <c r="AM73" s="302">
        <v>0.0</v>
      </c>
      <c r="AN73" s="149" t="str">
        <f>IFERROR(
  AVERAGEIFS(
    'New 20102013 LF Efficacy'!$J:$J,
    'New 20102013 LF Efficacy'!$D:$D, $A73,
    'New 20102013 LF Efficacy'!$F:$F,"DEC", 
    'New 20102013 LF Efficacy'!$W:$W,"&lt;2014",
    'New 20102013 LF Efficacy'!$AA:$AA,""),
  ""
)</f>
        <v/>
      </c>
      <c r="AO73" s="115">
        <f t="shared" si="18"/>
        <v>0.38</v>
      </c>
      <c r="AP73" s="121" t="str">
        <f>IFERROR(
AVERAGEIFS(
'New 20102013 LF Efficacy'!$J:$J,
'New 20102013 LF Efficacy'!$D:$D,$A73,
'New 20102013 LF Efficacy'!$F:$F,"Albendazole &amp; DEC",
'New 20102013 LF Efficacy'!$W:$W,"&lt;2014",
'New 20102013 LF Efficacy'!$AA:$AA,""),
"")
</f>
        <v/>
      </c>
      <c r="AQ73" s="115">
        <f t="shared" si="19"/>
        <v>0.657</v>
      </c>
      <c r="AR73" s="121" t="str">
        <f>IFERROR(
AVERAGEIFS(
'New 20102013 LF Efficacy'!$J:$J,
'New 20102013 LF Efficacy'!$D:$D,$A73,
'New 20102013 LF Efficacy'!$F:$F,"Albendazole &amp; Ivermectin", 
'New 20102013 LF Efficacy'!$W:$W,"&lt;2014",
'New 20102013 LF Efficacy'!$AA:$AA,""),"")</f>
        <v/>
      </c>
      <c r="AS73" s="115">
        <f t="shared" si="20"/>
        <v>0.37153125</v>
      </c>
      <c r="AT73" s="130" t="str">
        <f>IFERROR(AVERAGEIFS(
'20102013 Schist Efficacy'!$O:$O, 
'20102013 Schist Efficacy'!$C:$C,$A73, 
'20102013 Schist Efficacy'!$D:$D, "Praziquantel",
'20102013 Schist Efficacy'!$J:$J,"&lt;2014",
'20102013 Schist Efficacy'!$U:$U,""),
"")</f>
        <v/>
      </c>
      <c r="AU73" s="118">
        <f t="shared" si="21"/>
        <v>0.9475</v>
      </c>
      <c r="AV73" s="131" t="str">
        <f>IFERROR(AVERAGEIFS(
'20102013 STH Efficacy'!$AX:$AX, 
'20102013 STH Efficacy'!$AL:$AL, $A73, 
'20102013 STH Efficacy'!$AM:$AM, "Albendazole",
'20102013 STH Efficacy'!$AS:$AS,"&lt;2014",
'20102013 STH Efficacy'!$BP:$BP,""),
"")</f>
        <v/>
      </c>
      <c r="AW73" s="132">
        <f t="shared" si="22"/>
        <v>0.3571666667</v>
      </c>
      <c r="AX73" s="131" t="str">
        <f>IFERROR(AVERAGEIFS(
'20102013 STH Efficacy'!$AX:$AX, 
'20102013 STH Efficacy'!$AL:$AL, $A73, 
'20102013 STH Efficacy'!$AM:$AM, "Mebendazole",
'20102013 STH Efficacy'!$AS:$AS,"&lt;2014",
'20102013 STH Efficacy'!$BP:$BP,""),
"")</f>
        <v/>
      </c>
      <c r="AY73" s="132">
        <f t="shared" si="23"/>
        <v>0.4155</v>
      </c>
      <c r="AZ73" s="131" t="str">
        <f>IFERROR(AVERAGEIFS(
'20102013 STH Efficacy'!$AX:$AX, 
'20102013 STH Efficacy'!$AL:$AL, $A73, 
'20102013 STH Efficacy'!$AM:$AM, "Albendazole &amp; Ivermectin",
'20102013 STH Efficacy'!$AS:$AS,"&lt;2014",
'20102013 STH Efficacy'!$BP:$BP,""),
"")</f>
        <v/>
      </c>
      <c r="BA73" s="303">
        <f t="shared" si="24"/>
        <v>0.651</v>
      </c>
      <c r="BB73" s="134" t="str">
        <f>IFERROR(AVERAGEIFS(
'20102013 STH Efficacy'!$N:$N, 
'20102013 STH Efficacy'!$B:$B, $A73, 
'20102013 STH Efficacy'!$C:$C, "Albendazole",
'20102013 STH Efficacy'!$I:$I,"&lt;2014",
'20102013 STH Efficacy'!$AH:$AH,""),
"")</f>
        <v/>
      </c>
      <c r="BC73" s="135">
        <f t="shared" si="25"/>
        <v>0.5769166667</v>
      </c>
      <c r="BD73" s="134" t="str">
        <f>IFERROR(AVERAGEIFS(
'20102013 STH Efficacy'!$N:$N, 
'20102013 STH Efficacy'!$B:$B, $A73, 
'20102013 STH Efficacy'!$C:$C, "Mebendazole",
'20102013 STH Efficacy'!$I:$I,"&lt;2014",
'20102013 STH Efficacy'!$AH:$AH,""),
"")</f>
        <v/>
      </c>
      <c r="BE73" s="135">
        <f t="shared" si="26"/>
        <v>0.3145</v>
      </c>
      <c r="BF73" s="128" t="str">
        <f>IFERROR(AVERAGEIFS(
'20102013 STH Efficacy'!$CD:$CD, 
'20102013 STH Efficacy'!$BS:$BS, $A73, 
'20102013 STH Efficacy'!$BT:$BT, "Albendazole",
'20102013 STH Efficacy'!$BZ:$BZ,"&lt;2014",
'20102013 STH Efficacy'!$CU:$CU,""),
"")</f>
        <v/>
      </c>
      <c r="BG73" s="136">
        <f t="shared" si="27"/>
        <v>0.96925</v>
      </c>
      <c r="BH73" s="128" t="str">
        <f>IFERROR(AVERAGEIFS(
'20102013 STH Efficacy'!$CD:$CD, 
'20102013 STH Efficacy'!$BS:$BS, $A73, 
'20102013 STH Efficacy'!$BT:$BT, "Mebendazole",
'20102013 STH Efficacy'!$BZ:$BZ,"&lt;2014",
'20102013 STH Efficacy'!$CU:$CU,""),
"")</f>
        <v/>
      </c>
      <c r="BI73" s="136">
        <f t="shared" si="28"/>
        <v>0.9305</v>
      </c>
      <c r="BJ73" s="128" t="str">
        <f>IFERROR(AVERAGEIFS(
'20102013 STH Efficacy'!$CD:$CD, 
'20102013 STH Efficacy'!$BS:$BS, $A73, 
'20102013 STH Efficacy'!$BT:$BT, "Albendazole &amp; Ivermectin",
'20102013 STH Efficacy'!$BZ:$BZ,"&lt;2014",
'20102013 STH Efficacy'!$CU:$CU,""),
"")</f>
        <v/>
      </c>
      <c r="BK73" s="136">
        <f t="shared" si="29"/>
        <v>1</v>
      </c>
      <c r="BL73" s="300" t="str">
        <f>IFERROR(
  AVERAGEIFS(
    'NEW 20102013 Onchocerciasis Eff'!$AO:$AO,
    'NEW 20102013 Onchocerciasis Eff'!$C:$C,$A73,
    'NEW 20102013 Onchocerciasis Eff'!$D:$D,"Ivermectin",
    'NEW 20102013 Onchocerciasis Eff'!$AR:$AR,"&lt;2014",
    'NEW 20102013 Onchocerciasis Eff'!$BG:$BG,"")
,"")</f>
        <v/>
      </c>
      <c r="BM73" s="304">
        <f t="shared" si="30"/>
        <v>0.7808368939</v>
      </c>
      <c r="BN73" s="305">
        <v>1.0</v>
      </c>
      <c r="BO73" s="139">
        <v>0.0</v>
      </c>
      <c r="BP73" s="140">
        <v>0.0</v>
      </c>
      <c r="BQ73" s="141">
        <f t="shared" si="31"/>
        <v>1</v>
      </c>
      <c r="BR73" s="104" t="str">
        <f t="shared" si="32"/>
        <v>1001</v>
      </c>
      <c r="BS73" s="104" t="str">
        <f t="shared" si="33"/>
        <v>MDA1/2</v>
      </c>
      <c r="BT73" s="142" t="str">
        <f t="shared" si="34"/>
        <v>DEC+ALB</v>
      </c>
      <c r="BU73" s="104" t="str">
        <f t="shared" si="35"/>
        <v/>
      </c>
      <c r="BV73" s="104" t="str">
        <f t="shared" si="36"/>
        <v>lf+sth</v>
      </c>
      <c r="BW73" s="312">
        <f t="shared" si="37"/>
        <v>285.5346004</v>
      </c>
      <c r="BX73" s="150" t="str">
        <f t="shared" si="38"/>
        <v/>
      </c>
      <c r="BY73" s="151" t="str">
        <f t="shared" si="39"/>
        <v/>
      </c>
      <c r="BZ73" s="152">
        <f t="shared" si="40"/>
        <v>0.3748334729</v>
      </c>
      <c r="CA73" s="152" t="str">
        <f t="shared" si="41"/>
        <v/>
      </c>
      <c r="CB73" s="152" t="str">
        <f t="shared" si="42"/>
        <v/>
      </c>
      <c r="CC73" s="323">
        <f t="shared" si="43"/>
        <v>7.564123041</v>
      </c>
      <c r="CD73" s="153" t="str">
        <f t="shared" si="44"/>
        <v/>
      </c>
      <c r="CE73" s="154">
        <f t="shared" si="45"/>
        <v>6.482540242</v>
      </c>
      <c r="CF73" s="154" t="str">
        <f t="shared" si="46"/>
        <v/>
      </c>
      <c r="CG73" s="154" t="str">
        <f t="shared" si="47"/>
        <v/>
      </c>
      <c r="CH73" s="308" t="str">
        <f t="shared" si="48"/>
        <v/>
      </c>
      <c r="CI73" s="299"/>
    </row>
    <row r="74">
      <c r="A74" s="103" t="s">
        <v>163</v>
      </c>
      <c r="B74" s="104" t="s">
        <v>90</v>
      </c>
      <c r="C74" s="105">
        <v>5438972.0</v>
      </c>
      <c r="D74" s="293">
        <v>0.0</v>
      </c>
      <c r="E74" s="294">
        <v>0.0</v>
      </c>
      <c r="F74" s="307">
        <v>0.0</v>
      </c>
      <c r="G74" s="307">
        <v>0.0</v>
      </c>
      <c r="H74" s="108">
        <v>0.0</v>
      </c>
      <c r="I74" s="109">
        <v>0.0</v>
      </c>
      <c r="J74" s="109">
        <v>0.0</v>
      </c>
      <c r="K74" s="109">
        <v>0.0</v>
      </c>
      <c r="L74" s="112">
        <v>0.0</v>
      </c>
      <c r="M74" s="112">
        <v>0.0</v>
      </c>
      <c r="N74" s="111">
        <v>0.0</v>
      </c>
      <c r="O74" s="298">
        <v>0.0</v>
      </c>
      <c r="P74" s="114"/>
      <c r="Q74" s="114"/>
      <c r="R74" s="121" t="str">
        <f t="shared" si="11"/>
        <v/>
      </c>
      <c r="S74" s="116">
        <f t="shared" si="12"/>
        <v>0.526225767</v>
      </c>
      <c r="T74" s="130"/>
      <c r="U74" s="118">
        <f t="shared" si="13"/>
        <v>0.3468166667</v>
      </c>
      <c r="V74" s="148"/>
      <c r="W74" s="120">
        <f t="shared" si="14"/>
        <v>1</v>
      </c>
      <c r="X74" s="148"/>
      <c r="Y74" s="120">
        <f t="shared" si="15"/>
        <v>1</v>
      </c>
      <c r="Z74" s="299"/>
      <c r="AA74" s="299"/>
      <c r="AB74" s="300" t="str">
        <f t="shared" si="16"/>
        <v/>
      </c>
      <c r="AC74" s="301">
        <f t="shared" si="17"/>
        <v>0.6295826791</v>
      </c>
      <c r="AD74" s="122">
        <v>0.0</v>
      </c>
      <c r="AE74" s="123">
        <v>0.0</v>
      </c>
      <c r="AF74" s="123">
        <v>0.0</v>
      </c>
      <c r="AG74" s="124">
        <v>0.0</v>
      </c>
      <c r="AH74" s="124">
        <v>0.0</v>
      </c>
      <c r="AI74" s="125">
        <v>0.0</v>
      </c>
      <c r="AJ74" s="125">
        <v>0.0</v>
      </c>
      <c r="AK74" s="127">
        <v>0.0</v>
      </c>
      <c r="AL74" s="127">
        <v>0.0</v>
      </c>
      <c r="AM74" s="302">
        <v>0.0</v>
      </c>
      <c r="AN74" s="149" t="str">
        <f>IFERROR(
  AVERAGEIFS(
    'New 20102013 LF Efficacy'!$J:$J,
    'New 20102013 LF Efficacy'!$D:$D, $A74,
    'New 20102013 LF Efficacy'!$F:$F,"DEC", 
    'New 20102013 LF Efficacy'!$W:$W,"&lt;2014",
    'New 20102013 LF Efficacy'!$AA:$AA,""),
  ""
)</f>
        <v/>
      </c>
      <c r="AO74" s="115">
        <f t="shared" si="18"/>
        <v>0.3573520833</v>
      </c>
      <c r="AP74" s="121" t="str">
        <f>IFERROR(
AVERAGEIFS(
'New 20102013 LF Efficacy'!$J:$J,
'New 20102013 LF Efficacy'!$D:$D,$A74,
'New 20102013 LF Efficacy'!$F:$F,"Albendazole &amp; DEC",
'New 20102013 LF Efficacy'!$W:$W,"&lt;2014",
'New 20102013 LF Efficacy'!$AA:$AA,""),
"")
</f>
        <v/>
      </c>
      <c r="AQ74" s="115">
        <f t="shared" si="19"/>
        <v>0.5137291667</v>
      </c>
      <c r="AR74" s="121" t="str">
        <f>IFERROR(
AVERAGEIFS(
'New 20102013 LF Efficacy'!$J:$J,
'New 20102013 LF Efficacy'!$D:$D,$A74,
'New 20102013 LF Efficacy'!$F:$F,"Albendazole &amp; Ivermectin", 
'New 20102013 LF Efficacy'!$W:$W,"&lt;2014",
'New 20102013 LF Efficacy'!$AA:$AA,""),"")</f>
        <v/>
      </c>
      <c r="AS74" s="115">
        <f t="shared" si="20"/>
        <v>0.37153125</v>
      </c>
      <c r="AT74" s="130" t="str">
        <f>IFERROR(AVERAGEIFS(
'20102013 Schist Efficacy'!$O:$O, 
'20102013 Schist Efficacy'!$C:$C,$A74, 
'20102013 Schist Efficacy'!$D:$D, "Praziquantel",
'20102013 Schist Efficacy'!$J:$J,"&lt;2014",
'20102013 Schist Efficacy'!$U:$U,""),
"")</f>
        <v/>
      </c>
      <c r="AU74" s="118">
        <f t="shared" si="21"/>
        <v>0.655</v>
      </c>
      <c r="AV74" s="131" t="str">
        <f>IFERROR(AVERAGEIFS(
'20102013 STH Efficacy'!$AX:$AX, 
'20102013 STH Efficacy'!$AL:$AL, $A74, 
'20102013 STH Efficacy'!$AM:$AM, "Albendazole",
'20102013 STH Efficacy'!$AS:$AS,"&lt;2014",
'20102013 STH Efficacy'!$BP:$BP,""),
"")</f>
        <v/>
      </c>
      <c r="AW74" s="132">
        <f t="shared" si="22"/>
        <v>0.3933333333</v>
      </c>
      <c r="AX74" s="131" t="str">
        <f>IFERROR(AVERAGEIFS(
'20102013 STH Efficacy'!$AX:$AX, 
'20102013 STH Efficacy'!$AL:$AL, $A74, 
'20102013 STH Efficacy'!$AM:$AM, "Mebendazole",
'20102013 STH Efficacy'!$AS:$AS,"&lt;2014",
'20102013 STH Efficacy'!$BP:$BP,""),
"")</f>
        <v/>
      </c>
      <c r="AY74" s="132">
        <f t="shared" si="23"/>
        <v>0.5017738095</v>
      </c>
      <c r="AZ74" s="131" t="str">
        <f>IFERROR(AVERAGEIFS(
'20102013 STH Efficacy'!$AX:$AX, 
'20102013 STH Efficacy'!$AL:$AL, $A74, 
'20102013 STH Efficacy'!$AM:$AM, "Albendazole &amp; Ivermectin",
'20102013 STH Efficacy'!$AS:$AS,"&lt;2014",
'20102013 STH Efficacy'!$BP:$BP,""),
"")</f>
        <v/>
      </c>
      <c r="BA74" s="303">
        <f t="shared" si="24"/>
        <v>0.597625</v>
      </c>
      <c r="BB74" s="134" t="str">
        <f>IFERROR(AVERAGEIFS(
'20102013 STH Efficacy'!$N:$N, 
'20102013 STH Efficacy'!$B:$B, $A74, 
'20102013 STH Efficacy'!$C:$C, "Albendazole",
'20102013 STH Efficacy'!$I:$I,"&lt;2014",
'20102013 STH Efficacy'!$AH:$AH,""),
"")</f>
        <v/>
      </c>
      <c r="BC74" s="135">
        <f t="shared" si="25"/>
        <v>0.7613712121</v>
      </c>
      <c r="BD74" s="134" t="str">
        <f>IFERROR(AVERAGEIFS(
'20102013 STH Efficacy'!$N:$N, 
'20102013 STH Efficacy'!$B:$B, $A74, 
'20102013 STH Efficacy'!$C:$C, "Mebendazole",
'20102013 STH Efficacy'!$I:$I,"&lt;2014",
'20102013 STH Efficacy'!$AH:$AH,""),
"")</f>
        <v/>
      </c>
      <c r="BE74" s="135">
        <f t="shared" si="26"/>
        <v>0.4362466667</v>
      </c>
      <c r="BF74" s="128" t="str">
        <f>IFERROR(AVERAGEIFS(
'20102013 STH Efficacy'!$CD:$CD, 
'20102013 STH Efficacy'!$BS:$BS, $A74, 
'20102013 STH Efficacy'!$BT:$BT, "Albendazole",
'20102013 STH Efficacy'!$BZ:$BZ,"&lt;2014",
'20102013 STH Efficacy'!$CU:$CU,""),
"")</f>
        <v/>
      </c>
      <c r="BG74" s="136">
        <f t="shared" si="27"/>
        <v>0.9216027778</v>
      </c>
      <c r="BH74" s="128" t="str">
        <f>IFERROR(AVERAGEIFS(
'20102013 STH Efficacy'!$CD:$CD, 
'20102013 STH Efficacy'!$BS:$BS, $A74, 
'20102013 STH Efficacy'!$BT:$BT, "Mebendazole",
'20102013 STH Efficacy'!$BZ:$BZ,"&lt;2014",
'20102013 STH Efficacy'!$CU:$CU,""),
"")</f>
        <v/>
      </c>
      <c r="BI74" s="136">
        <f t="shared" si="28"/>
        <v>0.9295857143</v>
      </c>
      <c r="BJ74" s="128" t="str">
        <f>IFERROR(AVERAGEIFS(
'20102013 STH Efficacy'!$CD:$CD, 
'20102013 STH Efficacy'!$BS:$BS, $A74, 
'20102013 STH Efficacy'!$BT:$BT, "Albendazole &amp; Ivermectin",
'20102013 STH Efficacy'!$BZ:$BZ,"&lt;2014",
'20102013 STH Efficacy'!$CU:$CU,""),
"")</f>
        <v/>
      </c>
      <c r="BK74" s="136">
        <f t="shared" si="29"/>
        <v>1</v>
      </c>
      <c r="BL74" s="300" t="str">
        <f>IFERROR(
  AVERAGEIFS(
    'NEW 20102013 Onchocerciasis Eff'!$AO:$AO,
    'NEW 20102013 Onchocerciasis Eff'!$C:$C,$A74,
    'NEW 20102013 Onchocerciasis Eff'!$D:$D,"Ivermectin",
    'NEW 20102013 Onchocerciasis Eff'!$AR:$AR,"&lt;2014",
    'NEW 20102013 Onchocerciasis Eff'!$BG:$BG,"")
,"")</f>
        <v/>
      </c>
      <c r="BM74" s="304">
        <f t="shared" si="30"/>
        <v>0.7808368939</v>
      </c>
      <c r="BN74" s="305">
        <v>0.0</v>
      </c>
      <c r="BO74" s="139">
        <v>0.0</v>
      </c>
      <c r="BP74" s="140">
        <v>0.0</v>
      </c>
      <c r="BQ74" s="141">
        <f t="shared" si="31"/>
        <v>0</v>
      </c>
      <c r="BR74" s="104" t="str">
        <f t="shared" si="32"/>
        <v>0000</v>
      </c>
      <c r="BS74" s="104" t="str">
        <f t="shared" si="33"/>
        <v>no action required</v>
      </c>
      <c r="BT74" s="142" t="str">
        <f t="shared" si="34"/>
        <v/>
      </c>
      <c r="BU74" s="104" t="str">
        <f t="shared" si="35"/>
        <v/>
      </c>
      <c r="BV74" s="104" t="str">
        <f t="shared" si="36"/>
        <v>none</v>
      </c>
      <c r="BW74" s="150" t="str">
        <f t="shared" si="37"/>
        <v/>
      </c>
      <c r="BX74" s="150" t="str">
        <f t="shared" si="38"/>
        <v/>
      </c>
      <c r="BY74" s="151" t="str">
        <f t="shared" si="39"/>
        <v/>
      </c>
      <c r="BZ74" s="152" t="str">
        <f t="shared" si="40"/>
        <v/>
      </c>
      <c r="CA74" s="152" t="str">
        <f t="shared" si="41"/>
        <v/>
      </c>
      <c r="CB74" s="152" t="str">
        <f t="shared" si="42"/>
        <v/>
      </c>
      <c r="CC74" s="153" t="str">
        <f t="shared" si="43"/>
        <v/>
      </c>
      <c r="CD74" s="153" t="str">
        <f t="shared" si="44"/>
        <v/>
      </c>
      <c r="CE74" s="154" t="str">
        <f t="shared" si="45"/>
        <v/>
      </c>
      <c r="CF74" s="154" t="str">
        <f t="shared" si="46"/>
        <v/>
      </c>
      <c r="CG74" s="154" t="str">
        <f t="shared" si="47"/>
        <v/>
      </c>
      <c r="CH74" s="308" t="str">
        <f t="shared" si="48"/>
        <v/>
      </c>
      <c r="CI74" s="299"/>
    </row>
    <row r="75">
      <c r="A75" s="103" t="s">
        <v>164</v>
      </c>
      <c r="B75" s="104" t="s">
        <v>90</v>
      </c>
      <c r="C75" s="105">
        <v>6.599857E7</v>
      </c>
      <c r="D75" s="293">
        <v>0.0</v>
      </c>
      <c r="E75" s="294">
        <v>0.0</v>
      </c>
      <c r="F75" s="307">
        <v>0.0</v>
      </c>
      <c r="G75" s="307">
        <v>0.0</v>
      </c>
      <c r="H75" s="108">
        <v>0.0</v>
      </c>
      <c r="I75" s="109">
        <v>0.0</v>
      </c>
      <c r="J75" s="109">
        <v>0.0</v>
      </c>
      <c r="K75" s="109">
        <v>0.0</v>
      </c>
      <c r="L75" s="112">
        <v>0.0</v>
      </c>
      <c r="M75" s="112">
        <v>0.0</v>
      </c>
      <c r="N75" s="111">
        <v>0.0</v>
      </c>
      <c r="O75" s="298">
        <v>0.0</v>
      </c>
      <c r="P75" s="114"/>
      <c r="Q75" s="114"/>
      <c r="R75" s="121" t="str">
        <f t="shared" si="11"/>
        <v/>
      </c>
      <c r="S75" s="116">
        <f t="shared" si="12"/>
        <v>0.526225767</v>
      </c>
      <c r="T75" s="130"/>
      <c r="U75" s="118">
        <f t="shared" si="13"/>
        <v>0.3468166667</v>
      </c>
      <c r="V75" s="148"/>
      <c r="W75" s="120">
        <f t="shared" si="14"/>
        <v>1</v>
      </c>
      <c r="X75" s="148"/>
      <c r="Y75" s="120">
        <f t="shared" si="15"/>
        <v>1</v>
      </c>
      <c r="Z75" s="299"/>
      <c r="AA75" s="299"/>
      <c r="AB75" s="300" t="str">
        <f t="shared" si="16"/>
        <v/>
      </c>
      <c r="AC75" s="301">
        <f t="shared" si="17"/>
        <v>0.6295826791</v>
      </c>
      <c r="AD75" s="122">
        <v>0.0</v>
      </c>
      <c r="AE75" s="123">
        <v>0.0</v>
      </c>
      <c r="AF75" s="123">
        <v>0.0</v>
      </c>
      <c r="AG75" s="124">
        <v>0.0</v>
      </c>
      <c r="AH75" s="124">
        <v>0.0</v>
      </c>
      <c r="AI75" s="125">
        <v>0.0</v>
      </c>
      <c r="AJ75" s="125">
        <v>0.0</v>
      </c>
      <c r="AK75" s="127">
        <v>0.0</v>
      </c>
      <c r="AL75" s="127">
        <v>0.0</v>
      </c>
      <c r="AM75" s="302">
        <v>0.0</v>
      </c>
      <c r="AN75" s="149" t="str">
        <f>IFERROR(
  AVERAGEIFS(
    'New 20102013 LF Efficacy'!$J:$J,
    'New 20102013 LF Efficacy'!$D:$D, $A75,
    'New 20102013 LF Efficacy'!$F:$F,"DEC", 
    'New 20102013 LF Efficacy'!$W:$W,"&lt;2014",
    'New 20102013 LF Efficacy'!$AA:$AA,""),
  ""
)</f>
        <v/>
      </c>
      <c r="AO75" s="115">
        <f t="shared" si="18"/>
        <v>0.3573520833</v>
      </c>
      <c r="AP75" s="121" t="str">
        <f>IFERROR(
AVERAGEIFS(
'New 20102013 LF Efficacy'!$J:$J,
'New 20102013 LF Efficacy'!$D:$D,$A75,
'New 20102013 LF Efficacy'!$F:$F,"Albendazole &amp; DEC",
'New 20102013 LF Efficacy'!$W:$W,"&lt;2014",
'New 20102013 LF Efficacy'!$AA:$AA,""),
"")
</f>
        <v/>
      </c>
      <c r="AQ75" s="115">
        <f t="shared" si="19"/>
        <v>0.5137291667</v>
      </c>
      <c r="AR75" s="121" t="str">
        <f>IFERROR(
AVERAGEIFS(
'New 20102013 LF Efficacy'!$J:$J,
'New 20102013 LF Efficacy'!$D:$D,$A75,
'New 20102013 LF Efficacy'!$F:$F,"Albendazole &amp; Ivermectin", 
'New 20102013 LF Efficacy'!$W:$W,"&lt;2014",
'New 20102013 LF Efficacy'!$AA:$AA,""),"")</f>
        <v/>
      </c>
      <c r="AS75" s="115">
        <f t="shared" si="20"/>
        <v>0.37153125</v>
      </c>
      <c r="AT75" s="130" t="str">
        <f>IFERROR(AVERAGEIFS(
'20102013 Schist Efficacy'!$O:$O, 
'20102013 Schist Efficacy'!$C:$C,$A75, 
'20102013 Schist Efficacy'!$D:$D, "Praziquantel",
'20102013 Schist Efficacy'!$J:$J,"&lt;2014",
'20102013 Schist Efficacy'!$U:$U,""),
"")</f>
        <v/>
      </c>
      <c r="AU75" s="118">
        <f t="shared" si="21"/>
        <v>0.655</v>
      </c>
      <c r="AV75" s="131" t="str">
        <f>IFERROR(AVERAGEIFS(
'20102013 STH Efficacy'!$AX:$AX, 
'20102013 STH Efficacy'!$AL:$AL, $A75, 
'20102013 STH Efficacy'!$AM:$AM, "Albendazole",
'20102013 STH Efficacy'!$AS:$AS,"&lt;2014",
'20102013 STH Efficacy'!$BP:$BP,""),
"")</f>
        <v/>
      </c>
      <c r="AW75" s="132">
        <f t="shared" si="22"/>
        <v>0.3933333333</v>
      </c>
      <c r="AX75" s="131" t="str">
        <f>IFERROR(AVERAGEIFS(
'20102013 STH Efficacy'!$AX:$AX, 
'20102013 STH Efficacy'!$AL:$AL, $A75, 
'20102013 STH Efficacy'!$AM:$AM, "Mebendazole",
'20102013 STH Efficacy'!$AS:$AS,"&lt;2014",
'20102013 STH Efficacy'!$BP:$BP,""),
"")</f>
        <v/>
      </c>
      <c r="AY75" s="132">
        <f t="shared" si="23"/>
        <v>0.5017738095</v>
      </c>
      <c r="AZ75" s="131" t="str">
        <f>IFERROR(AVERAGEIFS(
'20102013 STH Efficacy'!$AX:$AX, 
'20102013 STH Efficacy'!$AL:$AL, $A75, 
'20102013 STH Efficacy'!$AM:$AM, "Albendazole &amp; Ivermectin",
'20102013 STH Efficacy'!$AS:$AS,"&lt;2014",
'20102013 STH Efficacy'!$BP:$BP,""),
"")</f>
        <v/>
      </c>
      <c r="BA75" s="303">
        <f t="shared" si="24"/>
        <v>0.597625</v>
      </c>
      <c r="BB75" s="134" t="str">
        <f>IFERROR(AVERAGEIFS(
'20102013 STH Efficacy'!$N:$N, 
'20102013 STH Efficacy'!$B:$B, $A75, 
'20102013 STH Efficacy'!$C:$C, "Albendazole",
'20102013 STH Efficacy'!$I:$I,"&lt;2014",
'20102013 STH Efficacy'!$AH:$AH,""),
"")</f>
        <v/>
      </c>
      <c r="BC75" s="135">
        <f t="shared" si="25"/>
        <v>0.7613712121</v>
      </c>
      <c r="BD75" s="134" t="str">
        <f>IFERROR(AVERAGEIFS(
'20102013 STH Efficacy'!$N:$N, 
'20102013 STH Efficacy'!$B:$B, $A75, 
'20102013 STH Efficacy'!$C:$C, "Mebendazole",
'20102013 STH Efficacy'!$I:$I,"&lt;2014",
'20102013 STH Efficacy'!$AH:$AH,""),
"")</f>
        <v/>
      </c>
      <c r="BE75" s="135">
        <f t="shared" si="26"/>
        <v>0.4362466667</v>
      </c>
      <c r="BF75" s="128" t="str">
        <f>IFERROR(AVERAGEIFS(
'20102013 STH Efficacy'!$CD:$CD, 
'20102013 STH Efficacy'!$BS:$BS, $A75, 
'20102013 STH Efficacy'!$BT:$BT, "Albendazole",
'20102013 STH Efficacy'!$BZ:$BZ,"&lt;2014",
'20102013 STH Efficacy'!$CU:$CU,""),
"")</f>
        <v/>
      </c>
      <c r="BG75" s="136">
        <f t="shared" si="27"/>
        <v>0.9216027778</v>
      </c>
      <c r="BH75" s="128" t="str">
        <f>IFERROR(AVERAGEIFS(
'20102013 STH Efficacy'!$CD:$CD, 
'20102013 STH Efficacy'!$BS:$BS, $A75, 
'20102013 STH Efficacy'!$BT:$BT, "Mebendazole",
'20102013 STH Efficacy'!$BZ:$BZ,"&lt;2014",
'20102013 STH Efficacy'!$CU:$CU,""),
"")</f>
        <v/>
      </c>
      <c r="BI75" s="136">
        <f t="shared" si="28"/>
        <v>0.9295857143</v>
      </c>
      <c r="BJ75" s="128" t="str">
        <f>IFERROR(AVERAGEIFS(
'20102013 STH Efficacy'!$CD:$CD, 
'20102013 STH Efficacy'!$BS:$BS, $A75, 
'20102013 STH Efficacy'!$BT:$BT, "Albendazole &amp; Ivermectin",
'20102013 STH Efficacy'!$BZ:$BZ,"&lt;2014",
'20102013 STH Efficacy'!$CU:$CU,""),
"")</f>
        <v/>
      </c>
      <c r="BK75" s="136">
        <f t="shared" si="29"/>
        <v>1</v>
      </c>
      <c r="BL75" s="300" t="str">
        <f>IFERROR(
  AVERAGEIFS(
    'NEW 20102013 Onchocerciasis Eff'!$AO:$AO,
    'NEW 20102013 Onchocerciasis Eff'!$C:$C,$A75,
    'NEW 20102013 Onchocerciasis Eff'!$D:$D,"Ivermectin",
    'NEW 20102013 Onchocerciasis Eff'!$AR:$AR,"&lt;2014",
    'NEW 20102013 Onchocerciasis Eff'!$BG:$BG,"")
,"")</f>
        <v/>
      </c>
      <c r="BM75" s="304">
        <f t="shared" si="30"/>
        <v>0.7808368939</v>
      </c>
      <c r="BN75" s="305">
        <v>0.0</v>
      </c>
      <c r="BO75" s="139">
        <v>0.0</v>
      </c>
      <c r="BP75" s="140">
        <v>0.0</v>
      </c>
      <c r="BQ75" s="141">
        <f t="shared" si="31"/>
        <v>0</v>
      </c>
      <c r="BR75" s="104" t="str">
        <f t="shared" si="32"/>
        <v>0000</v>
      </c>
      <c r="BS75" s="104" t="str">
        <f t="shared" si="33"/>
        <v>no action required</v>
      </c>
      <c r="BT75" s="142" t="str">
        <f t="shared" si="34"/>
        <v/>
      </c>
      <c r="BU75" s="104" t="str">
        <f t="shared" si="35"/>
        <v/>
      </c>
      <c r="BV75" s="104" t="str">
        <f t="shared" si="36"/>
        <v>none</v>
      </c>
      <c r="BW75" s="150" t="str">
        <f t="shared" si="37"/>
        <v/>
      </c>
      <c r="BX75" s="150" t="str">
        <f t="shared" si="38"/>
        <v/>
      </c>
      <c r="BY75" s="151" t="str">
        <f t="shared" si="39"/>
        <v/>
      </c>
      <c r="BZ75" s="152" t="str">
        <f t="shared" si="40"/>
        <v/>
      </c>
      <c r="CA75" s="152" t="str">
        <f t="shared" si="41"/>
        <v/>
      </c>
      <c r="CB75" s="152" t="str">
        <f t="shared" si="42"/>
        <v/>
      </c>
      <c r="CC75" s="153" t="str">
        <f t="shared" si="43"/>
        <v/>
      </c>
      <c r="CD75" s="153" t="str">
        <f t="shared" si="44"/>
        <v/>
      </c>
      <c r="CE75" s="154" t="str">
        <f t="shared" si="45"/>
        <v/>
      </c>
      <c r="CF75" s="154" t="str">
        <f t="shared" si="46"/>
        <v/>
      </c>
      <c r="CG75" s="154" t="str">
        <f t="shared" si="47"/>
        <v/>
      </c>
      <c r="CH75" s="308" t="str">
        <f t="shared" si="48"/>
        <v/>
      </c>
      <c r="CI75" s="299"/>
    </row>
    <row r="76">
      <c r="A76" s="155" t="s">
        <v>165</v>
      </c>
      <c r="B76" s="104" t="s">
        <v>94</v>
      </c>
      <c r="C76" s="105">
        <v>273528.0</v>
      </c>
      <c r="D76" s="293">
        <v>0.0</v>
      </c>
      <c r="E76" s="294">
        <v>0.0</v>
      </c>
      <c r="F76" s="163"/>
      <c r="G76" s="163"/>
      <c r="H76" s="108">
        <v>0.0</v>
      </c>
      <c r="I76" s="109">
        <v>0.0</v>
      </c>
      <c r="J76" s="109">
        <v>0.0</v>
      </c>
      <c r="K76" s="109">
        <v>0.0</v>
      </c>
      <c r="L76" s="113"/>
      <c r="M76" s="113"/>
      <c r="N76" s="111">
        <v>0.0</v>
      </c>
      <c r="O76" s="298">
        <v>0.0</v>
      </c>
      <c r="P76" s="160">
        <v>258115.0</v>
      </c>
      <c r="Q76" s="160">
        <v>218015.0</v>
      </c>
      <c r="R76" s="121">
        <f t="shared" si="11"/>
        <v>0.8446428917</v>
      </c>
      <c r="S76" s="116">
        <f t="shared" si="12"/>
        <v>0.8446428917</v>
      </c>
      <c r="T76" s="130"/>
      <c r="U76" s="118">
        <f t="shared" si="13"/>
        <v>0.6259666667</v>
      </c>
      <c r="V76" s="148"/>
      <c r="W76" s="120">
        <f t="shared" si="14"/>
        <v>0.3807857143</v>
      </c>
      <c r="X76" s="148"/>
      <c r="Y76" s="120">
        <f t="shared" si="15"/>
        <v>0.3971375</v>
      </c>
      <c r="Z76" s="299"/>
      <c r="AA76" s="299"/>
      <c r="AB76" s="300" t="str">
        <f t="shared" si="16"/>
        <v/>
      </c>
      <c r="AC76" s="301">
        <f t="shared" si="17"/>
        <v>0.6295826791</v>
      </c>
      <c r="AD76" s="314">
        <v>0.0</v>
      </c>
      <c r="AE76" s="315">
        <v>0.0</v>
      </c>
      <c r="AF76" s="166">
        <v>0.0</v>
      </c>
      <c r="AG76" s="316">
        <v>0.0</v>
      </c>
      <c r="AH76" s="307">
        <v>0.0</v>
      </c>
      <c r="AI76" s="317">
        <v>0.0</v>
      </c>
      <c r="AJ76" s="318">
        <v>0.0</v>
      </c>
      <c r="AK76" s="319">
        <v>0.0</v>
      </c>
      <c r="AL76" s="319">
        <v>0.0</v>
      </c>
      <c r="AM76" s="320">
        <v>0.0</v>
      </c>
      <c r="AN76" s="149">
        <f>IFERROR(
  AVERAGEIFS(
    'New 20102013 LF Efficacy'!$J:$J,
    'New 20102013 LF Efficacy'!$D:$D, $A76,
    'New 20102013 LF Efficacy'!$F:$F,"DEC", 
    'New 20102013 LF Efficacy'!$W:$W,"&lt;2014",
    'New 20102013 LF Efficacy'!$AA:$AA,""),
  ""
)</f>
        <v>0.26</v>
      </c>
      <c r="AO76" s="115">
        <f t="shared" si="18"/>
        <v>0.26</v>
      </c>
      <c r="AP76" s="121" t="str">
        <f>IFERROR(
AVERAGEIFS(
'New 20102013 LF Efficacy'!$J:$J,
'New 20102013 LF Efficacy'!$D:$D,$A76,
'New 20102013 LF Efficacy'!$F:$F,"Albendazole &amp; DEC",
'New 20102013 LF Efficacy'!$W:$W,"&lt;2014",
'New 20102013 LF Efficacy'!$AA:$AA,""),
"")
</f>
        <v/>
      </c>
      <c r="AQ76" s="115">
        <f t="shared" si="19"/>
        <v>0.657</v>
      </c>
      <c r="AR76" s="121" t="str">
        <f>IFERROR(
AVERAGEIFS(
'New 20102013 LF Efficacy'!$J:$J,
'New 20102013 LF Efficacy'!$D:$D,$A76,
'New 20102013 LF Efficacy'!$F:$F,"Albendazole &amp; Ivermectin", 
'New 20102013 LF Efficacy'!$W:$W,"&lt;2014",
'New 20102013 LF Efficacy'!$AA:$AA,""),"")</f>
        <v/>
      </c>
      <c r="AS76" s="115">
        <f t="shared" si="20"/>
        <v>0.37153125</v>
      </c>
      <c r="AT76" s="130" t="str">
        <f>IFERROR(AVERAGEIFS(
'20102013 Schist Efficacy'!$O:$O, 
'20102013 Schist Efficacy'!$C:$C,$A76, 
'20102013 Schist Efficacy'!$D:$D, "Praziquantel",
'20102013 Schist Efficacy'!$J:$J,"&lt;2014",
'20102013 Schist Efficacy'!$U:$U,""),
"")</f>
        <v/>
      </c>
      <c r="AU76" s="118">
        <f t="shared" si="21"/>
        <v>0.9475</v>
      </c>
      <c r="AV76" s="131" t="str">
        <f>IFERROR(AVERAGEIFS(
'20102013 STH Efficacy'!$AX:$AX, 
'20102013 STH Efficacy'!$AL:$AL, $A76, 
'20102013 STH Efficacy'!$AM:$AM, "Albendazole",
'20102013 STH Efficacy'!$AS:$AS,"&lt;2014",
'20102013 STH Efficacy'!$BP:$BP,""),
"")</f>
        <v/>
      </c>
      <c r="AW76" s="132">
        <f t="shared" si="22"/>
        <v>0.3571666667</v>
      </c>
      <c r="AX76" s="131" t="str">
        <f>IFERROR(AVERAGEIFS(
'20102013 STH Efficacy'!$AX:$AX, 
'20102013 STH Efficacy'!$AL:$AL, $A76, 
'20102013 STH Efficacy'!$AM:$AM, "Mebendazole",
'20102013 STH Efficacy'!$AS:$AS,"&lt;2014",
'20102013 STH Efficacy'!$BP:$BP,""),
"")</f>
        <v/>
      </c>
      <c r="AY76" s="132">
        <f t="shared" si="23"/>
        <v>0.4155</v>
      </c>
      <c r="AZ76" s="131" t="str">
        <f>IFERROR(AVERAGEIFS(
'20102013 STH Efficacy'!$AX:$AX, 
'20102013 STH Efficacy'!$AL:$AL, $A76, 
'20102013 STH Efficacy'!$AM:$AM, "Albendazole &amp; Ivermectin",
'20102013 STH Efficacy'!$AS:$AS,"&lt;2014",
'20102013 STH Efficacy'!$BP:$BP,""),
"")</f>
        <v/>
      </c>
      <c r="BA76" s="303">
        <f t="shared" si="24"/>
        <v>0.651</v>
      </c>
      <c r="BB76" s="134" t="str">
        <f>IFERROR(AVERAGEIFS(
'20102013 STH Efficacy'!$N:$N, 
'20102013 STH Efficacy'!$B:$B, $A76, 
'20102013 STH Efficacy'!$C:$C, "Albendazole",
'20102013 STH Efficacy'!$I:$I,"&lt;2014",
'20102013 STH Efficacy'!$AH:$AH,""),
"")</f>
        <v/>
      </c>
      <c r="BC76" s="135">
        <f t="shared" si="25"/>
        <v>0.5769166667</v>
      </c>
      <c r="BD76" s="134" t="str">
        <f>IFERROR(AVERAGEIFS(
'20102013 STH Efficacy'!$N:$N, 
'20102013 STH Efficacy'!$B:$B, $A76, 
'20102013 STH Efficacy'!$C:$C, "Mebendazole",
'20102013 STH Efficacy'!$I:$I,"&lt;2014",
'20102013 STH Efficacy'!$AH:$AH,""),
"")</f>
        <v/>
      </c>
      <c r="BE76" s="135">
        <f t="shared" si="26"/>
        <v>0.3145</v>
      </c>
      <c r="BF76" s="128" t="str">
        <f>IFERROR(AVERAGEIFS(
'20102013 STH Efficacy'!$CD:$CD, 
'20102013 STH Efficacy'!$BS:$BS, $A76, 
'20102013 STH Efficacy'!$BT:$BT, "Albendazole",
'20102013 STH Efficacy'!$BZ:$BZ,"&lt;2014",
'20102013 STH Efficacy'!$CU:$CU,""),
"")</f>
        <v/>
      </c>
      <c r="BG76" s="136">
        <f t="shared" si="27"/>
        <v>0.96925</v>
      </c>
      <c r="BH76" s="128" t="str">
        <f>IFERROR(AVERAGEIFS(
'20102013 STH Efficacy'!$CD:$CD, 
'20102013 STH Efficacy'!$BS:$BS, $A76, 
'20102013 STH Efficacy'!$BT:$BT, "Mebendazole",
'20102013 STH Efficacy'!$BZ:$BZ,"&lt;2014",
'20102013 STH Efficacy'!$CU:$CU,""),
"")</f>
        <v/>
      </c>
      <c r="BI76" s="136">
        <f t="shared" si="28"/>
        <v>0.9305</v>
      </c>
      <c r="BJ76" s="128" t="str">
        <f>IFERROR(AVERAGEIFS(
'20102013 STH Efficacy'!$CD:$CD, 
'20102013 STH Efficacy'!$BS:$BS, $A76, 
'20102013 STH Efficacy'!$BT:$BT, "Albendazole &amp; Ivermectin",
'20102013 STH Efficacy'!$BZ:$BZ,"&lt;2014",
'20102013 STH Efficacy'!$CU:$CU,""),
"")</f>
        <v/>
      </c>
      <c r="BK76" s="136">
        <f t="shared" si="29"/>
        <v>1</v>
      </c>
      <c r="BL76" s="300" t="str">
        <f>IFERROR(
  AVERAGEIFS(
    'NEW 20102013 Onchocerciasis Eff'!$AO:$AO,
    'NEW 20102013 Onchocerciasis Eff'!$C:$C,$A76,
    'NEW 20102013 Onchocerciasis Eff'!$D:$D,"Ivermectin",
    'NEW 20102013 Onchocerciasis Eff'!$AR:$AR,"&lt;2014",
    'NEW 20102013 Onchocerciasis Eff'!$BG:$BG,"")
,"")</f>
        <v/>
      </c>
      <c r="BM76" s="304">
        <f t="shared" si="30"/>
        <v>0.7808368939</v>
      </c>
      <c r="BN76" s="305">
        <v>1.0</v>
      </c>
      <c r="BO76" s="139">
        <v>0.0</v>
      </c>
      <c r="BP76" s="140">
        <v>0.0</v>
      </c>
      <c r="BQ76" s="141">
        <f t="shared" si="31"/>
        <v>0</v>
      </c>
      <c r="BR76" s="104" t="str">
        <f t="shared" si="32"/>
        <v>1000</v>
      </c>
      <c r="BS76" s="104" t="str">
        <f t="shared" si="33"/>
        <v>MDA1/2</v>
      </c>
      <c r="BT76" s="142" t="str">
        <f t="shared" si="34"/>
        <v>DEC+ALB</v>
      </c>
      <c r="BU76" s="104" t="str">
        <f t="shared" si="35"/>
        <v/>
      </c>
      <c r="BV76" s="104" t="str">
        <f t="shared" si="36"/>
        <v>lf only</v>
      </c>
      <c r="BW76" s="312">
        <f t="shared" si="37"/>
        <v>0</v>
      </c>
      <c r="BX76" s="150" t="str">
        <f t="shared" si="38"/>
        <v/>
      </c>
      <c r="BY76" s="151" t="str">
        <f t="shared" si="39"/>
        <v/>
      </c>
      <c r="BZ76" s="152" t="str">
        <f t="shared" si="40"/>
        <v/>
      </c>
      <c r="CA76" s="152" t="str">
        <f t="shared" si="41"/>
        <v/>
      </c>
      <c r="CB76" s="152" t="str">
        <f t="shared" si="42"/>
        <v/>
      </c>
      <c r="CC76" s="153" t="str">
        <f t="shared" si="43"/>
        <v/>
      </c>
      <c r="CD76" s="153" t="str">
        <f t="shared" si="44"/>
        <v/>
      </c>
      <c r="CE76" s="154" t="str">
        <f t="shared" si="45"/>
        <v/>
      </c>
      <c r="CF76" s="154" t="str">
        <f t="shared" si="46"/>
        <v/>
      </c>
      <c r="CG76" s="154" t="str">
        <f t="shared" si="47"/>
        <v/>
      </c>
      <c r="CH76" s="308" t="str">
        <f t="shared" si="48"/>
        <v/>
      </c>
      <c r="CI76" s="299"/>
    </row>
    <row r="77">
      <c r="A77" s="103" t="s">
        <v>166</v>
      </c>
      <c r="B77" s="104" t="s">
        <v>92</v>
      </c>
      <c r="C77" s="105">
        <v>1817271.0</v>
      </c>
      <c r="D77" s="293">
        <v>1323.6000000000001</v>
      </c>
      <c r="E77" s="294">
        <v>3151.396159</v>
      </c>
      <c r="F77" s="295">
        <v>59.54730718</v>
      </c>
      <c r="G77" s="295">
        <v>257.8533807</v>
      </c>
      <c r="H77" s="108">
        <v>317.4006879</v>
      </c>
      <c r="I77" s="109">
        <v>100.10398</v>
      </c>
      <c r="J77" s="109">
        <v>277.692729</v>
      </c>
      <c r="K77" s="109">
        <v>377.796709</v>
      </c>
      <c r="L77" s="112">
        <v>277.6127616</v>
      </c>
      <c r="M77" s="112">
        <v>363.977715</v>
      </c>
      <c r="N77" s="111">
        <v>641.5904766</v>
      </c>
      <c r="O77" s="298">
        <v>0.0</v>
      </c>
      <c r="P77" s="160">
        <v>1290600.0</v>
      </c>
      <c r="Q77" s="156"/>
      <c r="R77" s="121">
        <f t="shared" si="11"/>
        <v>0</v>
      </c>
      <c r="S77" s="116">
        <f t="shared" si="12"/>
        <v>0.2589669834</v>
      </c>
      <c r="T77" s="130"/>
      <c r="U77" s="118">
        <f t="shared" si="13"/>
        <v>0.252</v>
      </c>
      <c r="V77" s="148"/>
      <c r="W77" s="120">
        <f t="shared" si="14"/>
        <v>0.8114541667</v>
      </c>
      <c r="X77" s="148"/>
      <c r="Y77" s="120">
        <f t="shared" si="15"/>
        <v>0.5668291667</v>
      </c>
      <c r="Z77" s="310">
        <v>82764.0</v>
      </c>
      <c r="AA77" s="311" t="s">
        <v>372</v>
      </c>
      <c r="AB77" s="300" t="str">
        <f t="shared" si="16"/>
        <v/>
      </c>
      <c r="AC77" s="301">
        <f t="shared" si="17"/>
        <v>0.655321236</v>
      </c>
      <c r="AD77" s="122">
        <v>0.0084</v>
      </c>
      <c r="AE77" s="123">
        <v>0.2</v>
      </c>
      <c r="AF77" s="123">
        <v>0.0188</v>
      </c>
      <c r="AG77" s="124">
        <v>0.2403</v>
      </c>
      <c r="AH77" s="124">
        <v>0.373034985</v>
      </c>
      <c r="AI77" s="125">
        <v>0.108</v>
      </c>
      <c r="AJ77" s="125">
        <v>0.172998673</v>
      </c>
      <c r="AK77" s="127">
        <v>0.2651</v>
      </c>
      <c r="AL77" s="127">
        <v>0.412</v>
      </c>
      <c r="AM77" s="302">
        <v>0.0</v>
      </c>
      <c r="AN77" s="149" t="str">
        <f>IFERROR(
  AVERAGEIFS(
    'New 20102013 LF Efficacy'!$J:$J,
    'New 20102013 LF Efficacy'!$D:$D, $A77,
    'New 20102013 LF Efficacy'!$F:$F,"DEC", 
    'New 20102013 LF Efficacy'!$W:$W,"&lt;2014",
    'New 20102013 LF Efficacy'!$AA:$AA,""),
  ""
)</f>
        <v/>
      </c>
      <c r="AO77" s="115">
        <f t="shared" si="18"/>
        <v>0.31225</v>
      </c>
      <c r="AP77" s="121" t="str">
        <f>IFERROR(
AVERAGEIFS(
'New 20102013 LF Efficacy'!$J:$J,
'New 20102013 LF Efficacy'!$D:$D,$A77,
'New 20102013 LF Efficacy'!$F:$F,"Albendazole &amp; DEC",
'New 20102013 LF Efficacy'!$W:$W,"&lt;2014",
'New 20102013 LF Efficacy'!$AA:$AA,""),
"")
</f>
        <v/>
      </c>
      <c r="AQ77" s="115">
        <f t="shared" si="19"/>
        <v>0.4</v>
      </c>
      <c r="AR77" s="121" t="str">
        <f>IFERROR(
AVERAGEIFS(
'New 20102013 LF Efficacy'!$J:$J,
'New 20102013 LF Efficacy'!$D:$D,$A77,
'New 20102013 LF Efficacy'!$F:$F,"Albendazole &amp; Ivermectin", 
'New 20102013 LF Efficacy'!$W:$W,"&lt;2014",
'New 20102013 LF Efficacy'!$AA:$AA,""),"")</f>
        <v/>
      </c>
      <c r="AS77" s="115">
        <f t="shared" si="20"/>
        <v>0.2943125</v>
      </c>
      <c r="AT77" s="130" t="str">
        <f>IFERROR(AVERAGEIFS(
'20102013 Schist Efficacy'!$O:$O, 
'20102013 Schist Efficacy'!$C:$C,$A77, 
'20102013 Schist Efficacy'!$D:$D, "Praziquantel",
'20102013 Schist Efficacy'!$J:$J,"&lt;2014",
'20102013 Schist Efficacy'!$U:$U,""),
"")</f>
        <v/>
      </c>
      <c r="AU77" s="118">
        <f t="shared" si="21"/>
        <v>0.7192212527</v>
      </c>
      <c r="AV77" s="131">
        <f>IFERROR(AVERAGEIFS(
'20102013 STH Efficacy'!$AX:$AX, 
'20102013 STH Efficacy'!$AL:$AL, $A77, 
'20102013 STH Efficacy'!$AM:$AM, "Albendazole",
'20102013 STH Efficacy'!$AS:$AS,"&lt;2014",
'20102013 STH Efficacy'!$BP:$BP,""),
"")</f>
        <v>0.6333333333</v>
      </c>
      <c r="AW77" s="132">
        <f t="shared" si="22"/>
        <v>0.6333333333</v>
      </c>
      <c r="AX77" s="131" t="str">
        <f>IFERROR(AVERAGEIFS(
'20102013 STH Efficacy'!$AX:$AX, 
'20102013 STH Efficacy'!$AL:$AL, $A77, 
'20102013 STH Efficacy'!$AM:$AM, "Mebendazole",
'20102013 STH Efficacy'!$AS:$AS,"&lt;2014",
'20102013 STH Efficacy'!$BP:$BP,""),
"")</f>
        <v/>
      </c>
      <c r="AY77" s="132">
        <f t="shared" si="23"/>
        <v>0.5675833333</v>
      </c>
      <c r="AZ77" s="131" t="str">
        <f>IFERROR(AVERAGEIFS(
'20102013 STH Efficacy'!$AX:$AX, 
'20102013 STH Efficacy'!$AL:$AL, $A77, 
'20102013 STH Efficacy'!$AM:$AM, "Albendazole &amp; Ivermectin",
'20102013 STH Efficacy'!$AS:$AS,"&lt;2014",
'20102013 STH Efficacy'!$BP:$BP,""),
"")</f>
        <v/>
      </c>
      <c r="BA77" s="303">
        <f t="shared" si="24"/>
        <v>0.47175</v>
      </c>
      <c r="BB77" s="134">
        <f>IFERROR(AVERAGEIFS(
'20102013 STH Efficacy'!$N:$N, 
'20102013 STH Efficacy'!$B:$B, $A77, 
'20102013 STH Efficacy'!$C:$C, "Albendazole",
'20102013 STH Efficacy'!$I:$I,"&lt;2014",
'20102013 STH Efficacy'!$AH:$AH,""),
"")</f>
        <v>0.7966666667</v>
      </c>
      <c r="BC77" s="135">
        <f t="shared" si="25"/>
        <v>0.7966666667</v>
      </c>
      <c r="BD77" s="134" t="str">
        <f>IFERROR(AVERAGEIFS(
'20102013 STH Efficacy'!$N:$N, 
'20102013 STH Efficacy'!$B:$B, $A77, 
'20102013 STH Efficacy'!$C:$C, "Mebendazole",
'20102013 STH Efficacy'!$I:$I,"&lt;2014",
'20102013 STH Efficacy'!$AH:$AH,""),
"")</f>
        <v/>
      </c>
      <c r="BE77" s="135">
        <f t="shared" si="26"/>
        <v>0.7092416667</v>
      </c>
      <c r="BF77" s="128">
        <f>IFERROR(AVERAGEIFS(
'20102013 STH Efficacy'!$CD:$CD, 
'20102013 STH Efficacy'!$BS:$BS, $A77, 
'20102013 STH Efficacy'!$BT:$BT, "Albendazole",
'20102013 STH Efficacy'!$BZ:$BZ,"&lt;2014",
'20102013 STH Efficacy'!$CU:$CU,""),
"")</f>
        <v>0.8933333333</v>
      </c>
      <c r="BG77" s="136">
        <f t="shared" si="27"/>
        <v>0.8933333333</v>
      </c>
      <c r="BH77" s="128" t="str">
        <f>IFERROR(AVERAGEIFS(
'20102013 STH Efficacy'!$CD:$CD, 
'20102013 STH Efficacy'!$BS:$BS, $A77, 
'20102013 STH Efficacy'!$BT:$BT, "Mebendazole",
'20102013 STH Efficacy'!$BZ:$BZ,"&lt;2014",
'20102013 STH Efficacy'!$CU:$CU,""),
"")</f>
        <v/>
      </c>
      <c r="BI77" s="136">
        <f t="shared" si="28"/>
        <v>0.9358666667</v>
      </c>
      <c r="BJ77" s="128" t="str">
        <f>IFERROR(AVERAGEIFS(
'20102013 STH Efficacy'!$CD:$CD, 
'20102013 STH Efficacy'!$BS:$BS, $A77, 
'20102013 STH Efficacy'!$BT:$BT, "Albendazole &amp; Ivermectin",
'20102013 STH Efficacy'!$BZ:$BZ,"&lt;2014",
'20102013 STH Efficacy'!$CU:$CU,""),
"")</f>
        <v/>
      </c>
      <c r="BK77" s="136">
        <f t="shared" si="29"/>
        <v>1</v>
      </c>
      <c r="BL77" s="300" t="str">
        <f>IFERROR(
  AVERAGEIFS(
    'NEW 20102013 Onchocerciasis Eff'!$AO:$AO,
    'NEW 20102013 Onchocerciasis Eff'!$C:$C,$A77,
    'NEW 20102013 Onchocerciasis Eff'!$D:$D,"Ivermectin",
    'NEW 20102013 Onchocerciasis Eff'!$AR:$AR,"&lt;2014",
    'NEW 20102013 Onchocerciasis Eff'!$BG:$BG,"")
,"")</f>
        <v/>
      </c>
      <c r="BM77" s="304">
        <f t="shared" si="30"/>
        <v>0.8390421645</v>
      </c>
      <c r="BN77" s="305">
        <v>1.0</v>
      </c>
      <c r="BO77" s="139">
        <v>1.0</v>
      </c>
      <c r="BP77" s="140">
        <v>1.0</v>
      </c>
      <c r="BQ77" s="141">
        <f t="shared" si="31"/>
        <v>1</v>
      </c>
      <c r="BR77" s="104" t="str">
        <f t="shared" si="32"/>
        <v>1111</v>
      </c>
      <c r="BS77" s="104" t="str">
        <f t="shared" si="33"/>
        <v>MDA1+T2</v>
      </c>
      <c r="BT77" s="142" t="str">
        <f t="shared" si="34"/>
        <v>IVM+ALB</v>
      </c>
      <c r="BU77" s="104" t="str">
        <f t="shared" si="35"/>
        <v>PZQ</v>
      </c>
      <c r="BV77" s="104" t="str">
        <f t="shared" si="36"/>
        <v>lf+onch+schist+sth</v>
      </c>
      <c r="BW77" s="150" t="str">
        <f t="shared" si="37"/>
        <v/>
      </c>
      <c r="BX77" s="312">
        <f t="shared" si="38"/>
        <v>109.204366</v>
      </c>
      <c r="BY77" s="162">
        <f t="shared" si="39"/>
        <v>697.6079626</v>
      </c>
      <c r="BZ77" s="152">
        <f t="shared" si="40"/>
        <v>207.3669372</v>
      </c>
      <c r="CA77" s="152" t="str">
        <f t="shared" si="41"/>
        <v/>
      </c>
      <c r="CB77" s="152">
        <f t="shared" si="42"/>
        <v>131.0506325</v>
      </c>
      <c r="CC77" s="323">
        <f t="shared" si="43"/>
        <v>411.6944632</v>
      </c>
      <c r="CD77" s="153" t="str">
        <f t="shared" si="44"/>
        <v/>
      </c>
      <c r="CE77" s="154">
        <f t="shared" si="45"/>
        <v>1104.885412</v>
      </c>
      <c r="CF77" s="154" t="str">
        <f t="shared" si="46"/>
        <v/>
      </c>
      <c r="CG77" s="154">
        <f t="shared" si="47"/>
        <v>1671.061933</v>
      </c>
      <c r="CH77" s="313">
        <f t="shared" si="48"/>
        <v>0</v>
      </c>
      <c r="CI77" s="299"/>
    </row>
    <row r="78">
      <c r="A78" s="103" t="s">
        <v>167</v>
      </c>
      <c r="B78" s="104" t="s">
        <v>92</v>
      </c>
      <c r="C78" s="105">
        <v>1859324.0</v>
      </c>
      <c r="D78" s="293">
        <v>2217.08</v>
      </c>
      <c r="E78" s="294">
        <v>5809.869909</v>
      </c>
      <c r="F78" s="309">
        <v>0.039043316</v>
      </c>
      <c r="G78" s="309">
        <v>0.158628563</v>
      </c>
      <c r="H78" s="108">
        <v>0.197671879</v>
      </c>
      <c r="I78" s="109">
        <v>0.0</v>
      </c>
      <c r="J78" s="109">
        <v>0.0</v>
      </c>
      <c r="K78" s="109">
        <v>109.8489063</v>
      </c>
      <c r="L78" s="112">
        <v>116.5562485</v>
      </c>
      <c r="M78" s="112">
        <v>14.87149915</v>
      </c>
      <c r="N78" s="111">
        <v>131.4277477</v>
      </c>
      <c r="O78" s="298">
        <v>0.0</v>
      </c>
      <c r="P78" s="160">
        <v>1200000.0</v>
      </c>
      <c r="Q78" s="156"/>
      <c r="R78" s="121">
        <f t="shared" si="11"/>
        <v>0</v>
      </c>
      <c r="S78" s="116">
        <f t="shared" si="12"/>
        <v>0.2589669834</v>
      </c>
      <c r="T78" s="130"/>
      <c r="U78" s="118">
        <f t="shared" si="13"/>
        <v>0.252</v>
      </c>
      <c r="V78" s="119">
        <v>1.0</v>
      </c>
      <c r="W78" s="120">
        <f t="shared" si="14"/>
        <v>1</v>
      </c>
      <c r="X78" s="148"/>
      <c r="Y78" s="120">
        <f t="shared" si="15"/>
        <v>0.5668291667</v>
      </c>
      <c r="Z78" s="299"/>
      <c r="AA78" s="299"/>
      <c r="AB78" s="300" t="str">
        <f t="shared" si="16"/>
        <v/>
      </c>
      <c r="AC78" s="301">
        <f t="shared" si="17"/>
        <v>0.655321236</v>
      </c>
      <c r="AD78" s="122">
        <v>0.0154</v>
      </c>
      <c r="AE78" s="123">
        <v>0.37</v>
      </c>
      <c r="AF78" s="123">
        <v>0.0879</v>
      </c>
      <c r="AG78" s="316">
        <v>0.0</v>
      </c>
      <c r="AH78" s="124">
        <v>0.03187313</v>
      </c>
      <c r="AI78" s="317">
        <v>0.0</v>
      </c>
      <c r="AJ78" s="317">
        <v>0.049079498</v>
      </c>
      <c r="AK78" s="319">
        <v>0.0</v>
      </c>
      <c r="AL78" s="319">
        <v>0.0</v>
      </c>
      <c r="AM78" s="302">
        <v>0.0</v>
      </c>
      <c r="AN78" s="149" t="str">
        <f>IFERROR(
  AVERAGEIFS(
    'New 20102013 LF Efficacy'!$J:$J,
    'New 20102013 LF Efficacy'!$D:$D, $A78,
    'New 20102013 LF Efficacy'!$F:$F,"DEC", 
    'New 20102013 LF Efficacy'!$W:$W,"&lt;2014",
    'New 20102013 LF Efficacy'!$AA:$AA,""),
  ""
)</f>
        <v/>
      </c>
      <c r="AO78" s="115">
        <f t="shared" si="18"/>
        <v>0.31225</v>
      </c>
      <c r="AP78" s="121" t="str">
        <f>IFERROR(
AVERAGEIFS(
'New 20102013 LF Efficacy'!$J:$J,
'New 20102013 LF Efficacy'!$D:$D,$A78,
'New 20102013 LF Efficacy'!$F:$F,"Albendazole &amp; DEC",
'New 20102013 LF Efficacy'!$W:$W,"&lt;2014",
'New 20102013 LF Efficacy'!$AA:$AA,""),
"")
</f>
        <v/>
      </c>
      <c r="AQ78" s="115">
        <f t="shared" si="19"/>
        <v>0.4</v>
      </c>
      <c r="AR78" s="121" t="str">
        <f>IFERROR(
AVERAGEIFS(
'New 20102013 LF Efficacy'!$J:$J,
'New 20102013 LF Efficacy'!$D:$D,$A78,
'New 20102013 LF Efficacy'!$F:$F,"Albendazole &amp; Ivermectin", 
'New 20102013 LF Efficacy'!$W:$W,"&lt;2014",
'New 20102013 LF Efficacy'!$AA:$AA,""),"")</f>
        <v/>
      </c>
      <c r="AS78" s="115">
        <f t="shared" si="20"/>
        <v>0.2943125</v>
      </c>
      <c r="AT78" s="130" t="str">
        <f>IFERROR(AVERAGEIFS(
'20102013 Schist Efficacy'!$O:$O, 
'20102013 Schist Efficacy'!$C:$C,$A78, 
'20102013 Schist Efficacy'!$D:$D, "Praziquantel",
'20102013 Schist Efficacy'!$J:$J,"&lt;2014",
'20102013 Schist Efficacy'!$U:$U,""),
"")</f>
        <v/>
      </c>
      <c r="AU78" s="118">
        <f t="shared" si="21"/>
        <v>0.7192212527</v>
      </c>
      <c r="AV78" s="131" t="str">
        <f>IFERROR(AVERAGEIFS(
'20102013 STH Efficacy'!$AX:$AX, 
'20102013 STH Efficacy'!$AL:$AL, $A78, 
'20102013 STH Efficacy'!$AM:$AM, "Albendazole",
'20102013 STH Efficacy'!$AS:$AS,"&lt;2014",
'20102013 STH Efficacy'!$BP:$BP,""),
"")</f>
        <v/>
      </c>
      <c r="AW78" s="132">
        <f t="shared" si="22"/>
        <v>0.3816333333</v>
      </c>
      <c r="AX78" s="131" t="str">
        <f>IFERROR(AVERAGEIFS(
'20102013 STH Efficacy'!$AX:$AX, 
'20102013 STH Efficacy'!$AL:$AL, $A78, 
'20102013 STH Efficacy'!$AM:$AM, "Mebendazole",
'20102013 STH Efficacy'!$AS:$AS,"&lt;2014",
'20102013 STH Efficacy'!$BP:$BP,""),
"")</f>
        <v/>
      </c>
      <c r="AY78" s="132">
        <f t="shared" si="23"/>
        <v>0.5675833333</v>
      </c>
      <c r="AZ78" s="131" t="str">
        <f>IFERROR(AVERAGEIFS(
'20102013 STH Efficacy'!$AX:$AX, 
'20102013 STH Efficacy'!$AL:$AL, $A78, 
'20102013 STH Efficacy'!$AM:$AM, "Albendazole &amp; Ivermectin",
'20102013 STH Efficacy'!$AS:$AS,"&lt;2014",
'20102013 STH Efficacy'!$BP:$BP,""),
"")</f>
        <v/>
      </c>
      <c r="BA78" s="303">
        <f t="shared" si="24"/>
        <v>0.47175</v>
      </c>
      <c r="BB78" s="134" t="str">
        <f>IFERROR(AVERAGEIFS(
'20102013 STH Efficacy'!$N:$N, 
'20102013 STH Efficacy'!$B:$B, $A78, 
'20102013 STH Efficacy'!$C:$C, "Albendazole",
'20102013 STH Efficacy'!$I:$I,"&lt;2014",
'20102013 STH Efficacy'!$AH:$AH,""),
"")</f>
        <v/>
      </c>
      <c r="BC78" s="135">
        <f t="shared" si="25"/>
        <v>0.8699166667</v>
      </c>
      <c r="BD78" s="134" t="str">
        <f>IFERROR(AVERAGEIFS(
'20102013 STH Efficacy'!$N:$N, 
'20102013 STH Efficacy'!$B:$B, $A78, 
'20102013 STH Efficacy'!$C:$C, "Mebendazole",
'20102013 STH Efficacy'!$I:$I,"&lt;2014",
'20102013 STH Efficacy'!$AH:$AH,""),
"")</f>
        <v/>
      </c>
      <c r="BE78" s="135">
        <f t="shared" si="26"/>
        <v>0.7092416667</v>
      </c>
      <c r="BF78" s="128" t="str">
        <f>IFERROR(AVERAGEIFS(
'20102013 STH Efficacy'!$CD:$CD, 
'20102013 STH Efficacy'!$BS:$BS, $A78, 
'20102013 STH Efficacy'!$BT:$BT, "Albendazole",
'20102013 STH Efficacy'!$BZ:$BZ,"&lt;2014",
'20102013 STH Efficacy'!$CU:$CU,""),
"")</f>
        <v/>
      </c>
      <c r="BG78" s="136">
        <f t="shared" si="27"/>
        <v>0.9066666667</v>
      </c>
      <c r="BH78" s="128" t="str">
        <f>IFERROR(AVERAGEIFS(
'20102013 STH Efficacy'!$CD:$CD, 
'20102013 STH Efficacy'!$BS:$BS, $A78, 
'20102013 STH Efficacy'!$BT:$BT, "Mebendazole",
'20102013 STH Efficacy'!$BZ:$BZ,"&lt;2014",
'20102013 STH Efficacy'!$CU:$CU,""),
"")</f>
        <v/>
      </c>
      <c r="BI78" s="136">
        <f t="shared" si="28"/>
        <v>0.9358666667</v>
      </c>
      <c r="BJ78" s="128" t="str">
        <f>IFERROR(AVERAGEIFS(
'20102013 STH Efficacy'!$CD:$CD, 
'20102013 STH Efficacy'!$BS:$BS, $A78, 
'20102013 STH Efficacy'!$BT:$BT, "Albendazole &amp; Ivermectin",
'20102013 STH Efficacy'!$BZ:$BZ,"&lt;2014",
'20102013 STH Efficacy'!$CU:$CU,""),
"")</f>
        <v/>
      </c>
      <c r="BK78" s="136">
        <f t="shared" si="29"/>
        <v>1</v>
      </c>
      <c r="BL78" s="300" t="str">
        <f>IFERROR(
  AVERAGEIFS(
    'NEW 20102013 Onchocerciasis Eff'!$AO:$AO,
    'NEW 20102013 Onchocerciasis Eff'!$C:$C,$A78,
    'NEW 20102013 Onchocerciasis Eff'!$D:$D,"Ivermectin",
    'NEW 20102013 Onchocerciasis Eff'!$AR:$AR,"&lt;2014",
    'NEW 20102013 Onchocerciasis Eff'!$BG:$BG,"")
,"")</f>
        <v/>
      </c>
      <c r="BM78" s="304">
        <f t="shared" si="30"/>
        <v>0.8390421645</v>
      </c>
      <c r="BN78" s="305">
        <v>1.0</v>
      </c>
      <c r="BO78" s="139">
        <v>1.0</v>
      </c>
      <c r="BP78" s="140">
        <v>1.0</v>
      </c>
      <c r="BQ78" s="141">
        <f t="shared" si="31"/>
        <v>0</v>
      </c>
      <c r="BR78" s="104" t="str">
        <f t="shared" si="32"/>
        <v>1110</v>
      </c>
      <c r="BS78" s="104" t="str">
        <f t="shared" si="33"/>
        <v>MDA1+T2</v>
      </c>
      <c r="BT78" s="142" t="str">
        <f t="shared" si="34"/>
        <v>IVM+ALB</v>
      </c>
      <c r="BU78" s="104" t="str">
        <f t="shared" si="35"/>
        <v>PZQ</v>
      </c>
      <c r="BV78" s="104" t="str">
        <f t="shared" si="36"/>
        <v>lf+onch+schist </v>
      </c>
      <c r="BW78" s="150" t="str">
        <f t="shared" si="37"/>
        <v/>
      </c>
      <c r="BX78" s="312">
        <f t="shared" si="38"/>
        <v>182.9214384</v>
      </c>
      <c r="BY78" s="162">
        <f t="shared" si="39"/>
        <v>1286.100289</v>
      </c>
      <c r="BZ78" s="152" t="str">
        <f t="shared" si="40"/>
        <v/>
      </c>
      <c r="CA78" s="152" t="str">
        <f t="shared" si="41"/>
        <v/>
      </c>
      <c r="CB78" s="152" t="str">
        <f t="shared" si="42"/>
        <v/>
      </c>
      <c r="CC78" s="153" t="str">
        <f t="shared" si="43"/>
        <v/>
      </c>
      <c r="CD78" s="153" t="str">
        <f t="shared" si="44"/>
        <v/>
      </c>
      <c r="CE78" s="154" t="str">
        <f t="shared" si="45"/>
        <v/>
      </c>
      <c r="CF78" s="154" t="str">
        <f t="shared" si="46"/>
        <v/>
      </c>
      <c r="CG78" s="154" t="str">
        <f t="shared" si="47"/>
        <v/>
      </c>
      <c r="CH78" s="313">
        <f t="shared" si="48"/>
        <v>0</v>
      </c>
      <c r="CI78" s="299"/>
    </row>
    <row r="79">
      <c r="A79" s="103" t="s">
        <v>168</v>
      </c>
      <c r="B79" s="104" t="s">
        <v>90</v>
      </c>
      <c r="C79" s="105">
        <v>3776000.0</v>
      </c>
      <c r="D79" s="293">
        <v>0.0</v>
      </c>
      <c r="E79" s="294">
        <v>0.0</v>
      </c>
      <c r="F79" s="307">
        <v>0.0</v>
      </c>
      <c r="G79" s="307">
        <v>0.0</v>
      </c>
      <c r="H79" s="108">
        <v>0.0</v>
      </c>
      <c r="I79" s="109">
        <v>0.01995454</v>
      </c>
      <c r="J79" s="109">
        <v>0.01501091</v>
      </c>
      <c r="K79" s="109">
        <v>0.0</v>
      </c>
      <c r="L79" s="112">
        <v>0.0</v>
      </c>
      <c r="M79" s="112">
        <v>0.0</v>
      </c>
      <c r="N79" s="111">
        <v>0.0</v>
      </c>
      <c r="O79" s="298">
        <v>0.0</v>
      </c>
      <c r="P79" s="114"/>
      <c r="Q79" s="114"/>
      <c r="R79" s="121" t="str">
        <f t="shared" si="11"/>
        <v/>
      </c>
      <c r="S79" s="116">
        <f t="shared" si="12"/>
        <v>0.526225767</v>
      </c>
      <c r="T79" s="130"/>
      <c r="U79" s="118">
        <f t="shared" si="13"/>
        <v>0.3468166667</v>
      </c>
      <c r="V79" s="148"/>
      <c r="W79" s="120">
        <f t="shared" si="14"/>
        <v>1</v>
      </c>
      <c r="X79" s="148"/>
      <c r="Y79" s="120">
        <f t="shared" si="15"/>
        <v>1</v>
      </c>
      <c r="Z79" s="299"/>
      <c r="AA79" s="299"/>
      <c r="AB79" s="300" t="str">
        <f t="shared" si="16"/>
        <v/>
      </c>
      <c r="AC79" s="301">
        <f t="shared" si="17"/>
        <v>0.6295826791</v>
      </c>
      <c r="AD79" s="122">
        <v>0.0</v>
      </c>
      <c r="AE79" s="123">
        <v>0.0</v>
      </c>
      <c r="AF79" s="123">
        <v>0.0</v>
      </c>
      <c r="AG79" s="124">
        <v>8.0E-4</v>
      </c>
      <c r="AH79" s="124">
        <v>0.0</v>
      </c>
      <c r="AI79" s="125">
        <v>0.0</v>
      </c>
      <c r="AJ79" s="125">
        <v>1.17827E-5</v>
      </c>
      <c r="AK79" s="127">
        <v>0.0041</v>
      </c>
      <c r="AL79" s="127">
        <v>0.0062</v>
      </c>
      <c r="AM79" s="302">
        <v>0.0</v>
      </c>
      <c r="AN79" s="149" t="str">
        <f>IFERROR(
  AVERAGEIFS(
    'New 20102013 LF Efficacy'!$J:$J,
    'New 20102013 LF Efficacy'!$D:$D, $A79,
    'New 20102013 LF Efficacy'!$F:$F,"DEC", 
    'New 20102013 LF Efficacy'!$W:$W,"&lt;2014",
    'New 20102013 LF Efficacy'!$AA:$AA,""),
  ""
)</f>
        <v/>
      </c>
      <c r="AO79" s="115">
        <f t="shared" si="18"/>
        <v>0.3573520833</v>
      </c>
      <c r="AP79" s="121" t="str">
        <f>IFERROR(
AVERAGEIFS(
'New 20102013 LF Efficacy'!$J:$J,
'New 20102013 LF Efficacy'!$D:$D,$A79,
'New 20102013 LF Efficacy'!$F:$F,"Albendazole &amp; DEC",
'New 20102013 LF Efficacy'!$W:$W,"&lt;2014",
'New 20102013 LF Efficacy'!$AA:$AA,""),
"")
</f>
        <v/>
      </c>
      <c r="AQ79" s="115">
        <f t="shared" si="19"/>
        <v>0.5137291667</v>
      </c>
      <c r="AR79" s="121" t="str">
        <f>IFERROR(
AVERAGEIFS(
'New 20102013 LF Efficacy'!$J:$J,
'New 20102013 LF Efficacy'!$D:$D,$A79,
'New 20102013 LF Efficacy'!$F:$F,"Albendazole &amp; Ivermectin", 
'New 20102013 LF Efficacy'!$W:$W,"&lt;2014",
'New 20102013 LF Efficacy'!$AA:$AA,""),"")</f>
        <v/>
      </c>
      <c r="AS79" s="115">
        <f t="shared" si="20"/>
        <v>0.37153125</v>
      </c>
      <c r="AT79" s="130" t="str">
        <f>IFERROR(AVERAGEIFS(
'20102013 Schist Efficacy'!$O:$O, 
'20102013 Schist Efficacy'!$C:$C,$A79, 
'20102013 Schist Efficacy'!$D:$D, "Praziquantel",
'20102013 Schist Efficacy'!$J:$J,"&lt;2014",
'20102013 Schist Efficacy'!$U:$U,""),
"")</f>
        <v/>
      </c>
      <c r="AU79" s="118">
        <f t="shared" si="21"/>
        <v>0.655</v>
      </c>
      <c r="AV79" s="131" t="str">
        <f>IFERROR(AVERAGEIFS(
'20102013 STH Efficacy'!$AX:$AX, 
'20102013 STH Efficacy'!$AL:$AL, $A79, 
'20102013 STH Efficacy'!$AM:$AM, "Albendazole",
'20102013 STH Efficacy'!$AS:$AS,"&lt;2014",
'20102013 STH Efficacy'!$BP:$BP,""),
"")</f>
        <v/>
      </c>
      <c r="AW79" s="132">
        <f t="shared" si="22"/>
        <v>0.3933333333</v>
      </c>
      <c r="AX79" s="131" t="str">
        <f>IFERROR(AVERAGEIFS(
'20102013 STH Efficacy'!$AX:$AX, 
'20102013 STH Efficacy'!$AL:$AL, $A79, 
'20102013 STH Efficacy'!$AM:$AM, "Mebendazole",
'20102013 STH Efficacy'!$AS:$AS,"&lt;2014",
'20102013 STH Efficacy'!$BP:$BP,""),
"")</f>
        <v/>
      </c>
      <c r="AY79" s="132">
        <f t="shared" si="23"/>
        <v>0.5017738095</v>
      </c>
      <c r="AZ79" s="131" t="str">
        <f>IFERROR(AVERAGEIFS(
'20102013 STH Efficacy'!$AX:$AX, 
'20102013 STH Efficacy'!$AL:$AL, $A79, 
'20102013 STH Efficacy'!$AM:$AM, "Albendazole &amp; Ivermectin",
'20102013 STH Efficacy'!$AS:$AS,"&lt;2014",
'20102013 STH Efficacy'!$BP:$BP,""),
"")</f>
        <v/>
      </c>
      <c r="BA79" s="303">
        <f t="shared" si="24"/>
        <v>0.597625</v>
      </c>
      <c r="BB79" s="134" t="str">
        <f>IFERROR(AVERAGEIFS(
'20102013 STH Efficacy'!$N:$N, 
'20102013 STH Efficacy'!$B:$B, $A79, 
'20102013 STH Efficacy'!$C:$C, "Albendazole",
'20102013 STH Efficacy'!$I:$I,"&lt;2014",
'20102013 STH Efficacy'!$AH:$AH,""),
"")</f>
        <v/>
      </c>
      <c r="BC79" s="135">
        <f t="shared" si="25"/>
        <v>0.7613712121</v>
      </c>
      <c r="BD79" s="134" t="str">
        <f>IFERROR(AVERAGEIFS(
'20102013 STH Efficacy'!$N:$N, 
'20102013 STH Efficacy'!$B:$B, $A79, 
'20102013 STH Efficacy'!$C:$C, "Mebendazole",
'20102013 STH Efficacy'!$I:$I,"&lt;2014",
'20102013 STH Efficacy'!$AH:$AH,""),
"")</f>
        <v/>
      </c>
      <c r="BE79" s="135">
        <f t="shared" si="26"/>
        <v>0.4362466667</v>
      </c>
      <c r="BF79" s="128" t="str">
        <f>IFERROR(AVERAGEIFS(
'20102013 STH Efficacy'!$CD:$CD, 
'20102013 STH Efficacy'!$BS:$BS, $A79, 
'20102013 STH Efficacy'!$BT:$BT, "Albendazole",
'20102013 STH Efficacy'!$BZ:$BZ,"&lt;2014",
'20102013 STH Efficacy'!$CU:$CU,""),
"")</f>
        <v/>
      </c>
      <c r="BG79" s="136">
        <f t="shared" si="27"/>
        <v>0.9216027778</v>
      </c>
      <c r="BH79" s="128" t="str">
        <f>IFERROR(AVERAGEIFS(
'20102013 STH Efficacy'!$CD:$CD, 
'20102013 STH Efficacy'!$BS:$BS, $A79, 
'20102013 STH Efficacy'!$BT:$BT, "Mebendazole",
'20102013 STH Efficacy'!$BZ:$BZ,"&lt;2014",
'20102013 STH Efficacy'!$CU:$CU,""),
"")</f>
        <v/>
      </c>
      <c r="BI79" s="136">
        <f t="shared" si="28"/>
        <v>0.9295857143</v>
      </c>
      <c r="BJ79" s="128" t="str">
        <f>IFERROR(AVERAGEIFS(
'20102013 STH Efficacy'!$CD:$CD, 
'20102013 STH Efficacy'!$BS:$BS, $A79, 
'20102013 STH Efficacy'!$BT:$BT, "Albendazole &amp; Ivermectin",
'20102013 STH Efficacy'!$BZ:$BZ,"&lt;2014",
'20102013 STH Efficacy'!$CU:$CU,""),
"")</f>
        <v/>
      </c>
      <c r="BK79" s="136">
        <f t="shared" si="29"/>
        <v>1</v>
      </c>
      <c r="BL79" s="300" t="str">
        <f>IFERROR(
  AVERAGEIFS(
    'NEW 20102013 Onchocerciasis Eff'!$AO:$AO,
    'NEW 20102013 Onchocerciasis Eff'!$C:$C,$A79,
    'NEW 20102013 Onchocerciasis Eff'!$D:$D,"Ivermectin",
    'NEW 20102013 Onchocerciasis Eff'!$AR:$AR,"&lt;2014",
    'NEW 20102013 Onchocerciasis Eff'!$BG:$BG,"")
,"")</f>
        <v/>
      </c>
      <c r="BM79" s="304">
        <f t="shared" si="30"/>
        <v>0.7808368939</v>
      </c>
      <c r="BN79" s="305">
        <v>0.0</v>
      </c>
      <c r="BO79" s="139">
        <v>0.0</v>
      </c>
      <c r="BP79" s="140">
        <v>0.0</v>
      </c>
      <c r="BQ79" s="141">
        <f t="shared" si="31"/>
        <v>0</v>
      </c>
      <c r="BR79" s="104" t="str">
        <f t="shared" si="32"/>
        <v>0000</v>
      </c>
      <c r="BS79" s="104" t="str">
        <f t="shared" si="33"/>
        <v>no action required</v>
      </c>
      <c r="BT79" s="142" t="str">
        <f t="shared" si="34"/>
        <v/>
      </c>
      <c r="BU79" s="104" t="str">
        <f t="shared" si="35"/>
        <v/>
      </c>
      <c r="BV79" s="104" t="str">
        <f t="shared" si="36"/>
        <v>none</v>
      </c>
      <c r="BW79" s="150" t="str">
        <f t="shared" si="37"/>
        <v/>
      </c>
      <c r="BX79" s="150" t="str">
        <f t="shared" si="38"/>
        <v/>
      </c>
      <c r="BY79" s="151" t="str">
        <f t="shared" si="39"/>
        <v/>
      </c>
      <c r="BZ79" s="152" t="str">
        <f t="shared" si="40"/>
        <v/>
      </c>
      <c r="CA79" s="152" t="str">
        <f t="shared" si="41"/>
        <v/>
      </c>
      <c r="CB79" s="152" t="str">
        <f t="shared" si="42"/>
        <v/>
      </c>
      <c r="CC79" s="153" t="str">
        <f t="shared" si="43"/>
        <v/>
      </c>
      <c r="CD79" s="153" t="str">
        <f t="shared" si="44"/>
        <v/>
      </c>
      <c r="CE79" s="154" t="str">
        <f t="shared" si="45"/>
        <v/>
      </c>
      <c r="CF79" s="154" t="str">
        <f t="shared" si="46"/>
        <v/>
      </c>
      <c r="CG79" s="154" t="str">
        <f t="shared" si="47"/>
        <v/>
      </c>
      <c r="CH79" s="308" t="str">
        <f t="shared" si="48"/>
        <v/>
      </c>
      <c r="CI79" s="299"/>
    </row>
    <row r="80">
      <c r="A80" s="103" t="s">
        <v>169</v>
      </c>
      <c r="B80" s="104" t="s">
        <v>90</v>
      </c>
      <c r="C80" s="105">
        <v>8.0645605E7</v>
      </c>
      <c r="D80" s="293">
        <v>0.0</v>
      </c>
      <c r="E80" s="294">
        <v>0.0</v>
      </c>
      <c r="F80" s="307">
        <v>0.0</v>
      </c>
      <c r="G80" s="307">
        <v>0.0</v>
      </c>
      <c r="H80" s="108">
        <v>0.0</v>
      </c>
      <c r="I80" s="109">
        <v>0.0</v>
      </c>
      <c r="J80" s="109">
        <v>0.0</v>
      </c>
      <c r="K80" s="109">
        <v>0.0</v>
      </c>
      <c r="L80" s="112">
        <v>0.0</v>
      </c>
      <c r="M80" s="112">
        <v>0.0</v>
      </c>
      <c r="N80" s="111">
        <v>0.0</v>
      </c>
      <c r="O80" s="298">
        <v>0.0</v>
      </c>
      <c r="P80" s="114"/>
      <c r="Q80" s="114"/>
      <c r="R80" s="121" t="str">
        <f t="shared" si="11"/>
        <v/>
      </c>
      <c r="S80" s="116">
        <f t="shared" si="12"/>
        <v>0.526225767</v>
      </c>
      <c r="T80" s="130"/>
      <c r="U80" s="118">
        <f t="shared" si="13"/>
        <v>0.3468166667</v>
      </c>
      <c r="V80" s="148"/>
      <c r="W80" s="120">
        <f t="shared" si="14"/>
        <v>1</v>
      </c>
      <c r="X80" s="148"/>
      <c r="Y80" s="120">
        <f t="shared" si="15"/>
        <v>1</v>
      </c>
      <c r="Z80" s="299"/>
      <c r="AA80" s="299"/>
      <c r="AB80" s="300" t="str">
        <f t="shared" si="16"/>
        <v/>
      </c>
      <c r="AC80" s="301">
        <f t="shared" si="17"/>
        <v>0.6295826791</v>
      </c>
      <c r="AD80" s="122">
        <v>0.0</v>
      </c>
      <c r="AE80" s="123">
        <v>0.0</v>
      </c>
      <c r="AF80" s="123">
        <v>0.0</v>
      </c>
      <c r="AG80" s="124">
        <v>0.0</v>
      </c>
      <c r="AH80" s="124">
        <v>0.0</v>
      </c>
      <c r="AI80" s="125">
        <v>0.0</v>
      </c>
      <c r="AJ80" s="125">
        <v>0.0</v>
      </c>
      <c r="AK80" s="127">
        <v>0.0</v>
      </c>
      <c r="AL80" s="127">
        <v>0.0</v>
      </c>
      <c r="AM80" s="302">
        <v>0.0</v>
      </c>
      <c r="AN80" s="149" t="str">
        <f>IFERROR(
  AVERAGEIFS(
    'New 20102013 LF Efficacy'!$J:$J,
    'New 20102013 LF Efficacy'!$D:$D, $A80,
    'New 20102013 LF Efficacy'!$F:$F,"DEC", 
    'New 20102013 LF Efficacy'!$W:$W,"&lt;2014",
    'New 20102013 LF Efficacy'!$AA:$AA,""),
  ""
)</f>
        <v/>
      </c>
      <c r="AO80" s="115">
        <f t="shared" si="18"/>
        <v>0.3573520833</v>
      </c>
      <c r="AP80" s="121" t="str">
        <f>IFERROR(
AVERAGEIFS(
'New 20102013 LF Efficacy'!$J:$J,
'New 20102013 LF Efficacy'!$D:$D,$A80,
'New 20102013 LF Efficacy'!$F:$F,"Albendazole &amp; DEC",
'New 20102013 LF Efficacy'!$W:$W,"&lt;2014",
'New 20102013 LF Efficacy'!$AA:$AA,""),
"")
</f>
        <v/>
      </c>
      <c r="AQ80" s="115">
        <f t="shared" si="19"/>
        <v>0.5137291667</v>
      </c>
      <c r="AR80" s="121" t="str">
        <f>IFERROR(
AVERAGEIFS(
'New 20102013 LF Efficacy'!$J:$J,
'New 20102013 LF Efficacy'!$D:$D,$A80,
'New 20102013 LF Efficacy'!$F:$F,"Albendazole &amp; Ivermectin", 
'New 20102013 LF Efficacy'!$W:$W,"&lt;2014",
'New 20102013 LF Efficacy'!$AA:$AA,""),"")</f>
        <v/>
      </c>
      <c r="AS80" s="115">
        <f t="shared" si="20"/>
        <v>0.37153125</v>
      </c>
      <c r="AT80" s="130" t="str">
        <f>IFERROR(AVERAGEIFS(
'20102013 Schist Efficacy'!$O:$O, 
'20102013 Schist Efficacy'!$C:$C,$A80, 
'20102013 Schist Efficacy'!$D:$D, "Praziquantel",
'20102013 Schist Efficacy'!$J:$J,"&lt;2014",
'20102013 Schist Efficacy'!$U:$U,""),
"")</f>
        <v/>
      </c>
      <c r="AU80" s="118">
        <f t="shared" si="21"/>
        <v>0.655</v>
      </c>
      <c r="AV80" s="131" t="str">
        <f>IFERROR(AVERAGEIFS(
'20102013 STH Efficacy'!$AX:$AX, 
'20102013 STH Efficacy'!$AL:$AL, $A80, 
'20102013 STH Efficacy'!$AM:$AM, "Albendazole",
'20102013 STH Efficacy'!$AS:$AS,"&lt;2014",
'20102013 STH Efficacy'!$BP:$BP,""),
"")</f>
        <v/>
      </c>
      <c r="AW80" s="132">
        <f t="shared" si="22"/>
        <v>0.3933333333</v>
      </c>
      <c r="AX80" s="131" t="str">
        <f>IFERROR(AVERAGEIFS(
'20102013 STH Efficacy'!$AX:$AX, 
'20102013 STH Efficacy'!$AL:$AL, $A80, 
'20102013 STH Efficacy'!$AM:$AM, "Mebendazole",
'20102013 STH Efficacy'!$AS:$AS,"&lt;2014",
'20102013 STH Efficacy'!$BP:$BP,""),
"")</f>
        <v/>
      </c>
      <c r="AY80" s="132">
        <f t="shared" si="23"/>
        <v>0.5017738095</v>
      </c>
      <c r="AZ80" s="131" t="str">
        <f>IFERROR(AVERAGEIFS(
'20102013 STH Efficacy'!$AX:$AX, 
'20102013 STH Efficacy'!$AL:$AL, $A80, 
'20102013 STH Efficacy'!$AM:$AM, "Albendazole &amp; Ivermectin",
'20102013 STH Efficacy'!$AS:$AS,"&lt;2014",
'20102013 STH Efficacy'!$BP:$BP,""),
"")</f>
        <v/>
      </c>
      <c r="BA80" s="303">
        <f t="shared" si="24"/>
        <v>0.597625</v>
      </c>
      <c r="BB80" s="134" t="str">
        <f>IFERROR(AVERAGEIFS(
'20102013 STH Efficacy'!$N:$N, 
'20102013 STH Efficacy'!$B:$B, $A80, 
'20102013 STH Efficacy'!$C:$C, "Albendazole",
'20102013 STH Efficacy'!$I:$I,"&lt;2014",
'20102013 STH Efficacy'!$AH:$AH,""),
"")</f>
        <v/>
      </c>
      <c r="BC80" s="135">
        <f t="shared" si="25"/>
        <v>0.7613712121</v>
      </c>
      <c r="BD80" s="134" t="str">
        <f>IFERROR(AVERAGEIFS(
'20102013 STH Efficacy'!$N:$N, 
'20102013 STH Efficacy'!$B:$B, $A80, 
'20102013 STH Efficacy'!$C:$C, "Mebendazole",
'20102013 STH Efficacy'!$I:$I,"&lt;2014",
'20102013 STH Efficacy'!$AH:$AH,""),
"")</f>
        <v/>
      </c>
      <c r="BE80" s="135">
        <f t="shared" si="26"/>
        <v>0.4362466667</v>
      </c>
      <c r="BF80" s="128" t="str">
        <f>IFERROR(AVERAGEIFS(
'20102013 STH Efficacy'!$CD:$CD, 
'20102013 STH Efficacy'!$BS:$BS, $A80, 
'20102013 STH Efficacy'!$BT:$BT, "Albendazole",
'20102013 STH Efficacy'!$BZ:$BZ,"&lt;2014",
'20102013 STH Efficacy'!$CU:$CU,""),
"")</f>
        <v/>
      </c>
      <c r="BG80" s="136">
        <f t="shared" si="27"/>
        <v>0.9216027778</v>
      </c>
      <c r="BH80" s="128" t="str">
        <f>IFERROR(AVERAGEIFS(
'20102013 STH Efficacy'!$CD:$CD, 
'20102013 STH Efficacy'!$BS:$BS, $A80, 
'20102013 STH Efficacy'!$BT:$BT, "Mebendazole",
'20102013 STH Efficacy'!$BZ:$BZ,"&lt;2014",
'20102013 STH Efficacy'!$CU:$CU,""),
"")</f>
        <v/>
      </c>
      <c r="BI80" s="136">
        <f t="shared" si="28"/>
        <v>0.9295857143</v>
      </c>
      <c r="BJ80" s="128" t="str">
        <f>IFERROR(AVERAGEIFS(
'20102013 STH Efficacy'!$CD:$CD, 
'20102013 STH Efficacy'!$BS:$BS, $A80, 
'20102013 STH Efficacy'!$BT:$BT, "Albendazole &amp; Ivermectin",
'20102013 STH Efficacy'!$BZ:$BZ,"&lt;2014",
'20102013 STH Efficacy'!$CU:$CU,""),
"")</f>
        <v/>
      </c>
      <c r="BK80" s="136">
        <f t="shared" si="29"/>
        <v>1</v>
      </c>
      <c r="BL80" s="300" t="str">
        <f>IFERROR(
  AVERAGEIFS(
    'NEW 20102013 Onchocerciasis Eff'!$AO:$AO,
    'NEW 20102013 Onchocerciasis Eff'!$C:$C,$A80,
    'NEW 20102013 Onchocerciasis Eff'!$D:$D,"Ivermectin",
    'NEW 20102013 Onchocerciasis Eff'!$AR:$AR,"&lt;2014",
    'NEW 20102013 Onchocerciasis Eff'!$BG:$BG,"")
,"")</f>
        <v/>
      </c>
      <c r="BM80" s="304">
        <f t="shared" si="30"/>
        <v>0.7808368939</v>
      </c>
      <c r="BN80" s="305">
        <v>0.0</v>
      </c>
      <c r="BO80" s="139">
        <v>0.0</v>
      </c>
      <c r="BP80" s="140">
        <v>0.0</v>
      </c>
      <c r="BQ80" s="141">
        <f t="shared" si="31"/>
        <v>0</v>
      </c>
      <c r="BR80" s="104" t="str">
        <f t="shared" si="32"/>
        <v>0000</v>
      </c>
      <c r="BS80" s="104" t="str">
        <f t="shared" si="33"/>
        <v>no action required</v>
      </c>
      <c r="BT80" s="142" t="str">
        <f t="shared" si="34"/>
        <v/>
      </c>
      <c r="BU80" s="104" t="str">
        <f t="shared" si="35"/>
        <v/>
      </c>
      <c r="BV80" s="104" t="str">
        <f t="shared" si="36"/>
        <v>none</v>
      </c>
      <c r="BW80" s="150" t="str">
        <f t="shared" si="37"/>
        <v/>
      </c>
      <c r="BX80" s="150" t="str">
        <f t="shared" si="38"/>
        <v/>
      </c>
      <c r="BY80" s="151" t="str">
        <f t="shared" si="39"/>
        <v/>
      </c>
      <c r="BZ80" s="152" t="str">
        <f t="shared" si="40"/>
        <v/>
      </c>
      <c r="CA80" s="152" t="str">
        <f t="shared" si="41"/>
        <v/>
      </c>
      <c r="CB80" s="152" t="str">
        <f t="shared" si="42"/>
        <v/>
      </c>
      <c r="CC80" s="153" t="str">
        <f t="shared" si="43"/>
        <v/>
      </c>
      <c r="CD80" s="153" t="str">
        <f t="shared" si="44"/>
        <v/>
      </c>
      <c r="CE80" s="154" t="str">
        <f t="shared" si="45"/>
        <v/>
      </c>
      <c r="CF80" s="154" t="str">
        <f t="shared" si="46"/>
        <v/>
      </c>
      <c r="CG80" s="154" t="str">
        <f t="shared" si="47"/>
        <v/>
      </c>
      <c r="CH80" s="308" t="str">
        <f t="shared" si="48"/>
        <v/>
      </c>
      <c r="CI80" s="299"/>
    </row>
    <row r="81">
      <c r="A81" s="103" t="s">
        <v>170</v>
      </c>
      <c r="B81" s="104" t="s">
        <v>92</v>
      </c>
      <c r="C81" s="105">
        <v>2.6346251E7</v>
      </c>
      <c r="D81" s="293">
        <v>8634.38</v>
      </c>
      <c r="E81" s="294">
        <v>40730.07032</v>
      </c>
      <c r="F81" s="309">
        <v>0.603824057</v>
      </c>
      <c r="G81" s="309">
        <v>2.526066388</v>
      </c>
      <c r="H81" s="157">
        <v>3.129890445</v>
      </c>
      <c r="I81" s="110">
        <v>369.867483</v>
      </c>
      <c r="J81" s="110">
        <v>915.517882</v>
      </c>
      <c r="K81" s="110">
        <v>1285.385365</v>
      </c>
      <c r="L81" s="111">
        <v>2070.967245</v>
      </c>
      <c r="M81" s="112">
        <v>338.6362871</v>
      </c>
      <c r="N81" s="111">
        <v>2409.603532</v>
      </c>
      <c r="O81" s="324">
        <v>1.32383E-46</v>
      </c>
      <c r="P81" s="160">
        <v>1.0237354E7</v>
      </c>
      <c r="Q81" s="160">
        <v>7859416.0</v>
      </c>
      <c r="R81" s="121">
        <f t="shared" si="11"/>
        <v>0.7677194713</v>
      </c>
      <c r="S81" s="116">
        <f t="shared" si="12"/>
        <v>0.7677194713</v>
      </c>
      <c r="T81" s="130"/>
      <c r="U81" s="118">
        <f t="shared" si="13"/>
        <v>0.252</v>
      </c>
      <c r="V81" s="148"/>
      <c r="W81" s="120">
        <f t="shared" si="14"/>
        <v>0.8114541667</v>
      </c>
      <c r="X81" s="119">
        <v>1.0</v>
      </c>
      <c r="Y81" s="120">
        <f t="shared" si="15"/>
        <v>1</v>
      </c>
      <c r="Z81" s="310">
        <v>4450048.0</v>
      </c>
      <c r="AA81" s="310">
        <v>3495861.0</v>
      </c>
      <c r="AB81" s="300">
        <f t="shared" si="16"/>
        <v>0.7855782679</v>
      </c>
      <c r="AC81" s="301">
        <f t="shared" si="17"/>
        <v>0.7855782679</v>
      </c>
      <c r="AD81" s="122">
        <v>0.0056</v>
      </c>
      <c r="AE81" s="123">
        <v>0.14</v>
      </c>
      <c r="AF81" s="123">
        <v>0.0431</v>
      </c>
      <c r="AG81" s="124">
        <v>0.0204</v>
      </c>
      <c r="AH81" s="124">
        <v>0.031849161</v>
      </c>
      <c r="AI81" s="125">
        <v>0.0307</v>
      </c>
      <c r="AJ81" s="125">
        <v>0.050656598</v>
      </c>
      <c r="AK81" s="127">
        <v>0.0304</v>
      </c>
      <c r="AL81" s="127">
        <v>0.048</v>
      </c>
      <c r="AM81" s="302">
        <v>0.0</v>
      </c>
      <c r="AN81" s="149" t="str">
        <f>IFERROR(
  AVERAGEIFS(
    'New 20102013 LF Efficacy'!$J:$J,
    'New 20102013 LF Efficacy'!$D:$D, $A81,
    'New 20102013 LF Efficacy'!$F:$F,"DEC", 
    'New 20102013 LF Efficacy'!$W:$W,"&lt;2014",
    'New 20102013 LF Efficacy'!$AA:$AA,""),
  ""
)</f>
        <v/>
      </c>
      <c r="AO81" s="115">
        <f t="shared" si="18"/>
        <v>0.31225</v>
      </c>
      <c r="AP81" s="121" t="str">
        <f>IFERROR(
AVERAGEIFS(
'New 20102013 LF Efficacy'!$J:$J,
'New 20102013 LF Efficacy'!$D:$D,$A81,
'New 20102013 LF Efficacy'!$F:$F,"Albendazole &amp; DEC",
'New 20102013 LF Efficacy'!$W:$W,"&lt;2014",
'New 20102013 LF Efficacy'!$AA:$AA,""),
"")
</f>
        <v/>
      </c>
      <c r="AQ81" s="115">
        <f t="shared" si="19"/>
        <v>0.4</v>
      </c>
      <c r="AR81" s="121">
        <f>IFERROR(
AVERAGEIFS(
'New 20102013 LF Efficacy'!$J:$J,
'New 20102013 LF Efficacy'!$D:$D,$A81,
'New 20102013 LF Efficacy'!$F:$F,"Albendazole &amp; Ivermectin", 
'New 20102013 LF Efficacy'!$W:$W,"&lt;2014",
'New 20102013 LF Efficacy'!$AA:$AA,""),"")</f>
        <v>0.394625</v>
      </c>
      <c r="AS81" s="115">
        <f t="shared" si="20"/>
        <v>0.394625</v>
      </c>
      <c r="AT81" s="130" t="str">
        <f>IFERROR(AVERAGEIFS(
'20102013 Schist Efficacy'!$O:$O, 
'20102013 Schist Efficacy'!$C:$C,$A81, 
'20102013 Schist Efficacy'!$D:$D, "Praziquantel",
'20102013 Schist Efficacy'!$J:$J,"&lt;2014",
'20102013 Schist Efficacy'!$U:$U,""),
"")</f>
        <v/>
      </c>
      <c r="AU81" s="118">
        <f t="shared" si="21"/>
        <v>0.7192212527</v>
      </c>
      <c r="AV81" s="131" t="str">
        <f>IFERROR(AVERAGEIFS(
'20102013 STH Efficacy'!$AX:$AX, 
'20102013 STH Efficacy'!$AL:$AL, $A81, 
'20102013 STH Efficacy'!$AM:$AM, "Albendazole",
'20102013 STH Efficacy'!$AS:$AS,"&lt;2014",
'20102013 STH Efficacy'!$BP:$BP,""),
"")</f>
        <v/>
      </c>
      <c r="AW81" s="132">
        <f t="shared" si="22"/>
        <v>0.3816333333</v>
      </c>
      <c r="AX81" s="131" t="str">
        <f>IFERROR(AVERAGEIFS(
'20102013 STH Efficacy'!$AX:$AX, 
'20102013 STH Efficacy'!$AL:$AL, $A81, 
'20102013 STH Efficacy'!$AM:$AM, "Mebendazole",
'20102013 STH Efficacy'!$AS:$AS,"&lt;2014",
'20102013 STH Efficacy'!$BP:$BP,""),
"")</f>
        <v/>
      </c>
      <c r="AY81" s="132">
        <f t="shared" si="23"/>
        <v>0.5675833333</v>
      </c>
      <c r="AZ81" s="131" t="str">
        <f>IFERROR(AVERAGEIFS(
'20102013 STH Efficacy'!$AX:$AX, 
'20102013 STH Efficacy'!$AL:$AL, $A81, 
'20102013 STH Efficacy'!$AM:$AM, "Albendazole &amp; Ivermectin",
'20102013 STH Efficacy'!$AS:$AS,"&lt;2014",
'20102013 STH Efficacy'!$BP:$BP,""),
"")</f>
        <v/>
      </c>
      <c r="BA81" s="303">
        <f t="shared" si="24"/>
        <v>0.47175</v>
      </c>
      <c r="BB81" s="134" t="str">
        <f>IFERROR(AVERAGEIFS(
'20102013 STH Efficacy'!$N:$N, 
'20102013 STH Efficacy'!$B:$B, $A81, 
'20102013 STH Efficacy'!$C:$C, "Albendazole",
'20102013 STH Efficacy'!$I:$I,"&lt;2014",
'20102013 STH Efficacy'!$AH:$AH,""),
"")</f>
        <v/>
      </c>
      <c r="BC81" s="135">
        <f t="shared" si="25"/>
        <v>0.8699166667</v>
      </c>
      <c r="BD81" s="134" t="str">
        <f>IFERROR(AVERAGEIFS(
'20102013 STH Efficacy'!$N:$N, 
'20102013 STH Efficacy'!$B:$B, $A81, 
'20102013 STH Efficacy'!$C:$C, "Mebendazole",
'20102013 STH Efficacy'!$I:$I,"&lt;2014",
'20102013 STH Efficacy'!$AH:$AH,""),
"")</f>
        <v/>
      </c>
      <c r="BE81" s="135">
        <f t="shared" si="26"/>
        <v>0.7092416667</v>
      </c>
      <c r="BF81" s="128" t="str">
        <f>IFERROR(AVERAGEIFS(
'20102013 STH Efficacy'!$CD:$CD, 
'20102013 STH Efficacy'!$BS:$BS, $A81, 
'20102013 STH Efficacy'!$BT:$BT, "Albendazole",
'20102013 STH Efficacy'!$BZ:$BZ,"&lt;2014",
'20102013 STH Efficacy'!$CU:$CU,""),
"")</f>
        <v/>
      </c>
      <c r="BG81" s="136">
        <f t="shared" si="27"/>
        <v>0.9066666667</v>
      </c>
      <c r="BH81" s="128" t="str">
        <f>IFERROR(AVERAGEIFS(
'20102013 STH Efficacy'!$CD:$CD, 
'20102013 STH Efficacy'!$BS:$BS, $A81, 
'20102013 STH Efficacy'!$BT:$BT, "Mebendazole",
'20102013 STH Efficacy'!$BZ:$BZ,"&lt;2014",
'20102013 STH Efficacy'!$CU:$CU,""),
"")</f>
        <v/>
      </c>
      <c r="BI81" s="136">
        <f t="shared" si="28"/>
        <v>0.9358666667</v>
      </c>
      <c r="BJ81" s="128" t="str">
        <f>IFERROR(AVERAGEIFS(
'20102013 STH Efficacy'!$CD:$CD, 
'20102013 STH Efficacy'!$BS:$BS, $A81, 
'20102013 STH Efficacy'!$BT:$BT, "Albendazole &amp; Ivermectin",
'20102013 STH Efficacy'!$BZ:$BZ,"&lt;2014",
'20102013 STH Efficacy'!$CU:$CU,""),
"")</f>
        <v/>
      </c>
      <c r="BK81" s="136">
        <f t="shared" si="29"/>
        <v>1</v>
      </c>
      <c r="BL81" s="300">
        <f>IFERROR(
  AVERAGEIFS(
    'NEW 20102013 Onchocerciasis Eff'!$AO:$AO,
    'NEW 20102013 Onchocerciasis Eff'!$C:$C,$A81,
    'NEW 20102013 Onchocerciasis Eff'!$D:$D,"Ivermectin",
    'NEW 20102013 Onchocerciasis Eff'!$AR:$AR,"&lt;2014",
    'NEW 20102013 Onchocerciasis Eff'!$BG:$BG,"")
,"")</f>
        <v>0.8558066667</v>
      </c>
      <c r="BM81" s="304">
        <f t="shared" si="30"/>
        <v>0.8558066667</v>
      </c>
      <c r="BN81" s="305">
        <v>1.0</v>
      </c>
      <c r="BO81" s="139">
        <v>1.0</v>
      </c>
      <c r="BP81" s="140">
        <v>1.0</v>
      </c>
      <c r="BQ81" s="141">
        <f t="shared" si="31"/>
        <v>0</v>
      </c>
      <c r="BR81" s="104" t="str">
        <f t="shared" si="32"/>
        <v>1110</v>
      </c>
      <c r="BS81" s="104" t="str">
        <f t="shared" si="33"/>
        <v>MDA1+T2</v>
      </c>
      <c r="BT81" s="142" t="str">
        <f t="shared" si="34"/>
        <v>IVM+ALB</v>
      </c>
      <c r="BU81" s="104" t="str">
        <f t="shared" si="35"/>
        <v>PZQ</v>
      </c>
      <c r="BV81" s="104" t="str">
        <f t="shared" si="36"/>
        <v>lf+onch+schist </v>
      </c>
      <c r="BW81" s="150" t="str">
        <f t="shared" si="37"/>
        <v/>
      </c>
      <c r="BX81" s="312">
        <f t="shared" si="38"/>
        <v>3752.851806</v>
      </c>
      <c r="BY81" s="162">
        <f t="shared" si="39"/>
        <v>9016.201055</v>
      </c>
      <c r="BZ81" s="152" t="str">
        <f t="shared" si="40"/>
        <v/>
      </c>
      <c r="CA81" s="152" t="str">
        <f t="shared" si="41"/>
        <v/>
      </c>
      <c r="CB81" s="152" t="str">
        <f t="shared" si="42"/>
        <v/>
      </c>
      <c r="CC81" s="153" t="str">
        <f t="shared" si="43"/>
        <v/>
      </c>
      <c r="CD81" s="153" t="str">
        <f t="shared" si="44"/>
        <v/>
      </c>
      <c r="CE81" s="154" t="str">
        <f t="shared" si="45"/>
        <v/>
      </c>
      <c r="CF81" s="154" t="str">
        <f t="shared" si="46"/>
        <v/>
      </c>
      <c r="CG81" s="154" t="str">
        <f t="shared" si="47"/>
        <v/>
      </c>
      <c r="CH81" s="313">
        <f t="shared" si="48"/>
        <v>0</v>
      </c>
      <c r="CI81" s="299"/>
    </row>
    <row r="82">
      <c r="A82" s="103" t="s">
        <v>171</v>
      </c>
      <c r="B82" s="104" t="s">
        <v>90</v>
      </c>
      <c r="C82" s="105">
        <v>1.0965211E7</v>
      </c>
      <c r="D82" s="293">
        <v>0.0</v>
      </c>
      <c r="E82" s="294">
        <v>0.0</v>
      </c>
      <c r="F82" s="307">
        <v>0.0</v>
      </c>
      <c r="G82" s="307">
        <v>0.0</v>
      </c>
      <c r="H82" s="108">
        <v>0.0</v>
      </c>
      <c r="I82" s="109">
        <v>0.0</v>
      </c>
      <c r="J82" s="109">
        <v>0.0</v>
      </c>
      <c r="K82" s="109">
        <v>0.0</v>
      </c>
      <c r="L82" s="112">
        <v>0.0</v>
      </c>
      <c r="M82" s="112">
        <v>0.0</v>
      </c>
      <c r="N82" s="111">
        <v>0.0</v>
      </c>
      <c r="O82" s="298">
        <v>0.0</v>
      </c>
      <c r="P82" s="114"/>
      <c r="Q82" s="114"/>
      <c r="R82" s="121" t="str">
        <f t="shared" si="11"/>
        <v/>
      </c>
      <c r="S82" s="116">
        <f t="shared" si="12"/>
        <v>0.526225767</v>
      </c>
      <c r="T82" s="130"/>
      <c r="U82" s="118">
        <f t="shared" si="13"/>
        <v>0.3468166667</v>
      </c>
      <c r="V82" s="148"/>
      <c r="W82" s="120">
        <f t="shared" si="14"/>
        <v>1</v>
      </c>
      <c r="X82" s="148"/>
      <c r="Y82" s="120">
        <f t="shared" si="15"/>
        <v>1</v>
      </c>
      <c r="Z82" s="299"/>
      <c r="AA82" s="299"/>
      <c r="AB82" s="300" t="str">
        <f t="shared" si="16"/>
        <v/>
      </c>
      <c r="AC82" s="301">
        <f t="shared" si="17"/>
        <v>0.6295826791</v>
      </c>
      <c r="AD82" s="122">
        <v>0.0</v>
      </c>
      <c r="AE82" s="123">
        <v>0.0</v>
      </c>
      <c r="AF82" s="123">
        <v>0.0</v>
      </c>
      <c r="AG82" s="124">
        <v>0.0</v>
      </c>
      <c r="AH82" s="124">
        <v>0.0</v>
      </c>
      <c r="AI82" s="125">
        <v>0.0</v>
      </c>
      <c r="AJ82" s="125">
        <v>0.0</v>
      </c>
      <c r="AK82" s="127">
        <v>0.0</v>
      </c>
      <c r="AL82" s="127">
        <v>0.0</v>
      </c>
      <c r="AM82" s="302">
        <v>0.0</v>
      </c>
      <c r="AN82" s="149" t="str">
        <f>IFERROR(
  AVERAGEIFS(
    'New 20102013 LF Efficacy'!$J:$J,
    'New 20102013 LF Efficacy'!$D:$D, $A82,
    'New 20102013 LF Efficacy'!$F:$F,"DEC", 
    'New 20102013 LF Efficacy'!$W:$W,"&lt;2014",
    'New 20102013 LF Efficacy'!$AA:$AA,""),
  ""
)</f>
        <v/>
      </c>
      <c r="AO82" s="115">
        <f t="shared" si="18"/>
        <v>0.3573520833</v>
      </c>
      <c r="AP82" s="121" t="str">
        <f>IFERROR(
AVERAGEIFS(
'New 20102013 LF Efficacy'!$J:$J,
'New 20102013 LF Efficacy'!$D:$D,$A82,
'New 20102013 LF Efficacy'!$F:$F,"Albendazole &amp; DEC",
'New 20102013 LF Efficacy'!$W:$W,"&lt;2014",
'New 20102013 LF Efficacy'!$AA:$AA,""),
"")
</f>
        <v/>
      </c>
      <c r="AQ82" s="115">
        <f t="shared" si="19"/>
        <v>0.5137291667</v>
      </c>
      <c r="AR82" s="121" t="str">
        <f>IFERROR(
AVERAGEIFS(
'New 20102013 LF Efficacy'!$J:$J,
'New 20102013 LF Efficacy'!$D:$D,$A82,
'New 20102013 LF Efficacy'!$F:$F,"Albendazole &amp; Ivermectin", 
'New 20102013 LF Efficacy'!$W:$W,"&lt;2014",
'New 20102013 LF Efficacy'!$AA:$AA,""),"")</f>
        <v/>
      </c>
      <c r="AS82" s="115">
        <f t="shared" si="20"/>
        <v>0.37153125</v>
      </c>
      <c r="AT82" s="130" t="str">
        <f>IFERROR(AVERAGEIFS(
'20102013 Schist Efficacy'!$O:$O, 
'20102013 Schist Efficacy'!$C:$C,$A82, 
'20102013 Schist Efficacy'!$D:$D, "Praziquantel",
'20102013 Schist Efficacy'!$J:$J,"&lt;2014",
'20102013 Schist Efficacy'!$U:$U,""),
"")</f>
        <v/>
      </c>
      <c r="AU82" s="118">
        <f t="shared" si="21"/>
        <v>0.655</v>
      </c>
      <c r="AV82" s="131" t="str">
        <f>IFERROR(AVERAGEIFS(
'20102013 STH Efficacy'!$AX:$AX, 
'20102013 STH Efficacy'!$AL:$AL, $A82, 
'20102013 STH Efficacy'!$AM:$AM, "Albendazole",
'20102013 STH Efficacy'!$AS:$AS,"&lt;2014",
'20102013 STH Efficacy'!$BP:$BP,""),
"")</f>
        <v/>
      </c>
      <c r="AW82" s="132">
        <f t="shared" si="22"/>
        <v>0.3933333333</v>
      </c>
      <c r="AX82" s="131" t="str">
        <f>IFERROR(AVERAGEIFS(
'20102013 STH Efficacy'!$AX:$AX, 
'20102013 STH Efficacy'!$AL:$AL, $A82, 
'20102013 STH Efficacy'!$AM:$AM, "Mebendazole",
'20102013 STH Efficacy'!$AS:$AS,"&lt;2014",
'20102013 STH Efficacy'!$BP:$BP,""),
"")</f>
        <v/>
      </c>
      <c r="AY82" s="132">
        <f t="shared" si="23"/>
        <v>0.5017738095</v>
      </c>
      <c r="AZ82" s="131" t="str">
        <f>IFERROR(AVERAGEIFS(
'20102013 STH Efficacy'!$AX:$AX, 
'20102013 STH Efficacy'!$AL:$AL, $A82, 
'20102013 STH Efficacy'!$AM:$AM, "Albendazole &amp; Ivermectin",
'20102013 STH Efficacy'!$AS:$AS,"&lt;2014",
'20102013 STH Efficacy'!$BP:$BP,""),
"")</f>
        <v/>
      </c>
      <c r="BA82" s="303">
        <f t="shared" si="24"/>
        <v>0.597625</v>
      </c>
      <c r="BB82" s="134" t="str">
        <f>IFERROR(AVERAGEIFS(
'20102013 STH Efficacy'!$N:$N, 
'20102013 STH Efficacy'!$B:$B, $A82, 
'20102013 STH Efficacy'!$C:$C, "Albendazole",
'20102013 STH Efficacy'!$I:$I,"&lt;2014",
'20102013 STH Efficacy'!$AH:$AH,""),
"")</f>
        <v/>
      </c>
      <c r="BC82" s="135">
        <f t="shared" si="25"/>
        <v>0.7613712121</v>
      </c>
      <c r="BD82" s="134" t="str">
        <f>IFERROR(AVERAGEIFS(
'20102013 STH Efficacy'!$N:$N, 
'20102013 STH Efficacy'!$B:$B, $A82, 
'20102013 STH Efficacy'!$C:$C, "Mebendazole",
'20102013 STH Efficacy'!$I:$I,"&lt;2014",
'20102013 STH Efficacy'!$AH:$AH,""),
"")</f>
        <v/>
      </c>
      <c r="BE82" s="135">
        <f t="shared" si="26"/>
        <v>0.4362466667</v>
      </c>
      <c r="BF82" s="128" t="str">
        <f>IFERROR(AVERAGEIFS(
'20102013 STH Efficacy'!$CD:$CD, 
'20102013 STH Efficacy'!$BS:$BS, $A82, 
'20102013 STH Efficacy'!$BT:$BT, "Albendazole",
'20102013 STH Efficacy'!$BZ:$BZ,"&lt;2014",
'20102013 STH Efficacy'!$CU:$CU,""),
"")</f>
        <v/>
      </c>
      <c r="BG82" s="136">
        <f t="shared" si="27"/>
        <v>0.9216027778</v>
      </c>
      <c r="BH82" s="128" t="str">
        <f>IFERROR(AVERAGEIFS(
'20102013 STH Efficacy'!$CD:$CD, 
'20102013 STH Efficacy'!$BS:$BS, $A82, 
'20102013 STH Efficacy'!$BT:$BT, "Mebendazole",
'20102013 STH Efficacy'!$BZ:$BZ,"&lt;2014",
'20102013 STH Efficacy'!$CU:$CU,""),
"")</f>
        <v/>
      </c>
      <c r="BI82" s="136">
        <f t="shared" si="28"/>
        <v>0.9295857143</v>
      </c>
      <c r="BJ82" s="128" t="str">
        <f>IFERROR(AVERAGEIFS(
'20102013 STH Efficacy'!$CD:$CD, 
'20102013 STH Efficacy'!$BS:$BS, $A82, 
'20102013 STH Efficacy'!$BT:$BT, "Albendazole &amp; Ivermectin",
'20102013 STH Efficacy'!$BZ:$BZ,"&lt;2014",
'20102013 STH Efficacy'!$CU:$CU,""),
"")</f>
        <v/>
      </c>
      <c r="BK82" s="136">
        <f t="shared" si="29"/>
        <v>1</v>
      </c>
      <c r="BL82" s="300" t="str">
        <f>IFERROR(
  AVERAGEIFS(
    'NEW 20102013 Onchocerciasis Eff'!$AO:$AO,
    'NEW 20102013 Onchocerciasis Eff'!$C:$C,$A82,
    'NEW 20102013 Onchocerciasis Eff'!$D:$D,"Ivermectin",
    'NEW 20102013 Onchocerciasis Eff'!$AR:$AR,"&lt;2014",
    'NEW 20102013 Onchocerciasis Eff'!$BG:$BG,"")
,"")</f>
        <v/>
      </c>
      <c r="BM82" s="304">
        <f t="shared" si="30"/>
        <v>0.7808368939</v>
      </c>
      <c r="BN82" s="305">
        <v>0.0</v>
      </c>
      <c r="BO82" s="139">
        <v>0.0</v>
      </c>
      <c r="BP82" s="140">
        <v>0.0</v>
      </c>
      <c r="BQ82" s="141">
        <f t="shared" si="31"/>
        <v>0</v>
      </c>
      <c r="BR82" s="104" t="str">
        <f t="shared" si="32"/>
        <v>0000</v>
      </c>
      <c r="BS82" s="104" t="str">
        <f t="shared" si="33"/>
        <v>no action required</v>
      </c>
      <c r="BT82" s="142" t="str">
        <f t="shared" si="34"/>
        <v/>
      </c>
      <c r="BU82" s="104" t="str">
        <f t="shared" si="35"/>
        <v/>
      </c>
      <c r="BV82" s="104" t="str">
        <f t="shared" si="36"/>
        <v>none</v>
      </c>
      <c r="BW82" s="150" t="str">
        <f t="shared" si="37"/>
        <v/>
      </c>
      <c r="BX82" s="150" t="str">
        <f t="shared" si="38"/>
        <v/>
      </c>
      <c r="BY82" s="151" t="str">
        <f t="shared" si="39"/>
        <v/>
      </c>
      <c r="BZ82" s="152" t="str">
        <f t="shared" si="40"/>
        <v/>
      </c>
      <c r="CA82" s="152" t="str">
        <f t="shared" si="41"/>
        <v/>
      </c>
      <c r="CB82" s="152" t="str">
        <f t="shared" si="42"/>
        <v/>
      </c>
      <c r="CC82" s="153" t="str">
        <f t="shared" si="43"/>
        <v/>
      </c>
      <c r="CD82" s="153" t="str">
        <f t="shared" si="44"/>
        <v/>
      </c>
      <c r="CE82" s="154" t="str">
        <f t="shared" si="45"/>
        <v/>
      </c>
      <c r="CF82" s="154" t="str">
        <f t="shared" si="46"/>
        <v/>
      </c>
      <c r="CG82" s="154" t="str">
        <f t="shared" si="47"/>
        <v/>
      </c>
      <c r="CH82" s="308" t="str">
        <f t="shared" si="48"/>
        <v/>
      </c>
      <c r="CI82" s="299"/>
    </row>
    <row r="83">
      <c r="A83" s="103" t="s">
        <v>172</v>
      </c>
      <c r="B83" s="104" t="s">
        <v>90</v>
      </c>
      <c r="C83" s="105">
        <v>56483.0</v>
      </c>
      <c r="D83" s="293">
        <v>0.0</v>
      </c>
      <c r="E83" s="294">
        <v>0.0</v>
      </c>
      <c r="F83" s="309">
        <v>0.0</v>
      </c>
      <c r="G83" s="309">
        <v>0.0</v>
      </c>
      <c r="H83" s="108">
        <v>0.0</v>
      </c>
      <c r="I83" s="109">
        <v>0.0</v>
      </c>
      <c r="J83" s="109">
        <v>0.0</v>
      </c>
      <c r="K83" s="109">
        <v>0.0</v>
      </c>
      <c r="L83" s="112">
        <v>0.0</v>
      </c>
      <c r="M83" s="112">
        <v>0.0</v>
      </c>
      <c r="N83" s="111">
        <v>0.0</v>
      </c>
      <c r="O83" s="298">
        <v>0.0</v>
      </c>
      <c r="P83" s="114"/>
      <c r="Q83" s="114"/>
      <c r="R83" s="121" t="str">
        <f t="shared" si="11"/>
        <v/>
      </c>
      <c r="S83" s="116">
        <f t="shared" si="12"/>
        <v>0.526225767</v>
      </c>
      <c r="T83" s="130"/>
      <c r="U83" s="118">
        <f t="shared" si="13"/>
        <v>0.3468166667</v>
      </c>
      <c r="V83" s="148"/>
      <c r="W83" s="120">
        <f t="shared" si="14"/>
        <v>1</v>
      </c>
      <c r="X83" s="148"/>
      <c r="Y83" s="120">
        <f t="shared" si="15"/>
        <v>1</v>
      </c>
      <c r="Z83" s="299"/>
      <c r="AA83" s="299"/>
      <c r="AB83" s="300" t="str">
        <f t="shared" si="16"/>
        <v/>
      </c>
      <c r="AC83" s="301">
        <f t="shared" si="17"/>
        <v>0.6295826791</v>
      </c>
      <c r="AD83" s="122">
        <v>0.0</v>
      </c>
      <c r="AE83" s="123">
        <v>0.0</v>
      </c>
      <c r="AF83" s="123">
        <v>0.0</v>
      </c>
      <c r="AG83" s="124">
        <v>0.0</v>
      </c>
      <c r="AH83" s="124">
        <v>0.0</v>
      </c>
      <c r="AI83" s="125">
        <v>0.0</v>
      </c>
      <c r="AJ83" s="125">
        <v>0.0</v>
      </c>
      <c r="AK83" s="127">
        <v>0.0</v>
      </c>
      <c r="AL83" s="127">
        <v>0.0</v>
      </c>
      <c r="AM83" s="302">
        <v>0.0</v>
      </c>
      <c r="AN83" s="149" t="str">
        <f>IFERROR(
  AVERAGEIFS(
    'New 20102013 LF Efficacy'!$J:$J,
    'New 20102013 LF Efficacy'!$D:$D, $A83,
    'New 20102013 LF Efficacy'!$F:$F,"DEC", 
    'New 20102013 LF Efficacy'!$W:$W,"&lt;2014",
    'New 20102013 LF Efficacy'!$AA:$AA,""),
  ""
)</f>
        <v/>
      </c>
      <c r="AO83" s="115">
        <f t="shared" si="18"/>
        <v>0.3573520833</v>
      </c>
      <c r="AP83" s="121" t="str">
        <f>IFERROR(
AVERAGEIFS(
'New 20102013 LF Efficacy'!$J:$J,
'New 20102013 LF Efficacy'!$D:$D,$A83,
'New 20102013 LF Efficacy'!$F:$F,"Albendazole &amp; DEC",
'New 20102013 LF Efficacy'!$W:$W,"&lt;2014",
'New 20102013 LF Efficacy'!$AA:$AA,""),
"")
</f>
        <v/>
      </c>
      <c r="AQ83" s="115">
        <f t="shared" si="19"/>
        <v>0.5137291667</v>
      </c>
      <c r="AR83" s="121" t="str">
        <f>IFERROR(
AVERAGEIFS(
'New 20102013 LF Efficacy'!$J:$J,
'New 20102013 LF Efficacy'!$D:$D,$A83,
'New 20102013 LF Efficacy'!$F:$F,"Albendazole &amp; Ivermectin", 
'New 20102013 LF Efficacy'!$W:$W,"&lt;2014",
'New 20102013 LF Efficacy'!$AA:$AA,""),"")</f>
        <v/>
      </c>
      <c r="AS83" s="115">
        <f t="shared" si="20"/>
        <v>0.37153125</v>
      </c>
      <c r="AT83" s="130" t="str">
        <f>IFERROR(AVERAGEIFS(
'20102013 Schist Efficacy'!$O:$O, 
'20102013 Schist Efficacy'!$C:$C,$A83, 
'20102013 Schist Efficacy'!$D:$D, "Praziquantel",
'20102013 Schist Efficacy'!$J:$J,"&lt;2014",
'20102013 Schist Efficacy'!$U:$U,""),
"")</f>
        <v/>
      </c>
      <c r="AU83" s="118">
        <f t="shared" si="21"/>
        <v>0.655</v>
      </c>
      <c r="AV83" s="131" t="str">
        <f>IFERROR(AVERAGEIFS(
'20102013 STH Efficacy'!$AX:$AX, 
'20102013 STH Efficacy'!$AL:$AL, $A83, 
'20102013 STH Efficacy'!$AM:$AM, "Albendazole",
'20102013 STH Efficacy'!$AS:$AS,"&lt;2014",
'20102013 STH Efficacy'!$BP:$BP,""),
"")</f>
        <v/>
      </c>
      <c r="AW83" s="132">
        <f t="shared" si="22"/>
        <v>0.3933333333</v>
      </c>
      <c r="AX83" s="131" t="str">
        <f>IFERROR(AVERAGEIFS(
'20102013 STH Efficacy'!$AX:$AX, 
'20102013 STH Efficacy'!$AL:$AL, $A83, 
'20102013 STH Efficacy'!$AM:$AM, "Mebendazole",
'20102013 STH Efficacy'!$AS:$AS,"&lt;2014",
'20102013 STH Efficacy'!$BP:$BP,""),
"")</f>
        <v/>
      </c>
      <c r="AY83" s="132">
        <f t="shared" si="23"/>
        <v>0.5017738095</v>
      </c>
      <c r="AZ83" s="131" t="str">
        <f>IFERROR(AVERAGEIFS(
'20102013 STH Efficacy'!$AX:$AX, 
'20102013 STH Efficacy'!$AL:$AL, $A83, 
'20102013 STH Efficacy'!$AM:$AM, "Albendazole &amp; Ivermectin",
'20102013 STH Efficacy'!$AS:$AS,"&lt;2014",
'20102013 STH Efficacy'!$BP:$BP,""),
"")</f>
        <v/>
      </c>
      <c r="BA83" s="303">
        <f t="shared" si="24"/>
        <v>0.597625</v>
      </c>
      <c r="BB83" s="134" t="str">
        <f>IFERROR(AVERAGEIFS(
'20102013 STH Efficacy'!$N:$N, 
'20102013 STH Efficacy'!$B:$B, $A83, 
'20102013 STH Efficacy'!$C:$C, "Albendazole",
'20102013 STH Efficacy'!$I:$I,"&lt;2014",
'20102013 STH Efficacy'!$AH:$AH,""),
"")</f>
        <v/>
      </c>
      <c r="BC83" s="135">
        <f t="shared" si="25"/>
        <v>0.7613712121</v>
      </c>
      <c r="BD83" s="134" t="str">
        <f>IFERROR(AVERAGEIFS(
'20102013 STH Efficacy'!$N:$N, 
'20102013 STH Efficacy'!$B:$B, $A83, 
'20102013 STH Efficacy'!$C:$C, "Mebendazole",
'20102013 STH Efficacy'!$I:$I,"&lt;2014",
'20102013 STH Efficacy'!$AH:$AH,""),
"")</f>
        <v/>
      </c>
      <c r="BE83" s="135">
        <f t="shared" si="26"/>
        <v>0.4362466667</v>
      </c>
      <c r="BF83" s="128" t="str">
        <f>IFERROR(AVERAGEIFS(
'20102013 STH Efficacy'!$CD:$CD, 
'20102013 STH Efficacy'!$BS:$BS, $A83, 
'20102013 STH Efficacy'!$BT:$BT, "Albendazole",
'20102013 STH Efficacy'!$BZ:$BZ,"&lt;2014",
'20102013 STH Efficacy'!$CU:$CU,""),
"")</f>
        <v/>
      </c>
      <c r="BG83" s="136">
        <f t="shared" si="27"/>
        <v>0.9216027778</v>
      </c>
      <c r="BH83" s="128" t="str">
        <f>IFERROR(AVERAGEIFS(
'20102013 STH Efficacy'!$CD:$CD, 
'20102013 STH Efficacy'!$BS:$BS, $A83, 
'20102013 STH Efficacy'!$BT:$BT, "Mebendazole",
'20102013 STH Efficacy'!$BZ:$BZ,"&lt;2014",
'20102013 STH Efficacy'!$CU:$CU,""),
"")</f>
        <v/>
      </c>
      <c r="BI83" s="136">
        <f t="shared" si="28"/>
        <v>0.9295857143</v>
      </c>
      <c r="BJ83" s="128" t="str">
        <f>IFERROR(AVERAGEIFS(
'20102013 STH Efficacy'!$CD:$CD, 
'20102013 STH Efficacy'!$BS:$BS, $A83, 
'20102013 STH Efficacy'!$BT:$BT, "Albendazole &amp; Ivermectin",
'20102013 STH Efficacy'!$BZ:$BZ,"&lt;2014",
'20102013 STH Efficacy'!$CU:$CU,""),
"")</f>
        <v/>
      </c>
      <c r="BK83" s="136">
        <f t="shared" si="29"/>
        <v>1</v>
      </c>
      <c r="BL83" s="300" t="str">
        <f>IFERROR(
  AVERAGEIFS(
    'NEW 20102013 Onchocerciasis Eff'!$AO:$AO,
    'NEW 20102013 Onchocerciasis Eff'!$C:$C,$A83,
    'NEW 20102013 Onchocerciasis Eff'!$D:$D,"Ivermectin",
    'NEW 20102013 Onchocerciasis Eff'!$AR:$AR,"&lt;2014",
    'NEW 20102013 Onchocerciasis Eff'!$BG:$BG,"")
,"")</f>
        <v/>
      </c>
      <c r="BM83" s="304">
        <f t="shared" si="30"/>
        <v>0.7808368939</v>
      </c>
      <c r="BN83" s="305">
        <v>0.0</v>
      </c>
      <c r="BO83" s="139">
        <v>0.0</v>
      </c>
      <c r="BP83" s="140">
        <v>0.0</v>
      </c>
      <c r="BQ83" s="141">
        <f t="shared" si="31"/>
        <v>0</v>
      </c>
      <c r="BR83" s="104" t="str">
        <f t="shared" si="32"/>
        <v>0000</v>
      </c>
      <c r="BS83" s="104" t="str">
        <f t="shared" si="33"/>
        <v>no action required</v>
      </c>
      <c r="BT83" s="142" t="str">
        <f t="shared" si="34"/>
        <v/>
      </c>
      <c r="BU83" s="104" t="str">
        <f t="shared" si="35"/>
        <v/>
      </c>
      <c r="BV83" s="104" t="str">
        <f t="shared" si="36"/>
        <v>none</v>
      </c>
      <c r="BW83" s="150" t="str">
        <f t="shared" si="37"/>
        <v/>
      </c>
      <c r="BX83" s="150" t="str">
        <f t="shared" si="38"/>
        <v/>
      </c>
      <c r="BY83" s="151" t="str">
        <f t="shared" si="39"/>
        <v/>
      </c>
      <c r="BZ83" s="152" t="str">
        <f t="shared" si="40"/>
        <v/>
      </c>
      <c r="CA83" s="152" t="str">
        <f t="shared" si="41"/>
        <v/>
      </c>
      <c r="CB83" s="152" t="str">
        <f t="shared" si="42"/>
        <v/>
      </c>
      <c r="CC83" s="153" t="str">
        <f t="shared" si="43"/>
        <v/>
      </c>
      <c r="CD83" s="153" t="str">
        <f t="shared" si="44"/>
        <v/>
      </c>
      <c r="CE83" s="154" t="str">
        <f t="shared" si="45"/>
        <v/>
      </c>
      <c r="CF83" s="154" t="str">
        <f t="shared" si="46"/>
        <v/>
      </c>
      <c r="CG83" s="154" t="str">
        <f t="shared" si="47"/>
        <v/>
      </c>
      <c r="CH83" s="308" t="str">
        <f t="shared" si="48"/>
        <v/>
      </c>
      <c r="CI83" s="299"/>
    </row>
    <row r="84">
      <c r="A84" s="103" t="s">
        <v>173</v>
      </c>
      <c r="B84" s="104" t="s">
        <v>98</v>
      </c>
      <c r="C84" s="105">
        <v>105909.0</v>
      </c>
      <c r="D84" s="293">
        <v>0.0</v>
      </c>
      <c r="E84" s="294">
        <v>0.0</v>
      </c>
      <c r="F84" s="307">
        <v>0.002762112</v>
      </c>
      <c r="G84" s="307">
        <v>0.017047974</v>
      </c>
      <c r="H84" s="108">
        <v>0.019810086</v>
      </c>
      <c r="I84" s="109">
        <v>3.48382934</v>
      </c>
      <c r="J84" s="109">
        <v>11.0207681</v>
      </c>
      <c r="K84" s="109">
        <v>14.50459739</v>
      </c>
      <c r="L84" s="112">
        <v>0.496344178</v>
      </c>
      <c r="M84" s="112">
        <v>0.699996471</v>
      </c>
      <c r="N84" s="111">
        <v>1.19634065</v>
      </c>
      <c r="O84" s="298">
        <v>0.0</v>
      </c>
      <c r="P84" s="114"/>
      <c r="Q84" s="114"/>
      <c r="R84" s="121" t="str">
        <f t="shared" si="11"/>
        <v/>
      </c>
      <c r="S84" s="116">
        <f t="shared" si="12"/>
        <v>0.2288425133</v>
      </c>
      <c r="T84" s="130"/>
      <c r="U84" s="118">
        <f t="shared" si="13"/>
        <v>0.39435</v>
      </c>
      <c r="V84" s="148"/>
      <c r="W84" s="120">
        <f t="shared" si="14"/>
        <v>0.542475</v>
      </c>
      <c r="X84" s="148"/>
      <c r="Y84" s="120">
        <f t="shared" si="15"/>
        <v>0.6507333333</v>
      </c>
      <c r="Z84" s="299"/>
      <c r="AA84" s="299"/>
      <c r="AB84" s="300" t="str">
        <f t="shared" si="16"/>
        <v/>
      </c>
      <c r="AC84" s="301">
        <f t="shared" si="17"/>
        <v>0.3490201688</v>
      </c>
      <c r="AD84" s="122">
        <v>0.0</v>
      </c>
      <c r="AE84" s="123">
        <v>0.0</v>
      </c>
      <c r="AF84" s="123">
        <v>0.0</v>
      </c>
      <c r="AG84" s="316">
        <v>0.0</v>
      </c>
      <c r="AH84" s="124">
        <v>0.043617532</v>
      </c>
      <c r="AI84" s="317">
        <v>0.0</v>
      </c>
      <c r="AJ84" s="125">
        <v>0.158230345</v>
      </c>
      <c r="AK84" s="319">
        <v>0.0</v>
      </c>
      <c r="AL84" s="319">
        <v>0.0</v>
      </c>
      <c r="AM84" s="302">
        <v>0.0</v>
      </c>
      <c r="AN84" s="149" t="str">
        <f>IFERROR(
  AVERAGEIFS(
    'New 20102013 LF Efficacy'!$J:$J,
    'New 20102013 LF Efficacy'!$D:$D, $A84,
    'New 20102013 LF Efficacy'!$F:$F,"DEC", 
    'New 20102013 LF Efficacy'!$W:$W,"&lt;2014",
    'New 20102013 LF Efficacy'!$AA:$AA,""),
  ""
)</f>
        <v/>
      </c>
      <c r="AO84" s="115">
        <f t="shared" si="18"/>
        <v>0.2589833333</v>
      </c>
      <c r="AP84" s="121" t="str">
        <f>IFERROR(
AVERAGEIFS(
'New 20102013 LF Efficacy'!$J:$J,
'New 20102013 LF Efficacy'!$D:$D,$A84,
'New 20102013 LF Efficacy'!$F:$F,"Albendazole &amp; DEC",
'New 20102013 LF Efficacy'!$W:$W,"&lt;2014",
'New 20102013 LF Efficacy'!$AA:$AA,""),
"")
</f>
        <v/>
      </c>
      <c r="AQ84" s="115">
        <f t="shared" si="19"/>
        <v>0.3465</v>
      </c>
      <c r="AR84" s="121" t="str">
        <f>IFERROR(
AVERAGEIFS(
'New 20102013 LF Efficacy'!$J:$J,
'New 20102013 LF Efficacy'!$D:$D,$A84,
'New 20102013 LF Efficacy'!$F:$F,"Albendazole &amp; Ivermectin", 
'New 20102013 LF Efficacy'!$W:$W,"&lt;2014",
'New 20102013 LF Efficacy'!$AA:$AA,""),"")</f>
        <v/>
      </c>
      <c r="AS84" s="115">
        <f t="shared" si="20"/>
        <v>0.7575</v>
      </c>
      <c r="AT84" s="130" t="str">
        <f>IFERROR(AVERAGEIFS(
'20102013 Schist Efficacy'!$O:$O, 
'20102013 Schist Efficacy'!$C:$C,$A84, 
'20102013 Schist Efficacy'!$D:$D, "Praziquantel",
'20102013 Schist Efficacy'!$J:$J,"&lt;2014",
'20102013 Schist Efficacy'!$U:$U,""),
"")</f>
        <v/>
      </c>
      <c r="AU84" s="118">
        <f t="shared" si="21"/>
        <v>0.7914761905</v>
      </c>
      <c r="AV84" s="131" t="str">
        <f>IFERROR(AVERAGEIFS(
'20102013 STH Efficacy'!$AX:$AX, 
'20102013 STH Efficacy'!$AL:$AL, $A84, 
'20102013 STH Efficacy'!$AM:$AM, "Albendazole",
'20102013 STH Efficacy'!$AS:$AS,"&lt;2014",
'20102013 STH Efficacy'!$BP:$BP,""),
"")</f>
        <v/>
      </c>
      <c r="AW84" s="132">
        <f t="shared" si="22"/>
        <v>0.3945</v>
      </c>
      <c r="AX84" s="131" t="str">
        <f>IFERROR(AVERAGEIFS(
'20102013 STH Efficacy'!$AX:$AX, 
'20102013 STH Efficacy'!$AL:$AL, $A84, 
'20102013 STH Efficacy'!$AM:$AM, "Mebendazole",
'20102013 STH Efficacy'!$AS:$AS,"&lt;2014",
'20102013 STH Efficacy'!$BP:$BP,""),
"")</f>
        <v/>
      </c>
      <c r="AY84" s="132">
        <f t="shared" si="23"/>
        <v>0.6</v>
      </c>
      <c r="AZ84" s="131" t="str">
        <f>IFERROR(AVERAGEIFS(
'20102013 STH Efficacy'!$AX:$AX, 
'20102013 STH Efficacy'!$AL:$AL, $A84, 
'20102013 STH Efficacy'!$AM:$AM, "Albendazole &amp; Ivermectin",
'20102013 STH Efficacy'!$AS:$AS,"&lt;2014",
'20102013 STH Efficacy'!$BP:$BP,""),
"")</f>
        <v/>
      </c>
      <c r="BA84" s="303">
        <f t="shared" si="24"/>
        <v>0.796</v>
      </c>
      <c r="BB84" s="134" t="str">
        <f>IFERROR(AVERAGEIFS(
'20102013 STH Efficacy'!$N:$N, 
'20102013 STH Efficacy'!$B:$B, $A84, 
'20102013 STH Efficacy'!$C:$C, "Albendazole",
'20102013 STH Efficacy'!$I:$I,"&lt;2014",
'20102013 STH Efficacy'!$AH:$AH,""),
"")</f>
        <v/>
      </c>
      <c r="BC84" s="135">
        <f t="shared" si="25"/>
        <v>0.869</v>
      </c>
      <c r="BD84" s="134" t="str">
        <f>IFERROR(AVERAGEIFS(
'20102013 STH Efficacy'!$N:$N, 
'20102013 STH Efficacy'!$B:$B, $A84, 
'20102013 STH Efficacy'!$C:$C, "Mebendazole",
'20102013 STH Efficacy'!$I:$I,"&lt;2014",
'20102013 STH Efficacy'!$AH:$AH,""),
"")</f>
        <v/>
      </c>
      <c r="BE84" s="135">
        <f t="shared" si="26"/>
        <v>0.172</v>
      </c>
      <c r="BF84" s="128" t="str">
        <f>IFERROR(AVERAGEIFS(
'20102013 STH Efficacy'!$CD:$CD, 
'20102013 STH Efficacy'!$BS:$BS, $A84, 
'20102013 STH Efficacy'!$BT:$BT, "Albendazole",
'20102013 STH Efficacy'!$BZ:$BZ,"&lt;2014",
'20102013 STH Efficacy'!$CU:$CU,""),
"")</f>
        <v/>
      </c>
      <c r="BG84" s="136">
        <f t="shared" si="27"/>
        <v>0.9862</v>
      </c>
      <c r="BH84" s="128" t="str">
        <f>IFERROR(AVERAGEIFS(
'20102013 STH Efficacy'!$CD:$CD, 
'20102013 STH Efficacy'!$BS:$BS, $A84, 
'20102013 STH Efficacy'!$BT:$BT, "Mebendazole",
'20102013 STH Efficacy'!$BZ:$BZ,"&lt;2014",
'20102013 STH Efficacy'!$CU:$CU,""),
"")</f>
        <v/>
      </c>
      <c r="BI84" s="136">
        <f t="shared" si="28"/>
        <v>0.769</v>
      </c>
      <c r="BJ84" s="128" t="str">
        <f>IFERROR(AVERAGEIFS(
'20102013 STH Efficacy'!$CD:$CD, 
'20102013 STH Efficacy'!$BS:$BS, $A84, 
'20102013 STH Efficacy'!$BT:$BT, "Albendazole &amp; Ivermectin",
'20102013 STH Efficacy'!$BZ:$BZ,"&lt;2014",
'20102013 STH Efficacy'!$CU:$CU,""),
"")</f>
        <v/>
      </c>
      <c r="BK84" s="136">
        <f t="shared" si="29"/>
        <v>1</v>
      </c>
      <c r="BL84" s="300" t="str">
        <f>IFERROR(
  AVERAGEIFS(
    'NEW 20102013 Onchocerciasis Eff'!$AO:$AO,
    'NEW 20102013 Onchocerciasis Eff'!$C:$C,$A84,
    'NEW 20102013 Onchocerciasis Eff'!$D:$D,"Ivermectin",
    'NEW 20102013 Onchocerciasis Eff'!$AR:$AR,"&lt;2014",
    'NEW 20102013 Onchocerciasis Eff'!$BG:$BG,"")
,"")</f>
        <v/>
      </c>
      <c r="BM84" s="304">
        <f t="shared" si="30"/>
        <v>0.3734</v>
      </c>
      <c r="BN84" s="305">
        <v>0.0</v>
      </c>
      <c r="BO84" s="139">
        <v>0.0</v>
      </c>
      <c r="BP84" s="140">
        <v>0.0</v>
      </c>
      <c r="BQ84" s="141">
        <f t="shared" si="31"/>
        <v>0</v>
      </c>
      <c r="BR84" s="104" t="str">
        <f t="shared" si="32"/>
        <v>0000</v>
      </c>
      <c r="BS84" s="104" t="str">
        <f t="shared" si="33"/>
        <v>no action required</v>
      </c>
      <c r="BT84" s="142" t="str">
        <f t="shared" si="34"/>
        <v/>
      </c>
      <c r="BU84" s="104" t="str">
        <f t="shared" si="35"/>
        <v/>
      </c>
      <c r="BV84" s="104" t="str">
        <f t="shared" si="36"/>
        <v>none</v>
      </c>
      <c r="BW84" s="150" t="str">
        <f t="shared" si="37"/>
        <v/>
      </c>
      <c r="BX84" s="150" t="str">
        <f t="shared" si="38"/>
        <v/>
      </c>
      <c r="BY84" s="151" t="str">
        <f t="shared" si="39"/>
        <v/>
      </c>
      <c r="BZ84" s="152" t="str">
        <f t="shared" si="40"/>
        <v/>
      </c>
      <c r="CA84" s="152" t="str">
        <f t="shared" si="41"/>
        <v/>
      </c>
      <c r="CB84" s="152" t="str">
        <f t="shared" si="42"/>
        <v/>
      </c>
      <c r="CC84" s="153" t="str">
        <f t="shared" si="43"/>
        <v/>
      </c>
      <c r="CD84" s="153" t="str">
        <f t="shared" si="44"/>
        <v/>
      </c>
      <c r="CE84" s="154" t="str">
        <f t="shared" si="45"/>
        <v/>
      </c>
      <c r="CF84" s="154" t="str">
        <f t="shared" si="46"/>
        <v/>
      </c>
      <c r="CG84" s="154" t="str">
        <f t="shared" si="47"/>
        <v/>
      </c>
      <c r="CH84" s="308" t="str">
        <f t="shared" si="48"/>
        <v/>
      </c>
      <c r="CI84" s="299"/>
    </row>
    <row r="85">
      <c r="A85" s="155" t="s">
        <v>174</v>
      </c>
      <c r="B85" s="104" t="s">
        <v>94</v>
      </c>
      <c r="C85" s="105">
        <v>160375.0</v>
      </c>
      <c r="D85" s="293">
        <v>0.0</v>
      </c>
      <c r="E85" s="294">
        <v>0.0</v>
      </c>
      <c r="F85" s="309">
        <v>0.0</v>
      </c>
      <c r="G85" s="309">
        <v>0.0</v>
      </c>
      <c r="H85" s="108">
        <v>0.0</v>
      </c>
      <c r="I85" s="109">
        <v>0.00888735</v>
      </c>
      <c r="J85" s="109">
        <v>0.00883031</v>
      </c>
      <c r="K85" s="109">
        <v>0.017717654</v>
      </c>
      <c r="L85" s="112">
        <v>0.568885469</v>
      </c>
      <c r="M85" s="112">
        <v>0.263304333</v>
      </c>
      <c r="N85" s="111">
        <v>0.832189802</v>
      </c>
      <c r="O85" s="298">
        <v>0.0</v>
      </c>
      <c r="P85" s="114"/>
      <c r="Q85" s="114"/>
      <c r="R85" s="121" t="str">
        <f t="shared" si="11"/>
        <v/>
      </c>
      <c r="S85" s="116">
        <f t="shared" si="12"/>
        <v>0.403639098</v>
      </c>
      <c r="T85" s="130"/>
      <c r="U85" s="118">
        <f t="shared" si="13"/>
        <v>0.6259666667</v>
      </c>
      <c r="V85" s="148"/>
      <c r="W85" s="120">
        <f t="shared" si="14"/>
        <v>0.3807857143</v>
      </c>
      <c r="X85" s="148"/>
      <c r="Y85" s="120">
        <f t="shared" si="15"/>
        <v>0.3971375</v>
      </c>
      <c r="Z85" s="299"/>
      <c r="AA85" s="299"/>
      <c r="AB85" s="300" t="str">
        <f t="shared" si="16"/>
        <v/>
      </c>
      <c r="AC85" s="301">
        <f t="shared" si="17"/>
        <v>0.6295826791</v>
      </c>
      <c r="AD85" s="122">
        <v>0.0</v>
      </c>
      <c r="AE85" s="123">
        <v>0.0</v>
      </c>
      <c r="AF85" s="123">
        <v>0.0</v>
      </c>
      <c r="AG85" s="124">
        <v>1.0E-4</v>
      </c>
      <c r="AH85" s="124">
        <v>9.71192E-5</v>
      </c>
      <c r="AI85" s="125">
        <v>1.0E-4</v>
      </c>
      <c r="AJ85" s="125">
        <v>9.75466E-5</v>
      </c>
      <c r="AK85" s="127">
        <v>1.0E-4</v>
      </c>
      <c r="AL85" s="127">
        <v>1.0E-4</v>
      </c>
      <c r="AM85" s="302">
        <v>0.0</v>
      </c>
      <c r="AN85" s="149" t="str">
        <f>IFERROR(
  AVERAGEIFS(
    'New 20102013 LF Efficacy'!$J:$J,
    'New 20102013 LF Efficacy'!$D:$D, $A85,
    'New 20102013 LF Efficacy'!$F:$F,"DEC", 
    'New 20102013 LF Efficacy'!$W:$W,"&lt;2014",
    'New 20102013 LF Efficacy'!$AA:$AA,""),
  ""
)</f>
        <v/>
      </c>
      <c r="AO85" s="115">
        <f t="shared" si="18"/>
        <v>0.38</v>
      </c>
      <c r="AP85" s="121" t="str">
        <f>IFERROR(
AVERAGEIFS(
'New 20102013 LF Efficacy'!$J:$J,
'New 20102013 LF Efficacy'!$D:$D,$A85,
'New 20102013 LF Efficacy'!$F:$F,"Albendazole &amp; DEC",
'New 20102013 LF Efficacy'!$W:$W,"&lt;2014",
'New 20102013 LF Efficacy'!$AA:$AA,""),
"")
</f>
        <v/>
      </c>
      <c r="AQ85" s="115">
        <f t="shared" si="19"/>
        <v>0.657</v>
      </c>
      <c r="AR85" s="121" t="str">
        <f>IFERROR(
AVERAGEIFS(
'New 20102013 LF Efficacy'!$J:$J,
'New 20102013 LF Efficacy'!$D:$D,$A85,
'New 20102013 LF Efficacy'!$F:$F,"Albendazole &amp; Ivermectin", 
'New 20102013 LF Efficacy'!$W:$W,"&lt;2014",
'New 20102013 LF Efficacy'!$AA:$AA,""),"")</f>
        <v/>
      </c>
      <c r="AS85" s="115">
        <f t="shared" si="20"/>
        <v>0.37153125</v>
      </c>
      <c r="AT85" s="130" t="str">
        <f>IFERROR(AVERAGEIFS(
'20102013 Schist Efficacy'!$O:$O, 
'20102013 Schist Efficacy'!$C:$C,$A85, 
'20102013 Schist Efficacy'!$D:$D, "Praziquantel",
'20102013 Schist Efficacy'!$J:$J,"&lt;2014",
'20102013 Schist Efficacy'!$U:$U,""),
"")</f>
        <v/>
      </c>
      <c r="AU85" s="118">
        <f t="shared" si="21"/>
        <v>0.9475</v>
      </c>
      <c r="AV85" s="131" t="str">
        <f>IFERROR(AVERAGEIFS(
'20102013 STH Efficacy'!$AX:$AX, 
'20102013 STH Efficacy'!$AL:$AL, $A85, 
'20102013 STH Efficacy'!$AM:$AM, "Albendazole",
'20102013 STH Efficacy'!$AS:$AS,"&lt;2014",
'20102013 STH Efficacy'!$BP:$BP,""),
"")</f>
        <v/>
      </c>
      <c r="AW85" s="132">
        <f t="shared" si="22"/>
        <v>0.3571666667</v>
      </c>
      <c r="AX85" s="131" t="str">
        <f>IFERROR(AVERAGEIFS(
'20102013 STH Efficacy'!$AX:$AX, 
'20102013 STH Efficacy'!$AL:$AL, $A85, 
'20102013 STH Efficacy'!$AM:$AM, "Mebendazole",
'20102013 STH Efficacy'!$AS:$AS,"&lt;2014",
'20102013 STH Efficacy'!$BP:$BP,""),
"")</f>
        <v/>
      </c>
      <c r="AY85" s="132">
        <f t="shared" si="23"/>
        <v>0.4155</v>
      </c>
      <c r="AZ85" s="131" t="str">
        <f>IFERROR(AVERAGEIFS(
'20102013 STH Efficacy'!$AX:$AX, 
'20102013 STH Efficacy'!$AL:$AL, $A85, 
'20102013 STH Efficacy'!$AM:$AM, "Albendazole &amp; Ivermectin",
'20102013 STH Efficacy'!$AS:$AS,"&lt;2014",
'20102013 STH Efficacy'!$BP:$BP,""),
"")</f>
        <v/>
      </c>
      <c r="BA85" s="303">
        <f t="shared" si="24"/>
        <v>0.651</v>
      </c>
      <c r="BB85" s="134" t="str">
        <f>IFERROR(AVERAGEIFS(
'20102013 STH Efficacy'!$N:$N, 
'20102013 STH Efficacy'!$B:$B, $A85, 
'20102013 STH Efficacy'!$C:$C, "Albendazole",
'20102013 STH Efficacy'!$I:$I,"&lt;2014",
'20102013 STH Efficacy'!$AH:$AH,""),
"")</f>
        <v/>
      </c>
      <c r="BC85" s="135">
        <f t="shared" si="25"/>
        <v>0.5769166667</v>
      </c>
      <c r="BD85" s="134" t="str">
        <f>IFERROR(AVERAGEIFS(
'20102013 STH Efficacy'!$N:$N, 
'20102013 STH Efficacy'!$B:$B, $A85, 
'20102013 STH Efficacy'!$C:$C, "Mebendazole",
'20102013 STH Efficacy'!$I:$I,"&lt;2014",
'20102013 STH Efficacy'!$AH:$AH,""),
"")</f>
        <v/>
      </c>
      <c r="BE85" s="135">
        <f t="shared" si="26"/>
        <v>0.3145</v>
      </c>
      <c r="BF85" s="128" t="str">
        <f>IFERROR(AVERAGEIFS(
'20102013 STH Efficacy'!$CD:$CD, 
'20102013 STH Efficacy'!$BS:$BS, $A85, 
'20102013 STH Efficacy'!$BT:$BT, "Albendazole",
'20102013 STH Efficacy'!$BZ:$BZ,"&lt;2014",
'20102013 STH Efficacy'!$CU:$CU,""),
"")</f>
        <v/>
      </c>
      <c r="BG85" s="136">
        <f t="shared" si="27"/>
        <v>0.96925</v>
      </c>
      <c r="BH85" s="128" t="str">
        <f>IFERROR(AVERAGEIFS(
'20102013 STH Efficacy'!$CD:$CD, 
'20102013 STH Efficacy'!$BS:$BS, $A85, 
'20102013 STH Efficacy'!$BT:$BT, "Mebendazole",
'20102013 STH Efficacy'!$BZ:$BZ,"&lt;2014",
'20102013 STH Efficacy'!$CU:$CU,""),
"")</f>
        <v/>
      </c>
      <c r="BI85" s="136">
        <f t="shared" si="28"/>
        <v>0.9305</v>
      </c>
      <c r="BJ85" s="128" t="str">
        <f>IFERROR(AVERAGEIFS(
'20102013 STH Efficacy'!$CD:$CD, 
'20102013 STH Efficacy'!$BS:$BS, $A85, 
'20102013 STH Efficacy'!$BT:$BT, "Albendazole &amp; Ivermectin",
'20102013 STH Efficacy'!$BZ:$BZ,"&lt;2014",
'20102013 STH Efficacy'!$CU:$CU,""),
"")</f>
        <v/>
      </c>
      <c r="BK85" s="136">
        <f t="shared" si="29"/>
        <v>1</v>
      </c>
      <c r="BL85" s="300" t="str">
        <f>IFERROR(
  AVERAGEIFS(
    'NEW 20102013 Onchocerciasis Eff'!$AO:$AO,
    'NEW 20102013 Onchocerciasis Eff'!$C:$C,$A85,
    'NEW 20102013 Onchocerciasis Eff'!$D:$D,"Ivermectin",
    'NEW 20102013 Onchocerciasis Eff'!$AR:$AR,"&lt;2014",
    'NEW 20102013 Onchocerciasis Eff'!$BG:$BG,"")
,"")</f>
        <v/>
      </c>
      <c r="BM85" s="304">
        <f t="shared" si="30"/>
        <v>0.7808368939</v>
      </c>
      <c r="BN85" s="305">
        <v>0.0</v>
      </c>
      <c r="BO85" s="139">
        <v>0.0</v>
      </c>
      <c r="BP85" s="140">
        <v>0.0</v>
      </c>
      <c r="BQ85" s="141">
        <f t="shared" si="31"/>
        <v>0</v>
      </c>
      <c r="BR85" s="104" t="str">
        <f t="shared" si="32"/>
        <v>0000</v>
      </c>
      <c r="BS85" s="104" t="str">
        <f t="shared" si="33"/>
        <v>no action required</v>
      </c>
      <c r="BT85" s="142" t="str">
        <f t="shared" si="34"/>
        <v/>
      </c>
      <c r="BU85" s="104" t="str">
        <f t="shared" si="35"/>
        <v/>
      </c>
      <c r="BV85" s="104" t="str">
        <f t="shared" si="36"/>
        <v>none</v>
      </c>
      <c r="BW85" s="150" t="str">
        <f t="shared" si="37"/>
        <v/>
      </c>
      <c r="BX85" s="150" t="str">
        <f t="shared" si="38"/>
        <v/>
      </c>
      <c r="BY85" s="151" t="str">
        <f t="shared" si="39"/>
        <v/>
      </c>
      <c r="BZ85" s="152" t="str">
        <f t="shared" si="40"/>
        <v/>
      </c>
      <c r="CA85" s="152" t="str">
        <f t="shared" si="41"/>
        <v/>
      </c>
      <c r="CB85" s="152" t="str">
        <f t="shared" si="42"/>
        <v/>
      </c>
      <c r="CC85" s="153" t="str">
        <f t="shared" si="43"/>
        <v/>
      </c>
      <c r="CD85" s="153" t="str">
        <f t="shared" si="44"/>
        <v/>
      </c>
      <c r="CE85" s="154" t="str">
        <f t="shared" si="45"/>
        <v/>
      </c>
      <c r="CF85" s="154" t="str">
        <f t="shared" si="46"/>
        <v/>
      </c>
      <c r="CG85" s="154" t="str">
        <f t="shared" si="47"/>
        <v/>
      </c>
      <c r="CH85" s="308" t="str">
        <f t="shared" si="48"/>
        <v/>
      </c>
      <c r="CI85" s="299"/>
    </row>
    <row r="86">
      <c r="A86" s="103" t="s">
        <v>175</v>
      </c>
      <c r="B86" s="104" t="s">
        <v>98</v>
      </c>
      <c r="C86" s="105">
        <v>1.5596214E7</v>
      </c>
      <c r="D86" s="293">
        <v>0.0</v>
      </c>
      <c r="E86" s="294">
        <v>0.0</v>
      </c>
      <c r="F86" s="307">
        <v>508.3934295</v>
      </c>
      <c r="G86" s="307">
        <v>530.8925911</v>
      </c>
      <c r="H86" s="108">
        <v>1039.286021</v>
      </c>
      <c r="I86" s="109">
        <v>1698.22093</v>
      </c>
      <c r="J86" s="109">
        <v>3160.31585</v>
      </c>
      <c r="K86" s="109">
        <v>4858.53678</v>
      </c>
      <c r="L86" s="112">
        <v>1340.417192</v>
      </c>
      <c r="M86" s="112">
        <v>370.5816184</v>
      </c>
      <c r="N86" s="111">
        <v>1710.99881</v>
      </c>
      <c r="O86" s="324">
        <v>1.64697E-46</v>
      </c>
      <c r="P86" s="114"/>
      <c r="Q86" s="114"/>
      <c r="R86" s="121" t="str">
        <f t="shared" si="11"/>
        <v/>
      </c>
      <c r="S86" s="116">
        <f t="shared" si="12"/>
        <v>0.2288425133</v>
      </c>
      <c r="T86" s="130"/>
      <c r="U86" s="118">
        <f t="shared" si="13"/>
        <v>0.39435</v>
      </c>
      <c r="V86" s="119">
        <v>0.0903</v>
      </c>
      <c r="W86" s="120">
        <f t="shared" si="14"/>
        <v>0.0903</v>
      </c>
      <c r="X86" s="119">
        <v>0.0612</v>
      </c>
      <c r="Y86" s="120">
        <f t="shared" si="15"/>
        <v>0.0612</v>
      </c>
      <c r="Z86" s="311" t="s">
        <v>373</v>
      </c>
      <c r="AA86" s="311" t="s">
        <v>373</v>
      </c>
      <c r="AB86" s="300" t="str">
        <f t="shared" si="16"/>
        <v/>
      </c>
      <c r="AC86" s="301">
        <f t="shared" si="17"/>
        <v>0.3490201688</v>
      </c>
      <c r="AD86" s="122">
        <v>0.0</v>
      </c>
      <c r="AE86" s="123">
        <v>0.0</v>
      </c>
      <c r="AF86" s="123">
        <v>0.0</v>
      </c>
      <c r="AG86" s="316">
        <v>0.0</v>
      </c>
      <c r="AH86" s="124">
        <v>0.203769371</v>
      </c>
      <c r="AI86" s="317">
        <v>0.0</v>
      </c>
      <c r="AJ86" s="125">
        <v>0.175873635</v>
      </c>
      <c r="AK86" s="319">
        <v>0.0</v>
      </c>
      <c r="AL86" s="319">
        <v>0.0</v>
      </c>
      <c r="AM86" s="302">
        <v>0.0</v>
      </c>
      <c r="AN86" s="149" t="str">
        <f>IFERROR(
  AVERAGEIFS(
    'New 20102013 LF Efficacy'!$J:$J,
    'New 20102013 LF Efficacy'!$D:$D, $A86,
    'New 20102013 LF Efficacy'!$F:$F,"DEC", 
    'New 20102013 LF Efficacy'!$W:$W,"&lt;2014",
    'New 20102013 LF Efficacy'!$AA:$AA,""),
  ""
)</f>
        <v/>
      </c>
      <c r="AO86" s="115">
        <f t="shared" si="18"/>
        <v>0.2589833333</v>
      </c>
      <c r="AP86" s="121" t="str">
        <f>IFERROR(
AVERAGEIFS(
'New 20102013 LF Efficacy'!$J:$J,
'New 20102013 LF Efficacy'!$D:$D,$A86,
'New 20102013 LF Efficacy'!$F:$F,"Albendazole &amp; DEC",
'New 20102013 LF Efficacy'!$W:$W,"&lt;2014",
'New 20102013 LF Efficacy'!$AA:$AA,""),
"")
</f>
        <v/>
      </c>
      <c r="AQ86" s="115">
        <f t="shared" si="19"/>
        <v>0.3465</v>
      </c>
      <c r="AR86" s="121" t="str">
        <f>IFERROR(
AVERAGEIFS(
'New 20102013 LF Efficacy'!$J:$J,
'New 20102013 LF Efficacy'!$D:$D,$A86,
'New 20102013 LF Efficacy'!$F:$F,"Albendazole &amp; Ivermectin", 
'New 20102013 LF Efficacy'!$W:$W,"&lt;2014",
'New 20102013 LF Efficacy'!$AA:$AA,""),"")</f>
        <v/>
      </c>
      <c r="AS86" s="115">
        <f t="shared" si="20"/>
        <v>0.7575</v>
      </c>
      <c r="AT86" s="130" t="str">
        <f>IFERROR(AVERAGEIFS(
'20102013 Schist Efficacy'!$O:$O, 
'20102013 Schist Efficacy'!$C:$C,$A86, 
'20102013 Schist Efficacy'!$D:$D, "Praziquantel",
'20102013 Schist Efficacy'!$J:$J,"&lt;2014",
'20102013 Schist Efficacy'!$U:$U,""),
"")</f>
        <v/>
      </c>
      <c r="AU86" s="118">
        <f t="shared" si="21"/>
        <v>0.7914761905</v>
      </c>
      <c r="AV86" s="131" t="str">
        <f>IFERROR(AVERAGEIFS(
'20102013 STH Efficacy'!$AX:$AX, 
'20102013 STH Efficacy'!$AL:$AL, $A86, 
'20102013 STH Efficacy'!$AM:$AM, "Albendazole",
'20102013 STH Efficacy'!$AS:$AS,"&lt;2014",
'20102013 STH Efficacy'!$BP:$BP,""),
"")</f>
        <v/>
      </c>
      <c r="AW86" s="132">
        <f t="shared" si="22"/>
        <v>0.3945</v>
      </c>
      <c r="AX86" s="131" t="str">
        <f>IFERROR(AVERAGEIFS(
'20102013 STH Efficacy'!$AX:$AX, 
'20102013 STH Efficacy'!$AL:$AL, $A86, 
'20102013 STH Efficacy'!$AM:$AM, "Mebendazole",
'20102013 STH Efficacy'!$AS:$AS,"&lt;2014",
'20102013 STH Efficacy'!$BP:$BP,""),
"")</f>
        <v/>
      </c>
      <c r="AY86" s="132">
        <f t="shared" si="23"/>
        <v>0.6</v>
      </c>
      <c r="AZ86" s="131" t="str">
        <f>IFERROR(AVERAGEIFS(
'20102013 STH Efficacy'!$AX:$AX, 
'20102013 STH Efficacy'!$AL:$AL, $A86, 
'20102013 STH Efficacy'!$AM:$AM, "Albendazole &amp; Ivermectin",
'20102013 STH Efficacy'!$AS:$AS,"&lt;2014",
'20102013 STH Efficacy'!$BP:$BP,""),
"")</f>
        <v/>
      </c>
      <c r="BA86" s="303">
        <f t="shared" si="24"/>
        <v>0.796</v>
      </c>
      <c r="BB86" s="134" t="str">
        <f>IFERROR(AVERAGEIFS(
'20102013 STH Efficacy'!$N:$N, 
'20102013 STH Efficacy'!$B:$B, $A86, 
'20102013 STH Efficacy'!$C:$C, "Albendazole",
'20102013 STH Efficacy'!$I:$I,"&lt;2014",
'20102013 STH Efficacy'!$AH:$AH,""),
"")</f>
        <v/>
      </c>
      <c r="BC86" s="135">
        <f t="shared" si="25"/>
        <v>0.869</v>
      </c>
      <c r="BD86" s="134" t="str">
        <f>IFERROR(AVERAGEIFS(
'20102013 STH Efficacy'!$N:$N, 
'20102013 STH Efficacy'!$B:$B, $A86, 
'20102013 STH Efficacy'!$C:$C, "Mebendazole",
'20102013 STH Efficacy'!$I:$I,"&lt;2014",
'20102013 STH Efficacy'!$AH:$AH,""),
"")</f>
        <v/>
      </c>
      <c r="BE86" s="135">
        <f t="shared" si="26"/>
        <v>0.172</v>
      </c>
      <c r="BF86" s="128" t="str">
        <f>IFERROR(AVERAGEIFS(
'20102013 STH Efficacy'!$CD:$CD, 
'20102013 STH Efficacy'!$BS:$BS, $A86, 
'20102013 STH Efficacy'!$BT:$BT, "Albendazole",
'20102013 STH Efficacy'!$BZ:$BZ,"&lt;2014",
'20102013 STH Efficacy'!$CU:$CU,""),
"")</f>
        <v/>
      </c>
      <c r="BG86" s="136">
        <f t="shared" si="27"/>
        <v>0.9862</v>
      </c>
      <c r="BH86" s="128" t="str">
        <f>IFERROR(AVERAGEIFS(
'20102013 STH Efficacy'!$CD:$CD, 
'20102013 STH Efficacy'!$BS:$BS, $A86, 
'20102013 STH Efficacy'!$BT:$BT, "Mebendazole",
'20102013 STH Efficacy'!$BZ:$BZ,"&lt;2014",
'20102013 STH Efficacy'!$CU:$CU,""),
"")</f>
        <v/>
      </c>
      <c r="BI86" s="136">
        <f t="shared" si="28"/>
        <v>0.769</v>
      </c>
      <c r="BJ86" s="128" t="str">
        <f>IFERROR(AVERAGEIFS(
'20102013 STH Efficacy'!$CD:$CD, 
'20102013 STH Efficacy'!$BS:$BS, $A86, 
'20102013 STH Efficacy'!$BT:$BT, "Albendazole &amp; Ivermectin",
'20102013 STH Efficacy'!$BZ:$BZ,"&lt;2014",
'20102013 STH Efficacy'!$CU:$CU,""),
"")</f>
        <v/>
      </c>
      <c r="BK86" s="136">
        <f t="shared" si="29"/>
        <v>1</v>
      </c>
      <c r="BL86" s="300">
        <f>IFERROR(
  AVERAGEIFS(
    'NEW 20102013 Onchocerciasis Eff'!$AO:$AO,
    'NEW 20102013 Onchocerciasis Eff'!$C:$C,$A86,
    'NEW 20102013 Onchocerciasis Eff'!$D:$D,"Ivermectin",
    'NEW 20102013 Onchocerciasis Eff'!$AR:$AR,"&lt;2014",
    'NEW 20102013 Onchocerciasis Eff'!$BG:$BG,"")
,"")</f>
        <v>0.3734</v>
      </c>
      <c r="BM86" s="304">
        <f t="shared" si="30"/>
        <v>0.3734</v>
      </c>
      <c r="BN86" s="305">
        <v>0.0</v>
      </c>
      <c r="BO86" s="139">
        <v>1.0</v>
      </c>
      <c r="BP86" s="140">
        <v>0.0</v>
      </c>
      <c r="BQ86" s="141">
        <f t="shared" si="31"/>
        <v>0</v>
      </c>
      <c r="BR86" s="104" t="str">
        <f t="shared" si="32"/>
        <v>0100</v>
      </c>
      <c r="BS86" s="104" t="str">
        <f t="shared" si="33"/>
        <v>MDA3</v>
      </c>
      <c r="BT86" s="142" t="str">
        <f t="shared" si="34"/>
        <v>IVM</v>
      </c>
      <c r="BU86" s="104" t="str">
        <f t="shared" si="35"/>
        <v/>
      </c>
      <c r="BV86" s="104" t="str">
        <f t="shared" si="36"/>
        <v>onch only</v>
      </c>
      <c r="BW86" s="150" t="str">
        <f t="shared" si="37"/>
        <v/>
      </c>
      <c r="BX86" s="150" t="str">
        <f t="shared" si="38"/>
        <v/>
      </c>
      <c r="BY86" s="151" t="str">
        <f t="shared" si="39"/>
        <v/>
      </c>
      <c r="BZ86" s="152" t="str">
        <f t="shared" si="40"/>
        <v/>
      </c>
      <c r="CA86" s="152" t="str">
        <f t="shared" si="41"/>
        <v/>
      </c>
      <c r="CB86" s="152" t="str">
        <f t="shared" si="42"/>
        <v/>
      </c>
      <c r="CC86" s="153" t="str">
        <f t="shared" si="43"/>
        <v/>
      </c>
      <c r="CD86" s="153" t="str">
        <f t="shared" si="44"/>
        <v/>
      </c>
      <c r="CE86" s="154" t="str">
        <f t="shared" si="45"/>
        <v/>
      </c>
      <c r="CF86" s="154" t="str">
        <f t="shared" si="46"/>
        <v/>
      </c>
      <c r="CG86" s="154" t="str">
        <f t="shared" si="47"/>
        <v/>
      </c>
      <c r="CH86" s="313">
        <f t="shared" si="48"/>
        <v>0</v>
      </c>
      <c r="CI86" s="299"/>
    </row>
    <row r="87">
      <c r="A87" s="103" t="s">
        <v>176</v>
      </c>
      <c r="B87" s="104" t="s">
        <v>92</v>
      </c>
      <c r="C87" s="105">
        <v>1.1536615E7</v>
      </c>
      <c r="D87" s="293">
        <v>12507.32</v>
      </c>
      <c r="E87" s="294">
        <v>33682.11963</v>
      </c>
      <c r="F87" s="295">
        <v>21.79388634</v>
      </c>
      <c r="G87" s="295">
        <v>90.89912535</v>
      </c>
      <c r="H87" s="157">
        <v>112.6930117</v>
      </c>
      <c r="I87" s="110">
        <v>1194.99092</v>
      </c>
      <c r="J87" s="110">
        <v>3181.4118</v>
      </c>
      <c r="K87" s="110">
        <v>4376.402727</v>
      </c>
      <c r="L87" s="111">
        <v>9395.214457</v>
      </c>
      <c r="M87" s="112">
        <v>1278.641946</v>
      </c>
      <c r="N87" s="111">
        <v>10673.8564</v>
      </c>
      <c r="O87" s="298">
        <v>0.0</v>
      </c>
      <c r="P87" s="160">
        <v>6067135.0</v>
      </c>
      <c r="Q87" s="156"/>
      <c r="R87" s="121">
        <f t="shared" si="11"/>
        <v>0</v>
      </c>
      <c r="S87" s="116">
        <f t="shared" si="12"/>
        <v>0.2589669834</v>
      </c>
      <c r="T87" s="130"/>
      <c r="U87" s="118">
        <f t="shared" si="13"/>
        <v>0.252</v>
      </c>
      <c r="V87" s="148"/>
      <c r="W87" s="120">
        <f t="shared" si="14"/>
        <v>0.8114541667</v>
      </c>
      <c r="X87" s="119">
        <v>1.0</v>
      </c>
      <c r="Y87" s="120">
        <f t="shared" si="15"/>
        <v>1</v>
      </c>
      <c r="Z87" s="310">
        <v>3275821.0</v>
      </c>
      <c r="AA87" s="310">
        <v>2261919.0</v>
      </c>
      <c r="AB87" s="300">
        <f t="shared" si="16"/>
        <v>0.6904891934</v>
      </c>
      <c r="AC87" s="301">
        <f t="shared" si="17"/>
        <v>0.6904891934</v>
      </c>
      <c r="AD87" s="122">
        <v>0.016</v>
      </c>
      <c r="AE87" s="123">
        <v>0.3</v>
      </c>
      <c r="AF87" s="123">
        <v>0.0869</v>
      </c>
      <c r="AG87" s="124">
        <v>0.0728</v>
      </c>
      <c r="AH87" s="124">
        <v>0.11383736</v>
      </c>
      <c r="AI87" s="125">
        <v>0.1411</v>
      </c>
      <c r="AJ87" s="125">
        <v>0.223664499</v>
      </c>
      <c r="AK87" s="127">
        <v>0.0628</v>
      </c>
      <c r="AL87" s="127">
        <v>0.0991</v>
      </c>
      <c r="AM87" s="302">
        <v>0.0</v>
      </c>
      <c r="AN87" s="149" t="str">
        <f>IFERROR(
  AVERAGEIFS(
    'New 20102013 LF Efficacy'!$J:$J,
    'New 20102013 LF Efficacy'!$D:$D, $A87,
    'New 20102013 LF Efficacy'!$F:$F,"DEC", 
    'New 20102013 LF Efficacy'!$W:$W,"&lt;2014",
    'New 20102013 LF Efficacy'!$AA:$AA,""),
  ""
)</f>
        <v/>
      </c>
      <c r="AO87" s="115">
        <f t="shared" si="18"/>
        <v>0.31225</v>
      </c>
      <c r="AP87" s="121" t="str">
        <f>IFERROR(
AVERAGEIFS(
'New 20102013 LF Efficacy'!$J:$J,
'New 20102013 LF Efficacy'!$D:$D,$A87,
'New 20102013 LF Efficacy'!$F:$F,"Albendazole &amp; DEC",
'New 20102013 LF Efficacy'!$W:$W,"&lt;2014",
'New 20102013 LF Efficacy'!$AA:$AA,""),
"")
</f>
        <v/>
      </c>
      <c r="AQ87" s="115">
        <f t="shared" si="19"/>
        <v>0.4</v>
      </c>
      <c r="AR87" s="121" t="str">
        <f>IFERROR(
AVERAGEIFS(
'New 20102013 LF Efficacy'!$J:$J,
'New 20102013 LF Efficacy'!$D:$D,$A87,
'New 20102013 LF Efficacy'!$F:$F,"Albendazole &amp; Ivermectin", 
'New 20102013 LF Efficacy'!$W:$W,"&lt;2014",
'New 20102013 LF Efficacy'!$AA:$AA,""),"")</f>
        <v/>
      </c>
      <c r="AS87" s="115">
        <f t="shared" si="20"/>
        <v>0.2943125</v>
      </c>
      <c r="AT87" s="130" t="str">
        <f>IFERROR(AVERAGEIFS(
'20102013 Schist Efficacy'!$O:$O, 
'20102013 Schist Efficacy'!$C:$C,$A87, 
'20102013 Schist Efficacy'!$D:$D, "Praziquantel",
'20102013 Schist Efficacy'!$J:$J,"&lt;2014",
'20102013 Schist Efficacy'!$U:$U,""),
"")</f>
        <v/>
      </c>
      <c r="AU87" s="118">
        <f t="shared" si="21"/>
        <v>0.7192212527</v>
      </c>
      <c r="AV87" s="131" t="str">
        <f>IFERROR(AVERAGEIFS(
'20102013 STH Efficacy'!$AX:$AX, 
'20102013 STH Efficacy'!$AL:$AL, $A87, 
'20102013 STH Efficacy'!$AM:$AM, "Albendazole",
'20102013 STH Efficacy'!$AS:$AS,"&lt;2014",
'20102013 STH Efficacy'!$BP:$BP,""),
"")</f>
        <v/>
      </c>
      <c r="AW87" s="132">
        <f t="shared" si="22"/>
        <v>0.3816333333</v>
      </c>
      <c r="AX87" s="131" t="str">
        <f>IFERROR(AVERAGEIFS(
'20102013 STH Efficacy'!$AX:$AX, 
'20102013 STH Efficacy'!$AL:$AL, $A87, 
'20102013 STH Efficacy'!$AM:$AM, "Mebendazole",
'20102013 STH Efficacy'!$AS:$AS,"&lt;2014",
'20102013 STH Efficacy'!$BP:$BP,""),
"")</f>
        <v/>
      </c>
      <c r="AY87" s="132">
        <f t="shared" si="23"/>
        <v>0.5675833333</v>
      </c>
      <c r="AZ87" s="131" t="str">
        <f>IFERROR(AVERAGEIFS(
'20102013 STH Efficacy'!$AX:$AX, 
'20102013 STH Efficacy'!$AL:$AL, $A87, 
'20102013 STH Efficacy'!$AM:$AM, "Albendazole &amp; Ivermectin",
'20102013 STH Efficacy'!$AS:$AS,"&lt;2014",
'20102013 STH Efficacy'!$BP:$BP,""),
"")</f>
        <v/>
      </c>
      <c r="BA87" s="303">
        <f t="shared" si="24"/>
        <v>0.47175</v>
      </c>
      <c r="BB87" s="134" t="str">
        <f>IFERROR(AVERAGEIFS(
'20102013 STH Efficacy'!$N:$N, 
'20102013 STH Efficacy'!$B:$B, $A87, 
'20102013 STH Efficacy'!$C:$C, "Albendazole",
'20102013 STH Efficacy'!$I:$I,"&lt;2014",
'20102013 STH Efficacy'!$AH:$AH,""),
"")</f>
        <v/>
      </c>
      <c r="BC87" s="135">
        <f t="shared" si="25"/>
        <v>0.8699166667</v>
      </c>
      <c r="BD87" s="134" t="str">
        <f>IFERROR(AVERAGEIFS(
'20102013 STH Efficacy'!$N:$N, 
'20102013 STH Efficacy'!$B:$B, $A87, 
'20102013 STH Efficacy'!$C:$C, "Mebendazole",
'20102013 STH Efficacy'!$I:$I,"&lt;2014",
'20102013 STH Efficacy'!$AH:$AH,""),
"")</f>
        <v/>
      </c>
      <c r="BE87" s="135">
        <f t="shared" si="26"/>
        <v>0.7092416667</v>
      </c>
      <c r="BF87" s="128" t="str">
        <f>IFERROR(AVERAGEIFS(
'20102013 STH Efficacy'!$CD:$CD, 
'20102013 STH Efficacy'!$BS:$BS, $A87, 
'20102013 STH Efficacy'!$BT:$BT, "Albendazole",
'20102013 STH Efficacy'!$BZ:$BZ,"&lt;2014",
'20102013 STH Efficacy'!$CU:$CU,""),
"")</f>
        <v/>
      </c>
      <c r="BG87" s="136">
        <f t="shared" si="27"/>
        <v>0.9066666667</v>
      </c>
      <c r="BH87" s="128" t="str">
        <f>IFERROR(AVERAGEIFS(
'20102013 STH Efficacy'!$CD:$CD, 
'20102013 STH Efficacy'!$BS:$BS, $A87, 
'20102013 STH Efficacy'!$BT:$BT, "Mebendazole",
'20102013 STH Efficacy'!$BZ:$BZ,"&lt;2014",
'20102013 STH Efficacy'!$CU:$CU,""),
"")</f>
        <v/>
      </c>
      <c r="BI87" s="136">
        <f t="shared" si="28"/>
        <v>0.9358666667</v>
      </c>
      <c r="BJ87" s="128" t="str">
        <f>IFERROR(AVERAGEIFS(
'20102013 STH Efficacy'!$CD:$CD, 
'20102013 STH Efficacy'!$BS:$BS, $A87, 
'20102013 STH Efficacy'!$BT:$BT, "Albendazole &amp; Ivermectin",
'20102013 STH Efficacy'!$BZ:$BZ,"&lt;2014",
'20102013 STH Efficacy'!$CU:$CU,""),
"")</f>
        <v/>
      </c>
      <c r="BK87" s="136">
        <f t="shared" si="29"/>
        <v>1</v>
      </c>
      <c r="BL87" s="300" t="str">
        <f>IFERROR(
  AVERAGEIFS(
    'NEW 20102013 Onchocerciasis Eff'!$AO:$AO,
    'NEW 20102013 Onchocerciasis Eff'!$C:$C,$A87,
    'NEW 20102013 Onchocerciasis Eff'!$D:$D,"Ivermectin",
    'NEW 20102013 Onchocerciasis Eff'!$AR:$AR,"&lt;2014",
    'NEW 20102013 Onchocerciasis Eff'!$BG:$BG,"")
,"")</f>
        <v/>
      </c>
      <c r="BM87" s="304">
        <f t="shared" si="30"/>
        <v>0.8390421645</v>
      </c>
      <c r="BN87" s="305">
        <v>1.0</v>
      </c>
      <c r="BO87" s="139">
        <v>1.0</v>
      </c>
      <c r="BP87" s="140">
        <v>1.0</v>
      </c>
      <c r="BQ87" s="141">
        <f t="shared" si="31"/>
        <v>0</v>
      </c>
      <c r="BR87" s="104" t="str">
        <f t="shared" si="32"/>
        <v>1110</v>
      </c>
      <c r="BS87" s="104" t="str">
        <f t="shared" si="33"/>
        <v>MDA1+T2</v>
      </c>
      <c r="BT87" s="142" t="str">
        <f t="shared" si="34"/>
        <v>IVM+ALB</v>
      </c>
      <c r="BU87" s="104" t="str">
        <f t="shared" si="35"/>
        <v>PZQ</v>
      </c>
      <c r="BV87" s="104" t="str">
        <f t="shared" si="36"/>
        <v>lf+onch+schist </v>
      </c>
      <c r="BW87" s="150" t="str">
        <f t="shared" si="37"/>
        <v/>
      </c>
      <c r="BX87" s="312">
        <f t="shared" si="38"/>
        <v>1031.923505</v>
      </c>
      <c r="BY87" s="162">
        <f t="shared" si="39"/>
        <v>7456.033347</v>
      </c>
      <c r="BZ87" s="152" t="str">
        <f t="shared" si="40"/>
        <v/>
      </c>
      <c r="CA87" s="152" t="str">
        <f t="shared" si="41"/>
        <v/>
      </c>
      <c r="CB87" s="152" t="str">
        <f t="shared" si="42"/>
        <v/>
      </c>
      <c r="CC87" s="153" t="str">
        <f t="shared" si="43"/>
        <v/>
      </c>
      <c r="CD87" s="153" t="str">
        <f t="shared" si="44"/>
        <v/>
      </c>
      <c r="CE87" s="154" t="str">
        <f t="shared" si="45"/>
        <v/>
      </c>
      <c r="CF87" s="154" t="str">
        <f t="shared" si="46"/>
        <v/>
      </c>
      <c r="CG87" s="154" t="str">
        <f t="shared" si="47"/>
        <v/>
      </c>
      <c r="CH87" s="313">
        <f t="shared" si="48"/>
        <v>0</v>
      </c>
      <c r="CI87" s="299"/>
    </row>
    <row r="88">
      <c r="A88" s="155" t="s">
        <v>177</v>
      </c>
      <c r="B88" s="104" t="s">
        <v>92</v>
      </c>
      <c r="C88" s="105">
        <v>1681495.0</v>
      </c>
      <c r="D88" s="293">
        <v>3439.9700000000003</v>
      </c>
      <c r="E88" s="294">
        <v>4281.102328</v>
      </c>
      <c r="F88" s="309">
        <v>0.23475795</v>
      </c>
      <c r="G88" s="309">
        <v>0.997347112</v>
      </c>
      <c r="H88" s="108">
        <v>1.232105063</v>
      </c>
      <c r="I88" s="109">
        <v>73.8209588</v>
      </c>
      <c r="J88" s="109">
        <v>193.119074</v>
      </c>
      <c r="K88" s="109">
        <v>266.9400325</v>
      </c>
      <c r="L88" s="112">
        <v>871.0681195</v>
      </c>
      <c r="M88" s="112">
        <v>95.84066012</v>
      </c>
      <c r="N88" s="111">
        <v>966.9087796</v>
      </c>
      <c r="O88" s="298">
        <v>0.0</v>
      </c>
      <c r="P88" s="160">
        <v>1668680.0</v>
      </c>
      <c r="Q88" s="160">
        <v>264358.0</v>
      </c>
      <c r="R88" s="121">
        <f t="shared" si="11"/>
        <v>0.1584234245</v>
      </c>
      <c r="S88" s="116">
        <f t="shared" si="12"/>
        <v>0.1584234245</v>
      </c>
      <c r="T88" s="130"/>
      <c r="U88" s="118">
        <f t="shared" si="13"/>
        <v>0.252</v>
      </c>
      <c r="V88" s="119">
        <v>1.0</v>
      </c>
      <c r="W88" s="120">
        <f t="shared" si="14"/>
        <v>1</v>
      </c>
      <c r="X88" s="119">
        <v>0.1951</v>
      </c>
      <c r="Y88" s="120">
        <f t="shared" si="15"/>
        <v>0.1951</v>
      </c>
      <c r="Z88" s="310">
        <v>188404.0</v>
      </c>
      <c r="AA88" s="310">
        <v>107278.0</v>
      </c>
      <c r="AB88" s="300">
        <f t="shared" si="16"/>
        <v>0.5694040466</v>
      </c>
      <c r="AC88" s="301">
        <f t="shared" si="17"/>
        <v>0.5694040466</v>
      </c>
      <c r="AD88" s="122">
        <v>0.0438</v>
      </c>
      <c r="AE88" s="123">
        <v>0.25</v>
      </c>
      <c r="AF88" s="123">
        <v>0.0216</v>
      </c>
      <c r="AG88" s="124">
        <v>0.027</v>
      </c>
      <c r="AH88" s="124">
        <v>0.042629063</v>
      </c>
      <c r="AI88" s="125">
        <v>0.0674</v>
      </c>
      <c r="AJ88" s="125">
        <v>0.107372858</v>
      </c>
      <c r="AK88" s="127">
        <v>0.0177</v>
      </c>
      <c r="AL88" s="127">
        <v>0.0278</v>
      </c>
      <c r="AM88" s="302">
        <v>0.0</v>
      </c>
      <c r="AN88" s="149" t="str">
        <f>IFERROR(
  AVERAGEIFS(
    'New 20102013 LF Efficacy'!$J:$J,
    'New 20102013 LF Efficacy'!$D:$D, $A88,
    'New 20102013 LF Efficacy'!$F:$F,"DEC", 
    'New 20102013 LF Efficacy'!$W:$W,"&lt;2014",
    'New 20102013 LF Efficacy'!$AA:$AA,""),
  ""
)</f>
        <v/>
      </c>
      <c r="AO88" s="115">
        <f t="shared" si="18"/>
        <v>0.31225</v>
      </c>
      <c r="AP88" s="121" t="str">
        <f>IFERROR(
AVERAGEIFS(
'New 20102013 LF Efficacy'!$J:$J,
'New 20102013 LF Efficacy'!$D:$D,$A88,
'New 20102013 LF Efficacy'!$F:$F,"Albendazole &amp; DEC",
'New 20102013 LF Efficacy'!$W:$W,"&lt;2014",
'New 20102013 LF Efficacy'!$AA:$AA,""),
"")
</f>
        <v/>
      </c>
      <c r="AQ88" s="115">
        <f t="shared" si="19"/>
        <v>0.4</v>
      </c>
      <c r="AR88" s="121" t="str">
        <f>IFERROR(
AVERAGEIFS(
'New 20102013 LF Efficacy'!$J:$J,
'New 20102013 LF Efficacy'!$D:$D,$A88,
'New 20102013 LF Efficacy'!$F:$F,"Albendazole &amp; Ivermectin", 
'New 20102013 LF Efficacy'!$W:$W,"&lt;2014",
'New 20102013 LF Efficacy'!$AA:$AA,""),"")</f>
        <v/>
      </c>
      <c r="AS88" s="115">
        <f t="shared" si="20"/>
        <v>0.2943125</v>
      </c>
      <c r="AT88" s="130" t="str">
        <f>IFERROR(AVERAGEIFS(
'20102013 Schist Efficacy'!$O:$O, 
'20102013 Schist Efficacy'!$C:$C,$A88, 
'20102013 Schist Efficacy'!$D:$D, "Praziquantel",
'20102013 Schist Efficacy'!$J:$J,"&lt;2014",
'20102013 Schist Efficacy'!$U:$U,""),
"")</f>
        <v/>
      </c>
      <c r="AU88" s="118">
        <f t="shared" si="21"/>
        <v>0.7192212527</v>
      </c>
      <c r="AV88" s="131" t="str">
        <f>IFERROR(AVERAGEIFS(
'20102013 STH Efficacy'!$AX:$AX, 
'20102013 STH Efficacy'!$AL:$AL, $A88, 
'20102013 STH Efficacy'!$AM:$AM, "Albendazole",
'20102013 STH Efficacy'!$AS:$AS,"&lt;2014",
'20102013 STH Efficacy'!$BP:$BP,""),
"")</f>
        <v/>
      </c>
      <c r="AW88" s="132">
        <f t="shared" si="22"/>
        <v>0.3816333333</v>
      </c>
      <c r="AX88" s="131" t="str">
        <f>IFERROR(AVERAGEIFS(
'20102013 STH Efficacy'!$AX:$AX, 
'20102013 STH Efficacy'!$AL:$AL, $A88, 
'20102013 STH Efficacy'!$AM:$AM, "Mebendazole",
'20102013 STH Efficacy'!$AS:$AS,"&lt;2014",
'20102013 STH Efficacy'!$BP:$BP,""),
"")</f>
        <v/>
      </c>
      <c r="AY88" s="132">
        <f t="shared" si="23"/>
        <v>0.5675833333</v>
      </c>
      <c r="AZ88" s="131" t="str">
        <f>IFERROR(AVERAGEIFS(
'20102013 STH Efficacy'!$AX:$AX, 
'20102013 STH Efficacy'!$AL:$AL, $A88, 
'20102013 STH Efficacy'!$AM:$AM, "Albendazole &amp; Ivermectin",
'20102013 STH Efficacy'!$AS:$AS,"&lt;2014",
'20102013 STH Efficacy'!$BP:$BP,""),
"")</f>
        <v/>
      </c>
      <c r="BA88" s="303">
        <f t="shared" si="24"/>
        <v>0.47175</v>
      </c>
      <c r="BB88" s="134" t="str">
        <f>IFERROR(AVERAGEIFS(
'20102013 STH Efficacy'!$N:$N, 
'20102013 STH Efficacy'!$B:$B, $A88, 
'20102013 STH Efficacy'!$C:$C, "Albendazole",
'20102013 STH Efficacy'!$I:$I,"&lt;2014",
'20102013 STH Efficacy'!$AH:$AH,""),
"")</f>
        <v/>
      </c>
      <c r="BC88" s="135">
        <f t="shared" si="25"/>
        <v>0.8699166667</v>
      </c>
      <c r="BD88" s="134" t="str">
        <f>IFERROR(AVERAGEIFS(
'20102013 STH Efficacy'!$N:$N, 
'20102013 STH Efficacy'!$B:$B, $A88, 
'20102013 STH Efficacy'!$C:$C, "Mebendazole",
'20102013 STH Efficacy'!$I:$I,"&lt;2014",
'20102013 STH Efficacy'!$AH:$AH,""),
"")</f>
        <v/>
      </c>
      <c r="BE88" s="135">
        <f t="shared" si="26"/>
        <v>0.7092416667</v>
      </c>
      <c r="BF88" s="128" t="str">
        <f>IFERROR(AVERAGEIFS(
'20102013 STH Efficacy'!$CD:$CD, 
'20102013 STH Efficacy'!$BS:$BS, $A88, 
'20102013 STH Efficacy'!$BT:$BT, "Albendazole",
'20102013 STH Efficacy'!$BZ:$BZ,"&lt;2014",
'20102013 STH Efficacy'!$CU:$CU,""),
"")</f>
        <v/>
      </c>
      <c r="BG88" s="136">
        <f t="shared" si="27"/>
        <v>0.9066666667</v>
      </c>
      <c r="BH88" s="128" t="str">
        <f>IFERROR(AVERAGEIFS(
'20102013 STH Efficacy'!$CD:$CD, 
'20102013 STH Efficacy'!$BS:$BS, $A88, 
'20102013 STH Efficacy'!$BT:$BT, "Mebendazole",
'20102013 STH Efficacy'!$BZ:$BZ,"&lt;2014",
'20102013 STH Efficacy'!$CU:$CU,""),
"")</f>
        <v/>
      </c>
      <c r="BI88" s="136">
        <f t="shared" si="28"/>
        <v>0.9358666667</v>
      </c>
      <c r="BJ88" s="128" t="str">
        <f>IFERROR(AVERAGEIFS(
'20102013 STH Efficacy'!$CD:$CD, 
'20102013 STH Efficacy'!$BS:$BS, $A88, 
'20102013 STH Efficacy'!$BT:$BT, "Albendazole &amp; Ivermectin",
'20102013 STH Efficacy'!$BZ:$BZ,"&lt;2014",
'20102013 STH Efficacy'!$CU:$CU,""),
"")</f>
        <v/>
      </c>
      <c r="BK88" s="136">
        <f t="shared" si="29"/>
        <v>1</v>
      </c>
      <c r="BL88" s="300" t="str">
        <f>IFERROR(
  AVERAGEIFS(
    'NEW 20102013 Onchocerciasis Eff'!$AO:$AO,
    'NEW 20102013 Onchocerciasis Eff'!$C:$C,$A88,
    'NEW 20102013 Onchocerciasis Eff'!$D:$D,"Ivermectin",
    'NEW 20102013 Onchocerciasis Eff'!$AR:$AR,"&lt;2014",
    'NEW 20102013 Onchocerciasis Eff'!$BG:$BG,"")
,"")</f>
        <v/>
      </c>
      <c r="BM88" s="304">
        <f t="shared" si="30"/>
        <v>0.8390421645</v>
      </c>
      <c r="BN88" s="305">
        <v>1.0</v>
      </c>
      <c r="BO88" s="139">
        <v>0.0</v>
      </c>
      <c r="BP88" s="140">
        <v>1.0</v>
      </c>
      <c r="BQ88" s="141">
        <f t="shared" si="31"/>
        <v>0</v>
      </c>
      <c r="BR88" s="104" t="str">
        <f t="shared" si="32"/>
        <v>1010</v>
      </c>
      <c r="BS88" s="104" t="str">
        <f t="shared" si="33"/>
        <v>MDA1/2+T2</v>
      </c>
      <c r="BT88" s="142" t="str">
        <f t="shared" si="34"/>
        <v>DEC +ALB</v>
      </c>
      <c r="BU88" s="104" t="str">
        <f t="shared" si="35"/>
        <v>PZQ</v>
      </c>
      <c r="BV88" s="104" t="str">
        <f t="shared" si="36"/>
        <v>lf+schist </v>
      </c>
      <c r="BW88" s="150" t="str">
        <f t="shared" si="37"/>
        <v/>
      </c>
      <c r="BX88" s="150" t="str">
        <f t="shared" si="38"/>
        <v/>
      </c>
      <c r="BY88" s="162">
        <f t="shared" si="39"/>
        <v>947.6850647</v>
      </c>
      <c r="BZ88" s="152" t="str">
        <f t="shared" si="40"/>
        <v/>
      </c>
      <c r="CA88" s="152" t="str">
        <f t="shared" si="41"/>
        <v/>
      </c>
      <c r="CB88" s="152" t="str">
        <f t="shared" si="42"/>
        <v/>
      </c>
      <c r="CC88" s="153" t="str">
        <f t="shared" si="43"/>
        <v/>
      </c>
      <c r="CD88" s="153" t="str">
        <f t="shared" si="44"/>
        <v/>
      </c>
      <c r="CE88" s="154" t="str">
        <f t="shared" si="45"/>
        <v/>
      </c>
      <c r="CF88" s="154" t="str">
        <f t="shared" si="46"/>
        <v/>
      </c>
      <c r="CG88" s="154" t="str">
        <f t="shared" si="47"/>
        <v/>
      </c>
      <c r="CH88" s="308" t="str">
        <f t="shared" si="48"/>
        <v/>
      </c>
      <c r="CI88" s="299"/>
    </row>
    <row r="89">
      <c r="A89" s="103" t="s">
        <v>178</v>
      </c>
      <c r="B89" s="104" t="s">
        <v>98</v>
      </c>
      <c r="C89" s="105">
        <v>758081.0</v>
      </c>
      <c r="D89" s="293">
        <v>1514.15</v>
      </c>
      <c r="E89" s="294">
        <v>0.0</v>
      </c>
      <c r="F89" s="309">
        <v>0.454063708</v>
      </c>
      <c r="G89" s="309">
        <v>3.171781124</v>
      </c>
      <c r="H89" s="108">
        <v>3.625844832</v>
      </c>
      <c r="I89" s="109">
        <v>4.27478634</v>
      </c>
      <c r="J89" s="109">
        <v>16.1758187</v>
      </c>
      <c r="K89" s="109">
        <v>20.45060509</v>
      </c>
      <c r="L89" s="112">
        <v>11.14970914</v>
      </c>
      <c r="M89" s="112">
        <v>17.59867794</v>
      </c>
      <c r="N89" s="111">
        <v>28.74838708</v>
      </c>
      <c r="O89" s="298">
        <v>0.0</v>
      </c>
      <c r="P89" s="160">
        <v>509980.0</v>
      </c>
      <c r="Q89" s="156"/>
      <c r="R89" s="121">
        <f t="shared" si="11"/>
        <v>0</v>
      </c>
      <c r="S89" s="116">
        <f t="shared" si="12"/>
        <v>0.2288425133</v>
      </c>
      <c r="T89" s="130"/>
      <c r="U89" s="118">
        <f t="shared" si="13"/>
        <v>0.39435</v>
      </c>
      <c r="V89" s="148"/>
      <c r="W89" s="120">
        <f t="shared" si="14"/>
        <v>0.542475</v>
      </c>
      <c r="X89" s="148"/>
      <c r="Y89" s="120">
        <f t="shared" si="15"/>
        <v>0.6507333333</v>
      </c>
      <c r="Z89" s="299"/>
      <c r="AA89" s="299"/>
      <c r="AB89" s="300" t="str">
        <f t="shared" si="16"/>
        <v/>
      </c>
      <c r="AC89" s="301">
        <f t="shared" si="17"/>
        <v>0.3490201688</v>
      </c>
      <c r="AD89" s="122">
        <v>0.0453</v>
      </c>
      <c r="AE89" s="123">
        <v>0.0</v>
      </c>
      <c r="AF89" s="123">
        <v>0.0</v>
      </c>
      <c r="AG89" s="124">
        <v>0.0713</v>
      </c>
      <c r="AH89" s="124">
        <v>0.109386448</v>
      </c>
      <c r="AI89" s="125">
        <v>0.0238</v>
      </c>
      <c r="AJ89" s="125">
        <v>0.034878583</v>
      </c>
      <c r="AK89" s="127">
        <v>0.0992</v>
      </c>
      <c r="AL89" s="127">
        <v>0.1511</v>
      </c>
      <c r="AM89" s="302">
        <v>0.0</v>
      </c>
      <c r="AN89" s="149" t="str">
        <f>IFERROR(
  AVERAGEIFS(
    'New 20102013 LF Efficacy'!$J:$J,
    'New 20102013 LF Efficacy'!$D:$D, $A89,
    'New 20102013 LF Efficacy'!$F:$F,"DEC", 
    'New 20102013 LF Efficacy'!$W:$W,"&lt;2014",
    'New 20102013 LF Efficacy'!$AA:$AA,""),
  ""
)</f>
        <v/>
      </c>
      <c r="AO89" s="115">
        <f t="shared" si="18"/>
        <v>0.2589833333</v>
      </c>
      <c r="AP89" s="121" t="str">
        <f>IFERROR(
AVERAGEIFS(
'New 20102013 LF Efficacy'!$J:$J,
'New 20102013 LF Efficacy'!$D:$D,$A89,
'New 20102013 LF Efficacy'!$F:$F,"Albendazole &amp; DEC",
'New 20102013 LF Efficacy'!$W:$W,"&lt;2014",
'New 20102013 LF Efficacy'!$AA:$AA,""),
"")
</f>
        <v/>
      </c>
      <c r="AQ89" s="115">
        <f t="shared" si="19"/>
        <v>0.3465</v>
      </c>
      <c r="AR89" s="121" t="str">
        <f>IFERROR(
AVERAGEIFS(
'New 20102013 LF Efficacy'!$J:$J,
'New 20102013 LF Efficacy'!$D:$D,$A89,
'New 20102013 LF Efficacy'!$F:$F,"Albendazole &amp; Ivermectin", 
'New 20102013 LF Efficacy'!$W:$W,"&lt;2014",
'New 20102013 LF Efficacy'!$AA:$AA,""),"")</f>
        <v/>
      </c>
      <c r="AS89" s="115">
        <f t="shared" si="20"/>
        <v>0.7575</v>
      </c>
      <c r="AT89" s="130" t="str">
        <f>IFERROR(AVERAGEIFS(
'20102013 Schist Efficacy'!$O:$O, 
'20102013 Schist Efficacy'!$C:$C,$A89, 
'20102013 Schist Efficacy'!$D:$D, "Praziquantel",
'20102013 Schist Efficacy'!$J:$J,"&lt;2014",
'20102013 Schist Efficacy'!$U:$U,""),
"")</f>
        <v/>
      </c>
      <c r="AU89" s="118">
        <f t="shared" si="21"/>
        <v>0.7914761905</v>
      </c>
      <c r="AV89" s="131" t="str">
        <f>IFERROR(AVERAGEIFS(
'20102013 STH Efficacy'!$AX:$AX, 
'20102013 STH Efficacy'!$AL:$AL, $A89, 
'20102013 STH Efficacy'!$AM:$AM, "Albendazole",
'20102013 STH Efficacy'!$AS:$AS,"&lt;2014",
'20102013 STH Efficacy'!$BP:$BP,""),
"")</f>
        <v/>
      </c>
      <c r="AW89" s="132">
        <f t="shared" si="22"/>
        <v>0.3945</v>
      </c>
      <c r="AX89" s="131" t="str">
        <f>IFERROR(AVERAGEIFS(
'20102013 STH Efficacy'!$AX:$AX, 
'20102013 STH Efficacy'!$AL:$AL, $A89, 
'20102013 STH Efficacy'!$AM:$AM, "Mebendazole",
'20102013 STH Efficacy'!$AS:$AS,"&lt;2014",
'20102013 STH Efficacy'!$BP:$BP,""),
"")</f>
        <v/>
      </c>
      <c r="AY89" s="132">
        <f t="shared" si="23"/>
        <v>0.6</v>
      </c>
      <c r="AZ89" s="131" t="str">
        <f>IFERROR(AVERAGEIFS(
'20102013 STH Efficacy'!$AX:$AX, 
'20102013 STH Efficacy'!$AL:$AL, $A89, 
'20102013 STH Efficacy'!$AM:$AM, "Albendazole &amp; Ivermectin",
'20102013 STH Efficacy'!$AS:$AS,"&lt;2014",
'20102013 STH Efficacy'!$BP:$BP,""),
"")</f>
        <v/>
      </c>
      <c r="BA89" s="303">
        <f t="shared" si="24"/>
        <v>0.796</v>
      </c>
      <c r="BB89" s="134" t="str">
        <f>IFERROR(AVERAGEIFS(
'20102013 STH Efficacy'!$N:$N, 
'20102013 STH Efficacy'!$B:$B, $A89, 
'20102013 STH Efficacy'!$C:$C, "Albendazole",
'20102013 STH Efficacy'!$I:$I,"&lt;2014",
'20102013 STH Efficacy'!$AH:$AH,""),
"")</f>
        <v/>
      </c>
      <c r="BC89" s="135">
        <f t="shared" si="25"/>
        <v>0.869</v>
      </c>
      <c r="BD89" s="134" t="str">
        <f>IFERROR(AVERAGEIFS(
'20102013 STH Efficacy'!$N:$N, 
'20102013 STH Efficacy'!$B:$B, $A89, 
'20102013 STH Efficacy'!$C:$C, "Mebendazole",
'20102013 STH Efficacy'!$I:$I,"&lt;2014",
'20102013 STH Efficacy'!$AH:$AH,""),
"")</f>
        <v/>
      </c>
      <c r="BE89" s="135">
        <f t="shared" si="26"/>
        <v>0.172</v>
      </c>
      <c r="BF89" s="128" t="str">
        <f>IFERROR(AVERAGEIFS(
'20102013 STH Efficacy'!$CD:$CD, 
'20102013 STH Efficacy'!$BS:$BS, $A89, 
'20102013 STH Efficacy'!$BT:$BT, "Albendazole",
'20102013 STH Efficacy'!$BZ:$BZ,"&lt;2014",
'20102013 STH Efficacy'!$CU:$CU,""),
"")</f>
        <v/>
      </c>
      <c r="BG89" s="136">
        <f t="shared" si="27"/>
        <v>0.9862</v>
      </c>
      <c r="BH89" s="128" t="str">
        <f>IFERROR(AVERAGEIFS(
'20102013 STH Efficacy'!$CD:$CD, 
'20102013 STH Efficacy'!$BS:$BS, $A89, 
'20102013 STH Efficacy'!$BT:$BT, "Mebendazole",
'20102013 STH Efficacy'!$BZ:$BZ,"&lt;2014",
'20102013 STH Efficacy'!$CU:$CU,""),
"")</f>
        <v/>
      </c>
      <c r="BI89" s="136">
        <f t="shared" si="28"/>
        <v>0.769</v>
      </c>
      <c r="BJ89" s="128" t="str">
        <f>IFERROR(AVERAGEIFS(
'20102013 STH Efficacy'!$CD:$CD, 
'20102013 STH Efficacy'!$BS:$BS, $A89, 
'20102013 STH Efficacy'!$BT:$BT, "Albendazole &amp; Ivermectin",
'20102013 STH Efficacy'!$BZ:$BZ,"&lt;2014",
'20102013 STH Efficacy'!$CU:$CU,""),
"")</f>
        <v/>
      </c>
      <c r="BK89" s="136">
        <f t="shared" si="29"/>
        <v>1</v>
      </c>
      <c r="BL89" s="300" t="str">
        <f>IFERROR(
  AVERAGEIFS(
    'NEW 20102013 Onchocerciasis Eff'!$AO:$AO,
    'NEW 20102013 Onchocerciasis Eff'!$C:$C,$A89,
    'NEW 20102013 Onchocerciasis Eff'!$D:$D,"Ivermectin",
    'NEW 20102013 Onchocerciasis Eff'!$AR:$AR,"&lt;2014",
    'NEW 20102013 Onchocerciasis Eff'!$BG:$BG,"")
,"")</f>
        <v/>
      </c>
      <c r="BM89" s="304">
        <f t="shared" si="30"/>
        <v>0.3734</v>
      </c>
      <c r="BN89" s="305">
        <v>1.0</v>
      </c>
      <c r="BO89" s="139">
        <v>0.0</v>
      </c>
      <c r="BP89" s="140">
        <v>0.0</v>
      </c>
      <c r="BQ89" s="141">
        <f t="shared" si="31"/>
        <v>0</v>
      </c>
      <c r="BR89" s="104" t="str">
        <f t="shared" si="32"/>
        <v>1000</v>
      </c>
      <c r="BS89" s="104" t="str">
        <f t="shared" si="33"/>
        <v>MDA1/2</v>
      </c>
      <c r="BT89" s="142" t="str">
        <f t="shared" si="34"/>
        <v>DEC+ALB</v>
      </c>
      <c r="BU89" s="104" t="str">
        <f t="shared" si="35"/>
        <v/>
      </c>
      <c r="BV89" s="104" t="str">
        <f t="shared" si="36"/>
        <v>lf only</v>
      </c>
      <c r="BW89" s="312">
        <f t="shared" si="37"/>
        <v>130.4030781</v>
      </c>
      <c r="BX89" s="150" t="str">
        <f t="shared" si="38"/>
        <v/>
      </c>
      <c r="BY89" s="151" t="str">
        <f t="shared" si="39"/>
        <v/>
      </c>
      <c r="BZ89" s="152" t="str">
        <f t="shared" si="40"/>
        <v/>
      </c>
      <c r="CA89" s="152" t="str">
        <f t="shared" si="41"/>
        <v/>
      </c>
      <c r="CB89" s="152" t="str">
        <f t="shared" si="42"/>
        <v/>
      </c>
      <c r="CC89" s="153" t="str">
        <f t="shared" si="43"/>
        <v/>
      </c>
      <c r="CD89" s="153" t="str">
        <f t="shared" si="44"/>
        <v/>
      </c>
      <c r="CE89" s="154" t="str">
        <f t="shared" si="45"/>
        <v/>
      </c>
      <c r="CF89" s="154" t="str">
        <f t="shared" si="46"/>
        <v/>
      </c>
      <c r="CG89" s="154" t="str">
        <f t="shared" si="47"/>
        <v/>
      </c>
      <c r="CH89" s="308" t="str">
        <f t="shared" si="48"/>
        <v/>
      </c>
      <c r="CI89" s="299"/>
    </row>
    <row r="90">
      <c r="A90" s="103" t="s">
        <v>179</v>
      </c>
      <c r="B90" s="104" t="s">
        <v>98</v>
      </c>
      <c r="C90" s="105">
        <v>1.0431776E7</v>
      </c>
      <c r="D90" s="293">
        <v>28274.51</v>
      </c>
      <c r="E90" s="294">
        <v>0.0</v>
      </c>
      <c r="F90" s="309">
        <v>1.581983646</v>
      </c>
      <c r="G90" s="309">
        <v>6.928415782</v>
      </c>
      <c r="H90" s="108">
        <v>8.510399428</v>
      </c>
      <c r="I90" s="109">
        <v>48.7983659</v>
      </c>
      <c r="J90" s="109">
        <v>115.078439</v>
      </c>
      <c r="K90" s="109">
        <v>163.8768051</v>
      </c>
      <c r="L90" s="112">
        <v>684.8760689</v>
      </c>
      <c r="M90" s="112">
        <v>177.0226003</v>
      </c>
      <c r="N90" s="111">
        <v>861.8986692</v>
      </c>
      <c r="O90" s="298">
        <v>0.0</v>
      </c>
      <c r="P90" s="160">
        <v>1.1008822E7</v>
      </c>
      <c r="Q90" s="160">
        <v>7047600.0</v>
      </c>
      <c r="R90" s="121">
        <f t="shared" si="11"/>
        <v>0.6401774867</v>
      </c>
      <c r="S90" s="116">
        <f t="shared" si="12"/>
        <v>0.6401774867</v>
      </c>
      <c r="T90" s="130"/>
      <c r="U90" s="118">
        <f t="shared" si="13"/>
        <v>0.39435</v>
      </c>
      <c r="V90" s="119">
        <v>0.7234</v>
      </c>
      <c r="W90" s="120">
        <f t="shared" si="14"/>
        <v>0.7234</v>
      </c>
      <c r="X90" s="119">
        <v>0.7181</v>
      </c>
      <c r="Y90" s="120">
        <f t="shared" si="15"/>
        <v>0.7181</v>
      </c>
      <c r="Z90" s="299"/>
      <c r="AA90" s="299"/>
      <c r="AB90" s="300" t="str">
        <f t="shared" si="16"/>
        <v/>
      </c>
      <c r="AC90" s="301">
        <f t="shared" si="17"/>
        <v>0.3490201688</v>
      </c>
      <c r="AD90" s="122">
        <v>0.0612</v>
      </c>
      <c r="AE90" s="123">
        <v>0.0</v>
      </c>
      <c r="AF90" s="123">
        <v>0.0</v>
      </c>
      <c r="AG90" s="316">
        <v>0.0</v>
      </c>
      <c r="AH90" s="124">
        <v>0.027628703</v>
      </c>
      <c r="AI90" s="317">
        <v>0.0</v>
      </c>
      <c r="AJ90" s="125">
        <v>0.016657278</v>
      </c>
      <c r="AK90" s="127">
        <v>0.034</v>
      </c>
      <c r="AL90" s="319">
        <v>0.0</v>
      </c>
      <c r="AM90" s="302">
        <v>0.0</v>
      </c>
      <c r="AN90" s="149">
        <f>IFERROR(
  AVERAGEIFS(
    'New 20102013 LF Efficacy'!$J:$J,
    'New 20102013 LF Efficacy'!$D:$D, $A90,
    'New 20102013 LF Efficacy'!$F:$F,"DEC", 
    'New 20102013 LF Efficacy'!$W:$W,"&lt;2014",
    'New 20102013 LF Efficacy'!$AA:$AA,""),
  ""
)</f>
        <v>0.09196666667</v>
      </c>
      <c r="AO90" s="115">
        <f t="shared" si="18"/>
        <v>0.09196666667</v>
      </c>
      <c r="AP90" s="121">
        <f>IFERROR(
AVERAGEIFS(
'New 20102013 LF Efficacy'!$J:$J,
'New 20102013 LF Efficacy'!$D:$D,$A90,
'New 20102013 LF Efficacy'!$F:$F,"Albendazole &amp; DEC",
'New 20102013 LF Efficacy'!$W:$W,"&lt;2014",
'New 20102013 LF Efficacy'!$AA:$AA,""),
"")
</f>
        <v>0.114</v>
      </c>
      <c r="AQ90" s="115">
        <f t="shared" si="19"/>
        <v>0.114</v>
      </c>
      <c r="AR90" s="121">
        <f>IFERROR(
AVERAGEIFS(
'New 20102013 LF Efficacy'!$J:$J,
'New 20102013 LF Efficacy'!$D:$D,$A90,
'New 20102013 LF Efficacy'!$F:$F,"Albendazole &amp; Ivermectin", 
'New 20102013 LF Efficacy'!$W:$W,"&lt;2014",
'New 20102013 LF Efficacy'!$AA:$AA,""),"")</f>
        <v>0.7575</v>
      </c>
      <c r="AS90" s="115">
        <f t="shared" si="20"/>
        <v>0.7575</v>
      </c>
      <c r="AT90" s="130" t="str">
        <f>IFERROR(AVERAGEIFS(
'20102013 Schist Efficacy'!$O:$O, 
'20102013 Schist Efficacy'!$C:$C,$A90, 
'20102013 Schist Efficacy'!$D:$D, "Praziquantel",
'20102013 Schist Efficacy'!$J:$J,"&lt;2014",
'20102013 Schist Efficacy'!$U:$U,""),
"")</f>
        <v/>
      </c>
      <c r="AU90" s="118">
        <f t="shared" si="21"/>
        <v>0.7914761905</v>
      </c>
      <c r="AV90" s="131">
        <f>IFERROR(AVERAGEIFS(
'20102013 STH Efficacy'!$AX:$AX, 
'20102013 STH Efficacy'!$AL:$AL, $A90, 
'20102013 STH Efficacy'!$AM:$AM, "Albendazole",
'20102013 STH Efficacy'!$AS:$AS,"&lt;2014",
'20102013 STH Efficacy'!$BP:$BP,""),
"")</f>
        <v>0.456</v>
      </c>
      <c r="AW90" s="132">
        <f t="shared" si="22"/>
        <v>0.456</v>
      </c>
      <c r="AX90" s="131" t="str">
        <f>IFERROR(AVERAGEIFS(
'20102013 STH Efficacy'!$AX:$AX, 
'20102013 STH Efficacy'!$AL:$AL, $A90, 
'20102013 STH Efficacy'!$AM:$AM, "Mebendazole",
'20102013 STH Efficacy'!$AS:$AS,"&lt;2014",
'20102013 STH Efficacy'!$BP:$BP,""),
"")</f>
        <v/>
      </c>
      <c r="AY90" s="132">
        <f t="shared" si="23"/>
        <v>0.6</v>
      </c>
      <c r="AZ90" s="131">
        <f>IFERROR(AVERAGEIFS(
'20102013 STH Efficacy'!$AX:$AX, 
'20102013 STH Efficacy'!$AL:$AL, $A90, 
'20102013 STH Efficacy'!$AM:$AM, "Albendazole &amp; Ivermectin",
'20102013 STH Efficacy'!$AS:$AS,"&lt;2014",
'20102013 STH Efficacy'!$BP:$BP,""),
"")</f>
        <v>0.796</v>
      </c>
      <c r="BA90" s="303">
        <f t="shared" si="24"/>
        <v>0.796</v>
      </c>
      <c r="BB90" s="134">
        <f>IFERROR(AVERAGEIFS(
'20102013 STH Efficacy'!$N:$N, 
'20102013 STH Efficacy'!$B:$B, $A90, 
'20102013 STH Efficacy'!$C:$C, "Albendazole",
'20102013 STH Efficacy'!$I:$I,"&lt;2014",
'20102013 STH Efficacy'!$AH:$AH,""),
"")</f>
        <v>0.92</v>
      </c>
      <c r="BC90" s="135">
        <f t="shared" si="25"/>
        <v>0.92</v>
      </c>
      <c r="BD90" s="134" t="str">
        <f>IFERROR(AVERAGEIFS(
'20102013 STH Efficacy'!$N:$N, 
'20102013 STH Efficacy'!$B:$B, $A90, 
'20102013 STH Efficacy'!$C:$C, "Mebendazole",
'20102013 STH Efficacy'!$I:$I,"&lt;2014",
'20102013 STH Efficacy'!$AH:$AH,""),
"")</f>
        <v/>
      </c>
      <c r="BE90" s="135">
        <f t="shared" si="26"/>
        <v>0.172</v>
      </c>
      <c r="BF90" s="128">
        <f>IFERROR(AVERAGEIFS(
'20102013 STH Efficacy'!$CD:$CD, 
'20102013 STH Efficacy'!$BS:$BS, $A90, 
'20102013 STH Efficacy'!$BT:$BT, "Albendazole",
'20102013 STH Efficacy'!$BZ:$BZ,"&lt;2014",
'20102013 STH Efficacy'!$CU:$CU,""),
"")</f>
        <v>0.9764</v>
      </c>
      <c r="BG90" s="136">
        <f t="shared" si="27"/>
        <v>0.9764</v>
      </c>
      <c r="BH90" s="128" t="str">
        <f>IFERROR(AVERAGEIFS(
'20102013 STH Efficacy'!$CD:$CD, 
'20102013 STH Efficacy'!$BS:$BS, $A90, 
'20102013 STH Efficacy'!$BT:$BT, "Mebendazole",
'20102013 STH Efficacy'!$BZ:$BZ,"&lt;2014",
'20102013 STH Efficacy'!$CU:$CU,""),
"")</f>
        <v/>
      </c>
      <c r="BI90" s="136">
        <f t="shared" si="28"/>
        <v>0.769</v>
      </c>
      <c r="BJ90" s="128">
        <f>IFERROR(AVERAGEIFS(
'20102013 STH Efficacy'!$CD:$CD, 
'20102013 STH Efficacy'!$BS:$BS, $A90, 
'20102013 STH Efficacy'!$BT:$BT, "Albendazole &amp; Ivermectin",
'20102013 STH Efficacy'!$BZ:$BZ,"&lt;2014",
'20102013 STH Efficacy'!$CU:$CU,""),
"")</f>
        <v>1</v>
      </c>
      <c r="BK90" s="136">
        <f t="shared" si="29"/>
        <v>1</v>
      </c>
      <c r="BL90" s="300" t="str">
        <f>IFERROR(
  AVERAGEIFS(
    'NEW 20102013 Onchocerciasis Eff'!$AO:$AO,
    'NEW 20102013 Onchocerciasis Eff'!$C:$C,$A90,
    'NEW 20102013 Onchocerciasis Eff'!$D:$D,"Ivermectin",
    'NEW 20102013 Onchocerciasis Eff'!$AR:$AR,"&lt;2014",
    'NEW 20102013 Onchocerciasis Eff'!$BG:$BG,"")
,"")</f>
        <v/>
      </c>
      <c r="BM90" s="304">
        <f t="shared" si="30"/>
        <v>0.3734</v>
      </c>
      <c r="BN90" s="305">
        <v>1.0</v>
      </c>
      <c r="BO90" s="139">
        <v>0.0</v>
      </c>
      <c r="BP90" s="140">
        <v>0.0</v>
      </c>
      <c r="BQ90" s="141">
        <f t="shared" si="31"/>
        <v>0</v>
      </c>
      <c r="BR90" s="104" t="str">
        <f t="shared" si="32"/>
        <v>1000</v>
      </c>
      <c r="BS90" s="104" t="str">
        <f t="shared" si="33"/>
        <v>MDA1/2</v>
      </c>
      <c r="BT90" s="142" t="str">
        <f t="shared" si="34"/>
        <v>DEC+ALB</v>
      </c>
      <c r="BU90" s="104" t="str">
        <f t="shared" si="35"/>
        <v/>
      </c>
      <c r="BV90" s="104" t="str">
        <f t="shared" si="36"/>
        <v>lf only</v>
      </c>
      <c r="BW90" s="312">
        <f t="shared" si="37"/>
        <v>2225.929172</v>
      </c>
      <c r="BX90" s="150" t="str">
        <f t="shared" si="38"/>
        <v/>
      </c>
      <c r="BY90" s="151" t="str">
        <f t="shared" si="39"/>
        <v/>
      </c>
      <c r="BZ90" s="152" t="str">
        <f t="shared" si="40"/>
        <v/>
      </c>
      <c r="CA90" s="152" t="str">
        <f t="shared" si="41"/>
        <v/>
      </c>
      <c r="CB90" s="152" t="str">
        <f t="shared" si="42"/>
        <v/>
      </c>
      <c r="CC90" s="153" t="str">
        <f t="shared" si="43"/>
        <v/>
      </c>
      <c r="CD90" s="153" t="str">
        <f t="shared" si="44"/>
        <v/>
      </c>
      <c r="CE90" s="154" t="str">
        <f t="shared" si="45"/>
        <v/>
      </c>
      <c r="CF90" s="154" t="str">
        <f t="shared" si="46"/>
        <v/>
      </c>
      <c r="CG90" s="154" t="str">
        <f t="shared" si="47"/>
        <v/>
      </c>
      <c r="CH90" s="308" t="str">
        <f t="shared" si="48"/>
        <v/>
      </c>
      <c r="CI90" s="299"/>
    </row>
    <row r="91">
      <c r="A91" s="103" t="s">
        <v>180</v>
      </c>
      <c r="B91" s="104" t="s">
        <v>98</v>
      </c>
      <c r="C91" s="105">
        <v>8657785.0</v>
      </c>
      <c r="D91" s="293">
        <v>0.0</v>
      </c>
      <c r="E91" s="321">
        <v>0.0</v>
      </c>
      <c r="F91" s="322">
        <v>162.9036976</v>
      </c>
      <c r="G91" s="322">
        <v>696.8984216</v>
      </c>
      <c r="H91" s="108">
        <v>859.8021191</v>
      </c>
      <c r="I91" s="109">
        <v>66.8141946</v>
      </c>
      <c r="J91" s="109">
        <v>171.938156</v>
      </c>
      <c r="K91" s="110">
        <v>238.7523508</v>
      </c>
      <c r="L91" s="111">
        <v>396.8504896</v>
      </c>
      <c r="M91" s="112">
        <v>442.3840163</v>
      </c>
      <c r="N91" s="111">
        <v>839.2345059</v>
      </c>
      <c r="O91" s="298">
        <v>0.0</v>
      </c>
      <c r="P91" s="114"/>
      <c r="Q91" s="114"/>
      <c r="R91" s="121" t="str">
        <f t="shared" si="11"/>
        <v/>
      </c>
      <c r="S91" s="116">
        <f t="shared" si="12"/>
        <v>0.2288425133</v>
      </c>
      <c r="T91" s="130"/>
      <c r="U91" s="118">
        <f t="shared" si="13"/>
        <v>0.39435</v>
      </c>
      <c r="V91" s="119">
        <v>0.1793</v>
      </c>
      <c r="W91" s="120">
        <f t="shared" si="14"/>
        <v>0.1793</v>
      </c>
      <c r="X91" s="119">
        <v>0.4951</v>
      </c>
      <c r="Y91" s="120">
        <f t="shared" si="15"/>
        <v>0.4951</v>
      </c>
      <c r="Z91" s="299"/>
      <c r="AA91" s="299"/>
      <c r="AB91" s="300" t="str">
        <f t="shared" si="16"/>
        <v/>
      </c>
      <c r="AC91" s="301">
        <f t="shared" si="17"/>
        <v>0.3490201688</v>
      </c>
      <c r="AD91" s="122">
        <v>0.0</v>
      </c>
      <c r="AE91" s="123">
        <v>0.0</v>
      </c>
      <c r="AF91" s="123">
        <v>0.0</v>
      </c>
      <c r="AG91" s="316">
        <v>0.0</v>
      </c>
      <c r="AH91" s="124">
        <v>0.275078108</v>
      </c>
      <c r="AI91" s="317">
        <v>0.0</v>
      </c>
      <c r="AJ91" s="125">
        <v>0.034037032</v>
      </c>
      <c r="AK91" s="319">
        <v>0.0</v>
      </c>
      <c r="AL91" s="319">
        <v>0.0</v>
      </c>
      <c r="AM91" s="302">
        <v>0.0</v>
      </c>
      <c r="AN91" s="149" t="str">
        <f>IFERROR(
  AVERAGEIFS(
    'New 20102013 LF Efficacy'!$J:$J,
    'New 20102013 LF Efficacy'!$D:$D, $A91,
    'New 20102013 LF Efficacy'!$F:$F,"DEC", 
    'New 20102013 LF Efficacy'!$W:$W,"&lt;2014",
    'New 20102013 LF Efficacy'!$AA:$AA,""),
  ""
)</f>
        <v/>
      </c>
      <c r="AO91" s="115">
        <f t="shared" si="18"/>
        <v>0.2589833333</v>
      </c>
      <c r="AP91" s="121" t="str">
        <f>IFERROR(
AVERAGEIFS(
'New 20102013 LF Efficacy'!$J:$J,
'New 20102013 LF Efficacy'!$D:$D,$A91,
'New 20102013 LF Efficacy'!$F:$F,"Albendazole &amp; DEC",
'New 20102013 LF Efficacy'!$W:$W,"&lt;2014",
'New 20102013 LF Efficacy'!$AA:$AA,""),
"")
</f>
        <v/>
      </c>
      <c r="AQ91" s="115">
        <f t="shared" si="19"/>
        <v>0.3465</v>
      </c>
      <c r="AR91" s="121" t="str">
        <f>IFERROR(
AVERAGEIFS(
'New 20102013 LF Efficacy'!$J:$J,
'New 20102013 LF Efficacy'!$D:$D,$A91,
'New 20102013 LF Efficacy'!$F:$F,"Albendazole &amp; Ivermectin", 
'New 20102013 LF Efficacy'!$W:$W,"&lt;2014",
'New 20102013 LF Efficacy'!$AA:$AA,""),"")</f>
        <v/>
      </c>
      <c r="AS91" s="115">
        <f t="shared" si="20"/>
        <v>0.7575</v>
      </c>
      <c r="AT91" s="130" t="str">
        <f>IFERROR(AVERAGEIFS(
'20102013 Schist Efficacy'!$O:$O, 
'20102013 Schist Efficacy'!$C:$C,$A91, 
'20102013 Schist Efficacy'!$D:$D, "Praziquantel",
'20102013 Schist Efficacy'!$J:$J,"&lt;2014",
'20102013 Schist Efficacy'!$U:$U,""),
"")</f>
        <v/>
      </c>
      <c r="AU91" s="118">
        <f t="shared" si="21"/>
        <v>0.7914761905</v>
      </c>
      <c r="AV91" s="131" t="str">
        <f>IFERROR(AVERAGEIFS(
'20102013 STH Efficacy'!$AX:$AX, 
'20102013 STH Efficacy'!$AL:$AL, $A91, 
'20102013 STH Efficacy'!$AM:$AM, "Albendazole",
'20102013 STH Efficacy'!$AS:$AS,"&lt;2014",
'20102013 STH Efficacy'!$BP:$BP,""),
"")</f>
        <v/>
      </c>
      <c r="AW91" s="132">
        <f t="shared" si="22"/>
        <v>0.3945</v>
      </c>
      <c r="AX91" s="131" t="str">
        <f>IFERROR(AVERAGEIFS(
'20102013 STH Efficacy'!$AX:$AX, 
'20102013 STH Efficacy'!$AL:$AL, $A91, 
'20102013 STH Efficacy'!$AM:$AM, "Mebendazole",
'20102013 STH Efficacy'!$AS:$AS,"&lt;2014",
'20102013 STH Efficacy'!$BP:$BP,""),
"")</f>
        <v/>
      </c>
      <c r="AY91" s="132">
        <f t="shared" si="23"/>
        <v>0.6</v>
      </c>
      <c r="AZ91" s="131" t="str">
        <f>IFERROR(AVERAGEIFS(
'20102013 STH Efficacy'!$AX:$AX, 
'20102013 STH Efficacy'!$AL:$AL, $A91, 
'20102013 STH Efficacy'!$AM:$AM, "Albendazole &amp; Ivermectin",
'20102013 STH Efficacy'!$AS:$AS,"&lt;2014",
'20102013 STH Efficacy'!$BP:$BP,""),
"")</f>
        <v/>
      </c>
      <c r="BA91" s="303">
        <f t="shared" si="24"/>
        <v>0.796</v>
      </c>
      <c r="BB91" s="134" t="str">
        <f>IFERROR(AVERAGEIFS(
'20102013 STH Efficacy'!$N:$N, 
'20102013 STH Efficacy'!$B:$B, $A91, 
'20102013 STH Efficacy'!$C:$C, "Albendazole",
'20102013 STH Efficacy'!$I:$I,"&lt;2014",
'20102013 STH Efficacy'!$AH:$AH,""),
"")</f>
        <v/>
      </c>
      <c r="BC91" s="135">
        <f t="shared" si="25"/>
        <v>0.869</v>
      </c>
      <c r="BD91" s="134" t="str">
        <f>IFERROR(AVERAGEIFS(
'20102013 STH Efficacy'!$N:$N, 
'20102013 STH Efficacy'!$B:$B, $A91, 
'20102013 STH Efficacy'!$C:$C, "Mebendazole",
'20102013 STH Efficacy'!$I:$I,"&lt;2014",
'20102013 STH Efficacy'!$AH:$AH,""),
"")</f>
        <v/>
      </c>
      <c r="BE91" s="135">
        <f t="shared" si="26"/>
        <v>0.172</v>
      </c>
      <c r="BF91" s="128" t="str">
        <f>IFERROR(AVERAGEIFS(
'20102013 STH Efficacy'!$CD:$CD, 
'20102013 STH Efficacy'!$BS:$BS, $A91, 
'20102013 STH Efficacy'!$BT:$BT, "Albendazole",
'20102013 STH Efficacy'!$BZ:$BZ,"&lt;2014",
'20102013 STH Efficacy'!$CU:$CU,""),
"")</f>
        <v/>
      </c>
      <c r="BG91" s="136">
        <f t="shared" si="27"/>
        <v>0.9862</v>
      </c>
      <c r="BH91" s="128" t="str">
        <f>IFERROR(AVERAGEIFS(
'20102013 STH Efficacy'!$CD:$CD, 
'20102013 STH Efficacy'!$BS:$BS, $A91, 
'20102013 STH Efficacy'!$BT:$BT, "Mebendazole",
'20102013 STH Efficacy'!$BZ:$BZ,"&lt;2014",
'20102013 STH Efficacy'!$CU:$CU,""),
"")</f>
        <v/>
      </c>
      <c r="BI91" s="136">
        <f t="shared" si="28"/>
        <v>0.769</v>
      </c>
      <c r="BJ91" s="128" t="str">
        <f>IFERROR(AVERAGEIFS(
'20102013 STH Efficacy'!$CD:$CD, 
'20102013 STH Efficacy'!$BS:$BS, $A91, 
'20102013 STH Efficacy'!$BT:$BT, "Albendazole &amp; Ivermectin",
'20102013 STH Efficacy'!$BZ:$BZ,"&lt;2014",
'20102013 STH Efficacy'!$CU:$CU,""),
"")</f>
        <v/>
      </c>
      <c r="BK91" s="136">
        <f t="shared" si="29"/>
        <v>1</v>
      </c>
      <c r="BL91" s="300" t="str">
        <f>IFERROR(
  AVERAGEIFS(
    'NEW 20102013 Onchocerciasis Eff'!$AO:$AO,
    'NEW 20102013 Onchocerciasis Eff'!$C:$C,$A91,
    'NEW 20102013 Onchocerciasis Eff'!$D:$D,"Ivermectin",
    'NEW 20102013 Onchocerciasis Eff'!$AR:$AR,"&lt;2014",
    'NEW 20102013 Onchocerciasis Eff'!$BG:$BG,"")
,"")</f>
        <v/>
      </c>
      <c r="BM91" s="304">
        <f t="shared" si="30"/>
        <v>0.3734</v>
      </c>
      <c r="BN91" s="305">
        <v>0.0</v>
      </c>
      <c r="BO91" s="139">
        <v>0.0</v>
      </c>
      <c r="BP91" s="140">
        <v>0.0</v>
      </c>
      <c r="BQ91" s="141">
        <f t="shared" si="31"/>
        <v>0</v>
      </c>
      <c r="BR91" s="104" t="str">
        <f t="shared" si="32"/>
        <v>0000</v>
      </c>
      <c r="BS91" s="104" t="str">
        <f t="shared" si="33"/>
        <v>no action required</v>
      </c>
      <c r="BT91" s="142" t="str">
        <f t="shared" si="34"/>
        <v/>
      </c>
      <c r="BU91" s="104" t="str">
        <f t="shared" si="35"/>
        <v/>
      </c>
      <c r="BV91" s="104" t="str">
        <f t="shared" si="36"/>
        <v>none</v>
      </c>
      <c r="BW91" s="150" t="str">
        <f t="shared" si="37"/>
        <v/>
      </c>
      <c r="BX91" s="150" t="str">
        <f t="shared" si="38"/>
        <v/>
      </c>
      <c r="BY91" s="151" t="str">
        <f t="shared" si="39"/>
        <v/>
      </c>
      <c r="BZ91" s="152" t="str">
        <f t="shared" si="40"/>
        <v/>
      </c>
      <c r="CA91" s="152" t="str">
        <f t="shared" si="41"/>
        <v/>
      </c>
      <c r="CB91" s="152" t="str">
        <f t="shared" si="42"/>
        <v/>
      </c>
      <c r="CC91" s="153" t="str">
        <f t="shared" si="43"/>
        <v/>
      </c>
      <c r="CD91" s="153" t="str">
        <f t="shared" si="44"/>
        <v/>
      </c>
      <c r="CE91" s="154" t="str">
        <f t="shared" si="45"/>
        <v/>
      </c>
      <c r="CF91" s="154" t="str">
        <f t="shared" si="46"/>
        <v/>
      </c>
      <c r="CG91" s="154" t="str">
        <f t="shared" si="47"/>
        <v/>
      </c>
      <c r="CH91" s="308" t="str">
        <f t="shared" si="48"/>
        <v/>
      </c>
      <c r="CI91" s="299"/>
    </row>
    <row r="92">
      <c r="A92" s="103" t="s">
        <v>181</v>
      </c>
      <c r="B92" s="104" t="s">
        <v>90</v>
      </c>
      <c r="C92" s="105">
        <v>9893082.0</v>
      </c>
      <c r="D92" s="293">
        <v>0.0</v>
      </c>
      <c r="E92" s="294">
        <v>0.0</v>
      </c>
      <c r="F92" s="309">
        <v>0.0</v>
      </c>
      <c r="G92" s="309">
        <v>0.0</v>
      </c>
      <c r="H92" s="108">
        <v>0.0</v>
      </c>
      <c r="I92" s="109">
        <v>0.0</v>
      </c>
      <c r="J92" s="109">
        <v>0.0</v>
      </c>
      <c r="K92" s="109">
        <v>0.0</v>
      </c>
      <c r="L92" s="112">
        <v>0.0</v>
      </c>
      <c r="M92" s="112">
        <v>0.0</v>
      </c>
      <c r="N92" s="111">
        <v>0.0</v>
      </c>
      <c r="O92" s="298">
        <v>0.0</v>
      </c>
      <c r="P92" s="114"/>
      <c r="Q92" s="114"/>
      <c r="R92" s="121" t="str">
        <f t="shared" si="11"/>
        <v/>
      </c>
      <c r="S92" s="116">
        <f t="shared" si="12"/>
        <v>0.526225767</v>
      </c>
      <c r="T92" s="130"/>
      <c r="U92" s="118">
        <f t="shared" si="13"/>
        <v>0.3468166667</v>
      </c>
      <c r="V92" s="148"/>
      <c r="W92" s="120">
        <f t="shared" si="14"/>
        <v>1</v>
      </c>
      <c r="X92" s="148"/>
      <c r="Y92" s="120">
        <f t="shared" si="15"/>
        <v>1</v>
      </c>
      <c r="Z92" s="299"/>
      <c r="AA92" s="299"/>
      <c r="AB92" s="300" t="str">
        <f t="shared" si="16"/>
        <v/>
      </c>
      <c r="AC92" s="301">
        <f t="shared" si="17"/>
        <v>0.6295826791</v>
      </c>
      <c r="AD92" s="122">
        <v>0.0</v>
      </c>
      <c r="AE92" s="123">
        <v>0.0</v>
      </c>
      <c r="AF92" s="123">
        <v>0.0</v>
      </c>
      <c r="AG92" s="316">
        <v>0.0</v>
      </c>
      <c r="AH92" s="124">
        <v>0.0</v>
      </c>
      <c r="AI92" s="317">
        <v>0.0</v>
      </c>
      <c r="AJ92" s="125">
        <v>0.0</v>
      </c>
      <c r="AK92" s="319">
        <v>0.0</v>
      </c>
      <c r="AL92" s="319">
        <v>0.0</v>
      </c>
      <c r="AM92" s="302">
        <v>0.0</v>
      </c>
      <c r="AN92" s="149" t="str">
        <f>IFERROR(
  AVERAGEIFS(
    'New 20102013 LF Efficacy'!$J:$J,
    'New 20102013 LF Efficacy'!$D:$D, $A92,
    'New 20102013 LF Efficacy'!$F:$F,"DEC", 
    'New 20102013 LF Efficacy'!$W:$W,"&lt;2014",
    'New 20102013 LF Efficacy'!$AA:$AA,""),
  ""
)</f>
        <v/>
      </c>
      <c r="AO92" s="115">
        <f t="shared" si="18"/>
        <v>0.3573520833</v>
      </c>
      <c r="AP92" s="121" t="str">
        <f>IFERROR(
AVERAGEIFS(
'New 20102013 LF Efficacy'!$J:$J,
'New 20102013 LF Efficacy'!$D:$D,$A92,
'New 20102013 LF Efficacy'!$F:$F,"Albendazole &amp; DEC",
'New 20102013 LF Efficacy'!$W:$W,"&lt;2014",
'New 20102013 LF Efficacy'!$AA:$AA,""),
"")
</f>
        <v/>
      </c>
      <c r="AQ92" s="115">
        <f t="shared" si="19"/>
        <v>0.5137291667</v>
      </c>
      <c r="AR92" s="121" t="str">
        <f>IFERROR(
AVERAGEIFS(
'New 20102013 LF Efficacy'!$J:$J,
'New 20102013 LF Efficacy'!$D:$D,$A92,
'New 20102013 LF Efficacy'!$F:$F,"Albendazole &amp; Ivermectin", 
'New 20102013 LF Efficacy'!$W:$W,"&lt;2014",
'New 20102013 LF Efficacy'!$AA:$AA,""),"")</f>
        <v/>
      </c>
      <c r="AS92" s="115">
        <f t="shared" si="20"/>
        <v>0.37153125</v>
      </c>
      <c r="AT92" s="130" t="str">
        <f>IFERROR(AVERAGEIFS(
'20102013 Schist Efficacy'!$O:$O, 
'20102013 Schist Efficacy'!$C:$C,$A92, 
'20102013 Schist Efficacy'!$D:$D, "Praziquantel",
'20102013 Schist Efficacy'!$J:$J,"&lt;2014",
'20102013 Schist Efficacy'!$U:$U,""),
"")</f>
        <v/>
      </c>
      <c r="AU92" s="118">
        <f t="shared" si="21"/>
        <v>0.655</v>
      </c>
      <c r="AV92" s="131" t="str">
        <f>IFERROR(AVERAGEIFS(
'20102013 STH Efficacy'!$AX:$AX, 
'20102013 STH Efficacy'!$AL:$AL, $A92, 
'20102013 STH Efficacy'!$AM:$AM, "Albendazole",
'20102013 STH Efficacy'!$AS:$AS,"&lt;2014",
'20102013 STH Efficacy'!$BP:$BP,""),
"")</f>
        <v/>
      </c>
      <c r="AW92" s="132">
        <f t="shared" si="22"/>
        <v>0.3933333333</v>
      </c>
      <c r="AX92" s="131" t="str">
        <f>IFERROR(AVERAGEIFS(
'20102013 STH Efficacy'!$AX:$AX, 
'20102013 STH Efficacy'!$AL:$AL, $A92, 
'20102013 STH Efficacy'!$AM:$AM, "Mebendazole",
'20102013 STH Efficacy'!$AS:$AS,"&lt;2014",
'20102013 STH Efficacy'!$BP:$BP,""),
"")</f>
        <v/>
      </c>
      <c r="AY92" s="132">
        <f t="shared" si="23"/>
        <v>0.5017738095</v>
      </c>
      <c r="AZ92" s="131" t="str">
        <f>IFERROR(AVERAGEIFS(
'20102013 STH Efficacy'!$AX:$AX, 
'20102013 STH Efficacy'!$AL:$AL, $A92, 
'20102013 STH Efficacy'!$AM:$AM, "Albendazole &amp; Ivermectin",
'20102013 STH Efficacy'!$AS:$AS,"&lt;2014",
'20102013 STH Efficacy'!$BP:$BP,""),
"")</f>
        <v/>
      </c>
      <c r="BA92" s="303">
        <f t="shared" si="24"/>
        <v>0.597625</v>
      </c>
      <c r="BB92" s="134" t="str">
        <f>IFERROR(AVERAGEIFS(
'20102013 STH Efficacy'!$N:$N, 
'20102013 STH Efficacy'!$B:$B, $A92, 
'20102013 STH Efficacy'!$C:$C, "Albendazole",
'20102013 STH Efficacy'!$I:$I,"&lt;2014",
'20102013 STH Efficacy'!$AH:$AH,""),
"")</f>
        <v/>
      </c>
      <c r="BC92" s="135">
        <f t="shared" si="25"/>
        <v>0.7613712121</v>
      </c>
      <c r="BD92" s="134" t="str">
        <f>IFERROR(AVERAGEIFS(
'20102013 STH Efficacy'!$N:$N, 
'20102013 STH Efficacy'!$B:$B, $A92, 
'20102013 STH Efficacy'!$C:$C, "Mebendazole",
'20102013 STH Efficacy'!$I:$I,"&lt;2014",
'20102013 STH Efficacy'!$AH:$AH,""),
"")</f>
        <v/>
      </c>
      <c r="BE92" s="135">
        <f t="shared" si="26"/>
        <v>0.4362466667</v>
      </c>
      <c r="BF92" s="128" t="str">
        <f>IFERROR(AVERAGEIFS(
'20102013 STH Efficacy'!$CD:$CD, 
'20102013 STH Efficacy'!$BS:$BS, $A92, 
'20102013 STH Efficacy'!$BT:$BT, "Albendazole",
'20102013 STH Efficacy'!$BZ:$BZ,"&lt;2014",
'20102013 STH Efficacy'!$CU:$CU,""),
"")</f>
        <v/>
      </c>
      <c r="BG92" s="136">
        <f t="shared" si="27"/>
        <v>0.9216027778</v>
      </c>
      <c r="BH92" s="128" t="str">
        <f>IFERROR(AVERAGEIFS(
'20102013 STH Efficacy'!$CD:$CD, 
'20102013 STH Efficacy'!$BS:$BS, $A92, 
'20102013 STH Efficacy'!$BT:$BT, "Mebendazole",
'20102013 STH Efficacy'!$BZ:$BZ,"&lt;2014",
'20102013 STH Efficacy'!$CU:$CU,""),
"")</f>
        <v/>
      </c>
      <c r="BI92" s="136">
        <f t="shared" si="28"/>
        <v>0.9295857143</v>
      </c>
      <c r="BJ92" s="128" t="str">
        <f>IFERROR(AVERAGEIFS(
'20102013 STH Efficacy'!$CD:$CD, 
'20102013 STH Efficacy'!$BS:$BS, $A92, 
'20102013 STH Efficacy'!$BT:$BT, "Albendazole &amp; Ivermectin",
'20102013 STH Efficacy'!$BZ:$BZ,"&lt;2014",
'20102013 STH Efficacy'!$CU:$CU,""),
"")</f>
        <v/>
      </c>
      <c r="BK92" s="136">
        <f t="shared" si="29"/>
        <v>1</v>
      </c>
      <c r="BL92" s="300" t="str">
        <f>IFERROR(
  AVERAGEIFS(
    'NEW 20102013 Onchocerciasis Eff'!$AO:$AO,
    'NEW 20102013 Onchocerciasis Eff'!$C:$C,$A92,
    'NEW 20102013 Onchocerciasis Eff'!$D:$D,"Ivermectin",
    'NEW 20102013 Onchocerciasis Eff'!$AR:$AR,"&lt;2014",
    'NEW 20102013 Onchocerciasis Eff'!$BG:$BG,"")
,"")</f>
        <v/>
      </c>
      <c r="BM92" s="304">
        <f t="shared" si="30"/>
        <v>0.7808368939</v>
      </c>
      <c r="BN92" s="305">
        <v>0.0</v>
      </c>
      <c r="BO92" s="139">
        <v>0.0</v>
      </c>
      <c r="BP92" s="140">
        <v>0.0</v>
      </c>
      <c r="BQ92" s="141">
        <f t="shared" si="31"/>
        <v>0</v>
      </c>
      <c r="BR92" s="104" t="str">
        <f t="shared" si="32"/>
        <v>0000</v>
      </c>
      <c r="BS92" s="104" t="str">
        <f t="shared" si="33"/>
        <v>no action required</v>
      </c>
      <c r="BT92" s="142" t="str">
        <f t="shared" si="34"/>
        <v/>
      </c>
      <c r="BU92" s="104" t="str">
        <f t="shared" si="35"/>
        <v/>
      </c>
      <c r="BV92" s="104" t="str">
        <f t="shared" si="36"/>
        <v>none</v>
      </c>
      <c r="BW92" s="150" t="str">
        <f t="shared" si="37"/>
        <v/>
      </c>
      <c r="BX92" s="150" t="str">
        <f t="shared" si="38"/>
        <v/>
      </c>
      <c r="BY92" s="151" t="str">
        <f t="shared" si="39"/>
        <v/>
      </c>
      <c r="BZ92" s="152" t="str">
        <f t="shared" si="40"/>
        <v/>
      </c>
      <c r="CA92" s="152" t="str">
        <f t="shared" si="41"/>
        <v/>
      </c>
      <c r="CB92" s="152" t="str">
        <f t="shared" si="42"/>
        <v/>
      </c>
      <c r="CC92" s="153" t="str">
        <f t="shared" si="43"/>
        <v/>
      </c>
      <c r="CD92" s="153" t="str">
        <f t="shared" si="44"/>
        <v/>
      </c>
      <c r="CE92" s="154" t="str">
        <f t="shared" si="45"/>
        <v/>
      </c>
      <c r="CF92" s="154" t="str">
        <f t="shared" si="46"/>
        <v/>
      </c>
      <c r="CG92" s="154" t="str">
        <f t="shared" si="47"/>
        <v/>
      </c>
      <c r="CH92" s="308" t="str">
        <f t="shared" si="48"/>
        <v/>
      </c>
      <c r="CI92" s="299"/>
    </row>
    <row r="93">
      <c r="A93" s="103" t="s">
        <v>182</v>
      </c>
      <c r="B93" s="104" t="s">
        <v>90</v>
      </c>
      <c r="C93" s="105">
        <v>323764.0</v>
      </c>
      <c r="D93" s="293">
        <v>0.0</v>
      </c>
      <c r="E93" s="294">
        <v>0.0</v>
      </c>
      <c r="F93" s="307">
        <v>0.0</v>
      </c>
      <c r="G93" s="307">
        <v>0.0</v>
      </c>
      <c r="H93" s="108">
        <v>0.0</v>
      </c>
      <c r="I93" s="109">
        <v>0.0</v>
      </c>
      <c r="J93" s="109">
        <v>0.0</v>
      </c>
      <c r="K93" s="109">
        <v>0.0</v>
      </c>
      <c r="L93" s="112">
        <v>0.0</v>
      </c>
      <c r="M93" s="112">
        <v>0.0</v>
      </c>
      <c r="N93" s="111">
        <v>0.0</v>
      </c>
      <c r="O93" s="298">
        <v>0.0</v>
      </c>
      <c r="P93" s="114"/>
      <c r="Q93" s="114"/>
      <c r="R93" s="121" t="str">
        <f t="shared" si="11"/>
        <v/>
      </c>
      <c r="S93" s="116">
        <f t="shared" si="12"/>
        <v>0.526225767</v>
      </c>
      <c r="T93" s="130"/>
      <c r="U93" s="118">
        <f t="shared" si="13"/>
        <v>0.3468166667</v>
      </c>
      <c r="V93" s="148"/>
      <c r="W93" s="120">
        <f t="shared" si="14"/>
        <v>1</v>
      </c>
      <c r="X93" s="148"/>
      <c r="Y93" s="120">
        <f t="shared" si="15"/>
        <v>1</v>
      </c>
      <c r="Z93" s="299"/>
      <c r="AA93" s="299"/>
      <c r="AB93" s="300" t="str">
        <f t="shared" si="16"/>
        <v/>
      </c>
      <c r="AC93" s="301">
        <f t="shared" si="17"/>
        <v>0.6295826791</v>
      </c>
      <c r="AD93" s="122">
        <v>0.0</v>
      </c>
      <c r="AE93" s="123">
        <v>0.0</v>
      </c>
      <c r="AF93" s="123">
        <v>0.0</v>
      </c>
      <c r="AG93" s="124">
        <v>0.0</v>
      </c>
      <c r="AH93" s="124">
        <v>0.0</v>
      </c>
      <c r="AI93" s="125">
        <v>0.0</v>
      </c>
      <c r="AJ93" s="125">
        <v>0.0</v>
      </c>
      <c r="AK93" s="127">
        <v>0.0</v>
      </c>
      <c r="AL93" s="127">
        <v>0.0</v>
      </c>
      <c r="AM93" s="302">
        <v>0.0</v>
      </c>
      <c r="AN93" s="149" t="str">
        <f>IFERROR(
  AVERAGEIFS(
    'New 20102013 LF Efficacy'!$J:$J,
    'New 20102013 LF Efficacy'!$D:$D, $A93,
    'New 20102013 LF Efficacy'!$F:$F,"DEC", 
    'New 20102013 LF Efficacy'!$W:$W,"&lt;2014",
    'New 20102013 LF Efficacy'!$AA:$AA,""),
  ""
)</f>
        <v/>
      </c>
      <c r="AO93" s="115">
        <f t="shared" si="18"/>
        <v>0.3573520833</v>
      </c>
      <c r="AP93" s="121" t="str">
        <f>IFERROR(
AVERAGEIFS(
'New 20102013 LF Efficacy'!$J:$J,
'New 20102013 LF Efficacy'!$D:$D,$A93,
'New 20102013 LF Efficacy'!$F:$F,"Albendazole &amp; DEC",
'New 20102013 LF Efficacy'!$W:$W,"&lt;2014",
'New 20102013 LF Efficacy'!$AA:$AA,""),
"")
</f>
        <v/>
      </c>
      <c r="AQ93" s="115">
        <f t="shared" si="19"/>
        <v>0.5137291667</v>
      </c>
      <c r="AR93" s="121" t="str">
        <f>IFERROR(
AVERAGEIFS(
'New 20102013 LF Efficacy'!$J:$J,
'New 20102013 LF Efficacy'!$D:$D,$A93,
'New 20102013 LF Efficacy'!$F:$F,"Albendazole &amp; Ivermectin", 
'New 20102013 LF Efficacy'!$W:$W,"&lt;2014",
'New 20102013 LF Efficacy'!$AA:$AA,""),"")</f>
        <v/>
      </c>
      <c r="AS93" s="115">
        <f t="shared" si="20"/>
        <v>0.37153125</v>
      </c>
      <c r="AT93" s="130" t="str">
        <f>IFERROR(AVERAGEIFS(
'20102013 Schist Efficacy'!$O:$O, 
'20102013 Schist Efficacy'!$C:$C,$A93, 
'20102013 Schist Efficacy'!$D:$D, "Praziquantel",
'20102013 Schist Efficacy'!$J:$J,"&lt;2014",
'20102013 Schist Efficacy'!$U:$U,""),
"")</f>
        <v/>
      </c>
      <c r="AU93" s="118">
        <f t="shared" si="21"/>
        <v>0.655</v>
      </c>
      <c r="AV93" s="131" t="str">
        <f>IFERROR(AVERAGEIFS(
'20102013 STH Efficacy'!$AX:$AX, 
'20102013 STH Efficacy'!$AL:$AL, $A93, 
'20102013 STH Efficacy'!$AM:$AM, "Albendazole",
'20102013 STH Efficacy'!$AS:$AS,"&lt;2014",
'20102013 STH Efficacy'!$BP:$BP,""),
"")</f>
        <v/>
      </c>
      <c r="AW93" s="132">
        <f t="shared" si="22"/>
        <v>0.3933333333</v>
      </c>
      <c r="AX93" s="131" t="str">
        <f>IFERROR(AVERAGEIFS(
'20102013 STH Efficacy'!$AX:$AX, 
'20102013 STH Efficacy'!$AL:$AL, $A93, 
'20102013 STH Efficacy'!$AM:$AM, "Mebendazole",
'20102013 STH Efficacy'!$AS:$AS,"&lt;2014",
'20102013 STH Efficacy'!$BP:$BP,""),
"")</f>
        <v/>
      </c>
      <c r="AY93" s="132">
        <f t="shared" si="23"/>
        <v>0.5017738095</v>
      </c>
      <c r="AZ93" s="131" t="str">
        <f>IFERROR(AVERAGEIFS(
'20102013 STH Efficacy'!$AX:$AX, 
'20102013 STH Efficacy'!$AL:$AL, $A93, 
'20102013 STH Efficacy'!$AM:$AM, "Albendazole &amp; Ivermectin",
'20102013 STH Efficacy'!$AS:$AS,"&lt;2014",
'20102013 STH Efficacy'!$BP:$BP,""),
"")</f>
        <v/>
      </c>
      <c r="BA93" s="303">
        <f t="shared" si="24"/>
        <v>0.597625</v>
      </c>
      <c r="BB93" s="134" t="str">
        <f>IFERROR(AVERAGEIFS(
'20102013 STH Efficacy'!$N:$N, 
'20102013 STH Efficacy'!$B:$B, $A93, 
'20102013 STH Efficacy'!$C:$C, "Albendazole",
'20102013 STH Efficacy'!$I:$I,"&lt;2014",
'20102013 STH Efficacy'!$AH:$AH,""),
"")</f>
        <v/>
      </c>
      <c r="BC93" s="135">
        <f t="shared" si="25"/>
        <v>0.7613712121</v>
      </c>
      <c r="BD93" s="134" t="str">
        <f>IFERROR(AVERAGEIFS(
'20102013 STH Efficacy'!$N:$N, 
'20102013 STH Efficacy'!$B:$B, $A93, 
'20102013 STH Efficacy'!$C:$C, "Mebendazole",
'20102013 STH Efficacy'!$I:$I,"&lt;2014",
'20102013 STH Efficacy'!$AH:$AH,""),
"")</f>
        <v/>
      </c>
      <c r="BE93" s="135">
        <f t="shared" si="26"/>
        <v>0.4362466667</v>
      </c>
      <c r="BF93" s="128" t="str">
        <f>IFERROR(AVERAGEIFS(
'20102013 STH Efficacy'!$CD:$CD, 
'20102013 STH Efficacy'!$BS:$BS, $A93, 
'20102013 STH Efficacy'!$BT:$BT, "Albendazole",
'20102013 STH Efficacy'!$BZ:$BZ,"&lt;2014",
'20102013 STH Efficacy'!$CU:$CU,""),
"")</f>
        <v/>
      </c>
      <c r="BG93" s="136">
        <f t="shared" si="27"/>
        <v>0.9216027778</v>
      </c>
      <c r="BH93" s="128" t="str">
        <f>IFERROR(AVERAGEIFS(
'20102013 STH Efficacy'!$CD:$CD, 
'20102013 STH Efficacy'!$BS:$BS, $A93, 
'20102013 STH Efficacy'!$BT:$BT, "Mebendazole",
'20102013 STH Efficacy'!$BZ:$BZ,"&lt;2014",
'20102013 STH Efficacy'!$CU:$CU,""),
"")</f>
        <v/>
      </c>
      <c r="BI93" s="136">
        <f t="shared" si="28"/>
        <v>0.9295857143</v>
      </c>
      <c r="BJ93" s="128" t="str">
        <f>IFERROR(AVERAGEIFS(
'20102013 STH Efficacy'!$CD:$CD, 
'20102013 STH Efficacy'!$BS:$BS, $A93, 
'20102013 STH Efficacy'!$BT:$BT, "Albendazole &amp; Ivermectin",
'20102013 STH Efficacy'!$BZ:$BZ,"&lt;2014",
'20102013 STH Efficacy'!$CU:$CU,""),
"")</f>
        <v/>
      </c>
      <c r="BK93" s="136">
        <f t="shared" si="29"/>
        <v>1</v>
      </c>
      <c r="BL93" s="300" t="str">
        <f>IFERROR(
  AVERAGEIFS(
    'NEW 20102013 Onchocerciasis Eff'!$AO:$AO,
    'NEW 20102013 Onchocerciasis Eff'!$C:$C,$A93,
    'NEW 20102013 Onchocerciasis Eff'!$D:$D,"Ivermectin",
    'NEW 20102013 Onchocerciasis Eff'!$AR:$AR,"&lt;2014",
    'NEW 20102013 Onchocerciasis Eff'!$BG:$BG,"")
,"")</f>
        <v/>
      </c>
      <c r="BM93" s="304">
        <f t="shared" si="30"/>
        <v>0.7808368939</v>
      </c>
      <c r="BN93" s="305">
        <v>0.0</v>
      </c>
      <c r="BO93" s="139">
        <v>0.0</v>
      </c>
      <c r="BP93" s="140">
        <v>0.0</v>
      </c>
      <c r="BQ93" s="141">
        <f t="shared" si="31"/>
        <v>0</v>
      </c>
      <c r="BR93" s="104" t="str">
        <f t="shared" si="32"/>
        <v>0000</v>
      </c>
      <c r="BS93" s="104" t="str">
        <f t="shared" si="33"/>
        <v>no action required</v>
      </c>
      <c r="BT93" s="142" t="str">
        <f t="shared" si="34"/>
        <v/>
      </c>
      <c r="BU93" s="104" t="str">
        <f t="shared" si="35"/>
        <v/>
      </c>
      <c r="BV93" s="104" t="str">
        <f t="shared" si="36"/>
        <v>none</v>
      </c>
      <c r="BW93" s="150" t="str">
        <f t="shared" si="37"/>
        <v/>
      </c>
      <c r="BX93" s="150" t="str">
        <f t="shared" si="38"/>
        <v/>
      </c>
      <c r="BY93" s="151" t="str">
        <f t="shared" si="39"/>
        <v/>
      </c>
      <c r="BZ93" s="152" t="str">
        <f t="shared" si="40"/>
        <v/>
      </c>
      <c r="CA93" s="152" t="str">
        <f t="shared" si="41"/>
        <v/>
      </c>
      <c r="CB93" s="152" t="str">
        <f t="shared" si="42"/>
        <v/>
      </c>
      <c r="CC93" s="153" t="str">
        <f t="shared" si="43"/>
        <v/>
      </c>
      <c r="CD93" s="153" t="str">
        <f t="shared" si="44"/>
        <v/>
      </c>
      <c r="CE93" s="154" t="str">
        <f t="shared" si="45"/>
        <v/>
      </c>
      <c r="CF93" s="154" t="str">
        <f t="shared" si="46"/>
        <v/>
      </c>
      <c r="CG93" s="154" t="str">
        <f t="shared" si="47"/>
        <v/>
      </c>
      <c r="CH93" s="308" t="str">
        <f t="shared" si="48"/>
        <v/>
      </c>
      <c r="CI93" s="299"/>
    </row>
    <row r="94">
      <c r="A94" s="103" t="s">
        <v>183</v>
      </c>
      <c r="B94" s="104" t="s">
        <v>109</v>
      </c>
      <c r="C94" s="105">
        <v>1.278562207E9</v>
      </c>
      <c r="D94" s="293">
        <v>293414.45999999996</v>
      </c>
      <c r="E94" s="294">
        <v>0.0</v>
      </c>
      <c r="F94" s="307">
        <v>1669.872099</v>
      </c>
      <c r="G94" s="307">
        <v>8088.261287</v>
      </c>
      <c r="H94" s="108">
        <v>9758.133386</v>
      </c>
      <c r="I94" s="109">
        <v>22629.168</v>
      </c>
      <c r="J94" s="109">
        <v>74799.7486</v>
      </c>
      <c r="K94" s="109">
        <v>97428.91665</v>
      </c>
      <c r="L94" s="112">
        <v>45697.45419</v>
      </c>
      <c r="M94" s="112">
        <v>61235.35908</v>
      </c>
      <c r="N94" s="111">
        <v>106932.8133</v>
      </c>
      <c r="O94" s="298">
        <v>0.0</v>
      </c>
      <c r="P94" s="160">
        <v>4.89133952E8</v>
      </c>
      <c r="Q94" s="160">
        <v>2.52970887E8</v>
      </c>
      <c r="R94" s="121">
        <f t="shared" si="11"/>
        <v>0.5171812056</v>
      </c>
      <c r="S94" s="116">
        <f t="shared" si="12"/>
        <v>0.5171812056</v>
      </c>
      <c r="T94" s="118">
        <v>0.5581</v>
      </c>
      <c r="U94" s="118">
        <f t="shared" si="13"/>
        <v>0.5581</v>
      </c>
      <c r="V94" s="119">
        <v>0.2497</v>
      </c>
      <c r="W94" s="120">
        <f t="shared" si="14"/>
        <v>0.2497</v>
      </c>
      <c r="X94" s="119">
        <v>0.3331</v>
      </c>
      <c r="Y94" s="120">
        <f t="shared" si="15"/>
        <v>0.3331</v>
      </c>
      <c r="Z94" s="299"/>
      <c r="AA94" s="299"/>
      <c r="AB94" s="300" t="str">
        <f t="shared" si="16"/>
        <v/>
      </c>
      <c r="AC94" s="301">
        <f t="shared" si="17"/>
        <v>0.6295826791</v>
      </c>
      <c r="AD94" s="122">
        <v>0.0091</v>
      </c>
      <c r="AE94" s="123">
        <v>0.0</v>
      </c>
      <c r="AF94" s="123">
        <v>0.0</v>
      </c>
      <c r="AG94" s="124">
        <v>0.032</v>
      </c>
      <c r="AH94" s="124">
        <v>0.055070744</v>
      </c>
      <c r="AI94" s="125">
        <v>0.0442</v>
      </c>
      <c r="AJ94" s="125">
        <v>0.073198453</v>
      </c>
      <c r="AK94" s="127">
        <v>0.1006</v>
      </c>
      <c r="AL94" s="127">
        <v>0.1601</v>
      </c>
      <c r="AM94" s="302">
        <v>0.0</v>
      </c>
      <c r="AN94" s="149">
        <f>IFERROR(
  AVERAGEIFS(
    'New 20102013 LF Efficacy'!$J:$J,
    'New 20102013 LF Efficacy'!$D:$D, $A94,
    'New 20102013 LF Efficacy'!$F:$F,"DEC", 
    'New 20102013 LF Efficacy'!$W:$W,"&lt;2014",
    'New 20102013 LF Efficacy'!$AA:$AA,""),
  ""
)</f>
        <v>0.373</v>
      </c>
      <c r="AO94" s="115">
        <f t="shared" si="18"/>
        <v>0.373</v>
      </c>
      <c r="AP94" s="121">
        <f>IFERROR(
AVERAGEIFS(
'New 20102013 LF Efficacy'!$J:$J,
'New 20102013 LF Efficacy'!$D:$D,$A94,
'New 20102013 LF Efficacy'!$F:$F,"Albendazole &amp; DEC",
'New 20102013 LF Efficacy'!$W:$W,"&lt;2014",
'New 20102013 LF Efficacy'!$AA:$AA,""),
"")
</f>
        <v>0.4463333333</v>
      </c>
      <c r="AQ94" s="115">
        <f t="shared" si="19"/>
        <v>0.4463333333</v>
      </c>
      <c r="AR94" s="121">
        <f>IFERROR(
AVERAGEIFS(
'New 20102013 LF Efficacy'!$J:$J,
'New 20102013 LF Efficacy'!$D:$D,$A94,
'New 20102013 LF Efficacy'!$F:$F,"Albendazole &amp; Ivermectin", 
'New 20102013 LF Efficacy'!$W:$W,"&lt;2014",
'New 20102013 LF Efficacy'!$AA:$AA,""),"")</f>
        <v>0.14</v>
      </c>
      <c r="AS94" s="115">
        <f t="shared" si="20"/>
        <v>0.14</v>
      </c>
      <c r="AT94" s="130" t="str">
        <f>IFERROR(AVERAGEIFS(
'20102013 Schist Efficacy'!$O:$O, 
'20102013 Schist Efficacy'!$C:$C,$A94, 
'20102013 Schist Efficacy'!$D:$D, "Praziquantel",
'20102013 Schist Efficacy'!$J:$J,"&lt;2014",
'20102013 Schist Efficacy'!$U:$U,""),
"")</f>
        <v/>
      </c>
      <c r="AU94" s="118">
        <f t="shared" si="21"/>
        <v>0.7430399392</v>
      </c>
      <c r="AV94" s="131" t="str">
        <f>IFERROR(AVERAGEIFS(
'20102013 STH Efficacy'!$AX:$AX, 
'20102013 STH Efficacy'!$AL:$AL, $A94, 
'20102013 STH Efficacy'!$AM:$AM, "Albendazole",
'20102013 STH Efficacy'!$AS:$AS,"&lt;2014",
'20102013 STH Efficacy'!$BP:$BP,""),
"")</f>
        <v/>
      </c>
      <c r="AW94" s="132">
        <f t="shared" si="22"/>
        <v>0.4756666667</v>
      </c>
      <c r="AX94" s="131" t="str">
        <f>IFERROR(AVERAGEIFS(
'20102013 STH Efficacy'!$AX:$AX, 
'20102013 STH Efficacy'!$AL:$AL, $A94, 
'20102013 STH Efficacy'!$AM:$AM, "Mebendazole",
'20102013 STH Efficacy'!$AS:$AS,"&lt;2014",
'20102013 STH Efficacy'!$BP:$BP,""),
"")</f>
        <v/>
      </c>
      <c r="AY94" s="132">
        <f t="shared" si="23"/>
        <v>0.3786666667</v>
      </c>
      <c r="AZ94" s="131" t="str">
        <f>IFERROR(AVERAGEIFS(
'20102013 STH Efficacy'!$AX:$AX, 
'20102013 STH Efficacy'!$AL:$AL, $A94, 
'20102013 STH Efficacy'!$AM:$AM, "Albendazole &amp; Ivermectin",
'20102013 STH Efficacy'!$AS:$AS,"&lt;2014",
'20102013 STH Efficacy'!$BP:$BP,""),
"")</f>
        <v/>
      </c>
      <c r="BA94" s="303">
        <f t="shared" si="24"/>
        <v>0.597625</v>
      </c>
      <c r="BB94" s="134" t="str">
        <f>IFERROR(AVERAGEIFS(
'20102013 STH Efficacy'!$N:$N, 
'20102013 STH Efficacy'!$B:$B, $A94, 
'20102013 STH Efficacy'!$C:$C, "Albendazole",
'20102013 STH Efficacy'!$I:$I,"&lt;2014",
'20102013 STH Efficacy'!$AH:$AH,""),
"")</f>
        <v/>
      </c>
      <c r="BC94" s="135">
        <f t="shared" si="25"/>
        <v>0.7133333333</v>
      </c>
      <c r="BD94" s="134" t="str">
        <f>IFERROR(AVERAGEIFS(
'20102013 STH Efficacy'!$N:$N, 
'20102013 STH Efficacy'!$B:$B, $A94, 
'20102013 STH Efficacy'!$C:$C, "Mebendazole",
'20102013 STH Efficacy'!$I:$I,"&lt;2014",
'20102013 STH Efficacy'!$AH:$AH,""),
"")</f>
        <v/>
      </c>
      <c r="BE94" s="135">
        <f t="shared" si="26"/>
        <v>0.205</v>
      </c>
      <c r="BF94" s="128">
        <f>IFERROR(AVERAGEIFS(
'20102013 STH Efficacy'!$CD:$CD, 
'20102013 STH Efficacy'!$BS:$BS, $A94, 
'20102013 STH Efficacy'!$BT:$BT, "Albendazole",
'20102013 STH Efficacy'!$BZ:$BZ,"&lt;2014",
'20102013 STH Efficacy'!$CU:$CU,""),
"")</f>
        <v>0.66</v>
      </c>
      <c r="BG94" s="136">
        <f t="shared" si="27"/>
        <v>0.66</v>
      </c>
      <c r="BH94" s="128" t="str">
        <f>IFERROR(AVERAGEIFS(
'20102013 STH Efficacy'!$CD:$CD, 
'20102013 STH Efficacy'!$BS:$BS, $A94, 
'20102013 STH Efficacy'!$BT:$BT, "Mebendazole",
'20102013 STH Efficacy'!$BZ:$BZ,"&lt;2014",
'20102013 STH Efficacy'!$CU:$CU,""),
"")</f>
        <v/>
      </c>
      <c r="BI94" s="136">
        <f t="shared" si="28"/>
        <v>1</v>
      </c>
      <c r="BJ94" s="128" t="str">
        <f>IFERROR(AVERAGEIFS(
'20102013 STH Efficacy'!$CD:$CD, 
'20102013 STH Efficacy'!$BS:$BS, $A94, 
'20102013 STH Efficacy'!$BT:$BT, "Albendazole &amp; Ivermectin",
'20102013 STH Efficacy'!$BZ:$BZ,"&lt;2014",
'20102013 STH Efficacy'!$CU:$CU,""),
"")</f>
        <v/>
      </c>
      <c r="BK94" s="136">
        <f t="shared" si="29"/>
        <v>1</v>
      </c>
      <c r="BL94" s="300" t="str">
        <f>IFERROR(
  AVERAGEIFS(
    'NEW 20102013 Onchocerciasis Eff'!$AO:$AO,
    'NEW 20102013 Onchocerciasis Eff'!$C:$C,$A94,
    'NEW 20102013 Onchocerciasis Eff'!$D:$D,"Ivermectin",
    'NEW 20102013 Onchocerciasis Eff'!$AR:$AR,"&lt;2014",
    'NEW 20102013 Onchocerciasis Eff'!$BG:$BG,"")
,"")</f>
        <v/>
      </c>
      <c r="BM94" s="304">
        <f t="shared" si="30"/>
        <v>0.7808368939</v>
      </c>
      <c r="BN94" s="305">
        <v>1.0</v>
      </c>
      <c r="BO94" s="139">
        <v>1.0</v>
      </c>
      <c r="BP94" s="140">
        <v>0.0</v>
      </c>
      <c r="BQ94" s="141">
        <f t="shared" si="31"/>
        <v>0</v>
      </c>
      <c r="BR94" s="104" t="str">
        <f t="shared" si="32"/>
        <v>1100</v>
      </c>
      <c r="BS94" s="104" t="str">
        <f t="shared" si="33"/>
        <v>MDA1</v>
      </c>
      <c r="BT94" s="142" t="str">
        <f t="shared" si="34"/>
        <v>IVM+ALB</v>
      </c>
      <c r="BU94" s="104" t="str">
        <f t="shared" si="35"/>
        <v/>
      </c>
      <c r="BV94" s="104" t="str">
        <f t="shared" si="36"/>
        <v>lf+onch</v>
      </c>
      <c r="BW94" s="150" t="str">
        <f t="shared" si="37"/>
        <v/>
      </c>
      <c r="BX94" s="312">
        <f t="shared" si="38"/>
        <v>22903.08877</v>
      </c>
      <c r="BY94" s="151" t="str">
        <f t="shared" si="39"/>
        <v/>
      </c>
      <c r="BZ94" s="152" t="str">
        <f t="shared" si="40"/>
        <v/>
      </c>
      <c r="CA94" s="152" t="str">
        <f t="shared" si="41"/>
        <v/>
      </c>
      <c r="CB94" s="152" t="str">
        <f t="shared" si="42"/>
        <v/>
      </c>
      <c r="CC94" s="153" t="str">
        <f t="shared" si="43"/>
        <v/>
      </c>
      <c r="CD94" s="153" t="str">
        <f t="shared" si="44"/>
        <v/>
      </c>
      <c r="CE94" s="154" t="str">
        <f t="shared" si="45"/>
        <v/>
      </c>
      <c r="CF94" s="154" t="str">
        <f t="shared" si="46"/>
        <v/>
      </c>
      <c r="CG94" s="154" t="str">
        <f t="shared" si="47"/>
        <v/>
      </c>
      <c r="CH94" s="313">
        <f t="shared" si="48"/>
        <v>0</v>
      </c>
      <c r="CI94" s="299"/>
    </row>
    <row r="95">
      <c r="A95" s="103" t="s">
        <v>184</v>
      </c>
      <c r="B95" s="104" t="s">
        <v>109</v>
      </c>
      <c r="C95" s="105">
        <v>2.52032263E8</v>
      </c>
      <c r="D95" s="293">
        <v>189507.29</v>
      </c>
      <c r="E95" s="321">
        <v>474.9216759</v>
      </c>
      <c r="F95" s="322">
        <v>259.5363247</v>
      </c>
      <c r="G95" s="322">
        <v>1281.008838</v>
      </c>
      <c r="H95" s="157">
        <v>1540.545163</v>
      </c>
      <c r="I95" s="110">
        <v>2733.11798</v>
      </c>
      <c r="J95" s="110">
        <v>8818.26004</v>
      </c>
      <c r="K95" s="110">
        <v>11551.37803</v>
      </c>
      <c r="L95" s="111">
        <v>12357.83743</v>
      </c>
      <c r="M95" s="111">
        <v>11603.01554</v>
      </c>
      <c r="N95" s="111">
        <v>23960.85297</v>
      </c>
      <c r="O95" s="298">
        <v>0.0</v>
      </c>
      <c r="P95" s="160">
        <v>9.9704027E7</v>
      </c>
      <c r="Q95" s="160">
        <v>2.4425649E7</v>
      </c>
      <c r="R95" s="121">
        <f t="shared" si="11"/>
        <v>0.2449815693</v>
      </c>
      <c r="S95" s="116">
        <f t="shared" si="12"/>
        <v>0.2449815693</v>
      </c>
      <c r="T95" s="130"/>
      <c r="U95" s="118">
        <f t="shared" si="13"/>
        <v>0.7367</v>
      </c>
      <c r="V95" s="119">
        <v>0.0973</v>
      </c>
      <c r="W95" s="120">
        <f t="shared" si="14"/>
        <v>0.0973</v>
      </c>
      <c r="X95" s="119">
        <v>0.0761</v>
      </c>
      <c r="Y95" s="120">
        <f t="shared" si="15"/>
        <v>0.0761</v>
      </c>
      <c r="Z95" s="299"/>
      <c r="AA95" s="299"/>
      <c r="AB95" s="300" t="str">
        <f t="shared" si="16"/>
        <v/>
      </c>
      <c r="AC95" s="301">
        <f t="shared" si="17"/>
        <v>0.6295826791</v>
      </c>
      <c r="AD95" s="122">
        <v>0.0204</v>
      </c>
      <c r="AE95" s="123">
        <v>0.0</v>
      </c>
      <c r="AF95" s="123">
        <v>0.0</v>
      </c>
      <c r="AG95" s="316">
        <v>0.0</v>
      </c>
      <c r="AH95" s="124">
        <v>0.084935249</v>
      </c>
      <c r="AI95" s="317">
        <v>0.0</v>
      </c>
      <c r="AJ95" s="125">
        <v>0.061370947</v>
      </c>
      <c r="AK95" s="319">
        <v>0.0</v>
      </c>
      <c r="AL95" s="319">
        <v>0.0</v>
      </c>
      <c r="AM95" s="302">
        <v>0.0</v>
      </c>
      <c r="AN95" s="149" t="str">
        <f>IFERROR(
  AVERAGEIFS(
    'New 20102013 LF Efficacy'!$J:$J,
    'New 20102013 LF Efficacy'!$D:$D, $A95,
    'New 20102013 LF Efficacy'!$F:$F,"DEC", 
    'New 20102013 LF Efficacy'!$W:$W,"&lt;2014",
    'New 20102013 LF Efficacy'!$AA:$AA,""),
  ""
)</f>
        <v/>
      </c>
      <c r="AO95" s="115">
        <f t="shared" si="18"/>
        <v>0.478175</v>
      </c>
      <c r="AP95" s="121">
        <f>IFERROR(
AVERAGEIFS(
'New 20102013 LF Efficacy'!$J:$J,
'New 20102013 LF Efficacy'!$D:$D,$A95,
'New 20102013 LF Efficacy'!$F:$F,"Albendazole &amp; DEC",
'New 20102013 LF Efficacy'!$W:$W,"&lt;2014",
'New 20102013 LF Efficacy'!$AA:$AA,""),
"")
</f>
        <v>0.72</v>
      </c>
      <c r="AQ95" s="115">
        <f t="shared" si="19"/>
        <v>0.72</v>
      </c>
      <c r="AR95" s="121" t="str">
        <f>IFERROR(
AVERAGEIFS(
'New 20102013 LF Efficacy'!$J:$J,
'New 20102013 LF Efficacy'!$D:$D,$A95,
'New 20102013 LF Efficacy'!$F:$F,"Albendazole &amp; Ivermectin", 
'New 20102013 LF Efficacy'!$W:$W,"&lt;2014",
'New 20102013 LF Efficacy'!$AA:$AA,""),"")</f>
        <v/>
      </c>
      <c r="AS95" s="115">
        <f t="shared" si="20"/>
        <v>0.14</v>
      </c>
      <c r="AT95" s="130" t="str">
        <f>IFERROR(AVERAGEIFS(
'20102013 Schist Efficacy'!$O:$O, 
'20102013 Schist Efficacy'!$C:$C,$A95, 
'20102013 Schist Efficacy'!$D:$D, "Praziquantel",
'20102013 Schist Efficacy'!$J:$J,"&lt;2014",
'20102013 Schist Efficacy'!$U:$U,""),
"")</f>
        <v/>
      </c>
      <c r="AU95" s="118">
        <f t="shared" si="21"/>
        <v>0.7430399392</v>
      </c>
      <c r="AV95" s="131" t="str">
        <f>IFERROR(AVERAGEIFS(
'20102013 STH Efficacy'!$AX:$AX, 
'20102013 STH Efficacy'!$AL:$AL, $A95, 
'20102013 STH Efficacy'!$AM:$AM, "Albendazole",
'20102013 STH Efficacy'!$AS:$AS,"&lt;2014",
'20102013 STH Efficacy'!$BP:$BP,""),
"")</f>
        <v/>
      </c>
      <c r="AW95" s="132">
        <f t="shared" si="22"/>
        <v>0.4756666667</v>
      </c>
      <c r="AX95" s="131" t="str">
        <f>IFERROR(AVERAGEIFS(
'20102013 STH Efficacy'!$AX:$AX, 
'20102013 STH Efficacy'!$AL:$AL, $A95, 
'20102013 STH Efficacy'!$AM:$AM, "Mebendazole",
'20102013 STH Efficacy'!$AS:$AS,"&lt;2014",
'20102013 STH Efficacy'!$BP:$BP,""),
"")</f>
        <v/>
      </c>
      <c r="AY95" s="132">
        <f t="shared" si="23"/>
        <v>0.3786666667</v>
      </c>
      <c r="AZ95" s="131" t="str">
        <f>IFERROR(AVERAGEIFS(
'20102013 STH Efficacy'!$AX:$AX, 
'20102013 STH Efficacy'!$AL:$AL, $A95, 
'20102013 STH Efficacy'!$AM:$AM, "Albendazole &amp; Ivermectin",
'20102013 STH Efficacy'!$AS:$AS,"&lt;2014",
'20102013 STH Efficacy'!$BP:$BP,""),
"")</f>
        <v/>
      </c>
      <c r="BA95" s="303">
        <f t="shared" si="24"/>
        <v>0.597625</v>
      </c>
      <c r="BB95" s="134" t="str">
        <f>IFERROR(AVERAGEIFS(
'20102013 STH Efficacy'!$N:$N, 
'20102013 STH Efficacy'!$B:$B, $A95, 
'20102013 STH Efficacy'!$C:$C, "Albendazole",
'20102013 STH Efficacy'!$I:$I,"&lt;2014",
'20102013 STH Efficacy'!$AH:$AH,""),
"")</f>
        <v/>
      </c>
      <c r="BC95" s="135">
        <f t="shared" si="25"/>
        <v>0.7133333333</v>
      </c>
      <c r="BD95" s="134" t="str">
        <f>IFERROR(AVERAGEIFS(
'20102013 STH Efficacy'!$N:$N, 
'20102013 STH Efficacy'!$B:$B, $A95, 
'20102013 STH Efficacy'!$C:$C, "Mebendazole",
'20102013 STH Efficacy'!$I:$I,"&lt;2014",
'20102013 STH Efficacy'!$AH:$AH,""),
"")</f>
        <v/>
      </c>
      <c r="BE95" s="135">
        <f t="shared" si="26"/>
        <v>0.205</v>
      </c>
      <c r="BF95" s="128" t="str">
        <f>IFERROR(AVERAGEIFS(
'20102013 STH Efficacy'!$CD:$CD, 
'20102013 STH Efficacy'!$BS:$BS, $A95, 
'20102013 STH Efficacy'!$BT:$BT, "Albendazole",
'20102013 STH Efficacy'!$BZ:$BZ,"&lt;2014",
'20102013 STH Efficacy'!$CU:$CU,""),
"")</f>
        <v/>
      </c>
      <c r="BG95" s="136">
        <f t="shared" si="27"/>
        <v>0.83</v>
      </c>
      <c r="BH95" s="128" t="str">
        <f>IFERROR(AVERAGEIFS(
'20102013 STH Efficacy'!$CD:$CD, 
'20102013 STH Efficacy'!$BS:$BS, $A95, 
'20102013 STH Efficacy'!$BT:$BT, "Mebendazole",
'20102013 STH Efficacy'!$BZ:$BZ,"&lt;2014",
'20102013 STH Efficacy'!$CU:$CU,""),
"")</f>
        <v/>
      </c>
      <c r="BI95" s="136">
        <f t="shared" si="28"/>
        <v>1</v>
      </c>
      <c r="BJ95" s="128" t="str">
        <f>IFERROR(AVERAGEIFS(
'20102013 STH Efficacy'!$CD:$CD, 
'20102013 STH Efficacy'!$BS:$BS, $A95, 
'20102013 STH Efficacy'!$BT:$BT, "Albendazole &amp; Ivermectin",
'20102013 STH Efficacy'!$BZ:$BZ,"&lt;2014",
'20102013 STH Efficacy'!$CU:$CU,""),
"")</f>
        <v/>
      </c>
      <c r="BK95" s="136">
        <f t="shared" si="29"/>
        <v>1</v>
      </c>
      <c r="BL95" s="300" t="str">
        <f>IFERROR(
  AVERAGEIFS(
    'NEW 20102013 Onchocerciasis Eff'!$AO:$AO,
    'NEW 20102013 Onchocerciasis Eff'!$C:$C,$A95,
    'NEW 20102013 Onchocerciasis Eff'!$D:$D,"Ivermectin",
    'NEW 20102013 Onchocerciasis Eff'!$AR:$AR,"&lt;2014",
    'NEW 20102013 Onchocerciasis Eff'!$BG:$BG,"")
,"")</f>
        <v/>
      </c>
      <c r="BM95" s="304">
        <f t="shared" si="30"/>
        <v>0.7808368939</v>
      </c>
      <c r="BN95" s="305">
        <v>1.0</v>
      </c>
      <c r="BO95" s="139">
        <v>0.0</v>
      </c>
      <c r="BP95" s="140">
        <v>1.0</v>
      </c>
      <c r="BQ95" s="141">
        <f t="shared" si="31"/>
        <v>0</v>
      </c>
      <c r="BR95" s="104" t="str">
        <f t="shared" si="32"/>
        <v>1010</v>
      </c>
      <c r="BS95" s="104" t="str">
        <f t="shared" si="33"/>
        <v>MDA1/2+T2</v>
      </c>
      <c r="BT95" s="142" t="str">
        <f t="shared" si="34"/>
        <v>DEC +ALB</v>
      </c>
      <c r="BU95" s="104" t="str">
        <f t="shared" si="35"/>
        <v>PZQ</v>
      </c>
      <c r="BV95" s="104" t="str">
        <f t="shared" si="36"/>
        <v>lf+schist </v>
      </c>
      <c r="BW95" s="150" t="str">
        <f t="shared" si="37"/>
        <v/>
      </c>
      <c r="BX95" s="150" t="str">
        <f t="shared" si="38"/>
        <v/>
      </c>
      <c r="BY95" s="162">
        <f t="shared" si="39"/>
        <v>574.3913532</v>
      </c>
      <c r="BZ95" s="152" t="str">
        <f t="shared" si="40"/>
        <v/>
      </c>
      <c r="CA95" s="152" t="str">
        <f t="shared" si="41"/>
        <v/>
      </c>
      <c r="CB95" s="152" t="str">
        <f t="shared" si="42"/>
        <v/>
      </c>
      <c r="CC95" s="153" t="str">
        <f t="shared" si="43"/>
        <v/>
      </c>
      <c r="CD95" s="153" t="str">
        <f t="shared" si="44"/>
        <v/>
      </c>
      <c r="CE95" s="154" t="str">
        <f t="shared" si="45"/>
        <v/>
      </c>
      <c r="CF95" s="154" t="str">
        <f t="shared" si="46"/>
        <v/>
      </c>
      <c r="CG95" s="154" t="str">
        <f t="shared" si="47"/>
        <v/>
      </c>
      <c r="CH95" s="308" t="str">
        <f t="shared" si="48"/>
        <v/>
      </c>
      <c r="CI95" s="299"/>
    </row>
    <row r="96">
      <c r="A96" s="155" t="s">
        <v>185</v>
      </c>
      <c r="B96" s="104" t="s">
        <v>88</v>
      </c>
      <c r="C96" s="105">
        <v>7.7435384E7</v>
      </c>
      <c r="D96" s="293">
        <v>0.0</v>
      </c>
      <c r="E96" s="294">
        <v>263.8388573</v>
      </c>
      <c r="F96" s="309">
        <v>2.4492E-4</v>
      </c>
      <c r="G96" s="309">
        <v>0.001236475</v>
      </c>
      <c r="H96" s="108">
        <v>0.001481395</v>
      </c>
      <c r="I96" s="109">
        <v>66.4271757</v>
      </c>
      <c r="J96" s="109">
        <v>54.0111514</v>
      </c>
      <c r="K96" s="109">
        <v>120.4383271</v>
      </c>
      <c r="L96" s="112">
        <v>77.54209957</v>
      </c>
      <c r="M96" s="112">
        <v>52.69273919</v>
      </c>
      <c r="N96" s="111">
        <v>130.2348388</v>
      </c>
      <c r="O96" s="298">
        <v>0.0</v>
      </c>
      <c r="P96" s="114"/>
      <c r="Q96" s="114"/>
      <c r="R96" s="121" t="str">
        <f t="shared" si="11"/>
        <v/>
      </c>
      <c r="S96" s="116">
        <f t="shared" si="12"/>
        <v>0.4713987966</v>
      </c>
      <c r="T96" s="130"/>
      <c r="U96" s="118">
        <f t="shared" si="13"/>
        <v>0.5949</v>
      </c>
      <c r="V96" s="148"/>
      <c r="W96" s="120">
        <f t="shared" si="14"/>
        <v>0.9216</v>
      </c>
      <c r="X96" s="148"/>
      <c r="Y96" s="120">
        <f t="shared" si="15"/>
        <v>0.521</v>
      </c>
      <c r="Z96" s="299"/>
      <c r="AA96" s="299"/>
      <c r="AB96" s="300" t="str">
        <f t="shared" si="16"/>
        <v/>
      </c>
      <c r="AC96" s="301">
        <f t="shared" si="17"/>
        <v>0.3122297241</v>
      </c>
      <c r="AD96" s="122">
        <v>0.0</v>
      </c>
      <c r="AE96" s="123">
        <v>0.0</v>
      </c>
      <c r="AF96" s="123">
        <v>0.0</v>
      </c>
      <c r="AG96" s="124">
        <v>0.0013</v>
      </c>
      <c r="AH96" s="124">
        <v>0.001846074</v>
      </c>
      <c r="AI96" s="125">
        <v>0.0014</v>
      </c>
      <c r="AJ96" s="125">
        <v>0.001937746</v>
      </c>
      <c r="AK96" s="127">
        <v>0.0102</v>
      </c>
      <c r="AL96" s="127">
        <v>0.0139</v>
      </c>
      <c r="AM96" s="302">
        <v>0.0</v>
      </c>
      <c r="AN96" s="149" t="str">
        <f>IFERROR(
  AVERAGEIFS(
    'New 20102013 LF Efficacy'!$J:$J,
    'New 20102013 LF Efficacy'!$D:$D, $A96,
    'New 20102013 LF Efficacy'!$F:$F,"DEC", 
    'New 20102013 LF Efficacy'!$W:$W,"&lt;2014",
    'New 20102013 LF Efficacy'!$AA:$AA,""),
  ""
)</f>
        <v/>
      </c>
      <c r="AO96" s="115">
        <f t="shared" si="18"/>
        <v>0.3573520833</v>
      </c>
      <c r="AP96" s="121" t="str">
        <f>IFERROR(
AVERAGEIFS(
'New 20102013 LF Efficacy'!$J:$J,
'New 20102013 LF Efficacy'!$D:$D,$A96,
'New 20102013 LF Efficacy'!$F:$F,"Albendazole &amp; DEC",
'New 20102013 LF Efficacy'!$W:$W,"&lt;2014",
'New 20102013 LF Efficacy'!$AA:$AA,""),
"")
</f>
        <v/>
      </c>
      <c r="AQ96" s="115">
        <f t="shared" si="19"/>
        <v>0.7935</v>
      </c>
      <c r="AR96" s="121" t="str">
        <f>IFERROR(
AVERAGEIFS(
'New 20102013 LF Efficacy'!$J:$J,
'New 20102013 LF Efficacy'!$D:$D,$A96,
'New 20102013 LF Efficacy'!$F:$F,"Albendazole &amp; Ivermectin", 
'New 20102013 LF Efficacy'!$W:$W,"&lt;2014",
'New 20102013 LF Efficacy'!$AA:$AA,""),"")</f>
        <v/>
      </c>
      <c r="AS96" s="115">
        <f t="shared" si="20"/>
        <v>0.37153125</v>
      </c>
      <c r="AT96" s="130" t="str">
        <f>IFERROR(AVERAGEIFS(
'20102013 Schist Efficacy'!$O:$O, 
'20102013 Schist Efficacy'!$C:$C,$A96, 
'20102013 Schist Efficacy'!$D:$D, "Praziquantel",
'20102013 Schist Efficacy'!$J:$J,"&lt;2014",
'20102013 Schist Efficacy'!$U:$U,""),
"")</f>
        <v/>
      </c>
      <c r="AU96" s="118">
        <f t="shared" si="21"/>
        <v>0.7763141026</v>
      </c>
      <c r="AV96" s="131" t="str">
        <f>IFERROR(AVERAGEIFS(
'20102013 STH Efficacy'!$AX:$AX, 
'20102013 STH Efficacy'!$AL:$AL, $A96, 
'20102013 STH Efficacy'!$AM:$AM, "Albendazole",
'20102013 STH Efficacy'!$AS:$AS,"&lt;2014",
'20102013 STH Efficacy'!$BP:$BP,""),
"")</f>
        <v/>
      </c>
      <c r="AW96" s="132">
        <f t="shared" si="22"/>
        <v>0.3933333333</v>
      </c>
      <c r="AX96" s="131" t="str">
        <f>IFERROR(AVERAGEIFS(
'20102013 STH Efficacy'!$AX:$AX, 
'20102013 STH Efficacy'!$AL:$AL, $A96, 
'20102013 STH Efficacy'!$AM:$AM, "Mebendazole",
'20102013 STH Efficacy'!$AS:$AS,"&lt;2014",
'20102013 STH Efficacy'!$BP:$BP,""),
"")</f>
        <v/>
      </c>
      <c r="AY96" s="132">
        <f t="shared" si="23"/>
        <v>0.5017738095</v>
      </c>
      <c r="AZ96" s="131" t="str">
        <f>IFERROR(AVERAGEIFS(
'20102013 STH Efficacy'!$AX:$AX, 
'20102013 STH Efficacy'!$AL:$AL, $A96, 
'20102013 STH Efficacy'!$AM:$AM, "Albendazole &amp; Ivermectin",
'20102013 STH Efficacy'!$AS:$AS,"&lt;2014",
'20102013 STH Efficacy'!$BP:$BP,""),
"")</f>
        <v/>
      </c>
      <c r="BA96" s="303">
        <f t="shared" si="24"/>
        <v>0.597625</v>
      </c>
      <c r="BB96" s="134" t="str">
        <f>IFERROR(AVERAGEIFS(
'20102013 STH Efficacy'!$N:$N, 
'20102013 STH Efficacy'!$B:$B, $A96, 
'20102013 STH Efficacy'!$C:$C, "Albendazole",
'20102013 STH Efficacy'!$I:$I,"&lt;2014",
'20102013 STH Efficacy'!$AH:$AH,""),
"")</f>
        <v/>
      </c>
      <c r="BC96" s="135">
        <f t="shared" si="25"/>
        <v>0.7613712121</v>
      </c>
      <c r="BD96" s="134" t="str">
        <f>IFERROR(AVERAGEIFS(
'20102013 STH Efficacy'!$N:$N, 
'20102013 STH Efficacy'!$B:$B, $A96, 
'20102013 STH Efficacy'!$C:$C, "Mebendazole",
'20102013 STH Efficacy'!$I:$I,"&lt;2014",
'20102013 STH Efficacy'!$AH:$AH,""),
"")</f>
        <v/>
      </c>
      <c r="BE96" s="135">
        <f t="shared" si="26"/>
        <v>0.4362466667</v>
      </c>
      <c r="BF96" s="128" t="str">
        <f>IFERROR(AVERAGEIFS(
'20102013 STH Efficacy'!$CD:$CD, 
'20102013 STH Efficacy'!$BS:$BS, $A96, 
'20102013 STH Efficacy'!$BT:$BT, "Albendazole",
'20102013 STH Efficacy'!$BZ:$BZ,"&lt;2014",
'20102013 STH Efficacy'!$CU:$CU,""),
"")</f>
        <v/>
      </c>
      <c r="BG96" s="136">
        <f t="shared" si="27"/>
        <v>0.955</v>
      </c>
      <c r="BH96" s="128" t="str">
        <f>IFERROR(AVERAGEIFS(
'20102013 STH Efficacy'!$CD:$CD, 
'20102013 STH Efficacy'!$BS:$BS, $A96, 
'20102013 STH Efficacy'!$BT:$BT, "Mebendazole",
'20102013 STH Efficacy'!$BZ:$BZ,"&lt;2014",
'20102013 STH Efficacy'!$CU:$CU,""),
"")</f>
        <v/>
      </c>
      <c r="BI96" s="136">
        <f t="shared" si="28"/>
        <v>1</v>
      </c>
      <c r="BJ96" s="128" t="str">
        <f>IFERROR(AVERAGEIFS(
'20102013 STH Efficacy'!$CD:$CD, 
'20102013 STH Efficacy'!$BS:$BS, $A96, 
'20102013 STH Efficacy'!$BT:$BT, "Albendazole &amp; Ivermectin",
'20102013 STH Efficacy'!$BZ:$BZ,"&lt;2014",
'20102013 STH Efficacy'!$CU:$CU,""),
"")</f>
        <v/>
      </c>
      <c r="BK96" s="136">
        <f t="shared" si="29"/>
        <v>1</v>
      </c>
      <c r="BL96" s="300" t="str">
        <f>IFERROR(
  AVERAGEIFS(
    'NEW 20102013 Onchocerciasis Eff'!$AO:$AO,
    'NEW 20102013 Onchocerciasis Eff'!$C:$C,$A96,
    'NEW 20102013 Onchocerciasis Eff'!$D:$D,"Ivermectin",
    'NEW 20102013 Onchocerciasis Eff'!$AR:$AR,"&lt;2014",
    'NEW 20102013 Onchocerciasis Eff'!$BG:$BG,"")
,"")</f>
        <v/>
      </c>
      <c r="BM96" s="304">
        <f t="shared" si="30"/>
        <v>0.7808368939</v>
      </c>
      <c r="BN96" s="305">
        <v>0.0</v>
      </c>
      <c r="BO96" s="139">
        <v>0.0</v>
      </c>
      <c r="BP96" s="140">
        <v>0.0</v>
      </c>
      <c r="BQ96" s="141">
        <f t="shared" si="31"/>
        <v>0</v>
      </c>
      <c r="BR96" s="104" t="str">
        <f t="shared" si="32"/>
        <v>0000</v>
      </c>
      <c r="BS96" s="104" t="str">
        <f t="shared" si="33"/>
        <v>no action required</v>
      </c>
      <c r="BT96" s="142" t="str">
        <f t="shared" si="34"/>
        <v/>
      </c>
      <c r="BU96" s="104" t="str">
        <f t="shared" si="35"/>
        <v/>
      </c>
      <c r="BV96" s="104" t="str">
        <f t="shared" si="36"/>
        <v>none</v>
      </c>
      <c r="BW96" s="150" t="str">
        <f t="shared" si="37"/>
        <v/>
      </c>
      <c r="BX96" s="150" t="str">
        <f t="shared" si="38"/>
        <v/>
      </c>
      <c r="BY96" s="151" t="str">
        <f t="shared" si="39"/>
        <v/>
      </c>
      <c r="BZ96" s="152" t="str">
        <f t="shared" si="40"/>
        <v/>
      </c>
      <c r="CA96" s="152" t="str">
        <f t="shared" si="41"/>
        <v/>
      </c>
      <c r="CB96" s="152" t="str">
        <f t="shared" si="42"/>
        <v/>
      </c>
      <c r="CC96" s="153" t="str">
        <f t="shared" si="43"/>
        <v/>
      </c>
      <c r="CD96" s="153" t="str">
        <f t="shared" si="44"/>
        <v/>
      </c>
      <c r="CE96" s="154" t="str">
        <f t="shared" si="45"/>
        <v/>
      </c>
      <c r="CF96" s="154" t="str">
        <f t="shared" si="46"/>
        <v/>
      </c>
      <c r="CG96" s="154" t="str">
        <f t="shared" si="47"/>
        <v/>
      </c>
      <c r="CH96" s="308" t="str">
        <f t="shared" si="48"/>
        <v/>
      </c>
      <c r="CI96" s="299"/>
    </row>
    <row r="97">
      <c r="A97" s="155" t="s">
        <v>186</v>
      </c>
      <c r="B97" s="104" t="s">
        <v>88</v>
      </c>
      <c r="C97" s="105">
        <v>3.3883145E7</v>
      </c>
      <c r="D97" s="293">
        <v>0.0</v>
      </c>
      <c r="E97" s="294">
        <v>5287.524591</v>
      </c>
      <c r="F97" s="309">
        <v>0.00350438</v>
      </c>
      <c r="G97" s="309">
        <v>0.011682598</v>
      </c>
      <c r="H97" s="108">
        <v>0.015186979</v>
      </c>
      <c r="I97" s="109">
        <v>0.55185905</v>
      </c>
      <c r="J97" s="109">
        <v>0.84422503</v>
      </c>
      <c r="K97" s="110">
        <v>1.39608408</v>
      </c>
      <c r="L97" s="111">
        <v>50.7125384</v>
      </c>
      <c r="M97" s="112">
        <v>18.71919175</v>
      </c>
      <c r="N97" s="111">
        <v>69.43173015</v>
      </c>
      <c r="O97" s="298">
        <v>0.0</v>
      </c>
      <c r="P97" s="114"/>
      <c r="Q97" s="114"/>
      <c r="R97" s="121" t="str">
        <f t="shared" si="11"/>
        <v/>
      </c>
      <c r="S97" s="116">
        <f t="shared" si="12"/>
        <v>0.4713987966</v>
      </c>
      <c r="T97" s="130"/>
      <c r="U97" s="118">
        <f t="shared" si="13"/>
        <v>0.5949</v>
      </c>
      <c r="V97" s="148"/>
      <c r="W97" s="120">
        <f t="shared" si="14"/>
        <v>0.9216</v>
      </c>
      <c r="X97" s="148"/>
      <c r="Y97" s="120">
        <f t="shared" si="15"/>
        <v>0.521</v>
      </c>
      <c r="Z97" s="299"/>
      <c r="AA97" s="299"/>
      <c r="AB97" s="300" t="str">
        <f t="shared" si="16"/>
        <v/>
      </c>
      <c r="AC97" s="301">
        <f t="shared" si="17"/>
        <v>0.3122297241</v>
      </c>
      <c r="AD97" s="122">
        <v>0.0</v>
      </c>
      <c r="AE97" s="123">
        <v>0.02</v>
      </c>
      <c r="AF97" s="123">
        <v>0.0025</v>
      </c>
      <c r="AG97" s="124">
        <v>2.0E-4</v>
      </c>
      <c r="AH97" s="124">
        <v>3.63145E-4</v>
      </c>
      <c r="AI97" s="125">
        <v>0.0</v>
      </c>
      <c r="AJ97" s="125">
        <v>2.61386E-5</v>
      </c>
      <c r="AK97" s="127">
        <v>4.0E-4</v>
      </c>
      <c r="AL97" s="127">
        <v>6.0E-4</v>
      </c>
      <c r="AM97" s="302">
        <v>0.0</v>
      </c>
      <c r="AN97" s="149" t="str">
        <f>IFERROR(
  AVERAGEIFS(
    'New 20102013 LF Efficacy'!$J:$J,
    'New 20102013 LF Efficacy'!$D:$D, $A97,
    'New 20102013 LF Efficacy'!$F:$F,"DEC", 
    'New 20102013 LF Efficacy'!$W:$W,"&lt;2014",
    'New 20102013 LF Efficacy'!$AA:$AA,""),
  ""
)</f>
        <v/>
      </c>
      <c r="AO97" s="115">
        <f t="shared" si="18"/>
        <v>0.3573520833</v>
      </c>
      <c r="AP97" s="121" t="str">
        <f>IFERROR(
AVERAGEIFS(
'New 20102013 LF Efficacy'!$J:$J,
'New 20102013 LF Efficacy'!$D:$D,$A97,
'New 20102013 LF Efficacy'!$F:$F,"Albendazole &amp; DEC",
'New 20102013 LF Efficacy'!$W:$W,"&lt;2014",
'New 20102013 LF Efficacy'!$AA:$AA,""),
"")
</f>
        <v/>
      </c>
      <c r="AQ97" s="115">
        <f t="shared" si="19"/>
        <v>0.7935</v>
      </c>
      <c r="AR97" s="121" t="str">
        <f>IFERROR(
AVERAGEIFS(
'New 20102013 LF Efficacy'!$J:$J,
'New 20102013 LF Efficacy'!$D:$D,$A97,
'New 20102013 LF Efficacy'!$F:$F,"Albendazole &amp; Ivermectin", 
'New 20102013 LF Efficacy'!$W:$W,"&lt;2014",
'New 20102013 LF Efficacy'!$AA:$AA,""),"")</f>
        <v/>
      </c>
      <c r="AS97" s="115">
        <f t="shared" si="20"/>
        <v>0.37153125</v>
      </c>
      <c r="AT97" s="130" t="str">
        <f>IFERROR(AVERAGEIFS(
'20102013 Schist Efficacy'!$O:$O, 
'20102013 Schist Efficacy'!$C:$C,$A97, 
'20102013 Schist Efficacy'!$D:$D, "Praziquantel",
'20102013 Schist Efficacy'!$J:$J,"&lt;2014",
'20102013 Schist Efficacy'!$U:$U,""),
"")</f>
        <v/>
      </c>
      <c r="AU97" s="118">
        <f t="shared" si="21"/>
        <v>0.7763141026</v>
      </c>
      <c r="AV97" s="131" t="str">
        <f>IFERROR(AVERAGEIFS(
'20102013 STH Efficacy'!$AX:$AX, 
'20102013 STH Efficacy'!$AL:$AL, $A97, 
'20102013 STH Efficacy'!$AM:$AM, "Albendazole",
'20102013 STH Efficacy'!$AS:$AS,"&lt;2014",
'20102013 STH Efficacy'!$BP:$BP,""),
"")</f>
        <v/>
      </c>
      <c r="AW97" s="132">
        <f t="shared" si="22"/>
        <v>0.3933333333</v>
      </c>
      <c r="AX97" s="131" t="str">
        <f>IFERROR(AVERAGEIFS(
'20102013 STH Efficacy'!$AX:$AX, 
'20102013 STH Efficacy'!$AL:$AL, $A97, 
'20102013 STH Efficacy'!$AM:$AM, "Mebendazole",
'20102013 STH Efficacy'!$AS:$AS,"&lt;2014",
'20102013 STH Efficacy'!$BP:$BP,""),
"")</f>
        <v/>
      </c>
      <c r="AY97" s="132">
        <f t="shared" si="23"/>
        <v>0.5017738095</v>
      </c>
      <c r="AZ97" s="131" t="str">
        <f>IFERROR(AVERAGEIFS(
'20102013 STH Efficacy'!$AX:$AX, 
'20102013 STH Efficacy'!$AL:$AL, $A97, 
'20102013 STH Efficacy'!$AM:$AM, "Albendazole &amp; Ivermectin",
'20102013 STH Efficacy'!$AS:$AS,"&lt;2014",
'20102013 STH Efficacy'!$BP:$BP,""),
"")</f>
        <v/>
      </c>
      <c r="BA97" s="303">
        <f t="shared" si="24"/>
        <v>0.597625</v>
      </c>
      <c r="BB97" s="134" t="str">
        <f>IFERROR(AVERAGEIFS(
'20102013 STH Efficacy'!$N:$N, 
'20102013 STH Efficacy'!$B:$B, $A97, 
'20102013 STH Efficacy'!$C:$C, "Albendazole",
'20102013 STH Efficacy'!$I:$I,"&lt;2014",
'20102013 STH Efficacy'!$AH:$AH,""),
"")</f>
        <v/>
      </c>
      <c r="BC97" s="135">
        <f t="shared" si="25"/>
        <v>0.7613712121</v>
      </c>
      <c r="BD97" s="134" t="str">
        <f>IFERROR(AVERAGEIFS(
'20102013 STH Efficacy'!$N:$N, 
'20102013 STH Efficacy'!$B:$B, $A97, 
'20102013 STH Efficacy'!$C:$C, "Mebendazole",
'20102013 STH Efficacy'!$I:$I,"&lt;2014",
'20102013 STH Efficacy'!$AH:$AH,""),
"")</f>
        <v/>
      </c>
      <c r="BE97" s="135">
        <f t="shared" si="26"/>
        <v>0.4362466667</v>
      </c>
      <c r="BF97" s="128">
        <f>IFERROR(AVERAGEIFS(
'20102013 STH Efficacy'!$CD:$CD, 
'20102013 STH Efficacy'!$BS:$BS, $A97, 
'20102013 STH Efficacy'!$BT:$BT, "Albendazole",
'20102013 STH Efficacy'!$BZ:$BZ,"&lt;2014",
'20102013 STH Efficacy'!$CU:$CU,""),
"")</f>
        <v>0.955</v>
      </c>
      <c r="BG97" s="136">
        <f t="shared" si="27"/>
        <v>0.955</v>
      </c>
      <c r="BH97" s="128" t="str">
        <f>IFERROR(AVERAGEIFS(
'20102013 STH Efficacy'!$CD:$CD, 
'20102013 STH Efficacy'!$BS:$BS, $A97, 
'20102013 STH Efficacy'!$BT:$BT, "Mebendazole",
'20102013 STH Efficacy'!$BZ:$BZ,"&lt;2014",
'20102013 STH Efficacy'!$CU:$CU,""),
"")</f>
        <v/>
      </c>
      <c r="BI97" s="136">
        <f t="shared" si="28"/>
        <v>1</v>
      </c>
      <c r="BJ97" s="128" t="str">
        <f>IFERROR(AVERAGEIFS(
'20102013 STH Efficacy'!$CD:$CD, 
'20102013 STH Efficacy'!$BS:$BS, $A97, 
'20102013 STH Efficacy'!$BT:$BT, "Albendazole &amp; Ivermectin",
'20102013 STH Efficacy'!$BZ:$BZ,"&lt;2014",
'20102013 STH Efficacy'!$CU:$CU,""),
"")</f>
        <v/>
      </c>
      <c r="BK97" s="136">
        <f t="shared" si="29"/>
        <v>1</v>
      </c>
      <c r="BL97" s="300" t="str">
        <f>IFERROR(
  AVERAGEIFS(
    'NEW 20102013 Onchocerciasis Eff'!$AO:$AO,
    'NEW 20102013 Onchocerciasis Eff'!$C:$C,$A97,
    'NEW 20102013 Onchocerciasis Eff'!$D:$D,"Ivermectin",
    'NEW 20102013 Onchocerciasis Eff'!$AR:$AR,"&lt;2014",
    'NEW 20102013 Onchocerciasis Eff'!$BG:$BG,"")
,"")</f>
        <v/>
      </c>
      <c r="BM97" s="304">
        <f t="shared" si="30"/>
        <v>0.7808368939</v>
      </c>
      <c r="BN97" s="305">
        <v>0.0</v>
      </c>
      <c r="BO97" s="139">
        <v>0.0</v>
      </c>
      <c r="BP97" s="140">
        <v>0.0</v>
      </c>
      <c r="BQ97" s="141">
        <f t="shared" si="31"/>
        <v>0</v>
      </c>
      <c r="BR97" s="104" t="str">
        <f t="shared" si="32"/>
        <v>0000</v>
      </c>
      <c r="BS97" s="104" t="str">
        <f t="shared" si="33"/>
        <v>no action required</v>
      </c>
      <c r="BT97" s="142" t="str">
        <f t="shared" si="34"/>
        <v/>
      </c>
      <c r="BU97" s="104" t="str">
        <f t="shared" si="35"/>
        <v/>
      </c>
      <c r="BV97" s="104" t="str">
        <f t="shared" si="36"/>
        <v>none</v>
      </c>
      <c r="BW97" s="150" t="str">
        <f t="shared" si="37"/>
        <v/>
      </c>
      <c r="BX97" s="150" t="str">
        <f t="shared" si="38"/>
        <v/>
      </c>
      <c r="BY97" s="151" t="str">
        <f t="shared" si="39"/>
        <v/>
      </c>
      <c r="BZ97" s="152" t="str">
        <f t="shared" si="40"/>
        <v/>
      </c>
      <c r="CA97" s="152" t="str">
        <f t="shared" si="41"/>
        <v/>
      </c>
      <c r="CB97" s="152" t="str">
        <f t="shared" si="42"/>
        <v/>
      </c>
      <c r="CC97" s="153" t="str">
        <f t="shared" si="43"/>
        <v/>
      </c>
      <c r="CD97" s="153" t="str">
        <f t="shared" si="44"/>
        <v/>
      </c>
      <c r="CE97" s="154" t="str">
        <f t="shared" si="45"/>
        <v/>
      </c>
      <c r="CF97" s="154" t="str">
        <f t="shared" si="46"/>
        <v/>
      </c>
      <c r="CG97" s="154" t="str">
        <f t="shared" si="47"/>
        <v/>
      </c>
      <c r="CH97" s="308" t="str">
        <f t="shared" si="48"/>
        <v/>
      </c>
      <c r="CI97" s="299"/>
    </row>
    <row r="98">
      <c r="A98" s="155" t="s">
        <v>187</v>
      </c>
      <c r="B98" s="104" t="s">
        <v>90</v>
      </c>
      <c r="C98" s="105">
        <v>4598294.0</v>
      </c>
      <c r="D98" s="293">
        <v>0.0</v>
      </c>
      <c r="E98" s="294">
        <v>0.0</v>
      </c>
      <c r="F98" s="309">
        <v>0.0</v>
      </c>
      <c r="G98" s="309">
        <v>0.0</v>
      </c>
      <c r="H98" s="108">
        <v>0.0</v>
      </c>
      <c r="I98" s="109">
        <v>0.0</v>
      </c>
      <c r="J98" s="109">
        <v>0.0</v>
      </c>
      <c r="K98" s="109">
        <v>0.0</v>
      </c>
      <c r="L98" s="112">
        <v>0.0</v>
      </c>
      <c r="M98" s="112">
        <v>0.0</v>
      </c>
      <c r="N98" s="111">
        <v>0.0</v>
      </c>
      <c r="O98" s="298">
        <v>0.0</v>
      </c>
      <c r="P98" s="114"/>
      <c r="Q98" s="114"/>
      <c r="R98" s="121" t="str">
        <f t="shared" si="11"/>
        <v/>
      </c>
      <c r="S98" s="116">
        <f t="shared" si="12"/>
        <v>0.526225767</v>
      </c>
      <c r="T98" s="130"/>
      <c r="U98" s="118">
        <f t="shared" si="13"/>
        <v>0.3468166667</v>
      </c>
      <c r="V98" s="148"/>
      <c r="W98" s="120">
        <f t="shared" si="14"/>
        <v>1</v>
      </c>
      <c r="X98" s="148"/>
      <c r="Y98" s="120">
        <f t="shared" si="15"/>
        <v>1</v>
      </c>
      <c r="Z98" s="299"/>
      <c r="AA98" s="299"/>
      <c r="AB98" s="300" t="str">
        <f t="shared" si="16"/>
        <v/>
      </c>
      <c r="AC98" s="301">
        <f t="shared" si="17"/>
        <v>0.6295826791</v>
      </c>
      <c r="AD98" s="122">
        <v>0.0</v>
      </c>
      <c r="AE98" s="123">
        <v>0.0</v>
      </c>
      <c r="AF98" s="123">
        <v>0.0</v>
      </c>
      <c r="AG98" s="124">
        <v>0.0</v>
      </c>
      <c r="AH98" s="124">
        <v>0.0</v>
      </c>
      <c r="AI98" s="125">
        <v>0.0</v>
      </c>
      <c r="AJ98" s="125">
        <v>0.0</v>
      </c>
      <c r="AK98" s="127">
        <v>0.0</v>
      </c>
      <c r="AL98" s="127">
        <v>0.0</v>
      </c>
      <c r="AM98" s="302">
        <v>0.0</v>
      </c>
      <c r="AN98" s="149" t="str">
        <f>IFERROR(
  AVERAGEIFS(
    'New 20102013 LF Efficacy'!$J:$J,
    'New 20102013 LF Efficacy'!$D:$D, $A98,
    'New 20102013 LF Efficacy'!$F:$F,"DEC", 
    'New 20102013 LF Efficacy'!$W:$W,"&lt;2014",
    'New 20102013 LF Efficacy'!$AA:$AA,""),
  ""
)</f>
        <v/>
      </c>
      <c r="AO98" s="115">
        <f t="shared" si="18"/>
        <v>0.3573520833</v>
      </c>
      <c r="AP98" s="121" t="str">
        <f>IFERROR(
AVERAGEIFS(
'New 20102013 LF Efficacy'!$J:$J,
'New 20102013 LF Efficacy'!$D:$D,$A98,
'New 20102013 LF Efficacy'!$F:$F,"Albendazole &amp; DEC",
'New 20102013 LF Efficacy'!$W:$W,"&lt;2014",
'New 20102013 LF Efficacy'!$AA:$AA,""),
"")
</f>
        <v/>
      </c>
      <c r="AQ98" s="115">
        <f t="shared" si="19"/>
        <v>0.5137291667</v>
      </c>
      <c r="AR98" s="121" t="str">
        <f>IFERROR(
AVERAGEIFS(
'New 20102013 LF Efficacy'!$J:$J,
'New 20102013 LF Efficacy'!$D:$D,$A98,
'New 20102013 LF Efficacy'!$F:$F,"Albendazole &amp; Ivermectin", 
'New 20102013 LF Efficacy'!$W:$W,"&lt;2014",
'New 20102013 LF Efficacy'!$AA:$AA,""),"")</f>
        <v/>
      </c>
      <c r="AS98" s="115">
        <f t="shared" si="20"/>
        <v>0.37153125</v>
      </c>
      <c r="AT98" s="130" t="str">
        <f>IFERROR(AVERAGEIFS(
'20102013 Schist Efficacy'!$O:$O, 
'20102013 Schist Efficacy'!$C:$C,$A98, 
'20102013 Schist Efficacy'!$D:$D, "Praziquantel",
'20102013 Schist Efficacy'!$J:$J,"&lt;2014",
'20102013 Schist Efficacy'!$U:$U,""),
"")</f>
        <v/>
      </c>
      <c r="AU98" s="118">
        <f t="shared" si="21"/>
        <v>0.655</v>
      </c>
      <c r="AV98" s="131" t="str">
        <f>IFERROR(AVERAGEIFS(
'20102013 STH Efficacy'!$AX:$AX, 
'20102013 STH Efficacy'!$AL:$AL, $A98, 
'20102013 STH Efficacy'!$AM:$AM, "Albendazole",
'20102013 STH Efficacy'!$AS:$AS,"&lt;2014",
'20102013 STH Efficacy'!$BP:$BP,""),
"")</f>
        <v/>
      </c>
      <c r="AW98" s="132">
        <f t="shared" si="22"/>
        <v>0.3933333333</v>
      </c>
      <c r="AX98" s="131" t="str">
        <f>IFERROR(AVERAGEIFS(
'20102013 STH Efficacy'!$AX:$AX, 
'20102013 STH Efficacy'!$AL:$AL, $A98, 
'20102013 STH Efficacy'!$AM:$AM, "Mebendazole",
'20102013 STH Efficacy'!$AS:$AS,"&lt;2014",
'20102013 STH Efficacy'!$BP:$BP,""),
"")</f>
        <v/>
      </c>
      <c r="AY98" s="132">
        <f t="shared" si="23"/>
        <v>0.5017738095</v>
      </c>
      <c r="AZ98" s="131" t="str">
        <f>IFERROR(AVERAGEIFS(
'20102013 STH Efficacy'!$AX:$AX, 
'20102013 STH Efficacy'!$AL:$AL, $A98, 
'20102013 STH Efficacy'!$AM:$AM, "Albendazole &amp; Ivermectin",
'20102013 STH Efficacy'!$AS:$AS,"&lt;2014",
'20102013 STH Efficacy'!$BP:$BP,""),
"")</f>
        <v/>
      </c>
      <c r="BA98" s="303">
        <f t="shared" si="24"/>
        <v>0.597625</v>
      </c>
      <c r="BB98" s="134" t="str">
        <f>IFERROR(AVERAGEIFS(
'20102013 STH Efficacy'!$N:$N, 
'20102013 STH Efficacy'!$B:$B, $A98, 
'20102013 STH Efficacy'!$C:$C, "Albendazole",
'20102013 STH Efficacy'!$I:$I,"&lt;2014",
'20102013 STH Efficacy'!$AH:$AH,""),
"")</f>
        <v/>
      </c>
      <c r="BC98" s="135">
        <f t="shared" si="25"/>
        <v>0.7613712121</v>
      </c>
      <c r="BD98" s="134" t="str">
        <f>IFERROR(AVERAGEIFS(
'20102013 STH Efficacy'!$N:$N, 
'20102013 STH Efficacy'!$B:$B, $A98, 
'20102013 STH Efficacy'!$C:$C, "Mebendazole",
'20102013 STH Efficacy'!$I:$I,"&lt;2014",
'20102013 STH Efficacy'!$AH:$AH,""),
"")</f>
        <v/>
      </c>
      <c r="BE98" s="135">
        <f t="shared" si="26"/>
        <v>0.4362466667</v>
      </c>
      <c r="BF98" s="128" t="str">
        <f>IFERROR(AVERAGEIFS(
'20102013 STH Efficacy'!$CD:$CD, 
'20102013 STH Efficacy'!$BS:$BS, $A98, 
'20102013 STH Efficacy'!$BT:$BT, "Albendazole",
'20102013 STH Efficacy'!$BZ:$BZ,"&lt;2014",
'20102013 STH Efficacy'!$CU:$CU,""),
"")</f>
        <v/>
      </c>
      <c r="BG98" s="136">
        <f t="shared" si="27"/>
        <v>0.9216027778</v>
      </c>
      <c r="BH98" s="128" t="str">
        <f>IFERROR(AVERAGEIFS(
'20102013 STH Efficacy'!$CD:$CD, 
'20102013 STH Efficacy'!$BS:$BS, $A98, 
'20102013 STH Efficacy'!$BT:$BT, "Mebendazole",
'20102013 STH Efficacy'!$BZ:$BZ,"&lt;2014",
'20102013 STH Efficacy'!$CU:$CU,""),
"")</f>
        <v/>
      </c>
      <c r="BI98" s="136">
        <f t="shared" si="28"/>
        <v>0.9295857143</v>
      </c>
      <c r="BJ98" s="128" t="str">
        <f>IFERROR(AVERAGEIFS(
'20102013 STH Efficacy'!$CD:$CD, 
'20102013 STH Efficacy'!$BS:$BS, $A98, 
'20102013 STH Efficacy'!$BT:$BT, "Albendazole &amp; Ivermectin",
'20102013 STH Efficacy'!$BZ:$BZ,"&lt;2014",
'20102013 STH Efficacy'!$CU:$CU,""),
"")</f>
        <v/>
      </c>
      <c r="BK98" s="136">
        <f t="shared" si="29"/>
        <v>1</v>
      </c>
      <c r="BL98" s="300" t="str">
        <f>IFERROR(
  AVERAGEIFS(
    'NEW 20102013 Onchocerciasis Eff'!$AO:$AO,
    'NEW 20102013 Onchocerciasis Eff'!$C:$C,$A98,
    'NEW 20102013 Onchocerciasis Eff'!$D:$D,"Ivermectin",
    'NEW 20102013 Onchocerciasis Eff'!$AR:$AR,"&lt;2014",
    'NEW 20102013 Onchocerciasis Eff'!$BG:$BG,"")
,"")</f>
        <v/>
      </c>
      <c r="BM98" s="304">
        <f t="shared" si="30"/>
        <v>0.7808368939</v>
      </c>
      <c r="BN98" s="305">
        <v>0.0</v>
      </c>
      <c r="BO98" s="139">
        <v>0.0</v>
      </c>
      <c r="BP98" s="140">
        <v>0.0</v>
      </c>
      <c r="BQ98" s="141">
        <f t="shared" si="31"/>
        <v>0</v>
      </c>
      <c r="BR98" s="104" t="str">
        <f t="shared" si="32"/>
        <v>0000</v>
      </c>
      <c r="BS98" s="104" t="str">
        <f t="shared" si="33"/>
        <v>no action required</v>
      </c>
      <c r="BT98" s="142" t="str">
        <f t="shared" si="34"/>
        <v/>
      </c>
      <c r="BU98" s="104" t="str">
        <f t="shared" si="35"/>
        <v/>
      </c>
      <c r="BV98" s="104" t="str">
        <f t="shared" si="36"/>
        <v>none</v>
      </c>
      <c r="BW98" s="150" t="str">
        <f t="shared" si="37"/>
        <v/>
      </c>
      <c r="BX98" s="150" t="str">
        <f t="shared" si="38"/>
        <v/>
      </c>
      <c r="BY98" s="151" t="str">
        <f t="shared" si="39"/>
        <v/>
      </c>
      <c r="BZ98" s="152" t="str">
        <f t="shared" si="40"/>
        <v/>
      </c>
      <c r="CA98" s="152" t="str">
        <f t="shared" si="41"/>
        <v/>
      </c>
      <c r="CB98" s="152" t="str">
        <f t="shared" si="42"/>
        <v/>
      </c>
      <c r="CC98" s="153" t="str">
        <f t="shared" si="43"/>
        <v/>
      </c>
      <c r="CD98" s="153" t="str">
        <f t="shared" si="44"/>
        <v/>
      </c>
      <c r="CE98" s="154" t="str">
        <f t="shared" si="45"/>
        <v/>
      </c>
      <c r="CF98" s="154" t="str">
        <f t="shared" si="46"/>
        <v/>
      </c>
      <c r="CG98" s="154" t="str">
        <f t="shared" si="47"/>
        <v/>
      </c>
      <c r="CH98" s="308" t="str">
        <f t="shared" si="48"/>
        <v/>
      </c>
      <c r="CI98" s="299"/>
    </row>
    <row r="99">
      <c r="A99" s="155" t="s">
        <v>188</v>
      </c>
      <c r="B99" s="104" t="s">
        <v>90</v>
      </c>
      <c r="C99" s="105">
        <v>8059500.0</v>
      </c>
      <c r="D99" s="293">
        <v>0.0</v>
      </c>
      <c r="E99" s="294">
        <v>0.0</v>
      </c>
      <c r="F99" s="307">
        <v>0.0</v>
      </c>
      <c r="G99" s="307">
        <v>0.0</v>
      </c>
      <c r="H99" s="108">
        <v>0.0</v>
      </c>
      <c r="I99" s="109">
        <v>0.0</v>
      </c>
      <c r="J99" s="109">
        <v>0.0</v>
      </c>
      <c r="K99" s="109">
        <v>0.0</v>
      </c>
      <c r="L99" s="112">
        <v>0.0</v>
      </c>
      <c r="M99" s="112">
        <v>0.0</v>
      </c>
      <c r="N99" s="111">
        <v>0.0</v>
      </c>
      <c r="O99" s="298">
        <v>0.0</v>
      </c>
      <c r="P99" s="114"/>
      <c r="Q99" s="114"/>
      <c r="R99" s="121" t="str">
        <f t="shared" si="11"/>
        <v/>
      </c>
      <c r="S99" s="116">
        <f t="shared" si="12"/>
        <v>0.526225767</v>
      </c>
      <c r="T99" s="130"/>
      <c r="U99" s="118">
        <f t="shared" si="13"/>
        <v>0.3468166667</v>
      </c>
      <c r="V99" s="148"/>
      <c r="W99" s="120">
        <f t="shared" si="14"/>
        <v>1</v>
      </c>
      <c r="X99" s="148"/>
      <c r="Y99" s="120">
        <f t="shared" si="15"/>
        <v>1</v>
      </c>
      <c r="Z99" s="299"/>
      <c r="AA99" s="299"/>
      <c r="AB99" s="300" t="str">
        <f t="shared" si="16"/>
        <v/>
      </c>
      <c r="AC99" s="301">
        <f t="shared" si="17"/>
        <v>0.6295826791</v>
      </c>
      <c r="AD99" s="122">
        <v>0.0</v>
      </c>
      <c r="AE99" s="123">
        <v>0.0</v>
      </c>
      <c r="AF99" s="123">
        <v>0.0</v>
      </c>
      <c r="AG99" s="124">
        <v>0.0</v>
      </c>
      <c r="AH99" s="124">
        <v>0.0</v>
      </c>
      <c r="AI99" s="125">
        <v>0.0</v>
      </c>
      <c r="AJ99" s="125">
        <v>0.0</v>
      </c>
      <c r="AK99" s="127">
        <v>0.0</v>
      </c>
      <c r="AL99" s="127">
        <v>0.0</v>
      </c>
      <c r="AM99" s="302">
        <v>0.0</v>
      </c>
      <c r="AN99" s="149" t="str">
        <f>IFERROR(
  AVERAGEIFS(
    'New 20102013 LF Efficacy'!$J:$J,
    'New 20102013 LF Efficacy'!$D:$D, $A99,
    'New 20102013 LF Efficacy'!$F:$F,"DEC", 
    'New 20102013 LF Efficacy'!$W:$W,"&lt;2014",
    'New 20102013 LF Efficacy'!$AA:$AA,""),
  ""
)</f>
        <v/>
      </c>
      <c r="AO99" s="115">
        <f t="shared" si="18"/>
        <v>0.3573520833</v>
      </c>
      <c r="AP99" s="121" t="str">
        <f>IFERROR(
AVERAGEIFS(
'New 20102013 LF Efficacy'!$J:$J,
'New 20102013 LF Efficacy'!$D:$D,$A99,
'New 20102013 LF Efficacy'!$F:$F,"Albendazole &amp; DEC",
'New 20102013 LF Efficacy'!$W:$W,"&lt;2014",
'New 20102013 LF Efficacy'!$AA:$AA,""),
"")
</f>
        <v/>
      </c>
      <c r="AQ99" s="115">
        <f t="shared" si="19"/>
        <v>0.5137291667</v>
      </c>
      <c r="AR99" s="121" t="str">
        <f>IFERROR(
AVERAGEIFS(
'New 20102013 LF Efficacy'!$J:$J,
'New 20102013 LF Efficacy'!$D:$D,$A99,
'New 20102013 LF Efficacy'!$F:$F,"Albendazole &amp; Ivermectin", 
'New 20102013 LF Efficacy'!$W:$W,"&lt;2014",
'New 20102013 LF Efficacy'!$AA:$AA,""),"")</f>
        <v/>
      </c>
      <c r="AS99" s="115">
        <f t="shared" si="20"/>
        <v>0.37153125</v>
      </c>
      <c r="AT99" s="130" t="str">
        <f>IFERROR(AVERAGEIFS(
'20102013 Schist Efficacy'!$O:$O, 
'20102013 Schist Efficacy'!$C:$C,$A99, 
'20102013 Schist Efficacy'!$D:$D, "Praziquantel",
'20102013 Schist Efficacy'!$J:$J,"&lt;2014",
'20102013 Schist Efficacy'!$U:$U,""),
"")</f>
        <v/>
      </c>
      <c r="AU99" s="118">
        <f t="shared" si="21"/>
        <v>0.655</v>
      </c>
      <c r="AV99" s="131" t="str">
        <f>IFERROR(AVERAGEIFS(
'20102013 STH Efficacy'!$AX:$AX, 
'20102013 STH Efficacy'!$AL:$AL, $A99, 
'20102013 STH Efficacy'!$AM:$AM, "Albendazole",
'20102013 STH Efficacy'!$AS:$AS,"&lt;2014",
'20102013 STH Efficacy'!$BP:$BP,""),
"")</f>
        <v/>
      </c>
      <c r="AW99" s="132">
        <f t="shared" si="22"/>
        <v>0.3933333333</v>
      </c>
      <c r="AX99" s="131" t="str">
        <f>IFERROR(AVERAGEIFS(
'20102013 STH Efficacy'!$AX:$AX, 
'20102013 STH Efficacy'!$AL:$AL, $A99, 
'20102013 STH Efficacy'!$AM:$AM, "Mebendazole",
'20102013 STH Efficacy'!$AS:$AS,"&lt;2014",
'20102013 STH Efficacy'!$BP:$BP,""),
"")</f>
        <v/>
      </c>
      <c r="AY99" s="132">
        <f t="shared" si="23"/>
        <v>0.5017738095</v>
      </c>
      <c r="AZ99" s="131" t="str">
        <f>IFERROR(AVERAGEIFS(
'20102013 STH Efficacy'!$AX:$AX, 
'20102013 STH Efficacy'!$AL:$AL, $A99, 
'20102013 STH Efficacy'!$AM:$AM, "Albendazole &amp; Ivermectin",
'20102013 STH Efficacy'!$AS:$AS,"&lt;2014",
'20102013 STH Efficacy'!$BP:$BP,""),
"")</f>
        <v/>
      </c>
      <c r="BA99" s="303">
        <f t="shared" si="24"/>
        <v>0.597625</v>
      </c>
      <c r="BB99" s="134" t="str">
        <f>IFERROR(AVERAGEIFS(
'20102013 STH Efficacy'!$N:$N, 
'20102013 STH Efficacy'!$B:$B, $A99, 
'20102013 STH Efficacy'!$C:$C, "Albendazole",
'20102013 STH Efficacy'!$I:$I,"&lt;2014",
'20102013 STH Efficacy'!$AH:$AH,""),
"")</f>
        <v/>
      </c>
      <c r="BC99" s="135">
        <f t="shared" si="25"/>
        <v>0.7613712121</v>
      </c>
      <c r="BD99" s="134" t="str">
        <f>IFERROR(AVERAGEIFS(
'20102013 STH Efficacy'!$N:$N, 
'20102013 STH Efficacy'!$B:$B, $A99, 
'20102013 STH Efficacy'!$C:$C, "Mebendazole",
'20102013 STH Efficacy'!$I:$I,"&lt;2014",
'20102013 STH Efficacy'!$AH:$AH,""),
"")</f>
        <v/>
      </c>
      <c r="BE99" s="135">
        <f t="shared" si="26"/>
        <v>0.4362466667</v>
      </c>
      <c r="BF99" s="128" t="str">
        <f>IFERROR(AVERAGEIFS(
'20102013 STH Efficacy'!$CD:$CD, 
'20102013 STH Efficacy'!$BS:$BS, $A99, 
'20102013 STH Efficacy'!$BT:$BT, "Albendazole",
'20102013 STH Efficacy'!$BZ:$BZ,"&lt;2014",
'20102013 STH Efficacy'!$CU:$CU,""),
"")</f>
        <v/>
      </c>
      <c r="BG99" s="136">
        <f t="shared" si="27"/>
        <v>0.9216027778</v>
      </c>
      <c r="BH99" s="128" t="str">
        <f>IFERROR(AVERAGEIFS(
'20102013 STH Efficacy'!$CD:$CD, 
'20102013 STH Efficacy'!$BS:$BS, $A99, 
'20102013 STH Efficacy'!$BT:$BT, "Mebendazole",
'20102013 STH Efficacy'!$BZ:$BZ,"&lt;2014",
'20102013 STH Efficacy'!$CU:$CU,""),
"")</f>
        <v/>
      </c>
      <c r="BI99" s="136">
        <f t="shared" si="28"/>
        <v>0.9295857143</v>
      </c>
      <c r="BJ99" s="128" t="str">
        <f>IFERROR(AVERAGEIFS(
'20102013 STH Efficacy'!$CD:$CD, 
'20102013 STH Efficacy'!$BS:$BS, $A99, 
'20102013 STH Efficacy'!$BT:$BT, "Albendazole &amp; Ivermectin",
'20102013 STH Efficacy'!$BZ:$BZ,"&lt;2014",
'20102013 STH Efficacy'!$CU:$CU,""),
"")</f>
        <v/>
      </c>
      <c r="BK99" s="136">
        <f t="shared" si="29"/>
        <v>1</v>
      </c>
      <c r="BL99" s="300" t="str">
        <f>IFERROR(
  AVERAGEIFS(
    'NEW 20102013 Onchocerciasis Eff'!$AO:$AO,
    'NEW 20102013 Onchocerciasis Eff'!$C:$C,$A99,
    'NEW 20102013 Onchocerciasis Eff'!$D:$D,"Ivermectin",
    'NEW 20102013 Onchocerciasis Eff'!$AR:$AR,"&lt;2014",
    'NEW 20102013 Onchocerciasis Eff'!$BG:$BG,"")
,"")</f>
        <v/>
      </c>
      <c r="BM99" s="304">
        <f t="shared" si="30"/>
        <v>0.7808368939</v>
      </c>
      <c r="BN99" s="305">
        <v>0.0</v>
      </c>
      <c r="BO99" s="139">
        <v>0.0</v>
      </c>
      <c r="BP99" s="140">
        <v>0.0</v>
      </c>
      <c r="BQ99" s="141">
        <f t="shared" si="31"/>
        <v>0</v>
      </c>
      <c r="BR99" s="104" t="str">
        <f t="shared" si="32"/>
        <v>0000</v>
      </c>
      <c r="BS99" s="104" t="str">
        <f t="shared" si="33"/>
        <v>no action required</v>
      </c>
      <c r="BT99" s="142" t="str">
        <f t="shared" si="34"/>
        <v/>
      </c>
      <c r="BU99" s="104" t="str">
        <f t="shared" si="35"/>
        <v/>
      </c>
      <c r="BV99" s="104" t="str">
        <f t="shared" si="36"/>
        <v>none</v>
      </c>
      <c r="BW99" s="150" t="str">
        <f t="shared" si="37"/>
        <v/>
      </c>
      <c r="BX99" s="150" t="str">
        <f t="shared" si="38"/>
        <v/>
      </c>
      <c r="BY99" s="151" t="str">
        <f t="shared" si="39"/>
        <v/>
      </c>
      <c r="BZ99" s="152" t="str">
        <f t="shared" si="40"/>
        <v/>
      </c>
      <c r="CA99" s="152" t="str">
        <f t="shared" si="41"/>
        <v/>
      </c>
      <c r="CB99" s="152" t="str">
        <f t="shared" si="42"/>
        <v/>
      </c>
      <c r="CC99" s="153" t="str">
        <f t="shared" si="43"/>
        <v/>
      </c>
      <c r="CD99" s="153" t="str">
        <f t="shared" si="44"/>
        <v/>
      </c>
      <c r="CE99" s="154" t="str">
        <f t="shared" si="45"/>
        <v/>
      </c>
      <c r="CF99" s="154" t="str">
        <f t="shared" si="46"/>
        <v/>
      </c>
      <c r="CG99" s="154" t="str">
        <f t="shared" si="47"/>
        <v/>
      </c>
      <c r="CH99" s="308" t="str">
        <f t="shared" si="48"/>
        <v/>
      </c>
      <c r="CI99" s="299"/>
    </row>
    <row r="100">
      <c r="A100" s="155" t="s">
        <v>189</v>
      </c>
      <c r="B100" s="104" t="s">
        <v>90</v>
      </c>
      <c r="C100" s="105">
        <v>6.0233948E7</v>
      </c>
      <c r="D100" s="293">
        <v>0.0</v>
      </c>
      <c r="E100" s="294">
        <v>0.0</v>
      </c>
      <c r="F100" s="307">
        <v>0.0</v>
      </c>
      <c r="G100" s="307">
        <v>0.0</v>
      </c>
      <c r="H100" s="108">
        <v>0.0</v>
      </c>
      <c r="I100" s="109">
        <v>0.0</v>
      </c>
      <c r="J100" s="109">
        <v>0.0</v>
      </c>
      <c r="K100" s="109">
        <v>0.0</v>
      </c>
      <c r="L100" s="112">
        <v>0.0</v>
      </c>
      <c r="M100" s="112">
        <v>0.0</v>
      </c>
      <c r="N100" s="111">
        <v>0.0</v>
      </c>
      <c r="O100" s="298">
        <v>0.0</v>
      </c>
      <c r="P100" s="114"/>
      <c r="Q100" s="114"/>
      <c r="R100" s="121" t="str">
        <f t="shared" si="11"/>
        <v/>
      </c>
      <c r="S100" s="116">
        <f t="shared" si="12"/>
        <v>0.526225767</v>
      </c>
      <c r="T100" s="130"/>
      <c r="U100" s="118">
        <f t="shared" si="13"/>
        <v>0.3468166667</v>
      </c>
      <c r="V100" s="148"/>
      <c r="W100" s="120">
        <f t="shared" si="14"/>
        <v>1</v>
      </c>
      <c r="X100" s="148"/>
      <c r="Y100" s="120">
        <f t="shared" si="15"/>
        <v>1</v>
      </c>
      <c r="Z100" s="299"/>
      <c r="AA100" s="299"/>
      <c r="AB100" s="300" t="str">
        <f t="shared" si="16"/>
        <v/>
      </c>
      <c r="AC100" s="301">
        <f t="shared" si="17"/>
        <v>0.6295826791</v>
      </c>
      <c r="AD100" s="122">
        <v>0.0</v>
      </c>
      <c r="AE100" s="123">
        <v>0.0</v>
      </c>
      <c r="AF100" s="123">
        <v>0.0</v>
      </c>
      <c r="AG100" s="316">
        <v>0.0</v>
      </c>
      <c r="AH100" s="124">
        <v>0.0</v>
      </c>
      <c r="AI100" s="317">
        <v>0.0</v>
      </c>
      <c r="AJ100" s="125">
        <v>0.0</v>
      </c>
      <c r="AK100" s="319">
        <v>0.0</v>
      </c>
      <c r="AL100" s="319">
        <v>0.0</v>
      </c>
      <c r="AM100" s="302">
        <v>0.0</v>
      </c>
      <c r="AN100" s="149" t="str">
        <f>IFERROR(
  AVERAGEIFS(
    'New 20102013 LF Efficacy'!$J:$J,
    'New 20102013 LF Efficacy'!$D:$D, $A100,
    'New 20102013 LF Efficacy'!$F:$F,"DEC", 
    'New 20102013 LF Efficacy'!$W:$W,"&lt;2014",
    'New 20102013 LF Efficacy'!$AA:$AA,""),
  ""
)</f>
        <v/>
      </c>
      <c r="AO100" s="115">
        <f t="shared" si="18"/>
        <v>0.3573520833</v>
      </c>
      <c r="AP100" s="121" t="str">
        <f>IFERROR(
AVERAGEIFS(
'New 20102013 LF Efficacy'!$J:$J,
'New 20102013 LF Efficacy'!$D:$D,$A100,
'New 20102013 LF Efficacy'!$F:$F,"Albendazole &amp; DEC",
'New 20102013 LF Efficacy'!$W:$W,"&lt;2014",
'New 20102013 LF Efficacy'!$AA:$AA,""),
"")
</f>
        <v/>
      </c>
      <c r="AQ100" s="115">
        <f t="shared" si="19"/>
        <v>0.5137291667</v>
      </c>
      <c r="AR100" s="121" t="str">
        <f>IFERROR(
AVERAGEIFS(
'New 20102013 LF Efficacy'!$J:$J,
'New 20102013 LF Efficacy'!$D:$D,$A100,
'New 20102013 LF Efficacy'!$F:$F,"Albendazole &amp; Ivermectin", 
'New 20102013 LF Efficacy'!$W:$W,"&lt;2014",
'New 20102013 LF Efficacy'!$AA:$AA,""),"")</f>
        <v/>
      </c>
      <c r="AS100" s="115">
        <f t="shared" si="20"/>
        <v>0.37153125</v>
      </c>
      <c r="AT100" s="130" t="str">
        <f>IFERROR(AVERAGEIFS(
'20102013 Schist Efficacy'!$O:$O, 
'20102013 Schist Efficacy'!$C:$C,$A100, 
'20102013 Schist Efficacy'!$D:$D, "Praziquantel",
'20102013 Schist Efficacy'!$J:$J,"&lt;2014",
'20102013 Schist Efficacy'!$U:$U,""),
"")</f>
        <v/>
      </c>
      <c r="AU100" s="118">
        <f t="shared" si="21"/>
        <v>0.655</v>
      </c>
      <c r="AV100" s="131" t="str">
        <f>IFERROR(AVERAGEIFS(
'20102013 STH Efficacy'!$AX:$AX, 
'20102013 STH Efficacy'!$AL:$AL, $A100, 
'20102013 STH Efficacy'!$AM:$AM, "Albendazole",
'20102013 STH Efficacy'!$AS:$AS,"&lt;2014",
'20102013 STH Efficacy'!$BP:$BP,""),
"")</f>
        <v/>
      </c>
      <c r="AW100" s="132">
        <f t="shared" si="22"/>
        <v>0.3933333333</v>
      </c>
      <c r="AX100" s="131" t="str">
        <f>IFERROR(AVERAGEIFS(
'20102013 STH Efficacy'!$AX:$AX, 
'20102013 STH Efficacy'!$AL:$AL, $A100, 
'20102013 STH Efficacy'!$AM:$AM, "Mebendazole",
'20102013 STH Efficacy'!$AS:$AS,"&lt;2014",
'20102013 STH Efficacy'!$BP:$BP,""),
"")</f>
        <v/>
      </c>
      <c r="AY100" s="132">
        <f t="shared" si="23"/>
        <v>0.5017738095</v>
      </c>
      <c r="AZ100" s="131" t="str">
        <f>IFERROR(AVERAGEIFS(
'20102013 STH Efficacy'!$AX:$AX, 
'20102013 STH Efficacy'!$AL:$AL, $A100, 
'20102013 STH Efficacy'!$AM:$AM, "Albendazole &amp; Ivermectin",
'20102013 STH Efficacy'!$AS:$AS,"&lt;2014",
'20102013 STH Efficacy'!$BP:$BP,""),
"")</f>
        <v/>
      </c>
      <c r="BA100" s="303">
        <f t="shared" si="24"/>
        <v>0.597625</v>
      </c>
      <c r="BB100" s="134" t="str">
        <f>IFERROR(AVERAGEIFS(
'20102013 STH Efficacy'!$N:$N, 
'20102013 STH Efficacy'!$B:$B, $A100, 
'20102013 STH Efficacy'!$C:$C, "Albendazole",
'20102013 STH Efficacy'!$I:$I,"&lt;2014",
'20102013 STH Efficacy'!$AH:$AH,""),
"")</f>
        <v/>
      </c>
      <c r="BC100" s="135">
        <f t="shared" si="25"/>
        <v>0.7613712121</v>
      </c>
      <c r="BD100" s="134" t="str">
        <f>IFERROR(AVERAGEIFS(
'20102013 STH Efficacy'!$N:$N, 
'20102013 STH Efficacy'!$B:$B, $A100, 
'20102013 STH Efficacy'!$C:$C, "Mebendazole",
'20102013 STH Efficacy'!$I:$I,"&lt;2014",
'20102013 STH Efficacy'!$AH:$AH,""),
"")</f>
        <v/>
      </c>
      <c r="BE100" s="135">
        <f t="shared" si="26"/>
        <v>0.4362466667</v>
      </c>
      <c r="BF100" s="128" t="str">
        <f>IFERROR(AVERAGEIFS(
'20102013 STH Efficacy'!$CD:$CD, 
'20102013 STH Efficacy'!$BS:$BS, $A100, 
'20102013 STH Efficacy'!$BT:$BT, "Albendazole",
'20102013 STH Efficacy'!$BZ:$BZ,"&lt;2014",
'20102013 STH Efficacy'!$CU:$CU,""),
"")</f>
        <v/>
      </c>
      <c r="BG100" s="136">
        <f t="shared" si="27"/>
        <v>0.9216027778</v>
      </c>
      <c r="BH100" s="128" t="str">
        <f>IFERROR(AVERAGEIFS(
'20102013 STH Efficacy'!$CD:$CD, 
'20102013 STH Efficacy'!$BS:$BS, $A100, 
'20102013 STH Efficacy'!$BT:$BT, "Mebendazole",
'20102013 STH Efficacy'!$BZ:$BZ,"&lt;2014",
'20102013 STH Efficacy'!$CU:$CU,""),
"")</f>
        <v/>
      </c>
      <c r="BI100" s="136">
        <f t="shared" si="28"/>
        <v>0.9295857143</v>
      </c>
      <c r="BJ100" s="128" t="str">
        <f>IFERROR(AVERAGEIFS(
'20102013 STH Efficacy'!$CD:$CD, 
'20102013 STH Efficacy'!$BS:$BS, $A100, 
'20102013 STH Efficacy'!$BT:$BT, "Albendazole &amp; Ivermectin",
'20102013 STH Efficacy'!$BZ:$BZ,"&lt;2014",
'20102013 STH Efficacy'!$CU:$CU,""),
"")</f>
        <v/>
      </c>
      <c r="BK100" s="136">
        <f t="shared" si="29"/>
        <v>1</v>
      </c>
      <c r="BL100" s="300" t="str">
        <f>IFERROR(
  AVERAGEIFS(
    'NEW 20102013 Onchocerciasis Eff'!$AO:$AO,
    'NEW 20102013 Onchocerciasis Eff'!$C:$C,$A100,
    'NEW 20102013 Onchocerciasis Eff'!$D:$D,"Ivermectin",
    'NEW 20102013 Onchocerciasis Eff'!$AR:$AR,"&lt;2014",
    'NEW 20102013 Onchocerciasis Eff'!$BG:$BG,"")
,"")</f>
        <v/>
      </c>
      <c r="BM100" s="304">
        <f t="shared" si="30"/>
        <v>0.7808368939</v>
      </c>
      <c r="BN100" s="305">
        <v>0.0</v>
      </c>
      <c r="BO100" s="139">
        <v>0.0</v>
      </c>
      <c r="BP100" s="140">
        <v>0.0</v>
      </c>
      <c r="BQ100" s="141">
        <f t="shared" si="31"/>
        <v>0</v>
      </c>
      <c r="BR100" s="104" t="str">
        <f t="shared" si="32"/>
        <v>0000</v>
      </c>
      <c r="BS100" s="104" t="str">
        <f t="shared" si="33"/>
        <v>no action required</v>
      </c>
      <c r="BT100" s="142" t="str">
        <f t="shared" si="34"/>
        <v/>
      </c>
      <c r="BU100" s="104" t="str">
        <f t="shared" si="35"/>
        <v/>
      </c>
      <c r="BV100" s="104" t="str">
        <f t="shared" si="36"/>
        <v>none</v>
      </c>
      <c r="BW100" s="150" t="str">
        <f t="shared" si="37"/>
        <v/>
      </c>
      <c r="BX100" s="150" t="str">
        <f t="shared" si="38"/>
        <v/>
      </c>
      <c r="BY100" s="151" t="str">
        <f t="shared" si="39"/>
        <v/>
      </c>
      <c r="BZ100" s="152" t="str">
        <f t="shared" si="40"/>
        <v/>
      </c>
      <c r="CA100" s="152" t="str">
        <f t="shared" si="41"/>
        <v/>
      </c>
      <c r="CB100" s="152" t="str">
        <f t="shared" si="42"/>
        <v/>
      </c>
      <c r="CC100" s="153" t="str">
        <f t="shared" si="43"/>
        <v/>
      </c>
      <c r="CD100" s="153" t="str">
        <f t="shared" si="44"/>
        <v/>
      </c>
      <c r="CE100" s="154" t="str">
        <f t="shared" si="45"/>
        <v/>
      </c>
      <c r="CF100" s="154" t="str">
        <f t="shared" si="46"/>
        <v/>
      </c>
      <c r="CG100" s="154" t="str">
        <f t="shared" si="47"/>
        <v/>
      </c>
      <c r="CH100" s="308" t="str">
        <f t="shared" si="48"/>
        <v/>
      </c>
      <c r="CI100" s="299"/>
    </row>
    <row r="101">
      <c r="A101" s="155" t="s">
        <v>190</v>
      </c>
      <c r="B101" s="104" t="s">
        <v>98</v>
      </c>
      <c r="C101" s="105">
        <v>2851807.0</v>
      </c>
      <c r="D101" s="293">
        <v>0.0</v>
      </c>
      <c r="E101" s="294">
        <v>0.0</v>
      </c>
      <c r="F101" s="307">
        <v>23.78324076</v>
      </c>
      <c r="G101" s="307">
        <v>109.2174748</v>
      </c>
      <c r="H101" s="108">
        <v>133.0007155</v>
      </c>
      <c r="I101" s="109">
        <v>35.7240883</v>
      </c>
      <c r="J101" s="109">
        <v>97.6226204</v>
      </c>
      <c r="K101" s="109">
        <v>133.3467087</v>
      </c>
      <c r="L101" s="112">
        <v>128.0952186</v>
      </c>
      <c r="M101" s="112">
        <v>254.6593284</v>
      </c>
      <c r="N101" s="111">
        <v>382.754547</v>
      </c>
      <c r="O101" s="298">
        <v>0.0</v>
      </c>
      <c r="P101" s="114"/>
      <c r="Q101" s="114"/>
      <c r="R101" s="121" t="str">
        <f t="shared" si="11"/>
        <v/>
      </c>
      <c r="S101" s="116">
        <f t="shared" si="12"/>
        <v>0.2288425133</v>
      </c>
      <c r="T101" s="130"/>
      <c r="U101" s="118">
        <f t="shared" si="13"/>
        <v>0.39435</v>
      </c>
      <c r="V101" s="148"/>
      <c r="W101" s="120">
        <f t="shared" si="14"/>
        <v>0.542475</v>
      </c>
      <c r="X101" s="148"/>
      <c r="Y101" s="120">
        <f t="shared" si="15"/>
        <v>0.6507333333</v>
      </c>
      <c r="Z101" s="299"/>
      <c r="AA101" s="299"/>
      <c r="AB101" s="300" t="str">
        <f t="shared" si="16"/>
        <v/>
      </c>
      <c r="AC101" s="301">
        <f t="shared" si="17"/>
        <v>0.3490201688</v>
      </c>
      <c r="AD101" s="122">
        <v>0.0</v>
      </c>
      <c r="AE101" s="123">
        <v>0.0</v>
      </c>
      <c r="AF101" s="123">
        <v>0.0</v>
      </c>
      <c r="AG101" s="124">
        <v>0.0494</v>
      </c>
      <c r="AH101" s="124">
        <v>0.071125287</v>
      </c>
      <c r="AI101" s="125">
        <v>0.0414</v>
      </c>
      <c r="AJ101" s="125">
        <v>0.066276044</v>
      </c>
      <c r="AK101" s="127">
        <v>0.2111</v>
      </c>
      <c r="AL101" s="127">
        <v>0.3221</v>
      </c>
      <c r="AM101" s="302">
        <v>0.0</v>
      </c>
      <c r="AN101" s="149" t="str">
        <f>IFERROR(
  AVERAGEIFS(
    'New 20102013 LF Efficacy'!$J:$J,
    'New 20102013 LF Efficacy'!$D:$D, $A101,
    'New 20102013 LF Efficacy'!$F:$F,"DEC", 
    'New 20102013 LF Efficacy'!$W:$W,"&lt;2014",
    'New 20102013 LF Efficacy'!$AA:$AA,""),
  ""
)</f>
        <v/>
      </c>
      <c r="AO101" s="115">
        <f t="shared" si="18"/>
        <v>0.2589833333</v>
      </c>
      <c r="AP101" s="121" t="str">
        <f>IFERROR(
AVERAGEIFS(
'New 20102013 LF Efficacy'!$J:$J,
'New 20102013 LF Efficacy'!$D:$D,$A101,
'New 20102013 LF Efficacy'!$F:$F,"Albendazole &amp; DEC",
'New 20102013 LF Efficacy'!$W:$W,"&lt;2014",
'New 20102013 LF Efficacy'!$AA:$AA,""),
"")
</f>
        <v/>
      </c>
      <c r="AQ101" s="115">
        <f t="shared" si="19"/>
        <v>0.3465</v>
      </c>
      <c r="AR101" s="121" t="str">
        <f>IFERROR(
AVERAGEIFS(
'New 20102013 LF Efficacy'!$J:$J,
'New 20102013 LF Efficacy'!$D:$D,$A101,
'New 20102013 LF Efficacy'!$F:$F,"Albendazole &amp; Ivermectin", 
'New 20102013 LF Efficacy'!$W:$W,"&lt;2014",
'New 20102013 LF Efficacy'!$AA:$AA,""),"")</f>
        <v/>
      </c>
      <c r="AS101" s="115">
        <f t="shared" si="20"/>
        <v>0.7575</v>
      </c>
      <c r="AT101" s="130" t="str">
        <f>IFERROR(AVERAGEIFS(
'20102013 Schist Efficacy'!$O:$O, 
'20102013 Schist Efficacy'!$C:$C,$A101, 
'20102013 Schist Efficacy'!$D:$D, "Praziquantel",
'20102013 Schist Efficacy'!$J:$J,"&lt;2014",
'20102013 Schist Efficacy'!$U:$U,""),
"")</f>
        <v/>
      </c>
      <c r="AU101" s="118">
        <f t="shared" si="21"/>
        <v>0.7914761905</v>
      </c>
      <c r="AV101" s="131" t="str">
        <f>IFERROR(AVERAGEIFS(
'20102013 STH Efficacy'!$AX:$AX, 
'20102013 STH Efficacy'!$AL:$AL, $A101, 
'20102013 STH Efficacy'!$AM:$AM, "Albendazole",
'20102013 STH Efficacy'!$AS:$AS,"&lt;2014",
'20102013 STH Efficacy'!$BP:$BP,""),
"")</f>
        <v/>
      </c>
      <c r="AW101" s="132">
        <f t="shared" si="22"/>
        <v>0.3945</v>
      </c>
      <c r="AX101" s="131" t="str">
        <f>IFERROR(AVERAGEIFS(
'20102013 STH Efficacy'!$AX:$AX, 
'20102013 STH Efficacy'!$AL:$AL, $A101, 
'20102013 STH Efficacy'!$AM:$AM, "Mebendazole",
'20102013 STH Efficacy'!$AS:$AS,"&lt;2014",
'20102013 STH Efficacy'!$BP:$BP,""),
"")</f>
        <v/>
      </c>
      <c r="AY101" s="132">
        <f t="shared" si="23"/>
        <v>0.6</v>
      </c>
      <c r="AZ101" s="131" t="str">
        <f>IFERROR(AVERAGEIFS(
'20102013 STH Efficacy'!$AX:$AX, 
'20102013 STH Efficacy'!$AL:$AL, $A101, 
'20102013 STH Efficacy'!$AM:$AM, "Albendazole &amp; Ivermectin",
'20102013 STH Efficacy'!$AS:$AS,"&lt;2014",
'20102013 STH Efficacy'!$BP:$BP,""),
"")</f>
        <v/>
      </c>
      <c r="BA101" s="303">
        <f t="shared" si="24"/>
        <v>0.796</v>
      </c>
      <c r="BB101" s="134" t="str">
        <f>IFERROR(AVERAGEIFS(
'20102013 STH Efficacy'!$N:$N, 
'20102013 STH Efficacy'!$B:$B, $A101, 
'20102013 STH Efficacy'!$C:$C, "Albendazole",
'20102013 STH Efficacy'!$I:$I,"&lt;2014",
'20102013 STH Efficacy'!$AH:$AH,""),
"")</f>
        <v/>
      </c>
      <c r="BC101" s="135">
        <f t="shared" si="25"/>
        <v>0.869</v>
      </c>
      <c r="BD101" s="134" t="str">
        <f>IFERROR(AVERAGEIFS(
'20102013 STH Efficacy'!$N:$N, 
'20102013 STH Efficacy'!$B:$B, $A101, 
'20102013 STH Efficacy'!$C:$C, "Mebendazole",
'20102013 STH Efficacy'!$I:$I,"&lt;2014",
'20102013 STH Efficacy'!$AH:$AH,""),
"")</f>
        <v/>
      </c>
      <c r="BE101" s="135">
        <f t="shared" si="26"/>
        <v>0.172</v>
      </c>
      <c r="BF101" s="128" t="str">
        <f>IFERROR(AVERAGEIFS(
'20102013 STH Efficacy'!$CD:$CD, 
'20102013 STH Efficacy'!$BS:$BS, $A101, 
'20102013 STH Efficacy'!$BT:$BT, "Albendazole",
'20102013 STH Efficacy'!$BZ:$BZ,"&lt;2014",
'20102013 STH Efficacy'!$CU:$CU,""),
"")</f>
        <v/>
      </c>
      <c r="BG101" s="136">
        <f t="shared" si="27"/>
        <v>0.9862</v>
      </c>
      <c r="BH101" s="128" t="str">
        <f>IFERROR(AVERAGEIFS(
'20102013 STH Efficacy'!$CD:$CD, 
'20102013 STH Efficacy'!$BS:$BS, $A101, 
'20102013 STH Efficacy'!$BT:$BT, "Mebendazole",
'20102013 STH Efficacy'!$BZ:$BZ,"&lt;2014",
'20102013 STH Efficacy'!$CU:$CU,""),
"")</f>
        <v/>
      </c>
      <c r="BI101" s="136">
        <f t="shared" si="28"/>
        <v>0.769</v>
      </c>
      <c r="BJ101" s="128" t="str">
        <f>IFERROR(AVERAGEIFS(
'20102013 STH Efficacy'!$CD:$CD, 
'20102013 STH Efficacy'!$BS:$BS, $A101, 
'20102013 STH Efficacy'!$BT:$BT, "Albendazole &amp; Ivermectin",
'20102013 STH Efficacy'!$BZ:$BZ,"&lt;2014",
'20102013 STH Efficacy'!$CU:$CU,""),
"")</f>
        <v/>
      </c>
      <c r="BK101" s="136">
        <f t="shared" si="29"/>
        <v>1</v>
      </c>
      <c r="BL101" s="300" t="str">
        <f>IFERROR(
  AVERAGEIFS(
    'NEW 20102013 Onchocerciasis Eff'!$AO:$AO,
    'NEW 20102013 Onchocerciasis Eff'!$C:$C,$A101,
    'NEW 20102013 Onchocerciasis Eff'!$D:$D,"Ivermectin",
    'NEW 20102013 Onchocerciasis Eff'!$AR:$AR,"&lt;2014",
    'NEW 20102013 Onchocerciasis Eff'!$BG:$BG,"")
,"")</f>
        <v/>
      </c>
      <c r="BM101" s="304">
        <f t="shared" si="30"/>
        <v>0.3734</v>
      </c>
      <c r="BN101" s="305">
        <v>0.0</v>
      </c>
      <c r="BO101" s="139">
        <v>0.0</v>
      </c>
      <c r="BP101" s="140">
        <v>0.0</v>
      </c>
      <c r="BQ101" s="141">
        <f t="shared" si="31"/>
        <v>0</v>
      </c>
      <c r="BR101" s="104" t="str">
        <f t="shared" si="32"/>
        <v>0000</v>
      </c>
      <c r="BS101" s="104" t="str">
        <f t="shared" si="33"/>
        <v>no action required</v>
      </c>
      <c r="BT101" s="142" t="str">
        <f t="shared" si="34"/>
        <v/>
      </c>
      <c r="BU101" s="104" t="str">
        <f t="shared" si="35"/>
        <v/>
      </c>
      <c r="BV101" s="104" t="str">
        <f t="shared" si="36"/>
        <v>none</v>
      </c>
      <c r="BW101" s="150" t="str">
        <f t="shared" si="37"/>
        <v/>
      </c>
      <c r="BX101" s="150" t="str">
        <f t="shared" si="38"/>
        <v/>
      </c>
      <c r="BY101" s="151" t="str">
        <f t="shared" si="39"/>
        <v/>
      </c>
      <c r="BZ101" s="152" t="str">
        <f t="shared" si="40"/>
        <v/>
      </c>
      <c r="CA101" s="152" t="str">
        <f t="shared" si="41"/>
        <v/>
      </c>
      <c r="CB101" s="152" t="str">
        <f t="shared" si="42"/>
        <v/>
      </c>
      <c r="CC101" s="153" t="str">
        <f t="shared" si="43"/>
        <v/>
      </c>
      <c r="CD101" s="153" t="str">
        <f t="shared" si="44"/>
        <v/>
      </c>
      <c r="CE101" s="154" t="str">
        <f t="shared" si="45"/>
        <v/>
      </c>
      <c r="CF101" s="154" t="str">
        <f t="shared" si="46"/>
        <v/>
      </c>
      <c r="CG101" s="154" t="str">
        <f t="shared" si="47"/>
        <v/>
      </c>
      <c r="CH101" s="308" t="str">
        <f t="shared" si="48"/>
        <v/>
      </c>
      <c r="CI101" s="299"/>
    </row>
    <row r="102">
      <c r="A102" s="155" t="s">
        <v>191</v>
      </c>
      <c r="B102" s="104" t="s">
        <v>94</v>
      </c>
      <c r="C102" s="105">
        <v>1.27445E8</v>
      </c>
      <c r="D102" s="293">
        <v>0.0</v>
      </c>
      <c r="E102" s="294">
        <v>0.0</v>
      </c>
      <c r="F102" s="309">
        <v>0.0</v>
      </c>
      <c r="G102" s="309">
        <v>0.0</v>
      </c>
      <c r="H102" s="108">
        <v>0.0</v>
      </c>
      <c r="I102" s="109">
        <v>0.0</v>
      </c>
      <c r="J102" s="109">
        <v>0.0</v>
      </c>
      <c r="K102" s="109">
        <v>0.0</v>
      </c>
      <c r="L102" s="112">
        <v>0.0</v>
      </c>
      <c r="M102" s="112">
        <v>0.0</v>
      </c>
      <c r="N102" s="111">
        <v>0.0</v>
      </c>
      <c r="O102" s="298">
        <v>0.0</v>
      </c>
      <c r="P102" s="114"/>
      <c r="Q102" s="114"/>
      <c r="R102" s="121" t="str">
        <f t="shared" si="11"/>
        <v/>
      </c>
      <c r="S102" s="116">
        <f t="shared" si="12"/>
        <v>0.403639098</v>
      </c>
      <c r="T102" s="130"/>
      <c r="U102" s="118">
        <f t="shared" si="13"/>
        <v>0.6259666667</v>
      </c>
      <c r="V102" s="148"/>
      <c r="W102" s="120">
        <f t="shared" si="14"/>
        <v>0.3807857143</v>
      </c>
      <c r="X102" s="148"/>
      <c r="Y102" s="120">
        <f t="shared" si="15"/>
        <v>0.3971375</v>
      </c>
      <c r="Z102" s="299"/>
      <c r="AA102" s="299"/>
      <c r="AB102" s="300" t="str">
        <f t="shared" si="16"/>
        <v/>
      </c>
      <c r="AC102" s="301">
        <f t="shared" si="17"/>
        <v>0.6295826791</v>
      </c>
      <c r="AD102" s="122">
        <v>0.0</v>
      </c>
      <c r="AE102" s="123">
        <v>0.0</v>
      </c>
      <c r="AF102" s="123">
        <v>0.0</v>
      </c>
      <c r="AG102" s="316">
        <v>0.0</v>
      </c>
      <c r="AH102" s="124">
        <v>0.0</v>
      </c>
      <c r="AI102" s="317">
        <v>0.0</v>
      </c>
      <c r="AJ102" s="125">
        <v>0.0</v>
      </c>
      <c r="AK102" s="319">
        <v>0.0</v>
      </c>
      <c r="AL102" s="319">
        <v>0.0</v>
      </c>
      <c r="AM102" s="302">
        <v>0.0</v>
      </c>
      <c r="AN102" s="149" t="str">
        <f>IFERROR(
  AVERAGEIFS(
    'New 20102013 LF Efficacy'!$J:$J,
    'New 20102013 LF Efficacy'!$D:$D, $A102,
    'New 20102013 LF Efficacy'!$F:$F,"DEC", 
    'New 20102013 LF Efficacy'!$W:$W,"&lt;2014",
    'New 20102013 LF Efficacy'!$AA:$AA,""),
  ""
)</f>
        <v/>
      </c>
      <c r="AO102" s="115">
        <f t="shared" si="18"/>
        <v>0.38</v>
      </c>
      <c r="AP102" s="121" t="str">
        <f>IFERROR(
AVERAGEIFS(
'New 20102013 LF Efficacy'!$J:$J,
'New 20102013 LF Efficacy'!$D:$D,$A102,
'New 20102013 LF Efficacy'!$F:$F,"Albendazole &amp; DEC",
'New 20102013 LF Efficacy'!$W:$W,"&lt;2014",
'New 20102013 LF Efficacy'!$AA:$AA,""),
"")
</f>
        <v/>
      </c>
      <c r="AQ102" s="115">
        <f t="shared" si="19"/>
        <v>0.657</v>
      </c>
      <c r="AR102" s="121" t="str">
        <f>IFERROR(
AVERAGEIFS(
'New 20102013 LF Efficacy'!$J:$J,
'New 20102013 LF Efficacy'!$D:$D,$A102,
'New 20102013 LF Efficacy'!$F:$F,"Albendazole &amp; Ivermectin", 
'New 20102013 LF Efficacy'!$W:$W,"&lt;2014",
'New 20102013 LF Efficacy'!$AA:$AA,""),"")</f>
        <v/>
      </c>
      <c r="AS102" s="115">
        <f t="shared" si="20"/>
        <v>0.37153125</v>
      </c>
      <c r="AT102" s="130" t="str">
        <f>IFERROR(AVERAGEIFS(
'20102013 Schist Efficacy'!$O:$O, 
'20102013 Schist Efficacy'!$C:$C,$A102, 
'20102013 Schist Efficacy'!$D:$D, "Praziquantel",
'20102013 Schist Efficacy'!$J:$J,"&lt;2014",
'20102013 Schist Efficacy'!$U:$U,""),
"")</f>
        <v/>
      </c>
      <c r="AU102" s="118">
        <f t="shared" si="21"/>
        <v>0.9475</v>
      </c>
      <c r="AV102" s="131" t="str">
        <f>IFERROR(AVERAGEIFS(
'20102013 STH Efficacy'!$AX:$AX, 
'20102013 STH Efficacy'!$AL:$AL, $A102, 
'20102013 STH Efficacy'!$AM:$AM, "Albendazole",
'20102013 STH Efficacy'!$AS:$AS,"&lt;2014",
'20102013 STH Efficacy'!$BP:$BP,""),
"")</f>
        <v/>
      </c>
      <c r="AW102" s="132">
        <f t="shared" si="22"/>
        <v>0.3571666667</v>
      </c>
      <c r="AX102" s="131" t="str">
        <f>IFERROR(AVERAGEIFS(
'20102013 STH Efficacy'!$AX:$AX, 
'20102013 STH Efficacy'!$AL:$AL, $A102, 
'20102013 STH Efficacy'!$AM:$AM, "Mebendazole",
'20102013 STH Efficacy'!$AS:$AS,"&lt;2014",
'20102013 STH Efficacy'!$BP:$BP,""),
"")</f>
        <v/>
      </c>
      <c r="AY102" s="132">
        <f t="shared" si="23"/>
        <v>0.4155</v>
      </c>
      <c r="AZ102" s="131" t="str">
        <f>IFERROR(AVERAGEIFS(
'20102013 STH Efficacy'!$AX:$AX, 
'20102013 STH Efficacy'!$AL:$AL, $A102, 
'20102013 STH Efficacy'!$AM:$AM, "Albendazole &amp; Ivermectin",
'20102013 STH Efficacy'!$AS:$AS,"&lt;2014",
'20102013 STH Efficacy'!$BP:$BP,""),
"")</f>
        <v/>
      </c>
      <c r="BA102" s="303">
        <f t="shared" si="24"/>
        <v>0.651</v>
      </c>
      <c r="BB102" s="134" t="str">
        <f>IFERROR(AVERAGEIFS(
'20102013 STH Efficacy'!$N:$N, 
'20102013 STH Efficacy'!$B:$B, $A102, 
'20102013 STH Efficacy'!$C:$C, "Albendazole",
'20102013 STH Efficacy'!$I:$I,"&lt;2014",
'20102013 STH Efficacy'!$AH:$AH,""),
"")</f>
        <v/>
      </c>
      <c r="BC102" s="135">
        <f t="shared" si="25"/>
        <v>0.5769166667</v>
      </c>
      <c r="BD102" s="134" t="str">
        <f>IFERROR(AVERAGEIFS(
'20102013 STH Efficacy'!$N:$N, 
'20102013 STH Efficacy'!$B:$B, $A102, 
'20102013 STH Efficacy'!$C:$C, "Mebendazole",
'20102013 STH Efficacy'!$I:$I,"&lt;2014",
'20102013 STH Efficacy'!$AH:$AH,""),
"")</f>
        <v/>
      </c>
      <c r="BE102" s="135">
        <f t="shared" si="26"/>
        <v>0.3145</v>
      </c>
      <c r="BF102" s="128" t="str">
        <f>IFERROR(AVERAGEIFS(
'20102013 STH Efficacy'!$CD:$CD, 
'20102013 STH Efficacy'!$BS:$BS, $A102, 
'20102013 STH Efficacy'!$BT:$BT, "Albendazole",
'20102013 STH Efficacy'!$BZ:$BZ,"&lt;2014",
'20102013 STH Efficacy'!$CU:$CU,""),
"")</f>
        <v/>
      </c>
      <c r="BG102" s="136">
        <f t="shared" si="27"/>
        <v>0.96925</v>
      </c>
      <c r="BH102" s="128" t="str">
        <f>IFERROR(AVERAGEIFS(
'20102013 STH Efficacy'!$CD:$CD, 
'20102013 STH Efficacy'!$BS:$BS, $A102, 
'20102013 STH Efficacy'!$BT:$BT, "Mebendazole",
'20102013 STH Efficacy'!$BZ:$BZ,"&lt;2014",
'20102013 STH Efficacy'!$CU:$CU,""),
"")</f>
        <v/>
      </c>
      <c r="BI102" s="136">
        <f t="shared" si="28"/>
        <v>0.9305</v>
      </c>
      <c r="BJ102" s="128" t="str">
        <f>IFERROR(AVERAGEIFS(
'20102013 STH Efficacy'!$CD:$CD, 
'20102013 STH Efficacy'!$BS:$BS, $A102, 
'20102013 STH Efficacy'!$BT:$BT, "Albendazole &amp; Ivermectin",
'20102013 STH Efficacy'!$BZ:$BZ,"&lt;2014",
'20102013 STH Efficacy'!$CU:$CU,""),
"")</f>
        <v/>
      </c>
      <c r="BK102" s="136">
        <f t="shared" si="29"/>
        <v>1</v>
      </c>
      <c r="BL102" s="300" t="str">
        <f>IFERROR(
  AVERAGEIFS(
    'NEW 20102013 Onchocerciasis Eff'!$AO:$AO,
    'NEW 20102013 Onchocerciasis Eff'!$C:$C,$A102,
    'NEW 20102013 Onchocerciasis Eff'!$D:$D,"Ivermectin",
    'NEW 20102013 Onchocerciasis Eff'!$AR:$AR,"&lt;2014",
    'NEW 20102013 Onchocerciasis Eff'!$BG:$BG,"")
,"")</f>
        <v/>
      </c>
      <c r="BM102" s="304">
        <f t="shared" si="30"/>
        <v>0.7808368939</v>
      </c>
      <c r="BN102" s="305">
        <v>0.0</v>
      </c>
      <c r="BO102" s="139">
        <v>0.0</v>
      </c>
      <c r="BP102" s="140">
        <v>0.0</v>
      </c>
      <c r="BQ102" s="141">
        <f t="shared" si="31"/>
        <v>0</v>
      </c>
      <c r="BR102" s="104" t="str">
        <f t="shared" si="32"/>
        <v>0000</v>
      </c>
      <c r="BS102" s="104" t="str">
        <f t="shared" si="33"/>
        <v>no action required</v>
      </c>
      <c r="BT102" s="142" t="str">
        <f t="shared" si="34"/>
        <v/>
      </c>
      <c r="BU102" s="104" t="str">
        <f t="shared" si="35"/>
        <v/>
      </c>
      <c r="BV102" s="104" t="str">
        <f t="shared" si="36"/>
        <v>none</v>
      </c>
      <c r="BW102" s="150" t="str">
        <f t="shared" si="37"/>
        <v/>
      </c>
      <c r="BX102" s="150" t="str">
        <f t="shared" si="38"/>
        <v/>
      </c>
      <c r="BY102" s="151" t="str">
        <f t="shared" si="39"/>
        <v/>
      </c>
      <c r="BZ102" s="152" t="str">
        <f t="shared" si="40"/>
        <v/>
      </c>
      <c r="CA102" s="152" t="str">
        <f t="shared" si="41"/>
        <v/>
      </c>
      <c r="CB102" s="152" t="str">
        <f t="shared" si="42"/>
        <v/>
      </c>
      <c r="CC102" s="153" t="str">
        <f t="shared" si="43"/>
        <v/>
      </c>
      <c r="CD102" s="153" t="str">
        <f t="shared" si="44"/>
        <v/>
      </c>
      <c r="CE102" s="154" t="str">
        <f t="shared" si="45"/>
        <v/>
      </c>
      <c r="CF102" s="154" t="str">
        <f t="shared" si="46"/>
        <v/>
      </c>
      <c r="CG102" s="154" t="str">
        <f t="shared" si="47"/>
        <v/>
      </c>
      <c r="CH102" s="308" t="str">
        <f t="shared" si="48"/>
        <v/>
      </c>
      <c r="CI102" s="299"/>
    </row>
    <row r="103">
      <c r="A103" s="155" t="s">
        <v>192</v>
      </c>
      <c r="B103" s="104" t="s">
        <v>88</v>
      </c>
      <c r="C103" s="105">
        <v>8413464.0</v>
      </c>
      <c r="D103" s="293">
        <v>0.0</v>
      </c>
      <c r="E103" s="294">
        <v>193.1660845</v>
      </c>
      <c r="F103" s="307">
        <v>0.764892773</v>
      </c>
      <c r="G103" s="307">
        <v>3.879354921</v>
      </c>
      <c r="H103" s="108">
        <v>4.644247694</v>
      </c>
      <c r="I103" s="109">
        <v>22.024275</v>
      </c>
      <c r="J103" s="109">
        <v>58.7144879</v>
      </c>
      <c r="K103" s="109">
        <v>80.73876288</v>
      </c>
      <c r="L103" s="112">
        <v>104.7347816</v>
      </c>
      <c r="M103" s="112">
        <v>243.5134565</v>
      </c>
      <c r="N103" s="111">
        <v>348.2482381</v>
      </c>
      <c r="O103" s="298">
        <v>0.0</v>
      </c>
      <c r="P103" s="114"/>
      <c r="Q103" s="114"/>
      <c r="R103" s="121" t="str">
        <f t="shared" si="11"/>
        <v/>
      </c>
      <c r="S103" s="116">
        <f t="shared" si="12"/>
        <v>0.4713987966</v>
      </c>
      <c r="T103" s="130"/>
      <c r="U103" s="118">
        <f t="shared" si="13"/>
        <v>0.5949</v>
      </c>
      <c r="V103" s="148"/>
      <c r="W103" s="120">
        <f t="shared" si="14"/>
        <v>0.9216</v>
      </c>
      <c r="X103" s="148"/>
      <c r="Y103" s="120">
        <f t="shared" si="15"/>
        <v>0.521</v>
      </c>
      <c r="Z103" s="299"/>
      <c r="AA103" s="299"/>
      <c r="AB103" s="300" t="str">
        <f t="shared" si="16"/>
        <v/>
      </c>
      <c r="AC103" s="301">
        <f t="shared" si="17"/>
        <v>0.3122297241</v>
      </c>
      <c r="AD103" s="122">
        <v>0.0</v>
      </c>
      <c r="AE103" s="123">
        <v>0.0</v>
      </c>
      <c r="AF103" s="123">
        <v>1.0E-4</v>
      </c>
      <c r="AG103" s="124">
        <v>0.0365</v>
      </c>
      <c r="AH103" s="124">
        <v>0.055374535</v>
      </c>
      <c r="AI103" s="125">
        <v>0.0107</v>
      </c>
      <c r="AJ103" s="125">
        <v>0.016219962</v>
      </c>
      <c r="AK103" s="127">
        <v>0.1285</v>
      </c>
      <c r="AL103" s="127">
        <v>0.1926</v>
      </c>
      <c r="AM103" s="302">
        <v>0.0</v>
      </c>
      <c r="AN103" s="149" t="str">
        <f>IFERROR(
  AVERAGEIFS(
    'New 20102013 LF Efficacy'!$J:$J,
    'New 20102013 LF Efficacy'!$D:$D, $A103,
    'New 20102013 LF Efficacy'!$F:$F,"DEC", 
    'New 20102013 LF Efficacy'!$W:$W,"&lt;2014",
    'New 20102013 LF Efficacy'!$AA:$AA,""),
  ""
)</f>
        <v/>
      </c>
      <c r="AO103" s="115">
        <f t="shared" si="18"/>
        <v>0.3573520833</v>
      </c>
      <c r="AP103" s="121" t="str">
        <f>IFERROR(
AVERAGEIFS(
'New 20102013 LF Efficacy'!$J:$J,
'New 20102013 LF Efficacy'!$D:$D,$A103,
'New 20102013 LF Efficacy'!$F:$F,"Albendazole &amp; DEC",
'New 20102013 LF Efficacy'!$W:$W,"&lt;2014",
'New 20102013 LF Efficacy'!$AA:$AA,""),
"")
</f>
        <v/>
      </c>
      <c r="AQ103" s="115">
        <f t="shared" si="19"/>
        <v>0.7935</v>
      </c>
      <c r="AR103" s="121" t="str">
        <f>IFERROR(
AVERAGEIFS(
'New 20102013 LF Efficacy'!$J:$J,
'New 20102013 LF Efficacy'!$D:$D,$A103,
'New 20102013 LF Efficacy'!$F:$F,"Albendazole &amp; Ivermectin", 
'New 20102013 LF Efficacy'!$W:$W,"&lt;2014",
'New 20102013 LF Efficacy'!$AA:$AA,""),"")</f>
        <v/>
      </c>
      <c r="AS103" s="115">
        <f t="shared" si="20"/>
        <v>0.37153125</v>
      </c>
      <c r="AT103" s="130" t="str">
        <f>IFERROR(AVERAGEIFS(
'20102013 Schist Efficacy'!$O:$O, 
'20102013 Schist Efficacy'!$C:$C,$A103, 
'20102013 Schist Efficacy'!$D:$D, "Praziquantel",
'20102013 Schist Efficacy'!$J:$J,"&lt;2014",
'20102013 Schist Efficacy'!$U:$U,""),
"")</f>
        <v/>
      </c>
      <c r="AU103" s="118">
        <f t="shared" si="21"/>
        <v>0.7763141026</v>
      </c>
      <c r="AV103" s="131" t="str">
        <f>IFERROR(AVERAGEIFS(
'20102013 STH Efficacy'!$AX:$AX, 
'20102013 STH Efficacy'!$AL:$AL, $A103, 
'20102013 STH Efficacy'!$AM:$AM, "Albendazole",
'20102013 STH Efficacy'!$AS:$AS,"&lt;2014",
'20102013 STH Efficacy'!$BP:$BP,""),
"")</f>
        <v/>
      </c>
      <c r="AW103" s="132">
        <f t="shared" si="22"/>
        <v>0.3933333333</v>
      </c>
      <c r="AX103" s="131" t="str">
        <f>IFERROR(AVERAGEIFS(
'20102013 STH Efficacy'!$AX:$AX, 
'20102013 STH Efficacy'!$AL:$AL, $A103, 
'20102013 STH Efficacy'!$AM:$AM, "Mebendazole",
'20102013 STH Efficacy'!$AS:$AS,"&lt;2014",
'20102013 STH Efficacy'!$BP:$BP,""),
"")</f>
        <v/>
      </c>
      <c r="AY103" s="132">
        <f t="shared" si="23"/>
        <v>0.5017738095</v>
      </c>
      <c r="AZ103" s="131" t="str">
        <f>IFERROR(AVERAGEIFS(
'20102013 STH Efficacy'!$AX:$AX, 
'20102013 STH Efficacy'!$AL:$AL, $A103, 
'20102013 STH Efficacy'!$AM:$AM, "Albendazole &amp; Ivermectin",
'20102013 STH Efficacy'!$AS:$AS,"&lt;2014",
'20102013 STH Efficacy'!$BP:$BP,""),
"")</f>
        <v/>
      </c>
      <c r="BA103" s="303">
        <f t="shared" si="24"/>
        <v>0.597625</v>
      </c>
      <c r="BB103" s="134" t="str">
        <f>IFERROR(AVERAGEIFS(
'20102013 STH Efficacy'!$N:$N, 
'20102013 STH Efficacy'!$B:$B, $A103, 
'20102013 STH Efficacy'!$C:$C, "Albendazole",
'20102013 STH Efficacy'!$I:$I,"&lt;2014",
'20102013 STH Efficacy'!$AH:$AH,""),
"")</f>
        <v/>
      </c>
      <c r="BC103" s="135">
        <f t="shared" si="25"/>
        <v>0.7613712121</v>
      </c>
      <c r="BD103" s="134" t="str">
        <f>IFERROR(AVERAGEIFS(
'20102013 STH Efficacy'!$N:$N, 
'20102013 STH Efficacy'!$B:$B, $A103, 
'20102013 STH Efficacy'!$C:$C, "Mebendazole",
'20102013 STH Efficacy'!$I:$I,"&lt;2014",
'20102013 STH Efficacy'!$AH:$AH,""),
"")</f>
        <v/>
      </c>
      <c r="BE103" s="135">
        <f t="shared" si="26"/>
        <v>0.4362466667</v>
      </c>
      <c r="BF103" s="128" t="str">
        <f>IFERROR(AVERAGEIFS(
'20102013 STH Efficacy'!$CD:$CD, 
'20102013 STH Efficacy'!$BS:$BS, $A103, 
'20102013 STH Efficacy'!$BT:$BT, "Albendazole",
'20102013 STH Efficacy'!$BZ:$BZ,"&lt;2014",
'20102013 STH Efficacy'!$CU:$CU,""),
"")</f>
        <v/>
      </c>
      <c r="BG103" s="136">
        <f t="shared" si="27"/>
        <v>0.955</v>
      </c>
      <c r="BH103" s="128" t="str">
        <f>IFERROR(AVERAGEIFS(
'20102013 STH Efficacy'!$CD:$CD, 
'20102013 STH Efficacy'!$BS:$BS, $A103, 
'20102013 STH Efficacy'!$BT:$BT, "Mebendazole",
'20102013 STH Efficacy'!$BZ:$BZ,"&lt;2014",
'20102013 STH Efficacy'!$CU:$CU,""),
"")</f>
        <v/>
      </c>
      <c r="BI103" s="136">
        <f t="shared" si="28"/>
        <v>1</v>
      </c>
      <c r="BJ103" s="128" t="str">
        <f>IFERROR(AVERAGEIFS(
'20102013 STH Efficacy'!$CD:$CD, 
'20102013 STH Efficacy'!$BS:$BS, $A103, 
'20102013 STH Efficacy'!$BT:$BT, "Albendazole &amp; Ivermectin",
'20102013 STH Efficacy'!$BZ:$BZ,"&lt;2014",
'20102013 STH Efficacy'!$CU:$CU,""),
"")</f>
        <v/>
      </c>
      <c r="BK103" s="136">
        <f t="shared" si="29"/>
        <v>1</v>
      </c>
      <c r="BL103" s="300" t="str">
        <f>IFERROR(
  AVERAGEIFS(
    'NEW 20102013 Onchocerciasis Eff'!$AO:$AO,
    'NEW 20102013 Onchocerciasis Eff'!$C:$C,$A103,
    'NEW 20102013 Onchocerciasis Eff'!$D:$D,"Ivermectin",
    'NEW 20102013 Onchocerciasis Eff'!$AR:$AR,"&lt;2014",
    'NEW 20102013 Onchocerciasis Eff'!$BG:$BG,"")
,"")</f>
        <v/>
      </c>
      <c r="BM103" s="304">
        <f t="shared" si="30"/>
        <v>0.7808368939</v>
      </c>
      <c r="BN103" s="305">
        <v>0.0</v>
      </c>
      <c r="BO103" s="139">
        <v>0.0</v>
      </c>
      <c r="BP103" s="140">
        <v>0.0</v>
      </c>
      <c r="BQ103" s="141">
        <f t="shared" si="31"/>
        <v>0</v>
      </c>
      <c r="BR103" s="104" t="str">
        <f t="shared" si="32"/>
        <v>0000</v>
      </c>
      <c r="BS103" s="104" t="str">
        <f t="shared" si="33"/>
        <v>no action required</v>
      </c>
      <c r="BT103" s="142" t="str">
        <f t="shared" si="34"/>
        <v/>
      </c>
      <c r="BU103" s="104" t="str">
        <f t="shared" si="35"/>
        <v/>
      </c>
      <c r="BV103" s="104" t="str">
        <f t="shared" si="36"/>
        <v>none</v>
      </c>
      <c r="BW103" s="150" t="str">
        <f t="shared" si="37"/>
        <v/>
      </c>
      <c r="BX103" s="150" t="str">
        <f t="shared" si="38"/>
        <v/>
      </c>
      <c r="BY103" s="151" t="str">
        <f t="shared" si="39"/>
        <v/>
      </c>
      <c r="BZ103" s="152" t="str">
        <f t="shared" si="40"/>
        <v/>
      </c>
      <c r="CA103" s="152" t="str">
        <f t="shared" si="41"/>
        <v/>
      </c>
      <c r="CB103" s="152" t="str">
        <f t="shared" si="42"/>
        <v/>
      </c>
      <c r="CC103" s="153" t="str">
        <f t="shared" si="43"/>
        <v/>
      </c>
      <c r="CD103" s="153" t="str">
        <f t="shared" si="44"/>
        <v/>
      </c>
      <c r="CE103" s="154" t="str">
        <f t="shared" si="45"/>
        <v/>
      </c>
      <c r="CF103" s="154" t="str">
        <f t="shared" si="46"/>
        <v/>
      </c>
      <c r="CG103" s="154" t="str">
        <f t="shared" si="47"/>
        <v/>
      </c>
      <c r="CH103" s="308" t="str">
        <f t="shared" si="48"/>
        <v/>
      </c>
      <c r="CI103" s="299"/>
    </row>
    <row r="104">
      <c r="A104" s="155" t="s">
        <v>193</v>
      </c>
      <c r="B104" s="104" t="s">
        <v>90</v>
      </c>
      <c r="C104" s="105">
        <v>1.7035275E7</v>
      </c>
      <c r="D104" s="293">
        <v>0.0</v>
      </c>
      <c r="E104" s="294">
        <v>0.0</v>
      </c>
      <c r="F104" s="309">
        <v>0.0</v>
      </c>
      <c r="G104" s="309">
        <v>0.0</v>
      </c>
      <c r="H104" s="108">
        <v>0.0</v>
      </c>
      <c r="I104" s="109">
        <v>0.1094081</v>
      </c>
      <c r="J104" s="109">
        <v>0.10935683</v>
      </c>
      <c r="K104" s="110">
        <v>0.218764924</v>
      </c>
      <c r="L104" s="111">
        <v>513.9464669</v>
      </c>
      <c r="M104" s="111">
        <v>929.6890077</v>
      </c>
      <c r="N104" s="111">
        <v>1443.635475</v>
      </c>
      <c r="O104" s="298">
        <v>0.0</v>
      </c>
      <c r="P104" s="114"/>
      <c r="Q104" s="114"/>
      <c r="R104" s="121" t="str">
        <f t="shared" si="11"/>
        <v/>
      </c>
      <c r="S104" s="116">
        <f t="shared" si="12"/>
        <v>0.526225767</v>
      </c>
      <c r="T104" s="118">
        <v>0.1552</v>
      </c>
      <c r="U104" s="118">
        <f t="shared" si="13"/>
        <v>0.1552</v>
      </c>
      <c r="V104" s="148"/>
      <c r="W104" s="120">
        <f t="shared" si="14"/>
        <v>1</v>
      </c>
      <c r="X104" s="148"/>
      <c r="Y104" s="120">
        <f t="shared" si="15"/>
        <v>1</v>
      </c>
      <c r="Z104" s="299"/>
      <c r="AA104" s="299"/>
      <c r="AB104" s="300" t="str">
        <f t="shared" si="16"/>
        <v/>
      </c>
      <c r="AC104" s="301">
        <f t="shared" si="17"/>
        <v>0.6295826791</v>
      </c>
      <c r="AD104" s="122">
        <v>0.0</v>
      </c>
      <c r="AE104" s="123">
        <v>0.0</v>
      </c>
      <c r="AF104" s="123">
        <v>0.0</v>
      </c>
      <c r="AG104" s="124">
        <v>0.0</v>
      </c>
      <c r="AH104" s="124">
        <v>1.22324E-5</v>
      </c>
      <c r="AI104" s="125">
        <v>0.0</v>
      </c>
      <c r="AJ104" s="125">
        <v>1.15754E-5</v>
      </c>
      <c r="AK104" s="127">
        <v>0.2042</v>
      </c>
      <c r="AL104" s="127">
        <v>0.3046</v>
      </c>
      <c r="AM104" s="302">
        <v>0.0</v>
      </c>
      <c r="AN104" s="149" t="str">
        <f>IFERROR(
  AVERAGEIFS(
    'New 20102013 LF Efficacy'!$J:$J,
    'New 20102013 LF Efficacy'!$D:$D, $A104,
    'New 20102013 LF Efficacy'!$F:$F,"DEC", 
    'New 20102013 LF Efficacy'!$W:$W,"&lt;2014",
    'New 20102013 LF Efficacy'!$AA:$AA,""),
  ""
)</f>
        <v/>
      </c>
      <c r="AO104" s="115">
        <f t="shared" si="18"/>
        <v>0.3573520833</v>
      </c>
      <c r="AP104" s="121" t="str">
        <f>IFERROR(
AVERAGEIFS(
'New 20102013 LF Efficacy'!$J:$J,
'New 20102013 LF Efficacy'!$D:$D,$A104,
'New 20102013 LF Efficacy'!$F:$F,"Albendazole &amp; DEC",
'New 20102013 LF Efficacy'!$W:$W,"&lt;2014",
'New 20102013 LF Efficacy'!$AA:$AA,""),
"")
</f>
        <v/>
      </c>
      <c r="AQ104" s="115">
        <f t="shared" si="19"/>
        <v>0.5137291667</v>
      </c>
      <c r="AR104" s="121" t="str">
        <f>IFERROR(
AVERAGEIFS(
'New 20102013 LF Efficacy'!$J:$J,
'New 20102013 LF Efficacy'!$D:$D,$A104,
'New 20102013 LF Efficacy'!$F:$F,"Albendazole &amp; Ivermectin", 
'New 20102013 LF Efficacy'!$W:$W,"&lt;2014",
'New 20102013 LF Efficacy'!$AA:$AA,""),"")</f>
        <v/>
      </c>
      <c r="AS104" s="115">
        <f t="shared" si="20"/>
        <v>0.37153125</v>
      </c>
      <c r="AT104" s="130" t="str">
        <f>IFERROR(AVERAGEIFS(
'20102013 Schist Efficacy'!$O:$O, 
'20102013 Schist Efficacy'!$C:$C,$A104, 
'20102013 Schist Efficacy'!$D:$D, "Praziquantel",
'20102013 Schist Efficacy'!$J:$J,"&lt;2014",
'20102013 Schist Efficacy'!$U:$U,""),
"")</f>
        <v/>
      </c>
      <c r="AU104" s="118">
        <f t="shared" si="21"/>
        <v>0.655</v>
      </c>
      <c r="AV104" s="131" t="str">
        <f>IFERROR(AVERAGEIFS(
'20102013 STH Efficacy'!$AX:$AX, 
'20102013 STH Efficacy'!$AL:$AL, $A104, 
'20102013 STH Efficacy'!$AM:$AM, "Albendazole",
'20102013 STH Efficacy'!$AS:$AS,"&lt;2014",
'20102013 STH Efficacy'!$BP:$BP,""),
"")</f>
        <v/>
      </c>
      <c r="AW104" s="132">
        <f t="shared" si="22"/>
        <v>0.3933333333</v>
      </c>
      <c r="AX104" s="131" t="str">
        <f>IFERROR(AVERAGEIFS(
'20102013 STH Efficacy'!$AX:$AX, 
'20102013 STH Efficacy'!$AL:$AL, $A104, 
'20102013 STH Efficacy'!$AM:$AM, "Mebendazole",
'20102013 STH Efficacy'!$AS:$AS,"&lt;2014",
'20102013 STH Efficacy'!$BP:$BP,""),
"")</f>
        <v/>
      </c>
      <c r="AY104" s="132">
        <f t="shared" si="23"/>
        <v>0.5017738095</v>
      </c>
      <c r="AZ104" s="131" t="str">
        <f>IFERROR(AVERAGEIFS(
'20102013 STH Efficacy'!$AX:$AX, 
'20102013 STH Efficacy'!$AL:$AL, $A104, 
'20102013 STH Efficacy'!$AM:$AM, "Albendazole &amp; Ivermectin",
'20102013 STH Efficacy'!$AS:$AS,"&lt;2014",
'20102013 STH Efficacy'!$BP:$BP,""),
"")</f>
        <v/>
      </c>
      <c r="BA104" s="303">
        <f t="shared" si="24"/>
        <v>0.597625</v>
      </c>
      <c r="BB104" s="134" t="str">
        <f>IFERROR(AVERAGEIFS(
'20102013 STH Efficacy'!$N:$N, 
'20102013 STH Efficacy'!$B:$B, $A104, 
'20102013 STH Efficacy'!$C:$C, "Albendazole",
'20102013 STH Efficacy'!$I:$I,"&lt;2014",
'20102013 STH Efficacy'!$AH:$AH,""),
"")</f>
        <v/>
      </c>
      <c r="BC104" s="135">
        <f t="shared" si="25"/>
        <v>0.7613712121</v>
      </c>
      <c r="BD104" s="134" t="str">
        <f>IFERROR(AVERAGEIFS(
'20102013 STH Efficacy'!$N:$N, 
'20102013 STH Efficacy'!$B:$B, $A104, 
'20102013 STH Efficacy'!$C:$C, "Mebendazole",
'20102013 STH Efficacy'!$I:$I,"&lt;2014",
'20102013 STH Efficacy'!$AH:$AH,""),
"")</f>
        <v/>
      </c>
      <c r="BE104" s="135">
        <f t="shared" si="26"/>
        <v>0.4362466667</v>
      </c>
      <c r="BF104" s="128" t="str">
        <f>IFERROR(AVERAGEIFS(
'20102013 STH Efficacy'!$CD:$CD, 
'20102013 STH Efficacy'!$BS:$BS, $A104, 
'20102013 STH Efficacy'!$BT:$BT, "Albendazole",
'20102013 STH Efficacy'!$BZ:$BZ,"&lt;2014",
'20102013 STH Efficacy'!$CU:$CU,""),
"")</f>
        <v/>
      </c>
      <c r="BG104" s="136">
        <f t="shared" si="27"/>
        <v>0.9216027778</v>
      </c>
      <c r="BH104" s="128" t="str">
        <f>IFERROR(AVERAGEIFS(
'20102013 STH Efficacy'!$CD:$CD, 
'20102013 STH Efficacy'!$BS:$BS, $A104, 
'20102013 STH Efficacy'!$BT:$BT, "Mebendazole",
'20102013 STH Efficacy'!$BZ:$BZ,"&lt;2014",
'20102013 STH Efficacy'!$CU:$CU,""),
"")</f>
        <v/>
      </c>
      <c r="BI104" s="136">
        <f t="shared" si="28"/>
        <v>0.9295857143</v>
      </c>
      <c r="BJ104" s="128" t="str">
        <f>IFERROR(AVERAGEIFS(
'20102013 STH Efficacy'!$CD:$CD, 
'20102013 STH Efficacy'!$BS:$BS, $A104, 
'20102013 STH Efficacy'!$BT:$BT, "Albendazole &amp; Ivermectin",
'20102013 STH Efficacy'!$BZ:$BZ,"&lt;2014",
'20102013 STH Efficacy'!$CU:$CU,""),
"")</f>
        <v/>
      </c>
      <c r="BK104" s="136">
        <f t="shared" si="29"/>
        <v>1</v>
      </c>
      <c r="BL104" s="300" t="str">
        <f>IFERROR(
  AVERAGEIFS(
    'NEW 20102013 Onchocerciasis Eff'!$AO:$AO,
    'NEW 20102013 Onchocerciasis Eff'!$C:$C,$A104,
    'NEW 20102013 Onchocerciasis Eff'!$D:$D,"Ivermectin",
    'NEW 20102013 Onchocerciasis Eff'!$AR:$AR,"&lt;2014",
    'NEW 20102013 Onchocerciasis Eff'!$BG:$BG,"")
,"")</f>
        <v/>
      </c>
      <c r="BM104" s="304">
        <f t="shared" si="30"/>
        <v>0.7808368939</v>
      </c>
      <c r="BN104" s="305">
        <v>0.0</v>
      </c>
      <c r="BO104" s="139">
        <v>1.0</v>
      </c>
      <c r="BP104" s="140">
        <v>0.0</v>
      </c>
      <c r="BQ104" s="141">
        <f t="shared" si="31"/>
        <v>0</v>
      </c>
      <c r="BR104" s="104" t="str">
        <f t="shared" si="32"/>
        <v>0100</v>
      </c>
      <c r="BS104" s="104" t="str">
        <f t="shared" si="33"/>
        <v>MDA3</v>
      </c>
      <c r="BT104" s="142" t="str">
        <f t="shared" si="34"/>
        <v>IVM</v>
      </c>
      <c r="BU104" s="104" t="str">
        <f t="shared" si="35"/>
        <v/>
      </c>
      <c r="BV104" s="104" t="str">
        <f t="shared" si="36"/>
        <v>onch only</v>
      </c>
      <c r="BW104" s="150" t="str">
        <f t="shared" si="37"/>
        <v/>
      </c>
      <c r="BX104" s="150" t="str">
        <f t="shared" si="38"/>
        <v/>
      </c>
      <c r="BY104" s="151" t="str">
        <f t="shared" si="39"/>
        <v/>
      </c>
      <c r="BZ104" s="152" t="str">
        <f t="shared" si="40"/>
        <v/>
      </c>
      <c r="CA104" s="152" t="str">
        <f t="shared" si="41"/>
        <v/>
      </c>
      <c r="CB104" s="152" t="str">
        <f t="shared" si="42"/>
        <v/>
      </c>
      <c r="CC104" s="153" t="str">
        <f t="shared" si="43"/>
        <v/>
      </c>
      <c r="CD104" s="153" t="str">
        <f t="shared" si="44"/>
        <v/>
      </c>
      <c r="CE104" s="154" t="str">
        <f t="shared" si="45"/>
        <v/>
      </c>
      <c r="CF104" s="154" t="str">
        <f t="shared" si="46"/>
        <v/>
      </c>
      <c r="CG104" s="154" t="str">
        <f t="shared" si="47"/>
        <v/>
      </c>
      <c r="CH104" s="313">
        <f t="shared" si="48"/>
        <v>0</v>
      </c>
      <c r="CI104" s="299"/>
    </row>
    <row r="105">
      <c r="A105" s="103" t="s">
        <v>194</v>
      </c>
      <c r="B105" s="104" t="s">
        <v>92</v>
      </c>
      <c r="C105" s="105">
        <v>4.4826849E7</v>
      </c>
      <c r="D105" s="293">
        <v>924.28</v>
      </c>
      <c r="E105" s="294">
        <v>65086.18694</v>
      </c>
      <c r="F105" s="307">
        <v>28.12039042</v>
      </c>
      <c r="G105" s="307">
        <v>128.3713291</v>
      </c>
      <c r="H105" s="157">
        <v>156.4917195</v>
      </c>
      <c r="I105" s="110">
        <v>688.000338</v>
      </c>
      <c r="J105" s="110">
        <v>1955.492</v>
      </c>
      <c r="K105" s="110">
        <v>2643.492337</v>
      </c>
      <c r="L105" s="111">
        <v>2143.472343</v>
      </c>
      <c r="M105" s="111">
        <v>568.7057007</v>
      </c>
      <c r="N105" s="111">
        <v>2712.178044</v>
      </c>
      <c r="O105" s="298">
        <v>0.0</v>
      </c>
      <c r="P105" s="160">
        <v>3421741.0</v>
      </c>
      <c r="Q105" s="156"/>
      <c r="R105" s="121">
        <f t="shared" si="11"/>
        <v>0</v>
      </c>
      <c r="S105" s="116">
        <f t="shared" si="12"/>
        <v>0.2589669834</v>
      </c>
      <c r="T105" s="130"/>
      <c r="U105" s="118">
        <f t="shared" si="13"/>
        <v>0.252</v>
      </c>
      <c r="V105" s="119">
        <v>0.2937</v>
      </c>
      <c r="W105" s="120">
        <f t="shared" si="14"/>
        <v>0.2937</v>
      </c>
      <c r="X105" s="119">
        <v>0.4078</v>
      </c>
      <c r="Y105" s="120">
        <f t="shared" si="15"/>
        <v>0.4078</v>
      </c>
      <c r="Z105" s="311" t="s">
        <v>373</v>
      </c>
      <c r="AA105" s="311" t="s">
        <v>373</v>
      </c>
      <c r="AB105" s="300" t="str">
        <f t="shared" si="16"/>
        <v/>
      </c>
      <c r="AC105" s="301">
        <f t="shared" si="17"/>
        <v>0.655321236</v>
      </c>
      <c r="AD105" s="122">
        <v>6.0E-4</v>
      </c>
      <c r="AE105" s="123">
        <v>0.17</v>
      </c>
      <c r="AF105" s="123">
        <v>0.0473</v>
      </c>
      <c r="AG105" s="124">
        <v>0.0283</v>
      </c>
      <c r="AH105" s="124">
        <v>0.044679575</v>
      </c>
      <c r="AI105" s="125">
        <v>0.033</v>
      </c>
      <c r="AJ105" s="125">
        <v>0.054304014</v>
      </c>
      <c r="AK105" s="127">
        <v>0.0377</v>
      </c>
      <c r="AL105" s="127">
        <v>0.0598</v>
      </c>
      <c r="AM105" s="302">
        <v>0.0</v>
      </c>
      <c r="AN105" s="149">
        <f>IFERROR(
  AVERAGEIFS(
    'New 20102013 LF Efficacy'!$J:$J,
    'New 20102013 LF Efficacy'!$D:$D, $A105,
    'New 20102013 LF Efficacy'!$F:$F,"DEC", 
    'New 20102013 LF Efficacy'!$W:$W,"&lt;2014",
    'New 20102013 LF Efficacy'!$AA:$AA,""),
  ""
)</f>
        <v>0.5185</v>
      </c>
      <c r="AO105" s="115">
        <f t="shared" si="18"/>
        <v>0.5185</v>
      </c>
      <c r="AP105" s="121">
        <f>IFERROR(
AVERAGEIFS(
'New 20102013 LF Efficacy'!$J:$J,
'New 20102013 LF Efficacy'!$D:$D,$A105,
'New 20102013 LF Efficacy'!$F:$F,"Albendazole &amp; DEC",
'New 20102013 LF Efficacy'!$W:$W,"&lt;2014",
'New 20102013 LF Efficacy'!$AA:$AA,""),
"")
</f>
        <v>0.537</v>
      </c>
      <c r="AQ105" s="115">
        <f t="shared" si="19"/>
        <v>0.537</v>
      </c>
      <c r="AR105" s="121" t="str">
        <f>IFERROR(
AVERAGEIFS(
'New 20102013 LF Efficacy'!$J:$J,
'New 20102013 LF Efficacy'!$D:$D,$A105,
'New 20102013 LF Efficacy'!$F:$F,"Albendazole &amp; Ivermectin", 
'New 20102013 LF Efficacy'!$W:$W,"&lt;2014",
'New 20102013 LF Efficacy'!$AA:$AA,""),"")</f>
        <v/>
      </c>
      <c r="AS105" s="115">
        <f t="shared" si="20"/>
        <v>0.2943125</v>
      </c>
      <c r="AT105" s="130">
        <f>IFERROR(AVERAGEIFS(
'20102013 Schist Efficacy'!$O:$O, 
'20102013 Schist Efficacy'!$C:$C,$A105, 
'20102013 Schist Efficacy'!$D:$D, "Praziquantel",
'20102013 Schist Efficacy'!$J:$J,"&lt;2014",
'20102013 Schist Efficacy'!$U:$U,""),
"")</f>
        <v>0.7191428571</v>
      </c>
      <c r="AU105" s="118">
        <f t="shared" si="21"/>
        <v>0.7191428571</v>
      </c>
      <c r="AV105" s="131" t="str">
        <f>IFERROR(AVERAGEIFS(
'20102013 STH Efficacy'!$AX:$AX, 
'20102013 STH Efficacy'!$AL:$AL, $A105, 
'20102013 STH Efficacy'!$AM:$AM, "Albendazole",
'20102013 STH Efficacy'!$AS:$AS,"&lt;2014",
'20102013 STH Efficacy'!$BP:$BP,""),
"")</f>
        <v/>
      </c>
      <c r="AW105" s="132">
        <f t="shared" si="22"/>
        <v>0.3816333333</v>
      </c>
      <c r="AX105" s="131" t="str">
        <f>IFERROR(AVERAGEIFS(
'20102013 STH Efficacy'!$AX:$AX, 
'20102013 STH Efficacy'!$AL:$AL, $A105, 
'20102013 STH Efficacy'!$AM:$AM, "Mebendazole",
'20102013 STH Efficacy'!$AS:$AS,"&lt;2014",
'20102013 STH Efficacy'!$BP:$BP,""),
"")</f>
        <v/>
      </c>
      <c r="AY105" s="132">
        <f t="shared" si="23"/>
        <v>0.5675833333</v>
      </c>
      <c r="AZ105" s="131" t="str">
        <f>IFERROR(AVERAGEIFS(
'20102013 STH Efficacy'!$AX:$AX, 
'20102013 STH Efficacy'!$AL:$AL, $A105, 
'20102013 STH Efficacy'!$AM:$AM, "Albendazole &amp; Ivermectin",
'20102013 STH Efficacy'!$AS:$AS,"&lt;2014",
'20102013 STH Efficacy'!$BP:$BP,""),
"")</f>
        <v/>
      </c>
      <c r="BA105" s="303">
        <f t="shared" si="24"/>
        <v>0.47175</v>
      </c>
      <c r="BB105" s="134" t="str">
        <f>IFERROR(AVERAGEIFS(
'20102013 STH Efficacy'!$N:$N, 
'20102013 STH Efficacy'!$B:$B, $A105, 
'20102013 STH Efficacy'!$C:$C, "Albendazole",
'20102013 STH Efficacy'!$I:$I,"&lt;2014",
'20102013 STH Efficacy'!$AH:$AH,""),
"")</f>
        <v/>
      </c>
      <c r="BC105" s="135">
        <f t="shared" si="25"/>
        <v>0.8699166667</v>
      </c>
      <c r="BD105" s="134" t="str">
        <f>IFERROR(AVERAGEIFS(
'20102013 STH Efficacy'!$N:$N, 
'20102013 STH Efficacy'!$B:$B, $A105, 
'20102013 STH Efficacy'!$C:$C, "Mebendazole",
'20102013 STH Efficacy'!$I:$I,"&lt;2014",
'20102013 STH Efficacy'!$AH:$AH,""),
"")</f>
        <v/>
      </c>
      <c r="BE105" s="135">
        <f t="shared" si="26"/>
        <v>0.7092416667</v>
      </c>
      <c r="BF105" s="128">
        <f>IFERROR(AVERAGEIFS(
'20102013 STH Efficacy'!$CD:$CD, 
'20102013 STH Efficacy'!$BS:$BS, $A105, 
'20102013 STH Efficacy'!$BT:$BT, "Albendazole",
'20102013 STH Efficacy'!$BZ:$BZ,"&lt;2014",
'20102013 STH Efficacy'!$CU:$CU,""),
"")</f>
        <v>0.758</v>
      </c>
      <c r="BG105" s="136">
        <f t="shared" si="27"/>
        <v>0.758</v>
      </c>
      <c r="BH105" s="128">
        <f>IFERROR(AVERAGEIFS(
'20102013 STH Efficacy'!$CD:$CD, 
'20102013 STH Efficacy'!$BS:$BS, $A105, 
'20102013 STH Efficacy'!$BT:$BT, "Mebendazole",
'20102013 STH Efficacy'!$BZ:$BZ,"&lt;2014",
'20102013 STH Efficacy'!$CU:$CU,""),
"")</f>
        <v>0.855</v>
      </c>
      <c r="BI105" s="136">
        <f t="shared" si="28"/>
        <v>0.855</v>
      </c>
      <c r="BJ105" s="128" t="str">
        <f>IFERROR(AVERAGEIFS(
'20102013 STH Efficacy'!$CD:$CD, 
'20102013 STH Efficacy'!$BS:$BS, $A105, 
'20102013 STH Efficacy'!$BT:$BT, "Albendazole &amp; Ivermectin",
'20102013 STH Efficacy'!$BZ:$BZ,"&lt;2014",
'20102013 STH Efficacy'!$CU:$CU,""),
"")</f>
        <v/>
      </c>
      <c r="BK105" s="136">
        <f t="shared" si="29"/>
        <v>1</v>
      </c>
      <c r="BL105" s="300" t="str">
        <f>IFERROR(
  AVERAGEIFS(
    'NEW 20102013 Onchocerciasis Eff'!$AO:$AO,
    'NEW 20102013 Onchocerciasis Eff'!$C:$C,$A105,
    'NEW 20102013 Onchocerciasis Eff'!$D:$D,"Ivermectin",
    'NEW 20102013 Onchocerciasis Eff'!$AR:$AR,"&lt;2014",
    'NEW 20102013 Onchocerciasis Eff'!$BG:$BG,"")
,"")</f>
        <v/>
      </c>
      <c r="BM105" s="304">
        <f t="shared" si="30"/>
        <v>0.8390421645</v>
      </c>
      <c r="BN105" s="305">
        <v>1.0</v>
      </c>
      <c r="BO105" s="139">
        <v>0.0</v>
      </c>
      <c r="BP105" s="140">
        <v>1.0</v>
      </c>
      <c r="BQ105" s="141">
        <f t="shared" si="31"/>
        <v>0</v>
      </c>
      <c r="BR105" s="104" t="str">
        <f t="shared" si="32"/>
        <v>1010</v>
      </c>
      <c r="BS105" s="104" t="str">
        <f t="shared" si="33"/>
        <v>MDA1/2+T2</v>
      </c>
      <c r="BT105" s="142" t="str">
        <f t="shared" si="34"/>
        <v>DEC +ALB</v>
      </c>
      <c r="BU105" s="104" t="str">
        <f t="shared" si="35"/>
        <v>PZQ</v>
      </c>
      <c r="BV105" s="104" t="str">
        <f t="shared" si="36"/>
        <v>lf+schist </v>
      </c>
      <c r="BW105" s="150" t="str">
        <f t="shared" si="37"/>
        <v/>
      </c>
      <c r="BX105" s="150" t="str">
        <f t="shared" si="38"/>
        <v/>
      </c>
      <c r="BY105" s="162">
        <f t="shared" si="39"/>
        <v>14405.8682</v>
      </c>
      <c r="BZ105" s="152" t="str">
        <f t="shared" si="40"/>
        <v/>
      </c>
      <c r="CA105" s="152" t="str">
        <f t="shared" si="41"/>
        <v/>
      </c>
      <c r="CB105" s="152" t="str">
        <f t="shared" si="42"/>
        <v/>
      </c>
      <c r="CC105" s="153" t="str">
        <f t="shared" si="43"/>
        <v/>
      </c>
      <c r="CD105" s="153" t="str">
        <f t="shared" si="44"/>
        <v/>
      </c>
      <c r="CE105" s="154" t="str">
        <f t="shared" si="45"/>
        <v/>
      </c>
      <c r="CF105" s="154" t="str">
        <f t="shared" si="46"/>
        <v/>
      </c>
      <c r="CG105" s="154" t="str">
        <f t="shared" si="47"/>
        <v/>
      </c>
      <c r="CH105" s="308" t="str">
        <f t="shared" si="48"/>
        <v/>
      </c>
      <c r="CI105" s="299"/>
    </row>
    <row r="106">
      <c r="A106" s="155" t="s">
        <v>195</v>
      </c>
      <c r="B106" s="104" t="s">
        <v>94</v>
      </c>
      <c r="C106" s="105">
        <v>108535.0</v>
      </c>
      <c r="D106" s="293">
        <v>0.0</v>
      </c>
      <c r="E106" s="294">
        <v>0.0</v>
      </c>
      <c r="F106" s="309">
        <v>0.068089742</v>
      </c>
      <c r="G106" s="309">
        <v>0.726066355</v>
      </c>
      <c r="H106" s="108">
        <v>0.794156097</v>
      </c>
      <c r="I106" s="109">
        <v>2.36222549</v>
      </c>
      <c r="J106" s="109">
        <v>6.52627518</v>
      </c>
      <c r="K106" s="109">
        <v>8.88850066</v>
      </c>
      <c r="L106" s="112">
        <v>0.632647693</v>
      </c>
      <c r="M106" s="112">
        <v>0.154191645</v>
      </c>
      <c r="N106" s="111">
        <v>0.786839337</v>
      </c>
      <c r="O106" s="298">
        <v>0.0</v>
      </c>
      <c r="P106" s="160">
        <v>9236.0</v>
      </c>
      <c r="Q106" s="160">
        <v>7745.0</v>
      </c>
      <c r="R106" s="121">
        <f t="shared" si="11"/>
        <v>0.838566479</v>
      </c>
      <c r="S106" s="116">
        <f t="shared" si="12"/>
        <v>0.838566479</v>
      </c>
      <c r="T106" s="130"/>
      <c r="U106" s="118">
        <f t="shared" si="13"/>
        <v>0.6259666667</v>
      </c>
      <c r="V106" s="119">
        <v>0.0967</v>
      </c>
      <c r="W106" s="120">
        <f t="shared" si="14"/>
        <v>0.0967</v>
      </c>
      <c r="X106" s="119">
        <v>0.129</v>
      </c>
      <c r="Y106" s="120">
        <f t="shared" si="15"/>
        <v>0.129</v>
      </c>
      <c r="Z106" s="299"/>
      <c r="AA106" s="299"/>
      <c r="AB106" s="300" t="str">
        <f t="shared" si="16"/>
        <v/>
      </c>
      <c r="AC106" s="301">
        <f t="shared" si="17"/>
        <v>0.6295826791</v>
      </c>
      <c r="AD106" s="122">
        <v>0.0</v>
      </c>
      <c r="AE106" s="123">
        <v>0.0</v>
      </c>
      <c r="AF106" s="123">
        <v>0.0</v>
      </c>
      <c r="AG106" s="124">
        <v>0.0303</v>
      </c>
      <c r="AH106" s="124">
        <v>0.054605822</v>
      </c>
      <c r="AI106" s="125">
        <v>0.0521</v>
      </c>
      <c r="AJ106" s="125">
        <v>0.078998867</v>
      </c>
      <c r="AK106" s="127">
        <v>0.0</v>
      </c>
      <c r="AL106" s="127">
        <v>0.0</v>
      </c>
      <c r="AM106" s="302">
        <v>0.0</v>
      </c>
      <c r="AN106" s="149" t="str">
        <f>IFERROR(
  AVERAGEIFS(
    'New 20102013 LF Efficacy'!$J:$J,
    'New 20102013 LF Efficacy'!$D:$D, $A106,
    'New 20102013 LF Efficacy'!$F:$F,"DEC", 
    'New 20102013 LF Efficacy'!$W:$W,"&lt;2014",
    'New 20102013 LF Efficacy'!$AA:$AA,""),
  ""
)</f>
        <v/>
      </c>
      <c r="AO106" s="115">
        <f t="shared" si="18"/>
        <v>0.38</v>
      </c>
      <c r="AP106" s="121" t="str">
        <f>IFERROR(
AVERAGEIFS(
'New 20102013 LF Efficacy'!$J:$J,
'New 20102013 LF Efficacy'!$D:$D,$A106,
'New 20102013 LF Efficacy'!$F:$F,"Albendazole &amp; DEC",
'New 20102013 LF Efficacy'!$W:$W,"&lt;2014",
'New 20102013 LF Efficacy'!$AA:$AA,""),
"")
</f>
        <v/>
      </c>
      <c r="AQ106" s="115">
        <f t="shared" si="19"/>
        <v>0.657</v>
      </c>
      <c r="AR106" s="121" t="str">
        <f>IFERROR(
AVERAGEIFS(
'New 20102013 LF Efficacy'!$J:$J,
'New 20102013 LF Efficacy'!$D:$D,$A106,
'New 20102013 LF Efficacy'!$F:$F,"Albendazole &amp; Ivermectin", 
'New 20102013 LF Efficacy'!$W:$W,"&lt;2014",
'New 20102013 LF Efficacy'!$AA:$AA,""),"")</f>
        <v/>
      </c>
      <c r="AS106" s="115">
        <f t="shared" si="20"/>
        <v>0.37153125</v>
      </c>
      <c r="AT106" s="130" t="str">
        <f>IFERROR(AVERAGEIFS(
'20102013 Schist Efficacy'!$O:$O, 
'20102013 Schist Efficacy'!$C:$C,$A106, 
'20102013 Schist Efficacy'!$D:$D, "Praziquantel",
'20102013 Schist Efficacy'!$J:$J,"&lt;2014",
'20102013 Schist Efficacy'!$U:$U,""),
"")</f>
        <v/>
      </c>
      <c r="AU106" s="118">
        <f t="shared" si="21"/>
        <v>0.9475</v>
      </c>
      <c r="AV106" s="131" t="str">
        <f>IFERROR(AVERAGEIFS(
'20102013 STH Efficacy'!$AX:$AX, 
'20102013 STH Efficacy'!$AL:$AL, $A106, 
'20102013 STH Efficacy'!$AM:$AM, "Albendazole",
'20102013 STH Efficacy'!$AS:$AS,"&lt;2014",
'20102013 STH Efficacy'!$BP:$BP,""),
"")</f>
        <v/>
      </c>
      <c r="AW106" s="132">
        <f t="shared" si="22"/>
        <v>0.3571666667</v>
      </c>
      <c r="AX106" s="131" t="str">
        <f>IFERROR(AVERAGEIFS(
'20102013 STH Efficacy'!$AX:$AX, 
'20102013 STH Efficacy'!$AL:$AL, $A106, 
'20102013 STH Efficacy'!$AM:$AM, "Mebendazole",
'20102013 STH Efficacy'!$AS:$AS,"&lt;2014",
'20102013 STH Efficacy'!$BP:$BP,""),
"")</f>
        <v/>
      </c>
      <c r="AY106" s="132">
        <f t="shared" si="23"/>
        <v>0.4155</v>
      </c>
      <c r="AZ106" s="131" t="str">
        <f>IFERROR(AVERAGEIFS(
'20102013 STH Efficacy'!$AX:$AX, 
'20102013 STH Efficacy'!$AL:$AL, $A106, 
'20102013 STH Efficacy'!$AM:$AM, "Albendazole &amp; Ivermectin",
'20102013 STH Efficacy'!$AS:$AS,"&lt;2014",
'20102013 STH Efficacy'!$BP:$BP,""),
"")</f>
        <v/>
      </c>
      <c r="BA106" s="303">
        <f t="shared" si="24"/>
        <v>0.651</v>
      </c>
      <c r="BB106" s="134" t="str">
        <f>IFERROR(AVERAGEIFS(
'20102013 STH Efficacy'!$N:$N, 
'20102013 STH Efficacy'!$B:$B, $A106, 
'20102013 STH Efficacy'!$C:$C, "Albendazole",
'20102013 STH Efficacy'!$I:$I,"&lt;2014",
'20102013 STH Efficacy'!$AH:$AH,""),
"")</f>
        <v/>
      </c>
      <c r="BC106" s="135">
        <f t="shared" si="25"/>
        <v>0.5769166667</v>
      </c>
      <c r="BD106" s="134" t="str">
        <f>IFERROR(AVERAGEIFS(
'20102013 STH Efficacy'!$N:$N, 
'20102013 STH Efficacy'!$B:$B, $A106, 
'20102013 STH Efficacy'!$C:$C, "Mebendazole",
'20102013 STH Efficacy'!$I:$I,"&lt;2014",
'20102013 STH Efficacy'!$AH:$AH,""),
"")</f>
        <v/>
      </c>
      <c r="BE106" s="135">
        <f t="shared" si="26"/>
        <v>0.3145</v>
      </c>
      <c r="BF106" s="128" t="str">
        <f>IFERROR(AVERAGEIFS(
'20102013 STH Efficacy'!$CD:$CD, 
'20102013 STH Efficacy'!$BS:$BS, $A106, 
'20102013 STH Efficacy'!$BT:$BT, "Albendazole",
'20102013 STH Efficacy'!$BZ:$BZ,"&lt;2014",
'20102013 STH Efficacy'!$CU:$CU,""),
"")</f>
        <v/>
      </c>
      <c r="BG106" s="136">
        <f t="shared" si="27"/>
        <v>0.96925</v>
      </c>
      <c r="BH106" s="128" t="str">
        <f>IFERROR(AVERAGEIFS(
'20102013 STH Efficacy'!$CD:$CD, 
'20102013 STH Efficacy'!$BS:$BS, $A106, 
'20102013 STH Efficacy'!$BT:$BT, "Mebendazole",
'20102013 STH Efficacy'!$BZ:$BZ,"&lt;2014",
'20102013 STH Efficacy'!$CU:$CU,""),
"")</f>
        <v/>
      </c>
      <c r="BI106" s="136">
        <f t="shared" si="28"/>
        <v>0.9305</v>
      </c>
      <c r="BJ106" s="128" t="str">
        <f>IFERROR(AVERAGEIFS(
'20102013 STH Efficacy'!$CD:$CD, 
'20102013 STH Efficacy'!$BS:$BS, $A106, 
'20102013 STH Efficacy'!$BT:$BT, "Albendazole &amp; Ivermectin",
'20102013 STH Efficacy'!$BZ:$BZ,"&lt;2014",
'20102013 STH Efficacy'!$CU:$CU,""),
"")</f>
        <v/>
      </c>
      <c r="BK106" s="136">
        <f t="shared" si="29"/>
        <v>1</v>
      </c>
      <c r="BL106" s="300" t="str">
        <f>IFERROR(
  AVERAGEIFS(
    'NEW 20102013 Onchocerciasis Eff'!$AO:$AO,
    'NEW 20102013 Onchocerciasis Eff'!$C:$C,$A106,
    'NEW 20102013 Onchocerciasis Eff'!$D:$D,"Ivermectin",
    'NEW 20102013 Onchocerciasis Eff'!$AR:$AR,"&lt;2014",
    'NEW 20102013 Onchocerciasis Eff'!$BG:$BG,"")
,"")</f>
        <v/>
      </c>
      <c r="BM106" s="304">
        <f t="shared" si="30"/>
        <v>0.7808368939</v>
      </c>
      <c r="BN106" s="305">
        <v>1.0</v>
      </c>
      <c r="BO106" s="139">
        <v>0.0</v>
      </c>
      <c r="BP106" s="140">
        <v>0.0</v>
      </c>
      <c r="BQ106" s="141">
        <f t="shared" si="31"/>
        <v>0</v>
      </c>
      <c r="BR106" s="104" t="str">
        <f t="shared" si="32"/>
        <v>1000</v>
      </c>
      <c r="BS106" s="104" t="str">
        <f t="shared" si="33"/>
        <v>MDA1/2</v>
      </c>
      <c r="BT106" s="142" t="str">
        <f t="shared" si="34"/>
        <v>DEC+ALB</v>
      </c>
      <c r="BU106" s="104" t="str">
        <f t="shared" si="35"/>
        <v/>
      </c>
      <c r="BV106" s="104" t="str">
        <f t="shared" si="36"/>
        <v>lf only</v>
      </c>
      <c r="BW106" s="312">
        <f t="shared" si="37"/>
        <v>0</v>
      </c>
      <c r="BX106" s="150" t="str">
        <f t="shared" si="38"/>
        <v/>
      </c>
      <c r="BY106" s="151" t="str">
        <f t="shared" si="39"/>
        <v/>
      </c>
      <c r="BZ106" s="152" t="str">
        <f t="shared" si="40"/>
        <v/>
      </c>
      <c r="CA106" s="152" t="str">
        <f t="shared" si="41"/>
        <v/>
      </c>
      <c r="CB106" s="152" t="str">
        <f t="shared" si="42"/>
        <v/>
      </c>
      <c r="CC106" s="153" t="str">
        <f t="shared" si="43"/>
        <v/>
      </c>
      <c r="CD106" s="153" t="str">
        <f t="shared" si="44"/>
        <v/>
      </c>
      <c r="CE106" s="154" t="str">
        <f t="shared" si="45"/>
        <v/>
      </c>
      <c r="CF106" s="154" t="str">
        <f t="shared" si="46"/>
        <v/>
      </c>
      <c r="CG106" s="154" t="str">
        <f t="shared" si="47"/>
        <v/>
      </c>
      <c r="CH106" s="308" t="str">
        <f t="shared" si="48"/>
        <v/>
      </c>
      <c r="CI106" s="299"/>
    </row>
    <row r="107">
      <c r="A107" s="155" t="s">
        <v>196</v>
      </c>
      <c r="B107" s="104" t="s">
        <v>88</v>
      </c>
      <c r="C107" s="105">
        <v>3598385.0</v>
      </c>
      <c r="D107" s="293">
        <v>0.0</v>
      </c>
      <c r="E107" s="294">
        <v>0.0</v>
      </c>
      <c r="F107" s="309">
        <v>0.0</v>
      </c>
      <c r="G107" s="309">
        <v>0.0</v>
      </c>
      <c r="H107" s="108">
        <v>0.0</v>
      </c>
      <c r="I107" s="109">
        <v>0.0</v>
      </c>
      <c r="J107" s="109">
        <v>0.0</v>
      </c>
      <c r="K107" s="109">
        <v>0.0</v>
      </c>
      <c r="L107" s="112">
        <v>0.0</v>
      </c>
      <c r="M107" s="112">
        <v>0.0</v>
      </c>
      <c r="N107" s="111">
        <v>0.0</v>
      </c>
      <c r="O107" s="298">
        <v>0.0</v>
      </c>
      <c r="P107" s="114"/>
      <c r="Q107" s="114"/>
      <c r="R107" s="121" t="str">
        <f t="shared" si="11"/>
        <v/>
      </c>
      <c r="S107" s="116">
        <f t="shared" si="12"/>
        <v>0.4713987966</v>
      </c>
      <c r="T107" s="130"/>
      <c r="U107" s="118">
        <f t="shared" si="13"/>
        <v>0.5949</v>
      </c>
      <c r="V107" s="148"/>
      <c r="W107" s="120">
        <f t="shared" si="14"/>
        <v>0.9216</v>
      </c>
      <c r="X107" s="148"/>
      <c r="Y107" s="120">
        <f t="shared" si="15"/>
        <v>0.521</v>
      </c>
      <c r="Z107" s="299"/>
      <c r="AA107" s="299"/>
      <c r="AB107" s="300" t="str">
        <f t="shared" si="16"/>
        <v/>
      </c>
      <c r="AC107" s="301">
        <f t="shared" si="17"/>
        <v>0.3122297241</v>
      </c>
      <c r="AD107" s="122">
        <v>0.0</v>
      </c>
      <c r="AE107" s="123">
        <v>0.0</v>
      </c>
      <c r="AF107" s="123">
        <v>0.0</v>
      </c>
      <c r="AG107" s="124">
        <v>0.0</v>
      </c>
      <c r="AH107" s="124">
        <v>0.0</v>
      </c>
      <c r="AI107" s="125">
        <v>0.0</v>
      </c>
      <c r="AJ107" s="125">
        <v>0.0</v>
      </c>
      <c r="AK107" s="127">
        <v>0.0</v>
      </c>
      <c r="AL107" s="127">
        <v>0.0</v>
      </c>
      <c r="AM107" s="302">
        <v>0.0</v>
      </c>
      <c r="AN107" s="149" t="str">
        <f>IFERROR(
  AVERAGEIFS(
    'New 20102013 LF Efficacy'!$J:$J,
    'New 20102013 LF Efficacy'!$D:$D, $A107,
    'New 20102013 LF Efficacy'!$F:$F,"DEC", 
    'New 20102013 LF Efficacy'!$W:$W,"&lt;2014",
    'New 20102013 LF Efficacy'!$AA:$AA,""),
  ""
)</f>
        <v/>
      </c>
      <c r="AO107" s="115">
        <f t="shared" si="18"/>
        <v>0.3573520833</v>
      </c>
      <c r="AP107" s="121" t="str">
        <f>IFERROR(
AVERAGEIFS(
'New 20102013 LF Efficacy'!$J:$J,
'New 20102013 LF Efficacy'!$D:$D,$A107,
'New 20102013 LF Efficacy'!$F:$F,"Albendazole &amp; DEC",
'New 20102013 LF Efficacy'!$W:$W,"&lt;2014",
'New 20102013 LF Efficacy'!$AA:$AA,""),
"")
</f>
        <v/>
      </c>
      <c r="AQ107" s="115">
        <f t="shared" si="19"/>
        <v>0.7935</v>
      </c>
      <c r="AR107" s="121" t="str">
        <f>IFERROR(
AVERAGEIFS(
'New 20102013 LF Efficacy'!$J:$J,
'New 20102013 LF Efficacy'!$D:$D,$A107,
'New 20102013 LF Efficacy'!$F:$F,"Albendazole &amp; Ivermectin", 
'New 20102013 LF Efficacy'!$W:$W,"&lt;2014",
'New 20102013 LF Efficacy'!$AA:$AA,""),"")</f>
        <v/>
      </c>
      <c r="AS107" s="115">
        <f t="shared" si="20"/>
        <v>0.37153125</v>
      </c>
      <c r="AT107" s="130" t="str">
        <f>IFERROR(AVERAGEIFS(
'20102013 Schist Efficacy'!$O:$O, 
'20102013 Schist Efficacy'!$C:$C,$A107, 
'20102013 Schist Efficacy'!$D:$D, "Praziquantel",
'20102013 Schist Efficacy'!$J:$J,"&lt;2014",
'20102013 Schist Efficacy'!$U:$U,""),
"")</f>
        <v/>
      </c>
      <c r="AU107" s="118">
        <f t="shared" si="21"/>
        <v>0.7763141026</v>
      </c>
      <c r="AV107" s="131" t="str">
        <f>IFERROR(AVERAGEIFS(
'20102013 STH Efficacy'!$AX:$AX, 
'20102013 STH Efficacy'!$AL:$AL, $A107, 
'20102013 STH Efficacy'!$AM:$AM, "Albendazole",
'20102013 STH Efficacy'!$AS:$AS,"&lt;2014",
'20102013 STH Efficacy'!$BP:$BP,""),
"")</f>
        <v/>
      </c>
      <c r="AW107" s="132">
        <f t="shared" si="22"/>
        <v>0.3933333333</v>
      </c>
      <c r="AX107" s="131" t="str">
        <f>IFERROR(AVERAGEIFS(
'20102013 STH Efficacy'!$AX:$AX, 
'20102013 STH Efficacy'!$AL:$AL, $A107, 
'20102013 STH Efficacy'!$AM:$AM, "Mebendazole",
'20102013 STH Efficacy'!$AS:$AS,"&lt;2014",
'20102013 STH Efficacy'!$BP:$BP,""),
"")</f>
        <v/>
      </c>
      <c r="AY107" s="132">
        <f t="shared" si="23"/>
        <v>0.5017738095</v>
      </c>
      <c r="AZ107" s="131" t="str">
        <f>IFERROR(AVERAGEIFS(
'20102013 STH Efficacy'!$AX:$AX, 
'20102013 STH Efficacy'!$AL:$AL, $A107, 
'20102013 STH Efficacy'!$AM:$AM, "Albendazole &amp; Ivermectin",
'20102013 STH Efficacy'!$AS:$AS,"&lt;2014",
'20102013 STH Efficacy'!$BP:$BP,""),
"")</f>
        <v/>
      </c>
      <c r="BA107" s="303">
        <f t="shared" si="24"/>
        <v>0.597625</v>
      </c>
      <c r="BB107" s="134" t="str">
        <f>IFERROR(AVERAGEIFS(
'20102013 STH Efficacy'!$N:$N, 
'20102013 STH Efficacy'!$B:$B, $A107, 
'20102013 STH Efficacy'!$C:$C, "Albendazole",
'20102013 STH Efficacy'!$I:$I,"&lt;2014",
'20102013 STH Efficacy'!$AH:$AH,""),
"")</f>
        <v/>
      </c>
      <c r="BC107" s="135">
        <f t="shared" si="25"/>
        <v>0.7613712121</v>
      </c>
      <c r="BD107" s="134" t="str">
        <f>IFERROR(AVERAGEIFS(
'20102013 STH Efficacy'!$N:$N, 
'20102013 STH Efficacy'!$B:$B, $A107, 
'20102013 STH Efficacy'!$C:$C, "Mebendazole",
'20102013 STH Efficacy'!$I:$I,"&lt;2014",
'20102013 STH Efficacy'!$AH:$AH,""),
"")</f>
        <v/>
      </c>
      <c r="BE107" s="135">
        <f t="shared" si="26"/>
        <v>0.4362466667</v>
      </c>
      <c r="BF107" s="128" t="str">
        <f>IFERROR(AVERAGEIFS(
'20102013 STH Efficacy'!$CD:$CD, 
'20102013 STH Efficacy'!$BS:$BS, $A107, 
'20102013 STH Efficacy'!$BT:$BT, "Albendazole",
'20102013 STH Efficacy'!$BZ:$BZ,"&lt;2014",
'20102013 STH Efficacy'!$CU:$CU,""),
"")</f>
        <v/>
      </c>
      <c r="BG107" s="136">
        <f t="shared" si="27"/>
        <v>0.955</v>
      </c>
      <c r="BH107" s="128" t="str">
        <f>IFERROR(AVERAGEIFS(
'20102013 STH Efficacy'!$CD:$CD, 
'20102013 STH Efficacy'!$BS:$BS, $A107, 
'20102013 STH Efficacy'!$BT:$BT, "Mebendazole",
'20102013 STH Efficacy'!$BZ:$BZ,"&lt;2014",
'20102013 STH Efficacy'!$CU:$CU,""),
"")</f>
        <v/>
      </c>
      <c r="BI107" s="136">
        <f t="shared" si="28"/>
        <v>1</v>
      </c>
      <c r="BJ107" s="128" t="str">
        <f>IFERROR(AVERAGEIFS(
'20102013 STH Efficacy'!$CD:$CD, 
'20102013 STH Efficacy'!$BS:$BS, $A107, 
'20102013 STH Efficacy'!$BT:$BT, "Albendazole &amp; Ivermectin",
'20102013 STH Efficacy'!$BZ:$BZ,"&lt;2014",
'20102013 STH Efficacy'!$CU:$CU,""),
"")</f>
        <v/>
      </c>
      <c r="BK107" s="136">
        <f t="shared" si="29"/>
        <v>1</v>
      </c>
      <c r="BL107" s="300" t="str">
        <f>IFERROR(
  AVERAGEIFS(
    'NEW 20102013 Onchocerciasis Eff'!$AO:$AO,
    'NEW 20102013 Onchocerciasis Eff'!$C:$C,$A107,
    'NEW 20102013 Onchocerciasis Eff'!$D:$D,"Ivermectin",
    'NEW 20102013 Onchocerciasis Eff'!$AR:$AR,"&lt;2014",
    'NEW 20102013 Onchocerciasis Eff'!$BG:$BG,"")
,"")</f>
        <v/>
      </c>
      <c r="BM107" s="304">
        <f t="shared" si="30"/>
        <v>0.7808368939</v>
      </c>
      <c r="BN107" s="305">
        <v>0.0</v>
      </c>
      <c r="BO107" s="139">
        <v>0.0</v>
      </c>
      <c r="BP107" s="140">
        <v>0.0</v>
      </c>
      <c r="BQ107" s="141">
        <f t="shared" si="31"/>
        <v>0</v>
      </c>
      <c r="BR107" s="104" t="str">
        <f t="shared" si="32"/>
        <v>0000</v>
      </c>
      <c r="BS107" s="104" t="str">
        <f t="shared" si="33"/>
        <v>no action required</v>
      </c>
      <c r="BT107" s="142" t="str">
        <f t="shared" si="34"/>
        <v/>
      </c>
      <c r="BU107" s="104" t="str">
        <f t="shared" si="35"/>
        <v/>
      </c>
      <c r="BV107" s="104" t="str">
        <f t="shared" si="36"/>
        <v>none</v>
      </c>
      <c r="BW107" s="150" t="str">
        <f t="shared" si="37"/>
        <v/>
      </c>
      <c r="BX107" s="150" t="str">
        <f t="shared" si="38"/>
        <v/>
      </c>
      <c r="BY107" s="151" t="str">
        <f t="shared" si="39"/>
        <v/>
      </c>
      <c r="BZ107" s="152" t="str">
        <f t="shared" si="40"/>
        <v/>
      </c>
      <c r="CA107" s="152" t="str">
        <f t="shared" si="41"/>
        <v/>
      </c>
      <c r="CB107" s="152" t="str">
        <f t="shared" si="42"/>
        <v/>
      </c>
      <c r="CC107" s="153" t="str">
        <f t="shared" si="43"/>
        <v/>
      </c>
      <c r="CD107" s="153" t="str">
        <f t="shared" si="44"/>
        <v/>
      </c>
      <c r="CE107" s="154" t="str">
        <f t="shared" si="45"/>
        <v/>
      </c>
      <c r="CF107" s="154" t="str">
        <f t="shared" si="46"/>
        <v/>
      </c>
      <c r="CG107" s="154" t="str">
        <f t="shared" si="47"/>
        <v/>
      </c>
      <c r="CH107" s="308" t="str">
        <f t="shared" si="48"/>
        <v/>
      </c>
      <c r="CI107" s="299"/>
    </row>
    <row r="108">
      <c r="A108" s="155" t="s">
        <v>197</v>
      </c>
      <c r="B108" s="104" t="s">
        <v>90</v>
      </c>
      <c r="C108" s="105">
        <v>5719600.0</v>
      </c>
      <c r="D108" s="293">
        <v>0.0</v>
      </c>
      <c r="E108" s="294">
        <v>0.0</v>
      </c>
      <c r="F108" s="307">
        <v>0.0</v>
      </c>
      <c r="G108" s="307">
        <v>0.0</v>
      </c>
      <c r="H108" s="108">
        <v>0.0</v>
      </c>
      <c r="I108" s="109">
        <v>0.03709988</v>
      </c>
      <c r="J108" s="109">
        <v>0.03546929</v>
      </c>
      <c r="K108" s="109">
        <v>0.072569168</v>
      </c>
      <c r="L108" s="112">
        <v>214.0924568</v>
      </c>
      <c r="M108" s="112">
        <v>455.7292248</v>
      </c>
      <c r="N108" s="111">
        <v>669.8216816</v>
      </c>
      <c r="O108" s="298">
        <v>0.0</v>
      </c>
      <c r="P108" s="114"/>
      <c r="Q108" s="114"/>
      <c r="R108" s="121" t="str">
        <f t="shared" si="11"/>
        <v/>
      </c>
      <c r="S108" s="116">
        <f t="shared" si="12"/>
        <v>0.526225767</v>
      </c>
      <c r="T108" s="118">
        <v>1.0</v>
      </c>
      <c r="U108" s="118">
        <f t="shared" si="13"/>
        <v>1</v>
      </c>
      <c r="V108" s="148"/>
      <c r="W108" s="120">
        <f t="shared" si="14"/>
        <v>1</v>
      </c>
      <c r="X108" s="148"/>
      <c r="Y108" s="120">
        <f t="shared" si="15"/>
        <v>1</v>
      </c>
      <c r="Z108" s="299"/>
      <c r="AA108" s="299"/>
      <c r="AB108" s="300" t="str">
        <f t="shared" si="16"/>
        <v/>
      </c>
      <c r="AC108" s="301">
        <f t="shared" si="17"/>
        <v>0.6295826791</v>
      </c>
      <c r="AD108" s="122">
        <v>0.0</v>
      </c>
      <c r="AE108" s="123">
        <v>0.0</v>
      </c>
      <c r="AF108" s="123">
        <v>0.0</v>
      </c>
      <c r="AG108" s="124">
        <v>0.0</v>
      </c>
      <c r="AH108" s="124">
        <v>1.18726E-5</v>
      </c>
      <c r="AI108" s="125">
        <v>0.0</v>
      </c>
      <c r="AJ108" s="125">
        <v>1.15432E-5</v>
      </c>
      <c r="AK108" s="127">
        <v>0.207</v>
      </c>
      <c r="AL108" s="127">
        <v>0.308</v>
      </c>
      <c r="AM108" s="302">
        <v>0.0</v>
      </c>
      <c r="AN108" s="149" t="str">
        <f>IFERROR(
  AVERAGEIFS(
    'New 20102013 LF Efficacy'!$J:$J,
    'New 20102013 LF Efficacy'!$D:$D, $A108,
    'New 20102013 LF Efficacy'!$F:$F,"DEC", 
    'New 20102013 LF Efficacy'!$W:$W,"&lt;2014",
    'New 20102013 LF Efficacy'!$AA:$AA,""),
  ""
)</f>
        <v/>
      </c>
      <c r="AO108" s="115">
        <f t="shared" si="18"/>
        <v>0.3573520833</v>
      </c>
      <c r="AP108" s="121" t="str">
        <f>IFERROR(
AVERAGEIFS(
'New 20102013 LF Efficacy'!$J:$J,
'New 20102013 LF Efficacy'!$D:$D,$A108,
'New 20102013 LF Efficacy'!$F:$F,"Albendazole &amp; DEC",
'New 20102013 LF Efficacy'!$W:$W,"&lt;2014",
'New 20102013 LF Efficacy'!$AA:$AA,""),
"")
</f>
        <v/>
      </c>
      <c r="AQ108" s="115">
        <f t="shared" si="19"/>
        <v>0.5137291667</v>
      </c>
      <c r="AR108" s="121" t="str">
        <f>IFERROR(
AVERAGEIFS(
'New 20102013 LF Efficacy'!$J:$J,
'New 20102013 LF Efficacy'!$D:$D,$A108,
'New 20102013 LF Efficacy'!$F:$F,"Albendazole &amp; Ivermectin", 
'New 20102013 LF Efficacy'!$W:$W,"&lt;2014",
'New 20102013 LF Efficacy'!$AA:$AA,""),"")</f>
        <v/>
      </c>
      <c r="AS108" s="115">
        <f t="shared" si="20"/>
        <v>0.37153125</v>
      </c>
      <c r="AT108" s="130" t="str">
        <f>IFERROR(AVERAGEIFS(
'20102013 Schist Efficacy'!$O:$O, 
'20102013 Schist Efficacy'!$C:$C,$A108, 
'20102013 Schist Efficacy'!$D:$D, "Praziquantel",
'20102013 Schist Efficacy'!$J:$J,"&lt;2014",
'20102013 Schist Efficacy'!$U:$U,""),
"")</f>
        <v/>
      </c>
      <c r="AU108" s="118">
        <f t="shared" si="21"/>
        <v>0.655</v>
      </c>
      <c r="AV108" s="131" t="str">
        <f>IFERROR(AVERAGEIFS(
'20102013 STH Efficacy'!$AX:$AX, 
'20102013 STH Efficacy'!$AL:$AL, $A108, 
'20102013 STH Efficacy'!$AM:$AM, "Albendazole",
'20102013 STH Efficacy'!$AS:$AS,"&lt;2014",
'20102013 STH Efficacy'!$BP:$BP,""),
"")</f>
        <v/>
      </c>
      <c r="AW108" s="132">
        <f t="shared" si="22"/>
        <v>0.3933333333</v>
      </c>
      <c r="AX108" s="131" t="str">
        <f>IFERROR(AVERAGEIFS(
'20102013 STH Efficacy'!$AX:$AX, 
'20102013 STH Efficacy'!$AL:$AL, $A108, 
'20102013 STH Efficacy'!$AM:$AM, "Mebendazole",
'20102013 STH Efficacy'!$AS:$AS,"&lt;2014",
'20102013 STH Efficacy'!$BP:$BP,""),
"")</f>
        <v/>
      </c>
      <c r="AY108" s="132">
        <f t="shared" si="23"/>
        <v>0.5017738095</v>
      </c>
      <c r="AZ108" s="131" t="str">
        <f>IFERROR(AVERAGEIFS(
'20102013 STH Efficacy'!$AX:$AX, 
'20102013 STH Efficacy'!$AL:$AL, $A108, 
'20102013 STH Efficacy'!$AM:$AM, "Albendazole &amp; Ivermectin",
'20102013 STH Efficacy'!$AS:$AS,"&lt;2014",
'20102013 STH Efficacy'!$BP:$BP,""),
"")</f>
        <v/>
      </c>
      <c r="BA108" s="303">
        <f t="shared" si="24"/>
        <v>0.597625</v>
      </c>
      <c r="BB108" s="134" t="str">
        <f>IFERROR(AVERAGEIFS(
'20102013 STH Efficacy'!$N:$N, 
'20102013 STH Efficacy'!$B:$B, $A108, 
'20102013 STH Efficacy'!$C:$C, "Albendazole",
'20102013 STH Efficacy'!$I:$I,"&lt;2014",
'20102013 STH Efficacy'!$AH:$AH,""),
"")</f>
        <v/>
      </c>
      <c r="BC108" s="135">
        <f t="shared" si="25"/>
        <v>0.7613712121</v>
      </c>
      <c r="BD108" s="134" t="str">
        <f>IFERROR(AVERAGEIFS(
'20102013 STH Efficacy'!$N:$N, 
'20102013 STH Efficacy'!$B:$B, $A108, 
'20102013 STH Efficacy'!$C:$C, "Mebendazole",
'20102013 STH Efficacy'!$I:$I,"&lt;2014",
'20102013 STH Efficacy'!$AH:$AH,""),
"")</f>
        <v/>
      </c>
      <c r="BE108" s="135">
        <f t="shared" si="26"/>
        <v>0.4362466667</v>
      </c>
      <c r="BF108" s="128" t="str">
        <f>IFERROR(AVERAGEIFS(
'20102013 STH Efficacy'!$CD:$CD, 
'20102013 STH Efficacy'!$BS:$BS, $A108, 
'20102013 STH Efficacy'!$BT:$BT, "Albendazole",
'20102013 STH Efficacy'!$BZ:$BZ,"&lt;2014",
'20102013 STH Efficacy'!$CU:$CU,""),
"")</f>
        <v/>
      </c>
      <c r="BG108" s="136">
        <f t="shared" si="27"/>
        <v>0.9216027778</v>
      </c>
      <c r="BH108" s="128" t="str">
        <f>IFERROR(AVERAGEIFS(
'20102013 STH Efficacy'!$CD:$CD, 
'20102013 STH Efficacy'!$BS:$BS, $A108, 
'20102013 STH Efficacy'!$BT:$BT, "Mebendazole",
'20102013 STH Efficacy'!$BZ:$BZ,"&lt;2014",
'20102013 STH Efficacy'!$CU:$CU,""),
"")</f>
        <v/>
      </c>
      <c r="BI108" s="136">
        <f t="shared" si="28"/>
        <v>0.9295857143</v>
      </c>
      <c r="BJ108" s="128" t="str">
        <f>IFERROR(AVERAGEIFS(
'20102013 STH Efficacy'!$CD:$CD, 
'20102013 STH Efficacy'!$BS:$BS, $A108, 
'20102013 STH Efficacy'!$BT:$BT, "Albendazole &amp; Ivermectin",
'20102013 STH Efficacy'!$BZ:$BZ,"&lt;2014",
'20102013 STH Efficacy'!$CU:$CU,""),
"")</f>
        <v/>
      </c>
      <c r="BK108" s="136">
        <f t="shared" si="29"/>
        <v>1</v>
      </c>
      <c r="BL108" s="300" t="str">
        <f>IFERROR(
  AVERAGEIFS(
    'NEW 20102013 Onchocerciasis Eff'!$AO:$AO,
    'NEW 20102013 Onchocerciasis Eff'!$C:$C,$A108,
    'NEW 20102013 Onchocerciasis Eff'!$D:$D,"Ivermectin",
    'NEW 20102013 Onchocerciasis Eff'!$AR:$AR,"&lt;2014",
    'NEW 20102013 Onchocerciasis Eff'!$BG:$BG,"")
,"")</f>
        <v/>
      </c>
      <c r="BM108" s="304">
        <f t="shared" si="30"/>
        <v>0.7808368939</v>
      </c>
      <c r="BN108" s="305">
        <v>0.0</v>
      </c>
      <c r="BO108" s="139">
        <v>1.0</v>
      </c>
      <c r="BP108" s="140">
        <v>0.0</v>
      </c>
      <c r="BQ108" s="141">
        <f t="shared" si="31"/>
        <v>0</v>
      </c>
      <c r="BR108" s="104" t="str">
        <f t="shared" si="32"/>
        <v>0100</v>
      </c>
      <c r="BS108" s="104" t="str">
        <f t="shared" si="33"/>
        <v>MDA3</v>
      </c>
      <c r="BT108" s="142" t="str">
        <f t="shared" si="34"/>
        <v>IVM</v>
      </c>
      <c r="BU108" s="104" t="str">
        <f t="shared" si="35"/>
        <v/>
      </c>
      <c r="BV108" s="104" t="str">
        <f t="shared" si="36"/>
        <v>onch only</v>
      </c>
      <c r="BW108" s="150" t="str">
        <f t="shared" si="37"/>
        <v/>
      </c>
      <c r="BX108" s="150" t="str">
        <f t="shared" si="38"/>
        <v/>
      </c>
      <c r="BY108" s="151" t="str">
        <f t="shared" si="39"/>
        <v/>
      </c>
      <c r="BZ108" s="152" t="str">
        <f t="shared" si="40"/>
        <v/>
      </c>
      <c r="CA108" s="152" t="str">
        <f t="shared" si="41"/>
        <v/>
      </c>
      <c r="CB108" s="152" t="str">
        <f t="shared" si="42"/>
        <v/>
      </c>
      <c r="CC108" s="153" t="str">
        <f t="shared" si="43"/>
        <v/>
      </c>
      <c r="CD108" s="153" t="str">
        <f t="shared" si="44"/>
        <v/>
      </c>
      <c r="CE108" s="154" t="str">
        <f t="shared" si="45"/>
        <v/>
      </c>
      <c r="CF108" s="154" t="str">
        <f t="shared" si="46"/>
        <v/>
      </c>
      <c r="CG108" s="154" t="str">
        <f t="shared" si="47"/>
        <v/>
      </c>
      <c r="CH108" s="313">
        <f t="shared" si="48"/>
        <v>0</v>
      </c>
      <c r="CI108" s="299"/>
    </row>
    <row r="109">
      <c r="A109" s="155" t="s">
        <v>198</v>
      </c>
      <c r="B109" s="104" t="s">
        <v>94</v>
      </c>
      <c r="C109" s="105">
        <v>6494557.0</v>
      </c>
      <c r="D109" s="293">
        <v>228.14000000000001</v>
      </c>
      <c r="E109" s="294">
        <v>1464.684107</v>
      </c>
      <c r="F109" s="307">
        <v>237.6315551</v>
      </c>
      <c r="G109" s="307">
        <v>172.0697898</v>
      </c>
      <c r="H109" s="108">
        <v>409.7013449</v>
      </c>
      <c r="I109" s="109">
        <v>0.0</v>
      </c>
      <c r="J109" s="109">
        <v>0.0</v>
      </c>
      <c r="K109" s="109">
        <v>683.428275</v>
      </c>
      <c r="L109" s="112">
        <v>3544.857002</v>
      </c>
      <c r="M109" s="112">
        <v>850.9465514</v>
      </c>
      <c r="N109" s="111">
        <v>4395.803553</v>
      </c>
      <c r="O109" s="298">
        <v>0.0</v>
      </c>
      <c r="P109" s="160">
        <v>136798.0</v>
      </c>
      <c r="Q109" s="160">
        <v>93482.0</v>
      </c>
      <c r="R109" s="121">
        <f t="shared" si="11"/>
        <v>0.6833579438</v>
      </c>
      <c r="S109" s="116">
        <f t="shared" si="12"/>
        <v>0.6833579438</v>
      </c>
      <c r="T109" s="130"/>
      <c r="U109" s="118">
        <f t="shared" si="13"/>
        <v>0.6259666667</v>
      </c>
      <c r="V109" s="119">
        <v>0.0147</v>
      </c>
      <c r="W109" s="120">
        <f t="shared" si="14"/>
        <v>0.0147</v>
      </c>
      <c r="X109" s="119">
        <v>0.0145</v>
      </c>
      <c r="Y109" s="120">
        <f t="shared" si="15"/>
        <v>0.0145</v>
      </c>
      <c r="Z109" s="299"/>
      <c r="AA109" s="299"/>
      <c r="AB109" s="300" t="str">
        <f t="shared" si="16"/>
        <v/>
      </c>
      <c r="AC109" s="301">
        <f t="shared" si="17"/>
        <v>0.6295826791</v>
      </c>
      <c r="AD109" s="122">
        <v>7.0E-4</v>
      </c>
      <c r="AE109" s="123">
        <v>0.02</v>
      </c>
      <c r="AF109" s="123">
        <v>0.0036</v>
      </c>
      <c r="AG109" s="316">
        <v>0.0</v>
      </c>
      <c r="AH109" s="124">
        <v>0.129290353</v>
      </c>
      <c r="AI109" s="317">
        <v>0.0</v>
      </c>
      <c r="AJ109" s="317">
        <v>0.076190293</v>
      </c>
      <c r="AK109" s="319">
        <v>0.0</v>
      </c>
      <c r="AL109" s="319">
        <v>0.0</v>
      </c>
      <c r="AM109" s="302">
        <v>0.0</v>
      </c>
      <c r="AN109" s="149" t="str">
        <f>IFERROR(
  AVERAGEIFS(
    'New 20102013 LF Efficacy'!$J:$J,
    'New 20102013 LF Efficacy'!$D:$D, $A109,
    'New 20102013 LF Efficacy'!$F:$F,"DEC", 
    'New 20102013 LF Efficacy'!$W:$W,"&lt;2014",
    'New 20102013 LF Efficacy'!$AA:$AA,""),
  ""
)</f>
        <v/>
      </c>
      <c r="AO109" s="115">
        <f t="shared" si="18"/>
        <v>0.38</v>
      </c>
      <c r="AP109" s="121" t="str">
        <f>IFERROR(
AVERAGEIFS(
'New 20102013 LF Efficacy'!$J:$J,
'New 20102013 LF Efficacy'!$D:$D,$A109,
'New 20102013 LF Efficacy'!$F:$F,"Albendazole &amp; DEC",
'New 20102013 LF Efficacy'!$W:$W,"&lt;2014",
'New 20102013 LF Efficacy'!$AA:$AA,""),
"")
</f>
        <v/>
      </c>
      <c r="AQ109" s="115">
        <f t="shared" si="19"/>
        <v>0.657</v>
      </c>
      <c r="AR109" s="121" t="str">
        <f>IFERROR(
AVERAGEIFS(
'New 20102013 LF Efficacy'!$J:$J,
'New 20102013 LF Efficacy'!$D:$D,$A109,
'New 20102013 LF Efficacy'!$F:$F,"Albendazole &amp; Ivermectin", 
'New 20102013 LF Efficacy'!$W:$W,"&lt;2014",
'New 20102013 LF Efficacy'!$AA:$AA,""),"")</f>
        <v/>
      </c>
      <c r="AS109" s="115">
        <f t="shared" si="20"/>
        <v>0.37153125</v>
      </c>
      <c r="AT109" s="130" t="str">
        <f>IFERROR(AVERAGEIFS(
'20102013 Schist Efficacy'!$O:$O, 
'20102013 Schist Efficacy'!$C:$C,$A109, 
'20102013 Schist Efficacy'!$D:$D, "Praziquantel",
'20102013 Schist Efficacy'!$J:$J,"&lt;2014",
'20102013 Schist Efficacy'!$U:$U,""),
"")</f>
        <v/>
      </c>
      <c r="AU109" s="118">
        <f t="shared" si="21"/>
        <v>0.9475</v>
      </c>
      <c r="AV109" s="131">
        <f>IFERROR(AVERAGEIFS(
'20102013 STH Efficacy'!$AX:$AX, 
'20102013 STH Efficacy'!$AL:$AL, $A109, 
'20102013 STH Efficacy'!$AM:$AM, "Albendazole",
'20102013 STH Efficacy'!$AS:$AS,"&lt;2014",
'20102013 STH Efficacy'!$BP:$BP,""),
"")</f>
        <v>0.333</v>
      </c>
      <c r="AW109" s="132">
        <f t="shared" si="22"/>
        <v>0.333</v>
      </c>
      <c r="AX109" s="131">
        <f>IFERROR(AVERAGEIFS(
'20102013 STH Efficacy'!$AX:$AX, 
'20102013 STH Efficacy'!$AL:$AL, $A109, 
'20102013 STH Efficacy'!$AM:$AM, "Mebendazole",
'20102013 STH Efficacy'!$AS:$AS,"&lt;2014",
'20102013 STH Efficacy'!$BP:$BP,""),
"")</f>
        <v>0.279</v>
      </c>
      <c r="AY109" s="132">
        <f t="shared" si="23"/>
        <v>0.279</v>
      </c>
      <c r="AZ109" s="131" t="str">
        <f>IFERROR(AVERAGEIFS(
'20102013 STH Efficacy'!$AX:$AX, 
'20102013 STH Efficacy'!$AL:$AL, $A109, 
'20102013 STH Efficacy'!$AM:$AM, "Albendazole &amp; Ivermectin",
'20102013 STH Efficacy'!$AS:$AS,"&lt;2014",
'20102013 STH Efficacy'!$BP:$BP,""),
"")</f>
        <v/>
      </c>
      <c r="BA109" s="303">
        <f t="shared" si="24"/>
        <v>0.651</v>
      </c>
      <c r="BB109" s="134">
        <f>IFERROR(AVERAGEIFS(
'20102013 STH Efficacy'!$N:$N, 
'20102013 STH Efficacy'!$B:$B, $A109, 
'20102013 STH Efficacy'!$C:$C, "Albendazole",
'20102013 STH Efficacy'!$I:$I,"&lt;2014",
'20102013 STH Efficacy'!$AH:$AH,""),
"")</f>
        <v>0.36</v>
      </c>
      <c r="BC109" s="135">
        <f t="shared" si="25"/>
        <v>0.36</v>
      </c>
      <c r="BD109" s="134">
        <f>IFERROR(AVERAGEIFS(
'20102013 STH Efficacy'!$N:$N, 
'20102013 STH Efficacy'!$B:$B, $A109, 
'20102013 STH Efficacy'!$C:$C, "Mebendazole",
'20102013 STH Efficacy'!$I:$I,"&lt;2014",
'20102013 STH Efficacy'!$AH:$AH,""),
"")</f>
        <v>0.176</v>
      </c>
      <c r="BE109" s="135">
        <f t="shared" si="26"/>
        <v>0.176</v>
      </c>
      <c r="BF109" s="128" t="str">
        <f>IFERROR(AVERAGEIFS(
'20102013 STH Efficacy'!$CD:$CD, 
'20102013 STH Efficacy'!$BS:$BS, $A109, 
'20102013 STH Efficacy'!$BT:$BT, "Albendazole",
'20102013 STH Efficacy'!$BZ:$BZ,"&lt;2014",
'20102013 STH Efficacy'!$CU:$CU,""),
"")</f>
        <v/>
      </c>
      <c r="BG109" s="136">
        <f t="shared" si="27"/>
        <v>0.96925</v>
      </c>
      <c r="BH109" s="128" t="str">
        <f>IFERROR(AVERAGEIFS(
'20102013 STH Efficacy'!$CD:$CD, 
'20102013 STH Efficacy'!$BS:$BS, $A109, 
'20102013 STH Efficacy'!$BT:$BT, "Mebendazole",
'20102013 STH Efficacy'!$BZ:$BZ,"&lt;2014",
'20102013 STH Efficacy'!$CU:$CU,""),
"")</f>
        <v/>
      </c>
      <c r="BI109" s="136">
        <f t="shared" si="28"/>
        <v>0.9305</v>
      </c>
      <c r="BJ109" s="128" t="str">
        <f>IFERROR(AVERAGEIFS(
'20102013 STH Efficacy'!$CD:$CD, 
'20102013 STH Efficacy'!$BS:$BS, $A109, 
'20102013 STH Efficacy'!$BT:$BT, "Albendazole &amp; Ivermectin",
'20102013 STH Efficacy'!$BZ:$BZ,"&lt;2014",
'20102013 STH Efficacy'!$CU:$CU,""),
"")</f>
        <v/>
      </c>
      <c r="BK109" s="136">
        <f t="shared" si="29"/>
        <v>1</v>
      </c>
      <c r="BL109" s="300" t="str">
        <f>IFERROR(
  AVERAGEIFS(
    'NEW 20102013 Onchocerciasis Eff'!$AO:$AO,
    'NEW 20102013 Onchocerciasis Eff'!$C:$C,$A109,
    'NEW 20102013 Onchocerciasis Eff'!$D:$D,"Ivermectin",
    'NEW 20102013 Onchocerciasis Eff'!$AR:$AR,"&lt;2014",
    'NEW 20102013 Onchocerciasis Eff'!$BG:$BG,"")
,"")</f>
        <v/>
      </c>
      <c r="BM109" s="304">
        <f t="shared" si="30"/>
        <v>0.7808368939</v>
      </c>
      <c r="BN109" s="305">
        <v>1.0</v>
      </c>
      <c r="BO109" s="139">
        <v>0.0</v>
      </c>
      <c r="BP109" s="140">
        <v>1.0</v>
      </c>
      <c r="BQ109" s="141">
        <f t="shared" si="31"/>
        <v>0</v>
      </c>
      <c r="BR109" s="104" t="str">
        <f t="shared" si="32"/>
        <v>1010</v>
      </c>
      <c r="BS109" s="104" t="str">
        <f t="shared" si="33"/>
        <v>MDA1/2+T2</v>
      </c>
      <c r="BT109" s="142" t="str">
        <f t="shared" si="34"/>
        <v>DEC +ALB</v>
      </c>
      <c r="BU109" s="104" t="str">
        <f t="shared" si="35"/>
        <v>PZQ</v>
      </c>
      <c r="BV109" s="104" t="str">
        <f t="shared" si="36"/>
        <v>lf+schist </v>
      </c>
      <c r="BW109" s="150" t="str">
        <f t="shared" si="37"/>
        <v/>
      </c>
      <c r="BX109" s="150" t="str">
        <f t="shared" si="38"/>
        <v/>
      </c>
      <c r="BY109" s="162">
        <f t="shared" si="39"/>
        <v>2134.962995</v>
      </c>
      <c r="BZ109" s="152" t="str">
        <f t="shared" si="40"/>
        <v/>
      </c>
      <c r="CA109" s="152" t="str">
        <f t="shared" si="41"/>
        <v/>
      </c>
      <c r="CB109" s="152" t="str">
        <f t="shared" si="42"/>
        <v/>
      </c>
      <c r="CC109" s="153" t="str">
        <f t="shared" si="43"/>
        <v/>
      </c>
      <c r="CD109" s="153" t="str">
        <f t="shared" si="44"/>
        <v/>
      </c>
      <c r="CE109" s="154" t="str">
        <f t="shared" si="45"/>
        <v/>
      </c>
      <c r="CF109" s="154" t="str">
        <f t="shared" si="46"/>
        <v/>
      </c>
      <c r="CG109" s="154" t="str">
        <f t="shared" si="47"/>
        <v/>
      </c>
      <c r="CH109" s="308" t="str">
        <f t="shared" si="48"/>
        <v/>
      </c>
      <c r="CI109" s="299"/>
    </row>
    <row r="110">
      <c r="A110" s="155" t="s">
        <v>199</v>
      </c>
      <c r="B110" s="104" t="s">
        <v>90</v>
      </c>
      <c r="C110" s="105">
        <v>2012647.0</v>
      </c>
      <c r="D110" s="293">
        <v>0.0</v>
      </c>
      <c r="E110" s="294">
        <v>0.0</v>
      </c>
      <c r="F110" s="309">
        <v>0.0</v>
      </c>
      <c r="G110" s="309">
        <v>0.0</v>
      </c>
      <c r="H110" s="108">
        <v>0.0</v>
      </c>
      <c r="I110" s="109">
        <v>0.0</v>
      </c>
      <c r="J110" s="109">
        <v>0.0</v>
      </c>
      <c r="K110" s="109">
        <v>0.0</v>
      </c>
      <c r="L110" s="112">
        <v>0.029386559</v>
      </c>
      <c r="M110" s="112">
        <v>0.017695443</v>
      </c>
      <c r="N110" s="111">
        <v>0.047082002</v>
      </c>
      <c r="O110" s="298">
        <v>0.0</v>
      </c>
      <c r="P110" s="114"/>
      <c r="Q110" s="114"/>
      <c r="R110" s="121" t="str">
        <f t="shared" si="11"/>
        <v/>
      </c>
      <c r="S110" s="116">
        <f t="shared" si="12"/>
        <v>0.526225767</v>
      </c>
      <c r="T110" s="130"/>
      <c r="U110" s="118">
        <f t="shared" si="13"/>
        <v>0.3468166667</v>
      </c>
      <c r="V110" s="148"/>
      <c r="W110" s="120">
        <f t="shared" si="14"/>
        <v>1</v>
      </c>
      <c r="X110" s="148"/>
      <c r="Y110" s="120">
        <f t="shared" si="15"/>
        <v>1</v>
      </c>
      <c r="Z110" s="299"/>
      <c r="AA110" s="299"/>
      <c r="AB110" s="300" t="str">
        <f t="shared" si="16"/>
        <v/>
      </c>
      <c r="AC110" s="301">
        <f t="shared" si="17"/>
        <v>0.6295826791</v>
      </c>
      <c r="AD110" s="122">
        <v>0.0</v>
      </c>
      <c r="AE110" s="123">
        <v>0.0</v>
      </c>
      <c r="AF110" s="123">
        <v>0.0</v>
      </c>
      <c r="AG110" s="124">
        <v>0.0</v>
      </c>
      <c r="AH110" s="124">
        <v>0.0</v>
      </c>
      <c r="AI110" s="125">
        <v>0.0</v>
      </c>
      <c r="AJ110" s="125">
        <v>0.0</v>
      </c>
      <c r="AK110" s="127">
        <v>0.0</v>
      </c>
      <c r="AL110" s="127">
        <v>0.0</v>
      </c>
      <c r="AM110" s="302">
        <v>0.0</v>
      </c>
      <c r="AN110" s="149" t="str">
        <f>IFERROR(
  AVERAGEIFS(
    'New 20102013 LF Efficacy'!$J:$J,
    'New 20102013 LF Efficacy'!$D:$D, $A110,
    'New 20102013 LF Efficacy'!$F:$F,"DEC", 
    'New 20102013 LF Efficacy'!$W:$W,"&lt;2014",
    'New 20102013 LF Efficacy'!$AA:$AA,""),
  ""
)</f>
        <v/>
      </c>
      <c r="AO110" s="115">
        <f t="shared" si="18"/>
        <v>0.3573520833</v>
      </c>
      <c r="AP110" s="121" t="str">
        <f>IFERROR(
AVERAGEIFS(
'New 20102013 LF Efficacy'!$J:$J,
'New 20102013 LF Efficacy'!$D:$D,$A110,
'New 20102013 LF Efficacy'!$F:$F,"Albendazole &amp; DEC",
'New 20102013 LF Efficacy'!$W:$W,"&lt;2014",
'New 20102013 LF Efficacy'!$AA:$AA,""),
"")
</f>
        <v/>
      </c>
      <c r="AQ110" s="115">
        <f t="shared" si="19"/>
        <v>0.5137291667</v>
      </c>
      <c r="AR110" s="121" t="str">
        <f>IFERROR(
AVERAGEIFS(
'New 20102013 LF Efficacy'!$J:$J,
'New 20102013 LF Efficacy'!$D:$D,$A110,
'New 20102013 LF Efficacy'!$F:$F,"Albendazole &amp; Ivermectin", 
'New 20102013 LF Efficacy'!$W:$W,"&lt;2014",
'New 20102013 LF Efficacy'!$AA:$AA,""),"")</f>
        <v/>
      </c>
      <c r="AS110" s="115">
        <f t="shared" si="20"/>
        <v>0.37153125</v>
      </c>
      <c r="AT110" s="130" t="str">
        <f>IFERROR(AVERAGEIFS(
'20102013 Schist Efficacy'!$O:$O, 
'20102013 Schist Efficacy'!$C:$C,$A110, 
'20102013 Schist Efficacy'!$D:$D, "Praziquantel",
'20102013 Schist Efficacy'!$J:$J,"&lt;2014",
'20102013 Schist Efficacy'!$U:$U,""),
"")</f>
        <v/>
      </c>
      <c r="AU110" s="118">
        <f t="shared" si="21"/>
        <v>0.655</v>
      </c>
      <c r="AV110" s="131" t="str">
        <f>IFERROR(AVERAGEIFS(
'20102013 STH Efficacy'!$AX:$AX, 
'20102013 STH Efficacy'!$AL:$AL, $A110, 
'20102013 STH Efficacy'!$AM:$AM, "Albendazole",
'20102013 STH Efficacy'!$AS:$AS,"&lt;2014",
'20102013 STH Efficacy'!$BP:$BP,""),
"")</f>
        <v/>
      </c>
      <c r="AW110" s="132">
        <f t="shared" si="22"/>
        <v>0.3933333333</v>
      </c>
      <c r="AX110" s="131" t="str">
        <f>IFERROR(AVERAGEIFS(
'20102013 STH Efficacy'!$AX:$AX, 
'20102013 STH Efficacy'!$AL:$AL, $A110, 
'20102013 STH Efficacy'!$AM:$AM, "Mebendazole",
'20102013 STH Efficacy'!$AS:$AS,"&lt;2014",
'20102013 STH Efficacy'!$BP:$BP,""),
"")</f>
        <v/>
      </c>
      <c r="AY110" s="132">
        <f t="shared" si="23"/>
        <v>0.5017738095</v>
      </c>
      <c r="AZ110" s="131" t="str">
        <f>IFERROR(AVERAGEIFS(
'20102013 STH Efficacy'!$AX:$AX, 
'20102013 STH Efficacy'!$AL:$AL, $A110, 
'20102013 STH Efficacy'!$AM:$AM, "Albendazole &amp; Ivermectin",
'20102013 STH Efficacy'!$AS:$AS,"&lt;2014",
'20102013 STH Efficacy'!$BP:$BP,""),
"")</f>
        <v/>
      </c>
      <c r="BA110" s="303">
        <f t="shared" si="24"/>
        <v>0.597625</v>
      </c>
      <c r="BB110" s="134" t="str">
        <f>IFERROR(AVERAGEIFS(
'20102013 STH Efficacy'!$N:$N, 
'20102013 STH Efficacy'!$B:$B, $A110, 
'20102013 STH Efficacy'!$C:$C, "Albendazole",
'20102013 STH Efficacy'!$I:$I,"&lt;2014",
'20102013 STH Efficacy'!$AH:$AH,""),
"")</f>
        <v/>
      </c>
      <c r="BC110" s="135">
        <f t="shared" si="25"/>
        <v>0.7613712121</v>
      </c>
      <c r="BD110" s="134" t="str">
        <f>IFERROR(AVERAGEIFS(
'20102013 STH Efficacy'!$N:$N, 
'20102013 STH Efficacy'!$B:$B, $A110, 
'20102013 STH Efficacy'!$C:$C, "Mebendazole",
'20102013 STH Efficacy'!$I:$I,"&lt;2014",
'20102013 STH Efficacy'!$AH:$AH,""),
"")</f>
        <v/>
      </c>
      <c r="BE110" s="135">
        <f t="shared" si="26"/>
        <v>0.4362466667</v>
      </c>
      <c r="BF110" s="128" t="str">
        <f>IFERROR(AVERAGEIFS(
'20102013 STH Efficacy'!$CD:$CD, 
'20102013 STH Efficacy'!$BS:$BS, $A110, 
'20102013 STH Efficacy'!$BT:$BT, "Albendazole",
'20102013 STH Efficacy'!$BZ:$BZ,"&lt;2014",
'20102013 STH Efficacy'!$CU:$CU,""),
"")</f>
        <v/>
      </c>
      <c r="BG110" s="136">
        <f t="shared" si="27"/>
        <v>0.9216027778</v>
      </c>
      <c r="BH110" s="128" t="str">
        <f>IFERROR(AVERAGEIFS(
'20102013 STH Efficacy'!$CD:$CD, 
'20102013 STH Efficacy'!$BS:$BS, $A110, 
'20102013 STH Efficacy'!$BT:$BT, "Mebendazole",
'20102013 STH Efficacy'!$BZ:$BZ,"&lt;2014",
'20102013 STH Efficacy'!$CU:$CU,""),
"")</f>
        <v/>
      </c>
      <c r="BI110" s="136">
        <f t="shared" si="28"/>
        <v>0.9295857143</v>
      </c>
      <c r="BJ110" s="128" t="str">
        <f>IFERROR(AVERAGEIFS(
'20102013 STH Efficacy'!$CD:$CD, 
'20102013 STH Efficacy'!$BS:$BS, $A110, 
'20102013 STH Efficacy'!$BT:$BT, "Albendazole &amp; Ivermectin",
'20102013 STH Efficacy'!$BZ:$BZ,"&lt;2014",
'20102013 STH Efficacy'!$CU:$CU,""),
"")</f>
        <v/>
      </c>
      <c r="BK110" s="136">
        <f t="shared" si="29"/>
        <v>1</v>
      </c>
      <c r="BL110" s="300" t="str">
        <f>IFERROR(
  AVERAGEIFS(
    'NEW 20102013 Onchocerciasis Eff'!$AO:$AO,
    'NEW 20102013 Onchocerciasis Eff'!$C:$C,$A110,
    'NEW 20102013 Onchocerciasis Eff'!$D:$D,"Ivermectin",
    'NEW 20102013 Onchocerciasis Eff'!$AR:$AR,"&lt;2014",
    'NEW 20102013 Onchocerciasis Eff'!$BG:$BG,"")
,"")</f>
        <v/>
      </c>
      <c r="BM110" s="304">
        <f t="shared" si="30"/>
        <v>0.7808368939</v>
      </c>
      <c r="BN110" s="305">
        <v>0.0</v>
      </c>
      <c r="BO110" s="139">
        <v>0.0</v>
      </c>
      <c r="BP110" s="140">
        <v>0.0</v>
      </c>
      <c r="BQ110" s="141">
        <f t="shared" si="31"/>
        <v>0</v>
      </c>
      <c r="BR110" s="104" t="str">
        <f t="shared" si="32"/>
        <v>0000</v>
      </c>
      <c r="BS110" s="104" t="str">
        <f t="shared" si="33"/>
        <v>no action required</v>
      </c>
      <c r="BT110" s="142" t="str">
        <f t="shared" si="34"/>
        <v/>
      </c>
      <c r="BU110" s="104" t="str">
        <f t="shared" si="35"/>
        <v/>
      </c>
      <c r="BV110" s="104" t="str">
        <f t="shared" si="36"/>
        <v>none</v>
      </c>
      <c r="BW110" s="150" t="str">
        <f t="shared" si="37"/>
        <v/>
      </c>
      <c r="BX110" s="150" t="str">
        <f t="shared" si="38"/>
        <v/>
      </c>
      <c r="BY110" s="151" t="str">
        <f t="shared" si="39"/>
        <v/>
      </c>
      <c r="BZ110" s="152" t="str">
        <f t="shared" si="40"/>
        <v/>
      </c>
      <c r="CA110" s="152" t="str">
        <f t="shared" si="41"/>
        <v/>
      </c>
      <c r="CB110" s="152" t="str">
        <f t="shared" si="42"/>
        <v/>
      </c>
      <c r="CC110" s="153" t="str">
        <f t="shared" si="43"/>
        <v/>
      </c>
      <c r="CD110" s="153" t="str">
        <f t="shared" si="44"/>
        <v/>
      </c>
      <c r="CE110" s="154" t="str">
        <f t="shared" si="45"/>
        <v/>
      </c>
      <c r="CF110" s="154" t="str">
        <f t="shared" si="46"/>
        <v/>
      </c>
      <c r="CG110" s="154" t="str">
        <f t="shared" si="47"/>
        <v/>
      </c>
      <c r="CH110" s="308" t="str">
        <f t="shared" si="48"/>
        <v/>
      </c>
      <c r="CI110" s="299"/>
    </row>
    <row r="111">
      <c r="A111" s="155" t="s">
        <v>200</v>
      </c>
      <c r="B111" s="104" t="s">
        <v>88</v>
      </c>
      <c r="C111" s="105">
        <v>5276102.0</v>
      </c>
      <c r="D111" s="293">
        <v>0.0</v>
      </c>
      <c r="E111" s="294">
        <v>1.274236213</v>
      </c>
      <c r="F111" s="307">
        <v>0.0</v>
      </c>
      <c r="G111" s="307">
        <v>0.0</v>
      </c>
      <c r="H111" s="108">
        <v>0.0</v>
      </c>
      <c r="I111" s="109">
        <v>0.01503593</v>
      </c>
      <c r="J111" s="109">
        <v>0.02155278</v>
      </c>
      <c r="K111" s="109">
        <v>0.036588706</v>
      </c>
      <c r="L111" s="112">
        <v>0.174233398</v>
      </c>
      <c r="M111" s="112">
        <v>0.167629261</v>
      </c>
      <c r="N111" s="111">
        <v>0.341862658</v>
      </c>
      <c r="O111" s="298">
        <v>0.0</v>
      </c>
      <c r="P111" s="114"/>
      <c r="Q111" s="114"/>
      <c r="R111" s="121" t="str">
        <f t="shared" si="11"/>
        <v/>
      </c>
      <c r="S111" s="116">
        <f t="shared" si="12"/>
        <v>0.4713987966</v>
      </c>
      <c r="T111" s="130"/>
      <c r="U111" s="118">
        <f t="shared" si="13"/>
        <v>0.5949</v>
      </c>
      <c r="V111" s="148"/>
      <c r="W111" s="120">
        <f t="shared" si="14"/>
        <v>0.9216</v>
      </c>
      <c r="X111" s="148"/>
      <c r="Y111" s="120">
        <f t="shared" si="15"/>
        <v>0.521</v>
      </c>
      <c r="Z111" s="299"/>
      <c r="AA111" s="299"/>
      <c r="AB111" s="300" t="str">
        <f t="shared" si="16"/>
        <v/>
      </c>
      <c r="AC111" s="301">
        <f t="shared" si="17"/>
        <v>0.3122297241</v>
      </c>
      <c r="AD111" s="122">
        <v>0.0</v>
      </c>
      <c r="AE111" s="123">
        <v>0.0</v>
      </c>
      <c r="AF111" s="123">
        <v>0.0</v>
      </c>
      <c r="AG111" s="124">
        <v>0.0</v>
      </c>
      <c r="AH111" s="124">
        <v>1.1338E-5</v>
      </c>
      <c r="AI111" s="125">
        <v>0.0</v>
      </c>
      <c r="AJ111" s="125">
        <v>1.14152E-5</v>
      </c>
      <c r="AK111" s="127">
        <v>0.0</v>
      </c>
      <c r="AL111" s="127">
        <v>0.0</v>
      </c>
      <c r="AM111" s="302">
        <v>0.0</v>
      </c>
      <c r="AN111" s="149" t="str">
        <f>IFERROR(
  AVERAGEIFS(
    'New 20102013 LF Efficacy'!$J:$J,
    'New 20102013 LF Efficacy'!$D:$D, $A111,
    'New 20102013 LF Efficacy'!$F:$F,"DEC", 
    'New 20102013 LF Efficacy'!$W:$W,"&lt;2014",
    'New 20102013 LF Efficacy'!$AA:$AA,""),
  ""
)</f>
        <v/>
      </c>
      <c r="AO111" s="115">
        <f t="shared" si="18"/>
        <v>0.3573520833</v>
      </c>
      <c r="AP111" s="121" t="str">
        <f>IFERROR(
AVERAGEIFS(
'New 20102013 LF Efficacy'!$J:$J,
'New 20102013 LF Efficacy'!$D:$D,$A111,
'New 20102013 LF Efficacy'!$F:$F,"Albendazole &amp; DEC",
'New 20102013 LF Efficacy'!$W:$W,"&lt;2014",
'New 20102013 LF Efficacy'!$AA:$AA,""),
"")
</f>
        <v/>
      </c>
      <c r="AQ111" s="115">
        <f t="shared" si="19"/>
        <v>0.7935</v>
      </c>
      <c r="AR111" s="121" t="str">
        <f>IFERROR(
AVERAGEIFS(
'New 20102013 LF Efficacy'!$J:$J,
'New 20102013 LF Efficacy'!$D:$D,$A111,
'New 20102013 LF Efficacy'!$F:$F,"Albendazole &amp; Ivermectin", 
'New 20102013 LF Efficacy'!$W:$W,"&lt;2014",
'New 20102013 LF Efficacy'!$AA:$AA,""),"")</f>
        <v/>
      </c>
      <c r="AS111" s="115">
        <f t="shared" si="20"/>
        <v>0.37153125</v>
      </c>
      <c r="AT111" s="130" t="str">
        <f>IFERROR(AVERAGEIFS(
'20102013 Schist Efficacy'!$O:$O, 
'20102013 Schist Efficacy'!$C:$C,$A111, 
'20102013 Schist Efficacy'!$D:$D, "Praziquantel",
'20102013 Schist Efficacy'!$J:$J,"&lt;2014",
'20102013 Schist Efficacy'!$U:$U,""),
"")</f>
        <v/>
      </c>
      <c r="AU111" s="118">
        <f t="shared" si="21"/>
        <v>0.7763141026</v>
      </c>
      <c r="AV111" s="131" t="str">
        <f>IFERROR(AVERAGEIFS(
'20102013 STH Efficacy'!$AX:$AX, 
'20102013 STH Efficacy'!$AL:$AL, $A111, 
'20102013 STH Efficacy'!$AM:$AM, "Albendazole",
'20102013 STH Efficacy'!$AS:$AS,"&lt;2014",
'20102013 STH Efficacy'!$BP:$BP,""),
"")</f>
        <v/>
      </c>
      <c r="AW111" s="132">
        <f t="shared" si="22"/>
        <v>0.3933333333</v>
      </c>
      <c r="AX111" s="131" t="str">
        <f>IFERROR(AVERAGEIFS(
'20102013 STH Efficacy'!$AX:$AX, 
'20102013 STH Efficacy'!$AL:$AL, $A111, 
'20102013 STH Efficacy'!$AM:$AM, "Mebendazole",
'20102013 STH Efficacy'!$AS:$AS,"&lt;2014",
'20102013 STH Efficacy'!$BP:$BP,""),
"")</f>
        <v/>
      </c>
      <c r="AY111" s="132">
        <f t="shared" si="23"/>
        <v>0.5017738095</v>
      </c>
      <c r="AZ111" s="131" t="str">
        <f>IFERROR(AVERAGEIFS(
'20102013 STH Efficacy'!$AX:$AX, 
'20102013 STH Efficacy'!$AL:$AL, $A111, 
'20102013 STH Efficacy'!$AM:$AM, "Albendazole &amp; Ivermectin",
'20102013 STH Efficacy'!$AS:$AS,"&lt;2014",
'20102013 STH Efficacy'!$BP:$BP,""),
"")</f>
        <v/>
      </c>
      <c r="BA111" s="303">
        <f t="shared" si="24"/>
        <v>0.597625</v>
      </c>
      <c r="BB111" s="134" t="str">
        <f>IFERROR(AVERAGEIFS(
'20102013 STH Efficacy'!$N:$N, 
'20102013 STH Efficacy'!$B:$B, $A111, 
'20102013 STH Efficacy'!$C:$C, "Albendazole",
'20102013 STH Efficacy'!$I:$I,"&lt;2014",
'20102013 STH Efficacy'!$AH:$AH,""),
"")</f>
        <v/>
      </c>
      <c r="BC111" s="135">
        <f t="shared" si="25"/>
        <v>0.7613712121</v>
      </c>
      <c r="BD111" s="134" t="str">
        <f>IFERROR(AVERAGEIFS(
'20102013 STH Efficacy'!$N:$N, 
'20102013 STH Efficacy'!$B:$B, $A111, 
'20102013 STH Efficacy'!$C:$C, "Mebendazole",
'20102013 STH Efficacy'!$I:$I,"&lt;2014",
'20102013 STH Efficacy'!$AH:$AH,""),
"")</f>
        <v/>
      </c>
      <c r="BE111" s="135">
        <f t="shared" si="26"/>
        <v>0.4362466667</v>
      </c>
      <c r="BF111" s="128" t="str">
        <f>IFERROR(AVERAGEIFS(
'20102013 STH Efficacy'!$CD:$CD, 
'20102013 STH Efficacy'!$BS:$BS, $A111, 
'20102013 STH Efficacy'!$BT:$BT, "Albendazole",
'20102013 STH Efficacy'!$BZ:$BZ,"&lt;2014",
'20102013 STH Efficacy'!$CU:$CU,""),
"")</f>
        <v/>
      </c>
      <c r="BG111" s="136">
        <f t="shared" si="27"/>
        <v>0.955</v>
      </c>
      <c r="BH111" s="128" t="str">
        <f>IFERROR(AVERAGEIFS(
'20102013 STH Efficacy'!$CD:$CD, 
'20102013 STH Efficacy'!$BS:$BS, $A111, 
'20102013 STH Efficacy'!$BT:$BT, "Mebendazole",
'20102013 STH Efficacy'!$BZ:$BZ,"&lt;2014",
'20102013 STH Efficacy'!$CU:$CU,""),
"")</f>
        <v/>
      </c>
      <c r="BI111" s="136">
        <f t="shared" si="28"/>
        <v>1</v>
      </c>
      <c r="BJ111" s="128" t="str">
        <f>IFERROR(AVERAGEIFS(
'20102013 STH Efficacy'!$CD:$CD, 
'20102013 STH Efficacy'!$BS:$BS, $A111, 
'20102013 STH Efficacy'!$BT:$BT, "Albendazole &amp; Ivermectin",
'20102013 STH Efficacy'!$BZ:$BZ,"&lt;2014",
'20102013 STH Efficacy'!$CU:$CU,""),
"")</f>
        <v/>
      </c>
      <c r="BK111" s="136">
        <f t="shared" si="29"/>
        <v>1</v>
      </c>
      <c r="BL111" s="300" t="str">
        <f>IFERROR(
  AVERAGEIFS(
    'NEW 20102013 Onchocerciasis Eff'!$AO:$AO,
    'NEW 20102013 Onchocerciasis Eff'!$C:$C,$A111,
    'NEW 20102013 Onchocerciasis Eff'!$D:$D,"Ivermectin",
    'NEW 20102013 Onchocerciasis Eff'!$AR:$AR,"&lt;2014",
    'NEW 20102013 Onchocerciasis Eff'!$BG:$BG,"")
,"")</f>
        <v/>
      </c>
      <c r="BM111" s="304">
        <f t="shared" si="30"/>
        <v>0.7808368939</v>
      </c>
      <c r="BN111" s="305">
        <v>0.0</v>
      </c>
      <c r="BO111" s="139">
        <v>0.0</v>
      </c>
      <c r="BP111" s="140">
        <v>0.0</v>
      </c>
      <c r="BQ111" s="141">
        <f t="shared" si="31"/>
        <v>0</v>
      </c>
      <c r="BR111" s="104" t="str">
        <f t="shared" si="32"/>
        <v>0000</v>
      </c>
      <c r="BS111" s="104" t="str">
        <f t="shared" si="33"/>
        <v>no action required</v>
      </c>
      <c r="BT111" s="142" t="str">
        <f t="shared" si="34"/>
        <v/>
      </c>
      <c r="BU111" s="104" t="str">
        <f t="shared" si="35"/>
        <v/>
      </c>
      <c r="BV111" s="104" t="str">
        <f t="shared" si="36"/>
        <v>none</v>
      </c>
      <c r="BW111" s="150" t="str">
        <f t="shared" si="37"/>
        <v/>
      </c>
      <c r="BX111" s="150" t="str">
        <f t="shared" si="38"/>
        <v/>
      </c>
      <c r="BY111" s="151" t="str">
        <f t="shared" si="39"/>
        <v/>
      </c>
      <c r="BZ111" s="152" t="str">
        <f t="shared" si="40"/>
        <v/>
      </c>
      <c r="CA111" s="152" t="str">
        <f t="shared" si="41"/>
        <v/>
      </c>
      <c r="CB111" s="152" t="str">
        <f t="shared" si="42"/>
        <v/>
      </c>
      <c r="CC111" s="153" t="str">
        <f t="shared" si="43"/>
        <v/>
      </c>
      <c r="CD111" s="153" t="str">
        <f t="shared" si="44"/>
        <v/>
      </c>
      <c r="CE111" s="154" t="str">
        <f t="shared" si="45"/>
        <v/>
      </c>
      <c r="CF111" s="154" t="str">
        <f t="shared" si="46"/>
        <v/>
      </c>
      <c r="CG111" s="154" t="str">
        <f t="shared" si="47"/>
        <v/>
      </c>
      <c r="CH111" s="308" t="str">
        <f t="shared" si="48"/>
        <v/>
      </c>
      <c r="CI111" s="299"/>
    </row>
    <row r="112">
      <c r="A112" s="155" t="s">
        <v>201</v>
      </c>
      <c r="B112" s="104" t="s">
        <v>92</v>
      </c>
      <c r="C112" s="105">
        <v>2117361.0</v>
      </c>
      <c r="D112" s="293">
        <v>0.0</v>
      </c>
      <c r="E112" s="294">
        <v>0.0</v>
      </c>
      <c r="F112" s="307">
        <v>149.8808168</v>
      </c>
      <c r="G112" s="307">
        <v>804.4282535</v>
      </c>
      <c r="H112" s="157">
        <v>954.3090703</v>
      </c>
      <c r="I112" s="110">
        <v>114.644044</v>
      </c>
      <c r="J112" s="109">
        <v>372.000547</v>
      </c>
      <c r="K112" s="109">
        <v>486.644591</v>
      </c>
      <c r="L112" s="112">
        <v>81.01854185</v>
      </c>
      <c r="M112" s="112">
        <v>91.34269122</v>
      </c>
      <c r="N112" s="111">
        <v>172.3612331</v>
      </c>
      <c r="O112" s="298">
        <v>0.0</v>
      </c>
      <c r="P112" s="114"/>
      <c r="Q112" s="114"/>
      <c r="R112" s="121" t="str">
        <f t="shared" si="11"/>
        <v/>
      </c>
      <c r="S112" s="116">
        <f t="shared" si="12"/>
        <v>0.2589669834</v>
      </c>
      <c r="T112" s="118">
        <v>0.2896</v>
      </c>
      <c r="U112" s="118">
        <f t="shared" si="13"/>
        <v>0.2896</v>
      </c>
      <c r="V112" s="148"/>
      <c r="W112" s="120">
        <f t="shared" si="14"/>
        <v>0.8114541667</v>
      </c>
      <c r="X112" s="148"/>
      <c r="Y112" s="120">
        <f t="shared" si="15"/>
        <v>0.5668291667</v>
      </c>
      <c r="Z112" s="299"/>
      <c r="AA112" s="299"/>
      <c r="AB112" s="300" t="str">
        <f t="shared" si="16"/>
        <v/>
      </c>
      <c r="AC112" s="301">
        <f t="shared" si="17"/>
        <v>0.655321236</v>
      </c>
      <c r="AD112" s="122">
        <v>0.0</v>
      </c>
      <c r="AE112" s="123">
        <v>0.0</v>
      </c>
      <c r="AF112" s="123">
        <v>0.0</v>
      </c>
      <c r="AG112" s="316">
        <v>0.0</v>
      </c>
      <c r="AH112" s="124">
        <v>0.515612167</v>
      </c>
      <c r="AI112" s="317">
        <v>0.0</v>
      </c>
      <c r="AJ112" s="125">
        <v>0.190190126</v>
      </c>
      <c r="AK112" s="319">
        <v>0.0</v>
      </c>
      <c r="AL112" s="319">
        <v>0.0</v>
      </c>
      <c r="AM112" s="302">
        <v>0.0</v>
      </c>
      <c r="AN112" s="149" t="str">
        <f>IFERROR(
  AVERAGEIFS(
    'New 20102013 LF Efficacy'!$J:$J,
    'New 20102013 LF Efficacy'!$D:$D, $A112,
    'New 20102013 LF Efficacy'!$F:$F,"DEC", 
    'New 20102013 LF Efficacy'!$W:$W,"&lt;2014",
    'New 20102013 LF Efficacy'!$AA:$AA,""),
  ""
)</f>
        <v/>
      </c>
      <c r="AO112" s="115">
        <f t="shared" si="18"/>
        <v>0.31225</v>
      </c>
      <c r="AP112" s="121" t="str">
        <f>IFERROR(
AVERAGEIFS(
'New 20102013 LF Efficacy'!$J:$J,
'New 20102013 LF Efficacy'!$D:$D,$A112,
'New 20102013 LF Efficacy'!$F:$F,"Albendazole &amp; DEC",
'New 20102013 LF Efficacy'!$W:$W,"&lt;2014",
'New 20102013 LF Efficacy'!$AA:$AA,""),
"")
</f>
        <v/>
      </c>
      <c r="AQ112" s="115">
        <f t="shared" si="19"/>
        <v>0.4</v>
      </c>
      <c r="AR112" s="121" t="str">
        <f>IFERROR(
AVERAGEIFS(
'New 20102013 LF Efficacy'!$J:$J,
'New 20102013 LF Efficacy'!$D:$D,$A112,
'New 20102013 LF Efficacy'!$F:$F,"Albendazole &amp; Ivermectin", 
'New 20102013 LF Efficacy'!$W:$W,"&lt;2014",
'New 20102013 LF Efficacy'!$AA:$AA,""),"")</f>
        <v/>
      </c>
      <c r="AS112" s="115">
        <f t="shared" si="20"/>
        <v>0.2943125</v>
      </c>
      <c r="AT112" s="130" t="str">
        <f>IFERROR(AVERAGEIFS(
'20102013 Schist Efficacy'!$O:$O, 
'20102013 Schist Efficacy'!$C:$C,$A112, 
'20102013 Schist Efficacy'!$D:$D, "Praziquantel",
'20102013 Schist Efficacy'!$J:$J,"&lt;2014",
'20102013 Schist Efficacy'!$U:$U,""),
"")</f>
        <v/>
      </c>
      <c r="AU112" s="118">
        <f t="shared" si="21"/>
        <v>0.7192212527</v>
      </c>
      <c r="AV112" s="131" t="str">
        <f>IFERROR(AVERAGEIFS(
'20102013 STH Efficacy'!$AX:$AX, 
'20102013 STH Efficacy'!$AL:$AL, $A112, 
'20102013 STH Efficacy'!$AM:$AM, "Albendazole",
'20102013 STH Efficacy'!$AS:$AS,"&lt;2014",
'20102013 STH Efficacy'!$BP:$BP,""),
"")</f>
        <v/>
      </c>
      <c r="AW112" s="132">
        <f t="shared" si="22"/>
        <v>0.3816333333</v>
      </c>
      <c r="AX112" s="131" t="str">
        <f>IFERROR(AVERAGEIFS(
'20102013 STH Efficacy'!$AX:$AX, 
'20102013 STH Efficacy'!$AL:$AL, $A112, 
'20102013 STH Efficacy'!$AM:$AM, "Mebendazole",
'20102013 STH Efficacy'!$AS:$AS,"&lt;2014",
'20102013 STH Efficacy'!$BP:$BP,""),
"")</f>
        <v/>
      </c>
      <c r="AY112" s="132">
        <f t="shared" si="23"/>
        <v>0.5675833333</v>
      </c>
      <c r="AZ112" s="131" t="str">
        <f>IFERROR(AVERAGEIFS(
'20102013 STH Efficacy'!$AX:$AX, 
'20102013 STH Efficacy'!$AL:$AL, $A112, 
'20102013 STH Efficacy'!$AM:$AM, "Albendazole &amp; Ivermectin",
'20102013 STH Efficacy'!$AS:$AS,"&lt;2014",
'20102013 STH Efficacy'!$BP:$BP,""),
"")</f>
        <v/>
      </c>
      <c r="BA112" s="303">
        <f t="shared" si="24"/>
        <v>0.47175</v>
      </c>
      <c r="BB112" s="134" t="str">
        <f>IFERROR(AVERAGEIFS(
'20102013 STH Efficacy'!$N:$N, 
'20102013 STH Efficacy'!$B:$B, $A112, 
'20102013 STH Efficacy'!$C:$C, "Albendazole",
'20102013 STH Efficacy'!$I:$I,"&lt;2014",
'20102013 STH Efficacy'!$AH:$AH,""),
"")</f>
        <v/>
      </c>
      <c r="BC112" s="135">
        <f t="shared" si="25"/>
        <v>0.8699166667</v>
      </c>
      <c r="BD112" s="134" t="str">
        <f>IFERROR(AVERAGEIFS(
'20102013 STH Efficacy'!$N:$N, 
'20102013 STH Efficacy'!$B:$B, $A112, 
'20102013 STH Efficacy'!$C:$C, "Mebendazole",
'20102013 STH Efficacy'!$I:$I,"&lt;2014",
'20102013 STH Efficacy'!$AH:$AH,""),
"")</f>
        <v/>
      </c>
      <c r="BE112" s="135">
        <f t="shared" si="26"/>
        <v>0.7092416667</v>
      </c>
      <c r="BF112" s="128" t="str">
        <f>IFERROR(AVERAGEIFS(
'20102013 STH Efficacy'!$CD:$CD, 
'20102013 STH Efficacy'!$BS:$BS, $A112, 
'20102013 STH Efficacy'!$BT:$BT, "Albendazole",
'20102013 STH Efficacy'!$BZ:$BZ,"&lt;2014",
'20102013 STH Efficacy'!$CU:$CU,""),
"")</f>
        <v/>
      </c>
      <c r="BG112" s="136">
        <f t="shared" si="27"/>
        <v>0.9066666667</v>
      </c>
      <c r="BH112" s="128" t="str">
        <f>IFERROR(AVERAGEIFS(
'20102013 STH Efficacy'!$CD:$CD, 
'20102013 STH Efficacy'!$BS:$BS, $A112, 
'20102013 STH Efficacy'!$BT:$BT, "Mebendazole",
'20102013 STH Efficacy'!$BZ:$BZ,"&lt;2014",
'20102013 STH Efficacy'!$CU:$CU,""),
"")</f>
        <v/>
      </c>
      <c r="BI112" s="136">
        <f t="shared" si="28"/>
        <v>0.9358666667</v>
      </c>
      <c r="BJ112" s="128" t="str">
        <f>IFERROR(AVERAGEIFS(
'20102013 STH Efficacy'!$CD:$CD, 
'20102013 STH Efficacy'!$BS:$BS, $A112, 
'20102013 STH Efficacy'!$BT:$BT, "Albendazole &amp; Ivermectin",
'20102013 STH Efficacy'!$BZ:$BZ,"&lt;2014",
'20102013 STH Efficacy'!$CU:$CU,""),
"")</f>
        <v/>
      </c>
      <c r="BK112" s="136">
        <f t="shared" si="29"/>
        <v>1</v>
      </c>
      <c r="BL112" s="300" t="str">
        <f>IFERROR(
  AVERAGEIFS(
    'NEW 20102013 Onchocerciasis Eff'!$AO:$AO,
    'NEW 20102013 Onchocerciasis Eff'!$C:$C,$A112,
    'NEW 20102013 Onchocerciasis Eff'!$D:$D,"Ivermectin",
    'NEW 20102013 Onchocerciasis Eff'!$AR:$AR,"&lt;2014",
    'NEW 20102013 Onchocerciasis Eff'!$BG:$BG,"")
,"")</f>
        <v/>
      </c>
      <c r="BM112" s="304">
        <f t="shared" si="30"/>
        <v>0.8390421645</v>
      </c>
      <c r="BN112" s="305">
        <v>0.0</v>
      </c>
      <c r="BO112" s="139">
        <v>1.0</v>
      </c>
      <c r="BP112" s="140">
        <v>0.0</v>
      </c>
      <c r="BQ112" s="141">
        <f t="shared" si="31"/>
        <v>1</v>
      </c>
      <c r="BR112" s="104" t="str">
        <f t="shared" si="32"/>
        <v>0101</v>
      </c>
      <c r="BS112" s="104" t="str">
        <f t="shared" si="33"/>
        <v>MDA1</v>
      </c>
      <c r="BT112" s="142" t="str">
        <f t="shared" si="34"/>
        <v>IVM+ALB</v>
      </c>
      <c r="BU112" s="104" t="str">
        <f t="shared" si="35"/>
        <v/>
      </c>
      <c r="BV112" s="104" t="str">
        <f t="shared" si="36"/>
        <v>onch+sth</v>
      </c>
      <c r="BW112" s="150" t="str">
        <f t="shared" si="37"/>
        <v/>
      </c>
      <c r="BX112" s="150" t="str">
        <f t="shared" si="38"/>
        <v/>
      </c>
      <c r="BY112" s="151" t="str">
        <f t="shared" si="39"/>
        <v/>
      </c>
      <c r="BZ112" s="152">
        <f t="shared" si="40"/>
        <v>289.2847701</v>
      </c>
      <c r="CA112" s="152" t="str">
        <f t="shared" si="41"/>
        <v/>
      </c>
      <c r="CB112" s="152">
        <f t="shared" si="42"/>
        <v>386.5804087</v>
      </c>
      <c r="CC112" s="323">
        <f t="shared" si="43"/>
        <v>637.0303917</v>
      </c>
      <c r="CD112" s="153" t="str">
        <f t="shared" si="44"/>
        <v/>
      </c>
      <c r="CE112" s="154">
        <f t="shared" si="45"/>
        <v>322.1192032</v>
      </c>
      <c r="CF112" s="154" t="str">
        <f t="shared" si="46"/>
        <v/>
      </c>
      <c r="CG112" s="154">
        <f t="shared" si="47"/>
        <v>468.210776</v>
      </c>
      <c r="CH112" s="313">
        <f t="shared" si="48"/>
        <v>0</v>
      </c>
      <c r="CI112" s="299"/>
    </row>
    <row r="113">
      <c r="A113" s="103" t="s">
        <v>202</v>
      </c>
      <c r="B113" s="104" t="s">
        <v>92</v>
      </c>
      <c r="C113" s="105">
        <v>4286291.0</v>
      </c>
      <c r="D113" s="293">
        <v>10241.55</v>
      </c>
      <c r="E113" s="294">
        <v>12562.41132</v>
      </c>
      <c r="F113" s="295">
        <v>26.02776956</v>
      </c>
      <c r="G113" s="295">
        <v>112.7693807</v>
      </c>
      <c r="H113" s="157">
        <v>138.7971503</v>
      </c>
      <c r="I113" s="110">
        <v>505.130198</v>
      </c>
      <c r="J113" s="110">
        <v>1376.12915</v>
      </c>
      <c r="K113" s="109">
        <v>1881.259353</v>
      </c>
      <c r="L113" s="112">
        <v>1691.099893</v>
      </c>
      <c r="M113" s="112">
        <v>456.1434703</v>
      </c>
      <c r="N113" s="111">
        <v>2147.243364</v>
      </c>
      <c r="O113" s="298">
        <v>47219.87443</v>
      </c>
      <c r="P113" s="160">
        <v>2938370.0</v>
      </c>
      <c r="Q113" s="160">
        <v>2445275.0</v>
      </c>
      <c r="R113" s="121">
        <f t="shared" si="11"/>
        <v>0.8321875734</v>
      </c>
      <c r="S113" s="116">
        <f t="shared" si="12"/>
        <v>0.8321875734</v>
      </c>
      <c r="T113" s="130"/>
      <c r="U113" s="118">
        <f t="shared" si="13"/>
        <v>0.252</v>
      </c>
      <c r="V113" s="119">
        <v>1.0</v>
      </c>
      <c r="W113" s="120">
        <f t="shared" si="14"/>
        <v>1</v>
      </c>
      <c r="X113" s="119">
        <v>0.7657</v>
      </c>
      <c r="Y113" s="120">
        <f t="shared" si="15"/>
        <v>0.7657</v>
      </c>
      <c r="Z113" s="310">
        <v>3092730.0</v>
      </c>
      <c r="AA113" s="310">
        <v>2646567.0</v>
      </c>
      <c r="AB113" s="300">
        <f t="shared" si="16"/>
        <v>0.8557381343</v>
      </c>
      <c r="AC113" s="301">
        <f t="shared" si="17"/>
        <v>0.8557381343</v>
      </c>
      <c r="AD113" s="122">
        <v>0.0654</v>
      </c>
      <c r="AE113" s="123">
        <v>0.33</v>
      </c>
      <c r="AF113" s="123">
        <v>0.0955</v>
      </c>
      <c r="AG113" s="124">
        <v>0.1312</v>
      </c>
      <c r="AH113" s="124">
        <v>0.204769389</v>
      </c>
      <c r="AI113" s="125">
        <v>0.1689</v>
      </c>
      <c r="AJ113" s="125">
        <v>0.269678785</v>
      </c>
      <c r="AK113" s="127">
        <v>0.119</v>
      </c>
      <c r="AL113" s="127">
        <v>0.1825</v>
      </c>
      <c r="AM113" s="302">
        <v>0.18</v>
      </c>
      <c r="AN113" s="149" t="str">
        <f>IFERROR(
  AVERAGEIFS(
    'New 20102013 LF Efficacy'!$J:$J,
    'New 20102013 LF Efficacy'!$D:$D, $A113,
    'New 20102013 LF Efficacy'!$F:$F,"DEC", 
    'New 20102013 LF Efficacy'!$W:$W,"&lt;2014",
    'New 20102013 LF Efficacy'!$AA:$AA,""),
  ""
)</f>
        <v/>
      </c>
      <c r="AO113" s="115">
        <f t="shared" si="18"/>
        <v>0.31225</v>
      </c>
      <c r="AP113" s="121" t="str">
        <f>IFERROR(
AVERAGEIFS(
'New 20102013 LF Efficacy'!$J:$J,
'New 20102013 LF Efficacy'!$D:$D,$A113,
'New 20102013 LF Efficacy'!$F:$F,"Albendazole &amp; DEC",
'New 20102013 LF Efficacy'!$W:$W,"&lt;2014",
'New 20102013 LF Efficacy'!$AA:$AA,""),
"")
</f>
        <v/>
      </c>
      <c r="AQ113" s="115">
        <f t="shared" si="19"/>
        <v>0.4</v>
      </c>
      <c r="AR113" s="121" t="str">
        <f>IFERROR(
AVERAGEIFS(
'New 20102013 LF Efficacy'!$J:$J,
'New 20102013 LF Efficacy'!$D:$D,$A113,
'New 20102013 LF Efficacy'!$F:$F,"Albendazole &amp; Ivermectin", 
'New 20102013 LF Efficacy'!$W:$W,"&lt;2014",
'New 20102013 LF Efficacy'!$AA:$AA,""),"")</f>
        <v/>
      </c>
      <c r="AS113" s="115">
        <f t="shared" si="20"/>
        <v>0.2943125</v>
      </c>
      <c r="AT113" s="130" t="str">
        <f>IFERROR(AVERAGEIFS(
'20102013 Schist Efficacy'!$O:$O, 
'20102013 Schist Efficacy'!$C:$C,$A113, 
'20102013 Schist Efficacy'!$D:$D, "Praziquantel",
'20102013 Schist Efficacy'!$J:$J,"&lt;2014",
'20102013 Schist Efficacy'!$U:$U,""),
"")</f>
        <v/>
      </c>
      <c r="AU113" s="118">
        <f t="shared" si="21"/>
        <v>0.7192212527</v>
      </c>
      <c r="AV113" s="131" t="str">
        <f>IFERROR(AVERAGEIFS(
'20102013 STH Efficacy'!$AX:$AX, 
'20102013 STH Efficacy'!$AL:$AL, $A113, 
'20102013 STH Efficacy'!$AM:$AM, "Albendazole",
'20102013 STH Efficacy'!$AS:$AS,"&lt;2014",
'20102013 STH Efficacy'!$BP:$BP,""),
"")</f>
        <v/>
      </c>
      <c r="AW113" s="132">
        <f t="shared" si="22"/>
        <v>0.3816333333</v>
      </c>
      <c r="AX113" s="131" t="str">
        <f>IFERROR(AVERAGEIFS(
'20102013 STH Efficacy'!$AX:$AX, 
'20102013 STH Efficacy'!$AL:$AL, $A113, 
'20102013 STH Efficacy'!$AM:$AM, "Mebendazole",
'20102013 STH Efficacy'!$AS:$AS,"&lt;2014",
'20102013 STH Efficacy'!$BP:$BP,""),
"")</f>
        <v/>
      </c>
      <c r="AY113" s="132">
        <f t="shared" si="23"/>
        <v>0.5675833333</v>
      </c>
      <c r="AZ113" s="131" t="str">
        <f>IFERROR(AVERAGEIFS(
'20102013 STH Efficacy'!$AX:$AX, 
'20102013 STH Efficacy'!$AL:$AL, $A113, 
'20102013 STH Efficacy'!$AM:$AM, "Albendazole &amp; Ivermectin",
'20102013 STH Efficacy'!$AS:$AS,"&lt;2014",
'20102013 STH Efficacy'!$BP:$BP,""),
"")</f>
        <v/>
      </c>
      <c r="BA113" s="303">
        <f t="shared" si="24"/>
        <v>0.47175</v>
      </c>
      <c r="BB113" s="134" t="str">
        <f>IFERROR(AVERAGEIFS(
'20102013 STH Efficacy'!$N:$N, 
'20102013 STH Efficacy'!$B:$B, $A113, 
'20102013 STH Efficacy'!$C:$C, "Albendazole",
'20102013 STH Efficacy'!$I:$I,"&lt;2014",
'20102013 STH Efficacy'!$AH:$AH,""),
"")</f>
        <v/>
      </c>
      <c r="BC113" s="135">
        <f t="shared" si="25"/>
        <v>0.8699166667</v>
      </c>
      <c r="BD113" s="134" t="str">
        <f>IFERROR(AVERAGEIFS(
'20102013 STH Efficacy'!$N:$N, 
'20102013 STH Efficacy'!$B:$B, $A113, 
'20102013 STH Efficacy'!$C:$C, "Mebendazole",
'20102013 STH Efficacy'!$I:$I,"&lt;2014",
'20102013 STH Efficacy'!$AH:$AH,""),
"")</f>
        <v/>
      </c>
      <c r="BE113" s="135">
        <f t="shared" si="26"/>
        <v>0.7092416667</v>
      </c>
      <c r="BF113" s="128" t="str">
        <f>IFERROR(AVERAGEIFS(
'20102013 STH Efficacy'!$CD:$CD, 
'20102013 STH Efficacy'!$BS:$BS, $A113, 
'20102013 STH Efficacy'!$BT:$BT, "Albendazole",
'20102013 STH Efficacy'!$BZ:$BZ,"&lt;2014",
'20102013 STH Efficacy'!$CU:$CU,""),
"")</f>
        <v/>
      </c>
      <c r="BG113" s="136">
        <f t="shared" si="27"/>
        <v>0.9066666667</v>
      </c>
      <c r="BH113" s="128" t="str">
        <f>IFERROR(AVERAGEIFS(
'20102013 STH Efficacy'!$CD:$CD, 
'20102013 STH Efficacy'!$BS:$BS, $A113, 
'20102013 STH Efficacy'!$BT:$BT, "Mebendazole",
'20102013 STH Efficacy'!$BZ:$BZ,"&lt;2014",
'20102013 STH Efficacy'!$CU:$CU,""),
"")</f>
        <v/>
      </c>
      <c r="BI113" s="136">
        <f t="shared" si="28"/>
        <v>0.9358666667</v>
      </c>
      <c r="BJ113" s="128" t="str">
        <f>IFERROR(AVERAGEIFS(
'20102013 STH Efficacy'!$CD:$CD, 
'20102013 STH Efficacy'!$BS:$BS, $A113, 
'20102013 STH Efficacy'!$BT:$BT, "Albendazole &amp; Ivermectin",
'20102013 STH Efficacy'!$BZ:$BZ,"&lt;2014",
'20102013 STH Efficacy'!$CU:$CU,""),
"")</f>
        <v/>
      </c>
      <c r="BK113" s="136">
        <f t="shared" si="29"/>
        <v>1</v>
      </c>
      <c r="BL113" s="300">
        <f>IFERROR(
  AVERAGEIFS(
    'NEW 20102013 Onchocerciasis Eff'!$AO:$AO,
    'NEW 20102013 Onchocerciasis Eff'!$C:$C,$A113,
    'NEW 20102013 Onchocerciasis Eff'!$D:$D,"Ivermectin",
    'NEW 20102013 Onchocerciasis Eff'!$AR:$AR,"&lt;2014",
    'NEW 20102013 Onchocerciasis Eff'!$BG:$BG,"")
,"")</f>
        <v>0.9258818182</v>
      </c>
      <c r="BM113" s="304">
        <f t="shared" si="30"/>
        <v>0.9258818182</v>
      </c>
      <c r="BN113" s="305">
        <v>1.0</v>
      </c>
      <c r="BO113" s="139">
        <v>0.0</v>
      </c>
      <c r="BP113" s="140">
        <v>1.0</v>
      </c>
      <c r="BQ113" s="141">
        <f t="shared" si="31"/>
        <v>1</v>
      </c>
      <c r="BR113" s="104" t="str">
        <f t="shared" si="32"/>
        <v>1011</v>
      </c>
      <c r="BS113" s="104" t="str">
        <f t="shared" si="33"/>
        <v>MDA1/2+T2</v>
      </c>
      <c r="BT113" s="142" t="str">
        <f t="shared" si="34"/>
        <v>DEC +ALB</v>
      </c>
      <c r="BU113" s="104" t="str">
        <f t="shared" si="35"/>
        <v>PZQ</v>
      </c>
      <c r="BV113" s="104" t="str">
        <f t="shared" si="36"/>
        <v>lf+schist+sth</v>
      </c>
      <c r="BW113" s="150" t="str">
        <f t="shared" si="37"/>
        <v/>
      </c>
      <c r="BX113" s="150" t="str">
        <f t="shared" si="38"/>
        <v/>
      </c>
      <c r="BY113" s="162">
        <f t="shared" si="39"/>
        <v>2780.874801</v>
      </c>
      <c r="BZ113" s="152">
        <f t="shared" si="40"/>
        <v>62.62154801</v>
      </c>
      <c r="CA113" s="152" t="str">
        <f t="shared" si="41"/>
        <v/>
      </c>
      <c r="CB113" s="152" t="str">
        <f t="shared" si="42"/>
        <v/>
      </c>
      <c r="CC113" s="323">
        <f t="shared" si="43"/>
        <v>6123.190128</v>
      </c>
      <c r="CD113" s="153" t="str">
        <f t="shared" si="44"/>
        <v/>
      </c>
      <c r="CE113" s="154">
        <f t="shared" si="45"/>
        <v>17463.49304</v>
      </c>
      <c r="CF113" s="154" t="str">
        <f t="shared" si="46"/>
        <v/>
      </c>
      <c r="CG113" s="154" t="str">
        <f t="shared" si="47"/>
        <v/>
      </c>
      <c r="CH113" s="308" t="str">
        <f t="shared" si="48"/>
        <v/>
      </c>
      <c r="CI113" s="299"/>
    </row>
    <row r="114">
      <c r="A114" s="103" t="s">
        <v>203</v>
      </c>
      <c r="B114" s="104" t="s">
        <v>88</v>
      </c>
      <c r="C114" s="105">
        <v>6195970.0</v>
      </c>
      <c r="D114" s="293">
        <v>0.0</v>
      </c>
      <c r="E114" s="294">
        <v>7257.782979</v>
      </c>
      <c r="F114" s="309">
        <v>0.262537936</v>
      </c>
      <c r="G114" s="309">
        <v>1.207612654</v>
      </c>
      <c r="H114" s="108">
        <v>1.47015059</v>
      </c>
      <c r="I114" s="109">
        <v>0.0189725</v>
      </c>
      <c r="J114" s="109">
        <v>0.03915976</v>
      </c>
      <c r="K114" s="109">
        <v>0.058132263</v>
      </c>
      <c r="L114" s="112">
        <v>7.331456727</v>
      </c>
      <c r="M114" s="112">
        <v>6.193066707</v>
      </c>
      <c r="N114" s="111">
        <v>13.52452343</v>
      </c>
      <c r="O114" s="298">
        <v>0.0</v>
      </c>
      <c r="P114" s="114"/>
      <c r="Q114" s="114"/>
      <c r="R114" s="121" t="str">
        <f t="shared" si="11"/>
        <v/>
      </c>
      <c r="S114" s="116">
        <f t="shared" si="12"/>
        <v>0.4713987966</v>
      </c>
      <c r="T114" s="130"/>
      <c r="U114" s="118">
        <f t="shared" si="13"/>
        <v>0.5949</v>
      </c>
      <c r="V114" s="148"/>
      <c r="W114" s="120">
        <f t="shared" si="14"/>
        <v>0.9216</v>
      </c>
      <c r="X114" s="148"/>
      <c r="Y114" s="120">
        <f t="shared" si="15"/>
        <v>0.521</v>
      </c>
      <c r="Z114" s="299"/>
      <c r="AA114" s="299"/>
      <c r="AB114" s="300" t="str">
        <f t="shared" si="16"/>
        <v/>
      </c>
      <c r="AC114" s="301">
        <f t="shared" si="17"/>
        <v>0.3122297241</v>
      </c>
      <c r="AD114" s="122">
        <v>0.0</v>
      </c>
      <c r="AE114" s="123">
        <v>0.15</v>
      </c>
      <c r="AF114" s="123">
        <v>0.0197</v>
      </c>
      <c r="AG114" s="124">
        <v>0.004</v>
      </c>
      <c r="AH114" s="124">
        <v>0.005929863</v>
      </c>
      <c r="AI114" s="125">
        <v>0.0</v>
      </c>
      <c r="AJ114" s="125">
        <v>6.89292E-6</v>
      </c>
      <c r="AK114" s="127">
        <v>0.0061</v>
      </c>
      <c r="AL114" s="127">
        <v>0.0088</v>
      </c>
      <c r="AM114" s="302">
        <v>0.0</v>
      </c>
      <c r="AN114" s="149" t="str">
        <f>IFERROR(
  AVERAGEIFS(
    'New 20102013 LF Efficacy'!$J:$J,
    'New 20102013 LF Efficacy'!$D:$D, $A114,
    'New 20102013 LF Efficacy'!$F:$F,"DEC", 
    'New 20102013 LF Efficacy'!$W:$W,"&lt;2014",
    'New 20102013 LF Efficacy'!$AA:$AA,""),
  ""
)</f>
        <v/>
      </c>
      <c r="AO114" s="115">
        <f t="shared" si="18"/>
        <v>0.3573520833</v>
      </c>
      <c r="AP114" s="121" t="str">
        <f>IFERROR(
AVERAGEIFS(
'New 20102013 LF Efficacy'!$J:$J,
'New 20102013 LF Efficacy'!$D:$D,$A114,
'New 20102013 LF Efficacy'!$F:$F,"Albendazole &amp; DEC",
'New 20102013 LF Efficacy'!$W:$W,"&lt;2014",
'New 20102013 LF Efficacy'!$AA:$AA,""),
"")
</f>
        <v/>
      </c>
      <c r="AQ114" s="115">
        <f t="shared" si="19"/>
        <v>0.7935</v>
      </c>
      <c r="AR114" s="121" t="str">
        <f>IFERROR(
AVERAGEIFS(
'New 20102013 LF Efficacy'!$J:$J,
'New 20102013 LF Efficacy'!$D:$D,$A114,
'New 20102013 LF Efficacy'!$F:$F,"Albendazole &amp; Ivermectin", 
'New 20102013 LF Efficacy'!$W:$W,"&lt;2014",
'New 20102013 LF Efficacy'!$AA:$AA,""),"")</f>
        <v/>
      </c>
      <c r="AS114" s="115">
        <f t="shared" si="20"/>
        <v>0.37153125</v>
      </c>
      <c r="AT114" s="130" t="str">
        <f>IFERROR(AVERAGEIFS(
'20102013 Schist Efficacy'!$O:$O, 
'20102013 Schist Efficacy'!$C:$C,$A114, 
'20102013 Schist Efficacy'!$D:$D, "Praziquantel",
'20102013 Schist Efficacy'!$J:$J,"&lt;2014",
'20102013 Schist Efficacy'!$U:$U,""),
"")</f>
        <v/>
      </c>
      <c r="AU114" s="118">
        <f t="shared" si="21"/>
        <v>0.7763141026</v>
      </c>
      <c r="AV114" s="131" t="str">
        <f>IFERROR(AVERAGEIFS(
'20102013 STH Efficacy'!$AX:$AX, 
'20102013 STH Efficacy'!$AL:$AL, $A114, 
'20102013 STH Efficacy'!$AM:$AM, "Albendazole",
'20102013 STH Efficacy'!$AS:$AS,"&lt;2014",
'20102013 STH Efficacy'!$BP:$BP,""),
"")</f>
        <v/>
      </c>
      <c r="AW114" s="132">
        <f t="shared" si="22"/>
        <v>0.3933333333</v>
      </c>
      <c r="AX114" s="131" t="str">
        <f>IFERROR(AVERAGEIFS(
'20102013 STH Efficacy'!$AX:$AX, 
'20102013 STH Efficacy'!$AL:$AL, $A114, 
'20102013 STH Efficacy'!$AM:$AM, "Mebendazole",
'20102013 STH Efficacy'!$AS:$AS,"&lt;2014",
'20102013 STH Efficacy'!$BP:$BP,""),
"")</f>
        <v/>
      </c>
      <c r="AY114" s="132">
        <f t="shared" si="23"/>
        <v>0.5017738095</v>
      </c>
      <c r="AZ114" s="131" t="str">
        <f>IFERROR(AVERAGEIFS(
'20102013 STH Efficacy'!$AX:$AX, 
'20102013 STH Efficacy'!$AL:$AL, $A114, 
'20102013 STH Efficacy'!$AM:$AM, "Albendazole &amp; Ivermectin",
'20102013 STH Efficacy'!$AS:$AS,"&lt;2014",
'20102013 STH Efficacy'!$BP:$BP,""),
"")</f>
        <v/>
      </c>
      <c r="BA114" s="303">
        <f t="shared" si="24"/>
        <v>0.597625</v>
      </c>
      <c r="BB114" s="134" t="str">
        <f>IFERROR(AVERAGEIFS(
'20102013 STH Efficacy'!$N:$N, 
'20102013 STH Efficacy'!$B:$B, $A114, 
'20102013 STH Efficacy'!$C:$C, "Albendazole",
'20102013 STH Efficacy'!$I:$I,"&lt;2014",
'20102013 STH Efficacy'!$AH:$AH,""),
"")</f>
        <v/>
      </c>
      <c r="BC114" s="135">
        <f t="shared" si="25"/>
        <v>0.7613712121</v>
      </c>
      <c r="BD114" s="134" t="str">
        <f>IFERROR(AVERAGEIFS(
'20102013 STH Efficacy'!$N:$N, 
'20102013 STH Efficacy'!$B:$B, $A114, 
'20102013 STH Efficacy'!$C:$C, "Mebendazole",
'20102013 STH Efficacy'!$I:$I,"&lt;2014",
'20102013 STH Efficacy'!$AH:$AH,""),
"")</f>
        <v/>
      </c>
      <c r="BE114" s="135">
        <f t="shared" si="26"/>
        <v>0.4362466667</v>
      </c>
      <c r="BF114" s="128" t="str">
        <f>IFERROR(AVERAGEIFS(
'20102013 STH Efficacy'!$CD:$CD, 
'20102013 STH Efficacy'!$BS:$BS, $A114, 
'20102013 STH Efficacy'!$BT:$BT, "Albendazole",
'20102013 STH Efficacy'!$BZ:$BZ,"&lt;2014",
'20102013 STH Efficacy'!$CU:$CU,""),
"")</f>
        <v/>
      </c>
      <c r="BG114" s="136">
        <f t="shared" si="27"/>
        <v>0.955</v>
      </c>
      <c r="BH114" s="128" t="str">
        <f>IFERROR(AVERAGEIFS(
'20102013 STH Efficacy'!$CD:$CD, 
'20102013 STH Efficacy'!$BS:$BS, $A114, 
'20102013 STH Efficacy'!$BT:$BT, "Mebendazole",
'20102013 STH Efficacy'!$BZ:$BZ,"&lt;2014",
'20102013 STH Efficacy'!$CU:$CU,""),
"")</f>
        <v/>
      </c>
      <c r="BI114" s="136">
        <f t="shared" si="28"/>
        <v>1</v>
      </c>
      <c r="BJ114" s="128" t="str">
        <f>IFERROR(AVERAGEIFS(
'20102013 STH Efficacy'!$CD:$CD, 
'20102013 STH Efficacy'!$BS:$BS, $A114, 
'20102013 STH Efficacy'!$BT:$BT, "Albendazole &amp; Ivermectin",
'20102013 STH Efficacy'!$BZ:$BZ,"&lt;2014",
'20102013 STH Efficacy'!$CU:$CU,""),
"")</f>
        <v/>
      </c>
      <c r="BK114" s="136">
        <f t="shared" si="29"/>
        <v>1</v>
      </c>
      <c r="BL114" s="300" t="str">
        <f>IFERROR(
  AVERAGEIFS(
    'NEW 20102013 Onchocerciasis Eff'!$AO:$AO,
    'NEW 20102013 Onchocerciasis Eff'!$C:$C,$A114,
    'NEW 20102013 Onchocerciasis Eff'!$D:$D,"Ivermectin",
    'NEW 20102013 Onchocerciasis Eff'!$AR:$AR,"&lt;2014",
    'NEW 20102013 Onchocerciasis Eff'!$BG:$BG,"")
,"")</f>
        <v/>
      </c>
      <c r="BM114" s="304">
        <f t="shared" si="30"/>
        <v>0.7808368939</v>
      </c>
      <c r="BN114" s="305">
        <v>0.0</v>
      </c>
      <c r="BO114" s="139">
        <v>0.0</v>
      </c>
      <c r="BP114" s="140">
        <v>0.0</v>
      </c>
      <c r="BQ114" s="141">
        <f t="shared" si="31"/>
        <v>0</v>
      </c>
      <c r="BR114" s="104" t="str">
        <f t="shared" si="32"/>
        <v>0000</v>
      </c>
      <c r="BS114" s="104" t="str">
        <f t="shared" si="33"/>
        <v>no action required</v>
      </c>
      <c r="BT114" s="142" t="str">
        <f t="shared" si="34"/>
        <v/>
      </c>
      <c r="BU114" s="104" t="str">
        <f t="shared" si="35"/>
        <v/>
      </c>
      <c r="BV114" s="104" t="str">
        <f t="shared" si="36"/>
        <v>none</v>
      </c>
      <c r="BW114" s="150" t="str">
        <f t="shared" si="37"/>
        <v/>
      </c>
      <c r="BX114" s="150" t="str">
        <f t="shared" si="38"/>
        <v/>
      </c>
      <c r="BY114" s="151" t="str">
        <f t="shared" si="39"/>
        <v/>
      </c>
      <c r="BZ114" s="152" t="str">
        <f t="shared" si="40"/>
        <v/>
      </c>
      <c r="CA114" s="152" t="str">
        <f t="shared" si="41"/>
        <v/>
      </c>
      <c r="CB114" s="152" t="str">
        <f t="shared" si="42"/>
        <v/>
      </c>
      <c r="CC114" s="153" t="str">
        <f t="shared" si="43"/>
        <v/>
      </c>
      <c r="CD114" s="153" t="str">
        <f t="shared" si="44"/>
        <v/>
      </c>
      <c r="CE114" s="154" t="str">
        <f t="shared" si="45"/>
        <v/>
      </c>
      <c r="CF114" s="154" t="str">
        <f t="shared" si="46"/>
        <v/>
      </c>
      <c r="CG114" s="154" t="str">
        <f t="shared" si="47"/>
        <v/>
      </c>
      <c r="CH114" s="308" t="str">
        <f t="shared" si="48"/>
        <v/>
      </c>
      <c r="CI114" s="299"/>
    </row>
    <row r="115">
      <c r="A115" s="103" t="s">
        <v>204</v>
      </c>
      <c r="B115" s="104" t="s">
        <v>90</v>
      </c>
      <c r="C115" s="105">
        <v>2957689.0</v>
      </c>
      <c r="D115" s="293">
        <v>0.0</v>
      </c>
      <c r="E115" s="294">
        <v>0.0</v>
      </c>
      <c r="F115" s="309">
        <v>0.0</v>
      </c>
      <c r="G115" s="309">
        <v>0.0</v>
      </c>
      <c r="H115" s="108">
        <v>0.0</v>
      </c>
      <c r="I115" s="109">
        <v>0.0</v>
      </c>
      <c r="J115" s="109">
        <v>0.0</v>
      </c>
      <c r="K115" s="109">
        <v>0.0</v>
      </c>
      <c r="L115" s="112">
        <v>0.050490561</v>
      </c>
      <c r="M115" s="112">
        <v>0.031916366</v>
      </c>
      <c r="N115" s="111">
        <v>0.082406928</v>
      </c>
      <c r="O115" s="298">
        <v>0.0</v>
      </c>
      <c r="P115" s="114"/>
      <c r="Q115" s="114"/>
      <c r="R115" s="121" t="str">
        <f t="shared" si="11"/>
        <v/>
      </c>
      <c r="S115" s="116">
        <f t="shared" si="12"/>
        <v>0.526225767</v>
      </c>
      <c r="T115" s="130"/>
      <c r="U115" s="118">
        <f t="shared" si="13"/>
        <v>0.3468166667</v>
      </c>
      <c r="V115" s="148"/>
      <c r="W115" s="120">
        <f t="shared" si="14"/>
        <v>1</v>
      </c>
      <c r="X115" s="148"/>
      <c r="Y115" s="120">
        <f t="shared" si="15"/>
        <v>1</v>
      </c>
      <c r="Z115" s="299"/>
      <c r="AA115" s="299"/>
      <c r="AB115" s="300" t="str">
        <f t="shared" si="16"/>
        <v/>
      </c>
      <c r="AC115" s="301">
        <f t="shared" si="17"/>
        <v>0.6295826791</v>
      </c>
      <c r="AD115" s="122">
        <v>0.0</v>
      </c>
      <c r="AE115" s="123">
        <v>0.0</v>
      </c>
      <c r="AF115" s="123">
        <v>0.0</v>
      </c>
      <c r="AG115" s="124">
        <v>0.0</v>
      </c>
      <c r="AH115" s="124">
        <v>0.0</v>
      </c>
      <c r="AI115" s="125">
        <v>0.0</v>
      </c>
      <c r="AJ115" s="125">
        <v>0.0</v>
      </c>
      <c r="AK115" s="127">
        <v>0.0</v>
      </c>
      <c r="AL115" s="127">
        <v>0.0</v>
      </c>
      <c r="AM115" s="302">
        <v>0.0</v>
      </c>
      <c r="AN115" s="149" t="str">
        <f>IFERROR(
  AVERAGEIFS(
    'New 20102013 LF Efficacy'!$J:$J,
    'New 20102013 LF Efficacy'!$D:$D, $A115,
    'New 20102013 LF Efficacy'!$F:$F,"DEC", 
    'New 20102013 LF Efficacy'!$W:$W,"&lt;2014",
    'New 20102013 LF Efficacy'!$AA:$AA,""),
  ""
)</f>
        <v/>
      </c>
      <c r="AO115" s="115">
        <f t="shared" si="18"/>
        <v>0.3573520833</v>
      </c>
      <c r="AP115" s="121" t="str">
        <f>IFERROR(
AVERAGEIFS(
'New 20102013 LF Efficacy'!$J:$J,
'New 20102013 LF Efficacy'!$D:$D,$A115,
'New 20102013 LF Efficacy'!$F:$F,"Albendazole &amp; DEC",
'New 20102013 LF Efficacy'!$W:$W,"&lt;2014",
'New 20102013 LF Efficacy'!$AA:$AA,""),
"")
</f>
        <v/>
      </c>
      <c r="AQ115" s="115">
        <f t="shared" si="19"/>
        <v>0.5137291667</v>
      </c>
      <c r="AR115" s="121" t="str">
        <f>IFERROR(
AVERAGEIFS(
'New 20102013 LF Efficacy'!$J:$J,
'New 20102013 LF Efficacy'!$D:$D,$A115,
'New 20102013 LF Efficacy'!$F:$F,"Albendazole &amp; Ivermectin", 
'New 20102013 LF Efficacy'!$W:$W,"&lt;2014",
'New 20102013 LF Efficacy'!$AA:$AA,""),"")</f>
        <v/>
      </c>
      <c r="AS115" s="115">
        <f t="shared" si="20"/>
        <v>0.37153125</v>
      </c>
      <c r="AT115" s="130" t="str">
        <f>IFERROR(AVERAGEIFS(
'20102013 Schist Efficacy'!$O:$O, 
'20102013 Schist Efficacy'!$C:$C,$A115, 
'20102013 Schist Efficacy'!$D:$D, "Praziquantel",
'20102013 Schist Efficacy'!$J:$J,"&lt;2014",
'20102013 Schist Efficacy'!$U:$U,""),
"")</f>
        <v/>
      </c>
      <c r="AU115" s="118">
        <f t="shared" si="21"/>
        <v>0.655</v>
      </c>
      <c r="AV115" s="131" t="str">
        <f>IFERROR(AVERAGEIFS(
'20102013 STH Efficacy'!$AX:$AX, 
'20102013 STH Efficacy'!$AL:$AL, $A115, 
'20102013 STH Efficacy'!$AM:$AM, "Albendazole",
'20102013 STH Efficacy'!$AS:$AS,"&lt;2014",
'20102013 STH Efficacy'!$BP:$BP,""),
"")</f>
        <v/>
      </c>
      <c r="AW115" s="132">
        <f t="shared" si="22"/>
        <v>0.3933333333</v>
      </c>
      <c r="AX115" s="131" t="str">
        <f>IFERROR(AVERAGEIFS(
'20102013 STH Efficacy'!$AX:$AX, 
'20102013 STH Efficacy'!$AL:$AL, $A115, 
'20102013 STH Efficacy'!$AM:$AM, "Mebendazole",
'20102013 STH Efficacy'!$AS:$AS,"&lt;2014",
'20102013 STH Efficacy'!$BP:$BP,""),
"")</f>
        <v/>
      </c>
      <c r="AY115" s="132">
        <f t="shared" si="23"/>
        <v>0.5017738095</v>
      </c>
      <c r="AZ115" s="131" t="str">
        <f>IFERROR(AVERAGEIFS(
'20102013 STH Efficacy'!$AX:$AX, 
'20102013 STH Efficacy'!$AL:$AL, $A115, 
'20102013 STH Efficacy'!$AM:$AM, "Albendazole &amp; Ivermectin",
'20102013 STH Efficacy'!$AS:$AS,"&lt;2014",
'20102013 STH Efficacy'!$BP:$BP,""),
"")</f>
        <v/>
      </c>
      <c r="BA115" s="303">
        <f t="shared" si="24"/>
        <v>0.597625</v>
      </c>
      <c r="BB115" s="134" t="str">
        <f>IFERROR(AVERAGEIFS(
'20102013 STH Efficacy'!$N:$N, 
'20102013 STH Efficacy'!$B:$B, $A115, 
'20102013 STH Efficacy'!$C:$C, "Albendazole",
'20102013 STH Efficacy'!$I:$I,"&lt;2014",
'20102013 STH Efficacy'!$AH:$AH,""),
"")</f>
        <v/>
      </c>
      <c r="BC115" s="135">
        <f t="shared" si="25"/>
        <v>0.7613712121</v>
      </c>
      <c r="BD115" s="134" t="str">
        <f>IFERROR(AVERAGEIFS(
'20102013 STH Efficacy'!$N:$N, 
'20102013 STH Efficacy'!$B:$B, $A115, 
'20102013 STH Efficacy'!$C:$C, "Mebendazole",
'20102013 STH Efficacy'!$I:$I,"&lt;2014",
'20102013 STH Efficacy'!$AH:$AH,""),
"")</f>
        <v/>
      </c>
      <c r="BE115" s="135">
        <f t="shared" si="26"/>
        <v>0.4362466667</v>
      </c>
      <c r="BF115" s="128" t="str">
        <f>IFERROR(AVERAGEIFS(
'20102013 STH Efficacy'!$CD:$CD, 
'20102013 STH Efficacy'!$BS:$BS, $A115, 
'20102013 STH Efficacy'!$BT:$BT, "Albendazole",
'20102013 STH Efficacy'!$BZ:$BZ,"&lt;2014",
'20102013 STH Efficacy'!$CU:$CU,""),
"")</f>
        <v/>
      </c>
      <c r="BG115" s="136">
        <f t="shared" si="27"/>
        <v>0.9216027778</v>
      </c>
      <c r="BH115" s="128" t="str">
        <f>IFERROR(AVERAGEIFS(
'20102013 STH Efficacy'!$CD:$CD, 
'20102013 STH Efficacy'!$BS:$BS, $A115, 
'20102013 STH Efficacy'!$BT:$BT, "Mebendazole",
'20102013 STH Efficacy'!$BZ:$BZ,"&lt;2014",
'20102013 STH Efficacy'!$CU:$CU,""),
"")</f>
        <v/>
      </c>
      <c r="BI115" s="136">
        <f t="shared" si="28"/>
        <v>0.9295857143</v>
      </c>
      <c r="BJ115" s="128" t="str">
        <f>IFERROR(AVERAGEIFS(
'20102013 STH Efficacy'!$CD:$CD, 
'20102013 STH Efficacy'!$BS:$BS, $A115, 
'20102013 STH Efficacy'!$BT:$BT, "Albendazole &amp; Ivermectin",
'20102013 STH Efficacy'!$BZ:$BZ,"&lt;2014",
'20102013 STH Efficacy'!$CU:$CU,""),
"")</f>
        <v/>
      </c>
      <c r="BK115" s="136">
        <f t="shared" si="29"/>
        <v>1</v>
      </c>
      <c r="BL115" s="300" t="str">
        <f>IFERROR(
  AVERAGEIFS(
    'NEW 20102013 Onchocerciasis Eff'!$AO:$AO,
    'NEW 20102013 Onchocerciasis Eff'!$C:$C,$A115,
    'NEW 20102013 Onchocerciasis Eff'!$D:$D,"Ivermectin",
    'NEW 20102013 Onchocerciasis Eff'!$AR:$AR,"&lt;2014",
    'NEW 20102013 Onchocerciasis Eff'!$BG:$BG,"")
,"")</f>
        <v/>
      </c>
      <c r="BM115" s="304">
        <f t="shared" si="30"/>
        <v>0.7808368939</v>
      </c>
      <c r="BN115" s="305">
        <v>0.0</v>
      </c>
      <c r="BO115" s="139">
        <v>0.0</v>
      </c>
      <c r="BP115" s="140">
        <v>0.0</v>
      </c>
      <c r="BQ115" s="141">
        <f t="shared" si="31"/>
        <v>0</v>
      </c>
      <c r="BR115" s="104" t="str">
        <f t="shared" si="32"/>
        <v>0000</v>
      </c>
      <c r="BS115" s="104" t="str">
        <f t="shared" si="33"/>
        <v>no action required</v>
      </c>
      <c r="BT115" s="142" t="str">
        <f t="shared" si="34"/>
        <v/>
      </c>
      <c r="BU115" s="104" t="str">
        <f t="shared" si="35"/>
        <v/>
      </c>
      <c r="BV115" s="104" t="str">
        <f t="shared" si="36"/>
        <v>none</v>
      </c>
      <c r="BW115" s="150" t="str">
        <f t="shared" si="37"/>
        <v/>
      </c>
      <c r="BX115" s="150" t="str">
        <f t="shared" si="38"/>
        <v/>
      </c>
      <c r="BY115" s="151" t="str">
        <f t="shared" si="39"/>
        <v/>
      </c>
      <c r="BZ115" s="152" t="str">
        <f t="shared" si="40"/>
        <v/>
      </c>
      <c r="CA115" s="152" t="str">
        <f t="shared" si="41"/>
        <v/>
      </c>
      <c r="CB115" s="152" t="str">
        <f t="shared" si="42"/>
        <v/>
      </c>
      <c r="CC115" s="153" t="str">
        <f t="shared" si="43"/>
        <v/>
      </c>
      <c r="CD115" s="153" t="str">
        <f t="shared" si="44"/>
        <v/>
      </c>
      <c r="CE115" s="154" t="str">
        <f t="shared" si="45"/>
        <v/>
      </c>
      <c r="CF115" s="154" t="str">
        <f t="shared" si="46"/>
        <v/>
      </c>
      <c r="CG115" s="154" t="str">
        <f t="shared" si="47"/>
        <v/>
      </c>
      <c r="CH115" s="308" t="str">
        <f t="shared" si="48"/>
        <v/>
      </c>
      <c r="CI115" s="299"/>
    </row>
    <row r="116">
      <c r="A116" s="103" t="s">
        <v>205</v>
      </c>
      <c r="B116" s="104" t="s">
        <v>90</v>
      </c>
      <c r="C116" s="105">
        <v>543360.0</v>
      </c>
      <c r="D116" s="293">
        <v>0.0</v>
      </c>
      <c r="E116" s="294">
        <v>0.0</v>
      </c>
      <c r="F116" s="307">
        <v>0.0</v>
      </c>
      <c r="G116" s="307">
        <v>0.0</v>
      </c>
      <c r="H116" s="108">
        <v>0.0</v>
      </c>
      <c r="I116" s="109">
        <v>0.0</v>
      </c>
      <c r="J116" s="109">
        <v>0.0</v>
      </c>
      <c r="K116" s="109">
        <v>0.0</v>
      </c>
      <c r="L116" s="112">
        <v>0.0</v>
      </c>
      <c r="M116" s="112">
        <v>0.0</v>
      </c>
      <c r="N116" s="111">
        <v>0.0</v>
      </c>
      <c r="O116" s="298">
        <v>0.0</v>
      </c>
      <c r="P116" s="114"/>
      <c r="Q116" s="114"/>
      <c r="R116" s="121" t="str">
        <f t="shared" si="11"/>
        <v/>
      </c>
      <c r="S116" s="116">
        <f t="shared" si="12"/>
        <v>0.526225767</v>
      </c>
      <c r="T116" s="118">
        <v>0.1545</v>
      </c>
      <c r="U116" s="118">
        <f t="shared" si="13"/>
        <v>0.1545</v>
      </c>
      <c r="V116" s="148"/>
      <c r="W116" s="120">
        <f t="shared" si="14"/>
        <v>1</v>
      </c>
      <c r="X116" s="148"/>
      <c r="Y116" s="120">
        <f t="shared" si="15"/>
        <v>1</v>
      </c>
      <c r="Z116" s="299"/>
      <c r="AA116" s="299"/>
      <c r="AB116" s="300" t="str">
        <f t="shared" si="16"/>
        <v/>
      </c>
      <c r="AC116" s="301">
        <f t="shared" si="17"/>
        <v>0.6295826791</v>
      </c>
      <c r="AD116" s="122">
        <v>0.0</v>
      </c>
      <c r="AE116" s="123">
        <v>0.0</v>
      </c>
      <c r="AF116" s="123">
        <v>0.0</v>
      </c>
      <c r="AG116" s="316">
        <v>0.0</v>
      </c>
      <c r="AH116" s="124">
        <v>0.0</v>
      </c>
      <c r="AI116" s="317">
        <v>0.0</v>
      </c>
      <c r="AJ116" s="125">
        <v>0.0</v>
      </c>
      <c r="AK116" s="319">
        <v>0.0</v>
      </c>
      <c r="AL116" s="319">
        <v>0.0</v>
      </c>
      <c r="AM116" s="302">
        <v>0.0</v>
      </c>
      <c r="AN116" s="149" t="str">
        <f>IFERROR(
  AVERAGEIFS(
    'New 20102013 LF Efficacy'!$J:$J,
    'New 20102013 LF Efficacy'!$D:$D, $A116,
    'New 20102013 LF Efficacy'!$F:$F,"DEC", 
    'New 20102013 LF Efficacy'!$W:$W,"&lt;2014",
    'New 20102013 LF Efficacy'!$AA:$AA,""),
  ""
)</f>
        <v/>
      </c>
      <c r="AO116" s="115">
        <f t="shared" si="18"/>
        <v>0.3573520833</v>
      </c>
      <c r="AP116" s="121" t="str">
        <f>IFERROR(
AVERAGEIFS(
'New 20102013 LF Efficacy'!$J:$J,
'New 20102013 LF Efficacy'!$D:$D,$A116,
'New 20102013 LF Efficacy'!$F:$F,"Albendazole &amp; DEC",
'New 20102013 LF Efficacy'!$W:$W,"&lt;2014",
'New 20102013 LF Efficacy'!$AA:$AA,""),
"")
</f>
        <v/>
      </c>
      <c r="AQ116" s="115">
        <f t="shared" si="19"/>
        <v>0.5137291667</v>
      </c>
      <c r="AR116" s="121" t="str">
        <f>IFERROR(
AVERAGEIFS(
'New 20102013 LF Efficacy'!$J:$J,
'New 20102013 LF Efficacy'!$D:$D,$A116,
'New 20102013 LF Efficacy'!$F:$F,"Albendazole &amp; Ivermectin", 
'New 20102013 LF Efficacy'!$W:$W,"&lt;2014",
'New 20102013 LF Efficacy'!$AA:$AA,""),"")</f>
        <v/>
      </c>
      <c r="AS116" s="115">
        <f t="shared" si="20"/>
        <v>0.37153125</v>
      </c>
      <c r="AT116" s="130" t="str">
        <f>IFERROR(AVERAGEIFS(
'20102013 Schist Efficacy'!$O:$O, 
'20102013 Schist Efficacy'!$C:$C,$A116, 
'20102013 Schist Efficacy'!$D:$D, "Praziquantel",
'20102013 Schist Efficacy'!$J:$J,"&lt;2014",
'20102013 Schist Efficacy'!$U:$U,""),
"")</f>
        <v/>
      </c>
      <c r="AU116" s="118">
        <f t="shared" si="21"/>
        <v>0.655</v>
      </c>
      <c r="AV116" s="131" t="str">
        <f>IFERROR(AVERAGEIFS(
'20102013 STH Efficacy'!$AX:$AX, 
'20102013 STH Efficacy'!$AL:$AL, $A116, 
'20102013 STH Efficacy'!$AM:$AM, "Albendazole",
'20102013 STH Efficacy'!$AS:$AS,"&lt;2014",
'20102013 STH Efficacy'!$BP:$BP,""),
"")</f>
        <v/>
      </c>
      <c r="AW116" s="132">
        <f t="shared" si="22"/>
        <v>0.3933333333</v>
      </c>
      <c r="AX116" s="131" t="str">
        <f>IFERROR(AVERAGEIFS(
'20102013 STH Efficacy'!$AX:$AX, 
'20102013 STH Efficacy'!$AL:$AL, $A116, 
'20102013 STH Efficacy'!$AM:$AM, "Mebendazole",
'20102013 STH Efficacy'!$AS:$AS,"&lt;2014",
'20102013 STH Efficacy'!$BP:$BP,""),
"")</f>
        <v/>
      </c>
      <c r="AY116" s="132">
        <f t="shared" si="23"/>
        <v>0.5017738095</v>
      </c>
      <c r="AZ116" s="131" t="str">
        <f>IFERROR(AVERAGEIFS(
'20102013 STH Efficacy'!$AX:$AX, 
'20102013 STH Efficacy'!$AL:$AL, $A116, 
'20102013 STH Efficacy'!$AM:$AM, "Albendazole &amp; Ivermectin",
'20102013 STH Efficacy'!$AS:$AS,"&lt;2014",
'20102013 STH Efficacy'!$BP:$BP,""),
"")</f>
        <v/>
      </c>
      <c r="BA116" s="303">
        <f t="shared" si="24"/>
        <v>0.597625</v>
      </c>
      <c r="BB116" s="134" t="str">
        <f>IFERROR(AVERAGEIFS(
'20102013 STH Efficacy'!$N:$N, 
'20102013 STH Efficacy'!$B:$B, $A116, 
'20102013 STH Efficacy'!$C:$C, "Albendazole",
'20102013 STH Efficacy'!$I:$I,"&lt;2014",
'20102013 STH Efficacy'!$AH:$AH,""),
"")</f>
        <v/>
      </c>
      <c r="BC116" s="135">
        <f t="shared" si="25"/>
        <v>0.7613712121</v>
      </c>
      <c r="BD116" s="134" t="str">
        <f>IFERROR(AVERAGEIFS(
'20102013 STH Efficacy'!$N:$N, 
'20102013 STH Efficacy'!$B:$B, $A116, 
'20102013 STH Efficacy'!$C:$C, "Mebendazole",
'20102013 STH Efficacy'!$I:$I,"&lt;2014",
'20102013 STH Efficacy'!$AH:$AH,""),
"")</f>
        <v/>
      </c>
      <c r="BE116" s="135">
        <f t="shared" si="26"/>
        <v>0.4362466667</v>
      </c>
      <c r="BF116" s="128" t="str">
        <f>IFERROR(AVERAGEIFS(
'20102013 STH Efficacy'!$CD:$CD, 
'20102013 STH Efficacy'!$BS:$BS, $A116, 
'20102013 STH Efficacy'!$BT:$BT, "Albendazole",
'20102013 STH Efficacy'!$BZ:$BZ,"&lt;2014",
'20102013 STH Efficacy'!$CU:$CU,""),
"")</f>
        <v/>
      </c>
      <c r="BG116" s="136">
        <f t="shared" si="27"/>
        <v>0.9216027778</v>
      </c>
      <c r="BH116" s="128" t="str">
        <f>IFERROR(AVERAGEIFS(
'20102013 STH Efficacy'!$CD:$CD, 
'20102013 STH Efficacy'!$BS:$BS, $A116, 
'20102013 STH Efficacy'!$BT:$BT, "Mebendazole",
'20102013 STH Efficacy'!$BZ:$BZ,"&lt;2014",
'20102013 STH Efficacy'!$CU:$CU,""),
"")</f>
        <v/>
      </c>
      <c r="BI116" s="136">
        <f t="shared" si="28"/>
        <v>0.9295857143</v>
      </c>
      <c r="BJ116" s="128" t="str">
        <f>IFERROR(AVERAGEIFS(
'20102013 STH Efficacy'!$CD:$CD, 
'20102013 STH Efficacy'!$BS:$BS, $A116, 
'20102013 STH Efficacy'!$BT:$BT, "Albendazole &amp; Ivermectin",
'20102013 STH Efficacy'!$BZ:$BZ,"&lt;2014",
'20102013 STH Efficacy'!$CU:$CU,""),
"")</f>
        <v/>
      </c>
      <c r="BK116" s="136">
        <f t="shared" si="29"/>
        <v>1</v>
      </c>
      <c r="BL116" s="300" t="str">
        <f>IFERROR(
  AVERAGEIFS(
    'NEW 20102013 Onchocerciasis Eff'!$AO:$AO,
    'NEW 20102013 Onchocerciasis Eff'!$C:$C,$A116,
    'NEW 20102013 Onchocerciasis Eff'!$D:$D,"Ivermectin",
    'NEW 20102013 Onchocerciasis Eff'!$AR:$AR,"&lt;2014",
    'NEW 20102013 Onchocerciasis Eff'!$BG:$BG,"")
,"")</f>
        <v/>
      </c>
      <c r="BM116" s="304">
        <f t="shared" si="30"/>
        <v>0.7808368939</v>
      </c>
      <c r="BN116" s="305">
        <v>0.0</v>
      </c>
      <c r="BO116" s="139">
        <v>1.0</v>
      </c>
      <c r="BP116" s="140">
        <v>0.0</v>
      </c>
      <c r="BQ116" s="141">
        <f t="shared" si="31"/>
        <v>0</v>
      </c>
      <c r="BR116" s="104" t="str">
        <f t="shared" si="32"/>
        <v>0100</v>
      </c>
      <c r="BS116" s="104" t="str">
        <f t="shared" si="33"/>
        <v>MDA3</v>
      </c>
      <c r="BT116" s="142" t="str">
        <f t="shared" si="34"/>
        <v>IVM</v>
      </c>
      <c r="BU116" s="104" t="str">
        <f t="shared" si="35"/>
        <v/>
      </c>
      <c r="BV116" s="104" t="str">
        <f t="shared" si="36"/>
        <v>onch only</v>
      </c>
      <c r="BW116" s="150" t="str">
        <f t="shared" si="37"/>
        <v/>
      </c>
      <c r="BX116" s="150" t="str">
        <f t="shared" si="38"/>
        <v/>
      </c>
      <c r="BY116" s="151" t="str">
        <f t="shared" si="39"/>
        <v/>
      </c>
      <c r="BZ116" s="152" t="str">
        <f t="shared" si="40"/>
        <v/>
      </c>
      <c r="CA116" s="152" t="str">
        <f t="shared" si="41"/>
        <v/>
      </c>
      <c r="CB116" s="152" t="str">
        <f t="shared" si="42"/>
        <v/>
      </c>
      <c r="CC116" s="153" t="str">
        <f t="shared" si="43"/>
        <v/>
      </c>
      <c r="CD116" s="153" t="str">
        <f t="shared" si="44"/>
        <v/>
      </c>
      <c r="CE116" s="154" t="str">
        <f t="shared" si="45"/>
        <v/>
      </c>
      <c r="CF116" s="154" t="str">
        <f t="shared" si="46"/>
        <v/>
      </c>
      <c r="CG116" s="154" t="str">
        <f t="shared" si="47"/>
        <v/>
      </c>
      <c r="CH116" s="313">
        <f t="shared" si="48"/>
        <v>0</v>
      </c>
      <c r="CI116" s="299"/>
    </row>
    <row r="117">
      <c r="A117" s="103" t="s">
        <v>206</v>
      </c>
      <c r="B117" s="104" t="s">
        <v>92</v>
      </c>
      <c r="C117" s="105">
        <v>2.2961146E7</v>
      </c>
      <c r="D117" s="293">
        <v>23851.61</v>
      </c>
      <c r="E117" s="294">
        <v>36195.90865</v>
      </c>
      <c r="F117" s="307">
        <v>1246.058926</v>
      </c>
      <c r="G117" s="307">
        <v>4433.538746</v>
      </c>
      <c r="H117" s="108">
        <v>5679.597671</v>
      </c>
      <c r="I117" s="109">
        <v>771.778805</v>
      </c>
      <c r="J117" s="109">
        <v>1948.22651</v>
      </c>
      <c r="K117" s="109">
        <v>2720.005318</v>
      </c>
      <c r="L117" s="112">
        <v>16110.09598</v>
      </c>
      <c r="M117" s="112">
        <v>8042.040283</v>
      </c>
      <c r="N117" s="111">
        <v>24152.13626</v>
      </c>
      <c r="O117" s="298">
        <v>0.0</v>
      </c>
      <c r="P117" s="160">
        <v>1.7784306E7</v>
      </c>
      <c r="Q117" s="160">
        <v>7892186.0</v>
      </c>
      <c r="R117" s="121">
        <f t="shared" si="11"/>
        <v>0.4437725037</v>
      </c>
      <c r="S117" s="116">
        <f t="shared" si="12"/>
        <v>0.4437725037</v>
      </c>
      <c r="T117" s="130"/>
      <c r="U117" s="118">
        <f t="shared" si="13"/>
        <v>0.252</v>
      </c>
      <c r="V117" s="119">
        <v>0.4445</v>
      </c>
      <c r="W117" s="120">
        <f t="shared" si="14"/>
        <v>0.4445</v>
      </c>
      <c r="X117" s="119">
        <v>0.3553</v>
      </c>
      <c r="Y117" s="120">
        <f t="shared" si="15"/>
        <v>0.3553</v>
      </c>
      <c r="Z117" s="299"/>
      <c r="AA117" s="299"/>
      <c r="AB117" s="300" t="str">
        <f t="shared" si="16"/>
        <v/>
      </c>
      <c r="AC117" s="301">
        <f t="shared" si="17"/>
        <v>0.655321236</v>
      </c>
      <c r="AD117" s="122">
        <v>0.0261</v>
      </c>
      <c r="AE117" s="123">
        <v>0.14</v>
      </c>
      <c r="AF117" s="123">
        <v>0.0519</v>
      </c>
      <c r="AG117" s="124">
        <v>0.2123</v>
      </c>
      <c r="AH117" s="124">
        <v>0.330061136</v>
      </c>
      <c r="AI117" s="125">
        <v>0.0554</v>
      </c>
      <c r="AJ117" s="125">
        <v>0.088788215</v>
      </c>
      <c r="AK117" s="127">
        <v>0.2273</v>
      </c>
      <c r="AL117" s="127">
        <v>0.3515</v>
      </c>
      <c r="AM117" s="302">
        <v>0.0</v>
      </c>
      <c r="AN117" s="149" t="str">
        <f>IFERROR(
  AVERAGEIFS(
    'New 20102013 LF Efficacy'!$J:$J,
    'New 20102013 LF Efficacy'!$D:$D, $A117,
    'New 20102013 LF Efficacy'!$F:$F,"DEC", 
    'New 20102013 LF Efficacy'!$W:$W,"&lt;2014",
    'New 20102013 LF Efficacy'!$AA:$AA,""),
  ""
)</f>
        <v/>
      </c>
      <c r="AO117" s="115">
        <f t="shared" si="18"/>
        <v>0.31225</v>
      </c>
      <c r="AP117" s="121" t="str">
        <f>IFERROR(
AVERAGEIFS(
'New 20102013 LF Efficacy'!$J:$J,
'New 20102013 LF Efficacy'!$D:$D,$A117,
'New 20102013 LF Efficacy'!$F:$F,"Albendazole &amp; DEC",
'New 20102013 LF Efficacy'!$W:$W,"&lt;2014",
'New 20102013 LF Efficacy'!$AA:$AA,""),
"")
</f>
        <v/>
      </c>
      <c r="AQ117" s="115">
        <f t="shared" si="19"/>
        <v>0.4</v>
      </c>
      <c r="AR117" s="121" t="str">
        <f>IFERROR(
AVERAGEIFS(
'New 20102013 LF Efficacy'!$J:$J,
'New 20102013 LF Efficacy'!$D:$D,$A117,
'New 20102013 LF Efficacy'!$F:$F,"Albendazole &amp; Ivermectin", 
'New 20102013 LF Efficacy'!$W:$W,"&lt;2014",
'New 20102013 LF Efficacy'!$AA:$AA,""),"")</f>
        <v/>
      </c>
      <c r="AS117" s="115">
        <f t="shared" si="20"/>
        <v>0.2943125</v>
      </c>
      <c r="AT117" s="130" t="str">
        <f>IFERROR(AVERAGEIFS(
'20102013 Schist Efficacy'!$O:$O, 
'20102013 Schist Efficacy'!$C:$C,$A117, 
'20102013 Schist Efficacy'!$D:$D, "Praziquantel",
'20102013 Schist Efficacy'!$J:$J,"&lt;2014",
'20102013 Schist Efficacy'!$U:$U,""),
"")</f>
        <v/>
      </c>
      <c r="AU117" s="118">
        <f t="shared" si="21"/>
        <v>0.7192212527</v>
      </c>
      <c r="AV117" s="131" t="str">
        <f>IFERROR(AVERAGEIFS(
'20102013 STH Efficacy'!$AX:$AX, 
'20102013 STH Efficacy'!$AL:$AL, $A117, 
'20102013 STH Efficacy'!$AM:$AM, "Albendazole",
'20102013 STH Efficacy'!$AS:$AS,"&lt;2014",
'20102013 STH Efficacy'!$BP:$BP,""),
"")</f>
        <v/>
      </c>
      <c r="AW117" s="132">
        <f t="shared" si="22"/>
        <v>0.3816333333</v>
      </c>
      <c r="AX117" s="131" t="str">
        <f>IFERROR(AVERAGEIFS(
'20102013 STH Efficacy'!$AX:$AX, 
'20102013 STH Efficacy'!$AL:$AL, $A117, 
'20102013 STH Efficacy'!$AM:$AM, "Mebendazole",
'20102013 STH Efficacy'!$AS:$AS,"&lt;2014",
'20102013 STH Efficacy'!$BP:$BP,""),
"")</f>
        <v/>
      </c>
      <c r="AY117" s="132">
        <f t="shared" si="23"/>
        <v>0.5675833333</v>
      </c>
      <c r="AZ117" s="131" t="str">
        <f>IFERROR(AVERAGEIFS(
'20102013 STH Efficacy'!$AX:$AX, 
'20102013 STH Efficacy'!$AL:$AL, $A117, 
'20102013 STH Efficacy'!$AM:$AM, "Albendazole &amp; Ivermectin",
'20102013 STH Efficacy'!$AS:$AS,"&lt;2014",
'20102013 STH Efficacy'!$BP:$BP,""),
"")</f>
        <v/>
      </c>
      <c r="BA117" s="303">
        <f t="shared" si="24"/>
        <v>0.47175</v>
      </c>
      <c r="BB117" s="134" t="str">
        <f>IFERROR(AVERAGEIFS(
'20102013 STH Efficacy'!$N:$N, 
'20102013 STH Efficacy'!$B:$B, $A117, 
'20102013 STH Efficacy'!$C:$C, "Albendazole",
'20102013 STH Efficacy'!$I:$I,"&lt;2014",
'20102013 STH Efficacy'!$AH:$AH,""),
"")</f>
        <v/>
      </c>
      <c r="BC117" s="135">
        <f t="shared" si="25"/>
        <v>0.8699166667</v>
      </c>
      <c r="BD117" s="134" t="str">
        <f>IFERROR(AVERAGEIFS(
'20102013 STH Efficacy'!$N:$N, 
'20102013 STH Efficacy'!$B:$B, $A117, 
'20102013 STH Efficacy'!$C:$C, "Mebendazole",
'20102013 STH Efficacy'!$I:$I,"&lt;2014",
'20102013 STH Efficacy'!$AH:$AH,""),
"")</f>
        <v/>
      </c>
      <c r="BE117" s="135">
        <f t="shared" si="26"/>
        <v>0.7092416667</v>
      </c>
      <c r="BF117" s="128" t="str">
        <f>IFERROR(AVERAGEIFS(
'20102013 STH Efficacy'!$CD:$CD, 
'20102013 STH Efficacy'!$BS:$BS, $A117, 
'20102013 STH Efficacy'!$BT:$BT, "Albendazole",
'20102013 STH Efficacy'!$BZ:$BZ,"&lt;2014",
'20102013 STH Efficacy'!$CU:$CU,""),
"")</f>
        <v/>
      </c>
      <c r="BG117" s="136">
        <f t="shared" si="27"/>
        <v>0.9066666667</v>
      </c>
      <c r="BH117" s="128" t="str">
        <f>IFERROR(AVERAGEIFS(
'20102013 STH Efficacy'!$CD:$CD, 
'20102013 STH Efficacy'!$BS:$BS, $A117, 
'20102013 STH Efficacy'!$BT:$BT, "Mebendazole",
'20102013 STH Efficacy'!$BZ:$BZ,"&lt;2014",
'20102013 STH Efficacy'!$CU:$CU,""),
"")</f>
        <v/>
      </c>
      <c r="BI117" s="136">
        <f t="shared" si="28"/>
        <v>0.9358666667</v>
      </c>
      <c r="BJ117" s="128" t="str">
        <f>IFERROR(AVERAGEIFS(
'20102013 STH Efficacy'!$CD:$CD, 
'20102013 STH Efficacy'!$BS:$BS, $A117, 
'20102013 STH Efficacy'!$BT:$BT, "Albendazole &amp; Ivermectin",
'20102013 STH Efficacy'!$BZ:$BZ,"&lt;2014",
'20102013 STH Efficacy'!$CU:$CU,""),
"")</f>
        <v/>
      </c>
      <c r="BK117" s="136">
        <f t="shared" si="29"/>
        <v>1</v>
      </c>
      <c r="BL117" s="300" t="str">
        <f>IFERROR(
  AVERAGEIFS(
    'NEW 20102013 Onchocerciasis Eff'!$AO:$AO,
    'NEW 20102013 Onchocerciasis Eff'!$C:$C,$A117,
    'NEW 20102013 Onchocerciasis Eff'!$D:$D,"Ivermectin",
    'NEW 20102013 Onchocerciasis Eff'!$AR:$AR,"&lt;2014",
    'NEW 20102013 Onchocerciasis Eff'!$BG:$BG,"")
,"")</f>
        <v/>
      </c>
      <c r="BM117" s="304">
        <f t="shared" si="30"/>
        <v>0.8390421645</v>
      </c>
      <c r="BN117" s="305">
        <v>1.0</v>
      </c>
      <c r="BO117" s="139">
        <v>1.0</v>
      </c>
      <c r="BP117" s="140">
        <v>1.0</v>
      </c>
      <c r="BQ117" s="141">
        <f t="shared" si="31"/>
        <v>1</v>
      </c>
      <c r="BR117" s="104" t="str">
        <f t="shared" si="32"/>
        <v>1111</v>
      </c>
      <c r="BS117" s="104" t="str">
        <f t="shared" si="33"/>
        <v>MDA1+T2</v>
      </c>
      <c r="BT117" s="142" t="str">
        <f t="shared" si="34"/>
        <v>IVM+ALB</v>
      </c>
      <c r="BU117" s="104" t="str">
        <f t="shared" si="35"/>
        <v>PZQ</v>
      </c>
      <c r="BV117" s="104" t="str">
        <f t="shared" si="36"/>
        <v>lf+onch+schist+sth</v>
      </c>
      <c r="BW117" s="150" t="str">
        <f t="shared" si="37"/>
        <v/>
      </c>
      <c r="BX117" s="312">
        <f t="shared" si="38"/>
        <v>3583.200046</v>
      </c>
      <c r="BY117" s="162">
        <f t="shared" si="39"/>
        <v>8012.497577</v>
      </c>
      <c r="BZ117" s="152">
        <f t="shared" si="40"/>
        <v>950.0224192</v>
      </c>
      <c r="CA117" s="152" t="str">
        <f t="shared" si="41"/>
        <v/>
      </c>
      <c r="CB117" s="152">
        <f t="shared" si="42"/>
        <v>1223.372746</v>
      </c>
      <c r="CC117" s="323">
        <f t="shared" si="43"/>
        <v>1358.115545</v>
      </c>
      <c r="CD117" s="153" t="str">
        <f t="shared" si="44"/>
        <v/>
      </c>
      <c r="CE117" s="154">
        <f t="shared" si="45"/>
        <v>14697.3946</v>
      </c>
      <c r="CF117" s="154" t="str">
        <f t="shared" si="46"/>
        <v/>
      </c>
      <c r="CG117" s="154">
        <f t="shared" si="47"/>
        <v>17323.01802</v>
      </c>
      <c r="CH117" s="313">
        <f t="shared" si="48"/>
        <v>0</v>
      </c>
      <c r="CI117" s="299"/>
    </row>
    <row r="118">
      <c r="A118" s="103" t="s">
        <v>207</v>
      </c>
      <c r="B118" s="104" t="s">
        <v>92</v>
      </c>
      <c r="C118" s="105">
        <v>1.6577147E7</v>
      </c>
      <c r="D118" s="293">
        <v>21443.87</v>
      </c>
      <c r="E118" s="294">
        <v>23525.60883</v>
      </c>
      <c r="F118" s="309">
        <v>1.453300181</v>
      </c>
      <c r="G118" s="309">
        <v>6.331977888</v>
      </c>
      <c r="H118" s="157">
        <v>7.785278069</v>
      </c>
      <c r="I118" s="110">
        <v>268.311625</v>
      </c>
      <c r="J118" s="110">
        <v>647.083912</v>
      </c>
      <c r="K118" s="110">
        <v>915.3955369</v>
      </c>
      <c r="L118" s="111">
        <v>2228.339477</v>
      </c>
      <c r="M118" s="111">
        <v>255.3025468</v>
      </c>
      <c r="N118" s="111">
        <v>2483.642024</v>
      </c>
      <c r="O118" s="298">
        <v>4813.478529</v>
      </c>
      <c r="P118" s="160">
        <v>1.4989401E7</v>
      </c>
      <c r="Q118" s="160">
        <v>1.2443745E7</v>
      </c>
      <c r="R118" s="121">
        <f t="shared" si="11"/>
        <v>0.8301695978</v>
      </c>
      <c r="S118" s="116">
        <f t="shared" si="12"/>
        <v>0.8301695978</v>
      </c>
      <c r="T118" s="130"/>
      <c r="U118" s="118">
        <f t="shared" si="13"/>
        <v>0.252</v>
      </c>
      <c r="V118" s="119">
        <v>0.9855</v>
      </c>
      <c r="W118" s="120">
        <f t="shared" si="14"/>
        <v>0.9855</v>
      </c>
      <c r="X118" s="119">
        <v>0.9204</v>
      </c>
      <c r="Y118" s="120">
        <f t="shared" si="15"/>
        <v>0.9204</v>
      </c>
      <c r="Z118" s="310">
        <v>2215041.0</v>
      </c>
      <c r="AA118" s="310">
        <v>1777145.0</v>
      </c>
      <c r="AB118" s="300">
        <f t="shared" si="16"/>
        <v>0.8023079483</v>
      </c>
      <c r="AC118" s="301">
        <f t="shared" si="17"/>
        <v>0.8023079483</v>
      </c>
      <c r="AD118" s="122">
        <v>0.0292</v>
      </c>
      <c r="AE118" s="123">
        <v>0.13</v>
      </c>
      <c r="AF118" s="123">
        <v>0.0483</v>
      </c>
      <c r="AG118" s="124">
        <v>0.0289</v>
      </c>
      <c r="AH118" s="124">
        <v>0.045151723</v>
      </c>
      <c r="AI118" s="125">
        <v>0.0285</v>
      </c>
      <c r="AJ118" s="125">
        <v>0.045653519</v>
      </c>
      <c r="AK118" s="127">
        <v>0.0263</v>
      </c>
      <c r="AL118" s="127">
        <v>0.0414</v>
      </c>
      <c r="AM118" s="302">
        <v>0.004</v>
      </c>
      <c r="AN118" s="149" t="str">
        <f>IFERROR(
  AVERAGEIFS(
    'New 20102013 LF Efficacy'!$J:$J,
    'New 20102013 LF Efficacy'!$D:$D, $A118,
    'New 20102013 LF Efficacy'!$F:$F,"DEC", 
    'New 20102013 LF Efficacy'!$W:$W,"&lt;2014",
    'New 20102013 LF Efficacy'!$AA:$AA,""),
  ""
)</f>
        <v/>
      </c>
      <c r="AO118" s="115">
        <f t="shared" si="18"/>
        <v>0.31225</v>
      </c>
      <c r="AP118" s="121" t="str">
        <f>IFERROR(
AVERAGEIFS(
'New 20102013 LF Efficacy'!$J:$J,
'New 20102013 LF Efficacy'!$D:$D,$A118,
'New 20102013 LF Efficacy'!$F:$F,"Albendazole &amp; DEC",
'New 20102013 LF Efficacy'!$W:$W,"&lt;2014",
'New 20102013 LF Efficacy'!$AA:$AA,""),
"")
</f>
        <v/>
      </c>
      <c r="AQ118" s="115">
        <f t="shared" si="19"/>
        <v>0.4</v>
      </c>
      <c r="AR118" s="121" t="str">
        <f>IFERROR(
AVERAGEIFS(
'New 20102013 LF Efficacy'!$J:$J,
'New 20102013 LF Efficacy'!$D:$D,$A118,
'New 20102013 LF Efficacy'!$F:$F,"Albendazole &amp; Ivermectin", 
'New 20102013 LF Efficacy'!$W:$W,"&lt;2014",
'New 20102013 LF Efficacy'!$AA:$AA,""),"")</f>
        <v/>
      </c>
      <c r="AS118" s="115">
        <f t="shared" si="20"/>
        <v>0.2943125</v>
      </c>
      <c r="AT118" s="130">
        <f>IFERROR(AVERAGEIFS(
'20102013 Schist Efficacy'!$O:$O, 
'20102013 Schist Efficacy'!$C:$C,$A118, 
'20102013 Schist Efficacy'!$D:$D, "Praziquantel",
'20102013 Schist Efficacy'!$J:$J,"&lt;2014",
'20102013 Schist Efficacy'!$U:$U,""),
"")</f>
        <v>0.2825</v>
      </c>
      <c r="AU118" s="118">
        <f t="shared" si="21"/>
        <v>0.2825</v>
      </c>
      <c r="AV118" s="131" t="str">
        <f>IFERROR(AVERAGEIFS(
'20102013 STH Efficacy'!$AX:$AX, 
'20102013 STH Efficacy'!$AL:$AL, $A118, 
'20102013 STH Efficacy'!$AM:$AM, "Albendazole",
'20102013 STH Efficacy'!$AS:$AS,"&lt;2014",
'20102013 STH Efficacy'!$BP:$BP,""),
"")</f>
        <v/>
      </c>
      <c r="AW118" s="132">
        <f t="shared" si="22"/>
        <v>0.3816333333</v>
      </c>
      <c r="AX118" s="131" t="str">
        <f>IFERROR(AVERAGEIFS(
'20102013 STH Efficacy'!$AX:$AX, 
'20102013 STH Efficacy'!$AL:$AL, $A118, 
'20102013 STH Efficacy'!$AM:$AM, "Mebendazole",
'20102013 STH Efficacy'!$AS:$AS,"&lt;2014",
'20102013 STH Efficacy'!$BP:$BP,""),
"")</f>
        <v/>
      </c>
      <c r="AY118" s="132">
        <f t="shared" si="23"/>
        <v>0.5675833333</v>
      </c>
      <c r="AZ118" s="131" t="str">
        <f>IFERROR(AVERAGEIFS(
'20102013 STH Efficacy'!$AX:$AX, 
'20102013 STH Efficacy'!$AL:$AL, $A118, 
'20102013 STH Efficacy'!$AM:$AM, "Albendazole &amp; Ivermectin",
'20102013 STH Efficacy'!$AS:$AS,"&lt;2014",
'20102013 STH Efficacy'!$BP:$BP,""),
"")</f>
        <v/>
      </c>
      <c r="BA118" s="303">
        <f t="shared" si="24"/>
        <v>0.47175</v>
      </c>
      <c r="BB118" s="134">
        <f>IFERROR(AVERAGEIFS(
'20102013 STH Efficacy'!$N:$N, 
'20102013 STH Efficacy'!$B:$B, $A118, 
'20102013 STH Efficacy'!$C:$C, "Albendazole",
'20102013 STH Efficacy'!$I:$I,"&lt;2014",
'20102013 STH Efficacy'!$AH:$AH,""),
"")</f>
        <v>0.923</v>
      </c>
      <c r="BC118" s="135">
        <f t="shared" si="25"/>
        <v>0.923</v>
      </c>
      <c r="BD118" s="134">
        <f>IFERROR(AVERAGEIFS(
'20102013 STH Efficacy'!$N:$N, 
'20102013 STH Efficacy'!$B:$B, $A118, 
'20102013 STH Efficacy'!$C:$C, "Mebendazole",
'20102013 STH Efficacy'!$I:$I,"&lt;2014",
'20102013 STH Efficacy'!$AH:$AH,""),
"")</f>
        <v>0.982</v>
      </c>
      <c r="BE118" s="135">
        <f t="shared" si="26"/>
        <v>0.982</v>
      </c>
      <c r="BF118" s="128" t="str">
        <f>IFERROR(AVERAGEIFS(
'20102013 STH Efficacy'!$CD:$CD, 
'20102013 STH Efficacy'!$BS:$BS, $A118, 
'20102013 STH Efficacy'!$BT:$BT, "Albendazole",
'20102013 STH Efficacy'!$BZ:$BZ,"&lt;2014",
'20102013 STH Efficacy'!$CU:$CU,""),
"")</f>
        <v/>
      </c>
      <c r="BG118" s="136">
        <f t="shared" si="27"/>
        <v>0.9066666667</v>
      </c>
      <c r="BH118" s="128" t="str">
        <f>IFERROR(AVERAGEIFS(
'20102013 STH Efficacy'!$CD:$CD, 
'20102013 STH Efficacy'!$BS:$BS, $A118, 
'20102013 STH Efficacy'!$BT:$BT, "Mebendazole",
'20102013 STH Efficacy'!$BZ:$BZ,"&lt;2014",
'20102013 STH Efficacy'!$CU:$CU,""),
"")</f>
        <v/>
      </c>
      <c r="BI118" s="136">
        <f t="shared" si="28"/>
        <v>0.9358666667</v>
      </c>
      <c r="BJ118" s="128" t="str">
        <f>IFERROR(AVERAGEIFS(
'20102013 STH Efficacy'!$CD:$CD, 
'20102013 STH Efficacy'!$BS:$BS, $A118, 
'20102013 STH Efficacy'!$BT:$BT, "Albendazole &amp; Ivermectin",
'20102013 STH Efficacy'!$BZ:$BZ,"&lt;2014",
'20102013 STH Efficacy'!$CU:$CU,""),
"")</f>
        <v/>
      </c>
      <c r="BK118" s="136">
        <f t="shared" si="29"/>
        <v>1</v>
      </c>
      <c r="BL118" s="300" t="str">
        <f>IFERROR(
  AVERAGEIFS(
    'NEW 20102013 Onchocerciasis Eff'!$AO:$AO,
    'NEW 20102013 Onchocerciasis Eff'!$C:$C,$A118,
    'NEW 20102013 Onchocerciasis Eff'!$D:$D,"Ivermectin",
    'NEW 20102013 Onchocerciasis Eff'!$AR:$AR,"&lt;2014",
    'NEW 20102013 Onchocerciasis Eff'!$BG:$BG,"")
,"")</f>
        <v/>
      </c>
      <c r="BM118" s="304">
        <f t="shared" si="30"/>
        <v>0.8390421645</v>
      </c>
      <c r="BN118" s="305">
        <v>1.0</v>
      </c>
      <c r="BO118" s="139">
        <v>0.0</v>
      </c>
      <c r="BP118" s="140">
        <v>1.0</v>
      </c>
      <c r="BQ118" s="141">
        <f t="shared" si="31"/>
        <v>0</v>
      </c>
      <c r="BR118" s="104" t="str">
        <f t="shared" si="32"/>
        <v>1010</v>
      </c>
      <c r="BS118" s="104" t="str">
        <f t="shared" si="33"/>
        <v>MDA1/2+T2</v>
      </c>
      <c r="BT118" s="142" t="str">
        <f t="shared" si="34"/>
        <v>DEC +ALB</v>
      </c>
      <c r="BU118" s="104" t="str">
        <f t="shared" si="35"/>
        <v>PZQ</v>
      </c>
      <c r="BV118" s="104" t="str">
        <f t="shared" si="36"/>
        <v>lf+schist </v>
      </c>
      <c r="BW118" s="150" t="str">
        <f t="shared" si="37"/>
        <v/>
      </c>
      <c r="BX118" s="150" t="str">
        <f t="shared" si="38"/>
        <v/>
      </c>
      <c r="BY118" s="162">
        <f t="shared" si="39"/>
        <v>1803.154674</v>
      </c>
      <c r="BZ118" s="152" t="str">
        <f t="shared" si="40"/>
        <v/>
      </c>
      <c r="CA118" s="152" t="str">
        <f t="shared" si="41"/>
        <v/>
      </c>
      <c r="CB118" s="152" t="str">
        <f t="shared" si="42"/>
        <v/>
      </c>
      <c r="CC118" s="153" t="str">
        <f t="shared" si="43"/>
        <v/>
      </c>
      <c r="CD118" s="153" t="str">
        <f t="shared" si="44"/>
        <v/>
      </c>
      <c r="CE118" s="154" t="str">
        <f t="shared" si="45"/>
        <v/>
      </c>
      <c r="CF118" s="154" t="str">
        <f t="shared" si="46"/>
        <v/>
      </c>
      <c r="CG118" s="154" t="str">
        <f t="shared" si="47"/>
        <v/>
      </c>
      <c r="CH118" s="308" t="str">
        <f t="shared" si="48"/>
        <v/>
      </c>
      <c r="CI118" s="299"/>
    </row>
    <row r="119">
      <c r="A119" s="103" t="s">
        <v>208</v>
      </c>
      <c r="B119" s="104" t="s">
        <v>94</v>
      </c>
      <c r="C119" s="105">
        <v>2.9706724E7</v>
      </c>
      <c r="D119" s="293">
        <v>102.22999999999999</v>
      </c>
      <c r="E119" s="321">
        <v>0.0</v>
      </c>
      <c r="F119" s="322">
        <v>152.9530609</v>
      </c>
      <c r="G119" s="322">
        <v>537.293948</v>
      </c>
      <c r="H119" s="157">
        <v>690.2470088</v>
      </c>
      <c r="I119" s="110">
        <v>1348.37147</v>
      </c>
      <c r="J119" s="110">
        <v>4040.47303</v>
      </c>
      <c r="K119" s="110">
        <v>5388.844499</v>
      </c>
      <c r="L119" s="111">
        <v>1655.969249</v>
      </c>
      <c r="M119" s="111">
        <v>5204.908588</v>
      </c>
      <c r="N119" s="111">
        <v>6860.877838</v>
      </c>
      <c r="O119" s="298">
        <v>0.0</v>
      </c>
      <c r="P119" s="160">
        <v>660208.0</v>
      </c>
      <c r="Q119" s="160">
        <v>604991.0</v>
      </c>
      <c r="R119" s="121">
        <f t="shared" si="11"/>
        <v>0.9163642367</v>
      </c>
      <c r="S119" s="116">
        <f t="shared" si="12"/>
        <v>0.9163642367</v>
      </c>
      <c r="T119" s="130"/>
      <c r="U119" s="118">
        <f t="shared" si="13"/>
        <v>0.6259666667</v>
      </c>
      <c r="V119" s="148"/>
      <c r="W119" s="120">
        <f t="shared" si="14"/>
        <v>0.3807857143</v>
      </c>
      <c r="X119" s="148"/>
      <c r="Y119" s="120">
        <f t="shared" si="15"/>
        <v>0.3971375</v>
      </c>
      <c r="Z119" s="299"/>
      <c r="AA119" s="299"/>
      <c r="AB119" s="300" t="str">
        <f t="shared" si="16"/>
        <v/>
      </c>
      <c r="AC119" s="301">
        <f t="shared" si="17"/>
        <v>0.6295826791</v>
      </c>
      <c r="AD119" s="122">
        <v>1.0E-4</v>
      </c>
      <c r="AE119" s="123">
        <v>0.0</v>
      </c>
      <c r="AF119" s="123">
        <v>0.0</v>
      </c>
      <c r="AG119" s="124">
        <v>0.1295</v>
      </c>
      <c r="AH119" s="124">
        <v>0.145455759</v>
      </c>
      <c r="AI119" s="125">
        <v>0.1308</v>
      </c>
      <c r="AJ119" s="125">
        <v>0.206404358</v>
      </c>
      <c r="AK119" s="319">
        <v>0.0</v>
      </c>
      <c r="AL119" s="319">
        <v>0.4321</v>
      </c>
      <c r="AM119" s="302">
        <v>0.0</v>
      </c>
      <c r="AN119" s="149" t="str">
        <f>IFERROR(
  AVERAGEIFS(
    'New 20102013 LF Efficacy'!$J:$J,
    'New 20102013 LF Efficacy'!$D:$D, $A119,
    'New 20102013 LF Efficacy'!$F:$F,"DEC", 
    'New 20102013 LF Efficacy'!$W:$W,"&lt;2014",
    'New 20102013 LF Efficacy'!$AA:$AA,""),
  ""
)</f>
        <v/>
      </c>
      <c r="AO119" s="115">
        <f t="shared" si="18"/>
        <v>0.38</v>
      </c>
      <c r="AP119" s="121" t="str">
        <f>IFERROR(
AVERAGEIFS(
'New 20102013 LF Efficacy'!$J:$J,
'New 20102013 LF Efficacy'!$D:$D,$A119,
'New 20102013 LF Efficacy'!$F:$F,"Albendazole &amp; DEC",
'New 20102013 LF Efficacy'!$W:$W,"&lt;2014",
'New 20102013 LF Efficacy'!$AA:$AA,""),
"")
</f>
        <v/>
      </c>
      <c r="AQ119" s="115">
        <f t="shared" si="19"/>
        <v>0.657</v>
      </c>
      <c r="AR119" s="121" t="str">
        <f>IFERROR(
AVERAGEIFS(
'New 20102013 LF Efficacy'!$J:$J,
'New 20102013 LF Efficacy'!$D:$D,$A119,
'New 20102013 LF Efficacy'!$F:$F,"Albendazole &amp; Ivermectin", 
'New 20102013 LF Efficacy'!$W:$W,"&lt;2014",
'New 20102013 LF Efficacy'!$AA:$AA,""),"")</f>
        <v/>
      </c>
      <c r="AS119" s="115">
        <f t="shared" si="20"/>
        <v>0.37153125</v>
      </c>
      <c r="AT119" s="130" t="str">
        <f>IFERROR(AVERAGEIFS(
'20102013 Schist Efficacy'!$O:$O, 
'20102013 Schist Efficacy'!$C:$C,$A119, 
'20102013 Schist Efficacy'!$D:$D, "Praziquantel",
'20102013 Schist Efficacy'!$J:$J,"&lt;2014",
'20102013 Schist Efficacy'!$U:$U,""),
"")</f>
        <v/>
      </c>
      <c r="AU119" s="118">
        <f t="shared" si="21"/>
        <v>0.9475</v>
      </c>
      <c r="AV119" s="131" t="str">
        <f>IFERROR(AVERAGEIFS(
'20102013 STH Efficacy'!$AX:$AX, 
'20102013 STH Efficacy'!$AL:$AL, $A119, 
'20102013 STH Efficacy'!$AM:$AM, "Albendazole",
'20102013 STH Efficacy'!$AS:$AS,"&lt;2014",
'20102013 STH Efficacy'!$BP:$BP,""),
"")</f>
        <v/>
      </c>
      <c r="AW119" s="132">
        <f t="shared" si="22"/>
        <v>0.3571666667</v>
      </c>
      <c r="AX119" s="131" t="str">
        <f>IFERROR(AVERAGEIFS(
'20102013 STH Efficacy'!$AX:$AX, 
'20102013 STH Efficacy'!$AL:$AL, $A119, 
'20102013 STH Efficacy'!$AM:$AM, "Mebendazole",
'20102013 STH Efficacy'!$AS:$AS,"&lt;2014",
'20102013 STH Efficacy'!$BP:$BP,""),
"")</f>
        <v/>
      </c>
      <c r="AY119" s="132">
        <f t="shared" si="23"/>
        <v>0.4155</v>
      </c>
      <c r="AZ119" s="131" t="str">
        <f>IFERROR(AVERAGEIFS(
'20102013 STH Efficacy'!$AX:$AX, 
'20102013 STH Efficacy'!$AL:$AL, $A119, 
'20102013 STH Efficacy'!$AM:$AM, "Albendazole &amp; Ivermectin",
'20102013 STH Efficacy'!$AS:$AS,"&lt;2014",
'20102013 STH Efficacy'!$BP:$BP,""),
"")</f>
        <v/>
      </c>
      <c r="BA119" s="303">
        <f t="shared" si="24"/>
        <v>0.651</v>
      </c>
      <c r="BB119" s="134" t="str">
        <f>IFERROR(AVERAGEIFS(
'20102013 STH Efficacy'!$N:$N, 
'20102013 STH Efficacy'!$B:$B, $A119, 
'20102013 STH Efficacy'!$C:$C, "Albendazole",
'20102013 STH Efficacy'!$I:$I,"&lt;2014",
'20102013 STH Efficacy'!$AH:$AH,""),
"")</f>
        <v/>
      </c>
      <c r="BC119" s="135">
        <f t="shared" si="25"/>
        <v>0.5769166667</v>
      </c>
      <c r="BD119" s="134" t="str">
        <f>IFERROR(AVERAGEIFS(
'20102013 STH Efficacy'!$N:$N, 
'20102013 STH Efficacy'!$B:$B, $A119, 
'20102013 STH Efficacy'!$C:$C, "Mebendazole",
'20102013 STH Efficacy'!$I:$I,"&lt;2014",
'20102013 STH Efficacy'!$AH:$AH,""),
"")</f>
        <v/>
      </c>
      <c r="BE119" s="135">
        <f t="shared" si="26"/>
        <v>0.3145</v>
      </c>
      <c r="BF119" s="128">
        <f>IFERROR(AVERAGEIFS(
'20102013 STH Efficacy'!$CD:$CD, 
'20102013 STH Efficacy'!$BS:$BS, $A119, 
'20102013 STH Efficacy'!$BT:$BT, "Albendazole",
'20102013 STH Efficacy'!$BZ:$BZ,"&lt;2014",
'20102013 STH Efficacy'!$CU:$CU,""),
"")</f>
        <v>0.974</v>
      </c>
      <c r="BG119" s="136">
        <f t="shared" si="27"/>
        <v>0.974</v>
      </c>
      <c r="BH119" s="128" t="str">
        <f>IFERROR(AVERAGEIFS(
'20102013 STH Efficacy'!$CD:$CD, 
'20102013 STH Efficacy'!$BS:$BS, $A119, 
'20102013 STH Efficacy'!$BT:$BT, "Mebendazole",
'20102013 STH Efficacy'!$BZ:$BZ,"&lt;2014",
'20102013 STH Efficacy'!$CU:$CU,""),
"")</f>
        <v/>
      </c>
      <c r="BI119" s="136">
        <f t="shared" si="28"/>
        <v>0.9305</v>
      </c>
      <c r="BJ119" s="128" t="str">
        <f>IFERROR(AVERAGEIFS(
'20102013 STH Efficacy'!$CD:$CD, 
'20102013 STH Efficacy'!$BS:$BS, $A119, 
'20102013 STH Efficacy'!$BT:$BT, "Albendazole &amp; Ivermectin",
'20102013 STH Efficacy'!$BZ:$BZ,"&lt;2014",
'20102013 STH Efficacy'!$CU:$CU,""),
"")</f>
        <v/>
      </c>
      <c r="BK119" s="136">
        <f t="shared" si="29"/>
        <v>1</v>
      </c>
      <c r="BL119" s="300" t="str">
        <f>IFERROR(
  AVERAGEIFS(
    'NEW 20102013 Onchocerciasis Eff'!$AO:$AO,
    'NEW 20102013 Onchocerciasis Eff'!$C:$C,$A119,
    'NEW 20102013 Onchocerciasis Eff'!$D:$D,"Ivermectin",
    'NEW 20102013 Onchocerciasis Eff'!$AR:$AR,"&lt;2014",
    'NEW 20102013 Onchocerciasis Eff'!$BG:$BG,"")
,"")</f>
        <v/>
      </c>
      <c r="BM119" s="304">
        <f t="shared" si="30"/>
        <v>0.7808368939</v>
      </c>
      <c r="BN119" s="305">
        <v>1.0</v>
      </c>
      <c r="BO119" s="139">
        <v>0.0</v>
      </c>
      <c r="BP119" s="140">
        <v>0.0</v>
      </c>
      <c r="BQ119" s="141">
        <f t="shared" si="31"/>
        <v>1</v>
      </c>
      <c r="BR119" s="104" t="str">
        <f t="shared" si="32"/>
        <v>1001</v>
      </c>
      <c r="BS119" s="104" t="str">
        <f t="shared" si="33"/>
        <v>MDA1/2</v>
      </c>
      <c r="BT119" s="142" t="str">
        <f t="shared" si="34"/>
        <v>DEC+ALB</v>
      </c>
      <c r="BU119" s="104" t="str">
        <f t="shared" si="35"/>
        <v/>
      </c>
      <c r="BV119" s="104" t="str">
        <f t="shared" si="36"/>
        <v>lf+sth</v>
      </c>
      <c r="BW119" s="312">
        <f t="shared" si="37"/>
        <v>154.6624108</v>
      </c>
      <c r="BX119" s="150" t="str">
        <f t="shared" si="38"/>
        <v/>
      </c>
      <c r="BY119" s="151" t="str">
        <f t="shared" si="39"/>
        <v/>
      </c>
      <c r="BZ119" s="152">
        <f t="shared" si="40"/>
        <v>112.8858969</v>
      </c>
      <c r="CA119" s="152" t="str">
        <f t="shared" si="41"/>
        <v/>
      </c>
      <c r="CB119" s="152" t="str">
        <f t="shared" si="42"/>
        <v/>
      </c>
      <c r="CC119" s="323">
        <f t="shared" si="43"/>
        <v>1580.476639</v>
      </c>
      <c r="CD119" s="153" t="str">
        <f t="shared" si="44"/>
        <v/>
      </c>
      <c r="CE119" s="154">
        <f t="shared" si="45"/>
        <v>4259.617935</v>
      </c>
      <c r="CF119" s="154" t="str">
        <f t="shared" si="46"/>
        <v/>
      </c>
      <c r="CG119" s="154" t="str">
        <f t="shared" si="47"/>
        <v/>
      </c>
      <c r="CH119" s="308" t="str">
        <f t="shared" si="48"/>
        <v/>
      </c>
      <c r="CI119" s="299"/>
    </row>
    <row r="120">
      <c r="A120" s="155" t="s">
        <v>209</v>
      </c>
      <c r="B120" s="104" t="s">
        <v>109</v>
      </c>
      <c r="C120" s="105">
        <v>393000.0</v>
      </c>
      <c r="D120" s="293">
        <v>22.259999999999998</v>
      </c>
      <c r="E120" s="294">
        <v>0.0</v>
      </c>
      <c r="F120" s="309">
        <v>0.0</v>
      </c>
      <c r="G120" s="309">
        <v>0.0</v>
      </c>
      <c r="H120" s="108">
        <v>0.0</v>
      </c>
      <c r="I120" s="109">
        <v>0.0015178</v>
      </c>
      <c r="J120" s="109">
        <v>0.00195984</v>
      </c>
      <c r="K120" s="109">
        <v>0.003477636</v>
      </c>
      <c r="L120" s="112">
        <v>0.05399729</v>
      </c>
      <c r="M120" s="112">
        <v>0.020064291</v>
      </c>
      <c r="N120" s="111">
        <v>0.074061581</v>
      </c>
      <c r="O120" s="298">
        <v>0.0</v>
      </c>
      <c r="P120" s="156"/>
      <c r="Q120" s="156"/>
      <c r="R120" s="121" t="str">
        <f t="shared" si="11"/>
        <v/>
      </c>
      <c r="S120" s="116">
        <f t="shared" si="12"/>
        <v>0.3974936367</v>
      </c>
      <c r="T120" s="118">
        <v>0.704</v>
      </c>
      <c r="U120" s="118">
        <f t="shared" si="13"/>
        <v>0.704</v>
      </c>
      <c r="V120" s="148"/>
      <c r="W120" s="120">
        <f t="shared" si="14"/>
        <v>0.4055571429</v>
      </c>
      <c r="X120" s="148"/>
      <c r="Y120" s="120">
        <f t="shared" si="15"/>
        <v>0.4403166667</v>
      </c>
      <c r="Z120" s="299"/>
      <c r="AA120" s="299"/>
      <c r="AB120" s="300" t="str">
        <f t="shared" si="16"/>
        <v/>
      </c>
      <c r="AC120" s="301">
        <f t="shared" si="17"/>
        <v>0.6295826791</v>
      </c>
      <c r="AD120" s="122">
        <v>0.0</v>
      </c>
      <c r="AE120" s="123">
        <v>0.0</v>
      </c>
      <c r="AF120" s="123">
        <v>0.0</v>
      </c>
      <c r="AG120" s="124">
        <v>0.0</v>
      </c>
      <c r="AH120" s="124">
        <v>1.12461E-5</v>
      </c>
      <c r="AI120" s="125">
        <v>0.0</v>
      </c>
      <c r="AJ120" s="125">
        <v>1.11771E-5</v>
      </c>
      <c r="AK120" s="127">
        <v>0.0</v>
      </c>
      <c r="AL120" s="127">
        <v>0.0</v>
      </c>
      <c r="AM120" s="302">
        <v>0.0</v>
      </c>
      <c r="AN120" s="149" t="str">
        <f>IFERROR(
  AVERAGEIFS(
    'New 20102013 LF Efficacy'!$J:$J,
    'New 20102013 LF Efficacy'!$D:$D, $A120,
    'New 20102013 LF Efficacy'!$F:$F,"DEC", 
    'New 20102013 LF Efficacy'!$W:$W,"&lt;2014",
    'New 20102013 LF Efficacy'!$AA:$AA,""),
  ""
)</f>
        <v/>
      </c>
      <c r="AO120" s="115">
        <f t="shared" si="18"/>
        <v>0.478175</v>
      </c>
      <c r="AP120" s="121" t="str">
        <f>IFERROR(
AVERAGEIFS(
'New 20102013 LF Efficacy'!$J:$J,
'New 20102013 LF Efficacy'!$D:$D,$A120,
'New 20102013 LF Efficacy'!$F:$F,"Albendazole &amp; DEC",
'New 20102013 LF Efficacy'!$W:$W,"&lt;2014",
'New 20102013 LF Efficacy'!$AA:$AA,""),
"")
</f>
        <v/>
      </c>
      <c r="AQ120" s="115">
        <f t="shared" si="19"/>
        <v>0.5831666667</v>
      </c>
      <c r="AR120" s="121" t="str">
        <f>IFERROR(
AVERAGEIFS(
'New 20102013 LF Efficacy'!$J:$J,
'New 20102013 LF Efficacy'!$D:$D,$A120,
'New 20102013 LF Efficacy'!$F:$F,"Albendazole &amp; Ivermectin", 
'New 20102013 LF Efficacy'!$W:$W,"&lt;2014",
'New 20102013 LF Efficacy'!$AA:$AA,""),"")</f>
        <v/>
      </c>
      <c r="AS120" s="115">
        <f t="shared" si="20"/>
        <v>0.14</v>
      </c>
      <c r="AT120" s="130" t="str">
        <f>IFERROR(AVERAGEIFS(
'20102013 Schist Efficacy'!$O:$O, 
'20102013 Schist Efficacy'!$C:$C,$A120, 
'20102013 Schist Efficacy'!$D:$D, "Praziquantel",
'20102013 Schist Efficacy'!$J:$J,"&lt;2014",
'20102013 Schist Efficacy'!$U:$U,""),
"")</f>
        <v/>
      </c>
      <c r="AU120" s="118">
        <f t="shared" si="21"/>
        <v>0.7430399392</v>
      </c>
      <c r="AV120" s="131" t="str">
        <f>IFERROR(AVERAGEIFS(
'20102013 STH Efficacy'!$AX:$AX, 
'20102013 STH Efficacy'!$AL:$AL, $A120, 
'20102013 STH Efficacy'!$AM:$AM, "Albendazole",
'20102013 STH Efficacy'!$AS:$AS,"&lt;2014",
'20102013 STH Efficacy'!$BP:$BP,""),
"")</f>
        <v/>
      </c>
      <c r="AW120" s="132">
        <f t="shared" si="22"/>
        <v>0.4756666667</v>
      </c>
      <c r="AX120" s="131" t="str">
        <f>IFERROR(AVERAGEIFS(
'20102013 STH Efficacy'!$AX:$AX, 
'20102013 STH Efficacy'!$AL:$AL, $A120, 
'20102013 STH Efficacy'!$AM:$AM, "Mebendazole",
'20102013 STH Efficacy'!$AS:$AS,"&lt;2014",
'20102013 STH Efficacy'!$BP:$BP,""),
"")</f>
        <v/>
      </c>
      <c r="AY120" s="132">
        <f t="shared" si="23"/>
        <v>0.3786666667</v>
      </c>
      <c r="AZ120" s="131" t="str">
        <f>IFERROR(AVERAGEIFS(
'20102013 STH Efficacy'!$AX:$AX, 
'20102013 STH Efficacy'!$AL:$AL, $A120, 
'20102013 STH Efficacy'!$AM:$AM, "Albendazole &amp; Ivermectin",
'20102013 STH Efficacy'!$AS:$AS,"&lt;2014",
'20102013 STH Efficacy'!$BP:$BP,""),
"")</f>
        <v/>
      </c>
      <c r="BA120" s="303">
        <f t="shared" si="24"/>
        <v>0.597625</v>
      </c>
      <c r="BB120" s="134" t="str">
        <f>IFERROR(AVERAGEIFS(
'20102013 STH Efficacy'!$N:$N, 
'20102013 STH Efficacy'!$B:$B, $A120, 
'20102013 STH Efficacy'!$C:$C, "Albendazole",
'20102013 STH Efficacy'!$I:$I,"&lt;2014",
'20102013 STH Efficacy'!$AH:$AH,""),
"")</f>
        <v/>
      </c>
      <c r="BC120" s="135">
        <f t="shared" si="25"/>
        <v>0.7133333333</v>
      </c>
      <c r="BD120" s="134" t="str">
        <f>IFERROR(AVERAGEIFS(
'20102013 STH Efficacy'!$N:$N, 
'20102013 STH Efficacy'!$B:$B, $A120, 
'20102013 STH Efficacy'!$C:$C, "Mebendazole",
'20102013 STH Efficacy'!$I:$I,"&lt;2014",
'20102013 STH Efficacy'!$AH:$AH,""),
"")</f>
        <v/>
      </c>
      <c r="BE120" s="135">
        <f t="shared" si="26"/>
        <v>0.205</v>
      </c>
      <c r="BF120" s="128" t="str">
        <f>IFERROR(AVERAGEIFS(
'20102013 STH Efficacy'!$CD:$CD, 
'20102013 STH Efficacy'!$BS:$BS, $A120, 
'20102013 STH Efficacy'!$BT:$BT, "Albendazole",
'20102013 STH Efficacy'!$BZ:$BZ,"&lt;2014",
'20102013 STH Efficacy'!$CU:$CU,""),
"")</f>
        <v/>
      </c>
      <c r="BG120" s="136">
        <f t="shared" si="27"/>
        <v>0.83</v>
      </c>
      <c r="BH120" s="128" t="str">
        <f>IFERROR(AVERAGEIFS(
'20102013 STH Efficacy'!$CD:$CD, 
'20102013 STH Efficacy'!$BS:$BS, $A120, 
'20102013 STH Efficacy'!$BT:$BT, "Mebendazole",
'20102013 STH Efficacy'!$BZ:$BZ,"&lt;2014",
'20102013 STH Efficacy'!$CU:$CU,""),
"")</f>
        <v/>
      </c>
      <c r="BI120" s="136">
        <f t="shared" si="28"/>
        <v>1</v>
      </c>
      <c r="BJ120" s="128" t="str">
        <f>IFERROR(AVERAGEIFS(
'20102013 STH Efficacy'!$CD:$CD, 
'20102013 STH Efficacy'!$BS:$BS, $A120, 
'20102013 STH Efficacy'!$BT:$BT, "Albendazole &amp; Ivermectin",
'20102013 STH Efficacy'!$BZ:$BZ,"&lt;2014",
'20102013 STH Efficacy'!$CU:$CU,""),
"")</f>
        <v/>
      </c>
      <c r="BK120" s="136">
        <f t="shared" si="29"/>
        <v>1</v>
      </c>
      <c r="BL120" s="300" t="str">
        <f>IFERROR(
  AVERAGEIFS(
    'NEW 20102013 Onchocerciasis Eff'!$AO:$AO,
    'NEW 20102013 Onchocerciasis Eff'!$C:$C,$A120,
    'NEW 20102013 Onchocerciasis Eff'!$D:$D,"Ivermectin",
    'NEW 20102013 Onchocerciasis Eff'!$AR:$AR,"&lt;2014",
    'NEW 20102013 Onchocerciasis Eff'!$BG:$BG,"")
,"")</f>
        <v/>
      </c>
      <c r="BM120" s="304">
        <f t="shared" si="30"/>
        <v>0.7808368939</v>
      </c>
      <c r="BN120" s="305">
        <v>0.0</v>
      </c>
      <c r="BO120" s="139">
        <v>1.0</v>
      </c>
      <c r="BP120" s="140">
        <v>0.0</v>
      </c>
      <c r="BQ120" s="141">
        <f t="shared" si="31"/>
        <v>0</v>
      </c>
      <c r="BR120" s="104" t="str">
        <f t="shared" si="32"/>
        <v>0100</v>
      </c>
      <c r="BS120" s="104" t="str">
        <f t="shared" si="33"/>
        <v>MDA3</v>
      </c>
      <c r="BT120" s="142" t="str">
        <f t="shared" si="34"/>
        <v>IVM</v>
      </c>
      <c r="BU120" s="104" t="str">
        <f t="shared" si="35"/>
        <v/>
      </c>
      <c r="BV120" s="104" t="str">
        <f t="shared" si="36"/>
        <v>onch only</v>
      </c>
      <c r="BW120" s="150" t="str">
        <f t="shared" si="37"/>
        <v/>
      </c>
      <c r="BX120" s="150" t="str">
        <f t="shared" si="38"/>
        <v/>
      </c>
      <c r="BY120" s="151" t="str">
        <f t="shared" si="39"/>
        <v/>
      </c>
      <c r="BZ120" s="152" t="str">
        <f t="shared" si="40"/>
        <v/>
      </c>
      <c r="CA120" s="152" t="str">
        <f t="shared" si="41"/>
        <v/>
      </c>
      <c r="CB120" s="152" t="str">
        <f t="shared" si="42"/>
        <v/>
      </c>
      <c r="CC120" s="153" t="str">
        <f t="shared" si="43"/>
        <v/>
      </c>
      <c r="CD120" s="153" t="str">
        <f t="shared" si="44"/>
        <v/>
      </c>
      <c r="CE120" s="154" t="str">
        <f t="shared" si="45"/>
        <v/>
      </c>
      <c r="CF120" s="154" t="str">
        <f t="shared" si="46"/>
        <v/>
      </c>
      <c r="CG120" s="154" t="str">
        <f t="shared" si="47"/>
        <v/>
      </c>
      <c r="CH120" s="313">
        <f t="shared" si="48"/>
        <v>0</v>
      </c>
      <c r="CI120" s="299"/>
    </row>
    <row r="121">
      <c r="A121" s="103" t="s">
        <v>210</v>
      </c>
      <c r="B121" s="104" t="s">
        <v>92</v>
      </c>
      <c r="C121" s="105">
        <v>1.6477818E7</v>
      </c>
      <c r="D121" s="293">
        <v>34901.77</v>
      </c>
      <c r="E121" s="294">
        <v>20615.4401</v>
      </c>
      <c r="F121" s="307">
        <v>0.016632891</v>
      </c>
      <c r="G121" s="307">
        <v>0.087278831</v>
      </c>
      <c r="H121" s="157">
        <v>0.103911722</v>
      </c>
      <c r="I121" s="110">
        <v>518.284374</v>
      </c>
      <c r="J121" s="109">
        <v>1507.90918</v>
      </c>
      <c r="K121" s="110">
        <v>2026.193557</v>
      </c>
      <c r="L121" s="111">
        <v>2337.379894</v>
      </c>
      <c r="M121" s="112">
        <v>298.0855463</v>
      </c>
      <c r="N121" s="111">
        <v>2635.46544</v>
      </c>
      <c r="O121" s="298">
        <v>0.0</v>
      </c>
      <c r="P121" s="160">
        <v>1.7309E7</v>
      </c>
      <c r="Q121" s="160">
        <v>1.2207072E7</v>
      </c>
      <c r="R121" s="121">
        <f t="shared" si="11"/>
        <v>0.7052442082</v>
      </c>
      <c r="S121" s="116">
        <f t="shared" si="12"/>
        <v>0.7052442082</v>
      </c>
      <c r="T121" s="130"/>
      <c r="U121" s="118">
        <f t="shared" si="13"/>
        <v>0.252</v>
      </c>
      <c r="V121" s="148"/>
      <c r="W121" s="120">
        <f t="shared" si="14"/>
        <v>0.8114541667</v>
      </c>
      <c r="X121" s="119">
        <v>0.9879</v>
      </c>
      <c r="Y121" s="120">
        <f t="shared" si="15"/>
        <v>0.9879</v>
      </c>
      <c r="Z121" s="310">
        <v>5081883.0</v>
      </c>
      <c r="AA121" s="310">
        <v>4149706.0</v>
      </c>
      <c r="AB121" s="300">
        <f t="shared" si="16"/>
        <v>0.8165685829</v>
      </c>
      <c r="AC121" s="301">
        <f t="shared" si="17"/>
        <v>0.8165685829</v>
      </c>
      <c r="AD121" s="122">
        <v>0.0499</v>
      </c>
      <c r="AE121" s="123">
        <v>0.1</v>
      </c>
      <c r="AF121" s="123">
        <v>0.0326</v>
      </c>
      <c r="AG121" s="316">
        <v>0.0</v>
      </c>
      <c r="AH121" s="124">
        <v>0.013481389</v>
      </c>
      <c r="AI121" s="317">
        <v>0.0</v>
      </c>
      <c r="AJ121" s="125">
        <v>0.080185394</v>
      </c>
      <c r="AK121" s="319">
        <v>0.0</v>
      </c>
      <c r="AL121" s="319">
        <v>0.0</v>
      </c>
      <c r="AM121" s="302">
        <v>0.0</v>
      </c>
      <c r="AN121" s="149" t="str">
        <f>IFERROR(
  AVERAGEIFS(
    'New 20102013 LF Efficacy'!$J:$J,
    'New 20102013 LF Efficacy'!$D:$D, $A121,
    'New 20102013 LF Efficacy'!$F:$F,"DEC", 
    'New 20102013 LF Efficacy'!$W:$W,"&lt;2014",
    'New 20102013 LF Efficacy'!$AA:$AA,""),
  ""
)</f>
        <v/>
      </c>
      <c r="AO121" s="115">
        <f t="shared" si="18"/>
        <v>0.31225</v>
      </c>
      <c r="AP121" s="121" t="str">
        <f>IFERROR(
AVERAGEIFS(
'New 20102013 LF Efficacy'!$J:$J,
'New 20102013 LF Efficacy'!$D:$D,$A121,
'New 20102013 LF Efficacy'!$F:$F,"Albendazole &amp; DEC",
'New 20102013 LF Efficacy'!$W:$W,"&lt;2014",
'New 20102013 LF Efficacy'!$AA:$AA,""),
"")
</f>
        <v/>
      </c>
      <c r="AQ121" s="115">
        <f t="shared" si="19"/>
        <v>0.4</v>
      </c>
      <c r="AR121" s="121" t="str">
        <f>IFERROR(
AVERAGEIFS(
'New 20102013 LF Efficacy'!$J:$J,
'New 20102013 LF Efficacy'!$D:$D,$A121,
'New 20102013 LF Efficacy'!$F:$F,"Albendazole &amp; Ivermectin", 
'New 20102013 LF Efficacy'!$W:$W,"&lt;2014",
'New 20102013 LF Efficacy'!$AA:$AA,""),"")</f>
        <v/>
      </c>
      <c r="AS121" s="115">
        <f t="shared" si="20"/>
        <v>0.2943125</v>
      </c>
      <c r="AT121" s="130">
        <f>IFERROR(AVERAGEIFS(
'20102013 Schist Efficacy'!$O:$O, 
'20102013 Schist Efficacy'!$C:$C,$A121, 
'20102013 Schist Efficacy'!$D:$D, "Praziquantel",
'20102013 Schist Efficacy'!$J:$J,"&lt;2014",
'20102013 Schist Efficacy'!$U:$U,""),
"")</f>
        <v>0.977</v>
      </c>
      <c r="AU121" s="118">
        <f t="shared" si="21"/>
        <v>0.977</v>
      </c>
      <c r="AV121" s="131" t="str">
        <f>IFERROR(AVERAGEIFS(
'20102013 STH Efficacy'!$AX:$AX, 
'20102013 STH Efficacy'!$AL:$AL, $A121, 
'20102013 STH Efficacy'!$AM:$AM, "Albendazole",
'20102013 STH Efficacy'!$AS:$AS,"&lt;2014",
'20102013 STH Efficacy'!$BP:$BP,""),
"")</f>
        <v/>
      </c>
      <c r="AW121" s="132">
        <f t="shared" si="22"/>
        <v>0.3816333333</v>
      </c>
      <c r="AX121" s="131" t="str">
        <f>IFERROR(AVERAGEIFS(
'20102013 STH Efficacy'!$AX:$AX, 
'20102013 STH Efficacy'!$AL:$AL, $A121, 
'20102013 STH Efficacy'!$AM:$AM, "Mebendazole",
'20102013 STH Efficacy'!$AS:$AS,"&lt;2014",
'20102013 STH Efficacy'!$BP:$BP,""),
"")</f>
        <v/>
      </c>
      <c r="AY121" s="132">
        <f t="shared" si="23"/>
        <v>0.5675833333</v>
      </c>
      <c r="AZ121" s="131" t="str">
        <f>IFERROR(AVERAGEIFS(
'20102013 STH Efficacy'!$AX:$AX, 
'20102013 STH Efficacy'!$AL:$AL, $A121, 
'20102013 STH Efficacy'!$AM:$AM, "Albendazole &amp; Ivermectin",
'20102013 STH Efficacy'!$AS:$AS,"&lt;2014",
'20102013 STH Efficacy'!$BP:$BP,""),
"")</f>
        <v/>
      </c>
      <c r="BA121" s="303">
        <f t="shared" si="24"/>
        <v>0.47175</v>
      </c>
      <c r="BB121" s="134">
        <f>IFERROR(AVERAGEIFS(
'20102013 STH Efficacy'!$N:$N, 
'20102013 STH Efficacy'!$B:$B, $A121, 
'20102013 STH Efficacy'!$C:$C, "Albendazole",
'20102013 STH Efficacy'!$I:$I,"&lt;2014",
'20102013 STH Efficacy'!$AH:$AH,""),
"")</f>
        <v>0.838</v>
      </c>
      <c r="BC121" s="135">
        <f t="shared" si="25"/>
        <v>0.838</v>
      </c>
      <c r="BD121" s="134">
        <f>IFERROR(AVERAGEIFS(
'20102013 STH Efficacy'!$N:$N, 
'20102013 STH Efficacy'!$B:$B, $A121, 
'20102013 STH Efficacy'!$C:$C, "Mebendazole",
'20102013 STH Efficacy'!$I:$I,"&lt;2014",
'20102013 STH Efficacy'!$AH:$AH,""),
"")</f>
        <v>0.3715</v>
      </c>
      <c r="BE121" s="135">
        <f t="shared" si="26"/>
        <v>0.3715</v>
      </c>
      <c r="BF121" s="128" t="str">
        <f>IFERROR(AVERAGEIFS(
'20102013 STH Efficacy'!$CD:$CD, 
'20102013 STH Efficacy'!$BS:$BS, $A121, 
'20102013 STH Efficacy'!$BT:$BT, "Albendazole",
'20102013 STH Efficacy'!$BZ:$BZ,"&lt;2014",
'20102013 STH Efficacy'!$CU:$CU,""),
"")</f>
        <v/>
      </c>
      <c r="BG121" s="136">
        <f t="shared" si="27"/>
        <v>0.9066666667</v>
      </c>
      <c r="BH121" s="128" t="str">
        <f>IFERROR(AVERAGEIFS(
'20102013 STH Efficacy'!$CD:$CD, 
'20102013 STH Efficacy'!$BS:$BS, $A121, 
'20102013 STH Efficacy'!$BT:$BT, "Mebendazole",
'20102013 STH Efficacy'!$BZ:$BZ,"&lt;2014",
'20102013 STH Efficacy'!$CU:$CU,""),
"")</f>
        <v/>
      </c>
      <c r="BI121" s="136">
        <f t="shared" si="28"/>
        <v>0.9358666667</v>
      </c>
      <c r="BJ121" s="128" t="str">
        <f>IFERROR(AVERAGEIFS(
'20102013 STH Efficacy'!$CD:$CD, 
'20102013 STH Efficacy'!$BS:$BS, $A121, 
'20102013 STH Efficacy'!$BT:$BT, "Albendazole &amp; Ivermectin",
'20102013 STH Efficacy'!$BZ:$BZ,"&lt;2014",
'20102013 STH Efficacy'!$CU:$CU,""),
"")</f>
        <v/>
      </c>
      <c r="BK121" s="136">
        <f t="shared" si="29"/>
        <v>1</v>
      </c>
      <c r="BL121" s="300">
        <f>IFERROR(
  AVERAGEIFS(
    'NEW 20102013 Onchocerciasis Eff'!$AO:$AO,
    'NEW 20102013 Onchocerciasis Eff'!$C:$C,$A121,
    'NEW 20102013 Onchocerciasis Eff'!$D:$D,"Ivermectin",
    'NEW 20102013 Onchocerciasis Eff'!$AR:$AR,"&lt;2014",
    'NEW 20102013 Onchocerciasis Eff'!$BG:$BG,"")
,"")</f>
        <v>0.98</v>
      </c>
      <c r="BM121" s="304">
        <f t="shared" si="30"/>
        <v>0.98</v>
      </c>
      <c r="BN121" s="305">
        <v>1.0</v>
      </c>
      <c r="BO121" s="139">
        <v>0.0</v>
      </c>
      <c r="BP121" s="140">
        <v>1.0</v>
      </c>
      <c r="BQ121" s="141">
        <f t="shared" si="31"/>
        <v>0</v>
      </c>
      <c r="BR121" s="104" t="str">
        <f t="shared" si="32"/>
        <v>1010</v>
      </c>
      <c r="BS121" s="104" t="str">
        <f t="shared" si="33"/>
        <v>MDA1/2+T2</v>
      </c>
      <c r="BT121" s="142" t="str">
        <f t="shared" si="34"/>
        <v>DEC +ALB</v>
      </c>
      <c r="BU121" s="104" t="str">
        <f t="shared" si="35"/>
        <v>PZQ</v>
      </c>
      <c r="BV121" s="104" t="str">
        <f t="shared" si="36"/>
        <v>lf+schist </v>
      </c>
      <c r="BW121" s="150" t="str">
        <f t="shared" si="37"/>
        <v/>
      </c>
      <c r="BX121" s="150" t="str">
        <f t="shared" si="38"/>
        <v/>
      </c>
      <c r="BY121" s="162">
        <f t="shared" si="39"/>
        <v>6733.391812</v>
      </c>
      <c r="BZ121" s="152" t="str">
        <f t="shared" si="40"/>
        <v/>
      </c>
      <c r="CA121" s="152" t="str">
        <f t="shared" si="41"/>
        <v/>
      </c>
      <c r="CB121" s="152" t="str">
        <f t="shared" si="42"/>
        <v/>
      </c>
      <c r="CC121" s="153" t="str">
        <f t="shared" si="43"/>
        <v/>
      </c>
      <c r="CD121" s="153" t="str">
        <f t="shared" si="44"/>
        <v/>
      </c>
      <c r="CE121" s="154" t="str">
        <f t="shared" si="45"/>
        <v/>
      </c>
      <c r="CF121" s="154" t="str">
        <f t="shared" si="46"/>
        <v/>
      </c>
      <c r="CG121" s="154" t="str">
        <f t="shared" si="47"/>
        <v/>
      </c>
      <c r="CH121" s="308" t="str">
        <f t="shared" si="48"/>
        <v/>
      </c>
      <c r="CI121" s="299"/>
    </row>
    <row r="122">
      <c r="A122" s="103" t="s">
        <v>211</v>
      </c>
      <c r="B122" s="104" t="s">
        <v>90</v>
      </c>
      <c r="C122" s="105">
        <v>423374.0</v>
      </c>
      <c r="D122" s="293">
        <v>0.0</v>
      </c>
      <c r="E122" s="294">
        <v>0.0</v>
      </c>
      <c r="F122" s="309">
        <v>0.0</v>
      </c>
      <c r="G122" s="309">
        <v>0.0</v>
      </c>
      <c r="H122" s="108">
        <v>0.0</v>
      </c>
      <c r="I122" s="109">
        <v>0.0</v>
      </c>
      <c r="J122" s="109">
        <v>0.0</v>
      </c>
      <c r="K122" s="109">
        <v>0.0</v>
      </c>
      <c r="L122" s="112">
        <v>0.0</v>
      </c>
      <c r="M122" s="112">
        <v>0.0</v>
      </c>
      <c r="N122" s="111">
        <v>0.0</v>
      </c>
      <c r="O122" s="298">
        <v>0.0</v>
      </c>
      <c r="P122" s="114"/>
      <c r="Q122" s="114"/>
      <c r="R122" s="121" t="str">
        <f t="shared" si="11"/>
        <v/>
      </c>
      <c r="S122" s="116">
        <f t="shared" si="12"/>
        <v>0.526225767</v>
      </c>
      <c r="T122" s="130"/>
      <c r="U122" s="118">
        <f t="shared" si="13"/>
        <v>0.3468166667</v>
      </c>
      <c r="V122" s="148"/>
      <c r="W122" s="120">
        <f t="shared" si="14"/>
        <v>1</v>
      </c>
      <c r="X122" s="148"/>
      <c r="Y122" s="120">
        <f t="shared" si="15"/>
        <v>1</v>
      </c>
      <c r="Z122" s="299"/>
      <c r="AA122" s="299"/>
      <c r="AB122" s="300" t="str">
        <f t="shared" si="16"/>
        <v/>
      </c>
      <c r="AC122" s="301">
        <f t="shared" si="17"/>
        <v>0.6295826791</v>
      </c>
      <c r="AD122" s="122">
        <v>0.0</v>
      </c>
      <c r="AE122" s="123">
        <v>0.0</v>
      </c>
      <c r="AF122" s="123">
        <v>0.0</v>
      </c>
      <c r="AG122" s="316">
        <v>0.0</v>
      </c>
      <c r="AH122" s="124">
        <v>0.0</v>
      </c>
      <c r="AI122" s="317">
        <v>0.0</v>
      </c>
      <c r="AJ122" s="125">
        <v>0.0</v>
      </c>
      <c r="AK122" s="319">
        <v>0.0</v>
      </c>
      <c r="AL122" s="319">
        <v>0.0</v>
      </c>
      <c r="AM122" s="302">
        <v>0.0</v>
      </c>
      <c r="AN122" s="149" t="str">
        <f>IFERROR(
  AVERAGEIFS(
    'New 20102013 LF Efficacy'!$J:$J,
    'New 20102013 LF Efficacy'!$D:$D, $A122,
    'New 20102013 LF Efficacy'!$F:$F,"DEC", 
    'New 20102013 LF Efficacy'!$W:$W,"&lt;2014",
    'New 20102013 LF Efficacy'!$AA:$AA,""),
  ""
)</f>
        <v/>
      </c>
      <c r="AO122" s="115">
        <f t="shared" si="18"/>
        <v>0.3573520833</v>
      </c>
      <c r="AP122" s="121" t="str">
        <f>IFERROR(
AVERAGEIFS(
'New 20102013 LF Efficacy'!$J:$J,
'New 20102013 LF Efficacy'!$D:$D,$A122,
'New 20102013 LF Efficacy'!$F:$F,"Albendazole &amp; DEC",
'New 20102013 LF Efficacy'!$W:$W,"&lt;2014",
'New 20102013 LF Efficacy'!$AA:$AA,""),
"")
</f>
        <v/>
      </c>
      <c r="AQ122" s="115">
        <f t="shared" si="19"/>
        <v>0.5137291667</v>
      </c>
      <c r="AR122" s="121" t="str">
        <f>IFERROR(
AVERAGEIFS(
'New 20102013 LF Efficacy'!$J:$J,
'New 20102013 LF Efficacy'!$D:$D,$A122,
'New 20102013 LF Efficacy'!$F:$F,"Albendazole &amp; Ivermectin", 
'New 20102013 LF Efficacy'!$W:$W,"&lt;2014",
'New 20102013 LF Efficacy'!$AA:$AA,""),"")</f>
        <v/>
      </c>
      <c r="AS122" s="115">
        <f t="shared" si="20"/>
        <v>0.37153125</v>
      </c>
      <c r="AT122" s="130" t="str">
        <f>IFERROR(AVERAGEIFS(
'20102013 Schist Efficacy'!$O:$O, 
'20102013 Schist Efficacy'!$C:$C,$A122, 
'20102013 Schist Efficacy'!$D:$D, "Praziquantel",
'20102013 Schist Efficacy'!$J:$J,"&lt;2014",
'20102013 Schist Efficacy'!$U:$U,""),
"")</f>
        <v/>
      </c>
      <c r="AU122" s="118">
        <f t="shared" si="21"/>
        <v>0.655</v>
      </c>
      <c r="AV122" s="131" t="str">
        <f>IFERROR(AVERAGEIFS(
'20102013 STH Efficacy'!$AX:$AX, 
'20102013 STH Efficacy'!$AL:$AL, $A122, 
'20102013 STH Efficacy'!$AM:$AM, "Albendazole",
'20102013 STH Efficacy'!$AS:$AS,"&lt;2014",
'20102013 STH Efficacy'!$BP:$BP,""),
"")</f>
        <v/>
      </c>
      <c r="AW122" s="132">
        <f t="shared" si="22"/>
        <v>0.3933333333</v>
      </c>
      <c r="AX122" s="131" t="str">
        <f>IFERROR(AVERAGEIFS(
'20102013 STH Efficacy'!$AX:$AX, 
'20102013 STH Efficacy'!$AL:$AL, $A122, 
'20102013 STH Efficacy'!$AM:$AM, "Mebendazole",
'20102013 STH Efficacy'!$AS:$AS,"&lt;2014",
'20102013 STH Efficacy'!$BP:$BP,""),
"")</f>
        <v/>
      </c>
      <c r="AY122" s="132">
        <f t="shared" si="23"/>
        <v>0.5017738095</v>
      </c>
      <c r="AZ122" s="131" t="str">
        <f>IFERROR(AVERAGEIFS(
'20102013 STH Efficacy'!$AX:$AX, 
'20102013 STH Efficacy'!$AL:$AL, $A122, 
'20102013 STH Efficacy'!$AM:$AM, "Albendazole &amp; Ivermectin",
'20102013 STH Efficacy'!$AS:$AS,"&lt;2014",
'20102013 STH Efficacy'!$BP:$BP,""),
"")</f>
        <v/>
      </c>
      <c r="BA122" s="303">
        <f t="shared" si="24"/>
        <v>0.597625</v>
      </c>
      <c r="BB122" s="134" t="str">
        <f>IFERROR(AVERAGEIFS(
'20102013 STH Efficacy'!$N:$N, 
'20102013 STH Efficacy'!$B:$B, $A122, 
'20102013 STH Efficacy'!$C:$C, "Albendazole",
'20102013 STH Efficacy'!$I:$I,"&lt;2014",
'20102013 STH Efficacy'!$AH:$AH,""),
"")</f>
        <v/>
      </c>
      <c r="BC122" s="135">
        <f t="shared" si="25"/>
        <v>0.7613712121</v>
      </c>
      <c r="BD122" s="134" t="str">
        <f>IFERROR(AVERAGEIFS(
'20102013 STH Efficacy'!$N:$N, 
'20102013 STH Efficacy'!$B:$B, $A122, 
'20102013 STH Efficacy'!$C:$C, "Mebendazole",
'20102013 STH Efficacy'!$I:$I,"&lt;2014",
'20102013 STH Efficacy'!$AH:$AH,""),
"")</f>
        <v/>
      </c>
      <c r="BE122" s="135">
        <f t="shared" si="26"/>
        <v>0.4362466667</v>
      </c>
      <c r="BF122" s="128" t="str">
        <f>IFERROR(AVERAGEIFS(
'20102013 STH Efficacy'!$CD:$CD, 
'20102013 STH Efficacy'!$BS:$BS, $A122, 
'20102013 STH Efficacy'!$BT:$BT, "Albendazole",
'20102013 STH Efficacy'!$BZ:$BZ,"&lt;2014",
'20102013 STH Efficacy'!$CU:$CU,""),
"")</f>
        <v/>
      </c>
      <c r="BG122" s="136">
        <f t="shared" si="27"/>
        <v>0.9216027778</v>
      </c>
      <c r="BH122" s="128" t="str">
        <f>IFERROR(AVERAGEIFS(
'20102013 STH Efficacy'!$CD:$CD, 
'20102013 STH Efficacy'!$BS:$BS, $A122, 
'20102013 STH Efficacy'!$BT:$BT, "Mebendazole",
'20102013 STH Efficacy'!$BZ:$BZ,"&lt;2014",
'20102013 STH Efficacy'!$CU:$CU,""),
"")</f>
        <v/>
      </c>
      <c r="BI122" s="136">
        <f t="shared" si="28"/>
        <v>0.9295857143</v>
      </c>
      <c r="BJ122" s="128" t="str">
        <f>IFERROR(AVERAGEIFS(
'20102013 STH Efficacy'!$CD:$CD, 
'20102013 STH Efficacy'!$BS:$BS, $A122, 
'20102013 STH Efficacy'!$BT:$BT, "Albendazole &amp; Ivermectin",
'20102013 STH Efficacy'!$BZ:$BZ,"&lt;2014",
'20102013 STH Efficacy'!$CU:$CU,""),
"")</f>
        <v/>
      </c>
      <c r="BK122" s="136">
        <f t="shared" si="29"/>
        <v>1</v>
      </c>
      <c r="BL122" s="300" t="str">
        <f>IFERROR(
  AVERAGEIFS(
    'NEW 20102013 Onchocerciasis Eff'!$AO:$AO,
    'NEW 20102013 Onchocerciasis Eff'!$C:$C,$A122,
    'NEW 20102013 Onchocerciasis Eff'!$D:$D,"Ivermectin",
    'NEW 20102013 Onchocerciasis Eff'!$AR:$AR,"&lt;2014",
    'NEW 20102013 Onchocerciasis Eff'!$BG:$BG,"")
,"")</f>
        <v/>
      </c>
      <c r="BM122" s="304">
        <f t="shared" si="30"/>
        <v>0.7808368939</v>
      </c>
      <c r="BN122" s="305">
        <v>0.0</v>
      </c>
      <c r="BO122" s="139">
        <v>0.0</v>
      </c>
      <c r="BP122" s="140">
        <v>0.0</v>
      </c>
      <c r="BQ122" s="141">
        <f t="shared" si="31"/>
        <v>0</v>
      </c>
      <c r="BR122" s="104" t="str">
        <f t="shared" si="32"/>
        <v>0000</v>
      </c>
      <c r="BS122" s="104" t="str">
        <f t="shared" si="33"/>
        <v>no action required</v>
      </c>
      <c r="BT122" s="142" t="str">
        <f t="shared" si="34"/>
        <v/>
      </c>
      <c r="BU122" s="104" t="str">
        <f t="shared" si="35"/>
        <v/>
      </c>
      <c r="BV122" s="104" t="str">
        <f t="shared" si="36"/>
        <v>none</v>
      </c>
      <c r="BW122" s="150" t="str">
        <f t="shared" si="37"/>
        <v/>
      </c>
      <c r="BX122" s="150" t="str">
        <f t="shared" si="38"/>
        <v/>
      </c>
      <c r="BY122" s="151" t="str">
        <f t="shared" si="39"/>
        <v/>
      </c>
      <c r="BZ122" s="152" t="str">
        <f t="shared" si="40"/>
        <v/>
      </c>
      <c r="CA122" s="152" t="str">
        <f t="shared" si="41"/>
        <v/>
      </c>
      <c r="CB122" s="152" t="str">
        <f t="shared" si="42"/>
        <v/>
      </c>
      <c r="CC122" s="153" t="str">
        <f t="shared" si="43"/>
        <v/>
      </c>
      <c r="CD122" s="153" t="str">
        <f t="shared" si="44"/>
        <v/>
      </c>
      <c r="CE122" s="154" t="str">
        <f t="shared" si="45"/>
        <v/>
      </c>
      <c r="CF122" s="154" t="str">
        <f t="shared" si="46"/>
        <v/>
      </c>
      <c r="CG122" s="154" t="str">
        <f t="shared" si="47"/>
        <v/>
      </c>
      <c r="CH122" s="308" t="str">
        <f t="shared" si="48"/>
        <v/>
      </c>
      <c r="CI122" s="299"/>
    </row>
    <row r="123">
      <c r="A123" s="103" t="s">
        <v>212</v>
      </c>
      <c r="B123" s="104" t="s">
        <v>94</v>
      </c>
      <c r="C123" s="105">
        <v>52793.0</v>
      </c>
      <c r="D123" s="293">
        <v>15.89</v>
      </c>
      <c r="E123" s="294">
        <v>0.0</v>
      </c>
      <c r="F123" s="307">
        <v>0.040953584</v>
      </c>
      <c r="G123" s="307">
        <v>0.334282906</v>
      </c>
      <c r="H123" s="108">
        <v>0.37523649</v>
      </c>
      <c r="I123" s="109">
        <v>6.73677952</v>
      </c>
      <c r="J123" s="109">
        <v>16.5059167</v>
      </c>
      <c r="K123" s="109">
        <v>23.24269622</v>
      </c>
      <c r="L123" s="112">
        <v>0.84819657</v>
      </c>
      <c r="M123" s="112">
        <v>0.370847158</v>
      </c>
      <c r="N123" s="111">
        <v>1.219043727</v>
      </c>
      <c r="O123" s="298">
        <v>0.0</v>
      </c>
      <c r="P123" s="156"/>
      <c r="Q123" s="156"/>
      <c r="R123" s="121" t="str">
        <f t="shared" si="11"/>
        <v/>
      </c>
      <c r="S123" s="116">
        <f t="shared" si="12"/>
        <v>0.403639098</v>
      </c>
      <c r="T123" s="118">
        <v>0.0959</v>
      </c>
      <c r="U123" s="118">
        <f t="shared" si="13"/>
        <v>0.0959</v>
      </c>
      <c r="V123" s="148"/>
      <c r="W123" s="120">
        <f t="shared" si="14"/>
        <v>0.3807857143</v>
      </c>
      <c r="X123" s="148"/>
      <c r="Y123" s="120">
        <f t="shared" si="15"/>
        <v>0.3971375</v>
      </c>
      <c r="Z123" s="299"/>
      <c r="AA123" s="299"/>
      <c r="AB123" s="300" t="str">
        <f t="shared" si="16"/>
        <v/>
      </c>
      <c r="AC123" s="301">
        <f t="shared" si="17"/>
        <v>0.6295826791</v>
      </c>
      <c r="AD123" s="122">
        <v>0.0</v>
      </c>
      <c r="AE123" s="123">
        <v>0.0</v>
      </c>
      <c r="AF123" s="123">
        <v>0.0</v>
      </c>
      <c r="AG123" s="316">
        <v>0.0</v>
      </c>
      <c r="AH123" s="124">
        <v>0.053374741</v>
      </c>
      <c r="AI123" s="317">
        <v>0.0</v>
      </c>
      <c r="AJ123" s="125">
        <v>0.237354457</v>
      </c>
      <c r="AK123" s="319">
        <v>0.0</v>
      </c>
      <c r="AL123" s="319">
        <v>0.0</v>
      </c>
      <c r="AM123" s="302">
        <v>0.0</v>
      </c>
      <c r="AN123" s="149" t="str">
        <f>IFERROR(
  AVERAGEIFS(
    'New 20102013 LF Efficacy'!$J:$J,
    'New 20102013 LF Efficacy'!$D:$D, $A123,
    'New 20102013 LF Efficacy'!$F:$F,"DEC", 
    'New 20102013 LF Efficacy'!$W:$W,"&lt;2014",
    'New 20102013 LF Efficacy'!$AA:$AA,""),
  ""
)</f>
        <v/>
      </c>
      <c r="AO123" s="115">
        <f t="shared" si="18"/>
        <v>0.38</v>
      </c>
      <c r="AP123" s="121" t="str">
        <f>IFERROR(
AVERAGEIFS(
'New 20102013 LF Efficacy'!$J:$J,
'New 20102013 LF Efficacy'!$D:$D,$A123,
'New 20102013 LF Efficacy'!$F:$F,"Albendazole &amp; DEC",
'New 20102013 LF Efficacy'!$W:$W,"&lt;2014",
'New 20102013 LF Efficacy'!$AA:$AA,""),
"")
</f>
        <v/>
      </c>
      <c r="AQ123" s="115">
        <f t="shared" si="19"/>
        <v>0.657</v>
      </c>
      <c r="AR123" s="121" t="str">
        <f>IFERROR(
AVERAGEIFS(
'New 20102013 LF Efficacy'!$J:$J,
'New 20102013 LF Efficacy'!$D:$D,$A123,
'New 20102013 LF Efficacy'!$F:$F,"Albendazole &amp; Ivermectin", 
'New 20102013 LF Efficacy'!$W:$W,"&lt;2014",
'New 20102013 LF Efficacy'!$AA:$AA,""),"")</f>
        <v/>
      </c>
      <c r="AS123" s="115">
        <f t="shared" si="20"/>
        <v>0.37153125</v>
      </c>
      <c r="AT123" s="130" t="str">
        <f>IFERROR(AVERAGEIFS(
'20102013 Schist Efficacy'!$O:$O, 
'20102013 Schist Efficacy'!$C:$C,$A123, 
'20102013 Schist Efficacy'!$D:$D, "Praziquantel",
'20102013 Schist Efficacy'!$J:$J,"&lt;2014",
'20102013 Schist Efficacy'!$U:$U,""),
"")</f>
        <v/>
      </c>
      <c r="AU123" s="118">
        <f t="shared" si="21"/>
        <v>0.9475</v>
      </c>
      <c r="AV123" s="131" t="str">
        <f>IFERROR(AVERAGEIFS(
'20102013 STH Efficacy'!$AX:$AX, 
'20102013 STH Efficacy'!$AL:$AL, $A123, 
'20102013 STH Efficacy'!$AM:$AM, "Albendazole",
'20102013 STH Efficacy'!$AS:$AS,"&lt;2014",
'20102013 STH Efficacy'!$BP:$BP,""),
"")</f>
        <v/>
      </c>
      <c r="AW123" s="132">
        <f t="shared" si="22"/>
        <v>0.3571666667</v>
      </c>
      <c r="AX123" s="131" t="str">
        <f>IFERROR(AVERAGEIFS(
'20102013 STH Efficacy'!$AX:$AX, 
'20102013 STH Efficacy'!$AL:$AL, $A123, 
'20102013 STH Efficacy'!$AM:$AM, "Mebendazole",
'20102013 STH Efficacy'!$AS:$AS,"&lt;2014",
'20102013 STH Efficacy'!$BP:$BP,""),
"")</f>
        <v/>
      </c>
      <c r="AY123" s="132">
        <f t="shared" si="23"/>
        <v>0.4155</v>
      </c>
      <c r="AZ123" s="131" t="str">
        <f>IFERROR(AVERAGEIFS(
'20102013 STH Efficacy'!$AX:$AX, 
'20102013 STH Efficacy'!$AL:$AL, $A123, 
'20102013 STH Efficacy'!$AM:$AM, "Albendazole &amp; Ivermectin",
'20102013 STH Efficacy'!$AS:$AS,"&lt;2014",
'20102013 STH Efficacy'!$BP:$BP,""),
"")</f>
        <v/>
      </c>
      <c r="BA123" s="303">
        <f t="shared" si="24"/>
        <v>0.651</v>
      </c>
      <c r="BB123" s="134" t="str">
        <f>IFERROR(AVERAGEIFS(
'20102013 STH Efficacy'!$N:$N, 
'20102013 STH Efficacy'!$B:$B, $A123, 
'20102013 STH Efficacy'!$C:$C, "Albendazole",
'20102013 STH Efficacy'!$I:$I,"&lt;2014",
'20102013 STH Efficacy'!$AH:$AH,""),
"")</f>
        <v/>
      </c>
      <c r="BC123" s="135">
        <f t="shared" si="25"/>
        <v>0.5769166667</v>
      </c>
      <c r="BD123" s="134" t="str">
        <f>IFERROR(AVERAGEIFS(
'20102013 STH Efficacy'!$N:$N, 
'20102013 STH Efficacy'!$B:$B, $A123, 
'20102013 STH Efficacy'!$C:$C, "Mebendazole",
'20102013 STH Efficacy'!$I:$I,"&lt;2014",
'20102013 STH Efficacy'!$AH:$AH,""),
"")</f>
        <v/>
      </c>
      <c r="BE123" s="135">
        <f t="shared" si="26"/>
        <v>0.3145</v>
      </c>
      <c r="BF123" s="128" t="str">
        <f>IFERROR(AVERAGEIFS(
'20102013 STH Efficacy'!$CD:$CD, 
'20102013 STH Efficacy'!$BS:$BS, $A123, 
'20102013 STH Efficacy'!$BT:$BT, "Albendazole",
'20102013 STH Efficacy'!$BZ:$BZ,"&lt;2014",
'20102013 STH Efficacy'!$CU:$CU,""),
"")</f>
        <v/>
      </c>
      <c r="BG123" s="136">
        <f t="shared" si="27"/>
        <v>0.96925</v>
      </c>
      <c r="BH123" s="128" t="str">
        <f>IFERROR(AVERAGEIFS(
'20102013 STH Efficacy'!$CD:$CD, 
'20102013 STH Efficacy'!$BS:$BS, $A123, 
'20102013 STH Efficacy'!$BT:$BT, "Mebendazole",
'20102013 STH Efficacy'!$BZ:$BZ,"&lt;2014",
'20102013 STH Efficacy'!$CU:$CU,""),
"")</f>
        <v/>
      </c>
      <c r="BI123" s="136">
        <f t="shared" si="28"/>
        <v>0.9305</v>
      </c>
      <c r="BJ123" s="128" t="str">
        <f>IFERROR(AVERAGEIFS(
'20102013 STH Efficacy'!$CD:$CD, 
'20102013 STH Efficacy'!$BS:$BS, $A123, 
'20102013 STH Efficacy'!$BT:$BT, "Albendazole &amp; Ivermectin",
'20102013 STH Efficacy'!$BZ:$BZ,"&lt;2014",
'20102013 STH Efficacy'!$CU:$CU,""),
"")</f>
        <v/>
      </c>
      <c r="BK123" s="136">
        <f t="shared" si="29"/>
        <v>1</v>
      </c>
      <c r="BL123" s="300" t="str">
        <f>IFERROR(
  AVERAGEIFS(
    'NEW 20102013 Onchocerciasis Eff'!$AO:$AO,
    'NEW 20102013 Onchocerciasis Eff'!$C:$C,$A123,
    'NEW 20102013 Onchocerciasis Eff'!$D:$D,"Ivermectin",
    'NEW 20102013 Onchocerciasis Eff'!$AR:$AR,"&lt;2014",
    'NEW 20102013 Onchocerciasis Eff'!$BG:$BG,"")
,"")</f>
        <v/>
      </c>
      <c r="BM123" s="304">
        <f t="shared" si="30"/>
        <v>0.7808368939</v>
      </c>
      <c r="BN123" s="305">
        <v>0.0</v>
      </c>
      <c r="BO123" s="139">
        <v>1.0</v>
      </c>
      <c r="BP123" s="140">
        <v>0.0</v>
      </c>
      <c r="BQ123" s="141">
        <f t="shared" si="31"/>
        <v>0</v>
      </c>
      <c r="BR123" s="104" t="str">
        <f t="shared" si="32"/>
        <v>0100</v>
      </c>
      <c r="BS123" s="104" t="str">
        <f t="shared" si="33"/>
        <v>MDA3</v>
      </c>
      <c r="BT123" s="142" t="str">
        <f t="shared" si="34"/>
        <v>IVM</v>
      </c>
      <c r="BU123" s="104" t="str">
        <f t="shared" si="35"/>
        <v/>
      </c>
      <c r="BV123" s="104" t="str">
        <f t="shared" si="36"/>
        <v>onch only</v>
      </c>
      <c r="BW123" s="150" t="str">
        <f t="shared" si="37"/>
        <v/>
      </c>
      <c r="BX123" s="150" t="str">
        <f t="shared" si="38"/>
        <v/>
      </c>
      <c r="BY123" s="151" t="str">
        <f t="shared" si="39"/>
        <v/>
      </c>
      <c r="BZ123" s="152" t="str">
        <f t="shared" si="40"/>
        <v/>
      </c>
      <c r="CA123" s="152" t="str">
        <f t="shared" si="41"/>
        <v/>
      </c>
      <c r="CB123" s="152" t="str">
        <f t="shared" si="42"/>
        <v/>
      </c>
      <c r="CC123" s="153" t="str">
        <f t="shared" si="43"/>
        <v/>
      </c>
      <c r="CD123" s="153" t="str">
        <f t="shared" si="44"/>
        <v/>
      </c>
      <c r="CE123" s="154" t="str">
        <f t="shared" si="45"/>
        <v/>
      </c>
      <c r="CF123" s="154" t="str">
        <f t="shared" si="46"/>
        <v/>
      </c>
      <c r="CG123" s="154" t="str">
        <f t="shared" si="47"/>
        <v/>
      </c>
      <c r="CH123" s="313">
        <f t="shared" si="48"/>
        <v>0</v>
      </c>
      <c r="CI123" s="299"/>
    </row>
    <row r="124">
      <c r="A124" s="103" t="s">
        <v>213</v>
      </c>
      <c r="B124" s="104" t="s">
        <v>92</v>
      </c>
      <c r="C124" s="105">
        <v>3946170.0</v>
      </c>
      <c r="D124" s="293">
        <v>93.16999999999999</v>
      </c>
      <c r="E124" s="294">
        <v>6664.086336</v>
      </c>
      <c r="F124" s="309">
        <v>0.410312866</v>
      </c>
      <c r="G124" s="309">
        <v>2.086970776</v>
      </c>
      <c r="H124" s="108">
        <v>2.497283642</v>
      </c>
      <c r="I124" s="109">
        <v>24.8812875</v>
      </c>
      <c r="J124" s="109">
        <v>77.1987526</v>
      </c>
      <c r="K124" s="109">
        <v>102.0800401</v>
      </c>
      <c r="L124" s="112">
        <v>76.83053151</v>
      </c>
      <c r="M124" s="112">
        <v>14.85578029</v>
      </c>
      <c r="N124" s="111">
        <v>91.68631181</v>
      </c>
      <c r="O124" s="298">
        <v>0.0</v>
      </c>
      <c r="P124" s="114"/>
      <c r="Q124" s="114"/>
      <c r="R124" s="121" t="str">
        <f t="shared" si="11"/>
        <v/>
      </c>
      <c r="S124" s="116">
        <f t="shared" si="12"/>
        <v>0.2589669834</v>
      </c>
      <c r="T124" s="130"/>
      <c r="U124" s="118">
        <f t="shared" si="13"/>
        <v>0.252</v>
      </c>
      <c r="V124" s="148"/>
      <c r="W124" s="120">
        <f t="shared" si="14"/>
        <v>0.8114541667</v>
      </c>
      <c r="X124" s="148"/>
      <c r="Y124" s="120">
        <f t="shared" si="15"/>
        <v>0.5668291667</v>
      </c>
      <c r="Z124" s="299"/>
      <c r="AA124" s="299"/>
      <c r="AB124" s="300" t="str">
        <f t="shared" si="16"/>
        <v/>
      </c>
      <c r="AC124" s="301">
        <f t="shared" si="17"/>
        <v>0.655321236</v>
      </c>
      <c r="AD124" s="122">
        <v>2.0E-4</v>
      </c>
      <c r="AE124" s="123">
        <v>0.2</v>
      </c>
      <c r="AF124" s="123">
        <v>0.0565</v>
      </c>
      <c r="AG124" s="316">
        <v>0.0</v>
      </c>
      <c r="AH124" s="124">
        <v>0.033014573</v>
      </c>
      <c r="AI124" s="317">
        <v>0.0</v>
      </c>
      <c r="AJ124" s="125">
        <v>0.030045005</v>
      </c>
      <c r="AK124" s="319">
        <v>0.0</v>
      </c>
      <c r="AL124" s="319">
        <v>0.0</v>
      </c>
      <c r="AM124" s="302">
        <v>0.0</v>
      </c>
      <c r="AN124" s="149" t="str">
        <f>IFERROR(
  AVERAGEIFS(
    'New 20102013 LF Efficacy'!$J:$J,
    'New 20102013 LF Efficacy'!$D:$D, $A124,
    'New 20102013 LF Efficacy'!$F:$F,"DEC", 
    'New 20102013 LF Efficacy'!$W:$W,"&lt;2014",
    'New 20102013 LF Efficacy'!$AA:$AA,""),
  ""
)</f>
        <v/>
      </c>
      <c r="AO124" s="115">
        <f t="shared" si="18"/>
        <v>0.31225</v>
      </c>
      <c r="AP124" s="121" t="str">
        <f>IFERROR(
AVERAGEIFS(
'New 20102013 LF Efficacy'!$J:$J,
'New 20102013 LF Efficacy'!$D:$D,$A124,
'New 20102013 LF Efficacy'!$F:$F,"Albendazole &amp; DEC",
'New 20102013 LF Efficacy'!$W:$W,"&lt;2014",
'New 20102013 LF Efficacy'!$AA:$AA,""),
"")
</f>
        <v/>
      </c>
      <c r="AQ124" s="115">
        <f t="shared" si="19"/>
        <v>0.4</v>
      </c>
      <c r="AR124" s="121" t="str">
        <f>IFERROR(
AVERAGEIFS(
'New 20102013 LF Efficacy'!$J:$J,
'New 20102013 LF Efficacy'!$D:$D,$A124,
'New 20102013 LF Efficacy'!$F:$F,"Albendazole &amp; Ivermectin", 
'New 20102013 LF Efficacy'!$W:$W,"&lt;2014",
'New 20102013 LF Efficacy'!$AA:$AA,""),"")</f>
        <v/>
      </c>
      <c r="AS124" s="115">
        <f t="shared" si="20"/>
        <v>0.2943125</v>
      </c>
      <c r="AT124" s="130">
        <f>IFERROR(AVERAGEIFS(
'20102013 Schist Efficacy'!$O:$O, 
'20102013 Schist Efficacy'!$C:$C,$A124, 
'20102013 Schist Efficacy'!$D:$D, "Praziquantel",
'20102013 Schist Efficacy'!$J:$J,"&lt;2014",
'20102013 Schist Efficacy'!$U:$U,""),
"")</f>
        <v>0.78825</v>
      </c>
      <c r="AU124" s="118">
        <f t="shared" si="21"/>
        <v>0.78825</v>
      </c>
      <c r="AV124" s="131" t="str">
        <f>IFERROR(AVERAGEIFS(
'20102013 STH Efficacy'!$AX:$AX, 
'20102013 STH Efficacy'!$AL:$AL, $A124, 
'20102013 STH Efficacy'!$AM:$AM, "Albendazole",
'20102013 STH Efficacy'!$AS:$AS,"&lt;2014",
'20102013 STH Efficacy'!$BP:$BP,""),
"")</f>
        <v/>
      </c>
      <c r="AW124" s="132">
        <f t="shared" si="22"/>
        <v>0.3816333333</v>
      </c>
      <c r="AX124" s="131" t="str">
        <f>IFERROR(AVERAGEIFS(
'20102013 STH Efficacy'!$AX:$AX, 
'20102013 STH Efficacy'!$AL:$AL, $A124, 
'20102013 STH Efficacy'!$AM:$AM, "Mebendazole",
'20102013 STH Efficacy'!$AS:$AS,"&lt;2014",
'20102013 STH Efficacy'!$BP:$BP,""),
"")</f>
        <v/>
      </c>
      <c r="AY124" s="132">
        <f t="shared" si="23"/>
        <v>0.5675833333</v>
      </c>
      <c r="AZ124" s="131" t="str">
        <f>IFERROR(AVERAGEIFS(
'20102013 STH Efficacy'!$AX:$AX, 
'20102013 STH Efficacy'!$AL:$AL, $A124, 
'20102013 STH Efficacy'!$AM:$AM, "Albendazole &amp; Ivermectin",
'20102013 STH Efficacy'!$AS:$AS,"&lt;2014",
'20102013 STH Efficacy'!$BP:$BP,""),
"")</f>
        <v/>
      </c>
      <c r="BA124" s="303">
        <f t="shared" si="24"/>
        <v>0.47175</v>
      </c>
      <c r="BB124" s="134" t="str">
        <f>IFERROR(AVERAGEIFS(
'20102013 STH Efficacy'!$N:$N, 
'20102013 STH Efficacy'!$B:$B, $A124, 
'20102013 STH Efficacy'!$C:$C, "Albendazole",
'20102013 STH Efficacy'!$I:$I,"&lt;2014",
'20102013 STH Efficacy'!$AH:$AH,""),
"")</f>
        <v/>
      </c>
      <c r="BC124" s="135">
        <f t="shared" si="25"/>
        <v>0.8699166667</v>
      </c>
      <c r="BD124" s="134" t="str">
        <f>IFERROR(AVERAGEIFS(
'20102013 STH Efficacy'!$N:$N, 
'20102013 STH Efficacy'!$B:$B, $A124, 
'20102013 STH Efficacy'!$C:$C, "Mebendazole",
'20102013 STH Efficacy'!$I:$I,"&lt;2014",
'20102013 STH Efficacy'!$AH:$AH,""),
"")</f>
        <v/>
      </c>
      <c r="BE124" s="135">
        <f t="shared" si="26"/>
        <v>0.7092416667</v>
      </c>
      <c r="BF124" s="128" t="str">
        <f>IFERROR(AVERAGEIFS(
'20102013 STH Efficacy'!$CD:$CD, 
'20102013 STH Efficacy'!$BS:$BS, $A124, 
'20102013 STH Efficacy'!$BT:$BT, "Albendazole",
'20102013 STH Efficacy'!$BZ:$BZ,"&lt;2014",
'20102013 STH Efficacy'!$CU:$CU,""),
"")</f>
        <v/>
      </c>
      <c r="BG124" s="136">
        <f t="shared" si="27"/>
        <v>0.9066666667</v>
      </c>
      <c r="BH124" s="128" t="str">
        <f>IFERROR(AVERAGEIFS(
'20102013 STH Efficacy'!$CD:$CD, 
'20102013 STH Efficacy'!$BS:$BS, $A124, 
'20102013 STH Efficacy'!$BT:$BT, "Mebendazole",
'20102013 STH Efficacy'!$BZ:$BZ,"&lt;2014",
'20102013 STH Efficacy'!$CU:$CU,""),
"")</f>
        <v/>
      </c>
      <c r="BI124" s="136">
        <f t="shared" si="28"/>
        <v>0.9358666667</v>
      </c>
      <c r="BJ124" s="128" t="str">
        <f>IFERROR(AVERAGEIFS(
'20102013 STH Efficacy'!$CD:$CD, 
'20102013 STH Efficacy'!$BS:$BS, $A124, 
'20102013 STH Efficacy'!$BT:$BT, "Albendazole &amp; Ivermectin",
'20102013 STH Efficacy'!$BZ:$BZ,"&lt;2014",
'20102013 STH Efficacy'!$CU:$CU,""),
"")</f>
        <v/>
      </c>
      <c r="BK124" s="136">
        <f t="shared" si="29"/>
        <v>1</v>
      </c>
      <c r="BL124" s="300" t="str">
        <f>IFERROR(
  AVERAGEIFS(
    'NEW 20102013 Onchocerciasis Eff'!$AO:$AO,
    'NEW 20102013 Onchocerciasis Eff'!$C:$C,$A124,
    'NEW 20102013 Onchocerciasis Eff'!$D:$D,"Ivermectin",
    'NEW 20102013 Onchocerciasis Eff'!$AR:$AR,"&lt;2014",
    'NEW 20102013 Onchocerciasis Eff'!$BG:$BG,"")
,"")</f>
        <v/>
      </c>
      <c r="BM124" s="304">
        <f t="shared" si="30"/>
        <v>0.8390421645</v>
      </c>
      <c r="BN124" s="305">
        <v>0.0</v>
      </c>
      <c r="BO124" s="139">
        <v>0.0</v>
      </c>
      <c r="BP124" s="140">
        <v>1.0</v>
      </c>
      <c r="BQ124" s="141">
        <f t="shared" si="31"/>
        <v>0</v>
      </c>
      <c r="BR124" s="104" t="str">
        <f t="shared" si="32"/>
        <v>0010</v>
      </c>
      <c r="BS124" s="104" t="str">
        <f t="shared" si="33"/>
        <v>T2</v>
      </c>
      <c r="BT124" s="142" t="str">
        <f t="shared" si="34"/>
        <v>PZQ</v>
      </c>
      <c r="BU124" s="104" t="str">
        <f t="shared" ref="BU124:BU220" si="50">if(BS124="T2","PZQ", IF(IF(BS124="MDA1+T1","ALB+PZQ or MBD+PZQ",IF(BS124="MDA1+T2","PZQ",IF(BS124="MDA1+T3","ALB or MBD",IF(BS124="MDA1/2+T1","ALB+PZQ or MBD+PZQ",IF(BS124="MDA1/2+T2","PZQ",IF(BS124="MDA1/2+T3","ALB or MBD",IF(BS124="MDA3+T2","PZQ",IF(BS124="T1+T3","ALB or MBD"))))))))=FALSE,"",IF(BS124="MDA1+T1","ALB+PZQ or MBD+PZQ",IF(BS124="MDA1+T2","PZQ",IF(BS124="MDA1+T3","ALB or MBD",IF(BS124="MDA1/2+T1","ALB+PZQ or MBD+PZQ",IF(BS124="MDA1/2+T2","PZQ",IF(BS124="MDA1/2+T3","ALB or MBD",IF(BS124="MDA3+T2","PZQ",IF(BS124="T1+T3","ALB or MBD"))))))))))</f>
        <v>PZQ</v>
      </c>
      <c r="BV124" s="104" t="str">
        <f t="shared" si="36"/>
        <v>schist only</v>
      </c>
      <c r="BW124" s="150" t="str">
        <f t="shared" si="37"/>
        <v/>
      </c>
      <c r="BX124" s="150" t="str">
        <f t="shared" si="38"/>
        <v/>
      </c>
      <c r="BY124" s="162">
        <f t="shared" si="39"/>
        <v>1651.874056</v>
      </c>
      <c r="BZ124" s="152" t="str">
        <f t="shared" si="40"/>
        <v/>
      </c>
      <c r="CA124" s="152" t="str">
        <f t="shared" si="41"/>
        <v/>
      </c>
      <c r="CB124" s="152" t="str">
        <f t="shared" si="42"/>
        <v/>
      </c>
      <c r="CC124" s="153" t="str">
        <f t="shared" si="43"/>
        <v/>
      </c>
      <c r="CD124" s="153" t="str">
        <f t="shared" si="44"/>
        <v/>
      </c>
      <c r="CE124" s="154" t="str">
        <f t="shared" si="45"/>
        <v/>
      </c>
      <c r="CF124" s="154" t="str">
        <f t="shared" si="46"/>
        <v/>
      </c>
      <c r="CG124" s="154" t="str">
        <f t="shared" si="47"/>
        <v/>
      </c>
      <c r="CH124" s="308" t="str">
        <f t="shared" si="48"/>
        <v/>
      </c>
      <c r="CI124" s="299"/>
    </row>
    <row r="125">
      <c r="A125" s="103" t="s">
        <v>214</v>
      </c>
      <c r="B125" s="104" t="s">
        <v>92</v>
      </c>
      <c r="C125" s="105">
        <v>1258653.0</v>
      </c>
      <c r="D125" s="293">
        <v>0.0</v>
      </c>
      <c r="E125" s="294">
        <v>1196.796069</v>
      </c>
      <c r="F125" s="309">
        <v>0.0</v>
      </c>
      <c r="G125" s="309">
        <v>0.0</v>
      </c>
      <c r="H125" s="108">
        <v>0.0</v>
      </c>
      <c r="I125" s="109">
        <v>0.00321392</v>
      </c>
      <c r="J125" s="109">
        <v>0.00569026</v>
      </c>
      <c r="K125" s="109">
        <v>0.008904178</v>
      </c>
      <c r="L125" s="112">
        <v>0.302032834</v>
      </c>
      <c r="M125" s="112">
        <v>0.120749518</v>
      </c>
      <c r="N125" s="111">
        <v>0.422782352</v>
      </c>
      <c r="O125" s="298">
        <v>0.0</v>
      </c>
      <c r="P125" s="156"/>
      <c r="Q125" s="156"/>
      <c r="R125" s="121" t="str">
        <f t="shared" si="11"/>
        <v/>
      </c>
      <c r="S125" s="116">
        <f t="shared" si="12"/>
        <v>0.2589669834</v>
      </c>
      <c r="T125" s="130"/>
      <c r="U125" s="118">
        <f t="shared" si="13"/>
        <v>0.252</v>
      </c>
      <c r="V125" s="148"/>
      <c r="W125" s="120">
        <f t="shared" si="14"/>
        <v>0.8114541667</v>
      </c>
      <c r="X125" s="148"/>
      <c r="Y125" s="120">
        <f t="shared" si="15"/>
        <v>0.5668291667</v>
      </c>
      <c r="Z125" s="299"/>
      <c r="AA125" s="299"/>
      <c r="AB125" s="300" t="str">
        <f t="shared" si="16"/>
        <v/>
      </c>
      <c r="AC125" s="301">
        <f t="shared" si="17"/>
        <v>0.655321236</v>
      </c>
      <c r="AD125" s="122">
        <v>0.0</v>
      </c>
      <c r="AE125" s="123">
        <v>0.07</v>
      </c>
      <c r="AF125" s="123">
        <v>0.0065</v>
      </c>
      <c r="AG125" s="124">
        <v>0.0</v>
      </c>
      <c r="AH125" s="124">
        <v>1.1434E-5</v>
      </c>
      <c r="AI125" s="125">
        <v>0.0</v>
      </c>
      <c r="AJ125" s="125">
        <v>1.11575E-5</v>
      </c>
      <c r="AK125" s="127">
        <v>0.0</v>
      </c>
      <c r="AL125" s="127">
        <v>0.0</v>
      </c>
      <c r="AM125" s="302">
        <v>0.0</v>
      </c>
      <c r="AN125" s="149" t="str">
        <f>IFERROR(
  AVERAGEIFS(
    'New 20102013 LF Efficacy'!$J:$J,
    'New 20102013 LF Efficacy'!$D:$D, $A125,
    'New 20102013 LF Efficacy'!$F:$F,"DEC", 
    'New 20102013 LF Efficacy'!$W:$W,"&lt;2014",
    'New 20102013 LF Efficacy'!$AA:$AA,""),
  ""
)</f>
        <v/>
      </c>
      <c r="AO125" s="115">
        <f t="shared" si="18"/>
        <v>0.31225</v>
      </c>
      <c r="AP125" s="121" t="str">
        <f>IFERROR(
AVERAGEIFS(
'New 20102013 LF Efficacy'!$J:$J,
'New 20102013 LF Efficacy'!$D:$D,$A125,
'New 20102013 LF Efficacy'!$F:$F,"Albendazole &amp; DEC",
'New 20102013 LF Efficacy'!$W:$W,"&lt;2014",
'New 20102013 LF Efficacy'!$AA:$AA,""),
"")
</f>
        <v/>
      </c>
      <c r="AQ125" s="115">
        <f t="shared" si="19"/>
        <v>0.4</v>
      </c>
      <c r="AR125" s="121" t="str">
        <f>IFERROR(
AVERAGEIFS(
'New 20102013 LF Efficacy'!$J:$J,
'New 20102013 LF Efficacy'!$D:$D,$A125,
'New 20102013 LF Efficacy'!$F:$F,"Albendazole &amp; Ivermectin", 
'New 20102013 LF Efficacy'!$W:$W,"&lt;2014",
'New 20102013 LF Efficacy'!$AA:$AA,""),"")</f>
        <v/>
      </c>
      <c r="AS125" s="115">
        <f t="shared" si="20"/>
        <v>0.2943125</v>
      </c>
      <c r="AT125" s="130" t="str">
        <f>IFERROR(AVERAGEIFS(
'20102013 Schist Efficacy'!$O:$O, 
'20102013 Schist Efficacy'!$C:$C,$A125, 
'20102013 Schist Efficacy'!$D:$D, "Praziquantel",
'20102013 Schist Efficacy'!$J:$J,"&lt;2014",
'20102013 Schist Efficacy'!$U:$U,""),
"")</f>
        <v/>
      </c>
      <c r="AU125" s="118">
        <f t="shared" si="21"/>
        <v>0.7192212527</v>
      </c>
      <c r="AV125" s="131" t="str">
        <f>IFERROR(AVERAGEIFS(
'20102013 STH Efficacy'!$AX:$AX, 
'20102013 STH Efficacy'!$AL:$AL, $A125, 
'20102013 STH Efficacy'!$AM:$AM, "Albendazole",
'20102013 STH Efficacy'!$AS:$AS,"&lt;2014",
'20102013 STH Efficacy'!$BP:$BP,""),
"")</f>
        <v/>
      </c>
      <c r="AW125" s="132">
        <f t="shared" si="22"/>
        <v>0.3816333333</v>
      </c>
      <c r="AX125" s="131" t="str">
        <f>IFERROR(AVERAGEIFS(
'20102013 STH Efficacy'!$AX:$AX, 
'20102013 STH Efficacy'!$AL:$AL, $A125, 
'20102013 STH Efficacy'!$AM:$AM, "Mebendazole",
'20102013 STH Efficacy'!$AS:$AS,"&lt;2014",
'20102013 STH Efficacy'!$BP:$BP,""),
"")</f>
        <v/>
      </c>
      <c r="AY125" s="132">
        <f t="shared" si="23"/>
        <v>0.5675833333</v>
      </c>
      <c r="AZ125" s="131" t="str">
        <f>IFERROR(AVERAGEIFS(
'20102013 STH Efficacy'!$AX:$AX, 
'20102013 STH Efficacy'!$AL:$AL, $A125, 
'20102013 STH Efficacy'!$AM:$AM, "Albendazole &amp; Ivermectin",
'20102013 STH Efficacy'!$AS:$AS,"&lt;2014",
'20102013 STH Efficacy'!$BP:$BP,""),
"")</f>
        <v/>
      </c>
      <c r="BA125" s="303">
        <f t="shared" si="24"/>
        <v>0.47175</v>
      </c>
      <c r="BB125" s="134" t="str">
        <f>IFERROR(AVERAGEIFS(
'20102013 STH Efficacy'!$N:$N, 
'20102013 STH Efficacy'!$B:$B, $A125, 
'20102013 STH Efficacy'!$C:$C, "Albendazole",
'20102013 STH Efficacy'!$I:$I,"&lt;2014",
'20102013 STH Efficacy'!$AH:$AH,""),
"")</f>
        <v/>
      </c>
      <c r="BC125" s="135">
        <f t="shared" si="25"/>
        <v>0.8699166667</v>
      </c>
      <c r="BD125" s="134" t="str">
        <f>IFERROR(AVERAGEIFS(
'20102013 STH Efficacy'!$N:$N, 
'20102013 STH Efficacy'!$B:$B, $A125, 
'20102013 STH Efficacy'!$C:$C, "Mebendazole",
'20102013 STH Efficacy'!$I:$I,"&lt;2014",
'20102013 STH Efficacy'!$AH:$AH,""),
"")</f>
        <v/>
      </c>
      <c r="BE125" s="135">
        <f t="shared" si="26"/>
        <v>0.7092416667</v>
      </c>
      <c r="BF125" s="128" t="str">
        <f>IFERROR(AVERAGEIFS(
'20102013 STH Efficacy'!$CD:$CD, 
'20102013 STH Efficacy'!$BS:$BS, $A125, 
'20102013 STH Efficacy'!$BT:$BT, "Albendazole",
'20102013 STH Efficacy'!$BZ:$BZ,"&lt;2014",
'20102013 STH Efficacy'!$CU:$CU,""),
"")</f>
        <v/>
      </c>
      <c r="BG125" s="136">
        <f t="shared" si="27"/>
        <v>0.9066666667</v>
      </c>
      <c r="BH125" s="128" t="str">
        <f>IFERROR(AVERAGEIFS(
'20102013 STH Efficacy'!$CD:$CD, 
'20102013 STH Efficacy'!$BS:$BS, $A125, 
'20102013 STH Efficacy'!$BT:$BT, "Mebendazole",
'20102013 STH Efficacy'!$BZ:$BZ,"&lt;2014",
'20102013 STH Efficacy'!$CU:$CU,""),
"")</f>
        <v/>
      </c>
      <c r="BI125" s="136">
        <f t="shared" si="28"/>
        <v>0.9358666667</v>
      </c>
      <c r="BJ125" s="128" t="str">
        <f>IFERROR(AVERAGEIFS(
'20102013 STH Efficacy'!$CD:$CD, 
'20102013 STH Efficacy'!$BS:$BS, $A125, 
'20102013 STH Efficacy'!$BT:$BT, "Albendazole &amp; Ivermectin",
'20102013 STH Efficacy'!$BZ:$BZ,"&lt;2014",
'20102013 STH Efficacy'!$CU:$CU,""),
"")</f>
        <v/>
      </c>
      <c r="BK125" s="136">
        <f t="shared" si="29"/>
        <v>1</v>
      </c>
      <c r="BL125" s="300" t="str">
        <f>IFERROR(
  AVERAGEIFS(
    'NEW 20102013 Onchocerciasis Eff'!$AO:$AO,
    'NEW 20102013 Onchocerciasis Eff'!$C:$C,$A125,
    'NEW 20102013 Onchocerciasis Eff'!$D:$D,"Ivermectin",
    'NEW 20102013 Onchocerciasis Eff'!$AR:$AR,"&lt;2014",
    'NEW 20102013 Onchocerciasis Eff'!$BG:$BG,"")
,"")</f>
        <v/>
      </c>
      <c r="BM125" s="304">
        <f t="shared" si="30"/>
        <v>0.8390421645</v>
      </c>
      <c r="BN125" s="305">
        <v>0.0</v>
      </c>
      <c r="BO125" s="139">
        <v>0.0</v>
      </c>
      <c r="BP125" s="140">
        <v>0.0</v>
      </c>
      <c r="BQ125" s="141">
        <f t="shared" si="31"/>
        <v>0</v>
      </c>
      <c r="BR125" s="104" t="str">
        <f t="shared" si="32"/>
        <v>0000</v>
      </c>
      <c r="BS125" s="104" t="str">
        <f t="shared" si="33"/>
        <v>no action required</v>
      </c>
      <c r="BT125" s="142" t="str">
        <f t="shared" si="34"/>
        <v/>
      </c>
      <c r="BU125" s="104" t="str">
        <f t="shared" si="50"/>
        <v/>
      </c>
      <c r="BV125" s="104" t="str">
        <f t="shared" si="36"/>
        <v>none</v>
      </c>
      <c r="BW125" s="150" t="str">
        <f t="shared" si="37"/>
        <v/>
      </c>
      <c r="BX125" s="150" t="str">
        <f t="shared" si="38"/>
        <v/>
      </c>
      <c r="BY125" s="151" t="str">
        <f t="shared" si="39"/>
        <v/>
      </c>
      <c r="BZ125" s="152" t="str">
        <f t="shared" si="40"/>
        <v/>
      </c>
      <c r="CA125" s="152" t="str">
        <f t="shared" si="41"/>
        <v/>
      </c>
      <c r="CB125" s="152" t="str">
        <f t="shared" si="42"/>
        <v/>
      </c>
      <c r="CC125" s="153" t="str">
        <f t="shared" si="43"/>
        <v/>
      </c>
      <c r="CD125" s="153" t="str">
        <f t="shared" si="44"/>
        <v/>
      </c>
      <c r="CE125" s="154" t="str">
        <f t="shared" si="45"/>
        <v/>
      </c>
      <c r="CF125" s="154" t="str">
        <f t="shared" si="46"/>
        <v/>
      </c>
      <c r="CG125" s="154" t="str">
        <f t="shared" si="47"/>
        <v/>
      </c>
      <c r="CH125" s="308" t="str">
        <f t="shared" si="48"/>
        <v/>
      </c>
      <c r="CI125" s="299"/>
    </row>
    <row r="126">
      <c r="A126" s="103" t="s">
        <v>215</v>
      </c>
      <c r="B126" s="104" t="s">
        <v>98</v>
      </c>
      <c r="C126" s="105">
        <v>1.22535969E8</v>
      </c>
      <c r="D126" s="293">
        <v>0.0</v>
      </c>
      <c r="E126" s="294">
        <v>0.0</v>
      </c>
      <c r="F126" s="307">
        <v>992.5532542</v>
      </c>
      <c r="G126" s="307">
        <v>5254.929123</v>
      </c>
      <c r="H126" s="108">
        <v>6247.482377</v>
      </c>
      <c r="I126" s="109">
        <v>6.80061612</v>
      </c>
      <c r="J126" s="109">
        <v>15.763655</v>
      </c>
      <c r="K126" s="110">
        <v>22.56427108</v>
      </c>
      <c r="L126" s="111">
        <v>1632.262647</v>
      </c>
      <c r="M126" s="111">
        <v>3373.405807</v>
      </c>
      <c r="N126" s="111">
        <v>5005.668454</v>
      </c>
      <c r="O126" s="324">
        <v>5.25738E-47</v>
      </c>
      <c r="P126" s="114"/>
      <c r="Q126" s="114"/>
      <c r="R126" s="121" t="str">
        <f t="shared" si="11"/>
        <v/>
      </c>
      <c r="S126" s="116">
        <f t="shared" si="12"/>
        <v>0.2288425133</v>
      </c>
      <c r="T126" s="130"/>
      <c r="U126" s="118">
        <f t="shared" si="13"/>
        <v>0.39435</v>
      </c>
      <c r="V126" s="119">
        <v>1.0</v>
      </c>
      <c r="W126" s="120">
        <f t="shared" si="14"/>
        <v>1</v>
      </c>
      <c r="X126" s="119">
        <v>1.0</v>
      </c>
      <c r="Y126" s="120">
        <f t="shared" si="15"/>
        <v>1</v>
      </c>
      <c r="Z126" s="311" t="s">
        <v>373</v>
      </c>
      <c r="AA126" s="311" t="s">
        <v>373</v>
      </c>
      <c r="AB126" s="300" t="str">
        <f t="shared" si="16"/>
        <v/>
      </c>
      <c r="AC126" s="301">
        <f t="shared" si="17"/>
        <v>0.3490201688</v>
      </c>
      <c r="AD126" s="122">
        <v>0.0</v>
      </c>
      <c r="AE126" s="123">
        <v>0.0</v>
      </c>
      <c r="AF126" s="123">
        <v>0.0</v>
      </c>
      <c r="AG126" s="316">
        <v>0.0</v>
      </c>
      <c r="AH126" s="124">
        <v>0.174213353</v>
      </c>
      <c r="AI126" s="317">
        <v>0.0</v>
      </c>
      <c r="AJ126" s="125">
        <v>9.56106E-5</v>
      </c>
      <c r="AK126" s="319">
        <v>0.0</v>
      </c>
      <c r="AL126" s="319">
        <v>0.0</v>
      </c>
      <c r="AM126" s="302">
        <v>0.0</v>
      </c>
      <c r="AN126" s="149" t="str">
        <f>IFERROR(
  AVERAGEIFS(
    'New 20102013 LF Efficacy'!$J:$J,
    'New 20102013 LF Efficacy'!$D:$D, $A126,
    'New 20102013 LF Efficacy'!$F:$F,"DEC", 
    'New 20102013 LF Efficacy'!$W:$W,"&lt;2014",
    'New 20102013 LF Efficacy'!$AA:$AA,""),
  ""
)</f>
        <v/>
      </c>
      <c r="AO126" s="115">
        <f t="shared" si="18"/>
        <v>0.2589833333</v>
      </c>
      <c r="AP126" s="121" t="str">
        <f>IFERROR(
AVERAGEIFS(
'New 20102013 LF Efficacy'!$J:$J,
'New 20102013 LF Efficacy'!$D:$D,$A126,
'New 20102013 LF Efficacy'!$F:$F,"Albendazole &amp; DEC",
'New 20102013 LF Efficacy'!$W:$W,"&lt;2014",
'New 20102013 LF Efficacy'!$AA:$AA,""),
"")
</f>
        <v/>
      </c>
      <c r="AQ126" s="115">
        <f t="shared" si="19"/>
        <v>0.3465</v>
      </c>
      <c r="AR126" s="121" t="str">
        <f>IFERROR(
AVERAGEIFS(
'New 20102013 LF Efficacy'!$J:$J,
'New 20102013 LF Efficacy'!$D:$D,$A126,
'New 20102013 LF Efficacy'!$F:$F,"Albendazole &amp; Ivermectin", 
'New 20102013 LF Efficacy'!$W:$W,"&lt;2014",
'New 20102013 LF Efficacy'!$AA:$AA,""),"")</f>
        <v/>
      </c>
      <c r="AS126" s="115">
        <f t="shared" si="20"/>
        <v>0.7575</v>
      </c>
      <c r="AT126" s="130" t="str">
        <f>IFERROR(AVERAGEIFS(
'20102013 Schist Efficacy'!$O:$O, 
'20102013 Schist Efficacy'!$C:$C,$A126, 
'20102013 Schist Efficacy'!$D:$D, "Praziquantel",
'20102013 Schist Efficacy'!$J:$J,"&lt;2014",
'20102013 Schist Efficacy'!$U:$U,""),
"")</f>
        <v/>
      </c>
      <c r="AU126" s="118">
        <f t="shared" si="21"/>
        <v>0.7914761905</v>
      </c>
      <c r="AV126" s="131" t="str">
        <f>IFERROR(AVERAGEIFS(
'20102013 STH Efficacy'!$AX:$AX, 
'20102013 STH Efficacy'!$AL:$AL, $A126, 
'20102013 STH Efficacy'!$AM:$AM, "Albendazole",
'20102013 STH Efficacy'!$AS:$AS,"&lt;2014",
'20102013 STH Efficacy'!$BP:$BP,""),
"")</f>
        <v/>
      </c>
      <c r="AW126" s="132">
        <f t="shared" si="22"/>
        <v>0.3945</v>
      </c>
      <c r="AX126" s="131" t="str">
        <f>IFERROR(AVERAGEIFS(
'20102013 STH Efficacy'!$AX:$AX, 
'20102013 STH Efficacy'!$AL:$AL, $A126, 
'20102013 STH Efficacy'!$AM:$AM, "Mebendazole",
'20102013 STH Efficacy'!$AS:$AS,"&lt;2014",
'20102013 STH Efficacy'!$BP:$BP,""),
"")</f>
        <v/>
      </c>
      <c r="AY126" s="132">
        <f t="shared" si="23"/>
        <v>0.6</v>
      </c>
      <c r="AZ126" s="131" t="str">
        <f>IFERROR(AVERAGEIFS(
'20102013 STH Efficacy'!$AX:$AX, 
'20102013 STH Efficacy'!$AL:$AL, $A126, 
'20102013 STH Efficacy'!$AM:$AM, "Albendazole &amp; Ivermectin",
'20102013 STH Efficacy'!$AS:$AS,"&lt;2014",
'20102013 STH Efficacy'!$BP:$BP,""),
"")</f>
        <v/>
      </c>
      <c r="BA126" s="303">
        <f t="shared" si="24"/>
        <v>0.796</v>
      </c>
      <c r="BB126" s="134" t="str">
        <f>IFERROR(AVERAGEIFS(
'20102013 STH Efficacy'!$N:$N, 
'20102013 STH Efficacy'!$B:$B, $A126, 
'20102013 STH Efficacy'!$C:$C, "Albendazole",
'20102013 STH Efficacy'!$I:$I,"&lt;2014",
'20102013 STH Efficacy'!$AH:$AH,""),
"")</f>
        <v/>
      </c>
      <c r="BC126" s="135">
        <f t="shared" si="25"/>
        <v>0.869</v>
      </c>
      <c r="BD126" s="134" t="str">
        <f>IFERROR(AVERAGEIFS(
'20102013 STH Efficacy'!$N:$N, 
'20102013 STH Efficacy'!$B:$B, $A126, 
'20102013 STH Efficacy'!$C:$C, "Mebendazole",
'20102013 STH Efficacy'!$I:$I,"&lt;2014",
'20102013 STH Efficacy'!$AH:$AH,""),
"")</f>
        <v/>
      </c>
      <c r="BE126" s="135">
        <f t="shared" si="26"/>
        <v>0.172</v>
      </c>
      <c r="BF126" s="128" t="str">
        <f>IFERROR(AVERAGEIFS(
'20102013 STH Efficacy'!$CD:$CD, 
'20102013 STH Efficacy'!$BS:$BS, $A126, 
'20102013 STH Efficacy'!$BT:$BT, "Albendazole",
'20102013 STH Efficacy'!$BZ:$BZ,"&lt;2014",
'20102013 STH Efficacy'!$CU:$CU,""),
"")</f>
        <v/>
      </c>
      <c r="BG126" s="136">
        <f t="shared" si="27"/>
        <v>0.9862</v>
      </c>
      <c r="BH126" s="128" t="str">
        <f>IFERROR(AVERAGEIFS(
'20102013 STH Efficacy'!$CD:$CD, 
'20102013 STH Efficacy'!$BS:$BS, $A126, 
'20102013 STH Efficacy'!$BT:$BT, "Mebendazole",
'20102013 STH Efficacy'!$BZ:$BZ,"&lt;2014",
'20102013 STH Efficacy'!$CU:$CU,""),
"")</f>
        <v/>
      </c>
      <c r="BI126" s="136">
        <f t="shared" si="28"/>
        <v>0.769</v>
      </c>
      <c r="BJ126" s="128" t="str">
        <f>IFERROR(AVERAGEIFS(
'20102013 STH Efficacy'!$CD:$CD, 
'20102013 STH Efficacy'!$BS:$BS, $A126, 
'20102013 STH Efficacy'!$BT:$BT, "Albendazole &amp; Ivermectin",
'20102013 STH Efficacy'!$BZ:$BZ,"&lt;2014",
'20102013 STH Efficacy'!$CU:$CU,""),
"")</f>
        <v/>
      </c>
      <c r="BK126" s="136">
        <f t="shared" si="29"/>
        <v>1</v>
      </c>
      <c r="BL126" s="300" t="str">
        <f>IFERROR(
  AVERAGEIFS(
    'NEW 20102013 Onchocerciasis Eff'!$AO:$AO,
    'NEW 20102013 Onchocerciasis Eff'!$C:$C,$A126,
    'NEW 20102013 Onchocerciasis Eff'!$D:$D,"Ivermectin",
    'NEW 20102013 Onchocerciasis Eff'!$AR:$AR,"&lt;2014",
    'NEW 20102013 Onchocerciasis Eff'!$BG:$BG,"")
,"")</f>
        <v/>
      </c>
      <c r="BM126" s="304">
        <f t="shared" si="30"/>
        <v>0.3734</v>
      </c>
      <c r="BN126" s="305">
        <v>0.0</v>
      </c>
      <c r="BO126" s="139">
        <v>0.0</v>
      </c>
      <c r="BP126" s="140">
        <v>0.0</v>
      </c>
      <c r="BQ126" s="141">
        <f t="shared" si="31"/>
        <v>0</v>
      </c>
      <c r="BR126" s="104" t="str">
        <f t="shared" si="32"/>
        <v>0000</v>
      </c>
      <c r="BS126" s="104" t="str">
        <f t="shared" si="33"/>
        <v>no action required</v>
      </c>
      <c r="BT126" s="142" t="str">
        <f t="shared" si="34"/>
        <v/>
      </c>
      <c r="BU126" s="104" t="str">
        <f t="shared" si="50"/>
        <v/>
      </c>
      <c r="BV126" s="104" t="str">
        <f t="shared" si="36"/>
        <v>none</v>
      </c>
      <c r="BW126" s="150" t="str">
        <f t="shared" si="37"/>
        <v/>
      </c>
      <c r="BX126" s="150" t="str">
        <f t="shared" si="38"/>
        <v/>
      </c>
      <c r="BY126" s="151" t="str">
        <f t="shared" si="39"/>
        <v/>
      </c>
      <c r="BZ126" s="152" t="str">
        <f t="shared" si="40"/>
        <v/>
      </c>
      <c r="CA126" s="152" t="str">
        <f t="shared" si="41"/>
        <v/>
      </c>
      <c r="CB126" s="152" t="str">
        <f t="shared" si="42"/>
        <v/>
      </c>
      <c r="CC126" s="153" t="str">
        <f t="shared" si="43"/>
        <v/>
      </c>
      <c r="CD126" s="153" t="str">
        <f t="shared" si="44"/>
        <v/>
      </c>
      <c r="CE126" s="154" t="str">
        <f t="shared" si="45"/>
        <v/>
      </c>
      <c r="CF126" s="154" t="str">
        <f t="shared" si="46"/>
        <v/>
      </c>
      <c r="CG126" s="154" t="str">
        <f t="shared" si="47"/>
        <v/>
      </c>
      <c r="CH126" s="308" t="str">
        <f t="shared" si="48"/>
        <v/>
      </c>
      <c r="CI126" s="299"/>
    </row>
    <row r="127">
      <c r="A127" s="103" t="s">
        <v>216</v>
      </c>
      <c r="B127" s="104" t="s">
        <v>94</v>
      </c>
      <c r="C127" s="105">
        <v>103702.0</v>
      </c>
      <c r="D127" s="293">
        <v>53.14</v>
      </c>
      <c r="E127" s="294">
        <v>0.0</v>
      </c>
      <c r="F127" s="325"/>
      <c r="G127" s="325"/>
      <c r="H127" s="108">
        <v>0.402288897</v>
      </c>
      <c r="I127" s="109">
        <v>0.0</v>
      </c>
      <c r="J127" s="109">
        <v>0.0</v>
      </c>
      <c r="K127" s="109">
        <v>9.283312183</v>
      </c>
      <c r="L127" s="112">
        <v>5.608055685</v>
      </c>
      <c r="M127" s="112">
        <v>15.5241526</v>
      </c>
      <c r="N127" s="111">
        <v>21.13220828</v>
      </c>
      <c r="O127" s="298">
        <v>0.0</v>
      </c>
      <c r="P127" s="160">
        <v>11241.0</v>
      </c>
      <c r="Q127" s="156"/>
      <c r="R127" s="121">
        <f t="shared" si="11"/>
        <v>0</v>
      </c>
      <c r="S127" s="116">
        <f t="shared" si="12"/>
        <v>0.403639098</v>
      </c>
      <c r="T127" s="130"/>
      <c r="U127" s="118">
        <f t="shared" si="13"/>
        <v>0.6259666667</v>
      </c>
      <c r="V127" s="148"/>
      <c r="W127" s="120">
        <f t="shared" si="14"/>
        <v>0.3807857143</v>
      </c>
      <c r="X127" s="148"/>
      <c r="Y127" s="120">
        <f t="shared" si="15"/>
        <v>0.3971375</v>
      </c>
      <c r="Z127" s="299"/>
      <c r="AA127" s="299"/>
      <c r="AB127" s="300" t="str">
        <f t="shared" si="16"/>
        <v/>
      </c>
      <c r="AC127" s="301">
        <f t="shared" si="17"/>
        <v>0.6295826791</v>
      </c>
      <c r="AD127" s="122">
        <v>0.0096</v>
      </c>
      <c r="AE127" s="315">
        <v>0.0</v>
      </c>
      <c r="AF127" s="166">
        <v>0.0</v>
      </c>
      <c r="AG127" s="316">
        <v>0.0</v>
      </c>
      <c r="AH127" s="124">
        <v>0.096469358</v>
      </c>
      <c r="AI127" s="317">
        <v>0.0</v>
      </c>
      <c r="AJ127" s="317">
        <v>0.08934454</v>
      </c>
      <c r="AK127" s="319">
        <v>0.0</v>
      </c>
      <c r="AL127" s="319">
        <v>0.0</v>
      </c>
      <c r="AM127" s="302">
        <v>0.0</v>
      </c>
      <c r="AN127" s="149" t="str">
        <f>IFERROR(
  AVERAGEIFS(
    'New 20102013 LF Efficacy'!$J:$J,
    'New 20102013 LF Efficacy'!$D:$D, $A127,
    'New 20102013 LF Efficacy'!$F:$F,"DEC", 
    'New 20102013 LF Efficacy'!$W:$W,"&lt;2014",
    'New 20102013 LF Efficacy'!$AA:$AA,""),
  ""
)</f>
        <v/>
      </c>
      <c r="AO127" s="115">
        <f t="shared" si="18"/>
        <v>0.38</v>
      </c>
      <c r="AP127" s="121" t="str">
        <f>IFERROR(
AVERAGEIFS(
'New 20102013 LF Efficacy'!$J:$J,
'New 20102013 LF Efficacy'!$D:$D,$A127,
'New 20102013 LF Efficacy'!$F:$F,"Albendazole &amp; DEC",
'New 20102013 LF Efficacy'!$W:$W,"&lt;2014",
'New 20102013 LF Efficacy'!$AA:$AA,""),
"")
</f>
        <v/>
      </c>
      <c r="AQ127" s="115">
        <f t="shared" si="19"/>
        <v>0.657</v>
      </c>
      <c r="AR127" s="121" t="str">
        <f>IFERROR(
AVERAGEIFS(
'New 20102013 LF Efficacy'!$J:$J,
'New 20102013 LF Efficacy'!$D:$D,$A127,
'New 20102013 LF Efficacy'!$F:$F,"Albendazole &amp; Ivermectin", 
'New 20102013 LF Efficacy'!$W:$W,"&lt;2014",
'New 20102013 LF Efficacy'!$AA:$AA,""),"")</f>
        <v/>
      </c>
      <c r="AS127" s="115">
        <f t="shared" si="20"/>
        <v>0.37153125</v>
      </c>
      <c r="AT127" s="130" t="str">
        <f>IFERROR(AVERAGEIFS(
'20102013 Schist Efficacy'!$O:$O, 
'20102013 Schist Efficacy'!$C:$C,$A127, 
'20102013 Schist Efficacy'!$D:$D, "Praziquantel",
'20102013 Schist Efficacy'!$J:$J,"&lt;2014",
'20102013 Schist Efficacy'!$U:$U,""),
"")</f>
        <v/>
      </c>
      <c r="AU127" s="118">
        <f t="shared" si="21"/>
        <v>0.9475</v>
      </c>
      <c r="AV127" s="131" t="str">
        <f>IFERROR(AVERAGEIFS(
'20102013 STH Efficacy'!$AX:$AX, 
'20102013 STH Efficacy'!$AL:$AL, $A127, 
'20102013 STH Efficacy'!$AM:$AM, "Albendazole",
'20102013 STH Efficacy'!$AS:$AS,"&lt;2014",
'20102013 STH Efficacy'!$BP:$BP,""),
"")</f>
        <v/>
      </c>
      <c r="AW127" s="132">
        <f t="shared" si="22"/>
        <v>0.3571666667</v>
      </c>
      <c r="AX127" s="131" t="str">
        <f>IFERROR(AVERAGEIFS(
'20102013 STH Efficacy'!$AX:$AX, 
'20102013 STH Efficacy'!$AL:$AL, $A127, 
'20102013 STH Efficacy'!$AM:$AM, "Mebendazole",
'20102013 STH Efficacy'!$AS:$AS,"&lt;2014",
'20102013 STH Efficacy'!$BP:$BP,""),
"")</f>
        <v/>
      </c>
      <c r="AY127" s="132">
        <f t="shared" si="23"/>
        <v>0.4155</v>
      </c>
      <c r="AZ127" s="131" t="str">
        <f>IFERROR(AVERAGEIFS(
'20102013 STH Efficacy'!$AX:$AX, 
'20102013 STH Efficacy'!$AL:$AL, $A127, 
'20102013 STH Efficacy'!$AM:$AM, "Albendazole &amp; Ivermectin",
'20102013 STH Efficacy'!$AS:$AS,"&lt;2014",
'20102013 STH Efficacy'!$BP:$BP,""),
"")</f>
        <v/>
      </c>
      <c r="BA127" s="303">
        <f t="shared" si="24"/>
        <v>0.651</v>
      </c>
      <c r="BB127" s="134" t="str">
        <f>IFERROR(AVERAGEIFS(
'20102013 STH Efficacy'!$N:$N, 
'20102013 STH Efficacy'!$B:$B, $A127, 
'20102013 STH Efficacy'!$C:$C, "Albendazole",
'20102013 STH Efficacy'!$I:$I,"&lt;2014",
'20102013 STH Efficacy'!$AH:$AH,""),
"")</f>
        <v/>
      </c>
      <c r="BC127" s="135">
        <f t="shared" si="25"/>
        <v>0.5769166667</v>
      </c>
      <c r="BD127" s="134" t="str">
        <f>IFERROR(AVERAGEIFS(
'20102013 STH Efficacy'!$N:$N, 
'20102013 STH Efficacy'!$B:$B, $A127, 
'20102013 STH Efficacy'!$C:$C, "Mebendazole",
'20102013 STH Efficacy'!$I:$I,"&lt;2014",
'20102013 STH Efficacy'!$AH:$AH,""),
"")</f>
        <v/>
      </c>
      <c r="BE127" s="135">
        <f t="shared" si="26"/>
        <v>0.3145</v>
      </c>
      <c r="BF127" s="128" t="str">
        <f>IFERROR(AVERAGEIFS(
'20102013 STH Efficacy'!$CD:$CD, 
'20102013 STH Efficacy'!$BS:$BS, $A127, 
'20102013 STH Efficacy'!$BT:$BT, "Albendazole",
'20102013 STH Efficacy'!$BZ:$BZ,"&lt;2014",
'20102013 STH Efficacy'!$CU:$CU,""),
"")</f>
        <v/>
      </c>
      <c r="BG127" s="136">
        <f t="shared" si="27"/>
        <v>0.96925</v>
      </c>
      <c r="BH127" s="128" t="str">
        <f>IFERROR(AVERAGEIFS(
'20102013 STH Efficacy'!$CD:$CD, 
'20102013 STH Efficacy'!$BS:$BS, $A127, 
'20102013 STH Efficacy'!$BT:$BT, "Mebendazole",
'20102013 STH Efficacy'!$BZ:$BZ,"&lt;2014",
'20102013 STH Efficacy'!$CU:$CU,""),
"")</f>
        <v/>
      </c>
      <c r="BI127" s="136">
        <f t="shared" si="28"/>
        <v>0.9305</v>
      </c>
      <c r="BJ127" s="128" t="str">
        <f>IFERROR(AVERAGEIFS(
'20102013 STH Efficacy'!$CD:$CD, 
'20102013 STH Efficacy'!$BS:$BS, $A127, 
'20102013 STH Efficacy'!$BT:$BT, "Albendazole &amp; Ivermectin",
'20102013 STH Efficacy'!$BZ:$BZ,"&lt;2014",
'20102013 STH Efficacy'!$CU:$CU,""),
"")</f>
        <v/>
      </c>
      <c r="BK127" s="136">
        <f t="shared" si="29"/>
        <v>1</v>
      </c>
      <c r="BL127" s="300" t="str">
        <f>IFERROR(
  AVERAGEIFS(
    'NEW 20102013 Onchocerciasis Eff'!$AO:$AO,
    'NEW 20102013 Onchocerciasis Eff'!$C:$C,$A127,
    'NEW 20102013 Onchocerciasis Eff'!$D:$D,"Ivermectin",
    'NEW 20102013 Onchocerciasis Eff'!$AR:$AR,"&lt;2014",
    'NEW 20102013 Onchocerciasis Eff'!$BG:$BG,"")
,"")</f>
        <v/>
      </c>
      <c r="BM127" s="304">
        <f t="shared" si="30"/>
        <v>0.7808368939</v>
      </c>
      <c r="BN127" s="305">
        <v>1.0</v>
      </c>
      <c r="BO127" s="139">
        <v>0.0</v>
      </c>
      <c r="BP127" s="140">
        <v>0.0</v>
      </c>
      <c r="BQ127" s="141">
        <f t="shared" si="31"/>
        <v>0</v>
      </c>
      <c r="BR127" s="104" t="str">
        <f t="shared" si="32"/>
        <v>1000</v>
      </c>
      <c r="BS127" s="104" t="str">
        <f t="shared" si="33"/>
        <v>MDA1/2</v>
      </c>
      <c r="BT127" s="142" t="str">
        <f t="shared" si="34"/>
        <v>DEC+ALB</v>
      </c>
      <c r="BU127" s="104" t="str">
        <f t="shared" si="50"/>
        <v/>
      </c>
      <c r="BV127" s="104" t="str">
        <f t="shared" si="36"/>
        <v>lf only</v>
      </c>
      <c r="BW127" s="312">
        <f t="shared" si="37"/>
        <v>19.17810151</v>
      </c>
      <c r="BX127" s="150" t="str">
        <f t="shared" si="38"/>
        <v/>
      </c>
      <c r="BY127" s="151" t="str">
        <f t="shared" si="39"/>
        <v/>
      </c>
      <c r="BZ127" s="152" t="str">
        <f t="shared" si="40"/>
        <v/>
      </c>
      <c r="CA127" s="152" t="str">
        <f t="shared" si="41"/>
        <v/>
      </c>
      <c r="CB127" s="152" t="str">
        <f t="shared" si="42"/>
        <v/>
      </c>
      <c r="CC127" s="153" t="str">
        <f t="shared" si="43"/>
        <v/>
      </c>
      <c r="CD127" s="153" t="str">
        <f t="shared" si="44"/>
        <v/>
      </c>
      <c r="CE127" s="154" t="str">
        <f t="shared" si="45"/>
        <v/>
      </c>
      <c r="CF127" s="154" t="str">
        <f t="shared" si="46"/>
        <v/>
      </c>
      <c r="CG127" s="154" t="str">
        <f t="shared" si="47"/>
        <v/>
      </c>
      <c r="CH127" s="308" t="str">
        <f t="shared" si="48"/>
        <v/>
      </c>
      <c r="CI127" s="299"/>
    </row>
    <row r="128">
      <c r="A128" s="103" t="s">
        <v>217</v>
      </c>
      <c r="B128" s="104" t="s">
        <v>90</v>
      </c>
      <c r="C128" s="105">
        <v>37971.0</v>
      </c>
      <c r="D128" s="293">
        <v>0.0</v>
      </c>
      <c r="E128" s="294">
        <v>0.0</v>
      </c>
      <c r="F128" s="325"/>
      <c r="G128" s="325"/>
      <c r="H128" s="108">
        <v>0.0</v>
      </c>
      <c r="I128" s="109">
        <v>0.0</v>
      </c>
      <c r="J128" s="109">
        <v>0.0</v>
      </c>
      <c r="K128" s="109">
        <v>0.0</v>
      </c>
      <c r="L128" s="113"/>
      <c r="M128" s="113"/>
      <c r="N128" s="111">
        <v>0.0</v>
      </c>
      <c r="O128" s="298">
        <v>0.0</v>
      </c>
      <c r="P128" s="114"/>
      <c r="Q128" s="114"/>
      <c r="R128" s="121" t="str">
        <f t="shared" si="11"/>
        <v/>
      </c>
      <c r="S128" s="116">
        <f t="shared" si="12"/>
        <v>0.526225767</v>
      </c>
      <c r="T128" s="130"/>
      <c r="U128" s="118">
        <f t="shared" si="13"/>
        <v>0.3468166667</v>
      </c>
      <c r="V128" s="148"/>
      <c r="W128" s="120">
        <f t="shared" si="14"/>
        <v>1</v>
      </c>
      <c r="X128" s="148"/>
      <c r="Y128" s="120">
        <f t="shared" si="15"/>
        <v>1</v>
      </c>
      <c r="Z128" s="299"/>
      <c r="AA128" s="299"/>
      <c r="AB128" s="300" t="str">
        <f t="shared" si="16"/>
        <v/>
      </c>
      <c r="AC128" s="301">
        <f t="shared" si="17"/>
        <v>0.6295826791</v>
      </c>
      <c r="AD128" s="314">
        <v>0.0</v>
      </c>
      <c r="AE128" s="315">
        <v>0.0</v>
      </c>
      <c r="AF128" s="166">
        <v>0.0</v>
      </c>
      <c r="AG128" s="316">
        <v>0.0</v>
      </c>
      <c r="AH128" s="307">
        <v>0.0</v>
      </c>
      <c r="AI128" s="317">
        <v>0.0</v>
      </c>
      <c r="AJ128" s="318">
        <v>0.0</v>
      </c>
      <c r="AK128" s="319">
        <v>0.0</v>
      </c>
      <c r="AL128" s="319">
        <v>0.0</v>
      </c>
      <c r="AM128" s="320">
        <v>0.0</v>
      </c>
      <c r="AN128" s="149" t="str">
        <f>IFERROR(
  AVERAGEIFS(
    'New 20102013 LF Efficacy'!$J:$J,
    'New 20102013 LF Efficacy'!$D:$D, $A128,
    'New 20102013 LF Efficacy'!$F:$F,"DEC", 
    'New 20102013 LF Efficacy'!$W:$W,"&lt;2014",
    'New 20102013 LF Efficacy'!$AA:$AA,""),
  ""
)</f>
        <v/>
      </c>
      <c r="AO128" s="115">
        <f t="shared" si="18"/>
        <v>0.3573520833</v>
      </c>
      <c r="AP128" s="121" t="str">
        <f>IFERROR(
AVERAGEIFS(
'New 20102013 LF Efficacy'!$J:$J,
'New 20102013 LF Efficacy'!$D:$D,$A128,
'New 20102013 LF Efficacy'!$F:$F,"Albendazole &amp; DEC",
'New 20102013 LF Efficacy'!$W:$W,"&lt;2014",
'New 20102013 LF Efficacy'!$AA:$AA,""),
"")
</f>
        <v/>
      </c>
      <c r="AQ128" s="115">
        <f t="shared" si="19"/>
        <v>0.5137291667</v>
      </c>
      <c r="AR128" s="121" t="str">
        <f>IFERROR(
AVERAGEIFS(
'New 20102013 LF Efficacy'!$J:$J,
'New 20102013 LF Efficacy'!$D:$D,$A128,
'New 20102013 LF Efficacy'!$F:$F,"Albendazole &amp; Ivermectin", 
'New 20102013 LF Efficacy'!$W:$W,"&lt;2014",
'New 20102013 LF Efficacy'!$AA:$AA,""),"")</f>
        <v/>
      </c>
      <c r="AS128" s="115">
        <f t="shared" si="20"/>
        <v>0.37153125</v>
      </c>
      <c r="AT128" s="130" t="str">
        <f>IFERROR(AVERAGEIFS(
'20102013 Schist Efficacy'!$O:$O, 
'20102013 Schist Efficacy'!$C:$C,$A128, 
'20102013 Schist Efficacy'!$D:$D, "Praziquantel",
'20102013 Schist Efficacy'!$J:$J,"&lt;2014",
'20102013 Schist Efficacy'!$U:$U,""),
"")</f>
        <v/>
      </c>
      <c r="AU128" s="118">
        <f t="shared" si="21"/>
        <v>0.655</v>
      </c>
      <c r="AV128" s="131" t="str">
        <f>IFERROR(AVERAGEIFS(
'20102013 STH Efficacy'!$AX:$AX, 
'20102013 STH Efficacy'!$AL:$AL, $A128, 
'20102013 STH Efficacy'!$AM:$AM, "Albendazole",
'20102013 STH Efficacy'!$AS:$AS,"&lt;2014",
'20102013 STH Efficacy'!$BP:$BP,""),
"")</f>
        <v/>
      </c>
      <c r="AW128" s="132">
        <f t="shared" si="22"/>
        <v>0.3933333333</v>
      </c>
      <c r="AX128" s="131" t="str">
        <f>IFERROR(AVERAGEIFS(
'20102013 STH Efficacy'!$AX:$AX, 
'20102013 STH Efficacy'!$AL:$AL, $A128, 
'20102013 STH Efficacy'!$AM:$AM, "Mebendazole",
'20102013 STH Efficacy'!$AS:$AS,"&lt;2014",
'20102013 STH Efficacy'!$BP:$BP,""),
"")</f>
        <v/>
      </c>
      <c r="AY128" s="132">
        <f t="shared" si="23"/>
        <v>0.5017738095</v>
      </c>
      <c r="AZ128" s="131" t="str">
        <f>IFERROR(AVERAGEIFS(
'20102013 STH Efficacy'!$AX:$AX, 
'20102013 STH Efficacy'!$AL:$AL, $A128, 
'20102013 STH Efficacy'!$AM:$AM, "Albendazole &amp; Ivermectin",
'20102013 STH Efficacy'!$AS:$AS,"&lt;2014",
'20102013 STH Efficacy'!$BP:$BP,""),
"")</f>
        <v/>
      </c>
      <c r="BA128" s="303">
        <f t="shared" si="24"/>
        <v>0.597625</v>
      </c>
      <c r="BB128" s="134" t="str">
        <f>IFERROR(AVERAGEIFS(
'20102013 STH Efficacy'!$N:$N, 
'20102013 STH Efficacy'!$B:$B, $A128, 
'20102013 STH Efficacy'!$C:$C, "Albendazole",
'20102013 STH Efficacy'!$I:$I,"&lt;2014",
'20102013 STH Efficacy'!$AH:$AH,""),
"")</f>
        <v/>
      </c>
      <c r="BC128" s="135">
        <f t="shared" si="25"/>
        <v>0.7613712121</v>
      </c>
      <c r="BD128" s="134" t="str">
        <f>IFERROR(AVERAGEIFS(
'20102013 STH Efficacy'!$N:$N, 
'20102013 STH Efficacy'!$B:$B, $A128, 
'20102013 STH Efficacy'!$C:$C, "Mebendazole",
'20102013 STH Efficacy'!$I:$I,"&lt;2014",
'20102013 STH Efficacy'!$AH:$AH,""),
"")</f>
        <v/>
      </c>
      <c r="BE128" s="135">
        <f t="shared" si="26"/>
        <v>0.4362466667</v>
      </c>
      <c r="BF128" s="128" t="str">
        <f>IFERROR(AVERAGEIFS(
'20102013 STH Efficacy'!$CD:$CD, 
'20102013 STH Efficacy'!$BS:$BS, $A128, 
'20102013 STH Efficacy'!$BT:$BT, "Albendazole",
'20102013 STH Efficacy'!$BZ:$BZ,"&lt;2014",
'20102013 STH Efficacy'!$CU:$CU,""),
"")</f>
        <v/>
      </c>
      <c r="BG128" s="136">
        <f t="shared" si="27"/>
        <v>0.9216027778</v>
      </c>
      <c r="BH128" s="128" t="str">
        <f>IFERROR(AVERAGEIFS(
'20102013 STH Efficacy'!$CD:$CD, 
'20102013 STH Efficacy'!$BS:$BS, $A128, 
'20102013 STH Efficacy'!$BT:$BT, "Mebendazole",
'20102013 STH Efficacy'!$BZ:$BZ,"&lt;2014",
'20102013 STH Efficacy'!$CU:$CU,""),
"")</f>
        <v/>
      </c>
      <c r="BI128" s="136">
        <f t="shared" si="28"/>
        <v>0.9295857143</v>
      </c>
      <c r="BJ128" s="128" t="str">
        <f>IFERROR(AVERAGEIFS(
'20102013 STH Efficacy'!$CD:$CD, 
'20102013 STH Efficacy'!$BS:$BS, $A128, 
'20102013 STH Efficacy'!$BT:$BT, "Albendazole &amp; Ivermectin",
'20102013 STH Efficacy'!$BZ:$BZ,"&lt;2014",
'20102013 STH Efficacy'!$CU:$CU,""),
"")</f>
        <v/>
      </c>
      <c r="BK128" s="136">
        <f t="shared" si="29"/>
        <v>1</v>
      </c>
      <c r="BL128" s="300" t="str">
        <f>IFERROR(
  AVERAGEIFS(
    'NEW 20102013 Onchocerciasis Eff'!$AO:$AO,
    'NEW 20102013 Onchocerciasis Eff'!$C:$C,$A128,
    'NEW 20102013 Onchocerciasis Eff'!$D:$D,"Ivermectin",
    'NEW 20102013 Onchocerciasis Eff'!$AR:$AR,"&lt;2014",
    'NEW 20102013 Onchocerciasis Eff'!$BG:$BG,"")
,"")</f>
        <v/>
      </c>
      <c r="BM128" s="304">
        <f t="shared" si="30"/>
        <v>0.7808368939</v>
      </c>
      <c r="BN128" s="305">
        <v>1.0</v>
      </c>
      <c r="BO128" s="139">
        <v>0.0</v>
      </c>
      <c r="BP128" s="140">
        <v>0.0</v>
      </c>
      <c r="BQ128" s="141">
        <f t="shared" si="31"/>
        <v>0</v>
      </c>
      <c r="BR128" s="104" t="str">
        <f t="shared" si="32"/>
        <v>1000</v>
      </c>
      <c r="BS128" s="104" t="str">
        <f t="shared" si="33"/>
        <v>MDA1/2</v>
      </c>
      <c r="BT128" s="142" t="str">
        <f t="shared" si="34"/>
        <v>DEC+ALB</v>
      </c>
      <c r="BU128" s="104" t="str">
        <f t="shared" si="50"/>
        <v/>
      </c>
      <c r="BV128" s="104" t="str">
        <f t="shared" si="36"/>
        <v>lf only</v>
      </c>
      <c r="BW128" s="312">
        <f t="shared" si="37"/>
        <v>0</v>
      </c>
      <c r="BX128" s="150" t="str">
        <f t="shared" si="38"/>
        <v/>
      </c>
      <c r="BY128" s="151" t="str">
        <f t="shared" si="39"/>
        <v/>
      </c>
      <c r="BZ128" s="152" t="str">
        <f t="shared" si="40"/>
        <v/>
      </c>
      <c r="CA128" s="152" t="str">
        <f t="shared" si="41"/>
        <v/>
      </c>
      <c r="CB128" s="152" t="str">
        <f t="shared" si="42"/>
        <v/>
      </c>
      <c r="CC128" s="153" t="str">
        <f t="shared" si="43"/>
        <v/>
      </c>
      <c r="CD128" s="153" t="str">
        <f t="shared" si="44"/>
        <v/>
      </c>
      <c r="CE128" s="154" t="str">
        <f t="shared" si="45"/>
        <v/>
      </c>
      <c r="CF128" s="154" t="str">
        <f t="shared" si="46"/>
        <v/>
      </c>
      <c r="CG128" s="154" t="str">
        <f t="shared" si="47"/>
        <v/>
      </c>
      <c r="CH128" s="308" t="str">
        <f t="shared" si="48"/>
        <v/>
      </c>
      <c r="CI128" s="299"/>
    </row>
    <row r="129">
      <c r="A129" s="103" t="s">
        <v>218</v>
      </c>
      <c r="B129" s="104" t="s">
        <v>94</v>
      </c>
      <c r="C129" s="105">
        <v>2869107.0</v>
      </c>
      <c r="D129" s="293">
        <v>0.0</v>
      </c>
      <c r="E129" s="294">
        <v>0.0</v>
      </c>
      <c r="F129" s="307">
        <v>0.0</v>
      </c>
      <c r="G129" s="307">
        <v>0.0</v>
      </c>
      <c r="H129" s="108">
        <v>0.0</v>
      </c>
      <c r="I129" s="109">
        <v>0.02503878</v>
      </c>
      <c r="J129" s="109">
        <v>0.02093868</v>
      </c>
      <c r="K129" s="109">
        <v>0.045977455</v>
      </c>
      <c r="L129" s="112">
        <v>0.0</v>
      </c>
      <c r="M129" s="112">
        <v>0.0</v>
      </c>
      <c r="N129" s="111">
        <v>0.0</v>
      </c>
      <c r="O129" s="298">
        <v>0.0</v>
      </c>
      <c r="P129" s="114"/>
      <c r="Q129" s="114"/>
      <c r="R129" s="121" t="str">
        <f t="shared" si="11"/>
        <v/>
      </c>
      <c r="S129" s="116">
        <f t="shared" si="12"/>
        <v>0.403639098</v>
      </c>
      <c r="T129" s="130"/>
      <c r="U129" s="118">
        <f t="shared" si="13"/>
        <v>0.6259666667</v>
      </c>
      <c r="V129" s="148"/>
      <c r="W129" s="120">
        <f t="shared" si="14"/>
        <v>0.3807857143</v>
      </c>
      <c r="X129" s="148"/>
      <c r="Y129" s="120">
        <f t="shared" si="15"/>
        <v>0.3971375</v>
      </c>
      <c r="Z129" s="299"/>
      <c r="AA129" s="299"/>
      <c r="AB129" s="300" t="str">
        <f t="shared" si="16"/>
        <v/>
      </c>
      <c r="AC129" s="301">
        <f t="shared" si="17"/>
        <v>0.6295826791</v>
      </c>
      <c r="AD129" s="122">
        <v>0.0</v>
      </c>
      <c r="AE129" s="123">
        <v>0.0</v>
      </c>
      <c r="AF129" s="123">
        <v>0.0</v>
      </c>
      <c r="AG129" s="124">
        <v>0.0</v>
      </c>
      <c r="AH129" s="124">
        <v>1.1753E-5</v>
      </c>
      <c r="AI129" s="125">
        <v>0.0</v>
      </c>
      <c r="AJ129" s="125">
        <v>1.13448E-5</v>
      </c>
      <c r="AK129" s="127">
        <v>0.0</v>
      </c>
      <c r="AL129" s="127">
        <v>0.0</v>
      </c>
      <c r="AM129" s="302">
        <v>0.0</v>
      </c>
      <c r="AN129" s="149" t="str">
        <f>IFERROR(
  AVERAGEIFS(
    'New 20102013 LF Efficacy'!$J:$J,
    'New 20102013 LF Efficacy'!$D:$D, $A129,
    'New 20102013 LF Efficacy'!$F:$F,"DEC", 
    'New 20102013 LF Efficacy'!$W:$W,"&lt;2014",
    'New 20102013 LF Efficacy'!$AA:$AA,""),
  ""
)</f>
        <v/>
      </c>
      <c r="AO129" s="115">
        <f t="shared" si="18"/>
        <v>0.38</v>
      </c>
      <c r="AP129" s="121" t="str">
        <f>IFERROR(
AVERAGEIFS(
'New 20102013 LF Efficacy'!$J:$J,
'New 20102013 LF Efficacy'!$D:$D,$A129,
'New 20102013 LF Efficacy'!$F:$F,"Albendazole &amp; DEC",
'New 20102013 LF Efficacy'!$W:$W,"&lt;2014",
'New 20102013 LF Efficacy'!$AA:$AA,""),
"")
</f>
        <v/>
      </c>
      <c r="AQ129" s="115">
        <f t="shared" si="19"/>
        <v>0.657</v>
      </c>
      <c r="AR129" s="121" t="str">
        <f>IFERROR(
AVERAGEIFS(
'New 20102013 LF Efficacy'!$J:$J,
'New 20102013 LF Efficacy'!$D:$D,$A129,
'New 20102013 LF Efficacy'!$F:$F,"Albendazole &amp; Ivermectin", 
'New 20102013 LF Efficacy'!$W:$W,"&lt;2014",
'New 20102013 LF Efficacy'!$AA:$AA,""),"")</f>
        <v/>
      </c>
      <c r="AS129" s="115">
        <f t="shared" si="20"/>
        <v>0.37153125</v>
      </c>
      <c r="AT129" s="130" t="str">
        <f>IFERROR(AVERAGEIFS(
'20102013 Schist Efficacy'!$O:$O, 
'20102013 Schist Efficacy'!$C:$C,$A129, 
'20102013 Schist Efficacy'!$D:$D, "Praziquantel",
'20102013 Schist Efficacy'!$J:$J,"&lt;2014",
'20102013 Schist Efficacy'!$U:$U,""),
"")</f>
        <v/>
      </c>
      <c r="AU129" s="118">
        <f t="shared" si="21"/>
        <v>0.9475</v>
      </c>
      <c r="AV129" s="131" t="str">
        <f>IFERROR(AVERAGEIFS(
'20102013 STH Efficacy'!$AX:$AX, 
'20102013 STH Efficacy'!$AL:$AL, $A129, 
'20102013 STH Efficacy'!$AM:$AM, "Albendazole",
'20102013 STH Efficacy'!$AS:$AS,"&lt;2014",
'20102013 STH Efficacy'!$BP:$BP,""),
"")</f>
        <v/>
      </c>
      <c r="AW129" s="132">
        <f t="shared" si="22"/>
        <v>0.3571666667</v>
      </c>
      <c r="AX129" s="131" t="str">
        <f>IFERROR(AVERAGEIFS(
'20102013 STH Efficacy'!$AX:$AX, 
'20102013 STH Efficacy'!$AL:$AL, $A129, 
'20102013 STH Efficacy'!$AM:$AM, "Mebendazole",
'20102013 STH Efficacy'!$AS:$AS,"&lt;2014",
'20102013 STH Efficacy'!$BP:$BP,""),
"")</f>
        <v/>
      </c>
      <c r="AY129" s="132">
        <f t="shared" si="23"/>
        <v>0.4155</v>
      </c>
      <c r="AZ129" s="131" t="str">
        <f>IFERROR(AVERAGEIFS(
'20102013 STH Efficacy'!$AX:$AX, 
'20102013 STH Efficacy'!$AL:$AL, $A129, 
'20102013 STH Efficacy'!$AM:$AM, "Albendazole &amp; Ivermectin",
'20102013 STH Efficacy'!$AS:$AS,"&lt;2014",
'20102013 STH Efficacy'!$BP:$BP,""),
"")</f>
        <v/>
      </c>
      <c r="BA129" s="303">
        <f t="shared" si="24"/>
        <v>0.651</v>
      </c>
      <c r="BB129" s="134" t="str">
        <f>IFERROR(AVERAGEIFS(
'20102013 STH Efficacy'!$N:$N, 
'20102013 STH Efficacy'!$B:$B, $A129, 
'20102013 STH Efficacy'!$C:$C, "Albendazole",
'20102013 STH Efficacy'!$I:$I,"&lt;2014",
'20102013 STH Efficacy'!$AH:$AH,""),
"")</f>
        <v/>
      </c>
      <c r="BC129" s="135">
        <f t="shared" si="25"/>
        <v>0.5769166667</v>
      </c>
      <c r="BD129" s="134" t="str">
        <f>IFERROR(AVERAGEIFS(
'20102013 STH Efficacy'!$N:$N, 
'20102013 STH Efficacy'!$B:$B, $A129, 
'20102013 STH Efficacy'!$C:$C, "Mebendazole",
'20102013 STH Efficacy'!$I:$I,"&lt;2014",
'20102013 STH Efficacy'!$AH:$AH,""),
"")</f>
        <v/>
      </c>
      <c r="BE129" s="135">
        <f t="shared" si="26"/>
        <v>0.3145</v>
      </c>
      <c r="BF129" s="128" t="str">
        <f>IFERROR(AVERAGEIFS(
'20102013 STH Efficacy'!$CD:$CD, 
'20102013 STH Efficacy'!$BS:$BS, $A129, 
'20102013 STH Efficacy'!$BT:$BT, "Albendazole",
'20102013 STH Efficacy'!$BZ:$BZ,"&lt;2014",
'20102013 STH Efficacy'!$CU:$CU,""),
"")</f>
        <v/>
      </c>
      <c r="BG129" s="136">
        <f t="shared" si="27"/>
        <v>0.96925</v>
      </c>
      <c r="BH129" s="128" t="str">
        <f>IFERROR(AVERAGEIFS(
'20102013 STH Efficacy'!$CD:$CD, 
'20102013 STH Efficacy'!$BS:$BS, $A129, 
'20102013 STH Efficacy'!$BT:$BT, "Mebendazole",
'20102013 STH Efficacy'!$BZ:$BZ,"&lt;2014",
'20102013 STH Efficacy'!$CU:$CU,""),
"")</f>
        <v/>
      </c>
      <c r="BI129" s="136">
        <f t="shared" si="28"/>
        <v>0.9305</v>
      </c>
      <c r="BJ129" s="128" t="str">
        <f>IFERROR(AVERAGEIFS(
'20102013 STH Efficacy'!$CD:$CD, 
'20102013 STH Efficacy'!$BS:$BS, $A129, 
'20102013 STH Efficacy'!$BT:$BT, "Albendazole &amp; Ivermectin",
'20102013 STH Efficacy'!$BZ:$BZ,"&lt;2014",
'20102013 STH Efficacy'!$CU:$CU,""),
"")</f>
        <v/>
      </c>
      <c r="BK129" s="136">
        <f t="shared" si="29"/>
        <v>1</v>
      </c>
      <c r="BL129" s="300" t="str">
        <f>IFERROR(
  AVERAGEIFS(
    'NEW 20102013 Onchocerciasis Eff'!$AO:$AO,
    'NEW 20102013 Onchocerciasis Eff'!$C:$C,$A129,
    'NEW 20102013 Onchocerciasis Eff'!$D:$D,"Ivermectin",
    'NEW 20102013 Onchocerciasis Eff'!$AR:$AR,"&lt;2014",
    'NEW 20102013 Onchocerciasis Eff'!$BG:$BG,"")
,"")</f>
        <v/>
      </c>
      <c r="BM129" s="304">
        <f t="shared" si="30"/>
        <v>0.7808368939</v>
      </c>
      <c r="BN129" s="305">
        <v>0.0</v>
      </c>
      <c r="BO129" s="139">
        <v>0.0</v>
      </c>
      <c r="BP129" s="140">
        <v>0.0</v>
      </c>
      <c r="BQ129" s="141">
        <f t="shared" si="31"/>
        <v>0</v>
      </c>
      <c r="BR129" s="104" t="str">
        <f t="shared" si="32"/>
        <v>0000</v>
      </c>
      <c r="BS129" s="104" t="str">
        <f t="shared" si="33"/>
        <v>no action required</v>
      </c>
      <c r="BT129" s="142" t="str">
        <f t="shared" si="34"/>
        <v/>
      </c>
      <c r="BU129" s="104" t="str">
        <f t="shared" si="50"/>
        <v/>
      </c>
      <c r="BV129" s="104" t="str">
        <f t="shared" si="36"/>
        <v>none</v>
      </c>
      <c r="BW129" s="150" t="str">
        <f t="shared" si="37"/>
        <v/>
      </c>
      <c r="BX129" s="150" t="str">
        <f t="shared" si="38"/>
        <v/>
      </c>
      <c r="BY129" s="151" t="str">
        <f t="shared" si="39"/>
        <v/>
      </c>
      <c r="BZ129" s="152" t="str">
        <f t="shared" si="40"/>
        <v/>
      </c>
      <c r="CA129" s="152" t="str">
        <f t="shared" si="41"/>
        <v/>
      </c>
      <c r="CB129" s="152" t="str">
        <f t="shared" si="42"/>
        <v/>
      </c>
      <c r="CC129" s="153" t="str">
        <f t="shared" si="43"/>
        <v/>
      </c>
      <c r="CD129" s="153" t="str">
        <f t="shared" si="44"/>
        <v/>
      </c>
      <c r="CE129" s="154" t="str">
        <f t="shared" si="45"/>
        <v/>
      </c>
      <c r="CF129" s="154" t="str">
        <f t="shared" si="46"/>
        <v/>
      </c>
      <c r="CG129" s="154" t="str">
        <f t="shared" si="47"/>
        <v/>
      </c>
      <c r="CH129" s="308" t="str">
        <f t="shared" si="48"/>
        <v/>
      </c>
      <c r="CI129" s="299"/>
    </row>
    <row r="130">
      <c r="A130" s="155" t="s">
        <v>219</v>
      </c>
      <c r="B130" s="104" t="s">
        <v>90</v>
      </c>
      <c r="C130" s="105">
        <v>621207.0</v>
      </c>
      <c r="D130" s="293">
        <v>0.0</v>
      </c>
      <c r="E130" s="294">
        <v>0.0</v>
      </c>
      <c r="F130" s="307">
        <v>0.0</v>
      </c>
      <c r="G130" s="307">
        <v>0.0</v>
      </c>
      <c r="H130" s="108">
        <v>0.0</v>
      </c>
      <c r="I130" s="109">
        <v>0.0</v>
      </c>
      <c r="J130" s="109">
        <v>0.0</v>
      </c>
      <c r="K130" s="109">
        <v>0.0</v>
      </c>
      <c r="L130" s="112">
        <v>0.067459293</v>
      </c>
      <c r="M130" s="112">
        <v>0.040754321</v>
      </c>
      <c r="N130" s="111">
        <v>0.108213615</v>
      </c>
      <c r="O130" s="298">
        <v>0.0</v>
      </c>
      <c r="P130" s="114"/>
      <c r="Q130" s="114"/>
      <c r="R130" s="121" t="str">
        <f t="shared" si="11"/>
        <v/>
      </c>
      <c r="S130" s="116">
        <f t="shared" si="12"/>
        <v>0.526225767</v>
      </c>
      <c r="T130" s="130"/>
      <c r="U130" s="118">
        <f t="shared" si="13"/>
        <v>0.3468166667</v>
      </c>
      <c r="V130" s="148"/>
      <c r="W130" s="120">
        <f t="shared" si="14"/>
        <v>1</v>
      </c>
      <c r="X130" s="148"/>
      <c r="Y130" s="120">
        <f t="shared" si="15"/>
        <v>1</v>
      </c>
      <c r="Z130" s="299"/>
      <c r="AA130" s="299"/>
      <c r="AB130" s="300" t="str">
        <f t="shared" si="16"/>
        <v/>
      </c>
      <c r="AC130" s="301">
        <f t="shared" si="17"/>
        <v>0.6295826791</v>
      </c>
      <c r="AD130" s="122">
        <v>0.0</v>
      </c>
      <c r="AE130" s="123">
        <v>0.0</v>
      </c>
      <c r="AF130" s="123">
        <v>0.0</v>
      </c>
      <c r="AG130" s="316">
        <v>0.0</v>
      </c>
      <c r="AH130" s="124">
        <v>0.0</v>
      </c>
      <c r="AI130" s="317">
        <v>0.0</v>
      </c>
      <c r="AJ130" s="125">
        <v>0.0</v>
      </c>
      <c r="AK130" s="319">
        <v>0.0</v>
      </c>
      <c r="AL130" s="319">
        <v>0.0</v>
      </c>
      <c r="AM130" s="302">
        <v>0.0</v>
      </c>
      <c r="AN130" s="149" t="str">
        <f>IFERROR(
  AVERAGEIFS(
    'New 20102013 LF Efficacy'!$J:$J,
    'New 20102013 LF Efficacy'!$D:$D, $A130,
    'New 20102013 LF Efficacy'!$F:$F,"DEC", 
    'New 20102013 LF Efficacy'!$W:$W,"&lt;2014",
    'New 20102013 LF Efficacy'!$AA:$AA,""),
  ""
)</f>
        <v/>
      </c>
      <c r="AO130" s="115">
        <f t="shared" si="18"/>
        <v>0.3573520833</v>
      </c>
      <c r="AP130" s="121" t="str">
        <f>IFERROR(
AVERAGEIFS(
'New 20102013 LF Efficacy'!$J:$J,
'New 20102013 LF Efficacy'!$D:$D,$A130,
'New 20102013 LF Efficacy'!$F:$F,"Albendazole &amp; DEC",
'New 20102013 LF Efficacy'!$W:$W,"&lt;2014",
'New 20102013 LF Efficacy'!$AA:$AA,""),
"")
</f>
        <v/>
      </c>
      <c r="AQ130" s="115">
        <f t="shared" si="19"/>
        <v>0.5137291667</v>
      </c>
      <c r="AR130" s="121" t="str">
        <f>IFERROR(
AVERAGEIFS(
'New 20102013 LF Efficacy'!$J:$J,
'New 20102013 LF Efficacy'!$D:$D,$A130,
'New 20102013 LF Efficacy'!$F:$F,"Albendazole &amp; Ivermectin", 
'New 20102013 LF Efficacy'!$W:$W,"&lt;2014",
'New 20102013 LF Efficacy'!$AA:$AA,""),"")</f>
        <v/>
      </c>
      <c r="AS130" s="115">
        <f t="shared" si="20"/>
        <v>0.37153125</v>
      </c>
      <c r="AT130" s="130" t="str">
        <f>IFERROR(AVERAGEIFS(
'20102013 Schist Efficacy'!$O:$O, 
'20102013 Schist Efficacy'!$C:$C,$A130, 
'20102013 Schist Efficacy'!$D:$D, "Praziquantel",
'20102013 Schist Efficacy'!$J:$J,"&lt;2014",
'20102013 Schist Efficacy'!$U:$U,""),
"")</f>
        <v/>
      </c>
      <c r="AU130" s="118">
        <f t="shared" si="21"/>
        <v>0.655</v>
      </c>
      <c r="AV130" s="131" t="str">
        <f>IFERROR(AVERAGEIFS(
'20102013 STH Efficacy'!$AX:$AX, 
'20102013 STH Efficacy'!$AL:$AL, $A130, 
'20102013 STH Efficacy'!$AM:$AM, "Albendazole",
'20102013 STH Efficacy'!$AS:$AS,"&lt;2014",
'20102013 STH Efficacy'!$BP:$BP,""),
"")</f>
        <v/>
      </c>
      <c r="AW130" s="132">
        <f t="shared" si="22"/>
        <v>0.3933333333</v>
      </c>
      <c r="AX130" s="131" t="str">
        <f>IFERROR(AVERAGEIFS(
'20102013 STH Efficacy'!$AX:$AX, 
'20102013 STH Efficacy'!$AL:$AL, $A130, 
'20102013 STH Efficacy'!$AM:$AM, "Mebendazole",
'20102013 STH Efficacy'!$AS:$AS,"&lt;2014",
'20102013 STH Efficacy'!$BP:$BP,""),
"")</f>
        <v/>
      </c>
      <c r="AY130" s="132">
        <f t="shared" si="23"/>
        <v>0.5017738095</v>
      </c>
      <c r="AZ130" s="131" t="str">
        <f>IFERROR(AVERAGEIFS(
'20102013 STH Efficacy'!$AX:$AX, 
'20102013 STH Efficacy'!$AL:$AL, $A130, 
'20102013 STH Efficacy'!$AM:$AM, "Albendazole &amp; Ivermectin",
'20102013 STH Efficacy'!$AS:$AS,"&lt;2014",
'20102013 STH Efficacy'!$BP:$BP,""),
"")</f>
        <v/>
      </c>
      <c r="BA130" s="303">
        <f t="shared" si="24"/>
        <v>0.597625</v>
      </c>
      <c r="BB130" s="134" t="str">
        <f>IFERROR(AVERAGEIFS(
'20102013 STH Efficacy'!$N:$N, 
'20102013 STH Efficacy'!$B:$B, $A130, 
'20102013 STH Efficacy'!$C:$C, "Albendazole",
'20102013 STH Efficacy'!$I:$I,"&lt;2014",
'20102013 STH Efficacy'!$AH:$AH,""),
"")</f>
        <v/>
      </c>
      <c r="BC130" s="135">
        <f t="shared" si="25"/>
        <v>0.7613712121</v>
      </c>
      <c r="BD130" s="134" t="str">
        <f>IFERROR(AVERAGEIFS(
'20102013 STH Efficacy'!$N:$N, 
'20102013 STH Efficacy'!$B:$B, $A130, 
'20102013 STH Efficacy'!$C:$C, "Mebendazole",
'20102013 STH Efficacy'!$I:$I,"&lt;2014",
'20102013 STH Efficacy'!$AH:$AH,""),
"")</f>
        <v/>
      </c>
      <c r="BE130" s="135">
        <f t="shared" si="26"/>
        <v>0.4362466667</v>
      </c>
      <c r="BF130" s="128" t="str">
        <f>IFERROR(AVERAGEIFS(
'20102013 STH Efficacy'!$CD:$CD, 
'20102013 STH Efficacy'!$BS:$BS, $A130, 
'20102013 STH Efficacy'!$BT:$BT, "Albendazole",
'20102013 STH Efficacy'!$BZ:$BZ,"&lt;2014",
'20102013 STH Efficacy'!$CU:$CU,""),
"")</f>
        <v/>
      </c>
      <c r="BG130" s="136">
        <f t="shared" si="27"/>
        <v>0.9216027778</v>
      </c>
      <c r="BH130" s="128" t="str">
        <f>IFERROR(AVERAGEIFS(
'20102013 STH Efficacy'!$CD:$CD, 
'20102013 STH Efficacy'!$BS:$BS, $A130, 
'20102013 STH Efficacy'!$BT:$BT, "Mebendazole",
'20102013 STH Efficacy'!$BZ:$BZ,"&lt;2014",
'20102013 STH Efficacy'!$CU:$CU,""),
"")</f>
        <v/>
      </c>
      <c r="BI130" s="136">
        <f t="shared" si="28"/>
        <v>0.9295857143</v>
      </c>
      <c r="BJ130" s="128" t="str">
        <f>IFERROR(AVERAGEIFS(
'20102013 STH Efficacy'!$CD:$CD, 
'20102013 STH Efficacy'!$BS:$BS, $A130, 
'20102013 STH Efficacy'!$BT:$BT, "Albendazole &amp; Ivermectin",
'20102013 STH Efficacy'!$BZ:$BZ,"&lt;2014",
'20102013 STH Efficacy'!$CU:$CU,""),
"")</f>
        <v/>
      </c>
      <c r="BK130" s="136">
        <f t="shared" si="29"/>
        <v>1</v>
      </c>
      <c r="BL130" s="300" t="str">
        <f>IFERROR(
  AVERAGEIFS(
    'NEW 20102013 Onchocerciasis Eff'!$AO:$AO,
    'NEW 20102013 Onchocerciasis Eff'!$C:$C,$A130,
    'NEW 20102013 Onchocerciasis Eff'!$D:$D,"Ivermectin",
    'NEW 20102013 Onchocerciasis Eff'!$AR:$AR,"&lt;2014",
    'NEW 20102013 Onchocerciasis Eff'!$BG:$BG,"")
,"")</f>
        <v/>
      </c>
      <c r="BM130" s="304">
        <f t="shared" si="30"/>
        <v>0.7808368939</v>
      </c>
      <c r="BN130" s="305">
        <v>0.0</v>
      </c>
      <c r="BO130" s="139">
        <v>0.0</v>
      </c>
      <c r="BP130" s="140">
        <v>0.0</v>
      </c>
      <c r="BQ130" s="141">
        <f t="shared" si="31"/>
        <v>0</v>
      </c>
      <c r="BR130" s="104" t="str">
        <f t="shared" si="32"/>
        <v>0000</v>
      </c>
      <c r="BS130" s="104" t="str">
        <f t="shared" si="33"/>
        <v>no action required</v>
      </c>
      <c r="BT130" s="142" t="str">
        <f t="shared" si="34"/>
        <v/>
      </c>
      <c r="BU130" s="104" t="str">
        <f t="shared" si="50"/>
        <v/>
      </c>
      <c r="BV130" s="104" t="str">
        <f t="shared" si="36"/>
        <v>none</v>
      </c>
      <c r="BW130" s="150" t="str">
        <f t="shared" si="37"/>
        <v/>
      </c>
      <c r="BX130" s="150" t="str">
        <f t="shared" si="38"/>
        <v/>
      </c>
      <c r="BY130" s="151" t="str">
        <f t="shared" si="39"/>
        <v/>
      </c>
      <c r="BZ130" s="152" t="str">
        <f t="shared" si="40"/>
        <v/>
      </c>
      <c r="CA130" s="152" t="str">
        <f t="shared" si="41"/>
        <v/>
      </c>
      <c r="CB130" s="152" t="str">
        <f t="shared" si="42"/>
        <v/>
      </c>
      <c r="CC130" s="153" t="str">
        <f t="shared" si="43"/>
        <v/>
      </c>
      <c r="CD130" s="153" t="str">
        <f t="shared" si="44"/>
        <v/>
      </c>
      <c r="CE130" s="154" t="str">
        <f t="shared" si="45"/>
        <v/>
      </c>
      <c r="CF130" s="154" t="str">
        <f t="shared" si="46"/>
        <v/>
      </c>
      <c r="CG130" s="154" t="str">
        <f t="shared" si="47"/>
        <v/>
      </c>
      <c r="CH130" s="308" t="str">
        <f t="shared" si="48"/>
        <v/>
      </c>
      <c r="CI130" s="299"/>
    </row>
    <row r="131">
      <c r="A131" s="155" t="s">
        <v>220</v>
      </c>
      <c r="B131" s="104" t="s">
        <v>98</v>
      </c>
      <c r="C131" s="105">
        <v>4959.0</v>
      </c>
      <c r="D131" s="293">
        <v>0.0</v>
      </c>
      <c r="E131" s="294">
        <v>0.0</v>
      </c>
      <c r="F131" s="163"/>
      <c r="G131" s="163"/>
      <c r="H131" s="108">
        <v>0.0</v>
      </c>
      <c r="I131" s="109">
        <v>0.0</v>
      </c>
      <c r="J131" s="109">
        <v>0.0</v>
      </c>
      <c r="K131" s="109">
        <v>0.0</v>
      </c>
      <c r="L131" s="113"/>
      <c r="M131" s="113"/>
      <c r="N131" s="111">
        <v>0.0</v>
      </c>
      <c r="O131" s="298">
        <v>0.0</v>
      </c>
      <c r="P131" s="114"/>
      <c r="Q131" s="114"/>
      <c r="R131" s="121" t="str">
        <f t="shared" si="11"/>
        <v/>
      </c>
      <c r="S131" s="116">
        <f t="shared" si="12"/>
        <v>0.2288425133</v>
      </c>
      <c r="T131" s="130"/>
      <c r="U131" s="118">
        <f t="shared" si="13"/>
        <v>0.39435</v>
      </c>
      <c r="V131" s="148"/>
      <c r="W131" s="120">
        <f t="shared" si="14"/>
        <v>0.542475</v>
      </c>
      <c r="X131" s="148"/>
      <c r="Y131" s="120">
        <f t="shared" si="15"/>
        <v>0.6507333333</v>
      </c>
      <c r="Z131" s="299"/>
      <c r="AA131" s="299"/>
      <c r="AB131" s="300" t="str">
        <f t="shared" si="16"/>
        <v/>
      </c>
      <c r="AC131" s="301">
        <f t="shared" si="17"/>
        <v>0.3490201688</v>
      </c>
      <c r="AD131" s="314">
        <v>0.0</v>
      </c>
      <c r="AE131" s="315">
        <v>0.0</v>
      </c>
      <c r="AF131" s="166">
        <v>0.0</v>
      </c>
      <c r="AG131" s="316">
        <v>0.0</v>
      </c>
      <c r="AH131" s="307">
        <v>0.0</v>
      </c>
      <c r="AI131" s="317">
        <v>0.0</v>
      </c>
      <c r="AJ131" s="318">
        <v>0.0</v>
      </c>
      <c r="AK131" s="319">
        <v>0.0</v>
      </c>
      <c r="AL131" s="319">
        <v>0.0</v>
      </c>
      <c r="AM131" s="320">
        <v>0.0</v>
      </c>
      <c r="AN131" s="149" t="str">
        <f>IFERROR(
  AVERAGEIFS(
    'New 20102013 LF Efficacy'!$J:$J,
    'New 20102013 LF Efficacy'!$D:$D, $A131,
    'New 20102013 LF Efficacy'!$F:$F,"DEC", 
    'New 20102013 LF Efficacy'!$W:$W,"&lt;2014",
    'New 20102013 LF Efficacy'!$AA:$AA,""),
  ""
)</f>
        <v/>
      </c>
      <c r="AO131" s="115">
        <f t="shared" si="18"/>
        <v>0.2589833333</v>
      </c>
      <c r="AP131" s="121" t="str">
        <f>IFERROR(
AVERAGEIFS(
'New 20102013 LF Efficacy'!$J:$J,
'New 20102013 LF Efficacy'!$D:$D,$A131,
'New 20102013 LF Efficacy'!$F:$F,"Albendazole &amp; DEC",
'New 20102013 LF Efficacy'!$W:$W,"&lt;2014",
'New 20102013 LF Efficacy'!$AA:$AA,""),
"")
</f>
        <v/>
      </c>
      <c r="AQ131" s="115">
        <f t="shared" si="19"/>
        <v>0.3465</v>
      </c>
      <c r="AR131" s="121" t="str">
        <f>IFERROR(
AVERAGEIFS(
'New 20102013 LF Efficacy'!$J:$J,
'New 20102013 LF Efficacy'!$D:$D,$A131,
'New 20102013 LF Efficacy'!$F:$F,"Albendazole &amp; Ivermectin", 
'New 20102013 LF Efficacy'!$W:$W,"&lt;2014",
'New 20102013 LF Efficacy'!$AA:$AA,""),"")</f>
        <v/>
      </c>
      <c r="AS131" s="115">
        <f t="shared" si="20"/>
        <v>0.7575</v>
      </c>
      <c r="AT131" s="130" t="str">
        <f>IFERROR(AVERAGEIFS(
'20102013 Schist Efficacy'!$O:$O, 
'20102013 Schist Efficacy'!$C:$C,$A131, 
'20102013 Schist Efficacy'!$D:$D, "Praziquantel",
'20102013 Schist Efficacy'!$J:$J,"&lt;2014",
'20102013 Schist Efficacy'!$U:$U,""),
"")</f>
        <v/>
      </c>
      <c r="AU131" s="118">
        <f t="shared" si="21"/>
        <v>0.7914761905</v>
      </c>
      <c r="AV131" s="131" t="str">
        <f>IFERROR(AVERAGEIFS(
'20102013 STH Efficacy'!$AX:$AX, 
'20102013 STH Efficacy'!$AL:$AL, $A131, 
'20102013 STH Efficacy'!$AM:$AM, "Albendazole",
'20102013 STH Efficacy'!$AS:$AS,"&lt;2014",
'20102013 STH Efficacy'!$BP:$BP,""),
"")</f>
        <v/>
      </c>
      <c r="AW131" s="132">
        <f t="shared" si="22"/>
        <v>0.3945</v>
      </c>
      <c r="AX131" s="131" t="str">
        <f>IFERROR(AVERAGEIFS(
'20102013 STH Efficacy'!$AX:$AX, 
'20102013 STH Efficacy'!$AL:$AL, $A131, 
'20102013 STH Efficacy'!$AM:$AM, "Mebendazole",
'20102013 STH Efficacy'!$AS:$AS,"&lt;2014",
'20102013 STH Efficacy'!$BP:$BP,""),
"")</f>
        <v/>
      </c>
      <c r="AY131" s="132">
        <f t="shared" si="23"/>
        <v>0.6</v>
      </c>
      <c r="AZ131" s="131" t="str">
        <f>IFERROR(AVERAGEIFS(
'20102013 STH Efficacy'!$AX:$AX, 
'20102013 STH Efficacy'!$AL:$AL, $A131, 
'20102013 STH Efficacy'!$AM:$AM, "Albendazole &amp; Ivermectin",
'20102013 STH Efficacy'!$AS:$AS,"&lt;2014",
'20102013 STH Efficacy'!$BP:$BP,""),
"")</f>
        <v/>
      </c>
      <c r="BA131" s="303">
        <f t="shared" si="24"/>
        <v>0.796</v>
      </c>
      <c r="BB131" s="134" t="str">
        <f>IFERROR(AVERAGEIFS(
'20102013 STH Efficacy'!$N:$N, 
'20102013 STH Efficacy'!$B:$B, $A131, 
'20102013 STH Efficacy'!$C:$C, "Albendazole",
'20102013 STH Efficacy'!$I:$I,"&lt;2014",
'20102013 STH Efficacy'!$AH:$AH,""),
"")</f>
        <v/>
      </c>
      <c r="BC131" s="135">
        <f t="shared" si="25"/>
        <v>0.869</v>
      </c>
      <c r="BD131" s="134" t="str">
        <f>IFERROR(AVERAGEIFS(
'20102013 STH Efficacy'!$N:$N, 
'20102013 STH Efficacy'!$B:$B, $A131, 
'20102013 STH Efficacy'!$C:$C, "Mebendazole",
'20102013 STH Efficacy'!$I:$I,"&lt;2014",
'20102013 STH Efficacy'!$AH:$AH,""),
"")</f>
        <v/>
      </c>
      <c r="BE131" s="135">
        <f t="shared" si="26"/>
        <v>0.172</v>
      </c>
      <c r="BF131" s="128" t="str">
        <f>IFERROR(AVERAGEIFS(
'20102013 STH Efficacy'!$CD:$CD, 
'20102013 STH Efficacy'!$BS:$BS, $A131, 
'20102013 STH Efficacy'!$BT:$BT, "Albendazole",
'20102013 STH Efficacy'!$BZ:$BZ,"&lt;2014",
'20102013 STH Efficacy'!$CU:$CU,""),
"")</f>
        <v/>
      </c>
      <c r="BG131" s="136">
        <f t="shared" si="27"/>
        <v>0.9862</v>
      </c>
      <c r="BH131" s="128" t="str">
        <f>IFERROR(AVERAGEIFS(
'20102013 STH Efficacy'!$CD:$CD, 
'20102013 STH Efficacy'!$BS:$BS, $A131, 
'20102013 STH Efficacy'!$BT:$BT, "Mebendazole",
'20102013 STH Efficacy'!$BZ:$BZ,"&lt;2014",
'20102013 STH Efficacy'!$CU:$CU,""),
"")</f>
        <v/>
      </c>
      <c r="BI131" s="136">
        <f t="shared" si="28"/>
        <v>0.769</v>
      </c>
      <c r="BJ131" s="128" t="str">
        <f>IFERROR(AVERAGEIFS(
'20102013 STH Efficacy'!$CD:$CD, 
'20102013 STH Efficacy'!$BS:$BS, $A131, 
'20102013 STH Efficacy'!$BT:$BT, "Albendazole &amp; Ivermectin",
'20102013 STH Efficacy'!$BZ:$BZ,"&lt;2014",
'20102013 STH Efficacy'!$CU:$CU,""),
"")</f>
        <v/>
      </c>
      <c r="BK131" s="136">
        <f t="shared" si="29"/>
        <v>1</v>
      </c>
      <c r="BL131" s="300" t="str">
        <f>IFERROR(
  AVERAGEIFS(
    'NEW 20102013 Onchocerciasis Eff'!$AO:$AO,
    'NEW 20102013 Onchocerciasis Eff'!$C:$C,$A131,
    'NEW 20102013 Onchocerciasis Eff'!$D:$D,"Ivermectin",
    'NEW 20102013 Onchocerciasis Eff'!$AR:$AR,"&lt;2014",
    'NEW 20102013 Onchocerciasis Eff'!$BG:$BG,"")
,"")</f>
        <v/>
      </c>
      <c r="BM131" s="304">
        <f t="shared" si="30"/>
        <v>0.3734</v>
      </c>
      <c r="BN131" s="305">
        <v>0.0</v>
      </c>
      <c r="BO131" s="139">
        <v>0.0</v>
      </c>
      <c r="BP131" s="140">
        <v>0.0</v>
      </c>
      <c r="BQ131" s="141">
        <f t="shared" si="31"/>
        <v>0</v>
      </c>
      <c r="BR131" s="104" t="str">
        <f t="shared" si="32"/>
        <v>0000</v>
      </c>
      <c r="BS131" s="104" t="str">
        <f t="shared" si="33"/>
        <v>no action required</v>
      </c>
      <c r="BT131" s="142" t="str">
        <f t="shared" si="34"/>
        <v/>
      </c>
      <c r="BU131" s="104" t="str">
        <f t="shared" si="50"/>
        <v/>
      </c>
      <c r="BV131" s="104" t="str">
        <f t="shared" si="36"/>
        <v>none</v>
      </c>
      <c r="BW131" s="150" t="str">
        <f t="shared" si="37"/>
        <v/>
      </c>
      <c r="BX131" s="150" t="str">
        <f t="shared" si="38"/>
        <v/>
      </c>
      <c r="BY131" s="151" t="str">
        <f t="shared" si="39"/>
        <v/>
      </c>
      <c r="BZ131" s="152" t="str">
        <f t="shared" si="40"/>
        <v/>
      </c>
      <c r="CA131" s="152" t="str">
        <f t="shared" si="41"/>
        <v/>
      </c>
      <c r="CB131" s="152" t="str">
        <f t="shared" si="42"/>
        <v/>
      </c>
      <c r="CC131" s="153" t="str">
        <f t="shared" si="43"/>
        <v/>
      </c>
      <c r="CD131" s="153" t="str">
        <f t="shared" si="44"/>
        <v/>
      </c>
      <c r="CE131" s="154" t="str">
        <f t="shared" si="45"/>
        <v/>
      </c>
      <c r="CF131" s="154" t="str">
        <f t="shared" si="46"/>
        <v/>
      </c>
      <c r="CG131" s="154" t="str">
        <f t="shared" si="47"/>
        <v/>
      </c>
      <c r="CH131" s="308" t="str">
        <f t="shared" si="48"/>
        <v/>
      </c>
      <c r="CI131" s="299"/>
    </row>
    <row r="132">
      <c r="A132" s="103" t="s">
        <v>221</v>
      </c>
      <c r="B132" s="104" t="s">
        <v>88</v>
      </c>
      <c r="C132" s="105">
        <v>3.3824769E7</v>
      </c>
      <c r="D132" s="293">
        <v>0.0</v>
      </c>
      <c r="E132" s="294">
        <v>2969.813972</v>
      </c>
      <c r="F132" s="307">
        <v>9.338670454</v>
      </c>
      <c r="G132" s="307">
        <v>54.97428844</v>
      </c>
      <c r="H132" s="108">
        <v>64.31295889</v>
      </c>
      <c r="I132" s="109">
        <v>0.1293746</v>
      </c>
      <c r="J132" s="109">
        <v>0.20744678</v>
      </c>
      <c r="K132" s="109">
        <v>0.336821385</v>
      </c>
      <c r="L132" s="112">
        <v>115.3106796</v>
      </c>
      <c r="M132" s="112">
        <v>284.8388102</v>
      </c>
      <c r="N132" s="111">
        <v>400.1494898</v>
      </c>
      <c r="O132" s="298">
        <v>0.0</v>
      </c>
      <c r="P132" s="114"/>
      <c r="Q132" s="114"/>
      <c r="R132" s="121" t="str">
        <f t="shared" si="11"/>
        <v/>
      </c>
      <c r="S132" s="116">
        <f t="shared" si="12"/>
        <v>0.4713987966</v>
      </c>
      <c r="T132" s="118">
        <v>0.2809</v>
      </c>
      <c r="U132" s="118">
        <f t="shared" si="13"/>
        <v>0.2809</v>
      </c>
      <c r="V132" s="148"/>
      <c r="W132" s="120">
        <f t="shared" si="14"/>
        <v>0.9216</v>
      </c>
      <c r="X132" s="148"/>
      <c r="Y132" s="120">
        <f t="shared" si="15"/>
        <v>0.521</v>
      </c>
      <c r="Z132" s="299"/>
      <c r="AA132" s="299"/>
      <c r="AB132" s="300" t="str">
        <f t="shared" si="16"/>
        <v/>
      </c>
      <c r="AC132" s="301">
        <f t="shared" si="17"/>
        <v>0.3122297241</v>
      </c>
      <c r="AD132" s="122">
        <v>0.0</v>
      </c>
      <c r="AE132" s="123">
        <v>0.01</v>
      </c>
      <c r="AF132" s="123">
        <v>0.001</v>
      </c>
      <c r="AG132" s="316">
        <v>0.0</v>
      </c>
      <c r="AH132" s="124">
        <v>0.075489258</v>
      </c>
      <c r="AI132" s="317">
        <v>0.0</v>
      </c>
      <c r="AJ132" s="125">
        <v>1.10722E-5</v>
      </c>
      <c r="AK132" s="319">
        <v>0.0</v>
      </c>
      <c r="AL132" s="319">
        <v>0.0</v>
      </c>
      <c r="AM132" s="302">
        <v>0.0</v>
      </c>
      <c r="AN132" s="149" t="str">
        <f>IFERROR(
  AVERAGEIFS(
    'New 20102013 LF Efficacy'!$J:$J,
    'New 20102013 LF Efficacy'!$D:$D, $A132,
    'New 20102013 LF Efficacy'!$F:$F,"DEC", 
    'New 20102013 LF Efficacy'!$W:$W,"&lt;2014",
    'New 20102013 LF Efficacy'!$AA:$AA,""),
  ""
)</f>
        <v/>
      </c>
      <c r="AO132" s="115">
        <f t="shared" si="18"/>
        <v>0.3573520833</v>
      </c>
      <c r="AP132" s="121" t="str">
        <f>IFERROR(
AVERAGEIFS(
'New 20102013 LF Efficacy'!$J:$J,
'New 20102013 LF Efficacy'!$D:$D,$A132,
'New 20102013 LF Efficacy'!$F:$F,"Albendazole &amp; DEC",
'New 20102013 LF Efficacy'!$W:$W,"&lt;2014",
'New 20102013 LF Efficacy'!$AA:$AA,""),
"")
</f>
        <v/>
      </c>
      <c r="AQ132" s="115">
        <f t="shared" si="19"/>
        <v>0.7935</v>
      </c>
      <c r="AR132" s="121" t="str">
        <f>IFERROR(
AVERAGEIFS(
'New 20102013 LF Efficacy'!$J:$J,
'New 20102013 LF Efficacy'!$D:$D,$A132,
'New 20102013 LF Efficacy'!$F:$F,"Albendazole &amp; Ivermectin", 
'New 20102013 LF Efficacy'!$W:$W,"&lt;2014",
'New 20102013 LF Efficacy'!$AA:$AA,""),"")</f>
        <v/>
      </c>
      <c r="AS132" s="115">
        <f t="shared" si="20"/>
        <v>0.37153125</v>
      </c>
      <c r="AT132" s="130" t="str">
        <f>IFERROR(AVERAGEIFS(
'20102013 Schist Efficacy'!$O:$O, 
'20102013 Schist Efficacy'!$C:$C,$A132, 
'20102013 Schist Efficacy'!$D:$D, "Praziquantel",
'20102013 Schist Efficacy'!$J:$J,"&lt;2014",
'20102013 Schist Efficacy'!$U:$U,""),
"")</f>
        <v/>
      </c>
      <c r="AU132" s="118">
        <f t="shared" si="21"/>
        <v>0.7763141026</v>
      </c>
      <c r="AV132" s="131" t="str">
        <f>IFERROR(AVERAGEIFS(
'20102013 STH Efficacy'!$AX:$AX, 
'20102013 STH Efficacy'!$AL:$AL, $A132, 
'20102013 STH Efficacy'!$AM:$AM, "Albendazole",
'20102013 STH Efficacy'!$AS:$AS,"&lt;2014",
'20102013 STH Efficacy'!$BP:$BP,""),
"")</f>
        <v/>
      </c>
      <c r="AW132" s="132">
        <f t="shared" si="22"/>
        <v>0.3933333333</v>
      </c>
      <c r="AX132" s="131" t="str">
        <f>IFERROR(AVERAGEIFS(
'20102013 STH Efficacy'!$AX:$AX, 
'20102013 STH Efficacy'!$AL:$AL, $A132, 
'20102013 STH Efficacy'!$AM:$AM, "Mebendazole",
'20102013 STH Efficacy'!$AS:$AS,"&lt;2014",
'20102013 STH Efficacy'!$BP:$BP,""),
"")</f>
        <v/>
      </c>
      <c r="AY132" s="132">
        <f t="shared" si="23"/>
        <v>0.5017738095</v>
      </c>
      <c r="AZ132" s="131" t="str">
        <f>IFERROR(AVERAGEIFS(
'20102013 STH Efficacy'!$AX:$AX, 
'20102013 STH Efficacy'!$AL:$AL, $A132, 
'20102013 STH Efficacy'!$AM:$AM, "Albendazole &amp; Ivermectin",
'20102013 STH Efficacy'!$AS:$AS,"&lt;2014",
'20102013 STH Efficacy'!$BP:$BP,""),
"")</f>
        <v/>
      </c>
      <c r="BA132" s="303">
        <f t="shared" si="24"/>
        <v>0.597625</v>
      </c>
      <c r="BB132" s="134" t="str">
        <f>IFERROR(AVERAGEIFS(
'20102013 STH Efficacy'!$N:$N, 
'20102013 STH Efficacy'!$B:$B, $A132, 
'20102013 STH Efficacy'!$C:$C, "Albendazole",
'20102013 STH Efficacy'!$I:$I,"&lt;2014",
'20102013 STH Efficacy'!$AH:$AH,""),
"")</f>
        <v/>
      </c>
      <c r="BC132" s="135">
        <f t="shared" si="25"/>
        <v>0.7613712121</v>
      </c>
      <c r="BD132" s="134" t="str">
        <f>IFERROR(AVERAGEIFS(
'20102013 STH Efficacy'!$N:$N, 
'20102013 STH Efficacy'!$B:$B, $A132, 
'20102013 STH Efficacy'!$C:$C, "Mebendazole",
'20102013 STH Efficacy'!$I:$I,"&lt;2014",
'20102013 STH Efficacy'!$AH:$AH,""),
"")</f>
        <v/>
      </c>
      <c r="BE132" s="135">
        <f t="shared" si="26"/>
        <v>0.4362466667</v>
      </c>
      <c r="BF132" s="128" t="str">
        <f>IFERROR(AVERAGEIFS(
'20102013 STH Efficacy'!$CD:$CD, 
'20102013 STH Efficacy'!$BS:$BS, $A132, 
'20102013 STH Efficacy'!$BT:$BT, "Albendazole",
'20102013 STH Efficacy'!$BZ:$BZ,"&lt;2014",
'20102013 STH Efficacy'!$CU:$CU,""),
"")</f>
        <v/>
      </c>
      <c r="BG132" s="136">
        <f t="shared" si="27"/>
        <v>0.955</v>
      </c>
      <c r="BH132" s="128" t="str">
        <f>IFERROR(AVERAGEIFS(
'20102013 STH Efficacy'!$CD:$CD, 
'20102013 STH Efficacy'!$BS:$BS, $A132, 
'20102013 STH Efficacy'!$BT:$BT, "Mebendazole",
'20102013 STH Efficacy'!$BZ:$BZ,"&lt;2014",
'20102013 STH Efficacy'!$CU:$CU,""),
"")</f>
        <v/>
      </c>
      <c r="BI132" s="136">
        <f t="shared" si="28"/>
        <v>1</v>
      </c>
      <c r="BJ132" s="128" t="str">
        <f>IFERROR(AVERAGEIFS(
'20102013 STH Efficacy'!$CD:$CD, 
'20102013 STH Efficacy'!$BS:$BS, $A132, 
'20102013 STH Efficacy'!$BT:$BT, "Albendazole &amp; Ivermectin",
'20102013 STH Efficacy'!$BZ:$BZ,"&lt;2014",
'20102013 STH Efficacy'!$CU:$CU,""),
"")</f>
        <v/>
      </c>
      <c r="BK132" s="136">
        <f t="shared" si="29"/>
        <v>1</v>
      </c>
      <c r="BL132" s="300" t="str">
        <f>IFERROR(
  AVERAGEIFS(
    'NEW 20102013 Onchocerciasis Eff'!$AO:$AO,
    'NEW 20102013 Onchocerciasis Eff'!$C:$C,$A132,
    'NEW 20102013 Onchocerciasis Eff'!$D:$D,"Ivermectin",
    'NEW 20102013 Onchocerciasis Eff'!$AR:$AR,"&lt;2014",
    'NEW 20102013 Onchocerciasis Eff'!$BG:$BG,"")
,"")</f>
        <v/>
      </c>
      <c r="BM132" s="304">
        <f t="shared" si="30"/>
        <v>0.7808368939</v>
      </c>
      <c r="BN132" s="305">
        <v>1.0</v>
      </c>
      <c r="BO132" s="139">
        <v>1.0</v>
      </c>
      <c r="BP132" s="140">
        <v>0.0</v>
      </c>
      <c r="BQ132" s="141">
        <f t="shared" si="31"/>
        <v>0</v>
      </c>
      <c r="BR132" s="104" t="str">
        <f t="shared" si="32"/>
        <v>1100</v>
      </c>
      <c r="BS132" s="104" t="str">
        <f t="shared" si="33"/>
        <v>MDA1</v>
      </c>
      <c r="BT132" s="142" t="str">
        <f t="shared" si="34"/>
        <v>IVM+ALB</v>
      </c>
      <c r="BU132" s="104" t="str">
        <f t="shared" si="50"/>
        <v/>
      </c>
      <c r="BV132" s="104" t="str">
        <f t="shared" si="36"/>
        <v>lf+onch</v>
      </c>
      <c r="BW132" s="150" t="str">
        <f t="shared" si="37"/>
        <v/>
      </c>
      <c r="BX132" s="312">
        <f t="shared" si="38"/>
        <v>0</v>
      </c>
      <c r="BY132" s="151" t="str">
        <f t="shared" si="39"/>
        <v/>
      </c>
      <c r="BZ132" s="152" t="str">
        <f t="shared" si="40"/>
        <v/>
      </c>
      <c r="CA132" s="152" t="str">
        <f t="shared" si="41"/>
        <v/>
      </c>
      <c r="CB132" s="152" t="str">
        <f t="shared" si="42"/>
        <v/>
      </c>
      <c r="CC132" s="153" t="str">
        <f t="shared" si="43"/>
        <v/>
      </c>
      <c r="CD132" s="153" t="str">
        <f t="shared" si="44"/>
        <v/>
      </c>
      <c r="CE132" s="154" t="str">
        <f t="shared" si="45"/>
        <v/>
      </c>
      <c r="CF132" s="154" t="str">
        <f t="shared" si="46"/>
        <v/>
      </c>
      <c r="CG132" s="154" t="str">
        <f t="shared" si="47"/>
        <v/>
      </c>
      <c r="CH132" s="313">
        <f t="shared" si="48"/>
        <v>0</v>
      </c>
      <c r="CI132" s="299"/>
    </row>
    <row r="133">
      <c r="A133" s="103" t="s">
        <v>222</v>
      </c>
      <c r="B133" s="104" t="s">
        <v>92</v>
      </c>
      <c r="C133" s="105">
        <v>2.6434372E7</v>
      </c>
      <c r="D133" s="293">
        <v>41955.200000000004</v>
      </c>
      <c r="E133" s="321">
        <v>22857.61093</v>
      </c>
      <c r="F133" s="322">
        <v>1616.525295</v>
      </c>
      <c r="G133" s="322">
        <v>7191.206248</v>
      </c>
      <c r="H133" s="157">
        <v>8807.731543</v>
      </c>
      <c r="I133" s="110">
        <v>2408.28068</v>
      </c>
      <c r="J133" s="110">
        <v>6438.76493</v>
      </c>
      <c r="K133" s="110">
        <v>8847.045611</v>
      </c>
      <c r="L133" s="111">
        <v>12727.99749</v>
      </c>
      <c r="M133" s="111">
        <v>2318.151868</v>
      </c>
      <c r="N133" s="111">
        <v>15046.14936</v>
      </c>
      <c r="O133" s="298">
        <v>0.0</v>
      </c>
      <c r="P133" s="160">
        <v>1.772678E7</v>
      </c>
      <c r="Q133" s="160">
        <v>1.1467739E7</v>
      </c>
      <c r="R133" s="121">
        <f t="shared" si="11"/>
        <v>0.6469160784</v>
      </c>
      <c r="S133" s="116">
        <f t="shared" si="12"/>
        <v>0.6469160784</v>
      </c>
      <c r="T133" s="130"/>
      <c r="U133" s="118">
        <f t="shared" si="13"/>
        <v>0.252</v>
      </c>
      <c r="V133" s="119">
        <v>0.9906</v>
      </c>
      <c r="W133" s="120">
        <f t="shared" si="14"/>
        <v>0.9906</v>
      </c>
      <c r="X133" s="119">
        <v>0.6918</v>
      </c>
      <c r="Y133" s="120">
        <f t="shared" si="15"/>
        <v>0.6918</v>
      </c>
      <c r="Z133" s="310">
        <v>64868.0</v>
      </c>
      <c r="AA133" s="311" t="s">
        <v>372</v>
      </c>
      <c r="AB133" s="300" t="str">
        <f t="shared" si="16"/>
        <v/>
      </c>
      <c r="AC133" s="301">
        <f t="shared" si="17"/>
        <v>0.655321236</v>
      </c>
      <c r="AD133" s="122">
        <v>0.0427</v>
      </c>
      <c r="AE133" s="123">
        <v>0.05</v>
      </c>
      <c r="AF133" s="123">
        <v>0.0154</v>
      </c>
      <c r="AG133" s="124">
        <v>0.2092</v>
      </c>
      <c r="AH133" s="124">
        <v>0.32966405</v>
      </c>
      <c r="AI133" s="125">
        <v>0.1163</v>
      </c>
      <c r="AJ133" s="125">
        <v>0.188041197</v>
      </c>
      <c r="AK133" s="127">
        <v>0.0826</v>
      </c>
      <c r="AL133" s="127">
        <v>0.1305</v>
      </c>
      <c r="AM133" s="302">
        <v>0.0</v>
      </c>
      <c r="AN133" s="149" t="str">
        <f>IFERROR(
  AVERAGEIFS(
    'New 20102013 LF Efficacy'!$J:$J,
    'New 20102013 LF Efficacy'!$D:$D, $A133,
    'New 20102013 LF Efficacy'!$F:$F,"DEC", 
    'New 20102013 LF Efficacy'!$W:$W,"&lt;2014",
    'New 20102013 LF Efficacy'!$AA:$AA,""),
  ""
)</f>
        <v/>
      </c>
      <c r="AO133" s="115">
        <f t="shared" si="18"/>
        <v>0.31225</v>
      </c>
      <c r="AP133" s="121" t="str">
        <f>IFERROR(
AVERAGEIFS(
'New 20102013 LF Efficacy'!$J:$J,
'New 20102013 LF Efficacy'!$D:$D,$A133,
'New 20102013 LF Efficacy'!$F:$F,"Albendazole &amp; DEC",
'New 20102013 LF Efficacy'!$W:$W,"&lt;2014",
'New 20102013 LF Efficacy'!$AA:$AA,""),
"")
</f>
        <v/>
      </c>
      <c r="AQ133" s="115">
        <f t="shared" si="19"/>
        <v>0.4</v>
      </c>
      <c r="AR133" s="121" t="str">
        <f>IFERROR(
AVERAGEIFS(
'New 20102013 LF Efficacy'!$J:$J,
'New 20102013 LF Efficacy'!$D:$D,$A133,
'New 20102013 LF Efficacy'!$F:$F,"Albendazole &amp; Ivermectin", 
'New 20102013 LF Efficacy'!$W:$W,"&lt;2014",
'New 20102013 LF Efficacy'!$AA:$AA,""),"")</f>
        <v/>
      </c>
      <c r="AS133" s="115">
        <f t="shared" si="20"/>
        <v>0.2943125</v>
      </c>
      <c r="AT133" s="130" t="str">
        <f>IFERROR(AVERAGEIFS(
'20102013 Schist Efficacy'!$O:$O, 
'20102013 Schist Efficacy'!$C:$C,$A133, 
'20102013 Schist Efficacy'!$D:$D, "Praziquantel",
'20102013 Schist Efficacy'!$J:$J,"&lt;2014",
'20102013 Schist Efficacy'!$U:$U,""),
"")</f>
        <v/>
      </c>
      <c r="AU133" s="118">
        <f t="shared" si="21"/>
        <v>0.7192212527</v>
      </c>
      <c r="AV133" s="131" t="str">
        <f>IFERROR(AVERAGEIFS(
'20102013 STH Efficacy'!$AX:$AX, 
'20102013 STH Efficacy'!$AL:$AL, $A133, 
'20102013 STH Efficacy'!$AM:$AM, "Albendazole",
'20102013 STH Efficacy'!$AS:$AS,"&lt;2014",
'20102013 STH Efficacy'!$BP:$BP,""),
"")</f>
        <v/>
      </c>
      <c r="AW133" s="132">
        <f t="shared" si="22"/>
        <v>0.3816333333</v>
      </c>
      <c r="AX133" s="131" t="str">
        <f>IFERROR(AVERAGEIFS(
'20102013 STH Efficacy'!$AX:$AX, 
'20102013 STH Efficacy'!$AL:$AL, $A133, 
'20102013 STH Efficacy'!$AM:$AM, "Mebendazole",
'20102013 STH Efficacy'!$AS:$AS,"&lt;2014",
'20102013 STH Efficacy'!$BP:$BP,""),
"")</f>
        <v/>
      </c>
      <c r="AY133" s="132">
        <f t="shared" si="23"/>
        <v>0.5675833333</v>
      </c>
      <c r="AZ133" s="131" t="str">
        <f>IFERROR(AVERAGEIFS(
'20102013 STH Efficacy'!$AX:$AX, 
'20102013 STH Efficacy'!$AL:$AL, $A133, 
'20102013 STH Efficacy'!$AM:$AM, "Albendazole &amp; Ivermectin",
'20102013 STH Efficacy'!$AS:$AS,"&lt;2014",
'20102013 STH Efficacy'!$BP:$BP,""),
"")</f>
        <v/>
      </c>
      <c r="BA133" s="303">
        <f t="shared" si="24"/>
        <v>0.47175</v>
      </c>
      <c r="BB133" s="134" t="str">
        <f>IFERROR(AVERAGEIFS(
'20102013 STH Efficacy'!$N:$N, 
'20102013 STH Efficacy'!$B:$B, $A133, 
'20102013 STH Efficacy'!$C:$C, "Albendazole",
'20102013 STH Efficacy'!$I:$I,"&lt;2014",
'20102013 STH Efficacy'!$AH:$AH,""),
"")</f>
        <v/>
      </c>
      <c r="BC133" s="135">
        <f t="shared" si="25"/>
        <v>0.8699166667</v>
      </c>
      <c r="BD133" s="134" t="str">
        <f>IFERROR(AVERAGEIFS(
'20102013 STH Efficacy'!$N:$N, 
'20102013 STH Efficacy'!$B:$B, $A133, 
'20102013 STH Efficacy'!$C:$C, "Mebendazole",
'20102013 STH Efficacy'!$I:$I,"&lt;2014",
'20102013 STH Efficacy'!$AH:$AH,""),
"")</f>
        <v/>
      </c>
      <c r="BE133" s="135">
        <f t="shared" si="26"/>
        <v>0.7092416667</v>
      </c>
      <c r="BF133" s="128" t="str">
        <f>IFERROR(AVERAGEIFS(
'20102013 STH Efficacy'!$CD:$CD, 
'20102013 STH Efficacy'!$BS:$BS, $A133, 
'20102013 STH Efficacy'!$BT:$BT, "Albendazole",
'20102013 STH Efficacy'!$BZ:$BZ,"&lt;2014",
'20102013 STH Efficacy'!$CU:$CU,""),
"")</f>
        <v/>
      </c>
      <c r="BG133" s="136">
        <f t="shared" si="27"/>
        <v>0.9066666667</v>
      </c>
      <c r="BH133" s="128" t="str">
        <f>IFERROR(AVERAGEIFS(
'20102013 STH Efficacy'!$CD:$CD, 
'20102013 STH Efficacy'!$BS:$BS, $A133, 
'20102013 STH Efficacy'!$BT:$BT, "Mebendazole",
'20102013 STH Efficacy'!$BZ:$BZ,"&lt;2014",
'20102013 STH Efficacy'!$CU:$CU,""),
"")</f>
        <v/>
      </c>
      <c r="BI133" s="136">
        <f t="shared" si="28"/>
        <v>0.9358666667</v>
      </c>
      <c r="BJ133" s="128" t="str">
        <f>IFERROR(AVERAGEIFS(
'20102013 STH Efficacy'!$CD:$CD, 
'20102013 STH Efficacy'!$BS:$BS, $A133, 
'20102013 STH Efficacy'!$BT:$BT, "Albendazole &amp; Ivermectin",
'20102013 STH Efficacy'!$BZ:$BZ,"&lt;2014",
'20102013 STH Efficacy'!$CU:$CU,""),
"")</f>
        <v/>
      </c>
      <c r="BK133" s="136">
        <f t="shared" si="29"/>
        <v>1</v>
      </c>
      <c r="BL133" s="300" t="str">
        <f>IFERROR(
  AVERAGEIFS(
    'NEW 20102013 Onchocerciasis Eff'!$AO:$AO,
    'NEW 20102013 Onchocerciasis Eff'!$C:$C,$A133,
    'NEW 20102013 Onchocerciasis Eff'!$D:$D,"Ivermectin",
    'NEW 20102013 Onchocerciasis Eff'!$AR:$AR,"&lt;2014",
    'NEW 20102013 Onchocerciasis Eff'!$BG:$BG,"")
,"")</f>
        <v/>
      </c>
      <c r="BM133" s="304">
        <f t="shared" si="30"/>
        <v>0.8390421645</v>
      </c>
      <c r="BN133" s="305">
        <v>1.0</v>
      </c>
      <c r="BO133" s="139">
        <v>0.0</v>
      </c>
      <c r="BP133" s="140">
        <v>1.0</v>
      </c>
      <c r="BQ133" s="141">
        <f t="shared" si="31"/>
        <v>1</v>
      </c>
      <c r="BR133" s="104" t="str">
        <f t="shared" si="32"/>
        <v>1011</v>
      </c>
      <c r="BS133" s="104" t="str">
        <f t="shared" si="33"/>
        <v>MDA1/2+T2</v>
      </c>
      <c r="BT133" s="142" t="str">
        <f t="shared" si="34"/>
        <v>DEC +ALB</v>
      </c>
      <c r="BU133" s="104" t="str">
        <f t="shared" si="50"/>
        <v>PZQ</v>
      </c>
      <c r="BV133" s="104" t="str">
        <f t="shared" si="36"/>
        <v>lf+schist+sth</v>
      </c>
      <c r="BW133" s="150" t="str">
        <f t="shared" si="37"/>
        <v/>
      </c>
      <c r="BX133" s="150" t="str">
        <f t="shared" si="38"/>
        <v/>
      </c>
      <c r="BY133" s="162">
        <f t="shared" si="39"/>
        <v>5059.868892</v>
      </c>
      <c r="BZ133" s="152">
        <f t="shared" si="40"/>
        <v>3562.221581</v>
      </c>
      <c r="CA133" s="152" t="str">
        <f t="shared" si="41"/>
        <v/>
      </c>
      <c r="CB133" s="152" t="str">
        <f t="shared" si="42"/>
        <v/>
      </c>
      <c r="CC133" s="323">
        <f t="shared" si="43"/>
        <v>24741.39187</v>
      </c>
      <c r="CD133" s="153" t="str">
        <f t="shared" si="44"/>
        <v/>
      </c>
      <c r="CE133" s="154">
        <f t="shared" si="45"/>
        <v>116133.3072</v>
      </c>
      <c r="CF133" s="154" t="str">
        <f t="shared" si="46"/>
        <v/>
      </c>
      <c r="CG133" s="154" t="str">
        <f t="shared" si="47"/>
        <v/>
      </c>
      <c r="CH133" s="308" t="str">
        <f t="shared" si="48"/>
        <v/>
      </c>
      <c r="CI133" s="299"/>
    </row>
    <row r="134">
      <c r="A134" s="103" t="s">
        <v>223</v>
      </c>
      <c r="B134" s="104" t="s">
        <v>109</v>
      </c>
      <c r="C134" s="105">
        <v>5.1448196E7</v>
      </c>
      <c r="D134" s="293">
        <v>57462.83</v>
      </c>
      <c r="E134" s="321">
        <v>0.0</v>
      </c>
      <c r="F134" s="322">
        <v>2481.064633</v>
      </c>
      <c r="G134" s="322">
        <v>72.10243224</v>
      </c>
      <c r="H134" s="157">
        <v>2553.167065</v>
      </c>
      <c r="I134" s="110">
        <v>380.193143</v>
      </c>
      <c r="J134" s="110">
        <v>109.980998</v>
      </c>
      <c r="K134" s="110">
        <v>490.1741408</v>
      </c>
      <c r="L134" s="111">
        <v>4141.835474</v>
      </c>
      <c r="M134" s="111">
        <v>815.085134</v>
      </c>
      <c r="N134" s="111">
        <v>4956.920608</v>
      </c>
      <c r="O134" s="298">
        <v>0.0</v>
      </c>
      <c r="P134" s="160">
        <v>3.952718E7</v>
      </c>
      <c r="Q134" s="160">
        <v>2.9314897E7</v>
      </c>
      <c r="R134" s="121">
        <f t="shared" si="11"/>
        <v>0.7416389684</v>
      </c>
      <c r="S134" s="116">
        <f t="shared" si="12"/>
        <v>0.7416389684</v>
      </c>
      <c r="T134" s="130"/>
      <c r="U134" s="118">
        <f t="shared" si="13"/>
        <v>0.7367</v>
      </c>
      <c r="V134" s="119">
        <v>0.6219</v>
      </c>
      <c r="W134" s="120">
        <f t="shared" si="14"/>
        <v>0.6219</v>
      </c>
      <c r="X134" s="119">
        <v>0.5807</v>
      </c>
      <c r="Y134" s="120">
        <f t="shared" si="15"/>
        <v>0.5807</v>
      </c>
      <c r="Z134" s="299"/>
      <c r="AA134" s="299"/>
      <c r="AB134" s="300" t="str">
        <f t="shared" si="16"/>
        <v/>
      </c>
      <c r="AC134" s="301">
        <f t="shared" si="17"/>
        <v>0.6295826791</v>
      </c>
      <c r="AD134" s="122">
        <v>0.0175</v>
      </c>
      <c r="AE134" s="123">
        <v>0.0</v>
      </c>
      <c r="AF134" s="123">
        <v>0.0</v>
      </c>
      <c r="AG134" s="316">
        <v>0.0</v>
      </c>
      <c r="AH134" s="124">
        <v>0.070430992</v>
      </c>
      <c r="AI134" s="317">
        <v>0.0</v>
      </c>
      <c r="AJ134" s="125">
        <v>0.003960581</v>
      </c>
      <c r="AK134" s="319">
        <v>0.0</v>
      </c>
      <c r="AL134" s="319">
        <v>0.0</v>
      </c>
      <c r="AM134" s="302">
        <v>0.0</v>
      </c>
      <c r="AN134" s="149" t="str">
        <f>IFERROR(
  AVERAGEIFS(
    'New 20102013 LF Efficacy'!$J:$J,
    'New 20102013 LF Efficacy'!$D:$D, $A134,
    'New 20102013 LF Efficacy'!$F:$F,"DEC", 
    'New 20102013 LF Efficacy'!$W:$W,"&lt;2014",
    'New 20102013 LF Efficacy'!$AA:$AA,""),
  ""
)</f>
        <v/>
      </c>
      <c r="AO134" s="115">
        <f t="shared" si="18"/>
        <v>0.478175</v>
      </c>
      <c r="AP134" s="121" t="str">
        <f>IFERROR(
AVERAGEIFS(
'New 20102013 LF Efficacy'!$J:$J,
'New 20102013 LF Efficacy'!$D:$D,$A134,
'New 20102013 LF Efficacy'!$F:$F,"Albendazole &amp; DEC",
'New 20102013 LF Efficacy'!$W:$W,"&lt;2014",
'New 20102013 LF Efficacy'!$AA:$AA,""),
"")
</f>
        <v/>
      </c>
      <c r="AQ134" s="115">
        <f t="shared" si="19"/>
        <v>0.5831666667</v>
      </c>
      <c r="AR134" s="121" t="str">
        <f>IFERROR(
AVERAGEIFS(
'New 20102013 LF Efficacy'!$J:$J,
'New 20102013 LF Efficacy'!$D:$D,$A134,
'New 20102013 LF Efficacy'!$F:$F,"Albendazole &amp; Ivermectin", 
'New 20102013 LF Efficacy'!$W:$W,"&lt;2014",
'New 20102013 LF Efficacy'!$AA:$AA,""),"")</f>
        <v/>
      </c>
      <c r="AS134" s="115">
        <f t="shared" si="20"/>
        <v>0.14</v>
      </c>
      <c r="AT134" s="130" t="str">
        <f>IFERROR(AVERAGEIFS(
'20102013 Schist Efficacy'!$O:$O, 
'20102013 Schist Efficacy'!$C:$C,$A134, 
'20102013 Schist Efficacy'!$D:$D, "Praziquantel",
'20102013 Schist Efficacy'!$J:$J,"&lt;2014",
'20102013 Schist Efficacy'!$U:$U,""),
"")</f>
        <v/>
      </c>
      <c r="AU134" s="118">
        <f t="shared" si="21"/>
        <v>0.7430399392</v>
      </c>
      <c r="AV134" s="131" t="str">
        <f>IFERROR(AVERAGEIFS(
'20102013 STH Efficacy'!$AX:$AX, 
'20102013 STH Efficacy'!$AL:$AL, $A134, 
'20102013 STH Efficacy'!$AM:$AM, "Albendazole",
'20102013 STH Efficacy'!$AS:$AS,"&lt;2014",
'20102013 STH Efficacy'!$BP:$BP,""),
"")</f>
        <v/>
      </c>
      <c r="AW134" s="132">
        <f t="shared" si="22"/>
        <v>0.4756666667</v>
      </c>
      <c r="AX134" s="131" t="str">
        <f>IFERROR(AVERAGEIFS(
'20102013 STH Efficacy'!$AX:$AX, 
'20102013 STH Efficacy'!$AL:$AL, $A134, 
'20102013 STH Efficacy'!$AM:$AM, "Mebendazole",
'20102013 STH Efficacy'!$AS:$AS,"&lt;2014",
'20102013 STH Efficacy'!$BP:$BP,""),
"")</f>
        <v/>
      </c>
      <c r="AY134" s="132">
        <f t="shared" si="23"/>
        <v>0.3786666667</v>
      </c>
      <c r="AZ134" s="131" t="str">
        <f>IFERROR(AVERAGEIFS(
'20102013 STH Efficacy'!$AX:$AX, 
'20102013 STH Efficacy'!$AL:$AL, $A134, 
'20102013 STH Efficacy'!$AM:$AM, "Albendazole &amp; Ivermectin",
'20102013 STH Efficacy'!$AS:$AS,"&lt;2014",
'20102013 STH Efficacy'!$BP:$BP,""),
"")</f>
        <v/>
      </c>
      <c r="BA134" s="303">
        <f t="shared" si="24"/>
        <v>0.597625</v>
      </c>
      <c r="BB134" s="134" t="str">
        <f>IFERROR(AVERAGEIFS(
'20102013 STH Efficacy'!$N:$N, 
'20102013 STH Efficacy'!$B:$B, $A134, 
'20102013 STH Efficacy'!$C:$C, "Albendazole",
'20102013 STH Efficacy'!$I:$I,"&lt;2014",
'20102013 STH Efficacy'!$AH:$AH,""),
"")</f>
        <v/>
      </c>
      <c r="BC134" s="135">
        <f t="shared" si="25"/>
        <v>0.7133333333</v>
      </c>
      <c r="BD134" s="134" t="str">
        <f>IFERROR(AVERAGEIFS(
'20102013 STH Efficacy'!$N:$N, 
'20102013 STH Efficacy'!$B:$B, $A134, 
'20102013 STH Efficacy'!$C:$C, "Mebendazole",
'20102013 STH Efficacy'!$I:$I,"&lt;2014",
'20102013 STH Efficacy'!$AH:$AH,""),
"")</f>
        <v/>
      </c>
      <c r="BE134" s="135">
        <f t="shared" si="26"/>
        <v>0.205</v>
      </c>
      <c r="BF134" s="128" t="str">
        <f>IFERROR(AVERAGEIFS(
'20102013 STH Efficacy'!$CD:$CD, 
'20102013 STH Efficacy'!$BS:$BS, $A134, 
'20102013 STH Efficacy'!$BT:$BT, "Albendazole",
'20102013 STH Efficacy'!$BZ:$BZ,"&lt;2014",
'20102013 STH Efficacy'!$CU:$CU,""),
"")</f>
        <v/>
      </c>
      <c r="BG134" s="136">
        <f t="shared" si="27"/>
        <v>0.83</v>
      </c>
      <c r="BH134" s="128" t="str">
        <f>IFERROR(AVERAGEIFS(
'20102013 STH Efficacy'!$CD:$CD, 
'20102013 STH Efficacy'!$BS:$BS, $A134, 
'20102013 STH Efficacy'!$BT:$BT, "Mebendazole",
'20102013 STH Efficacy'!$BZ:$BZ,"&lt;2014",
'20102013 STH Efficacy'!$CU:$CU,""),
"")</f>
        <v/>
      </c>
      <c r="BI134" s="136">
        <f t="shared" si="28"/>
        <v>1</v>
      </c>
      <c r="BJ134" s="128" t="str">
        <f>IFERROR(AVERAGEIFS(
'20102013 STH Efficacy'!$CD:$CD, 
'20102013 STH Efficacy'!$BS:$BS, $A134, 
'20102013 STH Efficacy'!$BT:$BT, "Albendazole &amp; Ivermectin",
'20102013 STH Efficacy'!$BZ:$BZ,"&lt;2014",
'20102013 STH Efficacy'!$CU:$CU,""),
"")</f>
        <v/>
      </c>
      <c r="BK134" s="136">
        <f t="shared" si="29"/>
        <v>1</v>
      </c>
      <c r="BL134" s="300" t="str">
        <f>IFERROR(
  AVERAGEIFS(
    'NEW 20102013 Onchocerciasis Eff'!$AO:$AO,
    'NEW 20102013 Onchocerciasis Eff'!$C:$C,$A134,
    'NEW 20102013 Onchocerciasis Eff'!$D:$D,"Ivermectin",
    'NEW 20102013 Onchocerciasis Eff'!$AR:$AR,"&lt;2014",
    'NEW 20102013 Onchocerciasis Eff'!$BG:$BG,"")
,"")</f>
        <v/>
      </c>
      <c r="BM134" s="304">
        <f t="shared" si="30"/>
        <v>0.7808368939</v>
      </c>
      <c r="BN134" s="305">
        <v>1.0</v>
      </c>
      <c r="BO134" s="139">
        <v>1.0</v>
      </c>
      <c r="BP134" s="140">
        <v>0.0</v>
      </c>
      <c r="BQ134" s="141">
        <f t="shared" si="31"/>
        <v>0</v>
      </c>
      <c r="BR134" s="104" t="str">
        <f t="shared" si="32"/>
        <v>1100</v>
      </c>
      <c r="BS134" s="104" t="str">
        <f t="shared" si="33"/>
        <v>MDA1</v>
      </c>
      <c r="BT134" s="142" t="str">
        <f t="shared" si="34"/>
        <v>IVM+ALB</v>
      </c>
      <c r="BU134" s="104" t="str">
        <f t="shared" si="50"/>
        <v/>
      </c>
      <c r="BV134" s="104" t="str">
        <f t="shared" si="36"/>
        <v>lf+onch</v>
      </c>
      <c r="BW134" s="150" t="str">
        <f t="shared" si="37"/>
        <v/>
      </c>
      <c r="BX134" s="312">
        <f t="shared" si="38"/>
        <v>6657.588103</v>
      </c>
      <c r="BY134" s="151" t="str">
        <f t="shared" si="39"/>
        <v/>
      </c>
      <c r="BZ134" s="152" t="str">
        <f t="shared" si="40"/>
        <v/>
      </c>
      <c r="CA134" s="152" t="str">
        <f t="shared" si="41"/>
        <v/>
      </c>
      <c r="CB134" s="152" t="str">
        <f t="shared" si="42"/>
        <v/>
      </c>
      <c r="CC134" s="153" t="str">
        <f t="shared" si="43"/>
        <v/>
      </c>
      <c r="CD134" s="153" t="str">
        <f t="shared" si="44"/>
        <v/>
      </c>
      <c r="CE134" s="154" t="str">
        <f t="shared" si="45"/>
        <v/>
      </c>
      <c r="CF134" s="154" t="str">
        <f t="shared" si="46"/>
        <v/>
      </c>
      <c r="CG134" s="154" t="str">
        <f t="shared" si="47"/>
        <v/>
      </c>
      <c r="CH134" s="313">
        <f t="shared" si="48"/>
        <v>0</v>
      </c>
      <c r="CI134" s="299"/>
    </row>
    <row r="135">
      <c r="A135" s="103" t="s">
        <v>224</v>
      </c>
      <c r="B135" s="104" t="s">
        <v>92</v>
      </c>
      <c r="C135" s="105">
        <v>2316520.0</v>
      </c>
      <c r="D135" s="293">
        <v>0.0</v>
      </c>
      <c r="E135" s="294">
        <v>1658.962153</v>
      </c>
      <c r="F135" s="309">
        <v>1.093075319</v>
      </c>
      <c r="G135" s="309">
        <v>4.940181297</v>
      </c>
      <c r="H135" s="157">
        <v>6.033256617</v>
      </c>
      <c r="I135" s="110">
        <v>119.815769</v>
      </c>
      <c r="J135" s="109">
        <v>362.886389</v>
      </c>
      <c r="K135" s="109">
        <v>482.7021576</v>
      </c>
      <c r="L135" s="112">
        <v>10.92009019</v>
      </c>
      <c r="M135" s="112">
        <v>3.131349806</v>
      </c>
      <c r="N135" s="111">
        <v>14.05143999</v>
      </c>
      <c r="O135" s="298">
        <v>0.0</v>
      </c>
      <c r="P135" s="114"/>
      <c r="Q135" s="114"/>
      <c r="R135" s="121" t="str">
        <f t="shared" si="11"/>
        <v/>
      </c>
      <c r="S135" s="116">
        <f t="shared" si="12"/>
        <v>0.2589669834</v>
      </c>
      <c r="T135" s="130"/>
      <c r="U135" s="118">
        <f t="shared" si="13"/>
        <v>0.252</v>
      </c>
      <c r="V135" s="119">
        <v>0.8957</v>
      </c>
      <c r="W135" s="120">
        <f t="shared" si="14"/>
        <v>0.8957</v>
      </c>
      <c r="X135" s="148"/>
      <c r="Y135" s="120">
        <f t="shared" si="15"/>
        <v>0.5668291667</v>
      </c>
      <c r="Z135" s="299"/>
      <c r="AA135" s="299"/>
      <c r="AB135" s="300" t="str">
        <f t="shared" si="16"/>
        <v/>
      </c>
      <c r="AC135" s="301">
        <f t="shared" si="17"/>
        <v>0.655321236</v>
      </c>
      <c r="AD135" s="122">
        <v>0.0</v>
      </c>
      <c r="AE135" s="123">
        <v>0.1</v>
      </c>
      <c r="AF135" s="123">
        <v>0.0174</v>
      </c>
      <c r="AG135" s="316">
        <v>0.0</v>
      </c>
      <c r="AH135" s="124">
        <v>0.058915192</v>
      </c>
      <c r="AI135" s="317">
        <v>0.0</v>
      </c>
      <c r="AJ135" s="125">
        <v>0.170582792</v>
      </c>
      <c r="AK135" s="319">
        <v>0.0</v>
      </c>
      <c r="AL135" s="319">
        <v>0.0</v>
      </c>
      <c r="AM135" s="302">
        <v>0.0</v>
      </c>
      <c r="AN135" s="149" t="str">
        <f>IFERROR(
  AVERAGEIFS(
    'New 20102013 LF Efficacy'!$J:$J,
    'New 20102013 LF Efficacy'!$D:$D, $A135,
    'New 20102013 LF Efficacy'!$F:$F,"DEC", 
    'New 20102013 LF Efficacy'!$W:$W,"&lt;2014",
    'New 20102013 LF Efficacy'!$AA:$AA,""),
  ""
)</f>
        <v/>
      </c>
      <c r="AO135" s="115">
        <f t="shared" si="18"/>
        <v>0.31225</v>
      </c>
      <c r="AP135" s="121" t="str">
        <f>IFERROR(
AVERAGEIFS(
'New 20102013 LF Efficacy'!$J:$J,
'New 20102013 LF Efficacy'!$D:$D,$A135,
'New 20102013 LF Efficacy'!$F:$F,"Albendazole &amp; DEC",
'New 20102013 LF Efficacy'!$W:$W,"&lt;2014",
'New 20102013 LF Efficacy'!$AA:$AA,""),
"")
</f>
        <v/>
      </c>
      <c r="AQ135" s="115">
        <f t="shared" si="19"/>
        <v>0.4</v>
      </c>
      <c r="AR135" s="121" t="str">
        <f>IFERROR(
AVERAGEIFS(
'New 20102013 LF Efficacy'!$J:$J,
'New 20102013 LF Efficacy'!$D:$D,$A135,
'New 20102013 LF Efficacy'!$F:$F,"Albendazole &amp; Ivermectin", 
'New 20102013 LF Efficacy'!$W:$W,"&lt;2014",
'New 20102013 LF Efficacy'!$AA:$AA,""),"")</f>
        <v/>
      </c>
      <c r="AS135" s="115">
        <f t="shared" si="20"/>
        <v>0.2943125</v>
      </c>
      <c r="AT135" s="130" t="str">
        <f>IFERROR(AVERAGEIFS(
'20102013 Schist Efficacy'!$O:$O, 
'20102013 Schist Efficacy'!$C:$C,$A135, 
'20102013 Schist Efficacy'!$D:$D, "Praziquantel",
'20102013 Schist Efficacy'!$J:$J,"&lt;2014",
'20102013 Schist Efficacy'!$U:$U,""),
"")</f>
        <v/>
      </c>
      <c r="AU135" s="118">
        <f t="shared" si="21"/>
        <v>0.7192212527</v>
      </c>
      <c r="AV135" s="131" t="str">
        <f>IFERROR(AVERAGEIFS(
'20102013 STH Efficacy'!$AX:$AX, 
'20102013 STH Efficacy'!$AL:$AL, $A135, 
'20102013 STH Efficacy'!$AM:$AM, "Albendazole",
'20102013 STH Efficacy'!$AS:$AS,"&lt;2014",
'20102013 STH Efficacy'!$BP:$BP,""),
"")</f>
        <v/>
      </c>
      <c r="AW135" s="132">
        <f t="shared" si="22"/>
        <v>0.3816333333</v>
      </c>
      <c r="AX135" s="131" t="str">
        <f>IFERROR(AVERAGEIFS(
'20102013 STH Efficacy'!$AX:$AX, 
'20102013 STH Efficacy'!$AL:$AL, $A135, 
'20102013 STH Efficacy'!$AM:$AM, "Mebendazole",
'20102013 STH Efficacy'!$AS:$AS,"&lt;2014",
'20102013 STH Efficacy'!$BP:$BP,""),
"")</f>
        <v/>
      </c>
      <c r="AY135" s="132">
        <f t="shared" si="23"/>
        <v>0.5675833333</v>
      </c>
      <c r="AZ135" s="131" t="str">
        <f>IFERROR(AVERAGEIFS(
'20102013 STH Efficacy'!$AX:$AX, 
'20102013 STH Efficacy'!$AL:$AL, $A135, 
'20102013 STH Efficacy'!$AM:$AM, "Albendazole &amp; Ivermectin",
'20102013 STH Efficacy'!$AS:$AS,"&lt;2014",
'20102013 STH Efficacy'!$BP:$BP,""),
"")</f>
        <v/>
      </c>
      <c r="BA135" s="303">
        <f t="shared" si="24"/>
        <v>0.47175</v>
      </c>
      <c r="BB135" s="134" t="str">
        <f>IFERROR(AVERAGEIFS(
'20102013 STH Efficacy'!$N:$N, 
'20102013 STH Efficacy'!$B:$B, $A135, 
'20102013 STH Efficacy'!$C:$C, "Albendazole",
'20102013 STH Efficacy'!$I:$I,"&lt;2014",
'20102013 STH Efficacy'!$AH:$AH,""),
"")</f>
        <v/>
      </c>
      <c r="BC135" s="135">
        <f t="shared" si="25"/>
        <v>0.8699166667</v>
      </c>
      <c r="BD135" s="134" t="str">
        <f>IFERROR(AVERAGEIFS(
'20102013 STH Efficacy'!$N:$N, 
'20102013 STH Efficacy'!$B:$B, $A135, 
'20102013 STH Efficacy'!$C:$C, "Mebendazole",
'20102013 STH Efficacy'!$I:$I,"&lt;2014",
'20102013 STH Efficacy'!$AH:$AH,""),
"")</f>
        <v/>
      </c>
      <c r="BE135" s="135">
        <f t="shared" si="26"/>
        <v>0.7092416667</v>
      </c>
      <c r="BF135" s="128" t="str">
        <f>IFERROR(AVERAGEIFS(
'20102013 STH Efficacy'!$CD:$CD, 
'20102013 STH Efficacy'!$BS:$BS, $A135, 
'20102013 STH Efficacy'!$BT:$BT, "Albendazole",
'20102013 STH Efficacy'!$BZ:$BZ,"&lt;2014",
'20102013 STH Efficacy'!$CU:$CU,""),
"")</f>
        <v/>
      </c>
      <c r="BG135" s="136">
        <f t="shared" si="27"/>
        <v>0.9066666667</v>
      </c>
      <c r="BH135" s="128" t="str">
        <f>IFERROR(AVERAGEIFS(
'20102013 STH Efficacy'!$CD:$CD, 
'20102013 STH Efficacy'!$BS:$BS, $A135, 
'20102013 STH Efficacy'!$BT:$BT, "Mebendazole",
'20102013 STH Efficacy'!$BZ:$BZ,"&lt;2014",
'20102013 STH Efficacy'!$CU:$CU,""),
"")</f>
        <v/>
      </c>
      <c r="BI135" s="136">
        <f t="shared" si="28"/>
        <v>0.9358666667</v>
      </c>
      <c r="BJ135" s="128" t="str">
        <f>IFERROR(AVERAGEIFS(
'20102013 STH Efficacy'!$CD:$CD, 
'20102013 STH Efficacy'!$BS:$BS, $A135, 
'20102013 STH Efficacy'!$BT:$BT, "Albendazole &amp; Ivermectin",
'20102013 STH Efficacy'!$BZ:$BZ,"&lt;2014",
'20102013 STH Efficacy'!$CU:$CU,""),
"")</f>
        <v/>
      </c>
      <c r="BK135" s="136">
        <f t="shared" si="29"/>
        <v>1</v>
      </c>
      <c r="BL135" s="300" t="str">
        <f>IFERROR(
  AVERAGEIFS(
    'NEW 20102013 Onchocerciasis Eff'!$AO:$AO,
    'NEW 20102013 Onchocerciasis Eff'!$C:$C,$A135,
    'NEW 20102013 Onchocerciasis Eff'!$D:$D,"Ivermectin",
    'NEW 20102013 Onchocerciasis Eff'!$AR:$AR,"&lt;2014",
    'NEW 20102013 Onchocerciasis Eff'!$BG:$BG,"")
,"")</f>
        <v/>
      </c>
      <c r="BM135" s="304">
        <f t="shared" si="30"/>
        <v>0.8390421645</v>
      </c>
      <c r="BN135" s="305">
        <v>0.0</v>
      </c>
      <c r="BO135" s="139">
        <v>0.0</v>
      </c>
      <c r="BP135" s="140">
        <v>1.0</v>
      </c>
      <c r="BQ135" s="141">
        <f t="shared" si="31"/>
        <v>0</v>
      </c>
      <c r="BR135" s="104" t="str">
        <f t="shared" si="32"/>
        <v>0010</v>
      </c>
      <c r="BS135" s="104" t="str">
        <f t="shared" si="33"/>
        <v>T2</v>
      </c>
      <c r="BT135" s="142" t="str">
        <f t="shared" si="34"/>
        <v>PZQ</v>
      </c>
      <c r="BU135" s="104" t="str">
        <f t="shared" si="50"/>
        <v>PZQ</v>
      </c>
      <c r="BV135" s="104" t="str">
        <f t="shared" si="36"/>
        <v>schist only</v>
      </c>
      <c r="BW135" s="150" t="str">
        <f t="shared" si="37"/>
        <v/>
      </c>
      <c r="BX135" s="150" t="str">
        <f t="shared" si="38"/>
        <v/>
      </c>
      <c r="BY135" s="162">
        <f t="shared" si="39"/>
        <v>367.2357105</v>
      </c>
      <c r="BZ135" s="152" t="str">
        <f t="shared" si="40"/>
        <v/>
      </c>
      <c r="CA135" s="152" t="str">
        <f t="shared" si="41"/>
        <v/>
      </c>
      <c r="CB135" s="152" t="str">
        <f t="shared" si="42"/>
        <v/>
      </c>
      <c r="CC135" s="153" t="str">
        <f t="shared" si="43"/>
        <v/>
      </c>
      <c r="CD135" s="153" t="str">
        <f t="shared" si="44"/>
        <v/>
      </c>
      <c r="CE135" s="154" t="str">
        <f t="shared" si="45"/>
        <v/>
      </c>
      <c r="CF135" s="154" t="str">
        <f t="shared" si="46"/>
        <v/>
      </c>
      <c r="CG135" s="154" t="str">
        <f t="shared" si="47"/>
        <v/>
      </c>
      <c r="CH135" s="308" t="str">
        <f t="shared" si="48"/>
        <v/>
      </c>
      <c r="CI135" s="299"/>
    </row>
    <row r="136">
      <c r="A136" s="103" t="s">
        <v>225</v>
      </c>
      <c r="B136" s="104" t="s">
        <v>94</v>
      </c>
      <c r="C136" s="105">
        <v>10821.0</v>
      </c>
      <c r="D136" s="293">
        <v>0.0</v>
      </c>
      <c r="E136" s="294">
        <v>0.0</v>
      </c>
      <c r="F136" s="325"/>
      <c r="G136" s="325"/>
      <c r="H136" s="108">
        <v>0.0</v>
      </c>
      <c r="I136" s="109">
        <v>0.0</v>
      </c>
      <c r="J136" s="109">
        <v>0.0</v>
      </c>
      <c r="K136" s="109">
        <v>0.0</v>
      </c>
      <c r="L136" s="113"/>
      <c r="M136" s="113"/>
      <c r="N136" s="111">
        <v>0.0</v>
      </c>
      <c r="O136" s="298">
        <v>0.0</v>
      </c>
      <c r="P136" s="114"/>
      <c r="Q136" s="114"/>
      <c r="R136" s="121" t="str">
        <f t="shared" si="11"/>
        <v/>
      </c>
      <c r="S136" s="116">
        <f t="shared" si="12"/>
        <v>0.403639098</v>
      </c>
      <c r="T136" s="130"/>
      <c r="U136" s="118">
        <f t="shared" si="13"/>
        <v>0.6259666667</v>
      </c>
      <c r="V136" s="148"/>
      <c r="W136" s="120">
        <f t="shared" si="14"/>
        <v>0.3807857143</v>
      </c>
      <c r="X136" s="148"/>
      <c r="Y136" s="120">
        <f t="shared" si="15"/>
        <v>0.3971375</v>
      </c>
      <c r="Z136" s="299"/>
      <c r="AA136" s="299"/>
      <c r="AB136" s="300" t="str">
        <f t="shared" si="16"/>
        <v/>
      </c>
      <c r="AC136" s="301">
        <f t="shared" si="17"/>
        <v>0.6295826791</v>
      </c>
      <c r="AD136" s="314">
        <v>0.0</v>
      </c>
      <c r="AE136" s="315">
        <v>0.0</v>
      </c>
      <c r="AF136" s="166">
        <v>0.0</v>
      </c>
      <c r="AG136" s="316">
        <v>0.0</v>
      </c>
      <c r="AH136" s="307">
        <v>0.0</v>
      </c>
      <c r="AI136" s="317">
        <v>0.0</v>
      </c>
      <c r="AJ136" s="318">
        <v>0.0</v>
      </c>
      <c r="AK136" s="319">
        <v>0.0</v>
      </c>
      <c r="AL136" s="319">
        <v>0.0</v>
      </c>
      <c r="AM136" s="320">
        <v>0.0</v>
      </c>
      <c r="AN136" s="149" t="str">
        <f>IFERROR(
  AVERAGEIFS(
    'New 20102013 LF Efficacy'!$J:$J,
    'New 20102013 LF Efficacy'!$D:$D, $A136,
    'New 20102013 LF Efficacy'!$F:$F,"DEC", 
    'New 20102013 LF Efficacy'!$W:$W,"&lt;2014",
    'New 20102013 LF Efficacy'!$AA:$AA,""),
  ""
)</f>
        <v/>
      </c>
      <c r="AO136" s="115">
        <f t="shared" si="18"/>
        <v>0.38</v>
      </c>
      <c r="AP136" s="121" t="str">
        <f>IFERROR(
AVERAGEIFS(
'New 20102013 LF Efficacy'!$J:$J,
'New 20102013 LF Efficacy'!$D:$D,$A136,
'New 20102013 LF Efficacy'!$F:$F,"Albendazole &amp; DEC",
'New 20102013 LF Efficacy'!$W:$W,"&lt;2014",
'New 20102013 LF Efficacy'!$AA:$AA,""),
"")
</f>
        <v/>
      </c>
      <c r="AQ136" s="115">
        <f t="shared" si="19"/>
        <v>0.657</v>
      </c>
      <c r="AR136" s="121" t="str">
        <f>IFERROR(
AVERAGEIFS(
'New 20102013 LF Efficacy'!$J:$J,
'New 20102013 LF Efficacy'!$D:$D,$A136,
'New 20102013 LF Efficacy'!$F:$F,"Albendazole &amp; Ivermectin", 
'New 20102013 LF Efficacy'!$W:$W,"&lt;2014",
'New 20102013 LF Efficacy'!$AA:$AA,""),"")</f>
        <v/>
      </c>
      <c r="AS136" s="115">
        <f t="shared" si="20"/>
        <v>0.37153125</v>
      </c>
      <c r="AT136" s="130" t="str">
        <f>IFERROR(AVERAGEIFS(
'20102013 Schist Efficacy'!$O:$O, 
'20102013 Schist Efficacy'!$C:$C,$A136, 
'20102013 Schist Efficacy'!$D:$D, "Praziquantel",
'20102013 Schist Efficacy'!$J:$J,"&lt;2014",
'20102013 Schist Efficacy'!$U:$U,""),
"")</f>
        <v/>
      </c>
      <c r="AU136" s="118">
        <f t="shared" si="21"/>
        <v>0.9475</v>
      </c>
      <c r="AV136" s="131" t="str">
        <f>IFERROR(AVERAGEIFS(
'20102013 STH Efficacy'!$AX:$AX, 
'20102013 STH Efficacy'!$AL:$AL, $A136, 
'20102013 STH Efficacy'!$AM:$AM, "Albendazole",
'20102013 STH Efficacy'!$AS:$AS,"&lt;2014",
'20102013 STH Efficacy'!$BP:$BP,""),
"")</f>
        <v/>
      </c>
      <c r="AW136" s="132">
        <f t="shared" si="22"/>
        <v>0.3571666667</v>
      </c>
      <c r="AX136" s="131" t="str">
        <f>IFERROR(AVERAGEIFS(
'20102013 STH Efficacy'!$AX:$AX, 
'20102013 STH Efficacy'!$AL:$AL, $A136, 
'20102013 STH Efficacy'!$AM:$AM, "Mebendazole",
'20102013 STH Efficacy'!$AS:$AS,"&lt;2014",
'20102013 STH Efficacy'!$BP:$BP,""),
"")</f>
        <v/>
      </c>
      <c r="AY136" s="132">
        <f t="shared" si="23"/>
        <v>0.4155</v>
      </c>
      <c r="AZ136" s="131" t="str">
        <f>IFERROR(AVERAGEIFS(
'20102013 STH Efficacy'!$AX:$AX, 
'20102013 STH Efficacy'!$AL:$AL, $A136, 
'20102013 STH Efficacy'!$AM:$AM, "Albendazole &amp; Ivermectin",
'20102013 STH Efficacy'!$AS:$AS,"&lt;2014",
'20102013 STH Efficacy'!$BP:$BP,""),
"")</f>
        <v/>
      </c>
      <c r="BA136" s="303">
        <f t="shared" si="24"/>
        <v>0.651</v>
      </c>
      <c r="BB136" s="134" t="str">
        <f>IFERROR(AVERAGEIFS(
'20102013 STH Efficacy'!$N:$N, 
'20102013 STH Efficacy'!$B:$B, $A136, 
'20102013 STH Efficacy'!$C:$C, "Albendazole",
'20102013 STH Efficacy'!$I:$I,"&lt;2014",
'20102013 STH Efficacy'!$AH:$AH,""),
"")</f>
        <v/>
      </c>
      <c r="BC136" s="135">
        <f t="shared" si="25"/>
        <v>0.5769166667</v>
      </c>
      <c r="BD136" s="134" t="str">
        <f>IFERROR(AVERAGEIFS(
'20102013 STH Efficacy'!$N:$N, 
'20102013 STH Efficacy'!$B:$B, $A136, 
'20102013 STH Efficacy'!$C:$C, "Mebendazole",
'20102013 STH Efficacy'!$I:$I,"&lt;2014",
'20102013 STH Efficacy'!$AH:$AH,""),
"")</f>
        <v/>
      </c>
      <c r="BE136" s="135">
        <f t="shared" si="26"/>
        <v>0.3145</v>
      </c>
      <c r="BF136" s="128" t="str">
        <f>IFERROR(AVERAGEIFS(
'20102013 STH Efficacy'!$CD:$CD, 
'20102013 STH Efficacy'!$BS:$BS, $A136, 
'20102013 STH Efficacy'!$BT:$BT, "Albendazole",
'20102013 STH Efficacy'!$BZ:$BZ,"&lt;2014",
'20102013 STH Efficacy'!$CU:$CU,""),
"")</f>
        <v/>
      </c>
      <c r="BG136" s="136">
        <f t="shared" si="27"/>
        <v>0.96925</v>
      </c>
      <c r="BH136" s="128" t="str">
        <f>IFERROR(AVERAGEIFS(
'20102013 STH Efficacy'!$CD:$CD, 
'20102013 STH Efficacy'!$BS:$BS, $A136, 
'20102013 STH Efficacy'!$BT:$BT, "Mebendazole",
'20102013 STH Efficacy'!$BZ:$BZ,"&lt;2014",
'20102013 STH Efficacy'!$CU:$CU,""),
"")</f>
        <v/>
      </c>
      <c r="BI136" s="136">
        <f t="shared" si="28"/>
        <v>0.9305</v>
      </c>
      <c r="BJ136" s="128" t="str">
        <f>IFERROR(AVERAGEIFS(
'20102013 STH Efficacy'!$CD:$CD, 
'20102013 STH Efficacy'!$BS:$BS, $A136, 
'20102013 STH Efficacy'!$BT:$BT, "Albendazole &amp; Ivermectin",
'20102013 STH Efficacy'!$BZ:$BZ,"&lt;2014",
'20102013 STH Efficacy'!$CU:$CU,""),
"")</f>
        <v/>
      </c>
      <c r="BK136" s="136">
        <f t="shared" si="29"/>
        <v>1</v>
      </c>
      <c r="BL136" s="300" t="str">
        <f>IFERROR(
  AVERAGEIFS(
    'NEW 20102013 Onchocerciasis Eff'!$AO:$AO,
    'NEW 20102013 Onchocerciasis Eff'!$C:$C,$A136,
    'NEW 20102013 Onchocerciasis Eff'!$D:$D,"Ivermectin",
    'NEW 20102013 Onchocerciasis Eff'!$AR:$AR,"&lt;2014",
    'NEW 20102013 Onchocerciasis Eff'!$BG:$BG,"")
,"")</f>
        <v/>
      </c>
      <c r="BM136" s="304">
        <f t="shared" si="30"/>
        <v>0.7808368939</v>
      </c>
      <c r="BN136" s="305">
        <v>0.0</v>
      </c>
      <c r="BO136" s="139">
        <v>0.0</v>
      </c>
      <c r="BP136" s="140">
        <v>0.0</v>
      </c>
      <c r="BQ136" s="141">
        <f t="shared" si="31"/>
        <v>0</v>
      </c>
      <c r="BR136" s="104" t="str">
        <f t="shared" si="32"/>
        <v>0000</v>
      </c>
      <c r="BS136" s="104" t="str">
        <f t="shared" si="33"/>
        <v>no action required</v>
      </c>
      <c r="BT136" s="142" t="str">
        <f t="shared" si="34"/>
        <v/>
      </c>
      <c r="BU136" s="104" t="str">
        <f t="shared" si="50"/>
        <v/>
      </c>
      <c r="BV136" s="104" t="str">
        <f t="shared" si="36"/>
        <v>none</v>
      </c>
      <c r="BW136" s="150" t="str">
        <f t="shared" si="37"/>
        <v/>
      </c>
      <c r="BX136" s="150" t="str">
        <f t="shared" si="38"/>
        <v/>
      </c>
      <c r="BY136" s="151" t="str">
        <f t="shared" si="39"/>
        <v/>
      </c>
      <c r="BZ136" s="152" t="str">
        <f t="shared" si="40"/>
        <v/>
      </c>
      <c r="CA136" s="152" t="str">
        <f t="shared" si="41"/>
        <v/>
      </c>
      <c r="CB136" s="152" t="str">
        <f t="shared" si="42"/>
        <v/>
      </c>
      <c r="CC136" s="153" t="str">
        <f t="shared" si="43"/>
        <v/>
      </c>
      <c r="CD136" s="153" t="str">
        <f t="shared" si="44"/>
        <v/>
      </c>
      <c r="CE136" s="154" t="str">
        <f t="shared" si="45"/>
        <v/>
      </c>
      <c r="CF136" s="154" t="str">
        <f t="shared" si="46"/>
        <v/>
      </c>
      <c r="CG136" s="154" t="str">
        <f t="shared" si="47"/>
        <v/>
      </c>
      <c r="CH136" s="308" t="str">
        <f t="shared" si="48"/>
        <v/>
      </c>
      <c r="CI136" s="299"/>
    </row>
    <row r="137">
      <c r="A137" s="103" t="s">
        <v>226</v>
      </c>
      <c r="B137" s="104" t="s">
        <v>109</v>
      </c>
      <c r="C137" s="105">
        <v>2.798531E7</v>
      </c>
      <c r="D137" s="293">
        <v>23589.68</v>
      </c>
      <c r="E137" s="294">
        <v>0.0</v>
      </c>
      <c r="F137" s="307">
        <v>256.3847076</v>
      </c>
      <c r="G137" s="307">
        <v>1286.794325</v>
      </c>
      <c r="H137" s="108">
        <v>1543.179032</v>
      </c>
      <c r="I137" s="109">
        <v>2780.73141</v>
      </c>
      <c r="J137" s="109">
        <v>8252.10751</v>
      </c>
      <c r="K137" s="109">
        <v>11032.83892</v>
      </c>
      <c r="L137" s="112">
        <v>1151.537838</v>
      </c>
      <c r="M137" s="112">
        <v>1313.821754</v>
      </c>
      <c r="N137" s="111">
        <v>2465.359592</v>
      </c>
      <c r="O137" s="298">
        <v>0.0</v>
      </c>
      <c r="P137" s="160">
        <v>2.1852201E7</v>
      </c>
      <c r="Q137" s="160">
        <v>1.6116207E7</v>
      </c>
      <c r="R137" s="121">
        <f t="shared" si="11"/>
        <v>0.7375095534</v>
      </c>
      <c r="S137" s="116">
        <f t="shared" si="12"/>
        <v>0.7375095534</v>
      </c>
      <c r="T137" s="130"/>
      <c r="U137" s="118">
        <f t="shared" si="13"/>
        <v>0.7367</v>
      </c>
      <c r="V137" s="119">
        <v>0.4535</v>
      </c>
      <c r="W137" s="120">
        <f t="shared" si="14"/>
        <v>0.4535</v>
      </c>
      <c r="X137" s="119">
        <v>0.6046</v>
      </c>
      <c r="Y137" s="120">
        <f t="shared" si="15"/>
        <v>0.6046</v>
      </c>
      <c r="Z137" s="299"/>
      <c r="AA137" s="299"/>
      <c r="AB137" s="300" t="str">
        <f t="shared" si="16"/>
        <v/>
      </c>
      <c r="AC137" s="301">
        <f t="shared" si="17"/>
        <v>0.6295826791</v>
      </c>
      <c r="AD137" s="122">
        <v>0.0136</v>
      </c>
      <c r="AE137" s="123">
        <v>0.0</v>
      </c>
      <c r="AF137" s="123">
        <v>0.0</v>
      </c>
      <c r="AG137" s="124">
        <v>0.1136</v>
      </c>
      <c r="AH137" s="124">
        <v>0.178374861</v>
      </c>
      <c r="AI137" s="125">
        <v>0.1741</v>
      </c>
      <c r="AJ137" s="125">
        <v>0.278785301</v>
      </c>
      <c r="AK137" s="127">
        <v>0.1245</v>
      </c>
      <c r="AL137" s="127">
        <v>0.197</v>
      </c>
      <c r="AM137" s="302">
        <v>0.0</v>
      </c>
      <c r="AN137" s="149" t="str">
        <f>IFERROR(
  AVERAGEIFS(
    'New 20102013 LF Efficacy'!$J:$J,
    'New 20102013 LF Efficacy'!$D:$D, $A137,
    'New 20102013 LF Efficacy'!$F:$F,"DEC", 
    'New 20102013 LF Efficacy'!$W:$W,"&lt;2014",
    'New 20102013 LF Efficacy'!$AA:$AA,""),
  ""
)</f>
        <v/>
      </c>
      <c r="AO137" s="115">
        <f t="shared" si="18"/>
        <v>0.478175</v>
      </c>
      <c r="AP137" s="121" t="str">
        <f>IFERROR(
AVERAGEIFS(
'New 20102013 LF Efficacy'!$J:$J,
'New 20102013 LF Efficacy'!$D:$D,$A137,
'New 20102013 LF Efficacy'!$F:$F,"Albendazole &amp; DEC",
'New 20102013 LF Efficacy'!$W:$W,"&lt;2014",
'New 20102013 LF Efficacy'!$AA:$AA,""),
"")
</f>
        <v/>
      </c>
      <c r="AQ137" s="115">
        <f t="shared" si="19"/>
        <v>0.5831666667</v>
      </c>
      <c r="AR137" s="121" t="str">
        <f>IFERROR(
AVERAGEIFS(
'New 20102013 LF Efficacy'!$J:$J,
'New 20102013 LF Efficacy'!$D:$D,$A137,
'New 20102013 LF Efficacy'!$F:$F,"Albendazole &amp; Ivermectin", 
'New 20102013 LF Efficacy'!$W:$W,"&lt;2014",
'New 20102013 LF Efficacy'!$AA:$AA,""),"")</f>
        <v/>
      </c>
      <c r="AS137" s="115">
        <f t="shared" si="20"/>
        <v>0.14</v>
      </c>
      <c r="AT137" s="130" t="str">
        <f>IFERROR(AVERAGEIFS(
'20102013 Schist Efficacy'!$O:$O, 
'20102013 Schist Efficacy'!$C:$C,$A137, 
'20102013 Schist Efficacy'!$D:$D, "Praziquantel",
'20102013 Schist Efficacy'!$J:$J,"&lt;2014",
'20102013 Schist Efficacy'!$U:$U,""),
"")</f>
        <v/>
      </c>
      <c r="AU137" s="118">
        <f t="shared" si="21"/>
        <v>0.7430399392</v>
      </c>
      <c r="AV137" s="131">
        <f>IFERROR(AVERAGEIFS(
'20102013 STH Efficacy'!$AX:$AX, 
'20102013 STH Efficacy'!$AL:$AL, $A137, 
'20102013 STH Efficacy'!$AM:$AM, "Albendazole",
'20102013 STH Efficacy'!$AS:$AS,"&lt;2014",
'20102013 STH Efficacy'!$BP:$BP,""),
"")</f>
        <v>0.2773333333</v>
      </c>
      <c r="AW137" s="132">
        <f t="shared" si="22"/>
        <v>0.2773333333</v>
      </c>
      <c r="AX137" s="131" t="str">
        <f>IFERROR(AVERAGEIFS(
'20102013 STH Efficacy'!$AX:$AX, 
'20102013 STH Efficacy'!$AL:$AL, $A137, 
'20102013 STH Efficacy'!$AM:$AM, "Mebendazole",
'20102013 STH Efficacy'!$AS:$AS,"&lt;2014",
'20102013 STH Efficacy'!$BP:$BP,""),
"")</f>
        <v/>
      </c>
      <c r="AY137" s="132">
        <f t="shared" si="23"/>
        <v>0.3786666667</v>
      </c>
      <c r="AZ137" s="131" t="str">
        <f>IFERROR(AVERAGEIFS(
'20102013 STH Efficacy'!$AX:$AX, 
'20102013 STH Efficacy'!$AL:$AL, $A137, 
'20102013 STH Efficacy'!$AM:$AM, "Albendazole &amp; Ivermectin",
'20102013 STH Efficacy'!$AS:$AS,"&lt;2014",
'20102013 STH Efficacy'!$BP:$BP,""),
"")</f>
        <v/>
      </c>
      <c r="BA137" s="303">
        <f t="shared" si="24"/>
        <v>0.597625</v>
      </c>
      <c r="BB137" s="134" t="str">
        <f>IFERROR(AVERAGEIFS(
'20102013 STH Efficacy'!$N:$N, 
'20102013 STH Efficacy'!$B:$B, $A137, 
'20102013 STH Efficacy'!$C:$C, "Albendazole",
'20102013 STH Efficacy'!$I:$I,"&lt;2014",
'20102013 STH Efficacy'!$AH:$AH,""),
"")</f>
        <v/>
      </c>
      <c r="BC137" s="135">
        <f t="shared" si="25"/>
        <v>0.7133333333</v>
      </c>
      <c r="BD137" s="134" t="str">
        <f>IFERROR(AVERAGEIFS(
'20102013 STH Efficacy'!$N:$N, 
'20102013 STH Efficacy'!$B:$B, $A137, 
'20102013 STH Efficacy'!$C:$C, "Mebendazole",
'20102013 STH Efficacy'!$I:$I,"&lt;2014",
'20102013 STH Efficacy'!$AH:$AH,""),
"")</f>
        <v/>
      </c>
      <c r="BE137" s="135">
        <f t="shared" si="26"/>
        <v>0.205</v>
      </c>
      <c r="BF137" s="128" t="str">
        <f>IFERROR(AVERAGEIFS(
'20102013 STH Efficacy'!$CD:$CD, 
'20102013 STH Efficacy'!$BS:$BS, $A137, 
'20102013 STH Efficacy'!$BT:$BT, "Albendazole",
'20102013 STH Efficacy'!$BZ:$BZ,"&lt;2014",
'20102013 STH Efficacy'!$CU:$CU,""),
"")</f>
        <v/>
      </c>
      <c r="BG137" s="136">
        <f t="shared" si="27"/>
        <v>0.83</v>
      </c>
      <c r="BH137" s="128" t="str">
        <f>IFERROR(AVERAGEIFS(
'20102013 STH Efficacy'!$CD:$CD, 
'20102013 STH Efficacy'!$BS:$BS, $A137, 
'20102013 STH Efficacy'!$BT:$BT, "Mebendazole",
'20102013 STH Efficacy'!$BZ:$BZ,"&lt;2014",
'20102013 STH Efficacy'!$CU:$CU,""),
"")</f>
        <v/>
      </c>
      <c r="BI137" s="136">
        <f t="shared" si="28"/>
        <v>1</v>
      </c>
      <c r="BJ137" s="128" t="str">
        <f>IFERROR(AVERAGEIFS(
'20102013 STH Efficacy'!$CD:$CD, 
'20102013 STH Efficacy'!$BS:$BS, $A137, 
'20102013 STH Efficacy'!$BT:$BT, "Albendazole &amp; Ivermectin",
'20102013 STH Efficacy'!$BZ:$BZ,"&lt;2014",
'20102013 STH Efficacy'!$CU:$CU,""),
"")</f>
        <v/>
      </c>
      <c r="BK137" s="136">
        <f t="shared" si="29"/>
        <v>1</v>
      </c>
      <c r="BL137" s="300" t="str">
        <f>IFERROR(
  AVERAGEIFS(
    'NEW 20102013 Onchocerciasis Eff'!$AO:$AO,
    'NEW 20102013 Onchocerciasis Eff'!$C:$C,$A137,
    'NEW 20102013 Onchocerciasis Eff'!$D:$D,"Ivermectin",
    'NEW 20102013 Onchocerciasis Eff'!$AR:$AR,"&lt;2014",
    'NEW 20102013 Onchocerciasis Eff'!$BG:$BG,"")
,"")</f>
        <v/>
      </c>
      <c r="BM137" s="304">
        <f t="shared" si="30"/>
        <v>0.7808368939</v>
      </c>
      <c r="BN137" s="305">
        <v>1.0</v>
      </c>
      <c r="BO137" s="139">
        <v>0.0</v>
      </c>
      <c r="BP137" s="140">
        <v>0.0</v>
      </c>
      <c r="BQ137" s="141">
        <f t="shared" si="31"/>
        <v>1</v>
      </c>
      <c r="BR137" s="104" t="str">
        <f t="shared" si="32"/>
        <v>1001</v>
      </c>
      <c r="BS137" s="104" t="str">
        <f t="shared" si="33"/>
        <v>MDA1/2</v>
      </c>
      <c r="BT137" s="142" t="str">
        <f t="shared" si="34"/>
        <v>DEC+ALB</v>
      </c>
      <c r="BU137" s="104" t="str">
        <f t="shared" si="50"/>
        <v/>
      </c>
      <c r="BV137" s="104" t="str">
        <f t="shared" si="36"/>
        <v>lf+sth</v>
      </c>
      <c r="BW137" s="312">
        <f t="shared" si="37"/>
        <v>17802.33083</v>
      </c>
      <c r="BX137" s="150" t="str">
        <f t="shared" si="38"/>
        <v/>
      </c>
      <c r="BY137" s="151" t="str">
        <f t="shared" si="39"/>
        <v/>
      </c>
      <c r="BZ137" s="152">
        <f t="shared" si="40"/>
        <v>296.1156034</v>
      </c>
      <c r="CA137" s="152" t="str">
        <f t="shared" si="41"/>
        <v/>
      </c>
      <c r="CB137" s="152" t="str">
        <f t="shared" si="42"/>
        <v/>
      </c>
      <c r="CC137" s="323">
        <f t="shared" si="43"/>
        <v>7587.607939</v>
      </c>
      <c r="CD137" s="153" t="str">
        <f t="shared" si="44"/>
        <v/>
      </c>
      <c r="CE137" s="154">
        <f t="shared" si="45"/>
        <v>2018.484617</v>
      </c>
      <c r="CF137" s="154" t="str">
        <f t="shared" si="46"/>
        <v/>
      </c>
      <c r="CG137" s="154" t="str">
        <f t="shared" si="47"/>
        <v/>
      </c>
      <c r="CH137" s="308" t="str">
        <f t="shared" si="48"/>
        <v/>
      </c>
      <c r="CI137" s="299"/>
    </row>
    <row r="138">
      <c r="A138" s="103" t="s">
        <v>227</v>
      </c>
      <c r="B138" s="104" t="s">
        <v>90</v>
      </c>
      <c r="C138" s="105">
        <v>1.6804432E7</v>
      </c>
      <c r="D138" s="293">
        <v>0.0</v>
      </c>
      <c r="E138" s="294">
        <v>0.0</v>
      </c>
      <c r="F138" s="309">
        <v>0.0</v>
      </c>
      <c r="G138" s="309">
        <v>0.0</v>
      </c>
      <c r="H138" s="108">
        <v>0.0</v>
      </c>
      <c r="I138" s="109">
        <v>0.0</v>
      </c>
      <c r="J138" s="109">
        <v>0.0</v>
      </c>
      <c r="K138" s="109">
        <v>0.0</v>
      </c>
      <c r="L138" s="112">
        <v>0.0</v>
      </c>
      <c r="M138" s="112">
        <v>0.0</v>
      </c>
      <c r="N138" s="111">
        <v>0.0</v>
      </c>
      <c r="O138" s="298">
        <v>0.0</v>
      </c>
      <c r="P138" s="114"/>
      <c r="Q138" s="114"/>
      <c r="R138" s="121" t="str">
        <f t="shared" si="11"/>
        <v/>
      </c>
      <c r="S138" s="116">
        <f t="shared" si="12"/>
        <v>0.526225767</v>
      </c>
      <c r="T138" s="130"/>
      <c r="U138" s="118">
        <f t="shared" si="13"/>
        <v>0.3468166667</v>
      </c>
      <c r="V138" s="148"/>
      <c r="W138" s="120">
        <f t="shared" si="14"/>
        <v>1</v>
      </c>
      <c r="X138" s="148"/>
      <c r="Y138" s="120">
        <f t="shared" si="15"/>
        <v>1</v>
      </c>
      <c r="Z138" s="299"/>
      <c r="AA138" s="299"/>
      <c r="AB138" s="300" t="str">
        <f t="shared" si="16"/>
        <v/>
      </c>
      <c r="AC138" s="301">
        <f t="shared" si="17"/>
        <v>0.6295826791</v>
      </c>
      <c r="AD138" s="122">
        <v>0.0</v>
      </c>
      <c r="AE138" s="123">
        <v>0.0</v>
      </c>
      <c r="AF138" s="123">
        <v>0.0</v>
      </c>
      <c r="AG138" s="316">
        <v>0.0</v>
      </c>
      <c r="AH138" s="124">
        <v>0.0</v>
      </c>
      <c r="AI138" s="317">
        <v>0.0</v>
      </c>
      <c r="AJ138" s="125">
        <v>0.0</v>
      </c>
      <c r="AK138" s="319">
        <v>0.0</v>
      </c>
      <c r="AL138" s="319">
        <v>0.0</v>
      </c>
      <c r="AM138" s="302">
        <v>0.0</v>
      </c>
      <c r="AN138" s="149" t="str">
        <f>IFERROR(
  AVERAGEIFS(
    'New 20102013 LF Efficacy'!$J:$J,
    'New 20102013 LF Efficacy'!$D:$D, $A138,
    'New 20102013 LF Efficacy'!$F:$F,"DEC", 
    'New 20102013 LF Efficacy'!$W:$W,"&lt;2014",
    'New 20102013 LF Efficacy'!$AA:$AA,""),
  ""
)</f>
        <v/>
      </c>
      <c r="AO138" s="115">
        <f t="shared" si="18"/>
        <v>0.3573520833</v>
      </c>
      <c r="AP138" s="121" t="str">
        <f>IFERROR(
AVERAGEIFS(
'New 20102013 LF Efficacy'!$J:$J,
'New 20102013 LF Efficacy'!$D:$D,$A138,
'New 20102013 LF Efficacy'!$F:$F,"Albendazole &amp; DEC",
'New 20102013 LF Efficacy'!$W:$W,"&lt;2014",
'New 20102013 LF Efficacy'!$AA:$AA,""),
"")
</f>
        <v/>
      </c>
      <c r="AQ138" s="115">
        <f t="shared" si="19"/>
        <v>0.5137291667</v>
      </c>
      <c r="AR138" s="121" t="str">
        <f>IFERROR(
AVERAGEIFS(
'New 20102013 LF Efficacy'!$J:$J,
'New 20102013 LF Efficacy'!$D:$D,$A138,
'New 20102013 LF Efficacy'!$F:$F,"Albendazole &amp; Ivermectin", 
'New 20102013 LF Efficacy'!$W:$W,"&lt;2014",
'New 20102013 LF Efficacy'!$AA:$AA,""),"")</f>
        <v/>
      </c>
      <c r="AS138" s="115">
        <f t="shared" si="20"/>
        <v>0.37153125</v>
      </c>
      <c r="AT138" s="130" t="str">
        <f>IFERROR(AVERAGEIFS(
'20102013 Schist Efficacy'!$O:$O, 
'20102013 Schist Efficacy'!$C:$C,$A138, 
'20102013 Schist Efficacy'!$D:$D, "Praziquantel",
'20102013 Schist Efficacy'!$J:$J,"&lt;2014",
'20102013 Schist Efficacy'!$U:$U,""),
"")</f>
        <v/>
      </c>
      <c r="AU138" s="118">
        <f t="shared" si="21"/>
        <v>0.655</v>
      </c>
      <c r="AV138" s="131" t="str">
        <f>IFERROR(AVERAGEIFS(
'20102013 STH Efficacy'!$AX:$AX, 
'20102013 STH Efficacy'!$AL:$AL, $A138, 
'20102013 STH Efficacy'!$AM:$AM, "Albendazole",
'20102013 STH Efficacy'!$AS:$AS,"&lt;2014",
'20102013 STH Efficacy'!$BP:$BP,""),
"")</f>
        <v/>
      </c>
      <c r="AW138" s="132">
        <f t="shared" si="22"/>
        <v>0.3933333333</v>
      </c>
      <c r="AX138" s="131" t="str">
        <f>IFERROR(AVERAGEIFS(
'20102013 STH Efficacy'!$AX:$AX, 
'20102013 STH Efficacy'!$AL:$AL, $A138, 
'20102013 STH Efficacy'!$AM:$AM, "Mebendazole",
'20102013 STH Efficacy'!$AS:$AS,"&lt;2014",
'20102013 STH Efficacy'!$BP:$BP,""),
"")</f>
        <v/>
      </c>
      <c r="AY138" s="132">
        <f t="shared" si="23"/>
        <v>0.5017738095</v>
      </c>
      <c r="AZ138" s="131" t="str">
        <f>IFERROR(AVERAGEIFS(
'20102013 STH Efficacy'!$AX:$AX, 
'20102013 STH Efficacy'!$AL:$AL, $A138, 
'20102013 STH Efficacy'!$AM:$AM, "Albendazole &amp; Ivermectin",
'20102013 STH Efficacy'!$AS:$AS,"&lt;2014",
'20102013 STH Efficacy'!$BP:$BP,""),
"")</f>
        <v/>
      </c>
      <c r="BA138" s="303">
        <f t="shared" si="24"/>
        <v>0.597625</v>
      </c>
      <c r="BB138" s="134" t="str">
        <f>IFERROR(AVERAGEIFS(
'20102013 STH Efficacy'!$N:$N, 
'20102013 STH Efficacy'!$B:$B, $A138, 
'20102013 STH Efficacy'!$C:$C, "Albendazole",
'20102013 STH Efficacy'!$I:$I,"&lt;2014",
'20102013 STH Efficacy'!$AH:$AH,""),
"")</f>
        <v/>
      </c>
      <c r="BC138" s="135">
        <f t="shared" si="25"/>
        <v>0.7613712121</v>
      </c>
      <c r="BD138" s="134" t="str">
        <f>IFERROR(AVERAGEIFS(
'20102013 STH Efficacy'!$N:$N, 
'20102013 STH Efficacy'!$B:$B, $A138, 
'20102013 STH Efficacy'!$C:$C, "Mebendazole",
'20102013 STH Efficacy'!$I:$I,"&lt;2014",
'20102013 STH Efficacy'!$AH:$AH,""),
"")</f>
        <v/>
      </c>
      <c r="BE138" s="135">
        <f t="shared" si="26"/>
        <v>0.4362466667</v>
      </c>
      <c r="BF138" s="128" t="str">
        <f>IFERROR(AVERAGEIFS(
'20102013 STH Efficacy'!$CD:$CD, 
'20102013 STH Efficacy'!$BS:$BS, $A138, 
'20102013 STH Efficacy'!$BT:$BT, "Albendazole",
'20102013 STH Efficacy'!$BZ:$BZ,"&lt;2014",
'20102013 STH Efficacy'!$CU:$CU,""),
"")</f>
        <v/>
      </c>
      <c r="BG138" s="136">
        <f t="shared" si="27"/>
        <v>0.9216027778</v>
      </c>
      <c r="BH138" s="128" t="str">
        <f>IFERROR(AVERAGEIFS(
'20102013 STH Efficacy'!$CD:$CD, 
'20102013 STH Efficacy'!$BS:$BS, $A138, 
'20102013 STH Efficacy'!$BT:$BT, "Mebendazole",
'20102013 STH Efficacy'!$BZ:$BZ,"&lt;2014",
'20102013 STH Efficacy'!$CU:$CU,""),
"")</f>
        <v/>
      </c>
      <c r="BI138" s="136">
        <f t="shared" si="28"/>
        <v>0.9295857143</v>
      </c>
      <c r="BJ138" s="128" t="str">
        <f>IFERROR(AVERAGEIFS(
'20102013 STH Efficacy'!$CD:$CD, 
'20102013 STH Efficacy'!$BS:$BS, $A138, 
'20102013 STH Efficacy'!$BT:$BT, "Albendazole &amp; Ivermectin",
'20102013 STH Efficacy'!$BZ:$BZ,"&lt;2014",
'20102013 STH Efficacy'!$CU:$CU,""),
"")</f>
        <v/>
      </c>
      <c r="BK138" s="136">
        <f t="shared" si="29"/>
        <v>1</v>
      </c>
      <c r="BL138" s="300" t="str">
        <f>IFERROR(
  AVERAGEIFS(
    'NEW 20102013 Onchocerciasis Eff'!$AO:$AO,
    'NEW 20102013 Onchocerciasis Eff'!$C:$C,$A138,
    'NEW 20102013 Onchocerciasis Eff'!$D:$D,"Ivermectin",
    'NEW 20102013 Onchocerciasis Eff'!$AR:$AR,"&lt;2014",
    'NEW 20102013 Onchocerciasis Eff'!$BG:$BG,"")
,"")</f>
        <v/>
      </c>
      <c r="BM138" s="304">
        <f t="shared" si="30"/>
        <v>0.7808368939</v>
      </c>
      <c r="BN138" s="305">
        <v>0.0</v>
      </c>
      <c r="BO138" s="139">
        <v>0.0</v>
      </c>
      <c r="BP138" s="140">
        <v>0.0</v>
      </c>
      <c r="BQ138" s="141">
        <f t="shared" si="31"/>
        <v>0</v>
      </c>
      <c r="BR138" s="104" t="str">
        <f t="shared" si="32"/>
        <v>0000</v>
      </c>
      <c r="BS138" s="104" t="str">
        <f t="shared" si="33"/>
        <v>no action required</v>
      </c>
      <c r="BT138" s="142" t="str">
        <f t="shared" si="34"/>
        <v/>
      </c>
      <c r="BU138" s="104" t="str">
        <f t="shared" si="50"/>
        <v/>
      </c>
      <c r="BV138" s="104" t="str">
        <f t="shared" si="36"/>
        <v>none</v>
      </c>
      <c r="BW138" s="150" t="str">
        <f t="shared" si="37"/>
        <v/>
      </c>
      <c r="BX138" s="150" t="str">
        <f t="shared" si="38"/>
        <v/>
      </c>
      <c r="BY138" s="151" t="str">
        <f t="shared" si="39"/>
        <v/>
      </c>
      <c r="BZ138" s="152" t="str">
        <f t="shared" si="40"/>
        <v/>
      </c>
      <c r="CA138" s="152" t="str">
        <f t="shared" si="41"/>
        <v/>
      </c>
      <c r="CB138" s="152" t="str">
        <f t="shared" si="42"/>
        <v/>
      </c>
      <c r="CC138" s="153" t="str">
        <f t="shared" si="43"/>
        <v/>
      </c>
      <c r="CD138" s="153" t="str">
        <f t="shared" si="44"/>
        <v/>
      </c>
      <c r="CE138" s="154" t="str">
        <f t="shared" si="45"/>
        <v/>
      </c>
      <c r="CF138" s="154" t="str">
        <f t="shared" si="46"/>
        <v/>
      </c>
      <c r="CG138" s="154" t="str">
        <f t="shared" si="47"/>
        <v/>
      </c>
      <c r="CH138" s="308" t="str">
        <f t="shared" si="48"/>
        <v/>
      </c>
      <c r="CI138" s="299"/>
    </row>
    <row r="139">
      <c r="A139" s="155" t="s">
        <v>228</v>
      </c>
      <c r="B139" s="104" t="s">
        <v>94</v>
      </c>
      <c r="C139" s="105">
        <v>263000.0</v>
      </c>
      <c r="D139" s="293">
        <v>0.0</v>
      </c>
      <c r="E139" s="294">
        <v>0.0</v>
      </c>
      <c r="F139" s="163"/>
      <c r="G139" s="163"/>
      <c r="H139" s="108">
        <v>0.0</v>
      </c>
      <c r="I139" s="109">
        <v>0.0</v>
      </c>
      <c r="J139" s="109">
        <v>0.0</v>
      </c>
      <c r="K139" s="109">
        <v>0.0</v>
      </c>
      <c r="L139" s="113"/>
      <c r="M139" s="113"/>
      <c r="N139" s="111">
        <v>0.0</v>
      </c>
      <c r="O139" s="298">
        <v>0.0</v>
      </c>
      <c r="P139" s="160">
        <v>12378.0</v>
      </c>
      <c r="Q139" s="156"/>
      <c r="R139" s="121">
        <f t="shared" si="11"/>
        <v>0</v>
      </c>
      <c r="S139" s="116">
        <f t="shared" si="12"/>
        <v>0.403639098</v>
      </c>
      <c r="T139" s="130"/>
      <c r="U139" s="118">
        <f t="shared" si="13"/>
        <v>0.6259666667</v>
      </c>
      <c r="V139" s="148"/>
      <c r="W139" s="120">
        <f t="shared" si="14"/>
        <v>0.3807857143</v>
      </c>
      <c r="X139" s="148"/>
      <c r="Y139" s="120">
        <f t="shared" si="15"/>
        <v>0.3971375</v>
      </c>
      <c r="Z139" s="299"/>
      <c r="AA139" s="299"/>
      <c r="AB139" s="300" t="str">
        <f t="shared" si="16"/>
        <v/>
      </c>
      <c r="AC139" s="301">
        <f t="shared" si="17"/>
        <v>0.6295826791</v>
      </c>
      <c r="AD139" s="314">
        <v>0.0</v>
      </c>
      <c r="AE139" s="315">
        <v>0.0</v>
      </c>
      <c r="AF139" s="166">
        <v>0.0</v>
      </c>
      <c r="AG139" s="316">
        <v>0.0</v>
      </c>
      <c r="AH139" s="307">
        <v>0.0</v>
      </c>
      <c r="AI139" s="317">
        <v>0.0</v>
      </c>
      <c r="AJ139" s="318">
        <v>0.0</v>
      </c>
      <c r="AK139" s="319">
        <v>0.0</v>
      </c>
      <c r="AL139" s="319">
        <v>0.0</v>
      </c>
      <c r="AM139" s="320">
        <v>0.0</v>
      </c>
      <c r="AN139" s="149" t="str">
        <f>IFERROR(
  AVERAGEIFS(
    'New 20102013 LF Efficacy'!$J:$J,
    'New 20102013 LF Efficacy'!$D:$D, $A139,
    'New 20102013 LF Efficacy'!$F:$F,"DEC", 
    'New 20102013 LF Efficacy'!$W:$W,"&lt;2014",
    'New 20102013 LF Efficacy'!$AA:$AA,""),
  ""
)</f>
        <v/>
      </c>
      <c r="AO139" s="115">
        <f t="shared" si="18"/>
        <v>0.38</v>
      </c>
      <c r="AP139" s="121" t="str">
        <f>IFERROR(
AVERAGEIFS(
'New 20102013 LF Efficacy'!$J:$J,
'New 20102013 LF Efficacy'!$D:$D,$A139,
'New 20102013 LF Efficacy'!$F:$F,"Albendazole &amp; DEC",
'New 20102013 LF Efficacy'!$W:$W,"&lt;2014",
'New 20102013 LF Efficacy'!$AA:$AA,""),
"")
</f>
        <v/>
      </c>
      <c r="AQ139" s="115">
        <f t="shared" si="19"/>
        <v>0.657</v>
      </c>
      <c r="AR139" s="121" t="str">
        <f>IFERROR(
AVERAGEIFS(
'New 20102013 LF Efficacy'!$J:$J,
'New 20102013 LF Efficacy'!$D:$D,$A139,
'New 20102013 LF Efficacy'!$F:$F,"Albendazole &amp; Ivermectin", 
'New 20102013 LF Efficacy'!$W:$W,"&lt;2014",
'New 20102013 LF Efficacy'!$AA:$AA,""),"")</f>
        <v/>
      </c>
      <c r="AS139" s="115">
        <f t="shared" si="20"/>
        <v>0.37153125</v>
      </c>
      <c r="AT139" s="130" t="str">
        <f>IFERROR(AVERAGEIFS(
'20102013 Schist Efficacy'!$O:$O, 
'20102013 Schist Efficacy'!$C:$C,$A139, 
'20102013 Schist Efficacy'!$D:$D, "Praziquantel",
'20102013 Schist Efficacy'!$J:$J,"&lt;2014",
'20102013 Schist Efficacy'!$U:$U,""),
"")</f>
        <v/>
      </c>
      <c r="AU139" s="118">
        <f t="shared" si="21"/>
        <v>0.9475</v>
      </c>
      <c r="AV139" s="131" t="str">
        <f>IFERROR(AVERAGEIFS(
'20102013 STH Efficacy'!$AX:$AX, 
'20102013 STH Efficacy'!$AL:$AL, $A139, 
'20102013 STH Efficacy'!$AM:$AM, "Albendazole",
'20102013 STH Efficacy'!$AS:$AS,"&lt;2014",
'20102013 STH Efficacy'!$BP:$BP,""),
"")</f>
        <v/>
      </c>
      <c r="AW139" s="132">
        <f t="shared" si="22"/>
        <v>0.3571666667</v>
      </c>
      <c r="AX139" s="131" t="str">
        <f>IFERROR(AVERAGEIFS(
'20102013 STH Efficacy'!$AX:$AX, 
'20102013 STH Efficacy'!$AL:$AL, $A139, 
'20102013 STH Efficacy'!$AM:$AM, "Mebendazole",
'20102013 STH Efficacy'!$AS:$AS,"&lt;2014",
'20102013 STH Efficacy'!$BP:$BP,""),
"")</f>
        <v/>
      </c>
      <c r="AY139" s="132">
        <f t="shared" si="23"/>
        <v>0.4155</v>
      </c>
      <c r="AZ139" s="131" t="str">
        <f>IFERROR(AVERAGEIFS(
'20102013 STH Efficacy'!$AX:$AX, 
'20102013 STH Efficacy'!$AL:$AL, $A139, 
'20102013 STH Efficacy'!$AM:$AM, "Albendazole &amp; Ivermectin",
'20102013 STH Efficacy'!$AS:$AS,"&lt;2014",
'20102013 STH Efficacy'!$BP:$BP,""),
"")</f>
        <v/>
      </c>
      <c r="BA139" s="303">
        <f t="shared" si="24"/>
        <v>0.651</v>
      </c>
      <c r="BB139" s="134" t="str">
        <f>IFERROR(AVERAGEIFS(
'20102013 STH Efficacy'!$N:$N, 
'20102013 STH Efficacy'!$B:$B, $A139, 
'20102013 STH Efficacy'!$C:$C, "Albendazole",
'20102013 STH Efficacy'!$I:$I,"&lt;2014",
'20102013 STH Efficacy'!$AH:$AH,""),
"")</f>
        <v/>
      </c>
      <c r="BC139" s="135">
        <f t="shared" si="25"/>
        <v>0.5769166667</v>
      </c>
      <c r="BD139" s="134" t="str">
        <f>IFERROR(AVERAGEIFS(
'20102013 STH Efficacy'!$N:$N, 
'20102013 STH Efficacy'!$B:$B, $A139, 
'20102013 STH Efficacy'!$C:$C, "Mebendazole",
'20102013 STH Efficacy'!$I:$I,"&lt;2014",
'20102013 STH Efficacy'!$AH:$AH,""),
"")</f>
        <v/>
      </c>
      <c r="BE139" s="135">
        <f t="shared" si="26"/>
        <v>0.3145</v>
      </c>
      <c r="BF139" s="128" t="str">
        <f>IFERROR(AVERAGEIFS(
'20102013 STH Efficacy'!$CD:$CD, 
'20102013 STH Efficacy'!$BS:$BS, $A139, 
'20102013 STH Efficacy'!$BT:$BT, "Albendazole",
'20102013 STH Efficacy'!$BZ:$BZ,"&lt;2014",
'20102013 STH Efficacy'!$CU:$CU,""),
"")</f>
        <v/>
      </c>
      <c r="BG139" s="136">
        <f t="shared" si="27"/>
        <v>0.96925</v>
      </c>
      <c r="BH139" s="128" t="str">
        <f>IFERROR(AVERAGEIFS(
'20102013 STH Efficacy'!$CD:$CD, 
'20102013 STH Efficacy'!$BS:$BS, $A139, 
'20102013 STH Efficacy'!$BT:$BT, "Mebendazole",
'20102013 STH Efficacy'!$BZ:$BZ,"&lt;2014",
'20102013 STH Efficacy'!$CU:$CU,""),
"")</f>
        <v/>
      </c>
      <c r="BI139" s="136">
        <f t="shared" si="28"/>
        <v>0.9305</v>
      </c>
      <c r="BJ139" s="128" t="str">
        <f>IFERROR(AVERAGEIFS(
'20102013 STH Efficacy'!$CD:$CD, 
'20102013 STH Efficacy'!$BS:$BS, $A139, 
'20102013 STH Efficacy'!$BT:$BT, "Albendazole &amp; Ivermectin",
'20102013 STH Efficacy'!$BZ:$BZ,"&lt;2014",
'20102013 STH Efficacy'!$CU:$CU,""),
"")</f>
        <v/>
      </c>
      <c r="BK139" s="136">
        <f t="shared" si="29"/>
        <v>1</v>
      </c>
      <c r="BL139" s="300" t="str">
        <f>IFERROR(
  AVERAGEIFS(
    'NEW 20102013 Onchocerciasis Eff'!$AO:$AO,
    'NEW 20102013 Onchocerciasis Eff'!$C:$C,$A139,
    'NEW 20102013 Onchocerciasis Eff'!$D:$D,"Ivermectin",
    'NEW 20102013 Onchocerciasis Eff'!$AR:$AR,"&lt;2014",
    'NEW 20102013 Onchocerciasis Eff'!$BG:$BG,"")
,"")</f>
        <v/>
      </c>
      <c r="BM139" s="304">
        <f t="shared" si="30"/>
        <v>0.7808368939</v>
      </c>
      <c r="BN139" s="305">
        <v>1.0</v>
      </c>
      <c r="BO139" s="139">
        <v>0.0</v>
      </c>
      <c r="BP139" s="140">
        <v>0.0</v>
      </c>
      <c r="BQ139" s="141">
        <f t="shared" si="31"/>
        <v>0</v>
      </c>
      <c r="BR139" s="104" t="str">
        <f t="shared" si="32"/>
        <v>1000</v>
      </c>
      <c r="BS139" s="104" t="str">
        <f t="shared" si="33"/>
        <v>MDA1/2</v>
      </c>
      <c r="BT139" s="142" t="str">
        <f t="shared" si="34"/>
        <v>DEC+ALB</v>
      </c>
      <c r="BU139" s="104" t="str">
        <f t="shared" si="50"/>
        <v/>
      </c>
      <c r="BV139" s="104" t="str">
        <f t="shared" si="36"/>
        <v>lf only</v>
      </c>
      <c r="BW139" s="312">
        <f t="shared" si="37"/>
        <v>0</v>
      </c>
      <c r="BX139" s="150" t="str">
        <f t="shared" si="38"/>
        <v/>
      </c>
      <c r="BY139" s="151" t="str">
        <f t="shared" si="39"/>
        <v/>
      </c>
      <c r="BZ139" s="152" t="str">
        <f t="shared" si="40"/>
        <v/>
      </c>
      <c r="CA139" s="152" t="str">
        <f t="shared" si="41"/>
        <v/>
      </c>
      <c r="CB139" s="152" t="str">
        <f t="shared" si="42"/>
        <v/>
      </c>
      <c r="CC139" s="153" t="str">
        <f t="shared" si="43"/>
        <v/>
      </c>
      <c r="CD139" s="153" t="str">
        <f t="shared" si="44"/>
        <v/>
      </c>
      <c r="CE139" s="154" t="str">
        <f t="shared" si="45"/>
        <v/>
      </c>
      <c r="CF139" s="154" t="str">
        <f t="shared" si="46"/>
        <v/>
      </c>
      <c r="CG139" s="154" t="str">
        <f t="shared" si="47"/>
        <v/>
      </c>
      <c r="CH139" s="308" t="str">
        <f t="shared" si="48"/>
        <v/>
      </c>
      <c r="CI139" s="299"/>
    </row>
    <row r="140">
      <c r="A140" s="103" t="s">
        <v>229</v>
      </c>
      <c r="B140" s="104" t="s">
        <v>94</v>
      </c>
      <c r="C140" s="105">
        <v>4442100.0</v>
      </c>
      <c r="D140" s="293">
        <v>0.0</v>
      </c>
      <c r="E140" s="294">
        <v>0.0</v>
      </c>
      <c r="F140" s="307">
        <v>0.0</v>
      </c>
      <c r="G140" s="307">
        <v>0.0</v>
      </c>
      <c r="H140" s="108">
        <v>0.0</v>
      </c>
      <c r="I140" s="109">
        <v>0.0</v>
      </c>
      <c r="J140" s="109">
        <v>0.0</v>
      </c>
      <c r="K140" s="109">
        <v>0.0</v>
      </c>
      <c r="L140" s="112">
        <v>0.0</v>
      </c>
      <c r="M140" s="112">
        <v>0.0</v>
      </c>
      <c r="N140" s="111">
        <v>0.0</v>
      </c>
      <c r="O140" s="298">
        <v>0.0</v>
      </c>
      <c r="P140" s="114"/>
      <c r="Q140" s="114"/>
      <c r="R140" s="121" t="str">
        <f t="shared" si="11"/>
        <v/>
      </c>
      <c r="S140" s="116">
        <f t="shared" si="12"/>
        <v>0.403639098</v>
      </c>
      <c r="T140" s="130"/>
      <c r="U140" s="118">
        <f t="shared" si="13"/>
        <v>0.6259666667</v>
      </c>
      <c r="V140" s="148"/>
      <c r="W140" s="120">
        <f t="shared" si="14"/>
        <v>0.3807857143</v>
      </c>
      <c r="X140" s="148"/>
      <c r="Y140" s="120">
        <f t="shared" si="15"/>
        <v>0.3971375</v>
      </c>
      <c r="Z140" s="299"/>
      <c r="AA140" s="299"/>
      <c r="AB140" s="300" t="str">
        <f t="shared" si="16"/>
        <v/>
      </c>
      <c r="AC140" s="301">
        <f t="shared" si="17"/>
        <v>0.6295826791</v>
      </c>
      <c r="AD140" s="122">
        <v>0.0</v>
      </c>
      <c r="AE140" s="123">
        <v>0.0</v>
      </c>
      <c r="AF140" s="123">
        <v>0.0</v>
      </c>
      <c r="AG140" s="316">
        <v>0.0</v>
      </c>
      <c r="AH140" s="124">
        <v>0.0</v>
      </c>
      <c r="AI140" s="317">
        <v>0.0</v>
      </c>
      <c r="AJ140" s="125">
        <v>0.0</v>
      </c>
      <c r="AK140" s="319">
        <v>0.0</v>
      </c>
      <c r="AL140" s="319">
        <v>0.0</v>
      </c>
      <c r="AM140" s="302">
        <v>0.0</v>
      </c>
      <c r="AN140" s="149" t="str">
        <f>IFERROR(
  AVERAGEIFS(
    'New 20102013 LF Efficacy'!$J:$J,
    'New 20102013 LF Efficacy'!$D:$D, $A140,
    'New 20102013 LF Efficacy'!$F:$F,"DEC", 
    'New 20102013 LF Efficacy'!$W:$W,"&lt;2014",
    'New 20102013 LF Efficacy'!$AA:$AA,""),
  ""
)</f>
        <v/>
      </c>
      <c r="AO140" s="115">
        <f t="shared" si="18"/>
        <v>0.38</v>
      </c>
      <c r="AP140" s="121" t="str">
        <f>IFERROR(
AVERAGEIFS(
'New 20102013 LF Efficacy'!$J:$J,
'New 20102013 LF Efficacy'!$D:$D,$A140,
'New 20102013 LF Efficacy'!$F:$F,"Albendazole &amp; DEC",
'New 20102013 LF Efficacy'!$W:$W,"&lt;2014",
'New 20102013 LF Efficacy'!$AA:$AA,""),
"")
</f>
        <v/>
      </c>
      <c r="AQ140" s="115">
        <f t="shared" si="19"/>
        <v>0.657</v>
      </c>
      <c r="AR140" s="121" t="str">
        <f>IFERROR(
AVERAGEIFS(
'New 20102013 LF Efficacy'!$J:$J,
'New 20102013 LF Efficacy'!$D:$D,$A140,
'New 20102013 LF Efficacy'!$F:$F,"Albendazole &amp; Ivermectin", 
'New 20102013 LF Efficacy'!$W:$W,"&lt;2014",
'New 20102013 LF Efficacy'!$AA:$AA,""),"")</f>
        <v/>
      </c>
      <c r="AS140" s="115">
        <f t="shared" si="20"/>
        <v>0.37153125</v>
      </c>
      <c r="AT140" s="130" t="str">
        <f>IFERROR(AVERAGEIFS(
'20102013 Schist Efficacy'!$O:$O, 
'20102013 Schist Efficacy'!$C:$C,$A140, 
'20102013 Schist Efficacy'!$D:$D, "Praziquantel",
'20102013 Schist Efficacy'!$J:$J,"&lt;2014",
'20102013 Schist Efficacy'!$U:$U,""),
"")</f>
        <v/>
      </c>
      <c r="AU140" s="118">
        <f t="shared" si="21"/>
        <v>0.9475</v>
      </c>
      <c r="AV140" s="131" t="str">
        <f>IFERROR(AVERAGEIFS(
'20102013 STH Efficacy'!$AX:$AX, 
'20102013 STH Efficacy'!$AL:$AL, $A140, 
'20102013 STH Efficacy'!$AM:$AM, "Albendazole",
'20102013 STH Efficacy'!$AS:$AS,"&lt;2014",
'20102013 STH Efficacy'!$BP:$BP,""),
"")</f>
        <v/>
      </c>
      <c r="AW140" s="132">
        <f t="shared" si="22"/>
        <v>0.3571666667</v>
      </c>
      <c r="AX140" s="131" t="str">
        <f>IFERROR(AVERAGEIFS(
'20102013 STH Efficacy'!$AX:$AX, 
'20102013 STH Efficacy'!$AL:$AL, $A140, 
'20102013 STH Efficacy'!$AM:$AM, "Mebendazole",
'20102013 STH Efficacy'!$AS:$AS,"&lt;2014",
'20102013 STH Efficacy'!$BP:$BP,""),
"")</f>
        <v/>
      </c>
      <c r="AY140" s="132">
        <f t="shared" si="23"/>
        <v>0.4155</v>
      </c>
      <c r="AZ140" s="131" t="str">
        <f>IFERROR(AVERAGEIFS(
'20102013 STH Efficacy'!$AX:$AX, 
'20102013 STH Efficacy'!$AL:$AL, $A140, 
'20102013 STH Efficacy'!$AM:$AM, "Albendazole &amp; Ivermectin",
'20102013 STH Efficacy'!$AS:$AS,"&lt;2014",
'20102013 STH Efficacy'!$BP:$BP,""),
"")</f>
        <v/>
      </c>
      <c r="BA140" s="303">
        <f t="shared" si="24"/>
        <v>0.651</v>
      </c>
      <c r="BB140" s="134" t="str">
        <f>IFERROR(AVERAGEIFS(
'20102013 STH Efficacy'!$N:$N, 
'20102013 STH Efficacy'!$B:$B, $A140, 
'20102013 STH Efficacy'!$C:$C, "Albendazole",
'20102013 STH Efficacy'!$I:$I,"&lt;2014",
'20102013 STH Efficacy'!$AH:$AH,""),
"")</f>
        <v/>
      </c>
      <c r="BC140" s="135">
        <f t="shared" si="25"/>
        <v>0.5769166667</v>
      </c>
      <c r="BD140" s="134" t="str">
        <f>IFERROR(AVERAGEIFS(
'20102013 STH Efficacy'!$N:$N, 
'20102013 STH Efficacy'!$B:$B, $A140, 
'20102013 STH Efficacy'!$C:$C, "Mebendazole",
'20102013 STH Efficacy'!$I:$I,"&lt;2014",
'20102013 STH Efficacy'!$AH:$AH,""),
"")</f>
        <v/>
      </c>
      <c r="BE140" s="135">
        <f t="shared" si="26"/>
        <v>0.3145</v>
      </c>
      <c r="BF140" s="128" t="str">
        <f>IFERROR(AVERAGEIFS(
'20102013 STH Efficacy'!$CD:$CD, 
'20102013 STH Efficacy'!$BS:$BS, $A140, 
'20102013 STH Efficacy'!$BT:$BT, "Albendazole",
'20102013 STH Efficacy'!$BZ:$BZ,"&lt;2014",
'20102013 STH Efficacy'!$CU:$CU,""),
"")</f>
        <v/>
      </c>
      <c r="BG140" s="136">
        <f t="shared" si="27"/>
        <v>0.96925</v>
      </c>
      <c r="BH140" s="128" t="str">
        <f>IFERROR(AVERAGEIFS(
'20102013 STH Efficacy'!$CD:$CD, 
'20102013 STH Efficacy'!$BS:$BS, $A140, 
'20102013 STH Efficacy'!$BT:$BT, "Mebendazole",
'20102013 STH Efficacy'!$BZ:$BZ,"&lt;2014",
'20102013 STH Efficacy'!$CU:$CU,""),
"")</f>
        <v/>
      </c>
      <c r="BI140" s="136">
        <f t="shared" si="28"/>
        <v>0.9305</v>
      </c>
      <c r="BJ140" s="128" t="str">
        <f>IFERROR(AVERAGEIFS(
'20102013 STH Efficacy'!$CD:$CD, 
'20102013 STH Efficacy'!$BS:$BS, $A140, 
'20102013 STH Efficacy'!$BT:$BT, "Albendazole &amp; Ivermectin",
'20102013 STH Efficacy'!$BZ:$BZ,"&lt;2014",
'20102013 STH Efficacy'!$CU:$CU,""),
"")</f>
        <v/>
      </c>
      <c r="BK140" s="136">
        <f t="shared" si="29"/>
        <v>1</v>
      </c>
      <c r="BL140" s="300" t="str">
        <f>IFERROR(
  AVERAGEIFS(
    'NEW 20102013 Onchocerciasis Eff'!$AO:$AO,
    'NEW 20102013 Onchocerciasis Eff'!$C:$C,$A140,
    'NEW 20102013 Onchocerciasis Eff'!$D:$D,"Ivermectin",
    'NEW 20102013 Onchocerciasis Eff'!$AR:$AR,"&lt;2014",
    'NEW 20102013 Onchocerciasis Eff'!$BG:$BG,"")
,"")</f>
        <v/>
      </c>
      <c r="BM140" s="304">
        <f t="shared" si="30"/>
        <v>0.7808368939</v>
      </c>
      <c r="BN140" s="305">
        <v>0.0</v>
      </c>
      <c r="BO140" s="139">
        <v>0.0</v>
      </c>
      <c r="BP140" s="140">
        <v>0.0</v>
      </c>
      <c r="BQ140" s="141">
        <f t="shared" si="31"/>
        <v>0</v>
      </c>
      <c r="BR140" s="104" t="str">
        <f t="shared" si="32"/>
        <v>0000</v>
      </c>
      <c r="BS140" s="104" t="str">
        <f t="shared" si="33"/>
        <v>no action required</v>
      </c>
      <c r="BT140" s="142" t="str">
        <f t="shared" si="34"/>
        <v/>
      </c>
      <c r="BU140" s="104" t="str">
        <f t="shared" si="50"/>
        <v/>
      </c>
      <c r="BV140" s="104" t="str">
        <f t="shared" si="36"/>
        <v>none</v>
      </c>
      <c r="BW140" s="150" t="str">
        <f t="shared" si="37"/>
        <v/>
      </c>
      <c r="BX140" s="150" t="str">
        <f t="shared" si="38"/>
        <v/>
      </c>
      <c r="BY140" s="151" t="str">
        <f t="shared" si="39"/>
        <v/>
      </c>
      <c r="BZ140" s="152" t="str">
        <f t="shared" si="40"/>
        <v/>
      </c>
      <c r="CA140" s="152" t="str">
        <f t="shared" si="41"/>
        <v/>
      </c>
      <c r="CB140" s="152" t="str">
        <f t="shared" si="42"/>
        <v/>
      </c>
      <c r="CC140" s="153" t="str">
        <f t="shared" si="43"/>
        <v/>
      </c>
      <c r="CD140" s="153" t="str">
        <f t="shared" si="44"/>
        <v/>
      </c>
      <c r="CE140" s="154" t="str">
        <f t="shared" si="45"/>
        <v/>
      </c>
      <c r="CF140" s="154" t="str">
        <f t="shared" si="46"/>
        <v/>
      </c>
      <c r="CG140" s="154" t="str">
        <f t="shared" si="47"/>
        <v/>
      </c>
      <c r="CH140" s="308" t="str">
        <f t="shared" si="48"/>
        <v/>
      </c>
      <c r="CI140" s="299"/>
    </row>
    <row r="141">
      <c r="A141" s="103" t="s">
        <v>230</v>
      </c>
      <c r="B141" s="104" t="s">
        <v>98</v>
      </c>
      <c r="C141" s="105">
        <v>5945747.0</v>
      </c>
      <c r="D141" s="293">
        <v>0.0</v>
      </c>
      <c r="E141" s="294">
        <v>0.0</v>
      </c>
      <c r="F141" s="307">
        <v>26.77112955</v>
      </c>
      <c r="G141" s="307">
        <v>0.53695556</v>
      </c>
      <c r="H141" s="108">
        <v>27.30808511</v>
      </c>
      <c r="I141" s="109">
        <v>3.87242388</v>
      </c>
      <c r="J141" s="109">
        <v>2.28988677</v>
      </c>
      <c r="K141" s="109">
        <v>6.162310653</v>
      </c>
      <c r="L141" s="112">
        <v>121.3684863</v>
      </c>
      <c r="M141" s="112">
        <v>25.78254564</v>
      </c>
      <c r="N141" s="111">
        <v>147.151032</v>
      </c>
      <c r="O141" s="298">
        <v>0.0</v>
      </c>
      <c r="P141" s="114"/>
      <c r="Q141" s="114"/>
      <c r="R141" s="121" t="str">
        <f t="shared" si="11"/>
        <v/>
      </c>
      <c r="S141" s="116">
        <f t="shared" si="12"/>
        <v>0.2288425133</v>
      </c>
      <c r="T141" s="118">
        <v>0.4238</v>
      </c>
      <c r="U141" s="118">
        <f t="shared" si="13"/>
        <v>0.4238</v>
      </c>
      <c r="V141" s="119">
        <v>1.0</v>
      </c>
      <c r="W141" s="120">
        <f t="shared" si="14"/>
        <v>1</v>
      </c>
      <c r="X141" s="119">
        <v>1.0</v>
      </c>
      <c r="Y141" s="120">
        <f t="shared" si="15"/>
        <v>1</v>
      </c>
      <c r="Z141" s="299"/>
      <c r="AA141" s="299"/>
      <c r="AB141" s="300" t="str">
        <f t="shared" si="16"/>
        <v/>
      </c>
      <c r="AC141" s="301">
        <f t="shared" si="17"/>
        <v>0.3490201688</v>
      </c>
      <c r="AD141" s="122">
        <v>0.0</v>
      </c>
      <c r="AE141" s="123">
        <v>0.0</v>
      </c>
      <c r="AF141" s="123">
        <v>0.0</v>
      </c>
      <c r="AG141" s="316">
        <v>0.0</v>
      </c>
      <c r="AH141" s="124">
        <v>0.027107711</v>
      </c>
      <c r="AI141" s="317">
        <v>0.0</v>
      </c>
      <c r="AJ141" s="125">
        <v>5.33252E-4</v>
      </c>
      <c r="AK141" s="319">
        <v>0.0</v>
      </c>
      <c r="AL141" s="319">
        <v>0.0</v>
      </c>
      <c r="AM141" s="302">
        <v>0.0</v>
      </c>
      <c r="AN141" s="149" t="str">
        <f>IFERROR(
  AVERAGEIFS(
    'New 20102013 LF Efficacy'!$J:$J,
    'New 20102013 LF Efficacy'!$D:$D, $A141,
    'New 20102013 LF Efficacy'!$F:$F,"DEC", 
    'New 20102013 LF Efficacy'!$W:$W,"&lt;2014",
    'New 20102013 LF Efficacy'!$AA:$AA,""),
  ""
)</f>
        <v/>
      </c>
      <c r="AO141" s="115">
        <f t="shared" si="18"/>
        <v>0.2589833333</v>
      </c>
      <c r="AP141" s="121" t="str">
        <f>IFERROR(
AVERAGEIFS(
'New 20102013 LF Efficacy'!$J:$J,
'New 20102013 LF Efficacy'!$D:$D,$A141,
'New 20102013 LF Efficacy'!$F:$F,"Albendazole &amp; DEC",
'New 20102013 LF Efficacy'!$W:$W,"&lt;2014",
'New 20102013 LF Efficacy'!$AA:$AA,""),
"")
</f>
        <v/>
      </c>
      <c r="AQ141" s="115">
        <f t="shared" si="19"/>
        <v>0.3465</v>
      </c>
      <c r="AR141" s="121" t="str">
        <f>IFERROR(
AVERAGEIFS(
'New 20102013 LF Efficacy'!$J:$J,
'New 20102013 LF Efficacy'!$D:$D,$A141,
'New 20102013 LF Efficacy'!$F:$F,"Albendazole &amp; Ivermectin", 
'New 20102013 LF Efficacy'!$W:$W,"&lt;2014",
'New 20102013 LF Efficacy'!$AA:$AA,""),"")</f>
        <v/>
      </c>
      <c r="AS141" s="115">
        <f t="shared" si="20"/>
        <v>0.7575</v>
      </c>
      <c r="AT141" s="130" t="str">
        <f>IFERROR(AVERAGEIFS(
'20102013 Schist Efficacy'!$O:$O, 
'20102013 Schist Efficacy'!$C:$C,$A141, 
'20102013 Schist Efficacy'!$D:$D, "Praziquantel",
'20102013 Schist Efficacy'!$J:$J,"&lt;2014",
'20102013 Schist Efficacy'!$U:$U,""),
"")</f>
        <v/>
      </c>
      <c r="AU141" s="118">
        <f t="shared" si="21"/>
        <v>0.7914761905</v>
      </c>
      <c r="AV141" s="131" t="str">
        <f>IFERROR(AVERAGEIFS(
'20102013 STH Efficacy'!$AX:$AX, 
'20102013 STH Efficacy'!$AL:$AL, $A141, 
'20102013 STH Efficacy'!$AM:$AM, "Albendazole",
'20102013 STH Efficacy'!$AS:$AS,"&lt;2014",
'20102013 STH Efficacy'!$BP:$BP,""),
"")</f>
        <v/>
      </c>
      <c r="AW141" s="132">
        <f t="shared" si="22"/>
        <v>0.3945</v>
      </c>
      <c r="AX141" s="131" t="str">
        <f>IFERROR(AVERAGEIFS(
'20102013 STH Efficacy'!$AX:$AX, 
'20102013 STH Efficacy'!$AL:$AL, $A141, 
'20102013 STH Efficacy'!$AM:$AM, "Mebendazole",
'20102013 STH Efficacy'!$AS:$AS,"&lt;2014",
'20102013 STH Efficacy'!$BP:$BP,""),
"")</f>
        <v/>
      </c>
      <c r="AY141" s="132">
        <f t="shared" si="23"/>
        <v>0.6</v>
      </c>
      <c r="AZ141" s="131" t="str">
        <f>IFERROR(AVERAGEIFS(
'20102013 STH Efficacy'!$AX:$AX, 
'20102013 STH Efficacy'!$AL:$AL, $A141, 
'20102013 STH Efficacy'!$AM:$AM, "Albendazole &amp; Ivermectin",
'20102013 STH Efficacy'!$AS:$AS,"&lt;2014",
'20102013 STH Efficacy'!$BP:$BP,""),
"")</f>
        <v/>
      </c>
      <c r="BA141" s="303">
        <f t="shared" si="24"/>
        <v>0.796</v>
      </c>
      <c r="BB141" s="134" t="str">
        <f>IFERROR(AVERAGEIFS(
'20102013 STH Efficacy'!$N:$N, 
'20102013 STH Efficacy'!$B:$B, $A141, 
'20102013 STH Efficacy'!$C:$C, "Albendazole",
'20102013 STH Efficacy'!$I:$I,"&lt;2014",
'20102013 STH Efficacy'!$AH:$AH,""),
"")</f>
        <v/>
      </c>
      <c r="BC141" s="135">
        <f t="shared" si="25"/>
        <v>0.869</v>
      </c>
      <c r="BD141" s="134" t="str">
        <f>IFERROR(AVERAGEIFS(
'20102013 STH Efficacy'!$N:$N, 
'20102013 STH Efficacy'!$B:$B, $A141, 
'20102013 STH Efficacy'!$C:$C, "Mebendazole",
'20102013 STH Efficacy'!$I:$I,"&lt;2014",
'20102013 STH Efficacy'!$AH:$AH,""),
"")</f>
        <v/>
      </c>
      <c r="BE141" s="135">
        <f t="shared" si="26"/>
        <v>0.172</v>
      </c>
      <c r="BF141" s="128" t="str">
        <f>IFERROR(AVERAGEIFS(
'20102013 STH Efficacy'!$CD:$CD, 
'20102013 STH Efficacy'!$BS:$BS, $A141, 
'20102013 STH Efficacy'!$BT:$BT, "Albendazole",
'20102013 STH Efficacy'!$BZ:$BZ,"&lt;2014",
'20102013 STH Efficacy'!$CU:$CU,""),
"")</f>
        <v/>
      </c>
      <c r="BG141" s="136">
        <f t="shared" si="27"/>
        <v>0.9862</v>
      </c>
      <c r="BH141" s="128" t="str">
        <f>IFERROR(AVERAGEIFS(
'20102013 STH Efficacy'!$CD:$CD, 
'20102013 STH Efficacy'!$BS:$BS, $A141, 
'20102013 STH Efficacy'!$BT:$BT, "Mebendazole",
'20102013 STH Efficacy'!$BZ:$BZ,"&lt;2014",
'20102013 STH Efficacy'!$CU:$CU,""),
"")</f>
        <v/>
      </c>
      <c r="BI141" s="136">
        <f t="shared" si="28"/>
        <v>0.769</v>
      </c>
      <c r="BJ141" s="128" t="str">
        <f>IFERROR(AVERAGEIFS(
'20102013 STH Efficacy'!$CD:$CD, 
'20102013 STH Efficacy'!$BS:$BS, $A141, 
'20102013 STH Efficacy'!$BT:$BT, "Albendazole &amp; Ivermectin",
'20102013 STH Efficacy'!$BZ:$BZ,"&lt;2014",
'20102013 STH Efficacy'!$CU:$CU,""),
"")</f>
        <v/>
      </c>
      <c r="BK141" s="136">
        <f t="shared" si="29"/>
        <v>1</v>
      </c>
      <c r="BL141" s="300" t="str">
        <f>IFERROR(
  AVERAGEIFS(
    'NEW 20102013 Onchocerciasis Eff'!$AO:$AO,
    'NEW 20102013 Onchocerciasis Eff'!$C:$C,$A141,
    'NEW 20102013 Onchocerciasis Eff'!$D:$D,"Ivermectin",
    'NEW 20102013 Onchocerciasis Eff'!$AR:$AR,"&lt;2014",
    'NEW 20102013 Onchocerciasis Eff'!$BG:$BG,"")
,"")</f>
        <v/>
      </c>
      <c r="BM141" s="304">
        <f t="shared" si="30"/>
        <v>0.3734</v>
      </c>
      <c r="BN141" s="305">
        <v>0.0</v>
      </c>
      <c r="BO141" s="139">
        <v>1.0</v>
      </c>
      <c r="BP141" s="140">
        <v>0.0</v>
      </c>
      <c r="BQ141" s="141">
        <f t="shared" si="31"/>
        <v>0</v>
      </c>
      <c r="BR141" s="104" t="str">
        <f t="shared" si="32"/>
        <v>0100</v>
      </c>
      <c r="BS141" s="104" t="str">
        <f t="shared" si="33"/>
        <v>MDA3</v>
      </c>
      <c r="BT141" s="142" t="str">
        <f t="shared" si="34"/>
        <v>IVM</v>
      </c>
      <c r="BU141" s="104" t="str">
        <f t="shared" si="50"/>
        <v/>
      </c>
      <c r="BV141" s="104" t="str">
        <f t="shared" si="36"/>
        <v>onch only</v>
      </c>
      <c r="BW141" s="150" t="str">
        <f t="shared" si="37"/>
        <v/>
      </c>
      <c r="BX141" s="150" t="str">
        <f t="shared" si="38"/>
        <v/>
      </c>
      <c r="BY141" s="151" t="str">
        <f t="shared" si="39"/>
        <v/>
      </c>
      <c r="BZ141" s="152" t="str">
        <f t="shared" si="40"/>
        <v/>
      </c>
      <c r="CA141" s="152" t="str">
        <f t="shared" si="41"/>
        <v/>
      </c>
      <c r="CB141" s="152" t="str">
        <f t="shared" si="42"/>
        <v/>
      </c>
      <c r="CC141" s="153" t="str">
        <f t="shared" si="43"/>
        <v/>
      </c>
      <c r="CD141" s="153" t="str">
        <f t="shared" si="44"/>
        <v/>
      </c>
      <c r="CE141" s="154" t="str">
        <f t="shared" si="45"/>
        <v/>
      </c>
      <c r="CF141" s="154" t="str">
        <f t="shared" si="46"/>
        <v/>
      </c>
      <c r="CG141" s="154" t="str">
        <f t="shared" si="47"/>
        <v/>
      </c>
      <c r="CH141" s="313">
        <f t="shared" si="48"/>
        <v>0</v>
      </c>
      <c r="CI141" s="299"/>
    </row>
    <row r="142">
      <c r="A142" s="103" t="s">
        <v>231</v>
      </c>
      <c r="B142" s="104" t="s">
        <v>92</v>
      </c>
      <c r="C142" s="105">
        <v>1.8426372E7</v>
      </c>
      <c r="D142" s="293">
        <v>9881.31</v>
      </c>
      <c r="E142" s="294">
        <v>14345.74757</v>
      </c>
      <c r="F142" s="309">
        <v>5.20363E-4</v>
      </c>
      <c r="G142" s="309">
        <v>0.003044426</v>
      </c>
      <c r="H142" s="108">
        <v>0.003564789</v>
      </c>
      <c r="I142" s="109">
        <v>139.455022</v>
      </c>
      <c r="J142" s="110">
        <v>338.916934</v>
      </c>
      <c r="K142" s="110">
        <v>478.3719558</v>
      </c>
      <c r="L142" s="111">
        <v>3346.909269</v>
      </c>
      <c r="M142" s="111">
        <v>363.5838139</v>
      </c>
      <c r="N142" s="111">
        <v>3710.493083</v>
      </c>
      <c r="O142" s="298">
        <v>0.0</v>
      </c>
      <c r="P142" s="160">
        <v>1.260489E7</v>
      </c>
      <c r="Q142" s="160">
        <v>8189778.0</v>
      </c>
      <c r="R142" s="121">
        <f t="shared" si="11"/>
        <v>0.6497302237</v>
      </c>
      <c r="S142" s="116">
        <f t="shared" si="12"/>
        <v>0.6497302237</v>
      </c>
      <c r="T142" s="118">
        <v>0.0591</v>
      </c>
      <c r="U142" s="118">
        <f t="shared" si="13"/>
        <v>0.0591</v>
      </c>
      <c r="V142" s="148"/>
      <c r="W142" s="120">
        <f t="shared" si="14"/>
        <v>0.8114541667</v>
      </c>
      <c r="X142" s="119">
        <v>0.5869</v>
      </c>
      <c r="Y142" s="120">
        <f t="shared" si="15"/>
        <v>0.5869</v>
      </c>
      <c r="Z142" s="311" t="s">
        <v>373</v>
      </c>
      <c r="AA142" s="311" t="s">
        <v>373</v>
      </c>
      <c r="AB142" s="300" t="str">
        <f t="shared" si="16"/>
        <v/>
      </c>
      <c r="AC142" s="301">
        <f t="shared" si="17"/>
        <v>0.655321236</v>
      </c>
      <c r="AD142" s="122">
        <v>0.0102</v>
      </c>
      <c r="AE142" s="123">
        <v>0.06</v>
      </c>
      <c r="AF142" s="123">
        <v>0.0231</v>
      </c>
      <c r="AG142" s="316">
        <v>0.0</v>
      </c>
      <c r="AH142" s="124">
        <v>0.004323842</v>
      </c>
      <c r="AI142" s="317">
        <v>0.0</v>
      </c>
      <c r="AJ142" s="125">
        <v>0.022349847</v>
      </c>
      <c r="AK142" s="319">
        <v>0.0</v>
      </c>
      <c r="AL142" s="319">
        <v>0.0</v>
      </c>
      <c r="AM142" s="302">
        <v>0.0</v>
      </c>
      <c r="AN142" s="149" t="str">
        <f>IFERROR(
  AVERAGEIFS(
    'New 20102013 LF Efficacy'!$J:$J,
    'New 20102013 LF Efficacy'!$D:$D, $A142,
    'New 20102013 LF Efficacy'!$F:$F,"DEC", 
    'New 20102013 LF Efficacy'!$W:$W,"&lt;2014",
    'New 20102013 LF Efficacy'!$AA:$AA,""),
  ""
)</f>
        <v/>
      </c>
      <c r="AO142" s="115">
        <f t="shared" si="18"/>
        <v>0.31225</v>
      </c>
      <c r="AP142" s="121" t="str">
        <f>IFERROR(
AVERAGEIFS(
'New 20102013 LF Efficacy'!$J:$J,
'New 20102013 LF Efficacy'!$D:$D,$A142,
'New 20102013 LF Efficacy'!$F:$F,"Albendazole &amp; DEC",
'New 20102013 LF Efficacy'!$W:$W,"&lt;2014",
'New 20102013 LF Efficacy'!$AA:$AA,""),
"")
</f>
        <v/>
      </c>
      <c r="AQ142" s="115">
        <f t="shared" si="19"/>
        <v>0.4</v>
      </c>
      <c r="AR142" s="121" t="str">
        <f>IFERROR(
AVERAGEIFS(
'New 20102013 LF Efficacy'!$J:$J,
'New 20102013 LF Efficacy'!$D:$D,$A142,
'New 20102013 LF Efficacy'!$F:$F,"Albendazole &amp; Ivermectin", 
'New 20102013 LF Efficacy'!$W:$W,"&lt;2014",
'New 20102013 LF Efficacy'!$AA:$AA,""),"")</f>
        <v/>
      </c>
      <c r="AS142" s="115">
        <f t="shared" si="20"/>
        <v>0.2943125</v>
      </c>
      <c r="AT142" s="130">
        <f>IFERROR(AVERAGEIFS(
'20102013 Schist Efficacy'!$O:$O, 
'20102013 Schist Efficacy'!$C:$C,$A142, 
'20102013 Schist Efficacy'!$D:$D, "Praziquantel",
'20102013 Schist Efficacy'!$J:$J,"&lt;2014",
'20102013 Schist Efficacy'!$U:$U,""),
"")</f>
        <v>0.949</v>
      </c>
      <c r="AU142" s="118">
        <f t="shared" si="21"/>
        <v>0.949</v>
      </c>
      <c r="AV142" s="131" t="str">
        <f>IFERROR(AVERAGEIFS(
'20102013 STH Efficacy'!$AX:$AX, 
'20102013 STH Efficacy'!$AL:$AL, $A142, 
'20102013 STH Efficacy'!$AM:$AM, "Albendazole",
'20102013 STH Efficacy'!$AS:$AS,"&lt;2014",
'20102013 STH Efficacy'!$BP:$BP,""),
"")</f>
        <v/>
      </c>
      <c r="AW142" s="132">
        <f t="shared" si="22"/>
        <v>0.3816333333</v>
      </c>
      <c r="AX142" s="131" t="str">
        <f>IFERROR(AVERAGEIFS(
'20102013 STH Efficacy'!$AX:$AX, 
'20102013 STH Efficacy'!$AL:$AL, $A142, 
'20102013 STH Efficacy'!$AM:$AM, "Mebendazole",
'20102013 STH Efficacy'!$AS:$AS,"&lt;2014",
'20102013 STH Efficacy'!$BP:$BP,""),
"")</f>
        <v/>
      </c>
      <c r="AY142" s="132">
        <f t="shared" si="23"/>
        <v>0.5675833333</v>
      </c>
      <c r="AZ142" s="131" t="str">
        <f>IFERROR(AVERAGEIFS(
'20102013 STH Efficacy'!$AX:$AX, 
'20102013 STH Efficacy'!$AL:$AL, $A142, 
'20102013 STH Efficacy'!$AM:$AM, "Albendazole &amp; Ivermectin",
'20102013 STH Efficacy'!$AS:$AS,"&lt;2014",
'20102013 STH Efficacy'!$BP:$BP,""),
"")</f>
        <v/>
      </c>
      <c r="BA142" s="303">
        <f t="shared" si="24"/>
        <v>0.47175</v>
      </c>
      <c r="BB142" s="134" t="str">
        <f>IFERROR(AVERAGEIFS(
'20102013 STH Efficacy'!$N:$N, 
'20102013 STH Efficacy'!$B:$B, $A142, 
'20102013 STH Efficacy'!$C:$C, "Albendazole",
'20102013 STH Efficacy'!$I:$I,"&lt;2014",
'20102013 STH Efficacy'!$AH:$AH,""),
"")</f>
        <v/>
      </c>
      <c r="BC142" s="135">
        <f t="shared" si="25"/>
        <v>0.8699166667</v>
      </c>
      <c r="BD142" s="134" t="str">
        <f>IFERROR(AVERAGEIFS(
'20102013 STH Efficacy'!$N:$N, 
'20102013 STH Efficacy'!$B:$B, $A142, 
'20102013 STH Efficacy'!$C:$C, "Mebendazole",
'20102013 STH Efficacy'!$I:$I,"&lt;2014",
'20102013 STH Efficacy'!$AH:$AH,""),
"")</f>
        <v/>
      </c>
      <c r="BE142" s="135">
        <f t="shared" si="26"/>
        <v>0.7092416667</v>
      </c>
      <c r="BF142" s="128" t="str">
        <f>IFERROR(AVERAGEIFS(
'20102013 STH Efficacy'!$CD:$CD, 
'20102013 STH Efficacy'!$BS:$BS, $A142, 
'20102013 STH Efficacy'!$BT:$BT, "Albendazole",
'20102013 STH Efficacy'!$BZ:$BZ,"&lt;2014",
'20102013 STH Efficacy'!$CU:$CU,""),
"")</f>
        <v/>
      </c>
      <c r="BG142" s="136">
        <f t="shared" si="27"/>
        <v>0.9066666667</v>
      </c>
      <c r="BH142" s="128" t="str">
        <f>IFERROR(AVERAGEIFS(
'20102013 STH Efficacy'!$CD:$CD, 
'20102013 STH Efficacy'!$BS:$BS, $A142, 
'20102013 STH Efficacy'!$BT:$BT, "Mebendazole",
'20102013 STH Efficacy'!$BZ:$BZ,"&lt;2014",
'20102013 STH Efficacy'!$CU:$CU,""),
"")</f>
        <v/>
      </c>
      <c r="BI142" s="136">
        <f t="shared" si="28"/>
        <v>0.9358666667</v>
      </c>
      <c r="BJ142" s="128" t="str">
        <f>IFERROR(AVERAGEIFS(
'20102013 STH Efficacy'!$CD:$CD, 
'20102013 STH Efficacy'!$BS:$BS, $A142, 
'20102013 STH Efficacy'!$BT:$BT, "Albendazole &amp; Ivermectin",
'20102013 STH Efficacy'!$BZ:$BZ,"&lt;2014",
'20102013 STH Efficacy'!$CU:$CU,""),
"")</f>
        <v/>
      </c>
      <c r="BK142" s="136">
        <f t="shared" si="29"/>
        <v>1</v>
      </c>
      <c r="BL142" s="300" t="str">
        <f>IFERROR(
  AVERAGEIFS(
    'NEW 20102013 Onchocerciasis Eff'!$AO:$AO,
    'NEW 20102013 Onchocerciasis Eff'!$C:$C,$A142,
    'NEW 20102013 Onchocerciasis Eff'!$D:$D,"Ivermectin",
    'NEW 20102013 Onchocerciasis Eff'!$AR:$AR,"&lt;2014",
    'NEW 20102013 Onchocerciasis Eff'!$BG:$BG,"")
,"")</f>
        <v/>
      </c>
      <c r="BM142" s="304">
        <f t="shared" si="30"/>
        <v>0.8390421645</v>
      </c>
      <c r="BN142" s="305">
        <v>1.0</v>
      </c>
      <c r="BO142" s="139">
        <v>1.0</v>
      </c>
      <c r="BP142" s="140">
        <v>1.0</v>
      </c>
      <c r="BQ142" s="141">
        <f t="shared" si="31"/>
        <v>0</v>
      </c>
      <c r="BR142" s="104" t="str">
        <f t="shared" si="32"/>
        <v>1110</v>
      </c>
      <c r="BS142" s="104" t="str">
        <f t="shared" si="33"/>
        <v>MDA1+T2</v>
      </c>
      <c r="BT142" s="142" t="str">
        <f t="shared" si="34"/>
        <v>IVM+ALB</v>
      </c>
      <c r="BU142" s="104" t="str">
        <f t="shared" si="50"/>
        <v>PZQ</v>
      </c>
      <c r="BV142" s="104" t="str">
        <f t="shared" si="36"/>
        <v>lf+onch+schist </v>
      </c>
      <c r="BW142" s="150" t="str">
        <f t="shared" si="37"/>
        <v/>
      </c>
      <c r="BX142" s="312">
        <f t="shared" si="38"/>
        <v>2336.296183</v>
      </c>
      <c r="BY142" s="162">
        <f t="shared" si="39"/>
        <v>852.4018908</v>
      </c>
      <c r="BZ142" s="152" t="str">
        <f t="shared" si="40"/>
        <v/>
      </c>
      <c r="CA142" s="152" t="str">
        <f t="shared" si="41"/>
        <v/>
      </c>
      <c r="CB142" s="152" t="str">
        <f t="shared" si="42"/>
        <v/>
      </c>
      <c r="CC142" s="153" t="str">
        <f t="shared" si="43"/>
        <v/>
      </c>
      <c r="CD142" s="153" t="str">
        <f t="shared" si="44"/>
        <v/>
      </c>
      <c r="CE142" s="154" t="str">
        <f t="shared" si="45"/>
        <v/>
      </c>
      <c r="CF142" s="154" t="str">
        <f t="shared" si="46"/>
        <v/>
      </c>
      <c r="CG142" s="154" t="str">
        <f t="shared" si="47"/>
        <v/>
      </c>
      <c r="CH142" s="313">
        <f t="shared" si="48"/>
        <v>0</v>
      </c>
      <c r="CI142" s="299"/>
    </row>
    <row r="143">
      <c r="A143" s="103" t="s">
        <v>232</v>
      </c>
      <c r="B143" s="104" t="s">
        <v>92</v>
      </c>
      <c r="C143" s="105">
        <v>1.71829303E8</v>
      </c>
      <c r="D143" s="293">
        <v>257452.3</v>
      </c>
      <c r="E143" s="294">
        <v>338691.2258</v>
      </c>
      <c r="F143" s="295">
        <v>98.86614716</v>
      </c>
      <c r="G143" s="295">
        <v>386.5318292</v>
      </c>
      <c r="H143" s="157">
        <v>485.3979763</v>
      </c>
      <c r="I143" s="110">
        <v>5477.25651</v>
      </c>
      <c r="J143" s="110">
        <v>14895.4512</v>
      </c>
      <c r="K143" s="110">
        <v>20372.70767</v>
      </c>
      <c r="L143" s="111">
        <v>113919.1959</v>
      </c>
      <c r="M143" s="111">
        <v>38306.51312</v>
      </c>
      <c r="N143" s="111">
        <v>152225.709</v>
      </c>
      <c r="O143" s="298">
        <v>183163.9363</v>
      </c>
      <c r="P143" s="160">
        <v>1.14286356E8</v>
      </c>
      <c r="Q143" s="160">
        <v>2.2538959E7</v>
      </c>
      <c r="R143" s="121">
        <f t="shared" si="11"/>
        <v>0.1972147839</v>
      </c>
      <c r="S143" s="116">
        <f t="shared" si="12"/>
        <v>0.1972147839</v>
      </c>
      <c r="T143" s="130"/>
      <c r="U143" s="118">
        <f t="shared" si="13"/>
        <v>0.252</v>
      </c>
      <c r="V143" s="119">
        <v>0.3663</v>
      </c>
      <c r="W143" s="120">
        <f t="shared" si="14"/>
        <v>0.3663</v>
      </c>
      <c r="X143" s="119">
        <v>0.1762</v>
      </c>
      <c r="Y143" s="120">
        <f t="shared" si="15"/>
        <v>0.1762</v>
      </c>
      <c r="Z143" s="310">
        <v>5.0124539E7</v>
      </c>
      <c r="AA143" s="310">
        <v>2.866116E7</v>
      </c>
      <c r="AB143" s="300">
        <f t="shared" si="16"/>
        <v>0.5717989746</v>
      </c>
      <c r="AC143" s="301">
        <f t="shared" si="17"/>
        <v>0.5717989746</v>
      </c>
      <c r="AD143" s="122">
        <v>0.0366</v>
      </c>
      <c r="AE143" s="123">
        <v>0.22</v>
      </c>
      <c r="AF143" s="123">
        <v>0.0985</v>
      </c>
      <c r="AG143" s="316">
        <v>0.0</v>
      </c>
      <c r="AH143" s="124">
        <v>0.058362165</v>
      </c>
      <c r="AI143" s="317">
        <v>0.0</v>
      </c>
      <c r="AJ143" s="125">
        <v>0.087700875</v>
      </c>
      <c r="AK143" s="319">
        <v>0.0</v>
      </c>
      <c r="AL143" s="319">
        <v>0.0</v>
      </c>
      <c r="AM143" s="302">
        <v>0.0147</v>
      </c>
      <c r="AN143" s="149" t="str">
        <f>IFERROR(
  AVERAGEIFS(
    'New 20102013 LF Efficacy'!$J:$J,
    'New 20102013 LF Efficacy'!$D:$D, $A143,
    'New 20102013 LF Efficacy'!$F:$F,"DEC", 
    'New 20102013 LF Efficacy'!$W:$W,"&lt;2014",
    'New 20102013 LF Efficacy'!$AA:$AA,""),
  ""
)</f>
        <v/>
      </c>
      <c r="AO143" s="115">
        <f t="shared" si="18"/>
        <v>0.31225</v>
      </c>
      <c r="AP143" s="121" t="str">
        <f>IFERROR(
AVERAGEIFS(
'New 20102013 LF Efficacy'!$J:$J,
'New 20102013 LF Efficacy'!$D:$D,$A143,
'New 20102013 LF Efficacy'!$F:$F,"Albendazole &amp; DEC",
'New 20102013 LF Efficacy'!$W:$W,"&lt;2014",
'New 20102013 LF Efficacy'!$AA:$AA,""),
"")
</f>
        <v/>
      </c>
      <c r="AQ143" s="115">
        <f t="shared" si="19"/>
        <v>0.4</v>
      </c>
      <c r="AR143" s="121" t="str">
        <f>IFERROR(
AVERAGEIFS(
'New 20102013 LF Efficacy'!$J:$J,
'New 20102013 LF Efficacy'!$D:$D,$A143,
'New 20102013 LF Efficacy'!$F:$F,"Albendazole &amp; Ivermectin", 
'New 20102013 LF Efficacy'!$W:$W,"&lt;2014",
'New 20102013 LF Efficacy'!$AA:$AA,""),"")</f>
        <v/>
      </c>
      <c r="AS143" s="115">
        <f t="shared" si="20"/>
        <v>0.2943125</v>
      </c>
      <c r="AT143" s="130">
        <f>IFERROR(AVERAGEIFS(
'20102013 Schist Efficacy'!$O:$O, 
'20102013 Schist Efficacy'!$C:$C,$A143, 
'20102013 Schist Efficacy'!$D:$D, "Praziquantel",
'20102013 Schist Efficacy'!$J:$J,"&lt;2014",
'20102013 Schist Efficacy'!$U:$U,""),
"")</f>
        <v>0.778</v>
      </c>
      <c r="AU143" s="118">
        <f t="shared" si="21"/>
        <v>0.778</v>
      </c>
      <c r="AV143" s="131" t="str">
        <f>IFERROR(AVERAGEIFS(
'20102013 STH Efficacy'!$AX:$AX, 
'20102013 STH Efficacy'!$AL:$AL, $A143, 
'20102013 STH Efficacy'!$AM:$AM, "Albendazole",
'20102013 STH Efficacy'!$AS:$AS,"&lt;2014",
'20102013 STH Efficacy'!$BP:$BP,""),
"")</f>
        <v/>
      </c>
      <c r="AW143" s="132">
        <f t="shared" si="22"/>
        <v>0.3816333333</v>
      </c>
      <c r="AX143" s="131">
        <f>IFERROR(AVERAGEIFS(
'20102013 STH Efficacy'!$AX:$AX, 
'20102013 STH Efficacy'!$AL:$AL, $A143, 
'20102013 STH Efficacy'!$AM:$AM, "Mebendazole",
'20102013 STH Efficacy'!$AS:$AS,"&lt;2014",
'20102013 STH Efficacy'!$BP:$BP,""),
"")</f>
        <v>1</v>
      </c>
      <c r="AY143" s="132">
        <f t="shared" si="23"/>
        <v>1</v>
      </c>
      <c r="AZ143" s="131" t="str">
        <f>IFERROR(AVERAGEIFS(
'20102013 STH Efficacy'!$AX:$AX, 
'20102013 STH Efficacy'!$AL:$AL, $A143, 
'20102013 STH Efficacy'!$AM:$AM, "Albendazole &amp; Ivermectin",
'20102013 STH Efficacy'!$AS:$AS,"&lt;2014",
'20102013 STH Efficacy'!$BP:$BP,""),
"")</f>
        <v/>
      </c>
      <c r="BA143" s="303">
        <f t="shared" si="24"/>
        <v>0.47175</v>
      </c>
      <c r="BB143" s="134" t="str">
        <f>IFERROR(AVERAGEIFS(
'20102013 STH Efficacy'!$N:$N, 
'20102013 STH Efficacy'!$B:$B, $A143, 
'20102013 STH Efficacy'!$C:$C, "Albendazole",
'20102013 STH Efficacy'!$I:$I,"&lt;2014",
'20102013 STH Efficacy'!$AH:$AH,""),
"")</f>
        <v/>
      </c>
      <c r="BC143" s="135">
        <f t="shared" si="25"/>
        <v>0.8699166667</v>
      </c>
      <c r="BD143" s="134">
        <f>IFERROR(AVERAGEIFS(
'20102013 STH Efficacy'!$N:$N, 
'20102013 STH Efficacy'!$B:$B, $A143, 
'20102013 STH Efficacy'!$C:$C, "Mebendazole",
'20102013 STH Efficacy'!$I:$I,"&lt;2014",
'20102013 STH Efficacy'!$AH:$AH,""),
"")</f>
        <v>0.9048</v>
      </c>
      <c r="BE143" s="135">
        <f t="shared" si="26"/>
        <v>0.9048</v>
      </c>
      <c r="BF143" s="128" t="str">
        <f>IFERROR(AVERAGEIFS(
'20102013 STH Efficacy'!$CD:$CD, 
'20102013 STH Efficacy'!$BS:$BS, $A143, 
'20102013 STH Efficacy'!$BT:$BT, "Albendazole",
'20102013 STH Efficacy'!$BZ:$BZ,"&lt;2014",
'20102013 STH Efficacy'!$CU:$CU,""),
"")</f>
        <v/>
      </c>
      <c r="BG143" s="136">
        <f t="shared" si="27"/>
        <v>0.9066666667</v>
      </c>
      <c r="BH143" s="128">
        <f>IFERROR(AVERAGEIFS(
'20102013 STH Efficacy'!$CD:$CD, 
'20102013 STH Efficacy'!$BS:$BS, $A143, 
'20102013 STH Efficacy'!$BT:$BT, "Mebendazole",
'20102013 STH Efficacy'!$BZ:$BZ,"&lt;2014",
'20102013 STH Efficacy'!$CU:$CU,""),
"")</f>
        <v>1</v>
      </c>
      <c r="BI143" s="136">
        <f t="shared" si="28"/>
        <v>1</v>
      </c>
      <c r="BJ143" s="128" t="str">
        <f>IFERROR(AVERAGEIFS(
'20102013 STH Efficacy'!$CD:$CD, 
'20102013 STH Efficacy'!$BS:$BS, $A143, 
'20102013 STH Efficacy'!$BT:$BT, "Albendazole &amp; Ivermectin",
'20102013 STH Efficacy'!$BZ:$BZ,"&lt;2014",
'20102013 STH Efficacy'!$CU:$CU,""),
"")</f>
        <v/>
      </c>
      <c r="BK143" s="136">
        <f t="shared" si="29"/>
        <v>1</v>
      </c>
      <c r="BL143" s="300" t="str">
        <f>IFERROR(
  AVERAGEIFS(
    'NEW 20102013 Onchocerciasis Eff'!$AO:$AO,
    'NEW 20102013 Onchocerciasis Eff'!$C:$C,$A143,
    'NEW 20102013 Onchocerciasis Eff'!$D:$D,"Ivermectin",
    'NEW 20102013 Onchocerciasis Eff'!$AR:$AR,"&lt;2014",
    'NEW 20102013 Onchocerciasis Eff'!$BG:$BG,"")
,"")</f>
        <v/>
      </c>
      <c r="BM143" s="304">
        <f t="shared" si="30"/>
        <v>0.8390421645</v>
      </c>
      <c r="BN143" s="305">
        <v>1.0</v>
      </c>
      <c r="BO143" s="139">
        <v>0.0</v>
      </c>
      <c r="BP143" s="140">
        <v>1.0</v>
      </c>
      <c r="BQ143" s="141">
        <f t="shared" si="31"/>
        <v>0</v>
      </c>
      <c r="BR143" s="104" t="str">
        <f t="shared" si="32"/>
        <v>1010</v>
      </c>
      <c r="BS143" s="104" t="str">
        <f t="shared" si="33"/>
        <v>MDA1/2+T2</v>
      </c>
      <c r="BT143" s="142" t="str">
        <f t="shared" si="34"/>
        <v>DEC +ALB</v>
      </c>
      <c r="BU143" s="104" t="str">
        <f t="shared" si="50"/>
        <v>PZQ</v>
      </c>
      <c r="BV143" s="104" t="str">
        <f t="shared" si="36"/>
        <v>lf+schist </v>
      </c>
      <c r="BW143" s="150" t="str">
        <f t="shared" si="37"/>
        <v/>
      </c>
      <c r="BX143" s="150" t="str">
        <f t="shared" si="38"/>
        <v/>
      </c>
      <c r="BY143" s="162">
        <f t="shared" si="39"/>
        <v>82595.86111</v>
      </c>
      <c r="BZ143" s="152" t="str">
        <f t="shared" si="40"/>
        <v/>
      </c>
      <c r="CA143" s="152" t="str">
        <f t="shared" si="41"/>
        <v/>
      </c>
      <c r="CB143" s="152" t="str">
        <f t="shared" si="42"/>
        <v/>
      </c>
      <c r="CC143" s="153" t="str">
        <f t="shared" si="43"/>
        <v/>
      </c>
      <c r="CD143" s="153" t="str">
        <f t="shared" si="44"/>
        <v/>
      </c>
      <c r="CE143" s="154" t="str">
        <f t="shared" si="45"/>
        <v/>
      </c>
      <c r="CF143" s="154" t="str">
        <f t="shared" si="46"/>
        <v/>
      </c>
      <c r="CG143" s="154" t="str">
        <f t="shared" si="47"/>
        <v/>
      </c>
      <c r="CH143" s="308" t="str">
        <f t="shared" si="48"/>
        <v/>
      </c>
      <c r="CI143" s="299"/>
    </row>
    <row r="144">
      <c r="A144" s="103" t="s">
        <v>233</v>
      </c>
      <c r="B144" s="104" t="s">
        <v>94</v>
      </c>
      <c r="C144" s="171"/>
      <c r="D144" s="293">
        <v>0.0</v>
      </c>
      <c r="E144" s="294">
        <v>0.0</v>
      </c>
      <c r="F144" s="325"/>
      <c r="G144" s="325"/>
      <c r="H144" s="108">
        <v>0.0</v>
      </c>
      <c r="I144" s="109">
        <v>0.0</v>
      </c>
      <c r="J144" s="109">
        <v>0.0</v>
      </c>
      <c r="K144" s="109">
        <v>0.0</v>
      </c>
      <c r="L144" s="113"/>
      <c r="M144" s="113"/>
      <c r="N144" s="111">
        <v>0.0</v>
      </c>
      <c r="O144" s="298">
        <v>0.0</v>
      </c>
      <c r="P144" s="156"/>
      <c r="Q144" s="156"/>
      <c r="R144" s="121" t="str">
        <f t="shared" si="11"/>
        <v/>
      </c>
      <c r="S144" s="116">
        <f t="shared" si="12"/>
        <v>0.403639098</v>
      </c>
      <c r="T144" s="130"/>
      <c r="U144" s="118">
        <f t="shared" si="13"/>
        <v>0.6259666667</v>
      </c>
      <c r="V144" s="148"/>
      <c r="W144" s="120">
        <f t="shared" si="14"/>
        <v>0.3807857143</v>
      </c>
      <c r="X144" s="148"/>
      <c r="Y144" s="120">
        <f t="shared" si="15"/>
        <v>0.3971375</v>
      </c>
      <c r="Z144" s="299"/>
      <c r="AA144" s="299"/>
      <c r="AB144" s="300" t="str">
        <f t="shared" si="16"/>
        <v/>
      </c>
      <c r="AC144" s="301">
        <f t="shared" si="17"/>
        <v>0.6295826791</v>
      </c>
      <c r="AD144" s="314">
        <v>0.0</v>
      </c>
      <c r="AE144" s="315">
        <v>0.0</v>
      </c>
      <c r="AF144" s="166">
        <v>0.0</v>
      </c>
      <c r="AG144" s="316">
        <v>0.0</v>
      </c>
      <c r="AH144" s="307">
        <v>0.0</v>
      </c>
      <c r="AI144" s="317">
        <v>0.0</v>
      </c>
      <c r="AJ144" s="318">
        <v>0.0</v>
      </c>
      <c r="AK144" s="319">
        <v>0.0</v>
      </c>
      <c r="AL144" s="319">
        <v>0.0</v>
      </c>
      <c r="AM144" s="320">
        <v>0.0</v>
      </c>
      <c r="AN144" s="149" t="str">
        <f>IFERROR(
  AVERAGEIFS(
    'New 20102013 LF Efficacy'!$J:$J,
    'New 20102013 LF Efficacy'!$D:$D, $A144,
    'New 20102013 LF Efficacy'!$F:$F,"DEC", 
    'New 20102013 LF Efficacy'!$W:$W,"&lt;2014",
    'New 20102013 LF Efficacy'!$AA:$AA,""),
  ""
)</f>
        <v/>
      </c>
      <c r="AO144" s="115">
        <f t="shared" si="18"/>
        <v>0.38</v>
      </c>
      <c r="AP144" s="121" t="str">
        <f>IFERROR(
AVERAGEIFS(
'New 20102013 LF Efficacy'!$J:$J,
'New 20102013 LF Efficacy'!$D:$D,$A144,
'New 20102013 LF Efficacy'!$F:$F,"Albendazole &amp; DEC",
'New 20102013 LF Efficacy'!$W:$W,"&lt;2014",
'New 20102013 LF Efficacy'!$AA:$AA,""),
"")
</f>
        <v/>
      </c>
      <c r="AQ144" s="115">
        <f t="shared" si="19"/>
        <v>0.657</v>
      </c>
      <c r="AR144" s="121" t="str">
        <f>IFERROR(
AVERAGEIFS(
'New 20102013 LF Efficacy'!$J:$J,
'New 20102013 LF Efficacy'!$D:$D,$A144,
'New 20102013 LF Efficacy'!$F:$F,"Albendazole &amp; Ivermectin", 
'New 20102013 LF Efficacy'!$W:$W,"&lt;2014",
'New 20102013 LF Efficacy'!$AA:$AA,""),"")</f>
        <v/>
      </c>
      <c r="AS144" s="115">
        <f t="shared" si="20"/>
        <v>0.37153125</v>
      </c>
      <c r="AT144" s="130" t="str">
        <f>IFERROR(AVERAGEIFS(
'20102013 Schist Efficacy'!$O:$O, 
'20102013 Schist Efficacy'!$C:$C,$A144, 
'20102013 Schist Efficacy'!$D:$D, "Praziquantel",
'20102013 Schist Efficacy'!$J:$J,"&lt;2014",
'20102013 Schist Efficacy'!$U:$U,""),
"")</f>
        <v/>
      </c>
      <c r="AU144" s="118">
        <f t="shared" si="21"/>
        <v>0.9475</v>
      </c>
      <c r="AV144" s="131" t="str">
        <f>IFERROR(AVERAGEIFS(
'20102013 STH Efficacy'!$AX:$AX, 
'20102013 STH Efficacy'!$AL:$AL, $A144, 
'20102013 STH Efficacy'!$AM:$AM, "Albendazole",
'20102013 STH Efficacy'!$AS:$AS,"&lt;2014",
'20102013 STH Efficacy'!$BP:$BP,""),
"")</f>
        <v/>
      </c>
      <c r="AW144" s="132">
        <f t="shared" si="22"/>
        <v>0.3571666667</v>
      </c>
      <c r="AX144" s="131" t="str">
        <f>IFERROR(AVERAGEIFS(
'20102013 STH Efficacy'!$AX:$AX, 
'20102013 STH Efficacy'!$AL:$AL, $A144, 
'20102013 STH Efficacy'!$AM:$AM, "Mebendazole",
'20102013 STH Efficacy'!$AS:$AS,"&lt;2014",
'20102013 STH Efficacy'!$BP:$BP,""),
"")</f>
        <v/>
      </c>
      <c r="AY144" s="132">
        <f t="shared" si="23"/>
        <v>0.4155</v>
      </c>
      <c r="AZ144" s="131" t="str">
        <f>IFERROR(AVERAGEIFS(
'20102013 STH Efficacy'!$AX:$AX, 
'20102013 STH Efficacy'!$AL:$AL, $A144, 
'20102013 STH Efficacy'!$AM:$AM, "Albendazole &amp; Ivermectin",
'20102013 STH Efficacy'!$AS:$AS,"&lt;2014",
'20102013 STH Efficacy'!$BP:$BP,""),
"")</f>
        <v/>
      </c>
      <c r="BA144" s="303">
        <f t="shared" si="24"/>
        <v>0.651</v>
      </c>
      <c r="BB144" s="134" t="str">
        <f>IFERROR(AVERAGEIFS(
'20102013 STH Efficacy'!$N:$N, 
'20102013 STH Efficacy'!$B:$B, $A144, 
'20102013 STH Efficacy'!$C:$C, "Albendazole",
'20102013 STH Efficacy'!$I:$I,"&lt;2014",
'20102013 STH Efficacy'!$AH:$AH,""),
"")</f>
        <v/>
      </c>
      <c r="BC144" s="135">
        <f t="shared" si="25"/>
        <v>0.5769166667</v>
      </c>
      <c r="BD144" s="134" t="str">
        <f>IFERROR(AVERAGEIFS(
'20102013 STH Efficacy'!$N:$N, 
'20102013 STH Efficacy'!$B:$B, $A144, 
'20102013 STH Efficacy'!$C:$C, "Mebendazole",
'20102013 STH Efficacy'!$I:$I,"&lt;2014",
'20102013 STH Efficacy'!$AH:$AH,""),
"")</f>
        <v/>
      </c>
      <c r="BE144" s="135">
        <f t="shared" si="26"/>
        <v>0.3145</v>
      </c>
      <c r="BF144" s="128" t="str">
        <f>IFERROR(AVERAGEIFS(
'20102013 STH Efficacy'!$CD:$CD, 
'20102013 STH Efficacy'!$BS:$BS, $A144, 
'20102013 STH Efficacy'!$BT:$BT, "Albendazole",
'20102013 STH Efficacy'!$BZ:$BZ,"&lt;2014",
'20102013 STH Efficacy'!$CU:$CU,""),
"")</f>
        <v/>
      </c>
      <c r="BG144" s="136">
        <f t="shared" si="27"/>
        <v>0.96925</v>
      </c>
      <c r="BH144" s="128" t="str">
        <f>IFERROR(AVERAGEIFS(
'20102013 STH Efficacy'!$CD:$CD, 
'20102013 STH Efficacy'!$BS:$BS, $A144, 
'20102013 STH Efficacy'!$BT:$BT, "Mebendazole",
'20102013 STH Efficacy'!$BZ:$BZ,"&lt;2014",
'20102013 STH Efficacy'!$CU:$CU,""),
"")</f>
        <v/>
      </c>
      <c r="BI144" s="136">
        <f t="shared" si="28"/>
        <v>0.9305</v>
      </c>
      <c r="BJ144" s="128" t="str">
        <f>IFERROR(AVERAGEIFS(
'20102013 STH Efficacy'!$CD:$CD, 
'20102013 STH Efficacy'!$BS:$BS, $A144, 
'20102013 STH Efficacy'!$BT:$BT, "Albendazole &amp; Ivermectin",
'20102013 STH Efficacy'!$BZ:$BZ,"&lt;2014",
'20102013 STH Efficacy'!$CU:$CU,""),
"")</f>
        <v/>
      </c>
      <c r="BK144" s="136">
        <f t="shared" si="29"/>
        <v>1</v>
      </c>
      <c r="BL144" s="300" t="str">
        <f>IFERROR(
  AVERAGEIFS(
    'NEW 20102013 Onchocerciasis Eff'!$AO:$AO,
    'NEW 20102013 Onchocerciasis Eff'!$C:$C,$A144,
    'NEW 20102013 Onchocerciasis Eff'!$D:$D,"Ivermectin",
    'NEW 20102013 Onchocerciasis Eff'!$AR:$AR,"&lt;2014",
    'NEW 20102013 Onchocerciasis Eff'!$BG:$BG,"")
,"")</f>
        <v/>
      </c>
      <c r="BM144" s="304">
        <f t="shared" si="30"/>
        <v>0.7808368939</v>
      </c>
      <c r="BN144" s="305">
        <v>0.0</v>
      </c>
      <c r="BO144" s="139">
        <v>0.0</v>
      </c>
      <c r="BP144" s="140">
        <v>0.0</v>
      </c>
      <c r="BQ144" s="141">
        <f t="shared" si="31"/>
        <v>0</v>
      </c>
      <c r="BR144" s="104" t="str">
        <f t="shared" si="32"/>
        <v>0000</v>
      </c>
      <c r="BS144" s="104" t="str">
        <f t="shared" si="33"/>
        <v>no action required</v>
      </c>
      <c r="BT144" s="142" t="str">
        <f t="shared" si="34"/>
        <v/>
      </c>
      <c r="BU144" s="104" t="str">
        <f t="shared" si="50"/>
        <v/>
      </c>
      <c r="BV144" s="104" t="str">
        <f t="shared" si="36"/>
        <v>none</v>
      </c>
      <c r="BW144" s="150" t="str">
        <f t="shared" si="37"/>
        <v/>
      </c>
      <c r="BX144" s="150" t="str">
        <f t="shared" si="38"/>
        <v/>
      </c>
      <c r="BY144" s="151" t="str">
        <f t="shared" si="39"/>
        <v/>
      </c>
      <c r="BZ144" s="152" t="str">
        <f t="shared" si="40"/>
        <v/>
      </c>
      <c r="CA144" s="152" t="str">
        <f t="shared" si="41"/>
        <v/>
      </c>
      <c r="CB144" s="152" t="str">
        <f t="shared" si="42"/>
        <v/>
      </c>
      <c r="CC144" s="153" t="str">
        <f t="shared" si="43"/>
        <v/>
      </c>
      <c r="CD144" s="153" t="str">
        <f t="shared" si="44"/>
        <v/>
      </c>
      <c r="CE144" s="154" t="str">
        <f t="shared" si="45"/>
        <v/>
      </c>
      <c r="CF144" s="154" t="str">
        <f t="shared" si="46"/>
        <v/>
      </c>
      <c r="CG144" s="154" t="str">
        <f t="shared" si="47"/>
        <v/>
      </c>
      <c r="CH144" s="308" t="str">
        <f t="shared" si="48"/>
        <v/>
      </c>
      <c r="CI144" s="299"/>
    </row>
    <row r="145">
      <c r="A145" s="155" t="s">
        <v>234</v>
      </c>
      <c r="B145" s="104" t="s">
        <v>94</v>
      </c>
      <c r="C145" s="105">
        <v>54036.0</v>
      </c>
      <c r="D145" s="293">
        <v>0.0</v>
      </c>
      <c r="E145" s="294">
        <v>0.0</v>
      </c>
      <c r="F145" s="307">
        <v>0.0</v>
      </c>
      <c r="G145" s="307">
        <v>0.0</v>
      </c>
      <c r="H145" s="108">
        <v>0.0</v>
      </c>
      <c r="I145" s="109">
        <v>0.01003162</v>
      </c>
      <c r="J145" s="109">
        <v>0.00770496</v>
      </c>
      <c r="K145" s="109">
        <v>0.017736587</v>
      </c>
      <c r="L145" s="112">
        <v>0.0</v>
      </c>
      <c r="M145" s="112">
        <v>0.0</v>
      </c>
      <c r="N145" s="111">
        <v>0.0</v>
      </c>
      <c r="O145" s="298">
        <v>0.0</v>
      </c>
      <c r="P145" s="114"/>
      <c r="Q145" s="114"/>
      <c r="R145" s="121" t="str">
        <f t="shared" si="11"/>
        <v/>
      </c>
      <c r="S145" s="116">
        <f t="shared" si="12"/>
        <v>0.403639098</v>
      </c>
      <c r="T145" s="130"/>
      <c r="U145" s="118">
        <f t="shared" si="13"/>
        <v>0.6259666667</v>
      </c>
      <c r="V145" s="148"/>
      <c r="W145" s="120">
        <f t="shared" si="14"/>
        <v>0.3807857143</v>
      </c>
      <c r="X145" s="148"/>
      <c r="Y145" s="120">
        <f t="shared" si="15"/>
        <v>0.3971375</v>
      </c>
      <c r="Z145" s="299"/>
      <c r="AA145" s="299"/>
      <c r="AB145" s="300" t="str">
        <f t="shared" si="16"/>
        <v/>
      </c>
      <c r="AC145" s="301">
        <f t="shared" si="17"/>
        <v>0.6295826791</v>
      </c>
      <c r="AD145" s="122">
        <v>0.0</v>
      </c>
      <c r="AE145" s="123">
        <v>0.0</v>
      </c>
      <c r="AF145" s="123">
        <v>0.0</v>
      </c>
      <c r="AG145" s="124">
        <v>1.0E-4</v>
      </c>
      <c r="AH145" s="124">
        <v>9.57888E-5</v>
      </c>
      <c r="AI145" s="125">
        <v>1.0E-4</v>
      </c>
      <c r="AJ145" s="125">
        <v>9.17205E-5</v>
      </c>
      <c r="AK145" s="127">
        <v>1.0E-4</v>
      </c>
      <c r="AL145" s="127">
        <v>1.0E-4</v>
      </c>
      <c r="AM145" s="302">
        <v>0.0</v>
      </c>
      <c r="AN145" s="149" t="str">
        <f>IFERROR(
  AVERAGEIFS(
    'New 20102013 LF Efficacy'!$J:$J,
    'New 20102013 LF Efficacy'!$D:$D, $A145,
    'New 20102013 LF Efficacy'!$F:$F,"DEC", 
    'New 20102013 LF Efficacy'!$W:$W,"&lt;2014",
    'New 20102013 LF Efficacy'!$AA:$AA,""),
  ""
)</f>
        <v/>
      </c>
      <c r="AO145" s="115">
        <f t="shared" si="18"/>
        <v>0.38</v>
      </c>
      <c r="AP145" s="121" t="str">
        <f>IFERROR(
AVERAGEIFS(
'New 20102013 LF Efficacy'!$J:$J,
'New 20102013 LF Efficacy'!$D:$D,$A145,
'New 20102013 LF Efficacy'!$F:$F,"Albendazole &amp; DEC",
'New 20102013 LF Efficacy'!$W:$W,"&lt;2014",
'New 20102013 LF Efficacy'!$AA:$AA,""),
"")
</f>
        <v/>
      </c>
      <c r="AQ145" s="115">
        <f t="shared" si="19"/>
        <v>0.657</v>
      </c>
      <c r="AR145" s="121" t="str">
        <f>IFERROR(
AVERAGEIFS(
'New 20102013 LF Efficacy'!$J:$J,
'New 20102013 LF Efficacy'!$D:$D,$A145,
'New 20102013 LF Efficacy'!$F:$F,"Albendazole &amp; Ivermectin", 
'New 20102013 LF Efficacy'!$W:$W,"&lt;2014",
'New 20102013 LF Efficacy'!$AA:$AA,""),"")</f>
        <v/>
      </c>
      <c r="AS145" s="115">
        <f t="shared" si="20"/>
        <v>0.37153125</v>
      </c>
      <c r="AT145" s="130" t="str">
        <f>IFERROR(AVERAGEIFS(
'20102013 Schist Efficacy'!$O:$O, 
'20102013 Schist Efficacy'!$C:$C,$A145, 
'20102013 Schist Efficacy'!$D:$D, "Praziquantel",
'20102013 Schist Efficacy'!$J:$J,"&lt;2014",
'20102013 Schist Efficacy'!$U:$U,""),
"")</f>
        <v/>
      </c>
      <c r="AU145" s="118">
        <f t="shared" si="21"/>
        <v>0.9475</v>
      </c>
      <c r="AV145" s="131" t="str">
        <f>IFERROR(AVERAGEIFS(
'20102013 STH Efficacy'!$AX:$AX, 
'20102013 STH Efficacy'!$AL:$AL, $A145, 
'20102013 STH Efficacy'!$AM:$AM, "Albendazole",
'20102013 STH Efficacy'!$AS:$AS,"&lt;2014",
'20102013 STH Efficacy'!$BP:$BP,""),
"")</f>
        <v/>
      </c>
      <c r="AW145" s="132">
        <f t="shared" si="22"/>
        <v>0.3571666667</v>
      </c>
      <c r="AX145" s="131" t="str">
        <f>IFERROR(AVERAGEIFS(
'20102013 STH Efficacy'!$AX:$AX, 
'20102013 STH Efficacy'!$AL:$AL, $A145, 
'20102013 STH Efficacy'!$AM:$AM, "Mebendazole",
'20102013 STH Efficacy'!$AS:$AS,"&lt;2014",
'20102013 STH Efficacy'!$BP:$BP,""),
"")</f>
        <v/>
      </c>
      <c r="AY145" s="132">
        <f t="shared" si="23"/>
        <v>0.4155</v>
      </c>
      <c r="AZ145" s="131" t="str">
        <f>IFERROR(AVERAGEIFS(
'20102013 STH Efficacy'!$AX:$AX, 
'20102013 STH Efficacy'!$AL:$AL, $A145, 
'20102013 STH Efficacy'!$AM:$AM, "Albendazole &amp; Ivermectin",
'20102013 STH Efficacy'!$AS:$AS,"&lt;2014",
'20102013 STH Efficacy'!$BP:$BP,""),
"")</f>
        <v/>
      </c>
      <c r="BA145" s="303">
        <f t="shared" si="24"/>
        <v>0.651</v>
      </c>
      <c r="BB145" s="134" t="str">
        <f>IFERROR(AVERAGEIFS(
'20102013 STH Efficacy'!$N:$N, 
'20102013 STH Efficacy'!$B:$B, $A145, 
'20102013 STH Efficacy'!$C:$C, "Albendazole",
'20102013 STH Efficacy'!$I:$I,"&lt;2014",
'20102013 STH Efficacy'!$AH:$AH,""),
"")</f>
        <v/>
      </c>
      <c r="BC145" s="135">
        <f t="shared" si="25"/>
        <v>0.5769166667</v>
      </c>
      <c r="BD145" s="134" t="str">
        <f>IFERROR(AVERAGEIFS(
'20102013 STH Efficacy'!$N:$N, 
'20102013 STH Efficacy'!$B:$B, $A145, 
'20102013 STH Efficacy'!$C:$C, "Mebendazole",
'20102013 STH Efficacy'!$I:$I,"&lt;2014",
'20102013 STH Efficacy'!$AH:$AH,""),
"")</f>
        <v/>
      </c>
      <c r="BE145" s="135">
        <f t="shared" si="26"/>
        <v>0.3145</v>
      </c>
      <c r="BF145" s="128" t="str">
        <f>IFERROR(AVERAGEIFS(
'20102013 STH Efficacy'!$CD:$CD, 
'20102013 STH Efficacy'!$BS:$BS, $A145, 
'20102013 STH Efficacy'!$BT:$BT, "Albendazole",
'20102013 STH Efficacy'!$BZ:$BZ,"&lt;2014",
'20102013 STH Efficacy'!$CU:$CU,""),
"")</f>
        <v/>
      </c>
      <c r="BG145" s="136">
        <f t="shared" si="27"/>
        <v>0.96925</v>
      </c>
      <c r="BH145" s="128" t="str">
        <f>IFERROR(AVERAGEIFS(
'20102013 STH Efficacy'!$CD:$CD, 
'20102013 STH Efficacy'!$BS:$BS, $A145, 
'20102013 STH Efficacy'!$BT:$BT, "Mebendazole",
'20102013 STH Efficacy'!$BZ:$BZ,"&lt;2014",
'20102013 STH Efficacy'!$CU:$CU,""),
"")</f>
        <v/>
      </c>
      <c r="BI145" s="136">
        <f t="shared" si="28"/>
        <v>0.9305</v>
      </c>
      <c r="BJ145" s="128" t="str">
        <f>IFERROR(AVERAGEIFS(
'20102013 STH Efficacy'!$CD:$CD, 
'20102013 STH Efficacy'!$BS:$BS, $A145, 
'20102013 STH Efficacy'!$BT:$BT, "Albendazole &amp; Ivermectin",
'20102013 STH Efficacy'!$BZ:$BZ,"&lt;2014",
'20102013 STH Efficacy'!$CU:$CU,""),
"")</f>
        <v/>
      </c>
      <c r="BK145" s="136">
        <f t="shared" si="29"/>
        <v>1</v>
      </c>
      <c r="BL145" s="300" t="str">
        <f>IFERROR(
  AVERAGEIFS(
    'NEW 20102013 Onchocerciasis Eff'!$AO:$AO,
    'NEW 20102013 Onchocerciasis Eff'!$C:$C,$A145,
    'NEW 20102013 Onchocerciasis Eff'!$D:$D,"Ivermectin",
    'NEW 20102013 Onchocerciasis Eff'!$AR:$AR,"&lt;2014",
    'NEW 20102013 Onchocerciasis Eff'!$BG:$BG,"")
,"")</f>
        <v/>
      </c>
      <c r="BM145" s="304">
        <f t="shared" si="30"/>
        <v>0.7808368939</v>
      </c>
      <c r="BN145" s="305">
        <v>0.0</v>
      </c>
      <c r="BO145" s="139">
        <v>0.0</v>
      </c>
      <c r="BP145" s="140">
        <v>0.0</v>
      </c>
      <c r="BQ145" s="141">
        <f t="shared" si="31"/>
        <v>0</v>
      </c>
      <c r="BR145" s="104" t="str">
        <f t="shared" si="32"/>
        <v>0000</v>
      </c>
      <c r="BS145" s="104" t="str">
        <f t="shared" si="33"/>
        <v>no action required</v>
      </c>
      <c r="BT145" s="142" t="str">
        <f t="shared" si="34"/>
        <v/>
      </c>
      <c r="BU145" s="104" t="str">
        <f t="shared" si="50"/>
        <v/>
      </c>
      <c r="BV145" s="104" t="str">
        <f t="shared" si="36"/>
        <v>none</v>
      </c>
      <c r="BW145" s="150" t="str">
        <f t="shared" si="37"/>
        <v/>
      </c>
      <c r="BX145" s="150" t="str">
        <f t="shared" si="38"/>
        <v/>
      </c>
      <c r="BY145" s="151" t="str">
        <f t="shared" si="39"/>
        <v/>
      </c>
      <c r="BZ145" s="152" t="str">
        <f t="shared" si="40"/>
        <v/>
      </c>
      <c r="CA145" s="152" t="str">
        <f t="shared" si="41"/>
        <v/>
      </c>
      <c r="CB145" s="152" t="str">
        <f t="shared" si="42"/>
        <v/>
      </c>
      <c r="CC145" s="153" t="str">
        <f t="shared" si="43"/>
        <v/>
      </c>
      <c r="CD145" s="153" t="str">
        <f t="shared" si="44"/>
        <v/>
      </c>
      <c r="CE145" s="154" t="str">
        <f t="shared" si="45"/>
        <v/>
      </c>
      <c r="CF145" s="154" t="str">
        <f t="shared" si="46"/>
        <v/>
      </c>
      <c r="CG145" s="154" t="str">
        <f t="shared" si="47"/>
        <v/>
      </c>
      <c r="CH145" s="308" t="str">
        <f t="shared" si="48"/>
        <v/>
      </c>
      <c r="CI145" s="299"/>
    </row>
    <row r="146">
      <c r="A146" s="103" t="s">
        <v>235</v>
      </c>
      <c r="B146" s="104" t="s">
        <v>90</v>
      </c>
      <c r="C146" s="105">
        <v>5079623.0</v>
      </c>
      <c r="D146" s="293">
        <v>0.0</v>
      </c>
      <c r="E146" s="294">
        <v>0.0</v>
      </c>
      <c r="F146" s="307">
        <v>0.0</v>
      </c>
      <c r="G146" s="307">
        <v>0.0</v>
      </c>
      <c r="H146" s="108">
        <v>0.0</v>
      </c>
      <c r="I146" s="109">
        <v>0.0</v>
      </c>
      <c r="J146" s="109">
        <v>0.0</v>
      </c>
      <c r="K146" s="109">
        <v>0.0</v>
      </c>
      <c r="L146" s="112">
        <v>0.0</v>
      </c>
      <c r="M146" s="112">
        <v>0.0</v>
      </c>
      <c r="N146" s="111">
        <v>0.0</v>
      </c>
      <c r="O146" s="298">
        <v>0.0</v>
      </c>
      <c r="P146" s="114"/>
      <c r="Q146" s="114"/>
      <c r="R146" s="121" t="str">
        <f t="shared" si="11"/>
        <v/>
      </c>
      <c r="S146" s="116">
        <f t="shared" si="12"/>
        <v>0.526225767</v>
      </c>
      <c r="T146" s="130"/>
      <c r="U146" s="118">
        <f t="shared" si="13"/>
        <v>0.3468166667</v>
      </c>
      <c r="V146" s="148"/>
      <c r="W146" s="120">
        <f t="shared" si="14"/>
        <v>1</v>
      </c>
      <c r="X146" s="148"/>
      <c r="Y146" s="120">
        <f t="shared" si="15"/>
        <v>1</v>
      </c>
      <c r="Z146" s="299"/>
      <c r="AA146" s="299"/>
      <c r="AB146" s="300" t="str">
        <f t="shared" si="16"/>
        <v/>
      </c>
      <c r="AC146" s="301">
        <f t="shared" si="17"/>
        <v>0.6295826791</v>
      </c>
      <c r="AD146" s="122">
        <v>0.0</v>
      </c>
      <c r="AE146" s="123">
        <v>0.0</v>
      </c>
      <c r="AF146" s="123">
        <v>0.0</v>
      </c>
      <c r="AG146" s="316">
        <v>0.0</v>
      </c>
      <c r="AH146" s="124">
        <v>0.0</v>
      </c>
      <c r="AI146" s="317">
        <v>0.0</v>
      </c>
      <c r="AJ146" s="125">
        <v>0.0</v>
      </c>
      <c r="AK146" s="319">
        <v>0.0</v>
      </c>
      <c r="AL146" s="319">
        <v>0.0</v>
      </c>
      <c r="AM146" s="302">
        <v>0.0</v>
      </c>
      <c r="AN146" s="149" t="str">
        <f>IFERROR(
  AVERAGEIFS(
    'New 20102013 LF Efficacy'!$J:$J,
    'New 20102013 LF Efficacy'!$D:$D, $A146,
    'New 20102013 LF Efficacy'!$F:$F,"DEC", 
    'New 20102013 LF Efficacy'!$W:$W,"&lt;2014",
    'New 20102013 LF Efficacy'!$AA:$AA,""),
  ""
)</f>
        <v/>
      </c>
      <c r="AO146" s="115">
        <f t="shared" si="18"/>
        <v>0.3573520833</v>
      </c>
      <c r="AP146" s="121" t="str">
        <f>IFERROR(
AVERAGEIFS(
'New 20102013 LF Efficacy'!$J:$J,
'New 20102013 LF Efficacy'!$D:$D,$A146,
'New 20102013 LF Efficacy'!$F:$F,"Albendazole &amp; DEC",
'New 20102013 LF Efficacy'!$W:$W,"&lt;2014",
'New 20102013 LF Efficacy'!$AA:$AA,""),
"")
</f>
        <v/>
      </c>
      <c r="AQ146" s="115">
        <f t="shared" si="19"/>
        <v>0.5137291667</v>
      </c>
      <c r="AR146" s="121" t="str">
        <f>IFERROR(
AVERAGEIFS(
'New 20102013 LF Efficacy'!$J:$J,
'New 20102013 LF Efficacy'!$D:$D,$A146,
'New 20102013 LF Efficacy'!$F:$F,"Albendazole &amp; Ivermectin", 
'New 20102013 LF Efficacy'!$W:$W,"&lt;2014",
'New 20102013 LF Efficacy'!$AA:$AA,""),"")</f>
        <v/>
      </c>
      <c r="AS146" s="115">
        <f t="shared" si="20"/>
        <v>0.37153125</v>
      </c>
      <c r="AT146" s="130" t="str">
        <f>IFERROR(AVERAGEIFS(
'20102013 Schist Efficacy'!$O:$O, 
'20102013 Schist Efficacy'!$C:$C,$A146, 
'20102013 Schist Efficacy'!$D:$D, "Praziquantel",
'20102013 Schist Efficacy'!$J:$J,"&lt;2014",
'20102013 Schist Efficacy'!$U:$U,""),
"")</f>
        <v/>
      </c>
      <c r="AU146" s="118">
        <f t="shared" si="21"/>
        <v>0.655</v>
      </c>
      <c r="AV146" s="131" t="str">
        <f>IFERROR(AVERAGEIFS(
'20102013 STH Efficacy'!$AX:$AX, 
'20102013 STH Efficacy'!$AL:$AL, $A146, 
'20102013 STH Efficacy'!$AM:$AM, "Albendazole",
'20102013 STH Efficacy'!$AS:$AS,"&lt;2014",
'20102013 STH Efficacy'!$BP:$BP,""),
"")</f>
        <v/>
      </c>
      <c r="AW146" s="132">
        <f t="shared" si="22"/>
        <v>0.3933333333</v>
      </c>
      <c r="AX146" s="131" t="str">
        <f>IFERROR(AVERAGEIFS(
'20102013 STH Efficacy'!$AX:$AX, 
'20102013 STH Efficacy'!$AL:$AL, $A146, 
'20102013 STH Efficacy'!$AM:$AM, "Mebendazole",
'20102013 STH Efficacy'!$AS:$AS,"&lt;2014",
'20102013 STH Efficacy'!$BP:$BP,""),
"")</f>
        <v/>
      </c>
      <c r="AY146" s="132">
        <f t="shared" si="23"/>
        <v>0.5017738095</v>
      </c>
      <c r="AZ146" s="131" t="str">
        <f>IFERROR(AVERAGEIFS(
'20102013 STH Efficacy'!$AX:$AX, 
'20102013 STH Efficacy'!$AL:$AL, $A146, 
'20102013 STH Efficacy'!$AM:$AM, "Albendazole &amp; Ivermectin",
'20102013 STH Efficacy'!$AS:$AS,"&lt;2014",
'20102013 STH Efficacy'!$BP:$BP,""),
"")</f>
        <v/>
      </c>
      <c r="BA146" s="303">
        <f t="shared" si="24"/>
        <v>0.597625</v>
      </c>
      <c r="BB146" s="134" t="str">
        <f>IFERROR(AVERAGEIFS(
'20102013 STH Efficacy'!$N:$N, 
'20102013 STH Efficacy'!$B:$B, $A146, 
'20102013 STH Efficacy'!$C:$C, "Albendazole",
'20102013 STH Efficacy'!$I:$I,"&lt;2014",
'20102013 STH Efficacy'!$AH:$AH,""),
"")</f>
        <v/>
      </c>
      <c r="BC146" s="135">
        <f t="shared" si="25"/>
        <v>0.7613712121</v>
      </c>
      <c r="BD146" s="134" t="str">
        <f>IFERROR(AVERAGEIFS(
'20102013 STH Efficacy'!$N:$N, 
'20102013 STH Efficacy'!$B:$B, $A146, 
'20102013 STH Efficacy'!$C:$C, "Mebendazole",
'20102013 STH Efficacy'!$I:$I,"&lt;2014",
'20102013 STH Efficacy'!$AH:$AH,""),
"")</f>
        <v/>
      </c>
      <c r="BE146" s="135">
        <f t="shared" si="26"/>
        <v>0.4362466667</v>
      </c>
      <c r="BF146" s="128" t="str">
        <f>IFERROR(AVERAGEIFS(
'20102013 STH Efficacy'!$CD:$CD, 
'20102013 STH Efficacy'!$BS:$BS, $A146, 
'20102013 STH Efficacy'!$BT:$BT, "Albendazole",
'20102013 STH Efficacy'!$BZ:$BZ,"&lt;2014",
'20102013 STH Efficacy'!$CU:$CU,""),
"")</f>
        <v/>
      </c>
      <c r="BG146" s="136">
        <f t="shared" si="27"/>
        <v>0.9216027778</v>
      </c>
      <c r="BH146" s="128" t="str">
        <f>IFERROR(AVERAGEIFS(
'20102013 STH Efficacy'!$CD:$CD, 
'20102013 STH Efficacy'!$BS:$BS, $A146, 
'20102013 STH Efficacy'!$BT:$BT, "Mebendazole",
'20102013 STH Efficacy'!$BZ:$BZ,"&lt;2014",
'20102013 STH Efficacy'!$CU:$CU,""),
"")</f>
        <v/>
      </c>
      <c r="BI146" s="136">
        <f t="shared" si="28"/>
        <v>0.9295857143</v>
      </c>
      <c r="BJ146" s="128" t="str">
        <f>IFERROR(AVERAGEIFS(
'20102013 STH Efficacy'!$CD:$CD, 
'20102013 STH Efficacy'!$BS:$BS, $A146, 
'20102013 STH Efficacy'!$BT:$BT, "Albendazole &amp; Ivermectin",
'20102013 STH Efficacy'!$BZ:$BZ,"&lt;2014",
'20102013 STH Efficacy'!$CU:$CU,""),
"")</f>
        <v/>
      </c>
      <c r="BK146" s="136">
        <f t="shared" si="29"/>
        <v>1</v>
      </c>
      <c r="BL146" s="300" t="str">
        <f>IFERROR(
  AVERAGEIFS(
    'NEW 20102013 Onchocerciasis Eff'!$AO:$AO,
    'NEW 20102013 Onchocerciasis Eff'!$C:$C,$A146,
    'NEW 20102013 Onchocerciasis Eff'!$D:$D,"Ivermectin",
    'NEW 20102013 Onchocerciasis Eff'!$AR:$AR,"&lt;2014",
    'NEW 20102013 Onchocerciasis Eff'!$BG:$BG,"")
,"")</f>
        <v/>
      </c>
      <c r="BM146" s="304">
        <f t="shared" si="30"/>
        <v>0.7808368939</v>
      </c>
      <c r="BN146" s="305">
        <v>0.0</v>
      </c>
      <c r="BO146" s="139">
        <v>0.0</v>
      </c>
      <c r="BP146" s="140">
        <v>0.0</v>
      </c>
      <c r="BQ146" s="141">
        <f t="shared" si="31"/>
        <v>0</v>
      </c>
      <c r="BR146" s="104" t="str">
        <f t="shared" si="32"/>
        <v>0000</v>
      </c>
      <c r="BS146" s="104" t="str">
        <f t="shared" si="33"/>
        <v>no action required</v>
      </c>
      <c r="BT146" s="142" t="str">
        <f t="shared" si="34"/>
        <v/>
      </c>
      <c r="BU146" s="104" t="str">
        <f t="shared" si="50"/>
        <v/>
      </c>
      <c r="BV146" s="104" t="str">
        <f t="shared" si="36"/>
        <v>none</v>
      </c>
      <c r="BW146" s="150" t="str">
        <f t="shared" si="37"/>
        <v/>
      </c>
      <c r="BX146" s="150" t="str">
        <f t="shared" si="38"/>
        <v/>
      </c>
      <c r="BY146" s="151" t="str">
        <f t="shared" si="39"/>
        <v/>
      </c>
      <c r="BZ146" s="152" t="str">
        <f t="shared" si="40"/>
        <v/>
      </c>
      <c r="CA146" s="152" t="str">
        <f t="shared" si="41"/>
        <v/>
      </c>
      <c r="CB146" s="152" t="str">
        <f t="shared" si="42"/>
        <v/>
      </c>
      <c r="CC146" s="153" t="str">
        <f t="shared" si="43"/>
        <v/>
      </c>
      <c r="CD146" s="153" t="str">
        <f t="shared" si="44"/>
        <v/>
      </c>
      <c r="CE146" s="154" t="str">
        <f t="shared" si="45"/>
        <v/>
      </c>
      <c r="CF146" s="154" t="str">
        <f t="shared" si="46"/>
        <v/>
      </c>
      <c r="CG146" s="154" t="str">
        <f t="shared" si="47"/>
        <v/>
      </c>
      <c r="CH146" s="308" t="str">
        <f t="shared" si="48"/>
        <v/>
      </c>
      <c r="CI146" s="299"/>
    </row>
    <row r="147">
      <c r="A147" s="103" t="s">
        <v>236</v>
      </c>
      <c r="B147" s="104" t="s">
        <v>88</v>
      </c>
      <c r="C147" s="105">
        <v>3711481.0</v>
      </c>
      <c r="D147" s="293">
        <v>0.0</v>
      </c>
      <c r="E147" s="294">
        <v>98.30628945</v>
      </c>
      <c r="F147" s="326">
        <v>2.22492E-5</v>
      </c>
      <c r="G147" s="307">
        <v>1.11018E-4</v>
      </c>
      <c r="H147" s="108">
        <v>1.33267E-4</v>
      </c>
      <c r="I147" s="109">
        <v>0.02420758</v>
      </c>
      <c r="J147" s="109">
        <v>0.0142161</v>
      </c>
      <c r="K147" s="109">
        <v>0.03842368</v>
      </c>
      <c r="L147" s="112">
        <v>0.880276674</v>
      </c>
      <c r="M147" s="112">
        <v>0.241856521</v>
      </c>
      <c r="N147" s="111">
        <v>1.122133196</v>
      </c>
      <c r="O147" s="298">
        <v>0.0</v>
      </c>
      <c r="P147" s="114"/>
      <c r="Q147" s="114"/>
      <c r="R147" s="121" t="str">
        <f t="shared" si="11"/>
        <v/>
      </c>
      <c r="S147" s="116">
        <f t="shared" si="12"/>
        <v>0.4713987966</v>
      </c>
      <c r="T147" s="130"/>
      <c r="U147" s="118">
        <f t="shared" si="13"/>
        <v>0.5949</v>
      </c>
      <c r="V147" s="148"/>
      <c r="W147" s="120">
        <f t="shared" si="14"/>
        <v>0.9216</v>
      </c>
      <c r="X147" s="148"/>
      <c r="Y147" s="120">
        <f t="shared" si="15"/>
        <v>0.521</v>
      </c>
      <c r="Z147" s="299"/>
      <c r="AA147" s="299"/>
      <c r="AB147" s="300" t="str">
        <f t="shared" si="16"/>
        <v/>
      </c>
      <c r="AC147" s="301">
        <f t="shared" si="17"/>
        <v>0.3122297241</v>
      </c>
      <c r="AD147" s="122">
        <v>0.0</v>
      </c>
      <c r="AE147" s="123">
        <v>0.0</v>
      </c>
      <c r="AF147" s="123">
        <v>3.0E-4</v>
      </c>
      <c r="AG147" s="316">
        <v>0.0</v>
      </c>
      <c r="AH147" s="124">
        <v>0.005551816</v>
      </c>
      <c r="AI147" s="317">
        <v>0.0</v>
      </c>
      <c r="AJ147" s="125">
        <v>1.16072E-5</v>
      </c>
      <c r="AK147" s="319">
        <v>0.0</v>
      </c>
      <c r="AL147" s="319">
        <v>0.0</v>
      </c>
      <c r="AM147" s="302">
        <v>0.0</v>
      </c>
      <c r="AN147" s="149" t="str">
        <f>IFERROR(
  AVERAGEIFS(
    'New 20102013 LF Efficacy'!$J:$J,
    'New 20102013 LF Efficacy'!$D:$D, $A147,
    'New 20102013 LF Efficacy'!$F:$F,"DEC", 
    'New 20102013 LF Efficacy'!$W:$W,"&lt;2014",
    'New 20102013 LF Efficacy'!$AA:$AA,""),
  ""
)</f>
        <v/>
      </c>
      <c r="AO147" s="115">
        <f t="shared" si="18"/>
        <v>0.3573520833</v>
      </c>
      <c r="AP147" s="121" t="str">
        <f>IFERROR(
AVERAGEIFS(
'New 20102013 LF Efficacy'!$J:$J,
'New 20102013 LF Efficacy'!$D:$D,$A147,
'New 20102013 LF Efficacy'!$F:$F,"Albendazole &amp; DEC",
'New 20102013 LF Efficacy'!$W:$W,"&lt;2014",
'New 20102013 LF Efficacy'!$AA:$AA,""),
"")
</f>
        <v/>
      </c>
      <c r="AQ147" s="115">
        <f t="shared" si="19"/>
        <v>0.7935</v>
      </c>
      <c r="AR147" s="121" t="str">
        <f>IFERROR(
AVERAGEIFS(
'New 20102013 LF Efficacy'!$J:$J,
'New 20102013 LF Efficacy'!$D:$D,$A147,
'New 20102013 LF Efficacy'!$F:$F,"Albendazole &amp; Ivermectin", 
'New 20102013 LF Efficacy'!$W:$W,"&lt;2014",
'New 20102013 LF Efficacy'!$AA:$AA,""),"")</f>
        <v/>
      </c>
      <c r="AS147" s="115">
        <f t="shared" si="20"/>
        <v>0.37153125</v>
      </c>
      <c r="AT147" s="130" t="str">
        <f>IFERROR(AVERAGEIFS(
'20102013 Schist Efficacy'!$O:$O, 
'20102013 Schist Efficacy'!$C:$C,$A147, 
'20102013 Schist Efficacy'!$D:$D, "Praziquantel",
'20102013 Schist Efficacy'!$J:$J,"&lt;2014",
'20102013 Schist Efficacy'!$U:$U,""),
"")</f>
        <v/>
      </c>
      <c r="AU147" s="118">
        <f t="shared" si="21"/>
        <v>0.7763141026</v>
      </c>
      <c r="AV147" s="131" t="str">
        <f>IFERROR(AVERAGEIFS(
'20102013 STH Efficacy'!$AX:$AX, 
'20102013 STH Efficacy'!$AL:$AL, $A147, 
'20102013 STH Efficacy'!$AM:$AM, "Albendazole",
'20102013 STH Efficacy'!$AS:$AS,"&lt;2014",
'20102013 STH Efficacy'!$BP:$BP,""),
"")</f>
        <v/>
      </c>
      <c r="AW147" s="132">
        <f t="shared" si="22"/>
        <v>0.3933333333</v>
      </c>
      <c r="AX147" s="131" t="str">
        <f>IFERROR(AVERAGEIFS(
'20102013 STH Efficacy'!$AX:$AX, 
'20102013 STH Efficacy'!$AL:$AL, $A147, 
'20102013 STH Efficacy'!$AM:$AM, "Mebendazole",
'20102013 STH Efficacy'!$AS:$AS,"&lt;2014",
'20102013 STH Efficacy'!$BP:$BP,""),
"")</f>
        <v/>
      </c>
      <c r="AY147" s="132">
        <f t="shared" si="23"/>
        <v>0.5017738095</v>
      </c>
      <c r="AZ147" s="131" t="str">
        <f>IFERROR(AVERAGEIFS(
'20102013 STH Efficacy'!$AX:$AX, 
'20102013 STH Efficacy'!$AL:$AL, $A147, 
'20102013 STH Efficacy'!$AM:$AM, "Albendazole &amp; Ivermectin",
'20102013 STH Efficacy'!$AS:$AS,"&lt;2014",
'20102013 STH Efficacy'!$BP:$BP,""),
"")</f>
        <v/>
      </c>
      <c r="BA147" s="303">
        <f t="shared" si="24"/>
        <v>0.597625</v>
      </c>
      <c r="BB147" s="134" t="str">
        <f>IFERROR(AVERAGEIFS(
'20102013 STH Efficacy'!$N:$N, 
'20102013 STH Efficacy'!$B:$B, $A147, 
'20102013 STH Efficacy'!$C:$C, "Albendazole",
'20102013 STH Efficacy'!$I:$I,"&lt;2014",
'20102013 STH Efficacy'!$AH:$AH,""),
"")</f>
        <v/>
      </c>
      <c r="BC147" s="135">
        <f t="shared" si="25"/>
        <v>0.7613712121</v>
      </c>
      <c r="BD147" s="134" t="str">
        <f>IFERROR(AVERAGEIFS(
'20102013 STH Efficacy'!$N:$N, 
'20102013 STH Efficacy'!$B:$B, $A147, 
'20102013 STH Efficacy'!$C:$C, "Mebendazole",
'20102013 STH Efficacy'!$I:$I,"&lt;2014",
'20102013 STH Efficacy'!$AH:$AH,""),
"")</f>
        <v/>
      </c>
      <c r="BE147" s="135">
        <f t="shared" si="26"/>
        <v>0.4362466667</v>
      </c>
      <c r="BF147" s="128" t="str">
        <f>IFERROR(AVERAGEIFS(
'20102013 STH Efficacy'!$CD:$CD, 
'20102013 STH Efficacy'!$BS:$BS, $A147, 
'20102013 STH Efficacy'!$BT:$BT, "Albendazole",
'20102013 STH Efficacy'!$BZ:$BZ,"&lt;2014",
'20102013 STH Efficacy'!$CU:$CU,""),
"")</f>
        <v/>
      </c>
      <c r="BG147" s="136">
        <f t="shared" si="27"/>
        <v>0.955</v>
      </c>
      <c r="BH147" s="128" t="str">
        <f>IFERROR(AVERAGEIFS(
'20102013 STH Efficacy'!$CD:$CD, 
'20102013 STH Efficacy'!$BS:$BS, $A147, 
'20102013 STH Efficacy'!$BT:$BT, "Mebendazole",
'20102013 STH Efficacy'!$BZ:$BZ,"&lt;2014",
'20102013 STH Efficacy'!$CU:$CU,""),
"")</f>
        <v/>
      </c>
      <c r="BI147" s="136">
        <f t="shared" si="28"/>
        <v>1</v>
      </c>
      <c r="BJ147" s="128" t="str">
        <f>IFERROR(AVERAGEIFS(
'20102013 STH Efficacy'!$CD:$CD, 
'20102013 STH Efficacy'!$BS:$BS, $A147, 
'20102013 STH Efficacy'!$BT:$BT, "Albendazole &amp; Ivermectin",
'20102013 STH Efficacy'!$BZ:$BZ,"&lt;2014",
'20102013 STH Efficacy'!$CU:$CU,""),
"")</f>
        <v/>
      </c>
      <c r="BK147" s="136">
        <f t="shared" si="29"/>
        <v>1</v>
      </c>
      <c r="BL147" s="300" t="str">
        <f>IFERROR(
  AVERAGEIFS(
    'NEW 20102013 Onchocerciasis Eff'!$AO:$AO,
    'NEW 20102013 Onchocerciasis Eff'!$C:$C,$A147,
    'NEW 20102013 Onchocerciasis Eff'!$D:$D,"Ivermectin",
    'NEW 20102013 Onchocerciasis Eff'!$AR:$AR,"&lt;2014",
    'NEW 20102013 Onchocerciasis Eff'!$BG:$BG,"")
,"")</f>
        <v/>
      </c>
      <c r="BM147" s="304">
        <f t="shared" si="30"/>
        <v>0.7808368939</v>
      </c>
      <c r="BN147" s="305">
        <v>0.0</v>
      </c>
      <c r="BO147" s="139">
        <v>0.0</v>
      </c>
      <c r="BP147" s="140">
        <v>0.0</v>
      </c>
      <c r="BQ147" s="141">
        <f t="shared" si="31"/>
        <v>0</v>
      </c>
      <c r="BR147" s="104" t="str">
        <f t="shared" si="32"/>
        <v>0000</v>
      </c>
      <c r="BS147" s="104" t="str">
        <f t="shared" si="33"/>
        <v>no action required</v>
      </c>
      <c r="BT147" s="142" t="str">
        <f t="shared" si="34"/>
        <v/>
      </c>
      <c r="BU147" s="104" t="str">
        <f t="shared" si="50"/>
        <v/>
      </c>
      <c r="BV147" s="104" t="str">
        <f t="shared" si="36"/>
        <v>none</v>
      </c>
      <c r="BW147" s="150" t="str">
        <f t="shared" si="37"/>
        <v/>
      </c>
      <c r="BX147" s="150" t="str">
        <f t="shared" si="38"/>
        <v/>
      </c>
      <c r="BY147" s="151" t="str">
        <f t="shared" si="39"/>
        <v/>
      </c>
      <c r="BZ147" s="152" t="str">
        <f t="shared" si="40"/>
        <v/>
      </c>
      <c r="CA147" s="152" t="str">
        <f t="shared" si="41"/>
        <v/>
      </c>
      <c r="CB147" s="152" t="str">
        <f t="shared" si="42"/>
        <v/>
      </c>
      <c r="CC147" s="153" t="str">
        <f t="shared" si="43"/>
        <v/>
      </c>
      <c r="CD147" s="153" t="str">
        <f t="shared" si="44"/>
        <v/>
      </c>
      <c r="CE147" s="154" t="str">
        <f t="shared" si="45"/>
        <v/>
      </c>
      <c r="CF147" s="154" t="str">
        <f t="shared" si="46"/>
        <v/>
      </c>
      <c r="CG147" s="154" t="str">
        <f t="shared" si="47"/>
        <v/>
      </c>
      <c r="CH147" s="308" t="str">
        <f t="shared" si="48"/>
        <v/>
      </c>
      <c r="CI147" s="299"/>
    </row>
    <row r="148">
      <c r="A148" s="103" t="s">
        <v>237</v>
      </c>
      <c r="B148" s="104" t="s">
        <v>88</v>
      </c>
      <c r="C148" s="105">
        <v>1.81712595E8</v>
      </c>
      <c r="D148" s="293">
        <v>0.0</v>
      </c>
      <c r="E148" s="294">
        <v>0.0</v>
      </c>
      <c r="F148" s="295">
        <v>5.951447876</v>
      </c>
      <c r="G148" s="309">
        <v>22.91554167</v>
      </c>
      <c r="H148" s="157">
        <v>28.86698955</v>
      </c>
      <c r="I148" s="110">
        <v>483.302701</v>
      </c>
      <c r="J148" s="109">
        <v>949.153081</v>
      </c>
      <c r="K148" s="109">
        <v>1432.455782</v>
      </c>
      <c r="L148" s="112">
        <v>5931.238327</v>
      </c>
      <c r="M148" s="112">
        <v>11570.95299</v>
      </c>
      <c r="N148" s="111">
        <v>17502.19132</v>
      </c>
      <c r="O148" s="298">
        <v>0.0</v>
      </c>
      <c r="P148" s="114"/>
      <c r="Q148" s="114"/>
      <c r="R148" s="121" t="str">
        <f t="shared" si="11"/>
        <v/>
      </c>
      <c r="S148" s="116">
        <f t="shared" si="12"/>
        <v>0.4713987966</v>
      </c>
      <c r="T148" s="130"/>
      <c r="U148" s="118">
        <f t="shared" si="13"/>
        <v>0.5949</v>
      </c>
      <c r="V148" s="119">
        <v>0.9216</v>
      </c>
      <c r="W148" s="120">
        <f t="shared" si="14"/>
        <v>0.9216</v>
      </c>
      <c r="X148" s="148"/>
      <c r="Y148" s="120">
        <f t="shared" si="15"/>
        <v>0.521</v>
      </c>
      <c r="Z148" s="299"/>
      <c r="AA148" s="299"/>
      <c r="AB148" s="300" t="str">
        <f t="shared" si="16"/>
        <v/>
      </c>
      <c r="AC148" s="301">
        <f t="shared" si="17"/>
        <v>0.3122297241</v>
      </c>
      <c r="AD148" s="122">
        <v>0.0</v>
      </c>
      <c r="AE148" s="123">
        <v>0.0</v>
      </c>
      <c r="AF148" s="123">
        <v>0.0</v>
      </c>
      <c r="AG148" s="124">
        <v>0.0046</v>
      </c>
      <c r="AH148" s="124">
        <v>0.006935426</v>
      </c>
      <c r="AI148" s="125">
        <v>0.0039</v>
      </c>
      <c r="AJ148" s="125">
        <v>0.005976242</v>
      </c>
      <c r="AK148" s="127">
        <v>0.0605</v>
      </c>
      <c r="AL148" s="127">
        <v>0.0905</v>
      </c>
      <c r="AM148" s="302">
        <v>0.0</v>
      </c>
      <c r="AN148" s="149" t="str">
        <f>IFERROR(
  AVERAGEIFS(
    'New 20102013 LF Efficacy'!$J:$J,
    'New 20102013 LF Efficacy'!$D:$D, $A148,
    'New 20102013 LF Efficacy'!$F:$F,"DEC", 
    'New 20102013 LF Efficacy'!$W:$W,"&lt;2014",
    'New 20102013 LF Efficacy'!$AA:$AA,""),
  ""
)</f>
        <v/>
      </c>
      <c r="AO148" s="115">
        <f t="shared" si="18"/>
        <v>0.3573520833</v>
      </c>
      <c r="AP148" s="121" t="str">
        <f>IFERROR(
AVERAGEIFS(
'New 20102013 LF Efficacy'!$J:$J,
'New 20102013 LF Efficacy'!$D:$D,$A148,
'New 20102013 LF Efficacy'!$F:$F,"Albendazole &amp; DEC",
'New 20102013 LF Efficacy'!$W:$W,"&lt;2014",
'New 20102013 LF Efficacy'!$AA:$AA,""),
"")
</f>
        <v/>
      </c>
      <c r="AQ148" s="115">
        <f t="shared" si="19"/>
        <v>0.7935</v>
      </c>
      <c r="AR148" s="121" t="str">
        <f>IFERROR(
AVERAGEIFS(
'New 20102013 LF Efficacy'!$J:$J,
'New 20102013 LF Efficacy'!$D:$D,$A148,
'New 20102013 LF Efficacy'!$F:$F,"Albendazole &amp; Ivermectin", 
'New 20102013 LF Efficacy'!$W:$W,"&lt;2014",
'New 20102013 LF Efficacy'!$AA:$AA,""),"")</f>
        <v/>
      </c>
      <c r="AS148" s="115">
        <f t="shared" si="20"/>
        <v>0.37153125</v>
      </c>
      <c r="AT148" s="130" t="str">
        <f>IFERROR(AVERAGEIFS(
'20102013 Schist Efficacy'!$O:$O, 
'20102013 Schist Efficacy'!$C:$C,$A148, 
'20102013 Schist Efficacy'!$D:$D, "Praziquantel",
'20102013 Schist Efficacy'!$J:$J,"&lt;2014",
'20102013 Schist Efficacy'!$U:$U,""),
"")</f>
        <v/>
      </c>
      <c r="AU148" s="118">
        <f t="shared" si="21"/>
        <v>0.7763141026</v>
      </c>
      <c r="AV148" s="131" t="str">
        <f>IFERROR(AVERAGEIFS(
'20102013 STH Efficacy'!$AX:$AX, 
'20102013 STH Efficacy'!$AL:$AL, $A148, 
'20102013 STH Efficacy'!$AM:$AM, "Albendazole",
'20102013 STH Efficacy'!$AS:$AS,"&lt;2014",
'20102013 STH Efficacy'!$BP:$BP,""),
"")</f>
        <v/>
      </c>
      <c r="AW148" s="132">
        <f t="shared" si="22"/>
        <v>0.3933333333</v>
      </c>
      <c r="AX148" s="131" t="str">
        <f>IFERROR(AVERAGEIFS(
'20102013 STH Efficacy'!$AX:$AX, 
'20102013 STH Efficacy'!$AL:$AL, $A148, 
'20102013 STH Efficacy'!$AM:$AM, "Mebendazole",
'20102013 STH Efficacy'!$AS:$AS,"&lt;2014",
'20102013 STH Efficacy'!$BP:$BP,""),
"")</f>
        <v/>
      </c>
      <c r="AY148" s="132">
        <f t="shared" si="23"/>
        <v>0.5017738095</v>
      </c>
      <c r="AZ148" s="131" t="str">
        <f>IFERROR(AVERAGEIFS(
'20102013 STH Efficacy'!$AX:$AX, 
'20102013 STH Efficacy'!$AL:$AL, $A148, 
'20102013 STH Efficacy'!$AM:$AM, "Albendazole &amp; Ivermectin",
'20102013 STH Efficacy'!$AS:$AS,"&lt;2014",
'20102013 STH Efficacy'!$BP:$BP,""),
"")</f>
        <v/>
      </c>
      <c r="BA148" s="303">
        <f t="shared" si="24"/>
        <v>0.597625</v>
      </c>
      <c r="BB148" s="134" t="str">
        <f>IFERROR(AVERAGEIFS(
'20102013 STH Efficacy'!$N:$N, 
'20102013 STH Efficacy'!$B:$B, $A148, 
'20102013 STH Efficacy'!$C:$C, "Albendazole",
'20102013 STH Efficacy'!$I:$I,"&lt;2014",
'20102013 STH Efficacy'!$AH:$AH,""),
"")</f>
        <v/>
      </c>
      <c r="BC148" s="135">
        <f t="shared" si="25"/>
        <v>0.7613712121</v>
      </c>
      <c r="BD148" s="134" t="str">
        <f>IFERROR(AVERAGEIFS(
'20102013 STH Efficacy'!$N:$N, 
'20102013 STH Efficacy'!$B:$B, $A148, 
'20102013 STH Efficacy'!$C:$C, "Mebendazole",
'20102013 STH Efficacy'!$I:$I,"&lt;2014",
'20102013 STH Efficacy'!$AH:$AH,""),
"")</f>
        <v/>
      </c>
      <c r="BE148" s="135">
        <f t="shared" si="26"/>
        <v>0.4362466667</v>
      </c>
      <c r="BF148" s="128" t="str">
        <f>IFERROR(AVERAGEIFS(
'20102013 STH Efficacy'!$CD:$CD, 
'20102013 STH Efficacy'!$BS:$BS, $A148, 
'20102013 STH Efficacy'!$BT:$BT, "Albendazole",
'20102013 STH Efficacy'!$BZ:$BZ,"&lt;2014",
'20102013 STH Efficacy'!$CU:$CU,""),
"")</f>
        <v/>
      </c>
      <c r="BG148" s="136">
        <f t="shared" si="27"/>
        <v>0.955</v>
      </c>
      <c r="BH148" s="128">
        <f>IFERROR(AVERAGEIFS(
'20102013 STH Efficacy'!$CD:$CD, 
'20102013 STH Efficacy'!$BS:$BS, $A148, 
'20102013 STH Efficacy'!$BT:$BT, "Mebendazole",
'20102013 STH Efficacy'!$BZ:$BZ,"&lt;2014",
'20102013 STH Efficacy'!$CU:$CU,""),
"")</f>
        <v>1</v>
      </c>
      <c r="BI148" s="136">
        <f t="shared" si="28"/>
        <v>1</v>
      </c>
      <c r="BJ148" s="128" t="str">
        <f>IFERROR(AVERAGEIFS(
'20102013 STH Efficacy'!$CD:$CD, 
'20102013 STH Efficacy'!$BS:$BS, $A148, 
'20102013 STH Efficacy'!$BT:$BT, "Albendazole &amp; Ivermectin",
'20102013 STH Efficacy'!$BZ:$BZ,"&lt;2014",
'20102013 STH Efficacy'!$CU:$CU,""),
"")</f>
        <v/>
      </c>
      <c r="BK148" s="136">
        <f t="shared" si="29"/>
        <v>1</v>
      </c>
      <c r="BL148" s="300" t="str">
        <f>IFERROR(
  AVERAGEIFS(
    'NEW 20102013 Onchocerciasis Eff'!$AO:$AO,
    'NEW 20102013 Onchocerciasis Eff'!$C:$C,$A148,
    'NEW 20102013 Onchocerciasis Eff'!$D:$D,"Ivermectin",
    'NEW 20102013 Onchocerciasis Eff'!$AR:$AR,"&lt;2014",
    'NEW 20102013 Onchocerciasis Eff'!$BG:$BG,"")
,"")</f>
        <v/>
      </c>
      <c r="BM148" s="304">
        <f t="shared" si="30"/>
        <v>0.7808368939</v>
      </c>
      <c r="BN148" s="305">
        <v>0.0</v>
      </c>
      <c r="BO148" s="139">
        <v>0.0</v>
      </c>
      <c r="BP148" s="140">
        <v>0.0</v>
      </c>
      <c r="BQ148" s="141">
        <f t="shared" si="31"/>
        <v>0</v>
      </c>
      <c r="BR148" s="104" t="str">
        <f t="shared" si="32"/>
        <v>0000</v>
      </c>
      <c r="BS148" s="104" t="str">
        <f t="shared" si="33"/>
        <v>no action required</v>
      </c>
      <c r="BT148" s="142" t="str">
        <f t="shared" si="34"/>
        <v/>
      </c>
      <c r="BU148" s="104" t="str">
        <f t="shared" si="50"/>
        <v/>
      </c>
      <c r="BV148" s="104" t="str">
        <f t="shared" si="36"/>
        <v>none</v>
      </c>
      <c r="BW148" s="150" t="str">
        <f t="shared" si="37"/>
        <v/>
      </c>
      <c r="BX148" s="150" t="str">
        <f t="shared" si="38"/>
        <v/>
      </c>
      <c r="BY148" s="151" t="str">
        <f t="shared" si="39"/>
        <v/>
      </c>
      <c r="BZ148" s="152" t="str">
        <f t="shared" si="40"/>
        <v/>
      </c>
      <c r="CA148" s="152" t="str">
        <f t="shared" si="41"/>
        <v/>
      </c>
      <c r="CB148" s="152" t="str">
        <f t="shared" si="42"/>
        <v/>
      </c>
      <c r="CC148" s="153" t="str">
        <f t="shared" si="43"/>
        <v/>
      </c>
      <c r="CD148" s="153" t="str">
        <f t="shared" si="44"/>
        <v/>
      </c>
      <c r="CE148" s="154" t="str">
        <f t="shared" si="45"/>
        <v/>
      </c>
      <c r="CF148" s="154" t="str">
        <f t="shared" si="46"/>
        <v/>
      </c>
      <c r="CG148" s="154" t="str">
        <f t="shared" si="47"/>
        <v/>
      </c>
      <c r="CH148" s="308" t="str">
        <f t="shared" si="48"/>
        <v/>
      </c>
      <c r="CI148" s="299"/>
    </row>
    <row r="149">
      <c r="A149" s="103" t="s">
        <v>238</v>
      </c>
      <c r="B149" s="104" t="s">
        <v>94</v>
      </c>
      <c r="C149" s="105">
        <v>20920.0</v>
      </c>
      <c r="D149" s="293">
        <v>0.0</v>
      </c>
      <c r="E149" s="294">
        <v>0.0</v>
      </c>
      <c r="F149" s="325"/>
      <c r="G149" s="325"/>
      <c r="H149" s="108">
        <v>0.0</v>
      </c>
      <c r="I149" s="109">
        <v>0.0</v>
      </c>
      <c r="J149" s="109">
        <v>0.0</v>
      </c>
      <c r="K149" s="109">
        <v>0.0</v>
      </c>
      <c r="L149" s="113"/>
      <c r="M149" s="113"/>
      <c r="N149" s="111">
        <v>0.0</v>
      </c>
      <c r="O149" s="298">
        <v>0.0</v>
      </c>
      <c r="P149" s="156"/>
      <c r="Q149" s="156"/>
      <c r="R149" s="121" t="str">
        <f t="shared" si="11"/>
        <v/>
      </c>
      <c r="S149" s="116">
        <f t="shared" si="12"/>
        <v>0.403639098</v>
      </c>
      <c r="T149" s="130"/>
      <c r="U149" s="118">
        <f t="shared" si="13"/>
        <v>0.6259666667</v>
      </c>
      <c r="V149" s="148"/>
      <c r="W149" s="120">
        <f t="shared" si="14"/>
        <v>0.3807857143</v>
      </c>
      <c r="X149" s="148"/>
      <c r="Y149" s="120">
        <f t="shared" si="15"/>
        <v>0.3971375</v>
      </c>
      <c r="Z149" s="299"/>
      <c r="AA149" s="299"/>
      <c r="AB149" s="300" t="str">
        <f t="shared" si="16"/>
        <v/>
      </c>
      <c r="AC149" s="301">
        <f t="shared" si="17"/>
        <v>0.6295826791</v>
      </c>
      <c r="AD149" s="314">
        <v>0.0</v>
      </c>
      <c r="AE149" s="315">
        <v>0.0</v>
      </c>
      <c r="AF149" s="166">
        <v>0.0</v>
      </c>
      <c r="AG149" s="316">
        <v>0.0</v>
      </c>
      <c r="AH149" s="307">
        <v>0.0</v>
      </c>
      <c r="AI149" s="317">
        <v>0.0</v>
      </c>
      <c r="AJ149" s="318">
        <v>0.0</v>
      </c>
      <c r="AK149" s="319">
        <v>0.0</v>
      </c>
      <c r="AL149" s="319">
        <v>0.0</v>
      </c>
      <c r="AM149" s="320">
        <v>0.0</v>
      </c>
      <c r="AN149" s="149" t="str">
        <f>IFERROR(
  AVERAGEIFS(
    'New 20102013 LF Efficacy'!$J:$J,
    'New 20102013 LF Efficacy'!$D:$D, $A149,
    'New 20102013 LF Efficacy'!$F:$F,"DEC", 
    'New 20102013 LF Efficacy'!$W:$W,"&lt;2014",
    'New 20102013 LF Efficacy'!$AA:$AA,""),
  ""
)</f>
        <v/>
      </c>
      <c r="AO149" s="115">
        <f t="shared" si="18"/>
        <v>0.38</v>
      </c>
      <c r="AP149" s="121" t="str">
        <f>IFERROR(
AVERAGEIFS(
'New 20102013 LF Efficacy'!$J:$J,
'New 20102013 LF Efficacy'!$D:$D,$A149,
'New 20102013 LF Efficacy'!$F:$F,"Albendazole &amp; DEC",
'New 20102013 LF Efficacy'!$W:$W,"&lt;2014",
'New 20102013 LF Efficacy'!$AA:$AA,""),
"")
</f>
        <v/>
      </c>
      <c r="AQ149" s="115">
        <f t="shared" si="19"/>
        <v>0.657</v>
      </c>
      <c r="AR149" s="121" t="str">
        <f>IFERROR(
AVERAGEIFS(
'New 20102013 LF Efficacy'!$J:$J,
'New 20102013 LF Efficacy'!$D:$D,$A149,
'New 20102013 LF Efficacy'!$F:$F,"Albendazole &amp; Ivermectin", 
'New 20102013 LF Efficacy'!$W:$W,"&lt;2014",
'New 20102013 LF Efficacy'!$AA:$AA,""),"")</f>
        <v/>
      </c>
      <c r="AS149" s="115">
        <f t="shared" si="20"/>
        <v>0.37153125</v>
      </c>
      <c r="AT149" s="130" t="str">
        <f>IFERROR(AVERAGEIFS(
'20102013 Schist Efficacy'!$O:$O, 
'20102013 Schist Efficacy'!$C:$C,$A149, 
'20102013 Schist Efficacy'!$D:$D, "Praziquantel",
'20102013 Schist Efficacy'!$J:$J,"&lt;2014",
'20102013 Schist Efficacy'!$U:$U,""),
"")</f>
        <v/>
      </c>
      <c r="AU149" s="118">
        <f t="shared" si="21"/>
        <v>0.9475</v>
      </c>
      <c r="AV149" s="131" t="str">
        <f>IFERROR(AVERAGEIFS(
'20102013 STH Efficacy'!$AX:$AX, 
'20102013 STH Efficacy'!$AL:$AL, $A149, 
'20102013 STH Efficacy'!$AM:$AM, "Albendazole",
'20102013 STH Efficacy'!$AS:$AS,"&lt;2014",
'20102013 STH Efficacy'!$BP:$BP,""),
"")</f>
        <v/>
      </c>
      <c r="AW149" s="132">
        <f t="shared" si="22"/>
        <v>0.3571666667</v>
      </c>
      <c r="AX149" s="131" t="str">
        <f>IFERROR(AVERAGEIFS(
'20102013 STH Efficacy'!$AX:$AX, 
'20102013 STH Efficacy'!$AL:$AL, $A149, 
'20102013 STH Efficacy'!$AM:$AM, "Mebendazole",
'20102013 STH Efficacy'!$AS:$AS,"&lt;2014",
'20102013 STH Efficacy'!$BP:$BP,""),
"")</f>
        <v/>
      </c>
      <c r="AY149" s="132">
        <f t="shared" si="23"/>
        <v>0.4155</v>
      </c>
      <c r="AZ149" s="131" t="str">
        <f>IFERROR(AVERAGEIFS(
'20102013 STH Efficacy'!$AX:$AX, 
'20102013 STH Efficacy'!$AL:$AL, $A149, 
'20102013 STH Efficacy'!$AM:$AM, "Albendazole &amp; Ivermectin",
'20102013 STH Efficacy'!$AS:$AS,"&lt;2014",
'20102013 STH Efficacy'!$BP:$BP,""),
"")</f>
        <v/>
      </c>
      <c r="BA149" s="303">
        <f t="shared" si="24"/>
        <v>0.651</v>
      </c>
      <c r="BB149" s="134" t="str">
        <f>IFERROR(AVERAGEIFS(
'20102013 STH Efficacy'!$N:$N, 
'20102013 STH Efficacy'!$B:$B, $A149, 
'20102013 STH Efficacy'!$C:$C, "Albendazole",
'20102013 STH Efficacy'!$I:$I,"&lt;2014",
'20102013 STH Efficacy'!$AH:$AH,""),
"")</f>
        <v/>
      </c>
      <c r="BC149" s="135">
        <f t="shared" si="25"/>
        <v>0.5769166667</v>
      </c>
      <c r="BD149" s="134" t="str">
        <f>IFERROR(AVERAGEIFS(
'20102013 STH Efficacy'!$N:$N, 
'20102013 STH Efficacy'!$B:$B, $A149, 
'20102013 STH Efficacy'!$C:$C, "Mebendazole",
'20102013 STH Efficacy'!$I:$I,"&lt;2014",
'20102013 STH Efficacy'!$AH:$AH,""),
"")</f>
        <v/>
      </c>
      <c r="BE149" s="135">
        <f t="shared" si="26"/>
        <v>0.3145</v>
      </c>
      <c r="BF149" s="128" t="str">
        <f>IFERROR(AVERAGEIFS(
'20102013 STH Efficacy'!$CD:$CD, 
'20102013 STH Efficacy'!$BS:$BS, $A149, 
'20102013 STH Efficacy'!$BT:$BT, "Albendazole",
'20102013 STH Efficacy'!$BZ:$BZ,"&lt;2014",
'20102013 STH Efficacy'!$CU:$CU,""),
"")</f>
        <v/>
      </c>
      <c r="BG149" s="136">
        <f t="shared" si="27"/>
        <v>0.96925</v>
      </c>
      <c r="BH149" s="128" t="str">
        <f>IFERROR(AVERAGEIFS(
'20102013 STH Efficacy'!$CD:$CD, 
'20102013 STH Efficacy'!$BS:$BS, $A149, 
'20102013 STH Efficacy'!$BT:$BT, "Mebendazole",
'20102013 STH Efficacy'!$BZ:$BZ,"&lt;2014",
'20102013 STH Efficacy'!$CU:$CU,""),
"")</f>
        <v/>
      </c>
      <c r="BI149" s="136">
        <f t="shared" si="28"/>
        <v>0.9305</v>
      </c>
      <c r="BJ149" s="128" t="str">
        <f>IFERROR(AVERAGEIFS(
'20102013 STH Efficacy'!$CD:$CD, 
'20102013 STH Efficacy'!$BS:$BS, $A149, 
'20102013 STH Efficacy'!$BT:$BT, "Albendazole &amp; Ivermectin",
'20102013 STH Efficacy'!$BZ:$BZ,"&lt;2014",
'20102013 STH Efficacy'!$CU:$CU,""),
"")</f>
        <v/>
      </c>
      <c r="BK149" s="136">
        <f t="shared" si="29"/>
        <v>1</v>
      </c>
      <c r="BL149" s="300" t="str">
        <f>IFERROR(
  AVERAGEIFS(
    'NEW 20102013 Onchocerciasis Eff'!$AO:$AO,
    'NEW 20102013 Onchocerciasis Eff'!$C:$C,$A149,
    'NEW 20102013 Onchocerciasis Eff'!$D:$D,"Ivermectin",
    'NEW 20102013 Onchocerciasis Eff'!$AR:$AR,"&lt;2014",
    'NEW 20102013 Onchocerciasis Eff'!$BG:$BG,"")
,"")</f>
        <v/>
      </c>
      <c r="BM149" s="304">
        <f t="shared" si="30"/>
        <v>0.7808368939</v>
      </c>
      <c r="BN149" s="305">
        <v>0.0</v>
      </c>
      <c r="BO149" s="139">
        <v>0.0</v>
      </c>
      <c r="BP149" s="140">
        <v>0.0</v>
      </c>
      <c r="BQ149" s="141">
        <f t="shared" si="31"/>
        <v>0</v>
      </c>
      <c r="BR149" s="104" t="str">
        <f t="shared" si="32"/>
        <v>0000</v>
      </c>
      <c r="BS149" s="104" t="str">
        <f t="shared" si="33"/>
        <v>no action required</v>
      </c>
      <c r="BT149" s="142" t="str">
        <f t="shared" si="34"/>
        <v/>
      </c>
      <c r="BU149" s="104" t="str">
        <f t="shared" si="50"/>
        <v/>
      </c>
      <c r="BV149" s="104" t="str">
        <f t="shared" si="36"/>
        <v>none</v>
      </c>
      <c r="BW149" s="150" t="str">
        <f t="shared" si="37"/>
        <v/>
      </c>
      <c r="BX149" s="150" t="str">
        <f t="shared" si="38"/>
        <v/>
      </c>
      <c r="BY149" s="151" t="str">
        <f t="shared" si="39"/>
        <v/>
      </c>
      <c r="BZ149" s="152" t="str">
        <f t="shared" si="40"/>
        <v/>
      </c>
      <c r="CA149" s="152" t="str">
        <f t="shared" si="41"/>
        <v/>
      </c>
      <c r="CB149" s="152" t="str">
        <f t="shared" si="42"/>
        <v/>
      </c>
      <c r="CC149" s="153" t="str">
        <f t="shared" si="43"/>
        <v/>
      </c>
      <c r="CD149" s="153" t="str">
        <f t="shared" si="44"/>
        <v/>
      </c>
      <c r="CE149" s="154" t="str">
        <f t="shared" si="45"/>
        <v/>
      </c>
      <c r="CF149" s="154" t="str">
        <f t="shared" si="46"/>
        <v/>
      </c>
      <c r="CG149" s="154" t="str">
        <f t="shared" si="47"/>
        <v/>
      </c>
      <c r="CH149" s="308" t="str">
        <f t="shared" si="48"/>
        <v/>
      </c>
      <c r="CI149" s="299"/>
    </row>
    <row r="150">
      <c r="A150" s="103" t="s">
        <v>239</v>
      </c>
      <c r="B150" s="104" t="s">
        <v>98</v>
      </c>
      <c r="C150" s="105">
        <v>3838462.0</v>
      </c>
      <c r="D150" s="293">
        <v>0.0</v>
      </c>
      <c r="E150" s="294">
        <v>0.0</v>
      </c>
      <c r="F150" s="307">
        <v>0.0</v>
      </c>
      <c r="G150" s="307">
        <v>0.0</v>
      </c>
      <c r="H150" s="108">
        <v>0.0</v>
      </c>
      <c r="I150" s="109">
        <v>0.01508363</v>
      </c>
      <c r="J150" s="109">
        <v>0.01953974</v>
      </c>
      <c r="K150" s="109">
        <v>0.034623373</v>
      </c>
      <c r="L150" s="112">
        <v>60.7881305</v>
      </c>
      <c r="M150" s="112">
        <v>43.25094637</v>
      </c>
      <c r="N150" s="111">
        <v>104.0390769</v>
      </c>
      <c r="O150" s="298">
        <v>0.0</v>
      </c>
      <c r="P150" s="114"/>
      <c r="Q150" s="114"/>
      <c r="R150" s="121" t="str">
        <f t="shared" si="11"/>
        <v/>
      </c>
      <c r="S150" s="116">
        <f t="shared" si="12"/>
        <v>0.2288425133</v>
      </c>
      <c r="T150" s="130"/>
      <c r="U150" s="118">
        <f t="shared" si="13"/>
        <v>0.39435</v>
      </c>
      <c r="V150" s="148"/>
      <c r="W150" s="120">
        <f t="shared" si="14"/>
        <v>0.542475</v>
      </c>
      <c r="X150" s="119">
        <v>0.8815</v>
      </c>
      <c r="Y150" s="120">
        <f t="shared" si="15"/>
        <v>0.8815</v>
      </c>
      <c r="Z150" s="299"/>
      <c r="AA150" s="299"/>
      <c r="AB150" s="300" t="str">
        <f t="shared" si="16"/>
        <v/>
      </c>
      <c r="AC150" s="301">
        <f t="shared" si="17"/>
        <v>0.3490201688</v>
      </c>
      <c r="AD150" s="122">
        <v>0.0</v>
      </c>
      <c r="AE150" s="123">
        <v>0.0</v>
      </c>
      <c r="AF150" s="123">
        <v>0.0</v>
      </c>
      <c r="AG150" s="316">
        <v>0.0</v>
      </c>
      <c r="AH150" s="124">
        <v>9.05352E-6</v>
      </c>
      <c r="AI150" s="317">
        <v>0.0</v>
      </c>
      <c r="AJ150" s="125">
        <v>8.97118E-6</v>
      </c>
      <c r="AK150" s="319">
        <v>0.0</v>
      </c>
      <c r="AL150" s="319">
        <v>0.0</v>
      </c>
      <c r="AM150" s="302">
        <v>0.0</v>
      </c>
      <c r="AN150" s="149" t="str">
        <f>IFERROR(
  AVERAGEIFS(
    'New 20102013 LF Efficacy'!$J:$J,
    'New 20102013 LF Efficacy'!$D:$D, $A150,
    'New 20102013 LF Efficacy'!$F:$F,"DEC", 
    'New 20102013 LF Efficacy'!$W:$W,"&lt;2014",
    'New 20102013 LF Efficacy'!$AA:$AA,""),
  ""
)</f>
        <v/>
      </c>
      <c r="AO150" s="115">
        <f t="shared" si="18"/>
        <v>0.2589833333</v>
      </c>
      <c r="AP150" s="121" t="str">
        <f>IFERROR(
AVERAGEIFS(
'New 20102013 LF Efficacy'!$J:$J,
'New 20102013 LF Efficacy'!$D:$D,$A150,
'New 20102013 LF Efficacy'!$F:$F,"Albendazole &amp; DEC",
'New 20102013 LF Efficacy'!$W:$W,"&lt;2014",
'New 20102013 LF Efficacy'!$AA:$AA,""),
"")
</f>
        <v/>
      </c>
      <c r="AQ150" s="115">
        <f t="shared" si="19"/>
        <v>0.3465</v>
      </c>
      <c r="AR150" s="121" t="str">
        <f>IFERROR(
AVERAGEIFS(
'New 20102013 LF Efficacy'!$J:$J,
'New 20102013 LF Efficacy'!$D:$D,$A150,
'New 20102013 LF Efficacy'!$F:$F,"Albendazole &amp; Ivermectin", 
'New 20102013 LF Efficacy'!$W:$W,"&lt;2014",
'New 20102013 LF Efficacy'!$AA:$AA,""),"")</f>
        <v/>
      </c>
      <c r="AS150" s="115">
        <f t="shared" si="20"/>
        <v>0.7575</v>
      </c>
      <c r="AT150" s="130" t="str">
        <f>IFERROR(AVERAGEIFS(
'20102013 Schist Efficacy'!$O:$O, 
'20102013 Schist Efficacy'!$C:$C,$A150, 
'20102013 Schist Efficacy'!$D:$D, "Praziquantel",
'20102013 Schist Efficacy'!$J:$J,"&lt;2014",
'20102013 Schist Efficacy'!$U:$U,""),
"")</f>
        <v/>
      </c>
      <c r="AU150" s="118">
        <f t="shared" si="21"/>
        <v>0.7914761905</v>
      </c>
      <c r="AV150" s="131" t="str">
        <f>IFERROR(AVERAGEIFS(
'20102013 STH Efficacy'!$AX:$AX, 
'20102013 STH Efficacy'!$AL:$AL, $A150, 
'20102013 STH Efficacy'!$AM:$AM, "Albendazole",
'20102013 STH Efficacy'!$AS:$AS,"&lt;2014",
'20102013 STH Efficacy'!$BP:$BP,""),
"")</f>
        <v/>
      </c>
      <c r="AW150" s="132">
        <f t="shared" si="22"/>
        <v>0.3945</v>
      </c>
      <c r="AX150" s="131" t="str">
        <f>IFERROR(AVERAGEIFS(
'20102013 STH Efficacy'!$AX:$AX, 
'20102013 STH Efficacy'!$AL:$AL, $A150, 
'20102013 STH Efficacy'!$AM:$AM, "Mebendazole",
'20102013 STH Efficacy'!$AS:$AS,"&lt;2014",
'20102013 STH Efficacy'!$BP:$BP,""),
"")</f>
        <v/>
      </c>
      <c r="AY150" s="132">
        <f t="shared" si="23"/>
        <v>0.6</v>
      </c>
      <c r="AZ150" s="131" t="str">
        <f>IFERROR(AVERAGEIFS(
'20102013 STH Efficacy'!$AX:$AX, 
'20102013 STH Efficacy'!$AL:$AL, $A150, 
'20102013 STH Efficacy'!$AM:$AM, "Albendazole &amp; Ivermectin",
'20102013 STH Efficacy'!$AS:$AS,"&lt;2014",
'20102013 STH Efficacy'!$BP:$BP,""),
"")</f>
        <v/>
      </c>
      <c r="BA150" s="303">
        <f t="shared" si="24"/>
        <v>0.796</v>
      </c>
      <c r="BB150" s="134" t="str">
        <f>IFERROR(AVERAGEIFS(
'20102013 STH Efficacy'!$N:$N, 
'20102013 STH Efficacy'!$B:$B, $A150, 
'20102013 STH Efficacy'!$C:$C, "Albendazole",
'20102013 STH Efficacy'!$I:$I,"&lt;2014",
'20102013 STH Efficacy'!$AH:$AH,""),
"")</f>
        <v/>
      </c>
      <c r="BC150" s="135">
        <f t="shared" si="25"/>
        <v>0.869</v>
      </c>
      <c r="BD150" s="134" t="str">
        <f>IFERROR(AVERAGEIFS(
'20102013 STH Efficacy'!$N:$N, 
'20102013 STH Efficacy'!$B:$B, $A150, 
'20102013 STH Efficacy'!$C:$C, "Mebendazole",
'20102013 STH Efficacy'!$I:$I,"&lt;2014",
'20102013 STH Efficacy'!$AH:$AH,""),
"")</f>
        <v/>
      </c>
      <c r="BE150" s="135">
        <f t="shared" si="26"/>
        <v>0.172</v>
      </c>
      <c r="BF150" s="128" t="str">
        <f>IFERROR(AVERAGEIFS(
'20102013 STH Efficacy'!$CD:$CD, 
'20102013 STH Efficacy'!$BS:$BS, $A150, 
'20102013 STH Efficacy'!$BT:$BT, "Albendazole",
'20102013 STH Efficacy'!$BZ:$BZ,"&lt;2014",
'20102013 STH Efficacy'!$CU:$CU,""),
"")</f>
        <v/>
      </c>
      <c r="BG150" s="136">
        <f t="shared" si="27"/>
        <v>0.9862</v>
      </c>
      <c r="BH150" s="128" t="str">
        <f>IFERROR(AVERAGEIFS(
'20102013 STH Efficacy'!$CD:$CD, 
'20102013 STH Efficacy'!$BS:$BS, $A150, 
'20102013 STH Efficacy'!$BT:$BT, "Mebendazole",
'20102013 STH Efficacy'!$BZ:$BZ,"&lt;2014",
'20102013 STH Efficacy'!$CU:$CU,""),
"")</f>
        <v/>
      </c>
      <c r="BI150" s="136">
        <f t="shared" si="28"/>
        <v>0.769</v>
      </c>
      <c r="BJ150" s="128" t="str">
        <f>IFERROR(AVERAGEIFS(
'20102013 STH Efficacy'!$CD:$CD, 
'20102013 STH Efficacy'!$BS:$BS, $A150, 
'20102013 STH Efficacy'!$BT:$BT, "Albendazole &amp; Ivermectin",
'20102013 STH Efficacy'!$BZ:$BZ,"&lt;2014",
'20102013 STH Efficacy'!$CU:$CU,""),
"")</f>
        <v/>
      </c>
      <c r="BK150" s="136">
        <f t="shared" si="29"/>
        <v>1</v>
      </c>
      <c r="BL150" s="300" t="str">
        <f>IFERROR(
  AVERAGEIFS(
    'NEW 20102013 Onchocerciasis Eff'!$AO:$AO,
    'NEW 20102013 Onchocerciasis Eff'!$C:$C,$A150,
    'NEW 20102013 Onchocerciasis Eff'!$D:$D,"Ivermectin",
    'NEW 20102013 Onchocerciasis Eff'!$AR:$AR,"&lt;2014",
    'NEW 20102013 Onchocerciasis Eff'!$BG:$BG,"")
,"")</f>
        <v/>
      </c>
      <c r="BM150" s="304">
        <f t="shared" si="30"/>
        <v>0.3734</v>
      </c>
      <c r="BN150" s="305">
        <v>0.0</v>
      </c>
      <c r="BO150" s="139">
        <v>0.0</v>
      </c>
      <c r="BP150" s="140">
        <v>0.0</v>
      </c>
      <c r="BQ150" s="141">
        <f t="shared" si="31"/>
        <v>0</v>
      </c>
      <c r="BR150" s="104" t="str">
        <f t="shared" si="32"/>
        <v>0000</v>
      </c>
      <c r="BS150" s="104" t="str">
        <f t="shared" si="33"/>
        <v>no action required</v>
      </c>
      <c r="BT150" s="142" t="str">
        <f t="shared" si="34"/>
        <v/>
      </c>
      <c r="BU150" s="104" t="str">
        <f t="shared" si="50"/>
        <v/>
      </c>
      <c r="BV150" s="104" t="str">
        <f t="shared" si="36"/>
        <v>none</v>
      </c>
      <c r="BW150" s="150" t="str">
        <f t="shared" si="37"/>
        <v/>
      </c>
      <c r="BX150" s="150" t="str">
        <f t="shared" si="38"/>
        <v/>
      </c>
      <c r="BY150" s="151" t="str">
        <f t="shared" si="39"/>
        <v/>
      </c>
      <c r="BZ150" s="152" t="str">
        <f t="shared" si="40"/>
        <v/>
      </c>
      <c r="CA150" s="152" t="str">
        <f t="shared" si="41"/>
        <v/>
      </c>
      <c r="CB150" s="152" t="str">
        <f t="shared" si="42"/>
        <v/>
      </c>
      <c r="CC150" s="153" t="str">
        <f t="shared" si="43"/>
        <v/>
      </c>
      <c r="CD150" s="153" t="str">
        <f t="shared" si="44"/>
        <v/>
      </c>
      <c r="CE150" s="154" t="str">
        <f t="shared" si="45"/>
        <v/>
      </c>
      <c r="CF150" s="154" t="str">
        <f t="shared" si="46"/>
        <v/>
      </c>
      <c r="CG150" s="154" t="str">
        <f t="shared" si="47"/>
        <v/>
      </c>
      <c r="CH150" s="308" t="str">
        <f t="shared" si="48"/>
        <v/>
      </c>
      <c r="CI150" s="299"/>
    </row>
    <row r="151">
      <c r="A151" s="103" t="s">
        <v>240</v>
      </c>
      <c r="B151" s="104" t="s">
        <v>94</v>
      </c>
      <c r="C151" s="105">
        <v>7592865.0</v>
      </c>
      <c r="D151" s="293">
        <v>17202.190000000002</v>
      </c>
      <c r="E151" s="294">
        <v>0.0</v>
      </c>
      <c r="F151" s="307">
        <v>0.0</v>
      </c>
      <c r="G151" s="307">
        <v>0.0</v>
      </c>
      <c r="H151" s="108">
        <v>0.0</v>
      </c>
      <c r="I151" s="109">
        <v>2296.36082</v>
      </c>
      <c r="J151" s="109">
        <v>6636.7208</v>
      </c>
      <c r="K151" s="109">
        <v>8933.081621</v>
      </c>
      <c r="L151" s="112">
        <v>3354.142837</v>
      </c>
      <c r="M151" s="112">
        <v>1410.790303</v>
      </c>
      <c r="N151" s="111">
        <v>4764.93314</v>
      </c>
      <c r="O151" s="298">
        <v>0.0</v>
      </c>
      <c r="P151" s="160">
        <v>5602188.0</v>
      </c>
      <c r="Q151" s="156"/>
      <c r="R151" s="121">
        <f t="shared" si="11"/>
        <v>0</v>
      </c>
      <c r="S151" s="116">
        <f t="shared" si="12"/>
        <v>0.403639098</v>
      </c>
      <c r="T151" s="130"/>
      <c r="U151" s="118">
        <f t="shared" si="13"/>
        <v>0.6259666667</v>
      </c>
      <c r="V151" s="148"/>
      <c r="W151" s="120">
        <f t="shared" si="14"/>
        <v>0.3807857143</v>
      </c>
      <c r="X151" s="148"/>
      <c r="Y151" s="120">
        <f t="shared" si="15"/>
        <v>0.3971375</v>
      </c>
      <c r="Z151" s="299"/>
      <c r="AA151" s="299"/>
      <c r="AB151" s="300" t="str">
        <f t="shared" si="16"/>
        <v/>
      </c>
      <c r="AC151" s="301">
        <f t="shared" si="17"/>
        <v>0.6295826791</v>
      </c>
      <c r="AD151" s="122">
        <v>0.0741</v>
      </c>
      <c r="AE151" s="123">
        <v>0.0</v>
      </c>
      <c r="AF151" s="123">
        <v>0.0</v>
      </c>
      <c r="AG151" s="316">
        <v>0.0</v>
      </c>
      <c r="AH151" s="124">
        <v>1.12159E-5</v>
      </c>
      <c r="AI151" s="317">
        <v>0.0</v>
      </c>
      <c r="AJ151" s="125">
        <v>0.577821184</v>
      </c>
      <c r="AK151" s="319">
        <v>0.0</v>
      </c>
      <c r="AL151" s="319">
        <v>0.0</v>
      </c>
      <c r="AM151" s="302">
        <v>0.0</v>
      </c>
      <c r="AN151" s="149">
        <f>IFERROR(
  AVERAGEIFS(
    'New 20102013 LF Efficacy'!$J:$J,
    'New 20102013 LF Efficacy'!$D:$D, $A151,
    'New 20102013 LF Efficacy'!$F:$F,"DEC", 
    'New 20102013 LF Efficacy'!$W:$W,"&lt;2014",
    'New 20102013 LF Efficacy'!$AA:$AA,""),
  ""
)</f>
        <v>0.5</v>
      </c>
      <c r="AO151" s="115">
        <f t="shared" si="18"/>
        <v>0.5</v>
      </c>
      <c r="AP151" s="121">
        <f>IFERROR(
AVERAGEIFS(
'New 20102013 LF Efficacy'!$J:$J,
'New 20102013 LF Efficacy'!$D:$D,$A151,
'New 20102013 LF Efficacy'!$F:$F,"Albendazole &amp; DEC",
'New 20102013 LF Efficacy'!$W:$W,"&lt;2014",
'New 20102013 LF Efficacy'!$AA:$AA,""),
"")
</f>
        <v>0.657</v>
      </c>
      <c r="AQ151" s="115">
        <f t="shared" si="19"/>
        <v>0.657</v>
      </c>
      <c r="AR151" s="121" t="str">
        <f>IFERROR(
AVERAGEIFS(
'New 20102013 LF Efficacy'!$J:$J,
'New 20102013 LF Efficacy'!$D:$D,$A151,
'New 20102013 LF Efficacy'!$F:$F,"Albendazole &amp; Ivermectin", 
'New 20102013 LF Efficacy'!$W:$W,"&lt;2014",
'New 20102013 LF Efficacy'!$AA:$AA,""),"")</f>
        <v/>
      </c>
      <c r="AS151" s="115">
        <f t="shared" si="20"/>
        <v>0.37153125</v>
      </c>
      <c r="AT151" s="130" t="str">
        <f>IFERROR(AVERAGEIFS(
'20102013 Schist Efficacy'!$O:$O, 
'20102013 Schist Efficacy'!$C:$C,$A151, 
'20102013 Schist Efficacy'!$D:$D, "Praziquantel",
'20102013 Schist Efficacy'!$J:$J,"&lt;2014",
'20102013 Schist Efficacy'!$U:$U,""),
"")</f>
        <v/>
      </c>
      <c r="AU151" s="118">
        <f t="shared" si="21"/>
        <v>0.9475</v>
      </c>
      <c r="AV151" s="131" t="str">
        <f>IFERROR(AVERAGEIFS(
'20102013 STH Efficacy'!$AX:$AX, 
'20102013 STH Efficacy'!$AL:$AL, $A151, 
'20102013 STH Efficacy'!$AM:$AM, "Albendazole",
'20102013 STH Efficacy'!$AS:$AS,"&lt;2014",
'20102013 STH Efficacy'!$BP:$BP,""),
"")</f>
        <v/>
      </c>
      <c r="AW151" s="132">
        <f t="shared" si="22"/>
        <v>0.3571666667</v>
      </c>
      <c r="AX151" s="131" t="str">
        <f>IFERROR(AVERAGEIFS(
'20102013 STH Efficacy'!$AX:$AX, 
'20102013 STH Efficacy'!$AL:$AL, $A151, 
'20102013 STH Efficacy'!$AM:$AM, "Mebendazole",
'20102013 STH Efficacy'!$AS:$AS,"&lt;2014",
'20102013 STH Efficacy'!$BP:$BP,""),
"")</f>
        <v/>
      </c>
      <c r="AY151" s="132">
        <f t="shared" si="23"/>
        <v>0.4155</v>
      </c>
      <c r="AZ151" s="131" t="str">
        <f>IFERROR(AVERAGEIFS(
'20102013 STH Efficacy'!$AX:$AX, 
'20102013 STH Efficacy'!$AL:$AL, $A151, 
'20102013 STH Efficacy'!$AM:$AM, "Albendazole &amp; Ivermectin",
'20102013 STH Efficacy'!$AS:$AS,"&lt;2014",
'20102013 STH Efficacy'!$BP:$BP,""),
"")</f>
        <v/>
      </c>
      <c r="BA151" s="303">
        <f t="shared" si="24"/>
        <v>0.651</v>
      </c>
      <c r="BB151" s="134" t="str">
        <f>IFERROR(AVERAGEIFS(
'20102013 STH Efficacy'!$N:$N, 
'20102013 STH Efficacy'!$B:$B, $A151, 
'20102013 STH Efficacy'!$C:$C, "Albendazole",
'20102013 STH Efficacy'!$I:$I,"&lt;2014",
'20102013 STH Efficacy'!$AH:$AH,""),
"")</f>
        <v/>
      </c>
      <c r="BC151" s="135">
        <f t="shared" si="25"/>
        <v>0.5769166667</v>
      </c>
      <c r="BD151" s="134" t="str">
        <f>IFERROR(AVERAGEIFS(
'20102013 STH Efficacy'!$N:$N, 
'20102013 STH Efficacy'!$B:$B, $A151, 
'20102013 STH Efficacy'!$C:$C, "Mebendazole",
'20102013 STH Efficacy'!$I:$I,"&lt;2014",
'20102013 STH Efficacy'!$AH:$AH,""),
"")</f>
        <v/>
      </c>
      <c r="BE151" s="135">
        <f t="shared" si="26"/>
        <v>0.3145</v>
      </c>
      <c r="BF151" s="128" t="str">
        <f>IFERROR(AVERAGEIFS(
'20102013 STH Efficacy'!$CD:$CD, 
'20102013 STH Efficacy'!$BS:$BS, $A151, 
'20102013 STH Efficacy'!$BT:$BT, "Albendazole",
'20102013 STH Efficacy'!$BZ:$BZ,"&lt;2014",
'20102013 STH Efficacy'!$CU:$CU,""),
"")</f>
        <v/>
      </c>
      <c r="BG151" s="136">
        <f t="shared" si="27"/>
        <v>0.96925</v>
      </c>
      <c r="BH151" s="128" t="str">
        <f>IFERROR(AVERAGEIFS(
'20102013 STH Efficacy'!$CD:$CD, 
'20102013 STH Efficacy'!$BS:$BS, $A151, 
'20102013 STH Efficacy'!$BT:$BT, "Mebendazole",
'20102013 STH Efficacy'!$BZ:$BZ,"&lt;2014",
'20102013 STH Efficacy'!$CU:$CU,""),
"")</f>
        <v/>
      </c>
      <c r="BI151" s="136">
        <f t="shared" si="28"/>
        <v>0.9305</v>
      </c>
      <c r="BJ151" s="128" t="str">
        <f>IFERROR(AVERAGEIFS(
'20102013 STH Efficacy'!$CD:$CD, 
'20102013 STH Efficacy'!$BS:$BS, $A151, 
'20102013 STH Efficacy'!$BT:$BT, "Albendazole &amp; Ivermectin",
'20102013 STH Efficacy'!$BZ:$BZ,"&lt;2014",
'20102013 STH Efficacy'!$CU:$CU,""),
"")</f>
        <v/>
      </c>
      <c r="BK151" s="136">
        <f t="shared" si="29"/>
        <v>1</v>
      </c>
      <c r="BL151" s="300" t="str">
        <f>IFERROR(
  AVERAGEIFS(
    'NEW 20102013 Onchocerciasis Eff'!$AO:$AO,
    'NEW 20102013 Onchocerciasis Eff'!$C:$C,$A151,
    'NEW 20102013 Onchocerciasis Eff'!$D:$D,"Ivermectin",
    'NEW 20102013 Onchocerciasis Eff'!$AR:$AR,"&lt;2014",
    'NEW 20102013 Onchocerciasis Eff'!$BG:$BG,"")
,"")</f>
        <v/>
      </c>
      <c r="BM151" s="304">
        <f t="shared" si="30"/>
        <v>0.7808368939</v>
      </c>
      <c r="BN151" s="305">
        <v>1.0</v>
      </c>
      <c r="BO151" s="139">
        <v>0.0</v>
      </c>
      <c r="BP151" s="140">
        <v>0.0</v>
      </c>
      <c r="BQ151" s="141">
        <f t="shared" si="31"/>
        <v>0</v>
      </c>
      <c r="BR151" s="104" t="str">
        <f t="shared" si="32"/>
        <v>1000</v>
      </c>
      <c r="BS151" s="104" t="str">
        <f t="shared" si="33"/>
        <v>MDA1/2</v>
      </c>
      <c r="BT151" s="142" t="str">
        <f t="shared" si="34"/>
        <v>DEC+ALB</v>
      </c>
      <c r="BU151" s="104" t="str">
        <f t="shared" si="50"/>
        <v/>
      </c>
      <c r="BV151" s="104" t="str">
        <f t="shared" si="36"/>
        <v>lf only</v>
      </c>
      <c r="BW151" s="312">
        <f t="shared" si="37"/>
        <v>6208.230073</v>
      </c>
      <c r="BX151" s="150" t="str">
        <f t="shared" si="38"/>
        <v/>
      </c>
      <c r="BY151" s="151" t="str">
        <f t="shared" si="39"/>
        <v/>
      </c>
      <c r="BZ151" s="152" t="str">
        <f t="shared" si="40"/>
        <v/>
      </c>
      <c r="CA151" s="152" t="str">
        <f t="shared" si="41"/>
        <v/>
      </c>
      <c r="CB151" s="152" t="str">
        <f t="shared" si="42"/>
        <v/>
      </c>
      <c r="CC151" s="153" t="str">
        <f t="shared" si="43"/>
        <v/>
      </c>
      <c r="CD151" s="153" t="str">
        <f t="shared" si="44"/>
        <v/>
      </c>
      <c r="CE151" s="154" t="str">
        <f t="shared" si="45"/>
        <v/>
      </c>
      <c r="CF151" s="154" t="str">
        <f t="shared" si="46"/>
        <v/>
      </c>
      <c r="CG151" s="154" t="str">
        <f t="shared" si="47"/>
        <v/>
      </c>
      <c r="CH151" s="308" t="str">
        <f t="shared" si="48"/>
        <v/>
      </c>
      <c r="CI151" s="299"/>
    </row>
    <row r="152">
      <c r="A152" s="103" t="s">
        <v>241</v>
      </c>
      <c r="B152" s="104" t="s">
        <v>98</v>
      </c>
      <c r="C152" s="105">
        <v>6465740.0</v>
      </c>
      <c r="D152" s="293">
        <v>0.0</v>
      </c>
      <c r="E152" s="294">
        <v>0.0</v>
      </c>
      <c r="F152" s="307">
        <v>0.854709304</v>
      </c>
      <c r="G152" s="307">
        <v>4.635882723</v>
      </c>
      <c r="H152" s="157">
        <v>5.490592027</v>
      </c>
      <c r="I152" s="110">
        <v>79.8057962</v>
      </c>
      <c r="J152" s="110">
        <v>254.060397</v>
      </c>
      <c r="K152" s="109">
        <v>333.8661933</v>
      </c>
      <c r="L152" s="112">
        <v>78.69205616</v>
      </c>
      <c r="M152" s="112">
        <v>89.50124426</v>
      </c>
      <c r="N152" s="111">
        <v>168.1933004</v>
      </c>
      <c r="O152" s="298">
        <v>0.0</v>
      </c>
      <c r="P152" s="114"/>
      <c r="Q152" s="114"/>
      <c r="R152" s="121" t="str">
        <f t="shared" si="11"/>
        <v/>
      </c>
      <c r="S152" s="116">
        <f t="shared" si="12"/>
        <v>0.2288425133</v>
      </c>
      <c r="T152" s="130"/>
      <c r="U152" s="118">
        <f t="shared" si="13"/>
        <v>0.39435</v>
      </c>
      <c r="V152" s="148"/>
      <c r="W152" s="120">
        <f t="shared" si="14"/>
        <v>0.542475</v>
      </c>
      <c r="X152" s="119">
        <v>1.0</v>
      </c>
      <c r="Y152" s="120">
        <f t="shared" si="15"/>
        <v>1</v>
      </c>
      <c r="Z152" s="299"/>
      <c r="AA152" s="299"/>
      <c r="AB152" s="300" t="str">
        <f t="shared" si="16"/>
        <v/>
      </c>
      <c r="AC152" s="301">
        <f t="shared" si="17"/>
        <v>0.3490201688</v>
      </c>
      <c r="AD152" s="122">
        <v>0.0</v>
      </c>
      <c r="AE152" s="123">
        <v>0.0</v>
      </c>
      <c r="AF152" s="123">
        <v>0.0</v>
      </c>
      <c r="AG152" s="316">
        <v>0.0</v>
      </c>
      <c r="AH152" s="124">
        <v>0.060934554</v>
      </c>
      <c r="AI152" s="317">
        <v>0.0</v>
      </c>
      <c r="AJ152" s="125">
        <v>0.062311058</v>
      </c>
      <c r="AK152" s="319">
        <v>0.0</v>
      </c>
      <c r="AL152" s="319">
        <v>0.0</v>
      </c>
      <c r="AM152" s="302">
        <v>0.0</v>
      </c>
      <c r="AN152" s="149" t="str">
        <f>IFERROR(
  AVERAGEIFS(
    'New 20102013 LF Efficacy'!$J:$J,
    'New 20102013 LF Efficacy'!$D:$D, $A152,
    'New 20102013 LF Efficacy'!$F:$F,"DEC", 
    'New 20102013 LF Efficacy'!$W:$W,"&lt;2014",
    'New 20102013 LF Efficacy'!$AA:$AA,""),
  ""
)</f>
        <v/>
      </c>
      <c r="AO152" s="115">
        <f t="shared" si="18"/>
        <v>0.2589833333</v>
      </c>
      <c r="AP152" s="121" t="str">
        <f>IFERROR(
AVERAGEIFS(
'New 20102013 LF Efficacy'!$J:$J,
'New 20102013 LF Efficacy'!$D:$D,$A152,
'New 20102013 LF Efficacy'!$F:$F,"Albendazole &amp; DEC",
'New 20102013 LF Efficacy'!$W:$W,"&lt;2014",
'New 20102013 LF Efficacy'!$AA:$AA,""),
"")
</f>
        <v/>
      </c>
      <c r="AQ152" s="115">
        <f t="shared" si="19"/>
        <v>0.3465</v>
      </c>
      <c r="AR152" s="121" t="str">
        <f>IFERROR(
AVERAGEIFS(
'New 20102013 LF Efficacy'!$J:$J,
'New 20102013 LF Efficacy'!$D:$D,$A152,
'New 20102013 LF Efficacy'!$F:$F,"Albendazole &amp; Ivermectin", 
'New 20102013 LF Efficacy'!$W:$W,"&lt;2014",
'New 20102013 LF Efficacy'!$AA:$AA,""),"")</f>
        <v/>
      </c>
      <c r="AS152" s="115">
        <f t="shared" si="20"/>
        <v>0.7575</v>
      </c>
      <c r="AT152" s="130" t="str">
        <f>IFERROR(AVERAGEIFS(
'20102013 Schist Efficacy'!$O:$O, 
'20102013 Schist Efficacy'!$C:$C,$A152, 
'20102013 Schist Efficacy'!$D:$D, "Praziquantel",
'20102013 Schist Efficacy'!$J:$J,"&lt;2014",
'20102013 Schist Efficacy'!$U:$U,""),
"")</f>
        <v/>
      </c>
      <c r="AU152" s="118">
        <f t="shared" si="21"/>
        <v>0.7914761905</v>
      </c>
      <c r="AV152" s="131" t="str">
        <f>IFERROR(AVERAGEIFS(
'20102013 STH Efficacy'!$AX:$AX, 
'20102013 STH Efficacy'!$AL:$AL, $A152, 
'20102013 STH Efficacy'!$AM:$AM, "Albendazole",
'20102013 STH Efficacy'!$AS:$AS,"&lt;2014",
'20102013 STH Efficacy'!$BP:$BP,""),
"")</f>
        <v/>
      </c>
      <c r="AW152" s="132">
        <f t="shared" si="22"/>
        <v>0.3945</v>
      </c>
      <c r="AX152" s="131" t="str">
        <f>IFERROR(AVERAGEIFS(
'20102013 STH Efficacy'!$AX:$AX, 
'20102013 STH Efficacy'!$AL:$AL, $A152, 
'20102013 STH Efficacy'!$AM:$AM, "Mebendazole",
'20102013 STH Efficacy'!$AS:$AS,"&lt;2014",
'20102013 STH Efficacy'!$BP:$BP,""),
"")</f>
        <v/>
      </c>
      <c r="AY152" s="132">
        <f t="shared" si="23"/>
        <v>0.6</v>
      </c>
      <c r="AZ152" s="131" t="str">
        <f>IFERROR(AVERAGEIFS(
'20102013 STH Efficacy'!$AX:$AX, 
'20102013 STH Efficacy'!$AL:$AL, $A152, 
'20102013 STH Efficacy'!$AM:$AM, "Albendazole &amp; Ivermectin",
'20102013 STH Efficacy'!$AS:$AS,"&lt;2014",
'20102013 STH Efficacy'!$BP:$BP,""),
"")</f>
        <v/>
      </c>
      <c r="BA152" s="303">
        <f t="shared" si="24"/>
        <v>0.796</v>
      </c>
      <c r="BB152" s="134" t="str">
        <f>IFERROR(AVERAGEIFS(
'20102013 STH Efficacy'!$N:$N, 
'20102013 STH Efficacy'!$B:$B, $A152, 
'20102013 STH Efficacy'!$C:$C, "Albendazole",
'20102013 STH Efficacy'!$I:$I,"&lt;2014",
'20102013 STH Efficacy'!$AH:$AH,""),
"")</f>
        <v/>
      </c>
      <c r="BC152" s="135">
        <f t="shared" si="25"/>
        <v>0.869</v>
      </c>
      <c r="BD152" s="134" t="str">
        <f>IFERROR(AVERAGEIFS(
'20102013 STH Efficacy'!$N:$N, 
'20102013 STH Efficacy'!$B:$B, $A152, 
'20102013 STH Efficacy'!$C:$C, "Mebendazole",
'20102013 STH Efficacy'!$I:$I,"&lt;2014",
'20102013 STH Efficacy'!$AH:$AH,""),
"")</f>
        <v/>
      </c>
      <c r="BE152" s="135">
        <f t="shared" si="26"/>
        <v>0.172</v>
      </c>
      <c r="BF152" s="128" t="str">
        <f>IFERROR(AVERAGEIFS(
'20102013 STH Efficacy'!$CD:$CD, 
'20102013 STH Efficacy'!$BS:$BS, $A152, 
'20102013 STH Efficacy'!$BT:$BT, "Albendazole",
'20102013 STH Efficacy'!$BZ:$BZ,"&lt;2014",
'20102013 STH Efficacy'!$CU:$CU,""),
"")</f>
        <v/>
      </c>
      <c r="BG152" s="136">
        <f t="shared" si="27"/>
        <v>0.9862</v>
      </c>
      <c r="BH152" s="128" t="str">
        <f>IFERROR(AVERAGEIFS(
'20102013 STH Efficacy'!$CD:$CD, 
'20102013 STH Efficacy'!$BS:$BS, $A152, 
'20102013 STH Efficacy'!$BT:$BT, "Mebendazole",
'20102013 STH Efficacy'!$BZ:$BZ,"&lt;2014",
'20102013 STH Efficacy'!$CU:$CU,""),
"")</f>
        <v/>
      </c>
      <c r="BI152" s="136">
        <f t="shared" si="28"/>
        <v>0.769</v>
      </c>
      <c r="BJ152" s="128" t="str">
        <f>IFERROR(AVERAGEIFS(
'20102013 STH Efficacy'!$CD:$CD, 
'20102013 STH Efficacy'!$BS:$BS, $A152, 
'20102013 STH Efficacy'!$BT:$BT, "Albendazole &amp; Ivermectin",
'20102013 STH Efficacy'!$BZ:$BZ,"&lt;2014",
'20102013 STH Efficacy'!$CU:$CU,""),
"")</f>
        <v/>
      </c>
      <c r="BK152" s="136">
        <f t="shared" si="29"/>
        <v>1</v>
      </c>
      <c r="BL152" s="300" t="str">
        <f>IFERROR(
  AVERAGEIFS(
    'NEW 20102013 Onchocerciasis Eff'!$AO:$AO,
    'NEW 20102013 Onchocerciasis Eff'!$C:$C,$A152,
    'NEW 20102013 Onchocerciasis Eff'!$D:$D,"Ivermectin",
    'NEW 20102013 Onchocerciasis Eff'!$AR:$AR,"&lt;2014",
    'NEW 20102013 Onchocerciasis Eff'!$BG:$BG,"")
,"")</f>
        <v/>
      </c>
      <c r="BM152" s="304">
        <f t="shared" si="30"/>
        <v>0.3734</v>
      </c>
      <c r="BN152" s="305">
        <v>0.0</v>
      </c>
      <c r="BO152" s="139">
        <v>0.0</v>
      </c>
      <c r="BP152" s="140">
        <v>0.0</v>
      </c>
      <c r="BQ152" s="141">
        <f t="shared" si="31"/>
        <v>0</v>
      </c>
      <c r="BR152" s="104" t="str">
        <f t="shared" si="32"/>
        <v>0000</v>
      </c>
      <c r="BS152" s="104" t="str">
        <f t="shared" si="33"/>
        <v>no action required</v>
      </c>
      <c r="BT152" s="142" t="str">
        <f t="shared" si="34"/>
        <v/>
      </c>
      <c r="BU152" s="104" t="str">
        <f t="shared" si="50"/>
        <v/>
      </c>
      <c r="BV152" s="104" t="str">
        <f t="shared" si="36"/>
        <v>none</v>
      </c>
      <c r="BW152" s="150" t="str">
        <f t="shared" si="37"/>
        <v/>
      </c>
      <c r="BX152" s="150" t="str">
        <f t="shared" si="38"/>
        <v/>
      </c>
      <c r="BY152" s="151" t="str">
        <f t="shared" si="39"/>
        <v/>
      </c>
      <c r="BZ152" s="152" t="str">
        <f t="shared" si="40"/>
        <v/>
      </c>
      <c r="CA152" s="152" t="str">
        <f t="shared" si="41"/>
        <v/>
      </c>
      <c r="CB152" s="152" t="str">
        <f t="shared" si="42"/>
        <v/>
      </c>
      <c r="CC152" s="153" t="str">
        <f t="shared" si="43"/>
        <v/>
      </c>
      <c r="CD152" s="153" t="str">
        <f t="shared" si="44"/>
        <v/>
      </c>
      <c r="CE152" s="154" t="str">
        <f t="shared" si="45"/>
        <v/>
      </c>
      <c r="CF152" s="154" t="str">
        <f t="shared" si="46"/>
        <v/>
      </c>
      <c r="CG152" s="154" t="str">
        <f t="shared" si="47"/>
        <v/>
      </c>
      <c r="CH152" s="308" t="str">
        <f t="shared" si="48"/>
        <v/>
      </c>
      <c r="CI152" s="299"/>
    </row>
    <row r="153">
      <c r="A153" s="103" t="s">
        <v>242</v>
      </c>
      <c r="B153" s="104" t="s">
        <v>98</v>
      </c>
      <c r="C153" s="105">
        <v>3.0565716E7</v>
      </c>
      <c r="D153" s="293">
        <v>0.0</v>
      </c>
      <c r="E153" s="321">
        <v>0.0</v>
      </c>
      <c r="F153" s="322">
        <v>252.894536</v>
      </c>
      <c r="G153" s="322">
        <v>646.436236</v>
      </c>
      <c r="H153" s="108">
        <v>899.3307719</v>
      </c>
      <c r="I153" s="109">
        <v>55.6155399</v>
      </c>
      <c r="J153" s="110">
        <v>96.028092</v>
      </c>
      <c r="K153" s="110">
        <v>151.6436319</v>
      </c>
      <c r="L153" s="111">
        <v>531.637939</v>
      </c>
      <c r="M153" s="111">
        <v>463.6935338</v>
      </c>
      <c r="N153" s="111">
        <v>995.3314728</v>
      </c>
      <c r="O153" s="298">
        <v>0.0</v>
      </c>
      <c r="P153" s="114"/>
      <c r="Q153" s="114"/>
      <c r="R153" s="121" t="str">
        <f t="shared" si="11"/>
        <v/>
      </c>
      <c r="S153" s="116">
        <f t="shared" si="12"/>
        <v>0.2288425133</v>
      </c>
      <c r="T153" s="118">
        <v>0.3649</v>
      </c>
      <c r="U153" s="118">
        <f t="shared" si="13"/>
        <v>0.3649</v>
      </c>
      <c r="V153" s="148"/>
      <c r="W153" s="120">
        <f t="shared" si="14"/>
        <v>0.542475</v>
      </c>
      <c r="X153" s="148"/>
      <c r="Y153" s="120">
        <f t="shared" si="15"/>
        <v>0.6507333333</v>
      </c>
      <c r="Z153" s="299"/>
      <c r="AA153" s="299"/>
      <c r="AB153" s="300" t="str">
        <f t="shared" si="16"/>
        <v/>
      </c>
      <c r="AC153" s="301">
        <f t="shared" si="17"/>
        <v>0.3490201688</v>
      </c>
      <c r="AD153" s="122">
        <v>0.0</v>
      </c>
      <c r="AE153" s="123">
        <v>0.0</v>
      </c>
      <c r="AF153" s="123">
        <v>0.0</v>
      </c>
      <c r="AG153" s="124">
        <v>0.1153</v>
      </c>
      <c r="AH153" s="124">
        <v>0.139042178</v>
      </c>
      <c r="AI153" s="125">
        <v>0.0093</v>
      </c>
      <c r="AJ153" s="125">
        <v>0.008979055</v>
      </c>
      <c r="AK153" s="127">
        <v>0.1067</v>
      </c>
      <c r="AL153" s="127">
        <v>0.1109</v>
      </c>
      <c r="AM153" s="302">
        <v>0.0</v>
      </c>
      <c r="AN153" s="149" t="str">
        <f>IFERROR(
  AVERAGEIFS(
    'New 20102013 LF Efficacy'!$J:$J,
    'New 20102013 LF Efficacy'!$D:$D, $A153,
    'New 20102013 LF Efficacy'!$F:$F,"DEC", 
    'New 20102013 LF Efficacy'!$W:$W,"&lt;2014",
    'New 20102013 LF Efficacy'!$AA:$AA,""),
  ""
)</f>
        <v/>
      </c>
      <c r="AO153" s="115">
        <f t="shared" si="18"/>
        <v>0.2589833333</v>
      </c>
      <c r="AP153" s="121" t="str">
        <f>IFERROR(
AVERAGEIFS(
'New 20102013 LF Efficacy'!$J:$J,
'New 20102013 LF Efficacy'!$D:$D,$A153,
'New 20102013 LF Efficacy'!$F:$F,"Albendazole &amp; DEC",
'New 20102013 LF Efficacy'!$W:$W,"&lt;2014",
'New 20102013 LF Efficacy'!$AA:$AA,""),
"")
</f>
        <v/>
      </c>
      <c r="AQ153" s="115">
        <f t="shared" si="19"/>
        <v>0.3465</v>
      </c>
      <c r="AR153" s="121" t="str">
        <f>IFERROR(
AVERAGEIFS(
'New 20102013 LF Efficacy'!$J:$J,
'New 20102013 LF Efficacy'!$D:$D,$A153,
'New 20102013 LF Efficacy'!$F:$F,"Albendazole &amp; Ivermectin", 
'New 20102013 LF Efficacy'!$W:$W,"&lt;2014",
'New 20102013 LF Efficacy'!$AA:$AA,""),"")</f>
        <v/>
      </c>
      <c r="AS153" s="115">
        <f t="shared" si="20"/>
        <v>0.7575</v>
      </c>
      <c r="AT153" s="130" t="str">
        <f>IFERROR(AVERAGEIFS(
'20102013 Schist Efficacy'!$O:$O, 
'20102013 Schist Efficacy'!$C:$C,$A153, 
'20102013 Schist Efficacy'!$D:$D, "Praziquantel",
'20102013 Schist Efficacy'!$J:$J,"&lt;2014",
'20102013 Schist Efficacy'!$U:$U,""),
"")</f>
        <v/>
      </c>
      <c r="AU153" s="118">
        <f t="shared" si="21"/>
        <v>0.7914761905</v>
      </c>
      <c r="AV153" s="131" t="str">
        <f>IFERROR(AVERAGEIFS(
'20102013 STH Efficacy'!$AX:$AX, 
'20102013 STH Efficacy'!$AL:$AL, $A153, 
'20102013 STH Efficacy'!$AM:$AM, "Albendazole",
'20102013 STH Efficacy'!$AS:$AS,"&lt;2014",
'20102013 STH Efficacy'!$BP:$BP,""),
"")</f>
        <v/>
      </c>
      <c r="AW153" s="132">
        <f t="shared" si="22"/>
        <v>0.3945</v>
      </c>
      <c r="AX153" s="131" t="str">
        <f>IFERROR(AVERAGEIFS(
'20102013 STH Efficacy'!$AX:$AX, 
'20102013 STH Efficacy'!$AL:$AL, $A153, 
'20102013 STH Efficacy'!$AM:$AM, "Mebendazole",
'20102013 STH Efficacy'!$AS:$AS,"&lt;2014",
'20102013 STH Efficacy'!$BP:$BP,""),
"")</f>
        <v/>
      </c>
      <c r="AY153" s="132">
        <f t="shared" si="23"/>
        <v>0.6</v>
      </c>
      <c r="AZ153" s="131" t="str">
        <f>IFERROR(AVERAGEIFS(
'20102013 STH Efficacy'!$AX:$AX, 
'20102013 STH Efficacy'!$AL:$AL, $A153, 
'20102013 STH Efficacy'!$AM:$AM, "Albendazole &amp; Ivermectin",
'20102013 STH Efficacy'!$AS:$AS,"&lt;2014",
'20102013 STH Efficacy'!$BP:$BP,""),
"")</f>
        <v/>
      </c>
      <c r="BA153" s="303">
        <f t="shared" si="24"/>
        <v>0.796</v>
      </c>
      <c r="BB153" s="134" t="str">
        <f>IFERROR(AVERAGEIFS(
'20102013 STH Efficacy'!$N:$N, 
'20102013 STH Efficacy'!$B:$B, $A153, 
'20102013 STH Efficacy'!$C:$C, "Albendazole",
'20102013 STH Efficacy'!$I:$I,"&lt;2014",
'20102013 STH Efficacy'!$AH:$AH,""),
"")</f>
        <v/>
      </c>
      <c r="BC153" s="135">
        <f t="shared" si="25"/>
        <v>0.869</v>
      </c>
      <c r="BD153" s="134" t="str">
        <f>IFERROR(AVERAGEIFS(
'20102013 STH Efficacy'!$N:$N, 
'20102013 STH Efficacy'!$B:$B, $A153, 
'20102013 STH Efficacy'!$C:$C, "Mebendazole",
'20102013 STH Efficacy'!$I:$I,"&lt;2014",
'20102013 STH Efficacy'!$AH:$AH,""),
"")</f>
        <v/>
      </c>
      <c r="BE153" s="135">
        <f t="shared" si="26"/>
        <v>0.172</v>
      </c>
      <c r="BF153" s="128">
        <f>IFERROR(AVERAGEIFS(
'20102013 STH Efficacy'!$CD:$CD, 
'20102013 STH Efficacy'!$BS:$BS, $A153, 
'20102013 STH Efficacy'!$BT:$BT, "Albendazole",
'20102013 STH Efficacy'!$BZ:$BZ,"&lt;2014",
'20102013 STH Efficacy'!$CU:$CU,""),
"")</f>
        <v>0.996</v>
      </c>
      <c r="BG153" s="136">
        <f t="shared" si="27"/>
        <v>0.996</v>
      </c>
      <c r="BH153" s="128" t="str">
        <f>IFERROR(AVERAGEIFS(
'20102013 STH Efficacy'!$CD:$CD, 
'20102013 STH Efficacy'!$BS:$BS, $A153, 
'20102013 STH Efficacy'!$BT:$BT, "Mebendazole",
'20102013 STH Efficacy'!$BZ:$BZ,"&lt;2014",
'20102013 STH Efficacy'!$CU:$CU,""),
"")</f>
        <v/>
      </c>
      <c r="BI153" s="136">
        <f t="shared" si="28"/>
        <v>0.769</v>
      </c>
      <c r="BJ153" s="128" t="str">
        <f>IFERROR(AVERAGEIFS(
'20102013 STH Efficacy'!$CD:$CD, 
'20102013 STH Efficacy'!$BS:$BS, $A153, 
'20102013 STH Efficacy'!$BT:$BT, "Albendazole &amp; Ivermectin",
'20102013 STH Efficacy'!$BZ:$BZ,"&lt;2014",
'20102013 STH Efficacy'!$CU:$CU,""),
"")</f>
        <v/>
      </c>
      <c r="BK153" s="136">
        <f t="shared" si="29"/>
        <v>1</v>
      </c>
      <c r="BL153" s="300" t="str">
        <f>IFERROR(
  AVERAGEIFS(
    'NEW 20102013 Onchocerciasis Eff'!$AO:$AO,
    'NEW 20102013 Onchocerciasis Eff'!$C:$C,$A153,
    'NEW 20102013 Onchocerciasis Eff'!$D:$D,"Ivermectin",
    'NEW 20102013 Onchocerciasis Eff'!$AR:$AR,"&lt;2014",
    'NEW 20102013 Onchocerciasis Eff'!$BG:$BG,"")
,"")</f>
        <v/>
      </c>
      <c r="BM153" s="304">
        <f t="shared" si="30"/>
        <v>0.3734</v>
      </c>
      <c r="BN153" s="305">
        <v>0.0</v>
      </c>
      <c r="BO153" s="139">
        <v>1.0</v>
      </c>
      <c r="BP153" s="140">
        <v>0.0</v>
      </c>
      <c r="BQ153" s="141">
        <f t="shared" si="31"/>
        <v>0</v>
      </c>
      <c r="BR153" s="104" t="str">
        <f t="shared" si="32"/>
        <v>0100</v>
      </c>
      <c r="BS153" s="104" t="str">
        <f t="shared" si="33"/>
        <v>MDA3</v>
      </c>
      <c r="BT153" s="142" t="str">
        <f t="shared" si="34"/>
        <v>IVM</v>
      </c>
      <c r="BU153" s="104" t="str">
        <f t="shared" si="50"/>
        <v/>
      </c>
      <c r="BV153" s="104" t="str">
        <f t="shared" si="36"/>
        <v>onch only</v>
      </c>
      <c r="BW153" s="150" t="str">
        <f t="shared" si="37"/>
        <v/>
      </c>
      <c r="BX153" s="150" t="str">
        <f t="shared" si="38"/>
        <v/>
      </c>
      <c r="BY153" s="151" t="str">
        <f t="shared" si="39"/>
        <v/>
      </c>
      <c r="BZ153" s="152" t="str">
        <f t="shared" si="40"/>
        <v/>
      </c>
      <c r="CA153" s="152" t="str">
        <f t="shared" si="41"/>
        <v/>
      </c>
      <c r="CB153" s="152" t="str">
        <f t="shared" si="42"/>
        <v/>
      </c>
      <c r="CC153" s="153" t="str">
        <f t="shared" si="43"/>
        <v/>
      </c>
      <c r="CD153" s="153" t="str">
        <f t="shared" si="44"/>
        <v/>
      </c>
      <c r="CE153" s="154" t="str">
        <f t="shared" si="45"/>
        <v/>
      </c>
      <c r="CF153" s="154" t="str">
        <f t="shared" si="46"/>
        <v/>
      </c>
      <c r="CG153" s="154" t="str">
        <f t="shared" si="47"/>
        <v/>
      </c>
      <c r="CH153" s="313">
        <f t="shared" si="48"/>
        <v>0</v>
      </c>
      <c r="CI153" s="299"/>
    </row>
    <row r="154">
      <c r="A154" s="155" t="s">
        <v>243</v>
      </c>
      <c r="B154" s="104" t="s">
        <v>94</v>
      </c>
      <c r="C154" s="105">
        <v>9.8481032E7</v>
      </c>
      <c r="D154" s="293">
        <v>36379.95</v>
      </c>
      <c r="E154" s="321">
        <v>53412.41183</v>
      </c>
      <c r="F154" s="322">
        <v>1138.311383</v>
      </c>
      <c r="G154" s="309">
        <v>4216.691863</v>
      </c>
      <c r="H154" s="157">
        <v>5355.003245</v>
      </c>
      <c r="I154" s="110">
        <v>4546.42744</v>
      </c>
      <c r="J154" s="110">
        <v>12815.8373</v>
      </c>
      <c r="K154" s="109">
        <v>17362.26474</v>
      </c>
      <c r="L154" s="112">
        <v>5970.562882</v>
      </c>
      <c r="M154" s="112">
        <v>10202.64885</v>
      </c>
      <c r="N154" s="111">
        <v>16173.21173</v>
      </c>
      <c r="O154" s="298">
        <v>0.0</v>
      </c>
      <c r="P154" s="160">
        <v>1.9541323E7</v>
      </c>
      <c r="Q154" s="160">
        <v>1.5530143E7</v>
      </c>
      <c r="R154" s="121">
        <f t="shared" si="11"/>
        <v>0.7947334477</v>
      </c>
      <c r="S154" s="116">
        <f t="shared" si="12"/>
        <v>0.7947334477</v>
      </c>
      <c r="T154" s="130"/>
      <c r="U154" s="118">
        <f t="shared" si="13"/>
        <v>0.6259666667</v>
      </c>
      <c r="V154" s="119">
        <v>0.1847</v>
      </c>
      <c r="W154" s="120">
        <f t="shared" si="14"/>
        <v>0.1847</v>
      </c>
      <c r="X154" s="119">
        <v>0.1344</v>
      </c>
      <c r="Y154" s="120">
        <f t="shared" si="15"/>
        <v>0.1344</v>
      </c>
      <c r="Z154" s="299"/>
      <c r="AA154" s="299"/>
      <c r="AB154" s="300" t="str">
        <f t="shared" si="16"/>
        <v/>
      </c>
      <c r="AC154" s="301">
        <f t="shared" si="17"/>
        <v>0.6295826791</v>
      </c>
      <c r="AD154" s="122">
        <v>0.006</v>
      </c>
      <c r="AE154" s="123">
        <v>0.07</v>
      </c>
      <c r="AF154" s="123">
        <v>0.0141</v>
      </c>
      <c r="AG154" s="124">
        <v>0.1225</v>
      </c>
      <c r="AH154" s="124">
        <v>0.139839754</v>
      </c>
      <c r="AI154" s="317">
        <v>0.0</v>
      </c>
      <c r="AJ154" s="317">
        <v>0.152144976</v>
      </c>
      <c r="AK154" s="127">
        <v>0.1831</v>
      </c>
      <c r="AL154" s="127">
        <v>0.2841</v>
      </c>
      <c r="AM154" s="302">
        <v>0.0</v>
      </c>
      <c r="AN154" s="149" t="str">
        <f>IFERROR(
  AVERAGEIFS(
    'New 20102013 LF Efficacy'!$J:$J,
    'New 20102013 LF Efficacy'!$D:$D, $A154,
    'New 20102013 LF Efficacy'!$F:$F,"DEC", 
    'New 20102013 LF Efficacy'!$W:$W,"&lt;2014",
    'New 20102013 LF Efficacy'!$AA:$AA,""),
  ""
)</f>
        <v/>
      </c>
      <c r="AO154" s="115">
        <f t="shared" si="18"/>
        <v>0.38</v>
      </c>
      <c r="AP154" s="121" t="str">
        <f>IFERROR(
AVERAGEIFS(
'New 20102013 LF Efficacy'!$J:$J,
'New 20102013 LF Efficacy'!$D:$D,$A154,
'New 20102013 LF Efficacy'!$F:$F,"Albendazole &amp; DEC",
'New 20102013 LF Efficacy'!$W:$W,"&lt;2014",
'New 20102013 LF Efficacy'!$AA:$AA,""),
"")
</f>
        <v/>
      </c>
      <c r="AQ154" s="115">
        <f t="shared" si="19"/>
        <v>0.657</v>
      </c>
      <c r="AR154" s="121" t="str">
        <f>IFERROR(
AVERAGEIFS(
'New 20102013 LF Efficacy'!$J:$J,
'New 20102013 LF Efficacy'!$D:$D,$A154,
'New 20102013 LF Efficacy'!$F:$F,"Albendazole &amp; Ivermectin", 
'New 20102013 LF Efficacy'!$W:$W,"&lt;2014",
'New 20102013 LF Efficacy'!$AA:$AA,""),"")</f>
        <v/>
      </c>
      <c r="AS154" s="115">
        <f t="shared" si="20"/>
        <v>0.37153125</v>
      </c>
      <c r="AT154" s="130">
        <f>IFERROR(AVERAGEIFS(
'20102013 Schist Efficacy'!$O:$O, 
'20102013 Schist Efficacy'!$C:$C,$A154, 
'20102013 Schist Efficacy'!$D:$D, "Praziquantel",
'20102013 Schist Efficacy'!$J:$J,"&lt;2014",
'20102013 Schist Efficacy'!$U:$U,""),
"")</f>
        <v>0.945</v>
      </c>
      <c r="AU154" s="118">
        <f t="shared" si="21"/>
        <v>0.945</v>
      </c>
      <c r="AV154" s="131">
        <f>IFERROR(AVERAGEIFS(
'20102013 STH Efficacy'!$AX:$AX, 
'20102013 STH Efficacy'!$AL:$AL, $A154, 
'20102013 STH Efficacy'!$AM:$AM, "Albendazole",
'20102013 STH Efficacy'!$AS:$AS,"&lt;2014",
'20102013 STH Efficacy'!$BP:$BP,""),
"")</f>
        <v>0.315</v>
      </c>
      <c r="AW154" s="132">
        <f t="shared" si="22"/>
        <v>0.315</v>
      </c>
      <c r="AX154" s="131" t="str">
        <f>IFERROR(AVERAGEIFS(
'20102013 STH Efficacy'!$AX:$AX, 
'20102013 STH Efficacy'!$AL:$AL, $A154, 
'20102013 STH Efficacy'!$AM:$AM, "Mebendazole",
'20102013 STH Efficacy'!$AS:$AS,"&lt;2014",
'20102013 STH Efficacy'!$BP:$BP,""),
"")</f>
        <v/>
      </c>
      <c r="AY154" s="132">
        <f t="shared" si="23"/>
        <v>0.4155</v>
      </c>
      <c r="AZ154" s="131">
        <f>IFERROR(AVERAGEIFS(
'20102013 STH Efficacy'!$AX:$AX, 
'20102013 STH Efficacy'!$AL:$AL, $A154, 
'20102013 STH Efficacy'!$AM:$AM, "Albendazole &amp; Ivermectin",
'20102013 STH Efficacy'!$AS:$AS,"&lt;2014",
'20102013 STH Efficacy'!$BP:$BP,""),
"")</f>
        <v>0.651</v>
      </c>
      <c r="BA154" s="303">
        <f t="shared" si="24"/>
        <v>0.651</v>
      </c>
      <c r="BB154" s="134" t="str">
        <f>IFERROR(AVERAGEIFS(
'20102013 STH Efficacy'!$N:$N, 
'20102013 STH Efficacy'!$B:$B, $A154, 
'20102013 STH Efficacy'!$C:$C, "Albendazole",
'20102013 STH Efficacy'!$I:$I,"&lt;2014",
'20102013 STH Efficacy'!$AH:$AH,""),
"")</f>
        <v/>
      </c>
      <c r="BC154" s="135">
        <f t="shared" si="25"/>
        <v>0.5769166667</v>
      </c>
      <c r="BD154" s="134" t="str">
        <f>IFERROR(AVERAGEIFS(
'20102013 STH Efficacy'!$N:$N, 
'20102013 STH Efficacy'!$B:$B, $A154, 
'20102013 STH Efficacy'!$C:$C, "Mebendazole",
'20102013 STH Efficacy'!$I:$I,"&lt;2014",
'20102013 STH Efficacy'!$AH:$AH,""),
"")</f>
        <v/>
      </c>
      <c r="BE154" s="135">
        <f t="shared" si="26"/>
        <v>0.3145</v>
      </c>
      <c r="BF154" s="128" t="str">
        <f>IFERROR(AVERAGEIFS(
'20102013 STH Efficacy'!$CD:$CD, 
'20102013 STH Efficacy'!$BS:$BS, $A154, 
'20102013 STH Efficacy'!$BT:$BT, "Albendazole",
'20102013 STH Efficacy'!$BZ:$BZ,"&lt;2014",
'20102013 STH Efficacy'!$CU:$CU,""),
"")</f>
        <v/>
      </c>
      <c r="BG154" s="136">
        <f t="shared" si="27"/>
        <v>0.96925</v>
      </c>
      <c r="BH154" s="128" t="str">
        <f>IFERROR(AVERAGEIFS(
'20102013 STH Efficacy'!$CD:$CD, 
'20102013 STH Efficacy'!$BS:$BS, $A154, 
'20102013 STH Efficacy'!$BT:$BT, "Mebendazole",
'20102013 STH Efficacy'!$BZ:$BZ,"&lt;2014",
'20102013 STH Efficacy'!$CU:$CU,""),
"")</f>
        <v/>
      </c>
      <c r="BI154" s="136">
        <f t="shared" si="28"/>
        <v>0.9305</v>
      </c>
      <c r="BJ154" s="128" t="str">
        <f>IFERROR(AVERAGEIFS(
'20102013 STH Efficacy'!$CD:$CD, 
'20102013 STH Efficacy'!$BS:$BS, $A154, 
'20102013 STH Efficacy'!$BT:$BT, "Albendazole &amp; Ivermectin",
'20102013 STH Efficacy'!$BZ:$BZ,"&lt;2014",
'20102013 STH Efficacy'!$CU:$CU,""),
"")</f>
        <v/>
      </c>
      <c r="BK154" s="136">
        <f t="shared" si="29"/>
        <v>1</v>
      </c>
      <c r="BL154" s="300" t="str">
        <f>IFERROR(
  AVERAGEIFS(
    'NEW 20102013 Onchocerciasis Eff'!$AO:$AO,
    'NEW 20102013 Onchocerciasis Eff'!$C:$C,$A154,
    'NEW 20102013 Onchocerciasis Eff'!$D:$D,"Ivermectin",
    'NEW 20102013 Onchocerciasis Eff'!$AR:$AR,"&lt;2014",
    'NEW 20102013 Onchocerciasis Eff'!$BG:$BG,"")
,"")</f>
        <v/>
      </c>
      <c r="BM154" s="304">
        <f t="shared" si="30"/>
        <v>0.7808368939</v>
      </c>
      <c r="BN154" s="305">
        <v>1.0</v>
      </c>
      <c r="BO154" s="139">
        <v>0.0</v>
      </c>
      <c r="BP154" s="140">
        <v>1.0</v>
      </c>
      <c r="BQ154" s="141">
        <f t="shared" si="31"/>
        <v>0</v>
      </c>
      <c r="BR154" s="104" t="str">
        <f t="shared" si="32"/>
        <v>1010</v>
      </c>
      <c r="BS154" s="104" t="str">
        <f t="shared" si="33"/>
        <v>MDA1/2+T2</v>
      </c>
      <c r="BT154" s="142" t="str">
        <f t="shared" si="34"/>
        <v>DEC +ALB</v>
      </c>
      <c r="BU154" s="104" t="str">
        <f t="shared" si="50"/>
        <v>PZQ</v>
      </c>
      <c r="BV154" s="104" t="str">
        <f t="shared" si="36"/>
        <v>lf+schist </v>
      </c>
      <c r="BW154" s="150" t="str">
        <f t="shared" si="37"/>
        <v/>
      </c>
      <c r="BX154" s="150" t="str">
        <f t="shared" si="38"/>
        <v/>
      </c>
      <c r="BY154" s="162">
        <f t="shared" si="39"/>
        <v>77352.45054</v>
      </c>
      <c r="BZ154" s="152" t="str">
        <f t="shared" si="40"/>
        <v/>
      </c>
      <c r="CA154" s="152" t="str">
        <f t="shared" si="41"/>
        <v/>
      </c>
      <c r="CB154" s="152" t="str">
        <f t="shared" si="42"/>
        <v/>
      </c>
      <c r="CC154" s="153" t="str">
        <f t="shared" si="43"/>
        <v/>
      </c>
      <c r="CD154" s="153" t="str">
        <f t="shared" si="44"/>
        <v/>
      </c>
      <c r="CE154" s="154" t="str">
        <f t="shared" si="45"/>
        <v/>
      </c>
      <c r="CF154" s="154" t="str">
        <f t="shared" si="46"/>
        <v/>
      </c>
      <c r="CG154" s="154" t="str">
        <f t="shared" si="47"/>
        <v/>
      </c>
      <c r="CH154" s="308" t="str">
        <f t="shared" si="48"/>
        <v/>
      </c>
      <c r="CI154" s="299"/>
    </row>
    <row r="155">
      <c r="A155" s="155" t="s">
        <v>244</v>
      </c>
      <c r="B155" s="104" t="s">
        <v>90</v>
      </c>
      <c r="C155" s="105">
        <v>3.8040196E7</v>
      </c>
      <c r="D155" s="293">
        <v>0.0</v>
      </c>
      <c r="E155" s="294">
        <v>0.0</v>
      </c>
      <c r="F155" s="309">
        <v>0.0</v>
      </c>
      <c r="G155" s="309">
        <v>0.0</v>
      </c>
      <c r="H155" s="108">
        <v>0.0</v>
      </c>
      <c r="I155" s="109">
        <v>0.0</v>
      </c>
      <c r="J155" s="109">
        <v>0.0</v>
      </c>
      <c r="K155" s="109">
        <v>0.0</v>
      </c>
      <c r="L155" s="112">
        <v>0.406890601</v>
      </c>
      <c r="M155" s="112">
        <v>0.214925841</v>
      </c>
      <c r="N155" s="111">
        <v>0.621816442</v>
      </c>
      <c r="O155" s="298">
        <v>0.0</v>
      </c>
      <c r="P155" s="114"/>
      <c r="Q155" s="114"/>
      <c r="R155" s="121" t="str">
        <f t="shared" si="11"/>
        <v/>
      </c>
      <c r="S155" s="116">
        <f t="shared" si="12"/>
        <v>0.526225767</v>
      </c>
      <c r="T155" s="130"/>
      <c r="U155" s="118">
        <f t="shared" si="13"/>
        <v>0.3468166667</v>
      </c>
      <c r="V155" s="148"/>
      <c r="W155" s="120">
        <f t="shared" si="14"/>
        <v>1</v>
      </c>
      <c r="X155" s="148"/>
      <c r="Y155" s="120">
        <f t="shared" si="15"/>
        <v>1</v>
      </c>
      <c r="Z155" s="299"/>
      <c r="AA155" s="299"/>
      <c r="AB155" s="300" t="str">
        <f t="shared" si="16"/>
        <v/>
      </c>
      <c r="AC155" s="301">
        <f t="shared" si="17"/>
        <v>0.6295826791</v>
      </c>
      <c r="AD155" s="122">
        <v>0.0</v>
      </c>
      <c r="AE155" s="123">
        <v>0.0</v>
      </c>
      <c r="AF155" s="123">
        <v>0.0</v>
      </c>
      <c r="AG155" s="316">
        <v>0.0</v>
      </c>
      <c r="AH155" s="124">
        <v>0.0</v>
      </c>
      <c r="AI155" s="317">
        <v>0.0</v>
      </c>
      <c r="AJ155" s="125">
        <v>0.0</v>
      </c>
      <c r="AK155" s="319">
        <v>0.0</v>
      </c>
      <c r="AL155" s="319">
        <v>0.0</v>
      </c>
      <c r="AM155" s="302">
        <v>0.0</v>
      </c>
      <c r="AN155" s="149" t="str">
        <f>IFERROR(
  AVERAGEIFS(
    'New 20102013 LF Efficacy'!$J:$J,
    'New 20102013 LF Efficacy'!$D:$D, $A155,
    'New 20102013 LF Efficacy'!$F:$F,"DEC", 
    'New 20102013 LF Efficacy'!$W:$W,"&lt;2014",
    'New 20102013 LF Efficacy'!$AA:$AA,""),
  ""
)</f>
        <v/>
      </c>
      <c r="AO155" s="115">
        <f t="shared" si="18"/>
        <v>0.3573520833</v>
      </c>
      <c r="AP155" s="121" t="str">
        <f>IFERROR(
AVERAGEIFS(
'New 20102013 LF Efficacy'!$J:$J,
'New 20102013 LF Efficacy'!$D:$D,$A155,
'New 20102013 LF Efficacy'!$F:$F,"Albendazole &amp; DEC",
'New 20102013 LF Efficacy'!$W:$W,"&lt;2014",
'New 20102013 LF Efficacy'!$AA:$AA,""),
"")
</f>
        <v/>
      </c>
      <c r="AQ155" s="115">
        <f t="shared" si="19"/>
        <v>0.5137291667</v>
      </c>
      <c r="AR155" s="121" t="str">
        <f>IFERROR(
AVERAGEIFS(
'New 20102013 LF Efficacy'!$J:$J,
'New 20102013 LF Efficacy'!$D:$D,$A155,
'New 20102013 LF Efficacy'!$F:$F,"Albendazole &amp; Ivermectin", 
'New 20102013 LF Efficacy'!$W:$W,"&lt;2014",
'New 20102013 LF Efficacy'!$AA:$AA,""),"")</f>
        <v/>
      </c>
      <c r="AS155" s="115">
        <f t="shared" si="20"/>
        <v>0.37153125</v>
      </c>
      <c r="AT155" s="130" t="str">
        <f>IFERROR(AVERAGEIFS(
'20102013 Schist Efficacy'!$O:$O, 
'20102013 Schist Efficacy'!$C:$C,$A155, 
'20102013 Schist Efficacy'!$D:$D, "Praziquantel",
'20102013 Schist Efficacy'!$J:$J,"&lt;2014",
'20102013 Schist Efficacy'!$U:$U,""),
"")</f>
        <v/>
      </c>
      <c r="AU155" s="118">
        <f t="shared" si="21"/>
        <v>0.655</v>
      </c>
      <c r="AV155" s="131" t="str">
        <f>IFERROR(AVERAGEIFS(
'20102013 STH Efficacy'!$AX:$AX, 
'20102013 STH Efficacy'!$AL:$AL, $A155, 
'20102013 STH Efficacy'!$AM:$AM, "Albendazole",
'20102013 STH Efficacy'!$AS:$AS,"&lt;2014",
'20102013 STH Efficacy'!$BP:$BP,""),
"")</f>
        <v/>
      </c>
      <c r="AW155" s="132">
        <f t="shared" si="22"/>
        <v>0.3933333333</v>
      </c>
      <c r="AX155" s="131" t="str">
        <f>IFERROR(AVERAGEIFS(
'20102013 STH Efficacy'!$AX:$AX, 
'20102013 STH Efficacy'!$AL:$AL, $A155, 
'20102013 STH Efficacy'!$AM:$AM, "Mebendazole",
'20102013 STH Efficacy'!$AS:$AS,"&lt;2014",
'20102013 STH Efficacy'!$BP:$BP,""),
"")</f>
        <v/>
      </c>
      <c r="AY155" s="132">
        <f t="shared" si="23"/>
        <v>0.5017738095</v>
      </c>
      <c r="AZ155" s="131" t="str">
        <f>IFERROR(AVERAGEIFS(
'20102013 STH Efficacy'!$AX:$AX, 
'20102013 STH Efficacy'!$AL:$AL, $A155, 
'20102013 STH Efficacy'!$AM:$AM, "Albendazole &amp; Ivermectin",
'20102013 STH Efficacy'!$AS:$AS,"&lt;2014",
'20102013 STH Efficacy'!$BP:$BP,""),
"")</f>
        <v/>
      </c>
      <c r="BA155" s="303">
        <f t="shared" si="24"/>
        <v>0.597625</v>
      </c>
      <c r="BB155" s="134" t="str">
        <f>IFERROR(AVERAGEIFS(
'20102013 STH Efficacy'!$N:$N, 
'20102013 STH Efficacy'!$B:$B, $A155, 
'20102013 STH Efficacy'!$C:$C, "Albendazole",
'20102013 STH Efficacy'!$I:$I,"&lt;2014",
'20102013 STH Efficacy'!$AH:$AH,""),
"")</f>
        <v/>
      </c>
      <c r="BC155" s="135">
        <f t="shared" si="25"/>
        <v>0.7613712121</v>
      </c>
      <c r="BD155" s="134" t="str">
        <f>IFERROR(AVERAGEIFS(
'20102013 STH Efficacy'!$N:$N, 
'20102013 STH Efficacy'!$B:$B, $A155, 
'20102013 STH Efficacy'!$C:$C, "Mebendazole",
'20102013 STH Efficacy'!$I:$I,"&lt;2014",
'20102013 STH Efficacy'!$AH:$AH,""),
"")</f>
        <v/>
      </c>
      <c r="BE155" s="135">
        <f t="shared" si="26"/>
        <v>0.4362466667</v>
      </c>
      <c r="BF155" s="128" t="str">
        <f>IFERROR(AVERAGEIFS(
'20102013 STH Efficacy'!$CD:$CD, 
'20102013 STH Efficacy'!$BS:$BS, $A155, 
'20102013 STH Efficacy'!$BT:$BT, "Albendazole",
'20102013 STH Efficacy'!$BZ:$BZ,"&lt;2014",
'20102013 STH Efficacy'!$CU:$CU,""),
"")</f>
        <v/>
      </c>
      <c r="BG155" s="136">
        <f t="shared" si="27"/>
        <v>0.9216027778</v>
      </c>
      <c r="BH155" s="128" t="str">
        <f>IFERROR(AVERAGEIFS(
'20102013 STH Efficacy'!$CD:$CD, 
'20102013 STH Efficacy'!$BS:$BS, $A155, 
'20102013 STH Efficacy'!$BT:$BT, "Mebendazole",
'20102013 STH Efficacy'!$BZ:$BZ,"&lt;2014",
'20102013 STH Efficacy'!$CU:$CU,""),
"")</f>
        <v/>
      </c>
      <c r="BI155" s="136">
        <f t="shared" si="28"/>
        <v>0.9295857143</v>
      </c>
      <c r="BJ155" s="128" t="str">
        <f>IFERROR(AVERAGEIFS(
'20102013 STH Efficacy'!$CD:$CD, 
'20102013 STH Efficacy'!$BS:$BS, $A155, 
'20102013 STH Efficacy'!$BT:$BT, "Albendazole &amp; Ivermectin",
'20102013 STH Efficacy'!$BZ:$BZ,"&lt;2014",
'20102013 STH Efficacy'!$CU:$CU,""),
"")</f>
        <v/>
      </c>
      <c r="BK155" s="136">
        <f t="shared" si="29"/>
        <v>1</v>
      </c>
      <c r="BL155" s="300" t="str">
        <f>IFERROR(
  AVERAGEIFS(
    'NEW 20102013 Onchocerciasis Eff'!$AO:$AO,
    'NEW 20102013 Onchocerciasis Eff'!$C:$C,$A155,
    'NEW 20102013 Onchocerciasis Eff'!$D:$D,"Ivermectin",
    'NEW 20102013 Onchocerciasis Eff'!$AR:$AR,"&lt;2014",
    'NEW 20102013 Onchocerciasis Eff'!$BG:$BG,"")
,"")</f>
        <v/>
      </c>
      <c r="BM155" s="304">
        <f t="shared" si="30"/>
        <v>0.7808368939</v>
      </c>
      <c r="BN155" s="305">
        <v>0.0</v>
      </c>
      <c r="BO155" s="139">
        <v>0.0</v>
      </c>
      <c r="BP155" s="140">
        <v>0.0</v>
      </c>
      <c r="BQ155" s="141">
        <f t="shared" si="31"/>
        <v>0</v>
      </c>
      <c r="BR155" s="104" t="str">
        <f t="shared" si="32"/>
        <v>0000</v>
      </c>
      <c r="BS155" s="104" t="str">
        <f t="shared" si="33"/>
        <v>no action required</v>
      </c>
      <c r="BT155" s="142" t="str">
        <f t="shared" si="34"/>
        <v/>
      </c>
      <c r="BU155" s="104" t="str">
        <f t="shared" si="50"/>
        <v/>
      </c>
      <c r="BV155" s="104" t="str">
        <f t="shared" si="36"/>
        <v>none</v>
      </c>
      <c r="BW155" s="150" t="str">
        <f t="shared" si="37"/>
        <v/>
      </c>
      <c r="BX155" s="150" t="str">
        <f t="shared" si="38"/>
        <v/>
      </c>
      <c r="BY155" s="151" t="str">
        <f t="shared" si="39"/>
        <v/>
      </c>
      <c r="BZ155" s="152" t="str">
        <f t="shared" si="40"/>
        <v/>
      </c>
      <c r="CA155" s="152" t="str">
        <f t="shared" si="41"/>
        <v/>
      </c>
      <c r="CB155" s="152" t="str">
        <f t="shared" si="42"/>
        <v/>
      </c>
      <c r="CC155" s="153" t="str">
        <f t="shared" si="43"/>
        <v/>
      </c>
      <c r="CD155" s="153" t="str">
        <f t="shared" si="44"/>
        <v/>
      </c>
      <c r="CE155" s="154" t="str">
        <f t="shared" si="45"/>
        <v/>
      </c>
      <c r="CF155" s="154" t="str">
        <f t="shared" si="46"/>
        <v/>
      </c>
      <c r="CG155" s="154" t="str">
        <f t="shared" si="47"/>
        <v/>
      </c>
      <c r="CH155" s="308" t="str">
        <f t="shared" si="48"/>
        <v/>
      </c>
      <c r="CI155" s="299"/>
    </row>
    <row r="156">
      <c r="A156" s="155" t="s">
        <v>245</v>
      </c>
      <c r="B156" s="104" t="s">
        <v>90</v>
      </c>
      <c r="C156" s="105">
        <v>1.0457295E7</v>
      </c>
      <c r="D156" s="293">
        <v>0.0</v>
      </c>
      <c r="E156" s="294">
        <v>25.27111428</v>
      </c>
      <c r="F156" s="307">
        <v>0.0</v>
      </c>
      <c r="G156" s="307">
        <v>0.0</v>
      </c>
      <c r="H156" s="108">
        <v>0.0</v>
      </c>
      <c r="I156" s="109">
        <v>0.0</v>
      </c>
      <c r="J156" s="109">
        <v>0.0</v>
      </c>
      <c r="K156" s="109">
        <v>0.0</v>
      </c>
      <c r="L156" s="112">
        <v>0.0</v>
      </c>
      <c r="M156" s="112">
        <v>0.0</v>
      </c>
      <c r="N156" s="111">
        <v>0.0</v>
      </c>
      <c r="O156" s="298">
        <v>0.0</v>
      </c>
      <c r="P156" s="114"/>
      <c r="Q156" s="114"/>
      <c r="R156" s="121" t="str">
        <f t="shared" si="11"/>
        <v/>
      </c>
      <c r="S156" s="116">
        <f t="shared" si="12"/>
        <v>0.526225767</v>
      </c>
      <c r="T156" s="130"/>
      <c r="U156" s="118">
        <f t="shared" si="13"/>
        <v>0.3468166667</v>
      </c>
      <c r="V156" s="148"/>
      <c r="W156" s="120">
        <f t="shared" si="14"/>
        <v>1</v>
      </c>
      <c r="X156" s="148"/>
      <c r="Y156" s="120">
        <f t="shared" si="15"/>
        <v>1</v>
      </c>
      <c r="Z156" s="299"/>
      <c r="AA156" s="299"/>
      <c r="AB156" s="300" t="str">
        <f t="shared" si="16"/>
        <v/>
      </c>
      <c r="AC156" s="301">
        <f t="shared" si="17"/>
        <v>0.6295826791</v>
      </c>
      <c r="AD156" s="122">
        <v>0.0</v>
      </c>
      <c r="AE156" s="123">
        <v>0.0</v>
      </c>
      <c r="AF156" s="123">
        <v>0.0</v>
      </c>
      <c r="AG156" s="316">
        <v>0.0</v>
      </c>
      <c r="AH156" s="124">
        <v>0.0</v>
      </c>
      <c r="AI156" s="317">
        <v>0.0</v>
      </c>
      <c r="AJ156" s="125">
        <v>0.0</v>
      </c>
      <c r="AK156" s="319">
        <v>0.0</v>
      </c>
      <c r="AL156" s="319">
        <v>0.0</v>
      </c>
      <c r="AM156" s="302">
        <v>0.0</v>
      </c>
      <c r="AN156" s="149" t="str">
        <f>IFERROR(
  AVERAGEIFS(
    'New 20102013 LF Efficacy'!$J:$J,
    'New 20102013 LF Efficacy'!$D:$D, $A156,
    'New 20102013 LF Efficacy'!$F:$F,"DEC", 
    'New 20102013 LF Efficacy'!$W:$W,"&lt;2014",
    'New 20102013 LF Efficacy'!$AA:$AA,""),
  ""
)</f>
        <v/>
      </c>
      <c r="AO156" s="115">
        <f t="shared" si="18"/>
        <v>0.3573520833</v>
      </c>
      <c r="AP156" s="121" t="str">
        <f>IFERROR(
AVERAGEIFS(
'New 20102013 LF Efficacy'!$J:$J,
'New 20102013 LF Efficacy'!$D:$D,$A156,
'New 20102013 LF Efficacy'!$F:$F,"Albendazole &amp; DEC",
'New 20102013 LF Efficacy'!$W:$W,"&lt;2014",
'New 20102013 LF Efficacy'!$AA:$AA,""),
"")
</f>
        <v/>
      </c>
      <c r="AQ156" s="115">
        <f t="shared" si="19"/>
        <v>0.5137291667</v>
      </c>
      <c r="AR156" s="121" t="str">
        <f>IFERROR(
AVERAGEIFS(
'New 20102013 LF Efficacy'!$J:$J,
'New 20102013 LF Efficacy'!$D:$D,$A156,
'New 20102013 LF Efficacy'!$F:$F,"Albendazole &amp; Ivermectin", 
'New 20102013 LF Efficacy'!$W:$W,"&lt;2014",
'New 20102013 LF Efficacy'!$AA:$AA,""),"")</f>
        <v/>
      </c>
      <c r="AS156" s="115">
        <f t="shared" si="20"/>
        <v>0.37153125</v>
      </c>
      <c r="AT156" s="130" t="str">
        <f>IFERROR(AVERAGEIFS(
'20102013 Schist Efficacy'!$O:$O, 
'20102013 Schist Efficacy'!$C:$C,$A156, 
'20102013 Schist Efficacy'!$D:$D, "Praziquantel",
'20102013 Schist Efficacy'!$J:$J,"&lt;2014",
'20102013 Schist Efficacy'!$U:$U,""),
"")</f>
        <v/>
      </c>
      <c r="AU156" s="118">
        <f t="shared" si="21"/>
        <v>0.655</v>
      </c>
      <c r="AV156" s="131" t="str">
        <f>IFERROR(AVERAGEIFS(
'20102013 STH Efficacy'!$AX:$AX, 
'20102013 STH Efficacy'!$AL:$AL, $A156, 
'20102013 STH Efficacy'!$AM:$AM, "Albendazole",
'20102013 STH Efficacy'!$AS:$AS,"&lt;2014",
'20102013 STH Efficacy'!$BP:$BP,""),
"")</f>
        <v/>
      </c>
      <c r="AW156" s="132">
        <f t="shared" si="22"/>
        <v>0.3933333333</v>
      </c>
      <c r="AX156" s="131" t="str">
        <f>IFERROR(AVERAGEIFS(
'20102013 STH Efficacy'!$AX:$AX, 
'20102013 STH Efficacy'!$AL:$AL, $A156, 
'20102013 STH Efficacy'!$AM:$AM, "Mebendazole",
'20102013 STH Efficacy'!$AS:$AS,"&lt;2014",
'20102013 STH Efficacy'!$BP:$BP,""),
"")</f>
        <v/>
      </c>
      <c r="AY156" s="132">
        <f t="shared" si="23"/>
        <v>0.5017738095</v>
      </c>
      <c r="AZ156" s="131" t="str">
        <f>IFERROR(AVERAGEIFS(
'20102013 STH Efficacy'!$AX:$AX, 
'20102013 STH Efficacy'!$AL:$AL, $A156, 
'20102013 STH Efficacy'!$AM:$AM, "Albendazole &amp; Ivermectin",
'20102013 STH Efficacy'!$AS:$AS,"&lt;2014",
'20102013 STH Efficacy'!$BP:$BP,""),
"")</f>
        <v/>
      </c>
      <c r="BA156" s="303">
        <f t="shared" si="24"/>
        <v>0.597625</v>
      </c>
      <c r="BB156" s="134" t="str">
        <f>IFERROR(AVERAGEIFS(
'20102013 STH Efficacy'!$N:$N, 
'20102013 STH Efficacy'!$B:$B, $A156, 
'20102013 STH Efficacy'!$C:$C, "Albendazole",
'20102013 STH Efficacy'!$I:$I,"&lt;2014",
'20102013 STH Efficacy'!$AH:$AH,""),
"")</f>
        <v/>
      </c>
      <c r="BC156" s="135">
        <f t="shared" si="25"/>
        <v>0.7613712121</v>
      </c>
      <c r="BD156" s="134" t="str">
        <f>IFERROR(AVERAGEIFS(
'20102013 STH Efficacy'!$N:$N, 
'20102013 STH Efficacy'!$B:$B, $A156, 
'20102013 STH Efficacy'!$C:$C, "Mebendazole",
'20102013 STH Efficacy'!$I:$I,"&lt;2014",
'20102013 STH Efficacy'!$AH:$AH,""),
"")</f>
        <v/>
      </c>
      <c r="BE156" s="135">
        <f t="shared" si="26"/>
        <v>0.4362466667</v>
      </c>
      <c r="BF156" s="128" t="str">
        <f>IFERROR(AVERAGEIFS(
'20102013 STH Efficacy'!$CD:$CD, 
'20102013 STH Efficacy'!$BS:$BS, $A156, 
'20102013 STH Efficacy'!$BT:$BT, "Albendazole",
'20102013 STH Efficacy'!$BZ:$BZ,"&lt;2014",
'20102013 STH Efficacy'!$CU:$CU,""),
"")</f>
        <v/>
      </c>
      <c r="BG156" s="136">
        <f t="shared" si="27"/>
        <v>0.9216027778</v>
      </c>
      <c r="BH156" s="128" t="str">
        <f>IFERROR(AVERAGEIFS(
'20102013 STH Efficacy'!$CD:$CD, 
'20102013 STH Efficacy'!$BS:$BS, $A156, 
'20102013 STH Efficacy'!$BT:$BT, "Mebendazole",
'20102013 STH Efficacy'!$BZ:$BZ,"&lt;2014",
'20102013 STH Efficacy'!$CU:$CU,""),
"")</f>
        <v/>
      </c>
      <c r="BI156" s="136">
        <f t="shared" si="28"/>
        <v>0.9295857143</v>
      </c>
      <c r="BJ156" s="128" t="str">
        <f>IFERROR(AVERAGEIFS(
'20102013 STH Efficacy'!$CD:$CD, 
'20102013 STH Efficacy'!$BS:$BS, $A156, 
'20102013 STH Efficacy'!$BT:$BT, "Albendazole &amp; Ivermectin",
'20102013 STH Efficacy'!$BZ:$BZ,"&lt;2014",
'20102013 STH Efficacy'!$CU:$CU,""),
"")</f>
        <v/>
      </c>
      <c r="BK156" s="136">
        <f t="shared" si="29"/>
        <v>1</v>
      </c>
      <c r="BL156" s="300" t="str">
        <f>IFERROR(
  AVERAGEIFS(
    'NEW 20102013 Onchocerciasis Eff'!$AO:$AO,
    'NEW 20102013 Onchocerciasis Eff'!$C:$C,$A156,
    'NEW 20102013 Onchocerciasis Eff'!$D:$D,"Ivermectin",
    'NEW 20102013 Onchocerciasis Eff'!$AR:$AR,"&lt;2014",
    'NEW 20102013 Onchocerciasis Eff'!$BG:$BG,"")
,"")</f>
        <v/>
      </c>
      <c r="BM156" s="304">
        <f t="shared" si="30"/>
        <v>0.7808368939</v>
      </c>
      <c r="BN156" s="305">
        <v>0.0</v>
      </c>
      <c r="BO156" s="139">
        <v>0.0</v>
      </c>
      <c r="BP156" s="140">
        <v>0.0</v>
      </c>
      <c r="BQ156" s="141">
        <f t="shared" si="31"/>
        <v>0</v>
      </c>
      <c r="BR156" s="104" t="str">
        <f t="shared" si="32"/>
        <v>0000</v>
      </c>
      <c r="BS156" s="104" t="str">
        <f t="shared" si="33"/>
        <v>no action required</v>
      </c>
      <c r="BT156" s="142" t="str">
        <f t="shared" si="34"/>
        <v/>
      </c>
      <c r="BU156" s="104" t="str">
        <f t="shared" si="50"/>
        <v/>
      </c>
      <c r="BV156" s="104" t="str">
        <f t="shared" si="36"/>
        <v>none</v>
      </c>
      <c r="BW156" s="150" t="str">
        <f t="shared" si="37"/>
        <v/>
      </c>
      <c r="BX156" s="150" t="str">
        <f t="shared" si="38"/>
        <v/>
      </c>
      <c r="BY156" s="151" t="str">
        <f t="shared" si="39"/>
        <v/>
      </c>
      <c r="BZ156" s="152" t="str">
        <f t="shared" si="40"/>
        <v/>
      </c>
      <c r="CA156" s="152" t="str">
        <f t="shared" si="41"/>
        <v/>
      </c>
      <c r="CB156" s="152" t="str">
        <f t="shared" si="42"/>
        <v/>
      </c>
      <c r="CC156" s="153" t="str">
        <f t="shared" si="43"/>
        <v/>
      </c>
      <c r="CD156" s="153" t="str">
        <f t="shared" si="44"/>
        <v/>
      </c>
      <c r="CE156" s="154" t="str">
        <f t="shared" si="45"/>
        <v/>
      </c>
      <c r="CF156" s="154" t="str">
        <f t="shared" si="46"/>
        <v/>
      </c>
      <c r="CG156" s="154" t="str">
        <f t="shared" si="47"/>
        <v/>
      </c>
      <c r="CH156" s="308" t="str">
        <f t="shared" si="48"/>
        <v/>
      </c>
      <c r="CI156" s="299"/>
    </row>
    <row r="157">
      <c r="A157" s="155" t="s">
        <v>246</v>
      </c>
      <c r="B157" s="104" t="s">
        <v>98</v>
      </c>
      <c r="C157" s="105">
        <v>3593077.0</v>
      </c>
      <c r="D157" s="293">
        <v>0.0</v>
      </c>
      <c r="E157" s="294">
        <v>130.9259218</v>
      </c>
      <c r="F157" s="307">
        <v>0.0</v>
      </c>
      <c r="G157" s="307">
        <v>0.0</v>
      </c>
      <c r="H157" s="108">
        <v>0.0</v>
      </c>
      <c r="I157" s="109">
        <v>0.0</v>
      </c>
      <c r="J157" s="109">
        <v>0.0</v>
      </c>
      <c r="K157" s="109">
        <v>0.0</v>
      </c>
      <c r="L157" s="112">
        <v>0.0</v>
      </c>
      <c r="M157" s="112">
        <v>0.0</v>
      </c>
      <c r="N157" s="111">
        <v>0.0</v>
      </c>
      <c r="O157" s="298">
        <v>0.0</v>
      </c>
      <c r="P157" s="114"/>
      <c r="Q157" s="114"/>
      <c r="R157" s="121" t="str">
        <f t="shared" si="11"/>
        <v/>
      </c>
      <c r="S157" s="116">
        <f t="shared" si="12"/>
        <v>0.2288425133</v>
      </c>
      <c r="T157" s="130"/>
      <c r="U157" s="118">
        <f t="shared" si="13"/>
        <v>0.39435</v>
      </c>
      <c r="V157" s="148"/>
      <c r="W157" s="120">
        <f t="shared" si="14"/>
        <v>0.542475</v>
      </c>
      <c r="X157" s="148"/>
      <c r="Y157" s="120">
        <f t="shared" si="15"/>
        <v>0.6507333333</v>
      </c>
      <c r="Z157" s="299"/>
      <c r="AA157" s="299"/>
      <c r="AB157" s="300" t="str">
        <f t="shared" si="16"/>
        <v/>
      </c>
      <c r="AC157" s="301">
        <f t="shared" si="17"/>
        <v>0.3490201688</v>
      </c>
      <c r="AD157" s="122">
        <v>0.0</v>
      </c>
      <c r="AE157" s="123">
        <v>0.0</v>
      </c>
      <c r="AF157" s="123">
        <v>1.0E-4</v>
      </c>
      <c r="AG157" s="316">
        <v>0.0</v>
      </c>
      <c r="AH157" s="124">
        <v>0.0</v>
      </c>
      <c r="AI157" s="317">
        <v>0.0</v>
      </c>
      <c r="AJ157" s="125">
        <v>0.0</v>
      </c>
      <c r="AK157" s="319">
        <v>0.0</v>
      </c>
      <c r="AL157" s="319">
        <v>0.0</v>
      </c>
      <c r="AM157" s="302">
        <v>0.0</v>
      </c>
      <c r="AN157" s="149" t="str">
        <f>IFERROR(
  AVERAGEIFS(
    'New 20102013 LF Efficacy'!$J:$J,
    'New 20102013 LF Efficacy'!$D:$D, $A157,
    'New 20102013 LF Efficacy'!$F:$F,"DEC", 
    'New 20102013 LF Efficacy'!$W:$W,"&lt;2014",
    'New 20102013 LF Efficacy'!$AA:$AA,""),
  ""
)</f>
        <v/>
      </c>
      <c r="AO157" s="115">
        <f t="shared" si="18"/>
        <v>0.2589833333</v>
      </c>
      <c r="AP157" s="121" t="str">
        <f>IFERROR(
AVERAGEIFS(
'New 20102013 LF Efficacy'!$J:$J,
'New 20102013 LF Efficacy'!$D:$D,$A157,
'New 20102013 LF Efficacy'!$F:$F,"Albendazole &amp; DEC",
'New 20102013 LF Efficacy'!$W:$W,"&lt;2014",
'New 20102013 LF Efficacy'!$AA:$AA,""),
"")
</f>
        <v/>
      </c>
      <c r="AQ157" s="115">
        <f t="shared" si="19"/>
        <v>0.3465</v>
      </c>
      <c r="AR157" s="121" t="str">
        <f>IFERROR(
AVERAGEIFS(
'New 20102013 LF Efficacy'!$J:$J,
'New 20102013 LF Efficacy'!$D:$D,$A157,
'New 20102013 LF Efficacy'!$F:$F,"Albendazole &amp; Ivermectin", 
'New 20102013 LF Efficacy'!$W:$W,"&lt;2014",
'New 20102013 LF Efficacy'!$AA:$AA,""),"")</f>
        <v/>
      </c>
      <c r="AS157" s="115">
        <f t="shared" si="20"/>
        <v>0.7575</v>
      </c>
      <c r="AT157" s="130" t="str">
        <f>IFERROR(AVERAGEIFS(
'20102013 Schist Efficacy'!$O:$O, 
'20102013 Schist Efficacy'!$C:$C,$A157, 
'20102013 Schist Efficacy'!$D:$D, "Praziquantel",
'20102013 Schist Efficacy'!$J:$J,"&lt;2014",
'20102013 Schist Efficacy'!$U:$U,""),
"")</f>
        <v/>
      </c>
      <c r="AU157" s="118">
        <f t="shared" si="21"/>
        <v>0.7914761905</v>
      </c>
      <c r="AV157" s="131" t="str">
        <f>IFERROR(AVERAGEIFS(
'20102013 STH Efficacy'!$AX:$AX, 
'20102013 STH Efficacy'!$AL:$AL, $A157, 
'20102013 STH Efficacy'!$AM:$AM, "Albendazole",
'20102013 STH Efficacy'!$AS:$AS,"&lt;2014",
'20102013 STH Efficacy'!$BP:$BP,""),
"")</f>
        <v/>
      </c>
      <c r="AW157" s="132">
        <f t="shared" si="22"/>
        <v>0.3945</v>
      </c>
      <c r="AX157" s="131" t="str">
        <f>IFERROR(AVERAGEIFS(
'20102013 STH Efficacy'!$AX:$AX, 
'20102013 STH Efficacy'!$AL:$AL, $A157, 
'20102013 STH Efficacy'!$AM:$AM, "Mebendazole",
'20102013 STH Efficacy'!$AS:$AS,"&lt;2014",
'20102013 STH Efficacy'!$BP:$BP,""),
"")</f>
        <v/>
      </c>
      <c r="AY157" s="132">
        <f t="shared" si="23"/>
        <v>0.6</v>
      </c>
      <c r="AZ157" s="131" t="str">
        <f>IFERROR(AVERAGEIFS(
'20102013 STH Efficacy'!$AX:$AX, 
'20102013 STH Efficacy'!$AL:$AL, $A157, 
'20102013 STH Efficacy'!$AM:$AM, "Albendazole &amp; Ivermectin",
'20102013 STH Efficacy'!$AS:$AS,"&lt;2014",
'20102013 STH Efficacy'!$BP:$BP,""),
"")</f>
        <v/>
      </c>
      <c r="BA157" s="303">
        <f t="shared" si="24"/>
        <v>0.796</v>
      </c>
      <c r="BB157" s="134" t="str">
        <f>IFERROR(AVERAGEIFS(
'20102013 STH Efficacy'!$N:$N, 
'20102013 STH Efficacy'!$B:$B, $A157, 
'20102013 STH Efficacy'!$C:$C, "Albendazole",
'20102013 STH Efficacy'!$I:$I,"&lt;2014",
'20102013 STH Efficacy'!$AH:$AH,""),
"")</f>
        <v/>
      </c>
      <c r="BC157" s="135">
        <f t="shared" si="25"/>
        <v>0.869</v>
      </c>
      <c r="BD157" s="134" t="str">
        <f>IFERROR(AVERAGEIFS(
'20102013 STH Efficacy'!$N:$N, 
'20102013 STH Efficacy'!$B:$B, $A157, 
'20102013 STH Efficacy'!$C:$C, "Mebendazole",
'20102013 STH Efficacy'!$I:$I,"&lt;2014",
'20102013 STH Efficacy'!$AH:$AH,""),
"")</f>
        <v/>
      </c>
      <c r="BE157" s="135">
        <f t="shared" si="26"/>
        <v>0.172</v>
      </c>
      <c r="BF157" s="128" t="str">
        <f>IFERROR(AVERAGEIFS(
'20102013 STH Efficacy'!$CD:$CD, 
'20102013 STH Efficacy'!$BS:$BS, $A157, 
'20102013 STH Efficacy'!$BT:$BT, "Albendazole",
'20102013 STH Efficacy'!$BZ:$BZ,"&lt;2014",
'20102013 STH Efficacy'!$CU:$CU,""),
"")</f>
        <v/>
      </c>
      <c r="BG157" s="136">
        <f t="shared" si="27"/>
        <v>0.9862</v>
      </c>
      <c r="BH157" s="128" t="str">
        <f>IFERROR(AVERAGEIFS(
'20102013 STH Efficacy'!$CD:$CD, 
'20102013 STH Efficacy'!$BS:$BS, $A157, 
'20102013 STH Efficacy'!$BT:$BT, "Mebendazole",
'20102013 STH Efficacy'!$BZ:$BZ,"&lt;2014",
'20102013 STH Efficacy'!$CU:$CU,""),
"")</f>
        <v/>
      </c>
      <c r="BI157" s="136">
        <f t="shared" si="28"/>
        <v>0.769</v>
      </c>
      <c r="BJ157" s="128" t="str">
        <f>IFERROR(AVERAGEIFS(
'20102013 STH Efficacy'!$CD:$CD, 
'20102013 STH Efficacy'!$BS:$BS, $A157, 
'20102013 STH Efficacy'!$BT:$BT, "Albendazole &amp; Ivermectin",
'20102013 STH Efficacy'!$BZ:$BZ,"&lt;2014",
'20102013 STH Efficacy'!$CU:$CU,""),
"")</f>
        <v/>
      </c>
      <c r="BK157" s="136">
        <f t="shared" si="29"/>
        <v>1</v>
      </c>
      <c r="BL157" s="300" t="str">
        <f>IFERROR(
  AVERAGEIFS(
    'NEW 20102013 Onchocerciasis Eff'!$AO:$AO,
    'NEW 20102013 Onchocerciasis Eff'!$C:$C,$A157,
    'NEW 20102013 Onchocerciasis Eff'!$D:$D,"Ivermectin",
    'NEW 20102013 Onchocerciasis Eff'!$AR:$AR,"&lt;2014",
    'NEW 20102013 Onchocerciasis Eff'!$BG:$BG,"")
,"")</f>
        <v/>
      </c>
      <c r="BM157" s="304">
        <f t="shared" si="30"/>
        <v>0.3734</v>
      </c>
      <c r="BN157" s="305">
        <v>0.0</v>
      </c>
      <c r="BO157" s="139">
        <v>0.0</v>
      </c>
      <c r="BP157" s="140">
        <v>0.0</v>
      </c>
      <c r="BQ157" s="141">
        <f t="shared" si="31"/>
        <v>0</v>
      </c>
      <c r="BR157" s="104" t="str">
        <f t="shared" si="32"/>
        <v>0000</v>
      </c>
      <c r="BS157" s="104" t="str">
        <f t="shared" si="33"/>
        <v>no action required</v>
      </c>
      <c r="BT157" s="142" t="str">
        <f t="shared" si="34"/>
        <v/>
      </c>
      <c r="BU157" s="104" t="str">
        <f t="shared" si="50"/>
        <v/>
      </c>
      <c r="BV157" s="104" t="str">
        <f t="shared" si="36"/>
        <v>none</v>
      </c>
      <c r="BW157" s="150" t="str">
        <f t="shared" si="37"/>
        <v/>
      </c>
      <c r="BX157" s="150" t="str">
        <f t="shared" si="38"/>
        <v/>
      </c>
      <c r="BY157" s="151" t="str">
        <f t="shared" si="39"/>
        <v/>
      </c>
      <c r="BZ157" s="152" t="str">
        <f t="shared" si="40"/>
        <v/>
      </c>
      <c r="CA157" s="152" t="str">
        <f t="shared" si="41"/>
        <v/>
      </c>
      <c r="CB157" s="152" t="str">
        <f t="shared" si="42"/>
        <v/>
      </c>
      <c r="CC157" s="153" t="str">
        <f t="shared" si="43"/>
        <v/>
      </c>
      <c r="CD157" s="153" t="str">
        <f t="shared" si="44"/>
        <v/>
      </c>
      <c r="CE157" s="154" t="str">
        <f t="shared" si="45"/>
        <v/>
      </c>
      <c r="CF157" s="154" t="str">
        <f t="shared" si="46"/>
        <v/>
      </c>
      <c r="CG157" s="154" t="str">
        <f t="shared" si="47"/>
        <v/>
      </c>
      <c r="CH157" s="308" t="str">
        <f t="shared" si="48"/>
        <v/>
      </c>
      <c r="CI157" s="299"/>
    </row>
    <row r="158">
      <c r="A158" s="155" t="s">
        <v>247</v>
      </c>
      <c r="B158" s="104" t="s">
        <v>88</v>
      </c>
      <c r="C158" s="105">
        <v>2250473.0</v>
      </c>
      <c r="D158" s="293">
        <v>0.0</v>
      </c>
      <c r="E158" s="294">
        <v>0.0</v>
      </c>
      <c r="F158" s="307">
        <v>0.0</v>
      </c>
      <c r="G158" s="307">
        <v>0.0</v>
      </c>
      <c r="H158" s="108">
        <v>0.0</v>
      </c>
      <c r="I158" s="109">
        <v>0.00601134</v>
      </c>
      <c r="J158" s="109">
        <v>0.00424709</v>
      </c>
      <c r="K158" s="109">
        <v>0.010258434</v>
      </c>
      <c r="L158" s="112">
        <v>0.0</v>
      </c>
      <c r="M158" s="112">
        <v>0.0</v>
      </c>
      <c r="N158" s="111">
        <v>0.0</v>
      </c>
      <c r="O158" s="298">
        <v>0.0</v>
      </c>
      <c r="P158" s="114"/>
      <c r="Q158" s="114"/>
      <c r="R158" s="121" t="str">
        <f t="shared" si="11"/>
        <v/>
      </c>
      <c r="S158" s="116">
        <f t="shared" si="12"/>
        <v>0.4713987966</v>
      </c>
      <c r="T158" s="130"/>
      <c r="U158" s="118">
        <f t="shared" si="13"/>
        <v>0.5949</v>
      </c>
      <c r="V158" s="148"/>
      <c r="W158" s="120">
        <f t="shared" si="14"/>
        <v>0.9216</v>
      </c>
      <c r="X158" s="148"/>
      <c r="Y158" s="120">
        <f t="shared" si="15"/>
        <v>0.521</v>
      </c>
      <c r="Z158" s="299"/>
      <c r="AA158" s="299"/>
      <c r="AB158" s="300" t="str">
        <f t="shared" si="16"/>
        <v/>
      </c>
      <c r="AC158" s="301">
        <f t="shared" si="17"/>
        <v>0.3122297241</v>
      </c>
      <c r="AD158" s="122">
        <v>0.0</v>
      </c>
      <c r="AE158" s="123">
        <v>0.0</v>
      </c>
      <c r="AF158" s="123">
        <v>0.0</v>
      </c>
      <c r="AG158" s="316">
        <v>0.0</v>
      </c>
      <c r="AH158" s="124">
        <v>1.17452E-5</v>
      </c>
      <c r="AI158" s="317">
        <v>0.0</v>
      </c>
      <c r="AJ158" s="125">
        <v>1.16639E-5</v>
      </c>
      <c r="AK158" s="319">
        <v>0.0</v>
      </c>
      <c r="AL158" s="319">
        <v>0.0</v>
      </c>
      <c r="AM158" s="302">
        <v>0.0</v>
      </c>
      <c r="AN158" s="149" t="str">
        <f>IFERROR(
  AVERAGEIFS(
    'New 20102013 LF Efficacy'!$J:$J,
    'New 20102013 LF Efficacy'!$D:$D, $A158,
    'New 20102013 LF Efficacy'!$F:$F,"DEC", 
    'New 20102013 LF Efficacy'!$W:$W,"&lt;2014",
    'New 20102013 LF Efficacy'!$AA:$AA,""),
  ""
)</f>
        <v/>
      </c>
      <c r="AO158" s="115">
        <f t="shared" si="18"/>
        <v>0.3573520833</v>
      </c>
      <c r="AP158" s="121" t="str">
        <f>IFERROR(
AVERAGEIFS(
'New 20102013 LF Efficacy'!$J:$J,
'New 20102013 LF Efficacy'!$D:$D,$A158,
'New 20102013 LF Efficacy'!$F:$F,"Albendazole &amp; DEC",
'New 20102013 LF Efficacy'!$W:$W,"&lt;2014",
'New 20102013 LF Efficacy'!$AA:$AA,""),
"")
</f>
        <v/>
      </c>
      <c r="AQ158" s="115">
        <f t="shared" si="19"/>
        <v>0.7935</v>
      </c>
      <c r="AR158" s="121" t="str">
        <f>IFERROR(
AVERAGEIFS(
'New 20102013 LF Efficacy'!$J:$J,
'New 20102013 LF Efficacy'!$D:$D,$A158,
'New 20102013 LF Efficacy'!$F:$F,"Albendazole &amp; Ivermectin", 
'New 20102013 LF Efficacy'!$W:$W,"&lt;2014",
'New 20102013 LF Efficacy'!$AA:$AA,""),"")</f>
        <v/>
      </c>
      <c r="AS158" s="115">
        <f t="shared" si="20"/>
        <v>0.37153125</v>
      </c>
      <c r="AT158" s="130" t="str">
        <f>IFERROR(AVERAGEIFS(
'20102013 Schist Efficacy'!$O:$O, 
'20102013 Schist Efficacy'!$C:$C,$A158, 
'20102013 Schist Efficacy'!$D:$D, "Praziquantel",
'20102013 Schist Efficacy'!$J:$J,"&lt;2014",
'20102013 Schist Efficacy'!$U:$U,""),
"")</f>
        <v/>
      </c>
      <c r="AU158" s="118">
        <f t="shared" si="21"/>
        <v>0.7763141026</v>
      </c>
      <c r="AV158" s="131" t="str">
        <f>IFERROR(AVERAGEIFS(
'20102013 STH Efficacy'!$AX:$AX, 
'20102013 STH Efficacy'!$AL:$AL, $A158, 
'20102013 STH Efficacy'!$AM:$AM, "Albendazole",
'20102013 STH Efficacy'!$AS:$AS,"&lt;2014",
'20102013 STH Efficacy'!$BP:$BP,""),
"")</f>
        <v/>
      </c>
      <c r="AW158" s="132">
        <f t="shared" si="22"/>
        <v>0.3933333333</v>
      </c>
      <c r="AX158" s="131" t="str">
        <f>IFERROR(AVERAGEIFS(
'20102013 STH Efficacy'!$AX:$AX, 
'20102013 STH Efficacy'!$AL:$AL, $A158, 
'20102013 STH Efficacy'!$AM:$AM, "Mebendazole",
'20102013 STH Efficacy'!$AS:$AS,"&lt;2014",
'20102013 STH Efficacy'!$BP:$BP,""),
"")</f>
        <v/>
      </c>
      <c r="AY158" s="132">
        <f t="shared" si="23"/>
        <v>0.5017738095</v>
      </c>
      <c r="AZ158" s="131" t="str">
        <f>IFERROR(AVERAGEIFS(
'20102013 STH Efficacy'!$AX:$AX, 
'20102013 STH Efficacy'!$AL:$AL, $A158, 
'20102013 STH Efficacy'!$AM:$AM, "Albendazole &amp; Ivermectin",
'20102013 STH Efficacy'!$AS:$AS,"&lt;2014",
'20102013 STH Efficacy'!$BP:$BP,""),
"")</f>
        <v/>
      </c>
      <c r="BA158" s="303">
        <f t="shared" si="24"/>
        <v>0.597625</v>
      </c>
      <c r="BB158" s="134" t="str">
        <f>IFERROR(AVERAGEIFS(
'20102013 STH Efficacy'!$N:$N, 
'20102013 STH Efficacy'!$B:$B, $A158, 
'20102013 STH Efficacy'!$C:$C, "Albendazole",
'20102013 STH Efficacy'!$I:$I,"&lt;2014",
'20102013 STH Efficacy'!$AH:$AH,""),
"")</f>
        <v/>
      </c>
      <c r="BC158" s="135">
        <f t="shared" si="25"/>
        <v>0.7613712121</v>
      </c>
      <c r="BD158" s="134" t="str">
        <f>IFERROR(AVERAGEIFS(
'20102013 STH Efficacy'!$N:$N, 
'20102013 STH Efficacy'!$B:$B, $A158, 
'20102013 STH Efficacy'!$C:$C, "Mebendazole",
'20102013 STH Efficacy'!$I:$I,"&lt;2014",
'20102013 STH Efficacy'!$AH:$AH,""),
"")</f>
        <v/>
      </c>
      <c r="BE158" s="135">
        <f t="shared" si="26"/>
        <v>0.4362466667</v>
      </c>
      <c r="BF158" s="128" t="str">
        <f>IFERROR(AVERAGEIFS(
'20102013 STH Efficacy'!$CD:$CD, 
'20102013 STH Efficacy'!$BS:$BS, $A158, 
'20102013 STH Efficacy'!$BT:$BT, "Albendazole",
'20102013 STH Efficacy'!$BZ:$BZ,"&lt;2014",
'20102013 STH Efficacy'!$CU:$CU,""),
"")</f>
        <v/>
      </c>
      <c r="BG158" s="136">
        <f t="shared" si="27"/>
        <v>0.955</v>
      </c>
      <c r="BH158" s="128" t="str">
        <f>IFERROR(AVERAGEIFS(
'20102013 STH Efficacy'!$CD:$CD, 
'20102013 STH Efficacy'!$BS:$BS, $A158, 
'20102013 STH Efficacy'!$BT:$BT, "Mebendazole",
'20102013 STH Efficacy'!$BZ:$BZ,"&lt;2014",
'20102013 STH Efficacy'!$CU:$CU,""),
"")</f>
        <v/>
      </c>
      <c r="BI158" s="136">
        <f t="shared" si="28"/>
        <v>1</v>
      </c>
      <c r="BJ158" s="128" t="str">
        <f>IFERROR(AVERAGEIFS(
'20102013 STH Efficacy'!$CD:$CD, 
'20102013 STH Efficacy'!$BS:$BS, $A158, 
'20102013 STH Efficacy'!$BT:$BT, "Albendazole &amp; Ivermectin",
'20102013 STH Efficacy'!$BZ:$BZ,"&lt;2014",
'20102013 STH Efficacy'!$CU:$CU,""),
"")</f>
        <v/>
      </c>
      <c r="BK158" s="136">
        <f t="shared" si="29"/>
        <v>1</v>
      </c>
      <c r="BL158" s="300" t="str">
        <f>IFERROR(
  AVERAGEIFS(
    'NEW 20102013 Onchocerciasis Eff'!$AO:$AO,
    'NEW 20102013 Onchocerciasis Eff'!$C:$C,$A158,
    'NEW 20102013 Onchocerciasis Eff'!$D:$D,"Ivermectin",
    'NEW 20102013 Onchocerciasis Eff'!$AR:$AR,"&lt;2014",
    'NEW 20102013 Onchocerciasis Eff'!$BG:$BG,"")
,"")</f>
        <v/>
      </c>
      <c r="BM158" s="304">
        <f t="shared" si="30"/>
        <v>0.7808368939</v>
      </c>
      <c r="BN158" s="305">
        <v>0.0</v>
      </c>
      <c r="BO158" s="139">
        <v>0.0</v>
      </c>
      <c r="BP158" s="140">
        <v>0.0</v>
      </c>
      <c r="BQ158" s="141">
        <f t="shared" si="31"/>
        <v>0</v>
      </c>
      <c r="BR158" s="104" t="str">
        <f t="shared" si="32"/>
        <v>0000</v>
      </c>
      <c r="BS158" s="104" t="str">
        <f t="shared" si="33"/>
        <v>no action required</v>
      </c>
      <c r="BT158" s="142" t="str">
        <f t="shared" si="34"/>
        <v/>
      </c>
      <c r="BU158" s="104" t="str">
        <f t="shared" si="50"/>
        <v/>
      </c>
      <c r="BV158" s="104" t="str">
        <f t="shared" si="36"/>
        <v>none</v>
      </c>
      <c r="BW158" s="150" t="str">
        <f t="shared" si="37"/>
        <v/>
      </c>
      <c r="BX158" s="150" t="str">
        <f t="shared" si="38"/>
        <v/>
      </c>
      <c r="BY158" s="151" t="str">
        <f t="shared" si="39"/>
        <v/>
      </c>
      <c r="BZ158" s="152" t="str">
        <f t="shared" si="40"/>
        <v/>
      </c>
      <c r="CA158" s="152" t="str">
        <f t="shared" si="41"/>
        <v/>
      </c>
      <c r="CB158" s="152" t="str">
        <f t="shared" si="42"/>
        <v/>
      </c>
      <c r="CC158" s="153" t="str">
        <f t="shared" si="43"/>
        <v/>
      </c>
      <c r="CD158" s="153" t="str">
        <f t="shared" si="44"/>
        <v/>
      </c>
      <c r="CE158" s="154" t="str">
        <f t="shared" si="45"/>
        <v/>
      </c>
      <c r="CF158" s="154" t="str">
        <f t="shared" si="46"/>
        <v/>
      </c>
      <c r="CG158" s="154" t="str">
        <f t="shared" si="47"/>
        <v/>
      </c>
      <c r="CH158" s="308" t="str">
        <f t="shared" si="48"/>
        <v/>
      </c>
      <c r="CI158" s="299"/>
    </row>
    <row r="159">
      <c r="A159" s="155" t="s">
        <v>248</v>
      </c>
      <c r="B159" s="104" t="s">
        <v>94</v>
      </c>
      <c r="C159" s="105">
        <v>5.0428893E7</v>
      </c>
      <c r="D159" s="293">
        <v>0.0</v>
      </c>
      <c r="E159" s="294">
        <v>0.0</v>
      </c>
      <c r="F159" s="307">
        <v>0.0</v>
      </c>
      <c r="G159" s="326">
        <v>6.24976E-5</v>
      </c>
      <c r="H159" s="179">
        <v>6.24976E-5</v>
      </c>
      <c r="I159" s="109">
        <v>0.0</v>
      </c>
      <c r="J159" s="109">
        <v>0.0</v>
      </c>
      <c r="K159" s="109">
        <v>0.453168081</v>
      </c>
      <c r="L159" s="112">
        <v>0.0</v>
      </c>
      <c r="M159" s="112">
        <v>0.0</v>
      </c>
      <c r="N159" s="111">
        <v>0.0</v>
      </c>
      <c r="O159" s="298">
        <v>0.0</v>
      </c>
      <c r="P159" s="114"/>
      <c r="Q159" s="114"/>
      <c r="R159" s="121" t="str">
        <f t="shared" si="11"/>
        <v/>
      </c>
      <c r="S159" s="116">
        <f t="shared" si="12"/>
        <v>0.403639098</v>
      </c>
      <c r="T159" s="130"/>
      <c r="U159" s="118">
        <f t="shared" si="13"/>
        <v>0.6259666667</v>
      </c>
      <c r="V159" s="148"/>
      <c r="W159" s="120">
        <f t="shared" si="14"/>
        <v>0.3807857143</v>
      </c>
      <c r="X159" s="148"/>
      <c r="Y159" s="120">
        <f t="shared" si="15"/>
        <v>0.3971375</v>
      </c>
      <c r="Z159" s="299"/>
      <c r="AA159" s="299"/>
      <c r="AB159" s="300" t="str">
        <f t="shared" si="16"/>
        <v/>
      </c>
      <c r="AC159" s="301">
        <f t="shared" si="17"/>
        <v>0.6295826791</v>
      </c>
      <c r="AD159" s="122">
        <v>0.0024</v>
      </c>
      <c r="AE159" s="123">
        <v>0.0</v>
      </c>
      <c r="AF159" s="166">
        <v>0.0</v>
      </c>
      <c r="AG159" s="316">
        <v>0.0</v>
      </c>
      <c r="AH159" s="124">
        <v>0.003653166</v>
      </c>
      <c r="AI159" s="317">
        <v>0.0</v>
      </c>
      <c r="AJ159" s="317">
        <v>1.31541E-5</v>
      </c>
      <c r="AK159" s="319">
        <v>0.0</v>
      </c>
      <c r="AL159" s="319">
        <v>0.0</v>
      </c>
      <c r="AM159" s="302">
        <v>0.0</v>
      </c>
      <c r="AN159" s="149" t="str">
        <f>IFERROR(
  AVERAGEIFS(
    'New 20102013 LF Efficacy'!$J:$J,
    'New 20102013 LF Efficacy'!$D:$D, $A159,
    'New 20102013 LF Efficacy'!$F:$F,"DEC", 
    'New 20102013 LF Efficacy'!$W:$W,"&lt;2014",
    'New 20102013 LF Efficacy'!$AA:$AA,""),
  ""
)</f>
        <v/>
      </c>
      <c r="AO159" s="115">
        <f t="shared" si="18"/>
        <v>0.38</v>
      </c>
      <c r="AP159" s="121" t="str">
        <f>IFERROR(
AVERAGEIFS(
'New 20102013 LF Efficacy'!$J:$J,
'New 20102013 LF Efficacy'!$D:$D,$A159,
'New 20102013 LF Efficacy'!$F:$F,"Albendazole &amp; DEC",
'New 20102013 LF Efficacy'!$W:$W,"&lt;2014",
'New 20102013 LF Efficacy'!$AA:$AA,""),
"")
</f>
        <v/>
      </c>
      <c r="AQ159" s="115">
        <f t="shared" si="19"/>
        <v>0.657</v>
      </c>
      <c r="AR159" s="121" t="str">
        <f>IFERROR(
AVERAGEIFS(
'New 20102013 LF Efficacy'!$J:$J,
'New 20102013 LF Efficacy'!$D:$D,$A159,
'New 20102013 LF Efficacy'!$F:$F,"Albendazole &amp; Ivermectin", 
'New 20102013 LF Efficacy'!$W:$W,"&lt;2014",
'New 20102013 LF Efficacy'!$AA:$AA,""),"")</f>
        <v/>
      </c>
      <c r="AS159" s="115">
        <f t="shared" si="20"/>
        <v>0.37153125</v>
      </c>
      <c r="AT159" s="130" t="str">
        <f>IFERROR(AVERAGEIFS(
'20102013 Schist Efficacy'!$O:$O, 
'20102013 Schist Efficacy'!$C:$C,$A159, 
'20102013 Schist Efficacy'!$D:$D, "Praziquantel",
'20102013 Schist Efficacy'!$J:$J,"&lt;2014",
'20102013 Schist Efficacy'!$U:$U,""),
"")</f>
        <v/>
      </c>
      <c r="AU159" s="118">
        <f t="shared" si="21"/>
        <v>0.9475</v>
      </c>
      <c r="AV159" s="131" t="str">
        <f>IFERROR(AVERAGEIFS(
'20102013 STH Efficacy'!$AX:$AX, 
'20102013 STH Efficacy'!$AL:$AL, $A159, 
'20102013 STH Efficacy'!$AM:$AM, "Albendazole",
'20102013 STH Efficacy'!$AS:$AS,"&lt;2014",
'20102013 STH Efficacy'!$BP:$BP,""),
"")</f>
        <v/>
      </c>
      <c r="AW159" s="132">
        <f t="shared" si="22"/>
        <v>0.3571666667</v>
      </c>
      <c r="AX159" s="131" t="str">
        <f>IFERROR(AVERAGEIFS(
'20102013 STH Efficacy'!$AX:$AX, 
'20102013 STH Efficacy'!$AL:$AL, $A159, 
'20102013 STH Efficacy'!$AM:$AM, "Mebendazole",
'20102013 STH Efficacy'!$AS:$AS,"&lt;2014",
'20102013 STH Efficacy'!$BP:$BP,""),
"")</f>
        <v/>
      </c>
      <c r="AY159" s="132">
        <f t="shared" si="23"/>
        <v>0.4155</v>
      </c>
      <c r="AZ159" s="131" t="str">
        <f>IFERROR(AVERAGEIFS(
'20102013 STH Efficacy'!$AX:$AX, 
'20102013 STH Efficacy'!$AL:$AL, $A159, 
'20102013 STH Efficacy'!$AM:$AM, "Albendazole &amp; Ivermectin",
'20102013 STH Efficacy'!$AS:$AS,"&lt;2014",
'20102013 STH Efficacy'!$BP:$BP,""),
"")</f>
        <v/>
      </c>
      <c r="BA159" s="303">
        <f t="shared" si="24"/>
        <v>0.651</v>
      </c>
      <c r="BB159" s="134" t="str">
        <f>IFERROR(AVERAGEIFS(
'20102013 STH Efficacy'!$N:$N, 
'20102013 STH Efficacy'!$B:$B, $A159, 
'20102013 STH Efficacy'!$C:$C, "Albendazole",
'20102013 STH Efficacy'!$I:$I,"&lt;2014",
'20102013 STH Efficacy'!$AH:$AH,""),
"")</f>
        <v/>
      </c>
      <c r="BC159" s="135">
        <f t="shared" si="25"/>
        <v>0.5769166667</v>
      </c>
      <c r="BD159" s="134" t="str">
        <f>IFERROR(AVERAGEIFS(
'20102013 STH Efficacy'!$N:$N, 
'20102013 STH Efficacy'!$B:$B, $A159, 
'20102013 STH Efficacy'!$C:$C, "Mebendazole",
'20102013 STH Efficacy'!$I:$I,"&lt;2014",
'20102013 STH Efficacy'!$AH:$AH,""),
"")</f>
        <v/>
      </c>
      <c r="BE159" s="135">
        <f t="shared" si="26"/>
        <v>0.3145</v>
      </c>
      <c r="BF159" s="128" t="str">
        <f>IFERROR(AVERAGEIFS(
'20102013 STH Efficacy'!$CD:$CD, 
'20102013 STH Efficacy'!$BS:$BS, $A159, 
'20102013 STH Efficacy'!$BT:$BT, "Albendazole",
'20102013 STH Efficacy'!$BZ:$BZ,"&lt;2014",
'20102013 STH Efficacy'!$CU:$CU,""),
"")</f>
        <v/>
      </c>
      <c r="BG159" s="136">
        <f t="shared" si="27"/>
        <v>0.96925</v>
      </c>
      <c r="BH159" s="128" t="str">
        <f>IFERROR(AVERAGEIFS(
'20102013 STH Efficacy'!$CD:$CD, 
'20102013 STH Efficacy'!$BS:$BS, $A159, 
'20102013 STH Efficacy'!$BT:$BT, "Mebendazole",
'20102013 STH Efficacy'!$BZ:$BZ,"&lt;2014",
'20102013 STH Efficacy'!$CU:$CU,""),
"")</f>
        <v/>
      </c>
      <c r="BI159" s="136">
        <f t="shared" si="28"/>
        <v>0.9305</v>
      </c>
      <c r="BJ159" s="128" t="str">
        <f>IFERROR(AVERAGEIFS(
'20102013 STH Efficacy'!$CD:$CD, 
'20102013 STH Efficacy'!$BS:$BS, $A159, 
'20102013 STH Efficacy'!$BT:$BT, "Albendazole &amp; Ivermectin",
'20102013 STH Efficacy'!$BZ:$BZ,"&lt;2014",
'20102013 STH Efficacy'!$CU:$CU,""),
"")</f>
        <v/>
      </c>
      <c r="BK159" s="136">
        <f t="shared" si="29"/>
        <v>1</v>
      </c>
      <c r="BL159" s="300" t="str">
        <f>IFERROR(
  AVERAGEIFS(
    'NEW 20102013 Onchocerciasis Eff'!$AO:$AO,
    'NEW 20102013 Onchocerciasis Eff'!$C:$C,$A159,
    'NEW 20102013 Onchocerciasis Eff'!$D:$D,"Ivermectin",
    'NEW 20102013 Onchocerciasis Eff'!$AR:$AR,"&lt;2014",
    'NEW 20102013 Onchocerciasis Eff'!$BG:$BG,"")
,"")</f>
        <v/>
      </c>
      <c r="BM159" s="304">
        <f t="shared" si="30"/>
        <v>0.7808368939</v>
      </c>
      <c r="BN159" s="305">
        <v>0.0</v>
      </c>
      <c r="BO159" s="139">
        <v>0.0</v>
      </c>
      <c r="BP159" s="140">
        <v>0.0</v>
      </c>
      <c r="BQ159" s="141">
        <f t="shared" si="31"/>
        <v>0</v>
      </c>
      <c r="BR159" s="104" t="str">
        <f t="shared" si="32"/>
        <v>0000</v>
      </c>
      <c r="BS159" s="104" t="str">
        <f t="shared" si="33"/>
        <v>no action required</v>
      </c>
      <c r="BT159" s="142" t="str">
        <f t="shared" si="34"/>
        <v/>
      </c>
      <c r="BU159" s="104" t="str">
        <f t="shared" si="50"/>
        <v/>
      </c>
      <c r="BV159" s="104" t="str">
        <f t="shared" si="36"/>
        <v>none</v>
      </c>
      <c r="BW159" s="150" t="str">
        <f t="shared" si="37"/>
        <v/>
      </c>
      <c r="BX159" s="150" t="str">
        <f t="shared" si="38"/>
        <v/>
      </c>
      <c r="BY159" s="151" t="str">
        <f t="shared" si="39"/>
        <v/>
      </c>
      <c r="BZ159" s="152" t="str">
        <f t="shared" si="40"/>
        <v/>
      </c>
      <c r="CA159" s="152" t="str">
        <f t="shared" si="41"/>
        <v/>
      </c>
      <c r="CB159" s="152" t="str">
        <f t="shared" si="42"/>
        <v/>
      </c>
      <c r="CC159" s="153" t="str">
        <f t="shared" si="43"/>
        <v/>
      </c>
      <c r="CD159" s="153" t="str">
        <f t="shared" si="44"/>
        <v/>
      </c>
      <c r="CE159" s="154" t="str">
        <f t="shared" si="45"/>
        <v/>
      </c>
      <c r="CF159" s="154" t="str">
        <f t="shared" si="46"/>
        <v/>
      </c>
      <c r="CG159" s="154" t="str">
        <f t="shared" si="47"/>
        <v/>
      </c>
      <c r="CH159" s="308" t="str">
        <f t="shared" si="48"/>
        <v/>
      </c>
      <c r="CI159" s="299"/>
    </row>
    <row r="160">
      <c r="A160" s="155" t="s">
        <v>249</v>
      </c>
      <c r="B160" s="104" t="s">
        <v>90</v>
      </c>
      <c r="C160" s="105">
        <v>3558566.0</v>
      </c>
      <c r="D160" s="293">
        <v>0.0</v>
      </c>
      <c r="E160" s="294">
        <v>0.0</v>
      </c>
      <c r="F160" s="307">
        <v>0.0</v>
      </c>
      <c r="G160" s="307">
        <v>0.0</v>
      </c>
      <c r="H160" s="108">
        <v>0.0</v>
      </c>
      <c r="I160" s="109">
        <v>0.0</v>
      </c>
      <c r="J160" s="109">
        <v>0.0</v>
      </c>
      <c r="K160" s="109">
        <v>0.0</v>
      </c>
      <c r="L160" s="112">
        <v>0.177717648</v>
      </c>
      <c r="M160" s="112">
        <v>0.105509535</v>
      </c>
      <c r="N160" s="111">
        <v>0.283227183</v>
      </c>
      <c r="O160" s="298">
        <v>0.0</v>
      </c>
      <c r="P160" s="114"/>
      <c r="Q160" s="114"/>
      <c r="R160" s="121" t="str">
        <f t="shared" si="11"/>
        <v/>
      </c>
      <c r="S160" s="116">
        <f t="shared" si="12"/>
        <v>0.526225767</v>
      </c>
      <c r="T160" s="130"/>
      <c r="U160" s="118">
        <f t="shared" si="13"/>
        <v>0.3468166667</v>
      </c>
      <c r="V160" s="148"/>
      <c r="W160" s="120">
        <f t="shared" si="14"/>
        <v>1</v>
      </c>
      <c r="X160" s="148"/>
      <c r="Y160" s="120">
        <f t="shared" si="15"/>
        <v>1</v>
      </c>
      <c r="Z160" s="299"/>
      <c r="AA160" s="299"/>
      <c r="AB160" s="300" t="str">
        <f t="shared" si="16"/>
        <v/>
      </c>
      <c r="AC160" s="301">
        <f t="shared" si="17"/>
        <v>0.6295826791</v>
      </c>
      <c r="AD160" s="122">
        <v>0.0</v>
      </c>
      <c r="AE160" s="123">
        <v>0.0</v>
      </c>
      <c r="AF160" s="123">
        <v>0.0</v>
      </c>
      <c r="AG160" s="316">
        <v>0.0</v>
      </c>
      <c r="AH160" s="124">
        <v>0.0</v>
      </c>
      <c r="AI160" s="317">
        <v>0.0</v>
      </c>
      <c r="AJ160" s="317">
        <v>0.0</v>
      </c>
      <c r="AK160" s="319">
        <v>0.0</v>
      </c>
      <c r="AL160" s="319">
        <v>0.0</v>
      </c>
      <c r="AM160" s="302">
        <v>0.0</v>
      </c>
      <c r="AN160" s="149" t="str">
        <f>IFERROR(
  AVERAGEIFS(
    'New 20102013 LF Efficacy'!$J:$J,
    'New 20102013 LF Efficacy'!$D:$D, $A160,
    'New 20102013 LF Efficacy'!$F:$F,"DEC", 
    'New 20102013 LF Efficacy'!$W:$W,"&lt;2014",
    'New 20102013 LF Efficacy'!$AA:$AA,""),
  ""
)</f>
        <v/>
      </c>
      <c r="AO160" s="115">
        <f t="shared" si="18"/>
        <v>0.3573520833</v>
      </c>
      <c r="AP160" s="121" t="str">
        <f>IFERROR(
AVERAGEIFS(
'New 20102013 LF Efficacy'!$J:$J,
'New 20102013 LF Efficacy'!$D:$D,$A160,
'New 20102013 LF Efficacy'!$F:$F,"Albendazole &amp; DEC",
'New 20102013 LF Efficacy'!$W:$W,"&lt;2014",
'New 20102013 LF Efficacy'!$AA:$AA,""),
"")
</f>
        <v/>
      </c>
      <c r="AQ160" s="115">
        <f t="shared" si="19"/>
        <v>0.5137291667</v>
      </c>
      <c r="AR160" s="121" t="str">
        <f>IFERROR(
AVERAGEIFS(
'New 20102013 LF Efficacy'!$J:$J,
'New 20102013 LF Efficacy'!$D:$D,$A160,
'New 20102013 LF Efficacy'!$F:$F,"Albendazole &amp; Ivermectin", 
'New 20102013 LF Efficacy'!$W:$W,"&lt;2014",
'New 20102013 LF Efficacy'!$AA:$AA,""),"")</f>
        <v/>
      </c>
      <c r="AS160" s="115">
        <f t="shared" si="20"/>
        <v>0.37153125</v>
      </c>
      <c r="AT160" s="130" t="str">
        <f>IFERROR(AVERAGEIFS(
'20102013 Schist Efficacy'!$O:$O, 
'20102013 Schist Efficacy'!$C:$C,$A160, 
'20102013 Schist Efficacy'!$D:$D, "Praziquantel",
'20102013 Schist Efficacy'!$J:$J,"&lt;2014",
'20102013 Schist Efficacy'!$U:$U,""),
"")</f>
        <v/>
      </c>
      <c r="AU160" s="118">
        <f t="shared" si="21"/>
        <v>0.655</v>
      </c>
      <c r="AV160" s="131" t="str">
        <f>IFERROR(AVERAGEIFS(
'20102013 STH Efficacy'!$AX:$AX, 
'20102013 STH Efficacy'!$AL:$AL, $A160, 
'20102013 STH Efficacy'!$AM:$AM, "Albendazole",
'20102013 STH Efficacy'!$AS:$AS,"&lt;2014",
'20102013 STH Efficacy'!$BP:$BP,""),
"")</f>
        <v/>
      </c>
      <c r="AW160" s="132">
        <f t="shared" si="22"/>
        <v>0.3933333333</v>
      </c>
      <c r="AX160" s="131" t="str">
        <f>IFERROR(AVERAGEIFS(
'20102013 STH Efficacy'!$AX:$AX, 
'20102013 STH Efficacy'!$AL:$AL, $A160, 
'20102013 STH Efficacy'!$AM:$AM, "Mebendazole",
'20102013 STH Efficacy'!$AS:$AS,"&lt;2014",
'20102013 STH Efficacy'!$BP:$BP,""),
"")</f>
        <v/>
      </c>
      <c r="AY160" s="132">
        <f t="shared" si="23"/>
        <v>0.5017738095</v>
      </c>
      <c r="AZ160" s="131" t="str">
        <f>IFERROR(AVERAGEIFS(
'20102013 STH Efficacy'!$AX:$AX, 
'20102013 STH Efficacy'!$AL:$AL, $A160, 
'20102013 STH Efficacy'!$AM:$AM, "Albendazole &amp; Ivermectin",
'20102013 STH Efficacy'!$AS:$AS,"&lt;2014",
'20102013 STH Efficacy'!$BP:$BP,""),
"")</f>
        <v/>
      </c>
      <c r="BA160" s="303">
        <f t="shared" si="24"/>
        <v>0.597625</v>
      </c>
      <c r="BB160" s="134" t="str">
        <f>IFERROR(AVERAGEIFS(
'20102013 STH Efficacy'!$N:$N, 
'20102013 STH Efficacy'!$B:$B, $A160, 
'20102013 STH Efficacy'!$C:$C, "Albendazole",
'20102013 STH Efficacy'!$I:$I,"&lt;2014",
'20102013 STH Efficacy'!$AH:$AH,""),
"")</f>
        <v/>
      </c>
      <c r="BC160" s="135">
        <f t="shared" si="25"/>
        <v>0.7613712121</v>
      </c>
      <c r="BD160" s="134" t="str">
        <f>IFERROR(AVERAGEIFS(
'20102013 STH Efficacy'!$N:$N, 
'20102013 STH Efficacy'!$B:$B, $A160, 
'20102013 STH Efficacy'!$C:$C, "Mebendazole",
'20102013 STH Efficacy'!$I:$I,"&lt;2014",
'20102013 STH Efficacy'!$AH:$AH,""),
"")</f>
        <v/>
      </c>
      <c r="BE160" s="135">
        <f t="shared" si="26"/>
        <v>0.4362466667</v>
      </c>
      <c r="BF160" s="128" t="str">
        <f>IFERROR(AVERAGEIFS(
'20102013 STH Efficacy'!$CD:$CD, 
'20102013 STH Efficacy'!$BS:$BS, $A160, 
'20102013 STH Efficacy'!$BT:$BT, "Albendazole",
'20102013 STH Efficacy'!$BZ:$BZ,"&lt;2014",
'20102013 STH Efficacy'!$CU:$CU,""),
"")</f>
        <v/>
      </c>
      <c r="BG160" s="136">
        <f t="shared" si="27"/>
        <v>0.9216027778</v>
      </c>
      <c r="BH160" s="128" t="str">
        <f>IFERROR(AVERAGEIFS(
'20102013 STH Efficacy'!$CD:$CD, 
'20102013 STH Efficacy'!$BS:$BS, $A160, 
'20102013 STH Efficacy'!$BT:$BT, "Mebendazole",
'20102013 STH Efficacy'!$BZ:$BZ,"&lt;2014",
'20102013 STH Efficacy'!$CU:$CU,""),
"")</f>
        <v/>
      </c>
      <c r="BI160" s="136">
        <f t="shared" si="28"/>
        <v>0.9295857143</v>
      </c>
      <c r="BJ160" s="128" t="str">
        <f>IFERROR(AVERAGEIFS(
'20102013 STH Efficacy'!$CD:$CD, 
'20102013 STH Efficacy'!$BS:$BS, $A160, 
'20102013 STH Efficacy'!$BT:$BT, "Albendazole &amp; Ivermectin",
'20102013 STH Efficacy'!$BZ:$BZ,"&lt;2014",
'20102013 STH Efficacy'!$CU:$CU,""),
"")</f>
        <v/>
      </c>
      <c r="BK160" s="136">
        <f t="shared" si="29"/>
        <v>1</v>
      </c>
      <c r="BL160" s="300" t="str">
        <f>IFERROR(
  AVERAGEIFS(
    'NEW 20102013 Onchocerciasis Eff'!$AO:$AO,
    'NEW 20102013 Onchocerciasis Eff'!$C:$C,$A160,
    'NEW 20102013 Onchocerciasis Eff'!$D:$D,"Ivermectin",
    'NEW 20102013 Onchocerciasis Eff'!$AR:$AR,"&lt;2014",
    'NEW 20102013 Onchocerciasis Eff'!$BG:$BG,"")
,"")</f>
        <v/>
      </c>
      <c r="BM160" s="304">
        <f t="shared" si="30"/>
        <v>0.7808368939</v>
      </c>
      <c r="BN160" s="305">
        <v>0.0</v>
      </c>
      <c r="BO160" s="139">
        <v>0.0</v>
      </c>
      <c r="BP160" s="140">
        <v>0.0</v>
      </c>
      <c r="BQ160" s="141">
        <f t="shared" si="31"/>
        <v>0</v>
      </c>
      <c r="BR160" s="104" t="str">
        <f t="shared" si="32"/>
        <v>0000</v>
      </c>
      <c r="BS160" s="104" t="str">
        <f t="shared" si="33"/>
        <v>no action required</v>
      </c>
      <c r="BT160" s="142" t="str">
        <f t="shared" si="34"/>
        <v/>
      </c>
      <c r="BU160" s="104" t="str">
        <f t="shared" si="50"/>
        <v/>
      </c>
      <c r="BV160" s="104" t="str">
        <f t="shared" si="36"/>
        <v>none</v>
      </c>
      <c r="BW160" s="150" t="str">
        <f t="shared" si="37"/>
        <v/>
      </c>
      <c r="BX160" s="150" t="str">
        <f t="shared" si="38"/>
        <v/>
      </c>
      <c r="BY160" s="151" t="str">
        <f t="shared" si="39"/>
        <v/>
      </c>
      <c r="BZ160" s="152" t="str">
        <f t="shared" si="40"/>
        <v/>
      </c>
      <c r="CA160" s="152" t="str">
        <f t="shared" si="41"/>
        <v/>
      </c>
      <c r="CB160" s="152" t="str">
        <f t="shared" si="42"/>
        <v/>
      </c>
      <c r="CC160" s="153" t="str">
        <f t="shared" si="43"/>
        <v/>
      </c>
      <c r="CD160" s="153" t="str">
        <f t="shared" si="44"/>
        <v/>
      </c>
      <c r="CE160" s="154" t="str">
        <f t="shared" si="45"/>
        <v/>
      </c>
      <c r="CF160" s="154" t="str">
        <f t="shared" si="46"/>
        <v/>
      </c>
      <c r="CG160" s="154" t="str">
        <f t="shared" si="47"/>
        <v/>
      </c>
      <c r="CH160" s="308" t="str">
        <f t="shared" si="48"/>
        <v/>
      </c>
      <c r="CI160" s="299"/>
    </row>
    <row r="161">
      <c r="A161" s="155" t="s">
        <v>250</v>
      </c>
      <c r="B161" s="104" t="s">
        <v>90</v>
      </c>
      <c r="C161" s="105">
        <v>1.9983693E7</v>
      </c>
      <c r="D161" s="293">
        <v>0.0</v>
      </c>
      <c r="E161" s="294">
        <v>0.0</v>
      </c>
      <c r="F161" s="307">
        <v>0.0</v>
      </c>
      <c r="G161" s="307">
        <v>0.0</v>
      </c>
      <c r="H161" s="108">
        <v>0.0</v>
      </c>
      <c r="I161" s="109">
        <v>0.0</v>
      </c>
      <c r="J161" s="109">
        <v>0.0</v>
      </c>
      <c r="K161" s="109">
        <v>0.0</v>
      </c>
      <c r="L161" s="112">
        <v>1.179842496</v>
      </c>
      <c r="M161" s="112">
        <v>0.576997375</v>
      </c>
      <c r="N161" s="111">
        <v>1.756839871</v>
      </c>
      <c r="O161" s="298">
        <v>0.0</v>
      </c>
      <c r="P161" s="114"/>
      <c r="Q161" s="114"/>
      <c r="R161" s="121" t="str">
        <f t="shared" si="11"/>
        <v/>
      </c>
      <c r="S161" s="116">
        <f t="shared" si="12"/>
        <v>0.526225767</v>
      </c>
      <c r="T161" s="130"/>
      <c r="U161" s="118">
        <f t="shared" si="13"/>
        <v>0.3468166667</v>
      </c>
      <c r="V161" s="148"/>
      <c r="W161" s="120">
        <f t="shared" si="14"/>
        <v>1</v>
      </c>
      <c r="X161" s="148"/>
      <c r="Y161" s="120">
        <f t="shared" si="15"/>
        <v>1</v>
      </c>
      <c r="Z161" s="299"/>
      <c r="AA161" s="299"/>
      <c r="AB161" s="300" t="str">
        <f t="shared" si="16"/>
        <v/>
      </c>
      <c r="AC161" s="301">
        <f t="shared" si="17"/>
        <v>0.6295826791</v>
      </c>
      <c r="AD161" s="122">
        <v>0.0</v>
      </c>
      <c r="AE161" s="123">
        <v>0.0</v>
      </c>
      <c r="AF161" s="123">
        <v>0.0</v>
      </c>
      <c r="AG161" s="316">
        <v>0.0</v>
      </c>
      <c r="AH161" s="124">
        <v>0.0</v>
      </c>
      <c r="AI161" s="317">
        <v>0.0</v>
      </c>
      <c r="AJ161" s="125">
        <v>0.0</v>
      </c>
      <c r="AK161" s="319">
        <v>0.0</v>
      </c>
      <c r="AL161" s="319">
        <v>0.0</v>
      </c>
      <c r="AM161" s="302">
        <v>0.0</v>
      </c>
      <c r="AN161" s="149" t="str">
        <f>IFERROR(
  AVERAGEIFS(
    'New 20102013 LF Efficacy'!$J:$J,
    'New 20102013 LF Efficacy'!$D:$D, $A161,
    'New 20102013 LF Efficacy'!$F:$F,"DEC", 
    'New 20102013 LF Efficacy'!$W:$W,"&lt;2014",
    'New 20102013 LF Efficacy'!$AA:$AA,""),
  ""
)</f>
        <v/>
      </c>
      <c r="AO161" s="115">
        <f t="shared" si="18"/>
        <v>0.3573520833</v>
      </c>
      <c r="AP161" s="121" t="str">
        <f>IFERROR(
AVERAGEIFS(
'New 20102013 LF Efficacy'!$J:$J,
'New 20102013 LF Efficacy'!$D:$D,$A161,
'New 20102013 LF Efficacy'!$F:$F,"Albendazole &amp; DEC",
'New 20102013 LF Efficacy'!$W:$W,"&lt;2014",
'New 20102013 LF Efficacy'!$AA:$AA,""),
"")
</f>
        <v/>
      </c>
      <c r="AQ161" s="115">
        <f t="shared" si="19"/>
        <v>0.5137291667</v>
      </c>
      <c r="AR161" s="121" t="str">
        <f>IFERROR(
AVERAGEIFS(
'New 20102013 LF Efficacy'!$J:$J,
'New 20102013 LF Efficacy'!$D:$D,$A161,
'New 20102013 LF Efficacy'!$F:$F,"Albendazole &amp; Ivermectin", 
'New 20102013 LF Efficacy'!$W:$W,"&lt;2014",
'New 20102013 LF Efficacy'!$AA:$AA,""),"")</f>
        <v/>
      </c>
      <c r="AS161" s="115">
        <f t="shared" si="20"/>
        <v>0.37153125</v>
      </c>
      <c r="AT161" s="130" t="str">
        <f>IFERROR(AVERAGEIFS(
'20102013 Schist Efficacy'!$O:$O, 
'20102013 Schist Efficacy'!$C:$C,$A161, 
'20102013 Schist Efficacy'!$D:$D, "Praziquantel",
'20102013 Schist Efficacy'!$J:$J,"&lt;2014",
'20102013 Schist Efficacy'!$U:$U,""),
"")</f>
        <v/>
      </c>
      <c r="AU161" s="118">
        <f t="shared" si="21"/>
        <v>0.655</v>
      </c>
      <c r="AV161" s="131" t="str">
        <f>IFERROR(AVERAGEIFS(
'20102013 STH Efficacy'!$AX:$AX, 
'20102013 STH Efficacy'!$AL:$AL, $A161, 
'20102013 STH Efficacy'!$AM:$AM, "Albendazole",
'20102013 STH Efficacy'!$AS:$AS,"&lt;2014",
'20102013 STH Efficacy'!$BP:$BP,""),
"")</f>
        <v/>
      </c>
      <c r="AW161" s="132">
        <f t="shared" si="22"/>
        <v>0.3933333333</v>
      </c>
      <c r="AX161" s="131" t="str">
        <f>IFERROR(AVERAGEIFS(
'20102013 STH Efficacy'!$AX:$AX, 
'20102013 STH Efficacy'!$AL:$AL, $A161, 
'20102013 STH Efficacy'!$AM:$AM, "Mebendazole",
'20102013 STH Efficacy'!$AS:$AS,"&lt;2014",
'20102013 STH Efficacy'!$BP:$BP,""),
"")</f>
        <v/>
      </c>
      <c r="AY161" s="132">
        <f t="shared" si="23"/>
        <v>0.5017738095</v>
      </c>
      <c r="AZ161" s="131" t="str">
        <f>IFERROR(AVERAGEIFS(
'20102013 STH Efficacy'!$AX:$AX, 
'20102013 STH Efficacy'!$AL:$AL, $A161, 
'20102013 STH Efficacy'!$AM:$AM, "Albendazole &amp; Ivermectin",
'20102013 STH Efficacy'!$AS:$AS,"&lt;2014",
'20102013 STH Efficacy'!$BP:$BP,""),
"")</f>
        <v/>
      </c>
      <c r="BA161" s="303">
        <f t="shared" si="24"/>
        <v>0.597625</v>
      </c>
      <c r="BB161" s="134" t="str">
        <f>IFERROR(AVERAGEIFS(
'20102013 STH Efficacy'!$N:$N, 
'20102013 STH Efficacy'!$B:$B, $A161, 
'20102013 STH Efficacy'!$C:$C, "Albendazole",
'20102013 STH Efficacy'!$I:$I,"&lt;2014",
'20102013 STH Efficacy'!$AH:$AH,""),
"")</f>
        <v/>
      </c>
      <c r="BC161" s="135">
        <f t="shared" si="25"/>
        <v>0.7613712121</v>
      </c>
      <c r="BD161" s="134" t="str">
        <f>IFERROR(AVERAGEIFS(
'20102013 STH Efficacy'!$N:$N, 
'20102013 STH Efficacy'!$B:$B, $A161, 
'20102013 STH Efficacy'!$C:$C, "Mebendazole",
'20102013 STH Efficacy'!$I:$I,"&lt;2014",
'20102013 STH Efficacy'!$AH:$AH,""),
"")</f>
        <v/>
      </c>
      <c r="BE161" s="135">
        <f t="shared" si="26"/>
        <v>0.4362466667</v>
      </c>
      <c r="BF161" s="128" t="str">
        <f>IFERROR(AVERAGEIFS(
'20102013 STH Efficacy'!$CD:$CD, 
'20102013 STH Efficacy'!$BS:$BS, $A161, 
'20102013 STH Efficacy'!$BT:$BT, "Albendazole",
'20102013 STH Efficacy'!$BZ:$BZ,"&lt;2014",
'20102013 STH Efficacy'!$CU:$CU,""),
"")</f>
        <v/>
      </c>
      <c r="BG161" s="136">
        <f t="shared" si="27"/>
        <v>0.9216027778</v>
      </c>
      <c r="BH161" s="128" t="str">
        <f>IFERROR(AVERAGEIFS(
'20102013 STH Efficacy'!$CD:$CD, 
'20102013 STH Efficacy'!$BS:$BS, $A161, 
'20102013 STH Efficacy'!$BT:$BT, "Mebendazole",
'20102013 STH Efficacy'!$BZ:$BZ,"&lt;2014",
'20102013 STH Efficacy'!$CU:$CU,""),
"")</f>
        <v/>
      </c>
      <c r="BI161" s="136">
        <f t="shared" si="28"/>
        <v>0.9295857143</v>
      </c>
      <c r="BJ161" s="128" t="str">
        <f>IFERROR(AVERAGEIFS(
'20102013 STH Efficacy'!$CD:$CD, 
'20102013 STH Efficacy'!$BS:$BS, $A161, 
'20102013 STH Efficacy'!$BT:$BT, "Albendazole &amp; Ivermectin",
'20102013 STH Efficacy'!$BZ:$BZ,"&lt;2014",
'20102013 STH Efficacy'!$CU:$CU,""),
"")</f>
        <v/>
      </c>
      <c r="BK161" s="136">
        <f t="shared" si="29"/>
        <v>1</v>
      </c>
      <c r="BL161" s="300" t="str">
        <f>IFERROR(
  AVERAGEIFS(
    'NEW 20102013 Onchocerciasis Eff'!$AO:$AO,
    'NEW 20102013 Onchocerciasis Eff'!$C:$C,$A161,
    'NEW 20102013 Onchocerciasis Eff'!$D:$D,"Ivermectin",
    'NEW 20102013 Onchocerciasis Eff'!$AR:$AR,"&lt;2014",
    'NEW 20102013 Onchocerciasis Eff'!$BG:$BG,"")
,"")</f>
        <v/>
      </c>
      <c r="BM161" s="304">
        <f t="shared" si="30"/>
        <v>0.7808368939</v>
      </c>
      <c r="BN161" s="305">
        <v>0.0</v>
      </c>
      <c r="BO161" s="139">
        <v>0.0</v>
      </c>
      <c r="BP161" s="140">
        <v>0.0</v>
      </c>
      <c r="BQ161" s="141">
        <f t="shared" si="31"/>
        <v>0</v>
      </c>
      <c r="BR161" s="104" t="str">
        <f t="shared" si="32"/>
        <v>0000</v>
      </c>
      <c r="BS161" s="104" t="str">
        <f t="shared" si="33"/>
        <v>no action required</v>
      </c>
      <c r="BT161" s="142" t="str">
        <f t="shared" si="34"/>
        <v/>
      </c>
      <c r="BU161" s="104" t="str">
        <f t="shared" si="50"/>
        <v/>
      </c>
      <c r="BV161" s="104" t="str">
        <f t="shared" si="36"/>
        <v>none</v>
      </c>
      <c r="BW161" s="150" t="str">
        <f t="shared" si="37"/>
        <v/>
      </c>
      <c r="BX161" s="150" t="str">
        <f t="shared" si="38"/>
        <v/>
      </c>
      <c r="BY161" s="151" t="str">
        <f t="shared" si="39"/>
        <v/>
      </c>
      <c r="BZ161" s="152" t="str">
        <f t="shared" si="40"/>
        <v/>
      </c>
      <c r="CA161" s="152" t="str">
        <f t="shared" si="41"/>
        <v/>
      </c>
      <c r="CB161" s="152" t="str">
        <f t="shared" si="42"/>
        <v/>
      </c>
      <c r="CC161" s="153" t="str">
        <f t="shared" si="43"/>
        <v/>
      </c>
      <c r="CD161" s="153" t="str">
        <f t="shared" si="44"/>
        <v/>
      </c>
      <c r="CE161" s="154" t="str">
        <f t="shared" si="45"/>
        <v/>
      </c>
      <c r="CF161" s="154" t="str">
        <f t="shared" si="46"/>
        <v/>
      </c>
      <c r="CG161" s="154" t="str">
        <f t="shared" si="47"/>
        <v/>
      </c>
      <c r="CH161" s="308" t="str">
        <f t="shared" si="48"/>
        <v/>
      </c>
      <c r="CI161" s="299"/>
    </row>
    <row r="162">
      <c r="A162" s="155" t="s">
        <v>251</v>
      </c>
      <c r="B162" s="104" t="s">
        <v>90</v>
      </c>
      <c r="C162" s="105">
        <v>1.43506911E8</v>
      </c>
      <c r="D162" s="293">
        <v>0.0</v>
      </c>
      <c r="E162" s="294">
        <v>47.65770199</v>
      </c>
      <c r="F162" s="163"/>
      <c r="G162" s="163"/>
      <c r="H162" s="108">
        <v>0.0</v>
      </c>
      <c r="I162" s="109">
        <v>0.0</v>
      </c>
      <c r="J162" s="109">
        <v>0.0</v>
      </c>
      <c r="K162" s="109">
        <v>0.0</v>
      </c>
      <c r="L162" s="112">
        <v>0.0</v>
      </c>
      <c r="M162" s="112">
        <v>0.0</v>
      </c>
      <c r="N162" s="111">
        <v>0.0</v>
      </c>
      <c r="O162" s="298">
        <v>0.0</v>
      </c>
      <c r="P162" s="114"/>
      <c r="Q162" s="114"/>
      <c r="R162" s="121" t="str">
        <f t="shared" si="11"/>
        <v/>
      </c>
      <c r="S162" s="116">
        <f t="shared" si="12"/>
        <v>0.526225767</v>
      </c>
      <c r="T162" s="118">
        <v>0.2474</v>
      </c>
      <c r="U162" s="118">
        <f t="shared" si="13"/>
        <v>0.2474</v>
      </c>
      <c r="V162" s="148"/>
      <c r="W162" s="120">
        <f t="shared" si="14"/>
        <v>1</v>
      </c>
      <c r="X162" s="148"/>
      <c r="Y162" s="120">
        <f t="shared" si="15"/>
        <v>1</v>
      </c>
      <c r="Z162" s="299"/>
      <c r="AA162" s="299"/>
      <c r="AB162" s="300" t="str">
        <f t="shared" si="16"/>
        <v/>
      </c>
      <c r="AC162" s="301">
        <f t="shared" si="17"/>
        <v>0.6295826791</v>
      </c>
      <c r="AD162" s="122">
        <v>0.0</v>
      </c>
      <c r="AE162" s="123">
        <v>0.0</v>
      </c>
      <c r="AF162" s="123">
        <v>0.0</v>
      </c>
      <c r="AG162" s="124">
        <v>0.0</v>
      </c>
      <c r="AH162" s="295">
        <v>0.0</v>
      </c>
      <c r="AI162" s="125">
        <v>0.0</v>
      </c>
      <c r="AJ162" s="327">
        <v>0.0</v>
      </c>
      <c r="AK162" s="127">
        <v>0.0</v>
      </c>
      <c r="AL162" s="127">
        <v>0.0</v>
      </c>
      <c r="AM162" s="302">
        <v>0.0</v>
      </c>
      <c r="AN162" s="149" t="str">
        <f>IFERROR(
  AVERAGEIFS(
    'New 20102013 LF Efficacy'!$J:$J,
    'New 20102013 LF Efficacy'!$D:$D, $A162,
    'New 20102013 LF Efficacy'!$F:$F,"DEC", 
    'New 20102013 LF Efficacy'!$W:$W,"&lt;2014",
    'New 20102013 LF Efficacy'!$AA:$AA,""),
  ""
)</f>
        <v/>
      </c>
      <c r="AO162" s="115">
        <f t="shared" si="18"/>
        <v>0.3573520833</v>
      </c>
      <c r="AP162" s="121" t="str">
        <f>IFERROR(
AVERAGEIFS(
'New 20102013 LF Efficacy'!$J:$J,
'New 20102013 LF Efficacy'!$D:$D,$A162,
'New 20102013 LF Efficacy'!$F:$F,"Albendazole &amp; DEC",
'New 20102013 LF Efficacy'!$W:$W,"&lt;2014",
'New 20102013 LF Efficacy'!$AA:$AA,""),
"")
</f>
        <v/>
      </c>
      <c r="AQ162" s="115">
        <f t="shared" si="19"/>
        <v>0.5137291667</v>
      </c>
      <c r="AR162" s="121" t="str">
        <f>IFERROR(
AVERAGEIFS(
'New 20102013 LF Efficacy'!$J:$J,
'New 20102013 LF Efficacy'!$D:$D,$A162,
'New 20102013 LF Efficacy'!$F:$F,"Albendazole &amp; Ivermectin", 
'New 20102013 LF Efficacy'!$W:$W,"&lt;2014",
'New 20102013 LF Efficacy'!$AA:$AA,""),"")</f>
        <v/>
      </c>
      <c r="AS162" s="115">
        <f t="shared" si="20"/>
        <v>0.37153125</v>
      </c>
      <c r="AT162" s="130" t="str">
        <f>IFERROR(AVERAGEIFS(
'20102013 Schist Efficacy'!$O:$O, 
'20102013 Schist Efficacy'!$C:$C,$A162, 
'20102013 Schist Efficacy'!$D:$D, "Praziquantel",
'20102013 Schist Efficacy'!$J:$J,"&lt;2014",
'20102013 Schist Efficacy'!$U:$U,""),
"")</f>
        <v/>
      </c>
      <c r="AU162" s="118">
        <f t="shared" si="21"/>
        <v>0.655</v>
      </c>
      <c r="AV162" s="131" t="str">
        <f>IFERROR(AVERAGEIFS(
'20102013 STH Efficacy'!$AX:$AX, 
'20102013 STH Efficacy'!$AL:$AL, $A162, 
'20102013 STH Efficacy'!$AM:$AM, "Albendazole",
'20102013 STH Efficacy'!$AS:$AS,"&lt;2014",
'20102013 STH Efficacy'!$BP:$BP,""),
"")</f>
        <v/>
      </c>
      <c r="AW162" s="132">
        <f t="shared" si="22"/>
        <v>0.3933333333</v>
      </c>
      <c r="AX162" s="131" t="str">
        <f>IFERROR(AVERAGEIFS(
'20102013 STH Efficacy'!$AX:$AX, 
'20102013 STH Efficacy'!$AL:$AL, $A162, 
'20102013 STH Efficacy'!$AM:$AM, "Mebendazole",
'20102013 STH Efficacy'!$AS:$AS,"&lt;2014",
'20102013 STH Efficacy'!$BP:$BP,""),
"")</f>
        <v/>
      </c>
      <c r="AY162" s="132">
        <f t="shared" si="23"/>
        <v>0.5017738095</v>
      </c>
      <c r="AZ162" s="131" t="str">
        <f>IFERROR(AVERAGEIFS(
'20102013 STH Efficacy'!$AX:$AX, 
'20102013 STH Efficacy'!$AL:$AL, $A162, 
'20102013 STH Efficacy'!$AM:$AM, "Albendazole &amp; Ivermectin",
'20102013 STH Efficacy'!$AS:$AS,"&lt;2014",
'20102013 STH Efficacy'!$BP:$BP,""),
"")</f>
        <v/>
      </c>
      <c r="BA162" s="303">
        <f t="shared" si="24"/>
        <v>0.597625</v>
      </c>
      <c r="BB162" s="134" t="str">
        <f>IFERROR(AVERAGEIFS(
'20102013 STH Efficacy'!$N:$N, 
'20102013 STH Efficacy'!$B:$B, $A162, 
'20102013 STH Efficacy'!$C:$C, "Albendazole",
'20102013 STH Efficacy'!$I:$I,"&lt;2014",
'20102013 STH Efficacy'!$AH:$AH,""),
"")</f>
        <v/>
      </c>
      <c r="BC162" s="135">
        <f t="shared" si="25"/>
        <v>0.7613712121</v>
      </c>
      <c r="BD162" s="134" t="str">
        <f>IFERROR(AVERAGEIFS(
'20102013 STH Efficacy'!$N:$N, 
'20102013 STH Efficacy'!$B:$B, $A162, 
'20102013 STH Efficacy'!$C:$C, "Mebendazole",
'20102013 STH Efficacy'!$I:$I,"&lt;2014",
'20102013 STH Efficacy'!$AH:$AH,""),
"")</f>
        <v/>
      </c>
      <c r="BE162" s="135">
        <f t="shared" si="26"/>
        <v>0.4362466667</v>
      </c>
      <c r="BF162" s="128" t="str">
        <f>IFERROR(AVERAGEIFS(
'20102013 STH Efficacy'!$CD:$CD, 
'20102013 STH Efficacy'!$BS:$BS, $A162, 
'20102013 STH Efficacy'!$BT:$BT, "Albendazole",
'20102013 STH Efficacy'!$BZ:$BZ,"&lt;2014",
'20102013 STH Efficacy'!$CU:$CU,""),
"")</f>
        <v/>
      </c>
      <c r="BG162" s="136">
        <f t="shared" si="27"/>
        <v>0.9216027778</v>
      </c>
      <c r="BH162" s="128" t="str">
        <f>IFERROR(AVERAGEIFS(
'20102013 STH Efficacy'!$CD:$CD, 
'20102013 STH Efficacy'!$BS:$BS, $A162, 
'20102013 STH Efficacy'!$BT:$BT, "Mebendazole",
'20102013 STH Efficacy'!$BZ:$BZ,"&lt;2014",
'20102013 STH Efficacy'!$CU:$CU,""),
"")</f>
        <v/>
      </c>
      <c r="BI162" s="136">
        <f t="shared" si="28"/>
        <v>0.9295857143</v>
      </c>
      <c r="BJ162" s="128" t="str">
        <f>IFERROR(AVERAGEIFS(
'20102013 STH Efficacy'!$CD:$CD, 
'20102013 STH Efficacy'!$BS:$BS, $A162, 
'20102013 STH Efficacy'!$BT:$BT, "Albendazole &amp; Ivermectin",
'20102013 STH Efficacy'!$BZ:$BZ,"&lt;2014",
'20102013 STH Efficacy'!$CU:$CU,""),
"")</f>
        <v/>
      </c>
      <c r="BK162" s="136">
        <f t="shared" si="29"/>
        <v>1</v>
      </c>
      <c r="BL162" s="300" t="str">
        <f>IFERROR(
  AVERAGEIFS(
    'NEW 20102013 Onchocerciasis Eff'!$AO:$AO,
    'NEW 20102013 Onchocerciasis Eff'!$C:$C,$A162,
    'NEW 20102013 Onchocerciasis Eff'!$D:$D,"Ivermectin",
    'NEW 20102013 Onchocerciasis Eff'!$AR:$AR,"&lt;2014",
    'NEW 20102013 Onchocerciasis Eff'!$BG:$BG,"")
,"")</f>
        <v/>
      </c>
      <c r="BM162" s="304">
        <f t="shared" si="30"/>
        <v>0.7808368939</v>
      </c>
      <c r="BN162" s="305">
        <v>0.0</v>
      </c>
      <c r="BO162" s="139">
        <v>1.0</v>
      </c>
      <c r="BP162" s="140">
        <v>0.0</v>
      </c>
      <c r="BQ162" s="141">
        <f t="shared" si="31"/>
        <v>0</v>
      </c>
      <c r="BR162" s="104" t="str">
        <f t="shared" si="32"/>
        <v>0100</v>
      </c>
      <c r="BS162" s="104" t="str">
        <f t="shared" si="33"/>
        <v>MDA3</v>
      </c>
      <c r="BT162" s="142" t="str">
        <f t="shared" si="34"/>
        <v>IVM</v>
      </c>
      <c r="BU162" s="104" t="str">
        <f t="shared" si="50"/>
        <v/>
      </c>
      <c r="BV162" s="104" t="str">
        <f t="shared" si="36"/>
        <v>onch only</v>
      </c>
      <c r="BW162" s="150" t="str">
        <f t="shared" si="37"/>
        <v/>
      </c>
      <c r="BX162" s="150" t="str">
        <f t="shared" si="38"/>
        <v/>
      </c>
      <c r="BY162" s="151" t="str">
        <f t="shared" si="39"/>
        <v/>
      </c>
      <c r="BZ162" s="152" t="str">
        <f t="shared" si="40"/>
        <v/>
      </c>
      <c r="CA162" s="152" t="str">
        <f t="shared" si="41"/>
        <v/>
      </c>
      <c r="CB162" s="152" t="str">
        <f t="shared" si="42"/>
        <v/>
      </c>
      <c r="CC162" s="153" t="str">
        <f t="shared" si="43"/>
        <v/>
      </c>
      <c r="CD162" s="153" t="str">
        <f t="shared" si="44"/>
        <v/>
      </c>
      <c r="CE162" s="154" t="str">
        <f t="shared" si="45"/>
        <v/>
      </c>
      <c r="CF162" s="154" t="str">
        <f t="shared" si="46"/>
        <v/>
      </c>
      <c r="CG162" s="154" t="str">
        <f t="shared" si="47"/>
        <v/>
      </c>
      <c r="CH162" s="313">
        <f t="shared" si="48"/>
        <v>0</v>
      </c>
      <c r="CI162" s="299"/>
    </row>
    <row r="163">
      <c r="A163" s="103" t="s">
        <v>252</v>
      </c>
      <c r="B163" s="104" t="s">
        <v>92</v>
      </c>
      <c r="C163" s="105">
        <v>1.1065151E7</v>
      </c>
      <c r="D163" s="293">
        <v>0.0</v>
      </c>
      <c r="E163" s="294">
        <v>10221.14595</v>
      </c>
      <c r="F163" s="307">
        <v>133.269295</v>
      </c>
      <c r="G163" s="307">
        <v>549.4069923</v>
      </c>
      <c r="H163" s="108">
        <v>682.6762873</v>
      </c>
      <c r="I163" s="109">
        <v>1150.99331</v>
      </c>
      <c r="J163" s="109">
        <v>3159.73719</v>
      </c>
      <c r="K163" s="109">
        <v>4310.730507</v>
      </c>
      <c r="L163" s="112">
        <v>2382.43478</v>
      </c>
      <c r="M163" s="112">
        <v>1941.377078</v>
      </c>
      <c r="N163" s="111">
        <v>4323.811857</v>
      </c>
      <c r="O163" s="298">
        <v>0.0</v>
      </c>
      <c r="P163" s="114"/>
      <c r="Q163" s="114"/>
      <c r="R163" s="121" t="str">
        <f t="shared" si="11"/>
        <v/>
      </c>
      <c r="S163" s="116">
        <f t="shared" si="12"/>
        <v>0.2589669834</v>
      </c>
      <c r="T163" s="130"/>
      <c r="U163" s="118">
        <f t="shared" si="13"/>
        <v>0.252</v>
      </c>
      <c r="V163" s="119">
        <v>0.8934</v>
      </c>
      <c r="W163" s="120">
        <f t="shared" si="14"/>
        <v>0.8934</v>
      </c>
      <c r="X163" s="119">
        <v>0.9181</v>
      </c>
      <c r="Y163" s="120">
        <f t="shared" si="15"/>
        <v>0.9181</v>
      </c>
      <c r="Z163" s="311" t="s">
        <v>373</v>
      </c>
      <c r="AA163" s="311" t="s">
        <v>373</v>
      </c>
      <c r="AB163" s="300" t="str">
        <f t="shared" si="16"/>
        <v/>
      </c>
      <c r="AC163" s="301">
        <f t="shared" si="17"/>
        <v>0.655321236</v>
      </c>
      <c r="AD163" s="122">
        <v>0.0</v>
      </c>
      <c r="AE163" s="123">
        <v>0.08</v>
      </c>
      <c r="AF163" s="123">
        <v>0.024</v>
      </c>
      <c r="AG163" s="316">
        <v>0.0</v>
      </c>
      <c r="AH163" s="124">
        <v>0.195713743</v>
      </c>
      <c r="AI163" s="317">
        <v>0.0</v>
      </c>
      <c r="AJ163" s="125">
        <v>0.25818151</v>
      </c>
      <c r="AK163" s="319">
        <v>0.0</v>
      </c>
      <c r="AL163" s="319">
        <v>0.0</v>
      </c>
      <c r="AM163" s="302">
        <v>0.0</v>
      </c>
      <c r="AN163" s="149" t="str">
        <f>IFERROR(
  AVERAGEIFS(
    'New 20102013 LF Efficacy'!$J:$J,
    'New 20102013 LF Efficacy'!$D:$D, $A163,
    'New 20102013 LF Efficacy'!$F:$F,"DEC", 
    'New 20102013 LF Efficacy'!$W:$W,"&lt;2014",
    'New 20102013 LF Efficacy'!$AA:$AA,""),
  ""
)</f>
        <v/>
      </c>
      <c r="AO163" s="115">
        <f t="shared" si="18"/>
        <v>0.31225</v>
      </c>
      <c r="AP163" s="121" t="str">
        <f>IFERROR(
AVERAGEIFS(
'New 20102013 LF Efficacy'!$J:$J,
'New 20102013 LF Efficacy'!$D:$D,$A163,
'New 20102013 LF Efficacy'!$F:$F,"Albendazole &amp; DEC",
'New 20102013 LF Efficacy'!$W:$W,"&lt;2014",
'New 20102013 LF Efficacy'!$AA:$AA,""),
"")
</f>
        <v/>
      </c>
      <c r="AQ163" s="115">
        <f t="shared" si="19"/>
        <v>0.4</v>
      </c>
      <c r="AR163" s="121" t="str">
        <f>IFERROR(
AVERAGEIFS(
'New 20102013 LF Efficacy'!$J:$J,
'New 20102013 LF Efficacy'!$D:$D,$A163,
'New 20102013 LF Efficacy'!$F:$F,"Albendazole &amp; Ivermectin", 
'New 20102013 LF Efficacy'!$W:$W,"&lt;2014",
'New 20102013 LF Efficacy'!$AA:$AA,""),"")</f>
        <v/>
      </c>
      <c r="AS163" s="115">
        <f t="shared" si="20"/>
        <v>0.2943125</v>
      </c>
      <c r="AT163" s="130" t="str">
        <f>IFERROR(AVERAGEIFS(
'20102013 Schist Efficacy'!$O:$O, 
'20102013 Schist Efficacy'!$C:$C,$A163, 
'20102013 Schist Efficacy'!$D:$D, "Praziquantel",
'20102013 Schist Efficacy'!$J:$J,"&lt;2014",
'20102013 Schist Efficacy'!$U:$U,""),
"")</f>
        <v/>
      </c>
      <c r="AU163" s="118">
        <f t="shared" si="21"/>
        <v>0.7192212527</v>
      </c>
      <c r="AV163" s="131" t="str">
        <f>IFERROR(AVERAGEIFS(
'20102013 STH Efficacy'!$AX:$AX, 
'20102013 STH Efficacy'!$AL:$AL, $A163, 
'20102013 STH Efficacy'!$AM:$AM, "Albendazole",
'20102013 STH Efficacy'!$AS:$AS,"&lt;2014",
'20102013 STH Efficacy'!$BP:$BP,""),
"")</f>
        <v/>
      </c>
      <c r="AW163" s="132">
        <f t="shared" si="22"/>
        <v>0.3816333333</v>
      </c>
      <c r="AX163" s="131" t="str">
        <f>IFERROR(AVERAGEIFS(
'20102013 STH Efficacy'!$AX:$AX, 
'20102013 STH Efficacy'!$AL:$AL, $A163, 
'20102013 STH Efficacy'!$AM:$AM, "Mebendazole",
'20102013 STH Efficacy'!$AS:$AS,"&lt;2014",
'20102013 STH Efficacy'!$BP:$BP,""),
"")</f>
        <v/>
      </c>
      <c r="AY163" s="132">
        <f t="shared" si="23"/>
        <v>0.5675833333</v>
      </c>
      <c r="AZ163" s="131" t="str">
        <f>IFERROR(AVERAGEIFS(
'20102013 STH Efficacy'!$AX:$AX, 
'20102013 STH Efficacy'!$AL:$AL, $A163, 
'20102013 STH Efficacy'!$AM:$AM, "Albendazole &amp; Ivermectin",
'20102013 STH Efficacy'!$AS:$AS,"&lt;2014",
'20102013 STH Efficacy'!$BP:$BP,""),
"")</f>
        <v/>
      </c>
      <c r="BA163" s="303">
        <f t="shared" si="24"/>
        <v>0.47175</v>
      </c>
      <c r="BB163" s="134" t="str">
        <f>IFERROR(AVERAGEIFS(
'20102013 STH Efficacy'!$N:$N, 
'20102013 STH Efficacy'!$B:$B, $A163, 
'20102013 STH Efficacy'!$C:$C, "Albendazole",
'20102013 STH Efficacy'!$I:$I,"&lt;2014",
'20102013 STH Efficacy'!$AH:$AH,""),
"")</f>
        <v/>
      </c>
      <c r="BC163" s="135">
        <f t="shared" si="25"/>
        <v>0.8699166667</v>
      </c>
      <c r="BD163" s="134" t="str">
        <f>IFERROR(AVERAGEIFS(
'20102013 STH Efficacy'!$N:$N, 
'20102013 STH Efficacy'!$B:$B, $A163, 
'20102013 STH Efficacy'!$C:$C, "Mebendazole",
'20102013 STH Efficacy'!$I:$I,"&lt;2014",
'20102013 STH Efficacy'!$AH:$AH,""),
"")</f>
        <v/>
      </c>
      <c r="BE163" s="135">
        <f t="shared" si="26"/>
        <v>0.7092416667</v>
      </c>
      <c r="BF163" s="128" t="str">
        <f>IFERROR(AVERAGEIFS(
'20102013 STH Efficacy'!$CD:$CD, 
'20102013 STH Efficacy'!$BS:$BS, $A163, 
'20102013 STH Efficacy'!$BT:$BT, "Albendazole",
'20102013 STH Efficacy'!$BZ:$BZ,"&lt;2014",
'20102013 STH Efficacy'!$CU:$CU,""),
"")</f>
        <v/>
      </c>
      <c r="BG163" s="136">
        <f t="shared" si="27"/>
        <v>0.9066666667</v>
      </c>
      <c r="BH163" s="128" t="str">
        <f>IFERROR(AVERAGEIFS(
'20102013 STH Efficacy'!$CD:$CD, 
'20102013 STH Efficacy'!$BS:$BS, $A163, 
'20102013 STH Efficacy'!$BT:$BT, "Mebendazole",
'20102013 STH Efficacy'!$BZ:$BZ,"&lt;2014",
'20102013 STH Efficacy'!$CU:$CU,""),
"")</f>
        <v/>
      </c>
      <c r="BI163" s="136">
        <f t="shared" si="28"/>
        <v>0.9358666667</v>
      </c>
      <c r="BJ163" s="128" t="str">
        <f>IFERROR(AVERAGEIFS(
'20102013 STH Efficacy'!$CD:$CD, 
'20102013 STH Efficacy'!$BS:$BS, $A163, 
'20102013 STH Efficacy'!$BT:$BT, "Albendazole &amp; Ivermectin",
'20102013 STH Efficacy'!$BZ:$BZ,"&lt;2014",
'20102013 STH Efficacy'!$CU:$CU,""),
"")</f>
        <v/>
      </c>
      <c r="BK163" s="136">
        <f t="shared" si="29"/>
        <v>1</v>
      </c>
      <c r="BL163" s="300" t="str">
        <f>IFERROR(
  AVERAGEIFS(
    'NEW 20102013 Onchocerciasis Eff'!$AO:$AO,
    'NEW 20102013 Onchocerciasis Eff'!$C:$C,$A163,
    'NEW 20102013 Onchocerciasis Eff'!$D:$D,"Ivermectin",
    'NEW 20102013 Onchocerciasis Eff'!$AR:$AR,"&lt;2014",
    'NEW 20102013 Onchocerciasis Eff'!$BG:$BG,"")
,"")</f>
        <v/>
      </c>
      <c r="BM163" s="304">
        <f t="shared" si="30"/>
        <v>0.8390421645</v>
      </c>
      <c r="BN163" s="305">
        <v>0.0</v>
      </c>
      <c r="BO163" s="139">
        <v>0.0</v>
      </c>
      <c r="BP163" s="140">
        <v>1.0</v>
      </c>
      <c r="BQ163" s="141">
        <f t="shared" si="31"/>
        <v>0</v>
      </c>
      <c r="BR163" s="104" t="str">
        <f t="shared" si="32"/>
        <v>0010</v>
      </c>
      <c r="BS163" s="104" t="str">
        <f t="shared" si="33"/>
        <v>T2</v>
      </c>
      <c r="BT163" s="142" t="str">
        <f t="shared" si="34"/>
        <v>PZQ</v>
      </c>
      <c r="BU163" s="104" t="str">
        <f t="shared" si="50"/>
        <v>PZQ</v>
      </c>
      <c r="BV163" s="104" t="str">
        <f t="shared" si="36"/>
        <v>schist only</v>
      </c>
      <c r="BW163" s="150" t="str">
        <f t="shared" si="37"/>
        <v/>
      </c>
      <c r="BX163" s="150" t="str">
        <f t="shared" si="38"/>
        <v/>
      </c>
      <c r="BY163" s="162">
        <f t="shared" si="39"/>
        <v>2262.601223</v>
      </c>
      <c r="BZ163" s="152" t="str">
        <f t="shared" si="40"/>
        <v/>
      </c>
      <c r="CA163" s="152" t="str">
        <f t="shared" si="41"/>
        <v/>
      </c>
      <c r="CB163" s="152" t="str">
        <f t="shared" si="42"/>
        <v/>
      </c>
      <c r="CC163" s="153" t="str">
        <f t="shared" si="43"/>
        <v/>
      </c>
      <c r="CD163" s="153" t="str">
        <f t="shared" si="44"/>
        <v/>
      </c>
      <c r="CE163" s="154" t="str">
        <f t="shared" si="45"/>
        <v/>
      </c>
      <c r="CF163" s="154" t="str">
        <f t="shared" si="46"/>
        <v/>
      </c>
      <c r="CG163" s="154" t="str">
        <f t="shared" si="47"/>
        <v/>
      </c>
      <c r="CH163" s="308" t="str">
        <f t="shared" si="48"/>
        <v/>
      </c>
      <c r="CI163" s="299"/>
    </row>
    <row r="164">
      <c r="A164" s="103" t="s">
        <v>253</v>
      </c>
      <c r="B164" s="104" t="s">
        <v>98</v>
      </c>
      <c r="C164" s="105">
        <v>53169.0</v>
      </c>
      <c r="D164" s="293">
        <v>0.0</v>
      </c>
      <c r="E164" s="294">
        <v>0.0</v>
      </c>
      <c r="F164" s="325"/>
      <c r="G164" s="325"/>
      <c r="H164" s="108">
        <v>0.0</v>
      </c>
      <c r="I164" s="109">
        <v>0.0</v>
      </c>
      <c r="J164" s="109">
        <v>0.0</v>
      </c>
      <c r="K164" s="109">
        <v>0.0</v>
      </c>
      <c r="L164" s="113"/>
      <c r="M164" s="113"/>
      <c r="N164" s="111">
        <v>0.0</v>
      </c>
      <c r="O164" s="298">
        <v>0.0</v>
      </c>
      <c r="P164" s="114"/>
      <c r="Q164" s="114"/>
      <c r="R164" s="121" t="str">
        <f t="shared" si="11"/>
        <v/>
      </c>
      <c r="S164" s="116">
        <f t="shared" si="12"/>
        <v>0.2288425133</v>
      </c>
      <c r="T164" s="130"/>
      <c r="U164" s="118">
        <f t="shared" si="13"/>
        <v>0.39435</v>
      </c>
      <c r="V164" s="148"/>
      <c r="W164" s="120">
        <f t="shared" si="14"/>
        <v>0.542475</v>
      </c>
      <c r="X164" s="148"/>
      <c r="Y164" s="120">
        <f t="shared" si="15"/>
        <v>0.6507333333</v>
      </c>
      <c r="Z164" s="299"/>
      <c r="AA164" s="299"/>
      <c r="AB164" s="300" t="str">
        <f t="shared" si="16"/>
        <v/>
      </c>
      <c r="AC164" s="301">
        <f t="shared" si="17"/>
        <v>0.3490201688</v>
      </c>
      <c r="AD164" s="314">
        <v>0.0</v>
      </c>
      <c r="AE164" s="315">
        <v>0.0</v>
      </c>
      <c r="AF164" s="166">
        <v>0.0</v>
      </c>
      <c r="AG164" s="316">
        <v>0.0</v>
      </c>
      <c r="AH164" s="307">
        <v>0.0</v>
      </c>
      <c r="AI164" s="317">
        <v>0.0</v>
      </c>
      <c r="AJ164" s="318">
        <v>0.0</v>
      </c>
      <c r="AK164" s="319">
        <v>0.0</v>
      </c>
      <c r="AL164" s="319">
        <v>0.0</v>
      </c>
      <c r="AM164" s="320">
        <v>0.0</v>
      </c>
      <c r="AN164" s="149" t="str">
        <f>IFERROR(
  AVERAGEIFS(
    'New 20102013 LF Efficacy'!$J:$J,
    'New 20102013 LF Efficacy'!$D:$D, $A164,
    'New 20102013 LF Efficacy'!$F:$F,"DEC", 
    'New 20102013 LF Efficacy'!$W:$W,"&lt;2014",
    'New 20102013 LF Efficacy'!$AA:$AA,""),
  ""
)</f>
        <v/>
      </c>
      <c r="AO164" s="115">
        <f t="shared" si="18"/>
        <v>0.2589833333</v>
      </c>
      <c r="AP164" s="121" t="str">
        <f>IFERROR(
AVERAGEIFS(
'New 20102013 LF Efficacy'!$J:$J,
'New 20102013 LF Efficacy'!$D:$D,$A164,
'New 20102013 LF Efficacy'!$F:$F,"Albendazole &amp; DEC",
'New 20102013 LF Efficacy'!$W:$W,"&lt;2014",
'New 20102013 LF Efficacy'!$AA:$AA,""),
"")
</f>
        <v/>
      </c>
      <c r="AQ164" s="115">
        <f t="shared" si="19"/>
        <v>0.3465</v>
      </c>
      <c r="AR164" s="121" t="str">
        <f>IFERROR(
AVERAGEIFS(
'New 20102013 LF Efficacy'!$J:$J,
'New 20102013 LF Efficacy'!$D:$D,$A164,
'New 20102013 LF Efficacy'!$F:$F,"Albendazole &amp; Ivermectin", 
'New 20102013 LF Efficacy'!$W:$W,"&lt;2014",
'New 20102013 LF Efficacy'!$AA:$AA,""),"")</f>
        <v/>
      </c>
      <c r="AS164" s="115">
        <f t="shared" si="20"/>
        <v>0.7575</v>
      </c>
      <c r="AT164" s="130" t="str">
        <f>IFERROR(AVERAGEIFS(
'20102013 Schist Efficacy'!$O:$O, 
'20102013 Schist Efficacy'!$C:$C,$A164, 
'20102013 Schist Efficacy'!$D:$D, "Praziquantel",
'20102013 Schist Efficacy'!$J:$J,"&lt;2014",
'20102013 Schist Efficacy'!$U:$U,""),
"")</f>
        <v/>
      </c>
      <c r="AU164" s="118">
        <f t="shared" si="21"/>
        <v>0.7914761905</v>
      </c>
      <c r="AV164" s="131" t="str">
        <f>IFERROR(AVERAGEIFS(
'20102013 STH Efficacy'!$AX:$AX, 
'20102013 STH Efficacy'!$AL:$AL, $A164, 
'20102013 STH Efficacy'!$AM:$AM, "Albendazole",
'20102013 STH Efficacy'!$AS:$AS,"&lt;2014",
'20102013 STH Efficacy'!$BP:$BP,""),
"")</f>
        <v/>
      </c>
      <c r="AW164" s="132">
        <f t="shared" si="22"/>
        <v>0.3945</v>
      </c>
      <c r="AX164" s="131" t="str">
        <f>IFERROR(AVERAGEIFS(
'20102013 STH Efficacy'!$AX:$AX, 
'20102013 STH Efficacy'!$AL:$AL, $A164, 
'20102013 STH Efficacy'!$AM:$AM, "Mebendazole",
'20102013 STH Efficacy'!$AS:$AS,"&lt;2014",
'20102013 STH Efficacy'!$BP:$BP,""),
"")</f>
        <v/>
      </c>
      <c r="AY164" s="132">
        <f t="shared" si="23"/>
        <v>0.6</v>
      </c>
      <c r="AZ164" s="131" t="str">
        <f>IFERROR(AVERAGEIFS(
'20102013 STH Efficacy'!$AX:$AX, 
'20102013 STH Efficacy'!$AL:$AL, $A164, 
'20102013 STH Efficacy'!$AM:$AM, "Albendazole &amp; Ivermectin",
'20102013 STH Efficacy'!$AS:$AS,"&lt;2014",
'20102013 STH Efficacy'!$BP:$BP,""),
"")</f>
        <v/>
      </c>
      <c r="BA164" s="303">
        <f t="shared" si="24"/>
        <v>0.796</v>
      </c>
      <c r="BB164" s="134" t="str">
        <f>IFERROR(AVERAGEIFS(
'20102013 STH Efficacy'!$N:$N, 
'20102013 STH Efficacy'!$B:$B, $A164, 
'20102013 STH Efficacy'!$C:$C, "Albendazole",
'20102013 STH Efficacy'!$I:$I,"&lt;2014",
'20102013 STH Efficacy'!$AH:$AH,""),
"")</f>
        <v/>
      </c>
      <c r="BC164" s="135">
        <f t="shared" si="25"/>
        <v>0.869</v>
      </c>
      <c r="BD164" s="134" t="str">
        <f>IFERROR(AVERAGEIFS(
'20102013 STH Efficacy'!$N:$N, 
'20102013 STH Efficacy'!$B:$B, $A164, 
'20102013 STH Efficacy'!$C:$C, "Mebendazole",
'20102013 STH Efficacy'!$I:$I,"&lt;2014",
'20102013 STH Efficacy'!$AH:$AH,""),
"")</f>
        <v/>
      </c>
      <c r="BE164" s="135">
        <f t="shared" si="26"/>
        <v>0.172</v>
      </c>
      <c r="BF164" s="128" t="str">
        <f>IFERROR(AVERAGEIFS(
'20102013 STH Efficacy'!$CD:$CD, 
'20102013 STH Efficacy'!$BS:$BS, $A164, 
'20102013 STH Efficacy'!$BT:$BT, "Albendazole",
'20102013 STH Efficacy'!$BZ:$BZ,"&lt;2014",
'20102013 STH Efficacy'!$CU:$CU,""),
"")</f>
        <v/>
      </c>
      <c r="BG164" s="136">
        <f t="shared" si="27"/>
        <v>0.9862</v>
      </c>
      <c r="BH164" s="128" t="str">
        <f>IFERROR(AVERAGEIFS(
'20102013 STH Efficacy'!$CD:$CD, 
'20102013 STH Efficacy'!$BS:$BS, $A164, 
'20102013 STH Efficacy'!$BT:$BT, "Mebendazole",
'20102013 STH Efficacy'!$BZ:$BZ,"&lt;2014",
'20102013 STH Efficacy'!$CU:$CU,""),
"")</f>
        <v/>
      </c>
      <c r="BI164" s="136">
        <f t="shared" si="28"/>
        <v>0.769</v>
      </c>
      <c r="BJ164" s="128" t="str">
        <f>IFERROR(AVERAGEIFS(
'20102013 STH Efficacy'!$CD:$CD, 
'20102013 STH Efficacy'!$BS:$BS, $A164, 
'20102013 STH Efficacy'!$BT:$BT, "Albendazole &amp; Ivermectin",
'20102013 STH Efficacy'!$BZ:$BZ,"&lt;2014",
'20102013 STH Efficacy'!$CU:$CU,""),
"")</f>
        <v/>
      </c>
      <c r="BK164" s="136">
        <f t="shared" si="29"/>
        <v>1</v>
      </c>
      <c r="BL164" s="300" t="str">
        <f>IFERROR(
  AVERAGEIFS(
    'NEW 20102013 Onchocerciasis Eff'!$AO:$AO,
    'NEW 20102013 Onchocerciasis Eff'!$C:$C,$A164,
    'NEW 20102013 Onchocerciasis Eff'!$D:$D,"Ivermectin",
    'NEW 20102013 Onchocerciasis Eff'!$AR:$AR,"&lt;2014",
    'NEW 20102013 Onchocerciasis Eff'!$BG:$BG,"")
,"")</f>
        <v/>
      </c>
      <c r="BM164" s="304">
        <f t="shared" si="30"/>
        <v>0.3734</v>
      </c>
      <c r="BN164" s="305">
        <v>0.0</v>
      </c>
      <c r="BO164" s="139">
        <v>0.0</v>
      </c>
      <c r="BP164" s="140">
        <v>0.0</v>
      </c>
      <c r="BQ164" s="141">
        <f t="shared" si="31"/>
        <v>0</v>
      </c>
      <c r="BR164" s="104" t="str">
        <f t="shared" si="32"/>
        <v>0000</v>
      </c>
      <c r="BS164" s="104" t="str">
        <f t="shared" si="33"/>
        <v>no action required</v>
      </c>
      <c r="BT164" s="142" t="str">
        <f t="shared" si="34"/>
        <v/>
      </c>
      <c r="BU164" s="104" t="str">
        <f t="shared" si="50"/>
        <v/>
      </c>
      <c r="BV164" s="104" t="str">
        <f t="shared" si="36"/>
        <v>none</v>
      </c>
      <c r="BW164" s="150" t="str">
        <f t="shared" si="37"/>
        <v/>
      </c>
      <c r="BX164" s="150" t="str">
        <f t="shared" si="38"/>
        <v/>
      </c>
      <c r="BY164" s="151" t="str">
        <f t="shared" si="39"/>
        <v/>
      </c>
      <c r="BZ164" s="152" t="str">
        <f t="shared" si="40"/>
        <v/>
      </c>
      <c r="CA164" s="152" t="str">
        <f t="shared" si="41"/>
        <v/>
      </c>
      <c r="CB164" s="152" t="str">
        <f t="shared" si="42"/>
        <v/>
      </c>
      <c r="CC164" s="153" t="str">
        <f t="shared" si="43"/>
        <v/>
      </c>
      <c r="CD164" s="153" t="str">
        <f t="shared" si="44"/>
        <v/>
      </c>
      <c r="CE164" s="154" t="str">
        <f t="shared" si="45"/>
        <v/>
      </c>
      <c r="CF164" s="154" t="str">
        <f t="shared" si="46"/>
        <v/>
      </c>
      <c r="CG164" s="154" t="str">
        <f t="shared" si="47"/>
        <v/>
      </c>
      <c r="CH164" s="308" t="str">
        <f t="shared" si="48"/>
        <v/>
      </c>
      <c r="CI164" s="299"/>
    </row>
    <row r="165">
      <c r="A165" s="103" t="s">
        <v>254</v>
      </c>
      <c r="B165" s="104" t="s">
        <v>98</v>
      </c>
      <c r="C165" s="105">
        <v>175660.0</v>
      </c>
      <c r="D165" s="293">
        <v>0.0</v>
      </c>
      <c r="E165" s="294">
        <v>28.86560843</v>
      </c>
      <c r="F165" s="307">
        <v>0.179324661</v>
      </c>
      <c r="G165" s="307">
        <v>1.320478897</v>
      </c>
      <c r="H165" s="108">
        <v>1.499803558</v>
      </c>
      <c r="I165" s="109">
        <v>3.13735535</v>
      </c>
      <c r="J165" s="109">
        <v>14.4621703</v>
      </c>
      <c r="K165" s="109">
        <v>17.59952567</v>
      </c>
      <c r="L165" s="112">
        <v>1.105512596</v>
      </c>
      <c r="M165" s="112">
        <v>4.08450579</v>
      </c>
      <c r="N165" s="111">
        <v>5.190018385</v>
      </c>
      <c r="O165" s="298">
        <v>0.0</v>
      </c>
      <c r="P165" s="114"/>
      <c r="Q165" s="114"/>
      <c r="R165" s="121" t="str">
        <f t="shared" si="11"/>
        <v/>
      </c>
      <c r="S165" s="116">
        <f t="shared" si="12"/>
        <v>0.2288425133</v>
      </c>
      <c r="T165" s="130"/>
      <c r="U165" s="118">
        <f t="shared" si="13"/>
        <v>0.39435</v>
      </c>
      <c r="V165" s="148"/>
      <c r="W165" s="120">
        <f t="shared" si="14"/>
        <v>0.542475</v>
      </c>
      <c r="X165" s="148"/>
      <c r="Y165" s="120">
        <f t="shared" si="15"/>
        <v>0.6507333333</v>
      </c>
      <c r="Z165" s="299"/>
      <c r="AA165" s="299"/>
      <c r="AB165" s="300" t="str">
        <f t="shared" si="16"/>
        <v/>
      </c>
      <c r="AC165" s="301">
        <f t="shared" si="17"/>
        <v>0.3490201688</v>
      </c>
      <c r="AD165" s="122">
        <v>0.0</v>
      </c>
      <c r="AE165" s="123">
        <v>0.02</v>
      </c>
      <c r="AF165" s="123">
        <v>4.0E-4</v>
      </c>
      <c r="AG165" s="316">
        <v>0.0</v>
      </c>
      <c r="AH165" s="124">
        <v>0.139757601</v>
      </c>
      <c r="AI165" s="317">
        <v>0.0</v>
      </c>
      <c r="AJ165" s="125">
        <v>0.131086064</v>
      </c>
      <c r="AK165" s="319">
        <v>0.0</v>
      </c>
      <c r="AL165" s="319">
        <v>0.0</v>
      </c>
      <c r="AM165" s="302">
        <v>0.0</v>
      </c>
      <c r="AN165" s="149" t="str">
        <f>IFERROR(
  AVERAGEIFS(
    'New 20102013 LF Efficacy'!$J:$J,
    'New 20102013 LF Efficacy'!$D:$D, $A165,
    'New 20102013 LF Efficacy'!$F:$F,"DEC", 
    'New 20102013 LF Efficacy'!$W:$W,"&lt;2014",
    'New 20102013 LF Efficacy'!$AA:$AA,""),
  ""
)</f>
        <v/>
      </c>
      <c r="AO165" s="115">
        <f t="shared" si="18"/>
        <v>0.2589833333</v>
      </c>
      <c r="AP165" s="121" t="str">
        <f>IFERROR(
AVERAGEIFS(
'New 20102013 LF Efficacy'!$J:$J,
'New 20102013 LF Efficacy'!$D:$D,$A165,
'New 20102013 LF Efficacy'!$F:$F,"Albendazole &amp; DEC",
'New 20102013 LF Efficacy'!$W:$W,"&lt;2014",
'New 20102013 LF Efficacy'!$AA:$AA,""),
"")
</f>
        <v/>
      </c>
      <c r="AQ165" s="115">
        <f t="shared" si="19"/>
        <v>0.3465</v>
      </c>
      <c r="AR165" s="121" t="str">
        <f>IFERROR(
AVERAGEIFS(
'New 20102013 LF Efficacy'!$J:$J,
'New 20102013 LF Efficacy'!$D:$D,$A165,
'New 20102013 LF Efficacy'!$F:$F,"Albendazole &amp; Ivermectin", 
'New 20102013 LF Efficacy'!$W:$W,"&lt;2014",
'New 20102013 LF Efficacy'!$AA:$AA,""),"")</f>
        <v/>
      </c>
      <c r="AS165" s="115">
        <f t="shared" si="20"/>
        <v>0.7575</v>
      </c>
      <c r="AT165" s="130" t="str">
        <f>IFERROR(AVERAGEIFS(
'20102013 Schist Efficacy'!$O:$O, 
'20102013 Schist Efficacy'!$C:$C,$A165, 
'20102013 Schist Efficacy'!$D:$D, "Praziquantel",
'20102013 Schist Efficacy'!$J:$J,"&lt;2014",
'20102013 Schist Efficacy'!$U:$U,""),
"")</f>
        <v/>
      </c>
      <c r="AU165" s="118">
        <f t="shared" si="21"/>
        <v>0.7914761905</v>
      </c>
      <c r="AV165" s="131" t="str">
        <f>IFERROR(AVERAGEIFS(
'20102013 STH Efficacy'!$AX:$AX, 
'20102013 STH Efficacy'!$AL:$AL, $A165, 
'20102013 STH Efficacy'!$AM:$AM, "Albendazole",
'20102013 STH Efficacy'!$AS:$AS,"&lt;2014",
'20102013 STH Efficacy'!$BP:$BP,""),
"")</f>
        <v/>
      </c>
      <c r="AW165" s="132">
        <f t="shared" si="22"/>
        <v>0.3945</v>
      </c>
      <c r="AX165" s="131" t="str">
        <f>IFERROR(AVERAGEIFS(
'20102013 STH Efficacy'!$AX:$AX, 
'20102013 STH Efficacy'!$AL:$AL, $A165, 
'20102013 STH Efficacy'!$AM:$AM, "Mebendazole",
'20102013 STH Efficacy'!$AS:$AS,"&lt;2014",
'20102013 STH Efficacy'!$BP:$BP,""),
"")</f>
        <v/>
      </c>
      <c r="AY165" s="132">
        <f t="shared" si="23"/>
        <v>0.6</v>
      </c>
      <c r="AZ165" s="131" t="str">
        <f>IFERROR(AVERAGEIFS(
'20102013 STH Efficacy'!$AX:$AX, 
'20102013 STH Efficacy'!$AL:$AL, $A165, 
'20102013 STH Efficacy'!$AM:$AM, "Albendazole &amp; Ivermectin",
'20102013 STH Efficacy'!$AS:$AS,"&lt;2014",
'20102013 STH Efficacy'!$BP:$BP,""),
"")</f>
        <v/>
      </c>
      <c r="BA165" s="303">
        <f t="shared" si="24"/>
        <v>0.796</v>
      </c>
      <c r="BB165" s="134" t="str">
        <f>IFERROR(AVERAGEIFS(
'20102013 STH Efficacy'!$N:$N, 
'20102013 STH Efficacy'!$B:$B, $A165, 
'20102013 STH Efficacy'!$C:$C, "Albendazole",
'20102013 STH Efficacy'!$I:$I,"&lt;2014",
'20102013 STH Efficacy'!$AH:$AH,""),
"")</f>
        <v/>
      </c>
      <c r="BC165" s="135">
        <f t="shared" si="25"/>
        <v>0.869</v>
      </c>
      <c r="BD165" s="134" t="str">
        <f>IFERROR(AVERAGEIFS(
'20102013 STH Efficacy'!$N:$N, 
'20102013 STH Efficacy'!$B:$B, $A165, 
'20102013 STH Efficacy'!$C:$C, "Mebendazole",
'20102013 STH Efficacy'!$I:$I,"&lt;2014",
'20102013 STH Efficacy'!$AH:$AH,""),
"")</f>
        <v/>
      </c>
      <c r="BE165" s="135">
        <f t="shared" si="26"/>
        <v>0.172</v>
      </c>
      <c r="BF165" s="128" t="str">
        <f>IFERROR(AVERAGEIFS(
'20102013 STH Efficacy'!$CD:$CD, 
'20102013 STH Efficacy'!$BS:$BS, $A165, 
'20102013 STH Efficacy'!$BT:$BT, "Albendazole",
'20102013 STH Efficacy'!$BZ:$BZ,"&lt;2014",
'20102013 STH Efficacy'!$CU:$CU,""),
"")</f>
        <v/>
      </c>
      <c r="BG165" s="136">
        <f t="shared" si="27"/>
        <v>0.9862</v>
      </c>
      <c r="BH165" s="128" t="str">
        <f>IFERROR(AVERAGEIFS(
'20102013 STH Efficacy'!$CD:$CD, 
'20102013 STH Efficacy'!$BS:$BS, $A165, 
'20102013 STH Efficacy'!$BT:$BT, "Mebendazole",
'20102013 STH Efficacy'!$BZ:$BZ,"&lt;2014",
'20102013 STH Efficacy'!$CU:$CU,""),
"")</f>
        <v/>
      </c>
      <c r="BI165" s="136">
        <f t="shared" si="28"/>
        <v>0.769</v>
      </c>
      <c r="BJ165" s="128" t="str">
        <f>IFERROR(AVERAGEIFS(
'20102013 STH Efficacy'!$CD:$CD, 
'20102013 STH Efficacy'!$BS:$BS, $A165, 
'20102013 STH Efficacy'!$BT:$BT, "Albendazole &amp; Ivermectin",
'20102013 STH Efficacy'!$BZ:$BZ,"&lt;2014",
'20102013 STH Efficacy'!$CU:$CU,""),
"")</f>
        <v/>
      </c>
      <c r="BK165" s="136">
        <f t="shared" si="29"/>
        <v>1</v>
      </c>
      <c r="BL165" s="300" t="str">
        <f>IFERROR(
  AVERAGEIFS(
    'NEW 20102013 Onchocerciasis Eff'!$AO:$AO,
    'NEW 20102013 Onchocerciasis Eff'!$C:$C,$A165,
    'NEW 20102013 Onchocerciasis Eff'!$D:$D,"Ivermectin",
    'NEW 20102013 Onchocerciasis Eff'!$AR:$AR,"&lt;2014",
    'NEW 20102013 Onchocerciasis Eff'!$BG:$BG,"")
,"")</f>
        <v/>
      </c>
      <c r="BM165" s="304">
        <f t="shared" si="30"/>
        <v>0.3734</v>
      </c>
      <c r="BN165" s="305">
        <v>0.0</v>
      </c>
      <c r="BO165" s="139">
        <v>0.0</v>
      </c>
      <c r="BP165" s="140">
        <v>0.0</v>
      </c>
      <c r="BQ165" s="141">
        <f t="shared" si="31"/>
        <v>0</v>
      </c>
      <c r="BR165" s="104" t="str">
        <f t="shared" si="32"/>
        <v>0000</v>
      </c>
      <c r="BS165" s="104" t="str">
        <f t="shared" si="33"/>
        <v>no action required</v>
      </c>
      <c r="BT165" s="142" t="str">
        <f t="shared" si="34"/>
        <v/>
      </c>
      <c r="BU165" s="104" t="str">
        <f t="shared" si="50"/>
        <v/>
      </c>
      <c r="BV165" s="104" t="str">
        <f t="shared" si="36"/>
        <v>none</v>
      </c>
      <c r="BW165" s="150" t="str">
        <f t="shared" si="37"/>
        <v/>
      </c>
      <c r="BX165" s="150" t="str">
        <f t="shared" si="38"/>
        <v/>
      </c>
      <c r="BY165" s="151" t="str">
        <f t="shared" si="39"/>
        <v/>
      </c>
      <c r="BZ165" s="152" t="str">
        <f t="shared" si="40"/>
        <v/>
      </c>
      <c r="CA165" s="152" t="str">
        <f t="shared" si="41"/>
        <v/>
      </c>
      <c r="CB165" s="152" t="str">
        <f t="shared" si="42"/>
        <v/>
      </c>
      <c r="CC165" s="153" t="str">
        <f t="shared" si="43"/>
        <v/>
      </c>
      <c r="CD165" s="153" t="str">
        <f t="shared" si="44"/>
        <v/>
      </c>
      <c r="CE165" s="154" t="str">
        <f t="shared" si="45"/>
        <v/>
      </c>
      <c r="CF165" s="154" t="str">
        <f t="shared" si="46"/>
        <v/>
      </c>
      <c r="CG165" s="154" t="str">
        <f t="shared" si="47"/>
        <v/>
      </c>
      <c r="CH165" s="308" t="str">
        <f t="shared" si="48"/>
        <v/>
      </c>
      <c r="CI165" s="299"/>
    </row>
    <row r="166">
      <c r="A166" s="103" t="s">
        <v>255</v>
      </c>
      <c r="B166" s="104" t="s">
        <v>98</v>
      </c>
      <c r="C166" s="105">
        <v>109320.0</v>
      </c>
      <c r="D166" s="293">
        <v>0.0</v>
      </c>
      <c r="E166" s="294">
        <v>0.0</v>
      </c>
      <c r="F166" s="309">
        <v>0.002323044</v>
      </c>
      <c r="G166" s="309">
        <v>0.014645817</v>
      </c>
      <c r="H166" s="108">
        <v>0.016968861</v>
      </c>
      <c r="I166" s="109">
        <v>3.02071582</v>
      </c>
      <c r="J166" s="109">
        <v>9.65827779</v>
      </c>
      <c r="K166" s="109">
        <v>12.67899361</v>
      </c>
      <c r="L166" s="112">
        <v>0.48570712</v>
      </c>
      <c r="M166" s="112">
        <v>0.735208732</v>
      </c>
      <c r="N166" s="111">
        <v>1.220915852</v>
      </c>
      <c r="O166" s="298">
        <v>0.0</v>
      </c>
      <c r="P166" s="114"/>
      <c r="Q166" s="114"/>
      <c r="R166" s="121" t="str">
        <f t="shared" si="11"/>
        <v/>
      </c>
      <c r="S166" s="116">
        <f t="shared" si="12"/>
        <v>0.2288425133</v>
      </c>
      <c r="T166" s="130"/>
      <c r="U166" s="118">
        <f t="shared" si="13"/>
        <v>0.39435</v>
      </c>
      <c r="V166" s="148"/>
      <c r="W166" s="120">
        <f t="shared" si="14"/>
        <v>0.542475</v>
      </c>
      <c r="X166" s="148"/>
      <c r="Y166" s="120">
        <f t="shared" si="15"/>
        <v>0.6507333333</v>
      </c>
      <c r="Z166" s="299"/>
      <c r="AA166" s="299"/>
      <c r="AB166" s="300" t="str">
        <f t="shared" si="16"/>
        <v/>
      </c>
      <c r="AC166" s="301">
        <f t="shared" si="17"/>
        <v>0.3490201688</v>
      </c>
      <c r="AD166" s="122">
        <v>0.0</v>
      </c>
      <c r="AE166" s="123">
        <v>0.0</v>
      </c>
      <c r="AF166" s="123">
        <v>0.0</v>
      </c>
      <c r="AG166" s="316">
        <v>0.0</v>
      </c>
      <c r="AH166" s="124">
        <v>0.045761311</v>
      </c>
      <c r="AI166" s="317">
        <v>0.0</v>
      </c>
      <c r="AJ166" s="125">
        <v>0.138503401</v>
      </c>
      <c r="AK166" s="319">
        <v>0.0</v>
      </c>
      <c r="AL166" s="319">
        <v>0.0</v>
      </c>
      <c r="AM166" s="302">
        <v>0.0</v>
      </c>
      <c r="AN166" s="149" t="str">
        <f>IFERROR(
  AVERAGEIFS(
    'New 20102013 LF Efficacy'!$J:$J,
    'New 20102013 LF Efficacy'!$D:$D, $A166,
    'New 20102013 LF Efficacy'!$F:$F,"DEC", 
    'New 20102013 LF Efficacy'!$W:$W,"&lt;2014",
    'New 20102013 LF Efficacy'!$AA:$AA,""),
  ""
)</f>
        <v/>
      </c>
      <c r="AO166" s="115">
        <f t="shared" si="18"/>
        <v>0.2589833333</v>
      </c>
      <c r="AP166" s="121" t="str">
        <f>IFERROR(
AVERAGEIFS(
'New 20102013 LF Efficacy'!$J:$J,
'New 20102013 LF Efficacy'!$D:$D,$A166,
'New 20102013 LF Efficacy'!$F:$F,"Albendazole &amp; DEC",
'New 20102013 LF Efficacy'!$W:$W,"&lt;2014",
'New 20102013 LF Efficacy'!$AA:$AA,""),
"")
</f>
        <v/>
      </c>
      <c r="AQ166" s="115">
        <f t="shared" si="19"/>
        <v>0.3465</v>
      </c>
      <c r="AR166" s="121" t="str">
        <f>IFERROR(
AVERAGEIFS(
'New 20102013 LF Efficacy'!$J:$J,
'New 20102013 LF Efficacy'!$D:$D,$A166,
'New 20102013 LF Efficacy'!$F:$F,"Albendazole &amp; Ivermectin", 
'New 20102013 LF Efficacy'!$W:$W,"&lt;2014",
'New 20102013 LF Efficacy'!$AA:$AA,""),"")</f>
        <v/>
      </c>
      <c r="AS166" s="115">
        <f t="shared" si="20"/>
        <v>0.7575</v>
      </c>
      <c r="AT166" s="130" t="str">
        <f>IFERROR(AVERAGEIFS(
'20102013 Schist Efficacy'!$O:$O, 
'20102013 Schist Efficacy'!$C:$C,$A166, 
'20102013 Schist Efficacy'!$D:$D, "Praziquantel",
'20102013 Schist Efficacy'!$J:$J,"&lt;2014",
'20102013 Schist Efficacy'!$U:$U,""),
"")</f>
        <v/>
      </c>
      <c r="AU166" s="118">
        <f t="shared" si="21"/>
        <v>0.7914761905</v>
      </c>
      <c r="AV166" s="131" t="str">
        <f>IFERROR(AVERAGEIFS(
'20102013 STH Efficacy'!$AX:$AX, 
'20102013 STH Efficacy'!$AL:$AL, $A166, 
'20102013 STH Efficacy'!$AM:$AM, "Albendazole",
'20102013 STH Efficacy'!$AS:$AS,"&lt;2014",
'20102013 STH Efficacy'!$BP:$BP,""),
"")</f>
        <v/>
      </c>
      <c r="AW166" s="132">
        <f t="shared" si="22"/>
        <v>0.3945</v>
      </c>
      <c r="AX166" s="131" t="str">
        <f>IFERROR(AVERAGEIFS(
'20102013 STH Efficacy'!$AX:$AX, 
'20102013 STH Efficacy'!$AL:$AL, $A166, 
'20102013 STH Efficacy'!$AM:$AM, "Mebendazole",
'20102013 STH Efficacy'!$AS:$AS,"&lt;2014",
'20102013 STH Efficacy'!$BP:$BP,""),
"")</f>
        <v/>
      </c>
      <c r="AY166" s="132">
        <f t="shared" si="23"/>
        <v>0.6</v>
      </c>
      <c r="AZ166" s="131" t="str">
        <f>IFERROR(AVERAGEIFS(
'20102013 STH Efficacy'!$AX:$AX, 
'20102013 STH Efficacy'!$AL:$AL, $A166, 
'20102013 STH Efficacy'!$AM:$AM, "Albendazole &amp; Ivermectin",
'20102013 STH Efficacy'!$AS:$AS,"&lt;2014",
'20102013 STH Efficacy'!$BP:$BP,""),
"")</f>
        <v/>
      </c>
      <c r="BA166" s="303">
        <f t="shared" si="24"/>
        <v>0.796</v>
      </c>
      <c r="BB166" s="134" t="str">
        <f>IFERROR(AVERAGEIFS(
'20102013 STH Efficacy'!$N:$N, 
'20102013 STH Efficacy'!$B:$B, $A166, 
'20102013 STH Efficacy'!$C:$C, "Albendazole",
'20102013 STH Efficacy'!$I:$I,"&lt;2014",
'20102013 STH Efficacy'!$AH:$AH,""),
"")</f>
        <v/>
      </c>
      <c r="BC166" s="135">
        <f t="shared" si="25"/>
        <v>0.869</v>
      </c>
      <c r="BD166" s="134" t="str">
        <f>IFERROR(AVERAGEIFS(
'20102013 STH Efficacy'!$N:$N, 
'20102013 STH Efficacy'!$B:$B, $A166, 
'20102013 STH Efficacy'!$C:$C, "Mebendazole",
'20102013 STH Efficacy'!$I:$I,"&lt;2014",
'20102013 STH Efficacy'!$AH:$AH,""),
"")</f>
        <v/>
      </c>
      <c r="BE166" s="135">
        <f t="shared" si="26"/>
        <v>0.172</v>
      </c>
      <c r="BF166" s="128" t="str">
        <f>IFERROR(AVERAGEIFS(
'20102013 STH Efficacy'!$CD:$CD, 
'20102013 STH Efficacy'!$BS:$BS, $A166, 
'20102013 STH Efficacy'!$BT:$BT, "Albendazole",
'20102013 STH Efficacy'!$BZ:$BZ,"&lt;2014",
'20102013 STH Efficacy'!$CU:$CU,""),
"")</f>
        <v/>
      </c>
      <c r="BG166" s="136">
        <f t="shared" si="27"/>
        <v>0.9862</v>
      </c>
      <c r="BH166" s="128" t="str">
        <f>IFERROR(AVERAGEIFS(
'20102013 STH Efficacy'!$CD:$CD, 
'20102013 STH Efficacy'!$BS:$BS, $A166, 
'20102013 STH Efficacy'!$BT:$BT, "Mebendazole",
'20102013 STH Efficacy'!$BZ:$BZ,"&lt;2014",
'20102013 STH Efficacy'!$CU:$CU,""),
"")</f>
        <v/>
      </c>
      <c r="BI166" s="136">
        <f t="shared" si="28"/>
        <v>0.769</v>
      </c>
      <c r="BJ166" s="128" t="str">
        <f>IFERROR(AVERAGEIFS(
'20102013 STH Efficacy'!$CD:$CD, 
'20102013 STH Efficacy'!$BS:$BS, $A166, 
'20102013 STH Efficacy'!$BT:$BT, "Albendazole &amp; Ivermectin",
'20102013 STH Efficacy'!$BZ:$BZ,"&lt;2014",
'20102013 STH Efficacy'!$CU:$CU,""),
"")</f>
        <v/>
      </c>
      <c r="BK166" s="136">
        <f t="shared" si="29"/>
        <v>1</v>
      </c>
      <c r="BL166" s="300" t="str">
        <f>IFERROR(
  AVERAGEIFS(
    'NEW 20102013 Onchocerciasis Eff'!$AO:$AO,
    'NEW 20102013 Onchocerciasis Eff'!$C:$C,$A166,
    'NEW 20102013 Onchocerciasis Eff'!$D:$D,"Ivermectin",
    'NEW 20102013 Onchocerciasis Eff'!$AR:$AR,"&lt;2014",
    'NEW 20102013 Onchocerciasis Eff'!$BG:$BG,"")
,"")</f>
        <v/>
      </c>
      <c r="BM166" s="304">
        <f t="shared" si="30"/>
        <v>0.3734</v>
      </c>
      <c r="BN166" s="305">
        <v>0.0</v>
      </c>
      <c r="BO166" s="139">
        <v>0.0</v>
      </c>
      <c r="BP166" s="140">
        <v>0.0</v>
      </c>
      <c r="BQ166" s="141">
        <f t="shared" si="31"/>
        <v>0</v>
      </c>
      <c r="BR166" s="104" t="str">
        <f t="shared" si="32"/>
        <v>0000</v>
      </c>
      <c r="BS166" s="104" t="str">
        <f t="shared" si="33"/>
        <v>no action required</v>
      </c>
      <c r="BT166" s="142" t="str">
        <f t="shared" si="34"/>
        <v/>
      </c>
      <c r="BU166" s="104" t="str">
        <f t="shared" si="50"/>
        <v/>
      </c>
      <c r="BV166" s="104" t="str">
        <f t="shared" si="36"/>
        <v>none</v>
      </c>
      <c r="BW166" s="150" t="str">
        <f t="shared" si="37"/>
        <v/>
      </c>
      <c r="BX166" s="150" t="str">
        <f t="shared" si="38"/>
        <v/>
      </c>
      <c r="BY166" s="151" t="str">
        <f t="shared" si="39"/>
        <v/>
      </c>
      <c r="BZ166" s="152" t="str">
        <f t="shared" si="40"/>
        <v/>
      </c>
      <c r="CA166" s="152" t="str">
        <f t="shared" si="41"/>
        <v/>
      </c>
      <c r="CB166" s="152" t="str">
        <f t="shared" si="42"/>
        <v/>
      </c>
      <c r="CC166" s="153" t="str">
        <f t="shared" si="43"/>
        <v/>
      </c>
      <c r="CD166" s="153" t="str">
        <f t="shared" si="44"/>
        <v/>
      </c>
      <c r="CE166" s="154" t="str">
        <f t="shared" si="45"/>
        <v/>
      </c>
      <c r="CF166" s="154" t="str">
        <f t="shared" si="46"/>
        <v/>
      </c>
      <c r="CG166" s="154" t="str">
        <f t="shared" si="47"/>
        <v/>
      </c>
      <c r="CH166" s="308" t="str">
        <f t="shared" si="48"/>
        <v/>
      </c>
      <c r="CI166" s="299"/>
    </row>
    <row r="167">
      <c r="A167" s="103" t="s">
        <v>256</v>
      </c>
      <c r="B167" s="104" t="s">
        <v>94</v>
      </c>
      <c r="C167" s="105">
        <v>190757.0</v>
      </c>
      <c r="D167" s="293">
        <v>98.19</v>
      </c>
      <c r="E167" s="294">
        <v>0.0</v>
      </c>
      <c r="F167" s="309">
        <v>4.02008E-4</v>
      </c>
      <c r="G167" s="309">
        <v>0.002243241</v>
      </c>
      <c r="H167" s="108">
        <v>0.002645249</v>
      </c>
      <c r="I167" s="109">
        <v>0.98276723</v>
      </c>
      <c r="J167" s="109">
        <v>2.36678897</v>
      </c>
      <c r="K167" s="109">
        <v>3.349556192</v>
      </c>
      <c r="L167" s="112">
        <v>1.201034663</v>
      </c>
      <c r="M167" s="112">
        <v>0.356163836</v>
      </c>
      <c r="N167" s="111">
        <v>1.557198499</v>
      </c>
      <c r="O167" s="298">
        <v>0.0</v>
      </c>
      <c r="P167" s="160">
        <v>186649.0</v>
      </c>
      <c r="Q167" s="156"/>
      <c r="R167" s="121">
        <f t="shared" si="11"/>
        <v>0</v>
      </c>
      <c r="S167" s="116">
        <f t="shared" si="12"/>
        <v>0.403639098</v>
      </c>
      <c r="T167" s="130"/>
      <c r="U167" s="118">
        <f t="shared" si="13"/>
        <v>0.6259666667</v>
      </c>
      <c r="V167" s="148"/>
      <c r="W167" s="120">
        <f t="shared" si="14"/>
        <v>0.3807857143</v>
      </c>
      <c r="X167" s="148"/>
      <c r="Y167" s="120">
        <f t="shared" si="15"/>
        <v>0.3971375</v>
      </c>
      <c r="Z167" s="299"/>
      <c r="AA167" s="299"/>
      <c r="AB167" s="300" t="str">
        <f t="shared" si="16"/>
        <v/>
      </c>
      <c r="AC167" s="301">
        <f t="shared" si="17"/>
        <v>0.6295826791</v>
      </c>
      <c r="AD167" s="122">
        <v>0.0084</v>
      </c>
      <c r="AE167" s="123">
        <v>0.0</v>
      </c>
      <c r="AF167" s="123">
        <v>0.0</v>
      </c>
      <c r="AG167" s="316">
        <v>0.0</v>
      </c>
      <c r="AH167" s="124">
        <v>0.0200703</v>
      </c>
      <c r="AI167" s="317">
        <v>0.0</v>
      </c>
      <c r="AJ167" s="125">
        <v>0.019393638</v>
      </c>
      <c r="AK167" s="319">
        <v>0.0</v>
      </c>
      <c r="AL167" s="319">
        <v>0.0</v>
      </c>
      <c r="AM167" s="302">
        <v>0.0</v>
      </c>
      <c r="AN167" s="149" t="str">
        <f>IFERROR(
  AVERAGEIFS(
    'New 20102013 LF Efficacy'!$J:$J,
    'New 20102013 LF Efficacy'!$D:$D, $A167,
    'New 20102013 LF Efficacy'!$F:$F,"DEC", 
    'New 20102013 LF Efficacy'!$W:$W,"&lt;2014",
    'New 20102013 LF Efficacy'!$AA:$AA,""),
  ""
)</f>
        <v/>
      </c>
      <c r="AO167" s="115">
        <f t="shared" si="18"/>
        <v>0.38</v>
      </c>
      <c r="AP167" s="121" t="str">
        <f>IFERROR(
AVERAGEIFS(
'New 20102013 LF Efficacy'!$J:$J,
'New 20102013 LF Efficacy'!$D:$D,$A167,
'New 20102013 LF Efficacy'!$F:$F,"Albendazole &amp; DEC",
'New 20102013 LF Efficacy'!$W:$W,"&lt;2014",
'New 20102013 LF Efficacy'!$AA:$AA,""),
"")
</f>
        <v/>
      </c>
      <c r="AQ167" s="115">
        <f t="shared" si="19"/>
        <v>0.657</v>
      </c>
      <c r="AR167" s="121" t="str">
        <f>IFERROR(
AVERAGEIFS(
'New 20102013 LF Efficacy'!$J:$J,
'New 20102013 LF Efficacy'!$D:$D,$A167,
'New 20102013 LF Efficacy'!$F:$F,"Albendazole &amp; Ivermectin", 
'New 20102013 LF Efficacy'!$W:$W,"&lt;2014",
'New 20102013 LF Efficacy'!$AA:$AA,""),"")</f>
        <v/>
      </c>
      <c r="AS167" s="115">
        <f t="shared" si="20"/>
        <v>0.37153125</v>
      </c>
      <c r="AT167" s="130" t="str">
        <f>IFERROR(AVERAGEIFS(
'20102013 Schist Efficacy'!$O:$O, 
'20102013 Schist Efficacy'!$C:$C,$A167, 
'20102013 Schist Efficacy'!$D:$D, "Praziquantel",
'20102013 Schist Efficacy'!$J:$J,"&lt;2014",
'20102013 Schist Efficacy'!$U:$U,""),
"")</f>
        <v/>
      </c>
      <c r="AU167" s="118">
        <f t="shared" si="21"/>
        <v>0.9475</v>
      </c>
      <c r="AV167" s="131" t="str">
        <f>IFERROR(AVERAGEIFS(
'20102013 STH Efficacy'!$AX:$AX, 
'20102013 STH Efficacy'!$AL:$AL, $A167, 
'20102013 STH Efficacy'!$AM:$AM, "Albendazole",
'20102013 STH Efficacy'!$AS:$AS,"&lt;2014",
'20102013 STH Efficacy'!$BP:$BP,""),
"")</f>
        <v/>
      </c>
      <c r="AW167" s="132">
        <f t="shared" si="22"/>
        <v>0.3571666667</v>
      </c>
      <c r="AX167" s="131" t="str">
        <f>IFERROR(AVERAGEIFS(
'20102013 STH Efficacy'!$AX:$AX, 
'20102013 STH Efficacy'!$AL:$AL, $A167, 
'20102013 STH Efficacy'!$AM:$AM, "Mebendazole",
'20102013 STH Efficacy'!$AS:$AS,"&lt;2014",
'20102013 STH Efficacy'!$BP:$BP,""),
"")</f>
        <v/>
      </c>
      <c r="AY167" s="132">
        <f t="shared" si="23"/>
        <v>0.4155</v>
      </c>
      <c r="AZ167" s="131" t="str">
        <f>IFERROR(AVERAGEIFS(
'20102013 STH Efficacy'!$AX:$AX, 
'20102013 STH Efficacy'!$AL:$AL, $A167, 
'20102013 STH Efficacy'!$AM:$AM, "Albendazole &amp; Ivermectin",
'20102013 STH Efficacy'!$AS:$AS,"&lt;2014",
'20102013 STH Efficacy'!$BP:$BP,""),
"")</f>
        <v/>
      </c>
      <c r="BA167" s="303">
        <f t="shared" si="24"/>
        <v>0.651</v>
      </c>
      <c r="BB167" s="134" t="str">
        <f>IFERROR(AVERAGEIFS(
'20102013 STH Efficacy'!$N:$N, 
'20102013 STH Efficacy'!$B:$B, $A167, 
'20102013 STH Efficacy'!$C:$C, "Albendazole",
'20102013 STH Efficacy'!$I:$I,"&lt;2014",
'20102013 STH Efficacy'!$AH:$AH,""),
"")</f>
        <v/>
      </c>
      <c r="BC167" s="135">
        <f t="shared" si="25"/>
        <v>0.5769166667</v>
      </c>
      <c r="BD167" s="134" t="str">
        <f>IFERROR(AVERAGEIFS(
'20102013 STH Efficacy'!$N:$N, 
'20102013 STH Efficacy'!$B:$B, $A167, 
'20102013 STH Efficacy'!$C:$C, "Mebendazole",
'20102013 STH Efficacy'!$I:$I,"&lt;2014",
'20102013 STH Efficacy'!$AH:$AH,""),
"")</f>
        <v/>
      </c>
      <c r="BE167" s="135">
        <f t="shared" si="26"/>
        <v>0.3145</v>
      </c>
      <c r="BF167" s="128" t="str">
        <f>IFERROR(AVERAGEIFS(
'20102013 STH Efficacy'!$CD:$CD, 
'20102013 STH Efficacy'!$BS:$BS, $A167, 
'20102013 STH Efficacy'!$BT:$BT, "Albendazole",
'20102013 STH Efficacy'!$BZ:$BZ,"&lt;2014",
'20102013 STH Efficacy'!$CU:$CU,""),
"")</f>
        <v/>
      </c>
      <c r="BG167" s="136">
        <f t="shared" si="27"/>
        <v>0.96925</v>
      </c>
      <c r="BH167" s="128" t="str">
        <f>IFERROR(AVERAGEIFS(
'20102013 STH Efficacy'!$CD:$CD, 
'20102013 STH Efficacy'!$BS:$BS, $A167, 
'20102013 STH Efficacy'!$BT:$BT, "Mebendazole",
'20102013 STH Efficacy'!$BZ:$BZ,"&lt;2014",
'20102013 STH Efficacy'!$CU:$CU,""),
"")</f>
        <v/>
      </c>
      <c r="BI167" s="136">
        <f t="shared" si="28"/>
        <v>0.9305</v>
      </c>
      <c r="BJ167" s="128" t="str">
        <f>IFERROR(AVERAGEIFS(
'20102013 STH Efficacy'!$CD:$CD, 
'20102013 STH Efficacy'!$BS:$BS, $A167, 
'20102013 STH Efficacy'!$BT:$BT, "Albendazole &amp; Ivermectin",
'20102013 STH Efficacy'!$BZ:$BZ,"&lt;2014",
'20102013 STH Efficacy'!$CU:$CU,""),
"")</f>
        <v/>
      </c>
      <c r="BK167" s="136">
        <f t="shared" si="29"/>
        <v>1</v>
      </c>
      <c r="BL167" s="300" t="str">
        <f>IFERROR(
  AVERAGEIFS(
    'NEW 20102013 Onchocerciasis Eff'!$AO:$AO,
    'NEW 20102013 Onchocerciasis Eff'!$C:$C,$A167,
    'NEW 20102013 Onchocerciasis Eff'!$D:$D,"Ivermectin",
    'NEW 20102013 Onchocerciasis Eff'!$AR:$AR,"&lt;2014",
    'NEW 20102013 Onchocerciasis Eff'!$BG:$BG,"")
,"")</f>
        <v/>
      </c>
      <c r="BM167" s="304">
        <f t="shared" si="30"/>
        <v>0.7808368939</v>
      </c>
      <c r="BN167" s="305">
        <v>1.0</v>
      </c>
      <c r="BO167" s="139">
        <v>0.0</v>
      </c>
      <c r="BP167" s="140">
        <v>0.0</v>
      </c>
      <c r="BQ167" s="141">
        <f t="shared" si="31"/>
        <v>0</v>
      </c>
      <c r="BR167" s="104" t="str">
        <f t="shared" si="32"/>
        <v>1000</v>
      </c>
      <c r="BS167" s="104" t="str">
        <f t="shared" si="33"/>
        <v>MDA1/2</v>
      </c>
      <c r="BT167" s="142" t="str">
        <f t="shared" si="34"/>
        <v>DEC+ALB</v>
      </c>
      <c r="BU167" s="104" t="str">
        <f t="shared" si="50"/>
        <v/>
      </c>
      <c r="BV167" s="104" t="str">
        <f t="shared" si="36"/>
        <v>lf only</v>
      </c>
      <c r="BW167" s="312">
        <f t="shared" si="37"/>
        <v>35.43654098</v>
      </c>
      <c r="BX167" s="150" t="str">
        <f t="shared" si="38"/>
        <v/>
      </c>
      <c r="BY167" s="151" t="str">
        <f t="shared" si="39"/>
        <v/>
      </c>
      <c r="BZ167" s="152" t="str">
        <f t="shared" si="40"/>
        <v/>
      </c>
      <c r="CA167" s="152" t="str">
        <f t="shared" si="41"/>
        <v/>
      </c>
      <c r="CB167" s="152" t="str">
        <f t="shared" si="42"/>
        <v/>
      </c>
      <c r="CC167" s="153" t="str">
        <f t="shared" si="43"/>
        <v/>
      </c>
      <c r="CD167" s="153" t="str">
        <f t="shared" si="44"/>
        <v/>
      </c>
      <c r="CE167" s="154" t="str">
        <f t="shared" si="45"/>
        <v/>
      </c>
      <c r="CF167" s="154" t="str">
        <f t="shared" si="46"/>
        <v/>
      </c>
      <c r="CG167" s="154" t="str">
        <f t="shared" si="47"/>
        <v/>
      </c>
      <c r="CH167" s="308" t="str">
        <f t="shared" si="48"/>
        <v/>
      </c>
      <c r="CI167" s="299"/>
    </row>
    <row r="168">
      <c r="A168" s="103" t="s">
        <v>257</v>
      </c>
      <c r="B168" s="104" t="s">
        <v>90</v>
      </c>
      <c r="C168" s="105">
        <v>32303.0</v>
      </c>
      <c r="D168" s="293">
        <v>0.0</v>
      </c>
      <c r="E168" s="294">
        <v>0.0</v>
      </c>
      <c r="F168" s="325"/>
      <c r="G168" s="325"/>
      <c r="H168" s="108">
        <v>0.0</v>
      </c>
      <c r="I168" s="109">
        <v>0.0</v>
      </c>
      <c r="J168" s="109">
        <v>0.0</v>
      </c>
      <c r="K168" s="109">
        <v>0.0</v>
      </c>
      <c r="L168" s="113"/>
      <c r="M168" s="113"/>
      <c r="N168" s="111">
        <v>0.0</v>
      </c>
      <c r="O168" s="298">
        <v>0.0</v>
      </c>
      <c r="P168" s="114"/>
      <c r="Q168" s="114"/>
      <c r="R168" s="121" t="str">
        <f t="shared" si="11"/>
        <v/>
      </c>
      <c r="S168" s="116">
        <f t="shared" si="12"/>
        <v>0.526225767</v>
      </c>
      <c r="T168" s="130"/>
      <c r="U168" s="118">
        <f t="shared" si="13"/>
        <v>0.3468166667</v>
      </c>
      <c r="V168" s="148"/>
      <c r="W168" s="120">
        <f t="shared" si="14"/>
        <v>1</v>
      </c>
      <c r="X168" s="148"/>
      <c r="Y168" s="120">
        <f t="shared" si="15"/>
        <v>1</v>
      </c>
      <c r="Z168" s="299"/>
      <c r="AA168" s="299"/>
      <c r="AB168" s="300" t="str">
        <f t="shared" si="16"/>
        <v/>
      </c>
      <c r="AC168" s="301">
        <f t="shared" si="17"/>
        <v>0.6295826791</v>
      </c>
      <c r="AD168" s="314">
        <v>0.0</v>
      </c>
      <c r="AE168" s="315">
        <v>0.0</v>
      </c>
      <c r="AF168" s="166">
        <v>0.0</v>
      </c>
      <c r="AG168" s="316">
        <v>0.0</v>
      </c>
      <c r="AH168" s="307">
        <v>0.0</v>
      </c>
      <c r="AI168" s="317">
        <v>0.0</v>
      </c>
      <c r="AJ168" s="318">
        <v>0.0</v>
      </c>
      <c r="AK168" s="319">
        <v>0.0</v>
      </c>
      <c r="AL168" s="319">
        <v>0.0</v>
      </c>
      <c r="AM168" s="320">
        <v>0.0</v>
      </c>
      <c r="AN168" s="149" t="str">
        <f>IFERROR(
  AVERAGEIFS(
    'New 20102013 LF Efficacy'!$J:$J,
    'New 20102013 LF Efficacy'!$D:$D, $A168,
    'New 20102013 LF Efficacy'!$F:$F,"DEC", 
    'New 20102013 LF Efficacy'!$W:$W,"&lt;2014",
    'New 20102013 LF Efficacy'!$AA:$AA,""),
  ""
)</f>
        <v/>
      </c>
      <c r="AO168" s="115">
        <f t="shared" si="18"/>
        <v>0.3573520833</v>
      </c>
      <c r="AP168" s="121" t="str">
        <f>IFERROR(
AVERAGEIFS(
'New 20102013 LF Efficacy'!$J:$J,
'New 20102013 LF Efficacy'!$D:$D,$A168,
'New 20102013 LF Efficacy'!$F:$F,"Albendazole &amp; DEC",
'New 20102013 LF Efficacy'!$W:$W,"&lt;2014",
'New 20102013 LF Efficacy'!$AA:$AA,""),
"")
</f>
        <v/>
      </c>
      <c r="AQ168" s="115">
        <f t="shared" si="19"/>
        <v>0.5137291667</v>
      </c>
      <c r="AR168" s="121" t="str">
        <f>IFERROR(
AVERAGEIFS(
'New 20102013 LF Efficacy'!$J:$J,
'New 20102013 LF Efficacy'!$D:$D,$A168,
'New 20102013 LF Efficacy'!$F:$F,"Albendazole &amp; Ivermectin", 
'New 20102013 LF Efficacy'!$W:$W,"&lt;2014",
'New 20102013 LF Efficacy'!$AA:$AA,""),"")</f>
        <v/>
      </c>
      <c r="AS168" s="115">
        <f t="shared" si="20"/>
        <v>0.37153125</v>
      </c>
      <c r="AT168" s="130" t="str">
        <f>IFERROR(AVERAGEIFS(
'20102013 Schist Efficacy'!$O:$O, 
'20102013 Schist Efficacy'!$C:$C,$A168, 
'20102013 Schist Efficacy'!$D:$D, "Praziquantel",
'20102013 Schist Efficacy'!$J:$J,"&lt;2014",
'20102013 Schist Efficacy'!$U:$U,""),
"")</f>
        <v/>
      </c>
      <c r="AU168" s="118">
        <f t="shared" si="21"/>
        <v>0.655</v>
      </c>
      <c r="AV168" s="131" t="str">
        <f>IFERROR(AVERAGEIFS(
'20102013 STH Efficacy'!$AX:$AX, 
'20102013 STH Efficacy'!$AL:$AL, $A168, 
'20102013 STH Efficacy'!$AM:$AM, "Albendazole",
'20102013 STH Efficacy'!$AS:$AS,"&lt;2014",
'20102013 STH Efficacy'!$BP:$BP,""),
"")</f>
        <v/>
      </c>
      <c r="AW168" s="132">
        <f t="shared" si="22"/>
        <v>0.3933333333</v>
      </c>
      <c r="AX168" s="131" t="str">
        <f>IFERROR(AVERAGEIFS(
'20102013 STH Efficacy'!$AX:$AX, 
'20102013 STH Efficacy'!$AL:$AL, $A168, 
'20102013 STH Efficacy'!$AM:$AM, "Mebendazole",
'20102013 STH Efficacy'!$AS:$AS,"&lt;2014",
'20102013 STH Efficacy'!$BP:$BP,""),
"")</f>
        <v/>
      </c>
      <c r="AY168" s="132">
        <f t="shared" si="23"/>
        <v>0.5017738095</v>
      </c>
      <c r="AZ168" s="131" t="str">
        <f>IFERROR(AVERAGEIFS(
'20102013 STH Efficacy'!$AX:$AX, 
'20102013 STH Efficacy'!$AL:$AL, $A168, 
'20102013 STH Efficacy'!$AM:$AM, "Albendazole &amp; Ivermectin",
'20102013 STH Efficacy'!$AS:$AS,"&lt;2014",
'20102013 STH Efficacy'!$BP:$BP,""),
"")</f>
        <v/>
      </c>
      <c r="BA168" s="303">
        <f t="shared" si="24"/>
        <v>0.597625</v>
      </c>
      <c r="BB168" s="134" t="str">
        <f>IFERROR(AVERAGEIFS(
'20102013 STH Efficacy'!$N:$N, 
'20102013 STH Efficacy'!$B:$B, $A168, 
'20102013 STH Efficacy'!$C:$C, "Albendazole",
'20102013 STH Efficacy'!$I:$I,"&lt;2014",
'20102013 STH Efficacy'!$AH:$AH,""),
"")</f>
        <v/>
      </c>
      <c r="BC168" s="135">
        <f t="shared" si="25"/>
        <v>0.7613712121</v>
      </c>
      <c r="BD168" s="134" t="str">
        <f>IFERROR(AVERAGEIFS(
'20102013 STH Efficacy'!$N:$N, 
'20102013 STH Efficacy'!$B:$B, $A168, 
'20102013 STH Efficacy'!$C:$C, "Mebendazole",
'20102013 STH Efficacy'!$I:$I,"&lt;2014",
'20102013 STH Efficacy'!$AH:$AH,""),
"")</f>
        <v/>
      </c>
      <c r="BE168" s="135">
        <f t="shared" si="26"/>
        <v>0.4362466667</v>
      </c>
      <c r="BF168" s="128" t="str">
        <f>IFERROR(AVERAGEIFS(
'20102013 STH Efficacy'!$CD:$CD, 
'20102013 STH Efficacy'!$BS:$BS, $A168, 
'20102013 STH Efficacy'!$BT:$BT, "Albendazole",
'20102013 STH Efficacy'!$BZ:$BZ,"&lt;2014",
'20102013 STH Efficacy'!$CU:$CU,""),
"")</f>
        <v/>
      </c>
      <c r="BG168" s="136">
        <f t="shared" si="27"/>
        <v>0.9216027778</v>
      </c>
      <c r="BH168" s="128" t="str">
        <f>IFERROR(AVERAGEIFS(
'20102013 STH Efficacy'!$CD:$CD, 
'20102013 STH Efficacy'!$BS:$BS, $A168, 
'20102013 STH Efficacy'!$BT:$BT, "Mebendazole",
'20102013 STH Efficacy'!$BZ:$BZ,"&lt;2014",
'20102013 STH Efficacy'!$CU:$CU,""),
"")</f>
        <v/>
      </c>
      <c r="BI168" s="136">
        <f t="shared" si="28"/>
        <v>0.9295857143</v>
      </c>
      <c r="BJ168" s="128" t="str">
        <f>IFERROR(AVERAGEIFS(
'20102013 STH Efficacy'!$CD:$CD, 
'20102013 STH Efficacy'!$BS:$BS, $A168, 
'20102013 STH Efficacy'!$BT:$BT, "Albendazole &amp; Ivermectin",
'20102013 STH Efficacy'!$BZ:$BZ,"&lt;2014",
'20102013 STH Efficacy'!$CU:$CU,""),
"")</f>
        <v/>
      </c>
      <c r="BK168" s="136">
        <f t="shared" si="29"/>
        <v>1</v>
      </c>
      <c r="BL168" s="300" t="str">
        <f>IFERROR(
  AVERAGEIFS(
    'NEW 20102013 Onchocerciasis Eff'!$AO:$AO,
    'NEW 20102013 Onchocerciasis Eff'!$C:$C,$A168,
    'NEW 20102013 Onchocerciasis Eff'!$D:$D,"Ivermectin",
    'NEW 20102013 Onchocerciasis Eff'!$AR:$AR,"&lt;2014",
    'NEW 20102013 Onchocerciasis Eff'!$BG:$BG,"")
,"")</f>
        <v/>
      </c>
      <c r="BM168" s="304">
        <f t="shared" si="30"/>
        <v>0.7808368939</v>
      </c>
      <c r="BN168" s="305">
        <v>0.0</v>
      </c>
      <c r="BO168" s="139">
        <v>1.0</v>
      </c>
      <c r="BP168" s="140">
        <v>0.0</v>
      </c>
      <c r="BQ168" s="141">
        <f t="shared" si="31"/>
        <v>0</v>
      </c>
      <c r="BR168" s="104" t="str">
        <f t="shared" si="32"/>
        <v>0100</v>
      </c>
      <c r="BS168" s="104" t="str">
        <f t="shared" si="33"/>
        <v>MDA3</v>
      </c>
      <c r="BT168" s="142" t="str">
        <f t="shared" si="34"/>
        <v>IVM</v>
      </c>
      <c r="BU168" s="104" t="str">
        <f t="shared" si="50"/>
        <v/>
      </c>
      <c r="BV168" s="104" t="str">
        <f t="shared" si="36"/>
        <v>onch only</v>
      </c>
      <c r="BW168" s="150" t="str">
        <f t="shared" si="37"/>
        <v/>
      </c>
      <c r="BX168" s="150" t="str">
        <f t="shared" si="38"/>
        <v/>
      </c>
      <c r="BY168" s="151" t="str">
        <f t="shared" si="39"/>
        <v/>
      </c>
      <c r="BZ168" s="152" t="str">
        <f t="shared" si="40"/>
        <v/>
      </c>
      <c r="CA168" s="152" t="str">
        <f t="shared" si="41"/>
        <v/>
      </c>
      <c r="CB168" s="152" t="str">
        <f t="shared" si="42"/>
        <v/>
      </c>
      <c r="CC168" s="153" t="str">
        <f t="shared" si="43"/>
        <v/>
      </c>
      <c r="CD168" s="153" t="str">
        <f t="shared" si="44"/>
        <v/>
      </c>
      <c r="CE168" s="154" t="str">
        <f t="shared" si="45"/>
        <v/>
      </c>
      <c r="CF168" s="154" t="str">
        <f t="shared" si="46"/>
        <v/>
      </c>
      <c r="CG168" s="154" t="str">
        <f t="shared" si="47"/>
        <v/>
      </c>
      <c r="CH168" s="313">
        <f t="shared" si="48"/>
        <v>0</v>
      </c>
      <c r="CI168" s="299"/>
    </row>
    <row r="169">
      <c r="A169" s="155" t="s">
        <v>258</v>
      </c>
      <c r="B169" s="104" t="s">
        <v>92</v>
      </c>
      <c r="C169" s="105">
        <v>187045.0</v>
      </c>
      <c r="D169" s="293">
        <v>463.62</v>
      </c>
      <c r="E169" s="294">
        <v>177.750716</v>
      </c>
      <c r="F169" s="307">
        <v>6.520686052</v>
      </c>
      <c r="G169" s="307">
        <v>22.87257735</v>
      </c>
      <c r="H169" s="108">
        <v>29.3932634</v>
      </c>
      <c r="I169" s="109">
        <v>10.888692</v>
      </c>
      <c r="J169" s="109">
        <v>27.897678</v>
      </c>
      <c r="K169" s="109">
        <v>38.78637006</v>
      </c>
      <c r="L169" s="112">
        <v>29.01715221</v>
      </c>
      <c r="M169" s="112">
        <v>39.74184143</v>
      </c>
      <c r="N169" s="111">
        <v>68.75899364</v>
      </c>
      <c r="O169" s="298">
        <v>0.0</v>
      </c>
      <c r="P169" s="160">
        <v>410000.0</v>
      </c>
      <c r="Q169" s="156"/>
      <c r="R169" s="121">
        <f t="shared" si="11"/>
        <v>0</v>
      </c>
      <c r="S169" s="116">
        <f t="shared" si="12"/>
        <v>0.2589669834</v>
      </c>
      <c r="T169" s="130"/>
      <c r="U169" s="118">
        <f t="shared" si="13"/>
        <v>0.252</v>
      </c>
      <c r="V169" s="148"/>
      <c r="W169" s="120">
        <f t="shared" si="14"/>
        <v>0.8114541667</v>
      </c>
      <c r="X169" s="148"/>
      <c r="Y169" s="120">
        <f t="shared" si="15"/>
        <v>0.5668291667</v>
      </c>
      <c r="Z169" s="299"/>
      <c r="AA169" s="299"/>
      <c r="AB169" s="300" t="str">
        <f t="shared" si="16"/>
        <v/>
      </c>
      <c r="AC169" s="301">
        <f t="shared" si="17"/>
        <v>0.655321236</v>
      </c>
      <c r="AD169" s="122">
        <v>0.0521</v>
      </c>
      <c r="AE169" s="123">
        <v>0.13</v>
      </c>
      <c r="AF169" s="123">
        <v>0.0438</v>
      </c>
      <c r="AG169" s="316">
        <v>0.0</v>
      </c>
      <c r="AH169" s="124">
        <v>0.326159411</v>
      </c>
      <c r="AI169" s="317">
        <v>0.0</v>
      </c>
      <c r="AJ169" s="125">
        <v>0.154498081</v>
      </c>
      <c r="AK169" s="319">
        <v>0.0</v>
      </c>
      <c r="AL169" s="319">
        <v>0.0</v>
      </c>
      <c r="AM169" s="302">
        <v>0.0</v>
      </c>
      <c r="AN169" s="149" t="str">
        <f>IFERROR(
  AVERAGEIFS(
    'New 20102013 LF Efficacy'!$J:$J,
    'New 20102013 LF Efficacy'!$D:$D, $A169,
    'New 20102013 LF Efficacy'!$F:$F,"DEC", 
    'New 20102013 LF Efficacy'!$W:$W,"&lt;2014",
    'New 20102013 LF Efficacy'!$AA:$AA,""),
  ""
)</f>
        <v/>
      </c>
      <c r="AO169" s="115">
        <f t="shared" si="18"/>
        <v>0.31225</v>
      </c>
      <c r="AP169" s="121" t="str">
        <f>IFERROR(
AVERAGEIFS(
'New 20102013 LF Efficacy'!$J:$J,
'New 20102013 LF Efficacy'!$D:$D,$A169,
'New 20102013 LF Efficacy'!$F:$F,"Albendazole &amp; DEC",
'New 20102013 LF Efficacy'!$W:$W,"&lt;2014",
'New 20102013 LF Efficacy'!$AA:$AA,""),
"")
</f>
        <v/>
      </c>
      <c r="AQ169" s="115">
        <f t="shared" si="19"/>
        <v>0.4</v>
      </c>
      <c r="AR169" s="121" t="str">
        <f>IFERROR(
AVERAGEIFS(
'New 20102013 LF Efficacy'!$J:$J,
'New 20102013 LF Efficacy'!$D:$D,$A169,
'New 20102013 LF Efficacy'!$F:$F,"Albendazole &amp; Ivermectin", 
'New 20102013 LF Efficacy'!$W:$W,"&lt;2014",
'New 20102013 LF Efficacy'!$AA:$AA,""),"")</f>
        <v/>
      </c>
      <c r="AS169" s="115">
        <f t="shared" si="20"/>
        <v>0.2943125</v>
      </c>
      <c r="AT169" s="130" t="str">
        <f>IFERROR(AVERAGEIFS(
'20102013 Schist Efficacy'!$O:$O, 
'20102013 Schist Efficacy'!$C:$C,$A169, 
'20102013 Schist Efficacy'!$D:$D, "Praziquantel",
'20102013 Schist Efficacy'!$J:$J,"&lt;2014",
'20102013 Schist Efficacy'!$U:$U,""),
"")</f>
        <v/>
      </c>
      <c r="AU169" s="118">
        <f t="shared" si="21"/>
        <v>0.7192212527</v>
      </c>
      <c r="AV169" s="131" t="str">
        <f>IFERROR(AVERAGEIFS(
'20102013 STH Efficacy'!$AX:$AX, 
'20102013 STH Efficacy'!$AL:$AL, $A169, 
'20102013 STH Efficacy'!$AM:$AM, "Albendazole",
'20102013 STH Efficacy'!$AS:$AS,"&lt;2014",
'20102013 STH Efficacy'!$BP:$BP,""),
"")</f>
        <v/>
      </c>
      <c r="AW169" s="132">
        <f t="shared" si="22"/>
        <v>0.3816333333</v>
      </c>
      <c r="AX169" s="131" t="str">
        <f>IFERROR(AVERAGEIFS(
'20102013 STH Efficacy'!$AX:$AX, 
'20102013 STH Efficacy'!$AL:$AL, $A169, 
'20102013 STH Efficacy'!$AM:$AM, "Mebendazole",
'20102013 STH Efficacy'!$AS:$AS,"&lt;2014",
'20102013 STH Efficacy'!$BP:$BP,""),
"")</f>
        <v/>
      </c>
      <c r="AY169" s="132">
        <f t="shared" si="23"/>
        <v>0.5675833333</v>
      </c>
      <c r="AZ169" s="131" t="str">
        <f>IFERROR(AVERAGEIFS(
'20102013 STH Efficacy'!$AX:$AX, 
'20102013 STH Efficacy'!$AL:$AL, $A169, 
'20102013 STH Efficacy'!$AM:$AM, "Albendazole &amp; Ivermectin",
'20102013 STH Efficacy'!$AS:$AS,"&lt;2014",
'20102013 STH Efficacy'!$BP:$BP,""),
"")</f>
        <v/>
      </c>
      <c r="BA169" s="303">
        <f t="shared" si="24"/>
        <v>0.47175</v>
      </c>
      <c r="BB169" s="134" t="str">
        <f>IFERROR(AVERAGEIFS(
'20102013 STH Efficacy'!$N:$N, 
'20102013 STH Efficacy'!$B:$B, $A169, 
'20102013 STH Efficacy'!$C:$C, "Albendazole",
'20102013 STH Efficacy'!$I:$I,"&lt;2014",
'20102013 STH Efficacy'!$AH:$AH,""),
"")</f>
        <v/>
      </c>
      <c r="BC169" s="135">
        <f t="shared" si="25"/>
        <v>0.8699166667</v>
      </c>
      <c r="BD169" s="134" t="str">
        <f>IFERROR(AVERAGEIFS(
'20102013 STH Efficacy'!$N:$N, 
'20102013 STH Efficacy'!$B:$B, $A169, 
'20102013 STH Efficacy'!$C:$C, "Mebendazole",
'20102013 STH Efficacy'!$I:$I,"&lt;2014",
'20102013 STH Efficacy'!$AH:$AH,""),
"")</f>
        <v/>
      </c>
      <c r="BE169" s="135">
        <f t="shared" si="26"/>
        <v>0.7092416667</v>
      </c>
      <c r="BF169" s="128" t="str">
        <f>IFERROR(AVERAGEIFS(
'20102013 STH Efficacy'!$CD:$CD, 
'20102013 STH Efficacy'!$BS:$BS, $A169, 
'20102013 STH Efficacy'!$BT:$BT, "Albendazole",
'20102013 STH Efficacy'!$BZ:$BZ,"&lt;2014",
'20102013 STH Efficacy'!$CU:$CU,""),
"")</f>
        <v/>
      </c>
      <c r="BG169" s="136">
        <f t="shared" si="27"/>
        <v>0.9066666667</v>
      </c>
      <c r="BH169" s="128" t="str">
        <f>IFERROR(AVERAGEIFS(
'20102013 STH Efficacy'!$CD:$CD, 
'20102013 STH Efficacy'!$BS:$BS, $A169, 
'20102013 STH Efficacy'!$BT:$BT, "Mebendazole",
'20102013 STH Efficacy'!$BZ:$BZ,"&lt;2014",
'20102013 STH Efficacy'!$CU:$CU,""),
"")</f>
        <v/>
      </c>
      <c r="BI169" s="136">
        <f t="shared" si="28"/>
        <v>0.9358666667</v>
      </c>
      <c r="BJ169" s="128" t="str">
        <f>IFERROR(AVERAGEIFS(
'20102013 STH Efficacy'!$CD:$CD, 
'20102013 STH Efficacy'!$BS:$BS, $A169, 
'20102013 STH Efficacy'!$BT:$BT, "Albendazole &amp; Ivermectin",
'20102013 STH Efficacy'!$BZ:$BZ,"&lt;2014",
'20102013 STH Efficacy'!$CU:$CU,""),
"")</f>
        <v/>
      </c>
      <c r="BK169" s="136">
        <f t="shared" si="29"/>
        <v>1</v>
      </c>
      <c r="BL169" s="300" t="str">
        <f>IFERROR(
  AVERAGEIFS(
    'NEW 20102013 Onchocerciasis Eff'!$AO:$AO,
    'NEW 20102013 Onchocerciasis Eff'!$C:$C,$A169,
    'NEW 20102013 Onchocerciasis Eff'!$D:$D,"Ivermectin",
    'NEW 20102013 Onchocerciasis Eff'!$AR:$AR,"&lt;2014",
    'NEW 20102013 Onchocerciasis Eff'!$BG:$BG,"")
,"")</f>
        <v/>
      </c>
      <c r="BM169" s="304">
        <f t="shared" si="30"/>
        <v>0.8390421645</v>
      </c>
      <c r="BN169" s="305">
        <v>1.0</v>
      </c>
      <c r="BO169" s="139">
        <v>0.0</v>
      </c>
      <c r="BP169" s="140">
        <v>1.0</v>
      </c>
      <c r="BQ169" s="141">
        <f t="shared" si="31"/>
        <v>0</v>
      </c>
      <c r="BR169" s="104" t="str">
        <f t="shared" si="32"/>
        <v>1010</v>
      </c>
      <c r="BS169" s="104" t="str">
        <f t="shared" si="33"/>
        <v>MDA1/2+T2</v>
      </c>
      <c r="BT169" s="142" t="str">
        <f t="shared" si="34"/>
        <v>DEC +ALB</v>
      </c>
      <c r="BU169" s="104" t="str">
        <f t="shared" si="50"/>
        <v>PZQ</v>
      </c>
      <c r="BV169" s="104" t="str">
        <f t="shared" si="36"/>
        <v>lf+schist </v>
      </c>
      <c r="BW169" s="150" t="str">
        <f t="shared" si="37"/>
        <v/>
      </c>
      <c r="BX169" s="150" t="str">
        <f t="shared" si="38"/>
        <v/>
      </c>
      <c r="BY169" s="162">
        <f t="shared" si="39"/>
        <v>39.34773941</v>
      </c>
      <c r="BZ169" s="152" t="str">
        <f t="shared" si="40"/>
        <v/>
      </c>
      <c r="CA169" s="152" t="str">
        <f t="shared" si="41"/>
        <v/>
      </c>
      <c r="CB169" s="152" t="str">
        <f t="shared" si="42"/>
        <v/>
      </c>
      <c r="CC169" s="153" t="str">
        <f t="shared" si="43"/>
        <v/>
      </c>
      <c r="CD169" s="153" t="str">
        <f t="shared" si="44"/>
        <v/>
      </c>
      <c r="CE169" s="154" t="str">
        <f t="shared" si="45"/>
        <v/>
      </c>
      <c r="CF169" s="154" t="str">
        <f t="shared" si="46"/>
        <v/>
      </c>
      <c r="CG169" s="154" t="str">
        <f t="shared" si="47"/>
        <v/>
      </c>
      <c r="CH169" s="308" t="str">
        <f t="shared" si="48"/>
        <v/>
      </c>
      <c r="CI169" s="299"/>
    </row>
    <row r="170">
      <c r="A170" s="103" t="s">
        <v>259</v>
      </c>
      <c r="B170" s="104" t="s">
        <v>88</v>
      </c>
      <c r="C170" s="105">
        <v>2.9944476E7</v>
      </c>
      <c r="D170" s="293">
        <v>0.0</v>
      </c>
      <c r="E170" s="294">
        <v>461.2503367</v>
      </c>
      <c r="F170" s="309">
        <v>0.007382846</v>
      </c>
      <c r="G170" s="309">
        <v>0.049993668</v>
      </c>
      <c r="H170" s="108">
        <v>0.057376514</v>
      </c>
      <c r="I170" s="109">
        <v>145.488211</v>
      </c>
      <c r="J170" s="110">
        <v>360.318564</v>
      </c>
      <c r="K170" s="109">
        <v>505.8067754</v>
      </c>
      <c r="L170" s="112">
        <v>24.37505508</v>
      </c>
      <c r="M170" s="112">
        <v>36.36450516</v>
      </c>
      <c r="N170" s="111">
        <v>60.73956023</v>
      </c>
      <c r="O170" s="298">
        <v>0.0</v>
      </c>
      <c r="P170" s="114"/>
      <c r="Q170" s="114"/>
      <c r="R170" s="121" t="str">
        <f t="shared" si="11"/>
        <v/>
      </c>
      <c r="S170" s="116">
        <f t="shared" si="12"/>
        <v>0.4713987966</v>
      </c>
      <c r="T170" s="118">
        <v>0.4234</v>
      </c>
      <c r="U170" s="118">
        <f t="shared" si="13"/>
        <v>0.4234</v>
      </c>
      <c r="V170" s="148"/>
      <c r="W170" s="120">
        <f t="shared" si="14"/>
        <v>0.9216</v>
      </c>
      <c r="X170" s="148"/>
      <c r="Y170" s="120">
        <f t="shared" si="15"/>
        <v>0.521</v>
      </c>
      <c r="Z170" s="299"/>
      <c r="AA170" s="299"/>
      <c r="AB170" s="300" t="str">
        <f t="shared" si="16"/>
        <v/>
      </c>
      <c r="AC170" s="301">
        <f t="shared" si="17"/>
        <v>0.3122297241</v>
      </c>
      <c r="AD170" s="122">
        <v>0.0</v>
      </c>
      <c r="AE170" s="123">
        <v>0.0</v>
      </c>
      <c r="AF170" s="123">
        <v>0.0</v>
      </c>
      <c r="AG170" s="316">
        <v>0.0</v>
      </c>
      <c r="AH170" s="124">
        <v>0.008834433</v>
      </c>
      <c r="AI170" s="317">
        <v>0.0</v>
      </c>
      <c r="AJ170" s="125">
        <v>0.023395311</v>
      </c>
      <c r="AK170" s="319">
        <v>0.0</v>
      </c>
      <c r="AL170" s="319">
        <v>0.0</v>
      </c>
      <c r="AM170" s="302">
        <v>0.0</v>
      </c>
      <c r="AN170" s="149" t="str">
        <f>IFERROR(
  AVERAGEIFS(
    'New 20102013 LF Efficacy'!$J:$J,
    'New 20102013 LF Efficacy'!$D:$D, $A170,
    'New 20102013 LF Efficacy'!$F:$F,"DEC", 
    'New 20102013 LF Efficacy'!$W:$W,"&lt;2014",
    'New 20102013 LF Efficacy'!$AA:$AA,""),
  ""
)</f>
        <v/>
      </c>
      <c r="AO170" s="115">
        <f t="shared" si="18"/>
        <v>0.3573520833</v>
      </c>
      <c r="AP170" s="121" t="str">
        <f>IFERROR(
AVERAGEIFS(
'New 20102013 LF Efficacy'!$J:$J,
'New 20102013 LF Efficacy'!$D:$D,$A170,
'New 20102013 LF Efficacy'!$F:$F,"Albendazole &amp; DEC",
'New 20102013 LF Efficacy'!$W:$W,"&lt;2014",
'New 20102013 LF Efficacy'!$AA:$AA,""),
"")
</f>
        <v/>
      </c>
      <c r="AQ170" s="115">
        <f t="shared" si="19"/>
        <v>0.7935</v>
      </c>
      <c r="AR170" s="121" t="str">
        <f>IFERROR(
AVERAGEIFS(
'New 20102013 LF Efficacy'!$J:$J,
'New 20102013 LF Efficacy'!$D:$D,$A170,
'New 20102013 LF Efficacy'!$F:$F,"Albendazole &amp; Ivermectin", 
'New 20102013 LF Efficacy'!$W:$W,"&lt;2014",
'New 20102013 LF Efficacy'!$AA:$AA,""),"")</f>
        <v/>
      </c>
      <c r="AS170" s="115">
        <f t="shared" si="20"/>
        <v>0.37153125</v>
      </c>
      <c r="AT170" s="130">
        <f>IFERROR(AVERAGEIFS(
'20102013 Schist Efficacy'!$O:$O, 
'20102013 Schist Efficacy'!$C:$C,$A170, 
'20102013 Schist Efficacy'!$D:$D, "Praziquantel",
'20102013 Schist Efficacy'!$J:$J,"&lt;2014",
'20102013 Schist Efficacy'!$U:$U,""),
"")</f>
        <v>0.96</v>
      </c>
      <c r="AU170" s="118">
        <f t="shared" si="21"/>
        <v>0.96</v>
      </c>
      <c r="AV170" s="131" t="str">
        <f>IFERROR(AVERAGEIFS(
'20102013 STH Efficacy'!$AX:$AX, 
'20102013 STH Efficacy'!$AL:$AL, $A170, 
'20102013 STH Efficacy'!$AM:$AM, "Albendazole",
'20102013 STH Efficacy'!$AS:$AS,"&lt;2014",
'20102013 STH Efficacy'!$BP:$BP,""),
"")</f>
        <v/>
      </c>
      <c r="AW170" s="132">
        <f t="shared" si="22"/>
        <v>0.3933333333</v>
      </c>
      <c r="AX170" s="131" t="str">
        <f>IFERROR(AVERAGEIFS(
'20102013 STH Efficacy'!$AX:$AX, 
'20102013 STH Efficacy'!$AL:$AL, $A170, 
'20102013 STH Efficacy'!$AM:$AM, "Mebendazole",
'20102013 STH Efficacy'!$AS:$AS,"&lt;2014",
'20102013 STH Efficacy'!$BP:$BP,""),
"")</f>
        <v/>
      </c>
      <c r="AY170" s="132">
        <f t="shared" si="23"/>
        <v>0.5017738095</v>
      </c>
      <c r="AZ170" s="131" t="str">
        <f>IFERROR(AVERAGEIFS(
'20102013 STH Efficacy'!$AX:$AX, 
'20102013 STH Efficacy'!$AL:$AL, $A170, 
'20102013 STH Efficacy'!$AM:$AM, "Albendazole &amp; Ivermectin",
'20102013 STH Efficacy'!$AS:$AS,"&lt;2014",
'20102013 STH Efficacy'!$BP:$BP,""),
"")</f>
        <v/>
      </c>
      <c r="BA170" s="303">
        <f t="shared" si="24"/>
        <v>0.597625</v>
      </c>
      <c r="BB170" s="134" t="str">
        <f>IFERROR(AVERAGEIFS(
'20102013 STH Efficacy'!$N:$N, 
'20102013 STH Efficacy'!$B:$B, $A170, 
'20102013 STH Efficacy'!$C:$C, "Albendazole",
'20102013 STH Efficacy'!$I:$I,"&lt;2014",
'20102013 STH Efficacy'!$AH:$AH,""),
"")</f>
        <v/>
      </c>
      <c r="BC170" s="135">
        <f t="shared" si="25"/>
        <v>0.7613712121</v>
      </c>
      <c r="BD170" s="134" t="str">
        <f>IFERROR(AVERAGEIFS(
'20102013 STH Efficacy'!$N:$N, 
'20102013 STH Efficacy'!$B:$B, $A170, 
'20102013 STH Efficacy'!$C:$C, "Mebendazole",
'20102013 STH Efficacy'!$I:$I,"&lt;2014",
'20102013 STH Efficacy'!$AH:$AH,""),
"")</f>
        <v/>
      </c>
      <c r="BE170" s="135">
        <f t="shared" si="26"/>
        <v>0.4362466667</v>
      </c>
      <c r="BF170" s="128" t="str">
        <f>IFERROR(AVERAGEIFS(
'20102013 STH Efficacy'!$CD:$CD, 
'20102013 STH Efficacy'!$BS:$BS, $A170, 
'20102013 STH Efficacy'!$BT:$BT, "Albendazole",
'20102013 STH Efficacy'!$BZ:$BZ,"&lt;2014",
'20102013 STH Efficacy'!$CU:$CU,""),
"")</f>
        <v/>
      </c>
      <c r="BG170" s="136">
        <f t="shared" si="27"/>
        <v>0.955</v>
      </c>
      <c r="BH170" s="128" t="str">
        <f>IFERROR(AVERAGEIFS(
'20102013 STH Efficacy'!$CD:$CD, 
'20102013 STH Efficacy'!$BS:$BS, $A170, 
'20102013 STH Efficacy'!$BT:$BT, "Mebendazole",
'20102013 STH Efficacy'!$BZ:$BZ,"&lt;2014",
'20102013 STH Efficacy'!$CU:$CU,""),
"")</f>
        <v/>
      </c>
      <c r="BI170" s="136">
        <f t="shared" si="28"/>
        <v>1</v>
      </c>
      <c r="BJ170" s="128" t="str">
        <f>IFERROR(AVERAGEIFS(
'20102013 STH Efficacy'!$CD:$CD, 
'20102013 STH Efficacy'!$BS:$BS, $A170, 
'20102013 STH Efficacy'!$BT:$BT, "Albendazole &amp; Ivermectin",
'20102013 STH Efficacy'!$BZ:$BZ,"&lt;2014",
'20102013 STH Efficacy'!$CU:$CU,""),
"")</f>
        <v/>
      </c>
      <c r="BK170" s="136">
        <f t="shared" si="29"/>
        <v>1</v>
      </c>
      <c r="BL170" s="300" t="str">
        <f>IFERROR(
  AVERAGEIFS(
    'NEW 20102013 Onchocerciasis Eff'!$AO:$AO,
    'NEW 20102013 Onchocerciasis Eff'!$C:$C,$A170,
    'NEW 20102013 Onchocerciasis Eff'!$D:$D,"Ivermectin",
    'NEW 20102013 Onchocerciasis Eff'!$AR:$AR,"&lt;2014",
    'NEW 20102013 Onchocerciasis Eff'!$BG:$BG,"")
,"")</f>
        <v/>
      </c>
      <c r="BM170" s="304">
        <f t="shared" si="30"/>
        <v>0.7808368939</v>
      </c>
      <c r="BN170" s="305">
        <v>0.0</v>
      </c>
      <c r="BO170" s="139">
        <v>1.0</v>
      </c>
      <c r="BP170" s="140">
        <v>0.0</v>
      </c>
      <c r="BQ170" s="141">
        <f t="shared" si="31"/>
        <v>0</v>
      </c>
      <c r="BR170" s="104" t="str">
        <f t="shared" si="32"/>
        <v>0100</v>
      </c>
      <c r="BS170" s="104" t="str">
        <f t="shared" si="33"/>
        <v>MDA3</v>
      </c>
      <c r="BT170" s="142" t="str">
        <f t="shared" si="34"/>
        <v>IVM</v>
      </c>
      <c r="BU170" s="104" t="str">
        <f t="shared" si="50"/>
        <v/>
      </c>
      <c r="BV170" s="104" t="str">
        <f t="shared" si="36"/>
        <v>onch only</v>
      </c>
      <c r="BW170" s="150" t="str">
        <f t="shared" si="37"/>
        <v/>
      </c>
      <c r="BX170" s="150" t="str">
        <f t="shared" si="38"/>
        <v/>
      </c>
      <c r="BY170" s="151" t="str">
        <f t="shared" si="39"/>
        <v/>
      </c>
      <c r="BZ170" s="152" t="str">
        <f t="shared" si="40"/>
        <v/>
      </c>
      <c r="CA170" s="152" t="str">
        <f t="shared" si="41"/>
        <v/>
      </c>
      <c r="CB170" s="152" t="str">
        <f t="shared" si="42"/>
        <v/>
      </c>
      <c r="CC170" s="153" t="str">
        <f t="shared" si="43"/>
        <v/>
      </c>
      <c r="CD170" s="153" t="str">
        <f t="shared" si="44"/>
        <v/>
      </c>
      <c r="CE170" s="154" t="str">
        <f t="shared" si="45"/>
        <v/>
      </c>
      <c r="CF170" s="154" t="str">
        <f t="shared" si="46"/>
        <v/>
      </c>
      <c r="CG170" s="154" t="str">
        <f t="shared" si="47"/>
        <v/>
      </c>
      <c r="CH170" s="313">
        <f t="shared" si="48"/>
        <v>0</v>
      </c>
      <c r="CI170" s="299"/>
    </row>
    <row r="171">
      <c r="A171" s="103" t="s">
        <v>260</v>
      </c>
      <c r="B171" s="104" t="s">
        <v>92</v>
      </c>
      <c r="C171" s="105">
        <v>1.412032E7</v>
      </c>
      <c r="D171" s="293">
        <v>10424.9</v>
      </c>
      <c r="E171" s="294">
        <v>30570.89323</v>
      </c>
      <c r="F171" s="295">
        <v>13.79749342</v>
      </c>
      <c r="G171" s="295">
        <v>52.82937983</v>
      </c>
      <c r="H171" s="108">
        <v>66.62687325</v>
      </c>
      <c r="I171" s="109">
        <v>150.499512</v>
      </c>
      <c r="J171" s="109">
        <v>370.052282</v>
      </c>
      <c r="K171" s="110">
        <v>520.5517937</v>
      </c>
      <c r="L171" s="111">
        <v>961.1141914</v>
      </c>
      <c r="M171" s="112">
        <v>149.4863202</v>
      </c>
      <c r="N171" s="111">
        <v>1110.600512</v>
      </c>
      <c r="O171" s="298">
        <v>0.0</v>
      </c>
      <c r="P171" s="160">
        <v>8114652.0</v>
      </c>
      <c r="Q171" s="160">
        <v>732268.0</v>
      </c>
      <c r="R171" s="121">
        <f t="shared" si="11"/>
        <v>0.09024022225</v>
      </c>
      <c r="S171" s="116">
        <f t="shared" si="12"/>
        <v>0.09024022225</v>
      </c>
      <c r="T171" s="130"/>
      <c r="U171" s="118">
        <f t="shared" si="13"/>
        <v>0.252</v>
      </c>
      <c r="V171" s="119">
        <v>7.0E-4</v>
      </c>
      <c r="W171" s="120">
        <f t="shared" si="14"/>
        <v>0.0007</v>
      </c>
      <c r="X171" s="119">
        <v>0.0688</v>
      </c>
      <c r="Y171" s="120">
        <f t="shared" si="15"/>
        <v>0.0688</v>
      </c>
      <c r="Z171" s="310">
        <v>180485.0</v>
      </c>
      <c r="AA171" s="310">
        <v>120438.0</v>
      </c>
      <c r="AB171" s="300">
        <f t="shared" si="16"/>
        <v>0.6673019919</v>
      </c>
      <c r="AC171" s="301">
        <f t="shared" si="17"/>
        <v>0.6673019919</v>
      </c>
      <c r="AD171" s="122">
        <v>0.0106</v>
      </c>
      <c r="AE171" s="123">
        <v>0.23</v>
      </c>
      <c r="AF171" s="123">
        <v>0.0771</v>
      </c>
      <c r="AG171" s="316">
        <v>0.0</v>
      </c>
      <c r="AH171" s="124">
        <v>0.083123568</v>
      </c>
      <c r="AI171" s="317">
        <v>0.0</v>
      </c>
      <c r="AJ171" s="125">
        <v>0.034007968</v>
      </c>
      <c r="AK171" s="319">
        <v>0.0</v>
      </c>
      <c r="AL171" s="319">
        <v>0.0</v>
      </c>
      <c r="AM171" s="302">
        <v>0.0</v>
      </c>
      <c r="AN171" s="149" t="str">
        <f>IFERROR(
  AVERAGEIFS(
    'New 20102013 LF Efficacy'!$J:$J,
    'New 20102013 LF Efficacy'!$D:$D, $A171,
    'New 20102013 LF Efficacy'!$F:$F,"DEC", 
    'New 20102013 LF Efficacy'!$W:$W,"&lt;2014",
    'New 20102013 LF Efficacy'!$AA:$AA,""),
  ""
)</f>
        <v/>
      </c>
      <c r="AO171" s="115">
        <f t="shared" si="18"/>
        <v>0.31225</v>
      </c>
      <c r="AP171" s="121" t="str">
        <f>IFERROR(
AVERAGEIFS(
'New 20102013 LF Efficacy'!$J:$J,
'New 20102013 LF Efficacy'!$D:$D,$A171,
'New 20102013 LF Efficacy'!$F:$F,"Albendazole &amp; DEC",
'New 20102013 LF Efficacy'!$W:$W,"&lt;2014",
'New 20102013 LF Efficacy'!$AA:$AA,""),
"")
</f>
        <v/>
      </c>
      <c r="AQ171" s="115">
        <f t="shared" si="19"/>
        <v>0.4</v>
      </c>
      <c r="AR171" s="121" t="str">
        <f>IFERROR(
AVERAGEIFS(
'New 20102013 LF Efficacy'!$J:$J,
'New 20102013 LF Efficacy'!$D:$D,$A171,
'New 20102013 LF Efficacy'!$F:$F,"Albendazole &amp; Ivermectin", 
'New 20102013 LF Efficacy'!$W:$W,"&lt;2014",
'New 20102013 LF Efficacy'!$AA:$AA,""),"")</f>
        <v/>
      </c>
      <c r="AS171" s="115">
        <f t="shared" si="20"/>
        <v>0.2943125</v>
      </c>
      <c r="AT171" s="130">
        <f>IFERROR(AVERAGEIFS(
'20102013 Schist Efficacy'!$O:$O, 
'20102013 Schist Efficacy'!$C:$C,$A171, 
'20102013 Schist Efficacy'!$D:$D, "Praziquantel",
'20102013 Schist Efficacy'!$J:$J,"&lt;2014",
'20102013 Schist Efficacy'!$U:$U,""),
"")</f>
        <v>0.7049090909</v>
      </c>
      <c r="AU171" s="118">
        <f t="shared" si="21"/>
        <v>0.7049090909</v>
      </c>
      <c r="AV171" s="131" t="str">
        <f>IFERROR(AVERAGEIFS(
'20102013 STH Efficacy'!$AX:$AX, 
'20102013 STH Efficacy'!$AL:$AL, $A171, 
'20102013 STH Efficacy'!$AM:$AM, "Albendazole",
'20102013 STH Efficacy'!$AS:$AS,"&lt;2014",
'20102013 STH Efficacy'!$BP:$BP,""),
"")</f>
        <v/>
      </c>
      <c r="AW171" s="132">
        <f t="shared" si="22"/>
        <v>0.3816333333</v>
      </c>
      <c r="AX171" s="131" t="str">
        <f>IFERROR(AVERAGEIFS(
'20102013 STH Efficacy'!$AX:$AX, 
'20102013 STH Efficacy'!$AL:$AL, $A171, 
'20102013 STH Efficacy'!$AM:$AM, "Mebendazole",
'20102013 STH Efficacy'!$AS:$AS,"&lt;2014",
'20102013 STH Efficacy'!$BP:$BP,""),
"")</f>
        <v/>
      </c>
      <c r="AY171" s="132">
        <f t="shared" si="23"/>
        <v>0.5675833333</v>
      </c>
      <c r="AZ171" s="131" t="str">
        <f>IFERROR(AVERAGEIFS(
'20102013 STH Efficacy'!$AX:$AX, 
'20102013 STH Efficacy'!$AL:$AL, $A171, 
'20102013 STH Efficacy'!$AM:$AM, "Albendazole &amp; Ivermectin",
'20102013 STH Efficacy'!$AS:$AS,"&lt;2014",
'20102013 STH Efficacy'!$BP:$BP,""),
"")</f>
        <v/>
      </c>
      <c r="BA171" s="303">
        <f t="shared" si="24"/>
        <v>0.47175</v>
      </c>
      <c r="BB171" s="134" t="str">
        <f>IFERROR(AVERAGEIFS(
'20102013 STH Efficacy'!$N:$N, 
'20102013 STH Efficacy'!$B:$B, $A171, 
'20102013 STH Efficacy'!$C:$C, "Albendazole",
'20102013 STH Efficacy'!$I:$I,"&lt;2014",
'20102013 STH Efficacy'!$AH:$AH,""),
"")</f>
        <v/>
      </c>
      <c r="BC171" s="135">
        <f t="shared" si="25"/>
        <v>0.8699166667</v>
      </c>
      <c r="BD171" s="134" t="str">
        <f>IFERROR(AVERAGEIFS(
'20102013 STH Efficacy'!$N:$N, 
'20102013 STH Efficacy'!$B:$B, $A171, 
'20102013 STH Efficacy'!$C:$C, "Mebendazole",
'20102013 STH Efficacy'!$I:$I,"&lt;2014",
'20102013 STH Efficacy'!$AH:$AH,""),
"")</f>
        <v/>
      </c>
      <c r="BE171" s="135">
        <f t="shared" si="26"/>
        <v>0.7092416667</v>
      </c>
      <c r="BF171" s="128" t="str">
        <f>IFERROR(AVERAGEIFS(
'20102013 STH Efficacy'!$CD:$CD, 
'20102013 STH Efficacy'!$BS:$BS, $A171, 
'20102013 STH Efficacy'!$BT:$BT, "Albendazole",
'20102013 STH Efficacy'!$BZ:$BZ,"&lt;2014",
'20102013 STH Efficacy'!$CU:$CU,""),
"")</f>
        <v/>
      </c>
      <c r="BG171" s="136">
        <f t="shared" si="27"/>
        <v>0.9066666667</v>
      </c>
      <c r="BH171" s="128" t="str">
        <f>IFERROR(AVERAGEIFS(
'20102013 STH Efficacy'!$CD:$CD, 
'20102013 STH Efficacy'!$BS:$BS, $A171, 
'20102013 STH Efficacy'!$BT:$BT, "Mebendazole",
'20102013 STH Efficacy'!$BZ:$BZ,"&lt;2014",
'20102013 STH Efficacy'!$CU:$CU,""),
"")</f>
        <v/>
      </c>
      <c r="BI171" s="136">
        <f t="shared" si="28"/>
        <v>0.9358666667</v>
      </c>
      <c r="BJ171" s="128" t="str">
        <f>IFERROR(AVERAGEIFS(
'20102013 STH Efficacy'!$CD:$CD, 
'20102013 STH Efficacy'!$BS:$BS, $A171, 
'20102013 STH Efficacy'!$BT:$BT, "Albendazole &amp; Ivermectin",
'20102013 STH Efficacy'!$BZ:$BZ,"&lt;2014",
'20102013 STH Efficacy'!$CU:$CU,""),
"")</f>
        <v/>
      </c>
      <c r="BK171" s="136">
        <f t="shared" si="29"/>
        <v>1</v>
      </c>
      <c r="BL171" s="300">
        <f>IFERROR(
  AVERAGEIFS(
    'NEW 20102013 Onchocerciasis Eff'!$AO:$AO,
    'NEW 20102013 Onchocerciasis Eff'!$C:$C,$A171,
    'NEW 20102013 Onchocerciasis Eff'!$D:$D,"Ivermectin",
    'NEW 20102013 Onchocerciasis Eff'!$AR:$AR,"&lt;2014",
    'NEW 20102013 Onchocerciasis Eff'!$BG:$BG,"")
,"")</f>
        <v>0.66494</v>
      </c>
      <c r="BM171" s="304">
        <f t="shared" si="30"/>
        <v>0.66494</v>
      </c>
      <c r="BN171" s="305">
        <v>1.0</v>
      </c>
      <c r="BO171" s="139">
        <v>0.0</v>
      </c>
      <c r="BP171" s="140">
        <v>1.0</v>
      </c>
      <c r="BQ171" s="141">
        <f t="shared" si="31"/>
        <v>0</v>
      </c>
      <c r="BR171" s="104" t="str">
        <f t="shared" si="32"/>
        <v>1010</v>
      </c>
      <c r="BS171" s="104" t="str">
        <f t="shared" si="33"/>
        <v>MDA1/2+T2</v>
      </c>
      <c r="BT171" s="142" t="str">
        <f t="shared" si="34"/>
        <v>DEC +ALB</v>
      </c>
      <c r="BU171" s="104" t="str">
        <f t="shared" si="50"/>
        <v>PZQ</v>
      </c>
      <c r="BV171" s="104" t="str">
        <f t="shared" si="36"/>
        <v>lf+schist </v>
      </c>
      <c r="BW171" s="150" t="str">
        <f t="shared" si="37"/>
        <v/>
      </c>
      <c r="BX171" s="150" t="str">
        <f t="shared" si="38"/>
        <v/>
      </c>
      <c r="BY171" s="162">
        <f t="shared" si="39"/>
        <v>6603.562101</v>
      </c>
      <c r="BZ171" s="152" t="str">
        <f t="shared" si="40"/>
        <v/>
      </c>
      <c r="CA171" s="152" t="str">
        <f t="shared" si="41"/>
        <v/>
      </c>
      <c r="CB171" s="152" t="str">
        <f t="shared" si="42"/>
        <v/>
      </c>
      <c r="CC171" s="153" t="str">
        <f t="shared" si="43"/>
        <v/>
      </c>
      <c r="CD171" s="153" t="str">
        <f t="shared" si="44"/>
        <v/>
      </c>
      <c r="CE171" s="154" t="str">
        <f t="shared" si="45"/>
        <v/>
      </c>
      <c r="CF171" s="154" t="str">
        <f t="shared" si="46"/>
        <v/>
      </c>
      <c r="CG171" s="154" t="str">
        <f t="shared" si="47"/>
        <v/>
      </c>
      <c r="CH171" s="308" t="str">
        <f t="shared" si="48"/>
        <v/>
      </c>
      <c r="CI171" s="299"/>
    </row>
    <row r="172">
      <c r="A172" s="155" t="s">
        <v>261</v>
      </c>
      <c r="B172" s="104" t="s">
        <v>90</v>
      </c>
      <c r="C172" s="105">
        <v>7164132.0</v>
      </c>
      <c r="D172" s="293">
        <v>0.0</v>
      </c>
      <c r="E172" s="294">
        <v>0.0</v>
      </c>
      <c r="F172" s="309">
        <v>0.0</v>
      </c>
      <c r="G172" s="309">
        <v>0.0</v>
      </c>
      <c r="H172" s="108">
        <v>0.0</v>
      </c>
      <c r="I172" s="109">
        <v>0.0</v>
      </c>
      <c r="J172" s="109">
        <v>0.0</v>
      </c>
      <c r="K172" s="109">
        <v>0.0</v>
      </c>
      <c r="L172" s="112">
        <v>0.420605993</v>
      </c>
      <c r="M172" s="112">
        <v>0.212510728</v>
      </c>
      <c r="N172" s="111">
        <v>0.63311672</v>
      </c>
      <c r="O172" s="298">
        <v>0.0</v>
      </c>
      <c r="P172" s="114"/>
      <c r="Q172" s="114"/>
      <c r="R172" s="121" t="str">
        <f t="shared" si="11"/>
        <v/>
      </c>
      <c r="S172" s="116">
        <f t="shared" si="12"/>
        <v>0.526225767</v>
      </c>
      <c r="T172" s="130"/>
      <c r="U172" s="118">
        <f t="shared" si="13"/>
        <v>0.3468166667</v>
      </c>
      <c r="V172" s="148"/>
      <c r="W172" s="120">
        <f t="shared" si="14"/>
        <v>1</v>
      </c>
      <c r="X172" s="148"/>
      <c r="Y172" s="120">
        <f t="shared" si="15"/>
        <v>1</v>
      </c>
      <c r="Z172" s="299"/>
      <c r="AA172" s="299"/>
      <c r="AB172" s="300" t="str">
        <f t="shared" si="16"/>
        <v/>
      </c>
      <c r="AC172" s="301">
        <f t="shared" si="17"/>
        <v>0.6295826791</v>
      </c>
      <c r="AD172" s="122">
        <v>0.0</v>
      </c>
      <c r="AE172" s="123">
        <v>0.0</v>
      </c>
      <c r="AF172" s="123">
        <v>0.0</v>
      </c>
      <c r="AG172" s="316">
        <v>0.0</v>
      </c>
      <c r="AH172" s="124">
        <v>0.0</v>
      </c>
      <c r="AI172" s="317">
        <v>0.0</v>
      </c>
      <c r="AJ172" s="125">
        <v>0.0</v>
      </c>
      <c r="AK172" s="319">
        <v>0.0</v>
      </c>
      <c r="AL172" s="319">
        <v>0.0</v>
      </c>
      <c r="AM172" s="302">
        <v>0.0</v>
      </c>
      <c r="AN172" s="149" t="str">
        <f>IFERROR(
  AVERAGEIFS(
    'New 20102013 LF Efficacy'!$J:$J,
    'New 20102013 LF Efficacy'!$D:$D, $A172,
    'New 20102013 LF Efficacy'!$F:$F,"DEC", 
    'New 20102013 LF Efficacy'!$W:$W,"&lt;2014",
    'New 20102013 LF Efficacy'!$AA:$AA,""),
  ""
)</f>
        <v/>
      </c>
      <c r="AO172" s="115">
        <f t="shared" si="18"/>
        <v>0.3573520833</v>
      </c>
      <c r="AP172" s="121" t="str">
        <f>IFERROR(
AVERAGEIFS(
'New 20102013 LF Efficacy'!$J:$J,
'New 20102013 LF Efficacy'!$D:$D,$A172,
'New 20102013 LF Efficacy'!$F:$F,"Albendazole &amp; DEC",
'New 20102013 LF Efficacy'!$W:$W,"&lt;2014",
'New 20102013 LF Efficacy'!$AA:$AA,""),
"")
</f>
        <v/>
      </c>
      <c r="AQ172" s="115">
        <f t="shared" si="19"/>
        <v>0.5137291667</v>
      </c>
      <c r="AR172" s="121" t="str">
        <f>IFERROR(
AVERAGEIFS(
'New 20102013 LF Efficacy'!$J:$J,
'New 20102013 LF Efficacy'!$D:$D,$A172,
'New 20102013 LF Efficacy'!$F:$F,"Albendazole &amp; Ivermectin", 
'New 20102013 LF Efficacy'!$W:$W,"&lt;2014",
'New 20102013 LF Efficacy'!$AA:$AA,""),"")</f>
        <v/>
      </c>
      <c r="AS172" s="115">
        <f t="shared" si="20"/>
        <v>0.37153125</v>
      </c>
      <c r="AT172" s="130" t="str">
        <f>IFERROR(AVERAGEIFS(
'20102013 Schist Efficacy'!$O:$O, 
'20102013 Schist Efficacy'!$C:$C,$A172, 
'20102013 Schist Efficacy'!$D:$D, "Praziquantel",
'20102013 Schist Efficacy'!$J:$J,"&lt;2014",
'20102013 Schist Efficacy'!$U:$U,""),
"")</f>
        <v/>
      </c>
      <c r="AU172" s="118">
        <f t="shared" si="21"/>
        <v>0.655</v>
      </c>
      <c r="AV172" s="131" t="str">
        <f>IFERROR(AVERAGEIFS(
'20102013 STH Efficacy'!$AX:$AX, 
'20102013 STH Efficacy'!$AL:$AL, $A172, 
'20102013 STH Efficacy'!$AM:$AM, "Albendazole",
'20102013 STH Efficacy'!$AS:$AS,"&lt;2014",
'20102013 STH Efficacy'!$BP:$BP,""),
"")</f>
        <v/>
      </c>
      <c r="AW172" s="132">
        <f t="shared" si="22"/>
        <v>0.3933333333</v>
      </c>
      <c r="AX172" s="131" t="str">
        <f>IFERROR(AVERAGEIFS(
'20102013 STH Efficacy'!$AX:$AX, 
'20102013 STH Efficacy'!$AL:$AL, $A172, 
'20102013 STH Efficacy'!$AM:$AM, "Mebendazole",
'20102013 STH Efficacy'!$AS:$AS,"&lt;2014",
'20102013 STH Efficacy'!$BP:$BP,""),
"")</f>
        <v/>
      </c>
      <c r="AY172" s="132">
        <f t="shared" si="23"/>
        <v>0.5017738095</v>
      </c>
      <c r="AZ172" s="131" t="str">
        <f>IFERROR(AVERAGEIFS(
'20102013 STH Efficacy'!$AX:$AX, 
'20102013 STH Efficacy'!$AL:$AL, $A172, 
'20102013 STH Efficacy'!$AM:$AM, "Albendazole &amp; Ivermectin",
'20102013 STH Efficacy'!$AS:$AS,"&lt;2014",
'20102013 STH Efficacy'!$BP:$BP,""),
"")</f>
        <v/>
      </c>
      <c r="BA172" s="303">
        <f t="shared" si="24"/>
        <v>0.597625</v>
      </c>
      <c r="BB172" s="134" t="str">
        <f>IFERROR(AVERAGEIFS(
'20102013 STH Efficacy'!$N:$N, 
'20102013 STH Efficacy'!$B:$B, $A172, 
'20102013 STH Efficacy'!$C:$C, "Albendazole",
'20102013 STH Efficacy'!$I:$I,"&lt;2014",
'20102013 STH Efficacy'!$AH:$AH,""),
"")</f>
        <v/>
      </c>
      <c r="BC172" s="135">
        <f t="shared" si="25"/>
        <v>0.7613712121</v>
      </c>
      <c r="BD172" s="134" t="str">
        <f>IFERROR(AVERAGEIFS(
'20102013 STH Efficacy'!$N:$N, 
'20102013 STH Efficacy'!$B:$B, $A172, 
'20102013 STH Efficacy'!$C:$C, "Mebendazole",
'20102013 STH Efficacy'!$I:$I,"&lt;2014",
'20102013 STH Efficacy'!$AH:$AH,""),
"")</f>
        <v/>
      </c>
      <c r="BE172" s="135">
        <f t="shared" si="26"/>
        <v>0.4362466667</v>
      </c>
      <c r="BF172" s="128" t="str">
        <f>IFERROR(AVERAGEIFS(
'20102013 STH Efficacy'!$CD:$CD, 
'20102013 STH Efficacy'!$BS:$BS, $A172, 
'20102013 STH Efficacy'!$BT:$BT, "Albendazole",
'20102013 STH Efficacy'!$BZ:$BZ,"&lt;2014",
'20102013 STH Efficacy'!$CU:$CU,""),
"")</f>
        <v/>
      </c>
      <c r="BG172" s="136">
        <f t="shared" si="27"/>
        <v>0.9216027778</v>
      </c>
      <c r="BH172" s="128" t="str">
        <f>IFERROR(AVERAGEIFS(
'20102013 STH Efficacy'!$CD:$CD, 
'20102013 STH Efficacy'!$BS:$BS, $A172, 
'20102013 STH Efficacy'!$BT:$BT, "Mebendazole",
'20102013 STH Efficacy'!$BZ:$BZ,"&lt;2014",
'20102013 STH Efficacy'!$CU:$CU,""),
"")</f>
        <v/>
      </c>
      <c r="BI172" s="136">
        <f t="shared" si="28"/>
        <v>0.9295857143</v>
      </c>
      <c r="BJ172" s="128" t="str">
        <f>IFERROR(AVERAGEIFS(
'20102013 STH Efficacy'!$CD:$CD, 
'20102013 STH Efficacy'!$BS:$BS, $A172, 
'20102013 STH Efficacy'!$BT:$BT, "Albendazole &amp; Ivermectin",
'20102013 STH Efficacy'!$BZ:$BZ,"&lt;2014",
'20102013 STH Efficacy'!$CU:$CU,""),
"")</f>
        <v/>
      </c>
      <c r="BK172" s="136">
        <f t="shared" si="29"/>
        <v>1</v>
      </c>
      <c r="BL172" s="300" t="str">
        <f>IFERROR(
  AVERAGEIFS(
    'NEW 20102013 Onchocerciasis Eff'!$AO:$AO,
    'NEW 20102013 Onchocerciasis Eff'!$C:$C,$A172,
    'NEW 20102013 Onchocerciasis Eff'!$D:$D,"Ivermectin",
    'NEW 20102013 Onchocerciasis Eff'!$AR:$AR,"&lt;2014",
    'NEW 20102013 Onchocerciasis Eff'!$BG:$BG,"")
,"")</f>
        <v/>
      </c>
      <c r="BM172" s="304">
        <f t="shared" si="30"/>
        <v>0.7808368939</v>
      </c>
      <c r="BN172" s="305">
        <v>0.0</v>
      </c>
      <c r="BO172" s="139">
        <v>0.0</v>
      </c>
      <c r="BP172" s="140">
        <v>0.0</v>
      </c>
      <c r="BQ172" s="141">
        <f t="shared" si="31"/>
        <v>0</v>
      </c>
      <c r="BR172" s="104" t="str">
        <f t="shared" si="32"/>
        <v>0000</v>
      </c>
      <c r="BS172" s="104" t="str">
        <f t="shared" si="33"/>
        <v>no action required</v>
      </c>
      <c r="BT172" s="142" t="str">
        <f t="shared" si="34"/>
        <v/>
      </c>
      <c r="BU172" s="104" t="str">
        <f t="shared" si="50"/>
        <v/>
      </c>
      <c r="BV172" s="104" t="str">
        <f t="shared" si="36"/>
        <v>none</v>
      </c>
      <c r="BW172" s="150" t="str">
        <f t="shared" si="37"/>
        <v/>
      </c>
      <c r="BX172" s="150" t="str">
        <f t="shared" si="38"/>
        <v/>
      </c>
      <c r="BY172" s="151" t="str">
        <f t="shared" si="39"/>
        <v/>
      </c>
      <c r="BZ172" s="152" t="str">
        <f t="shared" si="40"/>
        <v/>
      </c>
      <c r="CA172" s="152" t="str">
        <f t="shared" si="41"/>
        <v/>
      </c>
      <c r="CB172" s="152" t="str">
        <f t="shared" si="42"/>
        <v/>
      </c>
      <c r="CC172" s="153" t="str">
        <f t="shared" si="43"/>
        <v/>
      </c>
      <c r="CD172" s="153" t="str">
        <f t="shared" si="44"/>
        <v/>
      </c>
      <c r="CE172" s="154" t="str">
        <f t="shared" si="45"/>
        <v/>
      </c>
      <c r="CF172" s="154" t="str">
        <f t="shared" si="46"/>
        <v/>
      </c>
      <c r="CG172" s="154" t="str">
        <f t="shared" si="47"/>
        <v/>
      </c>
      <c r="CH172" s="308" t="str">
        <f t="shared" si="48"/>
        <v/>
      </c>
      <c r="CI172" s="299"/>
    </row>
    <row r="173">
      <c r="A173" s="155" t="s">
        <v>262</v>
      </c>
      <c r="B173" s="104" t="s">
        <v>92</v>
      </c>
      <c r="C173" s="105">
        <v>89949.0</v>
      </c>
      <c r="D173" s="293">
        <v>0.0</v>
      </c>
      <c r="E173" s="294">
        <v>0.0</v>
      </c>
      <c r="F173" s="307">
        <v>3.961559291</v>
      </c>
      <c r="G173" s="307">
        <v>15.21452061</v>
      </c>
      <c r="H173" s="108">
        <v>19.1760799</v>
      </c>
      <c r="I173" s="109">
        <v>4.44326307</v>
      </c>
      <c r="J173" s="109">
        <v>10.619824</v>
      </c>
      <c r="K173" s="109">
        <v>15.06308707</v>
      </c>
      <c r="L173" s="112">
        <v>1.388762026</v>
      </c>
      <c r="M173" s="112">
        <v>2.474330626</v>
      </c>
      <c r="N173" s="111">
        <v>3.863092652</v>
      </c>
      <c r="O173" s="298">
        <v>0.0</v>
      </c>
      <c r="P173" s="114"/>
      <c r="Q173" s="114"/>
      <c r="R173" s="121" t="str">
        <f t="shared" si="11"/>
        <v/>
      </c>
      <c r="S173" s="116">
        <f t="shared" si="12"/>
        <v>0.2589669834</v>
      </c>
      <c r="T173" s="118">
        <v>0.932</v>
      </c>
      <c r="U173" s="118">
        <f t="shared" si="13"/>
        <v>0.932</v>
      </c>
      <c r="V173" s="148"/>
      <c r="W173" s="120">
        <f t="shared" si="14"/>
        <v>0.8114541667</v>
      </c>
      <c r="X173" s="148"/>
      <c r="Y173" s="120">
        <f t="shared" si="15"/>
        <v>0.5668291667</v>
      </c>
      <c r="Z173" s="299"/>
      <c r="AA173" s="299"/>
      <c r="AB173" s="300" t="str">
        <f t="shared" si="16"/>
        <v/>
      </c>
      <c r="AC173" s="301">
        <f t="shared" si="17"/>
        <v>0.655321236</v>
      </c>
      <c r="AD173" s="122">
        <v>0.0</v>
      </c>
      <c r="AE173" s="123">
        <v>0.0</v>
      </c>
      <c r="AF173" s="123">
        <v>0.0</v>
      </c>
      <c r="AG173" s="316">
        <v>0.0</v>
      </c>
      <c r="AH173" s="124">
        <v>0.444081941</v>
      </c>
      <c r="AI173" s="317">
        <v>0.0</v>
      </c>
      <c r="AJ173" s="125">
        <v>0.173864919</v>
      </c>
      <c r="AK173" s="319">
        <v>0.0</v>
      </c>
      <c r="AL173" s="319">
        <v>0.0</v>
      </c>
      <c r="AM173" s="302">
        <v>0.0</v>
      </c>
      <c r="AN173" s="149" t="str">
        <f>IFERROR(
  AVERAGEIFS(
    'New 20102013 LF Efficacy'!$J:$J,
    'New 20102013 LF Efficacy'!$D:$D, $A173,
    'New 20102013 LF Efficacy'!$F:$F,"DEC", 
    'New 20102013 LF Efficacy'!$W:$W,"&lt;2014",
    'New 20102013 LF Efficacy'!$AA:$AA,""),
  ""
)</f>
        <v/>
      </c>
      <c r="AO173" s="115">
        <f t="shared" si="18"/>
        <v>0.31225</v>
      </c>
      <c r="AP173" s="121" t="str">
        <f>IFERROR(
AVERAGEIFS(
'New 20102013 LF Efficacy'!$J:$J,
'New 20102013 LF Efficacy'!$D:$D,$A173,
'New 20102013 LF Efficacy'!$F:$F,"Albendazole &amp; DEC",
'New 20102013 LF Efficacy'!$W:$W,"&lt;2014",
'New 20102013 LF Efficacy'!$AA:$AA,""),
"")
</f>
        <v/>
      </c>
      <c r="AQ173" s="115">
        <f t="shared" si="19"/>
        <v>0.4</v>
      </c>
      <c r="AR173" s="121" t="str">
        <f>IFERROR(
AVERAGEIFS(
'New 20102013 LF Efficacy'!$J:$J,
'New 20102013 LF Efficacy'!$D:$D,$A173,
'New 20102013 LF Efficacy'!$F:$F,"Albendazole &amp; Ivermectin", 
'New 20102013 LF Efficacy'!$W:$W,"&lt;2014",
'New 20102013 LF Efficacy'!$AA:$AA,""),"")</f>
        <v/>
      </c>
      <c r="AS173" s="115">
        <f t="shared" si="20"/>
        <v>0.2943125</v>
      </c>
      <c r="AT173" s="130" t="str">
        <f>IFERROR(AVERAGEIFS(
'20102013 Schist Efficacy'!$O:$O, 
'20102013 Schist Efficacy'!$C:$C,$A173, 
'20102013 Schist Efficacy'!$D:$D, "Praziquantel",
'20102013 Schist Efficacy'!$J:$J,"&lt;2014",
'20102013 Schist Efficacy'!$U:$U,""),
"")</f>
        <v/>
      </c>
      <c r="AU173" s="118">
        <f t="shared" si="21"/>
        <v>0.7192212527</v>
      </c>
      <c r="AV173" s="131" t="str">
        <f>IFERROR(AVERAGEIFS(
'20102013 STH Efficacy'!$AX:$AX, 
'20102013 STH Efficacy'!$AL:$AL, $A173, 
'20102013 STH Efficacy'!$AM:$AM, "Albendazole",
'20102013 STH Efficacy'!$AS:$AS,"&lt;2014",
'20102013 STH Efficacy'!$BP:$BP,""),
"")</f>
        <v/>
      </c>
      <c r="AW173" s="132">
        <f t="shared" si="22"/>
        <v>0.3816333333</v>
      </c>
      <c r="AX173" s="131" t="str">
        <f>IFERROR(AVERAGEIFS(
'20102013 STH Efficacy'!$AX:$AX, 
'20102013 STH Efficacy'!$AL:$AL, $A173, 
'20102013 STH Efficacy'!$AM:$AM, "Mebendazole",
'20102013 STH Efficacy'!$AS:$AS,"&lt;2014",
'20102013 STH Efficacy'!$BP:$BP,""),
"")</f>
        <v/>
      </c>
      <c r="AY173" s="132">
        <f t="shared" si="23"/>
        <v>0.5675833333</v>
      </c>
      <c r="AZ173" s="131" t="str">
        <f>IFERROR(AVERAGEIFS(
'20102013 STH Efficacy'!$AX:$AX, 
'20102013 STH Efficacy'!$AL:$AL, $A173, 
'20102013 STH Efficacy'!$AM:$AM, "Albendazole &amp; Ivermectin",
'20102013 STH Efficacy'!$AS:$AS,"&lt;2014",
'20102013 STH Efficacy'!$BP:$BP,""),
"")</f>
        <v/>
      </c>
      <c r="BA173" s="303">
        <f t="shared" si="24"/>
        <v>0.47175</v>
      </c>
      <c r="BB173" s="134" t="str">
        <f>IFERROR(AVERAGEIFS(
'20102013 STH Efficacy'!$N:$N, 
'20102013 STH Efficacy'!$B:$B, $A173, 
'20102013 STH Efficacy'!$C:$C, "Albendazole",
'20102013 STH Efficacy'!$I:$I,"&lt;2014",
'20102013 STH Efficacy'!$AH:$AH,""),
"")</f>
        <v/>
      </c>
      <c r="BC173" s="135">
        <f t="shared" si="25"/>
        <v>0.8699166667</v>
      </c>
      <c r="BD173" s="134" t="str">
        <f>IFERROR(AVERAGEIFS(
'20102013 STH Efficacy'!$N:$N, 
'20102013 STH Efficacy'!$B:$B, $A173, 
'20102013 STH Efficacy'!$C:$C, "Mebendazole",
'20102013 STH Efficacy'!$I:$I,"&lt;2014",
'20102013 STH Efficacy'!$AH:$AH,""),
"")</f>
        <v/>
      </c>
      <c r="BE173" s="135">
        <f t="shared" si="26"/>
        <v>0.7092416667</v>
      </c>
      <c r="BF173" s="128" t="str">
        <f>IFERROR(AVERAGEIFS(
'20102013 STH Efficacy'!$CD:$CD, 
'20102013 STH Efficacy'!$BS:$BS, $A173, 
'20102013 STH Efficacy'!$BT:$BT, "Albendazole",
'20102013 STH Efficacy'!$BZ:$BZ,"&lt;2014",
'20102013 STH Efficacy'!$CU:$CU,""),
"")</f>
        <v/>
      </c>
      <c r="BG173" s="136">
        <f t="shared" si="27"/>
        <v>0.9066666667</v>
      </c>
      <c r="BH173" s="128" t="str">
        <f>IFERROR(AVERAGEIFS(
'20102013 STH Efficacy'!$CD:$CD, 
'20102013 STH Efficacy'!$BS:$BS, $A173, 
'20102013 STH Efficacy'!$BT:$BT, "Mebendazole",
'20102013 STH Efficacy'!$BZ:$BZ,"&lt;2014",
'20102013 STH Efficacy'!$CU:$CU,""),
"")</f>
        <v/>
      </c>
      <c r="BI173" s="136">
        <f t="shared" si="28"/>
        <v>0.9358666667</v>
      </c>
      <c r="BJ173" s="128" t="str">
        <f>IFERROR(AVERAGEIFS(
'20102013 STH Efficacy'!$CD:$CD, 
'20102013 STH Efficacy'!$BS:$BS, $A173, 
'20102013 STH Efficacy'!$BT:$BT, "Albendazole &amp; Ivermectin",
'20102013 STH Efficacy'!$BZ:$BZ,"&lt;2014",
'20102013 STH Efficacy'!$CU:$CU,""),
"")</f>
        <v/>
      </c>
      <c r="BK173" s="136">
        <f t="shared" si="29"/>
        <v>1</v>
      </c>
      <c r="BL173" s="300" t="str">
        <f>IFERROR(
  AVERAGEIFS(
    'NEW 20102013 Onchocerciasis Eff'!$AO:$AO,
    'NEW 20102013 Onchocerciasis Eff'!$C:$C,$A173,
    'NEW 20102013 Onchocerciasis Eff'!$D:$D,"Ivermectin",
    'NEW 20102013 Onchocerciasis Eff'!$AR:$AR,"&lt;2014",
    'NEW 20102013 Onchocerciasis Eff'!$BG:$BG,"")
,"")</f>
        <v/>
      </c>
      <c r="BM173" s="304">
        <f t="shared" si="30"/>
        <v>0.8390421645</v>
      </c>
      <c r="BN173" s="305">
        <v>0.0</v>
      </c>
      <c r="BO173" s="139">
        <v>1.0</v>
      </c>
      <c r="BP173" s="140">
        <v>0.0</v>
      </c>
      <c r="BQ173" s="141">
        <f t="shared" si="31"/>
        <v>1</v>
      </c>
      <c r="BR173" s="104" t="str">
        <f t="shared" si="32"/>
        <v>0101</v>
      </c>
      <c r="BS173" s="104" t="str">
        <f t="shared" si="33"/>
        <v>MDA1</v>
      </c>
      <c r="BT173" s="142" t="str">
        <f t="shared" si="34"/>
        <v>IVM+ALB</v>
      </c>
      <c r="BU173" s="104" t="str">
        <f t="shared" si="50"/>
        <v/>
      </c>
      <c r="BV173" s="104" t="str">
        <f t="shared" si="36"/>
        <v>onch+sth</v>
      </c>
      <c r="BW173" s="150" t="str">
        <f t="shared" si="37"/>
        <v/>
      </c>
      <c r="BX173" s="150" t="str">
        <f t="shared" si="38"/>
        <v/>
      </c>
      <c r="BY173" s="151" t="str">
        <f t="shared" si="39"/>
        <v/>
      </c>
      <c r="BZ173" s="152">
        <f t="shared" si="40"/>
        <v>5.976854819</v>
      </c>
      <c r="CA173" s="152" t="str">
        <f t="shared" si="41"/>
        <v/>
      </c>
      <c r="CB173" s="152">
        <f t="shared" si="42"/>
        <v>8.010443952</v>
      </c>
      <c r="CC173" s="323">
        <f t="shared" si="43"/>
        <v>20.99507407</v>
      </c>
      <c r="CD173" s="153" t="str">
        <f t="shared" si="44"/>
        <v/>
      </c>
      <c r="CE173" s="154">
        <f t="shared" si="45"/>
        <v>6.482196154</v>
      </c>
      <c r="CF173" s="154" t="str">
        <f t="shared" si="46"/>
        <v/>
      </c>
      <c r="CG173" s="154">
        <f t="shared" si="47"/>
        <v>9.214690015</v>
      </c>
      <c r="CH173" s="313">
        <f t="shared" si="48"/>
        <v>0</v>
      </c>
      <c r="CI173" s="299"/>
    </row>
    <row r="174">
      <c r="A174" s="103" t="s">
        <v>263</v>
      </c>
      <c r="B174" s="104" t="s">
        <v>92</v>
      </c>
      <c r="C174" s="105">
        <v>6922079.0</v>
      </c>
      <c r="D174" s="293">
        <v>6177.43</v>
      </c>
      <c r="E174" s="294">
        <v>3492.930857</v>
      </c>
      <c r="F174" s="295">
        <v>42.17482708</v>
      </c>
      <c r="G174" s="295">
        <v>179.0019871</v>
      </c>
      <c r="H174" s="108">
        <v>221.1768142</v>
      </c>
      <c r="I174" s="109">
        <v>454.592686</v>
      </c>
      <c r="J174" s="110">
        <v>1275.58114</v>
      </c>
      <c r="K174" s="109">
        <v>1730.173825</v>
      </c>
      <c r="L174" s="112">
        <v>5093.563798</v>
      </c>
      <c r="M174" s="111">
        <v>1001.9655</v>
      </c>
      <c r="N174" s="111">
        <v>6095.529298</v>
      </c>
      <c r="O174" s="298">
        <v>19560.98503</v>
      </c>
      <c r="P174" s="160">
        <v>6820160.0</v>
      </c>
      <c r="Q174" s="160">
        <v>5494161.0</v>
      </c>
      <c r="R174" s="121">
        <f t="shared" si="11"/>
        <v>0.8055765554</v>
      </c>
      <c r="S174" s="116">
        <f t="shared" si="12"/>
        <v>0.8055765554</v>
      </c>
      <c r="T174" s="130"/>
      <c r="U174" s="118">
        <f t="shared" si="13"/>
        <v>0.252</v>
      </c>
      <c r="V174" s="119">
        <v>1.0</v>
      </c>
      <c r="W174" s="120">
        <f t="shared" si="14"/>
        <v>1</v>
      </c>
      <c r="X174" s="119">
        <v>1.0</v>
      </c>
      <c r="Y174" s="120">
        <f t="shared" si="15"/>
        <v>1</v>
      </c>
      <c r="Z174" s="310">
        <v>3175897.0</v>
      </c>
      <c r="AA174" s="310">
        <v>3419081.0</v>
      </c>
      <c r="AB174" s="300">
        <f t="shared" si="16"/>
        <v>1</v>
      </c>
      <c r="AC174" s="301">
        <f t="shared" si="17"/>
        <v>1</v>
      </c>
      <c r="AD174" s="122">
        <v>0.016</v>
      </c>
      <c r="AE174" s="123">
        <v>0.01</v>
      </c>
      <c r="AF174" s="123">
        <v>0.0042</v>
      </c>
      <c r="AG174" s="316">
        <v>0.0</v>
      </c>
      <c r="AH174" s="124">
        <v>0.172055963</v>
      </c>
      <c r="AI174" s="317">
        <v>0.0</v>
      </c>
      <c r="AJ174" s="125">
        <v>0.170320999</v>
      </c>
      <c r="AK174" s="319">
        <v>0.0</v>
      </c>
      <c r="AL174" s="319">
        <v>0.0</v>
      </c>
      <c r="AM174" s="302">
        <v>0.0415</v>
      </c>
      <c r="AN174" s="149" t="str">
        <f>IFERROR(
  AVERAGEIFS(
    'New 20102013 LF Efficacy'!$J:$J,
    'New 20102013 LF Efficacy'!$D:$D, $A174,
    'New 20102013 LF Efficacy'!$F:$F,"DEC", 
    'New 20102013 LF Efficacy'!$W:$W,"&lt;2014",
    'New 20102013 LF Efficacy'!$AA:$AA,""),
  ""
)</f>
        <v/>
      </c>
      <c r="AO174" s="115">
        <f t="shared" si="18"/>
        <v>0.31225</v>
      </c>
      <c r="AP174" s="121" t="str">
        <f>IFERROR(
AVERAGEIFS(
'New 20102013 LF Efficacy'!$J:$J,
'New 20102013 LF Efficacy'!$D:$D,$A174,
'New 20102013 LF Efficacy'!$F:$F,"Albendazole &amp; DEC",
'New 20102013 LF Efficacy'!$W:$W,"&lt;2014",
'New 20102013 LF Efficacy'!$AA:$AA,""),
"")
</f>
        <v/>
      </c>
      <c r="AQ174" s="115">
        <f t="shared" si="19"/>
        <v>0.4</v>
      </c>
      <c r="AR174" s="121" t="str">
        <f>IFERROR(
AVERAGEIFS(
'New 20102013 LF Efficacy'!$J:$J,
'New 20102013 LF Efficacy'!$D:$D,$A174,
'New 20102013 LF Efficacy'!$F:$F,"Albendazole &amp; Ivermectin", 
'New 20102013 LF Efficacy'!$W:$W,"&lt;2014",
'New 20102013 LF Efficacy'!$AA:$AA,""),"")</f>
        <v/>
      </c>
      <c r="AS174" s="115">
        <f t="shared" si="20"/>
        <v>0.2943125</v>
      </c>
      <c r="AT174" s="130" t="str">
        <f>IFERROR(AVERAGEIFS(
'20102013 Schist Efficacy'!$O:$O, 
'20102013 Schist Efficacy'!$C:$C,$A174, 
'20102013 Schist Efficacy'!$D:$D, "Praziquantel",
'20102013 Schist Efficacy'!$J:$J,"&lt;2014",
'20102013 Schist Efficacy'!$U:$U,""),
"")</f>
        <v/>
      </c>
      <c r="AU174" s="118">
        <f t="shared" si="21"/>
        <v>0.7192212527</v>
      </c>
      <c r="AV174" s="131" t="str">
        <f>IFERROR(AVERAGEIFS(
'20102013 STH Efficacy'!$AX:$AX, 
'20102013 STH Efficacy'!$AL:$AL, $A174, 
'20102013 STH Efficacy'!$AM:$AM, "Albendazole",
'20102013 STH Efficacy'!$AS:$AS,"&lt;2014",
'20102013 STH Efficacy'!$BP:$BP,""),
"")</f>
        <v/>
      </c>
      <c r="AW174" s="132">
        <f t="shared" si="22"/>
        <v>0.3816333333</v>
      </c>
      <c r="AX174" s="131" t="str">
        <f>IFERROR(AVERAGEIFS(
'20102013 STH Efficacy'!$AX:$AX, 
'20102013 STH Efficacy'!$AL:$AL, $A174, 
'20102013 STH Efficacy'!$AM:$AM, "Mebendazole",
'20102013 STH Efficacy'!$AS:$AS,"&lt;2014",
'20102013 STH Efficacy'!$BP:$BP,""),
"")</f>
        <v/>
      </c>
      <c r="AY174" s="132">
        <f t="shared" si="23"/>
        <v>0.5675833333</v>
      </c>
      <c r="AZ174" s="131" t="str">
        <f>IFERROR(AVERAGEIFS(
'20102013 STH Efficacy'!$AX:$AX, 
'20102013 STH Efficacy'!$AL:$AL, $A174, 
'20102013 STH Efficacy'!$AM:$AM, "Albendazole &amp; Ivermectin",
'20102013 STH Efficacy'!$AS:$AS,"&lt;2014",
'20102013 STH Efficacy'!$BP:$BP,""),
"")</f>
        <v/>
      </c>
      <c r="BA174" s="303">
        <f t="shared" si="24"/>
        <v>0.47175</v>
      </c>
      <c r="BB174" s="134" t="str">
        <f>IFERROR(AVERAGEIFS(
'20102013 STH Efficacy'!$N:$N, 
'20102013 STH Efficacy'!$B:$B, $A174, 
'20102013 STH Efficacy'!$C:$C, "Albendazole",
'20102013 STH Efficacy'!$I:$I,"&lt;2014",
'20102013 STH Efficacy'!$AH:$AH,""),
"")</f>
        <v/>
      </c>
      <c r="BC174" s="135">
        <f t="shared" si="25"/>
        <v>0.8699166667</v>
      </c>
      <c r="BD174" s="134" t="str">
        <f>IFERROR(AVERAGEIFS(
'20102013 STH Efficacy'!$N:$N, 
'20102013 STH Efficacy'!$B:$B, $A174, 
'20102013 STH Efficacy'!$C:$C, "Mebendazole",
'20102013 STH Efficacy'!$I:$I,"&lt;2014",
'20102013 STH Efficacy'!$AH:$AH,""),
"")</f>
        <v/>
      </c>
      <c r="BE174" s="135">
        <f t="shared" si="26"/>
        <v>0.7092416667</v>
      </c>
      <c r="BF174" s="128" t="str">
        <f>IFERROR(AVERAGEIFS(
'20102013 STH Efficacy'!$CD:$CD, 
'20102013 STH Efficacy'!$BS:$BS, $A174, 
'20102013 STH Efficacy'!$BT:$BT, "Albendazole",
'20102013 STH Efficacy'!$BZ:$BZ,"&lt;2014",
'20102013 STH Efficacy'!$CU:$CU,""),
"")</f>
        <v/>
      </c>
      <c r="BG174" s="136">
        <f t="shared" si="27"/>
        <v>0.9066666667</v>
      </c>
      <c r="BH174" s="128" t="str">
        <f>IFERROR(AVERAGEIFS(
'20102013 STH Efficacy'!$CD:$CD, 
'20102013 STH Efficacy'!$BS:$BS, $A174, 
'20102013 STH Efficacy'!$BT:$BT, "Mebendazole",
'20102013 STH Efficacy'!$BZ:$BZ,"&lt;2014",
'20102013 STH Efficacy'!$CU:$CU,""),
"")</f>
        <v/>
      </c>
      <c r="BI174" s="136">
        <f t="shared" si="28"/>
        <v>0.9358666667</v>
      </c>
      <c r="BJ174" s="128" t="str">
        <f>IFERROR(AVERAGEIFS(
'20102013 STH Efficacy'!$CD:$CD, 
'20102013 STH Efficacy'!$BS:$BS, $A174, 
'20102013 STH Efficacy'!$BT:$BT, "Albendazole &amp; Ivermectin",
'20102013 STH Efficacy'!$BZ:$BZ,"&lt;2014",
'20102013 STH Efficacy'!$CU:$CU,""),
"")</f>
        <v/>
      </c>
      <c r="BK174" s="136">
        <f t="shared" si="29"/>
        <v>1</v>
      </c>
      <c r="BL174" s="300">
        <f>IFERROR(
  AVERAGEIFS(
    'NEW 20102013 Onchocerciasis Eff'!$AO:$AO,
    'NEW 20102013 Onchocerciasis Eff'!$C:$C,$A174,
    'NEW 20102013 Onchocerciasis Eff'!$D:$D,"Ivermectin",
    'NEW 20102013 Onchocerciasis Eff'!$AR:$AR,"&lt;2014",
    'NEW 20102013 Onchocerciasis Eff'!$BG:$BG,"")
,"")</f>
        <v>0.7535</v>
      </c>
      <c r="BM174" s="304">
        <f t="shared" si="30"/>
        <v>0.7535</v>
      </c>
      <c r="BN174" s="305">
        <v>1.0</v>
      </c>
      <c r="BO174" s="139">
        <v>0.0</v>
      </c>
      <c r="BP174" s="140">
        <v>1.0</v>
      </c>
      <c r="BQ174" s="141">
        <f t="shared" si="31"/>
        <v>0</v>
      </c>
      <c r="BR174" s="104" t="str">
        <f t="shared" si="32"/>
        <v>1010</v>
      </c>
      <c r="BS174" s="104" t="str">
        <f t="shared" si="33"/>
        <v>MDA1/2+T2</v>
      </c>
      <c r="BT174" s="142" t="str">
        <f t="shared" si="34"/>
        <v>DEC +ALB</v>
      </c>
      <c r="BU174" s="104" t="str">
        <f t="shared" si="50"/>
        <v>PZQ</v>
      </c>
      <c r="BV174" s="104" t="str">
        <f t="shared" si="36"/>
        <v>lf+schist </v>
      </c>
      <c r="BW174" s="150" t="str">
        <f t="shared" si="37"/>
        <v/>
      </c>
      <c r="BX174" s="150" t="str">
        <f t="shared" si="38"/>
        <v/>
      </c>
      <c r="BY174" s="162">
        <f t="shared" si="39"/>
        <v>773.2116992</v>
      </c>
      <c r="BZ174" s="152" t="str">
        <f t="shared" si="40"/>
        <v/>
      </c>
      <c r="CA174" s="152" t="str">
        <f t="shared" si="41"/>
        <v/>
      </c>
      <c r="CB174" s="152" t="str">
        <f t="shared" si="42"/>
        <v/>
      </c>
      <c r="CC174" s="153" t="str">
        <f t="shared" si="43"/>
        <v/>
      </c>
      <c r="CD174" s="153" t="str">
        <f t="shared" si="44"/>
        <v/>
      </c>
      <c r="CE174" s="154" t="str">
        <f t="shared" si="45"/>
        <v/>
      </c>
      <c r="CF174" s="154" t="str">
        <f t="shared" si="46"/>
        <v/>
      </c>
      <c r="CG174" s="154" t="str">
        <f t="shared" si="47"/>
        <v/>
      </c>
      <c r="CH174" s="308" t="str">
        <f t="shared" si="48"/>
        <v/>
      </c>
      <c r="CI174" s="299"/>
    </row>
    <row r="175">
      <c r="A175" s="155" t="s">
        <v>264</v>
      </c>
      <c r="B175" s="104" t="s">
        <v>94</v>
      </c>
      <c r="C175" s="105">
        <v>5399162.0</v>
      </c>
      <c r="D175" s="293">
        <v>0.0</v>
      </c>
      <c r="E175" s="294">
        <v>0.0</v>
      </c>
      <c r="F175" s="309">
        <v>0.0</v>
      </c>
      <c r="G175" s="309">
        <v>0.0</v>
      </c>
      <c r="H175" s="108">
        <v>0.0</v>
      </c>
      <c r="I175" s="109">
        <v>0.0</v>
      </c>
      <c r="J175" s="109">
        <v>0.0</v>
      </c>
      <c r="K175" s="109">
        <v>0.0</v>
      </c>
      <c r="L175" s="112">
        <v>0.0</v>
      </c>
      <c r="M175" s="112">
        <v>0.0</v>
      </c>
      <c r="N175" s="111">
        <v>0.0</v>
      </c>
      <c r="O175" s="298">
        <v>0.0</v>
      </c>
      <c r="P175" s="114"/>
      <c r="Q175" s="114"/>
      <c r="R175" s="121" t="str">
        <f t="shared" si="11"/>
        <v/>
      </c>
      <c r="S175" s="116">
        <f t="shared" si="12"/>
        <v>0.403639098</v>
      </c>
      <c r="T175" s="130"/>
      <c r="U175" s="118">
        <f t="shared" si="13"/>
        <v>0.6259666667</v>
      </c>
      <c r="V175" s="148"/>
      <c r="W175" s="120">
        <f t="shared" si="14"/>
        <v>0.3807857143</v>
      </c>
      <c r="X175" s="148"/>
      <c r="Y175" s="120">
        <f t="shared" si="15"/>
        <v>0.3971375</v>
      </c>
      <c r="Z175" s="299"/>
      <c r="AA175" s="299"/>
      <c r="AB175" s="300" t="str">
        <f t="shared" si="16"/>
        <v/>
      </c>
      <c r="AC175" s="301">
        <f t="shared" si="17"/>
        <v>0.6295826791</v>
      </c>
      <c r="AD175" s="122">
        <v>0.0</v>
      </c>
      <c r="AE175" s="123">
        <v>0.0</v>
      </c>
      <c r="AF175" s="123">
        <v>0.0</v>
      </c>
      <c r="AG175" s="316">
        <v>0.0</v>
      </c>
      <c r="AH175" s="124">
        <v>0.0</v>
      </c>
      <c r="AI175" s="317">
        <v>0.0</v>
      </c>
      <c r="AJ175" s="125">
        <v>0.0</v>
      </c>
      <c r="AK175" s="319">
        <v>0.0</v>
      </c>
      <c r="AL175" s="319">
        <v>0.0</v>
      </c>
      <c r="AM175" s="302">
        <v>0.0</v>
      </c>
      <c r="AN175" s="149" t="str">
        <f>IFERROR(
  AVERAGEIFS(
    'New 20102013 LF Efficacy'!$J:$J,
    'New 20102013 LF Efficacy'!$D:$D, $A175,
    'New 20102013 LF Efficacy'!$F:$F,"DEC", 
    'New 20102013 LF Efficacy'!$W:$W,"&lt;2014",
    'New 20102013 LF Efficacy'!$AA:$AA,""),
  ""
)</f>
        <v/>
      </c>
      <c r="AO175" s="115">
        <f t="shared" si="18"/>
        <v>0.38</v>
      </c>
      <c r="AP175" s="121" t="str">
        <f>IFERROR(
AVERAGEIFS(
'New 20102013 LF Efficacy'!$J:$J,
'New 20102013 LF Efficacy'!$D:$D,$A175,
'New 20102013 LF Efficacy'!$F:$F,"Albendazole &amp; DEC",
'New 20102013 LF Efficacy'!$W:$W,"&lt;2014",
'New 20102013 LF Efficacy'!$AA:$AA,""),
"")
</f>
        <v/>
      </c>
      <c r="AQ175" s="115">
        <f t="shared" si="19"/>
        <v>0.657</v>
      </c>
      <c r="AR175" s="121" t="str">
        <f>IFERROR(
AVERAGEIFS(
'New 20102013 LF Efficacy'!$J:$J,
'New 20102013 LF Efficacy'!$D:$D,$A175,
'New 20102013 LF Efficacy'!$F:$F,"Albendazole &amp; Ivermectin", 
'New 20102013 LF Efficacy'!$W:$W,"&lt;2014",
'New 20102013 LF Efficacy'!$AA:$AA,""),"")</f>
        <v/>
      </c>
      <c r="AS175" s="115">
        <f t="shared" si="20"/>
        <v>0.37153125</v>
      </c>
      <c r="AT175" s="130" t="str">
        <f>IFERROR(AVERAGEIFS(
'20102013 Schist Efficacy'!$O:$O, 
'20102013 Schist Efficacy'!$C:$C,$A175, 
'20102013 Schist Efficacy'!$D:$D, "Praziquantel",
'20102013 Schist Efficacy'!$J:$J,"&lt;2014",
'20102013 Schist Efficacy'!$U:$U,""),
"")</f>
        <v/>
      </c>
      <c r="AU175" s="118">
        <f t="shared" si="21"/>
        <v>0.9475</v>
      </c>
      <c r="AV175" s="131" t="str">
        <f>IFERROR(AVERAGEIFS(
'20102013 STH Efficacy'!$AX:$AX, 
'20102013 STH Efficacy'!$AL:$AL, $A175, 
'20102013 STH Efficacy'!$AM:$AM, "Albendazole",
'20102013 STH Efficacy'!$AS:$AS,"&lt;2014",
'20102013 STH Efficacy'!$BP:$BP,""),
"")</f>
        <v/>
      </c>
      <c r="AW175" s="132">
        <f t="shared" si="22"/>
        <v>0.3571666667</v>
      </c>
      <c r="AX175" s="131" t="str">
        <f>IFERROR(AVERAGEIFS(
'20102013 STH Efficacy'!$AX:$AX, 
'20102013 STH Efficacy'!$AL:$AL, $A175, 
'20102013 STH Efficacy'!$AM:$AM, "Mebendazole",
'20102013 STH Efficacy'!$AS:$AS,"&lt;2014",
'20102013 STH Efficacy'!$BP:$BP,""),
"")</f>
        <v/>
      </c>
      <c r="AY175" s="132">
        <f t="shared" si="23"/>
        <v>0.4155</v>
      </c>
      <c r="AZ175" s="131" t="str">
        <f>IFERROR(AVERAGEIFS(
'20102013 STH Efficacy'!$AX:$AX, 
'20102013 STH Efficacy'!$AL:$AL, $A175, 
'20102013 STH Efficacy'!$AM:$AM, "Albendazole &amp; Ivermectin",
'20102013 STH Efficacy'!$AS:$AS,"&lt;2014",
'20102013 STH Efficacy'!$BP:$BP,""),
"")</f>
        <v/>
      </c>
      <c r="BA175" s="303">
        <f t="shared" si="24"/>
        <v>0.651</v>
      </c>
      <c r="BB175" s="134" t="str">
        <f>IFERROR(AVERAGEIFS(
'20102013 STH Efficacy'!$N:$N, 
'20102013 STH Efficacy'!$B:$B, $A175, 
'20102013 STH Efficacy'!$C:$C, "Albendazole",
'20102013 STH Efficacy'!$I:$I,"&lt;2014",
'20102013 STH Efficacy'!$AH:$AH,""),
"")</f>
        <v/>
      </c>
      <c r="BC175" s="135">
        <f t="shared" si="25"/>
        <v>0.5769166667</v>
      </c>
      <c r="BD175" s="134" t="str">
        <f>IFERROR(AVERAGEIFS(
'20102013 STH Efficacy'!$N:$N, 
'20102013 STH Efficacy'!$B:$B, $A175, 
'20102013 STH Efficacy'!$C:$C, "Mebendazole",
'20102013 STH Efficacy'!$I:$I,"&lt;2014",
'20102013 STH Efficacy'!$AH:$AH,""),
"")</f>
        <v/>
      </c>
      <c r="BE175" s="135">
        <f t="shared" si="26"/>
        <v>0.3145</v>
      </c>
      <c r="BF175" s="128" t="str">
        <f>IFERROR(AVERAGEIFS(
'20102013 STH Efficacy'!$CD:$CD, 
'20102013 STH Efficacy'!$BS:$BS, $A175, 
'20102013 STH Efficacy'!$BT:$BT, "Albendazole",
'20102013 STH Efficacy'!$BZ:$BZ,"&lt;2014",
'20102013 STH Efficacy'!$CU:$CU,""),
"")</f>
        <v/>
      </c>
      <c r="BG175" s="136">
        <f t="shared" si="27"/>
        <v>0.96925</v>
      </c>
      <c r="BH175" s="128" t="str">
        <f>IFERROR(AVERAGEIFS(
'20102013 STH Efficacy'!$CD:$CD, 
'20102013 STH Efficacy'!$BS:$BS, $A175, 
'20102013 STH Efficacy'!$BT:$BT, "Mebendazole",
'20102013 STH Efficacy'!$BZ:$BZ,"&lt;2014",
'20102013 STH Efficacy'!$CU:$CU,""),
"")</f>
        <v/>
      </c>
      <c r="BI175" s="136">
        <f t="shared" si="28"/>
        <v>0.9305</v>
      </c>
      <c r="BJ175" s="128" t="str">
        <f>IFERROR(AVERAGEIFS(
'20102013 STH Efficacy'!$CD:$CD, 
'20102013 STH Efficacy'!$BS:$BS, $A175, 
'20102013 STH Efficacy'!$BT:$BT, "Albendazole &amp; Ivermectin",
'20102013 STH Efficacy'!$BZ:$BZ,"&lt;2014",
'20102013 STH Efficacy'!$CU:$CU,""),
"")</f>
        <v/>
      </c>
      <c r="BK175" s="136">
        <f t="shared" si="29"/>
        <v>1</v>
      </c>
      <c r="BL175" s="300" t="str">
        <f>IFERROR(
  AVERAGEIFS(
    'NEW 20102013 Onchocerciasis Eff'!$AO:$AO,
    'NEW 20102013 Onchocerciasis Eff'!$C:$C,$A175,
    'NEW 20102013 Onchocerciasis Eff'!$D:$D,"Ivermectin",
    'NEW 20102013 Onchocerciasis Eff'!$AR:$AR,"&lt;2014",
    'NEW 20102013 Onchocerciasis Eff'!$BG:$BG,"")
,"")</f>
        <v/>
      </c>
      <c r="BM175" s="304">
        <f t="shared" si="30"/>
        <v>0.7808368939</v>
      </c>
      <c r="BN175" s="305">
        <v>0.0</v>
      </c>
      <c r="BO175" s="139">
        <v>0.0</v>
      </c>
      <c r="BP175" s="140">
        <v>0.0</v>
      </c>
      <c r="BQ175" s="141">
        <f t="shared" si="31"/>
        <v>0</v>
      </c>
      <c r="BR175" s="104" t="str">
        <f t="shared" si="32"/>
        <v>0000</v>
      </c>
      <c r="BS175" s="104" t="str">
        <f t="shared" si="33"/>
        <v>no action required</v>
      </c>
      <c r="BT175" s="142" t="str">
        <f t="shared" si="34"/>
        <v/>
      </c>
      <c r="BU175" s="104" t="str">
        <f t="shared" si="50"/>
        <v/>
      </c>
      <c r="BV175" s="104" t="str">
        <f t="shared" si="36"/>
        <v>none</v>
      </c>
      <c r="BW175" s="150" t="str">
        <f t="shared" si="37"/>
        <v/>
      </c>
      <c r="BX175" s="150" t="str">
        <f t="shared" si="38"/>
        <v/>
      </c>
      <c r="BY175" s="151" t="str">
        <f t="shared" si="39"/>
        <v/>
      </c>
      <c r="BZ175" s="152" t="str">
        <f t="shared" si="40"/>
        <v/>
      </c>
      <c r="CA175" s="152" t="str">
        <f t="shared" si="41"/>
        <v/>
      </c>
      <c r="CB175" s="152" t="str">
        <f t="shared" si="42"/>
        <v/>
      </c>
      <c r="CC175" s="153" t="str">
        <f t="shared" si="43"/>
        <v/>
      </c>
      <c r="CD175" s="153" t="str">
        <f t="shared" si="44"/>
        <v/>
      </c>
      <c r="CE175" s="154" t="str">
        <f t="shared" si="45"/>
        <v/>
      </c>
      <c r="CF175" s="154" t="str">
        <f t="shared" si="46"/>
        <v/>
      </c>
      <c r="CG175" s="154" t="str">
        <f t="shared" si="47"/>
        <v/>
      </c>
      <c r="CH175" s="308" t="str">
        <f t="shared" si="48"/>
        <v/>
      </c>
      <c r="CI175" s="299"/>
    </row>
    <row r="176">
      <c r="A176" s="155" t="s">
        <v>265</v>
      </c>
      <c r="B176" s="104" t="s">
        <v>98</v>
      </c>
      <c r="C176" s="105">
        <v>36607.0</v>
      </c>
      <c r="D176" s="293">
        <v>0.0</v>
      </c>
      <c r="E176" s="294">
        <v>0.0</v>
      </c>
      <c r="F176" s="163"/>
      <c r="G176" s="163"/>
      <c r="H176" s="108">
        <v>0.0</v>
      </c>
      <c r="I176" s="109">
        <v>0.0</v>
      </c>
      <c r="J176" s="109">
        <v>0.0</v>
      </c>
      <c r="K176" s="109">
        <v>0.0</v>
      </c>
      <c r="L176" s="113"/>
      <c r="M176" s="113"/>
      <c r="N176" s="111">
        <v>0.0</v>
      </c>
      <c r="O176" s="298">
        <v>0.0</v>
      </c>
      <c r="P176" s="114"/>
      <c r="Q176" s="114"/>
      <c r="R176" s="121" t="str">
        <f t="shared" si="11"/>
        <v/>
      </c>
      <c r="S176" s="116">
        <f t="shared" si="12"/>
        <v>0.2288425133</v>
      </c>
      <c r="T176" s="130"/>
      <c r="U176" s="118">
        <f t="shared" si="13"/>
        <v>0.39435</v>
      </c>
      <c r="V176" s="148"/>
      <c r="W176" s="120">
        <f t="shared" si="14"/>
        <v>0.542475</v>
      </c>
      <c r="X176" s="148"/>
      <c r="Y176" s="120">
        <f t="shared" si="15"/>
        <v>0.6507333333</v>
      </c>
      <c r="Z176" s="299"/>
      <c r="AA176" s="299"/>
      <c r="AB176" s="300" t="str">
        <f t="shared" si="16"/>
        <v/>
      </c>
      <c r="AC176" s="301">
        <f t="shared" si="17"/>
        <v>0.3490201688</v>
      </c>
      <c r="AD176" s="314">
        <v>0.0</v>
      </c>
      <c r="AE176" s="315">
        <v>0.0</v>
      </c>
      <c r="AF176" s="166">
        <v>0.0</v>
      </c>
      <c r="AG176" s="316">
        <v>0.0</v>
      </c>
      <c r="AH176" s="307">
        <v>0.0</v>
      </c>
      <c r="AI176" s="317">
        <v>0.0</v>
      </c>
      <c r="AJ176" s="318">
        <v>0.0</v>
      </c>
      <c r="AK176" s="319">
        <v>0.0</v>
      </c>
      <c r="AL176" s="319">
        <v>0.0</v>
      </c>
      <c r="AM176" s="320">
        <v>0.0</v>
      </c>
      <c r="AN176" s="149" t="str">
        <f>IFERROR(
  AVERAGEIFS(
    'New 20102013 LF Efficacy'!$J:$J,
    'New 20102013 LF Efficacy'!$D:$D, $A176,
    'New 20102013 LF Efficacy'!$F:$F,"DEC", 
    'New 20102013 LF Efficacy'!$W:$W,"&lt;2014",
    'New 20102013 LF Efficacy'!$AA:$AA,""),
  ""
)</f>
        <v/>
      </c>
      <c r="AO176" s="115">
        <f t="shared" si="18"/>
        <v>0.2589833333</v>
      </c>
      <c r="AP176" s="121" t="str">
        <f>IFERROR(
AVERAGEIFS(
'New 20102013 LF Efficacy'!$J:$J,
'New 20102013 LF Efficacy'!$D:$D,$A176,
'New 20102013 LF Efficacy'!$F:$F,"Albendazole &amp; DEC",
'New 20102013 LF Efficacy'!$W:$W,"&lt;2014",
'New 20102013 LF Efficacy'!$AA:$AA,""),
"")
</f>
        <v/>
      </c>
      <c r="AQ176" s="115">
        <f t="shared" si="19"/>
        <v>0.3465</v>
      </c>
      <c r="AR176" s="121" t="str">
        <f>IFERROR(
AVERAGEIFS(
'New 20102013 LF Efficacy'!$J:$J,
'New 20102013 LF Efficacy'!$D:$D,$A176,
'New 20102013 LF Efficacy'!$F:$F,"Albendazole &amp; Ivermectin", 
'New 20102013 LF Efficacy'!$W:$W,"&lt;2014",
'New 20102013 LF Efficacy'!$AA:$AA,""),"")</f>
        <v/>
      </c>
      <c r="AS176" s="115">
        <f t="shared" si="20"/>
        <v>0.7575</v>
      </c>
      <c r="AT176" s="130" t="str">
        <f>IFERROR(AVERAGEIFS(
'20102013 Schist Efficacy'!$O:$O, 
'20102013 Schist Efficacy'!$C:$C,$A176, 
'20102013 Schist Efficacy'!$D:$D, "Praziquantel",
'20102013 Schist Efficacy'!$J:$J,"&lt;2014",
'20102013 Schist Efficacy'!$U:$U,""),
"")</f>
        <v/>
      </c>
      <c r="AU176" s="118">
        <f t="shared" si="21"/>
        <v>0.7914761905</v>
      </c>
      <c r="AV176" s="131" t="str">
        <f>IFERROR(AVERAGEIFS(
'20102013 STH Efficacy'!$AX:$AX, 
'20102013 STH Efficacy'!$AL:$AL, $A176, 
'20102013 STH Efficacy'!$AM:$AM, "Albendazole",
'20102013 STH Efficacy'!$AS:$AS,"&lt;2014",
'20102013 STH Efficacy'!$BP:$BP,""),
"")</f>
        <v/>
      </c>
      <c r="AW176" s="132">
        <f t="shared" si="22"/>
        <v>0.3945</v>
      </c>
      <c r="AX176" s="131" t="str">
        <f>IFERROR(AVERAGEIFS(
'20102013 STH Efficacy'!$AX:$AX, 
'20102013 STH Efficacy'!$AL:$AL, $A176, 
'20102013 STH Efficacy'!$AM:$AM, "Mebendazole",
'20102013 STH Efficacy'!$AS:$AS,"&lt;2014",
'20102013 STH Efficacy'!$BP:$BP,""),
"")</f>
        <v/>
      </c>
      <c r="AY176" s="132">
        <f t="shared" si="23"/>
        <v>0.6</v>
      </c>
      <c r="AZ176" s="131" t="str">
        <f>IFERROR(AVERAGEIFS(
'20102013 STH Efficacy'!$AX:$AX, 
'20102013 STH Efficacy'!$AL:$AL, $A176, 
'20102013 STH Efficacy'!$AM:$AM, "Albendazole &amp; Ivermectin",
'20102013 STH Efficacy'!$AS:$AS,"&lt;2014",
'20102013 STH Efficacy'!$BP:$BP,""),
"")</f>
        <v/>
      </c>
      <c r="BA176" s="303">
        <f t="shared" si="24"/>
        <v>0.796</v>
      </c>
      <c r="BB176" s="134" t="str">
        <f>IFERROR(AVERAGEIFS(
'20102013 STH Efficacy'!$N:$N, 
'20102013 STH Efficacy'!$B:$B, $A176, 
'20102013 STH Efficacy'!$C:$C, "Albendazole",
'20102013 STH Efficacy'!$I:$I,"&lt;2014",
'20102013 STH Efficacy'!$AH:$AH,""),
"")</f>
        <v/>
      </c>
      <c r="BC176" s="135">
        <f t="shared" si="25"/>
        <v>0.869</v>
      </c>
      <c r="BD176" s="134" t="str">
        <f>IFERROR(AVERAGEIFS(
'20102013 STH Efficacy'!$N:$N, 
'20102013 STH Efficacy'!$B:$B, $A176, 
'20102013 STH Efficacy'!$C:$C, "Mebendazole",
'20102013 STH Efficacy'!$I:$I,"&lt;2014",
'20102013 STH Efficacy'!$AH:$AH,""),
"")</f>
        <v/>
      </c>
      <c r="BE176" s="135">
        <f t="shared" si="26"/>
        <v>0.172</v>
      </c>
      <c r="BF176" s="128" t="str">
        <f>IFERROR(AVERAGEIFS(
'20102013 STH Efficacy'!$CD:$CD, 
'20102013 STH Efficacy'!$BS:$BS, $A176, 
'20102013 STH Efficacy'!$BT:$BT, "Albendazole",
'20102013 STH Efficacy'!$BZ:$BZ,"&lt;2014",
'20102013 STH Efficacy'!$CU:$CU,""),
"")</f>
        <v/>
      </c>
      <c r="BG176" s="136">
        <f t="shared" si="27"/>
        <v>0.9862</v>
      </c>
      <c r="BH176" s="128" t="str">
        <f>IFERROR(AVERAGEIFS(
'20102013 STH Efficacy'!$CD:$CD, 
'20102013 STH Efficacy'!$BS:$BS, $A176, 
'20102013 STH Efficacy'!$BT:$BT, "Mebendazole",
'20102013 STH Efficacy'!$BZ:$BZ,"&lt;2014",
'20102013 STH Efficacy'!$CU:$CU,""),
"")</f>
        <v/>
      </c>
      <c r="BI176" s="136">
        <f t="shared" si="28"/>
        <v>0.769</v>
      </c>
      <c r="BJ176" s="128" t="str">
        <f>IFERROR(AVERAGEIFS(
'20102013 STH Efficacy'!$CD:$CD, 
'20102013 STH Efficacy'!$BS:$BS, $A176, 
'20102013 STH Efficacy'!$BT:$BT, "Albendazole &amp; Ivermectin",
'20102013 STH Efficacy'!$BZ:$BZ,"&lt;2014",
'20102013 STH Efficacy'!$CU:$CU,""),
"")</f>
        <v/>
      </c>
      <c r="BK176" s="136">
        <f t="shared" si="29"/>
        <v>1</v>
      </c>
      <c r="BL176" s="300" t="str">
        <f>IFERROR(
  AVERAGEIFS(
    'NEW 20102013 Onchocerciasis Eff'!$AO:$AO,
    'NEW 20102013 Onchocerciasis Eff'!$C:$C,$A176,
    'NEW 20102013 Onchocerciasis Eff'!$D:$D,"Ivermectin",
    'NEW 20102013 Onchocerciasis Eff'!$AR:$AR,"&lt;2014",
    'NEW 20102013 Onchocerciasis Eff'!$BG:$BG,"")
,"")</f>
        <v/>
      </c>
      <c r="BM176" s="304">
        <f t="shared" si="30"/>
        <v>0.3734</v>
      </c>
      <c r="BN176" s="305">
        <v>0.0</v>
      </c>
      <c r="BO176" s="139">
        <v>0.0</v>
      </c>
      <c r="BP176" s="140">
        <v>0.0</v>
      </c>
      <c r="BQ176" s="141">
        <f t="shared" si="31"/>
        <v>0</v>
      </c>
      <c r="BR176" s="104" t="str">
        <f t="shared" si="32"/>
        <v>0000</v>
      </c>
      <c r="BS176" s="104" t="str">
        <f t="shared" si="33"/>
        <v>no action required</v>
      </c>
      <c r="BT176" s="142" t="str">
        <f t="shared" si="34"/>
        <v/>
      </c>
      <c r="BU176" s="104" t="str">
        <f t="shared" si="50"/>
        <v/>
      </c>
      <c r="BV176" s="104" t="str">
        <f t="shared" si="36"/>
        <v>none</v>
      </c>
      <c r="BW176" s="150" t="str">
        <f t="shared" si="37"/>
        <v/>
      </c>
      <c r="BX176" s="150" t="str">
        <f t="shared" si="38"/>
        <v/>
      </c>
      <c r="BY176" s="151" t="str">
        <f t="shared" si="39"/>
        <v/>
      </c>
      <c r="BZ176" s="152" t="str">
        <f t="shared" si="40"/>
        <v/>
      </c>
      <c r="CA176" s="152" t="str">
        <f t="shared" si="41"/>
        <v/>
      </c>
      <c r="CB176" s="152" t="str">
        <f t="shared" si="42"/>
        <v/>
      </c>
      <c r="CC176" s="153" t="str">
        <f t="shared" si="43"/>
        <v/>
      </c>
      <c r="CD176" s="153" t="str">
        <f t="shared" si="44"/>
        <v/>
      </c>
      <c r="CE176" s="154" t="str">
        <f t="shared" si="45"/>
        <v/>
      </c>
      <c r="CF176" s="154" t="str">
        <f t="shared" si="46"/>
        <v/>
      </c>
      <c r="CG176" s="154" t="str">
        <f t="shared" si="47"/>
        <v/>
      </c>
      <c r="CH176" s="308" t="str">
        <f t="shared" si="48"/>
        <v/>
      </c>
      <c r="CI176" s="299"/>
    </row>
    <row r="177">
      <c r="A177" s="155" t="s">
        <v>266</v>
      </c>
      <c r="B177" s="104" t="s">
        <v>90</v>
      </c>
      <c r="C177" s="105">
        <v>5413393.0</v>
      </c>
      <c r="D177" s="293">
        <v>0.0</v>
      </c>
      <c r="E177" s="294">
        <v>0.0</v>
      </c>
      <c r="F177" s="307">
        <v>0.0</v>
      </c>
      <c r="G177" s="307">
        <v>0.0</v>
      </c>
      <c r="H177" s="108">
        <v>0.0</v>
      </c>
      <c r="I177" s="109">
        <v>0.0</v>
      </c>
      <c r="J177" s="109">
        <v>0.0</v>
      </c>
      <c r="K177" s="109">
        <v>0.0</v>
      </c>
      <c r="L177" s="112">
        <v>0.165853531</v>
      </c>
      <c r="M177" s="112">
        <v>0.07357569</v>
      </c>
      <c r="N177" s="111">
        <v>0.239429221</v>
      </c>
      <c r="O177" s="298">
        <v>0.0</v>
      </c>
      <c r="P177" s="114"/>
      <c r="Q177" s="114"/>
      <c r="R177" s="121" t="str">
        <f t="shared" si="11"/>
        <v/>
      </c>
      <c r="S177" s="116">
        <f t="shared" si="12"/>
        <v>0.526225767</v>
      </c>
      <c r="T177" s="130"/>
      <c r="U177" s="118">
        <f t="shared" si="13"/>
        <v>0.3468166667</v>
      </c>
      <c r="V177" s="148"/>
      <c r="W177" s="120">
        <f t="shared" si="14"/>
        <v>1</v>
      </c>
      <c r="X177" s="148"/>
      <c r="Y177" s="120">
        <f t="shared" si="15"/>
        <v>1</v>
      </c>
      <c r="Z177" s="299"/>
      <c r="AA177" s="299"/>
      <c r="AB177" s="300" t="str">
        <f t="shared" si="16"/>
        <v/>
      </c>
      <c r="AC177" s="301">
        <f t="shared" si="17"/>
        <v>0.6295826791</v>
      </c>
      <c r="AD177" s="122">
        <v>0.0</v>
      </c>
      <c r="AE177" s="123">
        <v>0.0</v>
      </c>
      <c r="AF177" s="123">
        <v>0.0</v>
      </c>
      <c r="AG177" s="316">
        <v>0.0</v>
      </c>
      <c r="AH177" s="124">
        <v>0.0</v>
      </c>
      <c r="AI177" s="317">
        <v>0.0</v>
      </c>
      <c r="AJ177" s="125">
        <v>0.0</v>
      </c>
      <c r="AK177" s="319">
        <v>0.0</v>
      </c>
      <c r="AL177" s="319">
        <v>0.0</v>
      </c>
      <c r="AM177" s="302">
        <v>0.0</v>
      </c>
      <c r="AN177" s="149" t="str">
        <f>IFERROR(
  AVERAGEIFS(
    'New 20102013 LF Efficacy'!$J:$J,
    'New 20102013 LF Efficacy'!$D:$D, $A177,
    'New 20102013 LF Efficacy'!$F:$F,"DEC", 
    'New 20102013 LF Efficacy'!$W:$W,"&lt;2014",
    'New 20102013 LF Efficacy'!$AA:$AA,""),
  ""
)</f>
        <v/>
      </c>
      <c r="AO177" s="115">
        <f t="shared" si="18"/>
        <v>0.3573520833</v>
      </c>
      <c r="AP177" s="121" t="str">
        <f>IFERROR(
AVERAGEIFS(
'New 20102013 LF Efficacy'!$J:$J,
'New 20102013 LF Efficacy'!$D:$D,$A177,
'New 20102013 LF Efficacy'!$F:$F,"Albendazole &amp; DEC",
'New 20102013 LF Efficacy'!$W:$W,"&lt;2014",
'New 20102013 LF Efficacy'!$AA:$AA,""),
"")
</f>
        <v/>
      </c>
      <c r="AQ177" s="115">
        <f t="shared" si="19"/>
        <v>0.5137291667</v>
      </c>
      <c r="AR177" s="121" t="str">
        <f>IFERROR(
AVERAGEIFS(
'New 20102013 LF Efficacy'!$J:$J,
'New 20102013 LF Efficacy'!$D:$D,$A177,
'New 20102013 LF Efficacy'!$F:$F,"Albendazole &amp; Ivermectin", 
'New 20102013 LF Efficacy'!$W:$W,"&lt;2014",
'New 20102013 LF Efficacy'!$AA:$AA,""),"")</f>
        <v/>
      </c>
      <c r="AS177" s="115">
        <f t="shared" si="20"/>
        <v>0.37153125</v>
      </c>
      <c r="AT177" s="130">
        <f>IFERROR(AVERAGEIFS(
'20102013 Schist Efficacy'!$O:$O, 
'20102013 Schist Efficacy'!$C:$C,$A177, 
'20102013 Schist Efficacy'!$D:$D, "Praziquantel",
'20102013 Schist Efficacy'!$J:$J,"&lt;2014",
'20102013 Schist Efficacy'!$U:$U,""),
"")</f>
        <v>0.655</v>
      </c>
      <c r="AU177" s="118">
        <f t="shared" si="21"/>
        <v>0.655</v>
      </c>
      <c r="AV177" s="131" t="str">
        <f>IFERROR(AVERAGEIFS(
'20102013 STH Efficacy'!$AX:$AX, 
'20102013 STH Efficacy'!$AL:$AL, $A177, 
'20102013 STH Efficacy'!$AM:$AM, "Albendazole",
'20102013 STH Efficacy'!$AS:$AS,"&lt;2014",
'20102013 STH Efficacy'!$BP:$BP,""),
"")</f>
        <v/>
      </c>
      <c r="AW177" s="132">
        <f t="shared" si="22"/>
        <v>0.3933333333</v>
      </c>
      <c r="AX177" s="131" t="str">
        <f>IFERROR(AVERAGEIFS(
'20102013 STH Efficacy'!$AX:$AX, 
'20102013 STH Efficacy'!$AL:$AL, $A177, 
'20102013 STH Efficacy'!$AM:$AM, "Mebendazole",
'20102013 STH Efficacy'!$AS:$AS,"&lt;2014",
'20102013 STH Efficacy'!$BP:$BP,""),
"")</f>
        <v/>
      </c>
      <c r="AY177" s="132">
        <f t="shared" si="23"/>
        <v>0.5017738095</v>
      </c>
      <c r="AZ177" s="131" t="str">
        <f>IFERROR(AVERAGEIFS(
'20102013 STH Efficacy'!$AX:$AX, 
'20102013 STH Efficacy'!$AL:$AL, $A177, 
'20102013 STH Efficacy'!$AM:$AM, "Albendazole &amp; Ivermectin",
'20102013 STH Efficacy'!$AS:$AS,"&lt;2014",
'20102013 STH Efficacy'!$BP:$BP,""),
"")</f>
        <v/>
      </c>
      <c r="BA177" s="303">
        <f t="shared" si="24"/>
        <v>0.597625</v>
      </c>
      <c r="BB177" s="134" t="str">
        <f>IFERROR(AVERAGEIFS(
'20102013 STH Efficacy'!$N:$N, 
'20102013 STH Efficacy'!$B:$B, $A177, 
'20102013 STH Efficacy'!$C:$C, "Albendazole",
'20102013 STH Efficacy'!$I:$I,"&lt;2014",
'20102013 STH Efficacy'!$AH:$AH,""),
"")</f>
        <v/>
      </c>
      <c r="BC177" s="135">
        <f t="shared" si="25"/>
        <v>0.7613712121</v>
      </c>
      <c r="BD177" s="134" t="str">
        <f>IFERROR(AVERAGEIFS(
'20102013 STH Efficacy'!$N:$N, 
'20102013 STH Efficacy'!$B:$B, $A177, 
'20102013 STH Efficacy'!$C:$C, "Mebendazole",
'20102013 STH Efficacy'!$I:$I,"&lt;2014",
'20102013 STH Efficacy'!$AH:$AH,""),
"")</f>
        <v/>
      </c>
      <c r="BE177" s="135">
        <f t="shared" si="26"/>
        <v>0.4362466667</v>
      </c>
      <c r="BF177" s="128" t="str">
        <f>IFERROR(AVERAGEIFS(
'20102013 STH Efficacy'!$CD:$CD, 
'20102013 STH Efficacy'!$BS:$BS, $A177, 
'20102013 STH Efficacy'!$BT:$BT, "Albendazole",
'20102013 STH Efficacy'!$BZ:$BZ,"&lt;2014",
'20102013 STH Efficacy'!$CU:$CU,""),
"")</f>
        <v/>
      </c>
      <c r="BG177" s="136">
        <f t="shared" si="27"/>
        <v>0.9216027778</v>
      </c>
      <c r="BH177" s="128" t="str">
        <f>IFERROR(AVERAGEIFS(
'20102013 STH Efficacy'!$CD:$CD, 
'20102013 STH Efficacy'!$BS:$BS, $A177, 
'20102013 STH Efficacy'!$BT:$BT, "Mebendazole",
'20102013 STH Efficacy'!$BZ:$BZ,"&lt;2014",
'20102013 STH Efficacy'!$CU:$CU,""),
"")</f>
        <v/>
      </c>
      <c r="BI177" s="136">
        <f t="shared" si="28"/>
        <v>0.9295857143</v>
      </c>
      <c r="BJ177" s="128" t="str">
        <f>IFERROR(AVERAGEIFS(
'20102013 STH Efficacy'!$CD:$CD, 
'20102013 STH Efficacy'!$BS:$BS, $A177, 
'20102013 STH Efficacy'!$BT:$BT, "Albendazole &amp; Ivermectin",
'20102013 STH Efficacy'!$BZ:$BZ,"&lt;2014",
'20102013 STH Efficacy'!$CU:$CU,""),
"")</f>
        <v/>
      </c>
      <c r="BK177" s="136">
        <f t="shared" si="29"/>
        <v>1</v>
      </c>
      <c r="BL177" s="300" t="str">
        <f>IFERROR(
  AVERAGEIFS(
    'NEW 20102013 Onchocerciasis Eff'!$AO:$AO,
    'NEW 20102013 Onchocerciasis Eff'!$C:$C,$A177,
    'NEW 20102013 Onchocerciasis Eff'!$D:$D,"Ivermectin",
    'NEW 20102013 Onchocerciasis Eff'!$AR:$AR,"&lt;2014",
    'NEW 20102013 Onchocerciasis Eff'!$BG:$BG,"")
,"")</f>
        <v/>
      </c>
      <c r="BM177" s="304">
        <f t="shared" si="30"/>
        <v>0.7808368939</v>
      </c>
      <c r="BN177" s="305">
        <v>0.0</v>
      </c>
      <c r="BO177" s="139">
        <v>0.0</v>
      </c>
      <c r="BP177" s="140">
        <v>0.0</v>
      </c>
      <c r="BQ177" s="141">
        <f t="shared" si="31"/>
        <v>0</v>
      </c>
      <c r="BR177" s="104" t="str">
        <f t="shared" si="32"/>
        <v>0000</v>
      </c>
      <c r="BS177" s="104" t="str">
        <f t="shared" si="33"/>
        <v>no action required</v>
      </c>
      <c r="BT177" s="142" t="str">
        <f t="shared" si="34"/>
        <v/>
      </c>
      <c r="BU177" s="104" t="str">
        <f t="shared" si="50"/>
        <v/>
      </c>
      <c r="BV177" s="104" t="str">
        <f t="shared" si="36"/>
        <v>none</v>
      </c>
      <c r="BW177" s="150" t="str">
        <f t="shared" si="37"/>
        <v/>
      </c>
      <c r="BX177" s="150" t="str">
        <f t="shared" si="38"/>
        <v/>
      </c>
      <c r="BY177" s="151" t="str">
        <f t="shared" si="39"/>
        <v/>
      </c>
      <c r="BZ177" s="152" t="str">
        <f t="shared" si="40"/>
        <v/>
      </c>
      <c r="CA177" s="152" t="str">
        <f t="shared" si="41"/>
        <v/>
      </c>
      <c r="CB177" s="152" t="str">
        <f t="shared" si="42"/>
        <v/>
      </c>
      <c r="CC177" s="153" t="str">
        <f t="shared" si="43"/>
        <v/>
      </c>
      <c r="CD177" s="153" t="str">
        <f t="shared" si="44"/>
        <v/>
      </c>
      <c r="CE177" s="154" t="str">
        <f t="shared" si="45"/>
        <v/>
      </c>
      <c r="CF177" s="154" t="str">
        <f t="shared" si="46"/>
        <v/>
      </c>
      <c r="CG177" s="154" t="str">
        <f t="shared" si="47"/>
        <v/>
      </c>
      <c r="CH177" s="308" t="str">
        <f t="shared" si="48"/>
        <v/>
      </c>
      <c r="CI177" s="299"/>
    </row>
    <row r="178">
      <c r="A178" s="155" t="s">
        <v>267</v>
      </c>
      <c r="B178" s="104" t="s">
        <v>90</v>
      </c>
      <c r="C178" s="105">
        <v>2059953.0</v>
      </c>
      <c r="D178" s="293">
        <v>0.0</v>
      </c>
      <c r="E178" s="294">
        <v>0.0</v>
      </c>
      <c r="F178" s="307">
        <v>0.0</v>
      </c>
      <c r="G178" s="307">
        <v>0.0</v>
      </c>
      <c r="H178" s="108">
        <v>0.0</v>
      </c>
      <c r="I178" s="109">
        <v>0.0</v>
      </c>
      <c r="J178" s="109">
        <v>0.0</v>
      </c>
      <c r="K178" s="109">
        <v>0.0</v>
      </c>
      <c r="L178" s="112">
        <v>0.0</v>
      </c>
      <c r="M178" s="112">
        <v>0.0</v>
      </c>
      <c r="N178" s="111">
        <v>0.0</v>
      </c>
      <c r="O178" s="298">
        <v>0.0</v>
      </c>
      <c r="P178" s="114"/>
      <c r="Q178" s="114"/>
      <c r="R178" s="121" t="str">
        <f t="shared" si="11"/>
        <v/>
      </c>
      <c r="S178" s="116">
        <f t="shared" si="12"/>
        <v>0.526225767</v>
      </c>
      <c r="T178" s="130"/>
      <c r="U178" s="118">
        <f t="shared" si="13"/>
        <v>0.3468166667</v>
      </c>
      <c r="V178" s="148"/>
      <c r="W178" s="120">
        <f t="shared" si="14"/>
        <v>1</v>
      </c>
      <c r="X178" s="148"/>
      <c r="Y178" s="120">
        <f t="shared" si="15"/>
        <v>1</v>
      </c>
      <c r="Z178" s="299"/>
      <c r="AA178" s="299"/>
      <c r="AB178" s="300" t="str">
        <f t="shared" si="16"/>
        <v/>
      </c>
      <c r="AC178" s="301">
        <f t="shared" si="17"/>
        <v>0.6295826791</v>
      </c>
      <c r="AD178" s="122">
        <v>0.0</v>
      </c>
      <c r="AE178" s="123">
        <v>0.0</v>
      </c>
      <c r="AF178" s="123">
        <v>0.0</v>
      </c>
      <c r="AG178" s="316">
        <v>0.0</v>
      </c>
      <c r="AH178" s="124">
        <v>0.0</v>
      </c>
      <c r="AI178" s="317">
        <v>0.0</v>
      </c>
      <c r="AJ178" s="125">
        <v>0.0</v>
      </c>
      <c r="AK178" s="319">
        <v>0.0</v>
      </c>
      <c r="AL178" s="319">
        <v>0.0</v>
      </c>
      <c r="AM178" s="302">
        <v>0.0</v>
      </c>
      <c r="AN178" s="149" t="str">
        <f>IFERROR(
  AVERAGEIFS(
    'New 20102013 LF Efficacy'!$J:$J,
    'New 20102013 LF Efficacy'!$D:$D, $A178,
    'New 20102013 LF Efficacy'!$F:$F,"DEC", 
    'New 20102013 LF Efficacy'!$W:$W,"&lt;2014",
    'New 20102013 LF Efficacy'!$AA:$AA,""),
  ""
)</f>
        <v/>
      </c>
      <c r="AO178" s="115">
        <f t="shared" si="18"/>
        <v>0.3573520833</v>
      </c>
      <c r="AP178" s="121" t="str">
        <f>IFERROR(
AVERAGEIFS(
'New 20102013 LF Efficacy'!$J:$J,
'New 20102013 LF Efficacy'!$D:$D,$A178,
'New 20102013 LF Efficacy'!$F:$F,"Albendazole &amp; DEC",
'New 20102013 LF Efficacy'!$W:$W,"&lt;2014",
'New 20102013 LF Efficacy'!$AA:$AA,""),
"")
</f>
        <v/>
      </c>
      <c r="AQ178" s="115">
        <f t="shared" si="19"/>
        <v>0.5137291667</v>
      </c>
      <c r="AR178" s="121" t="str">
        <f>IFERROR(
AVERAGEIFS(
'New 20102013 LF Efficacy'!$J:$J,
'New 20102013 LF Efficacy'!$D:$D,$A178,
'New 20102013 LF Efficacy'!$F:$F,"Albendazole &amp; Ivermectin", 
'New 20102013 LF Efficacy'!$W:$W,"&lt;2014",
'New 20102013 LF Efficacy'!$AA:$AA,""),"")</f>
        <v/>
      </c>
      <c r="AS178" s="115">
        <f t="shared" si="20"/>
        <v>0.37153125</v>
      </c>
      <c r="AT178" s="130" t="str">
        <f>IFERROR(AVERAGEIFS(
'20102013 Schist Efficacy'!$O:$O, 
'20102013 Schist Efficacy'!$C:$C,$A178, 
'20102013 Schist Efficacy'!$D:$D, "Praziquantel",
'20102013 Schist Efficacy'!$J:$J,"&lt;2014",
'20102013 Schist Efficacy'!$U:$U,""),
"")</f>
        <v/>
      </c>
      <c r="AU178" s="118">
        <f t="shared" si="21"/>
        <v>0.655</v>
      </c>
      <c r="AV178" s="131" t="str">
        <f>IFERROR(AVERAGEIFS(
'20102013 STH Efficacy'!$AX:$AX, 
'20102013 STH Efficacy'!$AL:$AL, $A178, 
'20102013 STH Efficacy'!$AM:$AM, "Albendazole",
'20102013 STH Efficacy'!$AS:$AS,"&lt;2014",
'20102013 STH Efficacy'!$BP:$BP,""),
"")</f>
        <v/>
      </c>
      <c r="AW178" s="132">
        <f t="shared" si="22"/>
        <v>0.3933333333</v>
      </c>
      <c r="AX178" s="131" t="str">
        <f>IFERROR(AVERAGEIFS(
'20102013 STH Efficacy'!$AX:$AX, 
'20102013 STH Efficacy'!$AL:$AL, $A178, 
'20102013 STH Efficacy'!$AM:$AM, "Mebendazole",
'20102013 STH Efficacy'!$AS:$AS,"&lt;2014",
'20102013 STH Efficacy'!$BP:$BP,""),
"")</f>
        <v/>
      </c>
      <c r="AY178" s="132">
        <f t="shared" si="23"/>
        <v>0.5017738095</v>
      </c>
      <c r="AZ178" s="131" t="str">
        <f>IFERROR(AVERAGEIFS(
'20102013 STH Efficacy'!$AX:$AX, 
'20102013 STH Efficacy'!$AL:$AL, $A178, 
'20102013 STH Efficacy'!$AM:$AM, "Albendazole &amp; Ivermectin",
'20102013 STH Efficacy'!$AS:$AS,"&lt;2014",
'20102013 STH Efficacy'!$BP:$BP,""),
"")</f>
        <v/>
      </c>
      <c r="BA178" s="303">
        <f t="shared" si="24"/>
        <v>0.597625</v>
      </c>
      <c r="BB178" s="134" t="str">
        <f>IFERROR(AVERAGEIFS(
'20102013 STH Efficacy'!$N:$N, 
'20102013 STH Efficacy'!$B:$B, $A178, 
'20102013 STH Efficacy'!$C:$C, "Albendazole",
'20102013 STH Efficacy'!$I:$I,"&lt;2014",
'20102013 STH Efficacy'!$AH:$AH,""),
"")</f>
        <v/>
      </c>
      <c r="BC178" s="135">
        <f t="shared" si="25"/>
        <v>0.7613712121</v>
      </c>
      <c r="BD178" s="134" t="str">
        <f>IFERROR(AVERAGEIFS(
'20102013 STH Efficacy'!$N:$N, 
'20102013 STH Efficacy'!$B:$B, $A178, 
'20102013 STH Efficacy'!$C:$C, "Mebendazole",
'20102013 STH Efficacy'!$I:$I,"&lt;2014",
'20102013 STH Efficacy'!$AH:$AH,""),
"")</f>
        <v/>
      </c>
      <c r="BE178" s="135">
        <f t="shared" si="26"/>
        <v>0.4362466667</v>
      </c>
      <c r="BF178" s="128" t="str">
        <f>IFERROR(AVERAGEIFS(
'20102013 STH Efficacy'!$CD:$CD, 
'20102013 STH Efficacy'!$BS:$BS, $A178, 
'20102013 STH Efficacy'!$BT:$BT, "Albendazole",
'20102013 STH Efficacy'!$BZ:$BZ,"&lt;2014",
'20102013 STH Efficacy'!$CU:$CU,""),
"")</f>
        <v/>
      </c>
      <c r="BG178" s="136">
        <f t="shared" si="27"/>
        <v>0.9216027778</v>
      </c>
      <c r="BH178" s="128" t="str">
        <f>IFERROR(AVERAGEIFS(
'20102013 STH Efficacy'!$CD:$CD, 
'20102013 STH Efficacy'!$BS:$BS, $A178, 
'20102013 STH Efficacy'!$BT:$BT, "Mebendazole",
'20102013 STH Efficacy'!$BZ:$BZ,"&lt;2014",
'20102013 STH Efficacy'!$CU:$CU,""),
"")</f>
        <v/>
      </c>
      <c r="BI178" s="136">
        <f t="shared" si="28"/>
        <v>0.9295857143</v>
      </c>
      <c r="BJ178" s="128" t="str">
        <f>IFERROR(AVERAGEIFS(
'20102013 STH Efficacy'!$CD:$CD, 
'20102013 STH Efficacy'!$BS:$BS, $A178, 
'20102013 STH Efficacy'!$BT:$BT, "Albendazole &amp; Ivermectin",
'20102013 STH Efficacy'!$BZ:$BZ,"&lt;2014",
'20102013 STH Efficacy'!$CU:$CU,""),
"")</f>
        <v/>
      </c>
      <c r="BK178" s="136">
        <f t="shared" si="29"/>
        <v>1</v>
      </c>
      <c r="BL178" s="300" t="str">
        <f>IFERROR(
  AVERAGEIFS(
    'NEW 20102013 Onchocerciasis Eff'!$AO:$AO,
    'NEW 20102013 Onchocerciasis Eff'!$C:$C,$A178,
    'NEW 20102013 Onchocerciasis Eff'!$D:$D,"Ivermectin",
    'NEW 20102013 Onchocerciasis Eff'!$AR:$AR,"&lt;2014",
    'NEW 20102013 Onchocerciasis Eff'!$BG:$BG,"")
,"")</f>
        <v/>
      </c>
      <c r="BM178" s="304">
        <f t="shared" si="30"/>
        <v>0.7808368939</v>
      </c>
      <c r="BN178" s="305">
        <v>0.0</v>
      </c>
      <c r="BO178" s="139">
        <v>0.0</v>
      </c>
      <c r="BP178" s="140">
        <v>0.0</v>
      </c>
      <c r="BQ178" s="141">
        <f t="shared" si="31"/>
        <v>0</v>
      </c>
      <c r="BR178" s="104" t="str">
        <f t="shared" si="32"/>
        <v>0000</v>
      </c>
      <c r="BS178" s="104" t="str">
        <f t="shared" si="33"/>
        <v>no action required</v>
      </c>
      <c r="BT178" s="142" t="str">
        <f t="shared" si="34"/>
        <v/>
      </c>
      <c r="BU178" s="104" t="str">
        <f t="shared" si="50"/>
        <v/>
      </c>
      <c r="BV178" s="104" t="str">
        <f t="shared" si="36"/>
        <v>none</v>
      </c>
      <c r="BW178" s="150" t="str">
        <f t="shared" si="37"/>
        <v/>
      </c>
      <c r="BX178" s="150" t="str">
        <f t="shared" si="38"/>
        <v/>
      </c>
      <c r="BY178" s="151" t="str">
        <f t="shared" si="39"/>
        <v/>
      </c>
      <c r="BZ178" s="152" t="str">
        <f t="shared" si="40"/>
        <v/>
      </c>
      <c r="CA178" s="152" t="str">
        <f t="shared" si="41"/>
        <v/>
      </c>
      <c r="CB178" s="152" t="str">
        <f t="shared" si="42"/>
        <v/>
      </c>
      <c r="CC178" s="153" t="str">
        <f t="shared" si="43"/>
        <v/>
      </c>
      <c r="CD178" s="153" t="str">
        <f t="shared" si="44"/>
        <v/>
      </c>
      <c r="CE178" s="154" t="str">
        <f t="shared" si="45"/>
        <v/>
      </c>
      <c r="CF178" s="154" t="str">
        <f t="shared" si="46"/>
        <v/>
      </c>
      <c r="CG178" s="154" t="str">
        <f t="shared" si="47"/>
        <v/>
      </c>
      <c r="CH178" s="308" t="str">
        <f t="shared" si="48"/>
        <v/>
      </c>
      <c r="CI178" s="299"/>
    </row>
    <row r="179">
      <c r="A179" s="103" t="s">
        <v>268</v>
      </c>
      <c r="B179" s="104" t="s">
        <v>94</v>
      </c>
      <c r="C179" s="105">
        <v>563513.0</v>
      </c>
      <c r="D179" s="293">
        <v>0.0</v>
      </c>
      <c r="E179" s="294">
        <v>0.0</v>
      </c>
      <c r="F179" s="307">
        <v>8.960566298</v>
      </c>
      <c r="G179" s="307">
        <v>36.7050029</v>
      </c>
      <c r="H179" s="108">
        <v>45.6655692</v>
      </c>
      <c r="I179" s="109">
        <v>81.982382</v>
      </c>
      <c r="J179" s="109">
        <v>226.747433</v>
      </c>
      <c r="K179" s="109">
        <v>308.7298155</v>
      </c>
      <c r="L179" s="112">
        <v>22.36250662</v>
      </c>
      <c r="M179" s="112">
        <v>10.28996218</v>
      </c>
      <c r="N179" s="111">
        <v>32.6524688</v>
      </c>
      <c r="O179" s="298">
        <v>0.0</v>
      </c>
      <c r="P179" s="156"/>
      <c r="Q179" s="156"/>
      <c r="R179" s="121" t="str">
        <f t="shared" si="11"/>
        <v/>
      </c>
      <c r="S179" s="116">
        <f t="shared" si="12"/>
        <v>0.403639098</v>
      </c>
      <c r="T179" s="130"/>
      <c r="U179" s="118">
        <f t="shared" si="13"/>
        <v>0.6259666667</v>
      </c>
      <c r="V179" s="148"/>
      <c r="W179" s="120">
        <f t="shared" si="14"/>
        <v>0.3807857143</v>
      </c>
      <c r="X179" s="148"/>
      <c r="Y179" s="120">
        <f t="shared" si="15"/>
        <v>0.3971375</v>
      </c>
      <c r="Z179" s="299"/>
      <c r="AA179" s="299"/>
      <c r="AB179" s="300" t="str">
        <f t="shared" si="16"/>
        <v/>
      </c>
      <c r="AC179" s="301">
        <f t="shared" si="17"/>
        <v>0.6295826791</v>
      </c>
      <c r="AD179" s="122">
        <v>0.0</v>
      </c>
      <c r="AE179" s="123">
        <v>0.0</v>
      </c>
      <c r="AF179" s="123">
        <v>0.0</v>
      </c>
      <c r="AG179" s="316">
        <v>0.0</v>
      </c>
      <c r="AH179" s="124">
        <v>0.262484503</v>
      </c>
      <c r="AI179" s="317">
        <v>0.0</v>
      </c>
      <c r="AJ179" s="125">
        <v>0.306069018</v>
      </c>
      <c r="AK179" s="319">
        <v>0.0</v>
      </c>
      <c r="AL179" s="319">
        <v>0.0</v>
      </c>
      <c r="AM179" s="302">
        <v>0.0</v>
      </c>
      <c r="AN179" s="149" t="str">
        <f>IFERROR(
  AVERAGEIFS(
    'New 20102013 LF Efficacy'!$J:$J,
    'New 20102013 LF Efficacy'!$D:$D, $A179,
    'New 20102013 LF Efficacy'!$F:$F,"DEC", 
    'New 20102013 LF Efficacy'!$W:$W,"&lt;2014",
    'New 20102013 LF Efficacy'!$AA:$AA,""),
  ""
)</f>
        <v/>
      </c>
      <c r="AO179" s="115">
        <f t="shared" si="18"/>
        <v>0.38</v>
      </c>
      <c r="AP179" s="121" t="str">
        <f>IFERROR(
AVERAGEIFS(
'New 20102013 LF Efficacy'!$J:$J,
'New 20102013 LF Efficacy'!$D:$D,$A179,
'New 20102013 LF Efficacy'!$F:$F,"Albendazole &amp; DEC",
'New 20102013 LF Efficacy'!$W:$W,"&lt;2014",
'New 20102013 LF Efficacy'!$AA:$AA,""),
"")
</f>
        <v/>
      </c>
      <c r="AQ179" s="115">
        <f t="shared" si="19"/>
        <v>0.657</v>
      </c>
      <c r="AR179" s="121" t="str">
        <f>IFERROR(
AVERAGEIFS(
'New 20102013 LF Efficacy'!$J:$J,
'New 20102013 LF Efficacy'!$D:$D,$A179,
'New 20102013 LF Efficacy'!$F:$F,"Albendazole &amp; Ivermectin", 
'New 20102013 LF Efficacy'!$W:$W,"&lt;2014",
'New 20102013 LF Efficacy'!$AA:$AA,""),"")</f>
        <v/>
      </c>
      <c r="AS179" s="115">
        <f t="shared" si="20"/>
        <v>0.37153125</v>
      </c>
      <c r="AT179" s="130" t="str">
        <f>IFERROR(AVERAGEIFS(
'20102013 Schist Efficacy'!$O:$O, 
'20102013 Schist Efficacy'!$C:$C,$A179, 
'20102013 Schist Efficacy'!$D:$D, "Praziquantel",
'20102013 Schist Efficacy'!$J:$J,"&lt;2014",
'20102013 Schist Efficacy'!$U:$U,""),
"")</f>
        <v/>
      </c>
      <c r="AU179" s="118">
        <f t="shared" si="21"/>
        <v>0.9475</v>
      </c>
      <c r="AV179" s="131" t="str">
        <f>IFERROR(AVERAGEIFS(
'20102013 STH Efficacy'!$AX:$AX, 
'20102013 STH Efficacy'!$AL:$AL, $A179, 
'20102013 STH Efficacy'!$AM:$AM, "Albendazole",
'20102013 STH Efficacy'!$AS:$AS,"&lt;2014",
'20102013 STH Efficacy'!$BP:$BP,""),
"")</f>
        <v/>
      </c>
      <c r="AW179" s="132">
        <f t="shared" si="22"/>
        <v>0.3571666667</v>
      </c>
      <c r="AX179" s="131" t="str">
        <f>IFERROR(AVERAGEIFS(
'20102013 STH Efficacy'!$AX:$AX, 
'20102013 STH Efficacy'!$AL:$AL, $A179, 
'20102013 STH Efficacy'!$AM:$AM, "Mebendazole",
'20102013 STH Efficacy'!$AS:$AS,"&lt;2014",
'20102013 STH Efficacy'!$BP:$BP,""),
"")</f>
        <v/>
      </c>
      <c r="AY179" s="132">
        <f t="shared" si="23"/>
        <v>0.4155</v>
      </c>
      <c r="AZ179" s="131" t="str">
        <f>IFERROR(AVERAGEIFS(
'20102013 STH Efficacy'!$AX:$AX, 
'20102013 STH Efficacy'!$AL:$AL, $A179, 
'20102013 STH Efficacy'!$AM:$AM, "Albendazole &amp; Ivermectin",
'20102013 STH Efficacy'!$AS:$AS,"&lt;2014",
'20102013 STH Efficacy'!$BP:$BP,""),
"")</f>
        <v/>
      </c>
      <c r="BA179" s="303">
        <f t="shared" si="24"/>
        <v>0.651</v>
      </c>
      <c r="BB179" s="134" t="str">
        <f>IFERROR(AVERAGEIFS(
'20102013 STH Efficacy'!$N:$N, 
'20102013 STH Efficacy'!$B:$B, $A179, 
'20102013 STH Efficacy'!$C:$C, "Albendazole",
'20102013 STH Efficacy'!$I:$I,"&lt;2014",
'20102013 STH Efficacy'!$AH:$AH,""),
"")</f>
        <v/>
      </c>
      <c r="BC179" s="135">
        <f t="shared" si="25"/>
        <v>0.5769166667</v>
      </c>
      <c r="BD179" s="134" t="str">
        <f>IFERROR(AVERAGEIFS(
'20102013 STH Efficacy'!$N:$N, 
'20102013 STH Efficacy'!$B:$B, $A179, 
'20102013 STH Efficacy'!$C:$C, "Mebendazole",
'20102013 STH Efficacy'!$I:$I,"&lt;2014",
'20102013 STH Efficacy'!$AH:$AH,""),
"")</f>
        <v/>
      </c>
      <c r="BE179" s="135">
        <f t="shared" si="26"/>
        <v>0.3145</v>
      </c>
      <c r="BF179" s="128" t="str">
        <f>IFERROR(AVERAGEIFS(
'20102013 STH Efficacy'!$CD:$CD, 
'20102013 STH Efficacy'!$BS:$BS, $A179, 
'20102013 STH Efficacy'!$BT:$BT, "Albendazole",
'20102013 STH Efficacy'!$BZ:$BZ,"&lt;2014",
'20102013 STH Efficacy'!$CU:$CU,""),
"")</f>
        <v/>
      </c>
      <c r="BG179" s="136">
        <f t="shared" si="27"/>
        <v>0.96925</v>
      </c>
      <c r="BH179" s="128" t="str">
        <f>IFERROR(AVERAGEIFS(
'20102013 STH Efficacy'!$CD:$CD, 
'20102013 STH Efficacy'!$BS:$BS, $A179, 
'20102013 STH Efficacy'!$BT:$BT, "Mebendazole",
'20102013 STH Efficacy'!$BZ:$BZ,"&lt;2014",
'20102013 STH Efficacy'!$CU:$CU,""),
"")</f>
        <v/>
      </c>
      <c r="BI179" s="136">
        <f t="shared" si="28"/>
        <v>0.9305</v>
      </c>
      <c r="BJ179" s="128" t="str">
        <f>IFERROR(AVERAGEIFS(
'20102013 STH Efficacy'!$CD:$CD, 
'20102013 STH Efficacy'!$BS:$BS, $A179, 
'20102013 STH Efficacy'!$BT:$BT, "Albendazole &amp; Ivermectin",
'20102013 STH Efficacy'!$BZ:$BZ,"&lt;2014",
'20102013 STH Efficacy'!$CU:$CU,""),
"")</f>
        <v/>
      </c>
      <c r="BK179" s="136">
        <f t="shared" si="29"/>
        <v>1</v>
      </c>
      <c r="BL179" s="300" t="str">
        <f>IFERROR(
  AVERAGEIFS(
    'NEW 20102013 Onchocerciasis Eff'!$AO:$AO,
    'NEW 20102013 Onchocerciasis Eff'!$C:$C,$A179,
    'NEW 20102013 Onchocerciasis Eff'!$D:$D,"Ivermectin",
    'NEW 20102013 Onchocerciasis Eff'!$AR:$AR,"&lt;2014",
    'NEW 20102013 Onchocerciasis Eff'!$BG:$BG,"")
,"")</f>
        <v/>
      </c>
      <c r="BM179" s="304">
        <f t="shared" si="30"/>
        <v>0.7808368939</v>
      </c>
      <c r="BN179" s="305">
        <v>0.0</v>
      </c>
      <c r="BO179" s="139">
        <v>1.0</v>
      </c>
      <c r="BP179" s="140">
        <v>0.0</v>
      </c>
      <c r="BQ179" s="141">
        <f t="shared" si="31"/>
        <v>0</v>
      </c>
      <c r="BR179" s="104" t="str">
        <f t="shared" si="32"/>
        <v>0100</v>
      </c>
      <c r="BS179" s="104" t="str">
        <f t="shared" si="33"/>
        <v>MDA3</v>
      </c>
      <c r="BT179" s="142" t="str">
        <f t="shared" si="34"/>
        <v>IVM</v>
      </c>
      <c r="BU179" s="104" t="str">
        <f t="shared" si="50"/>
        <v/>
      </c>
      <c r="BV179" s="104" t="str">
        <f t="shared" si="36"/>
        <v>onch only</v>
      </c>
      <c r="BW179" s="150" t="str">
        <f t="shared" si="37"/>
        <v/>
      </c>
      <c r="BX179" s="150" t="str">
        <f t="shared" si="38"/>
        <v/>
      </c>
      <c r="BY179" s="151" t="str">
        <f t="shared" si="39"/>
        <v/>
      </c>
      <c r="BZ179" s="152" t="str">
        <f t="shared" si="40"/>
        <v/>
      </c>
      <c r="CA179" s="152" t="str">
        <f t="shared" si="41"/>
        <v/>
      </c>
      <c r="CB179" s="152" t="str">
        <f t="shared" si="42"/>
        <v/>
      </c>
      <c r="CC179" s="153" t="str">
        <f t="shared" si="43"/>
        <v/>
      </c>
      <c r="CD179" s="153" t="str">
        <f t="shared" si="44"/>
        <v/>
      </c>
      <c r="CE179" s="154" t="str">
        <f t="shared" si="45"/>
        <v/>
      </c>
      <c r="CF179" s="154" t="str">
        <f t="shared" si="46"/>
        <v/>
      </c>
      <c r="CG179" s="154" t="str">
        <f t="shared" si="47"/>
        <v/>
      </c>
      <c r="CH179" s="313">
        <f t="shared" si="48"/>
        <v>0</v>
      </c>
      <c r="CI179" s="299"/>
    </row>
    <row r="180">
      <c r="A180" s="103" t="s">
        <v>269</v>
      </c>
      <c r="B180" s="104" t="s">
        <v>88</v>
      </c>
      <c r="C180" s="105">
        <v>1.3132349E7</v>
      </c>
      <c r="D180" s="293">
        <v>0.0</v>
      </c>
      <c r="E180" s="294">
        <v>17927.67558</v>
      </c>
      <c r="F180" s="295">
        <v>203.0435</v>
      </c>
      <c r="G180" s="322">
        <v>1169.123291</v>
      </c>
      <c r="H180" s="157">
        <v>1372.166791</v>
      </c>
      <c r="I180" s="110">
        <v>784.990026</v>
      </c>
      <c r="J180" s="110">
        <v>3161.5969</v>
      </c>
      <c r="K180" s="110">
        <v>3946.58693</v>
      </c>
      <c r="L180" s="111">
        <v>2114.42277</v>
      </c>
      <c r="M180" s="112">
        <v>437.4963469</v>
      </c>
      <c r="N180" s="111">
        <v>2551.919116</v>
      </c>
      <c r="O180" s="298">
        <v>0.0</v>
      </c>
      <c r="P180" s="114"/>
      <c r="Q180" s="114"/>
      <c r="R180" s="121" t="str">
        <f t="shared" si="11"/>
        <v/>
      </c>
      <c r="S180" s="116">
        <f t="shared" si="12"/>
        <v>0.4713987966</v>
      </c>
      <c r="T180" s="130"/>
      <c r="U180" s="118">
        <f t="shared" si="13"/>
        <v>0.5949</v>
      </c>
      <c r="V180" s="148"/>
      <c r="W180" s="120">
        <f t="shared" si="14"/>
        <v>0.9216</v>
      </c>
      <c r="X180" s="148"/>
      <c r="Y180" s="120">
        <f t="shared" si="15"/>
        <v>0.521</v>
      </c>
      <c r="Z180" s="299"/>
      <c r="AA180" s="299"/>
      <c r="AB180" s="300" t="str">
        <f t="shared" si="16"/>
        <v/>
      </c>
      <c r="AC180" s="301">
        <f t="shared" si="17"/>
        <v>0.3122297241</v>
      </c>
      <c r="AD180" s="122">
        <v>0.0</v>
      </c>
      <c r="AE180" s="123">
        <v>0.15</v>
      </c>
      <c r="AF180" s="123">
        <v>0.0432</v>
      </c>
      <c r="AG180" s="124">
        <v>0.185</v>
      </c>
      <c r="AH180" s="124">
        <v>0.289070081</v>
      </c>
      <c r="AI180" s="125">
        <v>0.1253</v>
      </c>
      <c r="AJ180" s="125">
        <v>0.201902306</v>
      </c>
      <c r="AK180" s="127">
        <v>0.0496</v>
      </c>
      <c r="AL180" s="127">
        <v>0.0792</v>
      </c>
      <c r="AM180" s="302">
        <v>0.0</v>
      </c>
      <c r="AN180" s="149" t="str">
        <f>IFERROR(
  AVERAGEIFS(
    'New 20102013 LF Efficacy'!$J:$J,
    'New 20102013 LF Efficacy'!$D:$D, $A180,
    'New 20102013 LF Efficacy'!$F:$F,"DEC", 
    'New 20102013 LF Efficacy'!$W:$W,"&lt;2014",
    'New 20102013 LF Efficacy'!$AA:$AA,""),
  ""
)</f>
        <v/>
      </c>
      <c r="AO180" s="115">
        <f t="shared" si="18"/>
        <v>0.3573520833</v>
      </c>
      <c r="AP180" s="121" t="str">
        <f>IFERROR(
AVERAGEIFS(
'New 20102013 LF Efficacy'!$J:$J,
'New 20102013 LF Efficacy'!$D:$D,$A180,
'New 20102013 LF Efficacy'!$F:$F,"Albendazole &amp; DEC",
'New 20102013 LF Efficacy'!$W:$W,"&lt;2014",
'New 20102013 LF Efficacy'!$AA:$AA,""),
"")
</f>
        <v/>
      </c>
      <c r="AQ180" s="115">
        <f t="shared" si="19"/>
        <v>0.7935</v>
      </c>
      <c r="AR180" s="121" t="str">
        <f>IFERROR(
AVERAGEIFS(
'New 20102013 LF Efficacy'!$J:$J,
'New 20102013 LF Efficacy'!$D:$D,$A180,
'New 20102013 LF Efficacy'!$F:$F,"Albendazole &amp; Ivermectin", 
'New 20102013 LF Efficacy'!$W:$W,"&lt;2014",
'New 20102013 LF Efficacy'!$AA:$AA,""),"")</f>
        <v/>
      </c>
      <c r="AS180" s="115">
        <f t="shared" si="20"/>
        <v>0.37153125</v>
      </c>
      <c r="AT180" s="130" t="str">
        <f>IFERROR(AVERAGEIFS(
'20102013 Schist Efficacy'!$O:$O, 
'20102013 Schist Efficacy'!$C:$C,$A180, 
'20102013 Schist Efficacy'!$D:$D, "Praziquantel",
'20102013 Schist Efficacy'!$J:$J,"&lt;2014",
'20102013 Schist Efficacy'!$U:$U,""),
"")</f>
        <v/>
      </c>
      <c r="AU180" s="118">
        <f t="shared" si="21"/>
        <v>0.7763141026</v>
      </c>
      <c r="AV180" s="131" t="str">
        <f>IFERROR(AVERAGEIFS(
'20102013 STH Efficacy'!$AX:$AX, 
'20102013 STH Efficacy'!$AL:$AL, $A180, 
'20102013 STH Efficacy'!$AM:$AM, "Albendazole",
'20102013 STH Efficacy'!$AS:$AS,"&lt;2014",
'20102013 STH Efficacy'!$BP:$BP,""),
"")</f>
        <v/>
      </c>
      <c r="AW180" s="132">
        <f t="shared" si="22"/>
        <v>0.3933333333</v>
      </c>
      <c r="AX180" s="131" t="str">
        <f>IFERROR(AVERAGEIFS(
'20102013 STH Efficacy'!$AX:$AX, 
'20102013 STH Efficacy'!$AL:$AL, $A180, 
'20102013 STH Efficacy'!$AM:$AM, "Mebendazole",
'20102013 STH Efficacy'!$AS:$AS,"&lt;2014",
'20102013 STH Efficacy'!$BP:$BP,""),
"")</f>
        <v/>
      </c>
      <c r="AY180" s="132">
        <f t="shared" si="23"/>
        <v>0.5017738095</v>
      </c>
      <c r="AZ180" s="131" t="str">
        <f>IFERROR(AVERAGEIFS(
'20102013 STH Efficacy'!$AX:$AX, 
'20102013 STH Efficacy'!$AL:$AL, $A180, 
'20102013 STH Efficacy'!$AM:$AM, "Albendazole &amp; Ivermectin",
'20102013 STH Efficacy'!$AS:$AS,"&lt;2014",
'20102013 STH Efficacy'!$BP:$BP,""),
"")</f>
        <v/>
      </c>
      <c r="BA180" s="303">
        <f t="shared" si="24"/>
        <v>0.597625</v>
      </c>
      <c r="BB180" s="134" t="str">
        <f>IFERROR(AVERAGEIFS(
'20102013 STH Efficacy'!$N:$N, 
'20102013 STH Efficacy'!$B:$B, $A180, 
'20102013 STH Efficacy'!$C:$C, "Albendazole",
'20102013 STH Efficacy'!$I:$I,"&lt;2014",
'20102013 STH Efficacy'!$AH:$AH,""),
"")</f>
        <v/>
      </c>
      <c r="BC180" s="135">
        <f t="shared" si="25"/>
        <v>0.7613712121</v>
      </c>
      <c r="BD180" s="134" t="str">
        <f>IFERROR(AVERAGEIFS(
'20102013 STH Efficacy'!$N:$N, 
'20102013 STH Efficacy'!$B:$B, $A180, 
'20102013 STH Efficacy'!$C:$C, "Mebendazole",
'20102013 STH Efficacy'!$I:$I,"&lt;2014",
'20102013 STH Efficacy'!$AH:$AH,""),
"")</f>
        <v/>
      </c>
      <c r="BE180" s="135">
        <f t="shared" si="26"/>
        <v>0.4362466667</v>
      </c>
      <c r="BF180" s="128" t="str">
        <f>IFERROR(AVERAGEIFS(
'20102013 STH Efficacy'!$CD:$CD, 
'20102013 STH Efficacy'!$BS:$BS, $A180, 
'20102013 STH Efficacy'!$BT:$BT, "Albendazole",
'20102013 STH Efficacy'!$BZ:$BZ,"&lt;2014",
'20102013 STH Efficacy'!$CU:$CU,""),
"")</f>
        <v/>
      </c>
      <c r="BG180" s="136">
        <f t="shared" si="27"/>
        <v>0.955</v>
      </c>
      <c r="BH180" s="128" t="str">
        <f>IFERROR(AVERAGEIFS(
'20102013 STH Efficacy'!$CD:$CD, 
'20102013 STH Efficacy'!$BS:$BS, $A180, 
'20102013 STH Efficacy'!$BT:$BT, "Mebendazole",
'20102013 STH Efficacy'!$BZ:$BZ,"&lt;2014",
'20102013 STH Efficacy'!$CU:$CU,""),
"")</f>
        <v/>
      </c>
      <c r="BI180" s="136">
        <f t="shared" si="28"/>
        <v>1</v>
      </c>
      <c r="BJ180" s="128" t="str">
        <f>IFERROR(AVERAGEIFS(
'20102013 STH Efficacy'!$CD:$CD, 
'20102013 STH Efficacy'!$BS:$BS, $A180, 
'20102013 STH Efficacy'!$BT:$BT, "Albendazole &amp; Ivermectin",
'20102013 STH Efficacy'!$BZ:$BZ,"&lt;2014",
'20102013 STH Efficacy'!$CU:$CU,""),
"")</f>
        <v/>
      </c>
      <c r="BK180" s="136">
        <f t="shared" si="29"/>
        <v>1</v>
      </c>
      <c r="BL180" s="300" t="str">
        <f>IFERROR(
  AVERAGEIFS(
    'NEW 20102013 Onchocerciasis Eff'!$AO:$AO,
    'NEW 20102013 Onchocerciasis Eff'!$C:$C,$A180,
    'NEW 20102013 Onchocerciasis Eff'!$D:$D,"Ivermectin",
    'NEW 20102013 Onchocerciasis Eff'!$AR:$AR,"&lt;2014",
    'NEW 20102013 Onchocerciasis Eff'!$BG:$BG,"")
,"")</f>
        <v/>
      </c>
      <c r="BM180" s="304">
        <f t="shared" si="30"/>
        <v>0.7808368939</v>
      </c>
      <c r="BN180" s="305">
        <v>0.0</v>
      </c>
      <c r="BO180" s="139">
        <v>1.0</v>
      </c>
      <c r="BP180" s="140">
        <v>1.0</v>
      </c>
      <c r="BQ180" s="141">
        <f t="shared" si="31"/>
        <v>0</v>
      </c>
      <c r="BR180" s="104" t="str">
        <f t="shared" si="32"/>
        <v>0110</v>
      </c>
      <c r="BS180" s="104" t="str">
        <f t="shared" si="33"/>
        <v>MDA3+T2</v>
      </c>
      <c r="BT180" s="142" t="str">
        <f t="shared" si="34"/>
        <v>IVM</v>
      </c>
      <c r="BU180" s="104" t="str">
        <f t="shared" si="50"/>
        <v>PZQ</v>
      </c>
      <c r="BV180" s="104" t="str">
        <f t="shared" si="36"/>
        <v>onch+schist</v>
      </c>
      <c r="BW180" s="150" t="str">
        <f t="shared" si="37"/>
        <v/>
      </c>
      <c r="BX180" s="150" t="str">
        <f t="shared" si="38"/>
        <v/>
      </c>
      <c r="BY180" s="162">
        <f t="shared" si="39"/>
        <v>15384.56947</v>
      </c>
      <c r="BZ180" s="152" t="str">
        <f t="shared" si="40"/>
        <v/>
      </c>
      <c r="CA180" s="152" t="str">
        <f t="shared" si="41"/>
        <v/>
      </c>
      <c r="CB180" s="152" t="str">
        <f t="shared" si="42"/>
        <v/>
      </c>
      <c r="CC180" s="153" t="str">
        <f t="shared" si="43"/>
        <v/>
      </c>
      <c r="CD180" s="153" t="str">
        <f t="shared" si="44"/>
        <v/>
      </c>
      <c r="CE180" s="154" t="str">
        <f t="shared" si="45"/>
        <v/>
      </c>
      <c r="CF180" s="154" t="str">
        <f t="shared" si="46"/>
        <v/>
      </c>
      <c r="CG180" s="154" t="str">
        <f t="shared" si="47"/>
        <v/>
      </c>
      <c r="CH180" s="313">
        <f t="shared" si="48"/>
        <v>0</v>
      </c>
      <c r="CI180" s="299"/>
    </row>
    <row r="181">
      <c r="A181" s="155" t="s">
        <v>270</v>
      </c>
      <c r="B181" s="104" t="s">
        <v>92</v>
      </c>
      <c r="C181" s="105">
        <v>5.3311956E7</v>
      </c>
      <c r="D181" s="293">
        <v>0.0</v>
      </c>
      <c r="E181" s="321">
        <v>45177.86974</v>
      </c>
      <c r="F181" s="322">
        <v>1147.563353</v>
      </c>
      <c r="G181" s="322">
        <v>5975.251584</v>
      </c>
      <c r="H181" s="157">
        <v>7122.814937</v>
      </c>
      <c r="I181" s="110">
        <v>2749.54131</v>
      </c>
      <c r="J181" s="110">
        <v>8082.80302</v>
      </c>
      <c r="K181" s="110">
        <v>10832.34433</v>
      </c>
      <c r="L181" s="111">
        <v>597.350029</v>
      </c>
      <c r="M181" s="111">
        <v>1372.667239</v>
      </c>
      <c r="N181" s="111">
        <v>1970.017268</v>
      </c>
      <c r="O181" s="298">
        <v>0.0</v>
      </c>
      <c r="P181" s="114"/>
      <c r="Q181" s="114"/>
      <c r="R181" s="121" t="str">
        <f t="shared" si="11"/>
        <v/>
      </c>
      <c r="S181" s="116">
        <f t="shared" si="12"/>
        <v>0.2589669834</v>
      </c>
      <c r="T181" s="130"/>
      <c r="U181" s="118">
        <f t="shared" si="13"/>
        <v>0.252</v>
      </c>
      <c r="V181" s="148"/>
      <c r="W181" s="120">
        <f t="shared" si="14"/>
        <v>0.8114541667</v>
      </c>
      <c r="X181" s="148"/>
      <c r="Y181" s="120">
        <f t="shared" si="15"/>
        <v>0.5668291667</v>
      </c>
      <c r="Z181" s="299"/>
      <c r="AA181" s="299"/>
      <c r="AB181" s="300" t="str">
        <f t="shared" si="16"/>
        <v/>
      </c>
      <c r="AC181" s="301">
        <f t="shared" si="17"/>
        <v>0.655321236</v>
      </c>
      <c r="AD181" s="122">
        <v>0.0</v>
      </c>
      <c r="AE181" s="123">
        <v>0.1</v>
      </c>
      <c r="AF181" s="123">
        <v>0.0275</v>
      </c>
      <c r="AG181" s="316">
        <v>0.0</v>
      </c>
      <c r="AH181" s="124">
        <v>0.413895306</v>
      </c>
      <c r="AI181" s="317">
        <v>0.0</v>
      </c>
      <c r="AJ181" s="125">
        <v>0.217806702</v>
      </c>
      <c r="AK181" s="319">
        <v>0.0</v>
      </c>
      <c r="AL181" s="319">
        <v>0.0</v>
      </c>
      <c r="AM181" s="302">
        <v>0.0</v>
      </c>
      <c r="AN181" s="149" t="str">
        <f>IFERROR(
  AVERAGEIFS(
    'New 20102013 LF Efficacy'!$J:$J,
    'New 20102013 LF Efficacy'!$D:$D, $A181,
    'New 20102013 LF Efficacy'!$F:$F,"DEC", 
    'New 20102013 LF Efficacy'!$W:$W,"&lt;2014",
    'New 20102013 LF Efficacy'!$AA:$AA,""),
  ""
)</f>
        <v/>
      </c>
      <c r="AO181" s="115">
        <f t="shared" si="18"/>
        <v>0.31225</v>
      </c>
      <c r="AP181" s="121" t="str">
        <f>IFERROR(
AVERAGEIFS(
'New 20102013 LF Efficacy'!$J:$J,
'New 20102013 LF Efficacy'!$D:$D,$A181,
'New 20102013 LF Efficacy'!$F:$F,"Albendazole &amp; DEC",
'New 20102013 LF Efficacy'!$W:$W,"&lt;2014",
'New 20102013 LF Efficacy'!$AA:$AA,""),
"")
</f>
        <v/>
      </c>
      <c r="AQ181" s="115">
        <f t="shared" si="19"/>
        <v>0.4</v>
      </c>
      <c r="AR181" s="121" t="str">
        <f>IFERROR(
AVERAGEIFS(
'New 20102013 LF Efficacy'!$J:$J,
'New 20102013 LF Efficacy'!$D:$D,$A181,
'New 20102013 LF Efficacy'!$F:$F,"Albendazole &amp; Ivermectin", 
'New 20102013 LF Efficacy'!$W:$W,"&lt;2014",
'New 20102013 LF Efficacy'!$AA:$AA,""),"")</f>
        <v/>
      </c>
      <c r="AS181" s="115">
        <f t="shared" si="20"/>
        <v>0.2943125</v>
      </c>
      <c r="AT181" s="130">
        <f>IFERROR(AVERAGEIFS(
'20102013 Schist Efficacy'!$O:$O, 
'20102013 Schist Efficacy'!$C:$C,$A181, 
'20102013 Schist Efficacy'!$D:$D, "Praziquantel",
'20102013 Schist Efficacy'!$J:$J,"&lt;2014",
'20102013 Schist Efficacy'!$U:$U,""),
"")</f>
        <v>0.579</v>
      </c>
      <c r="AU181" s="118">
        <f t="shared" si="21"/>
        <v>0.579</v>
      </c>
      <c r="AV181" s="131">
        <f>IFERROR(AVERAGEIFS(
'20102013 STH Efficacy'!$AX:$AX, 
'20102013 STH Efficacy'!$AL:$AL, $A181, 
'20102013 STH Efficacy'!$AM:$AM, "Albendazole",
'20102013 STH Efficacy'!$AS:$AS,"&lt;2014",
'20102013 STH Efficacy'!$BP:$BP,""),
"")</f>
        <v>0.4853333333</v>
      </c>
      <c r="AW181" s="132">
        <f t="shared" si="22"/>
        <v>0.4853333333</v>
      </c>
      <c r="AX181" s="131" t="str">
        <f>IFERROR(AVERAGEIFS(
'20102013 STH Efficacy'!$AX:$AX, 
'20102013 STH Efficacy'!$AL:$AL, $A181, 
'20102013 STH Efficacy'!$AM:$AM, "Mebendazole",
'20102013 STH Efficacy'!$AS:$AS,"&lt;2014",
'20102013 STH Efficacy'!$BP:$BP,""),
"")</f>
        <v/>
      </c>
      <c r="AY181" s="132">
        <f t="shared" si="23"/>
        <v>0.5675833333</v>
      </c>
      <c r="AZ181" s="131" t="str">
        <f>IFERROR(AVERAGEIFS(
'20102013 STH Efficacy'!$AX:$AX, 
'20102013 STH Efficacy'!$AL:$AL, $A181, 
'20102013 STH Efficacy'!$AM:$AM, "Albendazole &amp; Ivermectin",
'20102013 STH Efficacy'!$AS:$AS,"&lt;2014",
'20102013 STH Efficacy'!$BP:$BP,""),
"")</f>
        <v/>
      </c>
      <c r="BA181" s="303">
        <f t="shared" si="24"/>
        <v>0.47175</v>
      </c>
      <c r="BB181" s="134" t="str">
        <f>IFERROR(AVERAGEIFS(
'20102013 STH Efficacy'!$N:$N, 
'20102013 STH Efficacy'!$B:$B, $A181, 
'20102013 STH Efficacy'!$C:$C, "Albendazole",
'20102013 STH Efficacy'!$I:$I,"&lt;2014",
'20102013 STH Efficacy'!$AH:$AH,""),
"")</f>
        <v/>
      </c>
      <c r="BC181" s="135">
        <f t="shared" si="25"/>
        <v>0.8699166667</v>
      </c>
      <c r="BD181" s="134" t="str">
        <f>IFERROR(AVERAGEIFS(
'20102013 STH Efficacy'!$N:$N, 
'20102013 STH Efficacy'!$B:$B, $A181, 
'20102013 STH Efficacy'!$C:$C, "Mebendazole",
'20102013 STH Efficacy'!$I:$I,"&lt;2014",
'20102013 STH Efficacy'!$AH:$AH,""),
"")</f>
        <v/>
      </c>
      <c r="BE181" s="135">
        <f t="shared" si="26"/>
        <v>0.7092416667</v>
      </c>
      <c r="BF181" s="128" t="str">
        <f>IFERROR(AVERAGEIFS(
'20102013 STH Efficacy'!$CD:$CD, 
'20102013 STH Efficacy'!$BS:$BS, $A181, 
'20102013 STH Efficacy'!$BT:$BT, "Albendazole",
'20102013 STH Efficacy'!$BZ:$BZ,"&lt;2014",
'20102013 STH Efficacy'!$CU:$CU,""),
"")</f>
        <v/>
      </c>
      <c r="BG181" s="136">
        <f t="shared" si="27"/>
        <v>0.9066666667</v>
      </c>
      <c r="BH181" s="128" t="str">
        <f>IFERROR(AVERAGEIFS(
'20102013 STH Efficacy'!$CD:$CD, 
'20102013 STH Efficacy'!$BS:$BS, $A181, 
'20102013 STH Efficacy'!$BT:$BT, "Mebendazole",
'20102013 STH Efficacy'!$BZ:$BZ,"&lt;2014",
'20102013 STH Efficacy'!$CU:$CU,""),
"")</f>
        <v/>
      </c>
      <c r="BI181" s="136">
        <f t="shared" si="28"/>
        <v>0.9358666667</v>
      </c>
      <c r="BJ181" s="128" t="str">
        <f>IFERROR(AVERAGEIFS(
'20102013 STH Efficacy'!$CD:$CD, 
'20102013 STH Efficacy'!$BS:$BS, $A181, 
'20102013 STH Efficacy'!$BT:$BT, "Albendazole &amp; Ivermectin",
'20102013 STH Efficacy'!$BZ:$BZ,"&lt;2014",
'20102013 STH Efficacy'!$CU:$CU,""),
"")</f>
        <v/>
      </c>
      <c r="BK181" s="136">
        <f t="shared" si="29"/>
        <v>1</v>
      </c>
      <c r="BL181" s="300" t="str">
        <f>IFERROR(
  AVERAGEIFS(
    'NEW 20102013 Onchocerciasis Eff'!$AO:$AO,
    'NEW 20102013 Onchocerciasis Eff'!$C:$C,$A181,
    'NEW 20102013 Onchocerciasis Eff'!$D:$D,"Ivermectin",
    'NEW 20102013 Onchocerciasis Eff'!$AR:$AR,"&lt;2014",
    'NEW 20102013 Onchocerciasis Eff'!$BG:$BG,"")
,"")</f>
        <v/>
      </c>
      <c r="BM181" s="304">
        <f t="shared" si="30"/>
        <v>0.8390421645</v>
      </c>
      <c r="BN181" s="305">
        <v>0.0</v>
      </c>
      <c r="BO181" s="139">
        <v>0.0</v>
      </c>
      <c r="BP181" s="140">
        <v>1.0</v>
      </c>
      <c r="BQ181" s="141">
        <f t="shared" si="31"/>
        <v>1</v>
      </c>
      <c r="BR181" s="104" t="str">
        <f t="shared" si="32"/>
        <v>0011</v>
      </c>
      <c r="BS181" s="104" t="str">
        <f t="shared" si="33"/>
        <v>T1</v>
      </c>
      <c r="BT181" s="142" t="str">
        <f t="shared" si="34"/>
        <v>ALB+PZQ or MBD+PZQ</v>
      </c>
      <c r="BU181" s="104" t="str">
        <f t="shared" si="50"/>
        <v/>
      </c>
      <c r="BV181" s="104" t="str">
        <f t="shared" si="36"/>
        <v>schist+sth</v>
      </c>
      <c r="BW181" s="150" t="str">
        <f t="shared" si="37"/>
        <v/>
      </c>
      <c r="BX181" s="150" t="str">
        <f t="shared" si="38"/>
        <v/>
      </c>
      <c r="BY181" s="151" t="str">
        <f t="shared" si="39"/>
        <v/>
      </c>
      <c r="BZ181" s="152">
        <f t="shared" si="40"/>
        <v>3013.18528</v>
      </c>
      <c r="CA181" s="152">
        <f t="shared" si="41"/>
        <v>3813.993031</v>
      </c>
      <c r="CB181" s="152" t="str">
        <f t="shared" si="42"/>
        <v/>
      </c>
      <c r="CC181" s="323">
        <f t="shared" si="43"/>
        <v>14461.9507</v>
      </c>
      <c r="CD181" s="323">
        <f t="shared" si="44"/>
        <v>9161.865173</v>
      </c>
      <c r="CE181" s="154">
        <f t="shared" si="45"/>
        <v>3114.244685</v>
      </c>
      <c r="CF181" s="154">
        <f t="shared" si="46"/>
        <v>3436.400192</v>
      </c>
      <c r="CG181" s="154" t="str">
        <f t="shared" si="47"/>
        <v/>
      </c>
      <c r="CH181" s="308" t="str">
        <f t="shared" si="48"/>
        <v/>
      </c>
      <c r="CI181" s="299"/>
    </row>
    <row r="182">
      <c r="A182" s="103" t="s">
        <v>271</v>
      </c>
      <c r="B182" s="104" t="s">
        <v>92</v>
      </c>
      <c r="C182" s="105">
        <v>1.117749E7</v>
      </c>
      <c r="D182" s="293">
        <v>2652.67</v>
      </c>
      <c r="E182" s="294">
        <v>18119.39001</v>
      </c>
      <c r="F182" s="309">
        <v>1.219171578</v>
      </c>
      <c r="G182" s="309">
        <v>3.464194854</v>
      </c>
      <c r="H182" s="157">
        <v>4.683366431</v>
      </c>
      <c r="I182" s="110">
        <v>562.312915</v>
      </c>
      <c r="J182" s="110">
        <v>989.783604</v>
      </c>
      <c r="K182" s="110">
        <v>1552.096519</v>
      </c>
      <c r="L182" s="111">
        <v>6631.136981</v>
      </c>
      <c r="M182" s="112">
        <v>557.6579566</v>
      </c>
      <c r="N182" s="111">
        <v>7188.794937</v>
      </c>
      <c r="O182" s="298">
        <v>83529.06289</v>
      </c>
      <c r="P182" s="160">
        <v>1659558.0</v>
      </c>
      <c r="Q182" s="156"/>
      <c r="R182" s="121">
        <f t="shared" si="11"/>
        <v>0</v>
      </c>
      <c r="S182" s="116">
        <f t="shared" si="12"/>
        <v>0.2589669834</v>
      </c>
      <c r="T182" s="130"/>
      <c r="U182" s="118">
        <f t="shared" si="13"/>
        <v>0.252</v>
      </c>
      <c r="V182" s="148"/>
      <c r="W182" s="120">
        <f t="shared" si="14"/>
        <v>0.8114541667</v>
      </c>
      <c r="X182" s="148"/>
      <c r="Y182" s="120">
        <f t="shared" si="15"/>
        <v>0.5668291667</v>
      </c>
      <c r="Z182" s="299"/>
      <c r="AA182" s="299"/>
      <c r="AB182" s="300" t="str">
        <f t="shared" si="16"/>
        <v/>
      </c>
      <c r="AC182" s="301">
        <f t="shared" si="17"/>
        <v>0.655321236</v>
      </c>
      <c r="AD182" s="122">
        <v>0.0026</v>
      </c>
      <c r="AE182" s="123">
        <v>0.15</v>
      </c>
      <c r="AF182" s="123">
        <v>0.0533</v>
      </c>
      <c r="AG182" s="124">
        <v>0.0205</v>
      </c>
      <c r="AH182" s="124">
        <v>0.032762888</v>
      </c>
      <c r="AI182" s="125">
        <v>0.0566</v>
      </c>
      <c r="AJ182" s="125">
        <v>0.090836658</v>
      </c>
      <c r="AK182" s="127">
        <v>0.0105</v>
      </c>
      <c r="AL182" s="127">
        <v>0.0166</v>
      </c>
      <c r="AM182" s="302">
        <v>0.1198</v>
      </c>
      <c r="AN182" s="149" t="str">
        <f>IFERROR(
  AVERAGEIFS(
    'New 20102013 LF Efficacy'!$J:$J,
    'New 20102013 LF Efficacy'!$D:$D, $A182,
    'New 20102013 LF Efficacy'!$F:$F,"DEC", 
    'New 20102013 LF Efficacy'!$W:$W,"&lt;2014",
    'New 20102013 LF Efficacy'!$AA:$AA,""),
  ""
)</f>
        <v/>
      </c>
      <c r="AO182" s="115">
        <f t="shared" si="18"/>
        <v>0.31225</v>
      </c>
      <c r="AP182" s="121" t="str">
        <f>IFERROR(
AVERAGEIFS(
'New 20102013 LF Efficacy'!$J:$J,
'New 20102013 LF Efficacy'!$D:$D,$A182,
'New 20102013 LF Efficacy'!$F:$F,"Albendazole &amp; DEC",
'New 20102013 LF Efficacy'!$W:$W,"&lt;2014",
'New 20102013 LF Efficacy'!$AA:$AA,""),
"")
</f>
        <v/>
      </c>
      <c r="AQ182" s="115">
        <f t="shared" si="19"/>
        <v>0.4</v>
      </c>
      <c r="AR182" s="121" t="str">
        <f>IFERROR(
AVERAGEIFS(
'New 20102013 LF Efficacy'!$J:$J,
'New 20102013 LF Efficacy'!$D:$D,$A182,
'New 20102013 LF Efficacy'!$F:$F,"Albendazole &amp; Ivermectin", 
'New 20102013 LF Efficacy'!$W:$W,"&lt;2014",
'New 20102013 LF Efficacy'!$AA:$AA,""),"")</f>
        <v/>
      </c>
      <c r="AS182" s="115">
        <f t="shared" si="20"/>
        <v>0.2943125</v>
      </c>
      <c r="AT182" s="130" t="str">
        <f>IFERROR(AVERAGEIFS(
'20102013 Schist Efficacy'!$O:$O, 
'20102013 Schist Efficacy'!$C:$C,$A182, 
'20102013 Schist Efficacy'!$D:$D, "Praziquantel",
'20102013 Schist Efficacy'!$J:$J,"&lt;2014",
'20102013 Schist Efficacy'!$U:$U,""),
"")</f>
        <v/>
      </c>
      <c r="AU182" s="118">
        <f t="shared" si="21"/>
        <v>0.7192212527</v>
      </c>
      <c r="AV182" s="131" t="str">
        <f>IFERROR(AVERAGEIFS(
'20102013 STH Efficacy'!$AX:$AX, 
'20102013 STH Efficacy'!$AL:$AL, $A182, 
'20102013 STH Efficacy'!$AM:$AM, "Albendazole",
'20102013 STH Efficacy'!$AS:$AS,"&lt;2014",
'20102013 STH Efficacy'!$BP:$BP,""),
"")</f>
        <v/>
      </c>
      <c r="AW182" s="132">
        <f t="shared" si="22"/>
        <v>0.3816333333</v>
      </c>
      <c r="AX182" s="131" t="str">
        <f>IFERROR(AVERAGEIFS(
'20102013 STH Efficacy'!$AX:$AX, 
'20102013 STH Efficacy'!$AL:$AL, $A182, 
'20102013 STH Efficacy'!$AM:$AM, "Mebendazole",
'20102013 STH Efficacy'!$AS:$AS,"&lt;2014",
'20102013 STH Efficacy'!$BP:$BP,""),
"")</f>
        <v/>
      </c>
      <c r="AY182" s="132">
        <f t="shared" si="23"/>
        <v>0.5675833333</v>
      </c>
      <c r="AZ182" s="131" t="str">
        <f>IFERROR(AVERAGEIFS(
'20102013 STH Efficacy'!$AX:$AX, 
'20102013 STH Efficacy'!$AL:$AL, $A182, 
'20102013 STH Efficacy'!$AM:$AM, "Albendazole &amp; Ivermectin",
'20102013 STH Efficacy'!$AS:$AS,"&lt;2014",
'20102013 STH Efficacy'!$BP:$BP,""),
"")</f>
        <v/>
      </c>
      <c r="BA182" s="303">
        <f t="shared" si="24"/>
        <v>0.47175</v>
      </c>
      <c r="BB182" s="134" t="str">
        <f>IFERROR(AVERAGEIFS(
'20102013 STH Efficacy'!$N:$N, 
'20102013 STH Efficacy'!$B:$B, $A182, 
'20102013 STH Efficacy'!$C:$C, "Albendazole",
'20102013 STH Efficacy'!$I:$I,"&lt;2014",
'20102013 STH Efficacy'!$AH:$AH,""),
"")</f>
        <v/>
      </c>
      <c r="BC182" s="135">
        <f t="shared" si="25"/>
        <v>0.8699166667</v>
      </c>
      <c r="BD182" s="134" t="str">
        <f>IFERROR(AVERAGEIFS(
'20102013 STH Efficacy'!$N:$N, 
'20102013 STH Efficacy'!$B:$B, $A182, 
'20102013 STH Efficacy'!$C:$C, "Mebendazole",
'20102013 STH Efficacy'!$I:$I,"&lt;2014",
'20102013 STH Efficacy'!$AH:$AH,""),
"")</f>
        <v/>
      </c>
      <c r="BE182" s="135">
        <f t="shared" si="26"/>
        <v>0.7092416667</v>
      </c>
      <c r="BF182" s="128" t="str">
        <f>IFERROR(AVERAGEIFS(
'20102013 STH Efficacy'!$CD:$CD, 
'20102013 STH Efficacy'!$BS:$BS, $A182, 
'20102013 STH Efficacy'!$BT:$BT, "Albendazole",
'20102013 STH Efficacy'!$BZ:$BZ,"&lt;2014",
'20102013 STH Efficacy'!$CU:$CU,""),
"")</f>
        <v/>
      </c>
      <c r="BG182" s="136">
        <f t="shared" si="27"/>
        <v>0.9066666667</v>
      </c>
      <c r="BH182" s="128" t="str">
        <f>IFERROR(AVERAGEIFS(
'20102013 STH Efficacy'!$CD:$CD, 
'20102013 STH Efficacy'!$BS:$BS, $A182, 
'20102013 STH Efficacy'!$BT:$BT, "Mebendazole",
'20102013 STH Efficacy'!$BZ:$BZ,"&lt;2014",
'20102013 STH Efficacy'!$CU:$CU,""),
"")</f>
        <v/>
      </c>
      <c r="BI182" s="136">
        <f t="shared" si="28"/>
        <v>0.9358666667</v>
      </c>
      <c r="BJ182" s="128" t="str">
        <f>IFERROR(AVERAGEIFS(
'20102013 STH Efficacy'!$CD:$CD, 
'20102013 STH Efficacy'!$BS:$BS, $A182, 
'20102013 STH Efficacy'!$BT:$BT, "Albendazole &amp; Ivermectin",
'20102013 STH Efficacy'!$BZ:$BZ,"&lt;2014",
'20102013 STH Efficacy'!$CU:$CU,""),
"")</f>
        <v/>
      </c>
      <c r="BK182" s="136">
        <f t="shared" si="29"/>
        <v>1</v>
      </c>
      <c r="BL182" s="300" t="str">
        <f>IFERROR(
  AVERAGEIFS(
    'NEW 20102013 Onchocerciasis Eff'!$AO:$AO,
    'NEW 20102013 Onchocerciasis Eff'!$C:$C,$A182,
    'NEW 20102013 Onchocerciasis Eff'!$D:$D,"Ivermectin",
    'NEW 20102013 Onchocerciasis Eff'!$AR:$AR,"&lt;2014",
    'NEW 20102013 Onchocerciasis Eff'!$BG:$BG,"")
,"")</f>
        <v/>
      </c>
      <c r="BM182" s="304">
        <f t="shared" si="30"/>
        <v>0.8390421645</v>
      </c>
      <c r="BN182" s="305">
        <v>1.0</v>
      </c>
      <c r="BO182" s="139">
        <v>0.0</v>
      </c>
      <c r="BP182" s="140">
        <v>1.0</v>
      </c>
      <c r="BQ182" s="141">
        <f t="shared" si="31"/>
        <v>0</v>
      </c>
      <c r="BR182" s="104" t="str">
        <f t="shared" si="32"/>
        <v>1010</v>
      </c>
      <c r="BS182" s="104" t="str">
        <f t="shared" si="33"/>
        <v>MDA1/2+T2</v>
      </c>
      <c r="BT182" s="142" t="str">
        <f t="shared" si="34"/>
        <v>DEC +ALB</v>
      </c>
      <c r="BU182" s="104" t="str">
        <f t="shared" si="50"/>
        <v>PZQ</v>
      </c>
      <c r="BV182" s="104" t="str">
        <f t="shared" si="36"/>
        <v>lf+schist </v>
      </c>
      <c r="BW182" s="150" t="str">
        <f t="shared" si="37"/>
        <v/>
      </c>
      <c r="BX182" s="150" t="str">
        <f t="shared" si="38"/>
        <v/>
      </c>
      <c r="BY182" s="162">
        <f t="shared" si="39"/>
        <v>4010.993893</v>
      </c>
      <c r="BZ182" s="152" t="str">
        <f t="shared" si="40"/>
        <v/>
      </c>
      <c r="CA182" s="152" t="str">
        <f t="shared" si="41"/>
        <v/>
      </c>
      <c r="CB182" s="152" t="str">
        <f t="shared" si="42"/>
        <v/>
      </c>
      <c r="CC182" s="153" t="str">
        <f t="shared" si="43"/>
        <v/>
      </c>
      <c r="CD182" s="153" t="str">
        <f t="shared" si="44"/>
        <v/>
      </c>
      <c r="CE182" s="154" t="str">
        <f t="shared" si="45"/>
        <v/>
      </c>
      <c r="CF182" s="154" t="str">
        <f t="shared" si="46"/>
        <v/>
      </c>
      <c r="CG182" s="154" t="str">
        <f t="shared" si="47"/>
        <v/>
      </c>
      <c r="CH182" s="308" t="str">
        <f t="shared" si="48"/>
        <v/>
      </c>
      <c r="CI182" s="299"/>
    </row>
    <row r="183">
      <c r="A183" s="155" t="s">
        <v>272</v>
      </c>
      <c r="B183" s="104" t="s">
        <v>90</v>
      </c>
      <c r="C183" s="105">
        <v>4.6620045E7</v>
      </c>
      <c r="D183" s="293">
        <v>0.0</v>
      </c>
      <c r="E183" s="294">
        <v>0.0</v>
      </c>
      <c r="F183" s="309">
        <v>0.0</v>
      </c>
      <c r="G183" s="309">
        <v>0.0</v>
      </c>
      <c r="H183" s="108">
        <v>0.0</v>
      </c>
      <c r="I183" s="109">
        <v>0.0</v>
      </c>
      <c r="J183" s="109">
        <v>0.0</v>
      </c>
      <c r="K183" s="109">
        <v>0.0</v>
      </c>
      <c r="L183" s="112">
        <v>0.0</v>
      </c>
      <c r="M183" s="112">
        <v>0.0</v>
      </c>
      <c r="N183" s="111">
        <v>0.0</v>
      </c>
      <c r="O183" s="298">
        <v>0.0</v>
      </c>
      <c r="P183" s="114"/>
      <c r="Q183" s="114"/>
      <c r="R183" s="121" t="str">
        <f t="shared" si="11"/>
        <v/>
      </c>
      <c r="S183" s="116">
        <f t="shared" si="12"/>
        <v>0.526225767</v>
      </c>
      <c r="T183" s="118">
        <v>0.2479</v>
      </c>
      <c r="U183" s="118">
        <f t="shared" si="13"/>
        <v>0.2479</v>
      </c>
      <c r="V183" s="148"/>
      <c r="W183" s="120">
        <f t="shared" si="14"/>
        <v>1</v>
      </c>
      <c r="X183" s="148"/>
      <c r="Y183" s="120">
        <f t="shared" si="15"/>
        <v>1</v>
      </c>
      <c r="Z183" s="299"/>
      <c r="AA183" s="299"/>
      <c r="AB183" s="300" t="str">
        <f t="shared" si="16"/>
        <v/>
      </c>
      <c r="AC183" s="301">
        <f t="shared" si="17"/>
        <v>0.6295826791</v>
      </c>
      <c r="AD183" s="122">
        <v>0.0</v>
      </c>
      <c r="AE183" s="123">
        <v>0.0</v>
      </c>
      <c r="AF183" s="123">
        <v>0.0</v>
      </c>
      <c r="AG183" s="316">
        <v>0.0</v>
      </c>
      <c r="AH183" s="124">
        <v>0.0</v>
      </c>
      <c r="AI183" s="317">
        <v>0.0</v>
      </c>
      <c r="AJ183" s="125">
        <v>0.0</v>
      </c>
      <c r="AK183" s="319">
        <v>0.0</v>
      </c>
      <c r="AL183" s="319">
        <v>0.0</v>
      </c>
      <c r="AM183" s="302">
        <v>0.0</v>
      </c>
      <c r="AN183" s="149" t="str">
        <f>IFERROR(
  AVERAGEIFS(
    'New 20102013 LF Efficacy'!$J:$J,
    'New 20102013 LF Efficacy'!$D:$D, $A183,
    'New 20102013 LF Efficacy'!$F:$F,"DEC", 
    'New 20102013 LF Efficacy'!$W:$W,"&lt;2014",
    'New 20102013 LF Efficacy'!$AA:$AA,""),
  ""
)</f>
        <v/>
      </c>
      <c r="AO183" s="115">
        <f t="shared" si="18"/>
        <v>0.3573520833</v>
      </c>
      <c r="AP183" s="121" t="str">
        <f>IFERROR(
AVERAGEIFS(
'New 20102013 LF Efficacy'!$J:$J,
'New 20102013 LF Efficacy'!$D:$D,$A183,
'New 20102013 LF Efficacy'!$F:$F,"Albendazole &amp; DEC",
'New 20102013 LF Efficacy'!$W:$W,"&lt;2014",
'New 20102013 LF Efficacy'!$AA:$AA,""),
"")
</f>
        <v/>
      </c>
      <c r="AQ183" s="115">
        <f t="shared" si="19"/>
        <v>0.5137291667</v>
      </c>
      <c r="AR183" s="121" t="str">
        <f>IFERROR(
AVERAGEIFS(
'New 20102013 LF Efficacy'!$J:$J,
'New 20102013 LF Efficacy'!$D:$D,$A183,
'New 20102013 LF Efficacy'!$F:$F,"Albendazole &amp; Ivermectin", 
'New 20102013 LF Efficacy'!$W:$W,"&lt;2014",
'New 20102013 LF Efficacy'!$AA:$AA,""),"")</f>
        <v/>
      </c>
      <c r="AS183" s="115">
        <f t="shared" si="20"/>
        <v>0.37153125</v>
      </c>
      <c r="AT183" s="130" t="str">
        <f>IFERROR(AVERAGEIFS(
'20102013 Schist Efficacy'!$O:$O, 
'20102013 Schist Efficacy'!$C:$C,$A183, 
'20102013 Schist Efficacy'!$D:$D, "Praziquantel",
'20102013 Schist Efficacy'!$J:$J,"&lt;2014",
'20102013 Schist Efficacy'!$U:$U,""),
"")</f>
        <v/>
      </c>
      <c r="AU183" s="118">
        <f t="shared" si="21"/>
        <v>0.655</v>
      </c>
      <c r="AV183" s="131" t="str">
        <f>IFERROR(AVERAGEIFS(
'20102013 STH Efficacy'!$AX:$AX, 
'20102013 STH Efficacy'!$AL:$AL, $A183, 
'20102013 STH Efficacy'!$AM:$AM, "Albendazole",
'20102013 STH Efficacy'!$AS:$AS,"&lt;2014",
'20102013 STH Efficacy'!$BP:$BP,""),
"")</f>
        <v/>
      </c>
      <c r="AW183" s="132">
        <f t="shared" si="22"/>
        <v>0.3933333333</v>
      </c>
      <c r="AX183" s="131" t="str">
        <f>IFERROR(AVERAGEIFS(
'20102013 STH Efficacy'!$AX:$AX, 
'20102013 STH Efficacy'!$AL:$AL, $A183, 
'20102013 STH Efficacy'!$AM:$AM, "Mebendazole",
'20102013 STH Efficacy'!$AS:$AS,"&lt;2014",
'20102013 STH Efficacy'!$BP:$BP,""),
"")</f>
        <v/>
      </c>
      <c r="AY183" s="132">
        <f t="shared" si="23"/>
        <v>0.5017738095</v>
      </c>
      <c r="AZ183" s="131" t="str">
        <f>IFERROR(AVERAGEIFS(
'20102013 STH Efficacy'!$AX:$AX, 
'20102013 STH Efficacy'!$AL:$AL, $A183, 
'20102013 STH Efficacy'!$AM:$AM, "Albendazole &amp; Ivermectin",
'20102013 STH Efficacy'!$AS:$AS,"&lt;2014",
'20102013 STH Efficacy'!$BP:$BP,""),
"")</f>
        <v/>
      </c>
      <c r="BA183" s="303">
        <f t="shared" si="24"/>
        <v>0.597625</v>
      </c>
      <c r="BB183" s="134" t="str">
        <f>IFERROR(AVERAGEIFS(
'20102013 STH Efficacy'!$N:$N, 
'20102013 STH Efficacy'!$B:$B, $A183, 
'20102013 STH Efficacy'!$C:$C, "Albendazole",
'20102013 STH Efficacy'!$I:$I,"&lt;2014",
'20102013 STH Efficacy'!$AH:$AH,""),
"")</f>
        <v/>
      </c>
      <c r="BC183" s="135">
        <f t="shared" si="25"/>
        <v>0.7613712121</v>
      </c>
      <c r="BD183" s="134" t="str">
        <f>IFERROR(AVERAGEIFS(
'20102013 STH Efficacy'!$N:$N, 
'20102013 STH Efficacy'!$B:$B, $A183, 
'20102013 STH Efficacy'!$C:$C, "Mebendazole",
'20102013 STH Efficacy'!$I:$I,"&lt;2014",
'20102013 STH Efficacy'!$AH:$AH,""),
"")</f>
        <v/>
      </c>
      <c r="BE183" s="135">
        <f t="shared" si="26"/>
        <v>0.4362466667</v>
      </c>
      <c r="BF183" s="128" t="str">
        <f>IFERROR(AVERAGEIFS(
'20102013 STH Efficacy'!$CD:$CD, 
'20102013 STH Efficacy'!$BS:$BS, $A183, 
'20102013 STH Efficacy'!$BT:$BT, "Albendazole",
'20102013 STH Efficacy'!$BZ:$BZ,"&lt;2014",
'20102013 STH Efficacy'!$CU:$CU,""),
"")</f>
        <v/>
      </c>
      <c r="BG183" s="136">
        <f t="shared" si="27"/>
        <v>0.9216027778</v>
      </c>
      <c r="BH183" s="128" t="str">
        <f>IFERROR(AVERAGEIFS(
'20102013 STH Efficacy'!$CD:$CD, 
'20102013 STH Efficacy'!$BS:$BS, $A183, 
'20102013 STH Efficacy'!$BT:$BT, "Mebendazole",
'20102013 STH Efficacy'!$BZ:$BZ,"&lt;2014",
'20102013 STH Efficacy'!$CU:$CU,""),
"")</f>
        <v/>
      </c>
      <c r="BI183" s="136">
        <f t="shared" si="28"/>
        <v>0.9295857143</v>
      </c>
      <c r="BJ183" s="128" t="str">
        <f>IFERROR(AVERAGEIFS(
'20102013 STH Efficacy'!$CD:$CD, 
'20102013 STH Efficacy'!$BS:$BS, $A183, 
'20102013 STH Efficacy'!$BT:$BT, "Albendazole &amp; Ivermectin",
'20102013 STH Efficacy'!$BZ:$BZ,"&lt;2014",
'20102013 STH Efficacy'!$CU:$CU,""),
"")</f>
        <v/>
      </c>
      <c r="BK183" s="136">
        <f t="shared" si="29"/>
        <v>1</v>
      </c>
      <c r="BL183" s="300" t="str">
        <f>IFERROR(
  AVERAGEIFS(
    'NEW 20102013 Onchocerciasis Eff'!$AO:$AO,
    'NEW 20102013 Onchocerciasis Eff'!$C:$C,$A183,
    'NEW 20102013 Onchocerciasis Eff'!$D:$D,"Ivermectin",
    'NEW 20102013 Onchocerciasis Eff'!$AR:$AR,"&lt;2014",
    'NEW 20102013 Onchocerciasis Eff'!$BG:$BG,"")
,"")</f>
        <v/>
      </c>
      <c r="BM183" s="304">
        <f t="shared" si="30"/>
        <v>0.7808368939</v>
      </c>
      <c r="BN183" s="305">
        <v>0.0</v>
      </c>
      <c r="BO183" s="139">
        <v>1.0</v>
      </c>
      <c r="BP183" s="140">
        <v>0.0</v>
      </c>
      <c r="BQ183" s="141">
        <f t="shared" si="31"/>
        <v>0</v>
      </c>
      <c r="BR183" s="104" t="str">
        <f t="shared" si="32"/>
        <v>0100</v>
      </c>
      <c r="BS183" s="104" t="str">
        <f t="shared" si="33"/>
        <v>MDA3</v>
      </c>
      <c r="BT183" s="142" t="str">
        <f t="shared" si="34"/>
        <v>IVM</v>
      </c>
      <c r="BU183" s="104" t="str">
        <f t="shared" si="50"/>
        <v/>
      </c>
      <c r="BV183" s="104" t="str">
        <f t="shared" si="36"/>
        <v>onch only</v>
      </c>
      <c r="BW183" s="150" t="str">
        <f t="shared" si="37"/>
        <v/>
      </c>
      <c r="BX183" s="150" t="str">
        <f t="shared" si="38"/>
        <v/>
      </c>
      <c r="BY183" s="151" t="str">
        <f t="shared" si="39"/>
        <v/>
      </c>
      <c r="BZ183" s="152" t="str">
        <f t="shared" si="40"/>
        <v/>
      </c>
      <c r="CA183" s="152" t="str">
        <f t="shared" si="41"/>
        <v/>
      </c>
      <c r="CB183" s="152" t="str">
        <f t="shared" si="42"/>
        <v/>
      </c>
      <c r="CC183" s="153" t="str">
        <f t="shared" si="43"/>
        <v/>
      </c>
      <c r="CD183" s="153" t="str">
        <f t="shared" si="44"/>
        <v/>
      </c>
      <c r="CE183" s="154" t="str">
        <f t="shared" si="45"/>
        <v/>
      </c>
      <c r="CF183" s="154" t="str">
        <f t="shared" si="46"/>
        <v/>
      </c>
      <c r="CG183" s="154" t="str">
        <f t="shared" si="47"/>
        <v/>
      </c>
      <c r="CH183" s="313">
        <f t="shared" si="48"/>
        <v>0</v>
      </c>
      <c r="CI183" s="299"/>
    </row>
    <row r="184">
      <c r="A184" s="103" t="s">
        <v>273</v>
      </c>
      <c r="B184" s="104" t="s">
        <v>109</v>
      </c>
      <c r="C184" s="105">
        <v>2.0585E7</v>
      </c>
      <c r="D184" s="293">
        <v>4078.55</v>
      </c>
      <c r="E184" s="294">
        <v>0.0</v>
      </c>
      <c r="F184" s="307">
        <v>24.25850873</v>
      </c>
      <c r="G184" s="307">
        <v>115.9928242</v>
      </c>
      <c r="H184" s="157">
        <v>140.251333</v>
      </c>
      <c r="I184" s="110">
        <v>208.369713</v>
      </c>
      <c r="J184" s="110">
        <v>618.038223</v>
      </c>
      <c r="K184" s="109">
        <v>826.407936</v>
      </c>
      <c r="L184" s="112">
        <v>113.9517193</v>
      </c>
      <c r="M184" s="112">
        <v>205.746261</v>
      </c>
      <c r="N184" s="111">
        <v>319.6979803</v>
      </c>
      <c r="O184" s="298">
        <v>0.0</v>
      </c>
      <c r="P184" s="156"/>
      <c r="Q184" s="156"/>
      <c r="R184" s="121" t="str">
        <f t="shared" si="11"/>
        <v/>
      </c>
      <c r="S184" s="116">
        <f t="shared" si="12"/>
        <v>0.3974936367</v>
      </c>
      <c r="T184" s="130"/>
      <c r="U184" s="118">
        <f t="shared" si="13"/>
        <v>0.7367</v>
      </c>
      <c r="V184" s="148"/>
      <c r="W184" s="120">
        <f t="shared" si="14"/>
        <v>0.4055571429</v>
      </c>
      <c r="X184" s="148"/>
      <c r="Y184" s="120">
        <f t="shared" si="15"/>
        <v>0.4403166667</v>
      </c>
      <c r="Z184" s="299"/>
      <c r="AA184" s="299"/>
      <c r="AB184" s="300" t="str">
        <f t="shared" si="16"/>
        <v/>
      </c>
      <c r="AC184" s="301">
        <f t="shared" si="17"/>
        <v>0.6295826791</v>
      </c>
      <c r="AD184" s="122">
        <v>0.0018</v>
      </c>
      <c r="AE184" s="123">
        <v>0.0</v>
      </c>
      <c r="AF184" s="123">
        <v>0.0</v>
      </c>
      <c r="AG184" s="124">
        <v>0.0501</v>
      </c>
      <c r="AH184" s="124">
        <v>0.077460406</v>
      </c>
      <c r="AI184" s="125">
        <v>0.0364</v>
      </c>
      <c r="AJ184" s="125">
        <v>0.057161723</v>
      </c>
      <c r="AK184" s="127">
        <v>0.0485</v>
      </c>
      <c r="AL184" s="127">
        <v>0.0733</v>
      </c>
      <c r="AM184" s="302">
        <v>0.0</v>
      </c>
      <c r="AN184" s="149">
        <f>IFERROR(
  AVERAGEIFS(
    'New 20102013 LF Efficacy'!$J:$J,
    'New 20102013 LF Efficacy'!$D:$D, $A184,
    'New 20102013 LF Efficacy'!$F:$F,"DEC", 
    'New 20102013 LF Efficacy'!$W:$W,"&lt;2014",
    'New 20102013 LF Efficacy'!$AA:$AA,""),
  ""
)</f>
        <v>0.58335</v>
      </c>
      <c r="AO184" s="115">
        <f t="shared" si="18"/>
        <v>0.58335</v>
      </c>
      <c r="AP184" s="121" t="str">
        <f>IFERROR(
AVERAGEIFS(
'New 20102013 LF Efficacy'!$J:$J,
'New 20102013 LF Efficacy'!$D:$D,$A184,
'New 20102013 LF Efficacy'!$F:$F,"Albendazole &amp; DEC",
'New 20102013 LF Efficacy'!$W:$W,"&lt;2014",
'New 20102013 LF Efficacy'!$AA:$AA,""),
"")
</f>
        <v/>
      </c>
      <c r="AQ184" s="115">
        <f t="shared" si="19"/>
        <v>0.5831666667</v>
      </c>
      <c r="AR184" s="121" t="str">
        <f>IFERROR(
AVERAGEIFS(
'New 20102013 LF Efficacy'!$J:$J,
'New 20102013 LF Efficacy'!$D:$D,$A184,
'New 20102013 LF Efficacy'!$F:$F,"Albendazole &amp; Ivermectin", 
'New 20102013 LF Efficacy'!$W:$W,"&lt;2014",
'New 20102013 LF Efficacy'!$AA:$AA,""),"")</f>
        <v/>
      </c>
      <c r="AS184" s="115">
        <f t="shared" si="20"/>
        <v>0.14</v>
      </c>
      <c r="AT184" s="130" t="str">
        <f>IFERROR(AVERAGEIFS(
'20102013 Schist Efficacy'!$O:$O, 
'20102013 Schist Efficacy'!$C:$C,$A184, 
'20102013 Schist Efficacy'!$D:$D, "Praziquantel",
'20102013 Schist Efficacy'!$J:$J,"&lt;2014",
'20102013 Schist Efficacy'!$U:$U,""),
"")</f>
        <v/>
      </c>
      <c r="AU184" s="118">
        <f t="shared" si="21"/>
        <v>0.7430399392</v>
      </c>
      <c r="AV184" s="131" t="str">
        <f>IFERROR(AVERAGEIFS(
'20102013 STH Efficacy'!$AX:$AX, 
'20102013 STH Efficacy'!$AL:$AL, $A184, 
'20102013 STH Efficacy'!$AM:$AM, "Albendazole",
'20102013 STH Efficacy'!$AS:$AS,"&lt;2014",
'20102013 STH Efficacy'!$BP:$BP,""),
"")</f>
        <v/>
      </c>
      <c r="AW184" s="132">
        <f t="shared" si="22"/>
        <v>0.4756666667</v>
      </c>
      <c r="AX184" s="131" t="str">
        <f>IFERROR(AVERAGEIFS(
'20102013 STH Efficacy'!$AX:$AX, 
'20102013 STH Efficacy'!$AL:$AL, $A184, 
'20102013 STH Efficacy'!$AM:$AM, "Mebendazole",
'20102013 STH Efficacy'!$AS:$AS,"&lt;2014",
'20102013 STH Efficacy'!$BP:$BP,""),
"")</f>
        <v/>
      </c>
      <c r="AY184" s="132">
        <f t="shared" si="23"/>
        <v>0.3786666667</v>
      </c>
      <c r="AZ184" s="131" t="str">
        <f>IFERROR(AVERAGEIFS(
'20102013 STH Efficacy'!$AX:$AX, 
'20102013 STH Efficacy'!$AL:$AL, $A184, 
'20102013 STH Efficacy'!$AM:$AM, "Albendazole &amp; Ivermectin",
'20102013 STH Efficacy'!$AS:$AS,"&lt;2014",
'20102013 STH Efficacy'!$BP:$BP,""),
"")</f>
        <v/>
      </c>
      <c r="BA184" s="303">
        <f t="shared" si="24"/>
        <v>0.597625</v>
      </c>
      <c r="BB184" s="134">
        <f>IFERROR(AVERAGEIFS(
'20102013 STH Efficacy'!$N:$N, 
'20102013 STH Efficacy'!$B:$B, $A184, 
'20102013 STH Efficacy'!$C:$C, "Albendazole",
'20102013 STH Efficacy'!$I:$I,"&lt;2014",
'20102013 STH Efficacy'!$AH:$AH,""),
"")</f>
        <v>0.779</v>
      </c>
      <c r="BC184" s="135">
        <f t="shared" si="25"/>
        <v>0.779</v>
      </c>
      <c r="BD184" s="134">
        <f>IFERROR(AVERAGEIFS(
'20102013 STH Efficacy'!$N:$N, 
'20102013 STH Efficacy'!$B:$B, $A184, 
'20102013 STH Efficacy'!$C:$C, "Mebendazole",
'20102013 STH Efficacy'!$I:$I,"&lt;2014",
'20102013 STH Efficacy'!$AH:$AH,""),
"")</f>
        <v>0.279</v>
      </c>
      <c r="BE184" s="135">
        <f t="shared" si="26"/>
        <v>0.279</v>
      </c>
      <c r="BF184" s="128" t="str">
        <f>IFERROR(AVERAGEIFS(
'20102013 STH Efficacy'!$CD:$CD, 
'20102013 STH Efficacy'!$BS:$BS, $A184, 
'20102013 STH Efficacy'!$BT:$BT, "Albendazole",
'20102013 STH Efficacy'!$BZ:$BZ,"&lt;2014",
'20102013 STH Efficacy'!$CU:$CU,""),
"")</f>
        <v/>
      </c>
      <c r="BG184" s="136">
        <f t="shared" si="27"/>
        <v>0.83</v>
      </c>
      <c r="BH184" s="128" t="str">
        <f>IFERROR(AVERAGEIFS(
'20102013 STH Efficacy'!$CD:$CD, 
'20102013 STH Efficacy'!$BS:$BS, $A184, 
'20102013 STH Efficacy'!$BT:$BT, "Mebendazole",
'20102013 STH Efficacy'!$BZ:$BZ,"&lt;2014",
'20102013 STH Efficacy'!$CU:$CU,""),
"")</f>
        <v/>
      </c>
      <c r="BI184" s="136">
        <f t="shared" si="28"/>
        <v>1</v>
      </c>
      <c r="BJ184" s="128" t="str">
        <f>IFERROR(AVERAGEIFS(
'20102013 STH Efficacy'!$CD:$CD, 
'20102013 STH Efficacy'!$BS:$BS, $A184, 
'20102013 STH Efficacy'!$BT:$BT, "Albendazole &amp; Ivermectin",
'20102013 STH Efficacy'!$BZ:$BZ,"&lt;2014",
'20102013 STH Efficacy'!$CU:$CU,""),
"")</f>
        <v/>
      </c>
      <c r="BK184" s="136">
        <f t="shared" si="29"/>
        <v>1</v>
      </c>
      <c r="BL184" s="300" t="str">
        <f>IFERROR(
  AVERAGEIFS(
    'NEW 20102013 Onchocerciasis Eff'!$AO:$AO,
    'NEW 20102013 Onchocerciasis Eff'!$C:$C,$A184,
    'NEW 20102013 Onchocerciasis Eff'!$D:$D,"Ivermectin",
    'NEW 20102013 Onchocerciasis Eff'!$AR:$AR,"&lt;2014",
    'NEW 20102013 Onchocerciasis Eff'!$BG:$BG,"")
,"")</f>
        <v/>
      </c>
      <c r="BM184" s="304">
        <f t="shared" si="30"/>
        <v>0.7808368939</v>
      </c>
      <c r="BN184" s="305">
        <v>0.0</v>
      </c>
      <c r="BO184" s="139">
        <v>0.0</v>
      </c>
      <c r="BP184" s="140">
        <v>0.0</v>
      </c>
      <c r="BQ184" s="141">
        <f t="shared" si="31"/>
        <v>0</v>
      </c>
      <c r="BR184" s="104" t="str">
        <f t="shared" si="32"/>
        <v>0000</v>
      </c>
      <c r="BS184" s="104" t="str">
        <f t="shared" si="33"/>
        <v>no action required</v>
      </c>
      <c r="BT184" s="142" t="str">
        <f t="shared" si="34"/>
        <v/>
      </c>
      <c r="BU184" s="104" t="str">
        <f t="shared" si="50"/>
        <v/>
      </c>
      <c r="BV184" s="104" t="str">
        <f t="shared" si="36"/>
        <v>none</v>
      </c>
      <c r="BW184" s="150" t="str">
        <f t="shared" si="37"/>
        <v/>
      </c>
      <c r="BX184" s="150" t="str">
        <f t="shared" si="38"/>
        <v/>
      </c>
      <c r="BY184" s="151" t="str">
        <f t="shared" si="39"/>
        <v/>
      </c>
      <c r="BZ184" s="152" t="str">
        <f t="shared" si="40"/>
        <v/>
      </c>
      <c r="CA184" s="152" t="str">
        <f t="shared" si="41"/>
        <v/>
      </c>
      <c r="CB184" s="152" t="str">
        <f t="shared" si="42"/>
        <v/>
      </c>
      <c r="CC184" s="153" t="str">
        <f t="shared" si="43"/>
        <v/>
      </c>
      <c r="CD184" s="153" t="str">
        <f t="shared" si="44"/>
        <v/>
      </c>
      <c r="CE184" s="154" t="str">
        <f t="shared" si="45"/>
        <v/>
      </c>
      <c r="CF184" s="154" t="str">
        <f t="shared" si="46"/>
        <v/>
      </c>
      <c r="CG184" s="154" t="str">
        <f t="shared" si="47"/>
        <v/>
      </c>
      <c r="CH184" s="308" t="str">
        <f t="shared" si="48"/>
        <v/>
      </c>
      <c r="CI184" s="299"/>
    </row>
    <row r="185">
      <c r="A185" s="103" t="s">
        <v>274</v>
      </c>
      <c r="B185" s="104" t="s">
        <v>88</v>
      </c>
      <c r="C185" s="105">
        <v>3.6849918E7</v>
      </c>
      <c r="D185" s="293">
        <v>2551.12</v>
      </c>
      <c r="E185" s="294">
        <v>19079.6265</v>
      </c>
      <c r="F185" s="307">
        <v>1.956517759</v>
      </c>
      <c r="G185" s="307">
        <v>11.46822395</v>
      </c>
      <c r="H185" s="108">
        <v>13.42474171</v>
      </c>
      <c r="I185" s="109">
        <v>832.09603</v>
      </c>
      <c r="J185" s="109">
        <v>3133.04642</v>
      </c>
      <c r="K185" s="109">
        <v>3965.142452</v>
      </c>
      <c r="L185" s="112">
        <v>1079.933159</v>
      </c>
      <c r="M185" s="112">
        <v>310.2613641</v>
      </c>
      <c r="N185" s="111">
        <v>1390.194523</v>
      </c>
      <c r="O185" s="298">
        <v>0.0</v>
      </c>
      <c r="P185" s="160">
        <v>1.9893779E7</v>
      </c>
      <c r="Q185" s="160">
        <v>292739.0</v>
      </c>
      <c r="R185" s="121">
        <f t="shared" si="11"/>
        <v>0.01471510265</v>
      </c>
      <c r="S185" s="116">
        <f t="shared" si="12"/>
        <v>0.01471510265</v>
      </c>
      <c r="T185" s="130"/>
      <c r="U185" s="118">
        <f t="shared" si="13"/>
        <v>0.5949</v>
      </c>
      <c r="V185" s="148"/>
      <c r="W185" s="120">
        <f t="shared" si="14"/>
        <v>0.9216</v>
      </c>
      <c r="X185" s="119">
        <v>0.0091</v>
      </c>
      <c r="Y185" s="120">
        <f t="shared" si="15"/>
        <v>0.0091</v>
      </c>
      <c r="Z185" s="310">
        <v>435419.0</v>
      </c>
      <c r="AA185" s="310">
        <v>177015.0</v>
      </c>
      <c r="AB185" s="300">
        <f t="shared" si="16"/>
        <v>0.4065394482</v>
      </c>
      <c r="AC185" s="301">
        <f t="shared" si="17"/>
        <v>0.4065394482</v>
      </c>
      <c r="AD185" s="122">
        <v>0.0012</v>
      </c>
      <c r="AE185" s="123">
        <v>0.03</v>
      </c>
      <c r="AF185" s="123">
        <v>0.0082</v>
      </c>
      <c r="AG185" s="316">
        <v>0.0</v>
      </c>
      <c r="AH185" s="124">
        <v>0.032800004</v>
      </c>
      <c r="AI185" s="317">
        <v>0.0</v>
      </c>
      <c r="AJ185" s="125">
        <v>0.090896918</v>
      </c>
      <c r="AK185" s="319">
        <v>0.0</v>
      </c>
      <c r="AL185" s="319">
        <v>0.0</v>
      </c>
      <c r="AM185" s="302">
        <v>0.0</v>
      </c>
      <c r="AN185" s="149" t="str">
        <f>IFERROR(
  AVERAGEIFS(
    'New 20102013 LF Efficacy'!$J:$J,
    'New 20102013 LF Efficacy'!$D:$D, $A185,
    'New 20102013 LF Efficacy'!$F:$F,"DEC", 
    'New 20102013 LF Efficacy'!$W:$W,"&lt;2014",
    'New 20102013 LF Efficacy'!$AA:$AA,""),
  ""
)</f>
        <v/>
      </c>
      <c r="AO185" s="115">
        <f t="shared" si="18"/>
        <v>0.3573520833</v>
      </c>
      <c r="AP185" s="121" t="str">
        <f>IFERROR(
AVERAGEIFS(
'New 20102013 LF Efficacy'!$J:$J,
'New 20102013 LF Efficacy'!$D:$D,$A185,
'New 20102013 LF Efficacy'!$F:$F,"Albendazole &amp; DEC",
'New 20102013 LF Efficacy'!$W:$W,"&lt;2014",
'New 20102013 LF Efficacy'!$AA:$AA,""),
"")
</f>
        <v/>
      </c>
      <c r="AQ185" s="115">
        <f t="shared" si="19"/>
        <v>0.7935</v>
      </c>
      <c r="AR185" s="121" t="str">
        <f>IFERROR(
AVERAGEIFS(
'New 20102013 LF Efficacy'!$J:$J,
'New 20102013 LF Efficacy'!$D:$D,$A185,
'New 20102013 LF Efficacy'!$F:$F,"Albendazole &amp; Ivermectin", 
'New 20102013 LF Efficacy'!$W:$W,"&lt;2014",
'New 20102013 LF Efficacy'!$AA:$AA,""),"")</f>
        <v/>
      </c>
      <c r="AS185" s="115">
        <f t="shared" si="20"/>
        <v>0.37153125</v>
      </c>
      <c r="AT185" s="130">
        <f>IFERROR(AVERAGEIFS(
'20102013 Schist Efficacy'!$O:$O, 
'20102013 Schist Efficacy'!$C:$C,$A185, 
'20102013 Schist Efficacy'!$D:$D, "Praziquantel",
'20102013 Schist Efficacy'!$J:$J,"&lt;2014",
'20102013 Schist Efficacy'!$U:$U,""),
"")</f>
        <v>0.7706923077</v>
      </c>
      <c r="AU185" s="118">
        <f t="shared" si="21"/>
        <v>0.7706923077</v>
      </c>
      <c r="AV185" s="131" t="str">
        <f>IFERROR(AVERAGEIFS(
'20102013 STH Efficacy'!$AX:$AX, 
'20102013 STH Efficacy'!$AL:$AL, $A185, 
'20102013 STH Efficacy'!$AM:$AM, "Albendazole",
'20102013 STH Efficacy'!$AS:$AS,"&lt;2014",
'20102013 STH Efficacy'!$BP:$BP,""),
"")</f>
        <v/>
      </c>
      <c r="AW185" s="132">
        <f t="shared" si="22"/>
        <v>0.3933333333</v>
      </c>
      <c r="AX185" s="131" t="str">
        <f>IFERROR(AVERAGEIFS(
'20102013 STH Efficacy'!$AX:$AX, 
'20102013 STH Efficacy'!$AL:$AL, $A185, 
'20102013 STH Efficacy'!$AM:$AM, "Mebendazole",
'20102013 STH Efficacy'!$AS:$AS,"&lt;2014",
'20102013 STH Efficacy'!$BP:$BP,""),
"")</f>
        <v/>
      </c>
      <c r="AY185" s="132">
        <f t="shared" si="23"/>
        <v>0.5017738095</v>
      </c>
      <c r="AZ185" s="131" t="str">
        <f>IFERROR(AVERAGEIFS(
'20102013 STH Efficacy'!$AX:$AX, 
'20102013 STH Efficacy'!$AL:$AL, $A185, 
'20102013 STH Efficacy'!$AM:$AM, "Albendazole &amp; Ivermectin",
'20102013 STH Efficacy'!$AS:$AS,"&lt;2014",
'20102013 STH Efficacy'!$BP:$BP,""),
"")</f>
        <v/>
      </c>
      <c r="BA185" s="303">
        <f t="shared" si="24"/>
        <v>0.597625</v>
      </c>
      <c r="BB185" s="134" t="str">
        <f>IFERROR(AVERAGEIFS(
'20102013 STH Efficacy'!$N:$N, 
'20102013 STH Efficacy'!$B:$B, $A185, 
'20102013 STH Efficacy'!$C:$C, "Albendazole",
'20102013 STH Efficacy'!$I:$I,"&lt;2014",
'20102013 STH Efficacy'!$AH:$AH,""),
"")</f>
        <v/>
      </c>
      <c r="BC185" s="135">
        <f t="shared" si="25"/>
        <v>0.7613712121</v>
      </c>
      <c r="BD185" s="134" t="str">
        <f>IFERROR(AVERAGEIFS(
'20102013 STH Efficacy'!$N:$N, 
'20102013 STH Efficacy'!$B:$B, $A185, 
'20102013 STH Efficacy'!$C:$C, "Mebendazole",
'20102013 STH Efficacy'!$I:$I,"&lt;2014",
'20102013 STH Efficacy'!$AH:$AH,""),
"")</f>
        <v/>
      </c>
      <c r="BE185" s="135">
        <f t="shared" si="26"/>
        <v>0.4362466667</v>
      </c>
      <c r="BF185" s="128" t="str">
        <f>IFERROR(AVERAGEIFS(
'20102013 STH Efficacy'!$CD:$CD, 
'20102013 STH Efficacy'!$BS:$BS, $A185, 
'20102013 STH Efficacy'!$BT:$BT, "Albendazole",
'20102013 STH Efficacy'!$BZ:$BZ,"&lt;2014",
'20102013 STH Efficacy'!$CU:$CU,""),
"")</f>
        <v/>
      </c>
      <c r="BG185" s="136">
        <f t="shared" si="27"/>
        <v>0.955</v>
      </c>
      <c r="BH185" s="128" t="str">
        <f>IFERROR(AVERAGEIFS(
'20102013 STH Efficacy'!$CD:$CD, 
'20102013 STH Efficacy'!$BS:$BS, $A185, 
'20102013 STH Efficacy'!$BT:$BT, "Mebendazole",
'20102013 STH Efficacy'!$BZ:$BZ,"&lt;2014",
'20102013 STH Efficacy'!$CU:$CU,""),
"")</f>
        <v/>
      </c>
      <c r="BI185" s="136">
        <f t="shared" si="28"/>
        <v>1</v>
      </c>
      <c r="BJ185" s="128" t="str">
        <f>IFERROR(AVERAGEIFS(
'20102013 STH Efficacy'!$CD:$CD, 
'20102013 STH Efficacy'!$BS:$BS, $A185, 
'20102013 STH Efficacy'!$BT:$BT, "Albendazole &amp; Ivermectin",
'20102013 STH Efficacy'!$BZ:$BZ,"&lt;2014",
'20102013 STH Efficacy'!$CU:$CU,""),
"")</f>
        <v/>
      </c>
      <c r="BK185" s="136">
        <f t="shared" si="29"/>
        <v>1</v>
      </c>
      <c r="BL185" s="300" t="str">
        <f>IFERROR(
  AVERAGEIFS(
    'NEW 20102013 Onchocerciasis Eff'!$AO:$AO,
    'NEW 20102013 Onchocerciasis Eff'!$C:$C,$A185,
    'NEW 20102013 Onchocerciasis Eff'!$D:$D,"Ivermectin",
    'NEW 20102013 Onchocerciasis Eff'!$AR:$AR,"&lt;2014",
    'NEW 20102013 Onchocerciasis Eff'!$BG:$BG,"")
,"")</f>
        <v/>
      </c>
      <c r="BM185" s="304">
        <f t="shared" si="30"/>
        <v>0.7808368939</v>
      </c>
      <c r="BN185" s="305">
        <v>1.0</v>
      </c>
      <c r="BO185" s="139">
        <v>1.0</v>
      </c>
      <c r="BP185" s="140">
        <v>1.0</v>
      </c>
      <c r="BQ185" s="141">
        <f t="shared" si="31"/>
        <v>0</v>
      </c>
      <c r="BR185" s="104" t="str">
        <f t="shared" si="32"/>
        <v>1110</v>
      </c>
      <c r="BS185" s="104" t="str">
        <f t="shared" si="33"/>
        <v>MDA1+T2</v>
      </c>
      <c r="BT185" s="142" t="str">
        <f t="shared" si="34"/>
        <v>IVM+ALB</v>
      </c>
      <c r="BU185" s="104" t="str">
        <f t="shared" si="50"/>
        <v>PZQ</v>
      </c>
      <c r="BV185" s="104" t="str">
        <f t="shared" si="36"/>
        <v>lf+onch+schist </v>
      </c>
      <c r="BW185" s="150" t="str">
        <f t="shared" si="37"/>
        <v/>
      </c>
      <c r="BX185" s="312">
        <f t="shared" si="38"/>
        <v>14.02395103</v>
      </c>
      <c r="BY185" s="162">
        <f t="shared" si="39"/>
        <v>16154.1553</v>
      </c>
      <c r="BZ185" s="152" t="str">
        <f t="shared" si="40"/>
        <v/>
      </c>
      <c r="CA185" s="152" t="str">
        <f t="shared" si="41"/>
        <v/>
      </c>
      <c r="CB185" s="152" t="str">
        <f t="shared" si="42"/>
        <v/>
      </c>
      <c r="CC185" s="153" t="str">
        <f t="shared" si="43"/>
        <v/>
      </c>
      <c r="CD185" s="153" t="str">
        <f t="shared" si="44"/>
        <v/>
      </c>
      <c r="CE185" s="154" t="str">
        <f t="shared" si="45"/>
        <v/>
      </c>
      <c r="CF185" s="154" t="str">
        <f t="shared" si="46"/>
        <v/>
      </c>
      <c r="CG185" s="154" t="str">
        <f t="shared" si="47"/>
        <v/>
      </c>
      <c r="CH185" s="313">
        <f t="shared" si="48"/>
        <v>0</v>
      </c>
      <c r="CI185" s="299"/>
    </row>
    <row r="186">
      <c r="A186" s="103" t="s">
        <v>275</v>
      </c>
      <c r="B186" s="104" t="s">
        <v>98</v>
      </c>
      <c r="C186" s="105">
        <v>542540.0</v>
      </c>
      <c r="D186" s="293">
        <v>0.0</v>
      </c>
      <c r="E186" s="294">
        <v>499.3953551</v>
      </c>
      <c r="F186" s="328">
        <v>2.82965E-6</v>
      </c>
      <c r="G186" s="328">
        <v>2.15081E-5</v>
      </c>
      <c r="H186" s="179">
        <v>2.43378E-5</v>
      </c>
      <c r="I186" s="109">
        <v>5.77285115</v>
      </c>
      <c r="J186" s="109">
        <v>20.3858979</v>
      </c>
      <c r="K186" s="109">
        <v>26.15874908</v>
      </c>
      <c r="L186" s="112">
        <v>3.51426786</v>
      </c>
      <c r="M186" s="112">
        <v>1.564553603</v>
      </c>
      <c r="N186" s="111">
        <v>5.078821463</v>
      </c>
      <c r="O186" s="298">
        <v>0.0</v>
      </c>
      <c r="P186" s="156"/>
      <c r="Q186" s="156"/>
      <c r="R186" s="121" t="str">
        <f t="shared" si="11"/>
        <v/>
      </c>
      <c r="S186" s="116">
        <f t="shared" si="12"/>
        <v>0.2288425133</v>
      </c>
      <c r="T186" s="130"/>
      <c r="U186" s="118">
        <f t="shared" si="13"/>
        <v>0.39435</v>
      </c>
      <c r="V186" s="148"/>
      <c r="W186" s="120">
        <f t="shared" si="14"/>
        <v>0.542475</v>
      </c>
      <c r="X186" s="148"/>
      <c r="Y186" s="120">
        <f t="shared" si="15"/>
        <v>0.6507333333</v>
      </c>
      <c r="Z186" s="299"/>
      <c r="AA186" s="299"/>
      <c r="AB186" s="300" t="str">
        <f t="shared" si="16"/>
        <v/>
      </c>
      <c r="AC186" s="301">
        <f t="shared" si="17"/>
        <v>0.3490201688</v>
      </c>
      <c r="AD186" s="122">
        <v>0.0</v>
      </c>
      <c r="AE186" s="123">
        <v>0.13</v>
      </c>
      <c r="AF186" s="123">
        <v>0.0038</v>
      </c>
      <c r="AG186" s="316">
        <v>0.0</v>
      </c>
      <c r="AH186" s="124">
        <v>0.004498983</v>
      </c>
      <c r="AI186" s="317">
        <v>0.0</v>
      </c>
      <c r="AJ186" s="125">
        <v>0.065597304</v>
      </c>
      <c r="AK186" s="319">
        <v>0.0</v>
      </c>
      <c r="AL186" s="319">
        <v>0.0</v>
      </c>
      <c r="AM186" s="302">
        <v>0.0</v>
      </c>
      <c r="AN186" s="149" t="str">
        <f>IFERROR(
  AVERAGEIFS(
    'New 20102013 LF Efficacy'!$J:$J,
    'New 20102013 LF Efficacy'!$D:$D, $A186,
    'New 20102013 LF Efficacy'!$F:$F,"DEC", 
    'New 20102013 LF Efficacy'!$W:$W,"&lt;2014",
    'New 20102013 LF Efficacy'!$AA:$AA,""),
  ""
)</f>
        <v/>
      </c>
      <c r="AO186" s="115">
        <f t="shared" si="18"/>
        <v>0.2589833333</v>
      </c>
      <c r="AP186" s="121" t="str">
        <f>IFERROR(
AVERAGEIFS(
'New 20102013 LF Efficacy'!$J:$J,
'New 20102013 LF Efficacy'!$D:$D,$A186,
'New 20102013 LF Efficacy'!$F:$F,"Albendazole &amp; DEC",
'New 20102013 LF Efficacy'!$W:$W,"&lt;2014",
'New 20102013 LF Efficacy'!$AA:$AA,""),
"")
</f>
        <v/>
      </c>
      <c r="AQ186" s="115">
        <f t="shared" si="19"/>
        <v>0.3465</v>
      </c>
      <c r="AR186" s="121" t="str">
        <f>IFERROR(
AVERAGEIFS(
'New 20102013 LF Efficacy'!$J:$J,
'New 20102013 LF Efficacy'!$D:$D,$A186,
'New 20102013 LF Efficacy'!$F:$F,"Albendazole &amp; Ivermectin", 
'New 20102013 LF Efficacy'!$W:$W,"&lt;2014",
'New 20102013 LF Efficacy'!$AA:$AA,""),"")</f>
        <v/>
      </c>
      <c r="AS186" s="115">
        <f t="shared" si="20"/>
        <v>0.7575</v>
      </c>
      <c r="AT186" s="130" t="str">
        <f>IFERROR(AVERAGEIFS(
'20102013 Schist Efficacy'!$O:$O, 
'20102013 Schist Efficacy'!$C:$C,$A186, 
'20102013 Schist Efficacy'!$D:$D, "Praziquantel",
'20102013 Schist Efficacy'!$J:$J,"&lt;2014",
'20102013 Schist Efficacy'!$U:$U,""),
"")</f>
        <v/>
      </c>
      <c r="AU186" s="118">
        <f t="shared" si="21"/>
        <v>0.7914761905</v>
      </c>
      <c r="AV186" s="131" t="str">
        <f>IFERROR(AVERAGEIFS(
'20102013 STH Efficacy'!$AX:$AX, 
'20102013 STH Efficacy'!$AL:$AL, $A186, 
'20102013 STH Efficacy'!$AM:$AM, "Albendazole",
'20102013 STH Efficacy'!$AS:$AS,"&lt;2014",
'20102013 STH Efficacy'!$BP:$BP,""),
"")</f>
        <v/>
      </c>
      <c r="AW186" s="132">
        <f t="shared" si="22"/>
        <v>0.3945</v>
      </c>
      <c r="AX186" s="131" t="str">
        <f>IFERROR(AVERAGEIFS(
'20102013 STH Efficacy'!$AX:$AX, 
'20102013 STH Efficacy'!$AL:$AL, $A186, 
'20102013 STH Efficacy'!$AM:$AM, "Mebendazole",
'20102013 STH Efficacy'!$AS:$AS,"&lt;2014",
'20102013 STH Efficacy'!$BP:$BP,""),
"")</f>
        <v/>
      </c>
      <c r="AY186" s="132">
        <f t="shared" si="23"/>
        <v>0.6</v>
      </c>
      <c r="AZ186" s="131" t="str">
        <f>IFERROR(AVERAGEIFS(
'20102013 STH Efficacy'!$AX:$AX, 
'20102013 STH Efficacy'!$AL:$AL, $A186, 
'20102013 STH Efficacy'!$AM:$AM, "Albendazole &amp; Ivermectin",
'20102013 STH Efficacy'!$AS:$AS,"&lt;2014",
'20102013 STH Efficacy'!$BP:$BP,""),
"")</f>
        <v/>
      </c>
      <c r="BA186" s="303">
        <f t="shared" si="24"/>
        <v>0.796</v>
      </c>
      <c r="BB186" s="134" t="str">
        <f>IFERROR(AVERAGEIFS(
'20102013 STH Efficacy'!$N:$N, 
'20102013 STH Efficacy'!$B:$B, $A186, 
'20102013 STH Efficacy'!$C:$C, "Albendazole",
'20102013 STH Efficacy'!$I:$I,"&lt;2014",
'20102013 STH Efficacy'!$AH:$AH,""),
"")</f>
        <v/>
      </c>
      <c r="BC186" s="135">
        <f t="shared" si="25"/>
        <v>0.869</v>
      </c>
      <c r="BD186" s="134" t="str">
        <f>IFERROR(AVERAGEIFS(
'20102013 STH Efficacy'!$N:$N, 
'20102013 STH Efficacy'!$B:$B, $A186, 
'20102013 STH Efficacy'!$C:$C, "Mebendazole",
'20102013 STH Efficacy'!$I:$I,"&lt;2014",
'20102013 STH Efficacy'!$AH:$AH,""),
"")</f>
        <v/>
      </c>
      <c r="BE186" s="135">
        <f t="shared" si="26"/>
        <v>0.172</v>
      </c>
      <c r="BF186" s="128" t="str">
        <f>IFERROR(AVERAGEIFS(
'20102013 STH Efficacy'!$CD:$CD, 
'20102013 STH Efficacy'!$BS:$BS, $A186, 
'20102013 STH Efficacy'!$BT:$BT, "Albendazole",
'20102013 STH Efficacy'!$BZ:$BZ,"&lt;2014",
'20102013 STH Efficacy'!$CU:$CU,""),
"")</f>
        <v/>
      </c>
      <c r="BG186" s="136">
        <f t="shared" si="27"/>
        <v>0.9862</v>
      </c>
      <c r="BH186" s="128" t="str">
        <f>IFERROR(AVERAGEIFS(
'20102013 STH Efficacy'!$CD:$CD, 
'20102013 STH Efficacy'!$BS:$BS, $A186, 
'20102013 STH Efficacy'!$BT:$BT, "Mebendazole",
'20102013 STH Efficacy'!$BZ:$BZ,"&lt;2014",
'20102013 STH Efficacy'!$CU:$CU,""),
"")</f>
        <v/>
      </c>
      <c r="BI186" s="136">
        <f t="shared" si="28"/>
        <v>0.769</v>
      </c>
      <c r="BJ186" s="128" t="str">
        <f>IFERROR(AVERAGEIFS(
'20102013 STH Efficacy'!$CD:$CD, 
'20102013 STH Efficacy'!$BS:$BS, $A186, 
'20102013 STH Efficacy'!$BT:$BT, "Albendazole &amp; Ivermectin",
'20102013 STH Efficacy'!$BZ:$BZ,"&lt;2014",
'20102013 STH Efficacy'!$CU:$CU,""),
"")</f>
        <v/>
      </c>
      <c r="BK186" s="136">
        <f t="shared" si="29"/>
        <v>1</v>
      </c>
      <c r="BL186" s="300" t="str">
        <f>IFERROR(
  AVERAGEIFS(
    'NEW 20102013 Onchocerciasis Eff'!$AO:$AO,
    'NEW 20102013 Onchocerciasis Eff'!$C:$C,$A186,
    'NEW 20102013 Onchocerciasis Eff'!$D:$D,"Ivermectin",
    'NEW 20102013 Onchocerciasis Eff'!$AR:$AR,"&lt;2014",
    'NEW 20102013 Onchocerciasis Eff'!$BG:$BG,"")
,"")</f>
        <v/>
      </c>
      <c r="BM186" s="304">
        <f t="shared" si="30"/>
        <v>0.3734</v>
      </c>
      <c r="BN186" s="305">
        <v>0.0</v>
      </c>
      <c r="BO186" s="139">
        <v>0.0</v>
      </c>
      <c r="BP186" s="140">
        <v>0.0</v>
      </c>
      <c r="BQ186" s="141">
        <f t="shared" si="31"/>
        <v>0</v>
      </c>
      <c r="BR186" s="104" t="str">
        <f t="shared" si="32"/>
        <v>0000</v>
      </c>
      <c r="BS186" s="104" t="str">
        <f t="shared" si="33"/>
        <v>no action required</v>
      </c>
      <c r="BT186" s="142" t="str">
        <f t="shared" si="34"/>
        <v/>
      </c>
      <c r="BU186" s="104" t="str">
        <f t="shared" si="50"/>
        <v/>
      </c>
      <c r="BV186" s="104" t="str">
        <f t="shared" si="36"/>
        <v>none</v>
      </c>
      <c r="BW186" s="150" t="str">
        <f t="shared" si="37"/>
        <v/>
      </c>
      <c r="BX186" s="150" t="str">
        <f t="shared" si="38"/>
        <v/>
      </c>
      <c r="BY186" s="151" t="str">
        <f t="shared" si="39"/>
        <v/>
      </c>
      <c r="BZ186" s="152" t="str">
        <f t="shared" si="40"/>
        <v/>
      </c>
      <c r="CA186" s="152" t="str">
        <f t="shared" si="41"/>
        <v/>
      </c>
      <c r="CB186" s="152" t="str">
        <f t="shared" si="42"/>
        <v/>
      </c>
      <c r="CC186" s="153" t="str">
        <f t="shared" si="43"/>
        <v/>
      </c>
      <c r="CD186" s="153" t="str">
        <f t="shared" si="44"/>
        <v/>
      </c>
      <c r="CE186" s="154" t="str">
        <f t="shared" si="45"/>
        <v/>
      </c>
      <c r="CF186" s="154" t="str">
        <f t="shared" si="46"/>
        <v/>
      </c>
      <c r="CG186" s="154" t="str">
        <f t="shared" si="47"/>
        <v/>
      </c>
      <c r="CH186" s="308" t="str">
        <f t="shared" si="48"/>
        <v/>
      </c>
      <c r="CI186" s="299"/>
    </row>
    <row r="187">
      <c r="A187" s="103" t="s">
        <v>276</v>
      </c>
      <c r="B187" s="104" t="s">
        <v>92</v>
      </c>
      <c r="C187" s="105">
        <v>1271456.0</v>
      </c>
      <c r="D187" s="293">
        <v>0.0</v>
      </c>
      <c r="E187" s="321">
        <v>918.6537914</v>
      </c>
      <c r="F187" s="322">
        <v>55.18126676</v>
      </c>
      <c r="G187" s="309">
        <v>236.8123596</v>
      </c>
      <c r="H187" s="108">
        <v>291.9936264</v>
      </c>
      <c r="I187" s="109">
        <v>229.579574</v>
      </c>
      <c r="J187" s="109">
        <v>600.09629</v>
      </c>
      <c r="K187" s="109">
        <v>829.6758647</v>
      </c>
      <c r="L187" s="112">
        <v>82.67862815</v>
      </c>
      <c r="M187" s="112">
        <v>80.38079863</v>
      </c>
      <c r="N187" s="111">
        <v>163.0594268</v>
      </c>
      <c r="O187" s="298">
        <v>0.0</v>
      </c>
      <c r="P187" s="114"/>
      <c r="Q187" s="114"/>
      <c r="R187" s="121" t="str">
        <f t="shared" si="11"/>
        <v/>
      </c>
      <c r="S187" s="116">
        <f t="shared" si="12"/>
        <v>0.2589669834</v>
      </c>
      <c r="T187" s="130"/>
      <c r="U187" s="118">
        <f t="shared" si="13"/>
        <v>0.252</v>
      </c>
      <c r="V187" s="148"/>
      <c r="W187" s="120">
        <f t="shared" si="14"/>
        <v>0.8114541667</v>
      </c>
      <c r="X187" s="148"/>
      <c r="Y187" s="120">
        <f t="shared" si="15"/>
        <v>0.5668291667</v>
      </c>
      <c r="Z187" s="299"/>
      <c r="AA187" s="299"/>
      <c r="AB187" s="300" t="str">
        <f t="shared" si="16"/>
        <v/>
      </c>
      <c r="AC187" s="301">
        <f t="shared" si="17"/>
        <v>0.655321236</v>
      </c>
      <c r="AD187" s="122">
        <v>0.0</v>
      </c>
      <c r="AE187" s="123">
        <v>0.05</v>
      </c>
      <c r="AF187" s="123">
        <v>0.016</v>
      </c>
      <c r="AG187" s="316">
        <v>0.0</v>
      </c>
      <c r="AH187" s="124">
        <v>0.40726767</v>
      </c>
      <c r="AI187" s="317">
        <v>0.0</v>
      </c>
      <c r="AJ187" s="125">
        <v>0.394320351</v>
      </c>
      <c r="AK187" s="319">
        <v>0.0</v>
      </c>
      <c r="AL187" s="319">
        <v>0.0</v>
      </c>
      <c r="AM187" s="302">
        <v>0.0</v>
      </c>
      <c r="AN187" s="149" t="str">
        <f>IFERROR(
  AVERAGEIFS(
    'New 20102013 LF Efficacy'!$J:$J,
    'New 20102013 LF Efficacy'!$D:$D, $A187,
    'New 20102013 LF Efficacy'!$F:$F,"DEC", 
    'New 20102013 LF Efficacy'!$W:$W,"&lt;2014",
    'New 20102013 LF Efficacy'!$AA:$AA,""),
  ""
)</f>
        <v/>
      </c>
      <c r="AO187" s="115">
        <f t="shared" si="18"/>
        <v>0.31225</v>
      </c>
      <c r="AP187" s="121" t="str">
        <f>IFERROR(
AVERAGEIFS(
'New 20102013 LF Efficacy'!$J:$J,
'New 20102013 LF Efficacy'!$D:$D,$A187,
'New 20102013 LF Efficacy'!$F:$F,"Albendazole &amp; DEC",
'New 20102013 LF Efficacy'!$W:$W,"&lt;2014",
'New 20102013 LF Efficacy'!$AA:$AA,""),
"")
</f>
        <v/>
      </c>
      <c r="AQ187" s="115">
        <f t="shared" si="19"/>
        <v>0.4</v>
      </c>
      <c r="AR187" s="121" t="str">
        <f>IFERROR(
AVERAGEIFS(
'New 20102013 LF Efficacy'!$J:$J,
'New 20102013 LF Efficacy'!$D:$D,$A187,
'New 20102013 LF Efficacy'!$F:$F,"Albendazole &amp; Ivermectin", 
'New 20102013 LF Efficacy'!$W:$W,"&lt;2014",
'New 20102013 LF Efficacy'!$AA:$AA,""),"")</f>
        <v/>
      </c>
      <c r="AS187" s="115">
        <f t="shared" si="20"/>
        <v>0.2943125</v>
      </c>
      <c r="AT187" s="130" t="str">
        <f>IFERROR(AVERAGEIFS(
'20102013 Schist Efficacy'!$O:$O, 
'20102013 Schist Efficacy'!$C:$C,$A187, 
'20102013 Schist Efficacy'!$D:$D, "Praziquantel",
'20102013 Schist Efficacy'!$J:$J,"&lt;2014",
'20102013 Schist Efficacy'!$U:$U,""),
"")</f>
        <v/>
      </c>
      <c r="AU187" s="118">
        <f t="shared" si="21"/>
        <v>0.7192212527</v>
      </c>
      <c r="AV187" s="131" t="str">
        <f>IFERROR(AVERAGEIFS(
'20102013 STH Efficacy'!$AX:$AX, 
'20102013 STH Efficacy'!$AL:$AL, $A187, 
'20102013 STH Efficacy'!$AM:$AM, "Albendazole",
'20102013 STH Efficacy'!$AS:$AS,"&lt;2014",
'20102013 STH Efficacy'!$BP:$BP,""),
"")</f>
        <v/>
      </c>
      <c r="AW187" s="132">
        <f t="shared" si="22"/>
        <v>0.3816333333</v>
      </c>
      <c r="AX187" s="131" t="str">
        <f>IFERROR(AVERAGEIFS(
'20102013 STH Efficacy'!$AX:$AX, 
'20102013 STH Efficacy'!$AL:$AL, $A187, 
'20102013 STH Efficacy'!$AM:$AM, "Mebendazole",
'20102013 STH Efficacy'!$AS:$AS,"&lt;2014",
'20102013 STH Efficacy'!$BP:$BP,""),
"")</f>
        <v/>
      </c>
      <c r="AY187" s="132">
        <f t="shared" si="23"/>
        <v>0.5675833333</v>
      </c>
      <c r="AZ187" s="131" t="str">
        <f>IFERROR(AVERAGEIFS(
'20102013 STH Efficacy'!$AX:$AX, 
'20102013 STH Efficacy'!$AL:$AL, $A187, 
'20102013 STH Efficacy'!$AM:$AM, "Albendazole &amp; Ivermectin",
'20102013 STH Efficacy'!$AS:$AS,"&lt;2014",
'20102013 STH Efficacy'!$BP:$BP,""),
"")</f>
        <v/>
      </c>
      <c r="BA187" s="303">
        <f t="shared" si="24"/>
        <v>0.47175</v>
      </c>
      <c r="BB187" s="134" t="str">
        <f>IFERROR(AVERAGEIFS(
'20102013 STH Efficacy'!$N:$N, 
'20102013 STH Efficacy'!$B:$B, $A187, 
'20102013 STH Efficacy'!$C:$C, "Albendazole",
'20102013 STH Efficacy'!$I:$I,"&lt;2014",
'20102013 STH Efficacy'!$AH:$AH,""),
"")</f>
        <v/>
      </c>
      <c r="BC187" s="135">
        <f t="shared" si="25"/>
        <v>0.8699166667</v>
      </c>
      <c r="BD187" s="134" t="str">
        <f>IFERROR(AVERAGEIFS(
'20102013 STH Efficacy'!$N:$N, 
'20102013 STH Efficacy'!$B:$B, $A187, 
'20102013 STH Efficacy'!$C:$C, "Mebendazole",
'20102013 STH Efficacy'!$I:$I,"&lt;2014",
'20102013 STH Efficacy'!$AH:$AH,""),
"")</f>
        <v/>
      </c>
      <c r="BE187" s="135">
        <f t="shared" si="26"/>
        <v>0.7092416667</v>
      </c>
      <c r="BF187" s="128" t="str">
        <f>IFERROR(AVERAGEIFS(
'20102013 STH Efficacy'!$CD:$CD, 
'20102013 STH Efficacy'!$BS:$BS, $A187, 
'20102013 STH Efficacy'!$BT:$BT, "Albendazole",
'20102013 STH Efficacy'!$BZ:$BZ,"&lt;2014",
'20102013 STH Efficacy'!$CU:$CU,""),
"")</f>
        <v/>
      </c>
      <c r="BG187" s="136">
        <f t="shared" si="27"/>
        <v>0.9066666667</v>
      </c>
      <c r="BH187" s="128" t="str">
        <f>IFERROR(AVERAGEIFS(
'20102013 STH Efficacy'!$CD:$CD, 
'20102013 STH Efficacy'!$BS:$BS, $A187, 
'20102013 STH Efficacy'!$BT:$BT, "Mebendazole",
'20102013 STH Efficacy'!$BZ:$BZ,"&lt;2014",
'20102013 STH Efficacy'!$CU:$CU,""),
"")</f>
        <v/>
      </c>
      <c r="BI187" s="136">
        <f t="shared" si="28"/>
        <v>0.9358666667</v>
      </c>
      <c r="BJ187" s="128" t="str">
        <f>IFERROR(AVERAGEIFS(
'20102013 STH Efficacy'!$CD:$CD, 
'20102013 STH Efficacy'!$BS:$BS, $A187, 
'20102013 STH Efficacy'!$BT:$BT, "Albendazole &amp; Ivermectin",
'20102013 STH Efficacy'!$BZ:$BZ,"&lt;2014",
'20102013 STH Efficacy'!$CU:$CU,""),
"")</f>
        <v/>
      </c>
      <c r="BK187" s="136">
        <f t="shared" si="29"/>
        <v>1</v>
      </c>
      <c r="BL187" s="300" t="str">
        <f>IFERROR(
  AVERAGEIFS(
    'NEW 20102013 Onchocerciasis Eff'!$AO:$AO,
    'NEW 20102013 Onchocerciasis Eff'!$C:$C,$A187,
    'NEW 20102013 Onchocerciasis Eff'!$D:$D,"Ivermectin",
    'NEW 20102013 Onchocerciasis Eff'!$AR:$AR,"&lt;2014",
    'NEW 20102013 Onchocerciasis Eff'!$BG:$BG,"")
,"")</f>
        <v/>
      </c>
      <c r="BM187" s="304">
        <f t="shared" si="30"/>
        <v>0.8390421645</v>
      </c>
      <c r="BN187" s="305">
        <v>0.0</v>
      </c>
      <c r="BO187" s="139">
        <v>0.0</v>
      </c>
      <c r="BP187" s="140">
        <v>1.0</v>
      </c>
      <c r="BQ187" s="141">
        <f t="shared" si="31"/>
        <v>1</v>
      </c>
      <c r="BR187" s="104" t="str">
        <f t="shared" si="32"/>
        <v>0011</v>
      </c>
      <c r="BS187" s="104" t="str">
        <f t="shared" si="33"/>
        <v>T1</v>
      </c>
      <c r="BT187" s="142" t="str">
        <f t="shared" si="34"/>
        <v>ALB+PZQ or MBD+PZQ</v>
      </c>
      <c r="BU187" s="104" t="str">
        <f t="shared" si="50"/>
        <v/>
      </c>
      <c r="BV187" s="104" t="str">
        <f t="shared" si="36"/>
        <v>schist+sth</v>
      </c>
      <c r="BW187" s="150" t="str">
        <f t="shared" si="37"/>
        <v/>
      </c>
      <c r="BX187" s="150" t="str">
        <f t="shared" si="38"/>
        <v/>
      </c>
      <c r="BY187" s="151" t="str">
        <f t="shared" si="39"/>
        <v/>
      </c>
      <c r="BZ187" s="152">
        <f t="shared" si="40"/>
        <v>90.12218451</v>
      </c>
      <c r="CA187" s="152">
        <f t="shared" si="41"/>
        <v>159.4394928</v>
      </c>
      <c r="CB187" s="152" t="str">
        <f t="shared" si="42"/>
        <v/>
      </c>
      <c r="CC187" s="323">
        <f t="shared" si="43"/>
        <v>1134.776587</v>
      </c>
      <c r="CD187" s="323">
        <f t="shared" si="44"/>
        <v>714.7065822</v>
      </c>
      <c r="CE187" s="154">
        <f t="shared" si="45"/>
        <v>315.1506565</v>
      </c>
      <c r="CF187" s="154">
        <f t="shared" si="46"/>
        <v>351.7907515</v>
      </c>
      <c r="CG187" s="154" t="str">
        <f t="shared" si="47"/>
        <v/>
      </c>
      <c r="CH187" s="308" t="str">
        <f t="shared" si="48"/>
        <v/>
      </c>
      <c r="CI187" s="299"/>
    </row>
    <row r="188">
      <c r="A188" s="103" t="s">
        <v>277</v>
      </c>
      <c r="B188" s="104" t="s">
        <v>90</v>
      </c>
      <c r="C188" s="105">
        <v>9600379.0</v>
      </c>
      <c r="D188" s="293">
        <v>0.0</v>
      </c>
      <c r="E188" s="294">
        <v>0.0</v>
      </c>
      <c r="F188" s="309">
        <v>0.0</v>
      </c>
      <c r="G188" s="309">
        <v>0.0</v>
      </c>
      <c r="H188" s="108">
        <v>0.0</v>
      </c>
      <c r="I188" s="109">
        <v>0.0</v>
      </c>
      <c r="J188" s="109">
        <v>0.0</v>
      </c>
      <c r="K188" s="109">
        <v>0.0</v>
      </c>
      <c r="L188" s="112">
        <v>0.0</v>
      </c>
      <c r="M188" s="112">
        <v>0.0</v>
      </c>
      <c r="N188" s="111">
        <v>0.0</v>
      </c>
      <c r="O188" s="298">
        <v>0.0</v>
      </c>
      <c r="P188" s="114"/>
      <c r="Q188" s="114"/>
      <c r="R188" s="121" t="str">
        <f t="shared" si="11"/>
        <v/>
      </c>
      <c r="S188" s="116">
        <f t="shared" si="12"/>
        <v>0.526225767</v>
      </c>
      <c r="T188" s="130"/>
      <c r="U188" s="118">
        <f t="shared" si="13"/>
        <v>0.3468166667</v>
      </c>
      <c r="V188" s="148"/>
      <c r="W188" s="120">
        <f t="shared" si="14"/>
        <v>1</v>
      </c>
      <c r="X188" s="148"/>
      <c r="Y188" s="120">
        <f t="shared" si="15"/>
        <v>1</v>
      </c>
      <c r="Z188" s="299"/>
      <c r="AA188" s="299"/>
      <c r="AB188" s="300" t="str">
        <f t="shared" si="16"/>
        <v/>
      </c>
      <c r="AC188" s="301">
        <f t="shared" si="17"/>
        <v>0.6295826791</v>
      </c>
      <c r="AD188" s="122">
        <v>0.0</v>
      </c>
      <c r="AE188" s="123">
        <v>0.0</v>
      </c>
      <c r="AF188" s="123">
        <v>0.0</v>
      </c>
      <c r="AG188" s="316">
        <v>0.0</v>
      </c>
      <c r="AH188" s="124">
        <v>0.0</v>
      </c>
      <c r="AI188" s="317">
        <v>0.0</v>
      </c>
      <c r="AJ188" s="125">
        <v>0.0</v>
      </c>
      <c r="AK188" s="319">
        <v>0.0</v>
      </c>
      <c r="AL188" s="319">
        <v>0.0</v>
      </c>
      <c r="AM188" s="302">
        <v>0.0</v>
      </c>
      <c r="AN188" s="149" t="str">
        <f>IFERROR(
  AVERAGEIFS(
    'New 20102013 LF Efficacy'!$J:$J,
    'New 20102013 LF Efficacy'!$D:$D, $A188,
    'New 20102013 LF Efficacy'!$F:$F,"DEC", 
    'New 20102013 LF Efficacy'!$W:$W,"&lt;2014",
    'New 20102013 LF Efficacy'!$AA:$AA,""),
  ""
)</f>
        <v/>
      </c>
      <c r="AO188" s="115">
        <f t="shared" si="18"/>
        <v>0.3573520833</v>
      </c>
      <c r="AP188" s="121" t="str">
        <f>IFERROR(
AVERAGEIFS(
'New 20102013 LF Efficacy'!$J:$J,
'New 20102013 LF Efficacy'!$D:$D,$A188,
'New 20102013 LF Efficacy'!$F:$F,"Albendazole &amp; DEC",
'New 20102013 LF Efficacy'!$W:$W,"&lt;2014",
'New 20102013 LF Efficacy'!$AA:$AA,""),
"")
</f>
        <v/>
      </c>
      <c r="AQ188" s="115">
        <f t="shared" si="19"/>
        <v>0.5137291667</v>
      </c>
      <c r="AR188" s="121" t="str">
        <f>IFERROR(
AVERAGEIFS(
'New 20102013 LF Efficacy'!$J:$J,
'New 20102013 LF Efficacy'!$D:$D,$A188,
'New 20102013 LF Efficacy'!$F:$F,"Albendazole &amp; Ivermectin", 
'New 20102013 LF Efficacy'!$W:$W,"&lt;2014",
'New 20102013 LF Efficacy'!$AA:$AA,""),"")</f>
        <v/>
      </c>
      <c r="AS188" s="115">
        <f t="shared" si="20"/>
        <v>0.37153125</v>
      </c>
      <c r="AT188" s="130" t="str">
        <f>IFERROR(AVERAGEIFS(
'20102013 Schist Efficacy'!$O:$O, 
'20102013 Schist Efficacy'!$C:$C,$A188, 
'20102013 Schist Efficacy'!$D:$D, "Praziquantel",
'20102013 Schist Efficacy'!$J:$J,"&lt;2014",
'20102013 Schist Efficacy'!$U:$U,""),
"")</f>
        <v/>
      </c>
      <c r="AU188" s="118">
        <f t="shared" si="21"/>
        <v>0.655</v>
      </c>
      <c r="AV188" s="131" t="str">
        <f>IFERROR(AVERAGEIFS(
'20102013 STH Efficacy'!$AX:$AX, 
'20102013 STH Efficacy'!$AL:$AL, $A188, 
'20102013 STH Efficacy'!$AM:$AM, "Albendazole",
'20102013 STH Efficacy'!$AS:$AS,"&lt;2014",
'20102013 STH Efficacy'!$BP:$BP,""),
"")</f>
        <v/>
      </c>
      <c r="AW188" s="132">
        <f t="shared" si="22"/>
        <v>0.3933333333</v>
      </c>
      <c r="AX188" s="131" t="str">
        <f>IFERROR(AVERAGEIFS(
'20102013 STH Efficacy'!$AX:$AX, 
'20102013 STH Efficacy'!$AL:$AL, $A188, 
'20102013 STH Efficacy'!$AM:$AM, "Mebendazole",
'20102013 STH Efficacy'!$AS:$AS,"&lt;2014",
'20102013 STH Efficacy'!$BP:$BP,""),
"")</f>
        <v/>
      </c>
      <c r="AY188" s="132">
        <f t="shared" si="23"/>
        <v>0.5017738095</v>
      </c>
      <c r="AZ188" s="131" t="str">
        <f>IFERROR(AVERAGEIFS(
'20102013 STH Efficacy'!$AX:$AX, 
'20102013 STH Efficacy'!$AL:$AL, $A188, 
'20102013 STH Efficacy'!$AM:$AM, "Albendazole &amp; Ivermectin",
'20102013 STH Efficacy'!$AS:$AS,"&lt;2014",
'20102013 STH Efficacy'!$BP:$BP,""),
"")</f>
        <v/>
      </c>
      <c r="BA188" s="303">
        <f t="shared" si="24"/>
        <v>0.597625</v>
      </c>
      <c r="BB188" s="134" t="str">
        <f>IFERROR(AVERAGEIFS(
'20102013 STH Efficacy'!$N:$N, 
'20102013 STH Efficacy'!$B:$B, $A188, 
'20102013 STH Efficacy'!$C:$C, "Albendazole",
'20102013 STH Efficacy'!$I:$I,"&lt;2014",
'20102013 STH Efficacy'!$AH:$AH,""),
"")</f>
        <v/>
      </c>
      <c r="BC188" s="135">
        <f t="shared" si="25"/>
        <v>0.7613712121</v>
      </c>
      <c r="BD188" s="134" t="str">
        <f>IFERROR(AVERAGEIFS(
'20102013 STH Efficacy'!$N:$N, 
'20102013 STH Efficacy'!$B:$B, $A188, 
'20102013 STH Efficacy'!$C:$C, "Mebendazole",
'20102013 STH Efficacy'!$I:$I,"&lt;2014",
'20102013 STH Efficacy'!$AH:$AH,""),
"")</f>
        <v/>
      </c>
      <c r="BE188" s="135">
        <f t="shared" si="26"/>
        <v>0.4362466667</v>
      </c>
      <c r="BF188" s="128" t="str">
        <f>IFERROR(AVERAGEIFS(
'20102013 STH Efficacy'!$CD:$CD, 
'20102013 STH Efficacy'!$BS:$BS, $A188, 
'20102013 STH Efficacy'!$BT:$BT, "Albendazole",
'20102013 STH Efficacy'!$BZ:$BZ,"&lt;2014",
'20102013 STH Efficacy'!$CU:$CU,""),
"")</f>
        <v/>
      </c>
      <c r="BG188" s="136">
        <f t="shared" si="27"/>
        <v>0.9216027778</v>
      </c>
      <c r="BH188" s="128" t="str">
        <f>IFERROR(AVERAGEIFS(
'20102013 STH Efficacy'!$CD:$CD, 
'20102013 STH Efficacy'!$BS:$BS, $A188, 
'20102013 STH Efficacy'!$BT:$BT, "Mebendazole",
'20102013 STH Efficacy'!$BZ:$BZ,"&lt;2014",
'20102013 STH Efficacy'!$CU:$CU,""),
"")</f>
        <v/>
      </c>
      <c r="BI188" s="136">
        <f t="shared" si="28"/>
        <v>0.9295857143</v>
      </c>
      <c r="BJ188" s="128" t="str">
        <f>IFERROR(AVERAGEIFS(
'20102013 STH Efficacy'!$CD:$CD, 
'20102013 STH Efficacy'!$BS:$BS, $A188, 
'20102013 STH Efficacy'!$BT:$BT, "Albendazole &amp; Ivermectin",
'20102013 STH Efficacy'!$BZ:$BZ,"&lt;2014",
'20102013 STH Efficacy'!$CU:$CU,""),
"")</f>
        <v/>
      </c>
      <c r="BK188" s="136">
        <f t="shared" si="29"/>
        <v>1</v>
      </c>
      <c r="BL188" s="300" t="str">
        <f>IFERROR(
  AVERAGEIFS(
    'NEW 20102013 Onchocerciasis Eff'!$AO:$AO,
    'NEW 20102013 Onchocerciasis Eff'!$C:$C,$A188,
    'NEW 20102013 Onchocerciasis Eff'!$D:$D,"Ivermectin",
    'NEW 20102013 Onchocerciasis Eff'!$AR:$AR,"&lt;2014",
    'NEW 20102013 Onchocerciasis Eff'!$BG:$BG,"")
,"")</f>
        <v/>
      </c>
      <c r="BM188" s="304">
        <f t="shared" si="30"/>
        <v>0.7808368939</v>
      </c>
      <c r="BN188" s="305">
        <v>0.0</v>
      </c>
      <c r="BO188" s="139">
        <v>0.0</v>
      </c>
      <c r="BP188" s="140">
        <v>0.0</v>
      </c>
      <c r="BQ188" s="141">
        <f t="shared" si="31"/>
        <v>0</v>
      </c>
      <c r="BR188" s="104" t="str">
        <f t="shared" si="32"/>
        <v>0000</v>
      </c>
      <c r="BS188" s="104" t="str">
        <f t="shared" si="33"/>
        <v>no action required</v>
      </c>
      <c r="BT188" s="142" t="str">
        <f t="shared" si="34"/>
        <v/>
      </c>
      <c r="BU188" s="104" t="str">
        <f t="shared" si="50"/>
        <v/>
      </c>
      <c r="BV188" s="104" t="str">
        <f t="shared" si="36"/>
        <v>none</v>
      </c>
      <c r="BW188" s="150" t="str">
        <f t="shared" si="37"/>
        <v/>
      </c>
      <c r="BX188" s="150" t="str">
        <f t="shared" si="38"/>
        <v/>
      </c>
      <c r="BY188" s="151" t="str">
        <f t="shared" si="39"/>
        <v/>
      </c>
      <c r="BZ188" s="152" t="str">
        <f t="shared" si="40"/>
        <v/>
      </c>
      <c r="CA188" s="152" t="str">
        <f t="shared" si="41"/>
        <v/>
      </c>
      <c r="CB188" s="152" t="str">
        <f t="shared" si="42"/>
        <v/>
      </c>
      <c r="CC188" s="153" t="str">
        <f t="shared" si="43"/>
        <v/>
      </c>
      <c r="CD188" s="153" t="str">
        <f t="shared" si="44"/>
        <v/>
      </c>
      <c r="CE188" s="154" t="str">
        <f t="shared" si="45"/>
        <v/>
      </c>
      <c r="CF188" s="154" t="str">
        <f t="shared" si="46"/>
        <v/>
      </c>
      <c r="CG188" s="154" t="str">
        <f t="shared" si="47"/>
        <v/>
      </c>
      <c r="CH188" s="308" t="str">
        <f t="shared" si="48"/>
        <v/>
      </c>
      <c r="CI188" s="299"/>
    </row>
    <row r="189">
      <c r="A189" s="103" t="s">
        <v>278</v>
      </c>
      <c r="B189" s="104" t="s">
        <v>90</v>
      </c>
      <c r="C189" s="105">
        <v>8089346.0</v>
      </c>
      <c r="D189" s="293">
        <v>0.0</v>
      </c>
      <c r="E189" s="294">
        <v>0.0</v>
      </c>
      <c r="F189" s="309">
        <v>0.0</v>
      </c>
      <c r="G189" s="309">
        <v>0.0</v>
      </c>
      <c r="H189" s="108">
        <v>0.0</v>
      </c>
      <c r="I189" s="109">
        <v>0.0</v>
      </c>
      <c r="J189" s="109">
        <v>0.0</v>
      </c>
      <c r="K189" s="109">
        <v>0.0</v>
      </c>
      <c r="L189" s="112">
        <v>0.0</v>
      </c>
      <c r="M189" s="112">
        <v>0.0</v>
      </c>
      <c r="N189" s="111">
        <v>0.0</v>
      </c>
      <c r="O189" s="298">
        <v>0.0</v>
      </c>
      <c r="P189" s="114"/>
      <c r="Q189" s="114"/>
      <c r="R189" s="121" t="str">
        <f t="shared" si="11"/>
        <v/>
      </c>
      <c r="S189" s="116">
        <f t="shared" si="12"/>
        <v>0.526225767</v>
      </c>
      <c r="T189" s="130"/>
      <c r="U189" s="118">
        <f t="shared" si="13"/>
        <v>0.3468166667</v>
      </c>
      <c r="V189" s="148"/>
      <c r="W189" s="120">
        <f t="shared" si="14"/>
        <v>1</v>
      </c>
      <c r="X189" s="148"/>
      <c r="Y189" s="120">
        <f t="shared" si="15"/>
        <v>1</v>
      </c>
      <c r="Z189" s="299"/>
      <c r="AA189" s="299"/>
      <c r="AB189" s="300" t="str">
        <f t="shared" si="16"/>
        <v/>
      </c>
      <c r="AC189" s="301">
        <f t="shared" si="17"/>
        <v>0.6295826791</v>
      </c>
      <c r="AD189" s="122">
        <v>0.0</v>
      </c>
      <c r="AE189" s="123">
        <v>0.0</v>
      </c>
      <c r="AF189" s="123">
        <v>0.0</v>
      </c>
      <c r="AG189" s="316">
        <v>0.0</v>
      </c>
      <c r="AH189" s="124">
        <v>0.0</v>
      </c>
      <c r="AI189" s="317">
        <v>0.0</v>
      </c>
      <c r="AJ189" s="125">
        <v>0.0</v>
      </c>
      <c r="AK189" s="319">
        <v>0.0</v>
      </c>
      <c r="AL189" s="319">
        <v>0.0</v>
      </c>
      <c r="AM189" s="302">
        <v>0.0</v>
      </c>
      <c r="AN189" s="149" t="str">
        <f>IFERROR(
  AVERAGEIFS(
    'New 20102013 LF Efficacy'!$J:$J,
    'New 20102013 LF Efficacy'!$D:$D, $A189,
    'New 20102013 LF Efficacy'!$F:$F,"DEC", 
    'New 20102013 LF Efficacy'!$W:$W,"&lt;2014",
    'New 20102013 LF Efficacy'!$AA:$AA,""),
  ""
)</f>
        <v/>
      </c>
      <c r="AO189" s="115">
        <f t="shared" si="18"/>
        <v>0.3573520833</v>
      </c>
      <c r="AP189" s="121" t="str">
        <f>IFERROR(
AVERAGEIFS(
'New 20102013 LF Efficacy'!$J:$J,
'New 20102013 LF Efficacy'!$D:$D,$A189,
'New 20102013 LF Efficacy'!$F:$F,"Albendazole &amp; DEC",
'New 20102013 LF Efficacy'!$W:$W,"&lt;2014",
'New 20102013 LF Efficacy'!$AA:$AA,""),
"")
</f>
        <v/>
      </c>
      <c r="AQ189" s="115">
        <f t="shared" si="19"/>
        <v>0.5137291667</v>
      </c>
      <c r="AR189" s="121" t="str">
        <f>IFERROR(
AVERAGEIFS(
'New 20102013 LF Efficacy'!$J:$J,
'New 20102013 LF Efficacy'!$D:$D,$A189,
'New 20102013 LF Efficacy'!$F:$F,"Albendazole &amp; Ivermectin", 
'New 20102013 LF Efficacy'!$W:$W,"&lt;2014",
'New 20102013 LF Efficacy'!$AA:$AA,""),"")</f>
        <v/>
      </c>
      <c r="AS189" s="115">
        <f t="shared" si="20"/>
        <v>0.37153125</v>
      </c>
      <c r="AT189" s="130" t="str">
        <f>IFERROR(AVERAGEIFS(
'20102013 Schist Efficacy'!$O:$O, 
'20102013 Schist Efficacy'!$C:$C,$A189, 
'20102013 Schist Efficacy'!$D:$D, "Praziquantel",
'20102013 Schist Efficacy'!$J:$J,"&lt;2014",
'20102013 Schist Efficacy'!$U:$U,""),
"")</f>
        <v/>
      </c>
      <c r="AU189" s="118">
        <f t="shared" si="21"/>
        <v>0.655</v>
      </c>
      <c r="AV189" s="131" t="str">
        <f>IFERROR(AVERAGEIFS(
'20102013 STH Efficacy'!$AX:$AX, 
'20102013 STH Efficacy'!$AL:$AL, $A189, 
'20102013 STH Efficacy'!$AM:$AM, "Albendazole",
'20102013 STH Efficacy'!$AS:$AS,"&lt;2014",
'20102013 STH Efficacy'!$BP:$BP,""),
"")</f>
        <v/>
      </c>
      <c r="AW189" s="132">
        <f t="shared" si="22"/>
        <v>0.3933333333</v>
      </c>
      <c r="AX189" s="131" t="str">
        <f>IFERROR(AVERAGEIFS(
'20102013 STH Efficacy'!$AX:$AX, 
'20102013 STH Efficacy'!$AL:$AL, $A189, 
'20102013 STH Efficacy'!$AM:$AM, "Mebendazole",
'20102013 STH Efficacy'!$AS:$AS,"&lt;2014",
'20102013 STH Efficacy'!$BP:$BP,""),
"")</f>
        <v/>
      </c>
      <c r="AY189" s="132">
        <f t="shared" si="23"/>
        <v>0.5017738095</v>
      </c>
      <c r="AZ189" s="131" t="str">
        <f>IFERROR(AVERAGEIFS(
'20102013 STH Efficacy'!$AX:$AX, 
'20102013 STH Efficacy'!$AL:$AL, $A189, 
'20102013 STH Efficacy'!$AM:$AM, "Albendazole &amp; Ivermectin",
'20102013 STH Efficacy'!$AS:$AS,"&lt;2014",
'20102013 STH Efficacy'!$BP:$BP,""),
"")</f>
        <v/>
      </c>
      <c r="BA189" s="303">
        <f t="shared" si="24"/>
        <v>0.597625</v>
      </c>
      <c r="BB189" s="134" t="str">
        <f>IFERROR(AVERAGEIFS(
'20102013 STH Efficacy'!$N:$N, 
'20102013 STH Efficacy'!$B:$B, $A189, 
'20102013 STH Efficacy'!$C:$C, "Albendazole",
'20102013 STH Efficacy'!$I:$I,"&lt;2014",
'20102013 STH Efficacy'!$AH:$AH,""),
"")</f>
        <v/>
      </c>
      <c r="BC189" s="135">
        <f t="shared" si="25"/>
        <v>0.7613712121</v>
      </c>
      <c r="BD189" s="134" t="str">
        <f>IFERROR(AVERAGEIFS(
'20102013 STH Efficacy'!$N:$N, 
'20102013 STH Efficacy'!$B:$B, $A189, 
'20102013 STH Efficacy'!$C:$C, "Mebendazole",
'20102013 STH Efficacy'!$I:$I,"&lt;2014",
'20102013 STH Efficacy'!$AH:$AH,""),
"")</f>
        <v/>
      </c>
      <c r="BE189" s="135">
        <f t="shared" si="26"/>
        <v>0.4362466667</v>
      </c>
      <c r="BF189" s="128" t="str">
        <f>IFERROR(AVERAGEIFS(
'20102013 STH Efficacy'!$CD:$CD, 
'20102013 STH Efficacy'!$BS:$BS, $A189, 
'20102013 STH Efficacy'!$BT:$BT, "Albendazole",
'20102013 STH Efficacy'!$BZ:$BZ,"&lt;2014",
'20102013 STH Efficacy'!$CU:$CU,""),
"")</f>
        <v/>
      </c>
      <c r="BG189" s="136">
        <f t="shared" si="27"/>
        <v>0.9216027778</v>
      </c>
      <c r="BH189" s="128" t="str">
        <f>IFERROR(AVERAGEIFS(
'20102013 STH Efficacy'!$CD:$CD, 
'20102013 STH Efficacy'!$BS:$BS, $A189, 
'20102013 STH Efficacy'!$BT:$BT, "Mebendazole",
'20102013 STH Efficacy'!$BZ:$BZ,"&lt;2014",
'20102013 STH Efficacy'!$CU:$CU,""),
"")</f>
        <v/>
      </c>
      <c r="BI189" s="136">
        <f t="shared" si="28"/>
        <v>0.9295857143</v>
      </c>
      <c r="BJ189" s="128" t="str">
        <f>IFERROR(AVERAGEIFS(
'20102013 STH Efficacy'!$CD:$CD, 
'20102013 STH Efficacy'!$BS:$BS, $A189, 
'20102013 STH Efficacy'!$BT:$BT, "Albendazole &amp; Ivermectin",
'20102013 STH Efficacy'!$BZ:$BZ,"&lt;2014",
'20102013 STH Efficacy'!$CU:$CU,""),
"")</f>
        <v/>
      </c>
      <c r="BK189" s="136">
        <f t="shared" si="29"/>
        <v>1</v>
      </c>
      <c r="BL189" s="300" t="str">
        <f>IFERROR(
  AVERAGEIFS(
    'NEW 20102013 Onchocerciasis Eff'!$AO:$AO,
    'NEW 20102013 Onchocerciasis Eff'!$C:$C,$A189,
    'NEW 20102013 Onchocerciasis Eff'!$D:$D,"Ivermectin",
    'NEW 20102013 Onchocerciasis Eff'!$AR:$AR,"&lt;2014",
    'NEW 20102013 Onchocerciasis Eff'!$BG:$BG,"")
,"")</f>
        <v/>
      </c>
      <c r="BM189" s="304">
        <f t="shared" si="30"/>
        <v>0.7808368939</v>
      </c>
      <c r="BN189" s="305">
        <v>0.0</v>
      </c>
      <c r="BO189" s="139">
        <v>0.0</v>
      </c>
      <c r="BP189" s="140">
        <v>0.0</v>
      </c>
      <c r="BQ189" s="141">
        <f t="shared" si="31"/>
        <v>0</v>
      </c>
      <c r="BR189" s="104" t="str">
        <f t="shared" si="32"/>
        <v>0000</v>
      </c>
      <c r="BS189" s="104" t="str">
        <f t="shared" si="33"/>
        <v>no action required</v>
      </c>
      <c r="BT189" s="142" t="str">
        <f t="shared" si="34"/>
        <v/>
      </c>
      <c r="BU189" s="104" t="str">
        <f t="shared" si="50"/>
        <v/>
      </c>
      <c r="BV189" s="104" t="str">
        <f t="shared" si="36"/>
        <v>none</v>
      </c>
      <c r="BW189" s="150" t="str">
        <f t="shared" si="37"/>
        <v/>
      </c>
      <c r="BX189" s="150" t="str">
        <f t="shared" si="38"/>
        <v/>
      </c>
      <c r="BY189" s="151" t="str">
        <f t="shared" si="39"/>
        <v/>
      </c>
      <c r="BZ189" s="152" t="str">
        <f t="shared" si="40"/>
        <v/>
      </c>
      <c r="CA189" s="152" t="str">
        <f t="shared" si="41"/>
        <v/>
      </c>
      <c r="CB189" s="152" t="str">
        <f t="shared" si="42"/>
        <v/>
      </c>
      <c r="CC189" s="153" t="str">
        <f t="shared" si="43"/>
        <v/>
      </c>
      <c r="CD189" s="153" t="str">
        <f t="shared" si="44"/>
        <v/>
      </c>
      <c r="CE189" s="154" t="str">
        <f t="shared" si="45"/>
        <v/>
      </c>
      <c r="CF189" s="154" t="str">
        <f t="shared" si="46"/>
        <v/>
      </c>
      <c r="CG189" s="154" t="str">
        <f t="shared" si="47"/>
        <v/>
      </c>
      <c r="CH189" s="308" t="str">
        <f t="shared" si="48"/>
        <v/>
      </c>
      <c r="CI189" s="299"/>
    </row>
    <row r="190">
      <c r="A190" s="103" t="s">
        <v>279</v>
      </c>
      <c r="B190" s="104" t="s">
        <v>88</v>
      </c>
      <c r="C190" s="105">
        <v>1.9809141E7</v>
      </c>
      <c r="D190" s="293">
        <v>0.0</v>
      </c>
      <c r="E190" s="294">
        <v>2647.698737</v>
      </c>
      <c r="F190" s="163"/>
      <c r="G190" s="163"/>
      <c r="H190" s="108">
        <v>13.59145152</v>
      </c>
      <c r="I190" s="109">
        <v>0.0</v>
      </c>
      <c r="J190" s="109">
        <v>0.0</v>
      </c>
      <c r="K190" s="109">
        <v>253.7446727</v>
      </c>
      <c r="L190" s="112">
        <v>308.1253404</v>
      </c>
      <c r="M190" s="112">
        <v>686.7211913</v>
      </c>
      <c r="N190" s="111">
        <v>994.8465317</v>
      </c>
      <c r="O190" s="298">
        <v>0.0</v>
      </c>
      <c r="P190" s="114"/>
      <c r="Q190" s="114"/>
      <c r="R190" s="121" t="str">
        <f t="shared" si="11"/>
        <v/>
      </c>
      <c r="S190" s="116">
        <f t="shared" si="12"/>
        <v>0.4713987966</v>
      </c>
      <c r="T190" s="130"/>
      <c r="U190" s="118">
        <f t="shared" si="13"/>
        <v>0.5949</v>
      </c>
      <c r="V190" s="148"/>
      <c r="W190" s="120">
        <f t="shared" si="14"/>
        <v>0.9216</v>
      </c>
      <c r="X190" s="148"/>
      <c r="Y190" s="120">
        <f t="shared" si="15"/>
        <v>0.521</v>
      </c>
      <c r="Z190" s="299"/>
      <c r="AA190" s="299"/>
      <c r="AB190" s="300" t="str">
        <f t="shared" si="16"/>
        <v/>
      </c>
      <c r="AC190" s="301">
        <f t="shared" si="17"/>
        <v>0.3122297241</v>
      </c>
      <c r="AD190" s="314">
        <v>0.0</v>
      </c>
      <c r="AE190" s="123">
        <v>0.02</v>
      </c>
      <c r="AF190" s="123">
        <v>0.0027</v>
      </c>
      <c r="AG190" s="316">
        <v>0.0</v>
      </c>
      <c r="AH190" s="124">
        <v>0.054231444</v>
      </c>
      <c r="AI190" s="317">
        <v>0.0</v>
      </c>
      <c r="AJ190" s="317">
        <v>0.016287759</v>
      </c>
      <c r="AK190" s="319">
        <v>0.0</v>
      </c>
      <c r="AL190" s="319">
        <v>0.0</v>
      </c>
      <c r="AM190" s="302">
        <v>0.0</v>
      </c>
      <c r="AN190" s="149" t="str">
        <f>IFERROR(
  AVERAGEIFS(
    'New 20102013 LF Efficacy'!$J:$J,
    'New 20102013 LF Efficacy'!$D:$D, $A190,
    'New 20102013 LF Efficacy'!$F:$F,"DEC", 
    'New 20102013 LF Efficacy'!$W:$W,"&lt;2014",
    'New 20102013 LF Efficacy'!$AA:$AA,""),
  ""
)</f>
        <v/>
      </c>
      <c r="AO190" s="115">
        <f t="shared" si="18"/>
        <v>0.3573520833</v>
      </c>
      <c r="AP190" s="121" t="str">
        <f>IFERROR(
AVERAGEIFS(
'New 20102013 LF Efficacy'!$J:$J,
'New 20102013 LF Efficacy'!$D:$D,$A190,
'New 20102013 LF Efficacy'!$F:$F,"Albendazole &amp; DEC",
'New 20102013 LF Efficacy'!$W:$W,"&lt;2014",
'New 20102013 LF Efficacy'!$AA:$AA,""),
"")
</f>
        <v/>
      </c>
      <c r="AQ190" s="115">
        <f t="shared" si="19"/>
        <v>0.7935</v>
      </c>
      <c r="AR190" s="121" t="str">
        <f>IFERROR(
AVERAGEIFS(
'New 20102013 LF Efficacy'!$J:$J,
'New 20102013 LF Efficacy'!$D:$D,$A190,
'New 20102013 LF Efficacy'!$F:$F,"Albendazole &amp; Ivermectin", 
'New 20102013 LF Efficacy'!$W:$W,"&lt;2014",
'New 20102013 LF Efficacy'!$AA:$AA,""),"")</f>
        <v/>
      </c>
      <c r="AS190" s="115">
        <f t="shared" si="20"/>
        <v>0.37153125</v>
      </c>
      <c r="AT190" s="130" t="str">
        <f>IFERROR(AVERAGEIFS(
'20102013 Schist Efficacy'!$O:$O, 
'20102013 Schist Efficacy'!$C:$C,$A190, 
'20102013 Schist Efficacy'!$D:$D, "Praziquantel",
'20102013 Schist Efficacy'!$J:$J,"&lt;2014",
'20102013 Schist Efficacy'!$U:$U,""),
"")</f>
        <v/>
      </c>
      <c r="AU190" s="118">
        <f t="shared" si="21"/>
        <v>0.7763141026</v>
      </c>
      <c r="AV190" s="131" t="str">
        <f>IFERROR(AVERAGEIFS(
'20102013 STH Efficacy'!$AX:$AX, 
'20102013 STH Efficacy'!$AL:$AL, $A190, 
'20102013 STH Efficacy'!$AM:$AM, "Albendazole",
'20102013 STH Efficacy'!$AS:$AS,"&lt;2014",
'20102013 STH Efficacy'!$BP:$BP,""),
"")</f>
        <v/>
      </c>
      <c r="AW190" s="132">
        <f t="shared" si="22"/>
        <v>0.3933333333</v>
      </c>
      <c r="AX190" s="131" t="str">
        <f>IFERROR(AVERAGEIFS(
'20102013 STH Efficacy'!$AX:$AX, 
'20102013 STH Efficacy'!$AL:$AL, $A190, 
'20102013 STH Efficacy'!$AM:$AM, "Mebendazole",
'20102013 STH Efficacy'!$AS:$AS,"&lt;2014",
'20102013 STH Efficacy'!$BP:$BP,""),
"")</f>
        <v/>
      </c>
      <c r="AY190" s="132">
        <f t="shared" si="23"/>
        <v>0.5017738095</v>
      </c>
      <c r="AZ190" s="131" t="str">
        <f>IFERROR(AVERAGEIFS(
'20102013 STH Efficacy'!$AX:$AX, 
'20102013 STH Efficacy'!$AL:$AL, $A190, 
'20102013 STH Efficacy'!$AM:$AM, "Albendazole &amp; Ivermectin",
'20102013 STH Efficacy'!$AS:$AS,"&lt;2014",
'20102013 STH Efficacy'!$BP:$BP,""),
"")</f>
        <v/>
      </c>
      <c r="BA190" s="303">
        <f t="shared" si="24"/>
        <v>0.597625</v>
      </c>
      <c r="BB190" s="134" t="str">
        <f>IFERROR(AVERAGEIFS(
'20102013 STH Efficacy'!$N:$N, 
'20102013 STH Efficacy'!$B:$B, $A190, 
'20102013 STH Efficacy'!$C:$C, "Albendazole",
'20102013 STH Efficacy'!$I:$I,"&lt;2014",
'20102013 STH Efficacy'!$AH:$AH,""),
"")</f>
        <v/>
      </c>
      <c r="BC190" s="135">
        <f t="shared" si="25"/>
        <v>0.7613712121</v>
      </c>
      <c r="BD190" s="134" t="str">
        <f>IFERROR(AVERAGEIFS(
'20102013 STH Efficacy'!$N:$N, 
'20102013 STH Efficacy'!$B:$B, $A190, 
'20102013 STH Efficacy'!$C:$C, "Mebendazole",
'20102013 STH Efficacy'!$I:$I,"&lt;2014",
'20102013 STH Efficacy'!$AH:$AH,""),
"")</f>
        <v/>
      </c>
      <c r="BE190" s="135">
        <f t="shared" si="26"/>
        <v>0.4362466667</v>
      </c>
      <c r="BF190" s="128" t="str">
        <f>IFERROR(AVERAGEIFS(
'20102013 STH Efficacy'!$CD:$CD, 
'20102013 STH Efficacy'!$BS:$BS, $A190, 
'20102013 STH Efficacy'!$BT:$BT, "Albendazole",
'20102013 STH Efficacy'!$BZ:$BZ,"&lt;2014",
'20102013 STH Efficacy'!$CU:$CU,""),
"")</f>
        <v/>
      </c>
      <c r="BG190" s="136">
        <f t="shared" si="27"/>
        <v>0.955</v>
      </c>
      <c r="BH190" s="128" t="str">
        <f>IFERROR(AVERAGEIFS(
'20102013 STH Efficacy'!$CD:$CD, 
'20102013 STH Efficacy'!$BS:$BS, $A190, 
'20102013 STH Efficacy'!$BT:$BT, "Mebendazole",
'20102013 STH Efficacy'!$BZ:$BZ,"&lt;2014",
'20102013 STH Efficacy'!$CU:$CU,""),
"")</f>
        <v/>
      </c>
      <c r="BI190" s="136">
        <f t="shared" si="28"/>
        <v>1</v>
      </c>
      <c r="BJ190" s="128" t="str">
        <f>IFERROR(AVERAGEIFS(
'20102013 STH Efficacy'!$CD:$CD, 
'20102013 STH Efficacy'!$BS:$BS, $A190, 
'20102013 STH Efficacy'!$BT:$BT, "Albendazole &amp; Ivermectin",
'20102013 STH Efficacy'!$BZ:$BZ,"&lt;2014",
'20102013 STH Efficacy'!$CU:$CU,""),
"")</f>
        <v/>
      </c>
      <c r="BK190" s="136">
        <f t="shared" si="29"/>
        <v>1</v>
      </c>
      <c r="BL190" s="300" t="str">
        <f>IFERROR(
  AVERAGEIFS(
    'NEW 20102013 Onchocerciasis Eff'!$AO:$AO,
    'NEW 20102013 Onchocerciasis Eff'!$C:$C,$A190,
    'NEW 20102013 Onchocerciasis Eff'!$D:$D,"Ivermectin",
    'NEW 20102013 Onchocerciasis Eff'!$AR:$AR,"&lt;2014",
    'NEW 20102013 Onchocerciasis Eff'!$BG:$BG,"")
,"")</f>
        <v/>
      </c>
      <c r="BM190" s="304">
        <f t="shared" si="30"/>
        <v>0.7808368939</v>
      </c>
      <c r="BN190" s="305">
        <v>0.0</v>
      </c>
      <c r="BO190" s="139">
        <v>0.0</v>
      </c>
      <c r="BP190" s="140">
        <v>0.0</v>
      </c>
      <c r="BQ190" s="141">
        <f t="shared" si="31"/>
        <v>0</v>
      </c>
      <c r="BR190" s="104" t="str">
        <f t="shared" si="32"/>
        <v>0000</v>
      </c>
      <c r="BS190" s="104" t="str">
        <f t="shared" si="33"/>
        <v>no action required</v>
      </c>
      <c r="BT190" s="142" t="str">
        <f t="shared" si="34"/>
        <v/>
      </c>
      <c r="BU190" s="104" t="str">
        <f t="shared" si="50"/>
        <v/>
      </c>
      <c r="BV190" s="104" t="str">
        <f t="shared" si="36"/>
        <v>none</v>
      </c>
      <c r="BW190" s="150" t="str">
        <f t="shared" si="37"/>
        <v/>
      </c>
      <c r="BX190" s="150" t="str">
        <f t="shared" si="38"/>
        <v/>
      </c>
      <c r="BY190" s="151" t="str">
        <f t="shared" si="39"/>
        <v/>
      </c>
      <c r="BZ190" s="152" t="str">
        <f t="shared" si="40"/>
        <v/>
      </c>
      <c r="CA190" s="152" t="str">
        <f t="shared" si="41"/>
        <v/>
      </c>
      <c r="CB190" s="152" t="str">
        <f t="shared" si="42"/>
        <v/>
      </c>
      <c r="CC190" s="153" t="str">
        <f t="shared" si="43"/>
        <v/>
      </c>
      <c r="CD190" s="153" t="str">
        <f t="shared" si="44"/>
        <v/>
      </c>
      <c r="CE190" s="154" t="str">
        <f t="shared" si="45"/>
        <v/>
      </c>
      <c r="CF190" s="154" t="str">
        <f t="shared" si="46"/>
        <v/>
      </c>
      <c r="CG190" s="154" t="str">
        <f t="shared" si="47"/>
        <v/>
      </c>
      <c r="CH190" s="308" t="str">
        <f t="shared" si="48"/>
        <v/>
      </c>
      <c r="CI190" s="299"/>
    </row>
    <row r="191">
      <c r="A191" s="103" t="s">
        <v>280</v>
      </c>
      <c r="B191" s="104" t="s">
        <v>90</v>
      </c>
      <c r="C191" s="105">
        <v>8177809.0</v>
      </c>
      <c r="D191" s="293">
        <v>0.0</v>
      </c>
      <c r="E191" s="294">
        <v>0.0</v>
      </c>
      <c r="F191" s="307">
        <v>3.84222E-4</v>
      </c>
      <c r="G191" s="307">
        <v>0.002181957</v>
      </c>
      <c r="H191" s="108">
        <v>0.002566178</v>
      </c>
      <c r="I191" s="109">
        <v>0.06258235</v>
      </c>
      <c r="J191" s="109">
        <v>0.07122633</v>
      </c>
      <c r="K191" s="109">
        <v>0.133808684</v>
      </c>
      <c r="L191" s="112">
        <v>66.42893503</v>
      </c>
      <c r="M191" s="112">
        <v>67.76508578</v>
      </c>
      <c r="N191" s="111">
        <v>67.76508578</v>
      </c>
      <c r="O191" s="298">
        <v>0.0</v>
      </c>
      <c r="P191" s="114"/>
      <c r="Q191" s="114"/>
      <c r="R191" s="121" t="str">
        <f t="shared" si="11"/>
        <v/>
      </c>
      <c r="S191" s="116">
        <f t="shared" si="12"/>
        <v>0.526225767</v>
      </c>
      <c r="T191" s="130"/>
      <c r="U191" s="118">
        <f t="shared" si="13"/>
        <v>0.3468166667</v>
      </c>
      <c r="V191" s="119">
        <v>1.0</v>
      </c>
      <c r="W191" s="120">
        <f t="shared" si="14"/>
        <v>1</v>
      </c>
      <c r="X191" s="119">
        <v>1.0</v>
      </c>
      <c r="Y191" s="120">
        <f t="shared" si="15"/>
        <v>1</v>
      </c>
      <c r="Z191" s="299"/>
      <c r="AA191" s="299"/>
      <c r="AB191" s="300" t="str">
        <f t="shared" si="16"/>
        <v/>
      </c>
      <c r="AC191" s="301">
        <f t="shared" si="17"/>
        <v>0.6295826791</v>
      </c>
      <c r="AD191" s="122">
        <v>0.0</v>
      </c>
      <c r="AE191" s="123">
        <v>0.0</v>
      </c>
      <c r="AF191" s="123">
        <v>0.0</v>
      </c>
      <c r="AG191" s="124">
        <v>0.0039</v>
      </c>
      <c r="AH191" s="124">
        <v>0.005812197</v>
      </c>
      <c r="AI191" s="125">
        <v>0.0</v>
      </c>
      <c r="AJ191" s="125">
        <v>1.18497E-5</v>
      </c>
      <c r="AK191" s="127">
        <v>0.0809</v>
      </c>
      <c r="AL191" s="127">
        <v>0.1223</v>
      </c>
      <c r="AM191" s="302">
        <v>0.0</v>
      </c>
      <c r="AN191" s="149" t="str">
        <f>IFERROR(
  AVERAGEIFS(
    'New 20102013 LF Efficacy'!$J:$J,
    'New 20102013 LF Efficacy'!$D:$D, $A191,
    'New 20102013 LF Efficacy'!$F:$F,"DEC", 
    'New 20102013 LF Efficacy'!$W:$W,"&lt;2014",
    'New 20102013 LF Efficacy'!$AA:$AA,""),
  ""
)</f>
        <v/>
      </c>
      <c r="AO191" s="115">
        <f t="shared" si="18"/>
        <v>0.3573520833</v>
      </c>
      <c r="AP191" s="121" t="str">
        <f>IFERROR(
AVERAGEIFS(
'New 20102013 LF Efficacy'!$J:$J,
'New 20102013 LF Efficacy'!$D:$D,$A191,
'New 20102013 LF Efficacy'!$F:$F,"Albendazole &amp; DEC",
'New 20102013 LF Efficacy'!$W:$W,"&lt;2014",
'New 20102013 LF Efficacy'!$AA:$AA,""),
"")
</f>
        <v/>
      </c>
      <c r="AQ191" s="115">
        <f t="shared" si="19"/>
        <v>0.5137291667</v>
      </c>
      <c r="AR191" s="121" t="str">
        <f>IFERROR(
AVERAGEIFS(
'New 20102013 LF Efficacy'!$J:$J,
'New 20102013 LF Efficacy'!$D:$D,$A191,
'New 20102013 LF Efficacy'!$F:$F,"Albendazole &amp; Ivermectin", 
'New 20102013 LF Efficacy'!$W:$W,"&lt;2014",
'New 20102013 LF Efficacy'!$AA:$AA,""),"")</f>
        <v/>
      </c>
      <c r="AS191" s="115">
        <f t="shared" si="20"/>
        <v>0.37153125</v>
      </c>
      <c r="AT191" s="130" t="str">
        <f>IFERROR(AVERAGEIFS(
'20102013 Schist Efficacy'!$O:$O, 
'20102013 Schist Efficacy'!$C:$C,$A191, 
'20102013 Schist Efficacy'!$D:$D, "Praziquantel",
'20102013 Schist Efficacy'!$J:$J,"&lt;2014",
'20102013 Schist Efficacy'!$U:$U,""),
"")</f>
        <v/>
      </c>
      <c r="AU191" s="118">
        <f t="shared" si="21"/>
        <v>0.655</v>
      </c>
      <c r="AV191" s="131" t="str">
        <f>IFERROR(AVERAGEIFS(
'20102013 STH Efficacy'!$AX:$AX, 
'20102013 STH Efficacy'!$AL:$AL, $A191, 
'20102013 STH Efficacy'!$AM:$AM, "Albendazole",
'20102013 STH Efficacy'!$AS:$AS,"&lt;2014",
'20102013 STH Efficacy'!$BP:$BP,""),
"")</f>
        <v/>
      </c>
      <c r="AW191" s="132">
        <f t="shared" si="22"/>
        <v>0.3933333333</v>
      </c>
      <c r="AX191" s="131" t="str">
        <f>IFERROR(AVERAGEIFS(
'20102013 STH Efficacy'!$AX:$AX, 
'20102013 STH Efficacy'!$AL:$AL, $A191, 
'20102013 STH Efficacy'!$AM:$AM, "Mebendazole",
'20102013 STH Efficacy'!$AS:$AS,"&lt;2014",
'20102013 STH Efficacy'!$BP:$BP,""),
"")</f>
        <v/>
      </c>
      <c r="AY191" s="132">
        <f t="shared" si="23"/>
        <v>0.5017738095</v>
      </c>
      <c r="AZ191" s="131" t="str">
        <f>IFERROR(AVERAGEIFS(
'20102013 STH Efficacy'!$AX:$AX, 
'20102013 STH Efficacy'!$AL:$AL, $A191, 
'20102013 STH Efficacy'!$AM:$AM, "Albendazole &amp; Ivermectin",
'20102013 STH Efficacy'!$AS:$AS,"&lt;2014",
'20102013 STH Efficacy'!$BP:$BP,""),
"")</f>
        <v/>
      </c>
      <c r="BA191" s="303">
        <f t="shared" si="24"/>
        <v>0.597625</v>
      </c>
      <c r="BB191" s="134" t="str">
        <f>IFERROR(AVERAGEIFS(
'20102013 STH Efficacy'!$N:$N, 
'20102013 STH Efficacy'!$B:$B, $A191, 
'20102013 STH Efficacy'!$C:$C, "Albendazole",
'20102013 STH Efficacy'!$I:$I,"&lt;2014",
'20102013 STH Efficacy'!$AH:$AH,""),
"")</f>
        <v/>
      </c>
      <c r="BC191" s="135">
        <f t="shared" si="25"/>
        <v>0.7613712121</v>
      </c>
      <c r="BD191" s="134" t="str">
        <f>IFERROR(AVERAGEIFS(
'20102013 STH Efficacy'!$N:$N, 
'20102013 STH Efficacy'!$B:$B, $A191, 
'20102013 STH Efficacy'!$C:$C, "Mebendazole",
'20102013 STH Efficacy'!$I:$I,"&lt;2014",
'20102013 STH Efficacy'!$AH:$AH,""),
"")</f>
        <v/>
      </c>
      <c r="BE191" s="135">
        <f t="shared" si="26"/>
        <v>0.4362466667</v>
      </c>
      <c r="BF191" s="128" t="str">
        <f>IFERROR(AVERAGEIFS(
'20102013 STH Efficacy'!$CD:$CD, 
'20102013 STH Efficacy'!$BS:$BS, $A191, 
'20102013 STH Efficacy'!$BT:$BT, "Albendazole",
'20102013 STH Efficacy'!$BZ:$BZ,"&lt;2014",
'20102013 STH Efficacy'!$CU:$CU,""),
"")</f>
        <v/>
      </c>
      <c r="BG191" s="136">
        <f t="shared" si="27"/>
        <v>0.9216027778</v>
      </c>
      <c r="BH191" s="128" t="str">
        <f>IFERROR(AVERAGEIFS(
'20102013 STH Efficacy'!$CD:$CD, 
'20102013 STH Efficacy'!$BS:$BS, $A191, 
'20102013 STH Efficacy'!$BT:$BT, "Mebendazole",
'20102013 STH Efficacy'!$BZ:$BZ,"&lt;2014",
'20102013 STH Efficacy'!$CU:$CU,""),
"")</f>
        <v/>
      </c>
      <c r="BI191" s="136">
        <f t="shared" si="28"/>
        <v>0.9295857143</v>
      </c>
      <c r="BJ191" s="128" t="str">
        <f>IFERROR(AVERAGEIFS(
'20102013 STH Efficacy'!$CD:$CD, 
'20102013 STH Efficacy'!$BS:$BS, $A191, 
'20102013 STH Efficacy'!$BT:$BT, "Albendazole &amp; Ivermectin",
'20102013 STH Efficacy'!$BZ:$BZ,"&lt;2014",
'20102013 STH Efficacy'!$CU:$CU,""),
"")</f>
        <v/>
      </c>
      <c r="BK191" s="136">
        <f t="shared" si="29"/>
        <v>1</v>
      </c>
      <c r="BL191" s="300" t="str">
        <f>IFERROR(
  AVERAGEIFS(
    'NEW 20102013 Onchocerciasis Eff'!$AO:$AO,
    'NEW 20102013 Onchocerciasis Eff'!$C:$C,$A191,
    'NEW 20102013 Onchocerciasis Eff'!$D:$D,"Ivermectin",
    'NEW 20102013 Onchocerciasis Eff'!$AR:$AR,"&lt;2014",
    'NEW 20102013 Onchocerciasis Eff'!$BG:$BG,"")
,"")</f>
        <v/>
      </c>
      <c r="BM191" s="304">
        <f t="shared" si="30"/>
        <v>0.7808368939</v>
      </c>
      <c r="BN191" s="305">
        <v>0.0</v>
      </c>
      <c r="BO191" s="139">
        <v>0.0</v>
      </c>
      <c r="BP191" s="140">
        <v>0.0</v>
      </c>
      <c r="BQ191" s="141">
        <f t="shared" si="31"/>
        <v>0</v>
      </c>
      <c r="BR191" s="104" t="str">
        <f t="shared" si="32"/>
        <v>0000</v>
      </c>
      <c r="BS191" s="104" t="str">
        <f t="shared" si="33"/>
        <v>no action required</v>
      </c>
      <c r="BT191" s="142" t="str">
        <f t="shared" si="34"/>
        <v/>
      </c>
      <c r="BU191" s="104" t="str">
        <f t="shared" si="50"/>
        <v/>
      </c>
      <c r="BV191" s="104" t="str">
        <f t="shared" si="36"/>
        <v>none</v>
      </c>
      <c r="BW191" s="150" t="str">
        <f t="shared" si="37"/>
        <v/>
      </c>
      <c r="BX191" s="150" t="str">
        <f t="shared" si="38"/>
        <v/>
      </c>
      <c r="BY191" s="151" t="str">
        <f t="shared" si="39"/>
        <v/>
      </c>
      <c r="BZ191" s="152" t="str">
        <f t="shared" si="40"/>
        <v/>
      </c>
      <c r="CA191" s="152" t="str">
        <f t="shared" si="41"/>
        <v/>
      </c>
      <c r="CB191" s="152" t="str">
        <f t="shared" si="42"/>
        <v/>
      </c>
      <c r="CC191" s="153" t="str">
        <f t="shared" si="43"/>
        <v/>
      </c>
      <c r="CD191" s="153" t="str">
        <f t="shared" si="44"/>
        <v/>
      </c>
      <c r="CE191" s="154" t="str">
        <f t="shared" si="45"/>
        <v/>
      </c>
      <c r="CF191" s="154" t="str">
        <f t="shared" si="46"/>
        <v/>
      </c>
      <c r="CG191" s="154" t="str">
        <f t="shared" si="47"/>
        <v/>
      </c>
      <c r="CH191" s="308" t="str">
        <f t="shared" si="48"/>
        <v/>
      </c>
      <c r="CI191" s="299"/>
    </row>
    <row r="192">
      <c r="A192" s="155" t="s">
        <v>281</v>
      </c>
      <c r="B192" s="104" t="s">
        <v>92</v>
      </c>
      <c r="C192" s="105">
        <v>5.0636595E7</v>
      </c>
      <c r="D192" s="293">
        <v>41158.67</v>
      </c>
      <c r="E192" s="294">
        <v>121130.0742</v>
      </c>
      <c r="F192" s="307">
        <v>250.2392681</v>
      </c>
      <c r="G192" s="307">
        <v>1168.213219</v>
      </c>
      <c r="H192" s="108">
        <v>1418.452487</v>
      </c>
      <c r="I192" s="109">
        <v>5442.90268</v>
      </c>
      <c r="J192" s="109">
        <v>14921.8722</v>
      </c>
      <c r="K192" s="109">
        <v>20364.77484</v>
      </c>
      <c r="L192" s="112">
        <v>17948.26536</v>
      </c>
      <c r="M192" s="112">
        <v>2379.060068</v>
      </c>
      <c r="N192" s="111">
        <v>20327.32543</v>
      </c>
      <c r="O192" s="298">
        <v>17379.38367</v>
      </c>
      <c r="P192" s="160">
        <v>3.9900484E7</v>
      </c>
      <c r="Q192" s="160">
        <v>1.7114802E7</v>
      </c>
      <c r="R192" s="121">
        <f t="shared" si="11"/>
        <v>0.4289372029</v>
      </c>
      <c r="S192" s="116">
        <f t="shared" si="12"/>
        <v>0.4289372029</v>
      </c>
      <c r="T192" s="130"/>
      <c r="U192" s="118">
        <f t="shared" si="13"/>
        <v>0.252</v>
      </c>
      <c r="V192" s="148"/>
      <c r="W192" s="120">
        <f t="shared" si="14"/>
        <v>0.8114541667</v>
      </c>
      <c r="X192" s="148"/>
      <c r="Y192" s="120">
        <f t="shared" si="15"/>
        <v>0.5668291667</v>
      </c>
      <c r="Z192" s="310">
        <v>3437030.0</v>
      </c>
      <c r="AA192" s="310">
        <v>1928730.0</v>
      </c>
      <c r="AB192" s="300">
        <f t="shared" si="16"/>
        <v>0.561161817</v>
      </c>
      <c r="AC192" s="301">
        <f t="shared" si="17"/>
        <v>0.561161817</v>
      </c>
      <c r="AD192" s="122">
        <v>0.0221</v>
      </c>
      <c r="AE192" s="123">
        <v>0.26</v>
      </c>
      <c r="AF192" s="123">
        <v>0.1402</v>
      </c>
      <c r="AG192" s="316">
        <v>0.0</v>
      </c>
      <c r="AH192" s="124">
        <v>0.101374416</v>
      </c>
      <c r="AI192" s="317">
        <v>0.0</v>
      </c>
      <c r="AJ192" s="125">
        <v>0.241109889</v>
      </c>
      <c r="AK192" s="319">
        <v>0.0</v>
      </c>
      <c r="AL192" s="319">
        <v>0.0</v>
      </c>
      <c r="AM192" s="302">
        <v>0.0046</v>
      </c>
      <c r="AN192" s="149">
        <f>IFERROR(
  AVERAGEIFS(
    'New 20102013 LF Efficacy'!$J:$J,
    'New 20102013 LF Efficacy'!$D:$D, $A192,
    'New 20102013 LF Efficacy'!$F:$F,"DEC", 
    'New 20102013 LF Efficacy'!$W:$W,"&lt;2014",
    'New 20102013 LF Efficacy'!$AA:$AA,""),
  ""
)</f>
        <v>0.106</v>
      </c>
      <c r="AO192" s="115">
        <f t="shared" si="18"/>
        <v>0.106</v>
      </c>
      <c r="AP192" s="121">
        <f>IFERROR(
AVERAGEIFS(
'New 20102013 LF Efficacy'!$J:$J,
'New 20102013 LF Efficacy'!$D:$D,$A192,
'New 20102013 LF Efficacy'!$F:$F,"Albendazole &amp; DEC",
'New 20102013 LF Efficacy'!$W:$W,"&lt;2014",
'New 20102013 LF Efficacy'!$AA:$AA,""),
"")
</f>
        <v>0.263</v>
      </c>
      <c r="AQ192" s="115">
        <f t="shared" si="19"/>
        <v>0.263</v>
      </c>
      <c r="AR192" s="121">
        <f>IFERROR(
AVERAGEIFS(
'New 20102013 LF Efficacy'!$J:$J,
'New 20102013 LF Efficacy'!$D:$D,$A192,
'New 20102013 LF Efficacy'!$F:$F,"Albendazole &amp; Ivermectin", 
'New 20102013 LF Efficacy'!$W:$W,"&lt;2014",
'New 20102013 LF Efficacy'!$AA:$AA,""),"")</f>
        <v>0.194</v>
      </c>
      <c r="AS192" s="115">
        <f t="shared" si="20"/>
        <v>0.194</v>
      </c>
      <c r="AT192" s="130">
        <f>IFERROR(AVERAGEIFS(
'20102013 Schist Efficacy'!$O:$O, 
'20102013 Schist Efficacy'!$C:$C,$A192, 
'20102013 Schist Efficacy'!$D:$D, "Praziquantel",
'20102013 Schist Efficacy'!$J:$J,"&lt;2014",
'20102013 Schist Efficacy'!$U:$U,""),
"")</f>
        <v>0.883</v>
      </c>
      <c r="AU192" s="118">
        <f t="shared" si="21"/>
        <v>0.883</v>
      </c>
      <c r="AV192" s="131">
        <f>IFERROR(AVERAGEIFS(
'20102013 STH Efficacy'!$AX:$AX, 
'20102013 STH Efficacy'!$AL:$AL, $A192, 
'20102013 STH Efficacy'!$AM:$AM, "Albendazole",
'20102013 STH Efficacy'!$AS:$AS,"&lt;2014",
'20102013 STH Efficacy'!$BP:$BP,""),
"")</f>
        <v>0.2855</v>
      </c>
      <c r="AW192" s="132">
        <f t="shared" si="22"/>
        <v>0.2855</v>
      </c>
      <c r="AX192" s="131">
        <f>IFERROR(AVERAGEIFS(
'20102013 STH Efficacy'!$AX:$AX, 
'20102013 STH Efficacy'!$AL:$AL, $A192, 
'20102013 STH Efficacy'!$AM:$AM, "Mebendazole",
'20102013 STH Efficacy'!$AS:$AS,"&lt;2014",
'20102013 STH Efficacy'!$BP:$BP,""),
"")</f>
        <v>0.16775</v>
      </c>
      <c r="AY192" s="132">
        <f t="shared" si="23"/>
        <v>0.16775</v>
      </c>
      <c r="AZ192" s="131">
        <f>IFERROR(AVERAGEIFS(
'20102013 STH Efficacy'!$AX:$AX, 
'20102013 STH Efficacy'!$AL:$AL, $A192, 
'20102013 STH Efficacy'!$AM:$AM, "Albendazole &amp; Ivermectin",
'20102013 STH Efficacy'!$AS:$AS,"&lt;2014",
'20102013 STH Efficacy'!$BP:$BP,""),
"")</f>
        <v>0.2375</v>
      </c>
      <c r="BA192" s="303">
        <f t="shared" si="24"/>
        <v>0.2375</v>
      </c>
      <c r="BB192" s="134">
        <f>IFERROR(AVERAGEIFS(
'20102013 STH Efficacy'!$N:$N, 
'20102013 STH Efficacy'!$B:$B, $A192, 
'20102013 STH Efficacy'!$C:$C, "Albendazole",
'20102013 STH Efficacy'!$I:$I,"&lt;2014",
'20102013 STH Efficacy'!$AH:$AH,""),
"")</f>
        <v>0.922</v>
      </c>
      <c r="BC192" s="135">
        <f t="shared" si="25"/>
        <v>0.922</v>
      </c>
      <c r="BD192" s="134">
        <f>IFERROR(AVERAGEIFS(
'20102013 STH Efficacy'!$N:$N, 
'20102013 STH Efficacy'!$B:$B, $A192, 
'20102013 STH Efficacy'!$C:$C, "Mebendazole",
'20102013 STH Efficacy'!$I:$I,"&lt;2014",
'20102013 STH Efficacy'!$AH:$AH,""),
"")</f>
        <v>0.5786666667</v>
      </c>
      <c r="BE192" s="135">
        <f t="shared" si="26"/>
        <v>0.5786666667</v>
      </c>
      <c r="BF192" s="128">
        <f>IFERROR(AVERAGEIFS(
'20102013 STH Efficacy'!$CD:$CD, 
'20102013 STH Efficacy'!$BS:$BS, $A192, 
'20102013 STH Efficacy'!$BT:$BT, "Albendazole",
'20102013 STH Efficacy'!$BZ:$BZ,"&lt;2014",
'20102013 STH Efficacy'!$CU:$CU,""),
"")</f>
        <v>1</v>
      </c>
      <c r="BG192" s="136">
        <f t="shared" si="27"/>
        <v>1</v>
      </c>
      <c r="BH192" s="128" t="str">
        <f>IFERROR(AVERAGEIFS(
'20102013 STH Efficacy'!$CD:$CD, 
'20102013 STH Efficacy'!$BS:$BS, $A192, 
'20102013 STH Efficacy'!$BT:$BT, "Mebendazole",
'20102013 STH Efficacy'!$BZ:$BZ,"&lt;2014",
'20102013 STH Efficacy'!$CU:$CU,""),
"")</f>
        <v/>
      </c>
      <c r="BI192" s="136">
        <f t="shared" si="28"/>
        <v>0.9358666667</v>
      </c>
      <c r="BJ192" s="128" t="str">
        <f>IFERROR(AVERAGEIFS(
'20102013 STH Efficacy'!$CD:$CD, 
'20102013 STH Efficacy'!$BS:$BS, $A192, 
'20102013 STH Efficacy'!$BT:$BT, "Albendazole &amp; Ivermectin",
'20102013 STH Efficacy'!$BZ:$BZ,"&lt;2014",
'20102013 STH Efficacy'!$CU:$CU,""),
"")</f>
        <v/>
      </c>
      <c r="BK192" s="136">
        <f t="shared" si="29"/>
        <v>1</v>
      </c>
      <c r="BL192" s="300" t="str">
        <f>IFERROR(
  AVERAGEIFS(
    'NEW 20102013 Onchocerciasis Eff'!$AO:$AO,
    'NEW 20102013 Onchocerciasis Eff'!$C:$C,$A192,
    'NEW 20102013 Onchocerciasis Eff'!$D:$D,"Ivermectin",
    'NEW 20102013 Onchocerciasis Eff'!$AR:$AR,"&lt;2014",
    'NEW 20102013 Onchocerciasis Eff'!$BG:$BG,"")
,"")</f>
        <v/>
      </c>
      <c r="BM192" s="304">
        <f t="shared" si="30"/>
        <v>0.8390421645</v>
      </c>
      <c r="BN192" s="305">
        <v>1.0</v>
      </c>
      <c r="BO192" s="139">
        <v>0.0</v>
      </c>
      <c r="BP192" s="140">
        <v>1.0</v>
      </c>
      <c r="BQ192" s="141">
        <f t="shared" si="31"/>
        <v>0</v>
      </c>
      <c r="BR192" s="104" t="str">
        <f t="shared" si="32"/>
        <v>1010</v>
      </c>
      <c r="BS192" s="104" t="str">
        <f t="shared" si="33"/>
        <v>MDA1/2+T2</v>
      </c>
      <c r="BT192" s="142" t="str">
        <f t="shared" si="34"/>
        <v>DEC +ALB</v>
      </c>
      <c r="BU192" s="104" t="str">
        <f t="shared" si="50"/>
        <v>PZQ</v>
      </c>
      <c r="BV192" s="104" t="str">
        <f t="shared" si="36"/>
        <v>lf+schist </v>
      </c>
      <c r="BW192" s="150" t="str">
        <f t="shared" si="37"/>
        <v/>
      </c>
      <c r="BX192" s="150" t="str">
        <f t="shared" si="38"/>
        <v/>
      </c>
      <c r="BY192" s="162">
        <f t="shared" si="39"/>
        <v>34667.43958</v>
      </c>
      <c r="BZ192" s="152" t="str">
        <f t="shared" si="40"/>
        <v/>
      </c>
      <c r="CA192" s="152" t="str">
        <f t="shared" si="41"/>
        <v/>
      </c>
      <c r="CB192" s="152" t="str">
        <f t="shared" si="42"/>
        <v/>
      </c>
      <c r="CC192" s="153" t="str">
        <f t="shared" si="43"/>
        <v/>
      </c>
      <c r="CD192" s="153" t="str">
        <f t="shared" si="44"/>
        <v/>
      </c>
      <c r="CE192" s="154" t="str">
        <f t="shared" si="45"/>
        <v/>
      </c>
      <c r="CF192" s="154" t="str">
        <f t="shared" si="46"/>
        <v/>
      </c>
      <c r="CG192" s="154" t="str">
        <f t="shared" si="47"/>
        <v/>
      </c>
      <c r="CH192" s="308" t="str">
        <f t="shared" si="48"/>
        <v/>
      </c>
      <c r="CI192" s="299"/>
    </row>
    <row r="193">
      <c r="A193" s="103" t="s">
        <v>282</v>
      </c>
      <c r="B193" s="104" t="s">
        <v>109</v>
      </c>
      <c r="C193" s="105">
        <v>6.8143065E7</v>
      </c>
      <c r="D193" s="293">
        <v>65.49</v>
      </c>
      <c r="E193" s="294">
        <v>0.0</v>
      </c>
      <c r="F193" s="295">
        <v>1.377753766</v>
      </c>
      <c r="G193" s="309">
        <v>9.379128729</v>
      </c>
      <c r="H193" s="157">
        <v>10.7568825</v>
      </c>
      <c r="I193" s="110">
        <v>1049.80216</v>
      </c>
      <c r="J193" s="110">
        <v>3976.59352</v>
      </c>
      <c r="K193" s="109">
        <v>5026.395679</v>
      </c>
      <c r="L193" s="112">
        <v>171.2180374</v>
      </c>
      <c r="M193" s="112">
        <v>179.7450092</v>
      </c>
      <c r="N193" s="111">
        <v>350.9630467</v>
      </c>
      <c r="O193" s="298">
        <v>0.0</v>
      </c>
      <c r="P193" s="156"/>
      <c r="Q193" s="156"/>
      <c r="R193" s="121" t="str">
        <f t="shared" si="11"/>
        <v/>
      </c>
      <c r="S193" s="116">
        <f t="shared" si="12"/>
        <v>0.3974936367</v>
      </c>
      <c r="T193" s="118">
        <v>0.948</v>
      </c>
      <c r="U193" s="118">
        <f t="shared" si="13"/>
        <v>0.948</v>
      </c>
      <c r="V193" s="148"/>
      <c r="W193" s="120">
        <f t="shared" si="14"/>
        <v>0.4055571429</v>
      </c>
      <c r="X193" s="148"/>
      <c r="Y193" s="120">
        <f t="shared" si="15"/>
        <v>0.4403166667</v>
      </c>
      <c r="Z193" s="299"/>
      <c r="AA193" s="299"/>
      <c r="AB193" s="300" t="str">
        <f t="shared" si="16"/>
        <v/>
      </c>
      <c r="AC193" s="301">
        <f t="shared" si="17"/>
        <v>0.6295826791</v>
      </c>
      <c r="AD193" s="122">
        <v>0.0</v>
      </c>
      <c r="AE193" s="123">
        <v>0.0</v>
      </c>
      <c r="AF193" s="123">
        <v>0.0</v>
      </c>
      <c r="AG193" s="316">
        <v>0.0</v>
      </c>
      <c r="AH193" s="124">
        <v>0.02994059</v>
      </c>
      <c r="AI193" s="317">
        <v>0.0</v>
      </c>
      <c r="AJ193" s="125">
        <v>0.157906102</v>
      </c>
      <c r="AK193" s="319">
        <v>0.0</v>
      </c>
      <c r="AL193" s="319">
        <v>0.0</v>
      </c>
      <c r="AM193" s="302">
        <v>0.0</v>
      </c>
      <c r="AN193" s="149" t="str">
        <f>IFERROR(
  AVERAGEIFS(
    'New 20102013 LF Efficacy'!$J:$J,
    'New 20102013 LF Efficacy'!$D:$D, $A193,
    'New 20102013 LF Efficacy'!$F:$F,"DEC", 
    'New 20102013 LF Efficacy'!$W:$W,"&lt;2014",
    'New 20102013 LF Efficacy'!$AA:$AA,""),
  ""
)</f>
        <v/>
      </c>
      <c r="AO193" s="115">
        <f t="shared" si="18"/>
        <v>0.478175</v>
      </c>
      <c r="AP193" s="121" t="str">
        <f>IFERROR(
AVERAGEIFS(
'New 20102013 LF Efficacy'!$J:$J,
'New 20102013 LF Efficacy'!$D:$D,$A193,
'New 20102013 LF Efficacy'!$F:$F,"Albendazole &amp; DEC",
'New 20102013 LF Efficacy'!$W:$W,"&lt;2014",
'New 20102013 LF Efficacy'!$AA:$AA,""),
"")
</f>
        <v/>
      </c>
      <c r="AQ193" s="115">
        <f t="shared" si="19"/>
        <v>0.5831666667</v>
      </c>
      <c r="AR193" s="121" t="str">
        <f>IFERROR(
AVERAGEIFS(
'New 20102013 LF Efficacy'!$J:$J,
'New 20102013 LF Efficacy'!$D:$D,$A193,
'New 20102013 LF Efficacy'!$F:$F,"Albendazole &amp; Ivermectin", 
'New 20102013 LF Efficacy'!$W:$W,"&lt;2014",
'New 20102013 LF Efficacy'!$AA:$AA,""),"")</f>
        <v/>
      </c>
      <c r="AS193" s="115">
        <f t="shared" si="20"/>
        <v>0.14</v>
      </c>
      <c r="AT193" s="130" t="str">
        <f>IFERROR(AVERAGEIFS(
'20102013 Schist Efficacy'!$O:$O, 
'20102013 Schist Efficacy'!$C:$C,$A193, 
'20102013 Schist Efficacy'!$D:$D, "Praziquantel",
'20102013 Schist Efficacy'!$J:$J,"&lt;2014",
'20102013 Schist Efficacy'!$U:$U,""),
"")</f>
        <v/>
      </c>
      <c r="AU193" s="118">
        <f t="shared" si="21"/>
        <v>0.7430399392</v>
      </c>
      <c r="AV193" s="131">
        <f>IFERROR(AVERAGEIFS(
'20102013 STH Efficacy'!$AX:$AX, 
'20102013 STH Efficacy'!$AL:$AL, $A193, 
'20102013 STH Efficacy'!$AM:$AM, "Albendazole",
'20102013 STH Efficacy'!$AS:$AS,"&lt;2014",
'20102013 STH Efficacy'!$BP:$BP,""),
"")</f>
        <v>0.674</v>
      </c>
      <c r="AW193" s="132">
        <f t="shared" si="22"/>
        <v>0.674</v>
      </c>
      <c r="AX193" s="131">
        <f>IFERROR(AVERAGEIFS(
'20102013 STH Efficacy'!$AX:$AX, 
'20102013 STH Efficacy'!$AL:$AL, $A193, 
'20102013 STH Efficacy'!$AM:$AM, "Mebendazole",
'20102013 STH Efficacy'!$AS:$AS,"&lt;2014",
'20102013 STH Efficacy'!$BP:$BP,""),
"")</f>
        <v>0.3786666667</v>
      </c>
      <c r="AY193" s="132">
        <f t="shared" si="23"/>
        <v>0.3786666667</v>
      </c>
      <c r="AZ193" s="131" t="str">
        <f>IFERROR(AVERAGEIFS(
'20102013 STH Efficacy'!$AX:$AX, 
'20102013 STH Efficacy'!$AL:$AL, $A193, 
'20102013 STH Efficacy'!$AM:$AM, "Albendazole &amp; Ivermectin",
'20102013 STH Efficacy'!$AS:$AS,"&lt;2014",
'20102013 STH Efficacy'!$BP:$BP,""),
"")</f>
        <v/>
      </c>
      <c r="BA193" s="303">
        <f t="shared" si="24"/>
        <v>0.597625</v>
      </c>
      <c r="BB193" s="134">
        <f>IFERROR(AVERAGEIFS(
'20102013 STH Efficacy'!$N:$N, 
'20102013 STH Efficacy'!$B:$B, $A193, 
'20102013 STH Efficacy'!$C:$C, "Albendazole",
'20102013 STH Efficacy'!$I:$I,"&lt;2014",
'20102013 STH Efficacy'!$AH:$AH,""),
"")</f>
        <v>0.6476666667</v>
      </c>
      <c r="BC193" s="135">
        <f t="shared" si="25"/>
        <v>0.6476666667</v>
      </c>
      <c r="BD193" s="134">
        <f>IFERROR(AVERAGEIFS(
'20102013 STH Efficacy'!$N:$N, 
'20102013 STH Efficacy'!$B:$B, $A193, 
'20102013 STH Efficacy'!$C:$C, "Mebendazole",
'20102013 STH Efficacy'!$I:$I,"&lt;2014",
'20102013 STH Efficacy'!$AH:$AH,""),
"")</f>
        <v>0.131</v>
      </c>
      <c r="BE193" s="135">
        <f t="shared" si="26"/>
        <v>0.131</v>
      </c>
      <c r="BF193" s="128">
        <f>IFERROR(AVERAGEIFS(
'20102013 STH Efficacy'!$CD:$CD, 
'20102013 STH Efficacy'!$BS:$BS, $A193, 
'20102013 STH Efficacy'!$BT:$BT, "Albendazole",
'20102013 STH Efficacy'!$BZ:$BZ,"&lt;2014",
'20102013 STH Efficacy'!$CU:$CU,""),
"")</f>
        <v>1</v>
      </c>
      <c r="BG193" s="136">
        <f t="shared" si="27"/>
        <v>1</v>
      </c>
      <c r="BH193" s="128">
        <f>IFERROR(AVERAGEIFS(
'20102013 STH Efficacy'!$CD:$CD, 
'20102013 STH Efficacy'!$BS:$BS, $A193, 
'20102013 STH Efficacy'!$BT:$BT, "Mebendazole",
'20102013 STH Efficacy'!$BZ:$BZ,"&lt;2014",
'20102013 STH Efficacy'!$CU:$CU,""),
"")</f>
        <v>1</v>
      </c>
      <c r="BI193" s="136">
        <f t="shared" si="28"/>
        <v>1</v>
      </c>
      <c r="BJ193" s="128" t="str">
        <f>IFERROR(AVERAGEIFS(
'20102013 STH Efficacy'!$CD:$CD, 
'20102013 STH Efficacy'!$BS:$BS, $A193, 
'20102013 STH Efficacy'!$BT:$BT, "Albendazole &amp; Ivermectin",
'20102013 STH Efficacy'!$BZ:$BZ,"&lt;2014",
'20102013 STH Efficacy'!$CU:$CU,""),
"")</f>
        <v/>
      </c>
      <c r="BK193" s="136">
        <f t="shared" si="29"/>
        <v>1</v>
      </c>
      <c r="BL193" s="300" t="str">
        <f>IFERROR(
  AVERAGEIFS(
    'NEW 20102013 Onchocerciasis Eff'!$AO:$AO,
    'NEW 20102013 Onchocerciasis Eff'!$C:$C,$A193,
    'NEW 20102013 Onchocerciasis Eff'!$D:$D,"Ivermectin",
    'NEW 20102013 Onchocerciasis Eff'!$AR:$AR,"&lt;2014",
    'NEW 20102013 Onchocerciasis Eff'!$BG:$BG,"")
,"")</f>
        <v/>
      </c>
      <c r="BM193" s="304">
        <f t="shared" si="30"/>
        <v>0.7808368939</v>
      </c>
      <c r="BN193" s="305">
        <v>0.0</v>
      </c>
      <c r="BO193" s="139">
        <v>1.0</v>
      </c>
      <c r="BP193" s="140">
        <v>0.0</v>
      </c>
      <c r="BQ193" s="141">
        <f t="shared" si="31"/>
        <v>0</v>
      </c>
      <c r="BR193" s="104" t="str">
        <f t="shared" si="32"/>
        <v>0100</v>
      </c>
      <c r="BS193" s="104" t="str">
        <f t="shared" si="33"/>
        <v>MDA3</v>
      </c>
      <c r="BT193" s="142" t="str">
        <f t="shared" si="34"/>
        <v>IVM</v>
      </c>
      <c r="BU193" s="104" t="str">
        <f t="shared" si="50"/>
        <v/>
      </c>
      <c r="BV193" s="104" t="str">
        <f t="shared" si="36"/>
        <v>onch only</v>
      </c>
      <c r="BW193" s="150" t="str">
        <f t="shared" si="37"/>
        <v/>
      </c>
      <c r="BX193" s="150" t="str">
        <f t="shared" si="38"/>
        <v/>
      </c>
      <c r="BY193" s="151" t="str">
        <f t="shared" si="39"/>
        <v/>
      </c>
      <c r="BZ193" s="152" t="str">
        <f t="shared" si="40"/>
        <v/>
      </c>
      <c r="CA193" s="152" t="str">
        <f t="shared" si="41"/>
        <v/>
      </c>
      <c r="CB193" s="152" t="str">
        <f t="shared" si="42"/>
        <v/>
      </c>
      <c r="CC193" s="153" t="str">
        <f t="shared" si="43"/>
        <v/>
      </c>
      <c r="CD193" s="153" t="str">
        <f t="shared" si="44"/>
        <v/>
      </c>
      <c r="CE193" s="154" t="str">
        <f t="shared" si="45"/>
        <v/>
      </c>
      <c r="CF193" s="154" t="str">
        <f t="shared" si="46"/>
        <v/>
      </c>
      <c r="CG193" s="154" t="str">
        <f t="shared" si="47"/>
        <v/>
      </c>
      <c r="CH193" s="313">
        <f t="shared" si="48"/>
        <v>0</v>
      </c>
      <c r="CI193" s="299"/>
    </row>
    <row r="194">
      <c r="A194" s="155" t="s">
        <v>283</v>
      </c>
      <c r="B194" s="104" t="s">
        <v>90</v>
      </c>
      <c r="C194" s="105">
        <v>2075739.0</v>
      </c>
      <c r="D194" s="293">
        <v>0.0</v>
      </c>
      <c r="E194" s="294">
        <v>0.0</v>
      </c>
      <c r="F194" s="325"/>
      <c r="G194" s="325"/>
      <c r="H194" s="108">
        <v>0.0</v>
      </c>
      <c r="I194" s="109">
        <v>0.0</v>
      </c>
      <c r="J194" s="109">
        <v>0.0</v>
      </c>
      <c r="K194" s="109">
        <v>0.0</v>
      </c>
      <c r="L194" s="112">
        <v>0.197633744</v>
      </c>
      <c r="M194" s="112">
        <v>0.072644979</v>
      </c>
      <c r="N194" s="111">
        <v>0.270278723</v>
      </c>
      <c r="O194" s="298">
        <v>0.0</v>
      </c>
      <c r="P194" s="114"/>
      <c r="Q194" s="114"/>
      <c r="R194" s="121" t="str">
        <f t="shared" si="11"/>
        <v/>
      </c>
      <c r="S194" s="116">
        <f t="shared" si="12"/>
        <v>0.526225767</v>
      </c>
      <c r="T194" s="130"/>
      <c r="U194" s="118">
        <f t="shared" si="13"/>
        <v>0.3468166667</v>
      </c>
      <c r="V194" s="148"/>
      <c r="W194" s="120">
        <f t="shared" si="14"/>
        <v>1</v>
      </c>
      <c r="X194" s="148"/>
      <c r="Y194" s="120">
        <f t="shared" si="15"/>
        <v>1</v>
      </c>
      <c r="Z194" s="299"/>
      <c r="AA194" s="299"/>
      <c r="AB194" s="300" t="str">
        <f t="shared" si="16"/>
        <v/>
      </c>
      <c r="AC194" s="301">
        <f t="shared" si="17"/>
        <v>0.6295826791</v>
      </c>
      <c r="AD194" s="314">
        <v>0.0</v>
      </c>
      <c r="AE194" s="315">
        <v>0.0</v>
      </c>
      <c r="AF194" s="123">
        <v>0.0</v>
      </c>
      <c r="AG194" s="316">
        <v>0.0</v>
      </c>
      <c r="AH194" s="124">
        <v>0.0</v>
      </c>
      <c r="AI194" s="317">
        <v>0.0</v>
      </c>
      <c r="AJ194" s="317">
        <v>0.0</v>
      </c>
      <c r="AK194" s="319">
        <v>0.0</v>
      </c>
      <c r="AL194" s="319">
        <v>0.0</v>
      </c>
      <c r="AM194" s="302">
        <v>0.0</v>
      </c>
      <c r="AN194" s="149" t="str">
        <f>IFERROR(
  AVERAGEIFS(
    'New 20102013 LF Efficacy'!$J:$J,
    'New 20102013 LF Efficacy'!$D:$D, $A194,
    'New 20102013 LF Efficacy'!$F:$F,"DEC", 
    'New 20102013 LF Efficacy'!$W:$W,"&lt;2014",
    'New 20102013 LF Efficacy'!$AA:$AA,""),
  ""
)</f>
        <v/>
      </c>
      <c r="AO194" s="115">
        <f t="shared" si="18"/>
        <v>0.3573520833</v>
      </c>
      <c r="AP194" s="121" t="str">
        <f>IFERROR(
AVERAGEIFS(
'New 20102013 LF Efficacy'!$J:$J,
'New 20102013 LF Efficacy'!$D:$D,$A194,
'New 20102013 LF Efficacy'!$F:$F,"Albendazole &amp; DEC",
'New 20102013 LF Efficacy'!$W:$W,"&lt;2014",
'New 20102013 LF Efficacy'!$AA:$AA,""),
"")
</f>
        <v/>
      </c>
      <c r="AQ194" s="115">
        <f t="shared" si="19"/>
        <v>0.5137291667</v>
      </c>
      <c r="AR194" s="121" t="str">
        <f>IFERROR(
AVERAGEIFS(
'New 20102013 LF Efficacy'!$J:$J,
'New 20102013 LF Efficacy'!$D:$D,$A194,
'New 20102013 LF Efficacy'!$F:$F,"Albendazole &amp; Ivermectin", 
'New 20102013 LF Efficacy'!$W:$W,"&lt;2014",
'New 20102013 LF Efficacy'!$AA:$AA,""),"")</f>
        <v/>
      </c>
      <c r="AS194" s="115">
        <f t="shared" si="20"/>
        <v>0.37153125</v>
      </c>
      <c r="AT194" s="130" t="str">
        <f>IFERROR(AVERAGEIFS(
'20102013 Schist Efficacy'!$O:$O, 
'20102013 Schist Efficacy'!$C:$C,$A194, 
'20102013 Schist Efficacy'!$D:$D, "Praziquantel",
'20102013 Schist Efficacy'!$J:$J,"&lt;2014",
'20102013 Schist Efficacy'!$U:$U,""),
"")</f>
        <v/>
      </c>
      <c r="AU194" s="118">
        <f t="shared" si="21"/>
        <v>0.655</v>
      </c>
      <c r="AV194" s="131" t="str">
        <f>IFERROR(AVERAGEIFS(
'20102013 STH Efficacy'!$AX:$AX, 
'20102013 STH Efficacy'!$AL:$AL, $A194, 
'20102013 STH Efficacy'!$AM:$AM, "Albendazole",
'20102013 STH Efficacy'!$AS:$AS,"&lt;2014",
'20102013 STH Efficacy'!$BP:$BP,""),
"")</f>
        <v/>
      </c>
      <c r="AW194" s="132">
        <f t="shared" si="22"/>
        <v>0.3933333333</v>
      </c>
      <c r="AX194" s="131" t="str">
        <f>IFERROR(AVERAGEIFS(
'20102013 STH Efficacy'!$AX:$AX, 
'20102013 STH Efficacy'!$AL:$AL, $A194, 
'20102013 STH Efficacy'!$AM:$AM, "Mebendazole",
'20102013 STH Efficacy'!$AS:$AS,"&lt;2014",
'20102013 STH Efficacy'!$BP:$BP,""),
"")</f>
        <v/>
      </c>
      <c r="AY194" s="132">
        <f t="shared" si="23"/>
        <v>0.5017738095</v>
      </c>
      <c r="AZ194" s="131" t="str">
        <f>IFERROR(AVERAGEIFS(
'20102013 STH Efficacy'!$AX:$AX, 
'20102013 STH Efficacy'!$AL:$AL, $A194, 
'20102013 STH Efficacy'!$AM:$AM, "Albendazole &amp; Ivermectin",
'20102013 STH Efficacy'!$AS:$AS,"&lt;2014",
'20102013 STH Efficacy'!$BP:$BP,""),
"")</f>
        <v/>
      </c>
      <c r="BA194" s="303">
        <f t="shared" si="24"/>
        <v>0.597625</v>
      </c>
      <c r="BB194" s="134" t="str">
        <f>IFERROR(AVERAGEIFS(
'20102013 STH Efficacy'!$N:$N, 
'20102013 STH Efficacy'!$B:$B, $A194, 
'20102013 STH Efficacy'!$C:$C, "Albendazole",
'20102013 STH Efficacy'!$I:$I,"&lt;2014",
'20102013 STH Efficacy'!$AH:$AH,""),
"")</f>
        <v/>
      </c>
      <c r="BC194" s="135">
        <f t="shared" si="25"/>
        <v>0.7613712121</v>
      </c>
      <c r="BD194" s="134" t="str">
        <f>IFERROR(AVERAGEIFS(
'20102013 STH Efficacy'!$N:$N, 
'20102013 STH Efficacy'!$B:$B, $A194, 
'20102013 STH Efficacy'!$C:$C, "Mebendazole",
'20102013 STH Efficacy'!$I:$I,"&lt;2014",
'20102013 STH Efficacy'!$AH:$AH,""),
"")</f>
        <v/>
      </c>
      <c r="BE194" s="135">
        <f t="shared" si="26"/>
        <v>0.4362466667</v>
      </c>
      <c r="BF194" s="128" t="str">
        <f>IFERROR(AVERAGEIFS(
'20102013 STH Efficacy'!$CD:$CD, 
'20102013 STH Efficacy'!$BS:$BS, $A194, 
'20102013 STH Efficacy'!$BT:$BT, "Albendazole",
'20102013 STH Efficacy'!$BZ:$BZ,"&lt;2014",
'20102013 STH Efficacy'!$CU:$CU,""),
"")</f>
        <v/>
      </c>
      <c r="BG194" s="136">
        <f t="shared" si="27"/>
        <v>0.9216027778</v>
      </c>
      <c r="BH194" s="128" t="str">
        <f>IFERROR(AVERAGEIFS(
'20102013 STH Efficacy'!$CD:$CD, 
'20102013 STH Efficacy'!$BS:$BS, $A194, 
'20102013 STH Efficacy'!$BT:$BT, "Mebendazole",
'20102013 STH Efficacy'!$BZ:$BZ,"&lt;2014",
'20102013 STH Efficacy'!$CU:$CU,""),
"")</f>
        <v/>
      </c>
      <c r="BI194" s="136">
        <f t="shared" si="28"/>
        <v>0.9295857143</v>
      </c>
      <c r="BJ194" s="128" t="str">
        <f>IFERROR(AVERAGEIFS(
'20102013 STH Efficacy'!$CD:$CD, 
'20102013 STH Efficacy'!$BS:$BS, $A194, 
'20102013 STH Efficacy'!$BT:$BT, "Albendazole &amp; Ivermectin",
'20102013 STH Efficacy'!$BZ:$BZ,"&lt;2014",
'20102013 STH Efficacy'!$CU:$CU,""),
"")</f>
        <v/>
      </c>
      <c r="BK194" s="136">
        <f t="shared" si="29"/>
        <v>1</v>
      </c>
      <c r="BL194" s="300" t="str">
        <f>IFERROR(
  AVERAGEIFS(
    'NEW 20102013 Onchocerciasis Eff'!$AO:$AO,
    'NEW 20102013 Onchocerciasis Eff'!$C:$C,$A194,
    'NEW 20102013 Onchocerciasis Eff'!$D:$D,"Ivermectin",
    'NEW 20102013 Onchocerciasis Eff'!$AR:$AR,"&lt;2014",
    'NEW 20102013 Onchocerciasis Eff'!$BG:$BG,"")
,"")</f>
        <v/>
      </c>
      <c r="BM194" s="304">
        <f t="shared" si="30"/>
        <v>0.7808368939</v>
      </c>
      <c r="BN194" s="305">
        <v>0.0</v>
      </c>
      <c r="BO194" s="139">
        <v>0.0</v>
      </c>
      <c r="BP194" s="140">
        <v>0.0</v>
      </c>
      <c r="BQ194" s="141">
        <f t="shared" si="31"/>
        <v>0</v>
      </c>
      <c r="BR194" s="104" t="str">
        <f t="shared" si="32"/>
        <v>0000</v>
      </c>
      <c r="BS194" s="104" t="str">
        <f t="shared" si="33"/>
        <v>no action required</v>
      </c>
      <c r="BT194" s="142" t="str">
        <f t="shared" si="34"/>
        <v/>
      </c>
      <c r="BU194" s="104" t="str">
        <f t="shared" si="50"/>
        <v/>
      </c>
      <c r="BV194" s="104" t="str">
        <f t="shared" si="36"/>
        <v>none</v>
      </c>
      <c r="BW194" s="150" t="str">
        <f t="shared" si="37"/>
        <v/>
      </c>
      <c r="BX194" s="150" t="str">
        <f t="shared" si="38"/>
        <v/>
      </c>
      <c r="BY194" s="151" t="str">
        <f t="shared" si="39"/>
        <v/>
      </c>
      <c r="BZ194" s="152" t="str">
        <f t="shared" si="40"/>
        <v/>
      </c>
      <c r="CA194" s="152" t="str">
        <f t="shared" si="41"/>
        <v/>
      </c>
      <c r="CB194" s="152" t="str">
        <f t="shared" si="42"/>
        <v/>
      </c>
      <c r="CC194" s="153" t="str">
        <f t="shared" si="43"/>
        <v/>
      </c>
      <c r="CD194" s="153" t="str">
        <f t="shared" si="44"/>
        <v/>
      </c>
      <c r="CE194" s="154" t="str">
        <f t="shared" si="45"/>
        <v/>
      </c>
      <c r="CF194" s="154" t="str">
        <f t="shared" si="46"/>
        <v/>
      </c>
      <c r="CG194" s="154" t="str">
        <f t="shared" si="47"/>
        <v/>
      </c>
      <c r="CH194" s="308" t="str">
        <f t="shared" si="48"/>
        <v/>
      </c>
      <c r="CI194" s="299"/>
    </row>
    <row r="195">
      <c r="A195" s="155" t="s">
        <v>284</v>
      </c>
      <c r="B195" s="104" t="s">
        <v>109</v>
      </c>
      <c r="C195" s="105">
        <v>1184366.0</v>
      </c>
      <c r="D195" s="293">
        <v>3516.23</v>
      </c>
      <c r="E195" s="294">
        <v>0.0</v>
      </c>
      <c r="F195" s="309">
        <v>1.612060144</v>
      </c>
      <c r="G195" s="309">
        <v>7.349230581</v>
      </c>
      <c r="H195" s="108">
        <v>8.961290725</v>
      </c>
      <c r="I195" s="109">
        <v>19.2121557</v>
      </c>
      <c r="J195" s="109">
        <v>52.1023042</v>
      </c>
      <c r="K195" s="109">
        <v>71.31445984</v>
      </c>
      <c r="L195" s="112">
        <v>97.85914053</v>
      </c>
      <c r="M195" s="112">
        <v>50.62428342</v>
      </c>
      <c r="N195" s="111">
        <v>148.483424</v>
      </c>
      <c r="O195" s="298">
        <v>0.0</v>
      </c>
      <c r="P195" s="160">
        <v>1066582.0</v>
      </c>
      <c r="Q195" s="156"/>
      <c r="R195" s="121">
        <f t="shared" si="11"/>
        <v>0</v>
      </c>
      <c r="S195" s="116">
        <f t="shared" si="12"/>
        <v>0.3974936367</v>
      </c>
      <c r="T195" s="130"/>
      <c r="U195" s="118">
        <f t="shared" si="13"/>
        <v>0.7367</v>
      </c>
      <c r="V195" s="119">
        <v>0.3809</v>
      </c>
      <c r="W195" s="120">
        <f t="shared" si="14"/>
        <v>0.3809</v>
      </c>
      <c r="X195" s="148"/>
      <c r="Y195" s="120">
        <f t="shared" si="15"/>
        <v>0.4403166667</v>
      </c>
      <c r="Z195" s="299"/>
      <c r="AA195" s="299"/>
      <c r="AB195" s="300" t="str">
        <f t="shared" si="16"/>
        <v/>
      </c>
      <c r="AC195" s="301">
        <f t="shared" si="17"/>
        <v>0.6295826791</v>
      </c>
      <c r="AD195" s="122">
        <v>0.0998</v>
      </c>
      <c r="AE195" s="123">
        <v>0.0</v>
      </c>
      <c r="AF195" s="123">
        <v>0.0</v>
      </c>
      <c r="AG195" s="124">
        <v>0.0712</v>
      </c>
      <c r="AH195" s="124">
        <v>0.114165091</v>
      </c>
      <c r="AI195" s="125">
        <v>0.0391</v>
      </c>
      <c r="AJ195" s="125">
        <v>0.062368284</v>
      </c>
      <c r="AK195" s="127">
        <v>0.0771</v>
      </c>
      <c r="AL195" s="127">
        <v>0.1232</v>
      </c>
      <c r="AM195" s="302">
        <v>0.0</v>
      </c>
      <c r="AN195" s="149" t="str">
        <f>IFERROR(
  AVERAGEIFS(
    'New 20102013 LF Efficacy'!$J:$J,
    'New 20102013 LF Efficacy'!$D:$D, $A195,
    'New 20102013 LF Efficacy'!$F:$F,"DEC", 
    'New 20102013 LF Efficacy'!$W:$W,"&lt;2014",
    'New 20102013 LF Efficacy'!$AA:$AA,""),
  ""
)</f>
        <v/>
      </c>
      <c r="AO195" s="115">
        <f t="shared" si="18"/>
        <v>0.478175</v>
      </c>
      <c r="AP195" s="121" t="str">
        <f>IFERROR(
AVERAGEIFS(
'New 20102013 LF Efficacy'!$J:$J,
'New 20102013 LF Efficacy'!$D:$D,$A195,
'New 20102013 LF Efficacy'!$F:$F,"Albendazole &amp; DEC",
'New 20102013 LF Efficacy'!$W:$W,"&lt;2014",
'New 20102013 LF Efficacy'!$AA:$AA,""),
"")
</f>
        <v/>
      </c>
      <c r="AQ195" s="115">
        <f t="shared" si="19"/>
        <v>0.5831666667</v>
      </c>
      <c r="AR195" s="121" t="str">
        <f>IFERROR(
AVERAGEIFS(
'New 20102013 LF Efficacy'!$J:$J,
'New 20102013 LF Efficacy'!$D:$D,$A195,
'New 20102013 LF Efficacy'!$F:$F,"Albendazole &amp; Ivermectin", 
'New 20102013 LF Efficacy'!$W:$W,"&lt;2014",
'New 20102013 LF Efficacy'!$AA:$AA,""),"")</f>
        <v/>
      </c>
      <c r="AS195" s="115">
        <f t="shared" si="20"/>
        <v>0.14</v>
      </c>
      <c r="AT195" s="130" t="str">
        <f>IFERROR(AVERAGEIFS(
'20102013 Schist Efficacy'!$O:$O, 
'20102013 Schist Efficacy'!$C:$C,$A195, 
'20102013 Schist Efficacy'!$D:$D, "Praziquantel",
'20102013 Schist Efficacy'!$J:$J,"&lt;2014",
'20102013 Schist Efficacy'!$U:$U,""),
"")</f>
        <v/>
      </c>
      <c r="AU195" s="118">
        <f t="shared" si="21"/>
        <v>0.7430399392</v>
      </c>
      <c r="AV195" s="131" t="str">
        <f>IFERROR(AVERAGEIFS(
'20102013 STH Efficacy'!$AX:$AX, 
'20102013 STH Efficacy'!$AL:$AL, $A195, 
'20102013 STH Efficacy'!$AM:$AM, "Albendazole",
'20102013 STH Efficacy'!$AS:$AS,"&lt;2014",
'20102013 STH Efficacy'!$BP:$BP,""),
"")</f>
        <v/>
      </c>
      <c r="AW195" s="132">
        <f t="shared" si="22"/>
        <v>0.4756666667</v>
      </c>
      <c r="AX195" s="131" t="str">
        <f>IFERROR(AVERAGEIFS(
'20102013 STH Efficacy'!$AX:$AX, 
'20102013 STH Efficacy'!$AL:$AL, $A195, 
'20102013 STH Efficacy'!$AM:$AM, "Mebendazole",
'20102013 STH Efficacy'!$AS:$AS,"&lt;2014",
'20102013 STH Efficacy'!$BP:$BP,""),
"")</f>
        <v/>
      </c>
      <c r="AY195" s="132">
        <f t="shared" si="23"/>
        <v>0.3786666667</v>
      </c>
      <c r="AZ195" s="131" t="str">
        <f>IFERROR(AVERAGEIFS(
'20102013 STH Efficacy'!$AX:$AX, 
'20102013 STH Efficacy'!$AL:$AL, $A195, 
'20102013 STH Efficacy'!$AM:$AM, "Albendazole &amp; Ivermectin",
'20102013 STH Efficacy'!$AS:$AS,"&lt;2014",
'20102013 STH Efficacy'!$BP:$BP,""),
"")</f>
        <v/>
      </c>
      <c r="BA195" s="303">
        <f t="shared" si="24"/>
        <v>0.597625</v>
      </c>
      <c r="BB195" s="134" t="str">
        <f>IFERROR(AVERAGEIFS(
'20102013 STH Efficacy'!$N:$N, 
'20102013 STH Efficacy'!$B:$B, $A195, 
'20102013 STH Efficacy'!$C:$C, "Albendazole",
'20102013 STH Efficacy'!$I:$I,"&lt;2014",
'20102013 STH Efficacy'!$AH:$AH,""),
"")</f>
        <v/>
      </c>
      <c r="BC195" s="135">
        <f t="shared" si="25"/>
        <v>0.7133333333</v>
      </c>
      <c r="BD195" s="134" t="str">
        <f>IFERROR(AVERAGEIFS(
'20102013 STH Efficacy'!$N:$N, 
'20102013 STH Efficacy'!$B:$B, $A195, 
'20102013 STH Efficacy'!$C:$C, "Mebendazole",
'20102013 STH Efficacy'!$I:$I,"&lt;2014",
'20102013 STH Efficacy'!$AH:$AH,""),
"")</f>
        <v/>
      </c>
      <c r="BE195" s="135">
        <f t="shared" si="26"/>
        <v>0.205</v>
      </c>
      <c r="BF195" s="128" t="str">
        <f>IFERROR(AVERAGEIFS(
'20102013 STH Efficacy'!$CD:$CD, 
'20102013 STH Efficacy'!$BS:$BS, $A195, 
'20102013 STH Efficacy'!$BT:$BT, "Albendazole",
'20102013 STH Efficacy'!$BZ:$BZ,"&lt;2014",
'20102013 STH Efficacy'!$CU:$CU,""),
"")</f>
        <v/>
      </c>
      <c r="BG195" s="136">
        <f t="shared" si="27"/>
        <v>0.83</v>
      </c>
      <c r="BH195" s="128" t="str">
        <f>IFERROR(AVERAGEIFS(
'20102013 STH Efficacy'!$CD:$CD, 
'20102013 STH Efficacy'!$BS:$BS, $A195, 
'20102013 STH Efficacy'!$BT:$BT, "Mebendazole",
'20102013 STH Efficacy'!$BZ:$BZ,"&lt;2014",
'20102013 STH Efficacy'!$CU:$CU,""),
"")</f>
        <v/>
      </c>
      <c r="BI195" s="136">
        <f t="shared" si="28"/>
        <v>1</v>
      </c>
      <c r="BJ195" s="128" t="str">
        <f>IFERROR(AVERAGEIFS(
'20102013 STH Efficacy'!$CD:$CD, 
'20102013 STH Efficacy'!$BS:$BS, $A195, 
'20102013 STH Efficacy'!$BT:$BT, "Albendazole &amp; Ivermectin",
'20102013 STH Efficacy'!$BZ:$BZ,"&lt;2014",
'20102013 STH Efficacy'!$CU:$CU,""),
"")</f>
        <v/>
      </c>
      <c r="BK195" s="136">
        <f t="shared" si="29"/>
        <v>1</v>
      </c>
      <c r="BL195" s="300" t="str">
        <f>IFERROR(
  AVERAGEIFS(
    'NEW 20102013 Onchocerciasis Eff'!$AO:$AO,
    'NEW 20102013 Onchocerciasis Eff'!$C:$C,$A195,
    'NEW 20102013 Onchocerciasis Eff'!$D:$D,"Ivermectin",
    'NEW 20102013 Onchocerciasis Eff'!$AR:$AR,"&lt;2014",
    'NEW 20102013 Onchocerciasis Eff'!$BG:$BG,"")
,"")</f>
        <v/>
      </c>
      <c r="BM195" s="304">
        <f t="shared" si="30"/>
        <v>0.7808368939</v>
      </c>
      <c r="BN195" s="305">
        <v>1.0</v>
      </c>
      <c r="BO195" s="139">
        <v>0.0</v>
      </c>
      <c r="BP195" s="140">
        <v>0.0</v>
      </c>
      <c r="BQ195" s="141">
        <f t="shared" si="31"/>
        <v>0</v>
      </c>
      <c r="BR195" s="104" t="str">
        <f t="shared" si="32"/>
        <v>1000</v>
      </c>
      <c r="BS195" s="104" t="str">
        <f t="shared" si="33"/>
        <v>MDA1/2</v>
      </c>
      <c r="BT195" s="142" t="str">
        <f t="shared" si="34"/>
        <v>DEC+ALB</v>
      </c>
      <c r="BU195" s="104" t="str">
        <f t="shared" si="50"/>
        <v/>
      </c>
      <c r="BV195" s="104" t="str">
        <f t="shared" si="36"/>
        <v>lf only</v>
      </c>
      <c r="BW195" s="312">
        <f t="shared" si="37"/>
        <v>1061.032517</v>
      </c>
      <c r="BX195" s="150" t="str">
        <f t="shared" si="38"/>
        <v/>
      </c>
      <c r="BY195" s="151" t="str">
        <f t="shared" si="39"/>
        <v/>
      </c>
      <c r="BZ195" s="152" t="str">
        <f t="shared" si="40"/>
        <v/>
      </c>
      <c r="CA195" s="152" t="str">
        <f t="shared" si="41"/>
        <v/>
      </c>
      <c r="CB195" s="152" t="str">
        <f t="shared" si="42"/>
        <v/>
      </c>
      <c r="CC195" s="153" t="str">
        <f t="shared" si="43"/>
        <v/>
      </c>
      <c r="CD195" s="153" t="str">
        <f t="shared" si="44"/>
        <v/>
      </c>
      <c r="CE195" s="154" t="str">
        <f t="shared" si="45"/>
        <v/>
      </c>
      <c r="CF195" s="154" t="str">
        <f t="shared" si="46"/>
        <v/>
      </c>
      <c r="CG195" s="154" t="str">
        <f t="shared" si="47"/>
        <v/>
      </c>
      <c r="CH195" s="308" t="str">
        <f t="shared" si="48"/>
        <v/>
      </c>
      <c r="CI195" s="299"/>
    </row>
    <row r="196">
      <c r="A196" s="103" t="s">
        <v>285</v>
      </c>
      <c r="B196" s="104" t="s">
        <v>92</v>
      </c>
      <c r="C196" s="105">
        <v>7042948.0</v>
      </c>
      <c r="D196" s="293">
        <v>801.35</v>
      </c>
      <c r="E196" s="294">
        <v>12732.53132</v>
      </c>
      <c r="F196" s="309">
        <v>0.024636291</v>
      </c>
      <c r="G196" s="309">
        <v>0.132468976</v>
      </c>
      <c r="H196" s="108">
        <v>0.157105268</v>
      </c>
      <c r="I196" s="109">
        <v>97.3130153</v>
      </c>
      <c r="J196" s="109">
        <v>279.725551</v>
      </c>
      <c r="K196" s="109">
        <v>377.0385661</v>
      </c>
      <c r="L196" s="112">
        <v>1428.256626</v>
      </c>
      <c r="M196" s="112">
        <v>227.5159881</v>
      </c>
      <c r="N196" s="111">
        <v>1655.772615</v>
      </c>
      <c r="O196" s="298">
        <v>147.7381693</v>
      </c>
      <c r="P196" s="156"/>
      <c r="Q196" s="156"/>
      <c r="R196" s="121" t="str">
        <f t="shared" si="11"/>
        <v/>
      </c>
      <c r="S196" s="116">
        <f t="shared" si="12"/>
        <v>0.2589669834</v>
      </c>
      <c r="T196" s="130"/>
      <c r="U196" s="118">
        <f t="shared" si="13"/>
        <v>0.252</v>
      </c>
      <c r="V196" s="119">
        <v>1.0</v>
      </c>
      <c r="W196" s="120">
        <f t="shared" si="14"/>
        <v>1</v>
      </c>
      <c r="X196" s="119">
        <v>0.8244</v>
      </c>
      <c r="Y196" s="120">
        <f t="shared" si="15"/>
        <v>0.8244</v>
      </c>
      <c r="Z196" s="310">
        <v>3123011.0</v>
      </c>
      <c r="AA196" s="310">
        <v>3094350.0</v>
      </c>
      <c r="AB196" s="300">
        <f t="shared" si="16"/>
        <v>0.9908226388</v>
      </c>
      <c r="AC196" s="301">
        <f t="shared" si="17"/>
        <v>0.9908226388</v>
      </c>
      <c r="AD196" s="122">
        <v>0.0013</v>
      </c>
      <c r="AE196" s="123">
        <v>0.16</v>
      </c>
      <c r="AF196" s="123">
        <v>0.0498</v>
      </c>
      <c r="AG196" s="316">
        <v>0.0</v>
      </c>
      <c r="AH196" s="124">
        <v>0.023011794</v>
      </c>
      <c r="AI196" s="317">
        <v>0.0</v>
      </c>
      <c r="AJ196" s="125">
        <v>0.049497219</v>
      </c>
      <c r="AK196" s="319">
        <v>0.0</v>
      </c>
      <c r="AL196" s="319">
        <v>0.0</v>
      </c>
      <c r="AM196" s="302">
        <v>2.0E-4</v>
      </c>
      <c r="AN196" s="149" t="str">
        <f>IFERROR(
  AVERAGEIFS(
    'New 20102013 LF Efficacy'!$J:$J,
    'New 20102013 LF Efficacy'!$D:$D, $A196,
    'New 20102013 LF Efficacy'!$F:$F,"DEC", 
    'New 20102013 LF Efficacy'!$W:$W,"&lt;2014",
    'New 20102013 LF Efficacy'!$AA:$AA,""),
  ""
)</f>
        <v/>
      </c>
      <c r="AO196" s="115">
        <f t="shared" si="18"/>
        <v>0.31225</v>
      </c>
      <c r="AP196" s="121" t="str">
        <f>IFERROR(
AVERAGEIFS(
'New 20102013 LF Efficacy'!$J:$J,
'New 20102013 LF Efficacy'!$D:$D,$A196,
'New 20102013 LF Efficacy'!$F:$F,"Albendazole &amp; DEC",
'New 20102013 LF Efficacy'!$W:$W,"&lt;2014",
'New 20102013 LF Efficacy'!$AA:$AA,""),
"")
</f>
        <v/>
      </c>
      <c r="AQ196" s="115">
        <f t="shared" si="19"/>
        <v>0.4</v>
      </c>
      <c r="AR196" s="121" t="str">
        <f>IFERROR(
AVERAGEIFS(
'New 20102013 LF Efficacy'!$J:$J,
'New 20102013 LF Efficacy'!$D:$D,$A196,
'New 20102013 LF Efficacy'!$F:$F,"Albendazole &amp; Ivermectin", 
'New 20102013 LF Efficacy'!$W:$W,"&lt;2014",
'New 20102013 LF Efficacy'!$AA:$AA,""),"")</f>
        <v/>
      </c>
      <c r="AS196" s="115">
        <f t="shared" si="20"/>
        <v>0.2943125</v>
      </c>
      <c r="AT196" s="130" t="str">
        <f>IFERROR(AVERAGEIFS(
'20102013 Schist Efficacy'!$O:$O, 
'20102013 Schist Efficacy'!$C:$C,$A196, 
'20102013 Schist Efficacy'!$D:$D, "Praziquantel",
'20102013 Schist Efficacy'!$J:$J,"&lt;2014",
'20102013 Schist Efficacy'!$U:$U,""),
"")</f>
        <v/>
      </c>
      <c r="AU196" s="118">
        <f t="shared" si="21"/>
        <v>0.7192212527</v>
      </c>
      <c r="AV196" s="131" t="str">
        <f>IFERROR(AVERAGEIFS(
'20102013 STH Efficacy'!$AX:$AX, 
'20102013 STH Efficacy'!$AL:$AL, $A196, 
'20102013 STH Efficacy'!$AM:$AM, "Albendazole",
'20102013 STH Efficacy'!$AS:$AS,"&lt;2014",
'20102013 STH Efficacy'!$BP:$BP,""),
"")</f>
        <v/>
      </c>
      <c r="AW196" s="132">
        <f t="shared" si="22"/>
        <v>0.3816333333</v>
      </c>
      <c r="AX196" s="131" t="str">
        <f>IFERROR(AVERAGEIFS(
'20102013 STH Efficacy'!$AX:$AX, 
'20102013 STH Efficacy'!$AL:$AL, $A196, 
'20102013 STH Efficacy'!$AM:$AM, "Mebendazole",
'20102013 STH Efficacy'!$AS:$AS,"&lt;2014",
'20102013 STH Efficacy'!$BP:$BP,""),
"")</f>
        <v/>
      </c>
      <c r="AY196" s="132">
        <f t="shared" si="23"/>
        <v>0.5675833333</v>
      </c>
      <c r="AZ196" s="131" t="str">
        <f>IFERROR(AVERAGEIFS(
'20102013 STH Efficacy'!$AX:$AX, 
'20102013 STH Efficacy'!$AL:$AL, $A196, 
'20102013 STH Efficacy'!$AM:$AM, "Albendazole &amp; Ivermectin",
'20102013 STH Efficacy'!$AS:$AS,"&lt;2014",
'20102013 STH Efficacy'!$BP:$BP,""),
"")</f>
        <v/>
      </c>
      <c r="BA196" s="303">
        <f t="shared" si="24"/>
        <v>0.47175</v>
      </c>
      <c r="BB196" s="134" t="str">
        <f>IFERROR(AVERAGEIFS(
'20102013 STH Efficacy'!$N:$N, 
'20102013 STH Efficacy'!$B:$B, $A196, 
'20102013 STH Efficacy'!$C:$C, "Albendazole",
'20102013 STH Efficacy'!$I:$I,"&lt;2014",
'20102013 STH Efficacy'!$AH:$AH,""),
"")</f>
        <v/>
      </c>
      <c r="BC196" s="135">
        <f t="shared" si="25"/>
        <v>0.8699166667</v>
      </c>
      <c r="BD196" s="134" t="str">
        <f>IFERROR(AVERAGEIFS(
'20102013 STH Efficacy'!$N:$N, 
'20102013 STH Efficacy'!$B:$B, $A196, 
'20102013 STH Efficacy'!$C:$C, "Mebendazole",
'20102013 STH Efficacy'!$I:$I,"&lt;2014",
'20102013 STH Efficacy'!$AH:$AH,""),
"")</f>
        <v/>
      </c>
      <c r="BE196" s="135">
        <f t="shared" si="26"/>
        <v>0.7092416667</v>
      </c>
      <c r="BF196" s="128" t="str">
        <f>IFERROR(AVERAGEIFS(
'20102013 STH Efficacy'!$CD:$CD, 
'20102013 STH Efficacy'!$BS:$BS, $A196, 
'20102013 STH Efficacy'!$BT:$BT, "Albendazole",
'20102013 STH Efficacy'!$BZ:$BZ,"&lt;2014",
'20102013 STH Efficacy'!$CU:$CU,""),
"")</f>
        <v/>
      </c>
      <c r="BG196" s="136">
        <f t="shared" si="27"/>
        <v>0.9066666667</v>
      </c>
      <c r="BH196" s="128" t="str">
        <f>IFERROR(AVERAGEIFS(
'20102013 STH Efficacy'!$CD:$CD, 
'20102013 STH Efficacy'!$BS:$BS, $A196, 
'20102013 STH Efficacy'!$BT:$BT, "Mebendazole",
'20102013 STH Efficacy'!$BZ:$BZ,"&lt;2014",
'20102013 STH Efficacy'!$CU:$CU,""),
"")</f>
        <v/>
      </c>
      <c r="BI196" s="136">
        <f t="shared" si="28"/>
        <v>0.9358666667</v>
      </c>
      <c r="BJ196" s="128" t="str">
        <f>IFERROR(AVERAGEIFS(
'20102013 STH Efficacy'!$CD:$CD, 
'20102013 STH Efficacy'!$BS:$BS, $A196, 
'20102013 STH Efficacy'!$BT:$BT, "Albendazole &amp; Ivermectin",
'20102013 STH Efficacy'!$BZ:$BZ,"&lt;2014",
'20102013 STH Efficacy'!$CU:$CU,""),
"")</f>
        <v/>
      </c>
      <c r="BK196" s="136">
        <f t="shared" si="29"/>
        <v>1</v>
      </c>
      <c r="BL196" s="300">
        <f>IFERROR(
  AVERAGEIFS(
    'NEW 20102013 Onchocerciasis Eff'!$AO:$AO,
    'NEW 20102013 Onchocerciasis Eff'!$C:$C,$A196,
    'NEW 20102013 Onchocerciasis Eff'!$D:$D,"Ivermectin",
    'NEW 20102013 Onchocerciasis Eff'!$AR:$AR,"&lt;2014",
    'NEW 20102013 Onchocerciasis Eff'!$BG:$BG,"")
,"")</f>
        <v>0.8831666667</v>
      </c>
      <c r="BM196" s="304">
        <f t="shared" si="30"/>
        <v>0.8831666667</v>
      </c>
      <c r="BN196" s="305">
        <v>0.0</v>
      </c>
      <c r="BO196" s="139">
        <v>0.0</v>
      </c>
      <c r="BP196" s="140">
        <v>1.0</v>
      </c>
      <c r="BQ196" s="141">
        <f t="shared" si="31"/>
        <v>0</v>
      </c>
      <c r="BR196" s="104" t="str">
        <f t="shared" si="32"/>
        <v>0010</v>
      </c>
      <c r="BS196" s="104" t="str">
        <f t="shared" si="33"/>
        <v>T2</v>
      </c>
      <c r="BT196" s="142" t="str">
        <f t="shared" si="34"/>
        <v>PZQ</v>
      </c>
      <c r="BU196" s="104" t="str">
        <f t="shared" si="50"/>
        <v>PZQ</v>
      </c>
      <c r="BV196" s="104" t="str">
        <f t="shared" si="36"/>
        <v>schist only</v>
      </c>
      <c r="BW196" s="150" t="str">
        <f t="shared" si="37"/>
        <v/>
      </c>
      <c r="BX196" s="150" t="str">
        <f t="shared" si="38"/>
        <v/>
      </c>
      <c r="BY196" s="162">
        <f t="shared" si="39"/>
        <v>2818.533369</v>
      </c>
      <c r="BZ196" s="152" t="str">
        <f t="shared" si="40"/>
        <v/>
      </c>
      <c r="CA196" s="152" t="str">
        <f t="shared" si="41"/>
        <v/>
      </c>
      <c r="CB196" s="152" t="str">
        <f t="shared" si="42"/>
        <v/>
      </c>
      <c r="CC196" s="153" t="str">
        <f t="shared" si="43"/>
        <v/>
      </c>
      <c r="CD196" s="153" t="str">
        <f t="shared" si="44"/>
        <v/>
      </c>
      <c r="CE196" s="154" t="str">
        <f t="shared" si="45"/>
        <v/>
      </c>
      <c r="CF196" s="154" t="str">
        <f t="shared" si="46"/>
        <v/>
      </c>
      <c r="CG196" s="154" t="str">
        <f t="shared" si="47"/>
        <v/>
      </c>
      <c r="CH196" s="308" t="str">
        <f t="shared" si="48"/>
        <v/>
      </c>
      <c r="CI196" s="299"/>
    </row>
    <row r="197">
      <c r="A197" s="155" t="s">
        <v>286</v>
      </c>
      <c r="B197" s="104" t="s">
        <v>94</v>
      </c>
      <c r="C197" s="105">
        <v>1383.0</v>
      </c>
      <c r="D197" s="293">
        <v>0.0</v>
      </c>
      <c r="E197" s="294">
        <v>0.0</v>
      </c>
      <c r="F197" s="163"/>
      <c r="G197" s="163"/>
      <c r="H197" s="108">
        <v>0.0</v>
      </c>
      <c r="I197" s="109">
        <v>0.0</v>
      </c>
      <c r="J197" s="109">
        <v>0.0</v>
      </c>
      <c r="K197" s="109">
        <v>0.0</v>
      </c>
      <c r="L197" s="113"/>
      <c r="M197" s="113"/>
      <c r="N197" s="111">
        <v>0.0</v>
      </c>
      <c r="O197" s="298">
        <v>0.0</v>
      </c>
      <c r="P197" s="114"/>
      <c r="Q197" s="114"/>
      <c r="R197" s="121" t="str">
        <f t="shared" si="11"/>
        <v/>
      </c>
      <c r="S197" s="116">
        <f t="shared" si="12"/>
        <v>0.403639098</v>
      </c>
      <c r="T197" s="130"/>
      <c r="U197" s="118">
        <f t="shared" si="13"/>
        <v>0.6259666667</v>
      </c>
      <c r="V197" s="148"/>
      <c r="W197" s="120">
        <f t="shared" si="14"/>
        <v>0.3807857143</v>
      </c>
      <c r="X197" s="148"/>
      <c r="Y197" s="120">
        <f t="shared" si="15"/>
        <v>0.3971375</v>
      </c>
      <c r="Z197" s="299"/>
      <c r="AA197" s="299"/>
      <c r="AB197" s="300" t="str">
        <f t="shared" si="16"/>
        <v/>
      </c>
      <c r="AC197" s="301">
        <f t="shared" si="17"/>
        <v>0.6295826791</v>
      </c>
      <c r="AD197" s="314">
        <v>0.0</v>
      </c>
      <c r="AE197" s="315">
        <v>0.0</v>
      </c>
      <c r="AF197" s="166">
        <v>0.0</v>
      </c>
      <c r="AG197" s="316">
        <v>0.0</v>
      </c>
      <c r="AH197" s="307">
        <v>0.0</v>
      </c>
      <c r="AI197" s="317">
        <v>0.0</v>
      </c>
      <c r="AJ197" s="318">
        <v>0.0</v>
      </c>
      <c r="AK197" s="319">
        <v>0.0</v>
      </c>
      <c r="AL197" s="319">
        <v>0.0</v>
      </c>
      <c r="AM197" s="320">
        <v>0.0</v>
      </c>
      <c r="AN197" s="149" t="str">
        <f>IFERROR(
  AVERAGEIFS(
    'New 20102013 LF Efficacy'!$J:$J,
    'New 20102013 LF Efficacy'!$D:$D, $A197,
    'New 20102013 LF Efficacy'!$F:$F,"DEC", 
    'New 20102013 LF Efficacy'!$W:$W,"&lt;2014",
    'New 20102013 LF Efficacy'!$AA:$AA,""),
  ""
)</f>
        <v/>
      </c>
      <c r="AO197" s="115">
        <f t="shared" si="18"/>
        <v>0.38</v>
      </c>
      <c r="AP197" s="121" t="str">
        <f>IFERROR(
AVERAGEIFS(
'New 20102013 LF Efficacy'!$J:$J,
'New 20102013 LF Efficacy'!$D:$D,$A197,
'New 20102013 LF Efficacy'!$F:$F,"Albendazole &amp; DEC",
'New 20102013 LF Efficacy'!$W:$W,"&lt;2014",
'New 20102013 LF Efficacy'!$AA:$AA,""),
"")
</f>
        <v/>
      </c>
      <c r="AQ197" s="115">
        <f t="shared" si="19"/>
        <v>0.657</v>
      </c>
      <c r="AR197" s="121" t="str">
        <f>IFERROR(
AVERAGEIFS(
'New 20102013 LF Efficacy'!$J:$J,
'New 20102013 LF Efficacy'!$D:$D,$A197,
'New 20102013 LF Efficacy'!$F:$F,"Albendazole &amp; Ivermectin", 
'New 20102013 LF Efficacy'!$W:$W,"&lt;2014",
'New 20102013 LF Efficacy'!$AA:$AA,""),"")</f>
        <v/>
      </c>
      <c r="AS197" s="115">
        <f t="shared" si="20"/>
        <v>0.37153125</v>
      </c>
      <c r="AT197" s="130" t="str">
        <f>IFERROR(AVERAGEIFS(
'20102013 Schist Efficacy'!$O:$O, 
'20102013 Schist Efficacy'!$C:$C,$A197, 
'20102013 Schist Efficacy'!$D:$D, "Praziquantel",
'20102013 Schist Efficacy'!$J:$J,"&lt;2014",
'20102013 Schist Efficacy'!$U:$U,""),
"")</f>
        <v/>
      </c>
      <c r="AU197" s="118">
        <f t="shared" si="21"/>
        <v>0.9475</v>
      </c>
      <c r="AV197" s="131" t="str">
        <f>IFERROR(AVERAGEIFS(
'20102013 STH Efficacy'!$AX:$AX, 
'20102013 STH Efficacy'!$AL:$AL, $A197, 
'20102013 STH Efficacy'!$AM:$AM, "Albendazole",
'20102013 STH Efficacy'!$AS:$AS,"&lt;2014",
'20102013 STH Efficacy'!$BP:$BP,""),
"")</f>
        <v/>
      </c>
      <c r="AW197" s="132">
        <f t="shared" si="22"/>
        <v>0.3571666667</v>
      </c>
      <c r="AX197" s="131" t="str">
        <f>IFERROR(AVERAGEIFS(
'20102013 STH Efficacy'!$AX:$AX, 
'20102013 STH Efficacy'!$AL:$AL, $A197, 
'20102013 STH Efficacy'!$AM:$AM, "Mebendazole",
'20102013 STH Efficacy'!$AS:$AS,"&lt;2014",
'20102013 STH Efficacy'!$BP:$BP,""),
"")</f>
        <v/>
      </c>
      <c r="AY197" s="132">
        <f t="shared" si="23"/>
        <v>0.4155</v>
      </c>
      <c r="AZ197" s="131" t="str">
        <f>IFERROR(AVERAGEIFS(
'20102013 STH Efficacy'!$AX:$AX, 
'20102013 STH Efficacy'!$AL:$AL, $A197, 
'20102013 STH Efficacy'!$AM:$AM, "Albendazole &amp; Ivermectin",
'20102013 STH Efficacy'!$AS:$AS,"&lt;2014",
'20102013 STH Efficacy'!$BP:$BP,""),
"")</f>
        <v/>
      </c>
      <c r="BA197" s="303">
        <f t="shared" si="24"/>
        <v>0.651</v>
      </c>
      <c r="BB197" s="134" t="str">
        <f>IFERROR(AVERAGEIFS(
'20102013 STH Efficacy'!$N:$N, 
'20102013 STH Efficacy'!$B:$B, $A197, 
'20102013 STH Efficacy'!$C:$C, "Albendazole",
'20102013 STH Efficacy'!$I:$I,"&lt;2014",
'20102013 STH Efficacy'!$AH:$AH,""),
"")</f>
        <v/>
      </c>
      <c r="BC197" s="135">
        <f t="shared" si="25"/>
        <v>0.5769166667</v>
      </c>
      <c r="BD197" s="134" t="str">
        <f>IFERROR(AVERAGEIFS(
'20102013 STH Efficacy'!$N:$N, 
'20102013 STH Efficacy'!$B:$B, $A197, 
'20102013 STH Efficacy'!$C:$C, "Mebendazole",
'20102013 STH Efficacy'!$I:$I,"&lt;2014",
'20102013 STH Efficacy'!$AH:$AH,""),
"")</f>
        <v/>
      </c>
      <c r="BE197" s="135">
        <f t="shared" si="26"/>
        <v>0.3145</v>
      </c>
      <c r="BF197" s="128" t="str">
        <f>IFERROR(AVERAGEIFS(
'20102013 STH Efficacy'!$CD:$CD, 
'20102013 STH Efficacy'!$BS:$BS, $A197, 
'20102013 STH Efficacy'!$BT:$BT, "Albendazole",
'20102013 STH Efficacy'!$BZ:$BZ,"&lt;2014",
'20102013 STH Efficacy'!$CU:$CU,""),
"")</f>
        <v/>
      </c>
      <c r="BG197" s="136">
        <f t="shared" si="27"/>
        <v>0.96925</v>
      </c>
      <c r="BH197" s="128" t="str">
        <f>IFERROR(AVERAGEIFS(
'20102013 STH Efficacy'!$CD:$CD, 
'20102013 STH Efficacy'!$BS:$BS, $A197, 
'20102013 STH Efficacy'!$BT:$BT, "Mebendazole",
'20102013 STH Efficacy'!$BZ:$BZ,"&lt;2014",
'20102013 STH Efficacy'!$CU:$CU,""),
"")</f>
        <v/>
      </c>
      <c r="BI197" s="136">
        <f t="shared" si="28"/>
        <v>0.9305</v>
      </c>
      <c r="BJ197" s="128" t="str">
        <f>IFERROR(AVERAGEIFS(
'20102013 STH Efficacy'!$CD:$CD, 
'20102013 STH Efficacy'!$BS:$BS, $A197, 
'20102013 STH Efficacy'!$BT:$BT, "Albendazole &amp; Ivermectin",
'20102013 STH Efficacy'!$BZ:$BZ,"&lt;2014",
'20102013 STH Efficacy'!$CU:$CU,""),
"")</f>
        <v/>
      </c>
      <c r="BK197" s="136">
        <f t="shared" si="29"/>
        <v>1</v>
      </c>
      <c r="BL197" s="300" t="str">
        <f>IFERROR(
  AVERAGEIFS(
    'NEW 20102013 Onchocerciasis Eff'!$AO:$AO,
    'NEW 20102013 Onchocerciasis Eff'!$C:$C,$A197,
    'NEW 20102013 Onchocerciasis Eff'!$D:$D,"Ivermectin",
    'NEW 20102013 Onchocerciasis Eff'!$AR:$AR,"&lt;2014",
    'NEW 20102013 Onchocerciasis Eff'!$BG:$BG,"")
,"")</f>
        <v/>
      </c>
      <c r="BM197" s="304">
        <f t="shared" si="30"/>
        <v>0.7808368939</v>
      </c>
      <c r="BN197" s="305">
        <v>0.0</v>
      </c>
      <c r="BO197" s="139">
        <v>0.0</v>
      </c>
      <c r="BP197" s="140">
        <v>0.0</v>
      </c>
      <c r="BQ197" s="141">
        <f t="shared" si="31"/>
        <v>0</v>
      </c>
      <c r="BR197" s="104" t="str">
        <f t="shared" si="32"/>
        <v>0000</v>
      </c>
      <c r="BS197" s="104" t="str">
        <f t="shared" si="33"/>
        <v>no action required</v>
      </c>
      <c r="BT197" s="142" t="str">
        <f t="shared" si="34"/>
        <v/>
      </c>
      <c r="BU197" s="104" t="str">
        <f t="shared" si="50"/>
        <v/>
      </c>
      <c r="BV197" s="104" t="str">
        <f t="shared" si="36"/>
        <v>none</v>
      </c>
      <c r="BW197" s="150" t="str">
        <f t="shared" si="37"/>
        <v/>
      </c>
      <c r="BX197" s="150" t="str">
        <f t="shared" si="38"/>
        <v/>
      </c>
      <c r="BY197" s="151" t="str">
        <f t="shared" si="39"/>
        <v/>
      </c>
      <c r="BZ197" s="152" t="str">
        <f t="shared" si="40"/>
        <v/>
      </c>
      <c r="CA197" s="152" t="str">
        <f t="shared" si="41"/>
        <v/>
      </c>
      <c r="CB197" s="152" t="str">
        <f t="shared" si="42"/>
        <v/>
      </c>
      <c r="CC197" s="153" t="str">
        <f t="shared" si="43"/>
        <v/>
      </c>
      <c r="CD197" s="153" t="str">
        <f t="shared" si="44"/>
        <v/>
      </c>
      <c r="CE197" s="154" t="str">
        <f t="shared" si="45"/>
        <v/>
      </c>
      <c r="CF197" s="154" t="str">
        <f t="shared" si="46"/>
        <v/>
      </c>
      <c r="CG197" s="154" t="str">
        <f t="shared" si="47"/>
        <v/>
      </c>
      <c r="CH197" s="308" t="str">
        <f t="shared" si="48"/>
        <v/>
      </c>
      <c r="CI197" s="299"/>
    </row>
    <row r="198">
      <c r="A198" s="155" t="s">
        <v>287</v>
      </c>
      <c r="B198" s="104" t="s">
        <v>94</v>
      </c>
      <c r="C198" s="105">
        <v>105328.0</v>
      </c>
      <c r="D198" s="293">
        <v>57.33</v>
      </c>
      <c r="E198" s="294">
        <v>0.0</v>
      </c>
      <c r="F198" s="309">
        <v>0.018553563</v>
      </c>
      <c r="G198" s="309">
        <v>0.087314467</v>
      </c>
      <c r="H198" s="108">
        <v>0.105868029</v>
      </c>
      <c r="I198" s="109">
        <v>1.72659404</v>
      </c>
      <c r="J198" s="109">
        <v>4.56309019</v>
      </c>
      <c r="K198" s="109">
        <v>6.289684231</v>
      </c>
      <c r="L198" s="112">
        <v>0.476688714</v>
      </c>
      <c r="M198" s="112">
        <v>0.155514091</v>
      </c>
      <c r="N198" s="111">
        <v>0.632202805</v>
      </c>
      <c r="O198" s="298">
        <v>0.0</v>
      </c>
      <c r="P198" s="156"/>
      <c r="Q198" s="156"/>
      <c r="R198" s="121" t="str">
        <f t="shared" si="11"/>
        <v/>
      </c>
      <c r="S198" s="116">
        <f t="shared" si="12"/>
        <v>0.403639098</v>
      </c>
      <c r="T198" s="130"/>
      <c r="U198" s="118">
        <f t="shared" si="13"/>
        <v>0.6259666667</v>
      </c>
      <c r="V198" s="148"/>
      <c r="W198" s="120">
        <f t="shared" si="14"/>
        <v>0.3807857143</v>
      </c>
      <c r="X198" s="148"/>
      <c r="Y198" s="120">
        <f t="shared" si="15"/>
        <v>0.3971375</v>
      </c>
      <c r="Z198" s="299"/>
      <c r="AA198" s="299"/>
      <c r="AB198" s="300" t="str">
        <f t="shared" si="16"/>
        <v/>
      </c>
      <c r="AC198" s="301">
        <f t="shared" si="17"/>
        <v>0.6295826791</v>
      </c>
      <c r="AD198" s="122">
        <v>0.0073</v>
      </c>
      <c r="AE198" s="123">
        <v>0.0</v>
      </c>
      <c r="AF198" s="123">
        <v>0.0</v>
      </c>
      <c r="AG198" s="316">
        <v>0.0</v>
      </c>
      <c r="AH198" s="124">
        <v>0.064511041</v>
      </c>
      <c r="AI198" s="317">
        <v>0.0</v>
      </c>
      <c r="AJ198" s="125">
        <v>0.058152586</v>
      </c>
      <c r="AK198" s="319">
        <v>0.0</v>
      </c>
      <c r="AL198" s="319">
        <v>0.0</v>
      </c>
      <c r="AM198" s="302">
        <v>0.0</v>
      </c>
      <c r="AN198" s="149" t="str">
        <f>IFERROR(
  AVERAGEIFS(
    'New 20102013 LF Efficacy'!$J:$J,
    'New 20102013 LF Efficacy'!$D:$D, $A198,
    'New 20102013 LF Efficacy'!$F:$F,"DEC", 
    'New 20102013 LF Efficacy'!$W:$W,"&lt;2014",
    'New 20102013 LF Efficacy'!$AA:$AA,""),
  ""
)</f>
        <v/>
      </c>
      <c r="AO198" s="115">
        <f t="shared" si="18"/>
        <v>0.38</v>
      </c>
      <c r="AP198" s="121" t="str">
        <f>IFERROR(
AVERAGEIFS(
'New 20102013 LF Efficacy'!$J:$J,
'New 20102013 LF Efficacy'!$D:$D,$A198,
'New 20102013 LF Efficacy'!$F:$F,"Albendazole &amp; DEC",
'New 20102013 LF Efficacy'!$W:$W,"&lt;2014",
'New 20102013 LF Efficacy'!$AA:$AA,""),
"")
</f>
        <v/>
      </c>
      <c r="AQ198" s="115">
        <f t="shared" si="19"/>
        <v>0.657</v>
      </c>
      <c r="AR198" s="121" t="str">
        <f>IFERROR(
AVERAGEIFS(
'New 20102013 LF Efficacy'!$J:$J,
'New 20102013 LF Efficacy'!$D:$D,$A198,
'New 20102013 LF Efficacy'!$F:$F,"Albendazole &amp; Ivermectin", 
'New 20102013 LF Efficacy'!$W:$W,"&lt;2014",
'New 20102013 LF Efficacy'!$AA:$AA,""),"")</f>
        <v/>
      </c>
      <c r="AS198" s="115">
        <f t="shared" si="20"/>
        <v>0.37153125</v>
      </c>
      <c r="AT198" s="130" t="str">
        <f>IFERROR(AVERAGEIFS(
'20102013 Schist Efficacy'!$O:$O, 
'20102013 Schist Efficacy'!$C:$C,$A198, 
'20102013 Schist Efficacy'!$D:$D, "Praziquantel",
'20102013 Schist Efficacy'!$J:$J,"&lt;2014",
'20102013 Schist Efficacy'!$U:$U,""),
"")</f>
        <v/>
      </c>
      <c r="AU198" s="118">
        <f t="shared" si="21"/>
        <v>0.9475</v>
      </c>
      <c r="AV198" s="131" t="str">
        <f>IFERROR(AVERAGEIFS(
'20102013 STH Efficacy'!$AX:$AX, 
'20102013 STH Efficacy'!$AL:$AL, $A198, 
'20102013 STH Efficacy'!$AM:$AM, "Albendazole",
'20102013 STH Efficacy'!$AS:$AS,"&lt;2014",
'20102013 STH Efficacy'!$BP:$BP,""),
"")</f>
        <v/>
      </c>
      <c r="AW198" s="132">
        <f t="shared" si="22"/>
        <v>0.3571666667</v>
      </c>
      <c r="AX198" s="131" t="str">
        <f>IFERROR(AVERAGEIFS(
'20102013 STH Efficacy'!$AX:$AX, 
'20102013 STH Efficacy'!$AL:$AL, $A198, 
'20102013 STH Efficacy'!$AM:$AM, "Mebendazole",
'20102013 STH Efficacy'!$AS:$AS,"&lt;2014",
'20102013 STH Efficacy'!$BP:$BP,""),
"")</f>
        <v/>
      </c>
      <c r="AY198" s="132">
        <f t="shared" si="23"/>
        <v>0.4155</v>
      </c>
      <c r="AZ198" s="131" t="str">
        <f>IFERROR(AVERAGEIFS(
'20102013 STH Efficacy'!$AX:$AX, 
'20102013 STH Efficacy'!$AL:$AL, $A198, 
'20102013 STH Efficacy'!$AM:$AM, "Albendazole &amp; Ivermectin",
'20102013 STH Efficacy'!$AS:$AS,"&lt;2014",
'20102013 STH Efficacy'!$BP:$BP,""),
"")</f>
        <v/>
      </c>
      <c r="BA198" s="303">
        <f t="shared" si="24"/>
        <v>0.651</v>
      </c>
      <c r="BB198" s="134" t="str">
        <f>IFERROR(AVERAGEIFS(
'20102013 STH Efficacy'!$N:$N, 
'20102013 STH Efficacy'!$B:$B, $A198, 
'20102013 STH Efficacy'!$C:$C, "Albendazole",
'20102013 STH Efficacy'!$I:$I,"&lt;2014",
'20102013 STH Efficacy'!$AH:$AH,""),
"")</f>
        <v/>
      </c>
      <c r="BC198" s="135">
        <f t="shared" si="25"/>
        <v>0.5769166667</v>
      </c>
      <c r="BD198" s="134" t="str">
        <f>IFERROR(AVERAGEIFS(
'20102013 STH Efficacy'!$N:$N, 
'20102013 STH Efficacy'!$B:$B, $A198, 
'20102013 STH Efficacy'!$C:$C, "Mebendazole",
'20102013 STH Efficacy'!$I:$I,"&lt;2014",
'20102013 STH Efficacy'!$AH:$AH,""),
"")</f>
        <v/>
      </c>
      <c r="BE198" s="135">
        <f t="shared" si="26"/>
        <v>0.3145</v>
      </c>
      <c r="BF198" s="128" t="str">
        <f>IFERROR(AVERAGEIFS(
'20102013 STH Efficacy'!$CD:$CD, 
'20102013 STH Efficacy'!$BS:$BS, $A198, 
'20102013 STH Efficacy'!$BT:$BT, "Albendazole",
'20102013 STH Efficacy'!$BZ:$BZ,"&lt;2014",
'20102013 STH Efficacy'!$CU:$CU,""),
"")</f>
        <v/>
      </c>
      <c r="BG198" s="136">
        <f t="shared" si="27"/>
        <v>0.96925</v>
      </c>
      <c r="BH198" s="128" t="str">
        <f>IFERROR(AVERAGEIFS(
'20102013 STH Efficacy'!$CD:$CD, 
'20102013 STH Efficacy'!$BS:$BS, $A198, 
'20102013 STH Efficacy'!$BT:$BT, "Mebendazole",
'20102013 STH Efficacy'!$BZ:$BZ,"&lt;2014",
'20102013 STH Efficacy'!$CU:$CU,""),
"")</f>
        <v/>
      </c>
      <c r="BI198" s="136">
        <f t="shared" si="28"/>
        <v>0.9305</v>
      </c>
      <c r="BJ198" s="128" t="str">
        <f>IFERROR(AVERAGEIFS(
'20102013 STH Efficacy'!$CD:$CD, 
'20102013 STH Efficacy'!$BS:$BS, $A198, 
'20102013 STH Efficacy'!$BT:$BT, "Albendazole &amp; Ivermectin",
'20102013 STH Efficacy'!$BZ:$BZ,"&lt;2014",
'20102013 STH Efficacy'!$CU:$CU,""),
"")</f>
        <v/>
      </c>
      <c r="BK198" s="136">
        <f t="shared" si="29"/>
        <v>1</v>
      </c>
      <c r="BL198" s="300" t="str">
        <f>IFERROR(
  AVERAGEIFS(
    'NEW 20102013 Onchocerciasis Eff'!$AO:$AO,
    'NEW 20102013 Onchocerciasis Eff'!$C:$C,$A198,
    'NEW 20102013 Onchocerciasis Eff'!$D:$D,"Ivermectin",
    'NEW 20102013 Onchocerciasis Eff'!$AR:$AR,"&lt;2014",
    'NEW 20102013 Onchocerciasis Eff'!$BG:$BG,"")
,"")</f>
        <v/>
      </c>
      <c r="BM198" s="304">
        <f t="shared" si="30"/>
        <v>0.7808368939</v>
      </c>
      <c r="BN198" s="305">
        <v>0.0</v>
      </c>
      <c r="BO198" s="139">
        <v>0.0</v>
      </c>
      <c r="BP198" s="140">
        <v>0.0</v>
      </c>
      <c r="BQ198" s="141">
        <f t="shared" si="31"/>
        <v>0</v>
      </c>
      <c r="BR198" s="104" t="str">
        <f t="shared" si="32"/>
        <v>0000</v>
      </c>
      <c r="BS198" s="104" t="str">
        <f t="shared" si="33"/>
        <v>no action required</v>
      </c>
      <c r="BT198" s="142" t="str">
        <f t="shared" si="34"/>
        <v/>
      </c>
      <c r="BU198" s="104" t="str">
        <f t="shared" si="50"/>
        <v/>
      </c>
      <c r="BV198" s="104" t="str">
        <f t="shared" si="36"/>
        <v>none</v>
      </c>
      <c r="BW198" s="150" t="str">
        <f t="shared" si="37"/>
        <v/>
      </c>
      <c r="BX198" s="150" t="str">
        <f t="shared" si="38"/>
        <v/>
      </c>
      <c r="BY198" s="151" t="str">
        <f t="shared" si="39"/>
        <v/>
      </c>
      <c r="BZ198" s="152" t="str">
        <f t="shared" si="40"/>
        <v/>
      </c>
      <c r="CA198" s="152" t="str">
        <f t="shared" si="41"/>
        <v/>
      </c>
      <c r="CB198" s="152" t="str">
        <f t="shared" si="42"/>
        <v/>
      </c>
      <c r="CC198" s="153" t="str">
        <f t="shared" si="43"/>
        <v/>
      </c>
      <c r="CD198" s="153" t="str">
        <f t="shared" si="44"/>
        <v/>
      </c>
      <c r="CE198" s="154" t="str">
        <f t="shared" si="45"/>
        <v/>
      </c>
      <c r="CF198" s="154" t="str">
        <f t="shared" si="46"/>
        <v/>
      </c>
      <c r="CG198" s="154" t="str">
        <f t="shared" si="47"/>
        <v/>
      </c>
      <c r="CH198" s="308" t="str">
        <f t="shared" si="48"/>
        <v/>
      </c>
      <c r="CI198" s="299"/>
    </row>
    <row r="199">
      <c r="A199" s="155" t="s">
        <v>288</v>
      </c>
      <c r="B199" s="104" t="s">
        <v>98</v>
      </c>
      <c r="C199" s="105">
        <v>1348248.0</v>
      </c>
      <c r="D199" s="293">
        <v>0.0</v>
      </c>
      <c r="E199" s="294">
        <v>0.0</v>
      </c>
      <c r="F199" s="309">
        <v>0.004061984</v>
      </c>
      <c r="G199" s="309">
        <v>0.032015416</v>
      </c>
      <c r="H199" s="108">
        <v>0.036077401</v>
      </c>
      <c r="I199" s="109">
        <v>1.14667781</v>
      </c>
      <c r="J199" s="109">
        <v>3.46068431</v>
      </c>
      <c r="K199" s="109">
        <v>4.607362129</v>
      </c>
      <c r="L199" s="112">
        <v>1.740632071</v>
      </c>
      <c r="M199" s="112">
        <v>0.995514013</v>
      </c>
      <c r="N199" s="111">
        <v>2.736146085</v>
      </c>
      <c r="O199" s="298">
        <v>0.0</v>
      </c>
      <c r="P199" s="156"/>
      <c r="Q199" s="156"/>
      <c r="R199" s="121" t="str">
        <f t="shared" si="11"/>
        <v/>
      </c>
      <c r="S199" s="116">
        <f t="shared" si="12"/>
        <v>0.2288425133</v>
      </c>
      <c r="T199" s="130"/>
      <c r="U199" s="118">
        <f t="shared" si="13"/>
        <v>0.39435</v>
      </c>
      <c r="V199" s="148"/>
      <c r="W199" s="120">
        <f t="shared" si="14"/>
        <v>0.542475</v>
      </c>
      <c r="X199" s="148"/>
      <c r="Y199" s="120">
        <f t="shared" si="15"/>
        <v>0.6507333333</v>
      </c>
      <c r="Z199" s="299"/>
      <c r="AA199" s="299"/>
      <c r="AB199" s="300" t="str">
        <f t="shared" si="16"/>
        <v/>
      </c>
      <c r="AC199" s="301">
        <f t="shared" si="17"/>
        <v>0.3490201688</v>
      </c>
      <c r="AD199" s="122">
        <v>0.0</v>
      </c>
      <c r="AE199" s="123">
        <v>0.0</v>
      </c>
      <c r="AF199" s="123">
        <v>0.0</v>
      </c>
      <c r="AG199" s="316">
        <v>0.0</v>
      </c>
      <c r="AH199" s="124">
        <v>0.02588755</v>
      </c>
      <c r="AI199" s="317">
        <v>0.0</v>
      </c>
      <c r="AJ199" s="125">
        <v>0.008781184</v>
      </c>
      <c r="AK199" s="319">
        <v>0.0</v>
      </c>
      <c r="AL199" s="319">
        <v>0.0</v>
      </c>
      <c r="AM199" s="302">
        <v>0.0</v>
      </c>
      <c r="AN199" s="149" t="str">
        <f>IFERROR(
  AVERAGEIFS(
    'New 20102013 LF Efficacy'!$J:$J,
    'New 20102013 LF Efficacy'!$D:$D, $A199,
    'New 20102013 LF Efficacy'!$F:$F,"DEC", 
    'New 20102013 LF Efficacy'!$W:$W,"&lt;2014",
    'New 20102013 LF Efficacy'!$AA:$AA,""),
  ""
)</f>
        <v/>
      </c>
      <c r="AO199" s="115">
        <f t="shared" si="18"/>
        <v>0.2589833333</v>
      </c>
      <c r="AP199" s="121" t="str">
        <f>IFERROR(
AVERAGEIFS(
'New 20102013 LF Efficacy'!$J:$J,
'New 20102013 LF Efficacy'!$D:$D,$A199,
'New 20102013 LF Efficacy'!$F:$F,"Albendazole &amp; DEC",
'New 20102013 LF Efficacy'!$W:$W,"&lt;2014",
'New 20102013 LF Efficacy'!$AA:$AA,""),
"")
</f>
        <v/>
      </c>
      <c r="AQ199" s="115">
        <f t="shared" si="19"/>
        <v>0.3465</v>
      </c>
      <c r="AR199" s="121" t="str">
        <f>IFERROR(
AVERAGEIFS(
'New 20102013 LF Efficacy'!$J:$J,
'New 20102013 LF Efficacy'!$D:$D,$A199,
'New 20102013 LF Efficacy'!$F:$F,"Albendazole &amp; Ivermectin", 
'New 20102013 LF Efficacy'!$W:$W,"&lt;2014",
'New 20102013 LF Efficacy'!$AA:$AA,""),"")</f>
        <v/>
      </c>
      <c r="AS199" s="115">
        <f t="shared" si="20"/>
        <v>0.7575</v>
      </c>
      <c r="AT199" s="130" t="str">
        <f>IFERROR(AVERAGEIFS(
'20102013 Schist Efficacy'!$O:$O, 
'20102013 Schist Efficacy'!$C:$C,$A199, 
'20102013 Schist Efficacy'!$D:$D, "Praziquantel",
'20102013 Schist Efficacy'!$J:$J,"&lt;2014",
'20102013 Schist Efficacy'!$U:$U,""),
"")</f>
        <v/>
      </c>
      <c r="AU199" s="118">
        <f t="shared" si="21"/>
        <v>0.7914761905</v>
      </c>
      <c r="AV199" s="131" t="str">
        <f>IFERROR(AVERAGEIFS(
'20102013 STH Efficacy'!$AX:$AX, 
'20102013 STH Efficacy'!$AL:$AL, $A199, 
'20102013 STH Efficacy'!$AM:$AM, "Albendazole",
'20102013 STH Efficacy'!$AS:$AS,"&lt;2014",
'20102013 STH Efficacy'!$BP:$BP,""),
"")</f>
        <v/>
      </c>
      <c r="AW199" s="132">
        <f t="shared" si="22"/>
        <v>0.3945</v>
      </c>
      <c r="AX199" s="131" t="str">
        <f>IFERROR(AVERAGEIFS(
'20102013 STH Efficacy'!$AX:$AX, 
'20102013 STH Efficacy'!$AL:$AL, $A199, 
'20102013 STH Efficacy'!$AM:$AM, "Mebendazole",
'20102013 STH Efficacy'!$AS:$AS,"&lt;2014",
'20102013 STH Efficacy'!$BP:$BP,""),
"")</f>
        <v/>
      </c>
      <c r="AY199" s="132">
        <f t="shared" si="23"/>
        <v>0.6</v>
      </c>
      <c r="AZ199" s="131" t="str">
        <f>IFERROR(AVERAGEIFS(
'20102013 STH Efficacy'!$AX:$AX, 
'20102013 STH Efficacy'!$AL:$AL, $A199, 
'20102013 STH Efficacy'!$AM:$AM, "Albendazole &amp; Ivermectin",
'20102013 STH Efficacy'!$AS:$AS,"&lt;2014",
'20102013 STH Efficacy'!$BP:$BP,""),
"")</f>
        <v/>
      </c>
      <c r="BA199" s="303">
        <f t="shared" si="24"/>
        <v>0.796</v>
      </c>
      <c r="BB199" s="134" t="str">
        <f>IFERROR(AVERAGEIFS(
'20102013 STH Efficacy'!$N:$N, 
'20102013 STH Efficacy'!$B:$B, $A199, 
'20102013 STH Efficacy'!$C:$C, "Albendazole",
'20102013 STH Efficacy'!$I:$I,"&lt;2014",
'20102013 STH Efficacy'!$AH:$AH,""),
"")</f>
        <v/>
      </c>
      <c r="BC199" s="135">
        <f t="shared" si="25"/>
        <v>0.869</v>
      </c>
      <c r="BD199" s="134" t="str">
        <f>IFERROR(AVERAGEIFS(
'20102013 STH Efficacy'!$N:$N, 
'20102013 STH Efficacy'!$B:$B, $A199, 
'20102013 STH Efficacy'!$C:$C, "Mebendazole",
'20102013 STH Efficacy'!$I:$I,"&lt;2014",
'20102013 STH Efficacy'!$AH:$AH,""),
"")</f>
        <v/>
      </c>
      <c r="BE199" s="135">
        <f t="shared" si="26"/>
        <v>0.172</v>
      </c>
      <c r="BF199" s="128" t="str">
        <f>IFERROR(AVERAGEIFS(
'20102013 STH Efficacy'!$CD:$CD, 
'20102013 STH Efficacy'!$BS:$BS, $A199, 
'20102013 STH Efficacy'!$BT:$BT, "Albendazole",
'20102013 STH Efficacy'!$BZ:$BZ,"&lt;2014",
'20102013 STH Efficacy'!$CU:$CU,""),
"")</f>
        <v/>
      </c>
      <c r="BG199" s="136">
        <f t="shared" si="27"/>
        <v>0.9862</v>
      </c>
      <c r="BH199" s="128" t="str">
        <f>IFERROR(AVERAGEIFS(
'20102013 STH Efficacy'!$CD:$CD, 
'20102013 STH Efficacy'!$BS:$BS, $A199, 
'20102013 STH Efficacy'!$BT:$BT, "Mebendazole",
'20102013 STH Efficacy'!$BZ:$BZ,"&lt;2014",
'20102013 STH Efficacy'!$CU:$CU,""),
"")</f>
        <v/>
      </c>
      <c r="BI199" s="136">
        <f t="shared" si="28"/>
        <v>0.769</v>
      </c>
      <c r="BJ199" s="128" t="str">
        <f>IFERROR(AVERAGEIFS(
'20102013 STH Efficacy'!$CD:$CD, 
'20102013 STH Efficacy'!$BS:$BS, $A199, 
'20102013 STH Efficacy'!$BT:$BT, "Albendazole &amp; Ivermectin",
'20102013 STH Efficacy'!$BZ:$BZ,"&lt;2014",
'20102013 STH Efficacy'!$CU:$CU,""),
"")</f>
        <v/>
      </c>
      <c r="BK199" s="136">
        <f t="shared" si="29"/>
        <v>1</v>
      </c>
      <c r="BL199" s="300" t="str">
        <f>IFERROR(
  AVERAGEIFS(
    'NEW 20102013 Onchocerciasis Eff'!$AO:$AO,
    'NEW 20102013 Onchocerciasis Eff'!$C:$C,$A199,
    'NEW 20102013 Onchocerciasis Eff'!$D:$D,"Ivermectin",
    'NEW 20102013 Onchocerciasis Eff'!$AR:$AR,"&lt;2014",
    'NEW 20102013 Onchocerciasis Eff'!$BG:$BG,"")
,"")</f>
        <v/>
      </c>
      <c r="BM199" s="304">
        <f t="shared" si="30"/>
        <v>0.3734</v>
      </c>
      <c r="BN199" s="305">
        <v>0.0</v>
      </c>
      <c r="BO199" s="139">
        <v>0.0</v>
      </c>
      <c r="BP199" s="140">
        <v>0.0</v>
      </c>
      <c r="BQ199" s="141">
        <f t="shared" si="31"/>
        <v>0</v>
      </c>
      <c r="BR199" s="104" t="str">
        <f t="shared" si="32"/>
        <v>0000</v>
      </c>
      <c r="BS199" s="104" t="str">
        <f t="shared" si="33"/>
        <v>no action required</v>
      </c>
      <c r="BT199" s="142" t="str">
        <f t="shared" si="34"/>
        <v/>
      </c>
      <c r="BU199" s="104" t="str">
        <f t="shared" si="50"/>
        <v/>
      </c>
      <c r="BV199" s="104" t="str">
        <f t="shared" si="36"/>
        <v>none</v>
      </c>
      <c r="BW199" s="150" t="str">
        <f t="shared" si="37"/>
        <v/>
      </c>
      <c r="BX199" s="150" t="str">
        <f t="shared" si="38"/>
        <v/>
      </c>
      <c r="BY199" s="151" t="str">
        <f t="shared" si="39"/>
        <v/>
      </c>
      <c r="BZ199" s="152" t="str">
        <f t="shared" si="40"/>
        <v/>
      </c>
      <c r="CA199" s="152" t="str">
        <f t="shared" si="41"/>
        <v/>
      </c>
      <c r="CB199" s="152" t="str">
        <f t="shared" si="42"/>
        <v/>
      </c>
      <c r="CC199" s="153" t="str">
        <f t="shared" si="43"/>
        <v/>
      </c>
      <c r="CD199" s="153" t="str">
        <f t="shared" si="44"/>
        <v/>
      </c>
      <c r="CE199" s="154" t="str">
        <f t="shared" si="45"/>
        <v/>
      </c>
      <c r="CF199" s="154" t="str">
        <f t="shared" si="46"/>
        <v/>
      </c>
      <c r="CG199" s="154" t="str">
        <f t="shared" si="47"/>
        <v/>
      </c>
      <c r="CH199" s="308" t="str">
        <f t="shared" si="48"/>
        <v/>
      </c>
      <c r="CI199" s="299"/>
    </row>
    <row r="200">
      <c r="A200" s="155" t="s">
        <v>289</v>
      </c>
      <c r="B200" s="104" t="s">
        <v>88</v>
      </c>
      <c r="C200" s="105">
        <v>1.1014558E7</v>
      </c>
      <c r="D200" s="293">
        <v>0.0</v>
      </c>
      <c r="E200" s="294">
        <v>600.2099252</v>
      </c>
      <c r="F200" s="307">
        <v>0.080413498</v>
      </c>
      <c r="G200" s="307">
        <v>0.440765098</v>
      </c>
      <c r="H200" s="108">
        <v>0.521178596</v>
      </c>
      <c r="I200" s="109">
        <v>0.11270385</v>
      </c>
      <c r="J200" s="109">
        <v>0.10016928</v>
      </c>
      <c r="K200" s="109">
        <v>0.212873128</v>
      </c>
      <c r="L200" s="112">
        <v>12.5116063</v>
      </c>
      <c r="M200" s="112">
        <v>18.09854476</v>
      </c>
      <c r="N200" s="111">
        <v>30.61015106</v>
      </c>
      <c r="O200" s="298">
        <v>0.0</v>
      </c>
      <c r="P200" s="114"/>
      <c r="Q200" s="114"/>
      <c r="R200" s="121" t="str">
        <f t="shared" si="11"/>
        <v/>
      </c>
      <c r="S200" s="116">
        <f t="shared" si="12"/>
        <v>0.4713987966</v>
      </c>
      <c r="T200" s="130"/>
      <c r="U200" s="118">
        <f t="shared" si="13"/>
        <v>0.5949</v>
      </c>
      <c r="V200" s="148"/>
      <c r="W200" s="120">
        <f t="shared" si="14"/>
        <v>0.9216</v>
      </c>
      <c r="X200" s="148"/>
      <c r="Y200" s="120">
        <f t="shared" si="15"/>
        <v>0.521</v>
      </c>
      <c r="Z200" s="299"/>
      <c r="AA200" s="299"/>
      <c r="AB200" s="300" t="str">
        <f t="shared" si="16"/>
        <v/>
      </c>
      <c r="AC200" s="301">
        <f t="shared" si="17"/>
        <v>0.3122297241</v>
      </c>
      <c r="AD200" s="122">
        <v>0.0</v>
      </c>
      <c r="AE200" s="123">
        <v>0.01</v>
      </c>
      <c r="AF200" s="123">
        <v>7.0E-4</v>
      </c>
      <c r="AG200" s="316">
        <v>0.0</v>
      </c>
      <c r="AH200" s="124">
        <v>0.029079057</v>
      </c>
      <c r="AI200" s="317">
        <v>0.0</v>
      </c>
      <c r="AJ200" s="125">
        <v>1.1143E-5</v>
      </c>
      <c r="AK200" s="319">
        <v>0.0</v>
      </c>
      <c r="AL200" s="319">
        <v>0.0</v>
      </c>
      <c r="AM200" s="302">
        <v>0.0</v>
      </c>
      <c r="AN200" s="149" t="str">
        <f>IFERROR(
  AVERAGEIFS(
    'New 20102013 LF Efficacy'!$J:$J,
    'New 20102013 LF Efficacy'!$D:$D, $A200,
    'New 20102013 LF Efficacy'!$F:$F,"DEC", 
    'New 20102013 LF Efficacy'!$W:$W,"&lt;2014",
    'New 20102013 LF Efficacy'!$AA:$AA,""),
  ""
)</f>
        <v/>
      </c>
      <c r="AO200" s="115">
        <f t="shared" si="18"/>
        <v>0.3573520833</v>
      </c>
      <c r="AP200" s="121" t="str">
        <f>IFERROR(
AVERAGEIFS(
'New 20102013 LF Efficacy'!$J:$J,
'New 20102013 LF Efficacy'!$D:$D,$A200,
'New 20102013 LF Efficacy'!$F:$F,"Albendazole &amp; DEC",
'New 20102013 LF Efficacy'!$W:$W,"&lt;2014",
'New 20102013 LF Efficacy'!$AA:$AA,""),
"")
</f>
        <v/>
      </c>
      <c r="AQ200" s="115">
        <f t="shared" si="19"/>
        <v>0.7935</v>
      </c>
      <c r="AR200" s="121" t="str">
        <f>IFERROR(
AVERAGEIFS(
'New 20102013 LF Efficacy'!$J:$J,
'New 20102013 LF Efficacy'!$D:$D,$A200,
'New 20102013 LF Efficacy'!$F:$F,"Albendazole &amp; Ivermectin", 
'New 20102013 LF Efficacy'!$W:$W,"&lt;2014",
'New 20102013 LF Efficacy'!$AA:$AA,""),"")</f>
        <v/>
      </c>
      <c r="AS200" s="115">
        <f t="shared" si="20"/>
        <v>0.37153125</v>
      </c>
      <c r="AT200" s="130" t="str">
        <f>IFERROR(AVERAGEIFS(
'20102013 Schist Efficacy'!$O:$O, 
'20102013 Schist Efficacy'!$C:$C,$A200, 
'20102013 Schist Efficacy'!$D:$D, "Praziquantel",
'20102013 Schist Efficacy'!$J:$J,"&lt;2014",
'20102013 Schist Efficacy'!$U:$U,""),
"")</f>
        <v/>
      </c>
      <c r="AU200" s="118">
        <f t="shared" si="21"/>
        <v>0.7763141026</v>
      </c>
      <c r="AV200" s="131" t="str">
        <f>IFERROR(AVERAGEIFS(
'20102013 STH Efficacy'!$AX:$AX, 
'20102013 STH Efficacy'!$AL:$AL, $A200, 
'20102013 STH Efficacy'!$AM:$AM, "Albendazole",
'20102013 STH Efficacy'!$AS:$AS,"&lt;2014",
'20102013 STH Efficacy'!$BP:$BP,""),
"")</f>
        <v/>
      </c>
      <c r="AW200" s="132">
        <f t="shared" si="22"/>
        <v>0.3933333333</v>
      </c>
      <c r="AX200" s="131" t="str">
        <f>IFERROR(AVERAGEIFS(
'20102013 STH Efficacy'!$AX:$AX, 
'20102013 STH Efficacy'!$AL:$AL, $A200, 
'20102013 STH Efficacy'!$AM:$AM, "Mebendazole",
'20102013 STH Efficacy'!$AS:$AS,"&lt;2014",
'20102013 STH Efficacy'!$BP:$BP,""),
"")</f>
        <v/>
      </c>
      <c r="AY200" s="132">
        <f t="shared" si="23"/>
        <v>0.5017738095</v>
      </c>
      <c r="AZ200" s="131" t="str">
        <f>IFERROR(AVERAGEIFS(
'20102013 STH Efficacy'!$AX:$AX, 
'20102013 STH Efficacy'!$AL:$AL, $A200, 
'20102013 STH Efficacy'!$AM:$AM, "Albendazole &amp; Ivermectin",
'20102013 STH Efficacy'!$AS:$AS,"&lt;2014",
'20102013 STH Efficacy'!$BP:$BP,""),
"")</f>
        <v/>
      </c>
      <c r="BA200" s="303">
        <f t="shared" si="24"/>
        <v>0.597625</v>
      </c>
      <c r="BB200" s="134" t="str">
        <f>IFERROR(AVERAGEIFS(
'20102013 STH Efficacy'!$N:$N, 
'20102013 STH Efficacy'!$B:$B, $A200, 
'20102013 STH Efficacy'!$C:$C, "Albendazole",
'20102013 STH Efficacy'!$I:$I,"&lt;2014",
'20102013 STH Efficacy'!$AH:$AH,""),
"")</f>
        <v/>
      </c>
      <c r="BC200" s="135">
        <f t="shared" si="25"/>
        <v>0.7613712121</v>
      </c>
      <c r="BD200" s="134" t="str">
        <f>IFERROR(AVERAGEIFS(
'20102013 STH Efficacy'!$N:$N, 
'20102013 STH Efficacy'!$B:$B, $A200, 
'20102013 STH Efficacy'!$C:$C, "Mebendazole",
'20102013 STH Efficacy'!$I:$I,"&lt;2014",
'20102013 STH Efficacy'!$AH:$AH,""),
"")</f>
        <v/>
      </c>
      <c r="BE200" s="135">
        <f t="shared" si="26"/>
        <v>0.4362466667</v>
      </c>
      <c r="BF200" s="128" t="str">
        <f>IFERROR(AVERAGEIFS(
'20102013 STH Efficacy'!$CD:$CD, 
'20102013 STH Efficacy'!$BS:$BS, $A200, 
'20102013 STH Efficacy'!$BT:$BT, "Albendazole",
'20102013 STH Efficacy'!$BZ:$BZ,"&lt;2014",
'20102013 STH Efficacy'!$CU:$CU,""),
"")</f>
        <v/>
      </c>
      <c r="BG200" s="136">
        <f t="shared" si="27"/>
        <v>0.955</v>
      </c>
      <c r="BH200" s="128" t="str">
        <f>IFERROR(AVERAGEIFS(
'20102013 STH Efficacy'!$CD:$CD, 
'20102013 STH Efficacy'!$BS:$BS, $A200, 
'20102013 STH Efficacy'!$BT:$BT, "Mebendazole",
'20102013 STH Efficacy'!$BZ:$BZ,"&lt;2014",
'20102013 STH Efficacy'!$CU:$CU,""),
"")</f>
        <v/>
      </c>
      <c r="BI200" s="136">
        <f t="shared" si="28"/>
        <v>1</v>
      </c>
      <c r="BJ200" s="128" t="str">
        <f>IFERROR(AVERAGEIFS(
'20102013 STH Efficacy'!$CD:$CD, 
'20102013 STH Efficacy'!$BS:$BS, $A200, 
'20102013 STH Efficacy'!$BT:$BT, "Albendazole &amp; Ivermectin",
'20102013 STH Efficacy'!$BZ:$BZ,"&lt;2014",
'20102013 STH Efficacy'!$CU:$CU,""),
"")</f>
        <v/>
      </c>
      <c r="BK200" s="136">
        <f t="shared" si="29"/>
        <v>1</v>
      </c>
      <c r="BL200" s="300" t="str">
        <f>IFERROR(
  AVERAGEIFS(
    'NEW 20102013 Onchocerciasis Eff'!$AO:$AO,
    'NEW 20102013 Onchocerciasis Eff'!$C:$C,$A200,
    'NEW 20102013 Onchocerciasis Eff'!$D:$D,"Ivermectin",
    'NEW 20102013 Onchocerciasis Eff'!$AR:$AR,"&lt;2014",
    'NEW 20102013 Onchocerciasis Eff'!$BG:$BG,"")
,"")</f>
        <v/>
      </c>
      <c r="BM200" s="304">
        <f t="shared" si="30"/>
        <v>0.7808368939</v>
      </c>
      <c r="BN200" s="305">
        <v>0.0</v>
      </c>
      <c r="BO200" s="139">
        <v>0.0</v>
      </c>
      <c r="BP200" s="140">
        <v>0.0</v>
      </c>
      <c r="BQ200" s="141">
        <f t="shared" si="31"/>
        <v>0</v>
      </c>
      <c r="BR200" s="104" t="str">
        <f t="shared" si="32"/>
        <v>0000</v>
      </c>
      <c r="BS200" s="104" t="str">
        <f t="shared" si="33"/>
        <v>no action required</v>
      </c>
      <c r="BT200" s="142" t="str">
        <f t="shared" si="34"/>
        <v/>
      </c>
      <c r="BU200" s="104" t="str">
        <f t="shared" si="50"/>
        <v/>
      </c>
      <c r="BV200" s="104" t="str">
        <f t="shared" si="36"/>
        <v>none</v>
      </c>
      <c r="BW200" s="150" t="str">
        <f t="shared" si="37"/>
        <v/>
      </c>
      <c r="BX200" s="150" t="str">
        <f t="shared" si="38"/>
        <v/>
      </c>
      <c r="BY200" s="151" t="str">
        <f t="shared" si="39"/>
        <v/>
      </c>
      <c r="BZ200" s="152" t="str">
        <f t="shared" si="40"/>
        <v/>
      </c>
      <c r="CA200" s="152" t="str">
        <f t="shared" si="41"/>
        <v/>
      </c>
      <c r="CB200" s="152" t="str">
        <f t="shared" si="42"/>
        <v/>
      </c>
      <c r="CC200" s="153" t="str">
        <f t="shared" si="43"/>
        <v/>
      </c>
      <c r="CD200" s="153" t="str">
        <f t="shared" si="44"/>
        <v/>
      </c>
      <c r="CE200" s="154" t="str">
        <f t="shared" si="45"/>
        <v/>
      </c>
      <c r="CF200" s="154" t="str">
        <f t="shared" si="46"/>
        <v/>
      </c>
      <c r="CG200" s="154" t="str">
        <f t="shared" si="47"/>
        <v/>
      </c>
      <c r="CH200" s="308" t="str">
        <f t="shared" si="48"/>
        <v/>
      </c>
      <c r="CI200" s="299"/>
    </row>
    <row r="201">
      <c r="A201" s="155" t="s">
        <v>290</v>
      </c>
      <c r="B201" s="104" t="s">
        <v>90</v>
      </c>
      <c r="C201" s="105">
        <v>7.5787333E7</v>
      </c>
      <c r="D201" s="293">
        <v>0.0</v>
      </c>
      <c r="E201" s="294">
        <v>468.8213476</v>
      </c>
      <c r="F201" s="295">
        <v>2.528637028</v>
      </c>
      <c r="G201" s="295">
        <v>15.4259093</v>
      </c>
      <c r="H201" s="108">
        <v>17.95454632</v>
      </c>
      <c r="I201" s="109">
        <v>0.39193284</v>
      </c>
      <c r="J201" s="109">
        <v>0.61332941</v>
      </c>
      <c r="K201" s="109">
        <v>1.005262256</v>
      </c>
      <c r="L201" s="112">
        <v>77.10476677</v>
      </c>
      <c r="M201" s="112">
        <v>61.15601466</v>
      </c>
      <c r="N201" s="111">
        <v>138.2607814</v>
      </c>
      <c r="O201" s="298">
        <v>0.0</v>
      </c>
      <c r="P201" s="114"/>
      <c r="Q201" s="114"/>
      <c r="R201" s="121" t="str">
        <f t="shared" si="11"/>
        <v/>
      </c>
      <c r="S201" s="116">
        <f t="shared" si="12"/>
        <v>0.526225767</v>
      </c>
      <c r="T201" s="130"/>
      <c r="U201" s="118">
        <f t="shared" si="13"/>
        <v>0.3468166667</v>
      </c>
      <c r="V201" s="148"/>
      <c r="W201" s="120">
        <f t="shared" si="14"/>
        <v>1</v>
      </c>
      <c r="X201" s="148"/>
      <c r="Y201" s="120">
        <f t="shared" si="15"/>
        <v>1</v>
      </c>
      <c r="Z201" s="299"/>
      <c r="AA201" s="299"/>
      <c r="AB201" s="300" t="str">
        <f t="shared" si="16"/>
        <v/>
      </c>
      <c r="AC201" s="301">
        <f t="shared" si="17"/>
        <v>0.6295826791</v>
      </c>
      <c r="AD201" s="122">
        <v>0.0</v>
      </c>
      <c r="AE201" s="123">
        <v>0.0</v>
      </c>
      <c r="AF201" s="123">
        <v>1.0E-4</v>
      </c>
      <c r="AG201" s="316">
        <v>0.0</v>
      </c>
      <c r="AH201" s="124">
        <v>0.025392114</v>
      </c>
      <c r="AI201" s="317">
        <v>0.0</v>
      </c>
      <c r="AJ201" s="125">
        <v>1.1427E-5</v>
      </c>
      <c r="AK201" s="319">
        <v>0.0</v>
      </c>
      <c r="AL201" s="319">
        <v>0.0</v>
      </c>
      <c r="AM201" s="302">
        <v>0.0</v>
      </c>
      <c r="AN201" s="149" t="str">
        <f>IFERROR(
  AVERAGEIFS(
    'New 20102013 LF Efficacy'!$J:$J,
    'New 20102013 LF Efficacy'!$D:$D, $A201,
    'New 20102013 LF Efficacy'!$F:$F,"DEC", 
    'New 20102013 LF Efficacy'!$W:$W,"&lt;2014",
    'New 20102013 LF Efficacy'!$AA:$AA,""),
  ""
)</f>
        <v/>
      </c>
      <c r="AO201" s="115">
        <f t="shared" si="18"/>
        <v>0.3573520833</v>
      </c>
      <c r="AP201" s="121" t="str">
        <f>IFERROR(
AVERAGEIFS(
'New 20102013 LF Efficacy'!$J:$J,
'New 20102013 LF Efficacy'!$D:$D,$A201,
'New 20102013 LF Efficacy'!$F:$F,"Albendazole &amp; DEC",
'New 20102013 LF Efficacy'!$W:$W,"&lt;2014",
'New 20102013 LF Efficacy'!$AA:$AA,""),
"")
</f>
        <v/>
      </c>
      <c r="AQ201" s="115">
        <f t="shared" si="19"/>
        <v>0.5137291667</v>
      </c>
      <c r="AR201" s="121" t="str">
        <f>IFERROR(
AVERAGEIFS(
'New 20102013 LF Efficacy'!$J:$J,
'New 20102013 LF Efficacy'!$D:$D,$A201,
'New 20102013 LF Efficacy'!$F:$F,"Albendazole &amp; Ivermectin", 
'New 20102013 LF Efficacy'!$W:$W,"&lt;2014",
'New 20102013 LF Efficacy'!$AA:$AA,""),"")</f>
        <v/>
      </c>
      <c r="AS201" s="115">
        <f t="shared" si="20"/>
        <v>0.37153125</v>
      </c>
      <c r="AT201" s="130" t="str">
        <f>IFERROR(AVERAGEIFS(
'20102013 Schist Efficacy'!$O:$O, 
'20102013 Schist Efficacy'!$C:$C,$A201, 
'20102013 Schist Efficacy'!$D:$D, "Praziquantel",
'20102013 Schist Efficacy'!$J:$J,"&lt;2014",
'20102013 Schist Efficacy'!$U:$U,""),
"")</f>
        <v/>
      </c>
      <c r="AU201" s="118">
        <f t="shared" si="21"/>
        <v>0.655</v>
      </c>
      <c r="AV201" s="131" t="str">
        <f>IFERROR(AVERAGEIFS(
'20102013 STH Efficacy'!$AX:$AX, 
'20102013 STH Efficacy'!$AL:$AL, $A201, 
'20102013 STH Efficacy'!$AM:$AM, "Albendazole",
'20102013 STH Efficacy'!$AS:$AS,"&lt;2014",
'20102013 STH Efficacy'!$BP:$BP,""),
"")</f>
        <v/>
      </c>
      <c r="AW201" s="132">
        <f t="shared" si="22"/>
        <v>0.3933333333</v>
      </c>
      <c r="AX201" s="131" t="str">
        <f>IFERROR(AVERAGEIFS(
'20102013 STH Efficacy'!$AX:$AX, 
'20102013 STH Efficacy'!$AL:$AL, $A201, 
'20102013 STH Efficacy'!$AM:$AM, "Mebendazole",
'20102013 STH Efficacy'!$AS:$AS,"&lt;2014",
'20102013 STH Efficacy'!$BP:$BP,""),
"")</f>
        <v/>
      </c>
      <c r="AY201" s="132">
        <f t="shared" si="23"/>
        <v>0.5017738095</v>
      </c>
      <c r="AZ201" s="131" t="str">
        <f>IFERROR(AVERAGEIFS(
'20102013 STH Efficacy'!$AX:$AX, 
'20102013 STH Efficacy'!$AL:$AL, $A201, 
'20102013 STH Efficacy'!$AM:$AM, "Albendazole &amp; Ivermectin",
'20102013 STH Efficacy'!$AS:$AS,"&lt;2014",
'20102013 STH Efficacy'!$BP:$BP,""),
"")</f>
        <v/>
      </c>
      <c r="BA201" s="303">
        <f t="shared" si="24"/>
        <v>0.597625</v>
      </c>
      <c r="BB201" s="134" t="str">
        <f>IFERROR(AVERAGEIFS(
'20102013 STH Efficacy'!$N:$N, 
'20102013 STH Efficacy'!$B:$B, $A201, 
'20102013 STH Efficacy'!$C:$C, "Albendazole",
'20102013 STH Efficacy'!$I:$I,"&lt;2014",
'20102013 STH Efficacy'!$AH:$AH,""),
"")</f>
        <v/>
      </c>
      <c r="BC201" s="135">
        <f t="shared" si="25"/>
        <v>0.7613712121</v>
      </c>
      <c r="BD201" s="134" t="str">
        <f>IFERROR(AVERAGEIFS(
'20102013 STH Efficacy'!$N:$N, 
'20102013 STH Efficacy'!$B:$B, $A201, 
'20102013 STH Efficacy'!$C:$C, "Mebendazole",
'20102013 STH Efficacy'!$I:$I,"&lt;2014",
'20102013 STH Efficacy'!$AH:$AH,""),
"")</f>
        <v/>
      </c>
      <c r="BE201" s="135">
        <f t="shared" si="26"/>
        <v>0.4362466667</v>
      </c>
      <c r="BF201" s="128" t="str">
        <f>IFERROR(AVERAGEIFS(
'20102013 STH Efficacy'!$CD:$CD, 
'20102013 STH Efficacy'!$BS:$BS, $A201, 
'20102013 STH Efficacy'!$BT:$BT, "Albendazole",
'20102013 STH Efficacy'!$BZ:$BZ,"&lt;2014",
'20102013 STH Efficacy'!$CU:$CU,""),
"")</f>
        <v/>
      </c>
      <c r="BG201" s="136">
        <f t="shared" si="27"/>
        <v>0.9216027778</v>
      </c>
      <c r="BH201" s="128" t="str">
        <f>IFERROR(AVERAGEIFS(
'20102013 STH Efficacy'!$CD:$CD, 
'20102013 STH Efficacy'!$BS:$BS, $A201, 
'20102013 STH Efficacy'!$BT:$BT, "Mebendazole",
'20102013 STH Efficacy'!$BZ:$BZ,"&lt;2014",
'20102013 STH Efficacy'!$CU:$CU,""),
"")</f>
        <v/>
      </c>
      <c r="BI201" s="136">
        <f t="shared" si="28"/>
        <v>0.9295857143</v>
      </c>
      <c r="BJ201" s="128" t="str">
        <f>IFERROR(AVERAGEIFS(
'20102013 STH Efficacy'!$CD:$CD, 
'20102013 STH Efficacy'!$BS:$BS, $A201, 
'20102013 STH Efficacy'!$BT:$BT, "Albendazole &amp; Ivermectin",
'20102013 STH Efficacy'!$BZ:$BZ,"&lt;2014",
'20102013 STH Efficacy'!$CU:$CU,""),
"")</f>
        <v/>
      </c>
      <c r="BK201" s="136">
        <f t="shared" si="29"/>
        <v>1</v>
      </c>
      <c r="BL201" s="300" t="str">
        <f>IFERROR(
  AVERAGEIFS(
    'NEW 20102013 Onchocerciasis Eff'!$AO:$AO,
    'NEW 20102013 Onchocerciasis Eff'!$C:$C,$A201,
    'NEW 20102013 Onchocerciasis Eff'!$D:$D,"Ivermectin",
    'NEW 20102013 Onchocerciasis Eff'!$AR:$AR,"&lt;2014",
    'NEW 20102013 Onchocerciasis Eff'!$BG:$BG,"")
,"")</f>
        <v/>
      </c>
      <c r="BM201" s="304">
        <f t="shared" si="30"/>
        <v>0.7808368939</v>
      </c>
      <c r="BN201" s="305">
        <v>0.0</v>
      </c>
      <c r="BO201" s="139">
        <v>0.0</v>
      </c>
      <c r="BP201" s="140">
        <v>0.0</v>
      </c>
      <c r="BQ201" s="141">
        <f t="shared" si="31"/>
        <v>0</v>
      </c>
      <c r="BR201" s="104" t="str">
        <f t="shared" si="32"/>
        <v>0000</v>
      </c>
      <c r="BS201" s="104" t="str">
        <f t="shared" si="33"/>
        <v>no action required</v>
      </c>
      <c r="BT201" s="142" t="str">
        <f t="shared" si="34"/>
        <v/>
      </c>
      <c r="BU201" s="104" t="str">
        <f t="shared" si="50"/>
        <v/>
      </c>
      <c r="BV201" s="104" t="str">
        <f t="shared" si="36"/>
        <v>none</v>
      </c>
      <c r="BW201" s="150" t="str">
        <f t="shared" si="37"/>
        <v/>
      </c>
      <c r="BX201" s="150" t="str">
        <f t="shared" si="38"/>
        <v/>
      </c>
      <c r="BY201" s="151" t="str">
        <f t="shared" si="39"/>
        <v/>
      </c>
      <c r="BZ201" s="152" t="str">
        <f t="shared" si="40"/>
        <v/>
      </c>
      <c r="CA201" s="152" t="str">
        <f t="shared" si="41"/>
        <v/>
      </c>
      <c r="CB201" s="152" t="str">
        <f t="shared" si="42"/>
        <v/>
      </c>
      <c r="CC201" s="153" t="str">
        <f t="shared" si="43"/>
        <v/>
      </c>
      <c r="CD201" s="153" t="str">
        <f t="shared" si="44"/>
        <v/>
      </c>
      <c r="CE201" s="154" t="str">
        <f t="shared" si="45"/>
        <v/>
      </c>
      <c r="CF201" s="154" t="str">
        <f t="shared" si="46"/>
        <v/>
      </c>
      <c r="CG201" s="154" t="str">
        <f t="shared" si="47"/>
        <v/>
      </c>
      <c r="CH201" s="308" t="str">
        <f t="shared" si="48"/>
        <v/>
      </c>
      <c r="CI201" s="299"/>
    </row>
    <row r="202">
      <c r="A202" s="155" t="s">
        <v>291</v>
      </c>
      <c r="B202" s="104" t="s">
        <v>90</v>
      </c>
      <c r="C202" s="105">
        <v>5366277.0</v>
      </c>
      <c r="D202" s="293">
        <v>0.0</v>
      </c>
      <c r="E202" s="294">
        <v>0.0</v>
      </c>
      <c r="F202" s="309">
        <v>0.0</v>
      </c>
      <c r="G202" s="309">
        <v>0.0</v>
      </c>
      <c r="H202" s="108">
        <v>0.0</v>
      </c>
      <c r="I202" s="109">
        <v>0.05043581</v>
      </c>
      <c r="J202" s="109">
        <v>0.05072904</v>
      </c>
      <c r="K202" s="109">
        <v>0.101164846</v>
      </c>
      <c r="L202" s="112">
        <v>15.36819555</v>
      </c>
      <c r="M202" s="112">
        <v>3.382798713</v>
      </c>
      <c r="N202" s="111">
        <v>18.75099426</v>
      </c>
      <c r="O202" s="298">
        <v>0.0</v>
      </c>
      <c r="P202" s="114"/>
      <c r="Q202" s="114"/>
      <c r="R202" s="121" t="str">
        <f t="shared" si="11"/>
        <v/>
      </c>
      <c r="S202" s="116">
        <f t="shared" si="12"/>
        <v>0.526225767</v>
      </c>
      <c r="T202" s="130"/>
      <c r="U202" s="118">
        <f t="shared" si="13"/>
        <v>0.3468166667</v>
      </c>
      <c r="V202" s="148"/>
      <c r="W202" s="120">
        <f t="shared" si="14"/>
        <v>1</v>
      </c>
      <c r="X202" s="148"/>
      <c r="Y202" s="120">
        <f t="shared" si="15"/>
        <v>1</v>
      </c>
      <c r="Z202" s="299"/>
      <c r="AA202" s="299"/>
      <c r="AB202" s="300" t="str">
        <f t="shared" si="16"/>
        <v/>
      </c>
      <c r="AC202" s="301">
        <f t="shared" si="17"/>
        <v>0.6295826791</v>
      </c>
      <c r="AD202" s="122">
        <v>0.0</v>
      </c>
      <c r="AE202" s="123">
        <v>0.0</v>
      </c>
      <c r="AF202" s="123">
        <v>0.0</v>
      </c>
      <c r="AG202" s="316">
        <v>0.0</v>
      </c>
      <c r="AH202" s="124">
        <v>1.25607E-5</v>
      </c>
      <c r="AI202" s="317">
        <v>0.0</v>
      </c>
      <c r="AJ202" s="125">
        <v>1.2049E-5</v>
      </c>
      <c r="AK202" s="319">
        <v>0.0</v>
      </c>
      <c r="AL202" s="319">
        <v>0.0</v>
      </c>
      <c r="AM202" s="302">
        <v>0.0</v>
      </c>
      <c r="AN202" s="149" t="str">
        <f>IFERROR(
  AVERAGEIFS(
    'New 20102013 LF Efficacy'!$J:$J,
    'New 20102013 LF Efficacy'!$D:$D, $A202,
    'New 20102013 LF Efficacy'!$F:$F,"DEC", 
    'New 20102013 LF Efficacy'!$W:$W,"&lt;2014",
    'New 20102013 LF Efficacy'!$AA:$AA,""),
  ""
)</f>
        <v/>
      </c>
      <c r="AO202" s="115">
        <f t="shared" si="18"/>
        <v>0.3573520833</v>
      </c>
      <c r="AP202" s="121" t="str">
        <f>IFERROR(
AVERAGEIFS(
'New 20102013 LF Efficacy'!$J:$J,
'New 20102013 LF Efficacy'!$D:$D,$A202,
'New 20102013 LF Efficacy'!$F:$F,"Albendazole &amp; DEC",
'New 20102013 LF Efficacy'!$W:$W,"&lt;2014",
'New 20102013 LF Efficacy'!$AA:$AA,""),
"")
</f>
        <v/>
      </c>
      <c r="AQ202" s="115">
        <f t="shared" si="19"/>
        <v>0.5137291667</v>
      </c>
      <c r="AR202" s="121" t="str">
        <f>IFERROR(
AVERAGEIFS(
'New 20102013 LF Efficacy'!$J:$J,
'New 20102013 LF Efficacy'!$D:$D,$A202,
'New 20102013 LF Efficacy'!$F:$F,"Albendazole &amp; Ivermectin", 
'New 20102013 LF Efficacy'!$W:$W,"&lt;2014",
'New 20102013 LF Efficacy'!$AA:$AA,""),"")</f>
        <v/>
      </c>
      <c r="AS202" s="115">
        <f t="shared" si="20"/>
        <v>0.37153125</v>
      </c>
      <c r="AT202" s="130" t="str">
        <f>IFERROR(AVERAGEIFS(
'20102013 Schist Efficacy'!$O:$O, 
'20102013 Schist Efficacy'!$C:$C,$A202, 
'20102013 Schist Efficacy'!$D:$D, "Praziquantel",
'20102013 Schist Efficacy'!$J:$J,"&lt;2014",
'20102013 Schist Efficacy'!$U:$U,""),
"")</f>
        <v/>
      </c>
      <c r="AU202" s="118">
        <f t="shared" si="21"/>
        <v>0.655</v>
      </c>
      <c r="AV202" s="131" t="str">
        <f>IFERROR(AVERAGEIFS(
'20102013 STH Efficacy'!$AX:$AX, 
'20102013 STH Efficacy'!$AL:$AL, $A202, 
'20102013 STH Efficacy'!$AM:$AM, "Albendazole",
'20102013 STH Efficacy'!$AS:$AS,"&lt;2014",
'20102013 STH Efficacy'!$BP:$BP,""),
"")</f>
        <v/>
      </c>
      <c r="AW202" s="132">
        <f t="shared" si="22"/>
        <v>0.3933333333</v>
      </c>
      <c r="AX202" s="131" t="str">
        <f>IFERROR(AVERAGEIFS(
'20102013 STH Efficacy'!$AX:$AX, 
'20102013 STH Efficacy'!$AL:$AL, $A202, 
'20102013 STH Efficacy'!$AM:$AM, "Mebendazole",
'20102013 STH Efficacy'!$AS:$AS,"&lt;2014",
'20102013 STH Efficacy'!$BP:$BP,""),
"")</f>
        <v/>
      </c>
      <c r="AY202" s="132">
        <f t="shared" si="23"/>
        <v>0.5017738095</v>
      </c>
      <c r="AZ202" s="131" t="str">
        <f>IFERROR(AVERAGEIFS(
'20102013 STH Efficacy'!$AX:$AX, 
'20102013 STH Efficacy'!$AL:$AL, $A202, 
'20102013 STH Efficacy'!$AM:$AM, "Albendazole &amp; Ivermectin",
'20102013 STH Efficacy'!$AS:$AS,"&lt;2014",
'20102013 STH Efficacy'!$BP:$BP,""),
"")</f>
        <v/>
      </c>
      <c r="BA202" s="303">
        <f t="shared" si="24"/>
        <v>0.597625</v>
      </c>
      <c r="BB202" s="134" t="str">
        <f>IFERROR(AVERAGEIFS(
'20102013 STH Efficacy'!$N:$N, 
'20102013 STH Efficacy'!$B:$B, $A202, 
'20102013 STH Efficacy'!$C:$C, "Albendazole",
'20102013 STH Efficacy'!$I:$I,"&lt;2014",
'20102013 STH Efficacy'!$AH:$AH,""),
"")</f>
        <v/>
      </c>
      <c r="BC202" s="135">
        <f t="shared" si="25"/>
        <v>0.7613712121</v>
      </c>
      <c r="BD202" s="134" t="str">
        <f>IFERROR(AVERAGEIFS(
'20102013 STH Efficacy'!$N:$N, 
'20102013 STH Efficacy'!$B:$B, $A202, 
'20102013 STH Efficacy'!$C:$C, "Mebendazole",
'20102013 STH Efficacy'!$I:$I,"&lt;2014",
'20102013 STH Efficacy'!$AH:$AH,""),
"")</f>
        <v/>
      </c>
      <c r="BE202" s="135">
        <f t="shared" si="26"/>
        <v>0.4362466667</v>
      </c>
      <c r="BF202" s="128" t="str">
        <f>IFERROR(AVERAGEIFS(
'20102013 STH Efficacy'!$CD:$CD, 
'20102013 STH Efficacy'!$BS:$BS, $A202, 
'20102013 STH Efficacy'!$BT:$BT, "Albendazole",
'20102013 STH Efficacy'!$BZ:$BZ,"&lt;2014",
'20102013 STH Efficacy'!$CU:$CU,""),
"")</f>
        <v/>
      </c>
      <c r="BG202" s="136">
        <f t="shared" si="27"/>
        <v>0.9216027778</v>
      </c>
      <c r="BH202" s="128" t="str">
        <f>IFERROR(AVERAGEIFS(
'20102013 STH Efficacy'!$CD:$CD, 
'20102013 STH Efficacy'!$BS:$BS, $A202, 
'20102013 STH Efficacy'!$BT:$BT, "Mebendazole",
'20102013 STH Efficacy'!$BZ:$BZ,"&lt;2014",
'20102013 STH Efficacy'!$CU:$CU,""),
"")</f>
        <v/>
      </c>
      <c r="BI202" s="136">
        <f t="shared" si="28"/>
        <v>0.9295857143</v>
      </c>
      <c r="BJ202" s="128" t="str">
        <f>IFERROR(AVERAGEIFS(
'20102013 STH Efficacy'!$CD:$CD, 
'20102013 STH Efficacy'!$BS:$BS, $A202, 
'20102013 STH Efficacy'!$BT:$BT, "Albendazole &amp; Ivermectin",
'20102013 STH Efficacy'!$BZ:$BZ,"&lt;2014",
'20102013 STH Efficacy'!$CU:$CU,""),
"")</f>
        <v/>
      </c>
      <c r="BK202" s="136">
        <f t="shared" si="29"/>
        <v>1</v>
      </c>
      <c r="BL202" s="300" t="str">
        <f>IFERROR(
  AVERAGEIFS(
    'NEW 20102013 Onchocerciasis Eff'!$AO:$AO,
    'NEW 20102013 Onchocerciasis Eff'!$C:$C,$A202,
    'NEW 20102013 Onchocerciasis Eff'!$D:$D,"Ivermectin",
    'NEW 20102013 Onchocerciasis Eff'!$AR:$AR,"&lt;2014",
    'NEW 20102013 Onchocerciasis Eff'!$BG:$BG,"")
,"")</f>
        <v/>
      </c>
      <c r="BM202" s="304">
        <f t="shared" si="30"/>
        <v>0.7808368939</v>
      </c>
      <c r="BN202" s="305">
        <v>0.0</v>
      </c>
      <c r="BO202" s="139">
        <v>1.0</v>
      </c>
      <c r="BP202" s="140">
        <v>0.0</v>
      </c>
      <c r="BQ202" s="141">
        <f t="shared" si="31"/>
        <v>0</v>
      </c>
      <c r="BR202" s="104" t="str">
        <f t="shared" si="32"/>
        <v>0100</v>
      </c>
      <c r="BS202" s="104" t="str">
        <f t="shared" si="33"/>
        <v>MDA3</v>
      </c>
      <c r="BT202" s="142" t="str">
        <f t="shared" si="34"/>
        <v>IVM</v>
      </c>
      <c r="BU202" s="104" t="str">
        <f t="shared" si="50"/>
        <v/>
      </c>
      <c r="BV202" s="104" t="str">
        <f t="shared" si="36"/>
        <v>onch only</v>
      </c>
      <c r="BW202" s="150" t="str">
        <f t="shared" si="37"/>
        <v/>
      </c>
      <c r="BX202" s="150" t="str">
        <f t="shared" si="38"/>
        <v/>
      </c>
      <c r="BY202" s="151" t="str">
        <f t="shared" si="39"/>
        <v/>
      </c>
      <c r="BZ202" s="152" t="str">
        <f t="shared" si="40"/>
        <v/>
      </c>
      <c r="CA202" s="152" t="str">
        <f t="shared" si="41"/>
        <v/>
      </c>
      <c r="CB202" s="152" t="str">
        <f t="shared" si="42"/>
        <v/>
      </c>
      <c r="CC202" s="153" t="str">
        <f t="shared" si="43"/>
        <v/>
      </c>
      <c r="CD202" s="153" t="str">
        <f t="shared" si="44"/>
        <v/>
      </c>
      <c r="CE202" s="154" t="str">
        <f t="shared" si="45"/>
        <v/>
      </c>
      <c r="CF202" s="154" t="str">
        <f t="shared" si="46"/>
        <v/>
      </c>
      <c r="CG202" s="154" t="str">
        <f t="shared" si="47"/>
        <v/>
      </c>
      <c r="CH202" s="313">
        <f t="shared" si="48"/>
        <v>0</v>
      </c>
      <c r="CI202" s="299"/>
    </row>
    <row r="203">
      <c r="A203" s="155" t="s">
        <v>292</v>
      </c>
      <c r="B203" s="104" t="s">
        <v>98</v>
      </c>
      <c r="C203" s="105">
        <v>33108.0</v>
      </c>
      <c r="D203" s="293">
        <v>0.0</v>
      </c>
      <c r="E203" s="294">
        <v>0.0</v>
      </c>
      <c r="F203" s="325"/>
      <c r="G203" s="325"/>
      <c r="H203" s="108">
        <v>0.0</v>
      </c>
      <c r="I203" s="109">
        <v>0.0</v>
      </c>
      <c r="J203" s="109">
        <v>0.0</v>
      </c>
      <c r="K203" s="109">
        <v>0.0</v>
      </c>
      <c r="L203" s="113"/>
      <c r="M203" s="113"/>
      <c r="N203" s="111">
        <v>0.0</v>
      </c>
      <c r="O203" s="298">
        <v>0.0</v>
      </c>
      <c r="P203" s="114"/>
      <c r="Q203" s="114"/>
      <c r="R203" s="121" t="str">
        <f t="shared" si="11"/>
        <v/>
      </c>
      <c r="S203" s="116">
        <f t="shared" si="12"/>
        <v>0.2288425133</v>
      </c>
      <c r="T203" s="130"/>
      <c r="U203" s="118">
        <f t="shared" si="13"/>
        <v>0.39435</v>
      </c>
      <c r="V203" s="148"/>
      <c r="W203" s="120">
        <f t="shared" si="14"/>
        <v>0.542475</v>
      </c>
      <c r="X203" s="148"/>
      <c r="Y203" s="120">
        <f t="shared" si="15"/>
        <v>0.6507333333</v>
      </c>
      <c r="Z203" s="299"/>
      <c r="AA203" s="299"/>
      <c r="AB203" s="300" t="str">
        <f t="shared" si="16"/>
        <v/>
      </c>
      <c r="AC203" s="301">
        <f t="shared" si="17"/>
        <v>0.3490201688</v>
      </c>
      <c r="AD203" s="314">
        <v>0.0</v>
      </c>
      <c r="AE203" s="315">
        <v>0.0</v>
      </c>
      <c r="AF203" s="166">
        <v>0.0</v>
      </c>
      <c r="AG203" s="316">
        <v>0.0</v>
      </c>
      <c r="AH203" s="307">
        <v>0.0</v>
      </c>
      <c r="AI203" s="317">
        <v>0.0</v>
      </c>
      <c r="AJ203" s="318">
        <v>0.0</v>
      </c>
      <c r="AK203" s="319">
        <v>0.0</v>
      </c>
      <c r="AL203" s="319">
        <v>0.0</v>
      </c>
      <c r="AM203" s="320">
        <v>0.0</v>
      </c>
      <c r="AN203" s="149" t="str">
        <f>IFERROR(
  AVERAGEIFS(
    'New 20102013 LF Efficacy'!$J:$J,
    'New 20102013 LF Efficacy'!$D:$D, $A203,
    'New 20102013 LF Efficacy'!$F:$F,"DEC", 
    'New 20102013 LF Efficacy'!$W:$W,"&lt;2014",
    'New 20102013 LF Efficacy'!$AA:$AA,""),
  ""
)</f>
        <v/>
      </c>
      <c r="AO203" s="115">
        <f t="shared" si="18"/>
        <v>0.2589833333</v>
      </c>
      <c r="AP203" s="121" t="str">
        <f>IFERROR(
AVERAGEIFS(
'New 20102013 LF Efficacy'!$J:$J,
'New 20102013 LF Efficacy'!$D:$D,$A203,
'New 20102013 LF Efficacy'!$F:$F,"Albendazole &amp; DEC",
'New 20102013 LF Efficacy'!$W:$W,"&lt;2014",
'New 20102013 LF Efficacy'!$AA:$AA,""),
"")
</f>
        <v/>
      </c>
      <c r="AQ203" s="115">
        <f t="shared" si="19"/>
        <v>0.3465</v>
      </c>
      <c r="AR203" s="121" t="str">
        <f>IFERROR(
AVERAGEIFS(
'New 20102013 LF Efficacy'!$J:$J,
'New 20102013 LF Efficacy'!$D:$D,$A203,
'New 20102013 LF Efficacy'!$F:$F,"Albendazole &amp; Ivermectin", 
'New 20102013 LF Efficacy'!$W:$W,"&lt;2014",
'New 20102013 LF Efficacy'!$AA:$AA,""),"")</f>
        <v/>
      </c>
      <c r="AS203" s="115">
        <f t="shared" si="20"/>
        <v>0.7575</v>
      </c>
      <c r="AT203" s="130" t="str">
        <f>IFERROR(AVERAGEIFS(
'20102013 Schist Efficacy'!$O:$O, 
'20102013 Schist Efficacy'!$C:$C,$A203, 
'20102013 Schist Efficacy'!$D:$D, "Praziquantel",
'20102013 Schist Efficacy'!$J:$J,"&lt;2014",
'20102013 Schist Efficacy'!$U:$U,""),
"")</f>
        <v/>
      </c>
      <c r="AU203" s="118">
        <f t="shared" si="21"/>
        <v>0.7914761905</v>
      </c>
      <c r="AV203" s="131" t="str">
        <f>IFERROR(AVERAGEIFS(
'20102013 STH Efficacy'!$AX:$AX, 
'20102013 STH Efficacy'!$AL:$AL, $A203, 
'20102013 STH Efficacy'!$AM:$AM, "Albendazole",
'20102013 STH Efficacy'!$AS:$AS,"&lt;2014",
'20102013 STH Efficacy'!$BP:$BP,""),
"")</f>
        <v/>
      </c>
      <c r="AW203" s="132">
        <f t="shared" si="22"/>
        <v>0.3945</v>
      </c>
      <c r="AX203" s="131" t="str">
        <f>IFERROR(AVERAGEIFS(
'20102013 STH Efficacy'!$AX:$AX, 
'20102013 STH Efficacy'!$AL:$AL, $A203, 
'20102013 STH Efficacy'!$AM:$AM, "Mebendazole",
'20102013 STH Efficacy'!$AS:$AS,"&lt;2014",
'20102013 STH Efficacy'!$BP:$BP,""),
"")</f>
        <v/>
      </c>
      <c r="AY203" s="132">
        <f t="shared" si="23"/>
        <v>0.6</v>
      </c>
      <c r="AZ203" s="131" t="str">
        <f>IFERROR(AVERAGEIFS(
'20102013 STH Efficacy'!$AX:$AX, 
'20102013 STH Efficacy'!$AL:$AL, $A203, 
'20102013 STH Efficacy'!$AM:$AM, "Albendazole &amp; Ivermectin",
'20102013 STH Efficacy'!$AS:$AS,"&lt;2014",
'20102013 STH Efficacy'!$BP:$BP,""),
"")</f>
        <v/>
      </c>
      <c r="BA203" s="303">
        <f t="shared" si="24"/>
        <v>0.796</v>
      </c>
      <c r="BB203" s="134" t="str">
        <f>IFERROR(AVERAGEIFS(
'20102013 STH Efficacy'!$N:$N, 
'20102013 STH Efficacy'!$B:$B, $A203, 
'20102013 STH Efficacy'!$C:$C, "Albendazole",
'20102013 STH Efficacy'!$I:$I,"&lt;2014",
'20102013 STH Efficacy'!$AH:$AH,""),
"")</f>
        <v/>
      </c>
      <c r="BC203" s="135">
        <f t="shared" si="25"/>
        <v>0.869</v>
      </c>
      <c r="BD203" s="134" t="str">
        <f>IFERROR(AVERAGEIFS(
'20102013 STH Efficacy'!$N:$N, 
'20102013 STH Efficacy'!$B:$B, $A203, 
'20102013 STH Efficacy'!$C:$C, "Mebendazole",
'20102013 STH Efficacy'!$I:$I,"&lt;2014",
'20102013 STH Efficacy'!$AH:$AH,""),
"")</f>
        <v/>
      </c>
      <c r="BE203" s="135">
        <f t="shared" si="26"/>
        <v>0.172</v>
      </c>
      <c r="BF203" s="128" t="str">
        <f>IFERROR(AVERAGEIFS(
'20102013 STH Efficacy'!$CD:$CD, 
'20102013 STH Efficacy'!$BS:$BS, $A203, 
'20102013 STH Efficacy'!$BT:$BT, "Albendazole",
'20102013 STH Efficacy'!$BZ:$BZ,"&lt;2014",
'20102013 STH Efficacy'!$CU:$CU,""),
"")</f>
        <v/>
      </c>
      <c r="BG203" s="136">
        <f t="shared" si="27"/>
        <v>0.9862</v>
      </c>
      <c r="BH203" s="128" t="str">
        <f>IFERROR(AVERAGEIFS(
'20102013 STH Efficacy'!$CD:$CD, 
'20102013 STH Efficacy'!$BS:$BS, $A203, 
'20102013 STH Efficacy'!$BT:$BT, "Mebendazole",
'20102013 STH Efficacy'!$BZ:$BZ,"&lt;2014",
'20102013 STH Efficacy'!$CU:$CU,""),
"")</f>
        <v/>
      </c>
      <c r="BI203" s="136">
        <f t="shared" si="28"/>
        <v>0.769</v>
      </c>
      <c r="BJ203" s="128" t="str">
        <f>IFERROR(AVERAGEIFS(
'20102013 STH Efficacy'!$CD:$CD, 
'20102013 STH Efficacy'!$BS:$BS, $A203, 
'20102013 STH Efficacy'!$BT:$BT, "Albendazole &amp; Ivermectin",
'20102013 STH Efficacy'!$BZ:$BZ,"&lt;2014",
'20102013 STH Efficacy'!$CU:$CU,""),
"")</f>
        <v/>
      </c>
      <c r="BK203" s="136">
        <f t="shared" si="29"/>
        <v>1</v>
      </c>
      <c r="BL203" s="300" t="str">
        <f>IFERROR(
  AVERAGEIFS(
    'NEW 20102013 Onchocerciasis Eff'!$AO:$AO,
    'NEW 20102013 Onchocerciasis Eff'!$C:$C,$A203,
    'NEW 20102013 Onchocerciasis Eff'!$D:$D,"Ivermectin",
    'NEW 20102013 Onchocerciasis Eff'!$AR:$AR,"&lt;2014",
    'NEW 20102013 Onchocerciasis Eff'!$BG:$BG,"")
,"")</f>
        <v/>
      </c>
      <c r="BM203" s="304">
        <f t="shared" si="30"/>
        <v>0.3734</v>
      </c>
      <c r="BN203" s="305">
        <v>0.0</v>
      </c>
      <c r="BO203" s="139">
        <v>0.0</v>
      </c>
      <c r="BP203" s="140">
        <v>0.0</v>
      </c>
      <c r="BQ203" s="141">
        <f t="shared" si="31"/>
        <v>0</v>
      </c>
      <c r="BR203" s="104" t="str">
        <f t="shared" si="32"/>
        <v>0000</v>
      </c>
      <c r="BS203" s="104" t="str">
        <f t="shared" si="33"/>
        <v>no action required</v>
      </c>
      <c r="BT203" s="142" t="str">
        <f t="shared" si="34"/>
        <v/>
      </c>
      <c r="BU203" s="104" t="str">
        <f t="shared" si="50"/>
        <v/>
      </c>
      <c r="BV203" s="104" t="str">
        <f t="shared" si="36"/>
        <v>none</v>
      </c>
      <c r="BW203" s="150" t="str">
        <f t="shared" si="37"/>
        <v/>
      </c>
      <c r="BX203" s="150" t="str">
        <f t="shared" si="38"/>
        <v/>
      </c>
      <c r="BY203" s="151" t="str">
        <f t="shared" si="39"/>
        <v/>
      </c>
      <c r="BZ203" s="152" t="str">
        <f t="shared" si="40"/>
        <v/>
      </c>
      <c r="CA203" s="152" t="str">
        <f t="shared" si="41"/>
        <v/>
      </c>
      <c r="CB203" s="152" t="str">
        <f t="shared" si="42"/>
        <v/>
      </c>
      <c r="CC203" s="153" t="str">
        <f t="shared" si="43"/>
        <v/>
      </c>
      <c r="CD203" s="153" t="str">
        <f t="shared" si="44"/>
        <v/>
      </c>
      <c r="CE203" s="154" t="str">
        <f t="shared" si="45"/>
        <v/>
      </c>
      <c r="CF203" s="154" t="str">
        <f t="shared" si="46"/>
        <v/>
      </c>
      <c r="CG203" s="154" t="str">
        <f t="shared" si="47"/>
        <v/>
      </c>
      <c r="CH203" s="308" t="str">
        <f t="shared" si="48"/>
        <v/>
      </c>
      <c r="CI203" s="299"/>
    </row>
    <row r="204">
      <c r="A204" s="155" t="s">
        <v>293</v>
      </c>
      <c r="B204" s="104" t="s">
        <v>94</v>
      </c>
      <c r="C204" s="105">
        <v>10819.0</v>
      </c>
      <c r="D204" s="293">
        <v>0.0</v>
      </c>
      <c r="E204" s="294">
        <v>0.0</v>
      </c>
      <c r="F204" s="325"/>
      <c r="G204" s="325"/>
      <c r="H204" s="108">
        <v>0.0</v>
      </c>
      <c r="I204" s="109">
        <v>0.0</v>
      </c>
      <c r="J204" s="109">
        <v>0.0</v>
      </c>
      <c r="K204" s="109">
        <v>0.0</v>
      </c>
      <c r="L204" s="113"/>
      <c r="M204" s="113"/>
      <c r="N204" s="111">
        <v>0.0</v>
      </c>
      <c r="O204" s="298">
        <v>0.0</v>
      </c>
      <c r="P204" s="160">
        <v>10373.0</v>
      </c>
      <c r="Q204" s="156"/>
      <c r="R204" s="121">
        <f t="shared" si="11"/>
        <v>0</v>
      </c>
      <c r="S204" s="116">
        <f t="shared" si="12"/>
        <v>0.403639098</v>
      </c>
      <c r="T204" s="130"/>
      <c r="U204" s="118">
        <f t="shared" si="13"/>
        <v>0.6259666667</v>
      </c>
      <c r="V204" s="119">
        <v>0.9034</v>
      </c>
      <c r="W204" s="120">
        <f t="shared" si="14"/>
        <v>0.9034</v>
      </c>
      <c r="X204" s="119">
        <v>0.8694</v>
      </c>
      <c r="Y204" s="120">
        <f t="shared" si="15"/>
        <v>0.8694</v>
      </c>
      <c r="Z204" s="299"/>
      <c r="AA204" s="299"/>
      <c r="AB204" s="300" t="str">
        <f t="shared" si="16"/>
        <v/>
      </c>
      <c r="AC204" s="301">
        <f t="shared" si="17"/>
        <v>0.6295826791</v>
      </c>
      <c r="AD204" s="314">
        <v>0.0</v>
      </c>
      <c r="AE204" s="315">
        <v>0.0</v>
      </c>
      <c r="AF204" s="166">
        <v>0.0</v>
      </c>
      <c r="AG204" s="316">
        <v>0.0</v>
      </c>
      <c r="AH204" s="307">
        <v>0.0</v>
      </c>
      <c r="AI204" s="317">
        <v>0.0</v>
      </c>
      <c r="AJ204" s="318">
        <v>0.0</v>
      </c>
      <c r="AK204" s="319">
        <v>0.0</v>
      </c>
      <c r="AL204" s="319">
        <v>0.0</v>
      </c>
      <c r="AM204" s="320">
        <v>0.0</v>
      </c>
      <c r="AN204" s="149" t="str">
        <f>IFERROR(
  AVERAGEIFS(
    'New 20102013 LF Efficacy'!$J:$J,
    'New 20102013 LF Efficacy'!$D:$D, $A204,
    'New 20102013 LF Efficacy'!$F:$F,"DEC", 
    'New 20102013 LF Efficacy'!$W:$W,"&lt;2014",
    'New 20102013 LF Efficacy'!$AA:$AA,""),
  ""
)</f>
        <v/>
      </c>
      <c r="AO204" s="115">
        <f t="shared" si="18"/>
        <v>0.38</v>
      </c>
      <c r="AP204" s="121" t="str">
        <f>IFERROR(
AVERAGEIFS(
'New 20102013 LF Efficacy'!$J:$J,
'New 20102013 LF Efficacy'!$D:$D,$A204,
'New 20102013 LF Efficacy'!$F:$F,"Albendazole &amp; DEC",
'New 20102013 LF Efficacy'!$W:$W,"&lt;2014",
'New 20102013 LF Efficacy'!$AA:$AA,""),
"")
</f>
        <v/>
      </c>
      <c r="AQ204" s="115">
        <f t="shared" si="19"/>
        <v>0.657</v>
      </c>
      <c r="AR204" s="121" t="str">
        <f>IFERROR(
AVERAGEIFS(
'New 20102013 LF Efficacy'!$J:$J,
'New 20102013 LF Efficacy'!$D:$D,$A204,
'New 20102013 LF Efficacy'!$F:$F,"Albendazole &amp; Ivermectin", 
'New 20102013 LF Efficacy'!$W:$W,"&lt;2014",
'New 20102013 LF Efficacy'!$AA:$AA,""),"")</f>
        <v/>
      </c>
      <c r="AS204" s="115">
        <f t="shared" si="20"/>
        <v>0.37153125</v>
      </c>
      <c r="AT204" s="130" t="str">
        <f>IFERROR(AVERAGEIFS(
'20102013 Schist Efficacy'!$O:$O, 
'20102013 Schist Efficacy'!$C:$C,$A204, 
'20102013 Schist Efficacy'!$D:$D, "Praziquantel",
'20102013 Schist Efficacy'!$J:$J,"&lt;2014",
'20102013 Schist Efficacy'!$U:$U,""),
"")</f>
        <v/>
      </c>
      <c r="AU204" s="118">
        <f t="shared" si="21"/>
        <v>0.9475</v>
      </c>
      <c r="AV204" s="131" t="str">
        <f>IFERROR(AVERAGEIFS(
'20102013 STH Efficacy'!$AX:$AX, 
'20102013 STH Efficacy'!$AL:$AL, $A204, 
'20102013 STH Efficacy'!$AM:$AM, "Albendazole",
'20102013 STH Efficacy'!$AS:$AS,"&lt;2014",
'20102013 STH Efficacy'!$BP:$BP,""),
"")</f>
        <v/>
      </c>
      <c r="AW204" s="132">
        <f t="shared" si="22"/>
        <v>0.3571666667</v>
      </c>
      <c r="AX204" s="131" t="str">
        <f>IFERROR(AVERAGEIFS(
'20102013 STH Efficacy'!$AX:$AX, 
'20102013 STH Efficacy'!$AL:$AL, $A204, 
'20102013 STH Efficacy'!$AM:$AM, "Mebendazole",
'20102013 STH Efficacy'!$AS:$AS,"&lt;2014",
'20102013 STH Efficacy'!$BP:$BP,""),
"")</f>
        <v/>
      </c>
      <c r="AY204" s="132">
        <f t="shared" si="23"/>
        <v>0.4155</v>
      </c>
      <c r="AZ204" s="131" t="str">
        <f>IFERROR(AVERAGEIFS(
'20102013 STH Efficacy'!$AX:$AX, 
'20102013 STH Efficacy'!$AL:$AL, $A204, 
'20102013 STH Efficacy'!$AM:$AM, "Albendazole &amp; Ivermectin",
'20102013 STH Efficacy'!$AS:$AS,"&lt;2014",
'20102013 STH Efficacy'!$BP:$BP,""),
"")</f>
        <v/>
      </c>
      <c r="BA204" s="303">
        <f t="shared" si="24"/>
        <v>0.651</v>
      </c>
      <c r="BB204" s="134" t="str">
        <f>IFERROR(AVERAGEIFS(
'20102013 STH Efficacy'!$N:$N, 
'20102013 STH Efficacy'!$B:$B, $A204, 
'20102013 STH Efficacy'!$C:$C, "Albendazole",
'20102013 STH Efficacy'!$I:$I,"&lt;2014",
'20102013 STH Efficacy'!$AH:$AH,""),
"")</f>
        <v/>
      </c>
      <c r="BC204" s="135">
        <f t="shared" si="25"/>
        <v>0.5769166667</v>
      </c>
      <c r="BD204" s="134" t="str">
        <f>IFERROR(AVERAGEIFS(
'20102013 STH Efficacy'!$N:$N, 
'20102013 STH Efficacy'!$B:$B, $A204, 
'20102013 STH Efficacy'!$C:$C, "Mebendazole",
'20102013 STH Efficacy'!$I:$I,"&lt;2014",
'20102013 STH Efficacy'!$AH:$AH,""),
"")</f>
        <v/>
      </c>
      <c r="BE204" s="135">
        <f t="shared" si="26"/>
        <v>0.3145</v>
      </c>
      <c r="BF204" s="128" t="str">
        <f>IFERROR(AVERAGEIFS(
'20102013 STH Efficacy'!$CD:$CD, 
'20102013 STH Efficacy'!$BS:$BS, $A204, 
'20102013 STH Efficacy'!$BT:$BT, "Albendazole",
'20102013 STH Efficacy'!$BZ:$BZ,"&lt;2014",
'20102013 STH Efficacy'!$CU:$CU,""),
"")</f>
        <v/>
      </c>
      <c r="BG204" s="136">
        <f t="shared" si="27"/>
        <v>0.96925</v>
      </c>
      <c r="BH204" s="128" t="str">
        <f>IFERROR(AVERAGEIFS(
'20102013 STH Efficacy'!$CD:$CD, 
'20102013 STH Efficacy'!$BS:$BS, $A204, 
'20102013 STH Efficacy'!$BT:$BT, "Mebendazole",
'20102013 STH Efficacy'!$BZ:$BZ,"&lt;2014",
'20102013 STH Efficacy'!$CU:$CU,""),
"")</f>
        <v/>
      </c>
      <c r="BI204" s="136">
        <f t="shared" si="28"/>
        <v>0.9305</v>
      </c>
      <c r="BJ204" s="128" t="str">
        <f>IFERROR(AVERAGEIFS(
'20102013 STH Efficacy'!$CD:$CD, 
'20102013 STH Efficacy'!$BS:$BS, $A204, 
'20102013 STH Efficacy'!$BT:$BT, "Albendazole &amp; Ivermectin",
'20102013 STH Efficacy'!$BZ:$BZ,"&lt;2014",
'20102013 STH Efficacy'!$CU:$CU,""),
"")</f>
        <v/>
      </c>
      <c r="BK204" s="136">
        <f t="shared" si="29"/>
        <v>1</v>
      </c>
      <c r="BL204" s="300" t="str">
        <f>IFERROR(
  AVERAGEIFS(
    'NEW 20102013 Onchocerciasis Eff'!$AO:$AO,
    'NEW 20102013 Onchocerciasis Eff'!$C:$C,$A204,
    'NEW 20102013 Onchocerciasis Eff'!$D:$D,"Ivermectin",
    'NEW 20102013 Onchocerciasis Eff'!$AR:$AR,"&lt;2014",
    'NEW 20102013 Onchocerciasis Eff'!$BG:$BG,"")
,"")</f>
        <v/>
      </c>
      <c r="BM204" s="304">
        <f t="shared" si="30"/>
        <v>0.7808368939</v>
      </c>
      <c r="BN204" s="305">
        <v>1.0</v>
      </c>
      <c r="BO204" s="139">
        <v>0.0</v>
      </c>
      <c r="BP204" s="140">
        <v>0.0</v>
      </c>
      <c r="BQ204" s="141">
        <f t="shared" si="31"/>
        <v>0</v>
      </c>
      <c r="BR204" s="104" t="str">
        <f t="shared" si="32"/>
        <v>1000</v>
      </c>
      <c r="BS204" s="104" t="str">
        <f t="shared" si="33"/>
        <v>MDA1/2</v>
      </c>
      <c r="BT204" s="142" t="str">
        <f t="shared" si="34"/>
        <v>DEC+ALB</v>
      </c>
      <c r="BU204" s="104" t="str">
        <f t="shared" si="50"/>
        <v/>
      </c>
      <c r="BV204" s="104" t="str">
        <f t="shared" si="36"/>
        <v>lf only</v>
      </c>
      <c r="BW204" s="312">
        <f t="shared" si="37"/>
        <v>0</v>
      </c>
      <c r="BX204" s="150" t="str">
        <f t="shared" si="38"/>
        <v/>
      </c>
      <c r="BY204" s="151" t="str">
        <f t="shared" si="39"/>
        <v/>
      </c>
      <c r="BZ204" s="152" t="str">
        <f t="shared" si="40"/>
        <v/>
      </c>
      <c r="CA204" s="152" t="str">
        <f t="shared" si="41"/>
        <v/>
      </c>
      <c r="CB204" s="152" t="str">
        <f t="shared" si="42"/>
        <v/>
      </c>
      <c r="CC204" s="153" t="str">
        <f t="shared" si="43"/>
        <v/>
      </c>
      <c r="CD204" s="153" t="str">
        <f t="shared" si="44"/>
        <v/>
      </c>
      <c r="CE204" s="154" t="str">
        <f t="shared" si="45"/>
        <v/>
      </c>
      <c r="CF204" s="154" t="str">
        <f t="shared" si="46"/>
        <v/>
      </c>
      <c r="CG204" s="154" t="str">
        <f t="shared" si="47"/>
        <v/>
      </c>
      <c r="CH204" s="308" t="str">
        <f t="shared" si="48"/>
        <v/>
      </c>
      <c r="CI204" s="299"/>
    </row>
    <row r="205">
      <c r="A205" s="103" t="s">
        <v>294</v>
      </c>
      <c r="B205" s="104" t="s">
        <v>92</v>
      </c>
      <c r="C205" s="105">
        <v>3.7553726E7</v>
      </c>
      <c r="D205" s="293">
        <v>16061.96</v>
      </c>
      <c r="E205" s="294">
        <v>101112.4143</v>
      </c>
      <c r="F205" s="307">
        <v>27.01009797</v>
      </c>
      <c r="G205" s="307">
        <v>103.6159394</v>
      </c>
      <c r="H205" s="157">
        <v>130.6260374</v>
      </c>
      <c r="I205" s="110">
        <v>1812.72294</v>
      </c>
      <c r="J205" s="110">
        <v>4836.43833</v>
      </c>
      <c r="K205" s="110">
        <v>6649.161269</v>
      </c>
      <c r="L205" s="111">
        <v>10215.86732</v>
      </c>
      <c r="M205" s="112">
        <v>1631.02252</v>
      </c>
      <c r="N205" s="111">
        <v>11846.88984</v>
      </c>
      <c r="O205" s="298">
        <v>21450.46774</v>
      </c>
      <c r="P205" s="160">
        <v>1.487565E7</v>
      </c>
      <c r="Q205" s="160">
        <v>7532845.0</v>
      </c>
      <c r="R205" s="121">
        <f t="shared" si="11"/>
        <v>0.50638762</v>
      </c>
      <c r="S205" s="116">
        <f t="shared" si="12"/>
        <v>0.50638762</v>
      </c>
      <c r="T205" s="130"/>
      <c r="U205" s="118">
        <f t="shared" si="13"/>
        <v>0.252</v>
      </c>
      <c r="V205" s="148"/>
      <c r="W205" s="120">
        <f t="shared" si="14"/>
        <v>0.8114541667</v>
      </c>
      <c r="X205" s="119">
        <v>0.2473</v>
      </c>
      <c r="Y205" s="120">
        <f t="shared" si="15"/>
        <v>0.2473</v>
      </c>
      <c r="Z205" s="310">
        <v>4313818.0</v>
      </c>
      <c r="AA205" s="310">
        <v>2504625.0</v>
      </c>
      <c r="AB205" s="300">
        <f t="shared" si="16"/>
        <v>0.5806051623</v>
      </c>
      <c r="AC205" s="301">
        <f t="shared" si="17"/>
        <v>0.5806051623</v>
      </c>
      <c r="AD205" s="122">
        <v>0.0081</v>
      </c>
      <c r="AE205" s="123">
        <v>0.3</v>
      </c>
      <c r="AF205" s="123">
        <v>0.1689</v>
      </c>
      <c r="AG205" s="124">
        <v>0.0221</v>
      </c>
      <c r="AH205" s="124">
        <v>0.034843051</v>
      </c>
      <c r="AI205" s="125">
        <v>0.0707</v>
      </c>
      <c r="AJ205" s="125">
        <v>0.112101463</v>
      </c>
      <c r="AK205" s="127">
        <v>0.0199</v>
      </c>
      <c r="AL205" s="127">
        <v>0.0306</v>
      </c>
      <c r="AM205" s="302">
        <v>0.0075</v>
      </c>
      <c r="AN205" s="149" t="str">
        <f>IFERROR(
  AVERAGEIFS(
    'New 20102013 LF Efficacy'!$J:$J,
    'New 20102013 LF Efficacy'!$D:$D, $A205,
    'New 20102013 LF Efficacy'!$F:$F,"DEC", 
    'New 20102013 LF Efficacy'!$W:$W,"&lt;2014",
    'New 20102013 LF Efficacy'!$AA:$AA,""),
  ""
)</f>
        <v/>
      </c>
      <c r="AO205" s="115">
        <f t="shared" si="18"/>
        <v>0.31225</v>
      </c>
      <c r="AP205" s="121" t="str">
        <f>IFERROR(
AVERAGEIFS(
'New 20102013 LF Efficacy'!$J:$J,
'New 20102013 LF Efficacy'!$D:$D,$A205,
'New 20102013 LF Efficacy'!$F:$F,"Albendazole &amp; DEC",
'New 20102013 LF Efficacy'!$W:$W,"&lt;2014",
'New 20102013 LF Efficacy'!$AA:$AA,""),
"")
</f>
        <v/>
      </c>
      <c r="AQ205" s="115">
        <f t="shared" si="19"/>
        <v>0.4</v>
      </c>
      <c r="AR205" s="121" t="str">
        <f>IFERROR(
AVERAGEIFS(
'New 20102013 LF Efficacy'!$J:$J,
'New 20102013 LF Efficacy'!$D:$D,$A205,
'New 20102013 LF Efficacy'!$F:$F,"Albendazole &amp; Ivermectin", 
'New 20102013 LF Efficacy'!$W:$W,"&lt;2014",
'New 20102013 LF Efficacy'!$AA:$AA,""),"")</f>
        <v/>
      </c>
      <c r="AS205" s="115">
        <f t="shared" si="20"/>
        <v>0.2943125</v>
      </c>
      <c r="AT205" s="130">
        <f>IFERROR(AVERAGEIFS(
'20102013 Schist Efficacy'!$O:$O, 
'20102013 Schist Efficacy'!$C:$C,$A205, 
'20102013 Schist Efficacy'!$D:$D, "Praziquantel",
'20102013 Schist Efficacy'!$J:$J,"&lt;2014",
'20102013 Schist Efficacy'!$U:$U,""),
"")</f>
        <v>0.671</v>
      </c>
      <c r="AU205" s="118">
        <f t="shared" si="21"/>
        <v>0.671</v>
      </c>
      <c r="AV205" s="131">
        <f>IFERROR(AVERAGEIFS(
'20102013 STH Efficacy'!$AX:$AX, 
'20102013 STH Efficacy'!$AL:$AL, $A205, 
'20102013 STH Efficacy'!$AM:$AM, "Albendazole",
'20102013 STH Efficacy'!$AS:$AS,"&lt;2014",
'20102013 STH Efficacy'!$BP:$BP,""),
"")</f>
        <v>0.333</v>
      </c>
      <c r="AW205" s="132">
        <f t="shared" si="22"/>
        <v>0.333</v>
      </c>
      <c r="AX205" s="131" t="str">
        <f>IFERROR(AVERAGEIFS(
'20102013 STH Efficacy'!$AX:$AX, 
'20102013 STH Efficacy'!$AL:$AL, $A205, 
'20102013 STH Efficacy'!$AM:$AM, "Mebendazole",
'20102013 STH Efficacy'!$AS:$AS,"&lt;2014",
'20102013 STH Efficacy'!$BP:$BP,""),
"")</f>
        <v/>
      </c>
      <c r="AY205" s="132">
        <f t="shared" si="23"/>
        <v>0.5675833333</v>
      </c>
      <c r="AZ205" s="131">
        <f>IFERROR(AVERAGEIFS(
'20102013 STH Efficacy'!$AX:$AX, 
'20102013 STH Efficacy'!$AL:$AL, $A205, 
'20102013 STH Efficacy'!$AM:$AM, "Albendazole &amp; Ivermectin",
'20102013 STH Efficacy'!$AS:$AS,"&lt;2014",
'20102013 STH Efficacy'!$BP:$BP,""),
"")</f>
        <v>0.706</v>
      </c>
      <c r="BA205" s="303">
        <f t="shared" si="24"/>
        <v>0.706</v>
      </c>
      <c r="BB205" s="134" t="str">
        <f>IFERROR(AVERAGEIFS(
'20102013 STH Efficacy'!$N:$N, 
'20102013 STH Efficacy'!$B:$B, $A205, 
'20102013 STH Efficacy'!$C:$C, "Albendazole",
'20102013 STH Efficacy'!$I:$I,"&lt;2014",
'20102013 STH Efficacy'!$AH:$AH,""),
"")</f>
        <v/>
      </c>
      <c r="BC205" s="135">
        <f t="shared" si="25"/>
        <v>0.8699166667</v>
      </c>
      <c r="BD205" s="134" t="str">
        <f>IFERROR(AVERAGEIFS(
'20102013 STH Efficacy'!$N:$N, 
'20102013 STH Efficacy'!$B:$B, $A205, 
'20102013 STH Efficacy'!$C:$C, "Mebendazole",
'20102013 STH Efficacy'!$I:$I,"&lt;2014",
'20102013 STH Efficacy'!$AH:$AH,""),
"")</f>
        <v/>
      </c>
      <c r="BE205" s="135">
        <f t="shared" si="26"/>
        <v>0.7092416667</v>
      </c>
      <c r="BF205" s="128" t="str">
        <f>IFERROR(AVERAGEIFS(
'20102013 STH Efficacy'!$CD:$CD, 
'20102013 STH Efficacy'!$BS:$BS, $A205, 
'20102013 STH Efficacy'!$BT:$BT, "Albendazole",
'20102013 STH Efficacy'!$BZ:$BZ,"&lt;2014",
'20102013 STH Efficacy'!$CU:$CU,""),
"")</f>
        <v/>
      </c>
      <c r="BG205" s="136">
        <f t="shared" si="27"/>
        <v>0.9066666667</v>
      </c>
      <c r="BH205" s="128" t="str">
        <f>IFERROR(AVERAGEIFS(
'20102013 STH Efficacy'!$CD:$CD, 
'20102013 STH Efficacy'!$BS:$BS, $A205, 
'20102013 STH Efficacy'!$BT:$BT, "Mebendazole",
'20102013 STH Efficacy'!$BZ:$BZ,"&lt;2014",
'20102013 STH Efficacy'!$CU:$CU,""),
"")</f>
        <v/>
      </c>
      <c r="BI205" s="136">
        <f t="shared" si="28"/>
        <v>0.9358666667</v>
      </c>
      <c r="BJ205" s="128" t="str">
        <f>IFERROR(AVERAGEIFS(
'20102013 STH Efficacy'!$CD:$CD, 
'20102013 STH Efficacy'!$BS:$BS, $A205, 
'20102013 STH Efficacy'!$BT:$BT, "Albendazole &amp; Ivermectin",
'20102013 STH Efficacy'!$BZ:$BZ,"&lt;2014",
'20102013 STH Efficacy'!$CU:$CU,""),
"")</f>
        <v/>
      </c>
      <c r="BK205" s="136">
        <f t="shared" si="29"/>
        <v>1</v>
      </c>
      <c r="BL205" s="300" t="str">
        <f>IFERROR(
  AVERAGEIFS(
    'NEW 20102013 Onchocerciasis Eff'!$AO:$AO,
    'NEW 20102013 Onchocerciasis Eff'!$C:$C,$A205,
    'NEW 20102013 Onchocerciasis Eff'!$D:$D,"Ivermectin",
    'NEW 20102013 Onchocerciasis Eff'!$AR:$AR,"&lt;2014",
    'NEW 20102013 Onchocerciasis Eff'!$BG:$BG,"")
,"")</f>
        <v/>
      </c>
      <c r="BM205" s="304">
        <f t="shared" si="30"/>
        <v>0.8390421645</v>
      </c>
      <c r="BN205" s="305">
        <v>1.0</v>
      </c>
      <c r="BO205" s="139">
        <v>0.0</v>
      </c>
      <c r="BP205" s="140">
        <v>1.0</v>
      </c>
      <c r="BQ205" s="141">
        <f t="shared" si="31"/>
        <v>0</v>
      </c>
      <c r="BR205" s="104" t="str">
        <f t="shared" si="32"/>
        <v>1010</v>
      </c>
      <c r="BS205" s="104" t="str">
        <f t="shared" si="33"/>
        <v>MDA1/2+T2</v>
      </c>
      <c r="BT205" s="142" t="str">
        <f t="shared" si="34"/>
        <v>DEC +ALB</v>
      </c>
      <c r="BU205" s="104" t="str">
        <f t="shared" si="50"/>
        <v>PZQ</v>
      </c>
      <c r="BV205" s="104" t="str">
        <f t="shared" si="36"/>
        <v>lf+schist </v>
      </c>
      <c r="BW205" s="150" t="str">
        <f t="shared" si="37"/>
        <v/>
      </c>
      <c r="BX205" s="150" t="str">
        <f t="shared" si="38"/>
        <v/>
      </c>
      <c r="BY205" s="162">
        <f t="shared" si="39"/>
        <v>20576.6467</v>
      </c>
      <c r="BZ205" s="152" t="str">
        <f t="shared" si="40"/>
        <v/>
      </c>
      <c r="CA205" s="152" t="str">
        <f t="shared" si="41"/>
        <v/>
      </c>
      <c r="CB205" s="152" t="str">
        <f t="shared" si="42"/>
        <v/>
      </c>
      <c r="CC205" s="153" t="str">
        <f t="shared" si="43"/>
        <v/>
      </c>
      <c r="CD205" s="153" t="str">
        <f t="shared" si="44"/>
        <v/>
      </c>
      <c r="CE205" s="154" t="str">
        <f t="shared" si="45"/>
        <v/>
      </c>
      <c r="CF205" s="154" t="str">
        <f t="shared" si="46"/>
        <v/>
      </c>
      <c r="CG205" s="154" t="str">
        <f t="shared" si="47"/>
        <v/>
      </c>
      <c r="CH205" s="308" t="str">
        <f t="shared" si="48"/>
        <v/>
      </c>
      <c r="CI205" s="299"/>
    </row>
    <row r="206">
      <c r="A206" s="155" t="s">
        <v>295</v>
      </c>
      <c r="B206" s="104" t="s">
        <v>90</v>
      </c>
      <c r="C206" s="105">
        <v>4.54896E7</v>
      </c>
      <c r="D206" s="293">
        <v>0.0</v>
      </c>
      <c r="E206" s="294">
        <v>0.0</v>
      </c>
      <c r="F206" s="307">
        <v>0.0</v>
      </c>
      <c r="G206" s="307">
        <v>0.0</v>
      </c>
      <c r="H206" s="108">
        <v>0.0</v>
      </c>
      <c r="I206" s="109">
        <v>0.0</v>
      </c>
      <c r="J206" s="109">
        <v>0.0</v>
      </c>
      <c r="K206" s="109">
        <v>0.0</v>
      </c>
      <c r="L206" s="112">
        <v>0.0</v>
      </c>
      <c r="M206" s="112">
        <v>0.0</v>
      </c>
      <c r="N206" s="111">
        <v>0.0</v>
      </c>
      <c r="O206" s="298">
        <v>0.0</v>
      </c>
      <c r="P206" s="114"/>
      <c r="Q206" s="114"/>
      <c r="R206" s="121" t="str">
        <f t="shared" si="11"/>
        <v/>
      </c>
      <c r="S206" s="116">
        <f t="shared" si="12"/>
        <v>0.526225767</v>
      </c>
      <c r="T206" s="118">
        <v>0.2759</v>
      </c>
      <c r="U206" s="118">
        <f t="shared" si="13"/>
        <v>0.2759</v>
      </c>
      <c r="V206" s="148"/>
      <c r="W206" s="120">
        <f t="shared" si="14"/>
        <v>1</v>
      </c>
      <c r="X206" s="148"/>
      <c r="Y206" s="120">
        <f t="shared" si="15"/>
        <v>1</v>
      </c>
      <c r="Z206" s="299"/>
      <c r="AA206" s="299"/>
      <c r="AB206" s="300" t="str">
        <f t="shared" si="16"/>
        <v/>
      </c>
      <c r="AC206" s="301">
        <f t="shared" si="17"/>
        <v>0.6295826791</v>
      </c>
      <c r="AD206" s="122">
        <v>0.0</v>
      </c>
      <c r="AE206" s="123">
        <v>0.0</v>
      </c>
      <c r="AF206" s="123">
        <v>0.0</v>
      </c>
      <c r="AG206" s="316">
        <v>0.0</v>
      </c>
      <c r="AH206" s="124">
        <v>0.0</v>
      </c>
      <c r="AI206" s="317">
        <v>0.0</v>
      </c>
      <c r="AJ206" s="125">
        <v>0.0</v>
      </c>
      <c r="AK206" s="319">
        <v>0.0</v>
      </c>
      <c r="AL206" s="319">
        <v>0.0</v>
      </c>
      <c r="AM206" s="302">
        <v>0.0</v>
      </c>
      <c r="AN206" s="149" t="str">
        <f>IFERROR(
  AVERAGEIFS(
    'New 20102013 LF Efficacy'!$J:$J,
    'New 20102013 LF Efficacy'!$D:$D, $A206,
    'New 20102013 LF Efficacy'!$F:$F,"DEC", 
    'New 20102013 LF Efficacy'!$W:$W,"&lt;2014",
    'New 20102013 LF Efficacy'!$AA:$AA,""),
  ""
)</f>
        <v/>
      </c>
      <c r="AO206" s="115">
        <f t="shared" si="18"/>
        <v>0.3573520833</v>
      </c>
      <c r="AP206" s="121" t="str">
        <f>IFERROR(
AVERAGEIFS(
'New 20102013 LF Efficacy'!$J:$J,
'New 20102013 LF Efficacy'!$D:$D,$A206,
'New 20102013 LF Efficacy'!$F:$F,"Albendazole &amp; DEC",
'New 20102013 LF Efficacy'!$W:$W,"&lt;2014",
'New 20102013 LF Efficacy'!$AA:$AA,""),
"")
</f>
        <v/>
      </c>
      <c r="AQ206" s="115">
        <f t="shared" si="19"/>
        <v>0.5137291667</v>
      </c>
      <c r="AR206" s="121" t="str">
        <f>IFERROR(
AVERAGEIFS(
'New 20102013 LF Efficacy'!$J:$J,
'New 20102013 LF Efficacy'!$D:$D,$A206,
'New 20102013 LF Efficacy'!$F:$F,"Albendazole &amp; Ivermectin", 
'New 20102013 LF Efficacy'!$W:$W,"&lt;2014",
'New 20102013 LF Efficacy'!$AA:$AA,""),"")</f>
        <v/>
      </c>
      <c r="AS206" s="115">
        <f t="shared" si="20"/>
        <v>0.37153125</v>
      </c>
      <c r="AT206" s="130" t="str">
        <f>IFERROR(AVERAGEIFS(
'20102013 Schist Efficacy'!$O:$O, 
'20102013 Schist Efficacy'!$C:$C,$A206, 
'20102013 Schist Efficacy'!$D:$D, "Praziquantel",
'20102013 Schist Efficacy'!$J:$J,"&lt;2014",
'20102013 Schist Efficacy'!$U:$U,""),
"")</f>
        <v/>
      </c>
      <c r="AU206" s="118">
        <f t="shared" si="21"/>
        <v>0.655</v>
      </c>
      <c r="AV206" s="131" t="str">
        <f>IFERROR(AVERAGEIFS(
'20102013 STH Efficacy'!$AX:$AX, 
'20102013 STH Efficacy'!$AL:$AL, $A206, 
'20102013 STH Efficacy'!$AM:$AM, "Albendazole",
'20102013 STH Efficacy'!$AS:$AS,"&lt;2014",
'20102013 STH Efficacy'!$BP:$BP,""),
"")</f>
        <v/>
      </c>
      <c r="AW206" s="132">
        <f t="shared" si="22"/>
        <v>0.3933333333</v>
      </c>
      <c r="AX206" s="131" t="str">
        <f>IFERROR(AVERAGEIFS(
'20102013 STH Efficacy'!$AX:$AX, 
'20102013 STH Efficacy'!$AL:$AL, $A206, 
'20102013 STH Efficacy'!$AM:$AM, "Mebendazole",
'20102013 STH Efficacy'!$AS:$AS,"&lt;2014",
'20102013 STH Efficacy'!$BP:$BP,""),
"")</f>
        <v/>
      </c>
      <c r="AY206" s="132">
        <f t="shared" si="23"/>
        <v>0.5017738095</v>
      </c>
      <c r="AZ206" s="131" t="str">
        <f>IFERROR(AVERAGEIFS(
'20102013 STH Efficacy'!$AX:$AX, 
'20102013 STH Efficacy'!$AL:$AL, $A206, 
'20102013 STH Efficacy'!$AM:$AM, "Albendazole &amp; Ivermectin",
'20102013 STH Efficacy'!$AS:$AS,"&lt;2014",
'20102013 STH Efficacy'!$BP:$BP,""),
"")</f>
        <v/>
      </c>
      <c r="BA206" s="303">
        <f t="shared" si="24"/>
        <v>0.597625</v>
      </c>
      <c r="BB206" s="134" t="str">
        <f>IFERROR(AVERAGEIFS(
'20102013 STH Efficacy'!$N:$N, 
'20102013 STH Efficacy'!$B:$B, $A206, 
'20102013 STH Efficacy'!$C:$C, "Albendazole",
'20102013 STH Efficacy'!$I:$I,"&lt;2014",
'20102013 STH Efficacy'!$AH:$AH,""),
"")</f>
        <v/>
      </c>
      <c r="BC206" s="135">
        <f t="shared" si="25"/>
        <v>0.7613712121</v>
      </c>
      <c r="BD206" s="134" t="str">
        <f>IFERROR(AVERAGEIFS(
'20102013 STH Efficacy'!$N:$N, 
'20102013 STH Efficacy'!$B:$B, $A206, 
'20102013 STH Efficacy'!$C:$C, "Mebendazole",
'20102013 STH Efficacy'!$I:$I,"&lt;2014",
'20102013 STH Efficacy'!$AH:$AH,""),
"")</f>
        <v/>
      </c>
      <c r="BE206" s="135">
        <f t="shared" si="26"/>
        <v>0.4362466667</v>
      </c>
      <c r="BF206" s="128" t="str">
        <f>IFERROR(AVERAGEIFS(
'20102013 STH Efficacy'!$CD:$CD, 
'20102013 STH Efficacy'!$BS:$BS, $A206, 
'20102013 STH Efficacy'!$BT:$BT, "Albendazole",
'20102013 STH Efficacy'!$BZ:$BZ,"&lt;2014",
'20102013 STH Efficacy'!$CU:$CU,""),
"")</f>
        <v/>
      </c>
      <c r="BG206" s="136">
        <f t="shared" si="27"/>
        <v>0.9216027778</v>
      </c>
      <c r="BH206" s="128" t="str">
        <f>IFERROR(AVERAGEIFS(
'20102013 STH Efficacy'!$CD:$CD, 
'20102013 STH Efficacy'!$BS:$BS, $A206, 
'20102013 STH Efficacy'!$BT:$BT, "Mebendazole",
'20102013 STH Efficacy'!$BZ:$BZ,"&lt;2014",
'20102013 STH Efficacy'!$CU:$CU,""),
"")</f>
        <v/>
      </c>
      <c r="BI206" s="136">
        <f t="shared" si="28"/>
        <v>0.9295857143</v>
      </c>
      <c r="BJ206" s="128" t="str">
        <f>IFERROR(AVERAGEIFS(
'20102013 STH Efficacy'!$CD:$CD, 
'20102013 STH Efficacy'!$BS:$BS, $A206, 
'20102013 STH Efficacy'!$BT:$BT, "Albendazole &amp; Ivermectin",
'20102013 STH Efficacy'!$BZ:$BZ,"&lt;2014",
'20102013 STH Efficacy'!$CU:$CU,""),
"")</f>
        <v/>
      </c>
      <c r="BK206" s="136">
        <f t="shared" si="29"/>
        <v>1</v>
      </c>
      <c r="BL206" s="300" t="str">
        <f>IFERROR(
  AVERAGEIFS(
    'NEW 20102013 Onchocerciasis Eff'!$AO:$AO,
    'NEW 20102013 Onchocerciasis Eff'!$C:$C,$A206,
    'NEW 20102013 Onchocerciasis Eff'!$D:$D,"Ivermectin",
    'NEW 20102013 Onchocerciasis Eff'!$AR:$AR,"&lt;2014",
    'NEW 20102013 Onchocerciasis Eff'!$BG:$BG,"")
,"")</f>
        <v/>
      </c>
      <c r="BM206" s="304">
        <f t="shared" si="30"/>
        <v>0.7808368939</v>
      </c>
      <c r="BN206" s="305">
        <v>0.0</v>
      </c>
      <c r="BO206" s="139">
        <v>1.0</v>
      </c>
      <c r="BP206" s="140">
        <v>0.0</v>
      </c>
      <c r="BQ206" s="141">
        <f t="shared" si="31"/>
        <v>0</v>
      </c>
      <c r="BR206" s="104" t="str">
        <f t="shared" si="32"/>
        <v>0100</v>
      </c>
      <c r="BS206" s="104" t="str">
        <f t="shared" si="33"/>
        <v>MDA3</v>
      </c>
      <c r="BT206" s="142" t="str">
        <f t="shared" si="34"/>
        <v>IVM</v>
      </c>
      <c r="BU206" s="104" t="str">
        <f t="shared" si="50"/>
        <v/>
      </c>
      <c r="BV206" s="104" t="str">
        <f t="shared" si="36"/>
        <v>onch only</v>
      </c>
      <c r="BW206" s="150" t="str">
        <f t="shared" si="37"/>
        <v/>
      </c>
      <c r="BX206" s="150" t="str">
        <f t="shared" si="38"/>
        <v/>
      </c>
      <c r="BY206" s="151" t="str">
        <f t="shared" si="39"/>
        <v/>
      </c>
      <c r="BZ206" s="152" t="str">
        <f t="shared" si="40"/>
        <v/>
      </c>
      <c r="CA206" s="152" t="str">
        <f t="shared" si="41"/>
        <v/>
      </c>
      <c r="CB206" s="152" t="str">
        <f t="shared" si="42"/>
        <v/>
      </c>
      <c r="CC206" s="153" t="str">
        <f t="shared" si="43"/>
        <v/>
      </c>
      <c r="CD206" s="153" t="str">
        <f t="shared" si="44"/>
        <v/>
      </c>
      <c r="CE206" s="154" t="str">
        <f t="shared" si="45"/>
        <v/>
      </c>
      <c r="CF206" s="154" t="str">
        <f t="shared" si="46"/>
        <v/>
      </c>
      <c r="CG206" s="154" t="str">
        <f t="shared" si="47"/>
        <v/>
      </c>
      <c r="CH206" s="313">
        <f t="shared" si="48"/>
        <v>0</v>
      </c>
      <c r="CI206" s="299"/>
    </row>
    <row r="207">
      <c r="A207" s="155" t="s">
        <v>296</v>
      </c>
      <c r="B207" s="104" t="s">
        <v>88</v>
      </c>
      <c r="C207" s="105">
        <v>9006263.0</v>
      </c>
      <c r="D207" s="293">
        <v>0.0</v>
      </c>
      <c r="E207" s="294">
        <v>0.0</v>
      </c>
      <c r="F207" s="307">
        <v>0.0</v>
      </c>
      <c r="G207" s="307">
        <v>0.0</v>
      </c>
      <c r="H207" s="108">
        <v>0.0</v>
      </c>
      <c r="I207" s="109">
        <v>0.0452682</v>
      </c>
      <c r="J207" s="109">
        <v>0.04940111</v>
      </c>
      <c r="K207" s="109">
        <v>0.094669309</v>
      </c>
      <c r="L207" s="112">
        <v>0.579390184</v>
      </c>
      <c r="M207" s="112">
        <v>0.11066516</v>
      </c>
      <c r="N207" s="111">
        <v>0.690055344</v>
      </c>
      <c r="O207" s="298">
        <v>0.0</v>
      </c>
      <c r="P207" s="114"/>
      <c r="Q207" s="114"/>
      <c r="R207" s="121" t="str">
        <f t="shared" si="11"/>
        <v/>
      </c>
      <c r="S207" s="116">
        <f t="shared" si="12"/>
        <v>0.4713987966</v>
      </c>
      <c r="T207" s="130"/>
      <c r="U207" s="118">
        <f t="shared" si="13"/>
        <v>0.5949</v>
      </c>
      <c r="V207" s="148"/>
      <c r="W207" s="120">
        <f t="shared" si="14"/>
        <v>0.9216</v>
      </c>
      <c r="X207" s="148"/>
      <c r="Y207" s="120">
        <f t="shared" si="15"/>
        <v>0.521</v>
      </c>
      <c r="Z207" s="299"/>
      <c r="AA207" s="299"/>
      <c r="AB207" s="300" t="str">
        <f t="shared" si="16"/>
        <v/>
      </c>
      <c r="AC207" s="301">
        <f t="shared" si="17"/>
        <v>0.3122297241</v>
      </c>
      <c r="AD207" s="122">
        <v>0.0</v>
      </c>
      <c r="AE207" s="123">
        <v>0.0</v>
      </c>
      <c r="AF207" s="123">
        <v>0.0</v>
      </c>
      <c r="AG207" s="316">
        <v>0.0</v>
      </c>
      <c r="AH207" s="124">
        <v>1.1453E-5</v>
      </c>
      <c r="AI207" s="317">
        <v>0.0</v>
      </c>
      <c r="AJ207" s="125">
        <v>1.13046E-5</v>
      </c>
      <c r="AK207" s="319">
        <v>0.0</v>
      </c>
      <c r="AL207" s="319">
        <v>0.0</v>
      </c>
      <c r="AM207" s="302">
        <v>0.0</v>
      </c>
      <c r="AN207" s="149" t="str">
        <f>IFERROR(
  AVERAGEIFS(
    'New 20102013 LF Efficacy'!$J:$J,
    'New 20102013 LF Efficacy'!$D:$D, $A207,
    'New 20102013 LF Efficacy'!$F:$F,"DEC", 
    'New 20102013 LF Efficacy'!$W:$W,"&lt;2014",
    'New 20102013 LF Efficacy'!$AA:$AA,""),
  ""
)</f>
        <v/>
      </c>
      <c r="AO207" s="115">
        <f t="shared" si="18"/>
        <v>0.3573520833</v>
      </c>
      <c r="AP207" s="121" t="str">
        <f>IFERROR(
AVERAGEIFS(
'New 20102013 LF Efficacy'!$J:$J,
'New 20102013 LF Efficacy'!$D:$D,$A207,
'New 20102013 LF Efficacy'!$F:$F,"Albendazole &amp; DEC",
'New 20102013 LF Efficacy'!$W:$W,"&lt;2014",
'New 20102013 LF Efficacy'!$AA:$AA,""),
"")
</f>
        <v/>
      </c>
      <c r="AQ207" s="115">
        <f t="shared" si="19"/>
        <v>0.7935</v>
      </c>
      <c r="AR207" s="121" t="str">
        <f>IFERROR(
AVERAGEIFS(
'New 20102013 LF Efficacy'!$J:$J,
'New 20102013 LF Efficacy'!$D:$D,$A207,
'New 20102013 LF Efficacy'!$F:$F,"Albendazole &amp; Ivermectin", 
'New 20102013 LF Efficacy'!$W:$W,"&lt;2014",
'New 20102013 LF Efficacy'!$AA:$AA,""),"")</f>
        <v/>
      </c>
      <c r="AS207" s="115">
        <f t="shared" si="20"/>
        <v>0.37153125</v>
      </c>
      <c r="AT207" s="130" t="str">
        <f>IFERROR(AVERAGEIFS(
'20102013 Schist Efficacy'!$O:$O, 
'20102013 Schist Efficacy'!$C:$C,$A207, 
'20102013 Schist Efficacy'!$D:$D, "Praziquantel",
'20102013 Schist Efficacy'!$J:$J,"&lt;2014",
'20102013 Schist Efficacy'!$U:$U,""),
"")</f>
        <v/>
      </c>
      <c r="AU207" s="118">
        <f t="shared" si="21"/>
        <v>0.7763141026</v>
      </c>
      <c r="AV207" s="131" t="str">
        <f>IFERROR(AVERAGEIFS(
'20102013 STH Efficacy'!$AX:$AX, 
'20102013 STH Efficacy'!$AL:$AL, $A207, 
'20102013 STH Efficacy'!$AM:$AM, "Albendazole",
'20102013 STH Efficacy'!$AS:$AS,"&lt;2014",
'20102013 STH Efficacy'!$BP:$BP,""),
"")</f>
        <v/>
      </c>
      <c r="AW207" s="132">
        <f t="shared" si="22"/>
        <v>0.3933333333</v>
      </c>
      <c r="AX207" s="131" t="str">
        <f>IFERROR(AVERAGEIFS(
'20102013 STH Efficacy'!$AX:$AX, 
'20102013 STH Efficacy'!$AL:$AL, $A207, 
'20102013 STH Efficacy'!$AM:$AM, "Mebendazole",
'20102013 STH Efficacy'!$AS:$AS,"&lt;2014",
'20102013 STH Efficacy'!$BP:$BP,""),
"")</f>
        <v/>
      </c>
      <c r="AY207" s="132">
        <f t="shared" si="23"/>
        <v>0.5017738095</v>
      </c>
      <c r="AZ207" s="131" t="str">
        <f>IFERROR(AVERAGEIFS(
'20102013 STH Efficacy'!$AX:$AX, 
'20102013 STH Efficacy'!$AL:$AL, $A207, 
'20102013 STH Efficacy'!$AM:$AM, "Albendazole &amp; Ivermectin",
'20102013 STH Efficacy'!$AS:$AS,"&lt;2014",
'20102013 STH Efficacy'!$BP:$BP,""),
"")</f>
        <v/>
      </c>
      <c r="BA207" s="303">
        <f t="shared" si="24"/>
        <v>0.597625</v>
      </c>
      <c r="BB207" s="134" t="str">
        <f>IFERROR(AVERAGEIFS(
'20102013 STH Efficacy'!$N:$N, 
'20102013 STH Efficacy'!$B:$B, $A207, 
'20102013 STH Efficacy'!$C:$C, "Albendazole",
'20102013 STH Efficacy'!$I:$I,"&lt;2014",
'20102013 STH Efficacy'!$AH:$AH,""),
"")</f>
        <v/>
      </c>
      <c r="BC207" s="135">
        <f t="shared" si="25"/>
        <v>0.7613712121</v>
      </c>
      <c r="BD207" s="134" t="str">
        <f>IFERROR(AVERAGEIFS(
'20102013 STH Efficacy'!$N:$N, 
'20102013 STH Efficacy'!$B:$B, $A207, 
'20102013 STH Efficacy'!$C:$C, "Mebendazole",
'20102013 STH Efficacy'!$I:$I,"&lt;2014",
'20102013 STH Efficacy'!$AH:$AH,""),
"")</f>
        <v/>
      </c>
      <c r="BE207" s="135">
        <f t="shared" si="26"/>
        <v>0.4362466667</v>
      </c>
      <c r="BF207" s="128" t="str">
        <f>IFERROR(AVERAGEIFS(
'20102013 STH Efficacy'!$CD:$CD, 
'20102013 STH Efficacy'!$BS:$BS, $A207, 
'20102013 STH Efficacy'!$BT:$BT, "Albendazole",
'20102013 STH Efficacy'!$BZ:$BZ,"&lt;2014",
'20102013 STH Efficacy'!$CU:$CU,""),
"")</f>
        <v/>
      </c>
      <c r="BG207" s="136">
        <f t="shared" si="27"/>
        <v>0.955</v>
      </c>
      <c r="BH207" s="128" t="str">
        <f>IFERROR(AVERAGEIFS(
'20102013 STH Efficacy'!$CD:$CD, 
'20102013 STH Efficacy'!$BS:$BS, $A207, 
'20102013 STH Efficacy'!$BT:$BT, "Mebendazole",
'20102013 STH Efficacy'!$BZ:$BZ,"&lt;2014",
'20102013 STH Efficacy'!$CU:$CU,""),
"")</f>
        <v/>
      </c>
      <c r="BI207" s="136">
        <f t="shared" si="28"/>
        <v>1</v>
      </c>
      <c r="BJ207" s="128" t="str">
        <f>IFERROR(AVERAGEIFS(
'20102013 STH Efficacy'!$CD:$CD, 
'20102013 STH Efficacy'!$BS:$BS, $A207, 
'20102013 STH Efficacy'!$BT:$BT, "Albendazole &amp; Ivermectin",
'20102013 STH Efficacy'!$BZ:$BZ,"&lt;2014",
'20102013 STH Efficacy'!$CU:$CU,""),
"")</f>
        <v/>
      </c>
      <c r="BK207" s="136">
        <f t="shared" si="29"/>
        <v>1</v>
      </c>
      <c r="BL207" s="300" t="str">
        <f>IFERROR(
  AVERAGEIFS(
    'NEW 20102013 Onchocerciasis Eff'!$AO:$AO,
    'NEW 20102013 Onchocerciasis Eff'!$C:$C,$A207,
    'NEW 20102013 Onchocerciasis Eff'!$D:$D,"Ivermectin",
    'NEW 20102013 Onchocerciasis Eff'!$AR:$AR,"&lt;2014",
    'NEW 20102013 Onchocerciasis Eff'!$BG:$BG,"")
,"")</f>
        <v/>
      </c>
      <c r="BM207" s="304">
        <f t="shared" si="30"/>
        <v>0.7808368939</v>
      </c>
      <c r="BN207" s="305">
        <v>0.0</v>
      </c>
      <c r="BO207" s="139">
        <v>0.0</v>
      </c>
      <c r="BP207" s="140">
        <v>0.0</v>
      </c>
      <c r="BQ207" s="141">
        <f t="shared" si="31"/>
        <v>0</v>
      </c>
      <c r="BR207" s="104" t="str">
        <f t="shared" si="32"/>
        <v>0000</v>
      </c>
      <c r="BS207" s="104" t="str">
        <f t="shared" si="33"/>
        <v>no action required</v>
      </c>
      <c r="BT207" s="142" t="str">
        <f t="shared" si="34"/>
        <v/>
      </c>
      <c r="BU207" s="104" t="str">
        <f t="shared" si="50"/>
        <v/>
      </c>
      <c r="BV207" s="104" t="str">
        <f t="shared" si="36"/>
        <v>none</v>
      </c>
      <c r="BW207" s="150" t="str">
        <f t="shared" si="37"/>
        <v/>
      </c>
      <c r="BX207" s="150" t="str">
        <f t="shared" si="38"/>
        <v/>
      </c>
      <c r="BY207" s="151" t="str">
        <f t="shared" si="39"/>
        <v/>
      </c>
      <c r="BZ207" s="152" t="str">
        <f t="shared" si="40"/>
        <v/>
      </c>
      <c r="CA207" s="152" t="str">
        <f t="shared" si="41"/>
        <v/>
      </c>
      <c r="CB207" s="152" t="str">
        <f t="shared" si="42"/>
        <v/>
      </c>
      <c r="CC207" s="153" t="str">
        <f t="shared" si="43"/>
        <v/>
      </c>
      <c r="CD207" s="153" t="str">
        <f t="shared" si="44"/>
        <v/>
      </c>
      <c r="CE207" s="154" t="str">
        <f t="shared" si="45"/>
        <v/>
      </c>
      <c r="CF207" s="154" t="str">
        <f t="shared" si="46"/>
        <v/>
      </c>
      <c r="CG207" s="154" t="str">
        <f t="shared" si="47"/>
        <v/>
      </c>
      <c r="CH207" s="308" t="str">
        <f t="shared" si="48"/>
        <v/>
      </c>
      <c r="CI207" s="299"/>
    </row>
    <row r="208">
      <c r="A208" s="155" t="s">
        <v>297</v>
      </c>
      <c r="B208" s="104" t="s">
        <v>90</v>
      </c>
      <c r="C208" s="105">
        <v>6.4128226E7</v>
      </c>
      <c r="D208" s="293">
        <v>0.0</v>
      </c>
      <c r="E208" s="294">
        <v>0.0</v>
      </c>
      <c r="F208" s="325"/>
      <c r="G208" s="325"/>
      <c r="H208" s="108">
        <v>0.0</v>
      </c>
      <c r="I208" s="109">
        <v>0.0</v>
      </c>
      <c r="J208" s="109">
        <v>0.0</v>
      </c>
      <c r="K208" s="109">
        <v>0.0</v>
      </c>
      <c r="L208" s="113"/>
      <c r="M208" s="113"/>
      <c r="N208" s="111">
        <v>0.0</v>
      </c>
      <c r="O208" s="298">
        <v>0.0</v>
      </c>
      <c r="P208" s="114"/>
      <c r="Q208" s="114"/>
      <c r="R208" s="121" t="str">
        <f t="shared" si="11"/>
        <v/>
      </c>
      <c r="S208" s="116">
        <f t="shared" si="12"/>
        <v>0.526225767</v>
      </c>
      <c r="T208" s="130"/>
      <c r="U208" s="118">
        <f t="shared" si="13"/>
        <v>0.3468166667</v>
      </c>
      <c r="V208" s="148"/>
      <c r="W208" s="120">
        <f t="shared" si="14"/>
        <v>1</v>
      </c>
      <c r="X208" s="148"/>
      <c r="Y208" s="120">
        <f t="shared" si="15"/>
        <v>1</v>
      </c>
      <c r="Z208" s="299"/>
      <c r="AA208" s="299"/>
      <c r="AB208" s="300" t="str">
        <f t="shared" si="16"/>
        <v/>
      </c>
      <c r="AC208" s="301">
        <f t="shared" si="17"/>
        <v>0.6295826791</v>
      </c>
      <c r="AD208" s="314">
        <v>0.0</v>
      </c>
      <c r="AE208" s="315">
        <v>0.0</v>
      </c>
      <c r="AF208" s="166">
        <v>0.0</v>
      </c>
      <c r="AG208" s="316">
        <v>0.0</v>
      </c>
      <c r="AH208" s="307">
        <v>0.0</v>
      </c>
      <c r="AI208" s="317">
        <v>0.0</v>
      </c>
      <c r="AJ208" s="318">
        <v>0.0</v>
      </c>
      <c r="AK208" s="319">
        <v>0.0</v>
      </c>
      <c r="AL208" s="319">
        <v>0.0</v>
      </c>
      <c r="AM208" s="302">
        <v>0.0</v>
      </c>
      <c r="AN208" s="149" t="str">
        <f>IFERROR(
  AVERAGEIFS(
    'New 20102013 LF Efficacy'!$J:$J,
    'New 20102013 LF Efficacy'!$D:$D, $A208,
    'New 20102013 LF Efficacy'!$F:$F,"DEC", 
    'New 20102013 LF Efficacy'!$W:$W,"&lt;2014",
    'New 20102013 LF Efficacy'!$AA:$AA,""),
  ""
)</f>
        <v/>
      </c>
      <c r="AO208" s="115">
        <f t="shared" si="18"/>
        <v>0.3573520833</v>
      </c>
      <c r="AP208" s="121" t="str">
        <f>IFERROR(
AVERAGEIFS(
'New 20102013 LF Efficacy'!$J:$J,
'New 20102013 LF Efficacy'!$D:$D,$A208,
'New 20102013 LF Efficacy'!$F:$F,"Albendazole &amp; DEC",
'New 20102013 LF Efficacy'!$W:$W,"&lt;2014",
'New 20102013 LF Efficacy'!$AA:$AA,""),
"")
</f>
        <v/>
      </c>
      <c r="AQ208" s="115">
        <f t="shared" si="19"/>
        <v>0.5137291667</v>
      </c>
      <c r="AR208" s="121" t="str">
        <f>IFERROR(
AVERAGEIFS(
'New 20102013 LF Efficacy'!$J:$J,
'New 20102013 LF Efficacy'!$D:$D,$A208,
'New 20102013 LF Efficacy'!$F:$F,"Albendazole &amp; Ivermectin", 
'New 20102013 LF Efficacy'!$W:$W,"&lt;2014",
'New 20102013 LF Efficacy'!$AA:$AA,""),"")</f>
        <v/>
      </c>
      <c r="AS208" s="115">
        <f t="shared" si="20"/>
        <v>0.37153125</v>
      </c>
      <c r="AT208" s="130" t="str">
        <f>IFERROR(AVERAGEIFS(
'20102013 Schist Efficacy'!$O:$O, 
'20102013 Schist Efficacy'!$C:$C,$A208, 
'20102013 Schist Efficacy'!$D:$D, "Praziquantel",
'20102013 Schist Efficacy'!$J:$J,"&lt;2014",
'20102013 Schist Efficacy'!$U:$U,""),
"")</f>
        <v/>
      </c>
      <c r="AU208" s="118">
        <f t="shared" si="21"/>
        <v>0.655</v>
      </c>
      <c r="AV208" s="131" t="str">
        <f>IFERROR(AVERAGEIFS(
'20102013 STH Efficacy'!$AX:$AX, 
'20102013 STH Efficacy'!$AL:$AL, $A208, 
'20102013 STH Efficacy'!$AM:$AM, "Albendazole",
'20102013 STH Efficacy'!$AS:$AS,"&lt;2014",
'20102013 STH Efficacy'!$BP:$BP,""),
"")</f>
        <v/>
      </c>
      <c r="AW208" s="132">
        <f t="shared" si="22"/>
        <v>0.3933333333</v>
      </c>
      <c r="AX208" s="131" t="str">
        <f>IFERROR(AVERAGEIFS(
'20102013 STH Efficacy'!$AX:$AX, 
'20102013 STH Efficacy'!$AL:$AL, $A208, 
'20102013 STH Efficacy'!$AM:$AM, "Mebendazole",
'20102013 STH Efficacy'!$AS:$AS,"&lt;2014",
'20102013 STH Efficacy'!$BP:$BP,""),
"")</f>
        <v/>
      </c>
      <c r="AY208" s="132">
        <f t="shared" si="23"/>
        <v>0.5017738095</v>
      </c>
      <c r="AZ208" s="131" t="str">
        <f>IFERROR(AVERAGEIFS(
'20102013 STH Efficacy'!$AX:$AX, 
'20102013 STH Efficacy'!$AL:$AL, $A208, 
'20102013 STH Efficacy'!$AM:$AM, "Albendazole &amp; Ivermectin",
'20102013 STH Efficacy'!$AS:$AS,"&lt;2014",
'20102013 STH Efficacy'!$BP:$BP,""),
"")</f>
        <v/>
      </c>
      <c r="BA208" s="303">
        <f t="shared" si="24"/>
        <v>0.597625</v>
      </c>
      <c r="BB208" s="134" t="str">
        <f>IFERROR(AVERAGEIFS(
'20102013 STH Efficacy'!$N:$N, 
'20102013 STH Efficacy'!$B:$B, $A208, 
'20102013 STH Efficacy'!$C:$C, "Albendazole",
'20102013 STH Efficacy'!$I:$I,"&lt;2014",
'20102013 STH Efficacy'!$AH:$AH,""),
"")</f>
        <v/>
      </c>
      <c r="BC208" s="135">
        <f t="shared" si="25"/>
        <v>0.7613712121</v>
      </c>
      <c r="BD208" s="134" t="str">
        <f>IFERROR(AVERAGEIFS(
'20102013 STH Efficacy'!$N:$N, 
'20102013 STH Efficacy'!$B:$B, $A208, 
'20102013 STH Efficacy'!$C:$C, "Mebendazole",
'20102013 STH Efficacy'!$I:$I,"&lt;2014",
'20102013 STH Efficacy'!$AH:$AH,""),
"")</f>
        <v/>
      </c>
      <c r="BE208" s="135">
        <f t="shared" si="26"/>
        <v>0.4362466667</v>
      </c>
      <c r="BF208" s="128" t="str">
        <f>IFERROR(AVERAGEIFS(
'20102013 STH Efficacy'!$CD:$CD, 
'20102013 STH Efficacy'!$BS:$BS, $A208, 
'20102013 STH Efficacy'!$BT:$BT, "Albendazole",
'20102013 STH Efficacy'!$BZ:$BZ,"&lt;2014",
'20102013 STH Efficacy'!$CU:$CU,""),
"")</f>
        <v/>
      </c>
      <c r="BG208" s="136">
        <f t="shared" si="27"/>
        <v>0.9216027778</v>
      </c>
      <c r="BH208" s="128" t="str">
        <f>IFERROR(AVERAGEIFS(
'20102013 STH Efficacy'!$CD:$CD, 
'20102013 STH Efficacy'!$BS:$BS, $A208, 
'20102013 STH Efficacy'!$BT:$BT, "Mebendazole",
'20102013 STH Efficacy'!$BZ:$BZ,"&lt;2014",
'20102013 STH Efficacy'!$CU:$CU,""),
"")</f>
        <v/>
      </c>
      <c r="BI208" s="136">
        <f t="shared" si="28"/>
        <v>0.9295857143</v>
      </c>
      <c r="BJ208" s="128" t="str">
        <f>IFERROR(AVERAGEIFS(
'20102013 STH Efficacy'!$CD:$CD, 
'20102013 STH Efficacy'!$BS:$BS, $A208, 
'20102013 STH Efficacy'!$BT:$BT, "Albendazole &amp; Ivermectin",
'20102013 STH Efficacy'!$BZ:$BZ,"&lt;2014",
'20102013 STH Efficacy'!$CU:$CU,""),
"")</f>
        <v/>
      </c>
      <c r="BK208" s="136">
        <f t="shared" si="29"/>
        <v>1</v>
      </c>
      <c r="BL208" s="300" t="str">
        <f>IFERROR(
  AVERAGEIFS(
    'NEW 20102013 Onchocerciasis Eff'!$AO:$AO,
    'NEW 20102013 Onchocerciasis Eff'!$C:$C,$A208,
    'NEW 20102013 Onchocerciasis Eff'!$D:$D,"Ivermectin",
    'NEW 20102013 Onchocerciasis Eff'!$AR:$AR,"&lt;2014",
    'NEW 20102013 Onchocerciasis Eff'!$BG:$BG,"")
,"")</f>
        <v/>
      </c>
      <c r="BM208" s="304">
        <f t="shared" si="30"/>
        <v>0.7808368939</v>
      </c>
      <c r="BN208" s="305">
        <v>0.0</v>
      </c>
      <c r="BO208" s="139">
        <v>0.0</v>
      </c>
      <c r="BP208" s="140">
        <v>0.0</v>
      </c>
      <c r="BQ208" s="141">
        <f t="shared" si="31"/>
        <v>0</v>
      </c>
      <c r="BR208" s="104" t="str">
        <f t="shared" si="32"/>
        <v>0000</v>
      </c>
      <c r="BS208" s="104" t="str">
        <f t="shared" si="33"/>
        <v>no action required</v>
      </c>
      <c r="BT208" s="142" t="str">
        <f t="shared" si="34"/>
        <v/>
      </c>
      <c r="BU208" s="104" t="str">
        <f t="shared" si="50"/>
        <v/>
      </c>
      <c r="BV208" s="104" t="str">
        <f t="shared" si="36"/>
        <v>none</v>
      </c>
      <c r="BW208" s="150" t="str">
        <f t="shared" si="37"/>
        <v/>
      </c>
      <c r="BX208" s="150" t="str">
        <f t="shared" si="38"/>
        <v/>
      </c>
      <c r="BY208" s="151" t="str">
        <f t="shared" si="39"/>
        <v/>
      </c>
      <c r="BZ208" s="152" t="str">
        <f t="shared" si="40"/>
        <v/>
      </c>
      <c r="CA208" s="152" t="str">
        <f t="shared" si="41"/>
        <v/>
      </c>
      <c r="CB208" s="152" t="str">
        <f t="shared" si="42"/>
        <v/>
      </c>
      <c r="CC208" s="153" t="str">
        <f t="shared" si="43"/>
        <v/>
      </c>
      <c r="CD208" s="153" t="str">
        <f t="shared" si="44"/>
        <v/>
      </c>
      <c r="CE208" s="154" t="str">
        <f t="shared" si="45"/>
        <v/>
      </c>
      <c r="CF208" s="154" t="str">
        <f t="shared" si="46"/>
        <v/>
      </c>
      <c r="CG208" s="154" t="str">
        <f t="shared" si="47"/>
        <v/>
      </c>
      <c r="CH208" s="308" t="str">
        <f t="shared" si="48"/>
        <v/>
      </c>
      <c r="CI208" s="299"/>
    </row>
    <row r="209">
      <c r="A209" s="155" t="s">
        <v>298</v>
      </c>
      <c r="B209" s="104" t="s">
        <v>98</v>
      </c>
      <c r="C209" s="105">
        <v>3.16204908E8</v>
      </c>
      <c r="D209" s="293">
        <v>0.0</v>
      </c>
      <c r="E209" s="294">
        <v>0.0</v>
      </c>
      <c r="F209" s="307">
        <v>0.0</v>
      </c>
      <c r="G209" s="307">
        <v>0.0</v>
      </c>
      <c r="H209" s="108">
        <v>0.0</v>
      </c>
      <c r="I209" s="109">
        <v>0.0</v>
      </c>
      <c r="J209" s="109">
        <v>0.0</v>
      </c>
      <c r="K209" s="109">
        <v>0.0</v>
      </c>
      <c r="L209" s="112">
        <v>0.0</v>
      </c>
      <c r="M209" s="112">
        <v>0.0</v>
      </c>
      <c r="N209" s="111">
        <v>0.0</v>
      </c>
      <c r="O209" s="298">
        <v>0.0</v>
      </c>
      <c r="P209" s="114"/>
      <c r="Q209" s="114"/>
      <c r="R209" s="121" t="str">
        <f t="shared" si="11"/>
        <v/>
      </c>
      <c r="S209" s="116">
        <f t="shared" si="12"/>
        <v>0.2288425133</v>
      </c>
      <c r="T209" s="130"/>
      <c r="U209" s="118">
        <f t="shared" si="13"/>
        <v>0.39435</v>
      </c>
      <c r="V209" s="148"/>
      <c r="W209" s="120">
        <f t="shared" si="14"/>
        <v>0.542475</v>
      </c>
      <c r="X209" s="148"/>
      <c r="Y209" s="120">
        <f t="shared" si="15"/>
        <v>0.6507333333</v>
      </c>
      <c r="Z209" s="299"/>
      <c r="AA209" s="299"/>
      <c r="AB209" s="300" t="str">
        <f t="shared" si="16"/>
        <v/>
      </c>
      <c r="AC209" s="301">
        <f t="shared" si="17"/>
        <v>0.3490201688</v>
      </c>
      <c r="AD209" s="122">
        <v>0.0</v>
      </c>
      <c r="AE209" s="123">
        <v>0.0</v>
      </c>
      <c r="AF209" s="123">
        <v>0.0</v>
      </c>
      <c r="AG209" s="316">
        <v>0.0</v>
      </c>
      <c r="AH209" s="124">
        <v>0.0</v>
      </c>
      <c r="AI209" s="317">
        <v>0.0</v>
      </c>
      <c r="AJ209" s="125">
        <v>0.0</v>
      </c>
      <c r="AK209" s="319">
        <v>0.0</v>
      </c>
      <c r="AL209" s="319">
        <v>0.0</v>
      </c>
      <c r="AM209" s="302">
        <v>0.0</v>
      </c>
      <c r="AN209" s="149" t="str">
        <f>IFERROR(
  AVERAGEIFS(
    'New 20102013 LF Efficacy'!$J:$J,
    'New 20102013 LF Efficacy'!$D:$D, $A209,
    'New 20102013 LF Efficacy'!$F:$F,"DEC", 
    'New 20102013 LF Efficacy'!$W:$W,"&lt;2014",
    'New 20102013 LF Efficacy'!$AA:$AA,""),
  ""
)</f>
        <v/>
      </c>
      <c r="AO209" s="115">
        <f t="shared" si="18"/>
        <v>0.2589833333</v>
      </c>
      <c r="AP209" s="121" t="str">
        <f>IFERROR(
AVERAGEIFS(
'New 20102013 LF Efficacy'!$J:$J,
'New 20102013 LF Efficacy'!$D:$D,$A209,
'New 20102013 LF Efficacy'!$F:$F,"Albendazole &amp; DEC",
'New 20102013 LF Efficacy'!$W:$W,"&lt;2014",
'New 20102013 LF Efficacy'!$AA:$AA,""),
"")
</f>
        <v/>
      </c>
      <c r="AQ209" s="115">
        <f t="shared" si="19"/>
        <v>0.3465</v>
      </c>
      <c r="AR209" s="121" t="str">
        <f>IFERROR(
AVERAGEIFS(
'New 20102013 LF Efficacy'!$J:$J,
'New 20102013 LF Efficacy'!$D:$D,$A209,
'New 20102013 LF Efficacy'!$F:$F,"Albendazole &amp; Ivermectin", 
'New 20102013 LF Efficacy'!$W:$W,"&lt;2014",
'New 20102013 LF Efficacy'!$AA:$AA,""),"")</f>
        <v/>
      </c>
      <c r="AS209" s="115">
        <f t="shared" si="20"/>
        <v>0.7575</v>
      </c>
      <c r="AT209" s="130" t="str">
        <f>IFERROR(AVERAGEIFS(
'20102013 Schist Efficacy'!$O:$O, 
'20102013 Schist Efficacy'!$C:$C,$A209, 
'20102013 Schist Efficacy'!$D:$D, "Praziquantel",
'20102013 Schist Efficacy'!$J:$J,"&lt;2014",
'20102013 Schist Efficacy'!$U:$U,""),
"")</f>
        <v/>
      </c>
      <c r="AU209" s="118">
        <f t="shared" si="21"/>
        <v>0.7914761905</v>
      </c>
      <c r="AV209" s="131" t="str">
        <f>IFERROR(AVERAGEIFS(
'20102013 STH Efficacy'!$AX:$AX, 
'20102013 STH Efficacy'!$AL:$AL, $A209, 
'20102013 STH Efficacy'!$AM:$AM, "Albendazole",
'20102013 STH Efficacy'!$AS:$AS,"&lt;2014",
'20102013 STH Efficacy'!$BP:$BP,""),
"")</f>
        <v/>
      </c>
      <c r="AW209" s="132">
        <f t="shared" si="22"/>
        <v>0.3945</v>
      </c>
      <c r="AX209" s="131" t="str">
        <f>IFERROR(AVERAGEIFS(
'20102013 STH Efficacy'!$AX:$AX, 
'20102013 STH Efficacy'!$AL:$AL, $A209, 
'20102013 STH Efficacy'!$AM:$AM, "Mebendazole",
'20102013 STH Efficacy'!$AS:$AS,"&lt;2014",
'20102013 STH Efficacy'!$BP:$BP,""),
"")</f>
        <v/>
      </c>
      <c r="AY209" s="132">
        <f t="shared" si="23"/>
        <v>0.6</v>
      </c>
      <c r="AZ209" s="131" t="str">
        <f>IFERROR(AVERAGEIFS(
'20102013 STH Efficacy'!$AX:$AX, 
'20102013 STH Efficacy'!$AL:$AL, $A209, 
'20102013 STH Efficacy'!$AM:$AM, "Albendazole &amp; Ivermectin",
'20102013 STH Efficacy'!$AS:$AS,"&lt;2014",
'20102013 STH Efficacy'!$BP:$BP,""),
"")</f>
        <v/>
      </c>
      <c r="BA209" s="303">
        <f t="shared" si="24"/>
        <v>0.796</v>
      </c>
      <c r="BB209" s="134" t="str">
        <f>IFERROR(AVERAGEIFS(
'20102013 STH Efficacy'!$N:$N, 
'20102013 STH Efficacy'!$B:$B, $A209, 
'20102013 STH Efficacy'!$C:$C, "Albendazole",
'20102013 STH Efficacy'!$I:$I,"&lt;2014",
'20102013 STH Efficacy'!$AH:$AH,""),
"")</f>
        <v/>
      </c>
      <c r="BC209" s="135">
        <f t="shared" si="25"/>
        <v>0.869</v>
      </c>
      <c r="BD209" s="134" t="str">
        <f>IFERROR(AVERAGEIFS(
'20102013 STH Efficacy'!$N:$N, 
'20102013 STH Efficacy'!$B:$B, $A209, 
'20102013 STH Efficacy'!$C:$C, "Mebendazole",
'20102013 STH Efficacy'!$I:$I,"&lt;2014",
'20102013 STH Efficacy'!$AH:$AH,""),
"")</f>
        <v/>
      </c>
      <c r="BE209" s="135">
        <f t="shared" si="26"/>
        <v>0.172</v>
      </c>
      <c r="BF209" s="128" t="str">
        <f>IFERROR(AVERAGEIFS(
'20102013 STH Efficacy'!$CD:$CD, 
'20102013 STH Efficacy'!$BS:$BS, $A209, 
'20102013 STH Efficacy'!$BT:$BT, "Albendazole",
'20102013 STH Efficacy'!$BZ:$BZ,"&lt;2014",
'20102013 STH Efficacy'!$CU:$CU,""),
"")</f>
        <v/>
      </c>
      <c r="BG209" s="136">
        <f t="shared" si="27"/>
        <v>0.9862</v>
      </c>
      <c r="BH209" s="128" t="str">
        <f>IFERROR(AVERAGEIFS(
'20102013 STH Efficacy'!$CD:$CD, 
'20102013 STH Efficacy'!$BS:$BS, $A209, 
'20102013 STH Efficacy'!$BT:$BT, "Mebendazole",
'20102013 STH Efficacy'!$BZ:$BZ,"&lt;2014",
'20102013 STH Efficacy'!$CU:$CU,""),
"")</f>
        <v/>
      </c>
      <c r="BI209" s="136">
        <f t="shared" si="28"/>
        <v>0.769</v>
      </c>
      <c r="BJ209" s="128" t="str">
        <f>IFERROR(AVERAGEIFS(
'20102013 STH Efficacy'!$CD:$CD, 
'20102013 STH Efficacy'!$BS:$BS, $A209, 
'20102013 STH Efficacy'!$BT:$BT, "Albendazole &amp; Ivermectin",
'20102013 STH Efficacy'!$BZ:$BZ,"&lt;2014",
'20102013 STH Efficacy'!$CU:$CU,""),
"")</f>
        <v/>
      </c>
      <c r="BK209" s="136">
        <f t="shared" si="29"/>
        <v>1</v>
      </c>
      <c r="BL209" s="300" t="str">
        <f>IFERROR(
  AVERAGEIFS(
    'NEW 20102013 Onchocerciasis Eff'!$AO:$AO,
    'NEW 20102013 Onchocerciasis Eff'!$C:$C,$A209,
    'NEW 20102013 Onchocerciasis Eff'!$D:$D,"Ivermectin",
    'NEW 20102013 Onchocerciasis Eff'!$AR:$AR,"&lt;2014",
    'NEW 20102013 Onchocerciasis Eff'!$BG:$BG,"")
,"")</f>
        <v/>
      </c>
      <c r="BM209" s="304">
        <f t="shared" si="30"/>
        <v>0.3734</v>
      </c>
      <c r="BN209" s="305">
        <v>0.0</v>
      </c>
      <c r="BO209" s="139">
        <v>0.0</v>
      </c>
      <c r="BP209" s="140">
        <v>0.0</v>
      </c>
      <c r="BQ209" s="141">
        <f t="shared" si="31"/>
        <v>0</v>
      </c>
      <c r="BR209" s="104" t="str">
        <f t="shared" si="32"/>
        <v>0000</v>
      </c>
      <c r="BS209" s="104" t="str">
        <f t="shared" si="33"/>
        <v>no action required</v>
      </c>
      <c r="BT209" s="142" t="str">
        <f t="shared" si="34"/>
        <v/>
      </c>
      <c r="BU209" s="104" t="str">
        <f t="shared" si="50"/>
        <v/>
      </c>
      <c r="BV209" s="104" t="str">
        <f t="shared" si="36"/>
        <v>none</v>
      </c>
      <c r="BW209" s="150" t="str">
        <f t="shared" si="37"/>
        <v/>
      </c>
      <c r="BX209" s="150" t="str">
        <f t="shared" si="38"/>
        <v/>
      </c>
      <c r="BY209" s="151" t="str">
        <f t="shared" si="39"/>
        <v/>
      </c>
      <c r="BZ209" s="152" t="str">
        <f t="shared" si="40"/>
        <v/>
      </c>
      <c r="CA209" s="152" t="str">
        <f t="shared" si="41"/>
        <v/>
      </c>
      <c r="CB209" s="152" t="str">
        <f t="shared" si="42"/>
        <v/>
      </c>
      <c r="CC209" s="153" t="str">
        <f t="shared" si="43"/>
        <v/>
      </c>
      <c r="CD209" s="153" t="str">
        <f t="shared" si="44"/>
        <v/>
      </c>
      <c r="CE209" s="154" t="str">
        <f t="shared" si="45"/>
        <v/>
      </c>
      <c r="CF209" s="154" t="str">
        <f t="shared" si="46"/>
        <v/>
      </c>
      <c r="CG209" s="154" t="str">
        <f t="shared" si="47"/>
        <v/>
      </c>
      <c r="CH209" s="308" t="str">
        <f t="shared" si="48"/>
        <v/>
      </c>
      <c r="CI209" s="299"/>
    </row>
    <row r="210">
      <c r="A210" s="155" t="s">
        <v>299</v>
      </c>
      <c r="B210" s="104" t="s">
        <v>98</v>
      </c>
      <c r="C210" s="105">
        <v>3408005.0</v>
      </c>
      <c r="D210" s="293">
        <v>0.0</v>
      </c>
      <c r="E210" s="294">
        <v>0.0</v>
      </c>
      <c r="F210" s="307">
        <v>0.0</v>
      </c>
      <c r="G210" s="307">
        <v>0.0</v>
      </c>
      <c r="H210" s="108">
        <v>0.0</v>
      </c>
      <c r="I210" s="109">
        <v>0.0</v>
      </c>
      <c r="J210" s="109">
        <v>0.0</v>
      </c>
      <c r="K210" s="109">
        <v>0.0</v>
      </c>
      <c r="L210" s="112">
        <v>0.41995441</v>
      </c>
      <c r="M210" s="112">
        <v>0.213224737</v>
      </c>
      <c r="N210" s="111">
        <v>0.633179147</v>
      </c>
      <c r="O210" s="298">
        <v>0.0</v>
      </c>
      <c r="P210" s="114"/>
      <c r="Q210" s="114"/>
      <c r="R210" s="121" t="str">
        <f t="shared" si="11"/>
        <v/>
      </c>
      <c r="S210" s="116">
        <f t="shared" si="12"/>
        <v>0.2288425133</v>
      </c>
      <c r="T210" s="130"/>
      <c r="U210" s="118">
        <f t="shared" si="13"/>
        <v>0.39435</v>
      </c>
      <c r="V210" s="148"/>
      <c r="W210" s="120">
        <f t="shared" si="14"/>
        <v>0.542475</v>
      </c>
      <c r="X210" s="148"/>
      <c r="Y210" s="120">
        <f t="shared" si="15"/>
        <v>0.6507333333</v>
      </c>
      <c r="Z210" s="299"/>
      <c r="AA210" s="299"/>
      <c r="AB210" s="300" t="str">
        <f t="shared" si="16"/>
        <v/>
      </c>
      <c r="AC210" s="301">
        <f t="shared" si="17"/>
        <v>0.3490201688</v>
      </c>
      <c r="AD210" s="122">
        <v>0.0</v>
      </c>
      <c r="AE210" s="123">
        <v>0.0</v>
      </c>
      <c r="AF210" s="123">
        <v>0.0</v>
      </c>
      <c r="AG210" s="316">
        <v>0.0</v>
      </c>
      <c r="AH210" s="124">
        <v>0.0</v>
      </c>
      <c r="AI210" s="317">
        <v>0.0</v>
      </c>
      <c r="AJ210" s="125">
        <v>0.0</v>
      </c>
      <c r="AK210" s="319">
        <v>0.0</v>
      </c>
      <c r="AL210" s="319">
        <v>0.0</v>
      </c>
      <c r="AM210" s="302">
        <v>0.0</v>
      </c>
      <c r="AN210" s="149" t="str">
        <f>IFERROR(
  AVERAGEIFS(
    'New 20102013 LF Efficacy'!$J:$J,
    'New 20102013 LF Efficacy'!$D:$D, $A210,
    'New 20102013 LF Efficacy'!$F:$F,"DEC", 
    'New 20102013 LF Efficacy'!$W:$W,"&lt;2014",
    'New 20102013 LF Efficacy'!$AA:$AA,""),
  ""
)</f>
        <v/>
      </c>
      <c r="AO210" s="115">
        <f t="shared" si="18"/>
        <v>0.2589833333</v>
      </c>
      <c r="AP210" s="121" t="str">
        <f>IFERROR(
AVERAGEIFS(
'New 20102013 LF Efficacy'!$J:$J,
'New 20102013 LF Efficacy'!$D:$D,$A210,
'New 20102013 LF Efficacy'!$F:$F,"Albendazole &amp; DEC",
'New 20102013 LF Efficacy'!$W:$W,"&lt;2014",
'New 20102013 LF Efficacy'!$AA:$AA,""),
"")
</f>
        <v/>
      </c>
      <c r="AQ210" s="115">
        <f t="shared" si="19"/>
        <v>0.3465</v>
      </c>
      <c r="AR210" s="121" t="str">
        <f>IFERROR(
AVERAGEIFS(
'New 20102013 LF Efficacy'!$J:$J,
'New 20102013 LF Efficacy'!$D:$D,$A210,
'New 20102013 LF Efficacy'!$F:$F,"Albendazole &amp; Ivermectin", 
'New 20102013 LF Efficacy'!$W:$W,"&lt;2014",
'New 20102013 LF Efficacy'!$AA:$AA,""),"")</f>
        <v/>
      </c>
      <c r="AS210" s="115">
        <f t="shared" si="20"/>
        <v>0.7575</v>
      </c>
      <c r="AT210" s="130" t="str">
        <f>IFERROR(AVERAGEIFS(
'20102013 Schist Efficacy'!$O:$O, 
'20102013 Schist Efficacy'!$C:$C,$A210, 
'20102013 Schist Efficacy'!$D:$D, "Praziquantel",
'20102013 Schist Efficacy'!$J:$J,"&lt;2014",
'20102013 Schist Efficacy'!$U:$U,""),
"")</f>
        <v/>
      </c>
      <c r="AU210" s="118">
        <f t="shared" si="21"/>
        <v>0.7914761905</v>
      </c>
      <c r="AV210" s="131" t="str">
        <f>IFERROR(AVERAGEIFS(
'20102013 STH Efficacy'!$AX:$AX, 
'20102013 STH Efficacy'!$AL:$AL, $A210, 
'20102013 STH Efficacy'!$AM:$AM, "Albendazole",
'20102013 STH Efficacy'!$AS:$AS,"&lt;2014",
'20102013 STH Efficacy'!$BP:$BP,""),
"")</f>
        <v/>
      </c>
      <c r="AW210" s="132">
        <f t="shared" si="22"/>
        <v>0.3945</v>
      </c>
      <c r="AX210" s="131" t="str">
        <f>IFERROR(AVERAGEIFS(
'20102013 STH Efficacy'!$AX:$AX, 
'20102013 STH Efficacy'!$AL:$AL, $A210, 
'20102013 STH Efficacy'!$AM:$AM, "Mebendazole",
'20102013 STH Efficacy'!$AS:$AS,"&lt;2014",
'20102013 STH Efficacy'!$BP:$BP,""),
"")</f>
        <v/>
      </c>
      <c r="AY210" s="132">
        <f t="shared" si="23"/>
        <v>0.6</v>
      </c>
      <c r="AZ210" s="131" t="str">
        <f>IFERROR(AVERAGEIFS(
'20102013 STH Efficacy'!$AX:$AX, 
'20102013 STH Efficacy'!$AL:$AL, $A210, 
'20102013 STH Efficacy'!$AM:$AM, "Albendazole &amp; Ivermectin",
'20102013 STH Efficacy'!$AS:$AS,"&lt;2014",
'20102013 STH Efficacy'!$BP:$BP,""),
"")</f>
        <v/>
      </c>
      <c r="BA210" s="303">
        <f t="shared" si="24"/>
        <v>0.796</v>
      </c>
      <c r="BB210" s="134" t="str">
        <f>IFERROR(AVERAGEIFS(
'20102013 STH Efficacy'!$N:$N, 
'20102013 STH Efficacy'!$B:$B, $A210, 
'20102013 STH Efficacy'!$C:$C, "Albendazole",
'20102013 STH Efficacy'!$I:$I,"&lt;2014",
'20102013 STH Efficacy'!$AH:$AH,""),
"")</f>
        <v/>
      </c>
      <c r="BC210" s="135">
        <f t="shared" si="25"/>
        <v>0.869</v>
      </c>
      <c r="BD210" s="134" t="str">
        <f>IFERROR(AVERAGEIFS(
'20102013 STH Efficacy'!$N:$N, 
'20102013 STH Efficacy'!$B:$B, $A210, 
'20102013 STH Efficacy'!$C:$C, "Mebendazole",
'20102013 STH Efficacy'!$I:$I,"&lt;2014",
'20102013 STH Efficacy'!$AH:$AH,""),
"")</f>
        <v/>
      </c>
      <c r="BE210" s="135">
        <f t="shared" si="26"/>
        <v>0.172</v>
      </c>
      <c r="BF210" s="128" t="str">
        <f>IFERROR(AVERAGEIFS(
'20102013 STH Efficacy'!$CD:$CD, 
'20102013 STH Efficacy'!$BS:$BS, $A210, 
'20102013 STH Efficacy'!$BT:$BT, "Albendazole",
'20102013 STH Efficacy'!$BZ:$BZ,"&lt;2014",
'20102013 STH Efficacy'!$CU:$CU,""),
"")</f>
        <v/>
      </c>
      <c r="BG210" s="136">
        <f t="shared" si="27"/>
        <v>0.9862</v>
      </c>
      <c r="BH210" s="128" t="str">
        <f>IFERROR(AVERAGEIFS(
'20102013 STH Efficacy'!$CD:$CD, 
'20102013 STH Efficacy'!$BS:$BS, $A210, 
'20102013 STH Efficacy'!$BT:$BT, "Mebendazole",
'20102013 STH Efficacy'!$BZ:$BZ,"&lt;2014",
'20102013 STH Efficacy'!$CU:$CU,""),
"")</f>
        <v/>
      </c>
      <c r="BI210" s="136">
        <f t="shared" si="28"/>
        <v>0.769</v>
      </c>
      <c r="BJ210" s="128" t="str">
        <f>IFERROR(AVERAGEIFS(
'20102013 STH Efficacy'!$CD:$CD, 
'20102013 STH Efficacy'!$BS:$BS, $A210, 
'20102013 STH Efficacy'!$BT:$BT, "Albendazole &amp; Ivermectin",
'20102013 STH Efficacy'!$BZ:$BZ,"&lt;2014",
'20102013 STH Efficacy'!$CU:$CU,""),
"")</f>
        <v/>
      </c>
      <c r="BK210" s="136">
        <f t="shared" si="29"/>
        <v>1</v>
      </c>
      <c r="BL210" s="300" t="str">
        <f>IFERROR(
  AVERAGEIFS(
    'NEW 20102013 Onchocerciasis Eff'!$AO:$AO,
    'NEW 20102013 Onchocerciasis Eff'!$C:$C,$A210,
    'NEW 20102013 Onchocerciasis Eff'!$D:$D,"Ivermectin",
    'NEW 20102013 Onchocerciasis Eff'!$AR:$AR,"&lt;2014",
    'NEW 20102013 Onchocerciasis Eff'!$BG:$BG,"")
,"")</f>
        <v/>
      </c>
      <c r="BM210" s="304">
        <f t="shared" si="30"/>
        <v>0.3734</v>
      </c>
      <c r="BN210" s="305">
        <v>0.0</v>
      </c>
      <c r="BO210" s="139">
        <v>0.0</v>
      </c>
      <c r="BP210" s="140">
        <v>0.0</v>
      </c>
      <c r="BQ210" s="141">
        <f t="shared" si="31"/>
        <v>0</v>
      </c>
      <c r="BR210" s="104" t="str">
        <f t="shared" si="32"/>
        <v>0000</v>
      </c>
      <c r="BS210" s="104" t="str">
        <f t="shared" si="33"/>
        <v>no action required</v>
      </c>
      <c r="BT210" s="142" t="str">
        <f t="shared" si="34"/>
        <v/>
      </c>
      <c r="BU210" s="104" t="str">
        <f t="shared" si="50"/>
        <v/>
      </c>
      <c r="BV210" s="104" t="str">
        <f t="shared" si="36"/>
        <v>none</v>
      </c>
      <c r="BW210" s="150" t="str">
        <f t="shared" si="37"/>
        <v/>
      </c>
      <c r="BX210" s="150" t="str">
        <f t="shared" si="38"/>
        <v/>
      </c>
      <c r="BY210" s="151" t="str">
        <f t="shared" si="39"/>
        <v/>
      </c>
      <c r="BZ210" s="152" t="str">
        <f t="shared" si="40"/>
        <v/>
      </c>
      <c r="CA210" s="152" t="str">
        <f t="shared" si="41"/>
        <v/>
      </c>
      <c r="CB210" s="152" t="str">
        <f t="shared" si="42"/>
        <v/>
      </c>
      <c r="CC210" s="153" t="str">
        <f t="shared" si="43"/>
        <v/>
      </c>
      <c r="CD210" s="153" t="str">
        <f t="shared" si="44"/>
        <v/>
      </c>
      <c r="CE210" s="154" t="str">
        <f t="shared" si="45"/>
        <v/>
      </c>
      <c r="CF210" s="154" t="str">
        <f t="shared" si="46"/>
        <v/>
      </c>
      <c r="CG210" s="154" t="str">
        <f t="shared" si="47"/>
        <v/>
      </c>
      <c r="CH210" s="308" t="str">
        <f t="shared" si="48"/>
        <v/>
      </c>
      <c r="CI210" s="299"/>
    </row>
    <row r="211">
      <c r="A211" s="155" t="s">
        <v>300</v>
      </c>
      <c r="B211" s="104" t="s">
        <v>98</v>
      </c>
      <c r="C211" s="105">
        <v>104737.0</v>
      </c>
      <c r="D211" s="293">
        <v>0.0</v>
      </c>
      <c r="E211" s="294">
        <v>0.0</v>
      </c>
      <c r="F211" s="163"/>
      <c r="G211" s="163"/>
      <c r="H211" s="108">
        <v>0.0</v>
      </c>
      <c r="I211" s="109">
        <v>0.0</v>
      </c>
      <c r="J211" s="109">
        <v>0.0</v>
      </c>
      <c r="K211" s="109">
        <v>0.0</v>
      </c>
      <c r="L211" s="113"/>
      <c r="M211" s="113"/>
      <c r="N211" s="111">
        <v>0.0</v>
      </c>
      <c r="O211" s="298">
        <v>0.0</v>
      </c>
      <c r="P211" s="114"/>
      <c r="Q211" s="114"/>
      <c r="R211" s="121" t="str">
        <f t="shared" si="11"/>
        <v/>
      </c>
      <c r="S211" s="116">
        <f t="shared" si="12"/>
        <v>0.2288425133</v>
      </c>
      <c r="T211" s="130"/>
      <c r="U211" s="118">
        <f t="shared" si="13"/>
        <v>0.39435</v>
      </c>
      <c r="V211" s="148"/>
      <c r="W211" s="120">
        <f t="shared" si="14"/>
        <v>0.542475</v>
      </c>
      <c r="X211" s="148"/>
      <c r="Y211" s="120">
        <f t="shared" si="15"/>
        <v>0.6507333333</v>
      </c>
      <c r="Z211" s="299"/>
      <c r="AA211" s="299"/>
      <c r="AB211" s="300" t="str">
        <f t="shared" si="16"/>
        <v/>
      </c>
      <c r="AC211" s="301">
        <f t="shared" si="17"/>
        <v>0.3490201688</v>
      </c>
      <c r="AD211" s="314">
        <v>0.0</v>
      </c>
      <c r="AE211" s="315">
        <v>0.0</v>
      </c>
      <c r="AF211" s="166">
        <v>0.0</v>
      </c>
      <c r="AG211" s="316">
        <v>0.0</v>
      </c>
      <c r="AH211" s="307">
        <v>0.0</v>
      </c>
      <c r="AI211" s="317">
        <v>0.0</v>
      </c>
      <c r="AJ211" s="318">
        <v>0.0</v>
      </c>
      <c r="AK211" s="319">
        <v>0.0</v>
      </c>
      <c r="AL211" s="319">
        <v>0.0</v>
      </c>
      <c r="AM211" s="302">
        <v>0.0</v>
      </c>
      <c r="AN211" s="149" t="str">
        <f>IFERROR(
  AVERAGEIFS(
    'New 20102013 LF Efficacy'!$J:$J,
    'New 20102013 LF Efficacy'!$D:$D, $A211,
    'New 20102013 LF Efficacy'!$F:$F,"DEC", 
    'New 20102013 LF Efficacy'!$W:$W,"&lt;2014",
    'New 20102013 LF Efficacy'!$AA:$AA,""),
  ""
)</f>
        <v/>
      </c>
      <c r="AO211" s="115">
        <f t="shared" si="18"/>
        <v>0.2589833333</v>
      </c>
      <c r="AP211" s="121" t="str">
        <f>IFERROR(
AVERAGEIFS(
'New 20102013 LF Efficacy'!$J:$J,
'New 20102013 LF Efficacy'!$D:$D,$A211,
'New 20102013 LF Efficacy'!$F:$F,"Albendazole &amp; DEC",
'New 20102013 LF Efficacy'!$W:$W,"&lt;2014",
'New 20102013 LF Efficacy'!$AA:$AA,""),
"")
</f>
        <v/>
      </c>
      <c r="AQ211" s="115">
        <f t="shared" si="19"/>
        <v>0.3465</v>
      </c>
      <c r="AR211" s="121" t="str">
        <f>IFERROR(
AVERAGEIFS(
'New 20102013 LF Efficacy'!$J:$J,
'New 20102013 LF Efficacy'!$D:$D,$A211,
'New 20102013 LF Efficacy'!$F:$F,"Albendazole &amp; Ivermectin", 
'New 20102013 LF Efficacy'!$W:$W,"&lt;2014",
'New 20102013 LF Efficacy'!$AA:$AA,""),"")</f>
        <v/>
      </c>
      <c r="AS211" s="115">
        <f t="shared" si="20"/>
        <v>0.7575</v>
      </c>
      <c r="AT211" s="130" t="str">
        <f>IFERROR(AVERAGEIFS(
'20102013 Schist Efficacy'!$O:$O, 
'20102013 Schist Efficacy'!$C:$C,$A211, 
'20102013 Schist Efficacy'!$D:$D, "Praziquantel",
'20102013 Schist Efficacy'!$J:$J,"&lt;2014",
'20102013 Schist Efficacy'!$U:$U,""),
"")</f>
        <v/>
      </c>
      <c r="AU211" s="118">
        <f t="shared" si="21"/>
        <v>0.7914761905</v>
      </c>
      <c r="AV211" s="131" t="str">
        <f>IFERROR(AVERAGEIFS(
'20102013 STH Efficacy'!$AX:$AX, 
'20102013 STH Efficacy'!$AL:$AL, $A211, 
'20102013 STH Efficacy'!$AM:$AM, "Albendazole",
'20102013 STH Efficacy'!$AS:$AS,"&lt;2014",
'20102013 STH Efficacy'!$BP:$BP,""),
"")</f>
        <v/>
      </c>
      <c r="AW211" s="132">
        <f t="shared" si="22"/>
        <v>0.3945</v>
      </c>
      <c r="AX211" s="131" t="str">
        <f>IFERROR(AVERAGEIFS(
'20102013 STH Efficacy'!$AX:$AX, 
'20102013 STH Efficacy'!$AL:$AL, $A211, 
'20102013 STH Efficacy'!$AM:$AM, "Mebendazole",
'20102013 STH Efficacy'!$AS:$AS,"&lt;2014",
'20102013 STH Efficacy'!$BP:$BP,""),
"")</f>
        <v/>
      </c>
      <c r="AY211" s="132">
        <f t="shared" si="23"/>
        <v>0.6</v>
      </c>
      <c r="AZ211" s="131" t="str">
        <f>IFERROR(AVERAGEIFS(
'20102013 STH Efficacy'!$AX:$AX, 
'20102013 STH Efficacy'!$AL:$AL, $A211, 
'20102013 STH Efficacy'!$AM:$AM, "Albendazole &amp; Ivermectin",
'20102013 STH Efficacy'!$AS:$AS,"&lt;2014",
'20102013 STH Efficacy'!$BP:$BP,""),
"")</f>
        <v/>
      </c>
      <c r="BA211" s="303">
        <f t="shared" si="24"/>
        <v>0.796</v>
      </c>
      <c r="BB211" s="134" t="str">
        <f>IFERROR(AVERAGEIFS(
'20102013 STH Efficacy'!$N:$N, 
'20102013 STH Efficacy'!$B:$B, $A211, 
'20102013 STH Efficacy'!$C:$C, "Albendazole",
'20102013 STH Efficacy'!$I:$I,"&lt;2014",
'20102013 STH Efficacy'!$AH:$AH,""),
"")</f>
        <v/>
      </c>
      <c r="BC211" s="135">
        <f t="shared" si="25"/>
        <v>0.869</v>
      </c>
      <c r="BD211" s="134" t="str">
        <f>IFERROR(AVERAGEIFS(
'20102013 STH Efficacy'!$N:$N, 
'20102013 STH Efficacy'!$B:$B, $A211, 
'20102013 STH Efficacy'!$C:$C, "Mebendazole",
'20102013 STH Efficacy'!$I:$I,"&lt;2014",
'20102013 STH Efficacy'!$AH:$AH,""),
"")</f>
        <v/>
      </c>
      <c r="BE211" s="135">
        <f t="shared" si="26"/>
        <v>0.172</v>
      </c>
      <c r="BF211" s="128" t="str">
        <f>IFERROR(AVERAGEIFS(
'20102013 STH Efficacy'!$CD:$CD, 
'20102013 STH Efficacy'!$BS:$BS, $A211, 
'20102013 STH Efficacy'!$BT:$BT, "Albendazole",
'20102013 STH Efficacy'!$BZ:$BZ,"&lt;2014",
'20102013 STH Efficacy'!$CU:$CU,""),
"")</f>
        <v/>
      </c>
      <c r="BG211" s="136">
        <f t="shared" si="27"/>
        <v>0.9862</v>
      </c>
      <c r="BH211" s="128" t="str">
        <f>IFERROR(AVERAGEIFS(
'20102013 STH Efficacy'!$CD:$CD, 
'20102013 STH Efficacy'!$BS:$BS, $A211, 
'20102013 STH Efficacy'!$BT:$BT, "Mebendazole",
'20102013 STH Efficacy'!$BZ:$BZ,"&lt;2014",
'20102013 STH Efficacy'!$CU:$CU,""),
"")</f>
        <v/>
      </c>
      <c r="BI211" s="136">
        <f t="shared" si="28"/>
        <v>0.769</v>
      </c>
      <c r="BJ211" s="128" t="str">
        <f>IFERROR(AVERAGEIFS(
'20102013 STH Efficacy'!$CD:$CD, 
'20102013 STH Efficacy'!$BS:$BS, $A211, 
'20102013 STH Efficacy'!$BT:$BT, "Albendazole &amp; Ivermectin",
'20102013 STH Efficacy'!$BZ:$BZ,"&lt;2014",
'20102013 STH Efficacy'!$CU:$CU,""),
"")</f>
        <v/>
      </c>
      <c r="BK211" s="136">
        <f t="shared" si="29"/>
        <v>1</v>
      </c>
      <c r="BL211" s="300" t="str">
        <f>IFERROR(
  AVERAGEIFS(
    'NEW 20102013 Onchocerciasis Eff'!$AO:$AO,
    'NEW 20102013 Onchocerciasis Eff'!$C:$C,$A211,
    'NEW 20102013 Onchocerciasis Eff'!$D:$D,"Ivermectin",
    'NEW 20102013 Onchocerciasis Eff'!$AR:$AR,"&lt;2014",
    'NEW 20102013 Onchocerciasis Eff'!$BG:$BG,"")
,"")</f>
        <v/>
      </c>
      <c r="BM211" s="304">
        <f t="shared" si="30"/>
        <v>0.3734</v>
      </c>
      <c r="BN211" s="305">
        <v>0.0</v>
      </c>
      <c r="BO211" s="139">
        <v>0.0</v>
      </c>
      <c r="BP211" s="140">
        <v>0.0</v>
      </c>
      <c r="BQ211" s="141">
        <f t="shared" si="31"/>
        <v>0</v>
      </c>
      <c r="BR211" s="104" t="str">
        <f t="shared" si="32"/>
        <v>0000</v>
      </c>
      <c r="BS211" s="104" t="str">
        <f t="shared" si="33"/>
        <v>no action required</v>
      </c>
      <c r="BT211" s="142" t="str">
        <f t="shared" si="34"/>
        <v/>
      </c>
      <c r="BU211" s="104" t="str">
        <f t="shared" si="50"/>
        <v/>
      </c>
      <c r="BV211" s="104" t="str">
        <f t="shared" si="36"/>
        <v>none</v>
      </c>
      <c r="BW211" s="150" t="str">
        <f t="shared" si="37"/>
        <v/>
      </c>
      <c r="BX211" s="150" t="str">
        <f t="shared" si="38"/>
        <v/>
      </c>
      <c r="BY211" s="151" t="str">
        <f t="shared" si="39"/>
        <v/>
      </c>
      <c r="BZ211" s="152" t="str">
        <f t="shared" si="40"/>
        <v/>
      </c>
      <c r="CA211" s="152" t="str">
        <f t="shared" si="41"/>
        <v/>
      </c>
      <c r="CB211" s="152" t="str">
        <f t="shared" si="42"/>
        <v/>
      </c>
      <c r="CC211" s="153" t="str">
        <f t="shared" si="43"/>
        <v/>
      </c>
      <c r="CD211" s="153" t="str">
        <f t="shared" si="44"/>
        <v/>
      </c>
      <c r="CE211" s="154" t="str">
        <f t="shared" si="45"/>
        <v/>
      </c>
      <c r="CF211" s="154" t="str">
        <f t="shared" si="46"/>
        <v/>
      </c>
      <c r="CG211" s="154" t="str">
        <f t="shared" si="47"/>
        <v/>
      </c>
      <c r="CH211" s="308" t="str">
        <f t="shared" si="48"/>
        <v/>
      </c>
      <c r="CI211" s="299"/>
    </row>
    <row r="212">
      <c r="A212" s="155" t="s">
        <v>301</v>
      </c>
      <c r="B212" s="104" t="s">
        <v>90</v>
      </c>
      <c r="C212" s="105">
        <v>3.02432E7</v>
      </c>
      <c r="D212" s="293">
        <v>0.0</v>
      </c>
      <c r="E212" s="294">
        <v>0.0</v>
      </c>
      <c r="F212" s="307">
        <v>0.0</v>
      </c>
      <c r="G212" s="307">
        <v>0.0</v>
      </c>
      <c r="H212" s="108">
        <v>0.0</v>
      </c>
      <c r="I212" s="109">
        <v>0.17675265</v>
      </c>
      <c r="J212" s="109">
        <v>0.17775939</v>
      </c>
      <c r="K212" s="109">
        <v>0.354512034</v>
      </c>
      <c r="L212" s="112">
        <v>5.605188249</v>
      </c>
      <c r="M212" s="112">
        <v>1.45952892</v>
      </c>
      <c r="N212" s="111">
        <v>7.064717169</v>
      </c>
      <c r="O212" s="298">
        <v>0.0</v>
      </c>
      <c r="P212" s="114"/>
      <c r="Q212" s="114"/>
      <c r="R212" s="121" t="str">
        <f t="shared" si="11"/>
        <v/>
      </c>
      <c r="S212" s="116">
        <f t="shared" si="12"/>
        <v>0.526225767</v>
      </c>
      <c r="T212" s="130"/>
      <c r="U212" s="118">
        <f t="shared" si="13"/>
        <v>0.3468166667</v>
      </c>
      <c r="V212" s="148"/>
      <c r="W212" s="120">
        <f t="shared" si="14"/>
        <v>1</v>
      </c>
      <c r="X212" s="148"/>
      <c r="Y212" s="120">
        <f t="shared" si="15"/>
        <v>1</v>
      </c>
      <c r="Z212" s="299"/>
      <c r="AA212" s="299"/>
      <c r="AB212" s="300" t="str">
        <f t="shared" si="16"/>
        <v/>
      </c>
      <c r="AC212" s="301">
        <f t="shared" si="17"/>
        <v>0.6295826791</v>
      </c>
      <c r="AD212" s="122">
        <v>0.0</v>
      </c>
      <c r="AE212" s="123">
        <v>0.0</v>
      </c>
      <c r="AF212" s="123">
        <v>0.0</v>
      </c>
      <c r="AG212" s="124">
        <v>0.0</v>
      </c>
      <c r="AH212" s="124">
        <v>1.23677E-5</v>
      </c>
      <c r="AI212" s="125">
        <v>0.0</v>
      </c>
      <c r="AJ212" s="125">
        <v>1.16628E-5</v>
      </c>
      <c r="AK212" s="127">
        <v>0.0</v>
      </c>
      <c r="AL212" s="127">
        <v>0.0</v>
      </c>
      <c r="AM212" s="302">
        <v>0.0</v>
      </c>
      <c r="AN212" s="149" t="str">
        <f>IFERROR(
  AVERAGEIFS(
    'New 20102013 LF Efficacy'!$J:$J,
    'New 20102013 LF Efficacy'!$D:$D, $A212,
    'New 20102013 LF Efficacy'!$F:$F,"DEC", 
    'New 20102013 LF Efficacy'!$W:$W,"&lt;2014",
    'New 20102013 LF Efficacy'!$AA:$AA,""),
  ""
)</f>
        <v/>
      </c>
      <c r="AO212" s="115">
        <f t="shared" si="18"/>
        <v>0.3573520833</v>
      </c>
      <c r="AP212" s="121" t="str">
        <f>IFERROR(
AVERAGEIFS(
'New 20102013 LF Efficacy'!$J:$J,
'New 20102013 LF Efficacy'!$D:$D,$A212,
'New 20102013 LF Efficacy'!$F:$F,"Albendazole &amp; DEC",
'New 20102013 LF Efficacy'!$W:$W,"&lt;2014",
'New 20102013 LF Efficacy'!$AA:$AA,""),
"")
</f>
        <v/>
      </c>
      <c r="AQ212" s="115">
        <f t="shared" si="19"/>
        <v>0.5137291667</v>
      </c>
      <c r="AR212" s="121" t="str">
        <f>IFERROR(
AVERAGEIFS(
'New 20102013 LF Efficacy'!$J:$J,
'New 20102013 LF Efficacy'!$D:$D,$A212,
'New 20102013 LF Efficacy'!$F:$F,"Albendazole &amp; Ivermectin", 
'New 20102013 LF Efficacy'!$W:$W,"&lt;2014",
'New 20102013 LF Efficacy'!$AA:$AA,""),"")</f>
        <v/>
      </c>
      <c r="AS212" s="115">
        <f t="shared" si="20"/>
        <v>0.37153125</v>
      </c>
      <c r="AT212" s="130" t="str">
        <f>IFERROR(AVERAGEIFS(
'20102013 Schist Efficacy'!$O:$O, 
'20102013 Schist Efficacy'!$C:$C,$A212, 
'20102013 Schist Efficacy'!$D:$D, "Praziquantel",
'20102013 Schist Efficacy'!$J:$J,"&lt;2014",
'20102013 Schist Efficacy'!$U:$U,""),
"")</f>
        <v/>
      </c>
      <c r="AU212" s="118">
        <f t="shared" si="21"/>
        <v>0.655</v>
      </c>
      <c r="AV212" s="131" t="str">
        <f>IFERROR(AVERAGEIFS(
'20102013 STH Efficacy'!$AX:$AX, 
'20102013 STH Efficacy'!$AL:$AL, $A212, 
'20102013 STH Efficacy'!$AM:$AM, "Albendazole",
'20102013 STH Efficacy'!$AS:$AS,"&lt;2014",
'20102013 STH Efficacy'!$BP:$BP,""),
"")</f>
        <v/>
      </c>
      <c r="AW212" s="132">
        <f t="shared" si="22"/>
        <v>0.3933333333</v>
      </c>
      <c r="AX212" s="131" t="str">
        <f>IFERROR(AVERAGEIFS(
'20102013 STH Efficacy'!$AX:$AX, 
'20102013 STH Efficacy'!$AL:$AL, $A212, 
'20102013 STH Efficacy'!$AM:$AM, "Mebendazole",
'20102013 STH Efficacy'!$AS:$AS,"&lt;2014",
'20102013 STH Efficacy'!$BP:$BP,""),
"")</f>
        <v/>
      </c>
      <c r="AY212" s="132">
        <f t="shared" si="23"/>
        <v>0.5017738095</v>
      </c>
      <c r="AZ212" s="131" t="str">
        <f>IFERROR(AVERAGEIFS(
'20102013 STH Efficacy'!$AX:$AX, 
'20102013 STH Efficacy'!$AL:$AL, $A212, 
'20102013 STH Efficacy'!$AM:$AM, "Albendazole &amp; Ivermectin",
'20102013 STH Efficacy'!$AS:$AS,"&lt;2014",
'20102013 STH Efficacy'!$BP:$BP,""),
"")</f>
        <v/>
      </c>
      <c r="BA212" s="303">
        <f t="shared" si="24"/>
        <v>0.597625</v>
      </c>
      <c r="BB212" s="134" t="str">
        <f>IFERROR(AVERAGEIFS(
'20102013 STH Efficacy'!$N:$N, 
'20102013 STH Efficacy'!$B:$B, $A212, 
'20102013 STH Efficacy'!$C:$C, "Albendazole",
'20102013 STH Efficacy'!$I:$I,"&lt;2014",
'20102013 STH Efficacy'!$AH:$AH,""),
"")</f>
        <v/>
      </c>
      <c r="BC212" s="135">
        <f t="shared" si="25"/>
        <v>0.7613712121</v>
      </c>
      <c r="BD212" s="134" t="str">
        <f>IFERROR(AVERAGEIFS(
'20102013 STH Efficacy'!$N:$N, 
'20102013 STH Efficacy'!$B:$B, $A212, 
'20102013 STH Efficacy'!$C:$C, "Mebendazole",
'20102013 STH Efficacy'!$I:$I,"&lt;2014",
'20102013 STH Efficacy'!$AH:$AH,""),
"")</f>
        <v/>
      </c>
      <c r="BE212" s="135">
        <f t="shared" si="26"/>
        <v>0.4362466667</v>
      </c>
      <c r="BF212" s="128" t="str">
        <f>IFERROR(AVERAGEIFS(
'20102013 STH Efficacy'!$CD:$CD, 
'20102013 STH Efficacy'!$BS:$BS, $A212, 
'20102013 STH Efficacy'!$BT:$BT, "Albendazole",
'20102013 STH Efficacy'!$BZ:$BZ,"&lt;2014",
'20102013 STH Efficacy'!$CU:$CU,""),
"")</f>
        <v/>
      </c>
      <c r="BG212" s="136">
        <f t="shared" si="27"/>
        <v>0.9216027778</v>
      </c>
      <c r="BH212" s="128" t="str">
        <f>IFERROR(AVERAGEIFS(
'20102013 STH Efficacy'!$CD:$CD, 
'20102013 STH Efficacy'!$BS:$BS, $A212, 
'20102013 STH Efficacy'!$BT:$BT, "Mebendazole",
'20102013 STH Efficacy'!$BZ:$BZ,"&lt;2014",
'20102013 STH Efficacy'!$CU:$CU,""),
"")</f>
        <v/>
      </c>
      <c r="BI212" s="136">
        <f t="shared" si="28"/>
        <v>0.9295857143</v>
      </c>
      <c r="BJ212" s="128" t="str">
        <f>IFERROR(AVERAGEIFS(
'20102013 STH Efficacy'!$CD:$CD, 
'20102013 STH Efficacy'!$BS:$BS, $A212, 
'20102013 STH Efficacy'!$BT:$BT, "Albendazole &amp; Ivermectin",
'20102013 STH Efficacy'!$BZ:$BZ,"&lt;2014",
'20102013 STH Efficacy'!$CU:$CU,""),
"")</f>
        <v/>
      </c>
      <c r="BK212" s="136">
        <f t="shared" si="29"/>
        <v>1</v>
      </c>
      <c r="BL212" s="300" t="str">
        <f>IFERROR(
  AVERAGEIFS(
    'NEW 20102013 Onchocerciasis Eff'!$AO:$AO,
    'NEW 20102013 Onchocerciasis Eff'!$C:$C,$A212,
    'NEW 20102013 Onchocerciasis Eff'!$D:$D,"Ivermectin",
    'NEW 20102013 Onchocerciasis Eff'!$AR:$AR,"&lt;2014",
    'NEW 20102013 Onchocerciasis Eff'!$BG:$BG,"")
,"")</f>
        <v/>
      </c>
      <c r="BM212" s="304">
        <f t="shared" si="30"/>
        <v>0.7808368939</v>
      </c>
      <c r="BN212" s="305">
        <v>0.0</v>
      </c>
      <c r="BO212" s="139">
        <v>1.0</v>
      </c>
      <c r="BP212" s="140">
        <v>0.0</v>
      </c>
      <c r="BQ212" s="141">
        <f t="shared" si="31"/>
        <v>0</v>
      </c>
      <c r="BR212" s="104" t="str">
        <f t="shared" si="32"/>
        <v>0100</v>
      </c>
      <c r="BS212" s="104" t="str">
        <f t="shared" si="33"/>
        <v>MDA3</v>
      </c>
      <c r="BT212" s="142" t="str">
        <f t="shared" si="34"/>
        <v>IVM</v>
      </c>
      <c r="BU212" s="104" t="str">
        <f t="shared" si="50"/>
        <v/>
      </c>
      <c r="BV212" s="104" t="str">
        <f t="shared" si="36"/>
        <v>onch only</v>
      </c>
      <c r="BW212" s="150" t="str">
        <f t="shared" si="37"/>
        <v/>
      </c>
      <c r="BX212" s="150" t="str">
        <f t="shared" si="38"/>
        <v/>
      </c>
      <c r="BY212" s="151" t="str">
        <f t="shared" si="39"/>
        <v/>
      </c>
      <c r="BZ212" s="152" t="str">
        <f t="shared" si="40"/>
        <v/>
      </c>
      <c r="CA212" s="152" t="str">
        <f t="shared" si="41"/>
        <v/>
      </c>
      <c r="CB212" s="152" t="str">
        <f t="shared" si="42"/>
        <v/>
      </c>
      <c r="CC212" s="153" t="str">
        <f t="shared" si="43"/>
        <v/>
      </c>
      <c r="CD212" s="153" t="str">
        <f t="shared" si="44"/>
        <v/>
      </c>
      <c r="CE212" s="154" t="str">
        <f t="shared" si="45"/>
        <v/>
      </c>
      <c r="CF212" s="154" t="str">
        <f t="shared" si="46"/>
        <v/>
      </c>
      <c r="CG212" s="154" t="str">
        <f t="shared" si="47"/>
        <v/>
      </c>
      <c r="CH212" s="313">
        <f t="shared" si="48"/>
        <v>0</v>
      </c>
      <c r="CI212" s="299"/>
    </row>
    <row r="213">
      <c r="A213" s="103" t="s">
        <v>302</v>
      </c>
      <c r="B213" s="104" t="s">
        <v>94</v>
      </c>
      <c r="C213" s="105">
        <v>253142.0</v>
      </c>
      <c r="D213" s="293">
        <v>92.10000000000001</v>
      </c>
      <c r="E213" s="294">
        <v>0.0</v>
      </c>
      <c r="F213" s="307">
        <v>3.586059675</v>
      </c>
      <c r="G213" s="307">
        <v>13.14728137</v>
      </c>
      <c r="H213" s="108">
        <v>16.73334104</v>
      </c>
      <c r="I213" s="109">
        <v>38.0144284</v>
      </c>
      <c r="J213" s="109">
        <v>87.7709044</v>
      </c>
      <c r="K213" s="109">
        <v>125.7853328</v>
      </c>
      <c r="L213" s="112">
        <v>42.97706573</v>
      </c>
      <c r="M213" s="112">
        <v>48.97124938</v>
      </c>
      <c r="N213" s="111">
        <v>91.9483151</v>
      </c>
      <c r="O213" s="298">
        <v>0.0</v>
      </c>
      <c r="P213" s="156"/>
      <c r="Q213" s="156"/>
      <c r="R213" s="121" t="str">
        <f t="shared" si="11"/>
        <v/>
      </c>
      <c r="S213" s="116">
        <f t="shared" si="12"/>
        <v>0.403639098</v>
      </c>
      <c r="T213" s="130"/>
      <c r="U213" s="118">
        <f t="shared" si="13"/>
        <v>0.6259666667</v>
      </c>
      <c r="V213" s="148"/>
      <c r="W213" s="120">
        <f t="shared" si="14"/>
        <v>0.3807857143</v>
      </c>
      <c r="X213" s="119">
        <v>0.4227</v>
      </c>
      <c r="Y213" s="120">
        <f t="shared" si="15"/>
        <v>0.4227</v>
      </c>
      <c r="Z213" s="299"/>
      <c r="AA213" s="299"/>
      <c r="AB213" s="300" t="str">
        <f t="shared" si="16"/>
        <v/>
      </c>
      <c r="AC213" s="301">
        <f t="shared" si="17"/>
        <v>0.6295826791</v>
      </c>
      <c r="AD213" s="122">
        <v>0.0033</v>
      </c>
      <c r="AE213" s="123">
        <v>0.0</v>
      </c>
      <c r="AF213" s="123">
        <v>0.0</v>
      </c>
      <c r="AG213" s="316">
        <v>0.0</v>
      </c>
      <c r="AH213" s="124">
        <v>0.245033773</v>
      </c>
      <c r="AI213" s="317">
        <v>0.0</v>
      </c>
      <c r="AJ213" s="125">
        <v>0.309343661</v>
      </c>
      <c r="AK213" s="319">
        <v>0.0</v>
      </c>
      <c r="AL213" s="319">
        <v>0.0</v>
      </c>
      <c r="AM213" s="302">
        <v>0.0</v>
      </c>
      <c r="AN213" s="149" t="str">
        <f>IFERROR(
  AVERAGEIFS(
    'New 20102013 LF Efficacy'!$J:$J,
    'New 20102013 LF Efficacy'!$D:$D, $A213,
    'New 20102013 LF Efficacy'!$F:$F,"DEC", 
    'New 20102013 LF Efficacy'!$W:$W,"&lt;2014",
    'New 20102013 LF Efficacy'!$AA:$AA,""),
  ""
)</f>
        <v/>
      </c>
      <c r="AO213" s="115">
        <f t="shared" si="18"/>
        <v>0.38</v>
      </c>
      <c r="AP213" s="121" t="str">
        <f>IFERROR(
AVERAGEIFS(
'New 20102013 LF Efficacy'!$J:$J,
'New 20102013 LF Efficacy'!$D:$D,$A213,
'New 20102013 LF Efficacy'!$F:$F,"Albendazole &amp; DEC",
'New 20102013 LF Efficacy'!$W:$W,"&lt;2014",
'New 20102013 LF Efficacy'!$AA:$AA,""),
"")
</f>
        <v/>
      </c>
      <c r="AQ213" s="115">
        <f t="shared" si="19"/>
        <v>0.657</v>
      </c>
      <c r="AR213" s="121" t="str">
        <f>IFERROR(
AVERAGEIFS(
'New 20102013 LF Efficacy'!$J:$J,
'New 20102013 LF Efficacy'!$D:$D,$A213,
'New 20102013 LF Efficacy'!$F:$F,"Albendazole &amp; Ivermectin", 
'New 20102013 LF Efficacy'!$W:$W,"&lt;2014",
'New 20102013 LF Efficacy'!$AA:$AA,""),"")</f>
        <v/>
      </c>
      <c r="AS213" s="115">
        <f t="shared" si="20"/>
        <v>0.37153125</v>
      </c>
      <c r="AT213" s="130" t="str">
        <f>IFERROR(AVERAGEIFS(
'20102013 Schist Efficacy'!$O:$O, 
'20102013 Schist Efficacy'!$C:$C,$A213, 
'20102013 Schist Efficacy'!$D:$D, "Praziquantel",
'20102013 Schist Efficacy'!$J:$J,"&lt;2014",
'20102013 Schist Efficacy'!$U:$U,""),
"")</f>
        <v/>
      </c>
      <c r="AU213" s="118">
        <f t="shared" si="21"/>
        <v>0.9475</v>
      </c>
      <c r="AV213" s="131" t="str">
        <f>IFERROR(AVERAGEIFS(
'20102013 STH Efficacy'!$AX:$AX, 
'20102013 STH Efficacy'!$AL:$AL, $A213, 
'20102013 STH Efficacy'!$AM:$AM, "Albendazole",
'20102013 STH Efficacy'!$AS:$AS,"&lt;2014",
'20102013 STH Efficacy'!$BP:$BP,""),
"")</f>
        <v/>
      </c>
      <c r="AW213" s="132">
        <f t="shared" si="22"/>
        <v>0.3571666667</v>
      </c>
      <c r="AX213" s="131" t="str">
        <f>IFERROR(AVERAGEIFS(
'20102013 STH Efficacy'!$AX:$AX, 
'20102013 STH Efficacy'!$AL:$AL, $A213, 
'20102013 STH Efficacy'!$AM:$AM, "Mebendazole",
'20102013 STH Efficacy'!$AS:$AS,"&lt;2014",
'20102013 STH Efficacy'!$BP:$BP,""),
"")</f>
        <v/>
      </c>
      <c r="AY213" s="132">
        <f t="shared" si="23"/>
        <v>0.4155</v>
      </c>
      <c r="AZ213" s="131" t="str">
        <f>IFERROR(AVERAGEIFS(
'20102013 STH Efficacy'!$AX:$AX, 
'20102013 STH Efficacy'!$AL:$AL, $A213, 
'20102013 STH Efficacy'!$AM:$AM, "Albendazole &amp; Ivermectin",
'20102013 STH Efficacy'!$AS:$AS,"&lt;2014",
'20102013 STH Efficacy'!$BP:$BP,""),
"")</f>
        <v/>
      </c>
      <c r="BA213" s="303">
        <f t="shared" si="24"/>
        <v>0.651</v>
      </c>
      <c r="BB213" s="134" t="str">
        <f>IFERROR(AVERAGEIFS(
'20102013 STH Efficacy'!$N:$N, 
'20102013 STH Efficacy'!$B:$B, $A213, 
'20102013 STH Efficacy'!$C:$C, "Albendazole",
'20102013 STH Efficacy'!$I:$I,"&lt;2014",
'20102013 STH Efficacy'!$AH:$AH,""),
"")</f>
        <v/>
      </c>
      <c r="BC213" s="135">
        <f t="shared" si="25"/>
        <v>0.5769166667</v>
      </c>
      <c r="BD213" s="134" t="str">
        <f>IFERROR(AVERAGEIFS(
'20102013 STH Efficacy'!$N:$N, 
'20102013 STH Efficacy'!$B:$B, $A213, 
'20102013 STH Efficacy'!$C:$C, "Mebendazole",
'20102013 STH Efficacy'!$I:$I,"&lt;2014",
'20102013 STH Efficacy'!$AH:$AH,""),
"")</f>
        <v/>
      </c>
      <c r="BE213" s="135">
        <f t="shared" si="26"/>
        <v>0.3145</v>
      </c>
      <c r="BF213" s="128" t="str">
        <f>IFERROR(AVERAGEIFS(
'20102013 STH Efficacy'!$CD:$CD, 
'20102013 STH Efficacy'!$BS:$BS, $A213, 
'20102013 STH Efficacy'!$BT:$BT, "Albendazole",
'20102013 STH Efficacy'!$BZ:$BZ,"&lt;2014",
'20102013 STH Efficacy'!$CU:$CU,""),
"")</f>
        <v/>
      </c>
      <c r="BG213" s="136">
        <f t="shared" si="27"/>
        <v>0.96925</v>
      </c>
      <c r="BH213" s="128" t="str">
        <f>IFERROR(AVERAGEIFS(
'20102013 STH Efficacy'!$CD:$CD, 
'20102013 STH Efficacy'!$BS:$BS, $A213, 
'20102013 STH Efficacy'!$BT:$BT, "Mebendazole",
'20102013 STH Efficacy'!$BZ:$BZ,"&lt;2014",
'20102013 STH Efficacy'!$CU:$CU,""),
"")</f>
        <v/>
      </c>
      <c r="BI213" s="136">
        <f t="shared" si="28"/>
        <v>0.9305</v>
      </c>
      <c r="BJ213" s="128" t="str">
        <f>IFERROR(AVERAGEIFS(
'20102013 STH Efficacy'!$CD:$CD, 
'20102013 STH Efficacy'!$BS:$BS, $A213, 
'20102013 STH Efficacy'!$BT:$BT, "Albendazole &amp; Ivermectin",
'20102013 STH Efficacy'!$BZ:$BZ,"&lt;2014",
'20102013 STH Efficacy'!$CU:$CU,""),
"")</f>
        <v/>
      </c>
      <c r="BK213" s="136">
        <f t="shared" si="29"/>
        <v>1</v>
      </c>
      <c r="BL213" s="300" t="str">
        <f>IFERROR(
  AVERAGEIFS(
    'NEW 20102013 Onchocerciasis Eff'!$AO:$AO,
    'NEW 20102013 Onchocerciasis Eff'!$C:$C,$A213,
    'NEW 20102013 Onchocerciasis Eff'!$D:$D,"Ivermectin",
    'NEW 20102013 Onchocerciasis Eff'!$AR:$AR,"&lt;2014",
    'NEW 20102013 Onchocerciasis Eff'!$BG:$BG,"")
,"")</f>
        <v/>
      </c>
      <c r="BM213" s="304">
        <f t="shared" si="30"/>
        <v>0.7808368939</v>
      </c>
      <c r="BN213" s="305">
        <v>0.0</v>
      </c>
      <c r="BO213" s="139">
        <v>0.0</v>
      </c>
      <c r="BP213" s="140">
        <v>0.0</v>
      </c>
      <c r="BQ213" s="141">
        <f t="shared" si="31"/>
        <v>0</v>
      </c>
      <c r="BR213" s="104" t="str">
        <f t="shared" si="32"/>
        <v>0000</v>
      </c>
      <c r="BS213" s="104" t="str">
        <f t="shared" si="33"/>
        <v>no action required</v>
      </c>
      <c r="BT213" s="142" t="str">
        <f t="shared" si="34"/>
        <v/>
      </c>
      <c r="BU213" s="104" t="str">
        <f t="shared" si="50"/>
        <v/>
      </c>
      <c r="BV213" s="104" t="str">
        <f t="shared" si="36"/>
        <v>none</v>
      </c>
      <c r="BW213" s="150" t="str">
        <f t="shared" si="37"/>
        <v/>
      </c>
      <c r="BX213" s="150" t="str">
        <f t="shared" si="38"/>
        <v/>
      </c>
      <c r="BY213" s="151" t="str">
        <f t="shared" si="39"/>
        <v/>
      </c>
      <c r="BZ213" s="152" t="str">
        <f t="shared" si="40"/>
        <v/>
      </c>
      <c r="CA213" s="152" t="str">
        <f t="shared" si="41"/>
        <v/>
      </c>
      <c r="CB213" s="152" t="str">
        <f t="shared" si="42"/>
        <v/>
      </c>
      <c r="CC213" s="153" t="str">
        <f t="shared" si="43"/>
        <v/>
      </c>
      <c r="CD213" s="153" t="str">
        <f t="shared" si="44"/>
        <v/>
      </c>
      <c r="CE213" s="154" t="str">
        <f t="shared" si="45"/>
        <v/>
      </c>
      <c r="CF213" s="154" t="str">
        <f t="shared" si="46"/>
        <v/>
      </c>
      <c r="CG213" s="154" t="str">
        <f t="shared" si="47"/>
        <v/>
      </c>
      <c r="CH213" s="308" t="str">
        <f t="shared" si="48"/>
        <v/>
      </c>
      <c r="CI213" s="299"/>
    </row>
    <row r="214">
      <c r="A214" s="155" t="s">
        <v>303</v>
      </c>
      <c r="B214" s="104" t="s">
        <v>98</v>
      </c>
      <c r="C214" s="105">
        <v>3.0317848E7</v>
      </c>
      <c r="D214" s="293">
        <v>0.0</v>
      </c>
      <c r="E214" s="294">
        <v>5028.498609</v>
      </c>
      <c r="F214" s="307">
        <v>664.2089132</v>
      </c>
      <c r="G214" s="307">
        <v>2733.463396</v>
      </c>
      <c r="H214" s="157">
        <v>3397.672309</v>
      </c>
      <c r="I214" s="110">
        <v>637.328033</v>
      </c>
      <c r="J214" s="109">
        <v>757.255908</v>
      </c>
      <c r="K214" s="110">
        <v>1394.583941</v>
      </c>
      <c r="L214" s="111">
        <v>1024.3293</v>
      </c>
      <c r="M214" s="111">
        <v>1721.560089</v>
      </c>
      <c r="N214" s="111">
        <v>2745.889389</v>
      </c>
      <c r="O214" s="298">
        <v>861.9538227</v>
      </c>
      <c r="P214" s="114"/>
      <c r="Q214" s="114"/>
      <c r="R214" s="121" t="str">
        <f t="shared" si="11"/>
        <v/>
      </c>
      <c r="S214" s="116">
        <f t="shared" si="12"/>
        <v>0.2288425133</v>
      </c>
      <c r="T214" s="130"/>
      <c r="U214" s="118">
        <f t="shared" si="13"/>
        <v>0.39435</v>
      </c>
      <c r="V214" s="148"/>
      <c r="W214" s="120">
        <f t="shared" si="14"/>
        <v>0.542475</v>
      </c>
      <c r="X214" s="148"/>
      <c r="Y214" s="120">
        <f t="shared" si="15"/>
        <v>0.6507333333</v>
      </c>
      <c r="Z214" s="310">
        <v>12800.0</v>
      </c>
      <c r="AA214" s="299"/>
      <c r="AB214" s="300">
        <f t="shared" si="16"/>
        <v>0</v>
      </c>
      <c r="AC214" s="301">
        <f t="shared" si="17"/>
        <v>0.3490201688</v>
      </c>
      <c r="AD214" s="122">
        <v>0.0</v>
      </c>
      <c r="AE214" s="123">
        <v>0.02</v>
      </c>
      <c r="AF214" s="123">
        <v>3.0E-4</v>
      </c>
      <c r="AG214" s="316">
        <v>0.0</v>
      </c>
      <c r="AH214" s="124">
        <v>0.332263363</v>
      </c>
      <c r="AI214" s="317">
        <v>0.0</v>
      </c>
      <c r="AJ214" s="125">
        <v>0.034419053</v>
      </c>
      <c r="AK214" s="319">
        <v>0.0</v>
      </c>
      <c r="AL214" s="319">
        <v>0.0</v>
      </c>
      <c r="AM214" s="302">
        <v>3.0E-4</v>
      </c>
      <c r="AN214" s="149" t="str">
        <f>IFERROR(
  AVERAGEIFS(
    'New 20102013 LF Efficacy'!$J:$J,
    'New 20102013 LF Efficacy'!$D:$D, $A214,
    'New 20102013 LF Efficacy'!$F:$F,"DEC", 
    'New 20102013 LF Efficacy'!$W:$W,"&lt;2014",
    'New 20102013 LF Efficacy'!$AA:$AA,""),
  ""
)</f>
        <v/>
      </c>
      <c r="AO214" s="115">
        <f t="shared" si="18"/>
        <v>0.2589833333</v>
      </c>
      <c r="AP214" s="121" t="str">
        <f>IFERROR(
AVERAGEIFS(
'New 20102013 LF Efficacy'!$J:$J,
'New 20102013 LF Efficacy'!$D:$D,$A214,
'New 20102013 LF Efficacy'!$F:$F,"Albendazole &amp; DEC",
'New 20102013 LF Efficacy'!$W:$W,"&lt;2014",
'New 20102013 LF Efficacy'!$AA:$AA,""),
"")
</f>
        <v/>
      </c>
      <c r="AQ214" s="115">
        <f t="shared" si="19"/>
        <v>0.3465</v>
      </c>
      <c r="AR214" s="121" t="str">
        <f>IFERROR(
AVERAGEIFS(
'New 20102013 LF Efficacy'!$J:$J,
'New 20102013 LF Efficacy'!$D:$D,$A214,
'New 20102013 LF Efficacy'!$F:$F,"Albendazole &amp; Ivermectin", 
'New 20102013 LF Efficacy'!$W:$W,"&lt;2014",
'New 20102013 LF Efficacy'!$AA:$AA,""),"")</f>
        <v/>
      </c>
      <c r="AS214" s="115">
        <f t="shared" si="20"/>
        <v>0.7575</v>
      </c>
      <c r="AT214" s="130" t="str">
        <f>IFERROR(AVERAGEIFS(
'20102013 Schist Efficacy'!$O:$O, 
'20102013 Schist Efficacy'!$C:$C,$A214, 
'20102013 Schist Efficacy'!$D:$D, "Praziquantel",
'20102013 Schist Efficacy'!$J:$J,"&lt;2014",
'20102013 Schist Efficacy'!$U:$U,""),
"")</f>
        <v/>
      </c>
      <c r="AU214" s="118">
        <f t="shared" si="21"/>
        <v>0.7914761905</v>
      </c>
      <c r="AV214" s="131" t="str">
        <f>IFERROR(AVERAGEIFS(
'20102013 STH Efficacy'!$AX:$AX, 
'20102013 STH Efficacy'!$AL:$AL, $A214, 
'20102013 STH Efficacy'!$AM:$AM, "Albendazole",
'20102013 STH Efficacy'!$AS:$AS,"&lt;2014",
'20102013 STH Efficacy'!$BP:$BP,""),
"")</f>
        <v/>
      </c>
      <c r="AW214" s="132">
        <f t="shared" si="22"/>
        <v>0.3945</v>
      </c>
      <c r="AX214" s="131" t="str">
        <f>IFERROR(AVERAGEIFS(
'20102013 STH Efficacy'!$AX:$AX, 
'20102013 STH Efficacy'!$AL:$AL, $A214, 
'20102013 STH Efficacy'!$AM:$AM, "Mebendazole",
'20102013 STH Efficacy'!$AS:$AS,"&lt;2014",
'20102013 STH Efficacy'!$BP:$BP,""),
"")</f>
        <v/>
      </c>
      <c r="AY214" s="132">
        <f t="shared" si="23"/>
        <v>0.6</v>
      </c>
      <c r="AZ214" s="131" t="str">
        <f>IFERROR(AVERAGEIFS(
'20102013 STH Efficacy'!$AX:$AX, 
'20102013 STH Efficacy'!$AL:$AL, $A214, 
'20102013 STH Efficacy'!$AM:$AM, "Albendazole &amp; Ivermectin",
'20102013 STH Efficacy'!$AS:$AS,"&lt;2014",
'20102013 STH Efficacy'!$BP:$BP,""),
"")</f>
        <v/>
      </c>
      <c r="BA214" s="303">
        <f t="shared" si="24"/>
        <v>0.796</v>
      </c>
      <c r="BB214" s="134" t="str">
        <f>IFERROR(AVERAGEIFS(
'20102013 STH Efficacy'!$N:$N, 
'20102013 STH Efficacy'!$B:$B, $A214, 
'20102013 STH Efficacy'!$C:$C, "Albendazole",
'20102013 STH Efficacy'!$I:$I,"&lt;2014",
'20102013 STH Efficacy'!$AH:$AH,""),
"")</f>
        <v/>
      </c>
      <c r="BC214" s="135">
        <f t="shared" si="25"/>
        <v>0.869</v>
      </c>
      <c r="BD214" s="134" t="str">
        <f>IFERROR(AVERAGEIFS(
'20102013 STH Efficacy'!$N:$N, 
'20102013 STH Efficacy'!$B:$B, $A214, 
'20102013 STH Efficacy'!$C:$C, "Mebendazole",
'20102013 STH Efficacy'!$I:$I,"&lt;2014",
'20102013 STH Efficacy'!$AH:$AH,""),
"")</f>
        <v/>
      </c>
      <c r="BE214" s="135">
        <f t="shared" si="26"/>
        <v>0.172</v>
      </c>
      <c r="BF214" s="128" t="str">
        <f>IFERROR(AVERAGEIFS(
'20102013 STH Efficacy'!$CD:$CD, 
'20102013 STH Efficacy'!$BS:$BS, $A214, 
'20102013 STH Efficacy'!$BT:$BT, "Albendazole",
'20102013 STH Efficacy'!$BZ:$BZ,"&lt;2014",
'20102013 STH Efficacy'!$CU:$CU,""),
"")</f>
        <v/>
      </c>
      <c r="BG214" s="136">
        <f t="shared" si="27"/>
        <v>0.9862</v>
      </c>
      <c r="BH214" s="128" t="str">
        <f>IFERROR(AVERAGEIFS(
'20102013 STH Efficacy'!$CD:$CD, 
'20102013 STH Efficacy'!$BS:$BS, $A214, 
'20102013 STH Efficacy'!$BT:$BT, "Mebendazole",
'20102013 STH Efficacy'!$BZ:$BZ,"&lt;2014",
'20102013 STH Efficacy'!$CU:$CU,""),
"")</f>
        <v/>
      </c>
      <c r="BI214" s="136">
        <f t="shared" si="28"/>
        <v>0.769</v>
      </c>
      <c r="BJ214" s="128" t="str">
        <f>IFERROR(AVERAGEIFS(
'20102013 STH Efficacy'!$CD:$CD, 
'20102013 STH Efficacy'!$BS:$BS, $A214, 
'20102013 STH Efficacy'!$BT:$BT, "Albendazole &amp; Ivermectin",
'20102013 STH Efficacy'!$BZ:$BZ,"&lt;2014",
'20102013 STH Efficacy'!$CU:$CU,""),
"")</f>
        <v/>
      </c>
      <c r="BK214" s="136">
        <f t="shared" si="29"/>
        <v>1</v>
      </c>
      <c r="BL214" s="300" t="str">
        <f>IFERROR(
  AVERAGEIFS(
    'NEW 20102013 Onchocerciasis Eff'!$AO:$AO,
    'NEW 20102013 Onchocerciasis Eff'!$C:$C,$A214,
    'NEW 20102013 Onchocerciasis Eff'!$D:$D,"Ivermectin",
    'NEW 20102013 Onchocerciasis Eff'!$AR:$AR,"&lt;2014",
    'NEW 20102013 Onchocerciasis Eff'!$BG:$BG,"")
,"")</f>
        <v/>
      </c>
      <c r="BM214" s="304">
        <f t="shared" si="30"/>
        <v>0.3734</v>
      </c>
      <c r="BN214" s="305">
        <v>0.0</v>
      </c>
      <c r="BO214" s="139">
        <v>0.0</v>
      </c>
      <c r="BP214" s="140">
        <v>1.0</v>
      </c>
      <c r="BQ214" s="141">
        <f t="shared" si="31"/>
        <v>0</v>
      </c>
      <c r="BR214" s="104" t="str">
        <f t="shared" si="32"/>
        <v>0010</v>
      </c>
      <c r="BS214" s="104" t="str">
        <f t="shared" si="33"/>
        <v>T2</v>
      </c>
      <c r="BT214" s="142" t="str">
        <f t="shared" si="34"/>
        <v>PZQ</v>
      </c>
      <c r="BU214" s="104" t="str">
        <f t="shared" si="50"/>
        <v>PZQ</v>
      </c>
      <c r="BV214" s="104" t="str">
        <f t="shared" si="36"/>
        <v>schist only</v>
      </c>
      <c r="BW214" s="150" t="str">
        <f t="shared" si="37"/>
        <v/>
      </c>
      <c r="BX214" s="150" t="str">
        <f t="shared" si="38"/>
        <v/>
      </c>
      <c r="BY214" s="162">
        <f t="shared" si="39"/>
        <v>2281.626174</v>
      </c>
      <c r="BZ214" s="152" t="str">
        <f t="shared" si="40"/>
        <v/>
      </c>
      <c r="CA214" s="152" t="str">
        <f t="shared" si="41"/>
        <v/>
      </c>
      <c r="CB214" s="152" t="str">
        <f t="shared" si="42"/>
        <v/>
      </c>
      <c r="CC214" s="153" t="str">
        <f t="shared" si="43"/>
        <v/>
      </c>
      <c r="CD214" s="153" t="str">
        <f t="shared" si="44"/>
        <v/>
      </c>
      <c r="CE214" s="154" t="str">
        <f t="shared" si="45"/>
        <v/>
      </c>
      <c r="CF214" s="154" t="str">
        <f t="shared" si="46"/>
        <v/>
      </c>
      <c r="CG214" s="154" t="str">
        <f t="shared" si="47"/>
        <v/>
      </c>
      <c r="CH214" s="308" t="str">
        <f t="shared" si="48"/>
        <v/>
      </c>
      <c r="CI214" s="299"/>
    </row>
    <row r="215">
      <c r="A215" s="103" t="s">
        <v>304</v>
      </c>
      <c r="B215" s="104" t="s">
        <v>94</v>
      </c>
      <c r="C215" s="105">
        <v>8.97595E7</v>
      </c>
      <c r="D215" s="293">
        <v>1432.0700000000002</v>
      </c>
      <c r="E215" s="321">
        <v>0.0</v>
      </c>
      <c r="F215" s="322">
        <v>564.3527982</v>
      </c>
      <c r="G215" s="322">
        <v>12.72095266</v>
      </c>
      <c r="H215" s="157">
        <v>577.0737508</v>
      </c>
      <c r="I215" s="110">
        <v>0.0</v>
      </c>
      <c r="J215" s="110">
        <v>0.0</v>
      </c>
      <c r="K215" s="110">
        <v>4062.361267</v>
      </c>
      <c r="L215" s="111">
        <v>3519.340554</v>
      </c>
      <c r="M215" s="111">
        <v>321.3061388</v>
      </c>
      <c r="N215" s="111">
        <v>3840.646693</v>
      </c>
      <c r="O215" s="298">
        <v>0.0</v>
      </c>
      <c r="P215" s="156"/>
      <c r="Q215" s="156"/>
      <c r="R215" s="121" t="str">
        <f t="shared" si="11"/>
        <v/>
      </c>
      <c r="S215" s="116">
        <f t="shared" si="12"/>
        <v>0.403639098</v>
      </c>
      <c r="T215" s="130"/>
      <c r="U215" s="118">
        <f t="shared" si="13"/>
        <v>0.6259666667</v>
      </c>
      <c r="V215" s="119">
        <v>0.4257</v>
      </c>
      <c r="W215" s="120">
        <f t="shared" si="14"/>
        <v>0.4257</v>
      </c>
      <c r="X215" s="119">
        <v>0.6774</v>
      </c>
      <c r="Y215" s="120">
        <f t="shared" si="15"/>
        <v>0.6774</v>
      </c>
      <c r="Z215" s="299"/>
      <c r="AA215" s="299"/>
      <c r="AB215" s="300" t="str">
        <f t="shared" si="16"/>
        <v/>
      </c>
      <c r="AC215" s="301">
        <f t="shared" si="17"/>
        <v>0.6295826791</v>
      </c>
      <c r="AD215" s="122">
        <v>3.0E-4</v>
      </c>
      <c r="AE215" s="123">
        <v>0.0</v>
      </c>
      <c r="AF215" s="123">
        <v>0.0</v>
      </c>
      <c r="AG215" s="316">
        <v>0.0</v>
      </c>
      <c r="AH215" s="124">
        <v>0.025417777</v>
      </c>
      <c r="AI215" s="317">
        <v>0.0</v>
      </c>
      <c r="AJ215" s="317">
        <v>0.017000513</v>
      </c>
      <c r="AK215" s="319">
        <v>0.0</v>
      </c>
      <c r="AL215" s="319">
        <v>0.0</v>
      </c>
      <c r="AM215" s="302">
        <v>0.0</v>
      </c>
      <c r="AN215" s="149" t="str">
        <f>IFERROR(
  AVERAGEIFS(
    'New 20102013 LF Efficacy'!$J:$J,
    'New 20102013 LF Efficacy'!$D:$D, $A215,
    'New 20102013 LF Efficacy'!$F:$F,"DEC", 
    'New 20102013 LF Efficacy'!$W:$W,"&lt;2014",
    'New 20102013 LF Efficacy'!$AA:$AA,""),
  ""
)</f>
        <v/>
      </c>
      <c r="AO215" s="115">
        <f t="shared" si="18"/>
        <v>0.38</v>
      </c>
      <c r="AP215" s="121" t="str">
        <f>IFERROR(
AVERAGEIFS(
'New 20102013 LF Efficacy'!$J:$J,
'New 20102013 LF Efficacy'!$D:$D,$A215,
'New 20102013 LF Efficacy'!$F:$F,"Albendazole &amp; DEC",
'New 20102013 LF Efficacy'!$W:$W,"&lt;2014",
'New 20102013 LF Efficacy'!$AA:$AA,""),
"")
</f>
        <v/>
      </c>
      <c r="AQ215" s="115">
        <f t="shared" si="19"/>
        <v>0.657</v>
      </c>
      <c r="AR215" s="121" t="str">
        <f>IFERROR(
AVERAGEIFS(
'New 20102013 LF Efficacy'!$J:$J,
'New 20102013 LF Efficacy'!$D:$D,$A215,
'New 20102013 LF Efficacy'!$F:$F,"Albendazole &amp; Ivermectin", 
'New 20102013 LF Efficacy'!$W:$W,"&lt;2014",
'New 20102013 LF Efficacy'!$AA:$AA,""),"")</f>
        <v/>
      </c>
      <c r="AS215" s="115">
        <f t="shared" si="20"/>
        <v>0.37153125</v>
      </c>
      <c r="AT215" s="130" t="str">
        <f>IFERROR(AVERAGEIFS(
'20102013 Schist Efficacy'!$O:$O, 
'20102013 Schist Efficacy'!$C:$C,$A215, 
'20102013 Schist Efficacy'!$D:$D, "Praziquantel",
'20102013 Schist Efficacy'!$J:$J,"&lt;2014",
'20102013 Schist Efficacy'!$U:$U,""),
"")</f>
        <v/>
      </c>
      <c r="AU215" s="118">
        <f t="shared" si="21"/>
        <v>0.9475</v>
      </c>
      <c r="AV215" s="131" t="str">
        <f>IFERROR(AVERAGEIFS(
'20102013 STH Efficacy'!$AX:$AX, 
'20102013 STH Efficacy'!$AL:$AL, $A215, 
'20102013 STH Efficacy'!$AM:$AM, "Albendazole",
'20102013 STH Efficacy'!$AS:$AS,"&lt;2014",
'20102013 STH Efficacy'!$BP:$BP,""),
"")</f>
        <v/>
      </c>
      <c r="AW215" s="132">
        <f t="shared" si="22"/>
        <v>0.3571666667</v>
      </c>
      <c r="AX215" s="131" t="str">
        <f>IFERROR(AVERAGEIFS(
'20102013 STH Efficacy'!$AX:$AX, 
'20102013 STH Efficacy'!$AL:$AL, $A215, 
'20102013 STH Efficacy'!$AM:$AM, "Mebendazole",
'20102013 STH Efficacy'!$AS:$AS,"&lt;2014",
'20102013 STH Efficacy'!$BP:$BP,""),
"")</f>
        <v/>
      </c>
      <c r="AY215" s="132">
        <f t="shared" si="23"/>
        <v>0.4155</v>
      </c>
      <c r="AZ215" s="131" t="str">
        <f>IFERROR(AVERAGEIFS(
'20102013 STH Efficacy'!$AX:$AX, 
'20102013 STH Efficacy'!$AL:$AL, $A215, 
'20102013 STH Efficacy'!$AM:$AM, "Albendazole &amp; Ivermectin",
'20102013 STH Efficacy'!$AS:$AS,"&lt;2014",
'20102013 STH Efficacy'!$BP:$BP,""),
"")</f>
        <v/>
      </c>
      <c r="BA215" s="303">
        <f t="shared" si="24"/>
        <v>0.651</v>
      </c>
      <c r="BB215" s="134">
        <f>IFERROR(AVERAGEIFS(
'20102013 STH Efficacy'!$N:$N, 
'20102013 STH Efficacy'!$B:$B, $A215, 
'20102013 STH Efficacy'!$C:$C, "Albendazole",
'20102013 STH Efficacy'!$I:$I,"&lt;2014",
'20102013 STH Efficacy'!$AH:$AH,""),
"")</f>
        <v>0.62</v>
      </c>
      <c r="BC215" s="135">
        <f t="shared" si="25"/>
        <v>0.62</v>
      </c>
      <c r="BD215" s="134">
        <f>IFERROR(AVERAGEIFS(
'20102013 STH Efficacy'!$N:$N, 
'20102013 STH Efficacy'!$B:$B, $A215, 
'20102013 STH Efficacy'!$C:$C, "Mebendazole",
'20102013 STH Efficacy'!$I:$I,"&lt;2014",
'20102013 STH Efficacy'!$AH:$AH,""),
"")</f>
        <v>0.32</v>
      </c>
      <c r="BE215" s="135">
        <f t="shared" si="26"/>
        <v>0.32</v>
      </c>
      <c r="BF215" s="128" t="str">
        <f>IFERROR(AVERAGEIFS(
'20102013 STH Efficacy'!$CD:$CD, 
'20102013 STH Efficacy'!$BS:$BS, $A215, 
'20102013 STH Efficacy'!$BT:$BT, "Albendazole",
'20102013 STH Efficacy'!$BZ:$BZ,"&lt;2014",
'20102013 STH Efficacy'!$CU:$CU,""),
"")</f>
        <v/>
      </c>
      <c r="BG215" s="136">
        <f t="shared" si="27"/>
        <v>0.96925</v>
      </c>
      <c r="BH215" s="128" t="str">
        <f>IFERROR(AVERAGEIFS(
'20102013 STH Efficacy'!$CD:$CD, 
'20102013 STH Efficacy'!$BS:$BS, $A215, 
'20102013 STH Efficacy'!$BT:$BT, "Mebendazole",
'20102013 STH Efficacy'!$BZ:$BZ,"&lt;2014",
'20102013 STH Efficacy'!$CU:$CU,""),
"")</f>
        <v/>
      </c>
      <c r="BI215" s="136">
        <f t="shared" si="28"/>
        <v>0.9305</v>
      </c>
      <c r="BJ215" s="128" t="str">
        <f>IFERROR(AVERAGEIFS(
'20102013 STH Efficacy'!$CD:$CD, 
'20102013 STH Efficacy'!$BS:$BS, $A215, 
'20102013 STH Efficacy'!$BT:$BT, "Albendazole &amp; Ivermectin",
'20102013 STH Efficacy'!$BZ:$BZ,"&lt;2014",
'20102013 STH Efficacy'!$CU:$CU,""),
"")</f>
        <v/>
      </c>
      <c r="BK215" s="136">
        <f t="shared" si="29"/>
        <v>1</v>
      </c>
      <c r="BL215" s="300" t="str">
        <f>IFERROR(
  AVERAGEIFS(
    'NEW 20102013 Onchocerciasis Eff'!$AO:$AO,
    'NEW 20102013 Onchocerciasis Eff'!$C:$C,$A215,
    'NEW 20102013 Onchocerciasis Eff'!$D:$D,"Ivermectin",
    'NEW 20102013 Onchocerciasis Eff'!$AR:$AR,"&lt;2014",
    'NEW 20102013 Onchocerciasis Eff'!$BG:$BG,"")
,"")</f>
        <v/>
      </c>
      <c r="BM215" s="304">
        <f t="shared" si="30"/>
        <v>0.7808368939</v>
      </c>
      <c r="BN215" s="305">
        <v>0.0</v>
      </c>
      <c r="BO215" s="139">
        <v>0.0</v>
      </c>
      <c r="BP215" s="140">
        <v>0.0</v>
      </c>
      <c r="BQ215" s="141">
        <f t="shared" si="31"/>
        <v>0</v>
      </c>
      <c r="BR215" s="104" t="str">
        <f t="shared" si="32"/>
        <v>0000</v>
      </c>
      <c r="BS215" s="104" t="str">
        <f t="shared" si="33"/>
        <v>no action required</v>
      </c>
      <c r="BT215" s="142" t="str">
        <f t="shared" si="34"/>
        <v/>
      </c>
      <c r="BU215" s="104" t="str">
        <f t="shared" si="50"/>
        <v/>
      </c>
      <c r="BV215" s="104" t="str">
        <f t="shared" si="36"/>
        <v>none</v>
      </c>
      <c r="BW215" s="150" t="str">
        <f t="shared" si="37"/>
        <v/>
      </c>
      <c r="BX215" s="150" t="str">
        <f t="shared" si="38"/>
        <v/>
      </c>
      <c r="BY215" s="151" t="str">
        <f t="shared" si="39"/>
        <v/>
      </c>
      <c r="BZ215" s="152" t="str">
        <f t="shared" si="40"/>
        <v/>
      </c>
      <c r="CA215" s="152" t="str">
        <f t="shared" si="41"/>
        <v/>
      </c>
      <c r="CB215" s="152" t="str">
        <f t="shared" si="42"/>
        <v/>
      </c>
      <c r="CC215" s="153" t="str">
        <f t="shared" si="43"/>
        <v/>
      </c>
      <c r="CD215" s="153" t="str">
        <f t="shared" si="44"/>
        <v/>
      </c>
      <c r="CE215" s="154" t="str">
        <f t="shared" si="45"/>
        <v/>
      </c>
      <c r="CF215" s="154" t="str">
        <f t="shared" si="46"/>
        <v/>
      </c>
      <c r="CG215" s="154" t="str">
        <f t="shared" si="47"/>
        <v/>
      </c>
      <c r="CH215" s="308" t="str">
        <f t="shared" si="48"/>
        <v/>
      </c>
      <c r="CI215" s="299"/>
    </row>
    <row r="216">
      <c r="A216" s="155" t="s">
        <v>305</v>
      </c>
      <c r="B216" s="104" t="s">
        <v>94</v>
      </c>
      <c r="C216" s="105">
        <v>12197.0</v>
      </c>
      <c r="D216" s="293">
        <v>0.0</v>
      </c>
      <c r="E216" s="294">
        <v>0.0</v>
      </c>
      <c r="F216" s="325"/>
      <c r="G216" s="325"/>
      <c r="H216" s="108">
        <v>0.0</v>
      </c>
      <c r="I216" s="109">
        <v>0.0</v>
      </c>
      <c r="J216" s="109">
        <v>0.0</v>
      </c>
      <c r="K216" s="109">
        <v>0.0</v>
      </c>
      <c r="L216" s="113"/>
      <c r="M216" s="113"/>
      <c r="N216" s="111">
        <v>0.0</v>
      </c>
      <c r="O216" s="298">
        <v>0.0</v>
      </c>
      <c r="P216" s="156"/>
      <c r="Q216" s="156"/>
      <c r="R216" s="121" t="str">
        <f t="shared" si="11"/>
        <v/>
      </c>
      <c r="S216" s="116">
        <f t="shared" si="12"/>
        <v>0.403639098</v>
      </c>
      <c r="T216" s="118">
        <v>0.782</v>
      </c>
      <c r="U216" s="118">
        <f t="shared" si="13"/>
        <v>0.782</v>
      </c>
      <c r="V216" s="148"/>
      <c r="W216" s="120">
        <f t="shared" si="14"/>
        <v>0.3807857143</v>
      </c>
      <c r="X216" s="148"/>
      <c r="Y216" s="120">
        <f t="shared" si="15"/>
        <v>0.3971375</v>
      </c>
      <c r="Z216" s="299"/>
      <c r="AA216" s="299"/>
      <c r="AB216" s="300" t="str">
        <f t="shared" si="16"/>
        <v/>
      </c>
      <c r="AC216" s="301">
        <f t="shared" si="17"/>
        <v>0.6295826791</v>
      </c>
      <c r="AD216" s="314">
        <v>0.0</v>
      </c>
      <c r="AE216" s="315">
        <v>0.0</v>
      </c>
      <c r="AF216" s="166">
        <v>0.0</v>
      </c>
      <c r="AG216" s="316">
        <v>0.0</v>
      </c>
      <c r="AH216" s="307">
        <v>0.0</v>
      </c>
      <c r="AI216" s="317">
        <v>0.0</v>
      </c>
      <c r="AJ216" s="318">
        <v>0.0</v>
      </c>
      <c r="AK216" s="319">
        <v>0.0</v>
      </c>
      <c r="AL216" s="319">
        <v>0.0</v>
      </c>
      <c r="AM216" s="320">
        <v>0.0</v>
      </c>
      <c r="AN216" s="149" t="str">
        <f>IFERROR(
  AVERAGEIFS(
    'New 20102013 LF Efficacy'!$J:$J,
    'New 20102013 LF Efficacy'!$D:$D, $A216,
    'New 20102013 LF Efficacy'!$F:$F,"DEC", 
    'New 20102013 LF Efficacy'!$W:$W,"&lt;2014",
    'New 20102013 LF Efficacy'!$AA:$AA,""),
  ""
)</f>
        <v/>
      </c>
      <c r="AO216" s="115">
        <f t="shared" si="18"/>
        <v>0.38</v>
      </c>
      <c r="AP216" s="121" t="str">
        <f>IFERROR(
AVERAGEIFS(
'New 20102013 LF Efficacy'!$J:$J,
'New 20102013 LF Efficacy'!$D:$D,$A216,
'New 20102013 LF Efficacy'!$F:$F,"Albendazole &amp; DEC",
'New 20102013 LF Efficacy'!$W:$W,"&lt;2014",
'New 20102013 LF Efficacy'!$AA:$AA,""),
"")
</f>
        <v/>
      </c>
      <c r="AQ216" s="115">
        <f t="shared" si="19"/>
        <v>0.657</v>
      </c>
      <c r="AR216" s="121" t="str">
        <f>IFERROR(
AVERAGEIFS(
'New 20102013 LF Efficacy'!$J:$J,
'New 20102013 LF Efficacy'!$D:$D,$A216,
'New 20102013 LF Efficacy'!$F:$F,"Albendazole &amp; Ivermectin", 
'New 20102013 LF Efficacy'!$W:$W,"&lt;2014",
'New 20102013 LF Efficacy'!$AA:$AA,""),"")</f>
        <v/>
      </c>
      <c r="AS216" s="115">
        <f t="shared" si="20"/>
        <v>0.37153125</v>
      </c>
      <c r="AT216" s="130" t="str">
        <f>IFERROR(AVERAGEIFS(
'20102013 Schist Efficacy'!$O:$O, 
'20102013 Schist Efficacy'!$C:$C,$A216, 
'20102013 Schist Efficacy'!$D:$D, "Praziquantel",
'20102013 Schist Efficacy'!$J:$J,"&lt;2014",
'20102013 Schist Efficacy'!$U:$U,""),
"")</f>
        <v/>
      </c>
      <c r="AU216" s="118">
        <f t="shared" si="21"/>
        <v>0.9475</v>
      </c>
      <c r="AV216" s="131" t="str">
        <f>IFERROR(AVERAGEIFS(
'20102013 STH Efficacy'!$AX:$AX, 
'20102013 STH Efficacy'!$AL:$AL, $A216, 
'20102013 STH Efficacy'!$AM:$AM, "Albendazole",
'20102013 STH Efficacy'!$AS:$AS,"&lt;2014",
'20102013 STH Efficacy'!$BP:$BP,""),
"")</f>
        <v/>
      </c>
      <c r="AW216" s="132">
        <f t="shared" si="22"/>
        <v>0.3571666667</v>
      </c>
      <c r="AX216" s="131" t="str">
        <f>IFERROR(AVERAGEIFS(
'20102013 STH Efficacy'!$AX:$AX, 
'20102013 STH Efficacy'!$AL:$AL, $A216, 
'20102013 STH Efficacy'!$AM:$AM, "Mebendazole",
'20102013 STH Efficacy'!$AS:$AS,"&lt;2014",
'20102013 STH Efficacy'!$BP:$BP,""),
"")</f>
        <v/>
      </c>
      <c r="AY216" s="132">
        <f t="shared" si="23"/>
        <v>0.4155</v>
      </c>
      <c r="AZ216" s="131" t="str">
        <f>IFERROR(AVERAGEIFS(
'20102013 STH Efficacy'!$AX:$AX, 
'20102013 STH Efficacy'!$AL:$AL, $A216, 
'20102013 STH Efficacy'!$AM:$AM, "Albendazole &amp; Ivermectin",
'20102013 STH Efficacy'!$AS:$AS,"&lt;2014",
'20102013 STH Efficacy'!$BP:$BP,""),
"")</f>
        <v/>
      </c>
      <c r="BA216" s="303">
        <f t="shared" si="24"/>
        <v>0.651</v>
      </c>
      <c r="BB216" s="134" t="str">
        <f>IFERROR(AVERAGEIFS(
'20102013 STH Efficacy'!$N:$N, 
'20102013 STH Efficacy'!$B:$B, $A216, 
'20102013 STH Efficacy'!$C:$C, "Albendazole",
'20102013 STH Efficacy'!$I:$I,"&lt;2014",
'20102013 STH Efficacy'!$AH:$AH,""),
"")</f>
        <v/>
      </c>
      <c r="BC216" s="135">
        <f t="shared" si="25"/>
        <v>0.5769166667</v>
      </c>
      <c r="BD216" s="134" t="str">
        <f>IFERROR(AVERAGEIFS(
'20102013 STH Efficacy'!$N:$N, 
'20102013 STH Efficacy'!$B:$B, $A216, 
'20102013 STH Efficacy'!$C:$C, "Mebendazole",
'20102013 STH Efficacy'!$I:$I,"&lt;2014",
'20102013 STH Efficacy'!$AH:$AH,""),
"")</f>
        <v/>
      </c>
      <c r="BE216" s="135">
        <f t="shared" si="26"/>
        <v>0.3145</v>
      </c>
      <c r="BF216" s="128" t="str">
        <f>IFERROR(AVERAGEIFS(
'20102013 STH Efficacy'!$CD:$CD, 
'20102013 STH Efficacy'!$BS:$BS, $A216, 
'20102013 STH Efficacy'!$BT:$BT, "Albendazole",
'20102013 STH Efficacy'!$BZ:$BZ,"&lt;2014",
'20102013 STH Efficacy'!$CU:$CU,""),
"")</f>
        <v/>
      </c>
      <c r="BG216" s="136">
        <f t="shared" si="27"/>
        <v>0.96925</v>
      </c>
      <c r="BH216" s="128" t="str">
        <f>IFERROR(AVERAGEIFS(
'20102013 STH Efficacy'!$CD:$CD, 
'20102013 STH Efficacy'!$BS:$BS, $A216, 
'20102013 STH Efficacy'!$BT:$BT, "Mebendazole",
'20102013 STH Efficacy'!$BZ:$BZ,"&lt;2014",
'20102013 STH Efficacy'!$CU:$CU,""),
"")</f>
        <v/>
      </c>
      <c r="BI216" s="136">
        <f t="shared" si="28"/>
        <v>0.9305</v>
      </c>
      <c r="BJ216" s="128" t="str">
        <f>IFERROR(AVERAGEIFS(
'20102013 STH Efficacy'!$CD:$CD, 
'20102013 STH Efficacy'!$BS:$BS, $A216, 
'20102013 STH Efficacy'!$BT:$BT, "Albendazole &amp; Ivermectin",
'20102013 STH Efficacy'!$BZ:$BZ,"&lt;2014",
'20102013 STH Efficacy'!$CU:$CU,""),
"")</f>
        <v/>
      </c>
      <c r="BK216" s="136">
        <f t="shared" si="29"/>
        <v>1</v>
      </c>
      <c r="BL216" s="300" t="str">
        <f>IFERROR(
  AVERAGEIFS(
    'NEW 20102013 Onchocerciasis Eff'!$AO:$AO,
    'NEW 20102013 Onchocerciasis Eff'!$C:$C,$A216,
    'NEW 20102013 Onchocerciasis Eff'!$D:$D,"Ivermectin",
    'NEW 20102013 Onchocerciasis Eff'!$AR:$AR,"&lt;2014",
    'NEW 20102013 Onchocerciasis Eff'!$BG:$BG,"")
,"")</f>
        <v/>
      </c>
      <c r="BM216" s="304">
        <f t="shared" si="30"/>
        <v>0.7808368939</v>
      </c>
      <c r="BN216" s="305">
        <v>0.0</v>
      </c>
      <c r="BO216" s="139">
        <v>1.0</v>
      </c>
      <c r="BP216" s="140">
        <v>0.0</v>
      </c>
      <c r="BQ216" s="141">
        <f t="shared" si="31"/>
        <v>0</v>
      </c>
      <c r="BR216" s="104" t="str">
        <f t="shared" si="32"/>
        <v>0100</v>
      </c>
      <c r="BS216" s="104" t="str">
        <f t="shared" si="33"/>
        <v>MDA3</v>
      </c>
      <c r="BT216" s="142" t="str">
        <f t="shared" si="34"/>
        <v>IVM</v>
      </c>
      <c r="BU216" s="104" t="str">
        <f t="shared" si="50"/>
        <v/>
      </c>
      <c r="BV216" s="104" t="str">
        <f t="shared" si="36"/>
        <v>onch only</v>
      </c>
      <c r="BW216" s="150" t="str">
        <f t="shared" si="37"/>
        <v/>
      </c>
      <c r="BX216" s="150" t="str">
        <f t="shared" si="38"/>
        <v/>
      </c>
      <c r="BY216" s="151" t="str">
        <f t="shared" si="39"/>
        <v/>
      </c>
      <c r="BZ216" s="152" t="str">
        <f t="shared" si="40"/>
        <v/>
      </c>
      <c r="CA216" s="152" t="str">
        <f t="shared" si="41"/>
        <v/>
      </c>
      <c r="CB216" s="152" t="str">
        <f t="shared" si="42"/>
        <v/>
      </c>
      <c r="CC216" s="153" t="str">
        <f t="shared" si="43"/>
        <v/>
      </c>
      <c r="CD216" s="153" t="str">
        <f t="shared" si="44"/>
        <v/>
      </c>
      <c r="CE216" s="154" t="str">
        <f t="shared" si="45"/>
        <v/>
      </c>
      <c r="CF216" s="154" t="str">
        <f t="shared" si="46"/>
        <v/>
      </c>
      <c r="CG216" s="154" t="str">
        <f t="shared" si="47"/>
        <v/>
      </c>
      <c r="CH216" s="313">
        <f t="shared" si="48"/>
        <v>0</v>
      </c>
      <c r="CI216" s="299"/>
    </row>
    <row r="217">
      <c r="A217" s="155" t="s">
        <v>306</v>
      </c>
      <c r="B217" s="104" t="s">
        <v>88</v>
      </c>
      <c r="C217" s="105">
        <v>4169506.0</v>
      </c>
      <c r="D217" s="293">
        <v>0.0</v>
      </c>
      <c r="E217" s="294">
        <v>0.0</v>
      </c>
      <c r="F217" s="325"/>
      <c r="G217" s="325"/>
      <c r="H217" s="108">
        <v>0.0</v>
      </c>
      <c r="I217" s="109">
        <v>0.0</v>
      </c>
      <c r="J217" s="109">
        <v>0.0</v>
      </c>
      <c r="K217" s="109">
        <v>0.0</v>
      </c>
      <c r="L217" s="113"/>
      <c r="M217" s="113"/>
      <c r="N217" s="111">
        <v>0.0</v>
      </c>
      <c r="O217" s="298">
        <v>0.0</v>
      </c>
      <c r="P217" s="114"/>
      <c r="Q217" s="114"/>
      <c r="R217" s="121" t="str">
        <f t="shared" si="11"/>
        <v/>
      </c>
      <c r="S217" s="116">
        <f t="shared" si="12"/>
        <v>0.4713987966</v>
      </c>
      <c r="T217" s="130"/>
      <c r="U217" s="118">
        <f t="shared" si="13"/>
        <v>0.5949</v>
      </c>
      <c r="V217" s="148"/>
      <c r="W217" s="120">
        <f t="shared" si="14"/>
        <v>0.9216</v>
      </c>
      <c r="X217" s="148"/>
      <c r="Y217" s="120">
        <f t="shared" si="15"/>
        <v>0.521</v>
      </c>
      <c r="Z217" s="299"/>
      <c r="AA217" s="299"/>
      <c r="AB217" s="300" t="str">
        <f t="shared" si="16"/>
        <v/>
      </c>
      <c r="AC217" s="301">
        <f t="shared" si="17"/>
        <v>0.3122297241</v>
      </c>
      <c r="AD217" s="314">
        <v>0.0</v>
      </c>
      <c r="AE217" s="315">
        <v>0.0</v>
      </c>
      <c r="AF217" s="166">
        <v>0.0</v>
      </c>
      <c r="AG217" s="316">
        <v>0.0</v>
      </c>
      <c r="AH217" s="307">
        <v>0.0</v>
      </c>
      <c r="AI217" s="317">
        <v>0.0</v>
      </c>
      <c r="AJ217" s="318">
        <v>0.0</v>
      </c>
      <c r="AK217" s="319">
        <v>0.0</v>
      </c>
      <c r="AL217" s="319">
        <v>0.0</v>
      </c>
      <c r="AM217" s="320">
        <v>0.0</v>
      </c>
      <c r="AN217" s="149" t="str">
        <f>IFERROR(
  AVERAGEIFS(
    'New 20102013 LF Efficacy'!$J:$J,
    'New 20102013 LF Efficacy'!$D:$D, $A217,
    'New 20102013 LF Efficacy'!$F:$F,"DEC", 
    'New 20102013 LF Efficacy'!$W:$W,"&lt;2014",
    'New 20102013 LF Efficacy'!$AA:$AA,""),
  ""
)</f>
        <v/>
      </c>
      <c r="AO217" s="115">
        <f t="shared" si="18"/>
        <v>0.3573520833</v>
      </c>
      <c r="AP217" s="121" t="str">
        <f>IFERROR(
AVERAGEIFS(
'New 20102013 LF Efficacy'!$J:$J,
'New 20102013 LF Efficacy'!$D:$D,$A217,
'New 20102013 LF Efficacy'!$F:$F,"Albendazole &amp; DEC",
'New 20102013 LF Efficacy'!$W:$W,"&lt;2014",
'New 20102013 LF Efficacy'!$AA:$AA,""),
"")
</f>
        <v/>
      </c>
      <c r="AQ217" s="115">
        <f t="shared" si="19"/>
        <v>0.7935</v>
      </c>
      <c r="AR217" s="121" t="str">
        <f>IFERROR(
AVERAGEIFS(
'New 20102013 LF Efficacy'!$J:$J,
'New 20102013 LF Efficacy'!$D:$D,$A217,
'New 20102013 LF Efficacy'!$F:$F,"Albendazole &amp; Ivermectin", 
'New 20102013 LF Efficacy'!$W:$W,"&lt;2014",
'New 20102013 LF Efficacy'!$AA:$AA,""),"")</f>
        <v/>
      </c>
      <c r="AS217" s="115">
        <f t="shared" si="20"/>
        <v>0.37153125</v>
      </c>
      <c r="AT217" s="130" t="str">
        <f>IFERROR(AVERAGEIFS(
'20102013 Schist Efficacy'!$O:$O, 
'20102013 Schist Efficacy'!$C:$C,$A217, 
'20102013 Schist Efficacy'!$D:$D, "Praziquantel",
'20102013 Schist Efficacy'!$J:$J,"&lt;2014",
'20102013 Schist Efficacy'!$U:$U,""),
"")</f>
        <v/>
      </c>
      <c r="AU217" s="118">
        <f t="shared" si="21"/>
        <v>0.7763141026</v>
      </c>
      <c r="AV217" s="131" t="str">
        <f>IFERROR(AVERAGEIFS(
'20102013 STH Efficacy'!$AX:$AX, 
'20102013 STH Efficacy'!$AL:$AL, $A217, 
'20102013 STH Efficacy'!$AM:$AM, "Albendazole",
'20102013 STH Efficacy'!$AS:$AS,"&lt;2014",
'20102013 STH Efficacy'!$BP:$BP,""),
"")</f>
        <v/>
      </c>
      <c r="AW217" s="132">
        <f t="shared" si="22"/>
        <v>0.3933333333</v>
      </c>
      <c r="AX217" s="131" t="str">
        <f>IFERROR(AVERAGEIFS(
'20102013 STH Efficacy'!$AX:$AX, 
'20102013 STH Efficacy'!$AL:$AL, $A217, 
'20102013 STH Efficacy'!$AM:$AM, "Mebendazole",
'20102013 STH Efficacy'!$AS:$AS,"&lt;2014",
'20102013 STH Efficacy'!$BP:$BP,""),
"")</f>
        <v/>
      </c>
      <c r="AY217" s="132">
        <f t="shared" si="23"/>
        <v>0.5017738095</v>
      </c>
      <c r="AZ217" s="131" t="str">
        <f>IFERROR(AVERAGEIFS(
'20102013 STH Efficacy'!$AX:$AX, 
'20102013 STH Efficacy'!$AL:$AL, $A217, 
'20102013 STH Efficacy'!$AM:$AM, "Albendazole &amp; Ivermectin",
'20102013 STH Efficacy'!$AS:$AS,"&lt;2014",
'20102013 STH Efficacy'!$BP:$BP,""),
"")</f>
        <v/>
      </c>
      <c r="BA217" s="303">
        <f t="shared" si="24"/>
        <v>0.597625</v>
      </c>
      <c r="BB217" s="134" t="str">
        <f>IFERROR(AVERAGEIFS(
'20102013 STH Efficacy'!$N:$N, 
'20102013 STH Efficacy'!$B:$B, $A217, 
'20102013 STH Efficacy'!$C:$C, "Albendazole",
'20102013 STH Efficacy'!$I:$I,"&lt;2014",
'20102013 STH Efficacy'!$AH:$AH,""),
"")</f>
        <v/>
      </c>
      <c r="BC217" s="135">
        <f t="shared" si="25"/>
        <v>0.7613712121</v>
      </c>
      <c r="BD217" s="134" t="str">
        <f>IFERROR(AVERAGEIFS(
'20102013 STH Efficacy'!$N:$N, 
'20102013 STH Efficacy'!$B:$B, $A217, 
'20102013 STH Efficacy'!$C:$C, "Mebendazole",
'20102013 STH Efficacy'!$I:$I,"&lt;2014",
'20102013 STH Efficacy'!$AH:$AH,""),
"")</f>
        <v/>
      </c>
      <c r="BE217" s="135">
        <f t="shared" si="26"/>
        <v>0.4362466667</v>
      </c>
      <c r="BF217" s="128" t="str">
        <f>IFERROR(AVERAGEIFS(
'20102013 STH Efficacy'!$CD:$CD, 
'20102013 STH Efficacy'!$BS:$BS, $A217, 
'20102013 STH Efficacy'!$BT:$BT, "Albendazole",
'20102013 STH Efficacy'!$BZ:$BZ,"&lt;2014",
'20102013 STH Efficacy'!$CU:$CU,""),
"")</f>
        <v/>
      </c>
      <c r="BG217" s="136">
        <f t="shared" si="27"/>
        <v>0.955</v>
      </c>
      <c r="BH217" s="128" t="str">
        <f>IFERROR(AVERAGEIFS(
'20102013 STH Efficacy'!$CD:$CD, 
'20102013 STH Efficacy'!$BS:$BS, $A217, 
'20102013 STH Efficacy'!$BT:$BT, "Mebendazole",
'20102013 STH Efficacy'!$BZ:$BZ,"&lt;2014",
'20102013 STH Efficacy'!$CU:$CU,""),
"")</f>
        <v/>
      </c>
      <c r="BI217" s="136">
        <f t="shared" si="28"/>
        <v>1</v>
      </c>
      <c r="BJ217" s="128" t="str">
        <f>IFERROR(AVERAGEIFS(
'20102013 STH Efficacy'!$CD:$CD, 
'20102013 STH Efficacy'!$BS:$BS, $A217, 
'20102013 STH Efficacy'!$BT:$BT, "Albendazole &amp; Ivermectin",
'20102013 STH Efficacy'!$BZ:$BZ,"&lt;2014",
'20102013 STH Efficacy'!$CU:$CU,""),
"")</f>
        <v/>
      </c>
      <c r="BK217" s="136">
        <f t="shared" si="29"/>
        <v>1</v>
      </c>
      <c r="BL217" s="300" t="str">
        <f>IFERROR(
  AVERAGEIFS(
    'NEW 20102013 Onchocerciasis Eff'!$AO:$AO,
    'NEW 20102013 Onchocerciasis Eff'!$C:$C,$A217,
    'NEW 20102013 Onchocerciasis Eff'!$D:$D,"Ivermectin",
    'NEW 20102013 Onchocerciasis Eff'!$AR:$AR,"&lt;2014",
    'NEW 20102013 Onchocerciasis Eff'!$BG:$BG,"")
,"")</f>
        <v/>
      </c>
      <c r="BM217" s="304">
        <f t="shared" si="30"/>
        <v>0.7808368939</v>
      </c>
      <c r="BN217" s="305">
        <v>0.0</v>
      </c>
      <c r="BO217" s="139">
        <v>1.0</v>
      </c>
      <c r="BP217" s="140">
        <v>0.0</v>
      </c>
      <c r="BQ217" s="141">
        <f t="shared" si="31"/>
        <v>0</v>
      </c>
      <c r="BR217" s="104" t="str">
        <f t="shared" si="32"/>
        <v>0100</v>
      </c>
      <c r="BS217" s="104" t="str">
        <f t="shared" si="33"/>
        <v>MDA3</v>
      </c>
      <c r="BT217" s="142" t="str">
        <f t="shared" si="34"/>
        <v>IVM</v>
      </c>
      <c r="BU217" s="104" t="str">
        <f t="shared" si="50"/>
        <v/>
      </c>
      <c r="BV217" s="104" t="str">
        <f t="shared" si="36"/>
        <v>onch only</v>
      </c>
      <c r="BW217" s="150" t="str">
        <f t="shared" si="37"/>
        <v/>
      </c>
      <c r="BX217" s="150" t="str">
        <f t="shared" si="38"/>
        <v/>
      </c>
      <c r="BY217" s="151" t="str">
        <f t="shared" si="39"/>
        <v/>
      </c>
      <c r="BZ217" s="152" t="str">
        <f t="shared" si="40"/>
        <v/>
      </c>
      <c r="CA217" s="152" t="str">
        <f t="shared" si="41"/>
        <v/>
      </c>
      <c r="CB217" s="152" t="str">
        <f t="shared" si="42"/>
        <v/>
      </c>
      <c r="CC217" s="153" t="str">
        <f t="shared" si="43"/>
        <v/>
      </c>
      <c r="CD217" s="153" t="str">
        <f t="shared" si="44"/>
        <v/>
      </c>
      <c r="CE217" s="154" t="str">
        <f t="shared" si="45"/>
        <v/>
      </c>
      <c r="CF217" s="154" t="str">
        <f t="shared" si="46"/>
        <v/>
      </c>
      <c r="CG217" s="154" t="str">
        <f t="shared" si="47"/>
        <v/>
      </c>
      <c r="CH217" s="313">
        <f t="shared" si="48"/>
        <v>0</v>
      </c>
      <c r="CI217" s="299"/>
    </row>
    <row r="218">
      <c r="A218" s="103" t="s">
        <v>307</v>
      </c>
      <c r="B218" s="104" t="s">
        <v>88</v>
      </c>
      <c r="C218" s="105">
        <v>2.5576322E7</v>
      </c>
      <c r="D218" s="293">
        <v>48.56</v>
      </c>
      <c r="E218" s="294">
        <v>9865.65276</v>
      </c>
      <c r="F218" s="307">
        <v>3.850222085</v>
      </c>
      <c r="G218" s="307">
        <v>16.37357813</v>
      </c>
      <c r="H218" s="108">
        <v>20.22380021</v>
      </c>
      <c r="I218" s="109">
        <v>185.644309</v>
      </c>
      <c r="J218" s="109">
        <v>342.781411</v>
      </c>
      <c r="K218" s="109">
        <v>528.42572</v>
      </c>
      <c r="L218" s="112">
        <v>790.1730677</v>
      </c>
      <c r="M218" s="112">
        <v>1079.202384</v>
      </c>
      <c r="N218" s="111">
        <v>1869.375452</v>
      </c>
      <c r="O218" s="298">
        <v>0.0</v>
      </c>
      <c r="P218" s="156"/>
      <c r="Q218" s="156"/>
      <c r="R218" s="121" t="str">
        <f t="shared" si="11"/>
        <v/>
      </c>
      <c r="S218" s="116">
        <f t="shared" si="12"/>
        <v>0.4713987966</v>
      </c>
      <c r="T218" s="118">
        <v>0.6753</v>
      </c>
      <c r="U218" s="118">
        <f t="shared" si="13"/>
        <v>0.6753</v>
      </c>
      <c r="V218" s="148"/>
      <c r="W218" s="120">
        <f t="shared" si="14"/>
        <v>0.9216</v>
      </c>
      <c r="X218" s="119">
        <v>0.8545</v>
      </c>
      <c r="Y218" s="120">
        <f t="shared" si="15"/>
        <v>0.8545</v>
      </c>
      <c r="Z218" s="310">
        <v>300000.0</v>
      </c>
      <c r="AA218" s="310">
        <v>65376.0</v>
      </c>
      <c r="AB218" s="300">
        <f t="shared" si="16"/>
        <v>0.21792</v>
      </c>
      <c r="AC218" s="301">
        <f t="shared" si="17"/>
        <v>0.21792</v>
      </c>
      <c r="AD218" s="122">
        <v>0.0</v>
      </c>
      <c r="AE218" s="123">
        <v>0.03</v>
      </c>
      <c r="AF218" s="123">
        <v>0.0063</v>
      </c>
      <c r="AG218" s="316">
        <v>0.0</v>
      </c>
      <c r="AH218" s="124">
        <v>0.053822985</v>
      </c>
      <c r="AI218" s="317">
        <v>0.0</v>
      </c>
      <c r="AJ218" s="125">
        <v>0.016513685</v>
      </c>
      <c r="AK218" s="319">
        <v>0.0</v>
      </c>
      <c r="AL218" s="319">
        <v>0.0</v>
      </c>
      <c r="AM218" s="302">
        <v>0.0</v>
      </c>
      <c r="AN218" s="149" t="str">
        <f>IFERROR(
  AVERAGEIFS(
    'New 20102013 LF Efficacy'!$J:$J,
    'New 20102013 LF Efficacy'!$D:$D, $A218,
    'New 20102013 LF Efficacy'!$F:$F,"DEC", 
    'New 20102013 LF Efficacy'!$W:$W,"&lt;2014",
    'New 20102013 LF Efficacy'!$AA:$AA,""),
  ""
)</f>
        <v/>
      </c>
      <c r="AO218" s="115">
        <f t="shared" si="18"/>
        <v>0.3573520833</v>
      </c>
      <c r="AP218" s="121" t="str">
        <f>IFERROR(
AVERAGEIFS(
'New 20102013 LF Efficacy'!$J:$J,
'New 20102013 LF Efficacy'!$D:$D,$A218,
'New 20102013 LF Efficacy'!$F:$F,"Albendazole &amp; DEC",
'New 20102013 LF Efficacy'!$W:$W,"&lt;2014",
'New 20102013 LF Efficacy'!$AA:$AA,""),
"")
</f>
        <v/>
      </c>
      <c r="AQ218" s="115">
        <f t="shared" si="19"/>
        <v>0.7935</v>
      </c>
      <c r="AR218" s="121" t="str">
        <f>IFERROR(
AVERAGEIFS(
'New 20102013 LF Efficacy'!$J:$J,
'New 20102013 LF Efficacy'!$D:$D,$A218,
'New 20102013 LF Efficacy'!$F:$F,"Albendazole &amp; Ivermectin", 
'New 20102013 LF Efficacy'!$W:$W,"&lt;2014",
'New 20102013 LF Efficacy'!$AA:$AA,""),"")</f>
        <v/>
      </c>
      <c r="AS218" s="115">
        <f t="shared" si="20"/>
        <v>0.37153125</v>
      </c>
      <c r="AT218" s="130" t="str">
        <f>IFERROR(AVERAGEIFS(
'20102013 Schist Efficacy'!$O:$O, 
'20102013 Schist Efficacy'!$C:$C,$A218, 
'20102013 Schist Efficacy'!$D:$D, "Praziquantel",
'20102013 Schist Efficacy'!$J:$J,"&lt;2014",
'20102013 Schist Efficacy'!$U:$U,""),
"")</f>
        <v/>
      </c>
      <c r="AU218" s="118">
        <f t="shared" si="21"/>
        <v>0.7763141026</v>
      </c>
      <c r="AV218" s="131" t="str">
        <f>IFERROR(AVERAGEIFS(
'20102013 STH Efficacy'!$AX:$AX, 
'20102013 STH Efficacy'!$AL:$AL, $A218, 
'20102013 STH Efficacy'!$AM:$AM, "Albendazole",
'20102013 STH Efficacy'!$AS:$AS,"&lt;2014",
'20102013 STH Efficacy'!$BP:$BP,""),
"")</f>
        <v/>
      </c>
      <c r="AW218" s="132">
        <f t="shared" si="22"/>
        <v>0.3933333333</v>
      </c>
      <c r="AX218" s="131" t="str">
        <f>IFERROR(AVERAGEIFS(
'20102013 STH Efficacy'!$AX:$AX, 
'20102013 STH Efficacy'!$AL:$AL, $A218, 
'20102013 STH Efficacy'!$AM:$AM, "Mebendazole",
'20102013 STH Efficacy'!$AS:$AS,"&lt;2014",
'20102013 STH Efficacy'!$BP:$BP,""),
"")</f>
        <v/>
      </c>
      <c r="AY218" s="132">
        <f t="shared" si="23"/>
        <v>0.5017738095</v>
      </c>
      <c r="AZ218" s="131" t="str">
        <f>IFERROR(AVERAGEIFS(
'20102013 STH Efficacy'!$AX:$AX, 
'20102013 STH Efficacy'!$AL:$AL, $A218, 
'20102013 STH Efficacy'!$AM:$AM, "Albendazole &amp; Ivermectin",
'20102013 STH Efficacy'!$AS:$AS,"&lt;2014",
'20102013 STH Efficacy'!$BP:$BP,""),
"")</f>
        <v/>
      </c>
      <c r="BA218" s="303">
        <f t="shared" si="24"/>
        <v>0.597625</v>
      </c>
      <c r="BB218" s="134" t="str">
        <f>IFERROR(AVERAGEIFS(
'20102013 STH Efficacy'!$N:$N, 
'20102013 STH Efficacy'!$B:$B, $A218, 
'20102013 STH Efficacy'!$C:$C, "Albendazole",
'20102013 STH Efficacy'!$I:$I,"&lt;2014",
'20102013 STH Efficacy'!$AH:$AH,""),
"")</f>
        <v/>
      </c>
      <c r="BC218" s="135">
        <f t="shared" si="25"/>
        <v>0.7613712121</v>
      </c>
      <c r="BD218" s="134" t="str">
        <f>IFERROR(AVERAGEIFS(
'20102013 STH Efficacy'!$N:$N, 
'20102013 STH Efficacy'!$B:$B, $A218, 
'20102013 STH Efficacy'!$C:$C, "Mebendazole",
'20102013 STH Efficacy'!$I:$I,"&lt;2014",
'20102013 STH Efficacy'!$AH:$AH,""),
"")</f>
        <v/>
      </c>
      <c r="BE218" s="135">
        <f t="shared" si="26"/>
        <v>0.4362466667</v>
      </c>
      <c r="BF218" s="128" t="str">
        <f>IFERROR(AVERAGEIFS(
'20102013 STH Efficacy'!$CD:$CD, 
'20102013 STH Efficacy'!$BS:$BS, $A218, 
'20102013 STH Efficacy'!$BT:$BT, "Albendazole",
'20102013 STH Efficacy'!$BZ:$BZ,"&lt;2014",
'20102013 STH Efficacy'!$CU:$CU,""),
"")</f>
        <v/>
      </c>
      <c r="BG218" s="136">
        <f t="shared" si="27"/>
        <v>0.955</v>
      </c>
      <c r="BH218" s="128" t="str">
        <f>IFERROR(AVERAGEIFS(
'20102013 STH Efficacy'!$CD:$CD, 
'20102013 STH Efficacy'!$BS:$BS, $A218, 
'20102013 STH Efficacy'!$BT:$BT, "Mebendazole",
'20102013 STH Efficacy'!$BZ:$BZ,"&lt;2014",
'20102013 STH Efficacy'!$CU:$CU,""),
"")</f>
        <v/>
      </c>
      <c r="BI218" s="136">
        <f t="shared" si="28"/>
        <v>1</v>
      </c>
      <c r="BJ218" s="128" t="str">
        <f>IFERROR(AVERAGEIFS(
'20102013 STH Efficacy'!$CD:$CD, 
'20102013 STH Efficacy'!$BS:$BS, $A218, 
'20102013 STH Efficacy'!$BT:$BT, "Albendazole &amp; Ivermectin",
'20102013 STH Efficacy'!$BZ:$BZ,"&lt;2014",
'20102013 STH Efficacy'!$CU:$CU,""),
"")</f>
        <v/>
      </c>
      <c r="BK218" s="136">
        <f t="shared" si="29"/>
        <v>1</v>
      </c>
      <c r="BL218" s="300" t="str">
        <f>IFERROR(
  AVERAGEIFS(
    'NEW 20102013 Onchocerciasis Eff'!$AO:$AO,
    'NEW 20102013 Onchocerciasis Eff'!$C:$C,$A218,
    'NEW 20102013 Onchocerciasis Eff'!$D:$D,"Ivermectin",
    'NEW 20102013 Onchocerciasis Eff'!$AR:$AR,"&lt;2014",
    'NEW 20102013 Onchocerciasis Eff'!$BG:$BG,"")
,"")</f>
        <v/>
      </c>
      <c r="BM218" s="304">
        <f t="shared" si="30"/>
        <v>0.7808368939</v>
      </c>
      <c r="BN218" s="305">
        <v>0.0</v>
      </c>
      <c r="BO218" s="139">
        <v>1.0</v>
      </c>
      <c r="BP218" s="140">
        <v>1.0</v>
      </c>
      <c r="BQ218" s="141">
        <f t="shared" si="31"/>
        <v>0</v>
      </c>
      <c r="BR218" s="104" t="str">
        <f t="shared" si="32"/>
        <v>0110</v>
      </c>
      <c r="BS218" s="104" t="str">
        <f t="shared" si="33"/>
        <v>MDA3+T2</v>
      </c>
      <c r="BT218" s="142" t="str">
        <f t="shared" si="34"/>
        <v>IVM</v>
      </c>
      <c r="BU218" s="104" t="str">
        <f t="shared" si="50"/>
        <v>PZQ</v>
      </c>
      <c r="BV218" s="104" t="str">
        <f t="shared" si="36"/>
        <v>onch+schist</v>
      </c>
      <c r="BW218" s="150" t="str">
        <f t="shared" si="37"/>
        <v/>
      </c>
      <c r="BX218" s="150" t="str">
        <f t="shared" si="38"/>
        <v/>
      </c>
      <c r="BY218" s="162">
        <f t="shared" si="39"/>
        <v>10871.1781</v>
      </c>
      <c r="BZ218" s="152" t="str">
        <f t="shared" si="40"/>
        <v/>
      </c>
      <c r="CA218" s="152" t="str">
        <f t="shared" si="41"/>
        <v/>
      </c>
      <c r="CB218" s="152" t="str">
        <f t="shared" si="42"/>
        <v/>
      </c>
      <c r="CC218" s="153" t="str">
        <f t="shared" si="43"/>
        <v/>
      </c>
      <c r="CD218" s="153" t="str">
        <f t="shared" si="44"/>
        <v/>
      </c>
      <c r="CE218" s="154" t="str">
        <f t="shared" si="45"/>
        <v/>
      </c>
      <c r="CF218" s="154" t="str">
        <f t="shared" si="46"/>
        <v/>
      </c>
      <c r="CG218" s="154" t="str">
        <f t="shared" si="47"/>
        <v/>
      </c>
      <c r="CH218" s="313">
        <f t="shared" si="48"/>
        <v>0</v>
      </c>
      <c r="CI218" s="299"/>
    </row>
    <row r="219">
      <c r="A219" s="103" t="s">
        <v>308</v>
      </c>
      <c r="B219" s="104" t="s">
        <v>92</v>
      </c>
      <c r="C219" s="105">
        <v>1.515321E7</v>
      </c>
      <c r="D219" s="293">
        <v>4679.51</v>
      </c>
      <c r="E219" s="294">
        <v>29128.63144</v>
      </c>
      <c r="F219" s="307">
        <v>4.230256542</v>
      </c>
      <c r="G219" s="307">
        <v>18.48285398</v>
      </c>
      <c r="H219" s="108">
        <v>22.71311052</v>
      </c>
      <c r="I219" s="109">
        <v>2090.67368</v>
      </c>
      <c r="J219" s="109">
        <v>5336.38186</v>
      </c>
      <c r="K219" s="109">
        <v>7427.055539</v>
      </c>
      <c r="L219" s="112">
        <v>3506.747165</v>
      </c>
      <c r="M219" s="112">
        <v>485.3234374</v>
      </c>
      <c r="N219" s="111">
        <v>3992.070603</v>
      </c>
      <c r="O219" s="298">
        <v>0.0</v>
      </c>
      <c r="P219" s="160">
        <v>8780000.0</v>
      </c>
      <c r="Q219" s="156"/>
      <c r="R219" s="121">
        <f t="shared" si="11"/>
        <v>0</v>
      </c>
      <c r="S219" s="116">
        <f t="shared" si="12"/>
        <v>0.2589669834</v>
      </c>
      <c r="T219" s="118">
        <v>0.0</v>
      </c>
      <c r="U219" s="118">
        <f t="shared" si="13"/>
        <v>0</v>
      </c>
      <c r="V219" s="119">
        <v>0.975</v>
      </c>
      <c r="W219" s="120">
        <f t="shared" si="14"/>
        <v>0.975</v>
      </c>
      <c r="X219" s="148"/>
      <c r="Y219" s="120">
        <f t="shared" si="15"/>
        <v>0.5668291667</v>
      </c>
      <c r="Z219" s="299"/>
      <c r="AA219" s="299"/>
      <c r="AB219" s="300" t="str">
        <f t="shared" si="16"/>
        <v/>
      </c>
      <c r="AC219" s="301">
        <f t="shared" si="17"/>
        <v>0.655321236</v>
      </c>
      <c r="AD219" s="122">
        <v>0.0079</v>
      </c>
      <c r="AE219" s="123">
        <v>0.19</v>
      </c>
      <c r="AF219" s="123">
        <v>0.0757</v>
      </c>
      <c r="AG219" s="316">
        <v>0.0</v>
      </c>
      <c r="AH219" s="124">
        <v>0.068730796</v>
      </c>
      <c r="AI219" s="317">
        <v>0.0</v>
      </c>
      <c r="AJ219" s="125">
        <v>0.271340955</v>
      </c>
      <c r="AK219" s="319">
        <v>0.0</v>
      </c>
      <c r="AL219" s="319">
        <v>0.0</v>
      </c>
      <c r="AM219" s="302">
        <v>0.0</v>
      </c>
      <c r="AN219" s="149" t="str">
        <f>IFERROR(
  AVERAGEIFS(
    'New 20102013 LF Efficacy'!$J:$J,
    'New 20102013 LF Efficacy'!$D:$D, $A219,
    'New 20102013 LF Efficacy'!$F:$F,"DEC", 
    'New 20102013 LF Efficacy'!$W:$W,"&lt;2014",
    'New 20102013 LF Efficacy'!$AA:$AA,""),
  ""
)</f>
        <v/>
      </c>
      <c r="AO219" s="115">
        <f t="shared" si="18"/>
        <v>0.31225</v>
      </c>
      <c r="AP219" s="121" t="str">
        <f>IFERROR(
AVERAGEIFS(
'New 20102013 LF Efficacy'!$J:$J,
'New 20102013 LF Efficacy'!$D:$D,$A219,
'New 20102013 LF Efficacy'!$F:$F,"Albendazole &amp; DEC",
'New 20102013 LF Efficacy'!$W:$W,"&lt;2014",
'New 20102013 LF Efficacy'!$AA:$AA,""),
"")
</f>
        <v/>
      </c>
      <c r="AQ219" s="115">
        <f t="shared" si="19"/>
        <v>0.4</v>
      </c>
      <c r="AR219" s="121" t="str">
        <f>IFERROR(
AVERAGEIFS(
'New 20102013 LF Efficacy'!$J:$J,
'New 20102013 LF Efficacy'!$D:$D,$A219,
'New 20102013 LF Efficacy'!$F:$F,"Albendazole &amp; Ivermectin", 
'New 20102013 LF Efficacy'!$W:$W,"&lt;2014",
'New 20102013 LF Efficacy'!$AA:$AA,""),"")</f>
        <v/>
      </c>
      <c r="AS219" s="115">
        <f t="shared" si="20"/>
        <v>0.2943125</v>
      </c>
      <c r="AT219" s="130">
        <f>IFERROR(AVERAGEIFS(
'20102013 Schist Efficacy'!$O:$O, 
'20102013 Schist Efficacy'!$C:$C,$A219, 
'20102013 Schist Efficacy'!$D:$D, "Praziquantel",
'20102013 Schist Efficacy'!$J:$J,"&lt;2014",
'20102013 Schist Efficacy'!$U:$U,""),
"")</f>
        <v>0.57</v>
      </c>
      <c r="AU219" s="118">
        <f t="shared" si="21"/>
        <v>0.57</v>
      </c>
      <c r="AV219" s="131" t="str">
        <f>IFERROR(AVERAGEIFS(
'20102013 STH Efficacy'!$AX:$AX, 
'20102013 STH Efficacy'!$AL:$AL, $A219, 
'20102013 STH Efficacy'!$AM:$AM, "Albendazole",
'20102013 STH Efficacy'!$AS:$AS,"&lt;2014",
'20102013 STH Efficacy'!$BP:$BP,""),
"")</f>
        <v/>
      </c>
      <c r="AW219" s="132">
        <f t="shared" si="22"/>
        <v>0.3816333333</v>
      </c>
      <c r="AX219" s="131" t="str">
        <f>IFERROR(AVERAGEIFS(
'20102013 STH Efficacy'!$AX:$AX, 
'20102013 STH Efficacy'!$AL:$AL, $A219, 
'20102013 STH Efficacy'!$AM:$AM, "Mebendazole",
'20102013 STH Efficacy'!$AS:$AS,"&lt;2014",
'20102013 STH Efficacy'!$BP:$BP,""),
"")</f>
        <v/>
      </c>
      <c r="AY219" s="132">
        <f t="shared" si="23"/>
        <v>0.5675833333</v>
      </c>
      <c r="AZ219" s="131" t="str">
        <f>IFERROR(AVERAGEIFS(
'20102013 STH Efficacy'!$AX:$AX, 
'20102013 STH Efficacy'!$AL:$AL, $A219, 
'20102013 STH Efficacy'!$AM:$AM, "Albendazole &amp; Ivermectin",
'20102013 STH Efficacy'!$AS:$AS,"&lt;2014",
'20102013 STH Efficacy'!$BP:$BP,""),
"")</f>
        <v/>
      </c>
      <c r="BA219" s="303">
        <f t="shared" si="24"/>
        <v>0.47175</v>
      </c>
      <c r="BB219" s="134" t="str">
        <f>IFERROR(AVERAGEIFS(
'20102013 STH Efficacy'!$N:$N, 
'20102013 STH Efficacy'!$B:$B, $A219, 
'20102013 STH Efficacy'!$C:$C, "Albendazole",
'20102013 STH Efficacy'!$I:$I,"&lt;2014",
'20102013 STH Efficacy'!$AH:$AH,""),
"")</f>
        <v/>
      </c>
      <c r="BC219" s="135">
        <f t="shared" si="25"/>
        <v>0.8699166667</v>
      </c>
      <c r="BD219" s="134" t="str">
        <f>IFERROR(AVERAGEIFS(
'20102013 STH Efficacy'!$N:$N, 
'20102013 STH Efficacy'!$B:$B, $A219, 
'20102013 STH Efficacy'!$C:$C, "Mebendazole",
'20102013 STH Efficacy'!$I:$I,"&lt;2014",
'20102013 STH Efficacy'!$AH:$AH,""),
"")</f>
        <v/>
      </c>
      <c r="BE219" s="135">
        <f t="shared" si="26"/>
        <v>0.7092416667</v>
      </c>
      <c r="BF219" s="128" t="str">
        <f>IFERROR(AVERAGEIFS(
'20102013 STH Efficacy'!$CD:$CD, 
'20102013 STH Efficacy'!$BS:$BS, $A219, 
'20102013 STH Efficacy'!$BT:$BT, "Albendazole",
'20102013 STH Efficacy'!$BZ:$BZ,"&lt;2014",
'20102013 STH Efficacy'!$CU:$CU,""),
"")</f>
        <v/>
      </c>
      <c r="BG219" s="136">
        <f t="shared" si="27"/>
        <v>0.9066666667</v>
      </c>
      <c r="BH219" s="128" t="str">
        <f>IFERROR(AVERAGEIFS(
'20102013 STH Efficacy'!$CD:$CD, 
'20102013 STH Efficacy'!$BS:$BS, $A219, 
'20102013 STH Efficacy'!$BT:$BT, "Mebendazole",
'20102013 STH Efficacy'!$BZ:$BZ,"&lt;2014",
'20102013 STH Efficacy'!$CU:$CU,""),
"")</f>
        <v/>
      </c>
      <c r="BI219" s="136">
        <f t="shared" si="28"/>
        <v>0.9358666667</v>
      </c>
      <c r="BJ219" s="128" t="str">
        <f>IFERROR(AVERAGEIFS(
'20102013 STH Efficacy'!$CD:$CD, 
'20102013 STH Efficacy'!$BS:$BS, $A219, 
'20102013 STH Efficacy'!$BT:$BT, "Albendazole &amp; Ivermectin",
'20102013 STH Efficacy'!$BZ:$BZ,"&lt;2014",
'20102013 STH Efficacy'!$CU:$CU,""),
"")</f>
        <v/>
      </c>
      <c r="BK219" s="136">
        <f t="shared" si="29"/>
        <v>1</v>
      </c>
      <c r="BL219" s="300" t="str">
        <f>IFERROR(
  AVERAGEIFS(
    'NEW 20102013 Onchocerciasis Eff'!$AO:$AO,
    'NEW 20102013 Onchocerciasis Eff'!$C:$C,$A219,
    'NEW 20102013 Onchocerciasis Eff'!$D:$D,"Ivermectin",
    'NEW 20102013 Onchocerciasis Eff'!$AR:$AR,"&lt;2014",
    'NEW 20102013 Onchocerciasis Eff'!$BG:$BG,"")
,"")</f>
        <v/>
      </c>
      <c r="BM219" s="304">
        <f t="shared" si="30"/>
        <v>0.8390421645</v>
      </c>
      <c r="BN219" s="305">
        <v>1.0</v>
      </c>
      <c r="BO219" s="139">
        <v>1.0</v>
      </c>
      <c r="BP219" s="140">
        <v>1.0</v>
      </c>
      <c r="BQ219" s="141">
        <f t="shared" si="31"/>
        <v>0</v>
      </c>
      <c r="BR219" s="104" t="str">
        <f t="shared" si="32"/>
        <v>1110</v>
      </c>
      <c r="BS219" s="104" t="str">
        <f t="shared" si="33"/>
        <v>MDA1+T2</v>
      </c>
      <c r="BT219" s="142" t="str">
        <f t="shared" si="34"/>
        <v>IVM+ALB</v>
      </c>
      <c r="BU219" s="104" t="str">
        <f t="shared" si="50"/>
        <v>PZQ</v>
      </c>
      <c r="BV219" s="104" t="str">
        <f t="shared" si="36"/>
        <v>lf+onch+schist </v>
      </c>
      <c r="BW219" s="150" t="str">
        <f t="shared" si="37"/>
        <v/>
      </c>
      <c r="BX219" s="312">
        <f t="shared" si="38"/>
        <v>386.0856172</v>
      </c>
      <c r="BY219" s="162">
        <f t="shared" si="39"/>
        <v>0</v>
      </c>
      <c r="BZ219" s="152" t="str">
        <f t="shared" si="40"/>
        <v/>
      </c>
      <c r="CA219" s="152" t="str">
        <f t="shared" si="41"/>
        <v/>
      </c>
      <c r="CB219" s="152" t="str">
        <f t="shared" si="42"/>
        <v/>
      </c>
      <c r="CC219" s="153" t="str">
        <f t="shared" si="43"/>
        <v/>
      </c>
      <c r="CD219" s="153" t="str">
        <f t="shared" si="44"/>
        <v/>
      </c>
      <c r="CE219" s="154" t="str">
        <f t="shared" si="45"/>
        <v/>
      </c>
      <c r="CF219" s="154" t="str">
        <f t="shared" si="46"/>
        <v/>
      </c>
      <c r="CG219" s="154" t="str">
        <f t="shared" si="47"/>
        <v/>
      </c>
      <c r="CH219" s="313">
        <f t="shared" si="48"/>
        <v>0</v>
      </c>
      <c r="CI219" s="299"/>
    </row>
    <row r="220">
      <c r="A220" s="181" t="s">
        <v>309</v>
      </c>
      <c r="B220" s="182" t="s">
        <v>92</v>
      </c>
      <c r="C220" s="183">
        <v>1.5054506E7</v>
      </c>
      <c r="D220" s="329">
        <v>63.95</v>
      </c>
      <c r="E220" s="330">
        <v>19070.34009</v>
      </c>
      <c r="F220" s="331">
        <v>470.851708</v>
      </c>
      <c r="G220" s="332">
        <v>2063.252408</v>
      </c>
      <c r="H220" s="187">
        <v>2534.104116</v>
      </c>
      <c r="I220" s="188">
        <v>2912.51567</v>
      </c>
      <c r="J220" s="188">
        <v>2800.48254</v>
      </c>
      <c r="K220" s="189">
        <v>5712.998211</v>
      </c>
      <c r="L220" s="190">
        <v>772.846429</v>
      </c>
      <c r="M220" s="190">
        <v>227.9867744</v>
      </c>
      <c r="N220" s="333">
        <v>1000.833203</v>
      </c>
      <c r="O220" s="334">
        <v>0.0</v>
      </c>
      <c r="P220" s="193">
        <v>6000000.0</v>
      </c>
      <c r="Q220" s="194"/>
      <c r="R220" s="121">
        <f t="shared" si="11"/>
        <v>0</v>
      </c>
      <c r="S220" s="195">
        <f t="shared" si="12"/>
        <v>0.2589669834</v>
      </c>
      <c r="T220" s="196">
        <v>0.0</v>
      </c>
      <c r="U220" s="196">
        <f t="shared" si="13"/>
        <v>0</v>
      </c>
      <c r="V220" s="335">
        <v>0.7041</v>
      </c>
      <c r="W220" s="198">
        <f t="shared" si="14"/>
        <v>0.7041</v>
      </c>
      <c r="X220" s="335">
        <v>0.7925</v>
      </c>
      <c r="Y220" s="198">
        <f t="shared" si="15"/>
        <v>0.7925</v>
      </c>
      <c r="Z220" s="336"/>
      <c r="AA220" s="336"/>
      <c r="AB220" s="300" t="str">
        <f t="shared" si="16"/>
        <v/>
      </c>
      <c r="AC220" s="337">
        <f t="shared" si="17"/>
        <v>0.655321236</v>
      </c>
      <c r="AD220" s="338">
        <v>1.0E-4</v>
      </c>
      <c r="AE220" s="201">
        <v>0.1</v>
      </c>
      <c r="AF220" s="201">
        <v>0.0674</v>
      </c>
      <c r="AG220" s="339">
        <v>0.0</v>
      </c>
      <c r="AH220" s="202">
        <v>0.305645707</v>
      </c>
      <c r="AI220" s="340">
        <v>0.0</v>
      </c>
      <c r="AJ220" s="203">
        <v>0.183096574</v>
      </c>
      <c r="AK220" s="341">
        <v>0.0</v>
      </c>
      <c r="AL220" s="341">
        <v>0.0</v>
      </c>
      <c r="AM220" s="342">
        <v>0.0</v>
      </c>
      <c r="AN220" s="149" t="str">
        <f>IFERROR(
  AVERAGEIFS(
    'New 20102013 LF Efficacy'!$J:$J,
    'New 20102013 LF Efficacy'!$D:$D, $A220,
    'New 20102013 LF Efficacy'!$F:$F,"DEC", 
    'New 20102013 LF Efficacy'!$W:$W,"&lt;2014",
    'New 20102013 LF Efficacy'!$AA:$AA,""),
  ""
)</f>
        <v/>
      </c>
      <c r="AO220" s="115">
        <f t="shared" si="18"/>
        <v>0.31225</v>
      </c>
      <c r="AP220" s="121" t="str">
        <f>IFERROR(
AVERAGEIFS(
'New 20102013 LF Efficacy'!$J:$J,
'New 20102013 LF Efficacy'!$D:$D,$A220,
'New 20102013 LF Efficacy'!$F:$F,"Albendazole &amp; DEC",
'New 20102013 LF Efficacy'!$W:$W,"&lt;2014",
'New 20102013 LF Efficacy'!$AA:$AA,""),
"")
</f>
        <v/>
      </c>
      <c r="AQ220" s="115">
        <f t="shared" si="19"/>
        <v>0.4</v>
      </c>
      <c r="AR220" s="121" t="str">
        <f>IFERROR(
AVERAGEIFS(
'New 20102013 LF Efficacy'!$J:$J,
'New 20102013 LF Efficacy'!$D:$D,$A220,
'New 20102013 LF Efficacy'!$F:$F,"Albendazole &amp; Ivermectin", 
'New 20102013 LF Efficacy'!$W:$W,"&lt;2014",
'New 20102013 LF Efficacy'!$AA:$AA,""),"")</f>
        <v/>
      </c>
      <c r="AS220" s="115">
        <f t="shared" si="20"/>
        <v>0.2943125</v>
      </c>
      <c r="AT220" s="130">
        <f>IFERROR(AVERAGEIFS(
'20102013 Schist Efficacy'!$O:$O, 
'20102013 Schist Efficacy'!$C:$C,$A220, 
'20102013 Schist Efficacy'!$D:$D, "Praziquantel",
'20102013 Schist Efficacy'!$J:$J,"&lt;2014",
'20102013 Schist Efficacy'!$U:$U,""),
"")</f>
        <v>0.4938333333</v>
      </c>
      <c r="AU220" s="118">
        <f t="shared" si="21"/>
        <v>0.4938333333</v>
      </c>
      <c r="AV220" s="131" t="str">
        <f>IFERROR(AVERAGEIFS(
'20102013 STH Efficacy'!$AX:$AX, 
'20102013 STH Efficacy'!$AL:$AL, $A220, 
'20102013 STH Efficacy'!$AM:$AM, "Albendazole",
'20102013 STH Efficacy'!$AS:$AS,"&lt;2014",
'20102013 STH Efficacy'!$BP:$BP,""),
"")</f>
        <v/>
      </c>
      <c r="AW220" s="132">
        <f t="shared" si="22"/>
        <v>0.3816333333</v>
      </c>
      <c r="AX220" s="131" t="str">
        <f>IFERROR(AVERAGEIFS(
'20102013 STH Efficacy'!$AX:$AX, 
'20102013 STH Efficacy'!$AL:$AL, $A220, 
'20102013 STH Efficacy'!$AM:$AM, "Mebendazole",
'20102013 STH Efficacy'!$AS:$AS,"&lt;2014",
'20102013 STH Efficacy'!$BP:$BP,""),
"")</f>
        <v/>
      </c>
      <c r="AY220" s="132">
        <f t="shared" si="23"/>
        <v>0.5675833333</v>
      </c>
      <c r="AZ220" s="131" t="str">
        <f>IFERROR(AVERAGEIFS(
'20102013 STH Efficacy'!$AX:$AX, 
'20102013 STH Efficacy'!$AL:$AL, $A220, 
'20102013 STH Efficacy'!$AM:$AM, "Albendazole &amp; Ivermectin",
'20102013 STH Efficacy'!$AS:$AS,"&lt;2014",
'20102013 STH Efficacy'!$BP:$BP,""),
"")</f>
        <v/>
      </c>
      <c r="BA220" s="303">
        <f t="shared" si="24"/>
        <v>0.47175</v>
      </c>
      <c r="BB220" s="134" t="str">
        <f>IFERROR(AVERAGEIFS(
'20102013 STH Efficacy'!$N:$N, 
'20102013 STH Efficacy'!$B:$B, $A220, 
'20102013 STH Efficacy'!$C:$C, "Albendazole",
'20102013 STH Efficacy'!$I:$I,"&lt;2014",
'20102013 STH Efficacy'!$AH:$AH,""),
"")</f>
        <v/>
      </c>
      <c r="BC220" s="135">
        <f t="shared" si="25"/>
        <v>0.8699166667</v>
      </c>
      <c r="BD220" s="134" t="str">
        <f>IFERROR(AVERAGEIFS(
'20102013 STH Efficacy'!$N:$N, 
'20102013 STH Efficacy'!$B:$B, $A220, 
'20102013 STH Efficacy'!$C:$C, "Mebendazole",
'20102013 STH Efficacy'!$I:$I,"&lt;2014",
'20102013 STH Efficacy'!$AH:$AH,""),
"")</f>
        <v/>
      </c>
      <c r="BE220" s="135">
        <f t="shared" si="26"/>
        <v>0.7092416667</v>
      </c>
      <c r="BF220" s="128" t="str">
        <f>IFERROR(AVERAGEIFS(
'20102013 STH Efficacy'!$CD:$CD, 
'20102013 STH Efficacy'!$BS:$BS, $A220, 
'20102013 STH Efficacy'!$BT:$BT, "Albendazole",
'20102013 STH Efficacy'!$BZ:$BZ,"&lt;2014",
'20102013 STH Efficacy'!$CU:$CU,""),
"")</f>
        <v/>
      </c>
      <c r="BG220" s="136">
        <f t="shared" si="27"/>
        <v>0.9066666667</v>
      </c>
      <c r="BH220" s="128" t="str">
        <f>IFERROR(AVERAGEIFS(
'20102013 STH Efficacy'!$CD:$CD, 
'20102013 STH Efficacy'!$BS:$BS, $A220, 
'20102013 STH Efficacy'!$BT:$BT, "Mebendazole",
'20102013 STH Efficacy'!$BZ:$BZ,"&lt;2014",
'20102013 STH Efficacy'!$CU:$CU,""),
"")</f>
        <v/>
      </c>
      <c r="BI220" s="136">
        <f t="shared" si="28"/>
        <v>0.9358666667</v>
      </c>
      <c r="BJ220" s="128" t="str">
        <f>IFERROR(AVERAGEIFS(
'20102013 STH Efficacy'!$CD:$CD, 
'20102013 STH Efficacy'!$BS:$BS, $A220, 
'20102013 STH Efficacy'!$BT:$BT, "Albendazole &amp; Ivermectin",
'20102013 STH Efficacy'!$BZ:$BZ,"&lt;2014",
'20102013 STH Efficacy'!$CU:$CU,""),
"")</f>
        <v/>
      </c>
      <c r="BK220" s="136">
        <f t="shared" si="29"/>
        <v>1</v>
      </c>
      <c r="BL220" s="300" t="str">
        <f>IFERROR(
  AVERAGEIFS(
    'NEW 20102013 Onchocerciasis Eff'!$AO:$AO,
    'NEW 20102013 Onchocerciasis Eff'!$C:$C,$A220,
    'NEW 20102013 Onchocerciasis Eff'!$D:$D,"Ivermectin",
    'NEW 20102013 Onchocerciasis Eff'!$AR:$AR,"&lt;2014",
    'NEW 20102013 Onchocerciasis Eff'!$BG:$BG,"")
,"")</f>
        <v/>
      </c>
      <c r="BM220" s="304">
        <f t="shared" si="30"/>
        <v>0.8390421645</v>
      </c>
      <c r="BN220" s="343">
        <v>1.0</v>
      </c>
      <c r="BO220" s="209">
        <v>1.0</v>
      </c>
      <c r="BP220" s="210">
        <v>1.0</v>
      </c>
      <c r="BQ220" s="211">
        <f t="shared" si="31"/>
        <v>0</v>
      </c>
      <c r="BR220" s="182" t="str">
        <f t="shared" si="32"/>
        <v>1110</v>
      </c>
      <c r="BS220" s="182" t="str">
        <f t="shared" si="33"/>
        <v>MDA1+T2</v>
      </c>
      <c r="BT220" s="212" t="str">
        <f t="shared" si="34"/>
        <v>IVM+ALB</v>
      </c>
      <c r="BU220" s="104" t="str">
        <f t="shared" si="50"/>
        <v>PZQ</v>
      </c>
      <c r="BV220" s="182" t="str">
        <f t="shared" si="36"/>
        <v>lf+onch+schist </v>
      </c>
      <c r="BW220" s="150" t="str">
        <f t="shared" si="37"/>
        <v/>
      </c>
      <c r="BX220" s="312">
        <f t="shared" si="38"/>
        <v>5.276230891</v>
      </c>
      <c r="BY220" s="213">
        <f t="shared" si="39"/>
        <v>0</v>
      </c>
      <c r="BZ220" s="152" t="str">
        <f t="shared" si="40"/>
        <v/>
      </c>
      <c r="CA220" s="152" t="str">
        <f t="shared" si="41"/>
        <v/>
      </c>
      <c r="CB220" s="152" t="str">
        <f t="shared" si="42"/>
        <v/>
      </c>
      <c r="CC220" s="153" t="str">
        <f t="shared" si="43"/>
        <v/>
      </c>
      <c r="CD220" s="153" t="str">
        <f t="shared" si="44"/>
        <v/>
      </c>
      <c r="CE220" s="154" t="str">
        <f t="shared" si="45"/>
        <v/>
      </c>
      <c r="CF220" s="154" t="str">
        <f t="shared" si="46"/>
        <v/>
      </c>
      <c r="CG220" s="154" t="str">
        <f t="shared" si="47"/>
        <v/>
      </c>
      <c r="CH220" s="313">
        <f t="shared" si="48"/>
        <v>0</v>
      </c>
      <c r="CI220" s="299"/>
    </row>
    <row r="221">
      <c r="A221" s="40"/>
      <c r="B221" s="224"/>
      <c r="C221" s="224"/>
      <c r="D221" s="224"/>
      <c r="E221" s="230">
        <f>sum(E4:E220)</f>
        <v>2029995.519</v>
      </c>
      <c r="F221" s="224"/>
      <c r="G221" s="224"/>
      <c r="H221" s="220"/>
      <c r="I221" s="224"/>
      <c r="J221" s="224"/>
      <c r="K221" s="224"/>
      <c r="L221" s="224"/>
      <c r="M221" s="224"/>
      <c r="N221" s="230"/>
      <c r="O221" s="224"/>
      <c r="P221" s="224"/>
      <c r="Q221" s="224"/>
      <c r="R221" s="224"/>
      <c r="S221" s="224"/>
      <c r="T221" s="224"/>
      <c r="U221" s="224"/>
      <c r="V221" s="224"/>
      <c r="W221" s="224"/>
      <c r="X221" s="224"/>
      <c r="Y221" s="224"/>
      <c r="Z221" s="224"/>
      <c r="AA221" s="224"/>
      <c r="AB221" s="224"/>
      <c r="AC221" s="224"/>
      <c r="AD221" s="224"/>
      <c r="AE221" s="215">
        <f>sum(AE4:AE220)</f>
        <v>8.12</v>
      </c>
      <c r="AF221" s="215"/>
      <c r="AG221" s="224"/>
      <c r="AH221" s="224"/>
      <c r="AI221" s="224"/>
      <c r="AJ221" s="215"/>
      <c r="AK221" s="224"/>
      <c r="AL221" s="224"/>
      <c r="AM221" s="224"/>
      <c r="AN221" s="224"/>
      <c r="AO221" s="224"/>
      <c r="AP221" s="224"/>
      <c r="AQ221" s="224"/>
      <c r="AR221" s="224"/>
      <c r="AS221" s="224"/>
      <c r="AT221" s="224"/>
      <c r="AU221" s="224"/>
      <c r="AV221" s="224"/>
      <c r="AW221" s="224"/>
      <c r="AX221" s="224"/>
      <c r="AY221" s="224"/>
      <c r="AZ221" s="224"/>
      <c r="BA221" s="224"/>
      <c r="BB221" s="224"/>
      <c r="BC221" s="224"/>
      <c r="BD221" s="224"/>
      <c r="BE221" s="224"/>
      <c r="BF221" s="224"/>
      <c r="BG221" s="224"/>
      <c r="BH221" s="224"/>
      <c r="BI221" s="224"/>
      <c r="BJ221" s="224"/>
      <c r="BK221" s="224"/>
      <c r="BL221" s="215"/>
      <c r="BM221" s="224"/>
      <c r="BN221" s="224"/>
      <c r="BO221" s="224"/>
      <c r="BP221" s="224"/>
      <c r="BQ221" s="219"/>
      <c r="BR221" s="220" t="s">
        <v>311</v>
      </c>
      <c r="BS221" s="221" t="s">
        <v>312</v>
      </c>
      <c r="BT221" s="224"/>
      <c r="BU221" s="224"/>
      <c r="BV221" s="222" t="s">
        <v>88</v>
      </c>
      <c r="BW221" s="223">
        <f>SUMIF(B4:B220,"EMR",BW4:BW220)</f>
        <v>0</v>
      </c>
      <c r="BX221" s="223">
        <f>SUMIF(B4:B220,"EMR",BX4:BX220)</f>
        <v>291.6043673</v>
      </c>
      <c r="BY221" s="222">
        <f>count(BY4:BY220)</f>
        <v>50</v>
      </c>
      <c r="BZ221" s="223">
        <f>SUMIF(B4:B220,"EMR",BZ4:BZ220)</f>
        <v>0</v>
      </c>
      <c r="CA221" s="223">
        <f>SUMIF(B4:B220,"EMR",CA4:CA220)</f>
        <v>0</v>
      </c>
      <c r="CB221" s="223">
        <f>SUMIF(B4:B220,"EMR",CB4:CB220)</f>
        <v>0</v>
      </c>
      <c r="CC221" s="223">
        <f>SUMIF(B4:B220,"EMR",CC4:CC220)</f>
        <v>0</v>
      </c>
      <c r="CD221" s="223">
        <f>SUMIF(B4:B220,"EMR",CD4:CD220)</f>
        <v>0</v>
      </c>
      <c r="CE221" s="223">
        <f>SUMIF(B4:B220,"EMR",CE4:CE220)</f>
        <v>0</v>
      </c>
      <c r="CF221" s="223">
        <f>SUMIF(B4:B220,"EMR",CF4:CF220)</f>
        <v>0</v>
      </c>
      <c r="CG221" s="223">
        <f>SUMIF(B4:B220,"EMR",CG4:CG220)</f>
        <v>0</v>
      </c>
      <c r="CH221" s="224"/>
      <c r="CI221" s="224"/>
    </row>
    <row r="222">
      <c r="A222" s="40"/>
      <c r="B222" s="224"/>
      <c r="C222" s="224"/>
      <c r="D222" s="224"/>
      <c r="E222" s="224"/>
      <c r="N222" s="10"/>
      <c r="T222" s="224"/>
      <c r="W222" s="224"/>
      <c r="X222" s="224"/>
      <c r="Y222" s="224"/>
      <c r="Z222" s="224"/>
      <c r="AA222" s="224"/>
      <c r="AB222" s="224"/>
      <c r="AC222" s="224"/>
      <c r="AD222" s="224"/>
      <c r="AE222" s="224"/>
      <c r="AF222" s="215"/>
      <c r="AG222" s="224"/>
      <c r="AH222" s="224"/>
      <c r="AI222" s="224"/>
      <c r="AJ222" s="215"/>
      <c r="AK222" s="224"/>
      <c r="AL222" s="224"/>
      <c r="AM222" s="224"/>
      <c r="AN222" s="224"/>
      <c r="AO222" s="224"/>
      <c r="AP222" s="224"/>
      <c r="AQ222" s="224"/>
      <c r="AR222" s="224"/>
      <c r="AS222" s="224"/>
      <c r="AT222" s="224"/>
      <c r="AU222" s="224"/>
      <c r="AV222" s="224"/>
      <c r="AW222" s="224"/>
      <c r="AX222" s="224"/>
      <c r="AY222" s="224"/>
      <c r="AZ222" s="224"/>
      <c r="BA222" s="224"/>
      <c r="BB222" s="224"/>
      <c r="BC222" s="224"/>
      <c r="BD222" s="224"/>
      <c r="BE222" s="224"/>
      <c r="BF222" s="224"/>
      <c r="BG222" s="224"/>
      <c r="BH222" s="224"/>
      <c r="BI222" s="224"/>
      <c r="BJ222" s="224"/>
      <c r="BK222" s="224"/>
      <c r="BL222" s="215"/>
      <c r="BM222" s="224"/>
      <c r="BN222" s="224"/>
      <c r="BO222" s="224"/>
      <c r="BP222" s="224"/>
      <c r="BQ222" s="344"/>
      <c r="BR222" s="220" t="s">
        <v>313</v>
      </c>
      <c r="BS222" s="221" t="s">
        <v>314</v>
      </c>
      <c r="BT222" s="224"/>
      <c r="BU222" s="224"/>
      <c r="BV222" s="224" t="s">
        <v>92</v>
      </c>
      <c r="BW222" s="223">
        <f>SUMIF(B4:B220,"AFR",BW4:BW220)</f>
        <v>127.6361393</v>
      </c>
      <c r="BX222" s="223">
        <f>SUMIF(B4:B220,"AFR",BX4:BX220)</f>
        <v>29243.62191</v>
      </c>
      <c r="BY222" s="40"/>
      <c r="BZ222" s="223">
        <f>SUMIF(B4:B220,"AFR",BZ4:BZ220)</f>
        <v>8921.967054</v>
      </c>
      <c r="CA222" s="223">
        <f>SUMIF(B4:B220,"AFR",CA4:CA220)</f>
        <v>3973.432524</v>
      </c>
      <c r="CB222" s="223">
        <f>SUMIF(B4:B220,"AFR",CB4:CB220)</f>
        <v>2690.927859</v>
      </c>
      <c r="CC222" s="223">
        <f>SUMIF(B4:B220,"AFR",CC4:CC220)</f>
        <v>60248.99299</v>
      </c>
      <c r="CD222" s="223">
        <f>SUMIF(B4:B220,"AFR",CD4:CD220)</f>
        <v>9876.571756</v>
      </c>
      <c r="CE222" s="223">
        <f>SUMIF(B4:B220,"AFR",CE4:CE220)</f>
        <v>153922.1986</v>
      </c>
      <c r="CF222" s="223">
        <f>SUMIF(B4:B220,"AFR",CF4:CF220)</f>
        <v>3788.190944</v>
      </c>
      <c r="CG222" s="223">
        <f>SUMIF(B4:B220,"AFR",CG4:CG220)</f>
        <v>19471.50541</v>
      </c>
      <c r="CH222" s="224"/>
      <c r="CI222" s="224"/>
    </row>
    <row r="223">
      <c r="A223" s="40"/>
      <c r="B223" s="224" t="s">
        <v>318</v>
      </c>
      <c r="C223" s="224" t="s">
        <v>374</v>
      </c>
      <c r="D223" s="224" t="s">
        <v>375</v>
      </c>
      <c r="E223" s="224"/>
      <c r="F223" s="345" t="s">
        <v>20</v>
      </c>
      <c r="G223" s="224"/>
      <c r="H223" s="220"/>
      <c r="I223" s="345" t="s">
        <v>18</v>
      </c>
      <c r="J223" s="224"/>
      <c r="K223" s="224"/>
      <c r="L223" s="345" t="s">
        <v>17</v>
      </c>
      <c r="M223" s="224"/>
      <c r="N223" s="230"/>
      <c r="O223" s="345" t="s">
        <v>16</v>
      </c>
      <c r="P223" s="224"/>
      <c r="Q223" s="224"/>
      <c r="R223" s="345" t="s">
        <v>15</v>
      </c>
      <c r="S223" s="224"/>
      <c r="T223" s="224"/>
      <c r="U223" s="345" t="s">
        <v>376</v>
      </c>
      <c r="W223" s="224"/>
      <c r="X223" s="224"/>
      <c r="Y223" s="224"/>
      <c r="Z223" s="224"/>
      <c r="AA223" s="224"/>
      <c r="AB223" s="224"/>
      <c r="AC223" s="224"/>
      <c r="AD223" s="224"/>
      <c r="AE223" s="224"/>
      <c r="AF223" s="215"/>
      <c r="AG223" s="224"/>
      <c r="AH223" s="224"/>
      <c r="AI223" s="224"/>
      <c r="AJ223" s="215"/>
      <c r="AK223" s="224"/>
      <c r="AL223" s="224"/>
      <c r="AM223" s="224"/>
      <c r="AN223" s="224"/>
      <c r="AO223" s="224"/>
      <c r="AP223" s="224"/>
      <c r="AQ223" s="224"/>
      <c r="AR223" s="224"/>
      <c r="AS223" s="224"/>
      <c r="AT223" s="224"/>
      <c r="AU223" s="224"/>
      <c r="AV223" s="224"/>
      <c r="AW223" s="224"/>
      <c r="AX223" s="224"/>
      <c r="AY223" s="224"/>
      <c r="AZ223" s="224"/>
      <c r="BA223" s="224"/>
      <c r="BB223" s="224"/>
      <c r="BC223" s="224"/>
      <c r="BD223" s="224"/>
      <c r="BE223" s="224"/>
      <c r="BF223" s="224"/>
      <c r="BG223" s="224"/>
      <c r="BH223" s="224"/>
      <c r="BI223" s="224"/>
      <c r="BJ223" s="224"/>
      <c r="BK223" s="224"/>
      <c r="BL223" s="215"/>
      <c r="BM223" s="224"/>
      <c r="BN223" s="224"/>
      <c r="BO223" s="224"/>
      <c r="BP223" s="224"/>
      <c r="BQ223" s="344"/>
      <c r="BR223" s="220" t="s">
        <v>316</v>
      </c>
      <c r="BS223" s="221" t="s">
        <v>317</v>
      </c>
      <c r="BT223" s="224"/>
      <c r="BU223" s="224"/>
      <c r="BV223" s="224" t="s">
        <v>94</v>
      </c>
      <c r="BW223" s="223">
        <f>SUMIF(B4:B220,"WPR",BW4:BW220)</f>
        <v>6703.041726</v>
      </c>
      <c r="BX223" s="223">
        <f>SUMIF(B4:B220,"WPR",BX4:BX220)</f>
        <v>0</v>
      </c>
      <c r="BY223" s="40"/>
      <c r="BZ223" s="223">
        <f>SUMIF(B4:B220,"WPR",BZ4:BZ220)</f>
        <v>113.2607304</v>
      </c>
      <c r="CA223" s="223">
        <f>SUMIF(B4:B220,"WPR",CA4:CA220)</f>
        <v>0</v>
      </c>
      <c r="CB223" s="223">
        <f>SUMIF(B4:B220,"WPR",CB4:CB220)</f>
        <v>0</v>
      </c>
      <c r="CC223" s="223">
        <f>SUMIF(B4:B220,"WPR",CC4:CC220)</f>
        <v>1588.040762</v>
      </c>
      <c r="CD223" s="223">
        <f>SUMIF(B4:B220,"WPR",CD4:CD220)</f>
        <v>0</v>
      </c>
      <c r="CE223" s="223">
        <f>SUMIF(B4:B220,"WPR",CE4:CE220)</f>
        <v>4266.100475</v>
      </c>
      <c r="CF223" s="223">
        <f>SUMIF(B4:B220,"WPR",CF4:CF220)</f>
        <v>0</v>
      </c>
      <c r="CG223" s="223">
        <f>SUMIF(B4:B220,"WPR",CG4:CG220)</f>
        <v>0</v>
      </c>
      <c r="CH223" s="224"/>
      <c r="CI223" s="224"/>
    </row>
    <row r="224">
      <c r="A224" s="40"/>
      <c r="B224" s="224" t="s">
        <v>2</v>
      </c>
      <c r="C224" s="224" t="s">
        <v>66</v>
      </c>
      <c r="D224" s="346">
        <f>$BY$3</f>
        <v>794478.286</v>
      </c>
      <c r="E224" s="224"/>
      <c r="F224" s="224" t="s">
        <v>318</v>
      </c>
      <c r="G224" s="224" t="s">
        <v>374</v>
      </c>
      <c r="H224" s="224" t="s">
        <v>375</v>
      </c>
      <c r="I224" s="224" t="s">
        <v>318</v>
      </c>
      <c r="J224" s="224" t="s">
        <v>374</v>
      </c>
      <c r="K224" s="224" t="s">
        <v>375</v>
      </c>
      <c r="L224" s="224" t="s">
        <v>318</v>
      </c>
      <c r="M224" s="224" t="s">
        <v>374</v>
      </c>
      <c r="N224" s="230" t="s">
        <v>375</v>
      </c>
      <c r="O224" s="224" t="s">
        <v>318</v>
      </c>
      <c r="P224" s="224" t="s">
        <v>374</v>
      </c>
      <c r="Q224" s="224" t="s">
        <v>375</v>
      </c>
      <c r="R224" s="224" t="s">
        <v>318</v>
      </c>
      <c r="S224" s="224" t="s">
        <v>374</v>
      </c>
      <c r="T224" s="224" t="s">
        <v>375</v>
      </c>
      <c r="U224" s="224" t="s">
        <v>318</v>
      </c>
      <c r="V224" s="224" t="s">
        <v>374</v>
      </c>
      <c r="W224" s="224" t="s">
        <v>375</v>
      </c>
      <c r="X224" s="224"/>
      <c r="Y224" s="224"/>
      <c r="Z224" s="224"/>
      <c r="AA224" s="224"/>
      <c r="AB224" s="224"/>
      <c r="AC224" s="224"/>
      <c r="AD224" s="224"/>
      <c r="AE224" s="224"/>
      <c r="AF224" s="215"/>
      <c r="AG224" s="224"/>
      <c r="AH224" s="224"/>
      <c r="AI224" s="224"/>
      <c r="AJ224" s="215"/>
      <c r="AK224" s="224"/>
      <c r="AL224" s="224"/>
      <c r="AM224" s="224"/>
      <c r="AN224" s="224"/>
      <c r="AO224" s="224"/>
      <c r="AP224" s="224"/>
      <c r="AQ224" s="224"/>
      <c r="AR224" s="224"/>
      <c r="AS224" s="224"/>
      <c r="AT224" s="224"/>
      <c r="AU224" s="224"/>
      <c r="AV224" s="224"/>
      <c r="AW224" s="224"/>
      <c r="AX224" s="224"/>
      <c r="AY224" s="224"/>
      <c r="AZ224" s="224"/>
      <c r="BA224" s="224"/>
      <c r="BB224" s="224"/>
      <c r="BC224" s="224"/>
      <c r="BD224" s="224"/>
      <c r="BE224" s="224"/>
      <c r="BF224" s="224"/>
      <c r="BG224" s="224"/>
      <c r="BH224" s="224"/>
      <c r="BI224" s="224"/>
      <c r="BJ224" s="224"/>
      <c r="BK224" s="224"/>
      <c r="BL224" s="215"/>
      <c r="BM224" s="224"/>
      <c r="BN224" s="224"/>
      <c r="BO224" s="224"/>
      <c r="BP224" s="224"/>
      <c r="BQ224" s="344"/>
      <c r="BR224" s="220" t="s">
        <v>319</v>
      </c>
      <c r="BS224" s="221" t="s">
        <v>320</v>
      </c>
      <c r="BT224" s="224"/>
      <c r="BU224" s="224"/>
      <c r="BV224" s="224" t="s">
        <v>98</v>
      </c>
      <c r="BW224" s="223">
        <f>SUMIF(B4:B220,"AMR",BW4:BW220)</f>
        <v>2373.969371</v>
      </c>
      <c r="BX224" s="223">
        <f>SUMIF(B4:B220,"AMR",BX4:BX220)</f>
        <v>10.08658954</v>
      </c>
      <c r="BY224" s="214"/>
      <c r="BZ224" s="223">
        <f>SUMIF(B4:B220,"AMR",BZ4:BZ220)</f>
        <v>4.992885024</v>
      </c>
      <c r="CA224" s="223">
        <f>SUMIF(B4:B220,"AMR",CA4:CA220)</f>
        <v>7.608313785</v>
      </c>
      <c r="CB224" s="223">
        <f>SUMIF(B4:B220,"AMR",CB4:CB220)</f>
        <v>0</v>
      </c>
      <c r="CC224" s="223">
        <f>SUMIF(B4:B220,"AMR",CC4:CC220)</f>
        <v>32.80636749</v>
      </c>
      <c r="CD224" s="223">
        <f>SUMIF(B4:B220,"AMR",CD4:CD220)</f>
        <v>6.449634996</v>
      </c>
      <c r="CE224" s="223">
        <f>SUMIF(B4:B220,"AMR",CE4:CE220)</f>
        <v>49.92262392</v>
      </c>
      <c r="CF224" s="223">
        <f>SUMIF(B4:B220,"AMR",CF4:CF220)</f>
        <v>38.83064581</v>
      </c>
      <c r="CG224" s="223">
        <f>SUMIF(B4:B220,"AMR",CG4:CG220)</f>
        <v>0</v>
      </c>
      <c r="CH224" s="224"/>
      <c r="CI224" s="224"/>
    </row>
    <row r="225">
      <c r="A225" s="40"/>
      <c r="B225" s="224" t="s">
        <v>4</v>
      </c>
      <c r="C225" s="224" t="s">
        <v>80</v>
      </c>
      <c r="D225" s="346">
        <f>$BW$3/2+$BX$3/2+$BZ$3+$CB$3/2+$CC$3+$CE$3+$CG$3/2</f>
        <v>298007.7355</v>
      </c>
      <c r="E225" s="224"/>
      <c r="F225" s="224" t="s">
        <v>4</v>
      </c>
      <c r="G225" s="224" t="s">
        <v>80</v>
      </c>
      <c r="H225" s="220">
        <f>($BW$3+$BX$3)/2</f>
        <v>44655.65117</v>
      </c>
      <c r="I225" s="224" t="s">
        <v>2</v>
      </c>
      <c r="J225" s="224" t="s">
        <v>66</v>
      </c>
      <c r="K225" s="230">
        <f>$BY$3</f>
        <v>794478.286</v>
      </c>
      <c r="L225" s="224" t="s">
        <v>4</v>
      </c>
      <c r="M225" s="224" t="s">
        <v>80</v>
      </c>
      <c r="N225" s="230">
        <f>$BZ$3+$CB$3/2</f>
        <v>10905.09382</v>
      </c>
      <c r="O225" s="224" t="s">
        <v>4</v>
      </c>
      <c r="P225" s="224" t="s">
        <v>80</v>
      </c>
      <c r="Q225" s="230">
        <f>$CC$3</f>
        <v>70583.89903</v>
      </c>
      <c r="R225" s="224" t="s">
        <v>4</v>
      </c>
      <c r="S225" s="224" t="s">
        <v>80</v>
      </c>
      <c r="T225" s="230">
        <f>$CE$3+$CG$3/2</f>
        <v>171863.0915</v>
      </c>
      <c r="U225" s="345" t="s">
        <v>323</v>
      </c>
      <c r="V225" s="224" t="s">
        <v>324</v>
      </c>
      <c r="W225" s="230">
        <f>$CH$3</f>
        <v>22603.7388</v>
      </c>
      <c r="X225" s="224"/>
      <c r="Y225" s="224"/>
      <c r="Z225" s="224"/>
      <c r="AA225" s="224"/>
      <c r="AB225" s="224"/>
      <c r="AC225" s="224"/>
      <c r="AD225" s="224"/>
      <c r="AE225" s="224"/>
      <c r="AF225" s="215"/>
      <c r="AG225" s="224"/>
      <c r="AH225" s="224"/>
      <c r="AI225" s="224"/>
      <c r="AJ225" s="215"/>
      <c r="AK225" s="224"/>
      <c r="AL225" s="224"/>
      <c r="AM225" s="224"/>
      <c r="AN225" s="224"/>
      <c r="AO225" s="224"/>
      <c r="AP225" s="224"/>
      <c r="AQ225" s="224"/>
      <c r="AR225" s="224"/>
      <c r="AS225" s="224"/>
      <c r="AT225" s="224"/>
      <c r="AU225" s="224"/>
      <c r="AV225" s="224"/>
      <c r="AW225" s="224"/>
      <c r="AX225" s="224"/>
      <c r="AY225" s="224"/>
      <c r="AZ225" s="224"/>
      <c r="BA225" s="224"/>
      <c r="BB225" s="224"/>
      <c r="BC225" s="224"/>
      <c r="BD225" s="224"/>
      <c r="BE225" s="224"/>
      <c r="BF225" s="224"/>
      <c r="BG225" s="224"/>
      <c r="BH225" s="224"/>
      <c r="BI225" s="224"/>
      <c r="BJ225" s="224"/>
      <c r="BK225" s="224"/>
      <c r="BL225" s="215"/>
      <c r="BM225" s="224"/>
      <c r="BN225" s="224"/>
      <c r="BO225" s="224"/>
      <c r="BP225" s="224"/>
      <c r="BQ225" s="344"/>
      <c r="BR225" s="220" t="s">
        <v>326</v>
      </c>
      <c r="BS225" s="221" t="s">
        <v>327</v>
      </c>
      <c r="BT225" s="224"/>
      <c r="BU225" s="224"/>
      <c r="BV225" s="224" t="s">
        <v>90</v>
      </c>
      <c r="BW225" s="223">
        <f>SUMIF(B4:B220,"EUR",BW4:BW220)</f>
        <v>0</v>
      </c>
      <c r="BX225" s="223">
        <f>SUMIF(B4:B220,"EUR",BX4:BX220)</f>
        <v>0</v>
      </c>
      <c r="BY225" s="214"/>
      <c r="BZ225" s="223">
        <f>SUMIF(B4:B220,"EUR",BZ4:BZ220)</f>
        <v>0</v>
      </c>
      <c r="CA225" s="223">
        <f>SUMIF(B4:B220,"EUR",CA4:CA220)</f>
        <v>0</v>
      </c>
      <c r="CB225" s="223">
        <f>SUMIF(B4:B220,"EUR",CB4:CB220)</f>
        <v>0</v>
      </c>
      <c r="CC225" s="223">
        <f>SUMIF(B4:B220,"EUR",CC4:CC220)</f>
        <v>0</v>
      </c>
      <c r="CD225" s="223">
        <f>SUMIF(B4:B220,"EUR",CD4:CD220)</f>
        <v>0</v>
      </c>
      <c r="CE225" s="223">
        <f>SUMIF(B4:B220,"EUR",CE4:CE220)</f>
        <v>0</v>
      </c>
      <c r="CF225" s="223">
        <f>SUMIF(B4:B220,"EUR",CF4:CF220)</f>
        <v>0</v>
      </c>
      <c r="CG225" s="223">
        <f>SUMIF(B4:B220,"EUR",CG4:CG220)</f>
        <v>0</v>
      </c>
      <c r="CH225" s="224"/>
      <c r="CI225" s="224"/>
    </row>
    <row r="226">
      <c r="A226" s="40"/>
      <c r="B226" s="345" t="s">
        <v>323</v>
      </c>
      <c r="C226" s="224" t="s">
        <v>324</v>
      </c>
      <c r="D226" s="346">
        <f>($BX$3+$CB$3+$CG$3)/2+$CH$3</f>
        <v>63237.9503</v>
      </c>
      <c r="E226" s="224"/>
      <c r="F226" s="224" t="s">
        <v>321</v>
      </c>
      <c r="G226" s="224" t="s">
        <v>322</v>
      </c>
      <c r="H226" s="220">
        <f>$BW$3/2</f>
        <v>15102.6563</v>
      </c>
      <c r="I226" s="224"/>
      <c r="J226" s="224"/>
      <c r="K226" s="224"/>
      <c r="L226" s="345" t="s">
        <v>323</v>
      </c>
      <c r="M226" s="224" t="s">
        <v>324</v>
      </c>
      <c r="N226" s="230">
        <f>$CB$3/2</f>
        <v>1345.46393</v>
      </c>
      <c r="O226" s="224" t="s">
        <v>5</v>
      </c>
      <c r="P226" s="224" t="s">
        <v>325</v>
      </c>
      <c r="Q226" s="230">
        <f>$CD$3</f>
        <v>9883.021391</v>
      </c>
      <c r="R226" s="345" t="s">
        <v>323</v>
      </c>
      <c r="S226" s="224" t="s">
        <v>324</v>
      </c>
      <c r="T226" s="224">
        <f>$CG$3/2</f>
        <v>9735.752707</v>
      </c>
      <c r="U226" s="224"/>
      <c r="V226" s="224"/>
      <c r="W226" s="224"/>
      <c r="X226" s="224"/>
      <c r="Y226" s="224"/>
      <c r="Z226" s="224"/>
      <c r="AA226" s="224"/>
      <c r="AB226" s="224"/>
      <c r="AC226" s="224"/>
      <c r="AD226" s="224"/>
      <c r="AE226" s="224"/>
      <c r="AF226" s="215"/>
      <c r="AG226" s="224"/>
      <c r="AH226" s="224"/>
      <c r="AI226" s="224"/>
      <c r="AJ226" s="215"/>
      <c r="AK226" s="224"/>
      <c r="AL226" s="224"/>
      <c r="AM226" s="224"/>
      <c r="AN226" s="224"/>
      <c r="AO226" s="224"/>
      <c r="AP226" s="224"/>
      <c r="AQ226" s="224"/>
      <c r="AR226" s="224"/>
      <c r="AS226" s="224"/>
      <c r="AT226" s="224"/>
      <c r="AU226" s="224"/>
      <c r="AV226" s="224"/>
      <c r="AW226" s="224"/>
      <c r="AX226" s="224"/>
      <c r="AY226" s="224"/>
      <c r="AZ226" s="224"/>
      <c r="BA226" s="224"/>
      <c r="BB226" s="224"/>
      <c r="BC226" s="224"/>
      <c r="BD226" s="224"/>
      <c r="BE226" s="224"/>
      <c r="BF226" s="224"/>
      <c r="BG226" s="224"/>
      <c r="BH226" s="224"/>
      <c r="BI226" s="224"/>
      <c r="BJ226" s="224"/>
      <c r="BK226" s="224"/>
      <c r="BL226" s="215"/>
      <c r="BM226" s="224"/>
      <c r="BN226" s="224"/>
      <c r="BO226" s="224"/>
      <c r="BP226" s="224"/>
      <c r="BQ226" s="344"/>
      <c r="BR226" s="220" t="s">
        <v>328</v>
      </c>
      <c r="BS226" s="221" t="s">
        <v>329</v>
      </c>
      <c r="BT226" s="224"/>
      <c r="BU226" s="224"/>
      <c r="BV226" s="224" t="s">
        <v>109</v>
      </c>
      <c r="BW226" s="223">
        <f>SUMIF(B4:B220,"SEA",BW4:BW220)</f>
        <v>21000.66535</v>
      </c>
      <c r="BX226" s="223">
        <f>SUMIF(B4:B220,"SEA",BX4:BX220)</f>
        <v>29560.67688</v>
      </c>
      <c r="BY226" s="214"/>
      <c r="BZ226" s="223">
        <f>SUMIF(B4:B220,"SEA",BZ4:BZ220)</f>
        <v>519.4092172</v>
      </c>
      <c r="CA226" s="223">
        <f>SUMIF(B4:B220,"SEA",CA4:CA220)</f>
        <v>0</v>
      </c>
      <c r="CB226" s="223">
        <f>SUMIF(B4:B220,"SEA",CB4:CB220)</f>
        <v>0</v>
      </c>
      <c r="CC226" s="223">
        <f>SUMIF(B4:B220,"SEA",CC4:CC220)</f>
        <v>8714.058916</v>
      </c>
      <c r="CD226" s="223">
        <f>SUMIF(B4:B220,"SEA",CD4:CD220)</f>
        <v>0</v>
      </c>
      <c r="CE226" s="223">
        <f>SUMIF(B4:B220,"SEA",CE4:CE220)</f>
        <v>3889.117124</v>
      </c>
      <c r="CF226" s="223">
        <f>SUMIF(B4:B220,"SEA",CF4:CF220)</f>
        <v>0</v>
      </c>
      <c r="CG226" s="223">
        <f>SUMIF(B4:B220,"SEA",CG4:CG220)</f>
        <v>0</v>
      </c>
      <c r="CH226" s="224"/>
      <c r="CI226" s="224"/>
    </row>
    <row r="227">
      <c r="A227" s="40"/>
      <c r="B227" s="224" t="s">
        <v>5</v>
      </c>
      <c r="C227" s="224" t="s">
        <v>325</v>
      </c>
      <c r="D227" s="346">
        <f>$CA$3+$CD$3+$CF$3</f>
        <v>17691.08382</v>
      </c>
      <c r="E227" s="224"/>
      <c r="F227" s="345" t="s">
        <v>323</v>
      </c>
      <c r="G227" s="224" t="s">
        <v>324</v>
      </c>
      <c r="H227" s="220">
        <f>$BX$3/2</f>
        <v>29552.99487</v>
      </c>
      <c r="I227" s="224"/>
      <c r="J227" s="224"/>
      <c r="K227" s="224"/>
      <c r="L227" s="224" t="s">
        <v>5</v>
      </c>
      <c r="M227" s="224" t="s">
        <v>325</v>
      </c>
      <c r="N227" s="230">
        <f>$CA$3</f>
        <v>3981.040838</v>
      </c>
      <c r="O227" s="224"/>
      <c r="P227" s="224"/>
      <c r="Q227" s="224"/>
      <c r="R227" s="224" t="s">
        <v>5</v>
      </c>
      <c r="S227" s="224" t="s">
        <v>325</v>
      </c>
      <c r="T227" s="230">
        <f>$CF$3</f>
        <v>3827.02159</v>
      </c>
      <c r="U227" s="224"/>
      <c r="V227" s="224"/>
      <c r="W227" s="224"/>
      <c r="X227" s="224"/>
      <c r="Y227" s="224"/>
      <c r="Z227" s="224"/>
      <c r="AA227" s="224"/>
      <c r="AB227" s="224"/>
      <c r="AC227" s="224"/>
      <c r="AD227" s="224"/>
      <c r="AE227" s="224"/>
      <c r="AF227" s="215"/>
      <c r="AG227" s="224"/>
      <c r="AH227" s="224"/>
      <c r="AI227" s="224"/>
      <c r="AJ227" s="215"/>
      <c r="AK227" s="224"/>
      <c r="AL227" s="224"/>
      <c r="AM227" s="224"/>
      <c r="AN227" s="224"/>
      <c r="AO227" s="224"/>
      <c r="AP227" s="224"/>
      <c r="AQ227" s="224"/>
      <c r="AR227" s="224"/>
      <c r="AS227" s="224"/>
      <c r="AT227" s="224"/>
      <c r="AU227" s="224"/>
      <c r="AV227" s="224"/>
      <c r="AW227" s="224"/>
      <c r="AX227" s="224"/>
      <c r="AY227" s="224"/>
      <c r="AZ227" s="224"/>
      <c r="BA227" s="224"/>
      <c r="BB227" s="224"/>
      <c r="BC227" s="224"/>
      <c r="BD227" s="224"/>
      <c r="BE227" s="224"/>
      <c r="BF227" s="224"/>
      <c r="BG227" s="224"/>
      <c r="BH227" s="224"/>
      <c r="BI227" s="224"/>
      <c r="BJ227" s="224"/>
      <c r="BK227" s="224"/>
      <c r="BL227" s="215"/>
      <c r="BM227" s="224"/>
      <c r="BN227" s="224"/>
      <c r="BO227" s="224"/>
      <c r="BP227" s="224"/>
      <c r="BQ227" s="344"/>
      <c r="BR227" s="220" t="s">
        <v>330</v>
      </c>
      <c r="BS227" s="221" t="s">
        <v>331</v>
      </c>
      <c r="BT227" s="224"/>
      <c r="BU227" s="224"/>
      <c r="BV227" s="224"/>
      <c r="BW227" s="40"/>
      <c r="BX227" s="214"/>
      <c r="BY227" s="214"/>
      <c r="BZ227" s="214"/>
      <c r="CA227" s="40"/>
      <c r="CB227" s="40"/>
      <c r="CC227" s="40"/>
      <c r="CD227" s="40"/>
      <c r="CE227" s="40"/>
      <c r="CF227" s="40"/>
      <c r="CG227" s="224"/>
      <c r="CH227" s="224"/>
      <c r="CI227" s="224"/>
    </row>
    <row r="228">
      <c r="A228" s="40"/>
      <c r="B228" s="224" t="s">
        <v>321</v>
      </c>
      <c r="C228" s="224" t="s">
        <v>322</v>
      </c>
      <c r="D228" s="346">
        <f>$BW$3/2</f>
        <v>15102.6563</v>
      </c>
      <c r="E228" s="224"/>
      <c r="F228" s="224"/>
      <c r="G228" s="224"/>
      <c r="H228" s="220"/>
      <c r="I228" s="224"/>
      <c r="J228" s="224"/>
      <c r="K228" s="224"/>
      <c r="L228" s="224"/>
      <c r="M228" s="224"/>
      <c r="N228" s="230"/>
      <c r="O228" s="224"/>
      <c r="P228" s="224"/>
      <c r="Q228" s="224"/>
      <c r="R228" s="224"/>
      <c r="S228" s="224"/>
      <c r="T228" s="224"/>
      <c r="U228" s="224"/>
      <c r="V228" s="224"/>
      <c r="W228" s="224"/>
      <c r="X228" s="224"/>
      <c r="Y228" s="224"/>
      <c r="Z228" s="224"/>
      <c r="AA228" s="224"/>
      <c r="AB228" s="224"/>
      <c r="AC228" s="224"/>
      <c r="AD228" s="224"/>
      <c r="AE228" s="224"/>
      <c r="AF228" s="215"/>
      <c r="AG228" s="224"/>
      <c r="AH228" s="224"/>
      <c r="AI228" s="224"/>
      <c r="AJ228" s="215"/>
      <c r="AK228" s="224"/>
      <c r="AL228" s="224"/>
      <c r="AM228" s="224"/>
      <c r="AN228" s="224"/>
      <c r="AO228" s="224"/>
      <c r="AP228" s="224"/>
      <c r="AQ228" s="224"/>
      <c r="AR228" s="224"/>
      <c r="AS228" s="224"/>
      <c r="AT228" s="224"/>
      <c r="AU228" s="224"/>
      <c r="AV228" s="224"/>
      <c r="AW228" s="224"/>
      <c r="AX228" s="224"/>
      <c r="AY228" s="224"/>
      <c r="AZ228" s="224"/>
      <c r="BA228" s="224"/>
      <c r="BB228" s="224"/>
      <c r="BC228" s="224"/>
      <c r="BD228" s="224"/>
      <c r="BE228" s="224"/>
      <c r="BF228" s="224"/>
      <c r="BG228" s="224"/>
      <c r="BH228" s="224"/>
      <c r="BI228" s="224"/>
      <c r="BJ228" s="224"/>
      <c r="BK228" s="224"/>
      <c r="BL228" s="215"/>
      <c r="BM228" s="224"/>
      <c r="BN228" s="224"/>
      <c r="BO228" s="224"/>
      <c r="BP228" s="224"/>
      <c r="BQ228" s="344"/>
      <c r="BR228" s="220" t="s">
        <v>332</v>
      </c>
      <c r="BS228" s="221" t="s">
        <v>333</v>
      </c>
      <c r="BT228" s="224"/>
      <c r="BU228" s="224"/>
      <c r="BV228" s="224"/>
      <c r="BW228" s="40"/>
      <c r="BX228" s="214"/>
      <c r="BY228" s="214"/>
      <c r="BZ228" s="214"/>
      <c r="CA228" s="40"/>
      <c r="CB228" s="40"/>
      <c r="CC228" s="40"/>
      <c r="CD228" s="40"/>
      <c r="CE228" s="40"/>
      <c r="CF228" s="40"/>
      <c r="CG228" s="224"/>
      <c r="CH228" s="224"/>
      <c r="CI228" s="224"/>
    </row>
    <row r="229">
      <c r="A229" s="40"/>
      <c r="B229" s="224"/>
      <c r="C229" s="224"/>
      <c r="D229" s="224"/>
      <c r="E229" s="224"/>
      <c r="F229" s="224"/>
      <c r="G229" s="224"/>
      <c r="H229" s="220"/>
      <c r="I229" s="224"/>
      <c r="J229" s="224"/>
      <c r="K229" s="224"/>
      <c r="L229" s="224"/>
      <c r="M229" s="224"/>
      <c r="N229" s="230"/>
      <c r="O229" s="224"/>
      <c r="P229" s="224"/>
      <c r="Q229" s="224"/>
      <c r="R229" s="224"/>
      <c r="S229" s="224"/>
      <c r="T229" s="224"/>
      <c r="U229" s="224"/>
      <c r="V229" s="224"/>
      <c r="W229" s="224"/>
      <c r="X229" s="224"/>
      <c r="Y229" s="224"/>
      <c r="Z229" s="224"/>
      <c r="AA229" s="224"/>
      <c r="AB229" s="224"/>
      <c r="AC229" s="224"/>
      <c r="AD229" s="224"/>
      <c r="AE229" s="224"/>
      <c r="AF229" s="215"/>
      <c r="AG229" s="224"/>
      <c r="AH229" s="224"/>
      <c r="AI229" s="224"/>
      <c r="AJ229" s="215"/>
      <c r="AK229" s="224"/>
      <c r="AL229" s="224"/>
      <c r="AM229" s="224"/>
      <c r="AN229" s="224"/>
      <c r="AO229" s="224"/>
      <c r="AP229" s="224"/>
      <c r="AQ229" s="224"/>
      <c r="AR229" s="224"/>
      <c r="AS229" s="224"/>
      <c r="AT229" s="224"/>
      <c r="AU229" s="224"/>
      <c r="AV229" s="224"/>
      <c r="AW229" s="224"/>
      <c r="AX229" s="224"/>
      <c r="AY229" s="224"/>
      <c r="AZ229" s="224"/>
      <c r="BA229" s="224"/>
      <c r="BB229" s="224"/>
      <c r="BC229" s="224"/>
      <c r="BD229" s="224"/>
      <c r="BE229" s="224"/>
      <c r="BF229" s="224"/>
      <c r="BG229" s="224"/>
      <c r="BH229" s="224"/>
      <c r="BI229" s="224"/>
      <c r="BJ229" s="224"/>
      <c r="BK229" s="224"/>
      <c r="BL229" s="215"/>
      <c r="BM229" s="224"/>
      <c r="BN229" s="224"/>
      <c r="BO229" s="224"/>
      <c r="BP229" s="224"/>
      <c r="BQ229" s="344"/>
      <c r="BR229" s="220" t="s">
        <v>334</v>
      </c>
      <c r="BS229" s="221" t="s">
        <v>335</v>
      </c>
      <c r="BT229" s="224"/>
      <c r="BU229" s="224"/>
      <c r="BV229" s="224"/>
      <c r="BW229" s="40"/>
      <c r="BX229" s="214"/>
      <c r="BY229" s="214"/>
      <c r="BZ229" s="214"/>
      <c r="CA229" s="40"/>
      <c r="CB229" s="40"/>
      <c r="CC229" s="40"/>
      <c r="CD229" s="224"/>
      <c r="CE229" s="224"/>
      <c r="CF229" s="224"/>
      <c r="CG229" s="224"/>
      <c r="CH229" s="224"/>
      <c r="CI229" s="224"/>
    </row>
    <row r="230">
      <c r="A230" s="40"/>
      <c r="B230" s="40"/>
      <c r="C230" s="40"/>
      <c r="D230" s="40"/>
      <c r="E230" s="40"/>
      <c r="F230" s="40"/>
      <c r="G230" s="40"/>
      <c r="H230" s="236"/>
      <c r="I230" s="40"/>
      <c r="J230" s="40"/>
      <c r="K230" s="40"/>
      <c r="L230" s="40"/>
      <c r="M230" s="40"/>
      <c r="N230" s="214"/>
      <c r="O230" s="40"/>
      <c r="P230" s="40"/>
      <c r="Q230" s="40"/>
      <c r="R230" s="40"/>
      <c r="S230" s="40"/>
      <c r="T230" s="40"/>
      <c r="U230" s="40"/>
      <c r="V230" s="40"/>
      <c r="W230" s="40"/>
      <c r="X230" s="40"/>
      <c r="Y230" s="40"/>
      <c r="Z230" s="40"/>
      <c r="AA230" s="40"/>
      <c r="AB230" s="40"/>
      <c r="AC230" s="40"/>
      <c r="AD230" s="40"/>
      <c r="AE230" s="40"/>
      <c r="AF230" s="216"/>
      <c r="AG230" s="40"/>
      <c r="AH230" s="40"/>
      <c r="AI230" s="40"/>
      <c r="AJ230" s="216"/>
      <c r="AK230" s="40"/>
      <c r="AL230" s="40"/>
      <c r="AM230" s="40"/>
      <c r="AN230" s="40"/>
      <c r="AO230" s="40"/>
      <c r="AP230" s="40"/>
      <c r="AQ230" s="40"/>
      <c r="AR230" s="40"/>
      <c r="AS230" s="40"/>
      <c r="AT230" s="40"/>
      <c r="AU230" s="40"/>
      <c r="AV230" s="40"/>
      <c r="AW230" s="40"/>
      <c r="AX230" s="40"/>
      <c r="AY230" s="40"/>
      <c r="AZ230" s="40"/>
      <c r="BA230" s="40"/>
      <c r="BB230" s="40"/>
      <c r="BC230" s="40"/>
      <c r="BD230" s="40"/>
      <c r="BE230" s="40"/>
      <c r="BF230" s="40"/>
      <c r="BG230" s="40"/>
      <c r="BH230" s="40"/>
      <c r="BI230" s="40"/>
      <c r="BJ230" s="40"/>
      <c r="BK230" s="40"/>
      <c r="BL230" s="216"/>
      <c r="BM230" s="40"/>
      <c r="BN230" s="40"/>
      <c r="BO230" s="40"/>
      <c r="BP230" s="40"/>
      <c r="BQ230" s="219"/>
      <c r="BR230" s="236" t="s">
        <v>336</v>
      </c>
      <c r="BS230" s="237" t="s">
        <v>337</v>
      </c>
      <c r="BT230" s="40"/>
      <c r="BU230" s="40"/>
      <c r="BV230" s="224"/>
      <c r="BW230" s="238" t="s">
        <v>338</v>
      </c>
      <c r="BX230" s="238" t="s">
        <v>339</v>
      </c>
      <c r="BY230" s="238" t="s">
        <v>340</v>
      </c>
      <c r="BZ230" s="238" t="s">
        <v>341</v>
      </c>
      <c r="CA230" s="238" t="s">
        <v>342</v>
      </c>
      <c r="CB230" s="238" t="s">
        <v>343</v>
      </c>
      <c r="CC230" s="238" t="s">
        <v>377</v>
      </c>
      <c r="CD230" s="224"/>
      <c r="CE230" s="224"/>
      <c r="CF230" s="224"/>
      <c r="CG230" s="224"/>
      <c r="CH230" s="40"/>
      <c r="CI230" s="40"/>
    </row>
    <row r="231">
      <c r="A231" s="40"/>
      <c r="B231" s="40"/>
      <c r="C231" s="40"/>
      <c r="D231" s="40"/>
      <c r="E231" s="40"/>
      <c r="F231" s="40"/>
      <c r="G231" s="40"/>
      <c r="H231" s="236"/>
      <c r="I231" s="40"/>
      <c r="J231" s="40"/>
      <c r="K231" s="40"/>
      <c r="L231" s="40"/>
      <c r="M231" s="40"/>
      <c r="N231" s="214"/>
      <c r="O231" s="40"/>
      <c r="P231" s="40"/>
      <c r="Q231" s="40"/>
      <c r="R231" s="40"/>
      <c r="S231" s="40"/>
      <c r="T231" s="40"/>
      <c r="U231" s="40"/>
      <c r="V231" s="40"/>
      <c r="W231" s="40"/>
      <c r="X231" s="40"/>
      <c r="Y231" s="40"/>
      <c r="Z231" s="40"/>
      <c r="AA231" s="40"/>
      <c r="AB231" s="40"/>
      <c r="AC231" s="40"/>
      <c r="AD231" s="40"/>
      <c r="AE231" s="40"/>
      <c r="AF231" s="216"/>
      <c r="AG231" s="40"/>
      <c r="AH231" s="40"/>
      <c r="AI231" s="40"/>
      <c r="AJ231" s="216"/>
      <c r="AK231" s="40"/>
      <c r="AL231" s="40"/>
      <c r="AM231" s="40"/>
      <c r="AN231" s="40"/>
      <c r="AO231" s="40"/>
      <c r="AP231" s="40"/>
      <c r="AQ231" s="40"/>
      <c r="AR231" s="40"/>
      <c r="AS231" s="40"/>
      <c r="AT231" s="40"/>
      <c r="AU231" s="40"/>
      <c r="AV231" s="40"/>
      <c r="AW231" s="40"/>
      <c r="AX231" s="40"/>
      <c r="AY231" s="40"/>
      <c r="AZ231" s="40"/>
      <c r="BA231" s="40"/>
      <c r="BB231" s="40"/>
      <c r="BC231" s="40"/>
      <c r="BD231" s="40"/>
      <c r="BE231" s="40"/>
      <c r="BF231" s="40"/>
      <c r="BG231" s="40"/>
      <c r="BH231" s="40"/>
      <c r="BI231" s="40"/>
      <c r="BJ231" s="40"/>
      <c r="BK231" s="40"/>
      <c r="BL231" s="216"/>
      <c r="BM231" s="40"/>
      <c r="BN231" s="40"/>
      <c r="BO231" s="40"/>
      <c r="BP231" s="40"/>
      <c r="BQ231" s="219"/>
      <c r="BR231" s="236" t="s">
        <v>344</v>
      </c>
      <c r="BS231" s="237" t="s">
        <v>345</v>
      </c>
      <c r="BT231" s="40"/>
      <c r="BU231" s="40"/>
      <c r="BV231" s="224"/>
      <c r="BW231" s="238" t="s">
        <v>88</v>
      </c>
      <c r="BX231" s="239">
        <f t="shared" ref="BX231:BX236" si="51">BW221+BX221</f>
        <v>291.6043673</v>
      </c>
      <c r="BY231" s="239">
        <f>SUMIF(B4:B220,"EMR",BY4:BY220)</f>
        <v>129315.3398</v>
      </c>
      <c r="BZ231" s="239">
        <f t="shared" ref="BZ231:BZ236" si="52">BZ221+CA221+CB221</f>
        <v>0</v>
      </c>
      <c r="CA231" s="239">
        <f t="shared" ref="CA231:CA236" si="53">CC221+CD221</f>
        <v>0</v>
      </c>
      <c r="CB231" s="239">
        <f t="shared" ref="CB231:CB236" si="54">CE221+CF221+CG221</f>
        <v>0</v>
      </c>
      <c r="CC231" s="241">
        <f>SUMIF(B4:B220,"EMR",CH4:CH220)</f>
        <v>0</v>
      </c>
      <c r="CD231" s="224"/>
      <c r="CE231" s="224"/>
      <c r="CF231" s="224"/>
      <c r="CG231" s="224"/>
      <c r="CH231" s="40"/>
      <c r="CI231" s="40"/>
    </row>
    <row r="232">
      <c r="A232" s="40"/>
      <c r="B232" s="40"/>
      <c r="C232" s="40"/>
      <c r="D232" s="40"/>
      <c r="E232" s="40"/>
      <c r="F232" s="40"/>
      <c r="G232" s="40"/>
      <c r="H232" s="236"/>
      <c r="I232" s="40"/>
      <c r="J232" s="40"/>
      <c r="K232" s="40"/>
      <c r="L232" s="40"/>
      <c r="M232" s="40"/>
      <c r="N232" s="214"/>
      <c r="O232" s="40"/>
      <c r="P232" s="40"/>
      <c r="Q232" s="40"/>
      <c r="R232" s="40"/>
      <c r="S232" s="40"/>
      <c r="T232" s="40"/>
      <c r="U232" s="40"/>
      <c r="V232" s="40"/>
      <c r="W232" s="40"/>
      <c r="X232" s="40"/>
      <c r="Y232" s="40"/>
      <c r="Z232" s="40"/>
      <c r="AA232" s="40"/>
      <c r="AB232" s="40"/>
      <c r="AC232" s="40"/>
      <c r="AD232" s="40"/>
      <c r="AE232" s="40"/>
      <c r="AF232" s="216"/>
      <c r="AG232" s="40"/>
      <c r="AH232" s="40"/>
      <c r="AI232" s="40"/>
      <c r="AJ232" s="216"/>
      <c r="AK232" s="40"/>
      <c r="AL232" s="40"/>
      <c r="AM232" s="40"/>
      <c r="AN232" s="40"/>
      <c r="AO232" s="40"/>
      <c r="AP232" s="40"/>
      <c r="AQ232" s="40"/>
      <c r="AR232" s="40"/>
      <c r="AS232" s="40"/>
      <c r="AT232" s="40"/>
      <c r="AU232" s="40"/>
      <c r="AV232" s="40"/>
      <c r="AW232" s="40"/>
      <c r="AX232" s="40"/>
      <c r="AY232" s="40"/>
      <c r="AZ232" s="40"/>
      <c r="BA232" s="40"/>
      <c r="BB232" s="40"/>
      <c r="BC232" s="40"/>
      <c r="BD232" s="40"/>
      <c r="BE232" s="40"/>
      <c r="BF232" s="40"/>
      <c r="BG232" s="40"/>
      <c r="BH232" s="40"/>
      <c r="BI232" s="40"/>
      <c r="BJ232" s="40"/>
      <c r="BK232" s="40"/>
      <c r="BL232" s="216"/>
      <c r="BM232" s="40"/>
      <c r="BN232" s="40"/>
      <c r="BO232" s="40"/>
      <c r="BP232" s="40"/>
      <c r="BQ232" s="219"/>
      <c r="BR232" s="236" t="s">
        <v>346</v>
      </c>
      <c r="BS232" s="237" t="s">
        <v>347</v>
      </c>
      <c r="BT232" s="40"/>
      <c r="BU232" s="40"/>
      <c r="BV232" s="224"/>
      <c r="BW232" s="238" t="s">
        <v>92</v>
      </c>
      <c r="BX232" s="239">
        <f t="shared" si="51"/>
        <v>29371.25805</v>
      </c>
      <c r="BY232" s="241">
        <f>SUMIF(B4:B220,"AFR",BY4:BY220)</f>
        <v>344436.8419</v>
      </c>
      <c r="BZ232" s="239">
        <f t="shared" si="52"/>
        <v>15586.32744</v>
      </c>
      <c r="CA232" s="239">
        <f t="shared" si="53"/>
        <v>70125.56474</v>
      </c>
      <c r="CB232" s="239">
        <f t="shared" si="54"/>
        <v>177181.8949</v>
      </c>
      <c r="CC232" s="347">
        <f>SUMIF(B4:B220,"AFR",CH4:CH220)</f>
        <v>22603.29304</v>
      </c>
      <c r="CD232" s="224"/>
      <c r="CE232" s="224"/>
      <c r="CF232" s="224"/>
      <c r="CG232" s="224"/>
      <c r="CH232" s="40"/>
      <c r="CI232" s="40"/>
    </row>
    <row r="233">
      <c r="A233" s="40"/>
      <c r="B233" s="40"/>
      <c r="C233" s="40"/>
      <c r="D233" s="40"/>
      <c r="E233" s="40"/>
      <c r="F233" s="40"/>
      <c r="G233" s="40"/>
      <c r="H233" s="236"/>
      <c r="I233" s="40"/>
      <c r="J233" s="40"/>
      <c r="K233" s="40"/>
      <c r="L233" s="40"/>
      <c r="M233" s="40"/>
      <c r="N233" s="214"/>
      <c r="O233" s="40"/>
      <c r="P233" s="40"/>
      <c r="Q233" s="40"/>
      <c r="R233" s="40"/>
      <c r="S233" s="40"/>
      <c r="T233" s="40"/>
      <c r="U233" s="40"/>
      <c r="V233" s="40"/>
      <c r="W233" s="40"/>
      <c r="X233" s="40"/>
      <c r="Y233" s="40"/>
      <c r="Z233" s="40"/>
      <c r="AA233" s="40"/>
      <c r="AB233" s="40"/>
      <c r="AC233" s="40"/>
      <c r="AD233" s="40"/>
      <c r="AE233" s="40"/>
      <c r="AF233" s="216"/>
      <c r="AG233" s="40"/>
      <c r="AH233" s="40"/>
      <c r="AI233" s="40"/>
      <c r="AJ233" s="216"/>
      <c r="AK233" s="40"/>
      <c r="AL233" s="40"/>
      <c r="AM233" s="40"/>
      <c r="AN233" s="40"/>
      <c r="AO233" s="40"/>
      <c r="AP233" s="40"/>
      <c r="AQ233" s="40"/>
      <c r="AR233" s="40"/>
      <c r="AS233" s="40"/>
      <c r="AT233" s="40"/>
      <c r="AU233" s="40"/>
      <c r="AV233" s="40"/>
      <c r="AW233" s="40"/>
      <c r="AX233" s="40"/>
      <c r="AY233" s="40"/>
      <c r="AZ233" s="40"/>
      <c r="BA233" s="40"/>
      <c r="BB233" s="40"/>
      <c r="BC233" s="40"/>
      <c r="BD233" s="40"/>
      <c r="BE233" s="40"/>
      <c r="BF233" s="40"/>
      <c r="BG233" s="40"/>
      <c r="BH233" s="40"/>
      <c r="BI233" s="40"/>
      <c r="BJ233" s="40"/>
      <c r="BK233" s="40"/>
      <c r="BL233" s="216"/>
      <c r="BM233" s="40"/>
      <c r="BN233" s="40"/>
      <c r="BO233" s="40"/>
      <c r="BP233" s="40"/>
      <c r="BQ233" s="219"/>
      <c r="BR233" s="236" t="s">
        <v>348</v>
      </c>
      <c r="BS233" s="237" t="s">
        <v>349</v>
      </c>
      <c r="BT233" s="40"/>
      <c r="BU233" s="40"/>
      <c r="BV233" s="224"/>
      <c r="BW233" s="238" t="s">
        <v>94</v>
      </c>
      <c r="BX233" s="239">
        <f t="shared" si="51"/>
        <v>6703.041726</v>
      </c>
      <c r="BY233" s="241">
        <f>SUMIF(B4:B220,"WPR",BY4:BY220)</f>
        <v>268553.978</v>
      </c>
      <c r="BZ233" s="239">
        <f t="shared" si="52"/>
        <v>113.2607304</v>
      </c>
      <c r="CA233" s="239">
        <f t="shared" si="53"/>
        <v>1588.040762</v>
      </c>
      <c r="CB233" s="239">
        <f t="shared" si="54"/>
        <v>4266.100475</v>
      </c>
      <c r="CC233" s="347">
        <f>SUMIF(B4:B220,"WPR",CH4:CH220)</f>
        <v>0</v>
      </c>
      <c r="CD233" s="224"/>
      <c r="CE233" s="224"/>
      <c r="CF233" s="224"/>
      <c r="CG233" s="224"/>
      <c r="CH233" s="40"/>
      <c r="CI233" s="40"/>
    </row>
    <row r="234">
      <c r="A234" s="40"/>
      <c r="B234" s="40"/>
      <c r="C234" s="40"/>
      <c r="D234" s="40"/>
      <c r="E234" s="40"/>
      <c r="F234" s="40"/>
      <c r="G234" s="40"/>
      <c r="H234" s="236"/>
      <c r="I234" s="40"/>
      <c r="J234" s="40"/>
      <c r="K234" s="40"/>
      <c r="L234" s="40"/>
      <c r="M234" s="40"/>
      <c r="N234" s="214"/>
      <c r="O234" s="40"/>
      <c r="P234" s="40"/>
      <c r="Q234" s="40"/>
      <c r="R234" s="40"/>
      <c r="S234" s="40"/>
      <c r="T234" s="40"/>
      <c r="U234" s="40"/>
      <c r="V234" s="40"/>
      <c r="W234" s="40"/>
      <c r="X234" s="40"/>
      <c r="Y234" s="40"/>
      <c r="Z234" s="40"/>
      <c r="AA234" s="40"/>
      <c r="AB234" s="40"/>
      <c r="AC234" s="40"/>
      <c r="AD234" s="40"/>
      <c r="AE234" s="40"/>
      <c r="AF234" s="216"/>
      <c r="AG234" s="40"/>
      <c r="AH234" s="40"/>
      <c r="AI234" s="40"/>
      <c r="AJ234" s="216"/>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216"/>
      <c r="BM234" s="40"/>
      <c r="BN234" s="40"/>
      <c r="BO234" s="40"/>
      <c r="BP234" s="40"/>
      <c r="BQ234" s="219"/>
      <c r="BR234" s="220" t="s">
        <v>350</v>
      </c>
      <c r="BS234" s="237" t="s">
        <v>351</v>
      </c>
      <c r="BT234" s="40"/>
      <c r="BU234" s="40"/>
      <c r="BV234" s="224"/>
      <c r="BW234" s="238" t="s">
        <v>98</v>
      </c>
      <c r="BX234" s="239">
        <f t="shared" si="51"/>
        <v>2384.055961</v>
      </c>
      <c r="BY234" s="241">
        <f>SUMIF(B4:B220,"AMR",BY4:BY220)</f>
        <v>51597.73503</v>
      </c>
      <c r="BZ234" s="239">
        <f t="shared" si="52"/>
        <v>12.60119881</v>
      </c>
      <c r="CA234" s="239">
        <f t="shared" si="53"/>
        <v>39.25600249</v>
      </c>
      <c r="CB234" s="239">
        <f t="shared" si="54"/>
        <v>88.75326973</v>
      </c>
      <c r="CC234" s="347">
        <f>SUMIF(B4:B220,"AMR",CH4:CH220)</f>
        <v>0.4457538548</v>
      </c>
      <c r="CD234" s="224"/>
      <c r="CE234" s="224"/>
      <c r="CF234" s="224"/>
      <c r="CG234" s="224"/>
      <c r="CH234" s="40"/>
      <c r="CI234" s="40"/>
    </row>
    <row r="235">
      <c r="A235" s="40"/>
      <c r="B235" s="40"/>
      <c r="C235" s="40"/>
      <c r="D235" s="40"/>
      <c r="E235" s="40"/>
      <c r="F235" s="40"/>
      <c r="G235" s="40"/>
      <c r="H235" s="236"/>
      <c r="I235" s="40"/>
      <c r="J235" s="40"/>
      <c r="K235" s="40"/>
      <c r="L235" s="40"/>
      <c r="M235" s="40"/>
      <c r="N235" s="214"/>
      <c r="O235" s="40"/>
      <c r="P235" s="40"/>
      <c r="Q235" s="40"/>
      <c r="R235" s="40"/>
      <c r="S235" s="40"/>
      <c r="T235" s="40"/>
      <c r="U235" s="40"/>
      <c r="V235" s="40"/>
      <c r="W235" s="40"/>
      <c r="X235" s="40"/>
      <c r="Y235" s="40"/>
      <c r="Z235" s="40"/>
      <c r="AA235" s="40"/>
      <c r="AB235" s="40"/>
      <c r="AC235" s="40"/>
      <c r="AD235" s="40"/>
      <c r="AE235" s="40"/>
      <c r="AF235" s="216"/>
      <c r="AG235" s="40"/>
      <c r="AH235" s="40"/>
      <c r="AI235" s="40"/>
      <c r="AJ235" s="216"/>
      <c r="AK235" s="40"/>
      <c r="AL235" s="40"/>
      <c r="AM235" s="40"/>
      <c r="AN235" s="40"/>
      <c r="AO235" s="40"/>
      <c r="AP235" s="40"/>
      <c r="AQ235" s="40"/>
      <c r="AR235" s="40"/>
      <c r="AS235" s="40"/>
      <c r="AT235" s="40"/>
      <c r="AU235" s="40"/>
      <c r="AV235" s="40"/>
      <c r="AW235" s="40"/>
      <c r="AX235" s="40"/>
      <c r="AY235" s="40"/>
      <c r="AZ235" s="40"/>
      <c r="BA235" s="40"/>
      <c r="BB235" s="40"/>
      <c r="BC235" s="40"/>
      <c r="BD235" s="40"/>
      <c r="BE235" s="40"/>
      <c r="BF235" s="40"/>
      <c r="BG235" s="40"/>
      <c r="BH235" s="40"/>
      <c r="BI235" s="40"/>
      <c r="BJ235" s="40"/>
      <c r="BK235" s="40"/>
      <c r="BL235" s="216"/>
      <c r="BM235" s="40"/>
      <c r="BN235" s="40"/>
      <c r="BO235" s="40"/>
      <c r="BP235" s="40"/>
      <c r="BQ235" s="219"/>
      <c r="BR235" s="236" t="s">
        <v>352</v>
      </c>
      <c r="BS235" s="237" t="s">
        <v>353</v>
      </c>
      <c r="BT235" s="40"/>
      <c r="BU235" s="40"/>
      <c r="BV235" s="224"/>
      <c r="BW235" s="238" t="s">
        <v>90</v>
      </c>
      <c r="BX235" s="239">
        <f t="shared" si="51"/>
        <v>0</v>
      </c>
      <c r="BY235" s="241">
        <f>SUMIF(B4:B220,"EUR",BY4:BY220)</f>
        <v>0</v>
      </c>
      <c r="BZ235" s="239">
        <f t="shared" si="52"/>
        <v>0</v>
      </c>
      <c r="CA235" s="239">
        <f t="shared" si="53"/>
        <v>0</v>
      </c>
      <c r="CB235" s="239">
        <f t="shared" si="54"/>
        <v>0</v>
      </c>
      <c r="CC235" s="347">
        <f>SUMIF(B4:B220,"EUR",CH4:CH220)</f>
        <v>0</v>
      </c>
      <c r="CD235" s="224"/>
      <c r="CE235" s="224"/>
      <c r="CF235" s="224"/>
      <c r="CG235" s="224"/>
      <c r="CH235" s="40"/>
      <c r="CI235" s="40"/>
    </row>
    <row r="236">
      <c r="A236" s="40"/>
      <c r="B236" s="40"/>
      <c r="C236" s="40"/>
      <c r="D236" s="40"/>
      <c r="E236" s="40"/>
      <c r="F236" s="40"/>
      <c r="G236" s="40"/>
      <c r="H236" s="236"/>
      <c r="I236" s="40"/>
      <c r="J236" s="40"/>
      <c r="K236" s="40"/>
      <c r="L236" s="40"/>
      <c r="M236" s="40"/>
      <c r="N236" s="214"/>
      <c r="O236" s="40"/>
      <c r="P236" s="40"/>
      <c r="Q236" s="40"/>
      <c r="R236" s="40"/>
      <c r="S236" s="40"/>
      <c r="T236" s="40"/>
      <c r="U236" s="40"/>
      <c r="V236" s="40"/>
      <c r="W236" s="40"/>
      <c r="X236" s="40"/>
      <c r="Y236" s="40"/>
      <c r="Z236" s="40"/>
      <c r="AA236" s="40"/>
      <c r="AB236" s="40"/>
      <c r="AC236" s="40"/>
      <c r="AD236" s="40"/>
      <c r="AE236" s="40"/>
      <c r="AF236" s="216"/>
      <c r="AG236" s="40"/>
      <c r="AH236" s="40"/>
      <c r="AI236" s="40"/>
      <c r="AJ236" s="216"/>
      <c r="AK236" s="40"/>
      <c r="AL236" s="40"/>
      <c r="AM236" s="40"/>
      <c r="AN236" s="40"/>
      <c r="AO236" s="40"/>
      <c r="AP236" s="40"/>
      <c r="AQ236" s="40"/>
      <c r="AR236" s="40"/>
      <c r="AS236" s="40"/>
      <c r="AT236" s="40"/>
      <c r="AU236" s="40"/>
      <c r="AV236" s="40"/>
      <c r="AW236" s="40"/>
      <c r="AX236" s="40"/>
      <c r="AY236" s="40"/>
      <c r="AZ236" s="40"/>
      <c r="BA236" s="40"/>
      <c r="BB236" s="40"/>
      <c r="BC236" s="40"/>
      <c r="BD236" s="40"/>
      <c r="BE236" s="40"/>
      <c r="BF236" s="40"/>
      <c r="BG236" s="40"/>
      <c r="BH236" s="40"/>
      <c r="BI236" s="40"/>
      <c r="BJ236" s="40"/>
      <c r="BK236" s="40"/>
      <c r="BL236" s="216"/>
      <c r="BM236" s="40"/>
      <c r="BN236" s="40"/>
      <c r="BO236" s="40"/>
      <c r="BP236" s="40"/>
      <c r="BQ236" s="219"/>
      <c r="BR236" s="243" t="s">
        <v>354</v>
      </c>
      <c r="BS236" s="244" t="s">
        <v>355</v>
      </c>
      <c r="BT236" s="40"/>
      <c r="BU236" s="40"/>
      <c r="BV236" s="224"/>
      <c r="BW236" s="238" t="s">
        <v>109</v>
      </c>
      <c r="BX236" s="239">
        <f t="shared" si="51"/>
        <v>50561.34223</v>
      </c>
      <c r="BY236" s="241">
        <f>SUMIF(B4:B220,"SEA",BY4:BY220)</f>
        <v>574.3913532</v>
      </c>
      <c r="BZ236" s="239">
        <f t="shared" si="52"/>
        <v>519.4092172</v>
      </c>
      <c r="CA236" s="239">
        <f t="shared" si="53"/>
        <v>8714.058916</v>
      </c>
      <c r="CB236" s="239">
        <f t="shared" si="54"/>
        <v>3889.117124</v>
      </c>
      <c r="CC236" s="347">
        <f>SUMIF(B4:B220,"SEA",CH4:CH220)</f>
        <v>0</v>
      </c>
      <c r="CD236" s="224"/>
      <c r="CE236" s="224"/>
      <c r="CF236" s="224"/>
      <c r="CG236" s="224"/>
      <c r="CH236" s="40"/>
      <c r="CI236" s="40"/>
    </row>
    <row r="237">
      <c r="A237" s="40"/>
      <c r="B237" s="40"/>
      <c r="C237" s="40"/>
      <c r="D237" s="40"/>
      <c r="E237" s="40"/>
      <c r="F237" s="40"/>
      <c r="G237" s="40"/>
      <c r="H237" s="236"/>
      <c r="I237" s="40"/>
      <c r="J237" s="40"/>
      <c r="K237" s="40"/>
      <c r="L237" s="40"/>
      <c r="M237" s="40"/>
      <c r="N237" s="214"/>
      <c r="O237" s="40"/>
      <c r="P237" s="40"/>
      <c r="Q237" s="40"/>
      <c r="R237" s="40"/>
      <c r="S237" s="40"/>
      <c r="T237" s="40"/>
      <c r="U237" s="40"/>
      <c r="V237" s="40"/>
      <c r="W237" s="40"/>
      <c r="X237" s="40"/>
      <c r="Y237" s="40"/>
      <c r="Z237" s="40"/>
      <c r="AA237" s="40"/>
      <c r="AB237" s="40"/>
      <c r="AC237" s="40"/>
      <c r="AD237" s="40"/>
      <c r="AE237" s="40"/>
      <c r="AF237" s="216"/>
      <c r="AG237" s="40"/>
      <c r="AH237" s="40"/>
      <c r="AI237" s="40"/>
      <c r="AJ237" s="216"/>
      <c r="AK237" s="40"/>
      <c r="AL237" s="40"/>
      <c r="AM237" s="40"/>
      <c r="AN237" s="40"/>
      <c r="AO237" s="40"/>
      <c r="AP237" s="40"/>
      <c r="AQ237" s="40"/>
      <c r="AR237" s="40"/>
      <c r="AS237" s="40"/>
      <c r="AT237" s="40"/>
      <c r="AU237" s="40"/>
      <c r="AV237" s="40"/>
      <c r="AW237" s="40"/>
      <c r="AX237" s="40"/>
      <c r="AY237" s="40"/>
      <c r="AZ237" s="40"/>
      <c r="BA237" s="40"/>
      <c r="BB237" s="40"/>
      <c r="BC237" s="40"/>
      <c r="BD237" s="40"/>
      <c r="BE237" s="40"/>
      <c r="BF237" s="40"/>
      <c r="BG237" s="40"/>
      <c r="BH237" s="40"/>
      <c r="BI237" s="40"/>
      <c r="BJ237" s="40"/>
      <c r="BK237" s="40"/>
      <c r="BL237" s="216"/>
      <c r="BM237" s="40"/>
      <c r="BN237" s="40"/>
      <c r="BO237" s="40"/>
      <c r="BP237" s="40"/>
      <c r="BQ237" s="40"/>
      <c r="BR237" s="40"/>
      <c r="BS237" s="40"/>
      <c r="BT237" s="40"/>
      <c r="BU237" s="40"/>
      <c r="BV237" s="40"/>
      <c r="BW237" s="40"/>
      <c r="BX237" s="40"/>
      <c r="BY237" s="40"/>
      <c r="BZ237" s="40"/>
      <c r="CA237" s="40"/>
      <c r="CB237" s="40"/>
      <c r="CC237" s="40"/>
      <c r="CD237" s="40"/>
      <c r="CE237" s="40"/>
      <c r="CF237" s="40"/>
      <c r="CG237" s="40"/>
      <c r="CH237" s="40"/>
      <c r="CI237" s="40"/>
    </row>
  </sheetData>
  <mergeCells count="19">
    <mergeCell ref="F1:H1"/>
    <mergeCell ref="I1:K1"/>
    <mergeCell ref="L1:N1"/>
    <mergeCell ref="P1:S1"/>
    <mergeCell ref="T1:U1"/>
    <mergeCell ref="V1:Y1"/>
    <mergeCell ref="Z1:AC1"/>
    <mergeCell ref="BN1:BV1"/>
    <mergeCell ref="BW1:BX1"/>
    <mergeCell ref="BZ1:CB1"/>
    <mergeCell ref="CC1:CD1"/>
    <mergeCell ref="CE1:CG1"/>
    <mergeCell ref="AD1:AM1"/>
    <mergeCell ref="AN1:AS1"/>
    <mergeCell ref="AT1:AU1"/>
    <mergeCell ref="AV1:BA1"/>
    <mergeCell ref="BB1:BE1"/>
    <mergeCell ref="BF1:BK1"/>
    <mergeCell ref="BL1:BM1"/>
  </mergeCells>
  <printOptions gridLines="1" horizontalCentered="1"/>
  <pageMargins bottom="0.75" footer="0.0" header="0.0" left="0.7" right="0.7" top="0.75"/>
  <pageSetup fitToHeight="0" cellComments="atEnd" orientation="landscape" pageOrder="overThenDown"/>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2.63" defaultRowHeight="15.75"/>
  <cols>
    <col customWidth="1" min="72" max="72" width="16.75"/>
  </cols>
  <sheetData>
    <row r="1">
      <c r="A1" s="348" t="s">
        <v>22</v>
      </c>
      <c r="B1" s="349" t="s">
        <v>23</v>
      </c>
      <c r="C1" s="349" t="s">
        <v>24</v>
      </c>
      <c r="D1" s="350" t="s">
        <v>25</v>
      </c>
      <c r="E1" s="351" t="s">
        <v>356</v>
      </c>
      <c r="F1" s="352" t="s">
        <v>27</v>
      </c>
      <c r="I1" s="353" t="s">
        <v>28</v>
      </c>
      <c r="L1" s="354" t="s">
        <v>29</v>
      </c>
      <c r="O1" s="355" t="s">
        <v>357</v>
      </c>
      <c r="P1" s="350" t="s">
        <v>30</v>
      </c>
      <c r="T1" s="351" t="s">
        <v>31</v>
      </c>
      <c r="V1" s="356" t="s">
        <v>32</v>
      </c>
      <c r="Z1" s="355" t="s">
        <v>358</v>
      </c>
      <c r="AD1" s="357" t="s">
        <v>33</v>
      </c>
      <c r="AN1" s="350" t="s">
        <v>34</v>
      </c>
      <c r="AT1" s="351" t="s">
        <v>378</v>
      </c>
      <c r="AV1" s="352" t="s">
        <v>36</v>
      </c>
      <c r="BB1" s="353" t="s">
        <v>37</v>
      </c>
      <c r="BF1" s="354" t="s">
        <v>38</v>
      </c>
      <c r="BL1" s="355" t="s">
        <v>360</v>
      </c>
      <c r="BN1" s="349" t="s">
        <v>39</v>
      </c>
      <c r="BW1" s="350" t="s">
        <v>361</v>
      </c>
      <c r="BY1" s="358" t="s">
        <v>41</v>
      </c>
      <c r="BZ1" s="359" t="s">
        <v>42</v>
      </c>
      <c r="CC1" s="353" t="s">
        <v>43</v>
      </c>
      <c r="CE1" s="354" t="s">
        <v>44</v>
      </c>
      <c r="CH1" s="355" t="s">
        <v>362</v>
      </c>
    </row>
    <row r="2">
      <c r="A2" s="360"/>
      <c r="B2" s="361"/>
      <c r="C2" s="361"/>
      <c r="D2" s="362" t="s">
        <v>46</v>
      </c>
      <c r="E2" s="363" t="s">
        <v>46</v>
      </c>
      <c r="F2" s="364" t="s">
        <v>47</v>
      </c>
      <c r="G2" s="364" t="s">
        <v>48</v>
      </c>
      <c r="H2" s="364" t="s">
        <v>45</v>
      </c>
      <c r="I2" s="365" t="s">
        <v>47</v>
      </c>
      <c r="J2" s="365" t="s">
        <v>48</v>
      </c>
      <c r="K2" s="365" t="s">
        <v>45</v>
      </c>
      <c r="L2" s="366" t="s">
        <v>47</v>
      </c>
      <c r="M2" s="366" t="s">
        <v>48</v>
      </c>
      <c r="N2" s="366" t="s">
        <v>45</v>
      </c>
      <c r="O2" s="367" t="s">
        <v>46</v>
      </c>
      <c r="P2" s="362" t="s">
        <v>50</v>
      </c>
      <c r="Q2" s="362" t="s">
        <v>51</v>
      </c>
      <c r="R2" s="362" t="s">
        <v>30</v>
      </c>
      <c r="S2" s="362" t="s">
        <v>52</v>
      </c>
      <c r="T2" s="363" t="s">
        <v>31</v>
      </c>
      <c r="U2" s="363" t="s">
        <v>53</v>
      </c>
      <c r="V2" s="368" t="s">
        <v>54</v>
      </c>
      <c r="W2" s="368" t="s">
        <v>363</v>
      </c>
      <c r="X2" s="368" t="s">
        <v>55</v>
      </c>
      <c r="Y2" s="368" t="s">
        <v>364</v>
      </c>
      <c r="Z2" s="369" t="s">
        <v>365</v>
      </c>
      <c r="AA2" s="369" t="s">
        <v>366</v>
      </c>
      <c r="AB2" s="369" t="s">
        <v>358</v>
      </c>
      <c r="AC2" s="369" t="s">
        <v>367</v>
      </c>
      <c r="AD2" s="362" t="s">
        <v>20</v>
      </c>
      <c r="AE2" s="363" t="s">
        <v>56</v>
      </c>
      <c r="AF2" s="370" t="s">
        <v>57</v>
      </c>
      <c r="AG2" s="364" t="s">
        <v>379</v>
      </c>
      <c r="AH2" s="364" t="s">
        <v>58</v>
      </c>
      <c r="AI2" s="365" t="s">
        <v>380</v>
      </c>
      <c r="AJ2" s="371" t="s">
        <v>59</v>
      </c>
      <c r="AK2" s="366" t="s">
        <v>381</v>
      </c>
      <c r="AL2" s="372" t="s">
        <v>382</v>
      </c>
      <c r="AM2" s="367" t="s">
        <v>70</v>
      </c>
      <c r="AN2" s="373" t="s">
        <v>383</v>
      </c>
      <c r="AO2" s="373" t="s">
        <v>63</v>
      </c>
      <c r="AP2" s="373" t="s">
        <v>384</v>
      </c>
      <c r="AQ2" s="373" t="s">
        <v>63</v>
      </c>
      <c r="AR2" s="373" t="s">
        <v>385</v>
      </c>
      <c r="AS2" s="373" t="s">
        <v>386</v>
      </c>
      <c r="AT2" s="374" t="s">
        <v>66</v>
      </c>
      <c r="AU2" s="374" t="s">
        <v>63</v>
      </c>
      <c r="AV2" s="375" t="s">
        <v>67</v>
      </c>
      <c r="AW2" s="375" t="s">
        <v>63</v>
      </c>
      <c r="AX2" s="375" t="s">
        <v>68</v>
      </c>
      <c r="AY2" s="375" t="s">
        <v>63</v>
      </c>
      <c r="AZ2" s="375" t="s">
        <v>69</v>
      </c>
      <c r="BA2" s="375" t="s">
        <v>63</v>
      </c>
      <c r="BB2" s="376" t="s">
        <v>80</v>
      </c>
      <c r="BC2" s="376" t="s">
        <v>63</v>
      </c>
      <c r="BD2" s="376" t="s">
        <v>68</v>
      </c>
      <c r="BE2" s="376" t="s">
        <v>63</v>
      </c>
      <c r="BF2" s="377" t="s">
        <v>67</v>
      </c>
      <c r="BG2" s="377" t="s">
        <v>63</v>
      </c>
      <c r="BH2" s="377" t="s">
        <v>68</v>
      </c>
      <c r="BI2" s="377" t="s">
        <v>63</v>
      </c>
      <c r="BJ2" s="377" t="s">
        <v>69</v>
      </c>
      <c r="BK2" s="377" t="s">
        <v>63</v>
      </c>
      <c r="BL2" s="367" t="s">
        <v>324</v>
      </c>
      <c r="BM2" s="367" t="s">
        <v>63</v>
      </c>
      <c r="BN2" s="378" t="s">
        <v>20</v>
      </c>
      <c r="BO2" s="367" t="s">
        <v>70</v>
      </c>
      <c r="BP2" s="363" t="s">
        <v>71</v>
      </c>
      <c r="BQ2" s="368" t="s">
        <v>72</v>
      </c>
      <c r="BR2" s="379" t="s">
        <v>73</v>
      </c>
      <c r="BS2" s="379" t="s">
        <v>74</v>
      </c>
      <c r="BT2" s="379" t="s">
        <v>75</v>
      </c>
      <c r="BU2" s="380" t="s">
        <v>76</v>
      </c>
      <c r="BV2" s="380" t="s">
        <v>387</v>
      </c>
      <c r="BW2" s="362" t="s">
        <v>78</v>
      </c>
      <c r="BX2" s="362" t="s">
        <v>79</v>
      </c>
      <c r="BY2" s="363" t="s">
        <v>66</v>
      </c>
      <c r="BZ2" s="364" t="s">
        <v>80</v>
      </c>
      <c r="CA2" s="364" t="s">
        <v>81</v>
      </c>
      <c r="CB2" s="364" t="s">
        <v>79</v>
      </c>
      <c r="CC2" s="365" t="s">
        <v>80</v>
      </c>
      <c r="CD2" s="365" t="s">
        <v>81</v>
      </c>
      <c r="CE2" s="366" t="s">
        <v>80</v>
      </c>
      <c r="CF2" s="366" t="s">
        <v>81</v>
      </c>
      <c r="CG2" s="366" t="s">
        <v>79</v>
      </c>
      <c r="CH2" s="381" t="s">
        <v>324</v>
      </c>
    </row>
    <row r="3">
      <c r="A3" s="382"/>
      <c r="B3" s="383"/>
      <c r="C3" s="383"/>
      <c r="D3" s="384">
        <f t="shared" ref="D3:O3" si="1">SUM(D4:D220)</f>
        <v>1228774.02</v>
      </c>
      <c r="E3" s="385">
        <f t="shared" si="1"/>
        <v>1906408.977</v>
      </c>
      <c r="F3" s="386">
        <f t="shared" si="1"/>
        <v>19543.0185</v>
      </c>
      <c r="G3" s="386">
        <f t="shared" si="1"/>
        <v>76379.74351</v>
      </c>
      <c r="H3" s="386">
        <f t="shared" si="1"/>
        <v>95936.22469</v>
      </c>
      <c r="I3" s="387">
        <f t="shared" si="1"/>
        <v>110060.09</v>
      </c>
      <c r="J3" s="387">
        <f t="shared" si="1"/>
        <v>314978.5997</v>
      </c>
      <c r="K3" s="388">
        <f t="shared" si="1"/>
        <v>436282.0183</v>
      </c>
      <c r="L3" s="389">
        <f t="shared" si="1"/>
        <v>418928.7021</v>
      </c>
      <c r="M3" s="389">
        <f t="shared" si="1"/>
        <v>266889.1602</v>
      </c>
      <c r="N3" s="390">
        <f t="shared" si="1"/>
        <v>685784.8747</v>
      </c>
      <c r="O3" s="391">
        <f t="shared" si="1"/>
        <v>990179.8621</v>
      </c>
      <c r="P3" s="392"/>
      <c r="Q3" s="392"/>
      <c r="R3" s="393">
        <f>average(R4:R220)</f>
        <v>0.3806200965</v>
      </c>
      <c r="S3" s="394">
        <f>AVERAGEIFS(R4:R220,R4:R220,"&lt;&gt;""",R4:R220,"&gt;0")</f>
        <v>0.5709301448</v>
      </c>
      <c r="T3" s="395" t="s">
        <v>83</v>
      </c>
      <c r="U3" s="396">
        <f>AVERAGEIF(T4:T220,"&lt;&gt;""",T4:T220)</f>
        <v>0.4791888889</v>
      </c>
      <c r="V3" s="397" t="s">
        <v>83</v>
      </c>
      <c r="W3" s="398">
        <f>AVERAGEIF(V4:V220,"&lt;&gt;""",V4:V220)</f>
        <v>0.71164</v>
      </c>
      <c r="X3" s="399" t="s">
        <v>83</v>
      </c>
      <c r="Y3" s="400">
        <f>AVERAGEIF(X4:X220,"&lt;&gt;""",X4:X220)</f>
        <v>0.6500546875</v>
      </c>
      <c r="Z3" s="401"/>
      <c r="AA3" s="401"/>
      <c r="AB3" s="402" t="s">
        <v>83</v>
      </c>
      <c r="AC3" s="403">
        <f>AVERAGEIFS(AB4:AB220,AB4:AB220,"&lt;&gt;""",AB4:AB220,"&gt;0")</f>
        <v>0.6890056172</v>
      </c>
      <c r="AD3" s="393">
        <f t="shared" ref="AD3:AM3" si="2">average(AD4:AD220)</f>
        <v>0.005106912442</v>
      </c>
      <c r="AE3" s="404">
        <f t="shared" si="2"/>
        <v>0.03405529954</v>
      </c>
      <c r="AF3" s="404">
        <f t="shared" si="2"/>
        <v>0.009832258065</v>
      </c>
      <c r="AG3" s="405">
        <f t="shared" si="2"/>
        <v>0.01947511521</v>
      </c>
      <c r="AH3" s="405">
        <f t="shared" si="2"/>
        <v>0.06072691096</v>
      </c>
      <c r="AI3" s="406">
        <f t="shared" si="2"/>
        <v>0.01560921659</v>
      </c>
      <c r="AJ3" s="406">
        <f t="shared" si="2"/>
        <v>0.0537823636</v>
      </c>
      <c r="AK3" s="407">
        <f t="shared" si="2"/>
        <v>0.02957880184</v>
      </c>
      <c r="AL3" s="407">
        <f t="shared" si="2"/>
        <v>0.07349727172</v>
      </c>
      <c r="AM3" s="408">
        <f t="shared" si="2"/>
        <v>0.002823041475</v>
      </c>
      <c r="AN3" s="392"/>
      <c r="AO3" s="393">
        <f>average(AO4:AO220)</f>
        <v>0.3361596774</v>
      </c>
      <c r="AP3" s="392"/>
      <c r="AQ3" s="393">
        <f>average(AQ4:AQ220)</f>
        <v>0.5095136329</v>
      </c>
      <c r="AR3" s="392"/>
      <c r="AS3" s="393">
        <f>average(AS4:AS220)</f>
        <v>0.4266667627</v>
      </c>
      <c r="AT3" s="409" t="s">
        <v>388</v>
      </c>
      <c r="AU3" s="410">
        <f>average(AU4:AU219)</f>
        <v>0.7653645056</v>
      </c>
      <c r="AV3" s="411" t="s">
        <v>388</v>
      </c>
      <c r="AW3" s="412">
        <f>average(AW4:AW220)</f>
        <v>0.3998312734</v>
      </c>
      <c r="AX3" s="411" t="s">
        <v>388</v>
      </c>
      <c r="AY3" s="412">
        <f>average(AY4:AY220)</f>
        <v>0.4876490975</v>
      </c>
      <c r="AZ3" s="411" t="s">
        <v>388</v>
      </c>
      <c r="BA3" s="412">
        <f>average(BA4:BA220)</f>
        <v>0.6221826037</v>
      </c>
      <c r="BB3" s="413" t="s">
        <v>388</v>
      </c>
      <c r="BC3" s="414">
        <f>average(BC4:BC220)</f>
        <v>0.7751565075</v>
      </c>
      <c r="BD3" s="413" t="s">
        <v>388</v>
      </c>
      <c r="BE3" s="414">
        <f>average(BE4:BE220)</f>
        <v>0.406221682</v>
      </c>
      <c r="BF3" s="415" t="s">
        <v>388</v>
      </c>
      <c r="BG3" s="416">
        <f>average(BG4:BG220)</f>
        <v>0.939005914</v>
      </c>
      <c r="BH3" s="415" t="s">
        <v>388</v>
      </c>
      <c r="BI3" s="416">
        <f>average(BI4:BI220)</f>
        <v>0.8773700077</v>
      </c>
      <c r="BJ3" s="415" t="s">
        <v>388</v>
      </c>
      <c r="BK3" s="416">
        <f>average(BK4:BK220)</f>
        <v>0.848</v>
      </c>
      <c r="BL3" s="417" t="s">
        <v>388</v>
      </c>
      <c r="BM3" s="403">
        <f>average(BM4:BM220)</f>
        <v>0.7051968649</v>
      </c>
      <c r="BN3" s="418" t="s">
        <v>85</v>
      </c>
      <c r="BO3" s="419" t="s">
        <v>85</v>
      </c>
      <c r="BP3" s="420" t="s">
        <v>85</v>
      </c>
      <c r="BQ3" s="421" t="s">
        <v>86</v>
      </c>
      <c r="BR3" s="383"/>
      <c r="BS3" s="383"/>
      <c r="BT3" s="383"/>
      <c r="BU3" s="383"/>
      <c r="BV3" s="383"/>
      <c r="BW3" s="422">
        <f t="shared" ref="BW3:CH3" si="3">SUM(BW4:BW220)</f>
        <v>25048.9793</v>
      </c>
      <c r="BX3" s="422">
        <f t="shared" si="3"/>
        <v>185108.4901</v>
      </c>
      <c r="BY3" s="423">
        <f t="shared" si="3"/>
        <v>1116972.084</v>
      </c>
      <c r="BZ3" s="424">
        <f t="shared" si="3"/>
        <v>19435.38158</v>
      </c>
      <c r="CA3" s="424">
        <f t="shared" si="3"/>
        <v>6489.572889</v>
      </c>
      <c r="CB3" s="424">
        <f t="shared" si="3"/>
        <v>18809.22319</v>
      </c>
      <c r="CC3" s="425">
        <f t="shared" si="3"/>
        <v>174148.653</v>
      </c>
      <c r="CD3" s="425">
        <f t="shared" si="3"/>
        <v>20674.9489</v>
      </c>
      <c r="CE3" s="426">
        <f t="shared" si="3"/>
        <v>862558.539</v>
      </c>
      <c r="CF3" s="426">
        <f t="shared" si="3"/>
        <v>29266.80661</v>
      </c>
      <c r="CG3" s="426">
        <f t="shared" si="3"/>
        <v>286927.8865</v>
      </c>
      <c r="CH3" s="427">
        <f t="shared" si="3"/>
        <v>32691.21203</v>
      </c>
    </row>
    <row r="4">
      <c r="A4" s="103" t="s">
        <v>87</v>
      </c>
      <c r="B4" s="104" t="s">
        <v>88</v>
      </c>
      <c r="C4" s="428">
        <v>3.3736494E7</v>
      </c>
      <c r="D4" s="161">
        <v>0.0</v>
      </c>
      <c r="E4" s="294">
        <v>0.0</v>
      </c>
      <c r="F4" s="295">
        <v>40.44667692</v>
      </c>
      <c r="G4" s="295">
        <v>197.8022482</v>
      </c>
      <c r="H4" s="108">
        <v>238.2489251</v>
      </c>
      <c r="I4" s="296">
        <v>105.614881</v>
      </c>
      <c r="J4" s="296">
        <v>161.131432</v>
      </c>
      <c r="K4" s="110">
        <v>266.7463131</v>
      </c>
      <c r="L4" s="297">
        <v>4738.276841</v>
      </c>
      <c r="M4" s="297">
        <v>10423.1551</v>
      </c>
      <c r="N4" s="112">
        <v>15161.43194</v>
      </c>
      <c r="O4" s="298">
        <v>0.0</v>
      </c>
      <c r="P4" s="114"/>
      <c r="Q4" s="114"/>
      <c r="R4" s="121" t="str">
        <f t="shared" ref="R4:R220" si="4">IFERROR(Q4/P4,"")</f>
        <v/>
      </c>
      <c r="S4" s="116">
        <f t="shared" ref="S4:S220" si="5">IF(IFERROR(IF(AND(R4&lt;&gt;"",R4&gt;0),R4, IF(AVERAGEIFS($R$4:$R$220,$B$4:$B$220,$B4,$R$4:$R$220,"&lt;&gt;""")&gt;0,AVERAGEIFS($R$4:$R$220,$B$4:$B$220,$B4,$R$4:$R$220,"&lt;&gt;"""))),$S$3)=FALSE,$S$3,IFERROR(IF(AND(R4&lt;&gt;"",R4&gt;0),R4, IF(AVERAGEIFS($R$4:$R$220,$B$4:$B$220,$B4,$R$4:$R$220,"&lt;&gt;""")&gt;0,AVERAGEIFS($R$4:$R$220,$B$4:$B$220,$B4,$R$4:$R$220,"&lt;&gt;"""))),$S$3))</f>
        <v>0.5709301448</v>
      </c>
      <c r="T4" s="117"/>
      <c r="U4" s="118">
        <f t="shared" ref="U4:U220" si="6">IFERROR(IF(T4&lt;&gt;"",T4, IF(AVERAGEIFS($T$4:$T$220,$B$4:$B$220,$B4,$T$4:$T$220,"&lt;&gt;""")&gt;0,AVERAGEIFS($T$4:$T$220,$B$4:$B$220,$B4,$T$4:$T$220,"&lt;&gt;"""))),$U$3)</f>
        <v>0.739</v>
      </c>
      <c r="V4" s="119">
        <v>1.0</v>
      </c>
      <c r="W4" s="120">
        <f t="shared" ref="W4:W220" si="7">IFERROR(IF(V4&lt;&gt;"",V4,IF(AVERAGEIFS($V$4:$V$220,$B$4:$B$220,$B4,$V$4:$V$220,"&lt;&gt;""")&gt;0,AVERAGEIFS($V$4:$V$220,$B$4:$B$220,$B4,$V$4:$V$220,"&lt;&gt;"""))),W$3)</f>
        <v>1</v>
      </c>
      <c r="X4" s="148"/>
      <c r="Y4" s="120">
        <f t="shared" ref="Y4:Y220" si="8">IFERROR(IF(X4&lt;&gt;"",X4,IF(AVERAGEIFS($X$4:$X$220,$B$4:$B$220,$B4,$X$4:$X$220,"&lt;&gt;""")&gt;0,AVERAGEIFS($X$4:$X$220,$B$4:$B$220,$B4,$X$4:$X$220,"&lt;&gt;"""))),Y$3)</f>
        <v>0.5301</v>
      </c>
      <c r="Z4" s="299"/>
      <c r="AA4" s="429"/>
      <c r="AB4" s="300" t="str">
        <f t="shared" ref="AB4:AB220" si="9">IFERROR(AA4/Z4,"")</f>
        <v/>
      </c>
      <c r="AC4" s="300">
        <f t="shared" ref="AC4:AC220" si="10">IFERROR(IF(AND(AB4&lt;&gt;"",AB4&gt;0),AB4, IF(AVERAGEIFS($AB$4:$AB$220,$B$4:$B$220,$B4,$AB$4:$AB$220,"&lt;&gt;""")&gt;0,AVERAGEIFS($AB$4:$AB$220,$B$4:$B$220,$B4,$AB$4:$AB$220,"&lt;&gt;"""))),AC$3)</f>
        <v>0.4014082288</v>
      </c>
      <c r="AD4" s="122">
        <v>0.0</v>
      </c>
      <c r="AE4" s="123">
        <v>0.0</v>
      </c>
      <c r="AF4" s="430">
        <v>0.0</v>
      </c>
      <c r="AG4" s="124">
        <v>0.0722</v>
      </c>
      <c r="AH4" s="124">
        <v>0.11291197</v>
      </c>
      <c r="AI4" s="125">
        <v>0.0043</v>
      </c>
      <c r="AJ4" s="125">
        <v>0.006976594</v>
      </c>
      <c r="AK4" s="127">
        <v>0.2922</v>
      </c>
      <c r="AL4" s="127">
        <v>0.437748676</v>
      </c>
      <c r="AM4" s="302">
        <v>0.0</v>
      </c>
      <c r="AN4" s="129" t="str">
        <f>IFERROR(
  AVERAGEIFS(
    'New LF Efficacy'!$J:$J,
    'New LF Efficacy'!$D:$D, $A4,
    'New LF Efficacy'!$F:$F,"DEC", 
    'New LF Efficacy'!$W:$W,"&lt;2016",
    'New LF Efficacy'!$AA:$AA,""),
  ""
)</f>
        <v/>
      </c>
      <c r="AO4" s="431">
        <f t="shared" ref="AO4:AO220" si="11">IFERROR(
  IFERROR(
    IF(
      AN4&lt;&gt;"",
      AN4,
      AVERAGEIFS($AN$4:$AN$220,$B$4:$B$220,B4,$AN$4:$AN$220,"&lt;&gt;""")
    ), 
    AVERAGEIFS($AN$4:$AN$220,$AN$4:$AN$220,"&lt;&gt;""")
  ),
  "")</f>
        <v>0.3573520833</v>
      </c>
      <c r="AP4" s="129" t="str">
        <f>IFERROR(
AVERAGEIFS(
'New LF Efficacy'!$J:$J,
'New LF Efficacy'!$D:$D,$A4,
'New LF Efficacy'!$F:$F,"Albendazole &amp; DEC",
'New LF Efficacy'!$W:$W,"&lt;2016",
'New LF Efficacy'!$AA:$AA,""),
"")
</f>
        <v/>
      </c>
      <c r="AQ4" s="431">
        <f t="shared" ref="AQ4:AQ220" si="12">IFERROR(IFERROR(IF(AP4&lt;&gt;"",AP4,AVERAGEIFS($AP$4:$AP$220,$B$4:$B$220,B4,$AP$4:$AP$220,"&lt;&gt;""")), AVERAGEIFS($AP$4:$AP$220,$AP$4:$AP$220,"&lt;&gt;""")),"")</f>
        <v>0.7935</v>
      </c>
      <c r="AR4" s="129" t="str">
        <f>IFERROR(
AVERAGEIFS(
'New LF Efficacy'!$J:$J,
'New LF Efficacy'!$D:$D,$A4,
'New LF Efficacy'!$F:$F,"Albendazole &amp; Ivermectin", 
'New LF Efficacy'!$W:$W,"&lt;2016",
'New LF Efficacy'!$AA:$AA,""),"")</f>
        <v/>
      </c>
      <c r="AS4" s="431">
        <f t="shared" ref="AS4:AS220" si="13">IFERROR(IFERROR(IF(AR4&lt;&gt;"",AR4,AVERAGEIFS($AR$4:$AR$220,$B$4:$B$220,B4,$AR$4:$AR$220,"&lt;&gt;""")), AVERAGEIFS($AR$4:$AR$220,$AR$4:$AR$220,"&lt;&gt;""")),"")</f>
        <v>0.37153125</v>
      </c>
      <c r="AT4" s="432" t="str">
        <f>IFERROR(AVERAGEIFS(
'Schist Efficacy'!$O:$O, 
'Schist Efficacy'!$C:$C,$A4, 
'Schist Efficacy'!$D:$D, "Praziquantel",
'Schist Efficacy'!$J:$J,"&lt;2016",
'Schist Efficacy'!$U:$U,""),
"")</f>
        <v/>
      </c>
      <c r="AU4" s="433">
        <f t="shared" ref="AU4:AU220" si="14">IFERROR(
IFERROR(
IF(AT4&lt;&gt;"",AT4,AVERAGEIFS(AT$4:AT$220,$B$4:$B$220,$B4,AT$4:AT$220,"&lt;&gt;""")),IFERROR(AVERAGE(AT$4:AT$220))),
"No Data")</f>
        <v>0.7763141026</v>
      </c>
      <c r="AV4" s="131" t="str">
        <f>IFERROR(AVERAGEIFS(
'STH Efficacy'!$AX:$AX, 
'STH Efficacy'!$AL:$AL, $A4, 
'STH Efficacy'!$AM:$AM, "Albendazole",
'STH Efficacy'!$AS:$AS,"&lt;2016",
'STH Efficacy'!$BP:$BP,""),
"")</f>
        <v/>
      </c>
      <c r="AW4" s="132">
        <f t="shared" ref="AW4:AW220" si="15">IFERROR(IFERROR(IF(AV4&lt;&gt;"",AV4,AVERAGEIFS(AV$4:AV$220,$B$4:$B$220,$B4,AV$4:AV$220,"&gt; 0")), AVERAGEIFS(AV$4:AV$220,AV$4:AV$220,"&lt;&gt;""")),"")</f>
        <v>0.4143846154</v>
      </c>
      <c r="AX4" s="131" t="str">
        <f>IFERROR(AVERAGEIFS(
'STH Efficacy'!$AX:$AX, 
'STH Efficacy'!$AL:$AL, $A4, 
'STH Efficacy'!$AM:$AM, "Mebendazole",
'STH Efficacy'!$AS:$AS,"&lt;2016",
'STH Efficacy'!$BP:$BP,""),
"")</f>
        <v/>
      </c>
      <c r="AY4" s="132">
        <f t="shared" ref="AY4:AY220" si="16">IFERROR(IFERROR(IF(AX4&lt;&gt;"",AX4,AVERAGEIFS(AX$4:AX$220,$B$4:$B$220,$B4,AX$4:AX$220,"&gt; 0")), AVERAGEIFS(AX$4:AX$220,AX$4:AX$220,"&lt;&gt;""")),"")</f>
        <v>0.4691770833</v>
      </c>
      <c r="AZ4" s="131" t="str">
        <f>IFERROR(AVERAGEIFS(
'STH Efficacy'!$AX:$AX, 
'STH Efficacy'!$AL:$AL, $A4, 
'STH Efficacy'!$AM:$AM, "Albendazole &amp; Ivermectin",
'STH Efficacy'!$AS:$AS,"&lt;2016",
'STH Efficacy'!$BP:$BP,""),
"")</f>
        <v/>
      </c>
      <c r="BA4" s="133">
        <f t="shared" ref="BA4:BA220" si="17">IFERROR(IFERROR(IF(AZ4&lt;&gt;"",AZ4,AVERAGEIFS(AZ$4:AZ$220,$B$4:$B$220,$B4,AZ$4:AZ$220,"&gt; 0")), AVERAGEIFS(AZ$4:AZ$220,AZ$4:AZ$220,"&lt;&gt;""")),"")</f>
        <v>0.597625</v>
      </c>
      <c r="BB4" s="434" t="str">
        <f>IFERROR(AVERAGEIFS(
'STH Efficacy'!$N:$N, 
'STH Efficacy'!$B:$B, $A4, 
'STH Efficacy'!$C:$C, "Albendazole",
'STH Efficacy'!$I:$I,"&lt;2016",
'STH Efficacy'!$AH:$AH,""),
"")</f>
        <v/>
      </c>
      <c r="BC4" s="435">
        <f t="shared" ref="BC4:BC220" si="18">IFERROR(
  IFERROR(
    IF(
      BB4&lt;&gt;"",
      BB4,
      AVERAGEIFS(
        BB$4:BB$220,
        $B$4:$B$220,$B4,
        BB$4:BB$220,"&lt;&gt;"""
      )
     ), AVERAGEIFS(BB$4:BB$220,BB$4:BB$220,"&lt;&gt;""")),"")</f>
        <v>0.7613712121</v>
      </c>
      <c r="BD4" s="434" t="str">
        <f>IFERROR(AVERAGEIFS(
'STH Efficacy'!$N:$N, 
'STH Efficacy'!$B:$B, $A4, 
'STH Efficacy'!$C:$C, "Mebendazole",
'STH Efficacy'!$I:$I,"&lt;2016",
'STH Efficacy'!$AH:$AH,""),
"")</f>
        <v/>
      </c>
      <c r="BE4" s="435">
        <f t="shared" ref="BE4:BE220" si="19">IFERROR(
  IFERROR(
    IF(
      BD4&lt;&gt;"",
      BD4,
      AVERAGEIFS(
        BD$4:BD$220,
        $B$4:$B$220,$B4,
        BD$4:BD$220,"&gt; 0"
      )
     ), AVERAGEIFS(BD$4:BD$220,BD$4:BD$220,"&lt;&gt;""")),"")</f>
        <v>0.4362466667</v>
      </c>
      <c r="BF4" s="436" t="str">
        <f>IFERROR(AVERAGEIFS(
'STH Efficacy'!$CD:$CD, 
'STH Efficacy'!$BS:$BS, $A4, 
'STH Efficacy'!$BT:$BT, "Albendazole",
'STH Efficacy'!$BZ:$BZ,"&lt;2016",
'STH Efficacy'!$CU:$CU,""),
"")</f>
        <v/>
      </c>
      <c r="BG4" s="136">
        <f t="shared" ref="BG4:BG220" si="20">IFERROR(IFERROR(IF(BF4&lt;&gt;"",BF4,AVERAGEIFS(BF$4:BF$220,$B$4:$B$220,$B4,BF$4:BF$220,"&gt; 0")), AVERAGEIFS(BF$4:BF$220,BF$4:BF$220,"&lt;&gt;""")),"")</f>
        <v>0.955</v>
      </c>
      <c r="BH4" s="436" t="str">
        <f>IFERROR(AVERAGEIFS(
'STH Efficacy'!$CD:$CD, 
'STH Efficacy'!$BS:$BS, $A4, 
'STH Efficacy'!$BT:$BT, "Mebendazole",
'STH Efficacy'!$BZ:$BZ,"&lt;2016",
'STH Efficacy'!$CU:$CU,""),
"")</f>
        <v/>
      </c>
      <c r="BI4" s="136">
        <f t="shared" ref="BI4:BI220" si="21">IFERROR(IFERROR(IF(BH4&lt;&gt;"",BH4,AVERAGEIFS(BH$4:BH$220,$B$4:$B$220,$B4,BH$4:BH$220,"&gt; 0")), AVERAGEIFS(BH$4:BH$220,BH$4:BH$220,"&lt;&gt;""")),"")</f>
        <v>1</v>
      </c>
      <c r="BJ4" s="436" t="str">
        <f>IFERROR(AVERAGEIFS(
'STH Efficacy'!$CD:$CD, 
'STH Efficacy'!$BS:$BS, $A4, 
'STH Efficacy'!$BT:$BT, "Albendazole &amp; Ivermectin",
'STH Efficacy'!$BZ:$BZ,"&lt;2016",
'STH Efficacy'!$CU:$CU,""),
"")</f>
        <v/>
      </c>
      <c r="BK4" s="136">
        <f t="shared" ref="BK4:BK220" si="22">IFERROR(IFERROR(IF(BJ4&lt;&gt;"",BJ4,AVERAGEIFS(BJ$4:BJ$220,$B$4:$B$220,$B4,BJ$4:BJ$220,"&gt; 0")), AVERAGEIFS(BJ$4:BJ$220,BJ$4:BJ$220,"&lt;&gt;""")),"")</f>
        <v>0.848</v>
      </c>
      <c r="BL4" s="437" t="str">
        <f>IFERROR(
  AVERAGEIFS(
    'NEW Onchocerciasis Efficacy'!$AO:$AO,
    'NEW Onchocerciasis Efficacy'!$C:$C,$A4,
    'NEW Onchocerciasis Efficacy'!$D:$D,"Ivermectin",
    'NEW Onchocerciasis Efficacy'!$AR:$AR,"&lt;2016",
    'NEW Onchocerciasis Efficacy'!$BG:$BG,"")
,"")</f>
        <v/>
      </c>
      <c r="BM4" s="438">
        <f t="shared" ref="BM4:BM220" si="23">iferror(IF(BL4&lt;&gt;"",BL4,IF(AVERAGEIF($B$4:$B$220,B4,$BL$4:$BL$220)&gt;0,AVERAGEIF($B$4:$B$220,B4,$BL$4:BL$220),AVERAGE($BL$4:$BL$220))),AVERAGE($BL$4:$BL$220))</f>
        <v>0.7808368939</v>
      </c>
      <c r="BN4" s="439">
        <v>0.0</v>
      </c>
      <c r="BO4" s="139">
        <v>0.0</v>
      </c>
      <c r="BP4" s="140">
        <v>0.0</v>
      </c>
      <c r="BQ4" s="440">
        <f t="shared" ref="BQ4:BQ220" si="24">IF(AVERAGE(AH4, AJ4, AL4)&gt;=50%, 2, IF(AVERAGE(AH4, AJ4, AL4)&gt;=20%,1,0))</f>
        <v>0</v>
      </c>
      <c r="BR4" s="104" t="str">
        <f t="shared" ref="BR4:BR220" si="25">BN4&amp;BO4&amp;BP4&amp;BQ4</f>
        <v>0000</v>
      </c>
      <c r="BS4" s="104" t="str">
        <f t="shared" ref="BS4:BS220" si="26">IF(OR(BR4="1112",BR4="0112"),"MDA1+T1",IF(OR(BR4="1111",BR4="1110",BR4="0111"),"MDA1+T2",IF(OR(BR4="1102",BR4="0102"),"MDA1+T3",IF(OR(BR4="1101",BR4="1100",BR4="0101"),"MDA1",IF(BR4="1012","MDA1/2+T1",IF(OR(BR4="1011",BR4="1010"),"MDA1/2+T2",IF(BR4="1002","MDA1/2+T3",IF(OR(BR4="1001",BR4="1000"),"MDA1/2",IF(BR4="0110","MDA3+T2",IF(BR4="0100","MDA3",IF(BR4="0012","T1+T3",IF(BR4="0011","T1",IF(BR4="0010","T2",IF(BR4="0002","T3+T3",IF(BR4="0001","T3",IF(BR4="0000","no action required"))))))))))))))))</f>
        <v>no action required</v>
      </c>
      <c r="BT4" s="142" t="str">
        <f t="shared" ref="BT4:BT117" si="27">IF(BS4="no action required","",IF(BS4="MDA1","IVM+ALB",IF(BS4="MDA3","IVM",IF(BS4="T1","ALB+PZQ or MBD+PZQ",IF(BS4="T2","PZQ",IF(BS4="T3","ALB or MBD",IF(BS4="MDA1+T1","IVM+ALB",IF(BS4="MDA1+T2","IVM+ALB",IF(BS4="MDA1+T3","IVM+ALB",IF(BS4="MDA1/2+T1","IVM+ALB or DEC+ALB",IF(BS4="MDA1/2+T2","IVM+ALB or DEC +ALB",IF(BS4="MDA1/2+T3","IVM+ALB of DEC+ALB",IF(BS4="MDA1/2","IVM+ALB or DEC+ALB",IF(BS4="MDA3+T2","IVM",IF(BS4="T1+T3","ALB+PZQ or MBD+PZQ",IF(BS4="T3+T3","2(ALB or MBD)"))))))))))))))))</f>
        <v/>
      </c>
      <c r="BU4" s="104" t="str">
        <f t="shared" ref="BU4:BU221" si="28">if(BS4="T2","PZQ",IF(IF(BS4="MDA1+T1","ALB+PZQ or MBD+PZQ",IF(BS4="MDA1+T2","PZQ",IF(BS4="MDA1+T3","ALB or MBD",IF(BS4="MDA1/2+T1","ALB+PZQ or MBD+PZQ",IF(BS4="MDA1/2+T2","PZQ",IF(BS4="MDA1/2+T3","ALB or MBD",IF(BS4="MDA3+T2","PZQ",IF(BS4="T1+T3","ALB or MBD"))))))))=FALSE,"",IF(BS4="MDA1+T1","ALB+PZQ or MBD+PZQ",IF(BS4="MDA1+T2","PZQ",IF(BS4="MDA1+T3","ALB or MBD",IF(BS4="MDA1/2+T1","ALB+PZQ or MBD+PZQ",IF(BS4="MDA1/2+T2","PZQ",IF(BS4="MDA1/2+T3","ALB or MBD",IF(BS4="MDA3+T2","PZQ",IF(BS4="T1+T3","ALB or MBD"))))))))))</f>
        <v/>
      </c>
      <c r="BV4" s="104" t="str">
        <f t="shared" ref="BV4:BV220" si="29">IF(BR4=$BR$221,$BS$221,IF(BR4=$BR$222,$BS$222,IF(BR4=$BR$223,$BS$223,IF(BR4=$BR$224,$BS$224,IF(BR4=$BR$225,$BS$225,IF(BR4=$BR$226,$BS$226,IF(BR4=$BR$227,$BS$227,IF(BR4=$BR$228,$BS$228,IF(BR4=$BR$229,$BS$229,IF(BR4=$BR$230,$BS$230,IF(BR4=$BR$231,$BS$231,IF(BR4=$BR$232,$BS$232,IF(BR4=$BR$233,$BS$233,IF(BR4=$BR$234,$BS$234,IF(BR4=$BR$235,$BS$235,IF(BR4=$BR$236,$BS$236))))))))))))))))</f>
        <v>none</v>
      </c>
      <c r="BW4" s="143" t="str">
        <f t="shared" ref="BW4:BW220" si="30">iferror(IF(and(search("lf",$BV4),search(BW$2,$BT4)),(($D4*$AQ4*$S4)/(1-$AQ4*$S4))," "))</f>
        <v/>
      </c>
      <c r="BX4" s="143" t="str">
        <f t="shared" ref="BX4:BX220" si="31">iferror(IF(and(search("lf",$BV4),search(BX$2,$BT4)),(($D4*$AS4*$S4)/(1-$AS4*$S4))," "))</f>
        <v/>
      </c>
      <c r="BY4" s="144" t="str">
        <f t="shared" ref="BY4:BY220" si="32">iferror(IF(and(search("schist",$BV4),search(BY$2,$BU4)),(($E4*$AU4*$U4)/(1-$AU4*$U4)),""))</f>
        <v/>
      </c>
      <c r="BZ4" s="145" t="str">
        <f t="shared" ref="BZ4:BZ220" si="33">iferror(IF(AND(search("sth",$BV4),search(BZ$2,$BT4)),((($G4*$AW4*$Y4)/(1-$AW4*$Y4)))+(($F4*$AW4*$W4)/(1-$AW4*$W4)),""),"")</f>
        <v/>
      </c>
      <c r="CA4" s="145" t="str">
        <f t="shared" ref="CA4:CA220" si="34">iferror(IF(AND(search("sth",$BV4),search(CA$2,$BT4)),((($G4*$AY4*$Y4)/(1-$AY4*$Y4)))+(($F4*$AY4*$W4)/(1-$AY4*$W4)),""),"")</f>
        <v/>
      </c>
      <c r="CB4" s="145" t="str">
        <f t="shared" ref="CB4:CB220" si="35">iferror(IF(AND(search("sth",$BV4),search(CB$2,$BT4)),((($G4*$BA4*$Y4)/(1-$BA4*$Y4)))+(($F4*$BA4*$W4)/(1-$BA4*$W4)),""),"")</f>
        <v/>
      </c>
      <c r="CC4" s="146" t="str">
        <f t="shared" ref="CC4:CC220" si="36">iferror(IF(AND(search("sth",$BV4),search(CC$2,$BT4)),((($J4*$BC4*$Y4)/(1-$BC4*$Y4)))+(($I4*$BC4*$W4)/(1-$BC4*$W4)),""),"")</f>
        <v/>
      </c>
      <c r="CD4" s="146" t="str">
        <f t="shared" ref="CD4:CD220" si="37">iferror(IF(AND(search("sth",$BV4),search(CD$2,$BT4)),((($J4*$BE4*$Y4)/(1-$BE4*$Y4)))+(($I4*$BE4*$W4)/(1-$BE4*$W4)),""),"")</f>
        <v/>
      </c>
      <c r="CE4" s="147" t="str">
        <f t="shared" ref="CE4:CE220" si="38">iferror(IF(AND(search("sth",$BV4),search(CE$2,$BT4)),((($M4*$BG4*$Y4)/(1-$BG4*$Y4)))+(($L4*$BG4*$W4)/(1-$BG4*$W4)),""),"")</f>
        <v/>
      </c>
      <c r="CF4" s="147" t="str">
        <f t="shared" ref="CF4:CF220" si="39">iferror(IF(AND(search("sth",$BV4),search(CF$2,$BT4)),((($M4*$BI4*$Y4)/(1-$BI4*$Y4)))+(($L4*$BI4*$W4)/(1-$BI4*$W4)),""),"")</f>
        <v/>
      </c>
      <c r="CG4" s="147" t="str">
        <f t="shared" ref="CG4:CG220" si="40">iferror(IF(AND(search("sth",$BV4),search(CG$2,$BT4)),((($M4*$BK4*$Y4)/(1-$BK4*$Y4)))+(($L4*$BK4*$W4)/(1-$BK4*$W4)),""),"")</f>
        <v/>
      </c>
      <c r="CH4" s="306" t="str">
        <f t="shared" ref="CH4:CH220" si="41">iferror(if(AND(search("onch",$BV4),search(CH$2,$BT4)),(($O4*$BM4*$AC4)/(1-$BM4*$AC4))/30,""))</f>
        <v/>
      </c>
    </row>
    <row r="5">
      <c r="A5" s="103" t="s">
        <v>89</v>
      </c>
      <c r="B5" s="104" t="s">
        <v>90</v>
      </c>
      <c r="C5" s="428">
        <v>2880703.0</v>
      </c>
      <c r="D5" s="161">
        <v>0.0</v>
      </c>
      <c r="E5" s="294">
        <v>0.0</v>
      </c>
      <c r="F5" s="307">
        <v>0.0</v>
      </c>
      <c r="G5" s="309">
        <v>0.0</v>
      </c>
      <c r="H5" s="108">
        <v>0.0</v>
      </c>
      <c r="I5" s="109">
        <v>0.0</v>
      </c>
      <c r="J5" s="109">
        <v>0.0</v>
      </c>
      <c r="K5" s="109">
        <v>0.0</v>
      </c>
      <c r="L5" s="112">
        <v>0.632323513</v>
      </c>
      <c r="M5" s="112">
        <v>0.334715754</v>
      </c>
      <c r="N5" s="112">
        <v>0.967039267</v>
      </c>
      <c r="O5" s="298">
        <v>0.0</v>
      </c>
      <c r="P5" s="114"/>
      <c r="Q5" s="114"/>
      <c r="R5" s="121" t="str">
        <f t="shared" si="4"/>
        <v/>
      </c>
      <c r="S5" s="116">
        <f t="shared" si="5"/>
        <v>0.5709301448</v>
      </c>
      <c r="T5" s="117"/>
      <c r="U5" s="118">
        <f t="shared" si="6"/>
        <v>0.4791888889</v>
      </c>
      <c r="V5" s="148"/>
      <c r="W5" s="120">
        <f t="shared" si="7"/>
        <v>0.0223</v>
      </c>
      <c r="X5" s="148"/>
      <c r="Y5" s="120">
        <f t="shared" si="8"/>
        <v>0.598275</v>
      </c>
      <c r="Z5" s="299"/>
      <c r="AA5" s="441"/>
      <c r="AB5" s="300" t="str">
        <f t="shared" si="9"/>
        <v/>
      </c>
      <c r="AC5" s="300">
        <f t="shared" si="10"/>
        <v>0.6890056172</v>
      </c>
      <c r="AD5" s="122">
        <v>0.0</v>
      </c>
      <c r="AE5" s="123">
        <v>0.0</v>
      </c>
      <c r="AF5" s="430">
        <v>0.0</v>
      </c>
      <c r="AG5" s="124">
        <v>0.0</v>
      </c>
      <c r="AH5" s="124">
        <v>0.0</v>
      </c>
      <c r="AI5" s="125">
        <v>0.0</v>
      </c>
      <c r="AJ5" s="125">
        <v>0.0</v>
      </c>
      <c r="AK5" s="127">
        <v>0.0</v>
      </c>
      <c r="AL5" s="127">
        <v>0.0</v>
      </c>
      <c r="AM5" s="302">
        <v>0.0</v>
      </c>
      <c r="AN5" s="149" t="str">
        <f>IFERROR(
  AVERAGEIFS(
    'New LF Efficacy'!$J:$J,
    'New LF Efficacy'!$D:$D, $A5,
    'New LF Efficacy'!$F:$F,"DEC", 
    'New LF Efficacy'!$W:$W,"&lt;2016",
    'New LF Efficacy'!$AA:$AA,""),
  ""
)</f>
        <v/>
      </c>
      <c r="AO5" s="115">
        <f t="shared" si="11"/>
        <v>0.3573520833</v>
      </c>
      <c r="AP5" s="149" t="str">
        <f>IFERROR(
AVERAGEIFS(
'New LF Efficacy'!$J:$J,
'New LF Efficacy'!$D:$D,$A5,
'New LF Efficacy'!$F:$F,"Albendazole &amp; DEC",
'New LF Efficacy'!$W:$W,"&lt;2016",
'New LF Efficacy'!$AA:$AA,""),
"")
</f>
        <v/>
      </c>
      <c r="AQ5" s="115">
        <f t="shared" si="12"/>
        <v>0.5143541667</v>
      </c>
      <c r="AR5" s="149" t="str">
        <f>IFERROR(
AVERAGEIFS(
'New LF Efficacy'!$J:$J,
'New LF Efficacy'!$D:$D,$A5,
'New LF Efficacy'!$F:$F,"Albendazole &amp; Ivermectin", 
'New LF Efficacy'!$W:$W,"&lt;2016",
'New LF Efficacy'!$AA:$AA,""),"")</f>
        <v/>
      </c>
      <c r="AS5" s="115">
        <f t="shared" si="13"/>
        <v>0.37153125</v>
      </c>
      <c r="AT5" s="442" t="str">
        <f>IFERROR(AVERAGEIFS(
'Schist Efficacy'!$O:$O, 
'Schist Efficacy'!$C:$C,$A5, 
'Schist Efficacy'!$D:$D, "Praziquantel",
'Schist Efficacy'!$J:$J,"&lt;2016",
'Schist Efficacy'!$U:$U,""),
"")</f>
        <v/>
      </c>
      <c r="AU5" s="118">
        <f t="shared" si="14"/>
        <v>0.655</v>
      </c>
      <c r="AV5" s="131" t="str">
        <f>IFERROR(AVERAGEIFS(
'STH Efficacy'!$AX:$AX, 
'STH Efficacy'!$AL:$AL, $A5, 
'STH Efficacy'!$AM:$AM, "Albendazole",
'STH Efficacy'!$AS:$AS,"&lt;2016",
'STH Efficacy'!$BP:$BP,""),
"")</f>
        <v/>
      </c>
      <c r="AW5" s="132">
        <f t="shared" si="15"/>
        <v>0.4143846154</v>
      </c>
      <c r="AX5" s="131" t="str">
        <f>IFERROR(AVERAGEIFS(
'STH Efficacy'!$AX:$AX, 
'STH Efficacy'!$AL:$AL, $A5, 
'STH Efficacy'!$AM:$AM, "Mebendazole",
'STH Efficacy'!$AS:$AS,"&lt;2016",
'STH Efficacy'!$BP:$BP,""),
"")</f>
        <v/>
      </c>
      <c r="AY5" s="132">
        <f t="shared" si="16"/>
        <v>0.4691770833</v>
      </c>
      <c r="AZ5" s="131" t="str">
        <f>IFERROR(AVERAGEIFS(
'STH Efficacy'!$AX:$AX, 
'STH Efficacy'!$AL:$AL, $A5, 
'STH Efficacy'!$AM:$AM, "Albendazole &amp; Ivermectin",
'STH Efficacy'!$AS:$AS,"&lt;2016",
'STH Efficacy'!$BP:$BP,""),
"")</f>
        <v/>
      </c>
      <c r="BA5" s="133">
        <f t="shared" si="17"/>
        <v>0.597625</v>
      </c>
      <c r="BB5" s="443" t="str">
        <f>IFERROR(AVERAGEIFS(
'STH Efficacy'!$N:$N, 
'STH Efficacy'!$B:$B, $A5, 
'STH Efficacy'!$C:$C, "Albendazole",
'STH Efficacy'!$I:$I,"&lt;2016",
'STH Efficacy'!$AH:$AH,""),
"")</f>
        <v/>
      </c>
      <c r="BC5" s="135">
        <f t="shared" si="18"/>
        <v>0.7613712121</v>
      </c>
      <c r="BD5" s="443" t="str">
        <f>IFERROR(AVERAGEIFS(
'STH Efficacy'!$N:$N, 
'STH Efficacy'!$B:$B, $A5, 
'STH Efficacy'!$C:$C, "Mebendazole",
'STH Efficacy'!$I:$I,"&lt;2016",
'STH Efficacy'!$AH:$AH,""),
"")</f>
        <v/>
      </c>
      <c r="BE5" s="135">
        <f t="shared" si="19"/>
        <v>0.4362466667</v>
      </c>
      <c r="BF5" s="436" t="str">
        <f>IFERROR(AVERAGEIFS(
'STH Efficacy'!$CD:$CD, 
'STH Efficacy'!$BS:$BS, $A5, 
'STH Efficacy'!$BT:$BT, "Albendazole",
'STH Efficacy'!$BZ:$BZ,"&lt;2016",
'STH Efficacy'!$CU:$CU,""),
"")</f>
        <v/>
      </c>
      <c r="BG5" s="136">
        <f t="shared" si="20"/>
        <v>0.9216027778</v>
      </c>
      <c r="BH5" s="436" t="str">
        <f>IFERROR(AVERAGEIFS(
'STH Efficacy'!$CD:$CD, 
'STH Efficacy'!$BS:$BS, $A5, 
'STH Efficacy'!$BT:$BT, "Mebendazole",
'STH Efficacy'!$BZ:$BZ,"&lt;2016",
'STH Efficacy'!$CU:$CU,""),
"")</f>
        <v/>
      </c>
      <c r="BI5" s="136">
        <f t="shared" si="21"/>
        <v>0.8866041667</v>
      </c>
      <c r="BJ5" s="436" t="str">
        <f>IFERROR(AVERAGEIFS(
'STH Efficacy'!$CD:$CD, 
'STH Efficacy'!$BS:$BS, $A5, 
'STH Efficacy'!$BT:$BT, "Albendazole &amp; Ivermectin",
'STH Efficacy'!$BZ:$BZ,"&lt;2016",
'STH Efficacy'!$CU:$CU,""),
"")</f>
        <v/>
      </c>
      <c r="BK5" s="136">
        <f t="shared" si="22"/>
        <v>0.848</v>
      </c>
      <c r="BL5" s="444" t="str">
        <f>IFERROR(
  AVERAGEIFS(
    'NEW Onchocerciasis Efficacy'!$AO:$AO,
    'NEW Onchocerciasis Efficacy'!$C:$C,$A5,
    'NEW Onchocerciasis Efficacy'!$D:$D,"Ivermectin",
    'NEW Onchocerciasis Efficacy'!$AR:$AR,"&lt;2016",
    'NEW Onchocerciasis Efficacy'!$BG:$BG,"")
,"")</f>
        <v/>
      </c>
      <c r="BM5" s="304">
        <f t="shared" si="23"/>
        <v>0.7808368939</v>
      </c>
      <c r="BN5" s="439">
        <v>0.0</v>
      </c>
      <c r="BO5" s="139">
        <v>0.0</v>
      </c>
      <c r="BP5" s="140">
        <v>0.0</v>
      </c>
      <c r="BQ5" s="141">
        <f t="shared" si="24"/>
        <v>0</v>
      </c>
      <c r="BR5" s="104" t="str">
        <f t="shared" si="25"/>
        <v>0000</v>
      </c>
      <c r="BS5" s="104" t="str">
        <f t="shared" si="26"/>
        <v>no action required</v>
      </c>
      <c r="BT5" s="142" t="str">
        <f t="shared" si="27"/>
        <v/>
      </c>
      <c r="BU5" s="104" t="str">
        <f t="shared" si="28"/>
        <v/>
      </c>
      <c r="BV5" s="104" t="str">
        <f t="shared" si="29"/>
        <v>none</v>
      </c>
      <c r="BW5" s="150" t="str">
        <f t="shared" si="30"/>
        <v/>
      </c>
      <c r="BX5" s="150" t="str">
        <f t="shared" si="31"/>
        <v/>
      </c>
      <c r="BY5" s="151" t="str">
        <f t="shared" si="32"/>
        <v/>
      </c>
      <c r="BZ5" s="152" t="str">
        <f t="shared" si="33"/>
        <v/>
      </c>
      <c r="CA5" s="152" t="str">
        <f t="shared" si="34"/>
        <v/>
      </c>
      <c r="CB5" s="152" t="str">
        <f t="shared" si="35"/>
        <v/>
      </c>
      <c r="CC5" s="153" t="str">
        <f t="shared" si="36"/>
        <v/>
      </c>
      <c r="CD5" s="153" t="str">
        <f t="shared" si="37"/>
        <v/>
      </c>
      <c r="CE5" s="154" t="str">
        <f t="shared" si="38"/>
        <v/>
      </c>
      <c r="CF5" s="154" t="str">
        <f t="shared" si="39"/>
        <v/>
      </c>
      <c r="CG5" s="154" t="str">
        <f t="shared" si="40"/>
        <v/>
      </c>
      <c r="CH5" s="308" t="str">
        <f t="shared" si="41"/>
        <v/>
      </c>
    </row>
    <row r="6">
      <c r="A6" s="103" t="s">
        <v>91</v>
      </c>
      <c r="B6" s="104" t="s">
        <v>92</v>
      </c>
      <c r="C6" s="428">
        <v>3.9871528E7</v>
      </c>
      <c r="D6" s="161">
        <v>0.0</v>
      </c>
      <c r="E6" s="294">
        <v>5620.391855</v>
      </c>
      <c r="F6" s="295">
        <v>0.310946639</v>
      </c>
      <c r="G6" s="295">
        <v>1.264252511</v>
      </c>
      <c r="H6" s="108">
        <v>1.57519915</v>
      </c>
      <c r="I6" s="109">
        <v>0.21246124</v>
      </c>
      <c r="J6" s="109">
        <v>0.21833038</v>
      </c>
      <c r="K6" s="109">
        <v>0.430791625</v>
      </c>
      <c r="L6" s="112">
        <v>68.15312695</v>
      </c>
      <c r="M6" s="112">
        <v>72.30958682</v>
      </c>
      <c r="N6" s="112">
        <v>140.4627138</v>
      </c>
      <c r="O6" s="298">
        <v>0.0</v>
      </c>
      <c r="P6" s="114"/>
      <c r="Q6" s="114"/>
      <c r="R6" s="121" t="str">
        <f t="shared" si="4"/>
        <v/>
      </c>
      <c r="S6" s="116">
        <f t="shared" si="5"/>
        <v>0.3345096109</v>
      </c>
      <c r="T6" s="117"/>
      <c r="U6" s="118">
        <f t="shared" si="6"/>
        <v>0.4220357143</v>
      </c>
      <c r="V6" s="148"/>
      <c r="W6" s="120">
        <f t="shared" si="7"/>
        <v>0.8084736842</v>
      </c>
      <c r="X6" s="148"/>
      <c r="Y6" s="120">
        <f t="shared" si="8"/>
        <v>0.5938357143</v>
      </c>
      <c r="Z6" s="299"/>
      <c r="AA6" s="441"/>
      <c r="AB6" s="300" t="str">
        <f t="shared" si="9"/>
        <v/>
      </c>
      <c r="AC6" s="300">
        <f t="shared" si="10"/>
        <v>0.6375203308</v>
      </c>
      <c r="AD6" s="122">
        <v>0.0</v>
      </c>
      <c r="AE6" s="123">
        <v>0.01</v>
      </c>
      <c r="AF6" s="430">
        <v>0.0016</v>
      </c>
      <c r="AG6" s="124">
        <v>0.0146</v>
      </c>
      <c r="AH6" s="124">
        <v>0.021972527</v>
      </c>
      <c r="AI6" s="125">
        <v>0.0</v>
      </c>
      <c r="AJ6" s="125">
        <v>8.65652E-6</v>
      </c>
      <c r="AK6" s="127">
        <v>0.0334</v>
      </c>
      <c r="AL6" s="127">
        <v>0.050532439</v>
      </c>
      <c r="AM6" s="302">
        <v>0.0</v>
      </c>
      <c r="AN6" s="149" t="str">
        <f>IFERROR(
  AVERAGEIFS(
    'New LF Efficacy'!$J:$J,
    'New LF Efficacy'!$D:$D, $A6,
    'New LF Efficacy'!$F:$F,"DEC", 
    'New LF Efficacy'!$W:$W,"&lt;2016",
    'New LF Efficacy'!$AA:$AA,""),
  ""
)</f>
        <v/>
      </c>
      <c r="AO6" s="115">
        <f t="shared" si="11"/>
        <v>0.31225</v>
      </c>
      <c r="AP6" s="149" t="str">
        <f>IFERROR(
AVERAGEIFS(
'New LF Efficacy'!$J:$J,
'New LF Efficacy'!$D:$D,$A6,
'New LF Efficacy'!$F:$F,"Albendazole &amp; DEC",
'New LF Efficacy'!$W:$W,"&lt;2016",
'New LF Efficacy'!$AA:$AA,""),
"")
</f>
        <v/>
      </c>
      <c r="AQ6" s="115">
        <f t="shared" si="12"/>
        <v>0.4</v>
      </c>
      <c r="AR6" s="149" t="str">
        <f>IFERROR(
AVERAGEIFS(
'New LF Efficacy'!$J:$J,
'New LF Efficacy'!$D:$D,$A6,
'New LF Efficacy'!$F:$F,"Albendazole &amp; Ivermectin", 
'New LF Efficacy'!$W:$W,"&lt;2016",
'New LF Efficacy'!$AA:$AA,""),"")</f>
        <v/>
      </c>
      <c r="AS6" s="115">
        <f t="shared" si="13"/>
        <v>0.2943125</v>
      </c>
      <c r="AT6" s="442" t="str">
        <f>IFERROR(AVERAGEIFS(
'Schist Efficacy'!$O:$O, 
'Schist Efficacy'!$C:$C,$A6, 
'Schist Efficacy'!$D:$D, "Praziquantel",
'Schist Efficacy'!$J:$J,"&lt;2016",
'Schist Efficacy'!$U:$U,""),
"")</f>
        <v/>
      </c>
      <c r="AU6" s="118">
        <f t="shared" si="14"/>
        <v>0.7206464759</v>
      </c>
      <c r="AV6" s="131" t="str">
        <f>IFERROR(AVERAGEIFS(
'STH Efficacy'!$AX:$AX, 
'STH Efficacy'!$AL:$AL, $A6, 
'STH Efficacy'!$AM:$AM, "Albendazole",
'STH Efficacy'!$AS:$AS,"&lt;2016",
'STH Efficacy'!$BP:$BP,""),
"")</f>
        <v/>
      </c>
      <c r="AW6" s="132">
        <f t="shared" si="15"/>
        <v>0.3816333333</v>
      </c>
      <c r="AX6" s="131" t="str">
        <f>IFERROR(AVERAGEIFS(
'STH Efficacy'!$AX:$AX, 
'STH Efficacy'!$AL:$AL, $A6, 
'STH Efficacy'!$AM:$AM, "Mebendazole",
'STH Efficacy'!$AS:$AS,"&lt;2016",
'STH Efficacy'!$BP:$BP,""),
"")</f>
        <v/>
      </c>
      <c r="AY6" s="132">
        <f t="shared" si="16"/>
        <v>0.4859375</v>
      </c>
      <c r="AZ6" s="131" t="str">
        <f>IFERROR(AVERAGEIFS(
'STH Efficacy'!$AX:$AX, 
'STH Efficacy'!$AL:$AL, $A6, 
'STH Efficacy'!$AM:$AM, "Albendazole &amp; Ivermectin",
'STH Efficacy'!$AS:$AS,"&lt;2016",
'STH Efficacy'!$BP:$BP,""),
"")</f>
        <v/>
      </c>
      <c r="BA6" s="133">
        <f t="shared" si="17"/>
        <v>0.47175</v>
      </c>
      <c r="BB6" s="443" t="str">
        <f>IFERROR(AVERAGEIFS(
'STH Efficacy'!$N:$N, 
'STH Efficacy'!$B:$B, $A6, 
'STH Efficacy'!$C:$C, "Albendazole",
'STH Efficacy'!$I:$I,"&lt;2016",
'STH Efficacy'!$AH:$AH,""),
"")</f>
        <v/>
      </c>
      <c r="BC6" s="135">
        <f t="shared" si="18"/>
        <v>0.8699166667</v>
      </c>
      <c r="BD6" s="443" t="str">
        <f>IFERROR(AVERAGEIFS(
'STH Efficacy'!$N:$N, 
'STH Efficacy'!$B:$B, $A6, 
'STH Efficacy'!$C:$C, "Mebendazole",
'STH Efficacy'!$I:$I,"&lt;2016",
'STH Efficacy'!$AH:$AH,""),
"")</f>
        <v/>
      </c>
      <c r="BE6" s="135">
        <f t="shared" si="19"/>
        <v>0.7092416667</v>
      </c>
      <c r="BF6" s="436" t="str">
        <f>IFERROR(AVERAGEIFS(
'STH Efficacy'!$CD:$CD, 
'STH Efficacy'!$BS:$BS, $A6, 
'STH Efficacy'!$BT:$BT, "Albendazole",
'STH Efficacy'!$BZ:$BZ,"&lt;2016",
'STH Efficacy'!$CU:$CU,""),
"")</f>
        <v/>
      </c>
      <c r="BG6" s="136">
        <f t="shared" si="20"/>
        <v>0.9066666667</v>
      </c>
      <c r="BH6" s="436" t="str">
        <f>IFERROR(AVERAGEIFS(
'STH Efficacy'!$CD:$CD, 
'STH Efficacy'!$BS:$BS, $A6, 
'STH Efficacy'!$BT:$BT, "Mebendazole",
'STH Efficacy'!$BZ:$BZ,"&lt;2016",
'STH Efficacy'!$CU:$CU,""),
"")</f>
        <v/>
      </c>
      <c r="BI6" s="136">
        <f t="shared" si="21"/>
        <v>0.8483333333</v>
      </c>
      <c r="BJ6" s="436" t="str">
        <f>IFERROR(AVERAGEIFS(
'STH Efficacy'!$CD:$CD, 
'STH Efficacy'!$BS:$BS, $A6, 
'STH Efficacy'!$BT:$BT, "Albendazole &amp; Ivermectin",
'STH Efficacy'!$BZ:$BZ,"&lt;2016",
'STH Efficacy'!$CU:$CU,""),
"")</f>
        <v/>
      </c>
      <c r="BK6" s="136">
        <f t="shared" si="22"/>
        <v>0.696</v>
      </c>
      <c r="BL6" s="444" t="str">
        <f>IFERROR(
  AVERAGEIFS(
    'NEW Onchocerciasis Efficacy'!$AO:$AO,
    'NEW Onchocerciasis Efficacy'!$C:$C,$A6,
    'NEW Onchocerciasis Efficacy'!$D:$D,"Ivermectin",
    'NEW Onchocerciasis Efficacy'!$AR:$AR,"&lt;2016",
    'NEW Onchocerciasis Efficacy'!$BG:$BG,"")
,"")</f>
        <v/>
      </c>
      <c r="BM6" s="304">
        <f t="shared" si="23"/>
        <v>0.8390421645</v>
      </c>
      <c r="BN6" s="439">
        <v>0.0</v>
      </c>
      <c r="BO6" s="139">
        <v>0.0</v>
      </c>
      <c r="BP6" s="140">
        <v>0.0</v>
      </c>
      <c r="BQ6" s="141">
        <f t="shared" si="24"/>
        <v>0</v>
      </c>
      <c r="BR6" s="104" t="str">
        <f t="shared" si="25"/>
        <v>0000</v>
      </c>
      <c r="BS6" s="104" t="str">
        <f t="shared" si="26"/>
        <v>no action required</v>
      </c>
      <c r="BT6" s="142" t="str">
        <f t="shared" si="27"/>
        <v/>
      </c>
      <c r="BU6" s="104" t="str">
        <f t="shared" si="28"/>
        <v/>
      </c>
      <c r="BV6" s="104" t="str">
        <f t="shared" si="29"/>
        <v>none</v>
      </c>
      <c r="BW6" s="150" t="str">
        <f t="shared" si="30"/>
        <v/>
      </c>
      <c r="BX6" s="150" t="str">
        <f t="shared" si="31"/>
        <v/>
      </c>
      <c r="BY6" s="151" t="str">
        <f t="shared" si="32"/>
        <v/>
      </c>
      <c r="BZ6" s="152" t="str">
        <f t="shared" si="33"/>
        <v/>
      </c>
      <c r="CA6" s="152" t="str">
        <f t="shared" si="34"/>
        <v/>
      </c>
      <c r="CB6" s="152" t="str">
        <f t="shared" si="35"/>
        <v/>
      </c>
      <c r="CC6" s="153" t="str">
        <f t="shared" si="36"/>
        <v/>
      </c>
      <c r="CD6" s="153" t="str">
        <f t="shared" si="37"/>
        <v/>
      </c>
      <c r="CE6" s="154" t="str">
        <f t="shared" si="38"/>
        <v/>
      </c>
      <c r="CF6" s="154" t="str">
        <f t="shared" si="39"/>
        <v/>
      </c>
      <c r="CG6" s="154" t="str">
        <f t="shared" si="40"/>
        <v/>
      </c>
      <c r="CH6" s="308" t="str">
        <f t="shared" si="41"/>
        <v/>
      </c>
    </row>
    <row r="7">
      <c r="A7" s="155" t="s">
        <v>93</v>
      </c>
      <c r="B7" s="104" t="s">
        <v>94</v>
      </c>
      <c r="C7" s="428">
        <v>55537.0</v>
      </c>
      <c r="D7" s="161">
        <v>141.12</v>
      </c>
      <c r="E7" s="294">
        <v>0.0</v>
      </c>
      <c r="F7" s="307">
        <v>0.0</v>
      </c>
      <c r="G7" s="309">
        <v>0.0</v>
      </c>
      <c r="H7" s="108">
        <v>0.0</v>
      </c>
      <c r="I7" s="109">
        <v>0.0</v>
      </c>
      <c r="J7" s="109">
        <v>0.0</v>
      </c>
      <c r="K7" s="109">
        <v>0.0</v>
      </c>
      <c r="L7" s="112">
        <v>0.0</v>
      </c>
      <c r="M7" s="112">
        <v>0.0</v>
      </c>
      <c r="N7" s="112">
        <v>0.0</v>
      </c>
      <c r="O7" s="298">
        <v>0.0</v>
      </c>
      <c r="P7" s="156"/>
      <c r="Q7" s="156"/>
      <c r="R7" s="121" t="str">
        <f t="shared" si="4"/>
        <v/>
      </c>
      <c r="S7" s="116">
        <f t="shared" si="5"/>
        <v>0.3783554476</v>
      </c>
      <c r="T7" s="117"/>
      <c r="U7" s="118">
        <f t="shared" si="6"/>
        <v>0.73965</v>
      </c>
      <c r="V7" s="148"/>
      <c r="W7" s="120">
        <f t="shared" si="7"/>
        <v>0.6141272727</v>
      </c>
      <c r="X7" s="148"/>
      <c r="Y7" s="120">
        <f t="shared" si="8"/>
        <v>0.6018090909</v>
      </c>
      <c r="Z7" s="299"/>
      <c r="AA7" s="441"/>
      <c r="AB7" s="300" t="str">
        <f t="shared" si="9"/>
        <v/>
      </c>
      <c r="AC7" s="300">
        <f t="shared" si="10"/>
        <v>0.6890056172</v>
      </c>
      <c r="AD7" s="122">
        <v>0.0415</v>
      </c>
      <c r="AE7" s="123">
        <v>0.0</v>
      </c>
      <c r="AF7" s="430">
        <v>0.0</v>
      </c>
      <c r="AG7" s="124">
        <v>0.0</v>
      </c>
      <c r="AH7" s="124">
        <v>0.0</v>
      </c>
      <c r="AI7" s="125">
        <v>0.0</v>
      </c>
      <c r="AJ7" s="125">
        <v>0.0</v>
      </c>
      <c r="AK7" s="127">
        <v>0.0</v>
      </c>
      <c r="AL7" s="127">
        <v>0.0</v>
      </c>
      <c r="AM7" s="302">
        <v>0.0</v>
      </c>
      <c r="AN7" s="149" t="str">
        <f>IFERROR(
  AVERAGEIFS(
    'New LF Efficacy'!$J:$J,
    'New LF Efficacy'!$D:$D, $A7,
    'New LF Efficacy'!$F:$F,"DEC", 
    'New LF Efficacy'!$W:$W,"&lt;2016",
    'New LF Efficacy'!$AA:$AA,""),
  ""
)</f>
        <v/>
      </c>
      <c r="AO7" s="115">
        <f t="shared" si="11"/>
        <v>0.38</v>
      </c>
      <c r="AP7" s="149" t="str">
        <f>IFERROR(
AVERAGEIFS(
'New LF Efficacy'!$J:$J,
'New LF Efficacy'!$D:$D,$A7,
'New LF Efficacy'!$F:$F,"Albendazole &amp; DEC",
'New LF Efficacy'!$W:$W,"&lt;2016",
'New LF Efficacy'!$AA:$AA,""),
"")
</f>
        <v/>
      </c>
      <c r="AQ7" s="115">
        <f t="shared" si="12"/>
        <v>0.662</v>
      </c>
      <c r="AR7" s="149" t="str">
        <f>IFERROR(
AVERAGEIFS(
'New LF Efficacy'!$J:$J,
'New LF Efficacy'!$D:$D,$A7,
'New LF Efficacy'!$F:$F,"Albendazole &amp; Ivermectin", 
'New LF Efficacy'!$W:$W,"&lt;2016",
'New LF Efficacy'!$AA:$AA,""),"")</f>
        <v/>
      </c>
      <c r="AS7" s="115">
        <f t="shared" si="13"/>
        <v>0.37153125</v>
      </c>
      <c r="AT7" s="442" t="str">
        <f>IFERROR(AVERAGEIFS(
'Schist Efficacy'!$O:$O, 
'Schist Efficacy'!$C:$C,$A7, 
'Schist Efficacy'!$D:$D, "Praziquantel",
'Schist Efficacy'!$J:$J,"&lt;2016",
'Schist Efficacy'!$U:$U,""),
"")</f>
        <v/>
      </c>
      <c r="AU7" s="118">
        <f t="shared" si="14"/>
        <v>0.9475</v>
      </c>
      <c r="AV7" s="131" t="str">
        <f>IFERROR(AVERAGEIFS(
'STH Efficacy'!$AX:$AX, 
'STH Efficacy'!$AL:$AL, $A7, 
'STH Efficacy'!$AM:$AM, "Albendazole",
'STH Efficacy'!$AS:$AS,"&lt;2016",
'STH Efficacy'!$BP:$BP,""),
"")</f>
        <v/>
      </c>
      <c r="AW7" s="132">
        <f t="shared" si="15"/>
        <v>0.3571666667</v>
      </c>
      <c r="AX7" s="131" t="str">
        <f>IFERROR(AVERAGEIFS(
'STH Efficacy'!$AX:$AX, 
'STH Efficacy'!$AL:$AL, $A7, 
'STH Efficacy'!$AM:$AM, "Mebendazole",
'STH Efficacy'!$AS:$AS,"&lt;2016",
'STH Efficacy'!$BP:$BP,""),
"")</f>
        <v/>
      </c>
      <c r="AY7" s="132">
        <f t="shared" si="16"/>
        <v>0.4155</v>
      </c>
      <c r="AZ7" s="131" t="str">
        <f>IFERROR(AVERAGEIFS(
'STH Efficacy'!$AX:$AX, 
'STH Efficacy'!$AL:$AL, $A7, 
'STH Efficacy'!$AM:$AM, "Albendazole &amp; Ivermectin",
'STH Efficacy'!$AS:$AS,"&lt;2016",
'STH Efficacy'!$BP:$BP,""),
"")</f>
        <v/>
      </c>
      <c r="BA7" s="133">
        <f t="shared" si="17"/>
        <v>0.651</v>
      </c>
      <c r="BB7" s="443" t="str">
        <f>IFERROR(AVERAGEIFS(
'STH Efficacy'!$N:$N, 
'STH Efficacy'!$B:$B, $A7, 
'STH Efficacy'!$C:$C, "Albendazole",
'STH Efficacy'!$I:$I,"&lt;2016",
'STH Efficacy'!$AH:$AH,""),
"")</f>
        <v/>
      </c>
      <c r="BC7" s="135">
        <f t="shared" si="18"/>
        <v>0.5769166667</v>
      </c>
      <c r="BD7" s="443" t="str">
        <f>IFERROR(AVERAGEIFS(
'STH Efficacy'!$N:$N, 
'STH Efficacy'!$B:$B, $A7, 
'STH Efficacy'!$C:$C, "Mebendazole",
'STH Efficacy'!$I:$I,"&lt;2016",
'STH Efficacy'!$AH:$AH,""),
"")</f>
        <v/>
      </c>
      <c r="BE7" s="135">
        <f t="shared" si="19"/>
        <v>0.3145</v>
      </c>
      <c r="BF7" s="436" t="str">
        <f>IFERROR(AVERAGEIFS(
'STH Efficacy'!$CD:$CD, 
'STH Efficacy'!$BS:$BS, $A7, 
'STH Efficacy'!$BT:$BT, "Albendazole",
'STH Efficacy'!$BZ:$BZ,"&lt;2016",
'STH Efficacy'!$CU:$CU,""),
"")</f>
        <v/>
      </c>
      <c r="BG7" s="136">
        <f t="shared" si="20"/>
        <v>0.96925</v>
      </c>
      <c r="BH7" s="436" t="str">
        <f>IFERROR(AVERAGEIFS(
'STH Efficacy'!$CD:$CD, 
'STH Efficacy'!$BS:$BS, $A7, 
'STH Efficacy'!$BT:$BT, "Mebendazole",
'STH Efficacy'!$BZ:$BZ,"&lt;2016",
'STH Efficacy'!$CU:$CU,""),
"")</f>
        <v/>
      </c>
      <c r="BI7" s="136">
        <f t="shared" si="21"/>
        <v>0.9305</v>
      </c>
      <c r="BJ7" s="436" t="str">
        <f>IFERROR(AVERAGEIFS(
'STH Efficacy'!$CD:$CD, 
'STH Efficacy'!$BS:$BS, $A7, 
'STH Efficacy'!$BT:$BT, "Albendazole &amp; Ivermectin",
'STH Efficacy'!$BZ:$BZ,"&lt;2016",
'STH Efficacy'!$CU:$CU,""),
"")</f>
        <v/>
      </c>
      <c r="BK7" s="136">
        <f t="shared" si="22"/>
        <v>0.848</v>
      </c>
      <c r="BL7" s="444" t="str">
        <f>IFERROR(
  AVERAGEIFS(
    'NEW Onchocerciasis Efficacy'!$AO:$AO,
    'NEW Onchocerciasis Efficacy'!$C:$C,$A7,
    'NEW Onchocerciasis Efficacy'!$D:$D,"Ivermectin",
    'NEW Onchocerciasis Efficacy'!$AR:$AR,"&lt;2016",
    'NEW Onchocerciasis Efficacy'!$BG:$BG,"")
,"")</f>
        <v/>
      </c>
      <c r="BM7" s="304">
        <f t="shared" si="23"/>
        <v>0.7808368939</v>
      </c>
      <c r="BN7" s="439">
        <v>0.0</v>
      </c>
      <c r="BO7" s="139">
        <v>0.0</v>
      </c>
      <c r="BP7" s="140">
        <v>0.0</v>
      </c>
      <c r="BQ7" s="141">
        <f t="shared" si="24"/>
        <v>0</v>
      </c>
      <c r="BR7" s="104" t="str">
        <f t="shared" si="25"/>
        <v>0000</v>
      </c>
      <c r="BS7" s="104" t="str">
        <f t="shared" si="26"/>
        <v>no action required</v>
      </c>
      <c r="BT7" s="142" t="str">
        <f t="shared" si="27"/>
        <v/>
      </c>
      <c r="BU7" s="104" t="str">
        <f t="shared" si="28"/>
        <v/>
      </c>
      <c r="BV7" s="104" t="str">
        <f t="shared" si="29"/>
        <v>none</v>
      </c>
      <c r="BW7" s="150" t="str">
        <f t="shared" si="30"/>
        <v/>
      </c>
      <c r="BX7" s="150" t="str">
        <f t="shared" si="31"/>
        <v/>
      </c>
      <c r="BY7" s="151" t="str">
        <f t="shared" si="32"/>
        <v/>
      </c>
      <c r="BZ7" s="152" t="str">
        <f t="shared" si="33"/>
        <v/>
      </c>
      <c r="CA7" s="152" t="str">
        <f t="shared" si="34"/>
        <v/>
      </c>
      <c r="CB7" s="152" t="str">
        <f t="shared" si="35"/>
        <v/>
      </c>
      <c r="CC7" s="153" t="str">
        <f t="shared" si="36"/>
        <v/>
      </c>
      <c r="CD7" s="153" t="str">
        <f t="shared" si="37"/>
        <v/>
      </c>
      <c r="CE7" s="154" t="str">
        <f t="shared" si="38"/>
        <v/>
      </c>
      <c r="CF7" s="154" t="str">
        <f t="shared" si="39"/>
        <v/>
      </c>
      <c r="CG7" s="154" t="str">
        <f t="shared" si="40"/>
        <v/>
      </c>
      <c r="CH7" s="308" t="str">
        <f t="shared" si="41"/>
        <v/>
      </c>
    </row>
    <row r="8">
      <c r="A8" s="103" t="s">
        <v>95</v>
      </c>
      <c r="B8" s="104" t="s">
        <v>90</v>
      </c>
      <c r="C8" s="428">
        <v>78014.0</v>
      </c>
      <c r="D8" s="161">
        <v>0.0</v>
      </c>
      <c r="E8" s="294">
        <v>0.0</v>
      </c>
      <c r="F8" s="307">
        <v>0.0</v>
      </c>
      <c r="G8" s="309">
        <v>0.0</v>
      </c>
      <c r="H8" s="108">
        <v>0.0</v>
      </c>
      <c r="I8" s="109">
        <v>0.0</v>
      </c>
      <c r="J8" s="109">
        <v>0.0</v>
      </c>
      <c r="K8" s="109">
        <v>0.0</v>
      </c>
      <c r="L8" s="112">
        <v>0.0</v>
      </c>
      <c r="M8" s="112">
        <v>0.0</v>
      </c>
      <c r="N8" s="112">
        <v>0.0</v>
      </c>
      <c r="O8" s="298">
        <v>0.0</v>
      </c>
      <c r="P8" s="114"/>
      <c r="Q8" s="114"/>
      <c r="R8" s="121" t="str">
        <f t="shared" si="4"/>
        <v/>
      </c>
      <c r="S8" s="116">
        <f t="shared" si="5"/>
        <v>0.5709301448</v>
      </c>
      <c r="T8" s="117"/>
      <c r="U8" s="118">
        <f t="shared" si="6"/>
        <v>0.4791888889</v>
      </c>
      <c r="V8" s="148"/>
      <c r="W8" s="120">
        <f t="shared" si="7"/>
        <v>0.0223</v>
      </c>
      <c r="X8" s="148"/>
      <c r="Y8" s="120">
        <f t="shared" si="8"/>
        <v>0.598275</v>
      </c>
      <c r="Z8" s="299"/>
      <c r="AA8" s="441"/>
      <c r="AB8" s="300" t="str">
        <f t="shared" si="9"/>
        <v/>
      </c>
      <c r="AC8" s="300">
        <f t="shared" si="10"/>
        <v>0.6890056172</v>
      </c>
      <c r="AD8" s="122">
        <v>0.0</v>
      </c>
      <c r="AE8" s="123">
        <v>0.0</v>
      </c>
      <c r="AF8" s="430">
        <v>0.0</v>
      </c>
      <c r="AG8" s="124">
        <v>0.0</v>
      </c>
      <c r="AH8" s="124">
        <v>0.0</v>
      </c>
      <c r="AI8" s="125">
        <v>0.0</v>
      </c>
      <c r="AJ8" s="125">
        <v>0.0</v>
      </c>
      <c r="AK8" s="127">
        <v>0.0</v>
      </c>
      <c r="AL8" s="127">
        <v>0.0</v>
      </c>
      <c r="AM8" s="302">
        <v>0.0</v>
      </c>
      <c r="AN8" s="149" t="str">
        <f>IFERROR(
  AVERAGEIFS(
    'New LF Efficacy'!$J:$J,
    'New LF Efficacy'!$D:$D, $A8,
    'New LF Efficacy'!$F:$F,"DEC", 
    'New LF Efficacy'!$W:$W,"&lt;2016",
    'New LF Efficacy'!$AA:$AA,""),
  ""
)</f>
        <v/>
      </c>
      <c r="AO8" s="115">
        <f t="shared" si="11"/>
        <v>0.3573520833</v>
      </c>
      <c r="AP8" s="149" t="str">
        <f>IFERROR(
AVERAGEIFS(
'New LF Efficacy'!$J:$J,
'New LF Efficacy'!$D:$D,$A8,
'New LF Efficacy'!$F:$F,"Albendazole &amp; DEC",
'New LF Efficacy'!$W:$W,"&lt;2016",
'New LF Efficacy'!$AA:$AA,""),
"")
</f>
        <v/>
      </c>
      <c r="AQ8" s="115">
        <f t="shared" si="12"/>
        <v>0.5143541667</v>
      </c>
      <c r="AR8" s="149" t="str">
        <f>IFERROR(
AVERAGEIFS(
'New LF Efficacy'!$J:$J,
'New LF Efficacy'!$D:$D,$A8,
'New LF Efficacy'!$F:$F,"Albendazole &amp; Ivermectin", 
'New LF Efficacy'!$W:$W,"&lt;2016",
'New LF Efficacy'!$AA:$AA,""),"")</f>
        <v/>
      </c>
      <c r="AS8" s="115">
        <f t="shared" si="13"/>
        <v>0.37153125</v>
      </c>
      <c r="AT8" s="442" t="str">
        <f>IFERROR(AVERAGEIFS(
'Schist Efficacy'!$O:$O, 
'Schist Efficacy'!$C:$C,$A8, 
'Schist Efficacy'!$D:$D, "Praziquantel",
'Schist Efficacy'!$J:$J,"&lt;2016",
'Schist Efficacy'!$U:$U,""),
"")</f>
        <v/>
      </c>
      <c r="AU8" s="118">
        <f t="shared" si="14"/>
        <v>0.655</v>
      </c>
      <c r="AV8" s="131" t="str">
        <f>IFERROR(AVERAGEIFS(
'STH Efficacy'!$AX:$AX, 
'STH Efficacy'!$AL:$AL, $A8, 
'STH Efficacy'!$AM:$AM, "Albendazole",
'STH Efficacy'!$AS:$AS,"&lt;2016",
'STH Efficacy'!$BP:$BP,""),
"")</f>
        <v/>
      </c>
      <c r="AW8" s="132">
        <f t="shared" si="15"/>
        <v>0.4143846154</v>
      </c>
      <c r="AX8" s="131" t="str">
        <f>IFERROR(AVERAGEIFS(
'STH Efficacy'!$AX:$AX, 
'STH Efficacy'!$AL:$AL, $A8, 
'STH Efficacy'!$AM:$AM, "Mebendazole",
'STH Efficacy'!$AS:$AS,"&lt;2016",
'STH Efficacy'!$BP:$BP,""),
"")</f>
        <v/>
      </c>
      <c r="AY8" s="132">
        <f t="shared" si="16"/>
        <v>0.4691770833</v>
      </c>
      <c r="AZ8" s="131" t="str">
        <f>IFERROR(AVERAGEIFS(
'STH Efficacy'!$AX:$AX, 
'STH Efficacy'!$AL:$AL, $A8, 
'STH Efficacy'!$AM:$AM, "Albendazole &amp; Ivermectin",
'STH Efficacy'!$AS:$AS,"&lt;2016",
'STH Efficacy'!$BP:$BP,""),
"")</f>
        <v/>
      </c>
      <c r="BA8" s="133">
        <f t="shared" si="17"/>
        <v>0.597625</v>
      </c>
      <c r="BB8" s="443" t="str">
        <f>IFERROR(AVERAGEIFS(
'STH Efficacy'!$N:$N, 
'STH Efficacy'!$B:$B, $A8, 
'STH Efficacy'!$C:$C, "Albendazole",
'STH Efficacy'!$I:$I,"&lt;2016",
'STH Efficacy'!$AH:$AH,""),
"")</f>
        <v/>
      </c>
      <c r="BC8" s="135">
        <f t="shared" si="18"/>
        <v>0.7613712121</v>
      </c>
      <c r="BD8" s="443" t="str">
        <f>IFERROR(AVERAGEIFS(
'STH Efficacy'!$N:$N, 
'STH Efficacy'!$B:$B, $A8, 
'STH Efficacy'!$C:$C, "Mebendazole",
'STH Efficacy'!$I:$I,"&lt;2016",
'STH Efficacy'!$AH:$AH,""),
"")</f>
        <v/>
      </c>
      <c r="BE8" s="135">
        <f t="shared" si="19"/>
        <v>0.4362466667</v>
      </c>
      <c r="BF8" s="436" t="str">
        <f>IFERROR(AVERAGEIFS(
'STH Efficacy'!$CD:$CD, 
'STH Efficacy'!$BS:$BS, $A8, 
'STH Efficacy'!$BT:$BT, "Albendazole",
'STH Efficacy'!$BZ:$BZ,"&lt;2016",
'STH Efficacy'!$CU:$CU,""),
"")</f>
        <v/>
      </c>
      <c r="BG8" s="136">
        <f t="shared" si="20"/>
        <v>0.9216027778</v>
      </c>
      <c r="BH8" s="436" t="str">
        <f>IFERROR(AVERAGEIFS(
'STH Efficacy'!$CD:$CD, 
'STH Efficacy'!$BS:$BS, $A8, 
'STH Efficacy'!$BT:$BT, "Mebendazole",
'STH Efficacy'!$BZ:$BZ,"&lt;2016",
'STH Efficacy'!$CU:$CU,""),
"")</f>
        <v/>
      </c>
      <c r="BI8" s="136">
        <f t="shared" si="21"/>
        <v>0.8866041667</v>
      </c>
      <c r="BJ8" s="436" t="str">
        <f>IFERROR(AVERAGEIFS(
'STH Efficacy'!$CD:$CD, 
'STH Efficacy'!$BS:$BS, $A8, 
'STH Efficacy'!$BT:$BT, "Albendazole &amp; Ivermectin",
'STH Efficacy'!$BZ:$BZ,"&lt;2016",
'STH Efficacy'!$CU:$CU,""),
"")</f>
        <v/>
      </c>
      <c r="BK8" s="136">
        <f t="shared" si="22"/>
        <v>0.848</v>
      </c>
      <c r="BL8" s="444" t="str">
        <f>IFERROR(
  AVERAGEIFS(
    'NEW Onchocerciasis Efficacy'!$AO:$AO,
    'NEW Onchocerciasis Efficacy'!$C:$C,$A8,
    'NEW Onchocerciasis Efficacy'!$D:$D,"Ivermectin",
    'NEW Onchocerciasis Efficacy'!$AR:$AR,"&lt;2016",
    'NEW Onchocerciasis Efficacy'!$BG:$BG,"")
,"")</f>
        <v/>
      </c>
      <c r="BM8" s="304">
        <f t="shared" si="23"/>
        <v>0.7808368939</v>
      </c>
      <c r="BN8" s="439">
        <v>0.0</v>
      </c>
      <c r="BO8" s="139">
        <v>0.0</v>
      </c>
      <c r="BP8" s="140">
        <v>0.0</v>
      </c>
      <c r="BQ8" s="141">
        <f t="shared" si="24"/>
        <v>0</v>
      </c>
      <c r="BR8" s="104" t="str">
        <f t="shared" si="25"/>
        <v>0000</v>
      </c>
      <c r="BS8" s="104" t="str">
        <f t="shared" si="26"/>
        <v>no action required</v>
      </c>
      <c r="BT8" s="142" t="str">
        <f t="shared" si="27"/>
        <v/>
      </c>
      <c r="BU8" s="104" t="str">
        <f t="shared" si="28"/>
        <v/>
      </c>
      <c r="BV8" s="104" t="str">
        <f t="shared" si="29"/>
        <v>none</v>
      </c>
      <c r="BW8" s="150" t="str">
        <f t="shared" si="30"/>
        <v/>
      </c>
      <c r="BX8" s="150" t="str">
        <f t="shared" si="31"/>
        <v/>
      </c>
      <c r="BY8" s="151" t="str">
        <f t="shared" si="32"/>
        <v/>
      </c>
      <c r="BZ8" s="152" t="str">
        <f t="shared" si="33"/>
        <v/>
      </c>
      <c r="CA8" s="152" t="str">
        <f t="shared" si="34"/>
        <v/>
      </c>
      <c r="CB8" s="152" t="str">
        <f t="shared" si="35"/>
        <v/>
      </c>
      <c r="CC8" s="153" t="str">
        <f t="shared" si="36"/>
        <v/>
      </c>
      <c r="CD8" s="153" t="str">
        <f t="shared" si="37"/>
        <v/>
      </c>
      <c r="CE8" s="154" t="str">
        <f t="shared" si="38"/>
        <v/>
      </c>
      <c r="CF8" s="154" t="str">
        <f t="shared" si="39"/>
        <v/>
      </c>
      <c r="CG8" s="154" t="str">
        <f t="shared" si="40"/>
        <v/>
      </c>
      <c r="CH8" s="308" t="str">
        <f t="shared" si="41"/>
        <v/>
      </c>
    </row>
    <row r="9">
      <c r="A9" s="103" t="s">
        <v>96</v>
      </c>
      <c r="B9" s="104" t="s">
        <v>92</v>
      </c>
      <c r="C9" s="428">
        <v>2.7859305E7</v>
      </c>
      <c r="D9" s="161">
        <v>25930.449999999997</v>
      </c>
      <c r="E9" s="294">
        <v>27389.72503</v>
      </c>
      <c r="F9" s="295">
        <v>171.3029953</v>
      </c>
      <c r="G9" s="295">
        <v>627.1837356</v>
      </c>
      <c r="H9" s="157">
        <v>798.4867309</v>
      </c>
      <c r="I9" s="110">
        <v>1866.87199</v>
      </c>
      <c r="J9" s="110">
        <v>4248.28631</v>
      </c>
      <c r="K9" s="110">
        <v>6115.158296</v>
      </c>
      <c r="L9" s="111">
        <v>5357.615319</v>
      </c>
      <c r="M9" s="111">
        <v>1640.316065</v>
      </c>
      <c r="N9" s="112">
        <v>6997.931384</v>
      </c>
      <c r="O9" s="298">
        <v>6916.408272</v>
      </c>
      <c r="P9" s="160">
        <v>1.209E7</v>
      </c>
      <c r="Q9" s="156"/>
      <c r="R9" s="121">
        <f t="shared" si="4"/>
        <v>0</v>
      </c>
      <c r="S9" s="116">
        <f t="shared" si="5"/>
        <v>0.3345096109</v>
      </c>
      <c r="T9" s="118">
        <v>0.091</v>
      </c>
      <c r="U9" s="118">
        <f t="shared" si="6"/>
        <v>0.091</v>
      </c>
      <c r="V9" s="148"/>
      <c r="W9" s="120">
        <f t="shared" si="7"/>
        <v>0.8084736842</v>
      </c>
      <c r="X9" s="119">
        <v>0.1797</v>
      </c>
      <c r="Y9" s="120">
        <f t="shared" si="8"/>
        <v>0.1797</v>
      </c>
      <c r="Z9" s="310">
        <v>5598633.0</v>
      </c>
      <c r="AA9" s="298"/>
      <c r="AB9" s="300">
        <f t="shared" si="9"/>
        <v>0</v>
      </c>
      <c r="AC9" s="300">
        <f t="shared" si="10"/>
        <v>0.6375203308</v>
      </c>
      <c r="AD9" s="122">
        <v>0.0299</v>
      </c>
      <c r="AE9" s="123">
        <v>0.1</v>
      </c>
      <c r="AF9" s="430">
        <v>0.0296</v>
      </c>
      <c r="AG9" s="124">
        <v>0.1113</v>
      </c>
      <c r="AH9" s="124">
        <v>0.173296864</v>
      </c>
      <c r="AI9" s="125">
        <v>0.1018</v>
      </c>
      <c r="AJ9" s="125">
        <v>0.161812827</v>
      </c>
      <c r="AK9" s="127">
        <v>0.1217</v>
      </c>
      <c r="AL9" s="127">
        <v>0.18934222</v>
      </c>
      <c r="AM9" s="302">
        <v>0.0047</v>
      </c>
      <c r="AN9" s="149" t="str">
        <f>IFERROR(
  AVERAGEIFS(
    'New LF Efficacy'!$J:$J,
    'New LF Efficacy'!$D:$D, $A9,
    'New LF Efficacy'!$F:$F,"DEC", 
    'New LF Efficacy'!$W:$W,"&lt;2016",
    'New LF Efficacy'!$AA:$AA,""),
  ""
)</f>
        <v/>
      </c>
      <c r="AO9" s="115">
        <f t="shared" si="11"/>
        <v>0.31225</v>
      </c>
      <c r="AP9" s="149" t="str">
        <f>IFERROR(
AVERAGEIFS(
'New LF Efficacy'!$J:$J,
'New LF Efficacy'!$D:$D,$A9,
'New LF Efficacy'!$F:$F,"Albendazole &amp; DEC",
'New LF Efficacy'!$W:$W,"&lt;2016",
'New LF Efficacy'!$AA:$AA,""),
"")
</f>
        <v/>
      </c>
      <c r="AQ9" s="115">
        <f t="shared" si="12"/>
        <v>0.4</v>
      </c>
      <c r="AR9" s="149" t="str">
        <f>IFERROR(
AVERAGEIFS(
'New LF Efficacy'!$J:$J,
'New LF Efficacy'!$D:$D,$A9,
'New LF Efficacy'!$F:$F,"Albendazole &amp; Ivermectin", 
'New LF Efficacy'!$W:$W,"&lt;2016",
'New LF Efficacy'!$AA:$AA,""),"")</f>
        <v/>
      </c>
      <c r="AS9" s="115">
        <f t="shared" si="13"/>
        <v>0.2943125</v>
      </c>
      <c r="AT9" s="442" t="str">
        <f>IFERROR(AVERAGEIFS(
'Schist Efficacy'!$O:$O, 
'Schist Efficacy'!$C:$C,$A9, 
'Schist Efficacy'!$D:$D, "Praziquantel",
'Schist Efficacy'!$J:$J,"&lt;2016",
'Schist Efficacy'!$U:$U,""),
"")</f>
        <v/>
      </c>
      <c r="AU9" s="118">
        <f t="shared" si="14"/>
        <v>0.7206464759</v>
      </c>
      <c r="AV9" s="131" t="str">
        <f>IFERROR(AVERAGEIFS(
'STH Efficacy'!$AX:$AX, 
'STH Efficacy'!$AL:$AL, $A9, 
'STH Efficacy'!$AM:$AM, "Albendazole",
'STH Efficacy'!$AS:$AS,"&lt;2016",
'STH Efficacy'!$BP:$BP,""),
"")</f>
        <v/>
      </c>
      <c r="AW9" s="132">
        <f t="shared" si="15"/>
        <v>0.3816333333</v>
      </c>
      <c r="AX9" s="131" t="str">
        <f>IFERROR(AVERAGEIFS(
'STH Efficacy'!$AX:$AX, 
'STH Efficacy'!$AL:$AL, $A9, 
'STH Efficacy'!$AM:$AM, "Mebendazole",
'STH Efficacy'!$AS:$AS,"&lt;2016",
'STH Efficacy'!$BP:$BP,""),
"")</f>
        <v/>
      </c>
      <c r="AY9" s="132">
        <f t="shared" si="16"/>
        <v>0.4859375</v>
      </c>
      <c r="AZ9" s="131" t="str">
        <f>IFERROR(AVERAGEIFS(
'STH Efficacy'!$AX:$AX, 
'STH Efficacy'!$AL:$AL, $A9, 
'STH Efficacy'!$AM:$AM, "Albendazole &amp; Ivermectin",
'STH Efficacy'!$AS:$AS,"&lt;2016",
'STH Efficacy'!$BP:$BP,""),
"")</f>
        <v/>
      </c>
      <c r="BA9" s="133">
        <f t="shared" si="17"/>
        <v>0.47175</v>
      </c>
      <c r="BB9" s="443" t="str">
        <f>IFERROR(AVERAGEIFS(
'STH Efficacy'!$N:$N, 
'STH Efficacy'!$B:$B, $A9, 
'STH Efficacy'!$C:$C, "Albendazole",
'STH Efficacy'!$I:$I,"&lt;2016",
'STH Efficacy'!$AH:$AH,""),
"")</f>
        <v/>
      </c>
      <c r="BC9" s="135">
        <f t="shared" si="18"/>
        <v>0.8699166667</v>
      </c>
      <c r="BD9" s="443" t="str">
        <f>IFERROR(AVERAGEIFS(
'STH Efficacy'!$N:$N, 
'STH Efficacy'!$B:$B, $A9, 
'STH Efficacy'!$C:$C, "Mebendazole",
'STH Efficacy'!$I:$I,"&lt;2016",
'STH Efficacy'!$AH:$AH,""),
"")</f>
        <v/>
      </c>
      <c r="BE9" s="135">
        <f t="shared" si="19"/>
        <v>0.7092416667</v>
      </c>
      <c r="BF9" s="436" t="str">
        <f>IFERROR(AVERAGEIFS(
'STH Efficacy'!$CD:$CD, 
'STH Efficacy'!$BS:$BS, $A9, 
'STH Efficacy'!$BT:$BT, "Albendazole",
'STH Efficacy'!$BZ:$BZ,"&lt;2016",
'STH Efficacy'!$CU:$CU,""),
"")</f>
        <v/>
      </c>
      <c r="BG9" s="136">
        <f t="shared" si="20"/>
        <v>0.9066666667</v>
      </c>
      <c r="BH9" s="436" t="str">
        <f>IFERROR(AVERAGEIFS(
'STH Efficacy'!$CD:$CD, 
'STH Efficacy'!$BS:$BS, $A9, 
'STH Efficacy'!$BT:$BT, "Mebendazole",
'STH Efficacy'!$BZ:$BZ,"&lt;2016",
'STH Efficacy'!$CU:$CU,""),
"")</f>
        <v/>
      </c>
      <c r="BI9" s="136">
        <f t="shared" si="21"/>
        <v>0.8483333333</v>
      </c>
      <c r="BJ9" s="436" t="str">
        <f>IFERROR(AVERAGEIFS(
'STH Efficacy'!$CD:$CD, 
'STH Efficacy'!$BS:$BS, $A9, 
'STH Efficacy'!$BT:$BT, "Albendazole &amp; Ivermectin",
'STH Efficacy'!$BZ:$BZ,"&lt;2016",
'STH Efficacy'!$CU:$CU,""),
"")</f>
        <v/>
      </c>
      <c r="BK9" s="136">
        <f t="shared" si="22"/>
        <v>0.696</v>
      </c>
      <c r="BL9" s="444" t="str">
        <f>IFERROR(
  AVERAGEIFS(
    'NEW Onchocerciasis Efficacy'!$AO:$AO,
    'NEW Onchocerciasis Efficacy'!$C:$C,$A9,
    'NEW Onchocerciasis Efficacy'!$D:$D,"Ivermectin",
    'NEW Onchocerciasis Efficacy'!$AR:$AR,"&lt;2016",
    'NEW Onchocerciasis Efficacy'!$BG:$BG,"")
,"")</f>
        <v/>
      </c>
      <c r="BM9" s="304">
        <f t="shared" si="23"/>
        <v>0.8390421645</v>
      </c>
      <c r="BN9" s="439">
        <v>1.0</v>
      </c>
      <c r="BO9" s="139">
        <v>1.0</v>
      </c>
      <c r="BP9" s="140">
        <v>1.0</v>
      </c>
      <c r="BQ9" s="141">
        <f t="shared" si="24"/>
        <v>0</v>
      </c>
      <c r="BR9" s="104" t="str">
        <f t="shared" si="25"/>
        <v>1110</v>
      </c>
      <c r="BS9" s="104" t="str">
        <f t="shared" si="26"/>
        <v>MDA1+T2</v>
      </c>
      <c r="BT9" s="142" t="str">
        <f t="shared" si="27"/>
        <v>IVM+ALB</v>
      </c>
      <c r="BU9" s="104" t="str">
        <f t="shared" si="28"/>
        <v>PZQ</v>
      </c>
      <c r="BV9" s="104" t="str">
        <f t="shared" si="29"/>
        <v>lf+onch+schist </v>
      </c>
      <c r="BW9" s="150" t="str">
        <f t="shared" si="30"/>
        <v/>
      </c>
      <c r="BX9" s="312">
        <f t="shared" si="31"/>
        <v>2831.637904</v>
      </c>
      <c r="BY9" s="162">
        <f t="shared" si="32"/>
        <v>1922.244657</v>
      </c>
      <c r="BZ9" s="152" t="str">
        <f t="shared" si="33"/>
        <v/>
      </c>
      <c r="CA9" s="152" t="str">
        <f t="shared" si="34"/>
        <v/>
      </c>
      <c r="CB9" s="152" t="str">
        <f t="shared" si="35"/>
        <v/>
      </c>
      <c r="CC9" s="153" t="str">
        <f t="shared" si="36"/>
        <v/>
      </c>
      <c r="CD9" s="153" t="str">
        <f t="shared" si="37"/>
        <v/>
      </c>
      <c r="CE9" s="154" t="str">
        <f t="shared" si="38"/>
        <v/>
      </c>
      <c r="CF9" s="154" t="str">
        <f t="shared" si="39"/>
        <v/>
      </c>
      <c r="CG9" s="154" t="str">
        <f t="shared" si="40"/>
        <v/>
      </c>
      <c r="CH9" s="313">
        <f t="shared" si="41"/>
        <v>265.1531949</v>
      </c>
    </row>
    <row r="10">
      <c r="A10" s="155" t="s">
        <v>97</v>
      </c>
      <c r="B10" s="104" t="s">
        <v>98</v>
      </c>
      <c r="C10" s="428">
        <v>14723.0</v>
      </c>
      <c r="D10" s="161">
        <v>0.0</v>
      </c>
      <c r="E10" s="294">
        <v>0.0</v>
      </c>
      <c r="F10" s="163"/>
      <c r="G10" s="325"/>
      <c r="H10" s="108">
        <v>0.0</v>
      </c>
      <c r="I10" s="109">
        <v>0.0</v>
      </c>
      <c r="J10" s="109">
        <v>0.0</v>
      </c>
      <c r="K10" s="109">
        <v>0.0</v>
      </c>
      <c r="L10" s="113"/>
      <c r="M10" s="113"/>
      <c r="N10" s="112">
        <v>0.0</v>
      </c>
      <c r="O10" s="298">
        <v>0.0</v>
      </c>
      <c r="P10" s="114"/>
      <c r="Q10" s="114"/>
      <c r="R10" s="121" t="str">
        <f t="shared" si="4"/>
        <v/>
      </c>
      <c r="S10" s="116">
        <f t="shared" si="5"/>
        <v>0.3565746084</v>
      </c>
      <c r="T10" s="117"/>
      <c r="U10" s="118">
        <f t="shared" si="6"/>
        <v>0.4791888889</v>
      </c>
      <c r="V10" s="148"/>
      <c r="W10" s="120">
        <f t="shared" si="7"/>
        <v>0.685</v>
      </c>
      <c r="X10" s="148"/>
      <c r="Y10" s="120">
        <f t="shared" si="8"/>
        <v>0.7550545455</v>
      </c>
      <c r="Z10" s="299"/>
      <c r="AA10" s="441"/>
      <c r="AB10" s="300" t="str">
        <f t="shared" si="9"/>
        <v/>
      </c>
      <c r="AC10" s="300">
        <f t="shared" si="10"/>
        <v>0.7101368438</v>
      </c>
      <c r="AD10" s="314">
        <v>0.0</v>
      </c>
      <c r="AE10" s="315">
        <v>0.0</v>
      </c>
      <c r="AF10" s="445">
        <v>0.0</v>
      </c>
      <c r="AG10" s="316">
        <v>0.0</v>
      </c>
      <c r="AH10" s="307">
        <v>0.0</v>
      </c>
      <c r="AI10" s="317">
        <v>0.0</v>
      </c>
      <c r="AJ10" s="318">
        <v>0.0</v>
      </c>
      <c r="AK10" s="319">
        <v>0.0</v>
      </c>
      <c r="AL10" s="446">
        <v>0.0</v>
      </c>
      <c r="AM10" s="320">
        <v>0.0</v>
      </c>
      <c r="AN10" s="149" t="str">
        <f>IFERROR(
  AVERAGEIFS(
    'New LF Efficacy'!$J:$J,
    'New LF Efficacy'!$D:$D, $A10,
    'New LF Efficacy'!$F:$F,"DEC", 
    'New LF Efficacy'!$W:$W,"&lt;2016",
    'New LF Efficacy'!$AA:$AA,""),
  ""
)</f>
        <v/>
      </c>
      <c r="AO10" s="115">
        <f t="shared" si="11"/>
        <v>0.2589833333</v>
      </c>
      <c r="AP10" s="149" t="str">
        <f>IFERROR(
AVERAGEIFS(
'New LF Efficacy'!$J:$J,
'New LF Efficacy'!$D:$D,$A10,
'New LF Efficacy'!$F:$F,"Albendazole &amp; DEC",
'New LF Efficacy'!$W:$W,"&lt;2016",
'New LF Efficacy'!$AA:$AA,""),
"")
</f>
        <v/>
      </c>
      <c r="AQ10" s="115">
        <f t="shared" si="12"/>
        <v>0.3465</v>
      </c>
      <c r="AR10" s="149" t="str">
        <f>IFERROR(
AVERAGEIFS(
'New LF Efficacy'!$J:$J,
'New LF Efficacy'!$D:$D,$A10,
'New LF Efficacy'!$F:$F,"Albendazole &amp; Ivermectin", 
'New LF Efficacy'!$W:$W,"&lt;2016",
'New LF Efficacy'!$AA:$AA,""),"")</f>
        <v/>
      </c>
      <c r="AS10" s="115">
        <f t="shared" si="13"/>
        <v>0.7575</v>
      </c>
      <c r="AT10" s="442" t="str">
        <f>IFERROR(AVERAGEIFS(
'Schist Efficacy'!$O:$O, 
'Schist Efficacy'!$C:$C,$A10, 
'Schist Efficacy'!$D:$D, "Praziquantel",
'Schist Efficacy'!$J:$J,"&lt;2016",
'Schist Efficacy'!$U:$U,""),
"")</f>
        <v/>
      </c>
      <c r="AU10" s="118">
        <f t="shared" si="14"/>
        <v>0.7914761905</v>
      </c>
      <c r="AV10" s="131" t="str">
        <f>IFERROR(AVERAGEIFS(
'STH Efficacy'!$AX:$AX, 
'STH Efficacy'!$AL:$AL, $A10, 
'STH Efficacy'!$AM:$AM, "Albendazole",
'STH Efficacy'!$AS:$AS,"&lt;2016",
'STH Efficacy'!$BP:$BP,""),
"")</f>
        <v/>
      </c>
      <c r="AW10" s="132">
        <f t="shared" si="15"/>
        <v>0.3945</v>
      </c>
      <c r="AX10" s="131" t="str">
        <f>IFERROR(AVERAGEIFS(
'STH Efficacy'!$AX:$AX, 
'STH Efficacy'!$AL:$AL, $A10, 
'STH Efficacy'!$AM:$AM, "Mebendazole",
'STH Efficacy'!$AS:$AS,"&lt;2016",
'STH Efficacy'!$BP:$BP,""),
"")</f>
        <v/>
      </c>
      <c r="AY10" s="132">
        <f t="shared" si="16"/>
        <v>0.6</v>
      </c>
      <c r="AZ10" s="131" t="str">
        <f>IFERROR(AVERAGEIFS(
'STH Efficacy'!$AX:$AX, 
'STH Efficacy'!$AL:$AL, $A10, 
'STH Efficacy'!$AM:$AM, "Albendazole &amp; Ivermectin",
'STH Efficacy'!$AS:$AS,"&lt;2016",
'STH Efficacy'!$BP:$BP,""),
"")</f>
        <v/>
      </c>
      <c r="BA10" s="133">
        <f t="shared" si="17"/>
        <v>0.796</v>
      </c>
      <c r="BB10" s="443" t="str">
        <f>IFERROR(AVERAGEIFS(
'STH Efficacy'!$N:$N, 
'STH Efficacy'!$B:$B, $A10, 
'STH Efficacy'!$C:$C, "Albendazole",
'STH Efficacy'!$I:$I,"&lt;2016",
'STH Efficacy'!$AH:$AH,""),
"")</f>
        <v/>
      </c>
      <c r="BC10" s="135">
        <f t="shared" si="18"/>
        <v>0.869</v>
      </c>
      <c r="BD10" s="443" t="str">
        <f>IFERROR(AVERAGEIFS(
'STH Efficacy'!$N:$N, 
'STH Efficacy'!$B:$B, $A10, 
'STH Efficacy'!$C:$C, "Mebendazole",
'STH Efficacy'!$I:$I,"&lt;2016",
'STH Efficacy'!$AH:$AH,""),
"")</f>
        <v/>
      </c>
      <c r="BE10" s="135">
        <f t="shared" si="19"/>
        <v>0.172</v>
      </c>
      <c r="BF10" s="436" t="str">
        <f>IFERROR(AVERAGEIFS(
'STH Efficacy'!$CD:$CD, 
'STH Efficacy'!$BS:$BS, $A10, 
'STH Efficacy'!$BT:$BT, "Albendazole",
'STH Efficacy'!$BZ:$BZ,"&lt;2016",
'STH Efficacy'!$CU:$CU,""),
"")</f>
        <v/>
      </c>
      <c r="BG10" s="136">
        <f t="shared" si="20"/>
        <v>0.9862</v>
      </c>
      <c r="BH10" s="436" t="str">
        <f>IFERROR(AVERAGEIFS(
'STH Efficacy'!$CD:$CD, 
'STH Efficacy'!$BS:$BS, $A10, 
'STH Efficacy'!$BT:$BT, "Mebendazole",
'STH Efficacy'!$BZ:$BZ,"&lt;2016",
'STH Efficacy'!$CU:$CU,""),
"")</f>
        <v/>
      </c>
      <c r="BI10" s="136">
        <f t="shared" si="21"/>
        <v>0.769</v>
      </c>
      <c r="BJ10" s="436" t="str">
        <f>IFERROR(AVERAGEIFS(
'STH Efficacy'!$CD:$CD, 
'STH Efficacy'!$BS:$BS, $A10, 
'STH Efficacy'!$BT:$BT, "Albendazole &amp; Ivermectin",
'STH Efficacy'!$BZ:$BZ,"&lt;2016",
'STH Efficacy'!$CU:$CU,""),
"")</f>
        <v/>
      </c>
      <c r="BK10" s="136">
        <f t="shared" si="22"/>
        <v>1</v>
      </c>
      <c r="BL10" s="444" t="str">
        <f>IFERROR(
  AVERAGEIFS(
    'NEW Onchocerciasis Efficacy'!$AO:$AO,
    'NEW Onchocerciasis Efficacy'!$C:$C,$A10,
    'NEW Onchocerciasis Efficacy'!$D:$D,"Ivermectin",
    'NEW Onchocerciasis Efficacy'!$AR:$AR,"&lt;2016",
    'NEW Onchocerciasis Efficacy'!$BG:$BG,"")
,"")</f>
        <v/>
      </c>
      <c r="BM10" s="304">
        <f t="shared" si="23"/>
        <v>0.3734</v>
      </c>
      <c r="BN10" s="439">
        <v>0.0</v>
      </c>
      <c r="BO10" s="139">
        <v>0.0</v>
      </c>
      <c r="BP10" s="140">
        <v>0.0</v>
      </c>
      <c r="BQ10" s="141">
        <f t="shared" si="24"/>
        <v>0</v>
      </c>
      <c r="BR10" s="104" t="str">
        <f t="shared" si="25"/>
        <v>0000</v>
      </c>
      <c r="BS10" s="104" t="str">
        <f t="shared" si="26"/>
        <v>no action required</v>
      </c>
      <c r="BT10" s="142" t="str">
        <f t="shared" si="27"/>
        <v/>
      </c>
      <c r="BU10" s="104" t="str">
        <f t="shared" si="28"/>
        <v/>
      </c>
      <c r="BV10" s="104" t="str">
        <f t="shared" si="29"/>
        <v>none</v>
      </c>
      <c r="BW10" s="150" t="str">
        <f t="shared" si="30"/>
        <v/>
      </c>
      <c r="BX10" s="150" t="str">
        <f t="shared" si="31"/>
        <v/>
      </c>
      <c r="BY10" s="151" t="str">
        <f t="shared" si="32"/>
        <v/>
      </c>
      <c r="BZ10" s="152" t="str">
        <f t="shared" si="33"/>
        <v/>
      </c>
      <c r="CA10" s="152" t="str">
        <f t="shared" si="34"/>
        <v/>
      </c>
      <c r="CB10" s="152" t="str">
        <f t="shared" si="35"/>
        <v/>
      </c>
      <c r="CC10" s="153" t="str">
        <f t="shared" si="36"/>
        <v/>
      </c>
      <c r="CD10" s="153" t="str">
        <f t="shared" si="37"/>
        <v/>
      </c>
      <c r="CE10" s="154" t="str">
        <f t="shared" si="38"/>
        <v/>
      </c>
      <c r="CF10" s="154" t="str">
        <f t="shared" si="39"/>
        <v/>
      </c>
      <c r="CG10" s="154" t="str">
        <f t="shared" si="40"/>
        <v/>
      </c>
      <c r="CH10" s="308" t="str">
        <f t="shared" si="41"/>
        <v/>
      </c>
    </row>
    <row r="11">
      <c r="A11" s="103" t="s">
        <v>99</v>
      </c>
      <c r="B11" s="104" t="s">
        <v>98</v>
      </c>
      <c r="C11" s="428">
        <v>99923.0</v>
      </c>
      <c r="D11" s="161">
        <v>0.0</v>
      </c>
      <c r="E11" s="294">
        <v>21.35559228</v>
      </c>
      <c r="F11" s="307">
        <v>0.0</v>
      </c>
      <c r="G11" s="309">
        <v>0.0</v>
      </c>
      <c r="H11" s="108">
        <v>0.0</v>
      </c>
      <c r="I11" s="109">
        <v>3.1268E-4</v>
      </c>
      <c r="J11" s="109">
        <v>4.908E-4</v>
      </c>
      <c r="K11" s="109">
        <v>8.03478E-4</v>
      </c>
      <c r="L11" s="112">
        <v>0.034349915</v>
      </c>
      <c r="M11" s="112">
        <v>0.010961787</v>
      </c>
      <c r="N11" s="112">
        <v>0.045311702</v>
      </c>
      <c r="O11" s="298">
        <v>0.0</v>
      </c>
      <c r="P11" s="114"/>
      <c r="Q11" s="114"/>
      <c r="R11" s="121" t="str">
        <f t="shared" si="4"/>
        <v/>
      </c>
      <c r="S11" s="116">
        <f t="shared" si="5"/>
        <v>0.3565746084</v>
      </c>
      <c r="T11" s="117"/>
      <c r="U11" s="118">
        <f t="shared" si="6"/>
        <v>0.4791888889</v>
      </c>
      <c r="V11" s="148"/>
      <c r="W11" s="120">
        <f t="shared" si="7"/>
        <v>0.685</v>
      </c>
      <c r="X11" s="148"/>
      <c r="Y11" s="120">
        <f t="shared" si="8"/>
        <v>0.7550545455</v>
      </c>
      <c r="Z11" s="299"/>
      <c r="AA11" s="441"/>
      <c r="AB11" s="300" t="str">
        <f t="shared" si="9"/>
        <v/>
      </c>
      <c r="AC11" s="300">
        <f t="shared" si="10"/>
        <v>0.7101368438</v>
      </c>
      <c r="AD11" s="122">
        <v>0.0</v>
      </c>
      <c r="AE11" s="123">
        <v>0.03</v>
      </c>
      <c r="AF11" s="430">
        <v>9.0E-4</v>
      </c>
      <c r="AG11" s="124">
        <v>0.0</v>
      </c>
      <c r="AH11" s="124">
        <v>1.23527E-5</v>
      </c>
      <c r="AI11" s="125">
        <v>0.0</v>
      </c>
      <c r="AJ11" s="125">
        <v>1.18655E-5</v>
      </c>
      <c r="AK11" s="127">
        <v>0.0</v>
      </c>
      <c r="AL11" s="127">
        <v>1.1978E-5</v>
      </c>
      <c r="AM11" s="302">
        <v>0.0</v>
      </c>
      <c r="AN11" s="149" t="str">
        <f>IFERROR(
  AVERAGEIFS(
    'New LF Efficacy'!$J:$J,
    'New LF Efficacy'!$D:$D, $A11,
    'New LF Efficacy'!$F:$F,"DEC", 
    'New LF Efficacy'!$W:$W,"&lt;2016",
    'New LF Efficacy'!$AA:$AA,""),
  ""
)</f>
        <v/>
      </c>
      <c r="AO11" s="115">
        <f t="shared" si="11"/>
        <v>0.2589833333</v>
      </c>
      <c r="AP11" s="149" t="str">
        <f>IFERROR(
AVERAGEIFS(
'New LF Efficacy'!$J:$J,
'New LF Efficacy'!$D:$D,$A11,
'New LF Efficacy'!$F:$F,"Albendazole &amp; DEC",
'New LF Efficacy'!$W:$W,"&lt;2016",
'New LF Efficacy'!$AA:$AA,""),
"")
</f>
        <v/>
      </c>
      <c r="AQ11" s="115">
        <f t="shared" si="12"/>
        <v>0.3465</v>
      </c>
      <c r="AR11" s="149" t="str">
        <f>IFERROR(
AVERAGEIFS(
'New LF Efficacy'!$J:$J,
'New LF Efficacy'!$D:$D,$A11,
'New LF Efficacy'!$F:$F,"Albendazole &amp; Ivermectin", 
'New LF Efficacy'!$W:$W,"&lt;2016",
'New LF Efficacy'!$AA:$AA,""),"")</f>
        <v/>
      </c>
      <c r="AS11" s="115">
        <f t="shared" si="13"/>
        <v>0.7575</v>
      </c>
      <c r="AT11" s="442" t="str">
        <f>IFERROR(AVERAGEIFS(
'Schist Efficacy'!$O:$O, 
'Schist Efficacy'!$C:$C,$A11, 
'Schist Efficacy'!$D:$D, "Praziquantel",
'Schist Efficacy'!$J:$J,"&lt;2016",
'Schist Efficacy'!$U:$U,""),
"")</f>
        <v/>
      </c>
      <c r="AU11" s="118">
        <f t="shared" si="14"/>
        <v>0.7914761905</v>
      </c>
      <c r="AV11" s="131" t="str">
        <f>IFERROR(AVERAGEIFS(
'STH Efficacy'!$AX:$AX, 
'STH Efficacy'!$AL:$AL, $A11, 
'STH Efficacy'!$AM:$AM, "Albendazole",
'STH Efficacy'!$AS:$AS,"&lt;2016",
'STH Efficacy'!$BP:$BP,""),
"")</f>
        <v/>
      </c>
      <c r="AW11" s="132">
        <f t="shared" si="15"/>
        <v>0.3945</v>
      </c>
      <c r="AX11" s="131" t="str">
        <f>IFERROR(AVERAGEIFS(
'STH Efficacy'!$AX:$AX, 
'STH Efficacy'!$AL:$AL, $A11, 
'STH Efficacy'!$AM:$AM, "Mebendazole",
'STH Efficacy'!$AS:$AS,"&lt;2016",
'STH Efficacy'!$BP:$BP,""),
"")</f>
        <v/>
      </c>
      <c r="AY11" s="132">
        <f t="shared" si="16"/>
        <v>0.6</v>
      </c>
      <c r="AZ11" s="131" t="str">
        <f>IFERROR(AVERAGEIFS(
'STH Efficacy'!$AX:$AX, 
'STH Efficacy'!$AL:$AL, $A11, 
'STH Efficacy'!$AM:$AM, "Albendazole &amp; Ivermectin",
'STH Efficacy'!$AS:$AS,"&lt;2016",
'STH Efficacy'!$BP:$BP,""),
"")</f>
        <v/>
      </c>
      <c r="BA11" s="133">
        <f t="shared" si="17"/>
        <v>0.796</v>
      </c>
      <c r="BB11" s="443" t="str">
        <f>IFERROR(AVERAGEIFS(
'STH Efficacy'!$N:$N, 
'STH Efficacy'!$B:$B, $A11, 
'STH Efficacy'!$C:$C, "Albendazole",
'STH Efficacy'!$I:$I,"&lt;2016",
'STH Efficacy'!$AH:$AH,""),
"")</f>
        <v/>
      </c>
      <c r="BC11" s="135">
        <f t="shared" si="18"/>
        <v>0.869</v>
      </c>
      <c r="BD11" s="443" t="str">
        <f>IFERROR(AVERAGEIFS(
'STH Efficacy'!$N:$N, 
'STH Efficacy'!$B:$B, $A11, 
'STH Efficacy'!$C:$C, "Mebendazole",
'STH Efficacy'!$I:$I,"&lt;2016",
'STH Efficacy'!$AH:$AH,""),
"")</f>
        <v/>
      </c>
      <c r="BE11" s="135">
        <f t="shared" si="19"/>
        <v>0.172</v>
      </c>
      <c r="BF11" s="436" t="str">
        <f>IFERROR(AVERAGEIFS(
'STH Efficacy'!$CD:$CD, 
'STH Efficacy'!$BS:$BS, $A11, 
'STH Efficacy'!$BT:$BT, "Albendazole",
'STH Efficacy'!$BZ:$BZ,"&lt;2016",
'STH Efficacy'!$CU:$CU,""),
"")</f>
        <v/>
      </c>
      <c r="BG11" s="136">
        <f t="shared" si="20"/>
        <v>0.9862</v>
      </c>
      <c r="BH11" s="436" t="str">
        <f>IFERROR(AVERAGEIFS(
'STH Efficacy'!$CD:$CD, 
'STH Efficacy'!$BS:$BS, $A11, 
'STH Efficacy'!$BT:$BT, "Mebendazole",
'STH Efficacy'!$BZ:$BZ,"&lt;2016",
'STH Efficacy'!$CU:$CU,""),
"")</f>
        <v/>
      </c>
      <c r="BI11" s="136">
        <f t="shared" si="21"/>
        <v>0.769</v>
      </c>
      <c r="BJ11" s="436" t="str">
        <f>IFERROR(AVERAGEIFS(
'STH Efficacy'!$CD:$CD, 
'STH Efficacy'!$BS:$BS, $A11, 
'STH Efficacy'!$BT:$BT, "Albendazole &amp; Ivermectin",
'STH Efficacy'!$BZ:$BZ,"&lt;2016",
'STH Efficacy'!$CU:$CU,""),
"")</f>
        <v/>
      </c>
      <c r="BK11" s="136">
        <f t="shared" si="22"/>
        <v>1</v>
      </c>
      <c r="BL11" s="444" t="str">
        <f>IFERROR(
  AVERAGEIFS(
    'NEW Onchocerciasis Efficacy'!$AO:$AO,
    'NEW Onchocerciasis Efficacy'!$C:$C,$A11,
    'NEW Onchocerciasis Efficacy'!$D:$D,"Ivermectin",
    'NEW Onchocerciasis Efficacy'!$AR:$AR,"&lt;2016",
    'NEW Onchocerciasis Efficacy'!$BG:$BG,"")
,"")</f>
        <v/>
      </c>
      <c r="BM11" s="304">
        <f t="shared" si="23"/>
        <v>0.3734</v>
      </c>
      <c r="BN11" s="439">
        <v>0.0</v>
      </c>
      <c r="BO11" s="139">
        <v>0.0</v>
      </c>
      <c r="BP11" s="140">
        <v>0.0</v>
      </c>
      <c r="BQ11" s="141">
        <f t="shared" si="24"/>
        <v>0</v>
      </c>
      <c r="BR11" s="104" t="str">
        <f t="shared" si="25"/>
        <v>0000</v>
      </c>
      <c r="BS11" s="104" t="str">
        <f t="shared" si="26"/>
        <v>no action required</v>
      </c>
      <c r="BT11" s="142" t="str">
        <f t="shared" si="27"/>
        <v/>
      </c>
      <c r="BU11" s="104" t="str">
        <f t="shared" si="28"/>
        <v/>
      </c>
      <c r="BV11" s="104" t="str">
        <f t="shared" si="29"/>
        <v>none</v>
      </c>
      <c r="BW11" s="150" t="str">
        <f t="shared" si="30"/>
        <v/>
      </c>
      <c r="BX11" s="150" t="str">
        <f t="shared" si="31"/>
        <v/>
      </c>
      <c r="BY11" s="151" t="str">
        <f t="shared" si="32"/>
        <v/>
      </c>
      <c r="BZ11" s="152" t="str">
        <f t="shared" si="33"/>
        <v/>
      </c>
      <c r="CA11" s="152" t="str">
        <f t="shared" si="34"/>
        <v/>
      </c>
      <c r="CB11" s="152" t="str">
        <f t="shared" si="35"/>
        <v/>
      </c>
      <c r="CC11" s="153" t="str">
        <f t="shared" si="36"/>
        <v/>
      </c>
      <c r="CD11" s="153" t="str">
        <f t="shared" si="37"/>
        <v/>
      </c>
      <c r="CE11" s="154" t="str">
        <f t="shared" si="38"/>
        <v/>
      </c>
      <c r="CF11" s="154" t="str">
        <f t="shared" si="39"/>
        <v/>
      </c>
      <c r="CG11" s="154" t="str">
        <f t="shared" si="40"/>
        <v/>
      </c>
      <c r="CH11" s="308" t="str">
        <f t="shared" si="41"/>
        <v/>
      </c>
    </row>
    <row r="12">
      <c r="A12" s="103" t="s">
        <v>100</v>
      </c>
      <c r="B12" s="104" t="s">
        <v>98</v>
      </c>
      <c r="C12" s="428">
        <v>4.3417765E7</v>
      </c>
      <c r="D12" s="161">
        <v>0.0</v>
      </c>
      <c r="E12" s="294">
        <v>0.0</v>
      </c>
      <c r="F12" s="295">
        <v>0.199053766</v>
      </c>
      <c r="G12" s="295">
        <v>1.216306224</v>
      </c>
      <c r="H12" s="108">
        <v>1.41535999</v>
      </c>
      <c r="I12" s="109">
        <v>200.778315</v>
      </c>
      <c r="J12" s="110">
        <v>527.371676</v>
      </c>
      <c r="K12" s="109">
        <v>728.1499906</v>
      </c>
      <c r="L12" s="112">
        <v>73.26521014</v>
      </c>
      <c r="M12" s="112">
        <v>114.9339214</v>
      </c>
      <c r="N12" s="112">
        <v>188.1991316</v>
      </c>
      <c r="O12" s="298">
        <v>0.0</v>
      </c>
      <c r="P12" s="114"/>
      <c r="Q12" s="114"/>
      <c r="R12" s="121" t="str">
        <f t="shared" si="4"/>
        <v/>
      </c>
      <c r="S12" s="116">
        <f t="shared" si="5"/>
        <v>0.3565746084</v>
      </c>
      <c r="T12" s="117"/>
      <c r="U12" s="118">
        <f t="shared" si="6"/>
        <v>0.4791888889</v>
      </c>
      <c r="V12" s="148"/>
      <c r="W12" s="120">
        <f t="shared" si="7"/>
        <v>0.685</v>
      </c>
      <c r="X12" s="148"/>
      <c r="Y12" s="120">
        <f t="shared" si="8"/>
        <v>0.7550545455</v>
      </c>
      <c r="Z12" s="299"/>
      <c r="AA12" s="441"/>
      <c r="AB12" s="300" t="str">
        <f t="shared" si="9"/>
        <v/>
      </c>
      <c r="AC12" s="300">
        <f t="shared" si="10"/>
        <v>0.7101368438</v>
      </c>
      <c r="AD12" s="122">
        <v>0.0</v>
      </c>
      <c r="AE12" s="123">
        <v>0.0</v>
      </c>
      <c r="AF12" s="430">
        <v>0.0</v>
      </c>
      <c r="AG12" s="124">
        <v>0.0194</v>
      </c>
      <c r="AH12" s="124">
        <v>0.026019099</v>
      </c>
      <c r="AI12" s="125">
        <v>0.0269</v>
      </c>
      <c r="AJ12" s="125">
        <v>0.036287796</v>
      </c>
      <c r="AK12" s="127">
        <v>0.0627</v>
      </c>
      <c r="AL12" s="127">
        <v>0.083764163</v>
      </c>
      <c r="AM12" s="302">
        <v>0.0</v>
      </c>
      <c r="AN12" s="149" t="str">
        <f>IFERROR(
  AVERAGEIFS(
    'New LF Efficacy'!$J:$J,
    'New LF Efficacy'!$D:$D, $A12,
    'New LF Efficacy'!$F:$F,"DEC", 
    'New LF Efficacy'!$W:$W,"&lt;2016",
    'New LF Efficacy'!$AA:$AA,""),
  ""
)</f>
        <v/>
      </c>
      <c r="AO12" s="115">
        <f t="shared" si="11"/>
        <v>0.2589833333</v>
      </c>
      <c r="AP12" s="149" t="str">
        <f>IFERROR(
AVERAGEIFS(
'New LF Efficacy'!$J:$J,
'New LF Efficacy'!$D:$D,$A12,
'New LF Efficacy'!$F:$F,"Albendazole &amp; DEC",
'New LF Efficacy'!$W:$W,"&lt;2016",
'New LF Efficacy'!$AA:$AA,""),
"")
</f>
        <v/>
      </c>
      <c r="AQ12" s="115">
        <f t="shared" si="12"/>
        <v>0.3465</v>
      </c>
      <c r="AR12" s="149" t="str">
        <f>IFERROR(
AVERAGEIFS(
'New LF Efficacy'!$J:$J,
'New LF Efficacy'!$D:$D,$A12,
'New LF Efficacy'!$F:$F,"Albendazole &amp; Ivermectin", 
'New LF Efficacy'!$W:$W,"&lt;2016",
'New LF Efficacy'!$AA:$AA,""),"")</f>
        <v/>
      </c>
      <c r="AS12" s="115">
        <f t="shared" si="13"/>
        <v>0.7575</v>
      </c>
      <c r="AT12" s="442" t="str">
        <f>IFERROR(AVERAGEIFS(
'Schist Efficacy'!$O:$O, 
'Schist Efficacy'!$C:$C,$A12, 
'Schist Efficacy'!$D:$D, "Praziquantel",
'Schist Efficacy'!$J:$J,"&lt;2016",
'Schist Efficacy'!$U:$U,""),
"")</f>
        <v/>
      </c>
      <c r="AU12" s="118">
        <f t="shared" si="14"/>
        <v>0.7914761905</v>
      </c>
      <c r="AV12" s="131" t="str">
        <f>IFERROR(AVERAGEIFS(
'STH Efficacy'!$AX:$AX, 
'STH Efficacy'!$AL:$AL, $A12, 
'STH Efficacy'!$AM:$AM, "Albendazole",
'STH Efficacy'!$AS:$AS,"&lt;2016",
'STH Efficacy'!$BP:$BP,""),
"")</f>
        <v/>
      </c>
      <c r="AW12" s="132">
        <f t="shared" si="15"/>
        <v>0.3945</v>
      </c>
      <c r="AX12" s="131" t="str">
        <f>IFERROR(AVERAGEIFS(
'STH Efficacy'!$AX:$AX, 
'STH Efficacy'!$AL:$AL, $A12, 
'STH Efficacy'!$AM:$AM, "Mebendazole",
'STH Efficacy'!$AS:$AS,"&lt;2016",
'STH Efficacy'!$BP:$BP,""),
"")</f>
        <v/>
      </c>
      <c r="AY12" s="132">
        <f t="shared" si="16"/>
        <v>0.6</v>
      </c>
      <c r="AZ12" s="131" t="str">
        <f>IFERROR(AVERAGEIFS(
'STH Efficacy'!$AX:$AX, 
'STH Efficacy'!$AL:$AL, $A12, 
'STH Efficacy'!$AM:$AM, "Albendazole &amp; Ivermectin",
'STH Efficacy'!$AS:$AS,"&lt;2016",
'STH Efficacy'!$BP:$BP,""),
"")</f>
        <v/>
      </c>
      <c r="BA12" s="133">
        <f t="shared" si="17"/>
        <v>0.796</v>
      </c>
      <c r="BB12" s="443" t="str">
        <f>IFERROR(AVERAGEIFS(
'STH Efficacy'!$N:$N, 
'STH Efficacy'!$B:$B, $A12, 
'STH Efficacy'!$C:$C, "Albendazole",
'STH Efficacy'!$I:$I,"&lt;2016",
'STH Efficacy'!$AH:$AH,""),
"")</f>
        <v/>
      </c>
      <c r="BC12" s="135">
        <f t="shared" si="18"/>
        <v>0.869</v>
      </c>
      <c r="BD12" s="443" t="str">
        <f>IFERROR(AVERAGEIFS(
'STH Efficacy'!$N:$N, 
'STH Efficacy'!$B:$B, $A12, 
'STH Efficacy'!$C:$C, "Mebendazole",
'STH Efficacy'!$I:$I,"&lt;2016",
'STH Efficacy'!$AH:$AH,""),
"")</f>
        <v/>
      </c>
      <c r="BE12" s="135">
        <f t="shared" si="19"/>
        <v>0.172</v>
      </c>
      <c r="BF12" s="436" t="str">
        <f>IFERROR(AVERAGEIFS(
'STH Efficacy'!$CD:$CD, 
'STH Efficacy'!$BS:$BS, $A12, 
'STH Efficacy'!$BT:$BT, "Albendazole",
'STH Efficacy'!$BZ:$BZ,"&lt;2016",
'STH Efficacy'!$CU:$CU,""),
"")</f>
        <v/>
      </c>
      <c r="BG12" s="136">
        <f t="shared" si="20"/>
        <v>0.9862</v>
      </c>
      <c r="BH12" s="436" t="str">
        <f>IFERROR(AVERAGEIFS(
'STH Efficacy'!$CD:$CD, 
'STH Efficacy'!$BS:$BS, $A12, 
'STH Efficacy'!$BT:$BT, "Mebendazole",
'STH Efficacy'!$BZ:$BZ,"&lt;2016",
'STH Efficacy'!$CU:$CU,""),
"")</f>
        <v/>
      </c>
      <c r="BI12" s="136">
        <f t="shared" si="21"/>
        <v>0.769</v>
      </c>
      <c r="BJ12" s="436" t="str">
        <f>IFERROR(AVERAGEIFS(
'STH Efficacy'!$CD:$CD, 
'STH Efficacy'!$BS:$BS, $A12, 
'STH Efficacy'!$BT:$BT, "Albendazole &amp; Ivermectin",
'STH Efficacy'!$BZ:$BZ,"&lt;2016",
'STH Efficacy'!$CU:$CU,""),
"")</f>
        <v/>
      </c>
      <c r="BK12" s="136">
        <f t="shared" si="22"/>
        <v>1</v>
      </c>
      <c r="BL12" s="444" t="str">
        <f>IFERROR(
  AVERAGEIFS(
    'NEW Onchocerciasis Efficacy'!$AO:$AO,
    'NEW Onchocerciasis Efficacy'!$C:$C,$A12,
    'NEW Onchocerciasis Efficacy'!$D:$D,"Ivermectin",
    'NEW Onchocerciasis Efficacy'!$AR:$AR,"&lt;2016",
    'NEW Onchocerciasis Efficacy'!$BG:$BG,"")
,"")</f>
        <v/>
      </c>
      <c r="BM12" s="304">
        <f t="shared" si="23"/>
        <v>0.3734</v>
      </c>
      <c r="BN12" s="439">
        <v>0.0</v>
      </c>
      <c r="BO12" s="139">
        <v>0.0</v>
      </c>
      <c r="BP12" s="140">
        <v>0.0</v>
      </c>
      <c r="BQ12" s="141">
        <f t="shared" si="24"/>
        <v>0</v>
      </c>
      <c r="BR12" s="104" t="str">
        <f t="shared" si="25"/>
        <v>0000</v>
      </c>
      <c r="BS12" s="104" t="str">
        <f t="shared" si="26"/>
        <v>no action required</v>
      </c>
      <c r="BT12" s="142" t="str">
        <f t="shared" si="27"/>
        <v/>
      </c>
      <c r="BU12" s="104" t="str">
        <f t="shared" si="28"/>
        <v/>
      </c>
      <c r="BV12" s="104" t="str">
        <f t="shared" si="29"/>
        <v>none</v>
      </c>
      <c r="BW12" s="150" t="str">
        <f t="shared" si="30"/>
        <v/>
      </c>
      <c r="BX12" s="150" t="str">
        <f t="shared" si="31"/>
        <v/>
      </c>
      <c r="BY12" s="151" t="str">
        <f t="shared" si="32"/>
        <v/>
      </c>
      <c r="BZ12" s="152" t="str">
        <f t="shared" si="33"/>
        <v/>
      </c>
      <c r="CA12" s="152" t="str">
        <f t="shared" si="34"/>
        <v/>
      </c>
      <c r="CB12" s="152" t="str">
        <f t="shared" si="35"/>
        <v/>
      </c>
      <c r="CC12" s="153" t="str">
        <f t="shared" si="36"/>
        <v/>
      </c>
      <c r="CD12" s="153" t="str">
        <f t="shared" si="37"/>
        <v/>
      </c>
      <c r="CE12" s="154" t="str">
        <f t="shared" si="38"/>
        <v/>
      </c>
      <c r="CF12" s="154" t="str">
        <f t="shared" si="39"/>
        <v/>
      </c>
      <c r="CG12" s="154" t="str">
        <f t="shared" si="40"/>
        <v/>
      </c>
      <c r="CH12" s="308" t="str">
        <f t="shared" si="41"/>
        <v/>
      </c>
    </row>
    <row r="13">
      <c r="A13" s="103" t="s">
        <v>101</v>
      </c>
      <c r="B13" s="104" t="s">
        <v>90</v>
      </c>
      <c r="C13" s="428">
        <v>2916950.0</v>
      </c>
      <c r="D13" s="161">
        <v>0.0</v>
      </c>
      <c r="E13" s="294">
        <v>0.0</v>
      </c>
      <c r="F13" s="307">
        <v>0.0</v>
      </c>
      <c r="G13" s="309">
        <v>0.0</v>
      </c>
      <c r="H13" s="108">
        <v>0.0</v>
      </c>
      <c r="I13" s="109">
        <v>0.03572647</v>
      </c>
      <c r="J13" s="109">
        <v>0.03704678</v>
      </c>
      <c r="K13" s="109">
        <v>0.072773255</v>
      </c>
      <c r="L13" s="112">
        <v>0.705831995</v>
      </c>
      <c r="M13" s="112">
        <v>0.221925935</v>
      </c>
      <c r="N13" s="112">
        <v>0.927757931</v>
      </c>
      <c r="O13" s="298">
        <v>0.0</v>
      </c>
      <c r="P13" s="114"/>
      <c r="Q13" s="114"/>
      <c r="R13" s="121" t="str">
        <f t="shared" si="4"/>
        <v/>
      </c>
      <c r="S13" s="116">
        <f t="shared" si="5"/>
        <v>0.5709301448</v>
      </c>
      <c r="T13" s="117"/>
      <c r="U13" s="118">
        <f t="shared" si="6"/>
        <v>0.4791888889</v>
      </c>
      <c r="V13" s="119">
        <v>0.0223</v>
      </c>
      <c r="W13" s="120">
        <f t="shared" si="7"/>
        <v>0.0223</v>
      </c>
      <c r="X13" s="119">
        <v>0.0194</v>
      </c>
      <c r="Y13" s="120">
        <f t="shared" si="8"/>
        <v>0.0194</v>
      </c>
      <c r="Z13" s="299"/>
      <c r="AA13" s="441"/>
      <c r="AB13" s="300" t="str">
        <f t="shared" si="9"/>
        <v/>
      </c>
      <c r="AC13" s="300">
        <f t="shared" si="10"/>
        <v>0.6890056172</v>
      </c>
      <c r="AD13" s="122">
        <v>0.0</v>
      </c>
      <c r="AE13" s="123">
        <v>0.0</v>
      </c>
      <c r="AF13" s="430">
        <v>0.0</v>
      </c>
      <c r="AG13" s="124">
        <v>0.001</v>
      </c>
      <c r="AH13" s="124">
        <v>0.001509703</v>
      </c>
      <c r="AI13" s="125">
        <v>0.0</v>
      </c>
      <c r="AJ13" s="125">
        <v>1.24791E-5</v>
      </c>
      <c r="AK13" s="127">
        <v>0.005</v>
      </c>
      <c r="AL13" s="127">
        <v>0.007604353</v>
      </c>
      <c r="AM13" s="302">
        <v>0.0</v>
      </c>
      <c r="AN13" s="149" t="str">
        <f>IFERROR(
  AVERAGEIFS(
    'New LF Efficacy'!$J:$J,
    'New LF Efficacy'!$D:$D, $A13,
    'New LF Efficacy'!$F:$F,"DEC", 
    'New LF Efficacy'!$W:$W,"&lt;2016",
    'New LF Efficacy'!$AA:$AA,""),
  ""
)</f>
        <v/>
      </c>
      <c r="AO13" s="115">
        <f t="shared" si="11"/>
        <v>0.3573520833</v>
      </c>
      <c r="AP13" s="149" t="str">
        <f>IFERROR(
AVERAGEIFS(
'New LF Efficacy'!$J:$J,
'New LF Efficacy'!$D:$D,$A13,
'New LF Efficacy'!$F:$F,"Albendazole &amp; DEC",
'New LF Efficacy'!$W:$W,"&lt;2016",
'New LF Efficacy'!$AA:$AA,""),
"")
</f>
        <v/>
      </c>
      <c r="AQ13" s="115">
        <f t="shared" si="12"/>
        <v>0.5143541667</v>
      </c>
      <c r="AR13" s="149" t="str">
        <f>IFERROR(
AVERAGEIFS(
'New LF Efficacy'!$J:$J,
'New LF Efficacy'!$D:$D,$A13,
'New LF Efficacy'!$F:$F,"Albendazole &amp; Ivermectin", 
'New LF Efficacy'!$W:$W,"&lt;2016",
'New LF Efficacy'!$AA:$AA,""),"")</f>
        <v/>
      </c>
      <c r="AS13" s="115">
        <f t="shared" si="13"/>
        <v>0.37153125</v>
      </c>
      <c r="AT13" s="442" t="str">
        <f>IFERROR(AVERAGEIFS(
'Schist Efficacy'!$O:$O, 
'Schist Efficacy'!$C:$C,$A13, 
'Schist Efficacy'!$D:$D, "Praziquantel",
'Schist Efficacy'!$J:$J,"&lt;2016",
'Schist Efficacy'!$U:$U,""),
"")</f>
        <v/>
      </c>
      <c r="AU13" s="118">
        <f t="shared" si="14"/>
        <v>0.655</v>
      </c>
      <c r="AV13" s="131" t="str">
        <f>IFERROR(AVERAGEIFS(
'STH Efficacy'!$AX:$AX, 
'STH Efficacy'!$AL:$AL, $A13, 
'STH Efficacy'!$AM:$AM, "Albendazole",
'STH Efficacy'!$AS:$AS,"&lt;2016",
'STH Efficacy'!$BP:$BP,""),
"")</f>
        <v/>
      </c>
      <c r="AW13" s="132">
        <f t="shared" si="15"/>
        <v>0.4143846154</v>
      </c>
      <c r="AX13" s="131" t="str">
        <f>IFERROR(AVERAGEIFS(
'STH Efficacy'!$AX:$AX, 
'STH Efficacy'!$AL:$AL, $A13, 
'STH Efficacy'!$AM:$AM, "Mebendazole",
'STH Efficacy'!$AS:$AS,"&lt;2016",
'STH Efficacy'!$BP:$BP,""),
"")</f>
        <v/>
      </c>
      <c r="AY13" s="132">
        <f t="shared" si="16"/>
        <v>0.4691770833</v>
      </c>
      <c r="AZ13" s="131" t="str">
        <f>IFERROR(AVERAGEIFS(
'STH Efficacy'!$AX:$AX, 
'STH Efficacy'!$AL:$AL, $A13, 
'STH Efficacy'!$AM:$AM, "Albendazole &amp; Ivermectin",
'STH Efficacy'!$AS:$AS,"&lt;2016",
'STH Efficacy'!$BP:$BP,""),
"")</f>
        <v/>
      </c>
      <c r="BA13" s="133">
        <f t="shared" si="17"/>
        <v>0.597625</v>
      </c>
      <c r="BB13" s="443" t="str">
        <f>IFERROR(AVERAGEIFS(
'STH Efficacy'!$N:$N, 
'STH Efficacy'!$B:$B, $A13, 
'STH Efficacy'!$C:$C, "Albendazole",
'STH Efficacy'!$I:$I,"&lt;2016",
'STH Efficacy'!$AH:$AH,""),
"")</f>
        <v/>
      </c>
      <c r="BC13" s="135">
        <f t="shared" si="18"/>
        <v>0.7613712121</v>
      </c>
      <c r="BD13" s="443" t="str">
        <f>IFERROR(AVERAGEIFS(
'STH Efficacy'!$N:$N, 
'STH Efficacy'!$B:$B, $A13, 
'STH Efficacy'!$C:$C, "Mebendazole",
'STH Efficacy'!$I:$I,"&lt;2016",
'STH Efficacy'!$AH:$AH,""),
"")</f>
        <v/>
      </c>
      <c r="BE13" s="135">
        <f t="shared" si="19"/>
        <v>0.4362466667</v>
      </c>
      <c r="BF13" s="436" t="str">
        <f>IFERROR(AVERAGEIFS(
'STH Efficacy'!$CD:$CD, 
'STH Efficacy'!$BS:$BS, $A13, 
'STH Efficacy'!$BT:$BT, "Albendazole",
'STH Efficacy'!$BZ:$BZ,"&lt;2016",
'STH Efficacy'!$CU:$CU,""),
"")</f>
        <v/>
      </c>
      <c r="BG13" s="136">
        <f t="shared" si="20"/>
        <v>0.9216027778</v>
      </c>
      <c r="BH13" s="436" t="str">
        <f>IFERROR(AVERAGEIFS(
'STH Efficacy'!$CD:$CD, 
'STH Efficacy'!$BS:$BS, $A13, 
'STH Efficacy'!$BT:$BT, "Mebendazole",
'STH Efficacy'!$BZ:$BZ,"&lt;2016",
'STH Efficacy'!$CU:$CU,""),
"")</f>
        <v/>
      </c>
      <c r="BI13" s="136">
        <f t="shared" si="21"/>
        <v>0.8866041667</v>
      </c>
      <c r="BJ13" s="436" t="str">
        <f>IFERROR(AVERAGEIFS(
'STH Efficacy'!$CD:$CD, 
'STH Efficacy'!$BS:$BS, $A13, 
'STH Efficacy'!$BT:$BT, "Albendazole &amp; Ivermectin",
'STH Efficacy'!$BZ:$BZ,"&lt;2016",
'STH Efficacy'!$CU:$CU,""),
"")</f>
        <v/>
      </c>
      <c r="BK13" s="136">
        <f t="shared" si="22"/>
        <v>0.848</v>
      </c>
      <c r="BL13" s="444" t="str">
        <f>IFERROR(
  AVERAGEIFS(
    'NEW Onchocerciasis Efficacy'!$AO:$AO,
    'NEW Onchocerciasis Efficacy'!$C:$C,$A13,
    'NEW Onchocerciasis Efficacy'!$D:$D,"Ivermectin",
    'NEW Onchocerciasis Efficacy'!$AR:$AR,"&lt;2016",
    'NEW Onchocerciasis Efficacy'!$BG:$BG,"")
,"")</f>
        <v/>
      </c>
      <c r="BM13" s="304">
        <f t="shared" si="23"/>
        <v>0.7808368939</v>
      </c>
      <c r="BN13" s="439">
        <v>0.0</v>
      </c>
      <c r="BO13" s="139">
        <v>0.0</v>
      </c>
      <c r="BP13" s="140">
        <v>0.0</v>
      </c>
      <c r="BQ13" s="141">
        <f t="shared" si="24"/>
        <v>0</v>
      </c>
      <c r="BR13" s="104" t="str">
        <f t="shared" si="25"/>
        <v>0000</v>
      </c>
      <c r="BS13" s="104" t="str">
        <f t="shared" si="26"/>
        <v>no action required</v>
      </c>
      <c r="BT13" s="142" t="str">
        <f t="shared" si="27"/>
        <v/>
      </c>
      <c r="BU13" s="104" t="str">
        <f t="shared" si="28"/>
        <v/>
      </c>
      <c r="BV13" s="104" t="str">
        <f t="shared" si="29"/>
        <v>none</v>
      </c>
      <c r="BW13" s="150" t="str">
        <f t="shared" si="30"/>
        <v/>
      </c>
      <c r="BX13" s="150" t="str">
        <f t="shared" si="31"/>
        <v/>
      </c>
      <c r="BY13" s="151" t="str">
        <f t="shared" si="32"/>
        <v/>
      </c>
      <c r="BZ13" s="152" t="str">
        <f t="shared" si="33"/>
        <v/>
      </c>
      <c r="CA13" s="152" t="str">
        <f t="shared" si="34"/>
        <v/>
      </c>
      <c r="CB13" s="152" t="str">
        <f t="shared" si="35"/>
        <v/>
      </c>
      <c r="CC13" s="153" t="str">
        <f t="shared" si="36"/>
        <v/>
      </c>
      <c r="CD13" s="153" t="str">
        <f t="shared" si="37"/>
        <v/>
      </c>
      <c r="CE13" s="154" t="str">
        <f t="shared" si="38"/>
        <v/>
      </c>
      <c r="CF13" s="154" t="str">
        <f t="shared" si="39"/>
        <v/>
      </c>
      <c r="CG13" s="154" t="str">
        <f t="shared" si="40"/>
        <v/>
      </c>
      <c r="CH13" s="308" t="str">
        <f t="shared" si="41"/>
        <v/>
      </c>
    </row>
    <row r="14">
      <c r="A14" s="155" t="s">
        <v>102</v>
      </c>
      <c r="B14" s="104" t="s">
        <v>98</v>
      </c>
      <c r="C14" s="428">
        <v>104341.0</v>
      </c>
      <c r="D14" s="161">
        <v>0.0</v>
      </c>
      <c r="E14" s="294">
        <v>0.0</v>
      </c>
      <c r="F14" s="163"/>
      <c r="G14" s="325"/>
      <c r="H14" s="108">
        <v>0.0</v>
      </c>
      <c r="I14" s="109">
        <v>0.0</v>
      </c>
      <c r="J14" s="109">
        <v>0.0</v>
      </c>
      <c r="K14" s="109">
        <v>0.0</v>
      </c>
      <c r="L14" s="113"/>
      <c r="M14" s="113"/>
      <c r="N14" s="112">
        <v>0.0</v>
      </c>
      <c r="O14" s="298">
        <v>0.0</v>
      </c>
      <c r="P14" s="114"/>
      <c r="Q14" s="114"/>
      <c r="R14" s="121" t="str">
        <f t="shared" si="4"/>
        <v/>
      </c>
      <c r="S14" s="116">
        <f t="shared" si="5"/>
        <v>0.3565746084</v>
      </c>
      <c r="T14" s="117"/>
      <c r="U14" s="118">
        <f t="shared" si="6"/>
        <v>0.4791888889</v>
      </c>
      <c r="V14" s="148"/>
      <c r="W14" s="120">
        <f t="shared" si="7"/>
        <v>0.685</v>
      </c>
      <c r="X14" s="148"/>
      <c r="Y14" s="120">
        <f t="shared" si="8"/>
        <v>0.7550545455</v>
      </c>
      <c r="Z14" s="299"/>
      <c r="AA14" s="441"/>
      <c r="AB14" s="300" t="str">
        <f t="shared" si="9"/>
        <v/>
      </c>
      <c r="AC14" s="300">
        <f t="shared" si="10"/>
        <v>0.7101368438</v>
      </c>
      <c r="AD14" s="314">
        <v>0.0</v>
      </c>
      <c r="AE14" s="315">
        <v>0.0</v>
      </c>
      <c r="AF14" s="445">
        <v>0.0</v>
      </c>
      <c r="AG14" s="316">
        <v>0.0</v>
      </c>
      <c r="AH14" s="307">
        <v>0.0</v>
      </c>
      <c r="AI14" s="317">
        <v>0.0</v>
      </c>
      <c r="AJ14" s="318">
        <v>0.0</v>
      </c>
      <c r="AK14" s="319">
        <v>0.0</v>
      </c>
      <c r="AL14" s="446">
        <v>0.0</v>
      </c>
      <c r="AM14" s="320">
        <v>0.0</v>
      </c>
      <c r="AN14" s="149" t="str">
        <f>IFERROR(
  AVERAGEIFS(
    'New LF Efficacy'!$J:$J,
    'New LF Efficacy'!$D:$D, $A14,
    'New LF Efficacy'!$F:$F,"DEC", 
    'New LF Efficacy'!$W:$W,"&lt;2016",
    'New LF Efficacy'!$AA:$AA,""),
  ""
)</f>
        <v/>
      </c>
      <c r="AO14" s="115">
        <f t="shared" si="11"/>
        <v>0.2589833333</v>
      </c>
      <c r="AP14" s="149" t="str">
        <f>IFERROR(
AVERAGEIFS(
'New LF Efficacy'!$J:$J,
'New LF Efficacy'!$D:$D,$A14,
'New LF Efficacy'!$F:$F,"Albendazole &amp; DEC",
'New LF Efficacy'!$W:$W,"&lt;2016",
'New LF Efficacy'!$AA:$AA,""),
"")
</f>
        <v/>
      </c>
      <c r="AQ14" s="115">
        <f t="shared" si="12"/>
        <v>0.3465</v>
      </c>
      <c r="AR14" s="149" t="str">
        <f>IFERROR(
AVERAGEIFS(
'New LF Efficacy'!$J:$J,
'New LF Efficacy'!$D:$D,$A14,
'New LF Efficacy'!$F:$F,"Albendazole &amp; Ivermectin", 
'New LF Efficacy'!$W:$W,"&lt;2016",
'New LF Efficacy'!$AA:$AA,""),"")</f>
        <v/>
      </c>
      <c r="AS14" s="115">
        <f t="shared" si="13"/>
        <v>0.7575</v>
      </c>
      <c r="AT14" s="442" t="str">
        <f>IFERROR(AVERAGEIFS(
'Schist Efficacy'!$O:$O, 
'Schist Efficacy'!$C:$C,$A14, 
'Schist Efficacy'!$D:$D, "Praziquantel",
'Schist Efficacy'!$J:$J,"&lt;2016",
'Schist Efficacy'!$U:$U,""),
"")</f>
        <v/>
      </c>
      <c r="AU14" s="118">
        <f t="shared" si="14"/>
        <v>0.7914761905</v>
      </c>
      <c r="AV14" s="131" t="str">
        <f>IFERROR(AVERAGEIFS(
'STH Efficacy'!$AX:$AX, 
'STH Efficacy'!$AL:$AL, $A14, 
'STH Efficacy'!$AM:$AM, "Albendazole",
'STH Efficacy'!$AS:$AS,"&lt;2016",
'STH Efficacy'!$BP:$BP,""),
"")</f>
        <v/>
      </c>
      <c r="AW14" s="132">
        <f t="shared" si="15"/>
        <v>0.3945</v>
      </c>
      <c r="AX14" s="131" t="str">
        <f>IFERROR(AVERAGEIFS(
'STH Efficacy'!$AX:$AX, 
'STH Efficacy'!$AL:$AL, $A14, 
'STH Efficacy'!$AM:$AM, "Mebendazole",
'STH Efficacy'!$AS:$AS,"&lt;2016",
'STH Efficacy'!$BP:$BP,""),
"")</f>
        <v/>
      </c>
      <c r="AY14" s="132">
        <f t="shared" si="16"/>
        <v>0.6</v>
      </c>
      <c r="AZ14" s="131" t="str">
        <f>IFERROR(AVERAGEIFS(
'STH Efficacy'!$AX:$AX, 
'STH Efficacy'!$AL:$AL, $A14, 
'STH Efficacy'!$AM:$AM, "Albendazole &amp; Ivermectin",
'STH Efficacy'!$AS:$AS,"&lt;2016",
'STH Efficacy'!$BP:$BP,""),
"")</f>
        <v/>
      </c>
      <c r="BA14" s="133">
        <f t="shared" si="17"/>
        <v>0.796</v>
      </c>
      <c r="BB14" s="443" t="str">
        <f>IFERROR(AVERAGEIFS(
'STH Efficacy'!$N:$N, 
'STH Efficacy'!$B:$B, $A14, 
'STH Efficacy'!$C:$C, "Albendazole",
'STH Efficacy'!$I:$I,"&lt;2016",
'STH Efficacy'!$AH:$AH,""),
"")</f>
        <v/>
      </c>
      <c r="BC14" s="135">
        <f t="shared" si="18"/>
        <v>0.869</v>
      </c>
      <c r="BD14" s="443" t="str">
        <f>IFERROR(AVERAGEIFS(
'STH Efficacy'!$N:$N, 
'STH Efficacy'!$B:$B, $A14, 
'STH Efficacy'!$C:$C, "Mebendazole",
'STH Efficacy'!$I:$I,"&lt;2016",
'STH Efficacy'!$AH:$AH,""),
"")</f>
        <v/>
      </c>
      <c r="BE14" s="135">
        <f t="shared" si="19"/>
        <v>0.172</v>
      </c>
      <c r="BF14" s="436" t="str">
        <f>IFERROR(AVERAGEIFS(
'STH Efficacy'!$CD:$CD, 
'STH Efficacy'!$BS:$BS, $A14, 
'STH Efficacy'!$BT:$BT, "Albendazole",
'STH Efficacy'!$BZ:$BZ,"&lt;2016",
'STH Efficacy'!$CU:$CU,""),
"")</f>
        <v/>
      </c>
      <c r="BG14" s="136">
        <f t="shared" si="20"/>
        <v>0.9862</v>
      </c>
      <c r="BH14" s="436" t="str">
        <f>IFERROR(AVERAGEIFS(
'STH Efficacy'!$CD:$CD, 
'STH Efficacy'!$BS:$BS, $A14, 
'STH Efficacy'!$BT:$BT, "Mebendazole",
'STH Efficacy'!$BZ:$BZ,"&lt;2016",
'STH Efficacy'!$CU:$CU,""),
"")</f>
        <v/>
      </c>
      <c r="BI14" s="136">
        <f t="shared" si="21"/>
        <v>0.769</v>
      </c>
      <c r="BJ14" s="436" t="str">
        <f>IFERROR(AVERAGEIFS(
'STH Efficacy'!$CD:$CD, 
'STH Efficacy'!$BS:$BS, $A14, 
'STH Efficacy'!$BT:$BT, "Albendazole &amp; Ivermectin",
'STH Efficacy'!$BZ:$BZ,"&lt;2016",
'STH Efficacy'!$CU:$CU,""),
"")</f>
        <v/>
      </c>
      <c r="BK14" s="136">
        <f t="shared" si="22"/>
        <v>1</v>
      </c>
      <c r="BL14" s="444" t="str">
        <f>IFERROR(
  AVERAGEIFS(
    'NEW Onchocerciasis Efficacy'!$AO:$AO,
    'NEW Onchocerciasis Efficacy'!$C:$C,$A14,
    'NEW Onchocerciasis Efficacy'!$D:$D,"Ivermectin",
    'NEW Onchocerciasis Efficacy'!$AR:$AR,"&lt;2016",
    'NEW Onchocerciasis Efficacy'!$BG:$BG,"")
,"")</f>
        <v/>
      </c>
      <c r="BM14" s="304">
        <f t="shared" si="23"/>
        <v>0.3734</v>
      </c>
      <c r="BN14" s="439">
        <v>0.0</v>
      </c>
      <c r="BO14" s="139">
        <v>0.0</v>
      </c>
      <c r="BP14" s="140">
        <v>0.0</v>
      </c>
      <c r="BQ14" s="141">
        <f t="shared" si="24"/>
        <v>0</v>
      </c>
      <c r="BR14" s="104" t="str">
        <f t="shared" si="25"/>
        <v>0000</v>
      </c>
      <c r="BS14" s="104" t="str">
        <f t="shared" si="26"/>
        <v>no action required</v>
      </c>
      <c r="BT14" s="142" t="str">
        <f t="shared" si="27"/>
        <v/>
      </c>
      <c r="BU14" s="104" t="str">
        <f t="shared" si="28"/>
        <v/>
      </c>
      <c r="BV14" s="104" t="str">
        <f t="shared" si="29"/>
        <v>none</v>
      </c>
      <c r="BW14" s="150" t="str">
        <f t="shared" si="30"/>
        <v/>
      </c>
      <c r="BX14" s="150" t="str">
        <f t="shared" si="31"/>
        <v/>
      </c>
      <c r="BY14" s="151" t="str">
        <f t="shared" si="32"/>
        <v/>
      </c>
      <c r="BZ14" s="152" t="str">
        <f t="shared" si="33"/>
        <v/>
      </c>
      <c r="CA14" s="152" t="str">
        <f t="shared" si="34"/>
        <v/>
      </c>
      <c r="CB14" s="152" t="str">
        <f t="shared" si="35"/>
        <v/>
      </c>
      <c r="CC14" s="153" t="str">
        <f t="shared" si="36"/>
        <v/>
      </c>
      <c r="CD14" s="153" t="str">
        <f t="shared" si="37"/>
        <v/>
      </c>
      <c r="CE14" s="154" t="str">
        <f t="shared" si="38"/>
        <v/>
      </c>
      <c r="CF14" s="154" t="str">
        <f t="shared" si="39"/>
        <v/>
      </c>
      <c r="CG14" s="154" t="str">
        <f t="shared" si="40"/>
        <v/>
      </c>
      <c r="CH14" s="308" t="str">
        <f t="shared" si="41"/>
        <v/>
      </c>
    </row>
    <row r="15">
      <c r="A15" s="103" t="s">
        <v>103</v>
      </c>
      <c r="B15" s="104" t="s">
        <v>94</v>
      </c>
      <c r="C15" s="428">
        <v>2.3789338E7</v>
      </c>
      <c r="D15" s="161">
        <v>0.0</v>
      </c>
      <c r="E15" s="294">
        <v>0.0</v>
      </c>
      <c r="F15" s="307">
        <v>0.0</v>
      </c>
      <c r="G15" s="309">
        <v>0.0</v>
      </c>
      <c r="H15" s="108">
        <v>0.0</v>
      </c>
      <c r="I15" s="109">
        <v>0.0</v>
      </c>
      <c r="J15" s="109">
        <v>0.0</v>
      </c>
      <c r="K15" s="109">
        <v>0.0</v>
      </c>
      <c r="L15" s="112">
        <v>0.0</v>
      </c>
      <c r="M15" s="112">
        <v>0.0</v>
      </c>
      <c r="N15" s="112">
        <v>0.0</v>
      </c>
      <c r="O15" s="298">
        <v>0.0</v>
      </c>
      <c r="P15" s="114"/>
      <c r="Q15" s="114"/>
      <c r="R15" s="121" t="str">
        <f t="shared" si="4"/>
        <v/>
      </c>
      <c r="S15" s="116">
        <f t="shared" si="5"/>
        <v>0.3783554476</v>
      </c>
      <c r="T15" s="117"/>
      <c r="U15" s="118">
        <f t="shared" si="6"/>
        <v>0.73965</v>
      </c>
      <c r="V15" s="148"/>
      <c r="W15" s="120">
        <f t="shared" si="7"/>
        <v>0.6141272727</v>
      </c>
      <c r="X15" s="148"/>
      <c r="Y15" s="120">
        <f t="shared" si="8"/>
        <v>0.6018090909</v>
      </c>
      <c r="Z15" s="299"/>
      <c r="AA15" s="441"/>
      <c r="AB15" s="300" t="str">
        <f t="shared" si="9"/>
        <v/>
      </c>
      <c r="AC15" s="300">
        <f t="shared" si="10"/>
        <v>0.6890056172</v>
      </c>
      <c r="AD15" s="122">
        <v>0.0</v>
      </c>
      <c r="AE15" s="123">
        <v>0.0</v>
      </c>
      <c r="AF15" s="430">
        <v>0.0</v>
      </c>
      <c r="AG15" s="124">
        <v>0.0</v>
      </c>
      <c r="AH15" s="124">
        <v>0.0</v>
      </c>
      <c r="AI15" s="125">
        <v>0.0</v>
      </c>
      <c r="AJ15" s="125">
        <v>0.0</v>
      </c>
      <c r="AK15" s="127">
        <v>0.0</v>
      </c>
      <c r="AL15" s="127">
        <v>0.0</v>
      </c>
      <c r="AM15" s="302">
        <v>0.0</v>
      </c>
      <c r="AN15" s="149" t="str">
        <f>IFERROR(
  AVERAGEIFS(
    'New LF Efficacy'!$J:$J,
    'New LF Efficacy'!$D:$D, $A15,
    'New LF Efficacy'!$F:$F,"DEC", 
    'New LF Efficacy'!$W:$W,"&lt;2016",
    'New LF Efficacy'!$AA:$AA,""),
  ""
)</f>
        <v/>
      </c>
      <c r="AO15" s="115">
        <f t="shared" si="11"/>
        <v>0.38</v>
      </c>
      <c r="AP15" s="149" t="str">
        <f>IFERROR(
AVERAGEIFS(
'New LF Efficacy'!$J:$J,
'New LF Efficacy'!$D:$D,$A15,
'New LF Efficacy'!$F:$F,"Albendazole &amp; DEC",
'New LF Efficacy'!$W:$W,"&lt;2016",
'New LF Efficacy'!$AA:$AA,""),
"")
</f>
        <v/>
      </c>
      <c r="AQ15" s="115">
        <f t="shared" si="12"/>
        <v>0.662</v>
      </c>
      <c r="AR15" s="149" t="str">
        <f>IFERROR(
AVERAGEIFS(
'New LF Efficacy'!$J:$J,
'New LF Efficacy'!$D:$D,$A15,
'New LF Efficacy'!$F:$F,"Albendazole &amp; Ivermectin", 
'New LF Efficacy'!$W:$W,"&lt;2016",
'New LF Efficacy'!$AA:$AA,""),"")</f>
        <v/>
      </c>
      <c r="AS15" s="115">
        <f t="shared" si="13"/>
        <v>0.37153125</v>
      </c>
      <c r="AT15" s="442" t="str">
        <f>IFERROR(AVERAGEIFS(
'Schist Efficacy'!$O:$O, 
'Schist Efficacy'!$C:$C,$A15, 
'Schist Efficacy'!$D:$D, "Praziquantel",
'Schist Efficacy'!$J:$J,"&lt;2016",
'Schist Efficacy'!$U:$U,""),
"")</f>
        <v/>
      </c>
      <c r="AU15" s="118">
        <f t="shared" si="14"/>
        <v>0.9475</v>
      </c>
      <c r="AV15" s="131" t="str">
        <f>IFERROR(AVERAGEIFS(
'STH Efficacy'!$AX:$AX, 
'STH Efficacy'!$AL:$AL, $A15, 
'STH Efficacy'!$AM:$AM, "Albendazole",
'STH Efficacy'!$AS:$AS,"&lt;2016",
'STH Efficacy'!$BP:$BP,""),
"")</f>
        <v/>
      </c>
      <c r="AW15" s="132">
        <f t="shared" si="15"/>
        <v>0.3571666667</v>
      </c>
      <c r="AX15" s="131" t="str">
        <f>IFERROR(AVERAGEIFS(
'STH Efficacy'!$AX:$AX, 
'STH Efficacy'!$AL:$AL, $A15, 
'STH Efficacy'!$AM:$AM, "Mebendazole",
'STH Efficacy'!$AS:$AS,"&lt;2016",
'STH Efficacy'!$BP:$BP,""),
"")</f>
        <v/>
      </c>
      <c r="AY15" s="132">
        <f t="shared" si="16"/>
        <v>0.4155</v>
      </c>
      <c r="AZ15" s="131" t="str">
        <f>IFERROR(AVERAGEIFS(
'STH Efficacy'!$AX:$AX, 
'STH Efficacy'!$AL:$AL, $A15, 
'STH Efficacy'!$AM:$AM, "Albendazole &amp; Ivermectin",
'STH Efficacy'!$AS:$AS,"&lt;2016",
'STH Efficacy'!$BP:$BP,""),
"")</f>
        <v/>
      </c>
      <c r="BA15" s="133">
        <f t="shared" si="17"/>
        <v>0.651</v>
      </c>
      <c r="BB15" s="443" t="str">
        <f>IFERROR(AVERAGEIFS(
'STH Efficacy'!$N:$N, 
'STH Efficacy'!$B:$B, $A15, 
'STH Efficacy'!$C:$C, "Albendazole",
'STH Efficacy'!$I:$I,"&lt;2016",
'STH Efficacy'!$AH:$AH,""),
"")</f>
        <v/>
      </c>
      <c r="BC15" s="135">
        <f t="shared" si="18"/>
        <v>0.5769166667</v>
      </c>
      <c r="BD15" s="443" t="str">
        <f>IFERROR(AVERAGEIFS(
'STH Efficacy'!$N:$N, 
'STH Efficacy'!$B:$B, $A15, 
'STH Efficacy'!$C:$C, "Mebendazole",
'STH Efficacy'!$I:$I,"&lt;2016",
'STH Efficacy'!$AH:$AH,""),
"")</f>
        <v/>
      </c>
      <c r="BE15" s="135">
        <f t="shared" si="19"/>
        <v>0.3145</v>
      </c>
      <c r="BF15" s="436" t="str">
        <f>IFERROR(AVERAGEIFS(
'STH Efficacy'!$CD:$CD, 
'STH Efficacy'!$BS:$BS, $A15, 
'STH Efficacy'!$BT:$BT, "Albendazole",
'STH Efficacy'!$BZ:$BZ,"&lt;2016",
'STH Efficacy'!$CU:$CU,""),
"")</f>
        <v/>
      </c>
      <c r="BG15" s="136">
        <f t="shared" si="20"/>
        <v>0.96925</v>
      </c>
      <c r="BH15" s="436" t="str">
        <f>IFERROR(AVERAGEIFS(
'STH Efficacy'!$CD:$CD, 
'STH Efficacy'!$BS:$BS, $A15, 
'STH Efficacy'!$BT:$BT, "Mebendazole",
'STH Efficacy'!$BZ:$BZ,"&lt;2016",
'STH Efficacy'!$CU:$CU,""),
"")</f>
        <v/>
      </c>
      <c r="BI15" s="136">
        <f t="shared" si="21"/>
        <v>0.9305</v>
      </c>
      <c r="BJ15" s="436" t="str">
        <f>IFERROR(AVERAGEIFS(
'STH Efficacy'!$CD:$CD, 
'STH Efficacy'!$BS:$BS, $A15, 
'STH Efficacy'!$BT:$BT, "Albendazole &amp; Ivermectin",
'STH Efficacy'!$BZ:$BZ,"&lt;2016",
'STH Efficacy'!$CU:$CU,""),
"")</f>
        <v/>
      </c>
      <c r="BK15" s="136">
        <f t="shared" si="22"/>
        <v>0.848</v>
      </c>
      <c r="BL15" s="444" t="str">
        <f>IFERROR(
  AVERAGEIFS(
    'NEW Onchocerciasis Efficacy'!$AO:$AO,
    'NEW Onchocerciasis Efficacy'!$C:$C,$A15,
    'NEW Onchocerciasis Efficacy'!$D:$D,"Ivermectin",
    'NEW Onchocerciasis Efficacy'!$AR:$AR,"&lt;2016",
    'NEW Onchocerciasis Efficacy'!$BG:$BG,"")
,"")</f>
        <v/>
      </c>
      <c r="BM15" s="304">
        <f t="shared" si="23"/>
        <v>0.7808368939</v>
      </c>
      <c r="BN15" s="439">
        <v>0.0</v>
      </c>
      <c r="BO15" s="139">
        <v>0.0</v>
      </c>
      <c r="BP15" s="140">
        <v>0.0</v>
      </c>
      <c r="BQ15" s="141">
        <f t="shared" si="24"/>
        <v>0</v>
      </c>
      <c r="BR15" s="104" t="str">
        <f t="shared" si="25"/>
        <v>0000</v>
      </c>
      <c r="BS15" s="104" t="str">
        <f t="shared" si="26"/>
        <v>no action required</v>
      </c>
      <c r="BT15" s="142" t="str">
        <f t="shared" si="27"/>
        <v/>
      </c>
      <c r="BU15" s="104" t="str">
        <f t="shared" si="28"/>
        <v/>
      </c>
      <c r="BV15" s="104" t="str">
        <f t="shared" si="29"/>
        <v>none</v>
      </c>
      <c r="BW15" s="150" t="str">
        <f t="shared" si="30"/>
        <v/>
      </c>
      <c r="BX15" s="150" t="str">
        <f t="shared" si="31"/>
        <v/>
      </c>
      <c r="BY15" s="151" t="str">
        <f t="shared" si="32"/>
        <v/>
      </c>
      <c r="BZ15" s="152" t="str">
        <f t="shared" si="33"/>
        <v/>
      </c>
      <c r="CA15" s="152" t="str">
        <f t="shared" si="34"/>
        <v/>
      </c>
      <c r="CB15" s="152" t="str">
        <f t="shared" si="35"/>
        <v/>
      </c>
      <c r="CC15" s="153" t="str">
        <f t="shared" si="36"/>
        <v/>
      </c>
      <c r="CD15" s="153" t="str">
        <f t="shared" si="37"/>
        <v/>
      </c>
      <c r="CE15" s="154" t="str">
        <f t="shared" si="38"/>
        <v/>
      </c>
      <c r="CF15" s="154" t="str">
        <f t="shared" si="39"/>
        <v/>
      </c>
      <c r="CG15" s="154" t="str">
        <f t="shared" si="40"/>
        <v/>
      </c>
      <c r="CH15" s="308" t="str">
        <f t="shared" si="41"/>
        <v/>
      </c>
    </row>
    <row r="16">
      <c r="A16" s="103" t="s">
        <v>104</v>
      </c>
      <c r="B16" s="104" t="s">
        <v>90</v>
      </c>
      <c r="C16" s="428">
        <v>8633169.0</v>
      </c>
      <c r="D16" s="161">
        <v>0.0</v>
      </c>
      <c r="E16" s="294">
        <v>0.0</v>
      </c>
      <c r="F16" s="307">
        <v>0.0</v>
      </c>
      <c r="G16" s="309">
        <v>0.0</v>
      </c>
      <c r="H16" s="108">
        <v>0.0</v>
      </c>
      <c r="I16" s="109">
        <v>0.0</v>
      </c>
      <c r="J16" s="109">
        <v>0.0</v>
      </c>
      <c r="K16" s="109">
        <v>0.0</v>
      </c>
      <c r="L16" s="112">
        <v>0.0</v>
      </c>
      <c r="M16" s="112">
        <v>0.0</v>
      </c>
      <c r="N16" s="112">
        <v>0.0</v>
      </c>
      <c r="O16" s="298">
        <v>0.0</v>
      </c>
      <c r="P16" s="114"/>
      <c r="Q16" s="114"/>
      <c r="R16" s="121" t="str">
        <f t="shared" si="4"/>
        <v/>
      </c>
      <c r="S16" s="116">
        <f t="shared" si="5"/>
        <v>0.5709301448</v>
      </c>
      <c r="T16" s="117"/>
      <c r="U16" s="118">
        <f t="shared" si="6"/>
        <v>0.4791888889</v>
      </c>
      <c r="V16" s="148"/>
      <c r="W16" s="120">
        <f t="shared" si="7"/>
        <v>0.0223</v>
      </c>
      <c r="X16" s="148"/>
      <c r="Y16" s="120">
        <f t="shared" si="8"/>
        <v>0.598275</v>
      </c>
      <c r="Z16" s="299"/>
      <c r="AA16" s="441"/>
      <c r="AB16" s="300" t="str">
        <f t="shared" si="9"/>
        <v/>
      </c>
      <c r="AC16" s="300">
        <f t="shared" si="10"/>
        <v>0.6890056172</v>
      </c>
      <c r="AD16" s="122">
        <v>0.0</v>
      </c>
      <c r="AE16" s="123">
        <v>0.0</v>
      </c>
      <c r="AF16" s="430">
        <v>0.0</v>
      </c>
      <c r="AG16" s="124">
        <v>0.0</v>
      </c>
      <c r="AH16" s="124">
        <v>0.0</v>
      </c>
      <c r="AI16" s="125">
        <v>0.0</v>
      </c>
      <c r="AJ16" s="125">
        <v>0.0</v>
      </c>
      <c r="AK16" s="127">
        <v>0.0</v>
      </c>
      <c r="AL16" s="127">
        <v>0.0</v>
      </c>
      <c r="AM16" s="302">
        <v>0.0</v>
      </c>
      <c r="AN16" s="149" t="str">
        <f>IFERROR(
  AVERAGEIFS(
    'New LF Efficacy'!$J:$J,
    'New LF Efficacy'!$D:$D, $A16,
    'New LF Efficacy'!$F:$F,"DEC", 
    'New LF Efficacy'!$W:$W,"&lt;2016",
    'New LF Efficacy'!$AA:$AA,""),
  ""
)</f>
        <v/>
      </c>
      <c r="AO16" s="115">
        <f t="shared" si="11"/>
        <v>0.3573520833</v>
      </c>
      <c r="AP16" s="149" t="str">
        <f>IFERROR(
AVERAGEIFS(
'New LF Efficacy'!$J:$J,
'New LF Efficacy'!$D:$D,$A16,
'New LF Efficacy'!$F:$F,"Albendazole &amp; DEC",
'New LF Efficacy'!$W:$W,"&lt;2016",
'New LF Efficacy'!$AA:$AA,""),
"")
</f>
        <v/>
      </c>
      <c r="AQ16" s="115">
        <f t="shared" si="12"/>
        <v>0.5143541667</v>
      </c>
      <c r="AR16" s="149" t="str">
        <f>IFERROR(
AVERAGEIFS(
'New LF Efficacy'!$J:$J,
'New LF Efficacy'!$D:$D,$A16,
'New LF Efficacy'!$F:$F,"Albendazole &amp; Ivermectin", 
'New LF Efficacy'!$W:$W,"&lt;2016",
'New LF Efficacy'!$AA:$AA,""),"")</f>
        <v/>
      </c>
      <c r="AS16" s="115">
        <f t="shared" si="13"/>
        <v>0.37153125</v>
      </c>
      <c r="AT16" s="442" t="str">
        <f>IFERROR(AVERAGEIFS(
'Schist Efficacy'!$O:$O, 
'Schist Efficacy'!$C:$C,$A16, 
'Schist Efficacy'!$D:$D, "Praziquantel",
'Schist Efficacy'!$J:$J,"&lt;2016",
'Schist Efficacy'!$U:$U,""),
"")</f>
        <v/>
      </c>
      <c r="AU16" s="118">
        <f t="shared" si="14"/>
        <v>0.655</v>
      </c>
      <c r="AV16" s="131" t="str">
        <f>IFERROR(AVERAGEIFS(
'STH Efficacy'!$AX:$AX, 
'STH Efficacy'!$AL:$AL, $A16, 
'STH Efficacy'!$AM:$AM, "Albendazole",
'STH Efficacy'!$AS:$AS,"&lt;2016",
'STH Efficacy'!$BP:$BP,""),
"")</f>
        <v/>
      </c>
      <c r="AW16" s="132">
        <f t="shared" si="15"/>
        <v>0.4143846154</v>
      </c>
      <c r="AX16" s="131" t="str">
        <f>IFERROR(AVERAGEIFS(
'STH Efficacy'!$AX:$AX, 
'STH Efficacy'!$AL:$AL, $A16, 
'STH Efficacy'!$AM:$AM, "Mebendazole",
'STH Efficacy'!$AS:$AS,"&lt;2016",
'STH Efficacy'!$BP:$BP,""),
"")</f>
        <v/>
      </c>
      <c r="AY16" s="132">
        <f t="shared" si="16"/>
        <v>0.4691770833</v>
      </c>
      <c r="AZ16" s="131" t="str">
        <f>IFERROR(AVERAGEIFS(
'STH Efficacy'!$AX:$AX, 
'STH Efficacy'!$AL:$AL, $A16, 
'STH Efficacy'!$AM:$AM, "Albendazole &amp; Ivermectin",
'STH Efficacy'!$AS:$AS,"&lt;2016",
'STH Efficacy'!$BP:$BP,""),
"")</f>
        <v/>
      </c>
      <c r="BA16" s="133">
        <f t="shared" si="17"/>
        <v>0.597625</v>
      </c>
      <c r="BB16" s="443" t="str">
        <f>IFERROR(AVERAGEIFS(
'STH Efficacy'!$N:$N, 
'STH Efficacy'!$B:$B, $A16, 
'STH Efficacy'!$C:$C, "Albendazole",
'STH Efficacy'!$I:$I,"&lt;2016",
'STH Efficacy'!$AH:$AH,""),
"")</f>
        <v/>
      </c>
      <c r="BC16" s="135">
        <f t="shared" si="18"/>
        <v>0.7613712121</v>
      </c>
      <c r="BD16" s="443" t="str">
        <f>IFERROR(AVERAGEIFS(
'STH Efficacy'!$N:$N, 
'STH Efficacy'!$B:$B, $A16, 
'STH Efficacy'!$C:$C, "Mebendazole",
'STH Efficacy'!$I:$I,"&lt;2016",
'STH Efficacy'!$AH:$AH,""),
"")</f>
        <v/>
      </c>
      <c r="BE16" s="135">
        <f t="shared" si="19"/>
        <v>0.4362466667</v>
      </c>
      <c r="BF16" s="436" t="str">
        <f>IFERROR(AVERAGEIFS(
'STH Efficacy'!$CD:$CD, 
'STH Efficacy'!$BS:$BS, $A16, 
'STH Efficacy'!$BT:$BT, "Albendazole",
'STH Efficacy'!$BZ:$BZ,"&lt;2016",
'STH Efficacy'!$CU:$CU,""),
"")</f>
        <v/>
      </c>
      <c r="BG16" s="136">
        <f t="shared" si="20"/>
        <v>0.9216027778</v>
      </c>
      <c r="BH16" s="436" t="str">
        <f>IFERROR(AVERAGEIFS(
'STH Efficacy'!$CD:$CD, 
'STH Efficacy'!$BS:$BS, $A16, 
'STH Efficacy'!$BT:$BT, "Mebendazole",
'STH Efficacy'!$BZ:$BZ,"&lt;2016",
'STH Efficacy'!$CU:$CU,""),
"")</f>
        <v/>
      </c>
      <c r="BI16" s="136">
        <f t="shared" si="21"/>
        <v>0.8866041667</v>
      </c>
      <c r="BJ16" s="436" t="str">
        <f>IFERROR(AVERAGEIFS(
'STH Efficacy'!$CD:$CD, 
'STH Efficacy'!$BS:$BS, $A16, 
'STH Efficacy'!$BT:$BT, "Albendazole &amp; Ivermectin",
'STH Efficacy'!$BZ:$BZ,"&lt;2016",
'STH Efficacy'!$CU:$CU,""),
"")</f>
        <v/>
      </c>
      <c r="BK16" s="136">
        <f t="shared" si="22"/>
        <v>0.848</v>
      </c>
      <c r="BL16" s="444" t="str">
        <f>IFERROR(
  AVERAGEIFS(
    'NEW Onchocerciasis Efficacy'!$AO:$AO,
    'NEW Onchocerciasis Efficacy'!$C:$C,$A16,
    'NEW Onchocerciasis Efficacy'!$D:$D,"Ivermectin",
    'NEW Onchocerciasis Efficacy'!$AR:$AR,"&lt;2016",
    'NEW Onchocerciasis Efficacy'!$BG:$BG,"")
,"")</f>
        <v/>
      </c>
      <c r="BM16" s="304">
        <f t="shared" si="23"/>
        <v>0.7808368939</v>
      </c>
      <c r="BN16" s="439">
        <v>0.0</v>
      </c>
      <c r="BO16" s="139">
        <v>0.0</v>
      </c>
      <c r="BP16" s="140">
        <v>0.0</v>
      </c>
      <c r="BQ16" s="141">
        <f t="shared" si="24"/>
        <v>0</v>
      </c>
      <c r="BR16" s="104" t="str">
        <f t="shared" si="25"/>
        <v>0000</v>
      </c>
      <c r="BS16" s="104" t="str">
        <f t="shared" si="26"/>
        <v>no action required</v>
      </c>
      <c r="BT16" s="142" t="str">
        <f t="shared" si="27"/>
        <v/>
      </c>
      <c r="BU16" s="104" t="str">
        <f t="shared" si="28"/>
        <v/>
      </c>
      <c r="BV16" s="104" t="str">
        <f t="shared" si="29"/>
        <v>none</v>
      </c>
      <c r="BW16" s="150" t="str">
        <f t="shared" si="30"/>
        <v/>
      </c>
      <c r="BX16" s="150" t="str">
        <f t="shared" si="31"/>
        <v/>
      </c>
      <c r="BY16" s="151" t="str">
        <f t="shared" si="32"/>
        <v/>
      </c>
      <c r="BZ16" s="152" t="str">
        <f t="shared" si="33"/>
        <v/>
      </c>
      <c r="CA16" s="152" t="str">
        <f t="shared" si="34"/>
        <v/>
      </c>
      <c r="CB16" s="152" t="str">
        <f t="shared" si="35"/>
        <v/>
      </c>
      <c r="CC16" s="153" t="str">
        <f t="shared" si="36"/>
        <v/>
      </c>
      <c r="CD16" s="153" t="str">
        <f t="shared" si="37"/>
        <v/>
      </c>
      <c r="CE16" s="154" t="str">
        <f t="shared" si="38"/>
        <v/>
      </c>
      <c r="CF16" s="154" t="str">
        <f t="shared" si="39"/>
        <v/>
      </c>
      <c r="CG16" s="154" t="str">
        <f t="shared" si="40"/>
        <v/>
      </c>
      <c r="CH16" s="308" t="str">
        <f t="shared" si="41"/>
        <v/>
      </c>
    </row>
    <row r="17">
      <c r="A17" s="103" t="s">
        <v>105</v>
      </c>
      <c r="B17" s="104" t="s">
        <v>90</v>
      </c>
      <c r="C17" s="428">
        <v>9649341.0</v>
      </c>
      <c r="D17" s="161">
        <v>0.0</v>
      </c>
      <c r="E17" s="294">
        <v>0.0</v>
      </c>
      <c r="F17" s="307">
        <v>0.0</v>
      </c>
      <c r="G17" s="309">
        <v>0.0</v>
      </c>
      <c r="H17" s="108">
        <v>0.0</v>
      </c>
      <c r="I17" s="109">
        <v>0.0548169</v>
      </c>
      <c r="J17" s="109">
        <v>0.04046835</v>
      </c>
      <c r="K17" s="109">
        <v>0.09528525</v>
      </c>
      <c r="L17" s="112">
        <v>10.70748431</v>
      </c>
      <c r="M17" s="112">
        <v>5.442534796</v>
      </c>
      <c r="N17" s="112">
        <v>16.1500191</v>
      </c>
      <c r="O17" s="298">
        <v>0.0</v>
      </c>
      <c r="P17" s="114"/>
      <c r="Q17" s="114"/>
      <c r="R17" s="121" t="str">
        <f t="shared" si="4"/>
        <v/>
      </c>
      <c r="S17" s="116">
        <f t="shared" si="5"/>
        <v>0.5709301448</v>
      </c>
      <c r="T17" s="117"/>
      <c r="U17" s="118">
        <f t="shared" si="6"/>
        <v>0.4791888889</v>
      </c>
      <c r="V17" s="148"/>
      <c r="W17" s="120">
        <f t="shared" si="7"/>
        <v>0.0223</v>
      </c>
      <c r="X17" s="119">
        <v>0.3737</v>
      </c>
      <c r="Y17" s="120">
        <f t="shared" si="8"/>
        <v>0.3737</v>
      </c>
      <c r="Z17" s="299"/>
      <c r="AA17" s="441"/>
      <c r="AB17" s="300" t="str">
        <f t="shared" si="9"/>
        <v/>
      </c>
      <c r="AC17" s="300">
        <f t="shared" si="10"/>
        <v>0.6890056172</v>
      </c>
      <c r="AD17" s="122">
        <v>0.0</v>
      </c>
      <c r="AE17" s="123">
        <v>0.0</v>
      </c>
      <c r="AF17" s="430">
        <v>0.0</v>
      </c>
      <c r="AG17" s="124">
        <v>4.0E-4</v>
      </c>
      <c r="AH17" s="124">
        <v>6.73258E-4</v>
      </c>
      <c r="AI17" s="125">
        <v>0.0</v>
      </c>
      <c r="AJ17" s="125">
        <v>1.18562E-5</v>
      </c>
      <c r="AK17" s="127">
        <v>0.0213</v>
      </c>
      <c r="AL17" s="127">
        <v>0.033195998</v>
      </c>
      <c r="AM17" s="302">
        <v>0.0</v>
      </c>
      <c r="AN17" s="149" t="str">
        <f>IFERROR(
  AVERAGEIFS(
    'New LF Efficacy'!$J:$J,
    'New LF Efficacy'!$D:$D, $A17,
    'New LF Efficacy'!$F:$F,"DEC", 
    'New LF Efficacy'!$W:$W,"&lt;2016",
    'New LF Efficacy'!$AA:$AA,""),
  ""
)</f>
        <v/>
      </c>
      <c r="AO17" s="115">
        <f t="shared" si="11"/>
        <v>0.3573520833</v>
      </c>
      <c r="AP17" s="149" t="str">
        <f>IFERROR(
AVERAGEIFS(
'New LF Efficacy'!$J:$J,
'New LF Efficacy'!$D:$D,$A17,
'New LF Efficacy'!$F:$F,"Albendazole &amp; DEC",
'New LF Efficacy'!$W:$W,"&lt;2016",
'New LF Efficacy'!$AA:$AA,""),
"")
</f>
        <v/>
      </c>
      <c r="AQ17" s="115">
        <f t="shared" si="12"/>
        <v>0.5143541667</v>
      </c>
      <c r="AR17" s="149" t="str">
        <f>IFERROR(
AVERAGEIFS(
'New LF Efficacy'!$J:$J,
'New LF Efficacy'!$D:$D,$A17,
'New LF Efficacy'!$F:$F,"Albendazole &amp; Ivermectin", 
'New LF Efficacy'!$W:$W,"&lt;2016",
'New LF Efficacy'!$AA:$AA,""),"")</f>
        <v/>
      </c>
      <c r="AS17" s="115">
        <f t="shared" si="13"/>
        <v>0.37153125</v>
      </c>
      <c r="AT17" s="442" t="str">
        <f>IFERROR(AVERAGEIFS(
'Schist Efficacy'!$O:$O, 
'Schist Efficacy'!$C:$C,$A17, 
'Schist Efficacy'!$D:$D, "Praziquantel",
'Schist Efficacy'!$J:$J,"&lt;2016",
'Schist Efficacy'!$U:$U,""),
"")</f>
        <v/>
      </c>
      <c r="AU17" s="118">
        <f t="shared" si="14"/>
        <v>0.655</v>
      </c>
      <c r="AV17" s="131" t="str">
        <f>IFERROR(AVERAGEIFS(
'STH Efficacy'!$AX:$AX, 
'STH Efficacy'!$AL:$AL, $A17, 
'STH Efficacy'!$AM:$AM, "Albendazole",
'STH Efficacy'!$AS:$AS,"&lt;2016",
'STH Efficacy'!$BP:$BP,""),
"")</f>
        <v/>
      </c>
      <c r="AW17" s="132">
        <f t="shared" si="15"/>
        <v>0.4143846154</v>
      </c>
      <c r="AX17" s="131" t="str">
        <f>IFERROR(AVERAGEIFS(
'STH Efficacy'!$AX:$AX, 
'STH Efficacy'!$AL:$AL, $A17, 
'STH Efficacy'!$AM:$AM, "Mebendazole",
'STH Efficacy'!$AS:$AS,"&lt;2016",
'STH Efficacy'!$BP:$BP,""),
"")</f>
        <v/>
      </c>
      <c r="AY17" s="132">
        <f t="shared" si="16"/>
        <v>0.4691770833</v>
      </c>
      <c r="AZ17" s="131" t="str">
        <f>IFERROR(AVERAGEIFS(
'STH Efficacy'!$AX:$AX, 
'STH Efficacy'!$AL:$AL, $A17, 
'STH Efficacy'!$AM:$AM, "Albendazole &amp; Ivermectin",
'STH Efficacy'!$AS:$AS,"&lt;2016",
'STH Efficacy'!$BP:$BP,""),
"")</f>
        <v/>
      </c>
      <c r="BA17" s="133">
        <f t="shared" si="17"/>
        <v>0.597625</v>
      </c>
      <c r="BB17" s="443" t="str">
        <f>IFERROR(AVERAGEIFS(
'STH Efficacy'!$N:$N, 
'STH Efficacy'!$B:$B, $A17, 
'STH Efficacy'!$C:$C, "Albendazole",
'STH Efficacy'!$I:$I,"&lt;2016",
'STH Efficacy'!$AH:$AH,""),
"")</f>
        <v/>
      </c>
      <c r="BC17" s="135">
        <f t="shared" si="18"/>
        <v>0.7613712121</v>
      </c>
      <c r="BD17" s="443" t="str">
        <f>IFERROR(AVERAGEIFS(
'STH Efficacy'!$N:$N, 
'STH Efficacy'!$B:$B, $A17, 
'STH Efficacy'!$C:$C, "Mebendazole",
'STH Efficacy'!$I:$I,"&lt;2016",
'STH Efficacy'!$AH:$AH,""),
"")</f>
        <v/>
      </c>
      <c r="BE17" s="135">
        <f t="shared" si="19"/>
        <v>0.4362466667</v>
      </c>
      <c r="BF17" s="436" t="str">
        <f>IFERROR(AVERAGEIFS(
'STH Efficacy'!$CD:$CD, 
'STH Efficacy'!$BS:$BS, $A17, 
'STH Efficacy'!$BT:$BT, "Albendazole",
'STH Efficacy'!$BZ:$BZ,"&lt;2016",
'STH Efficacy'!$CU:$CU,""),
"")</f>
        <v/>
      </c>
      <c r="BG17" s="136">
        <f t="shared" si="20"/>
        <v>0.9216027778</v>
      </c>
      <c r="BH17" s="436" t="str">
        <f>IFERROR(AVERAGEIFS(
'STH Efficacy'!$CD:$CD, 
'STH Efficacy'!$BS:$BS, $A17, 
'STH Efficacy'!$BT:$BT, "Mebendazole",
'STH Efficacy'!$BZ:$BZ,"&lt;2016",
'STH Efficacy'!$CU:$CU,""),
"")</f>
        <v/>
      </c>
      <c r="BI17" s="136">
        <f t="shared" si="21"/>
        <v>0.8866041667</v>
      </c>
      <c r="BJ17" s="436" t="str">
        <f>IFERROR(AVERAGEIFS(
'STH Efficacy'!$CD:$CD, 
'STH Efficacy'!$BS:$BS, $A17, 
'STH Efficacy'!$BT:$BT, "Albendazole &amp; Ivermectin",
'STH Efficacy'!$BZ:$BZ,"&lt;2016",
'STH Efficacy'!$CU:$CU,""),
"")</f>
        <v/>
      </c>
      <c r="BK17" s="136">
        <f t="shared" si="22"/>
        <v>0.848</v>
      </c>
      <c r="BL17" s="444" t="str">
        <f>IFERROR(
  AVERAGEIFS(
    'NEW Onchocerciasis Efficacy'!$AO:$AO,
    'NEW Onchocerciasis Efficacy'!$C:$C,$A17,
    'NEW Onchocerciasis Efficacy'!$D:$D,"Ivermectin",
    'NEW Onchocerciasis Efficacy'!$AR:$AR,"&lt;2016",
    'NEW Onchocerciasis Efficacy'!$BG:$BG,"")
,"")</f>
        <v/>
      </c>
      <c r="BM17" s="304">
        <f t="shared" si="23"/>
        <v>0.7808368939</v>
      </c>
      <c r="BN17" s="439">
        <v>0.0</v>
      </c>
      <c r="BO17" s="139">
        <v>0.0</v>
      </c>
      <c r="BP17" s="140">
        <v>0.0</v>
      </c>
      <c r="BQ17" s="141">
        <f t="shared" si="24"/>
        <v>0</v>
      </c>
      <c r="BR17" s="104" t="str">
        <f t="shared" si="25"/>
        <v>0000</v>
      </c>
      <c r="BS17" s="104" t="str">
        <f t="shared" si="26"/>
        <v>no action required</v>
      </c>
      <c r="BT17" s="142" t="str">
        <f t="shared" si="27"/>
        <v/>
      </c>
      <c r="BU17" s="104" t="str">
        <f t="shared" si="28"/>
        <v/>
      </c>
      <c r="BV17" s="104" t="str">
        <f t="shared" si="29"/>
        <v>none</v>
      </c>
      <c r="BW17" s="150" t="str">
        <f t="shared" si="30"/>
        <v/>
      </c>
      <c r="BX17" s="150" t="str">
        <f t="shared" si="31"/>
        <v/>
      </c>
      <c r="BY17" s="151" t="str">
        <f t="shared" si="32"/>
        <v/>
      </c>
      <c r="BZ17" s="152" t="str">
        <f t="shared" si="33"/>
        <v/>
      </c>
      <c r="CA17" s="152" t="str">
        <f t="shared" si="34"/>
        <v/>
      </c>
      <c r="CB17" s="152" t="str">
        <f t="shared" si="35"/>
        <v/>
      </c>
      <c r="CC17" s="153" t="str">
        <f t="shared" si="36"/>
        <v/>
      </c>
      <c r="CD17" s="153" t="str">
        <f t="shared" si="37"/>
        <v/>
      </c>
      <c r="CE17" s="154" t="str">
        <f t="shared" si="38"/>
        <v/>
      </c>
      <c r="CF17" s="154" t="str">
        <f t="shared" si="39"/>
        <v/>
      </c>
      <c r="CG17" s="154" t="str">
        <f t="shared" si="40"/>
        <v/>
      </c>
      <c r="CH17" s="308" t="str">
        <f t="shared" si="41"/>
        <v/>
      </c>
    </row>
    <row r="18">
      <c r="A18" s="103" t="s">
        <v>106</v>
      </c>
      <c r="B18" s="104" t="s">
        <v>98</v>
      </c>
      <c r="C18" s="428">
        <v>386838.0</v>
      </c>
      <c r="D18" s="161">
        <v>0.0</v>
      </c>
      <c r="E18" s="294">
        <v>0.0</v>
      </c>
      <c r="F18" s="307">
        <v>0.0</v>
      </c>
      <c r="G18" s="309">
        <v>0.0</v>
      </c>
      <c r="H18" s="108">
        <v>0.0</v>
      </c>
      <c r="I18" s="109">
        <v>0.0</v>
      </c>
      <c r="J18" s="109">
        <v>0.0</v>
      </c>
      <c r="K18" s="109">
        <v>0.003579381</v>
      </c>
      <c r="L18" s="112">
        <v>0.11044558</v>
      </c>
      <c r="M18" s="112">
        <v>0.028702736</v>
      </c>
      <c r="N18" s="112">
        <v>0.139148316</v>
      </c>
      <c r="O18" s="298">
        <v>0.0</v>
      </c>
      <c r="P18" s="114"/>
      <c r="Q18" s="114"/>
      <c r="R18" s="121" t="str">
        <f t="shared" si="4"/>
        <v/>
      </c>
      <c r="S18" s="116">
        <f t="shared" si="5"/>
        <v>0.3565746084</v>
      </c>
      <c r="T18" s="117"/>
      <c r="U18" s="118">
        <f t="shared" si="6"/>
        <v>0.4791888889</v>
      </c>
      <c r="V18" s="148"/>
      <c r="W18" s="120">
        <f t="shared" si="7"/>
        <v>0.685</v>
      </c>
      <c r="X18" s="148"/>
      <c r="Y18" s="120">
        <f t="shared" si="8"/>
        <v>0.7550545455</v>
      </c>
      <c r="Z18" s="299"/>
      <c r="AA18" s="441"/>
      <c r="AB18" s="300" t="str">
        <f t="shared" si="9"/>
        <v/>
      </c>
      <c r="AC18" s="300">
        <f t="shared" si="10"/>
        <v>0.7101368438</v>
      </c>
      <c r="AD18" s="314">
        <v>0.0</v>
      </c>
      <c r="AE18" s="123">
        <v>0.0</v>
      </c>
      <c r="AF18" s="430">
        <v>0.0</v>
      </c>
      <c r="AG18" s="316">
        <v>0.0</v>
      </c>
      <c r="AH18" s="316">
        <v>1.1371E-5</v>
      </c>
      <c r="AI18" s="317">
        <v>0.0</v>
      </c>
      <c r="AJ18" s="317">
        <v>1.12078E-5</v>
      </c>
      <c r="AK18" s="319">
        <v>0.0</v>
      </c>
      <c r="AL18" s="319">
        <v>1.14119E-5</v>
      </c>
      <c r="AM18" s="302">
        <v>0.0</v>
      </c>
      <c r="AN18" s="149" t="str">
        <f>IFERROR(
  AVERAGEIFS(
    'New LF Efficacy'!$J:$J,
    'New LF Efficacy'!$D:$D, $A18,
    'New LF Efficacy'!$F:$F,"DEC", 
    'New LF Efficacy'!$W:$W,"&lt;2016",
    'New LF Efficacy'!$AA:$AA,""),
  ""
)</f>
        <v/>
      </c>
      <c r="AO18" s="115">
        <f t="shared" si="11"/>
        <v>0.2589833333</v>
      </c>
      <c r="AP18" s="149" t="str">
        <f>IFERROR(
AVERAGEIFS(
'New LF Efficacy'!$J:$J,
'New LF Efficacy'!$D:$D,$A18,
'New LF Efficacy'!$F:$F,"Albendazole &amp; DEC",
'New LF Efficacy'!$W:$W,"&lt;2016",
'New LF Efficacy'!$AA:$AA,""),
"")
</f>
        <v/>
      </c>
      <c r="AQ18" s="115">
        <f t="shared" si="12"/>
        <v>0.3465</v>
      </c>
      <c r="AR18" s="149" t="str">
        <f>IFERROR(
AVERAGEIFS(
'New LF Efficacy'!$J:$J,
'New LF Efficacy'!$D:$D,$A18,
'New LF Efficacy'!$F:$F,"Albendazole &amp; Ivermectin", 
'New LF Efficacy'!$W:$W,"&lt;2016",
'New LF Efficacy'!$AA:$AA,""),"")</f>
        <v/>
      </c>
      <c r="AS18" s="115">
        <f t="shared" si="13"/>
        <v>0.7575</v>
      </c>
      <c r="AT18" s="442" t="str">
        <f>IFERROR(AVERAGEIFS(
'Schist Efficacy'!$O:$O, 
'Schist Efficacy'!$C:$C,$A18, 
'Schist Efficacy'!$D:$D, "Praziquantel",
'Schist Efficacy'!$J:$J,"&lt;2016",
'Schist Efficacy'!$U:$U,""),
"")</f>
        <v/>
      </c>
      <c r="AU18" s="118">
        <f t="shared" si="14"/>
        <v>0.7914761905</v>
      </c>
      <c r="AV18" s="131" t="str">
        <f>IFERROR(AVERAGEIFS(
'STH Efficacy'!$AX:$AX, 
'STH Efficacy'!$AL:$AL, $A18, 
'STH Efficacy'!$AM:$AM, "Albendazole",
'STH Efficacy'!$AS:$AS,"&lt;2016",
'STH Efficacy'!$BP:$BP,""),
"")</f>
        <v/>
      </c>
      <c r="AW18" s="132">
        <f t="shared" si="15"/>
        <v>0.3945</v>
      </c>
      <c r="AX18" s="131" t="str">
        <f>IFERROR(AVERAGEIFS(
'STH Efficacy'!$AX:$AX, 
'STH Efficacy'!$AL:$AL, $A18, 
'STH Efficacy'!$AM:$AM, "Mebendazole",
'STH Efficacy'!$AS:$AS,"&lt;2016",
'STH Efficacy'!$BP:$BP,""),
"")</f>
        <v/>
      </c>
      <c r="AY18" s="132">
        <f t="shared" si="16"/>
        <v>0.6</v>
      </c>
      <c r="AZ18" s="131" t="str">
        <f>IFERROR(AVERAGEIFS(
'STH Efficacy'!$AX:$AX, 
'STH Efficacy'!$AL:$AL, $A18, 
'STH Efficacy'!$AM:$AM, "Albendazole &amp; Ivermectin",
'STH Efficacy'!$AS:$AS,"&lt;2016",
'STH Efficacy'!$BP:$BP,""),
"")</f>
        <v/>
      </c>
      <c r="BA18" s="133">
        <f t="shared" si="17"/>
        <v>0.796</v>
      </c>
      <c r="BB18" s="443" t="str">
        <f>IFERROR(AVERAGEIFS(
'STH Efficacy'!$N:$N, 
'STH Efficacy'!$B:$B, $A18, 
'STH Efficacy'!$C:$C, "Albendazole",
'STH Efficacy'!$I:$I,"&lt;2016",
'STH Efficacy'!$AH:$AH,""),
"")</f>
        <v/>
      </c>
      <c r="BC18" s="135">
        <f t="shared" si="18"/>
        <v>0.869</v>
      </c>
      <c r="BD18" s="443" t="str">
        <f>IFERROR(AVERAGEIFS(
'STH Efficacy'!$N:$N, 
'STH Efficacy'!$B:$B, $A18, 
'STH Efficacy'!$C:$C, "Mebendazole",
'STH Efficacy'!$I:$I,"&lt;2016",
'STH Efficacy'!$AH:$AH,""),
"")</f>
        <v/>
      </c>
      <c r="BE18" s="135">
        <f t="shared" si="19"/>
        <v>0.172</v>
      </c>
      <c r="BF18" s="436" t="str">
        <f>IFERROR(AVERAGEIFS(
'STH Efficacy'!$CD:$CD, 
'STH Efficacy'!$BS:$BS, $A18, 
'STH Efficacy'!$BT:$BT, "Albendazole",
'STH Efficacy'!$BZ:$BZ,"&lt;2016",
'STH Efficacy'!$CU:$CU,""),
"")</f>
        <v/>
      </c>
      <c r="BG18" s="136">
        <f t="shared" si="20"/>
        <v>0.9862</v>
      </c>
      <c r="BH18" s="436" t="str">
        <f>IFERROR(AVERAGEIFS(
'STH Efficacy'!$CD:$CD, 
'STH Efficacy'!$BS:$BS, $A18, 
'STH Efficacy'!$BT:$BT, "Mebendazole",
'STH Efficacy'!$BZ:$BZ,"&lt;2016",
'STH Efficacy'!$CU:$CU,""),
"")</f>
        <v/>
      </c>
      <c r="BI18" s="136">
        <f t="shared" si="21"/>
        <v>0.769</v>
      </c>
      <c r="BJ18" s="436" t="str">
        <f>IFERROR(AVERAGEIFS(
'STH Efficacy'!$CD:$CD, 
'STH Efficacy'!$BS:$BS, $A18, 
'STH Efficacy'!$BT:$BT, "Albendazole &amp; Ivermectin",
'STH Efficacy'!$BZ:$BZ,"&lt;2016",
'STH Efficacy'!$CU:$CU,""),
"")</f>
        <v/>
      </c>
      <c r="BK18" s="136">
        <f t="shared" si="22"/>
        <v>1</v>
      </c>
      <c r="BL18" s="444" t="str">
        <f>IFERROR(
  AVERAGEIFS(
    'NEW Onchocerciasis Efficacy'!$AO:$AO,
    'NEW Onchocerciasis Efficacy'!$C:$C,$A18,
    'NEW Onchocerciasis Efficacy'!$D:$D,"Ivermectin",
    'NEW Onchocerciasis Efficacy'!$AR:$AR,"&lt;2016",
    'NEW Onchocerciasis Efficacy'!$BG:$BG,"")
,"")</f>
        <v/>
      </c>
      <c r="BM18" s="304">
        <f t="shared" si="23"/>
        <v>0.3734</v>
      </c>
      <c r="BN18" s="439">
        <v>0.0</v>
      </c>
      <c r="BO18" s="139">
        <v>0.0</v>
      </c>
      <c r="BP18" s="140">
        <v>0.0</v>
      </c>
      <c r="BQ18" s="141">
        <f t="shared" si="24"/>
        <v>0</v>
      </c>
      <c r="BR18" s="104" t="str">
        <f t="shared" si="25"/>
        <v>0000</v>
      </c>
      <c r="BS18" s="104" t="str">
        <f t="shared" si="26"/>
        <v>no action required</v>
      </c>
      <c r="BT18" s="142" t="str">
        <f t="shared" si="27"/>
        <v/>
      </c>
      <c r="BU18" s="104" t="str">
        <f t="shared" si="28"/>
        <v/>
      </c>
      <c r="BV18" s="104" t="str">
        <f t="shared" si="29"/>
        <v>none</v>
      </c>
      <c r="BW18" s="150" t="str">
        <f t="shared" si="30"/>
        <v/>
      </c>
      <c r="BX18" s="150" t="str">
        <f t="shared" si="31"/>
        <v/>
      </c>
      <c r="BY18" s="151" t="str">
        <f t="shared" si="32"/>
        <v/>
      </c>
      <c r="BZ18" s="152" t="str">
        <f t="shared" si="33"/>
        <v/>
      </c>
      <c r="CA18" s="152" t="str">
        <f t="shared" si="34"/>
        <v/>
      </c>
      <c r="CB18" s="152" t="str">
        <f t="shared" si="35"/>
        <v/>
      </c>
      <c r="CC18" s="153" t="str">
        <f t="shared" si="36"/>
        <v/>
      </c>
      <c r="CD18" s="153" t="str">
        <f t="shared" si="37"/>
        <v/>
      </c>
      <c r="CE18" s="154" t="str">
        <f t="shared" si="38"/>
        <v/>
      </c>
      <c r="CF18" s="154" t="str">
        <f t="shared" si="39"/>
        <v/>
      </c>
      <c r="CG18" s="154" t="str">
        <f t="shared" si="40"/>
        <v/>
      </c>
      <c r="CH18" s="308" t="str">
        <f t="shared" si="41"/>
        <v/>
      </c>
    </row>
    <row r="19">
      <c r="A19" s="103" t="s">
        <v>107</v>
      </c>
      <c r="B19" s="104" t="s">
        <v>88</v>
      </c>
      <c r="C19" s="428">
        <v>1371855.0</v>
      </c>
      <c r="D19" s="161">
        <v>0.0</v>
      </c>
      <c r="E19" s="294">
        <v>0.0</v>
      </c>
      <c r="F19" s="307">
        <v>0.0</v>
      </c>
      <c r="G19" s="309">
        <v>0.0</v>
      </c>
      <c r="H19" s="108">
        <v>0.0</v>
      </c>
      <c r="I19" s="109">
        <v>0.00469741</v>
      </c>
      <c r="J19" s="109">
        <v>0.00520632</v>
      </c>
      <c r="K19" s="109">
        <v>0.009903729</v>
      </c>
      <c r="L19" s="112">
        <v>0.0</v>
      </c>
      <c r="M19" s="112">
        <v>0.0</v>
      </c>
      <c r="N19" s="112">
        <v>0.0</v>
      </c>
      <c r="O19" s="298">
        <v>0.0</v>
      </c>
      <c r="P19" s="114"/>
      <c r="Q19" s="114"/>
      <c r="R19" s="121" t="str">
        <f t="shared" si="4"/>
        <v/>
      </c>
      <c r="S19" s="116">
        <f t="shared" si="5"/>
        <v>0.5709301448</v>
      </c>
      <c r="T19" s="117"/>
      <c r="U19" s="118">
        <f t="shared" si="6"/>
        <v>0.739</v>
      </c>
      <c r="V19" s="148"/>
      <c r="W19" s="120">
        <f t="shared" si="7"/>
        <v>0.9933333333</v>
      </c>
      <c r="X19" s="148"/>
      <c r="Y19" s="120">
        <f t="shared" si="8"/>
        <v>0.5301</v>
      </c>
      <c r="Z19" s="299"/>
      <c r="AA19" s="441"/>
      <c r="AB19" s="300" t="str">
        <f t="shared" si="9"/>
        <v/>
      </c>
      <c r="AC19" s="300">
        <f t="shared" si="10"/>
        <v>0.4014082288</v>
      </c>
      <c r="AD19" s="122">
        <v>0.0</v>
      </c>
      <c r="AE19" s="123">
        <v>0.0</v>
      </c>
      <c r="AF19" s="430">
        <v>0.0</v>
      </c>
      <c r="AG19" s="124">
        <v>0.0</v>
      </c>
      <c r="AH19" s="124">
        <v>1.10471E-5</v>
      </c>
      <c r="AI19" s="125">
        <v>0.0</v>
      </c>
      <c r="AJ19" s="125">
        <v>1.08132E-5</v>
      </c>
      <c r="AK19" s="127">
        <v>0.0</v>
      </c>
      <c r="AL19" s="127">
        <v>1.10012E-5</v>
      </c>
      <c r="AM19" s="302">
        <v>0.0</v>
      </c>
      <c r="AN19" s="149" t="str">
        <f>IFERROR(
  AVERAGEIFS(
    'New LF Efficacy'!$J:$J,
    'New LF Efficacy'!$D:$D, $A19,
    'New LF Efficacy'!$F:$F,"DEC", 
    'New LF Efficacy'!$W:$W,"&lt;2016",
    'New LF Efficacy'!$AA:$AA,""),
  ""
)</f>
        <v/>
      </c>
      <c r="AO19" s="115">
        <f t="shared" si="11"/>
        <v>0.3573520833</v>
      </c>
      <c r="AP19" s="149" t="str">
        <f>IFERROR(
AVERAGEIFS(
'New LF Efficacy'!$J:$J,
'New LF Efficacy'!$D:$D,$A19,
'New LF Efficacy'!$F:$F,"Albendazole &amp; DEC",
'New LF Efficacy'!$W:$W,"&lt;2016",
'New LF Efficacy'!$AA:$AA,""),
"")
</f>
        <v/>
      </c>
      <c r="AQ19" s="115">
        <f t="shared" si="12"/>
        <v>0.7935</v>
      </c>
      <c r="AR19" s="149" t="str">
        <f>IFERROR(
AVERAGEIFS(
'New LF Efficacy'!$J:$J,
'New LF Efficacy'!$D:$D,$A19,
'New LF Efficacy'!$F:$F,"Albendazole &amp; Ivermectin", 
'New LF Efficacy'!$W:$W,"&lt;2016",
'New LF Efficacy'!$AA:$AA,""),"")</f>
        <v/>
      </c>
      <c r="AS19" s="115">
        <f t="shared" si="13"/>
        <v>0.37153125</v>
      </c>
      <c r="AT19" s="442" t="str">
        <f>IFERROR(AVERAGEIFS(
'Schist Efficacy'!$O:$O, 
'Schist Efficacy'!$C:$C,$A19, 
'Schist Efficacy'!$D:$D, "Praziquantel",
'Schist Efficacy'!$J:$J,"&lt;2016",
'Schist Efficacy'!$U:$U,""),
"")</f>
        <v/>
      </c>
      <c r="AU19" s="118">
        <f t="shared" si="14"/>
        <v>0.7763141026</v>
      </c>
      <c r="AV19" s="131" t="str">
        <f>IFERROR(AVERAGEIFS(
'STH Efficacy'!$AX:$AX, 
'STH Efficacy'!$AL:$AL, $A19, 
'STH Efficacy'!$AM:$AM, "Albendazole",
'STH Efficacy'!$AS:$AS,"&lt;2016",
'STH Efficacy'!$BP:$BP,""),
"")</f>
        <v/>
      </c>
      <c r="AW19" s="132">
        <f t="shared" si="15"/>
        <v>0.4143846154</v>
      </c>
      <c r="AX19" s="131" t="str">
        <f>IFERROR(AVERAGEIFS(
'STH Efficacy'!$AX:$AX, 
'STH Efficacy'!$AL:$AL, $A19, 
'STH Efficacy'!$AM:$AM, "Mebendazole",
'STH Efficacy'!$AS:$AS,"&lt;2016",
'STH Efficacy'!$BP:$BP,""),
"")</f>
        <v/>
      </c>
      <c r="AY19" s="132">
        <f t="shared" si="16"/>
        <v>0.4691770833</v>
      </c>
      <c r="AZ19" s="131" t="str">
        <f>IFERROR(AVERAGEIFS(
'STH Efficacy'!$AX:$AX, 
'STH Efficacy'!$AL:$AL, $A19, 
'STH Efficacy'!$AM:$AM, "Albendazole &amp; Ivermectin",
'STH Efficacy'!$AS:$AS,"&lt;2016",
'STH Efficacy'!$BP:$BP,""),
"")</f>
        <v/>
      </c>
      <c r="BA19" s="133">
        <f t="shared" si="17"/>
        <v>0.597625</v>
      </c>
      <c r="BB19" s="443" t="str">
        <f>IFERROR(AVERAGEIFS(
'STH Efficacy'!$N:$N, 
'STH Efficacy'!$B:$B, $A19, 
'STH Efficacy'!$C:$C, "Albendazole",
'STH Efficacy'!$I:$I,"&lt;2016",
'STH Efficacy'!$AH:$AH,""),
"")</f>
        <v/>
      </c>
      <c r="BC19" s="135">
        <f t="shared" si="18"/>
        <v>0.7613712121</v>
      </c>
      <c r="BD19" s="443" t="str">
        <f>IFERROR(AVERAGEIFS(
'STH Efficacy'!$N:$N, 
'STH Efficacy'!$B:$B, $A19, 
'STH Efficacy'!$C:$C, "Mebendazole",
'STH Efficacy'!$I:$I,"&lt;2016",
'STH Efficacy'!$AH:$AH,""),
"")</f>
        <v/>
      </c>
      <c r="BE19" s="135">
        <f t="shared" si="19"/>
        <v>0.4362466667</v>
      </c>
      <c r="BF19" s="436" t="str">
        <f>IFERROR(AVERAGEIFS(
'STH Efficacy'!$CD:$CD, 
'STH Efficacy'!$BS:$BS, $A19, 
'STH Efficacy'!$BT:$BT, "Albendazole",
'STH Efficacy'!$BZ:$BZ,"&lt;2016",
'STH Efficacy'!$CU:$CU,""),
"")</f>
        <v/>
      </c>
      <c r="BG19" s="136">
        <f t="shared" si="20"/>
        <v>0.955</v>
      </c>
      <c r="BH19" s="436" t="str">
        <f>IFERROR(AVERAGEIFS(
'STH Efficacy'!$CD:$CD, 
'STH Efficacy'!$BS:$BS, $A19, 
'STH Efficacy'!$BT:$BT, "Mebendazole",
'STH Efficacy'!$BZ:$BZ,"&lt;2016",
'STH Efficacy'!$CU:$CU,""),
"")</f>
        <v/>
      </c>
      <c r="BI19" s="136">
        <f t="shared" si="21"/>
        <v>1</v>
      </c>
      <c r="BJ19" s="436" t="str">
        <f>IFERROR(AVERAGEIFS(
'STH Efficacy'!$CD:$CD, 
'STH Efficacy'!$BS:$BS, $A19, 
'STH Efficacy'!$BT:$BT, "Albendazole &amp; Ivermectin",
'STH Efficacy'!$BZ:$BZ,"&lt;2016",
'STH Efficacy'!$CU:$CU,""),
"")</f>
        <v/>
      </c>
      <c r="BK19" s="136">
        <f t="shared" si="22"/>
        <v>0.848</v>
      </c>
      <c r="BL19" s="444" t="str">
        <f>IFERROR(
  AVERAGEIFS(
    'NEW Onchocerciasis Efficacy'!$AO:$AO,
    'NEW Onchocerciasis Efficacy'!$C:$C,$A19,
    'NEW Onchocerciasis Efficacy'!$D:$D,"Ivermectin",
    'NEW Onchocerciasis Efficacy'!$AR:$AR,"&lt;2016",
    'NEW Onchocerciasis Efficacy'!$BG:$BG,"")
,"")</f>
        <v/>
      </c>
      <c r="BM19" s="304">
        <f t="shared" si="23"/>
        <v>0.7808368939</v>
      </c>
      <c r="BN19" s="439">
        <v>0.0</v>
      </c>
      <c r="BO19" s="139">
        <v>0.0</v>
      </c>
      <c r="BP19" s="140">
        <v>0.0</v>
      </c>
      <c r="BQ19" s="141">
        <f t="shared" si="24"/>
        <v>0</v>
      </c>
      <c r="BR19" s="104" t="str">
        <f t="shared" si="25"/>
        <v>0000</v>
      </c>
      <c r="BS19" s="104" t="str">
        <f t="shared" si="26"/>
        <v>no action required</v>
      </c>
      <c r="BT19" s="142" t="str">
        <f t="shared" si="27"/>
        <v/>
      </c>
      <c r="BU19" s="104" t="str">
        <f t="shared" si="28"/>
        <v/>
      </c>
      <c r="BV19" s="104" t="str">
        <f t="shared" si="29"/>
        <v>none</v>
      </c>
      <c r="BW19" s="150" t="str">
        <f t="shared" si="30"/>
        <v/>
      </c>
      <c r="BX19" s="150" t="str">
        <f t="shared" si="31"/>
        <v/>
      </c>
      <c r="BY19" s="151" t="str">
        <f t="shared" si="32"/>
        <v/>
      </c>
      <c r="BZ19" s="152" t="str">
        <f t="shared" si="33"/>
        <v/>
      </c>
      <c r="CA19" s="152" t="str">
        <f t="shared" si="34"/>
        <v/>
      </c>
      <c r="CB19" s="152" t="str">
        <f t="shared" si="35"/>
        <v/>
      </c>
      <c r="CC19" s="153" t="str">
        <f t="shared" si="36"/>
        <v/>
      </c>
      <c r="CD19" s="153" t="str">
        <f t="shared" si="37"/>
        <v/>
      </c>
      <c r="CE19" s="154" t="str">
        <f t="shared" si="38"/>
        <v/>
      </c>
      <c r="CF19" s="154" t="str">
        <f t="shared" si="39"/>
        <v/>
      </c>
      <c r="CG19" s="154" t="str">
        <f t="shared" si="40"/>
        <v/>
      </c>
      <c r="CH19" s="308" t="str">
        <f t="shared" si="41"/>
        <v/>
      </c>
    </row>
    <row r="20">
      <c r="A20" s="103" t="s">
        <v>108</v>
      </c>
      <c r="B20" s="104" t="s">
        <v>109</v>
      </c>
      <c r="C20" s="428">
        <v>1.61200886E8</v>
      </c>
      <c r="D20" s="161">
        <v>7650.3</v>
      </c>
      <c r="E20" s="294">
        <v>0.0</v>
      </c>
      <c r="F20" s="322">
        <v>1521.846657</v>
      </c>
      <c r="G20" s="322">
        <v>8133.122519</v>
      </c>
      <c r="H20" s="157">
        <v>9654.969177</v>
      </c>
      <c r="I20" s="110">
        <v>6846.99649</v>
      </c>
      <c r="J20" s="110">
        <v>24846.0297</v>
      </c>
      <c r="K20" s="110">
        <v>31693.02616</v>
      </c>
      <c r="L20" s="111">
        <v>12917.39322</v>
      </c>
      <c r="M20" s="111">
        <v>31690.43784</v>
      </c>
      <c r="N20" s="112">
        <v>44607.83106</v>
      </c>
      <c r="O20" s="298">
        <v>0.0</v>
      </c>
      <c r="P20" s="160">
        <v>3211000.0</v>
      </c>
      <c r="Q20" s="160">
        <v>2445218.0</v>
      </c>
      <c r="R20" s="121">
        <f t="shared" si="4"/>
        <v>0.7615129243</v>
      </c>
      <c r="S20" s="116">
        <f t="shared" si="5"/>
        <v>0.7615129243</v>
      </c>
      <c r="T20" s="117"/>
      <c r="U20" s="118">
        <f t="shared" si="6"/>
        <v>0.2582</v>
      </c>
      <c r="V20" s="119">
        <v>0.0152</v>
      </c>
      <c r="W20" s="120">
        <f t="shared" si="7"/>
        <v>0.0152</v>
      </c>
      <c r="X20" s="119">
        <v>0.864</v>
      </c>
      <c r="Y20" s="120">
        <f t="shared" si="8"/>
        <v>0.864</v>
      </c>
      <c r="Z20" s="299"/>
      <c r="AA20" s="441"/>
      <c r="AB20" s="300" t="str">
        <f t="shared" si="9"/>
        <v/>
      </c>
      <c r="AC20" s="300">
        <f t="shared" si="10"/>
        <v>0.6890056172</v>
      </c>
      <c r="AD20" s="122">
        <v>7.0E-4</v>
      </c>
      <c r="AE20" s="123">
        <v>0.0</v>
      </c>
      <c r="AF20" s="430">
        <v>0.0</v>
      </c>
      <c r="AG20" s="124">
        <v>0.1381</v>
      </c>
      <c r="AH20" s="124">
        <v>0.212306846</v>
      </c>
      <c r="AI20" s="125">
        <v>0.1193</v>
      </c>
      <c r="AJ20" s="125">
        <v>0.189791568</v>
      </c>
      <c r="AK20" s="127">
        <v>0.2522</v>
      </c>
      <c r="AL20" s="127">
        <v>0.385366992</v>
      </c>
      <c r="AM20" s="302">
        <v>0.0</v>
      </c>
      <c r="AN20" s="149" t="str">
        <f>IFERROR(
  AVERAGEIFS(
    'New LF Efficacy'!$J:$J,
    'New LF Efficacy'!$D:$D, $A20,
    'New LF Efficacy'!$F:$F,"DEC", 
    'New LF Efficacy'!$W:$W,"&lt;2016",
    'New LF Efficacy'!$AA:$AA,""),
  ""
)</f>
        <v/>
      </c>
      <c r="AO20" s="115">
        <f t="shared" si="11"/>
        <v>0.478175</v>
      </c>
      <c r="AP20" s="149" t="str">
        <f>IFERROR(
AVERAGEIFS(
'New LF Efficacy'!$J:$J,
'New LF Efficacy'!$D:$D,$A20,
'New LF Efficacy'!$F:$F,"Albendazole &amp; DEC",
'New LF Efficacy'!$W:$W,"&lt;2016",
'New LF Efficacy'!$AA:$AA,""),
"")
</f>
        <v/>
      </c>
      <c r="AQ20" s="115">
        <f t="shared" si="12"/>
        <v>0.5831666667</v>
      </c>
      <c r="AR20" s="149" t="str">
        <f>IFERROR(
AVERAGEIFS(
'New LF Efficacy'!$J:$J,
'New LF Efficacy'!$D:$D,$A20,
'New LF Efficacy'!$F:$F,"Albendazole &amp; Ivermectin", 
'New LF Efficacy'!$W:$W,"&lt;2016",
'New LF Efficacy'!$AA:$AA,""),"")</f>
        <v/>
      </c>
      <c r="AS20" s="115">
        <f t="shared" si="13"/>
        <v>0.14</v>
      </c>
      <c r="AT20" s="442" t="str">
        <f>IFERROR(AVERAGEIFS(
'Schist Efficacy'!$O:$O, 
'Schist Efficacy'!$C:$C,$A20, 
'Schist Efficacy'!$D:$D, "Praziquantel",
'Schist Efficacy'!$J:$J,"&lt;2016",
'Schist Efficacy'!$U:$U,""),
"")</f>
        <v/>
      </c>
      <c r="AU20" s="118">
        <f t="shared" si="14"/>
        <v>0.743990088</v>
      </c>
      <c r="AV20" s="131" t="str">
        <f>IFERROR(AVERAGEIFS(
'STH Efficacy'!$AX:$AX, 
'STH Efficacy'!$AL:$AL, $A20, 
'STH Efficacy'!$AM:$AM, "Albendazole",
'STH Efficacy'!$AS:$AS,"&lt;2016",
'STH Efficacy'!$BP:$BP,""),
"")</f>
        <v/>
      </c>
      <c r="AW20" s="132">
        <f t="shared" si="15"/>
        <v>0.5394444444</v>
      </c>
      <c r="AX20" s="131" t="str">
        <f>IFERROR(AVERAGEIFS(
'STH Efficacy'!$AX:$AX, 
'STH Efficacy'!$AL:$AL, $A20, 
'STH Efficacy'!$AM:$AM, "Mebendazole",
'STH Efficacy'!$AS:$AS,"&lt;2016",
'STH Efficacy'!$BP:$BP,""),
"")</f>
        <v/>
      </c>
      <c r="AY20" s="132">
        <f t="shared" si="16"/>
        <v>0.3786666667</v>
      </c>
      <c r="AZ20" s="131" t="str">
        <f>IFERROR(AVERAGEIFS(
'STH Efficacy'!$AX:$AX, 
'STH Efficacy'!$AL:$AL, $A20, 
'STH Efficacy'!$AM:$AM, "Albendazole &amp; Ivermectin",
'STH Efficacy'!$AS:$AS,"&lt;2016",
'STH Efficacy'!$BP:$BP,""),
"")</f>
        <v/>
      </c>
      <c r="BA20" s="133">
        <f t="shared" si="17"/>
        <v>0.597625</v>
      </c>
      <c r="BB20" s="443" t="str">
        <f>IFERROR(AVERAGEIFS(
'STH Efficacy'!$N:$N, 
'STH Efficacy'!$B:$B, $A20, 
'STH Efficacy'!$C:$C, "Albendazole",
'STH Efficacy'!$I:$I,"&lt;2016",
'STH Efficacy'!$AH:$AH,""),
"")</f>
        <v/>
      </c>
      <c r="BC20" s="135">
        <f t="shared" si="18"/>
        <v>0.7133333333</v>
      </c>
      <c r="BD20" s="443" t="str">
        <f>IFERROR(AVERAGEIFS(
'STH Efficacy'!$N:$N, 
'STH Efficacy'!$B:$B, $A20, 
'STH Efficacy'!$C:$C, "Mebendazole",
'STH Efficacy'!$I:$I,"&lt;2016",
'STH Efficacy'!$AH:$AH,""),
"")</f>
        <v/>
      </c>
      <c r="BE20" s="135">
        <f t="shared" si="19"/>
        <v>0.205</v>
      </c>
      <c r="BF20" s="436" t="str">
        <f>IFERROR(AVERAGEIFS(
'STH Efficacy'!$CD:$CD, 
'STH Efficacy'!$BS:$BS, $A20, 
'STH Efficacy'!$BT:$BT, "Albendazole",
'STH Efficacy'!$BZ:$BZ,"&lt;2016",
'STH Efficacy'!$CU:$CU,""),
"")</f>
        <v/>
      </c>
      <c r="BG20" s="136">
        <f t="shared" si="20"/>
        <v>0.83</v>
      </c>
      <c r="BH20" s="436" t="str">
        <f>IFERROR(AVERAGEIFS(
'STH Efficacy'!$CD:$CD, 
'STH Efficacy'!$BS:$BS, $A20, 
'STH Efficacy'!$BT:$BT, "Mebendazole",
'STH Efficacy'!$BZ:$BZ,"&lt;2016",
'STH Efficacy'!$CU:$CU,""),
"")</f>
        <v/>
      </c>
      <c r="BI20" s="136">
        <f t="shared" si="21"/>
        <v>1</v>
      </c>
      <c r="BJ20" s="436" t="str">
        <f>IFERROR(AVERAGEIFS(
'STH Efficacy'!$CD:$CD, 
'STH Efficacy'!$BS:$BS, $A20, 
'STH Efficacy'!$BT:$BT, "Albendazole &amp; Ivermectin",
'STH Efficacy'!$BZ:$BZ,"&lt;2016",
'STH Efficacy'!$CU:$CU,""),
"")</f>
        <v/>
      </c>
      <c r="BK20" s="136">
        <f t="shared" si="22"/>
        <v>0.848</v>
      </c>
      <c r="BL20" s="444" t="str">
        <f>IFERROR(
  AVERAGEIFS(
    'NEW Onchocerciasis Efficacy'!$AO:$AO,
    'NEW Onchocerciasis Efficacy'!$C:$C,$A20,
    'NEW Onchocerciasis Efficacy'!$D:$D,"Ivermectin",
    'NEW Onchocerciasis Efficacy'!$AR:$AR,"&lt;2016",
    'NEW Onchocerciasis Efficacy'!$BG:$BG,"")
,"")</f>
        <v/>
      </c>
      <c r="BM20" s="304">
        <f t="shared" si="23"/>
        <v>0.7808368939</v>
      </c>
      <c r="BN20" s="439">
        <v>1.0</v>
      </c>
      <c r="BO20" s="139">
        <v>0.0</v>
      </c>
      <c r="BP20" s="140">
        <v>0.0</v>
      </c>
      <c r="BQ20" s="141">
        <f t="shared" si="24"/>
        <v>1</v>
      </c>
      <c r="BR20" s="104" t="str">
        <f t="shared" si="25"/>
        <v>1001</v>
      </c>
      <c r="BS20" s="104" t="str">
        <f t="shared" si="26"/>
        <v>MDA1/2</v>
      </c>
      <c r="BT20" s="142" t="str">
        <f t="shared" si="27"/>
        <v>IVM+ALB or DEC+ALB</v>
      </c>
      <c r="BU20" s="104" t="str">
        <f t="shared" si="28"/>
        <v/>
      </c>
      <c r="BV20" s="104" t="str">
        <f t="shared" si="29"/>
        <v>lf+sth</v>
      </c>
      <c r="BW20" s="312">
        <f t="shared" si="30"/>
        <v>6111.434096</v>
      </c>
      <c r="BX20" s="312">
        <f t="shared" si="31"/>
        <v>912.9428104</v>
      </c>
      <c r="BY20" s="151" t="str">
        <f t="shared" si="32"/>
        <v/>
      </c>
      <c r="BZ20" s="152">
        <f t="shared" si="33"/>
        <v>7112.307701</v>
      </c>
      <c r="CA20" s="152" t="str">
        <f t="shared" si="34"/>
        <v/>
      </c>
      <c r="CB20" s="152">
        <f t="shared" si="35"/>
        <v>8696.891549</v>
      </c>
      <c r="CC20" s="323">
        <f t="shared" si="36"/>
        <v>39986.19043</v>
      </c>
      <c r="CD20" s="153" t="str">
        <f t="shared" si="37"/>
        <v/>
      </c>
      <c r="CE20" s="154">
        <f t="shared" si="38"/>
        <v>80502.45894</v>
      </c>
      <c r="CF20" s="154" t="str">
        <f t="shared" si="39"/>
        <v/>
      </c>
      <c r="CG20" s="154">
        <f t="shared" si="40"/>
        <v>87023.38626</v>
      </c>
      <c r="CH20" s="308" t="str">
        <f t="shared" si="41"/>
        <v/>
      </c>
    </row>
    <row r="21">
      <c r="A21" s="103" t="s">
        <v>110</v>
      </c>
      <c r="B21" s="104" t="s">
        <v>98</v>
      </c>
      <c r="C21" s="428">
        <v>284217.0</v>
      </c>
      <c r="D21" s="161">
        <v>0.0</v>
      </c>
      <c r="E21" s="294">
        <v>0.0</v>
      </c>
      <c r="F21" s="307">
        <v>0.0</v>
      </c>
      <c r="G21" s="309">
        <v>0.0</v>
      </c>
      <c r="H21" s="108">
        <v>0.0</v>
      </c>
      <c r="I21" s="109">
        <v>9.5115E-4</v>
      </c>
      <c r="J21" s="109">
        <v>0.00126658</v>
      </c>
      <c r="K21" s="109">
        <v>0.002217725</v>
      </c>
      <c r="L21" s="112">
        <v>0.0</v>
      </c>
      <c r="M21" s="112">
        <v>0.0</v>
      </c>
      <c r="N21" s="112">
        <v>0.0</v>
      </c>
      <c r="O21" s="298">
        <v>0.0</v>
      </c>
      <c r="P21" s="114"/>
      <c r="Q21" s="114"/>
      <c r="R21" s="121" t="str">
        <f t="shared" si="4"/>
        <v/>
      </c>
      <c r="S21" s="116">
        <f t="shared" si="5"/>
        <v>0.3565746084</v>
      </c>
      <c r="T21" s="117"/>
      <c r="U21" s="118">
        <f t="shared" si="6"/>
        <v>0.4791888889</v>
      </c>
      <c r="V21" s="148"/>
      <c r="W21" s="120">
        <f t="shared" si="7"/>
        <v>0.685</v>
      </c>
      <c r="X21" s="148"/>
      <c r="Y21" s="120">
        <f t="shared" si="8"/>
        <v>0.7550545455</v>
      </c>
      <c r="Z21" s="299"/>
      <c r="AA21" s="441"/>
      <c r="AB21" s="300" t="str">
        <f t="shared" si="9"/>
        <v/>
      </c>
      <c r="AC21" s="300">
        <f t="shared" si="10"/>
        <v>0.7101368438</v>
      </c>
      <c r="AD21" s="122">
        <v>0.0</v>
      </c>
      <c r="AE21" s="123">
        <v>0.0</v>
      </c>
      <c r="AF21" s="430">
        <v>0.0</v>
      </c>
      <c r="AG21" s="124">
        <v>0.0</v>
      </c>
      <c r="AH21" s="124">
        <v>1.12504E-5</v>
      </c>
      <c r="AI21" s="125">
        <v>0.0</v>
      </c>
      <c r="AJ21" s="125">
        <v>1.12127E-5</v>
      </c>
      <c r="AK21" s="127">
        <v>0.0</v>
      </c>
      <c r="AL21" s="127">
        <v>1.14062E-5</v>
      </c>
      <c r="AM21" s="302">
        <v>0.0</v>
      </c>
      <c r="AN21" s="149" t="str">
        <f>IFERROR(
  AVERAGEIFS(
    'New LF Efficacy'!$J:$J,
    'New LF Efficacy'!$D:$D, $A21,
    'New LF Efficacy'!$F:$F,"DEC", 
    'New LF Efficacy'!$W:$W,"&lt;2016",
    'New LF Efficacy'!$AA:$AA,""),
  ""
)</f>
        <v/>
      </c>
      <c r="AO21" s="115">
        <f t="shared" si="11"/>
        <v>0.2589833333</v>
      </c>
      <c r="AP21" s="149" t="str">
        <f>IFERROR(
AVERAGEIFS(
'New LF Efficacy'!$J:$J,
'New LF Efficacy'!$D:$D,$A21,
'New LF Efficacy'!$F:$F,"Albendazole &amp; DEC",
'New LF Efficacy'!$W:$W,"&lt;2016",
'New LF Efficacy'!$AA:$AA,""),
"")
</f>
        <v/>
      </c>
      <c r="AQ21" s="115">
        <f t="shared" si="12"/>
        <v>0.3465</v>
      </c>
      <c r="AR21" s="149" t="str">
        <f>IFERROR(
AVERAGEIFS(
'New LF Efficacy'!$J:$J,
'New LF Efficacy'!$D:$D,$A21,
'New LF Efficacy'!$F:$F,"Albendazole &amp; Ivermectin", 
'New LF Efficacy'!$W:$W,"&lt;2016",
'New LF Efficacy'!$AA:$AA,""),"")</f>
        <v/>
      </c>
      <c r="AS21" s="115">
        <f t="shared" si="13"/>
        <v>0.7575</v>
      </c>
      <c r="AT21" s="442" t="str">
        <f>IFERROR(AVERAGEIFS(
'Schist Efficacy'!$O:$O, 
'Schist Efficacy'!$C:$C,$A21, 
'Schist Efficacy'!$D:$D, "Praziquantel",
'Schist Efficacy'!$J:$J,"&lt;2016",
'Schist Efficacy'!$U:$U,""),
"")</f>
        <v/>
      </c>
      <c r="AU21" s="118">
        <f t="shared" si="14"/>
        <v>0.7914761905</v>
      </c>
      <c r="AV21" s="131" t="str">
        <f>IFERROR(AVERAGEIFS(
'STH Efficacy'!$AX:$AX, 
'STH Efficacy'!$AL:$AL, $A21, 
'STH Efficacy'!$AM:$AM, "Albendazole",
'STH Efficacy'!$AS:$AS,"&lt;2016",
'STH Efficacy'!$BP:$BP,""),
"")</f>
        <v/>
      </c>
      <c r="AW21" s="132">
        <f t="shared" si="15"/>
        <v>0.3945</v>
      </c>
      <c r="AX21" s="131" t="str">
        <f>IFERROR(AVERAGEIFS(
'STH Efficacy'!$AX:$AX, 
'STH Efficacy'!$AL:$AL, $A21, 
'STH Efficacy'!$AM:$AM, "Mebendazole",
'STH Efficacy'!$AS:$AS,"&lt;2016",
'STH Efficacy'!$BP:$BP,""),
"")</f>
        <v/>
      </c>
      <c r="AY21" s="132">
        <f t="shared" si="16"/>
        <v>0.6</v>
      </c>
      <c r="AZ21" s="131" t="str">
        <f>IFERROR(AVERAGEIFS(
'STH Efficacy'!$AX:$AX, 
'STH Efficacy'!$AL:$AL, $A21, 
'STH Efficacy'!$AM:$AM, "Albendazole &amp; Ivermectin",
'STH Efficacy'!$AS:$AS,"&lt;2016",
'STH Efficacy'!$BP:$BP,""),
"")</f>
        <v/>
      </c>
      <c r="BA21" s="133">
        <f t="shared" si="17"/>
        <v>0.796</v>
      </c>
      <c r="BB21" s="443" t="str">
        <f>IFERROR(AVERAGEIFS(
'STH Efficacy'!$N:$N, 
'STH Efficacy'!$B:$B, $A21, 
'STH Efficacy'!$C:$C, "Albendazole",
'STH Efficacy'!$I:$I,"&lt;2016",
'STH Efficacy'!$AH:$AH,""),
"")</f>
        <v/>
      </c>
      <c r="BC21" s="135">
        <f t="shared" si="18"/>
        <v>0.869</v>
      </c>
      <c r="BD21" s="443" t="str">
        <f>IFERROR(AVERAGEIFS(
'STH Efficacy'!$N:$N, 
'STH Efficacy'!$B:$B, $A21, 
'STH Efficacy'!$C:$C, "Mebendazole",
'STH Efficacy'!$I:$I,"&lt;2016",
'STH Efficacy'!$AH:$AH,""),
"")</f>
        <v/>
      </c>
      <c r="BE21" s="135">
        <f t="shared" si="19"/>
        <v>0.172</v>
      </c>
      <c r="BF21" s="436" t="str">
        <f>IFERROR(AVERAGEIFS(
'STH Efficacy'!$CD:$CD, 
'STH Efficacy'!$BS:$BS, $A21, 
'STH Efficacy'!$BT:$BT, "Albendazole",
'STH Efficacy'!$BZ:$BZ,"&lt;2016",
'STH Efficacy'!$CU:$CU,""),
"")</f>
        <v/>
      </c>
      <c r="BG21" s="136">
        <f t="shared" si="20"/>
        <v>0.9862</v>
      </c>
      <c r="BH21" s="436" t="str">
        <f>IFERROR(AVERAGEIFS(
'STH Efficacy'!$CD:$CD, 
'STH Efficacy'!$BS:$BS, $A21, 
'STH Efficacy'!$BT:$BT, "Mebendazole",
'STH Efficacy'!$BZ:$BZ,"&lt;2016",
'STH Efficacy'!$CU:$CU,""),
"")</f>
        <v/>
      </c>
      <c r="BI21" s="136">
        <f t="shared" si="21"/>
        <v>0.769</v>
      </c>
      <c r="BJ21" s="436" t="str">
        <f>IFERROR(AVERAGEIFS(
'STH Efficacy'!$CD:$CD, 
'STH Efficacy'!$BS:$BS, $A21, 
'STH Efficacy'!$BT:$BT, "Albendazole &amp; Ivermectin",
'STH Efficacy'!$BZ:$BZ,"&lt;2016",
'STH Efficacy'!$CU:$CU,""),
"")</f>
        <v/>
      </c>
      <c r="BK21" s="136">
        <f t="shared" si="22"/>
        <v>1</v>
      </c>
      <c r="BL21" s="444" t="str">
        <f>IFERROR(
  AVERAGEIFS(
    'NEW Onchocerciasis Efficacy'!$AO:$AO,
    'NEW Onchocerciasis Efficacy'!$C:$C,$A21,
    'NEW Onchocerciasis Efficacy'!$D:$D,"Ivermectin",
    'NEW Onchocerciasis Efficacy'!$AR:$AR,"&lt;2016",
    'NEW Onchocerciasis Efficacy'!$BG:$BG,"")
,"")</f>
        <v/>
      </c>
      <c r="BM21" s="304">
        <f t="shared" si="23"/>
        <v>0.3734</v>
      </c>
      <c r="BN21" s="439">
        <v>0.0</v>
      </c>
      <c r="BO21" s="139">
        <v>0.0</v>
      </c>
      <c r="BP21" s="140">
        <v>0.0</v>
      </c>
      <c r="BQ21" s="141">
        <f t="shared" si="24"/>
        <v>0</v>
      </c>
      <c r="BR21" s="104" t="str">
        <f t="shared" si="25"/>
        <v>0000</v>
      </c>
      <c r="BS21" s="104" t="str">
        <f t="shared" si="26"/>
        <v>no action required</v>
      </c>
      <c r="BT21" s="142" t="str">
        <f t="shared" si="27"/>
        <v/>
      </c>
      <c r="BU21" s="104" t="str">
        <f t="shared" si="28"/>
        <v/>
      </c>
      <c r="BV21" s="104" t="str">
        <f t="shared" si="29"/>
        <v>none</v>
      </c>
      <c r="BW21" s="150" t="str">
        <f t="shared" si="30"/>
        <v/>
      </c>
      <c r="BX21" s="150" t="str">
        <f t="shared" si="31"/>
        <v/>
      </c>
      <c r="BY21" s="151" t="str">
        <f t="shared" si="32"/>
        <v/>
      </c>
      <c r="BZ21" s="152" t="str">
        <f t="shared" si="33"/>
        <v/>
      </c>
      <c r="CA21" s="152" t="str">
        <f t="shared" si="34"/>
        <v/>
      </c>
      <c r="CB21" s="152" t="str">
        <f t="shared" si="35"/>
        <v/>
      </c>
      <c r="CC21" s="153" t="str">
        <f t="shared" si="36"/>
        <v/>
      </c>
      <c r="CD21" s="153" t="str">
        <f t="shared" si="37"/>
        <v/>
      </c>
      <c r="CE21" s="154" t="str">
        <f t="shared" si="38"/>
        <v/>
      </c>
      <c r="CF21" s="154" t="str">
        <f t="shared" si="39"/>
        <v/>
      </c>
      <c r="CG21" s="154" t="str">
        <f t="shared" si="40"/>
        <v/>
      </c>
      <c r="CH21" s="308" t="str">
        <f t="shared" si="41"/>
        <v/>
      </c>
    </row>
    <row r="22">
      <c r="A22" s="103" t="s">
        <v>111</v>
      </c>
      <c r="B22" s="104" t="s">
        <v>90</v>
      </c>
      <c r="C22" s="428">
        <v>9489616.0</v>
      </c>
      <c r="D22" s="161">
        <v>0.0</v>
      </c>
      <c r="E22" s="294">
        <v>0.0</v>
      </c>
      <c r="F22" s="307">
        <v>0.0</v>
      </c>
      <c r="G22" s="309">
        <v>0.0</v>
      </c>
      <c r="H22" s="108">
        <v>0.0</v>
      </c>
      <c r="I22" s="109">
        <v>0.0</v>
      </c>
      <c r="J22" s="109">
        <v>0.0</v>
      </c>
      <c r="K22" s="109">
        <v>0.0</v>
      </c>
      <c r="L22" s="112">
        <v>0.0</v>
      </c>
      <c r="M22" s="112">
        <v>0.0</v>
      </c>
      <c r="N22" s="112">
        <v>0.0</v>
      </c>
      <c r="O22" s="298">
        <v>0.0</v>
      </c>
      <c r="P22" s="114"/>
      <c r="Q22" s="114"/>
      <c r="R22" s="121" t="str">
        <f t="shared" si="4"/>
        <v/>
      </c>
      <c r="S22" s="116">
        <f t="shared" si="5"/>
        <v>0.5709301448</v>
      </c>
      <c r="T22" s="117"/>
      <c r="U22" s="118">
        <f t="shared" si="6"/>
        <v>0.4791888889</v>
      </c>
      <c r="V22" s="148"/>
      <c r="W22" s="120">
        <f t="shared" si="7"/>
        <v>0.0223</v>
      </c>
      <c r="X22" s="148"/>
      <c r="Y22" s="120">
        <f t="shared" si="8"/>
        <v>0.598275</v>
      </c>
      <c r="Z22" s="299"/>
      <c r="AA22" s="441"/>
      <c r="AB22" s="300" t="str">
        <f t="shared" si="9"/>
        <v/>
      </c>
      <c r="AC22" s="300">
        <f t="shared" si="10"/>
        <v>0.6890056172</v>
      </c>
      <c r="AD22" s="122">
        <v>0.0</v>
      </c>
      <c r="AE22" s="123">
        <v>0.0</v>
      </c>
      <c r="AF22" s="430">
        <v>0.0</v>
      </c>
      <c r="AG22" s="124">
        <v>0.0</v>
      </c>
      <c r="AH22" s="124">
        <v>0.0</v>
      </c>
      <c r="AI22" s="125">
        <v>0.0</v>
      </c>
      <c r="AJ22" s="125">
        <v>0.0</v>
      </c>
      <c r="AK22" s="127">
        <v>0.0</v>
      </c>
      <c r="AL22" s="127">
        <v>0.0</v>
      </c>
      <c r="AM22" s="302">
        <v>0.0</v>
      </c>
      <c r="AN22" s="149" t="str">
        <f>IFERROR(
  AVERAGEIFS(
    'New LF Efficacy'!$J:$J,
    'New LF Efficacy'!$D:$D, $A22,
    'New LF Efficacy'!$F:$F,"DEC", 
    'New LF Efficacy'!$W:$W,"&lt;2016",
    'New LF Efficacy'!$AA:$AA,""),
  ""
)</f>
        <v/>
      </c>
      <c r="AO22" s="115">
        <f t="shared" si="11"/>
        <v>0.3573520833</v>
      </c>
      <c r="AP22" s="149" t="str">
        <f>IFERROR(
AVERAGEIFS(
'New LF Efficacy'!$J:$J,
'New LF Efficacy'!$D:$D,$A22,
'New LF Efficacy'!$F:$F,"Albendazole &amp; DEC",
'New LF Efficacy'!$W:$W,"&lt;2016",
'New LF Efficacy'!$AA:$AA,""),
"")
</f>
        <v/>
      </c>
      <c r="AQ22" s="115">
        <f t="shared" si="12"/>
        <v>0.5143541667</v>
      </c>
      <c r="AR22" s="149" t="str">
        <f>IFERROR(
AVERAGEIFS(
'New LF Efficacy'!$J:$J,
'New LF Efficacy'!$D:$D,$A22,
'New LF Efficacy'!$F:$F,"Albendazole &amp; Ivermectin", 
'New LF Efficacy'!$W:$W,"&lt;2016",
'New LF Efficacy'!$AA:$AA,""),"")</f>
        <v/>
      </c>
      <c r="AS22" s="115">
        <f t="shared" si="13"/>
        <v>0.37153125</v>
      </c>
      <c r="AT22" s="442" t="str">
        <f>IFERROR(AVERAGEIFS(
'Schist Efficacy'!$O:$O, 
'Schist Efficacy'!$C:$C,$A22, 
'Schist Efficacy'!$D:$D, "Praziquantel",
'Schist Efficacy'!$J:$J,"&lt;2016",
'Schist Efficacy'!$U:$U,""),
"")</f>
        <v/>
      </c>
      <c r="AU22" s="118">
        <f t="shared" si="14"/>
        <v>0.655</v>
      </c>
      <c r="AV22" s="131" t="str">
        <f>IFERROR(AVERAGEIFS(
'STH Efficacy'!$AX:$AX, 
'STH Efficacy'!$AL:$AL, $A22, 
'STH Efficacy'!$AM:$AM, "Albendazole",
'STH Efficacy'!$AS:$AS,"&lt;2016",
'STH Efficacy'!$BP:$BP,""),
"")</f>
        <v/>
      </c>
      <c r="AW22" s="132">
        <f t="shared" si="15"/>
        <v>0.4143846154</v>
      </c>
      <c r="AX22" s="131" t="str">
        <f>IFERROR(AVERAGEIFS(
'STH Efficacy'!$AX:$AX, 
'STH Efficacy'!$AL:$AL, $A22, 
'STH Efficacy'!$AM:$AM, "Mebendazole",
'STH Efficacy'!$AS:$AS,"&lt;2016",
'STH Efficacy'!$BP:$BP,""),
"")</f>
        <v/>
      </c>
      <c r="AY22" s="132">
        <f t="shared" si="16"/>
        <v>0.4691770833</v>
      </c>
      <c r="AZ22" s="131" t="str">
        <f>IFERROR(AVERAGEIFS(
'STH Efficacy'!$AX:$AX, 
'STH Efficacy'!$AL:$AL, $A22, 
'STH Efficacy'!$AM:$AM, "Albendazole &amp; Ivermectin",
'STH Efficacy'!$AS:$AS,"&lt;2016",
'STH Efficacy'!$BP:$BP,""),
"")</f>
        <v/>
      </c>
      <c r="BA22" s="133">
        <f t="shared" si="17"/>
        <v>0.597625</v>
      </c>
      <c r="BB22" s="443" t="str">
        <f>IFERROR(AVERAGEIFS(
'STH Efficacy'!$N:$N, 
'STH Efficacy'!$B:$B, $A22, 
'STH Efficacy'!$C:$C, "Albendazole",
'STH Efficacy'!$I:$I,"&lt;2016",
'STH Efficacy'!$AH:$AH,""),
"")</f>
        <v/>
      </c>
      <c r="BC22" s="135">
        <f t="shared" si="18"/>
        <v>0.7613712121</v>
      </c>
      <c r="BD22" s="443" t="str">
        <f>IFERROR(AVERAGEIFS(
'STH Efficacy'!$N:$N, 
'STH Efficacy'!$B:$B, $A22, 
'STH Efficacy'!$C:$C, "Mebendazole",
'STH Efficacy'!$I:$I,"&lt;2016",
'STH Efficacy'!$AH:$AH,""),
"")</f>
        <v/>
      </c>
      <c r="BE22" s="135">
        <f t="shared" si="19"/>
        <v>0.4362466667</v>
      </c>
      <c r="BF22" s="436" t="str">
        <f>IFERROR(AVERAGEIFS(
'STH Efficacy'!$CD:$CD, 
'STH Efficacy'!$BS:$BS, $A22, 
'STH Efficacy'!$BT:$BT, "Albendazole",
'STH Efficacy'!$BZ:$BZ,"&lt;2016",
'STH Efficacy'!$CU:$CU,""),
"")</f>
        <v/>
      </c>
      <c r="BG22" s="136">
        <f t="shared" si="20"/>
        <v>0.9216027778</v>
      </c>
      <c r="BH22" s="436" t="str">
        <f>IFERROR(AVERAGEIFS(
'STH Efficacy'!$CD:$CD, 
'STH Efficacy'!$BS:$BS, $A22, 
'STH Efficacy'!$BT:$BT, "Mebendazole",
'STH Efficacy'!$BZ:$BZ,"&lt;2016",
'STH Efficacy'!$CU:$CU,""),
"")</f>
        <v/>
      </c>
      <c r="BI22" s="136">
        <f t="shared" si="21"/>
        <v>0.8866041667</v>
      </c>
      <c r="BJ22" s="436" t="str">
        <f>IFERROR(AVERAGEIFS(
'STH Efficacy'!$CD:$CD, 
'STH Efficacy'!$BS:$BS, $A22, 
'STH Efficacy'!$BT:$BT, "Albendazole &amp; Ivermectin",
'STH Efficacy'!$BZ:$BZ,"&lt;2016",
'STH Efficacy'!$CU:$CU,""),
"")</f>
        <v/>
      </c>
      <c r="BK22" s="136">
        <f t="shared" si="22"/>
        <v>0.848</v>
      </c>
      <c r="BL22" s="444" t="str">
        <f>IFERROR(
  AVERAGEIFS(
    'NEW Onchocerciasis Efficacy'!$AO:$AO,
    'NEW Onchocerciasis Efficacy'!$C:$C,$A22,
    'NEW Onchocerciasis Efficacy'!$D:$D,"Ivermectin",
    'NEW Onchocerciasis Efficacy'!$AR:$AR,"&lt;2016",
    'NEW Onchocerciasis Efficacy'!$BG:$BG,"")
,"")</f>
        <v/>
      </c>
      <c r="BM22" s="304">
        <f t="shared" si="23"/>
        <v>0.7808368939</v>
      </c>
      <c r="BN22" s="439">
        <v>0.0</v>
      </c>
      <c r="BO22" s="139">
        <v>0.0</v>
      </c>
      <c r="BP22" s="140">
        <v>0.0</v>
      </c>
      <c r="BQ22" s="141">
        <f t="shared" si="24"/>
        <v>0</v>
      </c>
      <c r="BR22" s="104" t="str">
        <f t="shared" si="25"/>
        <v>0000</v>
      </c>
      <c r="BS22" s="104" t="str">
        <f t="shared" si="26"/>
        <v>no action required</v>
      </c>
      <c r="BT22" s="142" t="str">
        <f t="shared" si="27"/>
        <v/>
      </c>
      <c r="BU22" s="104" t="str">
        <f t="shared" si="28"/>
        <v/>
      </c>
      <c r="BV22" s="104" t="str">
        <f t="shared" si="29"/>
        <v>none</v>
      </c>
      <c r="BW22" s="150" t="str">
        <f t="shared" si="30"/>
        <v/>
      </c>
      <c r="BX22" s="150" t="str">
        <f t="shared" si="31"/>
        <v/>
      </c>
      <c r="BY22" s="151" t="str">
        <f t="shared" si="32"/>
        <v/>
      </c>
      <c r="BZ22" s="152" t="str">
        <f t="shared" si="33"/>
        <v/>
      </c>
      <c r="CA22" s="152" t="str">
        <f t="shared" si="34"/>
        <v/>
      </c>
      <c r="CB22" s="152" t="str">
        <f t="shared" si="35"/>
        <v/>
      </c>
      <c r="CC22" s="153" t="str">
        <f t="shared" si="36"/>
        <v/>
      </c>
      <c r="CD22" s="153" t="str">
        <f t="shared" si="37"/>
        <v/>
      </c>
      <c r="CE22" s="154" t="str">
        <f t="shared" si="38"/>
        <v/>
      </c>
      <c r="CF22" s="154" t="str">
        <f t="shared" si="39"/>
        <v/>
      </c>
      <c r="CG22" s="154" t="str">
        <f t="shared" si="40"/>
        <v/>
      </c>
      <c r="CH22" s="308" t="str">
        <f t="shared" si="41"/>
        <v/>
      </c>
    </row>
    <row r="23">
      <c r="A23" s="103" t="s">
        <v>112</v>
      </c>
      <c r="B23" s="104" t="s">
        <v>90</v>
      </c>
      <c r="C23" s="428">
        <v>1.1274196E7</v>
      </c>
      <c r="D23" s="161">
        <v>0.0</v>
      </c>
      <c r="E23" s="294">
        <v>0.0</v>
      </c>
      <c r="F23" s="307">
        <v>0.0</v>
      </c>
      <c r="G23" s="309">
        <v>0.0</v>
      </c>
      <c r="H23" s="108">
        <v>0.0</v>
      </c>
      <c r="I23" s="109">
        <v>0.0</v>
      </c>
      <c r="J23" s="109">
        <v>0.0</v>
      </c>
      <c r="K23" s="109">
        <v>0.0</v>
      </c>
      <c r="L23" s="112">
        <v>0.0</v>
      </c>
      <c r="M23" s="112">
        <v>0.0</v>
      </c>
      <c r="N23" s="112">
        <v>0.0</v>
      </c>
      <c r="O23" s="298">
        <v>0.0</v>
      </c>
      <c r="P23" s="114"/>
      <c r="Q23" s="114"/>
      <c r="R23" s="121" t="str">
        <f t="shared" si="4"/>
        <v/>
      </c>
      <c r="S23" s="116">
        <f t="shared" si="5"/>
        <v>0.5709301448</v>
      </c>
      <c r="T23" s="117"/>
      <c r="U23" s="118">
        <f t="shared" si="6"/>
        <v>0.4791888889</v>
      </c>
      <c r="V23" s="148"/>
      <c r="W23" s="120">
        <f t="shared" si="7"/>
        <v>0.0223</v>
      </c>
      <c r="X23" s="148"/>
      <c r="Y23" s="120">
        <f t="shared" si="8"/>
        <v>0.598275</v>
      </c>
      <c r="Z23" s="299"/>
      <c r="AA23" s="441"/>
      <c r="AB23" s="300" t="str">
        <f t="shared" si="9"/>
        <v/>
      </c>
      <c r="AC23" s="300">
        <f t="shared" si="10"/>
        <v>0.6890056172</v>
      </c>
      <c r="AD23" s="122">
        <v>0.0</v>
      </c>
      <c r="AE23" s="123">
        <v>0.0</v>
      </c>
      <c r="AF23" s="430">
        <v>0.0</v>
      </c>
      <c r="AG23" s="124">
        <v>0.0</v>
      </c>
      <c r="AH23" s="124">
        <v>0.0</v>
      </c>
      <c r="AI23" s="125">
        <v>0.0</v>
      </c>
      <c r="AJ23" s="125">
        <v>0.0</v>
      </c>
      <c r="AK23" s="127">
        <v>0.0</v>
      </c>
      <c r="AL23" s="127">
        <v>0.0</v>
      </c>
      <c r="AM23" s="302">
        <v>0.0</v>
      </c>
      <c r="AN23" s="149" t="str">
        <f>IFERROR(
  AVERAGEIFS(
    'New LF Efficacy'!$J:$J,
    'New LF Efficacy'!$D:$D, $A23,
    'New LF Efficacy'!$F:$F,"DEC", 
    'New LF Efficacy'!$W:$W,"&lt;2016",
    'New LF Efficacy'!$AA:$AA,""),
  ""
)</f>
        <v/>
      </c>
      <c r="AO23" s="115">
        <f t="shared" si="11"/>
        <v>0.3573520833</v>
      </c>
      <c r="AP23" s="149" t="str">
        <f>IFERROR(
AVERAGEIFS(
'New LF Efficacy'!$J:$J,
'New LF Efficacy'!$D:$D,$A23,
'New LF Efficacy'!$F:$F,"Albendazole &amp; DEC",
'New LF Efficacy'!$W:$W,"&lt;2016",
'New LF Efficacy'!$AA:$AA,""),
"")
</f>
        <v/>
      </c>
      <c r="AQ23" s="115">
        <f t="shared" si="12"/>
        <v>0.5143541667</v>
      </c>
      <c r="AR23" s="149" t="str">
        <f>IFERROR(
AVERAGEIFS(
'New LF Efficacy'!$J:$J,
'New LF Efficacy'!$D:$D,$A23,
'New LF Efficacy'!$F:$F,"Albendazole &amp; Ivermectin", 
'New LF Efficacy'!$W:$W,"&lt;2016",
'New LF Efficacy'!$AA:$AA,""),"")</f>
        <v/>
      </c>
      <c r="AS23" s="115">
        <f t="shared" si="13"/>
        <v>0.37153125</v>
      </c>
      <c r="AT23" s="442" t="str">
        <f>IFERROR(AVERAGEIFS(
'Schist Efficacy'!$O:$O, 
'Schist Efficacy'!$C:$C,$A23, 
'Schist Efficacy'!$D:$D, "Praziquantel",
'Schist Efficacy'!$J:$J,"&lt;2016",
'Schist Efficacy'!$U:$U,""),
"")</f>
        <v/>
      </c>
      <c r="AU23" s="118">
        <f t="shared" si="14"/>
        <v>0.655</v>
      </c>
      <c r="AV23" s="131" t="str">
        <f>IFERROR(AVERAGEIFS(
'STH Efficacy'!$AX:$AX, 
'STH Efficacy'!$AL:$AL, $A23, 
'STH Efficacy'!$AM:$AM, "Albendazole",
'STH Efficacy'!$AS:$AS,"&lt;2016",
'STH Efficacy'!$BP:$BP,""),
"")</f>
        <v/>
      </c>
      <c r="AW23" s="132">
        <f t="shared" si="15"/>
        <v>0.4143846154</v>
      </c>
      <c r="AX23" s="131" t="str">
        <f>IFERROR(AVERAGEIFS(
'STH Efficacy'!$AX:$AX, 
'STH Efficacy'!$AL:$AL, $A23, 
'STH Efficacy'!$AM:$AM, "Mebendazole",
'STH Efficacy'!$AS:$AS,"&lt;2016",
'STH Efficacy'!$BP:$BP,""),
"")</f>
        <v/>
      </c>
      <c r="AY23" s="132">
        <f t="shared" si="16"/>
        <v>0.4691770833</v>
      </c>
      <c r="AZ23" s="131" t="str">
        <f>IFERROR(AVERAGEIFS(
'STH Efficacy'!$AX:$AX, 
'STH Efficacy'!$AL:$AL, $A23, 
'STH Efficacy'!$AM:$AM, "Albendazole &amp; Ivermectin",
'STH Efficacy'!$AS:$AS,"&lt;2016",
'STH Efficacy'!$BP:$BP,""),
"")</f>
        <v/>
      </c>
      <c r="BA23" s="133">
        <f t="shared" si="17"/>
        <v>0.597625</v>
      </c>
      <c r="BB23" s="443" t="str">
        <f>IFERROR(AVERAGEIFS(
'STH Efficacy'!$N:$N, 
'STH Efficacy'!$B:$B, $A23, 
'STH Efficacy'!$C:$C, "Albendazole",
'STH Efficacy'!$I:$I,"&lt;2016",
'STH Efficacy'!$AH:$AH,""),
"")</f>
        <v/>
      </c>
      <c r="BC23" s="135">
        <f t="shared" si="18"/>
        <v>0.7613712121</v>
      </c>
      <c r="BD23" s="443" t="str">
        <f>IFERROR(AVERAGEIFS(
'STH Efficacy'!$N:$N, 
'STH Efficacy'!$B:$B, $A23, 
'STH Efficacy'!$C:$C, "Mebendazole",
'STH Efficacy'!$I:$I,"&lt;2016",
'STH Efficacy'!$AH:$AH,""),
"")</f>
        <v/>
      </c>
      <c r="BE23" s="135">
        <f t="shared" si="19"/>
        <v>0.4362466667</v>
      </c>
      <c r="BF23" s="436" t="str">
        <f>IFERROR(AVERAGEIFS(
'STH Efficacy'!$CD:$CD, 
'STH Efficacy'!$BS:$BS, $A23, 
'STH Efficacy'!$BT:$BT, "Albendazole",
'STH Efficacy'!$BZ:$BZ,"&lt;2016",
'STH Efficacy'!$CU:$CU,""),
"")</f>
        <v/>
      </c>
      <c r="BG23" s="136">
        <f t="shared" si="20"/>
        <v>0.9216027778</v>
      </c>
      <c r="BH23" s="436" t="str">
        <f>IFERROR(AVERAGEIFS(
'STH Efficacy'!$CD:$CD, 
'STH Efficacy'!$BS:$BS, $A23, 
'STH Efficacy'!$BT:$BT, "Mebendazole",
'STH Efficacy'!$BZ:$BZ,"&lt;2016",
'STH Efficacy'!$CU:$CU,""),
"")</f>
        <v/>
      </c>
      <c r="BI23" s="136">
        <f t="shared" si="21"/>
        <v>0.8866041667</v>
      </c>
      <c r="BJ23" s="436" t="str">
        <f>IFERROR(AVERAGEIFS(
'STH Efficacy'!$CD:$CD, 
'STH Efficacy'!$BS:$BS, $A23, 
'STH Efficacy'!$BT:$BT, "Albendazole &amp; Ivermectin",
'STH Efficacy'!$BZ:$BZ,"&lt;2016",
'STH Efficacy'!$CU:$CU,""),
"")</f>
        <v/>
      </c>
      <c r="BK23" s="136">
        <f t="shared" si="22"/>
        <v>0.848</v>
      </c>
      <c r="BL23" s="444" t="str">
        <f>IFERROR(
  AVERAGEIFS(
    'NEW Onchocerciasis Efficacy'!$AO:$AO,
    'NEW Onchocerciasis Efficacy'!$C:$C,$A23,
    'NEW Onchocerciasis Efficacy'!$D:$D,"Ivermectin",
    'NEW Onchocerciasis Efficacy'!$AR:$AR,"&lt;2016",
    'NEW Onchocerciasis Efficacy'!$BG:$BG,"")
,"")</f>
        <v/>
      </c>
      <c r="BM23" s="304">
        <f t="shared" si="23"/>
        <v>0.7808368939</v>
      </c>
      <c r="BN23" s="439">
        <v>0.0</v>
      </c>
      <c r="BO23" s="139">
        <v>0.0</v>
      </c>
      <c r="BP23" s="140">
        <v>0.0</v>
      </c>
      <c r="BQ23" s="141">
        <f t="shared" si="24"/>
        <v>0</v>
      </c>
      <c r="BR23" s="104" t="str">
        <f t="shared" si="25"/>
        <v>0000</v>
      </c>
      <c r="BS23" s="104" t="str">
        <f t="shared" si="26"/>
        <v>no action required</v>
      </c>
      <c r="BT23" s="142" t="str">
        <f t="shared" si="27"/>
        <v/>
      </c>
      <c r="BU23" s="104" t="str">
        <f t="shared" si="28"/>
        <v/>
      </c>
      <c r="BV23" s="104" t="str">
        <f t="shared" si="29"/>
        <v>none</v>
      </c>
      <c r="BW23" s="150" t="str">
        <f t="shared" si="30"/>
        <v/>
      </c>
      <c r="BX23" s="150" t="str">
        <f t="shared" si="31"/>
        <v/>
      </c>
      <c r="BY23" s="151" t="str">
        <f t="shared" si="32"/>
        <v/>
      </c>
      <c r="BZ23" s="152" t="str">
        <f t="shared" si="33"/>
        <v/>
      </c>
      <c r="CA23" s="152" t="str">
        <f t="shared" si="34"/>
        <v/>
      </c>
      <c r="CB23" s="152" t="str">
        <f t="shared" si="35"/>
        <v/>
      </c>
      <c r="CC23" s="153" t="str">
        <f t="shared" si="36"/>
        <v/>
      </c>
      <c r="CD23" s="153" t="str">
        <f t="shared" si="37"/>
        <v/>
      </c>
      <c r="CE23" s="154" t="str">
        <f t="shared" si="38"/>
        <v/>
      </c>
      <c r="CF23" s="154" t="str">
        <f t="shared" si="39"/>
        <v/>
      </c>
      <c r="CG23" s="154" t="str">
        <f t="shared" si="40"/>
        <v/>
      </c>
      <c r="CH23" s="308" t="str">
        <f t="shared" si="41"/>
        <v/>
      </c>
    </row>
    <row r="24">
      <c r="A24" s="103" t="s">
        <v>113</v>
      </c>
      <c r="B24" s="104" t="s">
        <v>98</v>
      </c>
      <c r="C24" s="428">
        <v>359288.0</v>
      </c>
      <c r="D24" s="161">
        <v>0.0</v>
      </c>
      <c r="E24" s="294">
        <v>0.0</v>
      </c>
      <c r="F24" s="295">
        <v>0.056660552</v>
      </c>
      <c r="G24" s="295">
        <v>5.08497E-4</v>
      </c>
      <c r="H24" s="108">
        <v>0.057169049</v>
      </c>
      <c r="I24" s="109">
        <v>3.52829133</v>
      </c>
      <c r="J24" s="109">
        <v>0.42602084</v>
      </c>
      <c r="K24" s="109">
        <v>3.954312173</v>
      </c>
      <c r="L24" s="112">
        <v>7.103444786</v>
      </c>
      <c r="M24" s="112">
        <v>2.14488145</v>
      </c>
      <c r="N24" s="112">
        <v>9.248326236</v>
      </c>
      <c r="O24" s="298">
        <v>0.0</v>
      </c>
      <c r="P24" s="114"/>
      <c r="Q24" s="114"/>
      <c r="R24" s="121" t="str">
        <f t="shared" si="4"/>
        <v/>
      </c>
      <c r="S24" s="116">
        <f t="shared" si="5"/>
        <v>0.3565746084</v>
      </c>
      <c r="T24" s="117"/>
      <c r="U24" s="118">
        <f t="shared" si="6"/>
        <v>0.4791888889</v>
      </c>
      <c r="V24" s="148"/>
      <c r="W24" s="120">
        <f t="shared" si="7"/>
        <v>0.685</v>
      </c>
      <c r="X24" s="148"/>
      <c r="Y24" s="120">
        <f t="shared" si="8"/>
        <v>0.7550545455</v>
      </c>
      <c r="Z24" s="299"/>
      <c r="AA24" s="441"/>
      <c r="AB24" s="300" t="str">
        <f t="shared" si="9"/>
        <v/>
      </c>
      <c r="AC24" s="300">
        <f t="shared" si="10"/>
        <v>0.7101368438</v>
      </c>
      <c r="AD24" s="122">
        <v>0.0</v>
      </c>
      <c r="AE24" s="123">
        <v>0.0</v>
      </c>
      <c r="AF24" s="430">
        <v>0.0</v>
      </c>
      <c r="AG24" s="124">
        <v>0.0258</v>
      </c>
      <c r="AH24" s="124">
        <v>0.007018926</v>
      </c>
      <c r="AI24" s="125">
        <v>0.0193</v>
      </c>
      <c r="AJ24" s="125">
        <v>0.002705456</v>
      </c>
      <c r="AK24" s="127">
        <v>0.0284</v>
      </c>
      <c r="AL24" s="127">
        <v>0.007646695</v>
      </c>
      <c r="AM24" s="302">
        <v>0.0</v>
      </c>
      <c r="AN24" s="149" t="str">
        <f>IFERROR(
  AVERAGEIFS(
    'New LF Efficacy'!$J:$J,
    'New LF Efficacy'!$D:$D, $A24,
    'New LF Efficacy'!$F:$F,"DEC", 
    'New LF Efficacy'!$W:$W,"&lt;2016",
    'New LF Efficacy'!$AA:$AA,""),
  ""
)</f>
        <v/>
      </c>
      <c r="AO24" s="115">
        <f t="shared" si="11"/>
        <v>0.2589833333</v>
      </c>
      <c r="AP24" s="149" t="str">
        <f>IFERROR(
AVERAGEIFS(
'New LF Efficacy'!$J:$J,
'New LF Efficacy'!$D:$D,$A24,
'New LF Efficacy'!$F:$F,"Albendazole &amp; DEC",
'New LF Efficacy'!$W:$W,"&lt;2016",
'New LF Efficacy'!$AA:$AA,""),
"")
</f>
        <v/>
      </c>
      <c r="AQ24" s="115">
        <f t="shared" si="12"/>
        <v>0.3465</v>
      </c>
      <c r="AR24" s="149" t="str">
        <f>IFERROR(
AVERAGEIFS(
'New LF Efficacy'!$J:$J,
'New LF Efficacy'!$D:$D,$A24,
'New LF Efficacy'!$F:$F,"Albendazole &amp; Ivermectin", 
'New LF Efficacy'!$W:$W,"&lt;2016",
'New LF Efficacy'!$AA:$AA,""),"")</f>
        <v/>
      </c>
      <c r="AS24" s="115">
        <f t="shared" si="13"/>
        <v>0.7575</v>
      </c>
      <c r="AT24" s="442" t="str">
        <f>IFERROR(AVERAGEIFS(
'Schist Efficacy'!$O:$O, 
'Schist Efficacy'!$C:$C,$A24, 
'Schist Efficacy'!$D:$D, "Praziquantel",
'Schist Efficacy'!$J:$J,"&lt;2016",
'Schist Efficacy'!$U:$U,""),
"")</f>
        <v/>
      </c>
      <c r="AU24" s="118">
        <f t="shared" si="14"/>
        <v>0.7914761905</v>
      </c>
      <c r="AV24" s="131" t="str">
        <f>IFERROR(AVERAGEIFS(
'STH Efficacy'!$AX:$AX, 
'STH Efficacy'!$AL:$AL, $A24, 
'STH Efficacy'!$AM:$AM, "Albendazole",
'STH Efficacy'!$AS:$AS,"&lt;2016",
'STH Efficacy'!$BP:$BP,""),
"")</f>
        <v/>
      </c>
      <c r="AW24" s="132">
        <f t="shared" si="15"/>
        <v>0.3945</v>
      </c>
      <c r="AX24" s="131" t="str">
        <f>IFERROR(AVERAGEIFS(
'STH Efficacy'!$AX:$AX, 
'STH Efficacy'!$AL:$AL, $A24, 
'STH Efficacy'!$AM:$AM, "Mebendazole",
'STH Efficacy'!$AS:$AS,"&lt;2016",
'STH Efficacy'!$BP:$BP,""),
"")</f>
        <v/>
      </c>
      <c r="AY24" s="132">
        <f t="shared" si="16"/>
        <v>0.6</v>
      </c>
      <c r="AZ24" s="131" t="str">
        <f>IFERROR(AVERAGEIFS(
'STH Efficacy'!$AX:$AX, 
'STH Efficacy'!$AL:$AL, $A24, 
'STH Efficacy'!$AM:$AM, "Albendazole &amp; Ivermectin",
'STH Efficacy'!$AS:$AS,"&lt;2016",
'STH Efficacy'!$BP:$BP,""),
"")</f>
        <v/>
      </c>
      <c r="BA24" s="133">
        <f t="shared" si="17"/>
        <v>0.796</v>
      </c>
      <c r="BB24" s="443" t="str">
        <f>IFERROR(AVERAGEIFS(
'STH Efficacy'!$N:$N, 
'STH Efficacy'!$B:$B, $A24, 
'STH Efficacy'!$C:$C, "Albendazole",
'STH Efficacy'!$I:$I,"&lt;2016",
'STH Efficacy'!$AH:$AH,""),
"")</f>
        <v/>
      </c>
      <c r="BC24" s="135">
        <f t="shared" si="18"/>
        <v>0.869</v>
      </c>
      <c r="BD24" s="443" t="str">
        <f>IFERROR(AVERAGEIFS(
'STH Efficacy'!$N:$N, 
'STH Efficacy'!$B:$B, $A24, 
'STH Efficacy'!$C:$C, "Mebendazole",
'STH Efficacy'!$I:$I,"&lt;2016",
'STH Efficacy'!$AH:$AH,""),
"")</f>
        <v/>
      </c>
      <c r="BE24" s="135">
        <f t="shared" si="19"/>
        <v>0.172</v>
      </c>
      <c r="BF24" s="436" t="str">
        <f>IFERROR(AVERAGEIFS(
'STH Efficacy'!$CD:$CD, 
'STH Efficacy'!$BS:$BS, $A24, 
'STH Efficacy'!$BT:$BT, "Albendazole",
'STH Efficacy'!$BZ:$BZ,"&lt;2016",
'STH Efficacy'!$CU:$CU,""),
"")</f>
        <v/>
      </c>
      <c r="BG24" s="136">
        <f t="shared" si="20"/>
        <v>0.9862</v>
      </c>
      <c r="BH24" s="436" t="str">
        <f>IFERROR(AVERAGEIFS(
'STH Efficacy'!$CD:$CD, 
'STH Efficacy'!$BS:$BS, $A24, 
'STH Efficacy'!$BT:$BT, "Mebendazole",
'STH Efficacy'!$BZ:$BZ,"&lt;2016",
'STH Efficacy'!$CU:$CU,""),
"")</f>
        <v/>
      </c>
      <c r="BI24" s="136">
        <f t="shared" si="21"/>
        <v>0.769</v>
      </c>
      <c r="BJ24" s="436" t="str">
        <f>IFERROR(AVERAGEIFS(
'STH Efficacy'!$CD:$CD, 
'STH Efficacy'!$BS:$BS, $A24, 
'STH Efficacy'!$BT:$BT, "Albendazole &amp; Ivermectin",
'STH Efficacy'!$BZ:$BZ,"&lt;2016",
'STH Efficacy'!$CU:$CU,""),
"")</f>
        <v/>
      </c>
      <c r="BK24" s="136">
        <f t="shared" si="22"/>
        <v>1</v>
      </c>
      <c r="BL24" s="444" t="str">
        <f>IFERROR(
  AVERAGEIFS(
    'NEW Onchocerciasis Efficacy'!$AO:$AO,
    'NEW Onchocerciasis Efficacy'!$C:$C,$A24,
    'NEW Onchocerciasis Efficacy'!$D:$D,"Ivermectin",
    'NEW Onchocerciasis Efficacy'!$AR:$AR,"&lt;2016",
    'NEW Onchocerciasis Efficacy'!$BG:$BG,"")
,"")</f>
        <v/>
      </c>
      <c r="BM24" s="304">
        <f t="shared" si="23"/>
        <v>0.3734</v>
      </c>
      <c r="BN24" s="439">
        <v>0.0</v>
      </c>
      <c r="BO24" s="139">
        <v>0.0</v>
      </c>
      <c r="BP24" s="140">
        <v>0.0</v>
      </c>
      <c r="BQ24" s="141">
        <f t="shared" si="24"/>
        <v>0</v>
      </c>
      <c r="BR24" s="104" t="str">
        <f t="shared" si="25"/>
        <v>0000</v>
      </c>
      <c r="BS24" s="104" t="str">
        <f t="shared" si="26"/>
        <v>no action required</v>
      </c>
      <c r="BT24" s="142" t="str">
        <f t="shared" si="27"/>
        <v/>
      </c>
      <c r="BU24" s="104" t="str">
        <f t="shared" si="28"/>
        <v/>
      </c>
      <c r="BV24" s="104" t="str">
        <f t="shared" si="29"/>
        <v>none</v>
      </c>
      <c r="BW24" s="150" t="str">
        <f t="shared" si="30"/>
        <v/>
      </c>
      <c r="BX24" s="150" t="str">
        <f t="shared" si="31"/>
        <v/>
      </c>
      <c r="BY24" s="151" t="str">
        <f t="shared" si="32"/>
        <v/>
      </c>
      <c r="BZ24" s="152" t="str">
        <f t="shared" si="33"/>
        <v/>
      </c>
      <c r="CA24" s="152" t="str">
        <f t="shared" si="34"/>
        <v/>
      </c>
      <c r="CB24" s="152" t="str">
        <f t="shared" si="35"/>
        <v/>
      </c>
      <c r="CC24" s="153" t="str">
        <f t="shared" si="36"/>
        <v/>
      </c>
      <c r="CD24" s="153" t="str">
        <f t="shared" si="37"/>
        <v/>
      </c>
      <c r="CE24" s="154" t="str">
        <f t="shared" si="38"/>
        <v/>
      </c>
      <c r="CF24" s="154" t="str">
        <f t="shared" si="39"/>
        <v/>
      </c>
      <c r="CG24" s="154" t="str">
        <f t="shared" si="40"/>
        <v/>
      </c>
      <c r="CH24" s="308" t="str">
        <f t="shared" si="41"/>
        <v/>
      </c>
    </row>
    <row r="25">
      <c r="A25" s="103" t="s">
        <v>114</v>
      </c>
      <c r="B25" s="104" t="s">
        <v>92</v>
      </c>
      <c r="C25" s="428">
        <v>1.0575952E7</v>
      </c>
      <c r="D25" s="161">
        <v>5880.0</v>
      </c>
      <c r="E25" s="294">
        <v>33972.09985</v>
      </c>
      <c r="F25" s="295">
        <v>0.088310511</v>
      </c>
      <c r="G25" s="295">
        <v>0.412539175</v>
      </c>
      <c r="H25" s="108">
        <v>0.500849687</v>
      </c>
      <c r="I25" s="109">
        <v>215.777316</v>
      </c>
      <c r="J25" s="109">
        <v>519.725349</v>
      </c>
      <c r="K25" s="109">
        <v>735.502665</v>
      </c>
      <c r="L25" s="112">
        <v>2186.371088</v>
      </c>
      <c r="M25" s="112">
        <v>391.0203768</v>
      </c>
      <c r="N25" s="112">
        <v>2577.391464</v>
      </c>
      <c r="O25" s="298">
        <v>474.4782528</v>
      </c>
      <c r="P25" s="160">
        <v>3898884.0</v>
      </c>
      <c r="Q25" s="160">
        <v>1631338.0</v>
      </c>
      <c r="R25" s="121">
        <f t="shared" si="4"/>
        <v>0.4184115249</v>
      </c>
      <c r="S25" s="116">
        <f t="shared" si="5"/>
        <v>0.4184115249</v>
      </c>
      <c r="T25" s="118">
        <v>0.457</v>
      </c>
      <c r="U25" s="118">
        <f t="shared" si="6"/>
        <v>0.457</v>
      </c>
      <c r="V25" s="119">
        <v>1.0</v>
      </c>
      <c r="W25" s="120">
        <f t="shared" si="7"/>
        <v>1</v>
      </c>
      <c r="X25" s="119">
        <v>0.5252</v>
      </c>
      <c r="Y25" s="120">
        <f t="shared" si="8"/>
        <v>0.5252</v>
      </c>
      <c r="Z25" s="310">
        <v>6417650.0</v>
      </c>
      <c r="AA25" s="310">
        <v>3651804.0</v>
      </c>
      <c r="AB25" s="300">
        <f t="shared" si="9"/>
        <v>0.5690251104</v>
      </c>
      <c r="AC25" s="300">
        <f t="shared" si="10"/>
        <v>0.5690251104</v>
      </c>
      <c r="AD25" s="122">
        <v>0.0091</v>
      </c>
      <c r="AE25" s="123">
        <v>0.33</v>
      </c>
      <c r="AF25" s="430">
        <v>0.0822</v>
      </c>
      <c r="AG25" s="124">
        <v>0.0176</v>
      </c>
      <c r="AH25" s="124">
        <v>0.028259186</v>
      </c>
      <c r="AI25" s="125">
        <v>0.0348</v>
      </c>
      <c r="AJ25" s="125">
        <v>0.056320061</v>
      </c>
      <c r="AK25" s="127">
        <v>0.0652</v>
      </c>
      <c r="AL25" s="127">
        <v>0.102097927</v>
      </c>
      <c r="AM25" s="302">
        <v>5.0E-4</v>
      </c>
      <c r="AN25" s="149" t="str">
        <f>IFERROR(
  AVERAGEIFS(
    'New LF Efficacy'!$J:$J,
    'New LF Efficacy'!$D:$D, $A25,
    'New LF Efficacy'!$F:$F,"DEC", 
    'New LF Efficacy'!$W:$W,"&lt;2016",
    'New LF Efficacy'!$AA:$AA,""),
  ""
)</f>
        <v/>
      </c>
      <c r="AO25" s="115">
        <f t="shared" si="11"/>
        <v>0.31225</v>
      </c>
      <c r="AP25" s="149" t="str">
        <f>IFERROR(
AVERAGEIFS(
'New LF Efficacy'!$J:$J,
'New LF Efficacy'!$D:$D,$A25,
'New LF Efficacy'!$F:$F,"Albendazole &amp; DEC",
'New LF Efficacy'!$W:$W,"&lt;2016",
'New LF Efficacy'!$AA:$AA,""),
"")
</f>
        <v/>
      </c>
      <c r="AQ25" s="115">
        <f t="shared" si="12"/>
        <v>0.4</v>
      </c>
      <c r="AR25" s="149" t="str">
        <f>IFERROR(
AVERAGEIFS(
'New LF Efficacy'!$J:$J,
'New LF Efficacy'!$D:$D,$A25,
'New LF Efficacy'!$F:$F,"Albendazole &amp; Ivermectin", 
'New LF Efficacy'!$W:$W,"&lt;2016",
'New LF Efficacy'!$AA:$AA,""),"")</f>
        <v/>
      </c>
      <c r="AS25" s="115">
        <f t="shared" si="13"/>
        <v>0.2943125</v>
      </c>
      <c r="AT25" s="442" t="str">
        <f>IFERROR(AVERAGEIFS(
'Schist Efficacy'!$O:$O, 
'Schist Efficacy'!$C:$C,$A25, 
'Schist Efficacy'!$D:$D, "Praziquantel",
'Schist Efficacy'!$J:$J,"&lt;2016",
'Schist Efficacy'!$U:$U,""),
"")</f>
        <v/>
      </c>
      <c r="AU25" s="118">
        <f t="shared" si="14"/>
        <v>0.7206464759</v>
      </c>
      <c r="AV25" s="131" t="str">
        <f>IFERROR(AVERAGEIFS(
'STH Efficacy'!$AX:$AX, 
'STH Efficacy'!$AL:$AL, $A25, 
'STH Efficacy'!$AM:$AM, "Albendazole",
'STH Efficacy'!$AS:$AS,"&lt;2016",
'STH Efficacy'!$BP:$BP,""),
"")</f>
        <v/>
      </c>
      <c r="AW25" s="132">
        <f t="shared" si="15"/>
        <v>0.3816333333</v>
      </c>
      <c r="AX25" s="131" t="str">
        <f>IFERROR(AVERAGEIFS(
'STH Efficacy'!$AX:$AX, 
'STH Efficacy'!$AL:$AL, $A25, 
'STH Efficacy'!$AM:$AM, "Mebendazole",
'STH Efficacy'!$AS:$AS,"&lt;2016",
'STH Efficacy'!$BP:$BP,""),
"")</f>
        <v/>
      </c>
      <c r="AY25" s="132">
        <f t="shared" si="16"/>
        <v>0.4859375</v>
      </c>
      <c r="AZ25" s="131" t="str">
        <f>IFERROR(AVERAGEIFS(
'STH Efficacy'!$AX:$AX, 
'STH Efficacy'!$AL:$AL, $A25, 
'STH Efficacy'!$AM:$AM, "Albendazole &amp; Ivermectin",
'STH Efficacy'!$AS:$AS,"&lt;2016",
'STH Efficacy'!$BP:$BP,""),
"")</f>
        <v/>
      </c>
      <c r="BA25" s="133">
        <f t="shared" si="17"/>
        <v>0.47175</v>
      </c>
      <c r="BB25" s="443" t="str">
        <f>IFERROR(AVERAGEIFS(
'STH Efficacy'!$N:$N, 
'STH Efficacy'!$B:$B, $A25, 
'STH Efficacy'!$C:$C, "Albendazole",
'STH Efficacy'!$I:$I,"&lt;2016",
'STH Efficacy'!$AH:$AH,""),
"")</f>
        <v/>
      </c>
      <c r="BC25" s="135">
        <f t="shared" si="18"/>
        <v>0.8699166667</v>
      </c>
      <c r="BD25" s="443" t="str">
        <f>IFERROR(AVERAGEIFS(
'STH Efficacy'!$N:$N, 
'STH Efficacy'!$B:$B, $A25, 
'STH Efficacy'!$C:$C, "Mebendazole",
'STH Efficacy'!$I:$I,"&lt;2016",
'STH Efficacy'!$AH:$AH,""),
"")</f>
        <v/>
      </c>
      <c r="BE25" s="135">
        <f t="shared" si="19"/>
        <v>0.7092416667</v>
      </c>
      <c r="BF25" s="436" t="str">
        <f>IFERROR(AVERAGEIFS(
'STH Efficacy'!$CD:$CD, 
'STH Efficacy'!$BS:$BS, $A25, 
'STH Efficacy'!$BT:$BT, "Albendazole",
'STH Efficacy'!$BZ:$BZ,"&lt;2016",
'STH Efficacy'!$CU:$CU,""),
"")</f>
        <v/>
      </c>
      <c r="BG25" s="136">
        <f t="shared" si="20"/>
        <v>0.9066666667</v>
      </c>
      <c r="BH25" s="436" t="str">
        <f>IFERROR(AVERAGEIFS(
'STH Efficacy'!$CD:$CD, 
'STH Efficacy'!$BS:$BS, $A25, 
'STH Efficacy'!$BT:$BT, "Mebendazole",
'STH Efficacy'!$BZ:$BZ,"&lt;2016",
'STH Efficacy'!$CU:$CU,""),
"")</f>
        <v/>
      </c>
      <c r="BI25" s="136">
        <f t="shared" si="21"/>
        <v>0.8483333333</v>
      </c>
      <c r="BJ25" s="436" t="str">
        <f>IFERROR(AVERAGEIFS(
'STH Efficacy'!$CD:$CD, 
'STH Efficacy'!$BS:$BS, $A25, 
'STH Efficacy'!$BT:$BT, "Albendazole &amp; Ivermectin",
'STH Efficacy'!$BZ:$BZ,"&lt;2016",
'STH Efficacy'!$CU:$CU,""),
"")</f>
        <v/>
      </c>
      <c r="BK25" s="136">
        <f t="shared" si="22"/>
        <v>0.696</v>
      </c>
      <c r="BL25" s="444" t="str">
        <f>IFERROR(
  AVERAGEIFS(
    'NEW Onchocerciasis Efficacy'!$AO:$AO,
    'NEW Onchocerciasis Efficacy'!$C:$C,$A25,
    'NEW Onchocerciasis Efficacy'!$D:$D,"Ivermectin",
    'NEW Onchocerciasis Efficacy'!$AR:$AR,"&lt;2016",
    'NEW Onchocerciasis Efficacy'!$BG:$BG,"")
,"")</f>
        <v/>
      </c>
      <c r="BM25" s="304">
        <f t="shared" si="23"/>
        <v>0.8390421645</v>
      </c>
      <c r="BN25" s="439">
        <v>1.0</v>
      </c>
      <c r="BO25" s="139">
        <v>1.0</v>
      </c>
      <c r="BP25" s="140">
        <v>1.0</v>
      </c>
      <c r="BQ25" s="141">
        <f t="shared" si="24"/>
        <v>0</v>
      </c>
      <c r="BR25" s="104" t="str">
        <f t="shared" si="25"/>
        <v>1110</v>
      </c>
      <c r="BS25" s="104" t="str">
        <f t="shared" si="26"/>
        <v>MDA1+T2</v>
      </c>
      <c r="BT25" s="142" t="str">
        <f t="shared" si="27"/>
        <v>IVM+ALB</v>
      </c>
      <c r="BU25" s="104" t="str">
        <f t="shared" si="28"/>
        <v>PZQ</v>
      </c>
      <c r="BV25" s="104" t="str">
        <f t="shared" si="29"/>
        <v>lf+onch+schist </v>
      </c>
      <c r="BW25" s="150" t="str">
        <f t="shared" si="30"/>
        <v/>
      </c>
      <c r="BX25" s="312">
        <f t="shared" si="31"/>
        <v>825.7741174</v>
      </c>
      <c r="BY25" s="162">
        <f t="shared" si="32"/>
        <v>16682.28365</v>
      </c>
      <c r="BZ25" s="152" t="str">
        <f t="shared" si="33"/>
        <v/>
      </c>
      <c r="CA25" s="152" t="str">
        <f t="shared" si="34"/>
        <v/>
      </c>
      <c r="CB25" s="152" t="str">
        <f t="shared" si="35"/>
        <v/>
      </c>
      <c r="CC25" s="153" t="str">
        <f t="shared" si="36"/>
        <v/>
      </c>
      <c r="CD25" s="153" t="str">
        <f t="shared" si="37"/>
        <v/>
      </c>
      <c r="CE25" s="154" t="str">
        <f t="shared" si="38"/>
        <v/>
      </c>
      <c r="CF25" s="154" t="str">
        <f t="shared" si="39"/>
        <v/>
      </c>
      <c r="CG25" s="154" t="str">
        <f t="shared" si="40"/>
        <v/>
      </c>
      <c r="CH25" s="313">
        <f t="shared" si="41"/>
        <v>14.4500995</v>
      </c>
    </row>
    <row r="26">
      <c r="A26" s="155" t="s">
        <v>115</v>
      </c>
      <c r="B26" s="104" t="s">
        <v>98</v>
      </c>
      <c r="C26" s="428">
        <v>65235.0</v>
      </c>
      <c r="D26" s="161">
        <v>0.0</v>
      </c>
      <c r="E26" s="294">
        <v>0.0</v>
      </c>
      <c r="F26" s="307">
        <v>0.0</v>
      </c>
      <c r="G26" s="309">
        <v>0.0</v>
      </c>
      <c r="H26" s="108">
        <v>0.0</v>
      </c>
      <c r="I26" s="109">
        <v>1.9381E-4</v>
      </c>
      <c r="J26" s="109">
        <v>3.9067E-4</v>
      </c>
      <c r="K26" s="109">
        <v>5.84481E-4</v>
      </c>
      <c r="L26" s="112">
        <v>0.0</v>
      </c>
      <c r="M26" s="112">
        <v>0.0</v>
      </c>
      <c r="N26" s="112">
        <v>0.0</v>
      </c>
      <c r="O26" s="298">
        <v>0.0</v>
      </c>
      <c r="P26" s="114"/>
      <c r="Q26" s="114"/>
      <c r="R26" s="121" t="str">
        <f t="shared" si="4"/>
        <v/>
      </c>
      <c r="S26" s="116">
        <f t="shared" si="5"/>
        <v>0.3565746084</v>
      </c>
      <c r="T26" s="117"/>
      <c r="U26" s="118">
        <f t="shared" si="6"/>
        <v>0.4791888889</v>
      </c>
      <c r="V26" s="148"/>
      <c r="W26" s="120">
        <f t="shared" si="7"/>
        <v>0.685</v>
      </c>
      <c r="X26" s="148"/>
      <c r="Y26" s="120">
        <f t="shared" si="8"/>
        <v>0.7550545455</v>
      </c>
      <c r="Z26" s="299"/>
      <c r="AA26" s="441"/>
      <c r="AB26" s="300" t="str">
        <f t="shared" si="9"/>
        <v/>
      </c>
      <c r="AC26" s="300">
        <f t="shared" si="10"/>
        <v>0.7101368438</v>
      </c>
      <c r="AD26" s="122">
        <v>0.0</v>
      </c>
      <c r="AE26" s="123">
        <v>0.0</v>
      </c>
      <c r="AF26" s="430">
        <v>0.0</v>
      </c>
      <c r="AG26" s="124">
        <v>0.0</v>
      </c>
      <c r="AH26" s="124">
        <v>1.16763E-5</v>
      </c>
      <c r="AI26" s="125">
        <v>0.0</v>
      </c>
      <c r="AJ26" s="125">
        <v>1.13049E-5</v>
      </c>
      <c r="AK26" s="127">
        <v>0.0</v>
      </c>
      <c r="AL26" s="127">
        <v>1.16155E-5</v>
      </c>
      <c r="AM26" s="302">
        <v>0.0</v>
      </c>
      <c r="AN26" s="149" t="str">
        <f>IFERROR(
  AVERAGEIFS(
    'New LF Efficacy'!$J:$J,
    'New LF Efficacy'!$D:$D, $A26,
    'New LF Efficacy'!$F:$F,"DEC", 
    'New LF Efficacy'!$W:$W,"&lt;2016",
    'New LF Efficacy'!$AA:$AA,""),
  ""
)</f>
        <v/>
      </c>
      <c r="AO26" s="115">
        <f t="shared" si="11"/>
        <v>0.2589833333</v>
      </c>
      <c r="AP26" s="149" t="str">
        <f>IFERROR(
AVERAGEIFS(
'New LF Efficacy'!$J:$J,
'New LF Efficacy'!$D:$D,$A26,
'New LF Efficacy'!$F:$F,"Albendazole &amp; DEC",
'New LF Efficacy'!$W:$W,"&lt;2016",
'New LF Efficacy'!$AA:$AA,""),
"")
</f>
        <v/>
      </c>
      <c r="AQ26" s="115">
        <f t="shared" si="12"/>
        <v>0.3465</v>
      </c>
      <c r="AR26" s="149" t="str">
        <f>IFERROR(
AVERAGEIFS(
'New LF Efficacy'!$J:$J,
'New LF Efficacy'!$D:$D,$A26,
'New LF Efficacy'!$F:$F,"Albendazole &amp; Ivermectin", 
'New LF Efficacy'!$W:$W,"&lt;2016",
'New LF Efficacy'!$AA:$AA,""),"")</f>
        <v/>
      </c>
      <c r="AS26" s="115">
        <f t="shared" si="13"/>
        <v>0.7575</v>
      </c>
      <c r="AT26" s="442" t="str">
        <f>IFERROR(AVERAGEIFS(
'Schist Efficacy'!$O:$O, 
'Schist Efficacy'!$C:$C,$A26, 
'Schist Efficacy'!$D:$D, "Praziquantel",
'Schist Efficacy'!$J:$J,"&lt;2016",
'Schist Efficacy'!$U:$U,""),
"")</f>
        <v/>
      </c>
      <c r="AU26" s="118">
        <f t="shared" si="14"/>
        <v>0.7914761905</v>
      </c>
      <c r="AV26" s="131" t="str">
        <f>IFERROR(AVERAGEIFS(
'STH Efficacy'!$AX:$AX, 
'STH Efficacy'!$AL:$AL, $A26, 
'STH Efficacy'!$AM:$AM, "Albendazole",
'STH Efficacy'!$AS:$AS,"&lt;2016",
'STH Efficacy'!$BP:$BP,""),
"")</f>
        <v/>
      </c>
      <c r="AW26" s="132">
        <f t="shared" si="15"/>
        <v>0.3945</v>
      </c>
      <c r="AX26" s="131" t="str">
        <f>IFERROR(AVERAGEIFS(
'STH Efficacy'!$AX:$AX, 
'STH Efficacy'!$AL:$AL, $A26, 
'STH Efficacy'!$AM:$AM, "Mebendazole",
'STH Efficacy'!$AS:$AS,"&lt;2016",
'STH Efficacy'!$BP:$BP,""),
"")</f>
        <v/>
      </c>
      <c r="AY26" s="132">
        <f t="shared" si="16"/>
        <v>0.6</v>
      </c>
      <c r="AZ26" s="131" t="str">
        <f>IFERROR(AVERAGEIFS(
'STH Efficacy'!$AX:$AX, 
'STH Efficacy'!$AL:$AL, $A26, 
'STH Efficacy'!$AM:$AM, "Albendazole &amp; Ivermectin",
'STH Efficacy'!$AS:$AS,"&lt;2016",
'STH Efficacy'!$BP:$BP,""),
"")</f>
        <v/>
      </c>
      <c r="BA26" s="133">
        <f t="shared" si="17"/>
        <v>0.796</v>
      </c>
      <c r="BB26" s="443" t="str">
        <f>IFERROR(AVERAGEIFS(
'STH Efficacy'!$N:$N, 
'STH Efficacy'!$B:$B, $A26, 
'STH Efficacy'!$C:$C, "Albendazole",
'STH Efficacy'!$I:$I,"&lt;2016",
'STH Efficacy'!$AH:$AH,""),
"")</f>
        <v/>
      </c>
      <c r="BC26" s="135">
        <f t="shared" si="18"/>
        <v>0.869</v>
      </c>
      <c r="BD26" s="443" t="str">
        <f>IFERROR(AVERAGEIFS(
'STH Efficacy'!$N:$N, 
'STH Efficacy'!$B:$B, $A26, 
'STH Efficacy'!$C:$C, "Mebendazole",
'STH Efficacy'!$I:$I,"&lt;2016",
'STH Efficacy'!$AH:$AH,""),
"")</f>
        <v/>
      </c>
      <c r="BE26" s="135">
        <f t="shared" si="19"/>
        <v>0.172</v>
      </c>
      <c r="BF26" s="436" t="str">
        <f>IFERROR(AVERAGEIFS(
'STH Efficacy'!$CD:$CD, 
'STH Efficacy'!$BS:$BS, $A26, 
'STH Efficacy'!$BT:$BT, "Albendazole",
'STH Efficacy'!$BZ:$BZ,"&lt;2016",
'STH Efficacy'!$CU:$CU,""),
"")</f>
        <v/>
      </c>
      <c r="BG26" s="136">
        <f t="shared" si="20"/>
        <v>0.9862</v>
      </c>
      <c r="BH26" s="436" t="str">
        <f>IFERROR(AVERAGEIFS(
'STH Efficacy'!$CD:$CD, 
'STH Efficacy'!$BS:$BS, $A26, 
'STH Efficacy'!$BT:$BT, "Mebendazole",
'STH Efficacy'!$BZ:$BZ,"&lt;2016",
'STH Efficacy'!$CU:$CU,""),
"")</f>
        <v/>
      </c>
      <c r="BI26" s="136">
        <f t="shared" si="21"/>
        <v>0.769</v>
      </c>
      <c r="BJ26" s="436" t="str">
        <f>IFERROR(AVERAGEIFS(
'STH Efficacy'!$CD:$CD, 
'STH Efficacy'!$BS:$BS, $A26, 
'STH Efficacy'!$BT:$BT, "Albendazole &amp; Ivermectin",
'STH Efficacy'!$BZ:$BZ,"&lt;2016",
'STH Efficacy'!$CU:$CU,""),
"")</f>
        <v/>
      </c>
      <c r="BK26" s="136">
        <f t="shared" si="22"/>
        <v>1</v>
      </c>
      <c r="BL26" s="444" t="str">
        <f>IFERROR(
  AVERAGEIFS(
    'NEW Onchocerciasis Efficacy'!$AO:$AO,
    'NEW Onchocerciasis Efficacy'!$C:$C,$A26,
    'NEW Onchocerciasis Efficacy'!$D:$D,"Ivermectin",
    'NEW Onchocerciasis Efficacy'!$AR:$AR,"&lt;2016",
    'NEW Onchocerciasis Efficacy'!$BG:$BG,"")
,"")</f>
        <v/>
      </c>
      <c r="BM26" s="304">
        <f t="shared" si="23"/>
        <v>0.3734</v>
      </c>
      <c r="BN26" s="439">
        <v>0.0</v>
      </c>
      <c r="BO26" s="139">
        <v>0.0</v>
      </c>
      <c r="BP26" s="140">
        <v>0.0</v>
      </c>
      <c r="BQ26" s="141">
        <f t="shared" si="24"/>
        <v>0</v>
      </c>
      <c r="BR26" s="104" t="str">
        <f t="shared" si="25"/>
        <v>0000</v>
      </c>
      <c r="BS26" s="104" t="str">
        <f t="shared" si="26"/>
        <v>no action required</v>
      </c>
      <c r="BT26" s="142" t="str">
        <f t="shared" si="27"/>
        <v/>
      </c>
      <c r="BU26" s="104" t="str">
        <f t="shared" si="28"/>
        <v/>
      </c>
      <c r="BV26" s="104" t="str">
        <f t="shared" si="29"/>
        <v>none</v>
      </c>
      <c r="BW26" s="150" t="str">
        <f t="shared" si="30"/>
        <v/>
      </c>
      <c r="BX26" s="150" t="str">
        <f t="shared" si="31"/>
        <v/>
      </c>
      <c r="BY26" s="151" t="str">
        <f t="shared" si="32"/>
        <v/>
      </c>
      <c r="BZ26" s="152" t="str">
        <f t="shared" si="33"/>
        <v/>
      </c>
      <c r="CA26" s="152" t="str">
        <f t="shared" si="34"/>
        <v/>
      </c>
      <c r="CB26" s="152" t="str">
        <f t="shared" si="35"/>
        <v/>
      </c>
      <c r="CC26" s="153" t="str">
        <f t="shared" si="36"/>
        <v/>
      </c>
      <c r="CD26" s="153" t="str">
        <f t="shared" si="37"/>
        <v/>
      </c>
      <c r="CE26" s="154" t="str">
        <f t="shared" si="38"/>
        <v/>
      </c>
      <c r="CF26" s="154" t="str">
        <f t="shared" si="39"/>
        <v/>
      </c>
      <c r="CG26" s="154" t="str">
        <f t="shared" si="40"/>
        <v/>
      </c>
      <c r="CH26" s="308" t="str">
        <f t="shared" si="41"/>
        <v/>
      </c>
    </row>
    <row r="27">
      <c r="A27" s="103" t="s">
        <v>116</v>
      </c>
      <c r="B27" s="104" t="s">
        <v>109</v>
      </c>
      <c r="C27" s="428">
        <v>787386.0</v>
      </c>
      <c r="D27" s="161">
        <v>0.0</v>
      </c>
      <c r="E27" s="294">
        <v>0.0</v>
      </c>
      <c r="F27" s="295">
        <v>0.043314603</v>
      </c>
      <c r="G27" s="295">
        <v>0.22654238</v>
      </c>
      <c r="H27" s="108">
        <v>0.269856984</v>
      </c>
      <c r="I27" s="109">
        <v>2.58201912</v>
      </c>
      <c r="J27" s="109">
        <v>5.64911121</v>
      </c>
      <c r="K27" s="109">
        <v>8.231130332</v>
      </c>
      <c r="L27" s="112">
        <v>25.02558233</v>
      </c>
      <c r="M27" s="112">
        <v>11.51266957</v>
      </c>
      <c r="N27" s="112">
        <v>36.5382519</v>
      </c>
      <c r="O27" s="298">
        <v>0.0</v>
      </c>
      <c r="P27" s="114"/>
      <c r="Q27" s="114"/>
      <c r="R27" s="121" t="str">
        <f t="shared" si="4"/>
        <v/>
      </c>
      <c r="S27" s="116">
        <f t="shared" si="5"/>
        <v>0.7101615512</v>
      </c>
      <c r="T27" s="117"/>
      <c r="U27" s="118">
        <f t="shared" si="6"/>
        <v>0.2582</v>
      </c>
      <c r="V27" s="119">
        <v>0.7388</v>
      </c>
      <c r="W27" s="120">
        <f t="shared" si="7"/>
        <v>0.7388</v>
      </c>
      <c r="X27" s="119">
        <v>1.0</v>
      </c>
      <c r="Y27" s="120">
        <f t="shared" si="8"/>
        <v>1</v>
      </c>
      <c r="Z27" s="299"/>
      <c r="AA27" s="441"/>
      <c r="AB27" s="300" t="str">
        <f t="shared" si="9"/>
        <v/>
      </c>
      <c r="AC27" s="300">
        <f t="shared" si="10"/>
        <v>0.6890056172</v>
      </c>
      <c r="AD27" s="122">
        <v>0.0</v>
      </c>
      <c r="AE27" s="123">
        <v>0.0</v>
      </c>
      <c r="AF27" s="430">
        <v>0.0</v>
      </c>
      <c r="AG27" s="124">
        <v>0.033</v>
      </c>
      <c r="AH27" s="124">
        <v>0.053582184</v>
      </c>
      <c r="AI27" s="125">
        <v>0.0069</v>
      </c>
      <c r="AJ27" s="125">
        <v>0.011278334</v>
      </c>
      <c r="AK27" s="127">
        <v>0.0726</v>
      </c>
      <c r="AL27" s="127">
        <v>0.116682677</v>
      </c>
      <c r="AM27" s="302">
        <v>0.0</v>
      </c>
      <c r="AN27" s="149" t="str">
        <f>IFERROR(
  AVERAGEIFS(
    'New LF Efficacy'!$J:$J,
    'New LF Efficacy'!$D:$D, $A27,
    'New LF Efficacy'!$F:$F,"DEC", 
    'New LF Efficacy'!$W:$W,"&lt;2016",
    'New LF Efficacy'!$AA:$AA,""),
  ""
)</f>
        <v/>
      </c>
      <c r="AO27" s="115">
        <f t="shared" si="11"/>
        <v>0.478175</v>
      </c>
      <c r="AP27" s="149" t="str">
        <f>IFERROR(
AVERAGEIFS(
'New LF Efficacy'!$J:$J,
'New LF Efficacy'!$D:$D,$A27,
'New LF Efficacy'!$F:$F,"Albendazole &amp; DEC",
'New LF Efficacy'!$W:$W,"&lt;2016",
'New LF Efficacy'!$AA:$AA,""),
"")
</f>
        <v/>
      </c>
      <c r="AQ27" s="115">
        <f t="shared" si="12"/>
        <v>0.5831666667</v>
      </c>
      <c r="AR27" s="149" t="str">
        <f>IFERROR(
AVERAGEIFS(
'New LF Efficacy'!$J:$J,
'New LF Efficacy'!$D:$D,$A27,
'New LF Efficacy'!$F:$F,"Albendazole &amp; Ivermectin", 
'New LF Efficacy'!$W:$W,"&lt;2016",
'New LF Efficacy'!$AA:$AA,""),"")</f>
        <v/>
      </c>
      <c r="AS27" s="115">
        <f t="shared" si="13"/>
        <v>0.14</v>
      </c>
      <c r="AT27" s="442" t="str">
        <f>IFERROR(AVERAGEIFS(
'Schist Efficacy'!$O:$O, 
'Schist Efficacy'!$C:$C,$A27, 
'Schist Efficacy'!$D:$D, "Praziquantel",
'Schist Efficacy'!$J:$J,"&lt;2016",
'Schist Efficacy'!$U:$U,""),
"")</f>
        <v/>
      </c>
      <c r="AU27" s="118">
        <f t="shared" si="14"/>
        <v>0.743990088</v>
      </c>
      <c r="AV27" s="131" t="str">
        <f>IFERROR(AVERAGEIFS(
'STH Efficacy'!$AX:$AX, 
'STH Efficacy'!$AL:$AL, $A27, 
'STH Efficacy'!$AM:$AM, "Albendazole",
'STH Efficacy'!$AS:$AS,"&lt;2016",
'STH Efficacy'!$BP:$BP,""),
"")</f>
        <v/>
      </c>
      <c r="AW27" s="132">
        <f t="shared" si="15"/>
        <v>0.5394444444</v>
      </c>
      <c r="AX27" s="131" t="str">
        <f>IFERROR(AVERAGEIFS(
'STH Efficacy'!$AX:$AX, 
'STH Efficacy'!$AL:$AL, $A27, 
'STH Efficacy'!$AM:$AM, "Mebendazole",
'STH Efficacy'!$AS:$AS,"&lt;2016",
'STH Efficacy'!$BP:$BP,""),
"")</f>
        <v/>
      </c>
      <c r="AY27" s="132">
        <f t="shared" si="16"/>
        <v>0.3786666667</v>
      </c>
      <c r="AZ27" s="131" t="str">
        <f>IFERROR(AVERAGEIFS(
'STH Efficacy'!$AX:$AX, 
'STH Efficacy'!$AL:$AL, $A27, 
'STH Efficacy'!$AM:$AM, "Albendazole &amp; Ivermectin",
'STH Efficacy'!$AS:$AS,"&lt;2016",
'STH Efficacy'!$BP:$BP,""),
"")</f>
        <v/>
      </c>
      <c r="BA27" s="133">
        <f t="shared" si="17"/>
        <v>0.597625</v>
      </c>
      <c r="BB27" s="443" t="str">
        <f>IFERROR(AVERAGEIFS(
'STH Efficacy'!$N:$N, 
'STH Efficacy'!$B:$B, $A27, 
'STH Efficacy'!$C:$C, "Albendazole",
'STH Efficacy'!$I:$I,"&lt;2016",
'STH Efficacy'!$AH:$AH,""),
"")</f>
        <v/>
      </c>
      <c r="BC27" s="135">
        <f t="shared" si="18"/>
        <v>0.7133333333</v>
      </c>
      <c r="BD27" s="443" t="str">
        <f>IFERROR(AVERAGEIFS(
'STH Efficacy'!$N:$N, 
'STH Efficacy'!$B:$B, $A27, 
'STH Efficacy'!$C:$C, "Mebendazole",
'STH Efficacy'!$I:$I,"&lt;2016",
'STH Efficacy'!$AH:$AH,""),
"")</f>
        <v/>
      </c>
      <c r="BE27" s="135">
        <f t="shared" si="19"/>
        <v>0.205</v>
      </c>
      <c r="BF27" s="436" t="str">
        <f>IFERROR(AVERAGEIFS(
'STH Efficacy'!$CD:$CD, 
'STH Efficacy'!$BS:$BS, $A27, 
'STH Efficacy'!$BT:$BT, "Albendazole",
'STH Efficacy'!$BZ:$BZ,"&lt;2016",
'STH Efficacy'!$CU:$CU,""),
"")</f>
        <v/>
      </c>
      <c r="BG27" s="136">
        <f t="shared" si="20"/>
        <v>0.83</v>
      </c>
      <c r="BH27" s="436" t="str">
        <f>IFERROR(AVERAGEIFS(
'STH Efficacy'!$CD:$CD, 
'STH Efficacy'!$BS:$BS, $A27, 
'STH Efficacy'!$BT:$BT, "Mebendazole",
'STH Efficacy'!$BZ:$BZ,"&lt;2016",
'STH Efficacy'!$CU:$CU,""),
"")</f>
        <v/>
      </c>
      <c r="BI27" s="136">
        <f t="shared" si="21"/>
        <v>1</v>
      </c>
      <c r="BJ27" s="436" t="str">
        <f>IFERROR(AVERAGEIFS(
'STH Efficacy'!$CD:$CD, 
'STH Efficacy'!$BS:$BS, $A27, 
'STH Efficacy'!$BT:$BT, "Albendazole &amp; Ivermectin",
'STH Efficacy'!$BZ:$BZ,"&lt;2016",
'STH Efficacy'!$CU:$CU,""),
"")</f>
        <v/>
      </c>
      <c r="BK27" s="136">
        <f t="shared" si="22"/>
        <v>0.848</v>
      </c>
      <c r="BL27" s="444" t="str">
        <f>IFERROR(
  AVERAGEIFS(
    'NEW Onchocerciasis Efficacy'!$AO:$AO,
    'NEW Onchocerciasis Efficacy'!$C:$C,$A27,
    'NEW Onchocerciasis Efficacy'!$D:$D,"Ivermectin",
    'NEW Onchocerciasis Efficacy'!$AR:$AR,"&lt;2016",
    'NEW Onchocerciasis Efficacy'!$BG:$BG,"")
,"")</f>
        <v/>
      </c>
      <c r="BM27" s="304">
        <f t="shared" si="23"/>
        <v>0.7808368939</v>
      </c>
      <c r="BN27" s="439">
        <v>0.0</v>
      </c>
      <c r="BO27" s="139">
        <v>0.0</v>
      </c>
      <c r="BP27" s="140">
        <v>0.0</v>
      </c>
      <c r="BQ27" s="141">
        <f t="shared" si="24"/>
        <v>0</v>
      </c>
      <c r="BR27" s="104" t="str">
        <f t="shared" si="25"/>
        <v>0000</v>
      </c>
      <c r="BS27" s="104" t="str">
        <f t="shared" si="26"/>
        <v>no action required</v>
      </c>
      <c r="BT27" s="142" t="str">
        <f t="shared" si="27"/>
        <v/>
      </c>
      <c r="BU27" s="104" t="str">
        <f t="shared" si="28"/>
        <v/>
      </c>
      <c r="BV27" s="104" t="str">
        <f t="shared" si="29"/>
        <v>none</v>
      </c>
      <c r="BW27" s="150" t="str">
        <f t="shared" si="30"/>
        <v/>
      </c>
      <c r="BX27" s="150" t="str">
        <f t="shared" si="31"/>
        <v/>
      </c>
      <c r="BY27" s="151" t="str">
        <f t="shared" si="32"/>
        <v/>
      </c>
      <c r="BZ27" s="152" t="str">
        <f t="shared" si="33"/>
        <v/>
      </c>
      <c r="CA27" s="152" t="str">
        <f t="shared" si="34"/>
        <v/>
      </c>
      <c r="CB27" s="152" t="str">
        <f t="shared" si="35"/>
        <v/>
      </c>
      <c r="CC27" s="153" t="str">
        <f t="shared" si="36"/>
        <v/>
      </c>
      <c r="CD27" s="153" t="str">
        <f t="shared" si="37"/>
        <v/>
      </c>
      <c r="CE27" s="154" t="str">
        <f t="shared" si="38"/>
        <v/>
      </c>
      <c r="CF27" s="154" t="str">
        <f t="shared" si="39"/>
        <v/>
      </c>
      <c r="CG27" s="154" t="str">
        <f t="shared" si="40"/>
        <v/>
      </c>
      <c r="CH27" s="308" t="str">
        <f t="shared" si="41"/>
        <v/>
      </c>
    </row>
    <row r="28">
      <c r="A28" s="155" t="s">
        <v>117</v>
      </c>
      <c r="B28" s="104" t="s">
        <v>98</v>
      </c>
      <c r="C28" s="428">
        <v>1.0724705E7</v>
      </c>
      <c r="D28" s="161">
        <v>0.0</v>
      </c>
      <c r="E28" s="294">
        <v>0.0</v>
      </c>
      <c r="F28" s="295">
        <v>5.878620644</v>
      </c>
      <c r="G28" s="295">
        <v>29.76335758</v>
      </c>
      <c r="H28" s="108">
        <v>35.64197823</v>
      </c>
      <c r="I28" s="109">
        <v>438.072927</v>
      </c>
      <c r="J28" s="110">
        <v>1300.33756</v>
      </c>
      <c r="K28" s="109">
        <v>1738.410484</v>
      </c>
      <c r="L28" s="112">
        <v>292.8837677</v>
      </c>
      <c r="M28" s="112">
        <v>110.3291206</v>
      </c>
      <c r="N28" s="112">
        <v>403.2128883</v>
      </c>
      <c r="O28" s="298">
        <v>0.0</v>
      </c>
      <c r="P28" s="114"/>
      <c r="Q28" s="114"/>
      <c r="R28" s="121" t="str">
        <f t="shared" si="4"/>
        <v/>
      </c>
      <c r="S28" s="116">
        <f t="shared" si="5"/>
        <v>0.3565746084</v>
      </c>
      <c r="T28" s="117"/>
      <c r="U28" s="118">
        <f t="shared" si="6"/>
        <v>0.4791888889</v>
      </c>
      <c r="V28" s="148"/>
      <c r="W28" s="120">
        <f t="shared" si="7"/>
        <v>0.685</v>
      </c>
      <c r="X28" s="148"/>
      <c r="Y28" s="120">
        <f t="shared" si="8"/>
        <v>0.7550545455</v>
      </c>
      <c r="Z28" s="299"/>
      <c r="AA28" s="441"/>
      <c r="AB28" s="300" t="str">
        <f t="shared" si="9"/>
        <v/>
      </c>
      <c r="AC28" s="300">
        <f t="shared" si="10"/>
        <v>0.7101368438</v>
      </c>
      <c r="AD28" s="122">
        <v>0.0</v>
      </c>
      <c r="AE28" s="123">
        <v>0.0</v>
      </c>
      <c r="AF28" s="430">
        <v>0.0</v>
      </c>
      <c r="AG28" s="124">
        <v>0.0</v>
      </c>
      <c r="AH28" s="124">
        <v>0.071242037</v>
      </c>
      <c r="AI28" s="125">
        <v>0.0</v>
      </c>
      <c r="AJ28" s="125">
        <v>0.129686337</v>
      </c>
      <c r="AK28" s="127">
        <v>0.0</v>
      </c>
      <c r="AL28" s="127">
        <v>0.070406826</v>
      </c>
      <c r="AM28" s="302">
        <v>0.0</v>
      </c>
      <c r="AN28" s="149" t="str">
        <f>IFERROR(
  AVERAGEIFS(
    'New LF Efficacy'!$J:$J,
    'New LF Efficacy'!$D:$D, $A28,
    'New LF Efficacy'!$F:$F,"DEC", 
    'New LF Efficacy'!$W:$W,"&lt;2016",
    'New LF Efficacy'!$AA:$AA,""),
  ""
)</f>
        <v/>
      </c>
      <c r="AO28" s="115">
        <f t="shared" si="11"/>
        <v>0.2589833333</v>
      </c>
      <c r="AP28" s="149" t="str">
        <f>IFERROR(
AVERAGEIFS(
'New LF Efficacy'!$J:$J,
'New LF Efficacy'!$D:$D,$A28,
'New LF Efficacy'!$F:$F,"Albendazole &amp; DEC",
'New LF Efficacy'!$W:$W,"&lt;2016",
'New LF Efficacy'!$AA:$AA,""),
"")
</f>
        <v/>
      </c>
      <c r="AQ28" s="115">
        <f t="shared" si="12"/>
        <v>0.3465</v>
      </c>
      <c r="AR28" s="149" t="str">
        <f>IFERROR(
AVERAGEIFS(
'New LF Efficacy'!$J:$J,
'New LF Efficacy'!$D:$D,$A28,
'New LF Efficacy'!$F:$F,"Albendazole &amp; Ivermectin", 
'New LF Efficacy'!$W:$W,"&lt;2016",
'New LF Efficacy'!$AA:$AA,""),"")</f>
        <v/>
      </c>
      <c r="AS28" s="115">
        <f t="shared" si="13"/>
        <v>0.7575</v>
      </c>
      <c r="AT28" s="442" t="str">
        <f>IFERROR(AVERAGEIFS(
'Schist Efficacy'!$O:$O, 
'Schist Efficacy'!$C:$C,$A28, 
'Schist Efficacy'!$D:$D, "Praziquantel",
'Schist Efficacy'!$J:$J,"&lt;2016",
'Schist Efficacy'!$U:$U,""),
"")</f>
        <v/>
      </c>
      <c r="AU28" s="118">
        <f t="shared" si="14"/>
        <v>0.7914761905</v>
      </c>
      <c r="AV28" s="131">
        <f>IFERROR(AVERAGEIFS(
'STH Efficacy'!$AX:$AX, 
'STH Efficacy'!$AL:$AL, $A28, 
'STH Efficacy'!$AM:$AM, "Albendazole",
'STH Efficacy'!$AS:$AS,"&lt;2016",
'STH Efficacy'!$BP:$BP,""),
"")</f>
        <v>0.333</v>
      </c>
      <c r="AW28" s="132">
        <f t="shared" si="15"/>
        <v>0.333</v>
      </c>
      <c r="AX28" s="131">
        <f>IFERROR(AVERAGEIFS(
'STH Efficacy'!$AX:$AX, 
'STH Efficacy'!$AL:$AL, $A28, 
'STH Efficacy'!$AM:$AM, "Mebendazole",
'STH Efficacy'!$AS:$AS,"&lt;2016",
'STH Efficacy'!$BP:$BP,""),
"")</f>
        <v>0.6</v>
      </c>
      <c r="AY28" s="132">
        <f t="shared" si="16"/>
        <v>0.6</v>
      </c>
      <c r="AZ28" s="131" t="str">
        <f>IFERROR(AVERAGEIFS(
'STH Efficacy'!$AX:$AX, 
'STH Efficacy'!$AL:$AL, $A28, 
'STH Efficacy'!$AM:$AM, "Albendazole &amp; Ivermectin",
'STH Efficacy'!$AS:$AS,"&lt;2016",
'STH Efficacy'!$BP:$BP,""),
"")</f>
        <v/>
      </c>
      <c r="BA28" s="133">
        <f t="shared" si="17"/>
        <v>0.796</v>
      </c>
      <c r="BB28" s="443">
        <f>IFERROR(AVERAGEIFS(
'STH Efficacy'!$N:$N, 
'STH Efficacy'!$B:$B, $A28, 
'STH Efficacy'!$C:$C, "Albendazole",
'STH Efficacy'!$I:$I,"&lt;2016",
'STH Efficacy'!$AH:$AH,""),
"")</f>
        <v>0.818</v>
      </c>
      <c r="BC28" s="135">
        <f t="shared" si="18"/>
        <v>0.818</v>
      </c>
      <c r="BD28" s="443">
        <f>IFERROR(AVERAGEIFS(
'STH Efficacy'!$N:$N, 
'STH Efficacy'!$B:$B, $A28, 
'STH Efficacy'!$C:$C, "Mebendazole",
'STH Efficacy'!$I:$I,"&lt;2016",
'STH Efficacy'!$AH:$AH,""),
"")</f>
        <v>0.172</v>
      </c>
      <c r="BE28" s="135">
        <f t="shared" si="19"/>
        <v>0.172</v>
      </c>
      <c r="BF28" s="436" t="str">
        <f>IFERROR(AVERAGEIFS(
'STH Efficacy'!$CD:$CD, 
'STH Efficacy'!$BS:$BS, $A28, 
'STH Efficacy'!$BT:$BT, "Albendazole",
'STH Efficacy'!$BZ:$BZ,"&lt;2016",
'STH Efficacy'!$CU:$CU,""),
"")</f>
        <v/>
      </c>
      <c r="BG28" s="136">
        <f t="shared" si="20"/>
        <v>0.9862</v>
      </c>
      <c r="BH28" s="436" t="str">
        <f>IFERROR(AVERAGEIFS(
'STH Efficacy'!$CD:$CD, 
'STH Efficacy'!$BS:$BS, $A28, 
'STH Efficacy'!$BT:$BT, "Mebendazole",
'STH Efficacy'!$BZ:$BZ,"&lt;2016",
'STH Efficacy'!$CU:$CU,""),
"")</f>
        <v/>
      </c>
      <c r="BI28" s="136">
        <f t="shared" si="21"/>
        <v>0.769</v>
      </c>
      <c r="BJ28" s="436" t="str">
        <f>IFERROR(AVERAGEIFS(
'STH Efficacy'!$CD:$CD, 
'STH Efficacy'!$BS:$BS, $A28, 
'STH Efficacy'!$BT:$BT, "Albendazole &amp; Ivermectin",
'STH Efficacy'!$BZ:$BZ,"&lt;2016",
'STH Efficacy'!$CU:$CU,""),
"")</f>
        <v/>
      </c>
      <c r="BK28" s="136">
        <f t="shared" si="22"/>
        <v>1</v>
      </c>
      <c r="BL28" s="444" t="str">
        <f>IFERROR(
  AVERAGEIFS(
    'NEW Onchocerciasis Efficacy'!$AO:$AO,
    'NEW Onchocerciasis Efficacy'!$C:$C,$A28,
    'NEW Onchocerciasis Efficacy'!$D:$D,"Ivermectin",
    'NEW Onchocerciasis Efficacy'!$AR:$AR,"&lt;2016",
    'NEW Onchocerciasis Efficacy'!$BG:$BG,"")
,"")</f>
        <v/>
      </c>
      <c r="BM28" s="304">
        <f t="shared" si="23"/>
        <v>0.3734</v>
      </c>
      <c r="BN28" s="439">
        <v>0.0</v>
      </c>
      <c r="BO28" s="139">
        <v>0.0</v>
      </c>
      <c r="BP28" s="140">
        <v>0.0</v>
      </c>
      <c r="BQ28" s="141">
        <f t="shared" si="24"/>
        <v>0</v>
      </c>
      <c r="BR28" s="104" t="str">
        <f t="shared" si="25"/>
        <v>0000</v>
      </c>
      <c r="BS28" s="104" t="str">
        <f t="shared" si="26"/>
        <v>no action required</v>
      </c>
      <c r="BT28" s="142" t="str">
        <f t="shared" si="27"/>
        <v/>
      </c>
      <c r="BU28" s="104" t="str">
        <f t="shared" si="28"/>
        <v/>
      </c>
      <c r="BV28" s="104" t="str">
        <f t="shared" si="29"/>
        <v>none</v>
      </c>
      <c r="BW28" s="150" t="str">
        <f t="shared" si="30"/>
        <v/>
      </c>
      <c r="BX28" s="150" t="str">
        <f t="shared" si="31"/>
        <v/>
      </c>
      <c r="BY28" s="151" t="str">
        <f t="shared" si="32"/>
        <v/>
      </c>
      <c r="BZ28" s="152" t="str">
        <f t="shared" si="33"/>
        <v/>
      </c>
      <c r="CA28" s="152" t="str">
        <f t="shared" si="34"/>
        <v/>
      </c>
      <c r="CB28" s="152" t="str">
        <f t="shared" si="35"/>
        <v/>
      </c>
      <c r="CC28" s="153" t="str">
        <f t="shared" si="36"/>
        <v/>
      </c>
      <c r="CD28" s="153" t="str">
        <f t="shared" si="37"/>
        <v/>
      </c>
      <c r="CE28" s="154" t="str">
        <f t="shared" si="38"/>
        <v/>
      </c>
      <c r="CF28" s="154" t="str">
        <f t="shared" si="39"/>
        <v/>
      </c>
      <c r="CG28" s="154" t="str">
        <f t="shared" si="40"/>
        <v/>
      </c>
      <c r="CH28" s="308" t="str">
        <f t="shared" si="41"/>
        <v/>
      </c>
    </row>
    <row r="29">
      <c r="A29" s="155" t="s">
        <v>118</v>
      </c>
      <c r="B29" s="104" t="s">
        <v>98</v>
      </c>
      <c r="C29" s="447"/>
      <c r="D29" s="161">
        <v>0.0</v>
      </c>
      <c r="E29" s="294">
        <v>0.0</v>
      </c>
      <c r="F29" s="163"/>
      <c r="G29" s="325"/>
      <c r="H29" s="108">
        <v>0.0</v>
      </c>
      <c r="I29" s="109">
        <v>0.0</v>
      </c>
      <c r="J29" s="109">
        <v>0.0</v>
      </c>
      <c r="K29" s="109">
        <v>0.0</v>
      </c>
      <c r="L29" s="113"/>
      <c r="M29" s="113"/>
      <c r="N29" s="112">
        <v>0.0</v>
      </c>
      <c r="O29" s="298">
        <v>0.0</v>
      </c>
      <c r="P29" s="114"/>
      <c r="Q29" s="114"/>
      <c r="R29" s="121" t="str">
        <f t="shared" si="4"/>
        <v/>
      </c>
      <c r="S29" s="116">
        <f t="shared" si="5"/>
        <v>0.3565746084</v>
      </c>
      <c r="T29" s="117"/>
      <c r="U29" s="118">
        <f t="shared" si="6"/>
        <v>0.4791888889</v>
      </c>
      <c r="V29" s="148"/>
      <c r="W29" s="120">
        <f t="shared" si="7"/>
        <v>0.685</v>
      </c>
      <c r="X29" s="148"/>
      <c r="Y29" s="120">
        <f t="shared" si="8"/>
        <v>0.7550545455</v>
      </c>
      <c r="Z29" s="299"/>
      <c r="AA29" s="441"/>
      <c r="AB29" s="300" t="str">
        <f t="shared" si="9"/>
        <v/>
      </c>
      <c r="AC29" s="300">
        <f t="shared" si="10"/>
        <v>0.7101368438</v>
      </c>
      <c r="AD29" s="314">
        <v>0.0</v>
      </c>
      <c r="AE29" s="315">
        <v>0.0</v>
      </c>
      <c r="AF29" s="445">
        <v>0.0</v>
      </c>
      <c r="AG29" s="316">
        <v>0.0</v>
      </c>
      <c r="AH29" s="307">
        <v>0.0</v>
      </c>
      <c r="AI29" s="317">
        <v>0.0</v>
      </c>
      <c r="AJ29" s="318">
        <v>0.0</v>
      </c>
      <c r="AK29" s="319">
        <v>0.0</v>
      </c>
      <c r="AL29" s="446">
        <v>0.0</v>
      </c>
      <c r="AM29" s="320">
        <v>0.0</v>
      </c>
      <c r="AN29" s="149" t="str">
        <f>IFERROR(
  AVERAGEIFS(
    'New LF Efficacy'!$J:$J,
    'New LF Efficacy'!$D:$D, $A29,
    'New LF Efficacy'!$F:$F,"DEC", 
    'New LF Efficacy'!$W:$W,"&lt;2016",
    'New LF Efficacy'!$AA:$AA,""),
  ""
)</f>
        <v/>
      </c>
      <c r="AO29" s="115">
        <f t="shared" si="11"/>
        <v>0.2589833333</v>
      </c>
      <c r="AP29" s="149" t="str">
        <f>IFERROR(
AVERAGEIFS(
'New LF Efficacy'!$J:$J,
'New LF Efficacy'!$D:$D,$A29,
'New LF Efficacy'!$F:$F,"Albendazole &amp; DEC",
'New LF Efficacy'!$W:$W,"&lt;2016",
'New LF Efficacy'!$AA:$AA,""),
"")
</f>
        <v/>
      </c>
      <c r="AQ29" s="115">
        <f t="shared" si="12"/>
        <v>0.3465</v>
      </c>
      <c r="AR29" s="149" t="str">
        <f>IFERROR(
AVERAGEIFS(
'New LF Efficacy'!$J:$J,
'New LF Efficacy'!$D:$D,$A29,
'New LF Efficacy'!$F:$F,"Albendazole &amp; Ivermectin", 
'New LF Efficacy'!$W:$W,"&lt;2016",
'New LF Efficacy'!$AA:$AA,""),"")</f>
        <v/>
      </c>
      <c r="AS29" s="115">
        <f t="shared" si="13"/>
        <v>0.7575</v>
      </c>
      <c r="AT29" s="442" t="str">
        <f>IFERROR(AVERAGEIFS(
'Schist Efficacy'!$O:$O, 
'Schist Efficacy'!$C:$C,$A29, 
'Schist Efficacy'!$D:$D, "Praziquantel",
'Schist Efficacy'!$J:$J,"&lt;2016",
'Schist Efficacy'!$U:$U,""),
"")</f>
        <v/>
      </c>
      <c r="AU29" s="118">
        <f t="shared" si="14"/>
        <v>0.7914761905</v>
      </c>
      <c r="AV29" s="131" t="str">
        <f>IFERROR(AVERAGEIFS(
'STH Efficacy'!$AX:$AX, 
'STH Efficacy'!$AL:$AL, $A29, 
'STH Efficacy'!$AM:$AM, "Albendazole",
'STH Efficacy'!$AS:$AS,"&lt;2016",
'STH Efficacy'!$BP:$BP,""),
"")</f>
        <v/>
      </c>
      <c r="AW29" s="132">
        <f t="shared" si="15"/>
        <v>0.3945</v>
      </c>
      <c r="AX29" s="131" t="str">
        <f>IFERROR(AVERAGEIFS(
'STH Efficacy'!$AX:$AX, 
'STH Efficacy'!$AL:$AL, $A29, 
'STH Efficacy'!$AM:$AM, "Mebendazole",
'STH Efficacy'!$AS:$AS,"&lt;2016",
'STH Efficacy'!$BP:$BP,""),
"")</f>
        <v/>
      </c>
      <c r="AY29" s="132">
        <f t="shared" si="16"/>
        <v>0.6</v>
      </c>
      <c r="AZ29" s="131" t="str">
        <f>IFERROR(AVERAGEIFS(
'STH Efficacy'!$AX:$AX, 
'STH Efficacy'!$AL:$AL, $A29, 
'STH Efficacy'!$AM:$AM, "Albendazole &amp; Ivermectin",
'STH Efficacy'!$AS:$AS,"&lt;2016",
'STH Efficacy'!$BP:$BP,""),
"")</f>
        <v/>
      </c>
      <c r="BA29" s="133">
        <f t="shared" si="17"/>
        <v>0.796</v>
      </c>
      <c r="BB29" s="443" t="str">
        <f>IFERROR(AVERAGEIFS(
'STH Efficacy'!$N:$N, 
'STH Efficacy'!$B:$B, $A29, 
'STH Efficacy'!$C:$C, "Albendazole",
'STH Efficacy'!$I:$I,"&lt;2016",
'STH Efficacy'!$AH:$AH,""),
"")</f>
        <v/>
      </c>
      <c r="BC29" s="135">
        <f t="shared" si="18"/>
        <v>0.869</v>
      </c>
      <c r="BD29" s="443" t="str">
        <f>IFERROR(AVERAGEIFS(
'STH Efficacy'!$N:$N, 
'STH Efficacy'!$B:$B, $A29, 
'STH Efficacy'!$C:$C, "Mebendazole",
'STH Efficacy'!$I:$I,"&lt;2016",
'STH Efficacy'!$AH:$AH,""),
"")</f>
        <v/>
      </c>
      <c r="BE29" s="135">
        <f t="shared" si="19"/>
        <v>0.172</v>
      </c>
      <c r="BF29" s="436" t="str">
        <f>IFERROR(AVERAGEIFS(
'STH Efficacy'!$CD:$CD, 
'STH Efficacy'!$BS:$BS, $A29, 
'STH Efficacy'!$BT:$BT, "Albendazole",
'STH Efficacy'!$BZ:$BZ,"&lt;2016",
'STH Efficacy'!$CU:$CU,""),
"")</f>
        <v/>
      </c>
      <c r="BG29" s="136">
        <f t="shared" si="20"/>
        <v>0.9862</v>
      </c>
      <c r="BH29" s="436" t="str">
        <f>IFERROR(AVERAGEIFS(
'STH Efficacy'!$CD:$CD, 
'STH Efficacy'!$BS:$BS, $A29, 
'STH Efficacy'!$BT:$BT, "Mebendazole",
'STH Efficacy'!$BZ:$BZ,"&lt;2016",
'STH Efficacy'!$CU:$CU,""),
"")</f>
        <v/>
      </c>
      <c r="BI29" s="136">
        <f t="shared" si="21"/>
        <v>0.769</v>
      </c>
      <c r="BJ29" s="436" t="str">
        <f>IFERROR(AVERAGEIFS(
'STH Efficacy'!$CD:$CD, 
'STH Efficacy'!$BS:$BS, $A29, 
'STH Efficacy'!$BT:$BT, "Albendazole &amp; Ivermectin",
'STH Efficacy'!$BZ:$BZ,"&lt;2016",
'STH Efficacy'!$CU:$CU,""),
"")</f>
        <v/>
      </c>
      <c r="BK29" s="136">
        <f t="shared" si="22"/>
        <v>1</v>
      </c>
      <c r="BL29" s="444" t="str">
        <f>IFERROR(
  AVERAGEIFS(
    'NEW Onchocerciasis Efficacy'!$AO:$AO,
    'NEW Onchocerciasis Efficacy'!$C:$C,$A29,
    'NEW Onchocerciasis Efficacy'!$D:$D,"Ivermectin",
    'NEW Onchocerciasis Efficacy'!$AR:$AR,"&lt;2016",
    'NEW Onchocerciasis Efficacy'!$BG:$BG,"")
,"")</f>
        <v/>
      </c>
      <c r="BM29" s="304">
        <f t="shared" si="23"/>
        <v>0.3734</v>
      </c>
      <c r="BN29" s="439">
        <v>0.0</v>
      </c>
      <c r="BO29" s="139">
        <v>0.0</v>
      </c>
      <c r="BP29" s="140">
        <v>0.0</v>
      </c>
      <c r="BQ29" s="141">
        <f t="shared" si="24"/>
        <v>0</v>
      </c>
      <c r="BR29" s="104" t="str">
        <f t="shared" si="25"/>
        <v>0000</v>
      </c>
      <c r="BS29" s="104" t="str">
        <f t="shared" si="26"/>
        <v>no action required</v>
      </c>
      <c r="BT29" s="142" t="str">
        <f t="shared" si="27"/>
        <v/>
      </c>
      <c r="BU29" s="104" t="str">
        <f t="shared" si="28"/>
        <v/>
      </c>
      <c r="BV29" s="104" t="str">
        <f t="shared" si="29"/>
        <v>none</v>
      </c>
      <c r="BW29" s="150" t="str">
        <f t="shared" si="30"/>
        <v/>
      </c>
      <c r="BX29" s="150" t="str">
        <f t="shared" si="31"/>
        <v/>
      </c>
      <c r="BY29" s="151" t="str">
        <f t="shared" si="32"/>
        <v/>
      </c>
      <c r="BZ29" s="152" t="str">
        <f t="shared" si="33"/>
        <v/>
      </c>
      <c r="CA29" s="152" t="str">
        <f t="shared" si="34"/>
        <v/>
      </c>
      <c r="CB29" s="152" t="str">
        <f t="shared" si="35"/>
        <v/>
      </c>
      <c r="CC29" s="153" t="str">
        <f t="shared" si="36"/>
        <v/>
      </c>
      <c r="CD29" s="153" t="str">
        <f t="shared" si="37"/>
        <v/>
      </c>
      <c r="CE29" s="154" t="str">
        <f t="shared" si="38"/>
        <v/>
      </c>
      <c r="CF29" s="154" t="str">
        <f t="shared" si="39"/>
        <v/>
      </c>
      <c r="CG29" s="154" t="str">
        <f t="shared" si="40"/>
        <v/>
      </c>
      <c r="CH29" s="308" t="str">
        <f t="shared" si="41"/>
        <v/>
      </c>
    </row>
    <row r="30">
      <c r="A30" s="155" t="s">
        <v>119</v>
      </c>
      <c r="B30" s="104" t="s">
        <v>90</v>
      </c>
      <c r="C30" s="428">
        <v>3535961.0</v>
      </c>
      <c r="D30" s="161">
        <v>0.0</v>
      </c>
      <c r="E30" s="294">
        <v>0.0</v>
      </c>
      <c r="F30" s="307">
        <v>0.0</v>
      </c>
      <c r="G30" s="309">
        <v>0.0</v>
      </c>
      <c r="H30" s="108">
        <v>0.0</v>
      </c>
      <c r="I30" s="109">
        <v>0.0</v>
      </c>
      <c r="J30" s="109">
        <v>0.0</v>
      </c>
      <c r="K30" s="109">
        <v>0.0</v>
      </c>
      <c r="L30" s="112">
        <v>0.0</v>
      </c>
      <c r="M30" s="112">
        <v>0.0</v>
      </c>
      <c r="N30" s="112">
        <v>0.0</v>
      </c>
      <c r="O30" s="298">
        <v>0.0</v>
      </c>
      <c r="P30" s="114"/>
      <c r="Q30" s="114"/>
      <c r="R30" s="121" t="str">
        <f t="shared" si="4"/>
        <v/>
      </c>
      <c r="S30" s="116">
        <f t="shared" si="5"/>
        <v>0.5709301448</v>
      </c>
      <c r="T30" s="117"/>
      <c r="U30" s="118">
        <f t="shared" si="6"/>
        <v>0.4791888889</v>
      </c>
      <c r="V30" s="148"/>
      <c r="W30" s="120">
        <f t="shared" si="7"/>
        <v>0.0223</v>
      </c>
      <c r="X30" s="148"/>
      <c r="Y30" s="120">
        <f t="shared" si="8"/>
        <v>0.598275</v>
      </c>
      <c r="Z30" s="299"/>
      <c r="AA30" s="441"/>
      <c r="AB30" s="300" t="str">
        <f t="shared" si="9"/>
        <v/>
      </c>
      <c r="AC30" s="300">
        <f t="shared" si="10"/>
        <v>0.6890056172</v>
      </c>
      <c r="AD30" s="122">
        <v>0.0</v>
      </c>
      <c r="AE30" s="123">
        <v>0.0</v>
      </c>
      <c r="AF30" s="430">
        <v>0.0</v>
      </c>
      <c r="AG30" s="124">
        <v>0.0</v>
      </c>
      <c r="AH30" s="124">
        <v>0.0</v>
      </c>
      <c r="AI30" s="125">
        <v>0.0</v>
      </c>
      <c r="AJ30" s="125">
        <v>0.0</v>
      </c>
      <c r="AK30" s="127">
        <v>0.0</v>
      </c>
      <c r="AL30" s="127">
        <v>0.0</v>
      </c>
      <c r="AM30" s="302">
        <v>0.0</v>
      </c>
      <c r="AN30" s="149" t="str">
        <f>IFERROR(
  AVERAGEIFS(
    'New LF Efficacy'!$J:$J,
    'New LF Efficacy'!$D:$D, $A30,
    'New LF Efficacy'!$F:$F,"DEC", 
    'New LF Efficacy'!$W:$W,"&lt;2016",
    'New LF Efficacy'!$AA:$AA,""),
  ""
)</f>
        <v/>
      </c>
      <c r="AO30" s="115">
        <f t="shared" si="11"/>
        <v>0.3573520833</v>
      </c>
      <c r="AP30" s="149" t="str">
        <f>IFERROR(
AVERAGEIFS(
'New LF Efficacy'!$J:$J,
'New LF Efficacy'!$D:$D,$A30,
'New LF Efficacy'!$F:$F,"Albendazole &amp; DEC",
'New LF Efficacy'!$W:$W,"&lt;2016",
'New LF Efficacy'!$AA:$AA,""),
"")
</f>
        <v/>
      </c>
      <c r="AQ30" s="115">
        <f t="shared" si="12"/>
        <v>0.5143541667</v>
      </c>
      <c r="AR30" s="149" t="str">
        <f>IFERROR(
AVERAGEIFS(
'New LF Efficacy'!$J:$J,
'New LF Efficacy'!$D:$D,$A30,
'New LF Efficacy'!$F:$F,"Albendazole &amp; Ivermectin", 
'New LF Efficacy'!$W:$W,"&lt;2016",
'New LF Efficacy'!$AA:$AA,""),"")</f>
        <v/>
      </c>
      <c r="AS30" s="115">
        <f t="shared" si="13"/>
        <v>0.37153125</v>
      </c>
      <c r="AT30" s="442" t="str">
        <f>IFERROR(AVERAGEIFS(
'Schist Efficacy'!$O:$O, 
'Schist Efficacy'!$C:$C,$A30, 
'Schist Efficacy'!$D:$D, "Praziquantel",
'Schist Efficacy'!$J:$J,"&lt;2016",
'Schist Efficacy'!$U:$U,""),
"")</f>
        <v/>
      </c>
      <c r="AU30" s="118">
        <f t="shared" si="14"/>
        <v>0.655</v>
      </c>
      <c r="AV30" s="131" t="str">
        <f>IFERROR(AVERAGEIFS(
'STH Efficacy'!$AX:$AX, 
'STH Efficacy'!$AL:$AL, $A30, 
'STH Efficacy'!$AM:$AM, "Albendazole",
'STH Efficacy'!$AS:$AS,"&lt;2016",
'STH Efficacy'!$BP:$BP,""),
"")</f>
        <v/>
      </c>
      <c r="AW30" s="132">
        <f t="shared" si="15"/>
        <v>0.4143846154</v>
      </c>
      <c r="AX30" s="131" t="str">
        <f>IFERROR(AVERAGEIFS(
'STH Efficacy'!$AX:$AX, 
'STH Efficacy'!$AL:$AL, $A30, 
'STH Efficacy'!$AM:$AM, "Mebendazole",
'STH Efficacy'!$AS:$AS,"&lt;2016",
'STH Efficacy'!$BP:$BP,""),
"")</f>
        <v/>
      </c>
      <c r="AY30" s="132">
        <f t="shared" si="16"/>
        <v>0.4691770833</v>
      </c>
      <c r="AZ30" s="131" t="str">
        <f>IFERROR(AVERAGEIFS(
'STH Efficacy'!$AX:$AX, 
'STH Efficacy'!$AL:$AL, $A30, 
'STH Efficacy'!$AM:$AM, "Albendazole &amp; Ivermectin",
'STH Efficacy'!$AS:$AS,"&lt;2016",
'STH Efficacy'!$BP:$BP,""),
"")</f>
        <v/>
      </c>
      <c r="BA30" s="133">
        <f t="shared" si="17"/>
        <v>0.597625</v>
      </c>
      <c r="BB30" s="443" t="str">
        <f>IFERROR(AVERAGEIFS(
'STH Efficacy'!$N:$N, 
'STH Efficacy'!$B:$B, $A30, 
'STH Efficacy'!$C:$C, "Albendazole",
'STH Efficacy'!$I:$I,"&lt;2016",
'STH Efficacy'!$AH:$AH,""),
"")</f>
        <v/>
      </c>
      <c r="BC30" s="135">
        <f t="shared" si="18"/>
        <v>0.7613712121</v>
      </c>
      <c r="BD30" s="443" t="str">
        <f>IFERROR(AVERAGEIFS(
'STH Efficacy'!$N:$N, 
'STH Efficacy'!$B:$B, $A30, 
'STH Efficacy'!$C:$C, "Mebendazole",
'STH Efficacy'!$I:$I,"&lt;2016",
'STH Efficacy'!$AH:$AH,""),
"")</f>
        <v/>
      </c>
      <c r="BE30" s="135">
        <f t="shared" si="19"/>
        <v>0.4362466667</v>
      </c>
      <c r="BF30" s="436" t="str">
        <f>IFERROR(AVERAGEIFS(
'STH Efficacy'!$CD:$CD, 
'STH Efficacy'!$BS:$BS, $A30, 
'STH Efficacy'!$BT:$BT, "Albendazole",
'STH Efficacy'!$BZ:$BZ,"&lt;2016",
'STH Efficacy'!$CU:$CU,""),
"")</f>
        <v/>
      </c>
      <c r="BG30" s="136">
        <f t="shared" si="20"/>
        <v>0.9216027778</v>
      </c>
      <c r="BH30" s="436" t="str">
        <f>IFERROR(AVERAGEIFS(
'STH Efficacy'!$CD:$CD, 
'STH Efficacy'!$BS:$BS, $A30, 
'STH Efficacy'!$BT:$BT, "Mebendazole",
'STH Efficacy'!$BZ:$BZ,"&lt;2016",
'STH Efficacy'!$CU:$CU,""),
"")</f>
        <v/>
      </c>
      <c r="BI30" s="136">
        <f t="shared" si="21"/>
        <v>0.8866041667</v>
      </c>
      <c r="BJ30" s="436" t="str">
        <f>IFERROR(AVERAGEIFS(
'STH Efficacy'!$CD:$CD, 
'STH Efficacy'!$BS:$BS, $A30, 
'STH Efficacy'!$BT:$BT, "Albendazole &amp; Ivermectin",
'STH Efficacy'!$BZ:$BZ,"&lt;2016",
'STH Efficacy'!$CU:$CU,""),
"")</f>
        <v/>
      </c>
      <c r="BK30" s="136">
        <f t="shared" si="22"/>
        <v>0.848</v>
      </c>
      <c r="BL30" s="444" t="str">
        <f>IFERROR(
  AVERAGEIFS(
    'NEW Onchocerciasis Efficacy'!$AO:$AO,
    'NEW Onchocerciasis Efficacy'!$C:$C,$A30,
    'NEW Onchocerciasis Efficacy'!$D:$D,"Ivermectin",
    'NEW Onchocerciasis Efficacy'!$AR:$AR,"&lt;2016",
    'NEW Onchocerciasis Efficacy'!$BG:$BG,"")
,"")</f>
        <v/>
      </c>
      <c r="BM30" s="304">
        <f t="shared" si="23"/>
        <v>0.7808368939</v>
      </c>
      <c r="BN30" s="439">
        <v>0.0</v>
      </c>
      <c r="BO30" s="139">
        <v>0.0</v>
      </c>
      <c r="BP30" s="140">
        <v>0.0</v>
      </c>
      <c r="BQ30" s="141">
        <f t="shared" si="24"/>
        <v>0</v>
      </c>
      <c r="BR30" s="104" t="str">
        <f t="shared" si="25"/>
        <v>0000</v>
      </c>
      <c r="BS30" s="104" t="str">
        <f t="shared" si="26"/>
        <v>no action required</v>
      </c>
      <c r="BT30" s="142" t="str">
        <f t="shared" si="27"/>
        <v/>
      </c>
      <c r="BU30" s="104" t="str">
        <f t="shared" si="28"/>
        <v/>
      </c>
      <c r="BV30" s="104" t="str">
        <f t="shared" si="29"/>
        <v>none</v>
      </c>
      <c r="BW30" s="150" t="str">
        <f t="shared" si="30"/>
        <v/>
      </c>
      <c r="BX30" s="150" t="str">
        <f t="shared" si="31"/>
        <v/>
      </c>
      <c r="BY30" s="151" t="str">
        <f t="shared" si="32"/>
        <v/>
      </c>
      <c r="BZ30" s="152" t="str">
        <f t="shared" si="33"/>
        <v/>
      </c>
      <c r="CA30" s="152" t="str">
        <f t="shared" si="34"/>
        <v/>
      </c>
      <c r="CB30" s="152" t="str">
        <f t="shared" si="35"/>
        <v/>
      </c>
      <c r="CC30" s="153" t="str">
        <f t="shared" si="36"/>
        <v/>
      </c>
      <c r="CD30" s="153" t="str">
        <f t="shared" si="37"/>
        <v/>
      </c>
      <c r="CE30" s="154" t="str">
        <f t="shared" si="38"/>
        <v/>
      </c>
      <c r="CF30" s="154" t="str">
        <f t="shared" si="39"/>
        <v/>
      </c>
      <c r="CG30" s="154" t="str">
        <f t="shared" si="40"/>
        <v/>
      </c>
      <c r="CH30" s="308" t="str">
        <f t="shared" si="41"/>
        <v/>
      </c>
    </row>
    <row r="31">
      <c r="A31" s="103" t="s">
        <v>120</v>
      </c>
      <c r="B31" s="104" t="s">
        <v>92</v>
      </c>
      <c r="C31" s="428">
        <v>2209197.0</v>
      </c>
      <c r="D31" s="161">
        <v>0.0</v>
      </c>
      <c r="E31" s="294">
        <v>3433.187453</v>
      </c>
      <c r="F31" s="295">
        <v>19.22177513</v>
      </c>
      <c r="G31" s="295">
        <v>79.87677505</v>
      </c>
      <c r="H31" s="108">
        <v>99.09855018</v>
      </c>
      <c r="I31" s="109">
        <v>133.25868</v>
      </c>
      <c r="J31" s="109">
        <v>349.279788</v>
      </c>
      <c r="K31" s="109">
        <v>482.5384679</v>
      </c>
      <c r="L31" s="112">
        <v>8.146325209</v>
      </c>
      <c r="M31" s="112">
        <v>8.655327412</v>
      </c>
      <c r="N31" s="112">
        <v>16.80165262</v>
      </c>
      <c r="O31" s="298">
        <v>0.0</v>
      </c>
      <c r="P31" s="114"/>
      <c r="Q31" s="114"/>
      <c r="R31" s="121" t="str">
        <f t="shared" si="4"/>
        <v/>
      </c>
      <c r="S31" s="116">
        <f t="shared" si="5"/>
        <v>0.3345096109</v>
      </c>
      <c r="T31" s="448"/>
      <c r="U31" s="449">
        <f t="shared" si="6"/>
        <v>0.4220357143</v>
      </c>
      <c r="V31" s="148"/>
      <c r="W31" s="120">
        <f t="shared" si="7"/>
        <v>0.8084736842</v>
      </c>
      <c r="X31" s="148"/>
      <c r="Y31" s="120">
        <f t="shared" si="8"/>
        <v>0.5938357143</v>
      </c>
      <c r="Z31" s="299"/>
      <c r="AA31" s="441"/>
      <c r="AB31" s="300" t="str">
        <f t="shared" si="9"/>
        <v/>
      </c>
      <c r="AC31" s="300">
        <f t="shared" si="10"/>
        <v>0.6375203308</v>
      </c>
      <c r="AD31" s="122">
        <v>0.0</v>
      </c>
      <c r="AE31" s="123">
        <v>0.19</v>
      </c>
      <c r="AF31" s="430">
        <v>0.0485</v>
      </c>
      <c r="AG31" s="124">
        <v>0.1476</v>
      </c>
      <c r="AH31" s="124">
        <v>0.22805102</v>
      </c>
      <c r="AI31" s="125">
        <v>0.1243</v>
      </c>
      <c r="AJ31" s="125">
        <v>0.198826091</v>
      </c>
      <c r="AK31" s="127">
        <v>0.049</v>
      </c>
      <c r="AL31" s="127">
        <v>0.076898217</v>
      </c>
      <c r="AM31" s="302">
        <v>0.0</v>
      </c>
      <c r="AN31" s="149" t="str">
        <f>IFERROR(
  AVERAGEIFS(
    'New LF Efficacy'!$J:$J,
    'New LF Efficacy'!$D:$D, $A31,
    'New LF Efficacy'!$F:$F,"DEC", 
    'New LF Efficacy'!$W:$W,"&lt;2016",
    'New LF Efficacy'!$AA:$AA,""),
  ""
)</f>
        <v/>
      </c>
      <c r="AO31" s="115">
        <f t="shared" si="11"/>
        <v>0.31225</v>
      </c>
      <c r="AP31" s="149" t="str">
        <f>IFERROR(
AVERAGEIFS(
'New LF Efficacy'!$J:$J,
'New LF Efficacy'!$D:$D,$A31,
'New LF Efficacy'!$F:$F,"Albendazole &amp; DEC",
'New LF Efficacy'!$W:$W,"&lt;2016",
'New LF Efficacy'!$AA:$AA,""),
"")
</f>
        <v/>
      </c>
      <c r="AQ31" s="115">
        <f t="shared" si="12"/>
        <v>0.4</v>
      </c>
      <c r="AR31" s="149" t="str">
        <f>IFERROR(
AVERAGEIFS(
'New LF Efficacy'!$J:$J,
'New LF Efficacy'!$D:$D,$A31,
'New LF Efficacy'!$F:$F,"Albendazole &amp; Ivermectin", 
'New LF Efficacy'!$W:$W,"&lt;2016",
'New LF Efficacy'!$AA:$AA,""),"")</f>
        <v/>
      </c>
      <c r="AS31" s="115">
        <f t="shared" si="13"/>
        <v>0.2943125</v>
      </c>
      <c r="AT31" s="442" t="str">
        <f>IFERROR(AVERAGEIFS(
'Schist Efficacy'!$O:$O, 
'Schist Efficacy'!$C:$C,$A31, 
'Schist Efficacy'!$D:$D, "Praziquantel",
'Schist Efficacy'!$J:$J,"&lt;2016",
'Schist Efficacy'!$U:$U,""),
"")</f>
        <v/>
      </c>
      <c r="AU31" s="118">
        <f t="shared" si="14"/>
        <v>0.7206464759</v>
      </c>
      <c r="AV31" s="131" t="str">
        <f>IFERROR(AVERAGEIFS(
'STH Efficacy'!$AX:$AX, 
'STH Efficacy'!$AL:$AL, $A31, 
'STH Efficacy'!$AM:$AM, "Albendazole",
'STH Efficacy'!$AS:$AS,"&lt;2016",
'STH Efficacy'!$BP:$BP,""),
"")</f>
        <v/>
      </c>
      <c r="AW31" s="132">
        <f t="shared" si="15"/>
        <v>0.3816333333</v>
      </c>
      <c r="AX31" s="131" t="str">
        <f>IFERROR(AVERAGEIFS(
'STH Efficacy'!$AX:$AX, 
'STH Efficacy'!$AL:$AL, $A31, 
'STH Efficacy'!$AM:$AM, "Mebendazole",
'STH Efficacy'!$AS:$AS,"&lt;2016",
'STH Efficacy'!$BP:$BP,""),
"")</f>
        <v/>
      </c>
      <c r="AY31" s="132">
        <f t="shared" si="16"/>
        <v>0.4859375</v>
      </c>
      <c r="AZ31" s="131" t="str">
        <f>IFERROR(AVERAGEIFS(
'STH Efficacy'!$AX:$AX, 
'STH Efficacy'!$AL:$AL, $A31, 
'STH Efficacy'!$AM:$AM, "Albendazole &amp; Ivermectin",
'STH Efficacy'!$AS:$AS,"&lt;2016",
'STH Efficacy'!$BP:$BP,""),
"")</f>
        <v/>
      </c>
      <c r="BA31" s="133">
        <f t="shared" si="17"/>
        <v>0.47175</v>
      </c>
      <c r="BB31" s="443" t="str">
        <f>IFERROR(AVERAGEIFS(
'STH Efficacy'!$N:$N, 
'STH Efficacy'!$B:$B, $A31, 
'STH Efficacy'!$C:$C, "Albendazole",
'STH Efficacy'!$I:$I,"&lt;2016",
'STH Efficacy'!$AH:$AH,""),
"")</f>
        <v/>
      </c>
      <c r="BC31" s="135">
        <f t="shared" si="18"/>
        <v>0.8699166667</v>
      </c>
      <c r="BD31" s="443" t="str">
        <f>IFERROR(AVERAGEIFS(
'STH Efficacy'!$N:$N, 
'STH Efficacy'!$B:$B, $A31, 
'STH Efficacy'!$C:$C, "Mebendazole",
'STH Efficacy'!$I:$I,"&lt;2016",
'STH Efficacy'!$AH:$AH,""),
"")</f>
        <v/>
      </c>
      <c r="BE31" s="135">
        <f t="shared" si="19"/>
        <v>0.7092416667</v>
      </c>
      <c r="BF31" s="436" t="str">
        <f>IFERROR(AVERAGEIFS(
'STH Efficacy'!$CD:$CD, 
'STH Efficacy'!$BS:$BS, $A31, 
'STH Efficacy'!$BT:$BT, "Albendazole",
'STH Efficacy'!$BZ:$BZ,"&lt;2016",
'STH Efficacy'!$CU:$CU,""),
"")</f>
        <v/>
      </c>
      <c r="BG31" s="136">
        <f t="shared" si="20"/>
        <v>0.9066666667</v>
      </c>
      <c r="BH31" s="436" t="str">
        <f>IFERROR(AVERAGEIFS(
'STH Efficacy'!$CD:$CD, 
'STH Efficacy'!$BS:$BS, $A31, 
'STH Efficacy'!$BT:$BT, "Mebendazole",
'STH Efficacy'!$BZ:$BZ,"&lt;2016",
'STH Efficacy'!$CU:$CU,""),
"")</f>
        <v/>
      </c>
      <c r="BI31" s="136">
        <f t="shared" si="21"/>
        <v>0.8483333333</v>
      </c>
      <c r="BJ31" s="436" t="str">
        <f>IFERROR(AVERAGEIFS(
'STH Efficacy'!$CD:$CD, 
'STH Efficacy'!$BS:$BS, $A31, 
'STH Efficacy'!$BT:$BT, "Albendazole &amp; Ivermectin",
'STH Efficacy'!$BZ:$BZ,"&lt;2016",
'STH Efficacy'!$CU:$CU,""),
"")</f>
        <v/>
      </c>
      <c r="BK31" s="136">
        <f t="shared" si="22"/>
        <v>0.696</v>
      </c>
      <c r="BL31" s="444" t="str">
        <f>IFERROR(
  AVERAGEIFS(
    'NEW Onchocerciasis Efficacy'!$AO:$AO,
    'NEW Onchocerciasis Efficacy'!$C:$C,$A31,
    'NEW Onchocerciasis Efficacy'!$D:$D,"Ivermectin",
    'NEW Onchocerciasis Efficacy'!$AR:$AR,"&lt;2016",
    'NEW Onchocerciasis Efficacy'!$BG:$BG,"")
,"")</f>
        <v/>
      </c>
      <c r="BM31" s="304">
        <f t="shared" si="23"/>
        <v>0.8390421645</v>
      </c>
      <c r="BN31" s="439">
        <v>0.0</v>
      </c>
      <c r="BO31" s="139">
        <v>1.0</v>
      </c>
      <c r="BP31" s="140">
        <v>1.0</v>
      </c>
      <c r="BQ31" s="141">
        <f t="shared" si="24"/>
        <v>0</v>
      </c>
      <c r="BR31" s="104" t="str">
        <f t="shared" si="25"/>
        <v>0110</v>
      </c>
      <c r="BS31" s="104" t="str">
        <f t="shared" si="26"/>
        <v>MDA3+T2</v>
      </c>
      <c r="BT31" s="142" t="str">
        <f t="shared" si="27"/>
        <v>IVM</v>
      </c>
      <c r="BU31" s="104" t="str">
        <f t="shared" si="28"/>
        <v>PZQ</v>
      </c>
      <c r="BV31" s="104" t="str">
        <f t="shared" si="29"/>
        <v>onch+schist</v>
      </c>
      <c r="BW31" s="150" t="str">
        <f t="shared" si="30"/>
        <v/>
      </c>
      <c r="BX31" s="150" t="str">
        <f t="shared" si="31"/>
        <v/>
      </c>
      <c r="BY31" s="162">
        <f t="shared" si="32"/>
        <v>1500.535279</v>
      </c>
      <c r="BZ31" s="152" t="str">
        <f t="shared" si="33"/>
        <v/>
      </c>
      <c r="CA31" s="152" t="str">
        <f t="shared" si="34"/>
        <v/>
      </c>
      <c r="CB31" s="152" t="str">
        <f t="shared" si="35"/>
        <v/>
      </c>
      <c r="CC31" s="153" t="str">
        <f t="shared" si="36"/>
        <v/>
      </c>
      <c r="CD31" s="153" t="str">
        <f t="shared" si="37"/>
        <v/>
      </c>
      <c r="CE31" s="154" t="str">
        <f t="shared" si="38"/>
        <v/>
      </c>
      <c r="CF31" s="154" t="str">
        <f t="shared" si="39"/>
        <v/>
      </c>
      <c r="CG31" s="154" t="str">
        <f t="shared" si="40"/>
        <v/>
      </c>
      <c r="CH31" s="313">
        <f t="shared" si="41"/>
        <v>0</v>
      </c>
    </row>
    <row r="32">
      <c r="A32" s="103" t="s">
        <v>121</v>
      </c>
      <c r="B32" s="104" t="s">
        <v>98</v>
      </c>
      <c r="C32" s="428">
        <v>2.05962108E8</v>
      </c>
      <c r="D32" s="161">
        <v>15.299999999999999</v>
      </c>
      <c r="E32" s="294">
        <v>103557.7453</v>
      </c>
      <c r="F32" s="295">
        <v>330.0964846</v>
      </c>
      <c r="G32" s="322">
        <v>2062.850195</v>
      </c>
      <c r="H32" s="157">
        <v>2392.946679</v>
      </c>
      <c r="I32" s="110">
        <v>1795.00237</v>
      </c>
      <c r="J32" s="110">
        <v>5533.53507</v>
      </c>
      <c r="K32" s="110">
        <v>7328.537439</v>
      </c>
      <c r="L32" s="111">
        <v>1995.376614</v>
      </c>
      <c r="M32" s="111">
        <v>4469.171313</v>
      </c>
      <c r="N32" s="112">
        <v>6464.547927</v>
      </c>
      <c r="O32" s="298">
        <v>22.17371411</v>
      </c>
      <c r="P32" s="160">
        <v>43186.0</v>
      </c>
      <c r="Q32" s="160">
        <v>25766.0</v>
      </c>
      <c r="R32" s="121">
        <f t="shared" si="4"/>
        <v>0.596628537</v>
      </c>
      <c r="S32" s="116">
        <f t="shared" si="5"/>
        <v>0.596628537</v>
      </c>
      <c r="T32" s="448"/>
      <c r="U32" s="449">
        <f t="shared" si="6"/>
        <v>0.4791888889</v>
      </c>
      <c r="V32" s="148"/>
      <c r="W32" s="120">
        <f t="shared" si="7"/>
        <v>0.685</v>
      </c>
      <c r="X32" s="119">
        <v>0.6785</v>
      </c>
      <c r="Y32" s="120">
        <f t="shared" si="8"/>
        <v>0.6785</v>
      </c>
      <c r="Z32" s="310">
        <v>15323.0</v>
      </c>
      <c r="AA32" s="310">
        <v>10745.0</v>
      </c>
      <c r="AB32" s="300">
        <f t="shared" si="9"/>
        <v>0.7012334399</v>
      </c>
      <c r="AC32" s="300">
        <f t="shared" si="10"/>
        <v>0.7012334399</v>
      </c>
      <c r="AD32" s="122">
        <v>0.0</v>
      </c>
      <c r="AE32" s="123">
        <v>0.06</v>
      </c>
      <c r="AF32" s="430">
        <v>0.001</v>
      </c>
      <c r="AG32" s="124">
        <v>0.0444</v>
      </c>
      <c r="AH32" s="124">
        <v>0.067936995</v>
      </c>
      <c r="AI32" s="125">
        <v>0.0337</v>
      </c>
      <c r="AJ32" s="125">
        <v>0.051806065</v>
      </c>
      <c r="AK32" s="127">
        <v>0.0815</v>
      </c>
      <c r="AL32" s="127">
        <v>0.125811473</v>
      </c>
      <c r="AM32" s="302">
        <v>0.0</v>
      </c>
      <c r="AN32" s="149">
        <f>IFERROR(
  AVERAGEIFS(
    'New LF Efficacy'!$J:$J,
    'New LF Efficacy'!$D:$D, $A32,
    'New LF Efficacy'!$F:$F,"DEC", 
    'New LF Efficacy'!$W:$W,"&lt;2016",
    'New LF Efficacy'!$AA:$AA,""),
  ""
)</f>
        <v>0.426</v>
      </c>
      <c r="AO32" s="115">
        <f t="shared" si="11"/>
        <v>0.426</v>
      </c>
      <c r="AP32" s="149">
        <f>IFERROR(
AVERAGEIFS(
'New LF Efficacy'!$J:$J,
'New LF Efficacy'!$D:$D,$A32,
'New LF Efficacy'!$F:$F,"Albendazole &amp; DEC",
'New LF Efficacy'!$W:$W,"&lt;2016",
'New LF Efficacy'!$AA:$AA,""),
"")
</f>
        <v>0.579</v>
      </c>
      <c r="AQ32" s="115">
        <f t="shared" si="12"/>
        <v>0.579</v>
      </c>
      <c r="AR32" s="149" t="str">
        <f>IFERROR(
AVERAGEIFS(
'New LF Efficacy'!$J:$J,
'New LF Efficacy'!$D:$D,$A32,
'New LF Efficacy'!$F:$F,"Albendazole &amp; Ivermectin", 
'New LF Efficacy'!$W:$W,"&lt;2016",
'New LF Efficacy'!$AA:$AA,""),"")</f>
        <v/>
      </c>
      <c r="AS32" s="115">
        <f t="shared" si="13"/>
        <v>0.7575</v>
      </c>
      <c r="AT32" s="442">
        <f>IFERROR(AVERAGEIFS(
'Schist Efficacy'!$O:$O, 
'Schist Efficacy'!$C:$C,$A32, 
'Schist Efficacy'!$D:$D, "Praziquantel",
'Schist Efficacy'!$J:$J,"&lt;2016",
'Schist Efficacy'!$U:$U,""),
"")</f>
        <v>0.7914761905</v>
      </c>
      <c r="AU32" s="118">
        <f t="shared" si="14"/>
        <v>0.7914761905</v>
      </c>
      <c r="AV32" s="131" t="str">
        <f>IFERROR(AVERAGEIFS(
'STH Efficacy'!$AX:$AX, 
'STH Efficacy'!$AL:$AL, $A32, 
'STH Efficacy'!$AM:$AM, "Albendazole",
'STH Efficacy'!$AS:$AS,"&lt;2016",
'STH Efficacy'!$BP:$BP,""),
"")</f>
        <v/>
      </c>
      <c r="AW32" s="132">
        <f t="shared" si="15"/>
        <v>0.3945</v>
      </c>
      <c r="AX32" s="131" t="str">
        <f>IFERROR(AVERAGEIFS(
'STH Efficacy'!$AX:$AX, 
'STH Efficacy'!$AL:$AL, $A32, 
'STH Efficacy'!$AM:$AM, "Mebendazole",
'STH Efficacy'!$AS:$AS,"&lt;2016",
'STH Efficacy'!$BP:$BP,""),
"")</f>
        <v/>
      </c>
      <c r="AY32" s="132">
        <f t="shared" si="16"/>
        <v>0.6</v>
      </c>
      <c r="AZ32" s="131" t="str">
        <f>IFERROR(AVERAGEIFS(
'STH Efficacy'!$AX:$AX, 
'STH Efficacy'!$AL:$AL, $A32, 
'STH Efficacy'!$AM:$AM, "Albendazole &amp; Ivermectin",
'STH Efficacy'!$AS:$AS,"&lt;2016",
'STH Efficacy'!$BP:$BP,""),
"")</f>
        <v/>
      </c>
      <c r="BA32" s="133">
        <f t="shared" si="17"/>
        <v>0.796</v>
      </c>
      <c r="BB32" s="443" t="str">
        <f>IFERROR(AVERAGEIFS(
'STH Efficacy'!$N:$N, 
'STH Efficacy'!$B:$B, $A32, 
'STH Efficacy'!$C:$C, "Albendazole",
'STH Efficacy'!$I:$I,"&lt;2016",
'STH Efficacy'!$AH:$AH,""),
"")</f>
        <v/>
      </c>
      <c r="BC32" s="135">
        <f t="shared" si="18"/>
        <v>0.869</v>
      </c>
      <c r="BD32" s="443" t="str">
        <f>IFERROR(AVERAGEIFS(
'STH Efficacy'!$N:$N, 
'STH Efficacy'!$B:$B, $A32, 
'STH Efficacy'!$C:$C, "Mebendazole",
'STH Efficacy'!$I:$I,"&lt;2016",
'STH Efficacy'!$AH:$AH,""),
"")</f>
        <v/>
      </c>
      <c r="BE32" s="135">
        <f t="shared" si="19"/>
        <v>0.172</v>
      </c>
      <c r="BF32" s="436" t="str">
        <f>IFERROR(AVERAGEIFS(
'STH Efficacy'!$CD:$CD, 
'STH Efficacy'!$BS:$BS, $A32, 
'STH Efficacy'!$BT:$BT, "Albendazole",
'STH Efficacy'!$BZ:$BZ,"&lt;2016",
'STH Efficacy'!$CU:$CU,""),
"")</f>
        <v/>
      </c>
      <c r="BG32" s="136">
        <f t="shared" si="20"/>
        <v>0.9862</v>
      </c>
      <c r="BH32" s="436" t="str">
        <f>IFERROR(AVERAGEIFS(
'STH Efficacy'!$CD:$CD, 
'STH Efficacy'!$BS:$BS, $A32, 
'STH Efficacy'!$BT:$BT, "Mebendazole",
'STH Efficacy'!$BZ:$BZ,"&lt;2016",
'STH Efficacy'!$CU:$CU,""),
"")</f>
        <v/>
      </c>
      <c r="BI32" s="136">
        <f t="shared" si="21"/>
        <v>0.769</v>
      </c>
      <c r="BJ32" s="436" t="str">
        <f>IFERROR(AVERAGEIFS(
'STH Efficacy'!$CD:$CD, 
'STH Efficacy'!$BS:$BS, $A32, 
'STH Efficacy'!$BT:$BT, "Albendazole &amp; Ivermectin",
'STH Efficacy'!$BZ:$BZ,"&lt;2016",
'STH Efficacy'!$CU:$CU,""),
"")</f>
        <v/>
      </c>
      <c r="BK32" s="136">
        <f t="shared" si="22"/>
        <v>1</v>
      </c>
      <c r="BL32" s="444" t="str">
        <f>IFERROR(
  AVERAGEIFS(
    'NEW Onchocerciasis Efficacy'!$AO:$AO,
    'NEW Onchocerciasis Efficacy'!$C:$C,$A32,
    'NEW Onchocerciasis Efficacy'!$D:$D,"Ivermectin",
    'NEW Onchocerciasis Efficacy'!$AR:$AR,"&lt;2016",
    'NEW Onchocerciasis Efficacy'!$BG:$BG,"")
,"")</f>
        <v/>
      </c>
      <c r="BM32" s="304">
        <f t="shared" si="23"/>
        <v>0.3734</v>
      </c>
      <c r="BN32" s="439">
        <v>1.0</v>
      </c>
      <c r="BO32" s="139">
        <v>1.0</v>
      </c>
      <c r="BP32" s="140">
        <v>1.0</v>
      </c>
      <c r="BQ32" s="141">
        <f t="shared" si="24"/>
        <v>0</v>
      </c>
      <c r="BR32" s="104" t="str">
        <f t="shared" si="25"/>
        <v>1110</v>
      </c>
      <c r="BS32" s="104" t="str">
        <f t="shared" si="26"/>
        <v>MDA1+T2</v>
      </c>
      <c r="BT32" s="142" t="str">
        <f t="shared" si="27"/>
        <v>IVM+ALB</v>
      </c>
      <c r="BU32" s="104" t="str">
        <f t="shared" si="28"/>
        <v>PZQ</v>
      </c>
      <c r="BV32" s="104" t="str">
        <f t="shared" si="29"/>
        <v>lf+onch+schist </v>
      </c>
      <c r="BW32" s="150" t="str">
        <f t="shared" si="30"/>
        <v/>
      </c>
      <c r="BX32" s="312">
        <f t="shared" si="31"/>
        <v>12.61696304</v>
      </c>
      <c r="BY32" s="162">
        <f t="shared" si="32"/>
        <v>63273.5299</v>
      </c>
      <c r="BZ32" s="152" t="str">
        <f t="shared" si="33"/>
        <v/>
      </c>
      <c r="CA32" s="152" t="str">
        <f t="shared" si="34"/>
        <v/>
      </c>
      <c r="CB32" s="152" t="str">
        <f t="shared" si="35"/>
        <v/>
      </c>
      <c r="CC32" s="153" t="str">
        <f t="shared" si="36"/>
        <v/>
      </c>
      <c r="CD32" s="153" t="str">
        <f t="shared" si="37"/>
        <v/>
      </c>
      <c r="CE32" s="154" t="str">
        <f t="shared" si="38"/>
        <v/>
      </c>
      <c r="CF32" s="154" t="str">
        <f t="shared" si="39"/>
        <v/>
      </c>
      <c r="CG32" s="154" t="str">
        <f t="shared" si="40"/>
        <v/>
      </c>
      <c r="CH32" s="313">
        <f t="shared" si="41"/>
        <v>0.2621826487</v>
      </c>
    </row>
    <row r="33">
      <c r="A33" s="155" t="s">
        <v>122</v>
      </c>
      <c r="B33" s="104" t="s">
        <v>98</v>
      </c>
      <c r="C33" s="428">
        <v>30113.0</v>
      </c>
      <c r="D33" s="161">
        <v>0.0</v>
      </c>
      <c r="E33" s="294">
        <v>0.0</v>
      </c>
      <c r="F33" s="163"/>
      <c r="G33" s="325"/>
      <c r="H33" s="108">
        <v>0.0</v>
      </c>
      <c r="I33" s="109">
        <v>0.0</v>
      </c>
      <c r="J33" s="109">
        <v>0.0</v>
      </c>
      <c r="K33" s="109">
        <v>0.0</v>
      </c>
      <c r="L33" s="113"/>
      <c r="M33" s="113"/>
      <c r="N33" s="112">
        <v>0.0</v>
      </c>
      <c r="O33" s="298">
        <v>0.0</v>
      </c>
      <c r="P33" s="114"/>
      <c r="Q33" s="114"/>
      <c r="R33" s="121" t="str">
        <f t="shared" si="4"/>
        <v/>
      </c>
      <c r="S33" s="116">
        <f t="shared" si="5"/>
        <v>0.3565746084</v>
      </c>
      <c r="T33" s="117"/>
      <c r="U33" s="118">
        <f t="shared" si="6"/>
        <v>0.4791888889</v>
      </c>
      <c r="V33" s="148"/>
      <c r="W33" s="120">
        <f t="shared" si="7"/>
        <v>0.685</v>
      </c>
      <c r="X33" s="148"/>
      <c r="Y33" s="120">
        <f t="shared" si="8"/>
        <v>0.7550545455</v>
      </c>
      <c r="Z33" s="299"/>
      <c r="AA33" s="441"/>
      <c r="AB33" s="300" t="str">
        <f t="shared" si="9"/>
        <v/>
      </c>
      <c r="AC33" s="300">
        <f t="shared" si="10"/>
        <v>0.7101368438</v>
      </c>
      <c r="AD33" s="314">
        <v>0.0</v>
      </c>
      <c r="AE33" s="315">
        <v>0.0</v>
      </c>
      <c r="AF33" s="445">
        <v>0.0</v>
      </c>
      <c r="AG33" s="316">
        <v>0.0</v>
      </c>
      <c r="AH33" s="307">
        <v>0.0</v>
      </c>
      <c r="AI33" s="317">
        <v>0.0</v>
      </c>
      <c r="AJ33" s="318">
        <v>0.0</v>
      </c>
      <c r="AK33" s="319">
        <v>0.0</v>
      </c>
      <c r="AL33" s="446">
        <v>0.0</v>
      </c>
      <c r="AM33" s="320">
        <v>0.0</v>
      </c>
      <c r="AN33" s="149" t="str">
        <f>IFERROR(
  AVERAGEIFS(
    'New LF Efficacy'!$J:$J,
    'New LF Efficacy'!$D:$D, $A33,
    'New LF Efficacy'!$F:$F,"DEC", 
    'New LF Efficacy'!$W:$W,"&lt;2016",
    'New LF Efficacy'!$AA:$AA,""),
  ""
)</f>
        <v/>
      </c>
      <c r="AO33" s="115">
        <f t="shared" si="11"/>
        <v>0.2589833333</v>
      </c>
      <c r="AP33" s="149" t="str">
        <f>IFERROR(
AVERAGEIFS(
'New LF Efficacy'!$J:$J,
'New LF Efficacy'!$D:$D,$A33,
'New LF Efficacy'!$F:$F,"Albendazole &amp; DEC",
'New LF Efficacy'!$W:$W,"&lt;2016",
'New LF Efficacy'!$AA:$AA,""),
"")
</f>
        <v/>
      </c>
      <c r="AQ33" s="115">
        <f t="shared" si="12"/>
        <v>0.3465</v>
      </c>
      <c r="AR33" s="149" t="str">
        <f>IFERROR(
AVERAGEIFS(
'New LF Efficacy'!$J:$J,
'New LF Efficacy'!$D:$D,$A33,
'New LF Efficacy'!$F:$F,"Albendazole &amp; Ivermectin", 
'New LF Efficacy'!$W:$W,"&lt;2016",
'New LF Efficacy'!$AA:$AA,""),"")</f>
        <v/>
      </c>
      <c r="AS33" s="115">
        <f t="shared" si="13"/>
        <v>0.7575</v>
      </c>
      <c r="AT33" s="442" t="str">
        <f>IFERROR(AVERAGEIFS(
'Schist Efficacy'!$O:$O, 
'Schist Efficacy'!$C:$C,$A33, 
'Schist Efficacy'!$D:$D, "Praziquantel",
'Schist Efficacy'!$J:$J,"&lt;2016",
'Schist Efficacy'!$U:$U,""),
"")</f>
        <v/>
      </c>
      <c r="AU33" s="118">
        <f t="shared" si="14"/>
        <v>0.7914761905</v>
      </c>
      <c r="AV33" s="131" t="str">
        <f>IFERROR(AVERAGEIFS(
'STH Efficacy'!$AX:$AX, 
'STH Efficacy'!$AL:$AL, $A33, 
'STH Efficacy'!$AM:$AM, "Albendazole",
'STH Efficacy'!$AS:$AS,"&lt;2016",
'STH Efficacy'!$BP:$BP,""),
"")</f>
        <v/>
      </c>
      <c r="AW33" s="132">
        <f t="shared" si="15"/>
        <v>0.3945</v>
      </c>
      <c r="AX33" s="131" t="str">
        <f>IFERROR(AVERAGEIFS(
'STH Efficacy'!$AX:$AX, 
'STH Efficacy'!$AL:$AL, $A33, 
'STH Efficacy'!$AM:$AM, "Mebendazole",
'STH Efficacy'!$AS:$AS,"&lt;2016",
'STH Efficacy'!$BP:$BP,""),
"")</f>
        <v/>
      </c>
      <c r="AY33" s="132">
        <f t="shared" si="16"/>
        <v>0.6</v>
      </c>
      <c r="AZ33" s="131" t="str">
        <f>IFERROR(AVERAGEIFS(
'STH Efficacy'!$AX:$AX, 
'STH Efficacy'!$AL:$AL, $A33, 
'STH Efficacy'!$AM:$AM, "Albendazole &amp; Ivermectin",
'STH Efficacy'!$AS:$AS,"&lt;2016",
'STH Efficacy'!$BP:$BP,""),
"")</f>
        <v/>
      </c>
      <c r="BA33" s="133">
        <f t="shared" si="17"/>
        <v>0.796</v>
      </c>
      <c r="BB33" s="443" t="str">
        <f>IFERROR(AVERAGEIFS(
'STH Efficacy'!$N:$N, 
'STH Efficacy'!$B:$B, $A33, 
'STH Efficacy'!$C:$C, "Albendazole",
'STH Efficacy'!$I:$I,"&lt;2016",
'STH Efficacy'!$AH:$AH,""),
"")</f>
        <v/>
      </c>
      <c r="BC33" s="135">
        <f t="shared" si="18"/>
        <v>0.869</v>
      </c>
      <c r="BD33" s="443" t="str">
        <f>IFERROR(AVERAGEIFS(
'STH Efficacy'!$N:$N, 
'STH Efficacy'!$B:$B, $A33, 
'STH Efficacy'!$C:$C, "Mebendazole",
'STH Efficacy'!$I:$I,"&lt;2016",
'STH Efficacy'!$AH:$AH,""),
"")</f>
        <v/>
      </c>
      <c r="BE33" s="135">
        <f t="shared" si="19"/>
        <v>0.172</v>
      </c>
      <c r="BF33" s="436" t="str">
        <f>IFERROR(AVERAGEIFS(
'STH Efficacy'!$CD:$CD, 
'STH Efficacy'!$BS:$BS, $A33, 
'STH Efficacy'!$BT:$BT, "Albendazole",
'STH Efficacy'!$BZ:$BZ,"&lt;2016",
'STH Efficacy'!$CU:$CU,""),
"")</f>
        <v/>
      </c>
      <c r="BG33" s="136">
        <f t="shared" si="20"/>
        <v>0.9862</v>
      </c>
      <c r="BH33" s="436" t="str">
        <f>IFERROR(AVERAGEIFS(
'STH Efficacy'!$CD:$CD, 
'STH Efficacy'!$BS:$BS, $A33, 
'STH Efficacy'!$BT:$BT, "Mebendazole",
'STH Efficacy'!$BZ:$BZ,"&lt;2016",
'STH Efficacy'!$CU:$CU,""),
"")</f>
        <v/>
      </c>
      <c r="BI33" s="136">
        <f t="shared" si="21"/>
        <v>0.769</v>
      </c>
      <c r="BJ33" s="436" t="str">
        <f>IFERROR(AVERAGEIFS(
'STH Efficacy'!$CD:$CD, 
'STH Efficacy'!$BS:$BS, $A33, 
'STH Efficacy'!$BT:$BT, "Albendazole &amp; Ivermectin",
'STH Efficacy'!$BZ:$BZ,"&lt;2016",
'STH Efficacy'!$CU:$CU,""),
"")</f>
        <v/>
      </c>
      <c r="BK33" s="136">
        <f t="shared" si="22"/>
        <v>1</v>
      </c>
      <c r="BL33" s="444" t="str">
        <f>IFERROR(
  AVERAGEIFS(
    'NEW Onchocerciasis Efficacy'!$AO:$AO,
    'NEW Onchocerciasis Efficacy'!$C:$C,$A33,
    'NEW Onchocerciasis Efficacy'!$D:$D,"Ivermectin",
    'NEW Onchocerciasis Efficacy'!$AR:$AR,"&lt;2016",
    'NEW Onchocerciasis Efficacy'!$BG:$BG,"")
,"")</f>
        <v/>
      </c>
      <c r="BM33" s="304">
        <f t="shared" si="23"/>
        <v>0.3734</v>
      </c>
      <c r="BN33" s="439">
        <v>0.0</v>
      </c>
      <c r="BO33" s="139">
        <v>0.0</v>
      </c>
      <c r="BP33" s="140">
        <v>0.0</v>
      </c>
      <c r="BQ33" s="141">
        <f t="shared" si="24"/>
        <v>0</v>
      </c>
      <c r="BR33" s="104" t="str">
        <f t="shared" si="25"/>
        <v>0000</v>
      </c>
      <c r="BS33" s="104" t="str">
        <f t="shared" si="26"/>
        <v>no action required</v>
      </c>
      <c r="BT33" s="142" t="str">
        <f t="shared" si="27"/>
        <v/>
      </c>
      <c r="BU33" s="104" t="str">
        <f t="shared" si="28"/>
        <v/>
      </c>
      <c r="BV33" s="104" t="str">
        <f t="shared" si="29"/>
        <v>none</v>
      </c>
      <c r="BW33" s="150" t="str">
        <f t="shared" si="30"/>
        <v/>
      </c>
      <c r="BX33" s="150" t="str">
        <f t="shared" si="31"/>
        <v/>
      </c>
      <c r="BY33" s="151" t="str">
        <f t="shared" si="32"/>
        <v/>
      </c>
      <c r="BZ33" s="152" t="str">
        <f t="shared" si="33"/>
        <v/>
      </c>
      <c r="CA33" s="152" t="str">
        <f t="shared" si="34"/>
        <v/>
      </c>
      <c r="CB33" s="152" t="str">
        <f t="shared" si="35"/>
        <v/>
      </c>
      <c r="CC33" s="153" t="str">
        <f t="shared" si="36"/>
        <v/>
      </c>
      <c r="CD33" s="153" t="str">
        <f t="shared" si="37"/>
        <v/>
      </c>
      <c r="CE33" s="154" t="str">
        <f t="shared" si="38"/>
        <v/>
      </c>
      <c r="CF33" s="154" t="str">
        <f t="shared" si="39"/>
        <v/>
      </c>
      <c r="CG33" s="154" t="str">
        <f t="shared" si="40"/>
        <v/>
      </c>
      <c r="CH33" s="308" t="str">
        <f t="shared" si="41"/>
        <v/>
      </c>
    </row>
    <row r="34">
      <c r="A34" s="103" t="s">
        <v>123</v>
      </c>
      <c r="B34" s="104" t="s">
        <v>94</v>
      </c>
      <c r="C34" s="428">
        <v>417542.0</v>
      </c>
      <c r="D34" s="161">
        <v>0.0</v>
      </c>
      <c r="E34" s="294">
        <v>0.0</v>
      </c>
      <c r="F34" s="163"/>
      <c r="G34" s="325"/>
      <c r="H34" s="108">
        <v>0.0</v>
      </c>
      <c r="I34" s="109">
        <v>0.0</v>
      </c>
      <c r="J34" s="109">
        <v>0.0</v>
      </c>
      <c r="K34" s="109">
        <v>0.0</v>
      </c>
      <c r="L34" s="112">
        <v>0.158562676</v>
      </c>
      <c r="M34" s="112">
        <v>0.071025963</v>
      </c>
      <c r="N34" s="112">
        <v>0.229588639</v>
      </c>
      <c r="O34" s="298">
        <v>0.0</v>
      </c>
      <c r="P34" s="160">
        <v>9239.0</v>
      </c>
      <c r="Q34" s="156"/>
      <c r="R34" s="121">
        <f t="shared" si="4"/>
        <v>0</v>
      </c>
      <c r="S34" s="116">
        <f t="shared" si="5"/>
        <v>0.3783554476</v>
      </c>
      <c r="T34" s="117"/>
      <c r="U34" s="118">
        <f t="shared" si="6"/>
        <v>0.73965</v>
      </c>
      <c r="V34" s="148"/>
      <c r="W34" s="120">
        <f t="shared" si="7"/>
        <v>0.6141272727</v>
      </c>
      <c r="X34" s="148"/>
      <c r="Y34" s="120">
        <f t="shared" si="8"/>
        <v>0.6018090909</v>
      </c>
      <c r="Z34" s="299"/>
      <c r="AA34" s="441"/>
      <c r="AB34" s="300" t="str">
        <f t="shared" si="9"/>
        <v/>
      </c>
      <c r="AC34" s="300">
        <f t="shared" si="10"/>
        <v>0.6890056172</v>
      </c>
      <c r="AD34" s="122">
        <v>0.0012</v>
      </c>
      <c r="AE34" s="123">
        <v>0.0</v>
      </c>
      <c r="AF34" s="445">
        <v>0.0</v>
      </c>
      <c r="AG34" s="316">
        <v>0.0</v>
      </c>
      <c r="AH34" s="316">
        <v>0.0</v>
      </c>
      <c r="AI34" s="317">
        <v>0.0</v>
      </c>
      <c r="AJ34" s="317">
        <v>0.0</v>
      </c>
      <c r="AK34" s="319">
        <v>0.0</v>
      </c>
      <c r="AL34" s="319">
        <v>0.0</v>
      </c>
      <c r="AM34" s="302">
        <v>0.0</v>
      </c>
      <c r="AN34" s="149" t="str">
        <f>IFERROR(
  AVERAGEIFS(
    'New LF Efficacy'!$J:$J,
    'New LF Efficacy'!$D:$D, $A34,
    'New LF Efficacy'!$F:$F,"DEC", 
    'New LF Efficacy'!$W:$W,"&lt;2016",
    'New LF Efficacy'!$AA:$AA,""),
  ""
)</f>
        <v/>
      </c>
      <c r="AO34" s="115">
        <f t="shared" si="11"/>
        <v>0.38</v>
      </c>
      <c r="AP34" s="149" t="str">
        <f>IFERROR(
AVERAGEIFS(
'New LF Efficacy'!$J:$J,
'New LF Efficacy'!$D:$D,$A34,
'New LF Efficacy'!$F:$F,"Albendazole &amp; DEC",
'New LF Efficacy'!$W:$W,"&lt;2016",
'New LF Efficacy'!$AA:$AA,""),
"")
</f>
        <v/>
      </c>
      <c r="AQ34" s="115">
        <f t="shared" si="12"/>
        <v>0.662</v>
      </c>
      <c r="AR34" s="149" t="str">
        <f>IFERROR(
AVERAGEIFS(
'New LF Efficacy'!$J:$J,
'New LF Efficacy'!$D:$D,$A34,
'New LF Efficacy'!$F:$F,"Albendazole &amp; Ivermectin", 
'New LF Efficacy'!$W:$W,"&lt;2016",
'New LF Efficacy'!$AA:$AA,""),"")</f>
        <v/>
      </c>
      <c r="AS34" s="115">
        <f t="shared" si="13"/>
        <v>0.37153125</v>
      </c>
      <c r="AT34" s="442" t="str">
        <f>IFERROR(AVERAGEIFS(
'Schist Efficacy'!$O:$O, 
'Schist Efficacy'!$C:$C,$A34, 
'Schist Efficacy'!$D:$D, "Praziquantel",
'Schist Efficacy'!$J:$J,"&lt;2016",
'Schist Efficacy'!$U:$U,""),
"")</f>
        <v/>
      </c>
      <c r="AU34" s="118">
        <f t="shared" si="14"/>
        <v>0.9475</v>
      </c>
      <c r="AV34" s="131" t="str">
        <f>IFERROR(AVERAGEIFS(
'STH Efficacy'!$AX:$AX, 
'STH Efficacy'!$AL:$AL, $A34, 
'STH Efficacy'!$AM:$AM, "Albendazole",
'STH Efficacy'!$AS:$AS,"&lt;2016",
'STH Efficacy'!$BP:$BP,""),
"")</f>
        <v/>
      </c>
      <c r="AW34" s="132">
        <f t="shared" si="15"/>
        <v>0.3571666667</v>
      </c>
      <c r="AX34" s="131" t="str">
        <f>IFERROR(AVERAGEIFS(
'STH Efficacy'!$AX:$AX, 
'STH Efficacy'!$AL:$AL, $A34, 
'STH Efficacy'!$AM:$AM, "Mebendazole",
'STH Efficacy'!$AS:$AS,"&lt;2016",
'STH Efficacy'!$BP:$BP,""),
"")</f>
        <v/>
      </c>
      <c r="AY34" s="132">
        <f t="shared" si="16"/>
        <v>0.4155</v>
      </c>
      <c r="AZ34" s="131" t="str">
        <f>IFERROR(AVERAGEIFS(
'STH Efficacy'!$AX:$AX, 
'STH Efficacy'!$AL:$AL, $A34, 
'STH Efficacy'!$AM:$AM, "Albendazole &amp; Ivermectin",
'STH Efficacy'!$AS:$AS,"&lt;2016",
'STH Efficacy'!$BP:$BP,""),
"")</f>
        <v/>
      </c>
      <c r="BA34" s="133">
        <f t="shared" si="17"/>
        <v>0.651</v>
      </c>
      <c r="BB34" s="443" t="str">
        <f>IFERROR(AVERAGEIFS(
'STH Efficacy'!$N:$N, 
'STH Efficacy'!$B:$B, $A34, 
'STH Efficacy'!$C:$C, "Albendazole",
'STH Efficacy'!$I:$I,"&lt;2016",
'STH Efficacy'!$AH:$AH,""),
"")</f>
        <v/>
      </c>
      <c r="BC34" s="135">
        <f t="shared" si="18"/>
        <v>0.5769166667</v>
      </c>
      <c r="BD34" s="443" t="str">
        <f>IFERROR(AVERAGEIFS(
'STH Efficacy'!$N:$N, 
'STH Efficacy'!$B:$B, $A34, 
'STH Efficacy'!$C:$C, "Mebendazole",
'STH Efficacy'!$I:$I,"&lt;2016",
'STH Efficacy'!$AH:$AH,""),
"")</f>
        <v/>
      </c>
      <c r="BE34" s="135">
        <f t="shared" si="19"/>
        <v>0.3145</v>
      </c>
      <c r="BF34" s="436" t="str">
        <f>IFERROR(AVERAGEIFS(
'STH Efficacy'!$CD:$CD, 
'STH Efficacy'!$BS:$BS, $A34, 
'STH Efficacy'!$BT:$BT, "Albendazole",
'STH Efficacy'!$BZ:$BZ,"&lt;2016",
'STH Efficacy'!$CU:$CU,""),
"")</f>
        <v/>
      </c>
      <c r="BG34" s="136">
        <f t="shared" si="20"/>
        <v>0.96925</v>
      </c>
      <c r="BH34" s="436" t="str">
        <f>IFERROR(AVERAGEIFS(
'STH Efficacy'!$CD:$CD, 
'STH Efficacy'!$BS:$BS, $A34, 
'STH Efficacy'!$BT:$BT, "Mebendazole",
'STH Efficacy'!$BZ:$BZ,"&lt;2016",
'STH Efficacy'!$CU:$CU,""),
"")</f>
        <v/>
      </c>
      <c r="BI34" s="136">
        <f t="shared" si="21"/>
        <v>0.9305</v>
      </c>
      <c r="BJ34" s="436" t="str">
        <f>IFERROR(AVERAGEIFS(
'STH Efficacy'!$CD:$CD, 
'STH Efficacy'!$BS:$BS, $A34, 
'STH Efficacy'!$BT:$BT, "Albendazole &amp; Ivermectin",
'STH Efficacy'!$BZ:$BZ,"&lt;2016",
'STH Efficacy'!$CU:$CU,""),
"")</f>
        <v/>
      </c>
      <c r="BK34" s="136">
        <f t="shared" si="22"/>
        <v>0.848</v>
      </c>
      <c r="BL34" s="444" t="str">
        <f>IFERROR(
  AVERAGEIFS(
    'NEW Onchocerciasis Efficacy'!$AO:$AO,
    'NEW Onchocerciasis Efficacy'!$C:$C,$A34,
    'NEW Onchocerciasis Efficacy'!$D:$D,"Ivermectin",
    'NEW Onchocerciasis Efficacy'!$AR:$AR,"&lt;2016",
    'NEW Onchocerciasis Efficacy'!$BG:$BG,"")
,"")</f>
        <v/>
      </c>
      <c r="BM34" s="304">
        <f t="shared" si="23"/>
        <v>0.7808368939</v>
      </c>
      <c r="BN34" s="439">
        <v>1.0</v>
      </c>
      <c r="BO34" s="139">
        <v>0.0</v>
      </c>
      <c r="BP34" s="140">
        <v>0.0</v>
      </c>
      <c r="BQ34" s="141">
        <f t="shared" si="24"/>
        <v>0</v>
      </c>
      <c r="BR34" s="104" t="str">
        <f t="shared" si="25"/>
        <v>1000</v>
      </c>
      <c r="BS34" s="104" t="str">
        <f t="shared" si="26"/>
        <v>MDA1/2</v>
      </c>
      <c r="BT34" s="142" t="str">
        <f t="shared" si="27"/>
        <v>IVM+ALB or DEC+ALB</v>
      </c>
      <c r="BU34" s="104" t="str">
        <f t="shared" si="28"/>
        <v/>
      </c>
      <c r="BV34" s="104" t="str">
        <f t="shared" si="29"/>
        <v>lf only</v>
      </c>
      <c r="BW34" s="312">
        <f t="shared" si="30"/>
        <v>0</v>
      </c>
      <c r="BX34" s="312">
        <f t="shared" si="31"/>
        <v>0</v>
      </c>
      <c r="BY34" s="151" t="str">
        <f t="shared" si="32"/>
        <v/>
      </c>
      <c r="BZ34" s="152" t="str">
        <f t="shared" si="33"/>
        <v/>
      </c>
      <c r="CA34" s="152" t="str">
        <f t="shared" si="34"/>
        <v/>
      </c>
      <c r="CB34" s="152" t="str">
        <f t="shared" si="35"/>
        <v/>
      </c>
      <c r="CC34" s="153" t="str">
        <f t="shared" si="36"/>
        <v/>
      </c>
      <c r="CD34" s="153" t="str">
        <f t="shared" si="37"/>
        <v/>
      </c>
      <c r="CE34" s="154" t="str">
        <f t="shared" si="38"/>
        <v/>
      </c>
      <c r="CF34" s="154" t="str">
        <f t="shared" si="39"/>
        <v/>
      </c>
      <c r="CG34" s="154" t="str">
        <f t="shared" si="40"/>
        <v/>
      </c>
      <c r="CH34" s="308" t="str">
        <f t="shared" si="41"/>
        <v/>
      </c>
    </row>
    <row r="35">
      <c r="A35" s="103" t="s">
        <v>124</v>
      </c>
      <c r="B35" s="104" t="s">
        <v>90</v>
      </c>
      <c r="C35" s="428">
        <v>7177991.0</v>
      </c>
      <c r="D35" s="161">
        <v>0.0</v>
      </c>
      <c r="E35" s="294">
        <v>0.0</v>
      </c>
      <c r="F35" s="307">
        <v>0.0</v>
      </c>
      <c r="G35" s="309">
        <v>0.0</v>
      </c>
      <c r="H35" s="108">
        <v>0.0</v>
      </c>
      <c r="I35" s="109">
        <v>0.0</v>
      </c>
      <c r="J35" s="109">
        <v>0.0</v>
      </c>
      <c r="K35" s="109">
        <v>0.0</v>
      </c>
      <c r="L35" s="112">
        <v>0.0</v>
      </c>
      <c r="M35" s="112">
        <v>0.0</v>
      </c>
      <c r="N35" s="112">
        <v>0.0</v>
      </c>
      <c r="O35" s="298">
        <v>0.0</v>
      </c>
      <c r="P35" s="114"/>
      <c r="Q35" s="114"/>
      <c r="R35" s="121" t="str">
        <f t="shared" si="4"/>
        <v/>
      </c>
      <c r="S35" s="116">
        <f t="shared" si="5"/>
        <v>0.5709301448</v>
      </c>
      <c r="T35" s="117"/>
      <c r="U35" s="118">
        <f t="shared" si="6"/>
        <v>0.4791888889</v>
      </c>
      <c r="V35" s="148"/>
      <c r="W35" s="120">
        <f t="shared" si="7"/>
        <v>0.0223</v>
      </c>
      <c r="X35" s="148"/>
      <c r="Y35" s="120">
        <f t="shared" si="8"/>
        <v>0.598275</v>
      </c>
      <c r="Z35" s="299"/>
      <c r="AA35" s="441"/>
      <c r="AB35" s="300" t="str">
        <f t="shared" si="9"/>
        <v/>
      </c>
      <c r="AC35" s="300">
        <f t="shared" si="10"/>
        <v>0.6890056172</v>
      </c>
      <c r="AD35" s="122">
        <v>0.0</v>
      </c>
      <c r="AE35" s="123">
        <v>0.0</v>
      </c>
      <c r="AF35" s="430">
        <v>0.0</v>
      </c>
      <c r="AG35" s="124">
        <v>0.0</v>
      </c>
      <c r="AH35" s="124">
        <v>0.0</v>
      </c>
      <c r="AI35" s="125">
        <v>0.0</v>
      </c>
      <c r="AJ35" s="125">
        <v>0.0</v>
      </c>
      <c r="AK35" s="127">
        <v>0.0</v>
      </c>
      <c r="AL35" s="127">
        <v>0.0</v>
      </c>
      <c r="AM35" s="302">
        <v>0.0</v>
      </c>
      <c r="AN35" s="149" t="str">
        <f>IFERROR(
  AVERAGEIFS(
    'New LF Efficacy'!$J:$J,
    'New LF Efficacy'!$D:$D, $A35,
    'New LF Efficacy'!$F:$F,"DEC", 
    'New LF Efficacy'!$W:$W,"&lt;2016",
    'New LF Efficacy'!$AA:$AA,""),
  ""
)</f>
        <v/>
      </c>
      <c r="AO35" s="115">
        <f t="shared" si="11"/>
        <v>0.3573520833</v>
      </c>
      <c r="AP35" s="149" t="str">
        <f>IFERROR(
AVERAGEIFS(
'New LF Efficacy'!$J:$J,
'New LF Efficacy'!$D:$D,$A35,
'New LF Efficacy'!$F:$F,"Albendazole &amp; DEC",
'New LF Efficacy'!$W:$W,"&lt;2016",
'New LF Efficacy'!$AA:$AA,""),
"")
</f>
        <v/>
      </c>
      <c r="AQ35" s="115">
        <f t="shared" si="12"/>
        <v>0.5143541667</v>
      </c>
      <c r="AR35" s="149" t="str">
        <f>IFERROR(
AVERAGEIFS(
'New LF Efficacy'!$J:$J,
'New LF Efficacy'!$D:$D,$A35,
'New LF Efficacy'!$F:$F,"Albendazole &amp; Ivermectin", 
'New LF Efficacy'!$W:$W,"&lt;2016",
'New LF Efficacy'!$AA:$AA,""),"")</f>
        <v/>
      </c>
      <c r="AS35" s="115">
        <f t="shared" si="13"/>
        <v>0.37153125</v>
      </c>
      <c r="AT35" s="442" t="str">
        <f>IFERROR(AVERAGEIFS(
'Schist Efficacy'!$O:$O, 
'Schist Efficacy'!$C:$C,$A35, 
'Schist Efficacy'!$D:$D, "Praziquantel",
'Schist Efficacy'!$J:$J,"&lt;2016",
'Schist Efficacy'!$U:$U,""),
"")</f>
        <v/>
      </c>
      <c r="AU35" s="118">
        <f t="shared" si="14"/>
        <v>0.655</v>
      </c>
      <c r="AV35" s="131" t="str">
        <f>IFERROR(AVERAGEIFS(
'STH Efficacy'!$AX:$AX, 
'STH Efficacy'!$AL:$AL, $A35, 
'STH Efficacy'!$AM:$AM, "Albendazole",
'STH Efficacy'!$AS:$AS,"&lt;2016",
'STH Efficacy'!$BP:$BP,""),
"")</f>
        <v/>
      </c>
      <c r="AW35" s="132">
        <f t="shared" si="15"/>
        <v>0.4143846154</v>
      </c>
      <c r="AX35" s="131" t="str">
        <f>IFERROR(AVERAGEIFS(
'STH Efficacy'!$AX:$AX, 
'STH Efficacy'!$AL:$AL, $A35, 
'STH Efficacy'!$AM:$AM, "Mebendazole",
'STH Efficacy'!$AS:$AS,"&lt;2016",
'STH Efficacy'!$BP:$BP,""),
"")</f>
        <v/>
      </c>
      <c r="AY35" s="132">
        <f t="shared" si="16"/>
        <v>0.4691770833</v>
      </c>
      <c r="AZ35" s="131" t="str">
        <f>IFERROR(AVERAGEIFS(
'STH Efficacy'!$AX:$AX, 
'STH Efficacy'!$AL:$AL, $A35, 
'STH Efficacy'!$AM:$AM, "Albendazole &amp; Ivermectin",
'STH Efficacy'!$AS:$AS,"&lt;2016",
'STH Efficacy'!$BP:$BP,""),
"")</f>
        <v/>
      </c>
      <c r="BA35" s="133">
        <f t="shared" si="17"/>
        <v>0.597625</v>
      </c>
      <c r="BB35" s="443" t="str">
        <f>IFERROR(AVERAGEIFS(
'STH Efficacy'!$N:$N, 
'STH Efficacy'!$B:$B, $A35, 
'STH Efficacy'!$C:$C, "Albendazole",
'STH Efficacy'!$I:$I,"&lt;2016",
'STH Efficacy'!$AH:$AH,""),
"")</f>
        <v/>
      </c>
      <c r="BC35" s="135">
        <f t="shared" si="18"/>
        <v>0.7613712121</v>
      </c>
      <c r="BD35" s="443" t="str">
        <f>IFERROR(AVERAGEIFS(
'STH Efficacy'!$N:$N, 
'STH Efficacy'!$B:$B, $A35, 
'STH Efficacy'!$C:$C, "Mebendazole",
'STH Efficacy'!$I:$I,"&lt;2016",
'STH Efficacy'!$AH:$AH,""),
"")</f>
        <v/>
      </c>
      <c r="BE35" s="135">
        <f t="shared" si="19"/>
        <v>0.4362466667</v>
      </c>
      <c r="BF35" s="436" t="str">
        <f>IFERROR(AVERAGEIFS(
'STH Efficacy'!$CD:$CD, 
'STH Efficacy'!$BS:$BS, $A35, 
'STH Efficacy'!$BT:$BT, "Albendazole",
'STH Efficacy'!$BZ:$BZ,"&lt;2016",
'STH Efficacy'!$CU:$CU,""),
"")</f>
        <v/>
      </c>
      <c r="BG35" s="136">
        <f t="shared" si="20"/>
        <v>0.9216027778</v>
      </c>
      <c r="BH35" s="436" t="str">
        <f>IFERROR(AVERAGEIFS(
'STH Efficacy'!$CD:$CD, 
'STH Efficacy'!$BS:$BS, $A35, 
'STH Efficacy'!$BT:$BT, "Mebendazole",
'STH Efficacy'!$BZ:$BZ,"&lt;2016",
'STH Efficacy'!$CU:$CU,""),
"")</f>
        <v/>
      </c>
      <c r="BI35" s="136">
        <f t="shared" si="21"/>
        <v>0.8866041667</v>
      </c>
      <c r="BJ35" s="436" t="str">
        <f>IFERROR(AVERAGEIFS(
'STH Efficacy'!$CD:$CD, 
'STH Efficacy'!$BS:$BS, $A35, 
'STH Efficacy'!$BT:$BT, "Albendazole &amp; Ivermectin",
'STH Efficacy'!$BZ:$BZ,"&lt;2016",
'STH Efficacy'!$CU:$CU,""),
"")</f>
        <v/>
      </c>
      <c r="BK35" s="136">
        <f t="shared" si="22"/>
        <v>0.848</v>
      </c>
      <c r="BL35" s="444" t="str">
        <f>IFERROR(
  AVERAGEIFS(
    'NEW Onchocerciasis Efficacy'!$AO:$AO,
    'NEW Onchocerciasis Efficacy'!$C:$C,$A35,
    'NEW Onchocerciasis Efficacy'!$D:$D,"Ivermectin",
    'NEW Onchocerciasis Efficacy'!$AR:$AR,"&lt;2016",
    'NEW Onchocerciasis Efficacy'!$BG:$BG,"")
,"")</f>
        <v/>
      </c>
      <c r="BM35" s="304">
        <f t="shared" si="23"/>
        <v>0.7808368939</v>
      </c>
      <c r="BN35" s="439">
        <v>0.0</v>
      </c>
      <c r="BO35" s="139">
        <v>0.0</v>
      </c>
      <c r="BP35" s="140">
        <v>0.0</v>
      </c>
      <c r="BQ35" s="141">
        <f t="shared" si="24"/>
        <v>0</v>
      </c>
      <c r="BR35" s="104" t="str">
        <f t="shared" si="25"/>
        <v>0000</v>
      </c>
      <c r="BS35" s="104" t="str">
        <f t="shared" si="26"/>
        <v>no action required</v>
      </c>
      <c r="BT35" s="142" t="str">
        <f t="shared" si="27"/>
        <v/>
      </c>
      <c r="BU35" s="104" t="str">
        <f t="shared" si="28"/>
        <v/>
      </c>
      <c r="BV35" s="104" t="str">
        <f t="shared" si="29"/>
        <v>none</v>
      </c>
      <c r="BW35" s="150" t="str">
        <f t="shared" si="30"/>
        <v/>
      </c>
      <c r="BX35" s="150" t="str">
        <f t="shared" si="31"/>
        <v/>
      </c>
      <c r="BY35" s="151" t="str">
        <f t="shared" si="32"/>
        <v/>
      </c>
      <c r="BZ35" s="152" t="str">
        <f t="shared" si="33"/>
        <v/>
      </c>
      <c r="CA35" s="152" t="str">
        <f t="shared" si="34"/>
        <v/>
      </c>
      <c r="CB35" s="152" t="str">
        <f t="shared" si="35"/>
        <v/>
      </c>
      <c r="CC35" s="153" t="str">
        <f t="shared" si="36"/>
        <v/>
      </c>
      <c r="CD35" s="153" t="str">
        <f t="shared" si="37"/>
        <v/>
      </c>
      <c r="CE35" s="154" t="str">
        <f t="shared" si="38"/>
        <v/>
      </c>
      <c r="CF35" s="154" t="str">
        <f t="shared" si="39"/>
        <v/>
      </c>
      <c r="CG35" s="154" t="str">
        <f t="shared" si="40"/>
        <v/>
      </c>
      <c r="CH35" s="308" t="str">
        <f t="shared" si="41"/>
        <v/>
      </c>
    </row>
    <row r="36">
      <c r="A36" s="103" t="s">
        <v>125</v>
      </c>
      <c r="B36" s="104" t="s">
        <v>92</v>
      </c>
      <c r="C36" s="428">
        <v>1.8110624E7</v>
      </c>
      <c r="D36" s="161">
        <v>13668.630000000001</v>
      </c>
      <c r="E36" s="294">
        <v>12651.96034</v>
      </c>
      <c r="F36" s="295">
        <v>0.037700284</v>
      </c>
      <c r="G36" s="295">
        <v>0.1879412</v>
      </c>
      <c r="H36" s="108">
        <v>0.225641484</v>
      </c>
      <c r="I36" s="109">
        <v>388.370419</v>
      </c>
      <c r="J36" s="110">
        <v>1010.46669</v>
      </c>
      <c r="K36" s="109">
        <v>1398.837114</v>
      </c>
      <c r="L36" s="112">
        <v>5445.274757</v>
      </c>
      <c r="M36" s="112">
        <v>528.3275412</v>
      </c>
      <c r="N36" s="112">
        <v>5973.602298</v>
      </c>
      <c r="O36" s="298">
        <v>0.0</v>
      </c>
      <c r="P36" s="160">
        <v>6713705.0</v>
      </c>
      <c r="Q36" s="160">
        <v>5393933.0</v>
      </c>
      <c r="R36" s="121">
        <f t="shared" si="4"/>
        <v>0.8034212108</v>
      </c>
      <c r="S36" s="116">
        <f t="shared" si="5"/>
        <v>0.8034212108</v>
      </c>
      <c r="T36" s="118">
        <v>0.945</v>
      </c>
      <c r="U36" s="118">
        <f t="shared" si="6"/>
        <v>0.945</v>
      </c>
      <c r="V36" s="148"/>
      <c r="W36" s="120">
        <f t="shared" si="7"/>
        <v>0.8084736842</v>
      </c>
      <c r="X36" s="119">
        <v>0.5546</v>
      </c>
      <c r="Y36" s="120">
        <f t="shared" si="8"/>
        <v>0.5546</v>
      </c>
      <c r="Z36" s="310">
        <v>252961.0</v>
      </c>
      <c r="AA36" s="310">
        <v>244178.0</v>
      </c>
      <c r="AB36" s="300">
        <f t="shared" si="9"/>
        <v>0.9652792328</v>
      </c>
      <c r="AC36" s="300">
        <f t="shared" si="10"/>
        <v>0.9652792328</v>
      </c>
      <c r="AD36" s="122">
        <v>0.0111</v>
      </c>
      <c r="AE36" s="123">
        <v>0.04</v>
      </c>
      <c r="AF36" s="430">
        <v>0.0112</v>
      </c>
      <c r="AG36" s="124">
        <v>0.0114</v>
      </c>
      <c r="AH36" s="124">
        <v>0.018542053</v>
      </c>
      <c r="AI36" s="125">
        <v>0.0364</v>
      </c>
      <c r="AJ36" s="125">
        <v>0.059100117</v>
      </c>
      <c r="AK36" s="127">
        <v>0.0111</v>
      </c>
      <c r="AL36" s="127">
        <v>0.017275006</v>
      </c>
      <c r="AM36" s="302">
        <v>0.0</v>
      </c>
      <c r="AN36" s="149" t="str">
        <f>IFERROR(
  AVERAGEIFS(
    'New LF Efficacy'!$J:$J,
    'New LF Efficacy'!$D:$D, $A36,
    'New LF Efficacy'!$F:$F,"DEC", 
    'New LF Efficacy'!$W:$W,"&lt;2016",
    'New LF Efficacy'!$AA:$AA,""),
  ""
)</f>
        <v/>
      </c>
      <c r="AO36" s="115">
        <f t="shared" si="11"/>
        <v>0.31225</v>
      </c>
      <c r="AP36" s="149" t="str">
        <f>IFERROR(
AVERAGEIFS(
'New LF Efficacy'!$J:$J,
'New LF Efficacy'!$D:$D,$A36,
'New LF Efficacy'!$F:$F,"Albendazole &amp; DEC",
'New LF Efficacy'!$W:$W,"&lt;2016",
'New LF Efficacy'!$AA:$AA,""),
"")
</f>
        <v/>
      </c>
      <c r="AQ36" s="115">
        <f t="shared" si="12"/>
        <v>0.4</v>
      </c>
      <c r="AR36" s="149" t="str">
        <f>IFERROR(
AVERAGEIFS(
'New LF Efficacy'!$J:$J,
'New LF Efficacy'!$D:$D,$A36,
'New LF Efficacy'!$F:$F,"Albendazole &amp; Ivermectin", 
'New LF Efficacy'!$W:$W,"&lt;2016",
'New LF Efficacy'!$AA:$AA,""),"")</f>
        <v/>
      </c>
      <c r="AS36" s="115">
        <f t="shared" si="13"/>
        <v>0.2943125</v>
      </c>
      <c r="AT36" s="442" t="str">
        <f>IFERROR(AVERAGEIFS(
'Schist Efficacy'!$O:$O, 
'Schist Efficacy'!$C:$C,$A36, 
'Schist Efficacy'!$D:$D, "Praziquantel",
'Schist Efficacy'!$J:$J,"&lt;2016",
'Schist Efficacy'!$U:$U,""),
"")</f>
        <v/>
      </c>
      <c r="AU36" s="118">
        <f t="shared" si="14"/>
        <v>0.7206464759</v>
      </c>
      <c r="AV36" s="131" t="str">
        <f>IFERROR(AVERAGEIFS(
'STH Efficacy'!$AX:$AX, 
'STH Efficacy'!$AL:$AL, $A36, 
'STH Efficacy'!$AM:$AM, "Albendazole",
'STH Efficacy'!$AS:$AS,"&lt;2016",
'STH Efficacy'!$BP:$BP,""),
"")</f>
        <v/>
      </c>
      <c r="AW36" s="132">
        <f t="shared" si="15"/>
        <v>0.3816333333</v>
      </c>
      <c r="AX36" s="131" t="str">
        <f>IFERROR(AVERAGEIFS(
'STH Efficacy'!$AX:$AX, 
'STH Efficacy'!$AL:$AL, $A36, 
'STH Efficacy'!$AM:$AM, "Mebendazole",
'STH Efficacy'!$AS:$AS,"&lt;2016",
'STH Efficacy'!$BP:$BP,""),
"")</f>
        <v/>
      </c>
      <c r="AY36" s="132">
        <f t="shared" si="16"/>
        <v>0.4859375</v>
      </c>
      <c r="AZ36" s="131" t="str">
        <f>IFERROR(AVERAGEIFS(
'STH Efficacy'!$AX:$AX, 
'STH Efficacy'!$AL:$AL, $A36, 
'STH Efficacy'!$AM:$AM, "Albendazole &amp; Ivermectin",
'STH Efficacy'!$AS:$AS,"&lt;2016",
'STH Efficacy'!$BP:$BP,""),
"")</f>
        <v/>
      </c>
      <c r="BA36" s="133">
        <f t="shared" si="17"/>
        <v>0.47175</v>
      </c>
      <c r="BB36" s="443" t="str">
        <f>IFERROR(AVERAGEIFS(
'STH Efficacy'!$N:$N, 
'STH Efficacy'!$B:$B, $A36, 
'STH Efficacy'!$C:$C, "Albendazole",
'STH Efficacy'!$I:$I,"&lt;2016",
'STH Efficacy'!$AH:$AH,""),
"")</f>
        <v/>
      </c>
      <c r="BC36" s="135">
        <f t="shared" si="18"/>
        <v>0.8699166667</v>
      </c>
      <c r="BD36" s="443" t="str">
        <f>IFERROR(AVERAGEIFS(
'STH Efficacy'!$N:$N, 
'STH Efficacy'!$B:$B, $A36, 
'STH Efficacy'!$C:$C, "Mebendazole",
'STH Efficacy'!$I:$I,"&lt;2016",
'STH Efficacy'!$AH:$AH,""),
"")</f>
        <v/>
      </c>
      <c r="BE36" s="135">
        <f t="shared" si="19"/>
        <v>0.7092416667</v>
      </c>
      <c r="BF36" s="436" t="str">
        <f>IFERROR(AVERAGEIFS(
'STH Efficacy'!$CD:$CD, 
'STH Efficacy'!$BS:$BS, $A36, 
'STH Efficacy'!$BT:$BT, "Albendazole",
'STH Efficacy'!$BZ:$BZ,"&lt;2016",
'STH Efficacy'!$CU:$CU,""),
"")</f>
        <v/>
      </c>
      <c r="BG36" s="136">
        <f t="shared" si="20"/>
        <v>0.9066666667</v>
      </c>
      <c r="BH36" s="436" t="str">
        <f>IFERROR(AVERAGEIFS(
'STH Efficacy'!$CD:$CD, 
'STH Efficacy'!$BS:$BS, $A36, 
'STH Efficacy'!$BT:$BT, "Mebendazole",
'STH Efficacy'!$BZ:$BZ,"&lt;2016",
'STH Efficacy'!$CU:$CU,""),
"")</f>
        <v/>
      </c>
      <c r="BI36" s="136">
        <f t="shared" si="21"/>
        <v>0.8483333333</v>
      </c>
      <c r="BJ36" s="436" t="str">
        <f>IFERROR(AVERAGEIFS(
'STH Efficacy'!$CD:$CD, 
'STH Efficacy'!$BS:$BS, $A36, 
'STH Efficacy'!$BT:$BT, "Albendazole &amp; Ivermectin",
'STH Efficacy'!$BZ:$BZ,"&lt;2016",
'STH Efficacy'!$CU:$CU,""),
"")</f>
        <v/>
      </c>
      <c r="BK36" s="136">
        <f t="shared" si="22"/>
        <v>0.696</v>
      </c>
      <c r="BL36" s="444" t="str">
        <f>IFERROR(
  AVERAGEIFS(
    'NEW Onchocerciasis Efficacy'!$AO:$AO,
    'NEW Onchocerciasis Efficacy'!$C:$C,$A36,
    'NEW Onchocerciasis Efficacy'!$D:$D,"Ivermectin",
    'NEW Onchocerciasis Efficacy'!$AR:$AR,"&lt;2016",
    'NEW Onchocerciasis Efficacy'!$BG:$BG,"")
,"")</f>
        <v/>
      </c>
      <c r="BM36" s="304">
        <f t="shared" si="23"/>
        <v>0.8390421645</v>
      </c>
      <c r="BN36" s="439">
        <v>1.0</v>
      </c>
      <c r="BO36" s="139">
        <v>1.0</v>
      </c>
      <c r="BP36" s="140">
        <v>1.0</v>
      </c>
      <c r="BQ36" s="141">
        <f t="shared" si="24"/>
        <v>0</v>
      </c>
      <c r="BR36" s="104" t="str">
        <f t="shared" si="25"/>
        <v>1110</v>
      </c>
      <c r="BS36" s="104" t="str">
        <f t="shared" si="26"/>
        <v>MDA1+T2</v>
      </c>
      <c r="BT36" s="142" t="str">
        <f t="shared" si="27"/>
        <v>IVM+ALB</v>
      </c>
      <c r="BU36" s="104" t="str">
        <f t="shared" si="28"/>
        <v>PZQ</v>
      </c>
      <c r="BV36" s="104" t="str">
        <f t="shared" si="29"/>
        <v>lf+onch+schist </v>
      </c>
      <c r="BW36" s="150" t="str">
        <f t="shared" si="30"/>
        <v/>
      </c>
      <c r="BX36" s="312">
        <f t="shared" si="31"/>
        <v>4232.952886</v>
      </c>
      <c r="BY36" s="162">
        <f t="shared" si="32"/>
        <v>27010.71504</v>
      </c>
      <c r="BZ36" s="152" t="str">
        <f t="shared" si="33"/>
        <v/>
      </c>
      <c r="CA36" s="152" t="str">
        <f t="shared" si="34"/>
        <v/>
      </c>
      <c r="CB36" s="152" t="str">
        <f t="shared" si="35"/>
        <v/>
      </c>
      <c r="CC36" s="153" t="str">
        <f t="shared" si="36"/>
        <v/>
      </c>
      <c r="CD36" s="153" t="str">
        <f t="shared" si="37"/>
        <v/>
      </c>
      <c r="CE36" s="154" t="str">
        <f t="shared" si="38"/>
        <v/>
      </c>
      <c r="CF36" s="154" t="str">
        <f t="shared" si="39"/>
        <v/>
      </c>
      <c r="CG36" s="154" t="str">
        <f t="shared" si="40"/>
        <v/>
      </c>
      <c r="CH36" s="313">
        <f t="shared" si="41"/>
        <v>0</v>
      </c>
    </row>
    <row r="37">
      <c r="A37" s="103" t="s">
        <v>126</v>
      </c>
      <c r="B37" s="104" t="s">
        <v>92</v>
      </c>
      <c r="C37" s="428">
        <v>1.019927E7</v>
      </c>
      <c r="D37" s="161">
        <v>0.0</v>
      </c>
      <c r="E37" s="294">
        <v>13946.29347</v>
      </c>
      <c r="F37" s="295">
        <v>36.72568603</v>
      </c>
      <c r="G37" s="295">
        <v>136.7211045</v>
      </c>
      <c r="H37" s="108">
        <v>173.4467906</v>
      </c>
      <c r="I37" s="109">
        <v>1092.08502</v>
      </c>
      <c r="J37" s="110">
        <v>2545.1481</v>
      </c>
      <c r="K37" s="110">
        <v>3637.233122</v>
      </c>
      <c r="L37" s="111">
        <v>2865.277009</v>
      </c>
      <c r="M37" s="112">
        <v>613.1351795</v>
      </c>
      <c r="N37" s="112">
        <v>3478.412189</v>
      </c>
      <c r="O37" s="298">
        <v>10860.3099</v>
      </c>
      <c r="P37" s="156"/>
      <c r="Q37" s="156"/>
      <c r="R37" s="121" t="str">
        <f t="shared" si="4"/>
        <v/>
      </c>
      <c r="S37" s="116">
        <f t="shared" si="5"/>
        <v>0.3345096109</v>
      </c>
      <c r="T37" s="118">
        <v>0.248</v>
      </c>
      <c r="U37" s="118">
        <f t="shared" si="6"/>
        <v>0.248</v>
      </c>
      <c r="V37" s="119">
        <v>0.9353</v>
      </c>
      <c r="W37" s="120">
        <f t="shared" si="7"/>
        <v>0.9353</v>
      </c>
      <c r="X37" s="119">
        <v>1.0</v>
      </c>
      <c r="Y37" s="120">
        <f t="shared" si="8"/>
        <v>1</v>
      </c>
      <c r="Z37" s="310">
        <v>1664143.0</v>
      </c>
      <c r="AA37" s="310">
        <v>1352797.0</v>
      </c>
      <c r="AB37" s="300">
        <f t="shared" si="9"/>
        <v>0.812909107</v>
      </c>
      <c r="AC37" s="300">
        <f t="shared" si="10"/>
        <v>0.812909107</v>
      </c>
      <c r="AD37" s="122">
        <v>0.0</v>
      </c>
      <c r="AE37" s="123">
        <v>0.1</v>
      </c>
      <c r="AF37" s="430">
        <v>0.0326</v>
      </c>
      <c r="AG37" s="124">
        <v>0.0766</v>
      </c>
      <c r="AH37" s="124">
        <v>0.119293939</v>
      </c>
      <c r="AI37" s="125">
        <v>0.1334</v>
      </c>
      <c r="AJ37" s="125">
        <v>0.21236243</v>
      </c>
      <c r="AK37" s="127">
        <v>0.0813</v>
      </c>
      <c r="AL37" s="127">
        <v>0.127094481</v>
      </c>
      <c r="AM37" s="302">
        <v>0.014</v>
      </c>
      <c r="AN37" s="149" t="str">
        <f>IFERROR(
  AVERAGEIFS(
    'New LF Efficacy'!$J:$J,
    'New LF Efficacy'!$D:$D, $A37,
    'New LF Efficacy'!$F:$F,"DEC", 
    'New LF Efficacy'!$W:$W,"&lt;2016",
    'New LF Efficacy'!$AA:$AA,""),
  ""
)</f>
        <v/>
      </c>
      <c r="AO37" s="115">
        <f t="shared" si="11"/>
        <v>0.31225</v>
      </c>
      <c r="AP37" s="149" t="str">
        <f>IFERROR(
AVERAGEIFS(
'New LF Efficacy'!$J:$J,
'New LF Efficacy'!$D:$D,$A37,
'New LF Efficacy'!$F:$F,"Albendazole &amp; DEC",
'New LF Efficacy'!$W:$W,"&lt;2016",
'New LF Efficacy'!$AA:$AA,""),
"")
</f>
        <v/>
      </c>
      <c r="AQ37" s="115">
        <f t="shared" si="12"/>
        <v>0.4</v>
      </c>
      <c r="AR37" s="149" t="str">
        <f>IFERROR(
AVERAGEIFS(
'New LF Efficacy'!$J:$J,
'New LF Efficacy'!$D:$D,$A37,
'New LF Efficacy'!$F:$F,"Albendazole &amp; Ivermectin", 
'New LF Efficacy'!$W:$W,"&lt;2016",
'New LF Efficacy'!$AA:$AA,""),"")</f>
        <v/>
      </c>
      <c r="AS37" s="115">
        <f t="shared" si="13"/>
        <v>0.2943125</v>
      </c>
      <c r="AT37" s="442">
        <f>IFERROR(AVERAGEIFS(
'Schist Efficacy'!$O:$O, 
'Schist Efficacy'!$C:$C,$A37, 
'Schist Efficacy'!$D:$D, "Praziquantel",
'Schist Efficacy'!$J:$J,"&lt;2016",
'Schist Efficacy'!$U:$U,""),
"")</f>
        <v>0.6633333333</v>
      </c>
      <c r="AU37" s="118">
        <f t="shared" si="14"/>
        <v>0.6633333333</v>
      </c>
      <c r="AV37" s="131" t="str">
        <f>IFERROR(AVERAGEIFS(
'STH Efficacy'!$AX:$AX, 
'STH Efficacy'!$AL:$AL, $A37, 
'STH Efficacy'!$AM:$AM, "Albendazole",
'STH Efficacy'!$AS:$AS,"&lt;2016",
'STH Efficacy'!$BP:$BP,""),
"")</f>
        <v/>
      </c>
      <c r="AW37" s="132">
        <f t="shared" si="15"/>
        <v>0.3816333333</v>
      </c>
      <c r="AX37" s="131" t="str">
        <f>IFERROR(AVERAGEIFS(
'STH Efficacy'!$AX:$AX, 
'STH Efficacy'!$AL:$AL, $A37, 
'STH Efficacy'!$AM:$AM, "Mebendazole",
'STH Efficacy'!$AS:$AS,"&lt;2016",
'STH Efficacy'!$BP:$BP,""),
"")</f>
        <v/>
      </c>
      <c r="AY37" s="132">
        <f t="shared" si="16"/>
        <v>0.4859375</v>
      </c>
      <c r="AZ37" s="131" t="str">
        <f>IFERROR(AVERAGEIFS(
'STH Efficacy'!$AX:$AX, 
'STH Efficacy'!$AL:$AL, $A37, 
'STH Efficacy'!$AM:$AM, "Albendazole &amp; Ivermectin",
'STH Efficacy'!$AS:$AS,"&lt;2016",
'STH Efficacy'!$BP:$BP,""),
"")</f>
        <v/>
      </c>
      <c r="BA37" s="133">
        <f t="shared" si="17"/>
        <v>0.47175</v>
      </c>
      <c r="BB37" s="443" t="str">
        <f>IFERROR(AVERAGEIFS(
'STH Efficacy'!$N:$N, 
'STH Efficacy'!$B:$B, $A37, 
'STH Efficacy'!$C:$C, "Albendazole",
'STH Efficacy'!$I:$I,"&lt;2016",
'STH Efficacy'!$AH:$AH,""),
"")</f>
        <v/>
      </c>
      <c r="BC37" s="135">
        <f t="shared" si="18"/>
        <v>0.8699166667</v>
      </c>
      <c r="BD37" s="443" t="str">
        <f>IFERROR(AVERAGEIFS(
'STH Efficacy'!$N:$N, 
'STH Efficacy'!$B:$B, $A37, 
'STH Efficacy'!$C:$C, "Mebendazole",
'STH Efficacy'!$I:$I,"&lt;2016",
'STH Efficacy'!$AH:$AH,""),
"")</f>
        <v/>
      </c>
      <c r="BE37" s="135">
        <f t="shared" si="19"/>
        <v>0.7092416667</v>
      </c>
      <c r="BF37" s="436" t="str">
        <f>IFERROR(AVERAGEIFS(
'STH Efficacy'!$CD:$CD, 
'STH Efficacy'!$BS:$BS, $A37, 
'STH Efficacy'!$BT:$BT, "Albendazole",
'STH Efficacy'!$BZ:$BZ,"&lt;2016",
'STH Efficacy'!$CU:$CU,""),
"")</f>
        <v/>
      </c>
      <c r="BG37" s="136">
        <f t="shared" si="20"/>
        <v>0.9066666667</v>
      </c>
      <c r="BH37" s="436" t="str">
        <f>IFERROR(AVERAGEIFS(
'STH Efficacy'!$CD:$CD, 
'STH Efficacy'!$BS:$BS, $A37, 
'STH Efficacy'!$BT:$BT, "Mebendazole",
'STH Efficacy'!$BZ:$BZ,"&lt;2016",
'STH Efficacy'!$CU:$CU,""),
"")</f>
        <v/>
      </c>
      <c r="BI37" s="136">
        <f t="shared" si="21"/>
        <v>0.8483333333</v>
      </c>
      <c r="BJ37" s="436" t="str">
        <f>IFERROR(AVERAGEIFS(
'STH Efficacy'!$CD:$CD, 
'STH Efficacy'!$BS:$BS, $A37, 
'STH Efficacy'!$BT:$BT, "Albendazole &amp; Ivermectin",
'STH Efficacy'!$BZ:$BZ,"&lt;2016",
'STH Efficacy'!$CU:$CU,""),
"")</f>
        <v/>
      </c>
      <c r="BK37" s="136">
        <f t="shared" si="22"/>
        <v>0.696</v>
      </c>
      <c r="BL37" s="444" t="str">
        <f>IFERROR(
  AVERAGEIFS(
    'NEW Onchocerciasis Efficacy'!$AO:$AO,
    'NEW Onchocerciasis Efficacy'!$C:$C,$A37,
    'NEW Onchocerciasis Efficacy'!$D:$D,"Ivermectin",
    'NEW Onchocerciasis Efficacy'!$AR:$AR,"&lt;2016",
    'NEW Onchocerciasis Efficacy'!$BG:$BG,"")
,"")</f>
        <v/>
      </c>
      <c r="BM37" s="304">
        <f t="shared" si="23"/>
        <v>0.8390421645</v>
      </c>
      <c r="BN37" s="439">
        <v>0.0</v>
      </c>
      <c r="BO37" s="139">
        <v>1.0</v>
      </c>
      <c r="BP37" s="140">
        <v>1.0</v>
      </c>
      <c r="BQ37" s="141">
        <f t="shared" si="24"/>
        <v>0</v>
      </c>
      <c r="BR37" s="104" t="str">
        <f t="shared" si="25"/>
        <v>0110</v>
      </c>
      <c r="BS37" s="104" t="str">
        <f t="shared" si="26"/>
        <v>MDA3+T2</v>
      </c>
      <c r="BT37" s="142" t="str">
        <f t="shared" si="27"/>
        <v>IVM</v>
      </c>
      <c r="BU37" s="104" t="str">
        <f t="shared" si="28"/>
        <v>PZQ</v>
      </c>
      <c r="BV37" s="104" t="str">
        <f t="shared" si="29"/>
        <v>onch+schist</v>
      </c>
      <c r="BW37" s="150" t="str">
        <f t="shared" si="30"/>
        <v/>
      </c>
      <c r="BX37" s="150" t="str">
        <f t="shared" si="31"/>
        <v/>
      </c>
      <c r="BY37" s="162">
        <f t="shared" si="32"/>
        <v>2745.992289</v>
      </c>
      <c r="BZ37" s="152" t="str">
        <f t="shared" si="33"/>
        <v/>
      </c>
      <c r="CA37" s="152" t="str">
        <f t="shared" si="34"/>
        <v/>
      </c>
      <c r="CB37" s="152" t="str">
        <f t="shared" si="35"/>
        <v/>
      </c>
      <c r="CC37" s="153" t="str">
        <f t="shared" si="36"/>
        <v/>
      </c>
      <c r="CD37" s="153" t="str">
        <f t="shared" si="37"/>
        <v/>
      </c>
      <c r="CE37" s="154" t="str">
        <f t="shared" si="38"/>
        <v/>
      </c>
      <c r="CF37" s="154" t="str">
        <f t="shared" si="39"/>
        <v/>
      </c>
      <c r="CG37" s="154" t="str">
        <f t="shared" si="40"/>
        <v/>
      </c>
      <c r="CH37" s="313">
        <f t="shared" si="41"/>
        <v>776.6197326</v>
      </c>
    </row>
    <row r="38">
      <c r="A38" s="103" t="s">
        <v>127</v>
      </c>
      <c r="B38" s="104" t="s">
        <v>94</v>
      </c>
      <c r="C38" s="428">
        <v>1.5517635E7</v>
      </c>
      <c r="D38" s="161">
        <v>1245.34</v>
      </c>
      <c r="E38" s="294">
        <v>7722.733786</v>
      </c>
      <c r="F38" s="307">
        <v>0.0</v>
      </c>
      <c r="G38" s="309">
        <v>0.0</v>
      </c>
      <c r="H38" s="108">
        <v>0.0</v>
      </c>
      <c r="I38" s="109">
        <v>14.1708558</v>
      </c>
      <c r="J38" s="109">
        <v>20.8861815</v>
      </c>
      <c r="K38" s="109">
        <v>35.05703728</v>
      </c>
      <c r="L38" s="112">
        <v>128.9718949</v>
      </c>
      <c r="M38" s="112">
        <v>46.75159713</v>
      </c>
      <c r="N38" s="112">
        <v>175.723492</v>
      </c>
      <c r="O38" s="298">
        <v>0.0</v>
      </c>
      <c r="P38" s="156"/>
      <c r="Q38" s="156"/>
      <c r="R38" s="121" t="str">
        <f t="shared" si="4"/>
        <v/>
      </c>
      <c r="S38" s="116">
        <f t="shared" si="5"/>
        <v>0.3783554476</v>
      </c>
      <c r="T38" s="118">
        <v>0.824</v>
      </c>
      <c r="U38" s="118">
        <f t="shared" si="6"/>
        <v>0.824</v>
      </c>
      <c r="V38" s="119">
        <v>0.9862</v>
      </c>
      <c r="W38" s="120">
        <f t="shared" si="7"/>
        <v>0.9862</v>
      </c>
      <c r="X38" s="119">
        <v>0.9599</v>
      </c>
      <c r="Y38" s="120">
        <f t="shared" si="8"/>
        <v>0.9599</v>
      </c>
      <c r="Z38" s="299"/>
      <c r="AA38" s="441"/>
      <c r="AB38" s="300" t="str">
        <f t="shared" si="9"/>
        <v/>
      </c>
      <c r="AC38" s="300">
        <f t="shared" si="10"/>
        <v>0.6890056172</v>
      </c>
      <c r="AD38" s="122">
        <v>7.0E-4</v>
      </c>
      <c r="AE38" s="123">
        <v>0.04</v>
      </c>
      <c r="AF38" s="430">
        <v>0.0035</v>
      </c>
      <c r="AG38" s="124">
        <v>0.0</v>
      </c>
      <c r="AH38" s="124">
        <v>3.17688E-5</v>
      </c>
      <c r="AI38" s="125">
        <v>0.0023</v>
      </c>
      <c r="AJ38" s="125">
        <v>0.003640187</v>
      </c>
      <c r="AK38" s="127">
        <v>0.0035</v>
      </c>
      <c r="AL38" s="127">
        <v>0.005658029</v>
      </c>
      <c r="AM38" s="302">
        <v>0.0</v>
      </c>
      <c r="AN38" s="149" t="str">
        <f>IFERROR(
  AVERAGEIFS(
    'New LF Efficacy'!$J:$J,
    'New LF Efficacy'!$D:$D, $A38,
    'New LF Efficacy'!$F:$F,"DEC", 
    'New LF Efficacy'!$W:$W,"&lt;2016",
    'New LF Efficacy'!$AA:$AA,""),
  ""
)</f>
        <v/>
      </c>
      <c r="AO38" s="115">
        <f t="shared" si="11"/>
        <v>0.38</v>
      </c>
      <c r="AP38" s="149" t="str">
        <f>IFERROR(
AVERAGEIFS(
'New LF Efficacy'!$J:$J,
'New LF Efficacy'!$D:$D,$A38,
'New LF Efficacy'!$F:$F,"Albendazole &amp; DEC",
'New LF Efficacy'!$W:$W,"&lt;2016",
'New LF Efficacy'!$AA:$AA,""),
"")
</f>
        <v/>
      </c>
      <c r="AQ38" s="115">
        <f t="shared" si="12"/>
        <v>0.662</v>
      </c>
      <c r="AR38" s="149" t="str">
        <f>IFERROR(
AVERAGEIFS(
'New LF Efficacy'!$J:$J,
'New LF Efficacy'!$D:$D,$A38,
'New LF Efficacy'!$F:$F,"Albendazole &amp; Ivermectin", 
'New LF Efficacy'!$W:$W,"&lt;2016",
'New LF Efficacy'!$AA:$AA,""),"")</f>
        <v/>
      </c>
      <c r="AS38" s="115">
        <f t="shared" si="13"/>
        <v>0.37153125</v>
      </c>
      <c r="AT38" s="442" t="str">
        <f>IFERROR(AVERAGEIFS(
'Schist Efficacy'!$O:$O, 
'Schist Efficacy'!$C:$C,$A38, 
'Schist Efficacy'!$D:$D, "Praziquantel",
'Schist Efficacy'!$J:$J,"&lt;2016",
'Schist Efficacy'!$U:$U,""),
"")</f>
        <v/>
      </c>
      <c r="AU38" s="118">
        <f t="shared" si="14"/>
        <v>0.9475</v>
      </c>
      <c r="AV38" s="131" t="str">
        <f>IFERROR(AVERAGEIFS(
'STH Efficacy'!$AX:$AX, 
'STH Efficacy'!$AL:$AL, $A38, 
'STH Efficacy'!$AM:$AM, "Albendazole",
'STH Efficacy'!$AS:$AS,"&lt;2016",
'STH Efficacy'!$BP:$BP,""),
"")</f>
        <v/>
      </c>
      <c r="AW38" s="132">
        <f t="shared" si="15"/>
        <v>0.3571666667</v>
      </c>
      <c r="AX38" s="131" t="str">
        <f>IFERROR(AVERAGEIFS(
'STH Efficacy'!$AX:$AX, 
'STH Efficacy'!$AL:$AL, $A38, 
'STH Efficacy'!$AM:$AM, "Mebendazole",
'STH Efficacy'!$AS:$AS,"&lt;2016",
'STH Efficacy'!$BP:$BP,""),
"")</f>
        <v/>
      </c>
      <c r="AY38" s="132">
        <f t="shared" si="16"/>
        <v>0.4155</v>
      </c>
      <c r="AZ38" s="131" t="str">
        <f>IFERROR(AVERAGEIFS(
'STH Efficacy'!$AX:$AX, 
'STH Efficacy'!$AL:$AL, $A38, 
'STH Efficacy'!$AM:$AM, "Albendazole &amp; Ivermectin",
'STH Efficacy'!$AS:$AS,"&lt;2016",
'STH Efficacy'!$BP:$BP,""),
"")</f>
        <v/>
      </c>
      <c r="BA38" s="133">
        <f t="shared" si="17"/>
        <v>0.651</v>
      </c>
      <c r="BB38" s="443" t="str">
        <f>IFERROR(AVERAGEIFS(
'STH Efficacy'!$N:$N, 
'STH Efficacy'!$B:$B, $A38, 
'STH Efficacy'!$C:$C, "Albendazole",
'STH Efficacy'!$I:$I,"&lt;2016",
'STH Efficacy'!$AH:$AH,""),
"")</f>
        <v/>
      </c>
      <c r="BC38" s="135">
        <f t="shared" si="18"/>
        <v>0.5769166667</v>
      </c>
      <c r="BD38" s="443" t="str">
        <f>IFERROR(AVERAGEIFS(
'STH Efficacy'!$N:$N, 
'STH Efficacy'!$B:$B, $A38, 
'STH Efficacy'!$C:$C, "Mebendazole",
'STH Efficacy'!$I:$I,"&lt;2016",
'STH Efficacy'!$AH:$AH,""),
"")</f>
        <v/>
      </c>
      <c r="BE38" s="135">
        <f t="shared" si="19"/>
        <v>0.3145</v>
      </c>
      <c r="BF38" s="436" t="str">
        <f>IFERROR(AVERAGEIFS(
'STH Efficacy'!$CD:$CD, 
'STH Efficacy'!$BS:$BS, $A38, 
'STH Efficacy'!$BT:$BT, "Albendazole",
'STH Efficacy'!$BZ:$BZ,"&lt;2016",
'STH Efficacy'!$CU:$CU,""),
"")</f>
        <v/>
      </c>
      <c r="BG38" s="136">
        <f t="shared" si="20"/>
        <v>0.96925</v>
      </c>
      <c r="BH38" s="436" t="str">
        <f>IFERROR(AVERAGEIFS(
'STH Efficacy'!$CD:$CD, 
'STH Efficacy'!$BS:$BS, $A38, 
'STH Efficacy'!$BT:$BT, "Mebendazole",
'STH Efficacy'!$BZ:$BZ,"&lt;2016",
'STH Efficacy'!$CU:$CU,""),
"")</f>
        <v/>
      </c>
      <c r="BI38" s="136">
        <f t="shared" si="21"/>
        <v>0.9305</v>
      </c>
      <c r="BJ38" s="436" t="str">
        <f>IFERROR(AVERAGEIFS(
'STH Efficacy'!$CD:$CD, 
'STH Efficacy'!$BS:$BS, $A38, 
'STH Efficacy'!$BT:$BT, "Albendazole &amp; Ivermectin",
'STH Efficacy'!$BZ:$BZ,"&lt;2016",
'STH Efficacy'!$CU:$CU,""),
"")</f>
        <v/>
      </c>
      <c r="BK38" s="136">
        <f t="shared" si="22"/>
        <v>0.848</v>
      </c>
      <c r="BL38" s="444" t="str">
        <f>IFERROR(
  AVERAGEIFS(
    'NEW Onchocerciasis Efficacy'!$AO:$AO,
    'NEW Onchocerciasis Efficacy'!$C:$C,$A38,
    'NEW Onchocerciasis Efficacy'!$D:$D,"Ivermectin",
    'NEW Onchocerciasis Efficacy'!$AR:$AR,"&lt;2016",
    'NEW Onchocerciasis Efficacy'!$BG:$BG,"")
,"")</f>
        <v/>
      </c>
      <c r="BM38" s="304">
        <f t="shared" si="23"/>
        <v>0.7808368939</v>
      </c>
      <c r="BN38" s="439">
        <v>0.0</v>
      </c>
      <c r="BO38" s="139">
        <v>1.0</v>
      </c>
      <c r="BP38" s="140">
        <v>1.0</v>
      </c>
      <c r="BQ38" s="141">
        <f t="shared" si="24"/>
        <v>0</v>
      </c>
      <c r="BR38" s="104" t="str">
        <f t="shared" si="25"/>
        <v>0110</v>
      </c>
      <c r="BS38" s="104" t="str">
        <f t="shared" si="26"/>
        <v>MDA3+T2</v>
      </c>
      <c r="BT38" s="142" t="str">
        <f t="shared" si="27"/>
        <v>IVM</v>
      </c>
      <c r="BU38" s="104" t="str">
        <f t="shared" si="28"/>
        <v>PZQ</v>
      </c>
      <c r="BV38" s="104" t="str">
        <f t="shared" si="29"/>
        <v>onch+schist</v>
      </c>
      <c r="BW38" s="150" t="str">
        <f t="shared" si="30"/>
        <v/>
      </c>
      <c r="BX38" s="150" t="str">
        <f t="shared" si="31"/>
        <v/>
      </c>
      <c r="BY38" s="162">
        <f t="shared" si="32"/>
        <v>27499.07496</v>
      </c>
      <c r="BZ38" s="152" t="str">
        <f t="shared" si="33"/>
        <v/>
      </c>
      <c r="CA38" s="152" t="str">
        <f t="shared" si="34"/>
        <v/>
      </c>
      <c r="CB38" s="152" t="str">
        <f t="shared" si="35"/>
        <v/>
      </c>
      <c r="CC38" s="153" t="str">
        <f t="shared" si="36"/>
        <v/>
      </c>
      <c r="CD38" s="153" t="str">
        <f t="shared" si="37"/>
        <v/>
      </c>
      <c r="CE38" s="154" t="str">
        <f t="shared" si="38"/>
        <v/>
      </c>
      <c r="CF38" s="154" t="str">
        <f t="shared" si="39"/>
        <v/>
      </c>
      <c r="CG38" s="154" t="str">
        <f t="shared" si="40"/>
        <v/>
      </c>
      <c r="CH38" s="313">
        <f t="shared" si="41"/>
        <v>0</v>
      </c>
    </row>
    <row r="39">
      <c r="A39" s="103" t="s">
        <v>128</v>
      </c>
      <c r="B39" s="104" t="s">
        <v>92</v>
      </c>
      <c r="C39" s="428">
        <v>2.2834522E7</v>
      </c>
      <c r="D39" s="161">
        <v>24311.92</v>
      </c>
      <c r="E39" s="294">
        <v>33185.38703</v>
      </c>
      <c r="F39" s="295">
        <v>295.8922655</v>
      </c>
      <c r="G39" s="295">
        <v>1210.7936</v>
      </c>
      <c r="H39" s="108">
        <v>1506.685865</v>
      </c>
      <c r="I39" s="109">
        <v>931.655706</v>
      </c>
      <c r="J39" s="110">
        <v>2472.41734</v>
      </c>
      <c r="K39" s="110">
        <v>3404.073047</v>
      </c>
      <c r="L39" s="111">
        <v>15410.02128</v>
      </c>
      <c r="M39" s="111">
        <v>5556.738666</v>
      </c>
      <c r="N39" s="112">
        <v>20966.75995</v>
      </c>
      <c r="O39" s="298">
        <v>78728.2862</v>
      </c>
      <c r="P39" s="160">
        <v>1.6968062E7</v>
      </c>
      <c r="Q39" s="160">
        <v>1.1021942E7</v>
      </c>
      <c r="R39" s="121">
        <f t="shared" si="4"/>
        <v>0.6495698802</v>
      </c>
      <c r="S39" s="116">
        <f t="shared" si="5"/>
        <v>0.6495698802</v>
      </c>
      <c r="T39" s="118">
        <v>0.568</v>
      </c>
      <c r="U39" s="118">
        <f t="shared" si="6"/>
        <v>0.568</v>
      </c>
      <c r="V39" s="148"/>
      <c r="W39" s="120">
        <f t="shared" si="7"/>
        <v>0.8084736842</v>
      </c>
      <c r="X39" s="119">
        <v>0.9748</v>
      </c>
      <c r="Y39" s="120">
        <f t="shared" si="8"/>
        <v>0.9748</v>
      </c>
      <c r="Z39" s="310">
        <v>1.0866999E7</v>
      </c>
      <c r="AA39" s="310">
        <v>7572216.0</v>
      </c>
      <c r="AB39" s="300">
        <f t="shared" si="9"/>
        <v>0.6968083829</v>
      </c>
      <c r="AC39" s="300">
        <f t="shared" si="10"/>
        <v>0.6968083829</v>
      </c>
      <c r="AD39" s="122">
        <v>0.0211</v>
      </c>
      <c r="AE39" s="123">
        <v>0.13</v>
      </c>
      <c r="AF39" s="430">
        <v>0.044</v>
      </c>
      <c r="AG39" s="124">
        <v>0.1067</v>
      </c>
      <c r="AH39" s="124">
        <v>0.163085986</v>
      </c>
      <c r="AI39" s="125">
        <v>0.0657</v>
      </c>
      <c r="AJ39" s="125">
        <v>0.103584019</v>
      </c>
      <c r="AK39" s="127">
        <v>0.1732</v>
      </c>
      <c r="AL39" s="127">
        <v>0.258002714</v>
      </c>
      <c r="AM39" s="302">
        <v>0.0414</v>
      </c>
      <c r="AN39" s="149" t="str">
        <f>IFERROR(
  AVERAGEIFS(
    'New LF Efficacy'!$J:$J,
    'New LF Efficacy'!$D:$D, $A39,
    'New LF Efficacy'!$F:$F,"DEC", 
    'New LF Efficacy'!$W:$W,"&lt;2016",
    'New LF Efficacy'!$AA:$AA,""),
  ""
)</f>
        <v/>
      </c>
      <c r="AO39" s="115">
        <f t="shared" si="11"/>
        <v>0.31225</v>
      </c>
      <c r="AP39" s="149" t="str">
        <f>IFERROR(
AVERAGEIFS(
'New LF Efficacy'!$J:$J,
'New LF Efficacy'!$D:$D,$A39,
'New LF Efficacy'!$F:$F,"Albendazole &amp; DEC",
'New LF Efficacy'!$W:$W,"&lt;2016",
'New LF Efficacy'!$AA:$AA,""),
"")
</f>
        <v/>
      </c>
      <c r="AQ39" s="115">
        <f t="shared" si="12"/>
        <v>0.4</v>
      </c>
      <c r="AR39" s="149" t="str">
        <f>IFERROR(
AVERAGEIFS(
'New LF Efficacy'!$J:$J,
'New LF Efficacy'!$D:$D,$A39,
'New LF Efficacy'!$F:$F,"Albendazole &amp; Ivermectin", 
'New LF Efficacy'!$W:$W,"&lt;2016",
'New LF Efficacy'!$AA:$AA,""),"")</f>
        <v/>
      </c>
      <c r="AS39" s="115">
        <f t="shared" si="13"/>
        <v>0.2943125</v>
      </c>
      <c r="AT39" s="442">
        <f>IFERROR(AVERAGEIFS(
'Schist Efficacy'!$O:$O, 
'Schist Efficacy'!$C:$C,$A39, 
'Schist Efficacy'!$D:$D, "Praziquantel",
'Schist Efficacy'!$J:$J,"&lt;2016",
'Schist Efficacy'!$U:$U,""),
"")</f>
        <v>0.8</v>
      </c>
      <c r="AU39" s="118">
        <f t="shared" si="14"/>
        <v>0.8</v>
      </c>
      <c r="AV39" s="131" t="str">
        <f>IFERROR(AVERAGEIFS(
'STH Efficacy'!$AX:$AX, 
'STH Efficacy'!$AL:$AL, $A39, 
'STH Efficacy'!$AM:$AM, "Albendazole",
'STH Efficacy'!$AS:$AS,"&lt;2016",
'STH Efficacy'!$BP:$BP,""),
"")</f>
        <v/>
      </c>
      <c r="AW39" s="132">
        <f t="shared" si="15"/>
        <v>0.3816333333</v>
      </c>
      <c r="AX39" s="131" t="str">
        <f>IFERROR(AVERAGEIFS(
'STH Efficacy'!$AX:$AX, 
'STH Efficacy'!$AL:$AL, $A39, 
'STH Efficacy'!$AM:$AM, "Mebendazole",
'STH Efficacy'!$AS:$AS,"&lt;2016",
'STH Efficacy'!$BP:$BP,""),
"")</f>
        <v/>
      </c>
      <c r="AY39" s="132">
        <f t="shared" si="16"/>
        <v>0.4859375</v>
      </c>
      <c r="AZ39" s="131" t="str">
        <f>IFERROR(AVERAGEIFS(
'STH Efficacy'!$AX:$AX, 
'STH Efficacy'!$AL:$AL, $A39, 
'STH Efficacy'!$AM:$AM, "Albendazole &amp; Ivermectin",
'STH Efficacy'!$AS:$AS,"&lt;2016",
'STH Efficacy'!$BP:$BP,""),
"")</f>
        <v/>
      </c>
      <c r="BA39" s="133">
        <f t="shared" si="17"/>
        <v>0.47175</v>
      </c>
      <c r="BB39" s="443" t="str">
        <f>IFERROR(AVERAGEIFS(
'STH Efficacy'!$N:$N, 
'STH Efficacy'!$B:$B, $A39, 
'STH Efficacy'!$C:$C, "Albendazole",
'STH Efficacy'!$I:$I,"&lt;2016",
'STH Efficacy'!$AH:$AH,""),
"")</f>
        <v/>
      </c>
      <c r="BC39" s="135">
        <f t="shared" si="18"/>
        <v>0.8699166667</v>
      </c>
      <c r="BD39" s="443" t="str">
        <f>IFERROR(AVERAGEIFS(
'STH Efficacy'!$N:$N, 
'STH Efficacy'!$B:$B, $A39, 
'STH Efficacy'!$C:$C, "Mebendazole",
'STH Efficacy'!$I:$I,"&lt;2016",
'STH Efficacy'!$AH:$AH,""),
"")</f>
        <v/>
      </c>
      <c r="BE39" s="135">
        <f t="shared" si="19"/>
        <v>0.7092416667</v>
      </c>
      <c r="BF39" s="436">
        <f>IFERROR(AVERAGEIFS(
'STH Efficacy'!$CD:$CD, 
'STH Efficacy'!$BS:$BS, $A39, 
'STH Efficacy'!$BT:$BT, "Albendazole",
'STH Efficacy'!$BZ:$BZ,"&lt;2016",
'STH Efficacy'!$CU:$CU,""),
"")</f>
        <v>1</v>
      </c>
      <c r="BG39" s="136">
        <f t="shared" si="20"/>
        <v>1</v>
      </c>
      <c r="BH39" s="436" t="str">
        <f>IFERROR(AVERAGEIFS(
'STH Efficacy'!$CD:$CD, 
'STH Efficacy'!$BS:$BS, $A39, 
'STH Efficacy'!$BT:$BT, "Mebendazole",
'STH Efficacy'!$BZ:$BZ,"&lt;2016",
'STH Efficacy'!$CU:$CU,""),
"")</f>
        <v/>
      </c>
      <c r="BI39" s="136">
        <f t="shared" si="21"/>
        <v>0.8483333333</v>
      </c>
      <c r="BJ39" s="436" t="str">
        <f>IFERROR(AVERAGEIFS(
'STH Efficacy'!$CD:$CD, 
'STH Efficacy'!$BS:$BS, $A39, 
'STH Efficacy'!$BT:$BT, "Albendazole &amp; Ivermectin",
'STH Efficacy'!$BZ:$BZ,"&lt;2016",
'STH Efficacy'!$CU:$CU,""),
"")</f>
        <v/>
      </c>
      <c r="BK39" s="136">
        <f t="shared" si="22"/>
        <v>0.696</v>
      </c>
      <c r="BL39" s="444" t="str">
        <f>IFERROR(
  AVERAGEIFS(
    'NEW Onchocerciasis Efficacy'!$AO:$AO,
    'NEW Onchocerciasis Efficacy'!$C:$C,$A39,
    'NEW Onchocerciasis Efficacy'!$D:$D,"Ivermectin",
    'NEW Onchocerciasis Efficacy'!$AR:$AR,"&lt;2016",
    'NEW Onchocerciasis Efficacy'!$BG:$BG,"")
,"")</f>
        <v/>
      </c>
      <c r="BM39" s="304">
        <f t="shared" si="23"/>
        <v>0.8390421645</v>
      </c>
      <c r="BN39" s="439">
        <v>1.0</v>
      </c>
      <c r="BO39" s="139">
        <v>1.0</v>
      </c>
      <c r="BP39" s="140">
        <v>1.0</v>
      </c>
      <c r="BQ39" s="141">
        <f t="shared" si="24"/>
        <v>0</v>
      </c>
      <c r="BR39" s="104" t="str">
        <f t="shared" si="25"/>
        <v>1110</v>
      </c>
      <c r="BS39" s="104" t="str">
        <f t="shared" si="26"/>
        <v>MDA1+T2</v>
      </c>
      <c r="BT39" s="142" t="str">
        <f t="shared" si="27"/>
        <v>IVM+ALB</v>
      </c>
      <c r="BU39" s="104" t="str">
        <f t="shared" si="28"/>
        <v>PZQ</v>
      </c>
      <c r="BV39" s="104" t="str">
        <f t="shared" si="29"/>
        <v>lf+onch+schist </v>
      </c>
      <c r="BW39" s="150" t="str">
        <f t="shared" si="30"/>
        <v/>
      </c>
      <c r="BX39" s="312">
        <f t="shared" si="31"/>
        <v>5746.456225</v>
      </c>
      <c r="BY39" s="162">
        <f t="shared" si="32"/>
        <v>27638.26955</v>
      </c>
      <c r="BZ39" s="152" t="str">
        <f t="shared" si="33"/>
        <v/>
      </c>
      <c r="CA39" s="152" t="str">
        <f t="shared" si="34"/>
        <v/>
      </c>
      <c r="CB39" s="152" t="str">
        <f t="shared" si="35"/>
        <v/>
      </c>
      <c r="CC39" s="153" t="str">
        <f t="shared" si="36"/>
        <v/>
      </c>
      <c r="CD39" s="153" t="str">
        <f t="shared" si="37"/>
        <v/>
      </c>
      <c r="CE39" s="154" t="str">
        <f t="shared" si="38"/>
        <v/>
      </c>
      <c r="CF39" s="154" t="str">
        <f t="shared" si="39"/>
        <v/>
      </c>
      <c r="CG39" s="154" t="str">
        <f t="shared" si="40"/>
        <v/>
      </c>
      <c r="CH39" s="313">
        <f t="shared" si="41"/>
        <v>3693.976841</v>
      </c>
    </row>
    <row r="40">
      <c r="A40" s="103" t="s">
        <v>129</v>
      </c>
      <c r="B40" s="104" t="s">
        <v>98</v>
      </c>
      <c r="C40" s="428">
        <v>3.584861E7</v>
      </c>
      <c r="D40" s="161">
        <v>0.0</v>
      </c>
      <c r="E40" s="294">
        <v>0.0</v>
      </c>
      <c r="F40" s="307">
        <v>0.0</v>
      </c>
      <c r="G40" s="309">
        <v>0.0</v>
      </c>
      <c r="H40" s="108">
        <v>0.0</v>
      </c>
      <c r="I40" s="109">
        <v>0.0</v>
      </c>
      <c r="J40" s="109">
        <v>0.0</v>
      </c>
      <c r="K40" s="109">
        <v>0.0</v>
      </c>
      <c r="L40" s="112">
        <v>0.0</v>
      </c>
      <c r="M40" s="112">
        <v>0.0</v>
      </c>
      <c r="N40" s="112">
        <v>0.0</v>
      </c>
      <c r="O40" s="298">
        <v>0.0</v>
      </c>
      <c r="P40" s="114"/>
      <c r="Q40" s="114"/>
      <c r="R40" s="121" t="str">
        <f t="shared" si="4"/>
        <v/>
      </c>
      <c r="S40" s="116">
        <f t="shared" si="5"/>
        <v>0.3565746084</v>
      </c>
      <c r="T40" s="117"/>
      <c r="U40" s="118">
        <f t="shared" si="6"/>
        <v>0.4791888889</v>
      </c>
      <c r="V40" s="148"/>
      <c r="W40" s="120">
        <f t="shared" si="7"/>
        <v>0.685</v>
      </c>
      <c r="X40" s="148"/>
      <c r="Y40" s="120">
        <f t="shared" si="8"/>
        <v>0.7550545455</v>
      </c>
      <c r="Z40" s="299"/>
      <c r="AA40" s="441"/>
      <c r="AB40" s="300" t="str">
        <f t="shared" si="9"/>
        <v/>
      </c>
      <c r="AC40" s="300">
        <f t="shared" si="10"/>
        <v>0.7101368438</v>
      </c>
      <c r="AD40" s="122">
        <v>0.0</v>
      </c>
      <c r="AE40" s="123">
        <v>0.0</v>
      </c>
      <c r="AF40" s="430">
        <v>0.0</v>
      </c>
      <c r="AG40" s="124">
        <v>0.0</v>
      </c>
      <c r="AH40" s="124">
        <v>0.0</v>
      </c>
      <c r="AI40" s="125">
        <v>0.0</v>
      </c>
      <c r="AJ40" s="125">
        <v>0.0</v>
      </c>
      <c r="AK40" s="127">
        <v>0.0</v>
      </c>
      <c r="AL40" s="127">
        <v>0.0</v>
      </c>
      <c r="AM40" s="302">
        <v>0.0</v>
      </c>
      <c r="AN40" s="149" t="str">
        <f>IFERROR(
  AVERAGEIFS(
    'New LF Efficacy'!$J:$J,
    'New LF Efficacy'!$D:$D, $A40,
    'New LF Efficacy'!$F:$F,"DEC", 
    'New LF Efficacy'!$W:$W,"&lt;2016",
    'New LF Efficacy'!$AA:$AA,""),
  ""
)</f>
        <v/>
      </c>
      <c r="AO40" s="115">
        <f t="shared" si="11"/>
        <v>0.2589833333</v>
      </c>
      <c r="AP40" s="149" t="str">
        <f>IFERROR(
AVERAGEIFS(
'New LF Efficacy'!$J:$J,
'New LF Efficacy'!$D:$D,$A40,
'New LF Efficacy'!$F:$F,"Albendazole &amp; DEC",
'New LF Efficacy'!$W:$W,"&lt;2016",
'New LF Efficacy'!$AA:$AA,""),
"")
</f>
        <v/>
      </c>
      <c r="AQ40" s="115">
        <f t="shared" si="12"/>
        <v>0.3465</v>
      </c>
      <c r="AR40" s="149" t="str">
        <f>IFERROR(
AVERAGEIFS(
'New LF Efficacy'!$J:$J,
'New LF Efficacy'!$D:$D,$A40,
'New LF Efficacy'!$F:$F,"Albendazole &amp; Ivermectin", 
'New LF Efficacy'!$W:$W,"&lt;2016",
'New LF Efficacy'!$AA:$AA,""),"")</f>
        <v/>
      </c>
      <c r="AS40" s="115">
        <f t="shared" si="13"/>
        <v>0.7575</v>
      </c>
      <c r="AT40" s="442" t="str">
        <f>IFERROR(AVERAGEIFS(
'Schist Efficacy'!$O:$O, 
'Schist Efficacy'!$C:$C,$A40, 
'Schist Efficacy'!$D:$D, "Praziquantel",
'Schist Efficacy'!$J:$J,"&lt;2016",
'Schist Efficacy'!$U:$U,""),
"")</f>
        <v/>
      </c>
      <c r="AU40" s="118">
        <f t="shared" si="14"/>
        <v>0.7914761905</v>
      </c>
      <c r="AV40" s="131" t="str">
        <f>IFERROR(AVERAGEIFS(
'STH Efficacy'!$AX:$AX, 
'STH Efficacy'!$AL:$AL, $A40, 
'STH Efficacy'!$AM:$AM, "Albendazole",
'STH Efficacy'!$AS:$AS,"&lt;2016",
'STH Efficacy'!$BP:$BP,""),
"")</f>
        <v/>
      </c>
      <c r="AW40" s="132">
        <f t="shared" si="15"/>
        <v>0.3945</v>
      </c>
      <c r="AX40" s="131" t="str">
        <f>IFERROR(AVERAGEIFS(
'STH Efficacy'!$AX:$AX, 
'STH Efficacy'!$AL:$AL, $A40, 
'STH Efficacy'!$AM:$AM, "Mebendazole",
'STH Efficacy'!$AS:$AS,"&lt;2016",
'STH Efficacy'!$BP:$BP,""),
"")</f>
        <v/>
      </c>
      <c r="AY40" s="132">
        <f t="shared" si="16"/>
        <v>0.6</v>
      </c>
      <c r="AZ40" s="131" t="str">
        <f>IFERROR(AVERAGEIFS(
'STH Efficacy'!$AX:$AX, 
'STH Efficacy'!$AL:$AL, $A40, 
'STH Efficacy'!$AM:$AM, "Albendazole &amp; Ivermectin",
'STH Efficacy'!$AS:$AS,"&lt;2016",
'STH Efficacy'!$BP:$BP,""),
"")</f>
        <v/>
      </c>
      <c r="BA40" s="133">
        <f t="shared" si="17"/>
        <v>0.796</v>
      </c>
      <c r="BB40" s="443" t="str">
        <f>IFERROR(AVERAGEIFS(
'STH Efficacy'!$N:$N, 
'STH Efficacy'!$B:$B, $A40, 
'STH Efficacy'!$C:$C, "Albendazole",
'STH Efficacy'!$I:$I,"&lt;2016",
'STH Efficacy'!$AH:$AH,""),
"")</f>
        <v/>
      </c>
      <c r="BC40" s="135">
        <f t="shared" si="18"/>
        <v>0.869</v>
      </c>
      <c r="BD40" s="443" t="str">
        <f>IFERROR(AVERAGEIFS(
'STH Efficacy'!$N:$N, 
'STH Efficacy'!$B:$B, $A40, 
'STH Efficacy'!$C:$C, "Mebendazole",
'STH Efficacy'!$I:$I,"&lt;2016",
'STH Efficacy'!$AH:$AH,""),
"")</f>
        <v/>
      </c>
      <c r="BE40" s="135">
        <f t="shared" si="19"/>
        <v>0.172</v>
      </c>
      <c r="BF40" s="436" t="str">
        <f>IFERROR(AVERAGEIFS(
'STH Efficacy'!$CD:$CD, 
'STH Efficacy'!$BS:$BS, $A40, 
'STH Efficacy'!$BT:$BT, "Albendazole",
'STH Efficacy'!$BZ:$BZ,"&lt;2016",
'STH Efficacy'!$CU:$CU,""),
"")</f>
        <v/>
      </c>
      <c r="BG40" s="136">
        <f t="shared" si="20"/>
        <v>0.9862</v>
      </c>
      <c r="BH40" s="436" t="str">
        <f>IFERROR(AVERAGEIFS(
'STH Efficacy'!$CD:$CD, 
'STH Efficacy'!$BS:$BS, $A40, 
'STH Efficacy'!$BT:$BT, "Mebendazole",
'STH Efficacy'!$BZ:$BZ,"&lt;2016",
'STH Efficacy'!$CU:$CU,""),
"")</f>
        <v/>
      </c>
      <c r="BI40" s="136">
        <f t="shared" si="21"/>
        <v>0.769</v>
      </c>
      <c r="BJ40" s="436" t="str">
        <f>IFERROR(AVERAGEIFS(
'STH Efficacy'!$CD:$CD, 
'STH Efficacy'!$BS:$BS, $A40, 
'STH Efficacy'!$BT:$BT, "Albendazole &amp; Ivermectin",
'STH Efficacy'!$BZ:$BZ,"&lt;2016",
'STH Efficacy'!$CU:$CU,""),
"")</f>
        <v/>
      </c>
      <c r="BK40" s="136">
        <f t="shared" si="22"/>
        <v>1</v>
      </c>
      <c r="BL40" s="444" t="str">
        <f>IFERROR(
  AVERAGEIFS(
    'NEW Onchocerciasis Efficacy'!$AO:$AO,
    'NEW Onchocerciasis Efficacy'!$C:$C,$A40,
    'NEW Onchocerciasis Efficacy'!$D:$D,"Ivermectin",
    'NEW Onchocerciasis Efficacy'!$AR:$AR,"&lt;2016",
    'NEW Onchocerciasis Efficacy'!$BG:$BG,"")
,"")</f>
        <v/>
      </c>
      <c r="BM40" s="304">
        <f t="shared" si="23"/>
        <v>0.3734</v>
      </c>
      <c r="BN40" s="439">
        <v>0.0</v>
      </c>
      <c r="BO40" s="139">
        <v>0.0</v>
      </c>
      <c r="BP40" s="140">
        <v>0.0</v>
      </c>
      <c r="BQ40" s="141">
        <f t="shared" si="24"/>
        <v>0</v>
      </c>
      <c r="BR40" s="104" t="str">
        <f t="shared" si="25"/>
        <v>0000</v>
      </c>
      <c r="BS40" s="104" t="str">
        <f t="shared" si="26"/>
        <v>no action required</v>
      </c>
      <c r="BT40" s="142" t="str">
        <f t="shared" si="27"/>
        <v/>
      </c>
      <c r="BU40" s="104" t="str">
        <f t="shared" si="28"/>
        <v/>
      </c>
      <c r="BV40" s="104" t="str">
        <f t="shared" si="29"/>
        <v>none</v>
      </c>
      <c r="BW40" s="150" t="str">
        <f t="shared" si="30"/>
        <v/>
      </c>
      <c r="BX40" s="150" t="str">
        <f t="shared" si="31"/>
        <v/>
      </c>
      <c r="BY40" s="151" t="str">
        <f t="shared" si="32"/>
        <v/>
      </c>
      <c r="BZ40" s="152" t="str">
        <f t="shared" si="33"/>
        <v/>
      </c>
      <c r="CA40" s="152" t="str">
        <f t="shared" si="34"/>
        <v/>
      </c>
      <c r="CB40" s="152" t="str">
        <f t="shared" si="35"/>
        <v/>
      </c>
      <c r="CC40" s="153" t="str">
        <f t="shared" si="36"/>
        <v/>
      </c>
      <c r="CD40" s="153" t="str">
        <f t="shared" si="37"/>
        <v/>
      </c>
      <c r="CE40" s="154" t="str">
        <f t="shared" si="38"/>
        <v/>
      </c>
      <c r="CF40" s="154" t="str">
        <f t="shared" si="39"/>
        <v/>
      </c>
      <c r="CG40" s="154" t="str">
        <f t="shared" si="40"/>
        <v/>
      </c>
      <c r="CH40" s="308" t="str">
        <f t="shared" si="41"/>
        <v/>
      </c>
    </row>
    <row r="41">
      <c r="A41" s="103" t="s">
        <v>130</v>
      </c>
      <c r="B41" s="104" t="s">
        <v>92</v>
      </c>
      <c r="C41" s="428">
        <v>532913.0</v>
      </c>
      <c r="D41" s="161">
        <v>0.0</v>
      </c>
      <c r="E41" s="294">
        <v>0.0</v>
      </c>
      <c r="F41" s="295">
        <v>5.92407E-4</v>
      </c>
      <c r="G41" s="295">
        <v>0.001182189</v>
      </c>
      <c r="H41" s="108">
        <v>0.001774596</v>
      </c>
      <c r="I41" s="109">
        <v>0.40787513</v>
      </c>
      <c r="J41" s="109">
        <v>0.40678343</v>
      </c>
      <c r="K41" s="109">
        <v>0.814658554</v>
      </c>
      <c r="L41" s="112">
        <v>0.31834501</v>
      </c>
      <c r="M41" s="112">
        <v>0.056164558</v>
      </c>
      <c r="N41" s="112">
        <v>0.374509568</v>
      </c>
      <c r="O41" s="298">
        <v>0.0</v>
      </c>
      <c r="P41" s="156"/>
      <c r="Q41" s="156"/>
      <c r="R41" s="121" t="str">
        <f t="shared" si="4"/>
        <v/>
      </c>
      <c r="S41" s="116">
        <f t="shared" si="5"/>
        <v>0.3345096109</v>
      </c>
      <c r="T41" s="117"/>
      <c r="U41" s="118">
        <f t="shared" si="6"/>
        <v>0.4220357143</v>
      </c>
      <c r="V41" s="148"/>
      <c r="W41" s="120">
        <f t="shared" si="7"/>
        <v>0.8084736842</v>
      </c>
      <c r="X41" s="148"/>
      <c r="Y41" s="120">
        <f t="shared" si="8"/>
        <v>0.5938357143</v>
      </c>
      <c r="Z41" s="299"/>
      <c r="AA41" s="441"/>
      <c r="AB41" s="300" t="str">
        <f t="shared" si="9"/>
        <v/>
      </c>
      <c r="AC41" s="300">
        <f t="shared" si="10"/>
        <v>0.6375203308</v>
      </c>
      <c r="AD41" s="122">
        <v>0.0</v>
      </c>
      <c r="AE41" s="123">
        <v>0.0</v>
      </c>
      <c r="AF41" s="430">
        <v>0.0</v>
      </c>
      <c r="AG41" s="124">
        <v>0.0069</v>
      </c>
      <c r="AH41" s="124">
        <v>0.008980383</v>
      </c>
      <c r="AI41" s="125">
        <v>0.0012</v>
      </c>
      <c r="AJ41" s="125">
        <v>0.001243419</v>
      </c>
      <c r="AK41" s="127">
        <v>0.0</v>
      </c>
      <c r="AL41" s="127">
        <v>1.22684E-5</v>
      </c>
      <c r="AM41" s="302">
        <v>0.0</v>
      </c>
      <c r="AN41" s="149" t="str">
        <f>IFERROR(
  AVERAGEIFS(
    'New LF Efficacy'!$J:$J,
    'New LF Efficacy'!$D:$D, $A41,
    'New LF Efficacy'!$F:$F,"DEC", 
    'New LF Efficacy'!$W:$W,"&lt;2016",
    'New LF Efficacy'!$AA:$AA,""),
  ""
)</f>
        <v/>
      </c>
      <c r="AO41" s="115">
        <f t="shared" si="11"/>
        <v>0.31225</v>
      </c>
      <c r="AP41" s="149" t="str">
        <f>IFERROR(
AVERAGEIFS(
'New LF Efficacy'!$J:$J,
'New LF Efficacy'!$D:$D,$A41,
'New LF Efficacy'!$F:$F,"Albendazole &amp; DEC",
'New LF Efficacy'!$W:$W,"&lt;2016",
'New LF Efficacy'!$AA:$AA,""),
"")
</f>
        <v/>
      </c>
      <c r="AQ41" s="115">
        <f t="shared" si="12"/>
        <v>0.4</v>
      </c>
      <c r="AR41" s="149" t="str">
        <f>IFERROR(
AVERAGEIFS(
'New LF Efficacy'!$J:$J,
'New LF Efficacy'!$D:$D,$A41,
'New LF Efficacy'!$F:$F,"Albendazole &amp; Ivermectin", 
'New LF Efficacy'!$W:$W,"&lt;2016",
'New LF Efficacy'!$AA:$AA,""),"")</f>
        <v/>
      </c>
      <c r="AS41" s="115">
        <f t="shared" si="13"/>
        <v>0.2943125</v>
      </c>
      <c r="AT41" s="442" t="str">
        <f>IFERROR(AVERAGEIFS(
'Schist Efficacy'!$O:$O, 
'Schist Efficacy'!$C:$C,$A41, 
'Schist Efficacy'!$D:$D, "Praziquantel",
'Schist Efficacy'!$J:$J,"&lt;2016",
'Schist Efficacy'!$U:$U,""),
"")</f>
        <v/>
      </c>
      <c r="AU41" s="118">
        <f t="shared" si="14"/>
        <v>0.7206464759</v>
      </c>
      <c r="AV41" s="131" t="str">
        <f>IFERROR(AVERAGEIFS(
'STH Efficacy'!$AX:$AX, 
'STH Efficacy'!$AL:$AL, $A41, 
'STH Efficacy'!$AM:$AM, "Albendazole",
'STH Efficacy'!$AS:$AS,"&lt;2016",
'STH Efficacy'!$BP:$BP,""),
"")</f>
        <v/>
      </c>
      <c r="AW41" s="132">
        <f t="shared" si="15"/>
        <v>0.3816333333</v>
      </c>
      <c r="AX41" s="131" t="str">
        <f>IFERROR(AVERAGEIFS(
'STH Efficacy'!$AX:$AX, 
'STH Efficacy'!$AL:$AL, $A41, 
'STH Efficacy'!$AM:$AM, "Mebendazole",
'STH Efficacy'!$AS:$AS,"&lt;2016",
'STH Efficacy'!$BP:$BP,""),
"")</f>
        <v/>
      </c>
      <c r="AY41" s="132">
        <f t="shared" si="16"/>
        <v>0.4859375</v>
      </c>
      <c r="AZ41" s="131" t="str">
        <f>IFERROR(AVERAGEIFS(
'STH Efficacy'!$AX:$AX, 
'STH Efficacy'!$AL:$AL, $A41, 
'STH Efficacy'!$AM:$AM, "Albendazole &amp; Ivermectin",
'STH Efficacy'!$AS:$AS,"&lt;2016",
'STH Efficacy'!$BP:$BP,""),
"")</f>
        <v/>
      </c>
      <c r="BA41" s="133">
        <f t="shared" si="17"/>
        <v>0.47175</v>
      </c>
      <c r="BB41" s="443" t="str">
        <f>IFERROR(AVERAGEIFS(
'STH Efficacy'!$N:$N, 
'STH Efficacy'!$B:$B, $A41, 
'STH Efficacy'!$C:$C, "Albendazole",
'STH Efficacy'!$I:$I,"&lt;2016",
'STH Efficacy'!$AH:$AH,""),
"")</f>
        <v/>
      </c>
      <c r="BC41" s="135">
        <f t="shared" si="18"/>
        <v>0.8699166667</v>
      </c>
      <c r="BD41" s="443" t="str">
        <f>IFERROR(AVERAGEIFS(
'STH Efficacy'!$N:$N, 
'STH Efficacy'!$B:$B, $A41, 
'STH Efficacy'!$C:$C, "Mebendazole",
'STH Efficacy'!$I:$I,"&lt;2016",
'STH Efficacy'!$AH:$AH,""),
"")</f>
        <v/>
      </c>
      <c r="BE41" s="135">
        <f t="shared" si="19"/>
        <v>0.7092416667</v>
      </c>
      <c r="BF41" s="436" t="str">
        <f>IFERROR(AVERAGEIFS(
'STH Efficacy'!$CD:$CD, 
'STH Efficacy'!$BS:$BS, $A41, 
'STH Efficacy'!$BT:$BT, "Albendazole",
'STH Efficacy'!$BZ:$BZ,"&lt;2016",
'STH Efficacy'!$CU:$CU,""),
"")</f>
        <v/>
      </c>
      <c r="BG41" s="136">
        <f t="shared" si="20"/>
        <v>0.9066666667</v>
      </c>
      <c r="BH41" s="436" t="str">
        <f>IFERROR(AVERAGEIFS(
'STH Efficacy'!$CD:$CD, 
'STH Efficacy'!$BS:$BS, $A41, 
'STH Efficacy'!$BT:$BT, "Mebendazole",
'STH Efficacy'!$BZ:$BZ,"&lt;2016",
'STH Efficacy'!$CU:$CU,""),
"")</f>
        <v/>
      </c>
      <c r="BI41" s="136">
        <f t="shared" si="21"/>
        <v>0.8483333333</v>
      </c>
      <c r="BJ41" s="436" t="str">
        <f>IFERROR(AVERAGEIFS(
'STH Efficacy'!$CD:$CD, 
'STH Efficacy'!$BS:$BS, $A41, 
'STH Efficacy'!$BT:$BT, "Albendazole &amp; Ivermectin",
'STH Efficacy'!$BZ:$BZ,"&lt;2016",
'STH Efficacy'!$CU:$CU,""),
"")</f>
        <v/>
      </c>
      <c r="BK41" s="136">
        <f t="shared" si="22"/>
        <v>0.696</v>
      </c>
      <c r="BL41" s="444" t="str">
        <f>IFERROR(
  AVERAGEIFS(
    'NEW Onchocerciasis Efficacy'!$AO:$AO,
    'NEW Onchocerciasis Efficacy'!$C:$C,$A41,
    'NEW Onchocerciasis Efficacy'!$D:$D,"Ivermectin",
    'NEW Onchocerciasis Efficacy'!$AR:$AR,"&lt;2016",
    'NEW Onchocerciasis Efficacy'!$BG:$BG,"")
,"")</f>
        <v/>
      </c>
      <c r="BM41" s="304">
        <f t="shared" si="23"/>
        <v>0.8390421645</v>
      </c>
      <c r="BN41" s="439">
        <v>0.0</v>
      </c>
      <c r="BO41" s="139">
        <v>0.0</v>
      </c>
      <c r="BP41" s="140">
        <v>0.0</v>
      </c>
      <c r="BQ41" s="141">
        <f t="shared" si="24"/>
        <v>0</v>
      </c>
      <c r="BR41" s="104" t="str">
        <f t="shared" si="25"/>
        <v>0000</v>
      </c>
      <c r="BS41" s="104" t="str">
        <f t="shared" si="26"/>
        <v>no action required</v>
      </c>
      <c r="BT41" s="142" t="str">
        <f t="shared" si="27"/>
        <v/>
      </c>
      <c r="BU41" s="104" t="str">
        <f t="shared" si="28"/>
        <v/>
      </c>
      <c r="BV41" s="104" t="str">
        <f t="shared" si="29"/>
        <v>none</v>
      </c>
      <c r="BW41" s="150" t="str">
        <f t="shared" si="30"/>
        <v/>
      </c>
      <c r="BX41" s="150" t="str">
        <f t="shared" si="31"/>
        <v/>
      </c>
      <c r="BY41" s="151" t="str">
        <f t="shared" si="32"/>
        <v/>
      </c>
      <c r="BZ41" s="152" t="str">
        <f t="shared" si="33"/>
        <v/>
      </c>
      <c r="CA41" s="152" t="str">
        <f t="shared" si="34"/>
        <v/>
      </c>
      <c r="CB41" s="152" t="str">
        <f t="shared" si="35"/>
        <v/>
      </c>
      <c r="CC41" s="153" t="str">
        <f t="shared" si="36"/>
        <v/>
      </c>
      <c r="CD41" s="153" t="str">
        <f t="shared" si="37"/>
        <v/>
      </c>
      <c r="CE41" s="154" t="str">
        <f t="shared" si="38"/>
        <v/>
      </c>
      <c r="CF41" s="154" t="str">
        <f t="shared" si="39"/>
        <v/>
      </c>
      <c r="CG41" s="154" t="str">
        <f t="shared" si="40"/>
        <v/>
      </c>
      <c r="CH41" s="308" t="str">
        <f t="shared" si="41"/>
        <v/>
      </c>
    </row>
    <row r="42">
      <c r="A42" s="155" t="s">
        <v>131</v>
      </c>
      <c r="B42" s="104" t="s">
        <v>98</v>
      </c>
      <c r="C42" s="428">
        <v>59963.0</v>
      </c>
      <c r="D42" s="161">
        <v>0.0</v>
      </c>
      <c r="E42" s="294">
        <v>0.0</v>
      </c>
      <c r="F42" s="163"/>
      <c r="G42" s="325"/>
      <c r="H42" s="108">
        <v>0.0</v>
      </c>
      <c r="I42" s="109">
        <v>0.0</v>
      </c>
      <c r="J42" s="109">
        <v>0.0</v>
      </c>
      <c r="K42" s="109">
        <v>0.0</v>
      </c>
      <c r="L42" s="113"/>
      <c r="M42" s="113"/>
      <c r="N42" s="112">
        <v>0.0</v>
      </c>
      <c r="O42" s="298">
        <v>0.0</v>
      </c>
      <c r="P42" s="114"/>
      <c r="Q42" s="114"/>
      <c r="R42" s="121" t="str">
        <f t="shared" si="4"/>
        <v/>
      </c>
      <c r="S42" s="116">
        <f t="shared" si="5"/>
        <v>0.3565746084</v>
      </c>
      <c r="T42" s="117"/>
      <c r="U42" s="118">
        <f t="shared" si="6"/>
        <v>0.4791888889</v>
      </c>
      <c r="V42" s="148"/>
      <c r="W42" s="120">
        <f t="shared" si="7"/>
        <v>0.685</v>
      </c>
      <c r="X42" s="148"/>
      <c r="Y42" s="120">
        <f t="shared" si="8"/>
        <v>0.7550545455</v>
      </c>
      <c r="Z42" s="299"/>
      <c r="AA42" s="441"/>
      <c r="AB42" s="300" t="str">
        <f t="shared" si="9"/>
        <v/>
      </c>
      <c r="AC42" s="300">
        <f t="shared" si="10"/>
        <v>0.7101368438</v>
      </c>
      <c r="AD42" s="314">
        <v>0.0</v>
      </c>
      <c r="AE42" s="315">
        <v>0.0</v>
      </c>
      <c r="AF42" s="445">
        <v>0.0</v>
      </c>
      <c r="AG42" s="316">
        <v>0.0</v>
      </c>
      <c r="AH42" s="307">
        <v>0.0</v>
      </c>
      <c r="AI42" s="317">
        <v>0.0</v>
      </c>
      <c r="AJ42" s="318">
        <v>0.0</v>
      </c>
      <c r="AK42" s="319">
        <v>0.0</v>
      </c>
      <c r="AL42" s="446">
        <v>0.0</v>
      </c>
      <c r="AM42" s="320">
        <v>0.0</v>
      </c>
      <c r="AN42" s="149" t="str">
        <f>IFERROR(
  AVERAGEIFS(
    'New LF Efficacy'!$J:$J,
    'New LF Efficacy'!$D:$D, $A42,
    'New LF Efficacy'!$F:$F,"DEC", 
    'New LF Efficacy'!$W:$W,"&lt;2016",
    'New LF Efficacy'!$AA:$AA,""),
  ""
)</f>
        <v/>
      </c>
      <c r="AO42" s="115">
        <f t="shared" si="11"/>
        <v>0.2589833333</v>
      </c>
      <c r="AP42" s="149" t="str">
        <f>IFERROR(
AVERAGEIFS(
'New LF Efficacy'!$J:$J,
'New LF Efficacy'!$D:$D,$A42,
'New LF Efficacy'!$F:$F,"Albendazole &amp; DEC",
'New LF Efficacy'!$W:$W,"&lt;2016",
'New LF Efficacy'!$AA:$AA,""),
"")
</f>
        <v/>
      </c>
      <c r="AQ42" s="115">
        <f t="shared" si="12"/>
        <v>0.3465</v>
      </c>
      <c r="AR42" s="149" t="str">
        <f>IFERROR(
AVERAGEIFS(
'New LF Efficacy'!$J:$J,
'New LF Efficacy'!$D:$D,$A42,
'New LF Efficacy'!$F:$F,"Albendazole &amp; Ivermectin", 
'New LF Efficacy'!$W:$W,"&lt;2016",
'New LF Efficacy'!$AA:$AA,""),"")</f>
        <v/>
      </c>
      <c r="AS42" s="115">
        <f t="shared" si="13"/>
        <v>0.7575</v>
      </c>
      <c r="AT42" s="442" t="str">
        <f>IFERROR(AVERAGEIFS(
'Schist Efficacy'!$O:$O, 
'Schist Efficacy'!$C:$C,$A42, 
'Schist Efficacy'!$D:$D, "Praziquantel",
'Schist Efficacy'!$J:$J,"&lt;2016",
'Schist Efficacy'!$U:$U,""),
"")</f>
        <v/>
      </c>
      <c r="AU42" s="118">
        <f t="shared" si="14"/>
        <v>0.7914761905</v>
      </c>
      <c r="AV42" s="131" t="str">
        <f>IFERROR(AVERAGEIFS(
'STH Efficacy'!$AX:$AX, 
'STH Efficacy'!$AL:$AL, $A42, 
'STH Efficacy'!$AM:$AM, "Albendazole",
'STH Efficacy'!$AS:$AS,"&lt;2016",
'STH Efficacy'!$BP:$BP,""),
"")</f>
        <v/>
      </c>
      <c r="AW42" s="132">
        <f t="shared" si="15"/>
        <v>0.3945</v>
      </c>
      <c r="AX42" s="131" t="str">
        <f>IFERROR(AVERAGEIFS(
'STH Efficacy'!$AX:$AX, 
'STH Efficacy'!$AL:$AL, $A42, 
'STH Efficacy'!$AM:$AM, "Mebendazole",
'STH Efficacy'!$AS:$AS,"&lt;2016",
'STH Efficacy'!$BP:$BP,""),
"")</f>
        <v/>
      </c>
      <c r="AY42" s="132">
        <f t="shared" si="16"/>
        <v>0.6</v>
      </c>
      <c r="AZ42" s="131" t="str">
        <f>IFERROR(AVERAGEIFS(
'STH Efficacy'!$AX:$AX, 
'STH Efficacy'!$AL:$AL, $A42, 
'STH Efficacy'!$AM:$AM, "Albendazole &amp; Ivermectin",
'STH Efficacy'!$AS:$AS,"&lt;2016",
'STH Efficacy'!$BP:$BP,""),
"")</f>
        <v/>
      </c>
      <c r="BA42" s="133">
        <f t="shared" si="17"/>
        <v>0.796</v>
      </c>
      <c r="BB42" s="443" t="str">
        <f>IFERROR(AVERAGEIFS(
'STH Efficacy'!$N:$N, 
'STH Efficacy'!$B:$B, $A42, 
'STH Efficacy'!$C:$C, "Albendazole",
'STH Efficacy'!$I:$I,"&lt;2016",
'STH Efficacy'!$AH:$AH,""),
"")</f>
        <v/>
      </c>
      <c r="BC42" s="135">
        <f t="shared" si="18"/>
        <v>0.869</v>
      </c>
      <c r="BD42" s="443" t="str">
        <f>IFERROR(AVERAGEIFS(
'STH Efficacy'!$N:$N, 
'STH Efficacy'!$B:$B, $A42, 
'STH Efficacy'!$C:$C, "Mebendazole",
'STH Efficacy'!$I:$I,"&lt;2016",
'STH Efficacy'!$AH:$AH,""),
"")</f>
        <v/>
      </c>
      <c r="BE42" s="135">
        <f t="shared" si="19"/>
        <v>0.172</v>
      </c>
      <c r="BF42" s="436" t="str">
        <f>IFERROR(AVERAGEIFS(
'STH Efficacy'!$CD:$CD, 
'STH Efficacy'!$BS:$BS, $A42, 
'STH Efficacy'!$BT:$BT, "Albendazole",
'STH Efficacy'!$BZ:$BZ,"&lt;2016",
'STH Efficacy'!$CU:$CU,""),
"")</f>
        <v/>
      </c>
      <c r="BG42" s="136">
        <f t="shared" si="20"/>
        <v>0.9862</v>
      </c>
      <c r="BH42" s="436" t="str">
        <f>IFERROR(AVERAGEIFS(
'STH Efficacy'!$CD:$CD, 
'STH Efficacy'!$BS:$BS, $A42, 
'STH Efficacy'!$BT:$BT, "Mebendazole",
'STH Efficacy'!$BZ:$BZ,"&lt;2016",
'STH Efficacy'!$CU:$CU,""),
"")</f>
        <v/>
      </c>
      <c r="BI42" s="136">
        <f t="shared" si="21"/>
        <v>0.769</v>
      </c>
      <c r="BJ42" s="436" t="str">
        <f>IFERROR(AVERAGEIFS(
'STH Efficacy'!$CD:$CD, 
'STH Efficacy'!$BS:$BS, $A42, 
'STH Efficacy'!$BT:$BT, "Albendazole &amp; Ivermectin",
'STH Efficacy'!$BZ:$BZ,"&lt;2016",
'STH Efficacy'!$CU:$CU,""),
"")</f>
        <v/>
      </c>
      <c r="BK42" s="136">
        <f t="shared" si="22"/>
        <v>1</v>
      </c>
      <c r="BL42" s="444" t="str">
        <f>IFERROR(
  AVERAGEIFS(
    'NEW Onchocerciasis Efficacy'!$AO:$AO,
    'NEW Onchocerciasis Efficacy'!$C:$C,$A42,
    'NEW Onchocerciasis Efficacy'!$D:$D,"Ivermectin",
    'NEW Onchocerciasis Efficacy'!$AR:$AR,"&lt;2016",
    'NEW Onchocerciasis Efficacy'!$BG:$BG,"")
,"")</f>
        <v/>
      </c>
      <c r="BM42" s="304">
        <f t="shared" si="23"/>
        <v>0.3734</v>
      </c>
      <c r="BN42" s="439">
        <v>0.0</v>
      </c>
      <c r="BO42" s="139">
        <v>0.0</v>
      </c>
      <c r="BP42" s="140">
        <v>0.0</v>
      </c>
      <c r="BQ42" s="141">
        <f t="shared" si="24"/>
        <v>0</v>
      </c>
      <c r="BR42" s="104" t="str">
        <f t="shared" si="25"/>
        <v>0000</v>
      </c>
      <c r="BS42" s="104" t="str">
        <f t="shared" si="26"/>
        <v>no action required</v>
      </c>
      <c r="BT42" s="142" t="str">
        <f t="shared" si="27"/>
        <v/>
      </c>
      <c r="BU42" s="104" t="str">
        <f t="shared" si="28"/>
        <v/>
      </c>
      <c r="BV42" s="104" t="str">
        <f t="shared" si="29"/>
        <v>none</v>
      </c>
      <c r="BW42" s="150" t="str">
        <f t="shared" si="30"/>
        <v/>
      </c>
      <c r="BX42" s="150" t="str">
        <f t="shared" si="31"/>
        <v/>
      </c>
      <c r="BY42" s="151" t="str">
        <f t="shared" si="32"/>
        <v/>
      </c>
      <c r="BZ42" s="152" t="str">
        <f t="shared" si="33"/>
        <v/>
      </c>
      <c r="CA42" s="152" t="str">
        <f t="shared" si="34"/>
        <v/>
      </c>
      <c r="CB42" s="152" t="str">
        <f t="shared" si="35"/>
        <v/>
      </c>
      <c r="CC42" s="153" t="str">
        <f t="shared" si="36"/>
        <v/>
      </c>
      <c r="CD42" s="153" t="str">
        <f t="shared" si="37"/>
        <v/>
      </c>
      <c r="CE42" s="154" t="str">
        <f t="shared" si="38"/>
        <v/>
      </c>
      <c r="CF42" s="154" t="str">
        <f t="shared" si="39"/>
        <v/>
      </c>
      <c r="CG42" s="154" t="str">
        <f t="shared" si="40"/>
        <v/>
      </c>
      <c r="CH42" s="308" t="str">
        <f t="shared" si="41"/>
        <v/>
      </c>
    </row>
    <row r="43">
      <c r="A43" s="103" t="s">
        <v>132</v>
      </c>
      <c r="B43" s="104" t="s">
        <v>92</v>
      </c>
      <c r="C43" s="428">
        <v>4546100.0</v>
      </c>
      <c r="D43" s="161">
        <v>10171.4</v>
      </c>
      <c r="E43" s="294">
        <v>3989.954587</v>
      </c>
      <c r="F43" s="295">
        <v>7.90783964</v>
      </c>
      <c r="G43" s="295">
        <v>33.31154508</v>
      </c>
      <c r="H43" s="108">
        <v>41.21938472</v>
      </c>
      <c r="I43" s="109">
        <v>638.393742</v>
      </c>
      <c r="J43" s="110">
        <v>1692.43666</v>
      </c>
      <c r="K43" s="109">
        <v>2330.830405</v>
      </c>
      <c r="L43" s="112">
        <v>5431.791929</v>
      </c>
      <c r="M43" s="112">
        <v>749.7504526</v>
      </c>
      <c r="N43" s="112">
        <v>6181.542382</v>
      </c>
      <c r="O43" s="298">
        <v>21207.74832</v>
      </c>
      <c r="P43" s="160">
        <v>3300000.0</v>
      </c>
      <c r="Q43" s="156"/>
      <c r="R43" s="121">
        <f t="shared" si="4"/>
        <v>0</v>
      </c>
      <c r="S43" s="116">
        <f t="shared" si="5"/>
        <v>0.3345096109</v>
      </c>
      <c r="T43" s="448"/>
      <c r="U43" s="449">
        <f t="shared" si="6"/>
        <v>0.4220357143</v>
      </c>
      <c r="V43" s="119">
        <v>0.9233</v>
      </c>
      <c r="W43" s="120">
        <f t="shared" si="7"/>
        <v>0.9233</v>
      </c>
      <c r="X43" s="148"/>
      <c r="Y43" s="120">
        <f t="shared" si="8"/>
        <v>0.5938357143</v>
      </c>
      <c r="Z43" s="310">
        <v>2256621.0</v>
      </c>
      <c r="AA43" s="298" t="s">
        <v>372</v>
      </c>
      <c r="AB43" s="300" t="str">
        <f t="shared" si="9"/>
        <v/>
      </c>
      <c r="AC43" s="300">
        <f t="shared" si="10"/>
        <v>0.6375203308</v>
      </c>
      <c r="AD43" s="122">
        <v>0.0812</v>
      </c>
      <c r="AE43" s="123">
        <v>0.07</v>
      </c>
      <c r="AF43" s="430">
        <v>0.0134</v>
      </c>
      <c r="AG43" s="124">
        <v>0.0641</v>
      </c>
      <c r="AH43" s="124">
        <v>0.101167808</v>
      </c>
      <c r="AI43" s="125">
        <v>0.178</v>
      </c>
      <c r="AJ43" s="125">
        <v>0.289160255</v>
      </c>
      <c r="AK43" s="127">
        <v>0.0898</v>
      </c>
      <c r="AL43" s="127">
        <v>0.141515531</v>
      </c>
      <c r="AM43" s="302">
        <v>0.0617</v>
      </c>
      <c r="AN43" s="149" t="str">
        <f>IFERROR(
  AVERAGEIFS(
    'New LF Efficacy'!$J:$J,
    'New LF Efficacy'!$D:$D, $A43,
    'New LF Efficacy'!$F:$F,"DEC", 
    'New LF Efficacy'!$W:$W,"&lt;2016",
    'New LF Efficacy'!$AA:$AA,""),
  ""
)</f>
        <v/>
      </c>
      <c r="AO43" s="115">
        <f t="shared" si="11"/>
        <v>0.31225</v>
      </c>
      <c r="AP43" s="149" t="str">
        <f>IFERROR(
AVERAGEIFS(
'New LF Efficacy'!$J:$J,
'New LF Efficacy'!$D:$D,$A43,
'New LF Efficacy'!$F:$F,"Albendazole &amp; DEC",
'New LF Efficacy'!$W:$W,"&lt;2016",
'New LF Efficacy'!$AA:$AA,""),
"")
</f>
        <v/>
      </c>
      <c r="AQ43" s="115">
        <f t="shared" si="12"/>
        <v>0.4</v>
      </c>
      <c r="AR43" s="149" t="str">
        <f>IFERROR(
AVERAGEIFS(
'New LF Efficacy'!$J:$J,
'New LF Efficacy'!$D:$D,$A43,
'New LF Efficacy'!$F:$F,"Albendazole &amp; Ivermectin", 
'New LF Efficacy'!$W:$W,"&lt;2016",
'New LF Efficacy'!$AA:$AA,""),"")</f>
        <v/>
      </c>
      <c r="AS43" s="115">
        <f t="shared" si="13"/>
        <v>0.2943125</v>
      </c>
      <c r="AT43" s="442" t="str">
        <f>IFERROR(AVERAGEIFS(
'Schist Efficacy'!$O:$O, 
'Schist Efficacy'!$C:$C,$A43, 
'Schist Efficacy'!$D:$D, "Praziquantel",
'Schist Efficacy'!$J:$J,"&lt;2016",
'Schist Efficacy'!$U:$U,""),
"")</f>
        <v/>
      </c>
      <c r="AU43" s="118">
        <f t="shared" si="14"/>
        <v>0.7206464759</v>
      </c>
      <c r="AV43" s="131" t="str">
        <f>IFERROR(AVERAGEIFS(
'STH Efficacy'!$AX:$AX, 
'STH Efficacy'!$AL:$AL, $A43, 
'STH Efficacy'!$AM:$AM, "Albendazole",
'STH Efficacy'!$AS:$AS,"&lt;2016",
'STH Efficacy'!$BP:$BP,""),
"")</f>
        <v/>
      </c>
      <c r="AW43" s="132">
        <f t="shared" si="15"/>
        <v>0.3816333333</v>
      </c>
      <c r="AX43" s="131" t="str">
        <f>IFERROR(AVERAGEIFS(
'STH Efficacy'!$AX:$AX, 
'STH Efficacy'!$AL:$AL, $A43, 
'STH Efficacy'!$AM:$AM, "Mebendazole",
'STH Efficacy'!$AS:$AS,"&lt;2016",
'STH Efficacy'!$BP:$BP,""),
"")</f>
        <v/>
      </c>
      <c r="AY43" s="132">
        <f t="shared" si="16"/>
        <v>0.4859375</v>
      </c>
      <c r="AZ43" s="131" t="str">
        <f>IFERROR(AVERAGEIFS(
'STH Efficacy'!$AX:$AX, 
'STH Efficacy'!$AL:$AL, $A43, 
'STH Efficacy'!$AM:$AM, "Albendazole &amp; Ivermectin",
'STH Efficacy'!$AS:$AS,"&lt;2016",
'STH Efficacy'!$BP:$BP,""),
"")</f>
        <v/>
      </c>
      <c r="BA43" s="133">
        <f t="shared" si="17"/>
        <v>0.47175</v>
      </c>
      <c r="BB43" s="443" t="str">
        <f>IFERROR(AVERAGEIFS(
'STH Efficacy'!$N:$N, 
'STH Efficacy'!$B:$B, $A43, 
'STH Efficacy'!$C:$C, "Albendazole",
'STH Efficacy'!$I:$I,"&lt;2016",
'STH Efficacy'!$AH:$AH,""),
"")</f>
        <v/>
      </c>
      <c r="BC43" s="135">
        <f t="shared" si="18"/>
        <v>0.8699166667</v>
      </c>
      <c r="BD43" s="443" t="str">
        <f>IFERROR(AVERAGEIFS(
'STH Efficacy'!$N:$N, 
'STH Efficacy'!$B:$B, $A43, 
'STH Efficacy'!$C:$C, "Mebendazole",
'STH Efficacy'!$I:$I,"&lt;2016",
'STH Efficacy'!$AH:$AH,""),
"")</f>
        <v/>
      </c>
      <c r="BE43" s="135">
        <f t="shared" si="19"/>
        <v>0.7092416667</v>
      </c>
      <c r="BF43" s="436" t="str">
        <f>IFERROR(AVERAGEIFS(
'STH Efficacy'!$CD:$CD, 
'STH Efficacy'!$BS:$BS, $A43, 
'STH Efficacy'!$BT:$BT, "Albendazole",
'STH Efficacy'!$BZ:$BZ,"&lt;2016",
'STH Efficacy'!$CU:$CU,""),
"")</f>
        <v/>
      </c>
      <c r="BG43" s="136">
        <f t="shared" si="20"/>
        <v>0.9066666667</v>
      </c>
      <c r="BH43" s="436" t="str">
        <f>IFERROR(AVERAGEIFS(
'STH Efficacy'!$CD:$CD, 
'STH Efficacy'!$BS:$BS, $A43, 
'STH Efficacy'!$BT:$BT, "Mebendazole",
'STH Efficacy'!$BZ:$BZ,"&lt;2016",
'STH Efficacy'!$CU:$CU,""),
"")</f>
        <v/>
      </c>
      <c r="BI43" s="136">
        <f t="shared" si="21"/>
        <v>0.8483333333</v>
      </c>
      <c r="BJ43" s="436" t="str">
        <f>IFERROR(AVERAGEIFS(
'STH Efficacy'!$CD:$CD, 
'STH Efficacy'!$BS:$BS, $A43, 
'STH Efficacy'!$BT:$BT, "Albendazole &amp; Ivermectin",
'STH Efficacy'!$BZ:$BZ,"&lt;2016",
'STH Efficacy'!$CU:$CU,""),
"")</f>
        <v/>
      </c>
      <c r="BK43" s="136">
        <f t="shared" si="22"/>
        <v>0.696</v>
      </c>
      <c r="BL43" s="444" t="str">
        <f>IFERROR(
  AVERAGEIFS(
    'NEW Onchocerciasis Efficacy'!$AO:$AO,
    'NEW Onchocerciasis Efficacy'!$C:$C,$A43,
    'NEW Onchocerciasis Efficacy'!$D:$D,"Ivermectin",
    'NEW Onchocerciasis Efficacy'!$AR:$AR,"&lt;2016",
    'NEW Onchocerciasis Efficacy'!$BG:$BG,"")
,"")</f>
        <v/>
      </c>
      <c r="BM43" s="304">
        <f t="shared" si="23"/>
        <v>0.8390421645</v>
      </c>
      <c r="BN43" s="439">
        <v>1.0</v>
      </c>
      <c r="BO43" s="139">
        <v>1.0</v>
      </c>
      <c r="BP43" s="140">
        <v>1.0</v>
      </c>
      <c r="BQ43" s="141">
        <f t="shared" si="24"/>
        <v>0</v>
      </c>
      <c r="BR43" s="104" t="str">
        <f t="shared" si="25"/>
        <v>1110</v>
      </c>
      <c r="BS43" s="104" t="str">
        <f t="shared" si="26"/>
        <v>MDA1+T2</v>
      </c>
      <c r="BT43" s="142" t="str">
        <f t="shared" si="27"/>
        <v>IVM+ALB</v>
      </c>
      <c r="BU43" s="104" t="str">
        <f t="shared" si="28"/>
        <v>PZQ</v>
      </c>
      <c r="BV43" s="104" t="str">
        <f t="shared" si="29"/>
        <v>lf+onch+schist </v>
      </c>
      <c r="BW43" s="150" t="str">
        <f t="shared" si="30"/>
        <v/>
      </c>
      <c r="BX43" s="312">
        <f t="shared" si="31"/>
        <v>1110.729732</v>
      </c>
      <c r="BY43" s="162">
        <f t="shared" si="32"/>
        <v>1743.880199</v>
      </c>
      <c r="BZ43" s="152" t="str">
        <f t="shared" si="33"/>
        <v/>
      </c>
      <c r="CA43" s="152" t="str">
        <f t="shared" si="34"/>
        <v/>
      </c>
      <c r="CB43" s="152" t="str">
        <f t="shared" si="35"/>
        <v/>
      </c>
      <c r="CC43" s="153" t="str">
        <f t="shared" si="36"/>
        <v/>
      </c>
      <c r="CD43" s="153" t="str">
        <f t="shared" si="37"/>
        <v/>
      </c>
      <c r="CE43" s="154" t="str">
        <f t="shared" si="38"/>
        <v/>
      </c>
      <c r="CF43" s="154" t="str">
        <f t="shared" si="39"/>
        <v/>
      </c>
      <c r="CG43" s="154" t="str">
        <f t="shared" si="40"/>
        <v/>
      </c>
      <c r="CH43" s="313">
        <f t="shared" si="41"/>
        <v>813.0379241</v>
      </c>
    </row>
    <row r="44">
      <c r="A44" s="103" t="s">
        <v>133</v>
      </c>
      <c r="B44" s="104" t="s">
        <v>92</v>
      </c>
      <c r="C44" s="428">
        <v>1.4009413E7</v>
      </c>
      <c r="D44" s="161">
        <v>14699.6</v>
      </c>
      <c r="E44" s="294">
        <v>31018.12042</v>
      </c>
      <c r="F44" s="295">
        <v>0.042433887</v>
      </c>
      <c r="G44" s="295">
        <v>0.212462977</v>
      </c>
      <c r="H44" s="157">
        <v>0.254896864</v>
      </c>
      <c r="I44" s="110">
        <v>1409.191</v>
      </c>
      <c r="J44" s="110">
        <v>3667.54558</v>
      </c>
      <c r="K44" s="110">
        <v>5076.736584</v>
      </c>
      <c r="L44" s="111">
        <v>5421.239188</v>
      </c>
      <c r="M44" s="112">
        <v>568.8585882</v>
      </c>
      <c r="N44" s="112">
        <v>5990.097776</v>
      </c>
      <c r="O44" s="298">
        <v>11683.5267</v>
      </c>
      <c r="P44" s="160">
        <v>3181835.0</v>
      </c>
      <c r="Q44" s="156"/>
      <c r="R44" s="121">
        <f t="shared" si="4"/>
        <v>0</v>
      </c>
      <c r="S44" s="116">
        <f t="shared" si="5"/>
        <v>0.3345096109</v>
      </c>
      <c r="T44" s="448"/>
      <c r="U44" s="449">
        <f t="shared" si="6"/>
        <v>0.4220357143</v>
      </c>
      <c r="V44" s="148"/>
      <c r="W44" s="120">
        <f t="shared" si="7"/>
        <v>0.8084736842</v>
      </c>
      <c r="X44" s="148"/>
      <c r="Y44" s="120">
        <f t="shared" si="8"/>
        <v>0.5938357143</v>
      </c>
      <c r="Z44" s="310">
        <v>3819804.0</v>
      </c>
      <c r="AA44" s="310">
        <v>2128235.0</v>
      </c>
      <c r="AB44" s="300">
        <f t="shared" si="9"/>
        <v>0.5571581683</v>
      </c>
      <c r="AC44" s="300">
        <f t="shared" si="10"/>
        <v>0.5571581683</v>
      </c>
      <c r="AD44" s="122">
        <v>0.0238</v>
      </c>
      <c r="AE44" s="123">
        <v>0.25</v>
      </c>
      <c r="AF44" s="430">
        <v>0.0701</v>
      </c>
      <c r="AG44" s="124">
        <v>0.0113</v>
      </c>
      <c r="AH44" s="124">
        <v>0.01800492</v>
      </c>
      <c r="AI44" s="125">
        <v>0.1149</v>
      </c>
      <c r="AJ44" s="125">
        <v>0.186381535</v>
      </c>
      <c r="AK44" s="127">
        <v>0.0118</v>
      </c>
      <c r="AL44" s="127">
        <v>0.018826895</v>
      </c>
      <c r="AM44" s="302">
        <v>0.0131</v>
      </c>
      <c r="AN44" s="149" t="str">
        <f>IFERROR(
  AVERAGEIFS(
    'New LF Efficacy'!$J:$J,
    'New LF Efficacy'!$D:$D, $A44,
    'New LF Efficacy'!$F:$F,"DEC", 
    'New LF Efficacy'!$W:$W,"&lt;2016",
    'New LF Efficacy'!$AA:$AA,""),
  ""
)</f>
        <v/>
      </c>
      <c r="AO44" s="115">
        <f t="shared" si="11"/>
        <v>0.31225</v>
      </c>
      <c r="AP44" s="149" t="str">
        <f>IFERROR(
AVERAGEIFS(
'New LF Efficacy'!$J:$J,
'New LF Efficacy'!$D:$D,$A44,
'New LF Efficacy'!$F:$F,"Albendazole &amp; DEC",
'New LF Efficacy'!$W:$W,"&lt;2016",
'New LF Efficacy'!$AA:$AA,""),
"")
</f>
        <v/>
      </c>
      <c r="AQ44" s="115">
        <f t="shared" si="12"/>
        <v>0.4</v>
      </c>
      <c r="AR44" s="149" t="str">
        <f>IFERROR(
AVERAGEIFS(
'New LF Efficacy'!$J:$J,
'New LF Efficacy'!$D:$D,$A44,
'New LF Efficacy'!$F:$F,"Albendazole &amp; Ivermectin", 
'New LF Efficacy'!$W:$W,"&lt;2016",
'New LF Efficacy'!$AA:$AA,""),"")</f>
        <v/>
      </c>
      <c r="AS44" s="115">
        <f t="shared" si="13"/>
        <v>0.2943125</v>
      </c>
      <c r="AT44" s="442" t="str">
        <f>IFERROR(AVERAGEIFS(
'Schist Efficacy'!$O:$O, 
'Schist Efficacy'!$C:$C,$A44, 
'Schist Efficacy'!$D:$D, "Praziquantel",
'Schist Efficacy'!$J:$J,"&lt;2016",
'Schist Efficacy'!$U:$U,""),
"")</f>
        <v/>
      </c>
      <c r="AU44" s="118">
        <f t="shared" si="14"/>
        <v>0.7206464759</v>
      </c>
      <c r="AV44" s="131" t="str">
        <f>IFERROR(AVERAGEIFS(
'STH Efficacy'!$AX:$AX, 
'STH Efficacy'!$AL:$AL, $A44, 
'STH Efficacy'!$AM:$AM, "Albendazole",
'STH Efficacy'!$AS:$AS,"&lt;2016",
'STH Efficacy'!$BP:$BP,""),
"")</f>
        <v/>
      </c>
      <c r="AW44" s="132">
        <f t="shared" si="15"/>
        <v>0.3816333333</v>
      </c>
      <c r="AX44" s="131" t="str">
        <f>IFERROR(AVERAGEIFS(
'STH Efficacy'!$AX:$AX, 
'STH Efficacy'!$AL:$AL, $A44, 
'STH Efficacy'!$AM:$AM, "Mebendazole",
'STH Efficacy'!$AS:$AS,"&lt;2016",
'STH Efficacy'!$BP:$BP,""),
"")</f>
        <v/>
      </c>
      <c r="AY44" s="132">
        <f t="shared" si="16"/>
        <v>0.4859375</v>
      </c>
      <c r="AZ44" s="131" t="str">
        <f>IFERROR(AVERAGEIFS(
'STH Efficacy'!$AX:$AX, 
'STH Efficacy'!$AL:$AL, $A44, 
'STH Efficacy'!$AM:$AM, "Albendazole &amp; Ivermectin",
'STH Efficacy'!$AS:$AS,"&lt;2016",
'STH Efficacy'!$BP:$BP,""),
"")</f>
        <v/>
      </c>
      <c r="BA44" s="133">
        <f t="shared" si="17"/>
        <v>0.47175</v>
      </c>
      <c r="BB44" s="443" t="str">
        <f>IFERROR(AVERAGEIFS(
'STH Efficacy'!$N:$N, 
'STH Efficacy'!$B:$B, $A44, 
'STH Efficacy'!$C:$C, "Albendazole",
'STH Efficacy'!$I:$I,"&lt;2016",
'STH Efficacy'!$AH:$AH,""),
"")</f>
        <v/>
      </c>
      <c r="BC44" s="135">
        <f t="shared" si="18"/>
        <v>0.8699166667</v>
      </c>
      <c r="BD44" s="443" t="str">
        <f>IFERROR(AVERAGEIFS(
'STH Efficacy'!$N:$N, 
'STH Efficacy'!$B:$B, $A44, 
'STH Efficacy'!$C:$C, "Mebendazole",
'STH Efficacy'!$I:$I,"&lt;2016",
'STH Efficacy'!$AH:$AH,""),
"")</f>
        <v/>
      </c>
      <c r="BE44" s="135">
        <f t="shared" si="19"/>
        <v>0.7092416667</v>
      </c>
      <c r="BF44" s="436" t="str">
        <f>IFERROR(AVERAGEIFS(
'STH Efficacy'!$CD:$CD, 
'STH Efficacy'!$BS:$BS, $A44, 
'STH Efficacy'!$BT:$BT, "Albendazole",
'STH Efficacy'!$BZ:$BZ,"&lt;2016",
'STH Efficacy'!$CU:$CU,""),
"")</f>
        <v/>
      </c>
      <c r="BG44" s="136">
        <f t="shared" si="20"/>
        <v>0.9066666667</v>
      </c>
      <c r="BH44" s="436" t="str">
        <f>IFERROR(AVERAGEIFS(
'STH Efficacy'!$CD:$CD, 
'STH Efficacy'!$BS:$BS, $A44, 
'STH Efficacy'!$BT:$BT, "Mebendazole",
'STH Efficacy'!$BZ:$BZ,"&lt;2016",
'STH Efficacy'!$CU:$CU,""),
"")</f>
        <v/>
      </c>
      <c r="BI44" s="136">
        <f t="shared" si="21"/>
        <v>0.8483333333</v>
      </c>
      <c r="BJ44" s="436" t="str">
        <f>IFERROR(AVERAGEIFS(
'STH Efficacy'!$CD:$CD, 
'STH Efficacy'!$BS:$BS, $A44, 
'STH Efficacy'!$BT:$BT, "Albendazole &amp; Ivermectin",
'STH Efficacy'!$BZ:$BZ,"&lt;2016",
'STH Efficacy'!$CU:$CU,""),
"")</f>
        <v/>
      </c>
      <c r="BK44" s="136">
        <f t="shared" si="22"/>
        <v>0.696</v>
      </c>
      <c r="BL44" s="444" t="str">
        <f>IFERROR(
  AVERAGEIFS(
    'NEW Onchocerciasis Efficacy'!$AO:$AO,
    'NEW Onchocerciasis Efficacy'!$C:$C,$A44,
    'NEW Onchocerciasis Efficacy'!$D:$D,"Ivermectin",
    'NEW Onchocerciasis Efficacy'!$AR:$AR,"&lt;2016",
    'NEW Onchocerciasis Efficacy'!$BG:$BG,"")
,"")</f>
        <v/>
      </c>
      <c r="BM44" s="304">
        <f t="shared" si="23"/>
        <v>0.8390421645</v>
      </c>
      <c r="BN44" s="439">
        <v>1.0</v>
      </c>
      <c r="BO44" s="139">
        <v>1.0</v>
      </c>
      <c r="BP44" s="140">
        <v>1.0</v>
      </c>
      <c r="BQ44" s="141">
        <f t="shared" si="24"/>
        <v>0</v>
      </c>
      <c r="BR44" s="104" t="str">
        <f t="shared" si="25"/>
        <v>1110</v>
      </c>
      <c r="BS44" s="104" t="str">
        <f t="shared" si="26"/>
        <v>MDA1+T2</v>
      </c>
      <c r="BT44" s="142" t="str">
        <f t="shared" si="27"/>
        <v>IVM+ALB</v>
      </c>
      <c r="BU44" s="104" t="str">
        <f t="shared" si="28"/>
        <v>PZQ</v>
      </c>
      <c r="BV44" s="104" t="str">
        <f t="shared" si="29"/>
        <v>lf+onch+schist </v>
      </c>
      <c r="BW44" s="150" t="str">
        <f t="shared" si="30"/>
        <v/>
      </c>
      <c r="BX44" s="312">
        <f t="shared" si="31"/>
        <v>1605.214894</v>
      </c>
      <c r="BY44" s="162">
        <f t="shared" si="32"/>
        <v>13557.01796</v>
      </c>
      <c r="BZ44" s="152" t="str">
        <f t="shared" si="33"/>
        <v/>
      </c>
      <c r="CA44" s="152" t="str">
        <f t="shared" si="34"/>
        <v/>
      </c>
      <c r="CB44" s="152" t="str">
        <f t="shared" si="35"/>
        <v/>
      </c>
      <c r="CC44" s="153" t="str">
        <f t="shared" si="36"/>
        <v/>
      </c>
      <c r="CD44" s="153" t="str">
        <f t="shared" si="37"/>
        <v/>
      </c>
      <c r="CE44" s="154" t="str">
        <f t="shared" si="38"/>
        <v/>
      </c>
      <c r="CF44" s="154" t="str">
        <f t="shared" si="39"/>
        <v/>
      </c>
      <c r="CG44" s="154" t="str">
        <f t="shared" si="40"/>
        <v/>
      </c>
      <c r="CH44" s="313">
        <f t="shared" si="41"/>
        <v>341.8837109</v>
      </c>
    </row>
    <row r="45">
      <c r="A45" s="103" t="s">
        <v>134</v>
      </c>
      <c r="B45" s="104" t="s">
        <v>98</v>
      </c>
      <c r="C45" s="428">
        <v>1.7762681E7</v>
      </c>
      <c r="D45" s="161">
        <v>0.0</v>
      </c>
      <c r="E45" s="294">
        <v>0.0</v>
      </c>
      <c r="F45" s="295">
        <v>1.611009946</v>
      </c>
      <c r="G45" s="295">
        <v>9.598344496</v>
      </c>
      <c r="H45" s="108">
        <v>11.20935444</v>
      </c>
      <c r="I45" s="109">
        <v>0.06888809</v>
      </c>
      <c r="J45" s="109">
        <v>0.03515977</v>
      </c>
      <c r="K45" s="109">
        <v>0.104047853</v>
      </c>
      <c r="L45" s="112">
        <v>79.69435867</v>
      </c>
      <c r="M45" s="112">
        <v>227.8947931</v>
      </c>
      <c r="N45" s="112">
        <v>307.5891518</v>
      </c>
      <c r="O45" s="298">
        <v>0.0</v>
      </c>
      <c r="P45" s="114"/>
      <c r="Q45" s="114"/>
      <c r="R45" s="121" t="str">
        <f t="shared" si="4"/>
        <v/>
      </c>
      <c r="S45" s="116">
        <f t="shared" si="5"/>
        <v>0.3565746084</v>
      </c>
      <c r="T45" s="117"/>
      <c r="U45" s="118">
        <f t="shared" si="6"/>
        <v>0.4791888889</v>
      </c>
      <c r="V45" s="148"/>
      <c r="W45" s="120">
        <f t="shared" si="7"/>
        <v>0.685</v>
      </c>
      <c r="X45" s="148"/>
      <c r="Y45" s="120">
        <f t="shared" si="8"/>
        <v>0.7550545455</v>
      </c>
      <c r="Z45" s="299"/>
      <c r="AA45" s="441"/>
      <c r="AB45" s="300" t="str">
        <f t="shared" si="9"/>
        <v/>
      </c>
      <c r="AC45" s="300">
        <f t="shared" si="10"/>
        <v>0.7101368438</v>
      </c>
      <c r="AD45" s="122">
        <v>0.0</v>
      </c>
      <c r="AE45" s="123">
        <v>0.0</v>
      </c>
      <c r="AF45" s="430">
        <v>0.0</v>
      </c>
      <c r="AG45" s="124">
        <v>0.0449</v>
      </c>
      <c r="AH45" s="124">
        <v>0.061161037</v>
      </c>
      <c r="AI45" s="125">
        <v>0.0</v>
      </c>
      <c r="AJ45" s="125">
        <v>9.24845E-6</v>
      </c>
      <c r="AK45" s="127">
        <v>0.1105</v>
      </c>
      <c r="AL45" s="127">
        <v>0.149596952</v>
      </c>
      <c r="AM45" s="302">
        <v>0.0</v>
      </c>
      <c r="AN45" s="149" t="str">
        <f>IFERROR(
  AVERAGEIFS(
    'New LF Efficacy'!$J:$J,
    'New LF Efficacy'!$D:$D, $A45,
    'New LF Efficacy'!$F:$F,"DEC", 
    'New LF Efficacy'!$W:$W,"&lt;2016",
    'New LF Efficacy'!$AA:$AA,""),
  ""
)</f>
        <v/>
      </c>
      <c r="AO45" s="115">
        <f t="shared" si="11"/>
        <v>0.2589833333</v>
      </c>
      <c r="AP45" s="149" t="str">
        <f>IFERROR(
AVERAGEIFS(
'New LF Efficacy'!$J:$J,
'New LF Efficacy'!$D:$D,$A45,
'New LF Efficacy'!$F:$F,"Albendazole &amp; DEC",
'New LF Efficacy'!$W:$W,"&lt;2016",
'New LF Efficacy'!$AA:$AA,""),
"")
</f>
        <v/>
      </c>
      <c r="AQ45" s="115">
        <f t="shared" si="12"/>
        <v>0.3465</v>
      </c>
      <c r="AR45" s="149" t="str">
        <f>IFERROR(
AVERAGEIFS(
'New LF Efficacy'!$J:$J,
'New LF Efficacy'!$D:$D,$A45,
'New LF Efficacy'!$F:$F,"Albendazole &amp; Ivermectin", 
'New LF Efficacy'!$W:$W,"&lt;2016",
'New LF Efficacy'!$AA:$AA,""),"")</f>
        <v/>
      </c>
      <c r="AS45" s="115">
        <f t="shared" si="13"/>
        <v>0.7575</v>
      </c>
      <c r="AT45" s="442" t="str">
        <f>IFERROR(AVERAGEIFS(
'Schist Efficacy'!$O:$O, 
'Schist Efficacy'!$C:$C,$A45, 
'Schist Efficacy'!$D:$D, "Praziquantel",
'Schist Efficacy'!$J:$J,"&lt;2016",
'Schist Efficacy'!$U:$U,""),
"")</f>
        <v/>
      </c>
      <c r="AU45" s="118">
        <f t="shared" si="14"/>
        <v>0.7914761905</v>
      </c>
      <c r="AV45" s="131" t="str">
        <f>IFERROR(AVERAGEIFS(
'STH Efficacy'!$AX:$AX, 
'STH Efficacy'!$AL:$AL, $A45, 
'STH Efficacy'!$AM:$AM, "Albendazole",
'STH Efficacy'!$AS:$AS,"&lt;2016",
'STH Efficacy'!$BP:$BP,""),
"")</f>
        <v/>
      </c>
      <c r="AW45" s="132">
        <f t="shared" si="15"/>
        <v>0.3945</v>
      </c>
      <c r="AX45" s="131" t="str">
        <f>IFERROR(AVERAGEIFS(
'STH Efficacy'!$AX:$AX, 
'STH Efficacy'!$AL:$AL, $A45, 
'STH Efficacy'!$AM:$AM, "Mebendazole",
'STH Efficacy'!$AS:$AS,"&lt;2016",
'STH Efficacy'!$BP:$BP,""),
"")</f>
        <v/>
      </c>
      <c r="AY45" s="132">
        <f t="shared" si="16"/>
        <v>0.6</v>
      </c>
      <c r="AZ45" s="131" t="str">
        <f>IFERROR(AVERAGEIFS(
'STH Efficacy'!$AX:$AX, 
'STH Efficacy'!$AL:$AL, $A45, 
'STH Efficacy'!$AM:$AM, "Albendazole &amp; Ivermectin",
'STH Efficacy'!$AS:$AS,"&lt;2016",
'STH Efficacy'!$BP:$BP,""),
"")</f>
        <v/>
      </c>
      <c r="BA45" s="133">
        <f t="shared" si="17"/>
        <v>0.796</v>
      </c>
      <c r="BB45" s="443" t="str">
        <f>IFERROR(AVERAGEIFS(
'STH Efficacy'!$N:$N, 
'STH Efficacy'!$B:$B, $A45, 
'STH Efficacy'!$C:$C, "Albendazole",
'STH Efficacy'!$I:$I,"&lt;2016",
'STH Efficacy'!$AH:$AH,""),
"")</f>
        <v/>
      </c>
      <c r="BC45" s="135">
        <f t="shared" si="18"/>
        <v>0.869</v>
      </c>
      <c r="BD45" s="443" t="str">
        <f>IFERROR(AVERAGEIFS(
'STH Efficacy'!$N:$N, 
'STH Efficacy'!$B:$B, $A45, 
'STH Efficacy'!$C:$C, "Mebendazole",
'STH Efficacy'!$I:$I,"&lt;2016",
'STH Efficacy'!$AH:$AH,""),
"")</f>
        <v/>
      </c>
      <c r="BE45" s="135">
        <f t="shared" si="19"/>
        <v>0.172</v>
      </c>
      <c r="BF45" s="436" t="str">
        <f>IFERROR(AVERAGEIFS(
'STH Efficacy'!$CD:$CD, 
'STH Efficacy'!$BS:$BS, $A45, 
'STH Efficacy'!$BT:$BT, "Albendazole",
'STH Efficacy'!$BZ:$BZ,"&lt;2016",
'STH Efficacy'!$CU:$CU,""),
"")</f>
        <v/>
      </c>
      <c r="BG45" s="136">
        <f t="shared" si="20"/>
        <v>0.9862</v>
      </c>
      <c r="BH45" s="436" t="str">
        <f>IFERROR(AVERAGEIFS(
'STH Efficacy'!$CD:$CD, 
'STH Efficacy'!$BS:$BS, $A45, 
'STH Efficacy'!$BT:$BT, "Mebendazole",
'STH Efficacy'!$BZ:$BZ,"&lt;2016",
'STH Efficacy'!$CU:$CU,""),
"")</f>
        <v/>
      </c>
      <c r="BI45" s="136">
        <f t="shared" si="21"/>
        <v>0.769</v>
      </c>
      <c r="BJ45" s="436" t="str">
        <f>IFERROR(AVERAGEIFS(
'STH Efficacy'!$CD:$CD, 
'STH Efficacy'!$BS:$BS, $A45, 
'STH Efficacy'!$BT:$BT, "Albendazole &amp; Ivermectin",
'STH Efficacy'!$BZ:$BZ,"&lt;2016",
'STH Efficacy'!$CU:$CU,""),
"")</f>
        <v/>
      </c>
      <c r="BK45" s="136">
        <f t="shared" si="22"/>
        <v>1</v>
      </c>
      <c r="BL45" s="444" t="str">
        <f>IFERROR(
  AVERAGEIFS(
    'NEW Onchocerciasis Efficacy'!$AO:$AO,
    'NEW Onchocerciasis Efficacy'!$C:$C,$A45,
    'NEW Onchocerciasis Efficacy'!$D:$D,"Ivermectin",
    'NEW Onchocerciasis Efficacy'!$AR:$AR,"&lt;2016",
    'NEW Onchocerciasis Efficacy'!$BG:$BG,"")
,"")</f>
        <v/>
      </c>
      <c r="BM45" s="304">
        <f t="shared" si="23"/>
        <v>0.3734</v>
      </c>
      <c r="BN45" s="439">
        <v>0.0</v>
      </c>
      <c r="BO45" s="139">
        <v>0.0</v>
      </c>
      <c r="BP45" s="140">
        <v>0.0</v>
      </c>
      <c r="BQ45" s="141">
        <f t="shared" si="24"/>
        <v>0</v>
      </c>
      <c r="BR45" s="104" t="str">
        <f t="shared" si="25"/>
        <v>0000</v>
      </c>
      <c r="BS45" s="104" t="str">
        <f t="shared" si="26"/>
        <v>no action required</v>
      </c>
      <c r="BT45" s="142" t="str">
        <f t="shared" si="27"/>
        <v/>
      </c>
      <c r="BU45" s="104" t="str">
        <f t="shared" si="28"/>
        <v/>
      </c>
      <c r="BV45" s="104" t="str">
        <f t="shared" si="29"/>
        <v>none</v>
      </c>
      <c r="BW45" s="150" t="str">
        <f t="shared" si="30"/>
        <v/>
      </c>
      <c r="BX45" s="150" t="str">
        <f t="shared" si="31"/>
        <v/>
      </c>
      <c r="BY45" s="151" t="str">
        <f t="shared" si="32"/>
        <v/>
      </c>
      <c r="BZ45" s="152" t="str">
        <f t="shared" si="33"/>
        <v/>
      </c>
      <c r="CA45" s="152" t="str">
        <f t="shared" si="34"/>
        <v/>
      </c>
      <c r="CB45" s="152" t="str">
        <f t="shared" si="35"/>
        <v/>
      </c>
      <c r="CC45" s="153" t="str">
        <f t="shared" si="36"/>
        <v/>
      </c>
      <c r="CD45" s="153" t="str">
        <f t="shared" si="37"/>
        <v/>
      </c>
      <c r="CE45" s="154" t="str">
        <f t="shared" si="38"/>
        <v/>
      </c>
      <c r="CF45" s="154" t="str">
        <f t="shared" si="39"/>
        <v/>
      </c>
      <c r="CG45" s="154" t="str">
        <f t="shared" si="40"/>
        <v/>
      </c>
      <c r="CH45" s="308" t="str">
        <f t="shared" si="41"/>
        <v/>
      </c>
    </row>
    <row r="46">
      <c r="A46" s="103" t="s">
        <v>135</v>
      </c>
      <c r="B46" s="104" t="s">
        <v>94</v>
      </c>
      <c r="C46" s="428">
        <v>1.37122E9</v>
      </c>
      <c r="D46" s="161">
        <v>0.0</v>
      </c>
      <c r="E46" s="294">
        <v>24057.89088</v>
      </c>
      <c r="F46" s="295">
        <v>225.7926677</v>
      </c>
      <c r="G46" s="322">
        <v>1674.60046</v>
      </c>
      <c r="H46" s="157">
        <v>1900.393128</v>
      </c>
      <c r="I46" s="110">
        <v>7744.79569</v>
      </c>
      <c r="J46" s="110">
        <v>21768.4445</v>
      </c>
      <c r="K46" s="110">
        <v>29513.24017</v>
      </c>
      <c r="L46" s="111">
        <v>2031.251541</v>
      </c>
      <c r="M46" s="111">
        <v>4496.086027</v>
      </c>
      <c r="N46" s="112">
        <v>6527.337569</v>
      </c>
      <c r="O46" s="298">
        <v>0.0</v>
      </c>
      <c r="P46" s="114"/>
      <c r="Q46" s="114"/>
      <c r="R46" s="121" t="str">
        <f t="shared" si="4"/>
        <v/>
      </c>
      <c r="S46" s="116">
        <f t="shared" si="5"/>
        <v>0.3783554476</v>
      </c>
      <c r="T46" s="118">
        <v>0.981</v>
      </c>
      <c r="U46" s="118">
        <f t="shared" si="6"/>
        <v>0.981</v>
      </c>
      <c r="V46" s="148"/>
      <c r="W46" s="120">
        <f t="shared" si="7"/>
        <v>0.6141272727</v>
      </c>
      <c r="X46" s="148"/>
      <c r="Y46" s="120">
        <f t="shared" si="8"/>
        <v>0.6018090909</v>
      </c>
      <c r="Z46" s="299"/>
      <c r="AA46" s="441"/>
      <c r="AB46" s="300" t="str">
        <f t="shared" si="9"/>
        <v/>
      </c>
      <c r="AC46" s="300">
        <f t="shared" si="10"/>
        <v>0.6890056172</v>
      </c>
      <c r="AD46" s="122">
        <v>0.0</v>
      </c>
      <c r="AE46" s="123">
        <v>0.0</v>
      </c>
      <c r="AF46" s="430">
        <v>1.0E-4</v>
      </c>
      <c r="AG46" s="124">
        <v>0.0413</v>
      </c>
      <c r="AH46" s="124">
        <v>0.06392029</v>
      </c>
      <c r="AI46" s="125">
        <v>0.0269</v>
      </c>
      <c r="AJ46" s="125">
        <v>0.042619933</v>
      </c>
      <c r="AK46" s="127">
        <v>0.053</v>
      </c>
      <c r="AL46" s="127">
        <v>0.08481404</v>
      </c>
      <c r="AM46" s="302">
        <v>0.0</v>
      </c>
      <c r="AN46" s="149" t="str">
        <f>IFERROR(
  AVERAGEIFS(
    'New LF Efficacy'!$J:$J,
    'New LF Efficacy'!$D:$D, $A46,
    'New LF Efficacy'!$F:$F,"DEC", 
    'New LF Efficacy'!$W:$W,"&lt;2016",
    'New LF Efficacy'!$AA:$AA,""),
  ""
)</f>
        <v/>
      </c>
      <c r="AO46" s="115">
        <f t="shared" si="11"/>
        <v>0.38</v>
      </c>
      <c r="AP46" s="149" t="str">
        <f>IFERROR(
AVERAGEIFS(
'New LF Efficacy'!$J:$J,
'New LF Efficacy'!$D:$D,$A46,
'New LF Efficacy'!$F:$F,"Albendazole &amp; DEC",
'New LF Efficacy'!$W:$W,"&lt;2016",
'New LF Efficacy'!$AA:$AA,""),
"")
</f>
        <v/>
      </c>
      <c r="AQ46" s="115">
        <f t="shared" si="12"/>
        <v>0.662</v>
      </c>
      <c r="AR46" s="149" t="str">
        <f>IFERROR(
AVERAGEIFS(
'New LF Efficacy'!$J:$J,
'New LF Efficacy'!$D:$D,$A46,
'New LF Efficacy'!$F:$F,"Albendazole &amp; Ivermectin", 
'New LF Efficacy'!$W:$W,"&lt;2016",
'New LF Efficacy'!$AA:$AA,""),"")</f>
        <v/>
      </c>
      <c r="AS46" s="115">
        <f t="shared" si="13"/>
        <v>0.37153125</v>
      </c>
      <c r="AT46" s="442">
        <f>IFERROR(AVERAGEIFS(
'Schist Efficacy'!$O:$O, 
'Schist Efficacy'!$C:$C,$A46, 
'Schist Efficacy'!$D:$D, "Praziquantel",
'Schist Efficacy'!$J:$J,"&lt;2016",
'Schist Efficacy'!$U:$U,""),
"")</f>
        <v>0.95</v>
      </c>
      <c r="AU46" s="118">
        <f t="shared" si="14"/>
        <v>0.95</v>
      </c>
      <c r="AV46" s="131">
        <f>IFERROR(AVERAGEIFS(
'STH Efficacy'!$AX:$AX, 
'STH Efficacy'!$AL:$AL, $A46, 
'STH Efficacy'!$AM:$AM, "Albendazole",
'STH Efficacy'!$AS:$AS,"&lt;2016",
'STH Efficacy'!$BP:$BP,""),
"")</f>
        <v>0.4235</v>
      </c>
      <c r="AW46" s="132">
        <f t="shared" si="15"/>
        <v>0.4235</v>
      </c>
      <c r="AX46" s="131">
        <f>IFERROR(AVERAGEIFS(
'STH Efficacy'!$AX:$AX, 
'STH Efficacy'!$AL:$AL, $A46, 
'STH Efficacy'!$AM:$AM, "Mebendazole",
'STH Efficacy'!$AS:$AS,"&lt;2016",
'STH Efficacy'!$BP:$BP,""),
"")</f>
        <v>0.552</v>
      </c>
      <c r="AY46" s="132">
        <f t="shared" si="16"/>
        <v>0.552</v>
      </c>
      <c r="AZ46" s="131" t="str">
        <f>IFERROR(AVERAGEIFS(
'STH Efficacy'!$AX:$AX, 
'STH Efficacy'!$AL:$AL, $A46, 
'STH Efficacy'!$AM:$AM, "Albendazole &amp; Ivermectin",
'STH Efficacy'!$AS:$AS,"&lt;2016",
'STH Efficacy'!$BP:$BP,""),
"")</f>
        <v/>
      </c>
      <c r="BA46" s="133">
        <f t="shared" si="17"/>
        <v>0.651</v>
      </c>
      <c r="BB46" s="443">
        <f>IFERROR(AVERAGEIFS(
'STH Efficacy'!$N:$N, 
'STH Efficacy'!$B:$B, $A46, 
'STH Efficacy'!$C:$C, "Albendazole",
'STH Efficacy'!$I:$I,"&lt;2016",
'STH Efficacy'!$AH:$AH,""),
"")</f>
        <v>0.75075</v>
      </c>
      <c r="BC46" s="135">
        <f t="shared" si="18"/>
        <v>0.75075</v>
      </c>
      <c r="BD46" s="443">
        <f>IFERROR(AVERAGEIFS(
'STH Efficacy'!$N:$N, 
'STH Efficacy'!$B:$B, $A46, 
'STH Efficacy'!$C:$C, "Mebendazole",
'STH Efficacy'!$I:$I,"&lt;2016",
'STH Efficacy'!$AH:$AH,""),
"")</f>
        <v>0.4475</v>
      </c>
      <c r="BE46" s="135">
        <f t="shared" si="19"/>
        <v>0.4475</v>
      </c>
      <c r="BF46" s="436">
        <f>IFERROR(AVERAGEIFS(
'STH Efficacy'!$CD:$CD, 
'STH Efficacy'!$BS:$BS, $A46, 
'STH Efficacy'!$BT:$BT, "Albendazole",
'STH Efficacy'!$BZ:$BZ,"&lt;2016",
'STH Efficacy'!$CU:$CU,""),
"")</f>
        <v>0.9645</v>
      </c>
      <c r="BG46" s="136">
        <f t="shared" si="20"/>
        <v>0.9645</v>
      </c>
      <c r="BH46" s="436">
        <f>IFERROR(AVERAGEIFS(
'STH Efficacy'!$CD:$CD, 
'STH Efficacy'!$BS:$BS, $A46, 
'STH Efficacy'!$BT:$BT, "Mebendazole",
'STH Efficacy'!$BZ:$BZ,"&lt;2016",
'STH Efficacy'!$CU:$CU,""),
"")</f>
        <v>0.9305</v>
      </c>
      <c r="BI46" s="136">
        <f t="shared" si="21"/>
        <v>0.9305</v>
      </c>
      <c r="BJ46" s="436" t="str">
        <f>IFERROR(AVERAGEIFS(
'STH Efficacy'!$CD:$CD, 
'STH Efficacy'!$BS:$BS, $A46, 
'STH Efficacy'!$BT:$BT, "Albendazole &amp; Ivermectin",
'STH Efficacy'!$BZ:$BZ,"&lt;2016",
'STH Efficacy'!$CU:$CU,""),
"")</f>
        <v/>
      </c>
      <c r="BK46" s="136">
        <f t="shared" si="22"/>
        <v>0.848</v>
      </c>
      <c r="BL46" s="444" t="str">
        <f>IFERROR(
  AVERAGEIFS(
    'NEW Onchocerciasis Efficacy'!$AO:$AO,
    'NEW Onchocerciasis Efficacy'!$C:$C,$A46,
    'NEW Onchocerciasis Efficacy'!$D:$D,"Ivermectin",
    'NEW Onchocerciasis Efficacy'!$AR:$AR,"&lt;2016",
    'NEW Onchocerciasis Efficacy'!$BG:$BG,"")
,"")</f>
        <v/>
      </c>
      <c r="BM46" s="304">
        <f t="shared" si="23"/>
        <v>0.7808368939</v>
      </c>
      <c r="BN46" s="439">
        <v>0.0</v>
      </c>
      <c r="BO46" s="139">
        <v>1.0</v>
      </c>
      <c r="BP46" s="140">
        <v>1.0</v>
      </c>
      <c r="BQ46" s="141">
        <f t="shared" si="24"/>
        <v>0</v>
      </c>
      <c r="BR46" s="104" t="str">
        <f t="shared" si="25"/>
        <v>0110</v>
      </c>
      <c r="BS46" s="104" t="str">
        <f t="shared" si="26"/>
        <v>MDA3+T2</v>
      </c>
      <c r="BT46" s="142" t="str">
        <f t="shared" si="27"/>
        <v>IVM</v>
      </c>
      <c r="BU46" s="104" t="str">
        <f t="shared" si="28"/>
        <v>PZQ</v>
      </c>
      <c r="BV46" s="104" t="str">
        <f t="shared" si="29"/>
        <v>onch+schist</v>
      </c>
      <c r="BW46" s="150" t="str">
        <f t="shared" si="30"/>
        <v/>
      </c>
      <c r="BX46" s="150" t="str">
        <f t="shared" si="31"/>
        <v/>
      </c>
      <c r="BY46" s="162">
        <f t="shared" si="32"/>
        <v>329474.6716</v>
      </c>
      <c r="BZ46" s="152" t="str">
        <f t="shared" si="33"/>
        <v/>
      </c>
      <c r="CA46" s="152" t="str">
        <f t="shared" si="34"/>
        <v/>
      </c>
      <c r="CB46" s="152" t="str">
        <f t="shared" si="35"/>
        <v/>
      </c>
      <c r="CC46" s="153" t="str">
        <f t="shared" si="36"/>
        <v/>
      </c>
      <c r="CD46" s="153" t="str">
        <f t="shared" si="37"/>
        <v/>
      </c>
      <c r="CE46" s="154" t="str">
        <f t="shared" si="38"/>
        <v/>
      </c>
      <c r="CF46" s="154" t="str">
        <f t="shared" si="39"/>
        <v/>
      </c>
      <c r="CG46" s="154" t="str">
        <f t="shared" si="40"/>
        <v/>
      </c>
      <c r="CH46" s="313">
        <f t="shared" si="41"/>
        <v>0</v>
      </c>
    </row>
    <row r="47">
      <c r="A47" s="155" t="s">
        <v>136</v>
      </c>
      <c r="B47" s="104" t="s">
        <v>94</v>
      </c>
      <c r="C47" s="428">
        <v>7305700.0</v>
      </c>
      <c r="D47" s="161">
        <v>0.0</v>
      </c>
      <c r="E47" s="294">
        <v>0.0</v>
      </c>
      <c r="F47" s="163"/>
      <c r="G47" s="325"/>
      <c r="H47" s="108">
        <v>0.0</v>
      </c>
      <c r="I47" s="109">
        <v>0.0</v>
      </c>
      <c r="J47" s="109">
        <v>0.0</v>
      </c>
      <c r="K47" s="109">
        <v>0.0</v>
      </c>
      <c r="L47" s="113"/>
      <c r="M47" s="113"/>
      <c r="N47" s="112">
        <v>0.0</v>
      </c>
      <c r="O47" s="298">
        <v>0.0</v>
      </c>
      <c r="P47" s="114"/>
      <c r="Q47" s="114"/>
      <c r="R47" s="121" t="str">
        <f t="shared" si="4"/>
        <v/>
      </c>
      <c r="S47" s="116">
        <f t="shared" si="5"/>
        <v>0.3783554476</v>
      </c>
      <c r="T47" s="117"/>
      <c r="U47" s="118">
        <f t="shared" si="6"/>
        <v>0.73965</v>
      </c>
      <c r="V47" s="148"/>
      <c r="W47" s="120">
        <f t="shared" si="7"/>
        <v>0.6141272727</v>
      </c>
      <c r="X47" s="148"/>
      <c r="Y47" s="120">
        <f t="shared" si="8"/>
        <v>0.6018090909</v>
      </c>
      <c r="Z47" s="299"/>
      <c r="AA47" s="441"/>
      <c r="AB47" s="300" t="str">
        <f t="shared" si="9"/>
        <v/>
      </c>
      <c r="AC47" s="300">
        <f t="shared" si="10"/>
        <v>0.6890056172</v>
      </c>
      <c r="AD47" s="314">
        <v>0.0</v>
      </c>
      <c r="AE47" s="315">
        <v>0.0</v>
      </c>
      <c r="AF47" s="445">
        <v>0.0</v>
      </c>
      <c r="AG47" s="316">
        <v>0.0</v>
      </c>
      <c r="AH47" s="307">
        <v>0.0</v>
      </c>
      <c r="AI47" s="317">
        <v>0.0</v>
      </c>
      <c r="AJ47" s="318">
        <v>0.0</v>
      </c>
      <c r="AK47" s="319">
        <v>0.0</v>
      </c>
      <c r="AL47" s="446">
        <v>0.0</v>
      </c>
      <c r="AM47" s="320">
        <v>0.0</v>
      </c>
      <c r="AN47" s="149" t="str">
        <f>IFERROR(
  AVERAGEIFS(
    'New LF Efficacy'!$J:$J,
    'New LF Efficacy'!$D:$D, $A47,
    'New LF Efficacy'!$F:$F,"DEC", 
    'New LF Efficacy'!$W:$W,"&lt;2016",
    'New LF Efficacy'!$AA:$AA,""),
  ""
)</f>
        <v/>
      </c>
      <c r="AO47" s="115">
        <f t="shared" si="11"/>
        <v>0.38</v>
      </c>
      <c r="AP47" s="149" t="str">
        <f>IFERROR(
AVERAGEIFS(
'New LF Efficacy'!$J:$J,
'New LF Efficacy'!$D:$D,$A47,
'New LF Efficacy'!$F:$F,"Albendazole &amp; DEC",
'New LF Efficacy'!$W:$W,"&lt;2016",
'New LF Efficacy'!$AA:$AA,""),
"")
</f>
        <v/>
      </c>
      <c r="AQ47" s="115">
        <f t="shared" si="12"/>
        <v>0.662</v>
      </c>
      <c r="AR47" s="149" t="str">
        <f>IFERROR(
AVERAGEIFS(
'New LF Efficacy'!$J:$J,
'New LF Efficacy'!$D:$D,$A47,
'New LF Efficacy'!$F:$F,"Albendazole &amp; Ivermectin", 
'New LF Efficacy'!$W:$W,"&lt;2016",
'New LF Efficacy'!$AA:$AA,""),"")</f>
        <v/>
      </c>
      <c r="AS47" s="115">
        <f t="shared" si="13"/>
        <v>0.37153125</v>
      </c>
      <c r="AT47" s="442" t="str">
        <f>IFERROR(AVERAGEIFS(
'Schist Efficacy'!$O:$O, 
'Schist Efficacy'!$C:$C,$A47, 
'Schist Efficacy'!$D:$D, "Praziquantel",
'Schist Efficacy'!$J:$J,"&lt;2016",
'Schist Efficacy'!$U:$U,""),
"")</f>
        <v/>
      </c>
      <c r="AU47" s="118">
        <f t="shared" si="14"/>
        <v>0.9475</v>
      </c>
      <c r="AV47" s="131" t="str">
        <f>IFERROR(AVERAGEIFS(
'STH Efficacy'!$AX:$AX, 
'STH Efficacy'!$AL:$AL, $A47, 
'STH Efficacy'!$AM:$AM, "Albendazole",
'STH Efficacy'!$AS:$AS,"&lt;2016",
'STH Efficacy'!$BP:$BP,""),
"")</f>
        <v/>
      </c>
      <c r="AW47" s="132">
        <f t="shared" si="15"/>
        <v>0.3571666667</v>
      </c>
      <c r="AX47" s="131" t="str">
        <f>IFERROR(AVERAGEIFS(
'STH Efficacy'!$AX:$AX, 
'STH Efficacy'!$AL:$AL, $A47, 
'STH Efficacy'!$AM:$AM, "Mebendazole",
'STH Efficacy'!$AS:$AS,"&lt;2016",
'STH Efficacy'!$BP:$BP,""),
"")</f>
        <v/>
      </c>
      <c r="AY47" s="132">
        <f t="shared" si="16"/>
        <v>0.4155</v>
      </c>
      <c r="AZ47" s="131" t="str">
        <f>IFERROR(AVERAGEIFS(
'STH Efficacy'!$AX:$AX, 
'STH Efficacy'!$AL:$AL, $A47, 
'STH Efficacy'!$AM:$AM, "Albendazole &amp; Ivermectin",
'STH Efficacy'!$AS:$AS,"&lt;2016",
'STH Efficacy'!$BP:$BP,""),
"")</f>
        <v/>
      </c>
      <c r="BA47" s="133">
        <f t="shared" si="17"/>
        <v>0.651</v>
      </c>
      <c r="BB47" s="443" t="str">
        <f>IFERROR(AVERAGEIFS(
'STH Efficacy'!$N:$N, 
'STH Efficacy'!$B:$B, $A47, 
'STH Efficacy'!$C:$C, "Albendazole",
'STH Efficacy'!$I:$I,"&lt;2016",
'STH Efficacy'!$AH:$AH,""),
"")</f>
        <v/>
      </c>
      <c r="BC47" s="135">
        <f t="shared" si="18"/>
        <v>0.5769166667</v>
      </c>
      <c r="BD47" s="443" t="str">
        <f>IFERROR(AVERAGEIFS(
'STH Efficacy'!$N:$N, 
'STH Efficacy'!$B:$B, $A47, 
'STH Efficacy'!$C:$C, "Mebendazole",
'STH Efficacy'!$I:$I,"&lt;2016",
'STH Efficacy'!$AH:$AH,""),
"")</f>
        <v/>
      </c>
      <c r="BE47" s="135">
        <f t="shared" si="19"/>
        <v>0.3145</v>
      </c>
      <c r="BF47" s="436" t="str">
        <f>IFERROR(AVERAGEIFS(
'STH Efficacy'!$CD:$CD, 
'STH Efficacy'!$BS:$BS, $A47, 
'STH Efficacy'!$BT:$BT, "Albendazole",
'STH Efficacy'!$BZ:$BZ,"&lt;2016",
'STH Efficacy'!$CU:$CU,""),
"")</f>
        <v/>
      </c>
      <c r="BG47" s="136">
        <f t="shared" si="20"/>
        <v>0.96925</v>
      </c>
      <c r="BH47" s="436" t="str">
        <f>IFERROR(AVERAGEIFS(
'STH Efficacy'!$CD:$CD, 
'STH Efficacy'!$BS:$BS, $A47, 
'STH Efficacy'!$BT:$BT, "Mebendazole",
'STH Efficacy'!$BZ:$BZ,"&lt;2016",
'STH Efficacy'!$CU:$CU,""),
"")</f>
        <v/>
      </c>
      <c r="BI47" s="136">
        <f t="shared" si="21"/>
        <v>0.9305</v>
      </c>
      <c r="BJ47" s="436" t="str">
        <f>IFERROR(AVERAGEIFS(
'STH Efficacy'!$CD:$CD, 
'STH Efficacy'!$BS:$BS, $A47, 
'STH Efficacy'!$BT:$BT, "Albendazole &amp; Ivermectin",
'STH Efficacy'!$BZ:$BZ,"&lt;2016",
'STH Efficacy'!$CU:$CU,""),
"")</f>
        <v/>
      </c>
      <c r="BK47" s="136">
        <f t="shared" si="22"/>
        <v>0.848</v>
      </c>
      <c r="BL47" s="444" t="str">
        <f>IFERROR(
  AVERAGEIFS(
    'NEW Onchocerciasis Efficacy'!$AO:$AO,
    'NEW Onchocerciasis Efficacy'!$C:$C,$A47,
    'NEW Onchocerciasis Efficacy'!$D:$D,"Ivermectin",
    'NEW Onchocerciasis Efficacy'!$AR:$AR,"&lt;2016",
    'NEW Onchocerciasis Efficacy'!$BG:$BG,"")
,"")</f>
        <v/>
      </c>
      <c r="BM47" s="304">
        <f t="shared" si="23"/>
        <v>0.7808368939</v>
      </c>
      <c r="BN47" s="439">
        <v>0.0</v>
      </c>
      <c r="BO47" s="139">
        <v>0.0</v>
      </c>
      <c r="BP47" s="140">
        <v>0.0</v>
      </c>
      <c r="BQ47" s="141">
        <f t="shared" si="24"/>
        <v>0</v>
      </c>
      <c r="BR47" s="104" t="str">
        <f t="shared" si="25"/>
        <v>0000</v>
      </c>
      <c r="BS47" s="104" t="str">
        <f t="shared" si="26"/>
        <v>no action required</v>
      </c>
      <c r="BT47" s="142" t="str">
        <f t="shared" si="27"/>
        <v/>
      </c>
      <c r="BU47" s="104" t="str">
        <f t="shared" si="28"/>
        <v/>
      </c>
      <c r="BV47" s="104" t="str">
        <f t="shared" si="29"/>
        <v>none</v>
      </c>
      <c r="BW47" s="150" t="str">
        <f t="shared" si="30"/>
        <v/>
      </c>
      <c r="BX47" s="150" t="str">
        <f t="shared" si="31"/>
        <v/>
      </c>
      <c r="BY47" s="151" t="str">
        <f t="shared" si="32"/>
        <v/>
      </c>
      <c r="BZ47" s="152" t="str">
        <f t="shared" si="33"/>
        <v/>
      </c>
      <c r="CA47" s="152" t="str">
        <f t="shared" si="34"/>
        <v/>
      </c>
      <c r="CB47" s="152" t="str">
        <f t="shared" si="35"/>
        <v/>
      </c>
      <c r="CC47" s="153" t="str">
        <f t="shared" si="36"/>
        <v/>
      </c>
      <c r="CD47" s="153" t="str">
        <f t="shared" si="37"/>
        <v/>
      </c>
      <c r="CE47" s="154" t="str">
        <f t="shared" si="38"/>
        <v/>
      </c>
      <c r="CF47" s="154" t="str">
        <f t="shared" si="39"/>
        <v/>
      </c>
      <c r="CG47" s="154" t="str">
        <f t="shared" si="40"/>
        <v/>
      </c>
      <c r="CH47" s="308" t="str">
        <f t="shared" si="41"/>
        <v/>
      </c>
    </row>
    <row r="48">
      <c r="A48" s="155" t="s">
        <v>137</v>
      </c>
      <c r="B48" s="104" t="s">
        <v>94</v>
      </c>
      <c r="C48" s="428">
        <v>600942.0</v>
      </c>
      <c r="D48" s="161">
        <v>0.0</v>
      </c>
      <c r="E48" s="294">
        <v>0.0</v>
      </c>
      <c r="F48" s="163"/>
      <c r="G48" s="325"/>
      <c r="H48" s="108">
        <v>0.0</v>
      </c>
      <c r="I48" s="109">
        <v>0.0</v>
      </c>
      <c r="J48" s="109">
        <v>0.0</v>
      </c>
      <c r="K48" s="109">
        <v>0.0</v>
      </c>
      <c r="L48" s="113"/>
      <c r="M48" s="113"/>
      <c r="N48" s="112">
        <v>0.0</v>
      </c>
      <c r="O48" s="298">
        <v>0.0</v>
      </c>
      <c r="P48" s="114"/>
      <c r="Q48" s="114"/>
      <c r="R48" s="121" t="str">
        <f t="shared" si="4"/>
        <v/>
      </c>
      <c r="S48" s="116">
        <f t="shared" si="5"/>
        <v>0.3783554476</v>
      </c>
      <c r="T48" s="117"/>
      <c r="U48" s="118">
        <f t="shared" si="6"/>
        <v>0.73965</v>
      </c>
      <c r="V48" s="148"/>
      <c r="W48" s="120">
        <f t="shared" si="7"/>
        <v>0.6141272727</v>
      </c>
      <c r="X48" s="148"/>
      <c r="Y48" s="120">
        <f t="shared" si="8"/>
        <v>0.6018090909</v>
      </c>
      <c r="Z48" s="299"/>
      <c r="AA48" s="441"/>
      <c r="AB48" s="300" t="str">
        <f t="shared" si="9"/>
        <v/>
      </c>
      <c r="AC48" s="300">
        <f t="shared" si="10"/>
        <v>0.6890056172</v>
      </c>
      <c r="AD48" s="314">
        <v>0.0</v>
      </c>
      <c r="AE48" s="315">
        <v>0.0</v>
      </c>
      <c r="AF48" s="445">
        <v>0.0</v>
      </c>
      <c r="AG48" s="316">
        <v>0.0</v>
      </c>
      <c r="AH48" s="307">
        <v>0.0</v>
      </c>
      <c r="AI48" s="317">
        <v>0.0</v>
      </c>
      <c r="AJ48" s="318">
        <v>0.0</v>
      </c>
      <c r="AK48" s="319">
        <v>0.0</v>
      </c>
      <c r="AL48" s="446">
        <v>0.0</v>
      </c>
      <c r="AM48" s="320">
        <v>0.0</v>
      </c>
      <c r="AN48" s="149" t="str">
        <f>IFERROR(
  AVERAGEIFS(
    'New LF Efficacy'!$J:$J,
    'New LF Efficacy'!$D:$D, $A48,
    'New LF Efficacy'!$F:$F,"DEC", 
    'New LF Efficacy'!$W:$W,"&lt;2016",
    'New LF Efficacy'!$AA:$AA,""),
  ""
)</f>
        <v/>
      </c>
      <c r="AO48" s="115">
        <f t="shared" si="11"/>
        <v>0.38</v>
      </c>
      <c r="AP48" s="149" t="str">
        <f>IFERROR(
AVERAGEIFS(
'New LF Efficacy'!$J:$J,
'New LF Efficacy'!$D:$D,$A48,
'New LF Efficacy'!$F:$F,"Albendazole &amp; DEC",
'New LF Efficacy'!$W:$W,"&lt;2016",
'New LF Efficacy'!$AA:$AA,""),
"")
</f>
        <v/>
      </c>
      <c r="AQ48" s="115">
        <f t="shared" si="12"/>
        <v>0.662</v>
      </c>
      <c r="AR48" s="149" t="str">
        <f>IFERROR(
AVERAGEIFS(
'New LF Efficacy'!$J:$J,
'New LF Efficacy'!$D:$D,$A48,
'New LF Efficacy'!$F:$F,"Albendazole &amp; Ivermectin", 
'New LF Efficacy'!$W:$W,"&lt;2016",
'New LF Efficacy'!$AA:$AA,""),"")</f>
        <v/>
      </c>
      <c r="AS48" s="115">
        <f t="shared" si="13"/>
        <v>0.37153125</v>
      </c>
      <c r="AT48" s="442" t="str">
        <f>IFERROR(AVERAGEIFS(
'Schist Efficacy'!$O:$O, 
'Schist Efficacy'!$C:$C,$A48, 
'Schist Efficacy'!$D:$D, "Praziquantel",
'Schist Efficacy'!$J:$J,"&lt;2016",
'Schist Efficacy'!$U:$U,""),
"")</f>
        <v/>
      </c>
      <c r="AU48" s="118">
        <f t="shared" si="14"/>
        <v>0.9475</v>
      </c>
      <c r="AV48" s="131" t="str">
        <f>IFERROR(AVERAGEIFS(
'STH Efficacy'!$AX:$AX, 
'STH Efficacy'!$AL:$AL, $A48, 
'STH Efficacy'!$AM:$AM, "Albendazole",
'STH Efficacy'!$AS:$AS,"&lt;2016",
'STH Efficacy'!$BP:$BP,""),
"")</f>
        <v/>
      </c>
      <c r="AW48" s="132">
        <f t="shared" si="15"/>
        <v>0.3571666667</v>
      </c>
      <c r="AX48" s="131" t="str">
        <f>IFERROR(AVERAGEIFS(
'STH Efficacy'!$AX:$AX, 
'STH Efficacy'!$AL:$AL, $A48, 
'STH Efficacy'!$AM:$AM, "Mebendazole",
'STH Efficacy'!$AS:$AS,"&lt;2016",
'STH Efficacy'!$BP:$BP,""),
"")</f>
        <v/>
      </c>
      <c r="AY48" s="132">
        <f t="shared" si="16"/>
        <v>0.4155</v>
      </c>
      <c r="AZ48" s="131" t="str">
        <f>IFERROR(AVERAGEIFS(
'STH Efficacy'!$AX:$AX, 
'STH Efficacy'!$AL:$AL, $A48, 
'STH Efficacy'!$AM:$AM, "Albendazole &amp; Ivermectin",
'STH Efficacy'!$AS:$AS,"&lt;2016",
'STH Efficacy'!$BP:$BP,""),
"")</f>
        <v/>
      </c>
      <c r="BA48" s="133">
        <f t="shared" si="17"/>
        <v>0.651</v>
      </c>
      <c r="BB48" s="443" t="str">
        <f>IFERROR(AVERAGEIFS(
'STH Efficacy'!$N:$N, 
'STH Efficacy'!$B:$B, $A48, 
'STH Efficacy'!$C:$C, "Albendazole",
'STH Efficacy'!$I:$I,"&lt;2016",
'STH Efficacy'!$AH:$AH,""),
"")</f>
        <v/>
      </c>
      <c r="BC48" s="135">
        <f t="shared" si="18"/>
        <v>0.5769166667</v>
      </c>
      <c r="BD48" s="443" t="str">
        <f>IFERROR(AVERAGEIFS(
'STH Efficacy'!$N:$N, 
'STH Efficacy'!$B:$B, $A48, 
'STH Efficacy'!$C:$C, "Mebendazole",
'STH Efficacy'!$I:$I,"&lt;2016",
'STH Efficacy'!$AH:$AH,""),
"")</f>
        <v/>
      </c>
      <c r="BE48" s="135">
        <f t="shared" si="19"/>
        <v>0.3145</v>
      </c>
      <c r="BF48" s="436" t="str">
        <f>IFERROR(AVERAGEIFS(
'STH Efficacy'!$CD:$CD, 
'STH Efficacy'!$BS:$BS, $A48, 
'STH Efficacy'!$BT:$BT, "Albendazole",
'STH Efficacy'!$BZ:$BZ,"&lt;2016",
'STH Efficacy'!$CU:$CU,""),
"")</f>
        <v/>
      </c>
      <c r="BG48" s="136">
        <f t="shared" si="20"/>
        <v>0.96925</v>
      </c>
      <c r="BH48" s="436" t="str">
        <f>IFERROR(AVERAGEIFS(
'STH Efficacy'!$CD:$CD, 
'STH Efficacy'!$BS:$BS, $A48, 
'STH Efficacy'!$BT:$BT, "Mebendazole",
'STH Efficacy'!$BZ:$BZ,"&lt;2016",
'STH Efficacy'!$CU:$CU,""),
"")</f>
        <v/>
      </c>
      <c r="BI48" s="136">
        <f t="shared" si="21"/>
        <v>0.9305</v>
      </c>
      <c r="BJ48" s="436" t="str">
        <f>IFERROR(AVERAGEIFS(
'STH Efficacy'!$CD:$CD, 
'STH Efficacy'!$BS:$BS, $A48, 
'STH Efficacy'!$BT:$BT, "Albendazole &amp; Ivermectin",
'STH Efficacy'!$BZ:$BZ,"&lt;2016",
'STH Efficacy'!$CU:$CU,""),
"")</f>
        <v/>
      </c>
      <c r="BK48" s="136">
        <f t="shared" si="22"/>
        <v>0.848</v>
      </c>
      <c r="BL48" s="444" t="str">
        <f>IFERROR(
  AVERAGEIFS(
    'NEW Onchocerciasis Efficacy'!$AO:$AO,
    'NEW Onchocerciasis Efficacy'!$C:$C,$A48,
    'NEW Onchocerciasis Efficacy'!$D:$D,"Ivermectin",
    'NEW Onchocerciasis Efficacy'!$AR:$AR,"&lt;2016",
    'NEW Onchocerciasis Efficacy'!$BG:$BG,"")
,"")</f>
        <v/>
      </c>
      <c r="BM48" s="304">
        <f t="shared" si="23"/>
        <v>0.7808368939</v>
      </c>
      <c r="BN48" s="439">
        <v>0.0</v>
      </c>
      <c r="BO48" s="139">
        <v>0.0</v>
      </c>
      <c r="BP48" s="140">
        <v>0.0</v>
      </c>
      <c r="BQ48" s="141">
        <f t="shared" si="24"/>
        <v>0</v>
      </c>
      <c r="BR48" s="104" t="str">
        <f t="shared" si="25"/>
        <v>0000</v>
      </c>
      <c r="BS48" s="104" t="str">
        <f t="shared" si="26"/>
        <v>no action required</v>
      </c>
      <c r="BT48" s="142" t="str">
        <f t="shared" si="27"/>
        <v/>
      </c>
      <c r="BU48" s="104" t="str">
        <f t="shared" si="28"/>
        <v/>
      </c>
      <c r="BV48" s="104" t="str">
        <f t="shared" si="29"/>
        <v>none</v>
      </c>
      <c r="BW48" s="150" t="str">
        <f t="shared" si="30"/>
        <v/>
      </c>
      <c r="BX48" s="150" t="str">
        <f t="shared" si="31"/>
        <v/>
      </c>
      <c r="BY48" s="151" t="str">
        <f t="shared" si="32"/>
        <v/>
      </c>
      <c r="BZ48" s="152" t="str">
        <f t="shared" si="33"/>
        <v/>
      </c>
      <c r="CA48" s="152" t="str">
        <f t="shared" si="34"/>
        <v/>
      </c>
      <c r="CB48" s="152" t="str">
        <f t="shared" si="35"/>
        <v/>
      </c>
      <c r="CC48" s="153" t="str">
        <f t="shared" si="36"/>
        <v/>
      </c>
      <c r="CD48" s="153" t="str">
        <f t="shared" si="37"/>
        <v/>
      </c>
      <c r="CE48" s="154" t="str">
        <f t="shared" si="38"/>
        <v/>
      </c>
      <c r="CF48" s="154" t="str">
        <f t="shared" si="39"/>
        <v/>
      </c>
      <c r="CG48" s="154" t="str">
        <f t="shared" si="40"/>
        <v/>
      </c>
      <c r="CH48" s="308" t="str">
        <f t="shared" si="41"/>
        <v/>
      </c>
    </row>
    <row r="49">
      <c r="A49" s="103" t="s">
        <v>138</v>
      </c>
      <c r="B49" s="104" t="s">
        <v>98</v>
      </c>
      <c r="C49" s="428">
        <v>4.8228697E7</v>
      </c>
      <c r="D49" s="161">
        <v>0.0</v>
      </c>
      <c r="E49" s="294">
        <v>0.0</v>
      </c>
      <c r="F49" s="295">
        <v>268.352933</v>
      </c>
      <c r="G49" s="322">
        <v>1495.75792</v>
      </c>
      <c r="H49" s="108">
        <v>1764.110853</v>
      </c>
      <c r="I49" s="109">
        <v>870.342066</v>
      </c>
      <c r="J49" s="110">
        <v>4132.70743</v>
      </c>
      <c r="K49" s="110">
        <v>5003.049493</v>
      </c>
      <c r="L49" s="111">
        <v>1596.925186</v>
      </c>
      <c r="M49" s="111">
        <v>4156.520231</v>
      </c>
      <c r="N49" s="112">
        <v>5753.445417</v>
      </c>
      <c r="O49" s="298">
        <v>0.0</v>
      </c>
      <c r="P49" s="114"/>
      <c r="Q49" s="114"/>
      <c r="R49" s="121" t="str">
        <f t="shared" si="4"/>
        <v/>
      </c>
      <c r="S49" s="116">
        <f t="shared" si="5"/>
        <v>0.3565746084</v>
      </c>
      <c r="T49" s="117"/>
      <c r="U49" s="118">
        <f t="shared" si="6"/>
        <v>0.4791888889</v>
      </c>
      <c r="V49" s="119">
        <v>0.0213</v>
      </c>
      <c r="W49" s="120">
        <f t="shared" si="7"/>
        <v>0.0213</v>
      </c>
      <c r="X49" s="119">
        <v>0.1681</v>
      </c>
      <c r="Y49" s="120">
        <f t="shared" si="8"/>
        <v>0.1681</v>
      </c>
      <c r="Z49" s="298" t="s">
        <v>389</v>
      </c>
      <c r="AA49" s="441"/>
      <c r="AB49" s="300" t="str">
        <f t="shared" si="9"/>
        <v/>
      </c>
      <c r="AC49" s="300">
        <f t="shared" si="10"/>
        <v>0.7101368438</v>
      </c>
      <c r="AD49" s="122">
        <v>0.0</v>
      </c>
      <c r="AE49" s="123">
        <v>0.0</v>
      </c>
      <c r="AF49" s="430">
        <v>0.0</v>
      </c>
      <c r="AG49" s="124">
        <v>0.0</v>
      </c>
      <c r="AH49" s="124">
        <v>0.241537209</v>
      </c>
      <c r="AI49" s="125">
        <v>0.0</v>
      </c>
      <c r="AJ49" s="125">
        <v>0.113268632</v>
      </c>
      <c r="AK49" s="127">
        <v>0.0</v>
      </c>
      <c r="AL49" s="127">
        <v>0.330512069</v>
      </c>
      <c r="AM49" s="302">
        <v>0.0</v>
      </c>
      <c r="AN49" s="149" t="str">
        <f>IFERROR(
  AVERAGEIFS(
    'New LF Efficacy'!$J:$J,
    'New LF Efficacy'!$D:$D, $A49,
    'New LF Efficacy'!$F:$F,"DEC", 
    'New LF Efficacy'!$W:$W,"&lt;2016",
    'New LF Efficacy'!$AA:$AA,""),
  ""
)</f>
        <v/>
      </c>
      <c r="AO49" s="115">
        <f t="shared" si="11"/>
        <v>0.2589833333</v>
      </c>
      <c r="AP49" s="149" t="str">
        <f>IFERROR(
AVERAGEIFS(
'New LF Efficacy'!$J:$J,
'New LF Efficacy'!$D:$D,$A49,
'New LF Efficacy'!$F:$F,"Albendazole &amp; DEC",
'New LF Efficacy'!$W:$W,"&lt;2016",
'New LF Efficacy'!$AA:$AA,""),
"")
</f>
        <v/>
      </c>
      <c r="AQ49" s="115">
        <f t="shared" si="12"/>
        <v>0.3465</v>
      </c>
      <c r="AR49" s="149" t="str">
        <f>IFERROR(
AVERAGEIFS(
'New LF Efficacy'!$J:$J,
'New LF Efficacy'!$D:$D,$A49,
'New LF Efficacy'!$F:$F,"Albendazole &amp; Ivermectin", 
'New LF Efficacy'!$W:$W,"&lt;2016",
'New LF Efficacy'!$AA:$AA,""),"")</f>
        <v/>
      </c>
      <c r="AS49" s="115">
        <f t="shared" si="13"/>
        <v>0.7575</v>
      </c>
      <c r="AT49" s="442" t="str">
        <f>IFERROR(AVERAGEIFS(
'Schist Efficacy'!$O:$O, 
'Schist Efficacy'!$C:$C,$A49, 
'Schist Efficacy'!$D:$D, "Praziquantel",
'Schist Efficacy'!$J:$J,"&lt;2016",
'Schist Efficacy'!$U:$U,""),
"")</f>
        <v/>
      </c>
      <c r="AU49" s="118">
        <f t="shared" si="14"/>
        <v>0.7914761905</v>
      </c>
      <c r="AV49" s="131" t="str">
        <f>IFERROR(AVERAGEIFS(
'STH Efficacy'!$AX:$AX, 
'STH Efficacy'!$AL:$AL, $A49, 
'STH Efficacy'!$AM:$AM, "Albendazole",
'STH Efficacy'!$AS:$AS,"&lt;2016",
'STH Efficacy'!$BP:$BP,""),
"")</f>
        <v/>
      </c>
      <c r="AW49" s="132">
        <f t="shared" si="15"/>
        <v>0.3945</v>
      </c>
      <c r="AX49" s="131" t="str">
        <f>IFERROR(AVERAGEIFS(
'STH Efficacy'!$AX:$AX, 
'STH Efficacy'!$AL:$AL, $A49, 
'STH Efficacy'!$AM:$AM, "Mebendazole",
'STH Efficacy'!$AS:$AS,"&lt;2016",
'STH Efficacy'!$BP:$BP,""),
"")</f>
        <v/>
      </c>
      <c r="AY49" s="132">
        <f t="shared" si="16"/>
        <v>0.6</v>
      </c>
      <c r="AZ49" s="131" t="str">
        <f>IFERROR(AVERAGEIFS(
'STH Efficacy'!$AX:$AX, 
'STH Efficacy'!$AL:$AL, $A49, 
'STH Efficacy'!$AM:$AM, "Albendazole &amp; Ivermectin",
'STH Efficacy'!$AS:$AS,"&lt;2016",
'STH Efficacy'!$BP:$BP,""),
"")</f>
        <v/>
      </c>
      <c r="BA49" s="133">
        <f t="shared" si="17"/>
        <v>0.796</v>
      </c>
      <c r="BB49" s="443" t="str">
        <f>IFERROR(AVERAGEIFS(
'STH Efficacy'!$N:$N, 
'STH Efficacy'!$B:$B, $A49, 
'STH Efficacy'!$C:$C, "Albendazole",
'STH Efficacy'!$I:$I,"&lt;2016",
'STH Efficacy'!$AH:$AH,""),
"")</f>
        <v/>
      </c>
      <c r="BC49" s="135">
        <f t="shared" si="18"/>
        <v>0.869</v>
      </c>
      <c r="BD49" s="443" t="str">
        <f>IFERROR(AVERAGEIFS(
'STH Efficacy'!$N:$N, 
'STH Efficacy'!$B:$B, $A49, 
'STH Efficacy'!$C:$C, "Mebendazole",
'STH Efficacy'!$I:$I,"&lt;2016",
'STH Efficacy'!$AH:$AH,""),
"")</f>
        <v/>
      </c>
      <c r="BE49" s="135">
        <f t="shared" si="19"/>
        <v>0.172</v>
      </c>
      <c r="BF49" s="436" t="str">
        <f>IFERROR(AVERAGEIFS(
'STH Efficacy'!$CD:$CD, 
'STH Efficacy'!$BS:$BS, $A49, 
'STH Efficacy'!$BT:$BT, "Albendazole",
'STH Efficacy'!$BZ:$BZ,"&lt;2016",
'STH Efficacy'!$CU:$CU,""),
"")</f>
        <v/>
      </c>
      <c r="BG49" s="136">
        <f t="shared" si="20"/>
        <v>0.9862</v>
      </c>
      <c r="BH49" s="436" t="str">
        <f>IFERROR(AVERAGEIFS(
'STH Efficacy'!$CD:$CD, 
'STH Efficacy'!$BS:$BS, $A49, 
'STH Efficacy'!$BT:$BT, "Mebendazole",
'STH Efficacy'!$BZ:$BZ,"&lt;2016",
'STH Efficacy'!$CU:$CU,""),
"")</f>
        <v/>
      </c>
      <c r="BI49" s="136">
        <f t="shared" si="21"/>
        <v>0.769</v>
      </c>
      <c r="BJ49" s="436" t="str">
        <f>IFERROR(AVERAGEIFS(
'STH Efficacy'!$CD:$CD, 
'STH Efficacy'!$BS:$BS, $A49, 
'STH Efficacy'!$BT:$BT, "Albendazole &amp; Ivermectin",
'STH Efficacy'!$BZ:$BZ,"&lt;2016",
'STH Efficacy'!$CU:$CU,""),
"")</f>
        <v/>
      </c>
      <c r="BK49" s="136">
        <f t="shared" si="22"/>
        <v>1</v>
      </c>
      <c r="BL49" s="444" t="str">
        <f>IFERROR(
  AVERAGEIFS(
    'NEW Onchocerciasis Efficacy'!$AO:$AO,
    'NEW Onchocerciasis Efficacy'!$C:$C,$A49,
    'NEW Onchocerciasis Efficacy'!$D:$D,"Ivermectin",
    'NEW Onchocerciasis Efficacy'!$AR:$AR,"&lt;2016",
    'NEW Onchocerciasis Efficacy'!$BG:$BG,"")
,"")</f>
        <v/>
      </c>
      <c r="BM49" s="304">
        <f t="shared" si="23"/>
        <v>0.3734</v>
      </c>
      <c r="BN49" s="439">
        <v>0.0</v>
      </c>
      <c r="BO49" s="139">
        <v>0.0</v>
      </c>
      <c r="BP49" s="140">
        <v>0.0</v>
      </c>
      <c r="BQ49" s="141">
        <f t="shared" si="24"/>
        <v>1</v>
      </c>
      <c r="BR49" s="104" t="str">
        <f t="shared" si="25"/>
        <v>0001</v>
      </c>
      <c r="BS49" s="104" t="str">
        <f t="shared" si="26"/>
        <v>T3</v>
      </c>
      <c r="BT49" s="142" t="str">
        <f t="shared" si="27"/>
        <v>ALB or MBD</v>
      </c>
      <c r="BU49" s="104" t="str">
        <f t="shared" si="28"/>
        <v/>
      </c>
      <c r="BV49" s="104" t="str">
        <f t="shared" si="29"/>
        <v>sth only</v>
      </c>
      <c r="BW49" s="150" t="str">
        <f t="shared" si="30"/>
        <v/>
      </c>
      <c r="BX49" s="150" t="str">
        <f t="shared" si="31"/>
        <v/>
      </c>
      <c r="BY49" s="151" t="str">
        <f t="shared" si="32"/>
        <v/>
      </c>
      <c r="BZ49" s="152">
        <f t="shared" si="33"/>
        <v>108.5110529</v>
      </c>
      <c r="CA49" s="152">
        <f t="shared" si="34"/>
        <v>171.2588796</v>
      </c>
      <c r="CB49" s="152" t="str">
        <f t="shared" si="35"/>
        <v/>
      </c>
      <c r="CC49" s="323">
        <f t="shared" si="36"/>
        <v>723.3891498</v>
      </c>
      <c r="CD49" s="323">
        <f t="shared" si="37"/>
        <v>126.2478031</v>
      </c>
      <c r="CE49" s="154">
        <f t="shared" si="38"/>
        <v>860.2688322</v>
      </c>
      <c r="CF49" s="154">
        <f t="shared" si="39"/>
        <v>643.6704981</v>
      </c>
      <c r="CG49" s="154" t="str">
        <f t="shared" si="40"/>
        <v/>
      </c>
      <c r="CH49" s="308" t="str">
        <f t="shared" si="41"/>
        <v/>
      </c>
    </row>
    <row r="50">
      <c r="A50" s="103" t="s">
        <v>139</v>
      </c>
      <c r="B50" s="104" t="s">
        <v>92</v>
      </c>
      <c r="C50" s="428">
        <v>777424.0</v>
      </c>
      <c r="D50" s="161">
        <v>1132.08</v>
      </c>
      <c r="E50" s="294">
        <v>0.0</v>
      </c>
      <c r="F50" s="295">
        <v>29.22907769</v>
      </c>
      <c r="G50" s="295">
        <v>147.6713529</v>
      </c>
      <c r="H50" s="108">
        <v>176.9004306</v>
      </c>
      <c r="I50" s="109">
        <v>51.7111555</v>
      </c>
      <c r="J50" s="109">
        <v>167.900155</v>
      </c>
      <c r="K50" s="109">
        <v>219.6113103</v>
      </c>
      <c r="L50" s="112">
        <v>62.9656304</v>
      </c>
      <c r="M50" s="112">
        <v>63.98726115</v>
      </c>
      <c r="N50" s="112">
        <v>126.9528916</v>
      </c>
      <c r="O50" s="298">
        <v>0.0</v>
      </c>
      <c r="P50" s="160">
        <v>514110.0</v>
      </c>
      <c r="Q50" s="156"/>
      <c r="R50" s="121">
        <f t="shared" si="4"/>
        <v>0</v>
      </c>
      <c r="S50" s="116">
        <f t="shared" si="5"/>
        <v>0.3345096109</v>
      </c>
      <c r="T50" s="117"/>
      <c r="U50" s="118">
        <f t="shared" si="6"/>
        <v>0.4220357143</v>
      </c>
      <c r="V50" s="148"/>
      <c r="W50" s="120">
        <f t="shared" si="7"/>
        <v>0.8084736842</v>
      </c>
      <c r="X50" s="148"/>
      <c r="Y50" s="120">
        <f t="shared" si="8"/>
        <v>0.5938357143</v>
      </c>
      <c r="Z50" s="299"/>
      <c r="AA50" s="441"/>
      <c r="AB50" s="300" t="str">
        <f t="shared" si="9"/>
        <v/>
      </c>
      <c r="AC50" s="300">
        <f t="shared" si="10"/>
        <v>0.6375203308</v>
      </c>
      <c r="AD50" s="122">
        <v>0.032</v>
      </c>
      <c r="AE50" s="123">
        <v>0.0</v>
      </c>
      <c r="AF50" s="430">
        <v>0.0</v>
      </c>
      <c r="AG50" s="124">
        <v>0.2596</v>
      </c>
      <c r="AH50" s="124">
        <v>0.393713875</v>
      </c>
      <c r="AI50" s="125">
        <v>0.121</v>
      </c>
      <c r="AJ50" s="125">
        <v>0.190386978</v>
      </c>
      <c r="AK50" s="127">
        <v>0.1694</v>
      </c>
      <c r="AL50" s="127">
        <v>0.263102082</v>
      </c>
      <c r="AM50" s="302">
        <v>0.0</v>
      </c>
      <c r="AN50" s="149" t="str">
        <f>IFERROR(
  AVERAGEIFS(
    'New LF Efficacy'!$J:$J,
    'New LF Efficacy'!$D:$D, $A50,
    'New LF Efficacy'!$F:$F,"DEC", 
    'New LF Efficacy'!$W:$W,"&lt;2016",
    'New LF Efficacy'!$AA:$AA,""),
  ""
)</f>
        <v/>
      </c>
      <c r="AO50" s="115">
        <f t="shared" si="11"/>
        <v>0.31225</v>
      </c>
      <c r="AP50" s="149" t="str">
        <f>IFERROR(
AVERAGEIFS(
'New LF Efficacy'!$J:$J,
'New LF Efficacy'!$D:$D,$A50,
'New LF Efficacy'!$F:$F,"Albendazole &amp; DEC",
'New LF Efficacy'!$W:$W,"&lt;2016",
'New LF Efficacy'!$AA:$AA,""),
"")
</f>
        <v/>
      </c>
      <c r="AQ50" s="115">
        <f t="shared" si="12"/>
        <v>0.4</v>
      </c>
      <c r="AR50" s="149" t="str">
        <f>IFERROR(
AVERAGEIFS(
'New LF Efficacy'!$J:$J,
'New LF Efficacy'!$D:$D,$A50,
'New LF Efficacy'!$F:$F,"Albendazole &amp; Ivermectin", 
'New LF Efficacy'!$W:$W,"&lt;2016",
'New LF Efficacy'!$AA:$AA,""),"")</f>
        <v/>
      </c>
      <c r="AS50" s="115">
        <f t="shared" si="13"/>
        <v>0.2943125</v>
      </c>
      <c r="AT50" s="442" t="str">
        <f>IFERROR(AVERAGEIFS(
'Schist Efficacy'!$O:$O, 
'Schist Efficacy'!$C:$C,$A50, 
'Schist Efficacy'!$D:$D, "Praziquantel",
'Schist Efficacy'!$J:$J,"&lt;2016",
'Schist Efficacy'!$U:$U,""),
"")</f>
        <v/>
      </c>
      <c r="AU50" s="118">
        <f t="shared" si="14"/>
        <v>0.7206464759</v>
      </c>
      <c r="AV50" s="131" t="str">
        <f>IFERROR(AVERAGEIFS(
'STH Efficacy'!$AX:$AX, 
'STH Efficacy'!$AL:$AL, $A50, 
'STH Efficacy'!$AM:$AM, "Albendazole",
'STH Efficacy'!$AS:$AS,"&lt;2016",
'STH Efficacy'!$BP:$BP,""),
"")</f>
        <v/>
      </c>
      <c r="AW50" s="132">
        <f t="shared" si="15"/>
        <v>0.3816333333</v>
      </c>
      <c r="AX50" s="131" t="str">
        <f>IFERROR(AVERAGEIFS(
'STH Efficacy'!$AX:$AX, 
'STH Efficacy'!$AL:$AL, $A50, 
'STH Efficacy'!$AM:$AM, "Mebendazole",
'STH Efficacy'!$AS:$AS,"&lt;2016",
'STH Efficacy'!$BP:$BP,""),
"")</f>
        <v/>
      </c>
      <c r="AY50" s="132">
        <f t="shared" si="16"/>
        <v>0.4859375</v>
      </c>
      <c r="AZ50" s="131" t="str">
        <f>IFERROR(AVERAGEIFS(
'STH Efficacy'!$AX:$AX, 
'STH Efficacy'!$AL:$AL, $A50, 
'STH Efficacy'!$AM:$AM, "Albendazole &amp; Ivermectin",
'STH Efficacy'!$AS:$AS,"&lt;2016",
'STH Efficacy'!$BP:$BP,""),
"")</f>
        <v/>
      </c>
      <c r="BA50" s="133">
        <f t="shared" si="17"/>
        <v>0.47175</v>
      </c>
      <c r="BB50" s="443" t="str">
        <f>IFERROR(AVERAGEIFS(
'STH Efficacy'!$N:$N, 
'STH Efficacy'!$B:$B, $A50, 
'STH Efficacy'!$C:$C, "Albendazole",
'STH Efficacy'!$I:$I,"&lt;2016",
'STH Efficacy'!$AH:$AH,""),
"")</f>
        <v/>
      </c>
      <c r="BC50" s="135">
        <f t="shared" si="18"/>
        <v>0.8699166667</v>
      </c>
      <c r="BD50" s="443" t="str">
        <f>IFERROR(AVERAGEIFS(
'STH Efficacy'!$N:$N, 
'STH Efficacy'!$B:$B, $A50, 
'STH Efficacy'!$C:$C, "Mebendazole",
'STH Efficacy'!$I:$I,"&lt;2016",
'STH Efficacy'!$AH:$AH,""),
"")</f>
        <v/>
      </c>
      <c r="BE50" s="135">
        <f t="shared" si="19"/>
        <v>0.7092416667</v>
      </c>
      <c r="BF50" s="436" t="str">
        <f>IFERROR(AVERAGEIFS(
'STH Efficacy'!$CD:$CD, 
'STH Efficacy'!$BS:$BS, $A50, 
'STH Efficacy'!$BT:$BT, "Albendazole",
'STH Efficacy'!$BZ:$BZ,"&lt;2016",
'STH Efficacy'!$CU:$CU,""),
"")</f>
        <v/>
      </c>
      <c r="BG50" s="136">
        <f t="shared" si="20"/>
        <v>0.9066666667</v>
      </c>
      <c r="BH50" s="436" t="str">
        <f>IFERROR(AVERAGEIFS(
'STH Efficacy'!$CD:$CD, 
'STH Efficacy'!$BS:$BS, $A50, 
'STH Efficacy'!$BT:$BT, "Mebendazole",
'STH Efficacy'!$BZ:$BZ,"&lt;2016",
'STH Efficacy'!$CU:$CU,""),
"")</f>
        <v/>
      </c>
      <c r="BI50" s="136">
        <f t="shared" si="21"/>
        <v>0.8483333333</v>
      </c>
      <c r="BJ50" s="436" t="str">
        <f>IFERROR(AVERAGEIFS(
'STH Efficacy'!$CD:$CD, 
'STH Efficacy'!$BS:$BS, $A50, 
'STH Efficacy'!$BT:$BT, "Albendazole &amp; Ivermectin",
'STH Efficacy'!$BZ:$BZ,"&lt;2016",
'STH Efficacy'!$CU:$CU,""),
"")</f>
        <v/>
      </c>
      <c r="BK50" s="136">
        <f t="shared" si="22"/>
        <v>0.696</v>
      </c>
      <c r="BL50" s="444" t="str">
        <f>IFERROR(
  AVERAGEIFS(
    'NEW Onchocerciasis Efficacy'!$AO:$AO,
    'NEW Onchocerciasis Efficacy'!$C:$C,$A50,
    'NEW Onchocerciasis Efficacy'!$D:$D,"Ivermectin",
    'NEW Onchocerciasis Efficacy'!$AR:$AR,"&lt;2016",
    'NEW Onchocerciasis Efficacy'!$BG:$BG,"")
,"")</f>
        <v/>
      </c>
      <c r="BM50" s="304">
        <f t="shared" si="23"/>
        <v>0.8390421645</v>
      </c>
      <c r="BN50" s="439">
        <v>1.0</v>
      </c>
      <c r="BO50" s="139">
        <v>0.0</v>
      </c>
      <c r="BP50" s="140">
        <v>0.0</v>
      </c>
      <c r="BQ50" s="141">
        <f t="shared" si="24"/>
        <v>1</v>
      </c>
      <c r="BR50" s="104" t="str">
        <f t="shared" si="25"/>
        <v>1001</v>
      </c>
      <c r="BS50" s="104" t="str">
        <f t="shared" si="26"/>
        <v>MDA1/2</v>
      </c>
      <c r="BT50" s="142" t="str">
        <f t="shared" si="27"/>
        <v>IVM+ALB or DEC+ALB</v>
      </c>
      <c r="BU50" s="104" t="str">
        <f t="shared" si="28"/>
        <v/>
      </c>
      <c r="BV50" s="104" t="str">
        <f t="shared" si="29"/>
        <v>lf+sth</v>
      </c>
      <c r="BW50" s="312">
        <f t="shared" si="30"/>
        <v>174.8756966</v>
      </c>
      <c r="BX50" s="312">
        <f t="shared" si="31"/>
        <v>123.6245664</v>
      </c>
      <c r="BY50" s="151" t="str">
        <f t="shared" si="32"/>
        <v/>
      </c>
      <c r="BZ50" s="152">
        <f t="shared" si="33"/>
        <v>56.31580416</v>
      </c>
      <c r="CA50" s="152" t="str">
        <f t="shared" si="34"/>
        <v/>
      </c>
      <c r="CB50" s="152">
        <f t="shared" si="35"/>
        <v>75.48930233</v>
      </c>
      <c r="CC50" s="323">
        <f t="shared" si="36"/>
        <v>302.0019555</v>
      </c>
      <c r="CD50" s="153" t="str">
        <f t="shared" si="37"/>
        <v/>
      </c>
      <c r="CE50" s="154">
        <f t="shared" si="38"/>
        <v>247.5115971</v>
      </c>
      <c r="CF50" s="154" t="str">
        <f t="shared" si="39"/>
        <v/>
      </c>
      <c r="CG50" s="154">
        <f t="shared" si="40"/>
        <v>126.0984032</v>
      </c>
      <c r="CH50" s="308" t="str">
        <f t="shared" si="41"/>
        <v/>
      </c>
    </row>
    <row r="51">
      <c r="A51" s="103" t="s">
        <v>140</v>
      </c>
      <c r="B51" s="104" t="s">
        <v>92</v>
      </c>
      <c r="C51" s="428">
        <v>4995648.0</v>
      </c>
      <c r="D51" s="161">
        <v>3770.31</v>
      </c>
      <c r="E51" s="294">
        <v>9332.806296</v>
      </c>
      <c r="F51" s="295">
        <v>147.8403056</v>
      </c>
      <c r="G51" s="295">
        <v>605.7369364</v>
      </c>
      <c r="H51" s="108">
        <v>753.577242</v>
      </c>
      <c r="I51" s="109">
        <v>373.290347</v>
      </c>
      <c r="J51" s="110">
        <v>967.519584</v>
      </c>
      <c r="K51" s="109">
        <v>1340.809931</v>
      </c>
      <c r="L51" s="112">
        <v>1011.78068</v>
      </c>
      <c r="M51" s="112">
        <v>977.6461831</v>
      </c>
      <c r="N51" s="112">
        <v>1989.426863</v>
      </c>
      <c r="O51" s="298">
        <v>1475.191709</v>
      </c>
      <c r="P51" s="160">
        <v>984485.0</v>
      </c>
      <c r="Q51" s="160">
        <v>103778.0</v>
      </c>
      <c r="R51" s="121">
        <f t="shared" si="4"/>
        <v>0.1054134903</v>
      </c>
      <c r="S51" s="116">
        <f t="shared" si="5"/>
        <v>0.1054134903</v>
      </c>
      <c r="T51" s="118">
        <v>0.549</v>
      </c>
      <c r="U51" s="118">
        <f t="shared" si="6"/>
        <v>0.549</v>
      </c>
      <c r="V51" s="148"/>
      <c r="W51" s="120">
        <f t="shared" si="7"/>
        <v>0.8084736842</v>
      </c>
      <c r="X51" s="119">
        <v>0.4746</v>
      </c>
      <c r="Y51" s="120">
        <f t="shared" si="8"/>
        <v>0.4746</v>
      </c>
      <c r="Z51" s="310">
        <v>518120.0</v>
      </c>
      <c r="AA51" s="310">
        <v>402635.0</v>
      </c>
      <c r="AB51" s="300">
        <f t="shared" si="9"/>
        <v>0.7771076199</v>
      </c>
      <c r="AC51" s="300">
        <f t="shared" si="10"/>
        <v>0.7771076199</v>
      </c>
      <c r="AD51" s="122">
        <v>0.0218</v>
      </c>
      <c r="AE51" s="123">
        <v>0.23</v>
      </c>
      <c r="AF51" s="430">
        <v>0.0417</v>
      </c>
      <c r="AG51" s="124">
        <v>0.2194</v>
      </c>
      <c r="AH51" s="124">
        <v>0.340506585</v>
      </c>
      <c r="AI51" s="125">
        <v>0.1253</v>
      </c>
      <c r="AJ51" s="125">
        <v>0.198905012</v>
      </c>
      <c r="AK51" s="127">
        <v>0.253</v>
      </c>
      <c r="AL51" s="127">
        <v>0.389201282</v>
      </c>
      <c r="AM51" s="302">
        <v>0.0046</v>
      </c>
      <c r="AN51" s="149" t="str">
        <f>IFERROR(
  AVERAGEIFS(
    'New LF Efficacy'!$J:$J,
    'New LF Efficacy'!$D:$D, $A51,
    'New LF Efficacy'!$F:$F,"DEC", 
    'New LF Efficacy'!$W:$W,"&lt;2016",
    'New LF Efficacy'!$AA:$AA,""),
  ""
)</f>
        <v/>
      </c>
      <c r="AO51" s="115">
        <f t="shared" si="11"/>
        <v>0.31225</v>
      </c>
      <c r="AP51" s="149" t="str">
        <f>IFERROR(
AVERAGEIFS(
'New LF Efficacy'!$J:$J,
'New LF Efficacy'!$D:$D,$A51,
'New LF Efficacy'!$F:$F,"Albendazole &amp; DEC",
'New LF Efficacy'!$W:$W,"&lt;2016",
'New LF Efficacy'!$AA:$AA,""),
"")
</f>
        <v/>
      </c>
      <c r="AQ51" s="115">
        <f t="shared" si="12"/>
        <v>0.4</v>
      </c>
      <c r="AR51" s="149" t="str">
        <f>IFERROR(
AVERAGEIFS(
'New LF Efficacy'!$J:$J,
'New LF Efficacy'!$D:$D,$A51,
'New LF Efficacy'!$F:$F,"Albendazole &amp; Ivermectin", 
'New LF Efficacy'!$W:$W,"&lt;2016",
'New LF Efficacy'!$AA:$AA,""),"")</f>
        <v/>
      </c>
      <c r="AS51" s="115">
        <f t="shared" si="13"/>
        <v>0.2943125</v>
      </c>
      <c r="AT51" s="442" t="str">
        <f>IFERROR(AVERAGEIFS(
'Schist Efficacy'!$O:$O, 
'Schist Efficacy'!$C:$C,$A51, 
'Schist Efficacy'!$D:$D, "Praziquantel",
'Schist Efficacy'!$J:$J,"&lt;2016",
'Schist Efficacy'!$U:$U,""),
"")</f>
        <v/>
      </c>
      <c r="AU51" s="118">
        <f t="shared" si="14"/>
        <v>0.7206464759</v>
      </c>
      <c r="AV51" s="131" t="str">
        <f>IFERROR(AVERAGEIFS(
'STH Efficacy'!$AX:$AX, 
'STH Efficacy'!$AL:$AL, $A51, 
'STH Efficacy'!$AM:$AM, "Albendazole",
'STH Efficacy'!$AS:$AS,"&lt;2016",
'STH Efficacy'!$BP:$BP,""),
"")</f>
        <v/>
      </c>
      <c r="AW51" s="132">
        <f t="shared" si="15"/>
        <v>0.3816333333</v>
      </c>
      <c r="AX51" s="131" t="str">
        <f>IFERROR(AVERAGEIFS(
'STH Efficacy'!$AX:$AX, 
'STH Efficacy'!$AL:$AL, $A51, 
'STH Efficacy'!$AM:$AM, "Mebendazole",
'STH Efficacy'!$AS:$AS,"&lt;2016",
'STH Efficacy'!$BP:$BP,""),
"")</f>
        <v/>
      </c>
      <c r="AY51" s="132">
        <f t="shared" si="16"/>
        <v>0.4859375</v>
      </c>
      <c r="AZ51" s="131" t="str">
        <f>IFERROR(AVERAGEIFS(
'STH Efficacy'!$AX:$AX, 
'STH Efficacy'!$AL:$AL, $A51, 
'STH Efficacy'!$AM:$AM, "Albendazole &amp; Ivermectin",
'STH Efficacy'!$AS:$AS,"&lt;2016",
'STH Efficacy'!$BP:$BP,""),
"")</f>
        <v/>
      </c>
      <c r="BA51" s="133">
        <f t="shared" si="17"/>
        <v>0.47175</v>
      </c>
      <c r="BB51" s="443" t="str">
        <f>IFERROR(AVERAGEIFS(
'STH Efficacy'!$N:$N, 
'STH Efficacy'!$B:$B, $A51, 
'STH Efficacy'!$C:$C, "Albendazole",
'STH Efficacy'!$I:$I,"&lt;2016",
'STH Efficacy'!$AH:$AH,""),
"")</f>
        <v/>
      </c>
      <c r="BC51" s="135">
        <f t="shared" si="18"/>
        <v>0.8699166667</v>
      </c>
      <c r="BD51" s="443" t="str">
        <f>IFERROR(AVERAGEIFS(
'STH Efficacy'!$N:$N, 
'STH Efficacy'!$B:$B, $A51, 
'STH Efficacy'!$C:$C, "Mebendazole",
'STH Efficacy'!$I:$I,"&lt;2016",
'STH Efficacy'!$AH:$AH,""),
"")</f>
        <v/>
      </c>
      <c r="BE51" s="135">
        <f t="shared" si="19"/>
        <v>0.7092416667</v>
      </c>
      <c r="BF51" s="436" t="str">
        <f>IFERROR(AVERAGEIFS(
'STH Efficacy'!$CD:$CD, 
'STH Efficacy'!$BS:$BS, $A51, 
'STH Efficacy'!$BT:$BT, "Albendazole",
'STH Efficacy'!$BZ:$BZ,"&lt;2016",
'STH Efficacy'!$CU:$CU,""),
"")</f>
        <v/>
      </c>
      <c r="BG51" s="136">
        <f t="shared" si="20"/>
        <v>0.9066666667</v>
      </c>
      <c r="BH51" s="436" t="str">
        <f>IFERROR(AVERAGEIFS(
'STH Efficacy'!$CD:$CD, 
'STH Efficacy'!$BS:$BS, $A51, 
'STH Efficacy'!$BT:$BT, "Mebendazole",
'STH Efficacy'!$BZ:$BZ,"&lt;2016",
'STH Efficacy'!$CU:$CU,""),
"")</f>
        <v/>
      </c>
      <c r="BI51" s="136">
        <f t="shared" si="21"/>
        <v>0.8483333333</v>
      </c>
      <c r="BJ51" s="436" t="str">
        <f>IFERROR(AVERAGEIFS(
'STH Efficacy'!$CD:$CD, 
'STH Efficacy'!$BS:$BS, $A51, 
'STH Efficacy'!$BT:$BT, "Albendazole &amp; Ivermectin",
'STH Efficacy'!$BZ:$BZ,"&lt;2016",
'STH Efficacy'!$CU:$CU,""),
"")</f>
        <v/>
      </c>
      <c r="BK51" s="136">
        <f t="shared" si="22"/>
        <v>0.696</v>
      </c>
      <c r="BL51" s="444" t="str">
        <f>IFERROR(
  AVERAGEIFS(
    'NEW Onchocerciasis Efficacy'!$AO:$AO,
    'NEW Onchocerciasis Efficacy'!$C:$C,$A51,
    'NEW Onchocerciasis Efficacy'!$D:$D,"Ivermectin",
    'NEW Onchocerciasis Efficacy'!$AR:$AR,"&lt;2016",
    'NEW Onchocerciasis Efficacy'!$BG:$BG,"")
,"")</f>
        <v/>
      </c>
      <c r="BM51" s="304">
        <f t="shared" si="23"/>
        <v>0.8390421645</v>
      </c>
      <c r="BN51" s="439">
        <v>1.0</v>
      </c>
      <c r="BO51" s="139">
        <v>1.0</v>
      </c>
      <c r="BP51" s="140">
        <v>1.0</v>
      </c>
      <c r="BQ51" s="141">
        <f t="shared" si="24"/>
        <v>1</v>
      </c>
      <c r="BR51" s="104" t="str">
        <f t="shared" si="25"/>
        <v>1111</v>
      </c>
      <c r="BS51" s="104" t="str">
        <f t="shared" si="26"/>
        <v>MDA1+T2</v>
      </c>
      <c r="BT51" s="142" t="str">
        <f t="shared" si="27"/>
        <v>IVM+ALB</v>
      </c>
      <c r="BU51" s="104" t="str">
        <f t="shared" si="28"/>
        <v>PZQ</v>
      </c>
      <c r="BV51" s="104" t="str">
        <f t="shared" si="29"/>
        <v>lf+onch+schist+sth</v>
      </c>
      <c r="BW51" s="150" t="str">
        <f t="shared" si="30"/>
        <v/>
      </c>
      <c r="BX51" s="312">
        <f t="shared" si="31"/>
        <v>120.7172041</v>
      </c>
      <c r="BY51" s="162">
        <f t="shared" si="32"/>
        <v>6109.525718</v>
      </c>
      <c r="BZ51" s="152">
        <f t="shared" si="33"/>
        <v>199.9486145</v>
      </c>
      <c r="CA51" s="152" t="str">
        <f t="shared" si="34"/>
        <v/>
      </c>
      <c r="CB51" s="152">
        <f t="shared" si="35"/>
        <v>265.8943067</v>
      </c>
      <c r="CC51" s="323">
        <f t="shared" si="36"/>
        <v>1565.20931</v>
      </c>
      <c r="CD51" s="153" t="str">
        <f t="shared" si="37"/>
        <v/>
      </c>
      <c r="CE51" s="154">
        <f t="shared" si="38"/>
        <v>3516.326961</v>
      </c>
      <c r="CF51" s="154" t="str">
        <f t="shared" si="39"/>
        <v/>
      </c>
      <c r="CG51" s="154">
        <f t="shared" si="40"/>
        <v>1784.134277</v>
      </c>
      <c r="CH51" s="313">
        <f t="shared" si="41"/>
        <v>92.13941282</v>
      </c>
    </row>
    <row r="52">
      <c r="A52" s="103" t="s">
        <v>141</v>
      </c>
      <c r="B52" s="104" t="s">
        <v>94</v>
      </c>
      <c r="C52" s="428">
        <v>18800.0</v>
      </c>
      <c r="D52" s="161">
        <v>0.0</v>
      </c>
      <c r="E52" s="294">
        <v>0.0</v>
      </c>
      <c r="F52" s="163"/>
      <c r="G52" s="325"/>
      <c r="H52" s="108">
        <v>0.0</v>
      </c>
      <c r="I52" s="109">
        <v>0.0</v>
      </c>
      <c r="J52" s="109">
        <v>0.0</v>
      </c>
      <c r="K52" s="109">
        <v>0.0</v>
      </c>
      <c r="L52" s="113"/>
      <c r="M52" s="113"/>
      <c r="N52" s="112">
        <v>0.0</v>
      </c>
      <c r="O52" s="298">
        <v>0.0</v>
      </c>
      <c r="P52" s="156"/>
      <c r="Q52" s="156"/>
      <c r="R52" s="121" t="str">
        <f t="shared" si="4"/>
        <v/>
      </c>
      <c r="S52" s="116">
        <f t="shared" si="5"/>
        <v>0.3783554476</v>
      </c>
      <c r="T52" s="117"/>
      <c r="U52" s="118">
        <f t="shared" si="6"/>
        <v>0.73965</v>
      </c>
      <c r="V52" s="148"/>
      <c r="W52" s="120">
        <f t="shared" si="7"/>
        <v>0.6141272727</v>
      </c>
      <c r="X52" s="148"/>
      <c r="Y52" s="120">
        <f t="shared" si="8"/>
        <v>0.6018090909</v>
      </c>
      <c r="Z52" s="299"/>
      <c r="AA52" s="441"/>
      <c r="AB52" s="300" t="str">
        <f t="shared" si="9"/>
        <v/>
      </c>
      <c r="AC52" s="300">
        <f t="shared" si="10"/>
        <v>0.6890056172</v>
      </c>
      <c r="AD52" s="314">
        <v>0.0</v>
      </c>
      <c r="AE52" s="315">
        <v>0.0</v>
      </c>
      <c r="AF52" s="445">
        <v>0.0</v>
      </c>
      <c r="AG52" s="316">
        <v>0.0</v>
      </c>
      <c r="AH52" s="307">
        <v>0.0</v>
      </c>
      <c r="AI52" s="317">
        <v>0.0</v>
      </c>
      <c r="AJ52" s="318">
        <v>0.0</v>
      </c>
      <c r="AK52" s="319">
        <v>0.0</v>
      </c>
      <c r="AL52" s="446">
        <v>0.0</v>
      </c>
      <c r="AM52" s="320">
        <v>0.0</v>
      </c>
      <c r="AN52" s="149" t="str">
        <f>IFERROR(
  AVERAGEIFS(
    'New LF Efficacy'!$J:$J,
    'New LF Efficacy'!$D:$D, $A52,
    'New LF Efficacy'!$F:$F,"DEC", 
    'New LF Efficacy'!$W:$W,"&lt;2016",
    'New LF Efficacy'!$AA:$AA,""),
  ""
)</f>
        <v/>
      </c>
      <c r="AO52" s="115">
        <f t="shared" si="11"/>
        <v>0.38</v>
      </c>
      <c r="AP52" s="149" t="str">
        <f>IFERROR(
AVERAGEIFS(
'New LF Efficacy'!$J:$J,
'New LF Efficacy'!$D:$D,$A52,
'New LF Efficacy'!$F:$F,"Albendazole &amp; DEC",
'New LF Efficacy'!$W:$W,"&lt;2016",
'New LF Efficacy'!$AA:$AA,""),
"")
</f>
        <v/>
      </c>
      <c r="AQ52" s="115">
        <f t="shared" si="12"/>
        <v>0.662</v>
      </c>
      <c r="AR52" s="149" t="str">
        <f>IFERROR(
AVERAGEIFS(
'New LF Efficacy'!$J:$J,
'New LF Efficacy'!$D:$D,$A52,
'New LF Efficacy'!$F:$F,"Albendazole &amp; Ivermectin", 
'New LF Efficacy'!$W:$W,"&lt;2016",
'New LF Efficacy'!$AA:$AA,""),"")</f>
        <v/>
      </c>
      <c r="AS52" s="115">
        <f t="shared" si="13"/>
        <v>0.37153125</v>
      </c>
      <c r="AT52" s="442" t="str">
        <f>IFERROR(AVERAGEIFS(
'Schist Efficacy'!$O:$O, 
'Schist Efficacy'!$C:$C,$A52, 
'Schist Efficacy'!$D:$D, "Praziquantel",
'Schist Efficacy'!$J:$J,"&lt;2016",
'Schist Efficacy'!$U:$U,""),
"")</f>
        <v/>
      </c>
      <c r="AU52" s="118">
        <f t="shared" si="14"/>
        <v>0.9475</v>
      </c>
      <c r="AV52" s="131" t="str">
        <f>IFERROR(AVERAGEIFS(
'STH Efficacy'!$AX:$AX, 
'STH Efficacy'!$AL:$AL, $A52, 
'STH Efficacy'!$AM:$AM, "Albendazole",
'STH Efficacy'!$AS:$AS,"&lt;2016",
'STH Efficacy'!$BP:$BP,""),
"")</f>
        <v/>
      </c>
      <c r="AW52" s="132">
        <f t="shared" si="15"/>
        <v>0.3571666667</v>
      </c>
      <c r="AX52" s="131" t="str">
        <f>IFERROR(AVERAGEIFS(
'STH Efficacy'!$AX:$AX, 
'STH Efficacy'!$AL:$AL, $A52, 
'STH Efficacy'!$AM:$AM, "Mebendazole",
'STH Efficacy'!$AS:$AS,"&lt;2016",
'STH Efficacy'!$BP:$BP,""),
"")</f>
        <v/>
      </c>
      <c r="AY52" s="132">
        <f t="shared" si="16"/>
        <v>0.4155</v>
      </c>
      <c r="AZ52" s="131" t="str">
        <f>IFERROR(AVERAGEIFS(
'STH Efficacy'!$AX:$AX, 
'STH Efficacy'!$AL:$AL, $A52, 
'STH Efficacy'!$AM:$AM, "Albendazole &amp; Ivermectin",
'STH Efficacy'!$AS:$AS,"&lt;2016",
'STH Efficacy'!$BP:$BP,""),
"")</f>
        <v/>
      </c>
      <c r="BA52" s="133">
        <f t="shared" si="17"/>
        <v>0.651</v>
      </c>
      <c r="BB52" s="443" t="str">
        <f>IFERROR(AVERAGEIFS(
'STH Efficacy'!$N:$N, 
'STH Efficacy'!$B:$B, $A52, 
'STH Efficacy'!$C:$C, "Albendazole",
'STH Efficacy'!$I:$I,"&lt;2016",
'STH Efficacy'!$AH:$AH,""),
"")</f>
        <v/>
      </c>
      <c r="BC52" s="135">
        <f t="shared" si="18"/>
        <v>0.5769166667</v>
      </c>
      <c r="BD52" s="443" t="str">
        <f>IFERROR(AVERAGEIFS(
'STH Efficacy'!$N:$N, 
'STH Efficacy'!$B:$B, $A52, 
'STH Efficacy'!$C:$C, "Mebendazole",
'STH Efficacy'!$I:$I,"&lt;2016",
'STH Efficacy'!$AH:$AH,""),
"")</f>
        <v/>
      </c>
      <c r="BE52" s="135">
        <f t="shared" si="19"/>
        <v>0.3145</v>
      </c>
      <c r="BF52" s="436" t="str">
        <f>IFERROR(AVERAGEIFS(
'STH Efficacy'!$CD:$CD, 
'STH Efficacy'!$BS:$BS, $A52, 
'STH Efficacy'!$BT:$BT, "Albendazole",
'STH Efficacy'!$BZ:$BZ,"&lt;2016",
'STH Efficacy'!$CU:$CU,""),
"")</f>
        <v/>
      </c>
      <c r="BG52" s="136">
        <f t="shared" si="20"/>
        <v>0.96925</v>
      </c>
      <c r="BH52" s="436" t="str">
        <f>IFERROR(AVERAGEIFS(
'STH Efficacy'!$CD:$CD, 
'STH Efficacy'!$BS:$BS, $A52, 
'STH Efficacy'!$BT:$BT, "Mebendazole",
'STH Efficacy'!$BZ:$BZ,"&lt;2016",
'STH Efficacy'!$CU:$CU,""),
"")</f>
        <v/>
      </c>
      <c r="BI52" s="136">
        <f t="shared" si="21"/>
        <v>0.9305</v>
      </c>
      <c r="BJ52" s="436" t="str">
        <f>IFERROR(AVERAGEIFS(
'STH Efficacy'!$CD:$CD, 
'STH Efficacy'!$BS:$BS, $A52, 
'STH Efficacy'!$BT:$BT, "Albendazole &amp; Ivermectin",
'STH Efficacy'!$BZ:$BZ,"&lt;2016",
'STH Efficacy'!$CU:$CU,""),
"")</f>
        <v/>
      </c>
      <c r="BK52" s="136">
        <f t="shared" si="22"/>
        <v>0.848</v>
      </c>
      <c r="BL52" s="444" t="str">
        <f>IFERROR(
  AVERAGEIFS(
    'NEW Onchocerciasis Efficacy'!$AO:$AO,
    'NEW Onchocerciasis Efficacy'!$C:$C,$A52,
    'NEW Onchocerciasis Efficacy'!$D:$D,"Ivermectin",
    'NEW Onchocerciasis Efficacy'!$AR:$AR,"&lt;2016",
    'NEW Onchocerciasis Efficacy'!$BG:$BG,"")
,"")</f>
        <v/>
      </c>
      <c r="BM52" s="304">
        <f t="shared" si="23"/>
        <v>0.7808368939</v>
      </c>
      <c r="BN52" s="439">
        <v>0.0</v>
      </c>
      <c r="BO52" s="139">
        <v>0.0</v>
      </c>
      <c r="BP52" s="140">
        <v>0.0</v>
      </c>
      <c r="BQ52" s="141">
        <f t="shared" si="24"/>
        <v>0</v>
      </c>
      <c r="BR52" s="104" t="str">
        <f t="shared" si="25"/>
        <v>0000</v>
      </c>
      <c r="BS52" s="104" t="str">
        <f t="shared" si="26"/>
        <v>no action required</v>
      </c>
      <c r="BT52" s="142" t="str">
        <f t="shared" si="27"/>
        <v/>
      </c>
      <c r="BU52" s="104" t="str">
        <f t="shared" si="28"/>
        <v/>
      </c>
      <c r="BV52" s="104" t="str">
        <f t="shared" si="29"/>
        <v>none</v>
      </c>
      <c r="BW52" s="150" t="str">
        <f t="shared" si="30"/>
        <v/>
      </c>
      <c r="BX52" s="150" t="str">
        <f t="shared" si="31"/>
        <v/>
      </c>
      <c r="BY52" s="151" t="str">
        <f t="shared" si="32"/>
        <v/>
      </c>
      <c r="BZ52" s="152" t="str">
        <f t="shared" si="33"/>
        <v/>
      </c>
      <c r="CA52" s="152" t="str">
        <f t="shared" si="34"/>
        <v/>
      </c>
      <c r="CB52" s="152" t="str">
        <f t="shared" si="35"/>
        <v/>
      </c>
      <c r="CC52" s="153" t="str">
        <f t="shared" si="36"/>
        <v/>
      </c>
      <c r="CD52" s="153" t="str">
        <f t="shared" si="37"/>
        <v/>
      </c>
      <c r="CE52" s="154" t="str">
        <f t="shared" si="38"/>
        <v/>
      </c>
      <c r="CF52" s="154" t="str">
        <f t="shared" si="39"/>
        <v/>
      </c>
      <c r="CG52" s="154" t="str">
        <f t="shared" si="40"/>
        <v/>
      </c>
      <c r="CH52" s="308" t="str">
        <f t="shared" si="41"/>
        <v/>
      </c>
    </row>
    <row r="53">
      <c r="A53" s="103" t="s">
        <v>142</v>
      </c>
      <c r="B53" s="104" t="s">
        <v>98</v>
      </c>
      <c r="C53" s="428">
        <v>4807852.0</v>
      </c>
      <c r="D53" s="161">
        <v>0.0</v>
      </c>
      <c r="E53" s="294">
        <v>0.0</v>
      </c>
      <c r="F53" s="295">
        <v>3.045440432</v>
      </c>
      <c r="G53" s="295">
        <v>20.03584565</v>
      </c>
      <c r="H53" s="108">
        <v>23.08128608</v>
      </c>
      <c r="I53" s="109">
        <v>53.444261</v>
      </c>
      <c r="J53" s="109">
        <v>271.064263</v>
      </c>
      <c r="K53" s="109">
        <v>324.5085243</v>
      </c>
      <c r="L53" s="112">
        <v>51.78628206</v>
      </c>
      <c r="M53" s="112">
        <v>122.8828065</v>
      </c>
      <c r="N53" s="112">
        <v>174.6690886</v>
      </c>
      <c r="O53" s="298">
        <v>0.0</v>
      </c>
      <c r="P53" s="156"/>
      <c r="Q53" s="156"/>
      <c r="R53" s="121" t="str">
        <f t="shared" si="4"/>
        <v/>
      </c>
      <c r="S53" s="116">
        <f t="shared" si="5"/>
        <v>0.3565746084</v>
      </c>
      <c r="T53" s="117"/>
      <c r="U53" s="118">
        <f t="shared" si="6"/>
        <v>0.4791888889</v>
      </c>
      <c r="V53" s="148"/>
      <c r="W53" s="120">
        <f t="shared" si="7"/>
        <v>0.685</v>
      </c>
      <c r="X53" s="148"/>
      <c r="Y53" s="120">
        <f t="shared" si="8"/>
        <v>0.7550545455</v>
      </c>
      <c r="Z53" s="299"/>
      <c r="AA53" s="441"/>
      <c r="AB53" s="300" t="str">
        <f t="shared" si="9"/>
        <v/>
      </c>
      <c r="AC53" s="300">
        <f t="shared" si="10"/>
        <v>0.7101368438</v>
      </c>
      <c r="AD53" s="122">
        <v>0.0</v>
      </c>
      <c r="AE53" s="123">
        <v>0.0</v>
      </c>
      <c r="AF53" s="430">
        <v>0.0</v>
      </c>
      <c r="AG53" s="124">
        <v>0.0867</v>
      </c>
      <c r="AH53" s="124">
        <v>0.129136871</v>
      </c>
      <c r="AI53" s="125">
        <v>0.0583</v>
      </c>
      <c r="AJ53" s="125">
        <v>0.086887734</v>
      </c>
      <c r="AK53" s="127">
        <v>0.1509</v>
      </c>
      <c r="AL53" s="127">
        <v>0.219125159</v>
      </c>
      <c r="AM53" s="302">
        <v>0.0</v>
      </c>
      <c r="AN53" s="149" t="str">
        <f>IFERROR(
  AVERAGEIFS(
    'New LF Efficacy'!$J:$J,
    'New LF Efficacy'!$D:$D, $A53,
    'New LF Efficacy'!$F:$F,"DEC", 
    'New LF Efficacy'!$W:$W,"&lt;2016",
    'New LF Efficacy'!$AA:$AA,""),
  ""
)</f>
        <v/>
      </c>
      <c r="AO53" s="115">
        <f t="shared" si="11"/>
        <v>0.2589833333</v>
      </c>
      <c r="AP53" s="149" t="str">
        <f>IFERROR(
AVERAGEIFS(
'New LF Efficacy'!$J:$J,
'New LF Efficacy'!$D:$D,$A53,
'New LF Efficacy'!$F:$F,"Albendazole &amp; DEC",
'New LF Efficacy'!$W:$W,"&lt;2016",
'New LF Efficacy'!$AA:$AA,""),
"")
</f>
        <v/>
      </c>
      <c r="AQ53" s="115">
        <f t="shared" si="12"/>
        <v>0.3465</v>
      </c>
      <c r="AR53" s="149" t="str">
        <f>IFERROR(
AVERAGEIFS(
'New LF Efficacy'!$J:$J,
'New LF Efficacy'!$D:$D,$A53,
'New LF Efficacy'!$F:$F,"Albendazole &amp; Ivermectin", 
'New LF Efficacy'!$W:$W,"&lt;2016",
'New LF Efficacy'!$AA:$AA,""),"")</f>
        <v/>
      </c>
      <c r="AS53" s="115">
        <f t="shared" si="13"/>
        <v>0.7575</v>
      </c>
      <c r="AT53" s="442" t="str">
        <f>IFERROR(AVERAGEIFS(
'Schist Efficacy'!$O:$O, 
'Schist Efficacy'!$C:$C,$A53, 
'Schist Efficacy'!$D:$D, "Praziquantel",
'Schist Efficacy'!$J:$J,"&lt;2016",
'Schist Efficacy'!$U:$U,""),
"")</f>
        <v/>
      </c>
      <c r="AU53" s="118">
        <f t="shared" si="14"/>
        <v>0.7914761905</v>
      </c>
      <c r="AV53" s="131" t="str">
        <f>IFERROR(AVERAGEIFS(
'STH Efficacy'!$AX:$AX, 
'STH Efficacy'!$AL:$AL, $A53, 
'STH Efficacy'!$AM:$AM, "Albendazole",
'STH Efficacy'!$AS:$AS,"&lt;2016",
'STH Efficacy'!$BP:$BP,""),
"")</f>
        <v/>
      </c>
      <c r="AW53" s="132">
        <f t="shared" si="15"/>
        <v>0.3945</v>
      </c>
      <c r="AX53" s="131" t="str">
        <f>IFERROR(AVERAGEIFS(
'STH Efficacy'!$AX:$AX, 
'STH Efficacy'!$AL:$AL, $A53, 
'STH Efficacy'!$AM:$AM, "Mebendazole",
'STH Efficacy'!$AS:$AS,"&lt;2016",
'STH Efficacy'!$BP:$BP,""),
"")</f>
        <v/>
      </c>
      <c r="AY53" s="132">
        <f t="shared" si="16"/>
        <v>0.6</v>
      </c>
      <c r="AZ53" s="131" t="str">
        <f>IFERROR(AVERAGEIFS(
'STH Efficacy'!$AX:$AX, 
'STH Efficacy'!$AL:$AL, $A53, 
'STH Efficacy'!$AM:$AM, "Albendazole &amp; Ivermectin",
'STH Efficacy'!$AS:$AS,"&lt;2016",
'STH Efficacy'!$BP:$BP,""),
"")</f>
        <v/>
      </c>
      <c r="BA53" s="133">
        <f t="shared" si="17"/>
        <v>0.796</v>
      </c>
      <c r="BB53" s="443" t="str">
        <f>IFERROR(AVERAGEIFS(
'STH Efficacy'!$N:$N, 
'STH Efficacy'!$B:$B, $A53, 
'STH Efficacy'!$C:$C, "Albendazole",
'STH Efficacy'!$I:$I,"&lt;2016",
'STH Efficacy'!$AH:$AH,""),
"")</f>
        <v/>
      </c>
      <c r="BC53" s="135">
        <f t="shared" si="18"/>
        <v>0.869</v>
      </c>
      <c r="BD53" s="443" t="str">
        <f>IFERROR(AVERAGEIFS(
'STH Efficacy'!$N:$N, 
'STH Efficacy'!$B:$B, $A53, 
'STH Efficacy'!$C:$C, "Mebendazole",
'STH Efficacy'!$I:$I,"&lt;2016",
'STH Efficacy'!$AH:$AH,""),
"")</f>
        <v/>
      </c>
      <c r="BE53" s="135">
        <f t="shared" si="19"/>
        <v>0.172</v>
      </c>
      <c r="BF53" s="436" t="str">
        <f>IFERROR(AVERAGEIFS(
'STH Efficacy'!$CD:$CD, 
'STH Efficacy'!$BS:$BS, $A53, 
'STH Efficacy'!$BT:$BT, "Albendazole",
'STH Efficacy'!$BZ:$BZ,"&lt;2016",
'STH Efficacy'!$CU:$CU,""),
"")</f>
        <v/>
      </c>
      <c r="BG53" s="136">
        <f t="shared" si="20"/>
        <v>0.9862</v>
      </c>
      <c r="BH53" s="436" t="str">
        <f>IFERROR(AVERAGEIFS(
'STH Efficacy'!$CD:$CD, 
'STH Efficacy'!$BS:$BS, $A53, 
'STH Efficacy'!$BT:$BT, "Mebendazole",
'STH Efficacy'!$BZ:$BZ,"&lt;2016",
'STH Efficacy'!$CU:$CU,""),
"")</f>
        <v/>
      </c>
      <c r="BI53" s="136">
        <f t="shared" si="21"/>
        <v>0.769</v>
      </c>
      <c r="BJ53" s="436" t="str">
        <f>IFERROR(AVERAGEIFS(
'STH Efficacy'!$CD:$CD, 
'STH Efficacy'!$BS:$BS, $A53, 
'STH Efficacy'!$BT:$BT, "Albendazole &amp; Ivermectin",
'STH Efficacy'!$BZ:$BZ,"&lt;2016",
'STH Efficacy'!$CU:$CU,""),
"")</f>
        <v/>
      </c>
      <c r="BK53" s="136">
        <f t="shared" si="22"/>
        <v>1</v>
      </c>
      <c r="BL53" s="444" t="str">
        <f>IFERROR(
  AVERAGEIFS(
    'NEW Onchocerciasis Efficacy'!$AO:$AO,
    'NEW Onchocerciasis Efficacy'!$C:$C,$A53,
    'NEW Onchocerciasis Efficacy'!$D:$D,"Ivermectin",
    'NEW Onchocerciasis Efficacy'!$AR:$AR,"&lt;2016",
    'NEW Onchocerciasis Efficacy'!$BG:$BG,"")
,"")</f>
        <v/>
      </c>
      <c r="BM53" s="304">
        <f t="shared" si="23"/>
        <v>0.3734</v>
      </c>
      <c r="BN53" s="439">
        <v>0.0</v>
      </c>
      <c r="BO53" s="139">
        <v>0.0</v>
      </c>
      <c r="BP53" s="140">
        <v>0.0</v>
      </c>
      <c r="BQ53" s="141">
        <f t="shared" si="24"/>
        <v>0</v>
      </c>
      <c r="BR53" s="104" t="str">
        <f t="shared" si="25"/>
        <v>0000</v>
      </c>
      <c r="BS53" s="104" t="str">
        <f t="shared" si="26"/>
        <v>no action required</v>
      </c>
      <c r="BT53" s="142" t="str">
        <f t="shared" si="27"/>
        <v/>
      </c>
      <c r="BU53" s="104" t="str">
        <f t="shared" si="28"/>
        <v/>
      </c>
      <c r="BV53" s="104" t="str">
        <f t="shared" si="29"/>
        <v>none</v>
      </c>
      <c r="BW53" s="150" t="str">
        <f t="shared" si="30"/>
        <v/>
      </c>
      <c r="BX53" s="150" t="str">
        <f t="shared" si="31"/>
        <v/>
      </c>
      <c r="BY53" s="151" t="str">
        <f t="shared" si="32"/>
        <v/>
      </c>
      <c r="BZ53" s="152" t="str">
        <f t="shared" si="33"/>
        <v/>
      </c>
      <c r="CA53" s="152" t="str">
        <f t="shared" si="34"/>
        <v/>
      </c>
      <c r="CB53" s="152" t="str">
        <f t="shared" si="35"/>
        <v/>
      </c>
      <c r="CC53" s="153" t="str">
        <f t="shared" si="36"/>
        <v/>
      </c>
      <c r="CD53" s="153" t="str">
        <f t="shared" si="37"/>
        <v/>
      </c>
      <c r="CE53" s="154" t="str">
        <f t="shared" si="38"/>
        <v/>
      </c>
      <c r="CF53" s="154" t="str">
        <f t="shared" si="39"/>
        <v/>
      </c>
      <c r="CG53" s="154" t="str">
        <f t="shared" si="40"/>
        <v/>
      </c>
      <c r="CH53" s="308" t="str">
        <f t="shared" si="41"/>
        <v/>
      </c>
    </row>
    <row r="54">
      <c r="A54" s="175" t="s">
        <v>143</v>
      </c>
      <c r="B54" s="104" t="s">
        <v>92</v>
      </c>
      <c r="C54" s="428">
        <v>2.3108472E7</v>
      </c>
      <c r="D54" s="161">
        <v>32980.45</v>
      </c>
      <c r="E54" s="294">
        <v>70711.53154</v>
      </c>
      <c r="F54" s="295">
        <v>62.43536008</v>
      </c>
      <c r="G54" s="295">
        <v>274.468742</v>
      </c>
      <c r="H54" s="108">
        <v>336.9041021</v>
      </c>
      <c r="I54" s="109">
        <v>0.0</v>
      </c>
      <c r="J54" s="110">
        <v>0.0</v>
      </c>
      <c r="K54" s="110">
        <v>6646.477709</v>
      </c>
      <c r="L54" s="111">
        <v>7819.996142</v>
      </c>
      <c r="M54" s="112">
        <v>1785.24879</v>
      </c>
      <c r="N54" s="112">
        <v>9605.244933</v>
      </c>
      <c r="O54" s="298">
        <v>0.0</v>
      </c>
      <c r="P54" s="160">
        <v>1.7848457E7</v>
      </c>
      <c r="Q54" s="160">
        <v>5900569.0</v>
      </c>
      <c r="R54" s="121">
        <f t="shared" si="4"/>
        <v>0.3305926669</v>
      </c>
      <c r="S54" s="116">
        <f t="shared" si="5"/>
        <v>0.3305926669</v>
      </c>
      <c r="T54" s="118">
        <v>0.108</v>
      </c>
      <c r="U54" s="118">
        <f t="shared" si="6"/>
        <v>0.108</v>
      </c>
      <c r="V54" s="119">
        <v>1.0</v>
      </c>
      <c r="W54" s="120">
        <f t="shared" si="7"/>
        <v>1</v>
      </c>
      <c r="X54" s="119">
        <v>0.4754</v>
      </c>
      <c r="Y54" s="120">
        <f t="shared" si="8"/>
        <v>0.4754</v>
      </c>
      <c r="Z54" s="310">
        <v>3096711.0</v>
      </c>
      <c r="AA54" s="310">
        <v>2107463.0</v>
      </c>
      <c r="AB54" s="300">
        <f t="shared" si="9"/>
        <v>0.6805488145</v>
      </c>
      <c r="AC54" s="300">
        <f t="shared" si="10"/>
        <v>0.6805488145</v>
      </c>
      <c r="AD54" s="122">
        <v>0.0298</v>
      </c>
      <c r="AE54" s="123">
        <v>0.33</v>
      </c>
      <c r="AF54" s="430">
        <v>0.1363</v>
      </c>
      <c r="AG54" s="316">
        <v>0.0</v>
      </c>
      <c r="AH54" s="316">
        <v>0.127352134</v>
      </c>
      <c r="AI54" s="317">
        <v>0.0</v>
      </c>
      <c r="AJ54" s="317">
        <v>0.191023052</v>
      </c>
      <c r="AK54" s="319">
        <v>0.0</v>
      </c>
      <c r="AL54" s="319">
        <v>0.116768698</v>
      </c>
      <c r="AM54" s="302">
        <v>0.0</v>
      </c>
      <c r="AN54" s="149" t="str">
        <f>IFERROR(
  AVERAGEIFS(
    'New LF Efficacy'!$J:$J,
    'New LF Efficacy'!$D:$D, $A54,
    'New LF Efficacy'!$F:$F,"DEC", 
    'New LF Efficacy'!$W:$W,"&lt;2016",
    'New LF Efficacy'!$AA:$AA,""),
  ""
)</f>
        <v/>
      </c>
      <c r="AO54" s="115">
        <f t="shared" si="11"/>
        <v>0.31225</v>
      </c>
      <c r="AP54" s="149" t="str">
        <f>IFERROR(
AVERAGEIFS(
'New LF Efficacy'!$J:$J,
'New LF Efficacy'!$D:$D,$A54,
'New LF Efficacy'!$F:$F,"Albendazole &amp; DEC",
'New LF Efficacy'!$W:$W,"&lt;2016",
'New LF Efficacy'!$AA:$AA,""),
"")
</f>
        <v/>
      </c>
      <c r="AQ54" s="115">
        <f t="shared" si="12"/>
        <v>0.4</v>
      </c>
      <c r="AR54" s="149" t="str">
        <f>IFERROR(
AVERAGEIFS(
'New LF Efficacy'!$J:$J,
'New LF Efficacy'!$D:$D,$A54,
'New LF Efficacy'!$F:$F,"Albendazole &amp; Ivermectin", 
'New LF Efficacy'!$W:$W,"&lt;2016",
'New LF Efficacy'!$AA:$AA,""),"")</f>
        <v/>
      </c>
      <c r="AS54" s="115">
        <f t="shared" si="13"/>
        <v>0.2943125</v>
      </c>
      <c r="AT54" s="442">
        <f>IFERROR(AVERAGEIFS(
'Schist Efficacy'!$O:$O, 
'Schist Efficacy'!$C:$C,$A54, 
'Schist Efficacy'!$D:$D, "Praziquantel",
'Schist Efficacy'!$J:$J,"&lt;2016",
'Schist Efficacy'!$U:$U,""),
"")</f>
        <v>0.668125</v>
      </c>
      <c r="AU54" s="118">
        <f t="shared" si="14"/>
        <v>0.668125</v>
      </c>
      <c r="AV54" s="131" t="str">
        <f>IFERROR(AVERAGEIFS(
'STH Efficacy'!$AX:$AX, 
'STH Efficacy'!$AL:$AL, $A54, 
'STH Efficacy'!$AM:$AM, "Albendazole",
'STH Efficacy'!$AS:$AS,"&lt;2016",
'STH Efficacy'!$BP:$BP,""),
"")</f>
        <v/>
      </c>
      <c r="AW54" s="132">
        <f t="shared" si="15"/>
        <v>0.3816333333</v>
      </c>
      <c r="AX54" s="131" t="str">
        <f>IFERROR(AVERAGEIFS(
'STH Efficacy'!$AX:$AX, 
'STH Efficacy'!$AL:$AL, $A54, 
'STH Efficacy'!$AM:$AM, "Mebendazole",
'STH Efficacy'!$AS:$AS,"&lt;2016",
'STH Efficacy'!$BP:$BP,""),
"")</f>
        <v/>
      </c>
      <c r="AY54" s="132">
        <f t="shared" si="16"/>
        <v>0.4859375</v>
      </c>
      <c r="AZ54" s="131" t="str">
        <f>IFERROR(AVERAGEIFS(
'STH Efficacy'!$AX:$AX, 
'STH Efficacy'!$AL:$AL, $A54, 
'STH Efficacy'!$AM:$AM, "Albendazole &amp; Ivermectin",
'STH Efficacy'!$AS:$AS,"&lt;2016",
'STH Efficacy'!$BP:$BP,""),
"")</f>
        <v/>
      </c>
      <c r="BA54" s="133">
        <f t="shared" si="17"/>
        <v>0.47175</v>
      </c>
      <c r="BB54" s="443" t="str">
        <f>IFERROR(AVERAGEIFS(
'STH Efficacy'!$N:$N, 
'STH Efficacy'!$B:$B, $A54, 
'STH Efficacy'!$C:$C, "Albendazole",
'STH Efficacy'!$I:$I,"&lt;2016",
'STH Efficacy'!$AH:$AH,""),
"")</f>
        <v/>
      </c>
      <c r="BC54" s="135">
        <f t="shared" si="18"/>
        <v>0.8699166667</v>
      </c>
      <c r="BD54" s="443" t="str">
        <f>IFERROR(AVERAGEIFS(
'STH Efficacy'!$N:$N, 
'STH Efficacy'!$B:$B, $A54, 
'STH Efficacy'!$C:$C, "Mebendazole",
'STH Efficacy'!$I:$I,"&lt;2016",
'STH Efficacy'!$AH:$AH,""),
"")</f>
        <v/>
      </c>
      <c r="BE54" s="135">
        <f t="shared" si="19"/>
        <v>0.7092416667</v>
      </c>
      <c r="BF54" s="436" t="str">
        <f>IFERROR(AVERAGEIFS(
'STH Efficacy'!$CD:$CD, 
'STH Efficacy'!$BS:$BS, $A54, 
'STH Efficacy'!$BT:$BT, "Albendazole",
'STH Efficacy'!$BZ:$BZ,"&lt;2016",
'STH Efficacy'!$CU:$CU,""),
"")</f>
        <v/>
      </c>
      <c r="BG54" s="136">
        <f t="shared" si="20"/>
        <v>0.9066666667</v>
      </c>
      <c r="BH54" s="436" t="str">
        <f>IFERROR(AVERAGEIFS(
'STH Efficacy'!$CD:$CD, 
'STH Efficacy'!$BS:$BS, $A54, 
'STH Efficacy'!$BT:$BT, "Mebendazole",
'STH Efficacy'!$BZ:$BZ,"&lt;2016",
'STH Efficacy'!$CU:$CU,""),
"")</f>
        <v/>
      </c>
      <c r="BI54" s="136">
        <f t="shared" si="21"/>
        <v>0.8483333333</v>
      </c>
      <c r="BJ54" s="436" t="str">
        <f>IFERROR(AVERAGEIFS(
'STH Efficacy'!$CD:$CD, 
'STH Efficacy'!$BS:$BS, $A54, 
'STH Efficacy'!$BT:$BT, "Albendazole &amp; Ivermectin",
'STH Efficacy'!$BZ:$BZ,"&lt;2016",
'STH Efficacy'!$CU:$CU,""),
"")</f>
        <v/>
      </c>
      <c r="BK54" s="136">
        <f t="shared" si="22"/>
        <v>0.696</v>
      </c>
      <c r="BL54" s="444" t="str">
        <f>IFERROR(
  AVERAGEIFS(
    'NEW Onchocerciasis Efficacy'!$AO:$AO,
    'NEW Onchocerciasis Efficacy'!$C:$C,$A54,
    'NEW Onchocerciasis Efficacy'!$D:$D,"Ivermectin",
    'NEW Onchocerciasis Efficacy'!$AR:$AR,"&lt;2016",
    'NEW Onchocerciasis Efficacy'!$BG:$BG,"")
,"")</f>
        <v/>
      </c>
      <c r="BM54" s="304">
        <f t="shared" si="23"/>
        <v>0.8390421645</v>
      </c>
      <c r="BN54" s="439">
        <v>1.0</v>
      </c>
      <c r="BO54" s="139">
        <v>1.0</v>
      </c>
      <c r="BP54" s="140">
        <v>1.0</v>
      </c>
      <c r="BQ54" s="141">
        <f t="shared" si="24"/>
        <v>0</v>
      </c>
      <c r="BR54" s="104" t="str">
        <f t="shared" si="25"/>
        <v>1110</v>
      </c>
      <c r="BS54" s="104" t="str">
        <f t="shared" si="26"/>
        <v>MDA1+T2</v>
      </c>
      <c r="BT54" s="142" t="str">
        <f t="shared" si="27"/>
        <v>IVM+ALB</v>
      </c>
      <c r="BU54" s="104" t="str">
        <f t="shared" si="28"/>
        <v>PZQ</v>
      </c>
      <c r="BV54" s="104" t="str">
        <f t="shared" si="29"/>
        <v>lf+onch+schist </v>
      </c>
      <c r="BW54" s="150" t="str">
        <f t="shared" si="30"/>
        <v/>
      </c>
      <c r="BX54" s="312">
        <f t="shared" si="31"/>
        <v>3554.789443</v>
      </c>
      <c r="BY54" s="162">
        <f t="shared" si="32"/>
        <v>5499.173984</v>
      </c>
      <c r="BZ54" s="152" t="str">
        <f t="shared" si="33"/>
        <v/>
      </c>
      <c r="CA54" s="152" t="str">
        <f t="shared" si="34"/>
        <v/>
      </c>
      <c r="CB54" s="152" t="str">
        <f t="shared" si="35"/>
        <v/>
      </c>
      <c r="CC54" s="153" t="str">
        <f t="shared" si="36"/>
        <v/>
      </c>
      <c r="CD54" s="153" t="str">
        <f t="shared" si="37"/>
        <v/>
      </c>
      <c r="CE54" s="154" t="str">
        <f t="shared" si="38"/>
        <v/>
      </c>
      <c r="CF54" s="154" t="str">
        <f t="shared" si="39"/>
        <v/>
      </c>
      <c r="CG54" s="154" t="str">
        <f t="shared" si="40"/>
        <v/>
      </c>
      <c r="CH54" s="313">
        <f t="shared" si="41"/>
        <v>0</v>
      </c>
    </row>
    <row r="55">
      <c r="A55" s="103" t="s">
        <v>144</v>
      </c>
      <c r="B55" s="104" t="s">
        <v>90</v>
      </c>
      <c r="C55" s="428">
        <v>4203604.0</v>
      </c>
      <c r="D55" s="161">
        <v>0.0</v>
      </c>
      <c r="E55" s="294">
        <v>0.0</v>
      </c>
      <c r="F55" s="307">
        <v>0.0</v>
      </c>
      <c r="G55" s="309">
        <v>0.0</v>
      </c>
      <c r="H55" s="108">
        <v>0.0</v>
      </c>
      <c r="I55" s="109">
        <v>0.0</v>
      </c>
      <c r="J55" s="109">
        <v>0.0</v>
      </c>
      <c r="K55" s="109">
        <v>0.0</v>
      </c>
      <c r="L55" s="112">
        <v>0.0</v>
      </c>
      <c r="M55" s="112">
        <v>0.0</v>
      </c>
      <c r="N55" s="112">
        <v>0.0</v>
      </c>
      <c r="O55" s="298">
        <v>0.0</v>
      </c>
      <c r="P55" s="114"/>
      <c r="Q55" s="114"/>
      <c r="R55" s="121" t="str">
        <f t="shared" si="4"/>
        <v/>
      </c>
      <c r="S55" s="116">
        <f t="shared" si="5"/>
        <v>0.5709301448</v>
      </c>
      <c r="T55" s="117"/>
      <c r="U55" s="118">
        <f t="shared" si="6"/>
        <v>0.4791888889</v>
      </c>
      <c r="V55" s="148"/>
      <c r="W55" s="120">
        <f t="shared" si="7"/>
        <v>0.0223</v>
      </c>
      <c r="X55" s="148"/>
      <c r="Y55" s="120">
        <f t="shared" si="8"/>
        <v>0.598275</v>
      </c>
      <c r="Z55" s="299"/>
      <c r="AA55" s="441"/>
      <c r="AB55" s="300" t="str">
        <f t="shared" si="9"/>
        <v/>
      </c>
      <c r="AC55" s="300">
        <f t="shared" si="10"/>
        <v>0.6890056172</v>
      </c>
      <c r="AD55" s="122">
        <v>0.0</v>
      </c>
      <c r="AE55" s="123">
        <v>0.0</v>
      </c>
      <c r="AF55" s="430">
        <v>0.0</v>
      </c>
      <c r="AG55" s="124">
        <v>0.0</v>
      </c>
      <c r="AH55" s="124">
        <v>0.0</v>
      </c>
      <c r="AI55" s="125">
        <v>0.0</v>
      </c>
      <c r="AJ55" s="125">
        <v>0.0</v>
      </c>
      <c r="AK55" s="127">
        <v>0.0</v>
      </c>
      <c r="AL55" s="127">
        <v>0.0</v>
      </c>
      <c r="AM55" s="302">
        <v>0.0</v>
      </c>
      <c r="AN55" s="149" t="str">
        <f>IFERROR(
  AVERAGEIFS(
    'New LF Efficacy'!$J:$J,
    'New LF Efficacy'!$D:$D, $A55,
    'New LF Efficacy'!$F:$F,"DEC", 
    'New LF Efficacy'!$W:$W,"&lt;2016",
    'New LF Efficacy'!$AA:$AA,""),
  ""
)</f>
        <v/>
      </c>
      <c r="AO55" s="115">
        <f t="shared" si="11"/>
        <v>0.3573520833</v>
      </c>
      <c r="AP55" s="149" t="str">
        <f>IFERROR(
AVERAGEIFS(
'New LF Efficacy'!$J:$J,
'New LF Efficacy'!$D:$D,$A55,
'New LF Efficacy'!$F:$F,"Albendazole &amp; DEC",
'New LF Efficacy'!$W:$W,"&lt;2016",
'New LF Efficacy'!$AA:$AA,""),
"")
</f>
        <v/>
      </c>
      <c r="AQ55" s="115">
        <f t="shared" si="12"/>
        <v>0.5143541667</v>
      </c>
      <c r="AR55" s="149" t="str">
        <f>IFERROR(
AVERAGEIFS(
'New LF Efficacy'!$J:$J,
'New LF Efficacy'!$D:$D,$A55,
'New LF Efficacy'!$F:$F,"Albendazole &amp; Ivermectin", 
'New LF Efficacy'!$W:$W,"&lt;2016",
'New LF Efficacy'!$AA:$AA,""),"")</f>
        <v/>
      </c>
      <c r="AS55" s="115">
        <f t="shared" si="13"/>
        <v>0.37153125</v>
      </c>
      <c r="AT55" s="442" t="str">
        <f>IFERROR(AVERAGEIFS(
'Schist Efficacy'!$O:$O, 
'Schist Efficacy'!$C:$C,$A55, 
'Schist Efficacy'!$D:$D, "Praziquantel",
'Schist Efficacy'!$J:$J,"&lt;2016",
'Schist Efficacy'!$U:$U,""),
"")</f>
        <v/>
      </c>
      <c r="AU55" s="118">
        <f t="shared" si="14"/>
        <v>0.655</v>
      </c>
      <c r="AV55" s="131" t="str">
        <f>IFERROR(AVERAGEIFS(
'STH Efficacy'!$AX:$AX, 
'STH Efficacy'!$AL:$AL, $A55, 
'STH Efficacy'!$AM:$AM, "Albendazole",
'STH Efficacy'!$AS:$AS,"&lt;2016",
'STH Efficacy'!$BP:$BP,""),
"")</f>
        <v/>
      </c>
      <c r="AW55" s="132">
        <f t="shared" si="15"/>
        <v>0.4143846154</v>
      </c>
      <c r="AX55" s="131" t="str">
        <f>IFERROR(AVERAGEIFS(
'STH Efficacy'!$AX:$AX, 
'STH Efficacy'!$AL:$AL, $A55, 
'STH Efficacy'!$AM:$AM, "Mebendazole",
'STH Efficacy'!$AS:$AS,"&lt;2016",
'STH Efficacy'!$BP:$BP,""),
"")</f>
        <v/>
      </c>
      <c r="AY55" s="132">
        <f t="shared" si="16"/>
        <v>0.4691770833</v>
      </c>
      <c r="AZ55" s="131" t="str">
        <f>IFERROR(AVERAGEIFS(
'STH Efficacy'!$AX:$AX, 
'STH Efficacy'!$AL:$AL, $A55, 
'STH Efficacy'!$AM:$AM, "Albendazole &amp; Ivermectin",
'STH Efficacy'!$AS:$AS,"&lt;2016",
'STH Efficacy'!$BP:$BP,""),
"")</f>
        <v/>
      </c>
      <c r="BA55" s="133">
        <f t="shared" si="17"/>
        <v>0.597625</v>
      </c>
      <c r="BB55" s="443" t="str">
        <f>IFERROR(AVERAGEIFS(
'STH Efficacy'!$N:$N, 
'STH Efficacy'!$B:$B, $A55, 
'STH Efficacy'!$C:$C, "Albendazole",
'STH Efficacy'!$I:$I,"&lt;2016",
'STH Efficacy'!$AH:$AH,""),
"")</f>
        <v/>
      </c>
      <c r="BC55" s="135">
        <f t="shared" si="18"/>
        <v>0.7613712121</v>
      </c>
      <c r="BD55" s="443" t="str">
        <f>IFERROR(AVERAGEIFS(
'STH Efficacy'!$N:$N, 
'STH Efficacy'!$B:$B, $A55, 
'STH Efficacy'!$C:$C, "Mebendazole",
'STH Efficacy'!$I:$I,"&lt;2016",
'STH Efficacy'!$AH:$AH,""),
"")</f>
        <v/>
      </c>
      <c r="BE55" s="135">
        <f t="shared" si="19"/>
        <v>0.4362466667</v>
      </c>
      <c r="BF55" s="436" t="str">
        <f>IFERROR(AVERAGEIFS(
'STH Efficacy'!$CD:$CD, 
'STH Efficacy'!$BS:$BS, $A55, 
'STH Efficacy'!$BT:$BT, "Albendazole",
'STH Efficacy'!$BZ:$BZ,"&lt;2016",
'STH Efficacy'!$CU:$CU,""),
"")</f>
        <v/>
      </c>
      <c r="BG55" s="136">
        <f t="shared" si="20"/>
        <v>0.9216027778</v>
      </c>
      <c r="BH55" s="436" t="str">
        <f>IFERROR(AVERAGEIFS(
'STH Efficacy'!$CD:$CD, 
'STH Efficacy'!$BS:$BS, $A55, 
'STH Efficacy'!$BT:$BT, "Mebendazole",
'STH Efficacy'!$BZ:$BZ,"&lt;2016",
'STH Efficacy'!$CU:$CU,""),
"")</f>
        <v/>
      </c>
      <c r="BI55" s="136">
        <f t="shared" si="21"/>
        <v>0.8866041667</v>
      </c>
      <c r="BJ55" s="436" t="str">
        <f>IFERROR(AVERAGEIFS(
'STH Efficacy'!$CD:$CD, 
'STH Efficacy'!$BS:$BS, $A55, 
'STH Efficacy'!$BT:$BT, "Albendazole &amp; Ivermectin",
'STH Efficacy'!$BZ:$BZ,"&lt;2016",
'STH Efficacy'!$CU:$CU,""),
"")</f>
        <v/>
      </c>
      <c r="BK55" s="136">
        <f t="shared" si="22"/>
        <v>0.848</v>
      </c>
      <c r="BL55" s="444" t="str">
        <f>IFERROR(
  AVERAGEIFS(
    'NEW Onchocerciasis Efficacy'!$AO:$AO,
    'NEW Onchocerciasis Efficacy'!$C:$C,$A55,
    'NEW Onchocerciasis Efficacy'!$D:$D,"Ivermectin",
    'NEW Onchocerciasis Efficacy'!$AR:$AR,"&lt;2016",
    'NEW Onchocerciasis Efficacy'!$BG:$BG,"")
,"")</f>
        <v/>
      </c>
      <c r="BM55" s="304">
        <f t="shared" si="23"/>
        <v>0.7808368939</v>
      </c>
      <c r="BN55" s="439">
        <v>0.0</v>
      </c>
      <c r="BO55" s="139">
        <v>0.0</v>
      </c>
      <c r="BP55" s="140">
        <v>0.0</v>
      </c>
      <c r="BQ55" s="141">
        <f t="shared" si="24"/>
        <v>0</v>
      </c>
      <c r="BR55" s="104" t="str">
        <f t="shared" si="25"/>
        <v>0000</v>
      </c>
      <c r="BS55" s="104" t="str">
        <f t="shared" si="26"/>
        <v>no action required</v>
      </c>
      <c r="BT55" s="142" t="str">
        <f t="shared" si="27"/>
        <v/>
      </c>
      <c r="BU55" s="104" t="str">
        <f t="shared" si="28"/>
        <v/>
      </c>
      <c r="BV55" s="104" t="str">
        <f t="shared" si="29"/>
        <v>none</v>
      </c>
      <c r="BW55" s="150" t="str">
        <f t="shared" si="30"/>
        <v/>
      </c>
      <c r="BX55" s="150" t="str">
        <f t="shared" si="31"/>
        <v/>
      </c>
      <c r="BY55" s="151" t="str">
        <f t="shared" si="32"/>
        <v/>
      </c>
      <c r="BZ55" s="152" t="str">
        <f t="shared" si="33"/>
        <v/>
      </c>
      <c r="CA55" s="152" t="str">
        <f t="shared" si="34"/>
        <v/>
      </c>
      <c r="CB55" s="152" t="str">
        <f t="shared" si="35"/>
        <v/>
      </c>
      <c r="CC55" s="153" t="str">
        <f t="shared" si="36"/>
        <v/>
      </c>
      <c r="CD55" s="153" t="str">
        <f t="shared" si="37"/>
        <v/>
      </c>
      <c r="CE55" s="154" t="str">
        <f t="shared" si="38"/>
        <v/>
      </c>
      <c r="CF55" s="154" t="str">
        <f t="shared" si="39"/>
        <v/>
      </c>
      <c r="CG55" s="154" t="str">
        <f t="shared" si="40"/>
        <v/>
      </c>
      <c r="CH55" s="308" t="str">
        <f t="shared" si="41"/>
        <v/>
      </c>
    </row>
    <row r="56">
      <c r="A56" s="103" t="s">
        <v>145</v>
      </c>
      <c r="B56" s="104" t="s">
        <v>98</v>
      </c>
      <c r="C56" s="428">
        <v>1.1461432E7</v>
      </c>
      <c r="D56" s="161">
        <v>0.0</v>
      </c>
      <c r="E56" s="294">
        <v>0.0</v>
      </c>
      <c r="F56" s="295">
        <v>3.643385882</v>
      </c>
      <c r="G56" s="295">
        <v>19.26144016</v>
      </c>
      <c r="H56" s="108">
        <v>22.90482605</v>
      </c>
      <c r="I56" s="109">
        <v>183.695998</v>
      </c>
      <c r="J56" s="110">
        <v>692.423234</v>
      </c>
      <c r="K56" s="109">
        <v>876.1192321</v>
      </c>
      <c r="L56" s="112">
        <v>129.7387026</v>
      </c>
      <c r="M56" s="112">
        <v>445.766593</v>
      </c>
      <c r="N56" s="112">
        <v>575.5052955</v>
      </c>
      <c r="O56" s="298">
        <v>0.0</v>
      </c>
      <c r="P56" s="114"/>
      <c r="Q56" s="114"/>
      <c r="R56" s="121" t="str">
        <f t="shared" si="4"/>
        <v/>
      </c>
      <c r="S56" s="116">
        <f t="shared" si="5"/>
        <v>0.3565746084</v>
      </c>
      <c r="T56" s="117"/>
      <c r="U56" s="118">
        <f t="shared" si="6"/>
        <v>0.4791888889</v>
      </c>
      <c r="V56" s="148"/>
      <c r="W56" s="120">
        <f t="shared" si="7"/>
        <v>0.685</v>
      </c>
      <c r="X56" s="148"/>
      <c r="Y56" s="120">
        <f t="shared" si="8"/>
        <v>0.7550545455</v>
      </c>
      <c r="Z56" s="299"/>
      <c r="AA56" s="441"/>
      <c r="AB56" s="300" t="str">
        <f t="shared" si="9"/>
        <v/>
      </c>
      <c r="AC56" s="300">
        <f t="shared" si="10"/>
        <v>0.7101368438</v>
      </c>
      <c r="AD56" s="122">
        <v>0.0</v>
      </c>
      <c r="AE56" s="123">
        <v>0.0</v>
      </c>
      <c r="AF56" s="430">
        <v>0.0</v>
      </c>
      <c r="AG56" s="124">
        <v>0.0469</v>
      </c>
      <c r="AH56" s="124">
        <v>0.072069026</v>
      </c>
      <c r="AI56" s="125">
        <v>0.0774</v>
      </c>
      <c r="AJ56" s="125">
        <v>0.123161933</v>
      </c>
      <c r="AK56" s="127">
        <v>0.1089</v>
      </c>
      <c r="AL56" s="127">
        <v>0.166917247</v>
      </c>
      <c r="AM56" s="302">
        <v>0.0</v>
      </c>
      <c r="AN56" s="149" t="str">
        <f>IFERROR(
  AVERAGEIFS(
    'New LF Efficacy'!$J:$J,
    'New LF Efficacy'!$D:$D, $A56,
    'New LF Efficacy'!$F:$F,"DEC", 
    'New LF Efficacy'!$W:$W,"&lt;2016",
    'New LF Efficacy'!$AA:$AA,""),
  ""
)</f>
        <v/>
      </c>
      <c r="AO56" s="115">
        <f t="shared" si="11"/>
        <v>0.2589833333</v>
      </c>
      <c r="AP56" s="149" t="str">
        <f>IFERROR(
AVERAGEIFS(
'New LF Efficacy'!$J:$J,
'New LF Efficacy'!$D:$D,$A56,
'New LF Efficacy'!$F:$F,"Albendazole &amp; DEC",
'New LF Efficacy'!$W:$W,"&lt;2016",
'New LF Efficacy'!$AA:$AA,""),
"")
</f>
        <v/>
      </c>
      <c r="AQ56" s="115">
        <f t="shared" si="12"/>
        <v>0.3465</v>
      </c>
      <c r="AR56" s="149" t="str">
        <f>IFERROR(
AVERAGEIFS(
'New LF Efficacy'!$J:$J,
'New LF Efficacy'!$D:$D,$A56,
'New LF Efficacy'!$F:$F,"Albendazole &amp; Ivermectin", 
'New LF Efficacy'!$W:$W,"&lt;2016",
'New LF Efficacy'!$AA:$AA,""),"")</f>
        <v/>
      </c>
      <c r="AS56" s="115">
        <f t="shared" si="13"/>
        <v>0.7575</v>
      </c>
      <c r="AT56" s="442" t="str">
        <f>IFERROR(AVERAGEIFS(
'Schist Efficacy'!$O:$O, 
'Schist Efficacy'!$C:$C,$A56, 
'Schist Efficacy'!$D:$D, "Praziquantel",
'Schist Efficacy'!$J:$J,"&lt;2016",
'Schist Efficacy'!$U:$U,""),
"")</f>
        <v/>
      </c>
      <c r="AU56" s="118">
        <f t="shared" si="14"/>
        <v>0.7914761905</v>
      </c>
      <c r="AV56" s="131" t="str">
        <f>IFERROR(AVERAGEIFS(
'STH Efficacy'!$AX:$AX, 
'STH Efficacy'!$AL:$AL, $A56, 
'STH Efficacy'!$AM:$AM, "Albendazole",
'STH Efficacy'!$AS:$AS,"&lt;2016",
'STH Efficacy'!$BP:$BP,""),
"")</f>
        <v/>
      </c>
      <c r="AW56" s="132">
        <f t="shared" si="15"/>
        <v>0.3945</v>
      </c>
      <c r="AX56" s="131" t="str">
        <f>IFERROR(AVERAGEIFS(
'STH Efficacy'!$AX:$AX, 
'STH Efficacy'!$AL:$AL, $A56, 
'STH Efficacy'!$AM:$AM, "Mebendazole",
'STH Efficacy'!$AS:$AS,"&lt;2016",
'STH Efficacy'!$BP:$BP,""),
"")</f>
        <v/>
      </c>
      <c r="AY56" s="132">
        <f t="shared" si="16"/>
        <v>0.6</v>
      </c>
      <c r="AZ56" s="131" t="str">
        <f>IFERROR(AVERAGEIFS(
'STH Efficacy'!$AX:$AX, 
'STH Efficacy'!$AL:$AL, $A56, 
'STH Efficacy'!$AM:$AM, "Albendazole &amp; Ivermectin",
'STH Efficacy'!$AS:$AS,"&lt;2016",
'STH Efficacy'!$BP:$BP,""),
"")</f>
        <v/>
      </c>
      <c r="BA56" s="133">
        <f t="shared" si="17"/>
        <v>0.796</v>
      </c>
      <c r="BB56" s="443" t="str">
        <f>IFERROR(AVERAGEIFS(
'STH Efficacy'!$N:$N, 
'STH Efficacy'!$B:$B, $A56, 
'STH Efficacy'!$C:$C, "Albendazole",
'STH Efficacy'!$I:$I,"&lt;2016",
'STH Efficacy'!$AH:$AH,""),
"")</f>
        <v/>
      </c>
      <c r="BC56" s="135">
        <f t="shared" si="18"/>
        <v>0.869</v>
      </c>
      <c r="BD56" s="443" t="str">
        <f>IFERROR(AVERAGEIFS(
'STH Efficacy'!$N:$N, 
'STH Efficacy'!$B:$B, $A56, 
'STH Efficacy'!$C:$C, "Mebendazole",
'STH Efficacy'!$I:$I,"&lt;2016",
'STH Efficacy'!$AH:$AH,""),
"")</f>
        <v/>
      </c>
      <c r="BE56" s="135">
        <f t="shared" si="19"/>
        <v>0.172</v>
      </c>
      <c r="BF56" s="436" t="str">
        <f>IFERROR(AVERAGEIFS(
'STH Efficacy'!$CD:$CD, 
'STH Efficacy'!$BS:$BS, $A56, 
'STH Efficacy'!$BT:$BT, "Albendazole",
'STH Efficacy'!$BZ:$BZ,"&lt;2016",
'STH Efficacy'!$CU:$CU,""),
"")</f>
        <v/>
      </c>
      <c r="BG56" s="136">
        <f t="shared" si="20"/>
        <v>0.9862</v>
      </c>
      <c r="BH56" s="436">
        <f>IFERROR(AVERAGEIFS(
'STH Efficacy'!$CD:$CD, 
'STH Efficacy'!$BS:$BS, $A56, 
'STH Efficacy'!$BT:$BT, "Mebendazole",
'STH Efficacy'!$BZ:$BZ,"&lt;2016",
'STH Efficacy'!$CU:$CU,""),
"")</f>
        <v>0.769</v>
      </c>
      <c r="BI56" s="136">
        <f t="shared" si="21"/>
        <v>0.769</v>
      </c>
      <c r="BJ56" s="436" t="str">
        <f>IFERROR(AVERAGEIFS(
'STH Efficacy'!$CD:$CD, 
'STH Efficacy'!$BS:$BS, $A56, 
'STH Efficacy'!$BT:$BT, "Albendazole &amp; Ivermectin",
'STH Efficacy'!$BZ:$BZ,"&lt;2016",
'STH Efficacy'!$CU:$CU,""),
"")</f>
        <v/>
      </c>
      <c r="BK56" s="136">
        <f t="shared" si="22"/>
        <v>1</v>
      </c>
      <c r="BL56" s="444" t="str">
        <f>IFERROR(
  AVERAGEIFS(
    'NEW Onchocerciasis Efficacy'!$AO:$AO,
    'NEW Onchocerciasis Efficacy'!$C:$C,$A56,
    'NEW Onchocerciasis Efficacy'!$D:$D,"Ivermectin",
    'NEW Onchocerciasis Efficacy'!$AR:$AR,"&lt;2016",
    'NEW Onchocerciasis Efficacy'!$BG:$BG,"")
,"")</f>
        <v/>
      </c>
      <c r="BM56" s="304">
        <f t="shared" si="23"/>
        <v>0.3734</v>
      </c>
      <c r="BN56" s="439">
        <v>0.0</v>
      </c>
      <c r="BO56" s="139">
        <v>0.0</v>
      </c>
      <c r="BP56" s="140">
        <v>0.0</v>
      </c>
      <c r="BQ56" s="141">
        <f t="shared" si="24"/>
        <v>0</v>
      </c>
      <c r="BR56" s="104" t="str">
        <f t="shared" si="25"/>
        <v>0000</v>
      </c>
      <c r="BS56" s="104" t="str">
        <f t="shared" si="26"/>
        <v>no action required</v>
      </c>
      <c r="BT56" s="142" t="str">
        <f t="shared" si="27"/>
        <v/>
      </c>
      <c r="BU56" s="104" t="str">
        <f t="shared" si="28"/>
        <v/>
      </c>
      <c r="BV56" s="104" t="str">
        <f t="shared" si="29"/>
        <v>none</v>
      </c>
      <c r="BW56" s="150" t="str">
        <f t="shared" si="30"/>
        <v/>
      </c>
      <c r="BX56" s="150" t="str">
        <f t="shared" si="31"/>
        <v/>
      </c>
      <c r="BY56" s="151" t="str">
        <f t="shared" si="32"/>
        <v/>
      </c>
      <c r="BZ56" s="152" t="str">
        <f t="shared" si="33"/>
        <v/>
      </c>
      <c r="CA56" s="152" t="str">
        <f t="shared" si="34"/>
        <v/>
      </c>
      <c r="CB56" s="152" t="str">
        <f t="shared" si="35"/>
        <v/>
      </c>
      <c r="CC56" s="153" t="str">
        <f t="shared" si="36"/>
        <v/>
      </c>
      <c r="CD56" s="153" t="str">
        <f t="shared" si="37"/>
        <v/>
      </c>
      <c r="CE56" s="154" t="str">
        <f t="shared" si="38"/>
        <v/>
      </c>
      <c r="CF56" s="154" t="str">
        <f t="shared" si="39"/>
        <v/>
      </c>
      <c r="CG56" s="154" t="str">
        <f t="shared" si="40"/>
        <v/>
      </c>
      <c r="CH56" s="308" t="str">
        <f t="shared" si="41"/>
        <v/>
      </c>
    </row>
    <row r="57">
      <c r="A57" s="175" t="s">
        <v>146</v>
      </c>
      <c r="B57" s="104" t="s">
        <v>98</v>
      </c>
      <c r="C57" s="428">
        <v>157979.0</v>
      </c>
      <c r="D57" s="161">
        <v>0.0</v>
      </c>
      <c r="E57" s="294">
        <v>0.0</v>
      </c>
      <c r="F57" s="163"/>
      <c r="G57" s="325"/>
      <c r="H57" s="108">
        <v>0.0</v>
      </c>
      <c r="I57" s="109">
        <v>0.0</v>
      </c>
      <c r="J57" s="109">
        <v>0.0</v>
      </c>
      <c r="K57" s="109">
        <v>0.0</v>
      </c>
      <c r="L57" s="113"/>
      <c r="M57" s="113"/>
      <c r="N57" s="112">
        <v>0.0</v>
      </c>
      <c r="O57" s="298">
        <v>0.0</v>
      </c>
      <c r="P57" s="114"/>
      <c r="Q57" s="114"/>
      <c r="R57" s="121" t="str">
        <f t="shared" si="4"/>
        <v/>
      </c>
      <c r="S57" s="116">
        <f t="shared" si="5"/>
        <v>0.3565746084</v>
      </c>
      <c r="T57" s="117"/>
      <c r="U57" s="118">
        <f t="shared" si="6"/>
        <v>0.4791888889</v>
      </c>
      <c r="V57" s="148"/>
      <c r="W57" s="120">
        <f t="shared" si="7"/>
        <v>0.685</v>
      </c>
      <c r="X57" s="148"/>
      <c r="Y57" s="120">
        <f t="shared" si="8"/>
        <v>0.7550545455</v>
      </c>
      <c r="Z57" s="299"/>
      <c r="AA57" s="441"/>
      <c r="AB57" s="300" t="str">
        <f t="shared" si="9"/>
        <v/>
      </c>
      <c r="AC57" s="300">
        <f t="shared" si="10"/>
        <v>0.7101368438</v>
      </c>
      <c r="AD57" s="314">
        <v>0.0</v>
      </c>
      <c r="AE57" s="315">
        <v>0.0</v>
      </c>
      <c r="AF57" s="445">
        <v>0.0</v>
      </c>
      <c r="AG57" s="316">
        <v>0.0</v>
      </c>
      <c r="AH57" s="307">
        <v>0.0</v>
      </c>
      <c r="AI57" s="317">
        <v>0.0</v>
      </c>
      <c r="AJ57" s="318">
        <v>0.0</v>
      </c>
      <c r="AK57" s="319">
        <v>0.0</v>
      </c>
      <c r="AL57" s="446">
        <v>0.0</v>
      </c>
      <c r="AM57" s="320">
        <v>0.0</v>
      </c>
      <c r="AN57" s="149" t="str">
        <f>IFERROR(
  AVERAGEIFS(
    'New LF Efficacy'!$J:$J,
    'New LF Efficacy'!$D:$D, $A57,
    'New LF Efficacy'!$F:$F,"DEC", 
    'New LF Efficacy'!$W:$W,"&lt;2016",
    'New LF Efficacy'!$AA:$AA,""),
  ""
)</f>
        <v/>
      </c>
      <c r="AO57" s="115">
        <f t="shared" si="11"/>
        <v>0.2589833333</v>
      </c>
      <c r="AP57" s="149" t="str">
        <f>IFERROR(
AVERAGEIFS(
'New LF Efficacy'!$J:$J,
'New LF Efficacy'!$D:$D,$A57,
'New LF Efficacy'!$F:$F,"Albendazole &amp; DEC",
'New LF Efficacy'!$W:$W,"&lt;2016",
'New LF Efficacy'!$AA:$AA,""),
"")
</f>
        <v/>
      </c>
      <c r="AQ57" s="115">
        <f t="shared" si="12"/>
        <v>0.3465</v>
      </c>
      <c r="AR57" s="149" t="str">
        <f>IFERROR(
AVERAGEIFS(
'New LF Efficacy'!$J:$J,
'New LF Efficacy'!$D:$D,$A57,
'New LF Efficacy'!$F:$F,"Albendazole &amp; Ivermectin", 
'New LF Efficacy'!$W:$W,"&lt;2016",
'New LF Efficacy'!$AA:$AA,""),"")</f>
        <v/>
      </c>
      <c r="AS57" s="115">
        <f t="shared" si="13"/>
        <v>0.7575</v>
      </c>
      <c r="AT57" s="442" t="str">
        <f>IFERROR(AVERAGEIFS(
'Schist Efficacy'!$O:$O, 
'Schist Efficacy'!$C:$C,$A57, 
'Schist Efficacy'!$D:$D, "Praziquantel",
'Schist Efficacy'!$J:$J,"&lt;2016",
'Schist Efficacy'!$U:$U,""),
"")</f>
        <v/>
      </c>
      <c r="AU57" s="118">
        <f t="shared" si="14"/>
        <v>0.7914761905</v>
      </c>
      <c r="AV57" s="131" t="str">
        <f>IFERROR(AVERAGEIFS(
'STH Efficacy'!$AX:$AX, 
'STH Efficacy'!$AL:$AL, $A57, 
'STH Efficacy'!$AM:$AM, "Albendazole",
'STH Efficacy'!$AS:$AS,"&lt;2016",
'STH Efficacy'!$BP:$BP,""),
"")</f>
        <v/>
      </c>
      <c r="AW57" s="132">
        <f t="shared" si="15"/>
        <v>0.3945</v>
      </c>
      <c r="AX57" s="131" t="str">
        <f>IFERROR(AVERAGEIFS(
'STH Efficacy'!$AX:$AX, 
'STH Efficacy'!$AL:$AL, $A57, 
'STH Efficacy'!$AM:$AM, "Mebendazole",
'STH Efficacy'!$AS:$AS,"&lt;2016",
'STH Efficacy'!$BP:$BP,""),
"")</f>
        <v/>
      </c>
      <c r="AY57" s="132">
        <f t="shared" si="16"/>
        <v>0.6</v>
      </c>
      <c r="AZ57" s="131" t="str">
        <f>IFERROR(AVERAGEIFS(
'STH Efficacy'!$AX:$AX, 
'STH Efficacy'!$AL:$AL, $A57, 
'STH Efficacy'!$AM:$AM, "Albendazole &amp; Ivermectin",
'STH Efficacy'!$AS:$AS,"&lt;2016",
'STH Efficacy'!$BP:$BP,""),
"")</f>
        <v/>
      </c>
      <c r="BA57" s="133">
        <f t="shared" si="17"/>
        <v>0.796</v>
      </c>
      <c r="BB57" s="443" t="str">
        <f>IFERROR(AVERAGEIFS(
'STH Efficacy'!$N:$N, 
'STH Efficacy'!$B:$B, $A57, 
'STH Efficacy'!$C:$C, "Albendazole",
'STH Efficacy'!$I:$I,"&lt;2016",
'STH Efficacy'!$AH:$AH,""),
"")</f>
        <v/>
      </c>
      <c r="BC57" s="135">
        <f t="shared" si="18"/>
        <v>0.869</v>
      </c>
      <c r="BD57" s="443" t="str">
        <f>IFERROR(AVERAGEIFS(
'STH Efficacy'!$N:$N, 
'STH Efficacy'!$B:$B, $A57, 
'STH Efficacy'!$C:$C, "Mebendazole",
'STH Efficacy'!$I:$I,"&lt;2016",
'STH Efficacy'!$AH:$AH,""),
"")</f>
        <v/>
      </c>
      <c r="BE57" s="135">
        <f t="shared" si="19"/>
        <v>0.172</v>
      </c>
      <c r="BF57" s="436" t="str">
        <f>IFERROR(AVERAGEIFS(
'STH Efficacy'!$CD:$CD, 
'STH Efficacy'!$BS:$BS, $A57, 
'STH Efficacy'!$BT:$BT, "Albendazole",
'STH Efficacy'!$BZ:$BZ,"&lt;2016",
'STH Efficacy'!$CU:$CU,""),
"")</f>
        <v/>
      </c>
      <c r="BG57" s="136">
        <f t="shared" si="20"/>
        <v>0.9862</v>
      </c>
      <c r="BH57" s="436" t="str">
        <f>IFERROR(AVERAGEIFS(
'STH Efficacy'!$CD:$CD, 
'STH Efficacy'!$BS:$BS, $A57, 
'STH Efficacy'!$BT:$BT, "Mebendazole",
'STH Efficacy'!$BZ:$BZ,"&lt;2016",
'STH Efficacy'!$CU:$CU,""),
"")</f>
        <v/>
      </c>
      <c r="BI57" s="136">
        <f t="shared" si="21"/>
        <v>0.769</v>
      </c>
      <c r="BJ57" s="436" t="str">
        <f>IFERROR(AVERAGEIFS(
'STH Efficacy'!$CD:$CD, 
'STH Efficacy'!$BS:$BS, $A57, 
'STH Efficacy'!$BT:$BT, "Albendazole &amp; Ivermectin",
'STH Efficacy'!$BZ:$BZ,"&lt;2016",
'STH Efficacy'!$CU:$CU,""),
"")</f>
        <v/>
      </c>
      <c r="BK57" s="136">
        <f t="shared" si="22"/>
        <v>1</v>
      </c>
      <c r="BL57" s="444" t="str">
        <f>IFERROR(
  AVERAGEIFS(
    'NEW Onchocerciasis Efficacy'!$AO:$AO,
    'NEW Onchocerciasis Efficacy'!$C:$C,$A57,
    'NEW Onchocerciasis Efficacy'!$D:$D,"Ivermectin",
    'NEW Onchocerciasis Efficacy'!$AR:$AR,"&lt;2016",
    'NEW Onchocerciasis Efficacy'!$BG:$BG,"")
,"")</f>
        <v/>
      </c>
      <c r="BM57" s="304">
        <f t="shared" si="23"/>
        <v>0.3734</v>
      </c>
      <c r="BN57" s="439">
        <v>0.0</v>
      </c>
      <c r="BO57" s="139">
        <v>0.0</v>
      </c>
      <c r="BP57" s="140">
        <v>0.0</v>
      </c>
      <c r="BQ57" s="141">
        <f t="shared" si="24"/>
        <v>0</v>
      </c>
      <c r="BR57" s="104" t="str">
        <f t="shared" si="25"/>
        <v>0000</v>
      </c>
      <c r="BS57" s="104" t="str">
        <f t="shared" si="26"/>
        <v>no action required</v>
      </c>
      <c r="BT57" s="142" t="str">
        <f t="shared" si="27"/>
        <v/>
      </c>
      <c r="BU57" s="104" t="str">
        <f t="shared" si="28"/>
        <v/>
      </c>
      <c r="BV57" s="104" t="str">
        <f t="shared" si="29"/>
        <v>none</v>
      </c>
      <c r="BW57" s="150" t="str">
        <f t="shared" si="30"/>
        <v/>
      </c>
      <c r="BX57" s="150" t="str">
        <f t="shared" si="31"/>
        <v/>
      </c>
      <c r="BY57" s="151" t="str">
        <f t="shared" si="32"/>
        <v/>
      </c>
      <c r="BZ57" s="152" t="str">
        <f t="shared" si="33"/>
        <v/>
      </c>
      <c r="CA57" s="152" t="str">
        <f t="shared" si="34"/>
        <v/>
      </c>
      <c r="CB57" s="152" t="str">
        <f t="shared" si="35"/>
        <v/>
      </c>
      <c r="CC57" s="153" t="str">
        <f t="shared" si="36"/>
        <v/>
      </c>
      <c r="CD57" s="153" t="str">
        <f t="shared" si="37"/>
        <v/>
      </c>
      <c r="CE57" s="154" t="str">
        <f t="shared" si="38"/>
        <v/>
      </c>
      <c r="CF57" s="154" t="str">
        <f t="shared" si="39"/>
        <v/>
      </c>
      <c r="CG57" s="154" t="str">
        <f t="shared" si="40"/>
        <v/>
      </c>
      <c r="CH57" s="308" t="str">
        <f t="shared" si="41"/>
        <v/>
      </c>
    </row>
    <row r="58">
      <c r="A58" s="103" t="s">
        <v>147</v>
      </c>
      <c r="B58" s="104" t="s">
        <v>90</v>
      </c>
      <c r="C58" s="428">
        <v>1160985.0</v>
      </c>
      <c r="D58" s="161">
        <v>0.0</v>
      </c>
      <c r="E58" s="294">
        <v>0.0</v>
      </c>
      <c r="F58" s="307">
        <v>0.0</v>
      </c>
      <c r="G58" s="309">
        <v>0.0</v>
      </c>
      <c r="H58" s="108">
        <v>0.0</v>
      </c>
      <c r="I58" s="109">
        <v>0.0</v>
      </c>
      <c r="J58" s="109">
        <v>0.0</v>
      </c>
      <c r="K58" s="109">
        <v>0.0</v>
      </c>
      <c r="L58" s="112">
        <v>0.0</v>
      </c>
      <c r="M58" s="112">
        <v>0.0</v>
      </c>
      <c r="N58" s="112">
        <v>0.0</v>
      </c>
      <c r="O58" s="298">
        <v>0.0</v>
      </c>
      <c r="P58" s="114"/>
      <c r="Q58" s="114"/>
      <c r="R58" s="121" t="str">
        <f t="shared" si="4"/>
        <v/>
      </c>
      <c r="S58" s="116">
        <f t="shared" si="5"/>
        <v>0.5709301448</v>
      </c>
      <c r="T58" s="117"/>
      <c r="U58" s="118">
        <f t="shared" si="6"/>
        <v>0.4791888889</v>
      </c>
      <c r="V58" s="148"/>
      <c r="W58" s="120">
        <f t="shared" si="7"/>
        <v>0.0223</v>
      </c>
      <c r="X58" s="148"/>
      <c r="Y58" s="120">
        <f t="shared" si="8"/>
        <v>0.598275</v>
      </c>
      <c r="Z58" s="299"/>
      <c r="AA58" s="441"/>
      <c r="AB58" s="300" t="str">
        <f t="shared" si="9"/>
        <v/>
      </c>
      <c r="AC58" s="300">
        <f t="shared" si="10"/>
        <v>0.6890056172</v>
      </c>
      <c r="AD58" s="122">
        <v>0.0</v>
      </c>
      <c r="AE58" s="123">
        <v>0.0</v>
      </c>
      <c r="AF58" s="430">
        <v>0.0</v>
      </c>
      <c r="AG58" s="124">
        <v>0.0</v>
      </c>
      <c r="AH58" s="124">
        <v>0.0</v>
      </c>
      <c r="AI58" s="125">
        <v>0.0</v>
      </c>
      <c r="AJ58" s="125">
        <v>0.0</v>
      </c>
      <c r="AK58" s="127">
        <v>0.0</v>
      </c>
      <c r="AL58" s="127">
        <v>0.0</v>
      </c>
      <c r="AM58" s="302">
        <v>0.0</v>
      </c>
      <c r="AN58" s="149" t="str">
        <f>IFERROR(
  AVERAGEIFS(
    'New LF Efficacy'!$J:$J,
    'New LF Efficacy'!$D:$D, $A58,
    'New LF Efficacy'!$F:$F,"DEC", 
    'New LF Efficacy'!$W:$W,"&lt;2016",
    'New LF Efficacy'!$AA:$AA,""),
  ""
)</f>
        <v/>
      </c>
      <c r="AO58" s="115">
        <f t="shared" si="11"/>
        <v>0.3573520833</v>
      </c>
      <c r="AP58" s="149" t="str">
        <f>IFERROR(
AVERAGEIFS(
'New LF Efficacy'!$J:$J,
'New LF Efficacy'!$D:$D,$A58,
'New LF Efficacy'!$F:$F,"Albendazole &amp; DEC",
'New LF Efficacy'!$W:$W,"&lt;2016",
'New LF Efficacy'!$AA:$AA,""),
"")
</f>
        <v/>
      </c>
      <c r="AQ58" s="115">
        <f t="shared" si="12"/>
        <v>0.5143541667</v>
      </c>
      <c r="AR58" s="149" t="str">
        <f>IFERROR(
AVERAGEIFS(
'New LF Efficacy'!$J:$J,
'New LF Efficacy'!$D:$D,$A58,
'New LF Efficacy'!$F:$F,"Albendazole &amp; Ivermectin", 
'New LF Efficacy'!$W:$W,"&lt;2016",
'New LF Efficacy'!$AA:$AA,""),"")</f>
        <v/>
      </c>
      <c r="AS58" s="115">
        <f t="shared" si="13"/>
        <v>0.37153125</v>
      </c>
      <c r="AT58" s="442" t="str">
        <f>IFERROR(AVERAGEIFS(
'Schist Efficacy'!$O:$O, 
'Schist Efficacy'!$C:$C,$A58, 
'Schist Efficacy'!$D:$D, "Praziquantel",
'Schist Efficacy'!$J:$J,"&lt;2016",
'Schist Efficacy'!$U:$U,""),
"")</f>
        <v/>
      </c>
      <c r="AU58" s="118">
        <f t="shared" si="14"/>
        <v>0.655</v>
      </c>
      <c r="AV58" s="131" t="str">
        <f>IFERROR(AVERAGEIFS(
'STH Efficacy'!$AX:$AX, 
'STH Efficacy'!$AL:$AL, $A58, 
'STH Efficacy'!$AM:$AM, "Albendazole",
'STH Efficacy'!$AS:$AS,"&lt;2016",
'STH Efficacy'!$BP:$BP,""),
"")</f>
        <v/>
      </c>
      <c r="AW58" s="132">
        <f t="shared" si="15"/>
        <v>0.4143846154</v>
      </c>
      <c r="AX58" s="131" t="str">
        <f>IFERROR(AVERAGEIFS(
'STH Efficacy'!$AX:$AX, 
'STH Efficacy'!$AL:$AL, $A58, 
'STH Efficacy'!$AM:$AM, "Mebendazole",
'STH Efficacy'!$AS:$AS,"&lt;2016",
'STH Efficacy'!$BP:$BP,""),
"")</f>
        <v/>
      </c>
      <c r="AY58" s="132">
        <f t="shared" si="16"/>
        <v>0.4691770833</v>
      </c>
      <c r="AZ58" s="131" t="str">
        <f>IFERROR(AVERAGEIFS(
'STH Efficacy'!$AX:$AX, 
'STH Efficacy'!$AL:$AL, $A58, 
'STH Efficacy'!$AM:$AM, "Albendazole &amp; Ivermectin",
'STH Efficacy'!$AS:$AS,"&lt;2016",
'STH Efficacy'!$BP:$BP,""),
"")</f>
        <v/>
      </c>
      <c r="BA58" s="133">
        <f t="shared" si="17"/>
        <v>0.597625</v>
      </c>
      <c r="BB58" s="443" t="str">
        <f>IFERROR(AVERAGEIFS(
'STH Efficacy'!$N:$N, 
'STH Efficacy'!$B:$B, $A58, 
'STH Efficacy'!$C:$C, "Albendazole",
'STH Efficacy'!$I:$I,"&lt;2016",
'STH Efficacy'!$AH:$AH,""),
"")</f>
        <v/>
      </c>
      <c r="BC58" s="135">
        <f t="shared" si="18"/>
        <v>0.7613712121</v>
      </c>
      <c r="BD58" s="443" t="str">
        <f>IFERROR(AVERAGEIFS(
'STH Efficacy'!$N:$N, 
'STH Efficacy'!$B:$B, $A58, 
'STH Efficacy'!$C:$C, "Mebendazole",
'STH Efficacy'!$I:$I,"&lt;2016",
'STH Efficacy'!$AH:$AH,""),
"")</f>
        <v/>
      </c>
      <c r="BE58" s="135">
        <f t="shared" si="19"/>
        <v>0.4362466667</v>
      </c>
      <c r="BF58" s="436" t="str">
        <f>IFERROR(AVERAGEIFS(
'STH Efficacy'!$CD:$CD, 
'STH Efficacy'!$BS:$BS, $A58, 
'STH Efficacy'!$BT:$BT, "Albendazole",
'STH Efficacy'!$BZ:$BZ,"&lt;2016",
'STH Efficacy'!$CU:$CU,""),
"")</f>
        <v/>
      </c>
      <c r="BG58" s="136">
        <f t="shared" si="20"/>
        <v>0.9216027778</v>
      </c>
      <c r="BH58" s="436" t="str">
        <f>IFERROR(AVERAGEIFS(
'STH Efficacy'!$CD:$CD, 
'STH Efficacy'!$BS:$BS, $A58, 
'STH Efficacy'!$BT:$BT, "Mebendazole",
'STH Efficacy'!$BZ:$BZ,"&lt;2016",
'STH Efficacy'!$CU:$CU,""),
"")</f>
        <v/>
      </c>
      <c r="BI58" s="136">
        <f t="shared" si="21"/>
        <v>0.8866041667</v>
      </c>
      <c r="BJ58" s="436" t="str">
        <f>IFERROR(AVERAGEIFS(
'STH Efficacy'!$CD:$CD, 
'STH Efficacy'!$BS:$BS, $A58, 
'STH Efficacy'!$BT:$BT, "Albendazole &amp; Ivermectin",
'STH Efficacy'!$BZ:$BZ,"&lt;2016",
'STH Efficacy'!$CU:$CU,""),
"")</f>
        <v/>
      </c>
      <c r="BK58" s="136">
        <f t="shared" si="22"/>
        <v>0.848</v>
      </c>
      <c r="BL58" s="444" t="str">
        <f>IFERROR(
  AVERAGEIFS(
    'NEW Onchocerciasis Efficacy'!$AO:$AO,
    'NEW Onchocerciasis Efficacy'!$C:$C,$A58,
    'NEW Onchocerciasis Efficacy'!$D:$D,"Ivermectin",
    'NEW Onchocerciasis Efficacy'!$AR:$AR,"&lt;2016",
    'NEW Onchocerciasis Efficacy'!$BG:$BG,"")
,"")</f>
        <v/>
      </c>
      <c r="BM58" s="304">
        <f t="shared" si="23"/>
        <v>0.7808368939</v>
      </c>
      <c r="BN58" s="439">
        <v>0.0</v>
      </c>
      <c r="BO58" s="139">
        <v>0.0</v>
      </c>
      <c r="BP58" s="140">
        <v>0.0</v>
      </c>
      <c r="BQ58" s="141">
        <f t="shared" si="24"/>
        <v>0</v>
      </c>
      <c r="BR58" s="104" t="str">
        <f t="shared" si="25"/>
        <v>0000</v>
      </c>
      <c r="BS58" s="104" t="str">
        <f t="shared" si="26"/>
        <v>no action required</v>
      </c>
      <c r="BT58" s="142" t="str">
        <f t="shared" si="27"/>
        <v/>
      </c>
      <c r="BU58" s="104" t="str">
        <f t="shared" si="28"/>
        <v/>
      </c>
      <c r="BV58" s="104" t="str">
        <f t="shared" si="29"/>
        <v>none</v>
      </c>
      <c r="BW58" s="150" t="str">
        <f t="shared" si="30"/>
        <v/>
      </c>
      <c r="BX58" s="150" t="str">
        <f t="shared" si="31"/>
        <v/>
      </c>
      <c r="BY58" s="151" t="str">
        <f t="shared" si="32"/>
        <v/>
      </c>
      <c r="BZ58" s="152" t="str">
        <f t="shared" si="33"/>
        <v/>
      </c>
      <c r="CA58" s="152" t="str">
        <f t="shared" si="34"/>
        <v/>
      </c>
      <c r="CB58" s="152" t="str">
        <f t="shared" si="35"/>
        <v/>
      </c>
      <c r="CC58" s="153" t="str">
        <f t="shared" si="36"/>
        <v/>
      </c>
      <c r="CD58" s="153" t="str">
        <f t="shared" si="37"/>
        <v/>
      </c>
      <c r="CE58" s="154" t="str">
        <f t="shared" si="38"/>
        <v/>
      </c>
      <c r="CF58" s="154" t="str">
        <f t="shared" si="39"/>
        <v/>
      </c>
      <c r="CG58" s="154" t="str">
        <f t="shared" si="40"/>
        <v/>
      </c>
      <c r="CH58" s="308" t="str">
        <f t="shared" si="41"/>
        <v/>
      </c>
    </row>
    <row r="59">
      <c r="A59" s="103" t="s">
        <v>148</v>
      </c>
      <c r="B59" s="104" t="s">
        <v>90</v>
      </c>
      <c r="C59" s="428">
        <v>1.0546059E7</v>
      </c>
      <c r="D59" s="161">
        <v>0.0</v>
      </c>
      <c r="E59" s="294">
        <v>0.0</v>
      </c>
      <c r="F59" s="307">
        <v>0.0</v>
      </c>
      <c r="G59" s="309">
        <v>0.0</v>
      </c>
      <c r="H59" s="108">
        <v>0.0</v>
      </c>
      <c r="I59" s="109">
        <v>0.0</v>
      </c>
      <c r="J59" s="109">
        <v>0.0</v>
      </c>
      <c r="K59" s="109">
        <v>0.0</v>
      </c>
      <c r="L59" s="112">
        <v>0.0</v>
      </c>
      <c r="M59" s="112">
        <v>0.0</v>
      </c>
      <c r="N59" s="112">
        <v>0.0</v>
      </c>
      <c r="O59" s="298">
        <v>0.0</v>
      </c>
      <c r="P59" s="114"/>
      <c r="Q59" s="114"/>
      <c r="R59" s="121" t="str">
        <f t="shared" si="4"/>
        <v/>
      </c>
      <c r="S59" s="116">
        <f t="shared" si="5"/>
        <v>0.5709301448</v>
      </c>
      <c r="T59" s="117"/>
      <c r="U59" s="118">
        <f t="shared" si="6"/>
        <v>0.4791888889</v>
      </c>
      <c r="V59" s="148"/>
      <c r="W59" s="120">
        <f t="shared" si="7"/>
        <v>0.0223</v>
      </c>
      <c r="X59" s="148"/>
      <c r="Y59" s="120">
        <f t="shared" si="8"/>
        <v>0.598275</v>
      </c>
      <c r="Z59" s="299"/>
      <c r="AA59" s="441"/>
      <c r="AB59" s="300" t="str">
        <f t="shared" si="9"/>
        <v/>
      </c>
      <c r="AC59" s="300">
        <f t="shared" si="10"/>
        <v>0.6890056172</v>
      </c>
      <c r="AD59" s="122">
        <v>0.0</v>
      </c>
      <c r="AE59" s="123">
        <v>0.0</v>
      </c>
      <c r="AF59" s="430">
        <v>0.0</v>
      </c>
      <c r="AG59" s="124">
        <v>0.0</v>
      </c>
      <c r="AH59" s="124">
        <v>0.0</v>
      </c>
      <c r="AI59" s="125">
        <v>0.0</v>
      </c>
      <c r="AJ59" s="125">
        <v>0.0</v>
      </c>
      <c r="AK59" s="127">
        <v>0.0</v>
      </c>
      <c r="AL59" s="127">
        <v>0.0</v>
      </c>
      <c r="AM59" s="302">
        <v>0.0</v>
      </c>
      <c r="AN59" s="149" t="str">
        <f>IFERROR(
  AVERAGEIFS(
    'New LF Efficacy'!$J:$J,
    'New LF Efficacy'!$D:$D, $A59,
    'New LF Efficacy'!$F:$F,"DEC", 
    'New LF Efficacy'!$W:$W,"&lt;2016",
    'New LF Efficacy'!$AA:$AA,""),
  ""
)</f>
        <v/>
      </c>
      <c r="AO59" s="115">
        <f t="shared" si="11"/>
        <v>0.3573520833</v>
      </c>
      <c r="AP59" s="149" t="str">
        <f>IFERROR(
AVERAGEIFS(
'New LF Efficacy'!$J:$J,
'New LF Efficacy'!$D:$D,$A59,
'New LF Efficacy'!$F:$F,"Albendazole &amp; DEC",
'New LF Efficacy'!$W:$W,"&lt;2016",
'New LF Efficacy'!$AA:$AA,""),
"")
</f>
        <v/>
      </c>
      <c r="AQ59" s="115">
        <f t="shared" si="12"/>
        <v>0.5143541667</v>
      </c>
      <c r="AR59" s="149" t="str">
        <f>IFERROR(
AVERAGEIFS(
'New LF Efficacy'!$J:$J,
'New LF Efficacy'!$D:$D,$A59,
'New LF Efficacy'!$F:$F,"Albendazole &amp; Ivermectin", 
'New LF Efficacy'!$W:$W,"&lt;2016",
'New LF Efficacy'!$AA:$AA,""),"")</f>
        <v/>
      </c>
      <c r="AS59" s="115">
        <f t="shared" si="13"/>
        <v>0.37153125</v>
      </c>
      <c r="AT59" s="442">
        <f>IFERROR(AVERAGEIFS(
'Schist Efficacy'!$O:$O, 
'Schist Efficacy'!$C:$C,$A59, 
'Schist Efficacy'!$D:$D, "Praziquantel",
'Schist Efficacy'!$J:$J,"&lt;2016",
'Schist Efficacy'!$U:$U,""),
"")</f>
        <v>0.655</v>
      </c>
      <c r="AU59" s="118">
        <f t="shared" si="14"/>
        <v>0.655</v>
      </c>
      <c r="AV59" s="131" t="str">
        <f>IFERROR(AVERAGEIFS(
'STH Efficacy'!$AX:$AX, 
'STH Efficacy'!$AL:$AL, $A59, 
'STH Efficacy'!$AM:$AM, "Albendazole",
'STH Efficacy'!$AS:$AS,"&lt;2016",
'STH Efficacy'!$BP:$BP,""),
"")</f>
        <v/>
      </c>
      <c r="AW59" s="132">
        <f t="shared" si="15"/>
        <v>0.4143846154</v>
      </c>
      <c r="AX59" s="131" t="str">
        <f>IFERROR(AVERAGEIFS(
'STH Efficacy'!$AX:$AX, 
'STH Efficacy'!$AL:$AL, $A59, 
'STH Efficacy'!$AM:$AM, "Mebendazole",
'STH Efficacy'!$AS:$AS,"&lt;2016",
'STH Efficacy'!$BP:$BP,""),
"")</f>
        <v/>
      </c>
      <c r="AY59" s="132">
        <f t="shared" si="16"/>
        <v>0.4691770833</v>
      </c>
      <c r="AZ59" s="131" t="str">
        <f>IFERROR(AVERAGEIFS(
'STH Efficacy'!$AX:$AX, 
'STH Efficacy'!$AL:$AL, $A59, 
'STH Efficacy'!$AM:$AM, "Albendazole &amp; Ivermectin",
'STH Efficacy'!$AS:$AS,"&lt;2016",
'STH Efficacy'!$BP:$BP,""),
"")</f>
        <v/>
      </c>
      <c r="BA59" s="133">
        <f t="shared" si="17"/>
        <v>0.597625</v>
      </c>
      <c r="BB59" s="443" t="str">
        <f>IFERROR(AVERAGEIFS(
'STH Efficacy'!$N:$N, 
'STH Efficacy'!$B:$B, $A59, 
'STH Efficacy'!$C:$C, "Albendazole",
'STH Efficacy'!$I:$I,"&lt;2016",
'STH Efficacy'!$AH:$AH,""),
"")</f>
        <v/>
      </c>
      <c r="BC59" s="135">
        <f t="shared" si="18"/>
        <v>0.7613712121</v>
      </c>
      <c r="BD59" s="443" t="str">
        <f>IFERROR(AVERAGEIFS(
'STH Efficacy'!$N:$N, 
'STH Efficacy'!$B:$B, $A59, 
'STH Efficacy'!$C:$C, "Mebendazole",
'STH Efficacy'!$I:$I,"&lt;2016",
'STH Efficacy'!$AH:$AH,""),
"")</f>
        <v/>
      </c>
      <c r="BE59" s="135">
        <f t="shared" si="19"/>
        <v>0.4362466667</v>
      </c>
      <c r="BF59" s="436" t="str">
        <f>IFERROR(AVERAGEIFS(
'STH Efficacy'!$CD:$CD, 
'STH Efficacy'!$BS:$BS, $A59, 
'STH Efficacy'!$BT:$BT, "Albendazole",
'STH Efficacy'!$BZ:$BZ,"&lt;2016",
'STH Efficacy'!$CU:$CU,""),
"")</f>
        <v/>
      </c>
      <c r="BG59" s="136">
        <f t="shared" si="20"/>
        <v>0.9216027778</v>
      </c>
      <c r="BH59" s="436" t="str">
        <f>IFERROR(AVERAGEIFS(
'STH Efficacy'!$CD:$CD, 
'STH Efficacy'!$BS:$BS, $A59, 
'STH Efficacy'!$BT:$BT, "Mebendazole",
'STH Efficacy'!$BZ:$BZ,"&lt;2016",
'STH Efficacy'!$CU:$CU,""),
"")</f>
        <v/>
      </c>
      <c r="BI59" s="136">
        <f t="shared" si="21"/>
        <v>0.8866041667</v>
      </c>
      <c r="BJ59" s="436" t="str">
        <f>IFERROR(AVERAGEIFS(
'STH Efficacy'!$CD:$CD, 
'STH Efficacy'!$BS:$BS, $A59, 
'STH Efficacy'!$BT:$BT, "Albendazole &amp; Ivermectin",
'STH Efficacy'!$BZ:$BZ,"&lt;2016",
'STH Efficacy'!$CU:$CU,""),
"")</f>
        <v/>
      </c>
      <c r="BK59" s="136">
        <f t="shared" si="22"/>
        <v>0.848</v>
      </c>
      <c r="BL59" s="444" t="str">
        <f>IFERROR(
  AVERAGEIFS(
    'NEW Onchocerciasis Efficacy'!$AO:$AO,
    'NEW Onchocerciasis Efficacy'!$C:$C,$A59,
    'NEW Onchocerciasis Efficacy'!$D:$D,"Ivermectin",
    'NEW Onchocerciasis Efficacy'!$AR:$AR,"&lt;2016",
    'NEW Onchocerciasis Efficacy'!$BG:$BG,"")
,"")</f>
        <v/>
      </c>
      <c r="BM59" s="304">
        <f t="shared" si="23"/>
        <v>0.7808368939</v>
      </c>
      <c r="BN59" s="439">
        <v>0.0</v>
      </c>
      <c r="BO59" s="139">
        <v>0.0</v>
      </c>
      <c r="BP59" s="140">
        <v>0.0</v>
      </c>
      <c r="BQ59" s="141">
        <f t="shared" si="24"/>
        <v>0</v>
      </c>
      <c r="BR59" s="104" t="str">
        <f t="shared" si="25"/>
        <v>0000</v>
      </c>
      <c r="BS59" s="104" t="str">
        <f t="shared" si="26"/>
        <v>no action required</v>
      </c>
      <c r="BT59" s="142" t="str">
        <f t="shared" si="27"/>
        <v/>
      </c>
      <c r="BU59" s="104" t="str">
        <f t="shared" si="28"/>
        <v/>
      </c>
      <c r="BV59" s="104" t="str">
        <f t="shared" si="29"/>
        <v>none</v>
      </c>
      <c r="BW59" s="150" t="str">
        <f t="shared" si="30"/>
        <v/>
      </c>
      <c r="BX59" s="150" t="str">
        <f t="shared" si="31"/>
        <v/>
      </c>
      <c r="BY59" s="151" t="str">
        <f t="shared" si="32"/>
        <v/>
      </c>
      <c r="BZ59" s="152" t="str">
        <f t="shared" si="33"/>
        <v/>
      </c>
      <c r="CA59" s="152" t="str">
        <f t="shared" si="34"/>
        <v/>
      </c>
      <c r="CB59" s="152" t="str">
        <f t="shared" si="35"/>
        <v/>
      </c>
      <c r="CC59" s="153" t="str">
        <f t="shared" si="36"/>
        <v/>
      </c>
      <c r="CD59" s="153" t="str">
        <f t="shared" si="37"/>
        <v/>
      </c>
      <c r="CE59" s="154" t="str">
        <f t="shared" si="38"/>
        <v/>
      </c>
      <c r="CF59" s="154" t="str">
        <f t="shared" si="39"/>
        <v/>
      </c>
      <c r="CG59" s="154" t="str">
        <f t="shared" si="40"/>
        <v/>
      </c>
      <c r="CH59" s="308" t="str">
        <f t="shared" si="41"/>
        <v/>
      </c>
    </row>
    <row r="60">
      <c r="A60" s="103" t="s">
        <v>149</v>
      </c>
      <c r="B60" s="104" t="s">
        <v>109</v>
      </c>
      <c r="C60" s="428">
        <v>2.5243917E7</v>
      </c>
      <c r="D60" s="161">
        <v>0.0</v>
      </c>
      <c r="E60" s="294">
        <v>0.0</v>
      </c>
      <c r="F60" s="163"/>
      <c r="G60" s="325"/>
      <c r="H60" s="108">
        <v>2.1494E-4</v>
      </c>
      <c r="I60" s="109">
        <v>0.0</v>
      </c>
      <c r="J60" s="109">
        <v>0.0</v>
      </c>
      <c r="K60" s="109">
        <v>0.312704401</v>
      </c>
      <c r="L60" s="112">
        <v>300.3162867</v>
      </c>
      <c r="M60" s="112">
        <v>298.8299239</v>
      </c>
      <c r="N60" s="112">
        <v>599.1462106</v>
      </c>
      <c r="O60" s="298">
        <v>0.0</v>
      </c>
      <c r="P60" s="114"/>
      <c r="Q60" s="114"/>
      <c r="R60" s="121" t="str">
        <f t="shared" si="4"/>
        <v/>
      </c>
      <c r="S60" s="116">
        <f t="shared" si="5"/>
        <v>0.7101615512</v>
      </c>
      <c r="T60" s="117"/>
      <c r="U60" s="118">
        <f t="shared" si="6"/>
        <v>0.2582</v>
      </c>
      <c r="V60" s="119">
        <v>0.9906</v>
      </c>
      <c r="W60" s="120">
        <f t="shared" si="7"/>
        <v>0.9906</v>
      </c>
      <c r="X60" s="119">
        <v>0.9869</v>
      </c>
      <c r="Y60" s="120">
        <f t="shared" si="8"/>
        <v>0.9869</v>
      </c>
      <c r="Z60" s="299"/>
      <c r="AA60" s="441"/>
      <c r="AB60" s="300" t="str">
        <f t="shared" si="9"/>
        <v/>
      </c>
      <c r="AC60" s="300">
        <f t="shared" si="10"/>
        <v>0.6890056172</v>
      </c>
      <c r="AD60" s="122">
        <v>0.0</v>
      </c>
      <c r="AE60" s="315">
        <v>0.0</v>
      </c>
      <c r="AF60" s="430">
        <v>0.0</v>
      </c>
      <c r="AG60" s="316">
        <v>0.0</v>
      </c>
      <c r="AH60" s="316">
        <v>0.00399962</v>
      </c>
      <c r="AI60" s="317">
        <v>0.0</v>
      </c>
      <c r="AJ60" s="317">
        <v>1.1736E-5</v>
      </c>
      <c r="AK60" s="319">
        <v>0.0</v>
      </c>
      <c r="AL60" s="319">
        <v>0.137351329</v>
      </c>
      <c r="AM60" s="302">
        <v>0.0</v>
      </c>
      <c r="AN60" s="149" t="str">
        <f>IFERROR(
  AVERAGEIFS(
    'New LF Efficacy'!$J:$J,
    'New LF Efficacy'!$D:$D, $A60,
    'New LF Efficacy'!$F:$F,"DEC", 
    'New LF Efficacy'!$W:$W,"&lt;2016",
    'New LF Efficacy'!$AA:$AA,""),
  ""
)</f>
        <v/>
      </c>
      <c r="AO60" s="115">
        <f t="shared" si="11"/>
        <v>0.478175</v>
      </c>
      <c r="AP60" s="149" t="str">
        <f>IFERROR(
AVERAGEIFS(
'New LF Efficacy'!$J:$J,
'New LF Efficacy'!$D:$D,$A60,
'New LF Efficacy'!$F:$F,"Albendazole &amp; DEC",
'New LF Efficacy'!$W:$W,"&lt;2016",
'New LF Efficacy'!$AA:$AA,""),
"")
</f>
        <v/>
      </c>
      <c r="AQ60" s="115">
        <f t="shared" si="12"/>
        <v>0.5831666667</v>
      </c>
      <c r="AR60" s="149" t="str">
        <f>IFERROR(
AVERAGEIFS(
'New LF Efficacy'!$J:$J,
'New LF Efficacy'!$D:$D,$A60,
'New LF Efficacy'!$F:$F,"Albendazole &amp; Ivermectin", 
'New LF Efficacy'!$W:$W,"&lt;2016",
'New LF Efficacy'!$AA:$AA,""),"")</f>
        <v/>
      </c>
      <c r="AS60" s="115">
        <f t="shared" si="13"/>
        <v>0.14</v>
      </c>
      <c r="AT60" s="442" t="str">
        <f>IFERROR(AVERAGEIFS(
'Schist Efficacy'!$O:$O, 
'Schist Efficacy'!$C:$C,$A60, 
'Schist Efficacy'!$D:$D, "Praziquantel",
'Schist Efficacy'!$J:$J,"&lt;2016",
'Schist Efficacy'!$U:$U,""),
"")</f>
        <v/>
      </c>
      <c r="AU60" s="118">
        <f t="shared" si="14"/>
        <v>0.743990088</v>
      </c>
      <c r="AV60" s="131" t="str">
        <f>IFERROR(AVERAGEIFS(
'STH Efficacy'!$AX:$AX, 
'STH Efficacy'!$AL:$AL, $A60, 
'STH Efficacy'!$AM:$AM, "Albendazole",
'STH Efficacy'!$AS:$AS,"&lt;2016",
'STH Efficacy'!$BP:$BP,""),
"")</f>
        <v/>
      </c>
      <c r="AW60" s="132">
        <f t="shared" si="15"/>
        <v>0.5394444444</v>
      </c>
      <c r="AX60" s="131" t="str">
        <f>IFERROR(AVERAGEIFS(
'STH Efficacy'!$AX:$AX, 
'STH Efficacy'!$AL:$AL, $A60, 
'STH Efficacy'!$AM:$AM, "Mebendazole",
'STH Efficacy'!$AS:$AS,"&lt;2016",
'STH Efficacy'!$BP:$BP,""),
"")</f>
        <v/>
      </c>
      <c r="AY60" s="132">
        <f t="shared" si="16"/>
        <v>0.3786666667</v>
      </c>
      <c r="AZ60" s="131" t="str">
        <f>IFERROR(AVERAGEIFS(
'STH Efficacy'!$AX:$AX, 
'STH Efficacy'!$AL:$AL, $A60, 
'STH Efficacy'!$AM:$AM, "Albendazole &amp; Ivermectin",
'STH Efficacy'!$AS:$AS,"&lt;2016",
'STH Efficacy'!$BP:$BP,""),
"")</f>
        <v/>
      </c>
      <c r="BA60" s="133">
        <f t="shared" si="17"/>
        <v>0.597625</v>
      </c>
      <c r="BB60" s="443" t="str">
        <f>IFERROR(AVERAGEIFS(
'STH Efficacy'!$N:$N, 
'STH Efficacy'!$B:$B, $A60, 
'STH Efficacy'!$C:$C, "Albendazole",
'STH Efficacy'!$I:$I,"&lt;2016",
'STH Efficacy'!$AH:$AH,""),
"")</f>
        <v/>
      </c>
      <c r="BC60" s="135">
        <f t="shared" si="18"/>
        <v>0.7133333333</v>
      </c>
      <c r="BD60" s="443" t="str">
        <f>IFERROR(AVERAGEIFS(
'STH Efficacy'!$N:$N, 
'STH Efficacy'!$B:$B, $A60, 
'STH Efficacy'!$C:$C, "Mebendazole",
'STH Efficacy'!$I:$I,"&lt;2016",
'STH Efficacy'!$AH:$AH,""),
"")</f>
        <v/>
      </c>
      <c r="BE60" s="135">
        <f t="shared" si="19"/>
        <v>0.205</v>
      </c>
      <c r="BF60" s="436" t="str">
        <f>IFERROR(AVERAGEIFS(
'STH Efficacy'!$CD:$CD, 
'STH Efficacy'!$BS:$BS, $A60, 
'STH Efficacy'!$BT:$BT, "Albendazole",
'STH Efficacy'!$BZ:$BZ,"&lt;2016",
'STH Efficacy'!$CU:$CU,""),
"")</f>
        <v/>
      </c>
      <c r="BG60" s="136">
        <f t="shared" si="20"/>
        <v>0.83</v>
      </c>
      <c r="BH60" s="436" t="str">
        <f>IFERROR(AVERAGEIFS(
'STH Efficacy'!$CD:$CD, 
'STH Efficacy'!$BS:$BS, $A60, 
'STH Efficacy'!$BT:$BT, "Mebendazole",
'STH Efficacy'!$BZ:$BZ,"&lt;2016",
'STH Efficacy'!$CU:$CU,""),
"")</f>
        <v/>
      </c>
      <c r="BI60" s="136">
        <f t="shared" si="21"/>
        <v>1</v>
      </c>
      <c r="BJ60" s="436" t="str">
        <f>IFERROR(AVERAGEIFS(
'STH Efficacy'!$CD:$CD, 
'STH Efficacy'!$BS:$BS, $A60, 
'STH Efficacy'!$BT:$BT, "Albendazole &amp; Ivermectin",
'STH Efficacy'!$BZ:$BZ,"&lt;2016",
'STH Efficacy'!$CU:$CU,""),
"")</f>
        <v/>
      </c>
      <c r="BK60" s="136">
        <f t="shared" si="22"/>
        <v>0.848</v>
      </c>
      <c r="BL60" s="444" t="str">
        <f>IFERROR(
  AVERAGEIFS(
    'NEW Onchocerciasis Efficacy'!$AO:$AO,
    'NEW Onchocerciasis Efficacy'!$C:$C,$A60,
    'NEW Onchocerciasis Efficacy'!$D:$D,"Ivermectin",
    'NEW Onchocerciasis Efficacy'!$AR:$AR,"&lt;2016",
    'NEW Onchocerciasis Efficacy'!$BG:$BG,"")
,"")</f>
        <v/>
      </c>
      <c r="BM60" s="304">
        <f t="shared" si="23"/>
        <v>0.7808368939</v>
      </c>
      <c r="BN60" s="439">
        <v>0.0</v>
      </c>
      <c r="BO60" s="139">
        <v>0.0</v>
      </c>
      <c r="BP60" s="140">
        <v>0.0</v>
      </c>
      <c r="BQ60" s="141">
        <f t="shared" si="24"/>
        <v>0</v>
      </c>
      <c r="BR60" s="104" t="str">
        <f t="shared" si="25"/>
        <v>0000</v>
      </c>
      <c r="BS60" s="104" t="str">
        <f t="shared" si="26"/>
        <v>no action required</v>
      </c>
      <c r="BT60" s="142" t="str">
        <f t="shared" si="27"/>
        <v/>
      </c>
      <c r="BU60" s="104" t="str">
        <f t="shared" si="28"/>
        <v/>
      </c>
      <c r="BV60" s="104" t="str">
        <f t="shared" si="29"/>
        <v>none</v>
      </c>
      <c r="BW60" s="150" t="str">
        <f t="shared" si="30"/>
        <v/>
      </c>
      <c r="BX60" s="150" t="str">
        <f t="shared" si="31"/>
        <v/>
      </c>
      <c r="BY60" s="151" t="str">
        <f t="shared" si="32"/>
        <v/>
      </c>
      <c r="BZ60" s="152" t="str">
        <f t="shared" si="33"/>
        <v/>
      </c>
      <c r="CA60" s="152" t="str">
        <f t="shared" si="34"/>
        <v/>
      </c>
      <c r="CB60" s="152" t="str">
        <f t="shared" si="35"/>
        <v/>
      </c>
      <c r="CC60" s="153" t="str">
        <f t="shared" si="36"/>
        <v/>
      </c>
      <c r="CD60" s="153" t="str">
        <f t="shared" si="37"/>
        <v/>
      </c>
      <c r="CE60" s="154" t="str">
        <f t="shared" si="38"/>
        <v/>
      </c>
      <c r="CF60" s="154" t="str">
        <f t="shared" si="39"/>
        <v/>
      </c>
      <c r="CG60" s="154" t="str">
        <f t="shared" si="40"/>
        <v/>
      </c>
      <c r="CH60" s="308" t="str">
        <f t="shared" si="41"/>
        <v/>
      </c>
    </row>
    <row r="61">
      <c r="A61" s="155" t="s">
        <v>150</v>
      </c>
      <c r="B61" s="104" t="s">
        <v>92</v>
      </c>
      <c r="C61" s="428">
        <v>7.6196619E7</v>
      </c>
      <c r="D61" s="161">
        <v>25394.710000000003</v>
      </c>
      <c r="E61" s="294">
        <v>191509.6574</v>
      </c>
      <c r="F61" s="295">
        <v>961.1863286</v>
      </c>
      <c r="G61" s="322">
        <v>3718.38694</v>
      </c>
      <c r="H61" s="157">
        <v>4679.573268</v>
      </c>
      <c r="I61" s="110">
        <v>7147.53975</v>
      </c>
      <c r="J61" s="110">
        <v>18371.7895</v>
      </c>
      <c r="K61" s="110">
        <v>25519.32929</v>
      </c>
      <c r="L61" s="111">
        <v>54462.78547</v>
      </c>
      <c r="M61" s="111">
        <v>15013.9209</v>
      </c>
      <c r="N61" s="112">
        <v>69476.70638</v>
      </c>
      <c r="O61" s="298">
        <v>475864.947</v>
      </c>
      <c r="P61" s="160">
        <v>3.7012273E7</v>
      </c>
      <c r="Q61" s="160">
        <v>1.128874E7</v>
      </c>
      <c r="R61" s="121">
        <f t="shared" si="4"/>
        <v>0.3049999118</v>
      </c>
      <c r="S61" s="116">
        <f t="shared" si="5"/>
        <v>0.3049999118</v>
      </c>
      <c r="T61" s="118">
        <v>0.12</v>
      </c>
      <c r="U61" s="118">
        <f t="shared" si="6"/>
        <v>0.12</v>
      </c>
      <c r="V61" s="119">
        <v>1.0</v>
      </c>
      <c r="W61" s="120">
        <f t="shared" si="7"/>
        <v>1</v>
      </c>
      <c r="X61" s="119">
        <v>0.2432</v>
      </c>
      <c r="Y61" s="120">
        <f t="shared" si="8"/>
        <v>0.2432</v>
      </c>
      <c r="Z61" s="310">
        <v>4.0348952E7</v>
      </c>
      <c r="AA61" s="310">
        <v>2.9751168E7</v>
      </c>
      <c r="AB61" s="300">
        <f t="shared" si="9"/>
        <v>0.7373467346</v>
      </c>
      <c r="AC61" s="300">
        <f t="shared" si="10"/>
        <v>0.7373467346</v>
      </c>
      <c r="AD61" s="122">
        <v>0.0056</v>
      </c>
      <c r="AE61" s="123">
        <v>0.29</v>
      </c>
      <c r="AF61" s="430">
        <v>0.0869</v>
      </c>
      <c r="AG61" s="124">
        <v>0.1361</v>
      </c>
      <c r="AH61" s="124">
        <v>0.212813809</v>
      </c>
      <c r="AI61" s="125">
        <v>0.124</v>
      </c>
      <c r="AJ61" s="125">
        <v>0.197667247</v>
      </c>
      <c r="AK61" s="127">
        <v>0.1806</v>
      </c>
      <c r="AL61" s="127">
        <v>0.27583494</v>
      </c>
      <c r="AM61" s="302">
        <v>0.0997</v>
      </c>
      <c r="AN61" s="149" t="str">
        <f>IFERROR(
  AVERAGEIFS(
    'New LF Efficacy'!$J:$J,
    'New LF Efficacy'!$D:$D, $A61,
    'New LF Efficacy'!$F:$F,"DEC", 
    'New LF Efficacy'!$W:$W,"&lt;2016",
    'New LF Efficacy'!$AA:$AA,""),
  ""
)</f>
        <v/>
      </c>
      <c r="AO61" s="115">
        <f t="shared" si="11"/>
        <v>0.31225</v>
      </c>
      <c r="AP61" s="149" t="str">
        <f>IFERROR(
AVERAGEIFS(
'New LF Efficacy'!$J:$J,
'New LF Efficacy'!$D:$D,$A61,
'New LF Efficacy'!$F:$F,"Albendazole &amp; DEC",
'New LF Efficacy'!$W:$W,"&lt;2016",
'New LF Efficacy'!$AA:$AA,""),
"")
</f>
        <v/>
      </c>
      <c r="AQ61" s="115">
        <f t="shared" si="12"/>
        <v>0.4</v>
      </c>
      <c r="AR61" s="149" t="str">
        <f>IFERROR(
AVERAGEIFS(
'New LF Efficacy'!$J:$J,
'New LF Efficacy'!$D:$D,$A61,
'New LF Efficacy'!$F:$F,"Albendazole &amp; Ivermectin", 
'New LF Efficacy'!$W:$W,"&lt;2016",
'New LF Efficacy'!$AA:$AA,""),"")</f>
        <v/>
      </c>
      <c r="AS61" s="115">
        <f t="shared" si="13"/>
        <v>0.2943125</v>
      </c>
      <c r="AT61" s="442" t="str">
        <f>IFERROR(AVERAGEIFS(
'Schist Efficacy'!$O:$O, 
'Schist Efficacy'!$C:$C,$A61, 
'Schist Efficacy'!$D:$D, "Praziquantel",
'Schist Efficacy'!$J:$J,"&lt;2016",
'Schist Efficacy'!$U:$U,""),
"")</f>
        <v/>
      </c>
      <c r="AU61" s="118">
        <f t="shared" si="14"/>
        <v>0.7206464759</v>
      </c>
      <c r="AV61" s="131" t="str">
        <f>IFERROR(AVERAGEIFS(
'STH Efficacy'!$AX:$AX, 
'STH Efficacy'!$AL:$AL, $A61, 
'STH Efficacy'!$AM:$AM, "Albendazole",
'STH Efficacy'!$AS:$AS,"&lt;2016",
'STH Efficacy'!$BP:$BP,""),
"")</f>
        <v/>
      </c>
      <c r="AW61" s="132">
        <f t="shared" si="15"/>
        <v>0.3816333333</v>
      </c>
      <c r="AX61" s="131" t="str">
        <f>IFERROR(AVERAGEIFS(
'STH Efficacy'!$AX:$AX, 
'STH Efficacy'!$AL:$AL, $A61, 
'STH Efficacy'!$AM:$AM, "Mebendazole",
'STH Efficacy'!$AS:$AS,"&lt;2016",
'STH Efficacy'!$BP:$BP,""),
"")</f>
        <v/>
      </c>
      <c r="AY61" s="132">
        <f t="shared" si="16"/>
        <v>0.4859375</v>
      </c>
      <c r="AZ61" s="131" t="str">
        <f>IFERROR(AVERAGEIFS(
'STH Efficacy'!$AX:$AX, 
'STH Efficacy'!$AL:$AL, $A61, 
'STH Efficacy'!$AM:$AM, "Albendazole &amp; Ivermectin",
'STH Efficacy'!$AS:$AS,"&lt;2016",
'STH Efficacy'!$BP:$BP,""),
"")</f>
        <v/>
      </c>
      <c r="BA61" s="133">
        <f t="shared" si="17"/>
        <v>0.47175</v>
      </c>
      <c r="BB61" s="443" t="str">
        <f>IFERROR(AVERAGEIFS(
'STH Efficacy'!$N:$N, 
'STH Efficacy'!$B:$B, $A61, 
'STH Efficacy'!$C:$C, "Albendazole",
'STH Efficacy'!$I:$I,"&lt;2016",
'STH Efficacy'!$AH:$AH,""),
"")</f>
        <v/>
      </c>
      <c r="BC61" s="135">
        <f t="shared" si="18"/>
        <v>0.8699166667</v>
      </c>
      <c r="BD61" s="443" t="str">
        <f>IFERROR(AVERAGEIFS(
'STH Efficacy'!$N:$N, 
'STH Efficacy'!$B:$B, $A61, 
'STH Efficacy'!$C:$C, "Mebendazole",
'STH Efficacy'!$I:$I,"&lt;2016",
'STH Efficacy'!$AH:$AH,""),
"")</f>
        <v/>
      </c>
      <c r="BE61" s="135">
        <f t="shared" si="19"/>
        <v>0.7092416667</v>
      </c>
      <c r="BF61" s="436" t="str">
        <f>IFERROR(AVERAGEIFS(
'STH Efficacy'!$CD:$CD, 
'STH Efficacy'!$BS:$BS, $A61, 
'STH Efficacy'!$BT:$BT, "Albendazole",
'STH Efficacy'!$BZ:$BZ,"&lt;2016",
'STH Efficacy'!$CU:$CU,""),
"")</f>
        <v/>
      </c>
      <c r="BG61" s="136">
        <f t="shared" si="20"/>
        <v>0.9066666667</v>
      </c>
      <c r="BH61" s="436" t="str">
        <f>IFERROR(AVERAGEIFS(
'STH Efficacy'!$CD:$CD, 
'STH Efficacy'!$BS:$BS, $A61, 
'STH Efficacy'!$BT:$BT, "Mebendazole",
'STH Efficacy'!$BZ:$BZ,"&lt;2016",
'STH Efficacy'!$CU:$CU,""),
"")</f>
        <v/>
      </c>
      <c r="BI61" s="136">
        <f t="shared" si="21"/>
        <v>0.8483333333</v>
      </c>
      <c r="BJ61" s="436" t="str">
        <f>IFERROR(AVERAGEIFS(
'STH Efficacy'!$CD:$CD, 
'STH Efficacy'!$BS:$BS, $A61, 
'STH Efficacy'!$BT:$BT, "Albendazole &amp; Ivermectin",
'STH Efficacy'!$BZ:$BZ,"&lt;2016",
'STH Efficacy'!$CU:$CU,""),
"")</f>
        <v/>
      </c>
      <c r="BK61" s="136">
        <f t="shared" si="22"/>
        <v>0.696</v>
      </c>
      <c r="BL61" s="444" t="str">
        <f>IFERROR(
  AVERAGEIFS(
    'NEW Onchocerciasis Efficacy'!$AO:$AO,
    'NEW Onchocerciasis Efficacy'!$C:$C,$A61,
    'NEW Onchocerciasis Efficacy'!$D:$D,"Ivermectin",
    'NEW Onchocerciasis Efficacy'!$AR:$AR,"&lt;2016",
    'NEW Onchocerciasis Efficacy'!$BG:$BG,"")
,"")</f>
        <v/>
      </c>
      <c r="BM61" s="304">
        <f t="shared" si="23"/>
        <v>0.8390421645</v>
      </c>
      <c r="BN61" s="439">
        <v>1.0</v>
      </c>
      <c r="BO61" s="139">
        <v>1.0</v>
      </c>
      <c r="BP61" s="140">
        <v>1.0</v>
      </c>
      <c r="BQ61" s="141">
        <f t="shared" si="24"/>
        <v>1</v>
      </c>
      <c r="BR61" s="104" t="str">
        <f t="shared" si="25"/>
        <v>1111</v>
      </c>
      <c r="BS61" s="104" t="str">
        <f t="shared" si="26"/>
        <v>MDA1+T2</v>
      </c>
      <c r="BT61" s="142" t="str">
        <f t="shared" si="27"/>
        <v>IVM+ALB</v>
      </c>
      <c r="BU61" s="104" t="str">
        <f t="shared" si="28"/>
        <v>PZQ</v>
      </c>
      <c r="BV61" s="104" t="str">
        <f t="shared" si="29"/>
        <v>lf+onch+schist+sth</v>
      </c>
      <c r="BW61" s="150" t="str">
        <f t="shared" si="30"/>
        <v/>
      </c>
      <c r="BX61" s="312">
        <f t="shared" si="31"/>
        <v>2504.368803</v>
      </c>
      <c r="BY61" s="162">
        <f t="shared" si="32"/>
        <v>18129.04725</v>
      </c>
      <c r="BZ61" s="152">
        <f t="shared" si="33"/>
        <v>973.6329695</v>
      </c>
      <c r="CA61" s="152" t="str">
        <f t="shared" si="34"/>
        <v/>
      </c>
      <c r="CB61" s="152">
        <f t="shared" si="35"/>
        <v>1340.277669</v>
      </c>
      <c r="CC61" s="323">
        <f t="shared" si="36"/>
        <v>52728.07711</v>
      </c>
      <c r="CD61" s="153" t="str">
        <f t="shared" si="37"/>
        <v/>
      </c>
      <c r="CE61" s="174">
        <f t="shared" si="38"/>
        <v>533314.1342</v>
      </c>
      <c r="CF61" s="174" t="str">
        <f t="shared" si="39"/>
        <v/>
      </c>
      <c r="CG61" s="174">
        <f t="shared" si="40"/>
        <v>127750.2979</v>
      </c>
      <c r="CH61" s="313">
        <f t="shared" si="41"/>
        <v>25734.23959</v>
      </c>
    </row>
    <row r="62">
      <c r="A62" s="155" t="s">
        <v>151</v>
      </c>
      <c r="B62" s="104" t="s">
        <v>90</v>
      </c>
      <c r="C62" s="428">
        <v>5683483.0</v>
      </c>
      <c r="D62" s="161">
        <v>0.0</v>
      </c>
      <c r="E62" s="294">
        <v>0.0</v>
      </c>
      <c r="F62" s="307">
        <v>0.0</v>
      </c>
      <c r="G62" s="309">
        <v>0.0</v>
      </c>
      <c r="H62" s="108">
        <v>0.0</v>
      </c>
      <c r="I62" s="109">
        <v>0.0</v>
      </c>
      <c r="J62" s="109">
        <v>0.0</v>
      </c>
      <c r="K62" s="109">
        <v>0.0</v>
      </c>
      <c r="L62" s="112">
        <v>0.0</v>
      </c>
      <c r="M62" s="112">
        <v>0.0</v>
      </c>
      <c r="N62" s="112">
        <v>0.0</v>
      </c>
      <c r="O62" s="298">
        <v>0.0</v>
      </c>
      <c r="P62" s="114"/>
      <c r="Q62" s="114"/>
      <c r="R62" s="121" t="str">
        <f t="shared" si="4"/>
        <v/>
      </c>
      <c r="S62" s="116">
        <f t="shared" si="5"/>
        <v>0.5709301448</v>
      </c>
      <c r="T62" s="117"/>
      <c r="U62" s="118">
        <f t="shared" si="6"/>
        <v>0.4791888889</v>
      </c>
      <c r="V62" s="148"/>
      <c r="W62" s="120">
        <f t="shared" si="7"/>
        <v>0.0223</v>
      </c>
      <c r="X62" s="148"/>
      <c r="Y62" s="120">
        <f t="shared" si="8"/>
        <v>0.598275</v>
      </c>
      <c r="Z62" s="299"/>
      <c r="AA62" s="441"/>
      <c r="AB62" s="300" t="str">
        <f t="shared" si="9"/>
        <v/>
      </c>
      <c r="AC62" s="300">
        <f t="shared" si="10"/>
        <v>0.6890056172</v>
      </c>
      <c r="AD62" s="122">
        <v>0.0</v>
      </c>
      <c r="AE62" s="123">
        <v>0.0</v>
      </c>
      <c r="AF62" s="430">
        <v>0.0</v>
      </c>
      <c r="AG62" s="124">
        <v>0.0</v>
      </c>
      <c r="AH62" s="124">
        <v>0.0</v>
      </c>
      <c r="AI62" s="125">
        <v>0.0</v>
      </c>
      <c r="AJ62" s="125">
        <v>0.0</v>
      </c>
      <c r="AK62" s="127">
        <v>0.0</v>
      </c>
      <c r="AL62" s="127">
        <v>0.0</v>
      </c>
      <c r="AM62" s="302">
        <v>0.0</v>
      </c>
      <c r="AN62" s="149" t="str">
        <f>IFERROR(
  AVERAGEIFS(
    'New LF Efficacy'!$J:$J,
    'New LF Efficacy'!$D:$D, $A62,
    'New LF Efficacy'!$F:$F,"DEC", 
    'New LF Efficacy'!$W:$W,"&lt;2016",
    'New LF Efficacy'!$AA:$AA,""),
  ""
)</f>
        <v/>
      </c>
      <c r="AO62" s="115">
        <f t="shared" si="11"/>
        <v>0.3573520833</v>
      </c>
      <c r="AP62" s="149" t="str">
        <f>IFERROR(
AVERAGEIFS(
'New LF Efficacy'!$J:$J,
'New LF Efficacy'!$D:$D,$A62,
'New LF Efficacy'!$F:$F,"Albendazole &amp; DEC",
'New LF Efficacy'!$W:$W,"&lt;2016",
'New LF Efficacy'!$AA:$AA,""),
"")
</f>
        <v/>
      </c>
      <c r="AQ62" s="115">
        <f t="shared" si="12"/>
        <v>0.5143541667</v>
      </c>
      <c r="AR62" s="149" t="str">
        <f>IFERROR(
AVERAGEIFS(
'New LF Efficacy'!$J:$J,
'New LF Efficacy'!$D:$D,$A62,
'New LF Efficacy'!$F:$F,"Albendazole &amp; Ivermectin", 
'New LF Efficacy'!$W:$W,"&lt;2016",
'New LF Efficacy'!$AA:$AA,""),"")</f>
        <v/>
      </c>
      <c r="AS62" s="115">
        <f t="shared" si="13"/>
        <v>0.37153125</v>
      </c>
      <c r="AT62" s="442" t="str">
        <f>IFERROR(AVERAGEIFS(
'Schist Efficacy'!$O:$O, 
'Schist Efficacy'!$C:$C,$A62, 
'Schist Efficacy'!$D:$D, "Praziquantel",
'Schist Efficacy'!$J:$J,"&lt;2016",
'Schist Efficacy'!$U:$U,""),
"")</f>
        <v/>
      </c>
      <c r="AU62" s="118">
        <f t="shared" si="14"/>
        <v>0.655</v>
      </c>
      <c r="AV62" s="131" t="str">
        <f>IFERROR(AVERAGEIFS(
'STH Efficacy'!$AX:$AX, 
'STH Efficacy'!$AL:$AL, $A62, 
'STH Efficacy'!$AM:$AM, "Albendazole",
'STH Efficacy'!$AS:$AS,"&lt;2016",
'STH Efficacy'!$BP:$BP,""),
"")</f>
        <v/>
      </c>
      <c r="AW62" s="132">
        <f t="shared" si="15"/>
        <v>0.4143846154</v>
      </c>
      <c r="AX62" s="131" t="str">
        <f>IFERROR(AVERAGEIFS(
'STH Efficacy'!$AX:$AX, 
'STH Efficacy'!$AL:$AL, $A62, 
'STH Efficacy'!$AM:$AM, "Mebendazole",
'STH Efficacy'!$AS:$AS,"&lt;2016",
'STH Efficacy'!$BP:$BP,""),
"")</f>
        <v/>
      </c>
      <c r="AY62" s="132">
        <f t="shared" si="16"/>
        <v>0.4691770833</v>
      </c>
      <c r="AZ62" s="131" t="str">
        <f>IFERROR(AVERAGEIFS(
'STH Efficacy'!$AX:$AX, 
'STH Efficacy'!$AL:$AL, $A62, 
'STH Efficacy'!$AM:$AM, "Albendazole &amp; Ivermectin",
'STH Efficacy'!$AS:$AS,"&lt;2016",
'STH Efficacy'!$BP:$BP,""),
"")</f>
        <v/>
      </c>
      <c r="BA62" s="133">
        <f t="shared" si="17"/>
        <v>0.597625</v>
      </c>
      <c r="BB62" s="443" t="str">
        <f>IFERROR(AVERAGEIFS(
'STH Efficacy'!$N:$N, 
'STH Efficacy'!$B:$B, $A62, 
'STH Efficacy'!$C:$C, "Albendazole",
'STH Efficacy'!$I:$I,"&lt;2016",
'STH Efficacy'!$AH:$AH,""),
"")</f>
        <v/>
      </c>
      <c r="BC62" s="135">
        <f t="shared" si="18"/>
        <v>0.7613712121</v>
      </c>
      <c r="BD62" s="443" t="str">
        <f>IFERROR(AVERAGEIFS(
'STH Efficacy'!$N:$N, 
'STH Efficacy'!$B:$B, $A62, 
'STH Efficacy'!$C:$C, "Mebendazole",
'STH Efficacy'!$I:$I,"&lt;2016",
'STH Efficacy'!$AH:$AH,""),
"")</f>
        <v/>
      </c>
      <c r="BE62" s="135">
        <f t="shared" si="19"/>
        <v>0.4362466667</v>
      </c>
      <c r="BF62" s="436" t="str">
        <f>IFERROR(AVERAGEIFS(
'STH Efficacy'!$CD:$CD, 
'STH Efficacy'!$BS:$BS, $A62, 
'STH Efficacy'!$BT:$BT, "Albendazole",
'STH Efficacy'!$BZ:$BZ,"&lt;2016",
'STH Efficacy'!$CU:$CU,""),
"")</f>
        <v/>
      </c>
      <c r="BG62" s="136">
        <f t="shared" si="20"/>
        <v>0.9216027778</v>
      </c>
      <c r="BH62" s="436" t="str">
        <f>IFERROR(AVERAGEIFS(
'STH Efficacy'!$CD:$CD, 
'STH Efficacy'!$BS:$BS, $A62, 
'STH Efficacy'!$BT:$BT, "Mebendazole",
'STH Efficacy'!$BZ:$BZ,"&lt;2016",
'STH Efficacy'!$CU:$CU,""),
"")</f>
        <v/>
      </c>
      <c r="BI62" s="136">
        <f t="shared" si="21"/>
        <v>0.8866041667</v>
      </c>
      <c r="BJ62" s="436" t="str">
        <f>IFERROR(AVERAGEIFS(
'STH Efficacy'!$CD:$CD, 
'STH Efficacy'!$BS:$BS, $A62, 
'STH Efficacy'!$BT:$BT, "Albendazole &amp; Ivermectin",
'STH Efficacy'!$BZ:$BZ,"&lt;2016",
'STH Efficacy'!$CU:$CU,""),
"")</f>
        <v/>
      </c>
      <c r="BK62" s="136">
        <f t="shared" si="22"/>
        <v>0.848</v>
      </c>
      <c r="BL62" s="444" t="str">
        <f>IFERROR(
  AVERAGEIFS(
    'NEW Onchocerciasis Efficacy'!$AO:$AO,
    'NEW Onchocerciasis Efficacy'!$C:$C,$A62,
    'NEW Onchocerciasis Efficacy'!$D:$D,"Ivermectin",
    'NEW Onchocerciasis Efficacy'!$AR:$AR,"&lt;2016",
    'NEW Onchocerciasis Efficacy'!$BG:$BG,"")
,"")</f>
        <v/>
      </c>
      <c r="BM62" s="304">
        <f t="shared" si="23"/>
        <v>0.7808368939</v>
      </c>
      <c r="BN62" s="439">
        <v>0.0</v>
      </c>
      <c r="BO62" s="139">
        <v>0.0</v>
      </c>
      <c r="BP62" s="140">
        <v>0.0</v>
      </c>
      <c r="BQ62" s="141">
        <f t="shared" si="24"/>
        <v>0</v>
      </c>
      <c r="BR62" s="104" t="str">
        <f t="shared" si="25"/>
        <v>0000</v>
      </c>
      <c r="BS62" s="104" t="str">
        <f t="shared" si="26"/>
        <v>no action required</v>
      </c>
      <c r="BT62" s="142" t="str">
        <f t="shared" si="27"/>
        <v/>
      </c>
      <c r="BU62" s="104" t="str">
        <f t="shared" si="28"/>
        <v/>
      </c>
      <c r="BV62" s="104" t="str">
        <f t="shared" si="29"/>
        <v>none</v>
      </c>
      <c r="BW62" s="150" t="str">
        <f t="shared" si="30"/>
        <v/>
      </c>
      <c r="BX62" s="150" t="str">
        <f t="shared" si="31"/>
        <v/>
      </c>
      <c r="BY62" s="151" t="str">
        <f t="shared" si="32"/>
        <v/>
      </c>
      <c r="BZ62" s="152" t="str">
        <f t="shared" si="33"/>
        <v/>
      </c>
      <c r="CA62" s="152" t="str">
        <f t="shared" si="34"/>
        <v/>
      </c>
      <c r="CB62" s="152" t="str">
        <f t="shared" si="35"/>
        <v/>
      </c>
      <c r="CC62" s="153" t="str">
        <f t="shared" si="36"/>
        <v/>
      </c>
      <c r="CD62" s="153" t="str">
        <f t="shared" si="37"/>
        <v/>
      </c>
      <c r="CE62" s="154" t="str">
        <f t="shared" si="38"/>
        <v/>
      </c>
      <c r="CF62" s="154" t="str">
        <f t="shared" si="39"/>
        <v/>
      </c>
      <c r="CG62" s="154" t="str">
        <f t="shared" si="40"/>
        <v/>
      </c>
      <c r="CH62" s="308" t="str">
        <f t="shared" si="41"/>
        <v/>
      </c>
    </row>
    <row r="63">
      <c r="A63" s="103" t="s">
        <v>152</v>
      </c>
      <c r="B63" s="104" t="s">
        <v>88</v>
      </c>
      <c r="C63" s="428">
        <v>927414.0</v>
      </c>
      <c r="D63" s="161">
        <v>0.0</v>
      </c>
      <c r="E63" s="294">
        <v>372.4059973</v>
      </c>
      <c r="F63" s="295">
        <v>20.32173252</v>
      </c>
      <c r="G63" s="295">
        <v>43.05436266</v>
      </c>
      <c r="H63" s="108">
        <v>63.37609518</v>
      </c>
      <c r="I63" s="109">
        <v>15.3570115</v>
      </c>
      <c r="J63" s="109">
        <v>24.9894296</v>
      </c>
      <c r="K63" s="109">
        <v>40.34644113</v>
      </c>
      <c r="L63" s="112">
        <v>32.44193368</v>
      </c>
      <c r="M63" s="112">
        <v>4.011535342</v>
      </c>
      <c r="N63" s="112">
        <v>36.45346902</v>
      </c>
      <c r="O63" s="298">
        <v>0.0</v>
      </c>
      <c r="P63" s="114"/>
      <c r="Q63" s="114"/>
      <c r="R63" s="121" t="str">
        <f t="shared" si="4"/>
        <v/>
      </c>
      <c r="S63" s="116">
        <f t="shared" si="5"/>
        <v>0.5709301448</v>
      </c>
      <c r="T63" s="117"/>
      <c r="U63" s="118">
        <f t="shared" si="6"/>
        <v>0.739</v>
      </c>
      <c r="V63" s="119">
        <v>1.0</v>
      </c>
      <c r="W63" s="120">
        <f t="shared" si="7"/>
        <v>1</v>
      </c>
      <c r="X63" s="148"/>
      <c r="Y63" s="120">
        <f t="shared" si="8"/>
        <v>0.5301</v>
      </c>
      <c r="Z63" s="299"/>
      <c r="AA63" s="441"/>
      <c r="AB63" s="300" t="str">
        <f t="shared" si="9"/>
        <v/>
      </c>
      <c r="AC63" s="300">
        <f t="shared" si="10"/>
        <v>0.4014082288</v>
      </c>
      <c r="AD63" s="122">
        <v>0.0</v>
      </c>
      <c r="AE63" s="123">
        <v>0.01</v>
      </c>
      <c r="AF63" s="430">
        <v>0.0012</v>
      </c>
      <c r="AG63" s="124">
        <v>0.165</v>
      </c>
      <c r="AH63" s="124">
        <v>0.260139798</v>
      </c>
      <c r="AI63" s="125">
        <v>0.0268</v>
      </c>
      <c r="AJ63" s="125">
        <v>0.04364247</v>
      </c>
      <c r="AK63" s="127">
        <v>0.0348</v>
      </c>
      <c r="AL63" s="127">
        <v>0.055133414</v>
      </c>
      <c r="AM63" s="302">
        <v>0.0</v>
      </c>
      <c r="AN63" s="149" t="str">
        <f>IFERROR(
  AVERAGEIFS(
    'New LF Efficacy'!$J:$J,
    'New LF Efficacy'!$D:$D, $A63,
    'New LF Efficacy'!$F:$F,"DEC", 
    'New LF Efficacy'!$W:$W,"&lt;2016",
    'New LF Efficacy'!$AA:$AA,""),
  ""
)</f>
        <v/>
      </c>
      <c r="AO63" s="115">
        <f t="shared" si="11"/>
        <v>0.3573520833</v>
      </c>
      <c r="AP63" s="149" t="str">
        <f>IFERROR(
AVERAGEIFS(
'New LF Efficacy'!$J:$J,
'New LF Efficacy'!$D:$D,$A63,
'New LF Efficacy'!$F:$F,"Albendazole &amp; DEC",
'New LF Efficacy'!$W:$W,"&lt;2016",
'New LF Efficacy'!$AA:$AA,""),
"")
</f>
        <v/>
      </c>
      <c r="AQ63" s="115">
        <f t="shared" si="12"/>
        <v>0.7935</v>
      </c>
      <c r="AR63" s="149" t="str">
        <f>IFERROR(
AVERAGEIFS(
'New LF Efficacy'!$J:$J,
'New LF Efficacy'!$D:$D,$A63,
'New LF Efficacy'!$F:$F,"Albendazole &amp; Ivermectin", 
'New LF Efficacy'!$W:$W,"&lt;2016",
'New LF Efficacy'!$AA:$AA,""),"")</f>
        <v/>
      </c>
      <c r="AS63" s="115">
        <f t="shared" si="13"/>
        <v>0.37153125</v>
      </c>
      <c r="AT63" s="442" t="str">
        <f>IFERROR(AVERAGEIFS(
'Schist Efficacy'!$O:$O, 
'Schist Efficacy'!$C:$C,$A63, 
'Schist Efficacy'!$D:$D, "Praziquantel",
'Schist Efficacy'!$J:$J,"&lt;2016",
'Schist Efficacy'!$U:$U,""),
"")</f>
        <v/>
      </c>
      <c r="AU63" s="118">
        <f t="shared" si="14"/>
        <v>0.7763141026</v>
      </c>
      <c r="AV63" s="131" t="str">
        <f>IFERROR(AVERAGEIFS(
'STH Efficacy'!$AX:$AX, 
'STH Efficacy'!$AL:$AL, $A63, 
'STH Efficacy'!$AM:$AM, "Albendazole",
'STH Efficacy'!$AS:$AS,"&lt;2016",
'STH Efficacy'!$BP:$BP,""),
"")</f>
        <v/>
      </c>
      <c r="AW63" s="132">
        <f t="shared" si="15"/>
        <v>0.4143846154</v>
      </c>
      <c r="AX63" s="131" t="str">
        <f>IFERROR(AVERAGEIFS(
'STH Efficacy'!$AX:$AX, 
'STH Efficacy'!$AL:$AL, $A63, 
'STH Efficacy'!$AM:$AM, "Mebendazole",
'STH Efficacy'!$AS:$AS,"&lt;2016",
'STH Efficacy'!$BP:$BP,""),
"")</f>
        <v/>
      </c>
      <c r="AY63" s="132">
        <f t="shared" si="16"/>
        <v>0.4691770833</v>
      </c>
      <c r="AZ63" s="131" t="str">
        <f>IFERROR(AVERAGEIFS(
'STH Efficacy'!$AX:$AX, 
'STH Efficacy'!$AL:$AL, $A63, 
'STH Efficacy'!$AM:$AM, "Albendazole &amp; Ivermectin",
'STH Efficacy'!$AS:$AS,"&lt;2016",
'STH Efficacy'!$BP:$BP,""),
"")</f>
        <v/>
      </c>
      <c r="BA63" s="133">
        <f t="shared" si="17"/>
        <v>0.597625</v>
      </c>
      <c r="BB63" s="443" t="str">
        <f>IFERROR(AVERAGEIFS(
'STH Efficacy'!$N:$N, 
'STH Efficacy'!$B:$B, $A63, 
'STH Efficacy'!$C:$C, "Albendazole",
'STH Efficacy'!$I:$I,"&lt;2016",
'STH Efficacy'!$AH:$AH,""),
"")</f>
        <v/>
      </c>
      <c r="BC63" s="135">
        <f t="shared" si="18"/>
        <v>0.7613712121</v>
      </c>
      <c r="BD63" s="443" t="str">
        <f>IFERROR(AVERAGEIFS(
'STH Efficacy'!$N:$N, 
'STH Efficacy'!$B:$B, $A63, 
'STH Efficacy'!$C:$C, "Mebendazole",
'STH Efficacy'!$I:$I,"&lt;2016",
'STH Efficacy'!$AH:$AH,""),
"")</f>
        <v/>
      </c>
      <c r="BE63" s="135">
        <f t="shared" si="19"/>
        <v>0.4362466667</v>
      </c>
      <c r="BF63" s="436" t="str">
        <f>IFERROR(AVERAGEIFS(
'STH Efficacy'!$CD:$CD, 
'STH Efficacy'!$BS:$BS, $A63, 
'STH Efficacy'!$BT:$BT, "Albendazole",
'STH Efficacy'!$BZ:$BZ,"&lt;2016",
'STH Efficacy'!$CU:$CU,""),
"")</f>
        <v/>
      </c>
      <c r="BG63" s="136">
        <f t="shared" si="20"/>
        <v>0.955</v>
      </c>
      <c r="BH63" s="436" t="str">
        <f>IFERROR(AVERAGEIFS(
'STH Efficacy'!$CD:$CD, 
'STH Efficacy'!$BS:$BS, $A63, 
'STH Efficacy'!$BT:$BT, "Mebendazole",
'STH Efficacy'!$BZ:$BZ,"&lt;2016",
'STH Efficacy'!$CU:$CU,""),
"")</f>
        <v/>
      </c>
      <c r="BI63" s="136">
        <f t="shared" si="21"/>
        <v>1</v>
      </c>
      <c r="BJ63" s="436" t="str">
        <f>IFERROR(AVERAGEIFS(
'STH Efficacy'!$CD:$CD, 
'STH Efficacy'!$BS:$BS, $A63, 
'STH Efficacy'!$BT:$BT, "Albendazole &amp; Ivermectin",
'STH Efficacy'!$BZ:$BZ,"&lt;2016",
'STH Efficacy'!$CU:$CU,""),
"")</f>
        <v/>
      </c>
      <c r="BK63" s="136">
        <f t="shared" si="22"/>
        <v>0.848</v>
      </c>
      <c r="BL63" s="444" t="str">
        <f>IFERROR(
  AVERAGEIFS(
    'NEW Onchocerciasis Efficacy'!$AO:$AO,
    'NEW Onchocerciasis Efficacy'!$C:$C,$A63,
    'NEW Onchocerciasis Efficacy'!$D:$D,"Ivermectin",
    'NEW Onchocerciasis Efficacy'!$AR:$AR,"&lt;2016",
    'NEW Onchocerciasis Efficacy'!$BG:$BG,"")
,"")</f>
        <v/>
      </c>
      <c r="BM63" s="304">
        <f t="shared" si="23"/>
        <v>0.7808368939</v>
      </c>
      <c r="BN63" s="439">
        <v>0.0</v>
      </c>
      <c r="BO63" s="139">
        <v>0.0</v>
      </c>
      <c r="BP63" s="140">
        <v>0.0</v>
      </c>
      <c r="BQ63" s="141">
        <f t="shared" si="24"/>
        <v>0</v>
      </c>
      <c r="BR63" s="104" t="str">
        <f t="shared" si="25"/>
        <v>0000</v>
      </c>
      <c r="BS63" s="104" t="str">
        <f t="shared" si="26"/>
        <v>no action required</v>
      </c>
      <c r="BT63" s="142" t="str">
        <f t="shared" si="27"/>
        <v/>
      </c>
      <c r="BU63" s="104" t="str">
        <f t="shared" si="28"/>
        <v/>
      </c>
      <c r="BV63" s="104" t="str">
        <f t="shared" si="29"/>
        <v>none</v>
      </c>
      <c r="BW63" s="150" t="str">
        <f t="shared" si="30"/>
        <v/>
      </c>
      <c r="BX63" s="150" t="str">
        <f t="shared" si="31"/>
        <v/>
      </c>
      <c r="BY63" s="151" t="str">
        <f t="shared" si="32"/>
        <v/>
      </c>
      <c r="BZ63" s="152" t="str">
        <f t="shared" si="33"/>
        <v/>
      </c>
      <c r="CA63" s="152" t="str">
        <f t="shared" si="34"/>
        <v/>
      </c>
      <c r="CB63" s="152" t="str">
        <f t="shared" si="35"/>
        <v/>
      </c>
      <c r="CC63" s="153" t="str">
        <f t="shared" si="36"/>
        <v/>
      </c>
      <c r="CD63" s="153" t="str">
        <f t="shared" si="37"/>
        <v/>
      </c>
      <c r="CE63" s="154" t="str">
        <f t="shared" si="38"/>
        <v/>
      </c>
      <c r="CF63" s="154" t="str">
        <f t="shared" si="39"/>
        <v/>
      </c>
      <c r="CG63" s="154" t="str">
        <f t="shared" si="40"/>
        <v/>
      </c>
      <c r="CH63" s="308" t="str">
        <f t="shared" si="41"/>
        <v/>
      </c>
    </row>
    <row r="64">
      <c r="A64" s="103" t="s">
        <v>153</v>
      </c>
      <c r="B64" s="104" t="s">
        <v>98</v>
      </c>
      <c r="C64" s="428">
        <v>73162.0</v>
      </c>
      <c r="D64" s="161">
        <v>0.0</v>
      </c>
      <c r="E64" s="294">
        <v>0.0</v>
      </c>
      <c r="F64" s="307">
        <v>0.0</v>
      </c>
      <c r="G64" s="309">
        <v>0.0</v>
      </c>
      <c r="H64" s="108">
        <v>0.0</v>
      </c>
      <c r="I64" s="109">
        <v>0.00299999</v>
      </c>
      <c r="J64" s="109">
        <v>0.00333794</v>
      </c>
      <c r="K64" s="109">
        <v>0.006337934</v>
      </c>
      <c r="L64" s="112">
        <v>0.067259711</v>
      </c>
      <c r="M64" s="112">
        <v>0.040832802</v>
      </c>
      <c r="N64" s="112">
        <v>0.108092513</v>
      </c>
      <c r="O64" s="298">
        <v>0.0</v>
      </c>
      <c r="P64" s="114"/>
      <c r="Q64" s="114"/>
      <c r="R64" s="121" t="str">
        <f t="shared" si="4"/>
        <v/>
      </c>
      <c r="S64" s="116">
        <f t="shared" si="5"/>
        <v>0.3565746084</v>
      </c>
      <c r="T64" s="117"/>
      <c r="U64" s="118">
        <f t="shared" si="6"/>
        <v>0.4791888889</v>
      </c>
      <c r="V64" s="148"/>
      <c r="W64" s="120">
        <f t="shared" si="7"/>
        <v>0.685</v>
      </c>
      <c r="X64" s="148"/>
      <c r="Y64" s="120">
        <f t="shared" si="8"/>
        <v>0.7550545455</v>
      </c>
      <c r="Z64" s="299"/>
      <c r="AA64" s="441"/>
      <c r="AB64" s="300" t="str">
        <f t="shared" si="9"/>
        <v/>
      </c>
      <c r="AC64" s="300">
        <f t="shared" si="10"/>
        <v>0.7101368438</v>
      </c>
      <c r="AD64" s="122">
        <v>0.0</v>
      </c>
      <c r="AE64" s="123">
        <v>0.0</v>
      </c>
      <c r="AF64" s="430">
        <v>0.0</v>
      </c>
      <c r="AG64" s="124">
        <v>1.0E-4</v>
      </c>
      <c r="AH64" s="124">
        <v>9.38945E-5</v>
      </c>
      <c r="AI64" s="125">
        <v>1.0E-4</v>
      </c>
      <c r="AJ64" s="125">
        <v>8.72074E-5</v>
      </c>
      <c r="AK64" s="127">
        <v>1.0E-4</v>
      </c>
      <c r="AL64" s="127">
        <v>9.36452E-5</v>
      </c>
      <c r="AM64" s="302">
        <v>0.0</v>
      </c>
      <c r="AN64" s="149" t="str">
        <f>IFERROR(
  AVERAGEIFS(
    'New LF Efficacy'!$J:$J,
    'New LF Efficacy'!$D:$D, $A64,
    'New LF Efficacy'!$F:$F,"DEC", 
    'New LF Efficacy'!$W:$W,"&lt;2016",
    'New LF Efficacy'!$AA:$AA,""),
  ""
)</f>
        <v/>
      </c>
      <c r="AO64" s="115">
        <f t="shared" si="11"/>
        <v>0.2589833333</v>
      </c>
      <c r="AP64" s="149" t="str">
        <f>IFERROR(
AVERAGEIFS(
'New LF Efficacy'!$J:$J,
'New LF Efficacy'!$D:$D,$A64,
'New LF Efficacy'!$F:$F,"Albendazole &amp; DEC",
'New LF Efficacy'!$W:$W,"&lt;2016",
'New LF Efficacy'!$AA:$AA,""),
"")
</f>
        <v/>
      </c>
      <c r="AQ64" s="115">
        <f t="shared" si="12"/>
        <v>0.3465</v>
      </c>
      <c r="AR64" s="149" t="str">
        <f>IFERROR(
AVERAGEIFS(
'New LF Efficacy'!$J:$J,
'New LF Efficacy'!$D:$D,$A64,
'New LF Efficacy'!$F:$F,"Albendazole &amp; Ivermectin", 
'New LF Efficacy'!$W:$W,"&lt;2016",
'New LF Efficacy'!$AA:$AA,""),"")</f>
        <v/>
      </c>
      <c r="AS64" s="115">
        <f t="shared" si="13"/>
        <v>0.7575</v>
      </c>
      <c r="AT64" s="442" t="str">
        <f>IFERROR(AVERAGEIFS(
'Schist Efficacy'!$O:$O, 
'Schist Efficacy'!$C:$C,$A64, 
'Schist Efficacy'!$D:$D, "Praziquantel",
'Schist Efficacy'!$J:$J,"&lt;2016",
'Schist Efficacy'!$U:$U,""),
"")</f>
        <v/>
      </c>
      <c r="AU64" s="118">
        <f t="shared" si="14"/>
        <v>0.7914761905</v>
      </c>
      <c r="AV64" s="131" t="str">
        <f>IFERROR(AVERAGEIFS(
'STH Efficacy'!$AX:$AX, 
'STH Efficacy'!$AL:$AL, $A64, 
'STH Efficacy'!$AM:$AM, "Albendazole",
'STH Efficacy'!$AS:$AS,"&lt;2016",
'STH Efficacy'!$BP:$BP,""),
"")</f>
        <v/>
      </c>
      <c r="AW64" s="132">
        <f t="shared" si="15"/>
        <v>0.3945</v>
      </c>
      <c r="AX64" s="131" t="str">
        <f>IFERROR(AVERAGEIFS(
'STH Efficacy'!$AX:$AX, 
'STH Efficacy'!$AL:$AL, $A64, 
'STH Efficacy'!$AM:$AM, "Mebendazole",
'STH Efficacy'!$AS:$AS,"&lt;2016",
'STH Efficacy'!$BP:$BP,""),
"")</f>
        <v/>
      </c>
      <c r="AY64" s="132">
        <f t="shared" si="16"/>
        <v>0.6</v>
      </c>
      <c r="AZ64" s="131" t="str">
        <f>IFERROR(AVERAGEIFS(
'STH Efficacy'!$AX:$AX, 
'STH Efficacy'!$AL:$AL, $A64, 
'STH Efficacy'!$AM:$AM, "Albendazole &amp; Ivermectin",
'STH Efficacy'!$AS:$AS,"&lt;2016",
'STH Efficacy'!$BP:$BP,""),
"")</f>
        <v/>
      </c>
      <c r="BA64" s="133">
        <f t="shared" si="17"/>
        <v>0.796</v>
      </c>
      <c r="BB64" s="443" t="str">
        <f>IFERROR(AVERAGEIFS(
'STH Efficacy'!$N:$N, 
'STH Efficacy'!$B:$B, $A64, 
'STH Efficacy'!$C:$C, "Albendazole",
'STH Efficacy'!$I:$I,"&lt;2016",
'STH Efficacy'!$AH:$AH,""),
"")</f>
        <v/>
      </c>
      <c r="BC64" s="135">
        <f t="shared" si="18"/>
        <v>0.869</v>
      </c>
      <c r="BD64" s="443" t="str">
        <f>IFERROR(AVERAGEIFS(
'STH Efficacy'!$N:$N, 
'STH Efficacy'!$B:$B, $A64, 
'STH Efficacy'!$C:$C, "Mebendazole",
'STH Efficacy'!$I:$I,"&lt;2016",
'STH Efficacy'!$AH:$AH,""),
"")</f>
        <v/>
      </c>
      <c r="BE64" s="135">
        <f t="shared" si="19"/>
        <v>0.172</v>
      </c>
      <c r="BF64" s="436" t="str">
        <f>IFERROR(AVERAGEIFS(
'STH Efficacy'!$CD:$CD, 
'STH Efficacy'!$BS:$BS, $A64, 
'STH Efficacy'!$BT:$BT, "Albendazole",
'STH Efficacy'!$BZ:$BZ,"&lt;2016",
'STH Efficacy'!$CU:$CU,""),
"")</f>
        <v/>
      </c>
      <c r="BG64" s="136">
        <f t="shared" si="20"/>
        <v>0.9862</v>
      </c>
      <c r="BH64" s="436" t="str">
        <f>IFERROR(AVERAGEIFS(
'STH Efficacy'!$CD:$CD, 
'STH Efficacy'!$BS:$BS, $A64, 
'STH Efficacy'!$BT:$BT, "Mebendazole",
'STH Efficacy'!$BZ:$BZ,"&lt;2016",
'STH Efficacy'!$CU:$CU,""),
"")</f>
        <v/>
      </c>
      <c r="BI64" s="136">
        <f t="shared" si="21"/>
        <v>0.769</v>
      </c>
      <c r="BJ64" s="436" t="str">
        <f>IFERROR(AVERAGEIFS(
'STH Efficacy'!$CD:$CD, 
'STH Efficacy'!$BS:$BS, $A64, 
'STH Efficacy'!$BT:$BT, "Albendazole &amp; Ivermectin",
'STH Efficacy'!$BZ:$BZ,"&lt;2016",
'STH Efficacy'!$CU:$CU,""),
"")</f>
        <v/>
      </c>
      <c r="BK64" s="136">
        <f t="shared" si="22"/>
        <v>1</v>
      </c>
      <c r="BL64" s="444" t="str">
        <f>IFERROR(
  AVERAGEIFS(
    'NEW Onchocerciasis Efficacy'!$AO:$AO,
    'NEW Onchocerciasis Efficacy'!$C:$C,$A64,
    'NEW Onchocerciasis Efficacy'!$D:$D,"Ivermectin",
    'NEW Onchocerciasis Efficacy'!$AR:$AR,"&lt;2016",
    'NEW Onchocerciasis Efficacy'!$BG:$BG,"")
,"")</f>
        <v/>
      </c>
      <c r="BM64" s="304">
        <f t="shared" si="23"/>
        <v>0.3734</v>
      </c>
      <c r="BN64" s="439">
        <v>0.0</v>
      </c>
      <c r="BO64" s="139">
        <v>0.0</v>
      </c>
      <c r="BP64" s="140">
        <v>0.0</v>
      </c>
      <c r="BQ64" s="141">
        <f t="shared" si="24"/>
        <v>0</v>
      </c>
      <c r="BR64" s="104" t="str">
        <f t="shared" si="25"/>
        <v>0000</v>
      </c>
      <c r="BS64" s="104" t="str">
        <f t="shared" si="26"/>
        <v>no action required</v>
      </c>
      <c r="BT64" s="142" t="str">
        <f t="shared" si="27"/>
        <v/>
      </c>
      <c r="BU64" s="104" t="str">
        <f t="shared" si="28"/>
        <v/>
      </c>
      <c r="BV64" s="104" t="str">
        <f t="shared" si="29"/>
        <v>none</v>
      </c>
      <c r="BW64" s="150" t="str">
        <f t="shared" si="30"/>
        <v/>
      </c>
      <c r="BX64" s="150" t="str">
        <f t="shared" si="31"/>
        <v/>
      </c>
      <c r="BY64" s="151" t="str">
        <f t="shared" si="32"/>
        <v/>
      </c>
      <c r="BZ64" s="152" t="str">
        <f t="shared" si="33"/>
        <v/>
      </c>
      <c r="CA64" s="152" t="str">
        <f t="shared" si="34"/>
        <v/>
      </c>
      <c r="CB64" s="152" t="str">
        <f t="shared" si="35"/>
        <v/>
      </c>
      <c r="CC64" s="153" t="str">
        <f t="shared" si="36"/>
        <v/>
      </c>
      <c r="CD64" s="153" t="str">
        <f t="shared" si="37"/>
        <v/>
      </c>
      <c r="CE64" s="154" t="str">
        <f t="shared" si="38"/>
        <v/>
      </c>
      <c r="CF64" s="154" t="str">
        <f t="shared" si="39"/>
        <v/>
      </c>
      <c r="CG64" s="154" t="str">
        <f t="shared" si="40"/>
        <v/>
      </c>
      <c r="CH64" s="308" t="str">
        <f t="shared" si="41"/>
        <v/>
      </c>
    </row>
    <row r="65">
      <c r="A65" s="103" t="s">
        <v>154</v>
      </c>
      <c r="B65" s="104" t="s">
        <v>98</v>
      </c>
      <c r="C65" s="428">
        <v>1.0528394E7</v>
      </c>
      <c r="D65" s="161">
        <v>126.89999999999999</v>
      </c>
      <c r="E65" s="294">
        <v>1311.967583</v>
      </c>
      <c r="F65" s="307">
        <v>0.0</v>
      </c>
      <c r="G65" s="309">
        <v>0.0</v>
      </c>
      <c r="H65" s="108">
        <v>0.0</v>
      </c>
      <c r="I65" s="109">
        <v>0.0596633</v>
      </c>
      <c r="J65" s="109">
        <v>0.08361119</v>
      </c>
      <c r="K65" s="109">
        <v>0.143274489</v>
      </c>
      <c r="L65" s="112">
        <v>12.39065339</v>
      </c>
      <c r="M65" s="112">
        <v>6.612540828</v>
      </c>
      <c r="N65" s="112">
        <v>19.00319422</v>
      </c>
      <c r="O65" s="324">
        <v>0.0</v>
      </c>
      <c r="P65" s="160">
        <v>63798.0</v>
      </c>
      <c r="Q65" s="156"/>
      <c r="R65" s="121">
        <f t="shared" si="4"/>
        <v>0</v>
      </c>
      <c r="S65" s="116">
        <f t="shared" si="5"/>
        <v>0.3565746084</v>
      </c>
      <c r="T65" s="448"/>
      <c r="U65" s="449">
        <f t="shared" si="6"/>
        <v>0.4791888889</v>
      </c>
      <c r="V65" s="119">
        <v>1.0</v>
      </c>
      <c r="W65" s="120">
        <f t="shared" si="7"/>
        <v>1</v>
      </c>
      <c r="X65" s="119">
        <v>1.0</v>
      </c>
      <c r="Y65" s="120">
        <f t="shared" si="8"/>
        <v>1</v>
      </c>
      <c r="Z65" s="299"/>
      <c r="AA65" s="441"/>
      <c r="AB65" s="300" t="str">
        <f t="shared" si="9"/>
        <v/>
      </c>
      <c r="AC65" s="300">
        <f t="shared" si="10"/>
        <v>0.7101368438</v>
      </c>
      <c r="AD65" s="122">
        <v>2.0E-4</v>
      </c>
      <c r="AE65" s="123">
        <v>0.01</v>
      </c>
      <c r="AF65" s="430">
        <v>3.0E-4</v>
      </c>
      <c r="AG65" s="124">
        <v>0.0</v>
      </c>
      <c r="AH65" s="124">
        <v>1.20951E-5</v>
      </c>
      <c r="AI65" s="125">
        <v>0.0</v>
      </c>
      <c r="AJ65" s="125">
        <v>1.18049E-5</v>
      </c>
      <c r="AK65" s="127">
        <v>0.0</v>
      </c>
      <c r="AL65" s="127">
        <v>1.20099E-5</v>
      </c>
      <c r="AM65" s="302">
        <v>0.0</v>
      </c>
      <c r="AN65" s="149" t="str">
        <f>IFERROR(
  AVERAGEIFS(
    'New LF Efficacy'!$J:$J,
    'New LF Efficacy'!$D:$D, $A65,
    'New LF Efficacy'!$F:$F,"DEC", 
    'New LF Efficacy'!$W:$W,"&lt;2016",
    'New LF Efficacy'!$AA:$AA,""),
  ""
)</f>
        <v/>
      </c>
      <c r="AO65" s="115">
        <f t="shared" si="11"/>
        <v>0.2589833333</v>
      </c>
      <c r="AP65" s="149" t="str">
        <f>IFERROR(
AVERAGEIFS(
'New LF Efficacy'!$J:$J,
'New LF Efficacy'!$D:$D,$A65,
'New LF Efficacy'!$F:$F,"Albendazole &amp; DEC",
'New LF Efficacy'!$W:$W,"&lt;2016",
'New LF Efficacy'!$AA:$AA,""),
"")
</f>
        <v/>
      </c>
      <c r="AQ65" s="115">
        <f t="shared" si="12"/>
        <v>0.3465</v>
      </c>
      <c r="AR65" s="149" t="str">
        <f>IFERROR(
AVERAGEIFS(
'New LF Efficacy'!$J:$J,
'New LF Efficacy'!$D:$D,$A65,
'New LF Efficacy'!$F:$F,"Albendazole &amp; Ivermectin", 
'New LF Efficacy'!$W:$W,"&lt;2016",
'New LF Efficacy'!$AA:$AA,""),"")</f>
        <v/>
      </c>
      <c r="AS65" s="115">
        <f t="shared" si="13"/>
        <v>0.7575</v>
      </c>
      <c r="AT65" s="442" t="str">
        <f>IFERROR(AVERAGEIFS(
'Schist Efficacy'!$O:$O, 
'Schist Efficacy'!$C:$C,$A65, 
'Schist Efficacy'!$D:$D, "Praziquantel",
'Schist Efficacy'!$J:$J,"&lt;2016",
'Schist Efficacy'!$U:$U,""),
"")</f>
        <v/>
      </c>
      <c r="AU65" s="118">
        <f t="shared" si="14"/>
        <v>0.7914761905</v>
      </c>
      <c r="AV65" s="131" t="str">
        <f>IFERROR(AVERAGEIFS(
'STH Efficacy'!$AX:$AX, 
'STH Efficacy'!$AL:$AL, $A65, 
'STH Efficacy'!$AM:$AM, "Albendazole",
'STH Efficacy'!$AS:$AS,"&lt;2016",
'STH Efficacy'!$BP:$BP,""),
"")</f>
        <v/>
      </c>
      <c r="AW65" s="132">
        <f t="shared" si="15"/>
        <v>0.3945</v>
      </c>
      <c r="AX65" s="131" t="str">
        <f>IFERROR(AVERAGEIFS(
'STH Efficacy'!$AX:$AX, 
'STH Efficacy'!$AL:$AL, $A65, 
'STH Efficacy'!$AM:$AM, "Mebendazole",
'STH Efficacy'!$AS:$AS,"&lt;2016",
'STH Efficacy'!$BP:$BP,""),
"")</f>
        <v/>
      </c>
      <c r="AY65" s="132">
        <f t="shared" si="16"/>
        <v>0.6</v>
      </c>
      <c r="AZ65" s="131" t="str">
        <f>IFERROR(AVERAGEIFS(
'STH Efficacy'!$AX:$AX, 
'STH Efficacy'!$AL:$AL, $A65, 
'STH Efficacy'!$AM:$AM, "Albendazole &amp; Ivermectin",
'STH Efficacy'!$AS:$AS,"&lt;2016",
'STH Efficacy'!$BP:$BP,""),
"")</f>
        <v/>
      </c>
      <c r="BA65" s="133">
        <f t="shared" si="17"/>
        <v>0.796</v>
      </c>
      <c r="BB65" s="443" t="str">
        <f>IFERROR(AVERAGEIFS(
'STH Efficacy'!$N:$N, 
'STH Efficacy'!$B:$B, $A65, 
'STH Efficacy'!$C:$C, "Albendazole",
'STH Efficacy'!$I:$I,"&lt;2016",
'STH Efficacy'!$AH:$AH,""),
"")</f>
        <v/>
      </c>
      <c r="BC65" s="135">
        <f t="shared" si="18"/>
        <v>0.869</v>
      </c>
      <c r="BD65" s="443" t="str">
        <f>IFERROR(AVERAGEIFS(
'STH Efficacy'!$N:$N, 
'STH Efficacy'!$B:$B, $A65, 
'STH Efficacy'!$C:$C, "Mebendazole",
'STH Efficacy'!$I:$I,"&lt;2016",
'STH Efficacy'!$AH:$AH,""),
"")</f>
        <v/>
      </c>
      <c r="BE65" s="135">
        <f t="shared" si="19"/>
        <v>0.172</v>
      </c>
      <c r="BF65" s="436" t="str">
        <f>IFERROR(AVERAGEIFS(
'STH Efficacy'!$CD:$CD, 
'STH Efficacy'!$BS:$BS, $A65, 
'STH Efficacy'!$BT:$BT, "Albendazole",
'STH Efficacy'!$BZ:$BZ,"&lt;2016",
'STH Efficacy'!$CU:$CU,""),
"")</f>
        <v/>
      </c>
      <c r="BG65" s="136">
        <f t="shared" si="20"/>
        <v>0.9862</v>
      </c>
      <c r="BH65" s="436" t="str">
        <f>IFERROR(AVERAGEIFS(
'STH Efficacy'!$CD:$CD, 
'STH Efficacy'!$BS:$BS, $A65, 
'STH Efficacy'!$BT:$BT, "Mebendazole",
'STH Efficacy'!$BZ:$BZ,"&lt;2016",
'STH Efficacy'!$CU:$CU,""),
"")</f>
        <v/>
      </c>
      <c r="BI65" s="136">
        <f t="shared" si="21"/>
        <v>0.769</v>
      </c>
      <c r="BJ65" s="436" t="str">
        <f>IFERROR(AVERAGEIFS(
'STH Efficacy'!$CD:$CD, 
'STH Efficacy'!$BS:$BS, $A65, 
'STH Efficacy'!$BT:$BT, "Albendazole &amp; Ivermectin",
'STH Efficacy'!$BZ:$BZ,"&lt;2016",
'STH Efficacy'!$CU:$CU,""),
"")</f>
        <v/>
      </c>
      <c r="BK65" s="136">
        <f t="shared" si="22"/>
        <v>1</v>
      </c>
      <c r="BL65" s="444" t="str">
        <f>IFERROR(
  AVERAGEIFS(
    'NEW Onchocerciasis Efficacy'!$AO:$AO,
    'NEW Onchocerciasis Efficacy'!$C:$C,$A65,
    'NEW Onchocerciasis Efficacy'!$D:$D,"Ivermectin",
    'NEW Onchocerciasis Efficacy'!$AR:$AR,"&lt;2016",
    'NEW Onchocerciasis Efficacy'!$BG:$BG,"")
,"")</f>
        <v/>
      </c>
      <c r="BM65" s="304">
        <f t="shared" si="23"/>
        <v>0.3734</v>
      </c>
      <c r="BN65" s="439">
        <v>1.0</v>
      </c>
      <c r="BO65" s="139">
        <v>0.0</v>
      </c>
      <c r="BP65" s="140">
        <v>0.0</v>
      </c>
      <c r="BQ65" s="141">
        <f t="shared" si="24"/>
        <v>0</v>
      </c>
      <c r="BR65" s="104" t="str">
        <f t="shared" si="25"/>
        <v>1000</v>
      </c>
      <c r="BS65" s="104" t="str">
        <f t="shared" si="26"/>
        <v>MDA1/2</v>
      </c>
      <c r="BT65" s="142" t="str">
        <f t="shared" si="27"/>
        <v>IVM+ALB or DEC+ALB</v>
      </c>
      <c r="BU65" s="104" t="str">
        <f t="shared" si="28"/>
        <v/>
      </c>
      <c r="BV65" s="104" t="str">
        <f t="shared" si="29"/>
        <v>lf only</v>
      </c>
      <c r="BW65" s="312">
        <f t="shared" si="30"/>
        <v>17.88914839</v>
      </c>
      <c r="BX65" s="312">
        <f t="shared" si="31"/>
        <v>46.96068711</v>
      </c>
      <c r="BY65" s="151" t="str">
        <f t="shared" si="32"/>
        <v/>
      </c>
      <c r="BZ65" s="152" t="str">
        <f t="shared" si="33"/>
        <v/>
      </c>
      <c r="CA65" s="152" t="str">
        <f t="shared" si="34"/>
        <v/>
      </c>
      <c r="CB65" s="152" t="str">
        <f t="shared" si="35"/>
        <v/>
      </c>
      <c r="CC65" s="153" t="str">
        <f t="shared" si="36"/>
        <v/>
      </c>
      <c r="CD65" s="153" t="str">
        <f t="shared" si="37"/>
        <v/>
      </c>
      <c r="CE65" s="154" t="str">
        <f t="shared" si="38"/>
        <v/>
      </c>
      <c r="CF65" s="154" t="str">
        <f t="shared" si="39"/>
        <v/>
      </c>
      <c r="CG65" s="154" t="str">
        <f t="shared" si="40"/>
        <v/>
      </c>
      <c r="CH65" s="308" t="str">
        <f t="shared" si="41"/>
        <v/>
      </c>
    </row>
    <row r="66">
      <c r="A66" s="103" t="s">
        <v>155</v>
      </c>
      <c r="B66" s="104" t="s">
        <v>98</v>
      </c>
      <c r="C66" s="428">
        <v>1.6144368E7</v>
      </c>
      <c r="D66" s="161">
        <v>0.0</v>
      </c>
      <c r="E66" s="294">
        <v>0.0</v>
      </c>
      <c r="F66" s="295">
        <v>391.9812351</v>
      </c>
      <c r="G66" s="322">
        <v>1026.57551</v>
      </c>
      <c r="H66" s="108">
        <v>1418.556745</v>
      </c>
      <c r="I66" s="109">
        <v>90.3389004</v>
      </c>
      <c r="J66" s="109">
        <v>164.760835</v>
      </c>
      <c r="K66" s="109">
        <v>255.0997351</v>
      </c>
      <c r="L66" s="112">
        <v>1004.696793</v>
      </c>
      <c r="M66" s="112">
        <v>1041.277132</v>
      </c>
      <c r="N66" s="112">
        <v>2045.973925</v>
      </c>
      <c r="O66" s="324">
        <v>1.87228E-78</v>
      </c>
      <c r="P66" s="114"/>
      <c r="Q66" s="114"/>
      <c r="R66" s="121" t="str">
        <f t="shared" si="4"/>
        <v/>
      </c>
      <c r="S66" s="116">
        <f t="shared" si="5"/>
        <v>0.3565746084</v>
      </c>
      <c r="T66" s="117"/>
      <c r="U66" s="118">
        <f t="shared" si="6"/>
        <v>0.4791888889</v>
      </c>
      <c r="V66" s="148"/>
      <c r="W66" s="120">
        <f t="shared" si="7"/>
        <v>0.685</v>
      </c>
      <c r="X66" s="148"/>
      <c r="Y66" s="120">
        <f t="shared" si="8"/>
        <v>0.7550545455</v>
      </c>
      <c r="Z66" s="298" t="s">
        <v>389</v>
      </c>
      <c r="AA66" s="450" t="s">
        <v>390</v>
      </c>
      <c r="AB66" s="300" t="str">
        <f t="shared" si="9"/>
        <v/>
      </c>
      <c r="AC66" s="300">
        <f t="shared" si="10"/>
        <v>0.7101368438</v>
      </c>
      <c r="AD66" s="122">
        <v>0.0</v>
      </c>
      <c r="AE66" s="123">
        <v>0.0</v>
      </c>
      <c r="AF66" s="430">
        <v>0.0</v>
      </c>
      <c r="AG66" s="124">
        <v>0.0</v>
      </c>
      <c r="AH66" s="124">
        <v>0.257727023</v>
      </c>
      <c r="AI66" s="125">
        <v>0.0</v>
      </c>
      <c r="AJ66" s="125">
        <v>0.017004967</v>
      </c>
      <c r="AK66" s="127">
        <v>0.0</v>
      </c>
      <c r="AL66" s="127">
        <v>0.257383504</v>
      </c>
      <c r="AM66" s="302">
        <v>0.0</v>
      </c>
      <c r="AN66" s="149" t="str">
        <f>IFERROR(
  AVERAGEIFS(
    'New LF Efficacy'!$J:$J,
    'New LF Efficacy'!$D:$D, $A66,
    'New LF Efficacy'!$F:$F,"DEC", 
    'New LF Efficacy'!$W:$W,"&lt;2016",
    'New LF Efficacy'!$AA:$AA,""),
  ""
)</f>
        <v/>
      </c>
      <c r="AO66" s="115">
        <f t="shared" si="11"/>
        <v>0.2589833333</v>
      </c>
      <c r="AP66" s="149" t="str">
        <f>IFERROR(
AVERAGEIFS(
'New LF Efficacy'!$J:$J,
'New LF Efficacy'!$D:$D,$A66,
'New LF Efficacy'!$F:$F,"Albendazole &amp; DEC",
'New LF Efficacy'!$W:$W,"&lt;2016",
'New LF Efficacy'!$AA:$AA,""),
"")
</f>
        <v/>
      </c>
      <c r="AQ66" s="115">
        <f t="shared" si="12"/>
        <v>0.3465</v>
      </c>
      <c r="AR66" s="149" t="str">
        <f>IFERROR(
AVERAGEIFS(
'New LF Efficacy'!$J:$J,
'New LF Efficacy'!$D:$D,$A66,
'New LF Efficacy'!$F:$F,"Albendazole &amp; Ivermectin", 
'New LF Efficacy'!$W:$W,"&lt;2016",
'New LF Efficacy'!$AA:$AA,""),"")</f>
        <v/>
      </c>
      <c r="AS66" s="115">
        <f t="shared" si="13"/>
        <v>0.7575</v>
      </c>
      <c r="AT66" s="442" t="str">
        <f>IFERROR(AVERAGEIFS(
'Schist Efficacy'!$O:$O, 
'Schist Efficacy'!$C:$C,$A66, 
'Schist Efficacy'!$D:$D, "Praziquantel",
'Schist Efficacy'!$J:$J,"&lt;2016",
'Schist Efficacy'!$U:$U,""),
"")</f>
        <v/>
      </c>
      <c r="AU66" s="118">
        <f t="shared" si="14"/>
        <v>0.7914761905</v>
      </c>
      <c r="AV66" s="131" t="str">
        <f>IFERROR(AVERAGEIFS(
'STH Efficacy'!$AX:$AX, 
'STH Efficacy'!$AL:$AL, $A66, 
'STH Efficacy'!$AM:$AM, "Albendazole",
'STH Efficacy'!$AS:$AS,"&lt;2016",
'STH Efficacy'!$BP:$BP,""),
"")</f>
        <v/>
      </c>
      <c r="AW66" s="132">
        <f t="shared" si="15"/>
        <v>0.3945</v>
      </c>
      <c r="AX66" s="131" t="str">
        <f>IFERROR(AVERAGEIFS(
'STH Efficacy'!$AX:$AX, 
'STH Efficacy'!$AL:$AL, $A66, 
'STH Efficacy'!$AM:$AM, "Mebendazole",
'STH Efficacy'!$AS:$AS,"&lt;2016",
'STH Efficacy'!$BP:$BP,""),
"")</f>
        <v/>
      </c>
      <c r="AY66" s="132">
        <f t="shared" si="16"/>
        <v>0.6</v>
      </c>
      <c r="AZ66" s="131" t="str">
        <f>IFERROR(AVERAGEIFS(
'STH Efficacy'!$AX:$AX, 
'STH Efficacy'!$AL:$AL, $A66, 
'STH Efficacy'!$AM:$AM, "Albendazole &amp; Ivermectin",
'STH Efficacy'!$AS:$AS,"&lt;2016",
'STH Efficacy'!$BP:$BP,""),
"")</f>
        <v/>
      </c>
      <c r="BA66" s="133">
        <f t="shared" si="17"/>
        <v>0.796</v>
      </c>
      <c r="BB66" s="443" t="str">
        <f>IFERROR(AVERAGEIFS(
'STH Efficacy'!$N:$N, 
'STH Efficacy'!$B:$B, $A66, 
'STH Efficacy'!$C:$C, "Albendazole",
'STH Efficacy'!$I:$I,"&lt;2016",
'STH Efficacy'!$AH:$AH,""),
"")</f>
        <v/>
      </c>
      <c r="BC66" s="135">
        <f t="shared" si="18"/>
        <v>0.869</v>
      </c>
      <c r="BD66" s="443" t="str">
        <f>IFERROR(AVERAGEIFS(
'STH Efficacy'!$N:$N, 
'STH Efficacy'!$B:$B, $A66, 
'STH Efficacy'!$C:$C, "Mebendazole",
'STH Efficacy'!$I:$I,"&lt;2016",
'STH Efficacy'!$AH:$AH,""),
"")</f>
        <v/>
      </c>
      <c r="BE66" s="135">
        <f t="shared" si="19"/>
        <v>0.172</v>
      </c>
      <c r="BF66" s="436" t="str">
        <f>IFERROR(AVERAGEIFS(
'STH Efficacy'!$CD:$CD, 
'STH Efficacy'!$BS:$BS, $A66, 
'STH Efficacy'!$BT:$BT, "Albendazole",
'STH Efficacy'!$BZ:$BZ,"&lt;2016",
'STH Efficacy'!$CU:$CU,""),
"")</f>
        <v/>
      </c>
      <c r="BG66" s="136">
        <f t="shared" si="20"/>
        <v>0.9862</v>
      </c>
      <c r="BH66" s="436" t="str">
        <f>IFERROR(AVERAGEIFS(
'STH Efficacy'!$CD:$CD, 
'STH Efficacy'!$BS:$BS, $A66, 
'STH Efficacy'!$BT:$BT, "Mebendazole",
'STH Efficacy'!$BZ:$BZ,"&lt;2016",
'STH Efficacy'!$CU:$CU,""),
"")</f>
        <v/>
      </c>
      <c r="BI66" s="136">
        <f t="shared" si="21"/>
        <v>0.769</v>
      </c>
      <c r="BJ66" s="436" t="str">
        <f>IFERROR(AVERAGEIFS(
'STH Efficacy'!$CD:$CD, 
'STH Efficacy'!$BS:$BS, $A66, 
'STH Efficacy'!$BT:$BT, "Albendazole &amp; Ivermectin",
'STH Efficacy'!$BZ:$BZ,"&lt;2016",
'STH Efficacy'!$CU:$CU,""),
"")</f>
        <v/>
      </c>
      <c r="BK66" s="136">
        <f t="shared" si="22"/>
        <v>1</v>
      </c>
      <c r="BL66" s="444" t="str">
        <f>IFERROR(
  AVERAGEIFS(
    'NEW Onchocerciasis Efficacy'!$AO:$AO,
    'NEW Onchocerciasis Efficacy'!$C:$C,$A66,
    'NEW Onchocerciasis Efficacy'!$D:$D,"Ivermectin",
    'NEW Onchocerciasis Efficacy'!$AR:$AR,"&lt;2016",
    'NEW Onchocerciasis Efficacy'!$BG:$BG,"")
,"")</f>
        <v/>
      </c>
      <c r="BM66" s="304">
        <f t="shared" si="23"/>
        <v>0.3734</v>
      </c>
      <c r="BN66" s="439">
        <v>0.0</v>
      </c>
      <c r="BO66" s="139">
        <v>0.0</v>
      </c>
      <c r="BP66" s="140">
        <v>1.0</v>
      </c>
      <c r="BQ66" s="141">
        <f t="shared" si="24"/>
        <v>0</v>
      </c>
      <c r="BR66" s="104" t="str">
        <f t="shared" si="25"/>
        <v>0010</v>
      </c>
      <c r="BS66" s="104" t="str">
        <f t="shared" si="26"/>
        <v>T2</v>
      </c>
      <c r="BT66" s="142" t="str">
        <f t="shared" si="27"/>
        <v>PZQ</v>
      </c>
      <c r="BU66" s="104" t="str">
        <f t="shared" si="28"/>
        <v>PZQ</v>
      </c>
      <c r="BV66" s="104" t="str">
        <f t="shared" si="29"/>
        <v>schist only</v>
      </c>
      <c r="BW66" s="150" t="str">
        <f t="shared" si="30"/>
        <v/>
      </c>
      <c r="BX66" s="150" t="str">
        <f t="shared" si="31"/>
        <v/>
      </c>
      <c r="BY66" s="162">
        <f t="shared" si="32"/>
        <v>0</v>
      </c>
      <c r="BZ66" s="152" t="str">
        <f t="shared" si="33"/>
        <v/>
      </c>
      <c r="CA66" s="152" t="str">
        <f t="shared" si="34"/>
        <v/>
      </c>
      <c r="CB66" s="152" t="str">
        <f t="shared" si="35"/>
        <v/>
      </c>
      <c r="CC66" s="153" t="str">
        <f t="shared" si="36"/>
        <v/>
      </c>
      <c r="CD66" s="153" t="str">
        <f t="shared" si="37"/>
        <v/>
      </c>
      <c r="CE66" s="154" t="str">
        <f t="shared" si="38"/>
        <v/>
      </c>
      <c r="CF66" s="154" t="str">
        <f t="shared" si="39"/>
        <v/>
      </c>
      <c r="CG66" s="154" t="str">
        <f t="shared" si="40"/>
        <v/>
      </c>
      <c r="CH66" s="308" t="str">
        <f t="shared" si="41"/>
        <v/>
      </c>
    </row>
    <row r="67">
      <c r="A67" s="155" t="s">
        <v>156</v>
      </c>
      <c r="B67" s="104" t="s">
        <v>88</v>
      </c>
      <c r="C67" s="428">
        <v>9.3778172E7</v>
      </c>
      <c r="D67" s="161">
        <v>530.64</v>
      </c>
      <c r="E67" s="321">
        <v>41739.08282</v>
      </c>
      <c r="F67" s="295">
        <v>0.210233858</v>
      </c>
      <c r="G67" s="295">
        <v>1.056832495</v>
      </c>
      <c r="H67" s="108">
        <v>1.267066353</v>
      </c>
      <c r="I67" s="109">
        <v>482.906311</v>
      </c>
      <c r="J67" s="110">
        <v>1245.44293</v>
      </c>
      <c r="K67" s="109">
        <v>1728.349241</v>
      </c>
      <c r="L67" s="112">
        <v>163.7145569</v>
      </c>
      <c r="M67" s="112">
        <v>248.7306132</v>
      </c>
      <c r="N67" s="112">
        <v>412.4451701</v>
      </c>
      <c r="O67" s="298">
        <v>0.0</v>
      </c>
      <c r="P67" s="156"/>
      <c r="Q67" s="156"/>
      <c r="R67" s="121" t="str">
        <f t="shared" si="4"/>
        <v/>
      </c>
      <c r="S67" s="116">
        <f t="shared" si="5"/>
        <v>0.5709301448</v>
      </c>
      <c r="T67" s="118">
        <v>0.947</v>
      </c>
      <c r="U67" s="118">
        <f t="shared" si="6"/>
        <v>0.947</v>
      </c>
      <c r="V67" s="148"/>
      <c r="W67" s="120">
        <f t="shared" si="7"/>
        <v>0.9933333333</v>
      </c>
      <c r="X67" s="148"/>
      <c r="Y67" s="120">
        <f t="shared" si="8"/>
        <v>0.5301</v>
      </c>
      <c r="Z67" s="299"/>
      <c r="AA67" s="441"/>
      <c r="AB67" s="300" t="str">
        <f t="shared" si="9"/>
        <v/>
      </c>
      <c r="AC67" s="300">
        <f t="shared" si="10"/>
        <v>0.4014082288</v>
      </c>
      <c r="AD67" s="122">
        <v>1.0E-4</v>
      </c>
      <c r="AE67" s="123">
        <v>0.04</v>
      </c>
      <c r="AF67" s="430">
        <v>0.0108</v>
      </c>
      <c r="AG67" s="124">
        <v>0.0018</v>
      </c>
      <c r="AH67" s="124">
        <v>0.002604311</v>
      </c>
      <c r="AI67" s="125">
        <v>0.0129</v>
      </c>
      <c r="AJ67" s="125">
        <v>0.018949872</v>
      </c>
      <c r="AK67" s="127">
        <v>0.0189</v>
      </c>
      <c r="AL67" s="127">
        <v>0.027368884</v>
      </c>
      <c r="AM67" s="302">
        <v>0.0</v>
      </c>
      <c r="AN67" s="149" t="str">
        <f>IFERROR(
  AVERAGEIFS(
    'New LF Efficacy'!$J:$J,
    'New LF Efficacy'!$D:$D, $A67,
    'New LF Efficacy'!$F:$F,"DEC", 
    'New LF Efficacy'!$W:$W,"&lt;2016",
    'New LF Efficacy'!$AA:$AA,""),
  ""
)</f>
        <v/>
      </c>
      <c r="AO67" s="115">
        <f t="shared" si="11"/>
        <v>0.3573520833</v>
      </c>
      <c r="AP67" s="149">
        <f>IFERROR(
AVERAGEIFS(
'New LF Efficacy'!$J:$J,
'New LF Efficacy'!$D:$D,$A67,
'New LF Efficacy'!$F:$F,"Albendazole &amp; DEC",
'New LF Efficacy'!$W:$W,"&lt;2016",
'New LF Efficacy'!$AA:$AA,""),
"")
</f>
        <v>0.7935</v>
      </c>
      <c r="AQ67" s="115">
        <f t="shared" si="12"/>
        <v>0.7935</v>
      </c>
      <c r="AR67" s="149" t="str">
        <f>IFERROR(
AVERAGEIFS(
'New LF Efficacy'!$J:$J,
'New LF Efficacy'!$D:$D,$A67,
'New LF Efficacy'!$F:$F,"Albendazole &amp; Ivermectin", 
'New LF Efficacy'!$W:$W,"&lt;2016",
'New LF Efficacy'!$AA:$AA,""),"")</f>
        <v/>
      </c>
      <c r="AS67" s="115">
        <f t="shared" si="13"/>
        <v>0.37153125</v>
      </c>
      <c r="AT67" s="442">
        <f>IFERROR(AVERAGEIFS(
'Schist Efficacy'!$O:$O, 
'Schist Efficacy'!$C:$C,$A67, 
'Schist Efficacy'!$D:$D, "Praziquantel",
'Schist Efficacy'!$J:$J,"&lt;2016",
'Schist Efficacy'!$U:$U,""),
"")</f>
        <v>0.59825</v>
      </c>
      <c r="AU67" s="118">
        <f t="shared" si="14"/>
        <v>0.59825</v>
      </c>
      <c r="AV67" s="131" t="str">
        <f>IFERROR(AVERAGEIFS(
'STH Efficacy'!$AX:$AX, 
'STH Efficacy'!$AL:$AL, $A67, 
'STH Efficacy'!$AM:$AM, "Albendazole",
'STH Efficacy'!$AS:$AS,"&lt;2016",
'STH Efficacy'!$BP:$BP,""),
"")</f>
        <v/>
      </c>
      <c r="AW67" s="132">
        <f t="shared" si="15"/>
        <v>0.4143846154</v>
      </c>
      <c r="AX67" s="131" t="str">
        <f>IFERROR(AVERAGEIFS(
'STH Efficacy'!$AX:$AX, 
'STH Efficacy'!$AL:$AL, $A67, 
'STH Efficacy'!$AM:$AM, "Mebendazole",
'STH Efficacy'!$AS:$AS,"&lt;2016",
'STH Efficacy'!$BP:$BP,""),
"")</f>
        <v/>
      </c>
      <c r="AY67" s="132">
        <f t="shared" si="16"/>
        <v>0.4691770833</v>
      </c>
      <c r="AZ67" s="131" t="str">
        <f>IFERROR(AVERAGEIFS(
'STH Efficacy'!$AX:$AX, 
'STH Efficacy'!$AL:$AL, $A67, 
'STH Efficacy'!$AM:$AM, "Albendazole &amp; Ivermectin",
'STH Efficacy'!$AS:$AS,"&lt;2016",
'STH Efficacy'!$BP:$BP,""),
"")</f>
        <v/>
      </c>
      <c r="BA67" s="133">
        <f t="shared" si="17"/>
        <v>0.597625</v>
      </c>
      <c r="BB67" s="443" t="str">
        <f>IFERROR(AVERAGEIFS(
'STH Efficacy'!$N:$N, 
'STH Efficacy'!$B:$B, $A67, 
'STH Efficacy'!$C:$C, "Albendazole",
'STH Efficacy'!$I:$I,"&lt;2016",
'STH Efficacy'!$AH:$AH,""),
"")</f>
        <v/>
      </c>
      <c r="BC67" s="135">
        <f t="shared" si="18"/>
        <v>0.7613712121</v>
      </c>
      <c r="BD67" s="443" t="str">
        <f>IFERROR(AVERAGEIFS(
'STH Efficacy'!$N:$N, 
'STH Efficacy'!$B:$B, $A67, 
'STH Efficacy'!$C:$C, "Mebendazole",
'STH Efficacy'!$I:$I,"&lt;2016",
'STH Efficacy'!$AH:$AH,""),
"")</f>
        <v/>
      </c>
      <c r="BE67" s="135">
        <f t="shared" si="19"/>
        <v>0.4362466667</v>
      </c>
      <c r="BF67" s="436" t="str">
        <f>IFERROR(AVERAGEIFS(
'STH Efficacy'!$CD:$CD, 
'STH Efficacy'!$BS:$BS, $A67, 
'STH Efficacy'!$BT:$BT, "Albendazole",
'STH Efficacy'!$BZ:$BZ,"&lt;2016",
'STH Efficacy'!$CU:$CU,""),
"")</f>
        <v/>
      </c>
      <c r="BG67" s="136">
        <f t="shared" si="20"/>
        <v>0.955</v>
      </c>
      <c r="BH67" s="436" t="str">
        <f>IFERROR(AVERAGEIFS(
'STH Efficacy'!$CD:$CD, 
'STH Efficacy'!$BS:$BS, $A67, 
'STH Efficacy'!$BT:$BT, "Mebendazole",
'STH Efficacy'!$BZ:$BZ,"&lt;2016",
'STH Efficacy'!$CU:$CU,""),
"")</f>
        <v/>
      </c>
      <c r="BI67" s="136">
        <f t="shared" si="21"/>
        <v>1</v>
      </c>
      <c r="BJ67" s="436" t="str">
        <f>IFERROR(AVERAGEIFS(
'STH Efficacy'!$CD:$CD, 
'STH Efficacy'!$BS:$BS, $A67, 
'STH Efficacy'!$BT:$BT, "Albendazole &amp; Ivermectin",
'STH Efficacy'!$BZ:$BZ,"&lt;2016",
'STH Efficacy'!$CU:$CU,""),
"")</f>
        <v/>
      </c>
      <c r="BK67" s="136">
        <f t="shared" si="22"/>
        <v>0.848</v>
      </c>
      <c r="BL67" s="444" t="str">
        <f>IFERROR(
  AVERAGEIFS(
    'NEW Onchocerciasis Efficacy'!$AO:$AO,
    'NEW Onchocerciasis Efficacy'!$C:$C,$A67,
    'NEW Onchocerciasis Efficacy'!$D:$D,"Ivermectin",
    'NEW Onchocerciasis Efficacy'!$AR:$AR,"&lt;2016",
    'NEW Onchocerciasis Efficacy'!$BG:$BG,"")
,"")</f>
        <v/>
      </c>
      <c r="BM67" s="304">
        <f t="shared" si="23"/>
        <v>0.7808368939</v>
      </c>
      <c r="BN67" s="439">
        <v>0.0</v>
      </c>
      <c r="BO67" s="139">
        <v>1.0</v>
      </c>
      <c r="BP67" s="140">
        <v>1.0</v>
      </c>
      <c r="BQ67" s="141">
        <f t="shared" si="24"/>
        <v>0</v>
      </c>
      <c r="BR67" s="104" t="str">
        <f t="shared" si="25"/>
        <v>0110</v>
      </c>
      <c r="BS67" s="104" t="str">
        <f t="shared" si="26"/>
        <v>MDA3+T2</v>
      </c>
      <c r="BT67" s="142" t="str">
        <f t="shared" si="27"/>
        <v>IVM</v>
      </c>
      <c r="BU67" s="104" t="str">
        <f t="shared" si="28"/>
        <v>PZQ</v>
      </c>
      <c r="BV67" s="104" t="str">
        <f t="shared" si="29"/>
        <v>onch+schist</v>
      </c>
      <c r="BW67" s="150" t="str">
        <f t="shared" si="30"/>
        <v/>
      </c>
      <c r="BX67" s="150" t="str">
        <f t="shared" si="31"/>
        <v/>
      </c>
      <c r="BY67" s="162">
        <f t="shared" si="32"/>
        <v>54554.34132</v>
      </c>
      <c r="BZ67" s="152" t="str">
        <f t="shared" si="33"/>
        <v/>
      </c>
      <c r="CA67" s="152" t="str">
        <f t="shared" si="34"/>
        <v/>
      </c>
      <c r="CB67" s="152" t="str">
        <f t="shared" si="35"/>
        <v/>
      </c>
      <c r="CC67" s="153" t="str">
        <f t="shared" si="36"/>
        <v/>
      </c>
      <c r="CD67" s="153" t="str">
        <f t="shared" si="37"/>
        <v/>
      </c>
      <c r="CE67" s="154" t="str">
        <f t="shared" si="38"/>
        <v/>
      </c>
      <c r="CF67" s="154" t="str">
        <f t="shared" si="39"/>
        <v/>
      </c>
      <c r="CG67" s="154" t="str">
        <f t="shared" si="40"/>
        <v/>
      </c>
      <c r="CH67" s="313">
        <f t="shared" si="41"/>
        <v>0</v>
      </c>
    </row>
    <row r="68">
      <c r="A68" s="155" t="s">
        <v>157</v>
      </c>
      <c r="B68" s="104" t="s">
        <v>98</v>
      </c>
      <c r="C68" s="428">
        <v>6312478.0</v>
      </c>
      <c r="D68" s="161">
        <v>0.0</v>
      </c>
      <c r="E68" s="294">
        <v>0.0</v>
      </c>
      <c r="F68" s="295">
        <v>5.901560691</v>
      </c>
      <c r="G68" s="295">
        <v>0.098702189</v>
      </c>
      <c r="H68" s="108">
        <v>6.00026288</v>
      </c>
      <c r="I68" s="109">
        <v>91.7179767</v>
      </c>
      <c r="J68" s="109">
        <v>26.6256616</v>
      </c>
      <c r="K68" s="109">
        <v>118.3436383</v>
      </c>
      <c r="L68" s="112">
        <v>23.03565998</v>
      </c>
      <c r="M68" s="112">
        <v>10.77028882</v>
      </c>
      <c r="N68" s="112">
        <v>33.80594879</v>
      </c>
      <c r="O68" s="298">
        <v>0.0</v>
      </c>
      <c r="P68" s="114"/>
      <c r="Q68" s="114"/>
      <c r="R68" s="121" t="str">
        <f t="shared" si="4"/>
        <v/>
      </c>
      <c r="S68" s="116">
        <f t="shared" si="5"/>
        <v>0.3565746084</v>
      </c>
      <c r="T68" s="117"/>
      <c r="U68" s="118">
        <f t="shared" si="6"/>
        <v>0.4791888889</v>
      </c>
      <c r="V68" s="148"/>
      <c r="W68" s="120">
        <f t="shared" si="7"/>
        <v>0.685</v>
      </c>
      <c r="X68" s="119">
        <v>0.4638</v>
      </c>
      <c r="Y68" s="120">
        <f t="shared" si="8"/>
        <v>0.4638</v>
      </c>
      <c r="Z68" s="299"/>
      <c r="AA68" s="441"/>
      <c r="AB68" s="300" t="str">
        <f t="shared" si="9"/>
        <v/>
      </c>
      <c r="AC68" s="300">
        <f t="shared" si="10"/>
        <v>0.7101368438</v>
      </c>
      <c r="AD68" s="122">
        <v>0.0</v>
      </c>
      <c r="AE68" s="123">
        <v>0.0</v>
      </c>
      <c r="AF68" s="430">
        <v>0.0</v>
      </c>
      <c r="AG68" s="316">
        <v>0.0</v>
      </c>
      <c r="AH68" s="316">
        <v>0.016413083</v>
      </c>
      <c r="AI68" s="317">
        <v>0.0</v>
      </c>
      <c r="AJ68" s="317">
        <v>0.008210568</v>
      </c>
      <c r="AK68" s="319">
        <v>0.0</v>
      </c>
      <c r="AL68" s="319">
        <v>0.006147519</v>
      </c>
      <c r="AM68" s="302">
        <v>0.0</v>
      </c>
      <c r="AN68" s="149" t="str">
        <f>IFERROR(
  AVERAGEIFS(
    'New LF Efficacy'!$J:$J,
    'New LF Efficacy'!$D:$D, $A68,
    'New LF Efficacy'!$F:$F,"DEC", 
    'New LF Efficacy'!$W:$W,"&lt;2016",
    'New LF Efficacy'!$AA:$AA,""),
  ""
)</f>
        <v/>
      </c>
      <c r="AO68" s="115">
        <f t="shared" si="11"/>
        <v>0.2589833333</v>
      </c>
      <c r="AP68" s="149" t="str">
        <f>IFERROR(
AVERAGEIFS(
'New LF Efficacy'!$J:$J,
'New LF Efficacy'!$D:$D,$A68,
'New LF Efficacy'!$F:$F,"Albendazole &amp; DEC",
'New LF Efficacy'!$W:$W,"&lt;2016",
'New LF Efficacy'!$AA:$AA,""),
"")
</f>
        <v/>
      </c>
      <c r="AQ68" s="115">
        <f t="shared" si="12"/>
        <v>0.3465</v>
      </c>
      <c r="AR68" s="149" t="str">
        <f>IFERROR(
AVERAGEIFS(
'New LF Efficacy'!$J:$J,
'New LF Efficacy'!$D:$D,$A68,
'New LF Efficacy'!$F:$F,"Albendazole &amp; Ivermectin", 
'New LF Efficacy'!$W:$W,"&lt;2016",
'New LF Efficacy'!$AA:$AA,""),"")</f>
        <v/>
      </c>
      <c r="AS68" s="115">
        <f t="shared" si="13"/>
        <v>0.7575</v>
      </c>
      <c r="AT68" s="442" t="str">
        <f>IFERROR(AVERAGEIFS(
'Schist Efficacy'!$O:$O, 
'Schist Efficacy'!$C:$C,$A68, 
'Schist Efficacy'!$D:$D, "Praziquantel",
'Schist Efficacy'!$J:$J,"&lt;2016",
'Schist Efficacy'!$U:$U,""),
"")</f>
        <v/>
      </c>
      <c r="AU68" s="118">
        <f t="shared" si="14"/>
        <v>0.7914761905</v>
      </c>
      <c r="AV68" s="131" t="str">
        <f>IFERROR(AVERAGEIFS(
'STH Efficacy'!$AX:$AX, 
'STH Efficacy'!$AL:$AL, $A68, 
'STH Efficacy'!$AM:$AM, "Albendazole",
'STH Efficacy'!$AS:$AS,"&lt;2016",
'STH Efficacy'!$BP:$BP,""),
"")</f>
        <v/>
      </c>
      <c r="AW68" s="132">
        <f t="shared" si="15"/>
        <v>0.3945</v>
      </c>
      <c r="AX68" s="131" t="str">
        <f>IFERROR(AVERAGEIFS(
'STH Efficacy'!$AX:$AX, 
'STH Efficacy'!$AL:$AL, $A68, 
'STH Efficacy'!$AM:$AM, "Mebendazole",
'STH Efficacy'!$AS:$AS,"&lt;2016",
'STH Efficacy'!$BP:$BP,""),
"")</f>
        <v/>
      </c>
      <c r="AY68" s="132">
        <f t="shared" si="16"/>
        <v>0.6</v>
      </c>
      <c r="AZ68" s="131" t="str">
        <f>IFERROR(AVERAGEIFS(
'STH Efficacy'!$AX:$AX, 
'STH Efficacy'!$AL:$AL, $A68, 
'STH Efficacy'!$AM:$AM, "Albendazole &amp; Ivermectin",
'STH Efficacy'!$AS:$AS,"&lt;2016",
'STH Efficacy'!$BP:$BP,""),
"")</f>
        <v/>
      </c>
      <c r="BA68" s="133">
        <f t="shared" si="17"/>
        <v>0.796</v>
      </c>
      <c r="BB68" s="443" t="str">
        <f>IFERROR(AVERAGEIFS(
'STH Efficacy'!$N:$N, 
'STH Efficacy'!$B:$B, $A68, 
'STH Efficacy'!$C:$C, "Albendazole",
'STH Efficacy'!$I:$I,"&lt;2016",
'STH Efficacy'!$AH:$AH,""),
"")</f>
        <v/>
      </c>
      <c r="BC68" s="135">
        <f t="shared" si="18"/>
        <v>0.869</v>
      </c>
      <c r="BD68" s="443" t="str">
        <f>IFERROR(AVERAGEIFS(
'STH Efficacy'!$N:$N, 
'STH Efficacy'!$B:$B, $A68, 
'STH Efficacy'!$C:$C, "Mebendazole",
'STH Efficacy'!$I:$I,"&lt;2016",
'STH Efficacy'!$AH:$AH,""),
"")</f>
        <v/>
      </c>
      <c r="BE68" s="135">
        <f t="shared" si="19"/>
        <v>0.172</v>
      </c>
      <c r="BF68" s="436" t="str">
        <f>IFERROR(AVERAGEIFS(
'STH Efficacy'!$CD:$CD, 
'STH Efficacy'!$BS:$BS, $A68, 
'STH Efficacy'!$BT:$BT, "Albendazole",
'STH Efficacy'!$BZ:$BZ,"&lt;2016",
'STH Efficacy'!$CU:$CU,""),
"")</f>
        <v/>
      </c>
      <c r="BG68" s="136">
        <f t="shared" si="20"/>
        <v>0.9862</v>
      </c>
      <c r="BH68" s="436" t="str">
        <f>IFERROR(AVERAGEIFS(
'STH Efficacy'!$CD:$CD, 
'STH Efficacy'!$BS:$BS, $A68, 
'STH Efficacy'!$BT:$BT, "Mebendazole",
'STH Efficacy'!$BZ:$BZ,"&lt;2016",
'STH Efficacy'!$CU:$CU,""),
"")</f>
        <v/>
      </c>
      <c r="BI68" s="136">
        <f t="shared" si="21"/>
        <v>0.769</v>
      </c>
      <c r="BJ68" s="436" t="str">
        <f>IFERROR(AVERAGEIFS(
'STH Efficacy'!$CD:$CD, 
'STH Efficacy'!$BS:$BS, $A68, 
'STH Efficacy'!$BT:$BT, "Albendazole &amp; Ivermectin",
'STH Efficacy'!$BZ:$BZ,"&lt;2016",
'STH Efficacy'!$CU:$CU,""),
"")</f>
        <v/>
      </c>
      <c r="BK68" s="136">
        <f t="shared" si="22"/>
        <v>1</v>
      </c>
      <c r="BL68" s="444" t="str">
        <f>IFERROR(
  AVERAGEIFS(
    'NEW Onchocerciasis Efficacy'!$AO:$AO,
    'NEW Onchocerciasis Efficacy'!$C:$C,$A68,
    'NEW Onchocerciasis Efficacy'!$D:$D,"Ivermectin",
    'NEW Onchocerciasis Efficacy'!$AR:$AR,"&lt;2016",
    'NEW Onchocerciasis Efficacy'!$BG:$BG,"")
,"")</f>
        <v/>
      </c>
      <c r="BM68" s="304">
        <f t="shared" si="23"/>
        <v>0.3734</v>
      </c>
      <c r="BN68" s="439">
        <v>0.0</v>
      </c>
      <c r="BO68" s="139">
        <v>0.0</v>
      </c>
      <c r="BP68" s="140">
        <v>0.0</v>
      </c>
      <c r="BQ68" s="141">
        <f t="shared" si="24"/>
        <v>0</v>
      </c>
      <c r="BR68" s="104" t="str">
        <f t="shared" si="25"/>
        <v>0000</v>
      </c>
      <c r="BS68" s="104" t="str">
        <f t="shared" si="26"/>
        <v>no action required</v>
      </c>
      <c r="BT68" s="142" t="str">
        <f t="shared" si="27"/>
        <v/>
      </c>
      <c r="BU68" s="104" t="str">
        <f t="shared" si="28"/>
        <v/>
      </c>
      <c r="BV68" s="104" t="str">
        <f t="shared" si="29"/>
        <v>none</v>
      </c>
      <c r="BW68" s="150" t="str">
        <f t="shared" si="30"/>
        <v/>
      </c>
      <c r="BX68" s="150" t="str">
        <f t="shared" si="31"/>
        <v/>
      </c>
      <c r="BY68" s="151" t="str">
        <f t="shared" si="32"/>
        <v/>
      </c>
      <c r="BZ68" s="152" t="str">
        <f t="shared" si="33"/>
        <v/>
      </c>
      <c r="CA68" s="152" t="str">
        <f t="shared" si="34"/>
        <v/>
      </c>
      <c r="CB68" s="152" t="str">
        <f t="shared" si="35"/>
        <v/>
      </c>
      <c r="CC68" s="153" t="str">
        <f t="shared" si="36"/>
        <v/>
      </c>
      <c r="CD68" s="153" t="str">
        <f t="shared" si="37"/>
        <v/>
      </c>
      <c r="CE68" s="154" t="str">
        <f t="shared" si="38"/>
        <v/>
      </c>
      <c r="CF68" s="154" t="str">
        <f t="shared" si="39"/>
        <v/>
      </c>
      <c r="CG68" s="154" t="str">
        <f t="shared" si="40"/>
        <v/>
      </c>
      <c r="CH68" s="308" t="str">
        <f t="shared" si="41"/>
        <v/>
      </c>
    </row>
    <row r="69">
      <c r="A69" s="155" t="s">
        <v>158</v>
      </c>
      <c r="B69" s="104" t="s">
        <v>92</v>
      </c>
      <c r="C69" s="428">
        <v>1175389.0</v>
      </c>
      <c r="D69" s="161">
        <v>1203.04</v>
      </c>
      <c r="E69" s="294">
        <v>606.81075</v>
      </c>
      <c r="F69" s="295">
        <v>21.77786523</v>
      </c>
      <c r="G69" s="295">
        <v>114.8503739</v>
      </c>
      <c r="H69" s="108">
        <v>136.6282391</v>
      </c>
      <c r="I69" s="109">
        <v>42.515637</v>
      </c>
      <c r="J69" s="109">
        <v>134.39593</v>
      </c>
      <c r="K69" s="109">
        <v>176.9115665</v>
      </c>
      <c r="L69" s="112">
        <v>127.9550761</v>
      </c>
      <c r="M69" s="112">
        <v>262.9196172</v>
      </c>
      <c r="N69" s="112">
        <v>390.8746933</v>
      </c>
      <c r="O69" s="298">
        <v>1315.428545</v>
      </c>
      <c r="P69" s="160">
        <v>420000.0</v>
      </c>
      <c r="Q69" s="156"/>
      <c r="R69" s="121">
        <f t="shared" si="4"/>
        <v>0</v>
      </c>
      <c r="S69" s="116">
        <f t="shared" si="5"/>
        <v>0.3345096109</v>
      </c>
      <c r="T69" s="448"/>
      <c r="U69" s="449">
        <f t="shared" si="6"/>
        <v>0.4220357143</v>
      </c>
      <c r="V69" s="148"/>
      <c r="W69" s="120">
        <f t="shared" si="7"/>
        <v>0.8084736842</v>
      </c>
      <c r="X69" s="148"/>
      <c r="Y69" s="120">
        <f t="shared" si="8"/>
        <v>0.5938357143</v>
      </c>
      <c r="Z69" s="310">
        <v>95067.0</v>
      </c>
      <c r="AA69" s="298" t="s">
        <v>372</v>
      </c>
      <c r="AB69" s="300" t="str">
        <f t="shared" si="9"/>
        <v/>
      </c>
      <c r="AC69" s="300">
        <f t="shared" si="10"/>
        <v>0.6375203308</v>
      </c>
      <c r="AD69" s="122">
        <v>0.0333</v>
      </c>
      <c r="AE69" s="123">
        <v>0.1</v>
      </c>
      <c r="AF69" s="430">
        <v>0.0186</v>
      </c>
      <c r="AG69" s="124">
        <v>0.2208</v>
      </c>
      <c r="AH69" s="124">
        <v>0.345440964</v>
      </c>
      <c r="AI69" s="125">
        <v>0.1073</v>
      </c>
      <c r="AJ69" s="125">
        <v>0.171569086</v>
      </c>
      <c r="AK69" s="127">
        <v>0.3036</v>
      </c>
      <c r="AL69" s="127">
        <v>0.466492901</v>
      </c>
      <c r="AM69" s="302">
        <v>0.0306</v>
      </c>
      <c r="AN69" s="149" t="str">
        <f>IFERROR(
  AVERAGEIFS(
    'New LF Efficacy'!$J:$J,
    'New LF Efficacy'!$D:$D, $A69,
    'New LF Efficacy'!$F:$F,"DEC", 
    'New LF Efficacy'!$W:$W,"&lt;2016",
    'New LF Efficacy'!$AA:$AA,""),
  ""
)</f>
        <v/>
      </c>
      <c r="AO69" s="115">
        <f t="shared" si="11"/>
        <v>0.31225</v>
      </c>
      <c r="AP69" s="149" t="str">
        <f>IFERROR(
AVERAGEIFS(
'New LF Efficacy'!$J:$J,
'New LF Efficacy'!$D:$D,$A69,
'New LF Efficacy'!$F:$F,"Albendazole &amp; DEC",
'New LF Efficacy'!$W:$W,"&lt;2016",
'New LF Efficacy'!$AA:$AA,""),
"")
</f>
        <v/>
      </c>
      <c r="AQ69" s="115">
        <f t="shared" si="12"/>
        <v>0.4</v>
      </c>
      <c r="AR69" s="149" t="str">
        <f>IFERROR(
AVERAGEIFS(
'New LF Efficacy'!$J:$J,
'New LF Efficacy'!$D:$D,$A69,
'New LF Efficacy'!$F:$F,"Albendazole &amp; Ivermectin", 
'New LF Efficacy'!$W:$W,"&lt;2016",
'New LF Efficacy'!$AA:$AA,""),"")</f>
        <v/>
      </c>
      <c r="AS69" s="115">
        <f t="shared" si="13"/>
        <v>0.2943125</v>
      </c>
      <c r="AT69" s="442" t="str">
        <f>IFERROR(AVERAGEIFS(
'Schist Efficacy'!$O:$O, 
'Schist Efficacy'!$C:$C,$A69, 
'Schist Efficacy'!$D:$D, "Praziquantel",
'Schist Efficacy'!$J:$J,"&lt;2016",
'Schist Efficacy'!$U:$U,""),
"")</f>
        <v/>
      </c>
      <c r="AU69" s="118">
        <f t="shared" si="14"/>
        <v>0.7206464759</v>
      </c>
      <c r="AV69" s="131" t="str">
        <f>IFERROR(AVERAGEIFS(
'STH Efficacy'!$AX:$AX, 
'STH Efficacy'!$AL:$AL, $A69, 
'STH Efficacy'!$AM:$AM, "Albendazole",
'STH Efficacy'!$AS:$AS,"&lt;2016",
'STH Efficacy'!$BP:$BP,""),
"")</f>
        <v/>
      </c>
      <c r="AW69" s="132">
        <f t="shared" si="15"/>
        <v>0.3816333333</v>
      </c>
      <c r="AX69" s="131" t="str">
        <f>IFERROR(AVERAGEIFS(
'STH Efficacy'!$AX:$AX, 
'STH Efficacy'!$AL:$AL, $A69, 
'STH Efficacy'!$AM:$AM, "Mebendazole",
'STH Efficacy'!$AS:$AS,"&lt;2016",
'STH Efficacy'!$BP:$BP,""),
"")</f>
        <v/>
      </c>
      <c r="AY69" s="132">
        <f t="shared" si="16"/>
        <v>0.4859375</v>
      </c>
      <c r="AZ69" s="131" t="str">
        <f>IFERROR(AVERAGEIFS(
'STH Efficacy'!$AX:$AX, 
'STH Efficacy'!$AL:$AL, $A69, 
'STH Efficacy'!$AM:$AM, "Albendazole &amp; Ivermectin",
'STH Efficacy'!$AS:$AS,"&lt;2016",
'STH Efficacy'!$BP:$BP,""),
"")</f>
        <v/>
      </c>
      <c r="BA69" s="133">
        <f t="shared" si="17"/>
        <v>0.47175</v>
      </c>
      <c r="BB69" s="443" t="str">
        <f>IFERROR(AVERAGEIFS(
'STH Efficacy'!$N:$N, 
'STH Efficacy'!$B:$B, $A69, 
'STH Efficacy'!$C:$C, "Albendazole",
'STH Efficacy'!$I:$I,"&lt;2016",
'STH Efficacy'!$AH:$AH,""),
"")</f>
        <v/>
      </c>
      <c r="BC69" s="135">
        <f t="shared" si="18"/>
        <v>0.8699166667</v>
      </c>
      <c r="BD69" s="443" t="str">
        <f>IFERROR(AVERAGEIFS(
'STH Efficacy'!$N:$N, 
'STH Efficacy'!$B:$B, $A69, 
'STH Efficacy'!$C:$C, "Mebendazole",
'STH Efficacy'!$I:$I,"&lt;2016",
'STH Efficacy'!$AH:$AH,""),
"")</f>
        <v/>
      </c>
      <c r="BE69" s="135">
        <f t="shared" si="19"/>
        <v>0.7092416667</v>
      </c>
      <c r="BF69" s="436" t="str">
        <f>IFERROR(AVERAGEIFS(
'STH Efficacy'!$CD:$CD, 
'STH Efficacy'!$BS:$BS, $A69, 
'STH Efficacy'!$BT:$BT, "Albendazole",
'STH Efficacy'!$BZ:$BZ,"&lt;2016",
'STH Efficacy'!$CU:$CU,""),
"")</f>
        <v/>
      </c>
      <c r="BG69" s="136">
        <f t="shared" si="20"/>
        <v>0.9066666667</v>
      </c>
      <c r="BH69" s="436" t="str">
        <f>IFERROR(AVERAGEIFS(
'STH Efficacy'!$CD:$CD, 
'STH Efficacy'!$BS:$BS, $A69, 
'STH Efficacy'!$BT:$BT, "Mebendazole",
'STH Efficacy'!$BZ:$BZ,"&lt;2016",
'STH Efficacy'!$CU:$CU,""),
"")</f>
        <v/>
      </c>
      <c r="BI69" s="136">
        <f t="shared" si="21"/>
        <v>0.8483333333</v>
      </c>
      <c r="BJ69" s="436" t="str">
        <f>IFERROR(AVERAGEIFS(
'STH Efficacy'!$CD:$CD, 
'STH Efficacy'!$BS:$BS, $A69, 
'STH Efficacy'!$BT:$BT, "Albendazole &amp; Ivermectin",
'STH Efficacy'!$BZ:$BZ,"&lt;2016",
'STH Efficacy'!$CU:$CU,""),
"")</f>
        <v/>
      </c>
      <c r="BK69" s="136">
        <f t="shared" si="22"/>
        <v>0.696</v>
      </c>
      <c r="BL69" s="444" t="str">
        <f>IFERROR(
  AVERAGEIFS(
    'NEW Onchocerciasis Efficacy'!$AO:$AO,
    'NEW Onchocerciasis Efficacy'!$C:$C,$A69,
    'NEW Onchocerciasis Efficacy'!$D:$D,"Ivermectin",
    'NEW Onchocerciasis Efficacy'!$AR:$AR,"&lt;2016",
    'NEW Onchocerciasis Efficacy'!$BG:$BG,"")
,"")</f>
        <v/>
      </c>
      <c r="BM69" s="304">
        <f t="shared" si="23"/>
        <v>0.8390421645</v>
      </c>
      <c r="BN69" s="439">
        <v>1.0</v>
      </c>
      <c r="BO69" s="139">
        <v>1.0</v>
      </c>
      <c r="BP69" s="140">
        <v>1.0</v>
      </c>
      <c r="BQ69" s="141">
        <f t="shared" si="24"/>
        <v>1</v>
      </c>
      <c r="BR69" s="104" t="str">
        <f t="shared" si="25"/>
        <v>1111</v>
      </c>
      <c r="BS69" s="104" t="str">
        <f t="shared" si="26"/>
        <v>MDA1+T2</v>
      </c>
      <c r="BT69" s="142" t="str">
        <f t="shared" si="27"/>
        <v>IVM+ALB</v>
      </c>
      <c r="BU69" s="104" t="str">
        <f t="shared" si="28"/>
        <v>PZQ</v>
      </c>
      <c r="BV69" s="104" t="str">
        <f t="shared" si="29"/>
        <v>lf+onch+schist+sth</v>
      </c>
      <c r="BW69" s="150" t="str">
        <f t="shared" si="30"/>
        <v/>
      </c>
      <c r="BX69" s="312">
        <f t="shared" si="31"/>
        <v>131.3734881</v>
      </c>
      <c r="BY69" s="162">
        <f t="shared" si="32"/>
        <v>265.2173674</v>
      </c>
      <c r="BZ69" s="152">
        <f t="shared" si="33"/>
        <v>43.37315868</v>
      </c>
      <c r="CA69" s="152" t="str">
        <f t="shared" si="34"/>
        <v/>
      </c>
      <c r="CB69" s="152">
        <f t="shared" si="35"/>
        <v>58.12257457</v>
      </c>
      <c r="CC69" s="323">
        <f t="shared" si="36"/>
        <v>244.4008109</v>
      </c>
      <c r="CD69" s="153" t="str">
        <f t="shared" si="37"/>
        <v/>
      </c>
      <c r="CE69" s="154">
        <f t="shared" si="38"/>
        <v>657.9836317</v>
      </c>
      <c r="CF69" s="154" t="str">
        <f t="shared" si="39"/>
        <v/>
      </c>
      <c r="CG69" s="154">
        <f t="shared" si="40"/>
        <v>349.8666164</v>
      </c>
      <c r="CH69" s="313">
        <f t="shared" si="41"/>
        <v>50.4293656</v>
      </c>
    </row>
    <row r="70">
      <c r="A70" s="103" t="s">
        <v>159</v>
      </c>
      <c r="B70" s="104" t="s">
        <v>92</v>
      </c>
      <c r="C70" s="447"/>
      <c r="D70" s="161">
        <v>190.77</v>
      </c>
      <c r="E70" s="294">
        <v>4152.537126</v>
      </c>
      <c r="F70" s="295">
        <v>7.152710347</v>
      </c>
      <c r="G70" s="295">
        <v>31.35676551</v>
      </c>
      <c r="H70" s="108">
        <v>38.50947586</v>
      </c>
      <c r="I70" s="109">
        <v>35.158107</v>
      </c>
      <c r="J70" s="109">
        <v>81.9615385</v>
      </c>
      <c r="K70" s="109">
        <v>117.1196455</v>
      </c>
      <c r="L70" s="112">
        <v>427.9283778</v>
      </c>
      <c r="M70" s="112">
        <v>73.83176487</v>
      </c>
      <c r="N70" s="112">
        <v>501.7601426</v>
      </c>
      <c r="O70" s="298">
        <v>0.0</v>
      </c>
      <c r="P70" s="160">
        <v>69634.0</v>
      </c>
      <c r="Q70" s="156"/>
      <c r="R70" s="121">
        <f t="shared" si="4"/>
        <v>0</v>
      </c>
      <c r="S70" s="116">
        <f t="shared" si="5"/>
        <v>0.3345096109</v>
      </c>
      <c r="T70" s="118">
        <v>0.153</v>
      </c>
      <c r="U70" s="118">
        <f t="shared" si="6"/>
        <v>0.153</v>
      </c>
      <c r="V70" s="148"/>
      <c r="W70" s="120">
        <f t="shared" si="7"/>
        <v>0.8084736842</v>
      </c>
      <c r="X70" s="148"/>
      <c r="Y70" s="120">
        <f t="shared" si="8"/>
        <v>0.5938357143</v>
      </c>
      <c r="Z70" s="299"/>
      <c r="AA70" s="441"/>
      <c r="AB70" s="300" t="str">
        <f t="shared" si="9"/>
        <v/>
      </c>
      <c r="AC70" s="300">
        <f t="shared" si="10"/>
        <v>0.6375203308</v>
      </c>
      <c r="AD70" s="122">
        <v>9.0E-4</v>
      </c>
      <c r="AE70" s="123">
        <v>0.04</v>
      </c>
      <c r="AF70" s="430">
        <v>0.007</v>
      </c>
      <c r="AG70" s="124">
        <v>0.083</v>
      </c>
      <c r="AH70" s="124">
        <v>0.131489894</v>
      </c>
      <c r="AI70" s="125">
        <v>0.0142</v>
      </c>
      <c r="AJ70" s="125">
        <v>0.02290777</v>
      </c>
      <c r="AK70" s="127">
        <v>0.0354</v>
      </c>
      <c r="AL70" s="127">
        <v>0.0560559</v>
      </c>
      <c r="AM70" s="302">
        <v>0.0</v>
      </c>
      <c r="AN70" s="149" t="str">
        <f>IFERROR(
  AVERAGEIFS(
    'New LF Efficacy'!$J:$J,
    'New LF Efficacy'!$D:$D, $A70,
    'New LF Efficacy'!$F:$F,"DEC", 
    'New LF Efficacy'!$W:$W,"&lt;2016",
    'New LF Efficacy'!$AA:$AA,""),
  ""
)</f>
        <v/>
      </c>
      <c r="AO70" s="115">
        <f t="shared" si="11"/>
        <v>0.31225</v>
      </c>
      <c r="AP70" s="149" t="str">
        <f>IFERROR(
AVERAGEIFS(
'New LF Efficacy'!$J:$J,
'New LF Efficacy'!$D:$D,$A70,
'New LF Efficacy'!$F:$F,"Albendazole &amp; DEC",
'New LF Efficacy'!$W:$W,"&lt;2016",
'New LF Efficacy'!$AA:$AA,""),
"")
</f>
        <v/>
      </c>
      <c r="AQ70" s="115">
        <f t="shared" si="12"/>
        <v>0.4</v>
      </c>
      <c r="AR70" s="149" t="str">
        <f>IFERROR(
AVERAGEIFS(
'New LF Efficacy'!$J:$J,
'New LF Efficacy'!$D:$D,$A70,
'New LF Efficacy'!$F:$F,"Albendazole &amp; Ivermectin", 
'New LF Efficacy'!$W:$W,"&lt;2016",
'New LF Efficacy'!$AA:$AA,""),"")</f>
        <v/>
      </c>
      <c r="AS70" s="115">
        <f t="shared" si="13"/>
        <v>0.2943125</v>
      </c>
      <c r="AT70" s="442" t="str">
        <f>IFERROR(AVERAGEIFS(
'Schist Efficacy'!$O:$O, 
'Schist Efficacy'!$C:$C,$A70, 
'Schist Efficacy'!$D:$D, "Praziquantel",
'Schist Efficacy'!$J:$J,"&lt;2016",
'Schist Efficacy'!$U:$U,""),
"")</f>
        <v/>
      </c>
      <c r="AU70" s="118">
        <f t="shared" si="14"/>
        <v>0.7206464759</v>
      </c>
      <c r="AV70" s="131" t="str">
        <f>IFERROR(AVERAGEIFS(
'STH Efficacy'!$AX:$AX, 
'STH Efficacy'!$AL:$AL, $A70, 
'STH Efficacy'!$AM:$AM, "Albendazole",
'STH Efficacy'!$AS:$AS,"&lt;2016",
'STH Efficacy'!$BP:$BP,""),
"")</f>
        <v/>
      </c>
      <c r="AW70" s="132">
        <f t="shared" si="15"/>
        <v>0.3816333333</v>
      </c>
      <c r="AX70" s="131" t="str">
        <f>IFERROR(AVERAGEIFS(
'STH Efficacy'!$AX:$AX, 
'STH Efficacy'!$AL:$AL, $A70, 
'STH Efficacy'!$AM:$AM, "Mebendazole",
'STH Efficacy'!$AS:$AS,"&lt;2016",
'STH Efficacy'!$BP:$BP,""),
"")</f>
        <v/>
      </c>
      <c r="AY70" s="132">
        <f t="shared" si="16"/>
        <v>0.4859375</v>
      </c>
      <c r="AZ70" s="131" t="str">
        <f>IFERROR(AVERAGEIFS(
'STH Efficacy'!$AX:$AX, 
'STH Efficacy'!$AL:$AL, $A70, 
'STH Efficacy'!$AM:$AM, "Albendazole &amp; Ivermectin",
'STH Efficacy'!$AS:$AS,"&lt;2016",
'STH Efficacy'!$BP:$BP,""),
"")</f>
        <v/>
      </c>
      <c r="BA70" s="133">
        <f t="shared" si="17"/>
        <v>0.47175</v>
      </c>
      <c r="BB70" s="443" t="str">
        <f>IFERROR(AVERAGEIFS(
'STH Efficacy'!$N:$N, 
'STH Efficacy'!$B:$B, $A70, 
'STH Efficacy'!$C:$C, "Albendazole",
'STH Efficacy'!$I:$I,"&lt;2016",
'STH Efficacy'!$AH:$AH,""),
"")</f>
        <v/>
      </c>
      <c r="BC70" s="135">
        <f t="shared" si="18"/>
        <v>0.8699166667</v>
      </c>
      <c r="BD70" s="443" t="str">
        <f>IFERROR(AVERAGEIFS(
'STH Efficacy'!$N:$N, 
'STH Efficacy'!$B:$B, $A70, 
'STH Efficacy'!$C:$C, "Mebendazole",
'STH Efficacy'!$I:$I,"&lt;2016",
'STH Efficacy'!$AH:$AH,""),
"")</f>
        <v/>
      </c>
      <c r="BE70" s="135">
        <f t="shared" si="19"/>
        <v>0.7092416667</v>
      </c>
      <c r="BF70" s="436" t="str">
        <f>IFERROR(AVERAGEIFS(
'STH Efficacy'!$CD:$CD, 
'STH Efficacy'!$BS:$BS, $A70, 
'STH Efficacy'!$BT:$BT, "Albendazole",
'STH Efficacy'!$BZ:$BZ,"&lt;2016",
'STH Efficacy'!$CU:$CU,""),
"")</f>
        <v/>
      </c>
      <c r="BG70" s="136">
        <f t="shared" si="20"/>
        <v>0.9066666667</v>
      </c>
      <c r="BH70" s="436" t="str">
        <f>IFERROR(AVERAGEIFS(
'STH Efficacy'!$CD:$CD, 
'STH Efficacy'!$BS:$BS, $A70, 
'STH Efficacy'!$BT:$BT, "Mebendazole",
'STH Efficacy'!$BZ:$BZ,"&lt;2016",
'STH Efficacy'!$CU:$CU,""),
"")</f>
        <v/>
      </c>
      <c r="BI70" s="136">
        <f t="shared" si="21"/>
        <v>0.8483333333</v>
      </c>
      <c r="BJ70" s="436" t="str">
        <f>IFERROR(AVERAGEIFS(
'STH Efficacy'!$CD:$CD, 
'STH Efficacy'!$BS:$BS, $A70, 
'STH Efficacy'!$BT:$BT, "Albendazole &amp; Ivermectin",
'STH Efficacy'!$BZ:$BZ,"&lt;2016",
'STH Efficacy'!$CU:$CU,""),
"")</f>
        <v/>
      </c>
      <c r="BK70" s="136">
        <f t="shared" si="22"/>
        <v>0.696</v>
      </c>
      <c r="BL70" s="444" t="str">
        <f>IFERROR(
  AVERAGEIFS(
    'NEW Onchocerciasis Efficacy'!$AO:$AO,
    'NEW Onchocerciasis Efficacy'!$C:$C,$A70,
    'NEW Onchocerciasis Efficacy'!$D:$D,"Ivermectin",
    'NEW Onchocerciasis Efficacy'!$AR:$AR,"&lt;2016",
    'NEW Onchocerciasis Efficacy'!$BG:$BG,"")
,"")</f>
        <v/>
      </c>
      <c r="BM70" s="304">
        <f t="shared" si="23"/>
        <v>0.8390421645</v>
      </c>
      <c r="BN70" s="439">
        <v>1.0</v>
      </c>
      <c r="BO70" s="139">
        <v>1.0</v>
      </c>
      <c r="BP70" s="140">
        <v>1.0</v>
      </c>
      <c r="BQ70" s="141">
        <f t="shared" si="24"/>
        <v>0</v>
      </c>
      <c r="BR70" s="104" t="str">
        <f t="shared" si="25"/>
        <v>1110</v>
      </c>
      <c r="BS70" s="104" t="str">
        <f t="shared" si="26"/>
        <v>MDA1+T2</v>
      </c>
      <c r="BT70" s="142" t="str">
        <f t="shared" si="27"/>
        <v>IVM+ALB</v>
      </c>
      <c r="BU70" s="104" t="str">
        <f t="shared" si="28"/>
        <v>PZQ</v>
      </c>
      <c r="BV70" s="104" t="str">
        <f t="shared" si="29"/>
        <v>lf+onch+schist </v>
      </c>
      <c r="BW70" s="150" t="str">
        <f t="shared" si="30"/>
        <v/>
      </c>
      <c r="BX70" s="312">
        <f t="shared" si="31"/>
        <v>20.83232505</v>
      </c>
      <c r="BY70" s="162">
        <f t="shared" si="32"/>
        <v>514.5926452</v>
      </c>
      <c r="BZ70" s="152" t="str">
        <f t="shared" si="33"/>
        <v/>
      </c>
      <c r="CA70" s="152" t="str">
        <f t="shared" si="34"/>
        <v/>
      </c>
      <c r="CB70" s="152" t="str">
        <f t="shared" si="35"/>
        <v/>
      </c>
      <c r="CC70" s="153" t="str">
        <f t="shared" si="36"/>
        <v/>
      </c>
      <c r="CD70" s="153" t="str">
        <f t="shared" si="37"/>
        <v/>
      </c>
      <c r="CE70" s="154" t="str">
        <f t="shared" si="38"/>
        <v/>
      </c>
      <c r="CF70" s="154" t="str">
        <f t="shared" si="39"/>
        <v/>
      </c>
      <c r="CG70" s="154" t="str">
        <f t="shared" si="40"/>
        <v/>
      </c>
      <c r="CH70" s="313">
        <f t="shared" si="41"/>
        <v>0</v>
      </c>
    </row>
    <row r="71">
      <c r="A71" s="103" t="s">
        <v>160</v>
      </c>
      <c r="B71" s="104" t="s">
        <v>90</v>
      </c>
      <c r="C71" s="428">
        <v>1315407.0</v>
      </c>
      <c r="D71" s="161">
        <v>0.0</v>
      </c>
      <c r="E71" s="294">
        <v>0.0</v>
      </c>
      <c r="F71" s="307">
        <v>0.0</v>
      </c>
      <c r="G71" s="309">
        <v>0.0</v>
      </c>
      <c r="H71" s="108">
        <v>0.0</v>
      </c>
      <c r="I71" s="109">
        <v>0.0</v>
      </c>
      <c r="J71" s="109">
        <v>0.0</v>
      </c>
      <c r="K71" s="109">
        <v>0.0</v>
      </c>
      <c r="L71" s="112">
        <v>0.008220386</v>
      </c>
      <c r="M71" s="112">
        <v>0.005013241</v>
      </c>
      <c r="N71" s="112">
        <v>0.013233626</v>
      </c>
      <c r="O71" s="298">
        <v>0.0</v>
      </c>
      <c r="P71" s="114"/>
      <c r="Q71" s="114"/>
      <c r="R71" s="121" t="str">
        <f t="shared" si="4"/>
        <v/>
      </c>
      <c r="S71" s="116">
        <f t="shared" si="5"/>
        <v>0.5709301448</v>
      </c>
      <c r="T71" s="117"/>
      <c r="U71" s="118">
        <f t="shared" si="6"/>
        <v>0.4791888889</v>
      </c>
      <c r="V71" s="148"/>
      <c r="W71" s="120">
        <f t="shared" si="7"/>
        <v>0.0223</v>
      </c>
      <c r="X71" s="148"/>
      <c r="Y71" s="120">
        <f t="shared" si="8"/>
        <v>0.598275</v>
      </c>
      <c r="Z71" s="299"/>
      <c r="AA71" s="441"/>
      <c r="AB71" s="300" t="str">
        <f t="shared" si="9"/>
        <v/>
      </c>
      <c r="AC71" s="300">
        <f t="shared" si="10"/>
        <v>0.6890056172</v>
      </c>
      <c r="AD71" s="122">
        <v>0.0</v>
      </c>
      <c r="AE71" s="123">
        <v>0.0</v>
      </c>
      <c r="AF71" s="430">
        <v>0.0</v>
      </c>
      <c r="AG71" s="124">
        <v>0.0</v>
      </c>
      <c r="AH71" s="124">
        <v>0.0</v>
      </c>
      <c r="AI71" s="125">
        <v>0.0</v>
      </c>
      <c r="AJ71" s="125">
        <v>0.0</v>
      </c>
      <c r="AK71" s="127">
        <v>0.0</v>
      </c>
      <c r="AL71" s="127">
        <v>0.0</v>
      </c>
      <c r="AM71" s="302">
        <v>0.0</v>
      </c>
      <c r="AN71" s="149" t="str">
        <f>IFERROR(
  AVERAGEIFS(
    'New LF Efficacy'!$J:$J,
    'New LF Efficacy'!$D:$D, $A71,
    'New LF Efficacy'!$F:$F,"DEC", 
    'New LF Efficacy'!$W:$W,"&lt;2016",
    'New LF Efficacy'!$AA:$AA,""),
  ""
)</f>
        <v/>
      </c>
      <c r="AO71" s="115">
        <f t="shared" si="11"/>
        <v>0.3573520833</v>
      </c>
      <c r="AP71" s="149" t="str">
        <f>IFERROR(
AVERAGEIFS(
'New LF Efficacy'!$J:$J,
'New LF Efficacy'!$D:$D,$A71,
'New LF Efficacy'!$F:$F,"Albendazole &amp; DEC",
'New LF Efficacy'!$W:$W,"&lt;2016",
'New LF Efficacy'!$AA:$AA,""),
"")
</f>
        <v/>
      </c>
      <c r="AQ71" s="115">
        <f t="shared" si="12"/>
        <v>0.5143541667</v>
      </c>
      <c r="AR71" s="149" t="str">
        <f>IFERROR(
AVERAGEIFS(
'New LF Efficacy'!$J:$J,
'New LF Efficacy'!$D:$D,$A71,
'New LF Efficacy'!$F:$F,"Albendazole &amp; Ivermectin", 
'New LF Efficacy'!$W:$W,"&lt;2016",
'New LF Efficacy'!$AA:$AA,""),"")</f>
        <v/>
      </c>
      <c r="AS71" s="115">
        <f t="shared" si="13"/>
        <v>0.37153125</v>
      </c>
      <c r="AT71" s="442" t="str">
        <f>IFERROR(AVERAGEIFS(
'Schist Efficacy'!$O:$O, 
'Schist Efficacy'!$C:$C,$A71, 
'Schist Efficacy'!$D:$D, "Praziquantel",
'Schist Efficacy'!$J:$J,"&lt;2016",
'Schist Efficacy'!$U:$U,""),
"")</f>
        <v/>
      </c>
      <c r="AU71" s="118">
        <f t="shared" si="14"/>
        <v>0.655</v>
      </c>
      <c r="AV71" s="131" t="str">
        <f>IFERROR(AVERAGEIFS(
'STH Efficacy'!$AX:$AX, 
'STH Efficacy'!$AL:$AL, $A71, 
'STH Efficacy'!$AM:$AM, "Albendazole",
'STH Efficacy'!$AS:$AS,"&lt;2016",
'STH Efficacy'!$BP:$BP,""),
"")</f>
        <v/>
      </c>
      <c r="AW71" s="132">
        <f t="shared" si="15"/>
        <v>0.4143846154</v>
      </c>
      <c r="AX71" s="131" t="str">
        <f>IFERROR(AVERAGEIFS(
'STH Efficacy'!$AX:$AX, 
'STH Efficacy'!$AL:$AL, $A71, 
'STH Efficacy'!$AM:$AM, "Mebendazole",
'STH Efficacy'!$AS:$AS,"&lt;2016",
'STH Efficacy'!$BP:$BP,""),
"")</f>
        <v/>
      </c>
      <c r="AY71" s="132">
        <f t="shared" si="16"/>
        <v>0.4691770833</v>
      </c>
      <c r="AZ71" s="131" t="str">
        <f>IFERROR(AVERAGEIFS(
'STH Efficacy'!$AX:$AX, 
'STH Efficacy'!$AL:$AL, $A71, 
'STH Efficacy'!$AM:$AM, "Albendazole &amp; Ivermectin",
'STH Efficacy'!$AS:$AS,"&lt;2016",
'STH Efficacy'!$BP:$BP,""),
"")</f>
        <v/>
      </c>
      <c r="BA71" s="133">
        <f t="shared" si="17"/>
        <v>0.597625</v>
      </c>
      <c r="BB71" s="443" t="str">
        <f>IFERROR(AVERAGEIFS(
'STH Efficacy'!$N:$N, 
'STH Efficacy'!$B:$B, $A71, 
'STH Efficacy'!$C:$C, "Albendazole",
'STH Efficacy'!$I:$I,"&lt;2016",
'STH Efficacy'!$AH:$AH,""),
"")</f>
        <v/>
      </c>
      <c r="BC71" s="135">
        <f t="shared" si="18"/>
        <v>0.7613712121</v>
      </c>
      <c r="BD71" s="443" t="str">
        <f>IFERROR(AVERAGEIFS(
'STH Efficacy'!$N:$N, 
'STH Efficacy'!$B:$B, $A71, 
'STH Efficacy'!$C:$C, "Mebendazole",
'STH Efficacy'!$I:$I,"&lt;2016",
'STH Efficacy'!$AH:$AH,""),
"")</f>
        <v/>
      </c>
      <c r="BE71" s="135">
        <f t="shared" si="19"/>
        <v>0.4362466667</v>
      </c>
      <c r="BF71" s="436" t="str">
        <f>IFERROR(AVERAGEIFS(
'STH Efficacy'!$CD:$CD, 
'STH Efficacy'!$BS:$BS, $A71, 
'STH Efficacy'!$BT:$BT, "Albendazole",
'STH Efficacy'!$BZ:$BZ,"&lt;2016",
'STH Efficacy'!$CU:$CU,""),
"")</f>
        <v/>
      </c>
      <c r="BG71" s="136">
        <f t="shared" si="20"/>
        <v>0.9216027778</v>
      </c>
      <c r="BH71" s="436" t="str">
        <f>IFERROR(AVERAGEIFS(
'STH Efficacy'!$CD:$CD, 
'STH Efficacy'!$BS:$BS, $A71, 
'STH Efficacy'!$BT:$BT, "Mebendazole",
'STH Efficacy'!$BZ:$BZ,"&lt;2016",
'STH Efficacy'!$CU:$CU,""),
"")</f>
        <v/>
      </c>
      <c r="BI71" s="136">
        <f t="shared" si="21"/>
        <v>0.8866041667</v>
      </c>
      <c r="BJ71" s="436" t="str">
        <f>IFERROR(AVERAGEIFS(
'STH Efficacy'!$CD:$CD, 
'STH Efficacy'!$BS:$BS, $A71, 
'STH Efficacy'!$BT:$BT, "Albendazole &amp; Ivermectin",
'STH Efficacy'!$BZ:$BZ,"&lt;2016",
'STH Efficacy'!$CU:$CU,""),
"")</f>
        <v/>
      </c>
      <c r="BK71" s="136">
        <f t="shared" si="22"/>
        <v>0.848</v>
      </c>
      <c r="BL71" s="444" t="str">
        <f>IFERROR(
  AVERAGEIFS(
    'NEW Onchocerciasis Efficacy'!$AO:$AO,
    'NEW Onchocerciasis Efficacy'!$C:$C,$A71,
    'NEW Onchocerciasis Efficacy'!$D:$D,"Ivermectin",
    'NEW Onchocerciasis Efficacy'!$AR:$AR,"&lt;2016",
    'NEW Onchocerciasis Efficacy'!$BG:$BG,"")
,"")</f>
        <v/>
      </c>
      <c r="BM71" s="304">
        <f t="shared" si="23"/>
        <v>0.7808368939</v>
      </c>
      <c r="BN71" s="439">
        <v>0.0</v>
      </c>
      <c r="BO71" s="139">
        <v>0.0</v>
      </c>
      <c r="BP71" s="140">
        <v>0.0</v>
      </c>
      <c r="BQ71" s="141">
        <f t="shared" si="24"/>
        <v>0</v>
      </c>
      <c r="BR71" s="104" t="str">
        <f t="shared" si="25"/>
        <v>0000</v>
      </c>
      <c r="BS71" s="104" t="str">
        <f t="shared" si="26"/>
        <v>no action required</v>
      </c>
      <c r="BT71" s="142" t="str">
        <f t="shared" si="27"/>
        <v/>
      </c>
      <c r="BU71" s="104" t="str">
        <f t="shared" si="28"/>
        <v/>
      </c>
      <c r="BV71" s="104" t="str">
        <f t="shared" si="29"/>
        <v>none</v>
      </c>
      <c r="BW71" s="150" t="str">
        <f t="shared" si="30"/>
        <v/>
      </c>
      <c r="BX71" s="150" t="str">
        <f t="shared" si="31"/>
        <v/>
      </c>
      <c r="BY71" s="151" t="str">
        <f t="shared" si="32"/>
        <v/>
      </c>
      <c r="BZ71" s="152" t="str">
        <f t="shared" si="33"/>
        <v/>
      </c>
      <c r="CA71" s="152" t="str">
        <f t="shared" si="34"/>
        <v/>
      </c>
      <c r="CB71" s="152" t="str">
        <f t="shared" si="35"/>
        <v/>
      </c>
      <c r="CC71" s="153" t="str">
        <f t="shared" si="36"/>
        <v/>
      </c>
      <c r="CD71" s="153" t="str">
        <f t="shared" si="37"/>
        <v/>
      </c>
      <c r="CE71" s="154" t="str">
        <f t="shared" si="38"/>
        <v/>
      </c>
      <c r="CF71" s="154" t="str">
        <f t="shared" si="39"/>
        <v/>
      </c>
      <c r="CG71" s="154" t="str">
        <f t="shared" si="40"/>
        <v/>
      </c>
      <c r="CH71" s="308" t="str">
        <f t="shared" si="41"/>
        <v/>
      </c>
    </row>
    <row r="72">
      <c r="A72" s="451" t="s">
        <v>161</v>
      </c>
      <c r="B72" s="452" t="s">
        <v>92</v>
      </c>
      <c r="C72" s="453">
        <v>9.9873033E7</v>
      </c>
      <c r="D72" s="454">
        <v>1168.19</v>
      </c>
      <c r="E72" s="455">
        <v>210340.9224</v>
      </c>
      <c r="F72" s="456">
        <v>907.6418037</v>
      </c>
      <c r="G72" s="457">
        <v>4058.442005</v>
      </c>
      <c r="H72" s="455">
        <v>4966.083809</v>
      </c>
      <c r="I72" s="455">
        <v>3684.05172</v>
      </c>
      <c r="J72" s="455">
        <v>11116.4095</v>
      </c>
      <c r="K72" s="455">
        <v>14800.46125</v>
      </c>
      <c r="L72" s="455">
        <v>10972.54866</v>
      </c>
      <c r="M72" s="455">
        <v>5968.733335</v>
      </c>
      <c r="N72" s="454">
        <v>16941.282</v>
      </c>
      <c r="O72" s="454">
        <v>25148.53082</v>
      </c>
      <c r="P72" s="458">
        <v>1.1113047E7</v>
      </c>
      <c r="Q72" s="458">
        <v>3287346.0</v>
      </c>
      <c r="R72" s="459">
        <f t="shared" si="4"/>
        <v>0.2958096011</v>
      </c>
      <c r="S72" s="460">
        <f t="shared" si="5"/>
        <v>0.2958096011</v>
      </c>
      <c r="T72" s="461">
        <v>0.288</v>
      </c>
      <c r="U72" s="461">
        <f t="shared" si="6"/>
        <v>0.288</v>
      </c>
      <c r="V72" s="461">
        <v>0.6057</v>
      </c>
      <c r="W72" s="462">
        <f t="shared" si="7"/>
        <v>0.6057</v>
      </c>
      <c r="X72" s="461">
        <v>0.5158</v>
      </c>
      <c r="Y72" s="462">
        <f t="shared" si="8"/>
        <v>0.5158</v>
      </c>
      <c r="Z72" s="455">
        <v>1.657087E7</v>
      </c>
      <c r="AA72" s="455">
        <v>1.0643027E7</v>
      </c>
      <c r="AB72" s="459">
        <f t="shared" si="9"/>
        <v>0.6422732783</v>
      </c>
      <c r="AC72" s="459">
        <f t="shared" si="10"/>
        <v>0.6422732783</v>
      </c>
      <c r="AD72" s="463">
        <v>2.0E-4</v>
      </c>
      <c r="AE72" s="463">
        <v>0.23</v>
      </c>
      <c r="AF72" s="464">
        <v>0.1007</v>
      </c>
      <c r="AG72" s="463">
        <v>0.1334</v>
      </c>
      <c r="AH72" s="463">
        <v>0.208234507</v>
      </c>
      <c r="AI72" s="463">
        <v>0.0705</v>
      </c>
      <c r="AJ72" s="463">
        <v>0.113088028</v>
      </c>
      <c r="AK72" s="463">
        <v>0.1241</v>
      </c>
      <c r="AL72" s="463">
        <v>0.190588783</v>
      </c>
      <c r="AM72" s="463">
        <v>0.0036</v>
      </c>
      <c r="AN72" s="149" t="str">
        <f>IFERROR(
  AVERAGEIFS(
    'New LF Efficacy'!$J:$J,
    'New LF Efficacy'!$D:$D, $A72,
    'New LF Efficacy'!$F:$F,"DEC", 
    'New LF Efficacy'!$W:$W,"&lt;2016",
    'New LF Efficacy'!$AA:$AA,""),
  ""
)</f>
        <v/>
      </c>
      <c r="AO72" s="461">
        <f t="shared" si="11"/>
        <v>0.31225</v>
      </c>
      <c r="AP72" s="149" t="str">
        <f>IFERROR(
AVERAGEIFS(
'New LF Efficacy'!$J:$J,
'New LF Efficacy'!$D:$D,$A72,
'New LF Efficacy'!$F:$F,"Albendazole &amp; DEC",
'New LF Efficacy'!$W:$W,"&lt;2016",
'New LF Efficacy'!$AA:$AA,""),
"")
</f>
        <v/>
      </c>
      <c r="AQ72" s="461">
        <f t="shared" si="12"/>
        <v>0.4</v>
      </c>
      <c r="AR72" s="149" t="str">
        <f>IFERROR(
AVERAGEIFS(
'New LF Efficacy'!$J:$J,
'New LF Efficacy'!$D:$D,$A72,
'New LF Efficacy'!$F:$F,"Albendazole &amp; Ivermectin", 
'New LF Efficacy'!$W:$W,"&lt;2016",
'New LF Efficacy'!$AA:$AA,""),"")</f>
        <v/>
      </c>
      <c r="AS72" s="461">
        <f t="shared" si="13"/>
        <v>0.2943125</v>
      </c>
      <c r="AT72" s="442">
        <f>IFERROR(AVERAGEIFS(
'Schist Efficacy'!$O:$O, 
'Schist Efficacy'!$C:$C,$A72, 
'Schist Efficacy'!$D:$D, "Praziquantel",
'Schist Efficacy'!$J:$J,"&lt;2016",
'Schist Efficacy'!$U:$U,""),
"")</f>
        <v>0.94</v>
      </c>
      <c r="AU72" s="461">
        <f t="shared" si="14"/>
        <v>0.94</v>
      </c>
      <c r="AV72" s="131">
        <f>IFERROR(AVERAGEIFS(
'STH Efficacy'!$AX:$AX, 
'STH Efficacy'!$AL:$AL, $A72, 
'STH Efficacy'!$AM:$AM, "Albendazole",
'STH Efficacy'!$AS:$AS,"&lt;2016",
'STH Efficacy'!$BP:$BP,""),
"")</f>
        <v>0.171</v>
      </c>
      <c r="AW72" s="465">
        <f t="shared" si="15"/>
        <v>0.171</v>
      </c>
      <c r="AX72" s="131">
        <f>IFERROR(AVERAGEIFS(
'STH Efficacy'!$AX:$AX, 
'STH Efficacy'!$AL:$AL, $A72, 
'STH Efficacy'!$AM:$AM, "Mebendazole",
'STH Efficacy'!$AS:$AS,"&lt;2016",
'STH Efficacy'!$BP:$BP,""),
"")</f>
        <v>0.437</v>
      </c>
      <c r="AY72" s="465">
        <f t="shared" si="16"/>
        <v>0.437</v>
      </c>
      <c r="AZ72" s="131" t="str">
        <f>IFERROR(AVERAGEIFS(
'STH Efficacy'!$AX:$AX, 
'STH Efficacy'!$AL:$AL, $A72, 
'STH Efficacy'!$AM:$AM, "Albendazole &amp; Ivermectin",
'STH Efficacy'!$AS:$AS,"&lt;2016",
'STH Efficacy'!$BP:$BP,""),
"")</f>
        <v/>
      </c>
      <c r="BA72" s="466">
        <f t="shared" si="17"/>
        <v>0.47175</v>
      </c>
      <c r="BB72" s="443" t="str">
        <f>IFERROR(AVERAGEIFS(
'STH Efficacy'!$N:$N, 
'STH Efficacy'!$B:$B, $A72, 
'STH Efficacy'!$C:$C, "Albendazole",
'STH Efficacy'!$I:$I,"&lt;2016",
'STH Efficacy'!$AH:$AH,""),
"")</f>
        <v/>
      </c>
      <c r="BC72" s="461">
        <f t="shared" si="18"/>
        <v>0.8699166667</v>
      </c>
      <c r="BD72" s="443" t="str">
        <f>IFERROR(AVERAGEIFS(
'STH Efficacy'!$N:$N, 
'STH Efficacy'!$B:$B, $A72, 
'STH Efficacy'!$C:$C, "Mebendazole",
'STH Efficacy'!$I:$I,"&lt;2016",
'STH Efficacy'!$AH:$AH,""),
"")</f>
        <v/>
      </c>
      <c r="BE72" s="461">
        <f t="shared" si="19"/>
        <v>0.7092416667</v>
      </c>
      <c r="BF72" s="436">
        <f>IFERROR(AVERAGEIFS(
'STH Efficacy'!$CD:$CD, 
'STH Efficacy'!$BS:$BS, $A72, 
'STH Efficacy'!$BT:$BT, "Albendazole",
'STH Efficacy'!$BZ:$BZ,"&lt;2016",
'STH Efficacy'!$CU:$CU,""),
"")</f>
        <v>0.882</v>
      </c>
      <c r="BG72" s="461">
        <f t="shared" si="20"/>
        <v>0.882</v>
      </c>
      <c r="BH72" s="436">
        <f>IFERROR(AVERAGEIFS(
'STH Efficacy'!$CD:$CD, 
'STH Efficacy'!$BS:$BS, $A72, 
'STH Efficacy'!$BT:$BT, "Mebendazole",
'STH Efficacy'!$BZ:$BZ,"&lt;2016",
'STH Efficacy'!$CU:$CU,""),
"")</f>
        <v>0.9333333333</v>
      </c>
      <c r="BI72" s="461">
        <f t="shared" si="21"/>
        <v>0.9333333333</v>
      </c>
      <c r="BJ72" s="436" t="str">
        <f>IFERROR(AVERAGEIFS(
'STH Efficacy'!$CD:$CD, 
'STH Efficacy'!$BS:$BS, $A72, 
'STH Efficacy'!$BT:$BT, "Albendazole &amp; Ivermectin",
'STH Efficacy'!$BZ:$BZ,"&lt;2016",
'STH Efficacy'!$CU:$CU,""),
"")</f>
        <v/>
      </c>
      <c r="BK72" s="461">
        <f t="shared" si="22"/>
        <v>0.696</v>
      </c>
      <c r="BL72" s="444">
        <f>IFERROR(
  AVERAGEIFS(
    'NEW Onchocerciasis Efficacy'!$AO:$AO,
    'NEW Onchocerciasis Efficacy'!$C:$C,$A72,
    'NEW Onchocerciasis Efficacy'!$D:$D,"Ivermectin",
    'NEW Onchocerciasis Efficacy'!$AR:$AR,"&lt;2016",
    'NEW Onchocerciasis Efficacy'!$BG:$BG,"")
,"")</f>
        <v>0.81</v>
      </c>
      <c r="BM72" s="462">
        <f t="shared" si="23"/>
        <v>0.81</v>
      </c>
      <c r="BN72" s="452">
        <v>1.0</v>
      </c>
      <c r="BO72" s="452">
        <v>1.0</v>
      </c>
      <c r="BP72" s="452">
        <v>1.0</v>
      </c>
      <c r="BQ72" s="452">
        <f t="shared" si="24"/>
        <v>0</v>
      </c>
      <c r="BR72" s="452" t="str">
        <f t="shared" si="25"/>
        <v>1110</v>
      </c>
      <c r="BS72" s="452" t="str">
        <f t="shared" si="26"/>
        <v>MDA1+T2</v>
      </c>
      <c r="BT72" s="467" t="str">
        <f t="shared" si="27"/>
        <v>IVM+ALB</v>
      </c>
      <c r="BU72" s="452" t="str">
        <f t="shared" si="28"/>
        <v>PZQ</v>
      </c>
      <c r="BV72" s="452" t="str">
        <f t="shared" si="29"/>
        <v>lf+onch+schist </v>
      </c>
      <c r="BW72" s="150" t="str">
        <f t="shared" si="30"/>
        <v/>
      </c>
      <c r="BX72" s="312">
        <f t="shared" si="31"/>
        <v>111.4018601</v>
      </c>
      <c r="BY72" s="176">
        <f t="shared" si="32"/>
        <v>78081.79919</v>
      </c>
      <c r="BZ72" s="152" t="str">
        <f t="shared" si="33"/>
        <v/>
      </c>
      <c r="CA72" s="152" t="str">
        <f t="shared" si="34"/>
        <v/>
      </c>
      <c r="CB72" s="152" t="str">
        <f t="shared" si="35"/>
        <v/>
      </c>
      <c r="CC72" s="153" t="str">
        <f t="shared" si="36"/>
        <v/>
      </c>
      <c r="CD72" s="153" t="str">
        <f t="shared" si="37"/>
        <v/>
      </c>
      <c r="CE72" s="154" t="str">
        <f t="shared" si="38"/>
        <v/>
      </c>
      <c r="CF72" s="154" t="str">
        <f t="shared" si="39"/>
        <v/>
      </c>
      <c r="CG72" s="154" t="str">
        <f t="shared" si="40"/>
        <v/>
      </c>
      <c r="CH72" s="313">
        <f t="shared" si="41"/>
        <v>909.0199771</v>
      </c>
    </row>
    <row r="73">
      <c r="A73" s="103" t="s">
        <v>162</v>
      </c>
      <c r="B73" s="104" t="s">
        <v>94</v>
      </c>
      <c r="C73" s="428">
        <v>892149.0</v>
      </c>
      <c r="D73" s="161">
        <v>106.91000000000001</v>
      </c>
      <c r="E73" s="294">
        <v>0.0</v>
      </c>
      <c r="F73" s="295">
        <v>1.540536003</v>
      </c>
      <c r="G73" s="295">
        <v>19.22705699</v>
      </c>
      <c r="H73" s="108">
        <v>20.76759299</v>
      </c>
      <c r="I73" s="109">
        <v>39.5087131</v>
      </c>
      <c r="J73" s="109">
        <v>204.751717</v>
      </c>
      <c r="K73" s="109">
        <v>244.2604296</v>
      </c>
      <c r="L73" s="112">
        <v>35.59279769</v>
      </c>
      <c r="M73" s="112">
        <v>84.62530859</v>
      </c>
      <c r="N73" s="112">
        <v>120.2181063</v>
      </c>
      <c r="O73" s="298">
        <v>0.0</v>
      </c>
      <c r="P73" s="160">
        <v>55340.0</v>
      </c>
      <c r="Q73" s="160">
        <v>51032.0</v>
      </c>
      <c r="R73" s="121">
        <f t="shared" si="4"/>
        <v>0.9221539574</v>
      </c>
      <c r="S73" s="116">
        <f t="shared" si="5"/>
        <v>0.9221539574</v>
      </c>
      <c r="T73" s="117"/>
      <c r="U73" s="118">
        <f t="shared" si="6"/>
        <v>0.73965</v>
      </c>
      <c r="V73" s="119">
        <v>0.0499</v>
      </c>
      <c r="W73" s="120">
        <f t="shared" si="7"/>
        <v>0.0499</v>
      </c>
      <c r="X73" s="119">
        <v>0.0864</v>
      </c>
      <c r="Y73" s="120">
        <f t="shared" si="8"/>
        <v>0.0864</v>
      </c>
      <c r="Z73" s="299"/>
      <c r="AA73" s="441"/>
      <c r="AB73" s="300" t="str">
        <f t="shared" si="9"/>
        <v/>
      </c>
      <c r="AC73" s="300">
        <f t="shared" si="10"/>
        <v>0.6890056172</v>
      </c>
      <c r="AD73" s="122">
        <v>0.0017</v>
      </c>
      <c r="AE73" s="123">
        <v>0.0</v>
      </c>
      <c r="AF73" s="430">
        <v>0.0</v>
      </c>
      <c r="AG73" s="124">
        <v>0.0293</v>
      </c>
      <c r="AH73" s="124">
        <v>0.054024453</v>
      </c>
      <c r="AI73" s="125">
        <v>0.1821</v>
      </c>
      <c r="AJ73" s="125">
        <v>0.272423798</v>
      </c>
      <c r="AK73" s="127">
        <v>0.2121</v>
      </c>
      <c r="AL73" s="127">
        <v>0.315005325</v>
      </c>
      <c r="AM73" s="302">
        <v>0.0</v>
      </c>
      <c r="AN73" s="149" t="str">
        <f>IFERROR(
  AVERAGEIFS(
    'New LF Efficacy'!$J:$J,
    'New LF Efficacy'!$D:$D, $A73,
    'New LF Efficacy'!$F:$F,"DEC", 
    'New LF Efficacy'!$W:$W,"&lt;2016",
    'New LF Efficacy'!$AA:$AA,""),
  ""
)</f>
        <v/>
      </c>
      <c r="AO73" s="115">
        <f t="shared" si="11"/>
        <v>0.38</v>
      </c>
      <c r="AP73" s="149" t="str">
        <f>IFERROR(
AVERAGEIFS(
'New LF Efficacy'!$J:$J,
'New LF Efficacy'!$D:$D,$A73,
'New LF Efficacy'!$F:$F,"Albendazole &amp; DEC",
'New LF Efficacy'!$W:$W,"&lt;2016",
'New LF Efficacy'!$AA:$AA,""),
"")
</f>
        <v/>
      </c>
      <c r="AQ73" s="115">
        <f t="shared" si="12"/>
        <v>0.662</v>
      </c>
      <c r="AR73" s="149" t="str">
        <f>IFERROR(
AVERAGEIFS(
'New LF Efficacy'!$J:$J,
'New LF Efficacy'!$D:$D,$A73,
'New LF Efficacy'!$F:$F,"Albendazole &amp; Ivermectin", 
'New LF Efficacy'!$W:$W,"&lt;2016",
'New LF Efficacy'!$AA:$AA,""),"")</f>
        <v/>
      </c>
      <c r="AS73" s="115">
        <f t="shared" si="13"/>
        <v>0.37153125</v>
      </c>
      <c r="AT73" s="442" t="str">
        <f>IFERROR(AVERAGEIFS(
'Schist Efficacy'!$O:$O, 
'Schist Efficacy'!$C:$C,$A73, 
'Schist Efficacy'!$D:$D, "Praziquantel",
'Schist Efficacy'!$J:$J,"&lt;2016",
'Schist Efficacy'!$U:$U,""),
"")</f>
        <v/>
      </c>
      <c r="AU73" s="118">
        <f t="shared" si="14"/>
        <v>0.9475</v>
      </c>
      <c r="AV73" s="131" t="str">
        <f>IFERROR(AVERAGEIFS(
'STH Efficacy'!$AX:$AX, 
'STH Efficacy'!$AL:$AL, $A73, 
'STH Efficacy'!$AM:$AM, "Albendazole",
'STH Efficacy'!$AS:$AS,"&lt;2016",
'STH Efficacy'!$BP:$BP,""),
"")</f>
        <v/>
      </c>
      <c r="AW73" s="132">
        <f t="shared" si="15"/>
        <v>0.3571666667</v>
      </c>
      <c r="AX73" s="131" t="str">
        <f>IFERROR(AVERAGEIFS(
'STH Efficacy'!$AX:$AX, 
'STH Efficacy'!$AL:$AL, $A73, 
'STH Efficacy'!$AM:$AM, "Mebendazole",
'STH Efficacy'!$AS:$AS,"&lt;2016",
'STH Efficacy'!$BP:$BP,""),
"")</f>
        <v/>
      </c>
      <c r="AY73" s="132">
        <f t="shared" si="16"/>
        <v>0.4155</v>
      </c>
      <c r="AZ73" s="131" t="str">
        <f>IFERROR(AVERAGEIFS(
'STH Efficacy'!$AX:$AX, 
'STH Efficacy'!$AL:$AL, $A73, 
'STH Efficacy'!$AM:$AM, "Albendazole &amp; Ivermectin",
'STH Efficacy'!$AS:$AS,"&lt;2016",
'STH Efficacy'!$BP:$BP,""),
"")</f>
        <v/>
      </c>
      <c r="BA73" s="133">
        <f t="shared" si="17"/>
        <v>0.651</v>
      </c>
      <c r="BB73" s="443" t="str">
        <f>IFERROR(AVERAGEIFS(
'STH Efficacy'!$N:$N, 
'STH Efficacy'!$B:$B, $A73, 
'STH Efficacy'!$C:$C, "Albendazole",
'STH Efficacy'!$I:$I,"&lt;2016",
'STH Efficacy'!$AH:$AH,""),
"")</f>
        <v/>
      </c>
      <c r="BC73" s="135">
        <f t="shared" si="18"/>
        <v>0.5769166667</v>
      </c>
      <c r="BD73" s="443" t="str">
        <f>IFERROR(AVERAGEIFS(
'STH Efficacy'!$N:$N, 
'STH Efficacy'!$B:$B, $A73, 
'STH Efficacy'!$C:$C, "Mebendazole",
'STH Efficacy'!$I:$I,"&lt;2016",
'STH Efficacy'!$AH:$AH,""),
"")</f>
        <v/>
      </c>
      <c r="BE73" s="135">
        <f t="shared" si="19"/>
        <v>0.3145</v>
      </c>
      <c r="BF73" s="436" t="str">
        <f>IFERROR(AVERAGEIFS(
'STH Efficacy'!$CD:$CD, 
'STH Efficacy'!$BS:$BS, $A73, 
'STH Efficacy'!$BT:$BT, "Albendazole",
'STH Efficacy'!$BZ:$BZ,"&lt;2016",
'STH Efficacy'!$CU:$CU,""),
"")</f>
        <v/>
      </c>
      <c r="BG73" s="136">
        <f t="shared" si="20"/>
        <v>0.96925</v>
      </c>
      <c r="BH73" s="436" t="str">
        <f>IFERROR(AVERAGEIFS(
'STH Efficacy'!$CD:$CD, 
'STH Efficacy'!$BS:$BS, $A73, 
'STH Efficacy'!$BT:$BT, "Mebendazole",
'STH Efficacy'!$BZ:$BZ,"&lt;2016",
'STH Efficacy'!$CU:$CU,""),
"")</f>
        <v/>
      </c>
      <c r="BI73" s="136">
        <f t="shared" si="21"/>
        <v>0.9305</v>
      </c>
      <c r="BJ73" s="436" t="str">
        <f>IFERROR(AVERAGEIFS(
'STH Efficacy'!$CD:$CD, 
'STH Efficacy'!$BS:$BS, $A73, 
'STH Efficacy'!$BT:$BT, "Albendazole &amp; Ivermectin",
'STH Efficacy'!$BZ:$BZ,"&lt;2016",
'STH Efficacy'!$CU:$CU,""),
"")</f>
        <v/>
      </c>
      <c r="BK73" s="136">
        <f t="shared" si="22"/>
        <v>0.848</v>
      </c>
      <c r="BL73" s="444" t="str">
        <f>IFERROR(
  AVERAGEIFS(
    'NEW Onchocerciasis Efficacy'!$AO:$AO,
    'NEW Onchocerciasis Efficacy'!$C:$C,$A73,
    'NEW Onchocerciasis Efficacy'!$D:$D,"Ivermectin",
    'NEW Onchocerciasis Efficacy'!$AR:$AR,"&lt;2016",
    'NEW Onchocerciasis Efficacy'!$BG:$BG,"")
,"")</f>
        <v/>
      </c>
      <c r="BM73" s="304">
        <f t="shared" si="23"/>
        <v>0.7808368939</v>
      </c>
      <c r="BN73" s="439">
        <v>1.0</v>
      </c>
      <c r="BO73" s="139">
        <v>0.0</v>
      </c>
      <c r="BP73" s="140">
        <v>0.0</v>
      </c>
      <c r="BQ73" s="141">
        <f t="shared" si="24"/>
        <v>1</v>
      </c>
      <c r="BR73" s="104" t="str">
        <f t="shared" si="25"/>
        <v>1001</v>
      </c>
      <c r="BS73" s="104" t="str">
        <f t="shared" si="26"/>
        <v>MDA1/2</v>
      </c>
      <c r="BT73" s="142" t="str">
        <f t="shared" si="27"/>
        <v>IVM+ALB or DEC+ALB</v>
      </c>
      <c r="BU73" s="104" t="str">
        <f t="shared" si="28"/>
        <v/>
      </c>
      <c r="BV73" s="104" t="str">
        <f t="shared" si="29"/>
        <v>lf+sth</v>
      </c>
      <c r="BW73" s="312">
        <f t="shared" si="30"/>
        <v>167.5460885</v>
      </c>
      <c r="BX73" s="312">
        <f t="shared" si="31"/>
        <v>55.71772388</v>
      </c>
      <c r="BY73" s="151" t="str">
        <f t="shared" si="32"/>
        <v/>
      </c>
      <c r="BZ73" s="152">
        <f t="shared" si="33"/>
        <v>0.6401789576</v>
      </c>
      <c r="CA73" s="152" t="str">
        <f t="shared" si="34"/>
        <v/>
      </c>
      <c r="CB73" s="152">
        <f t="shared" si="35"/>
        <v>1.197630236</v>
      </c>
      <c r="CC73" s="323">
        <f t="shared" si="36"/>
        <v>11.91247897</v>
      </c>
      <c r="CD73" s="153" t="str">
        <f t="shared" si="37"/>
        <v/>
      </c>
      <c r="CE73" s="154">
        <f t="shared" si="38"/>
        <v>9.543463855</v>
      </c>
      <c r="CF73" s="154" t="str">
        <f t="shared" si="39"/>
        <v/>
      </c>
      <c r="CG73" s="154">
        <f t="shared" si="40"/>
        <v>8.263113886</v>
      </c>
      <c r="CH73" s="308" t="str">
        <f t="shared" si="41"/>
        <v/>
      </c>
    </row>
    <row r="74">
      <c r="A74" s="103" t="s">
        <v>163</v>
      </c>
      <c r="B74" s="104" t="s">
        <v>90</v>
      </c>
      <c r="C74" s="428">
        <v>5479531.0</v>
      </c>
      <c r="D74" s="161">
        <v>0.0</v>
      </c>
      <c r="E74" s="294">
        <v>0.0</v>
      </c>
      <c r="F74" s="307">
        <v>0.0</v>
      </c>
      <c r="G74" s="309">
        <v>0.0</v>
      </c>
      <c r="H74" s="108">
        <v>0.0</v>
      </c>
      <c r="I74" s="109">
        <v>0.0</v>
      </c>
      <c r="J74" s="109">
        <v>0.0</v>
      </c>
      <c r="K74" s="109">
        <v>0.0</v>
      </c>
      <c r="L74" s="112">
        <v>0.0</v>
      </c>
      <c r="M74" s="112">
        <v>0.0</v>
      </c>
      <c r="N74" s="112">
        <v>0.0</v>
      </c>
      <c r="O74" s="298">
        <v>0.0</v>
      </c>
      <c r="P74" s="114"/>
      <c r="Q74" s="114"/>
      <c r="R74" s="121" t="str">
        <f t="shared" si="4"/>
        <v/>
      </c>
      <c r="S74" s="116">
        <f t="shared" si="5"/>
        <v>0.5709301448</v>
      </c>
      <c r="T74" s="117"/>
      <c r="U74" s="118">
        <f t="shared" si="6"/>
        <v>0.4791888889</v>
      </c>
      <c r="V74" s="148"/>
      <c r="W74" s="120">
        <f t="shared" si="7"/>
        <v>0.0223</v>
      </c>
      <c r="X74" s="148"/>
      <c r="Y74" s="120">
        <f t="shared" si="8"/>
        <v>0.598275</v>
      </c>
      <c r="Z74" s="299"/>
      <c r="AA74" s="441"/>
      <c r="AB74" s="300" t="str">
        <f t="shared" si="9"/>
        <v/>
      </c>
      <c r="AC74" s="300">
        <f t="shared" si="10"/>
        <v>0.6890056172</v>
      </c>
      <c r="AD74" s="122">
        <v>0.0</v>
      </c>
      <c r="AE74" s="123">
        <v>0.0</v>
      </c>
      <c r="AF74" s="430">
        <v>0.0</v>
      </c>
      <c r="AG74" s="124">
        <v>0.0</v>
      </c>
      <c r="AH74" s="124">
        <v>0.0</v>
      </c>
      <c r="AI74" s="125">
        <v>0.0</v>
      </c>
      <c r="AJ74" s="125">
        <v>0.0</v>
      </c>
      <c r="AK74" s="127">
        <v>0.0</v>
      </c>
      <c r="AL74" s="127">
        <v>0.0</v>
      </c>
      <c r="AM74" s="302">
        <v>0.0</v>
      </c>
      <c r="AN74" s="149" t="str">
        <f>IFERROR(
  AVERAGEIFS(
    'New LF Efficacy'!$J:$J,
    'New LF Efficacy'!$D:$D, $A74,
    'New LF Efficacy'!$F:$F,"DEC", 
    'New LF Efficacy'!$W:$W,"&lt;2016",
    'New LF Efficacy'!$AA:$AA,""),
  ""
)</f>
        <v/>
      </c>
      <c r="AO74" s="115">
        <f t="shared" si="11"/>
        <v>0.3573520833</v>
      </c>
      <c r="AP74" s="149" t="str">
        <f>IFERROR(
AVERAGEIFS(
'New LF Efficacy'!$J:$J,
'New LF Efficacy'!$D:$D,$A74,
'New LF Efficacy'!$F:$F,"Albendazole &amp; DEC",
'New LF Efficacy'!$W:$W,"&lt;2016",
'New LF Efficacy'!$AA:$AA,""),
"")
</f>
        <v/>
      </c>
      <c r="AQ74" s="115">
        <f t="shared" si="12"/>
        <v>0.5143541667</v>
      </c>
      <c r="AR74" s="149" t="str">
        <f>IFERROR(
AVERAGEIFS(
'New LF Efficacy'!$J:$J,
'New LF Efficacy'!$D:$D,$A74,
'New LF Efficacy'!$F:$F,"Albendazole &amp; Ivermectin", 
'New LF Efficacy'!$W:$W,"&lt;2016",
'New LF Efficacy'!$AA:$AA,""),"")</f>
        <v/>
      </c>
      <c r="AS74" s="115">
        <f t="shared" si="13"/>
        <v>0.37153125</v>
      </c>
      <c r="AT74" s="442" t="str">
        <f>IFERROR(AVERAGEIFS(
'Schist Efficacy'!$O:$O, 
'Schist Efficacy'!$C:$C,$A74, 
'Schist Efficacy'!$D:$D, "Praziquantel",
'Schist Efficacy'!$J:$J,"&lt;2016",
'Schist Efficacy'!$U:$U,""),
"")</f>
        <v/>
      </c>
      <c r="AU74" s="118">
        <f t="shared" si="14"/>
        <v>0.655</v>
      </c>
      <c r="AV74" s="131" t="str">
        <f>IFERROR(AVERAGEIFS(
'STH Efficacy'!$AX:$AX, 
'STH Efficacy'!$AL:$AL, $A74, 
'STH Efficacy'!$AM:$AM, "Albendazole",
'STH Efficacy'!$AS:$AS,"&lt;2016",
'STH Efficacy'!$BP:$BP,""),
"")</f>
        <v/>
      </c>
      <c r="AW74" s="132">
        <f t="shared" si="15"/>
        <v>0.4143846154</v>
      </c>
      <c r="AX74" s="131" t="str">
        <f>IFERROR(AVERAGEIFS(
'STH Efficacy'!$AX:$AX, 
'STH Efficacy'!$AL:$AL, $A74, 
'STH Efficacy'!$AM:$AM, "Mebendazole",
'STH Efficacy'!$AS:$AS,"&lt;2016",
'STH Efficacy'!$BP:$BP,""),
"")</f>
        <v/>
      </c>
      <c r="AY74" s="132">
        <f t="shared" si="16"/>
        <v>0.4691770833</v>
      </c>
      <c r="AZ74" s="131" t="str">
        <f>IFERROR(AVERAGEIFS(
'STH Efficacy'!$AX:$AX, 
'STH Efficacy'!$AL:$AL, $A74, 
'STH Efficacy'!$AM:$AM, "Albendazole &amp; Ivermectin",
'STH Efficacy'!$AS:$AS,"&lt;2016",
'STH Efficacy'!$BP:$BP,""),
"")</f>
        <v/>
      </c>
      <c r="BA74" s="133">
        <f t="shared" si="17"/>
        <v>0.597625</v>
      </c>
      <c r="BB74" s="443" t="str">
        <f>IFERROR(AVERAGEIFS(
'STH Efficacy'!$N:$N, 
'STH Efficacy'!$B:$B, $A74, 
'STH Efficacy'!$C:$C, "Albendazole",
'STH Efficacy'!$I:$I,"&lt;2016",
'STH Efficacy'!$AH:$AH,""),
"")</f>
        <v/>
      </c>
      <c r="BC74" s="135">
        <f t="shared" si="18"/>
        <v>0.7613712121</v>
      </c>
      <c r="BD74" s="443" t="str">
        <f>IFERROR(AVERAGEIFS(
'STH Efficacy'!$N:$N, 
'STH Efficacy'!$B:$B, $A74, 
'STH Efficacy'!$C:$C, "Mebendazole",
'STH Efficacy'!$I:$I,"&lt;2016",
'STH Efficacy'!$AH:$AH,""),
"")</f>
        <v/>
      </c>
      <c r="BE74" s="135">
        <f t="shared" si="19"/>
        <v>0.4362466667</v>
      </c>
      <c r="BF74" s="436" t="str">
        <f>IFERROR(AVERAGEIFS(
'STH Efficacy'!$CD:$CD, 
'STH Efficacy'!$BS:$BS, $A74, 
'STH Efficacy'!$BT:$BT, "Albendazole",
'STH Efficacy'!$BZ:$BZ,"&lt;2016",
'STH Efficacy'!$CU:$CU,""),
"")</f>
        <v/>
      </c>
      <c r="BG74" s="136">
        <f t="shared" si="20"/>
        <v>0.9216027778</v>
      </c>
      <c r="BH74" s="436" t="str">
        <f>IFERROR(AVERAGEIFS(
'STH Efficacy'!$CD:$CD, 
'STH Efficacy'!$BS:$BS, $A74, 
'STH Efficacy'!$BT:$BT, "Mebendazole",
'STH Efficacy'!$BZ:$BZ,"&lt;2016",
'STH Efficacy'!$CU:$CU,""),
"")</f>
        <v/>
      </c>
      <c r="BI74" s="136">
        <f t="shared" si="21"/>
        <v>0.8866041667</v>
      </c>
      <c r="BJ74" s="436" t="str">
        <f>IFERROR(AVERAGEIFS(
'STH Efficacy'!$CD:$CD, 
'STH Efficacy'!$BS:$BS, $A74, 
'STH Efficacy'!$BT:$BT, "Albendazole &amp; Ivermectin",
'STH Efficacy'!$BZ:$BZ,"&lt;2016",
'STH Efficacy'!$CU:$CU,""),
"")</f>
        <v/>
      </c>
      <c r="BK74" s="136">
        <f t="shared" si="22"/>
        <v>0.848</v>
      </c>
      <c r="BL74" s="444" t="str">
        <f>IFERROR(
  AVERAGEIFS(
    'NEW Onchocerciasis Efficacy'!$AO:$AO,
    'NEW Onchocerciasis Efficacy'!$C:$C,$A74,
    'NEW Onchocerciasis Efficacy'!$D:$D,"Ivermectin",
    'NEW Onchocerciasis Efficacy'!$AR:$AR,"&lt;2016",
    'NEW Onchocerciasis Efficacy'!$BG:$BG,"")
,"")</f>
        <v/>
      </c>
      <c r="BM74" s="304">
        <f t="shared" si="23"/>
        <v>0.7808368939</v>
      </c>
      <c r="BN74" s="439">
        <v>0.0</v>
      </c>
      <c r="BO74" s="139">
        <v>0.0</v>
      </c>
      <c r="BP74" s="140">
        <v>0.0</v>
      </c>
      <c r="BQ74" s="141">
        <f t="shared" si="24"/>
        <v>0</v>
      </c>
      <c r="BR74" s="104" t="str">
        <f t="shared" si="25"/>
        <v>0000</v>
      </c>
      <c r="BS74" s="104" t="str">
        <f t="shared" si="26"/>
        <v>no action required</v>
      </c>
      <c r="BT74" s="142" t="str">
        <f t="shared" si="27"/>
        <v/>
      </c>
      <c r="BU74" s="104" t="str">
        <f t="shared" si="28"/>
        <v/>
      </c>
      <c r="BV74" s="104" t="str">
        <f t="shared" si="29"/>
        <v>none</v>
      </c>
      <c r="BW74" s="150" t="str">
        <f t="shared" si="30"/>
        <v/>
      </c>
      <c r="BX74" s="150" t="str">
        <f t="shared" si="31"/>
        <v/>
      </c>
      <c r="BY74" s="151" t="str">
        <f t="shared" si="32"/>
        <v/>
      </c>
      <c r="BZ74" s="152" t="str">
        <f t="shared" si="33"/>
        <v/>
      </c>
      <c r="CA74" s="152" t="str">
        <f t="shared" si="34"/>
        <v/>
      </c>
      <c r="CB74" s="152" t="str">
        <f t="shared" si="35"/>
        <v/>
      </c>
      <c r="CC74" s="153" t="str">
        <f t="shared" si="36"/>
        <v/>
      </c>
      <c r="CD74" s="153" t="str">
        <f t="shared" si="37"/>
        <v/>
      </c>
      <c r="CE74" s="154" t="str">
        <f t="shared" si="38"/>
        <v/>
      </c>
      <c r="CF74" s="154" t="str">
        <f t="shared" si="39"/>
        <v/>
      </c>
      <c r="CG74" s="154" t="str">
        <f t="shared" si="40"/>
        <v/>
      </c>
      <c r="CH74" s="308" t="str">
        <f t="shared" si="41"/>
        <v/>
      </c>
    </row>
    <row r="75">
      <c r="A75" s="103" t="s">
        <v>164</v>
      </c>
      <c r="B75" s="104" t="s">
        <v>90</v>
      </c>
      <c r="C75" s="428">
        <v>6.6624068E7</v>
      </c>
      <c r="D75" s="161">
        <v>0.0</v>
      </c>
      <c r="E75" s="294">
        <v>0.0</v>
      </c>
      <c r="F75" s="307">
        <v>0.0</v>
      </c>
      <c r="G75" s="309">
        <v>0.0</v>
      </c>
      <c r="H75" s="108">
        <v>0.0</v>
      </c>
      <c r="I75" s="109">
        <v>0.0</v>
      </c>
      <c r="J75" s="109">
        <v>0.0</v>
      </c>
      <c r="K75" s="109">
        <v>0.0</v>
      </c>
      <c r="L75" s="112">
        <v>0.0</v>
      </c>
      <c r="M75" s="112">
        <v>0.0</v>
      </c>
      <c r="N75" s="112">
        <v>0.0</v>
      </c>
      <c r="O75" s="298">
        <v>0.0</v>
      </c>
      <c r="P75" s="114"/>
      <c r="Q75" s="114"/>
      <c r="R75" s="121" t="str">
        <f t="shared" si="4"/>
        <v/>
      </c>
      <c r="S75" s="116">
        <f t="shared" si="5"/>
        <v>0.5709301448</v>
      </c>
      <c r="T75" s="117"/>
      <c r="U75" s="118">
        <f t="shared" si="6"/>
        <v>0.4791888889</v>
      </c>
      <c r="V75" s="148"/>
      <c r="W75" s="120">
        <f t="shared" si="7"/>
        <v>0.0223</v>
      </c>
      <c r="X75" s="148"/>
      <c r="Y75" s="120">
        <f t="shared" si="8"/>
        <v>0.598275</v>
      </c>
      <c r="Z75" s="299"/>
      <c r="AA75" s="441"/>
      <c r="AB75" s="300" t="str">
        <f t="shared" si="9"/>
        <v/>
      </c>
      <c r="AC75" s="300">
        <f t="shared" si="10"/>
        <v>0.6890056172</v>
      </c>
      <c r="AD75" s="122">
        <v>0.0</v>
      </c>
      <c r="AE75" s="123">
        <v>0.0</v>
      </c>
      <c r="AF75" s="430">
        <v>0.0</v>
      </c>
      <c r="AG75" s="124">
        <v>0.0</v>
      </c>
      <c r="AH75" s="124">
        <v>0.0</v>
      </c>
      <c r="AI75" s="125">
        <v>0.0</v>
      </c>
      <c r="AJ75" s="125">
        <v>0.0</v>
      </c>
      <c r="AK75" s="127">
        <v>0.0</v>
      </c>
      <c r="AL75" s="127">
        <v>0.0</v>
      </c>
      <c r="AM75" s="302">
        <v>0.0</v>
      </c>
      <c r="AN75" s="149" t="str">
        <f>IFERROR(
  AVERAGEIFS(
    'New LF Efficacy'!$J:$J,
    'New LF Efficacy'!$D:$D, $A75,
    'New LF Efficacy'!$F:$F,"DEC", 
    'New LF Efficacy'!$W:$W,"&lt;2016",
    'New LF Efficacy'!$AA:$AA,""),
  ""
)</f>
        <v/>
      </c>
      <c r="AO75" s="115">
        <f t="shared" si="11"/>
        <v>0.3573520833</v>
      </c>
      <c r="AP75" s="149" t="str">
        <f>IFERROR(
AVERAGEIFS(
'New LF Efficacy'!$J:$J,
'New LF Efficacy'!$D:$D,$A75,
'New LF Efficacy'!$F:$F,"Albendazole &amp; DEC",
'New LF Efficacy'!$W:$W,"&lt;2016",
'New LF Efficacy'!$AA:$AA,""),
"")
</f>
        <v/>
      </c>
      <c r="AQ75" s="115">
        <f t="shared" si="12"/>
        <v>0.5143541667</v>
      </c>
      <c r="AR75" s="149" t="str">
        <f>IFERROR(
AVERAGEIFS(
'New LF Efficacy'!$J:$J,
'New LF Efficacy'!$D:$D,$A75,
'New LF Efficacy'!$F:$F,"Albendazole &amp; Ivermectin", 
'New LF Efficacy'!$W:$W,"&lt;2016",
'New LF Efficacy'!$AA:$AA,""),"")</f>
        <v/>
      </c>
      <c r="AS75" s="115">
        <f t="shared" si="13"/>
        <v>0.37153125</v>
      </c>
      <c r="AT75" s="442" t="str">
        <f>IFERROR(AVERAGEIFS(
'Schist Efficacy'!$O:$O, 
'Schist Efficacy'!$C:$C,$A75, 
'Schist Efficacy'!$D:$D, "Praziquantel",
'Schist Efficacy'!$J:$J,"&lt;2016",
'Schist Efficacy'!$U:$U,""),
"")</f>
        <v/>
      </c>
      <c r="AU75" s="118">
        <f t="shared" si="14"/>
        <v>0.655</v>
      </c>
      <c r="AV75" s="131" t="str">
        <f>IFERROR(AVERAGEIFS(
'STH Efficacy'!$AX:$AX, 
'STH Efficacy'!$AL:$AL, $A75, 
'STH Efficacy'!$AM:$AM, "Albendazole",
'STH Efficacy'!$AS:$AS,"&lt;2016",
'STH Efficacy'!$BP:$BP,""),
"")</f>
        <v/>
      </c>
      <c r="AW75" s="132">
        <f t="shared" si="15"/>
        <v>0.4143846154</v>
      </c>
      <c r="AX75" s="131" t="str">
        <f>IFERROR(AVERAGEIFS(
'STH Efficacy'!$AX:$AX, 
'STH Efficacy'!$AL:$AL, $A75, 
'STH Efficacy'!$AM:$AM, "Mebendazole",
'STH Efficacy'!$AS:$AS,"&lt;2016",
'STH Efficacy'!$BP:$BP,""),
"")</f>
        <v/>
      </c>
      <c r="AY75" s="132">
        <f t="shared" si="16"/>
        <v>0.4691770833</v>
      </c>
      <c r="AZ75" s="131" t="str">
        <f>IFERROR(AVERAGEIFS(
'STH Efficacy'!$AX:$AX, 
'STH Efficacy'!$AL:$AL, $A75, 
'STH Efficacy'!$AM:$AM, "Albendazole &amp; Ivermectin",
'STH Efficacy'!$AS:$AS,"&lt;2016",
'STH Efficacy'!$BP:$BP,""),
"")</f>
        <v/>
      </c>
      <c r="BA75" s="133">
        <f t="shared" si="17"/>
        <v>0.597625</v>
      </c>
      <c r="BB75" s="443" t="str">
        <f>IFERROR(AVERAGEIFS(
'STH Efficacy'!$N:$N, 
'STH Efficacy'!$B:$B, $A75, 
'STH Efficacy'!$C:$C, "Albendazole",
'STH Efficacy'!$I:$I,"&lt;2016",
'STH Efficacy'!$AH:$AH,""),
"")</f>
        <v/>
      </c>
      <c r="BC75" s="135">
        <f t="shared" si="18"/>
        <v>0.7613712121</v>
      </c>
      <c r="BD75" s="443" t="str">
        <f>IFERROR(AVERAGEIFS(
'STH Efficacy'!$N:$N, 
'STH Efficacy'!$B:$B, $A75, 
'STH Efficacy'!$C:$C, "Mebendazole",
'STH Efficacy'!$I:$I,"&lt;2016",
'STH Efficacy'!$AH:$AH,""),
"")</f>
        <v/>
      </c>
      <c r="BE75" s="135">
        <f t="shared" si="19"/>
        <v>0.4362466667</v>
      </c>
      <c r="BF75" s="436" t="str">
        <f>IFERROR(AVERAGEIFS(
'STH Efficacy'!$CD:$CD, 
'STH Efficacy'!$BS:$BS, $A75, 
'STH Efficacy'!$BT:$BT, "Albendazole",
'STH Efficacy'!$BZ:$BZ,"&lt;2016",
'STH Efficacy'!$CU:$CU,""),
"")</f>
        <v/>
      </c>
      <c r="BG75" s="136">
        <f t="shared" si="20"/>
        <v>0.9216027778</v>
      </c>
      <c r="BH75" s="436" t="str">
        <f>IFERROR(AVERAGEIFS(
'STH Efficacy'!$CD:$CD, 
'STH Efficacy'!$BS:$BS, $A75, 
'STH Efficacy'!$BT:$BT, "Mebendazole",
'STH Efficacy'!$BZ:$BZ,"&lt;2016",
'STH Efficacy'!$CU:$CU,""),
"")</f>
        <v/>
      </c>
      <c r="BI75" s="136">
        <f t="shared" si="21"/>
        <v>0.8866041667</v>
      </c>
      <c r="BJ75" s="436" t="str">
        <f>IFERROR(AVERAGEIFS(
'STH Efficacy'!$CD:$CD, 
'STH Efficacy'!$BS:$BS, $A75, 
'STH Efficacy'!$BT:$BT, "Albendazole &amp; Ivermectin",
'STH Efficacy'!$BZ:$BZ,"&lt;2016",
'STH Efficacy'!$CU:$CU,""),
"")</f>
        <v/>
      </c>
      <c r="BK75" s="136">
        <f t="shared" si="22"/>
        <v>0.848</v>
      </c>
      <c r="BL75" s="444" t="str">
        <f>IFERROR(
  AVERAGEIFS(
    'NEW Onchocerciasis Efficacy'!$AO:$AO,
    'NEW Onchocerciasis Efficacy'!$C:$C,$A75,
    'NEW Onchocerciasis Efficacy'!$D:$D,"Ivermectin",
    'NEW Onchocerciasis Efficacy'!$AR:$AR,"&lt;2016",
    'NEW Onchocerciasis Efficacy'!$BG:$BG,"")
,"")</f>
        <v/>
      </c>
      <c r="BM75" s="304">
        <f t="shared" si="23"/>
        <v>0.7808368939</v>
      </c>
      <c r="BN75" s="439">
        <v>0.0</v>
      </c>
      <c r="BO75" s="139">
        <v>0.0</v>
      </c>
      <c r="BP75" s="140">
        <v>0.0</v>
      </c>
      <c r="BQ75" s="141">
        <f t="shared" si="24"/>
        <v>0</v>
      </c>
      <c r="BR75" s="104" t="str">
        <f t="shared" si="25"/>
        <v>0000</v>
      </c>
      <c r="BS75" s="104" t="str">
        <f t="shared" si="26"/>
        <v>no action required</v>
      </c>
      <c r="BT75" s="142" t="str">
        <f t="shared" si="27"/>
        <v/>
      </c>
      <c r="BU75" s="104" t="str">
        <f t="shared" si="28"/>
        <v/>
      </c>
      <c r="BV75" s="104" t="str">
        <f t="shared" si="29"/>
        <v>none</v>
      </c>
      <c r="BW75" s="150" t="str">
        <f t="shared" si="30"/>
        <v/>
      </c>
      <c r="BX75" s="150" t="str">
        <f t="shared" si="31"/>
        <v/>
      </c>
      <c r="BY75" s="151" t="str">
        <f t="shared" si="32"/>
        <v/>
      </c>
      <c r="BZ75" s="152" t="str">
        <f t="shared" si="33"/>
        <v/>
      </c>
      <c r="CA75" s="152" t="str">
        <f t="shared" si="34"/>
        <v/>
      </c>
      <c r="CB75" s="152" t="str">
        <f t="shared" si="35"/>
        <v/>
      </c>
      <c r="CC75" s="153" t="str">
        <f t="shared" si="36"/>
        <v/>
      </c>
      <c r="CD75" s="153" t="str">
        <f t="shared" si="37"/>
        <v/>
      </c>
      <c r="CE75" s="154" t="str">
        <f t="shared" si="38"/>
        <v/>
      </c>
      <c r="CF75" s="154" t="str">
        <f t="shared" si="39"/>
        <v/>
      </c>
      <c r="CG75" s="154" t="str">
        <f t="shared" si="40"/>
        <v/>
      </c>
      <c r="CH75" s="308" t="str">
        <f t="shared" si="41"/>
        <v/>
      </c>
    </row>
    <row r="76">
      <c r="A76" s="155" t="s">
        <v>165</v>
      </c>
      <c r="B76" s="104" t="s">
        <v>94</v>
      </c>
      <c r="C76" s="428">
        <v>277690.0</v>
      </c>
      <c r="D76" s="161">
        <v>0.0</v>
      </c>
      <c r="E76" s="294">
        <v>0.0</v>
      </c>
      <c r="F76" s="163"/>
      <c r="G76" s="325"/>
      <c r="H76" s="108">
        <v>0.0</v>
      </c>
      <c r="I76" s="109">
        <v>0.0</v>
      </c>
      <c r="J76" s="109">
        <v>0.0</v>
      </c>
      <c r="K76" s="109">
        <v>0.0</v>
      </c>
      <c r="L76" s="113"/>
      <c r="M76" s="113"/>
      <c r="N76" s="112">
        <v>0.0</v>
      </c>
      <c r="O76" s="298">
        <v>0.0</v>
      </c>
      <c r="P76" s="160">
        <v>147104.0</v>
      </c>
      <c r="Q76" s="160">
        <v>127888.0</v>
      </c>
      <c r="R76" s="121">
        <f t="shared" si="4"/>
        <v>0.8693713291</v>
      </c>
      <c r="S76" s="116">
        <f t="shared" si="5"/>
        <v>0.8693713291</v>
      </c>
      <c r="T76" s="117"/>
      <c r="U76" s="118">
        <f t="shared" si="6"/>
        <v>0.73965</v>
      </c>
      <c r="V76" s="148"/>
      <c r="W76" s="120">
        <f t="shared" si="7"/>
        <v>0.6141272727</v>
      </c>
      <c r="X76" s="148"/>
      <c r="Y76" s="120">
        <f t="shared" si="8"/>
        <v>0.6018090909</v>
      </c>
      <c r="Z76" s="299"/>
      <c r="AA76" s="441"/>
      <c r="AB76" s="300" t="str">
        <f t="shared" si="9"/>
        <v/>
      </c>
      <c r="AC76" s="300">
        <f t="shared" si="10"/>
        <v>0.6890056172</v>
      </c>
      <c r="AD76" s="314">
        <v>0.0</v>
      </c>
      <c r="AE76" s="315">
        <v>0.0</v>
      </c>
      <c r="AF76" s="445">
        <v>0.0</v>
      </c>
      <c r="AG76" s="316">
        <v>0.0</v>
      </c>
      <c r="AH76" s="307">
        <v>0.0</v>
      </c>
      <c r="AI76" s="317">
        <v>0.0</v>
      </c>
      <c r="AJ76" s="318">
        <v>0.0</v>
      </c>
      <c r="AK76" s="319">
        <v>0.0</v>
      </c>
      <c r="AL76" s="446">
        <v>0.0</v>
      </c>
      <c r="AM76" s="320">
        <v>0.0</v>
      </c>
      <c r="AN76" s="149">
        <f>IFERROR(
  AVERAGEIFS(
    'New LF Efficacy'!$J:$J,
    'New LF Efficacy'!$D:$D, $A76,
    'New LF Efficacy'!$F:$F,"DEC", 
    'New LF Efficacy'!$W:$W,"&lt;2016",
    'New LF Efficacy'!$AA:$AA,""),
  ""
)</f>
        <v>0.26</v>
      </c>
      <c r="AO76" s="115">
        <f t="shared" si="11"/>
        <v>0.26</v>
      </c>
      <c r="AP76" s="149" t="str">
        <f>IFERROR(
AVERAGEIFS(
'New LF Efficacy'!$J:$J,
'New LF Efficacy'!$D:$D,$A76,
'New LF Efficacy'!$F:$F,"Albendazole &amp; DEC",
'New LF Efficacy'!$W:$W,"&lt;2016",
'New LF Efficacy'!$AA:$AA,""),
"")
</f>
        <v/>
      </c>
      <c r="AQ76" s="115">
        <f t="shared" si="12"/>
        <v>0.662</v>
      </c>
      <c r="AR76" s="149" t="str">
        <f>IFERROR(
AVERAGEIFS(
'New LF Efficacy'!$J:$J,
'New LF Efficacy'!$D:$D,$A76,
'New LF Efficacy'!$F:$F,"Albendazole &amp; Ivermectin", 
'New LF Efficacy'!$W:$W,"&lt;2016",
'New LF Efficacy'!$AA:$AA,""),"")</f>
        <v/>
      </c>
      <c r="AS76" s="115">
        <f t="shared" si="13"/>
        <v>0.37153125</v>
      </c>
      <c r="AT76" s="442" t="str">
        <f>IFERROR(AVERAGEIFS(
'Schist Efficacy'!$O:$O, 
'Schist Efficacy'!$C:$C,$A76, 
'Schist Efficacy'!$D:$D, "Praziquantel",
'Schist Efficacy'!$J:$J,"&lt;2016",
'Schist Efficacy'!$U:$U,""),
"")</f>
        <v/>
      </c>
      <c r="AU76" s="118">
        <f t="shared" si="14"/>
        <v>0.9475</v>
      </c>
      <c r="AV76" s="131" t="str">
        <f>IFERROR(AVERAGEIFS(
'STH Efficacy'!$AX:$AX, 
'STH Efficacy'!$AL:$AL, $A76, 
'STH Efficacy'!$AM:$AM, "Albendazole",
'STH Efficacy'!$AS:$AS,"&lt;2016",
'STH Efficacy'!$BP:$BP,""),
"")</f>
        <v/>
      </c>
      <c r="AW76" s="132">
        <f t="shared" si="15"/>
        <v>0.3571666667</v>
      </c>
      <c r="AX76" s="131" t="str">
        <f>IFERROR(AVERAGEIFS(
'STH Efficacy'!$AX:$AX, 
'STH Efficacy'!$AL:$AL, $A76, 
'STH Efficacy'!$AM:$AM, "Mebendazole",
'STH Efficacy'!$AS:$AS,"&lt;2016",
'STH Efficacy'!$BP:$BP,""),
"")</f>
        <v/>
      </c>
      <c r="AY76" s="132">
        <f t="shared" si="16"/>
        <v>0.4155</v>
      </c>
      <c r="AZ76" s="131" t="str">
        <f>IFERROR(AVERAGEIFS(
'STH Efficacy'!$AX:$AX, 
'STH Efficacy'!$AL:$AL, $A76, 
'STH Efficacy'!$AM:$AM, "Albendazole &amp; Ivermectin",
'STH Efficacy'!$AS:$AS,"&lt;2016",
'STH Efficacy'!$BP:$BP,""),
"")</f>
        <v/>
      </c>
      <c r="BA76" s="133">
        <f t="shared" si="17"/>
        <v>0.651</v>
      </c>
      <c r="BB76" s="443" t="str">
        <f>IFERROR(AVERAGEIFS(
'STH Efficacy'!$N:$N, 
'STH Efficacy'!$B:$B, $A76, 
'STH Efficacy'!$C:$C, "Albendazole",
'STH Efficacy'!$I:$I,"&lt;2016",
'STH Efficacy'!$AH:$AH,""),
"")</f>
        <v/>
      </c>
      <c r="BC76" s="135">
        <f t="shared" si="18"/>
        <v>0.5769166667</v>
      </c>
      <c r="BD76" s="443" t="str">
        <f>IFERROR(AVERAGEIFS(
'STH Efficacy'!$N:$N, 
'STH Efficacy'!$B:$B, $A76, 
'STH Efficacy'!$C:$C, "Mebendazole",
'STH Efficacy'!$I:$I,"&lt;2016",
'STH Efficacy'!$AH:$AH,""),
"")</f>
        <v/>
      </c>
      <c r="BE76" s="135">
        <f t="shared" si="19"/>
        <v>0.3145</v>
      </c>
      <c r="BF76" s="436" t="str">
        <f>IFERROR(AVERAGEIFS(
'STH Efficacy'!$CD:$CD, 
'STH Efficacy'!$BS:$BS, $A76, 
'STH Efficacy'!$BT:$BT, "Albendazole",
'STH Efficacy'!$BZ:$BZ,"&lt;2016",
'STH Efficacy'!$CU:$CU,""),
"")</f>
        <v/>
      </c>
      <c r="BG76" s="136">
        <f t="shared" si="20"/>
        <v>0.96925</v>
      </c>
      <c r="BH76" s="436" t="str">
        <f>IFERROR(AVERAGEIFS(
'STH Efficacy'!$CD:$CD, 
'STH Efficacy'!$BS:$BS, $A76, 
'STH Efficacy'!$BT:$BT, "Mebendazole",
'STH Efficacy'!$BZ:$BZ,"&lt;2016",
'STH Efficacy'!$CU:$CU,""),
"")</f>
        <v/>
      </c>
      <c r="BI76" s="136">
        <f t="shared" si="21"/>
        <v>0.9305</v>
      </c>
      <c r="BJ76" s="436" t="str">
        <f>IFERROR(AVERAGEIFS(
'STH Efficacy'!$CD:$CD, 
'STH Efficacy'!$BS:$BS, $A76, 
'STH Efficacy'!$BT:$BT, "Albendazole &amp; Ivermectin",
'STH Efficacy'!$BZ:$BZ,"&lt;2016",
'STH Efficacy'!$CU:$CU,""),
"")</f>
        <v/>
      </c>
      <c r="BK76" s="136">
        <f t="shared" si="22"/>
        <v>0.848</v>
      </c>
      <c r="BL76" s="444" t="str">
        <f>IFERROR(
  AVERAGEIFS(
    'NEW Onchocerciasis Efficacy'!$AO:$AO,
    'NEW Onchocerciasis Efficacy'!$C:$C,$A76,
    'NEW Onchocerciasis Efficacy'!$D:$D,"Ivermectin",
    'NEW Onchocerciasis Efficacy'!$AR:$AR,"&lt;2016",
    'NEW Onchocerciasis Efficacy'!$BG:$BG,"")
,"")</f>
        <v/>
      </c>
      <c r="BM76" s="304">
        <f t="shared" si="23"/>
        <v>0.7808368939</v>
      </c>
      <c r="BN76" s="439">
        <v>1.0</v>
      </c>
      <c r="BO76" s="139">
        <v>0.0</v>
      </c>
      <c r="BP76" s="140">
        <v>0.0</v>
      </c>
      <c r="BQ76" s="141">
        <f t="shared" si="24"/>
        <v>0</v>
      </c>
      <c r="BR76" s="104" t="str">
        <f t="shared" si="25"/>
        <v>1000</v>
      </c>
      <c r="BS76" s="104" t="str">
        <f t="shared" si="26"/>
        <v>MDA1/2</v>
      </c>
      <c r="BT76" s="142" t="str">
        <f t="shared" si="27"/>
        <v>IVM+ALB or DEC+ALB</v>
      </c>
      <c r="BU76" s="104" t="str">
        <f t="shared" si="28"/>
        <v/>
      </c>
      <c r="BV76" s="104" t="str">
        <f t="shared" si="29"/>
        <v>lf only</v>
      </c>
      <c r="BW76" s="312">
        <f t="shared" si="30"/>
        <v>0</v>
      </c>
      <c r="BX76" s="312">
        <f t="shared" si="31"/>
        <v>0</v>
      </c>
      <c r="BY76" s="151" t="str">
        <f t="shared" si="32"/>
        <v/>
      </c>
      <c r="BZ76" s="152" t="str">
        <f t="shared" si="33"/>
        <v/>
      </c>
      <c r="CA76" s="152" t="str">
        <f t="shared" si="34"/>
        <v/>
      </c>
      <c r="CB76" s="152" t="str">
        <f t="shared" si="35"/>
        <v/>
      </c>
      <c r="CC76" s="153" t="str">
        <f t="shared" si="36"/>
        <v/>
      </c>
      <c r="CD76" s="153" t="str">
        <f t="shared" si="37"/>
        <v/>
      </c>
      <c r="CE76" s="154" t="str">
        <f t="shared" si="38"/>
        <v/>
      </c>
      <c r="CF76" s="154" t="str">
        <f t="shared" si="39"/>
        <v/>
      </c>
      <c r="CG76" s="154" t="str">
        <f t="shared" si="40"/>
        <v/>
      </c>
      <c r="CH76" s="308" t="str">
        <f t="shared" si="41"/>
        <v/>
      </c>
    </row>
    <row r="77">
      <c r="A77" s="103" t="s">
        <v>166</v>
      </c>
      <c r="B77" s="104" t="s">
        <v>92</v>
      </c>
      <c r="C77" s="428">
        <v>1930175.0</v>
      </c>
      <c r="D77" s="161">
        <v>1390.99</v>
      </c>
      <c r="E77" s="294">
        <v>3248.372449</v>
      </c>
      <c r="F77" s="295">
        <v>61.55500629</v>
      </c>
      <c r="G77" s="295">
        <v>267.9073688</v>
      </c>
      <c r="H77" s="108">
        <v>329.4623751</v>
      </c>
      <c r="I77" s="109">
        <v>104.375942</v>
      </c>
      <c r="J77" s="109">
        <v>287.443963</v>
      </c>
      <c r="K77" s="109">
        <v>391.8199054</v>
      </c>
      <c r="L77" s="112">
        <v>274.2500035</v>
      </c>
      <c r="M77" s="112">
        <v>375.4249193</v>
      </c>
      <c r="N77" s="112">
        <v>649.6749228</v>
      </c>
      <c r="O77" s="298">
        <v>0.0</v>
      </c>
      <c r="P77" s="160">
        <v>1290600.0</v>
      </c>
      <c r="Q77" s="156"/>
      <c r="R77" s="121">
        <f t="shared" si="4"/>
        <v>0</v>
      </c>
      <c r="S77" s="116">
        <f t="shared" si="5"/>
        <v>0.3345096109</v>
      </c>
      <c r="T77" s="448"/>
      <c r="U77" s="449">
        <f t="shared" si="6"/>
        <v>0.4220357143</v>
      </c>
      <c r="V77" s="148"/>
      <c r="W77" s="120">
        <f t="shared" si="7"/>
        <v>0.8084736842</v>
      </c>
      <c r="X77" s="148"/>
      <c r="Y77" s="120">
        <f t="shared" si="8"/>
        <v>0.5938357143</v>
      </c>
      <c r="Z77" s="310">
        <v>74550.0</v>
      </c>
      <c r="AA77" s="298" t="s">
        <v>372</v>
      </c>
      <c r="AB77" s="300" t="str">
        <f t="shared" si="9"/>
        <v/>
      </c>
      <c r="AC77" s="300">
        <f t="shared" si="10"/>
        <v>0.6375203308</v>
      </c>
      <c r="AD77" s="122">
        <v>0.0084</v>
      </c>
      <c r="AE77" s="123">
        <v>0.21</v>
      </c>
      <c r="AF77" s="430">
        <v>0.0187</v>
      </c>
      <c r="AG77" s="124">
        <v>0.2401</v>
      </c>
      <c r="AH77" s="124">
        <v>0.372890467</v>
      </c>
      <c r="AI77" s="125">
        <v>0.108</v>
      </c>
      <c r="AJ77" s="125">
        <v>0.172804164</v>
      </c>
      <c r="AK77" s="127">
        <v>0.2649</v>
      </c>
      <c r="AL77" s="127">
        <v>0.411883035</v>
      </c>
      <c r="AM77" s="302">
        <v>0.0</v>
      </c>
      <c r="AN77" s="149" t="str">
        <f>IFERROR(
  AVERAGEIFS(
    'New LF Efficacy'!$J:$J,
    'New LF Efficacy'!$D:$D, $A77,
    'New LF Efficacy'!$F:$F,"DEC", 
    'New LF Efficacy'!$W:$W,"&lt;2016",
    'New LF Efficacy'!$AA:$AA,""),
  ""
)</f>
        <v/>
      </c>
      <c r="AO77" s="115">
        <f t="shared" si="11"/>
        <v>0.31225</v>
      </c>
      <c r="AP77" s="149" t="str">
        <f>IFERROR(
AVERAGEIFS(
'New LF Efficacy'!$J:$J,
'New LF Efficacy'!$D:$D,$A77,
'New LF Efficacy'!$F:$F,"Albendazole &amp; DEC",
'New LF Efficacy'!$W:$W,"&lt;2016",
'New LF Efficacy'!$AA:$AA,""),
"")
</f>
        <v/>
      </c>
      <c r="AQ77" s="115">
        <f t="shared" si="12"/>
        <v>0.4</v>
      </c>
      <c r="AR77" s="149" t="str">
        <f>IFERROR(
AVERAGEIFS(
'New LF Efficacy'!$J:$J,
'New LF Efficacy'!$D:$D,$A77,
'New LF Efficacy'!$F:$F,"Albendazole &amp; Ivermectin", 
'New LF Efficacy'!$W:$W,"&lt;2016",
'New LF Efficacy'!$AA:$AA,""),"")</f>
        <v/>
      </c>
      <c r="AS77" s="115">
        <f t="shared" si="13"/>
        <v>0.2943125</v>
      </c>
      <c r="AT77" s="442" t="str">
        <f>IFERROR(AVERAGEIFS(
'Schist Efficacy'!$O:$O, 
'Schist Efficacy'!$C:$C,$A77, 
'Schist Efficacy'!$D:$D, "Praziquantel",
'Schist Efficacy'!$J:$J,"&lt;2016",
'Schist Efficacy'!$U:$U,""),
"")</f>
        <v/>
      </c>
      <c r="AU77" s="118">
        <f t="shared" si="14"/>
        <v>0.7206464759</v>
      </c>
      <c r="AV77" s="131">
        <f>IFERROR(AVERAGEIFS(
'STH Efficacy'!$AX:$AX, 
'STH Efficacy'!$AL:$AL, $A77, 
'STH Efficacy'!$AM:$AM, "Albendazole",
'STH Efficacy'!$AS:$AS,"&lt;2016",
'STH Efficacy'!$BP:$BP,""),
"")</f>
        <v>0.6333333333</v>
      </c>
      <c r="AW77" s="132">
        <f t="shared" si="15"/>
        <v>0.6333333333</v>
      </c>
      <c r="AX77" s="131" t="str">
        <f>IFERROR(AVERAGEIFS(
'STH Efficacy'!$AX:$AX, 
'STH Efficacy'!$AL:$AL, $A77, 
'STH Efficacy'!$AM:$AM, "Mebendazole",
'STH Efficacy'!$AS:$AS,"&lt;2016",
'STH Efficacy'!$BP:$BP,""),
"")</f>
        <v/>
      </c>
      <c r="AY77" s="132">
        <f t="shared" si="16"/>
        <v>0.4859375</v>
      </c>
      <c r="AZ77" s="131" t="str">
        <f>IFERROR(AVERAGEIFS(
'STH Efficacy'!$AX:$AX, 
'STH Efficacy'!$AL:$AL, $A77, 
'STH Efficacy'!$AM:$AM, "Albendazole &amp; Ivermectin",
'STH Efficacy'!$AS:$AS,"&lt;2016",
'STH Efficacy'!$BP:$BP,""),
"")</f>
        <v/>
      </c>
      <c r="BA77" s="133">
        <f t="shared" si="17"/>
        <v>0.47175</v>
      </c>
      <c r="BB77" s="443">
        <f>IFERROR(AVERAGEIFS(
'STH Efficacy'!$N:$N, 
'STH Efficacy'!$B:$B, $A77, 
'STH Efficacy'!$C:$C, "Albendazole",
'STH Efficacy'!$I:$I,"&lt;2016",
'STH Efficacy'!$AH:$AH,""),
"")</f>
        <v>0.7966666667</v>
      </c>
      <c r="BC77" s="135">
        <f t="shared" si="18"/>
        <v>0.7966666667</v>
      </c>
      <c r="BD77" s="443" t="str">
        <f>IFERROR(AVERAGEIFS(
'STH Efficacy'!$N:$N, 
'STH Efficacy'!$B:$B, $A77, 
'STH Efficacy'!$C:$C, "Mebendazole",
'STH Efficacy'!$I:$I,"&lt;2016",
'STH Efficacy'!$AH:$AH,""),
"")</f>
        <v/>
      </c>
      <c r="BE77" s="135">
        <f t="shared" si="19"/>
        <v>0.7092416667</v>
      </c>
      <c r="BF77" s="436">
        <f>IFERROR(AVERAGEIFS(
'STH Efficacy'!$CD:$CD, 
'STH Efficacy'!$BS:$BS, $A77, 
'STH Efficacy'!$BT:$BT, "Albendazole",
'STH Efficacy'!$BZ:$BZ,"&lt;2016",
'STH Efficacy'!$CU:$CU,""),
"")</f>
        <v>0.8933333333</v>
      </c>
      <c r="BG77" s="136">
        <f t="shared" si="20"/>
        <v>0.8933333333</v>
      </c>
      <c r="BH77" s="436" t="str">
        <f>IFERROR(AVERAGEIFS(
'STH Efficacy'!$CD:$CD, 
'STH Efficacy'!$BS:$BS, $A77, 
'STH Efficacy'!$BT:$BT, "Mebendazole",
'STH Efficacy'!$BZ:$BZ,"&lt;2016",
'STH Efficacy'!$CU:$CU,""),
"")</f>
        <v/>
      </c>
      <c r="BI77" s="136">
        <f t="shared" si="21"/>
        <v>0.8483333333</v>
      </c>
      <c r="BJ77" s="436" t="str">
        <f>IFERROR(AVERAGEIFS(
'STH Efficacy'!$CD:$CD, 
'STH Efficacy'!$BS:$BS, $A77, 
'STH Efficacy'!$BT:$BT, "Albendazole &amp; Ivermectin",
'STH Efficacy'!$BZ:$BZ,"&lt;2016",
'STH Efficacy'!$CU:$CU,""),
"")</f>
        <v/>
      </c>
      <c r="BK77" s="136">
        <f t="shared" si="22"/>
        <v>0.696</v>
      </c>
      <c r="BL77" s="444" t="str">
        <f>IFERROR(
  AVERAGEIFS(
    'NEW Onchocerciasis Efficacy'!$AO:$AO,
    'NEW Onchocerciasis Efficacy'!$C:$C,$A77,
    'NEW Onchocerciasis Efficacy'!$D:$D,"Ivermectin",
    'NEW Onchocerciasis Efficacy'!$AR:$AR,"&lt;2016",
    'NEW Onchocerciasis Efficacy'!$BG:$BG,"")
,"")</f>
        <v/>
      </c>
      <c r="BM77" s="304">
        <f t="shared" si="23"/>
        <v>0.8390421645</v>
      </c>
      <c r="BN77" s="439">
        <v>1.0</v>
      </c>
      <c r="BO77" s="139">
        <v>1.0</v>
      </c>
      <c r="BP77" s="140">
        <v>1.0</v>
      </c>
      <c r="BQ77" s="141">
        <f t="shared" si="24"/>
        <v>1</v>
      </c>
      <c r="BR77" s="104" t="str">
        <f t="shared" si="25"/>
        <v>1111</v>
      </c>
      <c r="BS77" s="104" t="str">
        <f t="shared" si="26"/>
        <v>MDA1+T2</v>
      </c>
      <c r="BT77" s="142" t="str">
        <f t="shared" si="27"/>
        <v>IVM+ALB</v>
      </c>
      <c r="BU77" s="104" t="str">
        <f t="shared" si="28"/>
        <v>PZQ</v>
      </c>
      <c r="BV77" s="104" t="str">
        <f t="shared" si="29"/>
        <v>lf+onch+schist+sth</v>
      </c>
      <c r="BW77" s="150" t="str">
        <f t="shared" si="30"/>
        <v/>
      </c>
      <c r="BX77" s="312">
        <f t="shared" si="31"/>
        <v>151.8978656</v>
      </c>
      <c r="BY77" s="162">
        <f t="shared" si="32"/>
        <v>1419.758614</v>
      </c>
      <c r="BZ77" s="152">
        <f t="shared" si="33"/>
        <v>226.088311</v>
      </c>
      <c r="CA77" s="152" t="str">
        <f t="shared" si="34"/>
        <v/>
      </c>
      <c r="CB77" s="152">
        <f t="shared" si="35"/>
        <v>142.2111442</v>
      </c>
      <c r="CC77" s="323">
        <f t="shared" si="36"/>
        <v>446.9668853</v>
      </c>
      <c r="CD77" s="153" t="str">
        <f t="shared" si="37"/>
        <v/>
      </c>
      <c r="CE77" s="154">
        <f t="shared" si="38"/>
        <v>1137.291383</v>
      </c>
      <c r="CF77" s="154" t="str">
        <f t="shared" si="39"/>
        <v/>
      </c>
      <c r="CG77" s="154">
        <f t="shared" si="40"/>
        <v>617.3686163</v>
      </c>
      <c r="CH77" s="313">
        <f t="shared" si="41"/>
        <v>0</v>
      </c>
    </row>
    <row r="78">
      <c r="A78" s="103" t="s">
        <v>167</v>
      </c>
      <c r="B78" s="104" t="s">
        <v>92</v>
      </c>
      <c r="C78" s="428">
        <v>1977590.0</v>
      </c>
      <c r="D78" s="161">
        <v>2245.69</v>
      </c>
      <c r="E78" s="294">
        <v>6158.43778</v>
      </c>
      <c r="F78" s="295">
        <v>0.040683217</v>
      </c>
      <c r="G78" s="295">
        <v>0.168675242</v>
      </c>
      <c r="H78" s="108">
        <v>0.209358459</v>
      </c>
      <c r="I78" s="109">
        <v>0.0</v>
      </c>
      <c r="J78" s="109">
        <v>0.0</v>
      </c>
      <c r="K78" s="109">
        <v>117.0256372</v>
      </c>
      <c r="L78" s="112">
        <v>102.1697578</v>
      </c>
      <c r="M78" s="112">
        <v>13.69074624</v>
      </c>
      <c r="N78" s="112">
        <v>115.860504</v>
      </c>
      <c r="O78" s="298">
        <v>0.0</v>
      </c>
      <c r="P78" s="156"/>
      <c r="Q78" s="156"/>
      <c r="R78" s="121" t="str">
        <f t="shared" si="4"/>
        <v/>
      </c>
      <c r="S78" s="116">
        <f t="shared" si="5"/>
        <v>0.3345096109</v>
      </c>
      <c r="T78" s="448"/>
      <c r="U78" s="449">
        <f t="shared" si="6"/>
        <v>0.4220357143</v>
      </c>
      <c r="V78" s="148"/>
      <c r="W78" s="120">
        <f t="shared" si="7"/>
        <v>0.8084736842</v>
      </c>
      <c r="X78" s="148"/>
      <c r="Y78" s="120">
        <f t="shared" si="8"/>
        <v>0.5938357143</v>
      </c>
      <c r="Z78" s="299"/>
      <c r="AA78" s="441"/>
      <c r="AB78" s="300" t="str">
        <f t="shared" si="9"/>
        <v/>
      </c>
      <c r="AC78" s="300">
        <f t="shared" si="10"/>
        <v>0.6375203308</v>
      </c>
      <c r="AD78" s="122">
        <v>0.0144</v>
      </c>
      <c r="AE78" s="123">
        <v>0.37</v>
      </c>
      <c r="AF78" s="430">
        <v>0.0917</v>
      </c>
      <c r="AG78" s="316">
        <v>0.0</v>
      </c>
      <c r="AH78" s="316">
        <v>0.031885516</v>
      </c>
      <c r="AI78" s="317">
        <v>0.0</v>
      </c>
      <c r="AJ78" s="317">
        <v>0.049119514</v>
      </c>
      <c r="AK78" s="319">
        <v>0.0</v>
      </c>
      <c r="AL78" s="319">
        <v>0.010803223</v>
      </c>
      <c r="AM78" s="302">
        <v>0.0</v>
      </c>
      <c r="AN78" s="149" t="str">
        <f>IFERROR(
  AVERAGEIFS(
    'New LF Efficacy'!$J:$J,
    'New LF Efficacy'!$D:$D, $A78,
    'New LF Efficacy'!$F:$F,"DEC", 
    'New LF Efficacy'!$W:$W,"&lt;2016",
    'New LF Efficacy'!$AA:$AA,""),
  ""
)</f>
        <v/>
      </c>
      <c r="AO78" s="115">
        <f t="shared" si="11"/>
        <v>0.31225</v>
      </c>
      <c r="AP78" s="149" t="str">
        <f>IFERROR(
AVERAGEIFS(
'New LF Efficacy'!$J:$J,
'New LF Efficacy'!$D:$D,$A78,
'New LF Efficacy'!$F:$F,"Albendazole &amp; DEC",
'New LF Efficacy'!$W:$W,"&lt;2016",
'New LF Efficacy'!$AA:$AA,""),
"")
</f>
        <v/>
      </c>
      <c r="AQ78" s="115">
        <f t="shared" si="12"/>
        <v>0.4</v>
      </c>
      <c r="AR78" s="149" t="str">
        <f>IFERROR(
AVERAGEIFS(
'New LF Efficacy'!$J:$J,
'New LF Efficacy'!$D:$D,$A78,
'New LF Efficacy'!$F:$F,"Albendazole &amp; Ivermectin", 
'New LF Efficacy'!$W:$W,"&lt;2016",
'New LF Efficacy'!$AA:$AA,""),"")</f>
        <v/>
      </c>
      <c r="AS78" s="115">
        <f t="shared" si="13"/>
        <v>0.2943125</v>
      </c>
      <c r="AT78" s="442" t="str">
        <f>IFERROR(AVERAGEIFS(
'Schist Efficacy'!$O:$O, 
'Schist Efficacy'!$C:$C,$A78, 
'Schist Efficacy'!$D:$D, "Praziquantel",
'Schist Efficacy'!$J:$J,"&lt;2016",
'Schist Efficacy'!$U:$U,""),
"")</f>
        <v/>
      </c>
      <c r="AU78" s="118">
        <f t="shared" si="14"/>
        <v>0.7206464759</v>
      </c>
      <c r="AV78" s="131" t="str">
        <f>IFERROR(AVERAGEIFS(
'STH Efficacy'!$AX:$AX, 
'STH Efficacy'!$AL:$AL, $A78, 
'STH Efficacy'!$AM:$AM, "Albendazole",
'STH Efficacy'!$AS:$AS,"&lt;2016",
'STH Efficacy'!$BP:$BP,""),
"")</f>
        <v/>
      </c>
      <c r="AW78" s="132">
        <f t="shared" si="15"/>
        <v>0.3816333333</v>
      </c>
      <c r="AX78" s="131" t="str">
        <f>IFERROR(AVERAGEIFS(
'STH Efficacy'!$AX:$AX, 
'STH Efficacy'!$AL:$AL, $A78, 
'STH Efficacy'!$AM:$AM, "Mebendazole",
'STH Efficacy'!$AS:$AS,"&lt;2016",
'STH Efficacy'!$BP:$BP,""),
"")</f>
        <v/>
      </c>
      <c r="AY78" s="132">
        <f t="shared" si="16"/>
        <v>0.4859375</v>
      </c>
      <c r="AZ78" s="131" t="str">
        <f>IFERROR(AVERAGEIFS(
'STH Efficacy'!$AX:$AX, 
'STH Efficacy'!$AL:$AL, $A78, 
'STH Efficacy'!$AM:$AM, "Albendazole &amp; Ivermectin",
'STH Efficacy'!$AS:$AS,"&lt;2016",
'STH Efficacy'!$BP:$BP,""),
"")</f>
        <v/>
      </c>
      <c r="BA78" s="133">
        <f t="shared" si="17"/>
        <v>0.47175</v>
      </c>
      <c r="BB78" s="443" t="str">
        <f>IFERROR(AVERAGEIFS(
'STH Efficacy'!$N:$N, 
'STH Efficacy'!$B:$B, $A78, 
'STH Efficacy'!$C:$C, "Albendazole",
'STH Efficacy'!$I:$I,"&lt;2016",
'STH Efficacy'!$AH:$AH,""),
"")</f>
        <v/>
      </c>
      <c r="BC78" s="135">
        <f t="shared" si="18"/>
        <v>0.8699166667</v>
      </c>
      <c r="BD78" s="443" t="str">
        <f>IFERROR(AVERAGEIFS(
'STH Efficacy'!$N:$N, 
'STH Efficacy'!$B:$B, $A78, 
'STH Efficacy'!$C:$C, "Mebendazole",
'STH Efficacy'!$I:$I,"&lt;2016",
'STH Efficacy'!$AH:$AH,""),
"")</f>
        <v/>
      </c>
      <c r="BE78" s="135">
        <f t="shared" si="19"/>
        <v>0.7092416667</v>
      </c>
      <c r="BF78" s="436" t="str">
        <f>IFERROR(AVERAGEIFS(
'STH Efficacy'!$CD:$CD, 
'STH Efficacy'!$BS:$BS, $A78, 
'STH Efficacy'!$BT:$BT, "Albendazole",
'STH Efficacy'!$BZ:$BZ,"&lt;2016",
'STH Efficacy'!$CU:$CU,""),
"")</f>
        <v/>
      </c>
      <c r="BG78" s="136">
        <f t="shared" si="20"/>
        <v>0.9066666667</v>
      </c>
      <c r="BH78" s="436" t="str">
        <f>IFERROR(AVERAGEIFS(
'STH Efficacy'!$CD:$CD, 
'STH Efficacy'!$BS:$BS, $A78, 
'STH Efficacy'!$BT:$BT, "Mebendazole",
'STH Efficacy'!$BZ:$BZ,"&lt;2016",
'STH Efficacy'!$CU:$CU,""),
"")</f>
        <v/>
      </c>
      <c r="BI78" s="136">
        <f t="shared" si="21"/>
        <v>0.8483333333</v>
      </c>
      <c r="BJ78" s="436" t="str">
        <f>IFERROR(AVERAGEIFS(
'STH Efficacy'!$CD:$CD, 
'STH Efficacy'!$BS:$BS, $A78, 
'STH Efficacy'!$BT:$BT, "Albendazole &amp; Ivermectin",
'STH Efficacy'!$BZ:$BZ,"&lt;2016",
'STH Efficacy'!$CU:$CU,""),
"")</f>
        <v/>
      </c>
      <c r="BK78" s="136">
        <f t="shared" si="22"/>
        <v>0.696</v>
      </c>
      <c r="BL78" s="444" t="str">
        <f>IFERROR(
  AVERAGEIFS(
    'NEW Onchocerciasis Efficacy'!$AO:$AO,
    'NEW Onchocerciasis Efficacy'!$C:$C,$A78,
    'NEW Onchocerciasis Efficacy'!$D:$D,"Ivermectin",
    'NEW Onchocerciasis Efficacy'!$AR:$AR,"&lt;2016",
    'NEW Onchocerciasis Efficacy'!$BG:$BG,"")
,"")</f>
        <v/>
      </c>
      <c r="BM78" s="304">
        <f t="shared" si="23"/>
        <v>0.8390421645</v>
      </c>
      <c r="BN78" s="439">
        <v>0.0</v>
      </c>
      <c r="BO78" s="139">
        <v>1.0</v>
      </c>
      <c r="BP78" s="140">
        <v>1.0</v>
      </c>
      <c r="BQ78" s="141">
        <f t="shared" si="24"/>
        <v>0</v>
      </c>
      <c r="BR78" s="104" t="str">
        <f t="shared" si="25"/>
        <v>0110</v>
      </c>
      <c r="BS78" s="104" t="str">
        <f t="shared" si="26"/>
        <v>MDA3+T2</v>
      </c>
      <c r="BT78" s="142" t="str">
        <f t="shared" si="27"/>
        <v>IVM</v>
      </c>
      <c r="BU78" s="104" t="str">
        <f t="shared" si="28"/>
        <v>PZQ</v>
      </c>
      <c r="BV78" s="104" t="str">
        <f t="shared" si="29"/>
        <v>onch+schist</v>
      </c>
      <c r="BW78" s="150" t="str">
        <f t="shared" si="30"/>
        <v/>
      </c>
      <c r="BX78" s="150" t="str">
        <f t="shared" si="31"/>
        <v/>
      </c>
      <c r="BY78" s="162">
        <f t="shared" si="32"/>
        <v>2691.65412</v>
      </c>
      <c r="BZ78" s="152" t="str">
        <f t="shared" si="33"/>
        <v/>
      </c>
      <c r="CA78" s="152" t="str">
        <f t="shared" si="34"/>
        <v/>
      </c>
      <c r="CB78" s="152" t="str">
        <f t="shared" si="35"/>
        <v/>
      </c>
      <c r="CC78" s="153" t="str">
        <f t="shared" si="36"/>
        <v/>
      </c>
      <c r="CD78" s="153" t="str">
        <f t="shared" si="37"/>
        <v/>
      </c>
      <c r="CE78" s="154" t="str">
        <f t="shared" si="38"/>
        <v/>
      </c>
      <c r="CF78" s="154" t="str">
        <f t="shared" si="39"/>
        <v/>
      </c>
      <c r="CG78" s="154" t="str">
        <f t="shared" si="40"/>
        <v/>
      </c>
      <c r="CH78" s="313">
        <f t="shared" si="41"/>
        <v>0</v>
      </c>
    </row>
    <row r="79">
      <c r="A79" s="103" t="s">
        <v>168</v>
      </c>
      <c r="B79" s="104" t="s">
        <v>90</v>
      </c>
      <c r="C79" s="428">
        <v>3717100.0</v>
      </c>
      <c r="D79" s="161">
        <v>0.0</v>
      </c>
      <c r="E79" s="294">
        <v>0.0</v>
      </c>
      <c r="F79" s="307">
        <v>0.0</v>
      </c>
      <c r="G79" s="309">
        <v>0.0</v>
      </c>
      <c r="H79" s="108">
        <v>0.0</v>
      </c>
      <c r="I79" s="109">
        <v>0.02029926</v>
      </c>
      <c r="J79" s="109">
        <v>0.01401287</v>
      </c>
      <c r="K79" s="109">
        <v>0.020299256</v>
      </c>
      <c r="L79" s="112">
        <v>0.001600785</v>
      </c>
      <c r="M79" s="112">
        <v>0.002505245</v>
      </c>
      <c r="N79" s="112">
        <v>0.004106029</v>
      </c>
      <c r="O79" s="298">
        <v>0.0</v>
      </c>
      <c r="P79" s="114"/>
      <c r="Q79" s="114"/>
      <c r="R79" s="121" t="str">
        <f t="shared" si="4"/>
        <v/>
      </c>
      <c r="S79" s="116">
        <f t="shared" si="5"/>
        <v>0.5709301448</v>
      </c>
      <c r="T79" s="117"/>
      <c r="U79" s="118">
        <f t="shared" si="6"/>
        <v>0.4791888889</v>
      </c>
      <c r="V79" s="148"/>
      <c r="W79" s="120">
        <f t="shared" si="7"/>
        <v>0.0223</v>
      </c>
      <c r="X79" s="148"/>
      <c r="Y79" s="120">
        <f t="shared" si="8"/>
        <v>0.598275</v>
      </c>
      <c r="Z79" s="299"/>
      <c r="AA79" s="441"/>
      <c r="AB79" s="300" t="str">
        <f t="shared" si="9"/>
        <v/>
      </c>
      <c r="AC79" s="300">
        <f t="shared" si="10"/>
        <v>0.6890056172</v>
      </c>
      <c r="AD79" s="122">
        <v>0.0</v>
      </c>
      <c r="AE79" s="123">
        <v>0.0</v>
      </c>
      <c r="AF79" s="430">
        <v>0.0</v>
      </c>
      <c r="AG79" s="124">
        <v>8.0E-4</v>
      </c>
      <c r="AH79" s="124">
        <v>0.0</v>
      </c>
      <c r="AI79" s="125">
        <v>0.0</v>
      </c>
      <c r="AJ79" s="125">
        <v>0.0</v>
      </c>
      <c r="AK79" s="127">
        <v>0.0041</v>
      </c>
      <c r="AL79" s="127">
        <v>0.0</v>
      </c>
      <c r="AM79" s="302">
        <v>0.0</v>
      </c>
      <c r="AN79" s="149" t="str">
        <f>IFERROR(
  AVERAGEIFS(
    'New LF Efficacy'!$J:$J,
    'New LF Efficacy'!$D:$D, $A79,
    'New LF Efficacy'!$F:$F,"DEC", 
    'New LF Efficacy'!$W:$W,"&lt;2016",
    'New LF Efficacy'!$AA:$AA,""),
  ""
)</f>
        <v/>
      </c>
      <c r="AO79" s="115">
        <f t="shared" si="11"/>
        <v>0.3573520833</v>
      </c>
      <c r="AP79" s="149" t="str">
        <f>IFERROR(
AVERAGEIFS(
'New LF Efficacy'!$J:$J,
'New LF Efficacy'!$D:$D,$A79,
'New LF Efficacy'!$F:$F,"Albendazole &amp; DEC",
'New LF Efficacy'!$W:$W,"&lt;2016",
'New LF Efficacy'!$AA:$AA,""),
"")
</f>
        <v/>
      </c>
      <c r="AQ79" s="115">
        <f t="shared" si="12"/>
        <v>0.5143541667</v>
      </c>
      <c r="AR79" s="149" t="str">
        <f>IFERROR(
AVERAGEIFS(
'New LF Efficacy'!$J:$J,
'New LF Efficacy'!$D:$D,$A79,
'New LF Efficacy'!$F:$F,"Albendazole &amp; Ivermectin", 
'New LF Efficacy'!$W:$W,"&lt;2016",
'New LF Efficacy'!$AA:$AA,""),"")</f>
        <v/>
      </c>
      <c r="AS79" s="115">
        <f t="shared" si="13"/>
        <v>0.37153125</v>
      </c>
      <c r="AT79" s="442" t="str">
        <f>IFERROR(AVERAGEIFS(
'Schist Efficacy'!$O:$O, 
'Schist Efficacy'!$C:$C,$A79, 
'Schist Efficacy'!$D:$D, "Praziquantel",
'Schist Efficacy'!$J:$J,"&lt;2016",
'Schist Efficacy'!$U:$U,""),
"")</f>
        <v/>
      </c>
      <c r="AU79" s="118">
        <f t="shared" si="14"/>
        <v>0.655</v>
      </c>
      <c r="AV79" s="131" t="str">
        <f>IFERROR(AVERAGEIFS(
'STH Efficacy'!$AX:$AX, 
'STH Efficacy'!$AL:$AL, $A79, 
'STH Efficacy'!$AM:$AM, "Albendazole",
'STH Efficacy'!$AS:$AS,"&lt;2016",
'STH Efficacy'!$BP:$BP,""),
"")</f>
        <v/>
      </c>
      <c r="AW79" s="132">
        <f t="shared" si="15"/>
        <v>0.4143846154</v>
      </c>
      <c r="AX79" s="131" t="str">
        <f>IFERROR(AVERAGEIFS(
'STH Efficacy'!$AX:$AX, 
'STH Efficacy'!$AL:$AL, $A79, 
'STH Efficacy'!$AM:$AM, "Mebendazole",
'STH Efficacy'!$AS:$AS,"&lt;2016",
'STH Efficacy'!$BP:$BP,""),
"")</f>
        <v/>
      </c>
      <c r="AY79" s="132">
        <f t="shared" si="16"/>
        <v>0.4691770833</v>
      </c>
      <c r="AZ79" s="131" t="str">
        <f>IFERROR(AVERAGEIFS(
'STH Efficacy'!$AX:$AX, 
'STH Efficacy'!$AL:$AL, $A79, 
'STH Efficacy'!$AM:$AM, "Albendazole &amp; Ivermectin",
'STH Efficacy'!$AS:$AS,"&lt;2016",
'STH Efficacy'!$BP:$BP,""),
"")</f>
        <v/>
      </c>
      <c r="BA79" s="133">
        <f t="shared" si="17"/>
        <v>0.597625</v>
      </c>
      <c r="BB79" s="443" t="str">
        <f>IFERROR(AVERAGEIFS(
'STH Efficacy'!$N:$N, 
'STH Efficacy'!$B:$B, $A79, 
'STH Efficacy'!$C:$C, "Albendazole",
'STH Efficacy'!$I:$I,"&lt;2016",
'STH Efficacy'!$AH:$AH,""),
"")</f>
        <v/>
      </c>
      <c r="BC79" s="135">
        <f t="shared" si="18"/>
        <v>0.7613712121</v>
      </c>
      <c r="BD79" s="443" t="str">
        <f>IFERROR(AVERAGEIFS(
'STH Efficacy'!$N:$N, 
'STH Efficacy'!$B:$B, $A79, 
'STH Efficacy'!$C:$C, "Mebendazole",
'STH Efficacy'!$I:$I,"&lt;2016",
'STH Efficacy'!$AH:$AH,""),
"")</f>
        <v/>
      </c>
      <c r="BE79" s="135">
        <f t="shared" si="19"/>
        <v>0.4362466667</v>
      </c>
      <c r="BF79" s="436" t="str">
        <f>IFERROR(AVERAGEIFS(
'STH Efficacy'!$CD:$CD, 
'STH Efficacy'!$BS:$BS, $A79, 
'STH Efficacy'!$BT:$BT, "Albendazole",
'STH Efficacy'!$BZ:$BZ,"&lt;2016",
'STH Efficacy'!$CU:$CU,""),
"")</f>
        <v/>
      </c>
      <c r="BG79" s="136">
        <f t="shared" si="20"/>
        <v>0.9216027778</v>
      </c>
      <c r="BH79" s="436" t="str">
        <f>IFERROR(AVERAGEIFS(
'STH Efficacy'!$CD:$CD, 
'STH Efficacy'!$BS:$BS, $A79, 
'STH Efficacy'!$BT:$BT, "Mebendazole",
'STH Efficacy'!$BZ:$BZ,"&lt;2016",
'STH Efficacy'!$CU:$CU,""),
"")</f>
        <v/>
      </c>
      <c r="BI79" s="136">
        <f t="shared" si="21"/>
        <v>0.8866041667</v>
      </c>
      <c r="BJ79" s="436" t="str">
        <f>IFERROR(AVERAGEIFS(
'STH Efficacy'!$CD:$CD, 
'STH Efficacy'!$BS:$BS, $A79, 
'STH Efficacy'!$BT:$BT, "Albendazole &amp; Ivermectin",
'STH Efficacy'!$BZ:$BZ,"&lt;2016",
'STH Efficacy'!$CU:$CU,""),
"")</f>
        <v/>
      </c>
      <c r="BK79" s="136">
        <f t="shared" si="22"/>
        <v>0.848</v>
      </c>
      <c r="BL79" s="444" t="str">
        <f>IFERROR(
  AVERAGEIFS(
    'NEW Onchocerciasis Efficacy'!$AO:$AO,
    'NEW Onchocerciasis Efficacy'!$C:$C,$A79,
    'NEW Onchocerciasis Efficacy'!$D:$D,"Ivermectin",
    'NEW Onchocerciasis Efficacy'!$AR:$AR,"&lt;2016",
    'NEW Onchocerciasis Efficacy'!$BG:$BG,"")
,"")</f>
        <v/>
      </c>
      <c r="BM79" s="304">
        <f t="shared" si="23"/>
        <v>0.7808368939</v>
      </c>
      <c r="BN79" s="439">
        <v>0.0</v>
      </c>
      <c r="BO79" s="139">
        <v>0.0</v>
      </c>
      <c r="BP79" s="140">
        <v>0.0</v>
      </c>
      <c r="BQ79" s="141">
        <f t="shared" si="24"/>
        <v>0</v>
      </c>
      <c r="BR79" s="104" t="str">
        <f t="shared" si="25"/>
        <v>0000</v>
      </c>
      <c r="BS79" s="104" t="str">
        <f t="shared" si="26"/>
        <v>no action required</v>
      </c>
      <c r="BT79" s="142" t="str">
        <f t="shared" si="27"/>
        <v/>
      </c>
      <c r="BU79" s="104" t="str">
        <f t="shared" si="28"/>
        <v/>
      </c>
      <c r="BV79" s="104" t="str">
        <f t="shared" si="29"/>
        <v>none</v>
      </c>
      <c r="BW79" s="150" t="str">
        <f t="shared" si="30"/>
        <v/>
      </c>
      <c r="BX79" s="150" t="str">
        <f t="shared" si="31"/>
        <v/>
      </c>
      <c r="BY79" s="151" t="str">
        <f t="shared" si="32"/>
        <v/>
      </c>
      <c r="BZ79" s="152" t="str">
        <f t="shared" si="33"/>
        <v/>
      </c>
      <c r="CA79" s="152" t="str">
        <f t="shared" si="34"/>
        <v/>
      </c>
      <c r="CB79" s="152" t="str">
        <f t="shared" si="35"/>
        <v/>
      </c>
      <c r="CC79" s="153" t="str">
        <f t="shared" si="36"/>
        <v/>
      </c>
      <c r="CD79" s="153" t="str">
        <f t="shared" si="37"/>
        <v/>
      </c>
      <c r="CE79" s="154" t="str">
        <f t="shared" si="38"/>
        <v/>
      </c>
      <c r="CF79" s="154" t="str">
        <f t="shared" si="39"/>
        <v/>
      </c>
      <c r="CG79" s="154" t="str">
        <f t="shared" si="40"/>
        <v/>
      </c>
      <c r="CH79" s="308" t="str">
        <f t="shared" si="41"/>
        <v/>
      </c>
    </row>
    <row r="80">
      <c r="A80" s="103" t="s">
        <v>169</v>
      </c>
      <c r="B80" s="104" t="s">
        <v>90</v>
      </c>
      <c r="C80" s="428">
        <v>8.1686611E7</v>
      </c>
      <c r="D80" s="161">
        <v>0.0</v>
      </c>
      <c r="E80" s="294">
        <v>0.0</v>
      </c>
      <c r="F80" s="307">
        <v>0.0</v>
      </c>
      <c r="G80" s="309">
        <v>0.0</v>
      </c>
      <c r="H80" s="108">
        <v>0.0</v>
      </c>
      <c r="I80" s="109">
        <v>0.0</v>
      </c>
      <c r="J80" s="109">
        <v>0.0</v>
      </c>
      <c r="K80" s="109">
        <v>0.0</v>
      </c>
      <c r="L80" s="112">
        <v>0.0</v>
      </c>
      <c r="M80" s="112">
        <v>0.0</v>
      </c>
      <c r="N80" s="112">
        <v>0.0</v>
      </c>
      <c r="O80" s="324">
        <v>0.0</v>
      </c>
      <c r="P80" s="114"/>
      <c r="Q80" s="114"/>
      <c r="R80" s="121" t="str">
        <f t="shared" si="4"/>
        <v/>
      </c>
      <c r="S80" s="116">
        <f t="shared" si="5"/>
        <v>0.5709301448</v>
      </c>
      <c r="T80" s="117"/>
      <c r="U80" s="118">
        <f t="shared" si="6"/>
        <v>0.4791888889</v>
      </c>
      <c r="V80" s="148"/>
      <c r="W80" s="120">
        <f t="shared" si="7"/>
        <v>0.0223</v>
      </c>
      <c r="X80" s="148"/>
      <c r="Y80" s="120">
        <f t="shared" si="8"/>
        <v>0.598275</v>
      </c>
      <c r="Z80" s="299"/>
      <c r="AA80" s="441"/>
      <c r="AB80" s="300" t="str">
        <f t="shared" si="9"/>
        <v/>
      </c>
      <c r="AC80" s="300">
        <f t="shared" si="10"/>
        <v>0.6890056172</v>
      </c>
      <c r="AD80" s="122">
        <v>0.0</v>
      </c>
      <c r="AE80" s="123">
        <v>0.0</v>
      </c>
      <c r="AF80" s="430">
        <v>0.0</v>
      </c>
      <c r="AG80" s="124">
        <v>0.0</v>
      </c>
      <c r="AH80" s="124">
        <v>0.0</v>
      </c>
      <c r="AI80" s="125">
        <v>0.0</v>
      </c>
      <c r="AJ80" s="125">
        <v>0.0</v>
      </c>
      <c r="AK80" s="127">
        <v>0.0</v>
      </c>
      <c r="AL80" s="127">
        <v>0.0</v>
      </c>
      <c r="AM80" s="302">
        <v>0.0</v>
      </c>
      <c r="AN80" s="149" t="str">
        <f>IFERROR(
  AVERAGEIFS(
    'New LF Efficacy'!$J:$J,
    'New LF Efficacy'!$D:$D, $A80,
    'New LF Efficacy'!$F:$F,"DEC", 
    'New LF Efficacy'!$W:$W,"&lt;2016",
    'New LF Efficacy'!$AA:$AA,""),
  ""
)</f>
        <v/>
      </c>
      <c r="AO80" s="115">
        <f t="shared" si="11"/>
        <v>0.3573520833</v>
      </c>
      <c r="AP80" s="149" t="str">
        <f>IFERROR(
AVERAGEIFS(
'New LF Efficacy'!$J:$J,
'New LF Efficacy'!$D:$D,$A80,
'New LF Efficacy'!$F:$F,"Albendazole &amp; DEC",
'New LF Efficacy'!$W:$W,"&lt;2016",
'New LF Efficacy'!$AA:$AA,""),
"")
</f>
        <v/>
      </c>
      <c r="AQ80" s="115">
        <f t="shared" si="12"/>
        <v>0.5143541667</v>
      </c>
      <c r="AR80" s="149" t="str">
        <f>IFERROR(
AVERAGEIFS(
'New LF Efficacy'!$J:$J,
'New LF Efficacy'!$D:$D,$A80,
'New LF Efficacy'!$F:$F,"Albendazole &amp; Ivermectin", 
'New LF Efficacy'!$W:$W,"&lt;2016",
'New LF Efficacy'!$AA:$AA,""),"")</f>
        <v/>
      </c>
      <c r="AS80" s="115">
        <f t="shared" si="13"/>
        <v>0.37153125</v>
      </c>
      <c r="AT80" s="442" t="str">
        <f>IFERROR(AVERAGEIFS(
'Schist Efficacy'!$O:$O, 
'Schist Efficacy'!$C:$C,$A80, 
'Schist Efficacy'!$D:$D, "Praziquantel",
'Schist Efficacy'!$J:$J,"&lt;2016",
'Schist Efficacy'!$U:$U,""),
"")</f>
        <v/>
      </c>
      <c r="AU80" s="118">
        <f t="shared" si="14"/>
        <v>0.655</v>
      </c>
      <c r="AV80" s="131" t="str">
        <f>IFERROR(AVERAGEIFS(
'STH Efficacy'!$AX:$AX, 
'STH Efficacy'!$AL:$AL, $A80, 
'STH Efficacy'!$AM:$AM, "Albendazole",
'STH Efficacy'!$AS:$AS,"&lt;2016",
'STH Efficacy'!$BP:$BP,""),
"")</f>
        <v/>
      </c>
      <c r="AW80" s="132">
        <f t="shared" si="15"/>
        <v>0.4143846154</v>
      </c>
      <c r="AX80" s="131" t="str">
        <f>IFERROR(AVERAGEIFS(
'STH Efficacy'!$AX:$AX, 
'STH Efficacy'!$AL:$AL, $A80, 
'STH Efficacy'!$AM:$AM, "Mebendazole",
'STH Efficacy'!$AS:$AS,"&lt;2016",
'STH Efficacy'!$BP:$BP,""),
"")</f>
        <v/>
      </c>
      <c r="AY80" s="132">
        <f t="shared" si="16"/>
        <v>0.4691770833</v>
      </c>
      <c r="AZ80" s="131" t="str">
        <f>IFERROR(AVERAGEIFS(
'STH Efficacy'!$AX:$AX, 
'STH Efficacy'!$AL:$AL, $A80, 
'STH Efficacy'!$AM:$AM, "Albendazole &amp; Ivermectin",
'STH Efficacy'!$AS:$AS,"&lt;2016",
'STH Efficacy'!$BP:$BP,""),
"")</f>
        <v/>
      </c>
      <c r="BA80" s="133">
        <f t="shared" si="17"/>
        <v>0.597625</v>
      </c>
      <c r="BB80" s="443" t="str">
        <f>IFERROR(AVERAGEIFS(
'STH Efficacy'!$N:$N, 
'STH Efficacy'!$B:$B, $A80, 
'STH Efficacy'!$C:$C, "Albendazole",
'STH Efficacy'!$I:$I,"&lt;2016",
'STH Efficacy'!$AH:$AH,""),
"")</f>
        <v/>
      </c>
      <c r="BC80" s="135">
        <f t="shared" si="18"/>
        <v>0.7613712121</v>
      </c>
      <c r="BD80" s="443" t="str">
        <f>IFERROR(AVERAGEIFS(
'STH Efficacy'!$N:$N, 
'STH Efficacy'!$B:$B, $A80, 
'STH Efficacy'!$C:$C, "Mebendazole",
'STH Efficacy'!$I:$I,"&lt;2016",
'STH Efficacy'!$AH:$AH,""),
"")</f>
        <v/>
      </c>
      <c r="BE80" s="135">
        <f t="shared" si="19"/>
        <v>0.4362466667</v>
      </c>
      <c r="BF80" s="436" t="str">
        <f>IFERROR(AVERAGEIFS(
'STH Efficacy'!$CD:$CD, 
'STH Efficacy'!$BS:$BS, $A80, 
'STH Efficacy'!$BT:$BT, "Albendazole",
'STH Efficacy'!$BZ:$BZ,"&lt;2016",
'STH Efficacy'!$CU:$CU,""),
"")</f>
        <v/>
      </c>
      <c r="BG80" s="136">
        <f t="shared" si="20"/>
        <v>0.9216027778</v>
      </c>
      <c r="BH80" s="436" t="str">
        <f>IFERROR(AVERAGEIFS(
'STH Efficacy'!$CD:$CD, 
'STH Efficacy'!$BS:$BS, $A80, 
'STH Efficacy'!$BT:$BT, "Mebendazole",
'STH Efficacy'!$BZ:$BZ,"&lt;2016",
'STH Efficacy'!$CU:$CU,""),
"")</f>
        <v/>
      </c>
      <c r="BI80" s="136">
        <f t="shared" si="21"/>
        <v>0.8866041667</v>
      </c>
      <c r="BJ80" s="436" t="str">
        <f>IFERROR(AVERAGEIFS(
'STH Efficacy'!$CD:$CD, 
'STH Efficacy'!$BS:$BS, $A80, 
'STH Efficacy'!$BT:$BT, "Albendazole &amp; Ivermectin",
'STH Efficacy'!$BZ:$BZ,"&lt;2016",
'STH Efficacy'!$CU:$CU,""),
"")</f>
        <v/>
      </c>
      <c r="BK80" s="136">
        <f t="shared" si="22"/>
        <v>0.848</v>
      </c>
      <c r="BL80" s="444" t="str">
        <f>IFERROR(
  AVERAGEIFS(
    'NEW Onchocerciasis Efficacy'!$AO:$AO,
    'NEW Onchocerciasis Efficacy'!$C:$C,$A80,
    'NEW Onchocerciasis Efficacy'!$D:$D,"Ivermectin",
    'NEW Onchocerciasis Efficacy'!$AR:$AR,"&lt;2016",
    'NEW Onchocerciasis Efficacy'!$BG:$BG,"")
,"")</f>
        <v/>
      </c>
      <c r="BM80" s="304">
        <f t="shared" si="23"/>
        <v>0.7808368939</v>
      </c>
      <c r="BN80" s="439">
        <v>0.0</v>
      </c>
      <c r="BO80" s="139">
        <v>0.0</v>
      </c>
      <c r="BP80" s="140">
        <v>0.0</v>
      </c>
      <c r="BQ80" s="141">
        <f t="shared" si="24"/>
        <v>0</v>
      </c>
      <c r="BR80" s="104" t="str">
        <f t="shared" si="25"/>
        <v>0000</v>
      </c>
      <c r="BS80" s="104" t="str">
        <f t="shared" si="26"/>
        <v>no action required</v>
      </c>
      <c r="BT80" s="142" t="str">
        <f t="shared" si="27"/>
        <v/>
      </c>
      <c r="BU80" s="104" t="str">
        <f t="shared" si="28"/>
        <v/>
      </c>
      <c r="BV80" s="104" t="str">
        <f t="shared" si="29"/>
        <v>none</v>
      </c>
      <c r="BW80" s="150" t="str">
        <f t="shared" si="30"/>
        <v/>
      </c>
      <c r="BX80" s="150" t="str">
        <f t="shared" si="31"/>
        <v/>
      </c>
      <c r="BY80" s="151" t="str">
        <f t="shared" si="32"/>
        <v/>
      </c>
      <c r="BZ80" s="152" t="str">
        <f t="shared" si="33"/>
        <v/>
      </c>
      <c r="CA80" s="152" t="str">
        <f t="shared" si="34"/>
        <v/>
      </c>
      <c r="CB80" s="152" t="str">
        <f t="shared" si="35"/>
        <v/>
      </c>
      <c r="CC80" s="153" t="str">
        <f t="shared" si="36"/>
        <v/>
      </c>
      <c r="CD80" s="153" t="str">
        <f t="shared" si="37"/>
        <v/>
      </c>
      <c r="CE80" s="154" t="str">
        <f t="shared" si="38"/>
        <v/>
      </c>
      <c r="CF80" s="154" t="str">
        <f t="shared" si="39"/>
        <v/>
      </c>
      <c r="CG80" s="154" t="str">
        <f t="shared" si="40"/>
        <v/>
      </c>
      <c r="CH80" s="308" t="str">
        <f t="shared" si="41"/>
        <v/>
      </c>
    </row>
    <row r="81">
      <c r="A81" s="103" t="s">
        <v>170</v>
      </c>
      <c r="B81" s="104" t="s">
        <v>92</v>
      </c>
      <c r="C81" s="428">
        <v>2.7582821E7</v>
      </c>
      <c r="D81" s="161">
        <v>4746.400000000001</v>
      </c>
      <c r="E81" s="294">
        <v>35732.44445</v>
      </c>
      <c r="F81" s="295">
        <v>0.619499381</v>
      </c>
      <c r="G81" s="295">
        <v>2.636901427</v>
      </c>
      <c r="H81" s="108">
        <v>3.256400808</v>
      </c>
      <c r="I81" s="109">
        <v>380.14418</v>
      </c>
      <c r="J81" s="110">
        <v>935.202572</v>
      </c>
      <c r="K81" s="109">
        <v>1315.346753</v>
      </c>
      <c r="L81" s="112">
        <v>1738.226065</v>
      </c>
      <c r="M81" s="112">
        <v>303.3467406</v>
      </c>
      <c r="N81" s="112">
        <v>2041.572805</v>
      </c>
      <c r="O81" s="324">
        <v>1.3674E-78</v>
      </c>
      <c r="P81" s="160">
        <v>2426930.0</v>
      </c>
      <c r="Q81" s="160">
        <v>1754833.0</v>
      </c>
      <c r="R81" s="121">
        <f t="shared" si="4"/>
        <v>0.7230670023</v>
      </c>
      <c r="S81" s="116">
        <f t="shared" si="5"/>
        <v>0.7230670023</v>
      </c>
      <c r="T81" s="118">
        <v>0.265</v>
      </c>
      <c r="U81" s="118">
        <f t="shared" si="6"/>
        <v>0.265</v>
      </c>
      <c r="V81" s="148"/>
      <c r="W81" s="120">
        <f t="shared" si="7"/>
        <v>0.8084736842</v>
      </c>
      <c r="X81" s="119">
        <v>0.3792</v>
      </c>
      <c r="Y81" s="120">
        <f t="shared" si="8"/>
        <v>0.3792</v>
      </c>
      <c r="Z81" s="310">
        <v>3995382.0</v>
      </c>
      <c r="AA81" s="310">
        <v>3416583.0</v>
      </c>
      <c r="AB81" s="300">
        <f t="shared" si="9"/>
        <v>0.855133001</v>
      </c>
      <c r="AC81" s="300">
        <f t="shared" si="10"/>
        <v>0.855133001</v>
      </c>
      <c r="AD81" s="122">
        <v>0.0026</v>
      </c>
      <c r="AE81" s="123">
        <v>0.12</v>
      </c>
      <c r="AF81" s="430">
        <v>0.035</v>
      </c>
      <c r="AG81" s="124">
        <v>0.0</v>
      </c>
      <c r="AH81" s="124">
        <v>0.031976909</v>
      </c>
      <c r="AI81" s="125">
        <v>0.0</v>
      </c>
      <c r="AJ81" s="125">
        <v>0.050839864</v>
      </c>
      <c r="AK81" s="127">
        <v>0.0</v>
      </c>
      <c r="AL81" s="127">
        <v>0.04822353</v>
      </c>
      <c r="AM81" s="302">
        <v>0.0</v>
      </c>
      <c r="AN81" s="149" t="str">
        <f>IFERROR(
  AVERAGEIFS(
    'New LF Efficacy'!$J:$J,
    'New LF Efficacy'!$D:$D, $A81,
    'New LF Efficacy'!$F:$F,"DEC", 
    'New LF Efficacy'!$W:$W,"&lt;2016",
    'New LF Efficacy'!$AA:$AA,""),
  ""
)</f>
        <v/>
      </c>
      <c r="AO81" s="115">
        <f t="shared" si="11"/>
        <v>0.31225</v>
      </c>
      <c r="AP81" s="149" t="str">
        <f>IFERROR(
AVERAGEIFS(
'New LF Efficacy'!$J:$J,
'New LF Efficacy'!$D:$D,$A81,
'New LF Efficacy'!$F:$F,"Albendazole &amp; DEC",
'New LF Efficacy'!$W:$W,"&lt;2016",
'New LF Efficacy'!$AA:$AA,""),
"")
</f>
        <v/>
      </c>
      <c r="AQ81" s="115">
        <f t="shared" si="12"/>
        <v>0.4</v>
      </c>
      <c r="AR81" s="149">
        <f>IFERROR(
AVERAGEIFS(
'New LF Efficacy'!$J:$J,
'New LF Efficacy'!$D:$D,$A81,
'New LF Efficacy'!$F:$F,"Albendazole &amp; Ivermectin", 
'New LF Efficacy'!$W:$W,"&lt;2016",
'New LF Efficacy'!$AA:$AA,""),"")</f>
        <v>0.394625</v>
      </c>
      <c r="AS81" s="115">
        <f t="shared" si="13"/>
        <v>0.394625</v>
      </c>
      <c r="AT81" s="442" t="str">
        <f>IFERROR(AVERAGEIFS(
'Schist Efficacy'!$O:$O, 
'Schist Efficacy'!$C:$C,$A81, 
'Schist Efficacy'!$D:$D, "Praziquantel",
'Schist Efficacy'!$J:$J,"&lt;2016",
'Schist Efficacy'!$U:$U,""),
"")</f>
        <v/>
      </c>
      <c r="AU81" s="118">
        <f t="shared" si="14"/>
        <v>0.7206464759</v>
      </c>
      <c r="AV81" s="131" t="str">
        <f>IFERROR(AVERAGEIFS(
'STH Efficacy'!$AX:$AX, 
'STH Efficacy'!$AL:$AL, $A81, 
'STH Efficacy'!$AM:$AM, "Albendazole",
'STH Efficacy'!$AS:$AS,"&lt;2016",
'STH Efficacy'!$BP:$BP,""),
"")</f>
        <v/>
      </c>
      <c r="AW81" s="132">
        <f t="shared" si="15"/>
        <v>0.3816333333</v>
      </c>
      <c r="AX81" s="131" t="str">
        <f>IFERROR(AVERAGEIFS(
'STH Efficacy'!$AX:$AX, 
'STH Efficacy'!$AL:$AL, $A81, 
'STH Efficacy'!$AM:$AM, "Mebendazole",
'STH Efficacy'!$AS:$AS,"&lt;2016",
'STH Efficacy'!$BP:$BP,""),
"")</f>
        <v/>
      </c>
      <c r="AY81" s="132">
        <f t="shared" si="16"/>
        <v>0.4859375</v>
      </c>
      <c r="AZ81" s="131" t="str">
        <f>IFERROR(AVERAGEIFS(
'STH Efficacy'!$AX:$AX, 
'STH Efficacy'!$AL:$AL, $A81, 
'STH Efficacy'!$AM:$AM, "Albendazole &amp; Ivermectin",
'STH Efficacy'!$AS:$AS,"&lt;2016",
'STH Efficacy'!$BP:$BP,""),
"")</f>
        <v/>
      </c>
      <c r="BA81" s="133">
        <f t="shared" si="17"/>
        <v>0.47175</v>
      </c>
      <c r="BB81" s="443" t="str">
        <f>IFERROR(AVERAGEIFS(
'STH Efficacy'!$N:$N, 
'STH Efficacy'!$B:$B, $A81, 
'STH Efficacy'!$C:$C, "Albendazole",
'STH Efficacy'!$I:$I,"&lt;2016",
'STH Efficacy'!$AH:$AH,""),
"")</f>
        <v/>
      </c>
      <c r="BC81" s="135">
        <f t="shared" si="18"/>
        <v>0.8699166667</v>
      </c>
      <c r="BD81" s="443" t="str">
        <f>IFERROR(AVERAGEIFS(
'STH Efficacy'!$N:$N, 
'STH Efficacy'!$B:$B, $A81, 
'STH Efficacy'!$C:$C, "Mebendazole",
'STH Efficacy'!$I:$I,"&lt;2016",
'STH Efficacy'!$AH:$AH,""),
"")</f>
        <v/>
      </c>
      <c r="BE81" s="135">
        <f t="shared" si="19"/>
        <v>0.7092416667</v>
      </c>
      <c r="BF81" s="436" t="str">
        <f>IFERROR(AVERAGEIFS(
'STH Efficacy'!$CD:$CD, 
'STH Efficacy'!$BS:$BS, $A81, 
'STH Efficacy'!$BT:$BT, "Albendazole",
'STH Efficacy'!$BZ:$BZ,"&lt;2016",
'STH Efficacy'!$CU:$CU,""),
"")</f>
        <v/>
      </c>
      <c r="BG81" s="136">
        <f t="shared" si="20"/>
        <v>0.9066666667</v>
      </c>
      <c r="BH81" s="436" t="str">
        <f>IFERROR(AVERAGEIFS(
'STH Efficacy'!$CD:$CD, 
'STH Efficacy'!$BS:$BS, $A81, 
'STH Efficacy'!$BT:$BT, "Mebendazole",
'STH Efficacy'!$BZ:$BZ,"&lt;2016",
'STH Efficacy'!$CU:$CU,""),
"")</f>
        <v/>
      </c>
      <c r="BI81" s="136">
        <f t="shared" si="21"/>
        <v>0.8483333333</v>
      </c>
      <c r="BJ81" s="436" t="str">
        <f>IFERROR(AVERAGEIFS(
'STH Efficacy'!$CD:$CD, 
'STH Efficacy'!$BS:$BS, $A81, 
'STH Efficacy'!$BT:$BT, "Albendazole &amp; Ivermectin",
'STH Efficacy'!$BZ:$BZ,"&lt;2016",
'STH Efficacy'!$CU:$CU,""),
"")</f>
        <v/>
      </c>
      <c r="BK81" s="136">
        <f t="shared" si="22"/>
        <v>0.696</v>
      </c>
      <c r="BL81" s="444">
        <f>IFERROR(
  AVERAGEIFS(
    'NEW Onchocerciasis Efficacy'!$AO:$AO,
    'NEW Onchocerciasis Efficacy'!$C:$C,$A81,
    'NEW Onchocerciasis Efficacy'!$D:$D,"Ivermectin",
    'NEW Onchocerciasis Efficacy'!$AR:$AR,"&lt;2016",
    'NEW Onchocerciasis Efficacy'!$BG:$BG,"")
,"")</f>
        <v>0.8558066667</v>
      </c>
      <c r="BM81" s="304">
        <f t="shared" si="23"/>
        <v>0.8558066667</v>
      </c>
      <c r="BN81" s="439">
        <v>1.0</v>
      </c>
      <c r="BO81" s="139">
        <v>1.0</v>
      </c>
      <c r="BP81" s="140">
        <v>1.0</v>
      </c>
      <c r="BQ81" s="141">
        <f t="shared" si="24"/>
        <v>0</v>
      </c>
      <c r="BR81" s="104" t="str">
        <f t="shared" si="25"/>
        <v>1110</v>
      </c>
      <c r="BS81" s="104" t="str">
        <f t="shared" si="26"/>
        <v>MDA1+T2</v>
      </c>
      <c r="BT81" s="142" t="str">
        <f t="shared" si="27"/>
        <v>IVM+ALB</v>
      </c>
      <c r="BU81" s="104" t="str">
        <f t="shared" si="28"/>
        <v>PZQ</v>
      </c>
      <c r="BV81" s="104" t="str">
        <f t="shared" si="29"/>
        <v>lf+onch+schist </v>
      </c>
      <c r="BW81" s="150" t="str">
        <f t="shared" si="30"/>
        <v/>
      </c>
      <c r="BX81" s="312">
        <f t="shared" si="31"/>
        <v>1895.082799</v>
      </c>
      <c r="BY81" s="162">
        <f t="shared" si="32"/>
        <v>8434.647721</v>
      </c>
      <c r="BZ81" s="152" t="str">
        <f t="shared" si="33"/>
        <v/>
      </c>
      <c r="CA81" s="152" t="str">
        <f t="shared" si="34"/>
        <v/>
      </c>
      <c r="CB81" s="152" t="str">
        <f t="shared" si="35"/>
        <v/>
      </c>
      <c r="CC81" s="153" t="str">
        <f t="shared" si="36"/>
        <v/>
      </c>
      <c r="CD81" s="153" t="str">
        <f t="shared" si="37"/>
        <v/>
      </c>
      <c r="CE81" s="154" t="str">
        <f t="shared" si="38"/>
        <v/>
      </c>
      <c r="CF81" s="154" t="str">
        <f t="shared" si="39"/>
        <v/>
      </c>
      <c r="CG81" s="154" t="str">
        <f t="shared" si="40"/>
        <v/>
      </c>
      <c r="CH81" s="313">
        <f t="shared" si="41"/>
        <v>0</v>
      </c>
    </row>
    <row r="82">
      <c r="A82" s="103" t="s">
        <v>171</v>
      </c>
      <c r="B82" s="104" t="s">
        <v>90</v>
      </c>
      <c r="C82" s="428">
        <v>1.0820883E7</v>
      </c>
      <c r="D82" s="161">
        <v>0.0</v>
      </c>
      <c r="E82" s="294">
        <v>0.0</v>
      </c>
      <c r="F82" s="307">
        <v>0.0</v>
      </c>
      <c r="G82" s="309">
        <v>0.0</v>
      </c>
      <c r="H82" s="108">
        <v>0.0</v>
      </c>
      <c r="I82" s="109">
        <v>0.0</v>
      </c>
      <c r="J82" s="109">
        <v>0.0</v>
      </c>
      <c r="K82" s="109">
        <v>0.0</v>
      </c>
      <c r="L82" s="112">
        <v>0.0</v>
      </c>
      <c r="M82" s="112">
        <v>0.0</v>
      </c>
      <c r="N82" s="112">
        <v>0.0</v>
      </c>
      <c r="O82" s="298">
        <v>0.0</v>
      </c>
      <c r="P82" s="114"/>
      <c r="Q82" s="114"/>
      <c r="R82" s="121" t="str">
        <f t="shared" si="4"/>
        <v/>
      </c>
      <c r="S82" s="116">
        <f t="shared" si="5"/>
        <v>0.5709301448</v>
      </c>
      <c r="T82" s="117"/>
      <c r="U82" s="118">
        <f t="shared" si="6"/>
        <v>0.4791888889</v>
      </c>
      <c r="V82" s="148"/>
      <c r="W82" s="120">
        <f t="shared" si="7"/>
        <v>0.0223</v>
      </c>
      <c r="X82" s="148"/>
      <c r="Y82" s="120">
        <f t="shared" si="8"/>
        <v>0.598275</v>
      </c>
      <c r="Z82" s="299"/>
      <c r="AA82" s="441"/>
      <c r="AB82" s="300" t="str">
        <f t="shared" si="9"/>
        <v/>
      </c>
      <c r="AC82" s="300">
        <f t="shared" si="10"/>
        <v>0.6890056172</v>
      </c>
      <c r="AD82" s="122">
        <v>0.0</v>
      </c>
      <c r="AE82" s="123">
        <v>0.0</v>
      </c>
      <c r="AF82" s="430">
        <v>0.0</v>
      </c>
      <c r="AG82" s="124">
        <v>0.0</v>
      </c>
      <c r="AH82" s="124">
        <v>0.0</v>
      </c>
      <c r="AI82" s="125">
        <v>0.0</v>
      </c>
      <c r="AJ82" s="125">
        <v>0.0</v>
      </c>
      <c r="AK82" s="127">
        <v>0.0</v>
      </c>
      <c r="AL82" s="127">
        <v>0.0</v>
      </c>
      <c r="AM82" s="302">
        <v>0.0</v>
      </c>
      <c r="AN82" s="149" t="str">
        <f>IFERROR(
  AVERAGEIFS(
    'New LF Efficacy'!$J:$J,
    'New LF Efficacy'!$D:$D, $A82,
    'New LF Efficacy'!$F:$F,"DEC", 
    'New LF Efficacy'!$W:$W,"&lt;2016",
    'New LF Efficacy'!$AA:$AA,""),
  ""
)</f>
        <v/>
      </c>
      <c r="AO82" s="115">
        <f t="shared" si="11"/>
        <v>0.3573520833</v>
      </c>
      <c r="AP82" s="149" t="str">
        <f>IFERROR(
AVERAGEIFS(
'New LF Efficacy'!$J:$J,
'New LF Efficacy'!$D:$D,$A82,
'New LF Efficacy'!$F:$F,"Albendazole &amp; DEC",
'New LF Efficacy'!$W:$W,"&lt;2016",
'New LF Efficacy'!$AA:$AA,""),
"")
</f>
        <v/>
      </c>
      <c r="AQ82" s="115">
        <f t="shared" si="12"/>
        <v>0.5143541667</v>
      </c>
      <c r="AR82" s="149" t="str">
        <f>IFERROR(
AVERAGEIFS(
'New LF Efficacy'!$J:$J,
'New LF Efficacy'!$D:$D,$A82,
'New LF Efficacy'!$F:$F,"Albendazole &amp; Ivermectin", 
'New LF Efficacy'!$W:$W,"&lt;2016",
'New LF Efficacy'!$AA:$AA,""),"")</f>
        <v/>
      </c>
      <c r="AS82" s="115">
        <f t="shared" si="13"/>
        <v>0.37153125</v>
      </c>
      <c r="AT82" s="442" t="str">
        <f>IFERROR(AVERAGEIFS(
'Schist Efficacy'!$O:$O, 
'Schist Efficacy'!$C:$C,$A82, 
'Schist Efficacy'!$D:$D, "Praziquantel",
'Schist Efficacy'!$J:$J,"&lt;2016",
'Schist Efficacy'!$U:$U,""),
"")</f>
        <v/>
      </c>
      <c r="AU82" s="118">
        <f t="shared" si="14"/>
        <v>0.655</v>
      </c>
      <c r="AV82" s="131" t="str">
        <f>IFERROR(AVERAGEIFS(
'STH Efficacy'!$AX:$AX, 
'STH Efficacy'!$AL:$AL, $A82, 
'STH Efficacy'!$AM:$AM, "Albendazole",
'STH Efficacy'!$AS:$AS,"&lt;2016",
'STH Efficacy'!$BP:$BP,""),
"")</f>
        <v/>
      </c>
      <c r="AW82" s="132">
        <f t="shared" si="15"/>
        <v>0.4143846154</v>
      </c>
      <c r="AX82" s="131" t="str">
        <f>IFERROR(AVERAGEIFS(
'STH Efficacy'!$AX:$AX, 
'STH Efficacy'!$AL:$AL, $A82, 
'STH Efficacy'!$AM:$AM, "Mebendazole",
'STH Efficacy'!$AS:$AS,"&lt;2016",
'STH Efficacy'!$BP:$BP,""),
"")</f>
        <v/>
      </c>
      <c r="AY82" s="132">
        <f t="shared" si="16"/>
        <v>0.4691770833</v>
      </c>
      <c r="AZ82" s="131" t="str">
        <f>IFERROR(AVERAGEIFS(
'STH Efficacy'!$AX:$AX, 
'STH Efficacy'!$AL:$AL, $A82, 
'STH Efficacy'!$AM:$AM, "Albendazole &amp; Ivermectin",
'STH Efficacy'!$AS:$AS,"&lt;2016",
'STH Efficacy'!$BP:$BP,""),
"")</f>
        <v/>
      </c>
      <c r="BA82" s="133">
        <f t="shared" si="17"/>
        <v>0.597625</v>
      </c>
      <c r="BB82" s="443" t="str">
        <f>IFERROR(AVERAGEIFS(
'STH Efficacy'!$N:$N, 
'STH Efficacy'!$B:$B, $A82, 
'STH Efficacy'!$C:$C, "Albendazole",
'STH Efficacy'!$I:$I,"&lt;2016",
'STH Efficacy'!$AH:$AH,""),
"")</f>
        <v/>
      </c>
      <c r="BC82" s="135">
        <f t="shared" si="18"/>
        <v>0.7613712121</v>
      </c>
      <c r="BD82" s="443" t="str">
        <f>IFERROR(AVERAGEIFS(
'STH Efficacy'!$N:$N, 
'STH Efficacy'!$B:$B, $A82, 
'STH Efficacy'!$C:$C, "Mebendazole",
'STH Efficacy'!$I:$I,"&lt;2016",
'STH Efficacy'!$AH:$AH,""),
"")</f>
        <v/>
      </c>
      <c r="BE82" s="135">
        <f t="shared" si="19"/>
        <v>0.4362466667</v>
      </c>
      <c r="BF82" s="436" t="str">
        <f>IFERROR(AVERAGEIFS(
'STH Efficacy'!$CD:$CD, 
'STH Efficacy'!$BS:$BS, $A82, 
'STH Efficacy'!$BT:$BT, "Albendazole",
'STH Efficacy'!$BZ:$BZ,"&lt;2016",
'STH Efficacy'!$CU:$CU,""),
"")</f>
        <v/>
      </c>
      <c r="BG82" s="136">
        <f t="shared" si="20"/>
        <v>0.9216027778</v>
      </c>
      <c r="BH82" s="436" t="str">
        <f>IFERROR(AVERAGEIFS(
'STH Efficacy'!$CD:$CD, 
'STH Efficacy'!$BS:$BS, $A82, 
'STH Efficacy'!$BT:$BT, "Mebendazole",
'STH Efficacy'!$BZ:$BZ,"&lt;2016",
'STH Efficacy'!$CU:$CU,""),
"")</f>
        <v/>
      </c>
      <c r="BI82" s="136">
        <f t="shared" si="21"/>
        <v>0.8866041667</v>
      </c>
      <c r="BJ82" s="436" t="str">
        <f>IFERROR(AVERAGEIFS(
'STH Efficacy'!$CD:$CD, 
'STH Efficacy'!$BS:$BS, $A82, 
'STH Efficacy'!$BT:$BT, "Albendazole &amp; Ivermectin",
'STH Efficacy'!$BZ:$BZ,"&lt;2016",
'STH Efficacy'!$CU:$CU,""),
"")</f>
        <v/>
      </c>
      <c r="BK82" s="136">
        <f t="shared" si="22"/>
        <v>0.848</v>
      </c>
      <c r="BL82" s="444" t="str">
        <f>IFERROR(
  AVERAGEIFS(
    'NEW Onchocerciasis Efficacy'!$AO:$AO,
    'NEW Onchocerciasis Efficacy'!$C:$C,$A82,
    'NEW Onchocerciasis Efficacy'!$D:$D,"Ivermectin",
    'NEW Onchocerciasis Efficacy'!$AR:$AR,"&lt;2016",
    'NEW Onchocerciasis Efficacy'!$BG:$BG,"")
,"")</f>
        <v/>
      </c>
      <c r="BM82" s="304">
        <f t="shared" si="23"/>
        <v>0.7808368939</v>
      </c>
      <c r="BN82" s="439">
        <v>0.0</v>
      </c>
      <c r="BO82" s="139">
        <v>0.0</v>
      </c>
      <c r="BP82" s="140">
        <v>0.0</v>
      </c>
      <c r="BQ82" s="141">
        <f t="shared" si="24"/>
        <v>0</v>
      </c>
      <c r="BR82" s="104" t="str">
        <f t="shared" si="25"/>
        <v>0000</v>
      </c>
      <c r="BS82" s="104" t="str">
        <f t="shared" si="26"/>
        <v>no action required</v>
      </c>
      <c r="BT82" s="142" t="str">
        <f t="shared" si="27"/>
        <v/>
      </c>
      <c r="BU82" s="104" t="str">
        <f t="shared" si="28"/>
        <v/>
      </c>
      <c r="BV82" s="104" t="str">
        <f t="shared" si="29"/>
        <v>none</v>
      </c>
      <c r="BW82" s="150" t="str">
        <f t="shared" si="30"/>
        <v/>
      </c>
      <c r="BX82" s="150" t="str">
        <f t="shared" si="31"/>
        <v/>
      </c>
      <c r="BY82" s="151" t="str">
        <f t="shared" si="32"/>
        <v/>
      </c>
      <c r="BZ82" s="152" t="str">
        <f t="shared" si="33"/>
        <v/>
      </c>
      <c r="CA82" s="152" t="str">
        <f t="shared" si="34"/>
        <v/>
      </c>
      <c r="CB82" s="152" t="str">
        <f t="shared" si="35"/>
        <v/>
      </c>
      <c r="CC82" s="153" t="str">
        <f t="shared" si="36"/>
        <v/>
      </c>
      <c r="CD82" s="153" t="str">
        <f t="shared" si="37"/>
        <v/>
      </c>
      <c r="CE82" s="154" t="str">
        <f t="shared" si="38"/>
        <v/>
      </c>
      <c r="CF82" s="154" t="str">
        <f t="shared" si="39"/>
        <v/>
      </c>
      <c r="CG82" s="154" t="str">
        <f t="shared" si="40"/>
        <v/>
      </c>
      <c r="CH82" s="308" t="str">
        <f t="shared" si="41"/>
        <v/>
      </c>
    </row>
    <row r="83">
      <c r="A83" s="103" t="s">
        <v>172</v>
      </c>
      <c r="B83" s="104" t="s">
        <v>90</v>
      </c>
      <c r="C83" s="468">
        <v>56114.0</v>
      </c>
      <c r="D83" s="161">
        <v>0.0</v>
      </c>
      <c r="E83" s="294">
        <v>0.0</v>
      </c>
      <c r="F83" s="307">
        <v>0.0</v>
      </c>
      <c r="G83" s="309">
        <v>0.0</v>
      </c>
      <c r="H83" s="108">
        <v>0.0</v>
      </c>
      <c r="I83" s="109">
        <v>0.0</v>
      </c>
      <c r="J83" s="109">
        <v>0.0</v>
      </c>
      <c r="K83" s="109">
        <v>0.0</v>
      </c>
      <c r="L83" s="112">
        <v>0.0</v>
      </c>
      <c r="M83" s="112">
        <v>0.0</v>
      </c>
      <c r="N83" s="112">
        <v>0.0</v>
      </c>
      <c r="O83" s="298">
        <v>0.0</v>
      </c>
      <c r="P83" s="114"/>
      <c r="Q83" s="114"/>
      <c r="R83" s="121" t="str">
        <f t="shared" si="4"/>
        <v/>
      </c>
      <c r="S83" s="116">
        <f t="shared" si="5"/>
        <v>0.5709301448</v>
      </c>
      <c r="T83" s="117"/>
      <c r="U83" s="118">
        <f t="shared" si="6"/>
        <v>0.4791888889</v>
      </c>
      <c r="V83" s="148"/>
      <c r="W83" s="120">
        <f t="shared" si="7"/>
        <v>0.0223</v>
      </c>
      <c r="X83" s="148"/>
      <c r="Y83" s="120">
        <f t="shared" si="8"/>
        <v>0.598275</v>
      </c>
      <c r="Z83" s="299"/>
      <c r="AA83" s="441"/>
      <c r="AB83" s="300" t="str">
        <f t="shared" si="9"/>
        <v/>
      </c>
      <c r="AC83" s="300">
        <f t="shared" si="10"/>
        <v>0.6890056172</v>
      </c>
      <c r="AD83" s="122">
        <v>0.0</v>
      </c>
      <c r="AE83" s="123">
        <v>0.0</v>
      </c>
      <c r="AF83" s="430">
        <v>0.0</v>
      </c>
      <c r="AG83" s="124">
        <v>0.0</v>
      </c>
      <c r="AH83" s="124">
        <v>0.0</v>
      </c>
      <c r="AI83" s="125">
        <v>0.0</v>
      </c>
      <c r="AJ83" s="125">
        <v>0.0</v>
      </c>
      <c r="AK83" s="127">
        <v>0.0</v>
      </c>
      <c r="AL83" s="127">
        <v>0.0</v>
      </c>
      <c r="AM83" s="302">
        <v>0.0</v>
      </c>
      <c r="AN83" s="149" t="str">
        <f>IFERROR(
  AVERAGEIFS(
    'New LF Efficacy'!$J:$J,
    'New LF Efficacy'!$D:$D, $A83,
    'New LF Efficacy'!$F:$F,"DEC", 
    'New LF Efficacy'!$W:$W,"&lt;2016",
    'New LF Efficacy'!$AA:$AA,""),
  ""
)</f>
        <v/>
      </c>
      <c r="AO83" s="115">
        <f t="shared" si="11"/>
        <v>0.3573520833</v>
      </c>
      <c r="AP83" s="149" t="str">
        <f>IFERROR(
AVERAGEIFS(
'New LF Efficacy'!$J:$J,
'New LF Efficacy'!$D:$D,$A83,
'New LF Efficacy'!$F:$F,"Albendazole &amp; DEC",
'New LF Efficacy'!$W:$W,"&lt;2016",
'New LF Efficacy'!$AA:$AA,""),
"")
</f>
        <v/>
      </c>
      <c r="AQ83" s="115">
        <f t="shared" si="12"/>
        <v>0.5143541667</v>
      </c>
      <c r="AR83" s="149" t="str">
        <f>IFERROR(
AVERAGEIFS(
'New LF Efficacy'!$J:$J,
'New LF Efficacy'!$D:$D,$A83,
'New LF Efficacy'!$F:$F,"Albendazole &amp; Ivermectin", 
'New LF Efficacy'!$W:$W,"&lt;2016",
'New LF Efficacy'!$AA:$AA,""),"")</f>
        <v/>
      </c>
      <c r="AS83" s="115">
        <f t="shared" si="13"/>
        <v>0.37153125</v>
      </c>
      <c r="AT83" s="442" t="str">
        <f>IFERROR(AVERAGEIFS(
'Schist Efficacy'!$O:$O, 
'Schist Efficacy'!$C:$C,$A83, 
'Schist Efficacy'!$D:$D, "Praziquantel",
'Schist Efficacy'!$J:$J,"&lt;2016",
'Schist Efficacy'!$U:$U,""),
"")</f>
        <v/>
      </c>
      <c r="AU83" s="118">
        <f t="shared" si="14"/>
        <v>0.655</v>
      </c>
      <c r="AV83" s="131" t="str">
        <f>IFERROR(AVERAGEIFS(
'STH Efficacy'!$AX:$AX, 
'STH Efficacy'!$AL:$AL, $A83, 
'STH Efficacy'!$AM:$AM, "Albendazole",
'STH Efficacy'!$AS:$AS,"&lt;2016",
'STH Efficacy'!$BP:$BP,""),
"")</f>
        <v/>
      </c>
      <c r="AW83" s="132">
        <f t="shared" si="15"/>
        <v>0.4143846154</v>
      </c>
      <c r="AX83" s="131" t="str">
        <f>IFERROR(AVERAGEIFS(
'STH Efficacy'!$AX:$AX, 
'STH Efficacy'!$AL:$AL, $A83, 
'STH Efficacy'!$AM:$AM, "Mebendazole",
'STH Efficacy'!$AS:$AS,"&lt;2016",
'STH Efficacy'!$BP:$BP,""),
"")</f>
        <v/>
      </c>
      <c r="AY83" s="132">
        <f t="shared" si="16"/>
        <v>0.4691770833</v>
      </c>
      <c r="AZ83" s="131" t="str">
        <f>IFERROR(AVERAGEIFS(
'STH Efficacy'!$AX:$AX, 
'STH Efficacy'!$AL:$AL, $A83, 
'STH Efficacy'!$AM:$AM, "Albendazole &amp; Ivermectin",
'STH Efficacy'!$AS:$AS,"&lt;2016",
'STH Efficacy'!$BP:$BP,""),
"")</f>
        <v/>
      </c>
      <c r="BA83" s="133">
        <f t="shared" si="17"/>
        <v>0.597625</v>
      </c>
      <c r="BB83" s="443" t="str">
        <f>IFERROR(AVERAGEIFS(
'STH Efficacy'!$N:$N, 
'STH Efficacy'!$B:$B, $A83, 
'STH Efficacy'!$C:$C, "Albendazole",
'STH Efficacy'!$I:$I,"&lt;2016",
'STH Efficacy'!$AH:$AH,""),
"")</f>
        <v/>
      </c>
      <c r="BC83" s="135">
        <f t="shared" si="18"/>
        <v>0.7613712121</v>
      </c>
      <c r="BD83" s="443" t="str">
        <f>IFERROR(AVERAGEIFS(
'STH Efficacy'!$N:$N, 
'STH Efficacy'!$B:$B, $A83, 
'STH Efficacy'!$C:$C, "Mebendazole",
'STH Efficacy'!$I:$I,"&lt;2016",
'STH Efficacy'!$AH:$AH,""),
"")</f>
        <v/>
      </c>
      <c r="BE83" s="135">
        <f t="shared" si="19"/>
        <v>0.4362466667</v>
      </c>
      <c r="BF83" s="436" t="str">
        <f>IFERROR(AVERAGEIFS(
'STH Efficacy'!$CD:$CD, 
'STH Efficacy'!$BS:$BS, $A83, 
'STH Efficacy'!$BT:$BT, "Albendazole",
'STH Efficacy'!$BZ:$BZ,"&lt;2016",
'STH Efficacy'!$CU:$CU,""),
"")</f>
        <v/>
      </c>
      <c r="BG83" s="136">
        <f t="shared" si="20"/>
        <v>0.9216027778</v>
      </c>
      <c r="BH83" s="436" t="str">
        <f>IFERROR(AVERAGEIFS(
'STH Efficacy'!$CD:$CD, 
'STH Efficacy'!$BS:$BS, $A83, 
'STH Efficacy'!$BT:$BT, "Mebendazole",
'STH Efficacy'!$BZ:$BZ,"&lt;2016",
'STH Efficacy'!$CU:$CU,""),
"")</f>
        <v/>
      </c>
      <c r="BI83" s="136">
        <f t="shared" si="21"/>
        <v>0.8866041667</v>
      </c>
      <c r="BJ83" s="436" t="str">
        <f>IFERROR(AVERAGEIFS(
'STH Efficacy'!$CD:$CD, 
'STH Efficacy'!$BS:$BS, $A83, 
'STH Efficacy'!$BT:$BT, "Albendazole &amp; Ivermectin",
'STH Efficacy'!$BZ:$BZ,"&lt;2016",
'STH Efficacy'!$CU:$CU,""),
"")</f>
        <v/>
      </c>
      <c r="BK83" s="136">
        <f t="shared" si="22"/>
        <v>0.848</v>
      </c>
      <c r="BL83" s="444" t="str">
        <f>IFERROR(
  AVERAGEIFS(
    'NEW Onchocerciasis Efficacy'!$AO:$AO,
    'NEW Onchocerciasis Efficacy'!$C:$C,$A83,
    'NEW Onchocerciasis Efficacy'!$D:$D,"Ivermectin",
    'NEW Onchocerciasis Efficacy'!$AR:$AR,"&lt;2016",
    'NEW Onchocerciasis Efficacy'!$BG:$BG,"")
,"")</f>
        <v/>
      </c>
      <c r="BM83" s="304">
        <f t="shared" si="23"/>
        <v>0.7808368939</v>
      </c>
      <c r="BN83" s="439">
        <v>0.0</v>
      </c>
      <c r="BO83" s="139">
        <v>0.0</v>
      </c>
      <c r="BP83" s="140">
        <v>0.0</v>
      </c>
      <c r="BQ83" s="141">
        <f t="shared" si="24"/>
        <v>0</v>
      </c>
      <c r="BR83" s="104" t="str">
        <f t="shared" si="25"/>
        <v>0000</v>
      </c>
      <c r="BS83" s="104" t="str">
        <f t="shared" si="26"/>
        <v>no action required</v>
      </c>
      <c r="BT83" s="142" t="str">
        <f t="shared" si="27"/>
        <v/>
      </c>
      <c r="BU83" s="104" t="str">
        <f t="shared" si="28"/>
        <v/>
      </c>
      <c r="BV83" s="104" t="str">
        <f t="shared" si="29"/>
        <v>none</v>
      </c>
      <c r="BW83" s="150" t="str">
        <f t="shared" si="30"/>
        <v/>
      </c>
      <c r="BX83" s="150" t="str">
        <f t="shared" si="31"/>
        <v/>
      </c>
      <c r="BY83" s="151" t="str">
        <f t="shared" si="32"/>
        <v/>
      </c>
      <c r="BZ83" s="152" t="str">
        <f t="shared" si="33"/>
        <v/>
      </c>
      <c r="CA83" s="152" t="str">
        <f t="shared" si="34"/>
        <v/>
      </c>
      <c r="CB83" s="152" t="str">
        <f t="shared" si="35"/>
        <v/>
      </c>
      <c r="CC83" s="153" t="str">
        <f t="shared" si="36"/>
        <v/>
      </c>
      <c r="CD83" s="153" t="str">
        <f t="shared" si="37"/>
        <v/>
      </c>
      <c r="CE83" s="154" t="str">
        <f t="shared" si="38"/>
        <v/>
      </c>
      <c r="CF83" s="154" t="str">
        <f t="shared" si="39"/>
        <v/>
      </c>
      <c r="CG83" s="154" t="str">
        <f t="shared" si="40"/>
        <v/>
      </c>
      <c r="CH83" s="308" t="str">
        <f t="shared" si="41"/>
        <v/>
      </c>
    </row>
    <row r="84">
      <c r="A84" s="103" t="s">
        <v>173</v>
      </c>
      <c r="B84" s="104" t="s">
        <v>98</v>
      </c>
      <c r="C84" s="428">
        <v>106823.0</v>
      </c>
      <c r="D84" s="161">
        <v>0.0</v>
      </c>
      <c r="E84" s="294">
        <v>0.0</v>
      </c>
      <c r="F84" s="295">
        <v>0.002709284</v>
      </c>
      <c r="G84" s="295">
        <v>0.016988019</v>
      </c>
      <c r="H84" s="108">
        <v>0.019697303</v>
      </c>
      <c r="I84" s="109">
        <v>3.40446732</v>
      </c>
      <c r="J84" s="109">
        <v>10.869342</v>
      </c>
      <c r="K84" s="109">
        <v>14.2738093</v>
      </c>
      <c r="L84" s="112">
        <v>0.497365292</v>
      </c>
      <c r="M84" s="112">
        <v>0.722733916</v>
      </c>
      <c r="N84" s="112">
        <v>1.220099208</v>
      </c>
      <c r="O84" s="298">
        <v>0.0</v>
      </c>
      <c r="P84" s="114"/>
      <c r="Q84" s="114"/>
      <c r="R84" s="121" t="str">
        <f t="shared" si="4"/>
        <v/>
      </c>
      <c r="S84" s="116">
        <f t="shared" si="5"/>
        <v>0.3565746084</v>
      </c>
      <c r="T84" s="117"/>
      <c r="U84" s="118">
        <f t="shared" si="6"/>
        <v>0.4791888889</v>
      </c>
      <c r="V84" s="148"/>
      <c r="W84" s="120">
        <f t="shared" si="7"/>
        <v>0.685</v>
      </c>
      <c r="X84" s="148"/>
      <c r="Y84" s="120">
        <f t="shared" si="8"/>
        <v>0.7550545455</v>
      </c>
      <c r="Z84" s="299"/>
      <c r="AA84" s="441"/>
      <c r="AB84" s="300" t="str">
        <f t="shared" si="9"/>
        <v/>
      </c>
      <c r="AC84" s="300">
        <f t="shared" si="10"/>
        <v>0.7101368438</v>
      </c>
      <c r="AD84" s="122">
        <v>0.0</v>
      </c>
      <c r="AE84" s="123">
        <v>0.0</v>
      </c>
      <c r="AF84" s="430">
        <v>0.0</v>
      </c>
      <c r="AG84" s="124">
        <v>0.0278</v>
      </c>
      <c r="AH84" s="124">
        <v>0.043509209</v>
      </c>
      <c r="AI84" s="125">
        <v>0.1019</v>
      </c>
      <c r="AJ84" s="125">
        <v>0.157848989</v>
      </c>
      <c r="AK84" s="127">
        <v>0.0699</v>
      </c>
      <c r="AL84" s="127">
        <v>0.109908065</v>
      </c>
      <c r="AM84" s="302">
        <v>0.0</v>
      </c>
      <c r="AN84" s="149" t="str">
        <f>IFERROR(
  AVERAGEIFS(
    'New LF Efficacy'!$J:$J,
    'New LF Efficacy'!$D:$D, $A84,
    'New LF Efficacy'!$F:$F,"DEC", 
    'New LF Efficacy'!$W:$W,"&lt;2016",
    'New LF Efficacy'!$AA:$AA,""),
  ""
)</f>
        <v/>
      </c>
      <c r="AO84" s="115">
        <f t="shared" si="11"/>
        <v>0.2589833333</v>
      </c>
      <c r="AP84" s="149" t="str">
        <f>IFERROR(
AVERAGEIFS(
'New LF Efficacy'!$J:$J,
'New LF Efficacy'!$D:$D,$A84,
'New LF Efficacy'!$F:$F,"Albendazole &amp; DEC",
'New LF Efficacy'!$W:$W,"&lt;2016",
'New LF Efficacy'!$AA:$AA,""),
"")
</f>
        <v/>
      </c>
      <c r="AQ84" s="115">
        <f t="shared" si="12"/>
        <v>0.3465</v>
      </c>
      <c r="AR84" s="149" t="str">
        <f>IFERROR(
AVERAGEIFS(
'New LF Efficacy'!$J:$J,
'New LF Efficacy'!$D:$D,$A84,
'New LF Efficacy'!$F:$F,"Albendazole &amp; Ivermectin", 
'New LF Efficacy'!$W:$W,"&lt;2016",
'New LF Efficacy'!$AA:$AA,""),"")</f>
        <v/>
      </c>
      <c r="AS84" s="115">
        <f t="shared" si="13"/>
        <v>0.7575</v>
      </c>
      <c r="AT84" s="442" t="str">
        <f>IFERROR(AVERAGEIFS(
'Schist Efficacy'!$O:$O, 
'Schist Efficacy'!$C:$C,$A84, 
'Schist Efficacy'!$D:$D, "Praziquantel",
'Schist Efficacy'!$J:$J,"&lt;2016",
'Schist Efficacy'!$U:$U,""),
"")</f>
        <v/>
      </c>
      <c r="AU84" s="118">
        <f t="shared" si="14"/>
        <v>0.7914761905</v>
      </c>
      <c r="AV84" s="131" t="str">
        <f>IFERROR(AVERAGEIFS(
'STH Efficacy'!$AX:$AX, 
'STH Efficacy'!$AL:$AL, $A84, 
'STH Efficacy'!$AM:$AM, "Albendazole",
'STH Efficacy'!$AS:$AS,"&lt;2016",
'STH Efficacy'!$BP:$BP,""),
"")</f>
        <v/>
      </c>
      <c r="AW84" s="132">
        <f t="shared" si="15"/>
        <v>0.3945</v>
      </c>
      <c r="AX84" s="131" t="str">
        <f>IFERROR(AVERAGEIFS(
'STH Efficacy'!$AX:$AX, 
'STH Efficacy'!$AL:$AL, $A84, 
'STH Efficacy'!$AM:$AM, "Mebendazole",
'STH Efficacy'!$AS:$AS,"&lt;2016",
'STH Efficacy'!$BP:$BP,""),
"")</f>
        <v/>
      </c>
      <c r="AY84" s="132">
        <f t="shared" si="16"/>
        <v>0.6</v>
      </c>
      <c r="AZ84" s="131" t="str">
        <f>IFERROR(AVERAGEIFS(
'STH Efficacy'!$AX:$AX, 
'STH Efficacy'!$AL:$AL, $A84, 
'STH Efficacy'!$AM:$AM, "Albendazole &amp; Ivermectin",
'STH Efficacy'!$AS:$AS,"&lt;2016",
'STH Efficacy'!$BP:$BP,""),
"")</f>
        <v/>
      </c>
      <c r="BA84" s="133">
        <f t="shared" si="17"/>
        <v>0.796</v>
      </c>
      <c r="BB84" s="443" t="str">
        <f>IFERROR(AVERAGEIFS(
'STH Efficacy'!$N:$N, 
'STH Efficacy'!$B:$B, $A84, 
'STH Efficacy'!$C:$C, "Albendazole",
'STH Efficacy'!$I:$I,"&lt;2016",
'STH Efficacy'!$AH:$AH,""),
"")</f>
        <v/>
      </c>
      <c r="BC84" s="135">
        <f t="shared" si="18"/>
        <v>0.869</v>
      </c>
      <c r="BD84" s="443" t="str">
        <f>IFERROR(AVERAGEIFS(
'STH Efficacy'!$N:$N, 
'STH Efficacy'!$B:$B, $A84, 
'STH Efficacy'!$C:$C, "Mebendazole",
'STH Efficacy'!$I:$I,"&lt;2016",
'STH Efficacy'!$AH:$AH,""),
"")</f>
        <v/>
      </c>
      <c r="BE84" s="135">
        <f t="shared" si="19"/>
        <v>0.172</v>
      </c>
      <c r="BF84" s="436" t="str">
        <f>IFERROR(AVERAGEIFS(
'STH Efficacy'!$CD:$CD, 
'STH Efficacy'!$BS:$BS, $A84, 
'STH Efficacy'!$BT:$BT, "Albendazole",
'STH Efficacy'!$BZ:$BZ,"&lt;2016",
'STH Efficacy'!$CU:$CU,""),
"")</f>
        <v/>
      </c>
      <c r="BG84" s="136">
        <f t="shared" si="20"/>
        <v>0.9862</v>
      </c>
      <c r="BH84" s="436" t="str">
        <f>IFERROR(AVERAGEIFS(
'STH Efficacy'!$CD:$CD, 
'STH Efficacy'!$BS:$BS, $A84, 
'STH Efficacy'!$BT:$BT, "Mebendazole",
'STH Efficacy'!$BZ:$BZ,"&lt;2016",
'STH Efficacy'!$CU:$CU,""),
"")</f>
        <v/>
      </c>
      <c r="BI84" s="136">
        <f t="shared" si="21"/>
        <v>0.769</v>
      </c>
      <c r="BJ84" s="436" t="str">
        <f>IFERROR(AVERAGEIFS(
'STH Efficacy'!$CD:$CD, 
'STH Efficacy'!$BS:$BS, $A84, 
'STH Efficacy'!$BT:$BT, "Albendazole &amp; Ivermectin",
'STH Efficacy'!$BZ:$BZ,"&lt;2016",
'STH Efficacy'!$CU:$CU,""),
"")</f>
        <v/>
      </c>
      <c r="BK84" s="136">
        <f t="shared" si="22"/>
        <v>1</v>
      </c>
      <c r="BL84" s="444" t="str">
        <f>IFERROR(
  AVERAGEIFS(
    'NEW Onchocerciasis Efficacy'!$AO:$AO,
    'NEW Onchocerciasis Efficacy'!$C:$C,$A84,
    'NEW Onchocerciasis Efficacy'!$D:$D,"Ivermectin",
    'NEW Onchocerciasis Efficacy'!$AR:$AR,"&lt;2016",
    'NEW Onchocerciasis Efficacy'!$BG:$BG,"")
,"")</f>
        <v/>
      </c>
      <c r="BM84" s="304">
        <f t="shared" si="23"/>
        <v>0.3734</v>
      </c>
      <c r="BN84" s="439">
        <v>0.0</v>
      </c>
      <c r="BO84" s="139">
        <v>0.0</v>
      </c>
      <c r="BP84" s="140">
        <v>0.0</v>
      </c>
      <c r="BQ84" s="141">
        <f t="shared" si="24"/>
        <v>0</v>
      </c>
      <c r="BR84" s="104" t="str">
        <f t="shared" si="25"/>
        <v>0000</v>
      </c>
      <c r="BS84" s="104" t="str">
        <f t="shared" si="26"/>
        <v>no action required</v>
      </c>
      <c r="BT84" s="142" t="str">
        <f t="shared" si="27"/>
        <v/>
      </c>
      <c r="BU84" s="104" t="str">
        <f t="shared" si="28"/>
        <v/>
      </c>
      <c r="BV84" s="104" t="str">
        <f t="shared" si="29"/>
        <v>none</v>
      </c>
      <c r="BW84" s="150" t="str">
        <f t="shared" si="30"/>
        <v/>
      </c>
      <c r="BX84" s="150" t="str">
        <f t="shared" si="31"/>
        <v/>
      </c>
      <c r="BY84" s="151" t="str">
        <f t="shared" si="32"/>
        <v/>
      </c>
      <c r="BZ84" s="152" t="str">
        <f t="shared" si="33"/>
        <v/>
      </c>
      <c r="CA84" s="152" t="str">
        <f t="shared" si="34"/>
        <v/>
      </c>
      <c r="CB84" s="152" t="str">
        <f t="shared" si="35"/>
        <v/>
      </c>
      <c r="CC84" s="153" t="str">
        <f t="shared" si="36"/>
        <v/>
      </c>
      <c r="CD84" s="153" t="str">
        <f t="shared" si="37"/>
        <v/>
      </c>
      <c r="CE84" s="154" t="str">
        <f t="shared" si="38"/>
        <v/>
      </c>
      <c r="CF84" s="154" t="str">
        <f t="shared" si="39"/>
        <v/>
      </c>
      <c r="CG84" s="154" t="str">
        <f t="shared" si="40"/>
        <v/>
      </c>
      <c r="CH84" s="308" t="str">
        <f t="shared" si="41"/>
        <v/>
      </c>
    </row>
    <row r="85">
      <c r="A85" s="155" t="s">
        <v>174</v>
      </c>
      <c r="B85" s="104" t="s">
        <v>94</v>
      </c>
      <c r="C85" s="428">
        <v>161797.0</v>
      </c>
      <c r="D85" s="161">
        <v>0.0</v>
      </c>
      <c r="E85" s="294">
        <v>0.0</v>
      </c>
      <c r="F85" s="307">
        <v>0.0</v>
      </c>
      <c r="G85" s="309">
        <v>0.0</v>
      </c>
      <c r="H85" s="108">
        <v>0.0</v>
      </c>
      <c r="I85" s="109">
        <v>0.00977392</v>
      </c>
      <c r="J85" s="109">
        <v>0.00722856</v>
      </c>
      <c r="K85" s="109">
        <v>0.017002485</v>
      </c>
      <c r="L85" s="112">
        <v>0.578901491</v>
      </c>
      <c r="M85" s="112">
        <v>0.266217366</v>
      </c>
      <c r="N85" s="112">
        <v>0.845118858</v>
      </c>
      <c r="O85" s="324">
        <v>0.0</v>
      </c>
      <c r="P85" s="114"/>
      <c r="Q85" s="114"/>
      <c r="R85" s="121" t="str">
        <f t="shared" si="4"/>
        <v/>
      </c>
      <c r="S85" s="116">
        <f t="shared" si="5"/>
        <v>0.3783554476</v>
      </c>
      <c r="T85" s="117"/>
      <c r="U85" s="118">
        <f t="shared" si="6"/>
        <v>0.73965</v>
      </c>
      <c r="V85" s="148"/>
      <c r="W85" s="120">
        <f t="shared" si="7"/>
        <v>0.6141272727</v>
      </c>
      <c r="X85" s="148"/>
      <c r="Y85" s="120">
        <f t="shared" si="8"/>
        <v>0.6018090909</v>
      </c>
      <c r="Z85" s="299"/>
      <c r="AA85" s="441"/>
      <c r="AB85" s="300" t="str">
        <f t="shared" si="9"/>
        <v/>
      </c>
      <c r="AC85" s="300">
        <f t="shared" si="10"/>
        <v>0.6890056172</v>
      </c>
      <c r="AD85" s="122">
        <v>0.0</v>
      </c>
      <c r="AE85" s="123">
        <v>0.0</v>
      </c>
      <c r="AF85" s="430">
        <v>0.0</v>
      </c>
      <c r="AG85" s="124">
        <v>1.0E-4</v>
      </c>
      <c r="AH85" s="124">
        <v>8.51234E-5</v>
      </c>
      <c r="AI85" s="125">
        <v>1.0E-4</v>
      </c>
      <c r="AJ85" s="125">
        <v>8.60804E-5</v>
      </c>
      <c r="AK85" s="127">
        <v>1.0E-4</v>
      </c>
      <c r="AL85" s="127">
        <v>8.56995E-5</v>
      </c>
      <c r="AM85" s="302">
        <v>0.0</v>
      </c>
      <c r="AN85" s="149" t="str">
        <f>IFERROR(
  AVERAGEIFS(
    'New LF Efficacy'!$J:$J,
    'New LF Efficacy'!$D:$D, $A85,
    'New LF Efficacy'!$F:$F,"DEC", 
    'New LF Efficacy'!$W:$W,"&lt;2016",
    'New LF Efficacy'!$AA:$AA,""),
  ""
)</f>
        <v/>
      </c>
      <c r="AO85" s="115">
        <f t="shared" si="11"/>
        <v>0.38</v>
      </c>
      <c r="AP85" s="149" t="str">
        <f>IFERROR(
AVERAGEIFS(
'New LF Efficacy'!$J:$J,
'New LF Efficacy'!$D:$D,$A85,
'New LF Efficacy'!$F:$F,"Albendazole &amp; DEC",
'New LF Efficacy'!$W:$W,"&lt;2016",
'New LF Efficacy'!$AA:$AA,""),
"")
</f>
        <v/>
      </c>
      <c r="AQ85" s="115">
        <f t="shared" si="12"/>
        <v>0.662</v>
      </c>
      <c r="AR85" s="149" t="str">
        <f>IFERROR(
AVERAGEIFS(
'New LF Efficacy'!$J:$J,
'New LF Efficacy'!$D:$D,$A85,
'New LF Efficacy'!$F:$F,"Albendazole &amp; Ivermectin", 
'New LF Efficacy'!$W:$W,"&lt;2016",
'New LF Efficacy'!$AA:$AA,""),"")</f>
        <v/>
      </c>
      <c r="AS85" s="115">
        <f t="shared" si="13"/>
        <v>0.37153125</v>
      </c>
      <c r="AT85" s="442" t="str">
        <f>IFERROR(AVERAGEIFS(
'Schist Efficacy'!$O:$O, 
'Schist Efficacy'!$C:$C,$A85, 
'Schist Efficacy'!$D:$D, "Praziquantel",
'Schist Efficacy'!$J:$J,"&lt;2016",
'Schist Efficacy'!$U:$U,""),
"")</f>
        <v/>
      </c>
      <c r="AU85" s="118">
        <f t="shared" si="14"/>
        <v>0.9475</v>
      </c>
      <c r="AV85" s="131" t="str">
        <f>IFERROR(AVERAGEIFS(
'STH Efficacy'!$AX:$AX, 
'STH Efficacy'!$AL:$AL, $A85, 
'STH Efficacy'!$AM:$AM, "Albendazole",
'STH Efficacy'!$AS:$AS,"&lt;2016",
'STH Efficacy'!$BP:$BP,""),
"")</f>
        <v/>
      </c>
      <c r="AW85" s="132">
        <f t="shared" si="15"/>
        <v>0.3571666667</v>
      </c>
      <c r="AX85" s="131" t="str">
        <f>IFERROR(AVERAGEIFS(
'STH Efficacy'!$AX:$AX, 
'STH Efficacy'!$AL:$AL, $A85, 
'STH Efficacy'!$AM:$AM, "Mebendazole",
'STH Efficacy'!$AS:$AS,"&lt;2016",
'STH Efficacy'!$BP:$BP,""),
"")</f>
        <v/>
      </c>
      <c r="AY85" s="132">
        <f t="shared" si="16"/>
        <v>0.4155</v>
      </c>
      <c r="AZ85" s="131" t="str">
        <f>IFERROR(AVERAGEIFS(
'STH Efficacy'!$AX:$AX, 
'STH Efficacy'!$AL:$AL, $A85, 
'STH Efficacy'!$AM:$AM, "Albendazole &amp; Ivermectin",
'STH Efficacy'!$AS:$AS,"&lt;2016",
'STH Efficacy'!$BP:$BP,""),
"")</f>
        <v/>
      </c>
      <c r="BA85" s="133">
        <f t="shared" si="17"/>
        <v>0.651</v>
      </c>
      <c r="BB85" s="443" t="str">
        <f>IFERROR(AVERAGEIFS(
'STH Efficacy'!$N:$N, 
'STH Efficacy'!$B:$B, $A85, 
'STH Efficacy'!$C:$C, "Albendazole",
'STH Efficacy'!$I:$I,"&lt;2016",
'STH Efficacy'!$AH:$AH,""),
"")</f>
        <v/>
      </c>
      <c r="BC85" s="135">
        <f t="shared" si="18"/>
        <v>0.5769166667</v>
      </c>
      <c r="BD85" s="443" t="str">
        <f>IFERROR(AVERAGEIFS(
'STH Efficacy'!$N:$N, 
'STH Efficacy'!$B:$B, $A85, 
'STH Efficacy'!$C:$C, "Mebendazole",
'STH Efficacy'!$I:$I,"&lt;2016",
'STH Efficacy'!$AH:$AH,""),
"")</f>
        <v/>
      </c>
      <c r="BE85" s="135">
        <f t="shared" si="19"/>
        <v>0.3145</v>
      </c>
      <c r="BF85" s="436" t="str">
        <f>IFERROR(AVERAGEIFS(
'STH Efficacy'!$CD:$CD, 
'STH Efficacy'!$BS:$BS, $A85, 
'STH Efficacy'!$BT:$BT, "Albendazole",
'STH Efficacy'!$BZ:$BZ,"&lt;2016",
'STH Efficacy'!$CU:$CU,""),
"")</f>
        <v/>
      </c>
      <c r="BG85" s="136">
        <f t="shared" si="20"/>
        <v>0.96925</v>
      </c>
      <c r="BH85" s="436" t="str">
        <f>IFERROR(AVERAGEIFS(
'STH Efficacy'!$CD:$CD, 
'STH Efficacy'!$BS:$BS, $A85, 
'STH Efficacy'!$BT:$BT, "Mebendazole",
'STH Efficacy'!$BZ:$BZ,"&lt;2016",
'STH Efficacy'!$CU:$CU,""),
"")</f>
        <v/>
      </c>
      <c r="BI85" s="136">
        <f t="shared" si="21"/>
        <v>0.9305</v>
      </c>
      <c r="BJ85" s="436" t="str">
        <f>IFERROR(AVERAGEIFS(
'STH Efficacy'!$CD:$CD, 
'STH Efficacy'!$BS:$BS, $A85, 
'STH Efficacy'!$BT:$BT, "Albendazole &amp; Ivermectin",
'STH Efficacy'!$BZ:$BZ,"&lt;2016",
'STH Efficacy'!$CU:$CU,""),
"")</f>
        <v/>
      </c>
      <c r="BK85" s="136">
        <f t="shared" si="22"/>
        <v>0.848</v>
      </c>
      <c r="BL85" s="444" t="str">
        <f>IFERROR(
  AVERAGEIFS(
    'NEW Onchocerciasis Efficacy'!$AO:$AO,
    'NEW Onchocerciasis Efficacy'!$C:$C,$A85,
    'NEW Onchocerciasis Efficacy'!$D:$D,"Ivermectin",
    'NEW Onchocerciasis Efficacy'!$AR:$AR,"&lt;2016",
    'NEW Onchocerciasis Efficacy'!$BG:$BG,"")
,"")</f>
        <v/>
      </c>
      <c r="BM85" s="304">
        <f t="shared" si="23"/>
        <v>0.7808368939</v>
      </c>
      <c r="BN85" s="439">
        <v>0.0</v>
      </c>
      <c r="BO85" s="139">
        <v>0.0</v>
      </c>
      <c r="BP85" s="140">
        <v>1.0</v>
      </c>
      <c r="BQ85" s="141">
        <f t="shared" si="24"/>
        <v>0</v>
      </c>
      <c r="BR85" s="104" t="str">
        <f t="shared" si="25"/>
        <v>0010</v>
      </c>
      <c r="BS85" s="104" t="str">
        <f t="shared" si="26"/>
        <v>T2</v>
      </c>
      <c r="BT85" s="142" t="str">
        <f t="shared" si="27"/>
        <v>PZQ</v>
      </c>
      <c r="BU85" s="104" t="str">
        <f t="shared" si="28"/>
        <v>PZQ</v>
      </c>
      <c r="BV85" s="104" t="str">
        <f t="shared" si="29"/>
        <v>schist only</v>
      </c>
      <c r="BW85" s="150" t="str">
        <f t="shared" si="30"/>
        <v/>
      </c>
      <c r="BX85" s="150" t="str">
        <f t="shared" si="31"/>
        <v/>
      </c>
      <c r="BY85" s="162">
        <f t="shared" si="32"/>
        <v>0</v>
      </c>
      <c r="BZ85" s="152" t="str">
        <f t="shared" si="33"/>
        <v/>
      </c>
      <c r="CA85" s="152" t="str">
        <f t="shared" si="34"/>
        <v/>
      </c>
      <c r="CB85" s="152" t="str">
        <f t="shared" si="35"/>
        <v/>
      </c>
      <c r="CC85" s="153" t="str">
        <f t="shared" si="36"/>
        <v/>
      </c>
      <c r="CD85" s="153" t="str">
        <f t="shared" si="37"/>
        <v/>
      </c>
      <c r="CE85" s="154" t="str">
        <f t="shared" si="38"/>
        <v/>
      </c>
      <c r="CF85" s="154" t="str">
        <f t="shared" si="39"/>
        <v/>
      </c>
      <c r="CG85" s="154" t="str">
        <f t="shared" si="40"/>
        <v/>
      </c>
      <c r="CH85" s="308" t="str">
        <f t="shared" si="41"/>
        <v/>
      </c>
    </row>
    <row r="86">
      <c r="A86" s="103" t="s">
        <v>175</v>
      </c>
      <c r="B86" s="104" t="s">
        <v>98</v>
      </c>
      <c r="C86" s="428">
        <v>1.6252429E7</v>
      </c>
      <c r="D86" s="161">
        <v>0.0</v>
      </c>
      <c r="E86" s="294">
        <v>0.0</v>
      </c>
      <c r="F86" s="295">
        <v>459.39948</v>
      </c>
      <c r="G86" s="295">
        <v>487.835811</v>
      </c>
      <c r="H86" s="157">
        <v>947.235291</v>
      </c>
      <c r="I86" s="110">
        <v>1580.94745</v>
      </c>
      <c r="J86" s="110">
        <v>2641.24542</v>
      </c>
      <c r="K86" s="110">
        <v>4222.192863</v>
      </c>
      <c r="L86" s="111">
        <v>1144.110919</v>
      </c>
      <c r="M86" s="112">
        <v>318.2921845</v>
      </c>
      <c r="N86" s="112">
        <v>1462.403104</v>
      </c>
      <c r="O86" s="324">
        <v>6.78275E-78</v>
      </c>
      <c r="P86" s="114"/>
      <c r="Q86" s="114"/>
      <c r="R86" s="121" t="str">
        <f t="shared" si="4"/>
        <v/>
      </c>
      <c r="S86" s="116">
        <f t="shared" si="5"/>
        <v>0.3565746084</v>
      </c>
      <c r="T86" s="117"/>
      <c r="U86" s="118">
        <f t="shared" si="6"/>
        <v>0.4791888889</v>
      </c>
      <c r="V86" s="119">
        <v>0.5165</v>
      </c>
      <c r="W86" s="120">
        <f t="shared" si="7"/>
        <v>0.5165</v>
      </c>
      <c r="X86" s="119">
        <v>0.9789</v>
      </c>
      <c r="Y86" s="120">
        <f t="shared" si="8"/>
        <v>0.9789</v>
      </c>
      <c r="Z86" s="298" t="s">
        <v>391</v>
      </c>
      <c r="AA86" s="298" t="s">
        <v>373</v>
      </c>
      <c r="AB86" s="300" t="str">
        <f t="shared" si="9"/>
        <v/>
      </c>
      <c r="AC86" s="300">
        <f t="shared" si="10"/>
        <v>0.7101368438</v>
      </c>
      <c r="AD86" s="122">
        <v>0.0</v>
      </c>
      <c r="AE86" s="123">
        <v>0.0</v>
      </c>
      <c r="AF86" s="430">
        <v>0.0</v>
      </c>
      <c r="AG86" s="316">
        <v>0.0</v>
      </c>
      <c r="AH86" s="316">
        <v>0.185676988</v>
      </c>
      <c r="AI86" s="317">
        <v>0.0</v>
      </c>
      <c r="AJ86" s="317">
        <v>0.160692702</v>
      </c>
      <c r="AK86" s="319">
        <v>0.0</v>
      </c>
      <c r="AL86" s="319">
        <v>0.097343404</v>
      </c>
      <c r="AM86" s="302">
        <v>0.0</v>
      </c>
      <c r="AN86" s="149" t="str">
        <f>IFERROR(
  AVERAGEIFS(
    'New LF Efficacy'!$J:$J,
    'New LF Efficacy'!$D:$D, $A86,
    'New LF Efficacy'!$F:$F,"DEC", 
    'New LF Efficacy'!$W:$W,"&lt;2016",
    'New LF Efficacy'!$AA:$AA,""),
  ""
)</f>
        <v/>
      </c>
      <c r="AO86" s="115">
        <f t="shared" si="11"/>
        <v>0.2589833333</v>
      </c>
      <c r="AP86" s="149" t="str">
        <f>IFERROR(
AVERAGEIFS(
'New LF Efficacy'!$J:$J,
'New LF Efficacy'!$D:$D,$A86,
'New LF Efficacy'!$F:$F,"Albendazole &amp; DEC",
'New LF Efficacy'!$W:$W,"&lt;2016",
'New LF Efficacy'!$AA:$AA,""),
"")
</f>
        <v/>
      </c>
      <c r="AQ86" s="115">
        <f t="shared" si="12"/>
        <v>0.3465</v>
      </c>
      <c r="AR86" s="149" t="str">
        <f>IFERROR(
AVERAGEIFS(
'New LF Efficacy'!$J:$J,
'New LF Efficacy'!$D:$D,$A86,
'New LF Efficacy'!$F:$F,"Albendazole &amp; Ivermectin", 
'New LF Efficacy'!$W:$W,"&lt;2016",
'New LF Efficacy'!$AA:$AA,""),"")</f>
        <v/>
      </c>
      <c r="AS86" s="115">
        <f t="shared" si="13"/>
        <v>0.7575</v>
      </c>
      <c r="AT86" s="442" t="str">
        <f>IFERROR(AVERAGEIFS(
'Schist Efficacy'!$O:$O, 
'Schist Efficacy'!$C:$C,$A86, 
'Schist Efficacy'!$D:$D, "Praziquantel",
'Schist Efficacy'!$J:$J,"&lt;2016",
'Schist Efficacy'!$U:$U,""),
"")</f>
        <v/>
      </c>
      <c r="AU86" s="118">
        <f t="shared" si="14"/>
        <v>0.7914761905</v>
      </c>
      <c r="AV86" s="131" t="str">
        <f>IFERROR(AVERAGEIFS(
'STH Efficacy'!$AX:$AX, 
'STH Efficacy'!$AL:$AL, $A86, 
'STH Efficacy'!$AM:$AM, "Albendazole",
'STH Efficacy'!$AS:$AS,"&lt;2016",
'STH Efficacy'!$BP:$BP,""),
"")</f>
        <v/>
      </c>
      <c r="AW86" s="132">
        <f t="shared" si="15"/>
        <v>0.3945</v>
      </c>
      <c r="AX86" s="131" t="str">
        <f>IFERROR(AVERAGEIFS(
'STH Efficacy'!$AX:$AX, 
'STH Efficacy'!$AL:$AL, $A86, 
'STH Efficacy'!$AM:$AM, "Mebendazole",
'STH Efficacy'!$AS:$AS,"&lt;2016",
'STH Efficacy'!$BP:$BP,""),
"")</f>
        <v/>
      </c>
      <c r="AY86" s="132">
        <f t="shared" si="16"/>
        <v>0.6</v>
      </c>
      <c r="AZ86" s="131" t="str">
        <f>IFERROR(AVERAGEIFS(
'STH Efficacy'!$AX:$AX, 
'STH Efficacy'!$AL:$AL, $A86, 
'STH Efficacy'!$AM:$AM, "Albendazole &amp; Ivermectin",
'STH Efficacy'!$AS:$AS,"&lt;2016",
'STH Efficacy'!$BP:$BP,""),
"")</f>
        <v/>
      </c>
      <c r="BA86" s="133">
        <f t="shared" si="17"/>
        <v>0.796</v>
      </c>
      <c r="BB86" s="443" t="str">
        <f>IFERROR(AVERAGEIFS(
'STH Efficacy'!$N:$N, 
'STH Efficacy'!$B:$B, $A86, 
'STH Efficacy'!$C:$C, "Albendazole",
'STH Efficacy'!$I:$I,"&lt;2016",
'STH Efficacy'!$AH:$AH,""),
"")</f>
        <v/>
      </c>
      <c r="BC86" s="135">
        <f t="shared" si="18"/>
        <v>0.869</v>
      </c>
      <c r="BD86" s="443" t="str">
        <f>IFERROR(AVERAGEIFS(
'STH Efficacy'!$N:$N, 
'STH Efficacy'!$B:$B, $A86, 
'STH Efficacy'!$C:$C, "Mebendazole",
'STH Efficacy'!$I:$I,"&lt;2016",
'STH Efficacy'!$AH:$AH,""),
"")</f>
        <v/>
      </c>
      <c r="BE86" s="135">
        <f t="shared" si="19"/>
        <v>0.172</v>
      </c>
      <c r="BF86" s="436" t="str">
        <f>IFERROR(AVERAGEIFS(
'STH Efficacy'!$CD:$CD, 
'STH Efficacy'!$BS:$BS, $A86, 
'STH Efficacy'!$BT:$BT, "Albendazole",
'STH Efficacy'!$BZ:$BZ,"&lt;2016",
'STH Efficacy'!$CU:$CU,""),
"")</f>
        <v/>
      </c>
      <c r="BG86" s="136">
        <f t="shared" si="20"/>
        <v>0.9862</v>
      </c>
      <c r="BH86" s="436" t="str">
        <f>IFERROR(AVERAGEIFS(
'STH Efficacy'!$CD:$CD, 
'STH Efficacy'!$BS:$BS, $A86, 
'STH Efficacy'!$BT:$BT, "Mebendazole",
'STH Efficacy'!$BZ:$BZ,"&lt;2016",
'STH Efficacy'!$CU:$CU,""),
"")</f>
        <v/>
      </c>
      <c r="BI86" s="136">
        <f t="shared" si="21"/>
        <v>0.769</v>
      </c>
      <c r="BJ86" s="436" t="str">
        <f>IFERROR(AVERAGEIFS(
'STH Efficacy'!$CD:$CD, 
'STH Efficacy'!$BS:$BS, $A86, 
'STH Efficacy'!$BT:$BT, "Albendazole &amp; Ivermectin",
'STH Efficacy'!$BZ:$BZ,"&lt;2016",
'STH Efficacy'!$CU:$CU,""),
"")</f>
        <v/>
      </c>
      <c r="BK86" s="136">
        <f t="shared" si="22"/>
        <v>1</v>
      </c>
      <c r="BL86" s="444">
        <f>IFERROR(
  AVERAGEIFS(
    'NEW Onchocerciasis Efficacy'!$AO:$AO,
    'NEW Onchocerciasis Efficacy'!$C:$C,$A86,
    'NEW Onchocerciasis Efficacy'!$D:$D,"Ivermectin",
    'NEW Onchocerciasis Efficacy'!$AR:$AR,"&lt;2016",
    'NEW Onchocerciasis Efficacy'!$BG:$BG,"")
,"")</f>
        <v>0.3734</v>
      </c>
      <c r="BM86" s="304">
        <f t="shared" si="23"/>
        <v>0.3734</v>
      </c>
      <c r="BN86" s="439">
        <v>0.0</v>
      </c>
      <c r="BO86" s="139">
        <v>1.0</v>
      </c>
      <c r="BP86" s="140">
        <v>1.0</v>
      </c>
      <c r="BQ86" s="141">
        <f t="shared" si="24"/>
        <v>0</v>
      </c>
      <c r="BR86" s="104" t="str">
        <f t="shared" si="25"/>
        <v>0110</v>
      </c>
      <c r="BS86" s="104" t="str">
        <f t="shared" si="26"/>
        <v>MDA3+T2</v>
      </c>
      <c r="BT86" s="142" t="str">
        <f t="shared" si="27"/>
        <v>IVM</v>
      </c>
      <c r="BU86" s="104" t="str">
        <f t="shared" si="28"/>
        <v>PZQ</v>
      </c>
      <c r="BV86" s="104" t="str">
        <f t="shared" si="29"/>
        <v>onch+schist</v>
      </c>
      <c r="BW86" s="150" t="str">
        <f t="shared" si="30"/>
        <v/>
      </c>
      <c r="BX86" s="150" t="str">
        <f t="shared" si="31"/>
        <v/>
      </c>
      <c r="BY86" s="162">
        <f t="shared" si="32"/>
        <v>0</v>
      </c>
      <c r="BZ86" s="152" t="str">
        <f t="shared" si="33"/>
        <v/>
      </c>
      <c r="CA86" s="152" t="str">
        <f t="shared" si="34"/>
        <v/>
      </c>
      <c r="CB86" s="152" t="str">
        <f t="shared" si="35"/>
        <v/>
      </c>
      <c r="CC86" s="153" t="str">
        <f t="shared" si="36"/>
        <v/>
      </c>
      <c r="CD86" s="153" t="str">
        <f t="shared" si="37"/>
        <v/>
      </c>
      <c r="CE86" s="154" t="str">
        <f t="shared" si="38"/>
        <v/>
      </c>
      <c r="CF86" s="154" t="str">
        <f t="shared" si="39"/>
        <v/>
      </c>
      <c r="CG86" s="154" t="str">
        <f t="shared" si="40"/>
        <v/>
      </c>
      <c r="CH86" s="313">
        <f t="shared" si="41"/>
        <v>0</v>
      </c>
    </row>
    <row r="87">
      <c r="A87" s="103" t="s">
        <v>176</v>
      </c>
      <c r="B87" s="104" t="s">
        <v>92</v>
      </c>
      <c r="C87" s="428">
        <v>1.2091533E7</v>
      </c>
      <c r="D87" s="161">
        <v>13042.720000000001</v>
      </c>
      <c r="E87" s="294">
        <v>34495.22312</v>
      </c>
      <c r="F87" s="295">
        <v>22.88488662</v>
      </c>
      <c r="G87" s="295">
        <v>93.66461949</v>
      </c>
      <c r="H87" s="108">
        <v>116.5495061</v>
      </c>
      <c r="I87" s="109">
        <v>1246.70602</v>
      </c>
      <c r="J87" s="110">
        <v>3301.86549</v>
      </c>
      <c r="K87" s="110">
        <v>4548.57151</v>
      </c>
      <c r="L87" s="111">
        <v>8505.844377</v>
      </c>
      <c r="M87" s="112">
        <v>1234.46581</v>
      </c>
      <c r="N87" s="112">
        <v>9740.310186</v>
      </c>
      <c r="O87" s="298">
        <v>0.0</v>
      </c>
      <c r="P87" s="160">
        <v>7161619.0</v>
      </c>
      <c r="Q87" s="160">
        <v>1475362.0</v>
      </c>
      <c r="R87" s="121">
        <f t="shared" si="4"/>
        <v>0.2060095629</v>
      </c>
      <c r="S87" s="116">
        <f t="shared" si="5"/>
        <v>0.2060095629</v>
      </c>
      <c r="T87" s="448"/>
      <c r="U87" s="449">
        <f t="shared" si="6"/>
        <v>0.4220357143</v>
      </c>
      <c r="V87" s="119">
        <v>1.0</v>
      </c>
      <c r="W87" s="120">
        <f t="shared" si="7"/>
        <v>1</v>
      </c>
      <c r="X87" s="119">
        <v>0.4101</v>
      </c>
      <c r="Y87" s="120">
        <f t="shared" si="8"/>
        <v>0.4101</v>
      </c>
      <c r="Z87" s="310">
        <v>8401792.0</v>
      </c>
      <c r="AA87" s="310">
        <v>2544455.0</v>
      </c>
      <c r="AB87" s="300">
        <f t="shared" si="9"/>
        <v>0.3028467022</v>
      </c>
      <c r="AC87" s="300">
        <f t="shared" si="10"/>
        <v>0.3028467022</v>
      </c>
      <c r="AD87" s="122">
        <v>0.0154</v>
      </c>
      <c r="AE87" s="123">
        <v>0.29</v>
      </c>
      <c r="AF87" s="430">
        <v>0.0832</v>
      </c>
      <c r="AG87" s="124">
        <v>0.0</v>
      </c>
      <c r="AH87" s="124">
        <v>0.113898246</v>
      </c>
      <c r="AI87" s="125">
        <v>0.0</v>
      </c>
      <c r="AJ87" s="125">
        <v>0.223899492</v>
      </c>
      <c r="AK87" s="127">
        <v>0.0</v>
      </c>
      <c r="AL87" s="127">
        <v>0.099182709</v>
      </c>
      <c r="AM87" s="302">
        <v>0.0</v>
      </c>
      <c r="AN87" s="149" t="str">
        <f>IFERROR(
  AVERAGEIFS(
    'New LF Efficacy'!$J:$J,
    'New LF Efficacy'!$D:$D, $A87,
    'New LF Efficacy'!$F:$F,"DEC", 
    'New LF Efficacy'!$W:$W,"&lt;2016",
    'New LF Efficacy'!$AA:$AA,""),
  ""
)</f>
        <v/>
      </c>
      <c r="AO87" s="115">
        <f t="shared" si="11"/>
        <v>0.31225</v>
      </c>
      <c r="AP87" s="149" t="str">
        <f>IFERROR(
AVERAGEIFS(
'New LF Efficacy'!$J:$J,
'New LF Efficacy'!$D:$D,$A87,
'New LF Efficacy'!$F:$F,"Albendazole &amp; DEC",
'New LF Efficacy'!$W:$W,"&lt;2016",
'New LF Efficacy'!$AA:$AA,""),
"")
</f>
        <v/>
      </c>
      <c r="AQ87" s="115">
        <f t="shared" si="12"/>
        <v>0.4</v>
      </c>
      <c r="AR87" s="149" t="str">
        <f>IFERROR(
AVERAGEIFS(
'New LF Efficacy'!$J:$J,
'New LF Efficacy'!$D:$D,$A87,
'New LF Efficacy'!$F:$F,"Albendazole &amp; Ivermectin", 
'New LF Efficacy'!$W:$W,"&lt;2016",
'New LF Efficacy'!$AA:$AA,""),"")</f>
        <v/>
      </c>
      <c r="AS87" s="115">
        <f t="shared" si="13"/>
        <v>0.2943125</v>
      </c>
      <c r="AT87" s="442" t="str">
        <f>IFERROR(AVERAGEIFS(
'Schist Efficacy'!$O:$O, 
'Schist Efficacy'!$C:$C,$A87, 
'Schist Efficacy'!$D:$D, "Praziquantel",
'Schist Efficacy'!$J:$J,"&lt;2016",
'Schist Efficacy'!$U:$U,""),
"")</f>
        <v/>
      </c>
      <c r="AU87" s="118">
        <f t="shared" si="14"/>
        <v>0.7206464759</v>
      </c>
      <c r="AV87" s="131" t="str">
        <f>IFERROR(AVERAGEIFS(
'STH Efficacy'!$AX:$AX, 
'STH Efficacy'!$AL:$AL, $A87, 
'STH Efficacy'!$AM:$AM, "Albendazole",
'STH Efficacy'!$AS:$AS,"&lt;2016",
'STH Efficacy'!$BP:$BP,""),
"")</f>
        <v/>
      </c>
      <c r="AW87" s="132">
        <f t="shared" si="15"/>
        <v>0.3816333333</v>
      </c>
      <c r="AX87" s="131" t="str">
        <f>IFERROR(AVERAGEIFS(
'STH Efficacy'!$AX:$AX, 
'STH Efficacy'!$AL:$AL, $A87, 
'STH Efficacy'!$AM:$AM, "Mebendazole",
'STH Efficacy'!$AS:$AS,"&lt;2016",
'STH Efficacy'!$BP:$BP,""),
"")</f>
        <v/>
      </c>
      <c r="AY87" s="132">
        <f t="shared" si="16"/>
        <v>0.4859375</v>
      </c>
      <c r="AZ87" s="131" t="str">
        <f>IFERROR(AVERAGEIFS(
'STH Efficacy'!$AX:$AX, 
'STH Efficacy'!$AL:$AL, $A87, 
'STH Efficacy'!$AM:$AM, "Albendazole &amp; Ivermectin",
'STH Efficacy'!$AS:$AS,"&lt;2016",
'STH Efficacy'!$BP:$BP,""),
"")</f>
        <v/>
      </c>
      <c r="BA87" s="133">
        <f t="shared" si="17"/>
        <v>0.47175</v>
      </c>
      <c r="BB87" s="443" t="str">
        <f>IFERROR(AVERAGEIFS(
'STH Efficacy'!$N:$N, 
'STH Efficacy'!$B:$B, $A87, 
'STH Efficacy'!$C:$C, "Albendazole",
'STH Efficacy'!$I:$I,"&lt;2016",
'STH Efficacy'!$AH:$AH,""),
"")</f>
        <v/>
      </c>
      <c r="BC87" s="135">
        <f t="shared" si="18"/>
        <v>0.8699166667</v>
      </c>
      <c r="BD87" s="443" t="str">
        <f>IFERROR(AVERAGEIFS(
'STH Efficacy'!$N:$N, 
'STH Efficacy'!$B:$B, $A87, 
'STH Efficacy'!$C:$C, "Mebendazole",
'STH Efficacy'!$I:$I,"&lt;2016",
'STH Efficacy'!$AH:$AH,""),
"")</f>
        <v/>
      </c>
      <c r="BE87" s="135">
        <f t="shared" si="19"/>
        <v>0.7092416667</v>
      </c>
      <c r="BF87" s="436" t="str">
        <f>IFERROR(AVERAGEIFS(
'STH Efficacy'!$CD:$CD, 
'STH Efficacy'!$BS:$BS, $A87, 
'STH Efficacy'!$BT:$BT, "Albendazole",
'STH Efficacy'!$BZ:$BZ,"&lt;2016",
'STH Efficacy'!$CU:$CU,""),
"")</f>
        <v/>
      </c>
      <c r="BG87" s="136">
        <f t="shared" si="20"/>
        <v>0.9066666667</v>
      </c>
      <c r="BH87" s="436" t="str">
        <f>IFERROR(AVERAGEIFS(
'STH Efficacy'!$CD:$CD, 
'STH Efficacy'!$BS:$BS, $A87, 
'STH Efficacy'!$BT:$BT, "Mebendazole",
'STH Efficacy'!$BZ:$BZ,"&lt;2016",
'STH Efficacy'!$CU:$CU,""),
"")</f>
        <v/>
      </c>
      <c r="BI87" s="136">
        <f t="shared" si="21"/>
        <v>0.8483333333</v>
      </c>
      <c r="BJ87" s="436" t="str">
        <f>IFERROR(AVERAGEIFS(
'STH Efficacy'!$CD:$CD, 
'STH Efficacy'!$BS:$BS, $A87, 
'STH Efficacy'!$BT:$BT, "Albendazole &amp; Ivermectin",
'STH Efficacy'!$BZ:$BZ,"&lt;2016",
'STH Efficacy'!$CU:$CU,""),
"")</f>
        <v/>
      </c>
      <c r="BK87" s="136">
        <f t="shared" si="22"/>
        <v>0.696</v>
      </c>
      <c r="BL87" s="444" t="str">
        <f>IFERROR(
  AVERAGEIFS(
    'NEW Onchocerciasis Efficacy'!$AO:$AO,
    'NEW Onchocerciasis Efficacy'!$C:$C,$A87,
    'NEW Onchocerciasis Efficacy'!$D:$D,"Ivermectin",
    'NEW Onchocerciasis Efficacy'!$AR:$AR,"&lt;2016",
    'NEW Onchocerciasis Efficacy'!$BG:$BG,"")
,"")</f>
        <v/>
      </c>
      <c r="BM87" s="304">
        <f t="shared" si="23"/>
        <v>0.8390421645</v>
      </c>
      <c r="BN87" s="439">
        <v>1.0</v>
      </c>
      <c r="BO87" s="139">
        <v>1.0</v>
      </c>
      <c r="BP87" s="140">
        <v>1.0</v>
      </c>
      <c r="BQ87" s="141">
        <f t="shared" si="24"/>
        <v>0</v>
      </c>
      <c r="BR87" s="104" t="str">
        <f t="shared" si="25"/>
        <v>1110</v>
      </c>
      <c r="BS87" s="104" t="str">
        <f t="shared" si="26"/>
        <v>MDA1+T2</v>
      </c>
      <c r="BT87" s="142" t="str">
        <f t="shared" si="27"/>
        <v>IVM+ALB</v>
      </c>
      <c r="BU87" s="104" t="str">
        <f t="shared" si="28"/>
        <v>PZQ</v>
      </c>
      <c r="BV87" s="104" t="str">
        <f t="shared" si="29"/>
        <v>lf+onch+schist </v>
      </c>
      <c r="BW87" s="150" t="str">
        <f t="shared" si="30"/>
        <v/>
      </c>
      <c r="BX87" s="312">
        <f t="shared" si="31"/>
        <v>841.8372197</v>
      </c>
      <c r="BY87" s="162">
        <f t="shared" si="32"/>
        <v>15076.74718</v>
      </c>
      <c r="BZ87" s="152" t="str">
        <f t="shared" si="33"/>
        <v/>
      </c>
      <c r="CA87" s="152" t="str">
        <f t="shared" si="34"/>
        <v/>
      </c>
      <c r="CB87" s="152" t="str">
        <f t="shared" si="35"/>
        <v/>
      </c>
      <c r="CC87" s="153" t="str">
        <f t="shared" si="36"/>
        <v/>
      </c>
      <c r="CD87" s="153" t="str">
        <f t="shared" si="37"/>
        <v/>
      </c>
      <c r="CE87" s="154" t="str">
        <f t="shared" si="38"/>
        <v/>
      </c>
      <c r="CF87" s="154" t="str">
        <f t="shared" si="39"/>
        <v/>
      </c>
      <c r="CG87" s="154" t="str">
        <f t="shared" si="40"/>
        <v/>
      </c>
      <c r="CH87" s="313">
        <f t="shared" si="41"/>
        <v>0</v>
      </c>
    </row>
    <row r="88">
      <c r="A88" s="155" t="s">
        <v>177</v>
      </c>
      <c r="B88" s="104" t="s">
        <v>92</v>
      </c>
      <c r="C88" s="428">
        <v>1770526.0</v>
      </c>
      <c r="D88" s="161">
        <v>3516.8</v>
      </c>
      <c r="E88" s="294">
        <v>4254.518174</v>
      </c>
      <c r="F88" s="295">
        <v>0.203518472</v>
      </c>
      <c r="G88" s="295">
        <v>0.867296884</v>
      </c>
      <c r="H88" s="108">
        <v>1.070815356</v>
      </c>
      <c r="I88" s="109">
        <v>65.1450737</v>
      </c>
      <c r="J88" s="109">
        <v>169.334004</v>
      </c>
      <c r="K88" s="109">
        <v>234.4790773</v>
      </c>
      <c r="L88" s="112">
        <v>719.380173</v>
      </c>
      <c r="M88" s="112">
        <v>85.90675684</v>
      </c>
      <c r="N88" s="112">
        <v>805.2869299</v>
      </c>
      <c r="O88" s="298">
        <v>0.0</v>
      </c>
      <c r="P88" s="160">
        <v>1565479.0</v>
      </c>
      <c r="Q88" s="160">
        <v>116137.0</v>
      </c>
      <c r="R88" s="121">
        <f t="shared" si="4"/>
        <v>0.07418623948</v>
      </c>
      <c r="S88" s="116">
        <f t="shared" si="5"/>
        <v>0.07418623948</v>
      </c>
      <c r="T88" s="118">
        <v>0.385</v>
      </c>
      <c r="U88" s="118">
        <f t="shared" si="6"/>
        <v>0.385</v>
      </c>
      <c r="V88" s="119">
        <v>1.0</v>
      </c>
      <c r="W88" s="120">
        <f t="shared" si="7"/>
        <v>1</v>
      </c>
      <c r="X88" s="119">
        <v>0.093</v>
      </c>
      <c r="Y88" s="120">
        <f t="shared" si="8"/>
        <v>0.093</v>
      </c>
      <c r="Z88" s="310">
        <v>47246.0</v>
      </c>
      <c r="AA88" s="298"/>
      <c r="AB88" s="300">
        <f t="shared" si="9"/>
        <v>0</v>
      </c>
      <c r="AC88" s="300">
        <f t="shared" si="10"/>
        <v>0.6375203308</v>
      </c>
      <c r="AD88" s="122">
        <v>0.0416</v>
      </c>
      <c r="AE88" s="123">
        <v>0.24</v>
      </c>
      <c r="AF88" s="430">
        <v>0.0205</v>
      </c>
      <c r="AG88" s="124">
        <v>0.0</v>
      </c>
      <c r="AH88" s="124">
        <v>0.03562805</v>
      </c>
      <c r="AI88" s="125">
        <v>0.0</v>
      </c>
      <c r="AJ88" s="125">
        <v>0.090698436</v>
      </c>
      <c r="AK88" s="127">
        <v>0.0</v>
      </c>
      <c r="AL88" s="127">
        <v>0.023298115</v>
      </c>
      <c r="AM88" s="302">
        <v>0.0</v>
      </c>
      <c r="AN88" s="149" t="str">
        <f>IFERROR(
  AVERAGEIFS(
    'New LF Efficacy'!$J:$J,
    'New LF Efficacy'!$D:$D, $A88,
    'New LF Efficacy'!$F:$F,"DEC", 
    'New LF Efficacy'!$W:$W,"&lt;2016",
    'New LF Efficacy'!$AA:$AA,""),
  ""
)</f>
        <v/>
      </c>
      <c r="AO88" s="115">
        <f t="shared" si="11"/>
        <v>0.31225</v>
      </c>
      <c r="AP88" s="149" t="str">
        <f>IFERROR(
AVERAGEIFS(
'New LF Efficacy'!$J:$J,
'New LF Efficacy'!$D:$D,$A88,
'New LF Efficacy'!$F:$F,"Albendazole &amp; DEC",
'New LF Efficacy'!$W:$W,"&lt;2016",
'New LF Efficacy'!$AA:$AA,""),
"")
</f>
        <v/>
      </c>
      <c r="AQ88" s="115">
        <f t="shared" si="12"/>
        <v>0.4</v>
      </c>
      <c r="AR88" s="149" t="str">
        <f>IFERROR(
AVERAGEIFS(
'New LF Efficacy'!$J:$J,
'New LF Efficacy'!$D:$D,$A88,
'New LF Efficacy'!$F:$F,"Albendazole &amp; Ivermectin", 
'New LF Efficacy'!$W:$W,"&lt;2016",
'New LF Efficacy'!$AA:$AA,""),"")</f>
        <v/>
      </c>
      <c r="AS88" s="115">
        <f t="shared" si="13"/>
        <v>0.2943125</v>
      </c>
      <c r="AT88" s="442" t="str">
        <f>IFERROR(AVERAGEIFS(
'Schist Efficacy'!$O:$O, 
'Schist Efficacy'!$C:$C,$A88, 
'Schist Efficacy'!$D:$D, "Praziquantel",
'Schist Efficacy'!$J:$J,"&lt;2016",
'Schist Efficacy'!$U:$U,""),
"")</f>
        <v/>
      </c>
      <c r="AU88" s="118">
        <f t="shared" si="14"/>
        <v>0.7206464759</v>
      </c>
      <c r="AV88" s="131" t="str">
        <f>IFERROR(AVERAGEIFS(
'STH Efficacy'!$AX:$AX, 
'STH Efficacy'!$AL:$AL, $A88, 
'STH Efficacy'!$AM:$AM, "Albendazole",
'STH Efficacy'!$AS:$AS,"&lt;2016",
'STH Efficacy'!$BP:$BP,""),
"")</f>
        <v/>
      </c>
      <c r="AW88" s="132">
        <f t="shared" si="15"/>
        <v>0.3816333333</v>
      </c>
      <c r="AX88" s="131" t="str">
        <f>IFERROR(AVERAGEIFS(
'STH Efficacy'!$AX:$AX, 
'STH Efficacy'!$AL:$AL, $A88, 
'STH Efficacy'!$AM:$AM, "Mebendazole",
'STH Efficacy'!$AS:$AS,"&lt;2016",
'STH Efficacy'!$BP:$BP,""),
"")</f>
        <v/>
      </c>
      <c r="AY88" s="132">
        <f t="shared" si="16"/>
        <v>0.4859375</v>
      </c>
      <c r="AZ88" s="131" t="str">
        <f>IFERROR(AVERAGEIFS(
'STH Efficacy'!$AX:$AX, 
'STH Efficacy'!$AL:$AL, $A88, 
'STH Efficacy'!$AM:$AM, "Albendazole &amp; Ivermectin",
'STH Efficacy'!$AS:$AS,"&lt;2016",
'STH Efficacy'!$BP:$BP,""),
"")</f>
        <v/>
      </c>
      <c r="BA88" s="133">
        <f t="shared" si="17"/>
        <v>0.47175</v>
      </c>
      <c r="BB88" s="443" t="str">
        <f>IFERROR(AVERAGEIFS(
'STH Efficacy'!$N:$N, 
'STH Efficacy'!$B:$B, $A88, 
'STH Efficacy'!$C:$C, "Albendazole",
'STH Efficacy'!$I:$I,"&lt;2016",
'STH Efficacy'!$AH:$AH,""),
"")</f>
        <v/>
      </c>
      <c r="BC88" s="135">
        <f t="shared" si="18"/>
        <v>0.8699166667</v>
      </c>
      <c r="BD88" s="443" t="str">
        <f>IFERROR(AVERAGEIFS(
'STH Efficacy'!$N:$N, 
'STH Efficacy'!$B:$B, $A88, 
'STH Efficacy'!$C:$C, "Mebendazole",
'STH Efficacy'!$I:$I,"&lt;2016",
'STH Efficacy'!$AH:$AH,""),
"")</f>
        <v/>
      </c>
      <c r="BE88" s="135">
        <f t="shared" si="19"/>
        <v>0.7092416667</v>
      </c>
      <c r="BF88" s="436" t="str">
        <f>IFERROR(AVERAGEIFS(
'STH Efficacy'!$CD:$CD, 
'STH Efficacy'!$BS:$BS, $A88, 
'STH Efficacy'!$BT:$BT, "Albendazole",
'STH Efficacy'!$BZ:$BZ,"&lt;2016",
'STH Efficacy'!$CU:$CU,""),
"")</f>
        <v/>
      </c>
      <c r="BG88" s="136">
        <f t="shared" si="20"/>
        <v>0.9066666667</v>
      </c>
      <c r="BH88" s="436" t="str">
        <f>IFERROR(AVERAGEIFS(
'STH Efficacy'!$CD:$CD, 
'STH Efficacy'!$BS:$BS, $A88, 
'STH Efficacy'!$BT:$BT, "Mebendazole",
'STH Efficacy'!$BZ:$BZ,"&lt;2016",
'STH Efficacy'!$CU:$CU,""),
"")</f>
        <v/>
      </c>
      <c r="BI88" s="136">
        <f t="shared" si="21"/>
        <v>0.8483333333</v>
      </c>
      <c r="BJ88" s="436" t="str">
        <f>IFERROR(AVERAGEIFS(
'STH Efficacy'!$CD:$CD, 
'STH Efficacy'!$BS:$BS, $A88, 
'STH Efficacy'!$BT:$BT, "Albendazole &amp; Ivermectin",
'STH Efficacy'!$BZ:$BZ,"&lt;2016",
'STH Efficacy'!$CU:$CU,""),
"")</f>
        <v/>
      </c>
      <c r="BK88" s="136">
        <f t="shared" si="22"/>
        <v>0.696</v>
      </c>
      <c r="BL88" s="444" t="str">
        <f>IFERROR(
  AVERAGEIFS(
    'NEW Onchocerciasis Efficacy'!$AO:$AO,
    'NEW Onchocerciasis Efficacy'!$C:$C,$A88,
    'NEW Onchocerciasis Efficacy'!$D:$D,"Ivermectin",
    'NEW Onchocerciasis Efficacy'!$AR:$AR,"&lt;2016",
    'NEW Onchocerciasis Efficacy'!$BG:$BG,"")
,"")</f>
        <v/>
      </c>
      <c r="BM88" s="304">
        <f t="shared" si="23"/>
        <v>0.8390421645</v>
      </c>
      <c r="BN88" s="439">
        <v>1.0</v>
      </c>
      <c r="BO88" s="139">
        <v>0.0</v>
      </c>
      <c r="BP88" s="140">
        <v>1.0</v>
      </c>
      <c r="BQ88" s="141">
        <f t="shared" si="24"/>
        <v>0</v>
      </c>
      <c r="BR88" s="104" t="str">
        <f t="shared" si="25"/>
        <v>1010</v>
      </c>
      <c r="BS88" s="104" t="str">
        <f t="shared" si="26"/>
        <v>MDA1/2+T2</v>
      </c>
      <c r="BT88" s="142" t="str">
        <f t="shared" si="27"/>
        <v>IVM+ALB or DEC +ALB</v>
      </c>
      <c r="BU88" s="104" t="str">
        <f t="shared" si="28"/>
        <v>PZQ</v>
      </c>
      <c r="BV88" s="104" t="str">
        <f t="shared" si="29"/>
        <v>lf+schist </v>
      </c>
      <c r="BW88" s="150" t="str">
        <f t="shared" si="30"/>
        <v/>
      </c>
      <c r="BX88" s="312">
        <f t="shared" si="31"/>
        <v>78.49954597</v>
      </c>
      <c r="BY88" s="162">
        <f t="shared" si="32"/>
        <v>1633.671788</v>
      </c>
      <c r="BZ88" s="152" t="str">
        <f t="shared" si="33"/>
        <v/>
      </c>
      <c r="CA88" s="152" t="str">
        <f t="shared" si="34"/>
        <v/>
      </c>
      <c r="CB88" s="152" t="str">
        <f t="shared" si="35"/>
        <v/>
      </c>
      <c r="CC88" s="153" t="str">
        <f t="shared" si="36"/>
        <v/>
      </c>
      <c r="CD88" s="153" t="str">
        <f t="shared" si="37"/>
        <v/>
      </c>
      <c r="CE88" s="154" t="str">
        <f t="shared" si="38"/>
        <v/>
      </c>
      <c r="CF88" s="154" t="str">
        <f t="shared" si="39"/>
        <v/>
      </c>
      <c r="CG88" s="154" t="str">
        <f t="shared" si="40"/>
        <v/>
      </c>
      <c r="CH88" s="308" t="str">
        <f t="shared" si="41"/>
        <v/>
      </c>
    </row>
    <row r="89">
      <c r="A89" s="103" t="s">
        <v>178</v>
      </c>
      <c r="B89" s="104" t="s">
        <v>98</v>
      </c>
      <c r="C89" s="428">
        <v>768514.0</v>
      </c>
      <c r="D89" s="161">
        <v>1468.05</v>
      </c>
      <c r="E89" s="294">
        <v>0.0</v>
      </c>
      <c r="F89" s="295">
        <v>0.434001052</v>
      </c>
      <c r="G89" s="295">
        <v>2.867105111</v>
      </c>
      <c r="H89" s="108">
        <v>3.301106162</v>
      </c>
      <c r="I89" s="109">
        <v>4.29816711</v>
      </c>
      <c r="J89" s="109">
        <v>14.3011054</v>
      </c>
      <c r="K89" s="109">
        <v>18.59927252</v>
      </c>
      <c r="L89" s="112">
        <v>10.53400461</v>
      </c>
      <c r="M89" s="112">
        <v>15.35281957</v>
      </c>
      <c r="N89" s="112">
        <v>25.88682417</v>
      </c>
      <c r="O89" s="298">
        <v>0.0</v>
      </c>
      <c r="P89" s="160">
        <v>747901.0</v>
      </c>
      <c r="Q89" s="160">
        <v>223210.0</v>
      </c>
      <c r="R89" s="121">
        <f t="shared" si="4"/>
        <v>0.2984485915</v>
      </c>
      <c r="S89" s="116">
        <f t="shared" si="5"/>
        <v>0.2984485915</v>
      </c>
      <c r="T89" s="117"/>
      <c r="U89" s="118">
        <f t="shared" si="6"/>
        <v>0.4791888889</v>
      </c>
      <c r="V89" s="119">
        <v>0.3959</v>
      </c>
      <c r="W89" s="120">
        <f t="shared" si="7"/>
        <v>0.3959</v>
      </c>
      <c r="X89" s="119">
        <v>0.4069</v>
      </c>
      <c r="Y89" s="120">
        <f t="shared" si="8"/>
        <v>0.4069</v>
      </c>
      <c r="Z89" s="299"/>
      <c r="AA89" s="441"/>
      <c r="AB89" s="300" t="str">
        <f t="shared" si="9"/>
        <v/>
      </c>
      <c r="AC89" s="300">
        <f t="shared" si="10"/>
        <v>0.7101368438</v>
      </c>
      <c r="AD89" s="122">
        <v>0.0422</v>
      </c>
      <c r="AE89" s="123">
        <v>0.0</v>
      </c>
      <c r="AF89" s="430">
        <v>0.0</v>
      </c>
      <c r="AG89" s="124">
        <v>0.0703</v>
      </c>
      <c r="AH89" s="124">
        <v>0.108011343</v>
      </c>
      <c r="AI89" s="125">
        <v>0.0237</v>
      </c>
      <c r="AJ89" s="125">
        <v>0.034875162</v>
      </c>
      <c r="AK89" s="127">
        <v>0.0991</v>
      </c>
      <c r="AL89" s="127">
        <v>0.151598688</v>
      </c>
      <c r="AM89" s="302">
        <v>0.0</v>
      </c>
      <c r="AN89" s="149" t="str">
        <f>IFERROR(
  AVERAGEIFS(
    'New LF Efficacy'!$J:$J,
    'New LF Efficacy'!$D:$D, $A89,
    'New LF Efficacy'!$F:$F,"DEC", 
    'New LF Efficacy'!$W:$W,"&lt;2016",
    'New LF Efficacy'!$AA:$AA,""),
  ""
)</f>
        <v/>
      </c>
      <c r="AO89" s="115">
        <f t="shared" si="11"/>
        <v>0.2589833333</v>
      </c>
      <c r="AP89" s="149" t="str">
        <f>IFERROR(
AVERAGEIFS(
'New LF Efficacy'!$J:$J,
'New LF Efficacy'!$D:$D,$A89,
'New LF Efficacy'!$F:$F,"Albendazole &amp; DEC",
'New LF Efficacy'!$W:$W,"&lt;2016",
'New LF Efficacy'!$AA:$AA,""),
"")
</f>
        <v/>
      </c>
      <c r="AQ89" s="115">
        <f t="shared" si="12"/>
        <v>0.3465</v>
      </c>
      <c r="AR89" s="149" t="str">
        <f>IFERROR(
AVERAGEIFS(
'New LF Efficacy'!$J:$J,
'New LF Efficacy'!$D:$D,$A89,
'New LF Efficacy'!$F:$F,"Albendazole &amp; Ivermectin", 
'New LF Efficacy'!$W:$W,"&lt;2016",
'New LF Efficacy'!$AA:$AA,""),"")</f>
        <v/>
      </c>
      <c r="AS89" s="115">
        <f t="shared" si="13"/>
        <v>0.7575</v>
      </c>
      <c r="AT89" s="442" t="str">
        <f>IFERROR(AVERAGEIFS(
'Schist Efficacy'!$O:$O, 
'Schist Efficacy'!$C:$C,$A89, 
'Schist Efficacy'!$D:$D, "Praziquantel",
'Schist Efficacy'!$J:$J,"&lt;2016",
'Schist Efficacy'!$U:$U,""),
"")</f>
        <v/>
      </c>
      <c r="AU89" s="118">
        <f t="shared" si="14"/>
        <v>0.7914761905</v>
      </c>
      <c r="AV89" s="131" t="str">
        <f>IFERROR(AVERAGEIFS(
'STH Efficacy'!$AX:$AX, 
'STH Efficacy'!$AL:$AL, $A89, 
'STH Efficacy'!$AM:$AM, "Albendazole",
'STH Efficacy'!$AS:$AS,"&lt;2016",
'STH Efficacy'!$BP:$BP,""),
"")</f>
        <v/>
      </c>
      <c r="AW89" s="132">
        <f t="shared" si="15"/>
        <v>0.3945</v>
      </c>
      <c r="AX89" s="131" t="str">
        <f>IFERROR(AVERAGEIFS(
'STH Efficacy'!$AX:$AX, 
'STH Efficacy'!$AL:$AL, $A89, 
'STH Efficacy'!$AM:$AM, "Mebendazole",
'STH Efficacy'!$AS:$AS,"&lt;2016",
'STH Efficacy'!$BP:$BP,""),
"")</f>
        <v/>
      </c>
      <c r="AY89" s="132">
        <f t="shared" si="16"/>
        <v>0.6</v>
      </c>
      <c r="AZ89" s="131" t="str">
        <f>IFERROR(AVERAGEIFS(
'STH Efficacy'!$AX:$AX, 
'STH Efficacy'!$AL:$AL, $A89, 
'STH Efficacy'!$AM:$AM, "Albendazole &amp; Ivermectin",
'STH Efficacy'!$AS:$AS,"&lt;2016",
'STH Efficacy'!$BP:$BP,""),
"")</f>
        <v/>
      </c>
      <c r="BA89" s="133">
        <f t="shared" si="17"/>
        <v>0.796</v>
      </c>
      <c r="BB89" s="443" t="str">
        <f>IFERROR(AVERAGEIFS(
'STH Efficacy'!$N:$N, 
'STH Efficacy'!$B:$B, $A89, 
'STH Efficacy'!$C:$C, "Albendazole",
'STH Efficacy'!$I:$I,"&lt;2016",
'STH Efficacy'!$AH:$AH,""),
"")</f>
        <v/>
      </c>
      <c r="BC89" s="135">
        <f t="shared" si="18"/>
        <v>0.869</v>
      </c>
      <c r="BD89" s="443" t="str">
        <f>IFERROR(AVERAGEIFS(
'STH Efficacy'!$N:$N, 
'STH Efficacy'!$B:$B, $A89, 
'STH Efficacy'!$C:$C, "Mebendazole",
'STH Efficacy'!$I:$I,"&lt;2016",
'STH Efficacy'!$AH:$AH,""),
"")</f>
        <v/>
      </c>
      <c r="BE89" s="135">
        <f t="shared" si="19"/>
        <v>0.172</v>
      </c>
      <c r="BF89" s="436" t="str">
        <f>IFERROR(AVERAGEIFS(
'STH Efficacy'!$CD:$CD, 
'STH Efficacy'!$BS:$BS, $A89, 
'STH Efficacy'!$BT:$BT, "Albendazole",
'STH Efficacy'!$BZ:$BZ,"&lt;2016",
'STH Efficacy'!$CU:$CU,""),
"")</f>
        <v/>
      </c>
      <c r="BG89" s="136">
        <f t="shared" si="20"/>
        <v>0.9862</v>
      </c>
      <c r="BH89" s="436" t="str">
        <f>IFERROR(AVERAGEIFS(
'STH Efficacy'!$CD:$CD, 
'STH Efficacy'!$BS:$BS, $A89, 
'STH Efficacy'!$BT:$BT, "Mebendazole",
'STH Efficacy'!$BZ:$BZ,"&lt;2016",
'STH Efficacy'!$CU:$CU,""),
"")</f>
        <v/>
      </c>
      <c r="BI89" s="136">
        <f t="shared" si="21"/>
        <v>0.769</v>
      </c>
      <c r="BJ89" s="436" t="str">
        <f>IFERROR(AVERAGEIFS(
'STH Efficacy'!$CD:$CD, 
'STH Efficacy'!$BS:$BS, $A89, 
'STH Efficacy'!$BT:$BT, "Albendazole &amp; Ivermectin",
'STH Efficacy'!$BZ:$BZ,"&lt;2016",
'STH Efficacy'!$CU:$CU,""),
"")</f>
        <v/>
      </c>
      <c r="BK89" s="136">
        <f t="shared" si="22"/>
        <v>1</v>
      </c>
      <c r="BL89" s="444" t="str">
        <f>IFERROR(
  AVERAGEIFS(
    'NEW Onchocerciasis Efficacy'!$AO:$AO,
    'NEW Onchocerciasis Efficacy'!$C:$C,$A89,
    'NEW Onchocerciasis Efficacy'!$D:$D,"Ivermectin",
    'NEW Onchocerciasis Efficacy'!$AR:$AR,"&lt;2016",
    'NEW Onchocerciasis Efficacy'!$BG:$BG,"")
,"")</f>
        <v/>
      </c>
      <c r="BM89" s="304">
        <f t="shared" si="23"/>
        <v>0.3734</v>
      </c>
      <c r="BN89" s="439">
        <v>1.0</v>
      </c>
      <c r="BO89" s="139">
        <v>0.0</v>
      </c>
      <c r="BP89" s="140">
        <v>0.0</v>
      </c>
      <c r="BQ89" s="141">
        <f t="shared" si="24"/>
        <v>0</v>
      </c>
      <c r="BR89" s="104" t="str">
        <f t="shared" si="25"/>
        <v>1000</v>
      </c>
      <c r="BS89" s="104" t="str">
        <f t="shared" si="26"/>
        <v>MDA1/2</v>
      </c>
      <c r="BT89" s="142" t="str">
        <f t="shared" si="27"/>
        <v>IVM+ALB or DEC+ALB</v>
      </c>
      <c r="BU89" s="104" t="str">
        <f t="shared" si="28"/>
        <v/>
      </c>
      <c r="BV89" s="104" t="str">
        <f t="shared" si="29"/>
        <v>lf only</v>
      </c>
      <c r="BW89" s="312">
        <f t="shared" si="30"/>
        <v>169.3249319</v>
      </c>
      <c r="BX89" s="312">
        <f t="shared" si="31"/>
        <v>428.8387629</v>
      </c>
      <c r="BY89" s="151" t="str">
        <f t="shared" si="32"/>
        <v/>
      </c>
      <c r="BZ89" s="152" t="str">
        <f t="shared" si="33"/>
        <v/>
      </c>
      <c r="CA89" s="152" t="str">
        <f t="shared" si="34"/>
        <v/>
      </c>
      <c r="CB89" s="152" t="str">
        <f t="shared" si="35"/>
        <v/>
      </c>
      <c r="CC89" s="153" t="str">
        <f t="shared" si="36"/>
        <v/>
      </c>
      <c r="CD89" s="153" t="str">
        <f t="shared" si="37"/>
        <v/>
      </c>
      <c r="CE89" s="154" t="str">
        <f t="shared" si="38"/>
        <v/>
      </c>
      <c r="CF89" s="154" t="str">
        <f t="shared" si="39"/>
        <v/>
      </c>
      <c r="CG89" s="154" t="str">
        <f t="shared" si="40"/>
        <v/>
      </c>
      <c r="CH89" s="308" t="str">
        <f t="shared" si="41"/>
        <v/>
      </c>
    </row>
    <row r="90">
      <c r="A90" s="103" t="s">
        <v>179</v>
      </c>
      <c r="B90" s="104" t="s">
        <v>98</v>
      </c>
      <c r="C90" s="428">
        <v>1.0711061E7</v>
      </c>
      <c r="D90" s="161">
        <v>26164.68</v>
      </c>
      <c r="E90" s="294">
        <v>0.0</v>
      </c>
      <c r="F90" s="295">
        <v>1.316937323</v>
      </c>
      <c r="G90" s="295">
        <v>5.717226397</v>
      </c>
      <c r="H90" s="108">
        <v>7.03416372</v>
      </c>
      <c r="I90" s="109">
        <v>43.2681281</v>
      </c>
      <c r="J90" s="109">
        <v>99.3059047</v>
      </c>
      <c r="K90" s="109">
        <v>142.5740328</v>
      </c>
      <c r="L90" s="112">
        <v>513.6655263</v>
      </c>
      <c r="M90" s="112">
        <v>141.1982286</v>
      </c>
      <c r="N90" s="112">
        <v>654.8637549</v>
      </c>
      <c r="O90" s="298">
        <v>0.0</v>
      </c>
      <c r="P90" s="160">
        <v>9749080.0</v>
      </c>
      <c r="Q90" s="160">
        <v>5178919.0</v>
      </c>
      <c r="R90" s="121">
        <f t="shared" si="4"/>
        <v>0.531221305</v>
      </c>
      <c r="S90" s="116">
        <f t="shared" si="5"/>
        <v>0.531221305</v>
      </c>
      <c r="T90" s="117"/>
      <c r="U90" s="118">
        <f t="shared" si="6"/>
        <v>0.4791888889</v>
      </c>
      <c r="V90" s="119">
        <v>0.8324</v>
      </c>
      <c r="W90" s="120">
        <f t="shared" si="7"/>
        <v>0.8324</v>
      </c>
      <c r="X90" s="119">
        <v>0.9264</v>
      </c>
      <c r="Y90" s="120">
        <f t="shared" si="8"/>
        <v>0.9264</v>
      </c>
      <c r="Z90" s="299"/>
      <c r="AA90" s="441"/>
      <c r="AB90" s="300" t="str">
        <f t="shared" si="9"/>
        <v/>
      </c>
      <c r="AC90" s="300">
        <f t="shared" si="10"/>
        <v>0.7101368438</v>
      </c>
      <c r="AD90" s="122">
        <v>0.049</v>
      </c>
      <c r="AE90" s="123">
        <v>0.0</v>
      </c>
      <c r="AF90" s="430">
        <v>0.0</v>
      </c>
      <c r="AG90" s="124">
        <v>0.0141</v>
      </c>
      <c r="AH90" s="124">
        <v>0.022655846</v>
      </c>
      <c r="AI90" s="125">
        <v>0.0085</v>
      </c>
      <c r="AJ90" s="125">
        <v>0.013897657</v>
      </c>
      <c r="AK90" s="127">
        <v>0.0262</v>
      </c>
      <c r="AL90" s="127">
        <v>0.042379792</v>
      </c>
      <c r="AM90" s="302">
        <v>0.0</v>
      </c>
      <c r="AN90" s="149">
        <f>IFERROR(
  AVERAGEIFS(
    'New LF Efficacy'!$J:$J,
    'New LF Efficacy'!$D:$D, $A90,
    'New LF Efficacy'!$F:$F,"DEC", 
    'New LF Efficacy'!$W:$W,"&lt;2016",
    'New LF Efficacy'!$AA:$AA,""),
  ""
)</f>
        <v>0.09196666667</v>
      </c>
      <c r="AO90" s="115">
        <f t="shared" si="11"/>
        <v>0.09196666667</v>
      </c>
      <c r="AP90" s="149">
        <f>IFERROR(
AVERAGEIFS(
'New LF Efficacy'!$J:$J,
'New LF Efficacy'!$D:$D,$A90,
'New LF Efficacy'!$F:$F,"Albendazole &amp; DEC",
'New LF Efficacy'!$W:$W,"&lt;2016",
'New LF Efficacy'!$AA:$AA,""),
"")
</f>
        <v>0.114</v>
      </c>
      <c r="AQ90" s="115">
        <f t="shared" si="12"/>
        <v>0.114</v>
      </c>
      <c r="AR90" s="149">
        <f>IFERROR(
AVERAGEIFS(
'New LF Efficacy'!$J:$J,
'New LF Efficacy'!$D:$D,$A90,
'New LF Efficacy'!$F:$F,"Albendazole &amp; Ivermectin", 
'New LF Efficacy'!$W:$W,"&lt;2016",
'New LF Efficacy'!$AA:$AA,""),"")</f>
        <v>0.7575</v>
      </c>
      <c r="AS90" s="115">
        <f t="shared" si="13"/>
        <v>0.7575</v>
      </c>
      <c r="AT90" s="442" t="str">
        <f>IFERROR(AVERAGEIFS(
'Schist Efficacy'!$O:$O, 
'Schist Efficacy'!$C:$C,$A90, 
'Schist Efficacy'!$D:$D, "Praziquantel",
'Schist Efficacy'!$J:$J,"&lt;2016",
'Schist Efficacy'!$U:$U,""),
"")</f>
        <v/>
      </c>
      <c r="AU90" s="118">
        <f t="shared" si="14"/>
        <v>0.7914761905</v>
      </c>
      <c r="AV90" s="131">
        <f>IFERROR(AVERAGEIFS(
'STH Efficacy'!$AX:$AX, 
'STH Efficacy'!$AL:$AL, $A90, 
'STH Efficacy'!$AM:$AM, "Albendazole",
'STH Efficacy'!$AS:$AS,"&lt;2016",
'STH Efficacy'!$BP:$BP,""),
"")</f>
        <v>0.456</v>
      </c>
      <c r="AW90" s="132">
        <f t="shared" si="15"/>
        <v>0.456</v>
      </c>
      <c r="AX90" s="131" t="str">
        <f>IFERROR(AVERAGEIFS(
'STH Efficacy'!$AX:$AX, 
'STH Efficacy'!$AL:$AL, $A90, 
'STH Efficacy'!$AM:$AM, "Mebendazole",
'STH Efficacy'!$AS:$AS,"&lt;2016",
'STH Efficacy'!$BP:$BP,""),
"")</f>
        <v/>
      </c>
      <c r="AY90" s="132">
        <f t="shared" si="16"/>
        <v>0.6</v>
      </c>
      <c r="AZ90" s="131">
        <f>IFERROR(AVERAGEIFS(
'STH Efficacy'!$AX:$AX, 
'STH Efficacy'!$AL:$AL, $A90, 
'STH Efficacy'!$AM:$AM, "Albendazole &amp; Ivermectin",
'STH Efficacy'!$AS:$AS,"&lt;2016",
'STH Efficacy'!$BP:$BP,""),
"")</f>
        <v>0.796</v>
      </c>
      <c r="BA90" s="133">
        <f t="shared" si="17"/>
        <v>0.796</v>
      </c>
      <c r="BB90" s="443">
        <f>IFERROR(AVERAGEIFS(
'STH Efficacy'!$N:$N, 
'STH Efficacy'!$B:$B, $A90, 
'STH Efficacy'!$C:$C, "Albendazole",
'STH Efficacy'!$I:$I,"&lt;2016",
'STH Efficacy'!$AH:$AH,""),
"")</f>
        <v>0.92</v>
      </c>
      <c r="BC90" s="135">
        <f t="shared" si="18"/>
        <v>0.92</v>
      </c>
      <c r="BD90" s="443" t="str">
        <f>IFERROR(AVERAGEIFS(
'STH Efficacy'!$N:$N, 
'STH Efficacy'!$B:$B, $A90, 
'STH Efficacy'!$C:$C, "Mebendazole",
'STH Efficacy'!$I:$I,"&lt;2016",
'STH Efficacy'!$AH:$AH,""),
"")</f>
        <v/>
      </c>
      <c r="BE90" s="135">
        <f t="shared" si="19"/>
        <v>0.172</v>
      </c>
      <c r="BF90" s="436">
        <f>IFERROR(AVERAGEIFS(
'STH Efficacy'!$CD:$CD, 
'STH Efficacy'!$BS:$BS, $A90, 
'STH Efficacy'!$BT:$BT, "Albendazole",
'STH Efficacy'!$BZ:$BZ,"&lt;2016",
'STH Efficacy'!$CU:$CU,""),
"")</f>
        <v>0.9764</v>
      </c>
      <c r="BG90" s="136">
        <f t="shared" si="20"/>
        <v>0.9764</v>
      </c>
      <c r="BH90" s="436" t="str">
        <f>IFERROR(AVERAGEIFS(
'STH Efficacy'!$CD:$CD, 
'STH Efficacy'!$BS:$BS, $A90, 
'STH Efficacy'!$BT:$BT, "Mebendazole",
'STH Efficacy'!$BZ:$BZ,"&lt;2016",
'STH Efficacy'!$CU:$CU,""),
"")</f>
        <v/>
      </c>
      <c r="BI90" s="136">
        <f t="shared" si="21"/>
        <v>0.769</v>
      </c>
      <c r="BJ90" s="436">
        <f>IFERROR(AVERAGEIFS(
'STH Efficacy'!$CD:$CD, 
'STH Efficacy'!$BS:$BS, $A90, 
'STH Efficacy'!$BT:$BT, "Albendazole &amp; Ivermectin",
'STH Efficacy'!$BZ:$BZ,"&lt;2016",
'STH Efficacy'!$CU:$CU,""),
"")</f>
        <v>1</v>
      </c>
      <c r="BK90" s="136">
        <f t="shared" si="22"/>
        <v>1</v>
      </c>
      <c r="BL90" s="444" t="str">
        <f>IFERROR(
  AVERAGEIFS(
    'NEW Onchocerciasis Efficacy'!$AO:$AO,
    'NEW Onchocerciasis Efficacy'!$C:$C,$A90,
    'NEW Onchocerciasis Efficacy'!$D:$D,"Ivermectin",
    'NEW Onchocerciasis Efficacy'!$AR:$AR,"&lt;2016",
    'NEW Onchocerciasis Efficacy'!$BG:$BG,"")
,"")</f>
        <v/>
      </c>
      <c r="BM90" s="304">
        <f t="shared" si="23"/>
        <v>0.3734</v>
      </c>
      <c r="BN90" s="439">
        <v>1.0</v>
      </c>
      <c r="BO90" s="139">
        <v>0.0</v>
      </c>
      <c r="BP90" s="140">
        <v>0.0</v>
      </c>
      <c r="BQ90" s="141">
        <f t="shared" si="24"/>
        <v>0</v>
      </c>
      <c r="BR90" s="104" t="str">
        <f t="shared" si="25"/>
        <v>1000</v>
      </c>
      <c r="BS90" s="104" t="str">
        <f t="shared" si="26"/>
        <v>MDA1/2</v>
      </c>
      <c r="BT90" s="142" t="str">
        <f t="shared" si="27"/>
        <v>IVM+ALB or DEC+ALB</v>
      </c>
      <c r="BU90" s="104" t="str">
        <f t="shared" si="28"/>
        <v/>
      </c>
      <c r="BV90" s="104" t="str">
        <f t="shared" si="29"/>
        <v>lf only</v>
      </c>
      <c r="BW90" s="312">
        <f t="shared" si="30"/>
        <v>1686.655391</v>
      </c>
      <c r="BX90" s="312">
        <f t="shared" si="31"/>
        <v>17618.26188</v>
      </c>
      <c r="BY90" s="151" t="str">
        <f t="shared" si="32"/>
        <v/>
      </c>
      <c r="BZ90" s="152" t="str">
        <f t="shared" si="33"/>
        <v/>
      </c>
      <c r="CA90" s="152" t="str">
        <f t="shared" si="34"/>
        <v/>
      </c>
      <c r="CB90" s="152" t="str">
        <f t="shared" si="35"/>
        <v/>
      </c>
      <c r="CC90" s="153" t="str">
        <f t="shared" si="36"/>
        <v/>
      </c>
      <c r="CD90" s="153" t="str">
        <f t="shared" si="37"/>
        <v/>
      </c>
      <c r="CE90" s="154" t="str">
        <f t="shared" si="38"/>
        <v/>
      </c>
      <c r="CF90" s="154" t="str">
        <f t="shared" si="39"/>
        <v/>
      </c>
      <c r="CG90" s="154" t="str">
        <f t="shared" si="40"/>
        <v/>
      </c>
      <c r="CH90" s="308" t="str">
        <f t="shared" si="41"/>
        <v/>
      </c>
    </row>
    <row r="91">
      <c r="A91" s="103" t="s">
        <v>180</v>
      </c>
      <c r="B91" s="104" t="s">
        <v>98</v>
      </c>
      <c r="C91" s="428">
        <v>8960829.0</v>
      </c>
      <c r="D91" s="161">
        <v>0.0</v>
      </c>
      <c r="E91" s="294">
        <v>0.0</v>
      </c>
      <c r="F91" s="295">
        <v>159.2108294</v>
      </c>
      <c r="G91" s="295">
        <v>661.5270769</v>
      </c>
      <c r="H91" s="108">
        <v>820.7379063</v>
      </c>
      <c r="I91" s="109">
        <v>66.2430505</v>
      </c>
      <c r="J91" s="109">
        <v>171.480557</v>
      </c>
      <c r="K91" s="109">
        <v>237.7236077</v>
      </c>
      <c r="L91" s="112">
        <v>378.0104794</v>
      </c>
      <c r="M91" s="112">
        <v>418.4701293</v>
      </c>
      <c r="N91" s="112">
        <v>796.4806088</v>
      </c>
      <c r="O91" s="298">
        <v>0.0</v>
      </c>
      <c r="P91" s="114"/>
      <c r="Q91" s="114"/>
      <c r="R91" s="121" t="str">
        <f t="shared" si="4"/>
        <v/>
      </c>
      <c r="S91" s="116">
        <f t="shared" si="5"/>
        <v>0.3565746084</v>
      </c>
      <c r="T91" s="117"/>
      <c r="U91" s="118">
        <f t="shared" si="6"/>
        <v>0.4791888889</v>
      </c>
      <c r="V91" s="119">
        <v>0.7139</v>
      </c>
      <c r="W91" s="120">
        <f t="shared" si="7"/>
        <v>0.7139</v>
      </c>
      <c r="X91" s="119">
        <v>0.683</v>
      </c>
      <c r="Y91" s="120">
        <f t="shared" si="8"/>
        <v>0.683</v>
      </c>
      <c r="Z91" s="299"/>
      <c r="AA91" s="441"/>
      <c r="AB91" s="300" t="str">
        <f t="shared" si="9"/>
        <v/>
      </c>
      <c r="AC91" s="300">
        <f t="shared" si="10"/>
        <v>0.7101368438</v>
      </c>
      <c r="AD91" s="122">
        <v>0.0</v>
      </c>
      <c r="AE91" s="123">
        <v>0.0</v>
      </c>
      <c r="AF91" s="430">
        <v>0.0</v>
      </c>
      <c r="AG91" s="316">
        <v>0.0</v>
      </c>
      <c r="AH91" s="316">
        <v>0.266191514</v>
      </c>
      <c r="AI91" s="317">
        <v>0.0</v>
      </c>
      <c r="AJ91" s="317">
        <v>0.032214424</v>
      </c>
      <c r="AK91" s="319">
        <v>0.0</v>
      </c>
      <c r="AL91" s="319">
        <v>0.209290621</v>
      </c>
      <c r="AM91" s="302">
        <v>0.0</v>
      </c>
      <c r="AN91" s="149" t="str">
        <f>IFERROR(
  AVERAGEIFS(
    'New LF Efficacy'!$J:$J,
    'New LF Efficacy'!$D:$D, $A91,
    'New LF Efficacy'!$F:$F,"DEC", 
    'New LF Efficacy'!$W:$W,"&lt;2016",
    'New LF Efficacy'!$AA:$AA,""),
  ""
)</f>
        <v/>
      </c>
      <c r="AO91" s="115">
        <f t="shared" si="11"/>
        <v>0.2589833333</v>
      </c>
      <c r="AP91" s="149" t="str">
        <f>IFERROR(
AVERAGEIFS(
'New LF Efficacy'!$J:$J,
'New LF Efficacy'!$D:$D,$A91,
'New LF Efficacy'!$F:$F,"Albendazole &amp; DEC",
'New LF Efficacy'!$W:$W,"&lt;2016",
'New LF Efficacy'!$AA:$AA,""),
"")
</f>
        <v/>
      </c>
      <c r="AQ91" s="115">
        <f t="shared" si="12"/>
        <v>0.3465</v>
      </c>
      <c r="AR91" s="149" t="str">
        <f>IFERROR(
AVERAGEIFS(
'New LF Efficacy'!$J:$J,
'New LF Efficacy'!$D:$D,$A91,
'New LF Efficacy'!$F:$F,"Albendazole &amp; Ivermectin", 
'New LF Efficacy'!$W:$W,"&lt;2016",
'New LF Efficacy'!$AA:$AA,""),"")</f>
        <v/>
      </c>
      <c r="AS91" s="115">
        <f t="shared" si="13"/>
        <v>0.7575</v>
      </c>
      <c r="AT91" s="442" t="str">
        <f>IFERROR(AVERAGEIFS(
'Schist Efficacy'!$O:$O, 
'Schist Efficacy'!$C:$C,$A91, 
'Schist Efficacy'!$D:$D, "Praziquantel",
'Schist Efficacy'!$J:$J,"&lt;2016",
'Schist Efficacy'!$U:$U,""),
"")</f>
        <v/>
      </c>
      <c r="AU91" s="118">
        <f t="shared" si="14"/>
        <v>0.7914761905</v>
      </c>
      <c r="AV91" s="131" t="str">
        <f>IFERROR(AVERAGEIFS(
'STH Efficacy'!$AX:$AX, 
'STH Efficacy'!$AL:$AL, $A91, 
'STH Efficacy'!$AM:$AM, "Albendazole",
'STH Efficacy'!$AS:$AS,"&lt;2016",
'STH Efficacy'!$BP:$BP,""),
"")</f>
        <v/>
      </c>
      <c r="AW91" s="132">
        <f t="shared" si="15"/>
        <v>0.3945</v>
      </c>
      <c r="AX91" s="131" t="str">
        <f>IFERROR(AVERAGEIFS(
'STH Efficacy'!$AX:$AX, 
'STH Efficacy'!$AL:$AL, $A91, 
'STH Efficacy'!$AM:$AM, "Mebendazole",
'STH Efficacy'!$AS:$AS,"&lt;2016",
'STH Efficacy'!$BP:$BP,""),
"")</f>
        <v/>
      </c>
      <c r="AY91" s="132">
        <f t="shared" si="16"/>
        <v>0.6</v>
      </c>
      <c r="AZ91" s="131" t="str">
        <f>IFERROR(AVERAGEIFS(
'STH Efficacy'!$AX:$AX, 
'STH Efficacy'!$AL:$AL, $A91, 
'STH Efficacy'!$AM:$AM, "Albendazole &amp; Ivermectin",
'STH Efficacy'!$AS:$AS,"&lt;2016",
'STH Efficacy'!$BP:$BP,""),
"")</f>
        <v/>
      </c>
      <c r="BA91" s="133">
        <f t="shared" si="17"/>
        <v>0.796</v>
      </c>
      <c r="BB91" s="443" t="str">
        <f>IFERROR(AVERAGEIFS(
'STH Efficacy'!$N:$N, 
'STH Efficacy'!$B:$B, $A91, 
'STH Efficacy'!$C:$C, "Albendazole",
'STH Efficacy'!$I:$I,"&lt;2016",
'STH Efficacy'!$AH:$AH,""),
"")</f>
        <v/>
      </c>
      <c r="BC91" s="135">
        <f t="shared" si="18"/>
        <v>0.869</v>
      </c>
      <c r="BD91" s="443" t="str">
        <f>IFERROR(AVERAGEIFS(
'STH Efficacy'!$N:$N, 
'STH Efficacy'!$B:$B, $A91, 
'STH Efficacy'!$C:$C, "Mebendazole",
'STH Efficacy'!$I:$I,"&lt;2016",
'STH Efficacy'!$AH:$AH,""),
"")</f>
        <v/>
      </c>
      <c r="BE91" s="135">
        <f t="shared" si="19"/>
        <v>0.172</v>
      </c>
      <c r="BF91" s="436" t="str">
        <f>IFERROR(AVERAGEIFS(
'STH Efficacy'!$CD:$CD, 
'STH Efficacy'!$BS:$BS, $A91, 
'STH Efficacy'!$BT:$BT, "Albendazole",
'STH Efficacy'!$BZ:$BZ,"&lt;2016",
'STH Efficacy'!$CU:$CU,""),
"")</f>
        <v/>
      </c>
      <c r="BG91" s="136">
        <f t="shared" si="20"/>
        <v>0.9862</v>
      </c>
      <c r="BH91" s="436" t="str">
        <f>IFERROR(AVERAGEIFS(
'STH Efficacy'!$CD:$CD, 
'STH Efficacy'!$BS:$BS, $A91, 
'STH Efficacy'!$BT:$BT, "Mebendazole",
'STH Efficacy'!$BZ:$BZ,"&lt;2016",
'STH Efficacy'!$CU:$CU,""),
"")</f>
        <v/>
      </c>
      <c r="BI91" s="136">
        <f t="shared" si="21"/>
        <v>0.769</v>
      </c>
      <c r="BJ91" s="436" t="str">
        <f>IFERROR(AVERAGEIFS(
'STH Efficacy'!$CD:$CD, 
'STH Efficacy'!$BS:$BS, $A91, 
'STH Efficacy'!$BT:$BT, "Albendazole &amp; Ivermectin",
'STH Efficacy'!$BZ:$BZ,"&lt;2016",
'STH Efficacy'!$CU:$CU,""),
"")</f>
        <v/>
      </c>
      <c r="BK91" s="136">
        <f t="shared" si="22"/>
        <v>1</v>
      </c>
      <c r="BL91" s="444" t="str">
        <f>IFERROR(
  AVERAGEIFS(
    'NEW Onchocerciasis Efficacy'!$AO:$AO,
    'NEW Onchocerciasis Efficacy'!$C:$C,$A91,
    'NEW Onchocerciasis Efficacy'!$D:$D,"Ivermectin",
    'NEW Onchocerciasis Efficacy'!$AR:$AR,"&lt;2016",
    'NEW Onchocerciasis Efficacy'!$BG:$BG,"")
,"")</f>
        <v/>
      </c>
      <c r="BM91" s="304">
        <f t="shared" si="23"/>
        <v>0.3734</v>
      </c>
      <c r="BN91" s="439">
        <v>0.0</v>
      </c>
      <c r="BO91" s="139">
        <v>0.0</v>
      </c>
      <c r="BP91" s="140">
        <v>0.0</v>
      </c>
      <c r="BQ91" s="141">
        <f t="shared" si="24"/>
        <v>0</v>
      </c>
      <c r="BR91" s="104" t="str">
        <f t="shared" si="25"/>
        <v>0000</v>
      </c>
      <c r="BS91" s="104" t="str">
        <f t="shared" si="26"/>
        <v>no action required</v>
      </c>
      <c r="BT91" s="142" t="str">
        <f t="shared" si="27"/>
        <v/>
      </c>
      <c r="BU91" s="104" t="str">
        <f t="shared" si="28"/>
        <v/>
      </c>
      <c r="BV91" s="104" t="str">
        <f t="shared" si="29"/>
        <v>none</v>
      </c>
      <c r="BW91" s="150" t="str">
        <f t="shared" si="30"/>
        <v/>
      </c>
      <c r="BX91" s="150" t="str">
        <f t="shared" si="31"/>
        <v/>
      </c>
      <c r="BY91" s="151" t="str">
        <f t="shared" si="32"/>
        <v/>
      </c>
      <c r="BZ91" s="152" t="str">
        <f t="shared" si="33"/>
        <v/>
      </c>
      <c r="CA91" s="152" t="str">
        <f t="shared" si="34"/>
        <v/>
      </c>
      <c r="CB91" s="152" t="str">
        <f t="shared" si="35"/>
        <v/>
      </c>
      <c r="CC91" s="153" t="str">
        <f t="shared" si="36"/>
        <v/>
      </c>
      <c r="CD91" s="153" t="str">
        <f t="shared" si="37"/>
        <v/>
      </c>
      <c r="CE91" s="154" t="str">
        <f t="shared" si="38"/>
        <v/>
      </c>
      <c r="CF91" s="154" t="str">
        <f t="shared" si="39"/>
        <v/>
      </c>
      <c r="CG91" s="154" t="str">
        <f t="shared" si="40"/>
        <v/>
      </c>
      <c r="CH91" s="308" t="str">
        <f t="shared" si="41"/>
        <v/>
      </c>
    </row>
    <row r="92">
      <c r="A92" s="103" t="s">
        <v>181</v>
      </c>
      <c r="B92" s="104" t="s">
        <v>90</v>
      </c>
      <c r="C92" s="428">
        <v>9843028.0</v>
      </c>
      <c r="D92" s="161">
        <v>0.0</v>
      </c>
      <c r="E92" s="294">
        <v>0.0</v>
      </c>
      <c r="F92" s="307">
        <v>0.0</v>
      </c>
      <c r="G92" s="309">
        <v>0.0</v>
      </c>
      <c r="H92" s="108">
        <v>0.0</v>
      </c>
      <c r="I92" s="109">
        <v>0.0</v>
      </c>
      <c r="J92" s="109">
        <v>0.0</v>
      </c>
      <c r="K92" s="109">
        <v>0.0</v>
      </c>
      <c r="L92" s="112">
        <v>0.0</v>
      </c>
      <c r="M92" s="112">
        <v>0.0</v>
      </c>
      <c r="N92" s="112">
        <v>0.0</v>
      </c>
      <c r="O92" s="298">
        <v>0.0</v>
      </c>
      <c r="P92" s="114"/>
      <c r="Q92" s="114"/>
      <c r="R92" s="121" t="str">
        <f t="shared" si="4"/>
        <v/>
      </c>
      <c r="S92" s="116">
        <f t="shared" si="5"/>
        <v>0.5709301448</v>
      </c>
      <c r="T92" s="117"/>
      <c r="U92" s="118">
        <f t="shared" si="6"/>
        <v>0.4791888889</v>
      </c>
      <c r="V92" s="148"/>
      <c r="W92" s="120">
        <f t="shared" si="7"/>
        <v>0.0223</v>
      </c>
      <c r="X92" s="148"/>
      <c r="Y92" s="120">
        <f t="shared" si="8"/>
        <v>0.598275</v>
      </c>
      <c r="Z92" s="299"/>
      <c r="AA92" s="441"/>
      <c r="AB92" s="300" t="str">
        <f t="shared" si="9"/>
        <v/>
      </c>
      <c r="AC92" s="300">
        <f t="shared" si="10"/>
        <v>0.6890056172</v>
      </c>
      <c r="AD92" s="122">
        <v>0.0</v>
      </c>
      <c r="AE92" s="123">
        <v>0.0</v>
      </c>
      <c r="AF92" s="430">
        <v>0.0</v>
      </c>
      <c r="AG92" s="316">
        <v>0.0</v>
      </c>
      <c r="AH92" s="316">
        <v>0.0</v>
      </c>
      <c r="AI92" s="317">
        <v>0.0</v>
      </c>
      <c r="AJ92" s="317">
        <v>0.0</v>
      </c>
      <c r="AK92" s="319">
        <v>0.0</v>
      </c>
      <c r="AL92" s="319">
        <v>0.0</v>
      </c>
      <c r="AM92" s="302">
        <v>0.0</v>
      </c>
      <c r="AN92" s="149" t="str">
        <f>IFERROR(
  AVERAGEIFS(
    'New LF Efficacy'!$J:$J,
    'New LF Efficacy'!$D:$D, $A92,
    'New LF Efficacy'!$F:$F,"DEC", 
    'New LF Efficacy'!$W:$W,"&lt;2016",
    'New LF Efficacy'!$AA:$AA,""),
  ""
)</f>
        <v/>
      </c>
      <c r="AO92" s="115">
        <f t="shared" si="11"/>
        <v>0.3573520833</v>
      </c>
      <c r="AP92" s="149" t="str">
        <f>IFERROR(
AVERAGEIFS(
'New LF Efficacy'!$J:$J,
'New LF Efficacy'!$D:$D,$A92,
'New LF Efficacy'!$F:$F,"Albendazole &amp; DEC",
'New LF Efficacy'!$W:$W,"&lt;2016",
'New LF Efficacy'!$AA:$AA,""),
"")
</f>
        <v/>
      </c>
      <c r="AQ92" s="115">
        <f t="shared" si="12"/>
        <v>0.5143541667</v>
      </c>
      <c r="AR92" s="149" t="str">
        <f>IFERROR(
AVERAGEIFS(
'New LF Efficacy'!$J:$J,
'New LF Efficacy'!$D:$D,$A92,
'New LF Efficacy'!$F:$F,"Albendazole &amp; Ivermectin", 
'New LF Efficacy'!$W:$W,"&lt;2016",
'New LF Efficacy'!$AA:$AA,""),"")</f>
        <v/>
      </c>
      <c r="AS92" s="115">
        <f t="shared" si="13"/>
        <v>0.37153125</v>
      </c>
      <c r="AT92" s="442" t="str">
        <f>IFERROR(AVERAGEIFS(
'Schist Efficacy'!$O:$O, 
'Schist Efficacy'!$C:$C,$A92, 
'Schist Efficacy'!$D:$D, "Praziquantel",
'Schist Efficacy'!$J:$J,"&lt;2016",
'Schist Efficacy'!$U:$U,""),
"")</f>
        <v/>
      </c>
      <c r="AU92" s="118">
        <f t="shared" si="14"/>
        <v>0.655</v>
      </c>
      <c r="AV92" s="131" t="str">
        <f>IFERROR(AVERAGEIFS(
'STH Efficacy'!$AX:$AX, 
'STH Efficacy'!$AL:$AL, $A92, 
'STH Efficacy'!$AM:$AM, "Albendazole",
'STH Efficacy'!$AS:$AS,"&lt;2016",
'STH Efficacy'!$BP:$BP,""),
"")</f>
        <v/>
      </c>
      <c r="AW92" s="132">
        <f t="shared" si="15"/>
        <v>0.4143846154</v>
      </c>
      <c r="AX92" s="131" t="str">
        <f>IFERROR(AVERAGEIFS(
'STH Efficacy'!$AX:$AX, 
'STH Efficacy'!$AL:$AL, $A92, 
'STH Efficacy'!$AM:$AM, "Mebendazole",
'STH Efficacy'!$AS:$AS,"&lt;2016",
'STH Efficacy'!$BP:$BP,""),
"")</f>
        <v/>
      </c>
      <c r="AY92" s="132">
        <f t="shared" si="16"/>
        <v>0.4691770833</v>
      </c>
      <c r="AZ92" s="131" t="str">
        <f>IFERROR(AVERAGEIFS(
'STH Efficacy'!$AX:$AX, 
'STH Efficacy'!$AL:$AL, $A92, 
'STH Efficacy'!$AM:$AM, "Albendazole &amp; Ivermectin",
'STH Efficacy'!$AS:$AS,"&lt;2016",
'STH Efficacy'!$BP:$BP,""),
"")</f>
        <v/>
      </c>
      <c r="BA92" s="133">
        <f t="shared" si="17"/>
        <v>0.597625</v>
      </c>
      <c r="BB92" s="443" t="str">
        <f>IFERROR(AVERAGEIFS(
'STH Efficacy'!$N:$N, 
'STH Efficacy'!$B:$B, $A92, 
'STH Efficacy'!$C:$C, "Albendazole",
'STH Efficacy'!$I:$I,"&lt;2016",
'STH Efficacy'!$AH:$AH,""),
"")</f>
        <v/>
      </c>
      <c r="BC92" s="135">
        <f t="shared" si="18"/>
        <v>0.7613712121</v>
      </c>
      <c r="BD92" s="443" t="str">
        <f>IFERROR(AVERAGEIFS(
'STH Efficacy'!$N:$N, 
'STH Efficacy'!$B:$B, $A92, 
'STH Efficacy'!$C:$C, "Mebendazole",
'STH Efficacy'!$I:$I,"&lt;2016",
'STH Efficacy'!$AH:$AH,""),
"")</f>
        <v/>
      </c>
      <c r="BE92" s="135">
        <f t="shared" si="19"/>
        <v>0.4362466667</v>
      </c>
      <c r="BF92" s="436" t="str">
        <f>IFERROR(AVERAGEIFS(
'STH Efficacy'!$CD:$CD, 
'STH Efficacy'!$BS:$BS, $A92, 
'STH Efficacy'!$BT:$BT, "Albendazole",
'STH Efficacy'!$BZ:$BZ,"&lt;2016",
'STH Efficacy'!$CU:$CU,""),
"")</f>
        <v/>
      </c>
      <c r="BG92" s="136">
        <f t="shared" si="20"/>
        <v>0.9216027778</v>
      </c>
      <c r="BH92" s="436" t="str">
        <f>IFERROR(AVERAGEIFS(
'STH Efficacy'!$CD:$CD, 
'STH Efficacy'!$BS:$BS, $A92, 
'STH Efficacy'!$BT:$BT, "Mebendazole",
'STH Efficacy'!$BZ:$BZ,"&lt;2016",
'STH Efficacy'!$CU:$CU,""),
"")</f>
        <v/>
      </c>
      <c r="BI92" s="136">
        <f t="shared" si="21"/>
        <v>0.8866041667</v>
      </c>
      <c r="BJ92" s="436" t="str">
        <f>IFERROR(AVERAGEIFS(
'STH Efficacy'!$CD:$CD, 
'STH Efficacy'!$BS:$BS, $A92, 
'STH Efficacy'!$BT:$BT, "Albendazole &amp; Ivermectin",
'STH Efficacy'!$BZ:$BZ,"&lt;2016",
'STH Efficacy'!$CU:$CU,""),
"")</f>
        <v/>
      </c>
      <c r="BK92" s="136">
        <f t="shared" si="22"/>
        <v>0.848</v>
      </c>
      <c r="BL92" s="444" t="str">
        <f>IFERROR(
  AVERAGEIFS(
    'NEW Onchocerciasis Efficacy'!$AO:$AO,
    'NEW Onchocerciasis Efficacy'!$C:$C,$A92,
    'NEW Onchocerciasis Efficacy'!$D:$D,"Ivermectin",
    'NEW Onchocerciasis Efficacy'!$AR:$AR,"&lt;2016",
    'NEW Onchocerciasis Efficacy'!$BG:$BG,"")
,"")</f>
        <v/>
      </c>
      <c r="BM92" s="304">
        <f t="shared" si="23"/>
        <v>0.7808368939</v>
      </c>
      <c r="BN92" s="439">
        <v>0.0</v>
      </c>
      <c r="BO92" s="139">
        <v>0.0</v>
      </c>
      <c r="BP92" s="140">
        <v>0.0</v>
      </c>
      <c r="BQ92" s="141">
        <f t="shared" si="24"/>
        <v>0</v>
      </c>
      <c r="BR92" s="104" t="str">
        <f t="shared" si="25"/>
        <v>0000</v>
      </c>
      <c r="BS92" s="104" t="str">
        <f t="shared" si="26"/>
        <v>no action required</v>
      </c>
      <c r="BT92" s="142" t="str">
        <f t="shared" si="27"/>
        <v/>
      </c>
      <c r="BU92" s="104" t="str">
        <f t="shared" si="28"/>
        <v/>
      </c>
      <c r="BV92" s="104" t="str">
        <f t="shared" si="29"/>
        <v>none</v>
      </c>
      <c r="BW92" s="150" t="str">
        <f t="shared" si="30"/>
        <v/>
      </c>
      <c r="BX92" s="150" t="str">
        <f t="shared" si="31"/>
        <v/>
      </c>
      <c r="BY92" s="151" t="str">
        <f t="shared" si="32"/>
        <v/>
      </c>
      <c r="BZ92" s="152" t="str">
        <f t="shared" si="33"/>
        <v/>
      </c>
      <c r="CA92" s="152" t="str">
        <f t="shared" si="34"/>
        <v/>
      </c>
      <c r="CB92" s="152" t="str">
        <f t="shared" si="35"/>
        <v/>
      </c>
      <c r="CC92" s="153" t="str">
        <f t="shared" si="36"/>
        <v/>
      </c>
      <c r="CD92" s="153" t="str">
        <f t="shared" si="37"/>
        <v/>
      </c>
      <c r="CE92" s="154" t="str">
        <f t="shared" si="38"/>
        <v/>
      </c>
      <c r="CF92" s="154" t="str">
        <f t="shared" si="39"/>
        <v/>
      </c>
      <c r="CG92" s="154" t="str">
        <f t="shared" si="40"/>
        <v/>
      </c>
      <c r="CH92" s="308" t="str">
        <f t="shared" si="41"/>
        <v/>
      </c>
    </row>
    <row r="93">
      <c r="A93" s="103" t="s">
        <v>182</v>
      </c>
      <c r="B93" s="104" t="s">
        <v>90</v>
      </c>
      <c r="C93" s="428">
        <v>330815.0</v>
      </c>
      <c r="D93" s="161">
        <v>0.0</v>
      </c>
      <c r="E93" s="294">
        <v>0.0</v>
      </c>
      <c r="F93" s="307">
        <v>0.0</v>
      </c>
      <c r="G93" s="309">
        <v>0.0</v>
      </c>
      <c r="H93" s="108">
        <v>0.0</v>
      </c>
      <c r="I93" s="109">
        <v>0.0</v>
      </c>
      <c r="J93" s="109">
        <v>0.0</v>
      </c>
      <c r="K93" s="109">
        <v>0.0</v>
      </c>
      <c r="L93" s="112">
        <v>0.0</v>
      </c>
      <c r="M93" s="112">
        <v>0.0</v>
      </c>
      <c r="N93" s="112">
        <v>0.0</v>
      </c>
      <c r="O93" s="298">
        <v>0.0</v>
      </c>
      <c r="P93" s="114"/>
      <c r="Q93" s="114"/>
      <c r="R93" s="121" t="str">
        <f t="shared" si="4"/>
        <v/>
      </c>
      <c r="S93" s="116">
        <f t="shared" si="5"/>
        <v>0.5709301448</v>
      </c>
      <c r="T93" s="117"/>
      <c r="U93" s="118">
        <f t="shared" si="6"/>
        <v>0.4791888889</v>
      </c>
      <c r="V93" s="148"/>
      <c r="W93" s="120">
        <f t="shared" si="7"/>
        <v>0.0223</v>
      </c>
      <c r="X93" s="148"/>
      <c r="Y93" s="120">
        <f t="shared" si="8"/>
        <v>0.598275</v>
      </c>
      <c r="Z93" s="299"/>
      <c r="AA93" s="441"/>
      <c r="AB93" s="300" t="str">
        <f t="shared" si="9"/>
        <v/>
      </c>
      <c r="AC93" s="300">
        <f t="shared" si="10"/>
        <v>0.6890056172</v>
      </c>
      <c r="AD93" s="122">
        <v>0.0</v>
      </c>
      <c r="AE93" s="123">
        <v>0.0</v>
      </c>
      <c r="AF93" s="430">
        <v>0.0</v>
      </c>
      <c r="AG93" s="124">
        <v>0.0</v>
      </c>
      <c r="AH93" s="124">
        <v>0.0</v>
      </c>
      <c r="AI93" s="125">
        <v>0.0</v>
      </c>
      <c r="AJ93" s="125">
        <v>0.0</v>
      </c>
      <c r="AK93" s="127">
        <v>0.0</v>
      </c>
      <c r="AL93" s="127">
        <v>0.0</v>
      </c>
      <c r="AM93" s="302">
        <v>0.0</v>
      </c>
      <c r="AN93" s="149" t="str">
        <f>IFERROR(
  AVERAGEIFS(
    'New LF Efficacy'!$J:$J,
    'New LF Efficacy'!$D:$D, $A93,
    'New LF Efficacy'!$F:$F,"DEC", 
    'New LF Efficacy'!$W:$W,"&lt;2016",
    'New LF Efficacy'!$AA:$AA,""),
  ""
)</f>
        <v/>
      </c>
      <c r="AO93" s="115">
        <f t="shared" si="11"/>
        <v>0.3573520833</v>
      </c>
      <c r="AP93" s="149" t="str">
        <f>IFERROR(
AVERAGEIFS(
'New LF Efficacy'!$J:$J,
'New LF Efficacy'!$D:$D,$A93,
'New LF Efficacy'!$F:$F,"Albendazole &amp; DEC",
'New LF Efficacy'!$W:$W,"&lt;2016",
'New LF Efficacy'!$AA:$AA,""),
"")
</f>
        <v/>
      </c>
      <c r="AQ93" s="115">
        <f t="shared" si="12"/>
        <v>0.5143541667</v>
      </c>
      <c r="AR93" s="149" t="str">
        <f>IFERROR(
AVERAGEIFS(
'New LF Efficacy'!$J:$J,
'New LF Efficacy'!$D:$D,$A93,
'New LF Efficacy'!$F:$F,"Albendazole &amp; Ivermectin", 
'New LF Efficacy'!$W:$W,"&lt;2016",
'New LF Efficacy'!$AA:$AA,""),"")</f>
        <v/>
      </c>
      <c r="AS93" s="115">
        <f t="shared" si="13"/>
        <v>0.37153125</v>
      </c>
      <c r="AT93" s="442" t="str">
        <f>IFERROR(AVERAGEIFS(
'Schist Efficacy'!$O:$O, 
'Schist Efficacy'!$C:$C,$A93, 
'Schist Efficacy'!$D:$D, "Praziquantel",
'Schist Efficacy'!$J:$J,"&lt;2016",
'Schist Efficacy'!$U:$U,""),
"")</f>
        <v/>
      </c>
      <c r="AU93" s="118">
        <f t="shared" si="14"/>
        <v>0.655</v>
      </c>
      <c r="AV93" s="131" t="str">
        <f>IFERROR(AVERAGEIFS(
'STH Efficacy'!$AX:$AX, 
'STH Efficacy'!$AL:$AL, $A93, 
'STH Efficacy'!$AM:$AM, "Albendazole",
'STH Efficacy'!$AS:$AS,"&lt;2016",
'STH Efficacy'!$BP:$BP,""),
"")</f>
        <v/>
      </c>
      <c r="AW93" s="132">
        <f t="shared" si="15"/>
        <v>0.4143846154</v>
      </c>
      <c r="AX93" s="131" t="str">
        <f>IFERROR(AVERAGEIFS(
'STH Efficacy'!$AX:$AX, 
'STH Efficacy'!$AL:$AL, $A93, 
'STH Efficacy'!$AM:$AM, "Mebendazole",
'STH Efficacy'!$AS:$AS,"&lt;2016",
'STH Efficacy'!$BP:$BP,""),
"")</f>
        <v/>
      </c>
      <c r="AY93" s="132">
        <f t="shared" si="16"/>
        <v>0.4691770833</v>
      </c>
      <c r="AZ93" s="131" t="str">
        <f>IFERROR(AVERAGEIFS(
'STH Efficacy'!$AX:$AX, 
'STH Efficacy'!$AL:$AL, $A93, 
'STH Efficacy'!$AM:$AM, "Albendazole &amp; Ivermectin",
'STH Efficacy'!$AS:$AS,"&lt;2016",
'STH Efficacy'!$BP:$BP,""),
"")</f>
        <v/>
      </c>
      <c r="BA93" s="133">
        <f t="shared" si="17"/>
        <v>0.597625</v>
      </c>
      <c r="BB93" s="443" t="str">
        <f>IFERROR(AVERAGEIFS(
'STH Efficacy'!$N:$N, 
'STH Efficacy'!$B:$B, $A93, 
'STH Efficacy'!$C:$C, "Albendazole",
'STH Efficacy'!$I:$I,"&lt;2016",
'STH Efficacy'!$AH:$AH,""),
"")</f>
        <v/>
      </c>
      <c r="BC93" s="135">
        <f t="shared" si="18"/>
        <v>0.7613712121</v>
      </c>
      <c r="BD93" s="443" t="str">
        <f>IFERROR(AVERAGEIFS(
'STH Efficacy'!$N:$N, 
'STH Efficacy'!$B:$B, $A93, 
'STH Efficacy'!$C:$C, "Mebendazole",
'STH Efficacy'!$I:$I,"&lt;2016",
'STH Efficacy'!$AH:$AH,""),
"")</f>
        <v/>
      </c>
      <c r="BE93" s="135">
        <f t="shared" si="19"/>
        <v>0.4362466667</v>
      </c>
      <c r="BF93" s="436" t="str">
        <f>IFERROR(AVERAGEIFS(
'STH Efficacy'!$CD:$CD, 
'STH Efficacy'!$BS:$BS, $A93, 
'STH Efficacy'!$BT:$BT, "Albendazole",
'STH Efficacy'!$BZ:$BZ,"&lt;2016",
'STH Efficacy'!$CU:$CU,""),
"")</f>
        <v/>
      </c>
      <c r="BG93" s="136">
        <f t="shared" si="20"/>
        <v>0.9216027778</v>
      </c>
      <c r="BH93" s="436" t="str">
        <f>IFERROR(AVERAGEIFS(
'STH Efficacy'!$CD:$CD, 
'STH Efficacy'!$BS:$BS, $A93, 
'STH Efficacy'!$BT:$BT, "Mebendazole",
'STH Efficacy'!$BZ:$BZ,"&lt;2016",
'STH Efficacy'!$CU:$CU,""),
"")</f>
        <v/>
      </c>
      <c r="BI93" s="136">
        <f t="shared" si="21"/>
        <v>0.8866041667</v>
      </c>
      <c r="BJ93" s="436" t="str">
        <f>IFERROR(AVERAGEIFS(
'STH Efficacy'!$CD:$CD, 
'STH Efficacy'!$BS:$BS, $A93, 
'STH Efficacy'!$BT:$BT, "Albendazole &amp; Ivermectin",
'STH Efficacy'!$BZ:$BZ,"&lt;2016",
'STH Efficacy'!$CU:$CU,""),
"")</f>
        <v/>
      </c>
      <c r="BK93" s="136">
        <f t="shared" si="22"/>
        <v>0.848</v>
      </c>
      <c r="BL93" s="444" t="str">
        <f>IFERROR(
  AVERAGEIFS(
    'NEW Onchocerciasis Efficacy'!$AO:$AO,
    'NEW Onchocerciasis Efficacy'!$C:$C,$A93,
    'NEW Onchocerciasis Efficacy'!$D:$D,"Ivermectin",
    'NEW Onchocerciasis Efficacy'!$AR:$AR,"&lt;2016",
    'NEW Onchocerciasis Efficacy'!$BG:$BG,"")
,"")</f>
        <v/>
      </c>
      <c r="BM93" s="304">
        <f t="shared" si="23"/>
        <v>0.7808368939</v>
      </c>
      <c r="BN93" s="439">
        <v>0.0</v>
      </c>
      <c r="BO93" s="139">
        <v>0.0</v>
      </c>
      <c r="BP93" s="140">
        <v>0.0</v>
      </c>
      <c r="BQ93" s="141">
        <f t="shared" si="24"/>
        <v>0</v>
      </c>
      <c r="BR93" s="104" t="str">
        <f t="shared" si="25"/>
        <v>0000</v>
      </c>
      <c r="BS93" s="104" t="str">
        <f t="shared" si="26"/>
        <v>no action required</v>
      </c>
      <c r="BT93" s="142" t="str">
        <f t="shared" si="27"/>
        <v/>
      </c>
      <c r="BU93" s="104" t="str">
        <f t="shared" si="28"/>
        <v/>
      </c>
      <c r="BV93" s="104" t="str">
        <f t="shared" si="29"/>
        <v>none</v>
      </c>
      <c r="BW93" s="150" t="str">
        <f t="shared" si="30"/>
        <v/>
      </c>
      <c r="BX93" s="150" t="str">
        <f t="shared" si="31"/>
        <v/>
      </c>
      <c r="BY93" s="151" t="str">
        <f t="shared" si="32"/>
        <v/>
      </c>
      <c r="BZ93" s="152" t="str">
        <f t="shared" si="33"/>
        <v/>
      </c>
      <c r="CA93" s="152" t="str">
        <f t="shared" si="34"/>
        <v/>
      </c>
      <c r="CB93" s="152" t="str">
        <f t="shared" si="35"/>
        <v/>
      </c>
      <c r="CC93" s="153" t="str">
        <f t="shared" si="36"/>
        <v/>
      </c>
      <c r="CD93" s="153" t="str">
        <f t="shared" si="37"/>
        <v/>
      </c>
      <c r="CE93" s="154" t="str">
        <f t="shared" si="38"/>
        <v/>
      </c>
      <c r="CF93" s="154" t="str">
        <f t="shared" si="39"/>
        <v/>
      </c>
      <c r="CG93" s="154" t="str">
        <f t="shared" si="40"/>
        <v/>
      </c>
      <c r="CH93" s="308" t="str">
        <f t="shared" si="41"/>
        <v/>
      </c>
    </row>
    <row r="94">
      <c r="A94" s="103" t="s">
        <v>183</v>
      </c>
      <c r="B94" s="104" t="s">
        <v>109</v>
      </c>
      <c r="C94" s="428">
        <v>1.30905398E9</v>
      </c>
      <c r="D94" s="161">
        <v>236171.44</v>
      </c>
      <c r="E94" s="294">
        <v>0.0</v>
      </c>
      <c r="F94" s="322">
        <v>1648.542294</v>
      </c>
      <c r="G94" s="322">
        <v>8036.484643</v>
      </c>
      <c r="H94" s="157">
        <v>9685.026937</v>
      </c>
      <c r="I94" s="110">
        <v>22270.5008</v>
      </c>
      <c r="J94" s="110">
        <v>73030.067</v>
      </c>
      <c r="K94" s="110">
        <v>95300.56778</v>
      </c>
      <c r="L94" s="111">
        <v>38184.45504</v>
      </c>
      <c r="M94" s="111">
        <v>59276.53718</v>
      </c>
      <c r="N94" s="112">
        <v>97460.99221</v>
      </c>
      <c r="O94" s="298">
        <v>0.0</v>
      </c>
      <c r="P94" s="160">
        <v>3.70626634E8</v>
      </c>
      <c r="Q94" s="160">
        <v>2.7962077E8</v>
      </c>
      <c r="R94" s="121">
        <f t="shared" si="4"/>
        <v>0.7544540633</v>
      </c>
      <c r="S94" s="116">
        <f t="shared" si="5"/>
        <v>0.7544540633</v>
      </c>
      <c r="T94" s="117"/>
      <c r="U94" s="118">
        <f t="shared" si="6"/>
        <v>0.2582</v>
      </c>
      <c r="V94" s="119">
        <v>0.676</v>
      </c>
      <c r="W94" s="120">
        <f t="shared" si="7"/>
        <v>0.676</v>
      </c>
      <c r="X94" s="119">
        <v>1.0</v>
      </c>
      <c r="Y94" s="120">
        <f t="shared" si="8"/>
        <v>1</v>
      </c>
      <c r="Z94" s="299"/>
      <c r="AA94" s="441"/>
      <c r="AB94" s="300" t="str">
        <f t="shared" si="9"/>
        <v/>
      </c>
      <c r="AC94" s="300">
        <f t="shared" si="10"/>
        <v>0.6890056172</v>
      </c>
      <c r="AD94" s="122">
        <v>0.0074</v>
      </c>
      <c r="AE94" s="123">
        <v>0.0</v>
      </c>
      <c r="AF94" s="430">
        <v>0.0</v>
      </c>
      <c r="AG94" s="124">
        <v>0.0</v>
      </c>
      <c r="AH94" s="124">
        <v>0.054744862</v>
      </c>
      <c r="AI94" s="125">
        <v>0.0</v>
      </c>
      <c r="AJ94" s="125">
        <v>0.072192489</v>
      </c>
      <c r="AK94" s="127">
        <v>0.0</v>
      </c>
      <c r="AL94" s="127">
        <v>0.158727439</v>
      </c>
      <c r="AM94" s="302">
        <v>0.0</v>
      </c>
      <c r="AN94" s="149">
        <f>IFERROR(
  AVERAGEIFS(
    'New LF Efficacy'!$J:$J,
    'New LF Efficacy'!$D:$D, $A94,
    'New LF Efficacy'!$F:$F,"DEC", 
    'New LF Efficacy'!$W:$W,"&lt;2016",
    'New LF Efficacy'!$AA:$AA,""),
  ""
)</f>
        <v>0.373</v>
      </c>
      <c r="AO94" s="115">
        <f t="shared" si="11"/>
        <v>0.373</v>
      </c>
      <c r="AP94" s="149">
        <f>IFERROR(
AVERAGEIFS(
'New LF Efficacy'!$J:$J,
'New LF Efficacy'!$D:$D,$A94,
'New LF Efficacy'!$F:$F,"Albendazole &amp; DEC",
'New LF Efficacy'!$W:$W,"&lt;2016",
'New LF Efficacy'!$AA:$AA,""),
"")
</f>
        <v>0.4463333333</v>
      </c>
      <c r="AQ94" s="115">
        <f t="shared" si="12"/>
        <v>0.4463333333</v>
      </c>
      <c r="AR94" s="149">
        <f>IFERROR(
AVERAGEIFS(
'New LF Efficacy'!$J:$J,
'New LF Efficacy'!$D:$D,$A94,
'New LF Efficacy'!$F:$F,"Albendazole &amp; Ivermectin", 
'New LF Efficacy'!$W:$W,"&lt;2016",
'New LF Efficacy'!$AA:$AA,""),"")</f>
        <v>0.14</v>
      </c>
      <c r="AS94" s="115">
        <f t="shared" si="13"/>
        <v>0.14</v>
      </c>
      <c r="AT94" s="442" t="str">
        <f>IFERROR(AVERAGEIFS(
'Schist Efficacy'!$O:$O, 
'Schist Efficacy'!$C:$C,$A94, 
'Schist Efficacy'!$D:$D, "Praziquantel",
'Schist Efficacy'!$J:$J,"&lt;2016",
'Schist Efficacy'!$U:$U,""),
"")</f>
        <v/>
      </c>
      <c r="AU94" s="118">
        <f t="shared" si="14"/>
        <v>0.743990088</v>
      </c>
      <c r="AV94" s="131" t="str">
        <f>IFERROR(AVERAGEIFS(
'STH Efficacy'!$AX:$AX, 
'STH Efficacy'!$AL:$AL, $A94, 
'STH Efficacy'!$AM:$AM, "Albendazole",
'STH Efficacy'!$AS:$AS,"&lt;2016",
'STH Efficacy'!$BP:$BP,""),
"")</f>
        <v/>
      </c>
      <c r="AW94" s="132">
        <f t="shared" si="15"/>
        <v>0.5394444444</v>
      </c>
      <c r="AX94" s="131" t="str">
        <f>IFERROR(AVERAGEIFS(
'STH Efficacy'!$AX:$AX, 
'STH Efficacy'!$AL:$AL, $A94, 
'STH Efficacy'!$AM:$AM, "Mebendazole",
'STH Efficacy'!$AS:$AS,"&lt;2016",
'STH Efficacy'!$BP:$BP,""),
"")</f>
        <v/>
      </c>
      <c r="AY94" s="132">
        <f t="shared" si="16"/>
        <v>0.3786666667</v>
      </c>
      <c r="AZ94" s="131" t="str">
        <f>IFERROR(AVERAGEIFS(
'STH Efficacy'!$AX:$AX, 
'STH Efficacy'!$AL:$AL, $A94, 
'STH Efficacy'!$AM:$AM, "Albendazole &amp; Ivermectin",
'STH Efficacy'!$AS:$AS,"&lt;2016",
'STH Efficacy'!$BP:$BP,""),
"")</f>
        <v/>
      </c>
      <c r="BA94" s="133">
        <f t="shared" si="17"/>
        <v>0.597625</v>
      </c>
      <c r="BB94" s="443" t="str">
        <f>IFERROR(AVERAGEIFS(
'STH Efficacy'!$N:$N, 
'STH Efficacy'!$B:$B, $A94, 
'STH Efficacy'!$C:$C, "Albendazole",
'STH Efficacy'!$I:$I,"&lt;2016",
'STH Efficacy'!$AH:$AH,""),
"")</f>
        <v/>
      </c>
      <c r="BC94" s="135">
        <f t="shared" si="18"/>
        <v>0.7133333333</v>
      </c>
      <c r="BD94" s="443" t="str">
        <f>IFERROR(AVERAGEIFS(
'STH Efficacy'!$N:$N, 
'STH Efficacy'!$B:$B, $A94, 
'STH Efficacy'!$C:$C, "Mebendazole",
'STH Efficacy'!$I:$I,"&lt;2016",
'STH Efficacy'!$AH:$AH,""),
"")</f>
        <v/>
      </c>
      <c r="BE94" s="135">
        <f t="shared" si="19"/>
        <v>0.205</v>
      </c>
      <c r="BF94" s="436">
        <f>IFERROR(AVERAGEIFS(
'STH Efficacy'!$CD:$CD, 
'STH Efficacy'!$BS:$BS, $A94, 
'STH Efficacy'!$BT:$BT, "Albendazole",
'STH Efficacy'!$BZ:$BZ,"&lt;2016",
'STH Efficacy'!$CU:$CU,""),
"")</f>
        <v>0.66</v>
      </c>
      <c r="BG94" s="136">
        <f t="shared" si="20"/>
        <v>0.66</v>
      </c>
      <c r="BH94" s="436" t="str">
        <f>IFERROR(AVERAGEIFS(
'STH Efficacy'!$CD:$CD, 
'STH Efficacy'!$BS:$BS, $A94, 
'STH Efficacy'!$BT:$BT, "Mebendazole",
'STH Efficacy'!$BZ:$BZ,"&lt;2016",
'STH Efficacy'!$CU:$CU,""),
"")</f>
        <v/>
      </c>
      <c r="BI94" s="136">
        <f t="shared" si="21"/>
        <v>1</v>
      </c>
      <c r="BJ94" s="436" t="str">
        <f>IFERROR(AVERAGEIFS(
'STH Efficacy'!$CD:$CD, 
'STH Efficacy'!$BS:$BS, $A94, 
'STH Efficacy'!$BT:$BT, "Albendazole &amp; Ivermectin",
'STH Efficacy'!$BZ:$BZ,"&lt;2016",
'STH Efficacy'!$CU:$CU,""),
"")</f>
        <v/>
      </c>
      <c r="BK94" s="136">
        <f t="shared" si="22"/>
        <v>0.848</v>
      </c>
      <c r="BL94" s="444" t="str">
        <f>IFERROR(
  AVERAGEIFS(
    'NEW Onchocerciasis Efficacy'!$AO:$AO,
    'NEW Onchocerciasis Efficacy'!$C:$C,$A94,
    'NEW Onchocerciasis Efficacy'!$D:$D,"Ivermectin",
    'NEW Onchocerciasis Efficacy'!$AR:$AR,"&lt;2016",
    'NEW Onchocerciasis Efficacy'!$BG:$BG,"")
,"")</f>
        <v/>
      </c>
      <c r="BM94" s="304">
        <f t="shared" si="23"/>
        <v>0.7808368939</v>
      </c>
      <c r="BN94" s="439">
        <v>1.0</v>
      </c>
      <c r="BO94" s="139">
        <v>1.0</v>
      </c>
      <c r="BP94" s="140">
        <v>0.0</v>
      </c>
      <c r="BQ94" s="141">
        <f t="shared" si="24"/>
        <v>0</v>
      </c>
      <c r="BR94" s="104" t="str">
        <f t="shared" si="25"/>
        <v>1100</v>
      </c>
      <c r="BS94" s="104" t="str">
        <f t="shared" si="26"/>
        <v>MDA1</v>
      </c>
      <c r="BT94" s="142" t="str">
        <f t="shared" si="27"/>
        <v>IVM+ALB</v>
      </c>
      <c r="BU94" s="104" t="str">
        <f t="shared" si="28"/>
        <v/>
      </c>
      <c r="BV94" s="104" t="str">
        <f t="shared" si="29"/>
        <v>lf+onch</v>
      </c>
      <c r="BW94" s="150" t="str">
        <f t="shared" si="30"/>
        <v/>
      </c>
      <c r="BX94" s="312">
        <f t="shared" si="31"/>
        <v>27891.24298</v>
      </c>
      <c r="BY94" s="151" t="str">
        <f t="shared" si="32"/>
        <v/>
      </c>
      <c r="BZ94" s="152" t="str">
        <f t="shared" si="33"/>
        <v/>
      </c>
      <c r="CA94" s="152" t="str">
        <f t="shared" si="34"/>
        <v/>
      </c>
      <c r="CB94" s="152" t="str">
        <f t="shared" si="35"/>
        <v/>
      </c>
      <c r="CC94" s="153" t="str">
        <f t="shared" si="36"/>
        <v/>
      </c>
      <c r="CD94" s="153" t="str">
        <f t="shared" si="37"/>
        <v/>
      </c>
      <c r="CE94" s="154" t="str">
        <f t="shared" si="38"/>
        <v/>
      </c>
      <c r="CF94" s="154" t="str">
        <f t="shared" si="39"/>
        <v/>
      </c>
      <c r="CG94" s="154" t="str">
        <f t="shared" si="40"/>
        <v/>
      </c>
      <c r="CH94" s="313">
        <f t="shared" si="41"/>
        <v>0</v>
      </c>
    </row>
    <row r="95">
      <c r="A95" s="103" t="s">
        <v>184</v>
      </c>
      <c r="B95" s="104" t="s">
        <v>109</v>
      </c>
      <c r="C95" s="428">
        <v>2.58162113E8</v>
      </c>
      <c r="D95" s="161">
        <v>157189.16999999998</v>
      </c>
      <c r="E95" s="294">
        <v>390.3464548</v>
      </c>
      <c r="F95" s="295">
        <v>246.5502938</v>
      </c>
      <c r="G95" s="322">
        <v>1246.835571</v>
      </c>
      <c r="H95" s="157">
        <v>1493.385865</v>
      </c>
      <c r="I95" s="110">
        <v>2682.62018</v>
      </c>
      <c r="J95" s="110">
        <v>9099.3342</v>
      </c>
      <c r="K95" s="110">
        <v>11781.95437</v>
      </c>
      <c r="L95" s="111">
        <v>10451.71173</v>
      </c>
      <c r="M95" s="111">
        <v>10907.62061</v>
      </c>
      <c r="N95" s="112">
        <v>21359.33233</v>
      </c>
      <c r="O95" s="298">
        <v>0.0</v>
      </c>
      <c r="P95" s="160">
        <v>7.1241075E7</v>
      </c>
      <c r="Q95" s="160">
        <v>3.6292569E7</v>
      </c>
      <c r="R95" s="121">
        <f t="shared" si="4"/>
        <v>0.5094332027</v>
      </c>
      <c r="S95" s="116">
        <f t="shared" si="5"/>
        <v>0.5094332027</v>
      </c>
      <c r="T95" s="118">
        <v>0.2582</v>
      </c>
      <c r="U95" s="118">
        <f t="shared" si="6"/>
        <v>0.2582</v>
      </c>
      <c r="V95" s="119">
        <v>0.3259</v>
      </c>
      <c r="W95" s="120">
        <f t="shared" si="7"/>
        <v>0.3259</v>
      </c>
      <c r="X95" s="119">
        <v>0.321</v>
      </c>
      <c r="Y95" s="120">
        <f t="shared" si="8"/>
        <v>0.321</v>
      </c>
      <c r="Z95" s="299"/>
      <c r="AA95" s="441"/>
      <c r="AB95" s="300" t="str">
        <f t="shared" si="9"/>
        <v/>
      </c>
      <c r="AC95" s="300">
        <f t="shared" si="10"/>
        <v>0.6890056172</v>
      </c>
      <c r="AD95" s="122">
        <v>0.0161</v>
      </c>
      <c r="AE95" s="123">
        <v>0.0</v>
      </c>
      <c r="AF95" s="430">
        <v>0.0</v>
      </c>
      <c r="AG95" s="124">
        <v>0.0541</v>
      </c>
      <c r="AH95" s="124">
        <v>0.083736989</v>
      </c>
      <c r="AI95" s="125">
        <v>0.0392</v>
      </c>
      <c r="AJ95" s="125">
        <v>0.060899036</v>
      </c>
      <c r="AK95" s="127">
        <v>0.0885</v>
      </c>
      <c r="AL95" s="127">
        <v>0.136070993</v>
      </c>
      <c r="AM95" s="302">
        <v>0.0</v>
      </c>
      <c r="AN95" s="149" t="str">
        <f>IFERROR(
  AVERAGEIFS(
    'New LF Efficacy'!$J:$J,
    'New LF Efficacy'!$D:$D, $A95,
    'New LF Efficacy'!$F:$F,"DEC", 
    'New LF Efficacy'!$W:$W,"&lt;2016",
    'New LF Efficacy'!$AA:$AA,""),
  ""
)</f>
        <v/>
      </c>
      <c r="AO95" s="115">
        <f t="shared" si="11"/>
        <v>0.478175</v>
      </c>
      <c r="AP95" s="149">
        <f>IFERROR(
AVERAGEIFS(
'New LF Efficacy'!$J:$J,
'New LF Efficacy'!$D:$D,$A95,
'New LF Efficacy'!$F:$F,"Albendazole &amp; DEC",
'New LF Efficacy'!$W:$W,"&lt;2016",
'New LF Efficacy'!$AA:$AA,""),
"")
</f>
        <v>0.72</v>
      </c>
      <c r="AQ95" s="115">
        <f t="shared" si="12"/>
        <v>0.72</v>
      </c>
      <c r="AR95" s="149" t="str">
        <f>IFERROR(
AVERAGEIFS(
'New LF Efficacy'!$J:$J,
'New LF Efficacy'!$D:$D,$A95,
'New LF Efficacy'!$F:$F,"Albendazole &amp; Ivermectin", 
'New LF Efficacy'!$W:$W,"&lt;2016",
'New LF Efficacy'!$AA:$AA,""),"")</f>
        <v/>
      </c>
      <c r="AS95" s="115">
        <f t="shared" si="13"/>
        <v>0.14</v>
      </c>
      <c r="AT95" s="442" t="str">
        <f>IFERROR(AVERAGEIFS(
'Schist Efficacy'!$O:$O, 
'Schist Efficacy'!$C:$C,$A95, 
'Schist Efficacy'!$D:$D, "Praziquantel",
'Schist Efficacy'!$J:$J,"&lt;2016",
'Schist Efficacy'!$U:$U,""),
"")</f>
        <v/>
      </c>
      <c r="AU95" s="118">
        <f t="shared" si="14"/>
        <v>0.743990088</v>
      </c>
      <c r="AV95" s="131">
        <f>IFERROR(AVERAGEIFS(
'STH Efficacy'!$AX:$AX, 
'STH Efficacy'!$AL:$AL, $A95, 
'STH Efficacy'!$AM:$AM, "Albendazole",
'STH Efficacy'!$AS:$AS,"&lt;2016",
'STH Efficacy'!$BP:$BP,""),
"")</f>
        <v>0.667</v>
      </c>
      <c r="AW95" s="132">
        <f t="shared" si="15"/>
        <v>0.667</v>
      </c>
      <c r="AX95" s="131" t="str">
        <f>IFERROR(AVERAGEIFS(
'STH Efficacy'!$AX:$AX, 
'STH Efficacy'!$AL:$AL, $A95, 
'STH Efficacy'!$AM:$AM, "Mebendazole",
'STH Efficacy'!$AS:$AS,"&lt;2016",
'STH Efficacy'!$BP:$BP,""),
"")</f>
        <v/>
      </c>
      <c r="AY95" s="132">
        <f t="shared" si="16"/>
        <v>0.3786666667</v>
      </c>
      <c r="AZ95" s="131" t="str">
        <f>IFERROR(AVERAGEIFS(
'STH Efficacy'!$AX:$AX, 
'STH Efficacy'!$AL:$AL, $A95, 
'STH Efficacy'!$AM:$AM, "Albendazole &amp; Ivermectin",
'STH Efficacy'!$AS:$AS,"&lt;2016",
'STH Efficacy'!$BP:$BP,""),
"")</f>
        <v/>
      </c>
      <c r="BA95" s="133">
        <f t="shared" si="17"/>
        <v>0.597625</v>
      </c>
      <c r="BB95" s="443" t="str">
        <f>IFERROR(AVERAGEIFS(
'STH Efficacy'!$N:$N, 
'STH Efficacy'!$B:$B, $A95, 
'STH Efficacy'!$C:$C, "Albendazole",
'STH Efficacy'!$I:$I,"&lt;2016",
'STH Efficacy'!$AH:$AH,""),
"")</f>
        <v/>
      </c>
      <c r="BC95" s="135">
        <f t="shared" si="18"/>
        <v>0.7133333333</v>
      </c>
      <c r="BD95" s="443" t="str">
        <f>IFERROR(AVERAGEIFS(
'STH Efficacy'!$N:$N, 
'STH Efficacy'!$B:$B, $A95, 
'STH Efficacy'!$C:$C, "Mebendazole",
'STH Efficacy'!$I:$I,"&lt;2016",
'STH Efficacy'!$AH:$AH,""),
"")</f>
        <v/>
      </c>
      <c r="BE95" s="135">
        <f t="shared" si="19"/>
        <v>0.205</v>
      </c>
      <c r="BF95" s="436" t="str">
        <f>IFERROR(AVERAGEIFS(
'STH Efficacy'!$CD:$CD, 
'STH Efficacy'!$BS:$BS, $A95, 
'STH Efficacy'!$BT:$BT, "Albendazole",
'STH Efficacy'!$BZ:$BZ,"&lt;2016",
'STH Efficacy'!$CU:$CU,""),
"")</f>
        <v/>
      </c>
      <c r="BG95" s="136">
        <f t="shared" si="20"/>
        <v>0.83</v>
      </c>
      <c r="BH95" s="436" t="str">
        <f>IFERROR(AVERAGEIFS(
'STH Efficacy'!$CD:$CD, 
'STH Efficacy'!$BS:$BS, $A95, 
'STH Efficacy'!$BT:$BT, "Mebendazole",
'STH Efficacy'!$BZ:$BZ,"&lt;2016",
'STH Efficacy'!$CU:$CU,""),
"")</f>
        <v/>
      </c>
      <c r="BI95" s="136">
        <f t="shared" si="21"/>
        <v>1</v>
      </c>
      <c r="BJ95" s="436" t="str">
        <f>IFERROR(AVERAGEIFS(
'STH Efficacy'!$CD:$CD, 
'STH Efficacy'!$BS:$BS, $A95, 
'STH Efficacy'!$BT:$BT, "Albendazole &amp; Ivermectin",
'STH Efficacy'!$BZ:$BZ,"&lt;2016",
'STH Efficacy'!$CU:$CU,""),
"")</f>
        <v/>
      </c>
      <c r="BK95" s="136">
        <f t="shared" si="22"/>
        <v>0.848</v>
      </c>
      <c r="BL95" s="444" t="str">
        <f>IFERROR(
  AVERAGEIFS(
    'NEW Onchocerciasis Efficacy'!$AO:$AO,
    'NEW Onchocerciasis Efficacy'!$C:$C,$A95,
    'NEW Onchocerciasis Efficacy'!$D:$D,"Ivermectin",
    'NEW Onchocerciasis Efficacy'!$AR:$AR,"&lt;2016",
    'NEW Onchocerciasis Efficacy'!$BG:$BG,"")
,"")</f>
        <v/>
      </c>
      <c r="BM95" s="304">
        <f t="shared" si="23"/>
        <v>0.7808368939</v>
      </c>
      <c r="BN95" s="439">
        <v>1.0</v>
      </c>
      <c r="BO95" s="139">
        <v>0.0</v>
      </c>
      <c r="BP95" s="140">
        <v>1.0</v>
      </c>
      <c r="BQ95" s="141">
        <f t="shared" si="24"/>
        <v>0</v>
      </c>
      <c r="BR95" s="104" t="str">
        <f t="shared" si="25"/>
        <v>1010</v>
      </c>
      <c r="BS95" s="104" t="str">
        <f t="shared" si="26"/>
        <v>MDA1/2+T2</v>
      </c>
      <c r="BT95" s="142" t="str">
        <f t="shared" si="27"/>
        <v>IVM+ALB or DEC +ALB</v>
      </c>
      <c r="BU95" s="104" t="str">
        <f t="shared" si="28"/>
        <v>PZQ</v>
      </c>
      <c r="BV95" s="104" t="str">
        <f t="shared" si="29"/>
        <v>lf+schist </v>
      </c>
      <c r="BW95" s="150" t="str">
        <f t="shared" si="30"/>
        <v/>
      </c>
      <c r="BX95" s="312">
        <f t="shared" si="31"/>
        <v>12071.80229</v>
      </c>
      <c r="BY95" s="162">
        <f t="shared" si="32"/>
        <v>92.81433836</v>
      </c>
      <c r="BZ95" s="152" t="str">
        <f t="shared" si="33"/>
        <v/>
      </c>
      <c r="CA95" s="152" t="str">
        <f t="shared" si="34"/>
        <v/>
      </c>
      <c r="CB95" s="152" t="str">
        <f t="shared" si="35"/>
        <v/>
      </c>
      <c r="CC95" s="153" t="str">
        <f t="shared" si="36"/>
        <v/>
      </c>
      <c r="CD95" s="153" t="str">
        <f t="shared" si="37"/>
        <v/>
      </c>
      <c r="CE95" s="154" t="str">
        <f t="shared" si="38"/>
        <v/>
      </c>
      <c r="CF95" s="154" t="str">
        <f t="shared" si="39"/>
        <v/>
      </c>
      <c r="CG95" s="154" t="str">
        <f t="shared" si="40"/>
        <v/>
      </c>
      <c r="CH95" s="308" t="str">
        <f t="shared" si="41"/>
        <v/>
      </c>
    </row>
    <row r="96">
      <c r="A96" s="155" t="s">
        <v>185</v>
      </c>
      <c r="B96" s="104" t="s">
        <v>88</v>
      </c>
      <c r="C96" s="428">
        <v>7.9360487E7</v>
      </c>
      <c r="D96" s="161">
        <v>0.0</v>
      </c>
      <c r="E96" s="294">
        <v>261.0575567</v>
      </c>
      <c r="F96" s="295">
        <v>2.37777E-4</v>
      </c>
      <c r="G96" s="295">
        <v>0.001279477</v>
      </c>
      <c r="H96" s="108">
        <v>0.001517254</v>
      </c>
      <c r="I96" s="109">
        <v>68.8644084</v>
      </c>
      <c r="J96" s="109">
        <v>60.0202665</v>
      </c>
      <c r="K96" s="109">
        <v>128.8846749</v>
      </c>
      <c r="L96" s="112">
        <v>71.543026</v>
      </c>
      <c r="M96" s="112">
        <v>52.20908432</v>
      </c>
      <c r="N96" s="112">
        <v>123.7521103</v>
      </c>
      <c r="O96" s="298">
        <v>0.0</v>
      </c>
      <c r="P96" s="114"/>
      <c r="Q96" s="114"/>
      <c r="R96" s="121" t="str">
        <f t="shared" si="4"/>
        <v/>
      </c>
      <c r="S96" s="116">
        <f t="shared" si="5"/>
        <v>0.5709301448</v>
      </c>
      <c r="T96" s="117"/>
      <c r="U96" s="118">
        <f t="shared" si="6"/>
        <v>0.739</v>
      </c>
      <c r="V96" s="148"/>
      <c r="W96" s="120">
        <f t="shared" si="7"/>
        <v>0.9933333333</v>
      </c>
      <c r="X96" s="148"/>
      <c r="Y96" s="120">
        <f t="shared" si="8"/>
        <v>0.5301</v>
      </c>
      <c r="Z96" s="299"/>
      <c r="AA96" s="441"/>
      <c r="AB96" s="300" t="str">
        <f t="shared" si="9"/>
        <v/>
      </c>
      <c r="AC96" s="300">
        <f t="shared" si="10"/>
        <v>0.4014082288</v>
      </c>
      <c r="AD96" s="122">
        <v>0.0</v>
      </c>
      <c r="AE96" s="123">
        <v>0.0</v>
      </c>
      <c r="AF96" s="430">
        <v>0.0</v>
      </c>
      <c r="AG96" s="124">
        <v>0.0</v>
      </c>
      <c r="AH96" s="124">
        <v>0.001830313</v>
      </c>
      <c r="AI96" s="125">
        <v>0.0</v>
      </c>
      <c r="AJ96" s="125">
        <v>0.001949571</v>
      </c>
      <c r="AK96" s="127">
        <v>0.0</v>
      </c>
      <c r="AL96" s="127">
        <v>0.013977127</v>
      </c>
      <c r="AM96" s="302">
        <v>0.0</v>
      </c>
      <c r="AN96" s="149" t="str">
        <f>IFERROR(
  AVERAGEIFS(
    'New LF Efficacy'!$J:$J,
    'New LF Efficacy'!$D:$D, $A96,
    'New LF Efficacy'!$F:$F,"DEC", 
    'New LF Efficacy'!$W:$W,"&lt;2016",
    'New LF Efficacy'!$AA:$AA,""),
  ""
)</f>
        <v/>
      </c>
      <c r="AO96" s="115">
        <f t="shared" si="11"/>
        <v>0.3573520833</v>
      </c>
      <c r="AP96" s="149" t="str">
        <f>IFERROR(
AVERAGEIFS(
'New LF Efficacy'!$J:$J,
'New LF Efficacy'!$D:$D,$A96,
'New LF Efficacy'!$F:$F,"Albendazole &amp; DEC",
'New LF Efficacy'!$W:$W,"&lt;2016",
'New LF Efficacy'!$AA:$AA,""),
"")
</f>
        <v/>
      </c>
      <c r="AQ96" s="115">
        <f t="shared" si="12"/>
        <v>0.7935</v>
      </c>
      <c r="AR96" s="149" t="str">
        <f>IFERROR(
AVERAGEIFS(
'New LF Efficacy'!$J:$J,
'New LF Efficacy'!$D:$D,$A96,
'New LF Efficacy'!$F:$F,"Albendazole &amp; Ivermectin", 
'New LF Efficacy'!$W:$W,"&lt;2016",
'New LF Efficacy'!$AA:$AA,""),"")</f>
        <v/>
      </c>
      <c r="AS96" s="115">
        <f t="shared" si="13"/>
        <v>0.37153125</v>
      </c>
      <c r="AT96" s="442" t="str">
        <f>IFERROR(AVERAGEIFS(
'Schist Efficacy'!$O:$O, 
'Schist Efficacy'!$C:$C,$A96, 
'Schist Efficacy'!$D:$D, "Praziquantel",
'Schist Efficacy'!$J:$J,"&lt;2016",
'Schist Efficacy'!$U:$U,""),
"")</f>
        <v/>
      </c>
      <c r="AU96" s="118">
        <f t="shared" si="14"/>
        <v>0.7763141026</v>
      </c>
      <c r="AV96" s="131" t="str">
        <f>IFERROR(AVERAGEIFS(
'STH Efficacy'!$AX:$AX, 
'STH Efficacy'!$AL:$AL, $A96, 
'STH Efficacy'!$AM:$AM, "Albendazole",
'STH Efficacy'!$AS:$AS,"&lt;2016",
'STH Efficacy'!$BP:$BP,""),
"")</f>
        <v/>
      </c>
      <c r="AW96" s="132">
        <f t="shared" si="15"/>
        <v>0.4143846154</v>
      </c>
      <c r="AX96" s="131" t="str">
        <f>IFERROR(AVERAGEIFS(
'STH Efficacy'!$AX:$AX, 
'STH Efficacy'!$AL:$AL, $A96, 
'STH Efficacy'!$AM:$AM, "Mebendazole",
'STH Efficacy'!$AS:$AS,"&lt;2016",
'STH Efficacy'!$BP:$BP,""),
"")</f>
        <v/>
      </c>
      <c r="AY96" s="132">
        <f t="shared" si="16"/>
        <v>0.4691770833</v>
      </c>
      <c r="AZ96" s="131" t="str">
        <f>IFERROR(AVERAGEIFS(
'STH Efficacy'!$AX:$AX, 
'STH Efficacy'!$AL:$AL, $A96, 
'STH Efficacy'!$AM:$AM, "Albendazole &amp; Ivermectin",
'STH Efficacy'!$AS:$AS,"&lt;2016",
'STH Efficacy'!$BP:$BP,""),
"")</f>
        <v/>
      </c>
      <c r="BA96" s="133">
        <f t="shared" si="17"/>
        <v>0.597625</v>
      </c>
      <c r="BB96" s="443" t="str">
        <f>IFERROR(AVERAGEIFS(
'STH Efficacy'!$N:$N, 
'STH Efficacy'!$B:$B, $A96, 
'STH Efficacy'!$C:$C, "Albendazole",
'STH Efficacy'!$I:$I,"&lt;2016",
'STH Efficacy'!$AH:$AH,""),
"")</f>
        <v/>
      </c>
      <c r="BC96" s="135">
        <f t="shared" si="18"/>
        <v>0.7613712121</v>
      </c>
      <c r="BD96" s="443" t="str">
        <f>IFERROR(AVERAGEIFS(
'STH Efficacy'!$N:$N, 
'STH Efficacy'!$B:$B, $A96, 
'STH Efficacy'!$C:$C, "Mebendazole",
'STH Efficacy'!$I:$I,"&lt;2016",
'STH Efficacy'!$AH:$AH,""),
"")</f>
        <v/>
      </c>
      <c r="BE96" s="135">
        <f t="shared" si="19"/>
        <v>0.4362466667</v>
      </c>
      <c r="BF96" s="436" t="str">
        <f>IFERROR(AVERAGEIFS(
'STH Efficacy'!$CD:$CD, 
'STH Efficacy'!$BS:$BS, $A96, 
'STH Efficacy'!$BT:$BT, "Albendazole",
'STH Efficacy'!$BZ:$BZ,"&lt;2016",
'STH Efficacy'!$CU:$CU,""),
"")</f>
        <v/>
      </c>
      <c r="BG96" s="136">
        <f t="shared" si="20"/>
        <v>0.955</v>
      </c>
      <c r="BH96" s="436" t="str">
        <f>IFERROR(AVERAGEIFS(
'STH Efficacy'!$CD:$CD, 
'STH Efficacy'!$BS:$BS, $A96, 
'STH Efficacy'!$BT:$BT, "Mebendazole",
'STH Efficacy'!$BZ:$BZ,"&lt;2016",
'STH Efficacy'!$CU:$CU,""),
"")</f>
        <v/>
      </c>
      <c r="BI96" s="136">
        <f t="shared" si="21"/>
        <v>1</v>
      </c>
      <c r="BJ96" s="436" t="str">
        <f>IFERROR(AVERAGEIFS(
'STH Efficacy'!$CD:$CD, 
'STH Efficacy'!$BS:$BS, $A96, 
'STH Efficacy'!$BT:$BT, "Albendazole &amp; Ivermectin",
'STH Efficacy'!$BZ:$BZ,"&lt;2016",
'STH Efficacy'!$CU:$CU,""),
"")</f>
        <v/>
      </c>
      <c r="BK96" s="136">
        <f t="shared" si="22"/>
        <v>0.848</v>
      </c>
      <c r="BL96" s="444" t="str">
        <f>IFERROR(
  AVERAGEIFS(
    'NEW Onchocerciasis Efficacy'!$AO:$AO,
    'NEW Onchocerciasis Efficacy'!$C:$C,$A96,
    'NEW Onchocerciasis Efficacy'!$D:$D,"Ivermectin",
    'NEW Onchocerciasis Efficacy'!$AR:$AR,"&lt;2016",
    'NEW Onchocerciasis Efficacy'!$BG:$BG,"")
,"")</f>
        <v/>
      </c>
      <c r="BM96" s="304">
        <f t="shared" si="23"/>
        <v>0.7808368939</v>
      </c>
      <c r="BN96" s="439">
        <v>0.0</v>
      </c>
      <c r="BO96" s="139">
        <v>0.0</v>
      </c>
      <c r="BP96" s="140">
        <v>0.0</v>
      </c>
      <c r="BQ96" s="141">
        <f t="shared" si="24"/>
        <v>0</v>
      </c>
      <c r="BR96" s="104" t="str">
        <f t="shared" si="25"/>
        <v>0000</v>
      </c>
      <c r="BS96" s="104" t="str">
        <f t="shared" si="26"/>
        <v>no action required</v>
      </c>
      <c r="BT96" s="142" t="str">
        <f t="shared" si="27"/>
        <v/>
      </c>
      <c r="BU96" s="104" t="str">
        <f t="shared" si="28"/>
        <v/>
      </c>
      <c r="BV96" s="104" t="str">
        <f t="shared" si="29"/>
        <v>none</v>
      </c>
      <c r="BW96" s="150" t="str">
        <f t="shared" si="30"/>
        <v/>
      </c>
      <c r="BX96" s="150" t="str">
        <f t="shared" si="31"/>
        <v/>
      </c>
      <c r="BY96" s="151" t="str">
        <f t="shared" si="32"/>
        <v/>
      </c>
      <c r="BZ96" s="152" t="str">
        <f t="shared" si="33"/>
        <v/>
      </c>
      <c r="CA96" s="152" t="str">
        <f t="shared" si="34"/>
        <v/>
      </c>
      <c r="CB96" s="152" t="str">
        <f t="shared" si="35"/>
        <v/>
      </c>
      <c r="CC96" s="153" t="str">
        <f t="shared" si="36"/>
        <v/>
      </c>
      <c r="CD96" s="153" t="str">
        <f t="shared" si="37"/>
        <v/>
      </c>
      <c r="CE96" s="154" t="str">
        <f t="shared" si="38"/>
        <v/>
      </c>
      <c r="CF96" s="154" t="str">
        <f t="shared" si="39"/>
        <v/>
      </c>
      <c r="CG96" s="154" t="str">
        <f t="shared" si="40"/>
        <v/>
      </c>
      <c r="CH96" s="308" t="str">
        <f t="shared" si="41"/>
        <v/>
      </c>
    </row>
    <row r="97">
      <c r="A97" s="155" t="s">
        <v>186</v>
      </c>
      <c r="B97" s="104" t="s">
        <v>88</v>
      </c>
      <c r="C97" s="428">
        <v>3.6115649E7</v>
      </c>
      <c r="D97" s="161">
        <v>0.0</v>
      </c>
      <c r="E97" s="294">
        <v>5667.600259</v>
      </c>
      <c r="F97" s="295">
        <v>0.003789104</v>
      </c>
      <c r="G97" s="295">
        <v>0.012415977</v>
      </c>
      <c r="H97" s="108">
        <v>0.016205081</v>
      </c>
      <c r="I97" s="109">
        <v>0.58583039</v>
      </c>
      <c r="J97" s="109">
        <v>0.82876158</v>
      </c>
      <c r="K97" s="109">
        <v>1.414591965</v>
      </c>
      <c r="L97" s="112">
        <v>48.06452431</v>
      </c>
      <c r="M97" s="112">
        <v>17.96752216</v>
      </c>
      <c r="N97" s="112">
        <v>66.03204646</v>
      </c>
      <c r="O97" s="298">
        <v>0.0</v>
      </c>
      <c r="P97" s="114"/>
      <c r="Q97" s="114"/>
      <c r="R97" s="121" t="str">
        <f t="shared" si="4"/>
        <v/>
      </c>
      <c r="S97" s="116">
        <f t="shared" si="5"/>
        <v>0.5709301448</v>
      </c>
      <c r="T97" s="448"/>
      <c r="U97" s="449">
        <f t="shared" si="6"/>
        <v>0.739</v>
      </c>
      <c r="V97" s="148"/>
      <c r="W97" s="120">
        <f t="shared" si="7"/>
        <v>0.9933333333</v>
      </c>
      <c r="X97" s="148"/>
      <c r="Y97" s="120">
        <f t="shared" si="8"/>
        <v>0.5301</v>
      </c>
      <c r="Z97" s="299"/>
      <c r="AA97" s="441"/>
      <c r="AB97" s="300" t="str">
        <f t="shared" si="9"/>
        <v/>
      </c>
      <c r="AC97" s="300">
        <f t="shared" si="10"/>
        <v>0.4014082288</v>
      </c>
      <c r="AD97" s="122">
        <v>0.0</v>
      </c>
      <c r="AE97" s="123">
        <v>0.02</v>
      </c>
      <c r="AF97" s="430">
        <v>0.0025</v>
      </c>
      <c r="AG97" s="124">
        <v>0.0</v>
      </c>
      <c r="AH97" s="124">
        <v>3.63799E-4</v>
      </c>
      <c r="AI97" s="125">
        <v>0.0</v>
      </c>
      <c r="AJ97" s="125">
        <v>2.59721E-5</v>
      </c>
      <c r="AK97" s="127">
        <v>0.0</v>
      </c>
      <c r="AL97" s="127">
        <v>5.87346E-4</v>
      </c>
      <c r="AM97" s="302">
        <v>0.0</v>
      </c>
      <c r="AN97" s="149" t="str">
        <f>IFERROR(
  AVERAGEIFS(
    'New LF Efficacy'!$J:$J,
    'New LF Efficacy'!$D:$D, $A97,
    'New LF Efficacy'!$F:$F,"DEC", 
    'New LF Efficacy'!$W:$W,"&lt;2016",
    'New LF Efficacy'!$AA:$AA,""),
  ""
)</f>
        <v/>
      </c>
      <c r="AO97" s="115">
        <f t="shared" si="11"/>
        <v>0.3573520833</v>
      </c>
      <c r="AP97" s="149" t="str">
        <f>IFERROR(
AVERAGEIFS(
'New LF Efficacy'!$J:$J,
'New LF Efficacy'!$D:$D,$A97,
'New LF Efficacy'!$F:$F,"Albendazole &amp; DEC",
'New LF Efficacy'!$W:$W,"&lt;2016",
'New LF Efficacy'!$AA:$AA,""),
"")
</f>
        <v/>
      </c>
      <c r="AQ97" s="115">
        <f t="shared" si="12"/>
        <v>0.7935</v>
      </c>
      <c r="AR97" s="149" t="str">
        <f>IFERROR(
AVERAGEIFS(
'New LF Efficacy'!$J:$J,
'New LF Efficacy'!$D:$D,$A97,
'New LF Efficacy'!$F:$F,"Albendazole &amp; Ivermectin", 
'New LF Efficacy'!$W:$W,"&lt;2016",
'New LF Efficacy'!$AA:$AA,""),"")</f>
        <v/>
      </c>
      <c r="AS97" s="115">
        <f t="shared" si="13"/>
        <v>0.37153125</v>
      </c>
      <c r="AT97" s="442" t="str">
        <f>IFERROR(AVERAGEIFS(
'Schist Efficacy'!$O:$O, 
'Schist Efficacy'!$C:$C,$A97, 
'Schist Efficacy'!$D:$D, "Praziquantel",
'Schist Efficacy'!$J:$J,"&lt;2016",
'Schist Efficacy'!$U:$U,""),
"")</f>
        <v/>
      </c>
      <c r="AU97" s="118">
        <f t="shared" si="14"/>
        <v>0.7763141026</v>
      </c>
      <c r="AV97" s="131" t="str">
        <f>IFERROR(AVERAGEIFS(
'STH Efficacy'!$AX:$AX, 
'STH Efficacy'!$AL:$AL, $A97, 
'STH Efficacy'!$AM:$AM, "Albendazole",
'STH Efficacy'!$AS:$AS,"&lt;2016",
'STH Efficacy'!$BP:$BP,""),
"")</f>
        <v/>
      </c>
      <c r="AW97" s="132">
        <f t="shared" si="15"/>
        <v>0.4143846154</v>
      </c>
      <c r="AX97" s="131" t="str">
        <f>IFERROR(AVERAGEIFS(
'STH Efficacy'!$AX:$AX, 
'STH Efficacy'!$AL:$AL, $A97, 
'STH Efficacy'!$AM:$AM, "Mebendazole",
'STH Efficacy'!$AS:$AS,"&lt;2016",
'STH Efficacy'!$BP:$BP,""),
"")</f>
        <v/>
      </c>
      <c r="AY97" s="132">
        <f t="shared" si="16"/>
        <v>0.4691770833</v>
      </c>
      <c r="AZ97" s="131" t="str">
        <f>IFERROR(AVERAGEIFS(
'STH Efficacy'!$AX:$AX, 
'STH Efficacy'!$AL:$AL, $A97, 
'STH Efficacy'!$AM:$AM, "Albendazole &amp; Ivermectin",
'STH Efficacy'!$AS:$AS,"&lt;2016",
'STH Efficacy'!$BP:$BP,""),
"")</f>
        <v/>
      </c>
      <c r="BA97" s="133">
        <f t="shared" si="17"/>
        <v>0.597625</v>
      </c>
      <c r="BB97" s="443" t="str">
        <f>IFERROR(AVERAGEIFS(
'STH Efficacy'!$N:$N, 
'STH Efficacy'!$B:$B, $A97, 
'STH Efficacy'!$C:$C, "Albendazole",
'STH Efficacy'!$I:$I,"&lt;2016",
'STH Efficacy'!$AH:$AH,""),
"")</f>
        <v/>
      </c>
      <c r="BC97" s="135">
        <f t="shared" si="18"/>
        <v>0.7613712121</v>
      </c>
      <c r="BD97" s="443" t="str">
        <f>IFERROR(AVERAGEIFS(
'STH Efficacy'!$N:$N, 
'STH Efficacy'!$B:$B, $A97, 
'STH Efficacy'!$C:$C, "Mebendazole",
'STH Efficacy'!$I:$I,"&lt;2016",
'STH Efficacy'!$AH:$AH,""),
"")</f>
        <v/>
      </c>
      <c r="BE97" s="135">
        <f t="shared" si="19"/>
        <v>0.4362466667</v>
      </c>
      <c r="BF97" s="436">
        <f>IFERROR(AVERAGEIFS(
'STH Efficacy'!$CD:$CD, 
'STH Efficacy'!$BS:$BS, $A97, 
'STH Efficacy'!$BT:$BT, "Albendazole",
'STH Efficacy'!$BZ:$BZ,"&lt;2016",
'STH Efficacy'!$CU:$CU,""),
"")</f>
        <v>0.955</v>
      </c>
      <c r="BG97" s="136">
        <f t="shared" si="20"/>
        <v>0.955</v>
      </c>
      <c r="BH97" s="436" t="str">
        <f>IFERROR(AVERAGEIFS(
'STH Efficacy'!$CD:$CD, 
'STH Efficacy'!$BS:$BS, $A97, 
'STH Efficacy'!$BT:$BT, "Mebendazole",
'STH Efficacy'!$BZ:$BZ,"&lt;2016",
'STH Efficacy'!$CU:$CU,""),
"")</f>
        <v/>
      </c>
      <c r="BI97" s="136">
        <f t="shared" si="21"/>
        <v>1</v>
      </c>
      <c r="BJ97" s="436" t="str">
        <f>IFERROR(AVERAGEIFS(
'STH Efficacy'!$CD:$CD, 
'STH Efficacy'!$BS:$BS, $A97, 
'STH Efficacy'!$BT:$BT, "Albendazole &amp; Ivermectin",
'STH Efficacy'!$BZ:$BZ,"&lt;2016",
'STH Efficacy'!$CU:$CU,""),
"")</f>
        <v/>
      </c>
      <c r="BK97" s="136">
        <f t="shared" si="22"/>
        <v>0.848</v>
      </c>
      <c r="BL97" s="444" t="str">
        <f>IFERROR(
  AVERAGEIFS(
    'NEW Onchocerciasis Efficacy'!$AO:$AO,
    'NEW Onchocerciasis Efficacy'!$C:$C,$A97,
    'NEW Onchocerciasis Efficacy'!$D:$D,"Ivermectin",
    'NEW Onchocerciasis Efficacy'!$AR:$AR,"&lt;2016",
    'NEW Onchocerciasis Efficacy'!$BG:$BG,"")
,"")</f>
        <v/>
      </c>
      <c r="BM97" s="304">
        <f t="shared" si="23"/>
        <v>0.7808368939</v>
      </c>
      <c r="BN97" s="439">
        <v>0.0</v>
      </c>
      <c r="BO97" s="139">
        <v>0.0</v>
      </c>
      <c r="BP97" s="140">
        <v>0.0</v>
      </c>
      <c r="BQ97" s="141">
        <f t="shared" si="24"/>
        <v>0</v>
      </c>
      <c r="BR97" s="104" t="str">
        <f t="shared" si="25"/>
        <v>0000</v>
      </c>
      <c r="BS97" s="104" t="str">
        <f t="shared" si="26"/>
        <v>no action required</v>
      </c>
      <c r="BT97" s="142" t="str">
        <f t="shared" si="27"/>
        <v/>
      </c>
      <c r="BU97" s="104" t="str">
        <f t="shared" si="28"/>
        <v/>
      </c>
      <c r="BV97" s="104" t="str">
        <f t="shared" si="29"/>
        <v>none</v>
      </c>
      <c r="BW97" s="150" t="str">
        <f t="shared" si="30"/>
        <v/>
      </c>
      <c r="BX97" s="150" t="str">
        <f t="shared" si="31"/>
        <v/>
      </c>
      <c r="BY97" s="151" t="str">
        <f t="shared" si="32"/>
        <v/>
      </c>
      <c r="BZ97" s="152" t="str">
        <f t="shared" si="33"/>
        <v/>
      </c>
      <c r="CA97" s="152" t="str">
        <f t="shared" si="34"/>
        <v/>
      </c>
      <c r="CB97" s="152" t="str">
        <f t="shared" si="35"/>
        <v/>
      </c>
      <c r="CC97" s="153" t="str">
        <f t="shared" si="36"/>
        <v/>
      </c>
      <c r="CD97" s="153" t="str">
        <f t="shared" si="37"/>
        <v/>
      </c>
      <c r="CE97" s="154" t="str">
        <f t="shared" si="38"/>
        <v/>
      </c>
      <c r="CF97" s="154" t="str">
        <f t="shared" si="39"/>
        <v/>
      </c>
      <c r="CG97" s="154" t="str">
        <f t="shared" si="40"/>
        <v/>
      </c>
      <c r="CH97" s="308" t="str">
        <f t="shared" si="41"/>
        <v/>
      </c>
    </row>
    <row r="98">
      <c r="A98" s="155" t="s">
        <v>187</v>
      </c>
      <c r="B98" s="104" t="s">
        <v>90</v>
      </c>
      <c r="C98" s="428">
        <v>4676835.0</v>
      </c>
      <c r="D98" s="161">
        <v>0.0</v>
      </c>
      <c r="E98" s="294">
        <v>0.0</v>
      </c>
      <c r="F98" s="307">
        <v>0.0</v>
      </c>
      <c r="G98" s="309">
        <v>0.0</v>
      </c>
      <c r="H98" s="108">
        <v>0.0</v>
      </c>
      <c r="I98" s="109">
        <v>0.0</v>
      </c>
      <c r="J98" s="109">
        <v>0.0</v>
      </c>
      <c r="K98" s="109">
        <v>0.0</v>
      </c>
      <c r="L98" s="112">
        <v>0.0</v>
      </c>
      <c r="M98" s="112">
        <v>0.0</v>
      </c>
      <c r="N98" s="112">
        <v>0.0</v>
      </c>
      <c r="O98" s="298">
        <v>0.0</v>
      </c>
      <c r="P98" s="114"/>
      <c r="Q98" s="114"/>
      <c r="R98" s="121" t="str">
        <f t="shared" si="4"/>
        <v/>
      </c>
      <c r="S98" s="116">
        <f t="shared" si="5"/>
        <v>0.5709301448</v>
      </c>
      <c r="T98" s="117"/>
      <c r="U98" s="118">
        <f t="shared" si="6"/>
        <v>0.4791888889</v>
      </c>
      <c r="V98" s="148"/>
      <c r="W98" s="120">
        <f t="shared" si="7"/>
        <v>0.0223</v>
      </c>
      <c r="X98" s="148"/>
      <c r="Y98" s="120">
        <f t="shared" si="8"/>
        <v>0.598275</v>
      </c>
      <c r="Z98" s="299"/>
      <c r="AA98" s="441"/>
      <c r="AB98" s="300" t="str">
        <f t="shared" si="9"/>
        <v/>
      </c>
      <c r="AC98" s="300">
        <f t="shared" si="10"/>
        <v>0.6890056172</v>
      </c>
      <c r="AD98" s="122">
        <v>0.0</v>
      </c>
      <c r="AE98" s="123">
        <v>0.0</v>
      </c>
      <c r="AF98" s="430">
        <v>0.0</v>
      </c>
      <c r="AG98" s="124">
        <v>0.0</v>
      </c>
      <c r="AH98" s="124">
        <v>0.0</v>
      </c>
      <c r="AI98" s="125">
        <v>0.0</v>
      </c>
      <c r="AJ98" s="125">
        <v>0.0</v>
      </c>
      <c r="AK98" s="127">
        <v>0.0</v>
      </c>
      <c r="AL98" s="127">
        <v>0.0</v>
      </c>
      <c r="AM98" s="302">
        <v>0.0</v>
      </c>
      <c r="AN98" s="149" t="str">
        <f>IFERROR(
  AVERAGEIFS(
    'New LF Efficacy'!$J:$J,
    'New LF Efficacy'!$D:$D, $A98,
    'New LF Efficacy'!$F:$F,"DEC", 
    'New LF Efficacy'!$W:$W,"&lt;2016",
    'New LF Efficacy'!$AA:$AA,""),
  ""
)</f>
        <v/>
      </c>
      <c r="AO98" s="115">
        <f t="shared" si="11"/>
        <v>0.3573520833</v>
      </c>
      <c r="AP98" s="149" t="str">
        <f>IFERROR(
AVERAGEIFS(
'New LF Efficacy'!$J:$J,
'New LF Efficacy'!$D:$D,$A98,
'New LF Efficacy'!$F:$F,"Albendazole &amp; DEC",
'New LF Efficacy'!$W:$W,"&lt;2016",
'New LF Efficacy'!$AA:$AA,""),
"")
</f>
        <v/>
      </c>
      <c r="AQ98" s="115">
        <f t="shared" si="12"/>
        <v>0.5143541667</v>
      </c>
      <c r="AR98" s="149" t="str">
        <f>IFERROR(
AVERAGEIFS(
'New LF Efficacy'!$J:$J,
'New LF Efficacy'!$D:$D,$A98,
'New LF Efficacy'!$F:$F,"Albendazole &amp; Ivermectin", 
'New LF Efficacy'!$W:$W,"&lt;2016",
'New LF Efficacy'!$AA:$AA,""),"")</f>
        <v/>
      </c>
      <c r="AS98" s="115">
        <f t="shared" si="13"/>
        <v>0.37153125</v>
      </c>
      <c r="AT98" s="442" t="str">
        <f>IFERROR(AVERAGEIFS(
'Schist Efficacy'!$O:$O, 
'Schist Efficacy'!$C:$C,$A98, 
'Schist Efficacy'!$D:$D, "Praziquantel",
'Schist Efficacy'!$J:$J,"&lt;2016",
'Schist Efficacy'!$U:$U,""),
"")</f>
        <v/>
      </c>
      <c r="AU98" s="118">
        <f t="shared" si="14"/>
        <v>0.655</v>
      </c>
      <c r="AV98" s="131" t="str">
        <f>IFERROR(AVERAGEIFS(
'STH Efficacy'!$AX:$AX, 
'STH Efficacy'!$AL:$AL, $A98, 
'STH Efficacy'!$AM:$AM, "Albendazole",
'STH Efficacy'!$AS:$AS,"&lt;2016",
'STH Efficacy'!$BP:$BP,""),
"")</f>
        <v/>
      </c>
      <c r="AW98" s="132">
        <f t="shared" si="15"/>
        <v>0.4143846154</v>
      </c>
      <c r="AX98" s="131" t="str">
        <f>IFERROR(AVERAGEIFS(
'STH Efficacy'!$AX:$AX, 
'STH Efficacy'!$AL:$AL, $A98, 
'STH Efficacy'!$AM:$AM, "Mebendazole",
'STH Efficacy'!$AS:$AS,"&lt;2016",
'STH Efficacy'!$BP:$BP,""),
"")</f>
        <v/>
      </c>
      <c r="AY98" s="132">
        <f t="shared" si="16"/>
        <v>0.4691770833</v>
      </c>
      <c r="AZ98" s="131" t="str">
        <f>IFERROR(AVERAGEIFS(
'STH Efficacy'!$AX:$AX, 
'STH Efficacy'!$AL:$AL, $A98, 
'STH Efficacy'!$AM:$AM, "Albendazole &amp; Ivermectin",
'STH Efficacy'!$AS:$AS,"&lt;2016",
'STH Efficacy'!$BP:$BP,""),
"")</f>
        <v/>
      </c>
      <c r="BA98" s="133">
        <f t="shared" si="17"/>
        <v>0.597625</v>
      </c>
      <c r="BB98" s="443" t="str">
        <f>IFERROR(AVERAGEIFS(
'STH Efficacy'!$N:$N, 
'STH Efficacy'!$B:$B, $A98, 
'STH Efficacy'!$C:$C, "Albendazole",
'STH Efficacy'!$I:$I,"&lt;2016",
'STH Efficacy'!$AH:$AH,""),
"")</f>
        <v/>
      </c>
      <c r="BC98" s="135">
        <f t="shared" si="18"/>
        <v>0.7613712121</v>
      </c>
      <c r="BD98" s="443" t="str">
        <f>IFERROR(AVERAGEIFS(
'STH Efficacy'!$N:$N, 
'STH Efficacy'!$B:$B, $A98, 
'STH Efficacy'!$C:$C, "Mebendazole",
'STH Efficacy'!$I:$I,"&lt;2016",
'STH Efficacy'!$AH:$AH,""),
"")</f>
        <v/>
      </c>
      <c r="BE98" s="135">
        <f t="shared" si="19"/>
        <v>0.4362466667</v>
      </c>
      <c r="BF98" s="436" t="str">
        <f>IFERROR(AVERAGEIFS(
'STH Efficacy'!$CD:$CD, 
'STH Efficacy'!$BS:$BS, $A98, 
'STH Efficacy'!$BT:$BT, "Albendazole",
'STH Efficacy'!$BZ:$BZ,"&lt;2016",
'STH Efficacy'!$CU:$CU,""),
"")</f>
        <v/>
      </c>
      <c r="BG98" s="136">
        <f t="shared" si="20"/>
        <v>0.9216027778</v>
      </c>
      <c r="BH98" s="436" t="str">
        <f>IFERROR(AVERAGEIFS(
'STH Efficacy'!$CD:$CD, 
'STH Efficacy'!$BS:$BS, $A98, 
'STH Efficacy'!$BT:$BT, "Mebendazole",
'STH Efficacy'!$BZ:$BZ,"&lt;2016",
'STH Efficacy'!$CU:$CU,""),
"")</f>
        <v/>
      </c>
      <c r="BI98" s="136">
        <f t="shared" si="21"/>
        <v>0.8866041667</v>
      </c>
      <c r="BJ98" s="436" t="str">
        <f>IFERROR(AVERAGEIFS(
'STH Efficacy'!$CD:$CD, 
'STH Efficacy'!$BS:$BS, $A98, 
'STH Efficacy'!$BT:$BT, "Albendazole &amp; Ivermectin",
'STH Efficacy'!$BZ:$BZ,"&lt;2016",
'STH Efficacy'!$CU:$CU,""),
"")</f>
        <v/>
      </c>
      <c r="BK98" s="136">
        <f t="shared" si="22"/>
        <v>0.848</v>
      </c>
      <c r="BL98" s="444" t="str">
        <f>IFERROR(
  AVERAGEIFS(
    'NEW Onchocerciasis Efficacy'!$AO:$AO,
    'NEW Onchocerciasis Efficacy'!$C:$C,$A98,
    'NEW Onchocerciasis Efficacy'!$D:$D,"Ivermectin",
    'NEW Onchocerciasis Efficacy'!$AR:$AR,"&lt;2016",
    'NEW Onchocerciasis Efficacy'!$BG:$BG,"")
,"")</f>
        <v/>
      </c>
      <c r="BM98" s="304">
        <f t="shared" si="23"/>
        <v>0.7808368939</v>
      </c>
      <c r="BN98" s="439">
        <v>0.0</v>
      </c>
      <c r="BO98" s="139">
        <v>0.0</v>
      </c>
      <c r="BP98" s="140">
        <v>0.0</v>
      </c>
      <c r="BQ98" s="141">
        <f t="shared" si="24"/>
        <v>0</v>
      </c>
      <c r="BR98" s="104" t="str">
        <f t="shared" si="25"/>
        <v>0000</v>
      </c>
      <c r="BS98" s="104" t="str">
        <f t="shared" si="26"/>
        <v>no action required</v>
      </c>
      <c r="BT98" s="142" t="str">
        <f t="shared" si="27"/>
        <v/>
      </c>
      <c r="BU98" s="104" t="str">
        <f t="shared" si="28"/>
        <v/>
      </c>
      <c r="BV98" s="104" t="str">
        <f t="shared" si="29"/>
        <v>none</v>
      </c>
      <c r="BW98" s="150" t="str">
        <f t="shared" si="30"/>
        <v/>
      </c>
      <c r="BX98" s="150" t="str">
        <f t="shared" si="31"/>
        <v/>
      </c>
      <c r="BY98" s="151" t="str">
        <f t="shared" si="32"/>
        <v/>
      </c>
      <c r="BZ98" s="152" t="str">
        <f t="shared" si="33"/>
        <v/>
      </c>
      <c r="CA98" s="152" t="str">
        <f t="shared" si="34"/>
        <v/>
      </c>
      <c r="CB98" s="152" t="str">
        <f t="shared" si="35"/>
        <v/>
      </c>
      <c r="CC98" s="153" t="str">
        <f t="shared" si="36"/>
        <v/>
      </c>
      <c r="CD98" s="153" t="str">
        <f t="shared" si="37"/>
        <v/>
      </c>
      <c r="CE98" s="154" t="str">
        <f t="shared" si="38"/>
        <v/>
      </c>
      <c r="CF98" s="154" t="str">
        <f t="shared" si="39"/>
        <v/>
      </c>
      <c r="CG98" s="154" t="str">
        <f t="shared" si="40"/>
        <v/>
      </c>
      <c r="CH98" s="308" t="str">
        <f t="shared" si="41"/>
        <v/>
      </c>
    </row>
    <row r="99">
      <c r="A99" s="155" t="s">
        <v>188</v>
      </c>
      <c r="B99" s="104" t="s">
        <v>90</v>
      </c>
      <c r="C99" s="428">
        <v>8380100.0</v>
      </c>
      <c r="D99" s="161">
        <v>0.0</v>
      </c>
      <c r="E99" s="294">
        <v>0.0</v>
      </c>
      <c r="F99" s="307">
        <v>0.0</v>
      </c>
      <c r="G99" s="309">
        <v>0.0</v>
      </c>
      <c r="H99" s="108">
        <v>0.0</v>
      </c>
      <c r="I99" s="109">
        <v>0.0</v>
      </c>
      <c r="J99" s="109">
        <v>0.0</v>
      </c>
      <c r="K99" s="109">
        <v>0.0</v>
      </c>
      <c r="L99" s="112">
        <v>0.0</v>
      </c>
      <c r="M99" s="112">
        <v>0.0</v>
      </c>
      <c r="N99" s="112">
        <v>0.0</v>
      </c>
      <c r="O99" s="298">
        <v>0.0</v>
      </c>
      <c r="P99" s="114"/>
      <c r="Q99" s="114"/>
      <c r="R99" s="121" t="str">
        <f t="shared" si="4"/>
        <v/>
      </c>
      <c r="S99" s="116">
        <f t="shared" si="5"/>
        <v>0.5709301448</v>
      </c>
      <c r="T99" s="117"/>
      <c r="U99" s="118">
        <f t="shared" si="6"/>
        <v>0.4791888889</v>
      </c>
      <c r="V99" s="148"/>
      <c r="W99" s="120">
        <f t="shared" si="7"/>
        <v>0.0223</v>
      </c>
      <c r="X99" s="148"/>
      <c r="Y99" s="120">
        <f t="shared" si="8"/>
        <v>0.598275</v>
      </c>
      <c r="Z99" s="299"/>
      <c r="AA99" s="441"/>
      <c r="AB99" s="300" t="str">
        <f t="shared" si="9"/>
        <v/>
      </c>
      <c r="AC99" s="300">
        <f t="shared" si="10"/>
        <v>0.6890056172</v>
      </c>
      <c r="AD99" s="122">
        <v>0.0</v>
      </c>
      <c r="AE99" s="123">
        <v>0.0</v>
      </c>
      <c r="AF99" s="430">
        <v>0.0</v>
      </c>
      <c r="AG99" s="124">
        <v>0.0</v>
      </c>
      <c r="AH99" s="124">
        <v>0.0</v>
      </c>
      <c r="AI99" s="125">
        <v>0.0</v>
      </c>
      <c r="AJ99" s="125">
        <v>0.0</v>
      </c>
      <c r="AK99" s="127">
        <v>0.0</v>
      </c>
      <c r="AL99" s="127">
        <v>0.0</v>
      </c>
      <c r="AM99" s="302">
        <v>0.0</v>
      </c>
      <c r="AN99" s="149" t="str">
        <f>IFERROR(
  AVERAGEIFS(
    'New LF Efficacy'!$J:$J,
    'New LF Efficacy'!$D:$D, $A99,
    'New LF Efficacy'!$F:$F,"DEC", 
    'New LF Efficacy'!$W:$W,"&lt;2016",
    'New LF Efficacy'!$AA:$AA,""),
  ""
)</f>
        <v/>
      </c>
      <c r="AO99" s="115">
        <f t="shared" si="11"/>
        <v>0.3573520833</v>
      </c>
      <c r="AP99" s="149" t="str">
        <f>IFERROR(
AVERAGEIFS(
'New LF Efficacy'!$J:$J,
'New LF Efficacy'!$D:$D,$A99,
'New LF Efficacy'!$F:$F,"Albendazole &amp; DEC",
'New LF Efficacy'!$W:$W,"&lt;2016",
'New LF Efficacy'!$AA:$AA,""),
"")
</f>
        <v/>
      </c>
      <c r="AQ99" s="115">
        <f t="shared" si="12"/>
        <v>0.5143541667</v>
      </c>
      <c r="AR99" s="149" t="str">
        <f>IFERROR(
AVERAGEIFS(
'New LF Efficacy'!$J:$J,
'New LF Efficacy'!$D:$D,$A99,
'New LF Efficacy'!$F:$F,"Albendazole &amp; Ivermectin", 
'New LF Efficacy'!$W:$W,"&lt;2016",
'New LF Efficacy'!$AA:$AA,""),"")</f>
        <v/>
      </c>
      <c r="AS99" s="115">
        <f t="shared" si="13"/>
        <v>0.37153125</v>
      </c>
      <c r="AT99" s="442" t="str">
        <f>IFERROR(AVERAGEIFS(
'Schist Efficacy'!$O:$O, 
'Schist Efficacy'!$C:$C,$A99, 
'Schist Efficacy'!$D:$D, "Praziquantel",
'Schist Efficacy'!$J:$J,"&lt;2016",
'Schist Efficacy'!$U:$U,""),
"")</f>
        <v/>
      </c>
      <c r="AU99" s="118">
        <f t="shared" si="14"/>
        <v>0.655</v>
      </c>
      <c r="AV99" s="131" t="str">
        <f>IFERROR(AVERAGEIFS(
'STH Efficacy'!$AX:$AX, 
'STH Efficacy'!$AL:$AL, $A99, 
'STH Efficacy'!$AM:$AM, "Albendazole",
'STH Efficacy'!$AS:$AS,"&lt;2016",
'STH Efficacy'!$BP:$BP,""),
"")</f>
        <v/>
      </c>
      <c r="AW99" s="132">
        <f t="shared" si="15"/>
        <v>0.4143846154</v>
      </c>
      <c r="AX99" s="131" t="str">
        <f>IFERROR(AVERAGEIFS(
'STH Efficacy'!$AX:$AX, 
'STH Efficacy'!$AL:$AL, $A99, 
'STH Efficacy'!$AM:$AM, "Mebendazole",
'STH Efficacy'!$AS:$AS,"&lt;2016",
'STH Efficacy'!$BP:$BP,""),
"")</f>
        <v/>
      </c>
      <c r="AY99" s="132">
        <f t="shared" si="16"/>
        <v>0.4691770833</v>
      </c>
      <c r="AZ99" s="131" t="str">
        <f>IFERROR(AVERAGEIFS(
'STH Efficacy'!$AX:$AX, 
'STH Efficacy'!$AL:$AL, $A99, 
'STH Efficacy'!$AM:$AM, "Albendazole &amp; Ivermectin",
'STH Efficacy'!$AS:$AS,"&lt;2016",
'STH Efficacy'!$BP:$BP,""),
"")</f>
        <v/>
      </c>
      <c r="BA99" s="133">
        <f t="shared" si="17"/>
        <v>0.597625</v>
      </c>
      <c r="BB99" s="443" t="str">
        <f>IFERROR(AVERAGEIFS(
'STH Efficacy'!$N:$N, 
'STH Efficacy'!$B:$B, $A99, 
'STH Efficacy'!$C:$C, "Albendazole",
'STH Efficacy'!$I:$I,"&lt;2016",
'STH Efficacy'!$AH:$AH,""),
"")</f>
        <v/>
      </c>
      <c r="BC99" s="135">
        <f t="shared" si="18"/>
        <v>0.7613712121</v>
      </c>
      <c r="BD99" s="443" t="str">
        <f>IFERROR(AVERAGEIFS(
'STH Efficacy'!$N:$N, 
'STH Efficacy'!$B:$B, $A99, 
'STH Efficacy'!$C:$C, "Mebendazole",
'STH Efficacy'!$I:$I,"&lt;2016",
'STH Efficacy'!$AH:$AH,""),
"")</f>
        <v/>
      </c>
      <c r="BE99" s="135">
        <f t="shared" si="19"/>
        <v>0.4362466667</v>
      </c>
      <c r="BF99" s="436" t="str">
        <f>IFERROR(AVERAGEIFS(
'STH Efficacy'!$CD:$CD, 
'STH Efficacy'!$BS:$BS, $A99, 
'STH Efficacy'!$BT:$BT, "Albendazole",
'STH Efficacy'!$BZ:$BZ,"&lt;2016",
'STH Efficacy'!$CU:$CU,""),
"")</f>
        <v/>
      </c>
      <c r="BG99" s="136">
        <f t="shared" si="20"/>
        <v>0.9216027778</v>
      </c>
      <c r="BH99" s="436" t="str">
        <f>IFERROR(AVERAGEIFS(
'STH Efficacy'!$CD:$CD, 
'STH Efficacy'!$BS:$BS, $A99, 
'STH Efficacy'!$BT:$BT, "Mebendazole",
'STH Efficacy'!$BZ:$BZ,"&lt;2016",
'STH Efficacy'!$CU:$CU,""),
"")</f>
        <v/>
      </c>
      <c r="BI99" s="136">
        <f t="shared" si="21"/>
        <v>0.8866041667</v>
      </c>
      <c r="BJ99" s="436" t="str">
        <f>IFERROR(AVERAGEIFS(
'STH Efficacy'!$CD:$CD, 
'STH Efficacy'!$BS:$BS, $A99, 
'STH Efficacy'!$BT:$BT, "Albendazole &amp; Ivermectin",
'STH Efficacy'!$BZ:$BZ,"&lt;2016",
'STH Efficacy'!$CU:$CU,""),
"")</f>
        <v/>
      </c>
      <c r="BK99" s="136">
        <f t="shared" si="22"/>
        <v>0.848</v>
      </c>
      <c r="BL99" s="444" t="str">
        <f>IFERROR(
  AVERAGEIFS(
    'NEW Onchocerciasis Efficacy'!$AO:$AO,
    'NEW Onchocerciasis Efficacy'!$C:$C,$A99,
    'NEW Onchocerciasis Efficacy'!$D:$D,"Ivermectin",
    'NEW Onchocerciasis Efficacy'!$AR:$AR,"&lt;2016",
    'NEW Onchocerciasis Efficacy'!$BG:$BG,"")
,"")</f>
        <v/>
      </c>
      <c r="BM99" s="304">
        <f t="shared" si="23"/>
        <v>0.7808368939</v>
      </c>
      <c r="BN99" s="439">
        <v>0.0</v>
      </c>
      <c r="BO99" s="139">
        <v>0.0</v>
      </c>
      <c r="BP99" s="140">
        <v>0.0</v>
      </c>
      <c r="BQ99" s="141">
        <f t="shared" si="24"/>
        <v>0</v>
      </c>
      <c r="BR99" s="104" t="str">
        <f t="shared" si="25"/>
        <v>0000</v>
      </c>
      <c r="BS99" s="104" t="str">
        <f t="shared" si="26"/>
        <v>no action required</v>
      </c>
      <c r="BT99" s="142" t="str">
        <f t="shared" si="27"/>
        <v/>
      </c>
      <c r="BU99" s="104" t="str">
        <f t="shared" si="28"/>
        <v/>
      </c>
      <c r="BV99" s="104" t="str">
        <f t="shared" si="29"/>
        <v>none</v>
      </c>
      <c r="BW99" s="150" t="str">
        <f t="shared" si="30"/>
        <v/>
      </c>
      <c r="BX99" s="150" t="str">
        <f t="shared" si="31"/>
        <v/>
      </c>
      <c r="BY99" s="151" t="str">
        <f t="shared" si="32"/>
        <v/>
      </c>
      <c r="BZ99" s="152" t="str">
        <f t="shared" si="33"/>
        <v/>
      </c>
      <c r="CA99" s="152" t="str">
        <f t="shared" si="34"/>
        <v/>
      </c>
      <c r="CB99" s="152" t="str">
        <f t="shared" si="35"/>
        <v/>
      </c>
      <c r="CC99" s="153" t="str">
        <f t="shared" si="36"/>
        <v/>
      </c>
      <c r="CD99" s="153" t="str">
        <f t="shared" si="37"/>
        <v/>
      </c>
      <c r="CE99" s="154" t="str">
        <f t="shared" si="38"/>
        <v/>
      </c>
      <c r="CF99" s="154" t="str">
        <f t="shared" si="39"/>
        <v/>
      </c>
      <c r="CG99" s="154" t="str">
        <f t="shared" si="40"/>
        <v/>
      </c>
      <c r="CH99" s="308" t="str">
        <f t="shared" si="41"/>
        <v/>
      </c>
    </row>
    <row r="100">
      <c r="A100" s="155" t="s">
        <v>189</v>
      </c>
      <c r="B100" s="104" t="s">
        <v>90</v>
      </c>
      <c r="C100" s="428">
        <v>6.0730582E7</v>
      </c>
      <c r="D100" s="161">
        <v>0.0</v>
      </c>
      <c r="E100" s="294">
        <v>0.0</v>
      </c>
      <c r="F100" s="307">
        <v>0.0</v>
      </c>
      <c r="G100" s="309">
        <v>0.0</v>
      </c>
      <c r="H100" s="108">
        <v>0.0</v>
      </c>
      <c r="I100" s="109">
        <v>0.0</v>
      </c>
      <c r="J100" s="109">
        <v>0.0</v>
      </c>
      <c r="K100" s="109">
        <v>0.0</v>
      </c>
      <c r="L100" s="112">
        <v>0.0</v>
      </c>
      <c r="M100" s="112">
        <v>0.0</v>
      </c>
      <c r="N100" s="112">
        <v>0.0</v>
      </c>
      <c r="O100" s="298">
        <v>0.0</v>
      </c>
      <c r="P100" s="114"/>
      <c r="Q100" s="114"/>
      <c r="R100" s="121" t="str">
        <f t="shared" si="4"/>
        <v/>
      </c>
      <c r="S100" s="116">
        <f t="shared" si="5"/>
        <v>0.5709301448</v>
      </c>
      <c r="T100" s="117"/>
      <c r="U100" s="118">
        <f t="shared" si="6"/>
        <v>0.4791888889</v>
      </c>
      <c r="V100" s="148"/>
      <c r="W100" s="120">
        <f t="shared" si="7"/>
        <v>0.0223</v>
      </c>
      <c r="X100" s="148"/>
      <c r="Y100" s="120">
        <f t="shared" si="8"/>
        <v>0.598275</v>
      </c>
      <c r="Z100" s="299"/>
      <c r="AA100" s="441"/>
      <c r="AB100" s="300" t="str">
        <f t="shared" si="9"/>
        <v/>
      </c>
      <c r="AC100" s="300">
        <f t="shared" si="10"/>
        <v>0.6890056172</v>
      </c>
      <c r="AD100" s="122">
        <v>0.0</v>
      </c>
      <c r="AE100" s="123">
        <v>0.0</v>
      </c>
      <c r="AF100" s="430">
        <v>0.0</v>
      </c>
      <c r="AG100" s="124">
        <v>0.0</v>
      </c>
      <c r="AH100" s="124">
        <v>0.0</v>
      </c>
      <c r="AI100" s="125">
        <v>0.0</v>
      </c>
      <c r="AJ100" s="125">
        <v>0.0</v>
      </c>
      <c r="AK100" s="127">
        <v>0.0</v>
      </c>
      <c r="AL100" s="127">
        <v>0.0</v>
      </c>
      <c r="AM100" s="302">
        <v>0.0</v>
      </c>
      <c r="AN100" s="149" t="str">
        <f>IFERROR(
  AVERAGEIFS(
    'New LF Efficacy'!$J:$J,
    'New LF Efficacy'!$D:$D, $A100,
    'New LF Efficacy'!$F:$F,"DEC", 
    'New LF Efficacy'!$W:$W,"&lt;2016",
    'New LF Efficacy'!$AA:$AA,""),
  ""
)</f>
        <v/>
      </c>
      <c r="AO100" s="115">
        <f t="shared" si="11"/>
        <v>0.3573520833</v>
      </c>
      <c r="AP100" s="149" t="str">
        <f>IFERROR(
AVERAGEIFS(
'New LF Efficacy'!$J:$J,
'New LF Efficacy'!$D:$D,$A100,
'New LF Efficacy'!$F:$F,"Albendazole &amp; DEC",
'New LF Efficacy'!$W:$W,"&lt;2016",
'New LF Efficacy'!$AA:$AA,""),
"")
</f>
        <v/>
      </c>
      <c r="AQ100" s="115">
        <f t="shared" si="12"/>
        <v>0.5143541667</v>
      </c>
      <c r="AR100" s="149" t="str">
        <f>IFERROR(
AVERAGEIFS(
'New LF Efficacy'!$J:$J,
'New LF Efficacy'!$D:$D,$A100,
'New LF Efficacy'!$F:$F,"Albendazole &amp; Ivermectin", 
'New LF Efficacy'!$W:$W,"&lt;2016",
'New LF Efficacy'!$AA:$AA,""),"")</f>
        <v/>
      </c>
      <c r="AS100" s="115">
        <f t="shared" si="13"/>
        <v>0.37153125</v>
      </c>
      <c r="AT100" s="442" t="str">
        <f>IFERROR(AVERAGEIFS(
'Schist Efficacy'!$O:$O, 
'Schist Efficacy'!$C:$C,$A100, 
'Schist Efficacy'!$D:$D, "Praziquantel",
'Schist Efficacy'!$J:$J,"&lt;2016",
'Schist Efficacy'!$U:$U,""),
"")</f>
        <v/>
      </c>
      <c r="AU100" s="118">
        <f t="shared" si="14"/>
        <v>0.655</v>
      </c>
      <c r="AV100" s="131" t="str">
        <f>IFERROR(AVERAGEIFS(
'STH Efficacy'!$AX:$AX, 
'STH Efficacy'!$AL:$AL, $A100, 
'STH Efficacy'!$AM:$AM, "Albendazole",
'STH Efficacy'!$AS:$AS,"&lt;2016",
'STH Efficacy'!$BP:$BP,""),
"")</f>
        <v/>
      </c>
      <c r="AW100" s="132">
        <f t="shared" si="15"/>
        <v>0.4143846154</v>
      </c>
      <c r="AX100" s="131" t="str">
        <f>IFERROR(AVERAGEIFS(
'STH Efficacy'!$AX:$AX, 
'STH Efficacy'!$AL:$AL, $A100, 
'STH Efficacy'!$AM:$AM, "Mebendazole",
'STH Efficacy'!$AS:$AS,"&lt;2016",
'STH Efficacy'!$BP:$BP,""),
"")</f>
        <v/>
      </c>
      <c r="AY100" s="132">
        <f t="shared" si="16"/>
        <v>0.4691770833</v>
      </c>
      <c r="AZ100" s="131" t="str">
        <f>IFERROR(AVERAGEIFS(
'STH Efficacy'!$AX:$AX, 
'STH Efficacy'!$AL:$AL, $A100, 
'STH Efficacy'!$AM:$AM, "Albendazole &amp; Ivermectin",
'STH Efficacy'!$AS:$AS,"&lt;2016",
'STH Efficacy'!$BP:$BP,""),
"")</f>
        <v/>
      </c>
      <c r="BA100" s="133">
        <f t="shared" si="17"/>
        <v>0.597625</v>
      </c>
      <c r="BB100" s="443" t="str">
        <f>IFERROR(AVERAGEIFS(
'STH Efficacy'!$N:$N, 
'STH Efficacy'!$B:$B, $A100, 
'STH Efficacy'!$C:$C, "Albendazole",
'STH Efficacy'!$I:$I,"&lt;2016",
'STH Efficacy'!$AH:$AH,""),
"")</f>
        <v/>
      </c>
      <c r="BC100" s="135">
        <f t="shared" si="18"/>
        <v>0.7613712121</v>
      </c>
      <c r="BD100" s="443" t="str">
        <f>IFERROR(AVERAGEIFS(
'STH Efficacy'!$N:$N, 
'STH Efficacy'!$B:$B, $A100, 
'STH Efficacy'!$C:$C, "Mebendazole",
'STH Efficacy'!$I:$I,"&lt;2016",
'STH Efficacy'!$AH:$AH,""),
"")</f>
        <v/>
      </c>
      <c r="BE100" s="135">
        <f t="shared" si="19"/>
        <v>0.4362466667</v>
      </c>
      <c r="BF100" s="436" t="str">
        <f>IFERROR(AVERAGEIFS(
'STH Efficacy'!$CD:$CD, 
'STH Efficacy'!$BS:$BS, $A100, 
'STH Efficacy'!$BT:$BT, "Albendazole",
'STH Efficacy'!$BZ:$BZ,"&lt;2016",
'STH Efficacy'!$CU:$CU,""),
"")</f>
        <v/>
      </c>
      <c r="BG100" s="136">
        <f t="shared" si="20"/>
        <v>0.9216027778</v>
      </c>
      <c r="BH100" s="436" t="str">
        <f>IFERROR(AVERAGEIFS(
'STH Efficacy'!$CD:$CD, 
'STH Efficacy'!$BS:$BS, $A100, 
'STH Efficacy'!$BT:$BT, "Mebendazole",
'STH Efficacy'!$BZ:$BZ,"&lt;2016",
'STH Efficacy'!$CU:$CU,""),
"")</f>
        <v/>
      </c>
      <c r="BI100" s="136">
        <f t="shared" si="21"/>
        <v>0.8866041667</v>
      </c>
      <c r="BJ100" s="436" t="str">
        <f>IFERROR(AVERAGEIFS(
'STH Efficacy'!$CD:$CD, 
'STH Efficacy'!$BS:$BS, $A100, 
'STH Efficacy'!$BT:$BT, "Albendazole &amp; Ivermectin",
'STH Efficacy'!$BZ:$BZ,"&lt;2016",
'STH Efficacy'!$CU:$CU,""),
"")</f>
        <v/>
      </c>
      <c r="BK100" s="136">
        <f t="shared" si="22"/>
        <v>0.848</v>
      </c>
      <c r="BL100" s="444" t="str">
        <f>IFERROR(
  AVERAGEIFS(
    'NEW Onchocerciasis Efficacy'!$AO:$AO,
    'NEW Onchocerciasis Efficacy'!$C:$C,$A100,
    'NEW Onchocerciasis Efficacy'!$D:$D,"Ivermectin",
    'NEW Onchocerciasis Efficacy'!$AR:$AR,"&lt;2016",
    'NEW Onchocerciasis Efficacy'!$BG:$BG,"")
,"")</f>
        <v/>
      </c>
      <c r="BM100" s="304">
        <f t="shared" si="23"/>
        <v>0.7808368939</v>
      </c>
      <c r="BN100" s="439">
        <v>0.0</v>
      </c>
      <c r="BO100" s="139">
        <v>0.0</v>
      </c>
      <c r="BP100" s="140">
        <v>0.0</v>
      </c>
      <c r="BQ100" s="141">
        <f t="shared" si="24"/>
        <v>0</v>
      </c>
      <c r="BR100" s="104" t="str">
        <f t="shared" si="25"/>
        <v>0000</v>
      </c>
      <c r="BS100" s="104" t="str">
        <f t="shared" si="26"/>
        <v>no action required</v>
      </c>
      <c r="BT100" s="142" t="str">
        <f t="shared" si="27"/>
        <v/>
      </c>
      <c r="BU100" s="104" t="str">
        <f t="shared" si="28"/>
        <v/>
      </c>
      <c r="BV100" s="104" t="str">
        <f t="shared" si="29"/>
        <v>none</v>
      </c>
      <c r="BW100" s="150" t="str">
        <f t="shared" si="30"/>
        <v/>
      </c>
      <c r="BX100" s="150" t="str">
        <f t="shared" si="31"/>
        <v/>
      </c>
      <c r="BY100" s="151" t="str">
        <f t="shared" si="32"/>
        <v/>
      </c>
      <c r="BZ100" s="152" t="str">
        <f t="shared" si="33"/>
        <v/>
      </c>
      <c r="CA100" s="152" t="str">
        <f t="shared" si="34"/>
        <v/>
      </c>
      <c r="CB100" s="152" t="str">
        <f t="shared" si="35"/>
        <v/>
      </c>
      <c r="CC100" s="153" t="str">
        <f t="shared" si="36"/>
        <v/>
      </c>
      <c r="CD100" s="153" t="str">
        <f t="shared" si="37"/>
        <v/>
      </c>
      <c r="CE100" s="154" t="str">
        <f t="shared" si="38"/>
        <v/>
      </c>
      <c r="CF100" s="154" t="str">
        <f t="shared" si="39"/>
        <v/>
      </c>
      <c r="CG100" s="154" t="str">
        <f t="shared" si="40"/>
        <v/>
      </c>
      <c r="CH100" s="308" t="str">
        <f t="shared" si="41"/>
        <v/>
      </c>
    </row>
    <row r="101">
      <c r="A101" s="155" t="s">
        <v>190</v>
      </c>
      <c r="B101" s="104" t="s">
        <v>98</v>
      </c>
      <c r="C101" s="428">
        <v>2871934.0</v>
      </c>
      <c r="D101" s="161">
        <v>0.0</v>
      </c>
      <c r="E101" s="294">
        <v>0.0</v>
      </c>
      <c r="F101" s="295">
        <v>22.90234443</v>
      </c>
      <c r="G101" s="322">
        <v>98.14539266</v>
      </c>
      <c r="H101" s="108">
        <v>121.0477371</v>
      </c>
      <c r="I101" s="109">
        <v>36.2406671</v>
      </c>
      <c r="J101" s="109">
        <v>90.7991237</v>
      </c>
      <c r="K101" s="109">
        <v>127.0397908</v>
      </c>
      <c r="L101" s="112">
        <v>127.7995658</v>
      </c>
      <c r="M101" s="112">
        <v>243.2989124</v>
      </c>
      <c r="N101" s="112">
        <v>371.0984782</v>
      </c>
      <c r="O101" s="298">
        <v>0.0</v>
      </c>
      <c r="P101" s="114"/>
      <c r="Q101" s="114"/>
      <c r="R101" s="121" t="str">
        <f t="shared" si="4"/>
        <v/>
      </c>
      <c r="S101" s="116">
        <f t="shared" si="5"/>
        <v>0.3565746084</v>
      </c>
      <c r="T101" s="117"/>
      <c r="U101" s="118">
        <f t="shared" si="6"/>
        <v>0.4791888889</v>
      </c>
      <c r="V101" s="148"/>
      <c r="W101" s="120">
        <f t="shared" si="7"/>
        <v>0.685</v>
      </c>
      <c r="X101" s="148"/>
      <c r="Y101" s="120">
        <f t="shared" si="8"/>
        <v>0.7550545455</v>
      </c>
      <c r="Z101" s="299"/>
      <c r="AA101" s="441"/>
      <c r="AB101" s="300" t="str">
        <f t="shared" si="9"/>
        <v/>
      </c>
      <c r="AC101" s="300">
        <f t="shared" si="10"/>
        <v>0.7101368438</v>
      </c>
      <c r="AD101" s="122">
        <v>0.0</v>
      </c>
      <c r="AE101" s="123">
        <v>0.0</v>
      </c>
      <c r="AF101" s="430">
        <v>0.0</v>
      </c>
      <c r="AG101" s="124">
        <v>0.0479</v>
      </c>
      <c r="AH101" s="124">
        <v>0.067066624</v>
      </c>
      <c r="AI101" s="125">
        <v>0.0414</v>
      </c>
      <c r="AJ101" s="125">
        <v>0.066194403</v>
      </c>
      <c r="AK101" s="127">
        <v>0.2111</v>
      </c>
      <c r="AL101" s="127">
        <v>0.322216642</v>
      </c>
      <c r="AM101" s="302">
        <v>0.0</v>
      </c>
      <c r="AN101" s="149" t="str">
        <f>IFERROR(
  AVERAGEIFS(
    'New LF Efficacy'!$J:$J,
    'New LF Efficacy'!$D:$D, $A101,
    'New LF Efficacy'!$F:$F,"DEC", 
    'New LF Efficacy'!$W:$W,"&lt;2016",
    'New LF Efficacy'!$AA:$AA,""),
  ""
)</f>
        <v/>
      </c>
      <c r="AO101" s="115">
        <f t="shared" si="11"/>
        <v>0.2589833333</v>
      </c>
      <c r="AP101" s="149" t="str">
        <f>IFERROR(
AVERAGEIFS(
'New LF Efficacy'!$J:$J,
'New LF Efficacy'!$D:$D,$A101,
'New LF Efficacy'!$F:$F,"Albendazole &amp; DEC",
'New LF Efficacy'!$W:$W,"&lt;2016",
'New LF Efficacy'!$AA:$AA,""),
"")
</f>
        <v/>
      </c>
      <c r="AQ101" s="115">
        <f t="shared" si="12"/>
        <v>0.3465</v>
      </c>
      <c r="AR101" s="149" t="str">
        <f>IFERROR(
AVERAGEIFS(
'New LF Efficacy'!$J:$J,
'New LF Efficacy'!$D:$D,$A101,
'New LF Efficacy'!$F:$F,"Albendazole &amp; Ivermectin", 
'New LF Efficacy'!$W:$W,"&lt;2016",
'New LF Efficacy'!$AA:$AA,""),"")</f>
        <v/>
      </c>
      <c r="AS101" s="115">
        <f t="shared" si="13"/>
        <v>0.7575</v>
      </c>
      <c r="AT101" s="442" t="str">
        <f>IFERROR(AVERAGEIFS(
'Schist Efficacy'!$O:$O, 
'Schist Efficacy'!$C:$C,$A101, 
'Schist Efficacy'!$D:$D, "Praziquantel",
'Schist Efficacy'!$J:$J,"&lt;2016",
'Schist Efficacy'!$U:$U,""),
"")</f>
        <v/>
      </c>
      <c r="AU101" s="118">
        <f t="shared" si="14"/>
        <v>0.7914761905</v>
      </c>
      <c r="AV101" s="131" t="str">
        <f>IFERROR(AVERAGEIFS(
'STH Efficacy'!$AX:$AX, 
'STH Efficacy'!$AL:$AL, $A101, 
'STH Efficacy'!$AM:$AM, "Albendazole",
'STH Efficacy'!$AS:$AS,"&lt;2016",
'STH Efficacy'!$BP:$BP,""),
"")</f>
        <v/>
      </c>
      <c r="AW101" s="132">
        <f t="shared" si="15"/>
        <v>0.3945</v>
      </c>
      <c r="AX101" s="131" t="str">
        <f>IFERROR(AVERAGEIFS(
'STH Efficacy'!$AX:$AX, 
'STH Efficacy'!$AL:$AL, $A101, 
'STH Efficacy'!$AM:$AM, "Mebendazole",
'STH Efficacy'!$AS:$AS,"&lt;2016",
'STH Efficacy'!$BP:$BP,""),
"")</f>
        <v/>
      </c>
      <c r="AY101" s="132">
        <f t="shared" si="16"/>
        <v>0.6</v>
      </c>
      <c r="AZ101" s="131" t="str">
        <f>IFERROR(AVERAGEIFS(
'STH Efficacy'!$AX:$AX, 
'STH Efficacy'!$AL:$AL, $A101, 
'STH Efficacy'!$AM:$AM, "Albendazole &amp; Ivermectin",
'STH Efficacy'!$AS:$AS,"&lt;2016",
'STH Efficacy'!$BP:$BP,""),
"")</f>
        <v/>
      </c>
      <c r="BA101" s="133">
        <f t="shared" si="17"/>
        <v>0.796</v>
      </c>
      <c r="BB101" s="443" t="str">
        <f>IFERROR(AVERAGEIFS(
'STH Efficacy'!$N:$N, 
'STH Efficacy'!$B:$B, $A101, 
'STH Efficacy'!$C:$C, "Albendazole",
'STH Efficacy'!$I:$I,"&lt;2016",
'STH Efficacy'!$AH:$AH,""),
"")</f>
        <v/>
      </c>
      <c r="BC101" s="135">
        <f t="shared" si="18"/>
        <v>0.869</v>
      </c>
      <c r="BD101" s="443" t="str">
        <f>IFERROR(AVERAGEIFS(
'STH Efficacy'!$N:$N, 
'STH Efficacy'!$B:$B, $A101, 
'STH Efficacy'!$C:$C, "Mebendazole",
'STH Efficacy'!$I:$I,"&lt;2016",
'STH Efficacy'!$AH:$AH,""),
"")</f>
        <v/>
      </c>
      <c r="BE101" s="135">
        <f t="shared" si="19"/>
        <v>0.172</v>
      </c>
      <c r="BF101" s="436" t="str">
        <f>IFERROR(AVERAGEIFS(
'STH Efficacy'!$CD:$CD, 
'STH Efficacy'!$BS:$BS, $A101, 
'STH Efficacy'!$BT:$BT, "Albendazole",
'STH Efficacy'!$BZ:$BZ,"&lt;2016",
'STH Efficacy'!$CU:$CU,""),
"")</f>
        <v/>
      </c>
      <c r="BG101" s="136">
        <f t="shared" si="20"/>
        <v>0.9862</v>
      </c>
      <c r="BH101" s="436" t="str">
        <f>IFERROR(AVERAGEIFS(
'STH Efficacy'!$CD:$CD, 
'STH Efficacy'!$BS:$BS, $A101, 
'STH Efficacy'!$BT:$BT, "Mebendazole",
'STH Efficacy'!$BZ:$BZ,"&lt;2016",
'STH Efficacy'!$CU:$CU,""),
"")</f>
        <v/>
      </c>
      <c r="BI101" s="136">
        <f t="shared" si="21"/>
        <v>0.769</v>
      </c>
      <c r="BJ101" s="436" t="str">
        <f>IFERROR(AVERAGEIFS(
'STH Efficacy'!$CD:$CD, 
'STH Efficacy'!$BS:$BS, $A101, 
'STH Efficacy'!$BT:$BT, "Albendazole &amp; Ivermectin",
'STH Efficacy'!$BZ:$BZ,"&lt;2016",
'STH Efficacy'!$CU:$CU,""),
"")</f>
        <v/>
      </c>
      <c r="BK101" s="136">
        <f t="shared" si="22"/>
        <v>1</v>
      </c>
      <c r="BL101" s="444" t="str">
        <f>IFERROR(
  AVERAGEIFS(
    'NEW Onchocerciasis Efficacy'!$AO:$AO,
    'NEW Onchocerciasis Efficacy'!$C:$C,$A101,
    'NEW Onchocerciasis Efficacy'!$D:$D,"Ivermectin",
    'NEW Onchocerciasis Efficacy'!$AR:$AR,"&lt;2016",
    'NEW Onchocerciasis Efficacy'!$BG:$BG,"")
,"")</f>
        <v/>
      </c>
      <c r="BM101" s="304">
        <f t="shared" si="23"/>
        <v>0.3734</v>
      </c>
      <c r="BN101" s="439">
        <v>0.0</v>
      </c>
      <c r="BO101" s="139">
        <v>0.0</v>
      </c>
      <c r="BP101" s="140">
        <v>0.0</v>
      </c>
      <c r="BQ101" s="141">
        <f t="shared" si="24"/>
        <v>0</v>
      </c>
      <c r="BR101" s="104" t="str">
        <f t="shared" si="25"/>
        <v>0000</v>
      </c>
      <c r="BS101" s="104" t="str">
        <f t="shared" si="26"/>
        <v>no action required</v>
      </c>
      <c r="BT101" s="142" t="str">
        <f t="shared" si="27"/>
        <v/>
      </c>
      <c r="BU101" s="104" t="str">
        <f t="shared" si="28"/>
        <v/>
      </c>
      <c r="BV101" s="104" t="str">
        <f t="shared" si="29"/>
        <v>none</v>
      </c>
      <c r="BW101" s="150" t="str">
        <f t="shared" si="30"/>
        <v/>
      </c>
      <c r="BX101" s="150" t="str">
        <f t="shared" si="31"/>
        <v/>
      </c>
      <c r="BY101" s="151" t="str">
        <f t="shared" si="32"/>
        <v/>
      </c>
      <c r="BZ101" s="152" t="str">
        <f t="shared" si="33"/>
        <v/>
      </c>
      <c r="CA101" s="152" t="str">
        <f t="shared" si="34"/>
        <v/>
      </c>
      <c r="CB101" s="152" t="str">
        <f t="shared" si="35"/>
        <v/>
      </c>
      <c r="CC101" s="153" t="str">
        <f t="shared" si="36"/>
        <v/>
      </c>
      <c r="CD101" s="153" t="str">
        <f t="shared" si="37"/>
        <v/>
      </c>
      <c r="CE101" s="154" t="str">
        <f t="shared" si="38"/>
        <v/>
      </c>
      <c r="CF101" s="154" t="str">
        <f t="shared" si="39"/>
        <v/>
      </c>
      <c r="CG101" s="154" t="str">
        <f t="shared" si="40"/>
        <v/>
      </c>
      <c r="CH101" s="308" t="str">
        <f t="shared" si="41"/>
        <v/>
      </c>
    </row>
    <row r="102">
      <c r="A102" s="155" t="s">
        <v>191</v>
      </c>
      <c r="B102" s="104" t="s">
        <v>94</v>
      </c>
      <c r="C102" s="428">
        <v>1.27141E8</v>
      </c>
      <c r="D102" s="161">
        <v>0.0</v>
      </c>
      <c r="E102" s="294">
        <v>0.0</v>
      </c>
      <c r="F102" s="307">
        <v>0.0</v>
      </c>
      <c r="G102" s="309">
        <v>0.0</v>
      </c>
      <c r="H102" s="108">
        <v>0.0</v>
      </c>
      <c r="I102" s="109">
        <v>0.0</v>
      </c>
      <c r="J102" s="109">
        <v>0.0</v>
      </c>
      <c r="K102" s="109">
        <v>0.0</v>
      </c>
      <c r="L102" s="112">
        <v>0.0</v>
      </c>
      <c r="M102" s="112">
        <v>0.0</v>
      </c>
      <c r="N102" s="112">
        <v>0.0</v>
      </c>
      <c r="O102" s="298">
        <v>0.0</v>
      </c>
      <c r="P102" s="114"/>
      <c r="Q102" s="114"/>
      <c r="R102" s="121" t="str">
        <f t="shared" si="4"/>
        <v/>
      </c>
      <c r="S102" s="116">
        <f t="shared" si="5"/>
        <v>0.3783554476</v>
      </c>
      <c r="T102" s="117"/>
      <c r="U102" s="118">
        <f t="shared" si="6"/>
        <v>0.73965</v>
      </c>
      <c r="V102" s="148"/>
      <c r="W102" s="120">
        <f t="shared" si="7"/>
        <v>0.6141272727</v>
      </c>
      <c r="X102" s="148"/>
      <c r="Y102" s="120">
        <f t="shared" si="8"/>
        <v>0.6018090909</v>
      </c>
      <c r="Z102" s="299"/>
      <c r="AA102" s="441"/>
      <c r="AB102" s="300" t="str">
        <f t="shared" si="9"/>
        <v/>
      </c>
      <c r="AC102" s="300">
        <f t="shared" si="10"/>
        <v>0.6890056172</v>
      </c>
      <c r="AD102" s="122">
        <v>0.0</v>
      </c>
      <c r="AE102" s="123">
        <v>0.0</v>
      </c>
      <c r="AF102" s="430">
        <v>0.0</v>
      </c>
      <c r="AG102" s="124">
        <v>0.0</v>
      </c>
      <c r="AH102" s="124">
        <v>0.0</v>
      </c>
      <c r="AI102" s="125">
        <v>0.0</v>
      </c>
      <c r="AJ102" s="125">
        <v>0.0</v>
      </c>
      <c r="AK102" s="127">
        <v>0.0</v>
      </c>
      <c r="AL102" s="127">
        <v>0.0</v>
      </c>
      <c r="AM102" s="302">
        <v>0.0</v>
      </c>
      <c r="AN102" s="149" t="str">
        <f>IFERROR(
  AVERAGEIFS(
    'New LF Efficacy'!$J:$J,
    'New LF Efficacy'!$D:$D, $A102,
    'New LF Efficacy'!$F:$F,"DEC", 
    'New LF Efficacy'!$W:$W,"&lt;2016",
    'New LF Efficacy'!$AA:$AA,""),
  ""
)</f>
        <v/>
      </c>
      <c r="AO102" s="115">
        <f t="shared" si="11"/>
        <v>0.38</v>
      </c>
      <c r="AP102" s="149" t="str">
        <f>IFERROR(
AVERAGEIFS(
'New LF Efficacy'!$J:$J,
'New LF Efficacy'!$D:$D,$A102,
'New LF Efficacy'!$F:$F,"Albendazole &amp; DEC",
'New LF Efficacy'!$W:$W,"&lt;2016",
'New LF Efficacy'!$AA:$AA,""),
"")
</f>
        <v/>
      </c>
      <c r="AQ102" s="115">
        <f t="shared" si="12"/>
        <v>0.662</v>
      </c>
      <c r="AR102" s="149" t="str">
        <f>IFERROR(
AVERAGEIFS(
'New LF Efficacy'!$J:$J,
'New LF Efficacy'!$D:$D,$A102,
'New LF Efficacy'!$F:$F,"Albendazole &amp; Ivermectin", 
'New LF Efficacy'!$W:$W,"&lt;2016",
'New LF Efficacy'!$AA:$AA,""),"")</f>
        <v/>
      </c>
      <c r="AS102" s="115">
        <f t="shared" si="13"/>
        <v>0.37153125</v>
      </c>
      <c r="AT102" s="442" t="str">
        <f>IFERROR(AVERAGEIFS(
'Schist Efficacy'!$O:$O, 
'Schist Efficacy'!$C:$C,$A102, 
'Schist Efficacy'!$D:$D, "Praziquantel",
'Schist Efficacy'!$J:$J,"&lt;2016",
'Schist Efficacy'!$U:$U,""),
"")</f>
        <v/>
      </c>
      <c r="AU102" s="118">
        <f t="shared" si="14"/>
        <v>0.9475</v>
      </c>
      <c r="AV102" s="131" t="str">
        <f>IFERROR(AVERAGEIFS(
'STH Efficacy'!$AX:$AX, 
'STH Efficacy'!$AL:$AL, $A102, 
'STH Efficacy'!$AM:$AM, "Albendazole",
'STH Efficacy'!$AS:$AS,"&lt;2016",
'STH Efficacy'!$BP:$BP,""),
"")</f>
        <v/>
      </c>
      <c r="AW102" s="132">
        <f t="shared" si="15"/>
        <v>0.3571666667</v>
      </c>
      <c r="AX102" s="131" t="str">
        <f>IFERROR(AVERAGEIFS(
'STH Efficacy'!$AX:$AX, 
'STH Efficacy'!$AL:$AL, $A102, 
'STH Efficacy'!$AM:$AM, "Mebendazole",
'STH Efficacy'!$AS:$AS,"&lt;2016",
'STH Efficacy'!$BP:$BP,""),
"")</f>
        <v/>
      </c>
      <c r="AY102" s="132">
        <f t="shared" si="16"/>
        <v>0.4155</v>
      </c>
      <c r="AZ102" s="131" t="str">
        <f>IFERROR(AVERAGEIFS(
'STH Efficacy'!$AX:$AX, 
'STH Efficacy'!$AL:$AL, $A102, 
'STH Efficacy'!$AM:$AM, "Albendazole &amp; Ivermectin",
'STH Efficacy'!$AS:$AS,"&lt;2016",
'STH Efficacy'!$BP:$BP,""),
"")</f>
        <v/>
      </c>
      <c r="BA102" s="133">
        <f t="shared" si="17"/>
        <v>0.651</v>
      </c>
      <c r="BB102" s="443" t="str">
        <f>IFERROR(AVERAGEIFS(
'STH Efficacy'!$N:$N, 
'STH Efficacy'!$B:$B, $A102, 
'STH Efficacy'!$C:$C, "Albendazole",
'STH Efficacy'!$I:$I,"&lt;2016",
'STH Efficacy'!$AH:$AH,""),
"")</f>
        <v/>
      </c>
      <c r="BC102" s="135">
        <f t="shared" si="18"/>
        <v>0.5769166667</v>
      </c>
      <c r="BD102" s="443" t="str">
        <f>IFERROR(AVERAGEIFS(
'STH Efficacy'!$N:$N, 
'STH Efficacy'!$B:$B, $A102, 
'STH Efficacy'!$C:$C, "Mebendazole",
'STH Efficacy'!$I:$I,"&lt;2016",
'STH Efficacy'!$AH:$AH,""),
"")</f>
        <v/>
      </c>
      <c r="BE102" s="135">
        <f t="shared" si="19"/>
        <v>0.3145</v>
      </c>
      <c r="BF102" s="436" t="str">
        <f>IFERROR(AVERAGEIFS(
'STH Efficacy'!$CD:$CD, 
'STH Efficacy'!$BS:$BS, $A102, 
'STH Efficacy'!$BT:$BT, "Albendazole",
'STH Efficacy'!$BZ:$BZ,"&lt;2016",
'STH Efficacy'!$CU:$CU,""),
"")</f>
        <v/>
      </c>
      <c r="BG102" s="136">
        <f t="shared" si="20"/>
        <v>0.96925</v>
      </c>
      <c r="BH102" s="436" t="str">
        <f>IFERROR(AVERAGEIFS(
'STH Efficacy'!$CD:$CD, 
'STH Efficacy'!$BS:$BS, $A102, 
'STH Efficacy'!$BT:$BT, "Mebendazole",
'STH Efficacy'!$BZ:$BZ,"&lt;2016",
'STH Efficacy'!$CU:$CU,""),
"")</f>
        <v/>
      </c>
      <c r="BI102" s="136">
        <f t="shared" si="21"/>
        <v>0.9305</v>
      </c>
      <c r="BJ102" s="436" t="str">
        <f>IFERROR(AVERAGEIFS(
'STH Efficacy'!$CD:$CD, 
'STH Efficacy'!$BS:$BS, $A102, 
'STH Efficacy'!$BT:$BT, "Albendazole &amp; Ivermectin",
'STH Efficacy'!$BZ:$BZ,"&lt;2016",
'STH Efficacy'!$CU:$CU,""),
"")</f>
        <v/>
      </c>
      <c r="BK102" s="136">
        <f t="shared" si="22"/>
        <v>0.848</v>
      </c>
      <c r="BL102" s="444" t="str">
        <f>IFERROR(
  AVERAGEIFS(
    'NEW Onchocerciasis Efficacy'!$AO:$AO,
    'NEW Onchocerciasis Efficacy'!$C:$C,$A102,
    'NEW Onchocerciasis Efficacy'!$D:$D,"Ivermectin",
    'NEW Onchocerciasis Efficacy'!$AR:$AR,"&lt;2016",
    'NEW Onchocerciasis Efficacy'!$BG:$BG,"")
,"")</f>
        <v/>
      </c>
      <c r="BM102" s="304">
        <f t="shared" si="23"/>
        <v>0.7808368939</v>
      </c>
      <c r="BN102" s="439">
        <v>0.0</v>
      </c>
      <c r="BO102" s="139">
        <v>0.0</v>
      </c>
      <c r="BP102" s="140">
        <v>0.0</v>
      </c>
      <c r="BQ102" s="141">
        <f t="shared" si="24"/>
        <v>0</v>
      </c>
      <c r="BR102" s="104" t="str">
        <f t="shared" si="25"/>
        <v>0000</v>
      </c>
      <c r="BS102" s="104" t="str">
        <f t="shared" si="26"/>
        <v>no action required</v>
      </c>
      <c r="BT102" s="142" t="str">
        <f t="shared" si="27"/>
        <v/>
      </c>
      <c r="BU102" s="104" t="str">
        <f t="shared" si="28"/>
        <v/>
      </c>
      <c r="BV102" s="104" t="str">
        <f t="shared" si="29"/>
        <v>none</v>
      </c>
      <c r="BW102" s="150" t="str">
        <f t="shared" si="30"/>
        <v/>
      </c>
      <c r="BX102" s="150" t="str">
        <f t="shared" si="31"/>
        <v/>
      </c>
      <c r="BY102" s="151" t="str">
        <f t="shared" si="32"/>
        <v/>
      </c>
      <c r="BZ102" s="152" t="str">
        <f t="shared" si="33"/>
        <v/>
      </c>
      <c r="CA102" s="152" t="str">
        <f t="shared" si="34"/>
        <v/>
      </c>
      <c r="CB102" s="152" t="str">
        <f t="shared" si="35"/>
        <v/>
      </c>
      <c r="CC102" s="153" t="str">
        <f t="shared" si="36"/>
        <v/>
      </c>
      <c r="CD102" s="153" t="str">
        <f t="shared" si="37"/>
        <v/>
      </c>
      <c r="CE102" s="154" t="str">
        <f t="shared" si="38"/>
        <v/>
      </c>
      <c r="CF102" s="154" t="str">
        <f t="shared" si="39"/>
        <v/>
      </c>
      <c r="CG102" s="154" t="str">
        <f t="shared" si="40"/>
        <v/>
      </c>
      <c r="CH102" s="308" t="str">
        <f t="shared" si="41"/>
        <v/>
      </c>
    </row>
    <row r="103">
      <c r="A103" s="155" t="s">
        <v>192</v>
      </c>
      <c r="B103" s="104" t="s">
        <v>88</v>
      </c>
      <c r="C103" s="428">
        <v>9159302.0</v>
      </c>
      <c r="D103" s="161">
        <v>0.0</v>
      </c>
      <c r="E103" s="294">
        <v>198.5975286</v>
      </c>
      <c r="F103" s="295">
        <v>0.787975935</v>
      </c>
      <c r="G103" s="295">
        <v>4.041192046</v>
      </c>
      <c r="H103" s="108">
        <v>4.829167981</v>
      </c>
      <c r="I103" s="109">
        <v>22.7096048</v>
      </c>
      <c r="J103" s="109">
        <v>59.4369585</v>
      </c>
      <c r="K103" s="109">
        <v>82.14656332</v>
      </c>
      <c r="L103" s="112">
        <v>109.3714478</v>
      </c>
      <c r="M103" s="112">
        <v>254.9482146</v>
      </c>
      <c r="N103" s="112">
        <v>364.3196623</v>
      </c>
      <c r="O103" s="298">
        <v>0.0</v>
      </c>
      <c r="P103" s="114"/>
      <c r="Q103" s="114"/>
      <c r="R103" s="121" t="str">
        <f t="shared" si="4"/>
        <v/>
      </c>
      <c r="S103" s="116">
        <f t="shared" si="5"/>
        <v>0.5709301448</v>
      </c>
      <c r="T103" s="117"/>
      <c r="U103" s="118">
        <f t="shared" si="6"/>
        <v>0.739</v>
      </c>
      <c r="V103" s="148"/>
      <c r="W103" s="120">
        <f t="shared" si="7"/>
        <v>0.9933333333</v>
      </c>
      <c r="X103" s="469"/>
      <c r="Y103" s="120">
        <f t="shared" si="8"/>
        <v>0.5301</v>
      </c>
      <c r="Z103" s="299"/>
      <c r="AA103" s="441"/>
      <c r="AB103" s="300" t="str">
        <f t="shared" si="9"/>
        <v/>
      </c>
      <c r="AC103" s="300">
        <f t="shared" si="10"/>
        <v>0.4014082288</v>
      </c>
      <c r="AD103" s="122">
        <v>0.0</v>
      </c>
      <c r="AE103" s="123">
        <v>0.0</v>
      </c>
      <c r="AF103" s="430">
        <v>1.0E-4</v>
      </c>
      <c r="AG103" s="124">
        <v>0.0</v>
      </c>
      <c r="AH103" s="124">
        <v>0.055426183</v>
      </c>
      <c r="AI103" s="125">
        <v>0.0</v>
      </c>
      <c r="AJ103" s="125">
        <v>0.016154929</v>
      </c>
      <c r="AK103" s="127">
        <v>0.0</v>
      </c>
      <c r="AL103" s="127">
        <v>0.192831631</v>
      </c>
      <c r="AM103" s="302">
        <v>0.0</v>
      </c>
      <c r="AN103" s="149" t="str">
        <f>IFERROR(
  AVERAGEIFS(
    'New LF Efficacy'!$J:$J,
    'New LF Efficacy'!$D:$D, $A103,
    'New LF Efficacy'!$F:$F,"DEC", 
    'New LF Efficacy'!$W:$W,"&lt;2016",
    'New LF Efficacy'!$AA:$AA,""),
  ""
)</f>
        <v/>
      </c>
      <c r="AO103" s="115">
        <f t="shared" si="11"/>
        <v>0.3573520833</v>
      </c>
      <c r="AP103" s="149" t="str">
        <f>IFERROR(
AVERAGEIFS(
'New LF Efficacy'!$J:$J,
'New LF Efficacy'!$D:$D,$A103,
'New LF Efficacy'!$F:$F,"Albendazole &amp; DEC",
'New LF Efficacy'!$W:$W,"&lt;2016",
'New LF Efficacy'!$AA:$AA,""),
"")
</f>
        <v/>
      </c>
      <c r="AQ103" s="115">
        <f t="shared" si="12"/>
        <v>0.7935</v>
      </c>
      <c r="AR103" s="149" t="str">
        <f>IFERROR(
AVERAGEIFS(
'New LF Efficacy'!$J:$J,
'New LF Efficacy'!$D:$D,$A103,
'New LF Efficacy'!$F:$F,"Albendazole &amp; Ivermectin", 
'New LF Efficacy'!$W:$W,"&lt;2016",
'New LF Efficacy'!$AA:$AA,""),"")</f>
        <v/>
      </c>
      <c r="AS103" s="115">
        <f t="shared" si="13"/>
        <v>0.37153125</v>
      </c>
      <c r="AT103" s="442" t="str">
        <f>IFERROR(AVERAGEIFS(
'Schist Efficacy'!$O:$O, 
'Schist Efficacy'!$C:$C,$A103, 
'Schist Efficacy'!$D:$D, "Praziquantel",
'Schist Efficacy'!$J:$J,"&lt;2016",
'Schist Efficacy'!$U:$U,""),
"")</f>
        <v/>
      </c>
      <c r="AU103" s="118">
        <f t="shared" si="14"/>
        <v>0.7763141026</v>
      </c>
      <c r="AV103" s="131" t="str">
        <f>IFERROR(AVERAGEIFS(
'STH Efficacy'!$AX:$AX, 
'STH Efficacy'!$AL:$AL, $A103, 
'STH Efficacy'!$AM:$AM, "Albendazole",
'STH Efficacy'!$AS:$AS,"&lt;2016",
'STH Efficacy'!$BP:$BP,""),
"")</f>
        <v/>
      </c>
      <c r="AW103" s="132">
        <f t="shared" si="15"/>
        <v>0.4143846154</v>
      </c>
      <c r="AX103" s="131" t="str">
        <f>IFERROR(AVERAGEIFS(
'STH Efficacy'!$AX:$AX, 
'STH Efficacy'!$AL:$AL, $A103, 
'STH Efficacy'!$AM:$AM, "Mebendazole",
'STH Efficacy'!$AS:$AS,"&lt;2016",
'STH Efficacy'!$BP:$BP,""),
"")</f>
        <v/>
      </c>
      <c r="AY103" s="132">
        <f t="shared" si="16"/>
        <v>0.4691770833</v>
      </c>
      <c r="AZ103" s="131" t="str">
        <f>IFERROR(AVERAGEIFS(
'STH Efficacy'!$AX:$AX, 
'STH Efficacy'!$AL:$AL, $A103, 
'STH Efficacy'!$AM:$AM, "Albendazole &amp; Ivermectin",
'STH Efficacy'!$AS:$AS,"&lt;2016",
'STH Efficacy'!$BP:$BP,""),
"")</f>
        <v/>
      </c>
      <c r="BA103" s="133">
        <f t="shared" si="17"/>
        <v>0.597625</v>
      </c>
      <c r="BB103" s="443" t="str">
        <f>IFERROR(AVERAGEIFS(
'STH Efficacy'!$N:$N, 
'STH Efficacy'!$B:$B, $A103, 
'STH Efficacy'!$C:$C, "Albendazole",
'STH Efficacy'!$I:$I,"&lt;2016",
'STH Efficacy'!$AH:$AH,""),
"")</f>
        <v/>
      </c>
      <c r="BC103" s="135">
        <f t="shared" si="18"/>
        <v>0.7613712121</v>
      </c>
      <c r="BD103" s="443" t="str">
        <f>IFERROR(AVERAGEIFS(
'STH Efficacy'!$N:$N, 
'STH Efficacy'!$B:$B, $A103, 
'STH Efficacy'!$C:$C, "Mebendazole",
'STH Efficacy'!$I:$I,"&lt;2016",
'STH Efficacy'!$AH:$AH,""),
"")</f>
        <v/>
      </c>
      <c r="BE103" s="135">
        <f t="shared" si="19"/>
        <v>0.4362466667</v>
      </c>
      <c r="BF103" s="436" t="str">
        <f>IFERROR(AVERAGEIFS(
'STH Efficacy'!$CD:$CD, 
'STH Efficacy'!$BS:$BS, $A103, 
'STH Efficacy'!$BT:$BT, "Albendazole",
'STH Efficacy'!$BZ:$BZ,"&lt;2016",
'STH Efficacy'!$CU:$CU,""),
"")</f>
        <v/>
      </c>
      <c r="BG103" s="136">
        <f t="shared" si="20"/>
        <v>0.955</v>
      </c>
      <c r="BH103" s="436" t="str">
        <f>IFERROR(AVERAGEIFS(
'STH Efficacy'!$CD:$CD, 
'STH Efficacy'!$BS:$BS, $A103, 
'STH Efficacy'!$BT:$BT, "Mebendazole",
'STH Efficacy'!$BZ:$BZ,"&lt;2016",
'STH Efficacy'!$CU:$CU,""),
"")</f>
        <v/>
      </c>
      <c r="BI103" s="136">
        <f t="shared" si="21"/>
        <v>1</v>
      </c>
      <c r="BJ103" s="436" t="str">
        <f>IFERROR(AVERAGEIFS(
'STH Efficacy'!$CD:$CD, 
'STH Efficacy'!$BS:$BS, $A103, 
'STH Efficacy'!$BT:$BT, "Albendazole &amp; Ivermectin",
'STH Efficacy'!$BZ:$BZ,"&lt;2016",
'STH Efficacy'!$CU:$CU,""),
"")</f>
        <v/>
      </c>
      <c r="BK103" s="136">
        <f t="shared" si="22"/>
        <v>0.848</v>
      </c>
      <c r="BL103" s="444" t="str">
        <f>IFERROR(
  AVERAGEIFS(
    'NEW Onchocerciasis Efficacy'!$AO:$AO,
    'NEW Onchocerciasis Efficacy'!$C:$C,$A103,
    'NEW Onchocerciasis Efficacy'!$D:$D,"Ivermectin",
    'NEW Onchocerciasis Efficacy'!$AR:$AR,"&lt;2016",
    'NEW Onchocerciasis Efficacy'!$BG:$BG,"")
,"")</f>
        <v/>
      </c>
      <c r="BM103" s="304">
        <f t="shared" si="23"/>
        <v>0.7808368939</v>
      </c>
      <c r="BN103" s="439">
        <v>0.0</v>
      </c>
      <c r="BO103" s="139">
        <v>0.0</v>
      </c>
      <c r="BP103" s="140">
        <v>0.0</v>
      </c>
      <c r="BQ103" s="141">
        <f t="shared" si="24"/>
        <v>0</v>
      </c>
      <c r="BR103" s="104" t="str">
        <f t="shared" si="25"/>
        <v>0000</v>
      </c>
      <c r="BS103" s="104" t="str">
        <f t="shared" si="26"/>
        <v>no action required</v>
      </c>
      <c r="BT103" s="142" t="str">
        <f t="shared" si="27"/>
        <v/>
      </c>
      <c r="BU103" s="104" t="str">
        <f t="shared" si="28"/>
        <v/>
      </c>
      <c r="BV103" s="104" t="str">
        <f t="shared" si="29"/>
        <v>none</v>
      </c>
      <c r="BW103" s="150" t="str">
        <f t="shared" si="30"/>
        <v/>
      </c>
      <c r="BX103" s="150" t="str">
        <f t="shared" si="31"/>
        <v/>
      </c>
      <c r="BY103" s="151" t="str">
        <f t="shared" si="32"/>
        <v/>
      </c>
      <c r="BZ103" s="152" t="str">
        <f t="shared" si="33"/>
        <v/>
      </c>
      <c r="CA103" s="152" t="str">
        <f t="shared" si="34"/>
        <v/>
      </c>
      <c r="CB103" s="152" t="str">
        <f t="shared" si="35"/>
        <v/>
      </c>
      <c r="CC103" s="153" t="str">
        <f t="shared" si="36"/>
        <v/>
      </c>
      <c r="CD103" s="153" t="str">
        <f t="shared" si="37"/>
        <v/>
      </c>
      <c r="CE103" s="154" t="str">
        <f t="shared" si="38"/>
        <v/>
      </c>
      <c r="CF103" s="154" t="str">
        <f t="shared" si="39"/>
        <v/>
      </c>
      <c r="CG103" s="154" t="str">
        <f t="shared" si="40"/>
        <v/>
      </c>
      <c r="CH103" s="308" t="str">
        <f t="shared" si="41"/>
        <v/>
      </c>
    </row>
    <row r="104">
      <c r="A104" s="155" t="s">
        <v>193</v>
      </c>
      <c r="B104" s="104" t="s">
        <v>90</v>
      </c>
      <c r="C104" s="428">
        <v>1.7544126E7</v>
      </c>
      <c r="D104" s="161">
        <v>0.0</v>
      </c>
      <c r="E104" s="294">
        <v>0.0</v>
      </c>
      <c r="F104" s="307">
        <v>0.0</v>
      </c>
      <c r="G104" s="309">
        <v>0.0</v>
      </c>
      <c r="H104" s="108">
        <v>0.0</v>
      </c>
      <c r="I104" s="109">
        <v>0.11295732</v>
      </c>
      <c r="J104" s="109">
        <v>0.10782092</v>
      </c>
      <c r="K104" s="109">
        <v>0.220778238</v>
      </c>
      <c r="L104" s="112">
        <v>529.6460477</v>
      </c>
      <c r="M104" s="111">
        <v>1036.38136</v>
      </c>
      <c r="N104" s="112">
        <v>1566.027408</v>
      </c>
      <c r="O104" s="298">
        <v>0.0</v>
      </c>
      <c r="P104" s="114"/>
      <c r="Q104" s="114"/>
      <c r="R104" s="121" t="str">
        <f t="shared" si="4"/>
        <v/>
      </c>
      <c r="S104" s="116">
        <f t="shared" si="5"/>
        <v>0.5709301448</v>
      </c>
      <c r="T104" s="117"/>
      <c r="U104" s="118">
        <f t="shared" si="6"/>
        <v>0.4791888889</v>
      </c>
      <c r="V104" s="148"/>
      <c r="W104" s="120">
        <f t="shared" si="7"/>
        <v>0.0223</v>
      </c>
      <c r="X104" s="148"/>
      <c r="Y104" s="120">
        <f t="shared" si="8"/>
        <v>0.598275</v>
      </c>
      <c r="Z104" s="299"/>
      <c r="AA104" s="441"/>
      <c r="AB104" s="300" t="str">
        <f t="shared" si="9"/>
        <v/>
      </c>
      <c r="AC104" s="300">
        <f t="shared" si="10"/>
        <v>0.6890056172</v>
      </c>
      <c r="AD104" s="122">
        <v>0.0</v>
      </c>
      <c r="AE104" s="123">
        <v>0.0</v>
      </c>
      <c r="AF104" s="430">
        <v>0.0</v>
      </c>
      <c r="AG104" s="124">
        <v>0.0</v>
      </c>
      <c r="AH104" s="124">
        <v>1.22535E-5</v>
      </c>
      <c r="AI104" s="125">
        <v>0.0</v>
      </c>
      <c r="AJ104" s="125">
        <v>1.15675E-5</v>
      </c>
      <c r="AK104" s="127">
        <v>0.2044</v>
      </c>
      <c r="AL104" s="127">
        <v>0.305210198</v>
      </c>
      <c r="AM104" s="302">
        <v>0.0</v>
      </c>
      <c r="AN104" s="149" t="str">
        <f>IFERROR(
  AVERAGEIFS(
    'New LF Efficacy'!$J:$J,
    'New LF Efficacy'!$D:$D, $A104,
    'New LF Efficacy'!$F:$F,"DEC", 
    'New LF Efficacy'!$W:$W,"&lt;2016",
    'New LF Efficacy'!$AA:$AA,""),
  ""
)</f>
        <v/>
      </c>
      <c r="AO104" s="115">
        <f t="shared" si="11"/>
        <v>0.3573520833</v>
      </c>
      <c r="AP104" s="149" t="str">
        <f>IFERROR(
AVERAGEIFS(
'New LF Efficacy'!$J:$J,
'New LF Efficacy'!$D:$D,$A104,
'New LF Efficacy'!$F:$F,"Albendazole &amp; DEC",
'New LF Efficacy'!$W:$W,"&lt;2016",
'New LF Efficacy'!$AA:$AA,""),
"")
</f>
        <v/>
      </c>
      <c r="AQ104" s="115">
        <f t="shared" si="12"/>
        <v>0.5143541667</v>
      </c>
      <c r="AR104" s="149" t="str">
        <f>IFERROR(
AVERAGEIFS(
'New LF Efficacy'!$J:$J,
'New LF Efficacy'!$D:$D,$A104,
'New LF Efficacy'!$F:$F,"Albendazole &amp; Ivermectin", 
'New LF Efficacy'!$W:$W,"&lt;2016",
'New LF Efficacy'!$AA:$AA,""),"")</f>
        <v/>
      </c>
      <c r="AS104" s="115">
        <f t="shared" si="13"/>
        <v>0.37153125</v>
      </c>
      <c r="AT104" s="442" t="str">
        <f>IFERROR(AVERAGEIFS(
'Schist Efficacy'!$O:$O, 
'Schist Efficacy'!$C:$C,$A104, 
'Schist Efficacy'!$D:$D, "Praziquantel",
'Schist Efficacy'!$J:$J,"&lt;2016",
'Schist Efficacy'!$U:$U,""),
"")</f>
        <v/>
      </c>
      <c r="AU104" s="118">
        <f t="shared" si="14"/>
        <v>0.655</v>
      </c>
      <c r="AV104" s="131" t="str">
        <f>IFERROR(AVERAGEIFS(
'STH Efficacy'!$AX:$AX, 
'STH Efficacy'!$AL:$AL, $A104, 
'STH Efficacy'!$AM:$AM, "Albendazole",
'STH Efficacy'!$AS:$AS,"&lt;2016",
'STH Efficacy'!$BP:$BP,""),
"")</f>
        <v/>
      </c>
      <c r="AW104" s="132">
        <f t="shared" si="15"/>
        <v>0.4143846154</v>
      </c>
      <c r="AX104" s="131" t="str">
        <f>IFERROR(AVERAGEIFS(
'STH Efficacy'!$AX:$AX, 
'STH Efficacy'!$AL:$AL, $A104, 
'STH Efficacy'!$AM:$AM, "Mebendazole",
'STH Efficacy'!$AS:$AS,"&lt;2016",
'STH Efficacy'!$BP:$BP,""),
"")</f>
        <v/>
      </c>
      <c r="AY104" s="132">
        <f t="shared" si="16"/>
        <v>0.4691770833</v>
      </c>
      <c r="AZ104" s="131" t="str">
        <f>IFERROR(AVERAGEIFS(
'STH Efficacy'!$AX:$AX, 
'STH Efficacy'!$AL:$AL, $A104, 
'STH Efficacy'!$AM:$AM, "Albendazole &amp; Ivermectin",
'STH Efficacy'!$AS:$AS,"&lt;2016",
'STH Efficacy'!$BP:$BP,""),
"")</f>
        <v/>
      </c>
      <c r="BA104" s="133">
        <f t="shared" si="17"/>
        <v>0.597625</v>
      </c>
      <c r="BB104" s="443" t="str">
        <f>IFERROR(AVERAGEIFS(
'STH Efficacy'!$N:$N, 
'STH Efficacy'!$B:$B, $A104, 
'STH Efficacy'!$C:$C, "Albendazole",
'STH Efficacy'!$I:$I,"&lt;2016",
'STH Efficacy'!$AH:$AH,""),
"")</f>
        <v/>
      </c>
      <c r="BC104" s="135">
        <f t="shared" si="18"/>
        <v>0.7613712121</v>
      </c>
      <c r="BD104" s="443" t="str">
        <f>IFERROR(AVERAGEIFS(
'STH Efficacy'!$N:$N, 
'STH Efficacy'!$B:$B, $A104, 
'STH Efficacy'!$C:$C, "Mebendazole",
'STH Efficacy'!$I:$I,"&lt;2016",
'STH Efficacy'!$AH:$AH,""),
"")</f>
        <v/>
      </c>
      <c r="BE104" s="135">
        <f t="shared" si="19"/>
        <v>0.4362466667</v>
      </c>
      <c r="BF104" s="436" t="str">
        <f>IFERROR(AVERAGEIFS(
'STH Efficacy'!$CD:$CD, 
'STH Efficacy'!$BS:$BS, $A104, 
'STH Efficacy'!$BT:$BT, "Albendazole",
'STH Efficacy'!$BZ:$BZ,"&lt;2016",
'STH Efficacy'!$CU:$CU,""),
"")</f>
        <v/>
      </c>
      <c r="BG104" s="136">
        <f t="shared" si="20"/>
        <v>0.9216027778</v>
      </c>
      <c r="BH104" s="436" t="str">
        <f>IFERROR(AVERAGEIFS(
'STH Efficacy'!$CD:$CD, 
'STH Efficacy'!$BS:$BS, $A104, 
'STH Efficacy'!$BT:$BT, "Mebendazole",
'STH Efficacy'!$BZ:$BZ,"&lt;2016",
'STH Efficacy'!$CU:$CU,""),
"")</f>
        <v/>
      </c>
      <c r="BI104" s="136">
        <f t="shared" si="21"/>
        <v>0.8866041667</v>
      </c>
      <c r="BJ104" s="436" t="str">
        <f>IFERROR(AVERAGEIFS(
'STH Efficacy'!$CD:$CD, 
'STH Efficacy'!$BS:$BS, $A104, 
'STH Efficacy'!$BT:$BT, "Albendazole &amp; Ivermectin",
'STH Efficacy'!$BZ:$BZ,"&lt;2016",
'STH Efficacy'!$CU:$CU,""),
"")</f>
        <v/>
      </c>
      <c r="BK104" s="136">
        <f t="shared" si="22"/>
        <v>0.848</v>
      </c>
      <c r="BL104" s="444" t="str">
        <f>IFERROR(
  AVERAGEIFS(
    'NEW Onchocerciasis Efficacy'!$AO:$AO,
    'NEW Onchocerciasis Efficacy'!$C:$C,$A104,
    'NEW Onchocerciasis Efficacy'!$D:$D,"Ivermectin",
    'NEW Onchocerciasis Efficacy'!$AR:$AR,"&lt;2016",
    'NEW Onchocerciasis Efficacy'!$BG:$BG,"")
,"")</f>
        <v/>
      </c>
      <c r="BM104" s="304">
        <f t="shared" si="23"/>
        <v>0.7808368939</v>
      </c>
      <c r="BN104" s="439">
        <v>0.0</v>
      </c>
      <c r="BO104" s="139">
        <v>1.0</v>
      </c>
      <c r="BP104" s="140">
        <v>1.0</v>
      </c>
      <c r="BQ104" s="141">
        <f t="shared" si="24"/>
        <v>0</v>
      </c>
      <c r="BR104" s="104" t="str">
        <f t="shared" si="25"/>
        <v>0110</v>
      </c>
      <c r="BS104" s="104" t="str">
        <f t="shared" si="26"/>
        <v>MDA3+T2</v>
      </c>
      <c r="BT104" s="142" t="str">
        <f t="shared" si="27"/>
        <v>IVM</v>
      </c>
      <c r="BU104" s="104" t="str">
        <f t="shared" si="28"/>
        <v>PZQ</v>
      </c>
      <c r="BV104" s="104" t="str">
        <f t="shared" si="29"/>
        <v>onch+schist</v>
      </c>
      <c r="BW104" s="150" t="str">
        <f t="shared" si="30"/>
        <v/>
      </c>
      <c r="BX104" s="150" t="str">
        <f t="shared" si="31"/>
        <v/>
      </c>
      <c r="BY104" s="162">
        <f t="shared" si="32"/>
        <v>0</v>
      </c>
      <c r="BZ104" s="152" t="str">
        <f t="shared" si="33"/>
        <v/>
      </c>
      <c r="CA104" s="152" t="str">
        <f t="shared" si="34"/>
        <v/>
      </c>
      <c r="CB104" s="152" t="str">
        <f t="shared" si="35"/>
        <v/>
      </c>
      <c r="CC104" s="153" t="str">
        <f t="shared" si="36"/>
        <v/>
      </c>
      <c r="CD104" s="153" t="str">
        <f t="shared" si="37"/>
        <v/>
      </c>
      <c r="CE104" s="154" t="str">
        <f t="shared" si="38"/>
        <v/>
      </c>
      <c r="CF104" s="154" t="str">
        <f t="shared" si="39"/>
        <v/>
      </c>
      <c r="CG104" s="154" t="str">
        <f t="shared" si="40"/>
        <v/>
      </c>
      <c r="CH104" s="313">
        <f t="shared" si="41"/>
        <v>0</v>
      </c>
    </row>
    <row r="105">
      <c r="A105" s="103" t="s">
        <v>194</v>
      </c>
      <c r="B105" s="104" t="s">
        <v>92</v>
      </c>
      <c r="C105" s="428">
        <v>4.7236259E7</v>
      </c>
      <c r="D105" s="161">
        <v>1031.31</v>
      </c>
      <c r="E105" s="294">
        <v>66579.20356</v>
      </c>
      <c r="F105" s="295">
        <v>28.1263969</v>
      </c>
      <c r="G105" s="295">
        <v>133.9022884</v>
      </c>
      <c r="H105" s="108">
        <v>162.0286853</v>
      </c>
      <c r="I105" s="109">
        <v>692.556757</v>
      </c>
      <c r="J105" s="110">
        <v>2016.8267</v>
      </c>
      <c r="K105" s="109">
        <v>2709.383458</v>
      </c>
      <c r="L105" s="112">
        <v>1671.376756</v>
      </c>
      <c r="M105" s="112">
        <v>542.6569952</v>
      </c>
      <c r="N105" s="112">
        <v>2214.033751</v>
      </c>
      <c r="O105" s="298">
        <v>0.0</v>
      </c>
      <c r="P105" s="160">
        <v>3918406.0</v>
      </c>
      <c r="Q105" s="160">
        <v>977783.0</v>
      </c>
      <c r="R105" s="121">
        <f t="shared" si="4"/>
        <v>0.2495359082</v>
      </c>
      <c r="S105" s="116">
        <f t="shared" si="5"/>
        <v>0.2495359082</v>
      </c>
      <c r="T105" s="118">
        <v>0.207</v>
      </c>
      <c r="U105" s="118">
        <f t="shared" si="6"/>
        <v>0.207</v>
      </c>
      <c r="V105" s="119">
        <v>0.2262</v>
      </c>
      <c r="W105" s="120">
        <f t="shared" si="7"/>
        <v>0.2262</v>
      </c>
      <c r="X105" s="119">
        <v>0.2476</v>
      </c>
      <c r="Y105" s="120">
        <f t="shared" si="8"/>
        <v>0.2476</v>
      </c>
      <c r="Z105" s="298" t="s">
        <v>373</v>
      </c>
      <c r="AA105" s="298" t="s">
        <v>373</v>
      </c>
      <c r="AB105" s="300" t="str">
        <f t="shared" si="9"/>
        <v/>
      </c>
      <c r="AC105" s="300">
        <f t="shared" si="10"/>
        <v>0.6375203308</v>
      </c>
      <c r="AD105" s="122">
        <v>6.0E-4</v>
      </c>
      <c r="AE105" s="123">
        <v>0.16</v>
      </c>
      <c r="AF105" s="430">
        <v>0.0451</v>
      </c>
      <c r="AG105" s="124">
        <v>0.0283</v>
      </c>
      <c r="AH105" s="124">
        <v>0.044548864</v>
      </c>
      <c r="AI105" s="125">
        <v>0.0327</v>
      </c>
      <c r="AJ105" s="125">
        <v>0.05400601</v>
      </c>
      <c r="AK105" s="127">
        <v>0.0374</v>
      </c>
      <c r="AL105" s="127">
        <v>0.059515871</v>
      </c>
      <c r="AM105" s="302">
        <v>0.0</v>
      </c>
      <c r="AN105" s="149">
        <f>IFERROR(
  AVERAGEIFS(
    'New LF Efficacy'!$J:$J,
    'New LF Efficacy'!$D:$D, $A105,
    'New LF Efficacy'!$F:$F,"DEC", 
    'New LF Efficacy'!$W:$W,"&lt;2016",
    'New LF Efficacy'!$AA:$AA,""),
  ""
)</f>
        <v>0.5185</v>
      </c>
      <c r="AO105" s="115">
        <f t="shared" si="11"/>
        <v>0.5185</v>
      </c>
      <c r="AP105" s="149">
        <f>IFERROR(
AVERAGEIFS(
'New LF Efficacy'!$J:$J,
'New LF Efficacy'!$D:$D,$A105,
'New LF Efficacy'!$F:$F,"Albendazole &amp; DEC",
'New LF Efficacy'!$W:$W,"&lt;2016",
'New LF Efficacy'!$AA:$AA,""),
"")
</f>
        <v>0.537</v>
      </c>
      <c r="AQ105" s="115">
        <f t="shared" si="12"/>
        <v>0.537</v>
      </c>
      <c r="AR105" s="149" t="str">
        <f>IFERROR(
AVERAGEIFS(
'New LF Efficacy'!$J:$J,
'New LF Efficacy'!$D:$D,$A105,
'New LF Efficacy'!$F:$F,"Albendazole &amp; Ivermectin", 
'New LF Efficacy'!$W:$W,"&lt;2016",
'New LF Efficacy'!$AA:$AA,""),"")</f>
        <v/>
      </c>
      <c r="AS105" s="115">
        <f t="shared" si="13"/>
        <v>0.2943125</v>
      </c>
      <c r="AT105" s="442">
        <f>IFERROR(AVERAGEIFS(
'Schist Efficacy'!$O:$O, 
'Schist Efficacy'!$C:$C,$A105, 
'Schist Efficacy'!$D:$D, "Praziquantel",
'Schist Efficacy'!$J:$J,"&lt;2016",
'Schist Efficacy'!$U:$U,""),
"")</f>
        <v>0.7191428571</v>
      </c>
      <c r="AU105" s="118">
        <f t="shared" si="14"/>
        <v>0.7191428571</v>
      </c>
      <c r="AV105" s="131" t="str">
        <f>IFERROR(AVERAGEIFS(
'STH Efficacy'!$AX:$AX, 
'STH Efficacy'!$AL:$AL, $A105, 
'STH Efficacy'!$AM:$AM, "Albendazole",
'STH Efficacy'!$AS:$AS,"&lt;2016",
'STH Efficacy'!$BP:$BP,""),
"")</f>
        <v/>
      </c>
      <c r="AW105" s="132">
        <f t="shared" si="15"/>
        <v>0.3816333333</v>
      </c>
      <c r="AX105" s="131" t="str">
        <f>IFERROR(AVERAGEIFS(
'STH Efficacy'!$AX:$AX, 
'STH Efficacy'!$AL:$AL, $A105, 
'STH Efficacy'!$AM:$AM, "Mebendazole",
'STH Efficacy'!$AS:$AS,"&lt;2016",
'STH Efficacy'!$BP:$BP,""),
"")</f>
        <v/>
      </c>
      <c r="AY105" s="132">
        <f t="shared" si="16"/>
        <v>0.4859375</v>
      </c>
      <c r="AZ105" s="131" t="str">
        <f>IFERROR(AVERAGEIFS(
'STH Efficacy'!$AX:$AX, 
'STH Efficacy'!$AL:$AL, $A105, 
'STH Efficacy'!$AM:$AM, "Albendazole &amp; Ivermectin",
'STH Efficacy'!$AS:$AS,"&lt;2016",
'STH Efficacy'!$BP:$BP,""),
"")</f>
        <v/>
      </c>
      <c r="BA105" s="133">
        <f t="shared" si="17"/>
        <v>0.47175</v>
      </c>
      <c r="BB105" s="443" t="str">
        <f>IFERROR(AVERAGEIFS(
'STH Efficacy'!$N:$N, 
'STH Efficacy'!$B:$B, $A105, 
'STH Efficacy'!$C:$C, "Albendazole",
'STH Efficacy'!$I:$I,"&lt;2016",
'STH Efficacy'!$AH:$AH,""),
"")</f>
        <v/>
      </c>
      <c r="BC105" s="135">
        <f t="shared" si="18"/>
        <v>0.8699166667</v>
      </c>
      <c r="BD105" s="443" t="str">
        <f>IFERROR(AVERAGEIFS(
'STH Efficacy'!$N:$N, 
'STH Efficacy'!$B:$B, $A105, 
'STH Efficacy'!$C:$C, "Mebendazole",
'STH Efficacy'!$I:$I,"&lt;2016",
'STH Efficacy'!$AH:$AH,""),
"")</f>
        <v/>
      </c>
      <c r="BE105" s="135">
        <f t="shared" si="19"/>
        <v>0.7092416667</v>
      </c>
      <c r="BF105" s="436">
        <f>IFERROR(AVERAGEIFS(
'STH Efficacy'!$CD:$CD, 
'STH Efficacy'!$BS:$BS, $A105, 
'STH Efficacy'!$BT:$BT, "Albendazole",
'STH Efficacy'!$BZ:$BZ,"&lt;2016",
'STH Efficacy'!$CU:$CU,""),
"")</f>
        <v>0.758</v>
      </c>
      <c r="BG105" s="136">
        <f t="shared" si="20"/>
        <v>0.758</v>
      </c>
      <c r="BH105" s="436">
        <f>IFERROR(AVERAGEIFS(
'STH Efficacy'!$CD:$CD, 
'STH Efficacy'!$BS:$BS, $A105, 
'STH Efficacy'!$BT:$BT, "Mebendazole",
'STH Efficacy'!$BZ:$BZ,"&lt;2016",
'STH Efficacy'!$CU:$CU,""),
"")</f>
        <v>0.855</v>
      </c>
      <c r="BI105" s="136">
        <f t="shared" si="21"/>
        <v>0.855</v>
      </c>
      <c r="BJ105" s="436" t="str">
        <f>IFERROR(AVERAGEIFS(
'STH Efficacy'!$CD:$CD, 
'STH Efficacy'!$BS:$BS, $A105, 
'STH Efficacy'!$BT:$BT, "Albendazole &amp; Ivermectin",
'STH Efficacy'!$BZ:$BZ,"&lt;2016",
'STH Efficacy'!$CU:$CU,""),
"")</f>
        <v/>
      </c>
      <c r="BK105" s="136">
        <f t="shared" si="22"/>
        <v>0.696</v>
      </c>
      <c r="BL105" s="444" t="str">
        <f>IFERROR(
  AVERAGEIFS(
    'NEW Onchocerciasis Efficacy'!$AO:$AO,
    'NEW Onchocerciasis Efficacy'!$C:$C,$A105,
    'NEW Onchocerciasis Efficacy'!$D:$D,"Ivermectin",
    'NEW Onchocerciasis Efficacy'!$AR:$AR,"&lt;2016",
    'NEW Onchocerciasis Efficacy'!$BG:$BG,"")
,"")</f>
        <v/>
      </c>
      <c r="BM105" s="304">
        <f t="shared" si="23"/>
        <v>0.8390421645</v>
      </c>
      <c r="BN105" s="439">
        <v>1.0</v>
      </c>
      <c r="BO105" s="139">
        <v>0.0</v>
      </c>
      <c r="BP105" s="140">
        <v>1.0</v>
      </c>
      <c r="BQ105" s="141">
        <f t="shared" si="24"/>
        <v>0</v>
      </c>
      <c r="BR105" s="104" t="str">
        <f t="shared" si="25"/>
        <v>1010</v>
      </c>
      <c r="BS105" s="104" t="str">
        <f t="shared" si="26"/>
        <v>MDA1/2+T2</v>
      </c>
      <c r="BT105" s="142" t="str">
        <f t="shared" si="27"/>
        <v>IVM+ALB or DEC +ALB</v>
      </c>
      <c r="BU105" s="104" t="str">
        <f t="shared" si="28"/>
        <v>PZQ</v>
      </c>
      <c r="BV105" s="104" t="str">
        <f t="shared" si="29"/>
        <v>lf+schist </v>
      </c>
      <c r="BW105" s="150" t="str">
        <f t="shared" si="30"/>
        <v/>
      </c>
      <c r="BX105" s="312">
        <f t="shared" si="31"/>
        <v>81.74442794</v>
      </c>
      <c r="BY105" s="162">
        <f t="shared" si="32"/>
        <v>11644.59594</v>
      </c>
      <c r="BZ105" s="152" t="str">
        <f t="shared" si="33"/>
        <v/>
      </c>
      <c r="CA105" s="152" t="str">
        <f t="shared" si="34"/>
        <v/>
      </c>
      <c r="CB105" s="152" t="str">
        <f t="shared" si="35"/>
        <v/>
      </c>
      <c r="CC105" s="153" t="str">
        <f t="shared" si="36"/>
        <v/>
      </c>
      <c r="CD105" s="153" t="str">
        <f t="shared" si="37"/>
        <v/>
      </c>
      <c r="CE105" s="154" t="str">
        <f t="shared" si="38"/>
        <v/>
      </c>
      <c r="CF105" s="154" t="str">
        <f t="shared" si="39"/>
        <v/>
      </c>
      <c r="CG105" s="154" t="str">
        <f t="shared" si="40"/>
        <v/>
      </c>
      <c r="CH105" s="308" t="str">
        <f t="shared" si="41"/>
        <v/>
      </c>
    </row>
    <row r="106">
      <c r="A106" s="155" t="s">
        <v>195</v>
      </c>
      <c r="B106" s="104" t="s">
        <v>94</v>
      </c>
      <c r="C106" s="428">
        <v>112407.0</v>
      </c>
      <c r="D106" s="161">
        <v>0.0</v>
      </c>
      <c r="E106" s="294">
        <v>0.0</v>
      </c>
      <c r="F106" s="295">
        <v>0.065483695</v>
      </c>
      <c r="G106" s="295">
        <v>0.760753201</v>
      </c>
      <c r="H106" s="108">
        <v>0.826236896</v>
      </c>
      <c r="I106" s="109">
        <v>2.43435668</v>
      </c>
      <c r="J106" s="109">
        <v>6.55398053</v>
      </c>
      <c r="K106" s="109">
        <v>8.988337207</v>
      </c>
      <c r="L106" s="112">
        <v>0.548260815</v>
      </c>
      <c r="M106" s="112">
        <v>0.151682132</v>
      </c>
      <c r="N106" s="112">
        <v>0.699942947</v>
      </c>
      <c r="O106" s="298">
        <v>0.0</v>
      </c>
      <c r="P106" s="156"/>
      <c r="Q106" s="156"/>
      <c r="R106" s="121" t="str">
        <f t="shared" si="4"/>
        <v/>
      </c>
      <c r="S106" s="116">
        <f t="shared" si="5"/>
        <v>0.3783554476</v>
      </c>
      <c r="T106" s="117"/>
      <c r="U106" s="118">
        <f t="shared" si="6"/>
        <v>0.73965</v>
      </c>
      <c r="V106" s="119">
        <v>1.0</v>
      </c>
      <c r="W106" s="120">
        <f t="shared" si="7"/>
        <v>1</v>
      </c>
      <c r="X106" s="119">
        <v>0.6901</v>
      </c>
      <c r="Y106" s="120">
        <f t="shared" si="8"/>
        <v>0.6901</v>
      </c>
      <c r="Z106" s="299"/>
      <c r="AA106" s="441"/>
      <c r="AB106" s="300" t="str">
        <f t="shared" si="9"/>
        <v/>
      </c>
      <c r="AC106" s="300">
        <f t="shared" si="10"/>
        <v>0.6890056172</v>
      </c>
      <c r="AD106" s="122">
        <v>0.0</v>
      </c>
      <c r="AE106" s="123">
        <v>0.0</v>
      </c>
      <c r="AF106" s="430">
        <v>0.0</v>
      </c>
      <c r="AG106" s="124">
        <v>0.0</v>
      </c>
      <c r="AH106" s="124">
        <v>0.054523792</v>
      </c>
      <c r="AI106" s="125">
        <v>0.0</v>
      </c>
      <c r="AJ106" s="125">
        <v>0.078579909</v>
      </c>
      <c r="AK106" s="127">
        <v>0.0</v>
      </c>
      <c r="AL106" s="127">
        <v>1.17397E-5</v>
      </c>
      <c r="AM106" s="302">
        <v>0.0</v>
      </c>
      <c r="AN106" s="149" t="str">
        <f>IFERROR(
  AVERAGEIFS(
    'New LF Efficacy'!$J:$J,
    'New LF Efficacy'!$D:$D, $A106,
    'New LF Efficacy'!$F:$F,"DEC", 
    'New LF Efficacy'!$W:$W,"&lt;2016",
    'New LF Efficacy'!$AA:$AA,""),
  ""
)</f>
        <v/>
      </c>
      <c r="AO106" s="115">
        <f t="shared" si="11"/>
        <v>0.38</v>
      </c>
      <c r="AP106" s="149" t="str">
        <f>IFERROR(
AVERAGEIFS(
'New LF Efficacy'!$J:$J,
'New LF Efficacy'!$D:$D,$A106,
'New LF Efficacy'!$F:$F,"Albendazole &amp; DEC",
'New LF Efficacy'!$W:$W,"&lt;2016",
'New LF Efficacy'!$AA:$AA,""),
"")
</f>
        <v/>
      </c>
      <c r="AQ106" s="115">
        <f t="shared" si="12"/>
        <v>0.662</v>
      </c>
      <c r="AR106" s="149" t="str">
        <f>IFERROR(
AVERAGEIFS(
'New LF Efficacy'!$J:$J,
'New LF Efficacy'!$D:$D,$A106,
'New LF Efficacy'!$F:$F,"Albendazole &amp; Ivermectin", 
'New LF Efficacy'!$W:$W,"&lt;2016",
'New LF Efficacy'!$AA:$AA,""),"")</f>
        <v/>
      </c>
      <c r="AS106" s="115">
        <f t="shared" si="13"/>
        <v>0.37153125</v>
      </c>
      <c r="AT106" s="442" t="str">
        <f>IFERROR(AVERAGEIFS(
'Schist Efficacy'!$O:$O, 
'Schist Efficacy'!$C:$C,$A106, 
'Schist Efficacy'!$D:$D, "Praziquantel",
'Schist Efficacy'!$J:$J,"&lt;2016",
'Schist Efficacy'!$U:$U,""),
"")</f>
        <v/>
      </c>
      <c r="AU106" s="118">
        <f t="shared" si="14"/>
        <v>0.9475</v>
      </c>
      <c r="AV106" s="131" t="str">
        <f>IFERROR(AVERAGEIFS(
'STH Efficacy'!$AX:$AX, 
'STH Efficacy'!$AL:$AL, $A106, 
'STH Efficacy'!$AM:$AM, "Albendazole",
'STH Efficacy'!$AS:$AS,"&lt;2016",
'STH Efficacy'!$BP:$BP,""),
"")</f>
        <v/>
      </c>
      <c r="AW106" s="132">
        <f t="shared" si="15"/>
        <v>0.3571666667</v>
      </c>
      <c r="AX106" s="131" t="str">
        <f>IFERROR(AVERAGEIFS(
'STH Efficacy'!$AX:$AX, 
'STH Efficacy'!$AL:$AL, $A106, 
'STH Efficacy'!$AM:$AM, "Mebendazole",
'STH Efficacy'!$AS:$AS,"&lt;2016",
'STH Efficacy'!$BP:$BP,""),
"")</f>
        <v/>
      </c>
      <c r="AY106" s="132">
        <f t="shared" si="16"/>
        <v>0.4155</v>
      </c>
      <c r="AZ106" s="131" t="str">
        <f>IFERROR(AVERAGEIFS(
'STH Efficacy'!$AX:$AX, 
'STH Efficacy'!$AL:$AL, $A106, 
'STH Efficacy'!$AM:$AM, "Albendazole &amp; Ivermectin",
'STH Efficacy'!$AS:$AS,"&lt;2016",
'STH Efficacy'!$BP:$BP,""),
"")</f>
        <v/>
      </c>
      <c r="BA106" s="133">
        <f t="shared" si="17"/>
        <v>0.651</v>
      </c>
      <c r="BB106" s="443" t="str">
        <f>IFERROR(AVERAGEIFS(
'STH Efficacy'!$N:$N, 
'STH Efficacy'!$B:$B, $A106, 
'STH Efficacy'!$C:$C, "Albendazole",
'STH Efficacy'!$I:$I,"&lt;2016",
'STH Efficacy'!$AH:$AH,""),
"")</f>
        <v/>
      </c>
      <c r="BC106" s="135">
        <f t="shared" si="18"/>
        <v>0.5769166667</v>
      </c>
      <c r="BD106" s="443" t="str">
        <f>IFERROR(AVERAGEIFS(
'STH Efficacy'!$N:$N, 
'STH Efficacy'!$B:$B, $A106, 
'STH Efficacy'!$C:$C, "Mebendazole",
'STH Efficacy'!$I:$I,"&lt;2016",
'STH Efficacy'!$AH:$AH,""),
"")</f>
        <v/>
      </c>
      <c r="BE106" s="135">
        <f t="shared" si="19"/>
        <v>0.3145</v>
      </c>
      <c r="BF106" s="436" t="str">
        <f>IFERROR(AVERAGEIFS(
'STH Efficacy'!$CD:$CD, 
'STH Efficacy'!$BS:$BS, $A106, 
'STH Efficacy'!$BT:$BT, "Albendazole",
'STH Efficacy'!$BZ:$BZ,"&lt;2016",
'STH Efficacy'!$CU:$CU,""),
"")</f>
        <v/>
      </c>
      <c r="BG106" s="136">
        <f t="shared" si="20"/>
        <v>0.96925</v>
      </c>
      <c r="BH106" s="436" t="str">
        <f>IFERROR(AVERAGEIFS(
'STH Efficacy'!$CD:$CD, 
'STH Efficacy'!$BS:$BS, $A106, 
'STH Efficacy'!$BT:$BT, "Mebendazole",
'STH Efficacy'!$BZ:$BZ,"&lt;2016",
'STH Efficacy'!$CU:$CU,""),
"")</f>
        <v/>
      </c>
      <c r="BI106" s="136">
        <f t="shared" si="21"/>
        <v>0.9305</v>
      </c>
      <c r="BJ106" s="436" t="str">
        <f>IFERROR(AVERAGEIFS(
'STH Efficacy'!$CD:$CD, 
'STH Efficacy'!$BS:$BS, $A106, 
'STH Efficacy'!$BT:$BT, "Albendazole &amp; Ivermectin",
'STH Efficacy'!$BZ:$BZ,"&lt;2016",
'STH Efficacy'!$CU:$CU,""),
"")</f>
        <v/>
      </c>
      <c r="BK106" s="136">
        <f t="shared" si="22"/>
        <v>0.848</v>
      </c>
      <c r="BL106" s="444" t="str">
        <f>IFERROR(
  AVERAGEIFS(
    'NEW Onchocerciasis Efficacy'!$AO:$AO,
    'NEW Onchocerciasis Efficacy'!$C:$C,$A106,
    'NEW Onchocerciasis Efficacy'!$D:$D,"Ivermectin",
    'NEW Onchocerciasis Efficacy'!$AR:$AR,"&lt;2016",
    'NEW Onchocerciasis Efficacy'!$BG:$BG,"")
,"")</f>
        <v/>
      </c>
      <c r="BM106" s="304">
        <f t="shared" si="23"/>
        <v>0.7808368939</v>
      </c>
      <c r="BN106" s="439">
        <v>0.0</v>
      </c>
      <c r="BO106" s="139">
        <v>0.0</v>
      </c>
      <c r="BP106" s="140">
        <v>0.0</v>
      </c>
      <c r="BQ106" s="141">
        <f t="shared" si="24"/>
        <v>0</v>
      </c>
      <c r="BR106" s="104" t="str">
        <f t="shared" si="25"/>
        <v>0000</v>
      </c>
      <c r="BS106" s="104" t="str">
        <f t="shared" si="26"/>
        <v>no action required</v>
      </c>
      <c r="BT106" s="142" t="str">
        <f t="shared" si="27"/>
        <v/>
      </c>
      <c r="BU106" s="104" t="str">
        <f t="shared" si="28"/>
        <v/>
      </c>
      <c r="BV106" s="104" t="str">
        <f t="shared" si="29"/>
        <v>none</v>
      </c>
      <c r="BW106" s="150" t="str">
        <f t="shared" si="30"/>
        <v/>
      </c>
      <c r="BX106" s="150" t="str">
        <f t="shared" si="31"/>
        <v/>
      </c>
      <c r="BY106" s="151" t="str">
        <f t="shared" si="32"/>
        <v/>
      </c>
      <c r="BZ106" s="152" t="str">
        <f t="shared" si="33"/>
        <v/>
      </c>
      <c r="CA106" s="152" t="str">
        <f t="shared" si="34"/>
        <v/>
      </c>
      <c r="CB106" s="152" t="str">
        <f t="shared" si="35"/>
        <v/>
      </c>
      <c r="CC106" s="153" t="str">
        <f t="shared" si="36"/>
        <v/>
      </c>
      <c r="CD106" s="153" t="str">
        <f t="shared" si="37"/>
        <v/>
      </c>
      <c r="CE106" s="154" t="str">
        <f t="shared" si="38"/>
        <v/>
      </c>
      <c r="CF106" s="154" t="str">
        <f t="shared" si="39"/>
        <v/>
      </c>
      <c r="CG106" s="154" t="str">
        <f t="shared" si="40"/>
        <v/>
      </c>
      <c r="CH106" s="308" t="str">
        <f t="shared" si="41"/>
        <v/>
      </c>
    </row>
    <row r="107">
      <c r="A107" s="155" t="s">
        <v>196</v>
      </c>
      <c r="B107" s="104" t="s">
        <v>88</v>
      </c>
      <c r="C107" s="428">
        <v>3935794.0</v>
      </c>
      <c r="D107" s="161">
        <v>0.0</v>
      </c>
      <c r="E107" s="294">
        <v>0.0</v>
      </c>
      <c r="F107" s="307">
        <v>0.0</v>
      </c>
      <c r="G107" s="309">
        <v>0.0</v>
      </c>
      <c r="H107" s="108">
        <v>0.0</v>
      </c>
      <c r="I107" s="109">
        <v>0.0</v>
      </c>
      <c r="J107" s="109">
        <v>0.0</v>
      </c>
      <c r="K107" s="109">
        <v>0.0</v>
      </c>
      <c r="L107" s="112">
        <v>0.0</v>
      </c>
      <c r="M107" s="112">
        <v>0.0</v>
      </c>
      <c r="N107" s="112">
        <v>0.0</v>
      </c>
      <c r="O107" s="298">
        <v>0.0</v>
      </c>
      <c r="P107" s="114"/>
      <c r="Q107" s="114"/>
      <c r="R107" s="121" t="str">
        <f t="shared" si="4"/>
        <v/>
      </c>
      <c r="S107" s="116">
        <f t="shared" si="5"/>
        <v>0.5709301448</v>
      </c>
      <c r="T107" s="117"/>
      <c r="U107" s="118">
        <f t="shared" si="6"/>
        <v>0.739</v>
      </c>
      <c r="V107" s="148"/>
      <c r="W107" s="120">
        <f t="shared" si="7"/>
        <v>0.9933333333</v>
      </c>
      <c r="X107" s="148"/>
      <c r="Y107" s="120">
        <f t="shared" si="8"/>
        <v>0.5301</v>
      </c>
      <c r="Z107" s="299"/>
      <c r="AA107" s="441"/>
      <c r="AB107" s="300" t="str">
        <f t="shared" si="9"/>
        <v/>
      </c>
      <c r="AC107" s="300">
        <f t="shared" si="10"/>
        <v>0.4014082288</v>
      </c>
      <c r="AD107" s="122">
        <v>0.0</v>
      </c>
      <c r="AE107" s="123">
        <v>0.0</v>
      </c>
      <c r="AF107" s="430">
        <v>0.0</v>
      </c>
      <c r="AG107" s="124">
        <v>0.0</v>
      </c>
      <c r="AH107" s="124">
        <v>0.0</v>
      </c>
      <c r="AI107" s="125">
        <v>0.0</v>
      </c>
      <c r="AJ107" s="125">
        <v>0.0</v>
      </c>
      <c r="AK107" s="127">
        <v>0.0</v>
      </c>
      <c r="AL107" s="127">
        <v>0.0</v>
      </c>
      <c r="AM107" s="302">
        <v>0.0</v>
      </c>
      <c r="AN107" s="149" t="str">
        <f>IFERROR(
  AVERAGEIFS(
    'New LF Efficacy'!$J:$J,
    'New LF Efficacy'!$D:$D, $A107,
    'New LF Efficacy'!$F:$F,"DEC", 
    'New LF Efficacy'!$W:$W,"&lt;2016",
    'New LF Efficacy'!$AA:$AA,""),
  ""
)</f>
        <v/>
      </c>
      <c r="AO107" s="115">
        <f t="shared" si="11"/>
        <v>0.3573520833</v>
      </c>
      <c r="AP107" s="149" t="str">
        <f>IFERROR(
AVERAGEIFS(
'New LF Efficacy'!$J:$J,
'New LF Efficacy'!$D:$D,$A107,
'New LF Efficacy'!$F:$F,"Albendazole &amp; DEC",
'New LF Efficacy'!$W:$W,"&lt;2016",
'New LF Efficacy'!$AA:$AA,""),
"")
</f>
        <v/>
      </c>
      <c r="AQ107" s="115">
        <f t="shared" si="12"/>
        <v>0.7935</v>
      </c>
      <c r="AR107" s="149" t="str">
        <f>IFERROR(
AVERAGEIFS(
'New LF Efficacy'!$J:$J,
'New LF Efficacy'!$D:$D,$A107,
'New LF Efficacy'!$F:$F,"Albendazole &amp; Ivermectin", 
'New LF Efficacy'!$W:$W,"&lt;2016",
'New LF Efficacy'!$AA:$AA,""),"")</f>
        <v/>
      </c>
      <c r="AS107" s="115">
        <f t="shared" si="13"/>
        <v>0.37153125</v>
      </c>
      <c r="AT107" s="442" t="str">
        <f>IFERROR(AVERAGEIFS(
'Schist Efficacy'!$O:$O, 
'Schist Efficacy'!$C:$C,$A107, 
'Schist Efficacy'!$D:$D, "Praziquantel",
'Schist Efficacy'!$J:$J,"&lt;2016",
'Schist Efficacy'!$U:$U,""),
"")</f>
        <v/>
      </c>
      <c r="AU107" s="118">
        <f t="shared" si="14"/>
        <v>0.7763141026</v>
      </c>
      <c r="AV107" s="131" t="str">
        <f>IFERROR(AVERAGEIFS(
'STH Efficacy'!$AX:$AX, 
'STH Efficacy'!$AL:$AL, $A107, 
'STH Efficacy'!$AM:$AM, "Albendazole",
'STH Efficacy'!$AS:$AS,"&lt;2016",
'STH Efficacy'!$BP:$BP,""),
"")</f>
        <v/>
      </c>
      <c r="AW107" s="132">
        <f t="shared" si="15"/>
        <v>0.4143846154</v>
      </c>
      <c r="AX107" s="131" t="str">
        <f>IFERROR(AVERAGEIFS(
'STH Efficacy'!$AX:$AX, 
'STH Efficacy'!$AL:$AL, $A107, 
'STH Efficacy'!$AM:$AM, "Mebendazole",
'STH Efficacy'!$AS:$AS,"&lt;2016",
'STH Efficacy'!$BP:$BP,""),
"")</f>
        <v/>
      </c>
      <c r="AY107" s="132">
        <f t="shared" si="16"/>
        <v>0.4691770833</v>
      </c>
      <c r="AZ107" s="131" t="str">
        <f>IFERROR(AVERAGEIFS(
'STH Efficacy'!$AX:$AX, 
'STH Efficacy'!$AL:$AL, $A107, 
'STH Efficacy'!$AM:$AM, "Albendazole &amp; Ivermectin",
'STH Efficacy'!$AS:$AS,"&lt;2016",
'STH Efficacy'!$BP:$BP,""),
"")</f>
        <v/>
      </c>
      <c r="BA107" s="133">
        <f t="shared" si="17"/>
        <v>0.597625</v>
      </c>
      <c r="BB107" s="443" t="str">
        <f>IFERROR(AVERAGEIFS(
'STH Efficacy'!$N:$N, 
'STH Efficacy'!$B:$B, $A107, 
'STH Efficacy'!$C:$C, "Albendazole",
'STH Efficacy'!$I:$I,"&lt;2016",
'STH Efficacy'!$AH:$AH,""),
"")</f>
        <v/>
      </c>
      <c r="BC107" s="135">
        <f t="shared" si="18"/>
        <v>0.7613712121</v>
      </c>
      <c r="BD107" s="443" t="str">
        <f>IFERROR(AVERAGEIFS(
'STH Efficacy'!$N:$N, 
'STH Efficacy'!$B:$B, $A107, 
'STH Efficacy'!$C:$C, "Mebendazole",
'STH Efficacy'!$I:$I,"&lt;2016",
'STH Efficacy'!$AH:$AH,""),
"")</f>
        <v/>
      </c>
      <c r="BE107" s="135">
        <f t="shared" si="19"/>
        <v>0.4362466667</v>
      </c>
      <c r="BF107" s="436" t="str">
        <f>IFERROR(AVERAGEIFS(
'STH Efficacy'!$CD:$CD, 
'STH Efficacy'!$BS:$BS, $A107, 
'STH Efficacy'!$BT:$BT, "Albendazole",
'STH Efficacy'!$BZ:$BZ,"&lt;2016",
'STH Efficacy'!$CU:$CU,""),
"")</f>
        <v/>
      </c>
      <c r="BG107" s="136">
        <f t="shared" si="20"/>
        <v>0.955</v>
      </c>
      <c r="BH107" s="436" t="str">
        <f>IFERROR(AVERAGEIFS(
'STH Efficacy'!$CD:$CD, 
'STH Efficacy'!$BS:$BS, $A107, 
'STH Efficacy'!$BT:$BT, "Mebendazole",
'STH Efficacy'!$BZ:$BZ,"&lt;2016",
'STH Efficacy'!$CU:$CU,""),
"")</f>
        <v/>
      </c>
      <c r="BI107" s="136">
        <f t="shared" si="21"/>
        <v>1</v>
      </c>
      <c r="BJ107" s="436" t="str">
        <f>IFERROR(AVERAGEIFS(
'STH Efficacy'!$CD:$CD, 
'STH Efficacy'!$BS:$BS, $A107, 
'STH Efficacy'!$BT:$BT, "Albendazole &amp; Ivermectin",
'STH Efficacy'!$BZ:$BZ,"&lt;2016",
'STH Efficacy'!$CU:$CU,""),
"")</f>
        <v/>
      </c>
      <c r="BK107" s="136">
        <f t="shared" si="22"/>
        <v>0.848</v>
      </c>
      <c r="BL107" s="444" t="str">
        <f>IFERROR(
  AVERAGEIFS(
    'NEW Onchocerciasis Efficacy'!$AO:$AO,
    'NEW Onchocerciasis Efficacy'!$C:$C,$A107,
    'NEW Onchocerciasis Efficacy'!$D:$D,"Ivermectin",
    'NEW Onchocerciasis Efficacy'!$AR:$AR,"&lt;2016",
    'NEW Onchocerciasis Efficacy'!$BG:$BG,"")
,"")</f>
        <v/>
      </c>
      <c r="BM107" s="304">
        <f t="shared" si="23"/>
        <v>0.7808368939</v>
      </c>
      <c r="BN107" s="439">
        <v>0.0</v>
      </c>
      <c r="BO107" s="139">
        <v>0.0</v>
      </c>
      <c r="BP107" s="140">
        <v>0.0</v>
      </c>
      <c r="BQ107" s="141">
        <f t="shared" si="24"/>
        <v>0</v>
      </c>
      <c r="BR107" s="104" t="str">
        <f t="shared" si="25"/>
        <v>0000</v>
      </c>
      <c r="BS107" s="104" t="str">
        <f t="shared" si="26"/>
        <v>no action required</v>
      </c>
      <c r="BT107" s="142" t="str">
        <f t="shared" si="27"/>
        <v/>
      </c>
      <c r="BU107" s="104" t="str">
        <f t="shared" si="28"/>
        <v/>
      </c>
      <c r="BV107" s="104" t="str">
        <f t="shared" si="29"/>
        <v>none</v>
      </c>
      <c r="BW107" s="150" t="str">
        <f t="shared" si="30"/>
        <v/>
      </c>
      <c r="BX107" s="150" t="str">
        <f t="shared" si="31"/>
        <v/>
      </c>
      <c r="BY107" s="151" t="str">
        <f t="shared" si="32"/>
        <v/>
      </c>
      <c r="BZ107" s="152" t="str">
        <f t="shared" si="33"/>
        <v/>
      </c>
      <c r="CA107" s="152" t="str">
        <f t="shared" si="34"/>
        <v/>
      </c>
      <c r="CB107" s="152" t="str">
        <f t="shared" si="35"/>
        <v/>
      </c>
      <c r="CC107" s="153" t="str">
        <f t="shared" si="36"/>
        <v/>
      </c>
      <c r="CD107" s="153" t="str">
        <f t="shared" si="37"/>
        <v/>
      </c>
      <c r="CE107" s="154" t="str">
        <f t="shared" si="38"/>
        <v/>
      </c>
      <c r="CF107" s="154" t="str">
        <f t="shared" si="39"/>
        <v/>
      </c>
      <c r="CG107" s="154" t="str">
        <f t="shared" si="40"/>
        <v/>
      </c>
      <c r="CH107" s="308" t="str">
        <f t="shared" si="41"/>
        <v/>
      </c>
    </row>
    <row r="108">
      <c r="A108" s="155" t="s">
        <v>197</v>
      </c>
      <c r="B108" s="104" t="s">
        <v>90</v>
      </c>
      <c r="C108" s="428">
        <v>5956900.0</v>
      </c>
      <c r="D108" s="161">
        <v>0.0</v>
      </c>
      <c r="E108" s="294">
        <v>0.0</v>
      </c>
      <c r="F108" s="307">
        <v>0.0</v>
      </c>
      <c r="G108" s="309">
        <v>0.0</v>
      </c>
      <c r="H108" s="108">
        <v>0.0</v>
      </c>
      <c r="I108" s="109">
        <v>0.04143089</v>
      </c>
      <c r="J108" s="109">
        <v>0.03717884</v>
      </c>
      <c r="K108" s="109">
        <v>0.078609735</v>
      </c>
      <c r="L108" s="112">
        <v>223.8033356</v>
      </c>
      <c r="M108" s="112">
        <v>482.367302</v>
      </c>
      <c r="N108" s="112">
        <v>706.1706375</v>
      </c>
      <c r="O108" s="298">
        <v>0.0</v>
      </c>
      <c r="P108" s="114"/>
      <c r="Q108" s="114"/>
      <c r="R108" s="121" t="str">
        <f t="shared" si="4"/>
        <v/>
      </c>
      <c r="S108" s="116">
        <f t="shared" si="5"/>
        <v>0.5709301448</v>
      </c>
      <c r="T108" s="117"/>
      <c r="U108" s="118">
        <f t="shared" si="6"/>
        <v>0.4791888889</v>
      </c>
      <c r="V108" s="148"/>
      <c r="W108" s="120">
        <f t="shared" si="7"/>
        <v>0.0223</v>
      </c>
      <c r="X108" s="119">
        <v>1.0</v>
      </c>
      <c r="Y108" s="120">
        <f t="shared" si="8"/>
        <v>1</v>
      </c>
      <c r="Z108" s="299"/>
      <c r="AA108" s="441"/>
      <c r="AB108" s="300" t="str">
        <f t="shared" si="9"/>
        <v/>
      </c>
      <c r="AC108" s="300">
        <f t="shared" si="10"/>
        <v>0.6890056172</v>
      </c>
      <c r="AD108" s="122">
        <v>0.0</v>
      </c>
      <c r="AE108" s="123">
        <v>0.0</v>
      </c>
      <c r="AF108" s="430">
        <v>0.0</v>
      </c>
      <c r="AG108" s="124">
        <v>0.0</v>
      </c>
      <c r="AH108" s="124">
        <v>1.18596E-5</v>
      </c>
      <c r="AI108" s="125">
        <v>0.0</v>
      </c>
      <c r="AJ108" s="125">
        <v>1.15481E-5</v>
      </c>
      <c r="AK108" s="127">
        <v>0.2072</v>
      </c>
      <c r="AL108" s="127">
        <v>0.308328834</v>
      </c>
      <c r="AM108" s="302">
        <v>0.0</v>
      </c>
      <c r="AN108" s="149" t="str">
        <f>IFERROR(
  AVERAGEIFS(
    'New LF Efficacy'!$J:$J,
    'New LF Efficacy'!$D:$D, $A108,
    'New LF Efficacy'!$F:$F,"DEC", 
    'New LF Efficacy'!$W:$W,"&lt;2016",
    'New LF Efficacy'!$AA:$AA,""),
  ""
)</f>
        <v/>
      </c>
      <c r="AO108" s="115">
        <f t="shared" si="11"/>
        <v>0.3573520833</v>
      </c>
      <c r="AP108" s="149" t="str">
        <f>IFERROR(
AVERAGEIFS(
'New LF Efficacy'!$J:$J,
'New LF Efficacy'!$D:$D,$A108,
'New LF Efficacy'!$F:$F,"Albendazole &amp; DEC",
'New LF Efficacy'!$W:$W,"&lt;2016",
'New LF Efficacy'!$AA:$AA,""),
"")
</f>
        <v/>
      </c>
      <c r="AQ108" s="115">
        <f t="shared" si="12"/>
        <v>0.5143541667</v>
      </c>
      <c r="AR108" s="149" t="str">
        <f>IFERROR(
AVERAGEIFS(
'New LF Efficacy'!$J:$J,
'New LF Efficacy'!$D:$D,$A108,
'New LF Efficacy'!$F:$F,"Albendazole &amp; Ivermectin", 
'New LF Efficacy'!$W:$W,"&lt;2016",
'New LF Efficacy'!$AA:$AA,""),"")</f>
        <v/>
      </c>
      <c r="AS108" s="115">
        <f t="shared" si="13"/>
        <v>0.37153125</v>
      </c>
      <c r="AT108" s="442" t="str">
        <f>IFERROR(AVERAGEIFS(
'Schist Efficacy'!$O:$O, 
'Schist Efficacy'!$C:$C,$A108, 
'Schist Efficacy'!$D:$D, "Praziquantel",
'Schist Efficacy'!$J:$J,"&lt;2016",
'Schist Efficacy'!$U:$U,""),
"")</f>
        <v/>
      </c>
      <c r="AU108" s="118">
        <f t="shared" si="14"/>
        <v>0.655</v>
      </c>
      <c r="AV108" s="131" t="str">
        <f>IFERROR(AVERAGEIFS(
'STH Efficacy'!$AX:$AX, 
'STH Efficacy'!$AL:$AL, $A108, 
'STH Efficacy'!$AM:$AM, "Albendazole",
'STH Efficacy'!$AS:$AS,"&lt;2016",
'STH Efficacy'!$BP:$BP,""),
"")</f>
        <v/>
      </c>
      <c r="AW108" s="132">
        <f t="shared" si="15"/>
        <v>0.4143846154</v>
      </c>
      <c r="AX108" s="131" t="str">
        <f>IFERROR(AVERAGEIFS(
'STH Efficacy'!$AX:$AX, 
'STH Efficacy'!$AL:$AL, $A108, 
'STH Efficacy'!$AM:$AM, "Mebendazole",
'STH Efficacy'!$AS:$AS,"&lt;2016",
'STH Efficacy'!$BP:$BP,""),
"")</f>
        <v/>
      </c>
      <c r="AY108" s="132">
        <f t="shared" si="16"/>
        <v>0.4691770833</v>
      </c>
      <c r="AZ108" s="131" t="str">
        <f>IFERROR(AVERAGEIFS(
'STH Efficacy'!$AX:$AX, 
'STH Efficacy'!$AL:$AL, $A108, 
'STH Efficacy'!$AM:$AM, "Albendazole &amp; Ivermectin",
'STH Efficacy'!$AS:$AS,"&lt;2016",
'STH Efficacy'!$BP:$BP,""),
"")</f>
        <v/>
      </c>
      <c r="BA108" s="133">
        <f t="shared" si="17"/>
        <v>0.597625</v>
      </c>
      <c r="BB108" s="443" t="str">
        <f>IFERROR(AVERAGEIFS(
'STH Efficacy'!$N:$N, 
'STH Efficacy'!$B:$B, $A108, 
'STH Efficacy'!$C:$C, "Albendazole",
'STH Efficacy'!$I:$I,"&lt;2016",
'STH Efficacy'!$AH:$AH,""),
"")</f>
        <v/>
      </c>
      <c r="BC108" s="135">
        <f t="shared" si="18"/>
        <v>0.7613712121</v>
      </c>
      <c r="BD108" s="443" t="str">
        <f>IFERROR(AVERAGEIFS(
'STH Efficacy'!$N:$N, 
'STH Efficacy'!$B:$B, $A108, 
'STH Efficacy'!$C:$C, "Mebendazole",
'STH Efficacy'!$I:$I,"&lt;2016",
'STH Efficacy'!$AH:$AH,""),
"")</f>
        <v/>
      </c>
      <c r="BE108" s="135">
        <f t="shared" si="19"/>
        <v>0.4362466667</v>
      </c>
      <c r="BF108" s="436" t="str">
        <f>IFERROR(AVERAGEIFS(
'STH Efficacy'!$CD:$CD, 
'STH Efficacy'!$BS:$BS, $A108, 
'STH Efficacy'!$BT:$BT, "Albendazole",
'STH Efficacy'!$BZ:$BZ,"&lt;2016",
'STH Efficacy'!$CU:$CU,""),
"")</f>
        <v/>
      </c>
      <c r="BG108" s="136">
        <f t="shared" si="20"/>
        <v>0.9216027778</v>
      </c>
      <c r="BH108" s="436" t="str">
        <f>IFERROR(AVERAGEIFS(
'STH Efficacy'!$CD:$CD, 
'STH Efficacy'!$BS:$BS, $A108, 
'STH Efficacy'!$BT:$BT, "Mebendazole",
'STH Efficacy'!$BZ:$BZ,"&lt;2016",
'STH Efficacy'!$CU:$CU,""),
"")</f>
        <v/>
      </c>
      <c r="BI108" s="136">
        <f t="shared" si="21"/>
        <v>0.8866041667</v>
      </c>
      <c r="BJ108" s="436" t="str">
        <f>IFERROR(AVERAGEIFS(
'STH Efficacy'!$CD:$CD, 
'STH Efficacy'!$BS:$BS, $A108, 
'STH Efficacy'!$BT:$BT, "Albendazole &amp; Ivermectin",
'STH Efficacy'!$BZ:$BZ,"&lt;2016",
'STH Efficacy'!$CU:$CU,""),
"")</f>
        <v/>
      </c>
      <c r="BK108" s="136">
        <f t="shared" si="22"/>
        <v>0.848</v>
      </c>
      <c r="BL108" s="444" t="str">
        <f>IFERROR(
  AVERAGEIFS(
    'NEW Onchocerciasis Efficacy'!$AO:$AO,
    'NEW Onchocerciasis Efficacy'!$C:$C,$A108,
    'NEW Onchocerciasis Efficacy'!$D:$D,"Ivermectin",
    'NEW Onchocerciasis Efficacy'!$AR:$AR,"&lt;2016",
    'NEW Onchocerciasis Efficacy'!$BG:$BG,"")
,"")</f>
        <v/>
      </c>
      <c r="BM108" s="304">
        <f t="shared" si="23"/>
        <v>0.7808368939</v>
      </c>
      <c r="BN108" s="439">
        <v>0.0</v>
      </c>
      <c r="BO108" s="139">
        <v>1.0</v>
      </c>
      <c r="BP108" s="140">
        <v>0.0</v>
      </c>
      <c r="BQ108" s="141">
        <f t="shared" si="24"/>
        <v>0</v>
      </c>
      <c r="BR108" s="104" t="str">
        <f t="shared" si="25"/>
        <v>0100</v>
      </c>
      <c r="BS108" s="104" t="str">
        <f t="shared" si="26"/>
        <v>MDA3</v>
      </c>
      <c r="BT108" s="142" t="str">
        <f t="shared" si="27"/>
        <v>IVM</v>
      </c>
      <c r="BU108" s="104" t="str">
        <f t="shared" si="28"/>
        <v/>
      </c>
      <c r="BV108" s="104" t="str">
        <f t="shared" si="29"/>
        <v>onch only</v>
      </c>
      <c r="BW108" s="150" t="str">
        <f t="shared" si="30"/>
        <v/>
      </c>
      <c r="BX108" s="150" t="str">
        <f t="shared" si="31"/>
        <v/>
      </c>
      <c r="BY108" s="151" t="str">
        <f t="shared" si="32"/>
        <v/>
      </c>
      <c r="BZ108" s="152" t="str">
        <f t="shared" si="33"/>
        <v/>
      </c>
      <c r="CA108" s="152" t="str">
        <f t="shared" si="34"/>
        <v/>
      </c>
      <c r="CB108" s="152" t="str">
        <f t="shared" si="35"/>
        <v/>
      </c>
      <c r="CC108" s="153" t="str">
        <f t="shared" si="36"/>
        <v/>
      </c>
      <c r="CD108" s="153" t="str">
        <f t="shared" si="37"/>
        <v/>
      </c>
      <c r="CE108" s="154" t="str">
        <f t="shared" si="38"/>
        <v/>
      </c>
      <c r="CF108" s="154" t="str">
        <f t="shared" si="39"/>
        <v/>
      </c>
      <c r="CG108" s="154" t="str">
        <f t="shared" si="40"/>
        <v/>
      </c>
      <c r="CH108" s="313">
        <f t="shared" si="41"/>
        <v>0</v>
      </c>
    </row>
    <row r="109">
      <c r="A109" s="155" t="s">
        <v>198</v>
      </c>
      <c r="B109" s="104" t="s">
        <v>94</v>
      </c>
      <c r="C109" s="428">
        <v>6663967.0</v>
      </c>
      <c r="D109" s="161">
        <v>202.41</v>
      </c>
      <c r="E109" s="294">
        <v>1027.818924</v>
      </c>
      <c r="F109" s="295">
        <v>227.0910632</v>
      </c>
      <c r="G109" s="295">
        <v>157.5949044</v>
      </c>
      <c r="H109" s="108">
        <v>384.6859676</v>
      </c>
      <c r="I109" s="109">
        <v>0.0</v>
      </c>
      <c r="J109" s="109">
        <v>0.0</v>
      </c>
      <c r="K109" s="109">
        <v>636.3929397</v>
      </c>
      <c r="L109" s="112">
        <v>3075.098991</v>
      </c>
      <c r="M109" s="112">
        <v>720.7043868</v>
      </c>
      <c r="N109" s="112">
        <v>3795.803377</v>
      </c>
      <c r="O109" s="298">
        <v>0.0</v>
      </c>
      <c r="P109" s="160">
        <v>136609.0</v>
      </c>
      <c r="Q109" s="160">
        <v>119687.0</v>
      </c>
      <c r="R109" s="121">
        <f t="shared" si="4"/>
        <v>0.87612822</v>
      </c>
      <c r="S109" s="116">
        <f t="shared" si="5"/>
        <v>0.87612822</v>
      </c>
      <c r="T109" s="118">
        <v>0.7186</v>
      </c>
      <c r="U109" s="118">
        <f t="shared" si="6"/>
        <v>0.7186</v>
      </c>
      <c r="V109" s="119">
        <v>0.8761</v>
      </c>
      <c r="W109" s="120">
        <f t="shared" si="7"/>
        <v>0.8761</v>
      </c>
      <c r="X109" s="119">
        <v>0.916</v>
      </c>
      <c r="Y109" s="120">
        <f t="shared" si="8"/>
        <v>0.916</v>
      </c>
      <c r="Z109" s="299"/>
      <c r="AA109" s="441"/>
      <c r="AB109" s="300" t="str">
        <f t="shared" si="9"/>
        <v/>
      </c>
      <c r="AC109" s="300">
        <f t="shared" si="10"/>
        <v>0.6890056172</v>
      </c>
      <c r="AD109" s="122">
        <v>5.0E-4</v>
      </c>
      <c r="AE109" s="123">
        <v>0.02</v>
      </c>
      <c r="AF109" s="430">
        <v>0.0024</v>
      </c>
      <c r="AG109" s="316">
        <v>0.0</v>
      </c>
      <c r="AH109" s="316">
        <v>0.117445269</v>
      </c>
      <c r="AI109" s="317">
        <v>0.0</v>
      </c>
      <c r="AJ109" s="317">
        <v>0.069272298</v>
      </c>
      <c r="AK109" s="319">
        <v>0.0</v>
      </c>
      <c r="AL109" s="319">
        <v>0.094557788</v>
      </c>
      <c r="AM109" s="302">
        <v>0.0</v>
      </c>
      <c r="AN109" s="149" t="str">
        <f>IFERROR(
  AVERAGEIFS(
    'New LF Efficacy'!$J:$J,
    'New LF Efficacy'!$D:$D, $A109,
    'New LF Efficacy'!$F:$F,"DEC", 
    'New LF Efficacy'!$W:$W,"&lt;2016",
    'New LF Efficacy'!$AA:$AA,""),
  ""
)</f>
        <v/>
      </c>
      <c r="AO109" s="115">
        <f t="shared" si="11"/>
        <v>0.38</v>
      </c>
      <c r="AP109" s="149" t="str">
        <f>IFERROR(
AVERAGEIFS(
'New LF Efficacy'!$J:$J,
'New LF Efficacy'!$D:$D,$A109,
'New LF Efficacy'!$F:$F,"Albendazole &amp; DEC",
'New LF Efficacy'!$W:$W,"&lt;2016",
'New LF Efficacy'!$AA:$AA,""),
"")
</f>
        <v/>
      </c>
      <c r="AQ109" s="115">
        <f t="shared" si="12"/>
        <v>0.662</v>
      </c>
      <c r="AR109" s="149" t="str">
        <f>IFERROR(
AVERAGEIFS(
'New LF Efficacy'!$J:$J,
'New LF Efficacy'!$D:$D,$A109,
'New LF Efficacy'!$F:$F,"Albendazole &amp; Ivermectin", 
'New LF Efficacy'!$W:$W,"&lt;2016",
'New LF Efficacy'!$AA:$AA,""),"")</f>
        <v/>
      </c>
      <c r="AS109" s="115">
        <f t="shared" si="13"/>
        <v>0.37153125</v>
      </c>
      <c r="AT109" s="442" t="str">
        <f>IFERROR(AVERAGEIFS(
'Schist Efficacy'!$O:$O, 
'Schist Efficacy'!$C:$C,$A109, 
'Schist Efficacy'!$D:$D, "Praziquantel",
'Schist Efficacy'!$J:$J,"&lt;2016",
'Schist Efficacy'!$U:$U,""),
"")</f>
        <v/>
      </c>
      <c r="AU109" s="118">
        <f t="shared" si="14"/>
        <v>0.9475</v>
      </c>
      <c r="AV109" s="131">
        <f>IFERROR(AVERAGEIFS(
'STH Efficacy'!$AX:$AX, 
'STH Efficacy'!$AL:$AL, $A109, 
'STH Efficacy'!$AM:$AM, "Albendazole",
'STH Efficacy'!$AS:$AS,"&lt;2016",
'STH Efficacy'!$BP:$BP,""),
"")</f>
        <v>0.333</v>
      </c>
      <c r="AW109" s="132">
        <f t="shared" si="15"/>
        <v>0.333</v>
      </c>
      <c r="AX109" s="131">
        <f>IFERROR(AVERAGEIFS(
'STH Efficacy'!$AX:$AX, 
'STH Efficacy'!$AL:$AL, $A109, 
'STH Efficacy'!$AM:$AM, "Mebendazole",
'STH Efficacy'!$AS:$AS,"&lt;2016",
'STH Efficacy'!$BP:$BP,""),
"")</f>
        <v>0.279</v>
      </c>
      <c r="AY109" s="132">
        <f t="shared" si="16"/>
        <v>0.279</v>
      </c>
      <c r="AZ109" s="131" t="str">
        <f>IFERROR(AVERAGEIFS(
'STH Efficacy'!$AX:$AX, 
'STH Efficacy'!$AL:$AL, $A109, 
'STH Efficacy'!$AM:$AM, "Albendazole &amp; Ivermectin",
'STH Efficacy'!$AS:$AS,"&lt;2016",
'STH Efficacy'!$BP:$BP,""),
"")</f>
        <v/>
      </c>
      <c r="BA109" s="133">
        <f t="shared" si="17"/>
        <v>0.651</v>
      </c>
      <c r="BB109" s="443">
        <f>IFERROR(AVERAGEIFS(
'STH Efficacy'!$N:$N, 
'STH Efficacy'!$B:$B, $A109, 
'STH Efficacy'!$C:$C, "Albendazole",
'STH Efficacy'!$I:$I,"&lt;2016",
'STH Efficacy'!$AH:$AH,""),
"")</f>
        <v>0.36</v>
      </c>
      <c r="BC109" s="135">
        <f t="shared" si="18"/>
        <v>0.36</v>
      </c>
      <c r="BD109" s="443">
        <f>IFERROR(AVERAGEIFS(
'STH Efficacy'!$N:$N, 
'STH Efficacy'!$B:$B, $A109, 
'STH Efficacy'!$C:$C, "Mebendazole",
'STH Efficacy'!$I:$I,"&lt;2016",
'STH Efficacy'!$AH:$AH,""),
"")</f>
        <v>0.176</v>
      </c>
      <c r="BE109" s="135">
        <f t="shared" si="19"/>
        <v>0.176</v>
      </c>
      <c r="BF109" s="436" t="str">
        <f>IFERROR(AVERAGEIFS(
'STH Efficacy'!$CD:$CD, 
'STH Efficacy'!$BS:$BS, $A109, 
'STH Efficacy'!$BT:$BT, "Albendazole",
'STH Efficacy'!$BZ:$BZ,"&lt;2016",
'STH Efficacy'!$CU:$CU,""),
"")</f>
        <v/>
      </c>
      <c r="BG109" s="136">
        <f t="shared" si="20"/>
        <v>0.96925</v>
      </c>
      <c r="BH109" s="436" t="str">
        <f>IFERROR(AVERAGEIFS(
'STH Efficacy'!$CD:$CD, 
'STH Efficacy'!$BS:$BS, $A109, 
'STH Efficacy'!$BT:$BT, "Mebendazole",
'STH Efficacy'!$BZ:$BZ,"&lt;2016",
'STH Efficacy'!$CU:$CU,""),
"")</f>
        <v/>
      </c>
      <c r="BI109" s="136">
        <f t="shared" si="21"/>
        <v>0.9305</v>
      </c>
      <c r="BJ109" s="436" t="str">
        <f>IFERROR(AVERAGEIFS(
'STH Efficacy'!$CD:$CD, 
'STH Efficacy'!$BS:$BS, $A109, 
'STH Efficacy'!$BT:$BT, "Albendazole &amp; Ivermectin",
'STH Efficacy'!$BZ:$BZ,"&lt;2016",
'STH Efficacy'!$CU:$CU,""),
"")</f>
        <v/>
      </c>
      <c r="BK109" s="136">
        <f t="shared" si="22"/>
        <v>0.848</v>
      </c>
      <c r="BL109" s="444" t="str">
        <f>IFERROR(
  AVERAGEIFS(
    'NEW Onchocerciasis Efficacy'!$AO:$AO,
    'NEW Onchocerciasis Efficacy'!$C:$C,$A109,
    'NEW Onchocerciasis Efficacy'!$D:$D,"Ivermectin",
    'NEW Onchocerciasis Efficacy'!$AR:$AR,"&lt;2016",
    'NEW Onchocerciasis Efficacy'!$BG:$BG,"")
,"")</f>
        <v/>
      </c>
      <c r="BM109" s="304">
        <f t="shared" si="23"/>
        <v>0.7808368939</v>
      </c>
      <c r="BN109" s="439">
        <v>1.0</v>
      </c>
      <c r="BO109" s="139">
        <v>0.0</v>
      </c>
      <c r="BP109" s="140">
        <v>1.0</v>
      </c>
      <c r="BQ109" s="141">
        <f t="shared" si="24"/>
        <v>0</v>
      </c>
      <c r="BR109" s="104" t="str">
        <f t="shared" si="25"/>
        <v>1010</v>
      </c>
      <c r="BS109" s="104" t="str">
        <f t="shared" si="26"/>
        <v>MDA1/2+T2</v>
      </c>
      <c r="BT109" s="142" t="str">
        <f t="shared" si="27"/>
        <v>IVM+ALB or DEC +ALB</v>
      </c>
      <c r="BU109" s="104" t="str">
        <f t="shared" si="28"/>
        <v>PZQ</v>
      </c>
      <c r="BV109" s="104" t="str">
        <f t="shared" si="29"/>
        <v>lf+schist </v>
      </c>
      <c r="BW109" s="150" t="str">
        <f t="shared" si="30"/>
        <v/>
      </c>
      <c r="BX109" s="312">
        <f t="shared" si="31"/>
        <v>97.68296465</v>
      </c>
      <c r="BY109" s="162">
        <f t="shared" si="32"/>
        <v>2192.906788</v>
      </c>
      <c r="BZ109" s="152" t="str">
        <f t="shared" si="33"/>
        <v/>
      </c>
      <c r="CA109" s="152" t="str">
        <f t="shared" si="34"/>
        <v/>
      </c>
      <c r="CB109" s="152" t="str">
        <f t="shared" si="35"/>
        <v/>
      </c>
      <c r="CC109" s="153" t="str">
        <f t="shared" si="36"/>
        <v/>
      </c>
      <c r="CD109" s="153" t="str">
        <f t="shared" si="37"/>
        <v/>
      </c>
      <c r="CE109" s="154" t="str">
        <f t="shared" si="38"/>
        <v/>
      </c>
      <c r="CF109" s="154" t="str">
        <f t="shared" si="39"/>
        <v/>
      </c>
      <c r="CG109" s="154" t="str">
        <f t="shared" si="40"/>
        <v/>
      </c>
      <c r="CH109" s="308" t="str">
        <f t="shared" si="41"/>
        <v/>
      </c>
    </row>
    <row r="110">
      <c r="A110" s="155" t="s">
        <v>199</v>
      </c>
      <c r="B110" s="104" t="s">
        <v>90</v>
      </c>
      <c r="C110" s="428">
        <v>1977527.0</v>
      </c>
      <c r="D110" s="161">
        <v>0.0</v>
      </c>
      <c r="E110" s="294">
        <v>0.0</v>
      </c>
      <c r="F110" s="307">
        <v>0.0</v>
      </c>
      <c r="G110" s="309">
        <v>0.0</v>
      </c>
      <c r="H110" s="108">
        <v>0.0</v>
      </c>
      <c r="I110" s="109">
        <v>0.0</v>
      </c>
      <c r="J110" s="109">
        <v>0.0</v>
      </c>
      <c r="K110" s="109">
        <v>0.0</v>
      </c>
      <c r="L110" s="112">
        <v>0.025710836</v>
      </c>
      <c r="M110" s="112">
        <v>0.017082562</v>
      </c>
      <c r="N110" s="112">
        <v>0.042793398</v>
      </c>
      <c r="O110" s="298">
        <v>0.0</v>
      </c>
      <c r="P110" s="114"/>
      <c r="Q110" s="114"/>
      <c r="R110" s="121" t="str">
        <f t="shared" si="4"/>
        <v/>
      </c>
      <c r="S110" s="116">
        <f t="shared" si="5"/>
        <v>0.5709301448</v>
      </c>
      <c r="T110" s="117"/>
      <c r="U110" s="118">
        <f t="shared" si="6"/>
        <v>0.4791888889</v>
      </c>
      <c r="V110" s="148"/>
      <c r="W110" s="120">
        <f t="shared" si="7"/>
        <v>0.0223</v>
      </c>
      <c r="X110" s="148"/>
      <c r="Y110" s="120">
        <f t="shared" si="8"/>
        <v>0.598275</v>
      </c>
      <c r="Z110" s="299"/>
      <c r="AA110" s="441"/>
      <c r="AB110" s="300" t="str">
        <f t="shared" si="9"/>
        <v/>
      </c>
      <c r="AC110" s="300">
        <f t="shared" si="10"/>
        <v>0.6890056172</v>
      </c>
      <c r="AD110" s="122">
        <v>0.0</v>
      </c>
      <c r="AE110" s="123">
        <v>0.0</v>
      </c>
      <c r="AF110" s="430">
        <v>0.0</v>
      </c>
      <c r="AG110" s="124">
        <v>0.0</v>
      </c>
      <c r="AH110" s="124">
        <v>0.0</v>
      </c>
      <c r="AI110" s="125">
        <v>0.0</v>
      </c>
      <c r="AJ110" s="125">
        <v>0.0</v>
      </c>
      <c r="AK110" s="127">
        <v>0.0</v>
      </c>
      <c r="AL110" s="127">
        <v>0.0</v>
      </c>
      <c r="AM110" s="302">
        <v>0.0</v>
      </c>
      <c r="AN110" s="149" t="str">
        <f>IFERROR(
  AVERAGEIFS(
    'New LF Efficacy'!$J:$J,
    'New LF Efficacy'!$D:$D, $A110,
    'New LF Efficacy'!$F:$F,"DEC", 
    'New LF Efficacy'!$W:$W,"&lt;2016",
    'New LF Efficacy'!$AA:$AA,""),
  ""
)</f>
        <v/>
      </c>
      <c r="AO110" s="115">
        <f t="shared" si="11"/>
        <v>0.3573520833</v>
      </c>
      <c r="AP110" s="149" t="str">
        <f>IFERROR(
AVERAGEIFS(
'New LF Efficacy'!$J:$J,
'New LF Efficacy'!$D:$D,$A110,
'New LF Efficacy'!$F:$F,"Albendazole &amp; DEC",
'New LF Efficacy'!$W:$W,"&lt;2016",
'New LF Efficacy'!$AA:$AA,""),
"")
</f>
        <v/>
      </c>
      <c r="AQ110" s="115">
        <f t="shared" si="12"/>
        <v>0.5143541667</v>
      </c>
      <c r="AR110" s="149" t="str">
        <f>IFERROR(
AVERAGEIFS(
'New LF Efficacy'!$J:$J,
'New LF Efficacy'!$D:$D,$A110,
'New LF Efficacy'!$F:$F,"Albendazole &amp; Ivermectin", 
'New LF Efficacy'!$W:$W,"&lt;2016",
'New LF Efficacy'!$AA:$AA,""),"")</f>
        <v/>
      </c>
      <c r="AS110" s="115">
        <f t="shared" si="13"/>
        <v>0.37153125</v>
      </c>
      <c r="AT110" s="442" t="str">
        <f>IFERROR(AVERAGEIFS(
'Schist Efficacy'!$O:$O, 
'Schist Efficacy'!$C:$C,$A110, 
'Schist Efficacy'!$D:$D, "Praziquantel",
'Schist Efficacy'!$J:$J,"&lt;2016",
'Schist Efficacy'!$U:$U,""),
"")</f>
        <v/>
      </c>
      <c r="AU110" s="118">
        <f t="shared" si="14"/>
        <v>0.655</v>
      </c>
      <c r="AV110" s="131" t="str">
        <f>IFERROR(AVERAGEIFS(
'STH Efficacy'!$AX:$AX, 
'STH Efficacy'!$AL:$AL, $A110, 
'STH Efficacy'!$AM:$AM, "Albendazole",
'STH Efficacy'!$AS:$AS,"&lt;2016",
'STH Efficacy'!$BP:$BP,""),
"")</f>
        <v/>
      </c>
      <c r="AW110" s="132">
        <f t="shared" si="15"/>
        <v>0.4143846154</v>
      </c>
      <c r="AX110" s="131" t="str">
        <f>IFERROR(AVERAGEIFS(
'STH Efficacy'!$AX:$AX, 
'STH Efficacy'!$AL:$AL, $A110, 
'STH Efficacy'!$AM:$AM, "Mebendazole",
'STH Efficacy'!$AS:$AS,"&lt;2016",
'STH Efficacy'!$BP:$BP,""),
"")</f>
        <v/>
      </c>
      <c r="AY110" s="132">
        <f t="shared" si="16"/>
        <v>0.4691770833</v>
      </c>
      <c r="AZ110" s="131" t="str">
        <f>IFERROR(AVERAGEIFS(
'STH Efficacy'!$AX:$AX, 
'STH Efficacy'!$AL:$AL, $A110, 
'STH Efficacy'!$AM:$AM, "Albendazole &amp; Ivermectin",
'STH Efficacy'!$AS:$AS,"&lt;2016",
'STH Efficacy'!$BP:$BP,""),
"")</f>
        <v/>
      </c>
      <c r="BA110" s="133">
        <f t="shared" si="17"/>
        <v>0.597625</v>
      </c>
      <c r="BB110" s="443" t="str">
        <f>IFERROR(AVERAGEIFS(
'STH Efficacy'!$N:$N, 
'STH Efficacy'!$B:$B, $A110, 
'STH Efficacy'!$C:$C, "Albendazole",
'STH Efficacy'!$I:$I,"&lt;2016",
'STH Efficacy'!$AH:$AH,""),
"")</f>
        <v/>
      </c>
      <c r="BC110" s="135">
        <f t="shared" si="18"/>
        <v>0.7613712121</v>
      </c>
      <c r="BD110" s="443" t="str">
        <f>IFERROR(AVERAGEIFS(
'STH Efficacy'!$N:$N, 
'STH Efficacy'!$B:$B, $A110, 
'STH Efficacy'!$C:$C, "Mebendazole",
'STH Efficacy'!$I:$I,"&lt;2016",
'STH Efficacy'!$AH:$AH,""),
"")</f>
        <v/>
      </c>
      <c r="BE110" s="135">
        <f t="shared" si="19"/>
        <v>0.4362466667</v>
      </c>
      <c r="BF110" s="436" t="str">
        <f>IFERROR(AVERAGEIFS(
'STH Efficacy'!$CD:$CD, 
'STH Efficacy'!$BS:$BS, $A110, 
'STH Efficacy'!$BT:$BT, "Albendazole",
'STH Efficacy'!$BZ:$BZ,"&lt;2016",
'STH Efficacy'!$CU:$CU,""),
"")</f>
        <v/>
      </c>
      <c r="BG110" s="136">
        <f t="shared" si="20"/>
        <v>0.9216027778</v>
      </c>
      <c r="BH110" s="436" t="str">
        <f>IFERROR(AVERAGEIFS(
'STH Efficacy'!$CD:$CD, 
'STH Efficacy'!$BS:$BS, $A110, 
'STH Efficacy'!$BT:$BT, "Mebendazole",
'STH Efficacy'!$BZ:$BZ,"&lt;2016",
'STH Efficacy'!$CU:$CU,""),
"")</f>
        <v/>
      </c>
      <c r="BI110" s="136">
        <f t="shared" si="21"/>
        <v>0.8866041667</v>
      </c>
      <c r="BJ110" s="436" t="str">
        <f>IFERROR(AVERAGEIFS(
'STH Efficacy'!$CD:$CD, 
'STH Efficacy'!$BS:$BS, $A110, 
'STH Efficacy'!$BT:$BT, "Albendazole &amp; Ivermectin",
'STH Efficacy'!$BZ:$BZ,"&lt;2016",
'STH Efficacy'!$CU:$CU,""),
"")</f>
        <v/>
      </c>
      <c r="BK110" s="136">
        <f t="shared" si="22"/>
        <v>0.848</v>
      </c>
      <c r="BL110" s="444" t="str">
        <f>IFERROR(
  AVERAGEIFS(
    'NEW Onchocerciasis Efficacy'!$AO:$AO,
    'NEW Onchocerciasis Efficacy'!$C:$C,$A110,
    'NEW Onchocerciasis Efficacy'!$D:$D,"Ivermectin",
    'NEW Onchocerciasis Efficacy'!$AR:$AR,"&lt;2016",
    'NEW Onchocerciasis Efficacy'!$BG:$BG,"")
,"")</f>
        <v/>
      </c>
      <c r="BM110" s="304">
        <f t="shared" si="23"/>
        <v>0.7808368939</v>
      </c>
      <c r="BN110" s="439">
        <v>0.0</v>
      </c>
      <c r="BO110" s="139">
        <v>0.0</v>
      </c>
      <c r="BP110" s="140">
        <v>0.0</v>
      </c>
      <c r="BQ110" s="141">
        <f t="shared" si="24"/>
        <v>0</v>
      </c>
      <c r="BR110" s="104" t="str">
        <f t="shared" si="25"/>
        <v>0000</v>
      </c>
      <c r="BS110" s="104" t="str">
        <f t="shared" si="26"/>
        <v>no action required</v>
      </c>
      <c r="BT110" s="142" t="str">
        <f t="shared" si="27"/>
        <v/>
      </c>
      <c r="BU110" s="104" t="str">
        <f t="shared" si="28"/>
        <v/>
      </c>
      <c r="BV110" s="104" t="str">
        <f t="shared" si="29"/>
        <v>none</v>
      </c>
      <c r="BW110" s="150" t="str">
        <f t="shared" si="30"/>
        <v/>
      </c>
      <c r="BX110" s="150" t="str">
        <f t="shared" si="31"/>
        <v/>
      </c>
      <c r="BY110" s="151" t="str">
        <f t="shared" si="32"/>
        <v/>
      </c>
      <c r="BZ110" s="152" t="str">
        <f t="shared" si="33"/>
        <v/>
      </c>
      <c r="CA110" s="152" t="str">
        <f t="shared" si="34"/>
        <v/>
      </c>
      <c r="CB110" s="152" t="str">
        <f t="shared" si="35"/>
        <v/>
      </c>
      <c r="CC110" s="153" t="str">
        <f t="shared" si="36"/>
        <v/>
      </c>
      <c r="CD110" s="153" t="str">
        <f t="shared" si="37"/>
        <v/>
      </c>
      <c r="CE110" s="154" t="str">
        <f t="shared" si="38"/>
        <v/>
      </c>
      <c r="CF110" s="154" t="str">
        <f t="shared" si="39"/>
        <v/>
      </c>
      <c r="CG110" s="154" t="str">
        <f t="shared" si="40"/>
        <v/>
      </c>
      <c r="CH110" s="308" t="str">
        <f t="shared" si="41"/>
        <v/>
      </c>
    </row>
    <row r="111">
      <c r="A111" s="155" t="s">
        <v>200</v>
      </c>
      <c r="B111" s="104" t="s">
        <v>88</v>
      </c>
      <c r="C111" s="428">
        <v>5851479.0</v>
      </c>
      <c r="D111" s="161">
        <v>0.0</v>
      </c>
      <c r="E111" s="294">
        <v>1.335392693</v>
      </c>
      <c r="F111" s="307">
        <v>0.0</v>
      </c>
      <c r="G111" s="309">
        <v>0.0</v>
      </c>
      <c r="H111" s="108">
        <v>0.0</v>
      </c>
      <c r="I111" s="109">
        <v>0.01634931</v>
      </c>
      <c r="J111" s="109">
        <v>0.02189526</v>
      </c>
      <c r="K111" s="109">
        <v>0.03824457</v>
      </c>
      <c r="L111" s="112">
        <v>0.157066035</v>
      </c>
      <c r="M111" s="112">
        <v>0.151783557</v>
      </c>
      <c r="N111" s="112">
        <v>0.308849592</v>
      </c>
      <c r="O111" s="298">
        <v>0.0</v>
      </c>
      <c r="P111" s="114"/>
      <c r="Q111" s="114"/>
      <c r="R111" s="121" t="str">
        <f t="shared" si="4"/>
        <v/>
      </c>
      <c r="S111" s="116">
        <f t="shared" si="5"/>
        <v>0.5709301448</v>
      </c>
      <c r="T111" s="117"/>
      <c r="U111" s="118">
        <f t="shared" si="6"/>
        <v>0.739</v>
      </c>
      <c r="V111" s="148"/>
      <c r="W111" s="120">
        <f t="shared" si="7"/>
        <v>0.9933333333</v>
      </c>
      <c r="X111" s="148"/>
      <c r="Y111" s="120">
        <f t="shared" si="8"/>
        <v>0.5301</v>
      </c>
      <c r="Z111" s="299"/>
      <c r="AA111" s="441"/>
      <c r="AB111" s="300" t="str">
        <f t="shared" si="9"/>
        <v/>
      </c>
      <c r="AC111" s="300">
        <f t="shared" si="10"/>
        <v>0.4014082288</v>
      </c>
      <c r="AD111" s="122">
        <v>0.0</v>
      </c>
      <c r="AE111" s="123">
        <v>0.0</v>
      </c>
      <c r="AF111" s="430">
        <v>0.0</v>
      </c>
      <c r="AG111" s="124">
        <v>0.0</v>
      </c>
      <c r="AH111" s="124">
        <v>1.13235E-5</v>
      </c>
      <c r="AI111" s="125">
        <v>0.0</v>
      </c>
      <c r="AJ111" s="125">
        <v>1.14288E-5</v>
      </c>
      <c r="AK111" s="127">
        <v>0.0</v>
      </c>
      <c r="AL111" s="127">
        <v>1.15643E-5</v>
      </c>
      <c r="AM111" s="302">
        <v>0.0</v>
      </c>
      <c r="AN111" s="149" t="str">
        <f>IFERROR(
  AVERAGEIFS(
    'New LF Efficacy'!$J:$J,
    'New LF Efficacy'!$D:$D, $A111,
    'New LF Efficacy'!$F:$F,"DEC", 
    'New LF Efficacy'!$W:$W,"&lt;2016",
    'New LF Efficacy'!$AA:$AA,""),
  ""
)</f>
        <v/>
      </c>
      <c r="AO111" s="115">
        <f t="shared" si="11"/>
        <v>0.3573520833</v>
      </c>
      <c r="AP111" s="149" t="str">
        <f>IFERROR(
AVERAGEIFS(
'New LF Efficacy'!$J:$J,
'New LF Efficacy'!$D:$D,$A111,
'New LF Efficacy'!$F:$F,"Albendazole &amp; DEC",
'New LF Efficacy'!$W:$W,"&lt;2016",
'New LF Efficacy'!$AA:$AA,""),
"")
</f>
        <v/>
      </c>
      <c r="AQ111" s="115">
        <f t="shared" si="12"/>
        <v>0.7935</v>
      </c>
      <c r="AR111" s="149" t="str">
        <f>IFERROR(
AVERAGEIFS(
'New LF Efficacy'!$J:$J,
'New LF Efficacy'!$D:$D,$A111,
'New LF Efficacy'!$F:$F,"Albendazole &amp; Ivermectin", 
'New LF Efficacy'!$W:$W,"&lt;2016",
'New LF Efficacy'!$AA:$AA,""),"")</f>
        <v/>
      </c>
      <c r="AS111" s="115">
        <f t="shared" si="13"/>
        <v>0.37153125</v>
      </c>
      <c r="AT111" s="442" t="str">
        <f>IFERROR(AVERAGEIFS(
'Schist Efficacy'!$O:$O, 
'Schist Efficacy'!$C:$C,$A111, 
'Schist Efficacy'!$D:$D, "Praziquantel",
'Schist Efficacy'!$J:$J,"&lt;2016",
'Schist Efficacy'!$U:$U,""),
"")</f>
        <v/>
      </c>
      <c r="AU111" s="118">
        <f t="shared" si="14"/>
        <v>0.7763141026</v>
      </c>
      <c r="AV111" s="131" t="str">
        <f>IFERROR(AVERAGEIFS(
'STH Efficacy'!$AX:$AX, 
'STH Efficacy'!$AL:$AL, $A111, 
'STH Efficacy'!$AM:$AM, "Albendazole",
'STH Efficacy'!$AS:$AS,"&lt;2016",
'STH Efficacy'!$BP:$BP,""),
"")</f>
        <v/>
      </c>
      <c r="AW111" s="132">
        <f t="shared" si="15"/>
        <v>0.4143846154</v>
      </c>
      <c r="AX111" s="131" t="str">
        <f>IFERROR(AVERAGEIFS(
'STH Efficacy'!$AX:$AX, 
'STH Efficacy'!$AL:$AL, $A111, 
'STH Efficacy'!$AM:$AM, "Mebendazole",
'STH Efficacy'!$AS:$AS,"&lt;2016",
'STH Efficacy'!$BP:$BP,""),
"")</f>
        <v/>
      </c>
      <c r="AY111" s="132">
        <f t="shared" si="16"/>
        <v>0.4691770833</v>
      </c>
      <c r="AZ111" s="131" t="str">
        <f>IFERROR(AVERAGEIFS(
'STH Efficacy'!$AX:$AX, 
'STH Efficacy'!$AL:$AL, $A111, 
'STH Efficacy'!$AM:$AM, "Albendazole &amp; Ivermectin",
'STH Efficacy'!$AS:$AS,"&lt;2016",
'STH Efficacy'!$BP:$BP,""),
"")</f>
        <v/>
      </c>
      <c r="BA111" s="133">
        <f t="shared" si="17"/>
        <v>0.597625</v>
      </c>
      <c r="BB111" s="443" t="str">
        <f>IFERROR(AVERAGEIFS(
'STH Efficacy'!$N:$N, 
'STH Efficacy'!$B:$B, $A111, 
'STH Efficacy'!$C:$C, "Albendazole",
'STH Efficacy'!$I:$I,"&lt;2016",
'STH Efficacy'!$AH:$AH,""),
"")</f>
        <v/>
      </c>
      <c r="BC111" s="135">
        <f t="shared" si="18"/>
        <v>0.7613712121</v>
      </c>
      <c r="BD111" s="443" t="str">
        <f>IFERROR(AVERAGEIFS(
'STH Efficacy'!$N:$N, 
'STH Efficacy'!$B:$B, $A111, 
'STH Efficacy'!$C:$C, "Mebendazole",
'STH Efficacy'!$I:$I,"&lt;2016",
'STH Efficacy'!$AH:$AH,""),
"")</f>
        <v/>
      </c>
      <c r="BE111" s="135">
        <f t="shared" si="19"/>
        <v>0.4362466667</v>
      </c>
      <c r="BF111" s="436" t="str">
        <f>IFERROR(AVERAGEIFS(
'STH Efficacy'!$CD:$CD, 
'STH Efficacy'!$BS:$BS, $A111, 
'STH Efficacy'!$BT:$BT, "Albendazole",
'STH Efficacy'!$BZ:$BZ,"&lt;2016",
'STH Efficacy'!$CU:$CU,""),
"")</f>
        <v/>
      </c>
      <c r="BG111" s="136">
        <f t="shared" si="20"/>
        <v>0.955</v>
      </c>
      <c r="BH111" s="436" t="str">
        <f>IFERROR(AVERAGEIFS(
'STH Efficacy'!$CD:$CD, 
'STH Efficacy'!$BS:$BS, $A111, 
'STH Efficacy'!$BT:$BT, "Mebendazole",
'STH Efficacy'!$BZ:$BZ,"&lt;2016",
'STH Efficacy'!$CU:$CU,""),
"")</f>
        <v/>
      </c>
      <c r="BI111" s="136">
        <f t="shared" si="21"/>
        <v>1</v>
      </c>
      <c r="BJ111" s="436" t="str">
        <f>IFERROR(AVERAGEIFS(
'STH Efficacy'!$CD:$CD, 
'STH Efficacy'!$BS:$BS, $A111, 
'STH Efficacy'!$BT:$BT, "Albendazole &amp; Ivermectin",
'STH Efficacy'!$BZ:$BZ,"&lt;2016",
'STH Efficacy'!$CU:$CU,""),
"")</f>
        <v/>
      </c>
      <c r="BK111" s="136">
        <f t="shared" si="22"/>
        <v>0.848</v>
      </c>
      <c r="BL111" s="444" t="str">
        <f>IFERROR(
  AVERAGEIFS(
    'NEW Onchocerciasis Efficacy'!$AO:$AO,
    'NEW Onchocerciasis Efficacy'!$C:$C,$A111,
    'NEW Onchocerciasis Efficacy'!$D:$D,"Ivermectin",
    'NEW Onchocerciasis Efficacy'!$AR:$AR,"&lt;2016",
    'NEW Onchocerciasis Efficacy'!$BG:$BG,"")
,"")</f>
        <v/>
      </c>
      <c r="BM111" s="304">
        <f t="shared" si="23"/>
        <v>0.7808368939</v>
      </c>
      <c r="BN111" s="439">
        <v>0.0</v>
      </c>
      <c r="BO111" s="139">
        <v>0.0</v>
      </c>
      <c r="BP111" s="140">
        <v>0.0</v>
      </c>
      <c r="BQ111" s="141">
        <f t="shared" si="24"/>
        <v>0</v>
      </c>
      <c r="BR111" s="104" t="str">
        <f t="shared" si="25"/>
        <v>0000</v>
      </c>
      <c r="BS111" s="104" t="str">
        <f t="shared" si="26"/>
        <v>no action required</v>
      </c>
      <c r="BT111" s="142" t="str">
        <f t="shared" si="27"/>
        <v/>
      </c>
      <c r="BU111" s="104" t="str">
        <f t="shared" si="28"/>
        <v/>
      </c>
      <c r="BV111" s="104" t="str">
        <f t="shared" si="29"/>
        <v>none</v>
      </c>
      <c r="BW111" s="150" t="str">
        <f t="shared" si="30"/>
        <v/>
      </c>
      <c r="BX111" s="150" t="str">
        <f t="shared" si="31"/>
        <v/>
      </c>
      <c r="BY111" s="151" t="str">
        <f t="shared" si="32"/>
        <v/>
      </c>
      <c r="BZ111" s="152" t="str">
        <f t="shared" si="33"/>
        <v/>
      </c>
      <c r="CA111" s="152" t="str">
        <f t="shared" si="34"/>
        <v/>
      </c>
      <c r="CB111" s="152" t="str">
        <f t="shared" si="35"/>
        <v/>
      </c>
      <c r="CC111" s="153" t="str">
        <f t="shared" si="36"/>
        <v/>
      </c>
      <c r="CD111" s="153" t="str">
        <f t="shared" si="37"/>
        <v/>
      </c>
      <c r="CE111" s="154" t="str">
        <f t="shared" si="38"/>
        <v/>
      </c>
      <c r="CF111" s="154" t="str">
        <f t="shared" si="39"/>
        <v/>
      </c>
      <c r="CG111" s="154" t="str">
        <f t="shared" si="40"/>
        <v/>
      </c>
      <c r="CH111" s="308" t="str">
        <f t="shared" si="41"/>
        <v/>
      </c>
    </row>
    <row r="112">
      <c r="A112" s="155" t="s">
        <v>201</v>
      </c>
      <c r="B112" s="104" t="s">
        <v>92</v>
      </c>
      <c r="C112" s="428">
        <v>2174645.0</v>
      </c>
      <c r="D112" s="161">
        <v>0.0</v>
      </c>
      <c r="E112" s="294">
        <v>0.0</v>
      </c>
      <c r="F112" s="295">
        <v>150.764897</v>
      </c>
      <c r="G112" s="295">
        <v>801.0790615</v>
      </c>
      <c r="H112" s="108">
        <v>951.8439585</v>
      </c>
      <c r="I112" s="109">
        <v>117.371253</v>
      </c>
      <c r="J112" s="109">
        <v>366.624415</v>
      </c>
      <c r="K112" s="109">
        <v>483.9956674</v>
      </c>
      <c r="L112" s="112">
        <v>77.01809953</v>
      </c>
      <c r="M112" s="112">
        <v>90.09230754</v>
      </c>
      <c r="N112" s="112">
        <v>167.1104071</v>
      </c>
      <c r="O112" s="298">
        <v>0.0</v>
      </c>
      <c r="P112" s="114"/>
      <c r="Q112" s="114"/>
      <c r="R112" s="121" t="str">
        <f t="shared" si="4"/>
        <v/>
      </c>
      <c r="S112" s="116">
        <f t="shared" si="5"/>
        <v>0.3345096109</v>
      </c>
      <c r="T112" s="117"/>
      <c r="U112" s="118">
        <f t="shared" si="6"/>
        <v>0.4220357143</v>
      </c>
      <c r="V112" s="148"/>
      <c r="W112" s="120">
        <f t="shared" si="7"/>
        <v>0.8084736842</v>
      </c>
      <c r="X112" s="148"/>
      <c r="Y112" s="120">
        <f t="shared" si="8"/>
        <v>0.5938357143</v>
      </c>
      <c r="Z112" s="299"/>
      <c r="AA112" s="441"/>
      <c r="AB112" s="300" t="str">
        <f t="shared" si="9"/>
        <v/>
      </c>
      <c r="AC112" s="300">
        <f t="shared" si="10"/>
        <v>0.6375203308</v>
      </c>
      <c r="AD112" s="122">
        <v>0.0</v>
      </c>
      <c r="AE112" s="123">
        <v>0.0</v>
      </c>
      <c r="AF112" s="430">
        <v>0.0</v>
      </c>
      <c r="AG112" s="316">
        <v>0.0</v>
      </c>
      <c r="AH112" s="316">
        <v>0.515243089</v>
      </c>
      <c r="AI112" s="317">
        <v>0.0</v>
      </c>
      <c r="AJ112" s="317">
        <v>0.190065654</v>
      </c>
      <c r="AK112" s="319">
        <v>0.0</v>
      </c>
      <c r="AL112" s="319">
        <v>0.21067267</v>
      </c>
      <c r="AM112" s="302">
        <v>0.0</v>
      </c>
      <c r="AN112" s="149" t="str">
        <f>IFERROR(
  AVERAGEIFS(
    'New LF Efficacy'!$J:$J,
    'New LF Efficacy'!$D:$D, $A112,
    'New LF Efficacy'!$F:$F,"DEC", 
    'New LF Efficacy'!$W:$W,"&lt;2016",
    'New LF Efficacy'!$AA:$AA,""),
  ""
)</f>
        <v/>
      </c>
      <c r="AO112" s="115">
        <f t="shared" si="11"/>
        <v>0.31225</v>
      </c>
      <c r="AP112" s="149" t="str">
        <f>IFERROR(
AVERAGEIFS(
'New LF Efficacy'!$J:$J,
'New LF Efficacy'!$D:$D,$A112,
'New LF Efficacy'!$F:$F,"Albendazole &amp; DEC",
'New LF Efficacy'!$W:$W,"&lt;2016",
'New LF Efficacy'!$AA:$AA,""),
"")
</f>
        <v/>
      </c>
      <c r="AQ112" s="115">
        <f t="shared" si="12"/>
        <v>0.4</v>
      </c>
      <c r="AR112" s="149" t="str">
        <f>IFERROR(
AVERAGEIFS(
'New LF Efficacy'!$J:$J,
'New LF Efficacy'!$D:$D,$A112,
'New LF Efficacy'!$F:$F,"Albendazole &amp; Ivermectin", 
'New LF Efficacy'!$W:$W,"&lt;2016",
'New LF Efficacy'!$AA:$AA,""),"")</f>
        <v/>
      </c>
      <c r="AS112" s="115">
        <f t="shared" si="13"/>
        <v>0.2943125</v>
      </c>
      <c r="AT112" s="442" t="str">
        <f>IFERROR(AVERAGEIFS(
'Schist Efficacy'!$O:$O, 
'Schist Efficacy'!$C:$C,$A112, 
'Schist Efficacy'!$D:$D, "Praziquantel",
'Schist Efficacy'!$J:$J,"&lt;2016",
'Schist Efficacy'!$U:$U,""),
"")</f>
        <v/>
      </c>
      <c r="AU112" s="118">
        <f t="shared" si="14"/>
        <v>0.7206464759</v>
      </c>
      <c r="AV112" s="131" t="str">
        <f>IFERROR(AVERAGEIFS(
'STH Efficacy'!$AX:$AX, 
'STH Efficacy'!$AL:$AL, $A112, 
'STH Efficacy'!$AM:$AM, "Albendazole",
'STH Efficacy'!$AS:$AS,"&lt;2016",
'STH Efficacy'!$BP:$BP,""),
"")</f>
        <v/>
      </c>
      <c r="AW112" s="132">
        <f t="shared" si="15"/>
        <v>0.3816333333</v>
      </c>
      <c r="AX112" s="131" t="str">
        <f>IFERROR(AVERAGEIFS(
'STH Efficacy'!$AX:$AX, 
'STH Efficacy'!$AL:$AL, $A112, 
'STH Efficacy'!$AM:$AM, "Mebendazole",
'STH Efficacy'!$AS:$AS,"&lt;2016",
'STH Efficacy'!$BP:$BP,""),
"")</f>
        <v/>
      </c>
      <c r="AY112" s="132">
        <f t="shared" si="16"/>
        <v>0.4859375</v>
      </c>
      <c r="AZ112" s="131" t="str">
        <f>IFERROR(AVERAGEIFS(
'STH Efficacy'!$AX:$AX, 
'STH Efficacy'!$AL:$AL, $A112, 
'STH Efficacy'!$AM:$AM, "Albendazole &amp; Ivermectin",
'STH Efficacy'!$AS:$AS,"&lt;2016",
'STH Efficacy'!$BP:$BP,""),
"")</f>
        <v/>
      </c>
      <c r="BA112" s="133">
        <f t="shared" si="17"/>
        <v>0.47175</v>
      </c>
      <c r="BB112" s="443" t="str">
        <f>IFERROR(AVERAGEIFS(
'STH Efficacy'!$N:$N, 
'STH Efficacy'!$B:$B, $A112, 
'STH Efficacy'!$C:$C, "Albendazole",
'STH Efficacy'!$I:$I,"&lt;2016",
'STH Efficacy'!$AH:$AH,""),
"")</f>
        <v/>
      </c>
      <c r="BC112" s="135">
        <f t="shared" si="18"/>
        <v>0.8699166667</v>
      </c>
      <c r="BD112" s="443" t="str">
        <f>IFERROR(AVERAGEIFS(
'STH Efficacy'!$N:$N, 
'STH Efficacy'!$B:$B, $A112, 
'STH Efficacy'!$C:$C, "Mebendazole",
'STH Efficacy'!$I:$I,"&lt;2016",
'STH Efficacy'!$AH:$AH,""),
"")</f>
        <v/>
      </c>
      <c r="BE112" s="135">
        <f t="shared" si="19"/>
        <v>0.7092416667</v>
      </c>
      <c r="BF112" s="436" t="str">
        <f>IFERROR(AVERAGEIFS(
'STH Efficacy'!$CD:$CD, 
'STH Efficacy'!$BS:$BS, $A112, 
'STH Efficacy'!$BT:$BT, "Albendazole",
'STH Efficacy'!$BZ:$BZ,"&lt;2016",
'STH Efficacy'!$CU:$CU,""),
"")</f>
        <v/>
      </c>
      <c r="BG112" s="136">
        <f t="shared" si="20"/>
        <v>0.9066666667</v>
      </c>
      <c r="BH112" s="436" t="str">
        <f>IFERROR(AVERAGEIFS(
'STH Efficacy'!$CD:$CD, 
'STH Efficacy'!$BS:$BS, $A112, 
'STH Efficacy'!$BT:$BT, "Mebendazole",
'STH Efficacy'!$BZ:$BZ,"&lt;2016",
'STH Efficacy'!$CU:$CU,""),
"")</f>
        <v/>
      </c>
      <c r="BI112" s="136">
        <f t="shared" si="21"/>
        <v>0.8483333333</v>
      </c>
      <c r="BJ112" s="436" t="str">
        <f>IFERROR(AVERAGEIFS(
'STH Efficacy'!$CD:$CD, 
'STH Efficacy'!$BS:$BS, $A112, 
'STH Efficacy'!$BT:$BT, "Albendazole &amp; Ivermectin",
'STH Efficacy'!$BZ:$BZ,"&lt;2016",
'STH Efficacy'!$CU:$CU,""),
"")</f>
        <v/>
      </c>
      <c r="BK112" s="136">
        <f t="shared" si="22"/>
        <v>0.696</v>
      </c>
      <c r="BL112" s="444" t="str">
        <f>IFERROR(
  AVERAGEIFS(
    'NEW Onchocerciasis Efficacy'!$AO:$AO,
    'NEW Onchocerciasis Efficacy'!$C:$C,$A112,
    'NEW Onchocerciasis Efficacy'!$D:$D,"Ivermectin",
    'NEW Onchocerciasis Efficacy'!$AR:$AR,"&lt;2016",
    'NEW Onchocerciasis Efficacy'!$BG:$BG,"")
,"")</f>
        <v/>
      </c>
      <c r="BM112" s="304">
        <f t="shared" si="23"/>
        <v>0.8390421645</v>
      </c>
      <c r="BN112" s="439">
        <v>0.0</v>
      </c>
      <c r="BO112" s="139">
        <v>1.0</v>
      </c>
      <c r="BP112" s="140">
        <v>1.0</v>
      </c>
      <c r="BQ112" s="141">
        <f t="shared" si="24"/>
        <v>1</v>
      </c>
      <c r="BR112" s="104" t="str">
        <f t="shared" si="25"/>
        <v>0111</v>
      </c>
      <c r="BS112" s="104" t="str">
        <f t="shared" si="26"/>
        <v>MDA1+T2</v>
      </c>
      <c r="BT112" s="142" t="str">
        <f t="shared" si="27"/>
        <v>IVM+ALB</v>
      </c>
      <c r="BU112" s="104" t="str">
        <f t="shared" si="28"/>
        <v>PZQ</v>
      </c>
      <c r="BV112" s="104" t="str">
        <f t="shared" si="29"/>
        <v>onch+schist+sth</v>
      </c>
      <c r="BW112" s="150" t="str">
        <f t="shared" si="30"/>
        <v/>
      </c>
      <c r="BX112" s="150" t="str">
        <f t="shared" si="31"/>
        <v/>
      </c>
      <c r="BY112" s="162">
        <f t="shared" si="32"/>
        <v>0</v>
      </c>
      <c r="BZ112" s="152">
        <f t="shared" si="33"/>
        <v>302.0203352</v>
      </c>
      <c r="CA112" s="152" t="str">
        <f t="shared" si="34"/>
        <v/>
      </c>
      <c r="CB112" s="152">
        <f t="shared" si="35"/>
        <v>404.7038436</v>
      </c>
      <c r="CC112" s="323">
        <f t="shared" si="36"/>
        <v>670.0088145</v>
      </c>
      <c r="CD112" s="153" t="str">
        <f t="shared" si="37"/>
        <v/>
      </c>
      <c r="CE112" s="154">
        <f t="shared" si="38"/>
        <v>316.5429808</v>
      </c>
      <c r="CF112" s="154" t="str">
        <f t="shared" si="39"/>
        <v/>
      </c>
      <c r="CG112" s="154">
        <f t="shared" si="40"/>
        <v>162.5707795</v>
      </c>
      <c r="CH112" s="313">
        <f t="shared" si="41"/>
        <v>0</v>
      </c>
    </row>
    <row r="113">
      <c r="A113" s="103" t="s">
        <v>202</v>
      </c>
      <c r="B113" s="104" t="s">
        <v>92</v>
      </c>
      <c r="C113" s="428">
        <v>4499621.0</v>
      </c>
      <c r="D113" s="161">
        <v>9118.630000000001</v>
      </c>
      <c r="E113" s="294">
        <v>12442.74437</v>
      </c>
      <c r="F113" s="295">
        <v>27.05330831</v>
      </c>
      <c r="G113" s="295">
        <v>117.0190521</v>
      </c>
      <c r="H113" s="108">
        <v>144.0723604</v>
      </c>
      <c r="I113" s="109">
        <v>524.284269</v>
      </c>
      <c r="J113" s="110">
        <v>1401.33855</v>
      </c>
      <c r="K113" s="109">
        <v>1925.622816</v>
      </c>
      <c r="L113" s="112">
        <v>1302.702365</v>
      </c>
      <c r="M113" s="112">
        <v>400.211316</v>
      </c>
      <c r="N113" s="112">
        <v>1702.913681</v>
      </c>
      <c r="O113" s="298">
        <v>46920.28004</v>
      </c>
      <c r="P113" s="160">
        <v>2787902.0</v>
      </c>
      <c r="Q113" s="160">
        <v>1696195.0</v>
      </c>
      <c r="R113" s="121">
        <f t="shared" si="4"/>
        <v>0.608412706</v>
      </c>
      <c r="S113" s="116">
        <f t="shared" si="5"/>
        <v>0.608412706</v>
      </c>
      <c r="T113" s="448"/>
      <c r="U113" s="449">
        <f t="shared" si="6"/>
        <v>0.4220357143</v>
      </c>
      <c r="V113" s="148"/>
      <c r="W113" s="120">
        <f t="shared" si="7"/>
        <v>0.8084736842</v>
      </c>
      <c r="X113" s="119">
        <v>0.3948</v>
      </c>
      <c r="Y113" s="120">
        <f t="shared" si="8"/>
        <v>0.3948</v>
      </c>
      <c r="Z113" s="310">
        <v>2987796.0</v>
      </c>
      <c r="AA113" s="310">
        <v>1777512.0</v>
      </c>
      <c r="AB113" s="300">
        <f t="shared" si="9"/>
        <v>0.5949241514</v>
      </c>
      <c r="AC113" s="300">
        <f t="shared" si="10"/>
        <v>0.5949241514</v>
      </c>
      <c r="AD113" s="122">
        <v>0.0529</v>
      </c>
      <c r="AE113" s="123">
        <v>0.31</v>
      </c>
      <c r="AF113" s="430">
        <v>0.0876</v>
      </c>
      <c r="AG113" s="124">
        <v>0.0</v>
      </c>
      <c r="AH113" s="124">
        <v>0.20486335</v>
      </c>
      <c r="AI113" s="125">
        <v>0.0</v>
      </c>
      <c r="AJ113" s="125">
        <v>0.269735046</v>
      </c>
      <c r="AK113" s="127">
        <v>0.0</v>
      </c>
      <c r="AL113" s="127">
        <v>0.182658396</v>
      </c>
      <c r="AM113" s="302">
        <v>0.1675</v>
      </c>
      <c r="AN113" s="149" t="str">
        <f>IFERROR(
  AVERAGEIFS(
    'New LF Efficacy'!$J:$J,
    'New LF Efficacy'!$D:$D, $A113,
    'New LF Efficacy'!$F:$F,"DEC", 
    'New LF Efficacy'!$W:$W,"&lt;2016",
    'New LF Efficacy'!$AA:$AA,""),
  ""
)</f>
        <v/>
      </c>
      <c r="AO113" s="115">
        <f t="shared" si="11"/>
        <v>0.31225</v>
      </c>
      <c r="AP113" s="149" t="str">
        <f>IFERROR(
AVERAGEIFS(
'New LF Efficacy'!$J:$J,
'New LF Efficacy'!$D:$D,$A113,
'New LF Efficacy'!$F:$F,"Albendazole &amp; DEC",
'New LF Efficacy'!$W:$W,"&lt;2016",
'New LF Efficacy'!$AA:$AA,""),
"")
</f>
        <v/>
      </c>
      <c r="AQ113" s="115">
        <f t="shared" si="12"/>
        <v>0.4</v>
      </c>
      <c r="AR113" s="149" t="str">
        <f>IFERROR(
AVERAGEIFS(
'New LF Efficacy'!$J:$J,
'New LF Efficacy'!$D:$D,$A113,
'New LF Efficacy'!$F:$F,"Albendazole &amp; Ivermectin", 
'New LF Efficacy'!$W:$W,"&lt;2016",
'New LF Efficacy'!$AA:$AA,""),"")</f>
        <v/>
      </c>
      <c r="AS113" s="115">
        <f t="shared" si="13"/>
        <v>0.2943125</v>
      </c>
      <c r="AT113" s="442" t="str">
        <f>IFERROR(AVERAGEIFS(
'Schist Efficacy'!$O:$O, 
'Schist Efficacy'!$C:$C,$A113, 
'Schist Efficacy'!$D:$D, "Praziquantel",
'Schist Efficacy'!$J:$J,"&lt;2016",
'Schist Efficacy'!$U:$U,""),
"")</f>
        <v/>
      </c>
      <c r="AU113" s="118">
        <f t="shared" si="14"/>
        <v>0.7206464759</v>
      </c>
      <c r="AV113" s="131" t="str">
        <f>IFERROR(AVERAGEIFS(
'STH Efficacy'!$AX:$AX, 
'STH Efficacy'!$AL:$AL, $A113, 
'STH Efficacy'!$AM:$AM, "Albendazole",
'STH Efficacy'!$AS:$AS,"&lt;2016",
'STH Efficacy'!$BP:$BP,""),
"")</f>
        <v/>
      </c>
      <c r="AW113" s="132">
        <f t="shared" si="15"/>
        <v>0.3816333333</v>
      </c>
      <c r="AX113" s="131" t="str">
        <f>IFERROR(AVERAGEIFS(
'STH Efficacy'!$AX:$AX, 
'STH Efficacy'!$AL:$AL, $A113, 
'STH Efficacy'!$AM:$AM, "Mebendazole",
'STH Efficacy'!$AS:$AS,"&lt;2016",
'STH Efficacy'!$BP:$BP,""),
"")</f>
        <v/>
      </c>
      <c r="AY113" s="132">
        <f t="shared" si="16"/>
        <v>0.4859375</v>
      </c>
      <c r="AZ113" s="131" t="str">
        <f>IFERROR(AVERAGEIFS(
'STH Efficacy'!$AX:$AX, 
'STH Efficacy'!$AL:$AL, $A113, 
'STH Efficacy'!$AM:$AM, "Albendazole &amp; Ivermectin",
'STH Efficacy'!$AS:$AS,"&lt;2016",
'STH Efficacy'!$BP:$BP,""),
"")</f>
        <v/>
      </c>
      <c r="BA113" s="133">
        <f t="shared" si="17"/>
        <v>0.47175</v>
      </c>
      <c r="BB113" s="443" t="str">
        <f>IFERROR(AVERAGEIFS(
'STH Efficacy'!$N:$N, 
'STH Efficacy'!$B:$B, $A113, 
'STH Efficacy'!$C:$C, "Albendazole",
'STH Efficacy'!$I:$I,"&lt;2016",
'STH Efficacy'!$AH:$AH,""),
"")</f>
        <v/>
      </c>
      <c r="BC113" s="135">
        <f t="shared" si="18"/>
        <v>0.8699166667</v>
      </c>
      <c r="BD113" s="443" t="str">
        <f>IFERROR(AVERAGEIFS(
'STH Efficacy'!$N:$N, 
'STH Efficacy'!$B:$B, $A113, 
'STH Efficacy'!$C:$C, "Mebendazole",
'STH Efficacy'!$I:$I,"&lt;2016",
'STH Efficacy'!$AH:$AH,""),
"")</f>
        <v/>
      </c>
      <c r="BE113" s="135">
        <f t="shared" si="19"/>
        <v>0.7092416667</v>
      </c>
      <c r="BF113" s="436" t="str">
        <f>IFERROR(AVERAGEIFS(
'STH Efficacy'!$CD:$CD, 
'STH Efficacy'!$BS:$BS, $A113, 
'STH Efficacy'!$BT:$BT, "Albendazole",
'STH Efficacy'!$BZ:$BZ,"&lt;2016",
'STH Efficacy'!$CU:$CU,""),
"")</f>
        <v/>
      </c>
      <c r="BG113" s="136">
        <f t="shared" si="20"/>
        <v>0.9066666667</v>
      </c>
      <c r="BH113" s="436" t="str">
        <f>IFERROR(AVERAGEIFS(
'STH Efficacy'!$CD:$CD, 
'STH Efficacy'!$BS:$BS, $A113, 
'STH Efficacy'!$BT:$BT, "Mebendazole",
'STH Efficacy'!$BZ:$BZ,"&lt;2016",
'STH Efficacy'!$CU:$CU,""),
"")</f>
        <v/>
      </c>
      <c r="BI113" s="136">
        <f t="shared" si="21"/>
        <v>0.8483333333</v>
      </c>
      <c r="BJ113" s="436" t="str">
        <f>IFERROR(AVERAGEIFS(
'STH Efficacy'!$CD:$CD, 
'STH Efficacy'!$BS:$BS, $A113, 
'STH Efficacy'!$BT:$BT, "Albendazole &amp; Ivermectin",
'STH Efficacy'!$BZ:$BZ,"&lt;2016",
'STH Efficacy'!$CU:$CU,""),
"")</f>
        <v/>
      </c>
      <c r="BK113" s="136">
        <f t="shared" si="22"/>
        <v>0.696</v>
      </c>
      <c r="BL113" s="444">
        <f>IFERROR(
  AVERAGEIFS(
    'NEW Onchocerciasis Efficacy'!$AO:$AO,
    'NEW Onchocerciasis Efficacy'!$C:$C,$A113,
    'NEW Onchocerciasis Efficacy'!$D:$D,"Ivermectin",
    'NEW Onchocerciasis Efficacy'!$AR:$AR,"&lt;2016",
    'NEW Onchocerciasis Efficacy'!$BG:$BG,"")
,"")</f>
        <v>0.9258818182</v>
      </c>
      <c r="BM113" s="304">
        <f t="shared" si="23"/>
        <v>0.9258818182</v>
      </c>
      <c r="BN113" s="439">
        <v>1.0</v>
      </c>
      <c r="BO113" s="139">
        <v>0.0</v>
      </c>
      <c r="BP113" s="140">
        <v>1.0</v>
      </c>
      <c r="BQ113" s="141">
        <f t="shared" si="24"/>
        <v>1</v>
      </c>
      <c r="BR113" s="104" t="str">
        <f t="shared" si="25"/>
        <v>1011</v>
      </c>
      <c r="BS113" s="104" t="str">
        <f t="shared" si="26"/>
        <v>MDA1/2+T2</v>
      </c>
      <c r="BT113" s="142" t="str">
        <f t="shared" si="27"/>
        <v>IVM+ALB or DEC +ALB</v>
      </c>
      <c r="BU113" s="104" t="str">
        <f t="shared" si="28"/>
        <v>PZQ</v>
      </c>
      <c r="BV113" s="104" t="str">
        <f t="shared" si="29"/>
        <v>lf+schist+sth</v>
      </c>
      <c r="BW113" s="150" t="str">
        <f t="shared" si="30"/>
        <v/>
      </c>
      <c r="BX113" s="312">
        <f t="shared" si="31"/>
        <v>1988.964322</v>
      </c>
      <c r="BY113" s="162">
        <f t="shared" si="32"/>
        <v>5438.321428</v>
      </c>
      <c r="BZ113" s="152">
        <f t="shared" si="33"/>
        <v>32.83046187</v>
      </c>
      <c r="CA113" s="152" t="str">
        <f t="shared" si="34"/>
        <v/>
      </c>
      <c r="CB113" s="152">
        <f t="shared" si="35"/>
        <v>43.46224725</v>
      </c>
      <c r="CC113" s="323">
        <f t="shared" si="36"/>
        <v>1975.832039</v>
      </c>
      <c r="CD113" s="153" t="str">
        <f t="shared" si="37"/>
        <v/>
      </c>
      <c r="CE113" s="154">
        <f t="shared" si="38"/>
        <v>3799.751861</v>
      </c>
      <c r="CF113" s="154" t="str">
        <f t="shared" si="39"/>
        <v/>
      </c>
      <c r="CG113" s="154">
        <f t="shared" si="40"/>
        <v>1827.886522</v>
      </c>
      <c r="CH113" s="308" t="str">
        <f t="shared" si="41"/>
        <v/>
      </c>
    </row>
    <row r="114">
      <c r="A114" s="103" t="s">
        <v>203</v>
      </c>
      <c r="B114" s="104" t="s">
        <v>88</v>
      </c>
      <c r="C114" s="428">
        <v>6234955.0</v>
      </c>
      <c r="D114" s="161">
        <v>0.0</v>
      </c>
      <c r="E114" s="294">
        <v>7117.373296</v>
      </c>
      <c r="F114" s="295">
        <v>0.220059496</v>
      </c>
      <c r="G114" s="295">
        <v>1.205832623</v>
      </c>
      <c r="H114" s="108">
        <v>1.425892119</v>
      </c>
      <c r="I114" s="109">
        <v>0.0147247</v>
      </c>
      <c r="J114" s="109">
        <v>0.03225784</v>
      </c>
      <c r="K114" s="109">
        <v>0.046982547</v>
      </c>
      <c r="L114" s="112">
        <v>6.030869641</v>
      </c>
      <c r="M114" s="112">
        <v>6.170925496</v>
      </c>
      <c r="N114" s="112">
        <v>12.20179514</v>
      </c>
      <c r="O114" s="298">
        <v>0.0</v>
      </c>
      <c r="P114" s="114"/>
      <c r="Q114" s="114"/>
      <c r="R114" s="121" t="str">
        <f t="shared" si="4"/>
        <v/>
      </c>
      <c r="S114" s="116">
        <f t="shared" si="5"/>
        <v>0.5709301448</v>
      </c>
      <c r="T114" s="448"/>
      <c r="U114" s="449">
        <f t="shared" si="6"/>
        <v>0.739</v>
      </c>
      <c r="V114" s="148"/>
      <c r="W114" s="120">
        <f t="shared" si="7"/>
        <v>0.9933333333</v>
      </c>
      <c r="X114" s="148"/>
      <c r="Y114" s="120">
        <f t="shared" si="8"/>
        <v>0.5301</v>
      </c>
      <c r="Z114" s="299"/>
      <c r="AA114" s="441"/>
      <c r="AB114" s="300" t="str">
        <f t="shared" si="9"/>
        <v/>
      </c>
      <c r="AC114" s="300">
        <f t="shared" si="10"/>
        <v>0.4014082288</v>
      </c>
      <c r="AD114" s="122">
        <v>0.0</v>
      </c>
      <c r="AE114" s="123">
        <v>0.15</v>
      </c>
      <c r="AF114" s="430">
        <v>0.0191</v>
      </c>
      <c r="AG114" s="124">
        <v>0.0</v>
      </c>
      <c r="AH114" s="124">
        <v>0.00569325</v>
      </c>
      <c r="AI114" s="125">
        <v>0.0</v>
      </c>
      <c r="AJ114" s="125">
        <v>6.83374E-6</v>
      </c>
      <c r="AK114" s="127">
        <v>0.0</v>
      </c>
      <c r="AL114" s="127">
        <v>0.008439094</v>
      </c>
      <c r="AM114" s="302">
        <v>0.0</v>
      </c>
      <c r="AN114" s="149" t="str">
        <f>IFERROR(
  AVERAGEIFS(
    'New LF Efficacy'!$J:$J,
    'New LF Efficacy'!$D:$D, $A114,
    'New LF Efficacy'!$F:$F,"DEC", 
    'New LF Efficacy'!$W:$W,"&lt;2016",
    'New LF Efficacy'!$AA:$AA,""),
  ""
)</f>
        <v/>
      </c>
      <c r="AO114" s="115">
        <f t="shared" si="11"/>
        <v>0.3573520833</v>
      </c>
      <c r="AP114" s="149" t="str">
        <f>IFERROR(
AVERAGEIFS(
'New LF Efficacy'!$J:$J,
'New LF Efficacy'!$D:$D,$A114,
'New LF Efficacy'!$F:$F,"Albendazole &amp; DEC",
'New LF Efficacy'!$W:$W,"&lt;2016",
'New LF Efficacy'!$AA:$AA,""),
"")
</f>
        <v/>
      </c>
      <c r="AQ114" s="115">
        <f t="shared" si="12"/>
        <v>0.7935</v>
      </c>
      <c r="AR114" s="149" t="str">
        <f>IFERROR(
AVERAGEIFS(
'New LF Efficacy'!$J:$J,
'New LF Efficacy'!$D:$D,$A114,
'New LF Efficacy'!$F:$F,"Albendazole &amp; Ivermectin", 
'New LF Efficacy'!$W:$W,"&lt;2016",
'New LF Efficacy'!$AA:$AA,""),"")</f>
        <v/>
      </c>
      <c r="AS114" s="115">
        <f t="shared" si="13"/>
        <v>0.37153125</v>
      </c>
      <c r="AT114" s="442" t="str">
        <f>IFERROR(AVERAGEIFS(
'Schist Efficacy'!$O:$O, 
'Schist Efficacy'!$C:$C,$A114, 
'Schist Efficacy'!$D:$D, "Praziquantel",
'Schist Efficacy'!$J:$J,"&lt;2016",
'Schist Efficacy'!$U:$U,""),
"")</f>
        <v/>
      </c>
      <c r="AU114" s="118">
        <f t="shared" si="14"/>
        <v>0.7763141026</v>
      </c>
      <c r="AV114" s="131" t="str">
        <f>IFERROR(AVERAGEIFS(
'STH Efficacy'!$AX:$AX, 
'STH Efficacy'!$AL:$AL, $A114, 
'STH Efficacy'!$AM:$AM, "Albendazole",
'STH Efficacy'!$AS:$AS,"&lt;2016",
'STH Efficacy'!$BP:$BP,""),
"")</f>
        <v/>
      </c>
      <c r="AW114" s="132">
        <f t="shared" si="15"/>
        <v>0.4143846154</v>
      </c>
      <c r="AX114" s="131" t="str">
        <f>IFERROR(AVERAGEIFS(
'STH Efficacy'!$AX:$AX, 
'STH Efficacy'!$AL:$AL, $A114, 
'STH Efficacy'!$AM:$AM, "Mebendazole",
'STH Efficacy'!$AS:$AS,"&lt;2016",
'STH Efficacy'!$BP:$BP,""),
"")</f>
        <v/>
      </c>
      <c r="AY114" s="132">
        <f t="shared" si="16"/>
        <v>0.4691770833</v>
      </c>
      <c r="AZ114" s="131" t="str">
        <f>IFERROR(AVERAGEIFS(
'STH Efficacy'!$AX:$AX, 
'STH Efficacy'!$AL:$AL, $A114, 
'STH Efficacy'!$AM:$AM, "Albendazole &amp; Ivermectin",
'STH Efficacy'!$AS:$AS,"&lt;2016",
'STH Efficacy'!$BP:$BP,""),
"")</f>
        <v/>
      </c>
      <c r="BA114" s="133">
        <f t="shared" si="17"/>
        <v>0.597625</v>
      </c>
      <c r="BB114" s="443" t="str">
        <f>IFERROR(AVERAGEIFS(
'STH Efficacy'!$N:$N, 
'STH Efficacy'!$B:$B, $A114, 
'STH Efficacy'!$C:$C, "Albendazole",
'STH Efficacy'!$I:$I,"&lt;2016",
'STH Efficacy'!$AH:$AH,""),
"")</f>
        <v/>
      </c>
      <c r="BC114" s="135">
        <f t="shared" si="18"/>
        <v>0.7613712121</v>
      </c>
      <c r="BD114" s="443" t="str">
        <f>IFERROR(AVERAGEIFS(
'STH Efficacy'!$N:$N, 
'STH Efficacy'!$B:$B, $A114, 
'STH Efficacy'!$C:$C, "Mebendazole",
'STH Efficacy'!$I:$I,"&lt;2016",
'STH Efficacy'!$AH:$AH,""),
"")</f>
        <v/>
      </c>
      <c r="BE114" s="135">
        <f t="shared" si="19"/>
        <v>0.4362466667</v>
      </c>
      <c r="BF114" s="436" t="str">
        <f>IFERROR(AVERAGEIFS(
'STH Efficacy'!$CD:$CD, 
'STH Efficacy'!$BS:$BS, $A114, 
'STH Efficacy'!$BT:$BT, "Albendazole",
'STH Efficacy'!$BZ:$BZ,"&lt;2016",
'STH Efficacy'!$CU:$CU,""),
"")</f>
        <v/>
      </c>
      <c r="BG114" s="136">
        <f t="shared" si="20"/>
        <v>0.955</v>
      </c>
      <c r="BH114" s="436" t="str">
        <f>IFERROR(AVERAGEIFS(
'STH Efficacy'!$CD:$CD, 
'STH Efficacy'!$BS:$BS, $A114, 
'STH Efficacy'!$BT:$BT, "Mebendazole",
'STH Efficacy'!$BZ:$BZ,"&lt;2016",
'STH Efficacy'!$CU:$CU,""),
"")</f>
        <v/>
      </c>
      <c r="BI114" s="136">
        <f t="shared" si="21"/>
        <v>1</v>
      </c>
      <c r="BJ114" s="436" t="str">
        <f>IFERROR(AVERAGEIFS(
'STH Efficacy'!$CD:$CD, 
'STH Efficacy'!$BS:$BS, $A114, 
'STH Efficacy'!$BT:$BT, "Albendazole &amp; Ivermectin",
'STH Efficacy'!$BZ:$BZ,"&lt;2016",
'STH Efficacy'!$CU:$CU,""),
"")</f>
        <v/>
      </c>
      <c r="BK114" s="136">
        <f t="shared" si="22"/>
        <v>0.848</v>
      </c>
      <c r="BL114" s="444" t="str">
        <f>IFERROR(
  AVERAGEIFS(
    'NEW Onchocerciasis Efficacy'!$AO:$AO,
    'NEW Onchocerciasis Efficacy'!$C:$C,$A114,
    'NEW Onchocerciasis Efficacy'!$D:$D,"Ivermectin",
    'NEW Onchocerciasis Efficacy'!$AR:$AR,"&lt;2016",
    'NEW Onchocerciasis Efficacy'!$BG:$BG,"")
,"")</f>
        <v/>
      </c>
      <c r="BM114" s="304">
        <f t="shared" si="23"/>
        <v>0.7808368939</v>
      </c>
      <c r="BN114" s="439">
        <v>0.0</v>
      </c>
      <c r="BO114" s="139">
        <v>0.0</v>
      </c>
      <c r="BP114" s="140">
        <v>0.0</v>
      </c>
      <c r="BQ114" s="141">
        <f t="shared" si="24"/>
        <v>0</v>
      </c>
      <c r="BR114" s="104" t="str">
        <f t="shared" si="25"/>
        <v>0000</v>
      </c>
      <c r="BS114" s="104" t="str">
        <f t="shared" si="26"/>
        <v>no action required</v>
      </c>
      <c r="BT114" s="142" t="str">
        <f t="shared" si="27"/>
        <v/>
      </c>
      <c r="BU114" s="104" t="str">
        <f t="shared" si="28"/>
        <v/>
      </c>
      <c r="BV114" s="104" t="str">
        <f t="shared" si="29"/>
        <v>none</v>
      </c>
      <c r="BW114" s="150" t="str">
        <f t="shared" si="30"/>
        <v/>
      </c>
      <c r="BX114" s="150" t="str">
        <f t="shared" si="31"/>
        <v/>
      </c>
      <c r="BY114" s="151" t="str">
        <f t="shared" si="32"/>
        <v/>
      </c>
      <c r="BZ114" s="152" t="str">
        <f t="shared" si="33"/>
        <v/>
      </c>
      <c r="CA114" s="152" t="str">
        <f t="shared" si="34"/>
        <v/>
      </c>
      <c r="CB114" s="152" t="str">
        <f t="shared" si="35"/>
        <v/>
      </c>
      <c r="CC114" s="153" t="str">
        <f t="shared" si="36"/>
        <v/>
      </c>
      <c r="CD114" s="153" t="str">
        <f t="shared" si="37"/>
        <v/>
      </c>
      <c r="CE114" s="154" t="str">
        <f t="shared" si="38"/>
        <v/>
      </c>
      <c r="CF114" s="154" t="str">
        <f t="shared" si="39"/>
        <v/>
      </c>
      <c r="CG114" s="154" t="str">
        <f t="shared" si="40"/>
        <v/>
      </c>
      <c r="CH114" s="308" t="str">
        <f t="shared" si="41"/>
        <v/>
      </c>
    </row>
    <row r="115">
      <c r="A115" s="103" t="s">
        <v>204</v>
      </c>
      <c r="B115" s="104" t="s">
        <v>90</v>
      </c>
      <c r="C115" s="428">
        <v>2904910.0</v>
      </c>
      <c r="D115" s="161">
        <v>0.0</v>
      </c>
      <c r="E115" s="294">
        <v>0.0</v>
      </c>
      <c r="F115" s="307">
        <v>0.0</v>
      </c>
      <c r="G115" s="309">
        <v>0.0</v>
      </c>
      <c r="H115" s="108">
        <v>0.0</v>
      </c>
      <c r="I115" s="109">
        <v>0.0</v>
      </c>
      <c r="J115" s="109">
        <v>0.0</v>
      </c>
      <c r="K115" s="109">
        <v>0.0</v>
      </c>
      <c r="L115" s="112">
        <v>0.063013749</v>
      </c>
      <c r="M115" s="112">
        <v>0.038980752</v>
      </c>
      <c r="N115" s="112">
        <v>0.101994502</v>
      </c>
      <c r="O115" s="298">
        <v>0.0</v>
      </c>
      <c r="P115" s="114"/>
      <c r="Q115" s="114"/>
      <c r="R115" s="121" t="str">
        <f t="shared" si="4"/>
        <v/>
      </c>
      <c r="S115" s="116">
        <f t="shared" si="5"/>
        <v>0.5709301448</v>
      </c>
      <c r="T115" s="117"/>
      <c r="U115" s="118">
        <f t="shared" si="6"/>
        <v>0.4791888889</v>
      </c>
      <c r="V115" s="148"/>
      <c r="W115" s="120">
        <f t="shared" si="7"/>
        <v>0.0223</v>
      </c>
      <c r="X115" s="148"/>
      <c r="Y115" s="120">
        <f t="shared" si="8"/>
        <v>0.598275</v>
      </c>
      <c r="Z115" s="299"/>
      <c r="AA115" s="441"/>
      <c r="AB115" s="300" t="str">
        <f t="shared" si="9"/>
        <v/>
      </c>
      <c r="AC115" s="300">
        <f t="shared" si="10"/>
        <v>0.6890056172</v>
      </c>
      <c r="AD115" s="122">
        <v>0.0</v>
      </c>
      <c r="AE115" s="123">
        <v>0.0</v>
      </c>
      <c r="AF115" s="430">
        <v>0.0</v>
      </c>
      <c r="AG115" s="124">
        <v>0.0</v>
      </c>
      <c r="AH115" s="124">
        <v>0.0</v>
      </c>
      <c r="AI115" s="125">
        <v>0.0</v>
      </c>
      <c r="AJ115" s="125">
        <v>0.0</v>
      </c>
      <c r="AK115" s="127">
        <v>0.0</v>
      </c>
      <c r="AL115" s="127">
        <v>0.0</v>
      </c>
      <c r="AM115" s="302">
        <v>0.0</v>
      </c>
      <c r="AN115" s="149" t="str">
        <f>IFERROR(
  AVERAGEIFS(
    'New LF Efficacy'!$J:$J,
    'New LF Efficacy'!$D:$D, $A115,
    'New LF Efficacy'!$F:$F,"DEC", 
    'New LF Efficacy'!$W:$W,"&lt;2016",
    'New LF Efficacy'!$AA:$AA,""),
  ""
)</f>
        <v/>
      </c>
      <c r="AO115" s="115">
        <f t="shared" si="11"/>
        <v>0.3573520833</v>
      </c>
      <c r="AP115" s="149" t="str">
        <f>IFERROR(
AVERAGEIFS(
'New LF Efficacy'!$J:$J,
'New LF Efficacy'!$D:$D,$A115,
'New LF Efficacy'!$F:$F,"Albendazole &amp; DEC",
'New LF Efficacy'!$W:$W,"&lt;2016",
'New LF Efficacy'!$AA:$AA,""),
"")
</f>
        <v/>
      </c>
      <c r="AQ115" s="115">
        <f t="shared" si="12"/>
        <v>0.5143541667</v>
      </c>
      <c r="AR115" s="149" t="str">
        <f>IFERROR(
AVERAGEIFS(
'New LF Efficacy'!$J:$J,
'New LF Efficacy'!$D:$D,$A115,
'New LF Efficacy'!$F:$F,"Albendazole &amp; Ivermectin", 
'New LF Efficacy'!$W:$W,"&lt;2016",
'New LF Efficacy'!$AA:$AA,""),"")</f>
        <v/>
      </c>
      <c r="AS115" s="115">
        <f t="shared" si="13"/>
        <v>0.37153125</v>
      </c>
      <c r="AT115" s="442" t="str">
        <f>IFERROR(AVERAGEIFS(
'Schist Efficacy'!$O:$O, 
'Schist Efficacy'!$C:$C,$A115, 
'Schist Efficacy'!$D:$D, "Praziquantel",
'Schist Efficacy'!$J:$J,"&lt;2016",
'Schist Efficacy'!$U:$U,""),
"")</f>
        <v/>
      </c>
      <c r="AU115" s="118">
        <f t="shared" si="14"/>
        <v>0.655</v>
      </c>
      <c r="AV115" s="131" t="str">
        <f>IFERROR(AVERAGEIFS(
'STH Efficacy'!$AX:$AX, 
'STH Efficacy'!$AL:$AL, $A115, 
'STH Efficacy'!$AM:$AM, "Albendazole",
'STH Efficacy'!$AS:$AS,"&lt;2016",
'STH Efficacy'!$BP:$BP,""),
"")</f>
        <v/>
      </c>
      <c r="AW115" s="132">
        <f t="shared" si="15"/>
        <v>0.4143846154</v>
      </c>
      <c r="AX115" s="131" t="str">
        <f>IFERROR(AVERAGEIFS(
'STH Efficacy'!$AX:$AX, 
'STH Efficacy'!$AL:$AL, $A115, 
'STH Efficacy'!$AM:$AM, "Mebendazole",
'STH Efficacy'!$AS:$AS,"&lt;2016",
'STH Efficacy'!$BP:$BP,""),
"")</f>
        <v/>
      </c>
      <c r="AY115" s="132">
        <f t="shared" si="16"/>
        <v>0.4691770833</v>
      </c>
      <c r="AZ115" s="131" t="str">
        <f>IFERROR(AVERAGEIFS(
'STH Efficacy'!$AX:$AX, 
'STH Efficacy'!$AL:$AL, $A115, 
'STH Efficacy'!$AM:$AM, "Albendazole &amp; Ivermectin",
'STH Efficacy'!$AS:$AS,"&lt;2016",
'STH Efficacy'!$BP:$BP,""),
"")</f>
        <v/>
      </c>
      <c r="BA115" s="133">
        <f t="shared" si="17"/>
        <v>0.597625</v>
      </c>
      <c r="BB115" s="443" t="str">
        <f>IFERROR(AVERAGEIFS(
'STH Efficacy'!$N:$N, 
'STH Efficacy'!$B:$B, $A115, 
'STH Efficacy'!$C:$C, "Albendazole",
'STH Efficacy'!$I:$I,"&lt;2016",
'STH Efficacy'!$AH:$AH,""),
"")</f>
        <v/>
      </c>
      <c r="BC115" s="135">
        <f t="shared" si="18"/>
        <v>0.7613712121</v>
      </c>
      <c r="BD115" s="443" t="str">
        <f>IFERROR(AVERAGEIFS(
'STH Efficacy'!$N:$N, 
'STH Efficacy'!$B:$B, $A115, 
'STH Efficacy'!$C:$C, "Mebendazole",
'STH Efficacy'!$I:$I,"&lt;2016",
'STH Efficacy'!$AH:$AH,""),
"")</f>
        <v/>
      </c>
      <c r="BE115" s="135">
        <f t="shared" si="19"/>
        <v>0.4362466667</v>
      </c>
      <c r="BF115" s="436" t="str">
        <f>IFERROR(AVERAGEIFS(
'STH Efficacy'!$CD:$CD, 
'STH Efficacy'!$BS:$BS, $A115, 
'STH Efficacy'!$BT:$BT, "Albendazole",
'STH Efficacy'!$BZ:$BZ,"&lt;2016",
'STH Efficacy'!$CU:$CU,""),
"")</f>
        <v/>
      </c>
      <c r="BG115" s="136">
        <f t="shared" si="20"/>
        <v>0.9216027778</v>
      </c>
      <c r="BH115" s="436" t="str">
        <f>IFERROR(AVERAGEIFS(
'STH Efficacy'!$CD:$CD, 
'STH Efficacy'!$BS:$BS, $A115, 
'STH Efficacy'!$BT:$BT, "Mebendazole",
'STH Efficacy'!$BZ:$BZ,"&lt;2016",
'STH Efficacy'!$CU:$CU,""),
"")</f>
        <v/>
      </c>
      <c r="BI115" s="136">
        <f t="shared" si="21"/>
        <v>0.8866041667</v>
      </c>
      <c r="BJ115" s="436" t="str">
        <f>IFERROR(AVERAGEIFS(
'STH Efficacy'!$CD:$CD, 
'STH Efficacy'!$BS:$BS, $A115, 
'STH Efficacy'!$BT:$BT, "Albendazole &amp; Ivermectin",
'STH Efficacy'!$BZ:$BZ,"&lt;2016",
'STH Efficacy'!$CU:$CU,""),
"")</f>
        <v/>
      </c>
      <c r="BK115" s="136">
        <f t="shared" si="22"/>
        <v>0.848</v>
      </c>
      <c r="BL115" s="444" t="str">
        <f>IFERROR(
  AVERAGEIFS(
    'NEW Onchocerciasis Efficacy'!$AO:$AO,
    'NEW Onchocerciasis Efficacy'!$C:$C,$A115,
    'NEW Onchocerciasis Efficacy'!$D:$D,"Ivermectin",
    'NEW Onchocerciasis Efficacy'!$AR:$AR,"&lt;2016",
    'NEW Onchocerciasis Efficacy'!$BG:$BG,"")
,"")</f>
        <v/>
      </c>
      <c r="BM115" s="304">
        <f t="shared" si="23"/>
        <v>0.7808368939</v>
      </c>
      <c r="BN115" s="439">
        <v>0.0</v>
      </c>
      <c r="BO115" s="139">
        <v>0.0</v>
      </c>
      <c r="BP115" s="140">
        <v>0.0</v>
      </c>
      <c r="BQ115" s="141">
        <f t="shared" si="24"/>
        <v>0</v>
      </c>
      <c r="BR115" s="104" t="str">
        <f t="shared" si="25"/>
        <v>0000</v>
      </c>
      <c r="BS115" s="104" t="str">
        <f t="shared" si="26"/>
        <v>no action required</v>
      </c>
      <c r="BT115" s="142" t="str">
        <f t="shared" si="27"/>
        <v/>
      </c>
      <c r="BU115" s="104" t="str">
        <f t="shared" si="28"/>
        <v/>
      </c>
      <c r="BV115" s="104" t="str">
        <f t="shared" si="29"/>
        <v>none</v>
      </c>
      <c r="BW115" s="150" t="str">
        <f t="shared" si="30"/>
        <v/>
      </c>
      <c r="BX115" s="150" t="str">
        <f t="shared" si="31"/>
        <v/>
      </c>
      <c r="BY115" s="151" t="str">
        <f t="shared" si="32"/>
        <v/>
      </c>
      <c r="BZ115" s="152" t="str">
        <f t="shared" si="33"/>
        <v/>
      </c>
      <c r="CA115" s="152" t="str">
        <f t="shared" si="34"/>
        <v/>
      </c>
      <c r="CB115" s="152" t="str">
        <f t="shared" si="35"/>
        <v/>
      </c>
      <c r="CC115" s="153" t="str">
        <f t="shared" si="36"/>
        <v/>
      </c>
      <c r="CD115" s="153" t="str">
        <f t="shared" si="37"/>
        <v/>
      </c>
      <c r="CE115" s="154" t="str">
        <f t="shared" si="38"/>
        <v/>
      </c>
      <c r="CF115" s="154" t="str">
        <f t="shared" si="39"/>
        <v/>
      </c>
      <c r="CG115" s="154" t="str">
        <f t="shared" si="40"/>
        <v/>
      </c>
      <c r="CH115" s="308" t="str">
        <f t="shared" si="41"/>
        <v/>
      </c>
    </row>
    <row r="116">
      <c r="A116" s="103" t="s">
        <v>205</v>
      </c>
      <c r="B116" s="104" t="s">
        <v>90</v>
      </c>
      <c r="C116" s="428">
        <v>569604.0</v>
      </c>
      <c r="D116" s="161">
        <v>0.0</v>
      </c>
      <c r="E116" s="294">
        <v>0.0</v>
      </c>
      <c r="F116" s="307">
        <v>0.0</v>
      </c>
      <c r="G116" s="309">
        <v>0.0</v>
      </c>
      <c r="H116" s="108">
        <v>0.0</v>
      </c>
      <c r="I116" s="109">
        <v>0.0</v>
      </c>
      <c r="J116" s="109">
        <v>0.0</v>
      </c>
      <c r="K116" s="109">
        <v>0.0</v>
      </c>
      <c r="L116" s="112">
        <v>0.0</v>
      </c>
      <c r="M116" s="112">
        <v>0.0</v>
      </c>
      <c r="N116" s="112">
        <v>0.0</v>
      </c>
      <c r="O116" s="298">
        <v>0.0</v>
      </c>
      <c r="P116" s="114"/>
      <c r="Q116" s="114"/>
      <c r="R116" s="121" t="str">
        <f t="shared" si="4"/>
        <v/>
      </c>
      <c r="S116" s="116">
        <f t="shared" si="5"/>
        <v>0.5709301448</v>
      </c>
      <c r="T116" s="117"/>
      <c r="U116" s="118">
        <f t="shared" si="6"/>
        <v>0.4791888889</v>
      </c>
      <c r="V116" s="148"/>
      <c r="W116" s="120">
        <f t="shared" si="7"/>
        <v>0.0223</v>
      </c>
      <c r="X116" s="148"/>
      <c r="Y116" s="120">
        <f t="shared" si="8"/>
        <v>0.598275</v>
      </c>
      <c r="Z116" s="299"/>
      <c r="AA116" s="441"/>
      <c r="AB116" s="300" t="str">
        <f t="shared" si="9"/>
        <v/>
      </c>
      <c r="AC116" s="300">
        <f t="shared" si="10"/>
        <v>0.6890056172</v>
      </c>
      <c r="AD116" s="122">
        <v>0.0</v>
      </c>
      <c r="AE116" s="123">
        <v>0.0</v>
      </c>
      <c r="AF116" s="430">
        <v>0.0</v>
      </c>
      <c r="AG116" s="316">
        <v>0.0</v>
      </c>
      <c r="AH116" s="316">
        <v>0.0</v>
      </c>
      <c r="AI116" s="317">
        <v>0.0</v>
      </c>
      <c r="AJ116" s="317">
        <v>0.0</v>
      </c>
      <c r="AK116" s="319">
        <v>0.0</v>
      </c>
      <c r="AL116" s="319">
        <v>0.0</v>
      </c>
      <c r="AM116" s="302">
        <v>0.0</v>
      </c>
      <c r="AN116" s="149" t="str">
        <f>IFERROR(
  AVERAGEIFS(
    'New LF Efficacy'!$J:$J,
    'New LF Efficacy'!$D:$D, $A116,
    'New LF Efficacy'!$F:$F,"DEC", 
    'New LF Efficacy'!$W:$W,"&lt;2016",
    'New LF Efficacy'!$AA:$AA,""),
  ""
)</f>
        <v/>
      </c>
      <c r="AO116" s="115">
        <f t="shared" si="11"/>
        <v>0.3573520833</v>
      </c>
      <c r="AP116" s="149" t="str">
        <f>IFERROR(
AVERAGEIFS(
'New LF Efficacy'!$J:$J,
'New LF Efficacy'!$D:$D,$A116,
'New LF Efficacy'!$F:$F,"Albendazole &amp; DEC",
'New LF Efficacy'!$W:$W,"&lt;2016",
'New LF Efficacy'!$AA:$AA,""),
"")
</f>
        <v/>
      </c>
      <c r="AQ116" s="115">
        <f t="shared" si="12"/>
        <v>0.5143541667</v>
      </c>
      <c r="AR116" s="149" t="str">
        <f>IFERROR(
AVERAGEIFS(
'New LF Efficacy'!$J:$J,
'New LF Efficacy'!$D:$D,$A116,
'New LF Efficacy'!$F:$F,"Albendazole &amp; Ivermectin", 
'New LF Efficacy'!$W:$W,"&lt;2016",
'New LF Efficacy'!$AA:$AA,""),"")</f>
        <v/>
      </c>
      <c r="AS116" s="115">
        <f t="shared" si="13"/>
        <v>0.37153125</v>
      </c>
      <c r="AT116" s="442" t="str">
        <f>IFERROR(AVERAGEIFS(
'Schist Efficacy'!$O:$O, 
'Schist Efficacy'!$C:$C,$A116, 
'Schist Efficacy'!$D:$D, "Praziquantel",
'Schist Efficacy'!$J:$J,"&lt;2016",
'Schist Efficacy'!$U:$U,""),
"")</f>
        <v/>
      </c>
      <c r="AU116" s="118">
        <f t="shared" si="14"/>
        <v>0.655</v>
      </c>
      <c r="AV116" s="131" t="str">
        <f>IFERROR(AVERAGEIFS(
'STH Efficacy'!$AX:$AX, 
'STH Efficacy'!$AL:$AL, $A116, 
'STH Efficacy'!$AM:$AM, "Albendazole",
'STH Efficacy'!$AS:$AS,"&lt;2016",
'STH Efficacy'!$BP:$BP,""),
"")</f>
        <v/>
      </c>
      <c r="AW116" s="132">
        <f t="shared" si="15"/>
        <v>0.4143846154</v>
      </c>
      <c r="AX116" s="131" t="str">
        <f>IFERROR(AVERAGEIFS(
'STH Efficacy'!$AX:$AX, 
'STH Efficacy'!$AL:$AL, $A116, 
'STH Efficacy'!$AM:$AM, "Mebendazole",
'STH Efficacy'!$AS:$AS,"&lt;2016",
'STH Efficacy'!$BP:$BP,""),
"")</f>
        <v/>
      </c>
      <c r="AY116" s="132">
        <f t="shared" si="16"/>
        <v>0.4691770833</v>
      </c>
      <c r="AZ116" s="131" t="str">
        <f>IFERROR(AVERAGEIFS(
'STH Efficacy'!$AX:$AX, 
'STH Efficacy'!$AL:$AL, $A116, 
'STH Efficacy'!$AM:$AM, "Albendazole &amp; Ivermectin",
'STH Efficacy'!$AS:$AS,"&lt;2016",
'STH Efficacy'!$BP:$BP,""),
"")</f>
        <v/>
      </c>
      <c r="BA116" s="133">
        <f t="shared" si="17"/>
        <v>0.597625</v>
      </c>
      <c r="BB116" s="443" t="str">
        <f>IFERROR(AVERAGEIFS(
'STH Efficacy'!$N:$N, 
'STH Efficacy'!$B:$B, $A116, 
'STH Efficacy'!$C:$C, "Albendazole",
'STH Efficacy'!$I:$I,"&lt;2016",
'STH Efficacy'!$AH:$AH,""),
"")</f>
        <v/>
      </c>
      <c r="BC116" s="135">
        <f t="shared" si="18"/>
        <v>0.7613712121</v>
      </c>
      <c r="BD116" s="443" t="str">
        <f>IFERROR(AVERAGEIFS(
'STH Efficacy'!$N:$N, 
'STH Efficacy'!$B:$B, $A116, 
'STH Efficacy'!$C:$C, "Mebendazole",
'STH Efficacy'!$I:$I,"&lt;2016",
'STH Efficacy'!$AH:$AH,""),
"")</f>
        <v/>
      </c>
      <c r="BE116" s="135">
        <f t="shared" si="19"/>
        <v>0.4362466667</v>
      </c>
      <c r="BF116" s="436" t="str">
        <f>IFERROR(AVERAGEIFS(
'STH Efficacy'!$CD:$CD, 
'STH Efficacy'!$BS:$BS, $A116, 
'STH Efficacy'!$BT:$BT, "Albendazole",
'STH Efficacy'!$BZ:$BZ,"&lt;2016",
'STH Efficacy'!$CU:$CU,""),
"")</f>
        <v/>
      </c>
      <c r="BG116" s="136">
        <f t="shared" si="20"/>
        <v>0.9216027778</v>
      </c>
      <c r="BH116" s="436" t="str">
        <f>IFERROR(AVERAGEIFS(
'STH Efficacy'!$CD:$CD, 
'STH Efficacy'!$BS:$BS, $A116, 
'STH Efficacy'!$BT:$BT, "Mebendazole",
'STH Efficacy'!$BZ:$BZ,"&lt;2016",
'STH Efficacy'!$CU:$CU,""),
"")</f>
        <v/>
      </c>
      <c r="BI116" s="136">
        <f t="shared" si="21"/>
        <v>0.8866041667</v>
      </c>
      <c r="BJ116" s="436" t="str">
        <f>IFERROR(AVERAGEIFS(
'STH Efficacy'!$CD:$CD, 
'STH Efficacy'!$BS:$BS, $A116, 
'STH Efficacy'!$BT:$BT, "Albendazole &amp; Ivermectin",
'STH Efficacy'!$BZ:$BZ,"&lt;2016",
'STH Efficacy'!$CU:$CU,""),
"")</f>
        <v/>
      </c>
      <c r="BK116" s="136">
        <f t="shared" si="22"/>
        <v>0.848</v>
      </c>
      <c r="BL116" s="444" t="str">
        <f>IFERROR(
  AVERAGEIFS(
    'NEW Onchocerciasis Efficacy'!$AO:$AO,
    'NEW Onchocerciasis Efficacy'!$C:$C,$A116,
    'NEW Onchocerciasis Efficacy'!$D:$D,"Ivermectin",
    'NEW Onchocerciasis Efficacy'!$AR:$AR,"&lt;2016",
    'NEW Onchocerciasis Efficacy'!$BG:$BG,"")
,"")</f>
        <v/>
      </c>
      <c r="BM116" s="304">
        <f t="shared" si="23"/>
        <v>0.7808368939</v>
      </c>
      <c r="BN116" s="439">
        <v>0.0</v>
      </c>
      <c r="BO116" s="139">
        <v>1.0</v>
      </c>
      <c r="BP116" s="140">
        <v>0.0</v>
      </c>
      <c r="BQ116" s="141">
        <f t="shared" si="24"/>
        <v>0</v>
      </c>
      <c r="BR116" s="104" t="str">
        <f t="shared" si="25"/>
        <v>0100</v>
      </c>
      <c r="BS116" s="104" t="str">
        <f t="shared" si="26"/>
        <v>MDA3</v>
      </c>
      <c r="BT116" s="142" t="str">
        <f t="shared" si="27"/>
        <v>IVM</v>
      </c>
      <c r="BU116" s="104" t="str">
        <f t="shared" si="28"/>
        <v/>
      </c>
      <c r="BV116" s="104" t="str">
        <f t="shared" si="29"/>
        <v>onch only</v>
      </c>
      <c r="BW116" s="150" t="str">
        <f t="shared" si="30"/>
        <v/>
      </c>
      <c r="BX116" s="150" t="str">
        <f t="shared" si="31"/>
        <v/>
      </c>
      <c r="BY116" s="151" t="str">
        <f t="shared" si="32"/>
        <v/>
      </c>
      <c r="BZ116" s="152" t="str">
        <f t="shared" si="33"/>
        <v/>
      </c>
      <c r="CA116" s="152" t="str">
        <f t="shared" si="34"/>
        <v/>
      </c>
      <c r="CB116" s="152" t="str">
        <f t="shared" si="35"/>
        <v/>
      </c>
      <c r="CC116" s="153" t="str">
        <f t="shared" si="36"/>
        <v/>
      </c>
      <c r="CD116" s="153" t="str">
        <f t="shared" si="37"/>
        <v/>
      </c>
      <c r="CE116" s="154" t="str">
        <f t="shared" si="38"/>
        <v/>
      </c>
      <c r="CF116" s="154" t="str">
        <f t="shared" si="39"/>
        <v/>
      </c>
      <c r="CG116" s="154" t="str">
        <f t="shared" si="40"/>
        <v/>
      </c>
      <c r="CH116" s="313">
        <f t="shared" si="41"/>
        <v>0</v>
      </c>
    </row>
    <row r="117">
      <c r="A117" s="103" t="s">
        <v>206</v>
      </c>
      <c r="B117" s="104" t="s">
        <v>92</v>
      </c>
      <c r="C117" s="428">
        <v>2.4234088E7</v>
      </c>
      <c r="D117" s="161">
        <v>23686.449999999997</v>
      </c>
      <c r="E117" s="294">
        <v>34675.47769</v>
      </c>
      <c r="F117" s="295">
        <v>1079.962588</v>
      </c>
      <c r="G117" s="322">
        <v>3945.652111</v>
      </c>
      <c r="H117" s="108">
        <v>5025.614699</v>
      </c>
      <c r="I117" s="109">
        <v>688.278103</v>
      </c>
      <c r="J117" s="110">
        <v>1713.45775</v>
      </c>
      <c r="K117" s="110">
        <v>2401.735852</v>
      </c>
      <c r="L117" s="111">
        <v>15766.17636</v>
      </c>
      <c r="M117" s="111">
        <v>7354.355692</v>
      </c>
      <c r="N117" s="112">
        <v>23120.53205</v>
      </c>
      <c r="O117" s="298">
        <v>0.0</v>
      </c>
      <c r="P117" s="160">
        <v>1.8813918E7</v>
      </c>
      <c r="Q117" s="160">
        <v>8800912.0</v>
      </c>
      <c r="R117" s="121">
        <f t="shared" si="4"/>
        <v>0.4677873051</v>
      </c>
      <c r="S117" s="116">
        <f t="shared" si="5"/>
        <v>0.4677873051</v>
      </c>
      <c r="T117" s="118">
        <v>0.179</v>
      </c>
      <c r="U117" s="118">
        <f t="shared" si="6"/>
        <v>0.179</v>
      </c>
      <c r="V117" s="119">
        <v>0.9779</v>
      </c>
      <c r="W117" s="120">
        <f t="shared" si="7"/>
        <v>0.9779</v>
      </c>
      <c r="X117" s="119">
        <v>0.6135</v>
      </c>
      <c r="Y117" s="120">
        <f t="shared" si="8"/>
        <v>0.6135</v>
      </c>
      <c r="Z117" s="299"/>
      <c r="AA117" s="441"/>
      <c r="AB117" s="300" t="str">
        <f t="shared" si="9"/>
        <v/>
      </c>
      <c r="AC117" s="300">
        <f t="shared" si="10"/>
        <v>0.6375203308</v>
      </c>
      <c r="AD117" s="122">
        <v>0.0234</v>
      </c>
      <c r="AE117" s="123">
        <v>0.13</v>
      </c>
      <c r="AF117" s="430">
        <v>0.0455</v>
      </c>
      <c r="AG117" s="124">
        <v>0.1824</v>
      </c>
      <c r="AH117" s="124">
        <v>0.28329945</v>
      </c>
      <c r="AI117" s="125">
        <v>0.0482</v>
      </c>
      <c r="AJ117" s="125">
        <v>0.076849329</v>
      </c>
      <c r="AK117" s="127">
        <v>0.1978</v>
      </c>
      <c r="AL117" s="127">
        <v>0.303287303</v>
      </c>
      <c r="AM117" s="302">
        <v>0.0</v>
      </c>
      <c r="AN117" s="149" t="str">
        <f>IFERROR(
  AVERAGEIFS(
    'New LF Efficacy'!$J:$J,
    'New LF Efficacy'!$D:$D, $A117,
    'New LF Efficacy'!$F:$F,"DEC", 
    'New LF Efficacy'!$W:$W,"&lt;2016",
    'New LF Efficacy'!$AA:$AA,""),
  ""
)</f>
        <v/>
      </c>
      <c r="AO117" s="115">
        <f t="shared" si="11"/>
        <v>0.31225</v>
      </c>
      <c r="AP117" s="149" t="str">
        <f>IFERROR(
AVERAGEIFS(
'New LF Efficacy'!$J:$J,
'New LF Efficacy'!$D:$D,$A117,
'New LF Efficacy'!$F:$F,"Albendazole &amp; DEC",
'New LF Efficacy'!$W:$W,"&lt;2016",
'New LF Efficacy'!$AA:$AA,""),
"")
</f>
        <v/>
      </c>
      <c r="AQ117" s="115">
        <f t="shared" si="12"/>
        <v>0.4</v>
      </c>
      <c r="AR117" s="149" t="str">
        <f>IFERROR(
AVERAGEIFS(
'New LF Efficacy'!$J:$J,
'New LF Efficacy'!$D:$D,$A117,
'New LF Efficacy'!$F:$F,"Albendazole &amp; Ivermectin", 
'New LF Efficacy'!$W:$W,"&lt;2016",
'New LF Efficacy'!$AA:$AA,""),"")</f>
        <v/>
      </c>
      <c r="AS117" s="115">
        <f t="shared" si="13"/>
        <v>0.2943125</v>
      </c>
      <c r="AT117" s="442" t="str">
        <f>IFERROR(AVERAGEIFS(
'Schist Efficacy'!$O:$O, 
'Schist Efficacy'!$C:$C,$A117, 
'Schist Efficacy'!$D:$D, "Praziquantel",
'Schist Efficacy'!$J:$J,"&lt;2016",
'Schist Efficacy'!$U:$U,""),
"")</f>
        <v/>
      </c>
      <c r="AU117" s="118">
        <f t="shared" si="14"/>
        <v>0.7206464759</v>
      </c>
      <c r="AV117" s="131" t="str">
        <f>IFERROR(AVERAGEIFS(
'STH Efficacy'!$AX:$AX, 
'STH Efficacy'!$AL:$AL, $A117, 
'STH Efficacy'!$AM:$AM, "Albendazole",
'STH Efficacy'!$AS:$AS,"&lt;2016",
'STH Efficacy'!$BP:$BP,""),
"")</f>
        <v/>
      </c>
      <c r="AW117" s="132">
        <f t="shared" si="15"/>
        <v>0.3816333333</v>
      </c>
      <c r="AX117" s="131" t="str">
        <f>IFERROR(AVERAGEIFS(
'STH Efficacy'!$AX:$AX, 
'STH Efficacy'!$AL:$AL, $A117, 
'STH Efficacy'!$AM:$AM, "Mebendazole",
'STH Efficacy'!$AS:$AS,"&lt;2016",
'STH Efficacy'!$BP:$BP,""),
"")</f>
        <v/>
      </c>
      <c r="AY117" s="132">
        <f t="shared" si="16"/>
        <v>0.4859375</v>
      </c>
      <c r="AZ117" s="131" t="str">
        <f>IFERROR(AVERAGEIFS(
'STH Efficacy'!$AX:$AX, 
'STH Efficacy'!$AL:$AL, $A117, 
'STH Efficacy'!$AM:$AM, "Albendazole &amp; Ivermectin",
'STH Efficacy'!$AS:$AS,"&lt;2016",
'STH Efficacy'!$BP:$BP,""),
"")</f>
        <v/>
      </c>
      <c r="BA117" s="133">
        <f t="shared" si="17"/>
        <v>0.47175</v>
      </c>
      <c r="BB117" s="443" t="str">
        <f>IFERROR(AVERAGEIFS(
'STH Efficacy'!$N:$N, 
'STH Efficacy'!$B:$B, $A117, 
'STH Efficacy'!$C:$C, "Albendazole",
'STH Efficacy'!$I:$I,"&lt;2016",
'STH Efficacy'!$AH:$AH,""),
"")</f>
        <v/>
      </c>
      <c r="BC117" s="135">
        <f t="shared" si="18"/>
        <v>0.8699166667</v>
      </c>
      <c r="BD117" s="443" t="str">
        <f>IFERROR(AVERAGEIFS(
'STH Efficacy'!$N:$N, 
'STH Efficacy'!$B:$B, $A117, 
'STH Efficacy'!$C:$C, "Mebendazole",
'STH Efficacy'!$I:$I,"&lt;2016",
'STH Efficacy'!$AH:$AH,""),
"")</f>
        <v/>
      </c>
      <c r="BE117" s="135">
        <f t="shared" si="19"/>
        <v>0.7092416667</v>
      </c>
      <c r="BF117" s="436" t="str">
        <f>IFERROR(AVERAGEIFS(
'STH Efficacy'!$CD:$CD, 
'STH Efficacy'!$BS:$BS, $A117, 
'STH Efficacy'!$BT:$BT, "Albendazole",
'STH Efficacy'!$BZ:$BZ,"&lt;2016",
'STH Efficacy'!$CU:$CU,""),
"")</f>
        <v/>
      </c>
      <c r="BG117" s="136">
        <f t="shared" si="20"/>
        <v>0.9066666667</v>
      </c>
      <c r="BH117" s="436" t="str">
        <f>IFERROR(AVERAGEIFS(
'STH Efficacy'!$CD:$CD, 
'STH Efficacy'!$BS:$BS, $A117, 
'STH Efficacy'!$BT:$BT, "Mebendazole",
'STH Efficacy'!$BZ:$BZ,"&lt;2016",
'STH Efficacy'!$CU:$CU,""),
"")</f>
        <v/>
      </c>
      <c r="BI117" s="136">
        <f t="shared" si="21"/>
        <v>0.8483333333</v>
      </c>
      <c r="BJ117" s="436" t="str">
        <f>IFERROR(AVERAGEIFS(
'STH Efficacy'!$CD:$CD, 
'STH Efficacy'!$BS:$BS, $A117, 
'STH Efficacy'!$BT:$BT, "Albendazole &amp; Ivermectin",
'STH Efficacy'!$BZ:$BZ,"&lt;2016",
'STH Efficacy'!$CU:$CU,""),
"")</f>
        <v/>
      </c>
      <c r="BK117" s="136">
        <f t="shared" si="22"/>
        <v>0.696</v>
      </c>
      <c r="BL117" s="444" t="str">
        <f>IFERROR(
  AVERAGEIFS(
    'NEW Onchocerciasis Efficacy'!$AO:$AO,
    'NEW Onchocerciasis Efficacy'!$C:$C,$A117,
    'NEW Onchocerciasis Efficacy'!$D:$D,"Ivermectin",
    'NEW Onchocerciasis Efficacy'!$AR:$AR,"&lt;2016",
    'NEW Onchocerciasis Efficacy'!$BG:$BG,"")
,"")</f>
        <v/>
      </c>
      <c r="BM117" s="304">
        <f t="shared" si="23"/>
        <v>0.8390421645</v>
      </c>
      <c r="BN117" s="439">
        <v>1.0</v>
      </c>
      <c r="BO117" s="139">
        <v>1.0</v>
      </c>
      <c r="BP117" s="140">
        <v>1.0</v>
      </c>
      <c r="BQ117" s="141">
        <f t="shared" si="24"/>
        <v>1</v>
      </c>
      <c r="BR117" s="104" t="str">
        <f t="shared" si="25"/>
        <v>1111</v>
      </c>
      <c r="BS117" s="104" t="str">
        <f t="shared" si="26"/>
        <v>MDA1+T2</v>
      </c>
      <c r="BT117" s="142" t="str">
        <f t="shared" si="27"/>
        <v>IVM+ALB</v>
      </c>
      <c r="BU117" s="104" t="str">
        <f t="shared" si="28"/>
        <v>PZQ</v>
      </c>
      <c r="BV117" s="104" t="str">
        <f t="shared" si="29"/>
        <v>lf+onch+schist+sth</v>
      </c>
      <c r="BW117" s="150" t="str">
        <f t="shared" si="30"/>
        <v/>
      </c>
      <c r="BX117" s="312">
        <f t="shared" si="31"/>
        <v>3781.694711</v>
      </c>
      <c r="BY117" s="162">
        <f t="shared" si="32"/>
        <v>5135.437657</v>
      </c>
      <c r="BZ117" s="152">
        <f t="shared" si="33"/>
        <v>1849.231161</v>
      </c>
      <c r="CA117" s="152" t="str">
        <f t="shared" si="34"/>
        <v/>
      </c>
      <c r="CB117" s="152">
        <f t="shared" si="35"/>
        <v>2531.94254</v>
      </c>
      <c r="CC117" s="323">
        <f t="shared" si="36"/>
        <v>5882.570223</v>
      </c>
      <c r="CD117" s="153" t="str">
        <f t="shared" si="37"/>
        <v/>
      </c>
      <c r="CE117" s="154">
        <f t="shared" si="38"/>
        <v>132519.8008</v>
      </c>
      <c r="CF117" s="154" t="str">
        <f t="shared" si="39"/>
        <v/>
      </c>
      <c r="CG117" s="154">
        <f t="shared" si="40"/>
        <v>39078.90344</v>
      </c>
      <c r="CH117" s="313">
        <f t="shared" si="41"/>
        <v>0</v>
      </c>
    </row>
    <row r="118">
      <c r="A118" s="103" t="s">
        <v>207</v>
      </c>
      <c r="B118" s="104" t="s">
        <v>92</v>
      </c>
      <c r="C118" s="428">
        <v>1.7573607E7</v>
      </c>
      <c r="D118" s="161">
        <v>20685.54</v>
      </c>
      <c r="E118" s="294">
        <v>19398.96914</v>
      </c>
      <c r="F118" s="295">
        <v>1.284174902</v>
      </c>
      <c r="G118" s="295">
        <v>5.620548022</v>
      </c>
      <c r="H118" s="108">
        <v>6.904722925</v>
      </c>
      <c r="I118" s="109">
        <v>232.173269</v>
      </c>
      <c r="J118" s="109">
        <v>577.512188</v>
      </c>
      <c r="K118" s="109">
        <v>809.6854566</v>
      </c>
      <c r="L118" s="112">
        <v>1664.872107</v>
      </c>
      <c r="M118" s="112">
        <v>210.2631716</v>
      </c>
      <c r="N118" s="112">
        <v>1875.135278</v>
      </c>
      <c r="O118" s="298">
        <v>4332.198064</v>
      </c>
      <c r="P118" s="156"/>
      <c r="Q118" s="156"/>
      <c r="R118" s="121" t="str">
        <f t="shared" si="4"/>
        <v/>
      </c>
      <c r="S118" s="116">
        <f t="shared" si="5"/>
        <v>0.3345096109</v>
      </c>
      <c r="T118" s="118">
        <v>0.801</v>
      </c>
      <c r="U118" s="118">
        <f t="shared" si="6"/>
        <v>0.801</v>
      </c>
      <c r="V118" s="148"/>
      <c r="W118" s="120">
        <f t="shared" si="7"/>
        <v>0.8084736842</v>
      </c>
      <c r="X118" s="119">
        <v>1.0</v>
      </c>
      <c r="Y118" s="120">
        <f t="shared" si="8"/>
        <v>1</v>
      </c>
      <c r="Z118" s="310">
        <v>2240773.0</v>
      </c>
      <c r="AA118" s="310">
        <v>1849564.0</v>
      </c>
      <c r="AB118" s="300">
        <f t="shared" si="9"/>
        <v>0.825413373</v>
      </c>
      <c r="AC118" s="300">
        <f t="shared" si="10"/>
        <v>0.825413373</v>
      </c>
      <c r="AD118" s="122">
        <v>0.0243</v>
      </c>
      <c r="AE118" s="123">
        <v>0.09</v>
      </c>
      <c r="AF118" s="430">
        <v>0.0334</v>
      </c>
      <c r="AG118" s="124">
        <v>0.0242</v>
      </c>
      <c r="AH118" s="124">
        <v>0.037814177</v>
      </c>
      <c r="AI118" s="125">
        <v>0.0242</v>
      </c>
      <c r="AJ118" s="125">
        <v>0.038648257</v>
      </c>
      <c r="AK118" s="127">
        <v>0.0222</v>
      </c>
      <c r="AL118" s="127">
        <v>0.034939003</v>
      </c>
      <c r="AM118" s="302">
        <v>0.0035</v>
      </c>
      <c r="AN118" s="149" t="str">
        <f>IFERROR(
  AVERAGEIFS(
    'New LF Efficacy'!$J:$J,
    'New LF Efficacy'!$D:$D, $A118,
    'New LF Efficacy'!$F:$F,"DEC", 
    'New LF Efficacy'!$W:$W,"&lt;2016",
    'New LF Efficacy'!$AA:$AA,""),
  ""
)</f>
        <v/>
      </c>
      <c r="AO118" s="115">
        <f t="shared" si="11"/>
        <v>0.31225</v>
      </c>
      <c r="AP118" s="149" t="str">
        <f>IFERROR(
AVERAGEIFS(
'New LF Efficacy'!$J:$J,
'New LF Efficacy'!$D:$D,$A118,
'New LF Efficacy'!$F:$F,"Albendazole &amp; DEC",
'New LF Efficacy'!$W:$W,"&lt;2016",
'New LF Efficacy'!$AA:$AA,""),
"")
</f>
        <v/>
      </c>
      <c r="AQ118" s="115">
        <f t="shared" si="12"/>
        <v>0.4</v>
      </c>
      <c r="AR118" s="149" t="str">
        <f>IFERROR(
AVERAGEIFS(
'New LF Efficacy'!$J:$J,
'New LF Efficacy'!$D:$D,$A118,
'New LF Efficacy'!$F:$F,"Albendazole &amp; Ivermectin", 
'New LF Efficacy'!$W:$W,"&lt;2016",
'New LF Efficacy'!$AA:$AA,""),"")</f>
        <v/>
      </c>
      <c r="AS118" s="115">
        <f t="shared" si="13"/>
        <v>0.2943125</v>
      </c>
      <c r="AT118" s="442">
        <f>IFERROR(AVERAGEIFS(
'Schist Efficacy'!$O:$O, 
'Schist Efficacy'!$C:$C,$A118, 
'Schist Efficacy'!$D:$D, "Praziquantel",
'Schist Efficacy'!$J:$J,"&lt;2016",
'Schist Efficacy'!$U:$U,""),
"")</f>
        <v>0.2825</v>
      </c>
      <c r="AU118" s="118">
        <f t="shared" si="14"/>
        <v>0.2825</v>
      </c>
      <c r="AV118" s="131" t="str">
        <f>IFERROR(AVERAGEIFS(
'STH Efficacy'!$AX:$AX, 
'STH Efficacy'!$AL:$AL, $A118, 
'STH Efficacy'!$AM:$AM, "Albendazole",
'STH Efficacy'!$AS:$AS,"&lt;2016",
'STH Efficacy'!$BP:$BP,""),
"")</f>
        <v/>
      </c>
      <c r="AW118" s="132">
        <f t="shared" si="15"/>
        <v>0.3816333333</v>
      </c>
      <c r="AX118" s="131" t="str">
        <f>IFERROR(AVERAGEIFS(
'STH Efficacy'!$AX:$AX, 
'STH Efficacy'!$AL:$AL, $A118, 
'STH Efficacy'!$AM:$AM, "Mebendazole",
'STH Efficacy'!$AS:$AS,"&lt;2016",
'STH Efficacy'!$BP:$BP,""),
"")</f>
        <v/>
      </c>
      <c r="AY118" s="132">
        <f t="shared" si="16"/>
        <v>0.4859375</v>
      </c>
      <c r="AZ118" s="131" t="str">
        <f>IFERROR(AVERAGEIFS(
'STH Efficacy'!$AX:$AX, 
'STH Efficacy'!$AL:$AL, $A118, 
'STH Efficacy'!$AM:$AM, "Albendazole &amp; Ivermectin",
'STH Efficacy'!$AS:$AS,"&lt;2016",
'STH Efficacy'!$BP:$BP,""),
"")</f>
        <v/>
      </c>
      <c r="BA118" s="133">
        <f t="shared" si="17"/>
        <v>0.47175</v>
      </c>
      <c r="BB118" s="443">
        <f>IFERROR(AVERAGEIFS(
'STH Efficacy'!$N:$N, 
'STH Efficacy'!$B:$B, $A118, 
'STH Efficacy'!$C:$C, "Albendazole",
'STH Efficacy'!$I:$I,"&lt;2016",
'STH Efficacy'!$AH:$AH,""),
"")</f>
        <v>0.923</v>
      </c>
      <c r="BC118" s="135">
        <f t="shared" si="18"/>
        <v>0.923</v>
      </c>
      <c r="BD118" s="443">
        <f>IFERROR(AVERAGEIFS(
'STH Efficacy'!$N:$N, 
'STH Efficacy'!$B:$B, $A118, 
'STH Efficacy'!$C:$C, "Mebendazole",
'STH Efficacy'!$I:$I,"&lt;2016",
'STH Efficacy'!$AH:$AH,""),
"")</f>
        <v>0.982</v>
      </c>
      <c r="BE118" s="135">
        <f t="shared" si="19"/>
        <v>0.982</v>
      </c>
      <c r="BF118" s="436" t="str">
        <f>IFERROR(AVERAGEIFS(
'STH Efficacy'!$CD:$CD, 
'STH Efficacy'!$BS:$BS, $A118, 
'STH Efficacy'!$BT:$BT, "Albendazole",
'STH Efficacy'!$BZ:$BZ,"&lt;2016",
'STH Efficacy'!$CU:$CU,""),
"")</f>
        <v/>
      </c>
      <c r="BG118" s="136">
        <f t="shared" si="20"/>
        <v>0.9066666667</v>
      </c>
      <c r="BH118" s="436" t="str">
        <f>IFERROR(AVERAGEIFS(
'STH Efficacy'!$CD:$CD, 
'STH Efficacy'!$BS:$BS, $A118, 
'STH Efficacy'!$BT:$BT, "Mebendazole",
'STH Efficacy'!$BZ:$BZ,"&lt;2016",
'STH Efficacy'!$CU:$CU,""),
"")</f>
        <v/>
      </c>
      <c r="BI118" s="136">
        <f t="shared" si="21"/>
        <v>0.8483333333</v>
      </c>
      <c r="BJ118" s="436" t="str">
        <f>IFERROR(AVERAGEIFS(
'STH Efficacy'!$CD:$CD, 
'STH Efficacy'!$BS:$BS, $A118, 
'STH Efficacy'!$BT:$BT, "Albendazole &amp; Ivermectin",
'STH Efficacy'!$BZ:$BZ,"&lt;2016",
'STH Efficacy'!$CU:$CU,""),
"")</f>
        <v/>
      </c>
      <c r="BK118" s="136">
        <f t="shared" si="22"/>
        <v>0.696</v>
      </c>
      <c r="BL118" s="444" t="str">
        <f>IFERROR(
  AVERAGEIFS(
    'NEW Onchocerciasis Efficacy'!$AO:$AO,
    'NEW Onchocerciasis Efficacy'!$C:$C,$A118,
    'NEW Onchocerciasis Efficacy'!$D:$D,"Ivermectin",
    'NEW Onchocerciasis Efficacy'!$AR:$AR,"&lt;2016",
    'NEW Onchocerciasis Efficacy'!$BG:$BG,"")
,"")</f>
        <v/>
      </c>
      <c r="BM118" s="304">
        <f t="shared" si="23"/>
        <v>0.8390421645</v>
      </c>
      <c r="BN118" s="439">
        <v>0.0</v>
      </c>
      <c r="BO118" s="139">
        <v>0.0</v>
      </c>
      <c r="BP118" s="140">
        <v>1.0</v>
      </c>
      <c r="BQ118" s="141">
        <f t="shared" si="24"/>
        <v>0</v>
      </c>
      <c r="BR118" s="104" t="str">
        <f t="shared" si="25"/>
        <v>0010</v>
      </c>
      <c r="BS118" s="104" t="str">
        <f t="shared" si="26"/>
        <v>T2</v>
      </c>
      <c r="BT118" s="142" t="str">
        <f t="shared" ref="BT118:BT125" si="42">IF(BS118="no action required","",IF(BS118="MDA1","IVM+ALB",IF(BS118="MDA3","IVM",IF(BS118="T1","ALB+PZQ or MBD+PZQ",IF(BS118="T2","",IF(BS118="T3","ALB or MBD",IF(BS118="MDA1+T1","IVM+ALB",IF(BS118="MDA1+T2","IVM+ALB",IF(BS118="MDA1+T3","IVM+ALB",IF(BS118="MDA1/2+T1","IVM+ALB or DEC+ALB",IF(BS118="MDA1/2+T2","IVM+ALB or DEC +ALB",IF(BS118="MDA1/2+T3","IVM+ALB of DEC+ALB",IF(BS118="MDA1/2","IVM+ALB or DEC+ALB",IF(BS118="MDA3+T2","IVM",IF(BS118="T1+T3","ALB+PZQ or MBD+PZQ",IF(BS118="T3+T3","2(ALB or MBD)"))))))))))))))))</f>
        <v/>
      </c>
      <c r="BU118" s="104" t="str">
        <f t="shared" si="28"/>
        <v>PZQ</v>
      </c>
      <c r="BV118" s="104" t="str">
        <f t="shared" si="29"/>
        <v>schist only</v>
      </c>
      <c r="BW118" s="150" t="str">
        <f t="shared" si="30"/>
        <v/>
      </c>
      <c r="BX118" s="150" t="str">
        <f t="shared" si="31"/>
        <v/>
      </c>
      <c r="BY118" s="162">
        <f t="shared" si="32"/>
        <v>5673.449592</v>
      </c>
      <c r="BZ118" s="152" t="str">
        <f t="shared" si="33"/>
        <v/>
      </c>
      <c r="CA118" s="152" t="str">
        <f t="shared" si="34"/>
        <v/>
      </c>
      <c r="CB118" s="152" t="str">
        <f t="shared" si="35"/>
        <v/>
      </c>
      <c r="CC118" s="153" t="str">
        <f t="shared" si="36"/>
        <v/>
      </c>
      <c r="CD118" s="153" t="str">
        <f t="shared" si="37"/>
        <v/>
      </c>
      <c r="CE118" s="154" t="str">
        <f t="shared" si="38"/>
        <v/>
      </c>
      <c r="CF118" s="154" t="str">
        <f t="shared" si="39"/>
        <v/>
      </c>
      <c r="CG118" s="154" t="str">
        <f t="shared" si="40"/>
        <v/>
      </c>
      <c r="CH118" s="308" t="str">
        <f t="shared" si="41"/>
        <v/>
      </c>
    </row>
    <row r="119">
      <c r="A119" s="103" t="s">
        <v>208</v>
      </c>
      <c r="B119" s="104" t="s">
        <v>94</v>
      </c>
      <c r="C119" s="428">
        <v>3.0723155E7</v>
      </c>
      <c r="D119" s="161">
        <v>95.55</v>
      </c>
      <c r="E119" s="294">
        <v>0.0</v>
      </c>
      <c r="F119" s="322">
        <v>136.0960726</v>
      </c>
      <c r="G119" s="322">
        <v>499.0160933</v>
      </c>
      <c r="H119" s="108">
        <v>635.112166</v>
      </c>
      <c r="I119" s="109">
        <v>1296.77091</v>
      </c>
      <c r="J119" s="110">
        <v>4084.73399</v>
      </c>
      <c r="K119" s="110">
        <v>5381.504897</v>
      </c>
      <c r="L119" s="111">
        <v>1611.829683</v>
      </c>
      <c r="M119" s="111">
        <v>5000.137366</v>
      </c>
      <c r="N119" s="112">
        <v>6611.96705</v>
      </c>
      <c r="O119" s="298">
        <v>0.0</v>
      </c>
      <c r="P119" s="160">
        <v>174474.0</v>
      </c>
      <c r="Q119" s="160">
        <v>154976.0</v>
      </c>
      <c r="R119" s="121">
        <f t="shared" si="4"/>
        <v>0.8882469594</v>
      </c>
      <c r="S119" s="116">
        <f t="shared" si="5"/>
        <v>0.8882469594</v>
      </c>
      <c r="T119" s="117"/>
      <c r="U119" s="118">
        <f t="shared" si="6"/>
        <v>0.73965</v>
      </c>
      <c r="V119" s="148"/>
      <c r="W119" s="120">
        <f t="shared" si="7"/>
        <v>0.6141272727</v>
      </c>
      <c r="X119" s="148"/>
      <c r="Y119" s="120">
        <f t="shared" si="8"/>
        <v>0.6018090909</v>
      </c>
      <c r="Z119" s="299"/>
      <c r="AA119" s="441"/>
      <c r="AB119" s="300" t="str">
        <f t="shared" si="9"/>
        <v/>
      </c>
      <c r="AC119" s="300">
        <f t="shared" si="10"/>
        <v>0.6890056172</v>
      </c>
      <c r="AD119" s="122">
        <v>0.0</v>
      </c>
      <c r="AE119" s="123">
        <v>0.0</v>
      </c>
      <c r="AF119" s="430">
        <v>0.0</v>
      </c>
      <c r="AG119" s="124">
        <v>0.1222</v>
      </c>
      <c r="AH119" s="124">
        <v>0.142682139</v>
      </c>
      <c r="AI119" s="125">
        <v>0.1317</v>
      </c>
      <c r="AJ119" s="125">
        <v>0.207150021</v>
      </c>
      <c r="AK119" s="127">
        <v>0.2854</v>
      </c>
      <c r="AL119" s="127">
        <v>0.433232082</v>
      </c>
      <c r="AM119" s="302">
        <v>0.0</v>
      </c>
      <c r="AN119" s="149" t="str">
        <f>IFERROR(
  AVERAGEIFS(
    'New LF Efficacy'!$J:$J,
    'New LF Efficacy'!$D:$D, $A119,
    'New LF Efficacy'!$F:$F,"DEC", 
    'New LF Efficacy'!$W:$W,"&lt;2016",
    'New LF Efficacy'!$AA:$AA,""),
  ""
)</f>
        <v/>
      </c>
      <c r="AO119" s="115">
        <f t="shared" si="11"/>
        <v>0.38</v>
      </c>
      <c r="AP119" s="149" t="str">
        <f>IFERROR(
AVERAGEIFS(
'New LF Efficacy'!$J:$J,
'New LF Efficacy'!$D:$D,$A119,
'New LF Efficacy'!$F:$F,"Albendazole &amp; DEC",
'New LF Efficacy'!$W:$W,"&lt;2016",
'New LF Efficacy'!$AA:$AA,""),
"")
</f>
        <v/>
      </c>
      <c r="AQ119" s="115">
        <f t="shared" si="12"/>
        <v>0.662</v>
      </c>
      <c r="AR119" s="149" t="str">
        <f>IFERROR(
AVERAGEIFS(
'New LF Efficacy'!$J:$J,
'New LF Efficacy'!$D:$D,$A119,
'New LF Efficacy'!$F:$F,"Albendazole &amp; Ivermectin", 
'New LF Efficacy'!$W:$W,"&lt;2016",
'New LF Efficacy'!$AA:$AA,""),"")</f>
        <v/>
      </c>
      <c r="AS119" s="115">
        <f t="shared" si="13"/>
        <v>0.37153125</v>
      </c>
      <c r="AT119" s="442" t="str">
        <f>IFERROR(AVERAGEIFS(
'Schist Efficacy'!$O:$O, 
'Schist Efficacy'!$C:$C,$A119, 
'Schist Efficacy'!$D:$D, "Praziquantel",
'Schist Efficacy'!$J:$J,"&lt;2016",
'Schist Efficacy'!$U:$U,""),
"")</f>
        <v/>
      </c>
      <c r="AU119" s="118">
        <f t="shared" si="14"/>
        <v>0.9475</v>
      </c>
      <c r="AV119" s="131" t="str">
        <f>IFERROR(AVERAGEIFS(
'STH Efficacy'!$AX:$AX, 
'STH Efficacy'!$AL:$AL, $A119, 
'STH Efficacy'!$AM:$AM, "Albendazole",
'STH Efficacy'!$AS:$AS,"&lt;2016",
'STH Efficacy'!$BP:$BP,""),
"")</f>
        <v/>
      </c>
      <c r="AW119" s="132">
        <f t="shared" si="15"/>
        <v>0.3571666667</v>
      </c>
      <c r="AX119" s="131" t="str">
        <f>IFERROR(AVERAGEIFS(
'STH Efficacy'!$AX:$AX, 
'STH Efficacy'!$AL:$AL, $A119, 
'STH Efficacy'!$AM:$AM, "Mebendazole",
'STH Efficacy'!$AS:$AS,"&lt;2016",
'STH Efficacy'!$BP:$BP,""),
"")</f>
        <v/>
      </c>
      <c r="AY119" s="132">
        <f t="shared" si="16"/>
        <v>0.4155</v>
      </c>
      <c r="AZ119" s="131" t="str">
        <f>IFERROR(AVERAGEIFS(
'STH Efficacy'!$AX:$AX, 
'STH Efficacy'!$AL:$AL, $A119, 
'STH Efficacy'!$AM:$AM, "Albendazole &amp; Ivermectin",
'STH Efficacy'!$AS:$AS,"&lt;2016",
'STH Efficacy'!$BP:$BP,""),
"")</f>
        <v/>
      </c>
      <c r="BA119" s="133">
        <f t="shared" si="17"/>
        <v>0.651</v>
      </c>
      <c r="BB119" s="443" t="str">
        <f>IFERROR(AVERAGEIFS(
'STH Efficacy'!$N:$N, 
'STH Efficacy'!$B:$B, $A119, 
'STH Efficacy'!$C:$C, "Albendazole",
'STH Efficacy'!$I:$I,"&lt;2016",
'STH Efficacy'!$AH:$AH,""),
"")</f>
        <v/>
      </c>
      <c r="BC119" s="135">
        <f t="shared" si="18"/>
        <v>0.5769166667</v>
      </c>
      <c r="BD119" s="443" t="str">
        <f>IFERROR(AVERAGEIFS(
'STH Efficacy'!$N:$N, 
'STH Efficacy'!$B:$B, $A119, 
'STH Efficacy'!$C:$C, "Mebendazole",
'STH Efficacy'!$I:$I,"&lt;2016",
'STH Efficacy'!$AH:$AH,""),
"")</f>
        <v/>
      </c>
      <c r="BE119" s="135">
        <f t="shared" si="19"/>
        <v>0.3145</v>
      </c>
      <c r="BF119" s="436">
        <f>IFERROR(AVERAGEIFS(
'STH Efficacy'!$CD:$CD, 
'STH Efficacy'!$BS:$BS, $A119, 
'STH Efficacy'!$BT:$BT, "Albendazole",
'STH Efficacy'!$BZ:$BZ,"&lt;2016",
'STH Efficacy'!$CU:$CU,""),
"")</f>
        <v>0.974</v>
      </c>
      <c r="BG119" s="136">
        <f t="shared" si="20"/>
        <v>0.974</v>
      </c>
      <c r="BH119" s="436" t="str">
        <f>IFERROR(AVERAGEIFS(
'STH Efficacy'!$CD:$CD, 
'STH Efficacy'!$BS:$BS, $A119, 
'STH Efficacy'!$BT:$BT, "Mebendazole",
'STH Efficacy'!$BZ:$BZ,"&lt;2016",
'STH Efficacy'!$CU:$CU,""),
"")</f>
        <v/>
      </c>
      <c r="BI119" s="136">
        <f t="shared" si="21"/>
        <v>0.9305</v>
      </c>
      <c r="BJ119" s="436" t="str">
        <f>IFERROR(AVERAGEIFS(
'STH Efficacy'!$CD:$CD, 
'STH Efficacy'!$BS:$BS, $A119, 
'STH Efficacy'!$BT:$BT, "Albendazole &amp; Ivermectin",
'STH Efficacy'!$BZ:$BZ,"&lt;2016",
'STH Efficacy'!$CU:$CU,""),
"")</f>
        <v/>
      </c>
      <c r="BK119" s="136">
        <f t="shared" si="22"/>
        <v>0.848</v>
      </c>
      <c r="BL119" s="444" t="str">
        <f>IFERROR(
  AVERAGEIFS(
    'NEW Onchocerciasis Efficacy'!$AO:$AO,
    'NEW Onchocerciasis Efficacy'!$C:$C,$A119,
    'NEW Onchocerciasis Efficacy'!$D:$D,"Ivermectin",
    'NEW Onchocerciasis Efficacy'!$AR:$AR,"&lt;2016",
    'NEW Onchocerciasis Efficacy'!$BG:$BG,"")
,"")</f>
        <v/>
      </c>
      <c r="BM119" s="304">
        <f t="shared" si="23"/>
        <v>0.7808368939</v>
      </c>
      <c r="BN119" s="439">
        <v>1.0</v>
      </c>
      <c r="BO119" s="139">
        <v>0.0</v>
      </c>
      <c r="BP119" s="140">
        <v>0.0</v>
      </c>
      <c r="BQ119" s="141">
        <f t="shared" si="24"/>
        <v>1</v>
      </c>
      <c r="BR119" s="104" t="str">
        <f t="shared" si="25"/>
        <v>1001</v>
      </c>
      <c r="BS119" s="104" t="str">
        <f t="shared" si="26"/>
        <v>MDA1/2</v>
      </c>
      <c r="BT119" s="142" t="str">
        <f t="shared" si="42"/>
        <v>IVM+ALB or DEC+ALB</v>
      </c>
      <c r="BU119" s="104" t="str">
        <f t="shared" si="28"/>
        <v/>
      </c>
      <c r="BV119" s="104" t="str">
        <f t="shared" si="29"/>
        <v>lf+sth</v>
      </c>
      <c r="BW119" s="312">
        <f t="shared" si="30"/>
        <v>136.3784457</v>
      </c>
      <c r="BX119" s="312">
        <f t="shared" si="31"/>
        <v>47.06438883</v>
      </c>
      <c r="BY119" s="151" t="str">
        <f t="shared" si="32"/>
        <v/>
      </c>
      <c r="BZ119" s="152">
        <f t="shared" si="33"/>
        <v>174.8694416</v>
      </c>
      <c r="CA119" s="152" t="str">
        <f t="shared" si="34"/>
        <v/>
      </c>
      <c r="CB119" s="152">
        <f t="shared" si="35"/>
        <v>412.0880506</v>
      </c>
      <c r="CC119" s="323">
        <f t="shared" si="36"/>
        <v>2884.005256</v>
      </c>
      <c r="CD119" s="153" t="str">
        <f t="shared" si="37"/>
        <v/>
      </c>
      <c r="CE119" s="154">
        <f t="shared" si="38"/>
        <v>9481.511588</v>
      </c>
      <c r="CF119" s="154" t="str">
        <f t="shared" si="39"/>
        <v/>
      </c>
      <c r="CG119" s="154">
        <f t="shared" si="40"/>
        <v>6962.801161</v>
      </c>
      <c r="CH119" s="308" t="str">
        <f t="shared" si="41"/>
        <v/>
      </c>
    </row>
    <row r="120">
      <c r="A120" s="155" t="s">
        <v>209</v>
      </c>
      <c r="B120" s="104" t="s">
        <v>109</v>
      </c>
      <c r="C120" s="428">
        <v>409163.0</v>
      </c>
      <c r="D120" s="161">
        <v>17.08</v>
      </c>
      <c r="E120" s="294">
        <v>0.0</v>
      </c>
      <c r="F120" s="307">
        <v>0.0</v>
      </c>
      <c r="G120" s="309">
        <v>0.0</v>
      </c>
      <c r="H120" s="108">
        <v>0.0</v>
      </c>
      <c r="I120" s="109">
        <v>0.00146401</v>
      </c>
      <c r="J120" s="109">
        <v>0.00196339</v>
      </c>
      <c r="K120" s="109">
        <v>0.003427405</v>
      </c>
      <c r="L120" s="112">
        <v>0.043934922</v>
      </c>
      <c r="M120" s="112">
        <v>0.017199586</v>
      </c>
      <c r="N120" s="112">
        <v>0.061134508</v>
      </c>
      <c r="O120" s="298">
        <v>0.0</v>
      </c>
      <c r="P120" s="156"/>
      <c r="Q120" s="156"/>
      <c r="R120" s="121" t="str">
        <f t="shared" si="4"/>
        <v/>
      </c>
      <c r="S120" s="116">
        <f t="shared" si="5"/>
        <v>0.7101615512</v>
      </c>
      <c r="T120" s="117"/>
      <c r="U120" s="118">
        <f t="shared" si="6"/>
        <v>0.2582</v>
      </c>
      <c r="V120" s="148"/>
      <c r="W120" s="120">
        <f t="shared" si="7"/>
        <v>0.6229125</v>
      </c>
      <c r="X120" s="148"/>
      <c r="Y120" s="120">
        <f t="shared" si="8"/>
        <v>0.8246625</v>
      </c>
      <c r="Z120" s="299"/>
      <c r="AA120" s="441"/>
      <c r="AB120" s="300" t="str">
        <f t="shared" si="9"/>
        <v/>
      </c>
      <c r="AC120" s="300">
        <f t="shared" si="10"/>
        <v>0.6890056172</v>
      </c>
      <c r="AD120" s="122">
        <v>0.0</v>
      </c>
      <c r="AE120" s="123">
        <v>0.0</v>
      </c>
      <c r="AF120" s="430">
        <v>0.0</v>
      </c>
      <c r="AG120" s="124">
        <v>0.0</v>
      </c>
      <c r="AH120" s="124">
        <v>1.12693E-5</v>
      </c>
      <c r="AI120" s="125">
        <v>0.0</v>
      </c>
      <c r="AJ120" s="125">
        <v>1.11791E-5</v>
      </c>
      <c r="AK120" s="127">
        <v>0.0</v>
      </c>
      <c r="AL120" s="127">
        <v>1.10728E-5</v>
      </c>
      <c r="AM120" s="302">
        <v>0.0</v>
      </c>
      <c r="AN120" s="149" t="str">
        <f>IFERROR(
  AVERAGEIFS(
    'New LF Efficacy'!$J:$J,
    'New LF Efficacy'!$D:$D, $A120,
    'New LF Efficacy'!$F:$F,"DEC", 
    'New LF Efficacy'!$W:$W,"&lt;2016",
    'New LF Efficacy'!$AA:$AA,""),
  ""
)</f>
        <v/>
      </c>
      <c r="AO120" s="115">
        <f t="shared" si="11"/>
        <v>0.478175</v>
      </c>
      <c r="AP120" s="149" t="str">
        <f>IFERROR(
AVERAGEIFS(
'New LF Efficacy'!$J:$J,
'New LF Efficacy'!$D:$D,$A120,
'New LF Efficacy'!$F:$F,"Albendazole &amp; DEC",
'New LF Efficacy'!$W:$W,"&lt;2016",
'New LF Efficacy'!$AA:$AA,""),
"")
</f>
        <v/>
      </c>
      <c r="AQ120" s="115">
        <f t="shared" si="12"/>
        <v>0.5831666667</v>
      </c>
      <c r="AR120" s="149" t="str">
        <f>IFERROR(
AVERAGEIFS(
'New LF Efficacy'!$J:$J,
'New LF Efficacy'!$D:$D,$A120,
'New LF Efficacy'!$F:$F,"Albendazole &amp; Ivermectin", 
'New LF Efficacy'!$W:$W,"&lt;2016",
'New LF Efficacy'!$AA:$AA,""),"")</f>
        <v/>
      </c>
      <c r="AS120" s="115">
        <f t="shared" si="13"/>
        <v>0.14</v>
      </c>
      <c r="AT120" s="442" t="str">
        <f>IFERROR(AVERAGEIFS(
'Schist Efficacy'!$O:$O, 
'Schist Efficacy'!$C:$C,$A120, 
'Schist Efficacy'!$D:$D, "Praziquantel",
'Schist Efficacy'!$J:$J,"&lt;2016",
'Schist Efficacy'!$U:$U,""),
"")</f>
        <v/>
      </c>
      <c r="AU120" s="118">
        <f t="shared" si="14"/>
        <v>0.743990088</v>
      </c>
      <c r="AV120" s="131" t="str">
        <f>IFERROR(AVERAGEIFS(
'STH Efficacy'!$AX:$AX, 
'STH Efficacy'!$AL:$AL, $A120, 
'STH Efficacy'!$AM:$AM, "Albendazole",
'STH Efficacy'!$AS:$AS,"&lt;2016",
'STH Efficacy'!$BP:$BP,""),
"")</f>
        <v/>
      </c>
      <c r="AW120" s="132">
        <f t="shared" si="15"/>
        <v>0.5394444444</v>
      </c>
      <c r="AX120" s="131" t="str">
        <f>IFERROR(AVERAGEIFS(
'STH Efficacy'!$AX:$AX, 
'STH Efficacy'!$AL:$AL, $A120, 
'STH Efficacy'!$AM:$AM, "Mebendazole",
'STH Efficacy'!$AS:$AS,"&lt;2016",
'STH Efficacy'!$BP:$BP,""),
"")</f>
        <v/>
      </c>
      <c r="AY120" s="132">
        <f t="shared" si="16"/>
        <v>0.3786666667</v>
      </c>
      <c r="AZ120" s="131" t="str">
        <f>IFERROR(AVERAGEIFS(
'STH Efficacy'!$AX:$AX, 
'STH Efficacy'!$AL:$AL, $A120, 
'STH Efficacy'!$AM:$AM, "Albendazole &amp; Ivermectin",
'STH Efficacy'!$AS:$AS,"&lt;2016",
'STH Efficacy'!$BP:$BP,""),
"")</f>
        <v/>
      </c>
      <c r="BA120" s="133">
        <f t="shared" si="17"/>
        <v>0.597625</v>
      </c>
      <c r="BB120" s="443" t="str">
        <f>IFERROR(AVERAGEIFS(
'STH Efficacy'!$N:$N, 
'STH Efficacy'!$B:$B, $A120, 
'STH Efficacy'!$C:$C, "Albendazole",
'STH Efficacy'!$I:$I,"&lt;2016",
'STH Efficacy'!$AH:$AH,""),
"")</f>
        <v/>
      </c>
      <c r="BC120" s="135">
        <f t="shared" si="18"/>
        <v>0.7133333333</v>
      </c>
      <c r="BD120" s="443" t="str">
        <f>IFERROR(AVERAGEIFS(
'STH Efficacy'!$N:$N, 
'STH Efficacy'!$B:$B, $A120, 
'STH Efficacy'!$C:$C, "Mebendazole",
'STH Efficacy'!$I:$I,"&lt;2016",
'STH Efficacy'!$AH:$AH,""),
"")</f>
        <v/>
      </c>
      <c r="BE120" s="135">
        <f t="shared" si="19"/>
        <v>0.205</v>
      </c>
      <c r="BF120" s="436" t="str">
        <f>IFERROR(AVERAGEIFS(
'STH Efficacy'!$CD:$CD, 
'STH Efficacy'!$BS:$BS, $A120, 
'STH Efficacy'!$BT:$BT, "Albendazole",
'STH Efficacy'!$BZ:$BZ,"&lt;2016",
'STH Efficacy'!$CU:$CU,""),
"")</f>
        <v/>
      </c>
      <c r="BG120" s="136">
        <f t="shared" si="20"/>
        <v>0.83</v>
      </c>
      <c r="BH120" s="436" t="str">
        <f>IFERROR(AVERAGEIFS(
'STH Efficacy'!$CD:$CD, 
'STH Efficacy'!$BS:$BS, $A120, 
'STH Efficacy'!$BT:$BT, "Mebendazole",
'STH Efficacy'!$BZ:$BZ,"&lt;2016",
'STH Efficacy'!$CU:$CU,""),
"")</f>
        <v/>
      </c>
      <c r="BI120" s="136">
        <f t="shared" si="21"/>
        <v>1</v>
      </c>
      <c r="BJ120" s="436" t="str">
        <f>IFERROR(AVERAGEIFS(
'STH Efficacy'!$CD:$CD, 
'STH Efficacy'!$BS:$BS, $A120, 
'STH Efficacy'!$BT:$BT, "Albendazole &amp; Ivermectin",
'STH Efficacy'!$BZ:$BZ,"&lt;2016",
'STH Efficacy'!$CU:$CU,""),
"")</f>
        <v/>
      </c>
      <c r="BK120" s="136">
        <f t="shared" si="22"/>
        <v>0.848</v>
      </c>
      <c r="BL120" s="444" t="str">
        <f>IFERROR(
  AVERAGEIFS(
    'NEW Onchocerciasis Efficacy'!$AO:$AO,
    'NEW Onchocerciasis Efficacy'!$C:$C,$A120,
    'NEW Onchocerciasis Efficacy'!$D:$D,"Ivermectin",
    'NEW Onchocerciasis Efficacy'!$AR:$AR,"&lt;2016",
    'NEW Onchocerciasis Efficacy'!$BG:$BG,"")
,"")</f>
        <v/>
      </c>
      <c r="BM120" s="304">
        <f t="shared" si="23"/>
        <v>0.7808368939</v>
      </c>
      <c r="BN120" s="439">
        <v>0.0</v>
      </c>
      <c r="BO120" s="139">
        <v>1.0</v>
      </c>
      <c r="BP120" s="140">
        <v>1.0</v>
      </c>
      <c r="BQ120" s="141">
        <f t="shared" si="24"/>
        <v>0</v>
      </c>
      <c r="BR120" s="104" t="str">
        <f t="shared" si="25"/>
        <v>0110</v>
      </c>
      <c r="BS120" s="104" t="str">
        <f t="shared" si="26"/>
        <v>MDA3+T2</v>
      </c>
      <c r="BT120" s="142" t="str">
        <f t="shared" si="42"/>
        <v>IVM</v>
      </c>
      <c r="BU120" s="104" t="str">
        <f t="shared" si="28"/>
        <v>PZQ</v>
      </c>
      <c r="BV120" s="104" t="str">
        <f t="shared" si="29"/>
        <v>onch+schist</v>
      </c>
      <c r="BW120" s="150" t="str">
        <f t="shared" si="30"/>
        <v/>
      </c>
      <c r="BX120" s="150" t="str">
        <f t="shared" si="31"/>
        <v/>
      </c>
      <c r="BY120" s="162">
        <f t="shared" si="32"/>
        <v>0</v>
      </c>
      <c r="BZ120" s="152" t="str">
        <f t="shared" si="33"/>
        <v/>
      </c>
      <c r="CA120" s="152" t="str">
        <f t="shared" si="34"/>
        <v/>
      </c>
      <c r="CB120" s="152" t="str">
        <f t="shared" si="35"/>
        <v/>
      </c>
      <c r="CC120" s="153" t="str">
        <f t="shared" si="36"/>
        <v/>
      </c>
      <c r="CD120" s="153" t="str">
        <f t="shared" si="37"/>
        <v/>
      </c>
      <c r="CE120" s="154" t="str">
        <f t="shared" si="38"/>
        <v/>
      </c>
      <c r="CF120" s="154" t="str">
        <f t="shared" si="39"/>
        <v/>
      </c>
      <c r="CG120" s="154" t="str">
        <f t="shared" si="40"/>
        <v/>
      </c>
      <c r="CH120" s="313">
        <f t="shared" si="41"/>
        <v>0</v>
      </c>
    </row>
    <row r="121">
      <c r="A121" s="103" t="s">
        <v>210</v>
      </c>
      <c r="B121" s="104" t="s">
        <v>92</v>
      </c>
      <c r="C121" s="428">
        <v>1.7467905E7</v>
      </c>
      <c r="D121" s="161">
        <v>33671.89</v>
      </c>
      <c r="E121" s="294">
        <v>15616.47774</v>
      </c>
      <c r="F121" s="295">
        <v>0.015047262</v>
      </c>
      <c r="G121" s="295">
        <v>0.081453714</v>
      </c>
      <c r="H121" s="108">
        <v>0.096500977</v>
      </c>
      <c r="I121" s="109">
        <v>465.364172</v>
      </c>
      <c r="J121" s="110">
        <v>1372.7731</v>
      </c>
      <c r="K121" s="109">
        <v>1838.137277</v>
      </c>
      <c r="L121" s="112">
        <v>2160.348022</v>
      </c>
      <c r="M121" s="112">
        <v>284.1793502</v>
      </c>
      <c r="N121" s="112">
        <v>2444.527372</v>
      </c>
      <c r="O121" s="298">
        <v>0.0</v>
      </c>
      <c r="P121" s="160">
        <v>1.5923224E7</v>
      </c>
      <c r="Q121" s="160">
        <v>9713502.0</v>
      </c>
      <c r="R121" s="121">
        <f t="shared" si="4"/>
        <v>0.6100210611</v>
      </c>
      <c r="S121" s="116">
        <f t="shared" si="5"/>
        <v>0.6100210611</v>
      </c>
      <c r="T121" s="118">
        <v>0.657</v>
      </c>
      <c r="U121" s="118">
        <f t="shared" si="6"/>
        <v>0.657</v>
      </c>
      <c r="V121" s="119">
        <v>1.0</v>
      </c>
      <c r="W121" s="120">
        <f t="shared" si="7"/>
        <v>1</v>
      </c>
      <c r="X121" s="119">
        <v>0.983</v>
      </c>
      <c r="Y121" s="120">
        <f t="shared" si="8"/>
        <v>0.983</v>
      </c>
      <c r="Z121" s="310">
        <v>5099027.0</v>
      </c>
      <c r="AA121" s="310">
        <v>3609017.0</v>
      </c>
      <c r="AB121" s="300">
        <f t="shared" si="9"/>
        <v>0.7077854265</v>
      </c>
      <c r="AC121" s="300">
        <f t="shared" si="10"/>
        <v>0.7077854265</v>
      </c>
      <c r="AD121" s="122">
        <v>0.0407</v>
      </c>
      <c r="AE121" s="123">
        <v>0.07</v>
      </c>
      <c r="AF121" s="430">
        <v>0.0213</v>
      </c>
      <c r="AG121" s="316">
        <v>0.0</v>
      </c>
      <c r="AH121" s="316">
        <v>0.01171745</v>
      </c>
      <c r="AI121" s="317">
        <v>0.0</v>
      </c>
      <c r="AJ121" s="317">
        <v>0.069740047</v>
      </c>
      <c r="AK121" s="319">
        <v>0.0</v>
      </c>
      <c r="AL121" s="319">
        <v>0.004610952</v>
      </c>
      <c r="AM121" s="302">
        <v>0.0</v>
      </c>
      <c r="AN121" s="149" t="str">
        <f>IFERROR(
  AVERAGEIFS(
    'New LF Efficacy'!$J:$J,
    'New LF Efficacy'!$D:$D, $A121,
    'New LF Efficacy'!$F:$F,"DEC", 
    'New LF Efficacy'!$W:$W,"&lt;2016",
    'New LF Efficacy'!$AA:$AA,""),
  ""
)</f>
        <v/>
      </c>
      <c r="AO121" s="115">
        <f t="shared" si="11"/>
        <v>0.31225</v>
      </c>
      <c r="AP121" s="149" t="str">
        <f>IFERROR(
AVERAGEIFS(
'New LF Efficacy'!$J:$J,
'New LF Efficacy'!$D:$D,$A121,
'New LF Efficacy'!$F:$F,"Albendazole &amp; DEC",
'New LF Efficacy'!$W:$W,"&lt;2016",
'New LF Efficacy'!$AA:$AA,""),
"")
</f>
        <v/>
      </c>
      <c r="AQ121" s="115">
        <f t="shared" si="12"/>
        <v>0.4</v>
      </c>
      <c r="AR121" s="149" t="str">
        <f>IFERROR(
AVERAGEIFS(
'New LF Efficacy'!$J:$J,
'New LF Efficacy'!$D:$D,$A121,
'New LF Efficacy'!$F:$F,"Albendazole &amp; Ivermectin", 
'New LF Efficacy'!$W:$W,"&lt;2016",
'New LF Efficacy'!$AA:$AA,""),"")</f>
        <v/>
      </c>
      <c r="AS121" s="115">
        <f t="shared" si="13"/>
        <v>0.2943125</v>
      </c>
      <c r="AT121" s="442">
        <f>IFERROR(AVERAGEIFS(
'Schist Efficacy'!$O:$O, 
'Schist Efficacy'!$C:$C,$A121, 
'Schist Efficacy'!$D:$D, "Praziquantel",
'Schist Efficacy'!$J:$J,"&lt;2016",
'Schist Efficacy'!$U:$U,""),
"")</f>
        <v>0.977</v>
      </c>
      <c r="AU121" s="118">
        <f t="shared" si="14"/>
        <v>0.977</v>
      </c>
      <c r="AV121" s="131" t="str">
        <f>IFERROR(AVERAGEIFS(
'STH Efficacy'!$AX:$AX, 
'STH Efficacy'!$AL:$AL, $A121, 
'STH Efficacy'!$AM:$AM, "Albendazole",
'STH Efficacy'!$AS:$AS,"&lt;2016",
'STH Efficacy'!$BP:$BP,""),
"")</f>
        <v/>
      </c>
      <c r="AW121" s="132">
        <f t="shared" si="15"/>
        <v>0.3816333333</v>
      </c>
      <c r="AX121" s="131" t="str">
        <f>IFERROR(AVERAGEIFS(
'STH Efficacy'!$AX:$AX, 
'STH Efficacy'!$AL:$AL, $A121, 
'STH Efficacy'!$AM:$AM, "Mebendazole",
'STH Efficacy'!$AS:$AS,"&lt;2016",
'STH Efficacy'!$BP:$BP,""),
"")</f>
        <v/>
      </c>
      <c r="AY121" s="132">
        <f t="shared" si="16"/>
        <v>0.4859375</v>
      </c>
      <c r="AZ121" s="131" t="str">
        <f>IFERROR(AVERAGEIFS(
'STH Efficacy'!$AX:$AX, 
'STH Efficacy'!$AL:$AL, $A121, 
'STH Efficacy'!$AM:$AM, "Albendazole &amp; Ivermectin",
'STH Efficacy'!$AS:$AS,"&lt;2016",
'STH Efficacy'!$BP:$BP,""),
"")</f>
        <v/>
      </c>
      <c r="BA121" s="133">
        <f t="shared" si="17"/>
        <v>0.47175</v>
      </c>
      <c r="BB121" s="443">
        <f>IFERROR(AVERAGEIFS(
'STH Efficacy'!$N:$N, 
'STH Efficacy'!$B:$B, $A121, 
'STH Efficacy'!$C:$C, "Albendazole",
'STH Efficacy'!$I:$I,"&lt;2016",
'STH Efficacy'!$AH:$AH,""),
"")</f>
        <v>0.838</v>
      </c>
      <c r="BC121" s="135">
        <f t="shared" si="18"/>
        <v>0.838</v>
      </c>
      <c r="BD121" s="443">
        <f>IFERROR(AVERAGEIFS(
'STH Efficacy'!$N:$N, 
'STH Efficacy'!$B:$B, $A121, 
'STH Efficacy'!$C:$C, "Mebendazole",
'STH Efficacy'!$I:$I,"&lt;2016",
'STH Efficacy'!$AH:$AH,""),
"")</f>
        <v>0.3715</v>
      </c>
      <c r="BE121" s="135">
        <f t="shared" si="19"/>
        <v>0.3715</v>
      </c>
      <c r="BF121" s="436" t="str">
        <f>IFERROR(AVERAGEIFS(
'STH Efficacy'!$CD:$CD, 
'STH Efficacy'!$BS:$BS, $A121, 
'STH Efficacy'!$BT:$BT, "Albendazole",
'STH Efficacy'!$BZ:$BZ,"&lt;2016",
'STH Efficacy'!$CU:$CU,""),
"")</f>
        <v/>
      </c>
      <c r="BG121" s="136">
        <f t="shared" si="20"/>
        <v>0.9066666667</v>
      </c>
      <c r="BH121" s="436" t="str">
        <f>IFERROR(AVERAGEIFS(
'STH Efficacy'!$CD:$CD, 
'STH Efficacy'!$BS:$BS, $A121, 
'STH Efficacy'!$BT:$BT, "Mebendazole",
'STH Efficacy'!$BZ:$BZ,"&lt;2016",
'STH Efficacy'!$CU:$CU,""),
"")</f>
        <v/>
      </c>
      <c r="BI121" s="136">
        <f t="shared" si="21"/>
        <v>0.8483333333</v>
      </c>
      <c r="BJ121" s="436" t="str">
        <f>IFERROR(AVERAGEIFS(
'STH Efficacy'!$CD:$CD, 
'STH Efficacy'!$BS:$BS, $A121, 
'STH Efficacy'!$BT:$BT, "Albendazole &amp; Ivermectin",
'STH Efficacy'!$BZ:$BZ,"&lt;2016",
'STH Efficacy'!$CU:$CU,""),
"")</f>
        <v/>
      </c>
      <c r="BK121" s="136">
        <f t="shared" si="22"/>
        <v>0.696</v>
      </c>
      <c r="BL121" s="444">
        <f>IFERROR(
  AVERAGEIFS(
    'NEW Onchocerciasis Efficacy'!$AO:$AO,
    'NEW Onchocerciasis Efficacy'!$C:$C,$A121,
    'NEW Onchocerciasis Efficacy'!$D:$D,"Ivermectin",
    'NEW Onchocerciasis Efficacy'!$AR:$AR,"&lt;2016",
    'NEW Onchocerciasis Efficacy'!$BG:$BG,"")
,"")</f>
        <v>0.98</v>
      </c>
      <c r="BM121" s="304">
        <f t="shared" si="23"/>
        <v>0.98</v>
      </c>
      <c r="BN121" s="439">
        <v>1.0</v>
      </c>
      <c r="BO121" s="139">
        <v>0.0</v>
      </c>
      <c r="BP121" s="140">
        <v>1.0</v>
      </c>
      <c r="BQ121" s="141">
        <f t="shared" si="24"/>
        <v>0</v>
      </c>
      <c r="BR121" s="104" t="str">
        <f t="shared" si="25"/>
        <v>1010</v>
      </c>
      <c r="BS121" s="104" t="str">
        <f t="shared" si="26"/>
        <v>MDA1/2+T2</v>
      </c>
      <c r="BT121" s="142" t="str">
        <f t="shared" si="42"/>
        <v>IVM+ALB or DEC +ALB</v>
      </c>
      <c r="BU121" s="104" t="str">
        <f t="shared" si="28"/>
        <v>PZQ</v>
      </c>
      <c r="BV121" s="104" t="str">
        <f t="shared" si="29"/>
        <v>lf+schist </v>
      </c>
      <c r="BW121" s="150" t="str">
        <f t="shared" si="30"/>
        <v/>
      </c>
      <c r="BX121" s="312">
        <f t="shared" si="31"/>
        <v>7368.209015</v>
      </c>
      <c r="BY121" s="162">
        <f t="shared" si="32"/>
        <v>27991.44757</v>
      </c>
      <c r="BZ121" s="152" t="str">
        <f t="shared" si="33"/>
        <v/>
      </c>
      <c r="CA121" s="152" t="str">
        <f t="shared" si="34"/>
        <v/>
      </c>
      <c r="CB121" s="152" t="str">
        <f t="shared" si="35"/>
        <v/>
      </c>
      <c r="CC121" s="153" t="str">
        <f t="shared" si="36"/>
        <v/>
      </c>
      <c r="CD121" s="153" t="str">
        <f t="shared" si="37"/>
        <v/>
      </c>
      <c r="CE121" s="154" t="str">
        <f t="shared" si="38"/>
        <v/>
      </c>
      <c r="CF121" s="154" t="str">
        <f t="shared" si="39"/>
        <v/>
      </c>
      <c r="CG121" s="154" t="str">
        <f t="shared" si="40"/>
        <v/>
      </c>
      <c r="CH121" s="308" t="str">
        <f t="shared" si="41"/>
        <v/>
      </c>
    </row>
    <row r="122">
      <c r="A122" s="103" t="s">
        <v>211</v>
      </c>
      <c r="B122" s="104" t="s">
        <v>90</v>
      </c>
      <c r="C122" s="428">
        <v>431874.0</v>
      </c>
      <c r="D122" s="161">
        <v>0.0</v>
      </c>
      <c r="E122" s="294">
        <v>0.0</v>
      </c>
      <c r="F122" s="307">
        <v>0.0</v>
      </c>
      <c r="G122" s="309">
        <v>0.0</v>
      </c>
      <c r="H122" s="108">
        <v>0.0</v>
      </c>
      <c r="I122" s="109">
        <v>0.0</v>
      </c>
      <c r="J122" s="109">
        <v>0.0</v>
      </c>
      <c r="K122" s="109">
        <v>0.0</v>
      </c>
      <c r="L122" s="112">
        <v>0.0</v>
      </c>
      <c r="M122" s="112">
        <v>0.0</v>
      </c>
      <c r="N122" s="112">
        <v>0.0</v>
      </c>
      <c r="O122" s="298">
        <v>0.0</v>
      </c>
      <c r="P122" s="114"/>
      <c r="Q122" s="114"/>
      <c r="R122" s="121" t="str">
        <f t="shared" si="4"/>
        <v/>
      </c>
      <c r="S122" s="116">
        <f t="shared" si="5"/>
        <v>0.5709301448</v>
      </c>
      <c r="T122" s="117"/>
      <c r="U122" s="118">
        <f t="shared" si="6"/>
        <v>0.4791888889</v>
      </c>
      <c r="V122" s="148"/>
      <c r="W122" s="120">
        <f t="shared" si="7"/>
        <v>0.0223</v>
      </c>
      <c r="X122" s="148"/>
      <c r="Y122" s="120">
        <f t="shared" si="8"/>
        <v>0.598275</v>
      </c>
      <c r="Z122" s="299"/>
      <c r="AA122" s="441"/>
      <c r="AB122" s="300" t="str">
        <f t="shared" si="9"/>
        <v/>
      </c>
      <c r="AC122" s="300">
        <f t="shared" si="10"/>
        <v>0.6890056172</v>
      </c>
      <c r="AD122" s="122">
        <v>0.0</v>
      </c>
      <c r="AE122" s="123">
        <v>0.0</v>
      </c>
      <c r="AF122" s="430">
        <v>0.0</v>
      </c>
      <c r="AG122" s="124">
        <v>0.0</v>
      </c>
      <c r="AH122" s="124">
        <v>0.0</v>
      </c>
      <c r="AI122" s="125">
        <v>0.0</v>
      </c>
      <c r="AJ122" s="125">
        <v>0.0</v>
      </c>
      <c r="AK122" s="127">
        <v>0.0</v>
      </c>
      <c r="AL122" s="127">
        <v>0.0</v>
      </c>
      <c r="AM122" s="302">
        <v>0.0</v>
      </c>
      <c r="AN122" s="149" t="str">
        <f>IFERROR(
  AVERAGEIFS(
    'New LF Efficacy'!$J:$J,
    'New LF Efficacy'!$D:$D, $A122,
    'New LF Efficacy'!$F:$F,"DEC", 
    'New LF Efficacy'!$W:$W,"&lt;2016",
    'New LF Efficacy'!$AA:$AA,""),
  ""
)</f>
        <v/>
      </c>
      <c r="AO122" s="115">
        <f t="shared" si="11"/>
        <v>0.3573520833</v>
      </c>
      <c r="AP122" s="149" t="str">
        <f>IFERROR(
AVERAGEIFS(
'New LF Efficacy'!$J:$J,
'New LF Efficacy'!$D:$D,$A122,
'New LF Efficacy'!$F:$F,"Albendazole &amp; DEC",
'New LF Efficacy'!$W:$W,"&lt;2016",
'New LF Efficacy'!$AA:$AA,""),
"")
</f>
        <v/>
      </c>
      <c r="AQ122" s="115">
        <f t="shared" si="12"/>
        <v>0.5143541667</v>
      </c>
      <c r="AR122" s="149" t="str">
        <f>IFERROR(
AVERAGEIFS(
'New LF Efficacy'!$J:$J,
'New LF Efficacy'!$D:$D,$A122,
'New LF Efficacy'!$F:$F,"Albendazole &amp; Ivermectin", 
'New LF Efficacy'!$W:$W,"&lt;2016",
'New LF Efficacy'!$AA:$AA,""),"")</f>
        <v/>
      </c>
      <c r="AS122" s="115">
        <f t="shared" si="13"/>
        <v>0.37153125</v>
      </c>
      <c r="AT122" s="442" t="str">
        <f>IFERROR(AVERAGEIFS(
'Schist Efficacy'!$O:$O, 
'Schist Efficacy'!$C:$C,$A122, 
'Schist Efficacy'!$D:$D, "Praziquantel",
'Schist Efficacy'!$J:$J,"&lt;2016",
'Schist Efficacy'!$U:$U,""),
"")</f>
        <v/>
      </c>
      <c r="AU122" s="118">
        <f t="shared" si="14"/>
        <v>0.655</v>
      </c>
      <c r="AV122" s="131" t="str">
        <f>IFERROR(AVERAGEIFS(
'STH Efficacy'!$AX:$AX, 
'STH Efficacy'!$AL:$AL, $A122, 
'STH Efficacy'!$AM:$AM, "Albendazole",
'STH Efficacy'!$AS:$AS,"&lt;2016",
'STH Efficacy'!$BP:$BP,""),
"")</f>
        <v/>
      </c>
      <c r="AW122" s="132">
        <f t="shared" si="15"/>
        <v>0.4143846154</v>
      </c>
      <c r="AX122" s="131" t="str">
        <f>IFERROR(AVERAGEIFS(
'STH Efficacy'!$AX:$AX, 
'STH Efficacy'!$AL:$AL, $A122, 
'STH Efficacy'!$AM:$AM, "Mebendazole",
'STH Efficacy'!$AS:$AS,"&lt;2016",
'STH Efficacy'!$BP:$BP,""),
"")</f>
        <v/>
      </c>
      <c r="AY122" s="132">
        <f t="shared" si="16"/>
        <v>0.4691770833</v>
      </c>
      <c r="AZ122" s="131" t="str">
        <f>IFERROR(AVERAGEIFS(
'STH Efficacy'!$AX:$AX, 
'STH Efficacy'!$AL:$AL, $A122, 
'STH Efficacy'!$AM:$AM, "Albendazole &amp; Ivermectin",
'STH Efficacy'!$AS:$AS,"&lt;2016",
'STH Efficacy'!$BP:$BP,""),
"")</f>
        <v/>
      </c>
      <c r="BA122" s="133">
        <f t="shared" si="17"/>
        <v>0.597625</v>
      </c>
      <c r="BB122" s="443" t="str">
        <f>IFERROR(AVERAGEIFS(
'STH Efficacy'!$N:$N, 
'STH Efficacy'!$B:$B, $A122, 
'STH Efficacy'!$C:$C, "Albendazole",
'STH Efficacy'!$I:$I,"&lt;2016",
'STH Efficacy'!$AH:$AH,""),
"")</f>
        <v/>
      </c>
      <c r="BC122" s="135">
        <f t="shared" si="18"/>
        <v>0.7613712121</v>
      </c>
      <c r="BD122" s="443" t="str">
        <f>IFERROR(AVERAGEIFS(
'STH Efficacy'!$N:$N, 
'STH Efficacy'!$B:$B, $A122, 
'STH Efficacy'!$C:$C, "Mebendazole",
'STH Efficacy'!$I:$I,"&lt;2016",
'STH Efficacy'!$AH:$AH,""),
"")</f>
        <v/>
      </c>
      <c r="BE122" s="135">
        <f t="shared" si="19"/>
        <v>0.4362466667</v>
      </c>
      <c r="BF122" s="436" t="str">
        <f>IFERROR(AVERAGEIFS(
'STH Efficacy'!$CD:$CD, 
'STH Efficacy'!$BS:$BS, $A122, 
'STH Efficacy'!$BT:$BT, "Albendazole",
'STH Efficacy'!$BZ:$BZ,"&lt;2016",
'STH Efficacy'!$CU:$CU,""),
"")</f>
        <v/>
      </c>
      <c r="BG122" s="136">
        <f t="shared" si="20"/>
        <v>0.9216027778</v>
      </c>
      <c r="BH122" s="436" t="str">
        <f>IFERROR(AVERAGEIFS(
'STH Efficacy'!$CD:$CD, 
'STH Efficacy'!$BS:$BS, $A122, 
'STH Efficacy'!$BT:$BT, "Mebendazole",
'STH Efficacy'!$BZ:$BZ,"&lt;2016",
'STH Efficacy'!$CU:$CU,""),
"")</f>
        <v/>
      </c>
      <c r="BI122" s="136">
        <f t="shared" si="21"/>
        <v>0.8866041667</v>
      </c>
      <c r="BJ122" s="436" t="str">
        <f>IFERROR(AVERAGEIFS(
'STH Efficacy'!$CD:$CD, 
'STH Efficacy'!$BS:$BS, $A122, 
'STH Efficacy'!$BT:$BT, "Albendazole &amp; Ivermectin",
'STH Efficacy'!$BZ:$BZ,"&lt;2016",
'STH Efficacy'!$CU:$CU,""),
"")</f>
        <v/>
      </c>
      <c r="BK122" s="136">
        <f t="shared" si="22"/>
        <v>0.848</v>
      </c>
      <c r="BL122" s="444" t="str">
        <f>IFERROR(
  AVERAGEIFS(
    'NEW Onchocerciasis Efficacy'!$AO:$AO,
    'NEW Onchocerciasis Efficacy'!$C:$C,$A122,
    'NEW Onchocerciasis Efficacy'!$D:$D,"Ivermectin",
    'NEW Onchocerciasis Efficacy'!$AR:$AR,"&lt;2016",
    'NEW Onchocerciasis Efficacy'!$BG:$BG,"")
,"")</f>
        <v/>
      </c>
      <c r="BM122" s="304">
        <f t="shared" si="23"/>
        <v>0.7808368939</v>
      </c>
      <c r="BN122" s="439">
        <v>0.0</v>
      </c>
      <c r="BO122" s="139">
        <v>0.0</v>
      </c>
      <c r="BP122" s="140">
        <v>0.0</v>
      </c>
      <c r="BQ122" s="141">
        <f t="shared" si="24"/>
        <v>0</v>
      </c>
      <c r="BR122" s="104" t="str">
        <f t="shared" si="25"/>
        <v>0000</v>
      </c>
      <c r="BS122" s="104" t="str">
        <f t="shared" si="26"/>
        <v>no action required</v>
      </c>
      <c r="BT122" s="142" t="str">
        <f t="shared" si="42"/>
        <v/>
      </c>
      <c r="BU122" s="104" t="str">
        <f t="shared" si="28"/>
        <v/>
      </c>
      <c r="BV122" s="104" t="str">
        <f t="shared" si="29"/>
        <v>none</v>
      </c>
      <c r="BW122" s="150" t="str">
        <f t="shared" si="30"/>
        <v/>
      </c>
      <c r="BX122" s="150" t="str">
        <f t="shared" si="31"/>
        <v/>
      </c>
      <c r="BY122" s="151" t="str">
        <f t="shared" si="32"/>
        <v/>
      </c>
      <c r="BZ122" s="152" t="str">
        <f t="shared" si="33"/>
        <v/>
      </c>
      <c r="CA122" s="152" t="str">
        <f t="shared" si="34"/>
        <v/>
      </c>
      <c r="CB122" s="152" t="str">
        <f t="shared" si="35"/>
        <v/>
      </c>
      <c r="CC122" s="153" t="str">
        <f t="shared" si="36"/>
        <v/>
      </c>
      <c r="CD122" s="153" t="str">
        <f t="shared" si="37"/>
        <v/>
      </c>
      <c r="CE122" s="154" t="str">
        <f t="shared" si="38"/>
        <v/>
      </c>
      <c r="CF122" s="154" t="str">
        <f t="shared" si="39"/>
        <v/>
      </c>
      <c r="CG122" s="154" t="str">
        <f t="shared" si="40"/>
        <v/>
      </c>
      <c r="CH122" s="308" t="str">
        <f t="shared" si="41"/>
        <v/>
      </c>
    </row>
    <row r="123">
      <c r="A123" s="103" t="s">
        <v>212</v>
      </c>
      <c r="B123" s="104" t="s">
        <v>94</v>
      </c>
      <c r="C123" s="428">
        <v>52994.0</v>
      </c>
      <c r="D123" s="161">
        <v>18.73</v>
      </c>
      <c r="E123" s="294">
        <v>0.0</v>
      </c>
      <c r="F123" s="295">
        <v>0.03933349</v>
      </c>
      <c r="G123" s="295">
        <v>0.346622191</v>
      </c>
      <c r="H123" s="108">
        <v>0.38595568</v>
      </c>
      <c r="I123" s="109">
        <v>6.91681095</v>
      </c>
      <c r="J123" s="109">
        <v>16.6257395</v>
      </c>
      <c r="K123" s="109">
        <v>23.54255047</v>
      </c>
      <c r="L123" s="112">
        <v>0.80479084</v>
      </c>
      <c r="M123" s="112">
        <v>0.359423416</v>
      </c>
      <c r="N123" s="112">
        <v>1.164214256</v>
      </c>
      <c r="O123" s="298">
        <v>0.0</v>
      </c>
      <c r="P123" s="156"/>
      <c r="Q123" s="156"/>
      <c r="R123" s="121" t="str">
        <f t="shared" si="4"/>
        <v/>
      </c>
      <c r="S123" s="116">
        <f t="shared" si="5"/>
        <v>0.3783554476</v>
      </c>
      <c r="T123" s="117"/>
      <c r="U123" s="118">
        <f t="shared" si="6"/>
        <v>0.73965</v>
      </c>
      <c r="V123" s="119">
        <v>1.0</v>
      </c>
      <c r="W123" s="120">
        <f t="shared" si="7"/>
        <v>1</v>
      </c>
      <c r="X123" s="119">
        <v>1.0</v>
      </c>
      <c r="Y123" s="120">
        <f t="shared" si="8"/>
        <v>1</v>
      </c>
      <c r="Z123" s="299"/>
      <c r="AA123" s="441"/>
      <c r="AB123" s="300" t="str">
        <f t="shared" si="9"/>
        <v/>
      </c>
      <c r="AC123" s="300">
        <f t="shared" si="10"/>
        <v>0.6890056172</v>
      </c>
      <c r="AD123" s="122">
        <v>0.0</v>
      </c>
      <c r="AE123" s="123">
        <v>0.0</v>
      </c>
      <c r="AF123" s="430">
        <v>0.0</v>
      </c>
      <c r="AG123" s="316">
        <v>0.0</v>
      </c>
      <c r="AH123" s="316">
        <v>0.053379028</v>
      </c>
      <c r="AI123" s="317">
        <v>0.0</v>
      </c>
      <c r="AJ123" s="317">
        <v>0.237522879</v>
      </c>
      <c r="AK123" s="319">
        <v>0.0</v>
      </c>
      <c r="AL123" s="319">
        <v>0.05790872</v>
      </c>
      <c r="AM123" s="302">
        <v>0.0</v>
      </c>
      <c r="AN123" s="149" t="str">
        <f>IFERROR(
  AVERAGEIFS(
    'New LF Efficacy'!$J:$J,
    'New LF Efficacy'!$D:$D, $A123,
    'New LF Efficacy'!$F:$F,"DEC", 
    'New LF Efficacy'!$W:$W,"&lt;2016",
    'New LF Efficacy'!$AA:$AA,""),
  ""
)</f>
        <v/>
      </c>
      <c r="AO123" s="115">
        <f t="shared" si="11"/>
        <v>0.38</v>
      </c>
      <c r="AP123" s="149" t="str">
        <f>IFERROR(
AVERAGEIFS(
'New LF Efficacy'!$J:$J,
'New LF Efficacy'!$D:$D,$A123,
'New LF Efficacy'!$F:$F,"Albendazole &amp; DEC",
'New LF Efficacy'!$W:$W,"&lt;2016",
'New LF Efficacy'!$AA:$AA,""),
"")
</f>
        <v/>
      </c>
      <c r="AQ123" s="115">
        <f t="shared" si="12"/>
        <v>0.662</v>
      </c>
      <c r="AR123" s="149" t="str">
        <f>IFERROR(
AVERAGEIFS(
'New LF Efficacy'!$J:$J,
'New LF Efficacy'!$D:$D,$A123,
'New LF Efficacy'!$F:$F,"Albendazole &amp; Ivermectin", 
'New LF Efficacy'!$W:$W,"&lt;2016",
'New LF Efficacy'!$AA:$AA,""),"")</f>
        <v/>
      </c>
      <c r="AS123" s="115">
        <f t="shared" si="13"/>
        <v>0.37153125</v>
      </c>
      <c r="AT123" s="442" t="str">
        <f>IFERROR(AVERAGEIFS(
'Schist Efficacy'!$O:$O, 
'Schist Efficacy'!$C:$C,$A123, 
'Schist Efficacy'!$D:$D, "Praziquantel",
'Schist Efficacy'!$J:$J,"&lt;2016",
'Schist Efficacy'!$U:$U,""),
"")</f>
        <v/>
      </c>
      <c r="AU123" s="118">
        <f t="shared" si="14"/>
        <v>0.9475</v>
      </c>
      <c r="AV123" s="131" t="str">
        <f>IFERROR(AVERAGEIFS(
'STH Efficacy'!$AX:$AX, 
'STH Efficacy'!$AL:$AL, $A123, 
'STH Efficacy'!$AM:$AM, "Albendazole",
'STH Efficacy'!$AS:$AS,"&lt;2016",
'STH Efficacy'!$BP:$BP,""),
"")</f>
        <v/>
      </c>
      <c r="AW123" s="132">
        <f t="shared" si="15"/>
        <v>0.3571666667</v>
      </c>
      <c r="AX123" s="131" t="str">
        <f>IFERROR(AVERAGEIFS(
'STH Efficacy'!$AX:$AX, 
'STH Efficacy'!$AL:$AL, $A123, 
'STH Efficacy'!$AM:$AM, "Mebendazole",
'STH Efficacy'!$AS:$AS,"&lt;2016",
'STH Efficacy'!$BP:$BP,""),
"")</f>
        <v/>
      </c>
      <c r="AY123" s="132">
        <f t="shared" si="16"/>
        <v>0.4155</v>
      </c>
      <c r="AZ123" s="131" t="str">
        <f>IFERROR(AVERAGEIFS(
'STH Efficacy'!$AX:$AX, 
'STH Efficacy'!$AL:$AL, $A123, 
'STH Efficacy'!$AM:$AM, "Albendazole &amp; Ivermectin",
'STH Efficacy'!$AS:$AS,"&lt;2016",
'STH Efficacy'!$BP:$BP,""),
"")</f>
        <v/>
      </c>
      <c r="BA123" s="133">
        <f t="shared" si="17"/>
        <v>0.651</v>
      </c>
      <c r="BB123" s="443" t="str">
        <f>IFERROR(AVERAGEIFS(
'STH Efficacy'!$N:$N, 
'STH Efficacy'!$B:$B, $A123, 
'STH Efficacy'!$C:$C, "Albendazole",
'STH Efficacy'!$I:$I,"&lt;2016",
'STH Efficacy'!$AH:$AH,""),
"")</f>
        <v/>
      </c>
      <c r="BC123" s="135">
        <f t="shared" si="18"/>
        <v>0.5769166667</v>
      </c>
      <c r="BD123" s="443" t="str">
        <f>IFERROR(AVERAGEIFS(
'STH Efficacy'!$N:$N, 
'STH Efficacy'!$B:$B, $A123, 
'STH Efficacy'!$C:$C, "Mebendazole",
'STH Efficacy'!$I:$I,"&lt;2016",
'STH Efficacy'!$AH:$AH,""),
"")</f>
        <v/>
      </c>
      <c r="BE123" s="135">
        <f t="shared" si="19"/>
        <v>0.3145</v>
      </c>
      <c r="BF123" s="436" t="str">
        <f>IFERROR(AVERAGEIFS(
'STH Efficacy'!$CD:$CD, 
'STH Efficacy'!$BS:$BS, $A123, 
'STH Efficacy'!$BT:$BT, "Albendazole",
'STH Efficacy'!$BZ:$BZ,"&lt;2016",
'STH Efficacy'!$CU:$CU,""),
"")</f>
        <v/>
      </c>
      <c r="BG123" s="136">
        <f t="shared" si="20"/>
        <v>0.96925</v>
      </c>
      <c r="BH123" s="436" t="str">
        <f>IFERROR(AVERAGEIFS(
'STH Efficacy'!$CD:$CD, 
'STH Efficacy'!$BS:$BS, $A123, 
'STH Efficacy'!$BT:$BT, "Mebendazole",
'STH Efficacy'!$BZ:$BZ,"&lt;2016",
'STH Efficacy'!$CU:$CU,""),
"")</f>
        <v/>
      </c>
      <c r="BI123" s="136">
        <f t="shared" si="21"/>
        <v>0.9305</v>
      </c>
      <c r="BJ123" s="436" t="str">
        <f>IFERROR(AVERAGEIFS(
'STH Efficacy'!$CD:$CD, 
'STH Efficacy'!$BS:$BS, $A123, 
'STH Efficacy'!$BT:$BT, "Albendazole &amp; Ivermectin",
'STH Efficacy'!$BZ:$BZ,"&lt;2016",
'STH Efficacy'!$CU:$CU,""),
"")</f>
        <v/>
      </c>
      <c r="BK123" s="136">
        <f t="shared" si="22"/>
        <v>0.848</v>
      </c>
      <c r="BL123" s="444" t="str">
        <f>IFERROR(
  AVERAGEIFS(
    'NEW Onchocerciasis Efficacy'!$AO:$AO,
    'NEW Onchocerciasis Efficacy'!$C:$C,$A123,
    'NEW Onchocerciasis Efficacy'!$D:$D,"Ivermectin",
    'NEW Onchocerciasis Efficacy'!$AR:$AR,"&lt;2016",
    'NEW Onchocerciasis Efficacy'!$BG:$BG,"")
,"")</f>
        <v/>
      </c>
      <c r="BM123" s="304">
        <f t="shared" si="23"/>
        <v>0.7808368939</v>
      </c>
      <c r="BN123" s="439">
        <v>0.0</v>
      </c>
      <c r="BO123" s="139">
        <v>1.0</v>
      </c>
      <c r="BP123" s="140">
        <v>0.0</v>
      </c>
      <c r="BQ123" s="141">
        <f t="shared" si="24"/>
        <v>0</v>
      </c>
      <c r="BR123" s="104" t="str">
        <f t="shared" si="25"/>
        <v>0100</v>
      </c>
      <c r="BS123" s="104" t="str">
        <f t="shared" si="26"/>
        <v>MDA3</v>
      </c>
      <c r="BT123" s="142" t="str">
        <f t="shared" si="42"/>
        <v>IVM</v>
      </c>
      <c r="BU123" s="104" t="str">
        <f t="shared" si="28"/>
        <v/>
      </c>
      <c r="BV123" s="104" t="str">
        <f t="shared" si="29"/>
        <v>onch only</v>
      </c>
      <c r="BW123" s="150" t="str">
        <f t="shared" si="30"/>
        <v/>
      </c>
      <c r="BX123" s="150" t="str">
        <f t="shared" si="31"/>
        <v/>
      </c>
      <c r="BY123" s="151" t="str">
        <f t="shared" si="32"/>
        <v/>
      </c>
      <c r="BZ123" s="152" t="str">
        <f t="shared" si="33"/>
        <v/>
      </c>
      <c r="CA123" s="152" t="str">
        <f t="shared" si="34"/>
        <v/>
      </c>
      <c r="CB123" s="152" t="str">
        <f t="shared" si="35"/>
        <v/>
      </c>
      <c r="CC123" s="153" t="str">
        <f t="shared" si="36"/>
        <v/>
      </c>
      <c r="CD123" s="153" t="str">
        <f t="shared" si="37"/>
        <v/>
      </c>
      <c r="CE123" s="154" t="str">
        <f t="shared" si="38"/>
        <v/>
      </c>
      <c r="CF123" s="154" t="str">
        <f t="shared" si="39"/>
        <v/>
      </c>
      <c r="CG123" s="154" t="str">
        <f t="shared" si="40"/>
        <v/>
      </c>
      <c r="CH123" s="313">
        <f t="shared" si="41"/>
        <v>0</v>
      </c>
    </row>
    <row r="124">
      <c r="A124" s="103" t="s">
        <v>213</v>
      </c>
      <c r="B124" s="104" t="s">
        <v>92</v>
      </c>
      <c r="C124" s="428">
        <v>4182341.0</v>
      </c>
      <c r="D124" s="161">
        <v>99.57</v>
      </c>
      <c r="E124" s="294">
        <v>6625.887118</v>
      </c>
      <c r="F124" s="295">
        <v>0.417987365</v>
      </c>
      <c r="G124" s="295">
        <v>2.167105104</v>
      </c>
      <c r="H124" s="108">
        <v>2.585092468</v>
      </c>
      <c r="I124" s="109">
        <v>26.3343016</v>
      </c>
      <c r="J124" s="109">
        <v>80.5663841</v>
      </c>
      <c r="K124" s="109">
        <v>106.9006858</v>
      </c>
      <c r="L124" s="112">
        <v>62.91897942</v>
      </c>
      <c r="M124" s="112">
        <v>13.03854274</v>
      </c>
      <c r="N124" s="112">
        <v>75.95752216</v>
      </c>
      <c r="O124" s="298">
        <v>0.0</v>
      </c>
      <c r="P124" s="114"/>
      <c r="Q124" s="114"/>
      <c r="R124" s="121" t="str">
        <f t="shared" si="4"/>
        <v/>
      </c>
      <c r="S124" s="116">
        <f t="shared" si="5"/>
        <v>0.3345096109</v>
      </c>
      <c r="T124" s="118">
        <v>0.212</v>
      </c>
      <c r="U124" s="118">
        <f t="shared" si="6"/>
        <v>0.212</v>
      </c>
      <c r="V124" s="148"/>
      <c r="W124" s="120">
        <f t="shared" si="7"/>
        <v>0.8084736842</v>
      </c>
      <c r="X124" s="148"/>
      <c r="Y124" s="120">
        <f t="shared" si="8"/>
        <v>0.5938357143</v>
      </c>
      <c r="Z124" s="299"/>
      <c r="AA124" s="441"/>
      <c r="AB124" s="300" t="str">
        <f t="shared" si="9"/>
        <v/>
      </c>
      <c r="AC124" s="300">
        <f t="shared" si="10"/>
        <v>0.6375203308</v>
      </c>
      <c r="AD124" s="122">
        <v>2.0E-4</v>
      </c>
      <c r="AE124" s="123">
        <v>0.19</v>
      </c>
      <c r="AF124" s="430">
        <v>0.0517</v>
      </c>
      <c r="AG124" s="316">
        <v>0.0</v>
      </c>
      <c r="AH124" s="316">
        <v>0.032936073</v>
      </c>
      <c r="AI124" s="317">
        <v>0.0</v>
      </c>
      <c r="AJ124" s="317">
        <v>0.030045288</v>
      </c>
      <c r="AK124" s="319">
        <v>0.0</v>
      </c>
      <c r="AL124" s="319">
        <v>0.008083287</v>
      </c>
      <c r="AM124" s="302">
        <v>0.0</v>
      </c>
      <c r="AN124" s="149" t="str">
        <f>IFERROR(
  AVERAGEIFS(
    'New LF Efficacy'!$J:$J,
    'New LF Efficacy'!$D:$D, $A124,
    'New LF Efficacy'!$F:$F,"DEC", 
    'New LF Efficacy'!$W:$W,"&lt;2016",
    'New LF Efficacy'!$AA:$AA,""),
  ""
)</f>
        <v/>
      </c>
      <c r="AO124" s="115">
        <f t="shared" si="11"/>
        <v>0.31225</v>
      </c>
      <c r="AP124" s="149" t="str">
        <f>IFERROR(
AVERAGEIFS(
'New LF Efficacy'!$J:$J,
'New LF Efficacy'!$D:$D,$A124,
'New LF Efficacy'!$F:$F,"Albendazole &amp; DEC",
'New LF Efficacy'!$W:$W,"&lt;2016",
'New LF Efficacy'!$AA:$AA,""),
"")
</f>
        <v/>
      </c>
      <c r="AQ124" s="115">
        <f t="shared" si="12"/>
        <v>0.4</v>
      </c>
      <c r="AR124" s="149" t="str">
        <f>IFERROR(
AVERAGEIFS(
'New LF Efficacy'!$J:$J,
'New LF Efficacy'!$D:$D,$A124,
'New LF Efficacy'!$F:$F,"Albendazole &amp; Ivermectin", 
'New LF Efficacy'!$W:$W,"&lt;2016",
'New LF Efficacy'!$AA:$AA,""),"")</f>
        <v/>
      </c>
      <c r="AS124" s="115">
        <f t="shared" si="13"/>
        <v>0.2943125</v>
      </c>
      <c r="AT124" s="442">
        <f>IFERROR(AVERAGEIFS(
'Schist Efficacy'!$O:$O, 
'Schist Efficacy'!$C:$C,$A124, 
'Schist Efficacy'!$D:$D, "Praziquantel",
'Schist Efficacy'!$J:$J,"&lt;2016",
'Schist Efficacy'!$U:$U,""),
"")</f>
        <v>0.78825</v>
      </c>
      <c r="AU124" s="118">
        <f t="shared" si="14"/>
        <v>0.78825</v>
      </c>
      <c r="AV124" s="131" t="str">
        <f>IFERROR(AVERAGEIFS(
'STH Efficacy'!$AX:$AX, 
'STH Efficacy'!$AL:$AL, $A124, 
'STH Efficacy'!$AM:$AM, "Albendazole",
'STH Efficacy'!$AS:$AS,"&lt;2016",
'STH Efficacy'!$BP:$BP,""),
"")</f>
        <v/>
      </c>
      <c r="AW124" s="132">
        <f t="shared" si="15"/>
        <v>0.3816333333</v>
      </c>
      <c r="AX124" s="131" t="str">
        <f>IFERROR(AVERAGEIFS(
'STH Efficacy'!$AX:$AX, 
'STH Efficacy'!$AL:$AL, $A124, 
'STH Efficacy'!$AM:$AM, "Mebendazole",
'STH Efficacy'!$AS:$AS,"&lt;2016",
'STH Efficacy'!$BP:$BP,""),
"")</f>
        <v/>
      </c>
      <c r="AY124" s="132">
        <f t="shared" si="16"/>
        <v>0.4859375</v>
      </c>
      <c r="AZ124" s="131" t="str">
        <f>IFERROR(AVERAGEIFS(
'STH Efficacy'!$AX:$AX, 
'STH Efficacy'!$AL:$AL, $A124, 
'STH Efficacy'!$AM:$AM, "Albendazole &amp; Ivermectin",
'STH Efficacy'!$AS:$AS,"&lt;2016",
'STH Efficacy'!$BP:$BP,""),
"")</f>
        <v/>
      </c>
      <c r="BA124" s="133">
        <f t="shared" si="17"/>
        <v>0.47175</v>
      </c>
      <c r="BB124" s="443" t="str">
        <f>IFERROR(AVERAGEIFS(
'STH Efficacy'!$N:$N, 
'STH Efficacy'!$B:$B, $A124, 
'STH Efficacy'!$C:$C, "Albendazole",
'STH Efficacy'!$I:$I,"&lt;2016",
'STH Efficacy'!$AH:$AH,""),
"")</f>
        <v/>
      </c>
      <c r="BC124" s="135">
        <f t="shared" si="18"/>
        <v>0.8699166667</v>
      </c>
      <c r="BD124" s="443" t="str">
        <f>IFERROR(AVERAGEIFS(
'STH Efficacy'!$N:$N, 
'STH Efficacy'!$B:$B, $A124, 
'STH Efficacy'!$C:$C, "Mebendazole",
'STH Efficacy'!$I:$I,"&lt;2016",
'STH Efficacy'!$AH:$AH,""),
"")</f>
        <v/>
      </c>
      <c r="BE124" s="135">
        <f t="shared" si="19"/>
        <v>0.7092416667</v>
      </c>
      <c r="BF124" s="436" t="str">
        <f>IFERROR(AVERAGEIFS(
'STH Efficacy'!$CD:$CD, 
'STH Efficacy'!$BS:$BS, $A124, 
'STH Efficacy'!$BT:$BT, "Albendazole",
'STH Efficacy'!$BZ:$BZ,"&lt;2016",
'STH Efficacy'!$CU:$CU,""),
"")</f>
        <v/>
      </c>
      <c r="BG124" s="136">
        <f t="shared" si="20"/>
        <v>0.9066666667</v>
      </c>
      <c r="BH124" s="436" t="str">
        <f>IFERROR(AVERAGEIFS(
'STH Efficacy'!$CD:$CD, 
'STH Efficacy'!$BS:$BS, $A124, 
'STH Efficacy'!$BT:$BT, "Mebendazole",
'STH Efficacy'!$BZ:$BZ,"&lt;2016",
'STH Efficacy'!$CU:$CU,""),
"")</f>
        <v/>
      </c>
      <c r="BI124" s="136">
        <f t="shared" si="21"/>
        <v>0.8483333333</v>
      </c>
      <c r="BJ124" s="436" t="str">
        <f>IFERROR(AVERAGEIFS(
'STH Efficacy'!$CD:$CD, 
'STH Efficacy'!$BS:$BS, $A124, 
'STH Efficacy'!$BT:$BT, "Albendazole &amp; Ivermectin",
'STH Efficacy'!$BZ:$BZ,"&lt;2016",
'STH Efficacy'!$CU:$CU,""),
"")</f>
        <v/>
      </c>
      <c r="BK124" s="136">
        <f t="shared" si="22"/>
        <v>0.696</v>
      </c>
      <c r="BL124" s="444" t="str">
        <f>IFERROR(
  AVERAGEIFS(
    'NEW Onchocerciasis Efficacy'!$AO:$AO,
    'NEW Onchocerciasis Efficacy'!$C:$C,$A124,
    'NEW Onchocerciasis Efficacy'!$D:$D,"Ivermectin",
    'NEW Onchocerciasis Efficacy'!$AR:$AR,"&lt;2016",
    'NEW Onchocerciasis Efficacy'!$BG:$BG,"")
,"")</f>
        <v/>
      </c>
      <c r="BM124" s="304">
        <f t="shared" si="23"/>
        <v>0.8390421645</v>
      </c>
      <c r="BN124" s="439">
        <v>0.0</v>
      </c>
      <c r="BO124" s="139">
        <v>0.0</v>
      </c>
      <c r="BP124" s="140">
        <v>1.0</v>
      </c>
      <c r="BQ124" s="141">
        <f t="shared" si="24"/>
        <v>0</v>
      </c>
      <c r="BR124" s="104" t="str">
        <f t="shared" si="25"/>
        <v>0010</v>
      </c>
      <c r="BS124" s="104" t="str">
        <f t="shared" si="26"/>
        <v>T2</v>
      </c>
      <c r="BT124" s="142" t="str">
        <f t="shared" si="42"/>
        <v/>
      </c>
      <c r="BU124" s="104" t="str">
        <f t="shared" si="28"/>
        <v>PZQ</v>
      </c>
      <c r="BV124" s="104" t="str">
        <f t="shared" si="29"/>
        <v>schist only</v>
      </c>
      <c r="BW124" s="150" t="str">
        <f t="shared" si="30"/>
        <v/>
      </c>
      <c r="BX124" s="150" t="str">
        <f t="shared" si="31"/>
        <v/>
      </c>
      <c r="BY124" s="162">
        <f t="shared" si="32"/>
        <v>1329.40009</v>
      </c>
      <c r="BZ124" s="152" t="str">
        <f t="shared" si="33"/>
        <v/>
      </c>
      <c r="CA124" s="152" t="str">
        <f t="shared" si="34"/>
        <v/>
      </c>
      <c r="CB124" s="152" t="str">
        <f t="shared" si="35"/>
        <v/>
      </c>
      <c r="CC124" s="153" t="str">
        <f t="shared" si="36"/>
        <v/>
      </c>
      <c r="CD124" s="153" t="str">
        <f t="shared" si="37"/>
        <v/>
      </c>
      <c r="CE124" s="154" t="str">
        <f t="shared" si="38"/>
        <v/>
      </c>
      <c r="CF124" s="154" t="str">
        <f t="shared" si="39"/>
        <v/>
      </c>
      <c r="CG124" s="154" t="str">
        <f t="shared" si="40"/>
        <v/>
      </c>
      <c r="CH124" s="308" t="str">
        <f t="shared" si="41"/>
        <v/>
      </c>
    </row>
    <row r="125">
      <c r="A125" s="103" t="s">
        <v>214</v>
      </c>
      <c r="B125" s="104" t="s">
        <v>92</v>
      </c>
      <c r="C125" s="428">
        <v>1262605.0</v>
      </c>
      <c r="D125" s="161">
        <v>0.0</v>
      </c>
      <c r="E125" s="294">
        <v>1239.708923</v>
      </c>
      <c r="F125" s="307">
        <v>0.0</v>
      </c>
      <c r="G125" s="309">
        <v>0.0</v>
      </c>
      <c r="H125" s="108">
        <v>0.0</v>
      </c>
      <c r="I125" s="109">
        <v>0.00321789</v>
      </c>
      <c r="J125" s="109">
        <v>0.00524313</v>
      </c>
      <c r="K125" s="109">
        <v>0.008461021</v>
      </c>
      <c r="L125" s="112">
        <v>0.287840692</v>
      </c>
      <c r="M125" s="112">
        <v>0.129689407</v>
      </c>
      <c r="N125" s="112">
        <v>0.417530098</v>
      </c>
      <c r="O125" s="324">
        <v>0.0</v>
      </c>
      <c r="P125" s="156"/>
      <c r="Q125" s="156"/>
      <c r="R125" s="121" t="str">
        <f t="shared" si="4"/>
        <v/>
      </c>
      <c r="S125" s="116">
        <f t="shared" si="5"/>
        <v>0.3345096109</v>
      </c>
      <c r="T125" s="117"/>
      <c r="U125" s="118">
        <f t="shared" si="6"/>
        <v>0.4220357143</v>
      </c>
      <c r="V125" s="148"/>
      <c r="W125" s="120">
        <f t="shared" si="7"/>
        <v>0.8084736842</v>
      </c>
      <c r="X125" s="148"/>
      <c r="Y125" s="120">
        <f t="shared" si="8"/>
        <v>0.5938357143</v>
      </c>
      <c r="Z125" s="299"/>
      <c r="AA125" s="441"/>
      <c r="AB125" s="300" t="str">
        <f t="shared" si="9"/>
        <v/>
      </c>
      <c r="AC125" s="300">
        <f t="shared" si="10"/>
        <v>0.6375203308</v>
      </c>
      <c r="AD125" s="122">
        <v>0.0</v>
      </c>
      <c r="AE125" s="123">
        <v>0.07</v>
      </c>
      <c r="AF125" s="430">
        <v>0.0068</v>
      </c>
      <c r="AG125" s="124">
        <v>0.0</v>
      </c>
      <c r="AH125" s="124">
        <v>1.14541E-5</v>
      </c>
      <c r="AI125" s="125">
        <v>0.0</v>
      </c>
      <c r="AJ125" s="125">
        <v>1.11785E-5</v>
      </c>
      <c r="AK125" s="127">
        <v>0.0</v>
      </c>
      <c r="AL125" s="127">
        <v>1.14393E-5</v>
      </c>
      <c r="AM125" s="302">
        <v>0.0</v>
      </c>
      <c r="AN125" s="149" t="str">
        <f>IFERROR(
  AVERAGEIFS(
    'New LF Efficacy'!$J:$J,
    'New LF Efficacy'!$D:$D, $A125,
    'New LF Efficacy'!$F:$F,"DEC", 
    'New LF Efficacy'!$W:$W,"&lt;2016",
    'New LF Efficacy'!$AA:$AA,""),
  ""
)</f>
        <v/>
      </c>
      <c r="AO125" s="115">
        <f t="shared" si="11"/>
        <v>0.31225</v>
      </c>
      <c r="AP125" s="149" t="str">
        <f>IFERROR(
AVERAGEIFS(
'New LF Efficacy'!$J:$J,
'New LF Efficacy'!$D:$D,$A125,
'New LF Efficacy'!$F:$F,"Albendazole &amp; DEC",
'New LF Efficacy'!$W:$W,"&lt;2016",
'New LF Efficacy'!$AA:$AA,""),
"")
</f>
        <v/>
      </c>
      <c r="AQ125" s="115">
        <f t="shared" si="12"/>
        <v>0.4</v>
      </c>
      <c r="AR125" s="149" t="str">
        <f>IFERROR(
AVERAGEIFS(
'New LF Efficacy'!$J:$J,
'New LF Efficacy'!$D:$D,$A125,
'New LF Efficacy'!$F:$F,"Albendazole &amp; Ivermectin", 
'New LF Efficacy'!$W:$W,"&lt;2016",
'New LF Efficacy'!$AA:$AA,""),"")</f>
        <v/>
      </c>
      <c r="AS125" s="115">
        <f t="shared" si="13"/>
        <v>0.2943125</v>
      </c>
      <c r="AT125" s="442" t="str">
        <f>IFERROR(AVERAGEIFS(
'Schist Efficacy'!$O:$O, 
'Schist Efficacy'!$C:$C,$A125, 
'Schist Efficacy'!$D:$D, "Praziquantel",
'Schist Efficacy'!$J:$J,"&lt;2016",
'Schist Efficacy'!$U:$U,""),
"")</f>
        <v/>
      </c>
      <c r="AU125" s="118">
        <f t="shared" si="14"/>
        <v>0.7206464759</v>
      </c>
      <c r="AV125" s="131" t="str">
        <f>IFERROR(AVERAGEIFS(
'STH Efficacy'!$AX:$AX, 
'STH Efficacy'!$AL:$AL, $A125, 
'STH Efficacy'!$AM:$AM, "Albendazole",
'STH Efficacy'!$AS:$AS,"&lt;2016",
'STH Efficacy'!$BP:$BP,""),
"")</f>
        <v/>
      </c>
      <c r="AW125" s="132">
        <f t="shared" si="15"/>
        <v>0.3816333333</v>
      </c>
      <c r="AX125" s="131" t="str">
        <f>IFERROR(AVERAGEIFS(
'STH Efficacy'!$AX:$AX, 
'STH Efficacy'!$AL:$AL, $A125, 
'STH Efficacy'!$AM:$AM, "Mebendazole",
'STH Efficacy'!$AS:$AS,"&lt;2016",
'STH Efficacy'!$BP:$BP,""),
"")</f>
        <v/>
      </c>
      <c r="AY125" s="132">
        <f t="shared" si="16"/>
        <v>0.4859375</v>
      </c>
      <c r="AZ125" s="131" t="str">
        <f>IFERROR(AVERAGEIFS(
'STH Efficacy'!$AX:$AX, 
'STH Efficacy'!$AL:$AL, $A125, 
'STH Efficacy'!$AM:$AM, "Albendazole &amp; Ivermectin",
'STH Efficacy'!$AS:$AS,"&lt;2016",
'STH Efficacy'!$BP:$BP,""),
"")</f>
        <v/>
      </c>
      <c r="BA125" s="133">
        <f t="shared" si="17"/>
        <v>0.47175</v>
      </c>
      <c r="BB125" s="443" t="str">
        <f>IFERROR(AVERAGEIFS(
'STH Efficacy'!$N:$N, 
'STH Efficacy'!$B:$B, $A125, 
'STH Efficacy'!$C:$C, "Albendazole",
'STH Efficacy'!$I:$I,"&lt;2016",
'STH Efficacy'!$AH:$AH,""),
"")</f>
        <v/>
      </c>
      <c r="BC125" s="135">
        <f t="shared" si="18"/>
        <v>0.8699166667</v>
      </c>
      <c r="BD125" s="443" t="str">
        <f>IFERROR(AVERAGEIFS(
'STH Efficacy'!$N:$N, 
'STH Efficacy'!$B:$B, $A125, 
'STH Efficacy'!$C:$C, "Mebendazole",
'STH Efficacy'!$I:$I,"&lt;2016",
'STH Efficacy'!$AH:$AH,""),
"")</f>
        <v/>
      </c>
      <c r="BE125" s="135">
        <f t="shared" si="19"/>
        <v>0.7092416667</v>
      </c>
      <c r="BF125" s="436" t="str">
        <f>IFERROR(AVERAGEIFS(
'STH Efficacy'!$CD:$CD, 
'STH Efficacy'!$BS:$BS, $A125, 
'STH Efficacy'!$BT:$BT, "Albendazole",
'STH Efficacy'!$BZ:$BZ,"&lt;2016",
'STH Efficacy'!$CU:$CU,""),
"")</f>
        <v/>
      </c>
      <c r="BG125" s="136">
        <f t="shared" si="20"/>
        <v>0.9066666667</v>
      </c>
      <c r="BH125" s="436" t="str">
        <f>IFERROR(AVERAGEIFS(
'STH Efficacy'!$CD:$CD, 
'STH Efficacy'!$BS:$BS, $A125, 
'STH Efficacy'!$BT:$BT, "Mebendazole",
'STH Efficacy'!$BZ:$BZ,"&lt;2016",
'STH Efficacy'!$CU:$CU,""),
"")</f>
        <v/>
      </c>
      <c r="BI125" s="136">
        <f t="shared" si="21"/>
        <v>0.8483333333</v>
      </c>
      <c r="BJ125" s="436" t="str">
        <f>IFERROR(AVERAGEIFS(
'STH Efficacy'!$CD:$CD, 
'STH Efficacy'!$BS:$BS, $A125, 
'STH Efficacy'!$BT:$BT, "Albendazole &amp; Ivermectin",
'STH Efficacy'!$BZ:$BZ,"&lt;2016",
'STH Efficacy'!$CU:$CU,""),
"")</f>
        <v/>
      </c>
      <c r="BK125" s="136">
        <f t="shared" si="22"/>
        <v>0.696</v>
      </c>
      <c r="BL125" s="444" t="str">
        <f>IFERROR(
  AVERAGEIFS(
    'NEW Onchocerciasis Efficacy'!$AO:$AO,
    'NEW Onchocerciasis Efficacy'!$C:$C,$A125,
    'NEW Onchocerciasis Efficacy'!$D:$D,"Ivermectin",
    'NEW Onchocerciasis Efficacy'!$AR:$AR,"&lt;2016",
    'NEW Onchocerciasis Efficacy'!$BG:$BG,"")
,"")</f>
        <v/>
      </c>
      <c r="BM125" s="304">
        <f t="shared" si="23"/>
        <v>0.8390421645</v>
      </c>
      <c r="BN125" s="439">
        <v>0.0</v>
      </c>
      <c r="BO125" s="139">
        <v>0.0</v>
      </c>
      <c r="BP125" s="140">
        <v>1.0</v>
      </c>
      <c r="BQ125" s="141">
        <f t="shared" si="24"/>
        <v>0</v>
      </c>
      <c r="BR125" s="104" t="str">
        <f t="shared" si="25"/>
        <v>0010</v>
      </c>
      <c r="BS125" s="104" t="str">
        <f t="shared" si="26"/>
        <v>T2</v>
      </c>
      <c r="BT125" s="142" t="str">
        <f t="shared" si="42"/>
        <v/>
      </c>
      <c r="BU125" s="104" t="str">
        <f t="shared" si="28"/>
        <v>PZQ</v>
      </c>
      <c r="BV125" s="104" t="str">
        <f t="shared" si="29"/>
        <v>schist only</v>
      </c>
      <c r="BW125" s="150" t="str">
        <f t="shared" si="30"/>
        <v/>
      </c>
      <c r="BX125" s="150" t="str">
        <f t="shared" si="31"/>
        <v/>
      </c>
      <c r="BY125" s="162">
        <f t="shared" si="32"/>
        <v>541.8367042</v>
      </c>
      <c r="BZ125" s="152" t="str">
        <f t="shared" si="33"/>
        <v/>
      </c>
      <c r="CA125" s="152" t="str">
        <f t="shared" si="34"/>
        <v/>
      </c>
      <c r="CB125" s="152" t="str">
        <f t="shared" si="35"/>
        <v/>
      </c>
      <c r="CC125" s="153" t="str">
        <f t="shared" si="36"/>
        <v/>
      </c>
      <c r="CD125" s="153" t="str">
        <f t="shared" si="37"/>
        <v/>
      </c>
      <c r="CE125" s="154" t="str">
        <f t="shared" si="38"/>
        <v/>
      </c>
      <c r="CF125" s="154" t="str">
        <f t="shared" si="39"/>
        <v/>
      </c>
      <c r="CG125" s="154" t="str">
        <f t="shared" si="40"/>
        <v/>
      </c>
      <c r="CH125" s="308" t="str">
        <f t="shared" si="41"/>
        <v/>
      </c>
    </row>
    <row r="126">
      <c r="A126" s="103" t="s">
        <v>215</v>
      </c>
      <c r="B126" s="104" t="s">
        <v>98</v>
      </c>
      <c r="C126" s="428">
        <v>1.25890949E8</v>
      </c>
      <c r="D126" s="161">
        <v>0.0</v>
      </c>
      <c r="E126" s="294">
        <v>0.0</v>
      </c>
      <c r="F126" s="295">
        <v>972.3933015</v>
      </c>
      <c r="G126" s="322">
        <v>5215.345768</v>
      </c>
      <c r="H126" s="108">
        <v>6187.739069</v>
      </c>
      <c r="I126" s="109">
        <v>6.94872033</v>
      </c>
      <c r="J126" s="109">
        <v>14.2070757</v>
      </c>
      <c r="K126" s="110">
        <v>21.15579606</v>
      </c>
      <c r="L126" s="111">
        <v>1552.874918</v>
      </c>
      <c r="M126" s="111">
        <v>3308.779054</v>
      </c>
      <c r="N126" s="112">
        <v>4861.653972</v>
      </c>
      <c r="O126" s="324">
        <v>2.6191E-78</v>
      </c>
      <c r="P126" s="114"/>
      <c r="Q126" s="114"/>
      <c r="R126" s="121" t="str">
        <f t="shared" si="4"/>
        <v/>
      </c>
      <c r="S126" s="116">
        <f t="shared" si="5"/>
        <v>0.3565746084</v>
      </c>
      <c r="T126" s="117"/>
      <c r="U126" s="118">
        <f t="shared" si="6"/>
        <v>0.4791888889</v>
      </c>
      <c r="V126" s="119">
        <v>1.0</v>
      </c>
      <c r="W126" s="120">
        <f t="shared" si="7"/>
        <v>1</v>
      </c>
      <c r="X126" s="119">
        <v>1.0</v>
      </c>
      <c r="Y126" s="120">
        <f t="shared" si="8"/>
        <v>1</v>
      </c>
      <c r="Z126" s="298" t="s">
        <v>389</v>
      </c>
      <c r="AA126" s="298" t="s">
        <v>373</v>
      </c>
      <c r="AB126" s="300" t="str">
        <f t="shared" si="9"/>
        <v/>
      </c>
      <c r="AC126" s="300">
        <f t="shared" si="10"/>
        <v>0.7101368438</v>
      </c>
      <c r="AD126" s="122">
        <v>0.0</v>
      </c>
      <c r="AE126" s="123">
        <v>0.0</v>
      </c>
      <c r="AF126" s="430">
        <v>0.0</v>
      </c>
      <c r="AG126" s="316">
        <v>0.0</v>
      </c>
      <c r="AH126" s="124">
        <v>0.174002815</v>
      </c>
      <c r="AI126" s="125">
        <v>1.0E-4</v>
      </c>
      <c r="AJ126" s="125">
        <v>9.10425E-5</v>
      </c>
      <c r="AK126" s="319">
        <v>0.0</v>
      </c>
      <c r="AL126" s="319">
        <v>0.153970854</v>
      </c>
      <c r="AM126" s="302">
        <v>0.0</v>
      </c>
      <c r="AN126" s="149" t="str">
        <f>IFERROR(
  AVERAGEIFS(
    'New LF Efficacy'!$J:$J,
    'New LF Efficacy'!$D:$D, $A126,
    'New LF Efficacy'!$F:$F,"DEC", 
    'New LF Efficacy'!$W:$W,"&lt;2016",
    'New LF Efficacy'!$AA:$AA,""),
  ""
)</f>
        <v/>
      </c>
      <c r="AO126" s="115">
        <f t="shared" si="11"/>
        <v>0.2589833333</v>
      </c>
      <c r="AP126" s="149" t="str">
        <f>IFERROR(
AVERAGEIFS(
'New LF Efficacy'!$J:$J,
'New LF Efficacy'!$D:$D,$A126,
'New LF Efficacy'!$F:$F,"Albendazole &amp; DEC",
'New LF Efficacy'!$W:$W,"&lt;2016",
'New LF Efficacy'!$AA:$AA,""),
"")
</f>
        <v/>
      </c>
      <c r="AQ126" s="115">
        <f t="shared" si="12"/>
        <v>0.3465</v>
      </c>
      <c r="AR126" s="149" t="str">
        <f>IFERROR(
AVERAGEIFS(
'New LF Efficacy'!$J:$J,
'New LF Efficacy'!$D:$D,$A126,
'New LF Efficacy'!$F:$F,"Albendazole &amp; Ivermectin", 
'New LF Efficacy'!$W:$W,"&lt;2016",
'New LF Efficacy'!$AA:$AA,""),"")</f>
        <v/>
      </c>
      <c r="AS126" s="115">
        <f t="shared" si="13"/>
        <v>0.7575</v>
      </c>
      <c r="AT126" s="442" t="str">
        <f>IFERROR(AVERAGEIFS(
'Schist Efficacy'!$O:$O, 
'Schist Efficacy'!$C:$C,$A126, 
'Schist Efficacy'!$D:$D, "Praziquantel",
'Schist Efficacy'!$J:$J,"&lt;2016",
'Schist Efficacy'!$U:$U,""),
"")</f>
        <v/>
      </c>
      <c r="AU126" s="118">
        <f t="shared" si="14"/>
        <v>0.7914761905</v>
      </c>
      <c r="AV126" s="131" t="str">
        <f>IFERROR(AVERAGEIFS(
'STH Efficacy'!$AX:$AX, 
'STH Efficacy'!$AL:$AL, $A126, 
'STH Efficacy'!$AM:$AM, "Albendazole",
'STH Efficacy'!$AS:$AS,"&lt;2016",
'STH Efficacy'!$BP:$BP,""),
"")</f>
        <v/>
      </c>
      <c r="AW126" s="132">
        <f t="shared" si="15"/>
        <v>0.3945</v>
      </c>
      <c r="AX126" s="131" t="str">
        <f>IFERROR(AVERAGEIFS(
'STH Efficacy'!$AX:$AX, 
'STH Efficacy'!$AL:$AL, $A126, 
'STH Efficacy'!$AM:$AM, "Mebendazole",
'STH Efficacy'!$AS:$AS,"&lt;2016",
'STH Efficacy'!$BP:$BP,""),
"")</f>
        <v/>
      </c>
      <c r="AY126" s="132">
        <f t="shared" si="16"/>
        <v>0.6</v>
      </c>
      <c r="AZ126" s="131" t="str">
        <f>IFERROR(AVERAGEIFS(
'STH Efficacy'!$AX:$AX, 
'STH Efficacy'!$AL:$AL, $A126, 
'STH Efficacy'!$AM:$AM, "Albendazole &amp; Ivermectin",
'STH Efficacy'!$AS:$AS,"&lt;2016",
'STH Efficacy'!$BP:$BP,""),
"")</f>
        <v/>
      </c>
      <c r="BA126" s="133">
        <f t="shared" si="17"/>
        <v>0.796</v>
      </c>
      <c r="BB126" s="443" t="str">
        <f>IFERROR(AVERAGEIFS(
'STH Efficacy'!$N:$N, 
'STH Efficacy'!$B:$B, $A126, 
'STH Efficacy'!$C:$C, "Albendazole",
'STH Efficacy'!$I:$I,"&lt;2016",
'STH Efficacy'!$AH:$AH,""),
"")</f>
        <v/>
      </c>
      <c r="BC126" s="135">
        <f t="shared" si="18"/>
        <v>0.869</v>
      </c>
      <c r="BD126" s="443" t="str">
        <f>IFERROR(AVERAGEIFS(
'STH Efficacy'!$N:$N, 
'STH Efficacy'!$B:$B, $A126, 
'STH Efficacy'!$C:$C, "Mebendazole",
'STH Efficacy'!$I:$I,"&lt;2016",
'STH Efficacy'!$AH:$AH,""),
"")</f>
        <v/>
      </c>
      <c r="BE126" s="135">
        <f t="shared" si="19"/>
        <v>0.172</v>
      </c>
      <c r="BF126" s="436" t="str">
        <f>IFERROR(AVERAGEIFS(
'STH Efficacy'!$CD:$CD, 
'STH Efficacy'!$BS:$BS, $A126, 
'STH Efficacy'!$BT:$BT, "Albendazole",
'STH Efficacy'!$BZ:$BZ,"&lt;2016",
'STH Efficacy'!$CU:$CU,""),
"")</f>
        <v/>
      </c>
      <c r="BG126" s="136">
        <f t="shared" si="20"/>
        <v>0.9862</v>
      </c>
      <c r="BH126" s="436" t="str">
        <f>IFERROR(AVERAGEIFS(
'STH Efficacy'!$CD:$CD, 
'STH Efficacy'!$BS:$BS, $A126, 
'STH Efficacy'!$BT:$BT, "Mebendazole",
'STH Efficacy'!$BZ:$BZ,"&lt;2016",
'STH Efficacy'!$CU:$CU,""),
"")</f>
        <v/>
      </c>
      <c r="BI126" s="136">
        <f t="shared" si="21"/>
        <v>0.769</v>
      </c>
      <c r="BJ126" s="436" t="str">
        <f>IFERROR(AVERAGEIFS(
'STH Efficacy'!$CD:$CD, 
'STH Efficacy'!$BS:$BS, $A126, 
'STH Efficacy'!$BT:$BT, "Albendazole &amp; Ivermectin",
'STH Efficacy'!$BZ:$BZ,"&lt;2016",
'STH Efficacy'!$CU:$CU,""),
"")</f>
        <v/>
      </c>
      <c r="BK126" s="136">
        <f t="shared" si="22"/>
        <v>1</v>
      </c>
      <c r="BL126" s="444" t="str">
        <f>IFERROR(
  AVERAGEIFS(
    'NEW Onchocerciasis Efficacy'!$AO:$AO,
    'NEW Onchocerciasis Efficacy'!$C:$C,$A126,
    'NEW Onchocerciasis Efficacy'!$D:$D,"Ivermectin",
    'NEW Onchocerciasis Efficacy'!$AR:$AR,"&lt;2016",
    'NEW Onchocerciasis Efficacy'!$BG:$BG,"")
,"")</f>
        <v/>
      </c>
      <c r="BM126" s="304">
        <f t="shared" si="23"/>
        <v>0.3734</v>
      </c>
      <c r="BN126" s="439">
        <v>0.0</v>
      </c>
      <c r="BO126" s="139">
        <v>0.0</v>
      </c>
      <c r="BP126" s="140">
        <v>0.0</v>
      </c>
      <c r="BQ126" s="141">
        <f t="shared" si="24"/>
        <v>0</v>
      </c>
      <c r="BR126" s="104" t="str">
        <f t="shared" si="25"/>
        <v>0000</v>
      </c>
      <c r="BS126" s="104" t="str">
        <f t="shared" si="26"/>
        <v>no action required</v>
      </c>
      <c r="BT126" s="142" t="str">
        <f t="shared" ref="BT126:BT220" si="43">IF(BS126="no action required","",IF(BS126="MDA1","IVM+ALB",IF(BS126="MDA3","IVM",IF(BS126="T1","ALB+PZQ or MBD+PZQ",IF(BS126="T2","PZQ",IF(BS126="T3","ALB or MBD",IF(BS126="MDA1+T1","IVM+ALB",IF(BS126="MDA1+T2","IVM+ALB",IF(BS126="MDA1+T3","IVM+ALB",IF(BS126="MDA1/2+T1","IVM+ALB or DEC+ALB",IF(BS126="MDA1/2+T2","IVM+ALB or DEC +ALB",IF(BS126="MDA1/2+T3","IVM+ALB of DEC+ALB",IF(BS126="MDA1/2","IVM+ALB or DEC+ALB",IF(BS126="MDA3+T2","IVM",IF(BS126="T1+T3","ALB+PZQ or MBD+PZQ",IF(BS126="T3+T3","2(ALB or MBD)"))))))))))))))))</f>
        <v/>
      </c>
      <c r="BU126" s="104" t="str">
        <f t="shared" si="28"/>
        <v/>
      </c>
      <c r="BV126" s="104" t="str">
        <f t="shared" si="29"/>
        <v>none</v>
      </c>
      <c r="BW126" s="150" t="str">
        <f t="shared" si="30"/>
        <v/>
      </c>
      <c r="BX126" s="150" t="str">
        <f t="shared" si="31"/>
        <v/>
      </c>
      <c r="BY126" s="151" t="str">
        <f t="shared" si="32"/>
        <v/>
      </c>
      <c r="BZ126" s="152" t="str">
        <f t="shared" si="33"/>
        <v/>
      </c>
      <c r="CA126" s="152" t="str">
        <f t="shared" si="34"/>
        <v/>
      </c>
      <c r="CB126" s="152" t="str">
        <f t="shared" si="35"/>
        <v/>
      </c>
      <c r="CC126" s="153" t="str">
        <f t="shared" si="36"/>
        <v/>
      </c>
      <c r="CD126" s="153" t="str">
        <f t="shared" si="37"/>
        <v/>
      </c>
      <c r="CE126" s="154" t="str">
        <f t="shared" si="38"/>
        <v/>
      </c>
      <c r="CF126" s="154" t="str">
        <f t="shared" si="39"/>
        <v/>
      </c>
      <c r="CG126" s="154" t="str">
        <f t="shared" si="40"/>
        <v/>
      </c>
      <c r="CH126" s="308" t="str">
        <f t="shared" si="41"/>
        <v/>
      </c>
    </row>
    <row r="127">
      <c r="A127" s="103" t="s">
        <v>216</v>
      </c>
      <c r="B127" s="104" t="s">
        <v>94</v>
      </c>
      <c r="C127" s="428">
        <v>104433.0</v>
      </c>
      <c r="D127" s="161">
        <v>88.1</v>
      </c>
      <c r="E127" s="294">
        <v>0.0</v>
      </c>
      <c r="F127" s="108"/>
      <c r="G127" s="108"/>
      <c r="H127" s="108">
        <v>0.387800291</v>
      </c>
      <c r="I127" s="109">
        <v>0.0</v>
      </c>
      <c r="J127" s="109">
        <v>0.0</v>
      </c>
      <c r="K127" s="109">
        <v>8.747027678</v>
      </c>
      <c r="L127" s="112">
        <v>5.512280512</v>
      </c>
      <c r="M127" s="112">
        <v>14.9280257</v>
      </c>
      <c r="N127" s="112">
        <v>20.44030621</v>
      </c>
      <c r="O127" s="298">
        <v>0.0</v>
      </c>
      <c r="P127" s="160">
        <v>51744.0</v>
      </c>
      <c r="Q127" s="156"/>
      <c r="R127" s="121">
        <f t="shared" si="4"/>
        <v>0</v>
      </c>
      <c r="S127" s="116">
        <f t="shared" si="5"/>
        <v>0.3783554476</v>
      </c>
      <c r="T127" s="117"/>
      <c r="U127" s="118">
        <f t="shared" si="6"/>
        <v>0.73965</v>
      </c>
      <c r="V127" s="148"/>
      <c r="W127" s="120">
        <f t="shared" si="7"/>
        <v>0.6141272727</v>
      </c>
      <c r="X127" s="148"/>
      <c r="Y127" s="120">
        <f t="shared" si="8"/>
        <v>0.6018090909</v>
      </c>
      <c r="Z127" s="299"/>
      <c r="AA127" s="441"/>
      <c r="AB127" s="300" t="str">
        <f t="shared" si="9"/>
        <v/>
      </c>
      <c r="AC127" s="300">
        <f t="shared" si="10"/>
        <v>0.6890056172</v>
      </c>
      <c r="AD127" s="122">
        <v>0.0155</v>
      </c>
      <c r="AE127" s="315">
        <v>0.0</v>
      </c>
      <c r="AF127" s="445">
        <v>0.0</v>
      </c>
      <c r="AG127" s="316">
        <v>0.0</v>
      </c>
      <c r="AH127" s="316">
        <v>0.096171215</v>
      </c>
      <c r="AI127" s="317">
        <v>0.0</v>
      </c>
      <c r="AJ127" s="317">
        <v>0.089290925</v>
      </c>
      <c r="AK127" s="319">
        <v>0.0</v>
      </c>
      <c r="AL127" s="319">
        <v>0.362834129</v>
      </c>
      <c r="AM127" s="302">
        <v>0.0</v>
      </c>
      <c r="AN127" s="149" t="str">
        <f>IFERROR(
  AVERAGEIFS(
    'New LF Efficacy'!$J:$J,
    'New LF Efficacy'!$D:$D, $A127,
    'New LF Efficacy'!$F:$F,"DEC", 
    'New LF Efficacy'!$W:$W,"&lt;2016",
    'New LF Efficacy'!$AA:$AA,""),
  ""
)</f>
        <v/>
      </c>
      <c r="AO127" s="115">
        <f t="shared" si="11"/>
        <v>0.38</v>
      </c>
      <c r="AP127" s="149" t="str">
        <f>IFERROR(
AVERAGEIFS(
'New LF Efficacy'!$J:$J,
'New LF Efficacy'!$D:$D,$A127,
'New LF Efficacy'!$F:$F,"Albendazole &amp; DEC",
'New LF Efficacy'!$W:$W,"&lt;2016",
'New LF Efficacy'!$AA:$AA,""),
"")
</f>
        <v/>
      </c>
      <c r="AQ127" s="115">
        <f t="shared" si="12"/>
        <v>0.662</v>
      </c>
      <c r="AR127" s="149" t="str">
        <f>IFERROR(
AVERAGEIFS(
'New LF Efficacy'!$J:$J,
'New LF Efficacy'!$D:$D,$A127,
'New LF Efficacy'!$F:$F,"Albendazole &amp; Ivermectin", 
'New LF Efficacy'!$W:$W,"&lt;2016",
'New LF Efficacy'!$AA:$AA,""),"")</f>
        <v/>
      </c>
      <c r="AS127" s="115">
        <f t="shared" si="13"/>
        <v>0.37153125</v>
      </c>
      <c r="AT127" s="442" t="str">
        <f>IFERROR(AVERAGEIFS(
'Schist Efficacy'!$O:$O, 
'Schist Efficacy'!$C:$C,$A127, 
'Schist Efficacy'!$D:$D, "Praziquantel",
'Schist Efficacy'!$J:$J,"&lt;2016",
'Schist Efficacy'!$U:$U,""),
"")</f>
        <v/>
      </c>
      <c r="AU127" s="118">
        <f t="shared" si="14"/>
        <v>0.9475</v>
      </c>
      <c r="AV127" s="131" t="str">
        <f>IFERROR(AVERAGEIFS(
'STH Efficacy'!$AX:$AX, 
'STH Efficacy'!$AL:$AL, $A127, 
'STH Efficacy'!$AM:$AM, "Albendazole",
'STH Efficacy'!$AS:$AS,"&lt;2016",
'STH Efficacy'!$BP:$BP,""),
"")</f>
        <v/>
      </c>
      <c r="AW127" s="132">
        <f t="shared" si="15"/>
        <v>0.3571666667</v>
      </c>
      <c r="AX127" s="131" t="str">
        <f>IFERROR(AVERAGEIFS(
'STH Efficacy'!$AX:$AX, 
'STH Efficacy'!$AL:$AL, $A127, 
'STH Efficacy'!$AM:$AM, "Mebendazole",
'STH Efficacy'!$AS:$AS,"&lt;2016",
'STH Efficacy'!$BP:$BP,""),
"")</f>
        <v/>
      </c>
      <c r="AY127" s="132">
        <f t="shared" si="16"/>
        <v>0.4155</v>
      </c>
      <c r="AZ127" s="131" t="str">
        <f>IFERROR(AVERAGEIFS(
'STH Efficacy'!$AX:$AX, 
'STH Efficacy'!$AL:$AL, $A127, 
'STH Efficacy'!$AM:$AM, "Albendazole &amp; Ivermectin",
'STH Efficacy'!$AS:$AS,"&lt;2016",
'STH Efficacy'!$BP:$BP,""),
"")</f>
        <v/>
      </c>
      <c r="BA127" s="133">
        <f t="shared" si="17"/>
        <v>0.651</v>
      </c>
      <c r="BB127" s="443" t="str">
        <f>IFERROR(AVERAGEIFS(
'STH Efficacy'!$N:$N, 
'STH Efficacy'!$B:$B, $A127, 
'STH Efficacy'!$C:$C, "Albendazole",
'STH Efficacy'!$I:$I,"&lt;2016",
'STH Efficacy'!$AH:$AH,""),
"")</f>
        <v/>
      </c>
      <c r="BC127" s="135">
        <f t="shared" si="18"/>
        <v>0.5769166667</v>
      </c>
      <c r="BD127" s="443" t="str">
        <f>IFERROR(AVERAGEIFS(
'STH Efficacy'!$N:$N, 
'STH Efficacy'!$B:$B, $A127, 
'STH Efficacy'!$C:$C, "Mebendazole",
'STH Efficacy'!$I:$I,"&lt;2016",
'STH Efficacy'!$AH:$AH,""),
"")</f>
        <v/>
      </c>
      <c r="BE127" s="135">
        <f t="shared" si="19"/>
        <v>0.3145</v>
      </c>
      <c r="BF127" s="436" t="str">
        <f>IFERROR(AVERAGEIFS(
'STH Efficacy'!$CD:$CD, 
'STH Efficacy'!$BS:$BS, $A127, 
'STH Efficacy'!$BT:$BT, "Albendazole",
'STH Efficacy'!$BZ:$BZ,"&lt;2016",
'STH Efficacy'!$CU:$CU,""),
"")</f>
        <v/>
      </c>
      <c r="BG127" s="136">
        <f t="shared" si="20"/>
        <v>0.96925</v>
      </c>
      <c r="BH127" s="436" t="str">
        <f>IFERROR(AVERAGEIFS(
'STH Efficacy'!$CD:$CD, 
'STH Efficacy'!$BS:$BS, $A127, 
'STH Efficacy'!$BT:$BT, "Mebendazole",
'STH Efficacy'!$BZ:$BZ,"&lt;2016",
'STH Efficacy'!$CU:$CU,""),
"")</f>
        <v/>
      </c>
      <c r="BI127" s="136">
        <f t="shared" si="21"/>
        <v>0.9305</v>
      </c>
      <c r="BJ127" s="436" t="str">
        <f>IFERROR(AVERAGEIFS(
'STH Efficacy'!$CD:$CD, 
'STH Efficacy'!$BS:$BS, $A127, 
'STH Efficacy'!$BT:$BT, "Albendazole &amp; Ivermectin",
'STH Efficacy'!$BZ:$BZ,"&lt;2016",
'STH Efficacy'!$CU:$CU,""),
"")</f>
        <v/>
      </c>
      <c r="BK127" s="136">
        <f t="shared" si="22"/>
        <v>0.848</v>
      </c>
      <c r="BL127" s="444" t="str">
        <f>IFERROR(
  AVERAGEIFS(
    'NEW Onchocerciasis Efficacy'!$AO:$AO,
    'NEW Onchocerciasis Efficacy'!$C:$C,$A127,
    'NEW Onchocerciasis Efficacy'!$D:$D,"Ivermectin",
    'NEW Onchocerciasis Efficacy'!$AR:$AR,"&lt;2016",
    'NEW Onchocerciasis Efficacy'!$BG:$BG,"")
,"")</f>
        <v/>
      </c>
      <c r="BM127" s="304">
        <f t="shared" si="23"/>
        <v>0.7808368939</v>
      </c>
      <c r="BN127" s="439">
        <v>1.0</v>
      </c>
      <c r="BO127" s="139">
        <v>0.0</v>
      </c>
      <c r="BP127" s="140">
        <v>0.0</v>
      </c>
      <c r="BQ127" s="141">
        <f t="shared" si="24"/>
        <v>0</v>
      </c>
      <c r="BR127" s="104" t="str">
        <f t="shared" si="25"/>
        <v>1000</v>
      </c>
      <c r="BS127" s="104" t="str">
        <f t="shared" si="26"/>
        <v>MDA1/2</v>
      </c>
      <c r="BT127" s="142" t="str">
        <f t="shared" si="43"/>
        <v>IVM+ALB or DEC+ALB</v>
      </c>
      <c r="BU127" s="104" t="str">
        <f t="shared" si="28"/>
        <v/>
      </c>
      <c r="BV127" s="104" t="str">
        <f t="shared" si="29"/>
        <v>lf only</v>
      </c>
      <c r="BW127" s="312">
        <f t="shared" si="30"/>
        <v>29.44053013</v>
      </c>
      <c r="BX127" s="312">
        <f t="shared" si="31"/>
        <v>14.40990707</v>
      </c>
      <c r="BY127" s="151" t="str">
        <f t="shared" si="32"/>
        <v/>
      </c>
      <c r="BZ127" s="152" t="str">
        <f t="shared" si="33"/>
        <v/>
      </c>
      <c r="CA127" s="152" t="str">
        <f t="shared" si="34"/>
        <v/>
      </c>
      <c r="CB127" s="152" t="str">
        <f t="shared" si="35"/>
        <v/>
      </c>
      <c r="CC127" s="153" t="str">
        <f t="shared" si="36"/>
        <v/>
      </c>
      <c r="CD127" s="153" t="str">
        <f t="shared" si="37"/>
        <v/>
      </c>
      <c r="CE127" s="154" t="str">
        <f t="shared" si="38"/>
        <v/>
      </c>
      <c r="CF127" s="154" t="str">
        <f t="shared" si="39"/>
        <v/>
      </c>
      <c r="CG127" s="154" t="str">
        <f t="shared" si="40"/>
        <v/>
      </c>
      <c r="CH127" s="308" t="str">
        <f t="shared" si="41"/>
        <v/>
      </c>
    </row>
    <row r="128">
      <c r="A128" s="103" t="s">
        <v>217</v>
      </c>
      <c r="B128" s="104" t="s">
        <v>90</v>
      </c>
      <c r="C128" s="428">
        <v>38307.0</v>
      </c>
      <c r="D128" s="161">
        <v>0.0</v>
      </c>
      <c r="E128" s="294">
        <v>0.0</v>
      </c>
      <c r="F128" s="163"/>
      <c r="G128" s="325"/>
      <c r="H128" s="108">
        <v>0.0</v>
      </c>
      <c r="I128" s="109">
        <v>0.0</v>
      </c>
      <c r="J128" s="109">
        <v>0.0</v>
      </c>
      <c r="K128" s="109">
        <v>0.0</v>
      </c>
      <c r="L128" s="113"/>
      <c r="M128" s="113"/>
      <c r="N128" s="112">
        <v>0.0</v>
      </c>
      <c r="O128" s="298">
        <v>0.0</v>
      </c>
      <c r="P128" s="114"/>
      <c r="Q128" s="114"/>
      <c r="R128" s="121" t="str">
        <f t="shared" si="4"/>
        <v/>
      </c>
      <c r="S128" s="116">
        <f t="shared" si="5"/>
        <v>0.5709301448</v>
      </c>
      <c r="T128" s="117"/>
      <c r="U128" s="118">
        <f t="shared" si="6"/>
        <v>0.4791888889</v>
      </c>
      <c r="V128" s="148"/>
      <c r="W128" s="120">
        <f t="shared" si="7"/>
        <v>0.0223</v>
      </c>
      <c r="X128" s="148"/>
      <c r="Y128" s="120">
        <f t="shared" si="8"/>
        <v>0.598275</v>
      </c>
      <c r="Z128" s="299"/>
      <c r="AA128" s="441"/>
      <c r="AB128" s="300" t="str">
        <f t="shared" si="9"/>
        <v/>
      </c>
      <c r="AC128" s="300">
        <f t="shared" si="10"/>
        <v>0.6890056172</v>
      </c>
      <c r="AD128" s="314">
        <v>0.0</v>
      </c>
      <c r="AE128" s="315">
        <v>0.0</v>
      </c>
      <c r="AF128" s="445">
        <v>0.0</v>
      </c>
      <c r="AG128" s="316">
        <v>0.0</v>
      </c>
      <c r="AH128" s="307">
        <v>0.0</v>
      </c>
      <c r="AI128" s="317">
        <v>0.0</v>
      </c>
      <c r="AJ128" s="318">
        <v>0.0</v>
      </c>
      <c r="AK128" s="319">
        <v>0.0</v>
      </c>
      <c r="AL128" s="446">
        <v>0.0</v>
      </c>
      <c r="AM128" s="320">
        <v>0.0</v>
      </c>
      <c r="AN128" s="149" t="str">
        <f>IFERROR(
  AVERAGEIFS(
    'New LF Efficacy'!$J:$J,
    'New LF Efficacy'!$D:$D, $A128,
    'New LF Efficacy'!$F:$F,"DEC", 
    'New LF Efficacy'!$W:$W,"&lt;2016",
    'New LF Efficacy'!$AA:$AA,""),
  ""
)</f>
        <v/>
      </c>
      <c r="AO128" s="115">
        <f t="shared" si="11"/>
        <v>0.3573520833</v>
      </c>
      <c r="AP128" s="149" t="str">
        <f>IFERROR(
AVERAGEIFS(
'New LF Efficacy'!$J:$J,
'New LF Efficacy'!$D:$D,$A128,
'New LF Efficacy'!$F:$F,"Albendazole &amp; DEC",
'New LF Efficacy'!$W:$W,"&lt;2016",
'New LF Efficacy'!$AA:$AA,""),
"")
</f>
        <v/>
      </c>
      <c r="AQ128" s="115">
        <f t="shared" si="12"/>
        <v>0.5143541667</v>
      </c>
      <c r="AR128" s="149" t="str">
        <f>IFERROR(
AVERAGEIFS(
'New LF Efficacy'!$J:$J,
'New LF Efficacy'!$D:$D,$A128,
'New LF Efficacy'!$F:$F,"Albendazole &amp; Ivermectin", 
'New LF Efficacy'!$W:$W,"&lt;2016",
'New LF Efficacy'!$AA:$AA,""),"")</f>
        <v/>
      </c>
      <c r="AS128" s="115">
        <f t="shared" si="13"/>
        <v>0.37153125</v>
      </c>
      <c r="AT128" s="442" t="str">
        <f>IFERROR(AVERAGEIFS(
'Schist Efficacy'!$O:$O, 
'Schist Efficacy'!$C:$C,$A128, 
'Schist Efficacy'!$D:$D, "Praziquantel",
'Schist Efficacy'!$J:$J,"&lt;2016",
'Schist Efficacy'!$U:$U,""),
"")</f>
        <v/>
      </c>
      <c r="AU128" s="118">
        <f t="shared" si="14"/>
        <v>0.655</v>
      </c>
      <c r="AV128" s="131" t="str">
        <f>IFERROR(AVERAGEIFS(
'STH Efficacy'!$AX:$AX, 
'STH Efficacy'!$AL:$AL, $A128, 
'STH Efficacy'!$AM:$AM, "Albendazole",
'STH Efficacy'!$AS:$AS,"&lt;2016",
'STH Efficacy'!$BP:$BP,""),
"")</f>
        <v/>
      </c>
      <c r="AW128" s="132">
        <f t="shared" si="15"/>
        <v>0.4143846154</v>
      </c>
      <c r="AX128" s="131" t="str">
        <f>IFERROR(AVERAGEIFS(
'STH Efficacy'!$AX:$AX, 
'STH Efficacy'!$AL:$AL, $A128, 
'STH Efficacy'!$AM:$AM, "Mebendazole",
'STH Efficacy'!$AS:$AS,"&lt;2016",
'STH Efficacy'!$BP:$BP,""),
"")</f>
        <v/>
      </c>
      <c r="AY128" s="132">
        <f t="shared" si="16"/>
        <v>0.4691770833</v>
      </c>
      <c r="AZ128" s="131" t="str">
        <f>IFERROR(AVERAGEIFS(
'STH Efficacy'!$AX:$AX, 
'STH Efficacy'!$AL:$AL, $A128, 
'STH Efficacy'!$AM:$AM, "Albendazole &amp; Ivermectin",
'STH Efficacy'!$AS:$AS,"&lt;2016",
'STH Efficacy'!$BP:$BP,""),
"")</f>
        <v/>
      </c>
      <c r="BA128" s="133">
        <f t="shared" si="17"/>
        <v>0.597625</v>
      </c>
      <c r="BB128" s="443" t="str">
        <f>IFERROR(AVERAGEIFS(
'STH Efficacy'!$N:$N, 
'STH Efficacy'!$B:$B, $A128, 
'STH Efficacy'!$C:$C, "Albendazole",
'STH Efficacy'!$I:$I,"&lt;2016",
'STH Efficacy'!$AH:$AH,""),
"")</f>
        <v/>
      </c>
      <c r="BC128" s="135">
        <f t="shared" si="18"/>
        <v>0.7613712121</v>
      </c>
      <c r="BD128" s="443" t="str">
        <f>IFERROR(AVERAGEIFS(
'STH Efficacy'!$N:$N, 
'STH Efficacy'!$B:$B, $A128, 
'STH Efficacy'!$C:$C, "Mebendazole",
'STH Efficacy'!$I:$I,"&lt;2016",
'STH Efficacy'!$AH:$AH,""),
"")</f>
        <v/>
      </c>
      <c r="BE128" s="135">
        <f t="shared" si="19"/>
        <v>0.4362466667</v>
      </c>
      <c r="BF128" s="436" t="str">
        <f>IFERROR(AVERAGEIFS(
'STH Efficacy'!$CD:$CD, 
'STH Efficacy'!$BS:$BS, $A128, 
'STH Efficacy'!$BT:$BT, "Albendazole",
'STH Efficacy'!$BZ:$BZ,"&lt;2016",
'STH Efficacy'!$CU:$CU,""),
"")</f>
        <v/>
      </c>
      <c r="BG128" s="136">
        <f t="shared" si="20"/>
        <v>0.9216027778</v>
      </c>
      <c r="BH128" s="436" t="str">
        <f>IFERROR(AVERAGEIFS(
'STH Efficacy'!$CD:$CD, 
'STH Efficacy'!$BS:$BS, $A128, 
'STH Efficacy'!$BT:$BT, "Mebendazole",
'STH Efficacy'!$BZ:$BZ,"&lt;2016",
'STH Efficacy'!$CU:$CU,""),
"")</f>
        <v/>
      </c>
      <c r="BI128" s="136">
        <f t="shared" si="21"/>
        <v>0.8866041667</v>
      </c>
      <c r="BJ128" s="436" t="str">
        <f>IFERROR(AVERAGEIFS(
'STH Efficacy'!$CD:$CD, 
'STH Efficacy'!$BS:$BS, $A128, 
'STH Efficacy'!$BT:$BT, "Albendazole &amp; Ivermectin",
'STH Efficacy'!$BZ:$BZ,"&lt;2016",
'STH Efficacy'!$CU:$CU,""),
"")</f>
        <v/>
      </c>
      <c r="BK128" s="136">
        <f t="shared" si="22"/>
        <v>0.848</v>
      </c>
      <c r="BL128" s="444" t="str">
        <f>IFERROR(
  AVERAGEIFS(
    'NEW Onchocerciasis Efficacy'!$AO:$AO,
    'NEW Onchocerciasis Efficacy'!$C:$C,$A128,
    'NEW Onchocerciasis Efficacy'!$D:$D,"Ivermectin",
    'NEW Onchocerciasis Efficacy'!$AR:$AR,"&lt;2016",
    'NEW Onchocerciasis Efficacy'!$BG:$BG,"")
,"")</f>
        <v/>
      </c>
      <c r="BM128" s="304">
        <f t="shared" si="23"/>
        <v>0.7808368939</v>
      </c>
      <c r="BN128" s="439">
        <v>0.0</v>
      </c>
      <c r="BO128" s="139">
        <v>0.0</v>
      </c>
      <c r="BP128" s="140">
        <v>0.0</v>
      </c>
      <c r="BQ128" s="141">
        <f t="shared" si="24"/>
        <v>0</v>
      </c>
      <c r="BR128" s="104" t="str">
        <f t="shared" si="25"/>
        <v>0000</v>
      </c>
      <c r="BS128" s="104" t="str">
        <f t="shared" si="26"/>
        <v>no action required</v>
      </c>
      <c r="BT128" s="142" t="str">
        <f t="shared" si="43"/>
        <v/>
      </c>
      <c r="BU128" s="104" t="str">
        <f t="shared" si="28"/>
        <v/>
      </c>
      <c r="BV128" s="104" t="str">
        <f t="shared" si="29"/>
        <v>none</v>
      </c>
      <c r="BW128" s="150" t="str">
        <f t="shared" si="30"/>
        <v/>
      </c>
      <c r="BX128" s="150" t="str">
        <f t="shared" si="31"/>
        <v/>
      </c>
      <c r="BY128" s="151" t="str">
        <f t="shared" si="32"/>
        <v/>
      </c>
      <c r="BZ128" s="152" t="str">
        <f t="shared" si="33"/>
        <v/>
      </c>
      <c r="CA128" s="152" t="str">
        <f t="shared" si="34"/>
        <v/>
      </c>
      <c r="CB128" s="152" t="str">
        <f t="shared" si="35"/>
        <v/>
      </c>
      <c r="CC128" s="153" t="str">
        <f t="shared" si="36"/>
        <v/>
      </c>
      <c r="CD128" s="153" t="str">
        <f t="shared" si="37"/>
        <v/>
      </c>
      <c r="CE128" s="154" t="str">
        <f t="shared" si="38"/>
        <v/>
      </c>
      <c r="CF128" s="154" t="str">
        <f t="shared" si="39"/>
        <v/>
      </c>
      <c r="CG128" s="154" t="str">
        <f t="shared" si="40"/>
        <v/>
      </c>
      <c r="CH128" s="308" t="str">
        <f t="shared" si="41"/>
        <v/>
      </c>
    </row>
    <row r="129">
      <c r="A129" s="103" t="s">
        <v>218</v>
      </c>
      <c r="B129" s="104" t="s">
        <v>94</v>
      </c>
      <c r="C129" s="428">
        <v>2976877.0</v>
      </c>
      <c r="D129" s="161">
        <v>0.0</v>
      </c>
      <c r="E129" s="294">
        <v>0.0</v>
      </c>
      <c r="F129" s="307">
        <v>0.0</v>
      </c>
      <c r="G129" s="309">
        <v>0.0</v>
      </c>
      <c r="H129" s="108">
        <v>0.0</v>
      </c>
      <c r="I129" s="109">
        <v>0.02826068</v>
      </c>
      <c r="J129" s="109">
        <v>0.02037664</v>
      </c>
      <c r="K129" s="109">
        <v>0.048637321</v>
      </c>
      <c r="L129" s="112">
        <v>0.0</v>
      </c>
      <c r="M129" s="112">
        <v>0.0</v>
      </c>
      <c r="N129" s="112">
        <v>0.0</v>
      </c>
      <c r="O129" s="298">
        <v>0.0</v>
      </c>
      <c r="P129" s="114"/>
      <c r="Q129" s="114"/>
      <c r="R129" s="121" t="str">
        <f t="shared" si="4"/>
        <v/>
      </c>
      <c r="S129" s="116">
        <f t="shared" si="5"/>
        <v>0.3783554476</v>
      </c>
      <c r="T129" s="117"/>
      <c r="U129" s="118">
        <f t="shared" si="6"/>
        <v>0.73965</v>
      </c>
      <c r="V129" s="148"/>
      <c r="W129" s="120">
        <f t="shared" si="7"/>
        <v>0.6141272727</v>
      </c>
      <c r="X129" s="148"/>
      <c r="Y129" s="120">
        <f t="shared" si="8"/>
        <v>0.6018090909</v>
      </c>
      <c r="Z129" s="299"/>
      <c r="AA129" s="441"/>
      <c r="AB129" s="300" t="str">
        <f t="shared" si="9"/>
        <v/>
      </c>
      <c r="AC129" s="300">
        <f t="shared" si="10"/>
        <v>0.6890056172</v>
      </c>
      <c r="AD129" s="122">
        <v>0.0</v>
      </c>
      <c r="AE129" s="123">
        <v>0.0</v>
      </c>
      <c r="AF129" s="430">
        <v>0.0</v>
      </c>
      <c r="AG129" s="124">
        <v>0.0</v>
      </c>
      <c r="AH129" s="124">
        <v>1.17866E-5</v>
      </c>
      <c r="AI129" s="125">
        <v>0.0</v>
      </c>
      <c r="AJ129" s="125">
        <v>1.13821E-5</v>
      </c>
      <c r="AK129" s="127">
        <v>0.0</v>
      </c>
      <c r="AL129" s="127">
        <v>1.15769E-5</v>
      </c>
      <c r="AM129" s="302">
        <v>0.0</v>
      </c>
      <c r="AN129" s="149" t="str">
        <f>IFERROR(
  AVERAGEIFS(
    'New LF Efficacy'!$J:$J,
    'New LF Efficacy'!$D:$D, $A129,
    'New LF Efficacy'!$F:$F,"DEC", 
    'New LF Efficacy'!$W:$W,"&lt;2016",
    'New LF Efficacy'!$AA:$AA,""),
  ""
)</f>
        <v/>
      </c>
      <c r="AO129" s="115">
        <f t="shared" si="11"/>
        <v>0.38</v>
      </c>
      <c r="AP129" s="149" t="str">
        <f>IFERROR(
AVERAGEIFS(
'New LF Efficacy'!$J:$J,
'New LF Efficacy'!$D:$D,$A129,
'New LF Efficacy'!$F:$F,"Albendazole &amp; DEC",
'New LF Efficacy'!$W:$W,"&lt;2016",
'New LF Efficacy'!$AA:$AA,""),
"")
</f>
        <v/>
      </c>
      <c r="AQ129" s="115">
        <f t="shared" si="12"/>
        <v>0.662</v>
      </c>
      <c r="AR129" s="149" t="str">
        <f>IFERROR(
AVERAGEIFS(
'New LF Efficacy'!$J:$J,
'New LF Efficacy'!$D:$D,$A129,
'New LF Efficacy'!$F:$F,"Albendazole &amp; Ivermectin", 
'New LF Efficacy'!$W:$W,"&lt;2016",
'New LF Efficacy'!$AA:$AA,""),"")</f>
        <v/>
      </c>
      <c r="AS129" s="115">
        <f t="shared" si="13"/>
        <v>0.37153125</v>
      </c>
      <c r="AT129" s="442" t="str">
        <f>IFERROR(AVERAGEIFS(
'Schist Efficacy'!$O:$O, 
'Schist Efficacy'!$C:$C,$A129, 
'Schist Efficacy'!$D:$D, "Praziquantel",
'Schist Efficacy'!$J:$J,"&lt;2016",
'Schist Efficacy'!$U:$U,""),
"")</f>
        <v/>
      </c>
      <c r="AU129" s="118">
        <f t="shared" si="14"/>
        <v>0.9475</v>
      </c>
      <c r="AV129" s="131" t="str">
        <f>IFERROR(AVERAGEIFS(
'STH Efficacy'!$AX:$AX, 
'STH Efficacy'!$AL:$AL, $A129, 
'STH Efficacy'!$AM:$AM, "Albendazole",
'STH Efficacy'!$AS:$AS,"&lt;2016",
'STH Efficacy'!$BP:$BP,""),
"")</f>
        <v/>
      </c>
      <c r="AW129" s="132">
        <f t="shared" si="15"/>
        <v>0.3571666667</v>
      </c>
      <c r="AX129" s="131" t="str">
        <f>IFERROR(AVERAGEIFS(
'STH Efficacy'!$AX:$AX, 
'STH Efficacy'!$AL:$AL, $A129, 
'STH Efficacy'!$AM:$AM, "Mebendazole",
'STH Efficacy'!$AS:$AS,"&lt;2016",
'STH Efficacy'!$BP:$BP,""),
"")</f>
        <v/>
      </c>
      <c r="AY129" s="132">
        <f t="shared" si="16"/>
        <v>0.4155</v>
      </c>
      <c r="AZ129" s="131" t="str">
        <f>IFERROR(AVERAGEIFS(
'STH Efficacy'!$AX:$AX, 
'STH Efficacy'!$AL:$AL, $A129, 
'STH Efficacy'!$AM:$AM, "Albendazole &amp; Ivermectin",
'STH Efficacy'!$AS:$AS,"&lt;2016",
'STH Efficacy'!$BP:$BP,""),
"")</f>
        <v/>
      </c>
      <c r="BA129" s="133">
        <f t="shared" si="17"/>
        <v>0.651</v>
      </c>
      <c r="BB129" s="443" t="str">
        <f>IFERROR(AVERAGEIFS(
'STH Efficacy'!$N:$N, 
'STH Efficacy'!$B:$B, $A129, 
'STH Efficacy'!$C:$C, "Albendazole",
'STH Efficacy'!$I:$I,"&lt;2016",
'STH Efficacy'!$AH:$AH,""),
"")</f>
        <v/>
      </c>
      <c r="BC129" s="135">
        <f t="shared" si="18"/>
        <v>0.5769166667</v>
      </c>
      <c r="BD129" s="443" t="str">
        <f>IFERROR(AVERAGEIFS(
'STH Efficacy'!$N:$N, 
'STH Efficacy'!$B:$B, $A129, 
'STH Efficacy'!$C:$C, "Mebendazole",
'STH Efficacy'!$I:$I,"&lt;2016",
'STH Efficacy'!$AH:$AH,""),
"")</f>
        <v/>
      </c>
      <c r="BE129" s="135">
        <f t="shared" si="19"/>
        <v>0.3145</v>
      </c>
      <c r="BF129" s="436" t="str">
        <f>IFERROR(AVERAGEIFS(
'STH Efficacy'!$CD:$CD, 
'STH Efficacy'!$BS:$BS, $A129, 
'STH Efficacy'!$BT:$BT, "Albendazole",
'STH Efficacy'!$BZ:$BZ,"&lt;2016",
'STH Efficacy'!$CU:$CU,""),
"")</f>
        <v/>
      </c>
      <c r="BG129" s="136">
        <f t="shared" si="20"/>
        <v>0.96925</v>
      </c>
      <c r="BH129" s="436" t="str">
        <f>IFERROR(AVERAGEIFS(
'STH Efficacy'!$CD:$CD, 
'STH Efficacy'!$BS:$BS, $A129, 
'STH Efficacy'!$BT:$BT, "Mebendazole",
'STH Efficacy'!$BZ:$BZ,"&lt;2016",
'STH Efficacy'!$CU:$CU,""),
"")</f>
        <v/>
      </c>
      <c r="BI129" s="136">
        <f t="shared" si="21"/>
        <v>0.9305</v>
      </c>
      <c r="BJ129" s="436" t="str">
        <f>IFERROR(AVERAGEIFS(
'STH Efficacy'!$CD:$CD, 
'STH Efficacy'!$BS:$BS, $A129, 
'STH Efficacy'!$BT:$BT, "Albendazole &amp; Ivermectin",
'STH Efficacy'!$BZ:$BZ,"&lt;2016",
'STH Efficacy'!$CU:$CU,""),
"")</f>
        <v/>
      </c>
      <c r="BK129" s="136">
        <f t="shared" si="22"/>
        <v>0.848</v>
      </c>
      <c r="BL129" s="444" t="str">
        <f>IFERROR(
  AVERAGEIFS(
    'NEW Onchocerciasis Efficacy'!$AO:$AO,
    'NEW Onchocerciasis Efficacy'!$C:$C,$A129,
    'NEW Onchocerciasis Efficacy'!$D:$D,"Ivermectin",
    'NEW Onchocerciasis Efficacy'!$AR:$AR,"&lt;2016",
    'NEW Onchocerciasis Efficacy'!$BG:$BG,"")
,"")</f>
        <v/>
      </c>
      <c r="BM129" s="304">
        <f t="shared" si="23"/>
        <v>0.7808368939</v>
      </c>
      <c r="BN129" s="439">
        <v>0.0</v>
      </c>
      <c r="BO129" s="139">
        <v>0.0</v>
      </c>
      <c r="BP129" s="140">
        <v>0.0</v>
      </c>
      <c r="BQ129" s="141">
        <f t="shared" si="24"/>
        <v>0</v>
      </c>
      <c r="BR129" s="104" t="str">
        <f t="shared" si="25"/>
        <v>0000</v>
      </c>
      <c r="BS129" s="104" t="str">
        <f t="shared" si="26"/>
        <v>no action required</v>
      </c>
      <c r="BT129" s="142" t="str">
        <f t="shared" si="43"/>
        <v/>
      </c>
      <c r="BU129" s="104" t="str">
        <f t="shared" si="28"/>
        <v/>
      </c>
      <c r="BV129" s="104" t="str">
        <f t="shared" si="29"/>
        <v>none</v>
      </c>
      <c r="BW129" s="150" t="str">
        <f t="shared" si="30"/>
        <v/>
      </c>
      <c r="BX129" s="150" t="str">
        <f t="shared" si="31"/>
        <v/>
      </c>
      <c r="BY129" s="151" t="str">
        <f t="shared" si="32"/>
        <v/>
      </c>
      <c r="BZ129" s="152" t="str">
        <f t="shared" si="33"/>
        <v/>
      </c>
      <c r="CA129" s="152" t="str">
        <f t="shared" si="34"/>
        <v/>
      </c>
      <c r="CB129" s="152" t="str">
        <f t="shared" si="35"/>
        <v/>
      </c>
      <c r="CC129" s="153" t="str">
        <f t="shared" si="36"/>
        <v/>
      </c>
      <c r="CD129" s="153" t="str">
        <f t="shared" si="37"/>
        <v/>
      </c>
      <c r="CE129" s="154" t="str">
        <f t="shared" si="38"/>
        <v/>
      </c>
      <c r="CF129" s="154" t="str">
        <f t="shared" si="39"/>
        <v/>
      </c>
      <c r="CG129" s="154" t="str">
        <f t="shared" si="40"/>
        <v/>
      </c>
      <c r="CH129" s="308" t="str">
        <f t="shared" si="41"/>
        <v/>
      </c>
    </row>
    <row r="130">
      <c r="A130" s="155" t="s">
        <v>219</v>
      </c>
      <c r="B130" s="104" t="s">
        <v>90</v>
      </c>
      <c r="C130" s="428">
        <v>622159.0</v>
      </c>
      <c r="D130" s="161">
        <v>0.0</v>
      </c>
      <c r="E130" s="294">
        <v>0.0</v>
      </c>
      <c r="F130" s="307">
        <v>0.0</v>
      </c>
      <c r="G130" s="309">
        <v>0.0</v>
      </c>
      <c r="H130" s="108">
        <v>0.0</v>
      </c>
      <c r="I130" s="109">
        <v>0.0</v>
      </c>
      <c r="J130" s="109">
        <v>0.0</v>
      </c>
      <c r="K130" s="109">
        <v>0.0</v>
      </c>
      <c r="L130" s="112">
        <v>0.063508432</v>
      </c>
      <c r="M130" s="112">
        <v>0.039801613</v>
      </c>
      <c r="N130" s="112">
        <v>0.103310044</v>
      </c>
      <c r="O130" s="298">
        <v>0.0</v>
      </c>
      <c r="P130" s="114"/>
      <c r="Q130" s="114"/>
      <c r="R130" s="121" t="str">
        <f t="shared" si="4"/>
        <v/>
      </c>
      <c r="S130" s="116">
        <f t="shared" si="5"/>
        <v>0.5709301448</v>
      </c>
      <c r="T130" s="117"/>
      <c r="U130" s="118">
        <f t="shared" si="6"/>
        <v>0.4791888889</v>
      </c>
      <c r="V130" s="148"/>
      <c r="W130" s="120">
        <f t="shared" si="7"/>
        <v>0.0223</v>
      </c>
      <c r="X130" s="148"/>
      <c r="Y130" s="120">
        <f t="shared" si="8"/>
        <v>0.598275</v>
      </c>
      <c r="Z130" s="299"/>
      <c r="AA130" s="441"/>
      <c r="AB130" s="300" t="str">
        <f t="shared" si="9"/>
        <v/>
      </c>
      <c r="AC130" s="300">
        <f t="shared" si="10"/>
        <v>0.6890056172</v>
      </c>
      <c r="AD130" s="122">
        <v>0.0</v>
      </c>
      <c r="AE130" s="123">
        <v>0.0</v>
      </c>
      <c r="AF130" s="430">
        <v>0.0</v>
      </c>
      <c r="AG130" s="124">
        <v>0.0</v>
      </c>
      <c r="AH130" s="124">
        <v>0.0</v>
      </c>
      <c r="AI130" s="125">
        <v>0.0</v>
      </c>
      <c r="AJ130" s="125">
        <v>0.0</v>
      </c>
      <c r="AK130" s="127">
        <v>0.0</v>
      </c>
      <c r="AL130" s="127">
        <v>0.0</v>
      </c>
      <c r="AM130" s="302">
        <v>0.0</v>
      </c>
      <c r="AN130" s="149" t="str">
        <f>IFERROR(
  AVERAGEIFS(
    'New LF Efficacy'!$J:$J,
    'New LF Efficacy'!$D:$D, $A130,
    'New LF Efficacy'!$F:$F,"DEC", 
    'New LF Efficacy'!$W:$W,"&lt;2016",
    'New LF Efficacy'!$AA:$AA,""),
  ""
)</f>
        <v/>
      </c>
      <c r="AO130" s="115">
        <f t="shared" si="11"/>
        <v>0.3573520833</v>
      </c>
      <c r="AP130" s="149" t="str">
        <f>IFERROR(
AVERAGEIFS(
'New LF Efficacy'!$J:$J,
'New LF Efficacy'!$D:$D,$A130,
'New LF Efficacy'!$F:$F,"Albendazole &amp; DEC",
'New LF Efficacy'!$W:$W,"&lt;2016",
'New LF Efficacy'!$AA:$AA,""),
"")
</f>
        <v/>
      </c>
      <c r="AQ130" s="115">
        <f t="shared" si="12"/>
        <v>0.5143541667</v>
      </c>
      <c r="AR130" s="149" t="str">
        <f>IFERROR(
AVERAGEIFS(
'New LF Efficacy'!$J:$J,
'New LF Efficacy'!$D:$D,$A130,
'New LF Efficacy'!$F:$F,"Albendazole &amp; Ivermectin", 
'New LF Efficacy'!$W:$W,"&lt;2016",
'New LF Efficacy'!$AA:$AA,""),"")</f>
        <v/>
      </c>
      <c r="AS130" s="115">
        <f t="shared" si="13"/>
        <v>0.37153125</v>
      </c>
      <c r="AT130" s="442" t="str">
        <f>IFERROR(AVERAGEIFS(
'Schist Efficacy'!$O:$O, 
'Schist Efficacy'!$C:$C,$A130, 
'Schist Efficacy'!$D:$D, "Praziquantel",
'Schist Efficacy'!$J:$J,"&lt;2016",
'Schist Efficacy'!$U:$U,""),
"")</f>
        <v/>
      </c>
      <c r="AU130" s="118">
        <f t="shared" si="14"/>
        <v>0.655</v>
      </c>
      <c r="AV130" s="131" t="str">
        <f>IFERROR(AVERAGEIFS(
'STH Efficacy'!$AX:$AX, 
'STH Efficacy'!$AL:$AL, $A130, 
'STH Efficacy'!$AM:$AM, "Albendazole",
'STH Efficacy'!$AS:$AS,"&lt;2016",
'STH Efficacy'!$BP:$BP,""),
"")</f>
        <v/>
      </c>
      <c r="AW130" s="132">
        <f t="shared" si="15"/>
        <v>0.4143846154</v>
      </c>
      <c r="AX130" s="131" t="str">
        <f>IFERROR(AVERAGEIFS(
'STH Efficacy'!$AX:$AX, 
'STH Efficacy'!$AL:$AL, $A130, 
'STH Efficacy'!$AM:$AM, "Mebendazole",
'STH Efficacy'!$AS:$AS,"&lt;2016",
'STH Efficacy'!$BP:$BP,""),
"")</f>
        <v/>
      </c>
      <c r="AY130" s="132">
        <f t="shared" si="16"/>
        <v>0.4691770833</v>
      </c>
      <c r="AZ130" s="131" t="str">
        <f>IFERROR(AVERAGEIFS(
'STH Efficacy'!$AX:$AX, 
'STH Efficacy'!$AL:$AL, $A130, 
'STH Efficacy'!$AM:$AM, "Albendazole &amp; Ivermectin",
'STH Efficacy'!$AS:$AS,"&lt;2016",
'STH Efficacy'!$BP:$BP,""),
"")</f>
        <v/>
      </c>
      <c r="BA130" s="133">
        <f t="shared" si="17"/>
        <v>0.597625</v>
      </c>
      <c r="BB130" s="443" t="str">
        <f>IFERROR(AVERAGEIFS(
'STH Efficacy'!$N:$N, 
'STH Efficacy'!$B:$B, $A130, 
'STH Efficacy'!$C:$C, "Albendazole",
'STH Efficacy'!$I:$I,"&lt;2016",
'STH Efficacy'!$AH:$AH,""),
"")</f>
        <v/>
      </c>
      <c r="BC130" s="135">
        <f t="shared" si="18"/>
        <v>0.7613712121</v>
      </c>
      <c r="BD130" s="443" t="str">
        <f>IFERROR(AVERAGEIFS(
'STH Efficacy'!$N:$N, 
'STH Efficacy'!$B:$B, $A130, 
'STH Efficacy'!$C:$C, "Mebendazole",
'STH Efficacy'!$I:$I,"&lt;2016",
'STH Efficacy'!$AH:$AH,""),
"")</f>
        <v/>
      </c>
      <c r="BE130" s="135">
        <f t="shared" si="19"/>
        <v>0.4362466667</v>
      </c>
      <c r="BF130" s="436" t="str">
        <f>IFERROR(AVERAGEIFS(
'STH Efficacy'!$CD:$CD, 
'STH Efficacy'!$BS:$BS, $A130, 
'STH Efficacy'!$BT:$BT, "Albendazole",
'STH Efficacy'!$BZ:$BZ,"&lt;2016",
'STH Efficacy'!$CU:$CU,""),
"")</f>
        <v/>
      </c>
      <c r="BG130" s="136">
        <f t="shared" si="20"/>
        <v>0.9216027778</v>
      </c>
      <c r="BH130" s="436" t="str">
        <f>IFERROR(AVERAGEIFS(
'STH Efficacy'!$CD:$CD, 
'STH Efficacy'!$BS:$BS, $A130, 
'STH Efficacy'!$BT:$BT, "Mebendazole",
'STH Efficacy'!$BZ:$BZ,"&lt;2016",
'STH Efficacy'!$CU:$CU,""),
"")</f>
        <v/>
      </c>
      <c r="BI130" s="136">
        <f t="shared" si="21"/>
        <v>0.8866041667</v>
      </c>
      <c r="BJ130" s="436" t="str">
        <f>IFERROR(AVERAGEIFS(
'STH Efficacy'!$CD:$CD, 
'STH Efficacy'!$BS:$BS, $A130, 
'STH Efficacy'!$BT:$BT, "Albendazole &amp; Ivermectin",
'STH Efficacy'!$BZ:$BZ,"&lt;2016",
'STH Efficacy'!$CU:$CU,""),
"")</f>
        <v/>
      </c>
      <c r="BK130" s="136">
        <f t="shared" si="22"/>
        <v>0.848</v>
      </c>
      <c r="BL130" s="444" t="str">
        <f>IFERROR(
  AVERAGEIFS(
    'NEW Onchocerciasis Efficacy'!$AO:$AO,
    'NEW Onchocerciasis Efficacy'!$C:$C,$A130,
    'NEW Onchocerciasis Efficacy'!$D:$D,"Ivermectin",
    'NEW Onchocerciasis Efficacy'!$AR:$AR,"&lt;2016",
    'NEW Onchocerciasis Efficacy'!$BG:$BG,"")
,"")</f>
        <v/>
      </c>
      <c r="BM130" s="304">
        <f t="shared" si="23"/>
        <v>0.7808368939</v>
      </c>
      <c r="BN130" s="439">
        <v>0.0</v>
      </c>
      <c r="BO130" s="139">
        <v>0.0</v>
      </c>
      <c r="BP130" s="140">
        <v>0.0</v>
      </c>
      <c r="BQ130" s="141">
        <f t="shared" si="24"/>
        <v>0</v>
      </c>
      <c r="BR130" s="104" t="str">
        <f t="shared" si="25"/>
        <v>0000</v>
      </c>
      <c r="BS130" s="104" t="str">
        <f t="shared" si="26"/>
        <v>no action required</v>
      </c>
      <c r="BT130" s="142" t="str">
        <f t="shared" si="43"/>
        <v/>
      </c>
      <c r="BU130" s="104" t="str">
        <f t="shared" si="28"/>
        <v/>
      </c>
      <c r="BV130" s="104" t="str">
        <f t="shared" si="29"/>
        <v>none</v>
      </c>
      <c r="BW130" s="150" t="str">
        <f t="shared" si="30"/>
        <v/>
      </c>
      <c r="BX130" s="150" t="str">
        <f t="shared" si="31"/>
        <v/>
      </c>
      <c r="BY130" s="151" t="str">
        <f t="shared" si="32"/>
        <v/>
      </c>
      <c r="BZ130" s="152" t="str">
        <f t="shared" si="33"/>
        <v/>
      </c>
      <c r="CA130" s="152" t="str">
        <f t="shared" si="34"/>
        <v/>
      </c>
      <c r="CB130" s="152" t="str">
        <f t="shared" si="35"/>
        <v/>
      </c>
      <c r="CC130" s="153" t="str">
        <f t="shared" si="36"/>
        <v/>
      </c>
      <c r="CD130" s="153" t="str">
        <f t="shared" si="37"/>
        <v/>
      </c>
      <c r="CE130" s="154" t="str">
        <f t="shared" si="38"/>
        <v/>
      </c>
      <c r="CF130" s="154" t="str">
        <f t="shared" si="39"/>
        <v/>
      </c>
      <c r="CG130" s="154" t="str">
        <f t="shared" si="40"/>
        <v/>
      </c>
      <c r="CH130" s="308" t="str">
        <f t="shared" si="41"/>
        <v/>
      </c>
    </row>
    <row r="131">
      <c r="A131" s="155" t="s">
        <v>220</v>
      </c>
      <c r="B131" s="104" t="s">
        <v>98</v>
      </c>
      <c r="C131" s="428">
        <v>5012.0</v>
      </c>
      <c r="D131" s="161">
        <v>0.0</v>
      </c>
      <c r="E131" s="294">
        <v>0.0</v>
      </c>
      <c r="F131" s="163"/>
      <c r="G131" s="325"/>
      <c r="H131" s="108">
        <v>0.0</v>
      </c>
      <c r="I131" s="109">
        <v>0.0</v>
      </c>
      <c r="J131" s="109">
        <v>0.0</v>
      </c>
      <c r="K131" s="109">
        <v>0.0</v>
      </c>
      <c r="L131" s="113"/>
      <c r="M131" s="113"/>
      <c r="N131" s="112">
        <v>0.0</v>
      </c>
      <c r="O131" s="298">
        <v>0.0</v>
      </c>
      <c r="P131" s="114"/>
      <c r="Q131" s="114"/>
      <c r="R131" s="121" t="str">
        <f t="shared" si="4"/>
        <v/>
      </c>
      <c r="S131" s="116">
        <f t="shared" si="5"/>
        <v>0.3565746084</v>
      </c>
      <c r="T131" s="117"/>
      <c r="U131" s="118">
        <f t="shared" si="6"/>
        <v>0.4791888889</v>
      </c>
      <c r="V131" s="148"/>
      <c r="W131" s="120">
        <f t="shared" si="7"/>
        <v>0.685</v>
      </c>
      <c r="X131" s="148"/>
      <c r="Y131" s="120">
        <f t="shared" si="8"/>
        <v>0.7550545455</v>
      </c>
      <c r="Z131" s="299"/>
      <c r="AA131" s="441"/>
      <c r="AB131" s="300" t="str">
        <f t="shared" si="9"/>
        <v/>
      </c>
      <c r="AC131" s="300">
        <f t="shared" si="10"/>
        <v>0.7101368438</v>
      </c>
      <c r="AD131" s="314">
        <v>0.0</v>
      </c>
      <c r="AE131" s="315">
        <v>0.0</v>
      </c>
      <c r="AF131" s="445">
        <v>0.0</v>
      </c>
      <c r="AG131" s="316">
        <v>0.0</v>
      </c>
      <c r="AH131" s="307">
        <v>0.0</v>
      </c>
      <c r="AI131" s="317">
        <v>0.0</v>
      </c>
      <c r="AJ131" s="318">
        <v>0.0</v>
      </c>
      <c r="AK131" s="319">
        <v>0.0</v>
      </c>
      <c r="AL131" s="446">
        <v>0.0</v>
      </c>
      <c r="AM131" s="320">
        <v>0.0</v>
      </c>
      <c r="AN131" s="149" t="str">
        <f>IFERROR(
  AVERAGEIFS(
    'New LF Efficacy'!$J:$J,
    'New LF Efficacy'!$D:$D, $A131,
    'New LF Efficacy'!$F:$F,"DEC", 
    'New LF Efficacy'!$W:$W,"&lt;2016",
    'New LF Efficacy'!$AA:$AA,""),
  ""
)</f>
        <v/>
      </c>
      <c r="AO131" s="115">
        <f t="shared" si="11"/>
        <v>0.2589833333</v>
      </c>
      <c r="AP131" s="149" t="str">
        <f>IFERROR(
AVERAGEIFS(
'New LF Efficacy'!$J:$J,
'New LF Efficacy'!$D:$D,$A131,
'New LF Efficacy'!$F:$F,"Albendazole &amp; DEC",
'New LF Efficacy'!$W:$W,"&lt;2016",
'New LF Efficacy'!$AA:$AA,""),
"")
</f>
        <v/>
      </c>
      <c r="AQ131" s="115">
        <f t="shared" si="12"/>
        <v>0.3465</v>
      </c>
      <c r="AR131" s="149" t="str">
        <f>IFERROR(
AVERAGEIFS(
'New LF Efficacy'!$J:$J,
'New LF Efficacy'!$D:$D,$A131,
'New LF Efficacy'!$F:$F,"Albendazole &amp; Ivermectin", 
'New LF Efficacy'!$W:$W,"&lt;2016",
'New LF Efficacy'!$AA:$AA,""),"")</f>
        <v/>
      </c>
      <c r="AS131" s="115">
        <f t="shared" si="13"/>
        <v>0.7575</v>
      </c>
      <c r="AT131" s="442" t="str">
        <f>IFERROR(AVERAGEIFS(
'Schist Efficacy'!$O:$O, 
'Schist Efficacy'!$C:$C,$A131, 
'Schist Efficacy'!$D:$D, "Praziquantel",
'Schist Efficacy'!$J:$J,"&lt;2016",
'Schist Efficacy'!$U:$U,""),
"")</f>
        <v/>
      </c>
      <c r="AU131" s="118">
        <f t="shared" si="14"/>
        <v>0.7914761905</v>
      </c>
      <c r="AV131" s="131" t="str">
        <f>IFERROR(AVERAGEIFS(
'STH Efficacy'!$AX:$AX, 
'STH Efficacy'!$AL:$AL, $A131, 
'STH Efficacy'!$AM:$AM, "Albendazole",
'STH Efficacy'!$AS:$AS,"&lt;2016",
'STH Efficacy'!$BP:$BP,""),
"")</f>
        <v/>
      </c>
      <c r="AW131" s="132">
        <f t="shared" si="15"/>
        <v>0.3945</v>
      </c>
      <c r="AX131" s="131" t="str">
        <f>IFERROR(AVERAGEIFS(
'STH Efficacy'!$AX:$AX, 
'STH Efficacy'!$AL:$AL, $A131, 
'STH Efficacy'!$AM:$AM, "Mebendazole",
'STH Efficacy'!$AS:$AS,"&lt;2016",
'STH Efficacy'!$BP:$BP,""),
"")</f>
        <v/>
      </c>
      <c r="AY131" s="132">
        <f t="shared" si="16"/>
        <v>0.6</v>
      </c>
      <c r="AZ131" s="131" t="str">
        <f>IFERROR(AVERAGEIFS(
'STH Efficacy'!$AX:$AX, 
'STH Efficacy'!$AL:$AL, $A131, 
'STH Efficacy'!$AM:$AM, "Albendazole &amp; Ivermectin",
'STH Efficacy'!$AS:$AS,"&lt;2016",
'STH Efficacy'!$BP:$BP,""),
"")</f>
        <v/>
      </c>
      <c r="BA131" s="133">
        <f t="shared" si="17"/>
        <v>0.796</v>
      </c>
      <c r="BB131" s="443" t="str">
        <f>IFERROR(AVERAGEIFS(
'STH Efficacy'!$N:$N, 
'STH Efficacy'!$B:$B, $A131, 
'STH Efficacy'!$C:$C, "Albendazole",
'STH Efficacy'!$I:$I,"&lt;2016",
'STH Efficacy'!$AH:$AH,""),
"")</f>
        <v/>
      </c>
      <c r="BC131" s="135">
        <f t="shared" si="18"/>
        <v>0.869</v>
      </c>
      <c r="BD131" s="443" t="str">
        <f>IFERROR(AVERAGEIFS(
'STH Efficacy'!$N:$N, 
'STH Efficacy'!$B:$B, $A131, 
'STH Efficacy'!$C:$C, "Mebendazole",
'STH Efficacy'!$I:$I,"&lt;2016",
'STH Efficacy'!$AH:$AH,""),
"")</f>
        <v/>
      </c>
      <c r="BE131" s="135">
        <f t="shared" si="19"/>
        <v>0.172</v>
      </c>
      <c r="BF131" s="436" t="str">
        <f>IFERROR(AVERAGEIFS(
'STH Efficacy'!$CD:$CD, 
'STH Efficacy'!$BS:$BS, $A131, 
'STH Efficacy'!$BT:$BT, "Albendazole",
'STH Efficacy'!$BZ:$BZ,"&lt;2016",
'STH Efficacy'!$CU:$CU,""),
"")</f>
        <v/>
      </c>
      <c r="BG131" s="136">
        <f t="shared" si="20"/>
        <v>0.9862</v>
      </c>
      <c r="BH131" s="436" t="str">
        <f>IFERROR(AVERAGEIFS(
'STH Efficacy'!$CD:$CD, 
'STH Efficacy'!$BS:$BS, $A131, 
'STH Efficacy'!$BT:$BT, "Mebendazole",
'STH Efficacy'!$BZ:$BZ,"&lt;2016",
'STH Efficacy'!$CU:$CU,""),
"")</f>
        <v/>
      </c>
      <c r="BI131" s="136">
        <f t="shared" si="21"/>
        <v>0.769</v>
      </c>
      <c r="BJ131" s="436" t="str">
        <f>IFERROR(AVERAGEIFS(
'STH Efficacy'!$CD:$CD, 
'STH Efficacy'!$BS:$BS, $A131, 
'STH Efficacy'!$BT:$BT, "Albendazole &amp; Ivermectin",
'STH Efficacy'!$BZ:$BZ,"&lt;2016",
'STH Efficacy'!$CU:$CU,""),
"")</f>
        <v/>
      </c>
      <c r="BK131" s="136">
        <f t="shared" si="22"/>
        <v>1</v>
      </c>
      <c r="BL131" s="444" t="str">
        <f>IFERROR(
  AVERAGEIFS(
    'NEW Onchocerciasis Efficacy'!$AO:$AO,
    'NEW Onchocerciasis Efficacy'!$C:$C,$A131,
    'NEW Onchocerciasis Efficacy'!$D:$D,"Ivermectin",
    'NEW Onchocerciasis Efficacy'!$AR:$AR,"&lt;2016",
    'NEW Onchocerciasis Efficacy'!$BG:$BG,"")
,"")</f>
        <v/>
      </c>
      <c r="BM131" s="304">
        <f t="shared" si="23"/>
        <v>0.3734</v>
      </c>
      <c r="BN131" s="439">
        <v>0.0</v>
      </c>
      <c r="BO131" s="139">
        <v>0.0</v>
      </c>
      <c r="BP131" s="140">
        <v>0.0</v>
      </c>
      <c r="BQ131" s="141">
        <f t="shared" si="24"/>
        <v>0</v>
      </c>
      <c r="BR131" s="104" t="str">
        <f t="shared" si="25"/>
        <v>0000</v>
      </c>
      <c r="BS131" s="104" t="str">
        <f t="shared" si="26"/>
        <v>no action required</v>
      </c>
      <c r="BT131" s="142" t="str">
        <f t="shared" si="43"/>
        <v/>
      </c>
      <c r="BU131" s="104" t="str">
        <f t="shared" si="28"/>
        <v/>
      </c>
      <c r="BV131" s="104" t="str">
        <f t="shared" si="29"/>
        <v>none</v>
      </c>
      <c r="BW131" s="150" t="str">
        <f t="shared" si="30"/>
        <v/>
      </c>
      <c r="BX131" s="150" t="str">
        <f t="shared" si="31"/>
        <v/>
      </c>
      <c r="BY131" s="151" t="str">
        <f t="shared" si="32"/>
        <v/>
      </c>
      <c r="BZ131" s="152" t="str">
        <f t="shared" si="33"/>
        <v/>
      </c>
      <c r="CA131" s="152" t="str">
        <f t="shared" si="34"/>
        <v/>
      </c>
      <c r="CB131" s="152" t="str">
        <f t="shared" si="35"/>
        <v/>
      </c>
      <c r="CC131" s="153" t="str">
        <f t="shared" si="36"/>
        <v/>
      </c>
      <c r="CD131" s="153" t="str">
        <f t="shared" si="37"/>
        <v/>
      </c>
      <c r="CE131" s="154" t="str">
        <f t="shared" si="38"/>
        <v/>
      </c>
      <c r="CF131" s="154" t="str">
        <f t="shared" si="39"/>
        <v/>
      </c>
      <c r="CG131" s="154" t="str">
        <f t="shared" si="40"/>
        <v/>
      </c>
      <c r="CH131" s="308" t="str">
        <f t="shared" si="41"/>
        <v/>
      </c>
    </row>
    <row r="132">
      <c r="A132" s="103" t="s">
        <v>221</v>
      </c>
      <c r="B132" s="104" t="s">
        <v>88</v>
      </c>
      <c r="C132" s="428">
        <v>3.4803322E7</v>
      </c>
      <c r="D132" s="161">
        <v>0.0</v>
      </c>
      <c r="E132" s="294">
        <v>3094.023812</v>
      </c>
      <c r="F132" s="295">
        <v>8.91204578</v>
      </c>
      <c r="G132" s="295">
        <v>55.31640603</v>
      </c>
      <c r="H132" s="108">
        <v>64.22845181</v>
      </c>
      <c r="I132" s="109">
        <v>0.12752667</v>
      </c>
      <c r="J132" s="109">
        <v>0.25189366</v>
      </c>
      <c r="K132" s="109">
        <v>0.379420334</v>
      </c>
      <c r="L132" s="112">
        <v>105.4996613</v>
      </c>
      <c r="M132" s="112">
        <v>289.1289657</v>
      </c>
      <c r="N132" s="112">
        <v>394.628627</v>
      </c>
      <c r="O132" s="298">
        <v>0.0</v>
      </c>
      <c r="P132" s="114"/>
      <c r="Q132" s="114"/>
      <c r="R132" s="121" t="str">
        <f t="shared" si="4"/>
        <v/>
      </c>
      <c r="S132" s="116">
        <f t="shared" si="5"/>
        <v>0.5709301448</v>
      </c>
      <c r="T132" s="117"/>
      <c r="U132" s="118">
        <f t="shared" si="6"/>
        <v>0.739</v>
      </c>
      <c r="V132" s="148"/>
      <c r="W132" s="120">
        <f t="shared" si="7"/>
        <v>0.9933333333</v>
      </c>
      <c r="X132" s="148"/>
      <c r="Y132" s="120">
        <f t="shared" si="8"/>
        <v>0.5301</v>
      </c>
      <c r="Z132" s="299"/>
      <c r="AA132" s="441"/>
      <c r="AB132" s="300" t="str">
        <f t="shared" si="9"/>
        <v/>
      </c>
      <c r="AC132" s="300">
        <f t="shared" si="10"/>
        <v>0.4014082288</v>
      </c>
      <c r="AD132" s="122">
        <v>0.0</v>
      </c>
      <c r="AE132" s="123">
        <v>0.01</v>
      </c>
      <c r="AF132" s="430">
        <v>0.001</v>
      </c>
      <c r="AG132" s="124">
        <v>0.0489</v>
      </c>
      <c r="AH132" s="124">
        <v>0.075721349</v>
      </c>
      <c r="AI132" s="125">
        <v>0.0</v>
      </c>
      <c r="AJ132" s="125">
        <v>1.11178E-5</v>
      </c>
      <c r="AK132" s="127">
        <v>0.0678</v>
      </c>
      <c r="AL132" s="127">
        <v>0.104310358</v>
      </c>
      <c r="AM132" s="302">
        <v>0.0</v>
      </c>
      <c r="AN132" s="149" t="str">
        <f>IFERROR(
  AVERAGEIFS(
    'New LF Efficacy'!$J:$J,
    'New LF Efficacy'!$D:$D, $A132,
    'New LF Efficacy'!$F:$F,"DEC", 
    'New LF Efficacy'!$W:$W,"&lt;2016",
    'New LF Efficacy'!$AA:$AA,""),
  ""
)</f>
        <v/>
      </c>
      <c r="AO132" s="115">
        <f t="shared" si="11"/>
        <v>0.3573520833</v>
      </c>
      <c r="AP132" s="149" t="str">
        <f>IFERROR(
AVERAGEIFS(
'New LF Efficacy'!$J:$J,
'New LF Efficacy'!$D:$D,$A132,
'New LF Efficacy'!$F:$F,"Albendazole &amp; DEC",
'New LF Efficacy'!$W:$W,"&lt;2016",
'New LF Efficacy'!$AA:$AA,""),
"")
</f>
        <v/>
      </c>
      <c r="AQ132" s="115">
        <f t="shared" si="12"/>
        <v>0.7935</v>
      </c>
      <c r="AR132" s="149" t="str">
        <f>IFERROR(
AVERAGEIFS(
'New LF Efficacy'!$J:$J,
'New LF Efficacy'!$D:$D,$A132,
'New LF Efficacy'!$F:$F,"Albendazole &amp; Ivermectin", 
'New LF Efficacy'!$W:$W,"&lt;2016",
'New LF Efficacy'!$AA:$AA,""),"")</f>
        <v/>
      </c>
      <c r="AS132" s="115">
        <f t="shared" si="13"/>
        <v>0.37153125</v>
      </c>
      <c r="AT132" s="442" t="str">
        <f>IFERROR(AVERAGEIFS(
'Schist Efficacy'!$O:$O, 
'Schist Efficacy'!$C:$C,$A132, 
'Schist Efficacy'!$D:$D, "Praziquantel",
'Schist Efficacy'!$J:$J,"&lt;2016",
'Schist Efficacy'!$U:$U,""),
"")</f>
        <v/>
      </c>
      <c r="AU132" s="118">
        <f t="shared" si="14"/>
        <v>0.7763141026</v>
      </c>
      <c r="AV132" s="131" t="str">
        <f>IFERROR(AVERAGEIFS(
'STH Efficacy'!$AX:$AX, 
'STH Efficacy'!$AL:$AL, $A132, 
'STH Efficacy'!$AM:$AM, "Albendazole",
'STH Efficacy'!$AS:$AS,"&lt;2016",
'STH Efficacy'!$BP:$BP,""),
"")</f>
        <v/>
      </c>
      <c r="AW132" s="132">
        <f t="shared" si="15"/>
        <v>0.4143846154</v>
      </c>
      <c r="AX132" s="131" t="str">
        <f>IFERROR(AVERAGEIFS(
'STH Efficacy'!$AX:$AX, 
'STH Efficacy'!$AL:$AL, $A132, 
'STH Efficacy'!$AM:$AM, "Mebendazole",
'STH Efficacy'!$AS:$AS,"&lt;2016",
'STH Efficacy'!$BP:$BP,""),
"")</f>
        <v/>
      </c>
      <c r="AY132" s="132">
        <f t="shared" si="16"/>
        <v>0.4691770833</v>
      </c>
      <c r="AZ132" s="131" t="str">
        <f>IFERROR(AVERAGEIFS(
'STH Efficacy'!$AX:$AX, 
'STH Efficacy'!$AL:$AL, $A132, 
'STH Efficacy'!$AM:$AM, "Albendazole &amp; Ivermectin",
'STH Efficacy'!$AS:$AS,"&lt;2016",
'STH Efficacy'!$BP:$BP,""),
"")</f>
        <v/>
      </c>
      <c r="BA132" s="133">
        <f t="shared" si="17"/>
        <v>0.597625</v>
      </c>
      <c r="BB132" s="443" t="str">
        <f>IFERROR(AVERAGEIFS(
'STH Efficacy'!$N:$N, 
'STH Efficacy'!$B:$B, $A132, 
'STH Efficacy'!$C:$C, "Albendazole",
'STH Efficacy'!$I:$I,"&lt;2016",
'STH Efficacy'!$AH:$AH,""),
"")</f>
        <v/>
      </c>
      <c r="BC132" s="135">
        <f t="shared" si="18"/>
        <v>0.7613712121</v>
      </c>
      <c r="BD132" s="443" t="str">
        <f>IFERROR(AVERAGEIFS(
'STH Efficacy'!$N:$N, 
'STH Efficacy'!$B:$B, $A132, 
'STH Efficacy'!$C:$C, "Mebendazole",
'STH Efficacy'!$I:$I,"&lt;2016",
'STH Efficacy'!$AH:$AH,""),
"")</f>
        <v/>
      </c>
      <c r="BE132" s="135">
        <f t="shared" si="19"/>
        <v>0.4362466667</v>
      </c>
      <c r="BF132" s="436" t="str">
        <f>IFERROR(AVERAGEIFS(
'STH Efficacy'!$CD:$CD, 
'STH Efficacy'!$BS:$BS, $A132, 
'STH Efficacy'!$BT:$BT, "Albendazole",
'STH Efficacy'!$BZ:$BZ,"&lt;2016",
'STH Efficacy'!$CU:$CU,""),
"")</f>
        <v/>
      </c>
      <c r="BG132" s="136">
        <f t="shared" si="20"/>
        <v>0.955</v>
      </c>
      <c r="BH132" s="436" t="str">
        <f>IFERROR(AVERAGEIFS(
'STH Efficacy'!$CD:$CD, 
'STH Efficacy'!$BS:$BS, $A132, 
'STH Efficacy'!$BT:$BT, "Mebendazole",
'STH Efficacy'!$BZ:$BZ,"&lt;2016",
'STH Efficacy'!$CU:$CU,""),
"")</f>
        <v/>
      </c>
      <c r="BI132" s="136">
        <f t="shared" si="21"/>
        <v>1</v>
      </c>
      <c r="BJ132" s="436" t="str">
        <f>IFERROR(AVERAGEIFS(
'STH Efficacy'!$CD:$CD, 
'STH Efficacy'!$BS:$BS, $A132, 
'STH Efficacy'!$BT:$BT, "Albendazole &amp; Ivermectin",
'STH Efficacy'!$BZ:$BZ,"&lt;2016",
'STH Efficacy'!$CU:$CU,""),
"")</f>
        <v/>
      </c>
      <c r="BK132" s="136">
        <f t="shared" si="22"/>
        <v>0.848</v>
      </c>
      <c r="BL132" s="444" t="str">
        <f>IFERROR(
  AVERAGEIFS(
    'NEW Onchocerciasis Efficacy'!$AO:$AO,
    'NEW Onchocerciasis Efficacy'!$C:$C,$A132,
    'NEW Onchocerciasis Efficacy'!$D:$D,"Ivermectin",
    'NEW Onchocerciasis Efficacy'!$AR:$AR,"&lt;2016",
    'NEW Onchocerciasis Efficacy'!$BG:$BG,"")
,"")</f>
        <v/>
      </c>
      <c r="BM132" s="304">
        <f t="shared" si="23"/>
        <v>0.7808368939</v>
      </c>
      <c r="BN132" s="439">
        <v>0.0</v>
      </c>
      <c r="BO132" s="139">
        <v>1.0</v>
      </c>
      <c r="BP132" s="140">
        <v>1.0</v>
      </c>
      <c r="BQ132" s="141">
        <f t="shared" si="24"/>
        <v>0</v>
      </c>
      <c r="BR132" s="104" t="str">
        <f t="shared" si="25"/>
        <v>0110</v>
      </c>
      <c r="BS132" s="104" t="str">
        <f t="shared" si="26"/>
        <v>MDA3+T2</v>
      </c>
      <c r="BT132" s="142" t="str">
        <f t="shared" si="43"/>
        <v>IVM</v>
      </c>
      <c r="BU132" s="104" t="str">
        <f t="shared" si="28"/>
        <v>PZQ</v>
      </c>
      <c r="BV132" s="104" t="str">
        <f t="shared" si="29"/>
        <v>onch+schist</v>
      </c>
      <c r="BW132" s="150" t="str">
        <f t="shared" si="30"/>
        <v/>
      </c>
      <c r="BX132" s="150" t="str">
        <f t="shared" si="31"/>
        <v/>
      </c>
      <c r="BY132" s="162">
        <f t="shared" si="32"/>
        <v>4163.76569</v>
      </c>
      <c r="BZ132" s="152" t="str">
        <f t="shared" si="33"/>
        <v/>
      </c>
      <c r="CA132" s="152" t="str">
        <f t="shared" si="34"/>
        <v/>
      </c>
      <c r="CB132" s="152" t="str">
        <f t="shared" si="35"/>
        <v/>
      </c>
      <c r="CC132" s="153" t="str">
        <f t="shared" si="36"/>
        <v/>
      </c>
      <c r="CD132" s="153" t="str">
        <f t="shared" si="37"/>
        <v/>
      </c>
      <c r="CE132" s="154" t="str">
        <f t="shared" si="38"/>
        <v/>
      </c>
      <c r="CF132" s="154" t="str">
        <f t="shared" si="39"/>
        <v/>
      </c>
      <c r="CG132" s="154" t="str">
        <f t="shared" si="40"/>
        <v/>
      </c>
      <c r="CH132" s="313">
        <f t="shared" si="41"/>
        <v>0</v>
      </c>
    </row>
    <row r="133">
      <c r="A133" s="103" t="s">
        <v>222</v>
      </c>
      <c r="B133" s="104" t="s">
        <v>92</v>
      </c>
      <c r="C133" s="428">
        <v>2.8010691E7</v>
      </c>
      <c r="D133" s="161">
        <v>40563.24</v>
      </c>
      <c r="E133" s="294">
        <v>22149.89564</v>
      </c>
      <c r="F133" s="322">
        <v>1661.847257</v>
      </c>
      <c r="G133" s="322">
        <v>7584.906286</v>
      </c>
      <c r="H133" s="157">
        <v>9246.753543</v>
      </c>
      <c r="I133" s="110">
        <v>2484.68231</v>
      </c>
      <c r="J133" s="110">
        <v>6745.51774</v>
      </c>
      <c r="K133" s="110">
        <v>9230.200048</v>
      </c>
      <c r="L133" s="111">
        <v>11680.16442</v>
      </c>
      <c r="M133" s="112">
        <v>2269.469952</v>
      </c>
      <c r="N133" s="112">
        <v>13949.63437</v>
      </c>
      <c r="O133" s="298">
        <v>0.0</v>
      </c>
      <c r="P133" s="160">
        <v>1.821825E7</v>
      </c>
      <c r="Q133" s="156"/>
      <c r="R133" s="121">
        <f t="shared" si="4"/>
        <v>0</v>
      </c>
      <c r="S133" s="116">
        <f t="shared" si="5"/>
        <v>0.3345096109</v>
      </c>
      <c r="T133" s="448"/>
      <c r="U133" s="449">
        <f t="shared" si="6"/>
        <v>0.4220357143</v>
      </c>
      <c r="V133" s="119">
        <v>0.87</v>
      </c>
      <c r="W133" s="120">
        <f t="shared" si="7"/>
        <v>0.87</v>
      </c>
      <c r="X133" s="148"/>
      <c r="Y133" s="120">
        <f t="shared" si="8"/>
        <v>0.5938357143</v>
      </c>
      <c r="Z133" s="310">
        <v>17759.0</v>
      </c>
      <c r="AA133" s="298" t="s">
        <v>372</v>
      </c>
      <c r="AB133" s="300" t="str">
        <f t="shared" si="9"/>
        <v/>
      </c>
      <c r="AC133" s="300">
        <f t="shared" si="10"/>
        <v>0.6375203308</v>
      </c>
      <c r="AD133" s="122">
        <v>0.0363</v>
      </c>
      <c r="AE133" s="123">
        <v>0.04</v>
      </c>
      <c r="AF133" s="430">
        <v>0.0131</v>
      </c>
      <c r="AG133" s="124">
        <v>0.0</v>
      </c>
      <c r="AH133" s="124">
        <v>0.329810063</v>
      </c>
      <c r="AI133" s="125">
        <v>0.0</v>
      </c>
      <c r="AJ133" s="125">
        <v>0.188466173</v>
      </c>
      <c r="AK133" s="127">
        <v>0.0</v>
      </c>
      <c r="AL133" s="127">
        <v>0.130664595</v>
      </c>
      <c r="AM133" s="302">
        <v>0.0</v>
      </c>
      <c r="AN133" s="149" t="str">
        <f>IFERROR(
  AVERAGEIFS(
    'New LF Efficacy'!$J:$J,
    'New LF Efficacy'!$D:$D, $A133,
    'New LF Efficacy'!$F:$F,"DEC", 
    'New LF Efficacy'!$W:$W,"&lt;2016",
    'New LF Efficacy'!$AA:$AA,""),
  ""
)</f>
        <v/>
      </c>
      <c r="AO133" s="115">
        <f t="shared" si="11"/>
        <v>0.31225</v>
      </c>
      <c r="AP133" s="149" t="str">
        <f>IFERROR(
AVERAGEIFS(
'New LF Efficacy'!$J:$J,
'New LF Efficacy'!$D:$D,$A133,
'New LF Efficacy'!$F:$F,"Albendazole &amp; DEC",
'New LF Efficacy'!$W:$W,"&lt;2016",
'New LF Efficacy'!$AA:$AA,""),
"")
</f>
        <v/>
      </c>
      <c r="AQ133" s="115">
        <f t="shared" si="12"/>
        <v>0.4</v>
      </c>
      <c r="AR133" s="149" t="str">
        <f>IFERROR(
AVERAGEIFS(
'New LF Efficacy'!$J:$J,
'New LF Efficacy'!$D:$D,$A133,
'New LF Efficacy'!$F:$F,"Albendazole &amp; Ivermectin", 
'New LF Efficacy'!$W:$W,"&lt;2016",
'New LF Efficacy'!$AA:$AA,""),"")</f>
        <v/>
      </c>
      <c r="AS133" s="115">
        <f t="shared" si="13"/>
        <v>0.2943125</v>
      </c>
      <c r="AT133" s="442" t="str">
        <f>IFERROR(AVERAGEIFS(
'Schist Efficacy'!$O:$O, 
'Schist Efficacy'!$C:$C,$A133, 
'Schist Efficacy'!$D:$D, "Praziquantel",
'Schist Efficacy'!$J:$J,"&lt;2016",
'Schist Efficacy'!$U:$U,""),
"")</f>
        <v/>
      </c>
      <c r="AU133" s="118">
        <f t="shared" si="14"/>
        <v>0.7206464759</v>
      </c>
      <c r="AV133" s="131" t="str">
        <f>IFERROR(AVERAGEIFS(
'STH Efficacy'!$AX:$AX, 
'STH Efficacy'!$AL:$AL, $A133, 
'STH Efficacy'!$AM:$AM, "Albendazole",
'STH Efficacy'!$AS:$AS,"&lt;2016",
'STH Efficacy'!$BP:$BP,""),
"")</f>
        <v/>
      </c>
      <c r="AW133" s="132">
        <f t="shared" si="15"/>
        <v>0.3816333333</v>
      </c>
      <c r="AX133" s="131" t="str">
        <f>IFERROR(AVERAGEIFS(
'STH Efficacy'!$AX:$AX, 
'STH Efficacy'!$AL:$AL, $A133, 
'STH Efficacy'!$AM:$AM, "Mebendazole",
'STH Efficacy'!$AS:$AS,"&lt;2016",
'STH Efficacy'!$BP:$BP,""),
"")</f>
        <v/>
      </c>
      <c r="AY133" s="132">
        <f t="shared" si="16"/>
        <v>0.4859375</v>
      </c>
      <c r="AZ133" s="131" t="str">
        <f>IFERROR(AVERAGEIFS(
'STH Efficacy'!$AX:$AX, 
'STH Efficacy'!$AL:$AL, $A133, 
'STH Efficacy'!$AM:$AM, "Albendazole &amp; Ivermectin",
'STH Efficacy'!$AS:$AS,"&lt;2016",
'STH Efficacy'!$BP:$BP,""),
"")</f>
        <v/>
      </c>
      <c r="BA133" s="133">
        <f t="shared" si="17"/>
        <v>0.47175</v>
      </c>
      <c r="BB133" s="443" t="str">
        <f>IFERROR(AVERAGEIFS(
'STH Efficacy'!$N:$N, 
'STH Efficacy'!$B:$B, $A133, 
'STH Efficacy'!$C:$C, "Albendazole",
'STH Efficacy'!$I:$I,"&lt;2016",
'STH Efficacy'!$AH:$AH,""),
"")</f>
        <v/>
      </c>
      <c r="BC133" s="135">
        <f t="shared" si="18"/>
        <v>0.8699166667</v>
      </c>
      <c r="BD133" s="443" t="str">
        <f>IFERROR(AVERAGEIFS(
'STH Efficacy'!$N:$N, 
'STH Efficacy'!$B:$B, $A133, 
'STH Efficacy'!$C:$C, "Mebendazole",
'STH Efficacy'!$I:$I,"&lt;2016",
'STH Efficacy'!$AH:$AH,""),
"")</f>
        <v/>
      </c>
      <c r="BE133" s="135">
        <f t="shared" si="19"/>
        <v>0.7092416667</v>
      </c>
      <c r="BF133" s="436" t="str">
        <f>IFERROR(AVERAGEIFS(
'STH Efficacy'!$CD:$CD, 
'STH Efficacy'!$BS:$BS, $A133, 
'STH Efficacy'!$BT:$BT, "Albendazole",
'STH Efficacy'!$BZ:$BZ,"&lt;2016",
'STH Efficacy'!$CU:$CU,""),
"")</f>
        <v/>
      </c>
      <c r="BG133" s="136">
        <f t="shared" si="20"/>
        <v>0.9066666667</v>
      </c>
      <c r="BH133" s="436" t="str">
        <f>IFERROR(AVERAGEIFS(
'STH Efficacy'!$CD:$CD, 
'STH Efficacy'!$BS:$BS, $A133, 
'STH Efficacy'!$BT:$BT, "Mebendazole",
'STH Efficacy'!$BZ:$BZ,"&lt;2016",
'STH Efficacy'!$CU:$CU,""),
"")</f>
        <v/>
      </c>
      <c r="BI133" s="136">
        <f t="shared" si="21"/>
        <v>0.8483333333</v>
      </c>
      <c r="BJ133" s="436" t="str">
        <f>IFERROR(AVERAGEIFS(
'STH Efficacy'!$CD:$CD, 
'STH Efficacy'!$BS:$BS, $A133, 
'STH Efficacy'!$BT:$BT, "Albendazole &amp; Ivermectin",
'STH Efficacy'!$BZ:$BZ,"&lt;2016",
'STH Efficacy'!$CU:$CU,""),
"")</f>
        <v/>
      </c>
      <c r="BK133" s="136">
        <f t="shared" si="22"/>
        <v>0.696</v>
      </c>
      <c r="BL133" s="444" t="str">
        <f>IFERROR(
  AVERAGEIFS(
    'NEW Onchocerciasis Efficacy'!$AO:$AO,
    'NEW Onchocerciasis Efficacy'!$C:$C,$A133,
    'NEW Onchocerciasis Efficacy'!$D:$D,"Ivermectin",
    'NEW Onchocerciasis Efficacy'!$AR:$AR,"&lt;2016",
    'NEW Onchocerciasis Efficacy'!$BG:$BG,"")
,"")</f>
        <v/>
      </c>
      <c r="BM133" s="304">
        <f t="shared" si="23"/>
        <v>0.8390421645</v>
      </c>
      <c r="BN133" s="439">
        <v>1.0</v>
      </c>
      <c r="BO133" s="139">
        <v>0.0</v>
      </c>
      <c r="BP133" s="140">
        <v>1.0</v>
      </c>
      <c r="BQ133" s="141">
        <f t="shared" si="24"/>
        <v>1</v>
      </c>
      <c r="BR133" s="104" t="str">
        <f t="shared" si="25"/>
        <v>1011</v>
      </c>
      <c r="BS133" s="104" t="str">
        <f t="shared" si="26"/>
        <v>MDA1/2+T2</v>
      </c>
      <c r="BT133" s="142" t="str">
        <f t="shared" si="43"/>
        <v>IVM+ALB or DEC +ALB</v>
      </c>
      <c r="BU133" s="104" t="str">
        <f t="shared" si="28"/>
        <v>PZQ</v>
      </c>
      <c r="BV133" s="104" t="str">
        <f t="shared" si="29"/>
        <v>lf+schist+sth</v>
      </c>
      <c r="BW133" s="150" t="str">
        <f t="shared" si="30"/>
        <v/>
      </c>
      <c r="BX133" s="312">
        <f t="shared" si="31"/>
        <v>4429.557061</v>
      </c>
      <c r="BY133" s="162">
        <f t="shared" si="32"/>
        <v>9681.003524</v>
      </c>
      <c r="BZ133" s="152">
        <f t="shared" si="33"/>
        <v>3048.691756</v>
      </c>
      <c r="CA133" s="152" t="str">
        <f t="shared" si="34"/>
        <v/>
      </c>
      <c r="CB133" s="152">
        <f t="shared" si="35"/>
        <v>4108.625308</v>
      </c>
      <c r="CC133" s="323">
        <f t="shared" si="36"/>
        <v>14941.53717</v>
      </c>
      <c r="CD133" s="153" t="str">
        <f t="shared" si="37"/>
        <v/>
      </c>
      <c r="CE133" s="154">
        <f t="shared" si="38"/>
        <v>46270.82147</v>
      </c>
      <c r="CF133" s="154" t="str">
        <f t="shared" si="39"/>
        <v/>
      </c>
      <c r="CG133" s="154">
        <f t="shared" si="40"/>
        <v>19527.63967</v>
      </c>
      <c r="CH133" s="308" t="str">
        <f t="shared" si="41"/>
        <v/>
      </c>
    </row>
    <row r="134">
      <c r="A134" s="103" t="s">
        <v>223</v>
      </c>
      <c r="B134" s="104" t="s">
        <v>109</v>
      </c>
      <c r="C134" s="428">
        <v>5.2403669E7</v>
      </c>
      <c r="D134" s="161">
        <v>49376.19</v>
      </c>
      <c r="E134" s="294">
        <v>0.0</v>
      </c>
      <c r="F134" s="322">
        <v>1881.066689</v>
      </c>
      <c r="G134" s="295">
        <v>54.9239789</v>
      </c>
      <c r="H134" s="108">
        <v>1935.990668</v>
      </c>
      <c r="I134" s="109">
        <v>272.551853</v>
      </c>
      <c r="J134" s="109">
        <v>83.1752433</v>
      </c>
      <c r="K134" s="110">
        <v>355.7270968</v>
      </c>
      <c r="L134" s="111">
        <v>3014.473888</v>
      </c>
      <c r="M134" s="112">
        <v>608.2056397</v>
      </c>
      <c r="N134" s="112">
        <v>3622.679528</v>
      </c>
      <c r="O134" s="298">
        <v>0.0</v>
      </c>
      <c r="P134" s="160">
        <v>3.8896362E7</v>
      </c>
      <c r="Q134" s="160">
        <v>3.2287295E7</v>
      </c>
      <c r="R134" s="121">
        <f t="shared" si="4"/>
        <v>0.8300852147</v>
      </c>
      <c r="S134" s="116">
        <f t="shared" si="5"/>
        <v>0.8300852147</v>
      </c>
      <c r="T134" s="117"/>
      <c r="U134" s="118">
        <f t="shared" si="6"/>
        <v>0.2582</v>
      </c>
      <c r="V134" s="119">
        <v>0.9545</v>
      </c>
      <c r="W134" s="120">
        <f t="shared" si="7"/>
        <v>0.9545</v>
      </c>
      <c r="X134" s="119">
        <v>0.9918</v>
      </c>
      <c r="Y134" s="120">
        <f t="shared" si="8"/>
        <v>0.9918</v>
      </c>
      <c r="Z134" s="299"/>
      <c r="AA134" s="441"/>
      <c r="AB134" s="300" t="str">
        <f t="shared" si="9"/>
        <v/>
      </c>
      <c r="AC134" s="300">
        <f t="shared" si="10"/>
        <v>0.6890056172</v>
      </c>
      <c r="AD134" s="122">
        <v>0.0138</v>
      </c>
      <c r="AE134" s="123">
        <v>0.0</v>
      </c>
      <c r="AF134" s="430">
        <v>0.0</v>
      </c>
      <c r="AG134" s="124">
        <v>0.2019</v>
      </c>
      <c r="AH134" s="124">
        <v>0.055793942</v>
      </c>
      <c r="AI134" s="125">
        <v>0.02</v>
      </c>
      <c r="AJ134" s="125">
        <v>0.002933521</v>
      </c>
      <c r="AK134" s="127">
        <v>0.1727</v>
      </c>
      <c r="AL134" s="127">
        <v>0.046588669</v>
      </c>
      <c r="AM134" s="302">
        <v>0.0</v>
      </c>
      <c r="AN134" s="149" t="str">
        <f>IFERROR(
  AVERAGEIFS(
    'New LF Efficacy'!$J:$J,
    'New LF Efficacy'!$D:$D, $A134,
    'New LF Efficacy'!$F:$F,"DEC", 
    'New LF Efficacy'!$W:$W,"&lt;2016",
    'New LF Efficacy'!$AA:$AA,""),
  ""
)</f>
        <v/>
      </c>
      <c r="AO134" s="115">
        <f t="shared" si="11"/>
        <v>0.478175</v>
      </c>
      <c r="AP134" s="149" t="str">
        <f>IFERROR(
AVERAGEIFS(
'New LF Efficacy'!$J:$J,
'New LF Efficacy'!$D:$D,$A134,
'New LF Efficacy'!$F:$F,"Albendazole &amp; DEC",
'New LF Efficacy'!$W:$W,"&lt;2016",
'New LF Efficacy'!$AA:$AA,""),
"")
</f>
        <v/>
      </c>
      <c r="AQ134" s="115">
        <f t="shared" si="12"/>
        <v>0.5831666667</v>
      </c>
      <c r="AR134" s="149" t="str">
        <f>IFERROR(
AVERAGEIFS(
'New LF Efficacy'!$J:$J,
'New LF Efficacy'!$D:$D,$A134,
'New LF Efficacy'!$F:$F,"Albendazole &amp; Ivermectin", 
'New LF Efficacy'!$W:$W,"&lt;2016",
'New LF Efficacy'!$AA:$AA,""),"")</f>
        <v/>
      </c>
      <c r="AS134" s="115">
        <f t="shared" si="13"/>
        <v>0.14</v>
      </c>
      <c r="AT134" s="442" t="str">
        <f>IFERROR(AVERAGEIFS(
'Schist Efficacy'!$O:$O, 
'Schist Efficacy'!$C:$C,$A134, 
'Schist Efficacy'!$D:$D, "Praziquantel",
'Schist Efficacy'!$J:$J,"&lt;2016",
'Schist Efficacy'!$U:$U,""),
"")</f>
        <v/>
      </c>
      <c r="AU134" s="118">
        <f t="shared" si="14"/>
        <v>0.743990088</v>
      </c>
      <c r="AV134" s="131" t="str">
        <f>IFERROR(AVERAGEIFS(
'STH Efficacy'!$AX:$AX, 
'STH Efficacy'!$AL:$AL, $A134, 
'STH Efficacy'!$AM:$AM, "Albendazole",
'STH Efficacy'!$AS:$AS,"&lt;2016",
'STH Efficacy'!$BP:$BP,""),
"")</f>
        <v/>
      </c>
      <c r="AW134" s="132">
        <f t="shared" si="15"/>
        <v>0.5394444444</v>
      </c>
      <c r="AX134" s="131" t="str">
        <f>IFERROR(AVERAGEIFS(
'STH Efficacy'!$AX:$AX, 
'STH Efficacy'!$AL:$AL, $A134, 
'STH Efficacy'!$AM:$AM, "Mebendazole",
'STH Efficacy'!$AS:$AS,"&lt;2016",
'STH Efficacy'!$BP:$BP,""),
"")</f>
        <v/>
      </c>
      <c r="AY134" s="132">
        <f t="shared" si="16"/>
        <v>0.3786666667</v>
      </c>
      <c r="AZ134" s="131" t="str">
        <f>IFERROR(AVERAGEIFS(
'STH Efficacy'!$AX:$AX, 
'STH Efficacy'!$AL:$AL, $A134, 
'STH Efficacy'!$AM:$AM, "Albendazole &amp; Ivermectin",
'STH Efficacy'!$AS:$AS,"&lt;2016",
'STH Efficacy'!$BP:$BP,""),
"")</f>
        <v/>
      </c>
      <c r="BA134" s="133">
        <f t="shared" si="17"/>
        <v>0.597625</v>
      </c>
      <c r="BB134" s="443" t="str">
        <f>IFERROR(AVERAGEIFS(
'STH Efficacy'!$N:$N, 
'STH Efficacy'!$B:$B, $A134, 
'STH Efficacy'!$C:$C, "Albendazole",
'STH Efficacy'!$I:$I,"&lt;2016",
'STH Efficacy'!$AH:$AH,""),
"")</f>
        <v/>
      </c>
      <c r="BC134" s="135">
        <f t="shared" si="18"/>
        <v>0.7133333333</v>
      </c>
      <c r="BD134" s="443" t="str">
        <f>IFERROR(AVERAGEIFS(
'STH Efficacy'!$N:$N, 
'STH Efficacy'!$B:$B, $A134, 
'STH Efficacy'!$C:$C, "Mebendazole",
'STH Efficacy'!$I:$I,"&lt;2016",
'STH Efficacy'!$AH:$AH,""),
"")</f>
        <v/>
      </c>
      <c r="BE134" s="135">
        <f t="shared" si="19"/>
        <v>0.205</v>
      </c>
      <c r="BF134" s="436" t="str">
        <f>IFERROR(AVERAGEIFS(
'STH Efficacy'!$CD:$CD, 
'STH Efficacy'!$BS:$BS, $A134, 
'STH Efficacy'!$BT:$BT, "Albendazole",
'STH Efficacy'!$BZ:$BZ,"&lt;2016",
'STH Efficacy'!$CU:$CU,""),
"")</f>
        <v/>
      </c>
      <c r="BG134" s="136">
        <f t="shared" si="20"/>
        <v>0.83</v>
      </c>
      <c r="BH134" s="436" t="str">
        <f>IFERROR(AVERAGEIFS(
'STH Efficacy'!$CD:$CD, 
'STH Efficacy'!$BS:$BS, $A134, 
'STH Efficacy'!$BT:$BT, "Mebendazole",
'STH Efficacy'!$BZ:$BZ,"&lt;2016",
'STH Efficacy'!$CU:$CU,""),
"")</f>
        <v/>
      </c>
      <c r="BI134" s="136">
        <f t="shared" si="21"/>
        <v>1</v>
      </c>
      <c r="BJ134" s="436" t="str">
        <f>IFERROR(AVERAGEIFS(
'STH Efficacy'!$CD:$CD, 
'STH Efficacy'!$BS:$BS, $A134, 
'STH Efficacy'!$BT:$BT, "Albendazole &amp; Ivermectin",
'STH Efficacy'!$BZ:$BZ,"&lt;2016",
'STH Efficacy'!$CU:$CU,""),
"")</f>
        <v/>
      </c>
      <c r="BK134" s="136">
        <f t="shared" si="22"/>
        <v>0.848</v>
      </c>
      <c r="BL134" s="444" t="str">
        <f>IFERROR(
  AVERAGEIFS(
    'NEW Onchocerciasis Efficacy'!$AO:$AO,
    'NEW Onchocerciasis Efficacy'!$C:$C,$A134,
    'NEW Onchocerciasis Efficacy'!$D:$D,"Ivermectin",
    'NEW Onchocerciasis Efficacy'!$AR:$AR,"&lt;2016",
    'NEW Onchocerciasis Efficacy'!$BG:$BG,"")
,"")</f>
        <v/>
      </c>
      <c r="BM134" s="304">
        <f t="shared" si="23"/>
        <v>0.7808368939</v>
      </c>
      <c r="BN134" s="439">
        <v>1.0</v>
      </c>
      <c r="BO134" s="139">
        <v>1.0</v>
      </c>
      <c r="BP134" s="140">
        <v>0.0</v>
      </c>
      <c r="BQ134" s="141">
        <f t="shared" si="24"/>
        <v>0</v>
      </c>
      <c r="BR134" s="104" t="str">
        <f t="shared" si="25"/>
        <v>1100</v>
      </c>
      <c r="BS134" s="104" t="str">
        <f t="shared" si="26"/>
        <v>MDA1</v>
      </c>
      <c r="BT134" s="142" t="str">
        <f t="shared" si="43"/>
        <v>IVM+ALB</v>
      </c>
      <c r="BU134" s="104" t="str">
        <f t="shared" si="28"/>
        <v/>
      </c>
      <c r="BV134" s="104" t="str">
        <f t="shared" si="29"/>
        <v>lf+onch</v>
      </c>
      <c r="BW134" s="150" t="str">
        <f t="shared" si="30"/>
        <v/>
      </c>
      <c r="BX134" s="312">
        <f t="shared" si="31"/>
        <v>6492.622534</v>
      </c>
      <c r="BY134" s="151" t="str">
        <f t="shared" si="32"/>
        <v/>
      </c>
      <c r="BZ134" s="152" t="str">
        <f t="shared" si="33"/>
        <v/>
      </c>
      <c r="CA134" s="152" t="str">
        <f t="shared" si="34"/>
        <v/>
      </c>
      <c r="CB134" s="152" t="str">
        <f t="shared" si="35"/>
        <v/>
      </c>
      <c r="CC134" s="153" t="str">
        <f t="shared" si="36"/>
        <v/>
      </c>
      <c r="CD134" s="153" t="str">
        <f t="shared" si="37"/>
        <v/>
      </c>
      <c r="CE134" s="154" t="str">
        <f t="shared" si="38"/>
        <v/>
      </c>
      <c r="CF134" s="154" t="str">
        <f t="shared" si="39"/>
        <v/>
      </c>
      <c r="CG134" s="154" t="str">
        <f t="shared" si="40"/>
        <v/>
      </c>
      <c r="CH134" s="313">
        <f t="shared" si="41"/>
        <v>0</v>
      </c>
    </row>
    <row r="135">
      <c r="A135" s="103" t="s">
        <v>224</v>
      </c>
      <c r="B135" s="104" t="s">
        <v>92</v>
      </c>
      <c r="C135" s="428">
        <v>2425561.0</v>
      </c>
      <c r="D135" s="161">
        <v>0.0</v>
      </c>
      <c r="E135" s="294">
        <v>1767.744048</v>
      </c>
      <c r="F135" s="295">
        <v>1.140849945</v>
      </c>
      <c r="G135" s="295">
        <v>5.078835077</v>
      </c>
      <c r="H135" s="108">
        <v>6.219685022</v>
      </c>
      <c r="I135" s="109">
        <v>126.215122</v>
      </c>
      <c r="J135" s="109">
        <v>362.231358</v>
      </c>
      <c r="K135" s="109">
        <v>488.44648</v>
      </c>
      <c r="L135" s="112">
        <v>8.765051203</v>
      </c>
      <c r="M135" s="112">
        <v>2.806821153</v>
      </c>
      <c r="N135" s="112">
        <v>11.57187236</v>
      </c>
      <c r="O135" s="298">
        <v>0.0</v>
      </c>
      <c r="P135" s="114"/>
      <c r="Q135" s="114"/>
      <c r="R135" s="121" t="str">
        <f t="shared" si="4"/>
        <v/>
      </c>
      <c r="S135" s="116">
        <f t="shared" si="5"/>
        <v>0.3345096109</v>
      </c>
      <c r="T135" s="448"/>
      <c r="U135" s="449">
        <f t="shared" si="6"/>
        <v>0.4220357143</v>
      </c>
      <c r="V135" s="148"/>
      <c r="W135" s="120">
        <f t="shared" si="7"/>
        <v>0.8084736842</v>
      </c>
      <c r="X135" s="148"/>
      <c r="Y135" s="120">
        <f t="shared" si="8"/>
        <v>0.5938357143</v>
      </c>
      <c r="Z135" s="299"/>
      <c r="AA135" s="441"/>
      <c r="AB135" s="300" t="str">
        <f t="shared" si="9"/>
        <v/>
      </c>
      <c r="AC135" s="300">
        <f t="shared" si="10"/>
        <v>0.6375203308</v>
      </c>
      <c r="AD135" s="122">
        <v>0.0</v>
      </c>
      <c r="AE135" s="123">
        <v>0.1</v>
      </c>
      <c r="AF135" s="430">
        <v>0.0168</v>
      </c>
      <c r="AG135" s="124">
        <v>0.0377</v>
      </c>
      <c r="AH135" s="124">
        <v>0.059002132</v>
      </c>
      <c r="AI135" s="125">
        <v>0.1071</v>
      </c>
      <c r="AJ135" s="125">
        <v>0.170659489</v>
      </c>
      <c r="AK135" s="127">
        <v>0.0162</v>
      </c>
      <c r="AL135" s="127">
        <v>0.025041313</v>
      </c>
      <c r="AM135" s="302">
        <v>0.0</v>
      </c>
      <c r="AN135" s="149" t="str">
        <f>IFERROR(
  AVERAGEIFS(
    'New LF Efficacy'!$J:$J,
    'New LF Efficacy'!$D:$D, $A135,
    'New LF Efficacy'!$F:$F,"DEC", 
    'New LF Efficacy'!$W:$W,"&lt;2016",
    'New LF Efficacy'!$AA:$AA,""),
  ""
)</f>
        <v/>
      </c>
      <c r="AO135" s="115">
        <f t="shared" si="11"/>
        <v>0.31225</v>
      </c>
      <c r="AP135" s="149" t="str">
        <f>IFERROR(
AVERAGEIFS(
'New LF Efficacy'!$J:$J,
'New LF Efficacy'!$D:$D,$A135,
'New LF Efficacy'!$F:$F,"Albendazole &amp; DEC",
'New LF Efficacy'!$W:$W,"&lt;2016",
'New LF Efficacy'!$AA:$AA,""),
"")
</f>
        <v/>
      </c>
      <c r="AQ135" s="115">
        <f t="shared" si="12"/>
        <v>0.4</v>
      </c>
      <c r="AR135" s="149" t="str">
        <f>IFERROR(
AVERAGEIFS(
'New LF Efficacy'!$J:$J,
'New LF Efficacy'!$D:$D,$A135,
'New LF Efficacy'!$F:$F,"Albendazole &amp; Ivermectin", 
'New LF Efficacy'!$W:$W,"&lt;2016",
'New LF Efficacy'!$AA:$AA,""),"")</f>
        <v/>
      </c>
      <c r="AS135" s="115">
        <f t="shared" si="13"/>
        <v>0.2943125</v>
      </c>
      <c r="AT135" s="442" t="str">
        <f>IFERROR(AVERAGEIFS(
'Schist Efficacy'!$O:$O, 
'Schist Efficacy'!$C:$C,$A135, 
'Schist Efficacy'!$D:$D, "Praziquantel",
'Schist Efficacy'!$J:$J,"&lt;2016",
'Schist Efficacy'!$U:$U,""),
"")</f>
        <v/>
      </c>
      <c r="AU135" s="118">
        <f t="shared" si="14"/>
        <v>0.7206464759</v>
      </c>
      <c r="AV135" s="131" t="str">
        <f>IFERROR(AVERAGEIFS(
'STH Efficacy'!$AX:$AX, 
'STH Efficacy'!$AL:$AL, $A135, 
'STH Efficacy'!$AM:$AM, "Albendazole",
'STH Efficacy'!$AS:$AS,"&lt;2016",
'STH Efficacy'!$BP:$BP,""),
"")</f>
        <v/>
      </c>
      <c r="AW135" s="132">
        <f t="shared" si="15"/>
        <v>0.3816333333</v>
      </c>
      <c r="AX135" s="131" t="str">
        <f>IFERROR(AVERAGEIFS(
'STH Efficacy'!$AX:$AX, 
'STH Efficacy'!$AL:$AL, $A135, 
'STH Efficacy'!$AM:$AM, "Mebendazole",
'STH Efficacy'!$AS:$AS,"&lt;2016",
'STH Efficacy'!$BP:$BP,""),
"")</f>
        <v/>
      </c>
      <c r="AY135" s="132">
        <f t="shared" si="16"/>
        <v>0.4859375</v>
      </c>
      <c r="AZ135" s="131" t="str">
        <f>IFERROR(AVERAGEIFS(
'STH Efficacy'!$AX:$AX, 
'STH Efficacy'!$AL:$AL, $A135, 
'STH Efficacy'!$AM:$AM, "Albendazole &amp; Ivermectin",
'STH Efficacy'!$AS:$AS,"&lt;2016",
'STH Efficacy'!$BP:$BP,""),
"")</f>
        <v/>
      </c>
      <c r="BA135" s="133">
        <f t="shared" si="17"/>
        <v>0.47175</v>
      </c>
      <c r="BB135" s="443" t="str">
        <f>IFERROR(AVERAGEIFS(
'STH Efficacy'!$N:$N, 
'STH Efficacy'!$B:$B, $A135, 
'STH Efficacy'!$C:$C, "Albendazole",
'STH Efficacy'!$I:$I,"&lt;2016",
'STH Efficacy'!$AH:$AH,""),
"")</f>
        <v/>
      </c>
      <c r="BC135" s="135">
        <f t="shared" si="18"/>
        <v>0.8699166667</v>
      </c>
      <c r="BD135" s="443" t="str">
        <f>IFERROR(AVERAGEIFS(
'STH Efficacy'!$N:$N, 
'STH Efficacy'!$B:$B, $A135, 
'STH Efficacy'!$C:$C, "Mebendazole",
'STH Efficacy'!$I:$I,"&lt;2016",
'STH Efficacy'!$AH:$AH,""),
"")</f>
        <v/>
      </c>
      <c r="BE135" s="135">
        <f t="shared" si="19"/>
        <v>0.7092416667</v>
      </c>
      <c r="BF135" s="436" t="str">
        <f>IFERROR(AVERAGEIFS(
'STH Efficacy'!$CD:$CD, 
'STH Efficacy'!$BS:$BS, $A135, 
'STH Efficacy'!$BT:$BT, "Albendazole",
'STH Efficacy'!$BZ:$BZ,"&lt;2016",
'STH Efficacy'!$CU:$CU,""),
"")</f>
        <v/>
      </c>
      <c r="BG135" s="136">
        <f t="shared" si="20"/>
        <v>0.9066666667</v>
      </c>
      <c r="BH135" s="436" t="str">
        <f>IFERROR(AVERAGEIFS(
'STH Efficacy'!$CD:$CD, 
'STH Efficacy'!$BS:$BS, $A135, 
'STH Efficacy'!$BT:$BT, "Mebendazole",
'STH Efficacy'!$BZ:$BZ,"&lt;2016",
'STH Efficacy'!$CU:$CU,""),
"")</f>
        <v/>
      </c>
      <c r="BI135" s="136">
        <f t="shared" si="21"/>
        <v>0.8483333333</v>
      </c>
      <c r="BJ135" s="436" t="str">
        <f>IFERROR(AVERAGEIFS(
'STH Efficacy'!$CD:$CD, 
'STH Efficacy'!$BS:$BS, $A135, 
'STH Efficacy'!$BT:$BT, "Albendazole &amp; Ivermectin",
'STH Efficacy'!$BZ:$BZ,"&lt;2016",
'STH Efficacy'!$CU:$CU,""),
"")</f>
        <v/>
      </c>
      <c r="BK135" s="136">
        <f t="shared" si="22"/>
        <v>0.696</v>
      </c>
      <c r="BL135" s="444" t="str">
        <f>IFERROR(
  AVERAGEIFS(
    'NEW Onchocerciasis Efficacy'!$AO:$AO,
    'NEW Onchocerciasis Efficacy'!$C:$C,$A135,
    'NEW Onchocerciasis Efficacy'!$D:$D,"Ivermectin",
    'NEW Onchocerciasis Efficacy'!$AR:$AR,"&lt;2016",
    'NEW Onchocerciasis Efficacy'!$BG:$BG,"")
,"")</f>
        <v/>
      </c>
      <c r="BM135" s="304">
        <f t="shared" si="23"/>
        <v>0.8390421645</v>
      </c>
      <c r="BN135" s="439">
        <v>0.0</v>
      </c>
      <c r="BO135" s="139">
        <v>0.0</v>
      </c>
      <c r="BP135" s="140">
        <v>1.0</v>
      </c>
      <c r="BQ135" s="141">
        <f t="shared" si="24"/>
        <v>0</v>
      </c>
      <c r="BR135" s="104" t="str">
        <f t="shared" si="25"/>
        <v>0010</v>
      </c>
      <c r="BS135" s="104" t="str">
        <f t="shared" si="26"/>
        <v>T2</v>
      </c>
      <c r="BT135" s="142" t="str">
        <f t="shared" si="43"/>
        <v>PZQ</v>
      </c>
      <c r="BU135" s="104" t="str">
        <f t="shared" si="28"/>
        <v>PZQ</v>
      </c>
      <c r="BV135" s="104" t="str">
        <f t="shared" si="29"/>
        <v>schist only</v>
      </c>
      <c r="BW135" s="150" t="str">
        <f t="shared" si="30"/>
        <v/>
      </c>
      <c r="BX135" s="150" t="str">
        <f t="shared" si="31"/>
        <v/>
      </c>
      <c r="BY135" s="162">
        <f t="shared" si="32"/>
        <v>772.6237918</v>
      </c>
      <c r="BZ135" s="152" t="str">
        <f t="shared" si="33"/>
        <v/>
      </c>
      <c r="CA135" s="152" t="str">
        <f t="shared" si="34"/>
        <v/>
      </c>
      <c r="CB135" s="152" t="str">
        <f t="shared" si="35"/>
        <v/>
      </c>
      <c r="CC135" s="153" t="str">
        <f t="shared" si="36"/>
        <v/>
      </c>
      <c r="CD135" s="153" t="str">
        <f t="shared" si="37"/>
        <v/>
      </c>
      <c r="CE135" s="154" t="str">
        <f t="shared" si="38"/>
        <v/>
      </c>
      <c r="CF135" s="154" t="str">
        <f t="shared" si="39"/>
        <v/>
      </c>
      <c r="CG135" s="154" t="str">
        <f t="shared" si="40"/>
        <v/>
      </c>
      <c r="CH135" s="308" t="str">
        <f t="shared" si="41"/>
        <v/>
      </c>
    </row>
    <row r="136">
      <c r="A136" s="103" t="s">
        <v>225</v>
      </c>
      <c r="B136" s="104" t="s">
        <v>94</v>
      </c>
      <c r="C136" s="428">
        <v>12475.0</v>
      </c>
      <c r="D136" s="161">
        <v>0.0</v>
      </c>
      <c r="E136" s="294">
        <v>0.0</v>
      </c>
      <c r="F136" s="163"/>
      <c r="G136" s="325"/>
      <c r="H136" s="108">
        <v>0.0</v>
      </c>
      <c r="I136" s="109">
        <v>0.0</v>
      </c>
      <c r="J136" s="109">
        <v>0.0</v>
      </c>
      <c r="K136" s="109">
        <v>0.0</v>
      </c>
      <c r="L136" s="113"/>
      <c r="M136" s="113"/>
      <c r="N136" s="112">
        <v>0.0</v>
      </c>
      <c r="O136" s="298">
        <v>0.0</v>
      </c>
      <c r="P136" s="114"/>
      <c r="Q136" s="114"/>
      <c r="R136" s="121" t="str">
        <f t="shared" si="4"/>
        <v/>
      </c>
      <c r="S136" s="116">
        <f t="shared" si="5"/>
        <v>0.3783554476</v>
      </c>
      <c r="T136" s="117"/>
      <c r="U136" s="118">
        <f t="shared" si="6"/>
        <v>0.73965</v>
      </c>
      <c r="V136" s="148"/>
      <c r="W136" s="120">
        <f t="shared" si="7"/>
        <v>0.6141272727</v>
      </c>
      <c r="X136" s="148"/>
      <c r="Y136" s="120">
        <f t="shared" si="8"/>
        <v>0.6018090909</v>
      </c>
      <c r="Z136" s="299"/>
      <c r="AA136" s="441"/>
      <c r="AB136" s="300" t="str">
        <f t="shared" si="9"/>
        <v/>
      </c>
      <c r="AC136" s="300">
        <f t="shared" si="10"/>
        <v>0.6890056172</v>
      </c>
      <c r="AD136" s="314">
        <v>0.0</v>
      </c>
      <c r="AE136" s="315">
        <v>0.0</v>
      </c>
      <c r="AF136" s="445">
        <v>0.0</v>
      </c>
      <c r="AG136" s="316">
        <v>0.0</v>
      </c>
      <c r="AH136" s="307">
        <v>0.0</v>
      </c>
      <c r="AI136" s="317">
        <v>0.0</v>
      </c>
      <c r="AJ136" s="318">
        <v>0.0</v>
      </c>
      <c r="AK136" s="319">
        <v>0.0</v>
      </c>
      <c r="AL136" s="446">
        <v>0.0</v>
      </c>
      <c r="AM136" s="320">
        <v>0.0</v>
      </c>
      <c r="AN136" s="149" t="str">
        <f>IFERROR(
  AVERAGEIFS(
    'New LF Efficacy'!$J:$J,
    'New LF Efficacy'!$D:$D, $A136,
    'New LF Efficacy'!$F:$F,"DEC", 
    'New LF Efficacy'!$W:$W,"&lt;2016",
    'New LF Efficacy'!$AA:$AA,""),
  ""
)</f>
        <v/>
      </c>
      <c r="AO136" s="115">
        <f t="shared" si="11"/>
        <v>0.38</v>
      </c>
      <c r="AP136" s="149" t="str">
        <f>IFERROR(
AVERAGEIFS(
'New LF Efficacy'!$J:$J,
'New LF Efficacy'!$D:$D,$A136,
'New LF Efficacy'!$F:$F,"Albendazole &amp; DEC",
'New LF Efficacy'!$W:$W,"&lt;2016",
'New LF Efficacy'!$AA:$AA,""),
"")
</f>
        <v/>
      </c>
      <c r="AQ136" s="115">
        <f t="shared" si="12"/>
        <v>0.662</v>
      </c>
      <c r="AR136" s="149" t="str">
        <f>IFERROR(
AVERAGEIFS(
'New LF Efficacy'!$J:$J,
'New LF Efficacy'!$D:$D,$A136,
'New LF Efficacy'!$F:$F,"Albendazole &amp; Ivermectin", 
'New LF Efficacy'!$W:$W,"&lt;2016",
'New LF Efficacy'!$AA:$AA,""),"")</f>
        <v/>
      </c>
      <c r="AS136" s="115">
        <f t="shared" si="13"/>
        <v>0.37153125</v>
      </c>
      <c r="AT136" s="442" t="str">
        <f>IFERROR(AVERAGEIFS(
'Schist Efficacy'!$O:$O, 
'Schist Efficacy'!$C:$C,$A136, 
'Schist Efficacy'!$D:$D, "Praziquantel",
'Schist Efficacy'!$J:$J,"&lt;2016",
'Schist Efficacy'!$U:$U,""),
"")</f>
        <v/>
      </c>
      <c r="AU136" s="118">
        <f t="shared" si="14"/>
        <v>0.9475</v>
      </c>
      <c r="AV136" s="131" t="str">
        <f>IFERROR(AVERAGEIFS(
'STH Efficacy'!$AX:$AX, 
'STH Efficacy'!$AL:$AL, $A136, 
'STH Efficacy'!$AM:$AM, "Albendazole",
'STH Efficacy'!$AS:$AS,"&lt;2016",
'STH Efficacy'!$BP:$BP,""),
"")</f>
        <v/>
      </c>
      <c r="AW136" s="132">
        <f t="shared" si="15"/>
        <v>0.3571666667</v>
      </c>
      <c r="AX136" s="131" t="str">
        <f>IFERROR(AVERAGEIFS(
'STH Efficacy'!$AX:$AX, 
'STH Efficacy'!$AL:$AL, $A136, 
'STH Efficacy'!$AM:$AM, "Mebendazole",
'STH Efficacy'!$AS:$AS,"&lt;2016",
'STH Efficacy'!$BP:$BP,""),
"")</f>
        <v/>
      </c>
      <c r="AY136" s="132">
        <f t="shared" si="16"/>
        <v>0.4155</v>
      </c>
      <c r="AZ136" s="131" t="str">
        <f>IFERROR(AVERAGEIFS(
'STH Efficacy'!$AX:$AX, 
'STH Efficacy'!$AL:$AL, $A136, 
'STH Efficacy'!$AM:$AM, "Albendazole &amp; Ivermectin",
'STH Efficacy'!$AS:$AS,"&lt;2016",
'STH Efficacy'!$BP:$BP,""),
"")</f>
        <v/>
      </c>
      <c r="BA136" s="133">
        <f t="shared" si="17"/>
        <v>0.651</v>
      </c>
      <c r="BB136" s="443" t="str">
        <f>IFERROR(AVERAGEIFS(
'STH Efficacy'!$N:$N, 
'STH Efficacy'!$B:$B, $A136, 
'STH Efficacy'!$C:$C, "Albendazole",
'STH Efficacy'!$I:$I,"&lt;2016",
'STH Efficacy'!$AH:$AH,""),
"")</f>
        <v/>
      </c>
      <c r="BC136" s="135">
        <f t="shared" si="18"/>
        <v>0.5769166667</v>
      </c>
      <c r="BD136" s="443" t="str">
        <f>IFERROR(AVERAGEIFS(
'STH Efficacy'!$N:$N, 
'STH Efficacy'!$B:$B, $A136, 
'STH Efficacy'!$C:$C, "Mebendazole",
'STH Efficacy'!$I:$I,"&lt;2016",
'STH Efficacy'!$AH:$AH,""),
"")</f>
        <v/>
      </c>
      <c r="BE136" s="135">
        <f t="shared" si="19"/>
        <v>0.3145</v>
      </c>
      <c r="BF136" s="436" t="str">
        <f>IFERROR(AVERAGEIFS(
'STH Efficacy'!$CD:$CD, 
'STH Efficacy'!$BS:$BS, $A136, 
'STH Efficacy'!$BT:$BT, "Albendazole",
'STH Efficacy'!$BZ:$BZ,"&lt;2016",
'STH Efficacy'!$CU:$CU,""),
"")</f>
        <v/>
      </c>
      <c r="BG136" s="136">
        <f t="shared" si="20"/>
        <v>0.96925</v>
      </c>
      <c r="BH136" s="436" t="str">
        <f>IFERROR(AVERAGEIFS(
'STH Efficacy'!$CD:$CD, 
'STH Efficacy'!$BS:$BS, $A136, 
'STH Efficacy'!$BT:$BT, "Mebendazole",
'STH Efficacy'!$BZ:$BZ,"&lt;2016",
'STH Efficacy'!$CU:$CU,""),
"")</f>
        <v/>
      </c>
      <c r="BI136" s="136">
        <f t="shared" si="21"/>
        <v>0.9305</v>
      </c>
      <c r="BJ136" s="436" t="str">
        <f>IFERROR(AVERAGEIFS(
'STH Efficacy'!$CD:$CD, 
'STH Efficacy'!$BS:$BS, $A136, 
'STH Efficacy'!$BT:$BT, "Albendazole &amp; Ivermectin",
'STH Efficacy'!$BZ:$BZ,"&lt;2016",
'STH Efficacy'!$CU:$CU,""),
"")</f>
        <v/>
      </c>
      <c r="BK136" s="136">
        <f t="shared" si="22"/>
        <v>0.848</v>
      </c>
      <c r="BL136" s="444" t="str">
        <f>IFERROR(
  AVERAGEIFS(
    'NEW Onchocerciasis Efficacy'!$AO:$AO,
    'NEW Onchocerciasis Efficacy'!$C:$C,$A136,
    'NEW Onchocerciasis Efficacy'!$D:$D,"Ivermectin",
    'NEW Onchocerciasis Efficacy'!$AR:$AR,"&lt;2016",
    'NEW Onchocerciasis Efficacy'!$BG:$BG,"")
,"")</f>
        <v/>
      </c>
      <c r="BM136" s="304">
        <f t="shared" si="23"/>
        <v>0.7808368939</v>
      </c>
      <c r="BN136" s="439">
        <v>0.0</v>
      </c>
      <c r="BO136" s="139">
        <v>0.0</v>
      </c>
      <c r="BP136" s="140">
        <v>0.0</v>
      </c>
      <c r="BQ136" s="141">
        <f t="shared" si="24"/>
        <v>0</v>
      </c>
      <c r="BR136" s="104" t="str">
        <f t="shared" si="25"/>
        <v>0000</v>
      </c>
      <c r="BS136" s="104" t="str">
        <f t="shared" si="26"/>
        <v>no action required</v>
      </c>
      <c r="BT136" s="142" t="str">
        <f t="shared" si="43"/>
        <v/>
      </c>
      <c r="BU136" s="104" t="str">
        <f t="shared" si="28"/>
        <v/>
      </c>
      <c r="BV136" s="104" t="str">
        <f t="shared" si="29"/>
        <v>none</v>
      </c>
      <c r="BW136" s="150" t="str">
        <f t="shared" si="30"/>
        <v/>
      </c>
      <c r="BX136" s="150" t="str">
        <f t="shared" si="31"/>
        <v/>
      </c>
      <c r="BY136" s="151" t="str">
        <f t="shared" si="32"/>
        <v/>
      </c>
      <c r="BZ136" s="152" t="str">
        <f t="shared" si="33"/>
        <v/>
      </c>
      <c r="CA136" s="152" t="str">
        <f t="shared" si="34"/>
        <v/>
      </c>
      <c r="CB136" s="152" t="str">
        <f t="shared" si="35"/>
        <v/>
      </c>
      <c r="CC136" s="153" t="str">
        <f t="shared" si="36"/>
        <v/>
      </c>
      <c r="CD136" s="153" t="str">
        <f t="shared" si="37"/>
        <v/>
      </c>
      <c r="CE136" s="154" t="str">
        <f t="shared" si="38"/>
        <v/>
      </c>
      <c r="CF136" s="154" t="str">
        <f t="shared" si="39"/>
        <v/>
      </c>
      <c r="CG136" s="154" t="str">
        <f t="shared" si="40"/>
        <v/>
      </c>
      <c r="CH136" s="308" t="str">
        <f t="shared" si="41"/>
        <v/>
      </c>
    </row>
    <row r="137">
      <c r="A137" s="103" t="s">
        <v>226</v>
      </c>
      <c r="B137" s="104" t="s">
        <v>109</v>
      </c>
      <c r="C137" s="428">
        <v>2.8656282E7</v>
      </c>
      <c r="D137" s="161">
        <v>20282.79</v>
      </c>
      <c r="E137" s="294">
        <v>0.0</v>
      </c>
      <c r="F137" s="295">
        <v>261.3389988</v>
      </c>
      <c r="G137" s="322">
        <v>1224.060446</v>
      </c>
      <c r="H137" s="157">
        <v>1485.399445</v>
      </c>
      <c r="I137" s="110">
        <v>2777.97213</v>
      </c>
      <c r="J137" s="110">
        <v>7531.70136</v>
      </c>
      <c r="K137" s="109">
        <v>10309.6735</v>
      </c>
      <c r="L137" s="112">
        <v>1010.10095</v>
      </c>
      <c r="M137" s="111">
        <v>1159.624386</v>
      </c>
      <c r="N137" s="112">
        <v>2169.725337</v>
      </c>
      <c r="O137" s="298">
        <v>0.0</v>
      </c>
      <c r="P137" s="160">
        <v>1.5981384E7</v>
      </c>
      <c r="Q137" s="160">
        <v>1.1117627E7</v>
      </c>
      <c r="R137" s="121">
        <f t="shared" si="4"/>
        <v>0.6956610892</v>
      </c>
      <c r="S137" s="116">
        <f t="shared" si="5"/>
        <v>0.6956610892</v>
      </c>
      <c r="T137" s="117"/>
      <c r="U137" s="118">
        <f t="shared" si="6"/>
        <v>0.2582</v>
      </c>
      <c r="V137" s="119">
        <v>0.4098</v>
      </c>
      <c r="W137" s="120">
        <f t="shared" si="7"/>
        <v>0.4098</v>
      </c>
      <c r="X137" s="119">
        <v>0.562</v>
      </c>
      <c r="Y137" s="120">
        <f t="shared" si="8"/>
        <v>0.562</v>
      </c>
      <c r="Z137" s="299"/>
      <c r="AA137" s="441"/>
      <c r="AB137" s="300" t="str">
        <f t="shared" si="9"/>
        <v/>
      </c>
      <c r="AC137" s="300">
        <f t="shared" si="10"/>
        <v>0.6890056172</v>
      </c>
      <c r="AD137" s="122">
        <v>0.0103</v>
      </c>
      <c r="AE137" s="123">
        <v>0.0</v>
      </c>
      <c r="AF137" s="430">
        <v>0.0</v>
      </c>
      <c r="AG137" s="124">
        <v>0.0</v>
      </c>
      <c r="AH137" s="124">
        <v>0.173628143</v>
      </c>
      <c r="AI137" s="125">
        <v>0.0</v>
      </c>
      <c r="AJ137" s="125">
        <v>0.26499942</v>
      </c>
      <c r="AK137" s="127">
        <v>0.0</v>
      </c>
      <c r="AL137" s="127">
        <v>0.186337012</v>
      </c>
      <c r="AM137" s="302">
        <v>0.0</v>
      </c>
      <c r="AN137" s="149" t="str">
        <f>IFERROR(
  AVERAGEIFS(
    'New LF Efficacy'!$J:$J,
    'New LF Efficacy'!$D:$D, $A137,
    'New LF Efficacy'!$F:$F,"DEC", 
    'New LF Efficacy'!$W:$W,"&lt;2016",
    'New LF Efficacy'!$AA:$AA,""),
  ""
)</f>
        <v/>
      </c>
      <c r="AO137" s="115">
        <f t="shared" si="11"/>
        <v>0.478175</v>
      </c>
      <c r="AP137" s="149" t="str">
        <f>IFERROR(
AVERAGEIFS(
'New LF Efficacy'!$J:$J,
'New LF Efficacy'!$D:$D,$A137,
'New LF Efficacy'!$F:$F,"Albendazole &amp; DEC",
'New LF Efficacy'!$W:$W,"&lt;2016",
'New LF Efficacy'!$AA:$AA,""),
"")
</f>
        <v/>
      </c>
      <c r="AQ137" s="115">
        <f t="shared" si="12"/>
        <v>0.5831666667</v>
      </c>
      <c r="AR137" s="149" t="str">
        <f>IFERROR(
AVERAGEIFS(
'New LF Efficacy'!$J:$J,
'New LF Efficacy'!$D:$D,$A137,
'New LF Efficacy'!$F:$F,"Albendazole &amp; Ivermectin", 
'New LF Efficacy'!$W:$W,"&lt;2016",
'New LF Efficacy'!$AA:$AA,""),"")</f>
        <v/>
      </c>
      <c r="AS137" s="115">
        <f t="shared" si="13"/>
        <v>0.14</v>
      </c>
      <c r="AT137" s="442" t="str">
        <f>IFERROR(AVERAGEIFS(
'Schist Efficacy'!$O:$O, 
'Schist Efficacy'!$C:$C,$A137, 
'Schist Efficacy'!$D:$D, "Praziquantel",
'Schist Efficacy'!$J:$J,"&lt;2016",
'Schist Efficacy'!$U:$U,""),
"")</f>
        <v/>
      </c>
      <c r="AU137" s="118">
        <f t="shared" si="14"/>
        <v>0.743990088</v>
      </c>
      <c r="AV137" s="131">
        <f>IFERROR(AVERAGEIFS(
'STH Efficacy'!$AX:$AX, 
'STH Efficacy'!$AL:$AL, $A137, 
'STH Efficacy'!$AM:$AM, "Albendazole",
'STH Efficacy'!$AS:$AS,"&lt;2016",
'STH Efficacy'!$BP:$BP,""),
"")</f>
        <v>0.2773333333</v>
      </c>
      <c r="AW137" s="132">
        <f t="shared" si="15"/>
        <v>0.2773333333</v>
      </c>
      <c r="AX137" s="131" t="str">
        <f>IFERROR(AVERAGEIFS(
'STH Efficacy'!$AX:$AX, 
'STH Efficacy'!$AL:$AL, $A137, 
'STH Efficacy'!$AM:$AM, "Mebendazole",
'STH Efficacy'!$AS:$AS,"&lt;2016",
'STH Efficacy'!$BP:$BP,""),
"")</f>
        <v/>
      </c>
      <c r="AY137" s="132">
        <f t="shared" si="16"/>
        <v>0.3786666667</v>
      </c>
      <c r="AZ137" s="131" t="str">
        <f>IFERROR(AVERAGEIFS(
'STH Efficacy'!$AX:$AX, 
'STH Efficacy'!$AL:$AL, $A137, 
'STH Efficacy'!$AM:$AM, "Albendazole &amp; Ivermectin",
'STH Efficacy'!$AS:$AS,"&lt;2016",
'STH Efficacy'!$BP:$BP,""),
"")</f>
        <v/>
      </c>
      <c r="BA137" s="133">
        <f t="shared" si="17"/>
        <v>0.597625</v>
      </c>
      <c r="BB137" s="443" t="str">
        <f>IFERROR(AVERAGEIFS(
'STH Efficacy'!$N:$N, 
'STH Efficacy'!$B:$B, $A137, 
'STH Efficacy'!$C:$C, "Albendazole",
'STH Efficacy'!$I:$I,"&lt;2016",
'STH Efficacy'!$AH:$AH,""),
"")</f>
        <v/>
      </c>
      <c r="BC137" s="135">
        <f t="shared" si="18"/>
        <v>0.7133333333</v>
      </c>
      <c r="BD137" s="443" t="str">
        <f>IFERROR(AVERAGEIFS(
'STH Efficacy'!$N:$N, 
'STH Efficacy'!$B:$B, $A137, 
'STH Efficacy'!$C:$C, "Mebendazole",
'STH Efficacy'!$I:$I,"&lt;2016",
'STH Efficacy'!$AH:$AH,""),
"")</f>
        <v/>
      </c>
      <c r="BE137" s="135">
        <f t="shared" si="19"/>
        <v>0.205</v>
      </c>
      <c r="BF137" s="436" t="str">
        <f>IFERROR(AVERAGEIFS(
'STH Efficacy'!$CD:$CD, 
'STH Efficacy'!$BS:$BS, $A137, 
'STH Efficacy'!$BT:$BT, "Albendazole",
'STH Efficacy'!$BZ:$BZ,"&lt;2016",
'STH Efficacy'!$CU:$CU,""),
"")</f>
        <v/>
      </c>
      <c r="BG137" s="136">
        <f t="shared" si="20"/>
        <v>0.83</v>
      </c>
      <c r="BH137" s="436" t="str">
        <f>IFERROR(AVERAGEIFS(
'STH Efficacy'!$CD:$CD, 
'STH Efficacy'!$BS:$BS, $A137, 
'STH Efficacy'!$BT:$BT, "Mebendazole",
'STH Efficacy'!$BZ:$BZ,"&lt;2016",
'STH Efficacy'!$CU:$CU,""),
"")</f>
        <v/>
      </c>
      <c r="BI137" s="136">
        <f t="shared" si="21"/>
        <v>1</v>
      </c>
      <c r="BJ137" s="436" t="str">
        <f>IFERROR(AVERAGEIFS(
'STH Efficacy'!$CD:$CD, 
'STH Efficacy'!$BS:$BS, $A137, 
'STH Efficacy'!$BT:$BT, "Albendazole &amp; Ivermectin",
'STH Efficacy'!$BZ:$BZ,"&lt;2016",
'STH Efficacy'!$CU:$CU,""),
"")</f>
        <v/>
      </c>
      <c r="BK137" s="136">
        <f t="shared" si="22"/>
        <v>0.848</v>
      </c>
      <c r="BL137" s="444" t="str">
        <f>IFERROR(
  AVERAGEIFS(
    'NEW Onchocerciasis Efficacy'!$AO:$AO,
    'NEW Onchocerciasis Efficacy'!$C:$C,$A137,
    'NEW Onchocerciasis Efficacy'!$D:$D,"Ivermectin",
    'NEW Onchocerciasis Efficacy'!$AR:$AR,"&lt;2016",
    'NEW Onchocerciasis Efficacy'!$BG:$BG,"")
,"")</f>
        <v/>
      </c>
      <c r="BM137" s="304">
        <f t="shared" si="23"/>
        <v>0.7808368939</v>
      </c>
      <c r="BN137" s="439">
        <v>1.0</v>
      </c>
      <c r="BO137" s="139">
        <v>0.0</v>
      </c>
      <c r="BP137" s="140">
        <v>0.0</v>
      </c>
      <c r="BQ137" s="141">
        <f t="shared" si="24"/>
        <v>1</v>
      </c>
      <c r="BR137" s="104" t="str">
        <f t="shared" si="25"/>
        <v>1001</v>
      </c>
      <c r="BS137" s="104" t="str">
        <f t="shared" si="26"/>
        <v>MDA1/2</v>
      </c>
      <c r="BT137" s="142" t="str">
        <f t="shared" si="43"/>
        <v>IVM+ALB or DEC+ALB</v>
      </c>
      <c r="BU137" s="104" t="str">
        <f t="shared" si="28"/>
        <v/>
      </c>
      <c r="BV137" s="104" t="str">
        <f t="shared" si="29"/>
        <v>lf+sth</v>
      </c>
      <c r="BW137" s="312">
        <f t="shared" si="30"/>
        <v>13845.30093</v>
      </c>
      <c r="BX137" s="312">
        <f t="shared" si="31"/>
        <v>2188.540207</v>
      </c>
      <c r="BY137" s="151" t="str">
        <f t="shared" si="32"/>
        <v/>
      </c>
      <c r="BZ137" s="152">
        <f t="shared" si="33"/>
        <v>259.5198323</v>
      </c>
      <c r="CA137" s="152" t="str">
        <f t="shared" si="34"/>
        <v/>
      </c>
      <c r="CB137" s="152">
        <f t="shared" si="35"/>
        <v>703.7926623</v>
      </c>
      <c r="CC137" s="323">
        <f t="shared" si="36"/>
        <v>6187.365614</v>
      </c>
      <c r="CD137" s="153" t="str">
        <f t="shared" si="37"/>
        <v/>
      </c>
      <c r="CE137" s="154">
        <f t="shared" si="38"/>
        <v>1534.494951</v>
      </c>
      <c r="CF137" s="154" t="str">
        <f t="shared" si="39"/>
        <v/>
      </c>
      <c r="CG137" s="154">
        <f t="shared" si="40"/>
        <v>1593.805722</v>
      </c>
      <c r="CH137" s="308" t="str">
        <f t="shared" si="41"/>
        <v/>
      </c>
    </row>
    <row r="138">
      <c r="A138" s="103" t="s">
        <v>227</v>
      </c>
      <c r="B138" s="104" t="s">
        <v>90</v>
      </c>
      <c r="C138" s="428">
        <v>1.6939923E7</v>
      </c>
      <c r="D138" s="161">
        <v>0.0</v>
      </c>
      <c r="E138" s="294">
        <v>0.0</v>
      </c>
      <c r="F138" s="307">
        <v>0.0</v>
      </c>
      <c r="G138" s="309">
        <v>0.0</v>
      </c>
      <c r="H138" s="108">
        <v>0.0</v>
      </c>
      <c r="I138" s="109">
        <v>0.0</v>
      </c>
      <c r="J138" s="109">
        <v>0.0</v>
      </c>
      <c r="K138" s="109">
        <v>0.0</v>
      </c>
      <c r="L138" s="112">
        <v>0.0</v>
      </c>
      <c r="M138" s="112">
        <v>0.0</v>
      </c>
      <c r="N138" s="112">
        <v>0.0</v>
      </c>
      <c r="O138" s="298">
        <v>0.0</v>
      </c>
      <c r="P138" s="114"/>
      <c r="Q138" s="114"/>
      <c r="R138" s="121" t="str">
        <f t="shared" si="4"/>
        <v/>
      </c>
      <c r="S138" s="116">
        <f t="shared" si="5"/>
        <v>0.5709301448</v>
      </c>
      <c r="T138" s="117"/>
      <c r="U138" s="118">
        <f t="shared" si="6"/>
        <v>0.4791888889</v>
      </c>
      <c r="V138" s="148"/>
      <c r="W138" s="120">
        <f t="shared" si="7"/>
        <v>0.0223</v>
      </c>
      <c r="X138" s="148"/>
      <c r="Y138" s="120">
        <f t="shared" si="8"/>
        <v>0.598275</v>
      </c>
      <c r="Z138" s="299"/>
      <c r="AA138" s="441"/>
      <c r="AB138" s="300" t="str">
        <f t="shared" si="9"/>
        <v/>
      </c>
      <c r="AC138" s="300">
        <f t="shared" si="10"/>
        <v>0.6890056172</v>
      </c>
      <c r="AD138" s="122">
        <v>0.0</v>
      </c>
      <c r="AE138" s="123">
        <v>0.0</v>
      </c>
      <c r="AF138" s="430">
        <v>0.0</v>
      </c>
      <c r="AG138" s="316">
        <v>0.0</v>
      </c>
      <c r="AH138" s="316">
        <v>0.0</v>
      </c>
      <c r="AI138" s="317">
        <v>0.0</v>
      </c>
      <c r="AJ138" s="317">
        <v>0.0</v>
      </c>
      <c r="AK138" s="319">
        <v>0.0</v>
      </c>
      <c r="AL138" s="319">
        <v>0.0</v>
      </c>
      <c r="AM138" s="302">
        <v>0.0</v>
      </c>
      <c r="AN138" s="149" t="str">
        <f>IFERROR(
  AVERAGEIFS(
    'New LF Efficacy'!$J:$J,
    'New LF Efficacy'!$D:$D, $A138,
    'New LF Efficacy'!$F:$F,"DEC", 
    'New LF Efficacy'!$W:$W,"&lt;2016",
    'New LF Efficacy'!$AA:$AA,""),
  ""
)</f>
        <v/>
      </c>
      <c r="AO138" s="115">
        <f t="shared" si="11"/>
        <v>0.3573520833</v>
      </c>
      <c r="AP138" s="149" t="str">
        <f>IFERROR(
AVERAGEIFS(
'New LF Efficacy'!$J:$J,
'New LF Efficacy'!$D:$D,$A138,
'New LF Efficacy'!$F:$F,"Albendazole &amp; DEC",
'New LF Efficacy'!$W:$W,"&lt;2016",
'New LF Efficacy'!$AA:$AA,""),
"")
</f>
        <v/>
      </c>
      <c r="AQ138" s="115">
        <f t="shared" si="12"/>
        <v>0.5143541667</v>
      </c>
      <c r="AR138" s="149" t="str">
        <f>IFERROR(
AVERAGEIFS(
'New LF Efficacy'!$J:$J,
'New LF Efficacy'!$D:$D,$A138,
'New LF Efficacy'!$F:$F,"Albendazole &amp; Ivermectin", 
'New LF Efficacy'!$W:$W,"&lt;2016",
'New LF Efficacy'!$AA:$AA,""),"")</f>
        <v/>
      </c>
      <c r="AS138" s="115">
        <f t="shared" si="13"/>
        <v>0.37153125</v>
      </c>
      <c r="AT138" s="442" t="str">
        <f>IFERROR(AVERAGEIFS(
'Schist Efficacy'!$O:$O, 
'Schist Efficacy'!$C:$C,$A138, 
'Schist Efficacy'!$D:$D, "Praziquantel",
'Schist Efficacy'!$J:$J,"&lt;2016",
'Schist Efficacy'!$U:$U,""),
"")</f>
        <v/>
      </c>
      <c r="AU138" s="118">
        <f t="shared" si="14"/>
        <v>0.655</v>
      </c>
      <c r="AV138" s="131" t="str">
        <f>IFERROR(AVERAGEIFS(
'STH Efficacy'!$AX:$AX, 
'STH Efficacy'!$AL:$AL, $A138, 
'STH Efficacy'!$AM:$AM, "Albendazole",
'STH Efficacy'!$AS:$AS,"&lt;2016",
'STH Efficacy'!$BP:$BP,""),
"")</f>
        <v/>
      </c>
      <c r="AW138" s="132">
        <f t="shared" si="15"/>
        <v>0.4143846154</v>
      </c>
      <c r="AX138" s="131" t="str">
        <f>IFERROR(AVERAGEIFS(
'STH Efficacy'!$AX:$AX, 
'STH Efficacy'!$AL:$AL, $A138, 
'STH Efficacy'!$AM:$AM, "Mebendazole",
'STH Efficacy'!$AS:$AS,"&lt;2016",
'STH Efficacy'!$BP:$BP,""),
"")</f>
        <v/>
      </c>
      <c r="AY138" s="132">
        <f t="shared" si="16"/>
        <v>0.4691770833</v>
      </c>
      <c r="AZ138" s="131" t="str">
        <f>IFERROR(AVERAGEIFS(
'STH Efficacy'!$AX:$AX, 
'STH Efficacy'!$AL:$AL, $A138, 
'STH Efficacy'!$AM:$AM, "Albendazole &amp; Ivermectin",
'STH Efficacy'!$AS:$AS,"&lt;2016",
'STH Efficacy'!$BP:$BP,""),
"")</f>
        <v/>
      </c>
      <c r="BA138" s="133">
        <f t="shared" si="17"/>
        <v>0.597625</v>
      </c>
      <c r="BB138" s="443" t="str">
        <f>IFERROR(AVERAGEIFS(
'STH Efficacy'!$N:$N, 
'STH Efficacy'!$B:$B, $A138, 
'STH Efficacy'!$C:$C, "Albendazole",
'STH Efficacy'!$I:$I,"&lt;2016",
'STH Efficacy'!$AH:$AH,""),
"")</f>
        <v/>
      </c>
      <c r="BC138" s="135">
        <f t="shared" si="18"/>
        <v>0.7613712121</v>
      </c>
      <c r="BD138" s="443" t="str">
        <f>IFERROR(AVERAGEIFS(
'STH Efficacy'!$N:$N, 
'STH Efficacy'!$B:$B, $A138, 
'STH Efficacy'!$C:$C, "Mebendazole",
'STH Efficacy'!$I:$I,"&lt;2016",
'STH Efficacy'!$AH:$AH,""),
"")</f>
        <v/>
      </c>
      <c r="BE138" s="135">
        <f t="shared" si="19"/>
        <v>0.4362466667</v>
      </c>
      <c r="BF138" s="436" t="str">
        <f>IFERROR(AVERAGEIFS(
'STH Efficacy'!$CD:$CD, 
'STH Efficacy'!$BS:$BS, $A138, 
'STH Efficacy'!$BT:$BT, "Albendazole",
'STH Efficacy'!$BZ:$BZ,"&lt;2016",
'STH Efficacy'!$CU:$CU,""),
"")</f>
        <v/>
      </c>
      <c r="BG138" s="136">
        <f t="shared" si="20"/>
        <v>0.9216027778</v>
      </c>
      <c r="BH138" s="436" t="str">
        <f>IFERROR(AVERAGEIFS(
'STH Efficacy'!$CD:$CD, 
'STH Efficacy'!$BS:$BS, $A138, 
'STH Efficacy'!$BT:$BT, "Mebendazole",
'STH Efficacy'!$BZ:$BZ,"&lt;2016",
'STH Efficacy'!$CU:$CU,""),
"")</f>
        <v/>
      </c>
      <c r="BI138" s="136">
        <f t="shared" si="21"/>
        <v>0.8866041667</v>
      </c>
      <c r="BJ138" s="436" t="str">
        <f>IFERROR(AVERAGEIFS(
'STH Efficacy'!$CD:$CD, 
'STH Efficacy'!$BS:$BS, $A138, 
'STH Efficacy'!$BT:$BT, "Albendazole &amp; Ivermectin",
'STH Efficacy'!$BZ:$BZ,"&lt;2016",
'STH Efficacy'!$CU:$CU,""),
"")</f>
        <v/>
      </c>
      <c r="BK138" s="136">
        <f t="shared" si="22"/>
        <v>0.848</v>
      </c>
      <c r="BL138" s="444" t="str">
        <f>IFERROR(
  AVERAGEIFS(
    'NEW Onchocerciasis Efficacy'!$AO:$AO,
    'NEW Onchocerciasis Efficacy'!$C:$C,$A138,
    'NEW Onchocerciasis Efficacy'!$D:$D,"Ivermectin",
    'NEW Onchocerciasis Efficacy'!$AR:$AR,"&lt;2016",
    'NEW Onchocerciasis Efficacy'!$BG:$BG,"")
,"")</f>
        <v/>
      </c>
      <c r="BM138" s="304">
        <f t="shared" si="23"/>
        <v>0.7808368939</v>
      </c>
      <c r="BN138" s="439">
        <v>0.0</v>
      </c>
      <c r="BO138" s="139">
        <v>0.0</v>
      </c>
      <c r="BP138" s="140">
        <v>0.0</v>
      </c>
      <c r="BQ138" s="141">
        <f t="shared" si="24"/>
        <v>0</v>
      </c>
      <c r="BR138" s="104" t="str">
        <f t="shared" si="25"/>
        <v>0000</v>
      </c>
      <c r="BS138" s="104" t="str">
        <f t="shared" si="26"/>
        <v>no action required</v>
      </c>
      <c r="BT138" s="142" t="str">
        <f t="shared" si="43"/>
        <v/>
      </c>
      <c r="BU138" s="104" t="str">
        <f t="shared" si="28"/>
        <v/>
      </c>
      <c r="BV138" s="104" t="str">
        <f t="shared" si="29"/>
        <v>none</v>
      </c>
      <c r="BW138" s="150" t="str">
        <f t="shared" si="30"/>
        <v/>
      </c>
      <c r="BX138" s="150" t="str">
        <f t="shared" si="31"/>
        <v/>
      </c>
      <c r="BY138" s="151" t="str">
        <f t="shared" si="32"/>
        <v/>
      </c>
      <c r="BZ138" s="152" t="str">
        <f t="shared" si="33"/>
        <v/>
      </c>
      <c r="CA138" s="152" t="str">
        <f t="shared" si="34"/>
        <v/>
      </c>
      <c r="CB138" s="152" t="str">
        <f t="shared" si="35"/>
        <v/>
      </c>
      <c r="CC138" s="153" t="str">
        <f t="shared" si="36"/>
        <v/>
      </c>
      <c r="CD138" s="153" t="str">
        <f t="shared" si="37"/>
        <v/>
      </c>
      <c r="CE138" s="154" t="str">
        <f t="shared" si="38"/>
        <v/>
      </c>
      <c r="CF138" s="154" t="str">
        <f t="shared" si="39"/>
        <v/>
      </c>
      <c r="CG138" s="154" t="str">
        <f t="shared" si="40"/>
        <v/>
      </c>
      <c r="CH138" s="308" t="str">
        <f t="shared" si="41"/>
        <v/>
      </c>
    </row>
    <row r="139">
      <c r="A139" s="155" t="s">
        <v>228</v>
      </c>
      <c r="B139" s="104" t="s">
        <v>94</v>
      </c>
      <c r="C139" s="428">
        <v>273000.0</v>
      </c>
      <c r="D139" s="161">
        <v>0.0</v>
      </c>
      <c r="E139" s="294">
        <v>0.0</v>
      </c>
      <c r="F139" s="163"/>
      <c r="G139" s="325"/>
      <c r="H139" s="108">
        <v>0.0</v>
      </c>
      <c r="I139" s="109">
        <v>0.0</v>
      </c>
      <c r="J139" s="109">
        <v>0.0</v>
      </c>
      <c r="K139" s="109">
        <v>0.0</v>
      </c>
      <c r="L139" s="113"/>
      <c r="M139" s="113"/>
      <c r="N139" s="112">
        <v>0.0</v>
      </c>
      <c r="O139" s="298">
        <v>0.0</v>
      </c>
      <c r="P139" s="160">
        <v>12378.0</v>
      </c>
      <c r="Q139" s="156"/>
      <c r="R139" s="121">
        <f t="shared" si="4"/>
        <v>0</v>
      </c>
      <c r="S139" s="116">
        <f t="shared" si="5"/>
        <v>0.3783554476</v>
      </c>
      <c r="T139" s="117"/>
      <c r="U139" s="118">
        <f t="shared" si="6"/>
        <v>0.73965</v>
      </c>
      <c r="V139" s="148"/>
      <c r="W139" s="120">
        <f t="shared" si="7"/>
        <v>0.6141272727</v>
      </c>
      <c r="X139" s="148"/>
      <c r="Y139" s="120">
        <f t="shared" si="8"/>
        <v>0.6018090909</v>
      </c>
      <c r="Z139" s="299"/>
      <c r="AA139" s="441"/>
      <c r="AB139" s="300" t="str">
        <f t="shared" si="9"/>
        <v/>
      </c>
      <c r="AC139" s="300">
        <f t="shared" si="10"/>
        <v>0.6890056172</v>
      </c>
      <c r="AD139" s="314">
        <v>0.0</v>
      </c>
      <c r="AE139" s="315">
        <v>0.0</v>
      </c>
      <c r="AF139" s="445">
        <v>0.0</v>
      </c>
      <c r="AG139" s="316">
        <v>0.0</v>
      </c>
      <c r="AH139" s="307">
        <v>0.0</v>
      </c>
      <c r="AI139" s="317">
        <v>0.0</v>
      </c>
      <c r="AJ139" s="318">
        <v>0.0</v>
      </c>
      <c r="AK139" s="319">
        <v>0.0</v>
      </c>
      <c r="AL139" s="446">
        <v>0.0</v>
      </c>
      <c r="AM139" s="320">
        <v>0.0</v>
      </c>
      <c r="AN139" s="149" t="str">
        <f>IFERROR(
  AVERAGEIFS(
    'New LF Efficacy'!$J:$J,
    'New LF Efficacy'!$D:$D, $A139,
    'New LF Efficacy'!$F:$F,"DEC", 
    'New LF Efficacy'!$W:$W,"&lt;2016",
    'New LF Efficacy'!$AA:$AA,""),
  ""
)</f>
        <v/>
      </c>
      <c r="AO139" s="115">
        <f t="shared" si="11"/>
        <v>0.38</v>
      </c>
      <c r="AP139" s="149" t="str">
        <f>IFERROR(
AVERAGEIFS(
'New LF Efficacy'!$J:$J,
'New LF Efficacy'!$D:$D,$A139,
'New LF Efficacy'!$F:$F,"Albendazole &amp; DEC",
'New LF Efficacy'!$W:$W,"&lt;2016",
'New LF Efficacy'!$AA:$AA,""),
"")
</f>
        <v/>
      </c>
      <c r="AQ139" s="115">
        <f t="shared" si="12"/>
        <v>0.662</v>
      </c>
      <c r="AR139" s="149" t="str">
        <f>IFERROR(
AVERAGEIFS(
'New LF Efficacy'!$J:$J,
'New LF Efficacy'!$D:$D,$A139,
'New LF Efficacy'!$F:$F,"Albendazole &amp; Ivermectin", 
'New LF Efficacy'!$W:$W,"&lt;2016",
'New LF Efficacy'!$AA:$AA,""),"")</f>
        <v/>
      </c>
      <c r="AS139" s="115">
        <f t="shared" si="13"/>
        <v>0.37153125</v>
      </c>
      <c r="AT139" s="442" t="str">
        <f>IFERROR(AVERAGEIFS(
'Schist Efficacy'!$O:$O, 
'Schist Efficacy'!$C:$C,$A139, 
'Schist Efficacy'!$D:$D, "Praziquantel",
'Schist Efficacy'!$J:$J,"&lt;2016",
'Schist Efficacy'!$U:$U,""),
"")</f>
        <v/>
      </c>
      <c r="AU139" s="118">
        <f t="shared" si="14"/>
        <v>0.9475</v>
      </c>
      <c r="AV139" s="131" t="str">
        <f>IFERROR(AVERAGEIFS(
'STH Efficacy'!$AX:$AX, 
'STH Efficacy'!$AL:$AL, $A139, 
'STH Efficacy'!$AM:$AM, "Albendazole",
'STH Efficacy'!$AS:$AS,"&lt;2016",
'STH Efficacy'!$BP:$BP,""),
"")</f>
        <v/>
      </c>
      <c r="AW139" s="132">
        <f t="shared" si="15"/>
        <v>0.3571666667</v>
      </c>
      <c r="AX139" s="131" t="str">
        <f>IFERROR(AVERAGEIFS(
'STH Efficacy'!$AX:$AX, 
'STH Efficacy'!$AL:$AL, $A139, 
'STH Efficacy'!$AM:$AM, "Mebendazole",
'STH Efficacy'!$AS:$AS,"&lt;2016",
'STH Efficacy'!$BP:$BP,""),
"")</f>
        <v/>
      </c>
      <c r="AY139" s="132">
        <f t="shared" si="16"/>
        <v>0.4155</v>
      </c>
      <c r="AZ139" s="131" t="str">
        <f>IFERROR(AVERAGEIFS(
'STH Efficacy'!$AX:$AX, 
'STH Efficacy'!$AL:$AL, $A139, 
'STH Efficacy'!$AM:$AM, "Albendazole &amp; Ivermectin",
'STH Efficacy'!$AS:$AS,"&lt;2016",
'STH Efficacy'!$BP:$BP,""),
"")</f>
        <v/>
      </c>
      <c r="BA139" s="133">
        <f t="shared" si="17"/>
        <v>0.651</v>
      </c>
      <c r="BB139" s="443" t="str">
        <f>IFERROR(AVERAGEIFS(
'STH Efficacy'!$N:$N, 
'STH Efficacy'!$B:$B, $A139, 
'STH Efficacy'!$C:$C, "Albendazole",
'STH Efficacy'!$I:$I,"&lt;2016",
'STH Efficacy'!$AH:$AH,""),
"")</f>
        <v/>
      </c>
      <c r="BC139" s="135">
        <f t="shared" si="18"/>
        <v>0.5769166667</v>
      </c>
      <c r="BD139" s="443" t="str">
        <f>IFERROR(AVERAGEIFS(
'STH Efficacy'!$N:$N, 
'STH Efficacy'!$B:$B, $A139, 
'STH Efficacy'!$C:$C, "Mebendazole",
'STH Efficacy'!$I:$I,"&lt;2016",
'STH Efficacy'!$AH:$AH,""),
"")</f>
        <v/>
      </c>
      <c r="BE139" s="135">
        <f t="shared" si="19"/>
        <v>0.3145</v>
      </c>
      <c r="BF139" s="436" t="str">
        <f>IFERROR(AVERAGEIFS(
'STH Efficacy'!$CD:$CD, 
'STH Efficacy'!$BS:$BS, $A139, 
'STH Efficacy'!$BT:$BT, "Albendazole",
'STH Efficacy'!$BZ:$BZ,"&lt;2016",
'STH Efficacy'!$CU:$CU,""),
"")</f>
        <v/>
      </c>
      <c r="BG139" s="136">
        <f t="shared" si="20"/>
        <v>0.96925</v>
      </c>
      <c r="BH139" s="436" t="str">
        <f>IFERROR(AVERAGEIFS(
'STH Efficacy'!$CD:$CD, 
'STH Efficacy'!$BS:$BS, $A139, 
'STH Efficacy'!$BT:$BT, "Mebendazole",
'STH Efficacy'!$BZ:$BZ,"&lt;2016",
'STH Efficacy'!$CU:$CU,""),
"")</f>
        <v/>
      </c>
      <c r="BI139" s="136">
        <f t="shared" si="21"/>
        <v>0.9305</v>
      </c>
      <c r="BJ139" s="436" t="str">
        <f>IFERROR(AVERAGEIFS(
'STH Efficacy'!$CD:$CD, 
'STH Efficacy'!$BS:$BS, $A139, 
'STH Efficacy'!$BT:$BT, "Albendazole &amp; Ivermectin",
'STH Efficacy'!$BZ:$BZ,"&lt;2016",
'STH Efficacy'!$CU:$CU,""),
"")</f>
        <v/>
      </c>
      <c r="BK139" s="136">
        <f t="shared" si="22"/>
        <v>0.848</v>
      </c>
      <c r="BL139" s="444" t="str">
        <f>IFERROR(
  AVERAGEIFS(
    'NEW Onchocerciasis Efficacy'!$AO:$AO,
    'NEW Onchocerciasis Efficacy'!$C:$C,$A139,
    'NEW Onchocerciasis Efficacy'!$D:$D,"Ivermectin",
    'NEW Onchocerciasis Efficacy'!$AR:$AR,"&lt;2016",
    'NEW Onchocerciasis Efficacy'!$BG:$BG,"")
,"")</f>
        <v/>
      </c>
      <c r="BM139" s="304">
        <f t="shared" si="23"/>
        <v>0.7808368939</v>
      </c>
      <c r="BN139" s="439">
        <v>1.0</v>
      </c>
      <c r="BO139" s="139">
        <v>0.0</v>
      </c>
      <c r="BP139" s="140">
        <v>0.0</v>
      </c>
      <c r="BQ139" s="141">
        <f t="shared" si="24"/>
        <v>0</v>
      </c>
      <c r="BR139" s="104" t="str">
        <f t="shared" si="25"/>
        <v>1000</v>
      </c>
      <c r="BS139" s="104" t="str">
        <f t="shared" si="26"/>
        <v>MDA1/2</v>
      </c>
      <c r="BT139" s="142" t="str">
        <f t="shared" si="43"/>
        <v>IVM+ALB or DEC+ALB</v>
      </c>
      <c r="BU139" s="104" t="str">
        <f t="shared" si="28"/>
        <v/>
      </c>
      <c r="BV139" s="104" t="str">
        <f t="shared" si="29"/>
        <v>lf only</v>
      </c>
      <c r="BW139" s="312">
        <f t="shared" si="30"/>
        <v>0</v>
      </c>
      <c r="BX139" s="312">
        <f t="shared" si="31"/>
        <v>0</v>
      </c>
      <c r="BY139" s="151" t="str">
        <f t="shared" si="32"/>
        <v/>
      </c>
      <c r="BZ139" s="152" t="str">
        <f t="shared" si="33"/>
        <v/>
      </c>
      <c r="CA139" s="152" t="str">
        <f t="shared" si="34"/>
        <v/>
      </c>
      <c r="CB139" s="152" t="str">
        <f t="shared" si="35"/>
        <v/>
      </c>
      <c r="CC139" s="153" t="str">
        <f t="shared" si="36"/>
        <v/>
      </c>
      <c r="CD139" s="153" t="str">
        <f t="shared" si="37"/>
        <v/>
      </c>
      <c r="CE139" s="154" t="str">
        <f t="shared" si="38"/>
        <v/>
      </c>
      <c r="CF139" s="154" t="str">
        <f t="shared" si="39"/>
        <v/>
      </c>
      <c r="CG139" s="154" t="str">
        <f t="shared" si="40"/>
        <v/>
      </c>
      <c r="CH139" s="308" t="str">
        <f t="shared" si="41"/>
        <v/>
      </c>
    </row>
    <row r="140">
      <c r="A140" s="103" t="s">
        <v>229</v>
      </c>
      <c r="B140" s="104" t="s">
        <v>94</v>
      </c>
      <c r="C140" s="428">
        <v>4595700.0</v>
      </c>
      <c r="D140" s="161">
        <v>0.0</v>
      </c>
      <c r="E140" s="294">
        <v>0.0</v>
      </c>
      <c r="F140" s="307">
        <v>0.0</v>
      </c>
      <c r="G140" s="309">
        <v>0.0</v>
      </c>
      <c r="H140" s="108">
        <v>0.0</v>
      </c>
      <c r="I140" s="109">
        <v>0.0</v>
      </c>
      <c r="J140" s="109">
        <v>0.0</v>
      </c>
      <c r="K140" s="109">
        <v>0.0</v>
      </c>
      <c r="L140" s="112">
        <v>0.0</v>
      </c>
      <c r="M140" s="112">
        <v>0.0</v>
      </c>
      <c r="N140" s="112">
        <v>0.0</v>
      </c>
      <c r="O140" s="298">
        <v>0.0</v>
      </c>
      <c r="P140" s="114"/>
      <c r="Q140" s="114"/>
      <c r="R140" s="121" t="str">
        <f t="shared" si="4"/>
        <v/>
      </c>
      <c r="S140" s="116">
        <f t="shared" si="5"/>
        <v>0.3783554476</v>
      </c>
      <c r="T140" s="117"/>
      <c r="U140" s="118">
        <f t="shared" si="6"/>
        <v>0.73965</v>
      </c>
      <c r="V140" s="148"/>
      <c r="W140" s="120">
        <f t="shared" si="7"/>
        <v>0.6141272727</v>
      </c>
      <c r="X140" s="148"/>
      <c r="Y140" s="120">
        <f t="shared" si="8"/>
        <v>0.6018090909</v>
      </c>
      <c r="Z140" s="299"/>
      <c r="AA140" s="441"/>
      <c r="AB140" s="300" t="str">
        <f t="shared" si="9"/>
        <v/>
      </c>
      <c r="AC140" s="300">
        <f t="shared" si="10"/>
        <v>0.6890056172</v>
      </c>
      <c r="AD140" s="122">
        <v>0.0</v>
      </c>
      <c r="AE140" s="123">
        <v>0.0</v>
      </c>
      <c r="AF140" s="430">
        <v>0.0</v>
      </c>
      <c r="AG140" s="316">
        <v>0.0</v>
      </c>
      <c r="AH140" s="316">
        <v>0.0</v>
      </c>
      <c r="AI140" s="317">
        <v>0.0</v>
      </c>
      <c r="AJ140" s="317">
        <v>0.0</v>
      </c>
      <c r="AK140" s="319">
        <v>0.0</v>
      </c>
      <c r="AL140" s="319">
        <v>0.0</v>
      </c>
      <c r="AM140" s="302">
        <v>0.0</v>
      </c>
      <c r="AN140" s="149" t="str">
        <f>IFERROR(
  AVERAGEIFS(
    'New LF Efficacy'!$J:$J,
    'New LF Efficacy'!$D:$D, $A140,
    'New LF Efficacy'!$F:$F,"DEC", 
    'New LF Efficacy'!$W:$W,"&lt;2016",
    'New LF Efficacy'!$AA:$AA,""),
  ""
)</f>
        <v/>
      </c>
      <c r="AO140" s="115">
        <f t="shared" si="11"/>
        <v>0.38</v>
      </c>
      <c r="AP140" s="149" t="str">
        <f>IFERROR(
AVERAGEIFS(
'New LF Efficacy'!$J:$J,
'New LF Efficacy'!$D:$D,$A140,
'New LF Efficacy'!$F:$F,"Albendazole &amp; DEC",
'New LF Efficacy'!$W:$W,"&lt;2016",
'New LF Efficacy'!$AA:$AA,""),
"")
</f>
        <v/>
      </c>
      <c r="AQ140" s="115">
        <f t="shared" si="12"/>
        <v>0.662</v>
      </c>
      <c r="AR140" s="149" t="str">
        <f>IFERROR(
AVERAGEIFS(
'New LF Efficacy'!$J:$J,
'New LF Efficacy'!$D:$D,$A140,
'New LF Efficacy'!$F:$F,"Albendazole &amp; Ivermectin", 
'New LF Efficacy'!$W:$W,"&lt;2016",
'New LF Efficacy'!$AA:$AA,""),"")</f>
        <v/>
      </c>
      <c r="AS140" s="115">
        <f t="shared" si="13"/>
        <v>0.37153125</v>
      </c>
      <c r="AT140" s="442" t="str">
        <f>IFERROR(AVERAGEIFS(
'Schist Efficacy'!$O:$O, 
'Schist Efficacy'!$C:$C,$A140, 
'Schist Efficacy'!$D:$D, "Praziquantel",
'Schist Efficacy'!$J:$J,"&lt;2016",
'Schist Efficacy'!$U:$U,""),
"")</f>
        <v/>
      </c>
      <c r="AU140" s="118">
        <f t="shared" si="14"/>
        <v>0.9475</v>
      </c>
      <c r="AV140" s="131" t="str">
        <f>IFERROR(AVERAGEIFS(
'STH Efficacy'!$AX:$AX, 
'STH Efficacy'!$AL:$AL, $A140, 
'STH Efficacy'!$AM:$AM, "Albendazole",
'STH Efficacy'!$AS:$AS,"&lt;2016",
'STH Efficacy'!$BP:$BP,""),
"")</f>
        <v/>
      </c>
      <c r="AW140" s="132">
        <f t="shared" si="15"/>
        <v>0.3571666667</v>
      </c>
      <c r="AX140" s="131" t="str">
        <f>IFERROR(AVERAGEIFS(
'STH Efficacy'!$AX:$AX, 
'STH Efficacy'!$AL:$AL, $A140, 
'STH Efficacy'!$AM:$AM, "Mebendazole",
'STH Efficacy'!$AS:$AS,"&lt;2016",
'STH Efficacy'!$BP:$BP,""),
"")</f>
        <v/>
      </c>
      <c r="AY140" s="132">
        <f t="shared" si="16"/>
        <v>0.4155</v>
      </c>
      <c r="AZ140" s="131" t="str">
        <f>IFERROR(AVERAGEIFS(
'STH Efficacy'!$AX:$AX, 
'STH Efficacy'!$AL:$AL, $A140, 
'STH Efficacy'!$AM:$AM, "Albendazole &amp; Ivermectin",
'STH Efficacy'!$AS:$AS,"&lt;2016",
'STH Efficacy'!$BP:$BP,""),
"")</f>
        <v/>
      </c>
      <c r="BA140" s="133">
        <f t="shared" si="17"/>
        <v>0.651</v>
      </c>
      <c r="BB140" s="443" t="str">
        <f>IFERROR(AVERAGEIFS(
'STH Efficacy'!$N:$N, 
'STH Efficacy'!$B:$B, $A140, 
'STH Efficacy'!$C:$C, "Albendazole",
'STH Efficacy'!$I:$I,"&lt;2016",
'STH Efficacy'!$AH:$AH,""),
"")</f>
        <v/>
      </c>
      <c r="BC140" s="135">
        <f t="shared" si="18"/>
        <v>0.5769166667</v>
      </c>
      <c r="BD140" s="443" t="str">
        <f>IFERROR(AVERAGEIFS(
'STH Efficacy'!$N:$N, 
'STH Efficacy'!$B:$B, $A140, 
'STH Efficacy'!$C:$C, "Mebendazole",
'STH Efficacy'!$I:$I,"&lt;2016",
'STH Efficacy'!$AH:$AH,""),
"")</f>
        <v/>
      </c>
      <c r="BE140" s="135">
        <f t="shared" si="19"/>
        <v>0.3145</v>
      </c>
      <c r="BF140" s="436" t="str">
        <f>IFERROR(AVERAGEIFS(
'STH Efficacy'!$CD:$CD, 
'STH Efficacy'!$BS:$BS, $A140, 
'STH Efficacy'!$BT:$BT, "Albendazole",
'STH Efficacy'!$BZ:$BZ,"&lt;2016",
'STH Efficacy'!$CU:$CU,""),
"")</f>
        <v/>
      </c>
      <c r="BG140" s="136">
        <f t="shared" si="20"/>
        <v>0.96925</v>
      </c>
      <c r="BH140" s="436" t="str">
        <f>IFERROR(AVERAGEIFS(
'STH Efficacy'!$CD:$CD, 
'STH Efficacy'!$BS:$BS, $A140, 
'STH Efficacy'!$BT:$BT, "Mebendazole",
'STH Efficacy'!$BZ:$BZ,"&lt;2016",
'STH Efficacy'!$CU:$CU,""),
"")</f>
        <v/>
      </c>
      <c r="BI140" s="136">
        <f t="shared" si="21"/>
        <v>0.9305</v>
      </c>
      <c r="BJ140" s="436" t="str">
        <f>IFERROR(AVERAGEIFS(
'STH Efficacy'!$CD:$CD, 
'STH Efficacy'!$BS:$BS, $A140, 
'STH Efficacy'!$BT:$BT, "Albendazole &amp; Ivermectin",
'STH Efficacy'!$BZ:$BZ,"&lt;2016",
'STH Efficacy'!$CU:$CU,""),
"")</f>
        <v/>
      </c>
      <c r="BK140" s="136">
        <f t="shared" si="22"/>
        <v>0.848</v>
      </c>
      <c r="BL140" s="444" t="str">
        <f>IFERROR(
  AVERAGEIFS(
    'NEW Onchocerciasis Efficacy'!$AO:$AO,
    'NEW Onchocerciasis Efficacy'!$C:$C,$A140,
    'NEW Onchocerciasis Efficacy'!$D:$D,"Ivermectin",
    'NEW Onchocerciasis Efficacy'!$AR:$AR,"&lt;2016",
    'NEW Onchocerciasis Efficacy'!$BG:$BG,"")
,"")</f>
        <v/>
      </c>
      <c r="BM140" s="304">
        <f t="shared" si="23"/>
        <v>0.7808368939</v>
      </c>
      <c r="BN140" s="439">
        <v>0.0</v>
      </c>
      <c r="BO140" s="139">
        <v>0.0</v>
      </c>
      <c r="BP140" s="140">
        <v>0.0</v>
      </c>
      <c r="BQ140" s="141">
        <f t="shared" si="24"/>
        <v>0</v>
      </c>
      <c r="BR140" s="104" t="str">
        <f t="shared" si="25"/>
        <v>0000</v>
      </c>
      <c r="BS140" s="104" t="str">
        <f t="shared" si="26"/>
        <v>no action required</v>
      </c>
      <c r="BT140" s="142" t="str">
        <f t="shared" si="43"/>
        <v/>
      </c>
      <c r="BU140" s="104" t="str">
        <f t="shared" si="28"/>
        <v/>
      </c>
      <c r="BV140" s="104" t="str">
        <f t="shared" si="29"/>
        <v>none</v>
      </c>
      <c r="BW140" s="150" t="str">
        <f t="shared" si="30"/>
        <v/>
      </c>
      <c r="BX140" s="150" t="str">
        <f t="shared" si="31"/>
        <v/>
      </c>
      <c r="BY140" s="151" t="str">
        <f t="shared" si="32"/>
        <v/>
      </c>
      <c r="BZ140" s="152" t="str">
        <f t="shared" si="33"/>
        <v/>
      </c>
      <c r="CA140" s="152" t="str">
        <f t="shared" si="34"/>
        <v/>
      </c>
      <c r="CB140" s="152" t="str">
        <f t="shared" si="35"/>
        <v/>
      </c>
      <c r="CC140" s="153" t="str">
        <f t="shared" si="36"/>
        <v/>
      </c>
      <c r="CD140" s="153" t="str">
        <f t="shared" si="37"/>
        <v/>
      </c>
      <c r="CE140" s="154" t="str">
        <f t="shared" si="38"/>
        <v/>
      </c>
      <c r="CF140" s="154" t="str">
        <f t="shared" si="39"/>
        <v/>
      </c>
      <c r="CG140" s="154" t="str">
        <f t="shared" si="40"/>
        <v/>
      </c>
      <c r="CH140" s="308" t="str">
        <f t="shared" si="41"/>
        <v/>
      </c>
    </row>
    <row r="141">
      <c r="A141" s="103" t="s">
        <v>230</v>
      </c>
      <c r="B141" s="104" t="s">
        <v>98</v>
      </c>
      <c r="C141" s="428">
        <v>6082035.0</v>
      </c>
      <c r="D141" s="161">
        <v>0.0</v>
      </c>
      <c r="E141" s="294">
        <v>0.0</v>
      </c>
      <c r="F141" s="295">
        <v>20.37525454</v>
      </c>
      <c r="G141" s="295">
        <v>0.424949869</v>
      </c>
      <c r="H141" s="108">
        <v>20.80020441</v>
      </c>
      <c r="I141" s="109">
        <v>2.88241679</v>
      </c>
      <c r="J141" s="109">
        <v>1.62861937</v>
      </c>
      <c r="K141" s="109">
        <v>4.511036154</v>
      </c>
      <c r="L141" s="112">
        <v>99.64568031</v>
      </c>
      <c r="M141" s="112">
        <v>23.52566338</v>
      </c>
      <c r="N141" s="112">
        <v>123.1713437</v>
      </c>
      <c r="O141" s="298">
        <v>0.0</v>
      </c>
      <c r="P141" s="114"/>
      <c r="Q141" s="114"/>
      <c r="R141" s="121" t="str">
        <f t="shared" si="4"/>
        <v/>
      </c>
      <c r="S141" s="116">
        <f t="shared" si="5"/>
        <v>0.3565746084</v>
      </c>
      <c r="T141" s="117"/>
      <c r="U141" s="118">
        <f t="shared" si="6"/>
        <v>0.4791888889</v>
      </c>
      <c r="V141" s="119">
        <v>1.0</v>
      </c>
      <c r="W141" s="120">
        <f t="shared" si="7"/>
        <v>1</v>
      </c>
      <c r="X141" s="119">
        <v>1.0</v>
      </c>
      <c r="Y141" s="120">
        <f t="shared" si="8"/>
        <v>1</v>
      </c>
      <c r="Z141" s="299"/>
      <c r="AA141" s="441"/>
      <c r="AB141" s="300" t="str">
        <f t="shared" si="9"/>
        <v/>
      </c>
      <c r="AC141" s="300">
        <f t="shared" si="10"/>
        <v>0.7101368438</v>
      </c>
      <c r="AD141" s="122">
        <v>0.0</v>
      </c>
      <c r="AE141" s="123">
        <v>0.0</v>
      </c>
      <c r="AF141" s="430">
        <v>0.0</v>
      </c>
      <c r="AG141" s="124">
        <v>0.0849</v>
      </c>
      <c r="AH141" s="124">
        <v>0.021641407</v>
      </c>
      <c r="AI141" s="125">
        <v>0.0029</v>
      </c>
      <c r="AJ141" s="125">
        <v>3.96167E-4</v>
      </c>
      <c r="AK141" s="127">
        <v>0.0674</v>
      </c>
      <c r="AL141" s="127">
        <v>0.016687979</v>
      </c>
      <c r="AM141" s="302">
        <v>0.0</v>
      </c>
      <c r="AN141" s="149" t="str">
        <f>IFERROR(
  AVERAGEIFS(
    'New LF Efficacy'!$J:$J,
    'New LF Efficacy'!$D:$D, $A141,
    'New LF Efficacy'!$F:$F,"DEC", 
    'New LF Efficacy'!$W:$W,"&lt;2016",
    'New LF Efficacy'!$AA:$AA,""),
  ""
)</f>
        <v/>
      </c>
      <c r="AO141" s="115">
        <f t="shared" si="11"/>
        <v>0.2589833333</v>
      </c>
      <c r="AP141" s="149" t="str">
        <f>IFERROR(
AVERAGEIFS(
'New LF Efficacy'!$J:$J,
'New LF Efficacy'!$D:$D,$A141,
'New LF Efficacy'!$F:$F,"Albendazole &amp; DEC",
'New LF Efficacy'!$W:$W,"&lt;2016",
'New LF Efficacy'!$AA:$AA,""),
"")
</f>
        <v/>
      </c>
      <c r="AQ141" s="115">
        <f t="shared" si="12"/>
        <v>0.3465</v>
      </c>
      <c r="AR141" s="149" t="str">
        <f>IFERROR(
AVERAGEIFS(
'New LF Efficacy'!$J:$J,
'New LF Efficacy'!$D:$D,$A141,
'New LF Efficacy'!$F:$F,"Albendazole &amp; Ivermectin", 
'New LF Efficacy'!$W:$W,"&lt;2016",
'New LF Efficacy'!$AA:$AA,""),"")</f>
        <v/>
      </c>
      <c r="AS141" s="115">
        <f t="shared" si="13"/>
        <v>0.7575</v>
      </c>
      <c r="AT141" s="442" t="str">
        <f>IFERROR(AVERAGEIFS(
'Schist Efficacy'!$O:$O, 
'Schist Efficacy'!$C:$C,$A141, 
'Schist Efficacy'!$D:$D, "Praziquantel",
'Schist Efficacy'!$J:$J,"&lt;2016",
'Schist Efficacy'!$U:$U,""),
"")</f>
        <v/>
      </c>
      <c r="AU141" s="118">
        <f t="shared" si="14"/>
        <v>0.7914761905</v>
      </c>
      <c r="AV141" s="131" t="str">
        <f>IFERROR(AVERAGEIFS(
'STH Efficacy'!$AX:$AX, 
'STH Efficacy'!$AL:$AL, $A141, 
'STH Efficacy'!$AM:$AM, "Albendazole",
'STH Efficacy'!$AS:$AS,"&lt;2016",
'STH Efficacy'!$BP:$BP,""),
"")</f>
        <v/>
      </c>
      <c r="AW141" s="132">
        <f t="shared" si="15"/>
        <v>0.3945</v>
      </c>
      <c r="AX141" s="131" t="str">
        <f>IFERROR(AVERAGEIFS(
'STH Efficacy'!$AX:$AX, 
'STH Efficacy'!$AL:$AL, $A141, 
'STH Efficacy'!$AM:$AM, "Mebendazole",
'STH Efficacy'!$AS:$AS,"&lt;2016",
'STH Efficacy'!$BP:$BP,""),
"")</f>
        <v/>
      </c>
      <c r="AY141" s="132">
        <f t="shared" si="16"/>
        <v>0.6</v>
      </c>
      <c r="AZ141" s="131" t="str">
        <f>IFERROR(AVERAGEIFS(
'STH Efficacy'!$AX:$AX, 
'STH Efficacy'!$AL:$AL, $A141, 
'STH Efficacy'!$AM:$AM, "Albendazole &amp; Ivermectin",
'STH Efficacy'!$AS:$AS,"&lt;2016",
'STH Efficacy'!$BP:$BP,""),
"")</f>
        <v/>
      </c>
      <c r="BA141" s="133">
        <f t="shared" si="17"/>
        <v>0.796</v>
      </c>
      <c r="BB141" s="443" t="str">
        <f>IFERROR(AVERAGEIFS(
'STH Efficacy'!$N:$N, 
'STH Efficacy'!$B:$B, $A141, 
'STH Efficacy'!$C:$C, "Albendazole",
'STH Efficacy'!$I:$I,"&lt;2016",
'STH Efficacy'!$AH:$AH,""),
"")</f>
        <v/>
      </c>
      <c r="BC141" s="135">
        <f t="shared" si="18"/>
        <v>0.869</v>
      </c>
      <c r="BD141" s="443" t="str">
        <f>IFERROR(AVERAGEIFS(
'STH Efficacy'!$N:$N, 
'STH Efficacy'!$B:$B, $A141, 
'STH Efficacy'!$C:$C, "Mebendazole",
'STH Efficacy'!$I:$I,"&lt;2016",
'STH Efficacy'!$AH:$AH,""),
"")</f>
        <v/>
      </c>
      <c r="BE141" s="135">
        <f t="shared" si="19"/>
        <v>0.172</v>
      </c>
      <c r="BF141" s="436" t="str">
        <f>IFERROR(AVERAGEIFS(
'STH Efficacy'!$CD:$CD, 
'STH Efficacy'!$BS:$BS, $A141, 
'STH Efficacy'!$BT:$BT, "Albendazole",
'STH Efficacy'!$BZ:$BZ,"&lt;2016",
'STH Efficacy'!$CU:$CU,""),
"")</f>
        <v/>
      </c>
      <c r="BG141" s="136">
        <f t="shared" si="20"/>
        <v>0.9862</v>
      </c>
      <c r="BH141" s="436" t="str">
        <f>IFERROR(AVERAGEIFS(
'STH Efficacy'!$CD:$CD, 
'STH Efficacy'!$BS:$BS, $A141, 
'STH Efficacy'!$BT:$BT, "Mebendazole",
'STH Efficacy'!$BZ:$BZ,"&lt;2016",
'STH Efficacy'!$CU:$CU,""),
"")</f>
        <v/>
      </c>
      <c r="BI141" s="136">
        <f t="shared" si="21"/>
        <v>0.769</v>
      </c>
      <c r="BJ141" s="436" t="str">
        <f>IFERROR(AVERAGEIFS(
'STH Efficacy'!$CD:$CD, 
'STH Efficacy'!$BS:$BS, $A141, 
'STH Efficacy'!$BT:$BT, "Albendazole &amp; Ivermectin",
'STH Efficacy'!$BZ:$BZ,"&lt;2016",
'STH Efficacy'!$CU:$CU,""),
"")</f>
        <v/>
      </c>
      <c r="BK141" s="136">
        <f t="shared" si="22"/>
        <v>1</v>
      </c>
      <c r="BL141" s="444" t="str">
        <f>IFERROR(
  AVERAGEIFS(
    'NEW Onchocerciasis Efficacy'!$AO:$AO,
    'NEW Onchocerciasis Efficacy'!$C:$C,$A141,
    'NEW Onchocerciasis Efficacy'!$D:$D,"Ivermectin",
    'NEW Onchocerciasis Efficacy'!$AR:$AR,"&lt;2016",
    'NEW Onchocerciasis Efficacy'!$BG:$BG,"")
,"")</f>
        <v/>
      </c>
      <c r="BM141" s="304">
        <f t="shared" si="23"/>
        <v>0.3734</v>
      </c>
      <c r="BN141" s="439">
        <v>0.0</v>
      </c>
      <c r="BO141" s="139">
        <v>1.0</v>
      </c>
      <c r="BP141" s="140">
        <v>1.0</v>
      </c>
      <c r="BQ141" s="141">
        <f t="shared" si="24"/>
        <v>0</v>
      </c>
      <c r="BR141" s="104" t="str">
        <f t="shared" si="25"/>
        <v>0110</v>
      </c>
      <c r="BS141" s="104" t="str">
        <f t="shared" si="26"/>
        <v>MDA3+T2</v>
      </c>
      <c r="BT141" s="142" t="str">
        <f t="shared" si="43"/>
        <v>IVM</v>
      </c>
      <c r="BU141" s="104" t="str">
        <f t="shared" si="28"/>
        <v>PZQ</v>
      </c>
      <c r="BV141" s="104" t="str">
        <f t="shared" si="29"/>
        <v>onch+schist</v>
      </c>
      <c r="BW141" s="150" t="str">
        <f t="shared" si="30"/>
        <v/>
      </c>
      <c r="BX141" s="150" t="str">
        <f t="shared" si="31"/>
        <v/>
      </c>
      <c r="BY141" s="162">
        <f t="shared" si="32"/>
        <v>0</v>
      </c>
      <c r="BZ141" s="152" t="str">
        <f t="shared" si="33"/>
        <v/>
      </c>
      <c r="CA141" s="152" t="str">
        <f t="shared" si="34"/>
        <v/>
      </c>
      <c r="CB141" s="152" t="str">
        <f t="shared" si="35"/>
        <v/>
      </c>
      <c r="CC141" s="153" t="str">
        <f t="shared" si="36"/>
        <v/>
      </c>
      <c r="CD141" s="153" t="str">
        <f t="shared" si="37"/>
        <v/>
      </c>
      <c r="CE141" s="154" t="str">
        <f t="shared" si="38"/>
        <v/>
      </c>
      <c r="CF141" s="154" t="str">
        <f t="shared" si="39"/>
        <v/>
      </c>
      <c r="CG141" s="154" t="str">
        <f t="shared" si="40"/>
        <v/>
      </c>
      <c r="CH141" s="313">
        <f t="shared" si="41"/>
        <v>0</v>
      </c>
    </row>
    <row r="142">
      <c r="A142" s="103" t="s">
        <v>231</v>
      </c>
      <c r="B142" s="104" t="s">
        <v>92</v>
      </c>
      <c r="C142" s="428">
        <v>1.9896965E7</v>
      </c>
      <c r="D142" s="161">
        <v>9138.53</v>
      </c>
      <c r="E142" s="294">
        <v>11114.47917</v>
      </c>
      <c r="F142" s="295">
        <v>4.73574E-4</v>
      </c>
      <c r="G142" s="295">
        <v>0.002798268</v>
      </c>
      <c r="H142" s="108">
        <v>0.003271842</v>
      </c>
      <c r="I142" s="109">
        <v>131.083555</v>
      </c>
      <c r="J142" s="109">
        <v>329.710264</v>
      </c>
      <c r="K142" s="110">
        <v>460.793819</v>
      </c>
      <c r="L142" s="111">
        <v>3090.650309</v>
      </c>
      <c r="M142" s="112">
        <v>347.0455266</v>
      </c>
      <c r="N142" s="112">
        <v>3437.695836</v>
      </c>
      <c r="O142" s="298">
        <v>0.0</v>
      </c>
      <c r="P142" s="160">
        <v>1.0886864E7</v>
      </c>
      <c r="Q142" s="160">
        <v>7055384.0</v>
      </c>
      <c r="R142" s="121">
        <f t="shared" si="4"/>
        <v>0.648063942</v>
      </c>
      <c r="S142" s="116">
        <f t="shared" si="5"/>
        <v>0.648063942</v>
      </c>
      <c r="T142" s="118">
        <v>0.547</v>
      </c>
      <c r="U142" s="118">
        <f t="shared" si="6"/>
        <v>0.547</v>
      </c>
      <c r="V142" s="119">
        <v>1.0</v>
      </c>
      <c r="W142" s="120">
        <f t="shared" si="7"/>
        <v>1</v>
      </c>
      <c r="X142" s="119">
        <v>0.4736</v>
      </c>
      <c r="Y142" s="120">
        <f t="shared" si="8"/>
        <v>0.4736</v>
      </c>
      <c r="Z142" s="298" t="s">
        <v>373</v>
      </c>
      <c r="AA142" s="298" t="s">
        <v>373</v>
      </c>
      <c r="AB142" s="300" t="str">
        <f t="shared" si="9"/>
        <v/>
      </c>
      <c r="AC142" s="300">
        <f t="shared" si="10"/>
        <v>0.6375203308</v>
      </c>
      <c r="AD142" s="122">
        <v>0.008</v>
      </c>
      <c r="AE142" s="123">
        <v>0.04</v>
      </c>
      <c r="AF142" s="430">
        <v>0.0143</v>
      </c>
      <c r="AG142" s="124">
        <v>0.0023</v>
      </c>
      <c r="AH142" s="124">
        <v>0.003649771</v>
      </c>
      <c r="AI142" s="125">
        <v>0.0114</v>
      </c>
      <c r="AJ142" s="125">
        <v>0.019053771</v>
      </c>
      <c r="AK142" s="127">
        <v>0.0111</v>
      </c>
      <c r="AL142" s="127">
        <v>0.017400632</v>
      </c>
      <c r="AM142" s="302">
        <v>0.0</v>
      </c>
      <c r="AN142" s="149" t="str">
        <f>IFERROR(
  AVERAGEIFS(
    'New LF Efficacy'!$J:$J,
    'New LF Efficacy'!$D:$D, $A142,
    'New LF Efficacy'!$F:$F,"DEC", 
    'New LF Efficacy'!$W:$W,"&lt;2016",
    'New LF Efficacy'!$AA:$AA,""),
  ""
)</f>
        <v/>
      </c>
      <c r="AO142" s="115">
        <f t="shared" si="11"/>
        <v>0.31225</v>
      </c>
      <c r="AP142" s="149" t="str">
        <f>IFERROR(
AVERAGEIFS(
'New LF Efficacy'!$J:$J,
'New LF Efficacy'!$D:$D,$A142,
'New LF Efficacy'!$F:$F,"Albendazole &amp; DEC",
'New LF Efficacy'!$W:$W,"&lt;2016",
'New LF Efficacy'!$AA:$AA,""),
"")
</f>
        <v/>
      </c>
      <c r="AQ142" s="115">
        <f t="shared" si="12"/>
        <v>0.4</v>
      </c>
      <c r="AR142" s="149" t="str">
        <f>IFERROR(
AVERAGEIFS(
'New LF Efficacy'!$J:$J,
'New LF Efficacy'!$D:$D,$A142,
'New LF Efficacy'!$F:$F,"Albendazole &amp; Ivermectin", 
'New LF Efficacy'!$W:$W,"&lt;2016",
'New LF Efficacy'!$AA:$AA,""),"")</f>
        <v/>
      </c>
      <c r="AS142" s="115">
        <f t="shared" si="13"/>
        <v>0.2943125</v>
      </c>
      <c r="AT142" s="442">
        <f>IFERROR(AVERAGEIFS(
'Schist Efficacy'!$O:$O, 
'Schist Efficacy'!$C:$C,$A142, 
'Schist Efficacy'!$D:$D, "Praziquantel",
'Schist Efficacy'!$J:$J,"&lt;2016",
'Schist Efficacy'!$U:$U,""),
"")</f>
        <v>0.949</v>
      </c>
      <c r="AU142" s="118">
        <f t="shared" si="14"/>
        <v>0.949</v>
      </c>
      <c r="AV142" s="131" t="str">
        <f>IFERROR(AVERAGEIFS(
'STH Efficacy'!$AX:$AX, 
'STH Efficacy'!$AL:$AL, $A142, 
'STH Efficacy'!$AM:$AM, "Albendazole",
'STH Efficacy'!$AS:$AS,"&lt;2016",
'STH Efficacy'!$BP:$BP,""),
"")</f>
        <v/>
      </c>
      <c r="AW142" s="132">
        <f t="shared" si="15"/>
        <v>0.3816333333</v>
      </c>
      <c r="AX142" s="131" t="str">
        <f>IFERROR(AVERAGEIFS(
'STH Efficacy'!$AX:$AX, 
'STH Efficacy'!$AL:$AL, $A142, 
'STH Efficacy'!$AM:$AM, "Mebendazole",
'STH Efficacy'!$AS:$AS,"&lt;2016",
'STH Efficacy'!$BP:$BP,""),
"")</f>
        <v/>
      </c>
      <c r="AY142" s="132">
        <f t="shared" si="16"/>
        <v>0.4859375</v>
      </c>
      <c r="AZ142" s="131" t="str">
        <f>IFERROR(AVERAGEIFS(
'STH Efficacy'!$AX:$AX, 
'STH Efficacy'!$AL:$AL, $A142, 
'STH Efficacy'!$AM:$AM, "Albendazole &amp; Ivermectin",
'STH Efficacy'!$AS:$AS,"&lt;2016",
'STH Efficacy'!$BP:$BP,""),
"")</f>
        <v/>
      </c>
      <c r="BA142" s="133">
        <f t="shared" si="17"/>
        <v>0.47175</v>
      </c>
      <c r="BB142" s="443" t="str">
        <f>IFERROR(AVERAGEIFS(
'STH Efficacy'!$N:$N, 
'STH Efficacy'!$B:$B, $A142, 
'STH Efficacy'!$C:$C, "Albendazole",
'STH Efficacy'!$I:$I,"&lt;2016",
'STH Efficacy'!$AH:$AH,""),
"")</f>
        <v/>
      </c>
      <c r="BC142" s="135">
        <f t="shared" si="18"/>
        <v>0.8699166667</v>
      </c>
      <c r="BD142" s="443" t="str">
        <f>IFERROR(AVERAGEIFS(
'STH Efficacy'!$N:$N, 
'STH Efficacy'!$B:$B, $A142, 
'STH Efficacy'!$C:$C, "Mebendazole",
'STH Efficacy'!$I:$I,"&lt;2016",
'STH Efficacy'!$AH:$AH,""),
"")</f>
        <v/>
      </c>
      <c r="BE142" s="135">
        <f t="shared" si="19"/>
        <v>0.7092416667</v>
      </c>
      <c r="BF142" s="436" t="str">
        <f>IFERROR(AVERAGEIFS(
'STH Efficacy'!$CD:$CD, 
'STH Efficacy'!$BS:$BS, $A142, 
'STH Efficacy'!$BT:$BT, "Albendazole",
'STH Efficacy'!$BZ:$BZ,"&lt;2016",
'STH Efficacy'!$CU:$CU,""),
"")</f>
        <v/>
      </c>
      <c r="BG142" s="136">
        <f t="shared" si="20"/>
        <v>0.9066666667</v>
      </c>
      <c r="BH142" s="436" t="str">
        <f>IFERROR(AVERAGEIFS(
'STH Efficacy'!$CD:$CD, 
'STH Efficacy'!$BS:$BS, $A142, 
'STH Efficacy'!$BT:$BT, "Mebendazole",
'STH Efficacy'!$BZ:$BZ,"&lt;2016",
'STH Efficacy'!$CU:$CU,""),
"")</f>
        <v/>
      </c>
      <c r="BI142" s="136">
        <f t="shared" si="21"/>
        <v>0.8483333333</v>
      </c>
      <c r="BJ142" s="436" t="str">
        <f>IFERROR(AVERAGEIFS(
'STH Efficacy'!$CD:$CD, 
'STH Efficacy'!$BS:$BS, $A142, 
'STH Efficacy'!$BT:$BT, "Albendazole &amp; Ivermectin",
'STH Efficacy'!$BZ:$BZ,"&lt;2016",
'STH Efficacy'!$CU:$CU,""),
"")</f>
        <v/>
      </c>
      <c r="BK142" s="136">
        <f t="shared" si="22"/>
        <v>0.696</v>
      </c>
      <c r="BL142" s="444" t="str">
        <f>IFERROR(
  AVERAGEIFS(
    'NEW Onchocerciasis Efficacy'!$AO:$AO,
    'NEW Onchocerciasis Efficacy'!$C:$C,$A142,
    'NEW Onchocerciasis Efficacy'!$D:$D,"Ivermectin",
    'NEW Onchocerciasis Efficacy'!$AR:$AR,"&lt;2016",
    'NEW Onchocerciasis Efficacy'!$BG:$BG,"")
,"")</f>
        <v/>
      </c>
      <c r="BM142" s="304">
        <f t="shared" si="23"/>
        <v>0.8390421645</v>
      </c>
      <c r="BN142" s="439">
        <v>1.0</v>
      </c>
      <c r="BO142" s="139">
        <v>1.0</v>
      </c>
      <c r="BP142" s="140">
        <v>1.0</v>
      </c>
      <c r="BQ142" s="141">
        <f t="shared" si="24"/>
        <v>0</v>
      </c>
      <c r="BR142" s="104" t="str">
        <f t="shared" si="25"/>
        <v>1110</v>
      </c>
      <c r="BS142" s="104" t="str">
        <f t="shared" si="26"/>
        <v>MDA1+T2</v>
      </c>
      <c r="BT142" s="142" t="str">
        <f t="shared" si="43"/>
        <v>IVM+ALB</v>
      </c>
      <c r="BU142" s="104" t="str">
        <f t="shared" si="28"/>
        <v>PZQ</v>
      </c>
      <c r="BV142" s="104" t="str">
        <f t="shared" si="29"/>
        <v>lf+onch+schist </v>
      </c>
      <c r="BW142" s="150" t="str">
        <f t="shared" si="30"/>
        <v/>
      </c>
      <c r="BX142" s="312">
        <f t="shared" si="31"/>
        <v>2153.829137</v>
      </c>
      <c r="BY142" s="162">
        <f t="shared" si="32"/>
        <v>11997.49527</v>
      </c>
      <c r="BZ142" s="152" t="str">
        <f t="shared" si="33"/>
        <v/>
      </c>
      <c r="CA142" s="152" t="str">
        <f t="shared" si="34"/>
        <v/>
      </c>
      <c r="CB142" s="152" t="str">
        <f t="shared" si="35"/>
        <v/>
      </c>
      <c r="CC142" s="153" t="str">
        <f t="shared" si="36"/>
        <v/>
      </c>
      <c r="CD142" s="153" t="str">
        <f t="shared" si="37"/>
        <v/>
      </c>
      <c r="CE142" s="154" t="str">
        <f t="shared" si="38"/>
        <v/>
      </c>
      <c r="CF142" s="154" t="str">
        <f t="shared" si="39"/>
        <v/>
      </c>
      <c r="CG142" s="154" t="str">
        <f t="shared" si="40"/>
        <v/>
      </c>
      <c r="CH142" s="313">
        <f t="shared" si="41"/>
        <v>0</v>
      </c>
    </row>
    <row r="143">
      <c r="A143" s="103" t="s">
        <v>232</v>
      </c>
      <c r="B143" s="104" t="s">
        <v>92</v>
      </c>
      <c r="C143" s="428">
        <v>1.81181744E8</v>
      </c>
      <c r="D143" s="161">
        <v>268479.47000000003</v>
      </c>
      <c r="E143" s="294">
        <v>323098.1806</v>
      </c>
      <c r="F143" s="295">
        <v>99.39337626</v>
      </c>
      <c r="G143" s="295">
        <v>425.4313336</v>
      </c>
      <c r="H143" s="157">
        <v>524.8247098</v>
      </c>
      <c r="I143" s="110">
        <v>5603.28759</v>
      </c>
      <c r="J143" s="110">
        <v>15275.8236</v>
      </c>
      <c r="K143" s="110">
        <v>20879.11119</v>
      </c>
      <c r="L143" s="111">
        <v>100050.7729</v>
      </c>
      <c r="M143" s="111">
        <v>39343.61803</v>
      </c>
      <c r="N143" s="112">
        <v>139394.3909</v>
      </c>
      <c r="O143" s="298">
        <v>169547.9682</v>
      </c>
      <c r="P143" s="160">
        <v>1.20103208E8</v>
      </c>
      <c r="Q143" s="160">
        <v>5.9765252E7</v>
      </c>
      <c r="R143" s="121">
        <f t="shared" si="4"/>
        <v>0.4976157839</v>
      </c>
      <c r="S143" s="116">
        <f t="shared" si="5"/>
        <v>0.4976157839</v>
      </c>
      <c r="T143" s="118">
        <v>0.313</v>
      </c>
      <c r="U143" s="118">
        <f t="shared" si="6"/>
        <v>0.313</v>
      </c>
      <c r="V143" s="148"/>
      <c r="W143" s="120">
        <f t="shared" si="7"/>
        <v>0.8084736842</v>
      </c>
      <c r="X143" s="119">
        <v>0.4329</v>
      </c>
      <c r="Y143" s="120">
        <f t="shared" si="8"/>
        <v>0.4329</v>
      </c>
      <c r="Z143" s="310">
        <v>4.7484244E7</v>
      </c>
      <c r="AA143" s="310">
        <v>3.527115E7</v>
      </c>
      <c r="AB143" s="300">
        <f t="shared" si="9"/>
        <v>0.742796916</v>
      </c>
      <c r="AC143" s="300">
        <f t="shared" si="10"/>
        <v>0.742796916</v>
      </c>
      <c r="AD143" s="122">
        <v>0.0344</v>
      </c>
      <c r="AE143" s="123">
        <v>0.2</v>
      </c>
      <c r="AF143" s="430">
        <v>0.0892</v>
      </c>
      <c r="AG143" s="124">
        <v>0.0372</v>
      </c>
      <c r="AH143" s="124">
        <v>0.05833622</v>
      </c>
      <c r="AI143" s="125">
        <v>0.0546</v>
      </c>
      <c r="AJ143" s="125">
        <v>0.087852717</v>
      </c>
      <c r="AK143" s="127">
        <v>0.1986</v>
      </c>
      <c r="AL143" s="127">
        <v>0.309204683</v>
      </c>
      <c r="AM143" s="302">
        <v>0.0131</v>
      </c>
      <c r="AN143" s="149" t="str">
        <f>IFERROR(
  AVERAGEIFS(
    'New LF Efficacy'!$J:$J,
    'New LF Efficacy'!$D:$D, $A143,
    'New LF Efficacy'!$F:$F,"DEC", 
    'New LF Efficacy'!$W:$W,"&lt;2016",
    'New LF Efficacy'!$AA:$AA,""),
  ""
)</f>
        <v/>
      </c>
      <c r="AO143" s="115">
        <f t="shared" si="11"/>
        <v>0.31225</v>
      </c>
      <c r="AP143" s="149" t="str">
        <f>IFERROR(
AVERAGEIFS(
'New LF Efficacy'!$J:$J,
'New LF Efficacy'!$D:$D,$A143,
'New LF Efficacy'!$F:$F,"Albendazole &amp; DEC",
'New LF Efficacy'!$W:$W,"&lt;2016",
'New LF Efficacy'!$AA:$AA,""),
"")
</f>
        <v/>
      </c>
      <c r="AQ143" s="115">
        <f t="shared" si="12"/>
        <v>0.4</v>
      </c>
      <c r="AR143" s="149" t="str">
        <f>IFERROR(
AVERAGEIFS(
'New LF Efficacy'!$J:$J,
'New LF Efficacy'!$D:$D,$A143,
'New LF Efficacy'!$F:$F,"Albendazole &amp; Ivermectin", 
'New LF Efficacy'!$W:$W,"&lt;2016",
'New LF Efficacy'!$AA:$AA,""),"")</f>
        <v/>
      </c>
      <c r="AS143" s="115">
        <f t="shared" si="13"/>
        <v>0.2943125</v>
      </c>
      <c r="AT143" s="442">
        <f>IFERROR(AVERAGEIFS(
'Schist Efficacy'!$O:$O, 
'Schist Efficacy'!$C:$C,$A143, 
'Schist Efficacy'!$D:$D, "Praziquantel",
'Schist Efficacy'!$J:$J,"&lt;2016",
'Schist Efficacy'!$U:$U,""),
"")</f>
        <v>0.778</v>
      </c>
      <c r="AU143" s="118">
        <f t="shared" si="14"/>
        <v>0.778</v>
      </c>
      <c r="AV143" s="131" t="str">
        <f>IFERROR(AVERAGEIFS(
'STH Efficacy'!$AX:$AX, 
'STH Efficacy'!$AL:$AL, $A143, 
'STH Efficacy'!$AM:$AM, "Albendazole",
'STH Efficacy'!$AS:$AS,"&lt;2016",
'STH Efficacy'!$BP:$BP,""),
"")</f>
        <v/>
      </c>
      <c r="AW143" s="132">
        <f t="shared" si="15"/>
        <v>0.3816333333</v>
      </c>
      <c r="AX143" s="131">
        <f>IFERROR(AVERAGEIFS(
'STH Efficacy'!$AX:$AX, 
'STH Efficacy'!$AL:$AL, $A143, 
'STH Efficacy'!$AM:$AM, "Mebendazole",
'STH Efficacy'!$AS:$AS,"&lt;2016",
'STH Efficacy'!$BP:$BP,""),
"")</f>
        <v>1</v>
      </c>
      <c r="AY143" s="132">
        <f t="shared" si="16"/>
        <v>1</v>
      </c>
      <c r="AZ143" s="131" t="str">
        <f>IFERROR(AVERAGEIFS(
'STH Efficacy'!$AX:$AX, 
'STH Efficacy'!$AL:$AL, $A143, 
'STH Efficacy'!$AM:$AM, "Albendazole &amp; Ivermectin",
'STH Efficacy'!$AS:$AS,"&lt;2016",
'STH Efficacy'!$BP:$BP,""),
"")</f>
        <v/>
      </c>
      <c r="BA143" s="133">
        <f t="shared" si="17"/>
        <v>0.47175</v>
      </c>
      <c r="BB143" s="443" t="str">
        <f>IFERROR(AVERAGEIFS(
'STH Efficacy'!$N:$N, 
'STH Efficacy'!$B:$B, $A143, 
'STH Efficacy'!$C:$C, "Albendazole",
'STH Efficacy'!$I:$I,"&lt;2016",
'STH Efficacy'!$AH:$AH,""),
"")</f>
        <v/>
      </c>
      <c r="BC143" s="135">
        <f t="shared" si="18"/>
        <v>0.8699166667</v>
      </c>
      <c r="BD143" s="443">
        <f>IFERROR(AVERAGEIFS(
'STH Efficacy'!$N:$N, 
'STH Efficacy'!$B:$B, $A143, 
'STH Efficacy'!$C:$C, "Mebendazole",
'STH Efficacy'!$I:$I,"&lt;2016",
'STH Efficacy'!$AH:$AH,""),
"")</f>
        <v>0.9048</v>
      </c>
      <c r="BE143" s="135">
        <f t="shared" si="19"/>
        <v>0.9048</v>
      </c>
      <c r="BF143" s="436" t="str">
        <f>IFERROR(AVERAGEIFS(
'STH Efficacy'!$CD:$CD, 
'STH Efficacy'!$BS:$BS, $A143, 
'STH Efficacy'!$BT:$BT, "Albendazole",
'STH Efficacy'!$BZ:$BZ,"&lt;2016",
'STH Efficacy'!$CU:$CU,""),
"")</f>
        <v/>
      </c>
      <c r="BG143" s="136">
        <f t="shared" si="20"/>
        <v>0.9066666667</v>
      </c>
      <c r="BH143" s="436">
        <f>IFERROR(AVERAGEIFS(
'STH Efficacy'!$CD:$CD, 
'STH Efficacy'!$BS:$BS, $A143, 
'STH Efficacy'!$BT:$BT, "Mebendazole",
'STH Efficacy'!$BZ:$BZ,"&lt;2016",
'STH Efficacy'!$CU:$CU,""),
"")</f>
        <v>1</v>
      </c>
      <c r="BI143" s="136">
        <f t="shared" si="21"/>
        <v>1</v>
      </c>
      <c r="BJ143" s="436" t="str">
        <f>IFERROR(AVERAGEIFS(
'STH Efficacy'!$CD:$CD, 
'STH Efficacy'!$BS:$BS, $A143, 
'STH Efficacy'!$BT:$BT, "Albendazole &amp; Ivermectin",
'STH Efficacy'!$BZ:$BZ,"&lt;2016",
'STH Efficacy'!$CU:$CU,""),
"")</f>
        <v/>
      </c>
      <c r="BK143" s="136">
        <f t="shared" si="22"/>
        <v>0.696</v>
      </c>
      <c r="BL143" s="444" t="str">
        <f>IFERROR(
  AVERAGEIFS(
    'NEW Onchocerciasis Efficacy'!$AO:$AO,
    'NEW Onchocerciasis Efficacy'!$C:$C,$A143,
    'NEW Onchocerciasis Efficacy'!$D:$D,"Ivermectin",
    'NEW Onchocerciasis Efficacy'!$AR:$AR,"&lt;2016",
    'NEW Onchocerciasis Efficacy'!$BG:$BG,"")
,"")</f>
        <v/>
      </c>
      <c r="BM143" s="304">
        <f t="shared" si="23"/>
        <v>0.8390421645</v>
      </c>
      <c r="BN143" s="439">
        <v>1.0</v>
      </c>
      <c r="BO143" s="139">
        <v>0.0</v>
      </c>
      <c r="BP143" s="140">
        <v>1.0</v>
      </c>
      <c r="BQ143" s="141">
        <f t="shared" si="24"/>
        <v>0</v>
      </c>
      <c r="BR143" s="104" t="str">
        <f t="shared" si="25"/>
        <v>1010</v>
      </c>
      <c r="BS143" s="104" t="str">
        <f t="shared" si="26"/>
        <v>MDA1/2+T2</v>
      </c>
      <c r="BT143" s="142" t="str">
        <f t="shared" si="43"/>
        <v>IVM+ALB or DEC +ALB</v>
      </c>
      <c r="BU143" s="104" t="str">
        <f t="shared" si="28"/>
        <v>PZQ</v>
      </c>
      <c r="BV143" s="104" t="str">
        <f t="shared" si="29"/>
        <v>lf+schist </v>
      </c>
      <c r="BW143" s="150" t="str">
        <f t="shared" si="30"/>
        <v/>
      </c>
      <c r="BX143" s="312">
        <f t="shared" si="31"/>
        <v>46066.71914</v>
      </c>
      <c r="BY143" s="162">
        <f t="shared" si="32"/>
        <v>104005.7983</v>
      </c>
      <c r="BZ143" s="152" t="str">
        <f t="shared" si="33"/>
        <v/>
      </c>
      <c r="CA143" s="152" t="str">
        <f t="shared" si="34"/>
        <v/>
      </c>
      <c r="CB143" s="152" t="str">
        <f t="shared" si="35"/>
        <v/>
      </c>
      <c r="CC143" s="153" t="str">
        <f t="shared" si="36"/>
        <v/>
      </c>
      <c r="CD143" s="153" t="str">
        <f t="shared" si="37"/>
        <v/>
      </c>
      <c r="CE143" s="154" t="str">
        <f t="shared" si="38"/>
        <v/>
      </c>
      <c r="CF143" s="154" t="str">
        <f t="shared" si="39"/>
        <v/>
      </c>
      <c r="CG143" s="154" t="str">
        <f t="shared" si="40"/>
        <v/>
      </c>
      <c r="CH143" s="308" t="str">
        <f t="shared" si="41"/>
        <v/>
      </c>
    </row>
    <row r="144">
      <c r="A144" s="103" t="s">
        <v>233</v>
      </c>
      <c r="B144" s="104" t="s">
        <v>94</v>
      </c>
      <c r="C144" s="447"/>
      <c r="D144" s="161">
        <v>0.0</v>
      </c>
      <c r="E144" s="294">
        <v>0.0</v>
      </c>
      <c r="F144" s="163"/>
      <c r="G144" s="325"/>
      <c r="H144" s="108">
        <v>0.0</v>
      </c>
      <c r="I144" s="109">
        <v>0.0</v>
      </c>
      <c r="J144" s="109">
        <v>0.0</v>
      </c>
      <c r="K144" s="109">
        <v>0.0</v>
      </c>
      <c r="L144" s="113"/>
      <c r="M144" s="113"/>
      <c r="N144" s="112">
        <v>0.0</v>
      </c>
      <c r="O144" s="298">
        <v>0.0</v>
      </c>
      <c r="P144" s="156"/>
      <c r="Q144" s="156"/>
      <c r="R144" s="121" t="str">
        <f t="shared" si="4"/>
        <v/>
      </c>
      <c r="S144" s="116">
        <f t="shared" si="5"/>
        <v>0.3783554476</v>
      </c>
      <c r="T144" s="117"/>
      <c r="U144" s="118">
        <f t="shared" si="6"/>
        <v>0.73965</v>
      </c>
      <c r="V144" s="148"/>
      <c r="W144" s="120">
        <f t="shared" si="7"/>
        <v>0.6141272727</v>
      </c>
      <c r="X144" s="148"/>
      <c r="Y144" s="120">
        <f t="shared" si="8"/>
        <v>0.6018090909</v>
      </c>
      <c r="Z144" s="299"/>
      <c r="AA144" s="441"/>
      <c r="AB144" s="300" t="str">
        <f t="shared" si="9"/>
        <v/>
      </c>
      <c r="AC144" s="300">
        <f t="shared" si="10"/>
        <v>0.6890056172</v>
      </c>
      <c r="AD144" s="314">
        <v>0.0</v>
      </c>
      <c r="AE144" s="315">
        <v>0.0</v>
      </c>
      <c r="AF144" s="445">
        <v>0.0</v>
      </c>
      <c r="AG144" s="316">
        <v>0.0</v>
      </c>
      <c r="AH144" s="307">
        <v>0.0</v>
      </c>
      <c r="AI144" s="317">
        <v>0.0</v>
      </c>
      <c r="AJ144" s="318">
        <v>0.0</v>
      </c>
      <c r="AK144" s="319">
        <v>0.0</v>
      </c>
      <c r="AL144" s="446">
        <v>0.0</v>
      </c>
      <c r="AM144" s="320">
        <v>0.0</v>
      </c>
      <c r="AN144" s="149" t="str">
        <f>IFERROR(
  AVERAGEIFS(
    'New LF Efficacy'!$J:$J,
    'New LF Efficacy'!$D:$D, $A144,
    'New LF Efficacy'!$F:$F,"DEC", 
    'New LF Efficacy'!$W:$W,"&lt;2016",
    'New LF Efficacy'!$AA:$AA,""),
  ""
)</f>
        <v/>
      </c>
      <c r="AO144" s="115">
        <f t="shared" si="11"/>
        <v>0.38</v>
      </c>
      <c r="AP144" s="149" t="str">
        <f>IFERROR(
AVERAGEIFS(
'New LF Efficacy'!$J:$J,
'New LF Efficacy'!$D:$D,$A144,
'New LF Efficacy'!$F:$F,"Albendazole &amp; DEC",
'New LF Efficacy'!$W:$W,"&lt;2016",
'New LF Efficacy'!$AA:$AA,""),
"")
</f>
        <v/>
      </c>
      <c r="AQ144" s="115">
        <f t="shared" si="12"/>
        <v>0.662</v>
      </c>
      <c r="AR144" s="149" t="str">
        <f>IFERROR(
AVERAGEIFS(
'New LF Efficacy'!$J:$J,
'New LF Efficacy'!$D:$D,$A144,
'New LF Efficacy'!$F:$F,"Albendazole &amp; Ivermectin", 
'New LF Efficacy'!$W:$W,"&lt;2016",
'New LF Efficacy'!$AA:$AA,""),"")</f>
        <v/>
      </c>
      <c r="AS144" s="115">
        <f t="shared" si="13"/>
        <v>0.37153125</v>
      </c>
      <c r="AT144" s="442" t="str">
        <f>IFERROR(AVERAGEIFS(
'Schist Efficacy'!$O:$O, 
'Schist Efficacy'!$C:$C,$A144, 
'Schist Efficacy'!$D:$D, "Praziquantel",
'Schist Efficacy'!$J:$J,"&lt;2016",
'Schist Efficacy'!$U:$U,""),
"")</f>
        <v/>
      </c>
      <c r="AU144" s="118">
        <f t="shared" si="14"/>
        <v>0.9475</v>
      </c>
      <c r="AV144" s="131" t="str">
        <f>IFERROR(AVERAGEIFS(
'STH Efficacy'!$AX:$AX, 
'STH Efficacy'!$AL:$AL, $A144, 
'STH Efficacy'!$AM:$AM, "Albendazole",
'STH Efficacy'!$AS:$AS,"&lt;2016",
'STH Efficacy'!$BP:$BP,""),
"")</f>
        <v/>
      </c>
      <c r="AW144" s="132">
        <f t="shared" si="15"/>
        <v>0.3571666667</v>
      </c>
      <c r="AX144" s="131" t="str">
        <f>IFERROR(AVERAGEIFS(
'STH Efficacy'!$AX:$AX, 
'STH Efficacy'!$AL:$AL, $A144, 
'STH Efficacy'!$AM:$AM, "Mebendazole",
'STH Efficacy'!$AS:$AS,"&lt;2016",
'STH Efficacy'!$BP:$BP,""),
"")</f>
        <v/>
      </c>
      <c r="AY144" s="132">
        <f t="shared" si="16"/>
        <v>0.4155</v>
      </c>
      <c r="AZ144" s="131" t="str">
        <f>IFERROR(AVERAGEIFS(
'STH Efficacy'!$AX:$AX, 
'STH Efficacy'!$AL:$AL, $A144, 
'STH Efficacy'!$AM:$AM, "Albendazole &amp; Ivermectin",
'STH Efficacy'!$AS:$AS,"&lt;2016",
'STH Efficacy'!$BP:$BP,""),
"")</f>
        <v/>
      </c>
      <c r="BA144" s="133">
        <f t="shared" si="17"/>
        <v>0.651</v>
      </c>
      <c r="BB144" s="443" t="str">
        <f>IFERROR(AVERAGEIFS(
'STH Efficacy'!$N:$N, 
'STH Efficacy'!$B:$B, $A144, 
'STH Efficacy'!$C:$C, "Albendazole",
'STH Efficacy'!$I:$I,"&lt;2016",
'STH Efficacy'!$AH:$AH,""),
"")</f>
        <v/>
      </c>
      <c r="BC144" s="135">
        <f t="shared" si="18"/>
        <v>0.5769166667</v>
      </c>
      <c r="BD144" s="443" t="str">
        <f>IFERROR(AVERAGEIFS(
'STH Efficacy'!$N:$N, 
'STH Efficacy'!$B:$B, $A144, 
'STH Efficacy'!$C:$C, "Mebendazole",
'STH Efficacy'!$I:$I,"&lt;2016",
'STH Efficacy'!$AH:$AH,""),
"")</f>
        <v/>
      </c>
      <c r="BE144" s="135">
        <f t="shared" si="19"/>
        <v>0.3145</v>
      </c>
      <c r="BF144" s="436" t="str">
        <f>IFERROR(AVERAGEIFS(
'STH Efficacy'!$CD:$CD, 
'STH Efficacy'!$BS:$BS, $A144, 
'STH Efficacy'!$BT:$BT, "Albendazole",
'STH Efficacy'!$BZ:$BZ,"&lt;2016",
'STH Efficacy'!$CU:$CU,""),
"")</f>
        <v/>
      </c>
      <c r="BG144" s="136">
        <f t="shared" si="20"/>
        <v>0.96925</v>
      </c>
      <c r="BH144" s="436" t="str">
        <f>IFERROR(AVERAGEIFS(
'STH Efficacy'!$CD:$CD, 
'STH Efficacy'!$BS:$BS, $A144, 
'STH Efficacy'!$BT:$BT, "Mebendazole",
'STH Efficacy'!$BZ:$BZ,"&lt;2016",
'STH Efficacy'!$CU:$CU,""),
"")</f>
        <v/>
      </c>
      <c r="BI144" s="136">
        <f t="shared" si="21"/>
        <v>0.9305</v>
      </c>
      <c r="BJ144" s="436" t="str">
        <f>IFERROR(AVERAGEIFS(
'STH Efficacy'!$CD:$CD, 
'STH Efficacy'!$BS:$BS, $A144, 
'STH Efficacy'!$BT:$BT, "Albendazole &amp; Ivermectin",
'STH Efficacy'!$BZ:$BZ,"&lt;2016",
'STH Efficacy'!$CU:$CU,""),
"")</f>
        <v/>
      </c>
      <c r="BK144" s="136">
        <f t="shared" si="22"/>
        <v>0.848</v>
      </c>
      <c r="BL144" s="444" t="str">
        <f>IFERROR(
  AVERAGEIFS(
    'NEW Onchocerciasis Efficacy'!$AO:$AO,
    'NEW Onchocerciasis Efficacy'!$C:$C,$A144,
    'NEW Onchocerciasis Efficacy'!$D:$D,"Ivermectin",
    'NEW Onchocerciasis Efficacy'!$AR:$AR,"&lt;2016",
    'NEW Onchocerciasis Efficacy'!$BG:$BG,"")
,"")</f>
        <v/>
      </c>
      <c r="BM144" s="304">
        <f t="shared" si="23"/>
        <v>0.7808368939</v>
      </c>
      <c r="BN144" s="439">
        <v>0.0</v>
      </c>
      <c r="BO144" s="139">
        <v>0.0</v>
      </c>
      <c r="BP144" s="140">
        <v>0.0</v>
      </c>
      <c r="BQ144" s="141">
        <f t="shared" si="24"/>
        <v>0</v>
      </c>
      <c r="BR144" s="104" t="str">
        <f t="shared" si="25"/>
        <v>0000</v>
      </c>
      <c r="BS144" s="104" t="str">
        <f t="shared" si="26"/>
        <v>no action required</v>
      </c>
      <c r="BT144" s="142" t="str">
        <f t="shared" si="43"/>
        <v/>
      </c>
      <c r="BU144" s="104" t="str">
        <f t="shared" si="28"/>
        <v/>
      </c>
      <c r="BV144" s="104" t="str">
        <f t="shared" si="29"/>
        <v>none</v>
      </c>
      <c r="BW144" s="150" t="str">
        <f t="shared" si="30"/>
        <v/>
      </c>
      <c r="BX144" s="150" t="str">
        <f t="shared" si="31"/>
        <v/>
      </c>
      <c r="BY144" s="151" t="str">
        <f t="shared" si="32"/>
        <v/>
      </c>
      <c r="BZ144" s="152" t="str">
        <f t="shared" si="33"/>
        <v/>
      </c>
      <c r="CA144" s="152" t="str">
        <f t="shared" si="34"/>
        <v/>
      </c>
      <c r="CB144" s="152" t="str">
        <f t="shared" si="35"/>
        <v/>
      </c>
      <c r="CC144" s="153" t="str">
        <f t="shared" si="36"/>
        <v/>
      </c>
      <c r="CD144" s="153" t="str">
        <f t="shared" si="37"/>
        <v/>
      </c>
      <c r="CE144" s="154" t="str">
        <f t="shared" si="38"/>
        <v/>
      </c>
      <c r="CF144" s="154" t="str">
        <f t="shared" si="39"/>
        <v/>
      </c>
      <c r="CG144" s="154" t="str">
        <f t="shared" si="40"/>
        <v/>
      </c>
      <c r="CH144" s="308" t="str">
        <f t="shared" si="41"/>
        <v/>
      </c>
    </row>
    <row r="145">
      <c r="A145" s="155" t="s">
        <v>234</v>
      </c>
      <c r="B145" s="104" t="s">
        <v>94</v>
      </c>
      <c r="C145" s="428">
        <v>54816.0</v>
      </c>
      <c r="D145" s="161">
        <v>0.0</v>
      </c>
      <c r="E145" s="294">
        <v>0.0</v>
      </c>
      <c r="F145" s="307">
        <v>0.0</v>
      </c>
      <c r="G145" s="309">
        <v>0.0</v>
      </c>
      <c r="H145" s="108">
        <v>0.0</v>
      </c>
      <c r="I145" s="109">
        <v>0.00963372</v>
      </c>
      <c r="J145" s="109">
        <v>0.00493976</v>
      </c>
      <c r="K145" s="109">
        <v>0.014573481</v>
      </c>
      <c r="L145" s="112">
        <v>0.0</v>
      </c>
      <c r="M145" s="112">
        <v>0.0</v>
      </c>
      <c r="N145" s="112">
        <v>0.0</v>
      </c>
      <c r="O145" s="298">
        <v>0.0</v>
      </c>
      <c r="P145" s="114"/>
      <c r="Q145" s="114"/>
      <c r="R145" s="121" t="str">
        <f t="shared" si="4"/>
        <v/>
      </c>
      <c r="S145" s="116">
        <f t="shared" si="5"/>
        <v>0.3783554476</v>
      </c>
      <c r="T145" s="117"/>
      <c r="U145" s="118">
        <f t="shared" si="6"/>
        <v>0.73965</v>
      </c>
      <c r="V145" s="148"/>
      <c r="W145" s="120">
        <f t="shared" si="7"/>
        <v>0.6141272727</v>
      </c>
      <c r="X145" s="148"/>
      <c r="Y145" s="120">
        <f t="shared" si="8"/>
        <v>0.6018090909</v>
      </c>
      <c r="Z145" s="299"/>
      <c r="AA145" s="441"/>
      <c r="AB145" s="300" t="str">
        <f t="shared" si="9"/>
        <v/>
      </c>
      <c r="AC145" s="300">
        <f t="shared" si="10"/>
        <v>0.6890056172</v>
      </c>
      <c r="AD145" s="122">
        <v>0.0</v>
      </c>
      <c r="AE145" s="123">
        <v>0.0</v>
      </c>
      <c r="AF145" s="430">
        <v>0.0</v>
      </c>
      <c r="AG145" s="124">
        <v>1.0E-4</v>
      </c>
      <c r="AH145" s="124">
        <v>8.37392E-5</v>
      </c>
      <c r="AI145" s="125">
        <v>1.0E-4</v>
      </c>
      <c r="AJ145" s="125">
        <v>8.18288E-5</v>
      </c>
      <c r="AK145" s="127">
        <v>1.0E-4</v>
      </c>
      <c r="AL145" s="127">
        <v>8.36807E-5</v>
      </c>
      <c r="AM145" s="302">
        <v>0.0</v>
      </c>
      <c r="AN145" s="149" t="str">
        <f>IFERROR(
  AVERAGEIFS(
    'New LF Efficacy'!$J:$J,
    'New LF Efficacy'!$D:$D, $A145,
    'New LF Efficacy'!$F:$F,"DEC", 
    'New LF Efficacy'!$W:$W,"&lt;2016",
    'New LF Efficacy'!$AA:$AA,""),
  ""
)</f>
        <v/>
      </c>
      <c r="AO145" s="115">
        <f t="shared" si="11"/>
        <v>0.38</v>
      </c>
      <c r="AP145" s="149" t="str">
        <f>IFERROR(
AVERAGEIFS(
'New LF Efficacy'!$J:$J,
'New LF Efficacy'!$D:$D,$A145,
'New LF Efficacy'!$F:$F,"Albendazole &amp; DEC",
'New LF Efficacy'!$W:$W,"&lt;2016",
'New LF Efficacy'!$AA:$AA,""),
"")
</f>
        <v/>
      </c>
      <c r="AQ145" s="115">
        <f t="shared" si="12"/>
        <v>0.662</v>
      </c>
      <c r="AR145" s="149" t="str">
        <f>IFERROR(
AVERAGEIFS(
'New LF Efficacy'!$J:$J,
'New LF Efficacy'!$D:$D,$A145,
'New LF Efficacy'!$F:$F,"Albendazole &amp; Ivermectin", 
'New LF Efficacy'!$W:$W,"&lt;2016",
'New LF Efficacy'!$AA:$AA,""),"")</f>
        <v/>
      </c>
      <c r="AS145" s="115">
        <f t="shared" si="13"/>
        <v>0.37153125</v>
      </c>
      <c r="AT145" s="442" t="str">
        <f>IFERROR(AVERAGEIFS(
'Schist Efficacy'!$O:$O, 
'Schist Efficacy'!$C:$C,$A145, 
'Schist Efficacy'!$D:$D, "Praziquantel",
'Schist Efficacy'!$J:$J,"&lt;2016",
'Schist Efficacy'!$U:$U,""),
"")</f>
        <v/>
      </c>
      <c r="AU145" s="118">
        <f t="shared" si="14"/>
        <v>0.9475</v>
      </c>
      <c r="AV145" s="131" t="str">
        <f>IFERROR(AVERAGEIFS(
'STH Efficacy'!$AX:$AX, 
'STH Efficacy'!$AL:$AL, $A145, 
'STH Efficacy'!$AM:$AM, "Albendazole",
'STH Efficacy'!$AS:$AS,"&lt;2016",
'STH Efficacy'!$BP:$BP,""),
"")</f>
        <v/>
      </c>
      <c r="AW145" s="132">
        <f t="shared" si="15"/>
        <v>0.3571666667</v>
      </c>
      <c r="AX145" s="131" t="str">
        <f>IFERROR(AVERAGEIFS(
'STH Efficacy'!$AX:$AX, 
'STH Efficacy'!$AL:$AL, $A145, 
'STH Efficacy'!$AM:$AM, "Mebendazole",
'STH Efficacy'!$AS:$AS,"&lt;2016",
'STH Efficacy'!$BP:$BP,""),
"")</f>
        <v/>
      </c>
      <c r="AY145" s="132">
        <f t="shared" si="16"/>
        <v>0.4155</v>
      </c>
      <c r="AZ145" s="131" t="str">
        <f>IFERROR(AVERAGEIFS(
'STH Efficacy'!$AX:$AX, 
'STH Efficacy'!$AL:$AL, $A145, 
'STH Efficacy'!$AM:$AM, "Albendazole &amp; Ivermectin",
'STH Efficacy'!$AS:$AS,"&lt;2016",
'STH Efficacy'!$BP:$BP,""),
"")</f>
        <v/>
      </c>
      <c r="BA145" s="133">
        <f t="shared" si="17"/>
        <v>0.651</v>
      </c>
      <c r="BB145" s="443" t="str">
        <f>IFERROR(AVERAGEIFS(
'STH Efficacy'!$N:$N, 
'STH Efficacy'!$B:$B, $A145, 
'STH Efficacy'!$C:$C, "Albendazole",
'STH Efficacy'!$I:$I,"&lt;2016",
'STH Efficacy'!$AH:$AH,""),
"")</f>
        <v/>
      </c>
      <c r="BC145" s="135">
        <f t="shared" si="18"/>
        <v>0.5769166667</v>
      </c>
      <c r="BD145" s="443" t="str">
        <f>IFERROR(AVERAGEIFS(
'STH Efficacy'!$N:$N, 
'STH Efficacy'!$B:$B, $A145, 
'STH Efficacy'!$C:$C, "Mebendazole",
'STH Efficacy'!$I:$I,"&lt;2016",
'STH Efficacy'!$AH:$AH,""),
"")</f>
        <v/>
      </c>
      <c r="BE145" s="135">
        <f t="shared" si="19"/>
        <v>0.3145</v>
      </c>
      <c r="BF145" s="436" t="str">
        <f>IFERROR(AVERAGEIFS(
'STH Efficacy'!$CD:$CD, 
'STH Efficacy'!$BS:$BS, $A145, 
'STH Efficacy'!$BT:$BT, "Albendazole",
'STH Efficacy'!$BZ:$BZ,"&lt;2016",
'STH Efficacy'!$CU:$CU,""),
"")</f>
        <v/>
      </c>
      <c r="BG145" s="136">
        <f t="shared" si="20"/>
        <v>0.96925</v>
      </c>
      <c r="BH145" s="436" t="str">
        <f>IFERROR(AVERAGEIFS(
'STH Efficacy'!$CD:$CD, 
'STH Efficacy'!$BS:$BS, $A145, 
'STH Efficacy'!$BT:$BT, "Mebendazole",
'STH Efficacy'!$BZ:$BZ,"&lt;2016",
'STH Efficacy'!$CU:$CU,""),
"")</f>
        <v/>
      </c>
      <c r="BI145" s="136">
        <f t="shared" si="21"/>
        <v>0.9305</v>
      </c>
      <c r="BJ145" s="436" t="str">
        <f>IFERROR(AVERAGEIFS(
'STH Efficacy'!$CD:$CD, 
'STH Efficacy'!$BS:$BS, $A145, 
'STH Efficacy'!$BT:$BT, "Albendazole &amp; Ivermectin",
'STH Efficacy'!$BZ:$BZ,"&lt;2016",
'STH Efficacy'!$CU:$CU,""),
"")</f>
        <v/>
      </c>
      <c r="BK145" s="136">
        <f t="shared" si="22"/>
        <v>0.848</v>
      </c>
      <c r="BL145" s="444" t="str">
        <f>IFERROR(
  AVERAGEIFS(
    'NEW Onchocerciasis Efficacy'!$AO:$AO,
    'NEW Onchocerciasis Efficacy'!$C:$C,$A145,
    'NEW Onchocerciasis Efficacy'!$D:$D,"Ivermectin",
    'NEW Onchocerciasis Efficacy'!$AR:$AR,"&lt;2016",
    'NEW Onchocerciasis Efficacy'!$BG:$BG,"")
,"")</f>
        <v/>
      </c>
      <c r="BM145" s="304">
        <f t="shared" si="23"/>
        <v>0.7808368939</v>
      </c>
      <c r="BN145" s="439">
        <v>0.0</v>
      </c>
      <c r="BO145" s="139">
        <v>0.0</v>
      </c>
      <c r="BP145" s="140">
        <v>0.0</v>
      </c>
      <c r="BQ145" s="141">
        <f t="shared" si="24"/>
        <v>0</v>
      </c>
      <c r="BR145" s="104" t="str">
        <f t="shared" si="25"/>
        <v>0000</v>
      </c>
      <c r="BS145" s="104" t="str">
        <f t="shared" si="26"/>
        <v>no action required</v>
      </c>
      <c r="BT145" s="142" t="str">
        <f t="shared" si="43"/>
        <v/>
      </c>
      <c r="BU145" s="104" t="str">
        <f t="shared" si="28"/>
        <v/>
      </c>
      <c r="BV145" s="104" t="str">
        <f t="shared" si="29"/>
        <v>none</v>
      </c>
      <c r="BW145" s="150" t="str">
        <f t="shared" si="30"/>
        <v/>
      </c>
      <c r="BX145" s="150" t="str">
        <f t="shared" si="31"/>
        <v/>
      </c>
      <c r="BY145" s="151" t="str">
        <f t="shared" si="32"/>
        <v/>
      </c>
      <c r="BZ145" s="152" t="str">
        <f t="shared" si="33"/>
        <v/>
      </c>
      <c r="CA145" s="152" t="str">
        <f t="shared" si="34"/>
        <v/>
      </c>
      <c r="CB145" s="152" t="str">
        <f t="shared" si="35"/>
        <v/>
      </c>
      <c r="CC145" s="153" t="str">
        <f t="shared" si="36"/>
        <v/>
      </c>
      <c r="CD145" s="153" t="str">
        <f t="shared" si="37"/>
        <v/>
      </c>
      <c r="CE145" s="154" t="str">
        <f t="shared" si="38"/>
        <v/>
      </c>
      <c r="CF145" s="154" t="str">
        <f t="shared" si="39"/>
        <v/>
      </c>
      <c r="CG145" s="154" t="str">
        <f t="shared" si="40"/>
        <v/>
      </c>
      <c r="CH145" s="308" t="str">
        <f t="shared" si="41"/>
        <v/>
      </c>
    </row>
    <row r="146">
      <c r="A146" s="103" t="s">
        <v>235</v>
      </c>
      <c r="B146" s="104" t="s">
        <v>90</v>
      </c>
      <c r="C146" s="428">
        <v>5188607.0</v>
      </c>
      <c r="D146" s="161">
        <v>0.0</v>
      </c>
      <c r="E146" s="294">
        <v>0.0</v>
      </c>
      <c r="F146" s="307">
        <v>0.0</v>
      </c>
      <c r="G146" s="309">
        <v>0.0</v>
      </c>
      <c r="H146" s="108">
        <v>0.0</v>
      </c>
      <c r="I146" s="109">
        <v>0.0</v>
      </c>
      <c r="J146" s="109">
        <v>0.0</v>
      </c>
      <c r="K146" s="109">
        <v>0.0</v>
      </c>
      <c r="L146" s="112">
        <v>0.0</v>
      </c>
      <c r="M146" s="112">
        <v>0.0</v>
      </c>
      <c r="N146" s="112">
        <v>0.0</v>
      </c>
      <c r="O146" s="298">
        <v>0.0</v>
      </c>
      <c r="P146" s="114"/>
      <c r="Q146" s="114"/>
      <c r="R146" s="121" t="str">
        <f t="shared" si="4"/>
        <v/>
      </c>
      <c r="S146" s="116">
        <f t="shared" si="5"/>
        <v>0.5709301448</v>
      </c>
      <c r="T146" s="117"/>
      <c r="U146" s="118">
        <f t="shared" si="6"/>
        <v>0.4791888889</v>
      </c>
      <c r="V146" s="148"/>
      <c r="W146" s="120">
        <f t="shared" si="7"/>
        <v>0.0223</v>
      </c>
      <c r="X146" s="148"/>
      <c r="Y146" s="120">
        <f t="shared" si="8"/>
        <v>0.598275</v>
      </c>
      <c r="Z146" s="299"/>
      <c r="AA146" s="441"/>
      <c r="AB146" s="300" t="str">
        <f t="shared" si="9"/>
        <v/>
      </c>
      <c r="AC146" s="300">
        <f t="shared" si="10"/>
        <v>0.6890056172</v>
      </c>
      <c r="AD146" s="122">
        <v>0.0</v>
      </c>
      <c r="AE146" s="123">
        <v>0.0</v>
      </c>
      <c r="AF146" s="430">
        <v>0.0</v>
      </c>
      <c r="AG146" s="316">
        <v>0.0</v>
      </c>
      <c r="AH146" s="316">
        <v>0.0</v>
      </c>
      <c r="AI146" s="317">
        <v>0.0</v>
      </c>
      <c r="AJ146" s="317">
        <v>0.0</v>
      </c>
      <c r="AK146" s="319">
        <v>0.0</v>
      </c>
      <c r="AL146" s="319">
        <v>0.0</v>
      </c>
      <c r="AM146" s="302">
        <v>0.0</v>
      </c>
      <c r="AN146" s="149" t="str">
        <f>IFERROR(
  AVERAGEIFS(
    'New LF Efficacy'!$J:$J,
    'New LF Efficacy'!$D:$D, $A146,
    'New LF Efficacy'!$F:$F,"DEC", 
    'New LF Efficacy'!$W:$W,"&lt;2016",
    'New LF Efficacy'!$AA:$AA,""),
  ""
)</f>
        <v/>
      </c>
      <c r="AO146" s="115">
        <f t="shared" si="11"/>
        <v>0.3573520833</v>
      </c>
      <c r="AP146" s="149" t="str">
        <f>IFERROR(
AVERAGEIFS(
'New LF Efficacy'!$J:$J,
'New LF Efficacy'!$D:$D,$A146,
'New LF Efficacy'!$F:$F,"Albendazole &amp; DEC",
'New LF Efficacy'!$W:$W,"&lt;2016",
'New LF Efficacy'!$AA:$AA,""),
"")
</f>
        <v/>
      </c>
      <c r="AQ146" s="115">
        <f t="shared" si="12"/>
        <v>0.5143541667</v>
      </c>
      <c r="AR146" s="149" t="str">
        <f>IFERROR(
AVERAGEIFS(
'New LF Efficacy'!$J:$J,
'New LF Efficacy'!$D:$D,$A146,
'New LF Efficacy'!$F:$F,"Albendazole &amp; Ivermectin", 
'New LF Efficacy'!$W:$W,"&lt;2016",
'New LF Efficacy'!$AA:$AA,""),"")</f>
        <v/>
      </c>
      <c r="AS146" s="115">
        <f t="shared" si="13"/>
        <v>0.37153125</v>
      </c>
      <c r="AT146" s="442" t="str">
        <f>IFERROR(AVERAGEIFS(
'Schist Efficacy'!$O:$O, 
'Schist Efficacy'!$C:$C,$A146, 
'Schist Efficacy'!$D:$D, "Praziquantel",
'Schist Efficacy'!$J:$J,"&lt;2016",
'Schist Efficacy'!$U:$U,""),
"")</f>
        <v/>
      </c>
      <c r="AU146" s="118">
        <f t="shared" si="14"/>
        <v>0.655</v>
      </c>
      <c r="AV146" s="131" t="str">
        <f>IFERROR(AVERAGEIFS(
'STH Efficacy'!$AX:$AX, 
'STH Efficacy'!$AL:$AL, $A146, 
'STH Efficacy'!$AM:$AM, "Albendazole",
'STH Efficacy'!$AS:$AS,"&lt;2016",
'STH Efficacy'!$BP:$BP,""),
"")</f>
        <v/>
      </c>
      <c r="AW146" s="132">
        <f t="shared" si="15"/>
        <v>0.4143846154</v>
      </c>
      <c r="AX146" s="131" t="str">
        <f>IFERROR(AVERAGEIFS(
'STH Efficacy'!$AX:$AX, 
'STH Efficacy'!$AL:$AL, $A146, 
'STH Efficacy'!$AM:$AM, "Mebendazole",
'STH Efficacy'!$AS:$AS,"&lt;2016",
'STH Efficacy'!$BP:$BP,""),
"")</f>
        <v/>
      </c>
      <c r="AY146" s="132">
        <f t="shared" si="16"/>
        <v>0.4691770833</v>
      </c>
      <c r="AZ146" s="131" t="str">
        <f>IFERROR(AVERAGEIFS(
'STH Efficacy'!$AX:$AX, 
'STH Efficacy'!$AL:$AL, $A146, 
'STH Efficacy'!$AM:$AM, "Albendazole &amp; Ivermectin",
'STH Efficacy'!$AS:$AS,"&lt;2016",
'STH Efficacy'!$BP:$BP,""),
"")</f>
        <v/>
      </c>
      <c r="BA146" s="133">
        <f t="shared" si="17"/>
        <v>0.597625</v>
      </c>
      <c r="BB146" s="443" t="str">
        <f>IFERROR(AVERAGEIFS(
'STH Efficacy'!$N:$N, 
'STH Efficacy'!$B:$B, $A146, 
'STH Efficacy'!$C:$C, "Albendazole",
'STH Efficacy'!$I:$I,"&lt;2016",
'STH Efficacy'!$AH:$AH,""),
"")</f>
        <v/>
      </c>
      <c r="BC146" s="135">
        <f t="shared" si="18"/>
        <v>0.7613712121</v>
      </c>
      <c r="BD146" s="443" t="str">
        <f>IFERROR(AVERAGEIFS(
'STH Efficacy'!$N:$N, 
'STH Efficacy'!$B:$B, $A146, 
'STH Efficacy'!$C:$C, "Mebendazole",
'STH Efficacy'!$I:$I,"&lt;2016",
'STH Efficacy'!$AH:$AH,""),
"")</f>
        <v/>
      </c>
      <c r="BE146" s="135">
        <f t="shared" si="19"/>
        <v>0.4362466667</v>
      </c>
      <c r="BF146" s="436" t="str">
        <f>IFERROR(AVERAGEIFS(
'STH Efficacy'!$CD:$CD, 
'STH Efficacy'!$BS:$BS, $A146, 
'STH Efficacy'!$BT:$BT, "Albendazole",
'STH Efficacy'!$BZ:$BZ,"&lt;2016",
'STH Efficacy'!$CU:$CU,""),
"")</f>
        <v/>
      </c>
      <c r="BG146" s="136">
        <f t="shared" si="20"/>
        <v>0.9216027778</v>
      </c>
      <c r="BH146" s="436" t="str">
        <f>IFERROR(AVERAGEIFS(
'STH Efficacy'!$CD:$CD, 
'STH Efficacy'!$BS:$BS, $A146, 
'STH Efficacy'!$BT:$BT, "Mebendazole",
'STH Efficacy'!$BZ:$BZ,"&lt;2016",
'STH Efficacy'!$CU:$CU,""),
"")</f>
        <v/>
      </c>
      <c r="BI146" s="136">
        <f t="shared" si="21"/>
        <v>0.8866041667</v>
      </c>
      <c r="BJ146" s="436" t="str">
        <f>IFERROR(AVERAGEIFS(
'STH Efficacy'!$CD:$CD, 
'STH Efficacy'!$BS:$BS, $A146, 
'STH Efficacy'!$BT:$BT, "Albendazole &amp; Ivermectin",
'STH Efficacy'!$BZ:$BZ,"&lt;2016",
'STH Efficacy'!$CU:$CU,""),
"")</f>
        <v/>
      </c>
      <c r="BK146" s="136">
        <f t="shared" si="22"/>
        <v>0.848</v>
      </c>
      <c r="BL146" s="444" t="str">
        <f>IFERROR(
  AVERAGEIFS(
    'NEW Onchocerciasis Efficacy'!$AO:$AO,
    'NEW Onchocerciasis Efficacy'!$C:$C,$A146,
    'NEW Onchocerciasis Efficacy'!$D:$D,"Ivermectin",
    'NEW Onchocerciasis Efficacy'!$AR:$AR,"&lt;2016",
    'NEW Onchocerciasis Efficacy'!$BG:$BG,"")
,"")</f>
        <v/>
      </c>
      <c r="BM146" s="304">
        <f t="shared" si="23"/>
        <v>0.7808368939</v>
      </c>
      <c r="BN146" s="439">
        <v>0.0</v>
      </c>
      <c r="BO146" s="139">
        <v>0.0</v>
      </c>
      <c r="BP146" s="140">
        <v>0.0</v>
      </c>
      <c r="BQ146" s="141">
        <f t="shared" si="24"/>
        <v>0</v>
      </c>
      <c r="BR146" s="104" t="str">
        <f t="shared" si="25"/>
        <v>0000</v>
      </c>
      <c r="BS146" s="104" t="str">
        <f t="shared" si="26"/>
        <v>no action required</v>
      </c>
      <c r="BT146" s="142" t="str">
        <f t="shared" si="43"/>
        <v/>
      </c>
      <c r="BU146" s="104" t="str">
        <f t="shared" si="28"/>
        <v/>
      </c>
      <c r="BV146" s="104" t="str">
        <f t="shared" si="29"/>
        <v>none</v>
      </c>
      <c r="BW146" s="150" t="str">
        <f t="shared" si="30"/>
        <v/>
      </c>
      <c r="BX146" s="150" t="str">
        <f t="shared" si="31"/>
        <v/>
      </c>
      <c r="BY146" s="151" t="str">
        <f t="shared" si="32"/>
        <v/>
      </c>
      <c r="BZ146" s="152" t="str">
        <f t="shared" si="33"/>
        <v/>
      </c>
      <c r="CA146" s="152" t="str">
        <f t="shared" si="34"/>
        <v/>
      </c>
      <c r="CB146" s="152" t="str">
        <f t="shared" si="35"/>
        <v/>
      </c>
      <c r="CC146" s="153" t="str">
        <f t="shared" si="36"/>
        <v/>
      </c>
      <c r="CD146" s="153" t="str">
        <f t="shared" si="37"/>
        <v/>
      </c>
      <c r="CE146" s="154" t="str">
        <f t="shared" si="38"/>
        <v/>
      </c>
      <c r="CF146" s="154" t="str">
        <f t="shared" si="39"/>
        <v/>
      </c>
      <c r="CG146" s="154" t="str">
        <f t="shared" si="40"/>
        <v/>
      </c>
      <c r="CH146" s="308" t="str">
        <f t="shared" si="41"/>
        <v/>
      </c>
    </row>
    <row r="147">
      <c r="A147" s="103" t="s">
        <v>236</v>
      </c>
      <c r="B147" s="104" t="s">
        <v>88</v>
      </c>
      <c r="C147" s="428">
        <v>4199810.0</v>
      </c>
      <c r="D147" s="161">
        <v>0.0</v>
      </c>
      <c r="E147" s="294">
        <v>118.3007852</v>
      </c>
      <c r="F147" s="470">
        <v>2.25447E-5</v>
      </c>
      <c r="G147" s="295">
        <v>1.20577E-4</v>
      </c>
      <c r="H147" s="108">
        <v>1.43122E-4</v>
      </c>
      <c r="I147" s="109">
        <v>0.02439297</v>
      </c>
      <c r="J147" s="109">
        <v>0.01484443</v>
      </c>
      <c r="K147" s="109">
        <v>0.039237395</v>
      </c>
      <c r="L147" s="112">
        <v>0.736038508</v>
      </c>
      <c r="M147" s="112">
        <v>0.217934234</v>
      </c>
      <c r="N147" s="112">
        <v>0.953972742</v>
      </c>
      <c r="O147" s="298">
        <v>0.0</v>
      </c>
      <c r="P147" s="114"/>
      <c r="Q147" s="114"/>
      <c r="R147" s="121" t="str">
        <f t="shared" si="4"/>
        <v/>
      </c>
      <c r="S147" s="116">
        <f t="shared" si="5"/>
        <v>0.5709301448</v>
      </c>
      <c r="T147" s="448"/>
      <c r="U147" s="449">
        <f t="shared" si="6"/>
        <v>0.739</v>
      </c>
      <c r="V147" s="148"/>
      <c r="W147" s="120">
        <f t="shared" si="7"/>
        <v>0.9933333333</v>
      </c>
      <c r="X147" s="148"/>
      <c r="Y147" s="120">
        <f t="shared" si="8"/>
        <v>0.5301</v>
      </c>
      <c r="Z147" s="299"/>
      <c r="AA147" s="441"/>
      <c r="AB147" s="300" t="str">
        <f t="shared" si="9"/>
        <v/>
      </c>
      <c r="AC147" s="300">
        <f t="shared" si="10"/>
        <v>0.4014082288</v>
      </c>
      <c r="AD147" s="122">
        <v>0.0</v>
      </c>
      <c r="AE147" s="123">
        <v>0.0</v>
      </c>
      <c r="AF147" s="430">
        <v>3.0E-4</v>
      </c>
      <c r="AG147" s="124">
        <v>0.0036</v>
      </c>
      <c r="AH147" s="124">
        <v>0.005551436</v>
      </c>
      <c r="AI147" s="125">
        <v>0.0</v>
      </c>
      <c r="AJ147" s="125">
        <v>1.16025E-5</v>
      </c>
      <c r="AK147" s="127">
        <v>0.0018</v>
      </c>
      <c r="AL147" s="127">
        <v>0.002753755</v>
      </c>
      <c r="AM147" s="302">
        <v>0.0</v>
      </c>
      <c r="AN147" s="149" t="str">
        <f>IFERROR(
  AVERAGEIFS(
    'New LF Efficacy'!$J:$J,
    'New LF Efficacy'!$D:$D, $A147,
    'New LF Efficacy'!$F:$F,"DEC", 
    'New LF Efficacy'!$W:$W,"&lt;2016",
    'New LF Efficacy'!$AA:$AA,""),
  ""
)</f>
        <v/>
      </c>
      <c r="AO147" s="115">
        <f t="shared" si="11"/>
        <v>0.3573520833</v>
      </c>
      <c r="AP147" s="149" t="str">
        <f>IFERROR(
AVERAGEIFS(
'New LF Efficacy'!$J:$J,
'New LF Efficacy'!$D:$D,$A147,
'New LF Efficacy'!$F:$F,"Albendazole &amp; DEC",
'New LF Efficacy'!$W:$W,"&lt;2016",
'New LF Efficacy'!$AA:$AA,""),
"")
</f>
        <v/>
      </c>
      <c r="AQ147" s="115">
        <f t="shared" si="12"/>
        <v>0.7935</v>
      </c>
      <c r="AR147" s="149" t="str">
        <f>IFERROR(
AVERAGEIFS(
'New LF Efficacy'!$J:$J,
'New LF Efficacy'!$D:$D,$A147,
'New LF Efficacy'!$F:$F,"Albendazole &amp; Ivermectin", 
'New LF Efficacy'!$W:$W,"&lt;2016",
'New LF Efficacy'!$AA:$AA,""),"")</f>
        <v/>
      </c>
      <c r="AS147" s="115">
        <f t="shared" si="13"/>
        <v>0.37153125</v>
      </c>
      <c r="AT147" s="442" t="str">
        <f>IFERROR(AVERAGEIFS(
'Schist Efficacy'!$O:$O, 
'Schist Efficacy'!$C:$C,$A147, 
'Schist Efficacy'!$D:$D, "Praziquantel",
'Schist Efficacy'!$J:$J,"&lt;2016",
'Schist Efficacy'!$U:$U,""),
"")</f>
        <v/>
      </c>
      <c r="AU147" s="118">
        <f t="shared" si="14"/>
        <v>0.7763141026</v>
      </c>
      <c r="AV147" s="131" t="str">
        <f>IFERROR(AVERAGEIFS(
'STH Efficacy'!$AX:$AX, 
'STH Efficacy'!$AL:$AL, $A147, 
'STH Efficacy'!$AM:$AM, "Albendazole",
'STH Efficacy'!$AS:$AS,"&lt;2016",
'STH Efficacy'!$BP:$BP,""),
"")</f>
        <v/>
      </c>
      <c r="AW147" s="132">
        <f t="shared" si="15"/>
        <v>0.4143846154</v>
      </c>
      <c r="AX147" s="131" t="str">
        <f>IFERROR(AVERAGEIFS(
'STH Efficacy'!$AX:$AX, 
'STH Efficacy'!$AL:$AL, $A147, 
'STH Efficacy'!$AM:$AM, "Mebendazole",
'STH Efficacy'!$AS:$AS,"&lt;2016",
'STH Efficacy'!$BP:$BP,""),
"")</f>
        <v/>
      </c>
      <c r="AY147" s="132">
        <f t="shared" si="16"/>
        <v>0.4691770833</v>
      </c>
      <c r="AZ147" s="131" t="str">
        <f>IFERROR(AVERAGEIFS(
'STH Efficacy'!$AX:$AX, 
'STH Efficacy'!$AL:$AL, $A147, 
'STH Efficacy'!$AM:$AM, "Albendazole &amp; Ivermectin",
'STH Efficacy'!$AS:$AS,"&lt;2016",
'STH Efficacy'!$BP:$BP,""),
"")</f>
        <v/>
      </c>
      <c r="BA147" s="133">
        <f t="shared" si="17"/>
        <v>0.597625</v>
      </c>
      <c r="BB147" s="443" t="str">
        <f>IFERROR(AVERAGEIFS(
'STH Efficacy'!$N:$N, 
'STH Efficacy'!$B:$B, $A147, 
'STH Efficacy'!$C:$C, "Albendazole",
'STH Efficacy'!$I:$I,"&lt;2016",
'STH Efficacy'!$AH:$AH,""),
"")</f>
        <v/>
      </c>
      <c r="BC147" s="135">
        <f t="shared" si="18"/>
        <v>0.7613712121</v>
      </c>
      <c r="BD147" s="443" t="str">
        <f>IFERROR(AVERAGEIFS(
'STH Efficacy'!$N:$N, 
'STH Efficacy'!$B:$B, $A147, 
'STH Efficacy'!$C:$C, "Mebendazole",
'STH Efficacy'!$I:$I,"&lt;2016",
'STH Efficacy'!$AH:$AH,""),
"")</f>
        <v/>
      </c>
      <c r="BE147" s="135">
        <f t="shared" si="19"/>
        <v>0.4362466667</v>
      </c>
      <c r="BF147" s="436" t="str">
        <f>IFERROR(AVERAGEIFS(
'STH Efficacy'!$CD:$CD, 
'STH Efficacy'!$BS:$BS, $A147, 
'STH Efficacy'!$BT:$BT, "Albendazole",
'STH Efficacy'!$BZ:$BZ,"&lt;2016",
'STH Efficacy'!$CU:$CU,""),
"")</f>
        <v/>
      </c>
      <c r="BG147" s="136">
        <f t="shared" si="20"/>
        <v>0.955</v>
      </c>
      <c r="BH147" s="436" t="str">
        <f>IFERROR(AVERAGEIFS(
'STH Efficacy'!$CD:$CD, 
'STH Efficacy'!$BS:$BS, $A147, 
'STH Efficacy'!$BT:$BT, "Mebendazole",
'STH Efficacy'!$BZ:$BZ,"&lt;2016",
'STH Efficacy'!$CU:$CU,""),
"")</f>
        <v/>
      </c>
      <c r="BI147" s="136">
        <f t="shared" si="21"/>
        <v>1</v>
      </c>
      <c r="BJ147" s="436" t="str">
        <f>IFERROR(AVERAGEIFS(
'STH Efficacy'!$CD:$CD, 
'STH Efficacy'!$BS:$BS, $A147, 
'STH Efficacy'!$BT:$BT, "Albendazole &amp; Ivermectin",
'STH Efficacy'!$BZ:$BZ,"&lt;2016",
'STH Efficacy'!$CU:$CU,""),
"")</f>
        <v/>
      </c>
      <c r="BK147" s="136">
        <f t="shared" si="22"/>
        <v>0.848</v>
      </c>
      <c r="BL147" s="444" t="str">
        <f>IFERROR(
  AVERAGEIFS(
    'NEW Onchocerciasis Efficacy'!$AO:$AO,
    'NEW Onchocerciasis Efficacy'!$C:$C,$A147,
    'NEW Onchocerciasis Efficacy'!$D:$D,"Ivermectin",
    'NEW Onchocerciasis Efficacy'!$AR:$AR,"&lt;2016",
    'NEW Onchocerciasis Efficacy'!$BG:$BG,"")
,"")</f>
        <v/>
      </c>
      <c r="BM147" s="304">
        <f t="shared" si="23"/>
        <v>0.7808368939</v>
      </c>
      <c r="BN147" s="439">
        <v>0.0</v>
      </c>
      <c r="BO147" s="139">
        <v>0.0</v>
      </c>
      <c r="BP147" s="140">
        <v>0.0</v>
      </c>
      <c r="BQ147" s="141">
        <f t="shared" si="24"/>
        <v>0</v>
      </c>
      <c r="BR147" s="104" t="str">
        <f t="shared" si="25"/>
        <v>0000</v>
      </c>
      <c r="BS147" s="104" t="str">
        <f t="shared" si="26"/>
        <v>no action required</v>
      </c>
      <c r="BT147" s="142" t="str">
        <f t="shared" si="43"/>
        <v/>
      </c>
      <c r="BU147" s="104" t="str">
        <f t="shared" si="28"/>
        <v/>
      </c>
      <c r="BV147" s="104" t="str">
        <f t="shared" si="29"/>
        <v>none</v>
      </c>
      <c r="BW147" s="150" t="str">
        <f t="shared" si="30"/>
        <v/>
      </c>
      <c r="BX147" s="150" t="str">
        <f t="shared" si="31"/>
        <v/>
      </c>
      <c r="BY147" s="151" t="str">
        <f t="shared" si="32"/>
        <v/>
      </c>
      <c r="BZ147" s="152" t="str">
        <f t="shared" si="33"/>
        <v/>
      </c>
      <c r="CA147" s="152" t="str">
        <f t="shared" si="34"/>
        <v/>
      </c>
      <c r="CB147" s="152" t="str">
        <f t="shared" si="35"/>
        <v/>
      </c>
      <c r="CC147" s="153" t="str">
        <f t="shared" si="36"/>
        <v/>
      </c>
      <c r="CD147" s="153" t="str">
        <f t="shared" si="37"/>
        <v/>
      </c>
      <c r="CE147" s="154" t="str">
        <f t="shared" si="38"/>
        <v/>
      </c>
      <c r="CF147" s="154" t="str">
        <f t="shared" si="39"/>
        <v/>
      </c>
      <c r="CG147" s="154" t="str">
        <f t="shared" si="40"/>
        <v/>
      </c>
      <c r="CH147" s="308" t="str">
        <f t="shared" si="41"/>
        <v/>
      </c>
    </row>
    <row r="148">
      <c r="A148" s="103" t="s">
        <v>237</v>
      </c>
      <c r="B148" s="104" t="s">
        <v>88</v>
      </c>
      <c r="C148" s="428">
        <v>1.89380513E8</v>
      </c>
      <c r="D148" s="161">
        <v>0.0</v>
      </c>
      <c r="E148" s="294">
        <v>0.0</v>
      </c>
      <c r="F148" s="295">
        <v>5.962058021</v>
      </c>
      <c r="G148" s="295">
        <v>23.78178746</v>
      </c>
      <c r="H148" s="108">
        <v>29.74384549</v>
      </c>
      <c r="I148" s="109">
        <v>481.88478</v>
      </c>
      <c r="J148" s="110">
        <v>1018.04714</v>
      </c>
      <c r="K148" s="110">
        <v>1499.931916</v>
      </c>
      <c r="L148" s="111">
        <v>5445.709754</v>
      </c>
      <c r="M148" s="111">
        <v>11852.00769</v>
      </c>
      <c r="N148" s="112">
        <v>17297.71745</v>
      </c>
      <c r="O148" s="298">
        <v>0.0</v>
      </c>
      <c r="P148" s="114"/>
      <c r="Q148" s="114"/>
      <c r="R148" s="121" t="str">
        <f t="shared" si="4"/>
        <v/>
      </c>
      <c r="S148" s="116">
        <f t="shared" si="5"/>
        <v>0.5709301448</v>
      </c>
      <c r="T148" s="117"/>
      <c r="U148" s="118">
        <f t="shared" si="6"/>
        <v>0.739</v>
      </c>
      <c r="V148" s="119">
        <v>0.98</v>
      </c>
      <c r="W148" s="120">
        <f t="shared" si="7"/>
        <v>0.98</v>
      </c>
      <c r="X148" s="148"/>
      <c r="Y148" s="120">
        <f t="shared" si="8"/>
        <v>0.5301</v>
      </c>
      <c r="Z148" s="299"/>
      <c r="AA148" s="441"/>
      <c r="AB148" s="300" t="str">
        <f t="shared" si="9"/>
        <v/>
      </c>
      <c r="AC148" s="300">
        <f t="shared" si="10"/>
        <v>0.4014082288</v>
      </c>
      <c r="AD148" s="122">
        <v>0.0</v>
      </c>
      <c r="AE148" s="123">
        <v>0.0</v>
      </c>
      <c r="AF148" s="430">
        <v>0.0</v>
      </c>
      <c r="AG148" s="124">
        <v>0.0</v>
      </c>
      <c r="AH148" s="124">
        <v>0.00693746</v>
      </c>
      <c r="AI148" s="125">
        <v>0.0</v>
      </c>
      <c r="AJ148" s="125">
        <v>0.005985623</v>
      </c>
      <c r="AK148" s="127">
        <v>0.0</v>
      </c>
      <c r="AL148" s="127">
        <v>0.090554427</v>
      </c>
      <c r="AM148" s="302">
        <v>0.0</v>
      </c>
      <c r="AN148" s="149" t="str">
        <f>IFERROR(
  AVERAGEIFS(
    'New LF Efficacy'!$J:$J,
    'New LF Efficacy'!$D:$D, $A148,
    'New LF Efficacy'!$F:$F,"DEC", 
    'New LF Efficacy'!$W:$W,"&lt;2016",
    'New LF Efficacy'!$AA:$AA,""),
  ""
)</f>
        <v/>
      </c>
      <c r="AO148" s="115">
        <f t="shared" si="11"/>
        <v>0.3573520833</v>
      </c>
      <c r="AP148" s="149" t="str">
        <f>IFERROR(
AVERAGEIFS(
'New LF Efficacy'!$J:$J,
'New LF Efficacy'!$D:$D,$A148,
'New LF Efficacy'!$F:$F,"Albendazole &amp; DEC",
'New LF Efficacy'!$W:$W,"&lt;2016",
'New LF Efficacy'!$AA:$AA,""),
"")
</f>
        <v/>
      </c>
      <c r="AQ148" s="115">
        <f t="shared" si="12"/>
        <v>0.7935</v>
      </c>
      <c r="AR148" s="149" t="str">
        <f>IFERROR(
AVERAGEIFS(
'New LF Efficacy'!$J:$J,
'New LF Efficacy'!$D:$D,$A148,
'New LF Efficacy'!$F:$F,"Albendazole &amp; Ivermectin", 
'New LF Efficacy'!$W:$W,"&lt;2016",
'New LF Efficacy'!$AA:$AA,""),"")</f>
        <v/>
      </c>
      <c r="AS148" s="115">
        <f t="shared" si="13"/>
        <v>0.37153125</v>
      </c>
      <c r="AT148" s="442" t="str">
        <f>IFERROR(AVERAGEIFS(
'Schist Efficacy'!$O:$O, 
'Schist Efficacy'!$C:$C,$A148, 
'Schist Efficacy'!$D:$D, "Praziquantel",
'Schist Efficacy'!$J:$J,"&lt;2016",
'Schist Efficacy'!$U:$U,""),
"")</f>
        <v/>
      </c>
      <c r="AU148" s="118">
        <f t="shared" si="14"/>
        <v>0.7763141026</v>
      </c>
      <c r="AV148" s="131" t="str">
        <f>IFERROR(AVERAGEIFS(
'STH Efficacy'!$AX:$AX, 
'STH Efficacy'!$AL:$AL, $A148, 
'STH Efficacy'!$AM:$AM, "Albendazole",
'STH Efficacy'!$AS:$AS,"&lt;2016",
'STH Efficacy'!$BP:$BP,""),
"")</f>
        <v/>
      </c>
      <c r="AW148" s="132">
        <f t="shared" si="15"/>
        <v>0.4143846154</v>
      </c>
      <c r="AX148" s="131" t="str">
        <f>IFERROR(AVERAGEIFS(
'STH Efficacy'!$AX:$AX, 
'STH Efficacy'!$AL:$AL, $A148, 
'STH Efficacy'!$AM:$AM, "Mebendazole",
'STH Efficacy'!$AS:$AS,"&lt;2016",
'STH Efficacy'!$BP:$BP,""),
"")</f>
        <v/>
      </c>
      <c r="AY148" s="132">
        <f t="shared" si="16"/>
        <v>0.4691770833</v>
      </c>
      <c r="AZ148" s="131" t="str">
        <f>IFERROR(AVERAGEIFS(
'STH Efficacy'!$AX:$AX, 
'STH Efficacy'!$AL:$AL, $A148, 
'STH Efficacy'!$AM:$AM, "Albendazole &amp; Ivermectin",
'STH Efficacy'!$AS:$AS,"&lt;2016",
'STH Efficacy'!$BP:$BP,""),
"")</f>
        <v/>
      </c>
      <c r="BA148" s="133">
        <f t="shared" si="17"/>
        <v>0.597625</v>
      </c>
      <c r="BB148" s="443" t="str">
        <f>IFERROR(AVERAGEIFS(
'STH Efficacy'!$N:$N, 
'STH Efficacy'!$B:$B, $A148, 
'STH Efficacy'!$C:$C, "Albendazole",
'STH Efficacy'!$I:$I,"&lt;2016",
'STH Efficacy'!$AH:$AH,""),
"")</f>
        <v/>
      </c>
      <c r="BC148" s="135">
        <f t="shared" si="18"/>
        <v>0.7613712121</v>
      </c>
      <c r="BD148" s="443" t="str">
        <f>IFERROR(AVERAGEIFS(
'STH Efficacy'!$N:$N, 
'STH Efficacy'!$B:$B, $A148, 
'STH Efficacy'!$C:$C, "Mebendazole",
'STH Efficacy'!$I:$I,"&lt;2016",
'STH Efficacy'!$AH:$AH,""),
"")</f>
        <v/>
      </c>
      <c r="BE148" s="135">
        <f t="shared" si="19"/>
        <v>0.4362466667</v>
      </c>
      <c r="BF148" s="436" t="str">
        <f>IFERROR(AVERAGEIFS(
'STH Efficacy'!$CD:$CD, 
'STH Efficacy'!$BS:$BS, $A148, 
'STH Efficacy'!$BT:$BT, "Albendazole",
'STH Efficacy'!$BZ:$BZ,"&lt;2016",
'STH Efficacy'!$CU:$CU,""),
"")</f>
        <v/>
      </c>
      <c r="BG148" s="136">
        <f t="shared" si="20"/>
        <v>0.955</v>
      </c>
      <c r="BH148" s="436">
        <f>IFERROR(AVERAGEIFS(
'STH Efficacy'!$CD:$CD, 
'STH Efficacy'!$BS:$BS, $A148, 
'STH Efficacy'!$BT:$BT, "Mebendazole",
'STH Efficacy'!$BZ:$BZ,"&lt;2016",
'STH Efficacy'!$CU:$CU,""),
"")</f>
        <v>1</v>
      </c>
      <c r="BI148" s="136">
        <f t="shared" si="21"/>
        <v>1</v>
      </c>
      <c r="BJ148" s="436" t="str">
        <f>IFERROR(AVERAGEIFS(
'STH Efficacy'!$CD:$CD, 
'STH Efficacy'!$BS:$BS, $A148, 
'STH Efficacy'!$BT:$BT, "Albendazole &amp; Ivermectin",
'STH Efficacy'!$BZ:$BZ,"&lt;2016",
'STH Efficacy'!$CU:$CU,""),
"")</f>
        <v/>
      </c>
      <c r="BK148" s="136">
        <f t="shared" si="22"/>
        <v>0.848</v>
      </c>
      <c r="BL148" s="444" t="str">
        <f>IFERROR(
  AVERAGEIFS(
    'NEW Onchocerciasis Efficacy'!$AO:$AO,
    'NEW Onchocerciasis Efficacy'!$C:$C,$A148,
    'NEW Onchocerciasis Efficacy'!$D:$D,"Ivermectin",
    'NEW Onchocerciasis Efficacy'!$AR:$AR,"&lt;2016",
    'NEW Onchocerciasis Efficacy'!$BG:$BG,"")
,"")</f>
        <v/>
      </c>
      <c r="BM148" s="304">
        <f t="shared" si="23"/>
        <v>0.7808368939</v>
      </c>
      <c r="BN148" s="439">
        <v>0.0</v>
      </c>
      <c r="BO148" s="139">
        <v>0.0</v>
      </c>
      <c r="BP148" s="140">
        <v>0.0</v>
      </c>
      <c r="BQ148" s="141">
        <f t="shared" si="24"/>
        <v>0</v>
      </c>
      <c r="BR148" s="104" t="str">
        <f t="shared" si="25"/>
        <v>0000</v>
      </c>
      <c r="BS148" s="104" t="str">
        <f t="shared" si="26"/>
        <v>no action required</v>
      </c>
      <c r="BT148" s="142" t="str">
        <f t="shared" si="43"/>
        <v/>
      </c>
      <c r="BU148" s="104" t="str">
        <f t="shared" si="28"/>
        <v/>
      </c>
      <c r="BV148" s="104" t="str">
        <f t="shared" si="29"/>
        <v>none</v>
      </c>
      <c r="BW148" s="150" t="str">
        <f t="shared" si="30"/>
        <v/>
      </c>
      <c r="BX148" s="150" t="str">
        <f t="shared" si="31"/>
        <v/>
      </c>
      <c r="BY148" s="151" t="str">
        <f t="shared" si="32"/>
        <v/>
      </c>
      <c r="BZ148" s="152" t="str">
        <f t="shared" si="33"/>
        <v/>
      </c>
      <c r="CA148" s="152" t="str">
        <f t="shared" si="34"/>
        <v/>
      </c>
      <c r="CB148" s="152" t="str">
        <f t="shared" si="35"/>
        <v/>
      </c>
      <c r="CC148" s="153" t="str">
        <f t="shared" si="36"/>
        <v/>
      </c>
      <c r="CD148" s="153" t="str">
        <f t="shared" si="37"/>
        <v/>
      </c>
      <c r="CE148" s="154" t="str">
        <f t="shared" si="38"/>
        <v/>
      </c>
      <c r="CF148" s="154" t="str">
        <f t="shared" si="39"/>
        <v/>
      </c>
      <c r="CG148" s="154" t="str">
        <f t="shared" si="40"/>
        <v/>
      </c>
      <c r="CH148" s="308" t="str">
        <f t="shared" si="41"/>
        <v/>
      </c>
    </row>
    <row r="149">
      <c r="A149" s="103" t="s">
        <v>238</v>
      </c>
      <c r="B149" s="104" t="s">
        <v>94</v>
      </c>
      <c r="C149" s="428">
        <v>21288.0</v>
      </c>
      <c r="D149" s="161">
        <v>0.0</v>
      </c>
      <c r="E149" s="294">
        <v>0.0</v>
      </c>
      <c r="F149" s="163"/>
      <c r="G149" s="325"/>
      <c r="H149" s="108">
        <v>0.0</v>
      </c>
      <c r="I149" s="109">
        <v>0.0</v>
      </c>
      <c r="J149" s="109">
        <v>0.0</v>
      </c>
      <c r="K149" s="109">
        <v>0.0</v>
      </c>
      <c r="L149" s="113"/>
      <c r="M149" s="113"/>
      <c r="N149" s="112">
        <v>0.0</v>
      </c>
      <c r="O149" s="298">
        <v>0.0</v>
      </c>
      <c r="P149" s="156"/>
      <c r="Q149" s="156"/>
      <c r="R149" s="121" t="str">
        <f t="shared" si="4"/>
        <v/>
      </c>
      <c r="S149" s="116">
        <f t="shared" si="5"/>
        <v>0.3783554476</v>
      </c>
      <c r="T149" s="117"/>
      <c r="U149" s="118">
        <f t="shared" si="6"/>
        <v>0.73965</v>
      </c>
      <c r="V149" s="148"/>
      <c r="W149" s="120">
        <f t="shared" si="7"/>
        <v>0.6141272727</v>
      </c>
      <c r="X149" s="148"/>
      <c r="Y149" s="120">
        <f t="shared" si="8"/>
        <v>0.6018090909</v>
      </c>
      <c r="Z149" s="299"/>
      <c r="AA149" s="441"/>
      <c r="AB149" s="300" t="str">
        <f t="shared" si="9"/>
        <v/>
      </c>
      <c r="AC149" s="300">
        <f t="shared" si="10"/>
        <v>0.6890056172</v>
      </c>
      <c r="AD149" s="314">
        <v>0.0</v>
      </c>
      <c r="AE149" s="315">
        <v>0.0</v>
      </c>
      <c r="AF149" s="445">
        <v>0.0</v>
      </c>
      <c r="AG149" s="316">
        <v>0.0</v>
      </c>
      <c r="AH149" s="307">
        <v>0.0</v>
      </c>
      <c r="AI149" s="317">
        <v>0.0</v>
      </c>
      <c r="AJ149" s="318">
        <v>0.0</v>
      </c>
      <c r="AK149" s="319">
        <v>0.0</v>
      </c>
      <c r="AL149" s="446">
        <v>0.0</v>
      </c>
      <c r="AM149" s="320">
        <v>0.0</v>
      </c>
      <c r="AN149" s="149" t="str">
        <f>IFERROR(
  AVERAGEIFS(
    'New LF Efficacy'!$J:$J,
    'New LF Efficacy'!$D:$D, $A149,
    'New LF Efficacy'!$F:$F,"DEC", 
    'New LF Efficacy'!$W:$W,"&lt;2016",
    'New LF Efficacy'!$AA:$AA,""),
  ""
)</f>
        <v/>
      </c>
      <c r="AO149" s="115">
        <f t="shared" si="11"/>
        <v>0.38</v>
      </c>
      <c r="AP149" s="149" t="str">
        <f>IFERROR(
AVERAGEIFS(
'New LF Efficacy'!$J:$J,
'New LF Efficacy'!$D:$D,$A149,
'New LF Efficacy'!$F:$F,"Albendazole &amp; DEC",
'New LF Efficacy'!$W:$W,"&lt;2016",
'New LF Efficacy'!$AA:$AA,""),
"")
</f>
        <v/>
      </c>
      <c r="AQ149" s="115">
        <f t="shared" si="12"/>
        <v>0.662</v>
      </c>
      <c r="AR149" s="149" t="str">
        <f>IFERROR(
AVERAGEIFS(
'New LF Efficacy'!$J:$J,
'New LF Efficacy'!$D:$D,$A149,
'New LF Efficacy'!$F:$F,"Albendazole &amp; Ivermectin", 
'New LF Efficacy'!$W:$W,"&lt;2016",
'New LF Efficacy'!$AA:$AA,""),"")</f>
        <v/>
      </c>
      <c r="AS149" s="115">
        <f t="shared" si="13"/>
        <v>0.37153125</v>
      </c>
      <c r="AT149" s="442" t="str">
        <f>IFERROR(AVERAGEIFS(
'Schist Efficacy'!$O:$O, 
'Schist Efficacy'!$C:$C,$A149, 
'Schist Efficacy'!$D:$D, "Praziquantel",
'Schist Efficacy'!$J:$J,"&lt;2016",
'Schist Efficacy'!$U:$U,""),
"")</f>
        <v/>
      </c>
      <c r="AU149" s="118">
        <f t="shared" si="14"/>
        <v>0.9475</v>
      </c>
      <c r="AV149" s="131" t="str">
        <f>IFERROR(AVERAGEIFS(
'STH Efficacy'!$AX:$AX, 
'STH Efficacy'!$AL:$AL, $A149, 
'STH Efficacy'!$AM:$AM, "Albendazole",
'STH Efficacy'!$AS:$AS,"&lt;2016",
'STH Efficacy'!$BP:$BP,""),
"")</f>
        <v/>
      </c>
      <c r="AW149" s="132">
        <f t="shared" si="15"/>
        <v>0.3571666667</v>
      </c>
      <c r="AX149" s="131" t="str">
        <f>IFERROR(AVERAGEIFS(
'STH Efficacy'!$AX:$AX, 
'STH Efficacy'!$AL:$AL, $A149, 
'STH Efficacy'!$AM:$AM, "Mebendazole",
'STH Efficacy'!$AS:$AS,"&lt;2016",
'STH Efficacy'!$BP:$BP,""),
"")</f>
        <v/>
      </c>
      <c r="AY149" s="132">
        <f t="shared" si="16"/>
        <v>0.4155</v>
      </c>
      <c r="AZ149" s="131" t="str">
        <f>IFERROR(AVERAGEIFS(
'STH Efficacy'!$AX:$AX, 
'STH Efficacy'!$AL:$AL, $A149, 
'STH Efficacy'!$AM:$AM, "Albendazole &amp; Ivermectin",
'STH Efficacy'!$AS:$AS,"&lt;2016",
'STH Efficacy'!$BP:$BP,""),
"")</f>
        <v/>
      </c>
      <c r="BA149" s="133">
        <f t="shared" si="17"/>
        <v>0.651</v>
      </c>
      <c r="BB149" s="443" t="str">
        <f>IFERROR(AVERAGEIFS(
'STH Efficacy'!$N:$N, 
'STH Efficacy'!$B:$B, $A149, 
'STH Efficacy'!$C:$C, "Albendazole",
'STH Efficacy'!$I:$I,"&lt;2016",
'STH Efficacy'!$AH:$AH,""),
"")</f>
        <v/>
      </c>
      <c r="BC149" s="135">
        <f t="shared" si="18"/>
        <v>0.5769166667</v>
      </c>
      <c r="BD149" s="443" t="str">
        <f>IFERROR(AVERAGEIFS(
'STH Efficacy'!$N:$N, 
'STH Efficacy'!$B:$B, $A149, 
'STH Efficacy'!$C:$C, "Mebendazole",
'STH Efficacy'!$I:$I,"&lt;2016",
'STH Efficacy'!$AH:$AH,""),
"")</f>
        <v/>
      </c>
      <c r="BE149" s="135">
        <f t="shared" si="19"/>
        <v>0.3145</v>
      </c>
      <c r="BF149" s="436" t="str">
        <f>IFERROR(AVERAGEIFS(
'STH Efficacy'!$CD:$CD, 
'STH Efficacy'!$BS:$BS, $A149, 
'STH Efficacy'!$BT:$BT, "Albendazole",
'STH Efficacy'!$BZ:$BZ,"&lt;2016",
'STH Efficacy'!$CU:$CU,""),
"")</f>
        <v/>
      </c>
      <c r="BG149" s="136">
        <f t="shared" si="20"/>
        <v>0.96925</v>
      </c>
      <c r="BH149" s="436" t="str">
        <f>IFERROR(AVERAGEIFS(
'STH Efficacy'!$CD:$CD, 
'STH Efficacy'!$BS:$BS, $A149, 
'STH Efficacy'!$BT:$BT, "Mebendazole",
'STH Efficacy'!$BZ:$BZ,"&lt;2016",
'STH Efficacy'!$CU:$CU,""),
"")</f>
        <v/>
      </c>
      <c r="BI149" s="136">
        <f t="shared" si="21"/>
        <v>0.9305</v>
      </c>
      <c r="BJ149" s="436" t="str">
        <f>IFERROR(AVERAGEIFS(
'STH Efficacy'!$CD:$CD, 
'STH Efficacy'!$BS:$BS, $A149, 
'STH Efficacy'!$BT:$BT, "Albendazole &amp; Ivermectin",
'STH Efficacy'!$BZ:$BZ,"&lt;2016",
'STH Efficacy'!$CU:$CU,""),
"")</f>
        <v/>
      </c>
      <c r="BK149" s="136">
        <f t="shared" si="22"/>
        <v>0.848</v>
      </c>
      <c r="BL149" s="444" t="str">
        <f>IFERROR(
  AVERAGEIFS(
    'NEW Onchocerciasis Efficacy'!$AO:$AO,
    'NEW Onchocerciasis Efficacy'!$C:$C,$A149,
    'NEW Onchocerciasis Efficacy'!$D:$D,"Ivermectin",
    'NEW Onchocerciasis Efficacy'!$AR:$AR,"&lt;2016",
    'NEW Onchocerciasis Efficacy'!$BG:$BG,"")
,"")</f>
        <v/>
      </c>
      <c r="BM149" s="304">
        <f t="shared" si="23"/>
        <v>0.7808368939</v>
      </c>
      <c r="BN149" s="439">
        <v>0.0</v>
      </c>
      <c r="BO149" s="139">
        <v>0.0</v>
      </c>
      <c r="BP149" s="140">
        <v>0.0</v>
      </c>
      <c r="BQ149" s="141">
        <f t="shared" si="24"/>
        <v>0</v>
      </c>
      <c r="BR149" s="104" t="str">
        <f t="shared" si="25"/>
        <v>0000</v>
      </c>
      <c r="BS149" s="104" t="str">
        <f t="shared" si="26"/>
        <v>no action required</v>
      </c>
      <c r="BT149" s="142" t="str">
        <f t="shared" si="43"/>
        <v/>
      </c>
      <c r="BU149" s="104" t="str">
        <f t="shared" si="28"/>
        <v/>
      </c>
      <c r="BV149" s="104" t="str">
        <f t="shared" si="29"/>
        <v>none</v>
      </c>
      <c r="BW149" s="150" t="str">
        <f t="shared" si="30"/>
        <v/>
      </c>
      <c r="BX149" s="150" t="str">
        <f t="shared" si="31"/>
        <v/>
      </c>
      <c r="BY149" s="151" t="str">
        <f t="shared" si="32"/>
        <v/>
      </c>
      <c r="BZ149" s="152" t="str">
        <f t="shared" si="33"/>
        <v/>
      </c>
      <c r="CA149" s="152" t="str">
        <f t="shared" si="34"/>
        <v/>
      </c>
      <c r="CB149" s="152" t="str">
        <f t="shared" si="35"/>
        <v/>
      </c>
      <c r="CC149" s="153" t="str">
        <f t="shared" si="36"/>
        <v/>
      </c>
      <c r="CD149" s="153" t="str">
        <f t="shared" si="37"/>
        <v/>
      </c>
      <c r="CE149" s="154" t="str">
        <f t="shared" si="38"/>
        <v/>
      </c>
      <c r="CF149" s="154" t="str">
        <f t="shared" si="39"/>
        <v/>
      </c>
      <c r="CG149" s="154" t="str">
        <f t="shared" si="40"/>
        <v/>
      </c>
      <c r="CH149" s="308" t="str">
        <f t="shared" si="41"/>
        <v/>
      </c>
    </row>
    <row r="150">
      <c r="A150" s="103" t="s">
        <v>239</v>
      </c>
      <c r="B150" s="104" t="s">
        <v>98</v>
      </c>
      <c r="C150" s="428">
        <v>3969249.0</v>
      </c>
      <c r="D150" s="161">
        <v>0.0</v>
      </c>
      <c r="E150" s="294">
        <v>0.0</v>
      </c>
      <c r="F150" s="307">
        <v>0.0</v>
      </c>
      <c r="G150" s="309">
        <v>0.0</v>
      </c>
      <c r="H150" s="108">
        <v>0.0</v>
      </c>
      <c r="I150" s="109">
        <v>0.01194787</v>
      </c>
      <c r="J150" s="109">
        <v>0.01339533</v>
      </c>
      <c r="K150" s="109">
        <v>0.025343199</v>
      </c>
      <c r="L150" s="112">
        <v>57.90442226</v>
      </c>
      <c r="M150" s="112">
        <v>42.18135805</v>
      </c>
      <c r="N150" s="112">
        <v>100.0857803</v>
      </c>
      <c r="O150" s="298">
        <v>0.0</v>
      </c>
      <c r="P150" s="114"/>
      <c r="Q150" s="114"/>
      <c r="R150" s="121" t="str">
        <f t="shared" si="4"/>
        <v/>
      </c>
      <c r="S150" s="116">
        <f t="shared" si="5"/>
        <v>0.3565746084</v>
      </c>
      <c r="T150" s="117"/>
      <c r="U150" s="118">
        <f t="shared" si="6"/>
        <v>0.4791888889</v>
      </c>
      <c r="V150" s="148"/>
      <c r="W150" s="120">
        <f t="shared" si="7"/>
        <v>0.685</v>
      </c>
      <c r="X150" s="148"/>
      <c r="Y150" s="120">
        <f t="shared" si="8"/>
        <v>0.7550545455</v>
      </c>
      <c r="Z150" s="299"/>
      <c r="AA150" s="441"/>
      <c r="AB150" s="300" t="str">
        <f t="shared" si="9"/>
        <v/>
      </c>
      <c r="AC150" s="300">
        <f t="shared" si="10"/>
        <v>0.7101368438</v>
      </c>
      <c r="AD150" s="122">
        <v>0.0</v>
      </c>
      <c r="AE150" s="123">
        <v>0.0</v>
      </c>
      <c r="AF150" s="430">
        <v>0.0</v>
      </c>
      <c r="AG150" s="124">
        <v>0.0</v>
      </c>
      <c r="AH150" s="124">
        <v>7.58016E-6</v>
      </c>
      <c r="AI150" s="125">
        <v>0.0</v>
      </c>
      <c r="AJ150" s="125">
        <v>7.66685E-6</v>
      </c>
      <c r="AK150" s="127">
        <v>0.0802</v>
      </c>
      <c r="AL150" s="127">
        <v>0.117595782</v>
      </c>
      <c r="AM150" s="302">
        <v>0.0</v>
      </c>
      <c r="AN150" s="149" t="str">
        <f>IFERROR(
  AVERAGEIFS(
    'New LF Efficacy'!$J:$J,
    'New LF Efficacy'!$D:$D, $A150,
    'New LF Efficacy'!$F:$F,"DEC", 
    'New LF Efficacy'!$W:$W,"&lt;2016",
    'New LF Efficacy'!$AA:$AA,""),
  ""
)</f>
        <v/>
      </c>
      <c r="AO150" s="115">
        <f t="shared" si="11"/>
        <v>0.2589833333</v>
      </c>
      <c r="AP150" s="149" t="str">
        <f>IFERROR(
AVERAGEIFS(
'New LF Efficacy'!$J:$J,
'New LF Efficacy'!$D:$D,$A150,
'New LF Efficacy'!$F:$F,"Albendazole &amp; DEC",
'New LF Efficacy'!$W:$W,"&lt;2016",
'New LF Efficacy'!$AA:$AA,""),
"")
</f>
        <v/>
      </c>
      <c r="AQ150" s="115">
        <f t="shared" si="12"/>
        <v>0.3465</v>
      </c>
      <c r="AR150" s="149" t="str">
        <f>IFERROR(
AVERAGEIFS(
'New LF Efficacy'!$J:$J,
'New LF Efficacy'!$D:$D,$A150,
'New LF Efficacy'!$F:$F,"Albendazole &amp; Ivermectin", 
'New LF Efficacy'!$W:$W,"&lt;2016",
'New LF Efficacy'!$AA:$AA,""),"")</f>
        <v/>
      </c>
      <c r="AS150" s="115">
        <f t="shared" si="13"/>
        <v>0.7575</v>
      </c>
      <c r="AT150" s="442" t="str">
        <f>IFERROR(AVERAGEIFS(
'Schist Efficacy'!$O:$O, 
'Schist Efficacy'!$C:$C,$A150, 
'Schist Efficacy'!$D:$D, "Praziquantel",
'Schist Efficacy'!$J:$J,"&lt;2016",
'Schist Efficacy'!$U:$U,""),
"")</f>
        <v/>
      </c>
      <c r="AU150" s="118">
        <f t="shared" si="14"/>
        <v>0.7914761905</v>
      </c>
      <c r="AV150" s="131" t="str">
        <f>IFERROR(AVERAGEIFS(
'STH Efficacy'!$AX:$AX, 
'STH Efficacy'!$AL:$AL, $A150, 
'STH Efficacy'!$AM:$AM, "Albendazole",
'STH Efficacy'!$AS:$AS,"&lt;2016",
'STH Efficacy'!$BP:$BP,""),
"")</f>
        <v/>
      </c>
      <c r="AW150" s="132">
        <f t="shared" si="15"/>
        <v>0.3945</v>
      </c>
      <c r="AX150" s="131" t="str">
        <f>IFERROR(AVERAGEIFS(
'STH Efficacy'!$AX:$AX, 
'STH Efficacy'!$AL:$AL, $A150, 
'STH Efficacy'!$AM:$AM, "Mebendazole",
'STH Efficacy'!$AS:$AS,"&lt;2016",
'STH Efficacy'!$BP:$BP,""),
"")</f>
        <v/>
      </c>
      <c r="AY150" s="132">
        <f t="shared" si="16"/>
        <v>0.6</v>
      </c>
      <c r="AZ150" s="131" t="str">
        <f>IFERROR(AVERAGEIFS(
'STH Efficacy'!$AX:$AX, 
'STH Efficacy'!$AL:$AL, $A150, 
'STH Efficacy'!$AM:$AM, "Albendazole &amp; Ivermectin",
'STH Efficacy'!$AS:$AS,"&lt;2016",
'STH Efficacy'!$BP:$BP,""),
"")</f>
        <v/>
      </c>
      <c r="BA150" s="133">
        <f t="shared" si="17"/>
        <v>0.796</v>
      </c>
      <c r="BB150" s="443" t="str">
        <f>IFERROR(AVERAGEIFS(
'STH Efficacy'!$N:$N, 
'STH Efficacy'!$B:$B, $A150, 
'STH Efficacy'!$C:$C, "Albendazole",
'STH Efficacy'!$I:$I,"&lt;2016",
'STH Efficacy'!$AH:$AH,""),
"")</f>
        <v/>
      </c>
      <c r="BC150" s="135">
        <f t="shared" si="18"/>
        <v>0.869</v>
      </c>
      <c r="BD150" s="443" t="str">
        <f>IFERROR(AVERAGEIFS(
'STH Efficacy'!$N:$N, 
'STH Efficacy'!$B:$B, $A150, 
'STH Efficacy'!$C:$C, "Mebendazole",
'STH Efficacy'!$I:$I,"&lt;2016",
'STH Efficacy'!$AH:$AH,""),
"")</f>
        <v/>
      </c>
      <c r="BE150" s="135">
        <f t="shared" si="19"/>
        <v>0.172</v>
      </c>
      <c r="BF150" s="436" t="str">
        <f>IFERROR(AVERAGEIFS(
'STH Efficacy'!$CD:$CD, 
'STH Efficacy'!$BS:$BS, $A150, 
'STH Efficacy'!$BT:$BT, "Albendazole",
'STH Efficacy'!$BZ:$BZ,"&lt;2016",
'STH Efficacy'!$CU:$CU,""),
"")</f>
        <v/>
      </c>
      <c r="BG150" s="136">
        <f t="shared" si="20"/>
        <v>0.9862</v>
      </c>
      <c r="BH150" s="436" t="str">
        <f>IFERROR(AVERAGEIFS(
'STH Efficacy'!$CD:$CD, 
'STH Efficacy'!$BS:$BS, $A150, 
'STH Efficacy'!$BT:$BT, "Mebendazole",
'STH Efficacy'!$BZ:$BZ,"&lt;2016",
'STH Efficacy'!$CU:$CU,""),
"")</f>
        <v/>
      </c>
      <c r="BI150" s="136">
        <f t="shared" si="21"/>
        <v>0.769</v>
      </c>
      <c r="BJ150" s="436" t="str">
        <f>IFERROR(AVERAGEIFS(
'STH Efficacy'!$CD:$CD, 
'STH Efficacy'!$BS:$BS, $A150, 
'STH Efficacy'!$BT:$BT, "Albendazole &amp; Ivermectin",
'STH Efficacy'!$BZ:$BZ,"&lt;2016",
'STH Efficacy'!$CU:$CU,""),
"")</f>
        <v/>
      </c>
      <c r="BK150" s="136">
        <f t="shared" si="22"/>
        <v>1</v>
      </c>
      <c r="BL150" s="444" t="str">
        <f>IFERROR(
  AVERAGEIFS(
    'NEW Onchocerciasis Efficacy'!$AO:$AO,
    'NEW Onchocerciasis Efficacy'!$C:$C,$A150,
    'NEW Onchocerciasis Efficacy'!$D:$D,"Ivermectin",
    'NEW Onchocerciasis Efficacy'!$AR:$AR,"&lt;2016",
    'NEW Onchocerciasis Efficacy'!$BG:$BG,"")
,"")</f>
        <v/>
      </c>
      <c r="BM150" s="304">
        <f t="shared" si="23"/>
        <v>0.3734</v>
      </c>
      <c r="BN150" s="439">
        <v>0.0</v>
      </c>
      <c r="BO150" s="139">
        <v>0.0</v>
      </c>
      <c r="BP150" s="140">
        <v>0.0</v>
      </c>
      <c r="BQ150" s="141">
        <f t="shared" si="24"/>
        <v>0</v>
      </c>
      <c r="BR150" s="104" t="str">
        <f t="shared" si="25"/>
        <v>0000</v>
      </c>
      <c r="BS150" s="104" t="str">
        <f t="shared" si="26"/>
        <v>no action required</v>
      </c>
      <c r="BT150" s="142" t="str">
        <f t="shared" si="43"/>
        <v/>
      </c>
      <c r="BU150" s="104" t="str">
        <f t="shared" si="28"/>
        <v/>
      </c>
      <c r="BV150" s="104" t="str">
        <f t="shared" si="29"/>
        <v>none</v>
      </c>
      <c r="BW150" s="150" t="str">
        <f t="shared" si="30"/>
        <v/>
      </c>
      <c r="BX150" s="150" t="str">
        <f t="shared" si="31"/>
        <v/>
      </c>
      <c r="BY150" s="151" t="str">
        <f t="shared" si="32"/>
        <v/>
      </c>
      <c r="BZ150" s="152" t="str">
        <f t="shared" si="33"/>
        <v/>
      </c>
      <c r="CA150" s="152" t="str">
        <f t="shared" si="34"/>
        <v/>
      </c>
      <c r="CB150" s="152" t="str">
        <f t="shared" si="35"/>
        <v/>
      </c>
      <c r="CC150" s="153" t="str">
        <f t="shared" si="36"/>
        <v/>
      </c>
      <c r="CD150" s="153" t="str">
        <f t="shared" si="37"/>
        <v/>
      </c>
      <c r="CE150" s="154" t="str">
        <f t="shared" si="38"/>
        <v/>
      </c>
      <c r="CF150" s="154" t="str">
        <f t="shared" si="39"/>
        <v/>
      </c>
      <c r="CG150" s="154" t="str">
        <f t="shared" si="40"/>
        <v/>
      </c>
      <c r="CH150" s="308" t="str">
        <f t="shared" si="41"/>
        <v/>
      </c>
    </row>
    <row r="151">
      <c r="A151" s="103" t="s">
        <v>240</v>
      </c>
      <c r="B151" s="104" t="s">
        <v>94</v>
      </c>
      <c r="C151" s="428">
        <v>7919825.0</v>
      </c>
      <c r="D151" s="161">
        <v>18126.77</v>
      </c>
      <c r="E151" s="294">
        <v>0.0</v>
      </c>
      <c r="F151" s="307">
        <v>0.0</v>
      </c>
      <c r="G151" s="309">
        <v>0.0</v>
      </c>
      <c r="H151" s="157">
        <v>0.0</v>
      </c>
      <c r="I151" s="110">
        <v>2346.12096</v>
      </c>
      <c r="J151" s="110">
        <v>6740.8392</v>
      </c>
      <c r="K151" s="109">
        <v>9086.960165</v>
      </c>
      <c r="L151" s="112">
        <v>2902.225369</v>
      </c>
      <c r="M151" s="112">
        <v>1364.868628</v>
      </c>
      <c r="N151" s="112">
        <v>4267.093997</v>
      </c>
      <c r="O151" s="298">
        <v>0.0</v>
      </c>
      <c r="P151" s="160">
        <v>5602188.0</v>
      </c>
      <c r="Q151" s="160">
        <v>95890.0</v>
      </c>
      <c r="R151" s="121">
        <f t="shared" si="4"/>
        <v>0.01711652661</v>
      </c>
      <c r="S151" s="116">
        <f t="shared" si="5"/>
        <v>0.01711652661</v>
      </c>
      <c r="T151" s="117"/>
      <c r="U151" s="118">
        <f t="shared" si="6"/>
        <v>0.73965</v>
      </c>
      <c r="V151" s="119">
        <v>0.01</v>
      </c>
      <c r="W151" s="120">
        <f t="shared" si="7"/>
        <v>0.01</v>
      </c>
      <c r="X151" s="119">
        <v>0.0168</v>
      </c>
      <c r="Y151" s="120">
        <f t="shared" si="8"/>
        <v>0.0168</v>
      </c>
      <c r="Z151" s="299"/>
      <c r="AA151" s="441"/>
      <c r="AB151" s="300" t="str">
        <f t="shared" si="9"/>
        <v/>
      </c>
      <c r="AC151" s="300">
        <f t="shared" si="10"/>
        <v>0.6890056172</v>
      </c>
      <c r="AD151" s="122">
        <v>0.075</v>
      </c>
      <c r="AE151" s="123">
        <v>0.0</v>
      </c>
      <c r="AF151" s="430">
        <v>0.0</v>
      </c>
      <c r="AG151" s="316">
        <v>0.0</v>
      </c>
      <c r="AH151" s="316">
        <v>1.12228E-5</v>
      </c>
      <c r="AI151" s="317">
        <v>0.0</v>
      </c>
      <c r="AJ151" s="317">
        <v>0.578109361</v>
      </c>
      <c r="AK151" s="319">
        <v>0.0</v>
      </c>
      <c r="AL151" s="319">
        <v>0.280301429</v>
      </c>
      <c r="AM151" s="302">
        <v>0.0</v>
      </c>
      <c r="AN151" s="149">
        <f>IFERROR(
  AVERAGEIFS(
    'New LF Efficacy'!$J:$J,
    'New LF Efficacy'!$D:$D, $A151,
    'New LF Efficacy'!$F:$F,"DEC", 
    'New LF Efficacy'!$W:$W,"&lt;2016",
    'New LF Efficacy'!$AA:$AA,""),
  ""
)</f>
        <v>0.5</v>
      </c>
      <c r="AO151" s="115">
        <f t="shared" si="11"/>
        <v>0.5</v>
      </c>
      <c r="AP151" s="149">
        <f>IFERROR(
AVERAGEIFS(
'New LF Efficacy'!$J:$J,
'New LF Efficacy'!$D:$D,$A151,
'New LF Efficacy'!$F:$F,"Albendazole &amp; DEC",
'New LF Efficacy'!$W:$W,"&lt;2016",
'New LF Efficacy'!$AA:$AA,""),
"")
</f>
        <v>0.662</v>
      </c>
      <c r="AQ151" s="115">
        <f t="shared" si="12"/>
        <v>0.662</v>
      </c>
      <c r="AR151" s="149" t="str">
        <f>IFERROR(
AVERAGEIFS(
'New LF Efficacy'!$J:$J,
'New LF Efficacy'!$D:$D,$A151,
'New LF Efficacy'!$F:$F,"Albendazole &amp; Ivermectin", 
'New LF Efficacy'!$W:$W,"&lt;2016",
'New LF Efficacy'!$AA:$AA,""),"")</f>
        <v/>
      </c>
      <c r="AS151" s="115">
        <f t="shared" si="13"/>
        <v>0.37153125</v>
      </c>
      <c r="AT151" s="442" t="str">
        <f>IFERROR(AVERAGEIFS(
'Schist Efficacy'!$O:$O, 
'Schist Efficacy'!$C:$C,$A151, 
'Schist Efficacy'!$D:$D, "Praziquantel",
'Schist Efficacy'!$J:$J,"&lt;2016",
'Schist Efficacy'!$U:$U,""),
"")</f>
        <v/>
      </c>
      <c r="AU151" s="118">
        <f t="shared" si="14"/>
        <v>0.9475</v>
      </c>
      <c r="AV151" s="131" t="str">
        <f>IFERROR(AVERAGEIFS(
'STH Efficacy'!$AX:$AX, 
'STH Efficacy'!$AL:$AL, $A151, 
'STH Efficacy'!$AM:$AM, "Albendazole",
'STH Efficacy'!$AS:$AS,"&lt;2016",
'STH Efficacy'!$BP:$BP,""),
"")</f>
        <v/>
      </c>
      <c r="AW151" s="132">
        <f t="shared" si="15"/>
        <v>0.3571666667</v>
      </c>
      <c r="AX151" s="131" t="str">
        <f>IFERROR(AVERAGEIFS(
'STH Efficacy'!$AX:$AX, 
'STH Efficacy'!$AL:$AL, $A151, 
'STH Efficacy'!$AM:$AM, "Mebendazole",
'STH Efficacy'!$AS:$AS,"&lt;2016",
'STH Efficacy'!$BP:$BP,""),
"")</f>
        <v/>
      </c>
      <c r="AY151" s="132">
        <f t="shared" si="16"/>
        <v>0.4155</v>
      </c>
      <c r="AZ151" s="131" t="str">
        <f>IFERROR(AVERAGEIFS(
'STH Efficacy'!$AX:$AX, 
'STH Efficacy'!$AL:$AL, $A151, 
'STH Efficacy'!$AM:$AM, "Albendazole &amp; Ivermectin",
'STH Efficacy'!$AS:$AS,"&lt;2016",
'STH Efficacy'!$BP:$BP,""),
"")</f>
        <v/>
      </c>
      <c r="BA151" s="133">
        <f t="shared" si="17"/>
        <v>0.651</v>
      </c>
      <c r="BB151" s="443" t="str">
        <f>IFERROR(AVERAGEIFS(
'STH Efficacy'!$N:$N, 
'STH Efficacy'!$B:$B, $A151, 
'STH Efficacy'!$C:$C, "Albendazole",
'STH Efficacy'!$I:$I,"&lt;2016",
'STH Efficacy'!$AH:$AH,""),
"")</f>
        <v/>
      </c>
      <c r="BC151" s="135">
        <f t="shared" si="18"/>
        <v>0.5769166667</v>
      </c>
      <c r="BD151" s="443" t="str">
        <f>IFERROR(AVERAGEIFS(
'STH Efficacy'!$N:$N, 
'STH Efficacy'!$B:$B, $A151, 
'STH Efficacy'!$C:$C, "Mebendazole",
'STH Efficacy'!$I:$I,"&lt;2016",
'STH Efficacy'!$AH:$AH,""),
"")</f>
        <v/>
      </c>
      <c r="BE151" s="135">
        <f t="shared" si="19"/>
        <v>0.3145</v>
      </c>
      <c r="BF151" s="436" t="str">
        <f>IFERROR(AVERAGEIFS(
'STH Efficacy'!$CD:$CD, 
'STH Efficacy'!$BS:$BS, $A151, 
'STH Efficacy'!$BT:$BT, "Albendazole",
'STH Efficacy'!$BZ:$BZ,"&lt;2016",
'STH Efficacy'!$CU:$CU,""),
"")</f>
        <v/>
      </c>
      <c r="BG151" s="136">
        <f t="shared" si="20"/>
        <v>0.96925</v>
      </c>
      <c r="BH151" s="436" t="str">
        <f>IFERROR(AVERAGEIFS(
'STH Efficacy'!$CD:$CD, 
'STH Efficacy'!$BS:$BS, $A151, 
'STH Efficacy'!$BT:$BT, "Mebendazole",
'STH Efficacy'!$BZ:$BZ,"&lt;2016",
'STH Efficacy'!$CU:$CU,""),
"")</f>
        <v/>
      </c>
      <c r="BI151" s="136">
        <f t="shared" si="21"/>
        <v>0.9305</v>
      </c>
      <c r="BJ151" s="436" t="str">
        <f>IFERROR(AVERAGEIFS(
'STH Efficacy'!$CD:$CD, 
'STH Efficacy'!$BS:$BS, $A151, 
'STH Efficacy'!$BT:$BT, "Albendazole &amp; Ivermectin",
'STH Efficacy'!$BZ:$BZ,"&lt;2016",
'STH Efficacy'!$CU:$CU,""),
"")</f>
        <v/>
      </c>
      <c r="BK151" s="136">
        <f t="shared" si="22"/>
        <v>0.848</v>
      </c>
      <c r="BL151" s="444" t="str">
        <f>IFERROR(
  AVERAGEIFS(
    'NEW Onchocerciasis Efficacy'!$AO:$AO,
    'NEW Onchocerciasis Efficacy'!$C:$C,$A151,
    'NEW Onchocerciasis Efficacy'!$D:$D,"Ivermectin",
    'NEW Onchocerciasis Efficacy'!$AR:$AR,"&lt;2016",
    'NEW Onchocerciasis Efficacy'!$BG:$BG,"")
,"")</f>
        <v/>
      </c>
      <c r="BM151" s="304">
        <f t="shared" si="23"/>
        <v>0.7808368939</v>
      </c>
      <c r="BN151" s="439">
        <v>1.0</v>
      </c>
      <c r="BO151" s="139">
        <v>0.0</v>
      </c>
      <c r="BP151" s="140">
        <v>0.0</v>
      </c>
      <c r="BQ151" s="141">
        <f t="shared" si="24"/>
        <v>1</v>
      </c>
      <c r="BR151" s="104" t="str">
        <f t="shared" si="25"/>
        <v>1001</v>
      </c>
      <c r="BS151" s="104" t="str">
        <f t="shared" si="26"/>
        <v>MDA1/2</v>
      </c>
      <c r="BT151" s="142" t="str">
        <f t="shared" si="43"/>
        <v>IVM+ALB or DEC+ALB</v>
      </c>
      <c r="BU151" s="104" t="str">
        <f t="shared" si="28"/>
        <v/>
      </c>
      <c r="BV151" s="104" t="str">
        <f t="shared" si="29"/>
        <v>lf+sth</v>
      </c>
      <c r="BW151" s="312">
        <f t="shared" si="30"/>
        <v>207.751036</v>
      </c>
      <c r="BX151" s="312">
        <f t="shared" si="31"/>
        <v>116.0117696</v>
      </c>
      <c r="BY151" s="151" t="str">
        <f t="shared" si="32"/>
        <v/>
      </c>
      <c r="BZ151" s="152">
        <f t="shared" si="33"/>
        <v>0</v>
      </c>
      <c r="CA151" s="152" t="str">
        <f t="shared" si="34"/>
        <v/>
      </c>
      <c r="CB151" s="152">
        <f t="shared" si="35"/>
        <v>0</v>
      </c>
      <c r="CC151" s="323">
        <f t="shared" si="36"/>
        <v>79.58668762</v>
      </c>
      <c r="CD151" s="153" t="str">
        <f t="shared" si="37"/>
        <v/>
      </c>
      <c r="CE151" s="154">
        <f t="shared" si="38"/>
        <v>50.9977221</v>
      </c>
      <c r="CF151" s="154" t="str">
        <f t="shared" si="39"/>
        <v/>
      </c>
      <c r="CG151" s="154">
        <f t="shared" si="40"/>
        <v>44.54683775</v>
      </c>
      <c r="CH151" s="308" t="str">
        <f t="shared" si="41"/>
        <v/>
      </c>
    </row>
    <row r="152">
      <c r="A152" s="103" t="s">
        <v>241</v>
      </c>
      <c r="B152" s="104" t="s">
        <v>98</v>
      </c>
      <c r="C152" s="428">
        <v>6639119.0</v>
      </c>
      <c r="D152" s="161">
        <v>0.0</v>
      </c>
      <c r="E152" s="294">
        <v>0.0</v>
      </c>
      <c r="F152" s="295">
        <v>0.837843499</v>
      </c>
      <c r="G152" s="295">
        <v>4.586749991</v>
      </c>
      <c r="H152" s="108">
        <v>5.42459349</v>
      </c>
      <c r="I152" s="109">
        <v>79.2776888</v>
      </c>
      <c r="J152" s="109">
        <v>250.533138</v>
      </c>
      <c r="K152" s="109">
        <v>329.8108263</v>
      </c>
      <c r="L152" s="112">
        <v>70.38073783</v>
      </c>
      <c r="M152" s="112">
        <v>85.30771356</v>
      </c>
      <c r="N152" s="112">
        <v>155.6884514</v>
      </c>
      <c r="O152" s="298">
        <v>0.0</v>
      </c>
      <c r="P152" s="114"/>
      <c r="Q152" s="114"/>
      <c r="R152" s="121" t="str">
        <f t="shared" si="4"/>
        <v/>
      </c>
      <c r="S152" s="116">
        <f t="shared" si="5"/>
        <v>0.3565746084</v>
      </c>
      <c r="T152" s="117"/>
      <c r="U152" s="118">
        <f t="shared" si="6"/>
        <v>0.4791888889</v>
      </c>
      <c r="V152" s="148"/>
      <c r="W152" s="120">
        <f t="shared" si="7"/>
        <v>0.685</v>
      </c>
      <c r="X152" s="119">
        <v>1.0</v>
      </c>
      <c r="Y152" s="120">
        <f t="shared" si="8"/>
        <v>1</v>
      </c>
      <c r="Z152" s="299"/>
      <c r="AA152" s="441"/>
      <c r="AB152" s="300" t="str">
        <f t="shared" si="9"/>
        <v/>
      </c>
      <c r="AC152" s="300">
        <f t="shared" si="10"/>
        <v>0.7101368438</v>
      </c>
      <c r="AD152" s="122">
        <v>0.0</v>
      </c>
      <c r="AE152" s="123">
        <v>0.0</v>
      </c>
      <c r="AF152" s="430">
        <v>0.0</v>
      </c>
      <c r="AG152" s="124">
        <v>0.0407</v>
      </c>
      <c r="AH152" s="124">
        <v>0.060705748</v>
      </c>
      <c r="AI152" s="125">
        <v>0.0414</v>
      </c>
      <c r="AJ152" s="125">
        <v>0.062291398</v>
      </c>
      <c r="AK152" s="127">
        <v>0.0768</v>
      </c>
      <c r="AL152" s="127">
        <v>0.115585101</v>
      </c>
      <c r="AM152" s="302">
        <v>0.0</v>
      </c>
      <c r="AN152" s="149" t="str">
        <f>IFERROR(
  AVERAGEIFS(
    'New LF Efficacy'!$J:$J,
    'New LF Efficacy'!$D:$D, $A152,
    'New LF Efficacy'!$F:$F,"DEC", 
    'New LF Efficacy'!$W:$W,"&lt;2016",
    'New LF Efficacy'!$AA:$AA,""),
  ""
)</f>
        <v/>
      </c>
      <c r="AO152" s="115">
        <f t="shared" si="11"/>
        <v>0.2589833333</v>
      </c>
      <c r="AP152" s="149" t="str">
        <f>IFERROR(
AVERAGEIFS(
'New LF Efficacy'!$J:$J,
'New LF Efficacy'!$D:$D,$A152,
'New LF Efficacy'!$F:$F,"Albendazole &amp; DEC",
'New LF Efficacy'!$W:$W,"&lt;2016",
'New LF Efficacy'!$AA:$AA,""),
"")
</f>
        <v/>
      </c>
      <c r="AQ152" s="115">
        <f t="shared" si="12"/>
        <v>0.3465</v>
      </c>
      <c r="AR152" s="149" t="str">
        <f>IFERROR(
AVERAGEIFS(
'New LF Efficacy'!$J:$J,
'New LF Efficacy'!$D:$D,$A152,
'New LF Efficacy'!$F:$F,"Albendazole &amp; Ivermectin", 
'New LF Efficacy'!$W:$W,"&lt;2016",
'New LF Efficacy'!$AA:$AA,""),"")</f>
        <v/>
      </c>
      <c r="AS152" s="115">
        <f t="shared" si="13"/>
        <v>0.7575</v>
      </c>
      <c r="AT152" s="442" t="str">
        <f>IFERROR(AVERAGEIFS(
'Schist Efficacy'!$O:$O, 
'Schist Efficacy'!$C:$C,$A152, 
'Schist Efficacy'!$D:$D, "Praziquantel",
'Schist Efficacy'!$J:$J,"&lt;2016",
'Schist Efficacy'!$U:$U,""),
"")</f>
        <v/>
      </c>
      <c r="AU152" s="118">
        <f t="shared" si="14"/>
        <v>0.7914761905</v>
      </c>
      <c r="AV152" s="131" t="str">
        <f>IFERROR(AVERAGEIFS(
'STH Efficacy'!$AX:$AX, 
'STH Efficacy'!$AL:$AL, $A152, 
'STH Efficacy'!$AM:$AM, "Albendazole",
'STH Efficacy'!$AS:$AS,"&lt;2016",
'STH Efficacy'!$BP:$BP,""),
"")</f>
        <v/>
      </c>
      <c r="AW152" s="132">
        <f t="shared" si="15"/>
        <v>0.3945</v>
      </c>
      <c r="AX152" s="131" t="str">
        <f>IFERROR(AVERAGEIFS(
'STH Efficacy'!$AX:$AX, 
'STH Efficacy'!$AL:$AL, $A152, 
'STH Efficacy'!$AM:$AM, "Mebendazole",
'STH Efficacy'!$AS:$AS,"&lt;2016",
'STH Efficacy'!$BP:$BP,""),
"")</f>
        <v/>
      </c>
      <c r="AY152" s="132">
        <f t="shared" si="16"/>
        <v>0.6</v>
      </c>
      <c r="AZ152" s="131" t="str">
        <f>IFERROR(AVERAGEIFS(
'STH Efficacy'!$AX:$AX, 
'STH Efficacy'!$AL:$AL, $A152, 
'STH Efficacy'!$AM:$AM, "Albendazole &amp; Ivermectin",
'STH Efficacy'!$AS:$AS,"&lt;2016",
'STH Efficacy'!$BP:$BP,""),
"")</f>
        <v/>
      </c>
      <c r="BA152" s="133">
        <f t="shared" si="17"/>
        <v>0.796</v>
      </c>
      <c r="BB152" s="443" t="str">
        <f>IFERROR(AVERAGEIFS(
'STH Efficacy'!$N:$N, 
'STH Efficacy'!$B:$B, $A152, 
'STH Efficacy'!$C:$C, "Albendazole",
'STH Efficacy'!$I:$I,"&lt;2016",
'STH Efficacy'!$AH:$AH,""),
"")</f>
        <v/>
      </c>
      <c r="BC152" s="135">
        <f t="shared" si="18"/>
        <v>0.869</v>
      </c>
      <c r="BD152" s="443" t="str">
        <f>IFERROR(AVERAGEIFS(
'STH Efficacy'!$N:$N, 
'STH Efficacy'!$B:$B, $A152, 
'STH Efficacy'!$C:$C, "Mebendazole",
'STH Efficacy'!$I:$I,"&lt;2016",
'STH Efficacy'!$AH:$AH,""),
"")</f>
        <v/>
      </c>
      <c r="BE152" s="135">
        <f t="shared" si="19"/>
        <v>0.172</v>
      </c>
      <c r="BF152" s="436" t="str">
        <f>IFERROR(AVERAGEIFS(
'STH Efficacy'!$CD:$CD, 
'STH Efficacy'!$BS:$BS, $A152, 
'STH Efficacy'!$BT:$BT, "Albendazole",
'STH Efficacy'!$BZ:$BZ,"&lt;2016",
'STH Efficacy'!$CU:$CU,""),
"")</f>
        <v/>
      </c>
      <c r="BG152" s="136">
        <f t="shared" si="20"/>
        <v>0.9862</v>
      </c>
      <c r="BH152" s="436" t="str">
        <f>IFERROR(AVERAGEIFS(
'STH Efficacy'!$CD:$CD, 
'STH Efficacy'!$BS:$BS, $A152, 
'STH Efficacy'!$BT:$BT, "Mebendazole",
'STH Efficacy'!$BZ:$BZ,"&lt;2016",
'STH Efficacy'!$CU:$CU,""),
"")</f>
        <v/>
      </c>
      <c r="BI152" s="136">
        <f t="shared" si="21"/>
        <v>0.769</v>
      </c>
      <c r="BJ152" s="436" t="str">
        <f>IFERROR(AVERAGEIFS(
'STH Efficacy'!$CD:$CD, 
'STH Efficacy'!$BS:$BS, $A152, 
'STH Efficacy'!$BT:$BT, "Albendazole &amp; Ivermectin",
'STH Efficacy'!$BZ:$BZ,"&lt;2016",
'STH Efficacy'!$CU:$CU,""),
"")</f>
        <v/>
      </c>
      <c r="BK152" s="136">
        <f t="shared" si="22"/>
        <v>1</v>
      </c>
      <c r="BL152" s="444" t="str">
        <f>IFERROR(
  AVERAGEIFS(
    'NEW Onchocerciasis Efficacy'!$AO:$AO,
    'NEW Onchocerciasis Efficacy'!$C:$C,$A152,
    'NEW Onchocerciasis Efficacy'!$D:$D,"Ivermectin",
    'NEW Onchocerciasis Efficacy'!$AR:$AR,"&lt;2016",
    'NEW Onchocerciasis Efficacy'!$BG:$BG,"")
,"")</f>
        <v/>
      </c>
      <c r="BM152" s="304">
        <f t="shared" si="23"/>
        <v>0.3734</v>
      </c>
      <c r="BN152" s="439">
        <v>0.0</v>
      </c>
      <c r="BO152" s="139">
        <v>0.0</v>
      </c>
      <c r="BP152" s="140">
        <v>0.0</v>
      </c>
      <c r="BQ152" s="141">
        <f t="shared" si="24"/>
        <v>0</v>
      </c>
      <c r="BR152" s="104" t="str">
        <f t="shared" si="25"/>
        <v>0000</v>
      </c>
      <c r="BS152" s="104" t="str">
        <f t="shared" si="26"/>
        <v>no action required</v>
      </c>
      <c r="BT152" s="142" t="str">
        <f t="shared" si="43"/>
        <v/>
      </c>
      <c r="BU152" s="104" t="str">
        <f t="shared" si="28"/>
        <v/>
      </c>
      <c r="BV152" s="104" t="str">
        <f t="shared" si="29"/>
        <v>none</v>
      </c>
      <c r="BW152" s="150" t="str">
        <f t="shared" si="30"/>
        <v/>
      </c>
      <c r="BX152" s="150" t="str">
        <f t="shared" si="31"/>
        <v/>
      </c>
      <c r="BY152" s="151" t="str">
        <f t="shared" si="32"/>
        <v/>
      </c>
      <c r="BZ152" s="152" t="str">
        <f t="shared" si="33"/>
        <v/>
      </c>
      <c r="CA152" s="152" t="str">
        <f t="shared" si="34"/>
        <v/>
      </c>
      <c r="CB152" s="152" t="str">
        <f t="shared" si="35"/>
        <v/>
      </c>
      <c r="CC152" s="153" t="str">
        <f t="shared" si="36"/>
        <v/>
      </c>
      <c r="CD152" s="153" t="str">
        <f t="shared" si="37"/>
        <v/>
      </c>
      <c r="CE152" s="154" t="str">
        <f t="shared" si="38"/>
        <v/>
      </c>
      <c r="CF152" s="154" t="str">
        <f t="shared" si="39"/>
        <v/>
      </c>
      <c r="CG152" s="154" t="str">
        <f t="shared" si="40"/>
        <v/>
      </c>
      <c r="CH152" s="308" t="str">
        <f t="shared" si="41"/>
        <v/>
      </c>
    </row>
    <row r="153">
      <c r="A153" s="103" t="s">
        <v>242</v>
      </c>
      <c r="B153" s="104" t="s">
        <v>98</v>
      </c>
      <c r="C153" s="428">
        <v>3.1376671E7</v>
      </c>
      <c r="D153" s="161">
        <v>0.0</v>
      </c>
      <c r="E153" s="294">
        <v>0.0</v>
      </c>
      <c r="F153" s="295">
        <v>245.3281875</v>
      </c>
      <c r="G153" s="295">
        <v>601.3398922</v>
      </c>
      <c r="H153" s="108">
        <v>846.6680796</v>
      </c>
      <c r="I153" s="109">
        <v>52.9807769</v>
      </c>
      <c r="J153" s="109">
        <v>95.1384494</v>
      </c>
      <c r="K153" s="109">
        <v>148.1192263</v>
      </c>
      <c r="L153" s="112">
        <v>507.1788979</v>
      </c>
      <c r="M153" s="112">
        <v>416.3331225</v>
      </c>
      <c r="N153" s="112">
        <v>923.5120203</v>
      </c>
      <c r="O153" s="298">
        <v>0.0</v>
      </c>
      <c r="P153" s="114"/>
      <c r="Q153" s="114"/>
      <c r="R153" s="121" t="str">
        <f t="shared" si="4"/>
        <v/>
      </c>
      <c r="S153" s="116">
        <f t="shared" si="5"/>
        <v>0.3565746084</v>
      </c>
      <c r="T153" s="117"/>
      <c r="U153" s="118">
        <f t="shared" si="6"/>
        <v>0.4791888889</v>
      </c>
      <c r="V153" s="148"/>
      <c r="W153" s="120">
        <f t="shared" si="7"/>
        <v>0.685</v>
      </c>
      <c r="X153" s="148"/>
      <c r="Y153" s="120">
        <f t="shared" si="8"/>
        <v>0.7550545455</v>
      </c>
      <c r="Z153" s="299"/>
      <c r="AA153" s="441"/>
      <c r="AB153" s="300" t="str">
        <f t="shared" si="9"/>
        <v/>
      </c>
      <c r="AC153" s="300">
        <f t="shared" si="10"/>
        <v>0.7101368438</v>
      </c>
      <c r="AD153" s="122">
        <v>0.0</v>
      </c>
      <c r="AE153" s="123">
        <v>0.0</v>
      </c>
      <c r="AF153" s="430">
        <v>0.0</v>
      </c>
      <c r="AG153" s="124">
        <v>0.0</v>
      </c>
      <c r="AH153" s="124">
        <v>0.128748854</v>
      </c>
      <c r="AI153" s="125">
        <v>0.0</v>
      </c>
      <c r="AJ153" s="125">
        <v>0.008426857</v>
      </c>
      <c r="AK153" s="127">
        <v>0.0</v>
      </c>
      <c r="AL153" s="127">
        <v>0.100987269</v>
      </c>
      <c r="AM153" s="302">
        <v>0.0</v>
      </c>
      <c r="AN153" s="149" t="str">
        <f>IFERROR(
  AVERAGEIFS(
    'New LF Efficacy'!$J:$J,
    'New LF Efficacy'!$D:$D, $A153,
    'New LF Efficacy'!$F:$F,"DEC", 
    'New LF Efficacy'!$W:$W,"&lt;2016",
    'New LF Efficacy'!$AA:$AA,""),
  ""
)</f>
        <v/>
      </c>
      <c r="AO153" s="115">
        <f t="shared" si="11"/>
        <v>0.2589833333</v>
      </c>
      <c r="AP153" s="149" t="str">
        <f>IFERROR(
AVERAGEIFS(
'New LF Efficacy'!$J:$J,
'New LF Efficacy'!$D:$D,$A153,
'New LF Efficacy'!$F:$F,"Albendazole &amp; DEC",
'New LF Efficacy'!$W:$W,"&lt;2016",
'New LF Efficacy'!$AA:$AA,""),
"")
</f>
        <v/>
      </c>
      <c r="AQ153" s="115">
        <f t="shared" si="12"/>
        <v>0.3465</v>
      </c>
      <c r="AR153" s="149" t="str">
        <f>IFERROR(
AVERAGEIFS(
'New LF Efficacy'!$J:$J,
'New LF Efficacy'!$D:$D,$A153,
'New LF Efficacy'!$F:$F,"Albendazole &amp; Ivermectin", 
'New LF Efficacy'!$W:$W,"&lt;2016",
'New LF Efficacy'!$AA:$AA,""),"")</f>
        <v/>
      </c>
      <c r="AS153" s="115">
        <f t="shared" si="13"/>
        <v>0.7575</v>
      </c>
      <c r="AT153" s="442" t="str">
        <f>IFERROR(AVERAGEIFS(
'Schist Efficacy'!$O:$O, 
'Schist Efficacy'!$C:$C,$A153, 
'Schist Efficacy'!$D:$D, "Praziquantel",
'Schist Efficacy'!$J:$J,"&lt;2016",
'Schist Efficacy'!$U:$U,""),
"")</f>
        <v/>
      </c>
      <c r="AU153" s="118">
        <f t="shared" si="14"/>
        <v>0.7914761905</v>
      </c>
      <c r="AV153" s="131" t="str">
        <f>IFERROR(AVERAGEIFS(
'STH Efficacy'!$AX:$AX, 
'STH Efficacy'!$AL:$AL, $A153, 
'STH Efficacy'!$AM:$AM, "Albendazole",
'STH Efficacy'!$AS:$AS,"&lt;2016",
'STH Efficacy'!$BP:$BP,""),
"")</f>
        <v/>
      </c>
      <c r="AW153" s="132">
        <f t="shared" si="15"/>
        <v>0.3945</v>
      </c>
      <c r="AX153" s="131" t="str">
        <f>IFERROR(AVERAGEIFS(
'STH Efficacy'!$AX:$AX, 
'STH Efficacy'!$AL:$AL, $A153, 
'STH Efficacy'!$AM:$AM, "Mebendazole",
'STH Efficacy'!$AS:$AS,"&lt;2016",
'STH Efficacy'!$BP:$BP,""),
"")</f>
        <v/>
      </c>
      <c r="AY153" s="132">
        <f t="shared" si="16"/>
        <v>0.6</v>
      </c>
      <c r="AZ153" s="131" t="str">
        <f>IFERROR(AVERAGEIFS(
'STH Efficacy'!$AX:$AX, 
'STH Efficacy'!$AL:$AL, $A153, 
'STH Efficacy'!$AM:$AM, "Albendazole &amp; Ivermectin",
'STH Efficacy'!$AS:$AS,"&lt;2016",
'STH Efficacy'!$BP:$BP,""),
"")</f>
        <v/>
      </c>
      <c r="BA153" s="133">
        <f t="shared" si="17"/>
        <v>0.796</v>
      </c>
      <c r="BB153" s="443" t="str">
        <f>IFERROR(AVERAGEIFS(
'STH Efficacy'!$N:$N, 
'STH Efficacy'!$B:$B, $A153, 
'STH Efficacy'!$C:$C, "Albendazole",
'STH Efficacy'!$I:$I,"&lt;2016",
'STH Efficacy'!$AH:$AH,""),
"")</f>
        <v/>
      </c>
      <c r="BC153" s="135">
        <f t="shared" si="18"/>
        <v>0.869</v>
      </c>
      <c r="BD153" s="443" t="str">
        <f>IFERROR(AVERAGEIFS(
'STH Efficacy'!$N:$N, 
'STH Efficacy'!$B:$B, $A153, 
'STH Efficacy'!$C:$C, "Mebendazole",
'STH Efficacy'!$I:$I,"&lt;2016",
'STH Efficacy'!$AH:$AH,""),
"")</f>
        <v/>
      </c>
      <c r="BE153" s="135">
        <f t="shared" si="19"/>
        <v>0.172</v>
      </c>
      <c r="BF153" s="436">
        <f>IFERROR(AVERAGEIFS(
'STH Efficacy'!$CD:$CD, 
'STH Efficacy'!$BS:$BS, $A153, 
'STH Efficacy'!$BT:$BT, "Albendazole",
'STH Efficacy'!$BZ:$BZ,"&lt;2016",
'STH Efficacy'!$CU:$CU,""),
"")</f>
        <v>0.996</v>
      </c>
      <c r="BG153" s="136">
        <f t="shared" si="20"/>
        <v>0.996</v>
      </c>
      <c r="BH153" s="436" t="str">
        <f>IFERROR(AVERAGEIFS(
'STH Efficacy'!$CD:$CD, 
'STH Efficacy'!$BS:$BS, $A153, 
'STH Efficacy'!$BT:$BT, "Mebendazole",
'STH Efficacy'!$BZ:$BZ,"&lt;2016",
'STH Efficacy'!$CU:$CU,""),
"")</f>
        <v/>
      </c>
      <c r="BI153" s="136">
        <f t="shared" si="21"/>
        <v>0.769</v>
      </c>
      <c r="BJ153" s="436" t="str">
        <f>IFERROR(AVERAGEIFS(
'STH Efficacy'!$CD:$CD, 
'STH Efficacy'!$BS:$BS, $A153, 
'STH Efficacy'!$BT:$BT, "Albendazole &amp; Ivermectin",
'STH Efficacy'!$BZ:$BZ,"&lt;2016",
'STH Efficacy'!$CU:$CU,""),
"")</f>
        <v/>
      </c>
      <c r="BK153" s="136">
        <f t="shared" si="22"/>
        <v>1</v>
      </c>
      <c r="BL153" s="444" t="str">
        <f>IFERROR(
  AVERAGEIFS(
    'NEW Onchocerciasis Efficacy'!$AO:$AO,
    'NEW Onchocerciasis Efficacy'!$C:$C,$A153,
    'NEW Onchocerciasis Efficacy'!$D:$D,"Ivermectin",
    'NEW Onchocerciasis Efficacy'!$AR:$AR,"&lt;2016",
    'NEW Onchocerciasis Efficacy'!$BG:$BG,"")
,"")</f>
        <v/>
      </c>
      <c r="BM153" s="304">
        <f t="shared" si="23"/>
        <v>0.3734</v>
      </c>
      <c r="BN153" s="439">
        <v>0.0</v>
      </c>
      <c r="BO153" s="139">
        <v>1.0</v>
      </c>
      <c r="BP153" s="140">
        <v>0.0</v>
      </c>
      <c r="BQ153" s="141">
        <f t="shared" si="24"/>
        <v>0</v>
      </c>
      <c r="BR153" s="104" t="str">
        <f t="shared" si="25"/>
        <v>0100</v>
      </c>
      <c r="BS153" s="104" t="str">
        <f t="shared" si="26"/>
        <v>MDA3</v>
      </c>
      <c r="BT153" s="142" t="str">
        <f t="shared" si="43"/>
        <v>IVM</v>
      </c>
      <c r="BU153" s="104" t="str">
        <f t="shared" si="28"/>
        <v/>
      </c>
      <c r="BV153" s="104" t="str">
        <f t="shared" si="29"/>
        <v>onch only</v>
      </c>
      <c r="BW153" s="150" t="str">
        <f t="shared" si="30"/>
        <v/>
      </c>
      <c r="BX153" s="150" t="str">
        <f t="shared" si="31"/>
        <v/>
      </c>
      <c r="BY153" s="151" t="str">
        <f t="shared" si="32"/>
        <v/>
      </c>
      <c r="BZ153" s="152" t="str">
        <f t="shared" si="33"/>
        <v/>
      </c>
      <c r="CA153" s="152" t="str">
        <f t="shared" si="34"/>
        <v/>
      </c>
      <c r="CB153" s="152" t="str">
        <f t="shared" si="35"/>
        <v/>
      </c>
      <c r="CC153" s="153" t="str">
        <f t="shared" si="36"/>
        <v/>
      </c>
      <c r="CD153" s="153" t="str">
        <f t="shared" si="37"/>
        <v/>
      </c>
      <c r="CE153" s="154" t="str">
        <f t="shared" si="38"/>
        <v/>
      </c>
      <c r="CF153" s="154" t="str">
        <f t="shared" si="39"/>
        <v/>
      </c>
      <c r="CG153" s="154" t="str">
        <f t="shared" si="40"/>
        <v/>
      </c>
      <c r="CH153" s="313">
        <f t="shared" si="41"/>
        <v>0</v>
      </c>
    </row>
    <row r="154">
      <c r="A154" s="155" t="s">
        <v>243</v>
      </c>
      <c r="B154" s="104" t="s">
        <v>94</v>
      </c>
      <c r="C154" s="428">
        <v>1.01716359E8</v>
      </c>
      <c r="D154" s="161">
        <v>27725.5</v>
      </c>
      <c r="E154" s="294">
        <v>48808.00284</v>
      </c>
      <c r="F154" s="322">
        <v>1087.670981</v>
      </c>
      <c r="G154" s="322">
        <v>4175.24007</v>
      </c>
      <c r="H154" s="157">
        <v>5262.911052</v>
      </c>
      <c r="I154" s="110">
        <v>4244.1082</v>
      </c>
      <c r="J154" s="110">
        <v>11127.4481</v>
      </c>
      <c r="K154" s="110">
        <v>15371.55628</v>
      </c>
      <c r="L154" s="111">
        <v>5288.616759</v>
      </c>
      <c r="M154" s="111">
        <v>9089.802595</v>
      </c>
      <c r="N154" s="112">
        <v>14378.41935</v>
      </c>
      <c r="O154" s="298">
        <v>0.0</v>
      </c>
      <c r="P154" s="160">
        <v>1.8841425E7</v>
      </c>
      <c r="Q154" s="160">
        <v>1.1095582E7</v>
      </c>
      <c r="R154" s="121">
        <f t="shared" si="4"/>
        <v>0.5888929314</v>
      </c>
      <c r="S154" s="116">
        <f t="shared" si="5"/>
        <v>0.5888929314</v>
      </c>
      <c r="T154" s="118">
        <v>0.435</v>
      </c>
      <c r="U154" s="118">
        <f t="shared" si="6"/>
        <v>0.435</v>
      </c>
      <c r="V154" s="119">
        <v>0.6251</v>
      </c>
      <c r="W154" s="120">
        <f t="shared" si="7"/>
        <v>0.6251</v>
      </c>
      <c r="X154" s="119">
        <v>0.7168</v>
      </c>
      <c r="Y154" s="120">
        <f t="shared" si="8"/>
        <v>0.7168</v>
      </c>
      <c r="Z154" s="299"/>
      <c r="AA154" s="441"/>
      <c r="AB154" s="300" t="str">
        <f t="shared" si="9"/>
        <v/>
      </c>
      <c r="AC154" s="300">
        <f t="shared" si="10"/>
        <v>0.6890056172</v>
      </c>
      <c r="AD154" s="122">
        <v>0.004</v>
      </c>
      <c r="AE154" s="123">
        <v>0.06</v>
      </c>
      <c r="AF154" s="430">
        <v>0.0123</v>
      </c>
      <c r="AG154" s="124">
        <v>0.1156</v>
      </c>
      <c r="AH154" s="124">
        <v>0.137276304</v>
      </c>
      <c r="AI154" s="125">
        <v>0.0851</v>
      </c>
      <c r="AJ154" s="125">
        <v>0.13464966</v>
      </c>
      <c r="AK154" s="127">
        <v>0.1631</v>
      </c>
      <c r="AL154" s="127">
        <v>0.252496099</v>
      </c>
      <c r="AM154" s="302">
        <v>0.0</v>
      </c>
      <c r="AN154" s="149" t="str">
        <f>IFERROR(
  AVERAGEIFS(
    'New LF Efficacy'!$J:$J,
    'New LF Efficacy'!$D:$D, $A154,
    'New LF Efficacy'!$F:$F,"DEC", 
    'New LF Efficacy'!$W:$W,"&lt;2016",
    'New LF Efficacy'!$AA:$AA,""),
  ""
)</f>
        <v/>
      </c>
      <c r="AO154" s="115">
        <f t="shared" si="11"/>
        <v>0.38</v>
      </c>
      <c r="AP154" s="149" t="str">
        <f>IFERROR(
AVERAGEIFS(
'New LF Efficacy'!$J:$J,
'New LF Efficacy'!$D:$D,$A154,
'New LF Efficacy'!$F:$F,"Albendazole &amp; DEC",
'New LF Efficacy'!$W:$W,"&lt;2016",
'New LF Efficacy'!$AA:$AA,""),
"")
</f>
        <v/>
      </c>
      <c r="AQ154" s="115">
        <f t="shared" si="12"/>
        <v>0.662</v>
      </c>
      <c r="AR154" s="149" t="str">
        <f>IFERROR(
AVERAGEIFS(
'New LF Efficacy'!$J:$J,
'New LF Efficacy'!$D:$D,$A154,
'New LF Efficacy'!$F:$F,"Albendazole &amp; Ivermectin", 
'New LF Efficacy'!$W:$W,"&lt;2016",
'New LF Efficacy'!$AA:$AA,""),"")</f>
        <v/>
      </c>
      <c r="AS154" s="115">
        <f t="shared" si="13"/>
        <v>0.37153125</v>
      </c>
      <c r="AT154" s="442">
        <f>IFERROR(AVERAGEIFS(
'Schist Efficacy'!$O:$O, 
'Schist Efficacy'!$C:$C,$A154, 
'Schist Efficacy'!$D:$D, "Praziquantel",
'Schist Efficacy'!$J:$J,"&lt;2016",
'Schist Efficacy'!$U:$U,""),
"")</f>
        <v>0.945</v>
      </c>
      <c r="AU154" s="118">
        <f t="shared" si="14"/>
        <v>0.945</v>
      </c>
      <c r="AV154" s="131">
        <f>IFERROR(AVERAGEIFS(
'STH Efficacy'!$AX:$AX, 
'STH Efficacy'!$AL:$AL, $A154, 
'STH Efficacy'!$AM:$AM, "Albendazole",
'STH Efficacy'!$AS:$AS,"&lt;2016",
'STH Efficacy'!$BP:$BP,""),
"")</f>
        <v>0.315</v>
      </c>
      <c r="AW154" s="132">
        <f t="shared" si="15"/>
        <v>0.315</v>
      </c>
      <c r="AX154" s="131" t="str">
        <f>IFERROR(AVERAGEIFS(
'STH Efficacy'!$AX:$AX, 
'STH Efficacy'!$AL:$AL, $A154, 
'STH Efficacy'!$AM:$AM, "Mebendazole",
'STH Efficacy'!$AS:$AS,"&lt;2016",
'STH Efficacy'!$BP:$BP,""),
"")</f>
        <v/>
      </c>
      <c r="AY154" s="132">
        <f t="shared" si="16"/>
        <v>0.4155</v>
      </c>
      <c r="AZ154" s="131">
        <f>IFERROR(AVERAGEIFS(
'STH Efficacy'!$AX:$AX, 
'STH Efficacy'!$AL:$AL, $A154, 
'STH Efficacy'!$AM:$AM, "Albendazole &amp; Ivermectin",
'STH Efficacy'!$AS:$AS,"&lt;2016",
'STH Efficacy'!$BP:$BP,""),
"")</f>
        <v>0.651</v>
      </c>
      <c r="BA154" s="133">
        <f t="shared" si="17"/>
        <v>0.651</v>
      </c>
      <c r="BB154" s="443" t="str">
        <f>IFERROR(AVERAGEIFS(
'STH Efficacy'!$N:$N, 
'STH Efficacy'!$B:$B, $A154, 
'STH Efficacy'!$C:$C, "Albendazole",
'STH Efficacy'!$I:$I,"&lt;2016",
'STH Efficacy'!$AH:$AH,""),
"")</f>
        <v/>
      </c>
      <c r="BC154" s="135">
        <f t="shared" si="18"/>
        <v>0.5769166667</v>
      </c>
      <c r="BD154" s="443" t="str">
        <f>IFERROR(AVERAGEIFS(
'STH Efficacy'!$N:$N, 
'STH Efficacy'!$B:$B, $A154, 
'STH Efficacy'!$C:$C, "Mebendazole",
'STH Efficacy'!$I:$I,"&lt;2016",
'STH Efficacy'!$AH:$AH,""),
"")</f>
        <v/>
      </c>
      <c r="BE154" s="135">
        <f t="shared" si="19"/>
        <v>0.3145</v>
      </c>
      <c r="BF154" s="436" t="str">
        <f>IFERROR(AVERAGEIFS(
'STH Efficacy'!$CD:$CD, 
'STH Efficacy'!$BS:$BS, $A154, 
'STH Efficacy'!$BT:$BT, "Albendazole",
'STH Efficacy'!$BZ:$BZ,"&lt;2016",
'STH Efficacy'!$CU:$CU,""),
"")</f>
        <v/>
      </c>
      <c r="BG154" s="136">
        <f t="shared" si="20"/>
        <v>0.96925</v>
      </c>
      <c r="BH154" s="436" t="str">
        <f>IFERROR(AVERAGEIFS(
'STH Efficacy'!$CD:$CD, 
'STH Efficacy'!$BS:$BS, $A154, 
'STH Efficacy'!$BT:$BT, "Mebendazole",
'STH Efficacy'!$BZ:$BZ,"&lt;2016",
'STH Efficacy'!$CU:$CU,""),
"")</f>
        <v/>
      </c>
      <c r="BI154" s="136">
        <f t="shared" si="21"/>
        <v>0.9305</v>
      </c>
      <c r="BJ154" s="436" t="str">
        <f>IFERROR(AVERAGEIFS(
'STH Efficacy'!$CD:$CD, 
'STH Efficacy'!$BS:$BS, $A154, 
'STH Efficacy'!$BT:$BT, "Albendazole &amp; Ivermectin",
'STH Efficacy'!$BZ:$BZ,"&lt;2016",
'STH Efficacy'!$CU:$CU,""),
"")</f>
        <v/>
      </c>
      <c r="BK154" s="136">
        <f t="shared" si="22"/>
        <v>0.848</v>
      </c>
      <c r="BL154" s="444" t="str">
        <f>IFERROR(
  AVERAGEIFS(
    'NEW Onchocerciasis Efficacy'!$AO:$AO,
    'NEW Onchocerciasis Efficacy'!$C:$C,$A154,
    'NEW Onchocerciasis Efficacy'!$D:$D,"Ivermectin",
    'NEW Onchocerciasis Efficacy'!$AR:$AR,"&lt;2016",
    'NEW Onchocerciasis Efficacy'!$BG:$BG,"")
,"")</f>
        <v/>
      </c>
      <c r="BM154" s="304">
        <f t="shared" si="23"/>
        <v>0.7808368939</v>
      </c>
      <c r="BN154" s="439">
        <v>1.0</v>
      </c>
      <c r="BO154" s="139">
        <v>0.0</v>
      </c>
      <c r="BP154" s="140">
        <v>1.0</v>
      </c>
      <c r="BQ154" s="141">
        <f t="shared" si="24"/>
        <v>0</v>
      </c>
      <c r="BR154" s="104" t="str">
        <f t="shared" si="25"/>
        <v>1010</v>
      </c>
      <c r="BS154" s="104" t="str">
        <f t="shared" si="26"/>
        <v>MDA1/2+T2</v>
      </c>
      <c r="BT154" s="142" t="str">
        <f t="shared" si="43"/>
        <v>IVM+ALB or DEC +ALB</v>
      </c>
      <c r="BU154" s="104" t="str">
        <f t="shared" si="28"/>
        <v>PZQ</v>
      </c>
      <c r="BV154" s="104" t="str">
        <f t="shared" si="29"/>
        <v>lf+schist </v>
      </c>
      <c r="BW154" s="150" t="str">
        <f t="shared" si="30"/>
        <v/>
      </c>
      <c r="BX154" s="312">
        <f t="shared" si="31"/>
        <v>7765.053738</v>
      </c>
      <c r="BY154" s="162">
        <f t="shared" si="32"/>
        <v>34068.42937</v>
      </c>
      <c r="BZ154" s="152" t="str">
        <f t="shared" si="33"/>
        <v/>
      </c>
      <c r="CA154" s="152" t="str">
        <f t="shared" si="34"/>
        <v/>
      </c>
      <c r="CB154" s="152" t="str">
        <f t="shared" si="35"/>
        <v/>
      </c>
      <c r="CC154" s="153" t="str">
        <f t="shared" si="36"/>
        <v/>
      </c>
      <c r="CD154" s="153" t="str">
        <f t="shared" si="37"/>
        <v/>
      </c>
      <c r="CE154" s="154" t="str">
        <f t="shared" si="38"/>
        <v/>
      </c>
      <c r="CF154" s="154" t="str">
        <f t="shared" si="39"/>
        <v/>
      </c>
      <c r="CG154" s="154" t="str">
        <f t="shared" si="40"/>
        <v/>
      </c>
      <c r="CH154" s="308" t="str">
        <f t="shared" si="41"/>
        <v/>
      </c>
    </row>
    <row r="155">
      <c r="A155" s="155" t="s">
        <v>244</v>
      </c>
      <c r="B155" s="104" t="s">
        <v>90</v>
      </c>
      <c r="C155" s="428">
        <v>3.7986412E7</v>
      </c>
      <c r="D155" s="161">
        <v>0.0</v>
      </c>
      <c r="E155" s="294">
        <v>0.0</v>
      </c>
      <c r="F155" s="307">
        <v>0.0</v>
      </c>
      <c r="G155" s="309">
        <v>0.0</v>
      </c>
      <c r="H155" s="108">
        <v>0.0</v>
      </c>
      <c r="I155" s="109">
        <v>0.0</v>
      </c>
      <c r="J155" s="109">
        <v>0.0</v>
      </c>
      <c r="K155" s="109">
        <v>0.0</v>
      </c>
      <c r="L155" s="112">
        <v>0.353102332</v>
      </c>
      <c r="M155" s="112">
        <v>0.206966942</v>
      </c>
      <c r="N155" s="112">
        <v>0.560069274</v>
      </c>
      <c r="O155" s="298">
        <v>0.0</v>
      </c>
      <c r="P155" s="114"/>
      <c r="Q155" s="114"/>
      <c r="R155" s="121" t="str">
        <f t="shared" si="4"/>
        <v/>
      </c>
      <c r="S155" s="116">
        <f t="shared" si="5"/>
        <v>0.5709301448</v>
      </c>
      <c r="T155" s="117"/>
      <c r="U155" s="118">
        <f t="shared" si="6"/>
        <v>0.4791888889</v>
      </c>
      <c r="V155" s="148"/>
      <c r="W155" s="120">
        <f t="shared" si="7"/>
        <v>0.0223</v>
      </c>
      <c r="X155" s="148"/>
      <c r="Y155" s="120">
        <f t="shared" si="8"/>
        <v>0.598275</v>
      </c>
      <c r="Z155" s="299"/>
      <c r="AA155" s="441"/>
      <c r="AB155" s="300" t="str">
        <f t="shared" si="9"/>
        <v/>
      </c>
      <c r="AC155" s="300">
        <f t="shared" si="10"/>
        <v>0.6890056172</v>
      </c>
      <c r="AD155" s="122">
        <v>0.0</v>
      </c>
      <c r="AE155" s="123">
        <v>0.0</v>
      </c>
      <c r="AF155" s="430">
        <v>0.0</v>
      </c>
      <c r="AG155" s="316">
        <v>0.0</v>
      </c>
      <c r="AH155" s="316">
        <v>0.0</v>
      </c>
      <c r="AI155" s="317">
        <v>0.0</v>
      </c>
      <c r="AJ155" s="317">
        <v>0.0</v>
      </c>
      <c r="AK155" s="319">
        <v>0.0</v>
      </c>
      <c r="AL155" s="319">
        <v>0.0</v>
      </c>
      <c r="AM155" s="302">
        <v>0.0</v>
      </c>
      <c r="AN155" s="149" t="str">
        <f>IFERROR(
  AVERAGEIFS(
    'New LF Efficacy'!$J:$J,
    'New LF Efficacy'!$D:$D, $A155,
    'New LF Efficacy'!$F:$F,"DEC", 
    'New LF Efficacy'!$W:$W,"&lt;2016",
    'New LF Efficacy'!$AA:$AA,""),
  ""
)</f>
        <v/>
      </c>
      <c r="AO155" s="115">
        <f t="shared" si="11"/>
        <v>0.3573520833</v>
      </c>
      <c r="AP155" s="149" t="str">
        <f>IFERROR(
AVERAGEIFS(
'New LF Efficacy'!$J:$J,
'New LF Efficacy'!$D:$D,$A155,
'New LF Efficacy'!$F:$F,"Albendazole &amp; DEC",
'New LF Efficacy'!$W:$W,"&lt;2016",
'New LF Efficacy'!$AA:$AA,""),
"")
</f>
        <v/>
      </c>
      <c r="AQ155" s="115">
        <f t="shared" si="12"/>
        <v>0.5143541667</v>
      </c>
      <c r="AR155" s="149" t="str">
        <f>IFERROR(
AVERAGEIFS(
'New LF Efficacy'!$J:$J,
'New LF Efficacy'!$D:$D,$A155,
'New LF Efficacy'!$F:$F,"Albendazole &amp; Ivermectin", 
'New LF Efficacy'!$W:$W,"&lt;2016",
'New LF Efficacy'!$AA:$AA,""),"")</f>
        <v/>
      </c>
      <c r="AS155" s="115">
        <f t="shared" si="13"/>
        <v>0.37153125</v>
      </c>
      <c r="AT155" s="442" t="str">
        <f>IFERROR(AVERAGEIFS(
'Schist Efficacy'!$O:$O, 
'Schist Efficacy'!$C:$C,$A155, 
'Schist Efficacy'!$D:$D, "Praziquantel",
'Schist Efficacy'!$J:$J,"&lt;2016",
'Schist Efficacy'!$U:$U,""),
"")</f>
        <v/>
      </c>
      <c r="AU155" s="118">
        <f t="shared" si="14"/>
        <v>0.655</v>
      </c>
      <c r="AV155" s="131" t="str">
        <f>IFERROR(AVERAGEIFS(
'STH Efficacy'!$AX:$AX, 
'STH Efficacy'!$AL:$AL, $A155, 
'STH Efficacy'!$AM:$AM, "Albendazole",
'STH Efficacy'!$AS:$AS,"&lt;2016",
'STH Efficacy'!$BP:$BP,""),
"")</f>
        <v/>
      </c>
      <c r="AW155" s="132">
        <f t="shared" si="15"/>
        <v>0.4143846154</v>
      </c>
      <c r="AX155" s="131" t="str">
        <f>IFERROR(AVERAGEIFS(
'STH Efficacy'!$AX:$AX, 
'STH Efficacy'!$AL:$AL, $A155, 
'STH Efficacy'!$AM:$AM, "Mebendazole",
'STH Efficacy'!$AS:$AS,"&lt;2016",
'STH Efficacy'!$BP:$BP,""),
"")</f>
        <v/>
      </c>
      <c r="AY155" s="132">
        <f t="shared" si="16"/>
        <v>0.4691770833</v>
      </c>
      <c r="AZ155" s="131" t="str">
        <f>IFERROR(AVERAGEIFS(
'STH Efficacy'!$AX:$AX, 
'STH Efficacy'!$AL:$AL, $A155, 
'STH Efficacy'!$AM:$AM, "Albendazole &amp; Ivermectin",
'STH Efficacy'!$AS:$AS,"&lt;2016",
'STH Efficacy'!$BP:$BP,""),
"")</f>
        <v/>
      </c>
      <c r="BA155" s="133">
        <f t="shared" si="17"/>
        <v>0.597625</v>
      </c>
      <c r="BB155" s="443" t="str">
        <f>IFERROR(AVERAGEIFS(
'STH Efficacy'!$N:$N, 
'STH Efficacy'!$B:$B, $A155, 
'STH Efficacy'!$C:$C, "Albendazole",
'STH Efficacy'!$I:$I,"&lt;2016",
'STH Efficacy'!$AH:$AH,""),
"")</f>
        <v/>
      </c>
      <c r="BC155" s="135">
        <f t="shared" si="18"/>
        <v>0.7613712121</v>
      </c>
      <c r="BD155" s="443" t="str">
        <f>IFERROR(AVERAGEIFS(
'STH Efficacy'!$N:$N, 
'STH Efficacy'!$B:$B, $A155, 
'STH Efficacy'!$C:$C, "Mebendazole",
'STH Efficacy'!$I:$I,"&lt;2016",
'STH Efficacy'!$AH:$AH,""),
"")</f>
        <v/>
      </c>
      <c r="BE155" s="135">
        <f t="shared" si="19"/>
        <v>0.4362466667</v>
      </c>
      <c r="BF155" s="436" t="str">
        <f>IFERROR(AVERAGEIFS(
'STH Efficacy'!$CD:$CD, 
'STH Efficacy'!$BS:$BS, $A155, 
'STH Efficacy'!$BT:$BT, "Albendazole",
'STH Efficacy'!$BZ:$BZ,"&lt;2016",
'STH Efficacy'!$CU:$CU,""),
"")</f>
        <v/>
      </c>
      <c r="BG155" s="136">
        <f t="shared" si="20"/>
        <v>0.9216027778</v>
      </c>
      <c r="BH155" s="436" t="str">
        <f>IFERROR(AVERAGEIFS(
'STH Efficacy'!$CD:$CD, 
'STH Efficacy'!$BS:$BS, $A155, 
'STH Efficacy'!$BT:$BT, "Mebendazole",
'STH Efficacy'!$BZ:$BZ,"&lt;2016",
'STH Efficacy'!$CU:$CU,""),
"")</f>
        <v/>
      </c>
      <c r="BI155" s="136">
        <f t="shared" si="21"/>
        <v>0.8866041667</v>
      </c>
      <c r="BJ155" s="436" t="str">
        <f>IFERROR(AVERAGEIFS(
'STH Efficacy'!$CD:$CD, 
'STH Efficacy'!$BS:$BS, $A155, 
'STH Efficacy'!$BT:$BT, "Albendazole &amp; Ivermectin",
'STH Efficacy'!$BZ:$BZ,"&lt;2016",
'STH Efficacy'!$CU:$CU,""),
"")</f>
        <v/>
      </c>
      <c r="BK155" s="136">
        <f t="shared" si="22"/>
        <v>0.848</v>
      </c>
      <c r="BL155" s="444" t="str">
        <f>IFERROR(
  AVERAGEIFS(
    'NEW Onchocerciasis Efficacy'!$AO:$AO,
    'NEW Onchocerciasis Efficacy'!$C:$C,$A155,
    'NEW Onchocerciasis Efficacy'!$D:$D,"Ivermectin",
    'NEW Onchocerciasis Efficacy'!$AR:$AR,"&lt;2016",
    'NEW Onchocerciasis Efficacy'!$BG:$BG,"")
,"")</f>
        <v/>
      </c>
      <c r="BM155" s="304">
        <f t="shared" si="23"/>
        <v>0.7808368939</v>
      </c>
      <c r="BN155" s="439">
        <v>0.0</v>
      </c>
      <c r="BO155" s="139">
        <v>0.0</v>
      </c>
      <c r="BP155" s="140">
        <v>0.0</v>
      </c>
      <c r="BQ155" s="141">
        <f t="shared" si="24"/>
        <v>0</v>
      </c>
      <c r="BR155" s="104" t="str">
        <f t="shared" si="25"/>
        <v>0000</v>
      </c>
      <c r="BS155" s="104" t="str">
        <f t="shared" si="26"/>
        <v>no action required</v>
      </c>
      <c r="BT155" s="142" t="str">
        <f t="shared" si="43"/>
        <v/>
      </c>
      <c r="BU155" s="104" t="str">
        <f t="shared" si="28"/>
        <v/>
      </c>
      <c r="BV155" s="104" t="str">
        <f t="shared" si="29"/>
        <v>none</v>
      </c>
      <c r="BW155" s="150" t="str">
        <f t="shared" si="30"/>
        <v/>
      </c>
      <c r="BX155" s="150" t="str">
        <f t="shared" si="31"/>
        <v/>
      </c>
      <c r="BY155" s="151" t="str">
        <f t="shared" si="32"/>
        <v/>
      </c>
      <c r="BZ155" s="152" t="str">
        <f t="shared" si="33"/>
        <v/>
      </c>
      <c r="CA155" s="152" t="str">
        <f t="shared" si="34"/>
        <v/>
      </c>
      <c r="CB155" s="152" t="str">
        <f t="shared" si="35"/>
        <v/>
      </c>
      <c r="CC155" s="153" t="str">
        <f t="shared" si="36"/>
        <v/>
      </c>
      <c r="CD155" s="153" t="str">
        <f t="shared" si="37"/>
        <v/>
      </c>
      <c r="CE155" s="154" t="str">
        <f t="shared" si="38"/>
        <v/>
      </c>
      <c r="CF155" s="154" t="str">
        <f t="shared" si="39"/>
        <v/>
      </c>
      <c r="CG155" s="154" t="str">
        <f t="shared" si="40"/>
        <v/>
      </c>
      <c r="CH155" s="308" t="str">
        <f t="shared" si="41"/>
        <v/>
      </c>
    </row>
    <row r="156">
      <c r="A156" s="155" t="s">
        <v>245</v>
      </c>
      <c r="B156" s="104" t="s">
        <v>90</v>
      </c>
      <c r="C156" s="428">
        <v>1.0358076E7</v>
      </c>
      <c r="D156" s="161">
        <v>0.0</v>
      </c>
      <c r="E156" s="294">
        <v>0.0</v>
      </c>
      <c r="F156" s="307">
        <v>0.0</v>
      </c>
      <c r="G156" s="309">
        <v>0.0</v>
      </c>
      <c r="H156" s="108">
        <v>0.0</v>
      </c>
      <c r="I156" s="109">
        <v>0.0</v>
      </c>
      <c r="J156" s="109">
        <v>0.0</v>
      </c>
      <c r="K156" s="109">
        <v>0.0</v>
      </c>
      <c r="L156" s="112">
        <v>0.0</v>
      </c>
      <c r="M156" s="112">
        <v>0.0</v>
      </c>
      <c r="N156" s="112">
        <v>0.0</v>
      </c>
      <c r="O156" s="298">
        <v>0.0</v>
      </c>
      <c r="P156" s="114"/>
      <c r="Q156" s="114"/>
      <c r="R156" s="121" t="str">
        <f t="shared" si="4"/>
        <v/>
      </c>
      <c r="S156" s="116">
        <f t="shared" si="5"/>
        <v>0.5709301448</v>
      </c>
      <c r="T156" s="117"/>
      <c r="U156" s="118">
        <f t="shared" si="6"/>
        <v>0.4791888889</v>
      </c>
      <c r="V156" s="148"/>
      <c r="W156" s="120">
        <f t="shared" si="7"/>
        <v>0.0223</v>
      </c>
      <c r="X156" s="148"/>
      <c r="Y156" s="120">
        <f t="shared" si="8"/>
        <v>0.598275</v>
      </c>
      <c r="Z156" s="299"/>
      <c r="AA156" s="441"/>
      <c r="AB156" s="300" t="str">
        <f t="shared" si="9"/>
        <v/>
      </c>
      <c r="AC156" s="300">
        <f t="shared" si="10"/>
        <v>0.6890056172</v>
      </c>
      <c r="AD156" s="122">
        <v>0.0</v>
      </c>
      <c r="AE156" s="123">
        <v>0.0</v>
      </c>
      <c r="AF156" s="430">
        <v>0.0</v>
      </c>
      <c r="AG156" s="316">
        <v>0.0</v>
      </c>
      <c r="AH156" s="316">
        <v>0.0</v>
      </c>
      <c r="AI156" s="317">
        <v>0.0</v>
      </c>
      <c r="AJ156" s="317">
        <v>0.0</v>
      </c>
      <c r="AK156" s="319">
        <v>0.0</v>
      </c>
      <c r="AL156" s="319">
        <v>0.0</v>
      </c>
      <c r="AM156" s="302">
        <v>0.0</v>
      </c>
      <c r="AN156" s="149" t="str">
        <f>IFERROR(
  AVERAGEIFS(
    'New LF Efficacy'!$J:$J,
    'New LF Efficacy'!$D:$D, $A156,
    'New LF Efficacy'!$F:$F,"DEC", 
    'New LF Efficacy'!$W:$W,"&lt;2016",
    'New LF Efficacy'!$AA:$AA,""),
  ""
)</f>
        <v/>
      </c>
      <c r="AO156" s="115">
        <f t="shared" si="11"/>
        <v>0.3573520833</v>
      </c>
      <c r="AP156" s="149" t="str">
        <f>IFERROR(
AVERAGEIFS(
'New LF Efficacy'!$J:$J,
'New LF Efficacy'!$D:$D,$A156,
'New LF Efficacy'!$F:$F,"Albendazole &amp; DEC",
'New LF Efficacy'!$W:$W,"&lt;2016",
'New LF Efficacy'!$AA:$AA,""),
"")
</f>
        <v/>
      </c>
      <c r="AQ156" s="115">
        <f t="shared" si="12"/>
        <v>0.5143541667</v>
      </c>
      <c r="AR156" s="149" t="str">
        <f>IFERROR(
AVERAGEIFS(
'New LF Efficacy'!$J:$J,
'New LF Efficacy'!$D:$D,$A156,
'New LF Efficacy'!$F:$F,"Albendazole &amp; Ivermectin", 
'New LF Efficacy'!$W:$W,"&lt;2016",
'New LF Efficacy'!$AA:$AA,""),"")</f>
        <v/>
      </c>
      <c r="AS156" s="115">
        <f t="shared" si="13"/>
        <v>0.37153125</v>
      </c>
      <c r="AT156" s="442" t="str">
        <f>IFERROR(AVERAGEIFS(
'Schist Efficacy'!$O:$O, 
'Schist Efficacy'!$C:$C,$A156, 
'Schist Efficacy'!$D:$D, "Praziquantel",
'Schist Efficacy'!$J:$J,"&lt;2016",
'Schist Efficacy'!$U:$U,""),
"")</f>
        <v/>
      </c>
      <c r="AU156" s="118">
        <f t="shared" si="14"/>
        <v>0.655</v>
      </c>
      <c r="AV156" s="131" t="str">
        <f>IFERROR(AVERAGEIFS(
'STH Efficacy'!$AX:$AX, 
'STH Efficacy'!$AL:$AL, $A156, 
'STH Efficacy'!$AM:$AM, "Albendazole",
'STH Efficacy'!$AS:$AS,"&lt;2016",
'STH Efficacy'!$BP:$BP,""),
"")</f>
        <v/>
      </c>
      <c r="AW156" s="132">
        <f t="shared" si="15"/>
        <v>0.4143846154</v>
      </c>
      <c r="AX156" s="131" t="str">
        <f>IFERROR(AVERAGEIFS(
'STH Efficacy'!$AX:$AX, 
'STH Efficacy'!$AL:$AL, $A156, 
'STH Efficacy'!$AM:$AM, "Mebendazole",
'STH Efficacy'!$AS:$AS,"&lt;2016",
'STH Efficacy'!$BP:$BP,""),
"")</f>
        <v/>
      </c>
      <c r="AY156" s="132">
        <f t="shared" si="16"/>
        <v>0.4691770833</v>
      </c>
      <c r="AZ156" s="131" t="str">
        <f>IFERROR(AVERAGEIFS(
'STH Efficacy'!$AX:$AX, 
'STH Efficacy'!$AL:$AL, $A156, 
'STH Efficacy'!$AM:$AM, "Albendazole &amp; Ivermectin",
'STH Efficacy'!$AS:$AS,"&lt;2016",
'STH Efficacy'!$BP:$BP,""),
"")</f>
        <v/>
      </c>
      <c r="BA156" s="133">
        <f t="shared" si="17"/>
        <v>0.597625</v>
      </c>
      <c r="BB156" s="443" t="str">
        <f>IFERROR(AVERAGEIFS(
'STH Efficacy'!$N:$N, 
'STH Efficacy'!$B:$B, $A156, 
'STH Efficacy'!$C:$C, "Albendazole",
'STH Efficacy'!$I:$I,"&lt;2016",
'STH Efficacy'!$AH:$AH,""),
"")</f>
        <v/>
      </c>
      <c r="BC156" s="135">
        <f t="shared" si="18"/>
        <v>0.7613712121</v>
      </c>
      <c r="BD156" s="443" t="str">
        <f>IFERROR(AVERAGEIFS(
'STH Efficacy'!$N:$N, 
'STH Efficacy'!$B:$B, $A156, 
'STH Efficacy'!$C:$C, "Mebendazole",
'STH Efficacy'!$I:$I,"&lt;2016",
'STH Efficacy'!$AH:$AH,""),
"")</f>
        <v/>
      </c>
      <c r="BE156" s="135">
        <f t="shared" si="19"/>
        <v>0.4362466667</v>
      </c>
      <c r="BF156" s="436" t="str">
        <f>IFERROR(AVERAGEIFS(
'STH Efficacy'!$CD:$CD, 
'STH Efficacy'!$BS:$BS, $A156, 
'STH Efficacy'!$BT:$BT, "Albendazole",
'STH Efficacy'!$BZ:$BZ,"&lt;2016",
'STH Efficacy'!$CU:$CU,""),
"")</f>
        <v/>
      </c>
      <c r="BG156" s="136">
        <f t="shared" si="20"/>
        <v>0.9216027778</v>
      </c>
      <c r="BH156" s="436" t="str">
        <f>IFERROR(AVERAGEIFS(
'STH Efficacy'!$CD:$CD, 
'STH Efficacy'!$BS:$BS, $A156, 
'STH Efficacy'!$BT:$BT, "Mebendazole",
'STH Efficacy'!$BZ:$BZ,"&lt;2016",
'STH Efficacy'!$CU:$CU,""),
"")</f>
        <v/>
      </c>
      <c r="BI156" s="136">
        <f t="shared" si="21"/>
        <v>0.8866041667</v>
      </c>
      <c r="BJ156" s="436" t="str">
        <f>IFERROR(AVERAGEIFS(
'STH Efficacy'!$CD:$CD, 
'STH Efficacy'!$BS:$BS, $A156, 
'STH Efficacy'!$BT:$BT, "Albendazole &amp; Ivermectin",
'STH Efficacy'!$BZ:$BZ,"&lt;2016",
'STH Efficacy'!$CU:$CU,""),
"")</f>
        <v/>
      </c>
      <c r="BK156" s="136">
        <f t="shared" si="22"/>
        <v>0.848</v>
      </c>
      <c r="BL156" s="444" t="str">
        <f>IFERROR(
  AVERAGEIFS(
    'NEW Onchocerciasis Efficacy'!$AO:$AO,
    'NEW Onchocerciasis Efficacy'!$C:$C,$A156,
    'NEW Onchocerciasis Efficacy'!$D:$D,"Ivermectin",
    'NEW Onchocerciasis Efficacy'!$AR:$AR,"&lt;2016",
    'NEW Onchocerciasis Efficacy'!$BG:$BG,"")
,"")</f>
        <v/>
      </c>
      <c r="BM156" s="304">
        <f t="shared" si="23"/>
        <v>0.7808368939</v>
      </c>
      <c r="BN156" s="439">
        <v>0.0</v>
      </c>
      <c r="BO156" s="139">
        <v>0.0</v>
      </c>
      <c r="BP156" s="140">
        <v>0.0</v>
      </c>
      <c r="BQ156" s="141">
        <f t="shared" si="24"/>
        <v>0</v>
      </c>
      <c r="BR156" s="104" t="str">
        <f t="shared" si="25"/>
        <v>0000</v>
      </c>
      <c r="BS156" s="104" t="str">
        <f t="shared" si="26"/>
        <v>no action required</v>
      </c>
      <c r="BT156" s="142" t="str">
        <f t="shared" si="43"/>
        <v/>
      </c>
      <c r="BU156" s="104" t="str">
        <f t="shared" si="28"/>
        <v/>
      </c>
      <c r="BV156" s="104" t="str">
        <f t="shared" si="29"/>
        <v>none</v>
      </c>
      <c r="BW156" s="150" t="str">
        <f t="shared" si="30"/>
        <v/>
      </c>
      <c r="BX156" s="150" t="str">
        <f t="shared" si="31"/>
        <v/>
      </c>
      <c r="BY156" s="151" t="str">
        <f t="shared" si="32"/>
        <v/>
      </c>
      <c r="BZ156" s="152" t="str">
        <f t="shared" si="33"/>
        <v/>
      </c>
      <c r="CA156" s="152" t="str">
        <f t="shared" si="34"/>
        <v/>
      </c>
      <c r="CB156" s="152" t="str">
        <f t="shared" si="35"/>
        <v/>
      </c>
      <c r="CC156" s="153" t="str">
        <f t="shared" si="36"/>
        <v/>
      </c>
      <c r="CD156" s="153" t="str">
        <f t="shared" si="37"/>
        <v/>
      </c>
      <c r="CE156" s="154" t="str">
        <f t="shared" si="38"/>
        <v/>
      </c>
      <c r="CF156" s="154" t="str">
        <f t="shared" si="39"/>
        <v/>
      </c>
      <c r="CG156" s="154" t="str">
        <f t="shared" si="40"/>
        <v/>
      </c>
      <c r="CH156" s="308" t="str">
        <f t="shared" si="41"/>
        <v/>
      </c>
    </row>
    <row r="157">
      <c r="A157" s="155" t="s">
        <v>246</v>
      </c>
      <c r="B157" s="104" t="s">
        <v>98</v>
      </c>
      <c r="C157" s="428">
        <v>3473181.0</v>
      </c>
      <c r="D157" s="161">
        <v>0.0</v>
      </c>
      <c r="E157" s="294">
        <v>136.8935735</v>
      </c>
      <c r="F157" s="307">
        <v>0.0</v>
      </c>
      <c r="G157" s="309">
        <v>0.0</v>
      </c>
      <c r="H157" s="108">
        <v>0.0</v>
      </c>
      <c r="I157" s="109">
        <v>0.0</v>
      </c>
      <c r="J157" s="109">
        <v>0.0</v>
      </c>
      <c r="K157" s="109">
        <v>0.0</v>
      </c>
      <c r="L157" s="112">
        <v>0.0</v>
      </c>
      <c r="M157" s="112">
        <v>0.0</v>
      </c>
      <c r="N157" s="112">
        <v>0.0</v>
      </c>
      <c r="O157" s="298">
        <v>0.0</v>
      </c>
      <c r="P157" s="114"/>
      <c r="Q157" s="114"/>
      <c r="R157" s="121" t="str">
        <f t="shared" si="4"/>
        <v/>
      </c>
      <c r="S157" s="116">
        <f t="shared" si="5"/>
        <v>0.3565746084</v>
      </c>
      <c r="T157" s="117"/>
      <c r="U157" s="118">
        <f t="shared" si="6"/>
        <v>0.4791888889</v>
      </c>
      <c r="V157" s="148"/>
      <c r="W157" s="120">
        <f t="shared" si="7"/>
        <v>0.685</v>
      </c>
      <c r="X157" s="148"/>
      <c r="Y157" s="120">
        <f t="shared" si="8"/>
        <v>0.7550545455</v>
      </c>
      <c r="Z157" s="299"/>
      <c r="AA157" s="441"/>
      <c r="AB157" s="300" t="str">
        <f t="shared" si="9"/>
        <v/>
      </c>
      <c r="AC157" s="300">
        <f t="shared" si="10"/>
        <v>0.7101368438</v>
      </c>
      <c r="AD157" s="122">
        <v>0.0</v>
      </c>
      <c r="AE157" s="123">
        <v>0.0</v>
      </c>
      <c r="AF157" s="430">
        <v>1.0E-4</v>
      </c>
      <c r="AG157" s="316">
        <v>0.0</v>
      </c>
      <c r="AH157" s="316">
        <v>0.0</v>
      </c>
      <c r="AI157" s="317">
        <v>0.0</v>
      </c>
      <c r="AJ157" s="317">
        <v>0.0</v>
      </c>
      <c r="AK157" s="319">
        <v>0.0</v>
      </c>
      <c r="AL157" s="319">
        <v>0.0</v>
      </c>
      <c r="AM157" s="302">
        <v>0.0</v>
      </c>
      <c r="AN157" s="149" t="str">
        <f>IFERROR(
  AVERAGEIFS(
    'New LF Efficacy'!$J:$J,
    'New LF Efficacy'!$D:$D, $A157,
    'New LF Efficacy'!$F:$F,"DEC", 
    'New LF Efficacy'!$W:$W,"&lt;2016",
    'New LF Efficacy'!$AA:$AA,""),
  ""
)</f>
        <v/>
      </c>
      <c r="AO157" s="115">
        <f t="shared" si="11"/>
        <v>0.2589833333</v>
      </c>
      <c r="AP157" s="149" t="str">
        <f>IFERROR(
AVERAGEIFS(
'New LF Efficacy'!$J:$J,
'New LF Efficacy'!$D:$D,$A157,
'New LF Efficacy'!$F:$F,"Albendazole &amp; DEC",
'New LF Efficacy'!$W:$W,"&lt;2016",
'New LF Efficacy'!$AA:$AA,""),
"")
</f>
        <v/>
      </c>
      <c r="AQ157" s="115">
        <f t="shared" si="12"/>
        <v>0.3465</v>
      </c>
      <c r="AR157" s="149" t="str">
        <f>IFERROR(
AVERAGEIFS(
'New LF Efficacy'!$J:$J,
'New LF Efficacy'!$D:$D,$A157,
'New LF Efficacy'!$F:$F,"Albendazole &amp; Ivermectin", 
'New LF Efficacy'!$W:$W,"&lt;2016",
'New LF Efficacy'!$AA:$AA,""),"")</f>
        <v/>
      </c>
      <c r="AS157" s="115">
        <f t="shared" si="13"/>
        <v>0.7575</v>
      </c>
      <c r="AT157" s="442" t="str">
        <f>IFERROR(AVERAGEIFS(
'Schist Efficacy'!$O:$O, 
'Schist Efficacy'!$C:$C,$A157, 
'Schist Efficacy'!$D:$D, "Praziquantel",
'Schist Efficacy'!$J:$J,"&lt;2016",
'Schist Efficacy'!$U:$U,""),
"")</f>
        <v/>
      </c>
      <c r="AU157" s="118">
        <f t="shared" si="14"/>
        <v>0.7914761905</v>
      </c>
      <c r="AV157" s="131" t="str">
        <f>IFERROR(AVERAGEIFS(
'STH Efficacy'!$AX:$AX, 
'STH Efficacy'!$AL:$AL, $A157, 
'STH Efficacy'!$AM:$AM, "Albendazole",
'STH Efficacy'!$AS:$AS,"&lt;2016",
'STH Efficacy'!$BP:$BP,""),
"")</f>
        <v/>
      </c>
      <c r="AW157" s="132">
        <f t="shared" si="15"/>
        <v>0.3945</v>
      </c>
      <c r="AX157" s="131" t="str">
        <f>IFERROR(AVERAGEIFS(
'STH Efficacy'!$AX:$AX, 
'STH Efficacy'!$AL:$AL, $A157, 
'STH Efficacy'!$AM:$AM, "Mebendazole",
'STH Efficacy'!$AS:$AS,"&lt;2016",
'STH Efficacy'!$BP:$BP,""),
"")</f>
        <v/>
      </c>
      <c r="AY157" s="132">
        <f t="shared" si="16"/>
        <v>0.6</v>
      </c>
      <c r="AZ157" s="131" t="str">
        <f>IFERROR(AVERAGEIFS(
'STH Efficacy'!$AX:$AX, 
'STH Efficacy'!$AL:$AL, $A157, 
'STH Efficacy'!$AM:$AM, "Albendazole &amp; Ivermectin",
'STH Efficacy'!$AS:$AS,"&lt;2016",
'STH Efficacy'!$BP:$BP,""),
"")</f>
        <v/>
      </c>
      <c r="BA157" s="133">
        <f t="shared" si="17"/>
        <v>0.796</v>
      </c>
      <c r="BB157" s="443" t="str">
        <f>IFERROR(AVERAGEIFS(
'STH Efficacy'!$N:$N, 
'STH Efficacy'!$B:$B, $A157, 
'STH Efficacy'!$C:$C, "Albendazole",
'STH Efficacy'!$I:$I,"&lt;2016",
'STH Efficacy'!$AH:$AH,""),
"")</f>
        <v/>
      </c>
      <c r="BC157" s="135">
        <f t="shared" si="18"/>
        <v>0.869</v>
      </c>
      <c r="BD157" s="443" t="str">
        <f>IFERROR(AVERAGEIFS(
'STH Efficacy'!$N:$N, 
'STH Efficacy'!$B:$B, $A157, 
'STH Efficacy'!$C:$C, "Mebendazole",
'STH Efficacy'!$I:$I,"&lt;2016",
'STH Efficacy'!$AH:$AH,""),
"")</f>
        <v/>
      </c>
      <c r="BE157" s="135">
        <f t="shared" si="19"/>
        <v>0.172</v>
      </c>
      <c r="BF157" s="436" t="str">
        <f>IFERROR(AVERAGEIFS(
'STH Efficacy'!$CD:$CD, 
'STH Efficacy'!$BS:$BS, $A157, 
'STH Efficacy'!$BT:$BT, "Albendazole",
'STH Efficacy'!$BZ:$BZ,"&lt;2016",
'STH Efficacy'!$CU:$CU,""),
"")</f>
        <v/>
      </c>
      <c r="BG157" s="136">
        <f t="shared" si="20"/>
        <v>0.9862</v>
      </c>
      <c r="BH157" s="436" t="str">
        <f>IFERROR(AVERAGEIFS(
'STH Efficacy'!$CD:$CD, 
'STH Efficacy'!$BS:$BS, $A157, 
'STH Efficacy'!$BT:$BT, "Mebendazole",
'STH Efficacy'!$BZ:$BZ,"&lt;2016",
'STH Efficacy'!$CU:$CU,""),
"")</f>
        <v/>
      </c>
      <c r="BI157" s="136">
        <f t="shared" si="21"/>
        <v>0.769</v>
      </c>
      <c r="BJ157" s="436" t="str">
        <f>IFERROR(AVERAGEIFS(
'STH Efficacy'!$CD:$CD, 
'STH Efficacy'!$BS:$BS, $A157, 
'STH Efficacy'!$BT:$BT, "Albendazole &amp; Ivermectin",
'STH Efficacy'!$BZ:$BZ,"&lt;2016",
'STH Efficacy'!$CU:$CU,""),
"")</f>
        <v/>
      </c>
      <c r="BK157" s="136">
        <f t="shared" si="22"/>
        <v>1</v>
      </c>
      <c r="BL157" s="444" t="str">
        <f>IFERROR(
  AVERAGEIFS(
    'NEW Onchocerciasis Efficacy'!$AO:$AO,
    'NEW Onchocerciasis Efficacy'!$C:$C,$A157,
    'NEW Onchocerciasis Efficacy'!$D:$D,"Ivermectin",
    'NEW Onchocerciasis Efficacy'!$AR:$AR,"&lt;2016",
    'NEW Onchocerciasis Efficacy'!$BG:$BG,"")
,"")</f>
        <v/>
      </c>
      <c r="BM157" s="304">
        <f t="shared" si="23"/>
        <v>0.3734</v>
      </c>
      <c r="BN157" s="439">
        <v>0.0</v>
      </c>
      <c r="BO157" s="139">
        <v>0.0</v>
      </c>
      <c r="BP157" s="140">
        <v>0.0</v>
      </c>
      <c r="BQ157" s="141">
        <f t="shared" si="24"/>
        <v>0</v>
      </c>
      <c r="BR157" s="104" t="str">
        <f t="shared" si="25"/>
        <v>0000</v>
      </c>
      <c r="BS157" s="104" t="str">
        <f t="shared" si="26"/>
        <v>no action required</v>
      </c>
      <c r="BT157" s="142" t="str">
        <f t="shared" si="43"/>
        <v/>
      </c>
      <c r="BU157" s="104" t="str">
        <f t="shared" si="28"/>
        <v/>
      </c>
      <c r="BV157" s="104" t="str">
        <f t="shared" si="29"/>
        <v>none</v>
      </c>
      <c r="BW157" s="150" t="str">
        <f t="shared" si="30"/>
        <v/>
      </c>
      <c r="BX157" s="150" t="str">
        <f t="shared" si="31"/>
        <v/>
      </c>
      <c r="BY157" s="151" t="str">
        <f t="shared" si="32"/>
        <v/>
      </c>
      <c r="BZ157" s="152" t="str">
        <f t="shared" si="33"/>
        <v/>
      </c>
      <c r="CA157" s="152" t="str">
        <f t="shared" si="34"/>
        <v/>
      </c>
      <c r="CB157" s="152" t="str">
        <f t="shared" si="35"/>
        <v/>
      </c>
      <c r="CC157" s="153" t="str">
        <f t="shared" si="36"/>
        <v/>
      </c>
      <c r="CD157" s="153" t="str">
        <f t="shared" si="37"/>
        <v/>
      </c>
      <c r="CE157" s="154" t="str">
        <f t="shared" si="38"/>
        <v/>
      </c>
      <c r="CF157" s="154" t="str">
        <f t="shared" si="39"/>
        <v/>
      </c>
      <c r="CG157" s="154" t="str">
        <f t="shared" si="40"/>
        <v/>
      </c>
      <c r="CH157" s="308" t="str">
        <f t="shared" si="41"/>
        <v/>
      </c>
    </row>
    <row r="158">
      <c r="A158" s="155" t="s">
        <v>247</v>
      </c>
      <c r="B158" s="104" t="s">
        <v>88</v>
      </c>
      <c r="C158" s="428">
        <v>2481539.0</v>
      </c>
      <c r="D158" s="161">
        <v>0.0</v>
      </c>
      <c r="E158" s="294">
        <v>0.0</v>
      </c>
      <c r="F158" s="307">
        <v>0.0</v>
      </c>
      <c r="G158" s="309">
        <v>0.0</v>
      </c>
      <c r="H158" s="108">
        <v>0.0</v>
      </c>
      <c r="I158" s="109">
        <v>0.00695672</v>
      </c>
      <c r="J158" s="109">
        <v>0.0043695</v>
      </c>
      <c r="K158" s="109">
        <v>0.011326218</v>
      </c>
      <c r="L158" s="112">
        <v>0.0</v>
      </c>
      <c r="M158" s="112">
        <v>0.0</v>
      </c>
      <c r="N158" s="112">
        <v>0.0</v>
      </c>
      <c r="O158" s="298">
        <v>0.0</v>
      </c>
      <c r="P158" s="114"/>
      <c r="Q158" s="114"/>
      <c r="R158" s="121" t="str">
        <f t="shared" si="4"/>
        <v/>
      </c>
      <c r="S158" s="116">
        <f t="shared" si="5"/>
        <v>0.5709301448</v>
      </c>
      <c r="T158" s="117"/>
      <c r="U158" s="118">
        <f t="shared" si="6"/>
        <v>0.739</v>
      </c>
      <c r="V158" s="148"/>
      <c r="W158" s="120">
        <f t="shared" si="7"/>
        <v>0.9933333333</v>
      </c>
      <c r="X158" s="148"/>
      <c r="Y158" s="120">
        <f t="shared" si="8"/>
        <v>0.5301</v>
      </c>
      <c r="Z158" s="299"/>
      <c r="AA158" s="441"/>
      <c r="AB158" s="300" t="str">
        <f t="shared" si="9"/>
        <v/>
      </c>
      <c r="AC158" s="300">
        <f t="shared" si="10"/>
        <v>0.4014082288</v>
      </c>
      <c r="AD158" s="122">
        <v>0.0</v>
      </c>
      <c r="AE158" s="123">
        <v>0.0</v>
      </c>
      <c r="AF158" s="430">
        <v>0.0</v>
      </c>
      <c r="AG158" s="316">
        <v>0.0</v>
      </c>
      <c r="AH158" s="316">
        <v>1.17486E-5</v>
      </c>
      <c r="AI158" s="317">
        <v>0.0</v>
      </c>
      <c r="AJ158" s="317">
        <v>1.16719E-5</v>
      </c>
      <c r="AK158" s="319">
        <v>0.0</v>
      </c>
      <c r="AL158" s="319">
        <v>1.17404E-5</v>
      </c>
      <c r="AM158" s="302">
        <v>0.0</v>
      </c>
      <c r="AN158" s="149" t="str">
        <f>IFERROR(
  AVERAGEIFS(
    'New LF Efficacy'!$J:$J,
    'New LF Efficacy'!$D:$D, $A158,
    'New LF Efficacy'!$F:$F,"DEC", 
    'New LF Efficacy'!$W:$W,"&lt;2016",
    'New LF Efficacy'!$AA:$AA,""),
  ""
)</f>
        <v/>
      </c>
      <c r="AO158" s="115">
        <f t="shared" si="11"/>
        <v>0.3573520833</v>
      </c>
      <c r="AP158" s="149" t="str">
        <f>IFERROR(
AVERAGEIFS(
'New LF Efficacy'!$J:$J,
'New LF Efficacy'!$D:$D,$A158,
'New LF Efficacy'!$F:$F,"Albendazole &amp; DEC",
'New LF Efficacy'!$W:$W,"&lt;2016",
'New LF Efficacy'!$AA:$AA,""),
"")
</f>
        <v/>
      </c>
      <c r="AQ158" s="115">
        <f t="shared" si="12"/>
        <v>0.7935</v>
      </c>
      <c r="AR158" s="149" t="str">
        <f>IFERROR(
AVERAGEIFS(
'New LF Efficacy'!$J:$J,
'New LF Efficacy'!$D:$D,$A158,
'New LF Efficacy'!$F:$F,"Albendazole &amp; Ivermectin", 
'New LF Efficacy'!$W:$W,"&lt;2016",
'New LF Efficacy'!$AA:$AA,""),"")</f>
        <v/>
      </c>
      <c r="AS158" s="115">
        <f t="shared" si="13"/>
        <v>0.37153125</v>
      </c>
      <c r="AT158" s="442" t="str">
        <f>IFERROR(AVERAGEIFS(
'Schist Efficacy'!$O:$O, 
'Schist Efficacy'!$C:$C,$A158, 
'Schist Efficacy'!$D:$D, "Praziquantel",
'Schist Efficacy'!$J:$J,"&lt;2016",
'Schist Efficacy'!$U:$U,""),
"")</f>
        <v/>
      </c>
      <c r="AU158" s="118">
        <f t="shared" si="14"/>
        <v>0.7763141026</v>
      </c>
      <c r="AV158" s="131" t="str">
        <f>IFERROR(AVERAGEIFS(
'STH Efficacy'!$AX:$AX, 
'STH Efficacy'!$AL:$AL, $A158, 
'STH Efficacy'!$AM:$AM, "Albendazole",
'STH Efficacy'!$AS:$AS,"&lt;2016",
'STH Efficacy'!$BP:$BP,""),
"")</f>
        <v/>
      </c>
      <c r="AW158" s="132">
        <f t="shared" si="15"/>
        <v>0.4143846154</v>
      </c>
      <c r="AX158" s="131" t="str">
        <f>IFERROR(AVERAGEIFS(
'STH Efficacy'!$AX:$AX, 
'STH Efficacy'!$AL:$AL, $A158, 
'STH Efficacy'!$AM:$AM, "Mebendazole",
'STH Efficacy'!$AS:$AS,"&lt;2016",
'STH Efficacy'!$BP:$BP,""),
"")</f>
        <v/>
      </c>
      <c r="AY158" s="132">
        <f t="shared" si="16"/>
        <v>0.4691770833</v>
      </c>
      <c r="AZ158" s="131" t="str">
        <f>IFERROR(AVERAGEIFS(
'STH Efficacy'!$AX:$AX, 
'STH Efficacy'!$AL:$AL, $A158, 
'STH Efficacy'!$AM:$AM, "Albendazole &amp; Ivermectin",
'STH Efficacy'!$AS:$AS,"&lt;2016",
'STH Efficacy'!$BP:$BP,""),
"")</f>
        <v/>
      </c>
      <c r="BA158" s="133">
        <f t="shared" si="17"/>
        <v>0.597625</v>
      </c>
      <c r="BB158" s="443" t="str">
        <f>IFERROR(AVERAGEIFS(
'STH Efficacy'!$N:$N, 
'STH Efficacy'!$B:$B, $A158, 
'STH Efficacy'!$C:$C, "Albendazole",
'STH Efficacy'!$I:$I,"&lt;2016",
'STH Efficacy'!$AH:$AH,""),
"")</f>
        <v/>
      </c>
      <c r="BC158" s="135">
        <f t="shared" si="18"/>
        <v>0.7613712121</v>
      </c>
      <c r="BD158" s="443" t="str">
        <f>IFERROR(AVERAGEIFS(
'STH Efficacy'!$N:$N, 
'STH Efficacy'!$B:$B, $A158, 
'STH Efficacy'!$C:$C, "Mebendazole",
'STH Efficacy'!$I:$I,"&lt;2016",
'STH Efficacy'!$AH:$AH,""),
"")</f>
        <v/>
      </c>
      <c r="BE158" s="135">
        <f t="shared" si="19"/>
        <v>0.4362466667</v>
      </c>
      <c r="BF158" s="436" t="str">
        <f>IFERROR(AVERAGEIFS(
'STH Efficacy'!$CD:$CD, 
'STH Efficacy'!$BS:$BS, $A158, 
'STH Efficacy'!$BT:$BT, "Albendazole",
'STH Efficacy'!$BZ:$BZ,"&lt;2016",
'STH Efficacy'!$CU:$CU,""),
"")</f>
        <v/>
      </c>
      <c r="BG158" s="136">
        <f t="shared" si="20"/>
        <v>0.955</v>
      </c>
      <c r="BH158" s="436" t="str">
        <f>IFERROR(AVERAGEIFS(
'STH Efficacy'!$CD:$CD, 
'STH Efficacy'!$BS:$BS, $A158, 
'STH Efficacy'!$BT:$BT, "Mebendazole",
'STH Efficacy'!$BZ:$BZ,"&lt;2016",
'STH Efficacy'!$CU:$CU,""),
"")</f>
        <v/>
      </c>
      <c r="BI158" s="136">
        <f t="shared" si="21"/>
        <v>1</v>
      </c>
      <c r="BJ158" s="436" t="str">
        <f>IFERROR(AVERAGEIFS(
'STH Efficacy'!$CD:$CD, 
'STH Efficacy'!$BS:$BS, $A158, 
'STH Efficacy'!$BT:$BT, "Albendazole &amp; Ivermectin",
'STH Efficacy'!$BZ:$BZ,"&lt;2016",
'STH Efficacy'!$CU:$CU,""),
"")</f>
        <v/>
      </c>
      <c r="BK158" s="136">
        <f t="shared" si="22"/>
        <v>0.848</v>
      </c>
      <c r="BL158" s="444" t="str">
        <f>IFERROR(
  AVERAGEIFS(
    'NEW Onchocerciasis Efficacy'!$AO:$AO,
    'NEW Onchocerciasis Efficacy'!$C:$C,$A158,
    'NEW Onchocerciasis Efficacy'!$D:$D,"Ivermectin",
    'NEW Onchocerciasis Efficacy'!$AR:$AR,"&lt;2016",
    'NEW Onchocerciasis Efficacy'!$BG:$BG,"")
,"")</f>
        <v/>
      </c>
      <c r="BM158" s="304">
        <f t="shared" si="23"/>
        <v>0.7808368939</v>
      </c>
      <c r="BN158" s="439">
        <v>0.0</v>
      </c>
      <c r="BO158" s="139">
        <v>0.0</v>
      </c>
      <c r="BP158" s="140">
        <v>0.0</v>
      </c>
      <c r="BQ158" s="141">
        <f t="shared" si="24"/>
        <v>0</v>
      </c>
      <c r="BR158" s="104" t="str">
        <f t="shared" si="25"/>
        <v>0000</v>
      </c>
      <c r="BS158" s="104" t="str">
        <f t="shared" si="26"/>
        <v>no action required</v>
      </c>
      <c r="BT158" s="142" t="str">
        <f t="shared" si="43"/>
        <v/>
      </c>
      <c r="BU158" s="104" t="str">
        <f t="shared" si="28"/>
        <v/>
      </c>
      <c r="BV158" s="104" t="str">
        <f t="shared" si="29"/>
        <v>none</v>
      </c>
      <c r="BW158" s="150" t="str">
        <f t="shared" si="30"/>
        <v/>
      </c>
      <c r="BX158" s="150" t="str">
        <f t="shared" si="31"/>
        <v/>
      </c>
      <c r="BY158" s="151" t="str">
        <f t="shared" si="32"/>
        <v/>
      </c>
      <c r="BZ158" s="152" t="str">
        <f t="shared" si="33"/>
        <v/>
      </c>
      <c r="CA158" s="152" t="str">
        <f t="shared" si="34"/>
        <v/>
      </c>
      <c r="CB158" s="152" t="str">
        <f t="shared" si="35"/>
        <v/>
      </c>
      <c r="CC158" s="153" t="str">
        <f t="shared" si="36"/>
        <v/>
      </c>
      <c r="CD158" s="153" t="str">
        <f t="shared" si="37"/>
        <v/>
      </c>
      <c r="CE158" s="154" t="str">
        <f t="shared" si="38"/>
        <v/>
      </c>
      <c r="CF158" s="154" t="str">
        <f t="shared" si="39"/>
        <v/>
      </c>
      <c r="CG158" s="154" t="str">
        <f t="shared" si="40"/>
        <v/>
      </c>
      <c r="CH158" s="308" t="str">
        <f t="shared" si="41"/>
        <v/>
      </c>
    </row>
    <row r="159">
      <c r="A159" s="155" t="s">
        <v>248</v>
      </c>
      <c r="B159" s="104" t="s">
        <v>94</v>
      </c>
      <c r="C159" s="428">
        <v>5.1014947E7</v>
      </c>
      <c r="D159" s="161">
        <v>0.0</v>
      </c>
      <c r="E159" s="294">
        <v>0.0</v>
      </c>
      <c r="F159" s="307">
        <v>0.0</v>
      </c>
      <c r="G159" s="328">
        <v>5.83397E-5</v>
      </c>
      <c r="H159" s="179">
        <v>5.83397E-5</v>
      </c>
      <c r="I159" s="109">
        <v>0.0</v>
      </c>
      <c r="J159" s="109">
        <v>0.0</v>
      </c>
      <c r="K159" s="109">
        <v>0.421452695</v>
      </c>
      <c r="L159" s="112">
        <v>0.0</v>
      </c>
      <c r="M159" s="112">
        <v>0.0</v>
      </c>
      <c r="N159" s="112">
        <v>0.0</v>
      </c>
      <c r="O159" s="298">
        <v>0.0</v>
      </c>
      <c r="P159" s="114"/>
      <c r="Q159" s="114"/>
      <c r="R159" s="121" t="str">
        <f t="shared" si="4"/>
        <v/>
      </c>
      <c r="S159" s="116">
        <f t="shared" si="5"/>
        <v>0.3783554476</v>
      </c>
      <c r="T159" s="117"/>
      <c r="U159" s="118">
        <f t="shared" si="6"/>
        <v>0.73965</v>
      </c>
      <c r="V159" s="148"/>
      <c r="W159" s="120">
        <f t="shared" si="7"/>
        <v>0.6141272727</v>
      </c>
      <c r="X159" s="148"/>
      <c r="Y159" s="120">
        <f t="shared" si="8"/>
        <v>0.6018090909</v>
      </c>
      <c r="Z159" s="299"/>
      <c r="AA159" s="441"/>
      <c r="AB159" s="300" t="str">
        <f t="shared" si="9"/>
        <v/>
      </c>
      <c r="AC159" s="300">
        <f t="shared" si="10"/>
        <v>0.6890056172</v>
      </c>
      <c r="AD159" s="122">
        <v>0.0025</v>
      </c>
      <c r="AE159" s="123">
        <v>0.0</v>
      </c>
      <c r="AF159" s="445">
        <v>0.0</v>
      </c>
      <c r="AG159" s="316">
        <v>0.0</v>
      </c>
      <c r="AH159" s="316">
        <v>0.003635772</v>
      </c>
      <c r="AI159" s="317">
        <v>0.0</v>
      </c>
      <c r="AJ159" s="317">
        <v>1.31731E-5</v>
      </c>
      <c r="AK159" s="319">
        <v>0.0</v>
      </c>
      <c r="AL159" s="319">
        <v>5.98011E-4</v>
      </c>
      <c r="AM159" s="302">
        <v>0.0</v>
      </c>
      <c r="AN159" s="149" t="str">
        <f>IFERROR(
  AVERAGEIFS(
    'New LF Efficacy'!$J:$J,
    'New LF Efficacy'!$D:$D, $A159,
    'New LF Efficacy'!$F:$F,"DEC", 
    'New LF Efficacy'!$W:$W,"&lt;2016",
    'New LF Efficacy'!$AA:$AA,""),
  ""
)</f>
        <v/>
      </c>
      <c r="AO159" s="115">
        <f t="shared" si="11"/>
        <v>0.38</v>
      </c>
      <c r="AP159" s="149" t="str">
        <f>IFERROR(
AVERAGEIFS(
'New LF Efficacy'!$J:$J,
'New LF Efficacy'!$D:$D,$A159,
'New LF Efficacy'!$F:$F,"Albendazole &amp; DEC",
'New LF Efficacy'!$W:$W,"&lt;2016",
'New LF Efficacy'!$AA:$AA,""),
"")
</f>
        <v/>
      </c>
      <c r="AQ159" s="115">
        <f t="shared" si="12"/>
        <v>0.662</v>
      </c>
      <c r="AR159" s="149" t="str">
        <f>IFERROR(
AVERAGEIFS(
'New LF Efficacy'!$J:$J,
'New LF Efficacy'!$D:$D,$A159,
'New LF Efficacy'!$F:$F,"Albendazole &amp; Ivermectin", 
'New LF Efficacy'!$W:$W,"&lt;2016",
'New LF Efficacy'!$AA:$AA,""),"")</f>
        <v/>
      </c>
      <c r="AS159" s="115">
        <f t="shared" si="13"/>
        <v>0.37153125</v>
      </c>
      <c r="AT159" s="442" t="str">
        <f>IFERROR(AVERAGEIFS(
'Schist Efficacy'!$O:$O, 
'Schist Efficacy'!$C:$C,$A159, 
'Schist Efficacy'!$D:$D, "Praziquantel",
'Schist Efficacy'!$J:$J,"&lt;2016",
'Schist Efficacy'!$U:$U,""),
"")</f>
        <v/>
      </c>
      <c r="AU159" s="118">
        <f t="shared" si="14"/>
        <v>0.9475</v>
      </c>
      <c r="AV159" s="131" t="str">
        <f>IFERROR(AVERAGEIFS(
'STH Efficacy'!$AX:$AX, 
'STH Efficacy'!$AL:$AL, $A159, 
'STH Efficacy'!$AM:$AM, "Albendazole",
'STH Efficacy'!$AS:$AS,"&lt;2016",
'STH Efficacy'!$BP:$BP,""),
"")</f>
        <v/>
      </c>
      <c r="AW159" s="132">
        <f t="shared" si="15"/>
        <v>0.3571666667</v>
      </c>
      <c r="AX159" s="131" t="str">
        <f>IFERROR(AVERAGEIFS(
'STH Efficacy'!$AX:$AX, 
'STH Efficacy'!$AL:$AL, $A159, 
'STH Efficacy'!$AM:$AM, "Mebendazole",
'STH Efficacy'!$AS:$AS,"&lt;2016",
'STH Efficacy'!$BP:$BP,""),
"")</f>
        <v/>
      </c>
      <c r="AY159" s="132">
        <f t="shared" si="16"/>
        <v>0.4155</v>
      </c>
      <c r="AZ159" s="131" t="str">
        <f>IFERROR(AVERAGEIFS(
'STH Efficacy'!$AX:$AX, 
'STH Efficacy'!$AL:$AL, $A159, 
'STH Efficacy'!$AM:$AM, "Albendazole &amp; Ivermectin",
'STH Efficacy'!$AS:$AS,"&lt;2016",
'STH Efficacy'!$BP:$BP,""),
"")</f>
        <v/>
      </c>
      <c r="BA159" s="133">
        <f t="shared" si="17"/>
        <v>0.651</v>
      </c>
      <c r="BB159" s="443" t="str">
        <f>IFERROR(AVERAGEIFS(
'STH Efficacy'!$N:$N, 
'STH Efficacy'!$B:$B, $A159, 
'STH Efficacy'!$C:$C, "Albendazole",
'STH Efficacy'!$I:$I,"&lt;2016",
'STH Efficacy'!$AH:$AH,""),
"")</f>
        <v/>
      </c>
      <c r="BC159" s="135">
        <f t="shared" si="18"/>
        <v>0.5769166667</v>
      </c>
      <c r="BD159" s="443" t="str">
        <f>IFERROR(AVERAGEIFS(
'STH Efficacy'!$N:$N, 
'STH Efficacy'!$B:$B, $A159, 
'STH Efficacy'!$C:$C, "Mebendazole",
'STH Efficacy'!$I:$I,"&lt;2016",
'STH Efficacy'!$AH:$AH,""),
"")</f>
        <v/>
      </c>
      <c r="BE159" s="135">
        <f t="shared" si="19"/>
        <v>0.3145</v>
      </c>
      <c r="BF159" s="436" t="str">
        <f>IFERROR(AVERAGEIFS(
'STH Efficacy'!$CD:$CD, 
'STH Efficacy'!$BS:$BS, $A159, 
'STH Efficacy'!$BT:$BT, "Albendazole",
'STH Efficacy'!$BZ:$BZ,"&lt;2016",
'STH Efficacy'!$CU:$CU,""),
"")</f>
        <v/>
      </c>
      <c r="BG159" s="136">
        <f t="shared" si="20"/>
        <v>0.96925</v>
      </c>
      <c r="BH159" s="436" t="str">
        <f>IFERROR(AVERAGEIFS(
'STH Efficacy'!$CD:$CD, 
'STH Efficacy'!$BS:$BS, $A159, 
'STH Efficacy'!$BT:$BT, "Mebendazole",
'STH Efficacy'!$BZ:$BZ,"&lt;2016",
'STH Efficacy'!$CU:$CU,""),
"")</f>
        <v/>
      </c>
      <c r="BI159" s="136">
        <f t="shared" si="21"/>
        <v>0.9305</v>
      </c>
      <c r="BJ159" s="436" t="str">
        <f>IFERROR(AVERAGEIFS(
'STH Efficacy'!$CD:$CD, 
'STH Efficacy'!$BS:$BS, $A159, 
'STH Efficacy'!$BT:$BT, "Albendazole &amp; Ivermectin",
'STH Efficacy'!$BZ:$BZ,"&lt;2016",
'STH Efficacy'!$CU:$CU,""),
"")</f>
        <v/>
      </c>
      <c r="BK159" s="136">
        <f t="shared" si="22"/>
        <v>0.848</v>
      </c>
      <c r="BL159" s="444" t="str">
        <f>IFERROR(
  AVERAGEIFS(
    'NEW Onchocerciasis Efficacy'!$AO:$AO,
    'NEW Onchocerciasis Efficacy'!$C:$C,$A159,
    'NEW Onchocerciasis Efficacy'!$D:$D,"Ivermectin",
    'NEW Onchocerciasis Efficacy'!$AR:$AR,"&lt;2016",
    'NEW Onchocerciasis Efficacy'!$BG:$BG,"")
,"")</f>
        <v/>
      </c>
      <c r="BM159" s="304">
        <f t="shared" si="23"/>
        <v>0.7808368939</v>
      </c>
      <c r="BN159" s="439">
        <v>0.0</v>
      </c>
      <c r="BO159" s="139">
        <v>0.0</v>
      </c>
      <c r="BP159" s="140">
        <v>0.0</v>
      </c>
      <c r="BQ159" s="141">
        <f t="shared" si="24"/>
        <v>0</v>
      </c>
      <c r="BR159" s="104" t="str">
        <f t="shared" si="25"/>
        <v>0000</v>
      </c>
      <c r="BS159" s="104" t="str">
        <f t="shared" si="26"/>
        <v>no action required</v>
      </c>
      <c r="BT159" s="142" t="str">
        <f t="shared" si="43"/>
        <v/>
      </c>
      <c r="BU159" s="104" t="str">
        <f t="shared" si="28"/>
        <v/>
      </c>
      <c r="BV159" s="104" t="str">
        <f t="shared" si="29"/>
        <v>none</v>
      </c>
      <c r="BW159" s="150" t="str">
        <f t="shared" si="30"/>
        <v/>
      </c>
      <c r="BX159" s="150" t="str">
        <f t="shared" si="31"/>
        <v/>
      </c>
      <c r="BY159" s="151" t="str">
        <f t="shared" si="32"/>
        <v/>
      </c>
      <c r="BZ159" s="152" t="str">
        <f t="shared" si="33"/>
        <v/>
      </c>
      <c r="CA159" s="152" t="str">
        <f t="shared" si="34"/>
        <v/>
      </c>
      <c r="CB159" s="152" t="str">
        <f t="shared" si="35"/>
        <v/>
      </c>
      <c r="CC159" s="153" t="str">
        <f t="shared" si="36"/>
        <v/>
      </c>
      <c r="CD159" s="153" t="str">
        <f t="shared" si="37"/>
        <v/>
      </c>
      <c r="CE159" s="154" t="str">
        <f t="shared" si="38"/>
        <v/>
      </c>
      <c r="CF159" s="154" t="str">
        <f t="shared" si="39"/>
        <v/>
      </c>
      <c r="CG159" s="154" t="str">
        <f t="shared" si="40"/>
        <v/>
      </c>
      <c r="CH159" s="308" t="str">
        <f t="shared" si="41"/>
        <v/>
      </c>
    </row>
    <row r="160">
      <c r="A160" s="155" t="s">
        <v>249</v>
      </c>
      <c r="B160" s="104" t="s">
        <v>90</v>
      </c>
      <c r="C160" s="428">
        <v>3554108.0</v>
      </c>
      <c r="D160" s="161">
        <v>0.0</v>
      </c>
      <c r="E160" s="294">
        <v>0.0</v>
      </c>
      <c r="F160" s="307">
        <v>0.0</v>
      </c>
      <c r="G160" s="309">
        <v>0.0</v>
      </c>
      <c r="H160" s="108">
        <v>0.0</v>
      </c>
      <c r="I160" s="109">
        <v>0.0</v>
      </c>
      <c r="J160" s="109">
        <v>0.0</v>
      </c>
      <c r="K160" s="109">
        <v>0.0</v>
      </c>
      <c r="L160" s="112">
        <v>0.171861051</v>
      </c>
      <c r="M160" s="112">
        <v>0.096009452</v>
      </c>
      <c r="N160" s="112">
        <v>0.267870502</v>
      </c>
      <c r="O160" s="298">
        <v>0.0</v>
      </c>
      <c r="P160" s="114"/>
      <c r="Q160" s="114"/>
      <c r="R160" s="121" t="str">
        <f t="shared" si="4"/>
        <v/>
      </c>
      <c r="S160" s="116">
        <f t="shared" si="5"/>
        <v>0.5709301448</v>
      </c>
      <c r="T160" s="117"/>
      <c r="U160" s="118">
        <f t="shared" si="6"/>
        <v>0.4791888889</v>
      </c>
      <c r="V160" s="148"/>
      <c r="W160" s="120">
        <f t="shared" si="7"/>
        <v>0.0223</v>
      </c>
      <c r="X160" s="148"/>
      <c r="Y160" s="120">
        <f t="shared" si="8"/>
        <v>0.598275</v>
      </c>
      <c r="Z160" s="299"/>
      <c r="AA160" s="441"/>
      <c r="AB160" s="300" t="str">
        <f t="shared" si="9"/>
        <v/>
      </c>
      <c r="AC160" s="300">
        <f t="shared" si="10"/>
        <v>0.6890056172</v>
      </c>
      <c r="AD160" s="314">
        <v>0.0</v>
      </c>
      <c r="AE160" s="123">
        <v>0.0</v>
      </c>
      <c r="AF160" s="430">
        <v>0.0</v>
      </c>
      <c r="AG160" s="316">
        <v>0.0</v>
      </c>
      <c r="AH160" s="316">
        <v>0.0</v>
      </c>
      <c r="AI160" s="317">
        <v>0.0</v>
      </c>
      <c r="AJ160" s="317">
        <v>0.0</v>
      </c>
      <c r="AK160" s="319">
        <v>0.0</v>
      </c>
      <c r="AL160" s="319">
        <v>0.0</v>
      </c>
      <c r="AM160" s="302">
        <v>0.0</v>
      </c>
      <c r="AN160" s="149" t="str">
        <f>IFERROR(
  AVERAGEIFS(
    'New LF Efficacy'!$J:$J,
    'New LF Efficacy'!$D:$D, $A160,
    'New LF Efficacy'!$F:$F,"DEC", 
    'New LF Efficacy'!$W:$W,"&lt;2016",
    'New LF Efficacy'!$AA:$AA,""),
  ""
)</f>
        <v/>
      </c>
      <c r="AO160" s="115">
        <f t="shared" si="11"/>
        <v>0.3573520833</v>
      </c>
      <c r="AP160" s="149" t="str">
        <f>IFERROR(
AVERAGEIFS(
'New LF Efficacy'!$J:$J,
'New LF Efficacy'!$D:$D,$A160,
'New LF Efficacy'!$F:$F,"Albendazole &amp; DEC",
'New LF Efficacy'!$W:$W,"&lt;2016",
'New LF Efficacy'!$AA:$AA,""),
"")
</f>
        <v/>
      </c>
      <c r="AQ160" s="115">
        <f t="shared" si="12"/>
        <v>0.5143541667</v>
      </c>
      <c r="AR160" s="149" t="str">
        <f>IFERROR(
AVERAGEIFS(
'New LF Efficacy'!$J:$J,
'New LF Efficacy'!$D:$D,$A160,
'New LF Efficacy'!$F:$F,"Albendazole &amp; Ivermectin", 
'New LF Efficacy'!$W:$W,"&lt;2016",
'New LF Efficacy'!$AA:$AA,""),"")</f>
        <v/>
      </c>
      <c r="AS160" s="115">
        <f t="shared" si="13"/>
        <v>0.37153125</v>
      </c>
      <c r="AT160" s="442" t="str">
        <f>IFERROR(AVERAGEIFS(
'Schist Efficacy'!$O:$O, 
'Schist Efficacy'!$C:$C,$A160, 
'Schist Efficacy'!$D:$D, "Praziquantel",
'Schist Efficacy'!$J:$J,"&lt;2016",
'Schist Efficacy'!$U:$U,""),
"")</f>
        <v/>
      </c>
      <c r="AU160" s="118">
        <f t="shared" si="14"/>
        <v>0.655</v>
      </c>
      <c r="AV160" s="131" t="str">
        <f>IFERROR(AVERAGEIFS(
'STH Efficacy'!$AX:$AX, 
'STH Efficacy'!$AL:$AL, $A160, 
'STH Efficacy'!$AM:$AM, "Albendazole",
'STH Efficacy'!$AS:$AS,"&lt;2016",
'STH Efficacy'!$BP:$BP,""),
"")</f>
        <v/>
      </c>
      <c r="AW160" s="132">
        <f t="shared" si="15"/>
        <v>0.4143846154</v>
      </c>
      <c r="AX160" s="131" t="str">
        <f>IFERROR(AVERAGEIFS(
'STH Efficacy'!$AX:$AX, 
'STH Efficacy'!$AL:$AL, $A160, 
'STH Efficacy'!$AM:$AM, "Mebendazole",
'STH Efficacy'!$AS:$AS,"&lt;2016",
'STH Efficacy'!$BP:$BP,""),
"")</f>
        <v/>
      </c>
      <c r="AY160" s="132">
        <f t="shared" si="16"/>
        <v>0.4691770833</v>
      </c>
      <c r="AZ160" s="131" t="str">
        <f>IFERROR(AVERAGEIFS(
'STH Efficacy'!$AX:$AX, 
'STH Efficacy'!$AL:$AL, $A160, 
'STH Efficacy'!$AM:$AM, "Albendazole &amp; Ivermectin",
'STH Efficacy'!$AS:$AS,"&lt;2016",
'STH Efficacy'!$BP:$BP,""),
"")</f>
        <v/>
      </c>
      <c r="BA160" s="133">
        <f t="shared" si="17"/>
        <v>0.597625</v>
      </c>
      <c r="BB160" s="443" t="str">
        <f>IFERROR(AVERAGEIFS(
'STH Efficacy'!$N:$N, 
'STH Efficacy'!$B:$B, $A160, 
'STH Efficacy'!$C:$C, "Albendazole",
'STH Efficacy'!$I:$I,"&lt;2016",
'STH Efficacy'!$AH:$AH,""),
"")</f>
        <v/>
      </c>
      <c r="BC160" s="135">
        <f t="shared" si="18"/>
        <v>0.7613712121</v>
      </c>
      <c r="BD160" s="443" t="str">
        <f>IFERROR(AVERAGEIFS(
'STH Efficacy'!$N:$N, 
'STH Efficacy'!$B:$B, $A160, 
'STH Efficacy'!$C:$C, "Mebendazole",
'STH Efficacy'!$I:$I,"&lt;2016",
'STH Efficacy'!$AH:$AH,""),
"")</f>
        <v/>
      </c>
      <c r="BE160" s="135">
        <f t="shared" si="19"/>
        <v>0.4362466667</v>
      </c>
      <c r="BF160" s="436" t="str">
        <f>IFERROR(AVERAGEIFS(
'STH Efficacy'!$CD:$CD, 
'STH Efficacy'!$BS:$BS, $A160, 
'STH Efficacy'!$BT:$BT, "Albendazole",
'STH Efficacy'!$BZ:$BZ,"&lt;2016",
'STH Efficacy'!$CU:$CU,""),
"")</f>
        <v/>
      </c>
      <c r="BG160" s="136">
        <f t="shared" si="20"/>
        <v>0.9216027778</v>
      </c>
      <c r="BH160" s="436" t="str">
        <f>IFERROR(AVERAGEIFS(
'STH Efficacy'!$CD:$CD, 
'STH Efficacy'!$BS:$BS, $A160, 
'STH Efficacy'!$BT:$BT, "Mebendazole",
'STH Efficacy'!$BZ:$BZ,"&lt;2016",
'STH Efficacy'!$CU:$CU,""),
"")</f>
        <v/>
      </c>
      <c r="BI160" s="136">
        <f t="shared" si="21"/>
        <v>0.8866041667</v>
      </c>
      <c r="BJ160" s="436" t="str">
        <f>IFERROR(AVERAGEIFS(
'STH Efficacy'!$CD:$CD, 
'STH Efficacy'!$BS:$BS, $A160, 
'STH Efficacy'!$BT:$BT, "Albendazole &amp; Ivermectin",
'STH Efficacy'!$BZ:$BZ,"&lt;2016",
'STH Efficacy'!$CU:$CU,""),
"")</f>
        <v/>
      </c>
      <c r="BK160" s="136">
        <f t="shared" si="22"/>
        <v>0.848</v>
      </c>
      <c r="BL160" s="444" t="str">
        <f>IFERROR(
  AVERAGEIFS(
    'NEW Onchocerciasis Efficacy'!$AO:$AO,
    'NEW Onchocerciasis Efficacy'!$C:$C,$A160,
    'NEW Onchocerciasis Efficacy'!$D:$D,"Ivermectin",
    'NEW Onchocerciasis Efficacy'!$AR:$AR,"&lt;2016",
    'NEW Onchocerciasis Efficacy'!$BG:$BG,"")
,"")</f>
        <v/>
      </c>
      <c r="BM160" s="304">
        <f t="shared" si="23"/>
        <v>0.7808368939</v>
      </c>
      <c r="BN160" s="439">
        <v>0.0</v>
      </c>
      <c r="BO160" s="139">
        <v>0.0</v>
      </c>
      <c r="BP160" s="140">
        <v>0.0</v>
      </c>
      <c r="BQ160" s="141">
        <f t="shared" si="24"/>
        <v>0</v>
      </c>
      <c r="BR160" s="104" t="str">
        <f t="shared" si="25"/>
        <v>0000</v>
      </c>
      <c r="BS160" s="104" t="str">
        <f t="shared" si="26"/>
        <v>no action required</v>
      </c>
      <c r="BT160" s="142" t="str">
        <f t="shared" si="43"/>
        <v/>
      </c>
      <c r="BU160" s="104" t="str">
        <f t="shared" si="28"/>
        <v/>
      </c>
      <c r="BV160" s="104" t="str">
        <f t="shared" si="29"/>
        <v>none</v>
      </c>
      <c r="BW160" s="150" t="str">
        <f t="shared" si="30"/>
        <v/>
      </c>
      <c r="BX160" s="150" t="str">
        <f t="shared" si="31"/>
        <v/>
      </c>
      <c r="BY160" s="151" t="str">
        <f t="shared" si="32"/>
        <v/>
      </c>
      <c r="BZ160" s="152" t="str">
        <f t="shared" si="33"/>
        <v/>
      </c>
      <c r="CA160" s="152" t="str">
        <f t="shared" si="34"/>
        <v/>
      </c>
      <c r="CB160" s="152" t="str">
        <f t="shared" si="35"/>
        <v/>
      </c>
      <c r="CC160" s="153" t="str">
        <f t="shared" si="36"/>
        <v/>
      </c>
      <c r="CD160" s="153" t="str">
        <f t="shared" si="37"/>
        <v/>
      </c>
      <c r="CE160" s="154" t="str">
        <f t="shared" si="38"/>
        <v/>
      </c>
      <c r="CF160" s="154" t="str">
        <f t="shared" si="39"/>
        <v/>
      </c>
      <c r="CG160" s="154" t="str">
        <f t="shared" si="40"/>
        <v/>
      </c>
      <c r="CH160" s="308" t="str">
        <f t="shared" si="41"/>
        <v/>
      </c>
    </row>
    <row r="161">
      <c r="A161" s="155" t="s">
        <v>250</v>
      </c>
      <c r="B161" s="104" t="s">
        <v>90</v>
      </c>
      <c r="C161" s="428">
        <v>1.9815481E7</v>
      </c>
      <c r="D161" s="161">
        <v>0.0</v>
      </c>
      <c r="E161" s="294">
        <v>0.0</v>
      </c>
      <c r="F161" s="307">
        <v>0.0</v>
      </c>
      <c r="G161" s="309">
        <v>0.0</v>
      </c>
      <c r="H161" s="108">
        <v>0.0</v>
      </c>
      <c r="I161" s="109">
        <v>0.0</v>
      </c>
      <c r="J161" s="109">
        <v>0.0</v>
      </c>
      <c r="K161" s="109">
        <v>0.0</v>
      </c>
      <c r="L161" s="112">
        <v>1.053808115</v>
      </c>
      <c r="M161" s="112">
        <v>0.517313501</v>
      </c>
      <c r="N161" s="112">
        <v>1.571121616</v>
      </c>
      <c r="O161" s="298">
        <v>0.0</v>
      </c>
      <c r="P161" s="114"/>
      <c r="Q161" s="114"/>
      <c r="R161" s="121" t="str">
        <f t="shared" si="4"/>
        <v/>
      </c>
      <c r="S161" s="116">
        <f t="shared" si="5"/>
        <v>0.5709301448</v>
      </c>
      <c r="T161" s="117"/>
      <c r="U161" s="118">
        <f t="shared" si="6"/>
        <v>0.4791888889</v>
      </c>
      <c r="V161" s="148"/>
      <c r="W161" s="120">
        <f t="shared" si="7"/>
        <v>0.0223</v>
      </c>
      <c r="X161" s="148"/>
      <c r="Y161" s="120">
        <f t="shared" si="8"/>
        <v>0.598275</v>
      </c>
      <c r="Z161" s="299"/>
      <c r="AA161" s="441"/>
      <c r="AB161" s="300" t="str">
        <f t="shared" si="9"/>
        <v/>
      </c>
      <c r="AC161" s="300">
        <f t="shared" si="10"/>
        <v>0.6890056172</v>
      </c>
      <c r="AD161" s="122">
        <v>0.0</v>
      </c>
      <c r="AE161" s="123">
        <v>0.0</v>
      </c>
      <c r="AF161" s="430">
        <v>0.0</v>
      </c>
      <c r="AG161" s="316">
        <v>0.0</v>
      </c>
      <c r="AH161" s="316">
        <v>0.0</v>
      </c>
      <c r="AI161" s="317">
        <v>0.0</v>
      </c>
      <c r="AJ161" s="317">
        <v>0.0</v>
      </c>
      <c r="AK161" s="319">
        <v>0.0</v>
      </c>
      <c r="AL161" s="319">
        <v>0.0</v>
      </c>
      <c r="AM161" s="302">
        <v>0.0</v>
      </c>
      <c r="AN161" s="149" t="str">
        <f>IFERROR(
  AVERAGEIFS(
    'New LF Efficacy'!$J:$J,
    'New LF Efficacy'!$D:$D, $A161,
    'New LF Efficacy'!$F:$F,"DEC", 
    'New LF Efficacy'!$W:$W,"&lt;2016",
    'New LF Efficacy'!$AA:$AA,""),
  ""
)</f>
        <v/>
      </c>
      <c r="AO161" s="115">
        <f t="shared" si="11"/>
        <v>0.3573520833</v>
      </c>
      <c r="AP161" s="149" t="str">
        <f>IFERROR(
AVERAGEIFS(
'New LF Efficacy'!$J:$J,
'New LF Efficacy'!$D:$D,$A161,
'New LF Efficacy'!$F:$F,"Albendazole &amp; DEC",
'New LF Efficacy'!$W:$W,"&lt;2016",
'New LF Efficacy'!$AA:$AA,""),
"")
</f>
        <v/>
      </c>
      <c r="AQ161" s="115">
        <f t="shared" si="12"/>
        <v>0.5143541667</v>
      </c>
      <c r="AR161" s="149" t="str">
        <f>IFERROR(
AVERAGEIFS(
'New LF Efficacy'!$J:$J,
'New LF Efficacy'!$D:$D,$A161,
'New LF Efficacy'!$F:$F,"Albendazole &amp; Ivermectin", 
'New LF Efficacy'!$W:$W,"&lt;2016",
'New LF Efficacy'!$AA:$AA,""),"")</f>
        <v/>
      </c>
      <c r="AS161" s="115">
        <f t="shared" si="13"/>
        <v>0.37153125</v>
      </c>
      <c r="AT161" s="442" t="str">
        <f>IFERROR(AVERAGEIFS(
'Schist Efficacy'!$O:$O, 
'Schist Efficacy'!$C:$C,$A161, 
'Schist Efficacy'!$D:$D, "Praziquantel",
'Schist Efficacy'!$J:$J,"&lt;2016",
'Schist Efficacy'!$U:$U,""),
"")</f>
        <v/>
      </c>
      <c r="AU161" s="118">
        <f t="shared" si="14"/>
        <v>0.655</v>
      </c>
      <c r="AV161" s="131" t="str">
        <f>IFERROR(AVERAGEIFS(
'STH Efficacy'!$AX:$AX, 
'STH Efficacy'!$AL:$AL, $A161, 
'STH Efficacy'!$AM:$AM, "Albendazole",
'STH Efficacy'!$AS:$AS,"&lt;2016",
'STH Efficacy'!$BP:$BP,""),
"")</f>
        <v/>
      </c>
      <c r="AW161" s="132">
        <f t="shared" si="15"/>
        <v>0.4143846154</v>
      </c>
      <c r="AX161" s="131" t="str">
        <f>IFERROR(AVERAGEIFS(
'STH Efficacy'!$AX:$AX, 
'STH Efficacy'!$AL:$AL, $A161, 
'STH Efficacy'!$AM:$AM, "Mebendazole",
'STH Efficacy'!$AS:$AS,"&lt;2016",
'STH Efficacy'!$BP:$BP,""),
"")</f>
        <v/>
      </c>
      <c r="AY161" s="132">
        <f t="shared" si="16"/>
        <v>0.4691770833</v>
      </c>
      <c r="AZ161" s="131" t="str">
        <f>IFERROR(AVERAGEIFS(
'STH Efficacy'!$AX:$AX, 
'STH Efficacy'!$AL:$AL, $A161, 
'STH Efficacy'!$AM:$AM, "Albendazole &amp; Ivermectin",
'STH Efficacy'!$AS:$AS,"&lt;2016",
'STH Efficacy'!$BP:$BP,""),
"")</f>
        <v/>
      </c>
      <c r="BA161" s="133">
        <f t="shared" si="17"/>
        <v>0.597625</v>
      </c>
      <c r="BB161" s="443" t="str">
        <f>IFERROR(AVERAGEIFS(
'STH Efficacy'!$N:$N, 
'STH Efficacy'!$B:$B, $A161, 
'STH Efficacy'!$C:$C, "Albendazole",
'STH Efficacy'!$I:$I,"&lt;2016",
'STH Efficacy'!$AH:$AH,""),
"")</f>
        <v/>
      </c>
      <c r="BC161" s="135">
        <f t="shared" si="18"/>
        <v>0.7613712121</v>
      </c>
      <c r="BD161" s="443" t="str">
        <f>IFERROR(AVERAGEIFS(
'STH Efficacy'!$N:$N, 
'STH Efficacy'!$B:$B, $A161, 
'STH Efficacy'!$C:$C, "Mebendazole",
'STH Efficacy'!$I:$I,"&lt;2016",
'STH Efficacy'!$AH:$AH,""),
"")</f>
        <v/>
      </c>
      <c r="BE161" s="135">
        <f t="shared" si="19"/>
        <v>0.4362466667</v>
      </c>
      <c r="BF161" s="436" t="str">
        <f>IFERROR(AVERAGEIFS(
'STH Efficacy'!$CD:$CD, 
'STH Efficacy'!$BS:$BS, $A161, 
'STH Efficacy'!$BT:$BT, "Albendazole",
'STH Efficacy'!$BZ:$BZ,"&lt;2016",
'STH Efficacy'!$CU:$CU,""),
"")</f>
        <v/>
      </c>
      <c r="BG161" s="136">
        <f t="shared" si="20"/>
        <v>0.9216027778</v>
      </c>
      <c r="BH161" s="436" t="str">
        <f>IFERROR(AVERAGEIFS(
'STH Efficacy'!$CD:$CD, 
'STH Efficacy'!$BS:$BS, $A161, 
'STH Efficacy'!$BT:$BT, "Mebendazole",
'STH Efficacy'!$BZ:$BZ,"&lt;2016",
'STH Efficacy'!$CU:$CU,""),
"")</f>
        <v/>
      </c>
      <c r="BI161" s="136">
        <f t="shared" si="21"/>
        <v>0.8866041667</v>
      </c>
      <c r="BJ161" s="436" t="str">
        <f>IFERROR(AVERAGEIFS(
'STH Efficacy'!$CD:$CD, 
'STH Efficacy'!$BS:$BS, $A161, 
'STH Efficacy'!$BT:$BT, "Albendazole &amp; Ivermectin",
'STH Efficacy'!$BZ:$BZ,"&lt;2016",
'STH Efficacy'!$CU:$CU,""),
"")</f>
        <v/>
      </c>
      <c r="BK161" s="136">
        <f t="shared" si="22"/>
        <v>0.848</v>
      </c>
      <c r="BL161" s="444" t="str">
        <f>IFERROR(
  AVERAGEIFS(
    'NEW Onchocerciasis Efficacy'!$AO:$AO,
    'NEW Onchocerciasis Efficacy'!$C:$C,$A161,
    'NEW Onchocerciasis Efficacy'!$D:$D,"Ivermectin",
    'NEW Onchocerciasis Efficacy'!$AR:$AR,"&lt;2016",
    'NEW Onchocerciasis Efficacy'!$BG:$BG,"")
,"")</f>
        <v/>
      </c>
      <c r="BM161" s="304">
        <f t="shared" si="23"/>
        <v>0.7808368939</v>
      </c>
      <c r="BN161" s="439">
        <v>0.0</v>
      </c>
      <c r="BO161" s="139">
        <v>0.0</v>
      </c>
      <c r="BP161" s="140">
        <v>0.0</v>
      </c>
      <c r="BQ161" s="141">
        <f t="shared" si="24"/>
        <v>0</v>
      </c>
      <c r="BR161" s="104" t="str">
        <f t="shared" si="25"/>
        <v>0000</v>
      </c>
      <c r="BS161" s="104" t="str">
        <f t="shared" si="26"/>
        <v>no action required</v>
      </c>
      <c r="BT161" s="142" t="str">
        <f t="shared" si="43"/>
        <v/>
      </c>
      <c r="BU161" s="104" t="str">
        <f t="shared" si="28"/>
        <v/>
      </c>
      <c r="BV161" s="104" t="str">
        <f t="shared" si="29"/>
        <v>none</v>
      </c>
      <c r="BW161" s="150" t="str">
        <f t="shared" si="30"/>
        <v/>
      </c>
      <c r="BX161" s="150" t="str">
        <f t="shared" si="31"/>
        <v/>
      </c>
      <c r="BY161" s="151" t="str">
        <f t="shared" si="32"/>
        <v/>
      </c>
      <c r="BZ161" s="152" t="str">
        <f t="shared" si="33"/>
        <v/>
      </c>
      <c r="CA161" s="152" t="str">
        <f t="shared" si="34"/>
        <v/>
      </c>
      <c r="CB161" s="152" t="str">
        <f t="shared" si="35"/>
        <v/>
      </c>
      <c r="CC161" s="153" t="str">
        <f t="shared" si="36"/>
        <v/>
      </c>
      <c r="CD161" s="153" t="str">
        <f t="shared" si="37"/>
        <v/>
      </c>
      <c r="CE161" s="154" t="str">
        <f t="shared" si="38"/>
        <v/>
      </c>
      <c r="CF161" s="154" t="str">
        <f t="shared" si="39"/>
        <v/>
      </c>
      <c r="CG161" s="154" t="str">
        <f t="shared" si="40"/>
        <v/>
      </c>
      <c r="CH161" s="308" t="str">
        <f t="shared" si="41"/>
        <v/>
      </c>
    </row>
    <row r="162">
      <c r="A162" s="155" t="s">
        <v>251</v>
      </c>
      <c r="B162" s="104" t="s">
        <v>90</v>
      </c>
      <c r="C162" s="428">
        <v>1.4409687E8</v>
      </c>
      <c r="D162" s="161">
        <v>0.0</v>
      </c>
      <c r="E162" s="294">
        <v>0.0</v>
      </c>
      <c r="F162" s="163"/>
      <c r="G162" s="325"/>
      <c r="H162" s="108">
        <v>0.0</v>
      </c>
      <c r="I162" s="109">
        <v>0.0</v>
      </c>
      <c r="J162" s="109">
        <v>0.0</v>
      </c>
      <c r="K162" s="109">
        <v>0.0</v>
      </c>
      <c r="L162" s="112">
        <v>0.0</v>
      </c>
      <c r="M162" s="112">
        <v>0.0</v>
      </c>
      <c r="N162" s="112">
        <v>0.0</v>
      </c>
      <c r="O162" s="298">
        <v>0.0</v>
      </c>
      <c r="P162" s="114"/>
      <c r="Q162" s="114"/>
      <c r="R162" s="121" t="str">
        <f t="shared" si="4"/>
        <v/>
      </c>
      <c r="S162" s="116">
        <f t="shared" si="5"/>
        <v>0.5709301448</v>
      </c>
      <c r="T162" s="117"/>
      <c r="U162" s="118">
        <f t="shared" si="6"/>
        <v>0.4791888889</v>
      </c>
      <c r="V162" s="148"/>
      <c r="W162" s="120">
        <f t="shared" si="7"/>
        <v>0.0223</v>
      </c>
      <c r="X162" s="148"/>
      <c r="Y162" s="120">
        <f t="shared" si="8"/>
        <v>0.598275</v>
      </c>
      <c r="Z162" s="299"/>
      <c r="AA162" s="441"/>
      <c r="AB162" s="300" t="str">
        <f t="shared" si="9"/>
        <v/>
      </c>
      <c r="AC162" s="300">
        <f t="shared" si="10"/>
        <v>0.6890056172</v>
      </c>
      <c r="AD162" s="122">
        <v>0.0</v>
      </c>
      <c r="AE162" s="123">
        <v>0.0</v>
      </c>
      <c r="AF162" s="430">
        <v>0.0</v>
      </c>
      <c r="AG162" s="124">
        <v>0.0</v>
      </c>
      <c r="AH162" s="295">
        <v>0.0</v>
      </c>
      <c r="AI162" s="125">
        <v>0.0</v>
      </c>
      <c r="AJ162" s="327">
        <v>0.0</v>
      </c>
      <c r="AK162" s="127">
        <v>0.0</v>
      </c>
      <c r="AL162" s="471">
        <v>0.0</v>
      </c>
      <c r="AM162" s="302">
        <v>0.0</v>
      </c>
      <c r="AN162" s="149" t="str">
        <f>IFERROR(
  AVERAGEIFS(
    'New LF Efficacy'!$J:$J,
    'New LF Efficacy'!$D:$D, $A162,
    'New LF Efficacy'!$F:$F,"DEC", 
    'New LF Efficacy'!$W:$W,"&lt;2016",
    'New LF Efficacy'!$AA:$AA,""),
  ""
)</f>
        <v/>
      </c>
      <c r="AO162" s="115">
        <f t="shared" si="11"/>
        <v>0.3573520833</v>
      </c>
      <c r="AP162" s="149" t="str">
        <f>IFERROR(
AVERAGEIFS(
'New LF Efficacy'!$J:$J,
'New LF Efficacy'!$D:$D,$A162,
'New LF Efficacy'!$F:$F,"Albendazole &amp; DEC",
'New LF Efficacy'!$W:$W,"&lt;2016",
'New LF Efficacy'!$AA:$AA,""),
"")
</f>
        <v/>
      </c>
      <c r="AQ162" s="115">
        <f t="shared" si="12"/>
        <v>0.5143541667</v>
      </c>
      <c r="AR162" s="149" t="str">
        <f>IFERROR(
AVERAGEIFS(
'New LF Efficacy'!$J:$J,
'New LF Efficacy'!$D:$D,$A162,
'New LF Efficacy'!$F:$F,"Albendazole &amp; Ivermectin", 
'New LF Efficacy'!$W:$W,"&lt;2016",
'New LF Efficacy'!$AA:$AA,""),"")</f>
        <v/>
      </c>
      <c r="AS162" s="115">
        <f t="shared" si="13"/>
        <v>0.37153125</v>
      </c>
      <c r="AT162" s="442" t="str">
        <f>IFERROR(AVERAGEIFS(
'Schist Efficacy'!$O:$O, 
'Schist Efficacy'!$C:$C,$A162, 
'Schist Efficacy'!$D:$D, "Praziquantel",
'Schist Efficacy'!$J:$J,"&lt;2016",
'Schist Efficacy'!$U:$U,""),
"")</f>
        <v/>
      </c>
      <c r="AU162" s="118">
        <f t="shared" si="14"/>
        <v>0.655</v>
      </c>
      <c r="AV162" s="131" t="str">
        <f>IFERROR(AVERAGEIFS(
'STH Efficacy'!$AX:$AX, 
'STH Efficacy'!$AL:$AL, $A162, 
'STH Efficacy'!$AM:$AM, "Albendazole",
'STH Efficacy'!$AS:$AS,"&lt;2016",
'STH Efficacy'!$BP:$BP,""),
"")</f>
        <v/>
      </c>
      <c r="AW162" s="132">
        <f t="shared" si="15"/>
        <v>0.4143846154</v>
      </c>
      <c r="AX162" s="131" t="str">
        <f>IFERROR(AVERAGEIFS(
'STH Efficacy'!$AX:$AX, 
'STH Efficacy'!$AL:$AL, $A162, 
'STH Efficacy'!$AM:$AM, "Mebendazole",
'STH Efficacy'!$AS:$AS,"&lt;2016",
'STH Efficacy'!$BP:$BP,""),
"")</f>
        <v/>
      </c>
      <c r="AY162" s="132">
        <f t="shared" si="16"/>
        <v>0.4691770833</v>
      </c>
      <c r="AZ162" s="131" t="str">
        <f>IFERROR(AVERAGEIFS(
'STH Efficacy'!$AX:$AX, 
'STH Efficacy'!$AL:$AL, $A162, 
'STH Efficacy'!$AM:$AM, "Albendazole &amp; Ivermectin",
'STH Efficacy'!$AS:$AS,"&lt;2016",
'STH Efficacy'!$BP:$BP,""),
"")</f>
        <v/>
      </c>
      <c r="BA162" s="133">
        <f t="shared" si="17"/>
        <v>0.597625</v>
      </c>
      <c r="BB162" s="443" t="str">
        <f>IFERROR(AVERAGEIFS(
'STH Efficacy'!$N:$N, 
'STH Efficacy'!$B:$B, $A162, 
'STH Efficacy'!$C:$C, "Albendazole",
'STH Efficacy'!$I:$I,"&lt;2016",
'STH Efficacy'!$AH:$AH,""),
"")</f>
        <v/>
      </c>
      <c r="BC162" s="135">
        <f t="shared" si="18"/>
        <v>0.7613712121</v>
      </c>
      <c r="BD162" s="443" t="str">
        <f>IFERROR(AVERAGEIFS(
'STH Efficacy'!$N:$N, 
'STH Efficacy'!$B:$B, $A162, 
'STH Efficacy'!$C:$C, "Mebendazole",
'STH Efficacy'!$I:$I,"&lt;2016",
'STH Efficacy'!$AH:$AH,""),
"")</f>
        <v/>
      </c>
      <c r="BE162" s="135">
        <f t="shared" si="19"/>
        <v>0.4362466667</v>
      </c>
      <c r="BF162" s="436" t="str">
        <f>IFERROR(AVERAGEIFS(
'STH Efficacy'!$CD:$CD, 
'STH Efficacy'!$BS:$BS, $A162, 
'STH Efficacy'!$BT:$BT, "Albendazole",
'STH Efficacy'!$BZ:$BZ,"&lt;2016",
'STH Efficacy'!$CU:$CU,""),
"")</f>
        <v/>
      </c>
      <c r="BG162" s="136">
        <f t="shared" si="20"/>
        <v>0.9216027778</v>
      </c>
      <c r="BH162" s="436" t="str">
        <f>IFERROR(AVERAGEIFS(
'STH Efficacy'!$CD:$CD, 
'STH Efficacy'!$BS:$BS, $A162, 
'STH Efficacy'!$BT:$BT, "Mebendazole",
'STH Efficacy'!$BZ:$BZ,"&lt;2016",
'STH Efficacy'!$CU:$CU,""),
"")</f>
        <v/>
      </c>
      <c r="BI162" s="136">
        <f t="shared" si="21"/>
        <v>0.8866041667</v>
      </c>
      <c r="BJ162" s="436" t="str">
        <f>IFERROR(AVERAGEIFS(
'STH Efficacy'!$CD:$CD, 
'STH Efficacy'!$BS:$BS, $A162, 
'STH Efficacy'!$BT:$BT, "Albendazole &amp; Ivermectin",
'STH Efficacy'!$BZ:$BZ,"&lt;2016",
'STH Efficacy'!$CU:$CU,""),
"")</f>
        <v/>
      </c>
      <c r="BK162" s="136">
        <f t="shared" si="22"/>
        <v>0.848</v>
      </c>
      <c r="BL162" s="444" t="str">
        <f>IFERROR(
  AVERAGEIFS(
    'NEW Onchocerciasis Efficacy'!$AO:$AO,
    'NEW Onchocerciasis Efficacy'!$C:$C,$A162,
    'NEW Onchocerciasis Efficacy'!$D:$D,"Ivermectin",
    'NEW Onchocerciasis Efficacy'!$AR:$AR,"&lt;2016",
    'NEW Onchocerciasis Efficacy'!$BG:$BG,"")
,"")</f>
        <v/>
      </c>
      <c r="BM162" s="304">
        <f t="shared" si="23"/>
        <v>0.7808368939</v>
      </c>
      <c r="BN162" s="439">
        <v>0.0</v>
      </c>
      <c r="BO162" s="139">
        <v>1.0</v>
      </c>
      <c r="BP162" s="140">
        <v>1.0</v>
      </c>
      <c r="BQ162" s="141">
        <f t="shared" si="24"/>
        <v>0</v>
      </c>
      <c r="BR162" s="104" t="str">
        <f t="shared" si="25"/>
        <v>0110</v>
      </c>
      <c r="BS162" s="104" t="str">
        <f t="shared" si="26"/>
        <v>MDA3+T2</v>
      </c>
      <c r="BT162" s="142" t="str">
        <f t="shared" si="43"/>
        <v>IVM</v>
      </c>
      <c r="BU162" s="104" t="str">
        <f t="shared" si="28"/>
        <v>PZQ</v>
      </c>
      <c r="BV162" s="104" t="str">
        <f t="shared" si="29"/>
        <v>onch+schist</v>
      </c>
      <c r="BW162" s="150" t="str">
        <f t="shared" si="30"/>
        <v/>
      </c>
      <c r="BX162" s="150" t="str">
        <f t="shared" si="31"/>
        <v/>
      </c>
      <c r="BY162" s="162">
        <f t="shared" si="32"/>
        <v>0</v>
      </c>
      <c r="BZ162" s="152" t="str">
        <f t="shared" si="33"/>
        <v/>
      </c>
      <c r="CA162" s="152" t="str">
        <f t="shared" si="34"/>
        <v/>
      </c>
      <c r="CB162" s="152" t="str">
        <f t="shared" si="35"/>
        <v/>
      </c>
      <c r="CC162" s="153" t="str">
        <f t="shared" si="36"/>
        <v/>
      </c>
      <c r="CD162" s="153" t="str">
        <f t="shared" si="37"/>
        <v/>
      </c>
      <c r="CE162" s="154" t="str">
        <f t="shared" si="38"/>
        <v/>
      </c>
      <c r="CF162" s="154" t="str">
        <f t="shared" si="39"/>
        <v/>
      </c>
      <c r="CG162" s="154" t="str">
        <f t="shared" si="40"/>
        <v/>
      </c>
      <c r="CH162" s="313">
        <f t="shared" si="41"/>
        <v>0</v>
      </c>
    </row>
    <row r="163">
      <c r="A163" s="103" t="s">
        <v>252</v>
      </c>
      <c r="B163" s="104" t="s">
        <v>92</v>
      </c>
      <c r="C163" s="428">
        <v>1.1629553E7</v>
      </c>
      <c r="D163" s="161">
        <v>0.0</v>
      </c>
      <c r="E163" s="294">
        <v>9597.336009</v>
      </c>
      <c r="F163" s="295">
        <v>131.4816065</v>
      </c>
      <c r="G163" s="295">
        <v>577.354024</v>
      </c>
      <c r="H163" s="108">
        <v>708.8356305</v>
      </c>
      <c r="I163" s="109">
        <v>1132.23091</v>
      </c>
      <c r="J163" s="110">
        <v>3284.47474</v>
      </c>
      <c r="K163" s="110">
        <v>4416.705651</v>
      </c>
      <c r="L163" s="111">
        <v>2122.950397</v>
      </c>
      <c r="M163" s="111">
        <v>2021.207295</v>
      </c>
      <c r="N163" s="112">
        <v>4144.157691</v>
      </c>
      <c r="O163" s="298">
        <v>0.0</v>
      </c>
      <c r="P163" s="156"/>
      <c r="Q163" s="156"/>
      <c r="R163" s="121" t="str">
        <f t="shared" si="4"/>
        <v/>
      </c>
      <c r="S163" s="116">
        <f t="shared" si="5"/>
        <v>0.3345096109</v>
      </c>
      <c r="T163" s="118">
        <v>0.127</v>
      </c>
      <c r="U163" s="118">
        <f t="shared" si="6"/>
        <v>0.127</v>
      </c>
      <c r="V163" s="119">
        <v>1.0</v>
      </c>
      <c r="W163" s="120">
        <f t="shared" si="7"/>
        <v>1</v>
      </c>
      <c r="X163" s="119">
        <v>0.9858</v>
      </c>
      <c r="Y163" s="120">
        <f t="shared" si="8"/>
        <v>0.9858</v>
      </c>
      <c r="Z163" s="298" t="s">
        <v>373</v>
      </c>
      <c r="AA163" s="298" t="s">
        <v>373</v>
      </c>
      <c r="AB163" s="300" t="str">
        <f t="shared" si="9"/>
        <v/>
      </c>
      <c r="AC163" s="300">
        <f t="shared" si="10"/>
        <v>0.6375203308</v>
      </c>
      <c r="AD163" s="122">
        <v>0.0</v>
      </c>
      <c r="AE163" s="123">
        <v>0.07</v>
      </c>
      <c r="AF163" s="430">
        <v>0.0218</v>
      </c>
      <c r="AG163" s="316">
        <v>0.0</v>
      </c>
      <c r="AH163" s="316">
        <v>0.195367621</v>
      </c>
      <c r="AI163" s="317">
        <v>0.0</v>
      </c>
      <c r="AJ163" s="317">
        <v>0.257682723</v>
      </c>
      <c r="AK163" s="319">
        <v>0.0</v>
      </c>
      <c r="AL163" s="319">
        <v>0.266545784</v>
      </c>
      <c r="AM163" s="302">
        <v>0.0</v>
      </c>
      <c r="AN163" s="149" t="str">
        <f>IFERROR(
  AVERAGEIFS(
    'New LF Efficacy'!$J:$J,
    'New LF Efficacy'!$D:$D, $A163,
    'New LF Efficacy'!$F:$F,"DEC", 
    'New LF Efficacy'!$W:$W,"&lt;2016",
    'New LF Efficacy'!$AA:$AA,""),
  ""
)</f>
        <v/>
      </c>
      <c r="AO163" s="115">
        <f t="shared" si="11"/>
        <v>0.31225</v>
      </c>
      <c r="AP163" s="149" t="str">
        <f>IFERROR(
AVERAGEIFS(
'New LF Efficacy'!$J:$J,
'New LF Efficacy'!$D:$D,$A163,
'New LF Efficacy'!$F:$F,"Albendazole &amp; DEC",
'New LF Efficacy'!$W:$W,"&lt;2016",
'New LF Efficacy'!$AA:$AA,""),
"")
</f>
        <v/>
      </c>
      <c r="AQ163" s="115">
        <f t="shared" si="12"/>
        <v>0.4</v>
      </c>
      <c r="AR163" s="149" t="str">
        <f>IFERROR(
AVERAGEIFS(
'New LF Efficacy'!$J:$J,
'New LF Efficacy'!$D:$D,$A163,
'New LF Efficacy'!$F:$F,"Albendazole &amp; Ivermectin", 
'New LF Efficacy'!$W:$W,"&lt;2016",
'New LF Efficacy'!$AA:$AA,""),"")</f>
        <v/>
      </c>
      <c r="AS163" s="115">
        <f t="shared" si="13"/>
        <v>0.2943125</v>
      </c>
      <c r="AT163" s="442" t="str">
        <f>IFERROR(AVERAGEIFS(
'Schist Efficacy'!$O:$O, 
'Schist Efficacy'!$C:$C,$A163, 
'Schist Efficacy'!$D:$D, "Praziquantel",
'Schist Efficacy'!$J:$J,"&lt;2016",
'Schist Efficacy'!$U:$U,""),
"")</f>
        <v/>
      </c>
      <c r="AU163" s="118">
        <f t="shared" si="14"/>
        <v>0.7206464759</v>
      </c>
      <c r="AV163" s="131" t="str">
        <f>IFERROR(AVERAGEIFS(
'STH Efficacy'!$AX:$AX, 
'STH Efficacy'!$AL:$AL, $A163, 
'STH Efficacy'!$AM:$AM, "Albendazole",
'STH Efficacy'!$AS:$AS,"&lt;2016",
'STH Efficacy'!$BP:$BP,""),
"")</f>
        <v/>
      </c>
      <c r="AW163" s="132">
        <f t="shared" si="15"/>
        <v>0.3816333333</v>
      </c>
      <c r="AX163" s="131">
        <f>IFERROR(AVERAGEIFS(
'STH Efficacy'!$AX:$AX, 
'STH Efficacy'!$AL:$AL, $A163, 
'STH Efficacy'!$AM:$AM, "Mebendazole",
'STH Efficacy'!$AS:$AS,"&lt;2016",
'STH Efficacy'!$BP:$BP,""),
"")</f>
        <v>0.339</v>
      </c>
      <c r="AY163" s="132">
        <f t="shared" si="16"/>
        <v>0.339</v>
      </c>
      <c r="AZ163" s="131" t="str">
        <f>IFERROR(AVERAGEIFS(
'STH Efficacy'!$AX:$AX, 
'STH Efficacy'!$AL:$AL, $A163, 
'STH Efficacy'!$AM:$AM, "Albendazole &amp; Ivermectin",
'STH Efficacy'!$AS:$AS,"&lt;2016",
'STH Efficacy'!$BP:$BP,""),
"")</f>
        <v/>
      </c>
      <c r="BA163" s="133">
        <f t="shared" si="17"/>
        <v>0.47175</v>
      </c>
      <c r="BB163" s="443" t="str">
        <f>IFERROR(AVERAGEIFS(
'STH Efficacy'!$N:$N, 
'STH Efficacy'!$B:$B, $A163, 
'STH Efficacy'!$C:$C, "Albendazole",
'STH Efficacy'!$I:$I,"&lt;2016",
'STH Efficacy'!$AH:$AH,""),
"")</f>
        <v/>
      </c>
      <c r="BC163" s="135">
        <f t="shared" si="18"/>
        <v>0.8699166667</v>
      </c>
      <c r="BD163" s="443" t="str">
        <f>IFERROR(AVERAGEIFS(
'STH Efficacy'!$N:$N, 
'STH Efficacy'!$B:$B, $A163, 
'STH Efficacy'!$C:$C, "Mebendazole",
'STH Efficacy'!$I:$I,"&lt;2016",
'STH Efficacy'!$AH:$AH,""),
"")</f>
        <v/>
      </c>
      <c r="BE163" s="135">
        <f t="shared" si="19"/>
        <v>0.7092416667</v>
      </c>
      <c r="BF163" s="436" t="str">
        <f>IFERROR(AVERAGEIFS(
'STH Efficacy'!$CD:$CD, 
'STH Efficacy'!$BS:$BS, $A163, 
'STH Efficacy'!$BT:$BT, "Albendazole",
'STH Efficacy'!$BZ:$BZ,"&lt;2016",
'STH Efficacy'!$CU:$CU,""),
"")</f>
        <v/>
      </c>
      <c r="BG163" s="136">
        <f t="shared" si="20"/>
        <v>0.9066666667</v>
      </c>
      <c r="BH163" s="436" t="str">
        <f>IFERROR(AVERAGEIFS(
'STH Efficacy'!$CD:$CD, 
'STH Efficacy'!$BS:$BS, $A163, 
'STH Efficacy'!$BT:$BT, "Mebendazole",
'STH Efficacy'!$BZ:$BZ,"&lt;2016",
'STH Efficacy'!$CU:$CU,""),
"")</f>
        <v/>
      </c>
      <c r="BI163" s="136">
        <f t="shared" si="21"/>
        <v>0.8483333333</v>
      </c>
      <c r="BJ163" s="436" t="str">
        <f>IFERROR(AVERAGEIFS(
'STH Efficacy'!$CD:$CD, 
'STH Efficacy'!$BS:$BS, $A163, 
'STH Efficacy'!$BT:$BT, "Albendazole &amp; Ivermectin",
'STH Efficacy'!$BZ:$BZ,"&lt;2016",
'STH Efficacy'!$CU:$CU,""),
"")</f>
        <v/>
      </c>
      <c r="BK163" s="136">
        <f t="shared" si="22"/>
        <v>0.696</v>
      </c>
      <c r="BL163" s="444" t="str">
        <f>IFERROR(
  AVERAGEIFS(
    'NEW Onchocerciasis Efficacy'!$AO:$AO,
    'NEW Onchocerciasis Efficacy'!$C:$C,$A163,
    'NEW Onchocerciasis Efficacy'!$D:$D,"Ivermectin",
    'NEW Onchocerciasis Efficacy'!$AR:$AR,"&lt;2016",
    'NEW Onchocerciasis Efficacy'!$BG:$BG,"")
,"")</f>
        <v/>
      </c>
      <c r="BM163" s="304">
        <f t="shared" si="23"/>
        <v>0.8390421645</v>
      </c>
      <c r="BN163" s="439">
        <v>0.0</v>
      </c>
      <c r="BO163" s="139">
        <v>0.0</v>
      </c>
      <c r="BP163" s="140">
        <v>1.0</v>
      </c>
      <c r="BQ163" s="141">
        <f t="shared" si="24"/>
        <v>1</v>
      </c>
      <c r="BR163" s="104" t="str">
        <f t="shared" si="25"/>
        <v>0011</v>
      </c>
      <c r="BS163" s="104" t="str">
        <f t="shared" si="26"/>
        <v>T1</v>
      </c>
      <c r="BT163" s="142" t="str">
        <f t="shared" si="43"/>
        <v>ALB+PZQ or MBD+PZQ</v>
      </c>
      <c r="BU163" s="104" t="str">
        <f t="shared" si="28"/>
        <v/>
      </c>
      <c r="BV163" s="104" t="str">
        <f t="shared" si="29"/>
        <v>schist+sth</v>
      </c>
      <c r="BW163" s="150" t="str">
        <f t="shared" si="30"/>
        <v/>
      </c>
      <c r="BX163" s="150" t="str">
        <f t="shared" si="31"/>
        <v/>
      </c>
      <c r="BY163" s="151" t="str">
        <f t="shared" si="32"/>
        <v/>
      </c>
      <c r="BZ163" s="152">
        <f t="shared" si="33"/>
        <v>429.356086</v>
      </c>
      <c r="CA163" s="152">
        <f t="shared" si="34"/>
        <v>357.2179099</v>
      </c>
      <c r="CB163" s="152" t="str">
        <f t="shared" si="35"/>
        <v/>
      </c>
      <c r="CC163" s="323">
        <f t="shared" si="36"/>
        <v>27346.46119</v>
      </c>
      <c r="CD163" s="323">
        <f t="shared" si="37"/>
        <v>10395.41446</v>
      </c>
      <c r="CE163" s="154">
        <f t="shared" si="38"/>
        <v>37632.38961</v>
      </c>
      <c r="CF163" s="154">
        <f t="shared" si="39"/>
        <v>22199.35775</v>
      </c>
      <c r="CG163" s="154" t="str">
        <f t="shared" si="40"/>
        <v/>
      </c>
      <c r="CH163" s="308" t="str">
        <f t="shared" si="41"/>
        <v/>
      </c>
    </row>
    <row r="164">
      <c r="A164" s="103" t="s">
        <v>253</v>
      </c>
      <c r="B164" s="104" t="s">
        <v>98</v>
      </c>
      <c r="C164" s="428">
        <v>54288.0</v>
      </c>
      <c r="D164" s="161">
        <v>0.0</v>
      </c>
      <c r="E164" s="294">
        <v>0.0</v>
      </c>
      <c r="F164" s="163"/>
      <c r="G164" s="325"/>
      <c r="H164" s="108">
        <v>0.0</v>
      </c>
      <c r="I164" s="109">
        <v>0.0</v>
      </c>
      <c r="J164" s="109">
        <v>0.0</v>
      </c>
      <c r="K164" s="109">
        <v>0.0</v>
      </c>
      <c r="L164" s="113"/>
      <c r="M164" s="113"/>
      <c r="N164" s="112">
        <v>0.0</v>
      </c>
      <c r="O164" s="298">
        <v>0.0</v>
      </c>
      <c r="P164" s="114"/>
      <c r="Q164" s="114"/>
      <c r="R164" s="121" t="str">
        <f t="shared" si="4"/>
        <v/>
      </c>
      <c r="S164" s="116">
        <f t="shared" si="5"/>
        <v>0.3565746084</v>
      </c>
      <c r="T164" s="117"/>
      <c r="U164" s="118">
        <f t="shared" si="6"/>
        <v>0.4791888889</v>
      </c>
      <c r="V164" s="148"/>
      <c r="W164" s="120">
        <f t="shared" si="7"/>
        <v>0.685</v>
      </c>
      <c r="X164" s="148"/>
      <c r="Y164" s="120">
        <f t="shared" si="8"/>
        <v>0.7550545455</v>
      </c>
      <c r="Z164" s="299"/>
      <c r="AA164" s="441"/>
      <c r="AB164" s="300" t="str">
        <f t="shared" si="9"/>
        <v/>
      </c>
      <c r="AC164" s="300">
        <f t="shared" si="10"/>
        <v>0.7101368438</v>
      </c>
      <c r="AD164" s="314">
        <v>0.0</v>
      </c>
      <c r="AE164" s="315">
        <v>0.0</v>
      </c>
      <c r="AF164" s="445">
        <v>0.0</v>
      </c>
      <c r="AG164" s="316">
        <v>0.0</v>
      </c>
      <c r="AH164" s="307">
        <v>0.0</v>
      </c>
      <c r="AI164" s="317">
        <v>0.0</v>
      </c>
      <c r="AJ164" s="318">
        <v>0.0</v>
      </c>
      <c r="AK164" s="319">
        <v>0.0</v>
      </c>
      <c r="AL164" s="446">
        <v>0.0</v>
      </c>
      <c r="AM164" s="320">
        <v>0.0</v>
      </c>
      <c r="AN164" s="149" t="str">
        <f>IFERROR(
  AVERAGEIFS(
    'New LF Efficacy'!$J:$J,
    'New LF Efficacy'!$D:$D, $A164,
    'New LF Efficacy'!$F:$F,"DEC", 
    'New LF Efficacy'!$W:$W,"&lt;2016",
    'New LF Efficacy'!$AA:$AA,""),
  ""
)</f>
        <v/>
      </c>
      <c r="AO164" s="115">
        <f t="shared" si="11"/>
        <v>0.2589833333</v>
      </c>
      <c r="AP164" s="149" t="str">
        <f>IFERROR(
AVERAGEIFS(
'New LF Efficacy'!$J:$J,
'New LF Efficacy'!$D:$D,$A164,
'New LF Efficacy'!$F:$F,"Albendazole &amp; DEC",
'New LF Efficacy'!$W:$W,"&lt;2016",
'New LF Efficacy'!$AA:$AA,""),
"")
</f>
        <v/>
      </c>
      <c r="AQ164" s="115">
        <f t="shared" si="12"/>
        <v>0.3465</v>
      </c>
      <c r="AR164" s="149" t="str">
        <f>IFERROR(
AVERAGEIFS(
'New LF Efficacy'!$J:$J,
'New LF Efficacy'!$D:$D,$A164,
'New LF Efficacy'!$F:$F,"Albendazole &amp; Ivermectin", 
'New LF Efficacy'!$W:$W,"&lt;2016",
'New LF Efficacy'!$AA:$AA,""),"")</f>
        <v/>
      </c>
      <c r="AS164" s="115">
        <f t="shared" si="13"/>
        <v>0.7575</v>
      </c>
      <c r="AT164" s="442" t="str">
        <f>IFERROR(AVERAGEIFS(
'Schist Efficacy'!$O:$O, 
'Schist Efficacy'!$C:$C,$A164, 
'Schist Efficacy'!$D:$D, "Praziquantel",
'Schist Efficacy'!$J:$J,"&lt;2016",
'Schist Efficacy'!$U:$U,""),
"")</f>
        <v/>
      </c>
      <c r="AU164" s="118">
        <f t="shared" si="14"/>
        <v>0.7914761905</v>
      </c>
      <c r="AV164" s="131" t="str">
        <f>IFERROR(AVERAGEIFS(
'STH Efficacy'!$AX:$AX, 
'STH Efficacy'!$AL:$AL, $A164, 
'STH Efficacy'!$AM:$AM, "Albendazole",
'STH Efficacy'!$AS:$AS,"&lt;2016",
'STH Efficacy'!$BP:$BP,""),
"")</f>
        <v/>
      </c>
      <c r="AW164" s="132">
        <f t="shared" si="15"/>
        <v>0.3945</v>
      </c>
      <c r="AX164" s="131" t="str">
        <f>IFERROR(AVERAGEIFS(
'STH Efficacy'!$AX:$AX, 
'STH Efficacy'!$AL:$AL, $A164, 
'STH Efficacy'!$AM:$AM, "Mebendazole",
'STH Efficacy'!$AS:$AS,"&lt;2016",
'STH Efficacy'!$BP:$BP,""),
"")</f>
        <v/>
      </c>
      <c r="AY164" s="132">
        <f t="shared" si="16"/>
        <v>0.6</v>
      </c>
      <c r="AZ164" s="131" t="str">
        <f>IFERROR(AVERAGEIFS(
'STH Efficacy'!$AX:$AX, 
'STH Efficacy'!$AL:$AL, $A164, 
'STH Efficacy'!$AM:$AM, "Albendazole &amp; Ivermectin",
'STH Efficacy'!$AS:$AS,"&lt;2016",
'STH Efficacy'!$BP:$BP,""),
"")</f>
        <v/>
      </c>
      <c r="BA164" s="133">
        <f t="shared" si="17"/>
        <v>0.796</v>
      </c>
      <c r="BB164" s="443" t="str">
        <f>IFERROR(AVERAGEIFS(
'STH Efficacy'!$N:$N, 
'STH Efficacy'!$B:$B, $A164, 
'STH Efficacy'!$C:$C, "Albendazole",
'STH Efficacy'!$I:$I,"&lt;2016",
'STH Efficacy'!$AH:$AH,""),
"")</f>
        <v/>
      </c>
      <c r="BC164" s="135">
        <f t="shared" si="18"/>
        <v>0.869</v>
      </c>
      <c r="BD164" s="443" t="str">
        <f>IFERROR(AVERAGEIFS(
'STH Efficacy'!$N:$N, 
'STH Efficacy'!$B:$B, $A164, 
'STH Efficacy'!$C:$C, "Mebendazole",
'STH Efficacy'!$I:$I,"&lt;2016",
'STH Efficacy'!$AH:$AH,""),
"")</f>
        <v/>
      </c>
      <c r="BE164" s="135">
        <f t="shared" si="19"/>
        <v>0.172</v>
      </c>
      <c r="BF164" s="436" t="str">
        <f>IFERROR(AVERAGEIFS(
'STH Efficacy'!$CD:$CD, 
'STH Efficacy'!$BS:$BS, $A164, 
'STH Efficacy'!$BT:$BT, "Albendazole",
'STH Efficacy'!$BZ:$BZ,"&lt;2016",
'STH Efficacy'!$CU:$CU,""),
"")</f>
        <v/>
      </c>
      <c r="BG164" s="136">
        <f t="shared" si="20"/>
        <v>0.9862</v>
      </c>
      <c r="BH164" s="436" t="str">
        <f>IFERROR(AVERAGEIFS(
'STH Efficacy'!$CD:$CD, 
'STH Efficacy'!$BS:$BS, $A164, 
'STH Efficacy'!$BT:$BT, "Mebendazole",
'STH Efficacy'!$BZ:$BZ,"&lt;2016",
'STH Efficacy'!$CU:$CU,""),
"")</f>
        <v/>
      </c>
      <c r="BI164" s="136">
        <f t="shared" si="21"/>
        <v>0.769</v>
      </c>
      <c r="BJ164" s="436" t="str">
        <f>IFERROR(AVERAGEIFS(
'STH Efficacy'!$CD:$CD, 
'STH Efficacy'!$BS:$BS, $A164, 
'STH Efficacy'!$BT:$BT, "Albendazole &amp; Ivermectin",
'STH Efficacy'!$BZ:$BZ,"&lt;2016",
'STH Efficacy'!$CU:$CU,""),
"")</f>
        <v/>
      </c>
      <c r="BK164" s="136">
        <f t="shared" si="22"/>
        <v>1</v>
      </c>
      <c r="BL164" s="444" t="str">
        <f>IFERROR(
  AVERAGEIFS(
    'NEW Onchocerciasis Efficacy'!$AO:$AO,
    'NEW Onchocerciasis Efficacy'!$C:$C,$A164,
    'NEW Onchocerciasis Efficacy'!$D:$D,"Ivermectin",
    'NEW Onchocerciasis Efficacy'!$AR:$AR,"&lt;2016",
    'NEW Onchocerciasis Efficacy'!$BG:$BG,"")
,"")</f>
        <v/>
      </c>
      <c r="BM164" s="304">
        <f t="shared" si="23"/>
        <v>0.3734</v>
      </c>
      <c r="BN164" s="439">
        <v>0.0</v>
      </c>
      <c r="BO164" s="139">
        <v>0.0</v>
      </c>
      <c r="BP164" s="140">
        <v>0.0</v>
      </c>
      <c r="BQ164" s="141">
        <f t="shared" si="24"/>
        <v>0</v>
      </c>
      <c r="BR164" s="104" t="str">
        <f t="shared" si="25"/>
        <v>0000</v>
      </c>
      <c r="BS164" s="104" t="str">
        <f t="shared" si="26"/>
        <v>no action required</v>
      </c>
      <c r="BT164" s="142" t="str">
        <f t="shared" si="43"/>
        <v/>
      </c>
      <c r="BU164" s="104" t="str">
        <f t="shared" si="28"/>
        <v/>
      </c>
      <c r="BV164" s="104" t="str">
        <f t="shared" si="29"/>
        <v>none</v>
      </c>
      <c r="BW164" s="150" t="str">
        <f t="shared" si="30"/>
        <v/>
      </c>
      <c r="BX164" s="150" t="str">
        <f t="shared" si="31"/>
        <v/>
      </c>
      <c r="BY164" s="151" t="str">
        <f t="shared" si="32"/>
        <v/>
      </c>
      <c r="BZ164" s="152" t="str">
        <f t="shared" si="33"/>
        <v/>
      </c>
      <c r="CA164" s="152" t="str">
        <f t="shared" si="34"/>
        <v/>
      </c>
      <c r="CB164" s="152" t="str">
        <f t="shared" si="35"/>
        <v/>
      </c>
      <c r="CC164" s="153" t="str">
        <f t="shared" si="36"/>
        <v/>
      </c>
      <c r="CD164" s="153" t="str">
        <f t="shared" si="37"/>
        <v/>
      </c>
      <c r="CE164" s="154" t="str">
        <f t="shared" si="38"/>
        <v/>
      </c>
      <c r="CF164" s="154" t="str">
        <f t="shared" si="39"/>
        <v/>
      </c>
      <c r="CG164" s="154" t="str">
        <f t="shared" si="40"/>
        <v/>
      </c>
      <c r="CH164" s="308" t="str">
        <f t="shared" si="41"/>
        <v/>
      </c>
    </row>
    <row r="165">
      <c r="A165" s="103" t="s">
        <v>254</v>
      </c>
      <c r="B165" s="104" t="s">
        <v>98</v>
      </c>
      <c r="C165" s="428">
        <v>177206.0</v>
      </c>
      <c r="D165" s="161">
        <v>0.0</v>
      </c>
      <c r="E165" s="294">
        <v>29.56295693</v>
      </c>
      <c r="F165" s="295">
        <v>0.165987076</v>
      </c>
      <c r="G165" s="295">
        <v>1.285958539</v>
      </c>
      <c r="H165" s="108">
        <v>1.451945615</v>
      </c>
      <c r="I165" s="109">
        <v>2.94433452</v>
      </c>
      <c r="J165" s="109">
        <v>13.5595564</v>
      </c>
      <c r="K165" s="109">
        <v>16.50389097</v>
      </c>
      <c r="L165" s="112">
        <v>1.06927597</v>
      </c>
      <c r="M165" s="112">
        <v>3.993470189</v>
      </c>
      <c r="N165" s="112">
        <v>5.062746158</v>
      </c>
      <c r="O165" s="298">
        <v>0.0</v>
      </c>
      <c r="P165" s="114"/>
      <c r="Q165" s="114"/>
      <c r="R165" s="121" t="str">
        <f t="shared" si="4"/>
        <v/>
      </c>
      <c r="S165" s="116">
        <f t="shared" si="5"/>
        <v>0.3565746084</v>
      </c>
      <c r="T165" s="117"/>
      <c r="U165" s="118">
        <f t="shared" si="6"/>
        <v>0.4791888889</v>
      </c>
      <c r="V165" s="148"/>
      <c r="W165" s="120">
        <f t="shared" si="7"/>
        <v>0.685</v>
      </c>
      <c r="X165" s="148"/>
      <c r="Y165" s="120">
        <f t="shared" si="8"/>
        <v>0.7550545455</v>
      </c>
      <c r="Z165" s="299"/>
      <c r="AA165" s="441"/>
      <c r="AB165" s="300" t="str">
        <f t="shared" si="9"/>
        <v/>
      </c>
      <c r="AC165" s="300">
        <f t="shared" si="10"/>
        <v>0.7101368438</v>
      </c>
      <c r="AD165" s="122">
        <v>0.0</v>
      </c>
      <c r="AE165" s="123">
        <v>0.02</v>
      </c>
      <c r="AF165" s="430">
        <v>4.0E-4</v>
      </c>
      <c r="AG165" s="316">
        <v>0.0</v>
      </c>
      <c r="AH165" s="316">
        <v>0.139687116</v>
      </c>
      <c r="AI165" s="317">
        <v>0.0</v>
      </c>
      <c r="AJ165" s="317">
        <v>0.131185385</v>
      </c>
      <c r="AK165" s="319">
        <v>0.0</v>
      </c>
      <c r="AL165" s="319">
        <v>0.185266814</v>
      </c>
      <c r="AM165" s="302">
        <v>0.0</v>
      </c>
      <c r="AN165" s="149" t="str">
        <f>IFERROR(
  AVERAGEIFS(
    'New LF Efficacy'!$J:$J,
    'New LF Efficacy'!$D:$D, $A165,
    'New LF Efficacy'!$F:$F,"DEC", 
    'New LF Efficacy'!$W:$W,"&lt;2016",
    'New LF Efficacy'!$AA:$AA,""),
  ""
)</f>
        <v/>
      </c>
      <c r="AO165" s="115">
        <f t="shared" si="11"/>
        <v>0.2589833333</v>
      </c>
      <c r="AP165" s="149" t="str">
        <f>IFERROR(
AVERAGEIFS(
'New LF Efficacy'!$J:$J,
'New LF Efficacy'!$D:$D,$A165,
'New LF Efficacy'!$F:$F,"Albendazole &amp; DEC",
'New LF Efficacy'!$W:$W,"&lt;2016",
'New LF Efficacy'!$AA:$AA,""),
"")
</f>
        <v/>
      </c>
      <c r="AQ165" s="115">
        <f t="shared" si="12"/>
        <v>0.3465</v>
      </c>
      <c r="AR165" s="149" t="str">
        <f>IFERROR(
AVERAGEIFS(
'New LF Efficacy'!$J:$J,
'New LF Efficacy'!$D:$D,$A165,
'New LF Efficacy'!$F:$F,"Albendazole &amp; Ivermectin", 
'New LF Efficacy'!$W:$W,"&lt;2016",
'New LF Efficacy'!$AA:$AA,""),"")</f>
        <v/>
      </c>
      <c r="AS165" s="115">
        <f t="shared" si="13"/>
        <v>0.7575</v>
      </c>
      <c r="AT165" s="442" t="str">
        <f>IFERROR(AVERAGEIFS(
'Schist Efficacy'!$O:$O, 
'Schist Efficacy'!$C:$C,$A165, 
'Schist Efficacy'!$D:$D, "Praziquantel",
'Schist Efficacy'!$J:$J,"&lt;2016",
'Schist Efficacy'!$U:$U,""),
"")</f>
        <v/>
      </c>
      <c r="AU165" s="118">
        <f t="shared" si="14"/>
        <v>0.7914761905</v>
      </c>
      <c r="AV165" s="131" t="str">
        <f>IFERROR(AVERAGEIFS(
'STH Efficacy'!$AX:$AX, 
'STH Efficacy'!$AL:$AL, $A165, 
'STH Efficacy'!$AM:$AM, "Albendazole",
'STH Efficacy'!$AS:$AS,"&lt;2016",
'STH Efficacy'!$BP:$BP,""),
"")</f>
        <v/>
      </c>
      <c r="AW165" s="132">
        <f t="shared" si="15"/>
        <v>0.3945</v>
      </c>
      <c r="AX165" s="131" t="str">
        <f>IFERROR(AVERAGEIFS(
'STH Efficacy'!$AX:$AX, 
'STH Efficacy'!$AL:$AL, $A165, 
'STH Efficacy'!$AM:$AM, "Mebendazole",
'STH Efficacy'!$AS:$AS,"&lt;2016",
'STH Efficacy'!$BP:$BP,""),
"")</f>
        <v/>
      </c>
      <c r="AY165" s="132">
        <f t="shared" si="16"/>
        <v>0.6</v>
      </c>
      <c r="AZ165" s="131" t="str">
        <f>IFERROR(AVERAGEIFS(
'STH Efficacy'!$AX:$AX, 
'STH Efficacy'!$AL:$AL, $A165, 
'STH Efficacy'!$AM:$AM, "Albendazole &amp; Ivermectin",
'STH Efficacy'!$AS:$AS,"&lt;2016",
'STH Efficacy'!$BP:$BP,""),
"")</f>
        <v/>
      </c>
      <c r="BA165" s="133">
        <f t="shared" si="17"/>
        <v>0.796</v>
      </c>
      <c r="BB165" s="443" t="str">
        <f>IFERROR(AVERAGEIFS(
'STH Efficacy'!$N:$N, 
'STH Efficacy'!$B:$B, $A165, 
'STH Efficacy'!$C:$C, "Albendazole",
'STH Efficacy'!$I:$I,"&lt;2016",
'STH Efficacy'!$AH:$AH,""),
"")</f>
        <v/>
      </c>
      <c r="BC165" s="135">
        <f t="shared" si="18"/>
        <v>0.869</v>
      </c>
      <c r="BD165" s="443" t="str">
        <f>IFERROR(AVERAGEIFS(
'STH Efficacy'!$N:$N, 
'STH Efficacy'!$B:$B, $A165, 
'STH Efficacy'!$C:$C, "Mebendazole",
'STH Efficacy'!$I:$I,"&lt;2016",
'STH Efficacy'!$AH:$AH,""),
"")</f>
        <v/>
      </c>
      <c r="BE165" s="135">
        <f t="shared" si="19"/>
        <v>0.172</v>
      </c>
      <c r="BF165" s="436" t="str">
        <f>IFERROR(AVERAGEIFS(
'STH Efficacy'!$CD:$CD, 
'STH Efficacy'!$BS:$BS, $A165, 
'STH Efficacy'!$BT:$BT, "Albendazole",
'STH Efficacy'!$BZ:$BZ,"&lt;2016",
'STH Efficacy'!$CU:$CU,""),
"")</f>
        <v/>
      </c>
      <c r="BG165" s="136">
        <f t="shared" si="20"/>
        <v>0.9862</v>
      </c>
      <c r="BH165" s="436" t="str">
        <f>IFERROR(AVERAGEIFS(
'STH Efficacy'!$CD:$CD, 
'STH Efficacy'!$BS:$BS, $A165, 
'STH Efficacy'!$BT:$BT, "Mebendazole",
'STH Efficacy'!$BZ:$BZ,"&lt;2016",
'STH Efficacy'!$CU:$CU,""),
"")</f>
        <v/>
      </c>
      <c r="BI165" s="136">
        <f t="shared" si="21"/>
        <v>0.769</v>
      </c>
      <c r="BJ165" s="436" t="str">
        <f>IFERROR(AVERAGEIFS(
'STH Efficacy'!$CD:$CD, 
'STH Efficacy'!$BS:$BS, $A165, 
'STH Efficacy'!$BT:$BT, "Albendazole &amp; Ivermectin",
'STH Efficacy'!$BZ:$BZ,"&lt;2016",
'STH Efficacy'!$CU:$CU,""),
"")</f>
        <v/>
      </c>
      <c r="BK165" s="136">
        <f t="shared" si="22"/>
        <v>1</v>
      </c>
      <c r="BL165" s="444" t="str">
        <f>IFERROR(
  AVERAGEIFS(
    'NEW Onchocerciasis Efficacy'!$AO:$AO,
    'NEW Onchocerciasis Efficacy'!$C:$C,$A165,
    'NEW Onchocerciasis Efficacy'!$D:$D,"Ivermectin",
    'NEW Onchocerciasis Efficacy'!$AR:$AR,"&lt;2016",
    'NEW Onchocerciasis Efficacy'!$BG:$BG,"")
,"")</f>
        <v/>
      </c>
      <c r="BM165" s="304">
        <f t="shared" si="23"/>
        <v>0.3734</v>
      </c>
      <c r="BN165" s="439">
        <v>0.0</v>
      </c>
      <c r="BO165" s="139">
        <v>0.0</v>
      </c>
      <c r="BP165" s="140">
        <v>0.0</v>
      </c>
      <c r="BQ165" s="141">
        <f t="shared" si="24"/>
        <v>0</v>
      </c>
      <c r="BR165" s="104" t="str">
        <f t="shared" si="25"/>
        <v>0000</v>
      </c>
      <c r="BS165" s="104" t="str">
        <f t="shared" si="26"/>
        <v>no action required</v>
      </c>
      <c r="BT165" s="142" t="str">
        <f t="shared" si="43"/>
        <v/>
      </c>
      <c r="BU165" s="104" t="str">
        <f t="shared" si="28"/>
        <v/>
      </c>
      <c r="BV165" s="104" t="str">
        <f t="shared" si="29"/>
        <v>none</v>
      </c>
      <c r="BW165" s="150" t="str">
        <f t="shared" si="30"/>
        <v/>
      </c>
      <c r="BX165" s="150" t="str">
        <f t="shared" si="31"/>
        <v/>
      </c>
      <c r="BY165" s="151" t="str">
        <f t="shared" si="32"/>
        <v/>
      </c>
      <c r="BZ165" s="152" t="str">
        <f t="shared" si="33"/>
        <v/>
      </c>
      <c r="CA165" s="152" t="str">
        <f t="shared" si="34"/>
        <v/>
      </c>
      <c r="CB165" s="152" t="str">
        <f t="shared" si="35"/>
        <v/>
      </c>
      <c r="CC165" s="153" t="str">
        <f t="shared" si="36"/>
        <v/>
      </c>
      <c r="CD165" s="153" t="str">
        <f t="shared" si="37"/>
        <v/>
      </c>
      <c r="CE165" s="154" t="str">
        <f t="shared" si="38"/>
        <v/>
      </c>
      <c r="CF165" s="154" t="str">
        <f t="shared" si="39"/>
        <v/>
      </c>
      <c r="CG165" s="154" t="str">
        <f t="shared" si="40"/>
        <v/>
      </c>
      <c r="CH165" s="308" t="str">
        <f t="shared" si="41"/>
        <v/>
      </c>
    </row>
    <row r="166">
      <c r="A166" s="103" t="s">
        <v>255</v>
      </c>
      <c r="B166" s="104" t="s">
        <v>98</v>
      </c>
      <c r="C166" s="428">
        <v>109455.0</v>
      </c>
      <c r="D166" s="161">
        <v>0.0</v>
      </c>
      <c r="E166" s="294">
        <v>0.0</v>
      </c>
      <c r="F166" s="295">
        <v>0.002293497</v>
      </c>
      <c r="G166" s="295">
        <v>0.014350087</v>
      </c>
      <c r="H166" s="108">
        <v>0.016643584</v>
      </c>
      <c r="I166" s="109">
        <v>2.97260481</v>
      </c>
      <c r="J166" s="109">
        <v>9.74725578</v>
      </c>
      <c r="K166" s="109">
        <v>12.71986059</v>
      </c>
      <c r="L166" s="112">
        <v>0.490794601</v>
      </c>
      <c r="M166" s="112">
        <v>0.717815401</v>
      </c>
      <c r="N166" s="112">
        <v>1.208610001</v>
      </c>
      <c r="O166" s="298">
        <v>0.0</v>
      </c>
      <c r="P166" s="114"/>
      <c r="Q166" s="114"/>
      <c r="R166" s="121" t="str">
        <f t="shared" si="4"/>
        <v/>
      </c>
      <c r="S166" s="116">
        <f t="shared" si="5"/>
        <v>0.3565746084</v>
      </c>
      <c r="T166" s="117"/>
      <c r="U166" s="118">
        <f t="shared" si="6"/>
        <v>0.4791888889</v>
      </c>
      <c r="V166" s="148"/>
      <c r="W166" s="120">
        <f t="shared" si="7"/>
        <v>0.685</v>
      </c>
      <c r="X166" s="148"/>
      <c r="Y166" s="120">
        <f t="shared" si="8"/>
        <v>0.7550545455</v>
      </c>
      <c r="Z166" s="299"/>
      <c r="AA166" s="441"/>
      <c r="AB166" s="300" t="str">
        <f t="shared" si="9"/>
        <v/>
      </c>
      <c r="AC166" s="300">
        <f t="shared" si="10"/>
        <v>0.7101368438</v>
      </c>
      <c r="AD166" s="122">
        <v>0.0</v>
      </c>
      <c r="AE166" s="123">
        <v>0.0</v>
      </c>
      <c r="AF166" s="430">
        <v>0.0</v>
      </c>
      <c r="AG166" s="124">
        <v>0.0875</v>
      </c>
      <c r="AH166" s="124">
        <v>0.045693118</v>
      </c>
      <c r="AI166" s="125">
        <v>0.0827</v>
      </c>
      <c r="AJ166" s="125">
        <v>0.138339559</v>
      </c>
      <c r="AK166" s="127">
        <v>0.1174</v>
      </c>
      <c r="AL166" s="127">
        <v>0.105402741</v>
      </c>
      <c r="AM166" s="302">
        <v>0.0</v>
      </c>
      <c r="AN166" s="149" t="str">
        <f>IFERROR(
  AVERAGEIFS(
    'New LF Efficacy'!$J:$J,
    'New LF Efficacy'!$D:$D, $A166,
    'New LF Efficacy'!$F:$F,"DEC", 
    'New LF Efficacy'!$W:$W,"&lt;2016",
    'New LF Efficacy'!$AA:$AA,""),
  ""
)</f>
        <v/>
      </c>
      <c r="AO166" s="115">
        <f t="shared" si="11"/>
        <v>0.2589833333</v>
      </c>
      <c r="AP166" s="149" t="str">
        <f>IFERROR(
AVERAGEIFS(
'New LF Efficacy'!$J:$J,
'New LF Efficacy'!$D:$D,$A166,
'New LF Efficacy'!$F:$F,"Albendazole &amp; DEC",
'New LF Efficacy'!$W:$W,"&lt;2016",
'New LF Efficacy'!$AA:$AA,""),
"")
</f>
        <v/>
      </c>
      <c r="AQ166" s="115">
        <f t="shared" si="12"/>
        <v>0.3465</v>
      </c>
      <c r="AR166" s="149" t="str">
        <f>IFERROR(
AVERAGEIFS(
'New LF Efficacy'!$J:$J,
'New LF Efficacy'!$D:$D,$A166,
'New LF Efficacy'!$F:$F,"Albendazole &amp; Ivermectin", 
'New LF Efficacy'!$W:$W,"&lt;2016",
'New LF Efficacy'!$AA:$AA,""),"")</f>
        <v/>
      </c>
      <c r="AS166" s="115">
        <f t="shared" si="13"/>
        <v>0.7575</v>
      </c>
      <c r="AT166" s="442" t="str">
        <f>IFERROR(AVERAGEIFS(
'Schist Efficacy'!$O:$O, 
'Schist Efficacy'!$C:$C,$A166, 
'Schist Efficacy'!$D:$D, "Praziquantel",
'Schist Efficacy'!$J:$J,"&lt;2016",
'Schist Efficacy'!$U:$U,""),
"")</f>
        <v/>
      </c>
      <c r="AU166" s="118">
        <f t="shared" si="14"/>
        <v>0.7914761905</v>
      </c>
      <c r="AV166" s="131" t="str">
        <f>IFERROR(AVERAGEIFS(
'STH Efficacy'!$AX:$AX, 
'STH Efficacy'!$AL:$AL, $A166, 
'STH Efficacy'!$AM:$AM, "Albendazole",
'STH Efficacy'!$AS:$AS,"&lt;2016",
'STH Efficacy'!$BP:$BP,""),
"")</f>
        <v/>
      </c>
      <c r="AW166" s="132">
        <f t="shared" si="15"/>
        <v>0.3945</v>
      </c>
      <c r="AX166" s="131" t="str">
        <f>IFERROR(AVERAGEIFS(
'STH Efficacy'!$AX:$AX, 
'STH Efficacy'!$AL:$AL, $A166, 
'STH Efficacy'!$AM:$AM, "Mebendazole",
'STH Efficacy'!$AS:$AS,"&lt;2016",
'STH Efficacy'!$BP:$BP,""),
"")</f>
        <v/>
      </c>
      <c r="AY166" s="132">
        <f t="shared" si="16"/>
        <v>0.6</v>
      </c>
      <c r="AZ166" s="131" t="str">
        <f>IFERROR(AVERAGEIFS(
'STH Efficacy'!$AX:$AX, 
'STH Efficacy'!$AL:$AL, $A166, 
'STH Efficacy'!$AM:$AM, "Albendazole &amp; Ivermectin",
'STH Efficacy'!$AS:$AS,"&lt;2016",
'STH Efficacy'!$BP:$BP,""),
"")</f>
        <v/>
      </c>
      <c r="BA166" s="133">
        <f t="shared" si="17"/>
        <v>0.796</v>
      </c>
      <c r="BB166" s="443" t="str">
        <f>IFERROR(AVERAGEIFS(
'STH Efficacy'!$N:$N, 
'STH Efficacy'!$B:$B, $A166, 
'STH Efficacy'!$C:$C, "Albendazole",
'STH Efficacy'!$I:$I,"&lt;2016",
'STH Efficacy'!$AH:$AH,""),
"")</f>
        <v/>
      </c>
      <c r="BC166" s="135">
        <f t="shared" si="18"/>
        <v>0.869</v>
      </c>
      <c r="BD166" s="443" t="str">
        <f>IFERROR(AVERAGEIFS(
'STH Efficacy'!$N:$N, 
'STH Efficacy'!$B:$B, $A166, 
'STH Efficacy'!$C:$C, "Mebendazole",
'STH Efficacy'!$I:$I,"&lt;2016",
'STH Efficacy'!$AH:$AH,""),
"")</f>
        <v/>
      </c>
      <c r="BE166" s="135">
        <f t="shared" si="19"/>
        <v>0.172</v>
      </c>
      <c r="BF166" s="436" t="str">
        <f>IFERROR(AVERAGEIFS(
'STH Efficacy'!$CD:$CD, 
'STH Efficacy'!$BS:$BS, $A166, 
'STH Efficacy'!$BT:$BT, "Albendazole",
'STH Efficacy'!$BZ:$BZ,"&lt;2016",
'STH Efficacy'!$CU:$CU,""),
"")</f>
        <v/>
      </c>
      <c r="BG166" s="136">
        <f t="shared" si="20"/>
        <v>0.9862</v>
      </c>
      <c r="BH166" s="436" t="str">
        <f>IFERROR(AVERAGEIFS(
'STH Efficacy'!$CD:$CD, 
'STH Efficacy'!$BS:$BS, $A166, 
'STH Efficacy'!$BT:$BT, "Mebendazole",
'STH Efficacy'!$BZ:$BZ,"&lt;2016",
'STH Efficacy'!$CU:$CU,""),
"")</f>
        <v/>
      </c>
      <c r="BI166" s="136">
        <f t="shared" si="21"/>
        <v>0.769</v>
      </c>
      <c r="BJ166" s="436" t="str">
        <f>IFERROR(AVERAGEIFS(
'STH Efficacy'!$CD:$CD, 
'STH Efficacy'!$BS:$BS, $A166, 
'STH Efficacy'!$BT:$BT, "Albendazole &amp; Ivermectin",
'STH Efficacy'!$BZ:$BZ,"&lt;2016",
'STH Efficacy'!$CU:$CU,""),
"")</f>
        <v/>
      </c>
      <c r="BK166" s="136">
        <f t="shared" si="22"/>
        <v>1</v>
      </c>
      <c r="BL166" s="444" t="str">
        <f>IFERROR(
  AVERAGEIFS(
    'NEW Onchocerciasis Efficacy'!$AO:$AO,
    'NEW Onchocerciasis Efficacy'!$C:$C,$A166,
    'NEW Onchocerciasis Efficacy'!$D:$D,"Ivermectin",
    'NEW Onchocerciasis Efficacy'!$AR:$AR,"&lt;2016",
    'NEW Onchocerciasis Efficacy'!$BG:$BG,"")
,"")</f>
        <v/>
      </c>
      <c r="BM166" s="304">
        <f t="shared" si="23"/>
        <v>0.3734</v>
      </c>
      <c r="BN166" s="439">
        <v>0.0</v>
      </c>
      <c r="BO166" s="139">
        <v>0.0</v>
      </c>
      <c r="BP166" s="140">
        <v>0.0</v>
      </c>
      <c r="BQ166" s="141">
        <f t="shared" si="24"/>
        <v>0</v>
      </c>
      <c r="BR166" s="104" t="str">
        <f t="shared" si="25"/>
        <v>0000</v>
      </c>
      <c r="BS166" s="104" t="str">
        <f t="shared" si="26"/>
        <v>no action required</v>
      </c>
      <c r="BT166" s="142" t="str">
        <f t="shared" si="43"/>
        <v/>
      </c>
      <c r="BU166" s="104" t="str">
        <f t="shared" si="28"/>
        <v/>
      </c>
      <c r="BV166" s="104" t="str">
        <f t="shared" si="29"/>
        <v>none</v>
      </c>
      <c r="BW166" s="150" t="str">
        <f t="shared" si="30"/>
        <v/>
      </c>
      <c r="BX166" s="150" t="str">
        <f t="shared" si="31"/>
        <v/>
      </c>
      <c r="BY166" s="151" t="str">
        <f t="shared" si="32"/>
        <v/>
      </c>
      <c r="BZ166" s="152" t="str">
        <f t="shared" si="33"/>
        <v/>
      </c>
      <c r="CA166" s="152" t="str">
        <f t="shared" si="34"/>
        <v/>
      </c>
      <c r="CB166" s="152" t="str">
        <f t="shared" si="35"/>
        <v/>
      </c>
      <c r="CC166" s="153" t="str">
        <f t="shared" si="36"/>
        <v/>
      </c>
      <c r="CD166" s="153" t="str">
        <f t="shared" si="37"/>
        <v/>
      </c>
      <c r="CE166" s="154" t="str">
        <f t="shared" si="38"/>
        <v/>
      </c>
      <c r="CF166" s="154" t="str">
        <f t="shared" si="39"/>
        <v/>
      </c>
      <c r="CG166" s="154" t="str">
        <f t="shared" si="40"/>
        <v/>
      </c>
      <c r="CH166" s="308" t="str">
        <f t="shared" si="41"/>
        <v/>
      </c>
    </row>
    <row r="167">
      <c r="A167" s="103" t="s">
        <v>256</v>
      </c>
      <c r="B167" s="104" t="s">
        <v>94</v>
      </c>
      <c r="C167" s="472">
        <v>193759.0</v>
      </c>
      <c r="D167" s="161">
        <v>69.61</v>
      </c>
      <c r="E167" s="294">
        <v>0.0</v>
      </c>
      <c r="F167" s="295">
        <v>3.9739E-4</v>
      </c>
      <c r="G167" s="295">
        <v>0.002305845</v>
      </c>
      <c r="H167" s="108">
        <v>0.002703234</v>
      </c>
      <c r="I167" s="109">
        <v>1.04294999</v>
      </c>
      <c r="J167" s="109">
        <v>2.20696087</v>
      </c>
      <c r="K167" s="109">
        <v>3.249910859</v>
      </c>
      <c r="L167" s="112">
        <v>0.966008304</v>
      </c>
      <c r="M167" s="112">
        <v>0.328313357</v>
      </c>
      <c r="N167" s="112">
        <v>1.294321661</v>
      </c>
      <c r="O167" s="298">
        <v>0.0</v>
      </c>
      <c r="P167" s="160">
        <v>61325.0</v>
      </c>
      <c r="Q167" s="156"/>
      <c r="R167" s="121">
        <f t="shared" si="4"/>
        <v>0</v>
      </c>
      <c r="S167" s="116">
        <f t="shared" si="5"/>
        <v>0.3783554476</v>
      </c>
      <c r="T167" s="117"/>
      <c r="U167" s="118">
        <f t="shared" si="6"/>
        <v>0.73965</v>
      </c>
      <c r="V167" s="148"/>
      <c r="W167" s="120">
        <f t="shared" si="7"/>
        <v>0.6141272727</v>
      </c>
      <c r="X167" s="148"/>
      <c r="Y167" s="120">
        <f t="shared" si="8"/>
        <v>0.6018090909</v>
      </c>
      <c r="Z167" s="299"/>
      <c r="AA167" s="441"/>
      <c r="AB167" s="300" t="str">
        <f t="shared" si="9"/>
        <v/>
      </c>
      <c r="AC167" s="300">
        <f t="shared" si="10"/>
        <v>0.6890056172</v>
      </c>
      <c r="AD167" s="122">
        <v>0.0058</v>
      </c>
      <c r="AE167" s="123">
        <v>0.0</v>
      </c>
      <c r="AF167" s="430">
        <v>0.0</v>
      </c>
      <c r="AG167" s="124">
        <v>0.029</v>
      </c>
      <c r="AH167" s="124">
        <v>0.020093048</v>
      </c>
      <c r="AI167" s="125">
        <v>0.0904</v>
      </c>
      <c r="AJ167" s="125">
        <v>0.019459167</v>
      </c>
      <c r="AK167" s="127">
        <v>0.0673</v>
      </c>
      <c r="AL167" s="127">
        <v>1.21539E-5</v>
      </c>
      <c r="AM167" s="302">
        <v>0.0</v>
      </c>
      <c r="AN167" s="149" t="str">
        <f>IFERROR(
  AVERAGEIFS(
    'New LF Efficacy'!$J:$J,
    'New LF Efficacy'!$D:$D, $A167,
    'New LF Efficacy'!$F:$F,"DEC", 
    'New LF Efficacy'!$W:$W,"&lt;2016",
    'New LF Efficacy'!$AA:$AA,""),
  ""
)</f>
        <v/>
      </c>
      <c r="AO167" s="115">
        <f t="shared" si="11"/>
        <v>0.38</v>
      </c>
      <c r="AP167" s="149" t="str">
        <f>IFERROR(
AVERAGEIFS(
'New LF Efficacy'!$J:$J,
'New LF Efficacy'!$D:$D,$A167,
'New LF Efficacy'!$F:$F,"Albendazole &amp; DEC",
'New LF Efficacy'!$W:$W,"&lt;2016",
'New LF Efficacy'!$AA:$AA,""),
"")
</f>
        <v/>
      </c>
      <c r="AQ167" s="115">
        <f t="shared" si="12"/>
        <v>0.662</v>
      </c>
      <c r="AR167" s="149" t="str">
        <f>IFERROR(
AVERAGEIFS(
'New LF Efficacy'!$J:$J,
'New LF Efficacy'!$D:$D,$A167,
'New LF Efficacy'!$F:$F,"Albendazole &amp; Ivermectin", 
'New LF Efficacy'!$W:$W,"&lt;2016",
'New LF Efficacy'!$AA:$AA,""),"")</f>
        <v/>
      </c>
      <c r="AS167" s="115">
        <f t="shared" si="13"/>
        <v>0.37153125</v>
      </c>
      <c r="AT167" s="442" t="str">
        <f>IFERROR(AVERAGEIFS(
'Schist Efficacy'!$O:$O, 
'Schist Efficacy'!$C:$C,$A167, 
'Schist Efficacy'!$D:$D, "Praziquantel",
'Schist Efficacy'!$J:$J,"&lt;2016",
'Schist Efficacy'!$U:$U,""),
"")</f>
        <v/>
      </c>
      <c r="AU167" s="118">
        <f t="shared" si="14"/>
        <v>0.9475</v>
      </c>
      <c r="AV167" s="131" t="str">
        <f>IFERROR(AVERAGEIFS(
'STH Efficacy'!$AX:$AX, 
'STH Efficacy'!$AL:$AL, $A167, 
'STH Efficacy'!$AM:$AM, "Albendazole",
'STH Efficacy'!$AS:$AS,"&lt;2016",
'STH Efficacy'!$BP:$BP,""),
"")</f>
        <v/>
      </c>
      <c r="AW167" s="132">
        <f t="shared" si="15"/>
        <v>0.3571666667</v>
      </c>
      <c r="AX167" s="131" t="str">
        <f>IFERROR(AVERAGEIFS(
'STH Efficacy'!$AX:$AX, 
'STH Efficacy'!$AL:$AL, $A167, 
'STH Efficacy'!$AM:$AM, "Mebendazole",
'STH Efficacy'!$AS:$AS,"&lt;2016",
'STH Efficacy'!$BP:$BP,""),
"")</f>
        <v/>
      </c>
      <c r="AY167" s="132">
        <f t="shared" si="16"/>
        <v>0.4155</v>
      </c>
      <c r="AZ167" s="131" t="str">
        <f>IFERROR(AVERAGEIFS(
'STH Efficacy'!$AX:$AX, 
'STH Efficacy'!$AL:$AL, $A167, 
'STH Efficacy'!$AM:$AM, "Albendazole &amp; Ivermectin",
'STH Efficacy'!$AS:$AS,"&lt;2016",
'STH Efficacy'!$BP:$BP,""),
"")</f>
        <v/>
      </c>
      <c r="BA167" s="133">
        <f t="shared" si="17"/>
        <v>0.651</v>
      </c>
      <c r="BB167" s="443" t="str">
        <f>IFERROR(AVERAGEIFS(
'STH Efficacy'!$N:$N, 
'STH Efficacy'!$B:$B, $A167, 
'STH Efficacy'!$C:$C, "Albendazole",
'STH Efficacy'!$I:$I,"&lt;2016",
'STH Efficacy'!$AH:$AH,""),
"")</f>
        <v/>
      </c>
      <c r="BC167" s="135">
        <f t="shared" si="18"/>
        <v>0.5769166667</v>
      </c>
      <c r="BD167" s="443" t="str">
        <f>IFERROR(AVERAGEIFS(
'STH Efficacy'!$N:$N, 
'STH Efficacy'!$B:$B, $A167, 
'STH Efficacy'!$C:$C, "Mebendazole",
'STH Efficacy'!$I:$I,"&lt;2016",
'STH Efficacy'!$AH:$AH,""),
"")</f>
        <v/>
      </c>
      <c r="BE167" s="135">
        <f t="shared" si="19"/>
        <v>0.3145</v>
      </c>
      <c r="BF167" s="436" t="str">
        <f>IFERROR(AVERAGEIFS(
'STH Efficacy'!$CD:$CD, 
'STH Efficacy'!$BS:$BS, $A167, 
'STH Efficacy'!$BT:$BT, "Albendazole",
'STH Efficacy'!$BZ:$BZ,"&lt;2016",
'STH Efficacy'!$CU:$CU,""),
"")</f>
        <v/>
      </c>
      <c r="BG167" s="136">
        <f t="shared" si="20"/>
        <v>0.96925</v>
      </c>
      <c r="BH167" s="436" t="str">
        <f>IFERROR(AVERAGEIFS(
'STH Efficacy'!$CD:$CD, 
'STH Efficacy'!$BS:$BS, $A167, 
'STH Efficacy'!$BT:$BT, "Mebendazole",
'STH Efficacy'!$BZ:$BZ,"&lt;2016",
'STH Efficacy'!$CU:$CU,""),
"")</f>
        <v/>
      </c>
      <c r="BI167" s="136">
        <f t="shared" si="21"/>
        <v>0.9305</v>
      </c>
      <c r="BJ167" s="436" t="str">
        <f>IFERROR(AVERAGEIFS(
'STH Efficacy'!$CD:$CD, 
'STH Efficacy'!$BS:$BS, $A167, 
'STH Efficacy'!$BT:$BT, "Albendazole &amp; Ivermectin",
'STH Efficacy'!$BZ:$BZ,"&lt;2016",
'STH Efficacy'!$CU:$CU,""),
"")</f>
        <v/>
      </c>
      <c r="BK167" s="136">
        <f t="shared" si="22"/>
        <v>0.848</v>
      </c>
      <c r="BL167" s="444" t="str">
        <f>IFERROR(
  AVERAGEIFS(
    'NEW Onchocerciasis Efficacy'!$AO:$AO,
    'NEW Onchocerciasis Efficacy'!$C:$C,$A167,
    'NEW Onchocerciasis Efficacy'!$D:$D,"Ivermectin",
    'NEW Onchocerciasis Efficacy'!$AR:$AR,"&lt;2016",
    'NEW Onchocerciasis Efficacy'!$BG:$BG,"")
,"")</f>
        <v/>
      </c>
      <c r="BM167" s="304">
        <f t="shared" si="23"/>
        <v>0.7808368939</v>
      </c>
      <c r="BN167" s="439">
        <v>1.0</v>
      </c>
      <c r="BO167" s="139">
        <v>0.0</v>
      </c>
      <c r="BP167" s="140">
        <v>0.0</v>
      </c>
      <c r="BQ167" s="141">
        <f t="shared" si="24"/>
        <v>0</v>
      </c>
      <c r="BR167" s="104" t="str">
        <f t="shared" si="25"/>
        <v>1000</v>
      </c>
      <c r="BS167" s="104" t="str">
        <f t="shared" si="26"/>
        <v>MDA1/2</v>
      </c>
      <c r="BT167" s="142" t="str">
        <f t="shared" si="43"/>
        <v>IVM+ALB or DEC+ALB</v>
      </c>
      <c r="BU167" s="104" t="str">
        <f t="shared" si="28"/>
        <v/>
      </c>
      <c r="BV167" s="104" t="str">
        <f t="shared" si="29"/>
        <v>lf only</v>
      </c>
      <c r="BW167" s="312">
        <f t="shared" si="30"/>
        <v>23.26169469</v>
      </c>
      <c r="BX167" s="312">
        <f t="shared" si="31"/>
        <v>11.38562578</v>
      </c>
      <c r="BY167" s="151" t="str">
        <f t="shared" si="32"/>
        <v/>
      </c>
      <c r="BZ167" s="152" t="str">
        <f t="shared" si="33"/>
        <v/>
      </c>
      <c r="CA167" s="152" t="str">
        <f t="shared" si="34"/>
        <v/>
      </c>
      <c r="CB167" s="152" t="str">
        <f t="shared" si="35"/>
        <v/>
      </c>
      <c r="CC167" s="153" t="str">
        <f t="shared" si="36"/>
        <v/>
      </c>
      <c r="CD167" s="153" t="str">
        <f t="shared" si="37"/>
        <v/>
      </c>
      <c r="CE167" s="154" t="str">
        <f t="shared" si="38"/>
        <v/>
      </c>
      <c r="CF167" s="154" t="str">
        <f t="shared" si="39"/>
        <v/>
      </c>
      <c r="CG167" s="154" t="str">
        <f t="shared" si="40"/>
        <v/>
      </c>
      <c r="CH167" s="308" t="str">
        <f t="shared" si="41"/>
        <v/>
      </c>
    </row>
    <row r="168">
      <c r="A168" s="103" t="s">
        <v>257</v>
      </c>
      <c r="B168" s="104" t="s">
        <v>90</v>
      </c>
      <c r="C168" s="472">
        <v>32960.0</v>
      </c>
      <c r="D168" s="161">
        <v>0.0</v>
      </c>
      <c r="E168" s="294">
        <v>0.0</v>
      </c>
      <c r="F168" s="163"/>
      <c r="G168" s="325"/>
      <c r="H168" s="108">
        <v>0.0</v>
      </c>
      <c r="I168" s="109">
        <v>0.0</v>
      </c>
      <c r="J168" s="109">
        <v>0.0</v>
      </c>
      <c r="K168" s="109">
        <v>0.0</v>
      </c>
      <c r="L168" s="113"/>
      <c r="M168" s="113"/>
      <c r="N168" s="112">
        <v>0.0</v>
      </c>
      <c r="O168" s="298">
        <v>0.0</v>
      </c>
      <c r="P168" s="114"/>
      <c r="Q168" s="114"/>
      <c r="R168" s="121" t="str">
        <f t="shared" si="4"/>
        <v/>
      </c>
      <c r="S168" s="116">
        <f t="shared" si="5"/>
        <v>0.5709301448</v>
      </c>
      <c r="T168" s="117"/>
      <c r="U168" s="118">
        <f t="shared" si="6"/>
        <v>0.4791888889</v>
      </c>
      <c r="V168" s="148"/>
      <c r="W168" s="120">
        <f t="shared" si="7"/>
        <v>0.0223</v>
      </c>
      <c r="X168" s="148"/>
      <c r="Y168" s="120">
        <f t="shared" si="8"/>
        <v>0.598275</v>
      </c>
      <c r="Z168" s="299"/>
      <c r="AA168" s="441"/>
      <c r="AB168" s="300" t="str">
        <f t="shared" si="9"/>
        <v/>
      </c>
      <c r="AC168" s="300">
        <f t="shared" si="10"/>
        <v>0.6890056172</v>
      </c>
      <c r="AD168" s="314">
        <v>0.0</v>
      </c>
      <c r="AE168" s="315">
        <v>0.0</v>
      </c>
      <c r="AF168" s="445">
        <v>0.0</v>
      </c>
      <c r="AG168" s="316">
        <v>0.0</v>
      </c>
      <c r="AH168" s="307">
        <v>0.0</v>
      </c>
      <c r="AI168" s="317">
        <v>0.0</v>
      </c>
      <c r="AJ168" s="318">
        <v>0.0</v>
      </c>
      <c r="AK168" s="319">
        <v>0.0</v>
      </c>
      <c r="AL168" s="446">
        <v>0.0</v>
      </c>
      <c r="AM168" s="320">
        <v>0.0</v>
      </c>
      <c r="AN168" s="149" t="str">
        <f>IFERROR(
  AVERAGEIFS(
    'New LF Efficacy'!$J:$J,
    'New LF Efficacy'!$D:$D, $A168,
    'New LF Efficacy'!$F:$F,"DEC", 
    'New LF Efficacy'!$W:$W,"&lt;2016",
    'New LF Efficacy'!$AA:$AA,""),
  ""
)</f>
        <v/>
      </c>
      <c r="AO168" s="115">
        <f t="shared" si="11"/>
        <v>0.3573520833</v>
      </c>
      <c r="AP168" s="149" t="str">
        <f>IFERROR(
AVERAGEIFS(
'New LF Efficacy'!$J:$J,
'New LF Efficacy'!$D:$D,$A168,
'New LF Efficacy'!$F:$F,"Albendazole &amp; DEC",
'New LF Efficacy'!$W:$W,"&lt;2016",
'New LF Efficacy'!$AA:$AA,""),
"")
</f>
        <v/>
      </c>
      <c r="AQ168" s="115">
        <f t="shared" si="12"/>
        <v>0.5143541667</v>
      </c>
      <c r="AR168" s="149" t="str">
        <f>IFERROR(
AVERAGEIFS(
'New LF Efficacy'!$J:$J,
'New LF Efficacy'!$D:$D,$A168,
'New LF Efficacy'!$F:$F,"Albendazole &amp; Ivermectin", 
'New LF Efficacy'!$W:$W,"&lt;2016",
'New LF Efficacy'!$AA:$AA,""),"")</f>
        <v/>
      </c>
      <c r="AS168" s="115">
        <f t="shared" si="13"/>
        <v>0.37153125</v>
      </c>
      <c r="AT168" s="442" t="str">
        <f>IFERROR(AVERAGEIFS(
'Schist Efficacy'!$O:$O, 
'Schist Efficacy'!$C:$C,$A168, 
'Schist Efficacy'!$D:$D, "Praziquantel",
'Schist Efficacy'!$J:$J,"&lt;2016",
'Schist Efficacy'!$U:$U,""),
"")</f>
        <v/>
      </c>
      <c r="AU168" s="118">
        <f t="shared" si="14"/>
        <v>0.655</v>
      </c>
      <c r="AV168" s="131" t="str">
        <f>IFERROR(AVERAGEIFS(
'STH Efficacy'!$AX:$AX, 
'STH Efficacy'!$AL:$AL, $A168, 
'STH Efficacy'!$AM:$AM, "Albendazole",
'STH Efficacy'!$AS:$AS,"&lt;2016",
'STH Efficacy'!$BP:$BP,""),
"")</f>
        <v/>
      </c>
      <c r="AW168" s="132">
        <f t="shared" si="15"/>
        <v>0.4143846154</v>
      </c>
      <c r="AX168" s="131" t="str">
        <f>IFERROR(AVERAGEIFS(
'STH Efficacy'!$AX:$AX, 
'STH Efficacy'!$AL:$AL, $A168, 
'STH Efficacy'!$AM:$AM, "Mebendazole",
'STH Efficacy'!$AS:$AS,"&lt;2016",
'STH Efficacy'!$BP:$BP,""),
"")</f>
        <v/>
      </c>
      <c r="AY168" s="132">
        <f t="shared" si="16"/>
        <v>0.4691770833</v>
      </c>
      <c r="AZ168" s="131" t="str">
        <f>IFERROR(AVERAGEIFS(
'STH Efficacy'!$AX:$AX, 
'STH Efficacy'!$AL:$AL, $A168, 
'STH Efficacy'!$AM:$AM, "Albendazole &amp; Ivermectin",
'STH Efficacy'!$AS:$AS,"&lt;2016",
'STH Efficacy'!$BP:$BP,""),
"")</f>
        <v/>
      </c>
      <c r="BA168" s="133">
        <f t="shared" si="17"/>
        <v>0.597625</v>
      </c>
      <c r="BB168" s="443" t="str">
        <f>IFERROR(AVERAGEIFS(
'STH Efficacy'!$N:$N, 
'STH Efficacy'!$B:$B, $A168, 
'STH Efficacy'!$C:$C, "Albendazole",
'STH Efficacy'!$I:$I,"&lt;2016",
'STH Efficacy'!$AH:$AH,""),
"")</f>
        <v/>
      </c>
      <c r="BC168" s="135">
        <f t="shared" si="18"/>
        <v>0.7613712121</v>
      </c>
      <c r="BD168" s="443" t="str">
        <f>IFERROR(AVERAGEIFS(
'STH Efficacy'!$N:$N, 
'STH Efficacy'!$B:$B, $A168, 
'STH Efficacy'!$C:$C, "Mebendazole",
'STH Efficacy'!$I:$I,"&lt;2016",
'STH Efficacy'!$AH:$AH,""),
"")</f>
        <v/>
      </c>
      <c r="BE168" s="135">
        <f t="shared" si="19"/>
        <v>0.4362466667</v>
      </c>
      <c r="BF168" s="436" t="str">
        <f>IFERROR(AVERAGEIFS(
'STH Efficacy'!$CD:$CD, 
'STH Efficacy'!$BS:$BS, $A168, 
'STH Efficacy'!$BT:$BT, "Albendazole",
'STH Efficacy'!$BZ:$BZ,"&lt;2016",
'STH Efficacy'!$CU:$CU,""),
"")</f>
        <v/>
      </c>
      <c r="BG168" s="136">
        <f t="shared" si="20"/>
        <v>0.9216027778</v>
      </c>
      <c r="BH168" s="436" t="str">
        <f>IFERROR(AVERAGEIFS(
'STH Efficacy'!$CD:$CD, 
'STH Efficacy'!$BS:$BS, $A168, 
'STH Efficacy'!$BT:$BT, "Mebendazole",
'STH Efficacy'!$BZ:$BZ,"&lt;2016",
'STH Efficacy'!$CU:$CU,""),
"")</f>
        <v/>
      </c>
      <c r="BI168" s="136">
        <f t="shared" si="21"/>
        <v>0.8866041667</v>
      </c>
      <c r="BJ168" s="436" t="str">
        <f>IFERROR(AVERAGEIFS(
'STH Efficacy'!$CD:$CD, 
'STH Efficacy'!$BS:$BS, $A168, 
'STH Efficacy'!$BT:$BT, "Albendazole &amp; Ivermectin",
'STH Efficacy'!$BZ:$BZ,"&lt;2016",
'STH Efficacy'!$CU:$CU,""),
"")</f>
        <v/>
      </c>
      <c r="BK168" s="136">
        <f t="shared" si="22"/>
        <v>0.848</v>
      </c>
      <c r="BL168" s="444" t="str">
        <f>IFERROR(
  AVERAGEIFS(
    'NEW Onchocerciasis Efficacy'!$AO:$AO,
    'NEW Onchocerciasis Efficacy'!$C:$C,$A168,
    'NEW Onchocerciasis Efficacy'!$D:$D,"Ivermectin",
    'NEW Onchocerciasis Efficacy'!$AR:$AR,"&lt;2016",
    'NEW Onchocerciasis Efficacy'!$BG:$BG,"")
,"")</f>
        <v/>
      </c>
      <c r="BM168" s="304">
        <f t="shared" si="23"/>
        <v>0.7808368939</v>
      </c>
      <c r="BN168" s="439">
        <v>0.0</v>
      </c>
      <c r="BO168" s="139">
        <v>1.0</v>
      </c>
      <c r="BP168" s="140">
        <v>0.0</v>
      </c>
      <c r="BQ168" s="141">
        <f t="shared" si="24"/>
        <v>0</v>
      </c>
      <c r="BR168" s="104" t="str">
        <f t="shared" si="25"/>
        <v>0100</v>
      </c>
      <c r="BS168" s="104" t="str">
        <f t="shared" si="26"/>
        <v>MDA3</v>
      </c>
      <c r="BT168" s="142" t="str">
        <f t="shared" si="43"/>
        <v>IVM</v>
      </c>
      <c r="BU168" s="104" t="str">
        <f t="shared" si="28"/>
        <v/>
      </c>
      <c r="BV168" s="104" t="str">
        <f t="shared" si="29"/>
        <v>onch only</v>
      </c>
      <c r="BW168" s="150" t="str">
        <f t="shared" si="30"/>
        <v/>
      </c>
      <c r="BX168" s="150" t="str">
        <f t="shared" si="31"/>
        <v/>
      </c>
      <c r="BY168" s="151" t="str">
        <f t="shared" si="32"/>
        <v/>
      </c>
      <c r="BZ168" s="152" t="str">
        <f t="shared" si="33"/>
        <v/>
      </c>
      <c r="CA168" s="152" t="str">
        <f t="shared" si="34"/>
        <v/>
      </c>
      <c r="CB168" s="152" t="str">
        <f t="shared" si="35"/>
        <v/>
      </c>
      <c r="CC168" s="153" t="str">
        <f t="shared" si="36"/>
        <v/>
      </c>
      <c r="CD168" s="153" t="str">
        <f t="shared" si="37"/>
        <v/>
      </c>
      <c r="CE168" s="154" t="str">
        <f t="shared" si="38"/>
        <v/>
      </c>
      <c r="CF168" s="154" t="str">
        <f t="shared" si="39"/>
        <v/>
      </c>
      <c r="CG168" s="154" t="str">
        <f t="shared" si="40"/>
        <v/>
      </c>
      <c r="CH168" s="313">
        <f t="shared" si="41"/>
        <v>0</v>
      </c>
    </row>
    <row r="169">
      <c r="A169" s="155" t="s">
        <v>258</v>
      </c>
      <c r="B169" s="104" t="s">
        <v>92</v>
      </c>
      <c r="C169" s="472">
        <v>195553.0</v>
      </c>
      <c r="D169" s="161">
        <v>490.66</v>
      </c>
      <c r="E169" s="294">
        <v>167.5817958</v>
      </c>
      <c r="F169" s="295">
        <v>6.742478678</v>
      </c>
      <c r="G169" s="295">
        <v>23.82192362</v>
      </c>
      <c r="H169" s="108">
        <v>30.56440229</v>
      </c>
      <c r="I169" s="109">
        <v>11.5555561</v>
      </c>
      <c r="J169" s="109">
        <v>28.5538681</v>
      </c>
      <c r="K169" s="109">
        <v>40.10942424</v>
      </c>
      <c r="L169" s="112">
        <v>28.44653175</v>
      </c>
      <c r="M169" s="112">
        <v>40.93593729</v>
      </c>
      <c r="N169" s="112">
        <v>69.38246904</v>
      </c>
      <c r="O169" s="298">
        <v>0.0</v>
      </c>
      <c r="P169" s="160">
        <v>188134.0</v>
      </c>
      <c r="Q169" s="156"/>
      <c r="R169" s="121">
        <f t="shared" si="4"/>
        <v>0</v>
      </c>
      <c r="S169" s="116">
        <f t="shared" si="5"/>
        <v>0.3345096109</v>
      </c>
      <c r="T169" s="118">
        <v>0.72</v>
      </c>
      <c r="U169" s="118">
        <f t="shared" si="6"/>
        <v>0.72</v>
      </c>
      <c r="V169" s="148"/>
      <c r="W169" s="120">
        <f t="shared" si="7"/>
        <v>0.8084736842</v>
      </c>
      <c r="X169" s="119">
        <v>0.5946</v>
      </c>
      <c r="Y169" s="120">
        <f t="shared" si="8"/>
        <v>0.5946</v>
      </c>
      <c r="Z169" s="299"/>
      <c r="AA169" s="441"/>
      <c r="AB169" s="300" t="str">
        <f t="shared" si="9"/>
        <v/>
      </c>
      <c r="AC169" s="300">
        <f t="shared" si="10"/>
        <v>0.6375203308</v>
      </c>
      <c r="AD169" s="122">
        <v>0.0519</v>
      </c>
      <c r="AE169" s="123">
        <v>0.11</v>
      </c>
      <c r="AF169" s="430">
        <v>0.0392</v>
      </c>
      <c r="AG169" s="316">
        <v>0.0</v>
      </c>
      <c r="AH169" s="316">
        <v>0.326355082</v>
      </c>
      <c r="AI169" s="317">
        <v>0.0</v>
      </c>
      <c r="AJ169" s="317">
        <v>0.154462783</v>
      </c>
      <c r="AK169" s="319">
        <v>0.0</v>
      </c>
      <c r="AL169" s="319">
        <v>0.393769023</v>
      </c>
      <c r="AM169" s="302">
        <v>0.0</v>
      </c>
      <c r="AN169" s="149" t="str">
        <f>IFERROR(
  AVERAGEIFS(
    'New LF Efficacy'!$J:$J,
    'New LF Efficacy'!$D:$D, $A169,
    'New LF Efficacy'!$F:$F,"DEC", 
    'New LF Efficacy'!$W:$W,"&lt;2016",
    'New LF Efficacy'!$AA:$AA,""),
  ""
)</f>
        <v/>
      </c>
      <c r="AO169" s="115">
        <f t="shared" si="11"/>
        <v>0.31225</v>
      </c>
      <c r="AP169" s="149" t="str">
        <f>IFERROR(
AVERAGEIFS(
'New LF Efficacy'!$J:$J,
'New LF Efficacy'!$D:$D,$A169,
'New LF Efficacy'!$F:$F,"Albendazole &amp; DEC",
'New LF Efficacy'!$W:$W,"&lt;2016",
'New LF Efficacy'!$AA:$AA,""),
"")
</f>
        <v/>
      </c>
      <c r="AQ169" s="115">
        <f t="shared" si="12"/>
        <v>0.4</v>
      </c>
      <c r="AR169" s="149" t="str">
        <f>IFERROR(
AVERAGEIFS(
'New LF Efficacy'!$J:$J,
'New LF Efficacy'!$D:$D,$A169,
'New LF Efficacy'!$F:$F,"Albendazole &amp; Ivermectin", 
'New LF Efficacy'!$W:$W,"&lt;2016",
'New LF Efficacy'!$AA:$AA,""),"")</f>
        <v/>
      </c>
      <c r="AS169" s="115">
        <f t="shared" si="13"/>
        <v>0.2943125</v>
      </c>
      <c r="AT169" s="442" t="str">
        <f>IFERROR(AVERAGEIFS(
'Schist Efficacy'!$O:$O, 
'Schist Efficacy'!$C:$C,$A169, 
'Schist Efficacy'!$D:$D, "Praziquantel",
'Schist Efficacy'!$J:$J,"&lt;2016",
'Schist Efficacy'!$U:$U,""),
"")</f>
        <v/>
      </c>
      <c r="AU169" s="118">
        <f t="shared" si="14"/>
        <v>0.7206464759</v>
      </c>
      <c r="AV169" s="131" t="str">
        <f>IFERROR(AVERAGEIFS(
'STH Efficacy'!$AX:$AX, 
'STH Efficacy'!$AL:$AL, $A169, 
'STH Efficacy'!$AM:$AM, "Albendazole",
'STH Efficacy'!$AS:$AS,"&lt;2016",
'STH Efficacy'!$BP:$BP,""),
"")</f>
        <v/>
      </c>
      <c r="AW169" s="132">
        <f t="shared" si="15"/>
        <v>0.3816333333</v>
      </c>
      <c r="AX169" s="131" t="str">
        <f>IFERROR(AVERAGEIFS(
'STH Efficacy'!$AX:$AX, 
'STH Efficacy'!$AL:$AL, $A169, 
'STH Efficacy'!$AM:$AM, "Mebendazole",
'STH Efficacy'!$AS:$AS,"&lt;2016",
'STH Efficacy'!$BP:$BP,""),
"")</f>
        <v/>
      </c>
      <c r="AY169" s="132">
        <f t="shared" si="16"/>
        <v>0.4859375</v>
      </c>
      <c r="AZ169" s="131" t="str">
        <f>IFERROR(AVERAGEIFS(
'STH Efficacy'!$AX:$AX, 
'STH Efficacy'!$AL:$AL, $A169, 
'STH Efficacy'!$AM:$AM, "Albendazole &amp; Ivermectin",
'STH Efficacy'!$AS:$AS,"&lt;2016",
'STH Efficacy'!$BP:$BP,""),
"")</f>
        <v/>
      </c>
      <c r="BA169" s="133">
        <f t="shared" si="17"/>
        <v>0.47175</v>
      </c>
      <c r="BB169" s="443" t="str">
        <f>IFERROR(AVERAGEIFS(
'STH Efficacy'!$N:$N, 
'STH Efficacy'!$B:$B, $A169, 
'STH Efficacy'!$C:$C, "Albendazole",
'STH Efficacy'!$I:$I,"&lt;2016",
'STH Efficacy'!$AH:$AH,""),
"")</f>
        <v/>
      </c>
      <c r="BC169" s="135">
        <f t="shared" si="18"/>
        <v>0.8699166667</v>
      </c>
      <c r="BD169" s="443" t="str">
        <f>IFERROR(AVERAGEIFS(
'STH Efficacy'!$N:$N, 
'STH Efficacy'!$B:$B, $A169, 
'STH Efficacy'!$C:$C, "Mebendazole",
'STH Efficacy'!$I:$I,"&lt;2016",
'STH Efficacy'!$AH:$AH,""),
"")</f>
        <v/>
      </c>
      <c r="BE169" s="135">
        <f t="shared" si="19"/>
        <v>0.7092416667</v>
      </c>
      <c r="BF169" s="436" t="str">
        <f>IFERROR(AVERAGEIFS(
'STH Efficacy'!$CD:$CD, 
'STH Efficacy'!$BS:$BS, $A169, 
'STH Efficacy'!$BT:$BT, "Albendazole",
'STH Efficacy'!$BZ:$BZ,"&lt;2016",
'STH Efficacy'!$CU:$CU,""),
"")</f>
        <v/>
      </c>
      <c r="BG169" s="136">
        <f t="shared" si="20"/>
        <v>0.9066666667</v>
      </c>
      <c r="BH169" s="436" t="str">
        <f>IFERROR(AVERAGEIFS(
'STH Efficacy'!$CD:$CD, 
'STH Efficacy'!$BS:$BS, $A169, 
'STH Efficacy'!$BT:$BT, "Mebendazole",
'STH Efficacy'!$BZ:$BZ,"&lt;2016",
'STH Efficacy'!$CU:$CU,""),
"")</f>
        <v/>
      </c>
      <c r="BI169" s="136">
        <f t="shared" si="21"/>
        <v>0.8483333333</v>
      </c>
      <c r="BJ169" s="436" t="str">
        <f>IFERROR(AVERAGEIFS(
'STH Efficacy'!$CD:$CD, 
'STH Efficacy'!$BS:$BS, $A169, 
'STH Efficacy'!$BT:$BT, "Albendazole &amp; Ivermectin",
'STH Efficacy'!$BZ:$BZ,"&lt;2016",
'STH Efficacy'!$CU:$CU,""),
"")</f>
        <v/>
      </c>
      <c r="BK169" s="136">
        <f t="shared" si="22"/>
        <v>0.696</v>
      </c>
      <c r="BL169" s="444" t="str">
        <f>IFERROR(
  AVERAGEIFS(
    'NEW Onchocerciasis Efficacy'!$AO:$AO,
    'NEW Onchocerciasis Efficacy'!$C:$C,$A169,
    'NEW Onchocerciasis Efficacy'!$D:$D,"Ivermectin",
    'NEW Onchocerciasis Efficacy'!$AR:$AR,"&lt;2016",
    'NEW Onchocerciasis Efficacy'!$BG:$BG,"")
,"")</f>
        <v/>
      </c>
      <c r="BM169" s="304">
        <f t="shared" si="23"/>
        <v>0.8390421645</v>
      </c>
      <c r="BN169" s="439">
        <v>1.0</v>
      </c>
      <c r="BO169" s="139">
        <v>0.0</v>
      </c>
      <c r="BP169" s="140">
        <v>1.0</v>
      </c>
      <c r="BQ169" s="141">
        <f t="shared" si="24"/>
        <v>1</v>
      </c>
      <c r="BR169" s="104" t="str">
        <f t="shared" si="25"/>
        <v>1011</v>
      </c>
      <c r="BS169" s="104" t="str">
        <f t="shared" si="26"/>
        <v>MDA1/2+T2</v>
      </c>
      <c r="BT169" s="142" t="str">
        <f t="shared" si="43"/>
        <v>IVM+ALB or DEC +ALB</v>
      </c>
      <c r="BU169" s="104" t="str">
        <f t="shared" si="28"/>
        <v>PZQ</v>
      </c>
      <c r="BV169" s="104" t="str">
        <f t="shared" si="29"/>
        <v>lf+schist+sth</v>
      </c>
      <c r="BW169" s="150" t="str">
        <f t="shared" si="30"/>
        <v/>
      </c>
      <c r="BX169" s="312">
        <f t="shared" si="31"/>
        <v>53.58069197</v>
      </c>
      <c r="BY169" s="162">
        <f t="shared" si="32"/>
        <v>180.7236838</v>
      </c>
      <c r="BZ169" s="152">
        <f t="shared" si="33"/>
        <v>10.00095361</v>
      </c>
      <c r="CA169" s="152" t="str">
        <f t="shared" si="34"/>
        <v/>
      </c>
      <c r="CB169" s="152">
        <f t="shared" si="35"/>
        <v>13.44424525</v>
      </c>
      <c r="CC169" s="323">
        <f t="shared" si="36"/>
        <v>57.98678827</v>
      </c>
      <c r="CD169" s="153" t="str">
        <f t="shared" si="37"/>
        <v/>
      </c>
      <c r="CE169" s="154">
        <f t="shared" si="38"/>
        <v>125.9834549</v>
      </c>
      <c r="CF169" s="154" t="str">
        <f t="shared" si="39"/>
        <v/>
      </c>
      <c r="CG169" s="154">
        <f t="shared" si="40"/>
        <v>65.50523845</v>
      </c>
      <c r="CH169" s="308" t="str">
        <f t="shared" si="41"/>
        <v/>
      </c>
    </row>
    <row r="170">
      <c r="A170" s="103" t="s">
        <v>259</v>
      </c>
      <c r="B170" s="104" t="s">
        <v>88</v>
      </c>
      <c r="C170" s="472">
        <v>3.1557144E7</v>
      </c>
      <c r="D170" s="161">
        <v>0.0</v>
      </c>
      <c r="E170" s="294">
        <v>455.5471335</v>
      </c>
      <c r="F170" s="295">
        <v>0.006791841</v>
      </c>
      <c r="G170" s="295">
        <v>0.051529581</v>
      </c>
      <c r="H170" s="108">
        <v>0.058321422</v>
      </c>
      <c r="I170" s="109">
        <v>136.120398</v>
      </c>
      <c r="J170" s="110">
        <v>368.930281</v>
      </c>
      <c r="K170" s="109">
        <v>505.0506787</v>
      </c>
      <c r="L170" s="112">
        <v>20.18127358</v>
      </c>
      <c r="M170" s="112">
        <v>35.54067603</v>
      </c>
      <c r="N170" s="112">
        <v>55.72194961</v>
      </c>
      <c r="O170" s="298">
        <v>0.0</v>
      </c>
      <c r="P170" s="114"/>
      <c r="Q170" s="114"/>
      <c r="R170" s="121" t="str">
        <f t="shared" si="4"/>
        <v/>
      </c>
      <c r="S170" s="116">
        <f t="shared" si="5"/>
        <v>0.5709301448</v>
      </c>
      <c r="T170" s="448"/>
      <c r="U170" s="449">
        <f t="shared" si="6"/>
        <v>0.739</v>
      </c>
      <c r="V170" s="148"/>
      <c r="W170" s="120">
        <f t="shared" si="7"/>
        <v>0.9933333333</v>
      </c>
      <c r="X170" s="148"/>
      <c r="Y170" s="120">
        <f t="shared" si="8"/>
        <v>0.5301</v>
      </c>
      <c r="Z170" s="299"/>
      <c r="AA170" s="441"/>
      <c r="AB170" s="300" t="str">
        <f t="shared" si="9"/>
        <v/>
      </c>
      <c r="AC170" s="300">
        <f t="shared" si="10"/>
        <v>0.4014082288</v>
      </c>
      <c r="AD170" s="122">
        <v>0.0</v>
      </c>
      <c r="AE170" s="123">
        <v>0.0</v>
      </c>
      <c r="AF170" s="430">
        <v>0.0</v>
      </c>
      <c r="AG170" s="124">
        <v>0.2138</v>
      </c>
      <c r="AH170" s="124">
        <v>0.008820989</v>
      </c>
      <c r="AI170" s="125">
        <v>0.0948</v>
      </c>
      <c r="AJ170" s="125">
        <v>0.02326671</v>
      </c>
      <c r="AK170" s="127">
        <v>0.2588</v>
      </c>
      <c r="AL170" s="127">
        <v>0.042792147</v>
      </c>
      <c r="AM170" s="302">
        <v>0.0</v>
      </c>
      <c r="AN170" s="149" t="str">
        <f>IFERROR(
  AVERAGEIFS(
    'New LF Efficacy'!$J:$J,
    'New LF Efficacy'!$D:$D, $A170,
    'New LF Efficacy'!$F:$F,"DEC", 
    'New LF Efficacy'!$W:$W,"&lt;2016",
    'New LF Efficacy'!$AA:$AA,""),
  ""
)</f>
        <v/>
      </c>
      <c r="AO170" s="115">
        <f t="shared" si="11"/>
        <v>0.3573520833</v>
      </c>
      <c r="AP170" s="149" t="str">
        <f>IFERROR(
AVERAGEIFS(
'New LF Efficacy'!$J:$J,
'New LF Efficacy'!$D:$D,$A170,
'New LF Efficacy'!$F:$F,"Albendazole &amp; DEC",
'New LF Efficacy'!$W:$W,"&lt;2016",
'New LF Efficacy'!$AA:$AA,""),
"")
</f>
        <v/>
      </c>
      <c r="AQ170" s="115">
        <f t="shared" si="12"/>
        <v>0.7935</v>
      </c>
      <c r="AR170" s="149" t="str">
        <f>IFERROR(
AVERAGEIFS(
'New LF Efficacy'!$J:$J,
'New LF Efficacy'!$D:$D,$A170,
'New LF Efficacy'!$F:$F,"Albendazole &amp; Ivermectin", 
'New LF Efficacy'!$W:$W,"&lt;2016",
'New LF Efficacy'!$AA:$AA,""),"")</f>
        <v/>
      </c>
      <c r="AS170" s="115">
        <f t="shared" si="13"/>
        <v>0.37153125</v>
      </c>
      <c r="AT170" s="442">
        <f>IFERROR(AVERAGEIFS(
'Schist Efficacy'!$O:$O, 
'Schist Efficacy'!$C:$C,$A170, 
'Schist Efficacy'!$D:$D, "Praziquantel",
'Schist Efficacy'!$J:$J,"&lt;2016",
'Schist Efficacy'!$U:$U,""),
"")</f>
        <v>0.96</v>
      </c>
      <c r="AU170" s="118">
        <f t="shared" si="14"/>
        <v>0.96</v>
      </c>
      <c r="AV170" s="131" t="str">
        <f>IFERROR(AVERAGEIFS(
'STH Efficacy'!$AX:$AX, 
'STH Efficacy'!$AL:$AL, $A170, 
'STH Efficacy'!$AM:$AM, "Albendazole",
'STH Efficacy'!$AS:$AS,"&lt;2016",
'STH Efficacy'!$BP:$BP,""),
"")</f>
        <v/>
      </c>
      <c r="AW170" s="132">
        <f t="shared" si="15"/>
        <v>0.4143846154</v>
      </c>
      <c r="AX170" s="131" t="str">
        <f>IFERROR(AVERAGEIFS(
'STH Efficacy'!$AX:$AX, 
'STH Efficacy'!$AL:$AL, $A170, 
'STH Efficacy'!$AM:$AM, "Mebendazole",
'STH Efficacy'!$AS:$AS,"&lt;2016",
'STH Efficacy'!$BP:$BP,""),
"")</f>
        <v/>
      </c>
      <c r="AY170" s="132">
        <f t="shared" si="16"/>
        <v>0.4691770833</v>
      </c>
      <c r="AZ170" s="131" t="str">
        <f>IFERROR(AVERAGEIFS(
'STH Efficacy'!$AX:$AX, 
'STH Efficacy'!$AL:$AL, $A170, 
'STH Efficacy'!$AM:$AM, "Albendazole &amp; Ivermectin",
'STH Efficacy'!$AS:$AS,"&lt;2016",
'STH Efficacy'!$BP:$BP,""),
"")</f>
        <v/>
      </c>
      <c r="BA170" s="133">
        <f t="shared" si="17"/>
        <v>0.597625</v>
      </c>
      <c r="BB170" s="443" t="str">
        <f>IFERROR(AVERAGEIFS(
'STH Efficacy'!$N:$N, 
'STH Efficacy'!$B:$B, $A170, 
'STH Efficacy'!$C:$C, "Albendazole",
'STH Efficacy'!$I:$I,"&lt;2016",
'STH Efficacy'!$AH:$AH,""),
"")</f>
        <v/>
      </c>
      <c r="BC170" s="135">
        <f t="shared" si="18"/>
        <v>0.7613712121</v>
      </c>
      <c r="BD170" s="443" t="str">
        <f>IFERROR(AVERAGEIFS(
'STH Efficacy'!$N:$N, 
'STH Efficacy'!$B:$B, $A170, 
'STH Efficacy'!$C:$C, "Mebendazole",
'STH Efficacy'!$I:$I,"&lt;2016",
'STH Efficacy'!$AH:$AH,""),
"")</f>
        <v/>
      </c>
      <c r="BE170" s="135">
        <f t="shared" si="19"/>
        <v>0.4362466667</v>
      </c>
      <c r="BF170" s="436" t="str">
        <f>IFERROR(AVERAGEIFS(
'STH Efficacy'!$CD:$CD, 
'STH Efficacy'!$BS:$BS, $A170, 
'STH Efficacy'!$BT:$BT, "Albendazole",
'STH Efficacy'!$BZ:$BZ,"&lt;2016",
'STH Efficacy'!$CU:$CU,""),
"")</f>
        <v/>
      </c>
      <c r="BG170" s="136">
        <f t="shared" si="20"/>
        <v>0.955</v>
      </c>
      <c r="BH170" s="436" t="str">
        <f>IFERROR(AVERAGEIFS(
'STH Efficacy'!$CD:$CD, 
'STH Efficacy'!$BS:$BS, $A170, 
'STH Efficacy'!$BT:$BT, "Mebendazole",
'STH Efficacy'!$BZ:$BZ,"&lt;2016",
'STH Efficacy'!$CU:$CU,""),
"")</f>
        <v/>
      </c>
      <c r="BI170" s="136">
        <f t="shared" si="21"/>
        <v>1</v>
      </c>
      <c r="BJ170" s="436" t="str">
        <f>IFERROR(AVERAGEIFS(
'STH Efficacy'!$CD:$CD, 
'STH Efficacy'!$BS:$BS, $A170, 
'STH Efficacy'!$BT:$BT, "Albendazole &amp; Ivermectin",
'STH Efficacy'!$BZ:$BZ,"&lt;2016",
'STH Efficacy'!$CU:$CU,""),
"")</f>
        <v/>
      </c>
      <c r="BK170" s="136">
        <f t="shared" si="22"/>
        <v>0.848</v>
      </c>
      <c r="BL170" s="444" t="str">
        <f>IFERROR(
  AVERAGEIFS(
    'NEW Onchocerciasis Efficacy'!$AO:$AO,
    'NEW Onchocerciasis Efficacy'!$C:$C,$A170,
    'NEW Onchocerciasis Efficacy'!$D:$D,"Ivermectin",
    'NEW Onchocerciasis Efficacy'!$AR:$AR,"&lt;2016",
    'NEW Onchocerciasis Efficacy'!$BG:$BG,"")
,"")</f>
        <v/>
      </c>
      <c r="BM170" s="304">
        <f t="shared" si="23"/>
        <v>0.7808368939</v>
      </c>
      <c r="BN170" s="439">
        <v>0.0</v>
      </c>
      <c r="BO170" s="139">
        <v>1.0</v>
      </c>
      <c r="BP170" s="140">
        <v>0.0</v>
      </c>
      <c r="BQ170" s="141">
        <f t="shared" si="24"/>
        <v>0</v>
      </c>
      <c r="BR170" s="104" t="str">
        <f t="shared" si="25"/>
        <v>0100</v>
      </c>
      <c r="BS170" s="104" t="str">
        <f t="shared" si="26"/>
        <v>MDA3</v>
      </c>
      <c r="BT170" s="142" t="str">
        <f t="shared" si="43"/>
        <v>IVM</v>
      </c>
      <c r="BU170" s="104" t="str">
        <f t="shared" si="28"/>
        <v/>
      </c>
      <c r="BV170" s="104" t="str">
        <f t="shared" si="29"/>
        <v>onch only</v>
      </c>
      <c r="BW170" s="150" t="str">
        <f t="shared" si="30"/>
        <v/>
      </c>
      <c r="BX170" s="150" t="str">
        <f t="shared" si="31"/>
        <v/>
      </c>
      <c r="BY170" s="151" t="str">
        <f t="shared" si="32"/>
        <v/>
      </c>
      <c r="BZ170" s="152" t="str">
        <f t="shared" si="33"/>
        <v/>
      </c>
      <c r="CA170" s="152" t="str">
        <f t="shared" si="34"/>
        <v/>
      </c>
      <c r="CB170" s="152" t="str">
        <f t="shared" si="35"/>
        <v/>
      </c>
      <c r="CC170" s="153" t="str">
        <f t="shared" si="36"/>
        <v/>
      </c>
      <c r="CD170" s="153" t="str">
        <f t="shared" si="37"/>
        <v/>
      </c>
      <c r="CE170" s="154" t="str">
        <f t="shared" si="38"/>
        <v/>
      </c>
      <c r="CF170" s="154" t="str">
        <f t="shared" si="39"/>
        <v/>
      </c>
      <c r="CG170" s="154" t="str">
        <f t="shared" si="40"/>
        <v/>
      </c>
      <c r="CH170" s="313">
        <f t="shared" si="41"/>
        <v>0</v>
      </c>
    </row>
    <row r="171">
      <c r="A171" s="103" t="s">
        <v>260</v>
      </c>
      <c r="B171" s="104" t="s">
        <v>92</v>
      </c>
      <c r="C171" s="472">
        <v>1.4976994E7</v>
      </c>
      <c r="D171" s="161">
        <v>11737.89</v>
      </c>
      <c r="E171" s="294">
        <v>25251.22545</v>
      </c>
      <c r="F171" s="295">
        <v>13.64362939</v>
      </c>
      <c r="G171" s="295">
        <v>53.95240609</v>
      </c>
      <c r="H171" s="108">
        <v>67.59603548</v>
      </c>
      <c r="I171" s="109">
        <v>153.465043</v>
      </c>
      <c r="J171" s="109">
        <v>398.350122</v>
      </c>
      <c r="K171" s="109">
        <v>551.8151652</v>
      </c>
      <c r="L171" s="112">
        <v>898.0758332</v>
      </c>
      <c r="M171" s="112">
        <v>140.7345624</v>
      </c>
      <c r="N171" s="112">
        <v>1038.810396</v>
      </c>
      <c r="O171" s="298">
        <v>0.0</v>
      </c>
      <c r="P171" s="160">
        <v>8258869.0</v>
      </c>
      <c r="Q171" s="160">
        <v>4627752.0</v>
      </c>
      <c r="R171" s="121">
        <f t="shared" si="4"/>
        <v>0.5603372568</v>
      </c>
      <c r="S171" s="116">
        <f t="shared" si="5"/>
        <v>0.5603372568</v>
      </c>
      <c r="T171" s="118">
        <v>0.557</v>
      </c>
      <c r="U171" s="118">
        <f t="shared" si="6"/>
        <v>0.557</v>
      </c>
      <c r="V171" s="119">
        <v>0.6491</v>
      </c>
      <c r="W171" s="120">
        <f t="shared" si="7"/>
        <v>0.6491</v>
      </c>
      <c r="X171" s="119">
        <v>0.9411</v>
      </c>
      <c r="Y171" s="120">
        <f t="shared" si="8"/>
        <v>0.9411</v>
      </c>
      <c r="Z171" s="310">
        <v>877204.0</v>
      </c>
      <c r="AA171" s="310">
        <v>446184.0</v>
      </c>
      <c r="AB171" s="300">
        <f t="shared" si="9"/>
        <v>0.5086433714</v>
      </c>
      <c r="AC171" s="300">
        <f t="shared" si="10"/>
        <v>0.5086433714</v>
      </c>
      <c r="AD171" s="122">
        <v>0.0112</v>
      </c>
      <c r="AE171" s="123">
        <v>0.17</v>
      </c>
      <c r="AF171" s="430">
        <v>0.0567</v>
      </c>
      <c r="AG171" s="124">
        <v>0.0057</v>
      </c>
      <c r="AH171" s="124">
        <v>0.083221914</v>
      </c>
      <c r="AI171" s="125">
        <v>0.0147</v>
      </c>
      <c r="AJ171" s="125">
        <v>0.034048909</v>
      </c>
      <c r="AK171" s="127">
        <v>0.0272</v>
      </c>
      <c r="AL171" s="127">
        <v>0.031675661</v>
      </c>
      <c r="AM171" s="302">
        <v>0.0</v>
      </c>
      <c r="AN171" s="149" t="str">
        <f>IFERROR(
  AVERAGEIFS(
    'New LF Efficacy'!$J:$J,
    'New LF Efficacy'!$D:$D, $A171,
    'New LF Efficacy'!$F:$F,"DEC", 
    'New LF Efficacy'!$W:$W,"&lt;2016",
    'New LF Efficacy'!$AA:$AA,""),
  ""
)</f>
        <v/>
      </c>
      <c r="AO171" s="115">
        <f t="shared" si="11"/>
        <v>0.31225</v>
      </c>
      <c r="AP171" s="149" t="str">
        <f>IFERROR(
AVERAGEIFS(
'New LF Efficacy'!$J:$J,
'New LF Efficacy'!$D:$D,$A171,
'New LF Efficacy'!$F:$F,"Albendazole &amp; DEC",
'New LF Efficacy'!$W:$W,"&lt;2016",
'New LF Efficacy'!$AA:$AA,""),
"")
</f>
        <v/>
      </c>
      <c r="AQ171" s="115">
        <f t="shared" si="12"/>
        <v>0.4</v>
      </c>
      <c r="AR171" s="149" t="str">
        <f>IFERROR(
AVERAGEIFS(
'New LF Efficacy'!$J:$J,
'New LF Efficacy'!$D:$D,$A171,
'New LF Efficacy'!$F:$F,"Albendazole &amp; Ivermectin", 
'New LF Efficacy'!$W:$W,"&lt;2016",
'New LF Efficacy'!$AA:$AA,""),"")</f>
        <v/>
      </c>
      <c r="AS171" s="115">
        <f t="shared" si="13"/>
        <v>0.2943125</v>
      </c>
      <c r="AT171" s="442">
        <f>IFERROR(AVERAGEIFS(
'Schist Efficacy'!$O:$O, 
'Schist Efficacy'!$C:$C,$A171, 
'Schist Efficacy'!$D:$D, "Praziquantel",
'Schist Efficacy'!$J:$J,"&lt;2016",
'Schist Efficacy'!$U:$U,""),
"")</f>
        <v>0.7049090909</v>
      </c>
      <c r="AU171" s="118">
        <f t="shared" si="14"/>
        <v>0.7049090909</v>
      </c>
      <c r="AV171" s="131" t="str">
        <f>IFERROR(AVERAGEIFS(
'STH Efficacy'!$AX:$AX, 
'STH Efficacy'!$AL:$AL, $A171, 
'STH Efficacy'!$AM:$AM, "Albendazole",
'STH Efficacy'!$AS:$AS,"&lt;2016",
'STH Efficacy'!$BP:$BP,""),
"")</f>
        <v/>
      </c>
      <c r="AW171" s="132">
        <f t="shared" si="15"/>
        <v>0.3816333333</v>
      </c>
      <c r="AX171" s="131" t="str">
        <f>IFERROR(AVERAGEIFS(
'STH Efficacy'!$AX:$AX, 
'STH Efficacy'!$AL:$AL, $A171, 
'STH Efficacy'!$AM:$AM, "Mebendazole",
'STH Efficacy'!$AS:$AS,"&lt;2016",
'STH Efficacy'!$BP:$BP,""),
"")</f>
        <v/>
      </c>
      <c r="AY171" s="132">
        <f t="shared" si="16"/>
        <v>0.4859375</v>
      </c>
      <c r="AZ171" s="131" t="str">
        <f>IFERROR(AVERAGEIFS(
'STH Efficacy'!$AX:$AX, 
'STH Efficacy'!$AL:$AL, $A171, 
'STH Efficacy'!$AM:$AM, "Albendazole &amp; Ivermectin",
'STH Efficacy'!$AS:$AS,"&lt;2016",
'STH Efficacy'!$BP:$BP,""),
"")</f>
        <v/>
      </c>
      <c r="BA171" s="133">
        <f t="shared" si="17"/>
        <v>0.47175</v>
      </c>
      <c r="BB171" s="443" t="str">
        <f>IFERROR(AVERAGEIFS(
'STH Efficacy'!$N:$N, 
'STH Efficacy'!$B:$B, $A171, 
'STH Efficacy'!$C:$C, "Albendazole",
'STH Efficacy'!$I:$I,"&lt;2016",
'STH Efficacy'!$AH:$AH,""),
"")</f>
        <v/>
      </c>
      <c r="BC171" s="135">
        <f t="shared" si="18"/>
        <v>0.8699166667</v>
      </c>
      <c r="BD171" s="443" t="str">
        <f>IFERROR(AVERAGEIFS(
'STH Efficacy'!$N:$N, 
'STH Efficacy'!$B:$B, $A171, 
'STH Efficacy'!$C:$C, "Mebendazole",
'STH Efficacy'!$I:$I,"&lt;2016",
'STH Efficacy'!$AH:$AH,""),
"")</f>
        <v/>
      </c>
      <c r="BE171" s="135">
        <f t="shared" si="19"/>
        <v>0.7092416667</v>
      </c>
      <c r="BF171" s="436" t="str">
        <f>IFERROR(AVERAGEIFS(
'STH Efficacy'!$CD:$CD, 
'STH Efficacy'!$BS:$BS, $A171, 
'STH Efficacy'!$BT:$BT, "Albendazole",
'STH Efficacy'!$BZ:$BZ,"&lt;2016",
'STH Efficacy'!$CU:$CU,""),
"")</f>
        <v/>
      </c>
      <c r="BG171" s="136">
        <f t="shared" si="20"/>
        <v>0.9066666667</v>
      </c>
      <c r="BH171" s="436" t="str">
        <f>IFERROR(AVERAGEIFS(
'STH Efficacy'!$CD:$CD, 
'STH Efficacy'!$BS:$BS, $A171, 
'STH Efficacy'!$BT:$BT, "Mebendazole",
'STH Efficacy'!$BZ:$BZ,"&lt;2016",
'STH Efficacy'!$CU:$CU,""),
"")</f>
        <v/>
      </c>
      <c r="BI171" s="136">
        <f t="shared" si="21"/>
        <v>0.8483333333</v>
      </c>
      <c r="BJ171" s="436" t="str">
        <f>IFERROR(AVERAGEIFS(
'STH Efficacy'!$CD:$CD, 
'STH Efficacy'!$BS:$BS, $A171, 
'STH Efficacy'!$BT:$BT, "Albendazole &amp; Ivermectin",
'STH Efficacy'!$BZ:$BZ,"&lt;2016",
'STH Efficacy'!$CU:$CU,""),
"")</f>
        <v/>
      </c>
      <c r="BK171" s="136">
        <f t="shared" si="22"/>
        <v>0.696</v>
      </c>
      <c r="BL171" s="444">
        <f>IFERROR(
  AVERAGEIFS(
    'NEW Onchocerciasis Efficacy'!$AO:$AO,
    'NEW Onchocerciasis Efficacy'!$C:$C,$A171,
    'NEW Onchocerciasis Efficacy'!$D:$D,"Ivermectin",
    'NEW Onchocerciasis Efficacy'!$AR:$AR,"&lt;2016",
    'NEW Onchocerciasis Efficacy'!$BG:$BG,"")
,"")</f>
        <v>0.66494</v>
      </c>
      <c r="BM171" s="304">
        <f t="shared" si="23"/>
        <v>0.66494</v>
      </c>
      <c r="BN171" s="439">
        <v>1.0</v>
      </c>
      <c r="BO171" s="139">
        <v>0.0</v>
      </c>
      <c r="BP171" s="140">
        <v>1.0</v>
      </c>
      <c r="BQ171" s="141">
        <f t="shared" si="24"/>
        <v>0</v>
      </c>
      <c r="BR171" s="104" t="str">
        <f t="shared" si="25"/>
        <v>1010</v>
      </c>
      <c r="BS171" s="104" t="str">
        <f t="shared" si="26"/>
        <v>MDA1/2+T2</v>
      </c>
      <c r="BT171" s="142" t="str">
        <f t="shared" si="43"/>
        <v>IVM+ALB or DEC +ALB</v>
      </c>
      <c r="BU171" s="104" t="str">
        <f t="shared" si="28"/>
        <v>PZQ</v>
      </c>
      <c r="BV171" s="104" t="str">
        <f t="shared" si="29"/>
        <v>lf+schist </v>
      </c>
      <c r="BW171" s="150" t="str">
        <f t="shared" si="30"/>
        <v/>
      </c>
      <c r="BX171" s="312">
        <f t="shared" si="31"/>
        <v>2318.019977</v>
      </c>
      <c r="BY171" s="162">
        <f t="shared" si="32"/>
        <v>16323.7731</v>
      </c>
      <c r="BZ171" s="152" t="str">
        <f t="shared" si="33"/>
        <v/>
      </c>
      <c r="CA171" s="152" t="str">
        <f t="shared" si="34"/>
        <v/>
      </c>
      <c r="CB171" s="152" t="str">
        <f t="shared" si="35"/>
        <v/>
      </c>
      <c r="CC171" s="153" t="str">
        <f t="shared" si="36"/>
        <v/>
      </c>
      <c r="CD171" s="153" t="str">
        <f t="shared" si="37"/>
        <v/>
      </c>
      <c r="CE171" s="154" t="str">
        <f t="shared" si="38"/>
        <v/>
      </c>
      <c r="CF171" s="154" t="str">
        <f t="shared" si="39"/>
        <v/>
      </c>
      <c r="CG171" s="154" t="str">
        <f t="shared" si="40"/>
        <v/>
      </c>
      <c r="CH171" s="308" t="str">
        <f t="shared" si="41"/>
        <v/>
      </c>
    </row>
    <row r="172">
      <c r="A172" s="155" t="s">
        <v>261</v>
      </c>
      <c r="B172" s="104" t="s">
        <v>90</v>
      </c>
      <c r="C172" s="472">
        <v>7095383.0</v>
      </c>
      <c r="D172" s="161">
        <v>0.0</v>
      </c>
      <c r="E172" s="294">
        <v>0.0</v>
      </c>
      <c r="F172" s="307">
        <v>0.0</v>
      </c>
      <c r="G172" s="309">
        <v>0.0</v>
      </c>
      <c r="H172" s="108">
        <v>0.0</v>
      </c>
      <c r="I172" s="109">
        <v>0.0</v>
      </c>
      <c r="J172" s="109">
        <v>0.0</v>
      </c>
      <c r="K172" s="109">
        <v>0.0</v>
      </c>
      <c r="L172" s="112">
        <v>0.370879232</v>
      </c>
      <c r="M172" s="112">
        <v>0.199925744</v>
      </c>
      <c r="N172" s="112">
        <v>0.570804976</v>
      </c>
      <c r="O172" s="298">
        <v>0.0</v>
      </c>
      <c r="P172" s="114"/>
      <c r="Q172" s="114"/>
      <c r="R172" s="121" t="str">
        <f t="shared" si="4"/>
        <v/>
      </c>
      <c r="S172" s="116">
        <f t="shared" si="5"/>
        <v>0.5709301448</v>
      </c>
      <c r="T172" s="117"/>
      <c r="U172" s="118">
        <f t="shared" si="6"/>
        <v>0.4791888889</v>
      </c>
      <c r="V172" s="148"/>
      <c r="W172" s="120">
        <f t="shared" si="7"/>
        <v>0.0223</v>
      </c>
      <c r="X172" s="148"/>
      <c r="Y172" s="120">
        <f t="shared" si="8"/>
        <v>0.598275</v>
      </c>
      <c r="Z172" s="299"/>
      <c r="AA172" s="441"/>
      <c r="AB172" s="300" t="str">
        <f t="shared" si="9"/>
        <v/>
      </c>
      <c r="AC172" s="300">
        <f t="shared" si="10"/>
        <v>0.6890056172</v>
      </c>
      <c r="AD172" s="122">
        <v>0.0</v>
      </c>
      <c r="AE172" s="123">
        <v>0.0</v>
      </c>
      <c r="AF172" s="430">
        <v>0.0</v>
      </c>
      <c r="AG172" s="316">
        <v>0.0</v>
      </c>
      <c r="AH172" s="316">
        <v>0.0</v>
      </c>
      <c r="AI172" s="317">
        <v>0.0</v>
      </c>
      <c r="AJ172" s="317">
        <v>0.0</v>
      </c>
      <c r="AK172" s="319">
        <v>0.0</v>
      </c>
      <c r="AL172" s="319">
        <v>0.0</v>
      </c>
      <c r="AM172" s="302">
        <v>0.0</v>
      </c>
      <c r="AN172" s="149" t="str">
        <f>IFERROR(
  AVERAGEIFS(
    'New LF Efficacy'!$J:$J,
    'New LF Efficacy'!$D:$D, $A172,
    'New LF Efficacy'!$F:$F,"DEC", 
    'New LF Efficacy'!$W:$W,"&lt;2016",
    'New LF Efficacy'!$AA:$AA,""),
  ""
)</f>
        <v/>
      </c>
      <c r="AO172" s="115">
        <f t="shared" si="11"/>
        <v>0.3573520833</v>
      </c>
      <c r="AP172" s="149" t="str">
        <f>IFERROR(
AVERAGEIFS(
'New LF Efficacy'!$J:$J,
'New LF Efficacy'!$D:$D,$A172,
'New LF Efficacy'!$F:$F,"Albendazole &amp; DEC",
'New LF Efficacy'!$W:$W,"&lt;2016",
'New LF Efficacy'!$AA:$AA,""),
"")
</f>
        <v/>
      </c>
      <c r="AQ172" s="115">
        <f t="shared" si="12"/>
        <v>0.5143541667</v>
      </c>
      <c r="AR172" s="149" t="str">
        <f>IFERROR(
AVERAGEIFS(
'New LF Efficacy'!$J:$J,
'New LF Efficacy'!$D:$D,$A172,
'New LF Efficacy'!$F:$F,"Albendazole &amp; Ivermectin", 
'New LF Efficacy'!$W:$W,"&lt;2016",
'New LF Efficacy'!$AA:$AA,""),"")</f>
        <v/>
      </c>
      <c r="AS172" s="115">
        <f t="shared" si="13"/>
        <v>0.37153125</v>
      </c>
      <c r="AT172" s="442" t="str">
        <f>IFERROR(AVERAGEIFS(
'Schist Efficacy'!$O:$O, 
'Schist Efficacy'!$C:$C,$A172, 
'Schist Efficacy'!$D:$D, "Praziquantel",
'Schist Efficacy'!$J:$J,"&lt;2016",
'Schist Efficacy'!$U:$U,""),
"")</f>
        <v/>
      </c>
      <c r="AU172" s="118">
        <f t="shared" si="14"/>
        <v>0.655</v>
      </c>
      <c r="AV172" s="131" t="str">
        <f>IFERROR(AVERAGEIFS(
'STH Efficacy'!$AX:$AX, 
'STH Efficacy'!$AL:$AL, $A172, 
'STH Efficacy'!$AM:$AM, "Albendazole",
'STH Efficacy'!$AS:$AS,"&lt;2016",
'STH Efficacy'!$BP:$BP,""),
"")</f>
        <v/>
      </c>
      <c r="AW172" s="132">
        <f t="shared" si="15"/>
        <v>0.4143846154</v>
      </c>
      <c r="AX172" s="131" t="str">
        <f>IFERROR(AVERAGEIFS(
'STH Efficacy'!$AX:$AX, 
'STH Efficacy'!$AL:$AL, $A172, 
'STH Efficacy'!$AM:$AM, "Mebendazole",
'STH Efficacy'!$AS:$AS,"&lt;2016",
'STH Efficacy'!$BP:$BP,""),
"")</f>
        <v/>
      </c>
      <c r="AY172" s="132">
        <f t="shared" si="16"/>
        <v>0.4691770833</v>
      </c>
      <c r="AZ172" s="131" t="str">
        <f>IFERROR(AVERAGEIFS(
'STH Efficacy'!$AX:$AX, 
'STH Efficacy'!$AL:$AL, $A172, 
'STH Efficacy'!$AM:$AM, "Albendazole &amp; Ivermectin",
'STH Efficacy'!$AS:$AS,"&lt;2016",
'STH Efficacy'!$BP:$BP,""),
"")</f>
        <v/>
      </c>
      <c r="BA172" s="133">
        <f t="shared" si="17"/>
        <v>0.597625</v>
      </c>
      <c r="BB172" s="443" t="str">
        <f>IFERROR(AVERAGEIFS(
'STH Efficacy'!$N:$N, 
'STH Efficacy'!$B:$B, $A172, 
'STH Efficacy'!$C:$C, "Albendazole",
'STH Efficacy'!$I:$I,"&lt;2016",
'STH Efficacy'!$AH:$AH,""),
"")</f>
        <v/>
      </c>
      <c r="BC172" s="135">
        <f t="shared" si="18"/>
        <v>0.7613712121</v>
      </c>
      <c r="BD172" s="443" t="str">
        <f>IFERROR(AVERAGEIFS(
'STH Efficacy'!$N:$N, 
'STH Efficacy'!$B:$B, $A172, 
'STH Efficacy'!$C:$C, "Mebendazole",
'STH Efficacy'!$I:$I,"&lt;2016",
'STH Efficacy'!$AH:$AH,""),
"")</f>
        <v/>
      </c>
      <c r="BE172" s="135">
        <f t="shared" si="19"/>
        <v>0.4362466667</v>
      </c>
      <c r="BF172" s="436" t="str">
        <f>IFERROR(AVERAGEIFS(
'STH Efficacy'!$CD:$CD, 
'STH Efficacy'!$BS:$BS, $A172, 
'STH Efficacy'!$BT:$BT, "Albendazole",
'STH Efficacy'!$BZ:$BZ,"&lt;2016",
'STH Efficacy'!$CU:$CU,""),
"")</f>
        <v/>
      </c>
      <c r="BG172" s="136">
        <f t="shared" si="20"/>
        <v>0.9216027778</v>
      </c>
      <c r="BH172" s="436" t="str">
        <f>IFERROR(AVERAGEIFS(
'STH Efficacy'!$CD:$CD, 
'STH Efficacy'!$BS:$BS, $A172, 
'STH Efficacy'!$BT:$BT, "Mebendazole",
'STH Efficacy'!$BZ:$BZ,"&lt;2016",
'STH Efficacy'!$CU:$CU,""),
"")</f>
        <v/>
      </c>
      <c r="BI172" s="136">
        <f t="shared" si="21"/>
        <v>0.8866041667</v>
      </c>
      <c r="BJ172" s="436" t="str">
        <f>IFERROR(AVERAGEIFS(
'STH Efficacy'!$CD:$CD, 
'STH Efficacy'!$BS:$BS, $A172, 
'STH Efficacy'!$BT:$BT, "Albendazole &amp; Ivermectin",
'STH Efficacy'!$BZ:$BZ,"&lt;2016",
'STH Efficacy'!$CU:$CU,""),
"")</f>
        <v/>
      </c>
      <c r="BK172" s="136">
        <f t="shared" si="22"/>
        <v>0.848</v>
      </c>
      <c r="BL172" s="444" t="str">
        <f>IFERROR(
  AVERAGEIFS(
    'NEW Onchocerciasis Efficacy'!$AO:$AO,
    'NEW Onchocerciasis Efficacy'!$C:$C,$A172,
    'NEW Onchocerciasis Efficacy'!$D:$D,"Ivermectin",
    'NEW Onchocerciasis Efficacy'!$AR:$AR,"&lt;2016",
    'NEW Onchocerciasis Efficacy'!$BG:$BG,"")
,"")</f>
        <v/>
      </c>
      <c r="BM172" s="304">
        <f t="shared" si="23"/>
        <v>0.7808368939</v>
      </c>
      <c r="BN172" s="439">
        <v>0.0</v>
      </c>
      <c r="BO172" s="139">
        <v>0.0</v>
      </c>
      <c r="BP172" s="140">
        <v>0.0</v>
      </c>
      <c r="BQ172" s="141">
        <f t="shared" si="24"/>
        <v>0</v>
      </c>
      <c r="BR172" s="104" t="str">
        <f t="shared" si="25"/>
        <v>0000</v>
      </c>
      <c r="BS172" s="104" t="str">
        <f t="shared" si="26"/>
        <v>no action required</v>
      </c>
      <c r="BT172" s="142" t="str">
        <f t="shared" si="43"/>
        <v/>
      </c>
      <c r="BU172" s="104" t="str">
        <f t="shared" si="28"/>
        <v/>
      </c>
      <c r="BV172" s="104" t="str">
        <f t="shared" si="29"/>
        <v>none</v>
      </c>
      <c r="BW172" s="150" t="str">
        <f t="shared" si="30"/>
        <v/>
      </c>
      <c r="BX172" s="150" t="str">
        <f t="shared" si="31"/>
        <v/>
      </c>
      <c r="BY172" s="151" t="str">
        <f t="shared" si="32"/>
        <v/>
      </c>
      <c r="BZ172" s="152" t="str">
        <f t="shared" si="33"/>
        <v/>
      </c>
      <c r="CA172" s="152" t="str">
        <f t="shared" si="34"/>
        <v/>
      </c>
      <c r="CB172" s="152" t="str">
        <f t="shared" si="35"/>
        <v/>
      </c>
      <c r="CC172" s="153" t="str">
        <f t="shared" si="36"/>
        <v/>
      </c>
      <c r="CD172" s="153" t="str">
        <f t="shared" si="37"/>
        <v/>
      </c>
      <c r="CE172" s="154" t="str">
        <f t="shared" si="38"/>
        <v/>
      </c>
      <c r="CF172" s="154" t="str">
        <f t="shared" si="39"/>
        <v/>
      </c>
      <c r="CG172" s="154" t="str">
        <f t="shared" si="40"/>
        <v/>
      </c>
      <c r="CH172" s="308" t="str">
        <f t="shared" si="41"/>
        <v/>
      </c>
    </row>
    <row r="173">
      <c r="A173" s="155" t="s">
        <v>262</v>
      </c>
      <c r="B173" s="104" t="s">
        <v>92</v>
      </c>
      <c r="C173" s="472">
        <v>93419.0</v>
      </c>
      <c r="D173" s="161">
        <v>0.0</v>
      </c>
      <c r="E173" s="294">
        <v>0.0</v>
      </c>
      <c r="F173" s="295">
        <v>3.897197153</v>
      </c>
      <c r="G173" s="295">
        <v>15.88678619</v>
      </c>
      <c r="H173" s="108">
        <v>19.78398335</v>
      </c>
      <c r="I173" s="109">
        <v>4.98904248</v>
      </c>
      <c r="J173" s="109">
        <v>9.92381438</v>
      </c>
      <c r="K173" s="109">
        <v>14.91285686</v>
      </c>
      <c r="L173" s="112">
        <v>1.365388537</v>
      </c>
      <c r="M173" s="112">
        <v>2.609491475</v>
      </c>
      <c r="N173" s="112">
        <v>3.974880012</v>
      </c>
      <c r="O173" s="298">
        <v>0.0</v>
      </c>
      <c r="P173" s="156"/>
      <c r="Q173" s="156"/>
      <c r="R173" s="121" t="str">
        <f t="shared" si="4"/>
        <v/>
      </c>
      <c r="S173" s="116">
        <f t="shared" si="5"/>
        <v>0.3345096109</v>
      </c>
      <c r="T173" s="117"/>
      <c r="U173" s="118">
        <f t="shared" si="6"/>
        <v>0.4220357143</v>
      </c>
      <c r="V173" s="148"/>
      <c r="W173" s="120">
        <f t="shared" si="7"/>
        <v>0.8084736842</v>
      </c>
      <c r="X173" s="148"/>
      <c r="Y173" s="120">
        <f t="shared" si="8"/>
        <v>0.5938357143</v>
      </c>
      <c r="Z173" s="299"/>
      <c r="AA173" s="441"/>
      <c r="AB173" s="300" t="str">
        <f t="shared" si="9"/>
        <v/>
      </c>
      <c r="AC173" s="300">
        <f t="shared" si="10"/>
        <v>0.6375203308</v>
      </c>
      <c r="AD173" s="122">
        <v>0.0</v>
      </c>
      <c r="AE173" s="123">
        <v>0.0</v>
      </c>
      <c r="AF173" s="430">
        <v>0.0</v>
      </c>
      <c r="AG173" s="316">
        <v>0.0</v>
      </c>
      <c r="AH173" s="316">
        <v>0.443463651</v>
      </c>
      <c r="AI173" s="317">
        <v>0.0</v>
      </c>
      <c r="AJ173" s="317">
        <v>0.174264525</v>
      </c>
      <c r="AK173" s="319">
        <v>0.0</v>
      </c>
      <c r="AL173" s="319">
        <v>0.217839078</v>
      </c>
      <c r="AM173" s="302">
        <v>0.0</v>
      </c>
      <c r="AN173" s="149" t="str">
        <f>IFERROR(
  AVERAGEIFS(
    'New LF Efficacy'!$J:$J,
    'New LF Efficacy'!$D:$D, $A173,
    'New LF Efficacy'!$F:$F,"DEC", 
    'New LF Efficacy'!$W:$W,"&lt;2016",
    'New LF Efficacy'!$AA:$AA,""),
  ""
)</f>
        <v/>
      </c>
      <c r="AO173" s="115">
        <f t="shared" si="11"/>
        <v>0.31225</v>
      </c>
      <c r="AP173" s="149" t="str">
        <f>IFERROR(
AVERAGEIFS(
'New LF Efficacy'!$J:$J,
'New LF Efficacy'!$D:$D,$A173,
'New LF Efficacy'!$F:$F,"Albendazole &amp; DEC",
'New LF Efficacy'!$W:$W,"&lt;2016",
'New LF Efficacy'!$AA:$AA,""),
"")
</f>
        <v/>
      </c>
      <c r="AQ173" s="115">
        <f t="shared" si="12"/>
        <v>0.4</v>
      </c>
      <c r="AR173" s="149" t="str">
        <f>IFERROR(
AVERAGEIFS(
'New LF Efficacy'!$J:$J,
'New LF Efficacy'!$D:$D,$A173,
'New LF Efficacy'!$F:$F,"Albendazole &amp; Ivermectin", 
'New LF Efficacy'!$W:$W,"&lt;2016",
'New LF Efficacy'!$AA:$AA,""),"")</f>
        <v/>
      </c>
      <c r="AS173" s="115">
        <f t="shared" si="13"/>
        <v>0.2943125</v>
      </c>
      <c r="AT173" s="442" t="str">
        <f>IFERROR(AVERAGEIFS(
'Schist Efficacy'!$O:$O, 
'Schist Efficacy'!$C:$C,$A173, 
'Schist Efficacy'!$D:$D, "Praziquantel",
'Schist Efficacy'!$J:$J,"&lt;2016",
'Schist Efficacy'!$U:$U,""),
"")</f>
        <v/>
      </c>
      <c r="AU173" s="118">
        <f t="shared" si="14"/>
        <v>0.7206464759</v>
      </c>
      <c r="AV173" s="131" t="str">
        <f>IFERROR(AVERAGEIFS(
'STH Efficacy'!$AX:$AX, 
'STH Efficacy'!$AL:$AL, $A173, 
'STH Efficacy'!$AM:$AM, "Albendazole",
'STH Efficacy'!$AS:$AS,"&lt;2016",
'STH Efficacy'!$BP:$BP,""),
"")</f>
        <v/>
      </c>
      <c r="AW173" s="132">
        <f t="shared" si="15"/>
        <v>0.3816333333</v>
      </c>
      <c r="AX173" s="131" t="str">
        <f>IFERROR(AVERAGEIFS(
'STH Efficacy'!$AX:$AX, 
'STH Efficacy'!$AL:$AL, $A173, 
'STH Efficacy'!$AM:$AM, "Mebendazole",
'STH Efficacy'!$AS:$AS,"&lt;2016",
'STH Efficacy'!$BP:$BP,""),
"")</f>
        <v/>
      </c>
      <c r="AY173" s="132">
        <f t="shared" si="16"/>
        <v>0.4859375</v>
      </c>
      <c r="AZ173" s="131" t="str">
        <f>IFERROR(AVERAGEIFS(
'STH Efficacy'!$AX:$AX, 
'STH Efficacy'!$AL:$AL, $A173, 
'STH Efficacy'!$AM:$AM, "Albendazole &amp; Ivermectin",
'STH Efficacy'!$AS:$AS,"&lt;2016",
'STH Efficacy'!$BP:$BP,""),
"")</f>
        <v/>
      </c>
      <c r="BA173" s="133">
        <f t="shared" si="17"/>
        <v>0.47175</v>
      </c>
      <c r="BB173" s="443" t="str">
        <f>IFERROR(AVERAGEIFS(
'STH Efficacy'!$N:$N, 
'STH Efficacy'!$B:$B, $A173, 
'STH Efficacy'!$C:$C, "Albendazole",
'STH Efficacy'!$I:$I,"&lt;2016",
'STH Efficacy'!$AH:$AH,""),
"")</f>
        <v/>
      </c>
      <c r="BC173" s="135">
        <f t="shared" si="18"/>
        <v>0.8699166667</v>
      </c>
      <c r="BD173" s="443" t="str">
        <f>IFERROR(AVERAGEIFS(
'STH Efficacy'!$N:$N, 
'STH Efficacy'!$B:$B, $A173, 
'STH Efficacy'!$C:$C, "Mebendazole",
'STH Efficacy'!$I:$I,"&lt;2016",
'STH Efficacy'!$AH:$AH,""),
"")</f>
        <v/>
      </c>
      <c r="BE173" s="135">
        <f t="shared" si="19"/>
        <v>0.7092416667</v>
      </c>
      <c r="BF173" s="436" t="str">
        <f>IFERROR(AVERAGEIFS(
'STH Efficacy'!$CD:$CD, 
'STH Efficacy'!$BS:$BS, $A173, 
'STH Efficacy'!$BT:$BT, "Albendazole",
'STH Efficacy'!$BZ:$BZ,"&lt;2016",
'STH Efficacy'!$CU:$CU,""),
"")</f>
        <v/>
      </c>
      <c r="BG173" s="136">
        <f t="shared" si="20"/>
        <v>0.9066666667</v>
      </c>
      <c r="BH173" s="436" t="str">
        <f>IFERROR(AVERAGEIFS(
'STH Efficacy'!$CD:$CD, 
'STH Efficacy'!$BS:$BS, $A173, 
'STH Efficacy'!$BT:$BT, "Mebendazole",
'STH Efficacy'!$BZ:$BZ,"&lt;2016",
'STH Efficacy'!$CU:$CU,""),
"")</f>
        <v/>
      </c>
      <c r="BI173" s="136">
        <f t="shared" si="21"/>
        <v>0.8483333333</v>
      </c>
      <c r="BJ173" s="436" t="str">
        <f>IFERROR(AVERAGEIFS(
'STH Efficacy'!$CD:$CD, 
'STH Efficacy'!$BS:$BS, $A173, 
'STH Efficacy'!$BT:$BT, "Albendazole &amp; Ivermectin",
'STH Efficacy'!$BZ:$BZ,"&lt;2016",
'STH Efficacy'!$CU:$CU,""),
"")</f>
        <v/>
      </c>
      <c r="BK173" s="136">
        <f t="shared" si="22"/>
        <v>0.696</v>
      </c>
      <c r="BL173" s="444" t="str">
        <f>IFERROR(
  AVERAGEIFS(
    'NEW Onchocerciasis Efficacy'!$AO:$AO,
    'NEW Onchocerciasis Efficacy'!$C:$C,$A173,
    'NEW Onchocerciasis Efficacy'!$D:$D,"Ivermectin",
    'NEW Onchocerciasis Efficacy'!$AR:$AR,"&lt;2016",
    'NEW Onchocerciasis Efficacy'!$BG:$BG,"")
,"")</f>
        <v/>
      </c>
      <c r="BM173" s="304">
        <f t="shared" si="23"/>
        <v>0.8390421645</v>
      </c>
      <c r="BN173" s="439">
        <v>0.0</v>
      </c>
      <c r="BO173" s="139">
        <v>1.0</v>
      </c>
      <c r="BP173" s="140">
        <v>1.0</v>
      </c>
      <c r="BQ173" s="141">
        <f t="shared" si="24"/>
        <v>1</v>
      </c>
      <c r="BR173" s="104" t="str">
        <f t="shared" si="25"/>
        <v>0111</v>
      </c>
      <c r="BS173" s="104" t="str">
        <f t="shared" si="26"/>
        <v>MDA1+T2</v>
      </c>
      <c r="BT173" s="142" t="str">
        <f t="shared" si="43"/>
        <v>IVM+ALB</v>
      </c>
      <c r="BU173" s="104" t="str">
        <f t="shared" si="28"/>
        <v>PZQ</v>
      </c>
      <c r="BV173" s="104" t="str">
        <f t="shared" si="29"/>
        <v>onch+schist+sth</v>
      </c>
      <c r="BW173" s="150" t="str">
        <f t="shared" si="30"/>
        <v/>
      </c>
      <c r="BX173" s="150" t="str">
        <f t="shared" si="31"/>
        <v/>
      </c>
      <c r="BY173" s="162">
        <f t="shared" si="32"/>
        <v>0</v>
      </c>
      <c r="BZ173" s="152">
        <f t="shared" si="33"/>
        <v>6.394424457</v>
      </c>
      <c r="CA173" s="152" t="str">
        <f t="shared" si="34"/>
        <v/>
      </c>
      <c r="CB173" s="152">
        <f t="shared" si="35"/>
        <v>8.585351851</v>
      </c>
      <c r="CC173" s="323">
        <f t="shared" si="36"/>
        <v>22.43119005</v>
      </c>
      <c r="CD173" s="153" t="str">
        <f t="shared" si="37"/>
        <v/>
      </c>
      <c r="CE173" s="154">
        <f t="shared" si="38"/>
        <v>6.792523631</v>
      </c>
      <c r="CF173" s="154" t="str">
        <f t="shared" si="39"/>
        <v/>
      </c>
      <c r="CG173" s="154">
        <f t="shared" si="40"/>
        <v>3.595236213</v>
      </c>
      <c r="CH173" s="313">
        <f t="shared" si="41"/>
        <v>0</v>
      </c>
    </row>
    <row r="174">
      <c r="A174" s="103" t="s">
        <v>263</v>
      </c>
      <c r="B174" s="104" t="s">
        <v>92</v>
      </c>
      <c r="C174" s="472">
        <v>7237025.0</v>
      </c>
      <c r="D174" s="161">
        <v>5675.03</v>
      </c>
      <c r="E174" s="294">
        <v>2453.675503</v>
      </c>
      <c r="F174" s="295">
        <v>38.87875677</v>
      </c>
      <c r="G174" s="295">
        <v>162.1741078</v>
      </c>
      <c r="H174" s="108">
        <v>201.0528646</v>
      </c>
      <c r="I174" s="109">
        <v>407.571643</v>
      </c>
      <c r="J174" s="110">
        <v>1144.49595</v>
      </c>
      <c r="K174" s="109">
        <v>1552.067597</v>
      </c>
      <c r="L174" s="112">
        <v>4699.614358</v>
      </c>
      <c r="M174" s="112">
        <v>899.2818788</v>
      </c>
      <c r="N174" s="112">
        <v>5598.896237</v>
      </c>
      <c r="O174" s="298">
        <v>18440.32555</v>
      </c>
      <c r="P174" s="160">
        <v>6976957.0</v>
      </c>
      <c r="Q174" s="160">
        <v>5398483.0</v>
      </c>
      <c r="R174" s="121">
        <f t="shared" si="4"/>
        <v>0.7737589611</v>
      </c>
      <c r="S174" s="116">
        <f t="shared" si="5"/>
        <v>0.7737589611</v>
      </c>
      <c r="T174" s="118">
        <v>1.0</v>
      </c>
      <c r="U174" s="118">
        <f t="shared" si="6"/>
        <v>1</v>
      </c>
      <c r="V174" s="148"/>
      <c r="W174" s="120">
        <f t="shared" si="7"/>
        <v>0.8084736842</v>
      </c>
      <c r="X174" s="119">
        <v>0.9368</v>
      </c>
      <c r="Y174" s="120">
        <f t="shared" si="8"/>
        <v>0.9368</v>
      </c>
      <c r="Z174" s="310">
        <v>3374236.0</v>
      </c>
      <c r="AA174" s="310">
        <v>3295899.0</v>
      </c>
      <c r="AB174" s="300">
        <f t="shared" si="9"/>
        <v>0.9767837816</v>
      </c>
      <c r="AC174" s="300">
        <f t="shared" si="10"/>
        <v>0.9767837816</v>
      </c>
      <c r="AD174" s="122">
        <v>0.0131</v>
      </c>
      <c r="AE174" s="123">
        <v>0.01</v>
      </c>
      <c r="AF174" s="430">
        <v>0.0022</v>
      </c>
      <c r="AG174" s="316">
        <v>0.0</v>
      </c>
      <c r="AH174" s="316">
        <v>0.1498371</v>
      </c>
      <c r="AI174" s="317">
        <v>0.0</v>
      </c>
      <c r="AJ174" s="317">
        <v>0.148914048</v>
      </c>
      <c r="AK174" s="319">
        <v>0.0</v>
      </c>
      <c r="AL174" s="319">
        <v>0.161484901</v>
      </c>
      <c r="AM174" s="302">
        <v>0.0369</v>
      </c>
      <c r="AN174" s="149" t="str">
        <f>IFERROR(
  AVERAGEIFS(
    'New LF Efficacy'!$J:$J,
    'New LF Efficacy'!$D:$D, $A174,
    'New LF Efficacy'!$F:$F,"DEC", 
    'New LF Efficacy'!$W:$W,"&lt;2016",
    'New LF Efficacy'!$AA:$AA,""),
  ""
)</f>
        <v/>
      </c>
      <c r="AO174" s="115">
        <f t="shared" si="11"/>
        <v>0.31225</v>
      </c>
      <c r="AP174" s="149" t="str">
        <f>IFERROR(
AVERAGEIFS(
'New LF Efficacy'!$J:$J,
'New LF Efficacy'!$D:$D,$A174,
'New LF Efficacy'!$F:$F,"Albendazole &amp; DEC",
'New LF Efficacy'!$W:$W,"&lt;2016",
'New LF Efficacy'!$AA:$AA,""),
"")
</f>
        <v/>
      </c>
      <c r="AQ174" s="115">
        <f t="shared" si="12"/>
        <v>0.4</v>
      </c>
      <c r="AR174" s="149" t="str">
        <f>IFERROR(
AVERAGEIFS(
'New LF Efficacy'!$J:$J,
'New LF Efficacy'!$D:$D,$A174,
'New LF Efficacy'!$F:$F,"Albendazole &amp; Ivermectin", 
'New LF Efficacy'!$W:$W,"&lt;2016",
'New LF Efficacy'!$AA:$AA,""),"")</f>
        <v/>
      </c>
      <c r="AS174" s="115">
        <f t="shared" si="13"/>
        <v>0.2943125</v>
      </c>
      <c r="AT174" s="442" t="str">
        <f>IFERROR(AVERAGEIFS(
'Schist Efficacy'!$O:$O, 
'Schist Efficacy'!$C:$C,$A174, 
'Schist Efficacy'!$D:$D, "Praziquantel",
'Schist Efficacy'!$J:$J,"&lt;2016",
'Schist Efficacy'!$U:$U,""),
"")</f>
        <v/>
      </c>
      <c r="AU174" s="118">
        <f t="shared" si="14"/>
        <v>0.7206464759</v>
      </c>
      <c r="AV174" s="131" t="str">
        <f>IFERROR(AVERAGEIFS(
'STH Efficacy'!$AX:$AX, 
'STH Efficacy'!$AL:$AL, $A174, 
'STH Efficacy'!$AM:$AM, "Albendazole",
'STH Efficacy'!$AS:$AS,"&lt;2016",
'STH Efficacy'!$BP:$BP,""),
"")</f>
        <v/>
      </c>
      <c r="AW174" s="132">
        <f t="shared" si="15"/>
        <v>0.3816333333</v>
      </c>
      <c r="AX174" s="131" t="str">
        <f>IFERROR(AVERAGEIFS(
'STH Efficacy'!$AX:$AX, 
'STH Efficacy'!$AL:$AL, $A174, 
'STH Efficacy'!$AM:$AM, "Mebendazole",
'STH Efficacy'!$AS:$AS,"&lt;2016",
'STH Efficacy'!$BP:$BP,""),
"")</f>
        <v/>
      </c>
      <c r="AY174" s="132">
        <f t="shared" si="16"/>
        <v>0.4859375</v>
      </c>
      <c r="AZ174" s="131" t="str">
        <f>IFERROR(AVERAGEIFS(
'STH Efficacy'!$AX:$AX, 
'STH Efficacy'!$AL:$AL, $A174, 
'STH Efficacy'!$AM:$AM, "Albendazole &amp; Ivermectin",
'STH Efficacy'!$AS:$AS,"&lt;2016",
'STH Efficacy'!$BP:$BP,""),
"")</f>
        <v/>
      </c>
      <c r="BA174" s="133">
        <f t="shared" si="17"/>
        <v>0.47175</v>
      </c>
      <c r="BB174" s="443" t="str">
        <f>IFERROR(AVERAGEIFS(
'STH Efficacy'!$N:$N, 
'STH Efficacy'!$B:$B, $A174, 
'STH Efficacy'!$C:$C, "Albendazole",
'STH Efficacy'!$I:$I,"&lt;2016",
'STH Efficacy'!$AH:$AH,""),
"")</f>
        <v/>
      </c>
      <c r="BC174" s="135">
        <f t="shared" si="18"/>
        <v>0.8699166667</v>
      </c>
      <c r="BD174" s="443" t="str">
        <f>IFERROR(AVERAGEIFS(
'STH Efficacy'!$N:$N, 
'STH Efficacy'!$B:$B, $A174, 
'STH Efficacy'!$C:$C, "Mebendazole",
'STH Efficacy'!$I:$I,"&lt;2016",
'STH Efficacy'!$AH:$AH,""),
"")</f>
        <v/>
      </c>
      <c r="BE174" s="135">
        <f t="shared" si="19"/>
        <v>0.7092416667</v>
      </c>
      <c r="BF174" s="436" t="str">
        <f>IFERROR(AVERAGEIFS(
'STH Efficacy'!$CD:$CD, 
'STH Efficacy'!$BS:$BS, $A174, 
'STH Efficacy'!$BT:$BT, "Albendazole",
'STH Efficacy'!$BZ:$BZ,"&lt;2016",
'STH Efficacy'!$CU:$CU,""),
"")</f>
        <v/>
      </c>
      <c r="BG174" s="136">
        <f t="shared" si="20"/>
        <v>0.9066666667</v>
      </c>
      <c r="BH174" s="436" t="str">
        <f>IFERROR(AVERAGEIFS(
'STH Efficacy'!$CD:$CD, 
'STH Efficacy'!$BS:$BS, $A174, 
'STH Efficacy'!$BT:$BT, "Mebendazole",
'STH Efficacy'!$BZ:$BZ,"&lt;2016",
'STH Efficacy'!$CU:$CU,""),
"")</f>
        <v/>
      </c>
      <c r="BI174" s="136">
        <f t="shared" si="21"/>
        <v>0.8483333333</v>
      </c>
      <c r="BJ174" s="436" t="str">
        <f>IFERROR(AVERAGEIFS(
'STH Efficacy'!$CD:$CD, 
'STH Efficacy'!$BS:$BS, $A174, 
'STH Efficacy'!$BT:$BT, "Albendazole &amp; Ivermectin",
'STH Efficacy'!$BZ:$BZ,"&lt;2016",
'STH Efficacy'!$CU:$CU,""),
"")</f>
        <v/>
      </c>
      <c r="BK174" s="136">
        <f t="shared" si="22"/>
        <v>0.696</v>
      </c>
      <c r="BL174" s="444">
        <f>IFERROR(
  AVERAGEIFS(
    'NEW Onchocerciasis Efficacy'!$AO:$AO,
    'NEW Onchocerciasis Efficacy'!$C:$C,$A174,
    'NEW Onchocerciasis Efficacy'!$D:$D,"Ivermectin",
    'NEW Onchocerciasis Efficacy'!$AR:$AR,"&lt;2016",
    'NEW Onchocerciasis Efficacy'!$BG:$BG,"")
,"")</f>
        <v>0.7535</v>
      </c>
      <c r="BM174" s="304">
        <f t="shared" si="23"/>
        <v>0.7535</v>
      </c>
      <c r="BN174" s="439">
        <v>1.0</v>
      </c>
      <c r="BO174" s="139">
        <v>0.0</v>
      </c>
      <c r="BP174" s="140">
        <v>1.0</v>
      </c>
      <c r="BQ174" s="141">
        <f t="shared" si="24"/>
        <v>0</v>
      </c>
      <c r="BR174" s="104" t="str">
        <f t="shared" si="25"/>
        <v>1010</v>
      </c>
      <c r="BS174" s="104" t="str">
        <f t="shared" si="26"/>
        <v>MDA1/2+T2</v>
      </c>
      <c r="BT174" s="142" t="str">
        <f t="shared" si="43"/>
        <v>IVM+ALB or DEC +ALB</v>
      </c>
      <c r="BU174" s="104" t="str">
        <f t="shared" si="28"/>
        <v>PZQ</v>
      </c>
      <c r="BV174" s="104" t="str">
        <f t="shared" si="29"/>
        <v>lf+schist </v>
      </c>
      <c r="BW174" s="150" t="str">
        <f t="shared" si="30"/>
        <v/>
      </c>
      <c r="BX174" s="312">
        <f t="shared" si="31"/>
        <v>1673.445885</v>
      </c>
      <c r="BY174" s="162">
        <f t="shared" si="32"/>
        <v>6329.730796</v>
      </c>
      <c r="BZ174" s="152" t="str">
        <f t="shared" si="33"/>
        <v/>
      </c>
      <c r="CA174" s="152" t="str">
        <f t="shared" si="34"/>
        <v/>
      </c>
      <c r="CB174" s="152" t="str">
        <f t="shared" si="35"/>
        <v/>
      </c>
      <c r="CC174" s="153" t="str">
        <f t="shared" si="36"/>
        <v/>
      </c>
      <c r="CD174" s="153" t="str">
        <f t="shared" si="37"/>
        <v/>
      </c>
      <c r="CE174" s="154" t="str">
        <f t="shared" si="38"/>
        <v/>
      </c>
      <c r="CF174" s="154" t="str">
        <f t="shared" si="39"/>
        <v/>
      </c>
      <c r="CG174" s="154" t="str">
        <f t="shared" si="40"/>
        <v/>
      </c>
      <c r="CH174" s="308" t="str">
        <f t="shared" si="41"/>
        <v/>
      </c>
    </row>
    <row r="175">
      <c r="A175" s="155" t="s">
        <v>264</v>
      </c>
      <c r="B175" s="104" t="s">
        <v>94</v>
      </c>
      <c r="C175" s="472">
        <v>5535002.0</v>
      </c>
      <c r="D175" s="161">
        <v>0.0</v>
      </c>
      <c r="E175" s="294">
        <v>0.0</v>
      </c>
      <c r="F175" s="307">
        <v>0.0</v>
      </c>
      <c r="G175" s="309">
        <v>0.0</v>
      </c>
      <c r="H175" s="108">
        <v>0.0</v>
      </c>
      <c r="I175" s="109">
        <v>0.0</v>
      </c>
      <c r="J175" s="109">
        <v>0.0</v>
      </c>
      <c r="K175" s="109">
        <v>0.0</v>
      </c>
      <c r="L175" s="112">
        <v>0.0</v>
      </c>
      <c r="M175" s="112">
        <v>0.0</v>
      </c>
      <c r="N175" s="112">
        <v>0.0</v>
      </c>
      <c r="O175" s="298">
        <v>0.0</v>
      </c>
      <c r="P175" s="114"/>
      <c r="Q175" s="114"/>
      <c r="R175" s="121" t="str">
        <f t="shared" si="4"/>
        <v/>
      </c>
      <c r="S175" s="116">
        <f t="shared" si="5"/>
        <v>0.3783554476</v>
      </c>
      <c r="T175" s="117"/>
      <c r="U175" s="118">
        <f t="shared" si="6"/>
        <v>0.73965</v>
      </c>
      <c r="V175" s="148"/>
      <c r="W175" s="120">
        <f t="shared" si="7"/>
        <v>0.6141272727</v>
      </c>
      <c r="X175" s="148"/>
      <c r="Y175" s="120">
        <f t="shared" si="8"/>
        <v>0.6018090909</v>
      </c>
      <c r="Z175" s="299"/>
      <c r="AA175" s="441"/>
      <c r="AB175" s="300" t="str">
        <f t="shared" si="9"/>
        <v/>
      </c>
      <c r="AC175" s="300">
        <f t="shared" si="10"/>
        <v>0.6890056172</v>
      </c>
      <c r="AD175" s="122">
        <v>0.0</v>
      </c>
      <c r="AE175" s="123">
        <v>0.0</v>
      </c>
      <c r="AF175" s="430">
        <v>0.0</v>
      </c>
      <c r="AG175" s="124">
        <v>0.0963</v>
      </c>
      <c r="AH175" s="124">
        <v>0.0</v>
      </c>
      <c r="AI175" s="125">
        <v>0.0927</v>
      </c>
      <c r="AJ175" s="125">
        <v>0.0</v>
      </c>
      <c r="AK175" s="127">
        <v>0.1039</v>
      </c>
      <c r="AL175" s="127">
        <v>0.0</v>
      </c>
      <c r="AM175" s="302">
        <v>0.0</v>
      </c>
      <c r="AN175" s="149" t="str">
        <f>IFERROR(
  AVERAGEIFS(
    'New LF Efficacy'!$J:$J,
    'New LF Efficacy'!$D:$D, $A175,
    'New LF Efficacy'!$F:$F,"DEC", 
    'New LF Efficacy'!$W:$W,"&lt;2016",
    'New LF Efficacy'!$AA:$AA,""),
  ""
)</f>
        <v/>
      </c>
      <c r="AO175" s="115">
        <f t="shared" si="11"/>
        <v>0.38</v>
      </c>
      <c r="AP175" s="149" t="str">
        <f>IFERROR(
AVERAGEIFS(
'New LF Efficacy'!$J:$J,
'New LF Efficacy'!$D:$D,$A175,
'New LF Efficacy'!$F:$F,"Albendazole &amp; DEC",
'New LF Efficacy'!$W:$W,"&lt;2016",
'New LF Efficacy'!$AA:$AA,""),
"")
</f>
        <v/>
      </c>
      <c r="AQ175" s="115">
        <f t="shared" si="12"/>
        <v>0.662</v>
      </c>
      <c r="AR175" s="149" t="str">
        <f>IFERROR(
AVERAGEIFS(
'New LF Efficacy'!$J:$J,
'New LF Efficacy'!$D:$D,$A175,
'New LF Efficacy'!$F:$F,"Albendazole &amp; Ivermectin", 
'New LF Efficacy'!$W:$W,"&lt;2016",
'New LF Efficacy'!$AA:$AA,""),"")</f>
        <v/>
      </c>
      <c r="AS175" s="115">
        <f t="shared" si="13"/>
        <v>0.37153125</v>
      </c>
      <c r="AT175" s="442" t="str">
        <f>IFERROR(AVERAGEIFS(
'Schist Efficacy'!$O:$O, 
'Schist Efficacy'!$C:$C,$A175, 
'Schist Efficacy'!$D:$D, "Praziquantel",
'Schist Efficacy'!$J:$J,"&lt;2016",
'Schist Efficacy'!$U:$U,""),
"")</f>
        <v/>
      </c>
      <c r="AU175" s="118">
        <f t="shared" si="14"/>
        <v>0.9475</v>
      </c>
      <c r="AV175" s="131" t="str">
        <f>IFERROR(AVERAGEIFS(
'STH Efficacy'!$AX:$AX, 
'STH Efficacy'!$AL:$AL, $A175, 
'STH Efficacy'!$AM:$AM, "Albendazole",
'STH Efficacy'!$AS:$AS,"&lt;2016",
'STH Efficacy'!$BP:$BP,""),
"")</f>
        <v/>
      </c>
      <c r="AW175" s="132">
        <f t="shared" si="15"/>
        <v>0.3571666667</v>
      </c>
      <c r="AX175" s="131" t="str">
        <f>IFERROR(AVERAGEIFS(
'STH Efficacy'!$AX:$AX, 
'STH Efficacy'!$AL:$AL, $A175, 
'STH Efficacy'!$AM:$AM, "Mebendazole",
'STH Efficacy'!$AS:$AS,"&lt;2016",
'STH Efficacy'!$BP:$BP,""),
"")</f>
        <v/>
      </c>
      <c r="AY175" s="132">
        <f t="shared" si="16"/>
        <v>0.4155</v>
      </c>
      <c r="AZ175" s="131" t="str">
        <f>IFERROR(AVERAGEIFS(
'STH Efficacy'!$AX:$AX, 
'STH Efficacy'!$AL:$AL, $A175, 
'STH Efficacy'!$AM:$AM, "Albendazole &amp; Ivermectin",
'STH Efficacy'!$AS:$AS,"&lt;2016",
'STH Efficacy'!$BP:$BP,""),
"")</f>
        <v/>
      </c>
      <c r="BA175" s="133">
        <f t="shared" si="17"/>
        <v>0.651</v>
      </c>
      <c r="BB175" s="443" t="str">
        <f>IFERROR(AVERAGEIFS(
'STH Efficacy'!$N:$N, 
'STH Efficacy'!$B:$B, $A175, 
'STH Efficacy'!$C:$C, "Albendazole",
'STH Efficacy'!$I:$I,"&lt;2016",
'STH Efficacy'!$AH:$AH,""),
"")</f>
        <v/>
      </c>
      <c r="BC175" s="135">
        <f t="shared" si="18"/>
        <v>0.5769166667</v>
      </c>
      <c r="BD175" s="443" t="str">
        <f>IFERROR(AVERAGEIFS(
'STH Efficacy'!$N:$N, 
'STH Efficacy'!$B:$B, $A175, 
'STH Efficacy'!$C:$C, "Mebendazole",
'STH Efficacy'!$I:$I,"&lt;2016",
'STH Efficacy'!$AH:$AH,""),
"")</f>
        <v/>
      </c>
      <c r="BE175" s="135">
        <f t="shared" si="19"/>
        <v>0.3145</v>
      </c>
      <c r="BF175" s="436" t="str">
        <f>IFERROR(AVERAGEIFS(
'STH Efficacy'!$CD:$CD, 
'STH Efficacy'!$BS:$BS, $A175, 
'STH Efficacy'!$BT:$BT, "Albendazole",
'STH Efficacy'!$BZ:$BZ,"&lt;2016",
'STH Efficacy'!$CU:$CU,""),
"")</f>
        <v/>
      </c>
      <c r="BG175" s="136">
        <f t="shared" si="20"/>
        <v>0.96925</v>
      </c>
      <c r="BH175" s="436" t="str">
        <f>IFERROR(AVERAGEIFS(
'STH Efficacy'!$CD:$CD, 
'STH Efficacy'!$BS:$BS, $A175, 
'STH Efficacy'!$BT:$BT, "Mebendazole",
'STH Efficacy'!$BZ:$BZ,"&lt;2016",
'STH Efficacy'!$CU:$CU,""),
"")</f>
        <v/>
      </c>
      <c r="BI175" s="136">
        <f t="shared" si="21"/>
        <v>0.9305</v>
      </c>
      <c r="BJ175" s="436" t="str">
        <f>IFERROR(AVERAGEIFS(
'STH Efficacy'!$CD:$CD, 
'STH Efficacy'!$BS:$BS, $A175, 
'STH Efficacy'!$BT:$BT, "Albendazole &amp; Ivermectin",
'STH Efficacy'!$BZ:$BZ,"&lt;2016",
'STH Efficacy'!$CU:$CU,""),
"")</f>
        <v/>
      </c>
      <c r="BK175" s="136">
        <f t="shared" si="22"/>
        <v>0.848</v>
      </c>
      <c r="BL175" s="444" t="str">
        <f>IFERROR(
  AVERAGEIFS(
    'NEW Onchocerciasis Efficacy'!$AO:$AO,
    'NEW Onchocerciasis Efficacy'!$C:$C,$A175,
    'NEW Onchocerciasis Efficacy'!$D:$D,"Ivermectin",
    'NEW Onchocerciasis Efficacy'!$AR:$AR,"&lt;2016",
    'NEW Onchocerciasis Efficacy'!$BG:$BG,"")
,"")</f>
        <v/>
      </c>
      <c r="BM175" s="304">
        <f t="shared" si="23"/>
        <v>0.7808368939</v>
      </c>
      <c r="BN175" s="439">
        <v>0.0</v>
      </c>
      <c r="BO175" s="139">
        <v>0.0</v>
      </c>
      <c r="BP175" s="140">
        <v>0.0</v>
      </c>
      <c r="BQ175" s="141">
        <f t="shared" si="24"/>
        <v>0</v>
      </c>
      <c r="BR175" s="104" t="str">
        <f t="shared" si="25"/>
        <v>0000</v>
      </c>
      <c r="BS175" s="104" t="str">
        <f t="shared" si="26"/>
        <v>no action required</v>
      </c>
      <c r="BT175" s="142" t="str">
        <f t="shared" si="43"/>
        <v/>
      </c>
      <c r="BU175" s="104" t="str">
        <f t="shared" si="28"/>
        <v/>
      </c>
      <c r="BV175" s="104" t="str">
        <f t="shared" si="29"/>
        <v>none</v>
      </c>
      <c r="BW175" s="150" t="str">
        <f t="shared" si="30"/>
        <v/>
      </c>
      <c r="BX175" s="150" t="str">
        <f t="shared" si="31"/>
        <v/>
      </c>
      <c r="BY175" s="151" t="str">
        <f t="shared" si="32"/>
        <v/>
      </c>
      <c r="BZ175" s="152" t="str">
        <f t="shared" si="33"/>
        <v/>
      </c>
      <c r="CA175" s="152" t="str">
        <f t="shared" si="34"/>
        <v/>
      </c>
      <c r="CB175" s="152" t="str">
        <f t="shared" si="35"/>
        <v/>
      </c>
      <c r="CC175" s="153" t="str">
        <f t="shared" si="36"/>
        <v/>
      </c>
      <c r="CD175" s="153" t="str">
        <f t="shared" si="37"/>
        <v/>
      </c>
      <c r="CE175" s="154" t="str">
        <f t="shared" si="38"/>
        <v/>
      </c>
      <c r="CF175" s="154" t="str">
        <f t="shared" si="39"/>
        <v/>
      </c>
      <c r="CG175" s="154" t="str">
        <f t="shared" si="40"/>
        <v/>
      </c>
      <c r="CH175" s="308" t="str">
        <f t="shared" si="41"/>
        <v/>
      </c>
    </row>
    <row r="176">
      <c r="A176" s="155" t="s">
        <v>265</v>
      </c>
      <c r="B176" s="104" t="s">
        <v>98</v>
      </c>
      <c r="C176" s="472">
        <v>38824.0</v>
      </c>
      <c r="D176" s="161">
        <v>0.0</v>
      </c>
      <c r="E176" s="294">
        <v>0.0</v>
      </c>
      <c r="F176" s="163"/>
      <c r="G176" s="325"/>
      <c r="H176" s="108">
        <v>0.0</v>
      </c>
      <c r="I176" s="109">
        <v>0.0</v>
      </c>
      <c r="J176" s="109">
        <v>0.0</v>
      </c>
      <c r="K176" s="109">
        <v>0.0</v>
      </c>
      <c r="L176" s="113"/>
      <c r="M176" s="113"/>
      <c r="N176" s="112">
        <v>0.0</v>
      </c>
      <c r="O176" s="298">
        <v>0.0</v>
      </c>
      <c r="P176" s="114"/>
      <c r="Q176" s="114"/>
      <c r="R176" s="121" t="str">
        <f t="shared" si="4"/>
        <v/>
      </c>
      <c r="S176" s="116">
        <f t="shared" si="5"/>
        <v>0.3565746084</v>
      </c>
      <c r="T176" s="117"/>
      <c r="U176" s="118">
        <f t="shared" si="6"/>
        <v>0.4791888889</v>
      </c>
      <c r="V176" s="148"/>
      <c r="W176" s="120">
        <f t="shared" si="7"/>
        <v>0.685</v>
      </c>
      <c r="X176" s="148"/>
      <c r="Y176" s="120">
        <f t="shared" si="8"/>
        <v>0.7550545455</v>
      </c>
      <c r="Z176" s="299"/>
      <c r="AA176" s="441"/>
      <c r="AB176" s="300" t="str">
        <f t="shared" si="9"/>
        <v/>
      </c>
      <c r="AC176" s="300">
        <f t="shared" si="10"/>
        <v>0.7101368438</v>
      </c>
      <c r="AD176" s="314">
        <v>0.0</v>
      </c>
      <c r="AE176" s="315">
        <v>0.0</v>
      </c>
      <c r="AF176" s="445">
        <v>0.0</v>
      </c>
      <c r="AG176" s="316">
        <v>0.0</v>
      </c>
      <c r="AH176" s="307">
        <v>0.0</v>
      </c>
      <c r="AI176" s="317">
        <v>0.0</v>
      </c>
      <c r="AJ176" s="318">
        <v>0.0</v>
      </c>
      <c r="AK176" s="319">
        <v>0.0</v>
      </c>
      <c r="AL176" s="446">
        <v>0.0</v>
      </c>
      <c r="AM176" s="320">
        <v>0.0</v>
      </c>
      <c r="AN176" s="149" t="str">
        <f>IFERROR(
  AVERAGEIFS(
    'New LF Efficacy'!$J:$J,
    'New LF Efficacy'!$D:$D, $A176,
    'New LF Efficacy'!$F:$F,"DEC", 
    'New LF Efficacy'!$W:$W,"&lt;2016",
    'New LF Efficacy'!$AA:$AA,""),
  ""
)</f>
        <v/>
      </c>
      <c r="AO176" s="115">
        <f t="shared" si="11"/>
        <v>0.2589833333</v>
      </c>
      <c r="AP176" s="149" t="str">
        <f>IFERROR(
AVERAGEIFS(
'New LF Efficacy'!$J:$J,
'New LF Efficacy'!$D:$D,$A176,
'New LF Efficacy'!$F:$F,"Albendazole &amp; DEC",
'New LF Efficacy'!$W:$W,"&lt;2016",
'New LF Efficacy'!$AA:$AA,""),
"")
</f>
        <v/>
      </c>
      <c r="AQ176" s="115">
        <f t="shared" si="12"/>
        <v>0.3465</v>
      </c>
      <c r="AR176" s="149" t="str">
        <f>IFERROR(
AVERAGEIFS(
'New LF Efficacy'!$J:$J,
'New LF Efficacy'!$D:$D,$A176,
'New LF Efficacy'!$F:$F,"Albendazole &amp; Ivermectin", 
'New LF Efficacy'!$W:$W,"&lt;2016",
'New LF Efficacy'!$AA:$AA,""),"")</f>
        <v/>
      </c>
      <c r="AS176" s="115">
        <f t="shared" si="13"/>
        <v>0.7575</v>
      </c>
      <c r="AT176" s="442" t="str">
        <f>IFERROR(AVERAGEIFS(
'Schist Efficacy'!$O:$O, 
'Schist Efficacy'!$C:$C,$A176, 
'Schist Efficacy'!$D:$D, "Praziquantel",
'Schist Efficacy'!$J:$J,"&lt;2016",
'Schist Efficacy'!$U:$U,""),
"")</f>
        <v/>
      </c>
      <c r="AU176" s="118">
        <f t="shared" si="14"/>
        <v>0.7914761905</v>
      </c>
      <c r="AV176" s="131" t="str">
        <f>IFERROR(AVERAGEIFS(
'STH Efficacy'!$AX:$AX, 
'STH Efficacy'!$AL:$AL, $A176, 
'STH Efficacy'!$AM:$AM, "Albendazole",
'STH Efficacy'!$AS:$AS,"&lt;2016",
'STH Efficacy'!$BP:$BP,""),
"")</f>
        <v/>
      </c>
      <c r="AW176" s="132">
        <f t="shared" si="15"/>
        <v>0.3945</v>
      </c>
      <c r="AX176" s="131" t="str">
        <f>IFERROR(AVERAGEIFS(
'STH Efficacy'!$AX:$AX, 
'STH Efficacy'!$AL:$AL, $A176, 
'STH Efficacy'!$AM:$AM, "Mebendazole",
'STH Efficacy'!$AS:$AS,"&lt;2016",
'STH Efficacy'!$BP:$BP,""),
"")</f>
        <v/>
      </c>
      <c r="AY176" s="132">
        <f t="shared" si="16"/>
        <v>0.6</v>
      </c>
      <c r="AZ176" s="131" t="str">
        <f>IFERROR(AVERAGEIFS(
'STH Efficacy'!$AX:$AX, 
'STH Efficacy'!$AL:$AL, $A176, 
'STH Efficacy'!$AM:$AM, "Albendazole &amp; Ivermectin",
'STH Efficacy'!$AS:$AS,"&lt;2016",
'STH Efficacy'!$BP:$BP,""),
"")</f>
        <v/>
      </c>
      <c r="BA176" s="133">
        <f t="shared" si="17"/>
        <v>0.796</v>
      </c>
      <c r="BB176" s="443" t="str">
        <f>IFERROR(AVERAGEIFS(
'STH Efficacy'!$N:$N, 
'STH Efficacy'!$B:$B, $A176, 
'STH Efficacy'!$C:$C, "Albendazole",
'STH Efficacy'!$I:$I,"&lt;2016",
'STH Efficacy'!$AH:$AH,""),
"")</f>
        <v/>
      </c>
      <c r="BC176" s="135">
        <f t="shared" si="18"/>
        <v>0.869</v>
      </c>
      <c r="BD176" s="443" t="str">
        <f>IFERROR(AVERAGEIFS(
'STH Efficacy'!$N:$N, 
'STH Efficacy'!$B:$B, $A176, 
'STH Efficacy'!$C:$C, "Mebendazole",
'STH Efficacy'!$I:$I,"&lt;2016",
'STH Efficacy'!$AH:$AH,""),
"")</f>
        <v/>
      </c>
      <c r="BE176" s="135">
        <f t="shared" si="19"/>
        <v>0.172</v>
      </c>
      <c r="BF176" s="436" t="str">
        <f>IFERROR(AVERAGEIFS(
'STH Efficacy'!$CD:$CD, 
'STH Efficacy'!$BS:$BS, $A176, 
'STH Efficacy'!$BT:$BT, "Albendazole",
'STH Efficacy'!$BZ:$BZ,"&lt;2016",
'STH Efficacy'!$CU:$CU,""),
"")</f>
        <v/>
      </c>
      <c r="BG176" s="136">
        <f t="shared" si="20"/>
        <v>0.9862</v>
      </c>
      <c r="BH176" s="436" t="str">
        <f>IFERROR(AVERAGEIFS(
'STH Efficacy'!$CD:$CD, 
'STH Efficacy'!$BS:$BS, $A176, 
'STH Efficacy'!$BT:$BT, "Mebendazole",
'STH Efficacy'!$BZ:$BZ,"&lt;2016",
'STH Efficacy'!$CU:$CU,""),
"")</f>
        <v/>
      </c>
      <c r="BI176" s="136">
        <f t="shared" si="21"/>
        <v>0.769</v>
      </c>
      <c r="BJ176" s="436" t="str">
        <f>IFERROR(AVERAGEIFS(
'STH Efficacy'!$CD:$CD, 
'STH Efficacy'!$BS:$BS, $A176, 
'STH Efficacy'!$BT:$BT, "Albendazole &amp; Ivermectin",
'STH Efficacy'!$BZ:$BZ,"&lt;2016",
'STH Efficacy'!$CU:$CU,""),
"")</f>
        <v/>
      </c>
      <c r="BK176" s="136">
        <f t="shared" si="22"/>
        <v>1</v>
      </c>
      <c r="BL176" s="444" t="str">
        <f>IFERROR(
  AVERAGEIFS(
    'NEW Onchocerciasis Efficacy'!$AO:$AO,
    'NEW Onchocerciasis Efficacy'!$C:$C,$A176,
    'NEW Onchocerciasis Efficacy'!$D:$D,"Ivermectin",
    'NEW Onchocerciasis Efficacy'!$AR:$AR,"&lt;2016",
    'NEW Onchocerciasis Efficacy'!$BG:$BG,"")
,"")</f>
        <v/>
      </c>
      <c r="BM176" s="304">
        <f t="shared" si="23"/>
        <v>0.3734</v>
      </c>
      <c r="BN176" s="439">
        <v>0.0</v>
      </c>
      <c r="BO176" s="139">
        <v>0.0</v>
      </c>
      <c r="BP176" s="140">
        <v>0.0</v>
      </c>
      <c r="BQ176" s="141">
        <f t="shared" si="24"/>
        <v>0</v>
      </c>
      <c r="BR176" s="104" t="str">
        <f t="shared" si="25"/>
        <v>0000</v>
      </c>
      <c r="BS176" s="104" t="str">
        <f t="shared" si="26"/>
        <v>no action required</v>
      </c>
      <c r="BT176" s="142" t="str">
        <f t="shared" si="43"/>
        <v/>
      </c>
      <c r="BU176" s="104" t="str">
        <f t="shared" si="28"/>
        <v/>
      </c>
      <c r="BV176" s="104" t="str">
        <f t="shared" si="29"/>
        <v>none</v>
      </c>
      <c r="BW176" s="150" t="str">
        <f t="shared" si="30"/>
        <v/>
      </c>
      <c r="BX176" s="150" t="str">
        <f t="shared" si="31"/>
        <v/>
      </c>
      <c r="BY176" s="151" t="str">
        <f t="shared" si="32"/>
        <v/>
      </c>
      <c r="BZ176" s="152" t="str">
        <f t="shared" si="33"/>
        <v/>
      </c>
      <c r="CA176" s="152" t="str">
        <f t="shared" si="34"/>
        <v/>
      </c>
      <c r="CB176" s="152" t="str">
        <f t="shared" si="35"/>
        <v/>
      </c>
      <c r="CC176" s="153" t="str">
        <f t="shared" si="36"/>
        <v/>
      </c>
      <c r="CD176" s="153" t="str">
        <f t="shared" si="37"/>
        <v/>
      </c>
      <c r="CE176" s="154" t="str">
        <f t="shared" si="38"/>
        <v/>
      </c>
      <c r="CF176" s="154" t="str">
        <f t="shared" si="39"/>
        <v/>
      </c>
      <c r="CG176" s="154" t="str">
        <f t="shared" si="40"/>
        <v/>
      </c>
      <c r="CH176" s="308" t="str">
        <f t="shared" si="41"/>
        <v/>
      </c>
    </row>
    <row r="177">
      <c r="A177" s="155" t="s">
        <v>266</v>
      </c>
      <c r="B177" s="104" t="s">
        <v>90</v>
      </c>
      <c r="C177" s="468">
        <v>5423801.0</v>
      </c>
      <c r="D177" s="161">
        <v>0.0</v>
      </c>
      <c r="E177" s="294">
        <v>0.0</v>
      </c>
      <c r="F177" s="307">
        <v>0.0</v>
      </c>
      <c r="G177" s="309">
        <v>0.0</v>
      </c>
      <c r="H177" s="108">
        <v>0.0</v>
      </c>
      <c r="I177" s="109">
        <v>0.0</v>
      </c>
      <c r="J177" s="109">
        <v>0.0</v>
      </c>
      <c r="K177" s="109">
        <v>0.0</v>
      </c>
      <c r="L177" s="112">
        <v>0.167825971</v>
      </c>
      <c r="M177" s="112">
        <v>0.070133986</v>
      </c>
      <c r="N177" s="112">
        <v>0.237959956</v>
      </c>
      <c r="O177" s="298">
        <v>0.0</v>
      </c>
      <c r="P177" s="114"/>
      <c r="Q177" s="114"/>
      <c r="R177" s="121" t="str">
        <f t="shared" si="4"/>
        <v/>
      </c>
      <c r="S177" s="116">
        <f t="shared" si="5"/>
        <v>0.5709301448</v>
      </c>
      <c r="T177" s="117"/>
      <c r="U177" s="118">
        <f t="shared" si="6"/>
        <v>0.4791888889</v>
      </c>
      <c r="V177" s="148"/>
      <c r="W177" s="120">
        <f t="shared" si="7"/>
        <v>0.0223</v>
      </c>
      <c r="X177" s="148"/>
      <c r="Y177" s="120">
        <f t="shared" si="8"/>
        <v>0.598275</v>
      </c>
      <c r="Z177" s="299"/>
      <c r="AA177" s="441"/>
      <c r="AB177" s="300" t="str">
        <f t="shared" si="9"/>
        <v/>
      </c>
      <c r="AC177" s="300">
        <f t="shared" si="10"/>
        <v>0.6890056172</v>
      </c>
      <c r="AD177" s="122">
        <v>0.0</v>
      </c>
      <c r="AE177" s="123">
        <v>0.0</v>
      </c>
      <c r="AF177" s="430">
        <v>0.0</v>
      </c>
      <c r="AG177" s="316">
        <v>0.0</v>
      </c>
      <c r="AH177" s="316">
        <v>0.0</v>
      </c>
      <c r="AI177" s="317">
        <v>0.0</v>
      </c>
      <c r="AJ177" s="317">
        <v>0.0</v>
      </c>
      <c r="AK177" s="319">
        <v>0.0</v>
      </c>
      <c r="AL177" s="319">
        <v>0.0</v>
      </c>
      <c r="AM177" s="302">
        <v>0.0</v>
      </c>
      <c r="AN177" s="149" t="str">
        <f>IFERROR(
  AVERAGEIFS(
    'New LF Efficacy'!$J:$J,
    'New LF Efficacy'!$D:$D, $A177,
    'New LF Efficacy'!$F:$F,"DEC", 
    'New LF Efficacy'!$W:$W,"&lt;2016",
    'New LF Efficacy'!$AA:$AA,""),
  ""
)</f>
        <v/>
      </c>
      <c r="AO177" s="115">
        <f t="shared" si="11"/>
        <v>0.3573520833</v>
      </c>
      <c r="AP177" s="149" t="str">
        <f>IFERROR(
AVERAGEIFS(
'New LF Efficacy'!$J:$J,
'New LF Efficacy'!$D:$D,$A177,
'New LF Efficacy'!$F:$F,"Albendazole &amp; DEC",
'New LF Efficacy'!$W:$W,"&lt;2016",
'New LF Efficacy'!$AA:$AA,""),
"")
</f>
        <v/>
      </c>
      <c r="AQ177" s="115">
        <f t="shared" si="12"/>
        <v>0.5143541667</v>
      </c>
      <c r="AR177" s="149" t="str">
        <f>IFERROR(
AVERAGEIFS(
'New LF Efficacy'!$J:$J,
'New LF Efficacy'!$D:$D,$A177,
'New LF Efficacy'!$F:$F,"Albendazole &amp; Ivermectin", 
'New LF Efficacy'!$W:$W,"&lt;2016",
'New LF Efficacy'!$AA:$AA,""),"")</f>
        <v/>
      </c>
      <c r="AS177" s="115">
        <f t="shared" si="13"/>
        <v>0.37153125</v>
      </c>
      <c r="AT177" s="442">
        <f>IFERROR(AVERAGEIFS(
'Schist Efficacy'!$O:$O, 
'Schist Efficacy'!$C:$C,$A177, 
'Schist Efficacy'!$D:$D, "Praziquantel",
'Schist Efficacy'!$J:$J,"&lt;2016",
'Schist Efficacy'!$U:$U,""),
"")</f>
        <v>0.655</v>
      </c>
      <c r="AU177" s="118">
        <f t="shared" si="14"/>
        <v>0.655</v>
      </c>
      <c r="AV177" s="131" t="str">
        <f>IFERROR(AVERAGEIFS(
'STH Efficacy'!$AX:$AX, 
'STH Efficacy'!$AL:$AL, $A177, 
'STH Efficacy'!$AM:$AM, "Albendazole",
'STH Efficacy'!$AS:$AS,"&lt;2016",
'STH Efficacy'!$BP:$BP,""),
"")</f>
        <v/>
      </c>
      <c r="AW177" s="132">
        <f t="shared" si="15"/>
        <v>0.4143846154</v>
      </c>
      <c r="AX177" s="131" t="str">
        <f>IFERROR(AVERAGEIFS(
'STH Efficacy'!$AX:$AX, 
'STH Efficacy'!$AL:$AL, $A177, 
'STH Efficacy'!$AM:$AM, "Mebendazole",
'STH Efficacy'!$AS:$AS,"&lt;2016",
'STH Efficacy'!$BP:$BP,""),
"")</f>
        <v/>
      </c>
      <c r="AY177" s="132">
        <f t="shared" si="16"/>
        <v>0.4691770833</v>
      </c>
      <c r="AZ177" s="131" t="str">
        <f>IFERROR(AVERAGEIFS(
'STH Efficacy'!$AX:$AX, 
'STH Efficacy'!$AL:$AL, $A177, 
'STH Efficacy'!$AM:$AM, "Albendazole &amp; Ivermectin",
'STH Efficacy'!$AS:$AS,"&lt;2016",
'STH Efficacy'!$BP:$BP,""),
"")</f>
        <v/>
      </c>
      <c r="BA177" s="133">
        <f t="shared" si="17"/>
        <v>0.597625</v>
      </c>
      <c r="BB177" s="443" t="str">
        <f>IFERROR(AVERAGEIFS(
'STH Efficacy'!$N:$N, 
'STH Efficacy'!$B:$B, $A177, 
'STH Efficacy'!$C:$C, "Albendazole",
'STH Efficacy'!$I:$I,"&lt;2016",
'STH Efficacy'!$AH:$AH,""),
"")</f>
        <v/>
      </c>
      <c r="BC177" s="135">
        <f t="shared" si="18"/>
        <v>0.7613712121</v>
      </c>
      <c r="BD177" s="443" t="str">
        <f>IFERROR(AVERAGEIFS(
'STH Efficacy'!$N:$N, 
'STH Efficacy'!$B:$B, $A177, 
'STH Efficacy'!$C:$C, "Mebendazole",
'STH Efficacy'!$I:$I,"&lt;2016",
'STH Efficacy'!$AH:$AH,""),
"")</f>
        <v/>
      </c>
      <c r="BE177" s="135">
        <f t="shared" si="19"/>
        <v>0.4362466667</v>
      </c>
      <c r="BF177" s="436" t="str">
        <f>IFERROR(AVERAGEIFS(
'STH Efficacy'!$CD:$CD, 
'STH Efficacy'!$BS:$BS, $A177, 
'STH Efficacy'!$BT:$BT, "Albendazole",
'STH Efficacy'!$BZ:$BZ,"&lt;2016",
'STH Efficacy'!$CU:$CU,""),
"")</f>
        <v/>
      </c>
      <c r="BG177" s="136">
        <f t="shared" si="20"/>
        <v>0.9216027778</v>
      </c>
      <c r="BH177" s="436" t="str">
        <f>IFERROR(AVERAGEIFS(
'STH Efficacy'!$CD:$CD, 
'STH Efficacy'!$BS:$BS, $A177, 
'STH Efficacy'!$BT:$BT, "Mebendazole",
'STH Efficacy'!$BZ:$BZ,"&lt;2016",
'STH Efficacy'!$CU:$CU,""),
"")</f>
        <v/>
      </c>
      <c r="BI177" s="136">
        <f t="shared" si="21"/>
        <v>0.8866041667</v>
      </c>
      <c r="BJ177" s="436" t="str">
        <f>IFERROR(AVERAGEIFS(
'STH Efficacy'!$CD:$CD, 
'STH Efficacy'!$BS:$BS, $A177, 
'STH Efficacy'!$BT:$BT, "Albendazole &amp; Ivermectin",
'STH Efficacy'!$BZ:$BZ,"&lt;2016",
'STH Efficacy'!$CU:$CU,""),
"")</f>
        <v/>
      </c>
      <c r="BK177" s="136">
        <f t="shared" si="22"/>
        <v>0.848</v>
      </c>
      <c r="BL177" s="444" t="str">
        <f>IFERROR(
  AVERAGEIFS(
    'NEW Onchocerciasis Efficacy'!$AO:$AO,
    'NEW Onchocerciasis Efficacy'!$C:$C,$A177,
    'NEW Onchocerciasis Efficacy'!$D:$D,"Ivermectin",
    'NEW Onchocerciasis Efficacy'!$AR:$AR,"&lt;2016",
    'NEW Onchocerciasis Efficacy'!$BG:$BG,"")
,"")</f>
        <v/>
      </c>
      <c r="BM177" s="304">
        <f t="shared" si="23"/>
        <v>0.7808368939</v>
      </c>
      <c r="BN177" s="439">
        <v>0.0</v>
      </c>
      <c r="BO177" s="139">
        <v>0.0</v>
      </c>
      <c r="BP177" s="140">
        <v>0.0</v>
      </c>
      <c r="BQ177" s="141">
        <f t="shared" si="24"/>
        <v>0</v>
      </c>
      <c r="BR177" s="104" t="str">
        <f t="shared" si="25"/>
        <v>0000</v>
      </c>
      <c r="BS177" s="104" t="str">
        <f t="shared" si="26"/>
        <v>no action required</v>
      </c>
      <c r="BT177" s="142" t="str">
        <f t="shared" si="43"/>
        <v/>
      </c>
      <c r="BU177" s="104" t="str">
        <f t="shared" si="28"/>
        <v/>
      </c>
      <c r="BV177" s="104" t="str">
        <f t="shared" si="29"/>
        <v>none</v>
      </c>
      <c r="BW177" s="150" t="str">
        <f t="shared" si="30"/>
        <v/>
      </c>
      <c r="BX177" s="150" t="str">
        <f t="shared" si="31"/>
        <v/>
      </c>
      <c r="BY177" s="151" t="str">
        <f t="shared" si="32"/>
        <v/>
      </c>
      <c r="BZ177" s="152" t="str">
        <f t="shared" si="33"/>
        <v/>
      </c>
      <c r="CA177" s="152" t="str">
        <f t="shared" si="34"/>
        <v/>
      </c>
      <c r="CB177" s="152" t="str">
        <f t="shared" si="35"/>
        <v/>
      </c>
      <c r="CC177" s="153" t="str">
        <f t="shared" si="36"/>
        <v/>
      </c>
      <c r="CD177" s="153" t="str">
        <f t="shared" si="37"/>
        <v/>
      </c>
      <c r="CE177" s="154" t="str">
        <f t="shared" si="38"/>
        <v/>
      </c>
      <c r="CF177" s="154" t="str">
        <f t="shared" si="39"/>
        <v/>
      </c>
      <c r="CG177" s="154" t="str">
        <f t="shared" si="40"/>
        <v/>
      </c>
      <c r="CH177" s="308" t="str">
        <f t="shared" si="41"/>
        <v/>
      </c>
    </row>
    <row r="178">
      <c r="A178" s="155" t="s">
        <v>267</v>
      </c>
      <c r="B178" s="104" t="s">
        <v>90</v>
      </c>
      <c r="C178" s="468">
        <v>2063531.0</v>
      </c>
      <c r="D178" s="161">
        <v>0.0</v>
      </c>
      <c r="E178" s="294">
        <v>0.0</v>
      </c>
      <c r="F178" s="307">
        <v>0.0</v>
      </c>
      <c r="G178" s="309">
        <v>0.0</v>
      </c>
      <c r="H178" s="108">
        <v>0.0</v>
      </c>
      <c r="I178" s="109">
        <v>0.0</v>
      </c>
      <c r="J178" s="109">
        <v>0.0</v>
      </c>
      <c r="K178" s="109">
        <v>0.0</v>
      </c>
      <c r="L178" s="112">
        <v>0.0</v>
      </c>
      <c r="M178" s="112">
        <v>0.0</v>
      </c>
      <c r="N178" s="112">
        <v>0.0</v>
      </c>
      <c r="O178" s="298">
        <v>0.0</v>
      </c>
      <c r="P178" s="114"/>
      <c r="Q178" s="114"/>
      <c r="R178" s="121" t="str">
        <f t="shared" si="4"/>
        <v/>
      </c>
      <c r="S178" s="116">
        <f t="shared" si="5"/>
        <v>0.5709301448</v>
      </c>
      <c r="T178" s="117"/>
      <c r="U178" s="118">
        <f t="shared" si="6"/>
        <v>0.4791888889</v>
      </c>
      <c r="V178" s="148"/>
      <c r="W178" s="120">
        <f t="shared" si="7"/>
        <v>0.0223</v>
      </c>
      <c r="X178" s="148"/>
      <c r="Y178" s="120">
        <f t="shared" si="8"/>
        <v>0.598275</v>
      </c>
      <c r="Z178" s="299"/>
      <c r="AA178" s="441"/>
      <c r="AB178" s="300" t="str">
        <f t="shared" si="9"/>
        <v/>
      </c>
      <c r="AC178" s="300">
        <f t="shared" si="10"/>
        <v>0.6890056172</v>
      </c>
      <c r="AD178" s="122">
        <v>0.0</v>
      </c>
      <c r="AE178" s="123">
        <v>0.0</v>
      </c>
      <c r="AF178" s="430">
        <v>0.0</v>
      </c>
      <c r="AG178" s="124">
        <v>0.0</v>
      </c>
      <c r="AH178" s="124">
        <v>0.0</v>
      </c>
      <c r="AI178" s="125">
        <v>0.0</v>
      </c>
      <c r="AJ178" s="125">
        <v>0.0</v>
      </c>
      <c r="AK178" s="127">
        <v>0.0</v>
      </c>
      <c r="AL178" s="127">
        <v>0.0</v>
      </c>
      <c r="AM178" s="302">
        <v>0.0</v>
      </c>
      <c r="AN178" s="149" t="str">
        <f>IFERROR(
  AVERAGEIFS(
    'New LF Efficacy'!$J:$J,
    'New LF Efficacy'!$D:$D, $A178,
    'New LF Efficacy'!$F:$F,"DEC", 
    'New LF Efficacy'!$W:$W,"&lt;2016",
    'New LF Efficacy'!$AA:$AA,""),
  ""
)</f>
        <v/>
      </c>
      <c r="AO178" s="115">
        <f t="shared" si="11"/>
        <v>0.3573520833</v>
      </c>
      <c r="AP178" s="149" t="str">
        <f>IFERROR(
AVERAGEIFS(
'New LF Efficacy'!$J:$J,
'New LF Efficacy'!$D:$D,$A178,
'New LF Efficacy'!$F:$F,"Albendazole &amp; DEC",
'New LF Efficacy'!$W:$W,"&lt;2016",
'New LF Efficacy'!$AA:$AA,""),
"")
</f>
        <v/>
      </c>
      <c r="AQ178" s="115">
        <f t="shared" si="12"/>
        <v>0.5143541667</v>
      </c>
      <c r="AR178" s="149" t="str">
        <f>IFERROR(
AVERAGEIFS(
'New LF Efficacy'!$J:$J,
'New LF Efficacy'!$D:$D,$A178,
'New LF Efficacy'!$F:$F,"Albendazole &amp; Ivermectin", 
'New LF Efficacy'!$W:$W,"&lt;2016",
'New LF Efficacy'!$AA:$AA,""),"")</f>
        <v/>
      </c>
      <c r="AS178" s="115">
        <f t="shared" si="13"/>
        <v>0.37153125</v>
      </c>
      <c r="AT178" s="442" t="str">
        <f>IFERROR(AVERAGEIFS(
'Schist Efficacy'!$O:$O, 
'Schist Efficacy'!$C:$C,$A178, 
'Schist Efficacy'!$D:$D, "Praziquantel",
'Schist Efficacy'!$J:$J,"&lt;2016",
'Schist Efficacy'!$U:$U,""),
"")</f>
        <v/>
      </c>
      <c r="AU178" s="118">
        <f t="shared" si="14"/>
        <v>0.655</v>
      </c>
      <c r="AV178" s="131" t="str">
        <f>IFERROR(AVERAGEIFS(
'STH Efficacy'!$AX:$AX, 
'STH Efficacy'!$AL:$AL, $A178, 
'STH Efficacy'!$AM:$AM, "Albendazole",
'STH Efficacy'!$AS:$AS,"&lt;2016",
'STH Efficacy'!$BP:$BP,""),
"")</f>
        <v/>
      </c>
      <c r="AW178" s="132">
        <f t="shared" si="15"/>
        <v>0.4143846154</v>
      </c>
      <c r="AX178" s="131" t="str">
        <f>IFERROR(AVERAGEIFS(
'STH Efficacy'!$AX:$AX, 
'STH Efficacy'!$AL:$AL, $A178, 
'STH Efficacy'!$AM:$AM, "Mebendazole",
'STH Efficacy'!$AS:$AS,"&lt;2016",
'STH Efficacy'!$BP:$BP,""),
"")</f>
        <v/>
      </c>
      <c r="AY178" s="132">
        <f t="shared" si="16"/>
        <v>0.4691770833</v>
      </c>
      <c r="AZ178" s="131" t="str">
        <f>IFERROR(AVERAGEIFS(
'STH Efficacy'!$AX:$AX, 
'STH Efficacy'!$AL:$AL, $A178, 
'STH Efficacy'!$AM:$AM, "Albendazole &amp; Ivermectin",
'STH Efficacy'!$AS:$AS,"&lt;2016",
'STH Efficacy'!$BP:$BP,""),
"")</f>
        <v/>
      </c>
      <c r="BA178" s="133">
        <f t="shared" si="17"/>
        <v>0.597625</v>
      </c>
      <c r="BB178" s="443" t="str">
        <f>IFERROR(AVERAGEIFS(
'STH Efficacy'!$N:$N, 
'STH Efficacy'!$B:$B, $A178, 
'STH Efficacy'!$C:$C, "Albendazole",
'STH Efficacy'!$I:$I,"&lt;2016",
'STH Efficacy'!$AH:$AH,""),
"")</f>
        <v/>
      </c>
      <c r="BC178" s="135">
        <f t="shared" si="18"/>
        <v>0.7613712121</v>
      </c>
      <c r="BD178" s="443" t="str">
        <f>IFERROR(AVERAGEIFS(
'STH Efficacy'!$N:$N, 
'STH Efficacy'!$B:$B, $A178, 
'STH Efficacy'!$C:$C, "Mebendazole",
'STH Efficacy'!$I:$I,"&lt;2016",
'STH Efficacy'!$AH:$AH,""),
"")</f>
        <v/>
      </c>
      <c r="BE178" s="135">
        <f t="shared" si="19"/>
        <v>0.4362466667</v>
      </c>
      <c r="BF178" s="436" t="str">
        <f>IFERROR(AVERAGEIFS(
'STH Efficacy'!$CD:$CD, 
'STH Efficacy'!$BS:$BS, $A178, 
'STH Efficacy'!$BT:$BT, "Albendazole",
'STH Efficacy'!$BZ:$BZ,"&lt;2016",
'STH Efficacy'!$CU:$CU,""),
"")</f>
        <v/>
      </c>
      <c r="BG178" s="136">
        <f t="shared" si="20"/>
        <v>0.9216027778</v>
      </c>
      <c r="BH178" s="436" t="str">
        <f>IFERROR(AVERAGEIFS(
'STH Efficacy'!$CD:$CD, 
'STH Efficacy'!$BS:$BS, $A178, 
'STH Efficacy'!$BT:$BT, "Mebendazole",
'STH Efficacy'!$BZ:$BZ,"&lt;2016",
'STH Efficacy'!$CU:$CU,""),
"")</f>
        <v/>
      </c>
      <c r="BI178" s="136">
        <f t="shared" si="21"/>
        <v>0.8866041667</v>
      </c>
      <c r="BJ178" s="436" t="str">
        <f>IFERROR(AVERAGEIFS(
'STH Efficacy'!$CD:$CD, 
'STH Efficacy'!$BS:$BS, $A178, 
'STH Efficacy'!$BT:$BT, "Albendazole &amp; Ivermectin",
'STH Efficacy'!$BZ:$BZ,"&lt;2016",
'STH Efficacy'!$CU:$CU,""),
"")</f>
        <v/>
      </c>
      <c r="BK178" s="136">
        <f t="shared" si="22"/>
        <v>0.848</v>
      </c>
      <c r="BL178" s="444" t="str">
        <f>IFERROR(
  AVERAGEIFS(
    'NEW Onchocerciasis Efficacy'!$AO:$AO,
    'NEW Onchocerciasis Efficacy'!$C:$C,$A178,
    'NEW Onchocerciasis Efficacy'!$D:$D,"Ivermectin",
    'NEW Onchocerciasis Efficacy'!$AR:$AR,"&lt;2016",
    'NEW Onchocerciasis Efficacy'!$BG:$BG,"")
,"")</f>
        <v/>
      </c>
      <c r="BM178" s="304">
        <f t="shared" si="23"/>
        <v>0.7808368939</v>
      </c>
      <c r="BN178" s="439">
        <v>0.0</v>
      </c>
      <c r="BO178" s="139">
        <v>0.0</v>
      </c>
      <c r="BP178" s="140">
        <v>0.0</v>
      </c>
      <c r="BQ178" s="141">
        <f t="shared" si="24"/>
        <v>0</v>
      </c>
      <c r="BR178" s="104" t="str">
        <f t="shared" si="25"/>
        <v>0000</v>
      </c>
      <c r="BS178" s="104" t="str">
        <f t="shared" si="26"/>
        <v>no action required</v>
      </c>
      <c r="BT178" s="142" t="str">
        <f t="shared" si="43"/>
        <v/>
      </c>
      <c r="BU178" s="104" t="str">
        <f t="shared" si="28"/>
        <v/>
      </c>
      <c r="BV178" s="104" t="str">
        <f t="shared" si="29"/>
        <v>none</v>
      </c>
      <c r="BW178" s="150" t="str">
        <f t="shared" si="30"/>
        <v/>
      </c>
      <c r="BX178" s="150" t="str">
        <f t="shared" si="31"/>
        <v/>
      </c>
      <c r="BY178" s="151" t="str">
        <f t="shared" si="32"/>
        <v/>
      </c>
      <c r="BZ178" s="152" t="str">
        <f t="shared" si="33"/>
        <v/>
      </c>
      <c r="CA178" s="152" t="str">
        <f t="shared" si="34"/>
        <v/>
      </c>
      <c r="CB178" s="152" t="str">
        <f t="shared" si="35"/>
        <v/>
      </c>
      <c r="CC178" s="153" t="str">
        <f t="shared" si="36"/>
        <v/>
      </c>
      <c r="CD178" s="153" t="str">
        <f t="shared" si="37"/>
        <v/>
      </c>
      <c r="CE178" s="154" t="str">
        <f t="shared" si="38"/>
        <v/>
      </c>
      <c r="CF178" s="154" t="str">
        <f t="shared" si="39"/>
        <v/>
      </c>
      <c r="CG178" s="154" t="str">
        <f t="shared" si="40"/>
        <v/>
      </c>
      <c r="CH178" s="308" t="str">
        <f t="shared" si="41"/>
        <v/>
      </c>
    </row>
    <row r="179">
      <c r="A179" s="103" t="s">
        <v>268</v>
      </c>
      <c r="B179" s="104" t="s">
        <v>94</v>
      </c>
      <c r="C179" s="468">
        <v>587482.0</v>
      </c>
      <c r="D179" s="161">
        <v>0.0</v>
      </c>
      <c r="E179" s="294">
        <v>0.0</v>
      </c>
      <c r="F179" s="295">
        <v>8.964965241</v>
      </c>
      <c r="G179" s="295">
        <v>38.30876929</v>
      </c>
      <c r="H179" s="108">
        <v>47.27373453</v>
      </c>
      <c r="I179" s="109">
        <v>82.4262945</v>
      </c>
      <c r="J179" s="109">
        <v>233.014412</v>
      </c>
      <c r="K179" s="109">
        <v>315.440707</v>
      </c>
      <c r="L179" s="112">
        <v>20.77267746</v>
      </c>
      <c r="M179" s="112">
        <v>9.7529975</v>
      </c>
      <c r="N179" s="112">
        <v>30.52567496</v>
      </c>
      <c r="O179" s="298">
        <v>0.0</v>
      </c>
      <c r="P179" s="156"/>
      <c r="Q179" s="156"/>
      <c r="R179" s="121" t="str">
        <f t="shared" si="4"/>
        <v/>
      </c>
      <c r="S179" s="116">
        <f t="shared" si="5"/>
        <v>0.3783554476</v>
      </c>
      <c r="T179" s="117"/>
      <c r="U179" s="118">
        <f t="shared" si="6"/>
        <v>0.73965</v>
      </c>
      <c r="V179" s="119">
        <v>0.0234</v>
      </c>
      <c r="W179" s="120">
        <f t="shared" si="7"/>
        <v>0.0234</v>
      </c>
      <c r="X179" s="119">
        <v>0.089</v>
      </c>
      <c r="Y179" s="120">
        <f t="shared" si="8"/>
        <v>0.089</v>
      </c>
      <c r="Z179" s="299"/>
      <c r="AA179" s="441"/>
      <c r="AB179" s="300" t="str">
        <f t="shared" si="9"/>
        <v/>
      </c>
      <c r="AC179" s="300">
        <f t="shared" si="10"/>
        <v>0.6890056172</v>
      </c>
      <c r="AD179" s="122">
        <v>0.0</v>
      </c>
      <c r="AE179" s="123">
        <v>0.0</v>
      </c>
      <c r="AF179" s="430">
        <v>0.0</v>
      </c>
      <c r="AG179" s="124">
        <v>0.0</v>
      </c>
      <c r="AH179" s="124">
        <v>0.262605516</v>
      </c>
      <c r="AI179" s="125">
        <v>0.0</v>
      </c>
      <c r="AJ179" s="125">
        <v>0.305853155</v>
      </c>
      <c r="AK179" s="127">
        <v>0.0</v>
      </c>
      <c r="AL179" s="127">
        <v>0.034340264</v>
      </c>
      <c r="AM179" s="302">
        <v>0.0</v>
      </c>
      <c r="AN179" s="149" t="str">
        <f>IFERROR(
  AVERAGEIFS(
    'New LF Efficacy'!$J:$J,
    'New LF Efficacy'!$D:$D, $A179,
    'New LF Efficacy'!$F:$F,"DEC", 
    'New LF Efficacy'!$W:$W,"&lt;2016",
    'New LF Efficacy'!$AA:$AA,""),
  ""
)</f>
        <v/>
      </c>
      <c r="AO179" s="115">
        <f t="shared" si="11"/>
        <v>0.38</v>
      </c>
      <c r="AP179" s="149" t="str">
        <f>IFERROR(
AVERAGEIFS(
'New LF Efficacy'!$J:$J,
'New LF Efficacy'!$D:$D,$A179,
'New LF Efficacy'!$F:$F,"Albendazole &amp; DEC",
'New LF Efficacy'!$W:$W,"&lt;2016",
'New LF Efficacy'!$AA:$AA,""),
"")
</f>
        <v/>
      </c>
      <c r="AQ179" s="115">
        <f t="shared" si="12"/>
        <v>0.662</v>
      </c>
      <c r="AR179" s="149" t="str">
        <f>IFERROR(
AVERAGEIFS(
'New LF Efficacy'!$J:$J,
'New LF Efficacy'!$D:$D,$A179,
'New LF Efficacy'!$F:$F,"Albendazole &amp; Ivermectin", 
'New LF Efficacy'!$W:$W,"&lt;2016",
'New LF Efficacy'!$AA:$AA,""),"")</f>
        <v/>
      </c>
      <c r="AS179" s="115">
        <f t="shared" si="13"/>
        <v>0.37153125</v>
      </c>
      <c r="AT179" s="442" t="str">
        <f>IFERROR(AVERAGEIFS(
'Schist Efficacy'!$O:$O, 
'Schist Efficacy'!$C:$C,$A179, 
'Schist Efficacy'!$D:$D, "Praziquantel",
'Schist Efficacy'!$J:$J,"&lt;2016",
'Schist Efficacy'!$U:$U,""),
"")</f>
        <v/>
      </c>
      <c r="AU179" s="118">
        <f t="shared" si="14"/>
        <v>0.9475</v>
      </c>
      <c r="AV179" s="131" t="str">
        <f>IFERROR(AVERAGEIFS(
'STH Efficacy'!$AX:$AX, 
'STH Efficacy'!$AL:$AL, $A179, 
'STH Efficacy'!$AM:$AM, "Albendazole",
'STH Efficacy'!$AS:$AS,"&lt;2016",
'STH Efficacy'!$BP:$BP,""),
"")</f>
        <v/>
      </c>
      <c r="AW179" s="132">
        <f t="shared" si="15"/>
        <v>0.3571666667</v>
      </c>
      <c r="AX179" s="131" t="str">
        <f>IFERROR(AVERAGEIFS(
'STH Efficacy'!$AX:$AX, 
'STH Efficacy'!$AL:$AL, $A179, 
'STH Efficacy'!$AM:$AM, "Mebendazole",
'STH Efficacy'!$AS:$AS,"&lt;2016",
'STH Efficacy'!$BP:$BP,""),
"")</f>
        <v/>
      </c>
      <c r="AY179" s="132">
        <f t="shared" si="16"/>
        <v>0.4155</v>
      </c>
      <c r="AZ179" s="131" t="str">
        <f>IFERROR(AVERAGEIFS(
'STH Efficacy'!$AX:$AX, 
'STH Efficacy'!$AL:$AL, $A179, 
'STH Efficacy'!$AM:$AM, "Albendazole &amp; Ivermectin",
'STH Efficacy'!$AS:$AS,"&lt;2016",
'STH Efficacy'!$BP:$BP,""),
"")</f>
        <v/>
      </c>
      <c r="BA179" s="133">
        <f t="shared" si="17"/>
        <v>0.651</v>
      </c>
      <c r="BB179" s="443" t="str">
        <f>IFERROR(AVERAGEIFS(
'STH Efficacy'!$N:$N, 
'STH Efficacy'!$B:$B, $A179, 
'STH Efficacy'!$C:$C, "Albendazole",
'STH Efficacy'!$I:$I,"&lt;2016",
'STH Efficacy'!$AH:$AH,""),
"")</f>
        <v/>
      </c>
      <c r="BC179" s="135">
        <f t="shared" si="18"/>
        <v>0.5769166667</v>
      </c>
      <c r="BD179" s="443" t="str">
        <f>IFERROR(AVERAGEIFS(
'STH Efficacy'!$N:$N, 
'STH Efficacy'!$B:$B, $A179, 
'STH Efficacy'!$C:$C, "Mebendazole",
'STH Efficacy'!$I:$I,"&lt;2016",
'STH Efficacy'!$AH:$AH,""),
"")</f>
        <v/>
      </c>
      <c r="BE179" s="135">
        <f t="shared" si="19"/>
        <v>0.3145</v>
      </c>
      <c r="BF179" s="436" t="str">
        <f>IFERROR(AVERAGEIFS(
'STH Efficacy'!$CD:$CD, 
'STH Efficacy'!$BS:$BS, $A179, 
'STH Efficacy'!$BT:$BT, "Albendazole",
'STH Efficacy'!$BZ:$BZ,"&lt;2016",
'STH Efficacy'!$CU:$CU,""),
"")</f>
        <v/>
      </c>
      <c r="BG179" s="136">
        <f t="shared" si="20"/>
        <v>0.96925</v>
      </c>
      <c r="BH179" s="436" t="str">
        <f>IFERROR(AVERAGEIFS(
'STH Efficacy'!$CD:$CD, 
'STH Efficacy'!$BS:$BS, $A179, 
'STH Efficacy'!$BT:$BT, "Mebendazole",
'STH Efficacy'!$BZ:$BZ,"&lt;2016",
'STH Efficacy'!$CU:$CU,""),
"")</f>
        <v/>
      </c>
      <c r="BI179" s="136">
        <f t="shared" si="21"/>
        <v>0.9305</v>
      </c>
      <c r="BJ179" s="436" t="str">
        <f>IFERROR(AVERAGEIFS(
'STH Efficacy'!$CD:$CD, 
'STH Efficacy'!$BS:$BS, $A179, 
'STH Efficacy'!$BT:$BT, "Albendazole &amp; Ivermectin",
'STH Efficacy'!$BZ:$BZ,"&lt;2016",
'STH Efficacy'!$CU:$CU,""),
"")</f>
        <v/>
      </c>
      <c r="BK179" s="136">
        <f t="shared" si="22"/>
        <v>0.848</v>
      </c>
      <c r="BL179" s="444" t="str">
        <f>IFERROR(
  AVERAGEIFS(
    'NEW Onchocerciasis Efficacy'!$AO:$AO,
    'NEW Onchocerciasis Efficacy'!$C:$C,$A179,
    'NEW Onchocerciasis Efficacy'!$D:$D,"Ivermectin",
    'NEW Onchocerciasis Efficacy'!$AR:$AR,"&lt;2016",
    'NEW Onchocerciasis Efficacy'!$BG:$BG,"")
,"")</f>
        <v/>
      </c>
      <c r="BM179" s="304">
        <f t="shared" si="23"/>
        <v>0.7808368939</v>
      </c>
      <c r="BN179" s="439">
        <v>0.0</v>
      </c>
      <c r="BO179" s="139">
        <v>1.0</v>
      </c>
      <c r="BP179" s="140">
        <v>0.0</v>
      </c>
      <c r="BQ179" s="141">
        <f t="shared" si="24"/>
        <v>1</v>
      </c>
      <c r="BR179" s="104" t="str">
        <f t="shared" si="25"/>
        <v>0101</v>
      </c>
      <c r="BS179" s="104" t="str">
        <f t="shared" si="26"/>
        <v>MDA1</v>
      </c>
      <c r="BT179" s="142" t="str">
        <f t="shared" si="43"/>
        <v>IVM+ALB</v>
      </c>
      <c r="BU179" s="104" t="str">
        <f t="shared" si="28"/>
        <v/>
      </c>
      <c r="BV179" s="104" t="str">
        <f t="shared" si="29"/>
        <v>onch+sth</v>
      </c>
      <c r="BW179" s="150" t="str">
        <f t="shared" si="30"/>
        <v/>
      </c>
      <c r="BX179" s="150" t="str">
        <f t="shared" si="31"/>
        <v/>
      </c>
      <c r="BY179" s="151" t="str">
        <f t="shared" si="32"/>
        <v/>
      </c>
      <c r="BZ179" s="152">
        <f t="shared" si="33"/>
        <v>1.333291374</v>
      </c>
      <c r="CA179" s="152" t="str">
        <f t="shared" si="34"/>
        <v/>
      </c>
      <c r="CB179" s="152">
        <f t="shared" si="35"/>
        <v>2.494760207</v>
      </c>
      <c r="CC179" s="323">
        <f t="shared" si="36"/>
        <v>13.73979232</v>
      </c>
      <c r="CD179" s="153" t="str">
        <f t="shared" si="37"/>
        <v/>
      </c>
      <c r="CE179" s="154">
        <f t="shared" si="38"/>
        <v>1.402819525</v>
      </c>
      <c r="CF179" s="154" t="str">
        <f t="shared" si="39"/>
        <v/>
      </c>
      <c r="CG179" s="154">
        <f t="shared" si="40"/>
        <v>1.216707784</v>
      </c>
      <c r="CH179" s="313">
        <f t="shared" si="41"/>
        <v>0</v>
      </c>
    </row>
    <row r="180">
      <c r="A180" s="103" t="s">
        <v>269</v>
      </c>
      <c r="B180" s="104" t="s">
        <v>88</v>
      </c>
      <c r="C180" s="468">
        <v>1.3908129E7</v>
      </c>
      <c r="D180" s="161">
        <v>0.0</v>
      </c>
      <c r="E180" s="294">
        <v>18368.48372</v>
      </c>
      <c r="F180" s="295">
        <v>213.2209394</v>
      </c>
      <c r="G180" s="322">
        <v>1222.490807</v>
      </c>
      <c r="H180" s="108">
        <v>1435.711746</v>
      </c>
      <c r="I180" s="109">
        <v>814.600791</v>
      </c>
      <c r="J180" s="110">
        <v>3183.06235</v>
      </c>
      <c r="K180" s="110">
        <v>3997.663146</v>
      </c>
      <c r="L180" s="111">
        <v>1989.065948</v>
      </c>
      <c r="M180" s="112">
        <v>433.108553</v>
      </c>
      <c r="N180" s="112">
        <v>2422.174501</v>
      </c>
      <c r="O180" s="298">
        <v>0.0</v>
      </c>
      <c r="P180" s="114"/>
      <c r="Q180" s="114"/>
      <c r="R180" s="121" t="str">
        <f t="shared" si="4"/>
        <v/>
      </c>
      <c r="S180" s="116">
        <f t="shared" si="5"/>
        <v>0.5709301448</v>
      </c>
      <c r="T180" s="448"/>
      <c r="U180" s="449">
        <f t="shared" si="6"/>
        <v>0.739</v>
      </c>
      <c r="V180" s="148"/>
      <c r="W180" s="120">
        <f t="shared" si="7"/>
        <v>0.9933333333</v>
      </c>
      <c r="X180" s="148"/>
      <c r="Y180" s="120">
        <f t="shared" si="8"/>
        <v>0.5301</v>
      </c>
      <c r="Z180" s="299"/>
      <c r="AA180" s="441"/>
      <c r="AB180" s="300" t="str">
        <f t="shared" si="9"/>
        <v/>
      </c>
      <c r="AC180" s="300">
        <f t="shared" si="10"/>
        <v>0.4014082288</v>
      </c>
      <c r="AD180" s="122">
        <v>0.0</v>
      </c>
      <c r="AE180" s="123">
        <v>0.15</v>
      </c>
      <c r="AF180" s="430">
        <v>0.0424</v>
      </c>
      <c r="AG180" s="124">
        <v>0.0</v>
      </c>
      <c r="AH180" s="124">
        <v>0.289170171</v>
      </c>
      <c r="AI180" s="125">
        <v>0.0</v>
      </c>
      <c r="AJ180" s="125">
        <v>0.2019594</v>
      </c>
      <c r="AK180" s="127">
        <v>0.0</v>
      </c>
      <c r="AL180" s="127">
        <v>0.079279305</v>
      </c>
      <c r="AM180" s="302">
        <v>0.0</v>
      </c>
      <c r="AN180" s="149" t="str">
        <f>IFERROR(
  AVERAGEIFS(
    'New LF Efficacy'!$J:$J,
    'New LF Efficacy'!$D:$D, $A180,
    'New LF Efficacy'!$F:$F,"DEC", 
    'New LF Efficacy'!$W:$W,"&lt;2016",
    'New LF Efficacy'!$AA:$AA,""),
  ""
)</f>
        <v/>
      </c>
      <c r="AO180" s="115">
        <f t="shared" si="11"/>
        <v>0.3573520833</v>
      </c>
      <c r="AP180" s="149" t="str">
        <f>IFERROR(
AVERAGEIFS(
'New LF Efficacy'!$J:$J,
'New LF Efficacy'!$D:$D,$A180,
'New LF Efficacy'!$F:$F,"Albendazole &amp; DEC",
'New LF Efficacy'!$W:$W,"&lt;2016",
'New LF Efficacy'!$AA:$AA,""),
"")
</f>
        <v/>
      </c>
      <c r="AQ180" s="115">
        <f t="shared" si="12"/>
        <v>0.7935</v>
      </c>
      <c r="AR180" s="149" t="str">
        <f>IFERROR(
AVERAGEIFS(
'New LF Efficacy'!$J:$J,
'New LF Efficacy'!$D:$D,$A180,
'New LF Efficacy'!$F:$F,"Albendazole &amp; Ivermectin", 
'New LF Efficacy'!$W:$W,"&lt;2016",
'New LF Efficacy'!$AA:$AA,""),"")</f>
        <v/>
      </c>
      <c r="AS180" s="115">
        <f t="shared" si="13"/>
        <v>0.37153125</v>
      </c>
      <c r="AT180" s="442" t="str">
        <f>IFERROR(AVERAGEIFS(
'Schist Efficacy'!$O:$O, 
'Schist Efficacy'!$C:$C,$A180, 
'Schist Efficacy'!$D:$D, "Praziquantel",
'Schist Efficacy'!$J:$J,"&lt;2016",
'Schist Efficacy'!$U:$U,""),
"")</f>
        <v/>
      </c>
      <c r="AU180" s="118">
        <f t="shared" si="14"/>
        <v>0.7763141026</v>
      </c>
      <c r="AV180" s="131" t="str">
        <f>IFERROR(AVERAGEIFS(
'STH Efficacy'!$AX:$AX, 
'STH Efficacy'!$AL:$AL, $A180, 
'STH Efficacy'!$AM:$AM, "Albendazole",
'STH Efficacy'!$AS:$AS,"&lt;2016",
'STH Efficacy'!$BP:$BP,""),
"")</f>
        <v/>
      </c>
      <c r="AW180" s="132">
        <f t="shared" si="15"/>
        <v>0.4143846154</v>
      </c>
      <c r="AX180" s="131" t="str">
        <f>IFERROR(AVERAGEIFS(
'STH Efficacy'!$AX:$AX, 
'STH Efficacy'!$AL:$AL, $A180, 
'STH Efficacy'!$AM:$AM, "Mebendazole",
'STH Efficacy'!$AS:$AS,"&lt;2016",
'STH Efficacy'!$BP:$BP,""),
"")</f>
        <v/>
      </c>
      <c r="AY180" s="132">
        <f t="shared" si="16"/>
        <v>0.4691770833</v>
      </c>
      <c r="AZ180" s="131" t="str">
        <f>IFERROR(AVERAGEIFS(
'STH Efficacy'!$AX:$AX, 
'STH Efficacy'!$AL:$AL, $A180, 
'STH Efficacy'!$AM:$AM, "Albendazole &amp; Ivermectin",
'STH Efficacy'!$AS:$AS,"&lt;2016",
'STH Efficacy'!$BP:$BP,""),
"")</f>
        <v/>
      </c>
      <c r="BA180" s="133">
        <f t="shared" si="17"/>
        <v>0.597625</v>
      </c>
      <c r="BB180" s="443" t="str">
        <f>IFERROR(AVERAGEIFS(
'STH Efficacy'!$N:$N, 
'STH Efficacy'!$B:$B, $A180, 
'STH Efficacy'!$C:$C, "Albendazole",
'STH Efficacy'!$I:$I,"&lt;2016",
'STH Efficacy'!$AH:$AH,""),
"")</f>
        <v/>
      </c>
      <c r="BC180" s="135">
        <f t="shared" si="18"/>
        <v>0.7613712121</v>
      </c>
      <c r="BD180" s="443" t="str">
        <f>IFERROR(AVERAGEIFS(
'STH Efficacy'!$N:$N, 
'STH Efficacy'!$B:$B, $A180, 
'STH Efficacy'!$C:$C, "Mebendazole",
'STH Efficacy'!$I:$I,"&lt;2016",
'STH Efficacy'!$AH:$AH,""),
"")</f>
        <v/>
      </c>
      <c r="BE180" s="135">
        <f t="shared" si="19"/>
        <v>0.4362466667</v>
      </c>
      <c r="BF180" s="436" t="str">
        <f>IFERROR(AVERAGEIFS(
'STH Efficacy'!$CD:$CD, 
'STH Efficacy'!$BS:$BS, $A180, 
'STH Efficacy'!$BT:$BT, "Albendazole",
'STH Efficacy'!$BZ:$BZ,"&lt;2016",
'STH Efficacy'!$CU:$CU,""),
"")</f>
        <v/>
      </c>
      <c r="BG180" s="136">
        <f t="shared" si="20"/>
        <v>0.955</v>
      </c>
      <c r="BH180" s="436" t="str">
        <f>IFERROR(AVERAGEIFS(
'STH Efficacy'!$CD:$CD, 
'STH Efficacy'!$BS:$BS, $A180, 
'STH Efficacy'!$BT:$BT, "Mebendazole",
'STH Efficacy'!$BZ:$BZ,"&lt;2016",
'STH Efficacy'!$CU:$CU,""),
"")</f>
        <v/>
      </c>
      <c r="BI180" s="136">
        <f t="shared" si="21"/>
        <v>1</v>
      </c>
      <c r="BJ180" s="436" t="str">
        <f>IFERROR(AVERAGEIFS(
'STH Efficacy'!$CD:$CD, 
'STH Efficacy'!$BS:$BS, $A180, 
'STH Efficacy'!$BT:$BT, "Albendazole &amp; Ivermectin",
'STH Efficacy'!$BZ:$BZ,"&lt;2016",
'STH Efficacy'!$CU:$CU,""),
"")</f>
        <v/>
      </c>
      <c r="BK180" s="136">
        <f t="shared" si="22"/>
        <v>0.848</v>
      </c>
      <c r="BL180" s="444" t="str">
        <f>IFERROR(
  AVERAGEIFS(
    'NEW Onchocerciasis Efficacy'!$AO:$AO,
    'NEW Onchocerciasis Efficacy'!$C:$C,$A180,
    'NEW Onchocerciasis Efficacy'!$D:$D,"Ivermectin",
    'NEW Onchocerciasis Efficacy'!$AR:$AR,"&lt;2016",
    'NEW Onchocerciasis Efficacy'!$BG:$BG,"")
,"")</f>
        <v/>
      </c>
      <c r="BM180" s="304">
        <f t="shared" si="23"/>
        <v>0.7808368939</v>
      </c>
      <c r="BN180" s="439">
        <v>0.0</v>
      </c>
      <c r="BO180" s="139">
        <v>1.0</v>
      </c>
      <c r="BP180" s="140">
        <v>1.0</v>
      </c>
      <c r="BQ180" s="141">
        <f t="shared" si="24"/>
        <v>0</v>
      </c>
      <c r="BR180" s="104" t="str">
        <f t="shared" si="25"/>
        <v>0110</v>
      </c>
      <c r="BS180" s="104" t="str">
        <f t="shared" si="26"/>
        <v>MDA3+T2</v>
      </c>
      <c r="BT180" s="142" t="str">
        <f t="shared" si="43"/>
        <v>IVM</v>
      </c>
      <c r="BU180" s="104" t="str">
        <f t="shared" si="28"/>
        <v>PZQ</v>
      </c>
      <c r="BV180" s="104" t="str">
        <f t="shared" si="29"/>
        <v>onch+schist</v>
      </c>
      <c r="BW180" s="150" t="str">
        <f t="shared" si="30"/>
        <v/>
      </c>
      <c r="BX180" s="150" t="str">
        <f t="shared" si="31"/>
        <v/>
      </c>
      <c r="BY180" s="162">
        <f t="shared" si="32"/>
        <v>24719.2869</v>
      </c>
      <c r="BZ180" s="152" t="str">
        <f t="shared" si="33"/>
        <v/>
      </c>
      <c r="CA180" s="152" t="str">
        <f t="shared" si="34"/>
        <v/>
      </c>
      <c r="CB180" s="152" t="str">
        <f t="shared" si="35"/>
        <v/>
      </c>
      <c r="CC180" s="153" t="str">
        <f t="shared" si="36"/>
        <v/>
      </c>
      <c r="CD180" s="153" t="str">
        <f t="shared" si="37"/>
        <v/>
      </c>
      <c r="CE180" s="154" t="str">
        <f t="shared" si="38"/>
        <v/>
      </c>
      <c r="CF180" s="154" t="str">
        <f t="shared" si="39"/>
        <v/>
      </c>
      <c r="CG180" s="154" t="str">
        <f t="shared" si="40"/>
        <v/>
      </c>
      <c r="CH180" s="313">
        <f t="shared" si="41"/>
        <v>0</v>
      </c>
    </row>
    <row r="181">
      <c r="A181" s="155" t="s">
        <v>270</v>
      </c>
      <c r="B181" s="104" t="s">
        <v>92</v>
      </c>
      <c r="C181" s="468">
        <v>5.501197668E7</v>
      </c>
      <c r="D181" s="161">
        <v>0.0</v>
      </c>
      <c r="E181" s="294">
        <v>45477.27474</v>
      </c>
      <c r="F181" s="322">
        <v>1142.126616</v>
      </c>
      <c r="G181" s="322">
        <v>5841.138472</v>
      </c>
      <c r="H181" s="157">
        <v>6983.265088</v>
      </c>
      <c r="I181" s="110">
        <v>2701.59515</v>
      </c>
      <c r="J181" s="110">
        <v>7619.43092</v>
      </c>
      <c r="K181" s="109">
        <v>10321.02607</v>
      </c>
      <c r="L181" s="112">
        <v>579.3003448</v>
      </c>
      <c r="M181" s="111">
        <v>1345.336422</v>
      </c>
      <c r="N181" s="112">
        <v>1924.636767</v>
      </c>
      <c r="O181" s="298">
        <v>0.0</v>
      </c>
      <c r="P181" s="114"/>
      <c r="Q181" s="114"/>
      <c r="R181" s="121" t="str">
        <f t="shared" si="4"/>
        <v/>
      </c>
      <c r="S181" s="116">
        <f t="shared" si="5"/>
        <v>0.3345096109</v>
      </c>
      <c r="T181" s="448"/>
      <c r="U181" s="449">
        <f t="shared" si="6"/>
        <v>0.4220357143</v>
      </c>
      <c r="V181" s="148"/>
      <c r="W181" s="120">
        <f t="shared" si="7"/>
        <v>0.8084736842</v>
      </c>
      <c r="X181" s="148"/>
      <c r="Y181" s="120">
        <f t="shared" si="8"/>
        <v>0.5938357143</v>
      </c>
      <c r="Z181" s="299"/>
      <c r="AA181" s="441"/>
      <c r="AB181" s="300" t="str">
        <f t="shared" si="9"/>
        <v/>
      </c>
      <c r="AC181" s="300">
        <f t="shared" si="10"/>
        <v>0.6375203308</v>
      </c>
      <c r="AD181" s="122">
        <v>0.0</v>
      </c>
      <c r="AE181" s="123">
        <v>0.1</v>
      </c>
      <c r="AF181" s="430">
        <v>0.0279</v>
      </c>
      <c r="AG181" s="316">
        <v>0.0</v>
      </c>
      <c r="AH181" s="316">
        <v>0.40946621</v>
      </c>
      <c r="AI181" s="317">
        <v>0.0</v>
      </c>
      <c r="AJ181" s="317">
        <v>0.213018818</v>
      </c>
      <c r="AK181" s="319">
        <v>0.0</v>
      </c>
      <c r="AL181" s="319">
        <v>0.187764414</v>
      </c>
      <c r="AM181" s="302">
        <v>0.0</v>
      </c>
      <c r="AN181" s="149" t="str">
        <f>IFERROR(
  AVERAGEIFS(
    'New LF Efficacy'!$J:$J,
    'New LF Efficacy'!$D:$D, $A181,
    'New LF Efficacy'!$F:$F,"DEC", 
    'New LF Efficacy'!$W:$W,"&lt;2016",
    'New LF Efficacy'!$AA:$AA,""),
  ""
)</f>
        <v/>
      </c>
      <c r="AO181" s="115">
        <f t="shared" si="11"/>
        <v>0.31225</v>
      </c>
      <c r="AP181" s="149" t="str">
        <f>IFERROR(
AVERAGEIFS(
'New LF Efficacy'!$J:$J,
'New LF Efficacy'!$D:$D,$A181,
'New LF Efficacy'!$F:$F,"Albendazole &amp; DEC",
'New LF Efficacy'!$W:$W,"&lt;2016",
'New LF Efficacy'!$AA:$AA,""),
"")
</f>
        <v/>
      </c>
      <c r="AQ181" s="115">
        <f t="shared" si="12"/>
        <v>0.4</v>
      </c>
      <c r="AR181" s="149" t="str">
        <f>IFERROR(
AVERAGEIFS(
'New LF Efficacy'!$J:$J,
'New LF Efficacy'!$D:$D,$A181,
'New LF Efficacy'!$F:$F,"Albendazole &amp; Ivermectin", 
'New LF Efficacy'!$W:$W,"&lt;2016",
'New LF Efficacy'!$AA:$AA,""),"")</f>
        <v/>
      </c>
      <c r="AS181" s="115">
        <f t="shared" si="13"/>
        <v>0.2943125</v>
      </c>
      <c r="AT181" s="442">
        <f>IFERROR(AVERAGEIFS(
'Schist Efficacy'!$O:$O, 
'Schist Efficacy'!$C:$C,$A181, 
'Schist Efficacy'!$D:$D, "Praziquantel",
'Schist Efficacy'!$J:$J,"&lt;2016",
'Schist Efficacy'!$U:$U,""),
"")</f>
        <v>0.579</v>
      </c>
      <c r="AU181" s="118">
        <f t="shared" si="14"/>
        <v>0.579</v>
      </c>
      <c r="AV181" s="131">
        <f>IFERROR(AVERAGEIFS(
'STH Efficacy'!$AX:$AX, 
'STH Efficacy'!$AL:$AL, $A181, 
'STH Efficacy'!$AM:$AM, "Albendazole",
'STH Efficacy'!$AS:$AS,"&lt;2016",
'STH Efficacy'!$BP:$BP,""),
"")</f>
        <v>0.4853333333</v>
      </c>
      <c r="AW181" s="132">
        <f t="shared" si="15"/>
        <v>0.4853333333</v>
      </c>
      <c r="AX181" s="131" t="str">
        <f>IFERROR(AVERAGEIFS(
'STH Efficacy'!$AX:$AX, 
'STH Efficacy'!$AL:$AL, $A181, 
'STH Efficacy'!$AM:$AM, "Mebendazole",
'STH Efficacy'!$AS:$AS,"&lt;2016",
'STH Efficacy'!$BP:$BP,""),
"")</f>
        <v/>
      </c>
      <c r="AY181" s="132">
        <f t="shared" si="16"/>
        <v>0.4859375</v>
      </c>
      <c r="AZ181" s="131" t="str">
        <f>IFERROR(AVERAGEIFS(
'STH Efficacy'!$AX:$AX, 
'STH Efficacy'!$AL:$AL, $A181, 
'STH Efficacy'!$AM:$AM, "Albendazole &amp; Ivermectin",
'STH Efficacy'!$AS:$AS,"&lt;2016",
'STH Efficacy'!$BP:$BP,""),
"")</f>
        <v/>
      </c>
      <c r="BA181" s="133">
        <f t="shared" si="17"/>
        <v>0.47175</v>
      </c>
      <c r="BB181" s="443" t="str">
        <f>IFERROR(AVERAGEIFS(
'STH Efficacy'!$N:$N, 
'STH Efficacy'!$B:$B, $A181, 
'STH Efficacy'!$C:$C, "Albendazole",
'STH Efficacy'!$I:$I,"&lt;2016",
'STH Efficacy'!$AH:$AH,""),
"")</f>
        <v/>
      </c>
      <c r="BC181" s="135">
        <f t="shared" si="18"/>
        <v>0.8699166667</v>
      </c>
      <c r="BD181" s="443" t="str">
        <f>IFERROR(AVERAGEIFS(
'STH Efficacy'!$N:$N, 
'STH Efficacy'!$B:$B, $A181, 
'STH Efficacy'!$C:$C, "Mebendazole",
'STH Efficacy'!$I:$I,"&lt;2016",
'STH Efficacy'!$AH:$AH,""),
"")</f>
        <v/>
      </c>
      <c r="BE181" s="135">
        <f t="shared" si="19"/>
        <v>0.7092416667</v>
      </c>
      <c r="BF181" s="436" t="str">
        <f>IFERROR(AVERAGEIFS(
'STH Efficacy'!$CD:$CD, 
'STH Efficacy'!$BS:$BS, $A181, 
'STH Efficacy'!$BT:$BT, "Albendazole",
'STH Efficacy'!$BZ:$BZ,"&lt;2016",
'STH Efficacy'!$CU:$CU,""),
"")</f>
        <v/>
      </c>
      <c r="BG181" s="136">
        <f t="shared" si="20"/>
        <v>0.9066666667</v>
      </c>
      <c r="BH181" s="436" t="str">
        <f>IFERROR(AVERAGEIFS(
'STH Efficacy'!$CD:$CD, 
'STH Efficacy'!$BS:$BS, $A181, 
'STH Efficacy'!$BT:$BT, "Mebendazole",
'STH Efficacy'!$BZ:$BZ,"&lt;2016",
'STH Efficacy'!$CU:$CU,""),
"")</f>
        <v/>
      </c>
      <c r="BI181" s="136">
        <f t="shared" si="21"/>
        <v>0.8483333333</v>
      </c>
      <c r="BJ181" s="436" t="str">
        <f>IFERROR(AVERAGEIFS(
'STH Efficacy'!$CD:$CD, 
'STH Efficacy'!$BS:$BS, $A181, 
'STH Efficacy'!$BT:$BT, "Albendazole &amp; Ivermectin",
'STH Efficacy'!$BZ:$BZ,"&lt;2016",
'STH Efficacy'!$CU:$CU,""),
"")</f>
        <v/>
      </c>
      <c r="BK181" s="136">
        <f t="shared" si="22"/>
        <v>0.696</v>
      </c>
      <c r="BL181" s="444" t="str">
        <f>IFERROR(
  AVERAGEIFS(
    'NEW Onchocerciasis Efficacy'!$AO:$AO,
    'NEW Onchocerciasis Efficacy'!$C:$C,$A181,
    'NEW Onchocerciasis Efficacy'!$D:$D,"Ivermectin",
    'NEW Onchocerciasis Efficacy'!$AR:$AR,"&lt;2016",
    'NEW Onchocerciasis Efficacy'!$BG:$BG,"")
,"")</f>
        <v/>
      </c>
      <c r="BM181" s="304">
        <f t="shared" si="23"/>
        <v>0.8390421645</v>
      </c>
      <c r="BN181" s="439">
        <v>0.0</v>
      </c>
      <c r="BO181" s="139">
        <v>0.0</v>
      </c>
      <c r="BP181" s="140">
        <v>1.0</v>
      </c>
      <c r="BQ181" s="141">
        <f t="shared" si="24"/>
        <v>1</v>
      </c>
      <c r="BR181" s="104" t="str">
        <f t="shared" si="25"/>
        <v>0011</v>
      </c>
      <c r="BS181" s="104" t="str">
        <f t="shared" si="26"/>
        <v>T1</v>
      </c>
      <c r="BT181" s="142" t="str">
        <f t="shared" si="43"/>
        <v>ALB+PZQ or MBD+PZQ</v>
      </c>
      <c r="BU181" s="104" t="str">
        <f t="shared" si="28"/>
        <v/>
      </c>
      <c r="BV181" s="104" t="str">
        <f t="shared" si="29"/>
        <v>schist+sth</v>
      </c>
      <c r="BW181" s="150" t="str">
        <f t="shared" si="30"/>
        <v/>
      </c>
      <c r="BX181" s="150" t="str">
        <f t="shared" si="31"/>
        <v/>
      </c>
      <c r="BY181" s="151" t="str">
        <f t="shared" si="32"/>
        <v/>
      </c>
      <c r="BZ181" s="152">
        <f t="shared" si="33"/>
        <v>3102.651616</v>
      </c>
      <c r="CA181" s="152">
        <f t="shared" si="34"/>
        <v>3108.302268</v>
      </c>
      <c r="CB181" s="152" t="str">
        <f t="shared" si="35"/>
        <v/>
      </c>
      <c r="CC181" s="323">
        <f t="shared" si="36"/>
        <v>14546.35753</v>
      </c>
      <c r="CD181" s="323">
        <f t="shared" si="37"/>
        <v>9175.447694</v>
      </c>
      <c r="CE181" s="154">
        <f t="shared" si="38"/>
        <v>3159.735347</v>
      </c>
      <c r="CF181" s="154">
        <f t="shared" si="39"/>
        <v>2630.536362</v>
      </c>
      <c r="CG181" s="154" t="str">
        <f t="shared" si="40"/>
        <v/>
      </c>
      <c r="CH181" s="308" t="str">
        <f t="shared" si="41"/>
        <v/>
      </c>
    </row>
    <row r="182">
      <c r="A182" s="103" t="s">
        <v>271</v>
      </c>
      <c r="B182" s="104" t="s">
        <v>92</v>
      </c>
      <c r="C182" s="468">
        <v>1.1882136E7</v>
      </c>
      <c r="D182" s="161">
        <v>2726.64</v>
      </c>
      <c r="E182" s="294">
        <v>19648.92334</v>
      </c>
      <c r="F182" s="295">
        <v>1.317256133</v>
      </c>
      <c r="G182" s="295">
        <v>3.687118102</v>
      </c>
      <c r="H182" s="108">
        <v>5.004374235</v>
      </c>
      <c r="I182" s="109">
        <v>612.756966</v>
      </c>
      <c r="J182" s="110">
        <v>1023.60365</v>
      </c>
      <c r="K182" s="109">
        <v>1636.360611</v>
      </c>
      <c r="L182" s="112">
        <v>6685.294708</v>
      </c>
      <c r="M182" s="112">
        <v>569.0712203</v>
      </c>
      <c r="N182" s="112">
        <v>7254.365928</v>
      </c>
      <c r="O182" s="298">
        <v>80684.35292</v>
      </c>
      <c r="P182" s="160">
        <v>1659558.0</v>
      </c>
      <c r="Q182" s="156"/>
      <c r="R182" s="121">
        <f t="shared" si="4"/>
        <v>0</v>
      </c>
      <c r="S182" s="116">
        <f t="shared" si="5"/>
        <v>0.3345096109</v>
      </c>
      <c r="T182" s="448"/>
      <c r="U182" s="449">
        <f t="shared" si="6"/>
        <v>0.4220357143</v>
      </c>
      <c r="V182" s="148"/>
      <c r="W182" s="120">
        <f t="shared" si="7"/>
        <v>0.8084736842</v>
      </c>
      <c r="X182" s="148"/>
      <c r="Y182" s="120">
        <f t="shared" si="8"/>
        <v>0.5938357143</v>
      </c>
      <c r="Z182" s="299"/>
      <c r="AA182" s="441"/>
      <c r="AB182" s="300" t="str">
        <f t="shared" si="9"/>
        <v/>
      </c>
      <c r="AC182" s="300">
        <f t="shared" si="10"/>
        <v>0.6375203308</v>
      </c>
      <c r="AD182" s="122">
        <v>0.0024</v>
      </c>
      <c r="AE182" s="123">
        <v>0.15</v>
      </c>
      <c r="AF182" s="430">
        <v>0.0529</v>
      </c>
      <c r="AG182" s="124">
        <v>0.0</v>
      </c>
      <c r="AH182" s="124">
        <v>0.032714469</v>
      </c>
      <c r="AI182" s="125">
        <v>0.1334</v>
      </c>
      <c r="AJ182" s="125">
        <v>0.090901799</v>
      </c>
      <c r="AK182" s="127">
        <v>0.0</v>
      </c>
      <c r="AL182" s="127">
        <v>0.016623978</v>
      </c>
      <c r="AM182" s="302">
        <v>0.1068</v>
      </c>
      <c r="AN182" s="149" t="str">
        <f>IFERROR(
  AVERAGEIFS(
    'New LF Efficacy'!$J:$J,
    'New LF Efficacy'!$D:$D, $A182,
    'New LF Efficacy'!$F:$F,"DEC", 
    'New LF Efficacy'!$W:$W,"&lt;2016",
    'New LF Efficacy'!$AA:$AA,""),
  ""
)</f>
        <v/>
      </c>
      <c r="AO182" s="115">
        <f t="shared" si="11"/>
        <v>0.31225</v>
      </c>
      <c r="AP182" s="149" t="str">
        <f>IFERROR(
AVERAGEIFS(
'New LF Efficacy'!$J:$J,
'New LF Efficacy'!$D:$D,$A182,
'New LF Efficacy'!$F:$F,"Albendazole &amp; DEC",
'New LF Efficacy'!$W:$W,"&lt;2016",
'New LF Efficacy'!$AA:$AA,""),
"")
</f>
        <v/>
      </c>
      <c r="AQ182" s="115">
        <f t="shared" si="12"/>
        <v>0.4</v>
      </c>
      <c r="AR182" s="149" t="str">
        <f>IFERROR(
AVERAGEIFS(
'New LF Efficacy'!$J:$J,
'New LF Efficacy'!$D:$D,$A182,
'New LF Efficacy'!$F:$F,"Albendazole &amp; Ivermectin", 
'New LF Efficacy'!$W:$W,"&lt;2016",
'New LF Efficacy'!$AA:$AA,""),"")</f>
        <v/>
      </c>
      <c r="AS182" s="115">
        <f t="shared" si="13"/>
        <v>0.2943125</v>
      </c>
      <c r="AT182" s="442" t="str">
        <f>IFERROR(AVERAGEIFS(
'Schist Efficacy'!$O:$O, 
'Schist Efficacy'!$C:$C,$A182, 
'Schist Efficacy'!$D:$D, "Praziquantel",
'Schist Efficacy'!$J:$J,"&lt;2016",
'Schist Efficacy'!$U:$U,""),
"")</f>
        <v/>
      </c>
      <c r="AU182" s="118">
        <f t="shared" si="14"/>
        <v>0.7206464759</v>
      </c>
      <c r="AV182" s="131" t="str">
        <f>IFERROR(AVERAGEIFS(
'STH Efficacy'!$AX:$AX, 
'STH Efficacy'!$AL:$AL, $A182, 
'STH Efficacy'!$AM:$AM, "Albendazole",
'STH Efficacy'!$AS:$AS,"&lt;2016",
'STH Efficacy'!$BP:$BP,""),
"")</f>
        <v/>
      </c>
      <c r="AW182" s="132">
        <f t="shared" si="15"/>
        <v>0.3816333333</v>
      </c>
      <c r="AX182" s="131" t="str">
        <f>IFERROR(AVERAGEIFS(
'STH Efficacy'!$AX:$AX, 
'STH Efficacy'!$AL:$AL, $A182, 
'STH Efficacy'!$AM:$AM, "Mebendazole",
'STH Efficacy'!$AS:$AS,"&lt;2016",
'STH Efficacy'!$BP:$BP,""),
"")</f>
        <v/>
      </c>
      <c r="AY182" s="132">
        <f t="shared" si="16"/>
        <v>0.4859375</v>
      </c>
      <c r="AZ182" s="131" t="str">
        <f>IFERROR(AVERAGEIFS(
'STH Efficacy'!$AX:$AX, 
'STH Efficacy'!$AL:$AL, $A182, 
'STH Efficacy'!$AM:$AM, "Albendazole &amp; Ivermectin",
'STH Efficacy'!$AS:$AS,"&lt;2016",
'STH Efficacy'!$BP:$BP,""),
"")</f>
        <v/>
      </c>
      <c r="BA182" s="133">
        <f t="shared" si="17"/>
        <v>0.47175</v>
      </c>
      <c r="BB182" s="443" t="str">
        <f>IFERROR(AVERAGEIFS(
'STH Efficacy'!$N:$N, 
'STH Efficacy'!$B:$B, $A182, 
'STH Efficacy'!$C:$C, "Albendazole",
'STH Efficacy'!$I:$I,"&lt;2016",
'STH Efficacy'!$AH:$AH,""),
"")</f>
        <v/>
      </c>
      <c r="BC182" s="135">
        <f t="shared" si="18"/>
        <v>0.8699166667</v>
      </c>
      <c r="BD182" s="443" t="str">
        <f>IFERROR(AVERAGEIFS(
'STH Efficacy'!$N:$N, 
'STH Efficacy'!$B:$B, $A182, 
'STH Efficacy'!$C:$C, "Mebendazole",
'STH Efficacy'!$I:$I,"&lt;2016",
'STH Efficacy'!$AH:$AH,""),
"")</f>
        <v/>
      </c>
      <c r="BE182" s="135">
        <f t="shared" si="19"/>
        <v>0.7092416667</v>
      </c>
      <c r="BF182" s="436" t="str">
        <f>IFERROR(AVERAGEIFS(
'STH Efficacy'!$CD:$CD, 
'STH Efficacy'!$BS:$BS, $A182, 
'STH Efficacy'!$BT:$BT, "Albendazole",
'STH Efficacy'!$BZ:$BZ,"&lt;2016",
'STH Efficacy'!$CU:$CU,""),
"")</f>
        <v/>
      </c>
      <c r="BG182" s="136">
        <f t="shared" si="20"/>
        <v>0.9066666667</v>
      </c>
      <c r="BH182" s="436" t="str">
        <f>IFERROR(AVERAGEIFS(
'STH Efficacy'!$CD:$CD, 
'STH Efficacy'!$BS:$BS, $A182, 
'STH Efficacy'!$BT:$BT, "Mebendazole",
'STH Efficacy'!$BZ:$BZ,"&lt;2016",
'STH Efficacy'!$CU:$CU,""),
"")</f>
        <v/>
      </c>
      <c r="BI182" s="136">
        <f t="shared" si="21"/>
        <v>0.8483333333</v>
      </c>
      <c r="BJ182" s="436" t="str">
        <f>IFERROR(AVERAGEIFS(
'STH Efficacy'!$CD:$CD, 
'STH Efficacy'!$BS:$BS, $A182, 
'STH Efficacy'!$BT:$BT, "Albendazole &amp; Ivermectin",
'STH Efficacy'!$BZ:$BZ,"&lt;2016",
'STH Efficacy'!$CU:$CU,""),
"")</f>
        <v/>
      </c>
      <c r="BK182" s="136">
        <f t="shared" si="22"/>
        <v>0.696</v>
      </c>
      <c r="BL182" s="444" t="str">
        <f>IFERROR(
  AVERAGEIFS(
    'NEW Onchocerciasis Efficacy'!$AO:$AO,
    'NEW Onchocerciasis Efficacy'!$C:$C,$A182,
    'NEW Onchocerciasis Efficacy'!$D:$D,"Ivermectin",
    'NEW Onchocerciasis Efficacy'!$AR:$AR,"&lt;2016",
    'NEW Onchocerciasis Efficacy'!$BG:$BG,"")
,"")</f>
        <v/>
      </c>
      <c r="BM182" s="304">
        <f t="shared" si="23"/>
        <v>0.8390421645</v>
      </c>
      <c r="BN182" s="439">
        <v>1.0</v>
      </c>
      <c r="BO182" s="139">
        <v>0.0</v>
      </c>
      <c r="BP182" s="140">
        <v>1.0</v>
      </c>
      <c r="BQ182" s="141">
        <f t="shared" si="24"/>
        <v>0</v>
      </c>
      <c r="BR182" s="104" t="str">
        <f t="shared" si="25"/>
        <v>1010</v>
      </c>
      <c r="BS182" s="104" t="str">
        <f t="shared" si="26"/>
        <v>MDA1/2+T2</v>
      </c>
      <c r="BT182" s="142" t="str">
        <f t="shared" si="43"/>
        <v>IVM+ALB or DEC +ALB</v>
      </c>
      <c r="BU182" s="104" t="str">
        <f t="shared" si="28"/>
        <v>PZQ</v>
      </c>
      <c r="BV182" s="104" t="str">
        <f t="shared" si="29"/>
        <v>lf+schist </v>
      </c>
      <c r="BW182" s="150" t="str">
        <f t="shared" si="30"/>
        <v/>
      </c>
      <c r="BX182" s="312">
        <f t="shared" si="31"/>
        <v>297.7525332</v>
      </c>
      <c r="BY182" s="162">
        <f t="shared" si="32"/>
        <v>8587.90936</v>
      </c>
      <c r="BZ182" s="152" t="str">
        <f t="shared" si="33"/>
        <v/>
      </c>
      <c r="CA182" s="152" t="str">
        <f t="shared" si="34"/>
        <v/>
      </c>
      <c r="CB182" s="152" t="str">
        <f t="shared" si="35"/>
        <v/>
      </c>
      <c r="CC182" s="153" t="str">
        <f t="shared" si="36"/>
        <v/>
      </c>
      <c r="CD182" s="153" t="str">
        <f t="shared" si="37"/>
        <v/>
      </c>
      <c r="CE182" s="154" t="str">
        <f t="shared" si="38"/>
        <v/>
      </c>
      <c r="CF182" s="154" t="str">
        <f t="shared" si="39"/>
        <v/>
      </c>
      <c r="CG182" s="154" t="str">
        <f t="shared" si="40"/>
        <v/>
      </c>
      <c r="CH182" s="308" t="str">
        <f t="shared" si="41"/>
        <v/>
      </c>
    </row>
    <row r="183">
      <c r="A183" s="155" t="s">
        <v>272</v>
      </c>
      <c r="B183" s="104" t="s">
        <v>90</v>
      </c>
      <c r="C183" s="468">
        <v>4.6447697E7</v>
      </c>
      <c r="D183" s="161">
        <v>0.0</v>
      </c>
      <c r="E183" s="294">
        <v>0.0</v>
      </c>
      <c r="F183" s="307">
        <v>0.0</v>
      </c>
      <c r="G183" s="309">
        <v>0.0</v>
      </c>
      <c r="H183" s="108">
        <v>0.0</v>
      </c>
      <c r="I183" s="109">
        <v>0.0</v>
      </c>
      <c r="J183" s="109">
        <v>0.0</v>
      </c>
      <c r="K183" s="109">
        <v>0.0</v>
      </c>
      <c r="L183" s="112">
        <v>0.0</v>
      </c>
      <c r="M183" s="112">
        <v>0.0</v>
      </c>
      <c r="N183" s="112">
        <v>0.0</v>
      </c>
      <c r="O183" s="298">
        <v>0.0</v>
      </c>
      <c r="P183" s="114"/>
      <c r="Q183" s="114"/>
      <c r="R183" s="121" t="str">
        <f t="shared" si="4"/>
        <v/>
      </c>
      <c r="S183" s="116">
        <f t="shared" si="5"/>
        <v>0.5709301448</v>
      </c>
      <c r="T183" s="117"/>
      <c r="U183" s="118">
        <f t="shared" si="6"/>
        <v>0.4791888889</v>
      </c>
      <c r="V183" s="148"/>
      <c r="W183" s="120">
        <f t="shared" si="7"/>
        <v>0.0223</v>
      </c>
      <c r="X183" s="148"/>
      <c r="Y183" s="120">
        <f t="shared" si="8"/>
        <v>0.598275</v>
      </c>
      <c r="Z183" s="299"/>
      <c r="AA183" s="441"/>
      <c r="AB183" s="300" t="str">
        <f t="shared" si="9"/>
        <v/>
      </c>
      <c r="AC183" s="300">
        <f t="shared" si="10"/>
        <v>0.6890056172</v>
      </c>
      <c r="AD183" s="122">
        <v>0.0</v>
      </c>
      <c r="AE183" s="123">
        <v>0.0</v>
      </c>
      <c r="AF183" s="430">
        <v>0.0</v>
      </c>
      <c r="AG183" s="316">
        <v>0.0</v>
      </c>
      <c r="AH183" s="316">
        <v>0.0</v>
      </c>
      <c r="AI183" s="317">
        <v>0.0</v>
      </c>
      <c r="AJ183" s="317">
        <v>0.0</v>
      </c>
      <c r="AK183" s="319">
        <v>0.0</v>
      </c>
      <c r="AL183" s="319">
        <v>0.0</v>
      </c>
      <c r="AM183" s="302">
        <v>0.0</v>
      </c>
      <c r="AN183" s="149" t="str">
        <f>IFERROR(
  AVERAGEIFS(
    'New LF Efficacy'!$J:$J,
    'New LF Efficacy'!$D:$D, $A183,
    'New LF Efficacy'!$F:$F,"DEC", 
    'New LF Efficacy'!$W:$W,"&lt;2016",
    'New LF Efficacy'!$AA:$AA,""),
  ""
)</f>
        <v/>
      </c>
      <c r="AO183" s="115">
        <f t="shared" si="11"/>
        <v>0.3573520833</v>
      </c>
      <c r="AP183" s="149" t="str">
        <f>IFERROR(
AVERAGEIFS(
'New LF Efficacy'!$J:$J,
'New LF Efficacy'!$D:$D,$A183,
'New LF Efficacy'!$F:$F,"Albendazole &amp; DEC",
'New LF Efficacy'!$W:$W,"&lt;2016",
'New LF Efficacy'!$AA:$AA,""),
"")
</f>
        <v/>
      </c>
      <c r="AQ183" s="115">
        <f t="shared" si="12"/>
        <v>0.5143541667</v>
      </c>
      <c r="AR183" s="149" t="str">
        <f>IFERROR(
AVERAGEIFS(
'New LF Efficacy'!$J:$J,
'New LF Efficacy'!$D:$D,$A183,
'New LF Efficacy'!$F:$F,"Albendazole &amp; Ivermectin", 
'New LF Efficacy'!$W:$W,"&lt;2016",
'New LF Efficacy'!$AA:$AA,""),"")</f>
        <v/>
      </c>
      <c r="AS183" s="115">
        <f t="shared" si="13"/>
        <v>0.37153125</v>
      </c>
      <c r="AT183" s="442" t="str">
        <f>IFERROR(AVERAGEIFS(
'Schist Efficacy'!$O:$O, 
'Schist Efficacy'!$C:$C,$A183, 
'Schist Efficacy'!$D:$D, "Praziquantel",
'Schist Efficacy'!$J:$J,"&lt;2016",
'Schist Efficacy'!$U:$U,""),
"")</f>
        <v/>
      </c>
      <c r="AU183" s="118">
        <f t="shared" si="14"/>
        <v>0.655</v>
      </c>
      <c r="AV183" s="131" t="str">
        <f>IFERROR(AVERAGEIFS(
'STH Efficacy'!$AX:$AX, 
'STH Efficacy'!$AL:$AL, $A183, 
'STH Efficacy'!$AM:$AM, "Albendazole",
'STH Efficacy'!$AS:$AS,"&lt;2016",
'STH Efficacy'!$BP:$BP,""),
"")</f>
        <v/>
      </c>
      <c r="AW183" s="132">
        <f t="shared" si="15"/>
        <v>0.4143846154</v>
      </c>
      <c r="AX183" s="131" t="str">
        <f>IFERROR(AVERAGEIFS(
'STH Efficacy'!$AX:$AX, 
'STH Efficacy'!$AL:$AL, $A183, 
'STH Efficacy'!$AM:$AM, "Mebendazole",
'STH Efficacy'!$AS:$AS,"&lt;2016",
'STH Efficacy'!$BP:$BP,""),
"")</f>
        <v/>
      </c>
      <c r="AY183" s="132">
        <f t="shared" si="16"/>
        <v>0.4691770833</v>
      </c>
      <c r="AZ183" s="131" t="str">
        <f>IFERROR(AVERAGEIFS(
'STH Efficacy'!$AX:$AX, 
'STH Efficacy'!$AL:$AL, $A183, 
'STH Efficacy'!$AM:$AM, "Albendazole &amp; Ivermectin",
'STH Efficacy'!$AS:$AS,"&lt;2016",
'STH Efficacy'!$BP:$BP,""),
"")</f>
        <v/>
      </c>
      <c r="BA183" s="133">
        <f t="shared" si="17"/>
        <v>0.597625</v>
      </c>
      <c r="BB183" s="443" t="str">
        <f>IFERROR(AVERAGEIFS(
'STH Efficacy'!$N:$N, 
'STH Efficacy'!$B:$B, $A183, 
'STH Efficacy'!$C:$C, "Albendazole",
'STH Efficacy'!$I:$I,"&lt;2016",
'STH Efficacy'!$AH:$AH,""),
"")</f>
        <v/>
      </c>
      <c r="BC183" s="135">
        <f t="shared" si="18"/>
        <v>0.7613712121</v>
      </c>
      <c r="BD183" s="443" t="str">
        <f>IFERROR(AVERAGEIFS(
'STH Efficacy'!$N:$N, 
'STH Efficacy'!$B:$B, $A183, 
'STH Efficacy'!$C:$C, "Mebendazole",
'STH Efficacy'!$I:$I,"&lt;2016",
'STH Efficacy'!$AH:$AH,""),
"")</f>
        <v/>
      </c>
      <c r="BE183" s="135">
        <f t="shared" si="19"/>
        <v>0.4362466667</v>
      </c>
      <c r="BF183" s="436" t="str">
        <f>IFERROR(AVERAGEIFS(
'STH Efficacy'!$CD:$CD, 
'STH Efficacy'!$BS:$BS, $A183, 
'STH Efficacy'!$BT:$BT, "Albendazole",
'STH Efficacy'!$BZ:$BZ,"&lt;2016",
'STH Efficacy'!$CU:$CU,""),
"")</f>
        <v/>
      </c>
      <c r="BG183" s="136">
        <f t="shared" si="20"/>
        <v>0.9216027778</v>
      </c>
      <c r="BH183" s="436" t="str">
        <f>IFERROR(AVERAGEIFS(
'STH Efficacy'!$CD:$CD, 
'STH Efficacy'!$BS:$BS, $A183, 
'STH Efficacy'!$BT:$BT, "Mebendazole",
'STH Efficacy'!$BZ:$BZ,"&lt;2016",
'STH Efficacy'!$CU:$CU,""),
"")</f>
        <v/>
      </c>
      <c r="BI183" s="136">
        <f t="shared" si="21"/>
        <v>0.8866041667</v>
      </c>
      <c r="BJ183" s="436" t="str">
        <f>IFERROR(AVERAGEIFS(
'STH Efficacy'!$CD:$CD, 
'STH Efficacy'!$BS:$BS, $A183, 
'STH Efficacy'!$BT:$BT, "Albendazole &amp; Ivermectin",
'STH Efficacy'!$BZ:$BZ,"&lt;2016",
'STH Efficacy'!$CU:$CU,""),
"")</f>
        <v/>
      </c>
      <c r="BK183" s="136">
        <f t="shared" si="22"/>
        <v>0.848</v>
      </c>
      <c r="BL183" s="444" t="str">
        <f>IFERROR(
  AVERAGEIFS(
    'NEW Onchocerciasis Efficacy'!$AO:$AO,
    'NEW Onchocerciasis Efficacy'!$C:$C,$A183,
    'NEW Onchocerciasis Efficacy'!$D:$D,"Ivermectin",
    'NEW Onchocerciasis Efficacy'!$AR:$AR,"&lt;2016",
    'NEW Onchocerciasis Efficacy'!$BG:$BG,"")
,"")</f>
        <v/>
      </c>
      <c r="BM183" s="304">
        <f t="shared" si="23"/>
        <v>0.7808368939</v>
      </c>
      <c r="BN183" s="439">
        <v>0.0</v>
      </c>
      <c r="BO183" s="139">
        <v>1.0</v>
      </c>
      <c r="BP183" s="140">
        <v>1.0</v>
      </c>
      <c r="BQ183" s="141">
        <f t="shared" si="24"/>
        <v>0</v>
      </c>
      <c r="BR183" s="104" t="str">
        <f t="shared" si="25"/>
        <v>0110</v>
      </c>
      <c r="BS183" s="104" t="str">
        <f t="shared" si="26"/>
        <v>MDA3+T2</v>
      </c>
      <c r="BT183" s="142" t="str">
        <f t="shared" si="43"/>
        <v>IVM</v>
      </c>
      <c r="BU183" s="104" t="str">
        <f t="shared" si="28"/>
        <v>PZQ</v>
      </c>
      <c r="BV183" s="104" t="str">
        <f t="shared" si="29"/>
        <v>onch+schist</v>
      </c>
      <c r="BW183" s="150" t="str">
        <f t="shared" si="30"/>
        <v/>
      </c>
      <c r="BX183" s="150" t="str">
        <f t="shared" si="31"/>
        <v/>
      </c>
      <c r="BY183" s="162">
        <f t="shared" si="32"/>
        <v>0</v>
      </c>
      <c r="BZ183" s="152" t="str">
        <f t="shared" si="33"/>
        <v/>
      </c>
      <c r="CA183" s="152" t="str">
        <f t="shared" si="34"/>
        <v/>
      </c>
      <c r="CB183" s="152" t="str">
        <f t="shared" si="35"/>
        <v/>
      </c>
      <c r="CC183" s="153" t="str">
        <f t="shared" si="36"/>
        <v/>
      </c>
      <c r="CD183" s="153" t="str">
        <f t="shared" si="37"/>
        <v/>
      </c>
      <c r="CE183" s="154" t="str">
        <f t="shared" si="38"/>
        <v/>
      </c>
      <c r="CF183" s="154" t="str">
        <f t="shared" si="39"/>
        <v/>
      </c>
      <c r="CG183" s="154" t="str">
        <f t="shared" si="40"/>
        <v/>
      </c>
      <c r="CH183" s="313">
        <f t="shared" si="41"/>
        <v>0</v>
      </c>
    </row>
    <row r="184">
      <c r="A184" s="103" t="s">
        <v>273</v>
      </c>
      <c r="B184" s="104" t="s">
        <v>109</v>
      </c>
      <c r="C184" s="468">
        <v>2.0966E7</v>
      </c>
      <c r="D184" s="161">
        <v>2409.41</v>
      </c>
      <c r="E184" s="294">
        <v>0.0</v>
      </c>
      <c r="F184" s="295">
        <v>22.18152534</v>
      </c>
      <c r="G184" s="295">
        <v>119.0799316</v>
      </c>
      <c r="H184" s="108">
        <v>141.2614569</v>
      </c>
      <c r="I184" s="109">
        <v>191.520645</v>
      </c>
      <c r="J184" s="110">
        <v>599.93812</v>
      </c>
      <c r="K184" s="109">
        <v>791.4587644</v>
      </c>
      <c r="L184" s="112">
        <v>93.19222646</v>
      </c>
      <c r="M184" s="112">
        <v>196.7390962</v>
      </c>
      <c r="N184" s="112">
        <v>289.9313227</v>
      </c>
      <c r="O184" s="298">
        <v>0.0</v>
      </c>
      <c r="P184" s="156"/>
      <c r="Q184" s="156"/>
      <c r="R184" s="121" t="str">
        <f t="shared" si="4"/>
        <v/>
      </c>
      <c r="S184" s="116">
        <f t="shared" si="5"/>
        <v>0.7101615512</v>
      </c>
      <c r="T184" s="117"/>
      <c r="U184" s="118">
        <f t="shared" si="6"/>
        <v>0.2582</v>
      </c>
      <c r="V184" s="148"/>
      <c r="W184" s="120">
        <f t="shared" si="7"/>
        <v>0.6229125</v>
      </c>
      <c r="X184" s="148"/>
      <c r="Y184" s="120">
        <f t="shared" si="8"/>
        <v>0.8246625</v>
      </c>
      <c r="Z184" s="299"/>
      <c r="AA184" s="441"/>
      <c r="AB184" s="300" t="str">
        <f t="shared" si="9"/>
        <v/>
      </c>
      <c r="AC184" s="300">
        <f t="shared" si="10"/>
        <v>0.6890056172</v>
      </c>
      <c r="AD184" s="122">
        <v>0.0011</v>
      </c>
      <c r="AE184" s="123">
        <v>0.0</v>
      </c>
      <c r="AF184" s="430">
        <v>0.0</v>
      </c>
      <c r="AG184" s="124">
        <v>0.0</v>
      </c>
      <c r="AH184" s="124">
        <v>0.077828387</v>
      </c>
      <c r="AI184" s="125">
        <v>0.0</v>
      </c>
      <c r="AJ184" s="125">
        <v>0.055977093</v>
      </c>
      <c r="AK184" s="127">
        <v>0.0</v>
      </c>
      <c r="AL184" s="127">
        <v>0.072714389</v>
      </c>
      <c r="AM184" s="302">
        <v>0.0</v>
      </c>
      <c r="AN184" s="149">
        <f>IFERROR(
  AVERAGEIFS(
    'New LF Efficacy'!$J:$J,
    'New LF Efficacy'!$D:$D, $A184,
    'New LF Efficacy'!$F:$F,"DEC", 
    'New LF Efficacy'!$W:$W,"&lt;2016",
    'New LF Efficacy'!$AA:$AA,""),
  ""
)</f>
        <v>0.58335</v>
      </c>
      <c r="AO184" s="115">
        <f t="shared" si="11"/>
        <v>0.58335</v>
      </c>
      <c r="AP184" s="149" t="str">
        <f>IFERROR(
AVERAGEIFS(
'New LF Efficacy'!$J:$J,
'New LF Efficacy'!$D:$D,$A184,
'New LF Efficacy'!$F:$F,"Albendazole &amp; DEC",
'New LF Efficacy'!$W:$W,"&lt;2016",
'New LF Efficacy'!$AA:$AA,""),
"")
</f>
        <v/>
      </c>
      <c r="AQ184" s="115">
        <f t="shared" si="12"/>
        <v>0.5831666667</v>
      </c>
      <c r="AR184" s="149" t="str">
        <f>IFERROR(
AVERAGEIFS(
'New LF Efficacy'!$J:$J,
'New LF Efficacy'!$D:$D,$A184,
'New LF Efficacy'!$F:$F,"Albendazole &amp; Ivermectin", 
'New LF Efficacy'!$W:$W,"&lt;2016",
'New LF Efficacy'!$AA:$AA,""),"")</f>
        <v/>
      </c>
      <c r="AS184" s="115">
        <f t="shared" si="13"/>
        <v>0.14</v>
      </c>
      <c r="AT184" s="442" t="str">
        <f>IFERROR(AVERAGEIFS(
'Schist Efficacy'!$O:$O, 
'Schist Efficacy'!$C:$C,$A184, 
'Schist Efficacy'!$D:$D, "Praziquantel",
'Schist Efficacy'!$J:$J,"&lt;2016",
'Schist Efficacy'!$U:$U,""),
"")</f>
        <v/>
      </c>
      <c r="AU184" s="118">
        <f t="shared" si="14"/>
        <v>0.743990088</v>
      </c>
      <c r="AV184" s="131" t="str">
        <f>IFERROR(AVERAGEIFS(
'STH Efficacy'!$AX:$AX, 
'STH Efficacy'!$AL:$AL, $A184, 
'STH Efficacy'!$AM:$AM, "Albendazole",
'STH Efficacy'!$AS:$AS,"&lt;2016",
'STH Efficacy'!$BP:$BP,""),
"")</f>
        <v/>
      </c>
      <c r="AW184" s="132">
        <f t="shared" si="15"/>
        <v>0.5394444444</v>
      </c>
      <c r="AX184" s="131" t="str">
        <f>IFERROR(AVERAGEIFS(
'STH Efficacy'!$AX:$AX, 
'STH Efficacy'!$AL:$AL, $A184, 
'STH Efficacy'!$AM:$AM, "Mebendazole",
'STH Efficacy'!$AS:$AS,"&lt;2016",
'STH Efficacy'!$BP:$BP,""),
"")</f>
        <v/>
      </c>
      <c r="AY184" s="132">
        <f t="shared" si="16"/>
        <v>0.3786666667</v>
      </c>
      <c r="AZ184" s="131" t="str">
        <f>IFERROR(AVERAGEIFS(
'STH Efficacy'!$AX:$AX, 
'STH Efficacy'!$AL:$AL, $A184, 
'STH Efficacy'!$AM:$AM, "Albendazole &amp; Ivermectin",
'STH Efficacy'!$AS:$AS,"&lt;2016",
'STH Efficacy'!$BP:$BP,""),
"")</f>
        <v/>
      </c>
      <c r="BA184" s="133">
        <f t="shared" si="17"/>
        <v>0.597625</v>
      </c>
      <c r="BB184" s="443">
        <f>IFERROR(AVERAGEIFS(
'STH Efficacy'!$N:$N, 
'STH Efficacy'!$B:$B, $A184, 
'STH Efficacy'!$C:$C, "Albendazole",
'STH Efficacy'!$I:$I,"&lt;2016",
'STH Efficacy'!$AH:$AH,""),
"")</f>
        <v>0.779</v>
      </c>
      <c r="BC184" s="135">
        <f t="shared" si="18"/>
        <v>0.779</v>
      </c>
      <c r="BD184" s="443">
        <f>IFERROR(AVERAGEIFS(
'STH Efficacy'!$N:$N, 
'STH Efficacy'!$B:$B, $A184, 
'STH Efficacy'!$C:$C, "Mebendazole",
'STH Efficacy'!$I:$I,"&lt;2016",
'STH Efficacy'!$AH:$AH,""),
"")</f>
        <v>0.279</v>
      </c>
      <c r="BE184" s="135">
        <f t="shared" si="19"/>
        <v>0.279</v>
      </c>
      <c r="BF184" s="436" t="str">
        <f>IFERROR(AVERAGEIFS(
'STH Efficacy'!$CD:$CD, 
'STH Efficacy'!$BS:$BS, $A184, 
'STH Efficacy'!$BT:$BT, "Albendazole",
'STH Efficacy'!$BZ:$BZ,"&lt;2016",
'STH Efficacy'!$CU:$CU,""),
"")</f>
        <v/>
      </c>
      <c r="BG184" s="136">
        <f t="shared" si="20"/>
        <v>0.83</v>
      </c>
      <c r="BH184" s="436" t="str">
        <f>IFERROR(AVERAGEIFS(
'STH Efficacy'!$CD:$CD, 
'STH Efficacy'!$BS:$BS, $A184, 
'STH Efficacy'!$BT:$BT, "Mebendazole",
'STH Efficacy'!$BZ:$BZ,"&lt;2016",
'STH Efficacy'!$CU:$CU,""),
"")</f>
        <v/>
      </c>
      <c r="BI184" s="136">
        <f t="shared" si="21"/>
        <v>1</v>
      </c>
      <c r="BJ184" s="436" t="str">
        <f>IFERROR(AVERAGEIFS(
'STH Efficacy'!$CD:$CD, 
'STH Efficacy'!$BS:$BS, $A184, 
'STH Efficacy'!$BT:$BT, "Albendazole &amp; Ivermectin",
'STH Efficacy'!$BZ:$BZ,"&lt;2016",
'STH Efficacy'!$CU:$CU,""),
"")</f>
        <v/>
      </c>
      <c r="BK184" s="136">
        <f t="shared" si="22"/>
        <v>0.848</v>
      </c>
      <c r="BL184" s="444" t="str">
        <f>IFERROR(
  AVERAGEIFS(
    'NEW Onchocerciasis Efficacy'!$AO:$AO,
    'NEW Onchocerciasis Efficacy'!$C:$C,$A184,
    'NEW Onchocerciasis Efficacy'!$D:$D,"Ivermectin",
    'NEW Onchocerciasis Efficacy'!$AR:$AR,"&lt;2016",
    'NEW Onchocerciasis Efficacy'!$BG:$BG,"")
,"")</f>
        <v/>
      </c>
      <c r="BM184" s="304">
        <f t="shared" si="23"/>
        <v>0.7808368939</v>
      </c>
      <c r="BN184" s="439">
        <v>0.0</v>
      </c>
      <c r="BO184" s="139">
        <v>0.0</v>
      </c>
      <c r="BP184" s="140">
        <v>0.0</v>
      </c>
      <c r="BQ184" s="141">
        <f t="shared" si="24"/>
        <v>0</v>
      </c>
      <c r="BR184" s="104" t="str">
        <f t="shared" si="25"/>
        <v>0000</v>
      </c>
      <c r="BS184" s="104" t="str">
        <f t="shared" si="26"/>
        <v>no action required</v>
      </c>
      <c r="BT184" s="142" t="str">
        <f t="shared" si="43"/>
        <v/>
      </c>
      <c r="BU184" s="104" t="str">
        <f t="shared" si="28"/>
        <v/>
      </c>
      <c r="BV184" s="104" t="str">
        <f t="shared" si="29"/>
        <v>none</v>
      </c>
      <c r="BW184" s="150" t="str">
        <f t="shared" si="30"/>
        <v/>
      </c>
      <c r="BX184" s="150" t="str">
        <f t="shared" si="31"/>
        <v/>
      </c>
      <c r="BY184" s="151" t="str">
        <f t="shared" si="32"/>
        <v/>
      </c>
      <c r="BZ184" s="152" t="str">
        <f t="shared" si="33"/>
        <v/>
      </c>
      <c r="CA184" s="152" t="str">
        <f t="shared" si="34"/>
        <v/>
      </c>
      <c r="CB184" s="152" t="str">
        <f t="shared" si="35"/>
        <v/>
      </c>
      <c r="CC184" s="153" t="str">
        <f t="shared" si="36"/>
        <v/>
      </c>
      <c r="CD184" s="153" t="str">
        <f t="shared" si="37"/>
        <v/>
      </c>
      <c r="CE184" s="154" t="str">
        <f t="shared" si="38"/>
        <v/>
      </c>
      <c r="CF184" s="154" t="str">
        <f t="shared" si="39"/>
        <v/>
      </c>
      <c r="CG184" s="154" t="str">
        <f t="shared" si="40"/>
        <v/>
      </c>
      <c r="CH184" s="308" t="str">
        <f t="shared" si="41"/>
        <v/>
      </c>
    </row>
    <row r="185">
      <c r="A185" s="103" t="s">
        <v>274</v>
      </c>
      <c r="B185" s="104" t="s">
        <v>88</v>
      </c>
      <c r="C185" s="468">
        <v>3.8647803E7</v>
      </c>
      <c r="D185" s="161">
        <v>2690.53</v>
      </c>
      <c r="E185" s="294">
        <v>17967.31229</v>
      </c>
      <c r="F185" s="295">
        <v>1.911715593</v>
      </c>
      <c r="G185" s="295">
        <v>11.76421826</v>
      </c>
      <c r="H185" s="108">
        <v>13.67593386</v>
      </c>
      <c r="I185" s="109">
        <v>820.537406</v>
      </c>
      <c r="J185" s="110">
        <v>3169.68502</v>
      </c>
      <c r="K185" s="109">
        <v>3990.222422</v>
      </c>
      <c r="L185" s="112">
        <v>879.0884736</v>
      </c>
      <c r="M185" s="112">
        <v>277.1921703</v>
      </c>
      <c r="N185" s="112">
        <v>1156.280644</v>
      </c>
      <c r="O185" s="298">
        <v>0.0</v>
      </c>
      <c r="P185" s="160">
        <v>1.339389E7</v>
      </c>
      <c r="Q185" s="156"/>
      <c r="R185" s="121">
        <f t="shared" si="4"/>
        <v>0</v>
      </c>
      <c r="S185" s="116">
        <f t="shared" si="5"/>
        <v>0.5709301448</v>
      </c>
      <c r="T185" s="118">
        <v>0.381</v>
      </c>
      <c r="U185" s="118">
        <f t="shared" si="6"/>
        <v>0.381</v>
      </c>
      <c r="V185" s="148"/>
      <c r="W185" s="120">
        <f t="shared" si="7"/>
        <v>0.9933333333</v>
      </c>
      <c r="X185" s="119">
        <v>0.2463</v>
      </c>
      <c r="Y185" s="120">
        <f t="shared" si="8"/>
        <v>0.2463</v>
      </c>
      <c r="Z185" s="310">
        <v>380904.0</v>
      </c>
      <c r="AA185" s="310">
        <v>152898.0</v>
      </c>
      <c r="AB185" s="300">
        <f t="shared" si="9"/>
        <v>0.4014082288</v>
      </c>
      <c r="AC185" s="300">
        <f t="shared" si="10"/>
        <v>0.4014082288</v>
      </c>
      <c r="AD185" s="122">
        <v>0.0012</v>
      </c>
      <c r="AE185" s="123">
        <v>0.03</v>
      </c>
      <c r="AF185" s="430">
        <v>0.0073</v>
      </c>
      <c r="AG185" s="316">
        <v>0.0</v>
      </c>
      <c r="AH185" s="316">
        <v>0.032784112</v>
      </c>
      <c r="AI185" s="317">
        <v>0.0</v>
      </c>
      <c r="AJ185" s="317">
        <v>0.091117462</v>
      </c>
      <c r="AK185" s="319">
        <v>0.0</v>
      </c>
      <c r="AL185" s="319">
        <v>0.016648079</v>
      </c>
      <c r="AM185" s="302">
        <v>0.0</v>
      </c>
      <c r="AN185" s="149" t="str">
        <f>IFERROR(
  AVERAGEIFS(
    'New LF Efficacy'!$J:$J,
    'New LF Efficacy'!$D:$D, $A185,
    'New LF Efficacy'!$F:$F,"DEC", 
    'New LF Efficacy'!$W:$W,"&lt;2016",
    'New LF Efficacy'!$AA:$AA,""),
  ""
)</f>
        <v/>
      </c>
      <c r="AO185" s="115">
        <f t="shared" si="11"/>
        <v>0.3573520833</v>
      </c>
      <c r="AP185" s="149" t="str">
        <f>IFERROR(
AVERAGEIFS(
'New LF Efficacy'!$J:$J,
'New LF Efficacy'!$D:$D,$A185,
'New LF Efficacy'!$F:$F,"Albendazole &amp; DEC",
'New LF Efficacy'!$W:$W,"&lt;2016",
'New LF Efficacy'!$AA:$AA,""),
"")
</f>
        <v/>
      </c>
      <c r="AQ185" s="115">
        <f t="shared" si="12"/>
        <v>0.7935</v>
      </c>
      <c r="AR185" s="149" t="str">
        <f>IFERROR(
AVERAGEIFS(
'New LF Efficacy'!$J:$J,
'New LF Efficacy'!$D:$D,$A185,
'New LF Efficacy'!$F:$F,"Albendazole &amp; Ivermectin", 
'New LF Efficacy'!$W:$W,"&lt;2016",
'New LF Efficacy'!$AA:$AA,""),"")</f>
        <v/>
      </c>
      <c r="AS185" s="115">
        <f t="shared" si="13"/>
        <v>0.37153125</v>
      </c>
      <c r="AT185" s="442">
        <f>IFERROR(AVERAGEIFS(
'Schist Efficacy'!$O:$O, 
'Schist Efficacy'!$C:$C,$A185, 
'Schist Efficacy'!$D:$D, "Praziquantel",
'Schist Efficacy'!$J:$J,"&lt;2016",
'Schist Efficacy'!$U:$U,""),
"")</f>
        <v>0.7706923077</v>
      </c>
      <c r="AU185" s="118">
        <f t="shared" si="14"/>
        <v>0.7706923077</v>
      </c>
      <c r="AV185" s="131" t="str">
        <f>IFERROR(AVERAGEIFS(
'STH Efficacy'!$AX:$AX, 
'STH Efficacy'!$AL:$AL, $A185, 
'STH Efficacy'!$AM:$AM, "Albendazole",
'STH Efficacy'!$AS:$AS,"&lt;2016",
'STH Efficacy'!$BP:$BP,""),
"")</f>
        <v/>
      </c>
      <c r="AW185" s="132">
        <f t="shared" si="15"/>
        <v>0.4143846154</v>
      </c>
      <c r="AX185" s="131" t="str">
        <f>IFERROR(AVERAGEIFS(
'STH Efficacy'!$AX:$AX, 
'STH Efficacy'!$AL:$AL, $A185, 
'STH Efficacy'!$AM:$AM, "Mebendazole",
'STH Efficacy'!$AS:$AS,"&lt;2016",
'STH Efficacy'!$BP:$BP,""),
"")</f>
        <v/>
      </c>
      <c r="AY185" s="132">
        <f t="shared" si="16"/>
        <v>0.4691770833</v>
      </c>
      <c r="AZ185" s="131" t="str">
        <f>IFERROR(AVERAGEIFS(
'STH Efficacy'!$AX:$AX, 
'STH Efficacy'!$AL:$AL, $A185, 
'STH Efficacy'!$AM:$AM, "Albendazole &amp; Ivermectin",
'STH Efficacy'!$AS:$AS,"&lt;2016",
'STH Efficacy'!$BP:$BP,""),
"")</f>
        <v/>
      </c>
      <c r="BA185" s="133">
        <f t="shared" si="17"/>
        <v>0.597625</v>
      </c>
      <c r="BB185" s="443" t="str">
        <f>IFERROR(AVERAGEIFS(
'STH Efficacy'!$N:$N, 
'STH Efficacy'!$B:$B, $A185, 
'STH Efficacy'!$C:$C, "Albendazole",
'STH Efficacy'!$I:$I,"&lt;2016",
'STH Efficacy'!$AH:$AH,""),
"")</f>
        <v/>
      </c>
      <c r="BC185" s="135">
        <f t="shared" si="18"/>
        <v>0.7613712121</v>
      </c>
      <c r="BD185" s="443" t="str">
        <f>IFERROR(AVERAGEIFS(
'STH Efficacy'!$N:$N, 
'STH Efficacy'!$B:$B, $A185, 
'STH Efficacy'!$C:$C, "Mebendazole",
'STH Efficacy'!$I:$I,"&lt;2016",
'STH Efficacy'!$AH:$AH,""),
"")</f>
        <v/>
      </c>
      <c r="BE185" s="135">
        <f t="shared" si="19"/>
        <v>0.4362466667</v>
      </c>
      <c r="BF185" s="436" t="str">
        <f>IFERROR(AVERAGEIFS(
'STH Efficacy'!$CD:$CD, 
'STH Efficacy'!$BS:$BS, $A185, 
'STH Efficacy'!$BT:$BT, "Albendazole",
'STH Efficacy'!$BZ:$BZ,"&lt;2016",
'STH Efficacy'!$CU:$CU,""),
"")</f>
        <v/>
      </c>
      <c r="BG185" s="136">
        <f t="shared" si="20"/>
        <v>0.955</v>
      </c>
      <c r="BH185" s="436" t="str">
        <f>IFERROR(AVERAGEIFS(
'STH Efficacy'!$CD:$CD, 
'STH Efficacy'!$BS:$BS, $A185, 
'STH Efficacy'!$BT:$BT, "Mebendazole",
'STH Efficacy'!$BZ:$BZ,"&lt;2016",
'STH Efficacy'!$CU:$CU,""),
"")</f>
        <v/>
      </c>
      <c r="BI185" s="136">
        <f t="shared" si="21"/>
        <v>1</v>
      </c>
      <c r="BJ185" s="436" t="str">
        <f>IFERROR(AVERAGEIFS(
'STH Efficacy'!$CD:$CD, 
'STH Efficacy'!$BS:$BS, $A185, 
'STH Efficacy'!$BT:$BT, "Albendazole &amp; Ivermectin",
'STH Efficacy'!$BZ:$BZ,"&lt;2016",
'STH Efficacy'!$CU:$CU,""),
"")</f>
        <v/>
      </c>
      <c r="BK185" s="136">
        <f t="shared" si="22"/>
        <v>0.848</v>
      </c>
      <c r="BL185" s="444" t="str">
        <f>IFERROR(
  AVERAGEIFS(
    'NEW Onchocerciasis Efficacy'!$AO:$AO,
    'NEW Onchocerciasis Efficacy'!$C:$C,$A185,
    'NEW Onchocerciasis Efficacy'!$D:$D,"Ivermectin",
    'NEW Onchocerciasis Efficacy'!$AR:$AR,"&lt;2016",
    'NEW Onchocerciasis Efficacy'!$BG:$BG,"")
,"")</f>
        <v/>
      </c>
      <c r="BM185" s="304">
        <f t="shared" si="23"/>
        <v>0.7808368939</v>
      </c>
      <c r="BN185" s="439">
        <v>1.0</v>
      </c>
      <c r="BO185" s="139">
        <v>1.0</v>
      </c>
      <c r="BP185" s="140">
        <v>1.0</v>
      </c>
      <c r="BQ185" s="141">
        <f t="shared" si="24"/>
        <v>0</v>
      </c>
      <c r="BR185" s="104" t="str">
        <f t="shared" si="25"/>
        <v>1110</v>
      </c>
      <c r="BS185" s="104" t="str">
        <f t="shared" si="26"/>
        <v>MDA1+T2</v>
      </c>
      <c r="BT185" s="142" t="str">
        <f t="shared" si="43"/>
        <v>IVM+ALB</v>
      </c>
      <c r="BU185" s="104" t="str">
        <f t="shared" si="28"/>
        <v>PZQ</v>
      </c>
      <c r="BV185" s="104" t="str">
        <f t="shared" si="29"/>
        <v>lf+onch+schist </v>
      </c>
      <c r="BW185" s="150" t="str">
        <f t="shared" si="30"/>
        <v/>
      </c>
      <c r="BX185" s="312">
        <f t="shared" si="31"/>
        <v>724.3612312</v>
      </c>
      <c r="BY185" s="162">
        <f t="shared" si="32"/>
        <v>7468.94373</v>
      </c>
      <c r="BZ185" s="152" t="str">
        <f t="shared" si="33"/>
        <v/>
      </c>
      <c r="CA185" s="152" t="str">
        <f t="shared" si="34"/>
        <v/>
      </c>
      <c r="CB185" s="152" t="str">
        <f t="shared" si="35"/>
        <v/>
      </c>
      <c r="CC185" s="153" t="str">
        <f t="shared" si="36"/>
        <v/>
      </c>
      <c r="CD185" s="153" t="str">
        <f t="shared" si="37"/>
        <v/>
      </c>
      <c r="CE185" s="154" t="str">
        <f t="shared" si="38"/>
        <v/>
      </c>
      <c r="CF185" s="154" t="str">
        <f t="shared" si="39"/>
        <v/>
      </c>
      <c r="CG185" s="154" t="str">
        <f t="shared" si="40"/>
        <v/>
      </c>
      <c r="CH185" s="313">
        <f t="shared" si="41"/>
        <v>0</v>
      </c>
    </row>
    <row r="186">
      <c r="A186" s="103" t="s">
        <v>275</v>
      </c>
      <c r="B186" s="104" t="s">
        <v>98</v>
      </c>
      <c r="C186" s="468">
        <v>553208.0</v>
      </c>
      <c r="D186" s="161">
        <v>0.0</v>
      </c>
      <c r="E186" s="294">
        <v>514.2680235</v>
      </c>
      <c r="F186" s="470">
        <v>2.65977E-6</v>
      </c>
      <c r="G186" s="470">
        <v>2.09064E-5</v>
      </c>
      <c r="H186" s="179">
        <v>2.35661E-5</v>
      </c>
      <c r="I186" s="109">
        <v>5.52263787</v>
      </c>
      <c r="J186" s="109">
        <v>18.6682112</v>
      </c>
      <c r="K186" s="109">
        <v>24.19084911</v>
      </c>
      <c r="L186" s="112">
        <v>3.317078666</v>
      </c>
      <c r="M186" s="112">
        <v>1.53364969</v>
      </c>
      <c r="N186" s="112">
        <v>4.850728356</v>
      </c>
      <c r="O186" s="298">
        <v>0.0</v>
      </c>
      <c r="P186" s="156"/>
      <c r="Q186" s="156"/>
      <c r="R186" s="121" t="str">
        <f t="shared" si="4"/>
        <v/>
      </c>
      <c r="S186" s="116">
        <f t="shared" si="5"/>
        <v>0.3565746084</v>
      </c>
      <c r="T186" s="448"/>
      <c r="U186" s="449">
        <f t="shared" si="6"/>
        <v>0.4791888889</v>
      </c>
      <c r="V186" s="148"/>
      <c r="W186" s="120">
        <f t="shared" si="7"/>
        <v>0.685</v>
      </c>
      <c r="X186" s="148"/>
      <c r="Y186" s="120">
        <f t="shared" si="8"/>
        <v>0.7550545455</v>
      </c>
      <c r="Z186" s="299"/>
      <c r="AA186" s="441"/>
      <c r="AB186" s="300" t="str">
        <f t="shared" si="9"/>
        <v/>
      </c>
      <c r="AC186" s="300">
        <f t="shared" si="10"/>
        <v>0.7101368438</v>
      </c>
      <c r="AD186" s="122">
        <v>0.0</v>
      </c>
      <c r="AE186" s="123">
        <v>0.14</v>
      </c>
      <c r="AF186" s="430">
        <v>0.0037</v>
      </c>
      <c r="AG186" s="316">
        <v>0.0</v>
      </c>
      <c r="AH186" s="316">
        <v>0.004422579</v>
      </c>
      <c r="AI186" s="317">
        <v>0.0</v>
      </c>
      <c r="AJ186" s="317">
        <v>0.065994336</v>
      </c>
      <c r="AK186" s="319">
        <v>0.0</v>
      </c>
      <c r="AL186" s="319">
        <v>0.017783264</v>
      </c>
      <c r="AM186" s="302">
        <v>0.0</v>
      </c>
      <c r="AN186" s="149" t="str">
        <f>IFERROR(
  AVERAGEIFS(
    'New LF Efficacy'!$J:$J,
    'New LF Efficacy'!$D:$D, $A186,
    'New LF Efficacy'!$F:$F,"DEC", 
    'New LF Efficacy'!$W:$W,"&lt;2016",
    'New LF Efficacy'!$AA:$AA,""),
  ""
)</f>
        <v/>
      </c>
      <c r="AO186" s="115">
        <f t="shared" si="11"/>
        <v>0.2589833333</v>
      </c>
      <c r="AP186" s="149" t="str">
        <f>IFERROR(
AVERAGEIFS(
'New LF Efficacy'!$J:$J,
'New LF Efficacy'!$D:$D,$A186,
'New LF Efficacy'!$F:$F,"Albendazole &amp; DEC",
'New LF Efficacy'!$W:$W,"&lt;2016",
'New LF Efficacy'!$AA:$AA,""),
"")
</f>
        <v/>
      </c>
      <c r="AQ186" s="115">
        <f t="shared" si="12"/>
        <v>0.3465</v>
      </c>
      <c r="AR186" s="149" t="str">
        <f>IFERROR(
AVERAGEIFS(
'New LF Efficacy'!$J:$J,
'New LF Efficacy'!$D:$D,$A186,
'New LF Efficacy'!$F:$F,"Albendazole &amp; Ivermectin", 
'New LF Efficacy'!$W:$W,"&lt;2016",
'New LF Efficacy'!$AA:$AA,""),"")</f>
        <v/>
      </c>
      <c r="AS186" s="115">
        <f t="shared" si="13"/>
        <v>0.7575</v>
      </c>
      <c r="AT186" s="442" t="str">
        <f>IFERROR(AVERAGEIFS(
'Schist Efficacy'!$O:$O, 
'Schist Efficacy'!$C:$C,$A186, 
'Schist Efficacy'!$D:$D, "Praziquantel",
'Schist Efficacy'!$J:$J,"&lt;2016",
'Schist Efficacy'!$U:$U,""),
"")</f>
        <v/>
      </c>
      <c r="AU186" s="118">
        <f t="shared" si="14"/>
        <v>0.7914761905</v>
      </c>
      <c r="AV186" s="131" t="str">
        <f>IFERROR(AVERAGEIFS(
'STH Efficacy'!$AX:$AX, 
'STH Efficacy'!$AL:$AL, $A186, 
'STH Efficacy'!$AM:$AM, "Albendazole",
'STH Efficacy'!$AS:$AS,"&lt;2016",
'STH Efficacy'!$BP:$BP,""),
"")</f>
        <v/>
      </c>
      <c r="AW186" s="132">
        <f t="shared" si="15"/>
        <v>0.3945</v>
      </c>
      <c r="AX186" s="131" t="str">
        <f>IFERROR(AVERAGEIFS(
'STH Efficacy'!$AX:$AX, 
'STH Efficacy'!$AL:$AL, $A186, 
'STH Efficacy'!$AM:$AM, "Mebendazole",
'STH Efficacy'!$AS:$AS,"&lt;2016",
'STH Efficacy'!$BP:$BP,""),
"")</f>
        <v/>
      </c>
      <c r="AY186" s="132">
        <f t="shared" si="16"/>
        <v>0.6</v>
      </c>
      <c r="AZ186" s="131" t="str">
        <f>IFERROR(AVERAGEIFS(
'STH Efficacy'!$AX:$AX, 
'STH Efficacy'!$AL:$AL, $A186, 
'STH Efficacy'!$AM:$AM, "Albendazole &amp; Ivermectin",
'STH Efficacy'!$AS:$AS,"&lt;2016",
'STH Efficacy'!$BP:$BP,""),
"")</f>
        <v/>
      </c>
      <c r="BA186" s="133">
        <f t="shared" si="17"/>
        <v>0.796</v>
      </c>
      <c r="BB186" s="443" t="str">
        <f>IFERROR(AVERAGEIFS(
'STH Efficacy'!$N:$N, 
'STH Efficacy'!$B:$B, $A186, 
'STH Efficacy'!$C:$C, "Albendazole",
'STH Efficacy'!$I:$I,"&lt;2016",
'STH Efficacy'!$AH:$AH,""),
"")</f>
        <v/>
      </c>
      <c r="BC186" s="135">
        <f t="shared" si="18"/>
        <v>0.869</v>
      </c>
      <c r="BD186" s="443" t="str">
        <f>IFERROR(AVERAGEIFS(
'STH Efficacy'!$N:$N, 
'STH Efficacy'!$B:$B, $A186, 
'STH Efficacy'!$C:$C, "Mebendazole",
'STH Efficacy'!$I:$I,"&lt;2016",
'STH Efficacy'!$AH:$AH,""),
"")</f>
        <v/>
      </c>
      <c r="BE186" s="135">
        <f t="shared" si="19"/>
        <v>0.172</v>
      </c>
      <c r="BF186" s="436" t="str">
        <f>IFERROR(AVERAGEIFS(
'STH Efficacy'!$CD:$CD, 
'STH Efficacy'!$BS:$BS, $A186, 
'STH Efficacy'!$BT:$BT, "Albendazole",
'STH Efficacy'!$BZ:$BZ,"&lt;2016",
'STH Efficacy'!$CU:$CU,""),
"")</f>
        <v/>
      </c>
      <c r="BG186" s="136">
        <f t="shared" si="20"/>
        <v>0.9862</v>
      </c>
      <c r="BH186" s="436" t="str">
        <f>IFERROR(AVERAGEIFS(
'STH Efficacy'!$CD:$CD, 
'STH Efficacy'!$BS:$BS, $A186, 
'STH Efficacy'!$BT:$BT, "Mebendazole",
'STH Efficacy'!$BZ:$BZ,"&lt;2016",
'STH Efficacy'!$CU:$CU,""),
"")</f>
        <v/>
      </c>
      <c r="BI186" s="136">
        <f t="shared" si="21"/>
        <v>0.769</v>
      </c>
      <c r="BJ186" s="436" t="str">
        <f>IFERROR(AVERAGEIFS(
'STH Efficacy'!$CD:$CD, 
'STH Efficacy'!$BS:$BS, $A186, 
'STH Efficacy'!$BT:$BT, "Albendazole &amp; Ivermectin",
'STH Efficacy'!$BZ:$BZ,"&lt;2016",
'STH Efficacy'!$CU:$CU,""),
"")</f>
        <v/>
      </c>
      <c r="BK186" s="136">
        <f t="shared" si="22"/>
        <v>1</v>
      </c>
      <c r="BL186" s="444" t="str">
        <f>IFERROR(
  AVERAGEIFS(
    'NEW Onchocerciasis Efficacy'!$AO:$AO,
    'NEW Onchocerciasis Efficacy'!$C:$C,$A186,
    'NEW Onchocerciasis Efficacy'!$D:$D,"Ivermectin",
    'NEW Onchocerciasis Efficacy'!$AR:$AR,"&lt;2016",
    'NEW Onchocerciasis Efficacy'!$BG:$BG,"")
,"")</f>
        <v/>
      </c>
      <c r="BM186" s="304">
        <f t="shared" si="23"/>
        <v>0.3734</v>
      </c>
      <c r="BN186" s="439">
        <v>0.0</v>
      </c>
      <c r="BO186" s="139">
        <v>0.0</v>
      </c>
      <c r="BP186" s="140">
        <v>0.0</v>
      </c>
      <c r="BQ186" s="141">
        <f t="shared" si="24"/>
        <v>0</v>
      </c>
      <c r="BR186" s="104" t="str">
        <f t="shared" si="25"/>
        <v>0000</v>
      </c>
      <c r="BS186" s="104" t="str">
        <f t="shared" si="26"/>
        <v>no action required</v>
      </c>
      <c r="BT186" s="142" t="str">
        <f t="shared" si="43"/>
        <v/>
      </c>
      <c r="BU186" s="104" t="str">
        <f t="shared" si="28"/>
        <v/>
      </c>
      <c r="BV186" s="104" t="str">
        <f t="shared" si="29"/>
        <v>none</v>
      </c>
      <c r="BW186" s="150" t="str">
        <f t="shared" si="30"/>
        <v/>
      </c>
      <c r="BX186" s="150" t="str">
        <f t="shared" si="31"/>
        <v/>
      </c>
      <c r="BY186" s="151" t="str">
        <f t="shared" si="32"/>
        <v/>
      </c>
      <c r="BZ186" s="152" t="str">
        <f t="shared" si="33"/>
        <v/>
      </c>
      <c r="CA186" s="152" t="str">
        <f t="shared" si="34"/>
        <v/>
      </c>
      <c r="CB186" s="152" t="str">
        <f t="shared" si="35"/>
        <v/>
      </c>
      <c r="CC186" s="153" t="str">
        <f t="shared" si="36"/>
        <v/>
      </c>
      <c r="CD186" s="153" t="str">
        <f t="shared" si="37"/>
        <v/>
      </c>
      <c r="CE186" s="154" t="str">
        <f t="shared" si="38"/>
        <v/>
      </c>
      <c r="CF186" s="154" t="str">
        <f t="shared" si="39"/>
        <v/>
      </c>
      <c r="CG186" s="154" t="str">
        <f t="shared" si="40"/>
        <v/>
      </c>
      <c r="CH186" s="308" t="str">
        <f t="shared" si="41"/>
        <v/>
      </c>
    </row>
    <row r="187">
      <c r="A187" s="103" t="s">
        <v>276</v>
      </c>
      <c r="B187" s="104" t="s">
        <v>92</v>
      </c>
      <c r="C187" s="468">
        <v>1319011.0</v>
      </c>
      <c r="D187" s="161">
        <v>0.0</v>
      </c>
      <c r="E187" s="294">
        <v>900.202641</v>
      </c>
      <c r="F187" s="295">
        <v>55.93460215</v>
      </c>
      <c r="G187" s="295">
        <v>238.8466502</v>
      </c>
      <c r="H187" s="108">
        <v>294.7812523</v>
      </c>
      <c r="I187" s="109">
        <v>238.071426</v>
      </c>
      <c r="J187" s="109">
        <v>612.816067</v>
      </c>
      <c r="K187" s="109">
        <v>850.8874934</v>
      </c>
      <c r="L187" s="112">
        <v>77.2299067</v>
      </c>
      <c r="M187" s="112">
        <v>80.6324409</v>
      </c>
      <c r="N187" s="112">
        <v>157.8623476</v>
      </c>
      <c r="O187" s="298">
        <v>0.0</v>
      </c>
      <c r="P187" s="114"/>
      <c r="Q187" s="114"/>
      <c r="R187" s="121" t="str">
        <f t="shared" si="4"/>
        <v/>
      </c>
      <c r="S187" s="116">
        <f t="shared" si="5"/>
        <v>0.3345096109</v>
      </c>
      <c r="T187" s="448"/>
      <c r="U187" s="449">
        <f t="shared" si="6"/>
        <v>0.4220357143</v>
      </c>
      <c r="V187" s="148"/>
      <c r="W187" s="120">
        <f t="shared" si="7"/>
        <v>0.8084736842</v>
      </c>
      <c r="X187" s="148"/>
      <c r="Y187" s="120">
        <f t="shared" si="8"/>
        <v>0.5938357143</v>
      </c>
      <c r="Z187" s="299"/>
      <c r="AA187" s="441"/>
      <c r="AB187" s="300" t="str">
        <f t="shared" si="9"/>
        <v/>
      </c>
      <c r="AC187" s="300">
        <f t="shared" si="10"/>
        <v>0.6375203308</v>
      </c>
      <c r="AD187" s="122">
        <v>0.0</v>
      </c>
      <c r="AE187" s="123">
        <v>0.06</v>
      </c>
      <c r="AF187" s="430">
        <v>0.0166</v>
      </c>
      <c r="AG187" s="124">
        <v>0.0027</v>
      </c>
      <c r="AH187" s="124">
        <v>0.402865823</v>
      </c>
      <c r="AI187" s="125">
        <v>0.0407</v>
      </c>
      <c r="AJ187" s="125">
        <v>0.394125317</v>
      </c>
      <c r="AK187" s="127">
        <v>0.0111</v>
      </c>
      <c r="AL187" s="127">
        <v>0.248291934</v>
      </c>
      <c r="AM187" s="302">
        <v>0.0</v>
      </c>
      <c r="AN187" s="149" t="str">
        <f>IFERROR(
  AVERAGEIFS(
    'New LF Efficacy'!$J:$J,
    'New LF Efficacy'!$D:$D, $A187,
    'New LF Efficacy'!$F:$F,"DEC", 
    'New LF Efficacy'!$W:$W,"&lt;2016",
    'New LF Efficacy'!$AA:$AA,""),
  ""
)</f>
        <v/>
      </c>
      <c r="AO187" s="115">
        <f t="shared" si="11"/>
        <v>0.31225</v>
      </c>
      <c r="AP187" s="149" t="str">
        <f>IFERROR(
AVERAGEIFS(
'New LF Efficacy'!$J:$J,
'New LF Efficacy'!$D:$D,$A187,
'New LF Efficacy'!$F:$F,"Albendazole &amp; DEC",
'New LF Efficacy'!$W:$W,"&lt;2016",
'New LF Efficacy'!$AA:$AA,""),
"")
</f>
        <v/>
      </c>
      <c r="AQ187" s="115">
        <f t="shared" si="12"/>
        <v>0.4</v>
      </c>
      <c r="AR187" s="149" t="str">
        <f>IFERROR(
AVERAGEIFS(
'New LF Efficacy'!$J:$J,
'New LF Efficacy'!$D:$D,$A187,
'New LF Efficacy'!$F:$F,"Albendazole &amp; Ivermectin", 
'New LF Efficacy'!$W:$W,"&lt;2016",
'New LF Efficacy'!$AA:$AA,""),"")</f>
        <v/>
      </c>
      <c r="AS187" s="115">
        <f t="shared" si="13"/>
        <v>0.2943125</v>
      </c>
      <c r="AT187" s="442" t="str">
        <f>IFERROR(AVERAGEIFS(
'Schist Efficacy'!$O:$O, 
'Schist Efficacy'!$C:$C,$A187, 
'Schist Efficacy'!$D:$D, "Praziquantel",
'Schist Efficacy'!$J:$J,"&lt;2016",
'Schist Efficacy'!$U:$U,""),
"")</f>
        <v/>
      </c>
      <c r="AU187" s="118">
        <f t="shared" si="14"/>
        <v>0.7206464759</v>
      </c>
      <c r="AV187" s="131" t="str">
        <f>IFERROR(AVERAGEIFS(
'STH Efficacy'!$AX:$AX, 
'STH Efficacy'!$AL:$AL, $A187, 
'STH Efficacy'!$AM:$AM, "Albendazole",
'STH Efficacy'!$AS:$AS,"&lt;2016",
'STH Efficacy'!$BP:$BP,""),
"")</f>
        <v/>
      </c>
      <c r="AW187" s="132">
        <f t="shared" si="15"/>
        <v>0.3816333333</v>
      </c>
      <c r="AX187" s="131" t="str">
        <f>IFERROR(AVERAGEIFS(
'STH Efficacy'!$AX:$AX, 
'STH Efficacy'!$AL:$AL, $A187, 
'STH Efficacy'!$AM:$AM, "Mebendazole",
'STH Efficacy'!$AS:$AS,"&lt;2016",
'STH Efficacy'!$BP:$BP,""),
"")</f>
        <v/>
      </c>
      <c r="AY187" s="132">
        <f t="shared" si="16"/>
        <v>0.4859375</v>
      </c>
      <c r="AZ187" s="131" t="str">
        <f>IFERROR(AVERAGEIFS(
'STH Efficacy'!$AX:$AX, 
'STH Efficacy'!$AL:$AL, $A187, 
'STH Efficacy'!$AM:$AM, "Albendazole &amp; Ivermectin",
'STH Efficacy'!$AS:$AS,"&lt;2016",
'STH Efficacy'!$BP:$BP,""),
"")</f>
        <v/>
      </c>
      <c r="BA187" s="133">
        <f t="shared" si="17"/>
        <v>0.47175</v>
      </c>
      <c r="BB187" s="443" t="str">
        <f>IFERROR(AVERAGEIFS(
'STH Efficacy'!$N:$N, 
'STH Efficacy'!$B:$B, $A187, 
'STH Efficacy'!$C:$C, "Albendazole",
'STH Efficacy'!$I:$I,"&lt;2016",
'STH Efficacy'!$AH:$AH,""),
"")</f>
        <v/>
      </c>
      <c r="BC187" s="135">
        <f t="shared" si="18"/>
        <v>0.8699166667</v>
      </c>
      <c r="BD187" s="443" t="str">
        <f>IFERROR(AVERAGEIFS(
'STH Efficacy'!$N:$N, 
'STH Efficacy'!$B:$B, $A187, 
'STH Efficacy'!$C:$C, "Mebendazole",
'STH Efficacy'!$I:$I,"&lt;2016",
'STH Efficacy'!$AH:$AH,""),
"")</f>
        <v/>
      </c>
      <c r="BE187" s="135">
        <f t="shared" si="19"/>
        <v>0.7092416667</v>
      </c>
      <c r="BF187" s="436" t="str">
        <f>IFERROR(AVERAGEIFS(
'STH Efficacy'!$CD:$CD, 
'STH Efficacy'!$BS:$BS, $A187, 
'STH Efficacy'!$BT:$BT, "Albendazole",
'STH Efficacy'!$BZ:$BZ,"&lt;2016",
'STH Efficacy'!$CU:$CU,""),
"")</f>
        <v/>
      </c>
      <c r="BG187" s="136">
        <f t="shared" si="20"/>
        <v>0.9066666667</v>
      </c>
      <c r="BH187" s="436" t="str">
        <f>IFERROR(AVERAGEIFS(
'STH Efficacy'!$CD:$CD, 
'STH Efficacy'!$BS:$BS, $A187, 
'STH Efficacy'!$BT:$BT, "Mebendazole",
'STH Efficacy'!$BZ:$BZ,"&lt;2016",
'STH Efficacy'!$CU:$CU,""),
"")</f>
        <v/>
      </c>
      <c r="BI187" s="136">
        <f t="shared" si="21"/>
        <v>0.8483333333</v>
      </c>
      <c r="BJ187" s="436" t="str">
        <f>IFERROR(AVERAGEIFS(
'STH Efficacy'!$CD:$CD, 
'STH Efficacy'!$BS:$BS, $A187, 
'STH Efficacy'!$BT:$BT, "Albendazole &amp; Ivermectin",
'STH Efficacy'!$BZ:$BZ,"&lt;2016",
'STH Efficacy'!$CU:$CU,""),
"")</f>
        <v/>
      </c>
      <c r="BK187" s="136">
        <f t="shared" si="22"/>
        <v>0.696</v>
      </c>
      <c r="BL187" s="444" t="str">
        <f>IFERROR(
  AVERAGEIFS(
    'NEW Onchocerciasis Efficacy'!$AO:$AO,
    'NEW Onchocerciasis Efficacy'!$C:$C,$A187,
    'NEW Onchocerciasis Efficacy'!$D:$D,"Ivermectin",
    'NEW Onchocerciasis Efficacy'!$AR:$AR,"&lt;2016",
    'NEW Onchocerciasis Efficacy'!$BG:$BG,"")
,"")</f>
        <v/>
      </c>
      <c r="BM187" s="304">
        <f t="shared" si="23"/>
        <v>0.8390421645</v>
      </c>
      <c r="BN187" s="439">
        <v>0.0</v>
      </c>
      <c r="BO187" s="139">
        <v>0.0</v>
      </c>
      <c r="BP187" s="140">
        <v>1.0</v>
      </c>
      <c r="BQ187" s="141">
        <f t="shared" si="24"/>
        <v>1</v>
      </c>
      <c r="BR187" s="104" t="str">
        <f t="shared" si="25"/>
        <v>0011</v>
      </c>
      <c r="BS187" s="104" t="str">
        <f t="shared" si="26"/>
        <v>T1</v>
      </c>
      <c r="BT187" s="142" t="str">
        <f t="shared" si="43"/>
        <v>ALB+PZQ or MBD+PZQ</v>
      </c>
      <c r="BU187" s="104" t="str">
        <f t="shared" si="28"/>
        <v/>
      </c>
      <c r="BV187" s="104" t="str">
        <f t="shared" si="29"/>
        <v>schist+sth</v>
      </c>
      <c r="BW187" s="150" t="str">
        <f t="shared" si="30"/>
        <v/>
      </c>
      <c r="BX187" s="150" t="str">
        <f t="shared" si="31"/>
        <v/>
      </c>
      <c r="BY187" s="151" t="str">
        <f t="shared" si="32"/>
        <v/>
      </c>
      <c r="BZ187" s="152">
        <f t="shared" si="33"/>
        <v>94.95006851</v>
      </c>
      <c r="CA187" s="152">
        <f t="shared" si="34"/>
        <v>133.0740801</v>
      </c>
      <c r="CB187" s="152" t="str">
        <f t="shared" si="35"/>
        <v/>
      </c>
      <c r="CC187" s="323">
        <f t="shared" si="36"/>
        <v>1219.210997</v>
      </c>
      <c r="CD187" s="323">
        <f t="shared" si="37"/>
        <v>765.9044813</v>
      </c>
      <c r="CE187" s="154">
        <f t="shared" si="38"/>
        <v>306.0902378</v>
      </c>
      <c r="CF187" s="154">
        <f t="shared" si="39"/>
        <v>250.4696444</v>
      </c>
      <c r="CG187" s="154" t="str">
        <f t="shared" si="40"/>
        <v/>
      </c>
      <c r="CH187" s="308" t="str">
        <f t="shared" si="41"/>
        <v/>
      </c>
    </row>
    <row r="188">
      <c r="A188" s="103" t="s">
        <v>277</v>
      </c>
      <c r="B188" s="104" t="s">
        <v>90</v>
      </c>
      <c r="C188" s="468">
        <v>9799186.0</v>
      </c>
      <c r="D188" s="161">
        <v>0.0</v>
      </c>
      <c r="E188" s="294">
        <v>0.0</v>
      </c>
      <c r="F188" s="307">
        <v>0.0</v>
      </c>
      <c r="G188" s="309">
        <v>0.0</v>
      </c>
      <c r="H188" s="108">
        <v>0.0</v>
      </c>
      <c r="I188" s="109">
        <v>0.0</v>
      </c>
      <c r="J188" s="109">
        <v>0.0</v>
      </c>
      <c r="K188" s="109">
        <v>0.0</v>
      </c>
      <c r="L188" s="112">
        <v>0.0</v>
      </c>
      <c r="M188" s="112">
        <v>0.0</v>
      </c>
      <c r="N188" s="112">
        <v>0.0</v>
      </c>
      <c r="O188" s="298">
        <v>0.0</v>
      </c>
      <c r="P188" s="114"/>
      <c r="Q188" s="114"/>
      <c r="R188" s="121" t="str">
        <f t="shared" si="4"/>
        <v/>
      </c>
      <c r="S188" s="116">
        <f t="shared" si="5"/>
        <v>0.5709301448</v>
      </c>
      <c r="T188" s="117"/>
      <c r="U188" s="118">
        <f t="shared" si="6"/>
        <v>0.4791888889</v>
      </c>
      <c r="V188" s="148"/>
      <c r="W188" s="120">
        <f t="shared" si="7"/>
        <v>0.0223</v>
      </c>
      <c r="X188" s="148"/>
      <c r="Y188" s="120">
        <f t="shared" si="8"/>
        <v>0.598275</v>
      </c>
      <c r="Z188" s="299"/>
      <c r="AA188" s="441"/>
      <c r="AB188" s="300" t="str">
        <f t="shared" si="9"/>
        <v/>
      </c>
      <c r="AC188" s="300">
        <f t="shared" si="10"/>
        <v>0.6890056172</v>
      </c>
      <c r="AD188" s="122">
        <v>0.0</v>
      </c>
      <c r="AE188" s="123">
        <v>0.0</v>
      </c>
      <c r="AF188" s="430">
        <v>0.0</v>
      </c>
      <c r="AG188" s="316">
        <v>0.0</v>
      </c>
      <c r="AH188" s="316">
        <v>0.0</v>
      </c>
      <c r="AI188" s="317">
        <v>0.0</v>
      </c>
      <c r="AJ188" s="317">
        <v>0.0</v>
      </c>
      <c r="AK188" s="319">
        <v>0.0</v>
      </c>
      <c r="AL188" s="319">
        <v>0.0</v>
      </c>
      <c r="AM188" s="302">
        <v>0.0</v>
      </c>
      <c r="AN188" s="149" t="str">
        <f>IFERROR(
  AVERAGEIFS(
    'New LF Efficacy'!$J:$J,
    'New LF Efficacy'!$D:$D, $A188,
    'New LF Efficacy'!$F:$F,"DEC", 
    'New LF Efficacy'!$W:$W,"&lt;2016",
    'New LF Efficacy'!$AA:$AA,""),
  ""
)</f>
        <v/>
      </c>
      <c r="AO188" s="115">
        <f t="shared" si="11"/>
        <v>0.3573520833</v>
      </c>
      <c r="AP188" s="149" t="str">
        <f>IFERROR(
AVERAGEIFS(
'New LF Efficacy'!$J:$J,
'New LF Efficacy'!$D:$D,$A188,
'New LF Efficacy'!$F:$F,"Albendazole &amp; DEC",
'New LF Efficacy'!$W:$W,"&lt;2016",
'New LF Efficacy'!$AA:$AA,""),
"")
</f>
        <v/>
      </c>
      <c r="AQ188" s="115">
        <f t="shared" si="12"/>
        <v>0.5143541667</v>
      </c>
      <c r="AR188" s="149" t="str">
        <f>IFERROR(
AVERAGEIFS(
'New LF Efficacy'!$J:$J,
'New LF Efficacy'!$D:$D,$A188,
'New LF Efficacy'!$F:$F,"Albendazole &amp; Ivermectin", 
'New LF Efficacy'!$W:$W,"&lt;2016",
'New LF Efficacy'!$AA:$AA,""),"")</f>
        <v/>
      </c>
      <c r="AS188" s="115">
        <f t="shared" si="13"/>
        <v>0.37153125</v>
      </c>
      <c r="AT188" s="442" t="str">
        <f>IFERROR(AVERAGEIFS(
'Schist Efficacy'!$O:$O, 
'Schist Efficacy'!$C:$C,$A188, 
'Schist Efficacy'!$D:$D, "Praziquantel",
'Schist Efficacy'!$J:$J,"&lt;2016",
'Schist Efficacy'!$U:$U,""),
"")</f>
        <v/>
      </c>
      <c r="AU188" s="118">
        <f t="shared" si="14"/>
        <v>0.655</v>
      </c>
      <c r="AV188" s="131" t="str">
        <f>IFERROR(AVERAGEIFS(
'STH Efficacy'!$AX:$AX, 
'STH Efficacy'!$AL:$AL, $A188, 
'STH Efficacy'!$AM:$AM, "Albendazole",
'STH Efficacy'!$AS:$AS,"&lt;2016",
'STH Efficacy'!$BP:$BP,""),
"")</f>
        <v/>
      </c>
      <c r="AW188" s="132">
        <f t="shared" si="15"/>
        <v>0.4143846154</v>
      </c>
      <c r="AX188" s="131" t="str">
        <f>IFERROR(AVERAGEIFS(
'STH Efficacy'!$AX:$AX, 
'STH Efficacy'!$AL:$AL, $A188, 
'STH Efficacy'!$AM:$AM, "Mebendazole",
'STH Efficacy'!$AS:$AS,"&lt;2016",
'STH Efficacy'!$BP:$BP,""),
"")</f>
        <v/>
      </c>
      <c r="AY188" s="132">
        <f t="shared" si="16"/>
        <v>0.4691770833</v>
      </c>
      <c r="AZ188" s="131" t="str">
        <f>IFERROR(AVERAGEIFS(
'STH Efficacy'!$AX:$AX, 
'STH Efficacy'!$AL:$AL, $A188, 
'STH Efficacy'!$AM:$AM, "Albendazole &amp; Ivermectin",
'STH Efficacy'!$AS:$AS,"&lt;2016",
'STH Efficacy'!$BP:$BP,""),
"")</f>
        <v/>
      </c>
      <c r="BA188" s="133">
        <f t="shared" si="17"/>
        <v>0.597625</v>
      </c>
      <c r="BB188" s="443" t="str">
        <f>IFERROR(AVERAGEIFS(
'STH Efficacy'!$N:$N, 
'STH Efficacy'!$B:$B, $A188, 
'STH Efficacy'!$C:$C, "Albendazole",
'STH Efficacy'!$I:$I,"&lt;2016",
'STH Efficacy'!$AH:$AH,""),
"")</f>
        <v/>
      </c>
      <c r="BC188" s="135">
        <f t="shared" si="18"/>
        <v>0.7613712121</v>
      </c>
      <c r="BD188" s="443" t="str">
        <f>IFERROR(AVERAGEIFS(
'STH Efficacy'!$N:$N, 
'STH Efficacy'!$B:$B, $A188, 
'STH Efficacy'!$C:$C, "Mebendazole",
'STH Efficacy'!$I:$I,"&lt;2016",
'STH Efficacy'!$AH:$AH,""),
"")</f>
        <v/>
      </c>
      <c r="BE188" s="135">
        <f t="shared" si="19"/>
        <v>0.4362466667</v>
      </c>
      <c r="BF188" s="436" t="str">
        <f>IFERROR(AVERAGEIFS(
'STH Efficacy'!$CD:$CD, 
'STH Efficacy'!$BS:$BS, $A188, 
'STH Efficacy'!$BT:$BT, "Albendazole",
'STH Efficacy'!$BZ:$BZ,"&lt;2016",
'STH Efficacy'!$CU:$CU,""),
"")</f>
        <v/>
      </c>
      <c r="BG188" s="136">
        <f t="shared" si="20"/>
        <v>0.9216027778</v>
      </c>
      <c r="BH188" s="436" t="str">
        <f>IFERROR(AVERAGEIFS(
'STH Efficacy'!$CD:$CD, 
'STH Efficacy'!$BS:$BS, $A188, 
'STH Efficacy'!$BT:$BT, "Mebendazole",
'STH Efficacy'!$BZ:$BZ,"&lt;2016",
'STH Efficacy'!$CU:$CU,""),
"")</f>
        <v/>
      </c>
      <c r="BI188" s="136">
        <f t="shared" si="21"/>
        <v>0.8866041667</v>
      </c>
      <c r="BJ188" s="436" t="str">
        <f>IFERROR(AVERAGEIFS(
'STH Efficacy'!$CD:$CD, 
'STH Efficacy'!$BS:$BS, $A188, 
'STH Efficacy'!$BT:$BT, "Albendazole &amp; Ivermectin",
'STH Efficacy'!$BZ:$BZ,"&lt;2016",
'STH Efficacy'!$CU:$CU,""),
"")</f>
        <v/>
      </c>
      <c r="BK188" s="136">
        <f t="shared" si="22"/>
        <v>0.848</v>
      </c>
      <c r="BL188" s="444" t="str">
        <f>IFERROR(
  AVERAGEIFS(
    'NEW Onchocerciasis Efficacy'!$AO:$AO,
    'NEW Onchocerciasis Efficacy'!$C:$C,$A188,
    'NEW Onchocerciasis Efficacy'!$D:$D,"Ivermectin",
    'NEW Onchocerciasis Efficacy'!$AR:$AR,"&lt;2016",
    'NEW Onchocerciasis Efficacy'!$BG:$BG,"")
,"")</f>
        <v/>
      </c>
      <c r="BM188" s="304">
        <f t="shared" si="23"/>
        <v>0.7808368939</v>
      </c>
      <c r="BN188" s="439">
        <v>0.0</v>
      </c>
      <c r="BO188" s="139">
        <v>0.0</v>
      </c>
      <c r="BP188" s="140">
        <v>0.0</v>
      </c>
      <c r="BQ188" s="141">
        <f t="shared" si="24"/>
        <v>0</v>
      </c>
      <c r="BR188" s="104" t="str">
        <f t="shared" si="25"/>
        <v>0000</v>
      </c>
      <c r="BS188" s="104" t="str">
        <f t="shared" si="26"/>
        <v>no action required</v>
      </c>
      <c r="BT188" s="142" t="str">
        <f t="shared" si="43"/>
        <v/>
      </c>
      <c r="BU188" s="104" t="str">
        <f t="shared" si="28"/>
        <v/>
      </c>
      <c r="BV188" s="104" t="str">
        <f t="shared" si="29"/>
        <v>none</v>
      </c>
      <c r="BW188" s="150" t="str">
        <f t="shared" si="30"/>
        <v/>
      </c>
      <c r="BX188" s="150" t="str">
        <f t="shared" si="31"/>
        <v/>
      </c>
      <c r="BY188" s="151" t="str">
        <f t="shared" si="32"/>
        <v/>
      </c>
      <c r="BZ188" s="152" t="str">
        <f t="shared" si="33"/>
        <v/>
      </c>
      <c r="CA188" s="152" t="str">
        <f t="shared" si="34"/>
        <v/>
      </c>
      <c r="CB188" s="152" t="str">
        <f t="shared" si="35"/>
        <v/>
      </c>
      <c r="CC188" s="153" t="str">
        <f t="shared" si="36"/>
        <v/>
      </c>
      <c r="CD188" s="153" t="str">
        <f t="shared" si="37"/>
        <v/>
      </c>
      <c r="CE188" s="154" t="str">
        <f t="shared" si="38"/>
        <v/>
      </c>
      <c r="CF188" s="154" t="str">
        <f t="shared" si="39"/>
        <v/>
      </c>
      <c r="CG188" s="154" t="str">
        <f t="shared" si="40"/>
        <v/>
      </c>
      <c r="CH188" s="308" t="str">
        <f t="shared" si="41"/>
        <v/>
      </c>
    </row>
    <row r="189">
      <c r="A189" s="103" t="s">
        <v>278</v>
      </c>
      <c r="B189" s="104" t="s">
        <v>90</v>
      </c>
      <c r="C189" s="468">
        <v>8282396.0</v>
      </c>
      <c r="D189" s="161">
        <v>0.0</v>
      </c>
      <c r="E189" s="294">
        <v>0.0</v>
      </c>
      <c r="F189" s="307">
        <v>0.0</v>
      </c>
      <c r="G189" s="309">
        <v>0.0</v>
      </c>
      <c r="H189" s="108">
        <v>0.0</v>
      </c>
      <c r="I189" s="109">
        <v>0.0</v>
      </c>
      <c r="J189" s="109">
        <v>0.0</v>
      </c>
      <c r="K189" s="109">
        <v>0.0</v>
      </c>
      <c r="L189" s="112">
        <v>0.0</v>
      </c>
      <c r="M189" s="112">
        <v>0.0</v>
      </c>
      <c r="N189" s="112">
        <v>0.0</v>
      </c>
      <c r="O189" s="298">
        <v>0.0</v>
      </c>
      <c r="P189" s="114"/>
      <c r="Q189" s="114"/>
      <c r="R189" s="121" t="str">
        <f t="shared" si="4"/>
        <v/>
      </c>
      <c r="S189" s="116">
        <f t="shared" si="5"/>
        <v>0.5709301448</v>
      </c>
      <c r="T189" s="117"/>
      <c r="U189" s="118">
        <f t="shared" si="6"/>
        <v>0.4791888889</v>
      </c>
      <c r="V189" s="148"/>
      <c r="W189" s="120">
        <f t="shared" si="7"/>
        <v>0.0223</v>
      </c>
      <c r="X189" s="148"/>
      <c r="Y189" s="120">
        <f t="shared" si="8"/>
        <v>0.598275</v>
      </c>
      <c r="Z189" s="299"/>
      <c r="AA189" s="441"/>
      <c r="AB189" s="300" t="str">
        <f t="shared" si="9"/>
        <v/>
      </c>
      <c r="AC189" s="300">
        <f t="shared" si="10"/>
        <v>0.6890056172</v>
      </c>
      <c r="AD189" s="122">
        <v>0.0</v>
      </c>
      <c r="AE189" s="123">
        <v>0.0</v>
      </c>
      <c r="AF189" s="430">
        <v>0.0</v>
      </c>
      <c r="AG189" s="316">
        <v>0.0</v>
      </c>
      <c r="AH189" s="316">
        <v>0.0</v>
      </c>
      <c r="AI189" s="317">
        <v>0.0</v>
      </c>
      <c r="AJ189" s="317">
        <v>0.0</v>
      </c>
      <c r="AK189" s="319">
        <v>0.0</v>
      </c>
      <c r="AL189" s="319">
        <v>0.0</v>
      </c>
      <c r="AM189" s="302">
        <v>0.0</v>
      </c>
      <c r="AN189" s="149" t="str">
        <f>IFERROR(
  AVERAGEIFS(
    'New LF Efficacy'!$J:$J,
    'New LF Efficacy'!$D:$D, $A189,
    'New LF Efficacy'!$F:$F,"DEC", 
    'New LF Efficacy'!$W:$W,"&lt;2016",
    'New LF Efficacy'!$AA:$AA,""),
  ""
)</f>
        <v/>
      </c>
      <c r="AO189" s="115">
        <f t="shared" si="11"/>
        <v>0.3573520833</v>
      </c>
      <c r="AP189" s="149" t="str">
        <f>IFERROR(
AVERAGEIFS(
'New LF Efficacy'!$J:$J,
'New LF Efficacy'!$D:$D,$A189,
'New LF Efficacy'!$F:$F,"Albendazole &amp; DEC",
'New LF Efficacy'!$W:$W,"&lt;2016",
'New LF Efficacy'!$AA:$AA,""),
"")
</f>
        <v/>
      </c>
      <c r="AQ189" s="115">
        <f t="shared" si="12"/>
        <v>0.5143541667</v>
      </c>
      <c r="AR189" s="149" t="str">
        <f>IFERROR(
AVERAGEIFS(
'New LF Efficacy'!$J:$J,
'New LF Efficacy'!$D:$D,$A189,
'New LF Efficacy'!$F:$F,"Albendazole &amp; Ivermectin", 
'New LF Efficacy'!$W:$W,"&lt;2016",
'New LF Efficacy'!$AA:$AA,""),"")</f>
        <v/>
      </c>
      <c r="AS189" s="115">
        <f t="shared" si="13"/>
        <v>0.37153125</v>
      </c>
      <c r="AT189" s="442" t="str">
        <f>IFERROR(AVERAGEIFS(
'Schist Efficacy'!$O:$O, 
'Schist Efficacy'!$C:$C,$A189, 
'Schist Efficacy'!$D:$D, "Praziquantel",
'Schist Efficacy'!$J:$J,"&lt;2016",
'Schist Efficacy'!$U:$U,""),
"")</f>
        <v/>
      </c>
      <c r="AU189" s="118">
        <f t="shared" si="14"/>
        <v>0.655</v>
      </c>
      <c r="AV189" s="131" t="str">
        <f>IFERROR(AVERAGEIFS(
'STH Efficacy'!$AX:$AX, 
'STH Efficacy'!$AL:$AL, $A189, 
'STH Efficacy'!$AM:$AM, "Albendazole",
'STH Efficacy'!$AS:$AS,"&lt;2016",
'STH Efficacy'!$BP:$BP,""),
"")</f>
        <v/>
      </c>
      <c r="AW189" s="132">
        <f t="shared" si="15"/>
        <v>0.4143846154</v>
      </c>
      <c r="AX189" s="131" t="str">
        <f>IFERROR(AVERAGEIFS(
'STH Efficacy'!$AX:$AX, 
'STH Efficacy'!$AL:$AL, $A189, 
'STH Efficacy'!$AM:$AM, "Mebendazole",
'STH Efficacy'!$AS:$AS,"&lt;2016",
'STH Efficacy'!$BP:$BP,""),
"")</f>
        <v/>
      </c>
      <c r="AY189" s="132">
        <f t="shared" si="16"/>
        <v>0.4691770833</v>
      </c>
      <c r="AZ189" s="131" t="str">
        <f>IFERROR(AVERAGEIFS(
'STH Efficacy'!$AX:$AX, 
'STH Efficacy'!$AL:$AL, $A189, 
'STH Efficacy'!$AM:$AM, "Albendazole &amp; Ivermectin",
'STH Efficacy'!$AS:$AS,"&lt;2016",
'STH Efficacy'!$BP:$BP,""),
"")</f>
        <v/>
      </c>
      <c r="BA189" s="133">
        <f t="shared" si="17"/>
        <v>0.597625</v>
      </c>
      <c r="BB189" s="443" t="str">
        <f>IFERROR(AVERAGEIFS(
'STH Efficacy'!$N:$N, 
'STH Efficacy'!$B:$B, $A189, 
'STH Efficacy'!$C:$C, "Albendazole",
'STH Efficacy'!$I:$I,"&lt;2016",
'STH Efficacy'!$AH:$AH,""),
"")</f>
        <v/>
      </c>
      <c r="BC189" s="135">
        <f t="shared" si="18"/>
        <v>0.7613712121</v>
      </c>
      <c r="BD189" s="443" t="str">
        <f>IFERROR(AVERAGEIFS(
'STH Efficacy'!$N:$N, 
'STH Efficacy'!$B:$B, $A189, 
'STH Efficacy'!$C:$C, "Mebendazole",
'STH Efficacy'!$I:$I,"&lt;2016",
'STH Efficacy'!$AH:$AH,""),
"")</f>
        <v/>
      </c>
      <c r="BE189" s="135">
        <f t="shared" si="19"/>
        <v>0.4362466667</v>
      </c>
      <c r="BF189" s="436" t="str">
        <f>IFERROR(AVERAGEIFS(
'STH Efficacy'!$CD:$CD, 
'STH Efficacy'!$BS:$BS, $A189, 
'STH Efficacy'!$BT:$BT, "Albendazole",
'STH Efficacy'!$BZ:$BZ,"&lt;2016",
'STH Efficacy'!$CU:$CU,""),
"")</f>
        <v/>
      </c>
      <c r="BG189" s="136">
        <f t="shared" si="20"/>
        <v>0.9216027778</v>
      </c>
      <c r="BH189" s="436" t="str">
        <f>IFERROR(AVERAGEIFS(
'STH Efficacy'!$CD:$CD, 
'STH Efficacy'!$BS:$BS, $A189, 
'STH Efficacy'!$BT:$BT, "Mebendazole",
'STH Efficacy'!$BZ:$BZ,"&lt;2016",
'STH Efficacy'!$CU:$CU,""),
"")</f>
        <v/>
      </c>
      <c r="BI189" s="136">
        <f t="shared" si="21"/>
        <v>0.8866041667</v>
      </c>
      <c r="BJ189" s="436" t="str">
        <f>IFERROR(AVERAGEIFS(
'STH Efficacy'!$CD:$CD, 
'STH Efficacy'!$BS:$BS, $A189, 
'STH Efficacy'!$BT:$BT, "Albendazole &amp; Ivermectin",
'STH Efficacy'!$BZ:$BZ,"&lt;2016",
'STH Efficacy'!$CU:$CU,""),
"")</f>
        <v/>
      </c>
      <c r="BK189" s="136">
        <f t="shared" si="22"/>
        <v>0.848</v>
      </c>
      <c r="BL189" s="444" t="str">
        <f>IFERROR(
  AVERAGEIFS(
    'NEW Onchocerciasis Efficacy'!$AO:$AO,
    'NEW Onchocerciasis Efficacy'!$C:$C,$A189,
    'NEW Onchocerciasis Efficacy'!$D:$D,"Ivermectin",
    'NEW Onchocerciasis Efficacy'!$AR:$AR,"&lt;2016",
    'NEW Onchocerciasis Efficacy'!$BG:$BG,"")
,"")</f>
        <v/>
      </c>
      <c r="BM189" s="304">
        <f t="shared" si="23"/>
        <v>0.7808368939</v>
      </c>
      <c r="BN189" s="439">
        <v>0.0</v>
      </c>
      <c r="BO189" s="139">
        <v>0.0</v>
      </c>
      <c r="BP189" s="140">
        <v>0.0</v>
      </c>
      <c r="BQ189" s="141">
        <f t="shared" si="24"/>
        <v>0</v>
      </c>
      <c r="BR189" s="104" t="str">
        <f t="shared" si="25"/>
        <v>0000</v>
      </c>
      <c r="BS189" s="104" t="str">
        <f t="shared" si="26"/>
        <v>no action required</v>
      </c>
      <c r="BT189" s="142" t="str">
        <f t="shared" si="43"/>
        <v/>
      </c>
      <c r="BU189" s="104" t="str">
        <f t="shared" si="28"/>
        <v/>
      </c>
      <c r="BV189" s="104" t="str">
        <f t="shared" si="29"/>
        <v>none</v>
      </c>
      <c r="BW189" s="150" t="str">
        <f t="shared" si="30"/>
        <v/>
      </c>
      <c r="BX189" s="150" t="str">
        <f t="shared" si="31"/>
        <v/>
      </c>
      <c r="BY189" s="151" t="str">
        <f t="shared" si="32"/>
        <v/>
      </c>
      <c r="BZ189" s="152" t="str">
        <f t="shared" si="33"/>
        <v/>
      </c>
      <c r="CA189" s="152" t="str">
        <f t="shared" si="34"/>
        <v/>
      </c>
      <c r="CB189" s="152" t="str">
        <f t="shared" si="35"/>
        <v/>
      </c>
      <c r="CC189" s="153" t="str">
        <f t="shared" si="36"/>
        <v/>
      </c>
      <c r="CD189" s="153" t="str">
        <f t="shared" si="37"/>
        <v/>
      </c>
      <c r="CE189" s="154" t="str">
        <f t="shared" si="38"/>
        <v/>
      </c>
      <c r="CF189" s="154" t="str">
        <f t="shared" si="39"/>
        <v/>
      </c>
      <c r="CG189" s="154" t="str">
        <f t="shared" si="40"/>
        <v/>
      </c>
      <c r="CH189" s="308" t="str">
        <f t="shared" si="41"/>
        <v/>
      </c>
    </row>
    <row r="190">
      <c r="A190" s="103" t="s">
        <v>279</v>
      </c>
      <c r="B190" s="104" t="s">
        <v>88</v>
      </c>
      <c r="C190" s="468">
        <v>1.8734987E7</v>
      </c>
      <c r="D190" s="161">
        <v>0.0</v>
      </c>
      <c r="E190" s="294">
        <v>2493.575854</v>
      </c>
      <c r="F190" s="108"/>
      <c r="G190" s="108"/>
      <c r="H190" s="108">
        <v>13.07507785</v>
      </c>
      <c r="I190" s="109">
        <v>0.0</v>
      </c>
      <c r="J190" s="109">
        <v>0.0</v>
      </c>
      <c r="K190" s="109">
        <v>243.9012397</v>
      </c>
      <c r="L190" s="112">
        <v>252.4201636</v>
      </c>
      <c r="M190" s="112">
        <v>685.825646</v>
      </c>
      <c r="N190" s="112">
        <v>938.2458096</v>
      </c>
      <c r="O190" s="298">
        <v>0.0</v>
      </c>
      <c r="P190" s="114"/>
      <c r="Q190" s="114"/>
      <c r="R190" s="121" t="str">
        <f t="shared" si="4"/>
        <v/>
      </c>
      <c r="S190" s="116">
        <f t="shared" si="5"/>
        <v>0.5709301448</v>
      </c>
      <c r="T190" s="117"/>
      <c r="U190" s="118">
        <f t="shared" si="6"/>
        <v>0.739</v>
      </c>
      <c r="V190" s="148"/>
      <c r="W190" s="120">
        <f t="shared" si="7"/>
        <v>0.9933333333</v>
      </c>
      <c r="X190" s="469"/>
      <c r="Y190" s="120">
        <f t="shared" si="8"/>
        <v>0.5301</v>
      </c>
      <c r="Z190" s="299"/>
      <c r="AA190" s="441"/>
      <c r="AB190" s="300" t="str">
        <f t="shared" si="9"/>
        <v/>
      </c>
      <c r="AC190" s="300">
        <f t="shared" si="10"/>
        <v>0.4014082288</v>
      </c>
      <c r="AD190" s="314">
        <v>0.0</v>
      </c>
      <c r="AE190" s="123">
        <v>0.02</v>
      </c>
      <c r="AF190" s="430">
        <v>0.0027</v>
      </c>
      <c r="AG190" s="316">
        <v>0.0</v>
      </c>
      <c r="AH190" s="316">
        <v>0.054329014</v>
      </c>
      <c r="AI190" s="317">
        <v>0.0</v>
      </c>
      <c r="AJ190" s="317">
        <v>0.016273483</v>
      </c>
      <c r="AK190" s="319">
        <v>0.0</v>
      </c>
      <c r="AL190" s="319">
        <v>0.18976729</v>
      </c>
      <c r="AM190" s="302">
        <v>0.0</v>
      </c>
      <c r="AN190" s="149" t="str">
        <f>IFERROR(
  AVERAGEIFS(
    'New LF Efficacy'!$J:$J,
    'New LF Efficacy'!$D:$D, $A190,
    'New LF Efficacy'!$F:$F,"DEC", 
    'New LF Efficacy'!$W:$W,"&lt;2016",
    'New LF Efficacy'!$AA:$AA,""),
  ""
)</f>
        <v/>
      </c>
      <c r="AO190" s="115">
        <f t="shared" si="11"/>
        <v>0.3573520833</v>
      </c>
      <c r="AP190" s="149" t="str">
        <f>IFERROR(
AVERAGEIFS(
'New LF Efficacy'!$J:$J,
'New LF Efficacy'!$D:$D,$A190,
'New LF Efficacy'!$F:$F,"Albendazole &amp; DEC",
'New LF Efficacy'!$W:$W,"&lt;2016",
'New LF Efficacy'!$AA:$AA,""),
"")
</f>
        <v/>
      </c>
      <c r="AQ190" s="115">
        <f t="shared" si="12"/>
        <v>0.7935</v>
      </c>
      <c r="AR190" s="149" t="str">
        <f>IFERROR(
AVERAGEIFS(
'New LF Efficacy'!$J:$J,
'New LF Efficacy'!$D:$D,$A190,
'New LF Efficacy'!$F:$F,"Albendazole &amp; Ivermectin", 
'New LF Efficacy'!$W:$W,"&lt;2016",
'New LF Efficacy'!$AA:$AA,""),"")</f>
        <v/>
      </c>
      <c r="AS190" s="115">
        <f t="shared" si="13"/>
        <v>0.37153125</v>
      </c>
      <c r="AT190" s="442" t="str">
        <f>IFERROR(AVERAGEIFS(
'Schist Efficacy'!$O:$O, 
'Schist Efficacy'!$C:$C,$A190, 
'Schist Efficacy'!$D:$D, "Praziquantel",
'Schist Efficacy'!$J:$J,"&lt;2016",
'Schist Efficacy'!$U:$U,""),
"")</f>
        <v/>
      </c>
      <c r="AU190" s="118">
        <f t="shared" si="14"/>
        <v>0.7763141026</v>
      </c>
      <c r="AV190" s="131" t="str">
        <f>IFERROR(AVERAGEIFS(
'STH Efficacy'!$AX:$AX, 
'STH Efficacy'!$AL:$AL, $A190, 
'STH Efficacy'!$AM:$AM, "Albendazole",
'STH Efficacy'!$AS:$AS,"&lt;2016",
'STH Efficacy'!$BP:$BP,""),
"")</f>
        <v/>
      </c>
      <c r="AW190" s="132">
        <f t="shared" si="15"/>
        <v>0.4143846154</v>
      </c>
      <c r="AX190" s="131" t="str">
        <f>IFERROR(AVERAGEIFS(
'STH Efficacy'!$AX:$AX, 
'STH Efficacy'!$AL:$AL, $A190, 
'STH Efficacy'!$AM:$AM, "Mebendazole",
'STH Efficacy'!$AS:$AS,"&lt;2016",
'STH Efficacy'!$BP:$BP,""),
"")</f>
        <v/>
      </c>
      <c r="AY190" s="132">
        <f t="shared" si="16"/>
        <v>0.4691770833</v>
      </c>
      <c r="AZ190" s="131" t="str">
        <f>IFERROR(AVERAGEIFS(
'STH Efficacy'!$AX:$AX, 
'STH Efficacy'!$AL:$AL, $A190, 
'STH Efficacy'!$AM:$AM, "Albendazole &amp; Ivermectin",
'STH Efficacy'!$AS:$AS,"&lt;2016",
'STH Efficacy'!$BP:$BP,""),
"")</f>
        <v/>
      </c>
      <c r="BA190" s="133">
        <f t="shared" si="17"/>
        <v>0.597625</v>
      </c>
      <c r="BB190" s="443" t="str">
        <f>IFERROR(AVERAGEIFS(
'STH Efficacy'!$N:$N, 
'STH Efficacy'!$B:$B, $A190, 
'STH Efficacy'!$C:$C, "Albendazole",
'STH Efficacy'!$I:$I,"&lt;2016",
'STH Efficacy'!$AH:$AH,""),
"")</f>
        <v/>
      </c>
      <c r="BC190" s="135">
        <f t="shared" si="18"/>
        <v>0.7613712121</v>
      </c>
      <c r="BD190" s="443" t="str">
        <f>IFERROR(AVERAGEIFS(
'STH Efficacy'!$N:$N, 
'STH Efficacy'!$B:$B, $A190, 
'STH Efficacy'!$C:$C, "Mebendazole",
'STH Efficacy'!$I:$I,"&lt;2016",
'STH Efficacy'!$AH:$AH,""),
"")</f>
        <v/>
      </c>
      <c r="BE190" s="135">
        <f t="shared" si="19"/>
        <v>0.4362466667</v>
      </c>
      <c r="BF190" s="436" t="str">
        <f>IFERROR(AVERAGEIFS(
'STH Efficacy'!$CD:$CD, 
'STH Efficacy'!$BS:$BS, $A190, 
'STH Efficacy'!$BT:$BT, "Albendazole",
'STH Efficacy'!$BZ:$BZ,"&lt;2016",
'STH Efficacy'!$CU:$CU,""),
"")</f>
        <v/>
      </c>
      <c r="BG190" s="136">
        <f t="shared" si="20"/>
        <v>0.955</v>
      </c>
      <c r="BH190" s="436" t="str">
        <f>IFERROR(AVERAGEIFS(
'STH Efficacy'!$CD:$CD, 
'STH Efficacy'!$BS:$BS, $A190, 
'STH Efficacy'!$BT:$BT, "Mebendazole",
'STH Efficacy'!$BZ:$BZ,"&lt;2016",
'STH Efficacy'!$CU:$CU,""),
"")</f>
        <v/>
      </c>
      <c r="BI190" s="136">
        <f t="shared" si="21"/>
        <v>1</v>
      </c>
      <c r="BJ190" s="436" t="str">
        <f>IFERROR(AVERAGEIFS(
'STH Efficacy'!$CD:$CD, 
'STH Efficacy'!$BS:$BS, $A190, 
'STH Efficacy'!$BT:$BT, "Albendazole &amp; Ivermectin",
'STH Efficacy'!$BZ:$BZ,"&lt;2016",
'STH Efficacy'!$CU:$CU,""),
"")</f>
        <v/>
      </c>
      <c r="BK190" s="136">
        <f t="shared" si="22"/>
        <v>0.848</v>
      </c>
      <c r="BL190" s="444" t="str">
        <f>IFERROR(
  AVERAGEIFS(
    'NEW Onchocerciasis Efficacy'!$AO:$AO,
    'NEW Onchocerciasis Efficacy'!$C:$C,$A190,
    'NEW Onchocerciasis Efficacy'!$D:$D,"Ivermectin",
    'NEW Onchocerciasis Efficacy'!$AR:$AR,"&lt;2016",
    'NEW Onchocerciasis Efficacy'!$BG:$BG,"")
,"")</f>
        <v/>
      </c>
      <c r="BM190" s="304">
        <f t="shared" si="23"/>
        <v>0.7808368939</v>
      </c>
      <c r="BN190" s="439">
        <v>0.0</v>
      </c>
      <c r="BO190" s="139">
        <v>0.0</v>
      </c>
      <c r="BP190" s="140">
        <v>0.0</v>
      </c>
      <c r="BQ190" s="141">
        <f t="shared" si="24"/>
        <v>0</v>
      </c>
      <c r="BR190" s="104" t="str">
        <f t="shared" si="25"/>
        <v>0000</v>
      </c>
      <c r="BS190" s="104" t="str">
        <f t="shared" si="26"/>
        <v>no action required</v>
      </c>
      <c r="BT190" s="142" t="str">
        <f t="shared" si="43"/>
        <v/>
      </c>
      <c r="BU190" s="104" t="str">
        <f t="shared" si="28"/>
        <v/>
      </c>
      <c r="BV190" s="104" t="str">
        <f t="shared" si="29"/>
        <v>none</v>
      </c>
      <c r="BW190" s="150" t="str">
        <f t="shared" si="30"/>
        <v/>
      </c>
      <c r="BX190" s="150" t="str">
        <f t="shared" si="31"/>
        <v/>
      </c>
      <c r="BY190" s="151" t="str">
        <f t="shared" si="32"/>
        <v/>
      </c>
      <c r="BZ190" s="152" t="str">
        <f t="shared" si="33"/>
        <v/>
      </c>
      <c r="CA190" s="152" t="str">
        <f t="shared" si="34"/>
        <v/>
      </c>
      <c r="CB190" s="152" t="str">
        <f t="shared" si="35"/>
        <v/>
      </c>
      <c r="CC190" s="153" t="str">
        <f t="shared" si="36"/>
        <v/>
      </c>
      <c r="CD190" s="153" t="str">
        <f t="shared" si="37"/>
        <v/>
      </c>
      <c r="CE190" s="154" t="str">
        <f t="shared" si="38"/>
        <v/>
      </c>
      <c r="CF190" s="154" t="str">
        <f t="shared" si="39"/>
        <v/>
      </c>
      <c r="CG190" s="154" t="str">
        <f t="shared" si="40"/>
        <v/>
      </c>
      <c r="CH190" s="308" t="str">
        <f t="shared" si="41"/>
        <v/>
      </c>
    </row>
    <row r="191">
      <c r="A191" s="103" t="s">
        <v>280</v>
      </c>
      <c r="B191" s="104" t="s">
        <v>90</v>
      </c>
      <c r="C191" s="468">
        <v>8548651.0</v>
      </c>
      <c r="D191" s="161">
        <v>0.0</v>
      </c>
      <c r="E191" s="294">
        <v>0.0</v>
      </c>
      <c r="F191" s="295">
        <v>4.13532E-4</v>
      </c>
      <c r="G191" s="295">
        <v>0.002246279</v>
      </c>
      <c r="H191" s="108">
        <v>0.002246279</v>
      </c>
      <c r="I191" s="109">
        <v>0.06859116</v>
      </c>
      <c r="J191" s="109">
        <v>0.07119846</v>
      </c>
      <c r="K191" s="109">
        <v>613.284422</v>
      </c>
      <c r="L191" s="112">
        <v>62.73035408</v>
      </c>
      <c r="M191" s="112">
        <v>68.06117591</v>
      </c>
      <c r="N191" s="112">
        <v>97.80399465</v>
      </c>
      <c r="O191" s="298">
        <v>0.0</v>
      </c>
      <c r="P191" s="114"/>
      <c r="Q191" s="114"/>
      <c r="R191" s="121" t="str">
        <f t="shared" si="4"/>
        <v/>
      </c>
      <c r="S191" s="116">
        <f t="shared" si="5"/>
        <v>0.5709301448</v>
      </c>
      <c r="T191" s="117"/>
      <c r="U191" s="118">
        <f t="shared" si="6"/>
        <v>0.4791888889</v>
      </c>
      <c r="V191" s="148"/>
      <c r="W191" s="120">
        <f t="shared" si="7"/>
        <v>0.0223</v>
      </c>
      <c r="X191" s="119">
        <v>1.0</v>
      </c>
      <c r="Y191" s="120">
        <f t="shared" si="8"/>
        <v>1</v>
      </c>
      <c r="Z191" s="299"/>
      <c r="AA191" s="441"/>
      <c r="AB191" s="300" t="str">
        <f t="shared" si="9"/>
        <v/>
      </c>
      <c r="AC191" s="300">
        <f t="shared" si="10"/>
        <v>0.6890056172</v>
      </c>
      <c r="AD191" s="122">
        <v>0.0</v>
      </c>
      <c r="AE191" s="123">
        <v>0.0</v>
      </c>
      <c r="AF191" s="430">
        <v>0.0</v>
      </c>
      <c r="AG191" s="124">
        <v>0.0</v>
      </c>
      <c r="AH191" s="124">
        <v>0.005784961</v>
      </c>
      <c r="AI191" s="125">
        <v>0.0</v>
      </c>
      <c r="AJ191" s="125">
        <v>1.18821E-5</v>
      </c>
      <c r="AK191" s="127">
        <v>0.0</v>
      </c>
      <c r="AL191" s="127">
        <v>0.122635995</v>
      </c>
      <c r="AM191" s="302">
        <v>0.0</v>
      </c>
      <c r="AN191" s="149" t="str">
        <f>IFERROR(
  AVERAGEIFS(
    'New LF Efficacy'!$J:$J,
    'New LF Efficacy'!$D:$D, $A191,
    'New LF Efficacy'!$F:$F,"DEC", 
    'New LF Efficacy'!$W:$W,"&lt;2016",
    'New LF Efficacy'!$AA:$AA,""),
  ""
)</f>
        <v/>
      </c>
      <c r="AO191" s="115">
        <f t="shared" si="11"/>
        <v>0.3573520833</v>
      </c>
      <c r="AP191" s="149" t="str">
        <f>IFERROR(
AVERAGEIFS(
'New LF Efficacy'!$J:$J,
'New LF Efficacy'!$D:$D,$A191,
'New LF Efficacy'!$F:$F,"Albendazole &amp; DEC",
'New LF Efficacy'!$W:$W,"&lt;2016",
'New LF Efficacy'!$AA:$AA,""),
"")
</f>
        <v/>
      </c>
      <c r="AQ191" s="115">
        <f t="shared" si="12"/>
        <v>0.5143541667</v>
      </c>
      <c r="AR191" s="149" t="str">
        <f>IFERROR(
AVERAGEIFS(
'New LF Efficacy'!$J:$J,
'New LF Efficacy'!$D:$D,$A191,
'New LF Efficacy'!$F:$F,"Albendazole &amp; Ivermectin", 
'New LF Efficacy'!$W:$W,"&lt;2016",
'New LF Efficacy'!$AA:$AA,""),"")</f>
        <v/>
      </c>
      <c r="AS191" s="115">
        <f t="shared" si="13"/>
        <v>0.37153125</v>
      </c>
      <c r="AT191" s="442" t="str">
        <f>IFERROR(AVERAGEIFS(
'Schist Efficacy'!$O:$O, 
'Schist Efficacy'!$C:$C,$A191, 
'Schist Efficacy'!$D:$D, "Praziquantel",
'Schist Efficacy'!$J:$J,"&lt;2016",
'Schist Efficacy'!$U:$U,""),
"")</f>
        <v/>
      </c>
      <c r="AU191" s="118">
        <f t="shared" si="14"/>
        <v>0.655</v>
      </c>
      <c r="AV191" s="131" t="str">
        <f>IFERROR(AVERAGEIFS(
'STH Efficacy'!$AX:$AX, 
'STH Efficacy'!$AL:$AL, $A191, 
'STH Efficacy'!$AM:$AM, "Albendazole",
'STH Efficacy'!$AS:$AS,"&lt;2016",
'STH Efficacy'!$BP:$BP,""),
"")</f>
        <v/>
      </c>
      <c r="AW191" s="132">
        <f t="shared" si="15"/>
        <v>0.4143846154</v>
      </c>
      <c r="AX191" s="131" t="str">
        <f>IFERROR(AVERAGEIFS(
'STH Efficacy'!$AX:$AX, 
'STH Efficacy'!$AL:$AL, $A191, 
'STH Efficacy'!$AM:$AM, "Mebendazole",
'STH Efficacy'!$AS:$AS,"&lt;2016",
'STH Efficacy'!$BP:$BP,""),
"")</f>
        <v/>
      </c>
      <c r="AY191" s="132">
        <f t="shared" si="16"/>
        <v>0.4691770833</v>
      </c>
      <c r="AZ191" s="131" t="str">
        <f>IFERROR(AVERAGEIFS(
'STH Efficacy'!$AX:$AX, 
'STH Efficacy'!$AL:$AL, $A191, 
'STH Efficacy'!$AM:$AM, "Albendazole &amp; Ivermectin",
'STH Efficacy'!$AS:$AS,"&lt;2016",
'STH Efficacy'!$BP:$BP,""),
"")</f>
        <v/>
      </c>
      <c r="BA191" s="133">
        <f t="shared" si="17"/>
        <v>0.597625</v>
      </c>
      <c r="BB191" s="443" t="str">
        <f>IFERROR(AVERAGEIFS(
'STH Efficacy'!$N:$N, 
'STH Efficacy'!$B:$B, $A191, 
'STH Efficacy'!$C:$C, "Albendazole",
'STH Efficacy'!$I:$I,"&lt;2016",
'STH Efficacy'!$AH:$AH,""),
"")</f>
        <v/>
      </c>
      <c r="BC191" s="135">
        <f t="shared" si="18"/>
        <v>0.7613712121</v>
      </c>
      <c r="BD191" s="443" t="str">
        <f>IFERROR(AVERAGEIFS(
'STH Efficacy'!$N:$N, 
'STH Efficacy'!$B:$B, $A191, 
'STH Efficacy'!$C:$C, "Mebendazole",
'STH Efficacy'!$I:$I,"&lt;2016",
'STH Efficacy'!$AH:$AH,""),
"")</f>
        <v/>
      </c>
      <c r="BE191" s="135">
        <f t="shared" si="19"/>
        <v>0.4362466667</v>
      </c>
      <c r="BF191" s="436" t="str">
        <f>IFERROR(AVERAGEIFS(
'STH Efficacy'!$CD:$CD, 
'STH Efficacy'!$BS:$BS, $A191, 
'STH Efficacy'!$BT:$BT, "Albendazole",
'STH Efficacy'!$BZ:$BZ,"&lt;2016",
'STH Efficacy'!$CU:$CU,""),
"")</f>
        <v/>
      </c>
      <c r="BG191" s="136">
        <f t="shared" si="20"/>
        <v>0.9216027778</v>
      </c>
      <c r="BH191" s="436" t="str">
        <f>IFERROR(AVERAGEIFS(
'STH Efficacy'!$CD:$CD, 
'STH Efficacy'!$BS:$BS, $A191, 
'STH Efficacy'!$BT:$BT, "Mebendazole",
'STH Efficacy'!$BZ:$BZ,"&lt;2016",
'STH Efficacy'!$CU:$CU,""),
"")</f>
        <v/>
      </c>
      <c r="BI191" s="136">
        <f t="shared" si="21"/>
        <v>0.8866041667</v>
      </c>
      <c r="BJ191" s="436" t="str">
        <f>IFERROR(AVERAGEIFS(
'STH Efficacy'!$CD:$CD, 
'STH Efficacy'!$BS:$BS, $A191, 
'STH Efficacy'!$BT:$BT, "Albendazole &amp; Ivermectin",
'STH Efficacy'!$BZ:$BZ,"&lt;2016",
'STH Efficacy'!$CU:$CU,""),
"")</f>
        <v/>
      </c>
      <c r="BK191" s="136">
        <f t="shared" si="22"/>
        <v>0.848</v>
      </c>
      <c r="BL191" s="444" t="str">
        <f>IFERROR(
  AVERAGEIFS(
    'NEW Onchocerciasis Efficacy'!$AO:$AO,
    'NEW Onchocerciasis Efficacy'!$C:$C,$A191,
    'NEW Onchocerciasis Efficacy'!$D:$D,"Ivermectin",
    'NEW Onchocerciasis Efficacy'!$AR:$AR,"&lt;2016",
    'NEW Onchocerciasis Efficacy'!$BG:$BG,"")
,"")</f>
        <v/>
      </c>
      <c r="BM191" s="304">
        <f t="shared" si="23"/>
        <v>0.7808368939</v>
      </c>
      <c r="BN191" s="439">
        <v>0.0</v>
      </c>
      <c r="BO191" s="139">
        <v>0.0</v>
      </c>
      <c r="BP191" s="140">
        <v>0.0</v>
      </c>
      <c r="BQ191" s="141">
        <f t="shared" si="24"/>
        <v>0</v>
      </c>
      <c r="BR191" s="104" t="str">
        <f t="shared" si="25"/>
        <v>0000</v>
      </c>
      <c r="BS191" s="104" t="str">
        <f t="shared" si="26"/>
        <v>no action required</v>
      </c>
      <c r="BT191" s="142" t="str">
        <f t="shared" si="43"/>
        <v/>
      </c>
      <c r="BU191" s="104" t="str">
        <f t="shared" si="28"/>
        <v/>
      </c>
      <c r="BV191" s="104" t="str">
        <f t="shared" si="29"/>
        <v>none</v>
      </c>
      <c r="BW191" s="150" t="str">
        <f t="shared" si="30"/>
        <v/>
      </c>
      <c r="BX191" s="150" t="str">
        <f t="shared" si="31"/>
        <v/>
      </c>
      <c r="BY191" s="151" t="str">
        <f t="shared" si="32"/>
        <v/>
      </c>
      <c r="BZ191" s="152" t="str">
        <f t="shared" si="33"/>
        <v/>
      </c>
      <c r="CA191" s="152" t="str">
        <f t="shared" si="34"/>
        <v/>
      </c>
      <c r="CB191" s="152" t="str">
        <f t="shared" si="35"/>
        <v/>
      </c>
      <c r="CC191" s="153" t="str">
        <f t="shared" si="36"/>
        <v/>
      </c>
      <c r="CD191" s="153" t="str">
        <f t="shared" si="37"/>
        <v/>
      </c>
      <c r="CE191" s="154" t="str">
        <f t="shared" si="38"/>
        <v/>
      </c>
      <c r="CF191" s="154" t="str">
        <f t="shared" si="39"/>
        <v/>
      </c>
      <c r="CG191" s="154" t="str">
        <f t="shared" si="40"/>
        <v/>
      </c>
      <c r="CH191" s="308" t="str">
        <f t="shared" si="41"/>
        <v/>
      </c>
    </row>
    <row r="192">
      <c r="A192" s="155" t="s">
        <v>281</v>
      </c>
      <c r="B192" s="104" t="s">
        <v>92</v>
      </c>
      <c r="C192" s="468">
        <v>5.3879957E7</v>
      </c>
      <c r="D192" s="161">
        <v>39128.880000000005</v>
      </c>
      <c r="E192" s="294">
        <v>105738.5831</v>
      </c>
      <c r="F192" s="295">
        <v>264.8959165</v>
      </c>
      <c r="G192" s="322">
        <v>1254.428333</v>
      </c>
      <c r="H192" s="157">
        <v>1519.32425</v>
      </c>
      <c r="I192" s="110">
        <v>5636.35753</v>
      </c>
      <c r="J192" s="110">
        <v>15672.8993</v>
      </c>
      <c r="K192" s="110">
        <v>21309.25687</v>
      </c>
      <c r="L192" s="111">
        <v>14589.97202</v>
      </c>
      <c r="M192" s="112">
        <v>2124.362246</v>
      </c>
      <c r="N192" s="112">
        <v>16714.33426</v>
      </c>
      <c r="O192" s="298">
        <v>16194.25731</v>
      </c>
      <c r="P192" s="160">
        <v>2.6962041E7</v>
      </c>
      <c r="Q192" s="160">
        <v>1.9715866E7</v>
      </c>
      <c r="R192" s="121">
        <f t="shared" si="4"/>
        <v>0.7312453089</v>
      </c>
      <c r="S192" s="116">
        <f t="shared" si="5"/>
        <v>0.7312453089</v>
      </c>
      <c r="T192" s="118">
        <v>0.363</v>
      </c>
      <c r="U192" s="118">
        <f t="shared" si="6"/>
        <v>0.363</v>
      </c>
      <c r="V192" s="119">
        <v>1.0</v>
      </c>
      <c r="W192" s="120">
        <f t="shared" si="7"/>
        <v>1</v>
      </c>
      <c r="X192" s="119">
        <v>0.7267</v>
      </c>
      <c r="Y192" s="120">
        <f t="shared" si="8"/>
        <v>0.7267</v>
      </c>
      <c r="Z192" s="310">
        <v>5657719.0</v>
      </c>
      <c r="AA192" s="310">
        <v>3640830.0</v>
      </c>
      <c r="AB192" s="300">
        <f t="shared" si="9"/>
        <v>0.6435155228</v>
      </c>
      <c r="AC192" s="300">
        <f t="shared" si="10"/>
        <v>0.6435155228</v>
      </c>
      <c r="AD192" s="122">
        <v>0.0182</v>
      </c>
      <c r="AE192" s="123">
        <v>0.2</v>
      </c>
      <c r="AF192" s="430">
        <v>0.112</v>
      </c>
      <c r="AG192" s="316">
        <v>0.0</v>
      </c>
      <c r="AH192" s="316">
        <v>0.101610659</v>
      </c>
      <c r="AI192" s="317">
        <v>0.0</v>
      </c>
      <c r="AJ192" s="317">
        <v>0.241816125</v>
      </c>
      <c r="AK192" s="319">
        <v>0.0</v>
      </c>
      <c r="AL192" s="319">
        <v>0.052301421</v>
      </c>
      <c r="AM192" s="302">
        <v>0.004</v>
      </c>
      <c r="AN192" s="149">
        <f>IFERROR(
  AVERAGEIFS(
    'New LF Efficacy'!$J:$J,
    'New LF Efficacy'!$D:$D, $A192,
    'New LF Efficacy'!$F:$F,"DEC", 
    'New LF Efficacy'!$W:$W,"&lt;2016",
    'New LF Efficacy'!$AA:$AA,""),
  ""
)</f>
        <v>0.106</v>
      </c>
      <c r="AO192" s="115">
        <f t="shared" si="11"/>
        <v>0.106</v>
      </c>
      <c r="AP192" s="149">
        <f>IFERROR(
AVERAGEIFS(
'New LF Efficacy'!$J:$J,
'New LF Efficacy'!$D:$D,$A192,
'New LF Efficacy'!$F:$F,"Albendazole &amp; DEC",
'New LF Efficacy'!$W:$W,"&lt;2016",
'New LF Efficacy'!$AA:$AA,""),
"")
</f>
        <v>0.263</v>
      </c>
      <c r="AQ192" s="115">
        <f t="shared" si="12"/>
        <v>0.263</v>
      </c>
      <c r="AR192" s="149">
        <f>IFERROR(
AVERAGEIFS(
'New LF Efficacy'!$J:$J,
'New LF Efficacy'!$D:$D,$A192,
'New LF Efficacy'!$F:$F,"Albendazole &amp; Ivermectin", 
'New LF Efficacy'!$W:$W,"&lt;2016",
'New LF Efficacy'!$AA:$AA,""),"")</f>
        <v>0.194</v>
      </c>
      <c r="AS192" s="115">
        <f t="shared" si="13"/>
        <v>0.194</v>
      </c>
      <c r="AT192" s="442">
        <f>IFERROR(AVERAGEIFS(
'Schist Efficacy'!$O:$O, 
'Schist Efficacy'!$C:$C,$A192, 
'Schist Efficacy'!$D:$D, "Praziquantel",
'Schist Efficacy'!$J:$J,"&lt;2016",
'Schist Efficacy'!$U:$U,""),
"")</f>
        <v>0.883</v>
      </c>
      <c r="AU192" s="118">
        <f t="shared" si="14"/>
        <v>0.883</v>
      </c>
      <c r="AV192" s="131">
        <f>IFERROR(AVERAGEIFS(
'STH Efficacy'!$AX:$AX, 
'STH Efficacy'!$AL:$AL, $A192, 
'STH Efficacy'!$AM:$AM, "Albendazole",
'STH Efficacy'!$AS:$AS,"&lt;2016",
'STH Efficacy'!$BP:$BP,""),
"")</f>
        <v>0.2855</v>
      </c>
      <c r="AW192" s="132">
        <f t="shared" si="15"/>
        <v>0.2855</v>
      </c>
      <c r="AX192" s="131">
        <f>IFERROR(AVERAGEIFS(
'STH Efficacy'!$AX:$AX, 
'STH Efficacy'!$AL:$AL, $A192, 
'STH Efficacy'!$AM:$AM, "Mebendazole",
'STH Efficacy'!$AS:$AS,"&lt;2016",
'STH Efficacy'!$BP:$BP,""),
"")</f>
        <v>0.16775</v>
      </c>
      <c r="AY192" s="132">
        <f t="shared" si="16"/>
        <v>0.16775</v>
      </c>
      <c r="AZ192" s="131">
        <f>IFERROR(AVERAGEIFS(
'STH Efficacy'!$AX:$AX, 
'STH Efficacy'!$AL:$AL, $A192, 
'STH Efficacy'!$AM:$AM, "Albendazole &amp; Ivermectin",
'STH Efficacy'!$AS:$AS,"&lt;2016",
'STH Efficacy'!$BP:$BP,""),
"")</f>
        <v>0.2375</v>
      </c>
      <c r="BA192" s="133">
        <f t="shared" si="17"/>
        <v>0.2375</v>
      </c>
      <c r="BB192" s="443">
        <f>IFERROR(AVERAGEIFS(
'STH Efficacy'!$N:$N, 
'STH Efficacy'!$B:$B, $A192, 
'STH Efficacy'!$C:$C, "Albendazole",
'STH Efficacy'!$I:$I,"&lt;2016",
'STH Efficacy'!$AH:$AH,""),
"")</f>
        <v>0.922</v>
      </c>
      <c r="BC192" s="135">
        <f t="shared" si="18"/>
        <v>0.922</v>
      </c>
      <c r="BD192" s="443">
        <f>IFERROR(AVERAGEIFS(
'STH Efficacy'!$N:$N, 
'STH Efficacy'!$B:$B, $A192, 
'STH Efficacy'!$C:$C, "Mebendazole",
'STH Efficacy'!$I:$I,"&lt;2016",
'STH Efficacy'!$AH:$AH,""),
"")</f>
        <v>0.5786666667</v>
      </c>
      <c r="BE192" s="135">
        <f t="shared" si="19"/>
        <v>0.5786666667</v>
      </c>
      <c r="BF192" s="436">
        <f>IFERROR(AVERAGEIFS(
'STH Efficacy'!$CD:$CD, 
'STH Efficacy'!$BS:$BS, $A192, 
'STH Efficacy'!$BT:$BT, "Albendazole",
'STH Efficacy'!$BZ:$BZ,"&lt;2016",
'STH Efficacy'!$CU:$CU,""),
"")</f>
        <v>1</v>
      </c>
      <c r="BG192" s="136">
        <f t="shared" si="20"/>
        <v>1</v>
      </c>
      <c r="BH192" s="436">
        <f>IFERROR(AVERAGEIFS(
'STH Efficacy'!$CD:$CD, 
'STH Efficacy'!$BS:$BS, $A192, 
'STH Efficacy'!$BT:$BT, "Mebendazole",
'STH Efficacy'!$BZ:$BZ,"&lt;2016",
'STH Efficacy'!$CU:$CU,""),
"")</f>
        <v>0.605</v>
      </c>
      <c r="BI192" s="136">
        <f t="shared" si="21"/>
        <v>0.605</v>
      </c>
      <c r="BJ192" s="436">
        <f>IFERROR(AVERAGEIFS(
'STH Efficacy'!$CD:$CD, 
'STH Efficacy'!$BS:$BS, $A192, 
'STH Efficacy'!$BT:$BT, "Albendazole &amp; Ivermectin",
'STH Efficacy'!$BZ:$BZ,"&lt;2016",
'STH Efficacy'!$CU:$CU,""),
"")</f>
        <v>0.696</v>
      </c>
      <c r="BK192" s="136">
        <f t="shared" si="22"/>
        <v>0.696</v>
      </c>
      <c r="BL192" s="444" t="str">
        <f>IFERROR(
  AVERAGEIFS(
    'NEW Onchocerciasis Efficacy'!$AO:$AO,
    'NEW Onchocerciasis Efficacy'!$C:$C,$A192,
    'NEW Onchocerciasis Efficacy'!$D:$D,"Ivermectin",
    'NEW Onchocerciasis Efficacy'!$AR:$AR,"&lt;2016",
    'NEW Onchocerciasis Efficacy'!$BG:$BG,"")
,"")</f>
        <v/>
      </c>
      <c r="BM192" s="304">
        <f t="shared" si="23"/>
        <v>0.8390421645</v>
      </c>
      <c r="BN192" s="439">
        <v>1.0</v>
      </c>
      <c r="BO192" s="139">
        <v>0.0</v>
      </c>
      <c r="BP192" s="140">
        <v>1.0</v>
      </c>
      <c r="BQ192" s="141">
        <f t="shared" si="24"/>
        <v>0</v>
      </c>
      <c r="BR192" s="104" t="str">
        <f t="shared" si="25"/>
        <v>1010</v>
      </c>
      <c r="BS192" s="104" t="str">
        <f t="shared" si="26"/>
        <v>MDA1/2+T2</v>
      </c>
      <c r="BT192" s="142" t="str">
        <f t="shared" si="43"/>
        <v>IVM+ALB or DEC +ALB</v>
      </c>
      <c r="BU192" s="104" t="str">
        <f t="shared" si="28"/>
        <v>PZQ</v>
      </c>
      <c r="BV192" s="104" t="str">
        <f t="shared" si="29"/>
        <v>lf+schist </v>
      </c>
      <c r="BW192" s="150" t="str">
        <f t="shared" si="30"/>
        <v/>
      </c>
      <c r="BX192" s="312">
        <f t="shared" si="31"/>
        <v>6468.519605</v>
      </c>
      <c r="BY192" s="162">
        <f t="shared" si="32"/>
        <v>49880.39563</v>
      </c>
      <c r="BZ192" s="152" t="str">
        <f t="shared" si="33"/>
        <v/>
      </c>
      <c r="CA192" s="152" t="str">
        <f t="shared" si="34"/>
        <v/>
      </c>
      <c r="CB192" s="152" t="str">
        <f t="shared" si="35"/>
        <v/>
      </c>
      <c r="CC192" s="153" t="str">
        <f t="shared" si="36"/>
        <v/>
      </c>
      <c r="CD192" s="153" t="str">
        <f t="shared" si="37"/>
        <v/>
      </c>
      <c r="CE192" s="154" t="str">
        <f t="shared" si="38"/>
        <v/>
      </c>
      <c r="CF192" s="154" t="str">
        <f t="shared" si="39"/>
        <v/>
      </c>
      <c r="CG192" s="154" t="str">
        <f t="shared" si="40"/>
        <v/>
      </c>
      <c r="CH192" s="308" t="str">
        <f t="shared" si="41"/>
        <v/>
      </c>
    </row>
    <row r="193">
      <c r="A193" s="103" t="s">
        <v>282</v>
      </c>
      <c r="B193" s="104" t="s">
        <v>109</v>
      </c>
      <c r="C193" s="468">
        <v>6.86576E7</v>
      </c>
      <c r="D193" s="161">
        <v>62.559999999999995</v>
      </c>
      <c r="E193" s="294">
        <v>0.0</v>
      </c>
      <c r="F193" s="295">
        <v>1.259133061</v>
      </c>
      <c r="G193" s="295">
        <v>8.985887069</v>
      </c>
      <c r="H193" s="108">
        <v>10.24502013</v>
      </c>
      <c r="I193" s="109">
        <v>957.170721</v>
      </c>
      <c r="J193" s="110">
        <v>3763.69255</v>
      </c>
      <c r="K193" s="109">
        <v>4720.863272</v>
      </c>
      <c r="L193" s="112">
        <v>139.6504905</v>
      </c>
      <c r="M193" s="112">
        <v>167.1583872</v>
      </c>
      <c r="N193" s="112">
        <v>306.8088777</v>
      </c>
      <c r="O193" s="298">
        <v>0.0</v>
      </c>
      <c r="P193" s="156"/>
      <c r="Q193" s="156"/>
      <c r="R193" s="121" t="str">
        <f t="shared" si="4"/>
        <v/>
      </c>
      <c r="S193" s="116">
        <f t="shared" si="5"/>
        <v>0.7101615512</v>
      </c>
      <c r="T193" s="117"/>
      <c r="U193" s="118">
        <f t="shared" si="6"/>
        <v>0.2582</v>
      </c>
      <c r="V193" s="148"/>
      <c r="W193" s="120">
        <f t="shared" si="7"/>
        <v>0.6229125</v>
      </c>
      <c r="X193" s="148"/>
      <c r="Y193" s="120">
        <f t="shared" si="8"/>
        <v>0.8246625</v>
      </c>
      <c r="Z193" s="299"/>
      <c r="AA193" s="441"/>
      <c r="AB193" s="300" t="str">
        <f t="shared" si="9"/>
        <v/>
      </c>
      <c r="AC193" s="300">
        <f t="shared" si="10"/>
        <v>0.6890056172</v>
      </c>
      <c r="AD193" s="122">
        <v>0.0</v>
      </c>
      <c r="AE193" s="123">
        <v>0.0</v>
      </c>
      <c r="AF193" s="430">
        <v>0.0</v>
      </c>
      <c r="AG193" s="316">
        <v>0.0</v>
      </c>
      <c r="AH193" s="316">
        <v>0.029370259</v>
      </c>
      <c r="AI193" s="317">
        <v>0.0</v>
      </c>
      <c r="AJ193" s="317">
        <v>0.156115282</v>
      </c>
      <c r="AK193" s="319">
        <v>0.0</v>
      </c>
      <c r="AL193" s="319">
        <v>0.051867124</v>
      </c>
      <c r="AM193" s="302">
        <v>0.0</v>
      </c>
      <c r="AN193" s="149" t="str">
        <f>IFERROR(
  AVERAGEIFS(
    'New LF Efficacy'!$J:$J,
    'New LF Efficacy'!$D:$D, $A193,
    'New LF Efficacy'!$F:$F,"DEC", 
    'New LF Efficacy'!$W:$W,"&lt;2016",
    'New LF Efficacy'!$AA:$AA,""),
  ""
)</f>
        <v/>
      </c>
      <c r="AO193" s="115">
        <f t="shared" si="11"/>
        <v>0.478175</v>
      </c>
      <c r="AP193" s="149" t="str">
        <f>IFERROR(
AVERAGEIFS(
'New LF Efficacy'!$J:$J,
'New LF Efficacy'!$D:$D,$A193,
'New LF Efficacy'!$F:$F,"Albendazole &amp; DEC",
'New LF Efficacy'!$W:$W,"&lt;2016",
'New LF Efficacy'!$AA:$AA,""),
"")
</f>
        <v/>
      </c>
      <c r="AQ193" s="115">
        <f t="shared" si="12"/>
        <v>0.5831666667</v>
      </c>
      <c r="AR193" s="149" t="str">
        <f>IFERROR(
AVERAGEIFS(
'New LF Efficacy'!$J:$J,
'New LF Efficacy'!$D:$D,$A193,
'New LF Efficacy'!$F:$F,"Albendazole &amp; Ivermectin", 
'New LF Efficacy'!$W:$W,"&lt;2016",
'New LF Efficacy'!$AA:$AA,""),"")</f>
        <v/>
      </c>
      <c r="AS193" s="115">
        <f t="shared" si="13"/>
        <v>0.14</v>
      </c>
      <c r="AT193" s="442" t="str">
        <f>IFERROR(AVERAGEIFS(
'Schist Efficacy'!$O:$O, 
'Schist Efficacy'!$C:$C,$A193, 
'Schist Efficacy'!$D:$D, "Praziquantel",
'Schist Efficacy'!$J:$J,"&lt;2016",
'Schist Efficacy'!$U:$U,""),
"")</f>
        <v/>
      </c>
      <c r="AU193" s="118">
        <f t="shared" si="14"/>
        <v>0.743990088</v>
      </c>
      <c r="AV193" s="131">
        <f>IFERROR(AVERAGEIFS(
'STH Efficacy'!$AX:$AX, 
'STH Efficacy'!$AL:$AL, $A193, 
'STH Efficacy'!$AM:$AM, "Albendazole",
'STH Efficacy'!$AS:$AS,"&lt;2016",
'STH Efficacy'!$BP:$BP,""),
"")</f>
        <v>0.674</v>
      </c>
      <c r="AW193" s="132">
        <f t="shared" si="15"/>
        <v>0.674</v>
      </c>
      <c r="AX193" s="131">
        <f>IFERROR(AVERAGEIFS(
'STH Efficacy'!$AX:$AX, 
'STH Efficacy'!$AL:$AL, $A193, 
'STH Efficacy'!$AM:$AM, "Mebendazole",
'STH Efficacy'!$AS:$AS,"&lt;2016",
'STH Efficacy'!$BP:$BP,""),
"")</f>
        <v>0.3786666667</v>
      </c>
      <c r="AY193" s="132">
        <f t="shared" si="16"/>
        <v>0.3786666667</v>
      </c>
      <c r="AZ193" s="131" t="str">
        <f>IFERROR(AVERAGEIFS(
'STH Efficacy'!$AX:$AX, 
'STH Efficacy'!$AL:$AL, $A193, 
'STH Efficacy'!$AM:$AM, "Albendazole &amp; Ivermectin",
'STH Efficacy'!$AS:$AS,"&lt;2016",
'STH Efficacy'!$BP:$BP,""),
"")</f>
        <v/>
      </c>
      <c r="BA193" s="133">
        <f t="shared" si="17"/>
        <v>0.597625</v>
      </c>
      <c r="BB193" s="443">
        <f>IFERROR(AVERAGEIFS(
'STH Efficacy'!$N:$N, 
'STH Efficacy'!$B:$B, $A193, 
'STH Efficacy'!$C:$C, "Albendazole",
'STH Efficacy'!$I:$I,"&lt;2016",
'STH Efficacy'!$AH:$AH,""),
"")</f>
        <v>0.6476666667</v>
      </c>
      <c r="BC193" s="135">
        <f t="shared" si="18"/>
        <v>0.6476666667</v>
      </c>
      <c r="BD193" s="443">
        <f>IFERROR(AVERAGEIFS(
'STH Efficacy'!$N:$N, 
'STH Efficacy'!$B:$B, $A193, 
'STH Efficacy'!$C:$C, "Mebendazole",
'STH Efficacy'!$I:$I,"&lt;2016",
'STH Efficacy'!$AH:$AH,""),
"")</f>
        <v>0.131</v>
      </c>
      <c r="BE193" s="135">
        <f t="shared" si="19"/>
        <v>0.131</v>
      </c>
      <c r="BF193" s="436">
        <f>IFERROR(AVERAGEIFS(
'STH Efficacy'!$CD:$CD, 
'STH Efficacy'!$BS:$BS, $A193, 
'STH Efficacy'!$BT:$BT, "Albendazole",
'STH Efficacy'!$BZ:$BZ,"&lt;2016",
'STH Efficacy'!$CU:$CU,""),
"")</f>
        <v>1</v>
      </c>
      <c r="BG193" s="136">
        <f t="shared" si="20"/>
        <v>1</v>
      </c>
      <c r="BH193" s="436">
        <f>IFERROR(AVERAGEIFS(
'STH Efficacy'!$CD:$CD, 
'STH Efficacy'!$BS:$BS, $A193, 
'STH Efficacy'!$BT:$BT, "Mebendazole",
'STH Efficacy'!$BZ:$BZ,"&lt;2016",
'STH Efficacy'!$CU:$CU,""),
"")</f>
        <v>1</v>
      </c>
      <c r="BI193" s="136">
        <f t="shared" si="21"/>
        <v>1</v>
      </c>
      <c r="BJ193" s="436" t="str">
        <f>IFERROR(AVERAGEIFS(
'STH Efficacy'!$CD:$CD, 
'STH Efficacy'!$BS:$BS, $A193, 
'STH Efficacy'!$BT:$BT, "Albendazole &amp; Ivermectin",
'STH Efficacy'!$BZ:$BZ,"&lt;2016",
'STH Efficacy'!$CU:$CU,""),
"")</f>
        <v/>
      </c>
      <c r="BK193" s="136">
        <f t="shared" si="22"/>
        <v>0.848</v>
      </c>
      <c r="BL193" s="444" t="str">
        <f>IFERROR(
  AVERAGEIFS(
    'NEW Onchocerciasis Efficacy'!$AO:$AO,
    'NEW Onchocerciasis Efficacy'!$C:$C,$A193,
    'NEW Onchocerciasis Efficacy'!$D:$D,"Ivermectin",
    'NEW Onchocerciasis Efficacy'!$AR:$AR,"&lt;2016",
    'NEW Onchocerciasis Efficacy'!$BG:$BG,"")
,"")</f>
        <v/>
      </c>
      <c r="BM193" s="304">
        <f t="shared" si="23"/>
        <v>0.7808368939</v>
      </c>
      <c r="BN193" s="439">
        <v>0.0</v>
      </c>
      <c r="BO193" s="139">
        <v>1.0</v>
      </c>
      <c r="BP193" s="140">
        <v>1.0</v>
      </c>
      <c r="BQ193" s="141">
        <f t="shared" si="24"/>
        <v>0</v>
      </c>
      <c r="BR193" s="104" t="str">
        <f t="shared" si="25"/>
        <v>0110</v>
      </c>
      <c r="BS193" s="104" t="str">
        <f t="shared" si="26"/>
        <v>MDA3+T2</v>
      </c>
      <c r="BT193" s="142" t="str">
        <f t="shared" si="43"/>
        <v>IVM</v>
      </c>
      <c r="BU193" s="104" t="str">
        <f t="shared" si="28"/>
        <v>PZQ</v>
      </c>
      <c r="BV193" s="104" t="str">
        <f t="shared" si="29"/>
        <v>onch+schist</v>
      </c>
      <c r="BW193" s="150" t="str">
        <f t="shared" si="30"/>
        <v/>
      </c>
      <c r="BX193" s="150" t="str">
        <f t="shared" si="31"/>
        <v/>
      </c>
      <c r="BY193" s="162">
        <f t="shared" si="32"/>
        <v>0</v>
      </c>
      <c r="BZ193" s="152" t="str">
        <f t="shared" si="33"/>
        <v/>
      </c>
      <c r="CA193" s="152" t="str">
        <f t="shared" si="34"/>
        <v/>
      </c>
      <c r="CB193" s="152" t="str">
        <f t="shared" si="35"/>
        <v/>
      </c>
      <c r="CC193" s="153" t="str">
        <f t="shared" si="36"/>
        <v/>
      </c>
      <c r="CD193" s="153" t="str">
        <f t="shared" si="37"/>
        <v/>
      </c>
      <c r="CE193" s="154" t="str">
        <f t="shared" si="38"/>
        <v/>
      </c>
      <c r="CF193" s="154" t="str">
        <f t="shared" si="39"/>
        <v/>
      </c>
      <c r="CG193" s="154" t="str">
        <f t="shared" si="40"/>
        <v/>
      </c>
      <c r="CH193" s="313">
        <f t="shared" si="41"/>
        <v>0</v>
      </c>
    </row>
    <row r="194">
      <c r="A194" s="155" t="s">
        <v>283</v>
      </c>
      <c r="B194" s="104" t="s">
        <v>90</v>
      </c>
      <c r="C194" s="468">
        <v>2079308.0</v>
      </c>
      <c r="D194" s="161">
        <v>0.0</v>
      </c>
      <c r="E194" s="294">
        <v>0.0</v>
      </c>
      <c r="F194" s="163"/>
      <c r="G194" s="325"/>
      <c r="H194" s="108">
        <v>0.0</v>
      </c>
      <c r="I194" s="109">
        <v>0.0</v>
      </c>
      <c r="J194" s="109">
        <v>0.0</v>
      </c>
      <c r="K194" s="109">
        <v>0.0</v>
      </c>
      <c r="L194" s="112">
        <v>0.182363785</v>
      </c>
      <c r="M194" s="112">
        <v>0.072591258</v>
      </c>
      <c r="N194" s="112">
        <v>0.254955043</v>
      </c>
      <c r="O194" s="298">
        <v>0.0</v>
      </c>
      <c r="P194" s="114"/>
      <c r="Q194" s="114"/>
      <c r="R194" s="121" t="str">
        <f t="shared" si="4"/>
        <v/>
      </c>
      <c r="S194" s="116">
        <f t="shared" si="5"/>
        <v>0.5709301448</v>
      </c>
      <c r="T194" s="117"/>
      <c r="U194" s="118">
        <f t="shared" si="6"/>
        <v>0.4791888889</v>
      </c>
      <c r="V194" s="148"/>
      <c r="W194" s="120">
        <f t="shared" si="7"/>
        <v>0.0223</v>
      </c>
      <c r="X194" s="148"/>
      <c r="Y194" s="120">
        <f t="shared" si="8"/>
        <v>0.598275</v>
      </c>
      <c r="Z194" s="299"/>
      <c r="AA194" s="441"/>
      <c r="AB194" s="300" t="str">
        <f t="shared" si="9"/>
        <v/>
      </c>
      <c r="AC194" s="300">
        <f t="shared" si="10"/>
        <v>0.6890056172</v>
      </c>
      <c r="AD194" s="314">
        <v>0.0</v>
      </c>
      <c r="AE194" s="315">
        <v>0.0</v>
      </c>
      <c r="AF194" s="430">
        <v>0.0</v>
      </c>
      <c r="AG194" s="316">
        <v>0.0</v>
      </c>
      <c r="AH194" s="316">
        <v>0.0</v>
      </c>
      <c r="AI194" s="317">
        <v>0.0</v>
      </c>
      <c r="AJ194" s="317">
        <v>0.0</v>
      </c>
      <c r="AK194" s="319">
        <v>0.0</v>
      </c>
      <c r="AL194" s="319">
        <v>0.0</v>
      </c>
      <c r="AM194" s="302">
        <v>0.0</v>
      </c>
      <c r="AN194" s="149" t="str">
        <f>IFERROR(
  AVERAGEIFS(
    'New LF Efficacy'!$J:$J,
    'New LF Efficacy'!$D:$D, $A194,
    'New LF Efficacy'!$F:$F,"DEC", 
    'New LF Efficacy'!$W:$W,"&lt;2016",
    'New LF Efficacy'!$AA:$AA,""),
  ""
)</f>
        <v/>
      </c>
      <c r="AO194" s="115">
        <f t="shared" si="11"/>
        <v>0.3573520833</v>
      </c>
      <c r="AP194" s="149" t="str">
        <f>IFERROR(
AVERAGEIFS(
'New LF Efficacy'!$J:$J,
'New LF Efficacy'!$D:$D,$A194,
'New LF Efficacy'!$F:$F,"Albendazole &amp; DEC",
'New LF Efficacy'!$W:$W,"&lt;2016",
'New LF Efficacy'!$AA:$AA,""),
"")
</f>
        <v/>
      </c>
      <c r="AQ194" s="115">
        <f t="shared" si="12"/>
        <v>0.5143541667</v>
      </c>
      <c r="AR194" s="149" t="str">
        <f>IFERROR(
AVERAGEIFS(
'New LF Efficacy'!$J:$J,
'New LF Efficacy'!$D:$D,$A194,
'New LF Efficacy'!$F:$F,"Albendazole &amp; Ivermectin", 
'New LF Efficacy'!$W:$W,"&lt;2016",
'New LF Efficacy'!$AA:$AA,""),"")</f>
        <v/>
      </c>
      <c r="AS194" s="115">
        <f t="shared" si="13"/>
        <v>0.37153125</v>
      </c>
      <c r="AT194" s="442" t="str">
        <f>IFERROR(AVERAGEIFS(
'Schist Efficacy'!$O:$O, 
'Schist Efficacy'!$C:$C,$A194, 
'Schist Efficacy'!$D:$D, "Praziquantel",
'Schist Efficacy'!$J:$J,"&lt;2016",
'Schist Efficacy'!$U:$U,""),
"")</f>
        <v/>
      </c>
      <c r="AU194" s="118">
        <f t="shared" si="14"/>
        <v>0.655</v>
      </c>
      <c r="AV194" s="131" t="str">
        <f>IFERROR(AVERAGEIFS(
'STH Efficacy'!$AX:$AX, 
'STH Efficacy'!$AL:$AL, $A194, 
'STH Efficacy'!$AM:$AM, "Albendazole",
'STH Efficacy'!$AS:$AS,"&lt;2016",
'STH Efficacy'!$BP:$BP,""),
"")</f>
        <v/>
      </c>
      <c r="AW194" s="132">
        <f t="shared" si="15"/>
        <v>0.4143846154</v>
      </c>
      <c r="AX194" s="131" t="str">
        <f>IFERROR(AVERAGEIFS(
'STH Efficacy'!$AX:$AX, 
'STH Efficacy'!$AL:$AL, $A194, 
'STH Efficacy'!$AM:$AM, "Mebendazole",
'STH Efficacy'!$AS:$AS,"&lt;2016",
'STH Efficacy'!$BP:$BP,""),
"")</f>
        <v/>
      </c>
      <c r="AY194" s="132">
        <f t="shared" si="16"/>
        <v>0.4691770833</v>
      </c>
      <c r="AZ194" s="131" t="str">
        <f>IFERROR(AVERAGEIFS(
'STH Efficacy'!$AX:$AX, 
'STH Efficacy'!$AL:$AL, $A194, 
'STH Efficacy'!$AM:$AM, "Albendazole &amp; Ivermectin",
'STH Efficacy'!$AS:$AS,"&lt;2016",
'STH Efficacy'!$BP:$BP,""),
"")</f>
        <v/>
      </c>
      <c r="BA194" s="133">
        <f t="shared" si="17"/>
        <v>0.597625</v>
      </c>
      <c r="BB194" s="443" t="str">
        <f>IFERROR(AVERAGEIFS(
'STH Efficacy'!$N:$N, 
'STH Efficacy'!$B:$B, $A194, 
'STH Efficacy'!$C:$C, "Albendazole",
'STH Efficacy'!$I:$I,"&lt;2016",
'STH Efficacy'!$AH:$AH,""),
"")</f>
        <v/>
      </c>
      <c r="BC194" s="135">
        <f t="shared" si="18"/>
        <v>0.7613712121</v>
      </c>
      <c r="BD194" s="443" t="str">
        <f>IFERROR(AVERAGEIFS(
'STH Efficacy'!$N:$N, 
'STH Efficacy'!$B:$B, $A194, 
'STH Efficacy'!$C:$C, "Mebendazole",
'STH Efficacy'!$I:$I,"&lt;2016",
'STH Efficacy'!$AH:$AH,""),
"")</f>
        <v/>
      </c>
      <c r="BE194" s="135">
        <f t="shared" si="19"/>
        <v>0.4362466667</v>
      </c>
      <c r="BF194" s="436" t="str">
        <f>IFERROR(AVERAGEIFS(
'STH Efficacy'!$CD:$CD, 
'STH Efficacy'!$BS:$BS, $A194, 
'STH Efficacy'!$BT:$BT, "Albendazole",
'STH Efficacy'!$BZ:$BZ,"&lt;2016",
'STH Efficacy'!$CU:$CU,""),
"")</f>
        <v/>
      </c>
      <c r="BG194" s="136">
        <f t="shared" si="20"/>
        <v>0.9216027778</v>
      </c>
      <c r="BH194" s="436" t="str">
        <f>IFERROR(AVERAGEIFS(
'STH Efficacy'!$CD:$CD, 
'STH Efficacy'!$BS:$BS, $A194, 
'STH Efficacy'!$BT:$BT, "Mebendazole",
'STH Efficacy'!$BZ:$BZ,"&lt;2016",
'STH Efficacy'!$CU:$CU,""),
"")</f>
        <v/>
      </c>
      <c r="BI194" s="136">
        <f t="shared" si="21"/>
        <v>0.8866041667</v>
      </c>
      <c r="BJ194" s="436" t="str">
        <f>IFERROR(AVERAGEIFS(
'STH Efficacy'!$CD:$CD, 
'STH Efficacy'!$BS:$BS, $A194, 
'STH Efficacy'!$BT:$BT, "Albendazole &amp; Ivermectin",
'STH Efficacy'!$BZ:$BZ,"&lt;2016",
'STH Efficacy'!$CU:$CU,""),
"")</f>
        <v/>
      </c>
      <c r="BK194" s="136">
        <f t="shared" si="22"/>
        <v>0.848</v>
      </c>
      <c r="BL194" s="444" t="str">
        <f>IFERROR(
  AVERAGEIFS(
    'NEW Onchocerciasis Efficacy'!$AO:$AO,
    'NEW Onchocerciasis Efficacy'!$C:$C,$A194,
    'NEW Onchocerciasis Efficacy'!$D:$D,"Ivermectin",
    'NEW Onchocerciasis Efficacy'!$AR:$AR,"&lt;2016",
    'NEW Onchocerciasis Efficacy'!$BG:$BG,"")
,"")</f>
        <v/>
      </c>
      <c r="BM194" s="304">
        <f t="shared" si="23"/>
        <v>0.7808368939</v>
      </c>
      <c r="BN194" s="439">
        <v>0.0</v>
      </c>
      <c r="BO194" s="139">
        <v>0.0</v>
      </c>
      <c r="BP194" s="140">
        <v>0.0</v>
      </c>
      <c r="BQ194" s="141">
        <f t="shared" si="24"/>
        <v>0</v>
      </c>
      <c r="BR194" s="104" t="str">
        <f t="shared" si="25"/>
        <v>0000</v>
      </c>
      <c r="BS194" s="104" t="str">
        <f t="shared" si="26"/>
        <v>no action required</v>
      </c>
      <c r="BT194" s="142" t="str">
        <f t="shared" si="43"/>
        <v/>
      </c>
      <c r="BU194" s="104" t="str">
        <f t="shared" si="28"/>
        <v/>
      </c>
      <c r="BV194" s="104" t="str">
        <f t="shared" si="29"/>
        <v>none</v>
      </c>
      <c r="BW194" s="150" t="str">
        <f t="shared" si="30"/>
        <v/>
      </c>
      <c r="BX194" s="150" t="str">
        <f t="shared" si="31"/>
        <v/>
      </c>
      <c r="BY194" s="151" t="str">
        <f t="shared" si="32"/>
        <v/>
      </c>
      <c r="BZ194" s="152" t="str">
        <f t="shared" si="33"/>
        <v/>
      </c>
      <c r="CA194" s="152" t="str">
        <f t="shared" si="34"/>
        <v/>
      </c>
      <c r="CB194" s="152" t="str">
        <f t="shared" si="35"/>
        <v/>
      </c>
      <c r="CC194" s="153" t="str">
        <f t="shared" si="36"/>
        <v/>
      </c>
      <c r="CD194" s="153" t="str">
        <f t="shared" si="37"/>
        <v/>
      </c>
      <c r="CE194" s="154" t="str">
        <f t="shared" si="38"/>
        <v/>
      </c>
      <c r="CF194" s="154" t="str">
        <f t="shared" si="39"/>
        <v/>
      </c>
      <c r="CG194" s="154" t="str">
        <f t="shared" si="40"/>
        <v/>
      </c>
      <c r="CH194" s="308" t="str">
        <f t="shared" si="41"/>
        <v/>
      </c>
    </row>
    <row r="195">
      <c r="A195" s="155" t="s">
        <v>284</v>
      </c>
      <c r="B195" s="104" t="s">
        <v>109</v>
      </c>
      <c r="C195" s="468">
        <v>1240977.0</v>
      </c>
      <c r="D195" s="161">
        <v>3509.89</v>
      </c>
      <c r="E195" s="294">
        <v>0.0</v>
      </c>
      <c r="F195" s="295">
        <v>1.612174642</v>
      </c>
      <c r="G195" s="295">
        <v>7.170449215</v>
      </c>
      <c r="H195" s="108">
        <v>8.782623858</v>
      </c>
      <c r="I195" s="109">
        <v>19.2693984</v>
      </c>
      <c r="J195" s="109">
        <v>52.6561647</v>
      </c>
      <c r="K195" s="109">
        <v>71.92556311</v>
      </c>
      <c r="L195" s="112">
        <v>83.86321529</v>
      </c>
      <c r="M195" s="112">
        <v>46.75030119</v>
      </c>
      <c r="N195" s="112">
        <v>130.6135165</v>
      </c>
      <c r="O195" s="298">
        <v>0.0</v>
      </c>
      <c r="P195" s="160">
        <v>1167242.0</v>
      </c>
      <c r="Q195" s="160">
        <v>828535.0</v>
      </c>
      <c r="R195" s="121">
        <f t="shared" si="4"/>
        <v>0.7098228131</v>
      </c>
      <c r="S195" s="116">
        <f t="shared" si="5"/>
        <v>0.7098228131</v>
      </c>
      <c r="T195" s="117"/>
      <c r="U195" s="118">
        <f t="shared" si="6"/>
        <v>0.2582</v>
      </c>
      <c r="V195" s="119">
        <v>0.8725</v>
      </c>
      <c r="W195" s="120">
        <f t="shared" si="7"/>
        <v>0.8725</v>
      </c>
      <c r="X195" s="119">
        <v>0.8716</v>
      </c>
      <c r="Y195" s="120">
        <f t="shared" si="8"/>
        <v>0.8716</v>
      </c>
      <c r="Z195" s="299"/>
      <c r="AA195" s="441"/>
      <c r="AB195" s="300" t="str">
        <f t="shared" si="9"/>
        <v/>
      </c>
      <c r="AC195" s="300">
        <f t="shared" si="10"/>
        <v>0.6890056172</v>
      </c>
      <c r="AD195" s="122">
        <v>0.0936</v>
      </c>
      <c r="AE195" s="123">
        <v>0.0</v>
      </c>
      <c r="AF195" s="430">
        <v>0.0</v>
      </c>
      <c r="AG195" s="124">
        <v>0.0</v>
      </c>
      <c r="AH195" s="124">
        <v>0.1145351</v>
      </c>
      <c r="AI195" s="125">
        <v>0.0</v>
      </c>
      <c r="AJ195" s="125">
        <v>0.062678303</v>
      </c>
      <c r="AK195" s="127">
        <v>0.0</v>
      </c>
      <c r="AL195" s="127">
        <v>0.123755441</v>
      </c>
      <c r="AM195" s="302">
        <v>0.0</v>
      </c>
      <c r="AN195" s="149" t="str">
        <f>IFERROR(
  AVERAGEIFS(
    'New LF Efficacy'!$J:$J,
    'New LF Efficacy'!$D:$D, $A195,
    'New LF Efficacy'!$F:$F,"DEC", 
    'New LF Efficacy'!$W:$W,"&lt;2016",
    'New LF Efficacy'!$AA:$AA,""),
  ""
)</f>
        <v/>
      </c>
      <c r="AO195" s="115">
        <f t="shared" si="11"/>
        <v>0.478175</v>
      </c>
      <c r="AP195" s="149" t="str">
        <f>IFERROR(
AVERAGEIFS(
'New LF Efficacy'!$J:$J,
'New LF Efficacy'!$D:$D,$A195,
'New LF Efficacy'!$F:$F,"Albendazole &amp; DEC",
'New LF Efficacy'!$W:$W,"&lt;2016",
'New LF Efficacy'!$AA:$AA,""),
"")
</f>
        <v/>
      </c>
      <c r="AQ195" s="115">
        <f t="shared" si="12"/>
        <v>0.5831666667</v>
      </c>
      <c r="AR195" s="149" t="str">
        <f>IFERROR(
AVERAGEIFS(
'New LF Efficacy'!$J:$J,
'New LF Efficacy'!$D:$D,$A195,
'New LF Efficacy'!$F:$F,"Albendazole &amp; Ivermectin", 
'New LF Efficacy'!$W:$W,"&lt;2016",
'New LF Efficacy'!$AA:$AA,""),"")</f>
        <v/>
      </c>
      <c r="AS195" s="115">
        <f t="shared" si="13"/>
        <v>0.14</v>
      </c>
      <c r="AT195" s="442" t="str">
        <f>IFERROR(AVERAGEIFS(
'Schist Efficacy'!$O:$O, 
'Schist Efficacy'!$C:$C,$A195, 
'Schist Efficacy'!$D:$D, "Praziquantel",
'Schist Efficacy'!$J:$J,"&lt;2016",
'Schist Efficacy'!$U:$U,""),
"")</f>
        <v/>
      </c>
      <c r="AU195" s="118">
        <f t="shared" si="14"/>
        <v>0.743990088</v>
      </c>
      <c r="AV195" s="131" t="str">
        <f>IFERROR(AVERAGEIFS(
'STH Efficacy'!$AX:$AX, 
'STH Efficacy'!$AL:$AL, $A195, 
'STH Efficacy'!$AM:$AM, "Albendazole",
'STH Efficacy'!$AS:$AS,"&lt;2016",
'STH Efficacy'!$BP:$BP,""),
"")</f>
        <v/>
      </c>
      <c r="AW195" s="132">
        <f t="shared" si="15"/>
        <v>0.5394444444</v>
      </c>
      <c r="AX195" s="131" t="str">
        <f>IFERROR(AVERAGEIFS(
'STH Efficacy'!$AX:$AX, 
'STH Efficacy'!$AL:$AL, $A195, 
'STH Efficacy'!$AM:$AM, "Mebendazole",
'STH Efficacy'!$AS:$AS,"&lt;2016",
'STH Efficacy'!$BP:$BP,""),
"")</f>
        <v/>
      </c>
      <c r="AY195" s="132">
        <f t="shared" si="16"/>
        <v>0.3786666667</v>
      </c>
      <c r="AZ195" s="131" t="str">
        <f>IFERROR(AVERAGEIFS(
'STH Efficacy'!$AX:$AX, 
'STH Efficacy'!$AL:$AL, $A195, 
'STH Efficacy'!$AM:$AM, "Albendazole &amp; Ivermectin",
'STH Efficacy'!$AS:$AS,"&lt;2016",
'STH Efficacy'!$BP:$BP,""),
"")</f>
        <v/>
      </c>
      <c r="BA195" s="133">
        <f t="shared" si="17"/>
        <v>0.597625</v>
      </c>
      <c r="BB195" s="443" t="str">
        <f>IFERROR(AVERAGEIFS(
'STH Efficacy'!$N:$N, 
'STH Efficacy'!$B:$B, $A195, 
'STH Efficacy'!$C:$C, "Albendazole",
'STH Efficacy'!$I:$I,"&lt;2016",
'STH Efficacy'!$AH:$AH,""),
"")</f>
        <v/>
      </c>
      <c r="BC195" s="135">
        <f t="shared" si="18"/>
        <v>0.7133333333</v>
      </c>
      <c r="BD195" s="443" t="str">
        <f>IFERROR(AVERAGEIFS(
'STH Efficacy'!$N:$N, 
'STH Efficacy'!$B:$B, $A195, 
'STH Efficacy'!$C:$C, "Mebendazole",
'STH Efficacy'!$I:$I,"&lt;2016",
'STH Efficacy'!$AH:$AH,""),
"")</f>
        <v/>
      </c>
      <c r="BE195" s="135">
        <f t="shared" si="19"/>
        <v>0.205</v>
      </c>
      <c r="BF195" s="436" t="str">
        <f>IFERROR(AVERAGEIFS(
'STH Efficacy'!$CD:$CD, 
'STH Efficacy'!$BS:$BS, $A195, 
'STH Efficacy'!$BT:$BT, "Albendazole",
'STH Efficacy'!$BZ:$BZ,"&lt;2016",
'STH Efficacy'!$CU:$CU,""),
"")</f>
        <v/>
      </c>
      <c r="BG195" s="136">
        <f t="shared" si="20"/>
        <v>0.83</v>
      </c>
      <c r="BH195" s="436" t="str">
        <f>IFERROR(AVERAGEIFS(
'STH Efficacy'!$CD:$CD, 
'STH Efficacy'!$BS:$BS, $A195, 
'STH Efficacy'!$BT:$BT, "Mebendazole",
'STH Efficacy'!$BZ:$BZ,"&lt;2016",
'STH Efficacy'!$CU:$CU,""),
"")</f>
        <v/>
      </c>
      <c r="BI195" s="136">
        <f t="shared" si="21"/>
        <v>1</v>
      </c>
      <c r="BJ195" s="436" t="str">
        <f>IFERROR(AVERAGEIFS(
'STH Efficacy'!$CD:$CD, 
'STH Efficacy'!$BS:$BS, $A195, 
'STH Efficacy'!$BT:$BT, "Albendazole &amp; Ivermectin",
'STH Efficacy'!$BZ:$BZ,"&lt;2016",
'STH Efficacy'!$CU:$CU,""),
"")</f>
        <v/>
      </c>
      <c r="BK195" s="136">
        <f t="shared" si="22"/>
        <v>0.848</v>
      </c>
      <c r="BL195" s="444" t="str">
        <f>IFERROR(
  AVERAGEIFS(
    'NEW Onchocerciasis Efficacy'!$AO:$AO,
    'NEW Onchocerciasis Efficacy'!$C:$C,$A195,
    'NEW Onchocerciasis Efficacy'!$D:$D,"Ivermectin",
    'NEW Onchocerciasis Efficacy'!$AR:$AR,"&lt;2016",
    'NEW Onchocerciasis Efficacy'!$BG:$BG,"")
,"")</f>
        <v/>
      </c>
      <c r="BM195" s="304">
        <f t="shared" si="23"/>
        <v>0.7808368939</v>
      </c>
      <c r="BN195" s="439">
        <v>1.0</v>
      </c>
      <c r="BO195" s="139">
        <v>0.0</v>
      </c>
      <c r="BP195" s="140">
        <v>0.0</v>
      </c>
      <c r="BQ195" s="141">
        <f t="shared" si="24"/>
        <v>0</v>
      </c>
      <c r="BR195" s="104" t="str">
        <f t="shared" si="25"/>
        <v>1000</v>
      </c>
      <c r="BS195" s="104" t="str">
        <f t="shared" si="26"/>
        <v>MDA1/2</v>
      </c>
      <c r="BT195" s="142" t="str">
        <f t="shared" si="43"/>
        <v>IVM+ALB or DEC+ALB</v>
      </c>
      <c r="BU195" s="104" t="str">
        <f t="shared" si="28"/>
        <v/>
      </c>
      <c r="BV195" s="104" t="str">
        <f t="shared" si="29"/>
        <v>lf only</v>
      </c>
      <c r="BW195" s="312">
        <f t="shared" si="30"/>
        <v>2479.121309</v>
      </c>
      <c r="BX195" s="312">
        <f t="shared" si="31"/>
        <v>387.2822475</v>
      </c>
      <c r="BY195" s="151" t="str">
        <f t="shared" si="32"/>
        <v/>
      </c>
      <c r="BZ195" s="152" t="str">
        <f t="shared" si="33"/>
        <v/>
      </c>
      <c r="CA195" s="152" t="str">
        <f t="shared" si="34"/>
        <v/>
      </c>
      <c r="CB195" s="152" t="str">
        <f t="shared" si="35"/>
        <v/>
      </c>
      <c r="CC195" s="153" t="str">
        <f t="shared" si="36"/>
        <v/>
      </c>
      <c r="CD195" s="153" t="str">
        <f t="shared" si="37"/>
        <v/>
      </c>
      <c r="CE195" s="154" t="str">
        <f t="shared" si="38"/>
        <v/>
      </c>
      <c r="CF195" s="154" t="str">
        <f t="shared" si="39"/>
        <v/>
      </c>
      <c r="CG195" s="154" t="str">
        <f t="shared" si="40"/>
        <v/>
      </c>
      <c r="CH195" s="308" t="str">
        <f t="shared" si="41"/>
        <v/>
      </c>
    </row>
    <row r="196">
      <c r="A196" s="103" t="s">
        <v>285</v>
      </c>
      <c r="B196" s="104" t="s">
        <v>92</v>
      </c>
      <c r="C196" s="468">
        <v>7416802.0</v>
      </c>
      <c r="D196" s="161">
        <v>815.08</v>
      </c>
      <c r="E196" s="294">
        <v>9284.195434</v>
      </c>
      <c r="F196" s="295">
        <v>0.025526454</v>
      </c>
      <c r="G196" s="295">
        <v>0.139459756</v>
      </c>
      <c r="H196" s="108">
        <v>0.164986211</v>
      </c>
      <c r="I196" s="109">
        <v>101.165265</v>
      </c>
      <c r="J196" s="109">
        <v>283.739786</v>
      </c>
      <c r="K196" s="109">
        <v>384.9050508</v>
      </c>
      <c r="L196" s="112">
        <v>1138.058992</v>
      </c>
      <c r="M196" s="112">
        <v>189.3430816</v>
      </c>
      <c r="N196" s="112">
        <v>1327.402073</v>
      </c>
      <c r="O196" s="298">
        <v>161.7585959</v>
      </c>
      <c r="P196" s="156"/>
      <c r="Q196" s="156"/>
      <c r="R196" s="121" t="str">
        <f t="shared" si="4"/>
        <v/>
      </c>
      <c r="S196" s="116">
        <f t="shared" si="5"/>
        <v>0.3345096109</v>
      </c>
      <c r="T196" s="118">
        <v>0.761</v>
      </c>
      <c r="U196" s="118">
        <f t="shared" si="6"/>
        <v>0.761</v>
      </c>
      <c r="V196" s="148"/>
      <c r="W196" s="120">
        <f t="shared" si="7"/>
        <v>0.8084736842</v>
      </c>
      <c r="X196" s="119">
        <v>1.0</v>
      </c>
      <c r="Y196" s="120">
        <f t="shared" si="8"/>
        <v>1</v>
      </c>
      <c r="Z196" s="310">
        <v>4709148.0</v>
      </c>
      <c r="AA196" s="310">
        <v>2690686.0</v>
      </c>
      <c r="AB196" s="300">
        <f t="shared" si="9"/>
        <v>0.5713742698</v>
      </c>
      <c r="AC196" s="300">
        <f t="shared" si="10"/>
        <v>0.5713742698</v>
      </c>
      <c r="AD196" s="122">
        <v>0.0012</v>
      </c>
      <c r="AE196" s="123">
        <v>0.09</v>
      </c>
      <c r="AF196" s="430">
        <v>0.0258</v>
      </c>
      <c r="AG196" s="316">
        <v>0.0</v>
      </c>
      <c r="AH196" s="316">
        <v>0.023032354</v>
      </c>
      <c r="AI196" s="317">
        <v>0.0</v>
      </c>
      <c r="AJ196" s="317">
        <v>0.049615694</v>
      </c>
      <c r="AK196" s="319">
        <v>0.0</v>
      </c>
      <c r="AL196" s="319">
        <v>0.051246321</v>
      </c>
      <c r="AM196" s="302">
        <v>2.0E-4</v>
      </c>
      <c r="AN196" s="149" t="str">
        <f>IFERROR(
  AVERAGEIFS(
    'New LF Efficacy'!$J:$J,
    'New LF Efficacy'!$D:$D, $A196,
    'New LF Efficacy'!$F:$F,"DEC", 
    'New LF Efficacy'!$W:$W,"&lt;2016",
    'New LF Efficacy'!$AA:$AA,""),
  ""
)</f>
        <v/>
      </c>
      <c r="AO196" s="115">
        <f t="shared" si="11"/>
        <v>0.31225</v>
      </c>
      <c r="AP196" s="149" t="str">
        <f>IFERROR(
AVERAGEIFS(
'New LF Efficacy'!$J:$J,
'New LF Efficacy'!$D:$D,$A196,
'New LF Efficacy'!$F:$F,"Albendazole &amp; DEC",
'New LF Efficacy'!$W:$W,"&lt;2016",
'New LF Efficacy'!$AA:$AA,""),
"")
</f>
        <v/>
      </c>
      <c r="AQ196" s="115">
        <f t="shared" si="12"/>
        <v>0.4</v>
      </c>
      <c r="AR196" s="149" t="str">
        <f>IFERROR(
AVERAGEIFS(
'New LF Efficacy'!$J:$J,
'New LF Efficacy'!$D:$D,$A196,
'New LF Efficacy'!$F:$F,"Albendazole &amp; Ivermectin", 
'New LF Efficacy'!$W:$W,"&lt;2016",
'New LF Efficacy'!$AA:$AA,""),"")</f>
        <v/>
      </c>
      <c r="AS196" s="115">
        <f t="shared" si="13"/>
        <v>0.2943125</v>
      </c>
      <c r="AT196" s="442" t="str">
        <f>IFERROR(AVERAGEIFS(
'Schist Efficacy'!$O:$O, 
'Schist Efficacy'!$C:$C,$A196, 
'Schist Efficacy'!$D:$D, "Praziquantel",
'Schist Efficacy'!$J:$J,"&lt;2016",
'Schist Efficacy'!$U:$U,""),
"")</f>
        <v/>
      </c>
      <c r="AU196" s="118">
        <f t="shared" si="14"/>
        <v>0.7206464759</v>
      </c>
      <c r="AV196" s="131" t="str">
        <f>IFERROR(AVERAGEIFS(
'STH Efficacy'!$AX:$AX, 
'STH Efficacy'!$AL:$AL, $A196, 
'STH Efficacy'!$AM:$AM, "Albendazole",
'STH Efficacy'!$AS:$AS,"&lt;2016",
'STH Efficacy'!$BP:$BP,""),
"")</f>
        <v/>
      </c>
      <c r="AW196" s="132">
        <f t="shared" si="15"/>
        <v>0.3816333333</v>
      </c>
      <c r="AX196" s="131" t="str">
        <f>IFERROR(AVERAGEIFS(
'STH Efficacy'!$AX:$AX, 
'STH Efficacy'!$AL:$AL, $A196, 
'STH Efficacy'!$AM:$AM, "Mebendazole",
'STH Efficacy'!$AS:$AS,"&lt;2016",
'STH Efficacy'!$BP:$BP,""),
"")</f>
        <v/>
      </c>
      <c r="AY196" s="132">
        <f t="shared" si="16"/>
        <v>0.4859375</v>
      </c>
      <c r="AZ196" s="131" t="str">
        <f>IFERROR(AVERAGEIFS(
'STH Efficacy'!$AX:$AX, 
'STH Efficacy'!$AL:$AL, $A196, 
'STH Efficacy'!$AM:$AM, "Albendazole &amp; Ivermectin",
'STH Efficacy'!$AS:$AS,"&lt;2016",
'STH Efficacy'!$BP:$BP,""),
"")</f>
        <v/>
      </c>
      <c r="BA196" s="133">
        <f t="shared" si="17"/>
        <v>0.47175</v>
      </c>
      <c r="BB196" s="443" t="str">
        <f>IFERROR(AVERAGEIFS(
'STH Efficacy'!$N:$N, 
'STH Efficacy'!$B:$B, $A196, 
'STH Efficacy'!$C:$C, "Albendazole",
'STH Efficacy'!$I:$I,"&lt;2016",
'STH Efficacy'!$AH:$AH,""),
"")</f>
        <v/>
      </c>
      <c r="BC196" s="135">
        <f t="shared" si="18"/>
        <v>0.8699166667</v>
      </c>
      <c r="BD196" s="443" t="str">
        <f>IFERROR(AVERAGEIFS(
'STH Efficacy'!$N:$N, 
'STH Efficacy'!$B:$B, $A196, 
'STH Efficacy'!$C:$C, "Mebendazole",
'STH Efficacy'!$I:$I,"&lt;2016",
'STH Efficacy'!$AH:$AH,""),
"")</f>
        <v/>
      </c>
      <c r="BE196" s="135">
        <f t="shared" si="19"/>
        <v>0.7092416667</v>
      </c>
      <c r="BF196" s="436" t="str">
        <f>IFERROR(AVERAGEIFS(
'STH Efficacy'!$CD:$CD, 
'STH Efficacy'!$BS:$BS, $A196, 
'STH Efficacy'!$BT:$BT, "Albendazole",
'STH Efficacy'!$BZ:$BZ,"&lt;2016",
'STH Efficacy'!$CU:$CU,""),
"")</f>
        <v/>
      </c>
      <c r="BG196" s="136">
        <f t="shared" si="20"/>
        <v>0.9066666667</v>
      </c>
      <c r="BH196" s="436" t="str">
        <f>IFERROR(AVERAGEIFS(
'STH Efficacy'!$CD:$CD, 
'STH Efficacy'!$BS:$BS, $A196, 
'STH Efficacy'!$BT:$BT, "Mebendazole",
'STH Efficacy'!$BZ:$BZ,"&lt;2016",
'STH Efficacy'!$CU:$CU,""),
"")</f>
        <v/>
      </c>
      <c r="BI196" s="136">
        <f t="shared" si="21"/>
        <v>0.8483333333</v>
      </c>
      <c r="BJ196" s="436" t="str">
        <f>IFERROR(AVERAGEIFS(
'STH Efficacy'!$CD:$CD, 
'STH Efficacy'!$BS:$BS, $A196, 
'STH Efficacy'!$BT:$BT, "Albendazole &amp; Ivermectin",
'STH Efficacy'!$BZ:$BZ,"&lt;2016",
'STH Efficacy'!$CU:$CU,""),
"")</f>
        <v/>
      </c>
      <c r="BK196" s="136">
        <f t="shared" si="22"/>
        <v>0.696</v>
      </c>
      <c r="BL196" s="444">
        <f>IFERROR(
  AVERAGEIFS(
    'NEW Onchocerciasis Efficacy'!$AO:$AO,
    'NEW Onchocerciasis Efficacy'!$C:$C,$A196,
    'NEW Onchocerciasis Efficacy'!$D:$D,"Ivermectin",
    'NEW Onchocerciasis Efficacy'!$AR:$AR,"&lt;2016",
    'NEW Onchocerciasis Efficacy'!$BG:$BG,"")
,"")</f>
        <v>0.8831666667</v>
      </c>
      <c r="BM196" s="304">
        <f t="shared" si="23"/>
        <v>0.8831666667</v>
      </c>
      <c r="BN196" s="439">
        <v>0.0</v>
      </c>
      <c r="BO196" s="139">
        <v>0.0</v>
      </c>
      <c r="BP196" s="140">
        <v>1.0</v>
      </c>
      <c r="BQ196" s="141">
        <f t="shared" si="24"/>
        <v>0</v>
      </c>
      <c r="BR196" s="104" t="str">
        <f t="shared" si="25"/>
        <v>0010</v>
      </c>
      <c r="BS196" s="104" t="str">
        <f t="shared" si="26"/>
        <v>T2</v>
      </c>
      <c r="BT196" s="142" t="str">
        <f t="shared" si="43"/>
        <v>PZQ</v>
      </c>
      <c r="BU196" s="104" t="str">
        <f t="shared" si="28"/>
        <v>PZQ</v>
      </c>
      <c r="BV196" s="104" t="str">
        <f t="shared" si="29"/>
        <v>schist only</v>
      </c>
      <c r="BW196" s="150" t="str">
        <f t="shared" si="30"/>
        <v/>
      </c>
      <c r="BX196" s="150" t="str">
        <f t="shared" si="31"/>
        <v/>
      </c>
      <c r="BY196" s="162">
        <f t="shared" si="32"/>
        <v>11274.79812</v>
      </c>
      <c r="BZ196" s="152" t="str">
        <f t="shared" si="33"/>
        <v/>
      </c>
      <c r="CA196" s="152" t="str">
        <f t="shared" si="34"/>
        <v/>
      </c>
      <c r="CB196" s="152" t="str">
        <f t="shared" si="35"/>
        <v/>
      </c>
      <c r="CC196" s="153" t="str">
        <f t="shared" si="36"/>
        <v/>
      </c>
      <c r="CD196" s="153" t="str">
        <f t="shared" si="37"/>
        <v/>
      </c>
      <c r="CE196" s="154" t="str">
        <f t="shared" si="38"/>
        <v/>
      </c>
      <c r="CF196" s="154" t="str">
        <f t="shared" si="39"/>
        <v/>
      </c>
      <c r="CG196" s="154" t="str">
        <f t="shared" si="40"/>
        <v/>
      </c>
      <c r="CH196" s="308" t="str">
        <f t="shared" si="41"/>
        <v/>
      </c>
    </row>
    <row r="197">
      <c r="A197" s="155" t="s">
        <v>286</v>
      </c>
      <c r="B197" s="104" t="s">
        <v>94</v>
      </c>
      <c r="C197" s="171"/>
      <c r="D197" s="161">
        <v>0.0</v>
      </c>
      <c r="E197" s="294">
        <v>0.0</v>
      </c>
      <c r="F197" s="163"/>
      <c r="G197" s="325"/>
      <c r="H197" s="108">
        <v>0.0</v>
      </c>
      <c r="I197" s="109">
        <v>0.0</v>
      </c>
      <c r="J197" s="109">
        <v>0.0</v>
      </c>
      <c r="K197" s="109">
        <v>0.0</v>
      </c>
      <c r="L197" s="113"/>
      <c r="M197" s="113"/>
      <c r="N197" s="112">
        <v>0.0</v>
      </c>
      <c r="O197" s="298">
        <v>0.0</v>
      </c>
      <c r="P197" s="114"/>
      <c r="Q197" s="114"/>
      <c r="R197" s="121" t="str">
        <f t="shared" si="4"/>
        <v/>
      </c>
      <c r="S197" s="116">
        <f t="shared" si="5"/>
        <v>0.3783554476</v>
      </c>
      <c r="T197" s="117"/>
      <c r="U197" s="118">
        <f t="shared" si="6"/>
        <v>0.73965</v>
      </c>
      <c r="V197" s="148"/>
      <c r="W197" s="120">
        <f t="shared" si="7"/>
        <v>0.6141272727</v>
      </c>
      <c r="X197" s="148"/>
      <c r="Y197" s="120">
        <f t="shared" si="8"/>
        <v>0.6018090909</v>
      </c>
      <c r="Z197" s="299"/>
      <c r="AA197" s="441"/>
      <c r="AB197" s="300" t="str">
        <f t="shared" si="9"/>
        <v/>
      </c>
      <c r="AC197" s="300">
        <f t="shared" si="10"/>
        <v>0.6890056172</v>
      </c>
      <c r="AD197" s="314">
        <v>0.0</v>
      </c>
      <c r="AE197" s="315">
        <v>0.0</v>
      </c>
      <c r="AF197" s="445">
        <v>0.0</v>
      </c>
      <c r="AG197" s="316">
        <v>0.0</v>
      </c>
      <c r="AH197" s="307">
        <v>0.0</v>
      </c>
      <c r="AI197" s="317">
        <v>0.0</v>
      </c>
      <c r="AJ197" s="318">
        <v>0.0</v>
      </c>
      <c r="AK197" s="319">
        <v>0.0</v>
      </c>
      <c r="AL197" s="446">
        <v>0.0</v>
      </c>
      <c r="AM197" s="320">
        <v>0.0</v>
      </c>
      <c r="AN197" s="149" t="str">
        <f>IFERROR(
  AVERAGEIFS(
    'New LF Efficacy'!$J:$J,
    'New LF Efficacy'!$D:$D, $A197,
    'New LF Efficacy'!$F:$F,"DEC", 
    'New LF Efficacy'!$W:$W,"&lt;2016",
    'New LF Efficacy'!$AA:$AA,""),
  ""
)</f>
        <v/>
      </c>
      <c r="AO197" s="115">
        <f t="shared" si="11"/>
        <v>0.38</v>
      </c>
      <c r="AP197" s="149" t="str">
        <f>IFERROR(
AVERAGEIFS(
'New LF Efficacy'!$J:$J,
'New LF Efficacy'!$D:$D,$A197,
'New LF Efficacy'!$F:$F,"Albendazole &amp; DEC",
'New LF Efficacy'!$W:$W,"&lt;2016",
'New LF Efficacy'!$AA:$AA,""),
"")
</f>
        <v/>
      </c>
      <c r="AQ197" s="115">
        <f t="shared" si="12"/>
        <v>0.662</v>
      </c>
      <c r="AR197" s="149" t="str">
        <f>IFERROR(
AVERAGEIFS(
'New LF Efficacy'!$J:$J,
'New LF Efficacy'!$D:$D,$A197,
'New LF Efficacy'!$F:$F,"Albendazole &amp; Ivermectin", 
'New LF Efficacy'!$W:$W,"&lt;2016",
'New LF Efficacy'!$AA:$AA,""),"")</f>
        <v/>
      </c>
      <c r="AS197" s="115">
        <f t="shared" si="13"/>
        <v>0.37153125</v>
      </c>
      <c r="AT197" s="442" t="str">
        <f>IFERROR(AVERAGEIFS(
'Schist Efficacy'!$O:$O, 
'Schist Efficacy'!$C:$C,$A197, 
'Schist Efficacy'!$D:$D, "Praziquantel",
'Schist Efficacy'!$J:$J,"&lt;2016",
'Schist Efficacy'!$U:$U,""),
"")</f>
        <v/>
      </c>
      <c r="AU197" s="118">
        <f t="shared" si="14"/>
        <v>0.9475</v>
      </c>
      <c r="AV197" s="131" t="str">
        <f>IFERROR(AVERAGEIFS(
'STH Efficacy'!$AX:$AX, 
'STH Efficacy'!$AL:$AL, $A197, 
'STH Efficacy'!$AM:$AM, "Albendazole",
'STH Efficacy'!$AS:$AS,"&lt;2016",
'STH Efficacy'!$BP:$BP,""),
"")</f>
        <v/>
      </c>
      <c r="AW197" s="132">
        <f t="shared" si="15"/>
        <v>0.3571666667</v>
      </c>
      <c r="AX197" s="131" t="str">
        <f>IFERROR(AVERAGEIFS(
'STH Efficacy'!$AX:$AX, 
'STH Efficacy'!$AL:$AL, $A197, 
'STH Efficacy'!$AM:$AM, "Mebendazole",
'STH Efficacy'!$AS:$AS,"&lt;2016",
'STH Efficacy'!$BP:$BP,""),
"")</f>
        <v/>
      </c>
      <c r="AY197" s="132">
        <f t="shared" si="16"/>
        <v>0.4155</v>
      </c>
      <c r="AZ197" s="131" t="str">
        <f>IFERROR(AVERAGEIFS(
'STH Efficacy'!$AX:$AX, 
'STH Efficacy'!$AL:$AL, $A197, 
'STH Efficacy'!$AM:$AM, "Albendazole &amp; Ivermectin",
'STH Efficacy'!$AS:$AS,"&lt;2016",
'STH Efficacy'!$BP:$BP,""),
"")</f>
        <v/>
      </c>
      <c r="BA197" s="133">
        <f t="shared" si="17"/>
        <v>0.651</v>
      </c>
      <c r="BB197" s="443" t="str">
        <f>IFERROR(AVERAGEIFS(
'STH Efficacy'!$N:$N, 
'STH Efficacy'!$B:$B, $A197, 
'STH Efficacy'!$C:$C, "Albendazole",
'STH Efficacy'!$I:$I,"&lt;2016",
'STH Efficacy'!$AH:$AH,""),
"")</f>
        <v/>
      </c>
      <c r="BC197" s="135">
        <f t="shared" si="18"/>
        <v>0.5769166667</v>
      </c>
      <c r="BD197" s="443" t="str">
        <f>IFERROR(AVERAGEIFS(
'STH Efficacy'!$N:$N, 
'STH Efficacy'!$B:$B, $A197, 
'STH Efficacy'!$C:$C, "Mebendazole",
'STH Efficacy'!$I:$I,"&lt;2016",
'STH Efficacy'!$AH:$AH,""),
"")</f>
        <v/>
      </c>
      <c r="BE197" s="135">
        <f t="shared" si="19"/>
        <v>0.3145</v>
      </c>
      <c r="BF197" s="436" t="str">
        <f>IFERROR(AVERAGEIFS(
'STH Efficacy'!$CD:$CD, 
'STH Efficacy'!$BS:$BS, $A197, 
'STH Efficacy'!$BT:$BT, "Albendazole",
'STH Efficacy'!$BZ:$BZ,"&lt;2016",
'STH Efficacy'!$CU:$CU,""),
"")</f>
        <v/>
      </c>
      <c r="BG197" s="136">
        <f t="shared" si="20"/>
        <v>0.96925</v>
      </c>
      <c r="BH197" s="436" t="str">
        <f>IFERROR(AVERAGEIFS(
'STH Efficacy'!$CD:$CD, 
'STH Efficacy'!$BS:$BS, $A197, 
'STH Efficacy'!$BT:$BT, "Mebendazole",
'STH Efficacy'!$BZ:$BZ,"&lt;2016",
'STH Efficacy'!$CU:$CU,""),
"")</f>
        <v/>
      </c>
      <c r="BI197" s="136">
        <f t="shared" si="21"/>
        <v>0.9305</v>
      </c>
      <c r="BJ197" s="436" t="str">
        <f>IFERROR(AVERAGEIFS(
'STH Efficacy'!$CD:$CD, 
'STH Efficacy'!$BS:$BS, $A197, 
'STH Efficacy'!$BT:$BT, "Albendazole &amp; Ivermectin",
'STH Efficacy'!$BZ:$BZ,"&lt;2016",
'STH Efficacy'!$CU:$CU,""),
"")</f>
        <v/>
      </c>
      <c r="BK197" s="136">
        <f t="shared" si="22"/>
        <v>0.848</v>
      </c>
      <c r="BL197" s="444" t="str">
        <f>IFERROR(
  AVERAGEIFS(
    'NEW Onchocerciasis Efficacy'!$AO:$AO,
    'NEW Onchocerciasis Efficacy'!$C:$C,$A197,
    'NEW Onchocerciasis Efficacy'!$D:$D,"Ivermectin",
    'NEW Onchocerciasis Efficacy'!$AR:$AR,"&lt;2016",
    'NEW Onchocerciasis Efficacy'!$BG:$BG,"")
,"")</f>
        <v/>
      </c>
      <c r="BM197" s="304">
        <f t="shared" si="23"/>
        <v>0.7808368939</v>
      </c>
      <c r="BN197" s="439">
        <v>0.0</v>
      </c>
      <c r="BO197" s="139">
        <v>0.0</v>
      </c>
      <c r="BP197" s="140">
        <v>0.0</v>
      </c>
      <c r="BQ197" s="141">
        <f t="shared" si="24"/>
        <v>0</v>
      </c>
      <c r="BR197" s="104" t="str">
        <f t="shared" si="25"/>
        <v>0000</v>
      </c>
      <c r="BS197" s="104" t="str">
        <f t="shared" si="26"/>
        <v>no action required</v>
      </c>
      <c r="BT197" s="142" t="str">
        <f t="shared" si="43"/>
        <v/>
      </c>
      <c r="BU197" s="104" t="str">
        <f t="shared" si="28"/>
        <v/>
      </c>
      <c r="BV197" s="104" t="str">
        <f t="shared" si="29"/>
        <v>none</v>
      </c>
      <c r="BW197" s="150" t="str">
        <f t="shared" si="30"/>
        <v/>
      </c>
      <c r="BX197" s="150" t="str">
        <f t="shared" si="31"/>
        <v/>
      </c>
      <c r="BY197" s="151" t="str">
        <f t="shared" si="32"/>
        <v/>
      </c>
      <c r="BZ197" s="152" t="str">
        <f t="shared" si="33"/>
        <v/>
      </c>
      <c r="CA197" s="152" t="str">
        <f t="shared" si="34"/>
        <v/>
      </c>
      <c r="CB197" s="152" t="str">
        <f t="shared" si="35"/>
        <v/>
      </c>
      <c r="CC197" s="153" t="str">
        <f t="shared" si="36"/>
        <v/>
      </c>
      <c r="CD197" s="153" t="str">
        <f t="shared" si="37"/>
        <v/>
      </c>
      <c r="CE197" s="154" t="str">
        <f t="shared" si="38"/>
        <v/>
      </c>
      <c r="CF197" s="154" t="str">
        <f t="shared" si="39"/>
        <v/>
      </c>
      <c r="CG197" s="154" t="str">
        <f t="shared" si="40"/>
        <v/>
      </c>
      <c r="CH197" s="308" t="str">
        <f t="shared" si="41"/>
        <v/>
      </c>
    </row>
    <row r="198">
      <c r="A198" s="155" t="s">
        <v>287</v>
      </c>
      <c r="B198" s="104" t="s">
        <v>94</v>
      </c>
      <c r="C198" s="468">
        <v>106364.0</v>
      </c>
      <c r="D198" s="161">
        <v>58.27</v>
      </c>
      <c r="E198" s="294">
        <v>0.0</v>
      </c>
      <c r="F198" s="295">
        <v>0.017579515</v>
      </c>
      <c r="G198" s="295">
        <v>0.086780043</v>
      </c>
      <c r="H198" s="108">
        <v>0.104359559</v>
      </c>
      <c r="I198" s="109">
        <v>1.63400443</v>
      </c>
      <c r="J198" s="109">
        <v>4.54109074</v>
      </c>
      <c r="K198" s="109">
        <v>6.175095178</v>
      </c>
      <c r="L198" s="112">
        <v>0.452756533</v>
      </c>
      <c r="M198" s="112">
        <v>0.155004898</v>
      </c>
      <c r="N198" s="112">
        <v>0.607761431</v>
      </c>
      <c r="O198" s="298">
        <v>0.0</v>
      </c>
      <c r="P198" s="156"/>
      <c r="Q198" s="156"/>
      <c r="R198" s="121" t="str">
        <f t="shared" si="4"/>
        <v/>
      </c>
      <c r="S198" s="116">
        <f t="shared" si="5"/>
        <v>0.3783554476</v>
      </c>
      <c r="T198" s="117"/>
      <c r="U198" s="118">
        <f t="shared" si="6"/>
        <v>0.73965</v>
      </c>
      <c r="V198" s="148"/>
      <c r="W198" s="120">
        <f t="shared" si="7"/>
        <v>0.6141272727</v>
      </c>
      <c r="X198" s="148"/>
      <c r="Y198" s="120">
        <f t="shared" si="8"/>
        <v>0.6018090909</v>
      </c>
      <c r="Z198" s="299"/>
      <c r="AA198" s="441"/>
      <c r="AB198" s="300" t="str">
        <f t="shared" si="9"/>
        <v/>
      </c>
      <c r="AC198" s="300">
        <f t="shared" si="10"/>
        <v>0.6890056172</v>
      </c>
      <c r="AD198" s="122">
        <v>0.0073</v>
      </c>
      <c r="AE198" s="123">
        <v>0.0</v>
      </c>
      <c r="AF198" s="430">
        <v>0.0</v>
      </c>
      <c r="AG198" s="316">
        <v>0.0</v>
      </c>
      <c r="AH198" s="316">
        <v>0.064301832</v>
      </c>
      <c r="AI198" s="317">
        <v>0.0</v>
      </c>
      <c r="AJ198" s="317">
        <v>0.058250465</v>
      </c>
      <c r="AK198" s="319">
        <v>0.0</v>
      </c>
      <c r="AL198" s="319">
        <v>0.022019028</v>
      </c>
      <c r="AM198" s="302">
        <v>0.0</v>
      </c>
      <c r="AN198" s="149" t="str">
        <f>IFERROR(
  AVERAGEIFS(
    'New LF Efficacy'!$J:$J,
    'New LF Efficacy'!$D:$D, $A198,
    'New LF Efficacy'!$F:$F,"DEC", 
    'New LF Efficacy'!$W:$W,"&lt;2016",
    'New LF Efficacy'!$AA:$AA,""),
  ""
)</f>
        <v/>
      </c>
      <c r="AO198" s="115">
        <f t="shared" si="11"/>
        <v>0.38</v>
      </c>
      <c r="AP198" s="149" t="str">
        <f>IFERROR(
AVERAGEIFS(
'New LF Efficacy'!$J:$J,
'New LF Efficacy'!$D:$D,$A198,
'New LF Efficacy'!$F:$F,"Albendazole &amp; DEC",
'New LF Efficacy'!$W:$W,"&lt;2016",
'New LF Efficacy'!$AA:$AA,""),
"")
</f>
        <v/>
      </c>
      <c r="AQ198" s="115">
        <f t="shared" si="12"/>
        <v>0.662</v>
      </c>
      <c r="AR198" s="149" t="str">
        <f>IFERROR(
AVERAGEIFS(
'New LF Efficacy'!$J:$J,
'New LF Efficacy'!$D:$D,$A198,
'New LF Efficacy'!$F:$F,"Albendazole &amp; Ivermectin", 
'New LF Efficacy'!$W:$W,"&lt;2016",
'New LF Efficacy'!$AA:$AA,""),"")</f>
        <v/>
      </c>
      <c r="AS198" s="115">
        <f t="shared" si="13"/>
        <v>0.37153125</v>
      </c>
      <c r="AT198" s="442" t="str">
        <f>IFERROR(AVERAGEIFS(
'Schist Efficacy'!$O:$O, 
'Schist Efficacy'!$C:$C,$A198, 
'Schist Efficacy'!$D:$D, "Praziquantel",
'Schist Efficacy'!$J:$J,"&lt;2016",
'Schist Efficacy'!$U:$U,""),
"")</f>
        <v/>
      </c>
      <c r="AU198" s="118">
        <f t="shared" si="14"/>
        <v>0.9475</v>
      </c>
      <c r="AV198" s="131" t="str">
        <f>IFERROR(AVERAGEIFS(
'STH Efficacy'!$AX:$AX, 
'STH Efficacy'!$AL:$AL, $A198, 
'STH Efficacy'!$AM:$AM, "Albendazole",
'STH Efficacy'!$AS:$AS,"&lt;2016",
'STH Efficacy'!$BP:$BP,""),
"")</f>
        <v/>
      </c>
      <c r="AW198" s="132">
        <f t="shared" si="15"/>
        <v>0.3571666667</v>
      </c>
      <c r="AX198" s="131" t="str">
        <f>IFERROR(AVERAGEIFS(
'STH Efficacy'!$AX:$AX, 
'STH Efficacy'!$AL:$AL, $A198, 
'STH Efficacy'!$AM:$AM, "Mebendazole",
'STH Efficacy'!$AS:$AS,"&lt;2016",
'STH Efficacy'!$BP:$BP,""),
"")</f>
        <v/>
      </c>
      <c r="AY198" s="132">
        <f t="shared" si="16"/>
        <v>0.4155</v>
      </c>
      <c r="AZ198" s="131" t="str">
        <f>IFERROR(AVERAGEIFS(
'STH Efficacy'!$AX:$AX, 
'STH Efficacy'!$AL:$AL, $A198, 
'STH Efficacy'!$AM:$AM, "Albendazole &amp; Ivermectin",
'STH Efficacy'!$AS:$AS,"&lt;2016",
'STH Efficacy'!$BP:$BP,""),
"")</f>
        <v/>
      </c>
      <c r="BA198" s="133">
        <f t="shared" si="17"/>
        <v>0.651</v>
      </c>
      <c r="BB198" s="443" t="str">
        <f>IFERROR(AVERAGEIFS(
'STH Efficacy'!$N:$N, 
'STH Efficacy'!$B:$B, $A198, 
'STH Efficacy'!$C:$C, "Albendazole",
'STH Efficacy'!$I:$I,"&lt;2016",
'STH Efficacy'!$AH:$AH,""),
"")</f>
        <v/>
      </c>
      <c r="BC198" s="135">
        <f t="shared" si="18"/>
        <v>0.5769166667</v>
      </c>
      <c r="BD198" s="443" t="str">
        <f>IFERROR(AVERAGEIFS(
'STH Efficacy'!$N:$N, 
'STH Efficacy'!$B:$B, $A198, 
'STH Efficacy'!$C:$C, "Mebendazole",
'STH Efficacy'!$I:$I,"&lt;2016",
'STH Efficacy'!$AH:$AH,""),
"")</f>
        <v/>
      </c>
      <c r="BE198" s="135">
        <f t="shared" si="19"/>
        <v>0.3145</v>
      </c>
      <c r="BF198" s="436" t="str">
        <f>IFERROR(AVERAGEIFS(
'STH Efficacy'!$CD:$CD, 
'STH Efficacy'!$BS:$BS, $A198, 
'STH Efficacy'!$BT:$BT, "Albendazole",
'STH Efficacy'!$BZ:$BZ,"&lt;2016",
'STH Efficacy'!$CU:$CU,""),
"")</f>
        <v/>
      </c>
      <c r="BG198" s="136">
        <f t="shared" si="20"/>
        <v>0.96925</v>
      </c>
      <c r="BH198" s="436" t="str">
        <f>IFERROR(AVERAGEIFS(
'STH Efficacy'!$CD:$CD, 
'STH Efficacy'!$BS:$BS, $A198, 
'STH Efficacy'!$BT:$BT, "Mebendazole",
'STH Efficacy'!$BZ:$BZ,"&lt;2016",
'STH Efficacy'!$CU:$CU,""),
"")</f>
        <v/>
      </c>
      <c r="BI198" s="136">
        <f t="shared" si="21"/>
        <v>0.9305</v>
      </c>
      <c r="BJ198" s="436" t="str">
        <f>IFERROR(AVERAGEIFS(
'STH Efficacy'!$CD:$CD, 
'STH Efficacy'!$BS:$BS, $A198, 
'STH Efficacy'!$BT:$BT, "Albendazole &amp; Ivermectin",
'STH Efficacy'!$BZ:$BZ,"&lt;2016",
'STH Efficacy'!$CU:$CU,""),
"")</f>
        <v/>
      </c>
      <c r="BK198" s="136">
        <f t="shared" si="22"/>
        <v>0.848</v>
      </c>
      <c r="BL198" s="444" t="str">
        <f>IFERROR(
  AVERAGEIFS(
    'NEW Onchocerciasis Efficacy'!$AO:$AO,
    'NEW Onchocerciasis Efficacy'!$C:$C,$A198,
    'NEW Onchocerciasis Efficacy'!$D:$D,"Ivermectin",
    'NEW Onchocerciasis Efficacy'!$AR:$AR,"&lt;2016",
    'NEW Onchocerciasis Efficacy'!$BG:$BG,"")
,"")</f>
        <v/>
      </c>
      <c r="BM198" s="304">
        <f t="shared" si="23"/>
        <v>0.7808368939</v>
      </c>
      <c r="BN198" s="439">
        <v>0.0</v>
      </c>
      <c r="BO198" s="139">
        <v>0.0</v>
      </c>
      <c r="BP198" s="140">
        <v>0.0</v>
      </c>
      <c r="BQ198" s="141">
        <f t="shared" si="24"/>
        <v>0</v>
      </c>
      <c r="BR198" s="104" t="str">
        <f t="shared" si="25"/>
        <v>0000</v>
      </c>
      <c r="BS198" s="104" t="str">
        <f t="shared" si="26"/>
        <v>no action required</v>
      </c>
      <c r="BT198" s="142" t="str">
        <f t="shared" si="43"/>
        <v/>
      </c>
      <c r="BU198" s="104" t="str">
        <f t="shared" si="28"/>
        <v/>
      </c>
      <c r="BV198" s="104" t="str">
        <f t="shared" si="29"/>
        <v>none</v>
      </c>
      <c r="BW198" s="150" t="str">
        <f t="shared" si="30"/>
        <v/>
      </c>
      <c r="BX198" s="150" t="str">
        <f t="shared" si="31"/>
        <v/>
      </c>
      <c r="BY198" s="151" t="str">
        <f t="shared" si="32"/>
        <v/>
      </c>
      <c r="BZ198" s="152" t="str">
        <f t="shared" si="33"/>
        <v/>
      </c>
      <c r="CA198" s="152" t="str">
        <f t="shared" si="34"/>
        <v/>
      </c>
      <c r="CB198" s="152" t="str">
        <f t="shared" si="35"/>
        <v/>
      </c>
      <c r="CC198" s="153" t="str">
        <f t="shared" si="36"/>
        <v/>
      </c>
      <c r="CD198" s="153" t="str">
        <f t="shared" si="37"/>
        <v/>
      </c>
      <c r="CE198" s="154" t="str">
        <f t="shared" si="38"/>
        <v/>
      </c>
      <c r="CF198" s="154" t="str">
        <f t="shared" si="39"/>
        <v/>
      </c>
      <c r="CG198" s="154" t="str">
        <f t="shared" si="40"/>
        <v/>
      </c>
      <c r="CH198" s="308" t="str">
        <f t="shared" si="41"/>
        <v/>
      </c>
    </row>
    <row r="199">
      <c r="A199" s="155" t="s">
        <v>288</v>
      </c>
      <c r="B199" s="104" t="s">
        <v>98</v>
      </c>
      <c r="C199" s="468">
        <v>1360092.0</v>
      </c>
      <c r="D199" s="161">
        <v>0.0</v>
      </c>
      <c r="E199" s="294">
        <v>0.0</v>
      </c>
      <c r="F199" s="295">
        <v>0.00367452</v>
      </c>
      <c r="G199" s="295">
        <v>0.032776282</v>
      </c>
      <c r="H199" s="108">
        <v>0.036450802</v>
      </c>
      <c r="I199" s="109">
        <v>1.12320241</v>
      </c>
      <c r="J199" s="109">
        <v>3.47270707</v>
      </c>
      <c r="K199" s="109">
        <v>4.595909479</v>
      </c>
      <c r="L199" s="112">
        <v>1.508744718</v>
      </c>
      <c r="M199" s="112">
        <v>0.956622</v>
      </c>
      <c r="N199" s="112">
        <v>2.465366718</v>
      </c>
      <c r="O199" s="298">
        <v>0.0</v>
      </c>
      <c r="P199" s="156"/>
      <c r="Q199" s="156"/>
      <c r="R199" s="121" t="str">
        <f t="shared" si="4"/>
        <v/>
      </c>
      <c r="S199" s="116">
        <f t="shared" si="5"/>
        <v>0.3565746084</v>
      </c>
      <c r="T199" s="117"/>
      <c r="U199" s="118">
        <f t="shared" si="6"/>
        <v>0.4791888889</v>
      </c>
      <c r="V199" s="148"/>
      <c r="W199" s="120">
        <f t="shared" si="7"/>
        <v>0.685</v>
      </c>
      <c r="X199" s="148"/>
      <c r="Y199" s="120">
        <f t="shared" si="8"/>
        <v>0.7550545455</v>
      </c>
      <c r="Z199" s="299"/>
      <c r="AA199" s="441"/>
      <c r="AB199" s="300" t="str">
        <f t="shared" si="9"/>
        <v/>
      </c>
      <c r="AC199" s="300">
        <f t="shared" si="10"/>
        <v>0.7101368438</v>
      </c>
      <c r="AD199" s="122">
        <v>0.0</v>
      </c>
      <c r="AE199" s="123">
        <v>0.0</v>
      </c>
      <c r="AF199" s="430">
        <v>0.0</v>
      </c>
      <c r="AG199" s="316">
        <v>0.0</v>
      </c>
      <c r="AH199" s="316">
        <v>0.025955585</v>
      </c>
      <c r="AI199" s="317">
        <v>0.0</v>
      </c>
      <c r="AJ199" s="317">
        <v>0.00880533</v>
      </c>
      <c r="AK199" s="319">
        <v>0.0</v>
      </c>
      <c r="AL199" s="319">
        <v>0.00720512</v>
      </c>
      <c r="AM199" s="302">
        <v>0.0</v>
      </c>
      <c r="AN199" s="149" t="str">
        <f>IFERROR(
  AVERAGEIFS(
    'New LF Efficacy'!$J:$J,
    'New LF Efficacy'!$D:$D, $A199,
    'New LF Efficacy'!$F:$F,"DEC", 
    'New LF Efficacy'!$W:$W,"&lt;2016",
    'New LF Efficacy'!$AA:$AA,""),
  ""
)</f>
        <v/>
      </c>
      <c r="AO199" s="115">
        <f t="shared" si="11"/>
        <v>0.2589833333</v>
      </c>
      <c r="AP199" s="149" t="str">
        <f>IFERROR(
AVERAGEIFS(
'New LF Efficacy'!$J:$J,
'New LF Efficacy'!$D:$D,$A199,
'New LF Efficacy'!$F:$F,"Albendazole &amp; DEC",
'New LF Efficacy'!$W:$W,"&lt;2016",
'New LF Efficacy'!$AA:$AA,""),
"")
</f>
        <v/>
      </c>
      <c r="AQ199" s="115">
        <f t="shared" si="12"/>
        <v>0.3465</v>
      </c>
      <c r="AR199" s="149" t="str">
        <f>IFERROR(
AVERAGEIFS(
'New LF Efficacy'!$J:$J,
'New LF Efficacy'!$D:$D,$A199,
'New LF Efficacy'!$F:$F,"Albendazole &amp; Ivermectin", 
'New LF Efficacy'!$W:$W,"&lt;2016",
'New LF Efficacy'!$AA:$AA,""),"")</f>
        <v/>
      </c>
      <c r="AS199" s="115">
        <f t="shared" si="13"/>
        <v>0.7575</v>
      </c>
      <c r="AT199" s="442" t="str">
        <f>IFERROR(AVERAGEIFS(
'Schist Efficacy'!$O:$O, 
'Schist Efficacy'!$C:$C,$A199, 
'Schist Efficacy'!$D:$D, "Praziquantel",
'Schist Efficacy'!$J:$J,"&lt;2016",
'Schist Efficacy'!$U:$U,""),
"")</f>
        <v/>
      </c>
      <c r="AU199" s="118">
        <f t="shared" si="14"/>
        <v>0.7914761905</v>
      </c>
      <c r="AV199" s="131" t="str">
        <f>IFERROR(AVERAGEIFS(
'STH Efficacy'!$AX:$AX, 
'STH Efficacy'!$AL:$AL, $A199, 
'STH Efficacy'!$AM:$AM, "Albendazole",
'STH Efficacy'!$AS:$AS,"&lt;2016",
'STH Efficacy'!$BP:$BP,""),
"")</f>
        <v/>
      </c>
      <c r="AW199" s="132">
        <f t="shared" si="15"/>
        <v>0.3945</v>
      </c>
      <c r="AX199" s="131" t="str">
        <f>IFERROR(AVERAGEIFS(
'STH Efficacy'!$AX:$AX, 
'STH Efficacy'!$AL:$AL, $A199, 
'STH Efficacy'!$AM:$AM, "Mebendazole",
'STH Efficacy'!$AS:$AS,"&lt;2016",
'STH Efficacy'!$BP:$BP,""),
"")</f>
        <v/>
      </c>
      <c r="AY199" s="132">
        <f t="shared" si="16"/>
        <v>0.6</v>
      </c>
      <c r="AZ199" s="131" t="str">
        <f>IFERROR(AVERAGEIFS(
'STH Efficacy'!$AX:$AX, 
'STH Efficacy'!$AL:$AL, $A199, 
'STH Efficacy'!$AM:$AM, "Albendazole &amp; Ivermectin",
'STH Efficacy'!$AS:$AS,"&lt;2016",
'STH Efficacy'!$BP:$BP,""),
"")</f>
        <v/>
      </c>
      <c r="BA199" s="133">
        <f t="shared" si="17"/>
        <v>0.796</v>
      </c>
      <c r="BB199" s="443" t="str">
        <f>IFERROR(AVERAGEIFS(
'STH Efficacy'!$N:$N, 
'STH Efficacy'!$B:$B, $A199, 
'STH Efficacy'!$C:$C, "Albendazole",
'STH Efficacy'!$I:$I,"&lt;2016",
'STH Efficacy'!$AH:$AH,""),
"")</f>
        <v/>
      </c>
      <c r="BC199" s="135">
        <f t="shared" si="18"/>
        <v>0.869</v>
      </c>
      <c r="BD199" s="443" t="str">
        <f>IFERROR(AVERAGEIFS(
'STH Efficacy'!$N:$N, 
'STH Efficacy'!$B:$B, $A199, 
'STH Efficacy'!$C:$C, "Mebendazole",
'STH Efficacy'!$I:$I,"&lt;2016",
'STH Efficacy'!$AH:$AH,""),
"")</f>
        <v/>
      </c>
      <c r="BE199" s="135">
        <f t="shared" si="19"/>
        <v>0.172</v>
      </c>
      <c r="BF199" s="436" t="str">
        <f>IFERROR(AVERAGEIFS(
'STH Efficacy'!$CD:$CD, 
'STH Efficacy'!$BS:$BS, $A199, 
'STH Efficacy'!$BT:$BT, "Albendazole",
'STH Efficacy'!$BZ:$BZ,"&lt;2016",
'STH Efficacy'!$CU:$CU,""),
"")</f>
        <v/>
      </c>
      <c r="BG199" s="136">
        <f t="shared" si="20"/>
        <v>0.9862</v>
      </c>
      <c r="BH199" s="436" t="str">
        <f>IFERROR(AVERAGEIFS(
'STH Efficacy'!$CD:$CD, 
'STH Efficacy'!$BS:$BS, $A199, 
'STH Efficacy'!$BT:$BT, "Mebendazole",
'STH Efficacy'!$BZ:$BZ,"&lt;2016",
'STH Efficacy'!$CU:$CU,""),
"")</f>
        <v/>
      </c>
      <c r="BI199" s="136">
        <f t="shared" si="21"/>
        <v>0.769</v>
      </c>
      <c r="BJ199" s="436" t="str">
        <f>IFERROR(AVERAGEIFS(
'STH Efficacy'!$CD:$CD, 
'STH Efficacy'!$BS:$BS, $A199, 
'STH Efficacy'!$BT:$BT, "Albendazole &amp; Ivermectin",
'STH Efficacy'!$BZ:$BZ,"&lt;2016",
'STH Efficacy'!$CU:$CU,""),
"")</f>
        <v/>
      </c>
      <c r="BK199" s="136">
        <f t="shared" si="22"/>
        <v>1</v>
      </c>
      <c r="BL199" s="444" t="str">
        <f>IFERROR(
  AVERAGEIFS(
    'NEW Onchocerciasis Efficacy'!$AO:$AO,
    'NEW Onchocerciasis Efficacy'!$C:$C,$A199,
    'NEW Onchocerciasis Efficacy'!$D:$D,"Ivermectin",
    'NEW Onchocerciasis Efficacy'!$AR:$AR,"&lt;2016",
    'NEW Onchocerciasis Efficacy'!$BG:$BG,"")
,"")</f>
        <v/>
      </c>
      <c r="BM199" s="304">
        <f t="shared" si="23"/>
        <v>0.3734</v>
      </c>
      <c r="BN199" s="439">
        <v>0.0</v>
      </c>
      <c r="BO199" s="139">
        <v>0.0</v>
      </c>
      <c r="BP199" s="140">
        <v>0.0</v>
      </c>
      <c r="BQ199" s="141">
        <f t="shared" si="24"/>
        <v>0</v>
      </c>
      <c r="BR199" s="104" t="str">
        <f t="shared" si="25"/>
        <v>0000</v>
      </c>
      <c r="BS199" s="104" t="str">
        <f t="shared" si="26"/>
        <v>no action required</v>
      </c>
      <c r="BT199" s="142" t="str">
        <f t="shared" si="43"/>
        <v/>
      </c>
      <c r="BU199" s="104" t="str">
        <f t="shared" si="28"/>
        <v/>
      </c>
      <c r="BV199" s="104" t="str">
        <f t="shared" si="29"/>
        <v>none</v>
      </c>
      <c r="BW199" s="150" t="str">
        <f t="shared" si="30"/>
        <v/>
      </c>
      <c r="BX199" s="150" t="str">
        <f t="shared" si="31"/>
        <v/>
      </c>
      <c r="BY199" s="151" t="str">
        <f t="shared" si="32"/>
        <v/>
      </c>
      <c r="BZ199" s="152" t="str">
        <f t="shared" si="33"/>
        <v/>
      </c>
      <c r="CA199" s="152" t="str">
        <f t="shared" si="34"/>
        <v/>
      </c>
      <c r="CB199" s="152" t="str">
        <f t="shared" si="35"/>
        <v/>
      </c>
      <c r="CC199" s="153" t="str">
        <f t="shared" si="36"/>
        <v/>
      </c>
      <c r="CD199" s="153" t="str">
        <f t="shared" si="37"/>
        <v/>
      </c>
      <c r="CE199" s="154" t="str">
        <f t="shared" si="38"/>
        <v/>
      </c>
      <c r="CF199" s="154" t="str">
        <f t="shared" si="39"/>
        <v/>
      </c>
      <c r="CG199" s="154" t="str">
        <f t="shared" si="40"/>
        <v/>
      </c>
      <c r="CH199" s="308" t="str">
        <f t="shared" si="41"/>
        <v/>
      </c>
    </row>
    <row r="200">
      <c r="A200" s="155" t="s">
        <v>289</v>
      </c>
      <c r="B200" s="104" t="s">
        <v>88</v>
      </c>
      <c r="C200" s="468">
        <v>1.1273661E7</v>
      </c>
      <c r="D200" s="161">
        <v>0.0</v>
      </c>
      <c r="E200" s="294">
        <v>621.8835763</v>
      </c>
      <c r="F200" s="295">
        <v>0.077097508</v>
      </c>
      <c r="G200" s="295">
        <v>0.447123209</v>
      </c>
      <c r="H200" s="108">
        <v>0.524220717</v>
      </c>
      <c r="I200" s="109">
        <v>0.10669152</v>
      </c>
      <c r="J200" s="109">
        <v>0.104339</v>
      </c>
      <c r="K200" s="109">
        <v>0.211030515</v>
      </c>
      <c r="L200" s="112">
        <v>11.23656187</v>
      </c>
      <c r="M200" s="112">
        <v>17.93751175</v>
      </c>
      <c r="N200" s="112">
        <v>29.17407362</v>
      </c>
      <c r="O200" s="298">
        <v>0.0</v>
      </c>
      <c r="P200" s="114"/>
      <c r="Q200" s="114"/>
      <c r="R200" s="121" t="str">
        <f t="shared" si="4"/>
        <v/>
      </c>
      <c r="S200" s="116">
        <f t="shared" si="5"/>
        <v>0.5709301448</v>
      </c>
      <c r="T200" s="117"/>
      <c r="U200" s="118">
        <f t="shared" si="6"/>
        <v>0.739</v>
      </c>
      <c r="V200" s="148"/>
      <c r="W200" s="120">
        <f t="shared" si="7"/>
        <v>0.9933333333</v>
      </c>
      <c r="X200" s="148"/>
      <c r="Y200" s="120">
        <f t="shared" si="8"/>
        <v>0.5301</v>
      </c>
      <c r="Z200" s="299"/>
      <c r="AA200" s="441"/>
      <c r="AB200" s="300" t="str">
        <f t="shared" si="9"/>
        <v/>
      </c>
      <c r="AC200" s="300">
        <f t="shared" si="10"/>
        <v>0.4014082288</v>
      </c>
      <c r="AD200" s="122">
        <v>0.0</v>
      </c>
      <c r="AE200" s="123">
        <v>0.01</v>
      </c>
      <c r="AF200" s="430">
        <v>7.0E-4</v>
      </c>
      <c r="AG200" s="124">
        <v>0.0162</v>
      </c>
      <c r="AH200" s="124">
        <v>0.029071523</v>
      </c>
      <c r="AI200" s="125">
        <v>0.0055</v>
      </c>
      <c r="AJ200" s="125">
        <v>1.11775E-5</v>
      </c>
      <c r="AK200" s="127">
        <v>0.0045</v>
      </c>
      <c r="AL200" s="127">
        <v>0.065781279</v>
      </c>
      <c r="AM200" s="302">
        <v>0.0</v>
      </c>
      <c r="AN200" s="149" t="str">
        <f>IFERROR(
  AVERAGEIFS(
    'New LF Efficacy'!$J:$J,
    'New LF Efficacy'!$D:$D, $A200,
    'New LF Efficacy'!$F:$F,"DEC", 
    'New LF Efficacy'!$W:$W,"&lt;2016",
    'New LF Efficacy'!$AA:$AA,""),
  ""
)</f>
        <v/>
      </c>
      <c r="AO200" s="115">
        <f t="shared" si="11"/>
        <v>0.3573520833</v>
      </c>
      <c r="AP200" s="149" t="str">
        <f>IFERROR(
AVERAGEIFS(
'New LF Efficacy'!$J:$J,
'New LF Efficacy'!$D:$D,$A200,
'New LF Efficacy'!$F:$F,"Albendazole &amp; DEC",
'New LF Efficacy'!$W:$W,"&lt;2016",
'New LF Efficacy'!$AA:$AA,""),
"")
</f>
        <v/>
      </c>
      <c r="AQ200" s="115">
        <f t="shared" si="12"/>
        <v>0.7935</v>
      </c>
      <c r="AR200" s="149" t="str">
        <f>IFERROR(
AVERAGEIFS(
'New LF Efficacy'!$J:$J,
'New LF Efficacy'!$D:$D,$A200,
'New LF Efficacy'!$F:$F,"Albendazole &amp; Ivermectin", 
'New LF Efficacy'!$W:$W,"&lt;2016",
'New LF Efficacy'!$AA:$AA,""),"")</f>
        <v/>
      </c>
      <c r="AS200" s="115">
        <f t="shared" si="13"/>
        <v>0.37153125</v>
      </c>
      <c r="AT200" s="442" t="str">
        <f>IFERROR(AVERAGEIFS(
'Schist Efficacy'!$O:$O, 
'Schist Efficacy'!$C:$C,$A200, 
'Schist Efficacy'!$D:$D, "Praziquantel",
'Schist Efficacy'!$J:$J,"&lt;2016",
'Schist Efficacy'!$U:$U,""),
"")</f>
        <v/>
      </c>
      <c r="AU200" s="118">
        <f t="shared" si="14"/>
        <v>0.7763141026</v>
      </c>
      <c r="AV200" s="131" t="str">
        <f>IFERROR(AVERAGEIFS(
'STH Efficacy'!$AX:$AX, 
'STH Efficacy'!$AL:$AL, $A200, 
'STH Efficacy'!$AM:$AM, "Albendazole",
'STH Efficacy'!$AS:$AS,"&lt;2016",
'STH Efficacy'!$BP:$BP,""),
"")</f>
        <v/>
      </c>
      <c r="AW200" s="132">
        <f t="shared" si="15"/>
        <v>0.4143846154</v>
      </c>
      <c r="AX200" s="131" t="str">
        <f>IFERROR(AVERAGEIFS(
'STH Efficacy'!$AX:$AX, 
'STH Efficacy'!$AL:$AL, $A200, 
'STH Efficacy'!$AM:$AM, "Mebendazole",
'STH Efficacy'!$AS:$AS,"&lt;2016",
'STH Efficacy'!$BP:$BP,""),
"")</f>
        <v/>
      </c>
      <c r="AY200" s="132">
        <f t="shared" si="16"/>
        <v>0.4691770833</v>
      </c>
      <c r="AZ200" s="131" t="str">
        <f>IFERROR(AVERAGEIFS(
'STH Efficacy'!$AX:$AX, 
'STH Efficacy'!$AL:$AL, $A200, 
'STH Efficacy'!$AM:$AM, "Albendazole &amp; Ivermectin",
'STH Efficacy'!$AS:$AS,"&lt;2016",
'STH Efficacy'!$BP:$BP,""),
"")</f>
        <v/>
      </c>
      <c r="BA200" s="133">
        <f t="shared" si="17"/>
        <v>0.597625</v>
      </c>
      <c r="BB200" s="443" t="str">
        <f>IFERROR(AVERAGEIFS(
'STH Efficacy'!$N:$N, 
'STH Efficacy'!$B:$B, $A200, 
'STH Efficacy'!$C:$C, "Albendazole",
'STH Efficacy'!$I:$I,"&lt;2016",
'STH Efficacy'!$AH:$AH,""),
"")</f>
        <v/>
      </c>
      <c r="BC200" s="135">
        <f t="shared" si="18"/>
        <v>0.7613712121</v>
      </c>
      <c r="BD200" s="443" t="str">
        <f>IFERROR(AVERAGEIFS(
'STH Efficacy'!$N:$N, 
'STH Efficacy'!$B:$B, $A200, 
'STH Efficacy'!$C:$C, "Mebendazole",
'STH Efficacy'!$I:$I,"&lt;2016",
'STH Efficacy'!$AH:$AH,""),
"")</f>
        <v/>
      </c>
      <c r="BE200" s="135">
        <f t="shared" si="19"/>
        <v>0.4362466667</v>
      </c>
      <c r="BF200" s="436" t="str">
        <f>IFERROR(AVERAGEIFS(
'STH Efficacy'!$CD:$CD, 
'STH Efficacy'!$BS:$BS, $A200, 
'STH Efficacy'!$BT:$BT, "Albendazole",
'STH Efficacy'!$BZ:$BZ,"&lt;2016",
'STH Efficacy'!$CU:$CU,""),
"")</f>
        <v/>
      </c>
      <c r="BG200" s="136">
        <f t="shared" si="20"/>
        <v>0.955</v>
      </c>
      <c r="BH200" s="436" t="str">
        <f>IFERROR(AVERAGEIFS(
'STH Efficacy'!$CD:$CD, 
'STH Efficacy'!$BS:$BS, $A200, 
'STH Efficacy'!$BT:$BT, "Mebendazole",
'STH Efficacy'!$BZ:$BZ,"&lt;2016",
'STH Efficacy'!$CU:$CU,""),
"")</f>
        <v/>
      </c>
      <c r="BI200" s="136">
        <f t="shared" si="21"/>
        <v>1</v>
      </c>
      <c r="BJ200" s="436" t="str">
        <f>IFERROR(AVERAGEIFS(
'STH Efficacy'!$CD:$CD, 
'STH Efficacy'!$BS:$BS, $A200, 
'STH Efficacy'!$BT:$BT, "Albendazole &amp; Ivermectin",
'STH Efficacy'!$BZ:$BZ,"&lt;2016",
'STH Efficacy'!$CU:$CU,""),
"")</f>
        <v/>
      </c>
      <c r="BK200" s="136">
        <f t="shared" si="22"/>
        <v>0.848</v>
      </c>
      <c r="BL200" s="444" t="str">
        <f>IFERROR(
  AVERAGEIFS(
    'NEW Onchocerciasis Efficacy'!$AO:$AO,
    'NEW Onchocerciasis Efficacy'!$C:$C,$A200,
    'NEW Onchocerciasis Efficacy'!$D:$D,"Ivermectin",
    'NEW Onchocerciasis Efficacy'!$AR:$AR,"&lt;2016",
    'NEW Onchocerciasis Efficacy'!$BG:$BG,"")
,"")</f>
        <v/>
      </c>
      <c r="BM200" s="304">
        <f t="shared" si="23"/>
        <v>0.7808368939</v>
      </c>
      <c r="BN200" s="439">
        <v>0.0</v>
      </c>
      <c r="BO200" s="139">
        <v>0.0</v>
      </c>
      <c r="BP200" s="140">
        <v>0.0</v>
      </c>
      <c r="BQ200" s="141">
        <f t="shared" si="24"/>
        <v>0</v>
      </c>
      <c r="BR200" s="104" t="str">
        <f t="shared" si="25"/>
        <v>0000</v>
      </c>
      <c r="BS200" s="104" t="str">
        <f t="shared" si="26"/>
        <v>no action required</v>
      </c>
      <c r="BT200" s="142" t="str">
        <f t="shared" si="43"/>
        <v/>
      </c>
      <c r="BU200" s="104" t="str">
        <f t="shared" si="28"/>
        <v/>
      </c>
      <c r="BV200" s="104" t="str">
        <f t="shared" si="29"/>
        <v>none</v>
      </c>
      <c r="BW200" s="150" t="str">
        <f t="shared" si="30"/>
        <v/>
      </c>
      <c r="BX200" s="150" t="str">
        <f t="shared" si="31"/>
        <v/>
      </c>
      <c r="BY200" s="151" t="str">
        <f t="shared" si="32"/>
        <v/>
      </c>
      <c r="BZ200" s="152" t="str">
        <f t="shared" si="33"/>
        <v/>
      </c>
      <c r="CA200" s="152" t="str">
        <f t="shared" si="34"/>
        <v/>
      </c>
      <c r="CB200" s="152" t="str">
        <f t="shared" si="35"/>
        <v/>
      </c>
      <c r="CC200" s="153" t="str">
        <f t="shared" si="36"/>
        <v/>
      </c>
      <c r="CD200" s="153" t="str">
        <f t="shared" si="37"/>
        <v/>
      </c>
      <c r="CE200" s="154" t="str">
        <f t="shared" si="38"/>
        <v/>
      </c>
      <c r="CF200" s="154" t="str">
        <f t="shared" si="39"/>
        <v/>
      </c>
      <c r="CG200" s="154" t="str">
        <f t="shared" si="40"/>
        <v/>
      </c>
      <c r="CH200" s="308" t="str">
        <f t="shared" si="41"/>
        <v/>
      </c>
    </row>
    <row r="201">
      <c r="A201" s="155" t="s">
        <v>290</v>
      </c>
      <c r="B201" s="104" t="s">
        <v>90</v>
      </c>
      <c r="C201" s="468">
        <v>7.8271472E7</v>
      </c>
      <c r="D201" s="161">
        <v>0.0</v>
      </c>
      <c r="E201" s="294">
        <v>497.1245829</v>
      </c>
      <c r="F201" s="295">
        <v>2.511153186</v>
      </c>
      <c r="G201" s="295">
        <v>15.57556672</v>
      </c>
      <c r="H201" s="108">
        <v>18.08671991</v>
      </c>
      <c r="I201" s="109">
        <v>0.38826333</v>
      </c>
      <c r="J201" s="109">
        <v>0.4276723</v>
      </c>
      <c r="K201" s="109">
        <v>0.815935633</v>
      </c>
      <c r="L201" s="112">
        <v>65.23332988</v>
      </c>
      <c r="M201" s="112">
        <v>58.71971153</v>
      </c>
      <c r="N201" s="112">
        <v>123.9530414</v>
      </c>
      <c r="O201" s="298">
        <v>0.0</v>
      </c>
      <c r="P201" s="114"/>
      <c r="Q201" s="114"/>
      <c r="R201" s="121" t="str">
        <f t="shared" si="4"/>
        <v/>
      </c>
      <c r="S201" s="116">
        <f t="shared" si="5"/>
        <v>0.5709301448</v>
      </c>
      <c r="T201" s="117"/>
      <c r="U201" s="118">
        <f t="shared" si="6"/>
        <v>0.4791888889</v>
      </c>
      <c r="V201" s="148"/>
      <c r="W201" s="120">
        <f t="shared" si="7"/>
        <v>0.0223</v>
      </c>
      <c r="X201" s="148"/>
      <c r="Y201" s="120">
        <f t="shared" si="8"/>
        <v>0.598275</v>
      </c>
      <c r="Z201" s="299"/>
      <c r="AA201" s="441"/>
      <c r="AB201" s="300" t="str">
        <f t="shared" si="9"/>
        <v/>
      </c>
      <c r="AC201" s="300">
        <f t="shared" si="10"/>
        <v>0.6890056172</v>
      </c>
      <c r="AD201" s="122">
        <v>0.0</v>
      </c>
      <c r="AE201" s="123">
        <v>0.0</v>
      </c>
      <c r="AF201" s="430">
        <v>1.0E-4</v>
      </c>
      <c r="AG201" s="124">
        <v>0.019</v>
      </c>
      <c r="AH201" s="124">
        <v>0.025347616</v>
      </c>
      <c r="AI201" s="125">
        <v>0.0</v>
      </c>
      <c r="AJ201" s="125">
        <v>1.14948E-5</v>
      </c>
      <c r="AK201" s="127">
        <v>0.0431</v>
      </c>
      <c r="AL201" s="127">
        <v>0.040260566</v>
      </c>
      <c r="AM201" s="302">
        <v>0.0</v>
      </c>
      <c r="AN201" s="149" t="str">
        <f>IFERROR(
  AVERAGEIFS(
    'New LF Efficacy'!$J:$J,
    'New LF Efficacy'!$D:$D, $A201,
    'New LF Efficacy'!$F:$F,"DEC", 
    'New LF Efficacy'!$W:$W,"&lt;2016",
    'New LF Efficacy'!$AA:$AA,""),
  ""
)</f>
        <v/>
      </c>
      <c r="AO201" s="115">
        <f t="shared" si="11"/>
        <v>0.3573520833</v>
      </c>
      <c r="AP201" s="149" t="str">
        <f>IFERROR(
AVERAGEIFS(
'New LF Efficacy'!$J:$J,
'New LF Efficacy'!$D:$D,$A201,
'New LF Efficacy'!$F:$F,"Albendazole &amp; DEC",
'New LF Efficacy'!$W:$W,"&lt;2016",
'New LF Efficacy'!$AA:$AA,""),
"")
</f>
        <v/>
      </c>
      <c r="AQ201" s="115">
        <f t="shared" si="12"/>
        <v>0.5143541667</v>
      </c>
      <c r="AR201" s="149" t="str">
        <f>IFERROR(
AVERAGEIFS(
'New LF Efficacy'!$J:$J,
'New LF Efficacy'!$D:$D,$A201,
'New LF Efficacy'!$F:$F,"Albendazole &amp; Ivermectin", 
'New LF Efficacy'!$W:$W,"&lt;2016",
'New LF Efficacy'!$AA:$AA,""),"")</f>
        <v/>
      </c>
      <c r="AS201" s="115">
        <f t="shared" si="13"/>
        <v>0.37153125</v>
      </c>
      <c r="AT201" s="442" t="str">
        <f>IFERROR(AVERAGEIFS(
'Schist Efficacy'!$O:$O, 
'Schist Efficacy'!$C:$C,$A201, 
'Schist Efficacy'!$D:$D, "Praziquantel",
'Schist Efficacy'!$J:$J,"&lt;2016",
'Schist Efficacy'!$U:$U,""),
"")</f>
        <v/>
      </c>
      <c r="AU201" s="118">
        <f t="shared" si="14"/>
        <v>0.655</v>
      </c>
      <c r="AV201" s="131" t="str">
        <f>IFERROR(AVERAGEIFS(
'STH Efficacy'!$AX:$AX, 
'STH Efficacy'!$AL:$AL, $A201, 
'STH Efficacy'!$AM:$AM, "Albendazole",
'STH Efficacy'!$AS:$AS,"&lt;2016",
'STH Efficacy'!$BP:$BP,""),
"")</f>
        <v/>
      </c>
      <c r="AW201" s="132">
        <f t="shared" si="15"/>
        <v>0.4143846154</v>
      </c>
      <c r="AX201" s="131" t="str">
        <f>IFERROR(AVERAGEIFS(
'STH Efficacy'!$AX:$AX, 
'STH Efficacy'!$AL:$AL, $A201, 
'STH Efficacy'!$AM:$AM, "Mebendazole",
'STH Efficacy'!$AS:$AS,"&lt;2016",
'STH Efficacy'!$BP:$BP,""),
"")</f>
        <v/>
      </c>
      <c r="AY201" s="132">
        <f t="shared" si="16"/>
        <v>0.4691770833</v>
      </c>
      <c r="AZ201" s="131" t="str">
        <f>IFERROR(AVERAGEIFS(
'STH Efficacy'!$AX:$AX, 
'STH Efficacy'!$AL:$AL, $A201, 
'STH Efficacy'!$AM:$AM, "Albendazole &amp; Ivermectin",
'STH Efficacy'!$AS:$AS,"&lt;2016",
'STH Efficacy'!$BP:$BP,""),
"")</f>
        <v/>
      </c>
      <c r="BA201" s="133">
        <f t="shared" si="17"/>
        <v>0.597625</v>
      </c>
      <c r="BB201" s="443" t="str">
        <f>IFERROR(AVERAGEIFS(
'STH Efficacy'!$N:$N, 
'STH Efficacy'!$B:$B, $A201, 
'STH Efficacy'!$C:$C, "Albendazole",
'STH Efficacy'!$I:$I,"&lt;2016",
'STH Efficacy'!$AH:$AH,""),
"")</f>
        <v/>
      </c>
      <c r="BC201" s="135">
        <f t="shared" si="18"/>
        <v>0.7613712121</v>
      </c>
      <c r="BD201" s="443" t="str">
        <f>IFERROR(AVERAGEIFS(
'STH Efficacy'!$N:$N, 
'STH Efficacy'!$B:$B, $A201, 
'STH Efficacy'!$C:$C, "Mebendazole",
'STH Efficacy'!$I:$I,"&lt;2016",
'STH Efficacy'!$AH:$AH,""),
"")</f>
        <v/>
      </c>
      <c r="BE201" s="135">
        <f t="shared" si="19"/>
        <v>0.4362466667</v>
      </c>
      <c r="BF201" s="436" t="str">
        <f>IFERROR(AVERAGEIFS(
'STH Efficacy'!$CD:$CD, 
'STH Efficacy'!$BS:$BS, $A201, 
'STH Efficacy'!$BT:$BT, "Albendazole",
'STH Efficacy'!$BZ:$BZ,"&lt;2016",
'STH Efficacy'!$CU:$CU,""),
"")</f>
        <v/>
      </c>
      <c r="BG201" s="136">
        <f t="shared" si="20"/>
        <v>0.9216027778</v>
      </c>
      <c r="BH201" s="436" t="str">
        <f>IFERROR(AVERAGEIFS(
'STH Efficacy'!$CD:$CD, 
'STH Efficacy'!$BS:$BS, $A201, 
'STH Efficacy'!$BT:$BT, "Mebendazole",
'STH Efficacy'!$BZ:$BZ,"&lt;2016",
'STH Efficacy'!$CU:$CU,""),
"")</f>
        <v/>
      </c>
      <c r="BI201" s="136">
        <f t="shared" si="21"/>
        <v>0.8866041667</v>
      </c>
      <c r="BJ201" s="436" t="str">
        <f>IFERROR(AVERAGEIFS(
'STH Efficacy'!$CD:$CD, 
'STH Efficacy'!$BS:$BS, $A201, 
'STH Efficacy'!$BT:$BT, "Albendazole &amp; Ivermectin",
'STH Efficacy'!$BZ:$BZ,"&lt;2016",
'STH Efficacy'!$CU:$CU,""),
"")</f>
        <v/>
      </c>
      <c r="BK201" s="136">
        <f t="shared" si="22"/>
        <v>0.848</v>
      </c>
      <c r="BL201" s="444" t="str">
        <f>IFERROR(
  AVERAGEIFS(
    'NEW Onchocerciasis Efficacy'!$AO:$AO,
    'NEW Onchocerciasis Efficacy'!$C:$C,$A201,
    'NEW Onchocerciasis Efficacy'!$D:$D,"Ivermectin",
    'NEW Onchocerciasis Efficacy'!$AR:$AR,"&lt;2016",
    'NEW Onchocerciasis Efficacy'!$BG:$BG,"")
,"")</f>
        <v/>
      </c>
      <c r="BM201" s="304">
        <f t="shared" si="23"/>
        <v>0.7808368939</v>
      </c>
      <c r="BN201" s="439">
        <v>0.0</v>
      </c>
      <c r="BO201" s="139">
        <v>0.0</v>
      </c>
      <c r="BP201" s="140">
        <v>0.0</v>
      </c>
      <c r="BQ201" s="141">
        <f t="shared" si="24"/>
        <v>0</v>
      </c>
      <c r="BR201" s="104" t="str">
        <f t="shared" si="25"/>
        <v>0000</v>
      </c>
      <c r="BS201" s="104" t="str">
        <f t="shared" si="26"/>
        <v>no action required</v>
      </c>
      <c r="BT201" s="142" t="str">
        <f t="shared" si="43"/>
        <v/>
      </c>
      <c r="BU201" s="104" t="str">
        <f t="shared" si="28"/>
        <v/>
      </c>
      <c r="BV201" s="104" t="str">
        <f t="shared" si="29"/>
        <v>none</v>
      </c>
      <c r="BW201" s="150" t="str">
        <f t="shared" si="30"/>
        <v/>
      </c>
      <c r="BX201" s="150" t="str">
        <f t="shared" si="31"/>
        <v/>
      </c>
      <c r="BY201" s="151" t="str">
        <f t="shared" si="32"/>
        <v/>
      </c>
      <c r="BZ201" s="152" t="str">
        <f t="shared" si="33"/>
        <v/>
      </c>
      <c r="CA201" s="152" t="str">
        <f t="shared" si="34"/>
        <v/>
      </c>
      <c r="CB201" s="152" t="str">
        <f t="shared" si="35"/>
        <v/>
      </c>
      <c r="CC201" s="153" t="str">
        <f t="shared" si="36"/>
        <v/>
      </c>
      <c r="CD201" s="153" t="str">
        <f t="shared" si="37"/>
        <v/>
      </c>
      <c r="CE201" s="154" t="str">
        <f t="shared" si="38"/>
        <v/>
      </c>
      <c r="CF201" s="154" t="str">
        <f t="shared" si="39"/>
        <v/>
      </c>
      <c r="CG201" s="154" t="str">
        <f t="shared" si="40"/>
        <v/>
      </c>
      <c r="CH201" s="308" t="str">
        <f t="shared" si="41"/>
        <v/>
      </c>
    </row>
    <row r="202">
      <c r="A202" s="155" t="s">
        <v>291</v>
      </c>
      <c r="B202" s="104" t="s">
        <v>90</v>
      </c>
      <c r="C202" s="468">
        <v>5565284.0</v>
      </c>
      <c r="D202" s="161">
        <v>0.0</v>
      </c>
      <c r="E202" s="294">
        <v>0.0</v>
      </c>
      <c r="F202" s="307">
        <v>0.0</v>
      </c>
      <c r="G202" s="309">
        <v>0.0</v>
      </c>
      <c r="H202" s="108">
        <v>0.0</v>
      </c>
      <c r="I202" s="109">
        <v>0.04543843</v>
      </c>
      <c r="J202" s="109">
        <v>0.05417831</v>
      </c>
      <c r="K202" s="109">
        <v>0.099616737</v>
      </c>
      <c r="L202" s="112">
        <v>14.02346764</v>
      </c>
      <c r="M202" s="112">
        <v>3.285994993</v>
      </c>
      <c r="N202" s="112">
        <v>17.30946263</v>
      </c>
      <c r="O202" s="298">
        <v>0.0</v>
      </c>
      <c r="P202" s="114"/>
      <c r="Q202" s="114"/>
      <c r="R202" s="121" t="str">
        <f t="shared" si="4"/>
        <v/>
      </c>
      <c r="S202" s="116">
        <f t="shared" si="5"/>
        <v>0.5709301448</v>
      </c>
      <c r="T202" s="117"/>
      <c r="U202" s="118">
        <f t="shared" si="6"/>
        <v>0.4791888889</v>
      </c>
      <c r="V202" s="148"/>
      <c r="W202" s="120">
        <f t="shared" si="7"/>
        <v>0.0223</v>
      </c>
      <c r="X202" s="148"/>
      <c r="Y202" s="120">
        <f t="shared" si="8"/>
        <v>0.598275</v>
      </c>
      <c r="Z202" s="299"/>
      <c r="AA202" s="441"/>
      <c r="AB202" s="300" t="str">
        <f t="shared" si="9"/>
        <v/>
      </c>
      <c r="AC202" s="300">
        <f t="shared" si="10"/>
        <v>0.6890056172</v>
      </c>
      <c r="AD202" s="122">
        <v>0.0</v>
      </c>
      <c r="AE202" s="123">
        <v>0.0</v>
      </c>
      <c r="AF202" s="430">
        <v>0.0</v>
      </c>
      <c r="AG202" s="316">
        <v>0.0</v>
      </c>
      <c r="AH202" s="316">
        <v>1.26047E-5</v>
      </c>
      <c r="AI202" s="317">
        <v>0.0</v>
      </c>
      <c r="AJ202" s="317">
        <v>1.20769E-5</v>
      </c>
      <c r="AK202" s="319">
        <v>0.0</v>
      </c>
      <c r="AL202" s="319">
        <v>0.029748523</v>
      </c>
      <c r="AM202" s="302">
        <v>0.0</v>
      </c>
      <c r="AN202" s="149" t="str">
        <f>IFERROR(
  AVERAGEIFS(
    'New LF Efficacy'!$J:$J,
    'New LF Efficacy'!$D:$D, $A202,
    'New LF Efficacy'!$F:$F,"DEC", 
    'New LF Efficacy'!$W:$W,"&lt;2016",
    'New LF Efficacy'!$AA:$AA,""),
  ""
)</f>
        <v/>
      </c>
      <c r="AO202" s="115">
        <f t="shared" si="11"/>
        <v>0.3573520833</v>
      </c>
      <c r="AP202" s="149" t="str">
        <f>IFERROR(
AVERAGEIFS(
'New LF Efficacy'!$J:$J,
'New LF Efficacy'!$D:$D,$A202,
'New LF Efficacy'!$F:$F,"Albendazole &amp; DEC",
'New LF Efficacy'!$W:$W,"&lt;2016",
'New LF Efficacy'!$AA:$AA,""),
"")
</f>
        <v/>
      </c>
      <c r="AQ202" s="115">
        <f t="shared" si="12"/>
        <v>0.5143541667</v>
      </c>
      <c r="AR202" s="149" t="str">
        <f>IFERROR(
AVERAGEIFS(
'New LF Efficacy'!$J:$J,
'New LF Efficacy'!$D:$D,$A202,
'New LF Efficacy'!$F:$F,"Albendazole &amp; Ivermectin", 
'New LF Efficacy'!$W:$W,"&lt;2016",
'New LF Efficacy'!$AA:$AA,""),"")</f>
        <v/>
      </c>
      <c r="AS202" s="115">
        <f t="shared" si="13"/>
        <v>0.37153125</v>
      </c>
      <c r="AT202" s="442" t="str">
        <f>IFERROR(AVERAGEIFS(
'Schist Efficacy'!$O:$O, 
'Schist Efficacy'!$C:$C,$A202, 
'Schist Efficacy'!$D:$D, "Praziquantel",
'Schist Efficacy'!$J:$J,"&lt;2016",
'Schist Efficacy'!$U:$U,""),
"")</f>
        <v/>
      </c>
      <c r="AU202" s="118">
        <f t="shared" si="14"/>
        <v>0.655</v>
      </c>
      <c r="AV202" s="131" t="str">
        <f>IFERROR(AVERAGEIFS(
'STH Efficacy'!$AX:$AX, 
'STH Efficacy'!$AL:$AL, $A202, 
'STH Efficacy'!$AM:$AM, "Albendazole",
'STH Efficacy'!$AS:$AS,"&lt;2016",
'STH Efficacy'!$BP:$BP,""),
"")</f>
        <v/>
      </c>
      <c r="AW202" s="132">
        <f t="shared" si="15"/>
        <v>0.4143846154</v>
      </c>
      <c r="AX202" s="131" t="str">
        <f>IFERROR(AVERAGEIFS(
'STH Efficacy'!$AX:$AX, 
'STH Efficacy'!$AL:$AL, $A202, 
'STH Efficacy'!$AM:$AM, "Mebendazole",
'STH Efficacy'!$AS:$AS,"&lt;2016",
'STH Efficacy'!$BP:$BP,""),
"")</f>
        <v/>
      </c>
      <c r="AY202" s="132">
        <f t="shared" si="16"/>
        <v>0.4691770833</v>
      </c>
      <c r="AZ202" s="131" t="str">
        <f>IFERROR(AVERAGEIFS(
'STH Efficacy'!$AX:$AX, 
'STH Efficacy'!$AL:$AL, $A202, 
'STH Efficacy'!$AM:$AM, "Albendazole &amp; Ivermectin",
'STH Efficacy'!$AS:$AS,"&lt;2016",
'STH Efficacy'!$BP:$BP,""),
"")</f>
        <v/>
      </c>
      <c r="BA202" s="133">
        <f t="shared" si="17"/>
        <v>0.597625</v>
      </c>
      <c r="BB202" s="443" t="str">
        <f>IFERROR(AVERAGEIFS(
'STH Efficacy'!$N:$N, 
'STH Efficacy'!$B:$B, $A202, 
'STH Efficacy'!$C:$C, "Albendazole",
'STH Efficacy'!$I:$I,"&lt;2016",
'STH Efficacy'!$AH:$AH,""),
"")</f>
        <v/>
      </c>
      <c r="BC202" s="135">
        <f t="shared" si="18"/>
        <v>0.7613712121</v>
      </c>
      <c r="BD202" s="443" t="str">
        <f>IFERROR(AVERAGEIFS(
'STH Efficacy'!$N:$N, 
'STH Efficacy'!$B:$B, $A202, 
'STH Efficacy'!$C:$C, "Mebendazole",
'STH Efficacy'!$I:$I,"&lt;2016",
'STH Efficacy'!$AH:$AH,""),
"")</f>
        <v/>
      </c>
      <c r="BE202" s="135">
        <f t="shared" si="19"/>
        <v>0.4362466667</v>
      </c>
      <c r="BF202" s="436" t="str">
        <f>IFERROR(AVERAGEIFS(
'STH Efficacy'!$CD:$CD, 
'STH Efficacy'!$BS:$BS, $A202, 
'STH Efficacy'!$BT:$BT, "Albendazole",
'STH Efficacy'!$BZ:$BZ,"&lt;2016",
'STH Efficacy'!$CU:$CU,""),
"")</f>
        <v/>
      </c>
      <c r="BG202" s="136">
        <f t="shared" si="20"/>
        <v>0.9216027778</v>
      </c>
      <c r="BH202" s="436" t="str">
        <f>IFERROR(AVERAGEIFS(
'STH Efficacy'!$CD:$CD, 
'STH Efficacy'!$BS:$BS, $A202, 
'STH Efficacy'!$BT:$BT, "Mebendazole",
'STH Efficacy'!$BZ:$BZ,"&lt;2016",
'STH Efficacy'!$CU:$CU,""),
"")</f>
        <v/>
      </c>
      <c r="BI202" s="136">
        <f t="shared" si="21"/>
        <v>0.8866041667</v>
      </c>
      <c r="BJ202" s="436" t="str">
        <f>IFERROR(AVERAGEIFS(
'STH Efficacy'!$CD:$CD, 
'STH Efficacy'!$BS:$BS, $A202, 
'STH Efficacy'!$BT:$BT, "Albendazole &amp; Ivermectin",
'STH Efficacy'!$BZ:$BZ,"&lt;2016",
'STH Efficacy'!$CU:$CU,""),
"")</f>
        <v/>
      </c>
      <c r="BK202" s="136">
        <f t="shared" si="22"/>
        <v>0.848</v>
      </c>
      <c r="BL202" s="444" t="str">
        <f>IFERROR(
  AVERAGEIFS(
    'NEW Onchocerciasis Efficacy'!$AO:$AO,
    'NEW Onchocerciasis Efficacy'!$C:$C,$A202,
    'NEW Onchocerciasis Efficacy'!$D:$D,"Ivermectin",
    'NEW Onchocerciasis Efficacy'!$AR:$AR,"&lt;2016",
    'NEW Onchocerciasis Efficacy'!$BG:$BG,"")
,"")</f>
        <v/>
      </c>
      <c r="BM202" s="304">
        <f t="shared" si="23"/>
        <v>0.7808368939</v>
      </c>
      <c r="BN202" s="439">
        <v>0.0</v>
      </c>
      <c r="BO202" s="139">
        <v>1.0</v>
      </c>
      <c r="BP202" s="140">
        <v>1.0</v>
      </c>
      <c r="BQ202" s="141">
        <f t="shared" si="24"/>
        <v>0</v>
      </c>
      <c r="BR202" s="104" t="str">
        <f t="shared" si="25"/>
        <v>0110</v>
      </c>
      <c r="BS202" s="104" t="str">
        <f t="shared" si="26"/>
        <v>MDA3+T2</v>
      </c>
      <c r="BT202" s="142" t="str">
        <f t="shared" si="43"/>
        <v>IVM</v>
      </c>
      <c r="BU202" s="104" t="str">
        <f t="shared" si="28"/>
        <v>PZQ</v>
      </c>
      <c r="BV202" s="104" t="str">
        <f t="shared" si="29"/>
        <v>onch+schist</v>
      </c>
      <c r="BW202" s="150" t="str">
        <f t="shared" si="30"/>
        <v/>
      </c>
      <c r="BX202" s="150" t="str">
        <f t="shared" si="31"/>
        <v/>
      </c>
      <c r="BY202" s="162">
        <f t="shared" si="32"/>
        <v>0</v>
      </c>
      <c r="BZ202" s="152" t="str">
        <f t="shared" si="33"/>
        <v/>
      </c>
      <c r="CA202" s="152" t="str">
        <f t="shared" si="34"/>
        <v/>
      </c>
      <c r="CB202" s="152" t="str">
        <f t="shared" si="35"/>
        <v/>
      </c>
      <c r="CC202" s="153" t="str">
        <f t="shared" si="36"/>
        <v/>
      </c>
      <c r="CD202" s="153" t="str">
        <f t="shared" si="37"/>
        <v/>
      </c>
      <c r="CE202" s="154" t="str">
        <f t="shared" si="38"/>
        <v/>
      </c>
      <c r="CF202" s="154" t="str">
        <f t="shared" si="39"/>
        <v/>
      </c>
      <c r="CG202" s="154" t="str">
        <f t="shared" si="40"/>
        <v/>
      </c>
      <c r="CH202" s="313">
        <f t="shared" si="41"/>
        <v>0</v>
      </c>
    </row>
    <row r="203">
      <c r="A203" s="155" t="s">
        <v>292</v>
      </c>
      <c r="B203" s="104" t="s">
        <v>98</v>
      </c>
      <c r="C203" s="468">
        <v>34339.0</v>
      </c>
      <c r="D203" s="161">
        <v>0.0</v>
      </c>
      <c r="E203" s="294">
        <v>0.0</v>
      </c>
      <c r="F203" s="163"/>
      <c r="G203" s="325"/>
      <c r="H203" s="108">
        <v>0.0</v>
      </c>
      <c r="I203" s="109">
        <v>0.0</v>
      </c>
      <c r="J203" s="109">
        <v>0.0</v>
      </c>
      <c r="K203" s="109">
        <v>0.0</v>
      </c>
      <c r="L203" s="113"/>
      <c r="M203" s="113"/>
      <c r="N203" s="112">
        <v>0.0</v>
      </c>
      <c r="O203" s="298">
        <v>0.0</v>
      </c>
      <c r="P203" s="114"/>
      <c r="Q203" s="114"/>
      <c r="R203" s="121" t="str">
        <f t="shared" si="4"/>
        <v/>
      </c>
      <c r="S203" s="116">
        <f t="shared" si="5"/>
        <v>0.3565746084</v>
      </c>
      <c r="T203" s="117"/>
      <c r="U203" s="118">
        <f t="shared" si="6"/>
        <v>0.4791888889</v>
      </c>
      <c r="V203" s="148"/>
      <c r="W203" s="120">
        <f t="shared" si="7"/>
        <v>0.685</v>
      </c>
      <c r="X203" s="148"/>
      <c r="Y203" s="120">
        <f t="shared" si="8"/>
        <v>0.7550545455</v>
      </c>
      <c r="Z203" s="299"/>
      <c r="AA203" s="441"/>
      <c r="AB203" s="300" t="str">
        <f t="shared" si="9"/>
        <v/>
      </c>
      <c r="AC203" s="300">
        <f t="shared" si="10"/>
        <v>0.7101368438</v>
      </c>
      <c r="AD203" s="314">
        <v>0.0</v>
      </c>
      <c r="AE203" s="315">
        <v>0.0</v>
      </c>
      <c r="AF203" s="445">
        <v>0.0</v>
      </c>
      <c r="AG203" s="316">
        <v>0.0</v>
      </c>
      <c r="AH203" s="307">
        <v>0.0</v>
      </c>
      <c r="AI203" s="317">
        <v>0.0</v>
      </c>
      <c r="AJ203" s="318">
        <v>0.0</v>
      </c>
      <c r="AK203" s="319">
        <v>0.0</v>
      </c>
      <c r="AL203" s="446">
        <v>0.0</v>
      </c>
      <c r="AM203" s="320">
        <v>0.0</v>
      </c>
      <c r="AN203" s="149" t="str">
        <f>IFERROR(
  AVERAGEIFS(
    'New LF Efficacy'!$J:$J,
    'New LF Efficacy'!$D:$D, $A203,
    'New LF Efficacy'!$F:$F,"DEC", 
    'New LF Efficacy'!$W:$W,"&lt;2016",
    'New LF Efficacy'!$AA:$AA,""),
  ""
)</f>
        <v/>
      </c>
      <c r="AO203" s="115">
        <f t="shared" si="11"/>
        <v>0.2589833333</v>
      </c>
      <c r="AP203" s="149" t="str">
        <f>IFERROR(
AVERAGEIFS(
'New LF Efficacy'!$J:$J,
'New LF Efficacy'!$D:$D,$A203,
'New LF Efficacy'!$F:$F,"Albendazole &amp; DEC",
'New LF Efficacy'!$W:$W,"&lt;2016",
'New LF Efficacy'!$AA:$AA,""),
"")
</f>
        <v/>
      </c>
      <c r="AQ203" s="115">
        <f t="shared" si="12"/>
        <v>0.3465</v>
      </c>
      <c r="AR203" s="149" t="str">
        <f>IFERROR(
AVERAGEIFS(
'New LF Efficacy'!$J:$J,
'New LF Efficacy'!$D:$D,$A203,
'New LF Efficacy'!$F:$F,"Albendazole &amp; Ivermectin", 
'New LF Efficacy'!$W:$W,"&lt;2016",
'New LF Efficacy'!$AA:$AA,""),"")</f>
        <v/>
      </c>
      <c r="AS203" s="115">
        <f t="shared" si="13"/>
        <v>0.7575</v>
      </c>
      <c r="AT203" s="442" t="str">
        <f>IFERROR(AVERAGEIFS(
'Schist Efficacy'!$O:$O, 
'Schist Efficacy'!$C:$C,$A203, 
'Schist Efficacy'!$D:$D, "Praziquantel",
'Schist Efficacy'!$J:$J,"&lt;2016",
'Schist Efficacy'!$U:$U,""),
"")</f>
        <v/>
      </c>
      <c r="AU203" s="118">
        <f t="shared" si="14"/>
        <v>0.7914761905</v>
      </c>
      <c r="AV203" s="131" t="str">
        <f>IFERROR(AVERAGEIFS(
'STH Efficacy'!$AX:$AX, 
'STH Efficacy'!$AL:$AL, $A203, 
'STH Efficacy'!$AM:$AM, "Albendazole",
'STH Efficacy'!$AS:$AS,"&lt;2016",
'STH Efficacy'!$BP:$BP,""),
"")</f>
        <v/>
      </c>
      <c r="AW203" s="132">
        <f t="shared" si="15"/>
        <v>0.3945</v>
      </c>
      <c r="AX203" s="131" t="str">
        <f>IFERROR(AVERAGEIFS(
'STH Efficacy'!$AX:$AX, 
'STH Efficacy'!$AL:$AL, $A203, 
'STH Efficacy'!$AM:$AM, "Mebendazole",
'STH Efficacy'!$AS:$AS,"&lt;2016",
'STH Efficacy'!$BP:$BP,""),
"")</f>
        <v/>
      </c>
      <c r="AY203" s="132">
        <f t="shared" si="16"/>
        <v>0.6</v>
      </c>
      <c r="AZ203" s="131" t="str">
        <f>IFERROR(AVERAGEIFS(
'STH Efficacy'!$AX:$AX, 
'STH Efficacy'!$AL:$AL, $A203, 
'STH Efficacy'!$AM:$AM, "Albendazole &amp; Ivermectin",
'STH Efficacy'!$AS:$AS,"&lt;2016",
'STH Efficacy'!$BP:$BP,""),
"")</f>
        <v/>
      </c>
      <c r="BA203" s="133">
        <f t="shared" si="17"/>
        <v>0.796</v>
      </c>
      <c r="BB203" s="443" t="str">
        <f>IFERROR(AVERAGEIFS(
'STH Efficacy'!$N:$N, 
'STH Efficacy'!$B:$B, $A203, 
'STH Efficacy'!$C:$C, "Albendazole",
'STH Efficacy'!$I:$I,"&lt;2016",
'STH Efficacy'!$AH:$AH,""),
"")</f>
        <v/>
      </c>
      <c r="BC203" s="135">
        <f t="shared" si="18"/>
        <v>0.869</v>
      </c>
      <c r="BD203" s="443" t="str">
        <f>IFERROR(AVERAGEIFS(
'STH Efficacy'!$N:$N, 
'STH Efficacy'!$B:$B, $A203, 
'STH Efficacy'!$C:$C, "Mebendazole",
'STH Efficacy'!$I:$I,"&lt;2016",
'STH Efficacy'!$AH:$AH,""),
"")</f>
        <v/>
      </c>
      <c r="BE203" s="135">
        <f t="shared" si="19"/>
        <v>0.172</v>
      </c>
      <c r="BF203" s="436" t="str">
        <f>IFERROR(AVERAGEIFS(
'STH Efficacy'!$CD:$CD, 
'STH Efficacy'!$BS:$BS, $A203, 
'STH Efficacy'!$BT:$BT, "Albendazole",
'STH Efficacy'!$BZ:$BZ,"&lt;2016",
'STH Efficacy'!$CU:$CU,""),
"")</f>
        <v/>
      </c>
      <c r="BG203" s="136">
        <f t="shared" si="20"/>
        <v>0.9862</v>
      </c>
      <c r="BH203" s="436" t="str">
        <f>IFERROR(AVERAGEIFS(
'STH Efficacy'!$CD:$CD, 
'STH Efficacy'!$BS:$BS, $A203, 
'STH Efficacy'!$BT:$BT, "Mebendazole",
'STH Efficacy'!$BZ:$BZ,"&lt;2016",
'STH Efficacy'!$CU:$CU,""),
"")</f>
        <v/>
      </c>
      <c r="BI203" s="136">
        <f t="shared" si="21"/>
        <v>0.769</v>
      </c>
      <c r="BJ203" s="436" t="str">
        <f>IFERROR(AVERAGEIFS(
'STH Efficacy'!$CD:$CD, 
'STH Efficacy'!$BS:$BS, $A203, 
'STH Efficacy'!$BT:$BT, "Albendazole &amp; Ivermectin",
'STH Efficacy'!$BZ:$BZ,"&lt;2016",
'STH Efficacy'!$CU:$CU,""),
"")</f>
        <v/>
      </c>
      <c r="BK203" s="136">
        <f t="shared" si="22"/>
        <v>1</v>
      </c>
      <c r="BL203" s="444" t="str">
        <f>IFERROR(
  AVERAGEIFS(
    'NEW Onchocerciasis Efficacy'!$AO:$AO,
    'NEW Onchocerciasis Efficacy'!$C:$C,$A203,
    'NEW Onchocerciasis Efficacy'!$D:$D,"Ivermectin",
    'NEW Onchocerciasis Efficacy'!$AR:$AR,"&lt;2016",
    'NEW Onchocerciasis Efficacy'!$BG:$BG,"")
,"")</f>
        <v/>
      </c>
      <c r="BM203" s="304">
        <f t="shared" si="23"/>
        <v>0.3734</v>
      </c>
      <c r="BN203" s="439">
        <v>0.0</v>
      </c>
      <c r="BO203" s="139">
        <v>0.0</v>
      </c>
      <c r="BP203" s="140">
        <v>0.0</v>
      </c>
      <c r="BQ203" s="141">
        <f t="shared" si="24"/>
        <v>0</v>
      </c>
      <c r="BR203" s="104" t="str">
        <f t="shared" si="25"/>
        <v>0000</v>
      </c>
      <c r="BS203" s="104" t="str">
        <f t="shared" si="26"/>
        <v>no action required</v>
      </c>
      <c r="BT203" s="142" t="str">
        <f t="shared" si="43"/>
        <v/>
      </c>
      <c r="BU203" s="104" t="str">
        <f t="shared" si="28"/>
        <v/>
      </c>
      <c r="BV203" s="104" t="str">
        <f t="shared" si="29"/>
        <v>none</v>
      </c>
      <c r="BW203" s="150" t="str">
        <f t="shared" si="30"/>
        <v/>
      </c>
      <c r="BX203" s="150" t="str">
        <f t="shared" si="31"/>
        <v/>
      </c>
      <c r="BY203" s="151" t="str">
        <f t="shared" si="32"/>
        <v/>
      </c>
      <c r="BZ203" s="152" t="str">
        <f t="shared" si="33"/>
        <v/>
      </c>
      <c r="CA203" s="152" t="str">
        <f t="shared" si="34"/>
        <v/>
      </c>
      <c r="CB203" s="152" t="str">
        <f t="shared" si="35"/>
        <v/>
      </c>
      <c r="CC203" s="153" t="str">
        <f t="shared" si="36"/>
        <v/>
      </c>
      <c r="CD203" s="153" t="str">
        <f t="shared" si="37"/>
        <v/>
      </c>
      <c r="CE203" s="154" t="str">
        <f t="shared" si="38"/>
        <v/>
      </c>
      <c r="CF203" s="154" t="str">
        <f t="shared" si="39"/>
        <v/>
      </c>
      <c r="CG203" s="154" t="str">
        <f t="shared" si="40"/>
        <v/>
      </c>
      <c r="CH203" s="308" t="str">
        <f t="shared" si="41"/>
        <v/>
      </c>
    </row>
    <row r="204">
      <c r="A204" s="155" t="s">
        <v>293</v>
      </c>
      <c r="B204" s="104" t="s">
        <v>94</v>
      </c>
      <c r="C204" s="468">
        <v>11001.0</v>
      </c>
      <c r="D204" s="161">
        <v>0.0</v>
      </c>
      <c r="E204" s="294">
        <v>0.0</v>
      </c>
      <c r="F204" s="163"/>
      <c r="G204" s="325"/>
      <c r="H204" s="108">
        <v>0.0</v>
      </c>
      <c r="I204" s="109">
        <v>0.0</v>
      </c>
      <c r="J204" s="109">
        <v>0.0</v>
      </c>
      <c r="K204" s="109">
        <v>0.0</v>
      </c>
      <c r="L204" s="113"/>
      <c r="M204" s="113"/>
      <c r="N204" s="112">
        <v>0.0</v>
      </c>
      <c r="O204" s="298">
        <v>0.0</v>
      </c>
      <c r="P204" s="160">
        <v>10312.0</v>
      </c>
      <c r="Q204" s="156"/>
      <c r="R204" s="121">
        <f t="shared" si="4"/>
        <v>0</v>
      </c>
      <c r="S204" s="116">
        <f t="shared" si="5"/>
        <v>0.3783554476</v>
      </c>
      <c r="T204" s="117"/>
      <c r="U204" s="118">
        <f t="shared" si="6"/>
        <v>0.73965</v>
      </c>
      <c r="V204" s="119">
        <v>0.7618</v>
      </c>
      <c r="W204" s="120">
        <f t="shared" si="7"/>
        <v>0.7618</v>
      </c>
      <c r="X204" s="119">
        <v>0.7617</v>
      </c>
      <c r="Y204" s="120">
        <f t="shared" si="8"/>
        <v>0.7617</v>
      </c>
      <c r="Z204" s="299"/>
      <c r="AA204" s="441"/>
      <c r="AB204" s="300" t="str">
        <f t="shared" si="9"/>
        <v/>
      </c>
      <c r="AC204" s="300">
        <f t="shared" si="10"/>
        <v>0.6890056172</v>
      </c>
      <c r="AD204" s="314">
        <v>0.0</v>
      </c>
      <c r="AE204" s="315">
        <v>0.0</v>
      </c>
      <c r="AF204" s="445">
        <v>0.0</v>
      </c>
      <c r="AG204" s="316">
        <v>0.0</v>
      </c>
      <c r="AH204" s="307">
        <v>0.0</v>
      </c>
      <c r="AI204" s="317">
        <v>0.0</v>
      </c>
      <c r="AJ204" s="318">
        <v>0.0</v>
      </c>
      <c r="AK204" s="319">
        <v>0.0</v>
      </c>
      <c r="AL204" s="446">
        <v>0.0</v>
      </c>
      <c r="AM204" s="320">
        <v>0.0</v>
      </c>
      <c r="AN204" s="149" t="str">
        <f>IFERROR(
  AVERAGEIFS(
    'New LF Efficacy'!$J:$J,
    'New LF Efficacy'!$D:$D, $A204,
    'New LF Efficacy'!$F:$F,"DEC", 
    'New LF Efficacy'!$W:$W,"&lt;2016",
    'New LF Efficacy'!$AA:$AA,""),
  ""
)</f>
        <v/>
      </c>
      <c r="AO204" s="115">
        <f t="shared" si="11"/>
        <v>0.38</v>
      </c>
      <c r="AP204" s="149" t="str">
        <f>IFERROR(
AVERAGEIFS(
'New LF Efficacy'!$J:$J,
'New LF Efficacy'!$D:$D,$A204,
'New LF Efficacy'!$F:$F,"Albendazole &amp; DEC",
'New LF Efficacy'!$W:$W,"&lt;2016",
'New LF Efficacy'!$AA:$AA,""),
"")
</f>
        <v/>
      </c>
      <c r="AQ204" s="115">
        <f t="shared" si="12"/>
        <v>0.662</v>
      </c>
      <c r="AR204" s="149" t="str">
        <f>IFERROR(
AVERAGEIFS(
'New LF Efficacy'!$J:$J,
'New LF Efficacy'!$D:$D,$A204,
'New LF Efficacy'!$F:$F,"Albendazole &amp; Ivermectin", 
'New LF Efficacy'!$W:$W,"&lt;2016",
'New LF Efficacy'!$AA:$AA,""),"")</f>
        <v/>
      </c>
      <c r="AS204" s="115">
        <f t="shared" si="13"/>
        <v>0.37153125</v>
      </c>
      <c r="AT204" s="442" t="str">
        <f>IFERROR(AVERAGEIFS(
'Schist Efficacy'!$O:$O, 
'Schist Efficacy'!$C:$C,$A204, 
'Schist Efficacy'!$D:$D, "Praziquantel",
'Schist Efficacy'!$J:$J,"&lt;2016",
'Schist Efficacy'!$U:$U,""),
"")</f>
        <v/>
      </c>
      <c r="AU204" s="118">
        <f t="shared" si="14"/>
        <v>0.9475</v>
      </c>
      <c r="AV204" s="131" t="str">
        <f>IFERROR(AVERAGEIFS(
'STH Efficacy'!$AX:$AX, 
'STH Efficacy'!$AL:$AL, $A204, 
'STH Efficacy'!$AM:$AM, "Albendazole",
'STH Efficacy'!$AS:$AS,"&lt;2016",
'STH Efficacy'!$BP:$BP,""),
"")</f>
        <v/>
      </c>
      <c r="AW204" s="132">
        <f t="shared" si="15"/>
        <v>0.3571666667</v>
      </c>
      <c r="AX204" s="131" t="str">
        <f>IFERROR(AVERAGEIFS(
'STH Efficacy'!$AX:$AX, 
'STH Efficacy'!$AL:$AL, $A204, 
'STH Efficacy'!$AM:$AM, "Mebendazole",
'STH Efficacy'!$AS:$AS,"&lt;2016",
'STH Efficacy'!$BP:$BP,""),
"")</f>
        <v/>
      </c>
      <c r="AY204" s="132">
        <f t="shared" si="16"/>
        <v>0.4155</v>
      </c>
      <c r="AZ204" s="131" t="str">
        <f>IFERROR(AVERAGEIFS(
'STH Efficacy'!$AX:$AX, 
'STH Efficacy'!$AL:$AL, $A204, 
'STH Efficacy'!$AM:$AM, "Albendazole &amp; Ivermectin",
'STH Efficacy'!$AS:$AS,"&lt;2016",
'STH Efficacy'!$BP:$BP,""),
"")</f>
        <v/>
      </c>
      <c r="BA204" s="133">
        <f t="shared" si="17"/>
        <v>0.651</v>
      </c>
      <c r="BB204" s="443" t="str">
        <f>IFERROR(AVERAGEIFS(
'STH Efficacy'!$N:$N, 
'STH Efficacy'!$B:$B, $A204, 
'STH Efficacy'!$C:$C, "Albendazole",
'STH Efficacy'!$I:$I,"&lt;2016",
'STH Efficacy'!$AH:$AH,""),
"")</f>
        <v/>
      </c>
      <c r="BC204" s="135">
        <f t="shared" si="18"/>
        <v>0.5769166667</v>
      </c>
      <c r="BD204" s="443" t="str">
        <f>IFERROR(AVERAGEIFS(
'STH Efficacy'!$N:$N, 
'STH Efficacy'!$B:$B, $A204, 
'STH Efficacy'!$C:$C, "Mebendazole",
'STH Efficacy'!$I:$I,"&lt;2016",
'STH Efficacy'!$AH:$AH,""),
"")</f>
        <v/>
      </c>
      <c r="BE204" s="135">
        <f t="shared" si="19"/>
        <v>0.3145</v>
      </c>
      <c r="BF204" s="436" t="str">
        <f>IFERROR(AVERAGEIFS(
'STH Efficacy'!$CD:$CD, 
'STH Efficacy'!$BS:$BS, $A204, 
'STH Efficacy'!$BT:$BT, "Albendazole",
'STH Efficacy'!$BZ:$BZ,"&lt;2016",
'STH Efficacy'!$CU:$CU,""),
"")</f>
        <v/>
      </c>
      <c r="BG204" s="136">
        <f t="shared" si="20"/>
        <v>0.96925</v>
      </c>
      <c r="BH204" s="436" t="str">
        <f>IFERROR(AVERAGEIFS(
'STH Efficacy'!$CD:$CD, 
'STH Efficacy'!$BS:$BS, $A204, 
'STH Efficacy'!$BT:$BT, "Mebendazole",
'STH Efficacy'!$BZ:$BZ,"&lt;2016",
'STH Efficacy'!$CU:$CU,""),
"")</f>
        <v/>
      </c>
      <c r="BI204" s="136">
        <f t="shared" si="21"/>
        <v>0.9305</v>
      </c>
      <c r="BJ204" s="436" t="str">
        <f>IFERROR(AVERAGEIFS(
'STH Efficacy'!$CD:$CD, 
'STH Efficacy'!$BS:$BS, $A204, 
'STH Efficacy'!$BT:$BT, "Albendazole &amp; Ivermectin",
'STH Efficacy'!$BZ:$BZ,"&lt;2016",
'STH Efficacy'!$CU:$CU,""),
"")</f>
        <v/>
      </c>
      <c r="BK204" s="136">
        <f t="shared" si="22"/>
        <v>0.848</v>
      </c>
      <c r="BL204" s="444" t="str">
        <f>IFERROR(
  AVERAGEIFS(
    'NEW Onchocerciasis Efficacy'!$AO:$AO,
    'NEW Onchocerciasis Efficacy'!$C:$C,$A204,
    'NEW Onchocerciasis Efficacy'!$D:$D,"Ivermectin",
    'NEW Onchocerciasis Efficacy'!$AR:$AR,"&lt;2016",
    'NEW Onchocerciasis Efficacy'!$BG:$BG,"")
,"")</f>
        <v/>
      </c>
      <c r="BM204" s="304">
        <f t="shared" si="23"/>
        <v>0.7808368939</v>
      </c>
      <c r="BN204" s="439">
        <v>1.0</v>
      </c>
      <c r="BO204" s="139">
        <v>0.0</v>
      </c>
      <c r="BP204" s="140">
        <v>0.0</v>
      </c>
      <c r="BQ204" s="141">
        <f t="shared" si="24"/>
        <v>0</v>
      </c>
      <c r="BR204" s="104" t="str">
        <f t="shared" si="25"/>
        <v>1000</v>
      </c>
      <c r="BS204" s="104" t="str">
        <f t="shared" si="26"/>
        <v>MDA1/2</v>
      </c>
      <c r="BT204" s="142" t="str">
        <f t="shared" si="43"/>
        <v>IVM+ALB or DEC+ALB</v>
      </c>
      <c r="BU204" s="104" t="str">
        <f t="shared" si="28"/>
        <v/>
      </c>
      <c r="BV204" s="104" t="str">
        <f t="shared" si="29"/>
        <v>lf only</v>
      </c>
      <c r="BW204" s="312">
        <f t="shared" si="30"/>
        <v>0</v>
      </c>
      <c r="BX204" s="312">
        <f t="shared" si="31"/>
        <v>0</v>
      </c>
      <c r="BY204" s="151" t="str">
        <f t="shared" si="32"/>
        <v/>
      </c>
      <c r="BZ204" s="152" t="str">
        <f t="shared" si="33"/>
        <v/>
      </c>
      <c r="CA204" s="152" t="str">
        <f t="shared" si="34"/>
        <v/>
      </c>
      <c r="CB204" s="152" t="str">
        <f t="shared" si="35"/>
        <v/>
      </c>
      <c r="CC204" s="153" t="str">
        <f t="shared" si="36"/>
        <v/>
      </c>
      <c r="CD204" s="153" t="str">
        <f t="shared" si="37"/>
        <v/>
      </c>
      <c r="CE204" s="154" t="str">
        <f t="shared" si="38"/>
        <v/>
      </c>
      <c r="CF204" s="154" t="str">
        <f t="shared" si="39"/>
        <v/>
      </c>
      <c r="CG204" s="154" t="str">
        <f t="shared" si="40"/>
        <v/>
      </c>
      <c r="CH204" s="308" t="str">
        <f t="shared" si="41"/>
        <v/>
      </c>
    </row>
    <row r="205">
      <c r="A205" s="103" t="s">
        <v>294</v>
      </c>
      <c r="B205" s="104" t="s">
        <v>92</v>
      </c>
      <c r="C205" s="468">
        <v>4.014487E7</v>
      </c>
      <c r="D205" s="161">
        <v>14340.91</v>
      </c>
      <c r="E205" s="294">
        <v>92719.59863</v>
      </c>
      <c r="F205" s="295">
        <v>23.84324624</v>
      </c>
      <c r="G205" s="295">
        <v>97.00041667</v>
      </c>
      <c r="H205" s="108">
        <v>120.8436629</v>
      </c>
      <c r="I205" s="109">
        <v>1682.72322</v>
      </c>
      <c r="J205" s="110">
        <v>4456.82208</v>
      </c>
      <c r="K205" s="110">
        <v>6139.545305</v>
      </c>
      <c r="L205" s="111">
        <v>8198.139438</v>
      </c>
      <c r="M205" s="112">
        <v>1413.271724</v>
      </c>
      <c r="N205" s="112">
        <v>9611.411163</v>
      </c>
      <c r="O205" s="298">
        <v>19585.90768</v>
      </c>
      <c r="P205" s="160">
        <v>1.0719606E7</v>
      </c>
      <c r="Q205" s="160">
        <v>7753388.0</v>
      </c>
      <c r="R205" s="121">
        <f t="shared" si="4"/>
        <v>0.7232903896</v>
      </c>
      <c r="S205" s="116">
        <f t="shared" si="5"/>
        <v>0.7232903896</v>
      </c>
      <c r="T205" s="118">
        <v>0.362</v>
      </c>
      <c r="U205" s="118">
        <f t="shared" si="6"/>
        <v>0.362</v>
      </c>
      <c r="V205" s="119">
        <v>0.2533</v>
      </c>
      <c r="W205" s="120">
        <f t="shared" si="7"/>
        <v>0.2533</v>
      </c>
      <c r="X205" s="119">
        <v>0.336</v>
      </c>
      <c r="Y205" s="120">
        <f t="shared" si="8"/>
        <v>0.336</v>
      </c>
      <c r="Z205" s="310">
        <v>2240172.0</v>
      </c>
      <c r="AA205" s="310">
        <v>1921562.0</v>
      </c>
      <c r="AB205" s="300">
        <f t="shared" si="9"/>
        <v>0.8577743138</v>
      </c>
      <c r="AC205" s="300">
        <f t="shared" si="10"/>
        <v>0.8577743138</v>
      </c>
      <c r="AD205" s="122">
        <v>0.0063</v>
      </c>
      <c r="AE205" s="123">
        <v>0.25</v>
      </c>
      <c r="AF205" s="430">
        <v>0.1427</v>
      </c>
      <c r="AG205" s="124">
        <v>0.0</v>
      </c>
      <c r="AH205" s="124">
        <v>0.030401978</v>
      </c>
      <c r="AI205" s="125">
        <v>0.0</v>
      </c>
      <c r="AJ205" s="125">
        <v>0.097970857</v>
      </c>
      <c r="AK205" s="127">
        <v>0.0</v>
      </c>
      <c r="AL205" s="127">
        <v>0.027085765</v>
      </c>
      <c r="AM205" s="302">
        <v>0.0065</v>
      </c>
      <c r="AN205" s="149" t="str">
        <f>IFERROR(
  AVERAGEIFS(
    'New LF Efficacy'!$J:$J,
    'New LF Efficacy'!$D:$D, $A205,
    'New LF Efficacy'!$F:$F,"DEC", 
    'New LF Efficacy'!$W:$W,"&lt;2016",
    'New LF Efficacy'!$AA:$AA,""),
  ""
)</f>
        <v/>
      </c>
      <c r="AO205" s="115">
        <f t="shared" si="11"/>
        <v>0.31225</v>
      </c>
      <c r="AP205" s="149" t="str">
        <f>IFERROR(
AVERAGEIFS(
'New LF Efficacy'!$J:$J,
'New LF Efficacy'!$D:$D,$A205,
'New LF Efficacy'!$F:$F,"Albendazole &amp; DEC",
'New LF Efficacy'!$W:$W,"&lt;2016",
'New LF Efficacy'!$AA:$AA,""),
"")
</f>
        <v/>
      </c>
      <c r="AQ205" s="115">
        <f t="shared" si="12"/>
        <v>0.4</v>
      </c>
      <c r="AR205" s="149" t="str">
        <f>IFERROR(
AVERAGEIFS(
'New LF Efficacy'!$J:$J,
'New LF Efficacy'!$D:$D,$A205,
'New LF Efficacy'!$F:$F,"Albendazole &amp; Ivermectin", 
'New LF Efficacy'!$W:$W,"&lt;2016",
'New LF Efficacy'!$AA:$AA,""),"")</f>
        <v/>
      </c>
      <c r="AS205" s="115">
        <f t="shared" si="13"/>
        <v>0.2943125</v>
      </c>
      <c r="AT205" s="442">
        <f>IFERROR(AVERAGEIFS(
'Schist Efficacy'!$O:$O, 
'Schist Efficacy'!$C:$C,$A205, 
'Schist Efficacy'!$D:$D, "Praziquantel",
'Schist Efficacy'!$J:$J,"&lt;2016",
'Schist Efficacy'!$U:$U,""),
"")</f>
        <v>0.73425</v>
      </c>
      <c r="AU205" s="118">
        <f t="shared" si="14"/>
        <v>0.73425</v>
      </c>
      <c r="AV205" s="131">
        <f>IFERROR(AVERAGEIFS(
'STH Efficacy'!$AX:$AX, 
'STH Efficacy'!$AL:$AL, $A205, 
'STH Efficacy'!$AM:$AM, "Albendazole",
'STH Efficacy'!$AS:$AS,"&lt;2016",
'STH Efficacy'!$BP:$BP,""),
"")</f>
        <v>0.333</v>
      </c>
      <c r="AW205" s="132">
        <f t="shared" si="15"/>
        <v>0.333</v>
      </c>
      <c r="AX205" s="131" t="str">
        <f>IFERROR(AVERAGEIFS(
'STH Efficacy'!$AX:$AX, 
'STH Efficacy'!$AL:$AL, $A205, 
'STH Efficacy'!$AM:$AM, "Mebendazole",
'STH Efficacy'!$AS:$AS,"&lt;2016",
'STH Efficacy'!$BP:$BP,""),
"")</f>
        <v/>
      </c>
      <c r="AY205" s="132">
        <f t="shared" si="16"/>
        <v>0.4859375</v>
      </c>
      <c r="AZ205" s="131">
        <f>IFERROR(AVERAGEIFS(
'STH Efficacy'!$AX:$AX, 
'STH Efficacy'!$AL:$AL, $A205, 
'STH Efficacy'!$AM:$AM, "Albendazole &amp; Ivermectin",
'STH Efficacy'!$AS:$AS,"&lt;2016",
'STH Efficacy'!$BP:$BP,""),
"")</f>
        <v>0.706</v>
      </c>
      <c r="BA205" s="133">
        <f t="shared" si="17"/>
        <v>0.706</v>
      </c>
      <c r="BB205" s="443" t="str">
        <f>IFERROR(AVERAGEIFS(
'STH Efficacy'!$N:$N, 
'STH Efficacy'!$B:$B, $A205, 
'STH Efficacy'!$C:$C, "Albendazole",
'STH Efficacy'!$I:$I,"&lt;2016",
'STH Efficacy'!$AH:$AH,""),
"")</f>
        <v/>
      </c>
      <c r="BC205" s="135">
        <f t="shared" si="18"/>
        <v>0.8699166667</v>
      </c>
      <c r="BD205" s="443" t="str">
        <f>IFERROR(AVERAGEIFS(
'STH Efficacy'!$N:$N, 
'STH Efficacy'!$B:$B, $A205, 
'STH Efficacy'!$C:$C, "Mebendazole",
'STH Efficacy'!$I:$I,"&lt;2016",
'STH Efficacy'!$AH:$AH,""),
"")</f>
        <v/>
      </c>
      <c r="BE205" s="135">
        <f t="shared" si="19"/>
        <v>0.7092416667</v>
      </c>
      <c r="BF205" s="436" t="str">
        <f>IFERROR(AVERAGEIFS(
'STH Efficacy'!$CD:$CD, 
'STH Efficacy'!$BS:$BS, $A205, 
'STH Efficacy'!$BT:$BT, "Albendazole",
'STH Efficacy'!$BZ:$BZ,"&lt;2016",
'STH Efficacy'!$CU:$CU,""),
"")</f>
        <v/>
      </c>
      <c r="BG205" s="136">
        <f t="shared" si="20"/>
        <v>0.9066666667</v>
      </c>
      <c r="BH205" s="436" t="str">
        <f>IFERROR(AVERAGEIFS(
'STH Efficacy'!$CD:$CD, 
'STH Efficacy'!$BS:$BS, $A205, 
'STH Efficacy'!$BT:$BT, "Mebendazole",
'STH Efficacy'!$BZ:$BZ,"&lt;2016",
'STH Efficacy'!$CU:$CU,""),
"")</f>
        <v/>
      </c>
      <c r="BI205" s="136">
        <f t="shared" si="21"/>
        <v>0.8483333333</v>
      </c>
      <c r="BJ205" s="436" t="str">
        <f>IFERROR(AVERAGEIFS(
'STH Efficacy'!$CD:$CD, 
'STH Efficacy'!$BS:$BS, $A205, 
'STH Efficacy'!$BT:$BT, "Albendazole &amp; Ivermectin",
'STH Efficacy'!$BZ:$BZ,"&lt;2016",
'STH Efficacy'!$CU:$CU,""),
"")</f>
        <v/>
      </c>
      <c r="BK205" s="136">
        <f t="shared" si="22"/>
        <v>0.696</v>
      </c>
      <c r="BL205" s="444" t="str">
        <f>IFERROR(
  AVERAGEIFS(
    'NEW Onchocerciasis Efficacy'!$AO:$AO,
    'NEW Onchocerciasis Efficacy'!$C:$C,$A205,
    'NEW Onchocerciasis Efficacy'!$D:$D,"Ivermectin",
    'NEW Onchocerciasis Efficacy'!$AR:$AR,"&lt;2016",
    'NEW Onchocerciasis Efficacy'!$BG:$BG,"")
,"")</f>
        <v/>
      </c>
      <c r="BM205" s="304">
        <f t="shared" si="23"/>
        <v>0.8390421645</v>
      </c>
      <c r="BN205" s="439">
        <v>1.0</v>
      </c>
      <c r="BO205" s="139">
        <v>0.0</v>
      </c>
      <c r="BP205" s="140">
        <v>1.0</v>
      </c>
      <c r="BQ205" s="141">
        <f t="shared" si="24"/>
        <v>0</v>
      </c>
      <c r="BR205" s="104" t="str">
        <f t="shared" si="25"/>
        <v>1010</v>
      </c>
      <c r="BS205" s="104" t="str">
        <f t="shared" si="26"/>
        <v>MDA1/2+T2</v>
      </c>
      <c r="BT205" s="142" t="str">
        <f t="shared" si="43"/>
        <v>IVM+ALB or DEC +ALB</v>
      </c>
      <c r="BU205" s="104" t="str">
        <f t="shared" si="28"/>
        <v>PZQ</v>
      </c>
      <c r="BV205" s="104" t="str">
        <f t="shared" si="29"/>
        <v>lf+schist </v>
      </c>
      <c r="BW205" s="150" t="str">
        <f t="shared" si="30"/>
        <v/>
      </c>
      <c r="BX205" s="312">
        <f t="shared" si="31"/>
        <v>3878.408278</v>
      </c>
      <c r="BY205" s="162">
        <f t="shared" si="32"/>
        <v>33566.71191</v>
      </c>
      <c r="BZ205" s="152" t="str">
        <f t="shared" si="33"/>
        <v/>
      </c>
      <c r="CA205" s="152" t="str">
        <f t="shared" si="34"/>
        <v/>
      </c>
      <c r="CB205" s="152" t="str">
        <f t="shared" si="35"/>
        <v/>
      </c>
      <c r="CC205" s="153" t="str">
        <f t="shared" si="36"/>
        <v/>
      </c>
      <c r="CD205" s="153" t="str">
        <f t="shared" si="37"/>
        <v/>
      </c>
      <c r="CE205" s="154" t="str">
        <f t="shared" si="38"/>
        <v/>
      </c>
      <c r="CF205" s="154" t="str">
        <f t="shared" si="39"/>
        <v/>
      </c>
      <c r="CG205" s="154" t="str">
        <f t="shared" si="40"/>
        <v/>
      </c>
      <c r="CH205" s="308" t="str">
        <f t="shared" si="41"/>
        <v/>
      </c>
    </row>
    <row r="206">
      <c r="A206" s="155" t="s">
        <v>295</v>
      </c>
      <c r="B206" s="104" t="s">
        <v>90</v>
      </c>
      <c r="C206" s="468">
        <v>4.5154029E7</v>
      </c>
      <c r="D206" s="161">
        <v>0.0</v>
      </c>
      <c r="E206" s="294">
        <v>0.0</v>
      </c>
      <c r="F206" s="307">
        <v>0.0</v>
      </c>
      <c r="G206" s="309">
        <v>0.0</v>
      </c>
      <c r="H206" s="108">
        <v>0.0</v>
      </c>
      <c r="I206" s="109">
        <v>0.0</v>
      </c>
      <c r="J206" s="109">
        <v>0.0</v>
      </c>
      <c r="K206" s="109">
        <v>0.0</v>
      </c>
      <c r="L206" s="112">
        <v>0.0</v>
      </c>
      <c r="M206" s="112">
        <v>0.0</v>
      </c>
      <c r="N206" s="112">
        <v>0.0</v>
      </c>
      <c r="O206" s="298">
        <v>0.0</v>
      </c>
      <c r="P206" s="114"/>
      <c r="Q206" s="114"/>
      <c r="R206" s="121" t="str">
        <f t="shared" si="4"/>
        <v/>
      </c>
      <c r="S206" s="116">
        <f t="shared" si="5"/>
        <v>0.5709301448</v>
      </c>
      <c r="T206" s="117"/>
      <c r="U206" s="118">
        <f t="shared" si="6"/>
        <v>0.4791888889</v>
      </c>
      <c r="V206" s="148"/>
      <c r="W206" s="120">
        <f t="shared" si="7"/>
        <v>0.0223</v>
      </c>
      <c r="X206" s="148"/>
      <c r="Y206" s="120">
        <f t="shared" si="8"/>
        <v>0.598275</v>
      </c>
      <c r="Z206" s="299"/>
      <c r="AA206" s="441"/>
      <c r="AB206" s="300" t="str">
        <f t="shared" si="9"/>
        <v/>
      </c>
      <c r="AC206" s="300">
        <f t="shared" si="10"/>
        <v>0.6890056172</v>
      </c>
      <c r="AD206" s="122">
        <v>0.0</v>
      </c>
      <c r="AE206" s="123">
        <v>0.0</v>
      </c>
      <c r="AF206" s="430">
        <v>0.0</v>
      </c>
      <c r="AG206" s="316">
        <v>0.0</v>
      </c>
      <c r="AH206" s="316">
        <v>0.0</v>
      </c>
      <c r="AI206" s="317">
        <v>0.0</v>
      </c>
      <c r="AJ206" s="317">
        <v>0.0</v>
      </c>
      <c r="AK206" s="319">
        <v>0.0</v>
      </c>
      <c r="AL206" s="319">
        <v>0.0</v>
      </c>
      <c r="AM206" s="302">
        <v>0.0</v>
      </c>
      <c r="AN206" s="149" t="str">
        <f>IFERROR(
  AVERAGEIFS(
    'New LF Efficacy'!$J:$J,
    'New LF Efficacy'!$D:$D, $A206,
    'New LF Efficacy'!$F:$F,"DEC", 
    'New LF Efficacy'!$W:$W,"&lt;2016",
    'New LF Efficacy'!$AA:$AA,""),
  ""
)</f>
        <v/>
      </c>
      <c r="AO206" s="115">
        <f t="shared" si="11"/>
        <v>0.3573520833</v>
      </c>
      <c r="AP206" s="149" t="str">
        <f>IFERROR(
AVERAGEIFS(
'New LF Efficacy'!$J:$J,
'New LF Efficacy'!$D:$D,$A206,
'New LF Efficacy'!$F:$F,"Albendazole &amp; DEC",
'New LF Efficacy'!$W:$W,"&lt;2016",
'New LF Efficacy'!$AA:$AA,""),
"")
</f>
        <v/>
      </c>
      <c r="AQ206" s="115">
        <f t="shared" si="12"/>
        <v>0.5143541667</v>
      </c>
      <c r="AR206" s="149" t="str">
        <f>IFERROR(
AVERAGEIFS(
'New LF Efficacy'!$J:$J,
'New LF Efficacy'!$D:$D,$A206,
'New LF Efficacy'!$F:$F,"Albendazole &amp; Ivermectin", 
'New LF Efficacy'!$W:$W,"&lt;2016",
'New LF Efficacy'!$AA:$AA,""),"")</f>
        <v/>
      </c>
      <c r="AS206" s="115">
        <f t="shared" si="13"/>
        <v>0.37153125</v>
      </c>
      <c r="AT206" s="442" t="str">
        <f>IFERROR(AVERAGEIFS(
'Schist Efficacy'!$O:$O, 
'Schist Efficacy'!$C:$C,$A206, 
'Schist Efficacy'!$D:$D, "Praziquantel",
'Schist Efficacy'!$J:$J,"&lt;2016",
'Schist Efficacy'!$U:$U,""),
"")</f>
        <v/>
      </c>
      <c r="AU206" s="118">
        <f t="shared" si="14"/>
        <v>0.655</v>
      </c>
      <c r="AV206" s="131" t="str">
        <f>IFERROR(AVERAGEIFS(
'STH Efficacy'!$AX:$AX, 
'STH Efficacy'!$AL:$AL, $A206, 
'STH Efficacy'!$AM:$AM, "Albendazole",
'STH Efficacy'!$AS:$AS,"&lt;2016",
'STH Efficacy'!$BP:$BP,""),
"")</f>
        <v/>
      </c>
      <c r="AW206" s="132">
        <f t="shared" si="15"/>
        <v>0.4143846154</v>
      </c>
      <c r="AX206" s="131" t="str">
        <f>IFERROR(AVERAGEIFS(
'STH Efficacy'!$AX:$AX, 
'STH Efficacy'!$AL:$AL, $A206, 
'STH Efficacy'!$AM:$AM, "Mebendazole",
'STH Efficacy'!$AS:$AS,"&lt;2016",
'STH Efficacy'!$BP:$BP,""),
"")</f>
        <v/>
      </c>
      <c r="AY206" s="132">
        <f t="shared" si="16"/>
        <v>0.4691770833</v>
      </c>
      <c r="AZ206" s="131" t="str">
        <f>IFERROR(AVERAGEIFS(
'STH Efficacy'!$AX:$AX, 
'STH Efficacy'!$AL:$AL, $A206, 
'STH Efficacy'!$AM:$AM, "Albendazole &amp; Ivermectin",
'STH Efficacy'!$AS:$AS,"&lt;2016",
'STH Efficacy'!$BP:$BP,""),
"")</f>
        <v/>
      </c>
      <c r="BA206" s="133">
        <f t="shared" si="17"/>
        <v>0.597625</v>
      </c>
      <c r="BB206" s="443" t="str">
        <f>IFERROR(AVERAGEIFS(
'STH Efficacy'!$N:$N, 
'STH Efficacy'!$B:$B, $A206, 
'STH Efficacy'!$C:$C, "Albendazole",
'STH Efficacy'!$I:$I,"&lt;2016",
'STH Efficacy'!$AH:$AH,""),
"")</f>
        <v/>
      </c>
      <c r="BC206" s="135">
        <f t="shared" si="18"/>
        <v>0.7613712121</v>
      </c>
      <c r="BD206" s="443" t="str">
        <f>IFERROR(AVERAGEIFS(
'STH Efficacy'!$N:$N, 
'STH Efficacy'!$B:$B, $A206, 
'STH Efficacy'!$C:$C, "Mebendazole",
'STH Efficacy'!$I:$I,"&lt;2016",
'STH Efficacy'!$AH:$AH,""),
"")</f>
        <v/>
      </c>
      <c r="BE206" s="135">
        <f t="shared" si="19"/>
        <v>0.4362466667</v>
      </c>
      <c r="BF206" s="436" t="str">
        <f>IFERROR(AVERAGEIFS(
'STH Efficacy'!$CD:$CD, 
'STH Efficacy'!$BS:$BS, $A206, 
'STH Efficacy'!$BT:$BT, "Albendazole",
'STH Efficacy'!$BZ:$BZ,"&lt;2016",
'STH Efficacy'!$CU:$CU,""),
"")</f>
        <v/>
      </c>
      <c r="BG206" s="136">
        <f t="shared" si="20"/>
        <v>0.9216027778</v>
      </c>
      <c r="BH206" s="436" t="str">
        <f>IFERROR(AVERAGEIFS(
'STH Efficacy'!$CD:$CD, 
'STH Efficacy'!$BS:$BS, $A206, 
'STH Efficacy'!$BT:$BT, "Mebendazole",
'STH Efficacy'!$BZ:$BZ,"&lt;2016",
'STH Efficacy'!$CU:$CU,""),
"")</f>
        <v/>
      </c>
      <c r="BI206" s="136">
        <f t="shared" si="21"/>
        <v>0.8866041667</v>
      </c>
      <c r="BJ206" s="436" t="str">
        <f>IFERROR(AVERAGEIFS(
'STH Efficacy'!$CD:$CD, 
'STH Efficacy'!$BS:$BS, $A206, 
'STH Efficacy'!$BT:$BT, "Albendazole &amp; Ivermectin",
'STH Efficacy'!$BZ:$BZ,"&lt;2016",
'STH Efficacy'!$CU:$CU,""),
"")</f>
        <v/>
      </c>
      <c r="BK206" s="136">
        <f t="shared" si="22"/>
        <v>0.848</v>
      </c>
      <c r="BL206" s="444" t="str">
        <f>IFERROR(
  AVERAGEIFS(
    'NEW Onchocerciasis Efficacy'!$AO:$AO,
    'NEW Onchocerciasis Efficacy'!$C:$C,$A206,
    'NEW Onchocerciasis Efficacy'!$D:$D,"Ivermectin",
    'NEW Onchocerciasis Efficacy'!$AR:$AR,"&lt;2016",
    'NEW Onchocerciasis Efficacy'!$BG:$BG,"")
,"")</f>
        <v/>
      </c>
      <c r="BM206" s="304">
        <f t="shared" si="23"/>
        <v>0.7808368939</v>
      </c>
      <c r="BN206" s="439">
        <v>0.0</v>
      </c>
      <c r="BO206" s="139">
        <v>1.0</v>
      </c>
      <c r="BP206" s="140">
        <v>1.0</v>
      </c>
      <c r="BQ206" s="141">
        <f t="shared" si="24"/>
        <v>0</v>
      </c>
      <c r="BR206" s="104" t="str">
        <f t="shared" si="25"/>
        <v>0110</v>
      </c>
      <c r="BS206" s="104" t="str">
        <f t="shared" si="26"/>
        <v>MDA3+T2</v>
      </c>
      <c r="BT206" s="142" t="str">
        <f t="shared" si="43"/>
        <v>IVM</v>
      </c>
      <c r="BU206" s="104" t="str">
        <f t="shared" si="28"/>
        <v>PZQ</v>
      </c>
      <c r="BV206" s="104" t="str">
        <f t="shared" si="29"/>
        <v>onch+schist</v>
      </c>
      <c r="BW206" s="150" t="str">
        <f t="shared" si="30"/>
        <v/>
      </c>
      <c r="BX206" s="150" t="str">
        <f t="shared" si="31"/>
        <v/>
      </c>
      <c r="BY206" s="162">
        <f t="shared" si="32"/>
        <v>0</v>
      </c>
      <c r="BZ206" s="152" t="str">
        <f t="shared" si="33"/>
        <v/>
      </c>
      <c r="CA206" s="152" t="str">
        <f t="shared" si="34"/>
        <v/>
      </c>
      <c r="CB206" s="152" t="str">
        <f t="shared" si="35"/>
        <v/>
      </c>
      <c r="CC206" s="153" t="str">
        <f t="shared" si="36"/>
        <v/>
      </c>
      <c r="CD206" s="153" t="str">
        <f t="shared" si="37"/>
        <v/>
      </c>
      <c r="CE206" s="154" t="str">
        <f t="shared" si="38"/>
        <v/>
      </c>
      <c r="CF206" s="154" t="str">
        <f t="shared" si="39"/>
        <v/>
      </c>
      <c r="CG206" s="154" t="str">
        <f t="shared" si="40"/>
        <v/>
      </c>
      <c r="CH206" s="313">
        <f t="shared" si="41"/>
        <v>0</v>
      </c>
    </row>
    <row r="207">
      <c r="A207" s="155" t="s">
        <v>296</v>
      </c>
      <c r="B207" s="104" t="s">
        <v>88</v>
      </c>
      <c r="C207" s="468">
        <v>9154302.0</v>
      </c>
      <c r="D207" s="161">
        <v>0.0</v>
      </c>
      <c r="E207" s="294">
        <v>0.0</v>
      </c>
      <c r="F207" s="307">
        <v>0.0</v>
      </c>
      <c r="G207" s="309">
        <v>0.0</v>
      </c>
      <c r="H207" s="108">
        <v>0.0</v>
      </c>
      <c r="I207" s="109">
        <v>0.04010737</v>
      </c>
      <c r="J207" s="109">
        <v>0.06431786</v>
      </c>
      <c r="K207" s="109">
        <v>0.104425236</v>
      </c>
      <c r="L207" s="112">
        <v>0.550952408</v>
      </c>
      <c r="M207" s="112">
        <v>0.114594037</v>
      </c>
      <c r="N207" s="112">
        <v>0.665546444</v>
      </c>
      <c r="O207" s="298">
        <v>0.0</v>
      </c>
      <c r="P207" s="114"/>
      <c r="Q207" s="114"/>
      <c r="R207" s="121" t="str">
        <f t="shared" si="4"/>
        <v/>
      </c>
      <c r="S207" s="116">
        <f t="shared" si="5"/>
        <v>0.5709301448</v>
      </c>
      <c r="T207" s="117"/>
      <c r="U207" s="118">
        <f t="shared" si="6"/>
        <v>0.739</v>
      </c>
      <c r="V207" s="148"/>
      <c r="W207" s="120">
        <f t="shared" si="7"/>
        <v>0.9933333333</v>
      </c>
      <c r="X207" s="148"/>
      <c r="Y207" s="120">
        <f t="shared" si="8"/>
        <v>0.5301</v>
      </c>
      <c r="Z207" s="299"/>
      <c r="AA207" s="441"/>
      <c r="AB207" s="300" t="str">
        <f t="shared" si="9"/>
        <v/>
      </c>
      <c r="AC207" s="300">
        <f t="shared" si="10"/>
        <v>0.4014082288</v>
      </c>
      <c r="AD207" s="122">
        <v>0.0</v>
      </c>
      <c r="AE207" s="123">
        <v>0.0</v>
      </c>
      <c r="AF207" s="430">
        <v>0.0</v>
      </c>
      <c r="AG207" s="316">
        <v>0.0</v>
      </c>
      <c r="AH207" s="316">
        <v>1.14343E-5</v>
      </c>
      <c r="AI207" s="317">
        <v>0.0</v>
      </c>
      <c r="AJ207" s="317">
        <v>1.13061E-5</v>
      </c>
      <c r="AK207" s="319">
        <v>0.0</v>
      </c>
      <c r="AL207" s="319">
        <v>1.1704E-5</v>
      </c>
      <c r="AM207" s="302">
        <v>0.0</v>
      </c>
      <c r="AN207" s="149" t="str">
        <f>IFERROR(
  AVERAGEIFS(
    'New LF Efficacy'!$J:$J,
    'New LF Efficacy'!$D:$D, $A207,
    'New LF Efficacy'!$F:$F,"DEC", 
    'New LF Efficacy'!$W:$W,"&lt;2016",
    'New LF Efficacy'!$AA:$AA,""),
  ""
)</f>
        <v/>
      </c>
      <c r="AO207" s="115">
        <f t="shared" si="11"/>
        <v>0.3573520833</v>
      </c>
      <c r="AP207" s="149" t="str">
        <f>IFERROR(
AVERAGEIFS(
'New LF Efficacy'!$J:$J,
'New LF Efficacy'!$D:$D,$A207,
'New LF Efficacy'!$F:$F,"Albendazole &amp; DEC",
'New LF Efficacy'!$W:$W,"&lt;2016",
'New LF Efficacy'!$AA:$AA,""),
"")
</f>
        <v/>
      </c>
      <c r="AQ207" s="115">
        <f t="shared" si="12"/>
        <v>0.7935</v>
      </c>
      <c r="AR207" s="149" t="str">
        <f>IFERROR(
AVERAGEIFS(
'New LF Efficacy'!$J:$J,
'New LF Efficacy'!$D:$D,$A207,
'New LF Efficacy'!$F:$F,"Albendazole &amp; Ivermectin", 
'New LF Efficacy'!$W:$W,"&lt;2016",
'New LF Efficacy'!$AA:$AA,""),"")</f>
        <v/>
      </c>
      <c r="AS207" s="115">
        <f t="shared" si="13"/>
        <v>0.37153125</v>
      </c>
      <c r="AT207" s="442" t="str">
        <f>IFERROR(AVERAGEIFS(
'Schist Efficacy'!$O:$O, 
'Schist Efficacy'!$C:$C,$A207, 
'Schist Efficacy'!$D:$D, "Praziquantel",
'Schist Efficacy'!$J:$J,"&lt;2016",
'Schist Efficacy'!$U:$U,""),
"")</f>
        <v/>
      </c>
      <c r="AU207" s="118">
        <f t="shared" si="14"/>
        <v>0.7763141026</v>
      </c>
      <c r="AV207" s="131" t="str">
        <f>IFERROR(AVERAGEIFS(
'STH Efficacy'!$AX:$AX, 
'STH Efficacy'!$AL:$AL, $A207, 
'STH Efficacy'!$AM:$AM, "Albendazole",
'STH Efficacy'!$AS:$AS,"&lt;2016",
'STH Efficacy'!$BP:$BP,""),
"")</f>
        <v/>
      </c>
      <c r="AW207" s="132">
        <f t="shared" si="15"/>
        <v>0.4143846154</v>
      </c>
      <c r="AX207" s="131" t="str">
        <f>IFERROR(AVERAGEIFS(
'STH Efficacy'!$AX:$AX, 
'STH Efficacy'!$AL:$AL, $A207, 
'STH Efficacy'!$AM:$AM, "Mebendazole",
'STH Efficacy'!$AS:$AS,"&lt;2016",
'STH Efficacy'!$BP:$BP,""),
"")</f>
        <v/>
      </c>
      <c r="AY207" s="132">
        <f t="shared" si="16"/>
        <v>0.4691770833</v>
      </c>
      <c r="AZ207" s="131" t="str">
        <f>IFERROR(AVERAGEIFS(
'STH Efficacy'!$AX:$AX, 
'STH Efficacy'!$AL:$AL, $A207, 
'STH Efficacy'!$AM:$AM, "Albendazole &amp; Ivermectin",
'STH Efficacy'!$AS:$AS,"&lt;2016",
'STH Efficacy'!$BP:$BP,""),
"")</f>
        <v/>
      </c>
      <c r="BA207" s="133">
        <f t="shared" si="17"/>
        <v>0.597625</v>
      </c>
      <c r="BB207" s="443" t="str">
        <f>IFERROR(AVERAGEIFS(
'STH Efficacy'!$N:$N, 
'STH Efficacy'!$B:$B, $A207, 
'STH Efficacy'!$C:$C, "Albendazole",
'STH Efficacy'!$I:$I,"&lt;2016",
'STH Efficacy'!$AH:$AH,""),
"")</f>
        <v/>
      </c>
      <c r="BC207" s="135">
        <f t="shared" si="18"/>
        <v>0.7613712121</v>
      </c>
      <c r="BD207" s="443" t="str">
        <f>IFERROR(AVERAGEIFS(
'STH Efficacy'!$N:$N, 
'STH Efficacy'!$B:$B, $A207, 
'STH Efficacy'!$C:$C, "Mebendazole",
'STH Efficacy'!$I:$I,"&lt;2016",
'STH Efficacy'!$AH:$AH,""),
"")</f>
        <v/>
      </c>
      <c r="BE207" s="135">
        <f t="shared" si="19"/>
        <v>0.4362466667</v>
      </c>
      <c r="BF207" s="436" t="str">
        <f>IFERROR(AVERAGEIFS(
'STH Efficacy'!$CD:$CD, 
'STH Efficacy'!$BS:$BS, $A207, 
'STH Efficacy'!$BT:$BT, "Albendazole",
'STH Efficacy'!$BZ:$BZ,"&lt;2016",
'STH Efficacy'!$CU:$CU,""),
"")</f>
        <v/>
      </c>
      <c r="BG207" s="136">
        <f t="shared" si="20"/>
        <v>0.955</v>
      </c>
      <c r="BH207" s="436" t="str">
        <f>IFERROR(AVERAGEIFS(
'STH Efficacy'!$CD:$CD, 
'STH Efficacy'!$BS:$BS, $A207, 
'STH Efficacy'!$BT:$BT, "Mebendazole",
'STH Efficacy'!$BZ:$BZ,"&lt;2016",
'STH Efficacy'!$CU:$CU,""),
"")</f>
        <v/>
      </c>
      <c r="BI207" s="136">
        <f t="shared" si="21"/>
        <v>1</v>
      </c>
      <c r="BJ207" s="436" t="str">
        <f>IFERROR(AVERAGEIFS(
'STH Efficacy'!$CD:$CD, 
'STH Efficacy'!$BS:$BS, $A207, 
'STH Efficacy'!$BT:$BT, "Albendazole &amp; Ivermectin",
'STH Efficacy'!$BZ:$BZ,"&lt;2016",
'STH Efficacy'!$CU:$CU,""),
"")</f>
        <v/>
      </c>
      <c r="BK207" s="136">
        <f t="shared" si="22"/>
        <v>0.848</v>
      </c>
      <c r="BL207" s="444" t="str">
        <f>IFERROR(
  AVERAGEIFS(
    'NEW Onchocerciasis Efficacy'!$AO:$AO,
    'NEW Onchocerciasis Efficacy'!$C:$C,$A207,
    'NEW Onchocerciasis Efficacy'!$D:$D,"Ivermectin",
    'NEW Onchocerciasis Efficacy'!$AR:$AR,"&lt;2016",
    'NEW Onchocerciasis Efficacy'!$BG:$BG,"")
,"")</f>
        <v/>
      </c>
      <c r="BM207" s="304">
        <f t="shared" si="23"/>
        <v>0.7808368939</v>
      </c>
      <c r="BN207" s="439">
        <v>0.0</v>
      </c>
      <c r="BO207" s="139">
        <v>0.0</v>
      </c>
      <c r="BP207" s="140">
        <v>0.0</v>
      </c>
      <c r="BQ207" s="141">
        <f t="shared" si="24"/>
        <v>0</v>
      </c>
      <c r="BR207" s="104" t="str">
        <f t="shared" si="25"/>
        <v>0000</v>
      </c>
      <c r="BS207" s="104" t="str">
        <f t="shared" si="26"/>
        <v>no action required</v>
      </c>
      <c r="BT207" s="142" t="str">
        <f t="shared" si="43"/>
        <v/>
      </c>
      <c r="BU207" s="104" t="str">
        <f t="shared" si="28"/>
        <v/>
      </c>
      <c r="BV207" s="104" t="str">
        <f t="shared" si="29"/>
        <v>none</v>
      </c>
      <c r="BW207" s="150" t="str">
        <f t="shared" si="30"/>
        <v/>
      </c>
      <c r="BX207" s="150" t="str">
        <f t="shared" si="31"/>
        <v/>
      </c>
      <c r="BY207" s="151" t="str">
        <f t="shared" si="32"/>
        <v/>
      </c>
      <c r="BZ207" s="152" t="str">
        <f t="shared" si="33"/>
        <v/>
      </c>
      <c r="CA207" s="152" t="str">
        <f t="shared" si="34"/>
        <v/>
      </c>
      <c r="CB207" s="152" t="str">
        <f t="shared" si="35"/>
        <v/>
      </c>
      <c r="CC207" s="153" t="str">
        <f t="shared" si="36"/>
        <v/>
      </c>
      <c r="CD207" s="153" t="str">
        <f t="shared" si="37"/>
        <v/>
      </c>
      <c r="CE207" s="154" t="str">
        <f t="shared" si="38"/>
        <v/>
      </c>
      <c r="CF207" s="154" t="str">
        <f t="shared" si="39"/>
        <v/>
      </c>
      <c r="CG207" s="154" t="str">
        <f t="shared" si="40"/>
        <v/>
      </c>
      <c r="CH207" s="308" t="str">
        <f t="shared" si="41"/>
        <v/>
      </c>
    </row>
    <row r="208">
      <c r="A208" s="155" t="s">
        <v>297</v>
      </c>
      <c r="B208" s="104" t="s">
        <v>90</v>
      </c>
      <c r="C208" s="468">
        <v>6.5128861E7</v>
      </c>
      <c r="D208" s="161">
        <v>0.0</v>
      </c>
      <c r="E208" s="294">
        <v>0.0</v>
      </c>
      <c r="F208" s="163"/>
      <c r="G208" s="325"/>
      <c r="H208" s="108">
        <v>0.0</v>
      </c>
      <c r="I208" s="109">
        <v>0.0</v>
      </c>
      <c r="J208" s="109">
        <v>0.0</v>
      </c>
      <c r="K208" s="109">
        <v>0.0</v>
      </c>
      <c r="L208" s="113"/>
      <c r="M208" s="113"/>
      <c r="N208" s="112">
        <v>0.0</v>
      </c>
      <c r="O208" s="298">
        <v>0.0</v>
      </c>
      <c r="P208" s="114"/>
      <c r="Q208" s="114"/>
      <c r="R208" s="121" t="str">
        <f t="shared" si="4"/>
        <v/>
      </c>
      <c r="S208" s="116">
        <f t="shared" si="5"/>
        <v>0.5709301448</v>
      </c>
      <c r="T208" s="117"/>
      <c r="U208" s="118">
        <f t="shared" si="6"/>
        <v>0.4791888889</v>
      </c>
      <c r="V208" s="148"/>
      <c r="W208" s="120">
        <f t="shared" si="7"/>
        <v>0.0223</v>
      </c>
      <c r="X208" s="148"/>
      <c r="Y208" s="120">
        <f t="shared" si="8"/>
        <v>0.598275</v>
      </c>
      <c r="Z208" s="299"/>
      <c r="AA208" s="441"/>
      <c r="AB208" s="300" t="str">
        <f t="shared" si="9"/>
        <v/>
      </c>
      <c r="AC208" s="300">
        <f t="shared" si="10"/>
        <v>0.6890056172</v>
      </c>
      <c r="AD208" s="314">
        <v>0.0</v>
      </c>
      <c r="AE208" s="315">
        <v>0.0</v>
      </c>
      <c r="AF208" s="445">
        <v>0.0</v>
      </c>
      <c r="AG208" s="316">
        <v>0.0</v>
      </c>
      <c r="AH208" s="307">
        <v>0.0</v>
      </c>
      <c r="AI208" s="317">
        <v>0.0</v>
      </c>
      <c r="AJ208" s="318">
        <v>0.0</v>
      </c>
      <c r="AK208" s="319">
        <v>0.0</v>
      </c>
      <c r="AL208" s="446">
        <v>0.0</v>
      </c>
      <c r="AM208" s="302">
        <v>0.0</v>
      </c>
      <c r="AN208" s="149" t="str">
        <f>IFERROR(
  AVERAGEIFS(
    'New LF Efficacy'!$J:$J,
    'New LF Efficacy'!$D:$D, $A208,
    'New LF Efficacy'!$F:$F,"DEC", 
    'New LF Efficacy'!$W:$W,"&lt;2016",
    'New LF Efficacy'!$AA:$AA,""),
  ""
)</f>
        <v/>
      </c>
      <c r="AO208" s="115">
        <f t="shared" si="11"/>
        <v>0.3573520833</v>
      </c>
      <c r="AP208" s="149" t="str">
        <f>IFERROR(
AVERAGEIFS(
'New LF Efficacy'!$J:$J,
'New LF Efficacy'!$D:$D,$A208,
'New LF Efficacy'!$F:$F,"Albendazole &amp; DEC",
'New LF Efficacy'!$W:$W,"&lt;2016",
'New LF Efficacy'!$AA:$AA,""),
"")
</f>
        <v/>
      </c>
      <c r="AQ208" s="115">
        <f t="shared" si="12"/>
        <v>0.5143541667</v>
      </c>
      <c r="AR208" s="149" t="str">
        <f>IFERROR(
AVERAGEIFS(
'New LF Efficacy'!$J:$J,
'New LF Efficacy'!$D:$D,$A208,
'New LF Efficacy'!$F:$F,"Albendazole &amp; Ivermectin", 
'New LF Efficacy'!$W:$W,"&lt;2016",
'New LF Efficacy'!$AA:$AA,""),"")</f>
        <v/>
      </c>
      <c r="AS208" s="115">
        <f t="shared" si="13"/>
        <v>0.37153125</v>
      </c>
      <c r="AT208" s="442" t="str">
        <f>IFERROR(AVERAGEIFS(
'Schist Efficacy'!$O:$O, 
'Schist Efficacy'!$C:$C,$A208, 
'Schist Efficacy'!$D:$D, "Praziquantel",
'Schist Efficacy'!$J:$J,"&lt;2016",
'Schist Efficacy'!$U:$U,""),
"")</f>
        <v/>
      </c>
      <c r="AU208" s="118">
        <f t="shared" si="14"/>
        <v>0.655</v>
      </c>
      <c r="AV208" s="131" t="str">
        <f>IFERROR(AVERAGEIFS(
'STH Efficacy'!$AX:$AX, 
'STH Efficacy'!$AL:$AL, $A208, 
'STH Efficacy'!$AM:$AM, "Albendazole",
'STH Efficacy'!$AS:$AS,"&lt;2016",
'STH Efficacy'!$BP:$BP,""),
"")</f>
        <v/>
      </c>
      <c r="AW208" s="132">
        <f t="shared" si="15"/>
        <v>0.4143846154</v>
      </c>
      <c r="AX208" s="131" t="str">
        <f>IFERROR(AVERAGEIFS(
'STH Efficacy'!$AX:$AX, 
'STH Efficacy'!$AL:$AL, $A208, 
'STH Efficacy'!$AM:$AM, "Mebendazole",
'STH Efficacy'!$AS:$AS,"&lt;2016",
'STH Efficacy'!$BP:$BP,""),
"")</f>
        <v/>
      </c>
      <c r="AY208" s="132">
        <f t="shared" si="16"/>
        <v>0.4691770833</v>
      </c>
      <c r="AZ208" s="131" t="str">
        <f>IFERROR(AVERAGEIFS(
'STH Efficacy'!$AX:$AX, 
'STH Efficacy'!$AL:$AL, $A208, 
'STH Efficacy'!$AM:$AM, "Albendazole &amp; Ivermectin",
'STH Efficacy'!$AS:$AS,"&lt;2016",
'STH Efficacy'!$BP:$BP,""),
"")</f>
        <v/>
      </c>
      <c r="BA208" s="133">
        <f t="shared" si="17"/>
        <v>0.597625</v>
      </c>
      <c r="BB208" s="443" t="str">
        <f>IFERROR(AVERAGEIFS(
'STH Efficacy'!$N:$N, 
'STH Efficacy'!$B:$B, $A208, 
'STH Efficacy'!$C:$C, "Albendazole",
'STH Efficacy'!$I:$I,"&lt;2016",
'STH Efficacy'!$AH:$AH,""),
"")</f>
        <v/>
      </c>
      <c r="BC208" s="135">
        <f t="shared" si="18"/>
        <v>0.7613712121</v>
      </c>
      <c r="BD208" s="443" t="str">
        <f>IFERROR(AVERAGEIFS(
'STH Efficacy'!$N:$N, 
'STH Efficacy'!$B:$B, $A208, 
'STH Efficacy'!$C:$C, "Mebendazole",
'STH Efficacy'!$I:$I,"&lt;2016",
'STH Efficacy'!$AH:$AH,""),
"")</f>
        <v/>
      </c>
      <c r="BE208" s="135">
        <f t="shared" si="19"/>
        <v>0.4362466667</v>
      </c>
      <c r="BF208" s="436" t="str">
        <f>IFERROR(AVERAGEIFS(
'STH Efficacy'!$CD:$CD, 
'STH Efficacy'!$BS:$BS, $A208, 
'STH Efficacy'!$BT:$BT, "Albendazole",
'STH Efficacy'!$BZ:$BZ,"&lt;2016",
'STH Efficacy'!$CU:$CU,""),
"")</f>
        <v/>
      </c>
      <c r="BG208" s="136">
        <f t="shared" si="20"/>
        <v>0.9216027778</v>
      </c>
      <c r="BH208" s="436" t="str">
        <f>IFERROR(AVERAGEIFS(
'STH Efficacy'!$CD:$CD, 
'STH Efficacy'!$BS:$BS, $A208, 
'STH Efficacy'!$BT:$BT, "Mebendazole",
'STH Efficacy'!$BZ:$BZ,"&lt;2016",
'STH Efficacy'!$CU:$CU,""),
"")</f>
        <v/>
      </c>
      <c r="BI208" s="136">
        <f t="shared" si="21"/>
        <v>0.8866041667</v>
      </c>
      <c r="BJ208" s="436" t="str">
        <f>IFERROR(AVERAGEIFS(
'STH Efficacy'!$CD:$CD, 
'STH Efficacy'!$BS:$BS, $A208, 
'STH Efficacy'!$BT:$BT, "Albendazole &amp; Ivermectin",
'STH Efficacy'!$BZ:$BZ,"&lt;2016",
'STH Efficacy'!$CU:$CU,""),
"")</f>
        <v/>
      </c>
      <c r="BK208" s="136">
        <f t="shared" si="22"/>
        <v>0.848</v>
      </c>
      <c r="BL208" s="444" t="str">
        <f>IFERROR(
  AVERAGEIFS(
    'NEW Onchocerciasis Efficacy'!$AO:$AO,
    'NEW Onchocerciasis Efficacy'!$C:$C,$A208,
    'NEW Onchocerciasis Efficacy'!$D:$D,"Ivermectin",
    'NEW Onchocerciasis Efficacy'!$AR:$AR,"&lt;2016",
    'NEW Onchocerciasis Efficacy'!$BG:$BG,"")
,"")</f>
        <v/>
      </c>
      <c r="BM208" s="304">
        <f t="shared" si="23"/>
        <v>0.7808368939</v>
      </c>
      <c r="BN208" s="439">
        <v>0.0</v>
      </c>
      <c r="BO208" s="139">
        <v>0.0</v>
      </c>
      <c r="BP208" s="140">
        <v>0.0</v>
      </c>
      <c r="BQ208" s="141">
        <f t="shared" si="24"/>
        <v>0</v>
      </c>
      <c r="BR208" s="104" t="str">
        <f t="shared" si="25"/>
        <v>0000</v>
      </c>
      <c r="BS208" s="104" t="str">
        <f t="shared" si="26"/>
        <v>no action required</v>
      </c>
      <c r="BT208" s="142" t="str">
        <f t="shared" si="43"/>
        <v/>
      </c>
      <c r="BU208" s="104" t="str">
        <f t="shared" si="28"/>
        <v/>
      </c>
      <c r="BV208" s="104" t="str">
        <f t="shared" si="29"/>
        <v>none</v>
      </c>
      <c r="BW208" s="150" t="str">
        <f t="shared" si="30"/>
        <v/>
      </c>
      <c r="BX208" s="150" t="str">
        <f t="shared" si="31"/>
        <v/>
      </c>
      <c r="BY208" s="151" t="str">
        <f t="shared" si="32"/>
        <v/>
      </c>
      <c r="BZ208" s="152" t="str">
        <f t="shared" si="33"/>
        <v/>
      </c>
      <c r="CA208" s="152" t="str">
        <f t="shared" si="34"/>
        <v/>
      </c>
      <c r="CB208" s="152" t="str">
        <f t="shared" si="35"/>
        <v/>
      </c>
      <c r="CC208" s="153" t="str">
        <f t="shared" si="36"/>
        <v/>
      </c>
      <c r="CD208" s="153" t="str">
        <f t="shared" si="37"/>
        <v/>
      </c>
      <c r="CE208" s="154" t="str">
        <f t="shared" si="38"/>
        <v/>
      </c>
      <c r="CF208" s="154" t="str">
        <f t="shared" si="39"/>
        <v/>
      </c>
      <c r="CG208" s="154" t="str">
        <f t="shared" si="40"/>
        <v/>
      </c>
      <c r="CH208" s="308" t="str">
        <f t="shared" si="41"/>
        <v/>
      </c>
    </row>
    <row r="209">
      <c r="A209" s="155" t="s">
        <v>298</v>
      </c>
      <c r="B209" s="104" t="s">
        <v>98</v>
      </c>
      <c r="C209" s="468">
        <v>3.20896618E8</v>
      </c>
      <c r="D209" s="161">
        <v>0.0</v>
      </c>
      <c r="E209" s="294">
        <v>0.0</v>
      </c>
      <c r="F209" s="307">
        <v>0.0</v>
      </c>
      <c r="G209" s="309">
        <v>0.0</v>
      </c>
      <c r="H209" s="108">
        <v>0.0</v>
      </c>
      <c r="I209" s="109">
        <v>0.0</v>
      </c>
      <c r="J209" s="109">
        <v>0.0</v>
      </c>
      <c r="K209" s="109">
        <v>0.0</v>
      </c>
      <c r="L209" s="112">
        <v>0.0</v>
      </c>
      <c r="M209" s="112">
        <v>0.0</v>
      </c>
      <c r="N209" s="112">
        <v>0.0</v>
      </c>
      <c r="O209" s="298">
        <v>0.0</v>
      </c>
      <c r="P209" s="114"/>
      <c r="Q209" s="114"/>
      <c r="R209" s="121" t="str">
        <f t="shared" si="4"/>
        <v/>
      </c>
      <c r="S209" s="116">
        <f t="shared" si="5"/>
        <v>0.3565746084</v>
      </c>
      <c r="T209" s="117"/>
      <c r="U209" s="118">
        <f t="shared" si="6"/>
        <v>0.4791888889</v>
      </c>
      <c r="V209" s="148"/>
      <c r="W209" s="120">
        <f t="shared" si="7"/>
        <v>0.685</v>
      </c>
      <c r="X209" s="148"/>
      <c r="Y209" s="120">
        <f t="shared" si="8"/>
        <v>0.7550545455</v>
      </c>
      <c r="Z209" s="299"/>
      <c r="AA209" s="441"/>
      <c r="AB209" s="300" t="str">
        <f t="shared" si="9"/>
        <v/>
      </c>
      <c r="AC209" s="300">
        <f t="shared" si="10"/>
        <v>0.7101368438</v>
      </c>
      <c r="AD209" s="122">
        <v>0.0</v>
      </c>
      <c r="AE209" s="123">
        <v>0.0</v>
      </c>
      <c r="AF209" s="430">
        <v>0.0</v>
      </c>
      <c r="AG209" s="316">
        <v>0.0</v>
      </c>
      <c r="AH209" s="316">
        <v>0.0</v>
      </c>
      <c r="AI209" s="317">
        <v>0.0</v>
      </c>
      <c r="AJ209" s="317">
        <v>0.0</v>
      </c>
      <c r="AK209" s="319">
        <v>0.0</v>
      </c>
      <c r="AL209" s="319">
        <v>0.0</v>
      </c>
      <c r="AM209" s="302">
        <v>0.0</v>
      </c>
      <c r="AN209" s="149" t="str">
        <f>IFERROR(
  AVERAGEIFS(
    'New LF Efficacy'!$J:$J,
    'New LF Efficacy'!$D:$D, $A209,
    'New LF Efficacy'!$F:$F,"DEC", 
    'New LF Efficacy'!$W:$W,"&lt;2016",
    'New LF Efficacy'!$AA:$AA,""),
  ""
)</f>
        <v/>
      </c>
      <c r="AO209" s="115">
        <f t="shared" si="11"/>
        <v>0.2589833333</v>
      </c>
      <c r="AP209" s="149" t="str">
        <f>IFERROR(
AVERAGEIFS(
'New LF Efficacy'!$J:$J,
'New LF Efficacy'!$D:$D,$A209,
'New LF Efficacy'!$F:$F,"Albendazole &amp; DEC",
'New LF Efficacy'!$W:$W,"&lt;2016",
'New LF Efficacy'!$AA:$AA,""),
"")
</f>
        <v/>
      </c>
      <c r="AQ209" s="115">
        <f t="shared" si="12"/>
        <v>0.3465</v>
      </c>
      <c r="AR209" s="149" t="str">
        <f>IFERROR(
AVERAGEIFS(
'New LF Efficacy'!$J:$J,
'New LF Efficacy'!$D:$D,$A209,
'New LF Efficacy'!$F:$F,"Albendazole &amp; Ivermectin", 
'New LF Efficacy'!$W:$W,"&lt;2016",
'New LF Efficacy'!$AA:$AA,""),"")</f>
        <v/>
      </c>
      <c r="AS209" s="115">
        <f t="shared" si="13"/>
        <v>0.7575</v>
      </c>
      <c r="AT209" s="442" t="str">
        <f>IFERROR(AVERAGEIFS(
'Schist Efficacy'!$O:$O, 
'Schist Efficacy'!$C:$C,$A209, 
'Schist Efficacy'!$D:$D, "Praziquantel",
'Schist Efficacy'!$J:$J,"&lt;2016",
'Schist Efficacy'!$U:$U,""),
"")</f>
        <v/>
      </c>
      <c r="AU209" s="118">
        <f t="shared" si="14"/>
        <v>0.7914761905</v>
      </c>
      <c r="AV209" s="131" t="str">
        <f>IFERROR(AVERAGEIFS(
'STH Efficacy'!$AX:$AX, 
'STH Efficacy'!$AL:$AL, $A209, 
'STH Efficacy'!$AM:$AM, "Albendazole",
'STH Efficacy'!$AS:$AS,"&lt;2016",
'STH Efficacy'!$BP:$BP,""),
"")</f>
        <v/>
      </c>
      <c r="AW209" s="132">
        <f t="shared" si="15"/>
        <v>0.3945</v>
      </c>
      <c r="AX209" s="131" t="str">
        <f>IFERROR(AVERAGEIFS(
'STH Efficacy'!$AX:$AX, 
'STH Efficacy'!$AL:$AL, $A209, 
'STH Efficacy'!$AM:$AM, "Mebendazole",
'STH Efficacy'!$AS:$AS,"&lt;2016",
'STH Efficacy'!$BP:$BP,""),
"")</f>
        <v/>
      </c>
      <c r="AY209" s="132">
        <f t="shared" si="16"/>
        <v>0.6</v>
      </c>
      <c r="AZ209" s="131" t="str">
        <f>IFERROR(AVERAGEIFS(
'STH Efficacy'!$AX:$AX, 
'STH Efficacy'!$AL:$AL, $A209, 
'STH Efficacy'!$AM:$AM, "Albendazole &amp; Ivermectin",
'STH Efficacy'!$AS:$AS,"&lt;2016",
'STH Efficacy'!$BP:$BP,""),
"")</f>
        <v/>
      </c>
      <c r="BA209" s="133">
        <f t="shared" si="17"/>
        <v>0.796</v>
      </c>
      <c r="BB209" s="443" t="str">
        <f>IFERROR(AVERAGEIFS(
'STH Efficacy'!$N:$N, 
'STH Efficacy'!$B:$B, $A209, 
'STH Efficacy'!$C:$C, "Albendazole",
'STH Efficacy'!$I:$I,"&lt;2016",
'STH Efficacy'!$AH:$AH,""),
"")</f>
        <v/>
      </c>
      <c r="BC209" s="135">
        <f t="shared" si="18"/>
        <v>0.869</v>
      </c>
      <c r="BD209" s="443" t="str">
        <f>IFERROR(AVERAGEIFS(
'STH Efficacy'!$N:$N, 
'STH Efficacy'!$B:$B, $A209, 
'STH Efficacy'!$C:$C, "Mebendazole",
'STH Efficacy'!$I:$I,"&lt;2016",
'STH Efficacy'!$AH:$AH,""),
"")</f>
        <v/>
      </c>
      <c r="BE209" s="135">
        <f t="shared" si="19"/>
        <v>0.172</v>
      </c>
      <c r="BF209" s="436" t="str">
        <f>IFERROR(AVERAGEIFS(
'STH Efficacy'!$CD:$CD, 
'STH Efficacy'!$BS:$BS, $A209, 
'STH Efficacy'!$BT:$BT, "Albendazole",
'STH Efficacy'!$BZ:$BZ,"&lt;2016",
'STH Efficacy'!$CU:$CU,""),
"")</f>
        <v/>
      </c>
      <c r="BG209" s="136">
        <f t="shared" si="20"/>
        <v>0.9862</v>
      </c>
      <c r="BH209" s="436" t="str">
        <f>IFERROR(AVERAGEIFS(
'STH Efficacy'!$CD:$CD, 
'STH Efficacy'!$BS:$BS, $A209, 
'STH Efficacy'!$BT:$BT, "Mebendazole",
'STH Efficacy'!$BZ:$BZ,"&lt;2016",
'STH Efficacy'!$CU:$CU,""),
"")</f>
        <v/>
      </c>
      <c r="BI209" s="136">
        <f t="shared" si="21"/>
        <v>0.769</v>
      </c>
      <c r="BJ209" s="436" t="str">
        <f>IFERROR(AVERAGEIFS(
'STH Efficacy'!$CD:$CD, 
'STH Efficacy'!$BS:$BS, $A209, 
'STH Efficacy'!$BT:$BT, "Albendazole &amp; Ivermectin",
'STH Efficacy'!$BZ:$BZ,"&lt;2016",
'STH Efficacy'!$CU:$CU,""),
"")</f>
        <v/>
      </c>
      <c r="BK209" s="136">
        <f t="shared" si="22"/>
        <v>1</v>
      </c>
      <c r="BL209" s="444" t="str">
        <f>IFERROR(
  AVERAGEIFS(
    'NEW Onchocerciasis Efficacy'!$AO:$AO,
    'NEW Onchocerciasis Efficacy'!$C:$C,$A209,
    'NEW Onchocerciasis Efficacy'!$D:$D,"Ivermectin",
    'NEW Onchocerciasis Efficacy'!$AR:$AR,"&lt;2016",
    'NEW Onchocerciasis Efficacy'!$BG:$BG,"")
,"")</f>
        <v/>
      </c>
      <c r="BM209" s="304">
        <f t="shared" si="23"/>
        <v>0.3734</v>
      </c>
      <c r="BN209" s="439">
        <v>0.0</v>
      </c>
      <c r="BO209" s="139">
        <v>0.0</v>
      </c>
      <c r="BP209" s="140">
        <v>0.0</v>
      </c>
      <c r="BQ209" s="141">
        <f t="shared" si="24"/>
        <v>0</v>
      </c>
      <c r="BR209" s="104" t="str">
        <f t="shared" si="25"/>
        <v>0000</v>
      </c>
      <c r="BS209" s="104" t="str">
        <f t="shared" si="26"/>
        <v>no action required</v>
      </c>
      <c r="BT209" s="142" t="str">
        <f t="shared" si="43"/>
        <v/>
      </c>
      <c r="BU209" s="104" t="str">
        <f t="shared" si="28"/>
        <v/>
      </c>
      <c r="BV209" s="104" t="str">
        <f t="shared" si="29"/>
        <v>none</v>
      </c>
      <c r="BW209" s="150" t="str">
        <f t="shared" si="30"/>
        <v/>
      </c>
      <c r="BX209" s="150" t="str">
        <f t="shared" si="31"/>
        <v/>
      </c>
      <c r="BY209" s="151" t="str">
        <f t="shared" si="32"/>
        <v/>
      </c>
      <c r="BZ209" s="152" t="str">
        <f t="shared" si="33"/>
        <v/>
      </c>
      <c r="CA209" s="152" t="str">
        <f t="shared" si="34"/>
        <v/>
      </c>
      <c r="CB209" s="152" t="str">
        <f t="shared" si="35"/>
        <v/>
      </c>
      <c r="CC209" s="153" t="str">
        <f t="shared" si="36"/>
        <v/>
      </c>
      <c r="CD209" s="153" t="str">
        <f t="shared" si="37"/>
        <v/>
      </c>
      <c r="CE209" s="154" t="str">
        <f t="shared" si="38"/>
        <v/>
      </c>
      <c r="CF209" s="154" t="str">
        <f t="shared" si="39"/>
        <v/>
      </c>
      <c r="CG209" s="154" t="str">
        <f t="shared" si="40"/>
        <v/>
      </c>
      <c r="CH209" s="308" t="str">
        <f t="shared" si="41"/>
        <v/>
      </c>
    </row>
    <row r="210">
      <c r="A210" s="155" t="s">
        <v>299</v>
      </c>
      <c r="B210" s="104" t="s">
        <v>98</v>
      </c>
      <c r="C210" s="468">
        <v>3431552.0</v>
      </c>
      <c r="D210" s="161">
        <v>0.0</v>
      </c>
      <c r="E210" s="294">
        <v>0.0</v>
      </c>
      <c r="F210" s="307">
        <v>0.0</v>
      </c>
      <c r="G210" s="309">
        <v>0.0</v>
      </c>
      <c r="H210" s="108">
        <v>0.0</v>
      </c>
      <c r="I210" s="109">
        <v>0.0</v>
      </c>
      <c r="J210" s="109">
        <v>0.0</v>
      </c>
      <c r="K210" s="109">
        <v>0.0</v>
      </c>
      <c r="L210" s="112">
        <v>0.366729215</v>
      </c>
      <c r="M210" s="112">
        <v>0.174391244</v>
      </c>
      <c r="N210" s="112">
        <v>0.541120459</v>
      </c>
      <c r="O210" s="298">
        <v>0.0</v>
      </c>
      <c r="P210" s="114"/>
      <c r="Q210" s="114"/>
      <c r="R210" s="121" t="str">
        <f t="shared" si="4"/>
        <v/>
      </c>
      <c r="S210" s="116">
        <f t="shared" si="5"/>
        <v>0.3565746084</v>
      </c>
      <c r="T210" s="117"/>
      <c r="U210" s="118">
        <f t="shared" si="6"/>
        <v>0.4791888889</v>
      </c>
      <c r="V210" s="148"/>
      <c r="W210" s="120">
        <f t="shared" si="7"/>
        <v>0.685</v>
      </c>
      <c r="X210" s="148"/>
      <c r="Y210" s="120">
        <f t="shared" si="8"/>
        <v>0.7550545455</v>
      </c>
      <c r="Z210" s="299"/>
      <c r="AA210" s="441"/>
      <c r="AB210" s="300" t="str">
        <f t="shared" si="9"/>
        <v/>
      </c>
      <c r="AC210" s="300">
        <f t="shared" si="10"/>
        <v>0.7101368438</v>
      </c>
      <c r="AD210" s="122">
        <v>0.0</v>
      </c>
      <c r="AE210" s="123">
        <v>0.0</v>
      </c>
      <c r="AF210" s="430">
        <v>0.0</v>
      </c>
      <c r="AG210" s="316">
        <v>0.0</v>
      </c>
      <c r="AH210" s="316">
        <v>0.0</v>
      </c>
      <c r="AI210" s="317">
        <v>0.0</v>
      </c>
      <c r="AJ210" s="317">
        <v>0.0</v>
      </c>
      <c r="AK210" s="319">
        <v>0.0</v>
      </c>
      <c r="AL210" s="319">
        <v>0.0</v>
      </c>
      <c r="AM210" s="302">
        <v>0.0</v>
      </c>
      <c r="AN210" s="149" t="str">
        <f>IFERROR(
  AVERAGEIFS(
    'New LF Efficacy'!$J:$J,
    'New LF Efficacy'!$D:$D, $A210,
    'New LF Efficacy'!$F:$F,"DEC", 
    'New LF Efficacy'!$W:$W,"&lt;2016",
    'New LF Efficacy'!$AA:$AA,""),
  ""
)</f>
        <v/>
      </c>
      <c r="AO210" s="115">
        <f t="shared" si="11"/>
        <v>0.2589833333</v>
      </c>
      <c r="AP210" s="149" t="str">
        <f>IFERROR(
AVERAGEIFS(
'New LF Efficacy'!$J:$J,
'New LF Efficacy'!$D:$D,$A210,
'New LF Efficacy'!$F:$F,"Albendazole &amp; DEC",
'New LF Efficacy'!$W:$W,"&lt;2016",
'New LF Efficacy'!$AA:$AA,""),
"")
</f>
        <v/>
      </c>
      <c r="AQ210" s="115">
        <f t="shared" si="12"/>
        <v>0.3465</v>
      </c>
      <c r="AR210" s="149" t="str">
        <f>IFERROR(
AVERAGEIFS(
'New LF Efficacy'!$J:$J,
'New LF Efficacy'!$D:$D,$A210,
'New LF Efficacy'!$F:$F,"Albendazole &amp; Ivermectin", 
'New LF Efficacy'!$W:$W,"&lt;2016",
'New LF Efficacy'!$AA:$AA,""),"")</f>
        <v/>
      </c>
      <c r="AS210" s="115">
        <f t="shared" si="13"/>
        <v>0.7575</v>
      </c>
      <c r="AT210" s="442" t="str">
        <f>IFERROR(AVERAGEIFS(
'Schist Efficacy'!$O:$O, 
'Schist Efficacy'!$C:$C,$A210, 
'Schist Efficacy'!$D:$D, "Praziquantel",
'Schist Efficacy'!$J:$J,"&lt;2016",
'Schist Efficacy'!$U:$U,""),
"")</f>
        <v/>
      </c>
      <c r="AU210" s="118">
        <f t="shared" si="14"/>
        <v>0.7914761905</v>
      </c>
      <c r="AV210" s="131" t="str">
        <f>IFERROR(AVERAGEIFS(
'STH Efficacy'!$AX:$AX, 
'STH Efficacy'!$AL:$AL, $A210, 
'STH Efficacy'!$AM:$AM, "Albendazole",
'STH Efficacy'!$AS:$AS,"&lt;2016",
'STH Efficacy'!$BP:$BP,""),
"")</f>
        <v/>
      </c>
      <c r="AW210" s="132">
        <f t="shared" si="15"/>
        <v>0.3945</v>
      </c>
      <c r="AX210" s="131" t="str">
        <f>IFERROR(AVERAGEIFS(
'STH Efficacy'!$AX:$AX, 
'STH Efficacy'!$AL:$AL, $A210, 
'STH Efficacy'!$AM:$AM, "Mebendazole",
'STH Efficacy'!$AS:$AS,"&lt;2016",
'STH Efficacy'!$BP:$BP,""),
"")</f>
        <v/>
      </c>
      <c r="AY210" s="132">
        <f t="shared" si="16"/>
        <v>0.6</v>
      </c>
      <c r="AZ210" s="131" t="str">
        <f>IFERROR(AVERAGEIFS(
'STH Efficacy'!$AX:$AX, 
'STH Efficacy'!$AL:$AL, $A210, 
'STH Efficacy'!$AM:$AM, "Albendazole &amp; Ivermectin",
'STH Efficacy'!$AS:$AS,"&lt;2016",
'STH Efficacy'!$BP:$BP,""),
"")</f>
        <v/>
      </c>
      <c r="BA210" s="133">
        <f t="shared" si="17"/>
        <v>0.796</v>
      </c>
      <c r="BB210" s="443" t="str">
        <f>IFERROR(AVERAGEIFS(
'STH Efficacy'!$N:$N, 
'STH Efficacy'!$B:$B, $A210, 
'STH Efficacy'!$C:$C, "Albendazole",
'STH Efficacy'!$I:$I,"&lt;2016",
'STH Efficacy'!$AH:$AH,""),
"")</f>
        <v/>
      </c>
      <c r="BC210" s="135">
        <f t="shared" si="18"/>
        <v>0.869</v>
      </c>
      <c r="BD210" s="443" t="str">
        <f>IFERROR(AVERAGEIFS(
'STH Efficacy'!$N:$N, 
'STH Efficacy'!$B:$B, $A210, 
'STH Efficacy'!$C:$C, "Mebendazole",
'STH Efficacy'!$I:$I,"&lt;2016",
'STH Efficacy'!$AH:$AH,""),
"")</f>
        <v/>
      </c>
      <c r="BE210" s="135">
        <f t="shared" si="19"/>
        <v>0.172</v>
      </c>
      <c r="BF210" s="436" t="str">
        <f>IFERROR(AVERAGEIFS(
'STH Efficacy'!$CD:$CD, 
'STH Efficacy'!$BS:$BS, $A210, 
'STH Efficacy'!$BT:$BT, "Albendazole",
'STH Efficacy'!$BZ:$BZ,"&lt;2016",
'STH Efficacy'!$CU:$CU,""),
"")</f>
        <v/>
      </c>
      <c r="BG210" s="136">
        <f t="shared" si="20"/>
        <v>0.9862</v>
      </c>
      <c r="BH210" s="436" t="str">
        <f>IFERROR(AVERAGEIFS(
'STH Efficacy'!$CD:$CD, 
'STH Efficacy'!$BS:$BS, $A210, 
'STH Efficacy'!$BT:$BT, "Mebendazole",
'STH Efficacy'!$BZ:$BZ,"&lt;2016",
'STH Efficacy'!$CU:$CU,""),
"")</f>
        <v/>
      </c>
      <c r="BI210" s="136">
        <f t="shared" si="21"/>
        <v>0.769</v>
      </c>
      <c r="BJ210" s="436" t="str">
        <f>IFERROR(AVERAGEIFS(
'STH Efficacy'!$CD:$CD, 
'STH Efficacy'!$BS:$BS, $A210, 
'STH Efficacy'!$BT:$BT, "Albendazole &amp; Ivermectin",
'STH Efficacy'!$BZ:$BZ,"&lt;2016",
'STH Efficacy'!$CU:$CU,""),
"")</f>
        <v/>
      </c>
      <c r="BK210" s="136">
        <f t="shared" si="22"/>
        <v>1</v>
      </c>
      <c r="BL210" s="444" t="str">
        <f>IFERROR(
  AVERAGEIFS(
    'NEW Onchocerciasis Efficacy'!$AO:$AO,
    'NEW Onchocerciasis Efficacy'!$C:$C,$A210,
    'NEW Onchocerciasis Efficacy'!$D:$D,"Ivermectin",
    'NEW Onchocerciasis Efficacy'!$AR:$AR,"&lt;2016",
    'NEW Onchocerciasis Efficacy'!$BG:$BG,"")
,"")</f>
        <v/>
      </c>
      <c r="BM210" s="304">
        <f t="shared" si="23"/>
        <v>0.3734</v>
      </c>
      <c r="BN210" s="439">
        <v>0.0</v>
      </c>
      <c r="BO210" s="139">
        <v>0.0</v>
      </c>
      <c r="BP210" s="140">
        <v>0.0</v>
      </c>
      <c r="BQ210" s="141">
        <f t="shared" si="24"/>
        <v>0</v>
      </c>
      <c r="BR210" s="104" t="str">
        <f t="shared" si="25"/>
        <v>0000</v>
      </c>
      <c r="BS210" s="104" t="str">
        <f t="shared" si="26"/>
        <v>no action required</v>
      </c>
      <c r="BT210" s="142" t="str">
        <f t="shared" si="43"/>
        <v/>
      </c>
      <c r="BU210" s="104" t="str">
        <f t="shared" si="28"/>
        <v/>
      </c>
      <c r="BV210" s="104" t="str">
        <f t="shared" si="29"/>
        <v>none</v>
      </c>
      <c r="BW210" s="150" t="str">
        <f t="shared" si="30"/>
        <v/>
      </c>
      <c r="BX210" s="150" t="str">
        <f t="shared" si="31"/>
        <v/>
      </c>
      <c r="BY210" s="151" t="str">
        <f t="shared" si="32"/>
        <v/>
      </c>
      <c r="BZ210" s="152" t="str">
        <f t="shared" si="33"/>
        <v/>
      </c>
      <c r="CA210" s="152" t="str">
        <f t="shared" si="34"/>
        <v/>
      </c>
      <c r="CB210" s="152" t="str">
        <f t="shared" si="35"/>
        <v/>
      </c>
      <c r="CC210" s="153" t="str">
        <f t="shared" si="36"/>
        <v/>
      </c>
      <c r="CD210" s="153" t="str">
        <f t="shared" si="37"/>
        <v/>
      </c>
      <c r="CE210" s="154" t="str">
        <f t="shared" si="38"/>
        <v/>
      </c>
      <c r="CF210" s="154" t="str">
        <f t="shared" si="39"/>
        <v/>
      </c>
      <c r="CG210" s="154" t="str">
        <f t="shared" si="40"/>
        <v/>
      </c>
      <c r="CH210" s="308" t="str">
        <f t="shared" si="41"/>
        <v/>
      </c>
    </row>
    <row r="211">
      <c r="A211" s="155" t="s">
        <v>300</v>
      </c>
      <c r="B211" s="104" t="s">
        <v>98</v>
      </c>
      <c r="C211" s="468">
        <v>103574.0</v>
      </c>
      <c r="D211" s="161">
        <v>0.0</v>
      </c>
      <c r="E211" s="294">
        <v>0.0</v>
      </c>
      <c r="F211" s="163"/>
      <c r="G211" s="325"/>
      <c r="H211" s="108">
        <v>0.0</v>
      </c>
      <c r="I211" s="109">
        <v>0.0</v>
      </c>
      <c r="J211" s="109">
        <v>0.0</v>
      </c>
      <c r="K211" s="109">
        <v>0.0</v>
      </c>
      <c r="L211" s="113"/>
      <c r="M211" s="113"/>
      <c r="N211" s="112">
        <v>0.0</v>
      </c>
      <c r="O211" s="298">
        <v>0.0</v>
      </c>
      <c r="P211" s="114"/>
      <c r="Q211" s="114"/>
      <c r="R211" s="121" t="str">
        <f t="shared" si="4"/>
        <v/>
      </c>
      <c r="S211" s="116">
        <f t="shared" si="5"/>
        <v>0.3565746084</v>
      </c>
      <c r="T211" s="117"/>
      <c r="U211" s="118">
        <f t="shared" si="6"/>
        <v>0.4791888889</v>
      </c>
      <c r="V211" s="148"/>
      <c r="W211" s="120">
        <f t="shared" si="7"/>
        <v>0.685</v>
      </c>
      <c r="X211" s="148"/>
      <c r="Y211" s="120">
        <f t="shared" si="8"/>
        <v>0.7550545455</v>
      </c>
      <c r="Z211" s="299"/>
      <c r="AA211" s="441"/>
      <c r="AB211" s="300" t="str">
        <f t="shared" si="9"/>
        <v/>
      </c>
      <c r="AC211" s="300">
        <f t="shared" si="10"/>
        <v>0.7101368438</v>
      </c>
      <c r="AD211" s="314">
        <v>0.0</v>
      </c>
      <c r="AE211" s="315">
        <v>0.0</v>
      </c>
      <c r="AF211" s="445">
        <v>0.0</v>
      </c>
      <c r="AG211" s="124">
        <v>0.0</v>
      </c>
      <c r="AH211" s="295">
        <v>0.0</v>
      </c>
      <c r="AI211" s="125">
        <v>0.0</v>
      </c>
      <c r="AJ211" s="327">
        <v>0.0</v>
      </c>
      <c r="AK211" s="127">
        <v>0.0</v>
      </c>
      <c r="AL211" s="471">
        <v>0.0</v>
      </c>
      <c r="AM211" s="302">
        <v>0.0</v>
      </c>
      <c r="AN211" s="149" t="str">
        <f>IFERROR(
  AVERAGEIFS(
    'New LF Efficacy'!$J:$J,
    'New LF Efficacy'!$D:$D, $A211,
    'New LF Efficacy'!$F:$F,"DEC", 
    'New LF Efficacy'!$W:$W,"&lt;2016",
    'New LF Efficacy'!$AA:$AA,""),
  ""
)</f>
        <v/>
      </c>
      <c r="AO211" s="115">
        <f t="shared" si="11"/>
        <v>0.2589833333</v>
      </c>
      <c r="AP211" s="149" t="str">
        <f>IFERROR(
AVERAGEIFS(
'New LF Efficacy'!$J:$J,
'New LF Efficacy'!$D:$D,$A211,
'New LF Efficacy'!$F:$F,"Albendazole &amp; DEC",
'New LF Efficacy'!$W:$W,"&lt;2016",
'New LF Efficacy'!$AA:$AA,""),
"")
</f>
        <v/>
      </c>
      <c r="AQ211" s="115">
        <f t="shared" si="12"/>
        <v>0.3465</v>
      </c>
      <c r="AR211" s="149" t="str">
        <f>IFERROR(
AVERAGEIFS(
'New LF Efficacy'!$J:$J,
'New LF Efficacy'!$D:$D,$A211,
'New LF Efficacy'!$F:$F,"Albendazole &amp; Ivermectin", 
'New LF Efficacy'!$W:$W,"&lt;2016",
'New LF Efficacy'!$AA:$AA,""),"")</f>
        <v/>
      </c>
      <c r="AS211" s="115">
        <f t="shared" si="13"/>
        <v>0.7575</v>
      </c>
      <c r="AT211" s="442" t="str">
        <f>IFERROR(AVERAGEIFS(
'Schist Efficacy'!$O:$O, 
'Schist Efficacy'!$C:$C,$A211, 
'Schist Efficacy'!$D:$D, "Praziquantel",
'Schist Efficacy'!$J:$J,"&lt;2016",
'Schist Efficacy'!$U:$U,""),
"")</f>
        <v/>
      </c>
      <c r="AU211" s="118">
        <f t="shared" si="14"/>
        <v>0.7914761905</v>
      </c>
      <c r="AV211" s="131" t="str">
        <f>IFERROR(AVERAGEIFS(
'STH Efficacy'!$AX:$AX, 
'STH Efficacy'!$AL:$AL, $A211, 
'STH Efficacy'!$AM:$AM, "Albendazole",
'STH Efficacy'!$AS:$AS,"&lt;2016",
'STH Efficacy'!$BP:$BP,""),
"")</f>
        <v/>
      </c>
      <c r="AW211" s="132">
        <f t="shared" si="15"/>
        <v>0.3945</v>
      </c>
      <c r="AX211" s="131" t="str">
        <f>IFERROR(AVERAGEIFS(
'STH Efficacy'!$AX:$AX, 
'STH Efficacy'!$AL:$AL, $A211, 
'STH Efficacy'!$AM:$AM, "Mebendazole",
'STH Efficacy'!$AS:$AS,"&lt;2016",
'STH Efficacy'!$BP:$BP,""),
"")</f>
        <v/>
      </c>
      <c r="AY211" s="132">
        <f t="shared" si="16"/>
        <v>0.6</v>
      </c>
      <c r="AZ211" s="131" t="str">
        <f>IFERROR(AVERAGEIFS(
'STH Efficacy'!$AX:$AX, 
'STH Efficacy'!$AL:$AL, $A211, 
'STH Efficacy'!$AM:$AM, "Albendazole &amp; Ivermectin",
'STH Efficacy'!$AS:$AS,"&lt;2016",
'STH Efficacy'!$BP:$BP,""),
"")</f>
        <v/>
      </c>
      <c r="BA211" s="133">
        <f t="shared" si="17"/>
        <v>0.796</v>
      </c>
      <c r="BB211" s="443" t="str">
        <f>IFERROR(AVERAGEIFS(
'STH Efficacy'!$N:$N, 
'STH Efficacy'!$B:$B, $A211, 
'STH Efficacy'!$C:$C, "Albendazole",
'STH Efficacy'!$I:$I,"&lt;2016",
'STH Efficacy'!$AH:$AH,""),
"")</f>
        <v/>
      </c>
      <c r="BC211" s="135">
        <f t="shared" si="18"/>
        <v>0.869</v>
      </c>
      <c r="BD211" s="443" t="str">
        <f>IFERROR(AVERAGEIFS(
'STH Efficacy'!$N:$N, 
'STH Efficacy'!$B:$B, $A211, 
'STH Efficacy'!$C:$C, "Mebendazole",
'STH Efficacy'!$I:$I,"&lt;2016",
'STH Efficacy'!$AH:$AH,""),
"")</f>
        <v/>
      </c>
      <c r="BE211" s="135">
        <f t="shared" si="19"/>
        <v>0.172</v>
      </c>
      <c r="BF211" s="436" t="str">
        <f>IFERROR(AVERAGEIFS(
'STH Efficacy'!$CD:$CD, 
'STH Efficacy'!$BS:$BS, $A211, 
'STH Efficacy'!$BT:$BT, "Albendazole",
'STH Efficacy'!$BZ:$BZ,"&lt;2016",
'STH Efficacy'!$CU:$CU,""),
"")</f>
        <v/>
      </c>
      <c r="BG211" s="136">
        <f t="shared" si="20"/>
        <v>0.9862</v>
      </c>
      <c r="BH211" s="436" t="str">
        <f>IFERROR(AVERAGEIFS(
'STH Efficacy'!$CD:$CD, 
'STH Efficacy'!$BS:$BS, $A211, 
'STH Efficacy'!$BT:$BT, "Mebendazole",
'STH Efficacy'!$BZ:$BZ,"&lt;2016",
'STH Efficacy'!$CU:$CU,""),
"")</f>
        <v/>
      </c>
      <c r="BI211" s="136">
        <f t="shared" si="21"/>
        <v>0.769</v>
      </c>
      <c r="BJ211" s="436" t="str">
        <f>IFERROR(AVERAGEIFS(
'STH Efficacy'!$CD:$CD, 
'STH Efficacy'!$BS:$BS, $A211, 
'STH Efficacy'!$BT:$BT, "Albendazole &amp; Ivermectin",
'STH Efficacy'!$BZ:$BZ,"&lt;2016",
'STH Efficacy'!$CU:$CU,""),
"")</f>
        <v/>
      </c>
      <c r="BK211" s="136">
        <f t="shared" si="22"/>
        <v>1</v>
      </c>
      <c r="BL211" s="444" t="str">
        <f>IFERROR(
  AVERAGEIFS(
    'NEW Onchocerciasis Efficacy'!$AO:$AO,
    'NEW Onchocerciasis Efficacy'!$C:$C,$A211,
    'NEW Onchocerciasis Efficacy'!$D:$D,"Ivermectin",
    'NEW Onchocerciasis Efficacy'!$AR:$AR,"&lt;2016",
    'NEW Onchocerciasis Efficacy'!$BG:$BG,"")
,"")</f>
        <v/>
      </c>
      <c r="BM211" s="304">
        <f t="shared" si="23"/>
        <v>0.3734</v>
      </c>
      <c r="BN211" s="439">
        <v>0.0</v>
      </c>
      <c r="BO211" s="139">
        <v>0.0</v>
      </c>
      <c r="BP211" s="140">
        <v>0.0</v>
      </c>
      <c r="BQ211" s="141">
        <f t="shared" si="24"/>
        <v>0</v>
      </c>
      <c r="BR211" s="104" t="str">
        <f t="shared" si="25"/>
        <v>0000</v>
      </c>
      <c r="BS211" s="104" t="str">
        <f t="shared" si="26"/>
        <v>no action required</v>
      </c>
      <c r="BT211" s="142" t="str">
        <f t="shared" si="43"/>
        <v/>
      </c>
      <c r="BU211" s="104" t="str">
        <f t="shared" si="28"/>
        <v/>
      </c>
      <c r="BV211" s="104" t="str">
        <f t="shared" si="29"/>
        <v>none</v>
      </c>
      <c r="BW211" s="150" t="str">
        <f t="shared" si="30"/>
        <v/>
      </c>
      <c r="BX211" s="150" t="str">
        <f t="shared" si="31"/>
        <v/>
      </c>
      <c r="BY211" s="151" t="str">
        <f t="shared" si="32"/>
        <v/>
      </c>
      <c r="BZ211" s="152" t="str">
        <f t="shared" si="33"/>
        <v/>
      </c>
      <c r="CA211" s="152" t="str">
        <f t="shared" si="34"/>
        <v/>
      </c>
      <c r="CB211" s="152" t="str">
        <f t="shared" si="35"/>
        <v/>
      </c>
      <c r="CC211" s="153" t="str">
        <f t="shared" si="36"/>
        <v/>
      </c>
      <c r="CD211" s="153" t="str">
        <f t="shared" si="37"/>
        <v/>
      </c>
      <c r="CE211" s="154" t="str">
        <f t="shared" si="38"/>
        <v/>
      </c>
      <c r="CF211" s="154" t="str">
        <f t="shared" si="39"/>
        <v/>
      </c>
      <c r="CG211" s="154" t="str">
        <f t="shared" si="40"/>
        <v/>
      </c>
      <c r="CH211" s="308" t="str">
        <f t="shared" si="41"/>
        <v/>
      </c>
    </row>
    <row r="212">
      <c r="A212" s="155" t="s">
        <v>301</v>
      </c>
      <c r="B212" s="104" t="s">
        <v>90</v>
      </c>
      <c r="C212" s="468">
        <v>3.12989E7</v>
      </c>
      <c r="D212" s="161">
        <v>0.0</v>
      </c>
      <c r="E212" s="294">
        <v>0.0</v>
      </c>
      <c r="F212" s="307">
        <v>0.0</v>
      </c>
      <c r="G212" s="309">
        <v>0.0</v>
      </c>
      <c r="H212" s="108">
        <v>0.0</v>
      </c>
      <c r="I212" s="109">
        <v>0.17576278</v>
      </c>
      <c r="J212" s="109">
        <v>0.17815324</v>
      </c>
      <c r="K212" s="109">
        <v>0.353916029</v>
      </c>
      <c r="L212" s="112">
        <v>5.206029252</v>
      </c>
      <c r="M212" s="112">
        <v>1.394724853</v>
      </c>
      <c r="N212" s="112">
        <v>6.600754105</v>
      </c>
      <c r="O212" s="298">
        <v>0.0</v>
      </c>
      <c r="P212" s="114"/>
      <c r="Q212" s="114"/>
      <c r="R212" s="121" t="str">
        <f t="shared" si="4"/>
        <v/>
      </c>
      <c r="S212" s="116">
        <f t="shared" si="5"/>
        <v>0.5709301448</v>
      </c>
      <c r="T212" s="117"/>
      <c r="U212" s="118">
        <f t="shared" si="6"/>
        <v>0.4791888889</v>
      </c>
      <c r="V212" s="148"/>
      <c r="W212" s="120">
        <f t="shared" si="7"/>
        <v>0.0223</v>
      </c>
      <c r="X212" s="148"/>
      <c r="Y212" s="120">
        <f t="shared" si="8"/>
        <v>0.598275</v>
      </c>
      <c r="Z212" s="299"/>
      <c r="AA212" s="441"/>
      <c r="AB212" s="300" t="str">
        <f t="shared" si="9"/>
        <v/>
      </c>
      <c r="AC212" s="300">
        <f t="shared" si="10"/>
        <v>0.6890056172</v>
      </c>
      <c r="AD212" s="122">
        <v>0.0</v>
      </c>
      <c r="AE212" s="123">
        <v>0.0</v>
      </c>
      <c r="AF212" s="430">
        <v>0.0</v>
      </c>
      <c r="AG212" s="124">
        <v>0.0</v>
      </c>
      <c r="AH212" s="124">
        <v>1.23597E-5</v>
      </c>
      <c r="AI212" s="125">
        <v>0.0</v>
      </c>
      <c r="AJ212" s="125">
        <v>1.16834E-5</v>
      </c>
      <c r="AK212" s="127">
        <v>0.0</v>
      </c>
      <c r="AL212" s="127">
        <v>1.22861E-5</v>
      </c>
      <c r="AM212" s="302">
        <v>0.0</v>
      </c>
      <c r="AN212" s="149" t="str">
        <f>IFERROR(
  AVERAGEIFS(
    'New LF Efficacy'!$J:$J,
    'New LF Efficacy'!$D:$D, $A212,
    'New LF Efficacy'!$F:$F,"DEC", 
    'New LF Efficacy'!$W:$W,"&lt;2016",
    'New LF Efficacy'!$AA:$AA,""),
  ""
)</f>
        <v/>
      </c>
      <c r="AO212" s="115">
        <f t="shared" si="11"/>
        <v>0.3573520833</v>
      </c>
      <c r="AP212" s="149" t="str">
        <f>IFERROR(
AVERAGEIFS(
'New LF Efficacy'!$J:$J,
'New LF Efficacy'!$D:$D,$A212,
'New LF Efficacy'!$F:$F,"Albendazole &amp; DEC",
'New LF Efficacy'!$W:$W,"&lt;2016",
'New LF Efficacy'!$AA:$AA,""),
"")
</f>
        <v/>
      </c>
      <c r="AQ212" s="115">
        <f t="shared" si="12"/>
        <v>0.5143541667</v>
      </c>
      <c r="AR212" s="149" t="str">
        <f>IFERROR(
AVERAGEIFS(
'New LF Efficacy'!$J:$J,
'New LF Efficacy'!$D:$D,$A212,
'New LF Efficacy'!$F:$F,"Albendazole &amp; Ivermectin", 
'New LF Efficacy'!$W:$W,"&lt;2016",
'New LF Efficacy'!$AA:$AA,""),"")</f>
        <v/>
      </c>
      <c r="AS212" s="115">
        <f t="shared" si="13"/>
        <v>0.37153125</v>
      </c>
      <c r="AT212" s="442" t="str">
        <f>IFERROR(AVERAGEIFS(
'Schist Efficacy'!$O:$O, 
'Schist Efficacy'!$C:$C,$A212, 
'Schist Efficacy'!$D:$D, "Praziquantel",
'Schist Efficacy'!$J:$J,"&lt;2016",
'Schist Efficacy'!$U:$U,""),
"")</f>
        <v/>
      </c>
      <c r="AU212" s="118">
        <f t="shared" si="14"/>
        <v>0.655</v>
      </c>
      <c r="AV212" s="131" t="str">
        <f>IFERROR(AVERAGEIFS(
'STH Efficacy'!$AX:$AX, 
'STH Efficacy'!$AL:$AL, $A212, 
'STH Efficacy'!$AM:$AM, "Albendazole",
'STH Efficacy'!$AS:$AS,"&lt;2016",
'STH Efficacy'!$BP:$BP,""),
"")</f>
        <v/>
      </c>
      <c r="AW212" s="132">
        <f t="shared" si="15"/>
        <v>0.4143846154</v>
      </c>
      <c r="AX212" s="131" t="str">
        <f>IFERROR(AVERAGEIFS(
'STH Efficacy'!$AX:$AX, 
'STH Efficacy'!$AL:$AL, $A212, 
'STH Efficacy'!$AM:$AM, "Mebendazole",
'STH Efficacy'!$AS:$AS,"&lt;2016",
'STH Efficacy'!$BP:$BP,""),
"")</f>
        <v/>
      </c>
      <c r="AY212" s="132">
        <f t="shared" si="16"/>
        <v>0.4691770833</v>
      </c>
      <c r="AZ212" s="131" t="str">
        <f>IFERROR(AVERAGEIFS(
'STH Efficacy'!$AX:$AX, 
'STH Efficacy'!$AL:$AL, $A212, 
'STH Efficacy'!$AM:$AM, "Albendazole &amp; Ivermectin",
'STH Efficacy'!$AS:$AS,"&lt;2016",
'STH Efficacy'!$BP:$BP,""),
"")</f>
        <v/>
      </c>
      <c r="BA212" s="133">
        <f t="shared" si="17"/>
        <v>0.597625</v>
      </c>
      <c r="BB212" s="443" t="str">
        <f>IFERROR(AVERAGEIFS(
'STH Efficacy'!$N:$N, 
'STH Efficacy'!$B:$B, $A212, 
'STH Efficacy'!$C:$C, "Albendazole",
'STH Efficacy'!$I:$I,"&lt;2016",
'STH Efficacy'!$AH:$AH,""),
"")</f>
        <v/>
      </c>
      <c r="BC212" s="135">
        <f t="shared" si="18"/>
        <v>0.7613712121</v>
      </c>
      <c r="BD212" s="443" t="str">
        <f>IFERROR(AVERAGEIFS(
'STH Efficacy'!$N:$N, 
'STH Efficacy'!$B:$B, $A212, 
'STH Efficacy'!$C:$C, "Mebendazole",
'STH Efficacy'!$I:$I,"&lt;2016",
'STH Efficacy'!$AH:$AH,""),
"")</f>
        <v/>
      </c>
      <c r="BE212" s="135">
        <f t="shared" si="19"/>
        <v>0.4362466667</v>
      </c>
      <c r="BF212" s="436" t="str">
        <f>IFERROR(AVERAGEIFS(
'STH Efficacy'!$CD:$CD, 
'STH Efficacy'!$BS:$BS, $A212, 
'STH Efficacy'!$BT:$BT, "Albendazole",
'STH Efficacy'!$BZ:$BZ,"&lt;2016",
'STH Efficacy'!$CU:$CU,""),
"")</f>
        <v/>
      </c>
      <c r="BG212" s="136">
        <f t="shared" si="20"/>
        <v>0.9216027778</v>
      </c>
      <c r="BH212" s="436" t="str">
        <f>IFERROR(AVERAGEIFS(
'STH Efficacy'!$CD:$CD, 
'STH Efficacy'!$BS:$BS, $A212, 
'STH Efficacy'!$BT:$BT, "Mebendazole",
'STH Efficacy'!$BZ:$BZ,"&lt;2016",
'STH Efficacy'!$CU:$CU,""),
"")</f>
        <v/>
      </c>
      <c r="BI212" s="136">
        <f t="shared" si="21"/>
        <v>0.8866041667</v>
      </c>
      <c r="BJ212" s="436" t="str">
        <f>IFERROR(AVERAGEIFS(
'STH Efficacy'!$CD:$CD, 
'STH Efficacy'!$BS:$BS, $A212, 
'STH Efficacy'!$BT:$BT, "Albendazole &amp; Ivermectin",
'STH Efficacy'!$BZ:$BZ,"&lt;2016",
'STH Efficacy'!$CU:$CU,""),
"")</f>
        <v/>
      </c>
      <c r="BK212" s="136">
        <f t="shared" si="22"/>
        <v>0.848</v>
      </c>
      <c r="BL212" s="444" t="str">
        <f>IFERROR(
  AVERAGEIFS(
    'NEW Onchocerciasis Efficacy'!$AO:$AO,
    'NEW Onchocerciasis Efficacy'!$C:$C,$A212,
    'NEW Onchocerciasis Efficacy'!$D:$D,"Ivermectin",
    'NEW Onchocerciasis Efficacy'!$AR:$AR,"&lt;2016",
    'NEW Onchocerciasis Efficacy'!$BG:$BG,"")
,"")</f>
        <v/>
      </c>
      <c r="BM212" s="304">
        <f t="shared" si="23"/>
        <v>0.7808368939</v>
      </c>
      <c r="BN212" s="439">
        <v>0.0</v>
      </c>
      <c r="BO212" s="139">
        <v>1.0</v>
      </c>
      <c r="BP212" s="140">
        <v>1.0</v>
      </c>
      <c r="BQ212" s="141">
        <f t="shared" si="24"/>
        <v>0</v>
      </c>
      <c r="BR212" s="104" t="str">
        <f t="shared" si="25"/>
        <v>0110</v>
      </c>
      <c r="BS212" s="104" t="str">
        <f t="shared" si="26"/>
        <v>MDA3+T2</v>
      </c>
      <c r="BT212" s="142" t="str">
        <f t="shared" si="43"/>
        <v>IVM</v>
      </c>
      <c r="BU212" s="104" t="str">
        <f t="shared" si="28"/>
        <v>PZQ</v>
      </c>
      <c r="BV212" s="104" t="str">
        <f t="shared" si="29"/>
        <v>onch+schist</v>
      </c>
      <c r="BW212" s="150" t="str">
        <f t="shared" si="30"/>
        <v/>
      </c>
      <c r="BX212" s="150" t="str">
        <f t="shared" si="31"/>
        <v/>
      </c>
      <c r="BY212" s="162">
        <f t="shared" si="32"/>
        <v>0</v>
      </c>
      <c r="BZ212" s="152" t="str">
        <f t="shared" si="33"/>
        <v/>
      </c>
      <c r="CA212" s="152" t="str">
        <f t="shared" si="34"/>
        <v/>
      </c>
      <c r="CB212" s="152" t="str">
        <f t="shared" si="35"/>
        <v/>
      </c>
      <c r="CC212" s="153" t="str">
        <f t="shared" si="36"/>
        <v/>
      </c>
      <c r="CD212" s="153" t="str">
        <f t="shared" si="37"/>
        <v/>
      </c>
      <c r="CE212" s="154" t="str">
        <f t="shared" si="38"/>
        <v/>
      </c>
      <c r="CF212" s="154" t="str">
        <f t="shared" si="39"/>
        <v/>
      </c>
      <c r="CG212" s="154" t="str">
        <f t="shared" si="40"/>
        <v/>
      </c>
      <c r="CH212" s="313">
        <f t="shared" si="41"/>
        <v>0</v>
      </c>
    </row>
    <row r="213">
      <c r="A213" s="103" t="s">
        <v>302</v>
      </c>
      <c r="B213" s="104" t="s">
        <v>94</v>
      </c>
      <c r="C213" s="468">
        <v>264603.0</v>
      </c>
      <c r="D213" s="161">
        <v>52.2</v>
      </c>
      <c r="E213" s="294">
        <v>0.0</v>
      </c>
      <c r="F213" s="295">
        <v>3.707500958</v>
      </c>
      <c r="G213" s="295">
        <v>13.76091099</v>
      </c>
      <c r="H213" s="108">
        <v>17.46841195</v>
      </c>
      <c r="I213" s="109">
        <v>38.5523643</v>
      </c>
      <c r="J213" s="109">
        <v>91.073008</v>
      </c>
      <c r="K213" s="109">
        <v>129.6253723</v>
      </c>
      <c r="L213" s="112">
        <v>42.48220771</v>
      </c>
      <c r="M213" s="112">
        <v>51.23069737</v>
      </c>
      <c r="N213" s="112">
        <v>93.71290508</v>
      </c>
      <c r="O213" s="298">
        <v>0.0</v>
      </c>
      <c r="P213" s="156"/>
      <c r="Q213" s="156"/>
      <c r="R213" s="121" t="str">
        <f t="shared" si="4"/>
        <v/>
      </c>
      <c r="S213" s="116">
        <f t="shared" si="5"/>
        <v>0.3783554476</v>
      </c>
      <c r="T213" s="117"/>
      <c r="U213" s="118">
        <f t="shared" si="6"/>
        <v>0.73965</v>
      </c>
      <c r="V213" s="119">
        <v>0.6623</v>
      </c>
      <c r="W213" s="120">
        <f t="shared" si="7"/>
        <v>0.6623</v>
      </c>
      <c r="X213" s="119">
        <v>0.3832</v>
      </c>
      <c r="Y213" s="120">
        <f t="shared" si="8"/>
        <v>0.3832</v>
      </c>
      <c r="Z213" s="299"/>
      <c r="AA213" s="441"/>
      <c r="AB213" s="300" t="str">
        <f t="shared" si="9"/>
        <v/>
      </c>
      <c r="AC213" s="300">
        <f t="shared" si="10"/>
        <v>0.6890056172</v>
      </c>
      <c r="AD213" s="122">
        <v>0.0018</v>
      </c>
      <c r="AE213" s="123">
        <v>0.0</v>
      </c>
      <c r="AF213" s="430">
        <v>0.0</v>
      </c>
      <c r="AG213" s="316">
        <v>0.0</v>
      </c>
      <c r="AH213" s="316">
        <v>0.244800391</v>
      </c>
      <c r="AI213" s="317">
        <v>0.0</v>
      </c>
      <c r="AJ213" s="317">
        <v>0.308748753</v>
      </c>
      <c r="AK213" s="319">
        <v>0.0</v>
      </c>
      <c r="AL213" s="319">
        <v>0.374428562</v>
      </c>
      <c r="AM213" s="302">
        <v>0.0</v>
      </c>
      <c r="AN213" s="149" t="str">
        <f>IFERROR(
  AVERAGEIFS(
    'New LF Efficacy'!$J:$J,
    'New LF Efficacy'!$D:$D, $A213,
    'New LF Efficacy'!$F:$F,"DEC", 
    'New LF Efficacy'!$W:$W,"&lt;2016",
    'New LF Efficacy'!$AA:$AA,""),
  ""
)</f>
        <v/>
      </c>
      <c r="AO213" s="115">
        <f t="shared" si="11"/>
        <v>0.38</v>
      </c>
      <c r="AP213" s="149" t="str">
        <f>IFERROR(
AVERAGEIFS(
'New LF Efficacy'!$J:$J,
'New LF Efficacy'!$D:$D,$A213,
'New LF Efficacy'!$F:$F,"Albendazole &amp; DEC",
'New LF Efficacy'!$W:$W,"&lt;2016",
'New LF Efficacy'!$AA:$AA,""),
"")
</f>
        <v/>
      </c>
      <c r="AQ213" s="115">
        <f t="shared" si="12"/>
        <v>0.662</v>
      </c>
      <c r="AR213" s="149" t="str">
        <f>IFERROR(
AVERAGEIFS(
'New LF Efficacy'!$J:$J,
'New LF Efficacy'!$D:$D,$A213,
'New LF Efficacy'!$F:$F,"Albendazole &amp; Ivermectin", 
'New LF Efficacy'!$W:$W,"&lt;2016",
'New LF Efficacy'!$AA:$AA,""),"")</f>
        <v/>
      </c>
      <c r="AS213" s="115">
        <f t="shared" si="13"/>
        <v>0.37153125</v>
      </c>
      <c r="AT213" s="442" t="str">
        <f>IFERROR(AVERAGEIFS(
'Schist Efficacy'!$O:$O, 
'Schist Efficacy'!$C:$C,$A213, 
'Schist Efficacy'!$D:$D, "Praziquantel",
'Schist Efficacy'!$J:$J,"&lt;2016",
'Schist Efficacy'!$U:$U,""),
"")</f>
        <v/>
      </c>
      <c r="AU213" s="118">
        <f t="shared" si="14"/>
        <v>0.9475</v>
      </c>
      <c r="AV213" s="131" t="str">
        <f>IFERROR(AVERAGEIFS(
'STH Efficacy'!$AX:$AX, 
'STH Efficacy'!$AL:$AL, $A213, 
'STH Efficacy'!$AM:$AM, "Albendazole",
'STH Efficacy'!$AS:$AS,"&lt;2016",
'STH Efficacy'!$BP:$BP,""),
"")</f>
        <v/>
      </c>
      <c r="AW213" s="132">
        <f t="shared" si="15"/>
        <v>0.3571666667</v>
      </c>
      <c r="AX213" s="131" t="str">
        <f>IFERROR(AVERAGEIFS(
'STH Efficacy'!$AX:$AX, 
'STH Efficacy'!$AL:$AL, $A213, 
'STH Efficacy'!$AM:$AM, "Mebendazole",
'STH Efficacy'!$AS:$AS,"&lt;2016",
'STH Efficacy'!$BP:$BP,""),
"")</f>
        <v/>
      </c>
      <c r="AY213" s="132">
        <f t="shared" si="16"/>
        <v>0.4155</v>
      </c>
      <c r="AZ213" s="131" t="str">
        <f>IFERROR(AVERAGEIFS(
'STH Efficacy'!$AX:$AX, 
'STH Efficacy'!$AL:$AL, $A213, 
'STH Efficacy'!$AM:$AM, "Albendazole &amp; Ivermectin",
'STH Efficacy'!$AS:$AS,"&lt;2016",
'STH Efficacy'!$BP:$BP,""),
"")</f>
        <v/>
      </c>
      <c r="BA213" s="133">
        <f t="shared" si="17"/>
        <v>0.651</v>
      </c>
      <c r="BB213" s="443" t="str">
        <f>IFERROR(AVERAGEIFS(
'STH Efficacy'!$N:$N, 
'STH Efficacy'!$B:$B, $A213, 
'STH Efficacy'!$C:$C, "Albendazole",
'STH Efficacy'!$I:$I,"&lt;2016",
'STH Efficacy'!$AH:$AH,""),
"")</f>
        <v/>
      </c>
      <c r="BC213" s="135">
        <f t="shared" si="18"/>
        <v>0.5769166667</v>
      </c>
      <c r="BD213" s="443" t="str">
        <f>IFERROR(AVERAGEIFS(
'STH Efficacy'!$N:$N, 
'STH Efficacy'!$B:$B, $A213, 
'STH Efficacy'!$C:$C, "Mebendazole",
'STH Efficacy'!$I:$I,"&lt;2016",
'STH Efficacy'!$AH:$AH,""),
"")</f>
        <v/>
      </c>
      <c r="BE213" s="135">
        <f t="shared" si="19"/>
        <v>0.3145</v>
      </c>
      <c r="BF213" s="436" t="str">
        <f>IFERROR(AVERAGEIFS(
'STH Efficacy'!$CD:$CD, 
'STH Efficacy'!$BS:$BS, $A213, 
'STH Efficacy'!$BT:$BT, "Albendazole",
'STH Efficacy'!$BZ:$BZ,"&lt;2016",
'STH Efficacy'!$CU:$CU,""),
"")</f>
        <v/>
      </c>
      <c r="BG213" s="136">
        <f t="shared" si="20"/>
        <v>0.96925</v>
      </c>
      <c r="BH213" s="436" t="str">
        <f>IFERROR(AVERAGEIFS(
'STH Efficacy'!$CD:$CD, 
'STH Efficacy'!$BS:$BS, $A213, 
'STH Efficacy'!$BT:$BT, "Mebendazole",
'STH Efficacy'!$BZ:$BZ,"&lt;2016",
'STH Efficacy'!$CU:$CU,""),
"")</f>
        <v/>
      </c>
      <c r="BI213" s="136">
        <f t="shared" si="21"/>
        <v>0.9305</v>
      </c>
      <c r="BJ213" s="436" t="str">
        <f>IFERROR(AVERAGEIFS(
'STH Efficacy'!$CD:$CD, 
'STH Efficacy'!$BS:$BS, $A213, 
'STH Efficacy'!$BT:$BT, "Albendazole &amp; Ivermectin",
'STH Efficacy'!$BZ:$BZ,"&lt;2016",
'STH Efficacy'!$CU:$CU,""),
"")</f>
        <v/>
      </c>
      <c r="BK213" s="136">
        <f t="shared" si="22"/>
        <v>0.848</v>
      </c>
      <c r="BL213" s="444" t="str">
        <f>IFERROR(
  AVERAGEIFS(
    'NEW Onchocerciasis Efficacy'!$AO:$AO,
    'NEW Onchocerciasis Efficacy'!$C:$C,$A213,
    'NEW Onchocerciasis Efficacy'!$D:$D,"Ivermectin",
    'NEW Onchocerciasis Efficacy'!$AR:$AR,"&lt;2016",
    'NEW Onchocerciasis Efficacy'!$BG:$BG,"")
,"")</f>
        <v/>
      </c>
      <c r="BM213" s="304">
        <f t="shared" si="23"/>
        <v>0.7808368939</v>
      </c>
      <c r="BN213" s="439">
        <v>0.0</v>
      </c>
      <c r="BO213" s="139">
        <v>0.0</v>
      </c>
      <c r="BP213" s="140">
        <v>0.0</v>
      </c>
      <c r="BQ213" s="141">
        <f t="shared" si="24"/>
        <v>1</v>
      </c>
      <c r="BR213" s="104" t="str">
        <f t="shared" si="25"/>
        <v>0001</v>
      </c>
      <c r="BS213" s="104" t="str">
        <f t="shared" si="26"/>
        <v>T3</v>
      </c>
      <c r="BT213" s="142" t="str">
        <f t="shared" si="43"/>
        <v>ALB or MBD</v>
      </c>
      <c r="BU213" s="104" t="str">
        <f t="shared" si="28"/>
        <v/>
      </c>
      <c r="BV213" s="104" t="str">
        <f t="shared" si="29"/>
        <v>sth only</v>
      </c>
      <c r="BW213" s="150" t="str">
        <f t="shared" si="30"/>
        <v/>
      </c>
      <c r="BX213" s="150" t="str">
        <f t="shared" si="31"/>
        <v/>
      </c>
      <c r="BY213" s="151" t="str">
        <f t="shared" si="32"/>
        <v/>
      </c>
      <c r="BZ213" s="152">
        <f t="shared" si="33"/>
        <v>3.330808524</v>
      </c>
      <c r="CA213" s="152">
        <f t="shared" si="34"/>
        <v>4.013523623</v>
      </c>
      <c r="CB213" s="152" t="str">
        <f t="shared" si="35"/>
        <v/>
      </c>
      <c r="CC213" s="323">
        <f t="shared" si="36"/>
        <v>49.68770134</v>
      </c>
      <c r="CD213" s="323">
        <f t="shared" si="37"/>
        <v>22.62271288</v>
      </c>
      <c r="CE213" s="154">
        <f t="shared" si="38"/>
        <v>106.4325278</v>
      </c>
      <c r="CF213" s="154">
        <f t="shared" si="39"/>
        <v>96.61667697</v>
      </c>
      <c r="CG213" s="154" t="str">
        <f t="shared" si="40"/>
        <v/>
      </c>
      <c r="CH213" s="308" t="str">
        <f t="shared" si="41"/>
        <v/>
      </c>
    </row>
    <row r="214">
      <c r="A214" s="155" t="s">
        <v>303</v>
      </c>
      <c r="B214" s="104" t="s">
        <v>98</v>
      </c>
      <c r="C214" s="468">
        <v>3.1155134E7</v>
      </c>
      <c r="D214" s="161">
        <v>0.0</v>
      </c>
      <c r="E214" s="294">
        <v>5171.968092</v>
      </c>
      <c r="F214" s="295">
        <v>651.7068029</v>
      </c>
      <c r="G214" s="322">
        <v>2729.748887</v>
      </c>
      <c r="H214" s="108">
        <v>3381.45569</v>
      </c>
      <c r="I214" s="109">
        <v>661.512244</v>
      </c>
      <c r="J214" s="109">
        <v>676.457536</v>
      </c>
      <c r="K214" s="110">
        <v>1337.96978</v>
      </c>
      <c r="L214" s="111">
        <v>982.1508532</v>
      </c>
      <c r="M214" s="111">
        <v>1699.380352</v>
      </c>
      <c r="N214" s="112">
        <v>2681.531206</v>
      </c>
      <c r="O214" s="298">
        <v>615.7842723</v>
      </c>
      <c r="P214" s="114"/>
      <c r="Q214" s="114"/>
      <c r="R214" s="121" t="str">
        <f t="shared" si="4"/>
        <v/>
      </c>
      <c r="S214" s="116">
        <f t="shared" si="5"/>
        <v>0.3565746084</v>
      </c>
      <c r="T214" s="448"/>
      <c r="U214" s="449">
        <f t="shared" si="6"/>
        <v>0.4791888889</v>
      </c>
      <c r="V214" s="148"/>
      <c r="W214" s="120">
        <f t="shared" si="7"/>
        <v>0.685</v>
      </c>
      <c r="X214" s="148"/>
      <c r="Y214" s="120">
        <f t="shared" si="8"/>
        <v>0.7550545455</v>
      </c>
      <c r="Z214" s="310">
        <v>14212.0</v>
      </c>
      <c r="AA214" s="310">
        <v>10219.0</v>
      </c>
      <c r="AB214" s="300">
        <f t="shared" si="9"/>
        <v>0.7190402477</v>
      </c>
      <c r="AC214" s="300">
        <f t="shared" si="10"/>
        <v>0.7190402477</v>
      </c>
      <c r="AD214" s="122">
        <v>0.0</v>
      </c>
      <c r="AE214" s="123">
        <v>0.02</v>
      </c>
      <c r="AF214" s="430">
        <v>3.0E-4</v>
      </c>
      <c r="AG214" s="316">
        <v>0.0</v>
      </c>
      <c r="AH214" s="316">
        <v>0.329045343</v>
      </c>
      <c r="AI214" s="317">
        <v>0.0</v>
      </c>
      <c r="AJ214" s="317">
        <v>0.033087405</v>
      </c>
      <c r="AK214" s="319">
        <v>0.0</v>
      </c>
      <c r="AL214" s="319">
        <v>0.254468158</v>
      </c>
      <c r="AM214" s="302">
        <v>2.0E-4</v>
      </c>
      <c r="AN214" s="149" t="str">
        <f>IFERROR(
  AVERAGEIFS(
    'New LF Efficacy'!$J:$J,
    'New LF Efficacy'!$D:$D, $A214,
    'New LF Efficacy'!$F:$F,"DEC", 
    'New LF Efficacy'!$W:$W,"&lt;2016",
    'New LF Efficacy'!$AA:$AA,""),
  ""
)</f>
        <v/>
      </c>
      <c r="AO214" s="115">
        <f t="shared" si="11"/>
        <v>0.2589833333</v>
      </c>
      <c r="AP214" s="149" t="str">
        <f>IFERROR(
AVERAGEIFS(
'New LF Efficacy'!$J:$J,
'New LF Efficacy'!$D:$D,$A214,
'New LF Efficacy'!$F:$F,"Albendazole &amp; DEC",
'New LF Efficacy'!$W:$W,"&lt;2016",
'New LF Efficacy'!$AA:$AA,""),
"")
</f>
        <v/>
      </c>
      <c r="AQ214" s="115">
        <f t="shared" si="12"/>
        <v>0.3465</v>
      </c>
      <c r="AR214" s="149" t="str">
        <f>IFERROR(
AVERAGEIFS(
'New LF Efficacy'!$J:$J,
'New LF Efficacy'!$D:$D,$A214,
'New LF Efficacy'!$F:$F,"Albendazole &amp; Ivermectin", 
'New LF Efficacy'!$W:$W,"&lt;2016",
'New LF Efficacy'!$AA:$AA,""),"")</f>
        <v/>
      </c>
      <c r="AS214" s="115">
        <f t="shared" si="13"/>
        <v>0.7575</v>
      </c>
      <c r="AT214" s="442" t="str">
        <f>IFERROR(AVERAGEIFS(
'Schist Efficacy'!$O:$O, 
'Schist Efficacy'!$C:$C,$A214, 
'Schist Efficacy'!$D:$D, "Praziquantel",
'Schist Efficacy'!$J:$J,"&lt;2016",
'Schist Efficacy'!$U:$U,""),
"")</f>
        <v/>
      </c>
      <c r="AU214" s="118">
        <f t="shared" si="14"/>
        <v>0.7914761905</v>
      </c>
      <c r="AV214" s="131" t="str">
        <f>IFERROR(AVERAGEIFS(
'STH Efficacy'!$AX:$AX, 
'STH Efficacy'!$AL:$AL, $A214, 
'STH Efficacy'!$AM:$AM, "Albendazole",
'STH Efficacy'!$AS:$AS,"&lt;2016",
'STH Efficacy'!$BP:$BP,""),
"")</f>
        <v/>
      </c>
      <c r="AW214" s="132">
        <f t="shared" si="15"/>
        <v>0.3945</v>
      </c>
      <c r="AX214" s="131" t="str">
        <f>IFERROR(AVERAGEIFS(
'STH Efficacy'!$AX:$AX, 
'STH Efficacy'!$AL:$AL, $A214, 
'STH Efficacy'!$AM:$AM, "Mebendazole",
'STH Efficacy'!$AS:$AS,"&lt;2016",
'STH Efficacy'!$BP:$BP,""),
"")</f>
        <v/>
      </c>
      <c r="AY214" s="132">
        <f t="shared" si="16"/>
        <v>0.6</v>
      </c>
      <c r="AZ214" s="131" t="str">
        <f>IFERROR(AVERAGEIFS(
'STH Efficacy'!$AX:$AX, 
'STH Efficacy'!$AL:$AL, $A214, 
'STH Efficacy'!$AM:$AM, "Albendazole &amp; Ivermectin",
'STH Efficacy'!$AS:$AS,"&lt;2016",
'STH Efficacy'!$BP:$BP,""),
"")</f>
        <v/>
      </c>
      <c r="BA214" s="133">
        <f t="shared" si="17"/>
        <v>0.796</v>
      </c>
      <c r="BB214" s="443" t="str">
        <f>IFERROR(AVERAGEIFS(
'STH Efficacy'!$N:$N, 
'STH Efficacy'!$B:$B, $A214, 
'STH Efficacy'!$C:$C, "Albendazole",
'STH Efficacy'!$I:$I,"&lt;2016",
'STH Efficacy'!$AH:$AH,""),
"")</f>
        <v/>
      </c>
      <c r="BC214" s="135">
        <f t="shared" si="18"/>
        <v>0.869</v>
      </c>
      <c r="BD214" s="443" t="str">
        <f>IFERROR(AVERAGEIFS(
'STH Efficacy'!$N:$N, 
'STH Efficacy'!$B:$B, $A214, 
'STH Efficacy'!$C:$C, "Mebendazole",
'STH Efficacy'!$I:$I,"&lt;2016",
'STH Efficacy'!$AH:$AH,""),
"")</f>
        <v/>
      </c>
      <c r="BE214" s="135">
        <f t="shared" si="19"/>
        <v>0.172</v>
      </c>
      <c r="BF214" s="436" t="str">
        <f>IFERROR(AVERAGEIFS(
'STH Efficacy'!$CD:$CD, 
'STH Efficacy'!$BS:$BS, $A214, 
'STH Efficacy'!$BT:$BT, "Albendazole",
'STH Efficacy'!$BZ:$BZ,"&lt;2016",
'STH Efficacy'!$CU:$CU,""),
"")</f>
        <v/>
      </c>
      <c r="BG214" s="136">
        <f t="shared" si="20"/>
        <v>0.9862</v>
      </c>
      <c r="BH214" s="436" t="str">
        <f>IFERROR(AVERAGEIFS(
'STH Efficacy'!$CD:$CD, 
'STH Efficacy'!$BS:$BS, $A214, 
'STH Efficacy'!$BT:$BT, "Mebendazole",
'STH Efficacy'!$BZ:$BZ,"&lt;2016",
'STH Efficacy'!$CU:$CU,""),
"")</f>
        <v/>
      </c>
      <c r="BI214" s="136">
        <f t="shared" si="21"/>
        <v>0.769</v>
      </c>
      <c r="BJ214" s="436" t="str">
        <f>IFERROR(AVERAGEIFS(
'STH Efficacy'!$CD:$CD, 
'STH Efficacy'!$BS:$BS, $A214, 
'STH Efficacy'!$BT:$BT, "Albendazole &amp; Ivermectin",
'STH Efficacy'!$BZ:$BZ,"&lt;2016",
'STH Efficacy'!$CU:$CU,""),
"")</f>
        <v/>
      </c>
      <c r="BK214" s="136">
        <f t="shared" si="22"/>
        <v>1</v>
      </c>
      <c r="BL214" s="444" t="str">
        <f>IFERROR(
  AVERAGEIFS(
    'NEW Onchocerciasis Efficacy'!$AO:$AO,
    'NEW Onchocerciasis Efficacy'!$C:$C,$A214,
    'NEW Onchocerciasis Efficacy'!$D:$D,"Ivermectin",
    'NEW Onchocerciasis Efficacy'!$AR:$AR,"&lt;2016",
    'NEW Onchocerciasis Efficacy'!$BG:$BG,"")
,"")</f>
        <v/>
      </c>
      <c r="BM214" s="304">
        <f t="shared" si="23"/>
        <v>0.3734</v>
      </c>
      <c r="BN214" s="439">
        <v>0.0</v>
      </c>
      <c r="BO214" s="139">
        <v>0.0</v>
      </c>
      <c r="BP214" s="140">
        <v>1.0</v>
      </c>
      <c r="BQ214" s="141">
        <f t="shared" si="24"/>
        <v>1</v>
      </c>
      <c r="BR214" s="104" t="str">
        <f t="shared" si="25"/>
        <v>0011</v>
      </c>
      <c r="BS214" s="104" t="str">
        <f t="shared" si="26"/>
        <v>T1</v>
      </c>
      <c r="BT214" s="142" t="str">
        <f t="shared" si="43"/>
        <v>ALB+PZQ or MBD+PZQ</v>
      </c>
      <c r="BU214" s="104" t="str">
        <f t="shared" si="28"/>
        <v/>
      </c>
      <c r="BV214" s="104" t="str">
        <f t="shared" si="29"/>
        <v>schist+sth</v>
      </c>
      <c r="BW214" s="150" t="str">
        <f t="shared" si="30"/>
        <v/>
      </c>
      <c r="BX214" s="150" t="str">
        <f t="shared" si="31"/>
        <v/>
      </c>
      <c r="BY214" s="151" t="str">
        <f t="shared" si="32"/>
        <v/>
      </c>
      <c r="BZ214" s="152">
        <f t="shared" si="33"/>
        <v>1399.383557</v>
      </c>
      <c r="CA214" s="152">
        <f t="shared" si="34"/>
        <v>2715.706228</v>
      </c>
      <c r="CB214" s="152" t="str">
        <f t="shared" si="35"/>
        <v/>
      </c>
      <c r="CC214" s="323">
        <f t="shared" si="36"/>
        <v>2263.723909</v>
      </c>
      <c r="CD214" s="323">
        <f t="shared" si="37"/>
        <v>189.3117483</v>
      </c>
      <c r="CE214" s="154">
        <f t="shared" si="38"/>
        <v>7000.27216</v>
      </c>
      <c r="CF214" s="154">
        <f t="shared" si="39"/>
        <v>3446.155683</v>
      </c>
      <c r="CG214" s="154" t="str">
        <f t="shared" si="40"/>
        <v/>
      </c>
      <c r="CH214" s="308" t="str">
        <f t="shared" si="41"/>
        <v/>
      </c>
    </row>
    <row r="215">
      <c r="A215" s="103" t="s">
        <v>304</v>
      </c>
      <c r="B215" s="104" t="s">
        <v>94</v>
      </c>
      <c r="C215" s="468">
        <v>9.17133E7</v>
      </c>
      <c r="D215" s="161">
        <v>1481.12</v>
      </c>
      <c r="E215" s="294">
        <v>0.0</v>
      </c>
      <c r="F215" s="295">
        <v>446.2381046</v>
      </c>
      <c r="G215" s="295">
        <v>10.32234514</v>
      </c>
      <c r="H215" s="157">
        <v>456.5604498</v>
      </c>
      <c r="I215" s="110">
        <v>0.0</v>
      </c>
      <c r="J215" s="110">
        <v>0.0</v>
      </c>
      <c r="K215" s="110">
        <v>2976.915676</v>
      </c>
      <c r="L215" s="111">
        <v>2800.668979</v>
      </c>
      <c r="M215" s="112">
        <v>265.5825771</v>
      </c>
      <c r="N215" s="112">
        <v>3066.251556</v>
      </c>
      <c r="O215" s="298">
        <v>0.0</v>
      </c>
      <c r="P215" s="156"/>
      <c r="Q215" s="156"/>
      <c r="R215" s="121" t="str">
        <f t="shared" si="4"/>
        <v/>
      </c>
      <c r="S215" s="116">
        <f t="shared" si="5"/>
        <v>0.3783554476</v>
      </c>
      <c r="T215" s="117"/>
      <c r="U215" s="118">
        <f t="shared" si="6"/>
        <v>0.73965</v>
      </c>
      <c r="V215" s="119">
        <v>0.7606</v>
      </c>
      <c r="W215" s="120">
        <f t="shared" si="7"/>
        <v>0.7606</v>
      </c>
      <c r="X215" s="119">
        <v>1.0</v>
      </c>
      <c r="Y215" s="120">
        <f t="shared" si="8"/>
        <v>1</v>
      </c>
      <c r="Z215" s="299"/>
      <c r="AA215" s="441"/>
      <c r="AB215" s="300" t="str">
        <f t="shared" si="9"/>
        <v/>
      </c>
      <c r="AC215" s="300">
        <f t="shared" si="10"/>
        <v>0.6890056172</v>
      </c>
      <c r="AD215" s="122">
        <v>3.0E-4</v>
      </c>
      <c r="AE215" s="123">
        <v>0.0</v>
      </c>
      <c r="AF215" s="430">
        <v>0.0</v>
      </c>
      <c r="AG215" s="316">
        <v>0.0</v>
      </c>
      <c r="AH215" s="316">
        <v>0.020281345</v>
      </c>
      <c r="AI215" s="317">
        <v>0.0</v>
      </c>
      <c r="AJ215" s="317">
        <v>0.012631403</v>
      </c>
      <c r="AK215" s="319">
        <v>0.0</v>
      </c>
      <c r="AL215" s="319">
        <v>0.039031172</v>
      </c>
      <c r="AM215" s="302">
        <v>0.0</v>
      </c>
      <c r="AN215" s="149" t="str">
        <f>IFERROR(
  AVERAGEIFS(
    'New LF Efficacy'!$J:$J,
    'New LF Efficacy'!$D:$D, $A215,
    'New LF Efficacy'!$F:$F,"DEC", 
    'New LF Efficacy'!$W:$W,"&lt;2016",
    'New LF Efficacy'!$AA:$AA,""),
  ""
)</f>
        <v/>
      </c>
      <c r="AO215" s="115">
        <f t="shared" si="11"/>
        <v>0.38</v>
      </c>
      <c r="AP215" s="149" t="str">
        <f>IFERROR(
AVERAGEIFS(
'New LF Efficacy'!$J:$J,
'New LF Efficacy'!$D:$D,$A215,
'New LF Efficacy'!$F:$F,"Albendazole &amp; DEC",
'New LF Efficacy'!$W:$W,"&lt;2016",
'New LF Efficacy'!$AA:$AA,""),
"")
</f>
        <v/>
      </c>
      <c r="AQ215" s="115">
        <f t="shared" si="12"/>
        <v>0.662</v>
      </c>
      <c r="AR215" s="149" t="str">
        <f>IFERROR(
AVERAGEIFS(
'New LF Efficacy'!$J:$J,
'New LF Efficacy'!$D:$D,$A215,
'New LF Efficacy'!$F:$F,"Albendazole &amp; Ivermectin", 
'New LF Efficacy'!$W:$W,"&lt;2016",
'New LF Efficacy'!$AA:$AA,""),"")</f>
        <v/>
      </c>
      <c r="AS215" s="115">
        <f t="shared" si="13"/>
        <v>0.37153125</v>
      </c>
      <c r="AT215" s="442" t="str">
        <f>IFERROR(AVERAGEIFS(
'Schist Efficacy'!$O:$O, 
'Schist Efficacy'!$C:$C,$A215, 
'Schist Efficacy'!$D:$D, "Praziquantel",
'Schist Efficacy'!$J:$J,"&lt;2016",
'Schist Efficacy'!$U:$U,""),
"")</f>
        <v/>
      </c>
      <c r="AU215" s="118">
        <f t="shared" si="14"/>
        <v>0.9475</v>
      </c>
      <c r="AV215" s="131" t="str">
        <f>IFERROR(AVERAGEIFS(
'STH Efficacy'!$AX:$AX, 
'STH Efficacy'!$AL:$AL, $A215, 
'STH Efficacy'!$AM:$AM, "Albendazole",
'STH Efficacy'!$AS:$AS,"&lt;2016",
'STH Efficacy'!$BP:$BP,""),
"")</f>
        <v/>
      </c>
      <c r="AW215" s="132">
        <f t="shared" si="15"/>
        <v>0.3571666667</v>
      </c>
      <c r="AX215" s="131" t="str">
        <f>IFERROR(AVERAGEIFS(
'STH Efficacy'!$AX:$AX, 
'STH Efficacy'!$AL:$AL, $A215, 
'STH Efficacy'!$AM:$AM, "Mebendazole",
'STH Efficacy'!$AS:$AS,"&lt;2016",
'STH Efficacy'!$BP:$BP,""),
"")</f>
        <v/>
      </c>
      <c r="AY215" s="132">
        <f t="shared" si="16"/>
        <v>0.4155</v>
      </c>
      <c r="AZ215" s="131" t="str">
        <f>IFERROR(AVERAGEIFS(
'STH Efficacy'!$AX:$AX, 
'STH Efficacy'!$AL:$AL, $A215, 
'STH Efficacy'!$AM:$AM, "Albendazole &amp; Ivermectin",
'STH Efficacy'!$AS:$AS,"&lt;2016",
'STH Efficacy'!$BP:$BP,""),
"")</f>
        <v/>
      </c>
      <c r="BA215" s="133">
        <f t="shared" si="17"/>
        <v>0.651</v>
      </c>
      <c r="BB215" s="443">
        <f>IFERROR(AVERAGEIFS(
'STH Efficacy'!$N:$N, 
'STH Efficacy'!$B:$B, $A215, 
'STH Efficacy'!$C:$C, "Albendazole",
'STH Efficacy'!$I:$I,"&lt;2016",
'STH Efficacy'!$AH:$AH,""),
"")</f>
        <v>0.62</v>
      </c>
      <c r="BC215" s="135">
        <f t="shared" si="18"/>
        <v>0.62</v>
      </c>
      <c r="BD215" s="443">
        <f>IFERROR(AVERAGEIFS(
'STH Efficacy'!$N:$N, 
'STH Efficacy'!$B:$B, $A215, 
'STH Efficacy'!$C:$C, "Mebendazole",
'STH Efficacy'!$I:$I,"&lt;2016",
'STH Efficacy'!$AH:$AH,""),
"")</f>
        <v>0.32</v>
      </c>
      <c r="BE215" s="135">
        <f t="shared" si="19"/>
        <v>0.32</v>
      </c>
      <c r="BF215" s="436" t="str">
        <f>IFERROR(AVERAGEIFS(
'STH Efficacy'!$CD:$CD, 
'STH Efficacy'!$BS:$BS, $A215, 
'STH Efficacy'!$BT:$BT, "Albendazole",
'STH Efficacy'!$BZ:$BZ,"&lt;2016",
'STH Efficacy'!$CU:$CU,""),
"")</f>
        <v/>
      </c>
      <c r="BG215" s="136">
        <f t="shared" si="20"/>
        <v>0.96925</v>
      </c>
      <c r="BH215" s="436" t="str">
        <f>IFERROR(AVERAGEIFS(
'STH Efficacy'!$CD:$CD, 
'STH Efficacy'!$BS:$BS, $A215, 
'STH Efficacy'!$BT:$BT, "Mebendazole",
'STH Efficacy'!$BZ:$BZ,"&lt;2016",
'STH Efficacy'!$CU:$CU,""),
"")</f>
        <v/>
      </c>
      <c r="BI215" s="136">
        <f t="shared" si="21"/>
        <v>0.9305</v>
      </c>
      <c r="BJ215" s="436" t="str">
        <f>IFERROR(AVERAGEIFS(
'STH Efficacy'!$CD:$CD, 
'STH Efficacy'!$BS:$BS, $A215, 
'STH Efficacy'!$BT:$BT, "Albendazole &amp; Ivermectin",
'STH Efficacy'!$BZ:$BZ,"&lt;2016",
'STH Efficacy'!$CU:$CU,""),
"")</f>
        <v/>
      </c>
      <c r="BK215" s="136">
        <f t="shared" si="22"/>
        <v>0.848</v>
      </c>
      <c r="BL215" s="444" t="str">
        <f>IFERROR(
  AVERAGEIFS(
    'NEW Onchocerciasis Efficacy'!$AO:$AO,
    'NEW Onchocerciasis Efficacy'!$C:$C,$A215,
    'NEW Onchocerciasis Efficacy'!$D:$D,"Ivermectin",
    'NEW Onchocerciasis Efficacy'!$AR:$AR,"&lt;2016",
    'NEW Onchocerciasis Efficacy'!$BG:$BG,"")
,"")</f>
        <v/>
      </c>
      <c r="BM215" s="304">
        <f t="shared" si="23"/>
        <v>0.7808368939</v>
      </c>
      <c r="BN215" s="439">
        <v>0.0</v>
      </c>
      <c r="BO215" s="139">
        <v>0.0</v>
      </c>
      <c r="BP215" s="140">
        <v>0.0</v>
      </c>
      <c r="BQ215" s="141">
        <f t="shared" si="24"/>
        <v>0</v>
      </c>
      <c r="BR215" s="104" t="str">
        <f t="shared" si="25"/>
        <v>0000</v>
      </c>
      <c r="BS215" s="104" t="str">
        <f t="shared" si="26"/>
        <v>no action required</v>
      </c>
      <c r="BT215" s="142" t="str">
        <f t="shared" si="43"/>
        <v/>
      </c>
      <c r="BU215" s="104" t="str">
        <f t="shared" si="28"/>
        <v/>
      </c>
      <c r="BV215" s="104" t="str">
        <f t="shared" si="29"/>
        <v>none</v>
      </c>
      <c r="BW215" s="150" t="str">
        <f t="shared" si="30"/>
        <v/>
      </c>
      <c r="BX215" s="150" t="str">
        <f t="shared" si="31"/>
        <v/>
      </c>
      <c r="BY215" s="151" t="str">
        <f t="shared" si="32"/>
        <v/>
      </c>
      <c r="BZ215" s="152" t="str">
        <f t="shared" si="33"/>
        <v/>
      </c>
      <c r="CA215" s="152" t="str">
        <f t="shared" si="34"/>
        <v/>
      </c>
      <c r="CB215" s="152" t="str">
        <f t="shared" si="35"/>
        <v/>
      </c>
      <c r="CC215" s="153" t="str">
        <f t="shared" si="36"/>
        <v/>
      </c>
      <c r="CD215" s="153" t="str">
        <f t="shared" si="37"/>
        <v/>
      </c>
      <c r="CE215" s="154" t="str">
        <f t="shared" si="38"/>
        <v/>
      </c>
      <c r="CF215" s="154" t="str">
        <f t="shared" si="39"/>
        <v/>
      </c>
      <c r="CG215" s="154" t="str">
        <f t="shared" si="40"/>
        <v/>
      </c>
      <c r="CH215" s="308" t="str">
        <f t="shared" si="41"/>
        <v/>
      </c>
    </row>
    <row r="216">
      <c r="A216" s="155" t="s">
        <v>305</v>
      </c>
      <c r="B216" s="104" t="s">
        <v>94</v>
      </c>
      <c r="C216" s="171"/>
      <c r="D216" s="161">
        <v>0.0</v>
      </c>
      <c r="E216" s="294">
        <v>0.0</v>
      </c>
      <c r="F216" s="163"/>
      <c r="G216" s="325"/>
      <c r="H216" s="108">
        <v>0.0</v>
      </c>
      <c r="I216" s="109">
        <v>0.0</v>
      </c>
      <c r="J216" s="109">
        <v>0.0</v>
      </c>
      <c r="K216" s="109">
        <v>0.0</v>
      </c>
      <c r="L216" s="113"/>
      <c r="M216" s="113"/>
      <c r="N216" s="112">
        <v>0.0</v>
      </c>
      <c r="O216" s="298">
        <v>0.0</v>
      </c>
      <c r="P216" s="156"/>
      <c r="Q216" s="156"/>
      <c r="R216" s="121" t="str">
        <f t="shared" si="4"/>
        <v/>
      </c>
      <c r="S216" s="116">
        <f t="shared" si="5"/>
        <v>0.3783554476</v>
      </c>
      <c r="T216" s="117"/>
      <c r="U216" s="118">
        <f t="shared" si="6"/>
        <v>0.73965</v>
      </c>
      <c r="V216" s="148"/>
      <c r="W216" s="120">
        <f t="shared" si="7"/>
        <v>0.6141272727</v>
      </c>
      <c r="X216" s="148"/>
      <c r="Y216" s="120">
        <f t="shared" si="8"/>
        <v>0.6018090909</v>
      </c>
      <c r="Z216" s="299"/>
      <c r="AA216" s="441"/>
      <c r="AB216" s="300" t="str">
        <f t="shared" si="9"/>
        <v/>
      </c>
      <c r="AC216" s="300">
        <f t="shared" si="10"/>
        <v>0.6890056172</v>
      </c>
      <c r="AD216" s="314">
        <v>0.0</v>
      </c>
      <c r="AE216" s="315">
        <v>0.0</v>
      </c>
      <c r="AF216" s="445">
        <v>0.0</v>
      </c>
      <c r="AG216" s="316">
        <v>0.0</v>
      </c>
      <c r="AH216" s="307">
        <v>0.0</v>
      </c>
      <c r="AI216" s="317">
        <v>0.0</v>
      </c>
      <c r="AJ216" s="318">
        <v>0.0</v>
      </c>
      <c r="AK216" s="319">
        <v>0.0</v>
      </c>
      <c r="AL216" s="446">
        <v>0.0</v>
      </c>
      <c r="AM216" s="320">
        <v>0.0</v>
      </c>
      <c r="AN216" s="149" t="str">
        <f>IFERROR(
  AVERAGEIFS(
    'New LF Efficacy'!$J:$J,
    'New LF Efficacy'!$D:$D, $A216,
    'New LF Efficacy'!$F:$F,"DEC", 
    'New LF Efficacy'!$W:$W,"&lt;2016",
    'New LF Efficacy'!$AA:$AA,""),
  ""
)</f>
        <v/>
      </c>
      <c r="AO216" s="115">
        <f t="shared" si="11"/>
        <v>0.38</v>
      </c>
      <c r="AP216" s="149" t="str">
        <f>IFERROR(
AVERAGEIFS(
'New LF Efficacy'!$J:$J,
'New LF Efficacy'!$D:$D,$A216,
'New LF Efficacy'!$F:$F,"Albendazole &amp; DEC",
'New LF Efficacy'!$W:$W,"&lt;2016",
'New LF Efficacy'!$AA:$AA,""),
"")
</f>
        <v/>
      </c>
      <c r="AQ216" s="115">
        <f t="shared" si="12"/>
        <v>0.662</v>
      </c>
      <c r="AR216" s="149" t="str">
        <f>IFERROR(
AVERAGEIFS(
'New LF Efficacy'!$J:$J,
'New LF Efficacy'!$D:$D,$A216,
'New LF Efficacy'!$F:$F,"Albendazole &amp; Ivermectin", 
'New LF Efficacy'!$W:$W,"&lt;2016",
'New LF Efficacy'!$AA:$AA,""),"")</f>
        <v/>
      </c>
      <c r="AS216" s="115">
        <f t="shared" si="13"/>
        <v>0.37153125</v>
      </c>
      <c r="AT216" s="442" t="str">
        <f>IFERROR(AVERAGEIFS(
'Schist Efficacy'!$O:$O, 
'Schist Efficacy'!$C:$C,$A216, 
'Schist Efficacy'!$D:$D, "Praziquantel",
'Schist Efficacy'!$J:$J,"&lt;2016",
'Schist Efficacy'!$U:$U,""),
"")</f>
        <v/>
      </c>
      <c r="AU216" s="118">
        <f t="shared" si="14"/>
        <v>0.9475</v>
      </c>
      <c r="AV216" s="131" t="str">
        <f>IFERROR(AVERAGEIFS(
'STH Efficacy'!$AX:$AX, 
'STH Efficacy'!$AL:$AL, $A216, 
'STH Efficacy'!$AM:$AM, "Albendazole",
'STH Efficacy'!$AS:$AS,"&lt;2016",
'STH Efficacy'!$BP:$BP,""),
"")</f>
        <v/>
      </c>
      <c r="AW216" s="132">
        <f t="shared" si="15"/>
        <v>0.3571666667</v>
      </c>
      <c r="AX216" s="131" t="str">
        <f>IFERROR(AVERAGEIFS(
'STH Efficacy'!$AX:$AX, 
'STH Efficacy'!$AL:$AL, $A216, 
'STH Efficacy'!$AM:$AM, "Mebendazole",
'STH Efficacy'!$AS:$AS,"&lt;2016",
'STH Efficacy'!$BP:$BP,""),
"")</f>
        <v/>
      </c>
      <c r="AY216" s="132">
        <f t="shared" si="16"/>
        <v>0.4155</v>
      </c>
      <c r="AZ216" s="131" t="str">
        <f>IFERROR(AVERAGEIFS(
'STH Efficacy'!$AX:$AX, 
'STH Efficacy'!$AL:$AL, $A216, 
'STH Efficacy'!$AM:$AM, "Albendazole &amp; Ivermectin",
'STH Efficacy'!$AS:$AS,"&lt;2016",
'STH Efficacy'!$BP:$BP,""),
"")</f>
        <v/>
      </c>
      <c r="BA216" s="133">
        <f t="shared" si="17"/>
        <v>0.651</v>
      </c>
      <c r="BB216" s="443" t="str">
        <f>IFERROR(AVERAGEIFS(
'STH Efficacy'!$N:$N, 
'STH Efficacy'!$B:$B, $A216, 
'STH Efficacy'!$C:$C, "Albendazole",
'STH Efficacy'!$I:$I,"&lt;2016",
'STH Efficacy'!$AH:$AH,""),
"")</f>
        <v/>
      </c>
      <c r="BC216" s="135">
        <f t="shared" si="18"/>
        <v>0.5769166667</v>
      </c>
      <c r="BD216" s="443" t="str">
        <f>IFERROR(AVERAGEIFS(
'STH Efficacy'!$N:$N, 
'STH Efficacy'!$B:$B, $A216, 
'STH Efficacy'!$C:$C, "Mebendazole",
'STH Efficacy'!$I:$I,"&lt;2016",
'STH Efficacy'!$AH:$AH,""),
"")</f>
        <v/>
      </c>
      <c r="BE216" s="135">
        <f t="shared" si="19"/>
        <v>0.3145</v>
      </c>
      <c r="BF216" s="436" t="str">
        <f>IFERROR(AVERAGEIFS(
'STH Efficacy'!$CD:$CD, 
'STH Efficacy'!$BS:$BS, $A216, 
'STH Efficacy'!$BT:$BT, "Albendazole",
'STH Efficacy'!$BZ:$BZ,"&lt;2016",
'STH Efficacy'!$CU:$CU,""),
"")</f>
        <v/>
      </c>
      <c r="BG216" s="136">
        <f t="shared" si="20"/>
        <v>0.96925</v>
      </c>
      <c r="BH216" s="436" t="str">
        <f>IFERROR(AVERAGEIFS(
'STH Efficacy'!$CD:$CD, 
'STH Efficacy'!$BS:$BS, $A216, 
'STH Efficacy'!$BT:$BT, "Mebendazole",
'STH Efficacy'!$BZ:$BZ,"&lt;2016",
'STH Efficacy'!$CU:$CU,""),
"")</f>
        <v/>
      </c>
      <c r="BI216" s="136">
        <f t="shared" si="21"/>
        <v>0.9305</v>
      </c>
      <c r="BJ216" s="436" t="str">
        <f>IFERROR(AVERAGEIFS(
'STH Efficacy'!$CD:$CD, 
'STH Efficacy'!$BS:$BS, $A216, 
'STH Efficacy'!$BT:$BT, "Albendazole &amp; Ivermectin",
'STH Efficacy'!$BZ:$BZ,"&lt;2016",
'STH Efficacy'!$CU:$CU,""),
"")</f>
        <v/>
      </c>
      <c r="BK216" s="136">
        <f t="shared" si="22"/>
        <v>0.848</v>
      </c>
      <c r="BL216" s="444" t="str">
        <f>IFERROR(
  AVERAGEIFS(
    'NEW Onchocerciasis Efficacy'!$AO:$AO,
    'NEW Onchocerciasis Efficacy'!$C:$C,$A216,
    'NEW Onchocerciasis Efficacy'!$D:$D,"Ivermectin",
    'NEW Onchocerciasis Efficacy'!$AR:$AR,"&lt;2016",
    'NEW Onchocerciasis Efficacy'!$BG:$BG,"")
,"")</f>
        <v/>
      </c>
      <c r="BM216" s="304">
        <f t="shared" si="23"/>
        <v>0.7808368939</v>
      </c>
      <c r="BN216" s="439">
        <v>0.0</v>
      </c>
      <c r="BO216" s="139">
        <v>1.0</v>
      </c>
      <c r="BP216" s="140">
        <v>1.0</v>
      </c>
      <c r="BQ216" s="141">
        <f t="shared" si="24"/>
        <v>0</v>
      </c>
      <c r="BR216" s="104" t="str">
        <f t="shared" si="25"/>
        <v>0110</v>
      </c>
      <c r="BS216" s="104" t="str">
        <f t="shared" si="26"/>
        <v>MDA3+T2</v>
      </c>
      <c r="BT216" s="142" t="str">
        <f t="shared" si="43"/>
        <v>IVM</v>
      </c>
      <c r="BU216" s="104" t="str">
        <f t="shared" si="28"/>
        <v>PZQ</v>
      </c>
      <c r="BV216" s="104" t="str">
        <f t="shared" si="29"/>
        <v>onch+schist</v>
      </c>
      <c r="BW216" s="150" t="str">
        <f t="shared" si="30"/>
        <v/>
      </c>
      <c r="BX216" s="150" t="str">
        <f t="shared" si="31"/>
        <v/>
      </c>
      <c r="BY216" s="162">
        <f t="shared" si="32"/>
        <v>0</v>
      </c>
      <c r="BZ216" s="152" t="str">
        <f t="shared" si="33"/>
        <v/>
      </c>
      <c r="CA216" s="152" t="str">
        <f t="shared" si="34"/>
        <v/>
      </c>
      <c r="CB216" s="152" t="str">
        <f t="shared" si="35"/>
        <v/>
      </c>
      <c r="CC216" s="153" t="str">
        <f t="shared" si="36"/>
        <v/>
      </c>
      <c r="CD216" s="153" t="str">
        <f t="shared" si="37"/>
        <v/>
      </c>
      <c r="CE216" s="154" t="str">
        <f t="shared" si="38"/>
        <v/>
      </c>
      <c r="CF216" s="154" t="str">
        <f t="shared" si="39"/>
        <v/>
      </c>
      <c r="CG216" s="154" t="str">
        <f t="shared" si="40"/>
        <v/>
      </c>
      <c r="CH216" s="313">
        <f t="shared" si="41"/>
        <v>0</v>
      </c>
    </row>
    <row r="217">
      <c r="A217" s="155" t="s">
        <v>306</v>
      </c>
      <c r="B217" s="104" t="s">
        <v>88</v>
      </c>
      <c r="C217" s="468">
        <v>4422143.0</v>
      </c>
      <c r="D217" s="161">
        <v>0.0</v>
      </c>
      <c r="E217" s="294">
        <v>0.0</v>
      </c>
      <c r="F217" s="163"/>
      <c r="G217" s="325"/>
      <c r="H217" s="108">
        <v>0.0</v>
      </c>
      <c r="I217" s="109">
        <v>0.0</v>
      </c>
      <c r="J217" s="109">
        <v>0.0</v>
      </c>
      <c r="K217" s="109">
        <v>0.0</v>
      </c>
      <c r="L217" s="113"/>
      <c r="M217" s="113"/>
      <c r="N217" s="112">
        <v>0.0</v>
      </c>
      <c r="O217" s="298">
        <v>0.0</v>
      </c>
      <c r="P217" s="114"/>
      <c r="Q217" s="114"/>
      <c r="R217" s="121" t="str">
        <f t="shared" si="4"/>
        <v/>
      </c>
      <c r="S217" s="116">
        <f t="shared" si="5"/>
        <v>0.5709301448</v>
      </c>
      <c r="T217" s="117"/>
      <c r="U217" s="118">
        <f t="shared" si="6"/>
        <v>0.739</v>
      </c>
      <c r="V217" s="148"/>
      <c r="W217" s="120">
        <f t="shared" si="7"/>
        <v>0.9933333333</v>
      </c>
      <c r="X217" s="148"/>
      <c r="Y217" s="120">
        <f t="shared" si="8"/>
        <v>0.5301</v>
      </c>
      <c r="Z217" s="299"/>
      <c r="AA217" s="441"/>
      <c r="AB217" s="300" t="str">
        <f t="shared" si="9"/>
        <v/>
      </c>
      <c r="AC217" s="300">
        <f t="shared" si="10"/>
        <v>0.4014082288</v>
      </c>
      <c r="AD217" s="314">
        <v>0.0</v>
      </c>
      <c r="AE217" s="315">
        <v>0.0</v>
      </c>
      <c r="AF217" s="445">
        <v>0.0</v>
      </c>
      <c r="AG217" s="316">
        <v>0.0</v>
      </c>
      <c r="AH217" s="307">
        <v>0.0</v>
      </c>
      <c r="AI217" s="317">
        <v>0.0</v>
      </c>
      <c r="AJ217" s="318">
        <v>0.0</v>
      </c>
      <c r="AK217" s="319">
        <v>0.0</v>
      </c>
      <c r="AL217" s="446">
        <v>0.0</v>
      </c>
      <c r="AM217" s="320">
        <v>0.0</v>
      </c>
      <c r="AN217" s="149" t="str">
        <f>IFERROR(
  AVERAGEIFS(
    'New LF Efficacy'!$J:$J,
    'New LF Efficacy'!$D:$D, $A217,
    'New LF Efficacy'!$F:$F,"DEC", 
    'New LF Efficacy'!$W:$W,"&lt;2016",
    'New LF Efficacy'!$AA:$AA,""),
  ""
)</f>
        <v/>
      </c>
      <c r="AO217" s="115">
        <f t="shared" si="11"/>
        <v>0.3573520833</v>
      </c>
      <c r="AP217" s="149" t="str">
        <f>IFERROR(
AVERAGEIFS(
'New LF Efficacy'!$J:$J,
'New LF Efficacy'!$D:$D,$A217,
'New LF Efficacy'!$F:$F,"Albendazole &amp; DEC",
'New LF Efficacy'!$W:$W,"&lt;2016",
'New LF Efficacy'!$AA:$AA,""),
"")
</f>
        <v/>
      </c>
      <c r="AQ217" s="115">
        <f t="shared" si="12"/>
        <v>0.7935</v>
      </c>
      <c r="AR217" s="149" t="str">
        <f>IFERROR(
AVERAGEIFS(
'New LF Efficacy'!$J:$J,
'New LF Efficacy'!$D:$D,$A217,
'New LF Efficacy'!$F:$F,"Albendazole &amp; Ivermectin", 
'New LF Efficacy'!$W:$W,"&lt;2016",
'New LF Efficacy'!$AA:$AA,""),"")</f>
        <v/>
      </c>
      <c r="AS217" s="115">
        <f t="shared" si="13"/>
        <v>0.37153125</v>
      </c>
      <c r="AT217" s="442" t="str">
        <f>IFERROR(AVERAGEIFS(
'Schist Efficacy'!$O:$O, 
'Schist Efficacy'!$C:$C,$A217, 
'Schist Efficacy'!$D:$D, "Praziquantel",
'Schist Efficacy'!$J:$J,"&lt;2016",
'Schist Efficacy'!$U:$U,""),
"")</f>
        <v/>
      </c>
      <c r="AU217" s="118">
        <f t="shared" si="14"/>
        <v>0.7763141026</v>
      </c>
      <c r="AV217" s="131" t="str">
        <f>IFERROR(AVERAGEIFS(
'STH Efficacy'!$AX:$AX, 
'STH Efficacy'!$AL:$AL, $A217, 
'STH Efficacy'!$AM:$AM, "Albendazole",
'STH Efficacy'!$AS:$AS,"&lt;2016",
'STH Efficacy'!$BP:$BP,""),
"")</f>
        <v/>
      </c>
      <c r="AW217" s="132">
        <f t="shared" si="15"/>
        <v>0.4143846154</v>
      </c>
      <c r="AX217" s="131" t="str">
        <f>IFERROR(AVERAGEIFS(
'STH Efficacy'!$AX:$AX, 
'STH Efficacy'!$AL:$AL, $A217, 
'STH Efficacy'!$AM:$AM, "Mebendazole",
'STH Efficacy'!$AS:$AS,"&lt;2016",
'STH Efficacy'!$BP:$BP,""),
"")</f>
        <v/>
      </c>
      <c r="AY217" s="132">
        <f t="shared" si="16"/>
        <v>0.4691770833</v>
      </c>
      <c r="AZ217" s="131" t="str">
        <f>IFERROR(AVERAGEIFS(
'STH Efficacy'!$AX:$AX, 
'STH Efficacy'!$AL:$AL, $A217, 
'STH Efficacy'!$AM:$AM, "Albendazole &amp; Ivermectin",
'STH Efficacy'!$AS:$AS,"&lt;2016",
'STH Efficacy'!$BP:$BP,""),
"")</f>
        <v/>
      </c>
      <c r="BA217" s="133">
        <f t="shared" si="17"/>
        <v>0.597625</v>
      </c>
      <c r="BB217" s="443" t="str">
        <f>IFERROR(AVERAGEIFS(
'STH Efficacy'!$N:$N, 
'STH Efficacy'!$B:$B, $A217, 
'STH Efficacy'!$C:$C, "Albendazole",
'STH Efficacy'!$I:$I,"&lt;2016",
'STH Efficacy'!$AH:$AH,""),
"")</f>
        <v/>
      </c>
      <c r="BC217" s="135">
        <f t="shared" si="18"/>
        <v>0.7613712121</v>
      </c>
      <c r="BD217" s="443" t="str">
        <f>IFERROR(AVERAGEIFS(
'STH Efficacy'!$N:$N, 
'STH Efficacy'!$B:$B, $A217, 
'STH Efficacy'!$C:$C, "Mebendazole",
'STH Efficacy'!$I:$I,"&lt;2016",
'STH Efficacy'!$AH:$AH,""),
"")</f>
        <v/>
      </c>
      <c r="BE217" s="135">
        <f t="shared" si="19"/>
        <v>0.4362466667</v>
      </c>
      <c r="BF217" s="436" t="str">
        <f>IFERROR(AVERAGEIFS(
'STH Efficacy'!$CD:$CD, 
'STH Efficacy'!$BS:$BS, $A217, 
'STH Efficacy'!$BT:$BT, "Albendazole",
'STH Efficacy'!$BZ:$BZ,"&lt;2016",
'STH Efficacy'!$CU:$CU,""),
"")</f>
        <v/>
      </c>
      <c r="BG217" s="136">
        <f t="shared" si="20"/>
        <v>0.955</v>
      </c>
      <c r="BH217" s="436" t="str">
        <f>IFERROR(AVERAGEIFS(
'STH Efficacy'!$CD:$CD, 
'STH Efficacy'!$BS:$BS, $A217, 
'STH Efficacy'!$BT:$BT, "Mebendazole",
'STH Efficacy'!$BZ:$BZ,"&lt;2016",
'STH Efficacy'!$CU:$CU,""),
"")</f>
        <v/>
      </c>
      <c r="BI217" s="136">
        <f t="shared" si="21"/>
        <v>1</v>
      </c>
      <c r="BJ217" s="436" t="str">
        <f>IFERROR(AVERAGEIFS(
'STH Efficacy'!$CD:$CD, 
'STH Efficacy'!$BS:$BS, $A217, 
'STH Efficacy'!$BT:$BT, "Albendazole &amp; Ivermectin",
'STH Efficacy'!$BZ:$BZ,"&lt;2016",
'STH Efficacy'!$CU:$CU,""),
"")</f>
        <v/>
      </c>
      <c r="BK217" s="136">
        <f t="shared" si="22"/>
        <v>0.848</v>
      </c>
      <c r="BL217" s="444" t="str">
        <f>IFERROR(
  AVERAGEIFS(
    'NEW Onchocerciasis Efficacy'!$AO:$AO,
    'NEW Onchocerciasis Efficacy'!$C:$C,$A217,
    'NEW Onchocerciasis Efficacy'!$D:$D,"Ivermectin",
    'NEW Onchocerciasis Efficacy'!$AR:$AR,"&lt;2016",
    'NEW Onchocerciasis Efficacy'!$BG:$BG,"")
,"")</f>
        <v/>
      </c>
      <c r="BM217" s="304">
        <f t="shared" si="23"/>
        <v>0.7808368939</v>
      </c>
      <c r="BN217" s="439">
        <v>0.0</v>
      </c>
      <c r="BO217" s="139">
        <v>1.0</v>
      </c>
      <c r="BP217" s="140">
        <v>0.0</v>
      </c>
      <c r="BQ217" s="141">
        <f t="shared" si="24"/>
        <v>0</v>
      </c>
      <c r="BR217" s="104" t="str">
        <f t="shared" si="25"/>
        <v>0100</v>
      </c>
      <c r="BS217" s="104" t="str">
        <f t="shared" si="26"/>
        <v>MDA3</v>
      </c>
      <c r="BT217" s="142" t="str">
        <f t="shared" si="43"/>
        <v>IVM</v>
      </c>
      <c r="BU217" s="104" t="str">
        <f t="shared" si="28"/>
        <v/>
      </c>
      <c r="BV217" s="104" t="str">
        <f t="shared" si="29"/>
        <v>onch only</v>
      </c>
      <c r="BW217" s="150" t="str">
        <f t="shared" si="30"/>
        <v/>
      </c>
      <c r="BX217" s="150" t="str">
        <f t="shared" si="31"/>
        <v/>
      </c>
      <c r="BY217" s="151" t="str">
        <f t="shared" si="32"/>
        <v/>
      </c>
      <c r="BZ217" s="152" t="str">
        <f t="shared" si="33"/>
        <v/>
      </c>
      <c r="CA217" s="152" t="str">
        <f t="shared" si="34"/>
        <v/>
      </c>
      <c r="CB217" s="152" t="str">
        <f t="shared" si="35"/>
        <v/>
      </c>
      <c r="CC217" s="153" t="str">
        <f t="shared" si="36"/>
        <v/>
      </c>
      <c r="CD217" s="153" t="str">
        <f t="shared" si="37"/>
        <v/>
      </c>
      <c r="CE217" s="154" t="str">
        <f t="shared" si="38"/>
        <v/>
      </c>
      <c r="CF217" s="154" t="str">
        <f t="shared" si="39"/>
        <v/>
      </c>
      <c r="CG217" s="154" t="str">
        <f t="shared" si="40"/>
        <v/>
      </c>
      <c r="CH217" s="313">
        <f t="shared" si="41"/>
        <v>0</v>
      </c>
    </row>
    <row r="218">
      <c r="A218" s="103" t="s">
        <v>307</v>
      </c>
      <c r="B218" s="104" t="s">
        <v>88</v>
      </c>
      <c r="C218" s="468">
        <v>2.6916207E7</v>
      </c>
      <c r="D218" s="161">
        <v>46.81</v>
      </c>
      <c r="E218" s="294">
        <v>7752.936299</v>
      </c>
      <c r="F218" s="295">
        <v>3.94888849</v>
      </c>
      <c r="G218" s="295">
        <v>16.93248429</v>
      </c>
      <c r="H218" s="108">
        <v>20.88137278</v>
      </c>
      <c r="I218" s="109">
        <v>199.273271</v>
      </c>
      <c r="J218" s="109">
        <v>357.778416</v>
      </c>
      <c r="K218" s="110">
        <v>557.0516868</v>
      </c>
      <c r="L218" s="111">
        <v>773.3506282</v>
      </c>
      <c r="M218" s="111">
        <v>1101.809499</v>
      </c>
      <c r="N218" s="112">
        <v>1875.160127</v>
      </c>
      <c r="O218" s="298">
        <v>0.0</v>
      </c>
      <c r="P218" s="156"/>
      <c r="Q218" s="156"/>
      <c r="R218" s="121" t="str">
        <f t="shared" si="4"/>
        <v/>
      </c>
      <c r="S218" s="116">
        <f t="shared" si="5"/>
        <v>0.5709301448</v>
      </c>
      <c r="T218" s="118">
        <v>0.889</v>
      </c>
      <c r="U218" s="118">
        <f t="shared" si="6"/>
        <v>0.889</v>
      </c>
      <c r="V218" s="148"/>
      <c r="W218" s="120">
        <f t="shared" si="7"/>
        <v>0.9933333333</v>
      </c>
      <c r="X218" s="119">
        <v>0.8139</v>
      </c>
      <c r="Y218" s="120">
        <f t="shared" si="8"/>
        <v>0.8139</v>
      </c>
      <c r="Z218" s="310">
        <v>315000.0</v>
      </c>
      <c r="AA218" s="298" t="s">
        <v>372</v>
      </c>
      <c r="AB218" s="300" t="str">
        <f t="shared" si="9"/>
        <v/>
      </c>
      <c r="AC218" s="300">
        <f t="shared" si="10"/>
        <v>0.4014082288</v>
      </c>
      <c r="AD218" s="122">
        <v>0.0</v>
      </c>
      <c r="AE218" s="123">
        <v>0.02</v>
      </c>
      <c r="AF218" s="430">
        <v>0.0037</v>
      </c>
      <c r="AG218" s="316">
        <v>0.0</v>
      </c>
      <c r="AH218" s="316">
        <v>0.053813669</v>
      </c>
      <c r="AI218" s="317">
        <v>0.0</v>
      </c>
      <c r="AJ218" s="317">
        <v>0.016496508</v>
      </c>
      <c r="AK218" s="319">
        <v>0.0</v>
      </c>
      <c r="AL218" s="319">
        <v>0.186845369</v>
      </c>
      <c r="AM218" s="302">
        <v>0.0</v>
      </c>
      <c r="AN218" s="149" t="str">
        <f>IFERROR(
  AVERAGEIFS(
    'New LF Efficacy'!$J:$J,
    'New LF Efficacy'!$D:$D, $A218,
    'New LF Efficacy'!$F:$F,"DEC", 
    'New LF Efficacy'!$W:$W,"&lt;2016",
    'New LF Efficacy'!$AA:$AA,""),
  ""
)</f>
        <v/>
      </c>
      <c r="AO218" s="115">
        <f t="shared" si="11"/>
        <v>0.3573520833</v>
      </c>
      <c r="AP218" s="149" t="str">
        <f>IFERROR(
AVERAGEIFS(
'New LF Efficacy'!$J:$J,
'New LF Efficacy'!$D:$D,$A218,
'New LF Efficacy'!$F:$F,"Albendazole &amp; DEC",
'New LF Efficacy'!$W:$W,"&lt;2016",
'New LF Efficacy'!$AA:$AA,""),
"")
</f>
        <v/>
      </c>
      <c r="AQ218" s="115">
        <f t="shared" si="12"/>
        <v>0.7935</v>
      </c>
      <c r="AR218" s="149" t="str">
        <f>IFERROR(
AVERAGEIFS(
'New LF Efficacy'!$J:$J,
'New LF Efficacy'!$D:$D,$A218,
'New LF Efficacy'!$F:$F,"Albendazole &amp; Ivermectin", 
'New LF Efficacy'!$W:$W,"&lt;2016",
'New LF Efficacy'!$AA:$AA,""),"")</f>
        <v/>
      </c>
      <c r="AS218" s="115">
        <f t="shared" si="13"/>
        <v>0.37153125</v>
      </c>
      <c r="AT218" s="442" t="str">
        <f>IFERROR(AVERAGEIFS(
'Schist Efficacy'!$O:$O, 
'Schist Efficacy'!$C:$C,$A218, 
'Schist Efficacy'!$D:$D, "Praziquantel",
'Schist Efficacy'!$J:$J,"&lt;2016",
'Schist Efficacy'!$U:$U,""),
"")</f>
        <v/>
      </c>
      <c r="AU218" s="118">
        <f t="shared" si="14"/>
        <v>0.7763141026</v>
      </c>
      <c r="AV218" s="131" t="str">
        <f>IFERROR(AVERAGEIFS(
'STH Efficacy'!$AX:$AX, 
'STH Efficacy'!$AL:$AL, $A218, 
'STH Efficacy'!$AM:$AM, "Albendazole",
'STH Efficacy'!$AS:$AS,"&lt;2016",
'STH Efficacy'!$BP:$BP,""),
"")</f>
        <v/>
      </c>
      <c r="AW218" s="132">
        <f t="shared" si="15"/>
        <v>0.4143846154</v>
      </c>
      <c r="AX218" s="131" t="str">
        <f>IFERROR(AVERAGEIFS(
'STH Efficacy'!$AX:$AX, 
'STH Efficacy'!$AL:$AL, $A218, 
'STH Efficacy'!$AM:$AM, "Mebendazole",
'STH Efficacy'!$AS:$AS,"&lt;2016",
'STH Efficacy'!$BP:$BP,""),
"")</f>
        <v/>
      </c>
      <c r="AY218" s="132">
        <f t="shared" si="16"/>
        <v>0.4691770833</v>
      </c>
      <c r="AZ218" s="131" t="str">
        <f>IFERROR(AVERAGEIFS(
'STH Efficacy'!$AX:$AX, 
'STH Efficacy'!$AL:$AL, $A218, 
'STH Efficacy'!$AM:$AM, "Albendazole &amp; Ivermectin",
'STH Efficacy'!$AS:$AS,"&lt;2016",
'STH Efficacy'!$BP:$BP,""),
"")</f>
        <v/>
      </c>
      <c r="BA218" s="133">
        <f t="shared" si="17"/>
        <v>0.597625</v>
      </c>
      <c r="BB218" s="443" t="str">
        <f>IFERROR(AVERAGEIFS(
'STH Efficacy'!$N:$N, 
'STH Efficacy'!$B:$B, $A218, 
'STH Efficacy'!$C:$C, "Albendazole",
'STH Efficacy'!$I:$I,"&lt;2016",
'STH Efficacy'!$AH:$AH,""),
"")</f>
        <v/>
      </c>
      <c r="BC218" s="135">
        <f t="shared" si="18"/>
        <v>0.7613712121</v>
      </c>
      <c r="BD218" s="443" t="str">
        <f>IFERROR(AVERAGEIFS(
'STH Efficacy'!$N:$N, 
'STH Efficacy'!$B:$B, $A218, 
'STH Efficacy'!$C:$C, "Mebendazole",
'STH Efficacy'!$I:$I,"&lt;2016",
'STH Efficacy'!$AH:$AH,""),
"")</f>
        <v/>
      </c>
      <c r="BE218" s="135">
        <f t="shared" si="19"/>
        <v>0.4362466667</v>
      </c>
      <c r="BF218" s="436" t="str">
        <f>IFERROR(AVERAGEIFS(
'STH Efficacy'!$CD:$CD, 
'STH Efficacy'!$BS:$BS, $A218, 
'STH Efficacy'!$BT:$BT, "Albendazole",
'STH Efficacy'!$BZ:$BZ,"&lt;2016",
'STH Efficacy'!$CU:$CU,""),
"")</f>
        <v/>
      </c>
      <c r="BG218" s="136">
        <f t="shared" si="20"/>
        <v>0.955</v>
      </c>
      <c r="BH218" s="436" t="str">
        <f>IFERROR(AVERAGEIFS(
'STH Efficacy'!$CD:$CD, 
'STH Efficacy'!$BS:$BS, $A218, 
'STH Efficacy'!$BT:$BT, "Mebendazole",
'STH Efficacy'!$BZ:$BZ,"&lt;2016",
'STH Efficacy'!$CU:$CU,""),
"")</f>
        <v/>
      </c>
      <c r="BI218" s="136">
        <f t="shared" si="21"/>
        <v>1</v>
      </c>
      <c r="BJ218" s="436" t="str">
        <f>IFERROR(AVERAGEIFS(
'STH Efficacy'!$CD:$CD, 
'STH Efficacy'!$BS:$BS, $A218, 
'STH Efficacy'!$BT:$BT, "Albendazole &amp; Ivermectin",
'STH Efficacy'!$BZ:$BZ,"&lt;2016",
'STH Efficacy'!$CU:$CU,""),
"")</f>
        <v/>
      </c>
      <c r="BK218" s="136">
        <f t="shared" si="22"/>
        <v>0.848</v>
      </c>
      <c r="BL218" s="444" t="str">
        <f>IFERROR(
  AVERAGEIFS(
    'NEW Onchocerciasis Efficacy'!$AO:$AO,
    'NEW Onchocerciasis Efficacy'!$C:$C,$A218,
    'NEW Onchocerciasis Efficacy'!$D:$D,"Ivermectin",
    'NEW Onchocerciasis Efficacy'!$AR:$AR,"&lt;2016",
    'NEW Onchocerciasis Efficacy'!$BG:$BG,"")
,"")</f>
        <v/>
      </c>
      <c r="BM218" s="304">
        <f t="shared" si="23"/>
        <v>0.7808368939</v>
      </c>
      <c r="BN218" s="439">
        <v>0.0</v>
      </c>
      <c r="BO218" s="139">
        <v>1.0</v>
      </c>
      <c r="BP218" s="140">
        <v>1.0</v>
      </c>
      <c r="BQ218" s="141">
        <f t="shared" si="24"/>
        <v>0</v>
      </c>
      <c r="BR218" s="104" t="str">
        <f t="shared" si="25"/>
        <v>0110</v>
      </c>
      <c r="BS218" s="104" t="str">
        <f t="shared" si="26"/>
        <v>MDA3+T2</v>
      </c>
      <c r="BT218" s="142" t="str">
        <f t="shared" si="43"/>
        <v>IVM</v>
      </c>
      <c r="BU218" s="104" t="str">
        <f t="shared" si="28"/>
        <v>PZQ</v>
      </c>
      <c r="BV218" s="104" t="str">
        <f t="shared" si="29"/>
        <v>onch+schist</v>
      </c>
      <c r="BW218" s="150" t="str">
        <f t="shared" si="30"/>
        <v/>
      </c>
      <c r="BX218" s="150" t="str">
        <f t="shared" si="31"/>
        <v/>
      </c>
      <c r="BY218" s="162">
        <f t="shared" si="32"/>
        <v>17268.09674</v>
      </c>
      <c r="BZ218" s="152" t="str">
        <f t="shared" si="33"/>
        <v/>
      </c>
      <c r="CA218" s="152" t="str">
        <f t="shared" si="34"/>
        <v/>
      </c>
      <c r="CB218" s="152" t="str">
        <f t="shared" si="35"/>
        <v/>
      </c>
      <c r="CC218" s="153" t="str">
        <f t="shared" si="36"/>
        <v/>
      </c>
      <c r="CD218" s="153" t="str">
        <f t="shared" si="37"/>
        <v/>
      </c>
      <c r="CE218" s="154" t="str">
        <f t="shared" si="38"/>
        <v/>
      </c>
      <c r="CF218" s="154" t="str">
        <f t="shared" si="39"/>
        <v/>
      </c>
      <c r="CG218" s="154" t="str">
        <f t="shared" si="40"/>
        <v/>
      </c>
      <c r="CH218" s="313">
        <f t="shared" si="41"/>
        <v>0</v>
      </c>
    </row>
    <row r="219">
      <c r="A219" s="103" t="s">
        <v>308</v>
      </c>
      <c r="B219" s="104" t="s">
        <v>92</v>
      </c>
      <c r="C219" s="468">
        <v>1.6100587E7</v>
      </c>
      <c r="D219" s="161">
        <v>4749.2699999999995</v>
      </c>
      <c r="E219" s="294">
        <v>28814.77401</v>
      </c>
      <c r="F219" s="295">
        <v>4.444455823</v>
      </c>
      <c r="G219" s="295">
        <v>20.05588933</v>
      </c>
      <c r="H219" s="157">
        <v>24.50034515</v>
      </c>
      <c r="I219" s="110">
        <v>2174.42146</v>
      </c>
      <c r="J219" s="110">
        <v>5549.77475</v>
      </c>
      <c r="K219" s="109">
        <v>7724.196215</v>
      </c>
      <c r="L219" s="112">
        <v>2858.671417</v>
      </c>
      <c r="M219" s="112">
        <v>416.2811878</v>
      </c>
      <c r="N219" s="112">
        <v>3274.952605</v>
      </c>
      <c r="O219" s="298">
        <v>0.0</v>
      </c>
      <c r="P219" s="160">
        <v>1.1636753E7</v>
      </c>
      <c r="Q219" s="160">
        <v>1.0737905E7</v>
      </c>
      <c r="R219" s="121">
        <f t="shared" si="4"/>
        <v>0.9227578346</v>
      </c>
      <c r="S219" s="116">
        <f t="shared" si="5"/>
        <v>0.9227578346</v>
      </c>
      <c r="T219" s="118">
        <v>0.198</v>
      </c>
      <c r="U219" s="118">
        <f t="shared" si="6"/>
        <v>0.198</v>
      </c>
      <c r="V219" s="119">
        <v>0.6647</v>
      </c>
      <c r="W219" s="120">
        <f t="shared" si="7"/>
        <v>0.6647</v>
      </c>
      <c r="X219" s="119">
        <v>0.6516</v>
      </c>
      <c r="Y219" s="120">
        <f t="shared" si="8"/>
        <v>0.6516</v>
      </c>
      <c r="Z219" s="299"/>
      <c r="AA219" s="441"/>
      <c r="AB219" s="300" t="str">
        <f t="shared" si="9"/>
        <v/>
      </c>
      <c r="AC219" s="300">
        <f t="shared" si="10"/>
        <v>0.6375203308</v>
      </c>
      <c r="AD219" s="122">
        <v>0.0073</v>
      </c>
      <c r="AE219" s="123">
        <v>0.18</v>
      </c>
      <c r="AF219" s="430">
        <v>0.0725</v>
      </c>
      <c r="AG219" s="316">
        <v>0.0</v>
      </c>
      <c r="AH219" s="316">
        <v>0.068722077</v>
      </c>
      <c r="AI219" s="317">
        <v>0.0</v>
      </c>
      <c r="AJ219" s="317">
        <v>0.271912126</v>
      </c>
      <c r="AK219" s="319">
        <v>0.0</v>
      </c>
      <c r="AL219" s="319">
        <v>0.048227442</v>
      </c>
      <c r="AM219" s="302">
        <v>0.0</v>
      </c>
      <c r="AN219" s="149" t="str">
        <f>IFERROR(
  AVERAGEIFS(
    'New LF Efficacy'!$J:$J,
    'New LF Efficacy'!$D:$D, $A219,
    'New LF Efficacy'!$F:$F,"DEC", 
    'New LF Efficacy'!$W:$W,"&lt;2016",
    'New LF Efficacy'!$AA:$AA,""),
  ""
)</f>
        <v/>
      </c>
      <c r="AO219" s="115">
        <f t="shared" si="11"/>
        <v>0.31225</v>
      </c>
      <c r="AP219" s="149" t="str">
        <f>IFERROR(
AVERAGEIFS(
'New LF Efficacy'!$J:$J,
'New LF Efficacy'!$D:$D,$A219,
'New LF Efficacy'!$F:$F,"Albendazole &amp; DEC",
'New LF Efficacy'!$W:$W,"&lt;2016",
'New LF Efficacy'!$AA:$AA,""),
"")
</f>
        <v/>
      </c>
      <c r="AQ219" s="115">
        <f t="shared" si="12"/>
        <v>0.4</v>
      </c>
      <c r="AR219" s="149" t="str">
        <f>IFERROR(
AVERAGEIFS(
'New LF Efficacy'!$J:$J,
'New LF Efficacy'!$D:$D,$A219,
'New LF Efficacy'!$F:$F,"Albendazole &amp; Ivermectin", 
'New LF Efficacy'!$W:$W,"&lt;2016",
'New LF Efficacy'!$AA:$AA,""),"")</f>
        <v/>
      </c>
      <c r="AS219" s="115">
        <f t="shared" si="13"/>
        <v>0.2943125</v>
      </c>
      <c r="AT219" s="442">
        <f>IFERROR(AVERAGEIFS(
'Schist Efficacy'!$O:$O, 
'Schist Efficacy'!$C:$C,$A219, 
'Schist Efficacy'!$D:$D, "Praziquantel",
'Schist Efficacy'!$J:$J,"&lt;2016",
'Schist Efficacy'!$U:$U,""),
"")</f>
        <v>0.57</v>
      </c>
      <c r="AU219" s="118">
        <f t="shared" si="14"/>
        <v>0.57</v>
      </c>
      <c r="AV219" s="131" t="str">
        <f>IFERROR(AVERAGEIFS(
'STH Efficacy'!$AX:$AX, 
'STH Efficacy'!$AL:$AL, $A219, 
'STH Efficacy'!$AM:$AM, "Albendazole",
'STH Efficacy'!$AS:$AS,"&lt;2016",
'STH Efficacy'!$BP:$BP,""),
"")</f>
        <v/>
      </c>
      <c r="AW219" s="132">
        <f t="shared" si="15"/>
        <v>0.3816333333</v>
      </c>
      <c r="AX219" s="131" t="str">
        <f>IFERROR(AVERAGEIFS(
'STH Efficacy'!$AX:$AX, 
'STH Efficacy'!$AL:$AL, $A219, 
'STH Efficacy'!$AM:$AM, "Mebendazole",
'STH Efficacy'!$AS:$AS,"&lt;2016",
'STH Efficacy'!$BP:$BP,""),
"")</f>
        <v/>
      </c>
      <c r="AY219" s="132">
        <f t="shared" si="16"/>
        <v>0.4859375</v>
      </c>
      <c r="AZ219" s="131" t="str">
        <f>IFERROR(AVERAGEIFS(
'STH Efficacy'!$AX:$AX, 
'STH Efficacy'!$AL:$AL, $A219, 
'STH Efficacy'!$AM:$AM, "Albendazole &amp; Ivermectin",
'STH Efficacy'!$AS:$AS,"&lt;2016",
'STH Efficacy'!$BP:$BP,""),
"")</f>
        <v/>
      </c>
      <c r="BA219" s="133">
        <f t="shared" si="17"/>
        <v>0.47175</v>
      </c>
      <c r="BB219" s="443" t="str">
        <f>IFERROR(AVERAGEIFS(
'STH Efficacy'!$N:$N, 
'STH Efficacy'!$B:$B, $A219, 
'STH Efficacy'!$C:$C, "Albendazole",
'STH Efficacy'!$I:$I,"&lt;2016",
'STH Efficacy'!$AH:$AH,""),
"")</f>
        <v/>
      </c>
      <c r="BC219" s="135">
        <f t="shared" si="18"/>
        <v>0.8699166667</v>
      </c>
      <c r="BD219" s="443" t="str">
        <f>IFERROR(AVERAGEIFS(
'STH Efficacy'!$N:$N, 
'STH Efficacy'!$B:$B, $A219, 
'STH Efficacy'!$C:$C, "Mebendazole",
'STH Efficacy'!$I:$I,"&lt;2016",
'STH Efficacy'!$AH:$AH,""),
"")</f>
        <v/>
      </c>
      <c r="BE219" s="135">
        <f t="shared" si="19"/>
        <v>0.7092416667</v>
      </c>
      <c r="BF219" s="436" t="str">
        <f>IFERROR(AVERAGEIFS(
'STH Efficacy'!$CD:$CD, 
'STH Efficacy'!$BS:$BS, $A219, 
'STH Efficacy'!$BT:$BT, "Albendazole",
'STH Efficacy'!$BZ:$BZ,"&lt;2016",
'STH Efficacy'!$CU:$CU,""),
"")</f>
        <v/>
      </c>
      <c r="BG219" s="136">
        <f t="shared" si="20"/>
        <v>0.9066666667</v>
      </c>
      <c r="BH219" s="436" t="str">
        <f>IFERROR(AVERAGEIFS(
'STH Efficacy'!$CD:$CD, 
'STH Efficacy'!$BS:$BS, $A219, 
'STH Efficacy'!$BT:$BT, "Mebendazole",
'STH Efficacy'!$BZ:$BZ,"&lt;2016",
'STH Efficacy'!$CU:$CU,""),
"")</f>
        <v/>
      </c>
      <c r="BI219" s="136">
        <f t="shared" si="21"/>
        <v>0.8483333333</v>
      </c>
      <c r="BJ219" s="436" t="str">
        <f>IFERROR(AVERAGEIFS(
'STH Efficacy'!$CD:$CD, 
'STH Efficacy'!$BS:$BS, $A219, 
'STH Efficacy'!$BT:$BT, "Albendazole &amp; Ivermectin",
'STH Efficacy'!$BZ:$BZ,"&lt;2016",
'STH Efficacy'!$CU:$CU,""),
"")</f>
        <v/>
      </c>
      <c r="BK219" s="136">
        <f t="shared" si="22"/>
        <v>0.696</v>
      </c>
      <c r="BL219" s="444" t="str">
        <f>IFERROR(
  AVERAGEIFS(
    'NEW Onchocerciasis Efficacy'!$AO:$AO,
    'NEW Onchocerciasis Efficacy'!$C:$C,$A219,
    'NEW Onchocerciasis Efficacy'!$D:$D,"Ivermectin",
    'NEW Onchocerciasis Efficacy'!$AR:$AR,"&lt;2016",
    'NEW Onchocerciasis Efficacy'!$BG:$BG,"")
,"")</f>
        <v/>
      </c>
      <c r="BM219" s="304">
        <f t="shared" si="23"/>
        <v>0.8390421645</v>
      </c>
      <c r="BN219" s="439">
        <v>1.0</v>
      </c>
      <c r="BO219" s="139">
        <v>1.0</v>
      </c>
      <c r="BP219" s="140">
        <v>1.0</v>
      </c>
      <c r="BQ219" s="141">
        <f t="shared" si="24"/>
        <v>0</v>
      </c>
      <c r="BR219" s="104" t="str">
        <f t="shared" si="25"/>
        <v>1110</v>
      </c>
      <c r="BS219" s="104" t="str">
        <f t="shared" si="26"/>
        <v>MDA1+T2</v>
      </c>
      <c r="BT219" s="142" t="str">
        <f t="shared" si="43"/>
        <v>IVM+ALB</v>
      </c>
      <c r="BU219" s="104" t="str">
        <f t="shared" si="28"/>
        <v>PZQ</v>
      </c>
      <c r="BV219" s="104" t="str">
        <f t="shared" si="29"/>
        <v>lf+onch+schist </v>
      </c>
      <c r="BW219" s="150" t="str">
        <f t="shared" si="30"/>
        <v/>
      </c>
      <c r="BX219" s="312">
        <f t="shared" si="31"/>
        <v>1770.683539</v>
      </c>
      <c r="BY219" s="162">
        <f t="shared" si="32"/>
        <v>3665.752187</v>
      </c>
      <c r="BZ219" s="152" t="str">
        <f t="shared" si="33"/>
        <v/>
      </c>
      <c r="CA219" s="152" t="str">
        <f t="shared" si="34"/>
        <v/>
      </c>
      <c r="CB219" s="152" t="str">
        <f t="shared" si="35"/>
        <v/>
      </c>
      <c r="CC219" s="153" t="str">
        <f t="shared" si="36"/>
        <v/>
      </c>
      <c r="CD219" s="153" t="str">
        <f t="shared" si="37"/>
        <v/>
      </c>
      <c r="CE219" s="154" t="str">
        <f t="shared" si="38"/>
        <v/>
      </c>
      <c r="CF219" s="154" t="str">
        <f t="shared" si="39"/>
        <v/>
      </c>
      <c r="CG219" s="154" t="str">
        <f t="shared" si="40"/>
        <v/>
      </c>
      <c r="CH219" s="313">
        <f t="shared" si="41"/>
        <v>0</v>
      </c>
    </row>
    <row r="220">
      <c r="A220" s="181" t="s">
        <v>309</v>
      </c>
      <c r="B220" s="182" t="s">
        <v>92</v>
      </c>
      <c r="C220" s="473">
        <v>1.5777451E7</v>
      </c>
      <c r="D220" s="474">
        <v>67.51</v>
      </c>
      <c r="E220" s="475">
        <v>16419.26172</v>
      </c>
      <c r="F220" s="476">
        <v>486.6296313</v>
      </c>
      <c r="G220" s="331">
        <v>2176.453305</v>
      </c>
      <c r="H220" s="187">
        <v>2663.082936</v>
      </c>
      <c r="I220" s="188">
        <v>3037.60321</v>
      </c>
      <c r="J220" s="188">
        <v>2886.55407</v>
      </c>
      <c r="K220" s="189">
        <v>5924.157278</v>
      </c>
      <c r="L220" s="190">
        <v>647.527193</v>
      </c>
      <c r="M220" s="190">
        <v>204.3933203</v>
      </c>
      <c r="N220" s="190">
        <v>851.9205133</v>
      </c>
      <c r="O220" s="334">
        <v>0.0</v>
      </c>
      <c r="P220" s="193">
        <v>7466576.0</v>
      </c>
      <c r="Q220" s="194"/>
      <c r="R220" s="121">
        <f t="shared" si="4"/>
        <v>0</v>
      </c>
      <c r="S220" s="195">
        <f t="shared" si="5"/>
        <v>0.3345096109</v>
      </c>
      <c r="T220" s="196">
        <v>0.636</v>
      </c>
      <c r="U220" s="196">
        <f t="shared" si="6"/>
        <v>0.636</v>
      </c>
      <c r="V220" s="335">
        <v>0.2555</v>
      </c>
      <c r="W220" s="198">
        <f t="shared" si="7"/>
        <v>0.2555</v>
      </c>
      <c r="X220" s="335">
        <v>0.4838</v>
      </c>
      <c r="Y220" s="198">
        <f t="shared" si="8"/>
        <v>0.4838</v>
      </c>
      <c r="Z220" s="336"/>
      <c r="AA220" s="477"/>
      <c r="AB220" s="478" t="str">
        <f t="shared" si="9"/>
        <v/>
      </c>
      <c r="AC220" s="478">
        <f t="shared" si="10"/>
        <v>0.6375203308</v>
      </c>
      <c r="AD220" s="338">
        <v>1.0E-4</v>
      </c>
      <c r="AE220" s="201">
        <v>0.07</v>
      </c>
      <c r="AF220" s="479">
        <v>0.0481</v>
      </c>
      <c r="AG220" s="339">
        <v>0.0</v>
      </c>
      <c r="AH220" s="339">
        <v>0.306046239</v>
      </c>
      <c r="AI220" s="340">
        <v>0.0</v>
      </c>
      <c r="AJ220" s="340">
        <v>0.183414867</v>
      </c>
      <c r="AK220" s="341">
        <v>0.0</v>
      </c>
      <c r="AL220" s="341">
        <v>0.067011622</v>
      </c>
      <c r="AM220" s="342">
        <v>0.0</v>
      </c>
      <c r="AN220" s="149" t="str">
        <f>IFERROR(
  AVERAGEIFS(
    'New LF Efficacy'!$J:$J,
    'New LF Efficacy'!$D:$D, $A220,
    'New LF Efficacy'!$F:$F,"DEC", 
    'New LF Efficacy'!$W:$W,"&lt;2016",
    'New LF Efficacy'!$AA:$AA,""),
  ""
)</f>
        <v/>
      </c>
      <c r="AO220" s="115">
        <f t="shared" si="11"/>
        <v>0.31225</v>
      </c>
      <c r="AP220" s="149" t="str">
        <f>IFERROR(
AVERAGEIFS(
'New LF Efficacy'!$J:$J,
'New LF Efficacy'!$D:$D,$A220,
'New LF Efficacy'!$F:$F,"Albendazole &amp; DEC",
'New LF Efficacy'!$W:$W,"&lt;2016",
'New LF Efficacy'!$AA:$AA,""),
"")
</f>
        <v/>
      </c>
      <c r="AQ220" s="115">
        <f t="shared" si="12"/>
        <v>0.4</v>
      </c>
      <c r="AR220" s="149" t="str">
        <f>IFERROR(
AVERAGEIFS(
'New LF Efficacy'!$J:$J,
'New LF Efficacy'!$D:$D,$A220,
'New LF Efficacy'!$F:$F,"Albendazole &amp; Ivermectin", 
'New LF Efficacy'!$W:$W,"&lt;2016",
'New LF Efficacy'!$AA:$AA,""),"")</f>
        <v/>
      </c>
      <c r="AS220" s="115">
        <f t="shared" si="13"/>
        <v>0.2943125</v>
      </c>
      <c r="AT220" s="442">
        <f>IFERROR(AVERAGEIFS(
'Schist Efficacy'!$O:$O, 
'Schist Efficacy'!$C:$C,$A220, 
'Schist Efficacy'!$D:$D, "Praziquantel",
'Schist Efficacy'!$J:$J,"&lt;2016",
'Schist Efficacy'!$U:$U,""),
"")</f>
        <v>0.4938333333</v>
      </c>
      <c r="AU220" s="118">
        <f t="shared" si="14"/>
        <v>0.4938333333</v>
      </c>
      <c r="AV220" s="131" t="str">
        <f>IFERROR(AVERAGEIFS(
'STH Efficacy'!$AX:$AX, 
'STH Efficacy'!$AL:$AL, $A220, 
'STH Efficacy'!$AM:$AM, "Albendazole",
'STH Efficacy'!$AS:$AS,"&lt;2016",
'STH Efficacy'!$BP:$BP,""),
"")</f>
        <v/>
      </c>
      <c r="AW220" s="132">
        <f t="shared" si="15"/>
        <v>0.3816333333</v>
      </c>
      <c r="AX220" s="131" t="str">
        <f>IFERROR(AVERAGEIFS(
'STH Efficacy'!$AX:$AX, 
'STH Efficacy'!$AL:$AL, $A220, 
'STH Efficacy'!$AM:$AM, "Mebendazole",
'STH Efficacy'!$AS:$AS,"&lt;2016",
'STH Efficacy'!$BP:$BP,""),
"")</f>
        <v/>
      </c>
      <c r="AY220" s="132">
        <f t="shared" si="16"/>
        <v>0.4859375</v>
      </c>
      <c r="AZ220" s="131" t="str">
        <f>IFERROR(AVERAGEIFS(
'STH Efficacy'!$AX:$AX, 
'STH Efficacy'!$AL:$AL, $A220, 
'STH Efficacy'!$AM:$AM, "Albendazole &amp; Ivermectin",
'STH Efficacy'!$AS:$AS,"&lt;2016",
'STH Efficacy'!$BP:$BP,""),
"")</f>
        <v/>
      </c>
      <c r="BA220" s="133">
        <f t="shared" si="17"/>
        <v>0.47175</v>
      </c>
      <c r="BB220" s="443" t="str">
        <f>IFERROR(AVERAGEIFS(
'STH Efficacy'!$N:$N, 
'STH Efficacy'!$B:$B, $A220, 
'STH Efficacy'!$C:$C, "Albendazole",
'STH Efficacy'!$I:$I,"&lt;2016",
'STH Efficacy'!$AH:$AH,""),
"")</f>
        <v/>
      </c>
      <c r="BC220" s="135">
        <f t="shared" si="18"/>
        <v>0.8699166667</v>
      </c>
      <c r="BD220" s="443" t="str">
        <f>IFERROR(AVERAGEIFS(
'STH Efficacy'!$N:$N, 
'STH Efficacy'!$B:$B, $A220, 
'STH Efficacy'!$C:$C, "Mebendazole",
'STH Efficacy'!$I:$I,"&lt;2016",
'STH Efficacy'!$AH:$AH,""),
"")</f>
        <v/>
      </c>
      <c r="BE220" s="135">
        <f t="shared" si="19"/>
        <v>0.7092416667</v>
      </c>
      <c r="BF220" s="436" t="str">
        <f>IFERROR(AVERAGEIFS(
'STH Efficacy'!$CD:$CD, 
'STH Efficacy'!$BS:$BS, $A220, 
'STH Efficacy'!$BT:$BT, "Albendazole",
'STH Efficacy'!$BZ:$BZ,"&lt;2016",
'STH Efficacy'!$CU:$CU,""),
"")</f>
        <v/>
      </c>
      <c r="BG220" s="136">
        <f t="shared" si="20"/>
        <v>0.9066666667</v>
      </c>
      <c r="BH220" s="436" t="str">
        <f>IFERROR(AVERAGEIFS(
'STH Efficacy'!$CD:$CD, 
'STH Efficacy'!$BS:$BS, $A220, 
'STH Efficacy'!$BT:$BT, "Mebendazole",
'STH Efficacy'!$BZ:$BZ,"&lt;2016",
'STH Efficacy'!$CU:$CU,""),
"")</f>
        <v/>
      </c>
      <c r="BI220" s="136">
        <f t="shared" si="21"/>
        <v>0.8483333333</v>
      </c>
      <c r="BJ220" s="436" t="str">
        <f>IFERROR(AVERAGEIFS(
'STH Efficacy'!$CD:$CD, 
'STH Efficacy'!$BS:$BS, $A220, 
'STH Efficacy'!$BT:$BT, "Albendazole &amp; Ivermectin",
'STH Efficacy'!$BZ:$BZ,"&lt;2016",
'STH Efficacy'!$CU:$CU,""),
"")</f>
        <v/>
      </c>
      <c r="BK220" s="136">
        <f t="shared" si="22"/>
        <v>0.696</v>
      </c>
      <c r="BL220" s="444" t="str">
        <f>IFERROR(
  AVERAGEIFS(
    'NEW Onchocerciasis Efficacy'!$AO:$AO,
    'NEW Onchocerciasis Efficacy'!$C:$C,$A220,
    'NEW Onchocerciasis Efficacy'!$D:$D,"Ivermectin",
    'NEW Onchocerciasis Efficacy'!$AR:$AR,"&lt;2016",
    'NEW Onchocerciasis Efficacy'!$BG:$BG,"")
,"")</f>
        <v/>
      </c>
      <c r="BM220" s="304">
        <f t="shared" si="23"/>
        <v>0.8390421645</v>
      </c>
      <c r="BN220" s="480">
        <v>1.0</v>
      </c>
      <c r="BO220" s="209">
        <v>1.0</v>
      </c>
      <c r="BP220" s="210">
        <v>1.0</v>
      </c>
      <c r="BQ220" s="211">
        <f t="shared" si="24"/>
        <v>0</v>
      </c>
      <c r="BR220" s="182" t="str">
        <f t="shared" si="25"/>
        <v>1110</v>
      </c>
      <c r="BS220" s="182" t="str">
        <f t="shared" si="26"/>
        <v>MDA1+T2</v>
      </c>
      <c r="BT220" s="212" t="str">
        <f t="shared" si="43"/>
        <v>IVM+ALB</v>
      </c>
      <c r="BU220" s="104" t="str">
        <f t="shared" si="28"/>
        <v>PZQ</v>
      </c>
      <c r="BV220" s="182" t="str">
        <f t="shared" si="29"/>
        <v>lf+onch+schist </v>
      </c>
      <c r="BW220" s="150" t="str">
        <f t="shared" si="30"/>
        <v/>
      </c>
      <c r="BX220" s="312">
        <f t="shared" si="31"/>
        <v>7.372177302</v>
      </c>
      <c r="BY220" s="162">
        <f t="shared" si="32"/>
        <v>7518.243886</v>
      </c>
      <c r="BZ220" s="152" t="str">
        <f t="shared" si="33"/>
        <v/>
      </c>
      <c r="CA220" s="152" t="str">
        <f t="shared" si="34"/>
        <v/>
      </c>
      <c r="CB220" s="152" t="str">
        <f t="shared" si="35"/>
        <v/>
      </c>
      <c r="CC220" s="153" t="str">
        <f t="shared" si="36"/>
        <v/>
      </c>
      <c r="CD220" s="153" t="str">
        <f t="shared" si="37"/>
        <v/>
      </c>
      <c r="CE220" s="154" t="str">
        <f t="shared" si="38"/>
        <v/>
      </c>
      <c r="CF220" s="154" t="str">
        <f t="shared" si="39"/>
        <v/>
      </c>
      <c r="CG220" s="154" t="str">
        <f t="shared" si="40"/>
        <v/>
      </c>
      <c r="CH220" s="313">
        <f t="shared" si="41"/>
        <v>0</v>
      </c>
    </row>
    <row r="221">
      <c r="A221" s="40"/>
      <c r="B221" s="224"/>
      <c r="C221" s="224"/>
      <c r="D221" s="224"/>
      <c r="E221" s="224">
        <f>sum(E4:E220)</f>
        <v>1906408.977</v>
      </c>
      <c r="F221" s="224"/>
      <c r="G221" s="224"/>
      <c r="H221" s="224"/>
      <c r="I221" s="224"/>
      <c r="J221" s="224"/>
      <c r="K221" s="224"/>
      <c r="L221" s="224"/>
      <c r="M221" s="224"/>
      <c r="N221" s="224"/>
      <c r="O221" s="224"/>
      <c r="P221" s="224"/>
      <c r="Q221" s="224"/>
      <c r="R221" s="224"/>
      <c r="S221" s="224"/>
      <c r="T221" s="224"/>
      <c r="U221" s="224"/>
      <c r="V221" s="224"/>
      <c r="W221" s="224"/>
      <c r="X221" s="224"/>
      <c r="Y221" s="224"/>
      <c r="Z221" s="224"/>
      <c r="AC221" s="224"/>
      <c r="AD221" s="215">
        <f t="shared" ref="AD221:AM221" si="44">average(AD4:AD220)</f>
        <v>0.005106912442</v>
      </c>
      <c r="AE221" s="215">
        <f t="shared" si="44"/>
        <v>0.03405529954</v>
      </c>
      <c r="AF221" s="215">
        <f t="shared" si="44"/>
        <v>0.009832258065</v>
      </c>
      <c r="AG221" s="215">
        <f t="shared" si="44"/>
        <v>0.01947511521</v>
      </c>
      <c r="AH221" s="215">
        <f t="shared" si="44"/>
        <v>0.06072691096</v>
      </c>
      <c r="AI221" s="215">
        <f t="shared" si="44"/>
        <v>0.01560921659</v>
      </c>
      <c r="AJ221" s="215">
        <f t="shared" si="44"/>
        <v>0.0537823636</v>
      </c>
      <c r="AK221" s="215">
        <f t="shared" si="44"/>
        <v>0.02957880184</v>
      </c>
      <c r="AL221" s="215">
        <f t="shared" si="44"/>
        <v>0.07349727172</v>
      </c>
      <c r="AM221" s="215">
        <f t="shared" si="44"/>
        <v>0.002823041475</v>
      </c>
      <c r="AN221" s="224"/>
      <c r="AO221" s="224"/>
      <c r="AP221" s="224"/>
      <c r="AQ221" s="224"/>
      <c r="AR221" s="224"/>
      <c r="AS221" s="224"/>
      <c r="AT221" s="224"/>
      <c r="AU221" s="224"/>
      <c r="AV221" s="224"/>
      <c r="AW221" s="224"/>
      <c r="AX221" s="224"/>
      <c r="AY221" s="224"/>
      <c r="AZ221" s="224"/>
      <c r="BA221" s="224"/>
      <c r="BB221" s="224"/>
      <c r="BC221" s="224"/>
      <c r="BD221" s="224"/>
      <c r="BE221" s="224"/>
      <c r="BF221" s="224"/>
      <c r="BG221" s="224"/>
      <c r="BH221" s="224"/>
      <c r="BI221" s="224"/>
      <c r="BJ221" s="224"/>
      <c r="BK221" s="224"/>
      <c r="BL221" s="224"/>
      <c r="BM221" s="224"/>
      <c r="BN221" s="224"/>
      <c r="BO221" s="224"/>
      <c r="BP221" s="224"/>
      <c r="BQ221" s="344"/>
      <c r="BR221" s="220" t="s">
        <v>311</v>
      </c>
      <c r="BS221" s="221" t="s">
        <v>312</v>
      </c>
      <c r="BT221" s="224"/>
      <c r="BU221" s="104" t="str">
        <f t="shared" si="28"/>
        <v/>
      </c>
      <c r="BV221" s="224" t="s">
        <v>88</v>
      </c>
      <c r="BW221" s="481">
        <f>SUMIF(B4:B220,"EMR",BW4:BW220)</f>
        <v>0</v>
      </c>
      <c r="BX221" s="481">
        <f>SUMIF(B4:B220,"EMR",BX4:BX220)</f>
        <v>724.3612312</v>
      </c>
      <c r="BY221" s="224"/>
      <c r="BZ221" s="481">
        <f>SUMIF(B4:B220,"EMR",BZ4:BZ220)</f>
        <v>0</v>
      </c>
      <c r="CA221" s="481">
        <f>SUMIF(B4:B220,"EMR",CA4:CA220)</f>
        <v>0</v>
      </c>
      <c r="CB221" s="481">
        <f>SUMIF(B4:B220,"EMR",CB4:CB220)</f>
        <v>0</v>
      </c>
      <c r="CC221" s="481">
        <f>SUMIF(B4:B220,"EMR",CC4:CC220)</f>
        <v>0</v>
      </c>
      <c r="CD221" s="481">
        <f>SUMIF(B4:B220,"EMR",CD4:CD220)</f>
        <v>0</v>
      </c>
      <c r="CE221" s="481">
        <f>SUMIF(B4:B220,"EMR",CE4:CE220)</f>
        <v>0</v>
      </c>
      <c r="CF221" s="481">
        <f>SUMIF(B4:B220,"EMR",CF4:CF220)</f>
        <v>0</v>
      </c>
      <c r="CG221" s="481">
        <f>SUMIF(B4:B220,"EMR",CG4:CG220)</f>
        <v>0</v>
      </c>
      <c r="CH221" s="224"/>
    </row>
    <row r="222">
      <c r="A222" s="40"/>
      <c r="B222" s="224"/>
      <c r="C222" s="224"/>
      <c r="D222" s="224"/>
      <c r="E222" s="224"/>
      <c r="F222" s="224"/>
      <c r="G222" s="224"/>
      <c r="H222" s="224"/>
      <c r="I222" s="224"/>
      <c r="J222" s="224"/>
      <c r="K222" s="224"/>
      <c r="L222" s="224"/>
      <c r="M222" s="224"/>
      <c r="N222" s="224"/>
      <c r="O222" s="224"/>
      <c r="P222" s="224"/>
      <c r="Q222" s="224"/>
      <c r="R222" s="224"/>
      <c r="S222" s="224"/>
      <c r="T222" s="224"/>
      <c r="U222" s="224"/>
      <c r="V222" s="224"/>
      <c r="W222" s="224"/>
      <c r="X222" s="224"/>
      <c r="Y222" s="224"/>
      <c r="Z222" s="224"/>
      <c r="AA222" s="224"/>
      <c r="AB222" s="224"/>
      <c r="AC222" s="224"/>
      <c r="AD222" s="224"/>
      <c r="AE222" s="224"/>
      <c r="AF222" s="215"/>
      <c r="AG222" s="224"/>
      <c r="AH222" s="224"/>
      <c r="AI222" s="224"/>
      <c r="AJ222" s="215"/>
      <c r="AK222" s="224"/>
      <c r="AL222" s="215"/>
      <c r="AM222" s="224"/>
      <c r="AN222" s="224"/>
      <c r="AO222" s="224"/>
      <c r="AP222" s="224"/>
      <c r="AQ222" s="224"/>
      <c r="AR222" s="224"/>
      <c r="AS222" s="224"/>
      <c r="AT222" s="224"/>
      <c r="AU222" s="224"/>
      <c r="AV222" s="224"/>
      <c r="AW222" s="224"/>
      <c r="AX222" s="224"/>
      <c r="AY222" s="224"/>
      <c r="AZ222" s="224"/>
      <c r="BA222" s="224"/>
      <c r="BB222" s="224"/>
      <c r="BC222" s="224"/>
      <c r="BD222" s="224"/>
      <c r="BE222" s="224"/>
      <c r="BF222" s="224"/>
      <c r="BG222" s="224"/>
      <c r="BH222" s="224"/>
      <c r="BI222" s="224"/>
      <c r="BJ222" s="224"/>
      <c r="BK222" s="224"/>
      <c r="BL222" s="224"/>
      <c r="BM222" s="224"/>
      <c r="BN222" s="224"/>
      <c r="BO222" s="224"/>
      <c r="BP222" s="224"/>
      <c r="BQ222" s="344"/>
      <c r="BR222" s="220" t="s">
        <v>313</v>
      </c>
      <c r="BS222" s="221" t="s">
        <v>314</v>
      </c>
      <c r="BT222" s="224"/>
      <c r="BU222" s="224"/>
      <c r="BV222" s="224" t="s">
        <v>92</v>
      </c>
      <c r="BW222" s="481">
        <f>SUMIF(B4:B220,"AFR",BW4:BW220)</f>
        <v>174.8756966</v>
      </c>
      <c r="BX222" s="481">
        <f>SUMIF(B4:B220,"AFR",BX4:BX220)</f>
        <v>108225.6914</v>
      </c>
      <c r="BZ222" s="481">
        <f>SUMIF(B4:B220,"AFR",BZ4:BZ220)</f>
        <v>10375.48572</v>
      </c>
      <c r="CA222" s="481">
        <f>SUMIF(B4:B220,"AFR",CA4:CA220)</f>
        <v>3598.594258</v>
      </c>
      <c r="CB222" s="481">
        <f>SUMIF(B4:B220,"AFR",CB4:CB220)</f>
        <v>8992.758533</v>
      </c>
      <c r="CC222" s="481">
        <f>SUMIF(B4:B220,"AFR",CC4:CC220)</f>
        <v>121949.052</v>
      </c>
      <c r="CD222" s="481">
        <f>SUMIF(B4:B220,"AFR",CD4:CD220)</f>
        <v>20336.76663</v>
      </c>
      <c r="CE222" s="481">
        <f>SUMIF(B4:B220,"AFR",CE4:CE220)</f>
        <v>763011.156</v>
      </c>
      <c r="CF222" s="481">
        <f>SUMIF(B4:B220,"AFR",CF4:CF220)</f>
        <v>25080.36376</v>
      </c>
      <c r="CG222" s="481">
        <f>SUMIF(B4:B220,"AFR",CG4:CG220)</f>
        <v>191293.8667</v>
      </c>
      <c r="CH222" s="224"/>
    </row>
    <row r="223">
      <c r="A223" s="40"/>
      <c r="B223" s="345" t="s">
        <v>318</v>
      </c>
      <c r="C223" s="345" t="s">
        <v>374</v>
      </c>
      <c r="D223" s="345" t="s">
        <v>375</v>
      </c>
      <c r="E223" s="224"/>
      <c r="F223" s="224" t="s">
        <v>20</v>
      </c>
      <c r="G223" s="40"/>
      <c r="H223" s="40"/>
      <c r="I223" s="224" t="s">
        <v>18</v>
      </c>
      <c r="J223" s="40"/>
      <c r="K223" s="40"/>
      <c r="L223" s="224" t="s">
        <v>17</v>
      </c>
      <c r="M223" s="40"/>
      <c r="N223" s="40"/>
      <c r="O223" s="224" t="s">
        <v>16</v>
      </c>
      <c r="P223" s="40"/>
      <c r="Q223" s="40"/>
      <c r="R223" s="224" t="s">
        <v>15</v>
      </c>
      <c r="S223" s="40"/>
      <c r="T223" s="40"/>
      <c r="U223" s="224" t="s">
        <v>376</v>
      </c>
      <c r="V223" s="40"/>
      <c r="W223" s="40"/>
      <c r="X223" s="224"/>
      <c r="Y223" s="224"/>
      <c r="Z223" s="224"/>
      <c r="AA223" s="224"/>
      <c r="AB223" s="224"/>
      <c r="AC223" s="224"/>
      <c r="AD223" s="224"/>
      <c r="AE223" s="224"/>
      <c r="AF223" s="215"/>
      <c r="AG223" s="224"/>
      <c r="AH223" s="224"/>
      <c r="AI223" s="224"/>
      <c r="AJ223" s="215"/>
      <c r="AK223" s="224"/>
      <c r="AL223" s="215"/>
      <c r="AM223" s="224"/>
      <c r="AN223" s="224"/>
      <c r="AO223" s="224"/>
      <c r="AP223" s="224"/>
      <c r="AQ223" s="224"/>
      <c r="AR223" s="224"/>
      <c r="AS223" s="224"/>
      <c r="AT223" s="224"/>
      <c r="AU223" s="224"/>
      <c r="AV223" s="224"/>
      <c r="AW223" s="224"/>
      <c r="AX223" s="224"/>
      <c r="AY223" s="224"/>
      <c r="AZ223" s="224"/>
      <c r="BA223" s="224"/>
      <c r="BB223" s="224"/>
      <c r="BC223" s="224"/>
      <c r="BD223" s="224"/>
      <c r="BE223" s="224"/>
      <c r="BF223" s="224"/>
      <c r="BG223" s="224"/>
      <c r="BH223" s="224"/>
      <c r="BI223" s="224"/>
      <c r="BJ223" s="224"/>
      <c r="BK223" s="224"/>
      <c r="BL223" s="224"/>
      <c r="BM223" s="224"/>
      <c r="BN223" s="224"/>
      <c r="BO223" s="224"/>
      <c r="BP223" s="224"/>
      <c r="BQ223" s="344"/>
      <c r="BR223" s="220" t="s">
        <v>316</v>
      </c>
      <c r="BS223" s="221" t="s">
        <v>317</v>
      </c>
      <c r="BT223" s="224"/>
      <c r="BU223" s="224"/>
      <c r="BV223" s="224" t="s">
        <v>94</v>
      </c>
      <c r="BW223" s="481">
        <f>SUMIF(B4:B220,"WPR",BW4:BW220)</f>
        <v>564.377795</v>
      </c>
      <c r="BX223" s="481">
        <f>SUMIF(B4:B220,"WPR",BX4:BX220)</f>
        <v>8107.326118</v>
      </c>
      <c r="BY223" s="40"/>
      <c r="BZ223" s="481">
        <f>SUMIF(B4:B220,"WPR",BZ4:BZ220)</f>
        <v>180.1737205</v>
      </c>
      <c r="CA223" s="481">
        <f>SUMIF(B4:B220,"WPR",CA4:CA220)</f>
        <v>4.013523623</v>
      </c>
      <c r="CB223" s="481">
        <f>SUMIF(B4:B220,"WPR",CB4:CB220)</f>
        <v>415.780441</v>
      </c>
      <c r="CC223" s="481">
        <f>SUMIF(B4:B220,"WPR",CC4:CC220)</f>
        <v>3038.931917</v>
      </c>
      <c r="CD223" s="481">
        <f>SUMIF(B4:B220,"WPR",CD4:CD220)</f>
        <v>22.62271288</v>
      </c>
      <c r="CE223" s="481">
        <f>SUMIF(B4:B220,"WPR",CE4:CE220)</f>
        <v>9649.888121</v>
      </c>
      <c r="CF223" s="481">
        <f>SUMIF(B4:B220,"WPR",CF4:CF220)</f>
        <v>96.61667697</v>
      </c>
      <c r="CG223" s="481">
        <f>SUMIF(B4:B220,"WPR",CG4:CG220)</f>
        <v>7016.82782</v>
      </c>
      <c r="CH223" s="224"/>
    </row>
    <row r="224">
      <c r="A224" s="40"/>
      <c r="B224" s="345" t="s">
        <v>323</v>
      </c>
      <c r="C224" s="345" t="s">
        <v>324</v>
      </c>
      <c r="D224" s="230">
        <f>(BX3+CB3+CG3)/2</f>
        <v>245422.7999</v>
      </c>
      <c r="E224" s="224"/>
      <c r="F224" s="40" t="s">
        <v>318</v>
      </c>
      <c r="G224" s="40" t="s">
        <v>374</v>
      </c>
      <c r="H224" s="40" t="s">
        <v>375</v>
      </c>
      <c r="I224" s="40" t="s">
        <v>318</v>
      </c>
      <c r="J224" s="40" t="s">
        <v>374</v>
      </c>
      <c r="K224" s="40" t="s">
        <v>375</v>
      </c>
      <c r="L224" s="40" t="s">
        <v>318</v>
      </c>
      <c r="M224" s="40" t="s">
        <v>374</v>
      </c>
      <c r="N224" s="40" t="s">
        <v>375</v>
      </c>
      <c r="O224" s="40" t="s">
        <v>318</v>
      </c>
      <c r="P224" s="40" t="s">
        <v>374</v>
      </c>
      <c r="Q224" s="40" t="s">
        <v>375</v>
      </c>
      <c r="R224" s="40" t="s">
        <v>318</v>
      </c>
      <c r="S224" s="40" t="s">
        <v>374</v>
      </c>
      <c r="T224" s="40" t="s">
        <v>375</v>
      </c>
      <c r="U224" s="40" t="s">
        <v>318</v>
      </c>
      <c r="V224" s="40" t="s">
        <v>374</v>
      </c>
      <c r="W224" s="40" t="s">
        <v>375</v>
      </c>
      <c r="X224" s="224"/>
      <c r="Y224" s="224"/>
      <c r="Z224" s="224"/>
      <c r="AA224" s="224"/>
      <c r="AB224" s="224"/>
      <c r="AC224" s="224"/>
      <c r="AD224" s="224"/>
      <c r="AE224" s="224"/>
      <c r="AF224" s="215"/>
      <c r="AG224" s="224"/>
      <c r="AH224" s="224"/>
      <c r="AI224" s="224"/>
      <c r="AJ224" s="215"/>
      <c r="AK224" s="224"/>
      <c r="AL224" s="215"/>
      <c r="AM224" s="224"/>
      <c r="AN224" s="224"/>
      <c r="AO224" s="224"/>
      <c r="AP224" s="224"/>
      <c r="AQ224" s="224"/>
      <c r="AR224" s="224"/>
      <c r="AS224" s="224"/>
      <c r="AT224" s="224"/>
      <c r="AU224" s="224"/>
      <c r="AV224" s="224"/>
      <c r="AW224" s="224"/>
      <c r="AX224" s="224"/>
      <c r="AY224" s="224"/>
      <c r="AZ224" s="224"/>
      <c r="BA224" s="224"/>
      <c r="BB224" s="224"/>
      <c r="BC224" s="224"/>
      <c r="BD224" s="224"/>
      <c r="BE224" s="224"/>
      <c r="BF224" s="224"/>
      <c r="BG224" s="224"/>
      <c r="BH224" s="224"/>
      <c r="BI224" s="224"/>
      <c r="BJ224" s="224"/>
      <c r="BK224" s="224"/>
      <c r="BL224" s="224"/>
      <c r="BM224" s="224"/>
      <c r="BN224" s="224"/>
      <c r="BO224" s="224"/>
      <c r="BP224" s="224"/>
      <c r="BQ224" s="344"/>
      <c r="BR224" s="220" t="s">
        <v>319</v>
      </c>
      <c r="BS224" s="221" t="s">
        <v>320</v>
      </c>
      <c r="BT224" s="224"/>
      <c r="BU224" s="224"/>
      <c r="BV224" s="224" t="s">
        <v>98</v>
      </c>
      <c r="BW224" s="481">
        <f>SUMIF(B4:B220,"AMR",BW4:BW220)</f>
        <v>1873.869472</v>
      </c>
      <c r="BX224" s="481">
        <f>SUMIF(B4:B220,"AMR",BX4:BX220)</f>
        <v>18106.67829</v>
      </c>
      <c r="BY224" s="232"/>
      <c r="BZ224" s="481">
        <f>SUMIF(B4:B220,"AMR",BZ4:BZ220)</f>
        <v>1507.89461</v>
      </c>
      <c r="CA224" s="481">
        <f>SUMIF(B4:B220,"AMR",CA4:CA220)</f>
        <v>2886.965107</v>
      </c>
      <c r="CB224" s="481">
        <f>SUMIF(B4:B220,"AMR",CB4:CB220)</f>
        <v>0</v>
      </c>
      <c r="CC224" s="481">
        <f>SUMIF(B4:B220,"AMR",CC4:CC220)</f>
        <v>2987.113059</v>
      </c>
      <c r="CD224" s="481">
        <f>SUMIF(B4:B220,"AMR",CD4:CD220)</f>
        <v>315.5595513</v>
      </c>
      <c r="CE224" s="481">
        <f>SUMIF(B4:B220,"AMR",CE4:CE220)</f>
        <v>7860.540992</v>
      </c>
      <c r="CF224" s="481">
        <f>SUMIF(B4:B220,"AMR",CF4:CF220)</f>
        <v>4089.826182</v>
      </c>
      <c r="CG224" s="481">
        <f>SUMIF(B4:B220,"AMR",CG4:CG220)</f>
        <v>0</v>
      </c>
      <c r="CH224" s="224"/>
    </row>
    <row r="225">
      <c r="A225" s="40"/>
      <c r="B225" s="345" t="s">
        <v>2</v>
      </c>
      <c r="C225" s="345" t="s">
        <v>66</v>
      </c>
      <c r="D225" s="230">
        <f>BY3</f>
        <v>1116972.084</v>
      </c>
      <c r="E225" s="224"/>
      <c r="F225" s="40" t="s">
        <v>4</v>
      </c>
      <c r="G225" s="40" t="s">
        <v>80</v>
      </c>
      <c r="H225" s="40">
        <f>($BW$3+$BX$3)/2</f>
        <v>105078.7347</v>
      </c>
      <c r="I225" s="40" t="s">
        <v>2</v>
      </c>
      <c r="J225" s="40" t="s">
        <v>66</v>
      </c>
      <c r="K225" s="346">
        <f>$BY$3</f>
        <v>1116972.084</v>
      </c>
      <c r="L225" s="40" t="s">
        <v>4</v>
      </c>
      <c r="M225" s="40" t="s">
        <v>80</v>
      </c>
      <c r="N225" s="346">
        <f>$BZ$3+$CB$3/2</f>
        <v>28839.99318</v>
      </c>
      <c r="O225" s="40" t="s">
        <v>4</v>
      </c>
      <c r="P225" s="40" t="s">
        <v>80</v>
      </c>
      <c r="Q225" s="346">
        <f>$CC$3</f>
        <v>174148.653</v>
      </c>
      <c r="R225" s="40" t="s">
        <v>4</v>
      </c>
      <c r="S225" s="40" t="s">
        <v>80</v>
      </c>
      <c r="T225" s="346">
        <f>$CE$3+$CG$3/2</f>
        <v>1006022.482</v>
      </c>
      <c r="U225" s="224" t="s">
        <v>323</v>
      </c>
      <c r="V225" s="40" t="s">
        <v>324</v>
      </c>
      <c r="W225" s="346">
        <f>$CH$3</f>
        <v>32691.21203</v>
      </c>
      <c r="X225" s="224"/>
      <c r="Y225" s="224"/>
      <c r="Z225" s="224"/>
      <c r="AA225" s="224"/>
      <c r="AB225" s="224"/>
      <c r="AC225" s="224"/>
      <c r="AD225" s="224"/>
      <c r="AE225" s="224"/>
      <c r="AF225" s="215"/>
      <c r="AG225" s="224"/>
      <c r="AH225" s="224"/>
      <c r="AI225" s="224"/>
      <c r="AJ225" s="215"/>
      <c r="AK225" s="224"/>
      <c r="AL225" s="215"/>
      <c r="AM225" s="224"/>
      <c r="AN225" s="224"/>
      <c r="AO225" s="224"/>
      <c r="AP225" s="224"/>
      <c r="AQ225" s="224"/>
      <c r="AR225" s="224"/>
      <c r="AS225" s="224"/>
      <c r="AT225" s="224"/>
      <c r="AU225" s="224"/>
      <c r="AV225" s="224"/>
      <c r="AW225" s="224"/>
      <c r="AX225" s="224"/>
      <c r="AY225" s="224"/>
      <c r="AZ225" s="224"/>
      <c r="BA225" s="224"/>
      <c r="BB225" s="224"/>
      <c r="BC225" s="224"/>
      <c r="BD225" s="224"/>
      <c r="BE225" s="224"/>
      <c r="BF225" s="224"/>
      <c r="BG225" s="224"/>
      <c r="BH225" s="224"/>
      <c r="BI225" s="224"/>
      <c r="BJ225" s="224"/>
      <c r="BK225" s="224"/>
      <c r="BL225" s="224"/>
      <c r="BM225" s="224"/>
      <c r="BN225" s="224"/>
      <c r="BO225" s="224"/>
      <c r="BP225" s="224"/>
      <c r="BQ225" s="344"/>
      <c r="BR225" s="220" t="s">
        <v>328</v>
      </c>
      <c r="BS225" s="221" t="s">
        <v>329</v>
      </c>
      <c r="BT225" s="224"/>
      <c r="BU225" s="224"/>
      <c r="BV225" s="224" t="s">
        <v>90</v>
      </c>
      <c r="BW225" s="481">
        <f>SUMIF(B4:B220,"EUR",BW4:BW220)</f>
        <v>0</v>
      </c>
      <c r="BX225" s="481">
        <f>SUMIF(B4:B220,"EUR",BX4:BX220)</f>
        <v>0</v>
      </c>
      <c r="BY225" s="232"/>
      <c r="BZ225" s="481">
        <f>SUMIF(B4:B220,"EUR",BZ4:BZ220)</f>
        <v>0</v>
      </c>
      <c r="CA225" s="481">
        <f>SUMIF(B4:B220,"EUR",CA4:CA220)</f>
        <v>0</v>
      </c>
      <c r="CB225" s="481">
        <f>SUMIF(B4:B220,"EUR",CB4:CB220)</f>
        <v>0</v>
      </c>
      <c r="CC225" s="481">
        <f>SUMIF(B4:B220,"EUR",CC4:CC220)</f>
        <v>0</v>
      </c>
      <c r="CD225" s="481">
        <f>SUMIF(B4:B220,"EUR",CD4:CD220)</f>
        <v>0</v>
      </c>
      <c r="CE225" s="481">
        <f>SUMIF(B4:B220,"EUR",CE4:CE220)</f>
        <v>0</v>
      </c>
      <c r="CF225" s="481">
        <f>SUMIF(B4:B220,"EUR",CF4:CF220)</f>
        <v>0</v>
      </c>
      <c r="CG225" s="481">
        <f>SUMIF(B4:B220,"EUR",CG4:CG220)</f>
        <v>0</v>
      </c>
      <c r="CH225" s="224"/>
    </row>
    <row r="226">
      <c r="A226" s="40"/>
      <c r="B226" s="345" t="s">
        <v>321</v>
      </c>
      <c r="C226" s="345" t="s">
        <v>322</v>
      </c>
      <c r="D226" s="230">
        <f>BW3/2</f>
        <v>12524.48965</v>
      </c>
      <c r="E226" s="224"/>
      <c r="F226" s="40" t="s">
        <v>321</v>
      </c>
      <c r="G226" s="40" t="s">
        <v>322</v>
      </c>
      <c r="H226" s="40">
        <f>$BW$3/2</f>
        <v>12524.48965</v>
      </c>
      <c r="I226" s="40"/>
      <c r="J226" s="40"/>
      <c r="K226" s="40"/>
      <c r="L226" s="224" t="s">
        <v>323</v>
      </c>
      <c r="M226" s="40" t="s">
        <v>324</v>
      </c>
      <c r="N226" s="482">
        <f>$CB$3/2</f>
        <v>9404.611593</v>
      </c>
      <c r="O226" s="40" t="s">
        <v>5</v>
      </c>
      <c r="P226" s="40" t="s">
        <v>325</v>
      </c>
      <c r="Q226" s="346">
        <f>$CD$3</f>
        <v>20674.9489</v>
      </c>
      <c r="R226" s="224" t="s">
        <v>323</v>
      </c>
      <c r="S226" s="40" t="s">
        <v>324</v>
      </c>
      <c r="T226" s="482">
        <f>$CG$3/2</f>
        <v>143463.9433</v>
      </c>
      <c r="U226" s="40"/>
      <c r="V226" s="40"/>
      <c r="W226" s="40"/>
      <c r="X226" s="224"/>
      <c r="Y226" s="224"/>
      <c r="Z226" s="224"/>
      <c r="AA226" s="224"/>
      <c r="AB226" s="224"/>
      <c r="AC226" s="224"/>
      <c r="AD226" s="224"/>
      <c r="AE226" s="224"/>
      <c r="AF226" s="215"/>
      <c r="AG226" s="224"/>
      <c r="AH226" s="224"/>
      <c r="AI226" s="224"/>
      <c r="AJ226" s="215"/>
      <c r="AK226" s="224"/>
      <c r="AL226" s="215"/>
      <c r="AM226" s="224"/>
      <c r="AN226" s="224"/>
      <c r="AO226" s="224"/>
      <c r="AP226" s="224"/>
      <c r="AQ226" s="224"/>
      <c r="AR226" s="224"/>
      <c r="AS226" s="224"/>
      <c r="AT226" s="224"/>
      <c r="AU226" s="224"/>
      <c r="AV226" s="224"/>
      <c r="AW226" s="224"/>
      <c r="AX226" s="224"/>
      <c r="AY226" s="224"/>
      <c r="AZ226" s="224"/>
      <c r="BA226" s="224"/>
      <c r="BB226" s="224"/>
      <c r="BC226" s="224"/>
      <c r="BD226" s="224"/>
      <c r="BE226" s="224"/>
      <c r="BF226" s="224"/>
      <c r="BG226" s="224"/>
      <c r="BH226" s="224"/>
      <c r="BI226" s="224"/>
      <c r="BJ226" s="224"/>
      <c r="BK226" s="224"/>
      <c r="BL226" s="224"/>
      <c r="BM226" s="224"/>
      <c r="BN226" s="224"/>
      <c r="BO226" s="224"/>
      <c r="BP226" s="224"/>
      <c r="BQ226" s="344"/>
      <c r="BR226" s="220" t="s">
        <v>326</v>
      </c>
      <c r="BS226" s="221" t="s">
        <v>327</v>
      </c>
      <c r="BT226" s="224"/>
      <c r="BU226" s="224"/>
      <c r="BV226" s="224" t="s">
        <v>109</v>
      </c>
      <c r="BW226" s="481">
        <f>SUMIF(B4:B220,"SEA",BW4:BW220)</f>
        <v>22435.85634</v>
      </c>
      <c r="BX226" s="481">
        <f>SUMIF(B4:B220,"SEA",BX4:BX220)</f>
        <v>49944.43307</v>
      </c>
      <c r="BY226" s="232"/>
      <c r="BZ226" s="481">
        <f>SUMIF(B4:B220,"SEA",BZ4:BZ220)</f>
        <v>7371.827533</v>
      </c>
      <c r="CA226" s="481">
        <f>SUMIF(B4:B220,"SEA",CA4:CA220)</f>
        <v>0</v>
      </c>
      <c r="CB226" s="481">
        <f>SUMIF(B4:B220,"SEA",CB4:CB220)</f>
        <v>9400.684211</v>
      </c>
      <c r="CC226" s="481">
        <f>SUMIF(B4:B220,"SEA",CC4:CC220)</f>
        <v>46173.55604</v>
      </c>
      <c r="CD226" s="481">
        <f>SUMIF(B4:B220,"SEA",CD4:CD220)</f>
        <v>0</v>
      </c>
      <c r="CE226" s="481">
        <f>SUMIF(B4:B220,"SEA",CE4:CE220)</f>
        <v>82036.95389</v>
      </c>
      <c r="CF226" s="481">
        <f>SUMIF(B4:B220,"SEA",CF4:CF220)</f>
        <v>0</v>
      </c>
      <c r="CG226" s="481">
        <f>SUMIF(B4:B220,"SEA",CG4:CG220)</f>
        <v>88617.19198</v>
      </c>
      <c r="CH226" s="224"/>
    </row>
    <row r="227">
      <c r="A227" s="40"/>
      <c r="B227" s="345" t="s">
        <v>4</v>
      </c>
      <c r="C227" s="345" t="s">
        <v>80</v>
      </c>
      <c r="D227" s="230">
        <f>BW3/2+BX3/2+BZ3+CB3/2+CC3+CE3+CG3/2</f>
        <v>1314089.863</v>
      </c>
      <c r="E227" s="224"/>
      <c r="F227" s="224" t="s">
        <v>323</v>
      </c>
      <c r="G227" s="40" t="s">
        <v>324</v>
      </c>
      <c r="H227" s="40">
        <f>$BX$3/2</f>
        <v>92554.24504</v>
      </c>
      <c r="I227" s="40"/>
      <c r="J227" s="40"/>
      <c r="K227" s="40"/>
      <c r="L227" s="40" t="s">
        <v>5</v>
      </c>
      <c r="M227" s="40" t="s">
        <v>325</v>
      </c>
      <c r="N227" s="346">
        <f>$CA$3</f>
        <v>6489.572889</v>
      </c>
      <c r="O227" s="40"/>
      <c r="P227" s="40"/>
      <c r="Q227" s="40"/>
      <c r="R227" s="40" t="s">
        <v>5</v>
      </c>
      <c r="S227" s="40" t="s">
        <v>325</v>
      </c>
      <c r="T227" s="346">
        <f>$CF$3</f>
        <v>29266.80661</v>
      </c>
      <c r="U227" s="40"/>
      <c r="V227" s="40"/>
      <c r="W227" s="40"/>
      <c r="X227" s="224"/>
      <c r="Y227" s="224"/>
      <c r="Z227" s="224"/>
      <c r="AA227" s="224"/>
      <c r="AB227" s="224"/>
      <c r="AC227" s="224"/>
      <c r="AD227" s="224"/>
      <c r="AE227" s="224"/>
      <c r="AF227" s="215"/>
      <c r="AG227" s="224"/>
      <c r="AH227" s="224"/>
      <c r="AI227" s="224"/>
      <c r="AJ227" s="215"/>
      <c r="AK227" s="224"/>
      <c r="AL227" s="215"/>
      <c r="AM227" s="224"/>
      <c r="AN227" s="224"/>
      <c r="AO227" s="224"/>
      <c r="AP227" s="224"/>
      <c r="AQ227" s="224"/>
      <c r="AR227" s="224"/>
      <c r="AS227" s="224"/>
      <c r="AT227" s="224"/>
      <c r="AU227" s="224"/>
      <c r="AV227" s="224"/>
      <c r="AW227" s="224"/>
      <c r="AX227" s="224"/>
      <c r="AY227" s="224"/>
      <c r="AZ227" s="224"/>
      <c r="BA227" s="224"/>
      <c r="BB227" s="224"/>
      <c r="BC227" s="224"/>
      <c r="BD227" s="224"/>
      <c r="BE227" s="224"/>
      <c r="BF227" s="224"/>
      <c r="BG227" s="224"/>
      <c r="BH227" s="224"/>
      <c r="BI227" s="224"/>
      <c r="BJ227" s="224"/>
      <c r="BK227" s="224"/>
      <c r="BL227" s="224"/>
      <c r="BM227" s="224"/>
      <c r="BN227" s="224"/>
      <c r="BO227" s="224"/>
      <c r="BP227" s="224"/>
      <c r="BQ227" s="344"/>
      <c r="BR227" s="220" t="s">
        <v>330</v>
      </c>
      <c r="BS227" s="221" t="s">
        <v>331</v>
      </c>
      <c r="BT227" s="224"/>
      <c r="BU227" s="224"/>
      <c r="BV227" s="224"/>
      <c r="BW227" s="40"/>
      <c r="BX227" s="232"/>
      <c r="BY227" s="232"/>
      <c r="BZ227" s="232"/>
      <c r="CA227" s="40"/>
      <c r="CB227" s="40"/>
      <c r="CC227" s="40"/>
      <c r="CD227" s="40"/>
      <c r="CE227" s="40"/>
      <c r="CF227" s="40"/>
      <c r="CG227" s="224"/>
      <c r="CH227" s="224"/>
    </row>
    <row r="228">
      <c r="A228" s="40"/>
      <c r="B228" s="345" t="s">
        <v>5</v>
      </c>
      <c r="C228" s="345" t="s">
        <v>325</v>
      </c>
      <c r="D228" s="230">
        <f>CA3+CD3+CF3</f>
        <v>56431.3284</v>
      </c>
      <c r="E228" s="224"/>
      <c r="F228" s="40"/>
      <c r="G228" s="40"/>
      <c r="H228" s="40"/>
      <c r="I228" s="40"/>
      <c r="J228" s="40"/>
      <c r="K228" s="40"/>
      <c r="L228" s="40"/>
      <c r="M228" s="40"/>
      <c r="N228" s="40"/>
      <c r="O228" s="40"/>
      <c r="P228" s="40"/>
      <c r="Q228" s="40"/>
      <c r="R228" s="40"/>
      <c r="S228" s="40"/>
      <c r="T228" s="40"/>
      <c r="U228" s="40"/>
      <c r="V228" s="40"/>
      <c r="W228" s="40"/>
      <c r="X228" s="224"/>
      <c r="Y228" s="224"/>
      <c r="Z228" s="224"/>
      <c r="AA228" s="224"/>
      <c r="AB228" s="224"/>
      <c r="AC228" s="224"/>
      <c r="AD228" s="224"/>
      <c r="AE228" s="224"/>
      <c r="AF228" s="215"/>
      <c r="AG228" s="224"/>
      <c r="AH228" s="224"/>
      <c r="AI228" s="224"/>
      <c r="AJ228" s="215"/>
      <c r="AK228" s="224"/>
      <c r="AL228" s="215"/>
      <c r="AM228" s="224"/>
      <c r="AN228" s="224"/>
      <c r="AO228" s="224"/>
      <c r="AP228" s="224"/>
      <c r="AQ228" s="224"/>
      <c r="AR228" s="224"/>
      <c r="AS228" s="224"/>
      <c r="AT228" s="224"/>
      <c r="AU228" s="224"/>
      <c r="AV228" s="224"/>
      <c r="AW228" s="224"/>
      <c r="AX228" s="224"/>
      <c r="AY228" s="224"/>
      <c r="AZ228" s="224"/>
      <c r="BA228" s="224"/>
      <c r="BB228" s="224"/>
      <c r="BC228" s="224"/>
      <c r="BD228" s="224"/>
      <c r="BE228" s="224"/>
      <c r="BF228" s="224"/>
      <c r="BG228" s="224"/>
      <c r="BH228" s="224"/>
      <c r="BI228" s="224"/>
      <c r="BJ228" s="224"/>
      <c r="BK228" s="224"/>
      <c r="BL228" s="224"/>
      <c r="BM228" s="224"/>
      <c r="BN228" s="224"/>
      <c r="BO228" s="224"/>
      <c r="BP228" s="224"/>
      <c r="BQ228" s="344"/>
      <c r="BR228" s="220" t="s">
        <v>332</v>
      </c>
      <c r="BS228" s="221" t="s">
        <v>333</v>
      </c>
      <c r="BT228" s="224"/>
      <c r="BU228" s="224"/>
      <c r="BV228" s="224"/>
      <c r="BW228" s="40"/>
      <c r="BX228" s="232"/>
      <c r="BY228" s="232"/>
      <c r="BZ228" s="232"/>
      <c r="CA228" s="40"/>
      <c r="CB228" s="40"/>
      <c r="CC228" s="40"/>
      <c r="CD228" s="40"/>
      <c r="CE228" s="40"/>
      <c r="CF228" s="40"/>
      <c r="CG228" s="224"/>
      <c r="CH228" s="224"/>
    </row>
    <row r="229">
      <c r="A229" s="40"/>
      <c r="B229" s="224"/>
      <c r="C229" s="224"/>
      <c r="D229" s="224"/>
      <c r="E229" s="224"/>
      <c r="F229" s="224"/>
      <c r="G229" s="224"/>
      <c r="H229" s="224"/>
      <c r="I229" s="224"/>
      <c r="J229" s="224"/>
      <c r="K229" s="224"/>
      <c r="L229" s="224"/>
      <c r="M229" s="224"/>
      <c r="N229" s="224"/>
      <c r="O229" s="224"/>
      <c r="P229" s="224"/>
      <c r="Q229" s="224"/>
      <c r="R229" s="224"/>
      <c r="S229" s="224"/>
      <c r="T229" s="224"/>
      <c r="U229" s="224"/>
      <c r="V229" s="224"/>
      <c r="W229" s="224"/>
      <c r="X229" s="224"/>
      <c r="Y229" s="224"/>
      <c r="Z229" s="224"/>
      <c r="AA229" s="224"/>
      <c r="AB229" s="224"/>
      <c r="AC229" s="224"/>
      <c r="AD229" s="224"/>
      <c r="AE229" s="224"/>
      <c r="AF229" s="215"/>
      <c r="AG229" s="224"/>
      <c r="AH229" s="224"/>
      <c r="AI229" s="224"/>
      <c r="AJ229" s="215"/>
      <c r="AK229" s="224"/>
      <c r="AL229" s="215"/>
      <c r="AM229" s="224"/>
      <c r="AN229" s="224"/>
      <c r="AO229" s="224"/>
      <c r="AP229" s="224"/>
      <c r="AQ229" s="224"/>
      <c r="AR229" s="224"/>
      <c r="AS229" s="224"/>
      <c r="AT229" s="224"/>
      <c r="AU229" s="224"/>
      <c r="AV229" s="224"/>
      <c r="AW229" s="224"/>
      <c r="AX229" s="224"/>
      <c r="AY229" s="224"/>
      <c r="AZ229" s="224"/>
      <c r="BA229" s="224"/>
      <c r="BB229" s="224"/>
      <c r="BC229" s="224"/>
      <c r="BD229" s="224"/>
      <c r="BE229" s="224"/>
      <c r="BF229" s="224"/>
      <c r="BG229" s="224"/>
      <c r="BH229" s="224"/>
      <c r="BI229" s="224"/>
      <c r="BJ229" s="224"/>
      <c r="BK229" s="224"/>
      <c r="BL229" s="224"/>
      <c r="BM229" s="224"/>
      <c r="BN229" s="224"/>
      <c r="BO229" s="224"/>
      <c r="BP229" s="224"/>
      <c r="BQ229" s="344"/>
      <c r="BR229" s="220" t="s">
        <v>348</v>
      </c>
      <c r="BS229" s="221" t="s">
        <v>349</v>
      </c>
      <c r="BT229" s="224"/>
      <c r="BU229" s="224"/>
      <c r="BV229" s="224"/>
      <c r="BW229" s="40"/>
      <c r="BX229" s="232"/>
      <c r="BY229" s="232"/>
      <c r="BZ229" s="232"/>
      <c r="CA229" s="40"/>
      <c r="CB229" s="40"/>
      <c r="CC229" s="40"/>
      <c r="CD229" s="224"/>
      <c r="CE229" s="224"/>
      <c r="CF229" s="224"/>
      <c r="CG229" s="224"/>
      <c r="CH229" s="224"/>
    </row>
    <row r="230">
      <c r="A230" s="40"/>
      <c r="B230" s="224"/>
      <c r="C230" s="224"/>
      <c r="D230" s="224"/>
      <c r="E230" s="224"/>
      <c r="F230" s="224"/>
      <c r="G230" s="224"/>
      <c r="H230" s="224"/>
      <c r="I230" s="224"/>
      <c r="J230" s="224"/>
      <c r="K230" s="224"/>
      <c r="L230" s="224"/>
      <c r="M230" s="224"/>
      <c r="N230" s="224"/>
      <c r="O230" s="224"/>
      <c r="P230" s="224"/>
      <c r="Q230" s="224"/>
      <c r="R230" s="224"/>
      <c r="S230" s="224"/>
      <c r="T230" s="224"/>
      <c r="U230" s="224"/>
      <c r="V230" s="224"/>
      <c r="W230" s="224"/>
      <c r="X230" s="224"/>
      <c r="Y230" s="224"/>
      <c r="Z230" s="224"/>
      <c r="AA230" s="224"/>
      <c r="AB230" s="224"/>
      <c r="AC230" s="224"/>
      <c r="AD230" s="224"/>
      <c r="AE230" s="224"/>
      <c r="AF230" s="215"/>
      <c r="AG230" s="224"/>
      <c r="AH230" s="224"/>
      <c r="AI230" s="224"/>
      <c r="AJ230" s="215"/>
      <c r="AK230" s="224"/>
      <c r="AL230" s="215"/>
      <c r="AM230" s="224"/>
      <c r="AN230" s="224"/>
      <c r="AO230" s="224"/>
      <c r="AP230" s="224"/>
      <c r="AQ230" s="224"/>
      <c r="AR230" s="224"/>
      <c r="AS230" s="224"/>
      <c r="AT230" s="224"/>
      <c r="AU230" s="224"/>
      <c r="AV230" s="224"/>
      <c r="AW230" s="224"/>
      <c r="AX230" s="224"/>
      <c r="AY230" s="224"/>
      <c r="AZ230" s="224"/>
      <c r="BA230" s="224"/>
      <c r="BB230" s="224"/>
      <c r="BC230" s="224"/>
      <c r="BD230" s="224"/>
      <c r="BE230" s="224"/>
      <c r="BF230" s="224"/>
      <c r="BG230" s="224"/>
      <c r="BH230" s="224"/>
      <c r="BI230" s="224"/>
      <c r="BJ230" s="224"/>
      <c r="BK230" s="224"/>
      <c r="BL230" s="224"/>
      <c r="BM230" s="224"/>
      <c r="BN230" s="224"/>
      <c r="BO230" s="224"/>
      <c r="BP230" s="224"/>
      <c r="BQ230" s="344"/>
      <c r="BR230" s="220" t="s">
        <v>336</v>
      </c>
      <c r="BS230" s="221" t="s">
        <v>337</v>
      </c>
      <c r="BT230" s="224"/>
      <c r="BU230" s="224"/>
      <c r="BV230" s="224"/>
      <c r="BW230" s="238" t="s">
        <v>338</v>
      </c>
      <c r="BX230" s="238" t="s">
        <v>339</v>
      </c>
      <c r="BY230" s="238" t="s">
        <v>340</v>
      </c>
      <c r="BZ230" s="238" t="s">
        <v>341</v>
      </c>
      <c r="CA230" s="238" t="s">
        <v>342</v>
      </c>
      <c r="CB230" s="238" t="s">
        <v>343</v>
      </c>
      <c r="CC230" s="238" t="s">
        <v>377</v>
      </c>
      <c r="CD230" s="224"/>
      <c r="CE230" s="224"/>
      <c r="CF230" s="224"/>
      <c r="CG230" s="224"/>
      <c r="CH230" s="224"/>
    </row>
    <row r="231">
      <c r="A231" s="40"/>
      <c r="B231" s="224"/>
      <c r="C231" s="224"/>
      <c r="D231" s="224"/>
      <c r="E231" s="224"/>
      <c r="F231" s="224"/>
      <c r="G231" s="224"/>
      <c r="H231" s="224"/>
      <c r="I231" s="224"/>
      <c r="J231" s="224"/>
      <c r="K231" s="224"/>
      <c r="L231" s="224"/>
      <c r="M231" s="224"/>
      <c r="N231" s="224"/>
      <c r="O231" s="224"/>
      <c r="P231" s="224"/>
      <c r="Q231" s="224"/>
      <c r="R231" s="224"/>
      <c r="S231" s="224"/>
      <c r="T231" s="224"/>
      <c r="U231" s="224"/>
      <c r="V231" s="224"/>
      <c r="W231" s="224"/>
      <c r="X231" s="224"/>
      <c r="Y231" s="224"/>
      <c r="Z231" s="224"/>
      <c r="AA231" s="224"/>
      <c r="AB231" s="224"/>
      <c r="AC231" s="224"/>
      <c r="AD231" s="224"/>
      <c r="AE231" s="224"/>
      <c r="AF231" s="215"/>
      <c r="AG231" s="224"/>
      <c r="AH231" s="224"/>
      <c r="AI231" s="224"/>
      <c r="AJ231" s="215"/>
      <c r="AK231" s="224"/>
      <c r="AL231" s="215"/>
      <c r="AM231" s="224"/>
      <c r="AN231" s="224"/>
      <c r="AO231" s="224"/>
      <c r="AP231" s="224"/>
      <c r="AQ231" s="224"/>
      <c r="AR231" s="224"/>
      <c r="AS231" s="224"/>
      <c r="AT231" s="224"/>
      <c r="AU231" s="224"/>
      <c r="AV231" s="224"/>
      <c r="AW231" s="224"/>
      <c r="AX231" s="224"/>
      <c r="AY231" s="224"/>
      <c r="AZ231" s="224"/>
      <c r="BA231" s="224"/>
      <c r="BB231" s="224"/>
      <c r="BC231" s="224"/>
      <c r="BD231" s="224"/>
      <c r="BE231" s="224"/>
      <c r="BF231" s="224"/>
      <c r="BG231" s="224"/>
      <c r="BH231" s="224"/>
      <c r="BI231" s="224"/>
      <c r="BJ231" s="224"/>
      <c r="BK231" s="224"/>
      <c r="BL231" s="224"/>
      <c r="BM231" s="224"/>
      <c r="BN231" s="224"/>
      <c r="BO231" s="224"/>
      <c r="BP231" s="224"/>
      <c r="BQ231" s="344"/>
      <c r="BR231" s="220" t="s">
        <v>344</v>
      </c>
      <c r="BS231" s="221" t="s">
        <v>345</v>
      </c>
      <c r="BT231" s="224"/>
      <c r="BU231" s="224"/>
      <c r="BV231" s="224"/>
      <c r="BW231" s="238" t="s">
        <v>88</v>
      </c>
      <c r="BX231" s="239">
        <f t="shared" ref="BX231:BX236" si="45">BW221+BX221</f>
        <v>724.3612312</v>
      </c>
      <c r="BY231" s="239">
        <f>SUMIF(B4:B220,"EMR",BY4:BY220)</f>
        <v>108174.4344</v>
      </c>
      <c r="BZ231" s="239">
        <f t="shared" ref="BZ231:BZ236" si="46">BZ221+CA221+CB221</f>
        <v>0</v>
      </c>
      <c r="CA231" s="239">
        <f t="shared" ref="CA231:CA236" si="47">CC221+CD221</f>
        <v>0</v>
      </c>
      <c r="CB231" s="239">
        <f t="shared" ref="CB231:CB236" si="48">CE221+CF221+CG221</f>
        <v>0</v>
      </c>
      <c r="CC231" s="483">
        <f>SUMIF(B4:B220,"EMR",CH4:CH220)</f>
        <v>0</v>
      </c>
      <c r="CD231" s="224"/>
      <c r="CE231" s="224"/>
      <c r="CF231" s="224"/>
      <c r="CG231" s="224"/>
      <c r="CH231" s="224"/>
    </row>
    <row r="232">
      <c r="A232" s="40"/>
      <c r="B232" s="224"/>
      <c r="C232" s="230">
        <v>316206.43370106723</v>
      </c>
      <c r="D232" s="230">
        <f>sum(D224:D228)</f>
        <v>2745440.565</v>
      </c>
      <c r="E232" s="224"/>
      <c r="F232" s="224"/>
      <c r="G232" s="224"/>
      <c r="H232" s="224"/>
      <c r="I232" s="224"/>
      <c r="J232" s="224"/>
      <c r="K232" s="224"/>
      <c r="L232" s="224"/>
      <c r="M232" s="224"/>
      <c r="N232" s="224"/>
      <c r="O232" s="224"/>
      <c r="P232" s="224"/>
      <c r="Q232" s="224"/>
      <c r="R232" s="224"/>
      <c r="S232" s="224"/>
      <c r="T232" s="224"/>
      <c r="U232" s="224"/>
      <c r="V232" s="224"/>
      <c r="W232" s="224"/>
      <c r="X232" s="224"/>
      <c r="Y232" s="224"/>
      <c r="Z232" s="224"/>
      <c r="AA232" s="224"/>
      <c r="AB232" s="224"/>
      <c r="AC232" s="224"/>
      <c r="AD232" s="224"/>
      <c r="AE232" s="224"/>
      <c r="AF232" s="215"/>
      <c r="AG232" s="224"/>
      <c r="AH232" s="224"/>
      <c r="AI232" s="224"/>
      <c r="AJ232" s="215"/>
      <c r="AK232" s="224"/>
      <c r="AL232" s="215"/>
      <c r="AM232" s="224"/>
      <c r="AN232" s="224"/>
      <c r="AO232" s="224"/>
      <c r="AP232" s="224"/>
      <c r="AQ232" s="224"/>
      <c r="AR232" s="224"/>
      <c r="AS232" s="224"/>
      <c r="AT232" s="224"/>
      <c r="AU232" s="224"/>
      <c r="AV232" s="224"/>
      <c r="AW232" s="224"/>
      <c r="AX232" s="224"/>
      <c r="AY232" s="224"/>
      <c r="AZ232" s="224"/>
      <c r="BA232" s="224"/>
      <c r="BB232" s="224"/>
      <c r="BC232" s="224"/>
      <c r="BD232" s="224"/>
      <c r="BE232" s="224"/>
      <c r="BF232" s="224"/>
      <c r="BG232" s="224"/>
      <c r="BH232" s="224"/>
      <c r="BI232" s="224"/>
      <c r="BJ232" s="224"/>
      <c r="BK232" s="224"/>
      <c r="BL232" s="224"/>
      <c r="BM232" s="224"/>
      <c r="BN232" s="224"/>
      <c r="BO232" s="224"/>
      <c r="BP232" s="224"/>
      <c r="BQ232" s="344"/>
      <c r="BR232" s="220" t="s">
        <v>346</v>
      </c>
      <c r="BS232" s="221" t="s">
        <v>347</v>
      </c>
      <c r="BT232" s="224"/>
      <c r="BU232" s="224"/>
      <c r="BV232" s="224"/>
      <c r="BW232" s="238" t="s">
        <v>92</v>
      </c>
      <c r="BX232" s="239">
        <f t="shared" si="45"/>
        <v>108400.5671</v>
      </c>
      <c r="BY232" s="483">
        <f>SUMIF(B4:B220,"AFR",BY4:BY220)</f>
        <v>552196.2228</v>
      </c>
      <c r="BZ232" s="239">
        <f t="shared" si="46"/>
        <v>22966.83851</v>
      </c>
      <c r="CA232" s="239">
        <f t="shared" si="47"/>
        <v>142285.8186</v>
      </c>
      <c r="CB232" s="239">
        <f t="shared" si="48"/>
        <v>979385.3865</v>
      </c>
      <c r="CC232" s="484">
        <f>SUMIF(B4:B220,"AFR",CH4:CH220)</f>
        <v>32690.94985</v>
      </c>
      <c r="CD232" s="224"/>
      <c r="CE232" s="224"/>
      <c r="CF232" s="224"/>
      <c r="CG232" s="224"/>
      <c r="CH232" s="224"/>
    </row>
    <row r="233">
      <c r="A233" s="40"/>
      <c r="B233" s="224"/>
      <c r="C233" s="224"/>
      <c r="D233" s="215">
        <f>C232/D232</f>
        <v>0.1151751153</v>
      </c>
      <c r="E233" s="224"/>
      <c r="F233" s="224"/>
      <c r="G233" s="224"/>
      <c r="H233" s="224"/>
      <c r="I233" s="224"/>
      <c r="J233" s="224"/>
      <c r="K233" s="224"/>
      <c r="L233" s="224"/>
      <c r="M233" s="224"/>
      <c r="N233" s="224"/>
      <c r="O233" s="224"/>
      <c r="P233" s="224"/>
      <c r="Q233" s="224"/>
      <c r="R233" s="224"/>
      <c r="S233" s="224"/>
      <c r="T233" s="224"/>
      <c r="U233" s="224"/>
      <c r="V233" s="224"/>
      <c r="W233" s="224"/>
      <c r="X233" s="224"/>
      <c r="Y233" s="224"/>
      <c r="Z233" s="224"/>
      <c r="AA233" s="224"/>
      <c r="AB233" s="224"/>
      <c r="AC233" s="224"/>
      <c r="AD233" s="224"/>
      <c r="AE233" s="224"/>
      <c r="AF233" s="215"/>
      <c r="AG233" s="224"/>
      <c r="AH233" s="224"/>
      <c r="AI233" s="224"/>
      <c r="AJ233" s="215"/>
      <c r="AK233" s="224"/>
      <c r="AL233" s="215"/>
      <c r="AM233" s="224"/>
      <c r="AN233" s="224"/>
      <c r="AO233" s="224"/>
      <c r="AP233" s="224"/>
      <c r="AQ233" s="224"/>
      <c r="AR233" s="224"/>
      <c r="AS233" s="224"/>
      <c r="AT233" s="224"/>
      <c r="AU233" s="224"/>
      <c r="AV233" s="224"/>
      <c r="AW233" s="224"/>
      <c r="AX233" s="224"/>
      <c r="AY233" s="224"/>
      <c r="AZ233" s="224"/>
      <c r="BA233" s="224"/>
      <c r="BB233" s="224"/>
      <c r="BC233" s="224"/>
      <c r="BD233" s="224"/>
      <c r="BE233" s="224"/>
      <c r="BF233" s="224"/>
      <c r="BG233" s="224"/>
      <c r="BH233" s="224"/>
      <c r="BI233" s="224"/>
      <c r="BJ233" s="224"/>
      <c r="BK233" s="224"/>
      <c r="BL233" s="224"/>
      <c r="BM233" s="224"/>
      <c r="BN233" s="224"/>
      <c r="BO233" s="224"/>
      <c r="BP233" s="224"/>
      <c r="BQ233" s="344"/>
      <c r="BR233" s="220" t="s">
        <v>352</v>
      </c>
      <c r="BS233" s="221" t="s">
        <v>353</v>
      </c>
      <c r="BT233" s="224"/>
      <c r="BU233" s="224"/>
      <c r="BV233" s="224"/>
      <c r="BW233" s="238" t="s">
        <v>94</v>
      </c>
      <c r="BX233" s="239">
        <f t="shared" si="45"/>
        <v>8671.703913</v>
      </c>
      <c r="BY233" s="483">
        <f>SUMIF(B4:B220,"WPR",BY4:BY220)</f>
        <v>393235.0828</v>
      </c>
      <c r="BZ233" s="239">
        <f t="shared" si="46"/>
        <v>599.9676852</v>
      </c>
      <c r="CA233" s="239">
        <f t="shared" si="47"/>
        <v>3061.55463</v>
      </c>
      <c r="CB233" s="239">
        <f t="shared" si="48"/>
        <v>16763.33262</v>
      </c>
      <c r="CC233" s="484">
        <f>SUMIF(B4:B220,"WPR",CH4:CH220)</f>
        <v>0</v>
      </c>
      <c r="CD233" s="224"/>
      <c r="CE233" s="224"/>
      <c r="CF233" s="224"/>
      <c r="CG233" s="224"/>
      <c r="CH233" s="224"/>
    </row>
    <row r="234">
      <c r="A234" s="40"/>
      <c r="B234" s="224"/>
      <c r="C234" s="224"/>
      <c r="D234" s="224"/>
      <c r="E234" s="224"/>
      <c r="F234" s="224"/>
      <c r="G234" s="224"/>
      <c r="H234" s="224"/>
      <c r="I234" s="224"/>
      <c r="J234" s="224"/>
      <c r="K234" s="224"/>
      <c r="L234" s="224"/>
      <c r="M234" s="224"/>
      <c r="N234" s="224"/>
      <c r="O234" s="224"/>
      <c r="P234" s="224"/>
      <c r="Q234" s="224"/>
      <c r="R234" s="224"/>
      <c r="S234" s="224"/>
      <c r="T234" s="224"/>
      <c r="U234" s="224"/>
      <c r="V234" s="224"/>
      <c r="W234" s="224"/>
      <c r="X234" s="224"/>
      <c r="Y234" s="224"/>
      <c r="Z234" s="224"/>
      <c r="AA234" s="224"/>
      <c r="AB234" s="224"/>
      <c r="AC234" s="224"/>
      <c r="AD234" s="224"/>
      <c r="AE234" s="224"/>
      <c r="AF234" s="215"/>
      <c r="AG234" s="224"/>
      <c r="AH234" s="224"/>
      <c r="AI234" s="224"/>
      <c r="AJ234" s="215"/>
      <c r="AK234" s="224"/>
      <c r="AL234" s="215"/>
      <c r="AM234" s="224"/>
      <c r="AN234" s="224"/>
      <c r="AO234" s="224"/>
      <c r="AP234" s="224"/>
      <c r="AQ234" s="224"/>
      <c r="AR234" s="224"/>
      <c r="AS234" s="224"/>
      <c r="AT234" s="224"/>
      <c r="AU234" s="224"/>
      <c r="AV234" s="224"/>
      <c r="AW234" s="224"/>
      <c r="AX234" s="224"/>
      <c r="AY234" s="224"/>
      <c r="AZ234" s="224"/>
      <c r="BA234" s="224"/>
      <c r="BB234" s="224"/>
      <c r="BC234" s="224"/>
      <c r="BD234" s="224"/>
      <c r="BE234" s="224"/>
      <c r="BF234" s="224"/>
      <c r="BG234" s="224"/>
      <c r="BH234" s="224"/>
      <c r="BI234" s="224"/>
      <c r="BJ234" s="224"/>
      <c r="BK234" s="224"/>
      <c r="BL234" s="224"/>
      <c r="BM234" s="224"/>
      <c r="BN234" s="224"/>
      <c r="BO234" s="224"/>
      <c r="BP234" s="224"/>
      <c r="BQ234" s="344"/>
      <c r="BR234" s="220" t="s">
        <v>334</v>
      </c>
      <c r="BS234" s="221" t="s">
        <v>335</v>
      </c>
      <c r="BT234" s="224"/>
      <c r="BU234" s="224"/>
      <c r="BV234" s="224"/>
      <c r="BW234" s="238" t="s">
        <v>98</v>
      </c>
      <c r="BX234" s="239">
        <f t="shared" si="45"/>
        <v>19980.54776</v>
      </c>
      <c r="BY234" s="483">
        <f>SUMIF(B4:B220,"AMR",BY4:BY220)</f>
        <v>63273.5299</v>
      </c>
      <c r="BZ234" s="239">
        <f t="shared" si="46"/>
        <v>4394.859717</v>
      </c>
      <c r="CA234" s="239">
        <f t="shared" si="47"/>
        <v>3302.67261</v>
      </c>
      <c r="CB234" s="239">
        <f t="shared" si="48"/>
        <v>11950.36717</v>
      </c>
      <c r="CC234" s="484">
        <f>SUMIF(B4:B220,"AMR",CH4:CH220)</f>
        <v>0.2621826487</v>
      </c>
      <c r="CD234" s="224"/>
      <c r="CE234" s="224"/>
      <c r="CF234" s="224"/>
      <c r="CG234" s="224"/>
      <c r="CH234" s="224"/>
    </row>
    <row r="235">
      <c r="A235" s="40"/>
      <c r="B235" s="224"/>
      <c r="C235" s="224"/>
      <c r="D235" s="224"/>
      <c r="E235" s="224"/>
      <c r="F235" s="224"/>
      <c r="G235" s="224"/>
      <c r="H235" s="224"/>
      <c r="I235" s="224"/>
      <c r="J235" s="224"/>
      <c r="K235" s="224"/>
      <c r="L235" s="224"/>
      <c r="M235" s="224"/>
      <c r="N235" s="224"/>
      <c r="O235" s="224"/>
      <c r="P235" s="224"/>
      <c r="Q235" s="224"/>
      <c r="R235" s="224"/>
      <c r="S235" s="224"/>
      <c r="T235" s="224"/>
      <c r="U235" s="224"/>
      <c r="V235" s="224"/>
      <c r="W235" s="224"/>
      <c r="X235" s="224"/>
      <c r="Y235" s="224"/>
      <c r="Z235" s="224"/>
      <c r="AA235" s="224"/>
      <c r="AB235" s="224"/>
      <c r="AC235" s="224"/>
      <c r="AD235" s="224"/>
      <c r="AE235" s="224"/>
      <c r="AF235" s="215"/>
      <c r="AG235" s="224"/>
      <c r="AH235" s="224"/>
      <c r="AI235" s="224"/>
      <c r="AJ235" s="215"/>
      <c r="AK235" s="224"/>
      <c r="AL235" s="215"/>
      <c r="AM235" s="224"/>
      <c r="AN235" s="224"/>
      <c r="AO235" s="224"/>
      <c r="AP235" s="224"/>
      <c r="AQ235" s="224"/>
      <c r="AR235" s="224"/>
      <c r="AS235" s="224"/>
      <c r="AT235" s="224"/>
      <c r="AU235" s="224"/>
      <c r="AV235" s="224"/>
      <c r="AW235" s="224"/>
      <c r="AX235" s="224"/>
      <c r="AY235" s="224"/>
      <c r="AZ235" s="224"/>
      <c r="BA235" s="224"/>
      <c r="BB235" s="224"/>
      <c r="BC235" s="224"/>
      <c r="BD235" s="224"/>
      <c r="BE235" s="224"/>
      <c r="BF235" s="224"/>
      <c r="BG235" s="224"/>
      <c r="BH235" s="224"/>
      <c r="BI235" s="224"/>
      <c r="BJ235" s="224"/>
      <c r="BK235" s="224"/>
      <c r="BL235" s="224"/>
      <c r="BM235" s="224"/>
      <c r="BN235" s="224"/>
      <c r="BO235" s="224"/>
      <c r="BP235" s="224"/>
      <c r="BQ235" s="344"/>
      <c r="BR235" s="220" t="s">
        <v>350</v>
      </c>
      <c r="BS235" s="221" t="s">
        <v>351</v>
      </c>
      <c r="BT235" s="224"/>
      <c r="BU235" s="224"/>
      <c r="BV235" s="224"/>
      <c r="BW235" s="238" t="s">
        <v>90</v>
      </c>
      <c r="BX235" s="239">
        <f t="shared" si="45"/>
        <v>0</v>
      </c>
      <c r="BY235" s="483">
        <f>SUMIF(B4:B220,"EUR",BY4:BY220)</f>
        <v>0</v>
      </c>
      <c r="BZ235" s="239">
        <f t="shared" si="46"/>
        <v>0</v>
      </c>
      <c r="CA235" s="239">
        <f t="shared" si="47"/>
        <v>0</v>
      </c>
      <c r="CB235" s="239">
        <f t="shared" si="48"/>
        <v>0</v>
      </c>
      <c r="CC235" s="484">
        <f>SUMIF(B4:B220,"EUR",CH4:CH220)</f>
        <v>0</v>
      </c>
      <c r="CD235" s="224"/>
      <c r="CE235" s="224"/>
      <c r="CF235" s="224"/>
      <c r="CG235" s="224"/>
      <c r="CH235" s="224"/>
    </row>
    <row r="236">
      <c r="A236" s="40"/>
      <c r="B236" s="224"/>
      <c r="C236" s="224"/>
      <c r="D236" s="224"/>
      <c r="E236" s="224"/>
      <c r="F236" s="224"/>
      <c r="G236" s="224"/>
      <c r="H236" s="224"/>
      <c r="I236" s="224"/>
      <c r="J236" s="224"/>
      <c r="K236" s="224"/>
      <c r="L236" s="224"/>
      <c r="M236" s="224"/>
      <c r="N236" s="224"/>
      <c r="O236" s="224"/>
      <c r="P236" s="224"/>
      <c r="Q236" s="224"/>
      <c r="R236" s="224"/>
      <c r="S236" s="224"/>
      <c r="T236" s="224"/>
      <c r="U236" s="224"/>
      <c r="V236" s="224"/>
      <c r="W236" s="224"/>
      <c r="X236" s="224"/>
      <c r="Y236" s="224"/>
      <c r="Z236" s="224"/>
      <c r="AA236" s="224"/>
      <c r="AB236" s="224"/>
      <c r="AC236" s="224"/>
      <c r="AD236" s="224"/>
      <c r="AE236" s="224"/>
      <c r="AF236" s="215"/>
      <c r="AG236" s="224"/>
      <c r="AH236" s="224"/>
      <c r="AI236" s="224"/>
      <c r="AJ236" s="215"/>
      <c r="AK236" s="224"/>
      <c r="AL236" s="215"/>
      <c r="AM236" s="224"/>
      <c r="AN236" s="224"/>
      <c r="AO236" s="224"/>
      <c r="AP236" s="224"/>
      <c r="AQ236" s="224"/>
      <c r="AR236" s="224"/>
      <c r="AS236" s="224"/>
      <c r="AT236" s="224"/>
      <c r="AU236" s="224"/>
      <c r="AV236" s="224"/>
      <c r="AW236" s="224"/>
      <c r="AX236" s="224"/>
      <c r="AY236" s="224"/>
      <c r="AZ236" s="224"/>
      <c r="BA236" s="224"/>
      <c r="BB236" s="224"/>
      <c r="BC236" s="224"/>
      <c r="BD236" s="224"/>
      <c r="BE236" s="224"/>
      <c r="BF236" s="224"/>
      <c r="BG236" s="224"/>
      <c r="BH236" s="224"/>
      <c r="BI236" s="224"/>
      <c r="BJ236" s="224"/>
      <c r="BK236" s="224"/>
      <c r="BL236" s="224"/>
      <c r="BM236" s="224"/>
      <c r="BN236" s="224"/>
      <c r="BO236" s="224"/>
      <c r="BP236" s="224"/>
      <c r="BQ236" s="344"/>
      <c r="BR236" s="485" t="s">
        <v>354</v>
      </c>
      <c r="BS236" s="486" t="s">
        <v>355</v>
      </c>
      <c r="BT236" s="224"/>
      <c r="BU236" s="224"/>
      <c r="BV236" s="224"/>
      <c r="BW236" s="238" t="s">
        <v>109</v>
      </c>
      <c r="BX236" s="239">
        <f t="shared" si="45"/>
        <v>72380.28941</v>
      </c>
      <c r="BY236" s="483">
        <f>SUMIF(B4:B220,"SEA",BY4:BY220)</f>
        <v>92.81433836</v>
      </c>
      <c r="BZ236" s="239">
        <f t="shared" si="46"/>
        <v>16772.51174</v>
      </c>
      <c r="CA236" s="239">
        <f t="shared" si="47"/>
        <v>46173.55604</v>
      </c>
      <c r="CB236" s="239">
        <f t="shared" si="48"/>
        <v>170654.1459</v>
      </c>
      <c r="CC236" s="484">
        <f>SUMIF(B4:B220,"SEA",CH4:CH220)</f>
        <v>0</v>
      </c>
      <c r="CD236" s="224"/>
      <c r="CE236" s="224"/>
      <c r="CF236" s="224"/>
      <c r="CG236" s="224"/>
      <c r="CH236" s="224"/>
    </row>
    <row r="237">
      <c r="B237" s="487"/>
      <c r="C237" s="487"/>
      <c r="D237" s="487"/>
      <c r="E237" s="487"/>
      <c r="F237" s="487"/>
      <c r="G237" s="487"/>
      <c r="H237" s="487"/>
      <c r="I237" s="487"/>
      <c r="J237" s="487"/>
      <c r="K237" s="487"/>
      <c r="L237" s="487"/>
      <c r="M237" s="487"/>
      <c r="N237" s="487"/>
      <c r="O237" s="487"/>
      <c r="P237" s="487"/>
      <c r="Q237" s="487"/>
      <c r="R237" s="487"/>
      <c r="S237" s="487"/>
      <c r="T237" s="487"/>
      <c r="U237" s="487"/>
      <c r="V237" s="487"/>
      <c r="W237" s="487"/>
      <c r="X237" s="487"/>
      <c r="Y237" s="487"/>
      <c r="Z237" s="487"/>
      <c r="AA237" s="487"/>
      <c r="AB237" s="487"/>
      <c r="AC237" s="487"/>
      <c r="AD237" s="487"/>
      <c r="AE237" s="487"/>
      <c r="AF237" s="487"/>
      <c r="AG237" s="487"/>
      <c r="AH237" s="487"/>
      <c r="AI237" s="487"/>
      <c r="AJ237" s="488"/>
      <c r="AK237" s="487"/>
      <c r="AL237" s="488"/>
      <c r="AM237" s="487"/>
      <c r="AN237" s="487"/>
      <c r="AO237" s="487"/>
      <c r="AP237" s="487"/>
      <c r="AQ237" s="487"/>
      <c r="AR237" s="487"/>
      <c r="AS237" s="487"/>
      <c r="AT237" s="487"/>
      <c r="AU237" s="487"/>
      <c r="AV237" s="487"/>
      <c r="AW237" s="487"/>
      <c r="AX237" s="487"/>
      <c r="AY237" s="487"/>
      <c r="AZ237" s="487"/>
      <c r="BA237" s="487"/>
      <c r="BB237" s="487"/>
      <c r="BC237" s="487"/>
      <c r="BD237" s="487"/>
      <c r="BE237" s="487"/>
      <c r="BF237" s="487"/>
      <c r="BG237" s="487"/>
      <c r="BH237" s="487"/>
      <c r="BI237" s="487"/>
      <c r="BJ237" s="487"/>
      <c r="BK237" s="487"/>
      <c r="BL237" s="487"/>
      <c r="BM237" s="487"/>
      <c r="BN237" s="487"/>
      <c r="BO237" s="487"/>
      <c r="BP237" s="487"/>
      <c r="BQ237" s="487"/>
      <c r="BR237" s="487"/>
      <c r="BS237" s="487"/>
      <c r="BT237" s="487"/>
      <c r="BU237" s="487"/>
      <c r="BV237" s="487"/>
      <c r="BW237" s="487"/>
      <c r="BX237" s="487"/>
      <c r="BY237" s="487"/>
      <c r="BZ237" s="487"/>
      <c r="CA237" s="487"/>
      <c r="CB237" s="487"/>
      <c r="CC237" s="487"/>
      <c r="CD237" s="487"/>
      <c r="CE237" s="487"/>
      <c r="CF237" s="487"/>
      <c r="CG237" s="487"/>
      <c r="CH237" s="487"/>
    </row>
  </sheetData>
  <mergeCells count="19">
    <mergeCell ref="F1:H1"/>
    <mergeCell ref="I1:K1"/>
    <mergeCell ref="L1:N1"/>
    <mergeCell ref="P1:S1"/>
    <mergeCell ref="T1:U1"/>
    <mergeCell ref="V1:Y1"/>
    <mergeCell ref="Z1:AC1"/>
    <mergeCell ref="BN1:BV1"/>
    <mergeCell ref="BW1:BX1"/>
    <mergeCell ref="BZ1:CB1"/>
    <mergeCell ref="CC1:CD1"/>
    <mergeCell ref="CE1:CG1"/>
    <mergeCell ref="AD1:AM1"/>
    <mergeCell ref="AN1:AS1"/>
    <mergeCell ref="AT1:AU1"/>
    <mergeCell ref="AV1:BA1"/>
    <mergeCell ref="BB1:BE1"/>
    <mergeCell ref="BF1:BK1"/>
    <mergeCell ref="BL1:BM1"/>
  </mergeCells>
  <drawing r:id="rId2"/>
  <legacy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489" t="s">
        <v>392</v>
      </c>
      <c r="B1" s="490" t="s">
        <v>23</v>
      </c>
      <c r="C1" s="490" t="s">
        <v>23</v>
      </c>
      <c r="D1" s="491" t="s">
        <v>25</v>
      </c>
      <c r="E1" s="358" t="s">
        <v>356</v>
      </c>
      <c r="F1" s="352" t="s">
        <v>27</v>
      </c>
      <c r="I1" s="353" t="s">
        <v>28</v>
      </c>
      <c r="L1" s="354" t="s">
        <v>29</v>
      </c>
      <c r="O1" s="492" t="s">
        <v>357</v>
      </c>
      <c r="P1" s="350" t="s">
        <v>30</v>
      </c>
      <c r="T1" s="351" t="s">
        <v>31</v>
      </c>
      <c r="V1" s="356" t="s">
        <v>32</v>
      </c>
      <c r="Z1" s="355" t="s">
        <v>358</v>
      </c>
      <c r="AD1" s="357" t="s">
        <v>33</v>
      </c>
      <c r="AN1" s="350" t="s">
        <v>34</v>
      </c>
      <c r="AT1" s="351" t="s">
        <v>378</v>
      </c>
      <c r="AV1" s="352" t="s">
        <v>36</v>
      </c>
      <c r="BB1" s="353" t="s">
        <v>37</v>
      </c>
      <c r="BF1" s="354" t="s">
        <v>38</v>
      </c>
      <c r="BL1" s="355" t="s">
        <v>360</v>
      </c>
      <c r="BN1" s="349" t="s">
        <v>39</v>
      </c>
      <c r="BW1" s="350" t="s">
        <v>361</v>
      </c>
      <c r="BY1" s="358" t="s">
        <v>41</v>
      </c>
      <c r="BZ1" s="359" t="s">
        <v>42</v>
      </c>
      <c r="CC1" s="353" t="s">
        <v>43</v>
      </c>
      <c r="CE1" s="354" t="s">
        <v>44</v>
      </c>
      <c r="CH1" s="492" t="s">
        <v>362</v>
      </c>
    </row>
    <row r="2">
      <c r="A2" s="360"/>
      <c r="B2" s="361"/>
      <c r="C2" s="361"/>
      <c r="D2" s="493" t="s">
        <v>46</v>
      </c>
      <c r="E2" s="494" t="s">
        <v>46</v>
      </c>
      <c r="F2" s="495" t="s">
        <v>47</v>
      </c>
      <c r="G2" s="495" t="s">
        <v>48</v>
      </c>
      <c r="H2" s="495" t="s">
        <v>45</v>
      </c>
      <c r="I2" s="496" t="s">
        <v>47</v>
      </c>
      <c r="J2" s="496" t="s">
        <v>48</v>
      </c>
      <c r="K2" s="496" t="s">
        <v>45</v>
      </c>
      <c r="L2" s="497" t="s">
        <v>47</v>
      </c>
      <c r="M2" s="497" t="s">
        <v>48</v>
      </c>
      <c r="N2" s="497" t="s">
        <v>45</v>
      </c>
      <c r="O2" s="498" t="s">
        <v>46</v>
      </c>
      <c r="P2" s="493" t="s">
        <v>50</v>
      </c>
      <c r="Q2" s="493" t="s">
        <v>51</v>
      </c>
      <c r="R2" s="493" t="s">
        <v>30</v>
      </c>
      <c r="S2" s="493" t="s">
        <v>52</v>
      </c>
      <c r="T2" s="494" t="s">
        <v>31</v>
      </c>
      <c r="U2" s="494" t="s">
        <v>53</v>
      </c>
      <c r="V2" s="499" t="s">
        <v>54</v>
      </c>
      <c r="W2" s="499" t="s">
        <v>363</v>
      </c>
      <c r="X2" s="499" t="s">
        <v>55</v>
      </c>
      <c r="Y2" s="499" t="s">
        <v>364</v>
      </c>
      <c r="Z2" s="500" t="s">
        <v>365</v>
      </c>
      <c r="AA2" s="500" t="s">
        <v>366</v>
      </c>
      <c r="AB2" s="500" t="s">
        <v>358</v>
      </c>
      <c r="AC2" s="500" t="s">
        <v>367</v>
      </c>
      <c r="AD2" s="493" t="s">
        <v>20</v>
      </c>
      <c r="AE2" s="494" t="s">
        <v>56</v>
      </c>
      <c r="AF2" s="501" t="s">
        <v>57</v>
      </c>
      <c r="AG2" s="502" t="s">
        <v>379</v>
      </c>
      <c r="AH2" s="502" t="s">
        <v>58</v>
      </c>
      <c r="AI2" s="503" t="s">
        <v>380</v>
      </c>
      <c r="AJ2" s="503" t="s">
        <v>59</v>
      </c>
      <c r="AK2" s="504" t="s">
        <v>381</v>
      </c>
      <c r="AL2" s="504" t="s">
        <v>382</v>
      </c>
      <c r="AM2" s="498" t="s">
        <v>70</v>
      </c>
      <c r="AN2" s="505" t="s">
        <v>383</v>
      </c>
      <c r="AO2" s="505" t="s">
        <v>63</v>
      </c>
      <c r="AP2" s="505" t="s">
        <v>384</v>
      </c>
      <c r="AQ2" s="505" t="s">
        <v>63</v>
      </c>
      <c r="AR2" s="505" t="s">
        <v>385</v>
      </c>
      <c r="AS2" s="505" t="s">
        <v>386</v>
      </c>
      <c r="AT2" s="374" t="s">
        <v>66</v>
      </c>
      <c r="AU2" s="506" t="s">
        <v>63</v>
      </c>
      <c r="AV2" s="375" t="s">
        <v>67</v>
      </c>
      <c r="AW2" s="507" t="s">
        <v>63</v>
      </c>
      <c r="AX2" s="375" t="s">
        <v>68</v>
      </c>
      <c r="AY2" s="507" t="s">
        <v>63</v>
      </c>
      <c r="AZ2" s="375" t="s">
        <v>69</v>
      </c>
      <c r="BA2" s="507" t="s">
        <v>63</v>
      </c>
      <c r="BB2" s="508" t="s">
        <v>80</v>
      </c>
      <c r="BC2" s="509" t="s">
        <v>63</v>
      </c>
      <c r="BD2" s="376" t="s">
        <v>68</v>
      </c>
      <c r="BE2" s="509" t="s">
        <v>63</v>
      </c>
      <c r="BF2" s="377" t="s">
        <v>67</v>
      </c>
      <c r="BG2" s="510" t="s">
        <v>63</v>
      </c>
      <c r="BH2" s="377" t="s">
        <v>68</v>
      </c>
      <c r="BI2" s="510" t="s">
        <v>63</v>
      </c>
      <c r="BJ2" s="377" t="s">
        <v>69</v>
      </c>
      <c r="BK2" s="510" t="s">
        <v>63</v>
      </c>
      <c r="BL2" s="498" t="s">
        <v>324</v>
      </c>
      <c r="BM2" s="511" t="s">
        <v>63</v>
      </c>
      <c r="BN2" s="378" t="s">
        <v>20</v>
      </c>
      <c r="BO2" s="498" t="s">
        <v>70</v>
      </c>
      <c r="BP2" s="494" t="s">
        <v>71</v>
      </c>
      <c r="BQ2" s="499" t="s">
        <v>72</v>
      </c>
      <c r="BR2" s="512" t="s">
        <v>73</v>
      </c>
      <c r="BS2" s="512" t="s">
        <v>74</v>
      </c>
      <c r="BT2" s="512" t="s">
        <v>75</v>
      </c>
      <c r="BU2" s="513" t="s">
        <v>76</v>
      </c>
      <c r="BV2" s="513" t="s">
        <v>387</v>
      </c>
      <c r="BW2" s="493" t="s">
        <v>78</v>
      </c>
      <c r="BX2" s="493" t="s">
        <v>79</v>
      </c>
      <c r="BY2" s="494" t="s">
        <v>66</v>
      </c>
      <c r="BZ2" s="495" t="s">
        <v>80</v>
      </c>
      <c r="CA2" s="495" t="s">
        <v>81</v>
      </c>
      <c r="CB2" s="495" t="s">
        <v>79</v>
      </c>
      <c r="CC2" s="496" t="s">
        <v>80</v>
      </c>
      <c r="CD2" s="496" t="s">
        <v>81</v>
      </c>
      <c r="CE2" s="497" t="s">
        <v>80</v>
      </c>
      <c r="CF2" s="497" t="s">
        <v>81</v>
      </c>
      <c r="CG2" s="497" t="s">
        <v>79</v>
      </c>
      <c r="CH2" s="514" t="s">
        <v>324</v>
      </c>
    </row>
    <row r="3">
      <c r="A3" s="515"/>
      <c r="B3" s="516"/>
      <c r="C3" s="516"/>
      <c r="D3" s="517">
        <f t="shared" ref="D3:E3" si="1">SUM(D4:D2220)</f>
        <v>5472438.603</v>
      </c>
      <c r="E3" s="518">
        <f t="shared" si="1"/>
        <v>2850104.225</v>
      </c>
      <c r="F3" s="519">
        <f t="shared" ref="F3:O3" si="2">SUM(F4:F220)</f>
        <v>6327.206771</v>
      </c>
      <c r="G3" s="519">
        <f t="shared" si="2"/>
        <v>37362.22505</v>
      </c>
      <c r="H3" s="519">
        <f t="shared" si="2"/>
        <v>212349.4069</v>
      </c>
      <c r="I3" s="520">
        <f t="shared" si="2"/>
        <v>55206.12181</v>
      </c>
      <c r="J3" s="520">
        <f t="shared" si="2"/>
        <v>182926.8088</v>
      </c>
      <c r="K3" s="520">
        <f t="shared" si="2"/>
        <v>836441.434</v>
      </c>
      <c r="L3" s="521">
        <f t="shared" si="2"/>
        <v>278298.4756</v>
      </c>
      <c r="M3" s="521">
        <f t="shared" si="2"/>
        <v>226241.5976</v>
      </c>
      <c r="N3" s="521">
        <f t="shared" si="2"/>
        <v>860269.4315</v>
      </c>
      <c r="O3" s="522">
        <f t="shared" si="2"/>
        <v>1342797.5</v>
      </c>
      <c r="P3" s="523"/>
      <c r="Q3" s="523"/>
      <c r="R3" s="524">
        <f>average(R4:R220)</f>
        <v>0.60705</v>
      </c>
      <c r="S3" s="525">
        <f>AVERAGEIFS(R4:R220,R4:R220,"&lt;&gt;""",R4:R220,"&gt;0")</f>
        <v>0.6648642857</v>
      </c>
      <c r="T3" s="526" t="s">
        <v>83</v>
      </c>
      <c r="U3" s="527">
        <f>AVERAGEIF(T4:T220,"&lt;&gt;""",T4:T220)</f>
        <v>0.53016</v>
      </c>
      <c r="V3" s="528" t="s">
        <v>83</v>
      </c>
      <c r="W3" s="529">
        <f>AVERAGEIF(V4:V220,"&lt;&gt;""",V4:V220)</f>
        <v>0.6822016949</v>
      </c>
      <c r="X3" s="530" t="s">
        <v>83</v>
      </c>
      <c r="Y3" s="531">
        <f>AVERAGEIF(X4:X220,"&lt;&gt;""",X4:X220)</f>
        <v>0.6515086957</v>
      </c>
      <c r="Z3" s="522"/>
      <c r="AA3" s="522"/>
      <c r="AB3" s="532" t="s">
        <v>83</v>
      </c>
      <c r="AC3" s="533">
        <f>AVERAGEIFS(AB4:AB220,AB4:AB220,"&lt;&gt;""",AB4:AB220,"&gt;0")</f>
        <v>0.7192241206</v>
      </c>
      <c r="AD3" s="534">
        <f>average(AD4:AD220)</f>
        <v>0.008461589166</v>
      </c>
      <c r="AE3" s="535">
        <f t="shared" ref="AE3:AJ3" si="3">AVERAGE(AE4:AE220)</f>
        <v>0.02439823011</v>
      </c>
      <c r="AF3" s="527">
        <f t="shared" si="3"/>
        <v>0.004675174926</v>
      </c>
      <c r="AG3" s="536">
        <f t="shared" si="3"/>
        <v>0.01824369922</v>
      </c>
      <c r="AH3" s="536">
        <f t="shared" si="3"/>
        <v>0.05992057448</v>
      </c>
      <c r="AI3" s="537">
        <f t="shared" si="3"/>
        <v>0.02716625319</v>
      </c>
      <c r="AJ3" s="537">
        <f t="shared" si="3"/>
        <v>0.03422855854</v>
      </c>
      <c r="AK3" s="538">
        <f t="shared" ref="AK3:AM3" si="4">average(AK4:AK220)</f>
        <v>0.05130311511</v>
      </c>
      <c r="AL3" s="538">
        <f t="shared" si="4"/>
        <v>0.06087459468</v>
      </c>
      <c r="AM3" s="539">
        <f t="shared" si="4"/>
        <v>0.004302273721</v>
      </c>
      <c r="AN3" s="523"/>
      <c r="AO3" s="524">
        <f>AVERAGE(AO4:AO220)</f>
        <v>0.3361596774</v>
      </c>
      <c r="AP3" s="523"/>
      <c r="AQ3" s="524">
        <f>AVERAGE(AQ4:AQ220)</f>
        <v>0.5095136329</v>
      </c>
      <c r="AR3" s="523"/>
      <c r="AS3" s="524">
        <f>AVERAGE(AS4:AS220)</f>
        <v>0.4266667627</v>
      </c>
      <c r="AT3" s="540" t="s">
        <v>388</v>
      </c>
      <c r="AU3" s="541">
        <f>average(AU4:AU219)</f>
        <v>0.7653645056</v>
      </c>
      <c r="AV3" s="542" t="s">
        <v>388</v>
      </c>
      <c r="AW3" s="543">
        <f>average(AW4:AW220)</f>
        <v>0.3998312734</v>
      </c>
      <c r="AX3" s="542" t="s">
        <v>388</v>
      </c>
      <c r="AY3" s="543">
        <f>average(AY4:AY220)</f>
        <v>0.4876490975</v>
      </c>
      <c r="AZ3" s="542" t="s">
        <v>388</v>
      </c>
      <c r="BA3" s="543">
        <f>average(BA4:BA220)</f>
        <v>0.6221826037</v>
      </c>
      <c r="BB3" s="544" t="s">
        <v>388</v>
      </c>
      <c r="BC3" s="545">
        <f>average(BC4:BC220)</f>
        <v>0.7751565075</v>
      </c>
      <c r="BD3" s="544" t="s">
        <v>388</v>
      </c>
      <c r="BE3" s="545">
        <f>average(BE4:BE220)</f>
        <v>0.406221682</v>
      </c>
      <c r="BF3" s="546" t="s">
        <v>388</v>
      </c>
      <c r="BG3" s="547">
        <f>average(BG4:BG220)</f>
        <v>0.939005914</v>
      </c>
      <c r="BH3" s="546" t="s">
        <v>388</v>
      </c>
      <c r="BI3" s="547">
        <f>average(BI4:BI220)</f>
        <v>0.8773700077</v>
      </c>
      <c r="BJ3" s="546" t="s">
        <v>388</v>
      </c>
      <c r="BK3" s="547">
        <f>average(BK4:BK220)</f>
        <v>0.848</v>
      </c>
      <c r="BL3" s="548" t="s">
        <v>388</v>
      </c>
      <c r="BM3" s="533">
        <f>average(BM4:BM220)</f>
        <v>0.7051968649</v>
      </c>
      <c r="BN3" s="549" t="s">
        <v>85</v>
      </c>
      <c r="BO3" s="550" t="s">
        <v>85</v>
      </c>
      <c r="BP3" s="551" t="s">
        <v>85</v>
      </c>
      <c r="BQ3" s="552" t="s">
        <v>86</v>
      </c>
      <c r="BR3" s="516"/>
      <c r="BS3" s="516"/>
      <c r="BT3" s="516"/>
      <c r="BU3" s="516"/>
      <c r="BV3" s="516"/>
      <c r="BW3" s="553">
        <f t="shared" ref="BW3:CH3" si="5">SUM(BW4:BW220)</f>
        <v>23746.10761</v>
      </c>
      <c r="BX3" s="553">
        <f t="shared" si="5"/>
        <v>279801.0686</v>
      </c>
      <c r="BY3" s="554">
        <f t="shared" si="5"/>
        <v>1012603.39</v>
      </c>
      <c r="BZ3" s="555">
        <f t="shared" si="5"/>
        <v>6406.04011</v>
      </c>
      <c r="CA3" s="555">
        <f t="shared" si="5"/>
        <v>839.0276863</v>
      </c>
      <c r="CB3" s="555">
        <f t="shared" si="5"/>
        <v>7565.484002</v>
      </c>
      <c r="CC3" s="556">
        <f t="shared" si="5"/>
        <v>46906.27412</v>
      </c>
      <c r="CD3" s="556">
        <f t="shared" si="5"/>
        <v>14.68700392</v>
      </c>
      <c r="CE3" s="557">
        <f t="shared" si="5"/>
        <v>379529.0143</v>
      </c>
      <c r="CF3" s="557">
        <f t="shared" si="5"/>
        <v>2044.840147</v>
      </c>
      <c r="CG3" s="557">
        <f t="shared" si="5"/>
        <v>296024.0243</v>
      </c>
      <c r="CH3" s="558">
        <f t="shared" si="5"/>
        <v>52587.21669</v>
      </c>
    </row>
    <row r="4">
      <c r="A4" s="559" t="s">
        <v>87</v>
      </c>
      <c r="B4" s="560" t="s">
        <v>88</v>
      </c>
      <c r="C4" s="561">
        <v>3.3736494E7</v>
      </c>
      <c r="D4" s="562">
        <v>0.0</v>
      </c>
      <c r="E4" s="563">
        <v>0.0</v>
      </c>
      <c r="F4" s="564">
        <v>11.39370014</v>
      </c>
      <c r="G4" s="564">
        <v>63.95464067</v>
      </c>
      <c r="H4" s="564">
        <v>165.7892201</v>
      </c>
      <c r="I4" s="565">
        <v>88.75523904</v>
      </c>
      <c r="J4" s="566">
        <v>293.906839856425</v>
      </c>
      <c r="K4" s="566">
        <v>978.498048710622</v>
      </c>
      <c r="L4" s="567">
        <v>3831.673855</v>
      </c>
      <c r="M4" s="568">
        <v>6286.50546308363</v>
      </c>
      <c r="N4" s="568">
        <v>14783.2008224356</v>
      </c>
      <c r="O4" s="569">
        <v>0.0</v>
      </c>
      <c r="P4" s="570"/>
      <c r="Q4" s="150"/>
      <c r="R4" s="571"/>
      <c r="S4" s="116">
        <f t="shared" ref="S4:S220" si="6">IFERROR(IF(R4&lt;&gt;"",R4, IF(AVERAGEIFS($R$4:$R$220,$B$4:$B$220,$B4,$R$4:$R$220,"&lt;&gt;""")&gt;0,AVERAGEIFS($R$4:$R$220,$B$4:$B$220,$B4,$R$4:$R$220,"&lt;&gt;"""))),$S$3)</f>
        <v>0.1495</v>
      </c>
      <c r="T4" s="151"/>
      <c r="U4" s="572">
        <f t="shared" ref="U4:U220" si="7">IFERROR(IF(T4&lt;&gt;"",T4, IF(AVERAGEIFS($T$4:$T$220,$B$4:$B$220,$B4,$T$4:$T$220,"&lt;&gt;""")&gt;0,AVERAGEIFS($T$4:$T$220,$B$4:$B$220,$B4,$T$4:$T$220,"&lt;&gt;"""))),$U$3)</f>
        <v>0.65895</v>
      </c>
      <c r="V4" s="573">
        <v>1.0</v>
      </c>
      <c r="W4" s="574">
        <f t="shared" ref="W4:W220" si="8">IFERROR(IF(V4&lt;&gt;"",V4,IF(AVERAGEIFS($V$4:$V$220,$B$4:$B$220,$B4,$V$4:$V$220,"&lt;&gt;""")&gt;0,AVERAGEIFS($V$4:$V$220,$B$4:$B$220,$B4,$V$4:$V$220,"&lt;&gt;"""))),W$3)</f>
        <v>1</v>
      </c>
      <c r="X4" s="573">
        <v>0.7965</v>
      </c>
      <c r="Y4" s="574">
        <f t="shared" ref="Y4:Y220" si="9">IFERROR(IF(X4&lt;&gt;"",X4,IF(AVERAGEIFS($X$4:$X$220,$B$4:$B$220,$B4,$X$4:$X$220,"&lt;&gt;""")&gt;0,AVERAGEIFS($X$4:$X$220,$B$4:$B$220,$B4,$X$4:$X$220,"&lt;&gt;"""))),Y$3)</f>
        <v>0.7965</v>
      </c>
      <c r="Z4" s="308"/>
      <c r="AA4" s="308"/>
      <c r="AB4" s="575" t="str">
        <f t="shared" ref="AB4:AB218" si="10">IFERROR(AA4/Z4,"")</f>
        <v/>
      </c>
      <c r="AC4" s="576">
        <f t="shared" ref="AC4:AC218" si="11">IFERROR(IF(AND(AB4&lt;&gt;"",AB4&gt;0),AB4, IF(AVERAGEIFS($AB$4:$AB$220,$B$4:$B$220,$B4,$AB$4:$AB$220,"&lt;&gt;""")&gt;0,AVERAGEIFS($AB$4:$AB$220,$B$4:$B$220,$B4,$AB$4:$AB$220,"&lt;&gt;"""))),AC$3)</f>
        <v>0.4586145155</v>
      </c>
      <c r="AD4" s="577">
        <v>0.0</v>
      </c>
      <c r="AE4" s="572">
        <v>0.0</v>
      </c>
      <c r="AF4" s="578">
        <v>0.0</v>
      </c>
      <c r="AG4" s="132">
        <v>0.0263289405</v>
      </c>
      <c r="AH4" s="132">
        <v>0.086414082</v>
      </c>
      <c r="AI4" s="579">
        <v>0.01372968708</v>
      </c>
      <c r="AJ4" s="579">
        <v>0.01730599538</v>
      </c>
      <c r="AK4" s="580">
        <v>0.2236475412</v>
      </c>
      <c r="AL4" s="580">
        <v>0.2682290648</v>
      </c>
      <c r="AM4" s="581">
        <v>0.0</v>
      </c>
      <c r="AN4" s="571" t="str">
        <f>IFERROR(
  AVERAGEIFS(
    'New LF Efficacy'!$J:$J,
    'New LF Efficacy'!$D:$D, $A4,
    'New LF Efficacy'!$F:$F,"DEC", 
    'New LF Efficacy'!$W:$W,"&lt;2016",
    'New LF Efficacy'!$AA:$AA,""),
  ""
)</f>
        <v/>
      </c>
      <c r="AO4" s="582">
        <f t="shared" ref="AO4:AO220" si="12">IFERROR(
  IFERROR(
    IF(
      AN4&lt;&gt;"",
      AN4,
      AVERAGEIFS($AN$4:$AN$220,$B$4:$B$220,B4,$AN$4:$AN$220,"&lt;&gt;""")
    ), 
    AVERAGEIFS($AN$4:$AN$220,$AN$4:$AN$220,"&lt;&gt;""")
  ),
  "")</f>
        <v>0.3573520833</v>
      </c>
      <c r="AP4" s="571" t="str">
        <f>IFERROR(
AVERAGEIFS(
'New LF Efficacy'!$K:$K,
'New LF Efficacy'!$D:$D,$A4,
'New LF Efficacy'!$F:$F,"Albendazole &amp; DEC",
'New LF Efficacy'!$W:$W,"&lt;2016",
'New LF Efficacy'!$AA:$AA,""),
"")</f>
        <v/>
      </c>
      <c r="AQ4" s="582">
        <f t="shared" ref="AQ4:AQ220" si="13">IFERROR(IFERROR(IF(AP4&lt;&gt;"",AP4,AVERAGEIFS($AP$4:$AP$220,$B$4:$B$220,B4,$AP$4:$AP$220,"&lt;&gt;""")), AVERAGEIFS($AP$4:$AP$220,$AP$4:$AP$220,"&lt;&gt;""")),"")</f>
        <v>0.7935</v>
      </c>
      <c r="AR4" s="571" t="str">
        <f>IFERROR(
AVERAGEIFS(
'New LF Efficacy'!$J:$J,
'New LF Efficacy'!$D:$D,$A4,
'New LF Efficacy'!$F:$F,"Albendazole &amp; Ivermectin", 
'New LF Efficacy'!$W:$W,"&lt;2016",
'New LF Efficacy'!$AA:$AA,""),"")</f>
        <v/>
      </c>
      <c r="AS4" s="582">
        <f t="shared" ref="AS4:AS220" si="14">IFERROR(IFERROR(IF(AR4&lt;&gt;"",AR4,AVERAGEIFS($AR$4:$AR$220,$B$4:$B$220,B4,$AR$4:$AR$220,"&lt;&gt;""")), AVERAGEIFS($AR$4:$AR$220,$AR$4:$AR$220,"&lt;&gt;""")),"")</f>
        <v>0.37153125</v>
      </c>
      <c r="AT4" s="583" t="str">
        <f>IFERROR(AVERAGEIFS(
'Schist Efficacy'!$O:$O, 
'Schist Efficacy'!$C:$C,$A4, 
'Schist Efficacy'!$D:$D, "Praziquantel",
'Schist Efficacy'!$J:$J,"&lt;2016",
'Schist Efficacy'!$U:$U,""),
"")</f>
        <v/>
      </c>
      <c r="AU4" s="572">
        <f t="shared" ref="AU4:AU220" si="15">IFERROR(
IFERROR(
IF(AT4&lt;&gt;"",AT4,AVERAGEIFS(AT$4:AT$220,$B$4:$B$220,$B4,AT$4:AT$220,"&lt;&gt;""")),IFERROR(AVERAGE(AT$4:AT$220))),
"No Data")</f>
        <v>0.7763141026</v>
      </c>
      <c r="AV4" s="131" t="str">
        <f>IFERROR(AVERAGEIFS(
'STH Efficacy'!$AX:$AX, 
'STH Efficacy'!$AL:$AL, $A4, 
'STH Efficacy'!$AM:$AM, "Albendazole",
'STH Efficacy'!$AS:$AS,"&lt;2016",
'STH Efficacy'!$BP:$BP,""),
"")</f>
        <v/>
      </c>
      <c r="AW4" s="132">
        <f t="shared" ref="AW4:AW220" si="16">IFERROR(IFERROR(IF(AV4&lt;&gt;"",AV4,AVERAGEIFS(AV$4:AV$220,$B$4:$B$220,$B4,AV$4:AV$220,"&gt; 0")), AVERAGEIFS(AV$4:AV$220,AV$4:AV$220,"&lt;&gt;""")),"")</f>
        <v>0.4143846154</v>
      </c>
      <c r="AX4" s="131" t="str">
        <f>IFERROR(AVERAGEIFS(
'STH Efficacy'!$AX:$AX, 
'STH Efficacy'!$AL:$AL, $A4, 
'STH Efficacy'!$AM:$AM, "Mebendazole",
'STH Efficacy'!$AS:$AS,"&lt;2016",
'STH Efficacy'!$BP:$BP,""),
"")</f>
        <v/>
      </c>
      <c r="AY4" s="132">
        <f t="shared" ref="AY4:AY220" si="17">IFERROR(IFERROR(IF(AX4&lt;&gt;"",AX4,AVERAGEIFS(AX$4:AX$220,$B$4:$B$220,$B4,AX$4:AX$220,"&gt; 0")), AVERAGEIFS(AX$4:AX$220,AX$4:AX$220,"&lt;&gt;""")),"")</f>
        <v>0.4691770833</v>
      </c>
      <c r="AZ4" s="131" t="str">
        <f>IFERROR(AVERAGEIFS(
'STH Efficacy'!$AX:$AX, 
'STH Efficacy'!$AL:$AL, $A4, 
'STH Efficacy'!$AM:$AM, "Albendazole &amp; Ivermectin",
'STH Efficacy'!$AS:$AS,"&lt;2016",
'STH Efficacy'!$BP:$BP,""),
"")</f>
        <v/>
      </c>
      <c r="BA4" s="303">
        <f t="shared" ref="BA4:BA220" si="18">IFERROR(IFERROR(IF(AZ4&lt;&gt;"",AZ4,AVERAGEIFS(AZ$4:AZ$220,$B$4:$B$220,$B4,AZ$4:AZ$220,"&gt; 0")), AVERAGEIFS(AZ$4:AZ$220,AZ$4:AZ$220,"&lt;&gt;""")),"")</f>
        <v>0.597625</v>
      </c>
      <c r="BB4" s="584" t="str">
        <f>IFERROR(AVERAGEIFS(
'STH Efficacy'!$N:$N, 
'STH Efficacy'!$B:$B, $A4, 
'STH Efficacy'!$C:$C, "Albendazole",
'STH Efficacy'!$I:$I,"&lt;2016",
'STH Efficacy'!$AH:$AH,""),
"")</f>
        <v/>
      </c>
      <c r="BC4" s="579">
        <f t="shared" ref="BC4:BC220" si="19">IFERROR(
  IFERROR(
    IF(
      BB4&lt;&gt;"",
      BB4,
      AVERAGEIFS(
        BB$4:BB$220,
        $B$4:$B$220,$B4,
        BB$4:BB$220,"&lt;&gt;"""
      )
     ), AVERAGEIFS(BB$4:BB$220,BB$4:BB$220,"&lt;&gt;""")),"")</f>
        <v>0.7613712121</v>
      </c>
      <c r="BD4" s="584" t="str">
        <f>IFERROR(AVERAGEIFS(
'STH Efficacy'!$N:$N, 
'STH Efficacy'!$B:$B, $A4, 
'STH Efficacy'!$C:$C, "Mebendazole",
'STH Efficacy'!$I:$I,"&lt;2016",
'STH Efficacy'!$AH:$AH,""),
"")</f>
        <v/>
      </c>
      <c r="BE4" s="579">
        <f t="shared" ref="BE4:BE220" si="20">IFERROR(
  IFERROR(
    IF(
      BD4&lt;&gt;"",
      BD4,
      AVERAGEIFS(
        BD$4:BD$220,
        $B$4:$B$220,$B4,
        BD$4:BD$220,"&gt; 0"
      )
     ), AVERAGEIFS(BD$4:BD$220,BD$4:BD$220,"&lt;&gt;""")),"")</f>
        <v>0.4362466667</v>
      </c>
      <c r="BF4" s="585" t="str">
        <f>IFERROR(AVERAGEIFS(
'STH Efficacy'!$CD:$CD, 
'STH Efficacy'!$BS:$BS, $A4, 
'STH Efficacy'!$BT:$BT, "Albendazole",
'STH Efficacy'!$BZ:$BZ,"&lt;2016",
'STH Efficacy'!$CU:$CU,""),
"")</f>
        <v/>
      </c>
      <c r="BG4" s="580">
        <f t="shared" ref="BG4:BG220" si="21">IFERROR(IFERROR(IF(BF4&lt;&gt;"",BF4,AVERAGEIFS(BF$4:BF$220,$B$4:$B$220,$B4,BF$4:BF$220,"&gt; 0")), AVERAGEIFS(BF$4:BF$220,BF$4:BF$220,"&lt;&gt;""")),"")</f>
        <v>0.955</v>
      </c>
      <c r="BH4" s="585" t="str">
        <f>IFERROR(AVERAGEIFS(
'STH Efficacy'!$CD:$CD, 
'STH Efficacy'!$BS:$BS, $A4, 
'STH Efficacy'!$BT:$BT, "Mebendazole",
'STH Efficacy'!$BZ:$BZ,"&lt;2016",
'STH Efficacy'!$CU:$CU,""),
"")</f>
        <v/>
      </c>
      <c r="BI4" s="580">
        <f t="shared" ref="BI4:BI220" si="22">IFERROR(IFERROR(IF(BH4&lt;&gt;"",BH4,AVERAGEIFS(BH$4:BH$220,$B$4:$B$220,$B4,BH$4:BH$220,"&gt; 0")), AVERAGEIFS(BH$4:BH$220,BH$4:BH$220,"&lt;&gt;""")),"")</f>
        <v>1</v>
      </c>
      <c r="BJ4" s="585" t="str">
        <f>IFERROR(AVERAGEIFS(
'STH Efficacy'!$CD:$CD, 
'STH Efficacy'!$BS:$BS, $A4, 
'STH Efficacy'!$BT:$BT, "Albendazole &amp; Ivermectin",
'STH Efficacy'!$BZ:$BZ,"&lt;2016",
'STH Efficacy'!$CU:$CU,""),
"")</f>
        <v/>
      </c>
      <c r="BK4" s="580">
        <f t="shared" ref="BK4:BK220" si="23">IFERROR(IFERROR(IF(BJ4&lt;&gt;"",BJ4,AVERAGEIFS(BJ$4:BJ$220,$B$4:$B$220,$B4,BJ$4:BJ$220,"&gt; 0")), AVERAGEIFS(BJ$4:BJ$220,BJ$4:BJ$220,"&lt;&gt;""")),"")</f>
        <v>0.848</v>
      </c>
      <c r="BL4" s="575" t="str">
        <f>IFERROR(
  AVERAGEIFS(
    'NEW Onchocerciasis Efficacy'!$AO:$AO,
    'NEW Onchocerciasis Efficacy'!$C:$C,$A4,
    'NEW Onchocerciasis Efficacy'!$D:$D,"Ivermectin",
    'NEW Onchocerciasis Efficacy'!$AR:$AR,"&lt;2016",
    'NEW Onchocerciasis Efficacy'!$BG:$BG,"")
,"")</f>
        <v/>
      </c>
      <c r="BM4" s="586">
        <f t="shared" ref="BM4:BM220" si="24">iferror(IF(BL4&lt;&gt;"",BL4,IF(AVERAGEIF($B$4:$B$220,B4,$BL$4:$BL$220)&gt;0,AVERAGEIF($B$4:$B$220,B4,$BL$4:BL$220),AVERAGE($BL$4:$BL$220))),AVERAGE($BL$4:$BL$220))</f>
        <v>0.7808368939</v>
      </c>
      <c r="BN4" s="587">
        <v>0.0</v>
      </c>
      <c r="BO4" s="588">
        <v>0.0</v>
      </c>
      <c r="BP4" s="589">
        <v>0.0</v>
      </c>
      <c r="BQ4" s="590">
        <f t="shared" ref="BQ4:BQ220" si="25">IFERROR(IF(AVERAGE(AH4, AJ4, AL4)&gt;=50%, 2, IF(AVERAGE(AH4, AJ4, AL4)&gt;=20%,1,0)),0)</f>
        <v>0</v>
      </c>
      <c r="BR4" s="560" t="str">
        <f t="shared" ref="BR4:BR220" si="26">BN4&amp;BO4&amp;BP4&amp;BQ4</f>
        <v>0000</v>
      </c>
      <c r="BS4" s="560" t="str">
        <f t="shared" ref="BS4:BS220" si="27">IF(OR(BR4="1112",BR4="0112"),"MDA1+T1",IF(OR(BR4="1111",BR4="1110",BR4="0111"),"MDA1+T2",IF(OR(BR4="1102",BR4="0102"),"MDA1+T3",IF(OR(BR4="1101",BR4="1100",BR4="0101"),"MDA1",IF(BR4="1012","MDA1/2+T1",IF(OR(BR4="1011",BR4="1010"),"MDA1/2+T2",IF(BR4="1002","MDA1/2+T3",IF(OR(BR4="1001",BR4="1000"),"MDA1/2",IF(BR4="0110","MDA3+T2",IF(BR4="0100","MDA3",IF(BR4="0012","T1+T3",IF(BR4="0011","T1",IF(BR4="0010","T2",IF(BR4="0002","T3+T3",IF(BR4="0001","T3",IF(BR4="0000","no action required"))))))))))))))))</f>
        <v>no action required</v>
      </c>
      <c r="BT4" s="361" t="str">
        <f t="shared" ref="BT4:BT117" si="28">IF(BS4="no action required","",IF(BS4="MDA1","IVM+ALB",IF(BS4="MDA3","IVM",IF(BS4="T1","ALB+PZQ or MBD+PZQ",IF(BS4="T2","PZQ",IF(BS4="T3","ALB or MBD",IF(BS4="MDA1+T1","IVM+ALB",IF(BS4="MDA1+T2","IVM+ALB",IF(BS4="MDA1+T3","IVM+ALB",IF(BS4="MDA1/2+T1","IVM+ALB or DEC+ALB",IF(BS4="MDA1/2+T2","IVM+ALB or DEC +ALB",IF(BS4="MDA1/2+T3","IVM+ALB of DEC+ALB",IF(BS4="MDA1/2","IVM+ALB or DEC+ALB",IF(BS4="MDA3+T2","IVM",IF(BS4="T1+T3","ALB+PZQ or MBD+PZQ",IF(BS4="T3+T3","2(ALB or MBD)"))))))))))))))))</f>
        <v/>
      </c>
      <c r="BU4" s="591" t="str">
        <f t="shared" ref="BU4:BU221" si="29">if(BS4="T2","PZQ",IF(IF(BS4="MDA1+T1","ALB+PZQ or MBD+PZQ",IF(BS4="MDA1+T2","PZQ",IF(BS4="MDA1+T3","ALB or MBD",IF(BS4="MDA1/2+T1","ALB+PZQ or MBD+PZQ",IF(BS4="MDA1/2+T2","PZQ",IF(BS4="MDA1/2+T3","ALB or MBD",IF(BS4="MDA3+T2","PZQ",IF(BS4="T1+T3","ALB or MBD"))))))))=FALSE,"",IF(BS4="MDA1+T1","ALB+PZQ or MBD+PZQ",IF(BS4="MDA1+T2","PZQ",IF(BS4="MDA1+T3","ALB or MBD",IF(BS4="MDA1/2+T1","ALB+PZQ or MBD+PZQ",IF(BS4="MDA1/2+T2","PZQ",IF(BS4="MDA1/2+T3","ALB or MBD",IF(BS4="MDA3+T2","PZQ",IF(BS4="T1+T3","ALB or MBD"))))))))))</f>
        <v/>
      </c>
      <c r="BV4" s="560" t="str">
        <f t="shared" ref="BV4:BV220" si="30">IF(BR4=$BR$221,$BS$221,IF(BR4=$BR$222,$BS$222,IF(BR4=$BR$223,$BS$223,IF(BR4=$BR$224,$BS$224,IF(BR4=$BR$225,$BS$225,IF(BR4=$BR$226,$BS$226,IF(BR4=$BR$227,$BS$227,IF(BR4=$BR$228,$BS$228,IF(BR4=$BR$229,$BS$229,IF(BR4=$BR$230,$BS$230,IF(BR4=$BR$231,$BS$231,IF(BR4=$BR$232,$BS$232,IF(BR4=$BR$233,$BS$233,IF(BR4=$BR$234,$BS$234,IF(BR4=$BR$235,$BS$235,IF(BR4=$BR$236,$BS$236))))))))))))))))</f>
        <v>none</v>
      </c>
      <c r="BW4" s="592" t="str">
        <f t="shared" ref="BW4:BW220" si="31">iferror(IF(and(search("lf",$BV4),search(BW$2,$BT4)),(($D4*$AQ4*$S4)/(1-$AQ4*$S4))," "))</f>
        <v/>
      </c>
      <c r="BX4" s="592" t="str">
        <f t="shared" ref="BX4:BX220" si="32">iferror(IF(and(search("lf",$BV4),search(BX$2,$BT4)),(($D4*$AS4*$S4)/(1-$AS4*$S4))," "))</f>
        <v/>
      </c>
      <c r="BY4" s="593" t="str">
        <f t="shared" ref="BY4:BY220" si="33">iferror(IF(and(search("schist",$BV4),search(BY$2,$BU4)),(($E4*$AU4*$U4)/(1-$AU4*$U4)),""))</f>
        <v/>
      </c>
      <c r="BZ4" s="594" t="str">
        <f t="shared" ref="BZ4:BZ220" si="34">iferror(IF(AND(search("sth",$BV4),search(BZ$2,$BT4)),((($G4*$AW4*$Y4)/(1-$AW4*$Y4)))+(($F4*$AW4*$W4)/(1-$AW4*$W4)),""),"")</f>
        <v/>
      </c>
      <c r="CA4" s="594" t="str">
        <f t="shared" ref="CA4:CA220" si="35">iferror(IF(AND(search("sth",$BV4),search(CA$2,$BT4)),((($G4*$AY4*$Y4)/(1-$AY4*$Y4)))+(($F4*$AY4*$W4)/(1-$AY4*$W4)),""),"")</f>
        <v/>
      </c>
      <c r="CB4" s="594" t="str">
        <f t="shared" ref="CB4:CB220" si="36">iferror(IF(AND(search("sth",$BV4),search(CB$2,$BT4)),((($G4*$BA4*$Y4)/(1-$BA4*$Y4)))+(($F4*$BA4*$W4)/(1-$BA4*$W4)),""),"")</f>
        <v/>
      </c>
      <c r="CC4" s="595" t="str">
        <f t="shared" ref="CC4:CC220" si="37">iferror(IF(AND(search("sth",$BV4),search(CC$2,$BT4)),((($J4*$BC4*$Y4)/(1-$BC4*$Y4)))+(($I4*$BC4*$W4)/(1-$BC4*$W4)),""),"")</f>
        <v/>
      </c>
      <c r="CD4" s="595" t="str">
        <f t="shared" ref="CD4:CD220" si="38">iferror(IF(AND(search("sth",$BV4),search(CD$2,$BT4)),((($J4*$BE4*$Y4)/(1-$BE4*$Y4)))+(($I4*$BE4*$W4)/(1-$BE4*$W4)),""),"")</f>
        <v/>
      </c>
      <c r="CE4" s="596" t="str">
        <f t="shared" ref="CE4:CE220" si="39">iferror(IF(AND(search("sth",$BV4),search(CE$2,$BT4)),((($M4*$BG4*$Y4)/(1-$BG4*$Y4)))+(($L4*$BG4*$W4)/(1-$BG4*$W4)),""),"")</f>
        <v/>
      </c>
      <c r="CF4" s="596" t="str">
        <f t="shared" ref="CF4:CF220" si="40">iferror(IF(AND(search("sth",$BV4),search(CF$2,$BT4)),((($M4*$BI4*$Y4)/(1-$BI4*$Y4)))+(($L4*$BI4*$W4)/(1-$BI4*$W4)),""),"")</f>
        <v/>
      </c>
      <c r="CG4" s="596" t="str">
        <f t="shared" ref="CG4:CG220" si="41">iferror(IF(AND(search("sth",$BV4),search(CG$2,$BT4)),((($M4*$BK4*$Y4)/(1-$BK4*$Y4)))+(($L4*$BK4*$W4)/(1-$BK4*$W4)),""),"")</f>
        <v/>
      </c>
      <c r="CH4" s="597" t="str">
        <f t="shared" ref="CH4:CH220" si="42">iferror(if(AND(search("onch",$BV4),search(CH$2,$BT4)),(($O4*$BM4*$AC4)/(1-$BM4*$AC4))/30,""))</f>
        <v/>
      </c>
    </row>
    <row r="5">
      <c r="A5" s="559" t="s">
        <v>89</v>
      </c>
      <c r="B5" s="560" t="s">
        <v>90</v>
      </c>
      <c r="C5" s="561">
        <v>2880703.0</v>
      </c>
      <c r="D5" s="562">
        <v>0.0</v>
      </c>
      <c r="E5" s="563">
        <v>0.0</v>
      </c>
      <c r="F5" s="564">
        <v>0.0</v>
      </c>
      <c r="G5" s="564">
        <v>0.0</v>
      </c>
      <c r="H5" s="564">
        <v>0.0</v>
      </c>
      <c r="I5" s="565">
        <v>0.0</v>
      </c>
      <c r="J5" s="566">
        <v>0.0</v>
      </c>
      <c r="K5" s="566">
        <v>0.0</v>
      </c>
      <c r="L5" s="567">
        <v>0.252075881</v>
      </c>
      <c r="M5" s="568">
        <v>0.153075529436507</v>
      </c>
      <c r="N5" s="568">
        <v>0.539981610011452</v>
      </c>
      <c r="O5" s="569">
        <v>0.0</v>
      </c>
      <c r="P5" s="570"/>
      <c r="Q5" s="150"/>
      <c r="R5" s="571"/>
      <c r="S5" s="116">
        <f t="shared" si="6"/>
        <v>0.6648642857</v>
      </c>
      <c r="T5" s="151"/>
      <c r="U5" s="572">
        <f t="shared" si="7"/>
        <v>0.53016</v>
      </c>
      <c r="V5" s="598"/>
      <c r="W5" s="574" t="b">
        <f t="shared" si="8"/>
        <v>0</v>
      </c>
      <c r="X5" s="598"/>
      <c r="Y5" s="574">
        <f t="shared" si="9"/>
        <v>0.631675</v>
      </c>
      <c r="Z5" s="308"/>
      <c r="AA5" s="308"/>
      <c r="AB5" s="575" t="str">
        <f t="shared" si="10"/>
        <v/>
      </c>
      <c r="AC5" s="576">
        <f t="shared" si="11"/>
        <v>0.7192241206</v>
      </c>
      <c r="AD5" s="577">
        <v>0.0</v>
      </c>
      <c r="AE5" s="572">
        <v>0.0</v>
      </c>
      <c r="AF5" s="578">
        <v>0.0</v>
      </c>
      <c r="AG5" s="132">
        <v>0.0</v>
      </c>
      <c r="AH5" s="132">
        <v>0.0</v>
      </c>
      <c r="AI5" s="579">
        <v>0.0</v>
      </c>
      <c r="AJ5" s="579">
        <v>0.0</v>
      </c>
      <c r="AK5" s="580">
        <v>0.0</v>
      </c>
      <c r="AL5" s="580">
        <v>0.0</v>
      </c>
      <c r="AM5" s="581">
        <v>0.0</v>
      </c>
      <c r="AN5" s="571" t="str">
        <f>IFERROR(
  AVERAGEIFS(
    'New LF Efficacy'!$J:$J,
    'New LF Efficacy'!$D:$D, $A5,
    'New LF Efficacy'!$F:$F,"DEC", 
    'New LF Efficacy'!$W:$W,"&lt;2016",
    'New LF Efficacy'!$AA:$AA,""),
  ""
)</f>
        <v/>
      </c>
      <c r="AO5" s="582">
        <f t="shared" si="12"/>
        <v>0.3573520833</v>
      </c>
      <c r="AP5" s="571" t="str">
        <f>IFERROR(
AVERAGEIFS(
'New LF Efficacy'!$J:$J,
'New LF Efficacy'!$D:$D,$A5,
'New LF Efficacy'!$F:$F,"Albendazole &amp; DEC",
'New LF Efficacy'!$W:$W,"&lt;2016",
'New LF Efficacy'!$AA:$AA,""),
"")</f>
        <v/>
      </c>
      <c r="AQ5" s="582">
        <f t="shared" si="13"/>
        <v>0.5143541667</v>
      </c>
      <c r="AR5" s="571" t="str">
        <f>IFERROR(
AVERAGEIFS(
'New LF Efficacy'!$J:$J,
'New LF Efficacy'!$D:$D,$A5,
'New LF Efficacy'!$F:$F,"Albendazole &amp; Ivermectin", 
'New LF Efficacy'!$W:$W,"&lt;2016",
'New LF Efficacy'!$AA:$AA,""),"")</f>
        <v/>
      </c>
      <c r="AS5" s="582">
        <f t="shared" si="14"/>
        <v>0.37153125</v>
      </c>
      <c r="AT5" s="583" t="str">
        <f>IFERROR(AVERAGEIFS(
'Schist Efficacy'!$O:$O, 
'Schist Efficacy'!$C:$C,$A5, 
'Schist Efficacy'!$D:$D, "Praziquantel",
'Schist Efficacy'!$J:$J,"&lt;2016",
'Schist Efficacy'!$U:$U,""),
"")</f>
        <v/>
      </c>
      <c r="AU5" s="572">
        <f t="shared" si="15"/>
        <v>0.655</v>
      </c>
      <c r="AV5" s="131" t="str">
        <f>IFERROR(AVERAGEIFS(
'STH Efficacy'!$AX:$AX, 
'STH Efficacy'!$AL:$AL, $A5, 
'STH Efficacy'!$AM:$AM, "Albendazole",
'STH Efficacy'!$AS:$AS,"&lt;2016",
'STH Efficacy'!$BP:$BP,""),
"")</f>
        <v/>
      </c>
      <c r="AW5" s="132">
        <f t="shared" si="16"/>
        <v>0.4143846154</v>
      </c>
      <c r="AX5" s="131" t="str">
        <f>IFERROR(AVERAGEIFS(
'STH Efficacy'!$AX:$AX, 
'STH Efficacy'!$AL:$AL, $A5, 
'STH Efficacy'!$AM:$AM, "Mebendazole",
'STH Efficacy'!$AS:$AS,"&lt;2016",
'STH Efficacy'!$BP:$BP,""),
"")</f>
        <v/>
      </c>
      <c r="AY5" s="132">
        <f t="shared" si="17"/>
        <v>0.4691770833</v>
      </c>
      <c r="AZ5" s="131" t="str">
        <f>IFERROR(AVERAGEIFS(
'STH Efficacy'!$AX:$AX, 
'STH Efficacy'!$AL:$AL, $A5, 
'STH Efficacy'!$AM:$AM, "Albendazole &amp; Ivermectin",
'STH Efficacy'!$AS:$AS,"&lt;2016",
'STH Efficacy'!$BP:$BP,""),
"")</f>
        <v/>
      </c>
      <c r="BA5" s="303">
        <f t="shared" si="18"/>
        <v>0.597625</v>
      </c>
      <c r="BB5" s="584" t="str">
        <f>IFERROR(AVERAGEIFS(
'STH Efficacy'!$N:$N, 
'STH Efficacy'!$B:$B, $A5, 
'STH Efficacy'!$C:$C, "Albendazole",
'STH Efficacy'!$I:$I,"&lt;2016",
'STH Efficacy'!$AH:$AH,""),
"")</f>
        <v/>
      </c>
      <c r="BC5" s="579">
        <f t="shared" si="19"/>
        <v>0.7613712121</v>
      </c>
      <c r="BD5" s="584" t="str">
        <f>IFERROR(AVERAGEIFS(
'STH Efficacy'!$N:$N, 
'STH Efficacy'!$B:$B, $A5, 
'STH Efficacy'!$C:$C, "Mebendazole",
'STH Efficacy'!$I:$I,"&lt;2016",
'STH Efficacy'!$AH:$AH,""),
"")</f>
        <v/>
      </c>
      <c r="BE5" s="579">
        <f t="shared" si="20"/>
        <v>0.4362466667</v>
      </c>
      <c r="BF5" s="585" t="str">
        <f>IFERROR(AVERAGEIFS(
'STH Efficacy'!$CD:$CD, 
'STH Efficacy'!$BS:$BS, $A5, 
'STH Efficacy'!$BT:$BT, "Albendazole",
'STH Efficacy'!$BZ:$BZ,"&lt;2016",
'STH Efficacy'!$CU:$CU,""),
"")</f>
        <v/>
      </c>
      <c r="BG5" s="580">
        <f t="shared" si="21"/>
        <v>0.9216027778</v>
      </c>
      <c r="BH5" s="585" t="str">
        <f>IFERROR(AVERAGEIFS(
'STH Efficacy'!$CD:$CD, 
'STH Efficacy'!$BS:$BS, $A5, 
'STH Efficacy'!$BT:$BT, "Mebendazole",
'STH Efficacy'!$BZ:$BZ,"&lt;2016",
'STH Efficacy'!$CU:$CU,""),
"")</f>
        <v/>
      </c>
      <c r="BI5" s="580">
        <f t="shared" si="22"/>
        <v>0.8866041667</v>
      </c>
      <c r="BJ5" s="585" t="str">
        <f>IFERROR(AVERAGEIFS(
'STH Efficacy'!$CD:$CD, 
'STH Efficacy'!$BS:$BS, $A5, 
'STH Efficacy'!$BT:$BT, "Albendazole &amp; Ivermectin",
'STH Efficacy'!$BZ:$BZ,"&lt;2016",
'STH Efficacy'!$CU:$CU,""),
"")</f>
        <v/>
      </c>
      <c r="BK5" s="580">
        <f t="shared" si="23"/>
        <v>0.848</v>
      </c>
      <c r="BL5" s="575" t="str">
        <f>IFERROR(
  AVERAGEIFS(
    'NEW Onchocerciasis Efficacy'!$AO:$AO,
    'NEW Onchocerciasis Efficacy'!$C:$C,$A5,
    'NEW Onchocerciasis Efficacy'!$D:$D,"Ivermectin",
    'NEW Onchocerciasis Efficacy'!$AR:$AR,"&lt;2016",
    'NEW Onchocerciasis Efficacy'!$BG:$BG,"")
,"")</f>
        <v/>
      </c>
      <c r="BM5" s="586">
        <f t="shared" si="24"/>
        <v>0.7808368939</v>
      </c>
      <c r="BN5" s="587">
        <v>0.0</v>
      </c>
      <c r="BO5" s="588">
        <v>0.0</v>
      </c>
      <c r="BP5" s="589">
        <v>0.0</v>
      </c>
      <c r="BQ5" s="590">
        <f t="shared" si="25"/>
        <v>0</v>
      </c>
      <c r="BR5" s="560" t="str">
        <f t="shared" si="26"/>
        <v>0000</v>
      </c>
      <c r="BS5" s="560" t="str">
        <f t="shared" si="27"/>
        <v>no action required</v>
      </c>
      <c r="BT5" s="361" t="str">
        <f t="shared" si="28"/>
        <v/>
      </c>
      <c r="BU5" s="591" t="str">
        <f t="shared" si="29"/>
        <v/>
      </c>
      <c r="BV5" s="560" t="str">
        <f t="shared" si="30"/>
        <v>none</v>
      </c>
      <c r="BW5" s="150" t="str">
        <f t="shared" si="31"/>
        <v/>
      </c>
      <c r="BX5" s="150" t="str">
        <f t="shared" si="32"/>
        <v/>
      </c>
      <c r="BY5" s="151" t="str">
        <f t="shared" si="33"/>
        <v/>
      </c>
      <c r="BZ5" s="152" t="str">
        <f t="shared" si="34"/>
        <v/>
      </c>
      <c r="CA5" s="152" t="str">
        <f t="shared" si="35"/>
        <v/>
      </c>
      <c r="CB5" s="152" t="str">
        <f t="shared" si="36"/>
        <v/>
      </c>
      <c r="CC5" s="153" t="str">
        <f t="shared" si="37"/>
        <v/>
      </c>
      <c r="CD5" s="153" t="str">
        <f t="shared" si="38"/>
        <v/>
      </c>
      <c r="CE5" s="154" t="str">
        <f t="shared" si="39"/>
        <v/>
      </c>
      <c r="CF5" s="154" t="str">
        <f t="shared" si="40"/>
        <v/>
      </c>
      <c r="CG5" s="154" t="str">
        <f t="shared" si="41"/>
        <v/>
      </c>
      <c r="CH5" s="308" t="str">
        <f t="shared" si="42"/>
        <v/>
      </c>
    </row>
    <row r="6">
      <c r="A6" s="559" t="s">
        <v>91</v>
      </c>
      <c r="B6" s="560" t="s">
        <v>92</v>
      </c>
      <c r="C6" s="561">
        <v>3.9871528E7</v>
      </c>
      <c r="D6" s="562">
        <v>0.0</v>
      </c>
      <c r="E6" s="563">
        <v>807.981130813248</v>
      </c>
      <c r="F6" s="564">
        <v>0.057585675</v>
      </c>
      <c r="G6" s="564">
        <v>0.396118928</v>
      </c>
      <c r="H6" s="564">
        <v>3.3068394</v>
      </c>
      <c r="I6" s="565">
        <v>7.947894638</v>
      </c>
      <c r="J6" s="566">
        <v>26.0242256922574</v>
      </c>
      <c r="K6" s="566">
        <v>164.027302883388</v>
      </c>
      <c r="L6" s="567">
        <v>30.51098182</v>
      </c>
      <c r="M6" s="568">
        <v>28.25277559458</v>
      </c>
      <c r="N6" s="568">
        <v>112.195744446228</v>
      </c>
      <c r="O6" s="569">
        <v>0.0</v>
      </c>
      <c r="P6" s="570"/>
      <c r="Q6" s="150"/>
      <c r="R6" s="571"/>
      <c r="S6" s="116">
        <f t="shared" si="6"/>
        <v>0.6227928571</v>
      </c>
      <c r="T6" s="151"/>
      <c r="U6" s="572">
        <f t="shared" si="7"/>
        <v>0.5141</v>
      </c>
      <c r="V6" s="598"/>
      <c r="W6" s="574">
        <f t="shared" si="8"/>
        <v>0.7605133333</v>
      </c>
      <c r="X6" s="598"/>
      <c r="Y6" s="574">
        <f t="shared" si="9"/>
        <v>0.6822424242</v>
      </c>
      <c r="Z6" s="308"/>
      <c r="AA6" s="308"/>
      <c r="AB6" s="575" t="str">
        <f t="shared" si="10"/>
        <v/>
      </c>
      <c r="AC6" s="576">
        <f t="shared" si="11"/>
        <v>0.6507101914</v>
      </c>
      <c r="AD6" s="577">
        <v>0.0</v>
      </c>
      <c r="AE6" s="572">
        <v>7.844344332E-4</v>
      </c>
      <c r="AF6" s="578">
        <v>6.15E-5</v>
      </c>
      <c r="AG6" s="132">
        <v>0.01081044538</v>
      </c>
      <c r="AH6" s="132">
        <v>0.034169331</v>
      </c>
      <c r="AI6" s="579">
        <v>0.003009612988</v>
      </c>
      <c r="AJ6" s="579">
        <v>0.003654399538</v>
      </c>
      <c r="AK6" s="580">
        <v>0.01998671406</v>
      </c>
      <c r="AL6" s="580">
        <v>0.02310175244</v>
      </c>
      <c r="AM6" s="581">
        <v>0.0</v>
      </c>
      <c r="AN6" s="571" t="str">
        <f>IFERROR(
  AVERAGEIFS(
    'New LF Efficacy'!$J:$J,
    'New LF Efficacy'!$D:$D, $A6,
    'New LF Efficacy'!$F:$F,"DEC", 
    'New LF Efficacy'!$W:$W,"&lt;2016",
    'New LF Efficacy'!$AA:$AA,""),
  ""
)</f>
        <v/>
      </c>
      <c r="AO6" s="582">
        <f t="shared" si="12"/>
        <v>0.31225</v>
      </c>
      <c r="AP6" s="571" t="str">
        <f>IFERROR(
AVERAGEIFS(
'New LF Efficacy'!$J:$J,
'New LF Efficacy'!$D:$D,$A6,
'New LF Efficacy'!$F:$F,"Albendazole &amp; DEC",
'New LF Efficacy'!$W:$W,"&lt;2016",
'New LF Efficacy'!$AA:$AA,""),
"")</f>
        <v/>
      </c>
      <c r="AQ6" s="582">
        <f t="shared" si="13"/>
        <v>0.4</v>
      </c>
      <c r="AR6" s="571" t="str">
        <f>IFERROR(
AVERAGEIFS(
'New LF Efficacy'!$J:$J,
'New LF Efficacy'!$D:$D,$A6,
'New LF Efficacy'!$F:$F,"Albendazole &amp; Ivermectin", 
'New LF Efficacy'!$W:$W,"&lt;2016",
'New LF Efficacy'!$AA:$AA,""),"")</f>
        <v/>
      </c>
      <c r="AS6" s="582">
        <f t="shared" si="14"/>
        <v>0.2943125</v>
      </c>
      <c r="AT6" s="583" t="str">
        <f>IFERROR(AVERAGEIFS(
'Schist Efficacy'!$O:$O, 
'Schist Efficacy'!$C:$C,$A6, 
'Schist Efficacy'!$D:$D, "Praziquantel",
'Schist Efficacy'!$J:$J,"&lt;2016",
'Schist Efficacy'!$U:$U,""),
"")</f>
        <v/>
      </c>
      <c r="AU6" s="572">
        <f t="shared" si="15"/>
        <v>0.7206464759</v>
      </c>
      <c r="AV6" s="131" t="str">
        <f>IFERROR(AVERAGEIFS(
'STH Efficacy'!$AX:$AX, 
'STH Efficacy'!$AL:$AL, $A6, 
'STH Efficacy'!$AM:$AM, "Albendazole",
'STH Efficacy'!$AS:$AS,"&lt;2016",
'STH Efficacy'!$BP:$BP,""),
"")</f>
        <v/>
      </c>
      <c r="AW6" s="132">
        <f t="shared" si="16"/>
        <v>0.3816333333</v>
      </c>
      <c r="AX6" s="131" t="str">
        <f>IFERROR(AVERAGEIFS(
'STH Efficacy'!$AX:$AX, 
'STH Efficacy'!$AL:$AL, $A6, 
'STH Efficacy'!$AM:$AM, "Mebendazole",
'STH Efficacy'!$AS:$AS,"&lt;2016",
'STH Efficacy'!$BP:$BP,""),
"")</f>
        <v/>
      </c>
      <c r="AY6" s="132">
        <f t="shared" si="17"/>
        <v>0.4859375</v>
      </c>
      <c r="AZ6" s="131" t="str">
        <f>IFERROR(AVERAGEIFS(
'STH Efficacy'!$AX:$AX, 
'STH Efficacy'!$AL:$AL, $A6, 
'STH Efficacy'!$AM:$AM, "Albendazole &amp; Ivermectin",
'STH Efficacy'!$AS:$AS,"&lt;2016",
'STH Efficacy'!$BP:$BP,""),
"")</f>
        <v/>
      </c>
      <c r="BA6" s="303">
        <f t="shared" si="18"/>
        <v>0.47175</v>
      </c>
      <c r="BB6" s="584" t="str">
        <f>IFERROR(AVERAGEIFS(
'STH Efficacy'!$N:$N, 
'STH Efficacy'!$B:$B, $A6, 
'STH Efficacy'!$C:$C, "Albendazole",
'STH Efficacy'!$I:$I,"&lt;2016",
'STH Efficacy'!$AH:$AH,""),
"")</f>
        <v/>
      </c>
      <c r="BC6" s="579">
        <f t="shared" si="19"/>
        <v>0.8699166667</v>
      </c>
      <c r="BD6" s="584" t="str">
        <f>IFERROR(AVERAGEIFS(
'STH Efficacy'!$N:$N, 
'STH Efficacy'!$B:$B, $A6, 
'STH Efficacy'!$C:$C, "Mebendazole",
'STH Efficacy'!$I:$I,"&lt;2016",
'STH Efficacy'!$AH:$AH,""),
"")</f>
        <v/>
      </c>
      <c r="BE6" s="579">
        <f t="shared" si="20"/>
        <v>0.7092416667</v>
      </c>
      <c r="BF6" s="585" t="str">
        <f>IFERROR(AVERAGEIFS(
'STH Efficacy'!$CD:$CD, 
'STH Efficacy'!$BS:$BS, $A6, 
'STH Efficacy'!$BT:$BT, "Albendazole",
'STH Efficacy'!$BZ:$BZ,"&lt;2016",
'STH Efficacy'!$CU:$CU,""),
"")</f>
        <v/>
      </c>
      <c r="BG6" s="580">
        <f t="shared" si="21"/>
        <v>0.9066666667</v>
      </c>
      <c r="BH6" s="585" t="str">
        <f>IFERROR(AVERAGEIFS(
'STH Efficacy'!$CD:$CD, 
'STH Efficacy'!$BS:$BS, $A6, 
'STH Efficacy'!$BT:$BT, "Mebendazole",
'STH Efficacy'!$BZ:$BZ,"&lt;2016",
'STH Efficacy'!$CU:$CU,""),
"")</f>
        <v/>
      </c>
      <c r="BI6" s="580">
        <f t="shared" si="22"/>
        <v>0.8483333333</v>
      </c>
      <c r="BJ6" s="585" t="str">
        <f>IFERROR(AVERAGEIFS(
'STH Efficacy'!$CD:$CD, 
'STH Efficacy'!$BS:$BS, $A6, 
'STH Efficacy'!$BT:$BT, "Albendazole &amp; Ivermectin",
'STH Efficacy'!$BZ:$BZ,"&lt;2016",
'STH Efficacy'!$CU:$CU,""),
"")</f>
        <v/>
      </c>
      <c r="BK6" s="580">
        <f t="shared" si="23"/>
        <v>0.696</v>
      </c>
      <c r="BL6" s="575" t="str">
        <f>IFERROR(
  AVERAGEIFS(
    'NEW Onchocerciasis Efficacy'!$AO:$AO,
    'NEW Onchocerciasis Efficacy'!$C:$C,$A6,
    'NEW Onchocerciasis Efficacy'!$D:$D,"Ivermectin",
    'NEW Onchocerciasis Efficacy'!$AR:$AR,"&lt;2016",
    'NEW Onchocerciasis Efficacy'!$BG:$BG,"")
,"")</f>
        <v/>
      </c>
      <c r="BM6" s="586">
        <f t="shared" si="24"/>
        <v>0.8390421645</v>
      </c>
      <c r="BN6" s="587">
        <v>0.0</v>
      </c>
      <c r="BO6" s="588">
        <v>0.0</v>
      </c>
      <c r="BP6" s="589">
        <v>0.0</v>
      </c>
      <c r="BQ6" s="590">
        <f t="shared" si="25"/>
        <v>0</v>
      </c>
      <c r="BR6" s="560" t="str">
        <f t="shared" si="26"/>
        <v>0000</v>
      </c>
      <c r="BS6" s="560" t="str">
        <f t="shared" si="27"/>
        <v>no action required</v>
      </c>
      <c r="BT6" s="361" t="str">
        <f t="shared" si="28"/>
        <v/>
      </c>
      <c r="BU6" s="591" t="str">
        <f t="shared" si="29"/>
        <v/>
      </c>
      <c r="BV6" s="560" t="str">
        <f t="shared" si="30"/>
        <v>none</v>
      </c>
      <c r="BW6" s="150" t="str">
        <f t="shared" si="31"/>
        <v/>
      </c>
      <c r="BX6" s="150" t="str">
        <f t="shared" si="32"/>
        <v/>
      </c>
      <c r="BY6" s="151" t="str">
        <f t="shared" si="33"/>
        <v/>
      </c>
      <c r="BZ6" s="152" t="str">
        <f t="shared" si="34"/>
        <v/>
      </c>
      <c r="CA6" s="152" t="str">
        <f t="shared" si="35"/>
        <v/>
      </c>
      <c r="CB6" s="152" t="str">
        <f t="shared" si="36"/>
        <v/>
      </c>
      <c r="CC6" s="153" t="str">
        <f t="shared" si="37"/>
        <v/>
      </c>
      <c r="CD6" s="153" t="str">
        <f t="shared" si="38"/>
        <v/>
      </c>
      <c r="CE6" s="154" t="str">
        <f t="shared" si="39"/>
        <v/>
      </c>
      <c r="CF6" s="154" t="str">
        <f t="shared" si="40"/>
        <v/>
      </c>
      <c r="CG6" s="154" t="str">
        <f t="shared" si="41"/>
        <v/>
      </c>
      <c r="CH6" s="308" t="str">
        <f t="shared" si="42"/>
        <v/>
      </c>
    </row>
    <row r="7">
      <c r="A7" s="599" t="s">
        <v>93</v>
      </c>
      <c r="B7" s="560" t="s">
        <v>94</v>
      </c>
      <c r="C7" s="561">
        <v>55537.0</v>
      </c>
      <c r="D7" s="562">
        <v>0.0</v>
      </c>
      <c r="E7" s="563">
        <v>0.0</v>
      </c>
      <c r="F7" s="564">
        <v>0.0</v>
      </c>
      <c r="G7" s="564">
        <v>0.0</v>
      </c>
      <c r="H7" s="564">
        <v>0.0</v>
      </c>
      <c r="I7" s="565">
        <v>0.0</v>
      </c>
      <c r="J7" s="566">
        <v>0.0</v>
      </c>
      <c r="K7" s="566">
        <v>0.0</v>
      </c>
      <c r="L7" s="567">
        <v>0.0</v>
      </c>
      <c r="M7" s="568">
        <v>0.0</v>
      </c>
      <c r="N7" s="568">
        <v>0.0</v>
      </c>
      <c r="O7" s="569">
        <v>0.0</v>
      </c>
      <c r="P7" s="600">
        <v>1172.32962422</v>
      </c>
      <c r="Q7" s="150"/>
      <c r="R7" s="150"/>
      <c r="S7" s="116">
        <f t="shared" si="6"/>
        <v>0.5322777778</v>
      </c>
      <c r="T7" s="151"/>
      <c r="U7" s="572">
        <f t="shared" si="7"/>
        <v>0.7834666667</v>
      </c>
      <c r="V7" s="598"/>
      <c r="W7" s="574">
        <f t="shared" si="8"/>
        <v>0.3593777778</v>
      </c>
      <c r="X7" s="598"/>
      <c r="Y7" s="574">
        <f t="shared" si="9"/>
        <v>0.5347375</v>
      </c>
      <c r="Z7" s="308"/>
      <c r="AA7" s="308"/>
      <c r="AB7" s="575" t="str">
        <f t="shared" si="10"/>
        <v/>
      </c>
      <c r="AC7" s="576">
        <f t="shared" si="11"/>
        <v>0.7192241206</v>
      </c>
      <c r="AD7" s="577">
        <v>0.02202763645</v>
      </c>
      <c r="AE7" s="572">
        <v>0.0</v>
      </c>
      <c r="AF7" s="578">
        <v>0.0</v>
      </c>
      <c r="AG7" s="132">
        <v>0.0</v>
      </c>
      <c r="AH7" s="132">
        <v>0.0</v>
      </c>
      <c r="AI7" s="579">
        <v>0.0</v>
      </c>
      <c r="AJ7" s="579">
        <v>0.0</v>
      </c>
      <c r="AK7" s="580">
        <v>0.0</v>
      </c>
      <c r="AL7" s="580">
        <v>0.0</v>
      </c>
      <c r="AM7" s="581">
        <v>0.0</v>
      </c>
      <c r="AN7" s="571" t="str">
        <f>IFERROR(
  AVERAGEIFS(
    'New LF Efficacy'!$J:$J,
    'New LF Efficacy'!$D:$D, $A7,
    'New LF Efficacy'!$F:$F,"DEC", 
    'New LF Efficacy'!$W:$W,"&lt;2016",
    'New LF Efficacy'!$AA:$AA,""),
  ""
)</f>
        <v/>
      </c>
      <c r="AO7" s="582">
        <f t="shared" si="12"/>
        <v>0.38</v>
      </c>
      <c r="AP7" s="571" t="str">
        <f>IFERROR(
AVERAGEIFS(
'New LF Efficacy'!$J:$J,
'New LF Efficacy'!$D:$D,$A7,
'New LF Efficacy'!$F:$F,"Albendazole &amp; DEC",
'New LF Efficacy'!$W:$W,"&lt;2016",
'New LF Efficacy'!$AA:$AA,""),
"")</f>
        <v/>
      </c>
      <c r="AQ7" s="582">
        <f t="shared" si="13"/>
        <v>0.662</v>
      </c>
      <c r="AR7" s="571" t="str">
        <f>IFERROR(
AVERAGEIFS(
'New LF Efficacy'!$J:$J,
'New LF Efficacy'!$D:$D,$A7,
'New LF Efficacy'!$F:$F,"Albendazole &amp; Ivermectin", 
'New LF Efficacy'!$W:$W,"&lt;2016",
'New LF Efficacy'!$AA:$AA,""),"")</f>
        <v/>
      </c>
      <c r="AS7" s="582">
        <f t="shared" si="14"/>
        <v>0.37153125</v>
      </c>
      <c r="AT7" s="583" t="str">
        <f>IFERROR(AVERAGEIFS(
'Schist Efficacy'!$O:$O, 
'Schist Efficacy'!$C:$C,$A7, 
'Schist Efficacy'!$D:$D, "Praziquantel",
'Schist Efficacy'!$J:$J,"&lt;2016",
'Schist Efficacy'!$U:$U,""),
"")</f>
        <v/>
      </c>
      <c r="AU7" s="572">
        <f t="shared" si="15"/>
        <v>0.9475</v>
      </c>
      <c r="AV7" s="131" t="str">
        <f>IFERROR(AVERAGEIFS(
'STH Efficacy'!$AX:$AX, 
'STH Efficacy'!$AL:$AL, $A7, 
'STH Efficacy'!$AM:$AM, "Albendazole",
'STH Efficacy'!$AS:$AS,"&lt;2016",
'STH Efficacy'!$BP:$BP,""),
"")</f>
        <v/>
      </c>
      <c r="AW7" s="132">
        <f t="shared" si="16"/>
        <v>0.3571666667</v>
      </c>
      <c r="AX7" s="131" t="str">
        <f>IFERROR(AVERAGEIFS(
'STH Efficacy'!$AX:$AX, 
'STH Efficacy'!$AL:$AL, $A7, 
'STH Efficacy'!$AM:$AM, "Mebendazole",
'STH Efficacy'!$AS:$AS,"&lt;2016",
'STH Efficacy'!$BP:$BP,""),
"")</f>
        <v/>
      </c>
      <c r="AY7" s="132">
        <f t="shared" si="17"/>
        <v>0.4155</v>
      </c>
      <c r="AZ7" s="131" t="str">
        <f>IFERROR(AVERAGEIFS(
'STH Efficacy'!$AX:$AX, 
'STH Efficacy'!$AL:$AL, $A7, 
'STH Efficacy'!$AM:$AM, "Albendazole &amp; Ivermectin",
'STH Efficacy'!$AS:$AS,"&lt;2016",
'STH Efficacy'!$BP:$BP,""),
"")</f>
        <v/>
      </c>
      <c r="BA7" s="303">
        <f t="shared" si="18"/>
        <v>0.651</v>
      </c>
      <c r="BB7" s="584" t="str">
        <f>IFERROR(AVERAGEIFS(
'STH Efficacy'!$N:$N, 
'STH Efficacy'!$B:$B, $A7, 
'STH Efficacy'!$C:$C, "Albendazole",
'STH Efficacy'!$I:$I,"&lt;2016",
'STH Efficacy'!$AH:$AH,""),
"")</f>
        <v/>
      </c>
      <c r="BC7" s="579">
        <f t="shared" si="19"/>
        <v>0.5769166667</v>
      </c>
      <c r="BD7" s="584" t="str">
        <f>IFERROR(AVERAGEIFS(
'STH Efficacy'!$N:$N, 
'STH Efficacy'!$B:$B, $A7, 
'STH Efficacy'!$C:$C, "Mebendazole",
'STH Efficacy'!$I:$I,"&lt;2016",
'STH Efficacy'!$AH:$AH,""),
"")</f>
        <v/>
      </c>
      <c r="BE7" s="579">
        <f t="shared" si="20"/>
        <v>0.3145</v>
      </c>
      <c r="BF7" s="585" t="str">
        <f>IFERROR(AVERAGEIFS(
'STH Efficacy'!$CD:$CD, 
'STH Efficacy'!$BS:$BS, $A7, 
'STH Efficacy'!$BT:$BT, "Albendazole",
'STH Efficacy'!$BZ:$BZ,"&lt;2016",
'STH Efficacy'!$CU:$CU,""),
"")</f>
        <v/>
      </c>
      <c r="BG7" s="580">
        <f t="shared" si="21"/>
        <v>0.96925</v>
      </c>
      <c r="BH7" s="585" t="str">
        <f>IFERROR(AVERAGEIFS(
'STH Efficacy'!$CD:$CD, 
'STH Efficacy'!$BS:$BS, $A7, 
'STH Efficacy'!$BT:$BT, "Mebendazole",
'STH Efficacy'!$BZ:$BZ,"&lt;2016",
'STH Efficacy'!$CU:$CU,""),
"")</f>
        <v/>
      </c>
      <c r="BI7" s="580">
        <f t="shared" si="22"/>
        <v>0.9305</v>
      </c>
      <c r="BJ7" s="585" t="str">
        <f>IFERROR(AVERAGEIFS(
'STH Efficacy'!$CD:$CD, 
'STH Efficacy'!$BS:$BS, $A7, 
'STH Efficacy'!$BT:$BT, "Albendazole &amp; Ivermectin",
'STH Efficacy'!$BZ:$BZ,"&lt;2016",
'STH Efficacy'!$CU:$CU,""),
"")</f>
        <v/>
      </c>
      <c r="BK7" s="580">
        <f t="shared" si="23"/>
        <v>0.848</v>
      </c>
      <c r="BL7" s="575" t="str">
        <f>IFERROR(
  AVERAGEIFS(
    'NEW Onchocerciasis Efficacy'!$AO:$AO,
    'NEW Onchocerciasis Efficacy'!$C:$C,$A7,
    'NEW Onchocerciasis Efficacy'!$D:$D,"Ivermectin",
    'NEW Onchocerciasis Efficacy'!$AR:$AR,"&lt;2016",
    'NEW Onchocerciasis Efficacy'!$BG:$BG,"")
,"")</f>
        <v/>
      </c>
      <c r="BM7" s="586">
        <f t="shared" si="24"/>
        <v>0.7808368939</v>
      </c>
      <c r="BN7" s="587">
        <v>0.0</v>
      </c>
      <c r="BO7" s="588">
        <v>0.0</v>
      </c>
      <c r="BP7" s="589">
        <v>0.0</v>
      </c>
      <c r="BQ7" s="590">
        <f t="shared" si="25"/>
        <v>0</v>
      </c>
      <c r="BR7" s="560" t="str">
        <f t="shared" si="26"/>
        <v>0000</v>
      </c>
      <c r="BS7" s="560" t="str">
        <f t="shared" si="27"/>
        <v>no action required</v>
      </c>
      <c r="BT7" s="361" t="str">
        <f t="shared" si="28"/>
        <v/>
      </c>
      <c r="BU7" s="591" t="str">
        <f t="shared" si="29"/>
        <v/>
      </c>
      <c r="BV7" s="560" t="str">
        <f t="shared" si="30"/>
        <v>none</v>
      </c>
      <c r="BW7" s="150" t="str">
        <f t="shared" si="31"/>
        <v/>
      </c>
      <c r="BX7" s="150" t="str">
        <f t="shared" si="32"/>
        <v/>
      </c>
      <c r="BY7" s="151" t="str">
        <f t="shared" si="33"/>
        <v/>
      </c>
      <c r="BZ7" s="152" t="str">
        <f t="shared" si="34"/>
        <v/>
      </c>
      <c r="CA7" s="152" t="str">
        <f t="shared" si="35"/>
        <v/>
      </c>
      <c r="CB7" s="152" t="str">
        <f t="shared" si="36"/>
        <v/>
      </c>
      <c r="CC7" s="153" t="str">
        <f t="shared" si="37"/>
        <v/>
      </c>
      <c r="CD7" s="153" t="str">
        <f t="shared" si="38"/>
        <v/>
      </c>
      <c r="CE7" s="154" t="str">
        <f t="shared" si="39"/>
        <v/>
      </c>
      <c r="CF7" s="154" t="str">
        <f t="shared" si="40"/>
        <v/>
      </c>
      <c r="CG7" s="154" t="str">
        <f t="shared" si="41"/>
        <v/>
      </c>
      <c r="CH7" s="308" t="str">
        <f t="shared" si="42"/>
        <v/>
      </c>
    </row>
    <row r="8">
      <c r="A8" s="559" t="s">
        <v>95</v>
      </c>
      <c r="B8" s="560" t="s">
        <v>90</v>
      </c>
      <c r="C8" s="561">
        <v>78014.0</v>
      </c>
      <c r="D8" s="562">
        <v>0.0</v>
      </c>
      <c r="E8" s="563">
        <v>0.0</v>
      </c>
      <c r="F8" s="564">
        <v>0.0</v>
      </c>
      <c r="G8" s="564">
        <v>0.0</v>
      </c>
      <c r="H8" s="564">
        <v>0.0</v>
      </c>
      <c r="I8" s="565">
        <v>0.0</v>
      </c>
      <c r="J8" s="566">
        <v>0.0</v>
      </c>
      <c r="K8" s="566">
        <v>0.0</v>
      </c>
      <c r="L8" s="567">
        <v>0.0</v>
      </c>
      <c r="M8" s="568">
        <v>0.0</v>
      </c>
      <c r="N8" s="568">
        <v>0.0</v>
      </c>
      <c r="O8" s="569">
        <v>0.0</v>
      </c>
      <c r="P8" s="570"/>
      <c r="Q8" s="150"/>
      <c r="R8" s="571"/>
      <c r="S8" s="116">
        <f t="shared" si="6"/>
        <v>0.6648642857</v>
      </c>
      <c r="T8" s="151"/>
      <c r="U8" s="572">
        <f t="shared" si="7"/>
        <v>0.53016</v>
      </c>
      <c r="V8" s="598"/>
      <c r="W8" s="574" t="b">
        <f t="shared" si="8"/>
        <v>0</v>
      </c>
      <c r="X8" s="598"/>
      <c r="Y8" s="574">
        <f t="shared" si="9"/>
        <v>0.631675</v>
      </c>
      <c r="Z8" s="308"/>
      <c r="AA8" s="308"/>
      <c r="AB8" s="575" t="str">
        <f t="shared" si="10"/>
        <v/>
      </c>
      <c r="AC8" s="576">
        <f t="shared" si="11"/>
        <v>0.7192241206</v>
      </c>
      <c r="AD8" s="577">
        <v>0.0</v>
      </c>
      <c r="AE8" s="572">
        <v>0.0</v>
      </c>
      <c r="AF8" s="578">
        <v>0.0</v>
      </c>
      <c r="AG8" s="132">
        <v>0.0</v>
      </c>
      <c r="AH8" s="132">
        <v>0.0</v>
      </c>
      <c r="AI8" s="579">
        <v>0.0</v>
      </c>
      <c r="AJ8" s="579">
        <v>0.0</v>
      </c>
      <c r="AK8" s="580">
        <v>0.0</v>
      </c>
      <c r="AL8" s="580">
        <v>0.0</v>
      </c>
      <c r="AM8" s="581">
        <v>0.0</v>
      </c>
      <c r="AN8" s="571" t="str">
        <f>IFERROR(
  AVERAGEIFS(
    'New LF Efficacy'!$J:$J,
    'New LF Efficacy'!$D:$D, $A8,
    'New LF Efficacy'!$F:$F,"DEC", 
    'New LF Efficacy'!$W:$W,"&lt;2016",
    'New LF Efficacy'!$AA:$AA,""),
  ""
)</f>
        <v/>
      </c>
      <c r="AO8" s="582">
        <f t="shared" si="12"/>
        <v>0.3573520833</v>
      </c>
      <c r="AP8" s="571" t="str">
        <f>IFERROR(
AVERAGEIFS(
'New LF Efficacy'!$J:$J,
'New LF Efficacy'!$D:$D,$A8,
'New LF Efficacy'!$F:$F,"Albendazole &amp; DEC",
'New LF Efficacy'!$W:$W,"&lt;2016",
'New LF Efficacy'!$AA:$AA,""),
"")</f>
        <v/>
      </c>
      <c r="AQ8" s="582">
        <f t="shared" si="13"/>
        <v>0.5143541667</v>
      </c>
      <c r="AR8" s="571" t="str">
        <f>IFERROR(
AVERAGEIFS(
'New LF Efficacy'!$J:$J,
'New LF Efficacy'!$D:$D,$A8,
'New LF Efficacy'!$F:$F,"Albendazole &amp; Ivermectin", 
'New LF Efficacy'!$W:$W,"&lt;2016",
'New LF Efficacy'!$AA:$AA,""),"")</f>
        <v/>
      </c>
      <c r="AS8" s="582">
        <f t="shared" si="14"/>
        <v>0.37153125</v>
      </c>
      <c r="AT8" s="583" t="str">
        <f>IFERROR(AVERAGEIFS(
'Schist Efficacy'!$O:$O, 
'Schist Efficacy'!$C:$C,$A8, 
'Schist Efficacy'!$D:$D, "Praziquantel",
'Schist Efficacy'!$J:$J,"&lt;2016",
'Schist Efficacy'!$U:$U,""),
"")</f>
        <v/>
      </c>
      <c r="AU8" s="572">
        <f t="shared" si="15"/>
        <v>0.655</v>
      </c>
      <c r="AV8" s="131" t="str">
        <f>IFERROR(AVERAGEIFS(
'STH Efficacy'!$AX:$AX, 
'STH Efficacy'!$AL:$AL, $A8, 
'STH Efficacy'!$AM:$AM, "Albendazole",
'STH Efficacy'!$AS:$AS,"&lt;2016",
'STH Efficacy'!$BP:$BP,""),
"")</f>
        <v/>
      </c>
      <c r="AW8" s="132">
        <f t="shared" si="16"/>
        <v>0.4143846154</v>
      </c>
      <c r="AX8" s="131" t="str">
        <f>IFERROR(AVERAGEIFS(
'STH Efficacy'!$AX:$AX, 
'STH Efficacy'!$AL:$AL, $A8, 
'STH Efficacy'!$AM:$AM, "Mebendazole",
'STH Efficacy'!$AS:$AS,"&lt;2016",
'STH Efficacy'!$BP:$BP,""),
"")</f>
        <v/>
      </c>
      <c r="AY8" s="132">
        <f t="shared" si="17"/>
        <v>0.4691770833</v>
      </c>
      <c r="AZ8" s="131" t="str">
        <f>IFERROR(AVERAGEIFS(
'STH Efficacy'!$AX:$AX, 
'STH Efficacy'!$AL:$AL, $A8, 
'STH Efficacy'!$AM:$AM, "Albendazole &amp; Ivermectin",
'STH Efficacy'!$AS:$AS,"&lt;2016",
'STH Efficacy'!$BP:$BP,""),
"")</f>
        <v/>
      </c>
      <c r="BA8" s="303">
        <f t="shared" si="18"/>
        <v>0.597625</v>
      </c>
      <c r="BB8" s="584" t="str">
        <f>IFERROR(AVERAGEIFS(
'STH Efficacy'!$N:$N, 
'STH Efficacy'!$B:$B, $A8, 
'STH Efficacy'!$C:$C, "Albendazole",
'STH Efficacy'!$I:$I,"&lt;2016",
'STH Efficacy'!$AH:$AH,""),
"")</f>
        <v/>
      </c>
      <c r="BC8" s="579">
        <f t="shared" si="19"/>
        <v>0.7613712121</v>
      </c>
      <c r="BD8" s="584" t="str">
        <f>IFERROR(AVERAGEIFS(
'STH Efficacy'!$N:$N, 
'STH Efficacy'!$B:$B, $A8, 
'STH Efficacy'!$C:$C, "Mebendazole",
'STH Efficacy'!$I:$I,"&lt;2016",
'STH Efficacy'!$AH:$AH,""),
"")</f>
        <v/>
      </c>
      <c r="BE8" s="579">
        <f t="shared" si="20"/>
        <v>0.4362466667</v>
      </c>
      <c r="BF8" s="585" t="str">
        <f>IFERROR(AVERAGEIFS(
'STH Efficacy'!$CD:$CD, 
'STH Efficacy'!$BS:$BS, $A8, 
'STH Efficacy'!$BT:$BT, "Albendazole",
'STH Efficacy'!$BZ:$BZ,"&lt;2016",
'STH Efficacy'!$CU:$CU,""),
"")</f>
        <v/>
      </c>
      <c r="BG8" s="580">
        <f t="shared" si="21"/>
        <v>0.9216027778</v>
      </c>
      <c r="BH8" s="585" t="str">
        <f>IFERROR(AVERAGEIFS(
'STH Efficacy'!$CD:$CD, 
'STH Efficacy'!$BS:$BS, $A8, 
'STH Efficacy'!$BT:$BT, "Mebendazole",
'STH Efficacy'!$BZ:$BZ,"&lt;2016",
'STH Efficacy'!$CU:$CU,""),
"")</f>
        <v/>
      </c>
      <c r="BI8" s="580">
        <f t="shared" si="22"/>
        <v>0.8866041667</v>
      </c>
      <c r="BJ8" s="585" t="str">
        <f>IFERROR(AVERAGEIFS(
'STH Efficacy'!$CD:$CD, 
'STH Efficacy'!$BS:$BS, $A8, 
'STH Efficacy'!$BT:$BT, "Albendazole &amp; Ivermectin",
'STH Efficacy'!$BZ:$BZ,"&lt;2016",
'STH Efficacy'!$CU:$CU,""),
"")</f>
        <v/>
      </c>
      <c r="BK8" s="580">
        <f t="shared" si="23"/>
        <v>0.848</v>
      </c>
      <c r="BL8" s="575" t="str">
        <f>IFERROR(
  AVERAGEIFS(
    'NEW Onchocerciasis Efficacy'!$AO:$AO,
    'NEW Onchocerciasis Efficacy'!$C:$C,$A8,
    'NEW Onchocerciasis Efficacy'!$D:$D,"Ivermectin",
    'NEW Onchocerciasis Efficacy'!$AR:$AR,"&lt;2016",
    'NEW Onchocerciasis Efficacy'!$BG:$BG,"")
,"")</f>
        <v/>
      </c>
      <c r="BM8" s="586">
        <f t="shared" si="24"/>
        <v>0.7808368939</v>
      </c>
      <c r="BN8" s="587">
        <v>0.0</v>
      </c>
      <c r="BO8" s="588">
        <v>0.0</v>
      </c>
      <c r="BP8" s="589">
        <v>0.0</v>
      </c>
      <c r="BQ8" s="590">
        <f t="shared" si="25"/>
        <v>0</v>
      </c>
      <c r="BR8" s="560" t="str">
        <f t="shared" si="26"/>
        <v>0000</v>
      </c>
      <c r="BS8" s="560" t="str">
        <f t="shared" si="27"/>
        <v>no action required</v>
      </c>
      <c r="BT8" s="361" t="str">
        <f t="shared" si="28"/>
        <v/>
      </c>
      <c r="BU8" s="591" t="str">
        <f t="shared" si="29"/>
        <v/>
      </c>
      <c r="BV8" s="560" t="str">
        <f t="shared" si="30"/>
        <v>none</v>
      </c>
      <c r="BW8" s="150" t="str">
        <f t="shared" si="31"/>
        <v/>
      </c>
      <c r="BX8" s="150" t="str">
        <f t="shared" si="32"/>
        <v/>
      </c>
      <c r="BY8" s="151" t="str">
        <f t="shared" si="33"/>
        <v/>
      </c>
      <c r="BZ8" s="152" t="str">
        <f t="shared" si="34"/>
        <v/>
      </c>
      <c r="CA8" s="152" t="str">
        <f t="shared" si="35"/>
        <v/>
      </c>
      <c r="CB8" s="152" t="str">
        <f t="shared" si="36"/>
        <v/>
      </c>
      <c r="CC8" s="153" t="str">
        <f t="shared" si="37"/>
        <v/>
      </c>
      <c r="CD8" s="153" t="str">
        <f t="shared" si="38"/>
        <v/>
      </c>
      <c r="CE8" s="154" t="str">
        <f t="shared" si="39"/>
        <v/>
      </c>
      <c r="CF8" s="154" t="str">
        <f t="shared" si="40"/>
        <v/>
      </c>
      <c r="CG8" s="154" t="str">
        <f t="shared" si="41"/>
        <v/>
      </c>
      <c r="CH8" s="308" t="str">
        <f t="shared" si="42"/>
        <v/>
      </c>
    </row>
    <row r="9">
      <c r="A9" s="559" t="s">
        <v>96</v>
      </c>
      <c r="B9" s="560" t="s">
        <v>92</v>
      </c>
      <c r="C9" s="561">
        <v>2.7859305E7</v>
      </c>
      <c r="D9" s="562">
        <v>12861.61073</v>
      </c>
      <c r="E9" s="563">
        <v>18637.0815153032</v>
      </c>
      <c r="F9" s="564">
        <v>7.336848302</v>
      </c>
      <c r="G9" s="564">
        <v>41.45169113</v>
      </c>
      <c r="H9" s="564">
        <v>104.7265317</v>
      </c>
      <c r="I9" s="565">
        <v>1013.587723</v>
      </c>
      <c r="J9" s="566">
        <v>3074.7555334806</v>
      </c>
      <c r="K9" s="566">
        <v>10990.4673044765</v>
      </c>
      <c r="L9" s="567">
        <v>1573.198901</v>
      </c>
      <c r="M9" s="568">
        <v>255.693361544395</v>
      </c>
      <c r="N9" s="568">
        <v>1915.09158994652</v>
      </c>
      <c r="O9" s="569">
        <v>9026.7</v>
      </c>
      <c r="P9" s="601">
        <v>471560.613864</v>
      </c>
      <c r="Q9" s="602">
        <v>89235.0</v>
      </c>
      <c r="R9" s="603">
        <v>0.0528</v>
      </c>
      <c r="S9" s="116">
        <f t="shared" si="6"/>
        <v>0.0528</v>
      </c>
      <c r="T9" s="572">
        <v>0.2585</v>
      </c>
      <c r="U9" s="572">
        <f t="shared" si="7"/>
        <v>0.2585</v>
      </c>
      <c r="V9" s="598"/>
      <c r="W9" s="574">
        <f t="shared" si="8"/>
        <v>0.7605133333</v>
      </c>
      <c r="X9" s="573">
        <v>0.3872</v>
      </c>
      <c r="Y9" s="574">
        <f t="shared" si="9"/>
        <v>0.3872</v>
      </c>
      <c r="Z9" s="604">
        <v>5561326.0</v>
      </c>
      <c r="AA9" s="605">
        <v>231106.0</v>
      </c>
      <c r="AB9" s="576">
        <f t="shared" si="10"/>
        <v>0.0415559167</v>
      </c>
      <c r="AC9" s="576">
        <f t="shared" si="11"/>
        <v>0.0415559167</v>
      </c>
      <c r="AD9" s="577">
        <v>0.01712894406</v>
      </c>
      <c r="AE9" s="572">
        <v>0.06616202193</v>
      </c>
      <c r="AF9" s="578">
        <v>0.01147656565</v>
      </c>
      <c r="AG9" s="132">
        <v>0.02284094744</v>
      </c>
      <c r="AH9" s="132">
        <v>0.08</v>
      </c>
      <c r="AI9" s="579">
        <v>0.07</v>
      </c>
      <c r="AJ9" s="579">
        <v>0.0849</v>
      </c>
      <c r="AK9" s="580">
        <v>0.0673</v>
      </c>
      <c r="AL9" s="580">
        <v>0.08</v>
      </c>
      <c r="AM9" s="581">
        <v>0.005894582743</v>
      </c>
      <c r="AN9" s="571" t="str">
        <f>IFERROR(
  AVERAGEIFS(
    'New LF Efficacy'!$J:$J,
    'New LF Efficacy'!$D:$D, $A9,
    'New LF Efficacy'!$F:$F,"DEC", 
    'New LF Efficacy'!$W:$W,"&lt;2016",
    'New LF Efficacy'!$AA:$AA,""),
  ""
)</f>
        <v/>
      </c>
      <c r="AO9" s="582">
        <f t="shared" si="12"/>
        <v>0.31225</v>
      </c>
      <c r="AP9" s="571" t="str">
        <f>IFERROR(
AVERAGEIFS(
'New LF Efficacy'!$J:$J,
'New LF Efficacy'!$D:$D,$A9,
'New LF Efficacy'!$F:$F,"Albendazole &amp; DEC",
'New LF Efficacy'!$W:$W,"&lt;2016",
'New LF Efficacy'!$AA:$AA,""),
"")</f>
        <v/>
      </c>
      <c r="AQ9" s="582">
        <f t="shared" si="13"/>
        <v>0.4</v>
      </c>
      <c r="AR9" s="571" t="str">
        <f>IFERROR(
AVERAGEIFS(
'New LF Efficacy'!$J:$J,
'New LF Efficacy'!$D:$D,$A9,
'New LF Efficacy'!$F:$F,"Albendazole &amp; Ivermectin", 
'New LF Efficacy'!$W:$W,"&lt;2016",
'New LF Efficacy'!$AA:$AA,""),"")</f>
        <v/>
      </c>
      <c r="AS9" s="582">
        <f t="shared" si="14"/>
        <v>0.2943125</v>
      </c>
      <c r="AT9" s="583" t="str">
        <f>IFERROR(AVERAGEIFS(
'Schist Efficacy'!$O:$O, 
'Schist Efficacy'!$C:$C,$A9, 
'Schist Efficacy'!$D:$D, "Praziquantel",
'Schist Efficacy'!$J:$J,"&lt;2016",
'Schist Efficacy'!$U:$U,""),
"")</f>
        <v/>
      </c>
      <c r="AU9" s="572">
        <f t="shared" si="15"/>
        <v>0.7206464759</v>
      </c>
      <c r="AV9" s="131" t="str">
        <f>IFERROR(AVERAGEIFS(
'STH Efficacy'!$AX:$AX, 
'STH Efficacy'!$AL:$AL, $A9, 
'STH Efficacy'!$AM:$AM, "Albendazole",
'STH Efficacy'!$AS:$AS,"&lt;2016",
'STH Efficacy'!$BP:$BP,""),
"")</f>
        <v/>
      </c>
      <c r="AW9" s="132">
        <f t="shared" si="16"/>
        <v>0.3816333333</v>
      </c>
      <c r="AX9" s="131" t="str">
        <f>IFERROR(AVERAGEIFS(
'STH Efficacy'!$AX:$AX, 
'STH Efficacy'!$AL:$AL, $A9, 
'STH Efficacy'!$AM:$AM, "Mebendazole",
'STH Efficacy'!$AS:$AS,"&lt;2016",
'STH Efficacy'!$BP:$BP,""),
"")</f>
        <v/>
      </c>
      <c r="AY9" s="132">
        <f t="shared" si="17"/>
        <v>0.4859375</v>
      </c>
      <c r="AZ9" s="131" t="str">
        <f>IFERROR(AVERAGEIFS(
'STH Efficacy'!$AX:$AX, 
'STH Efficacy'!$AL:$AL, $A9, 
'STH Efficacy'!$AM:$AM, "Albendazole &amp; Ivermectin",
'STH Efficacy'!$AS:$AS,"&lt;2016",
'STH Efficacy'!$BP:$BP,""),
"")</f>
        <v/>
      </c>
      <c r="BA9" s="303">
        <f t="shared" si="18"/>
        <v>0.47175</v>
      </c>
      <c r="BB9" s="584" t="str">
        <f>IFERROR(AVERAGEIFS(
'STH Efficacy'!$N:$N, 
'STH Efficacy'!$B:$B, $A9, 
'STH Efficacy'!$C:$C, "Albendazole",
'STH Efficacy'!$I:$I,"&lt;2016",
'STH Efficacy'!$AH:$AH,""),
"")</f>
        <v/>
      </c>
      <c r="BC9" s="579">
        <f t="shared" si="19"/>
        <v>0.8699166667</v>
      </c>
      <c r="BD9" s="584" t="str">
        <f>IFERROR(AVERAGEIFS(
'STH Efficacy'!$N:$N, 
'STH Efficacy'!$B:$B, $A9, 
'STH Efficacy'!$C:$C, "Mebendazole",
'STH Efficacy'!$I:$I,"&lt;2016",
'STH Efficacy'!$AH:$AH,""),
"")</f>
        <v/>
      </c>
      <c r="BE9" s="579">
        <f t="shared" si="20"/>
        <v>0.7092416667</v>
      </c>
      <c r="BF9" s="585" t="str">
        <f>IFERROR(AVERAGEIFS(
'STH Efficacy'!$CD:$CD, 
'STH Efficacy'!$BS:$BS, $A9, 
'STH Efficacy'!$BT:$BT, "Albendazole",
'STH Efficacy'!$BZ:$BZ,"&lt;2016",
'STH Efficacy'!$CU:$CU,""),
"")</f>
        <v/>
      </c>
      <c r="BG9" s="580">
        <f t="shared" si="21"/>
        <v>0.9066666667</v>
      </c>
      <c r="BH9" s="585" t="str">
        <f>IFERROR(AVERAGEIFS(
'STH Efficacy'!$CD:$CD, 
'STH Efficacy'!$BS:$BS, $A9, 
'STH Efficacy'!$BT:$BT, "Mebendazole",
'STH Efficacy'!$BZ:$BZ,"&lt;2016",
'STH Efficacy'!$CU:$CU,""),
"")</f>
        <v/>
      </c>
      <c r="BI9" s="580">
        <f t="shared" si="22"/>
        <v>0.8483333333</v>
      </c>
      <c r="BJ9" s="585" t="str">
        <f>IFERROR(AVERAGEIFS(
'STH Efficacy'!$CD:$CD, 
'STH Efficacy'!$BS:$BS, $A9, 
'STH Efficacy'!$BT:$BT, "Albendazole &amp; Ivermectin",
'STH Efficacy'!$BZ:$BZ,"&lt;2016",
'STH Efficacy'!$CU:$CU,""),
"")</f>
        <v/>
      </c>
      <c r="BK9" s="580">
        <f t="shared" si="23"/>
        <v>0.696</v>
      </c>
      <c r="BL9" s="575" t="str">
        <f>IFERROR(
  AVERAGEIFS(
    'NEW Onchocerciasis Efficacy'!$AO:$AO,
    'NEW Onchocerciasis Efficacy'!$C:$C,$A9,
    'NEW Onchocerciasis Efficacy'!$D:$D,"Ivermectin",
    'NEW Onchocerciasis Efficacy'!$AR:$AR,"&lt;2016",
    'NEW Onchocerciasis Efficacy'!$BG:$BG,"")
,"")</f>
        <v/>
      </c>
      <c r="BM9" s="586">
        <f t="shared" si="24"/>
        <v>0.8390421645</v>
      </c>
      <c r="BN9" s="587">
        <v>1.0</v>
      </c>
      <c r="BO9" s="588">
        <v>1.0</v>
      </c>
      <c r="BP9" s="589">
        <v>1.0</v>
      </c>
      <c r="BQ9" s="590">
        <f t="shared" si="25"/>
        <v>0</v>
      </c>
      <c r="BR9" s="560" t="str">
        <f t="shared" si="26"/>
        <v>1110</v>
      </c>
      <c r="BS9" s="560" t="str">
        <f t="shared" si="27"/>
        <v>MDA1+T2</v>
      </c>
      <c r="BT9" s="606" t="str">
        <f t="shared" si="28"/>
        <v>IVM+ALB</v>
      </c>
      <c r="BU9" s="560" t="str">
        <f t="shared" si="29"/>
        <v>PZQ</v>
      </c>
      <c r="BV9" s="560" t="str">
        <f t="shared" si="30"/>
        <v>lf+onch+schist </v>
      </c>
      <c r="BW9" s="150" t="str">
        <f t="shared" si="31"/>
        <v/>
      </c>
      <c r="BX9" s="607">
        <f t="shared" si="32"/>
        <v>203.0204491</v>
      </c>
      <c r="BY9" s="608">
        <f t="shared" si="33"/>
        <v>4266.674633</v>
      </c>
      <c r="BZ9" s="152" t="str">
        <f t="shared" si="34"/>
        <v/>
      </c>
      <c r="CA9" s="152" t="str">
        <f t="shared" si="35"/>
        <v/>
      </c>
      <c r="CB9" s="152" t="str">
        <f t="shared" si="36"/>
        <v/>
      </c>
      <c r="CC9" s="153" t="str">
        <f t="shared" si="37"/>
        <v/>
      </c>
      <c r="CD9" s="153" t="str">
        <f t="shared" si="38"/>
        <v/>
      </c>
      <c r="CE9" s="154" t="str">
        <f t="shared" si="39"/>
        <v/>
      </c>
      <c r="CF9" s="154" t="str">
        <f t="shared" si="40"/>
        <v/>
      </c>
      <c r="CG9" s="154" t="str">
        <f t="shared" si="41"/>
        <v/>
      </c>
      <c r="CH9" s="609">
        <f t="shared" si="42"/>
        <v>10.87019455</v>
      </c>
    </row>
    <row r="10">
      <c r="A10" s="599" t="s">
        <v>97</v>
      </c>
      <c r="B10" s="560" t="s">
        <v>98</v>
      </c>
      <c r="C10" s="561">
        <v>14723.0</v>
      </c>
      <c r="D10" s="562"/>
      <c r="E10" s="610"/>
      <c r="F10" s="611"/>
      <c r="G10" s="611"/>
      <c r="H10" s="611"/>
      <c r="I10" s="566"/>
      <c r="J10" s="566"/>
      <c r="K10" s="566"/>
      <c r="L10" s="612"/>
      <c r="M10" s="612"/>
      <c r="N10" s="612"/>
      <c r="O10" s="308"/>
      <c r="P10" s="150"/>
      <c r="Q10" s="150"/>
      <c r="R10" s="571"/>
      <c r="S10" s="116">
        <f t="shared" si="6"/>
        <v>0.6451333333</v>
      </c>
      <c r="T10" s="151"/>
      <c r="U10" s="572">
        <f t="shared" si="7"/>
        <v>0.0025</v>
      </c>
      <c r="V10" s="598"/>
      <c r="W10" s="574">
        <f t="shared" si="8"/>
        <v>0.56882</v>
      </c>
      <c r="X10" s="598"/>
      <c r="Y10" s="574">
        <f t="shared" si="9"/>
        <v>0.5825818182</v>
      </c>
      <c r="Z10" s="308"/>
      <c r="AA10" s="308"/>
      <c r="AB10" s="575" t="str">
        <f t="shared" si="10"/>
        <v/>
      </c>
      <c r="AC10" s="576">
        <f t="shared" si="11"/>
        <v>0.7574216602</v>
      </c>
      <c r="AD10" s="571"/>
      <c r="AE10" s="583"/>
      <c r="AF10" s="583"/>
      <c r="AG10" s="131"/>
      <c r="AH10" s="131"/>
      <c r="AI10" s="584"/>
      <c r="AJ10" s="584"/>
      <c r="AK10" s="585"/>
      <c r="AL10" s="585"/>
      <c r="AM10" s="575"/>
      <c r="AN10" s="571" t="str">
        <f>IFERROR(
  AVERAGEIFS(
    'New LF Efficacy'!$J:$J,
    'New LF Efficacy'!$D:$D, $A10,
    'New LF Efficacy'!$F:$F,"DEC", 
    'New LF Efficacy'!$W:$W,"&lt;2016",
    'New LF Efficacy'!$AA:$AA,""),
  ""
)</f>
        <v/>
      </c>
      <c r="AO10" s="582">
        <f t="shared" si="12"/>
        <v>0.2589833333</v>
      </c>
      <c r="AP10" s="571" t="str">
        <f>IFERROR(
AVERAGEIFS(
'New LF Efficacy'!$J:$J,
'New LF Efficacy'!$D:$D,$A10,
'New LF Efficacy'!$F:$F,"Albendazole &amp; DEC",
'New LF Efficacy'!$W:$W,"&lt;2016",
'New LF Efficacy'!$AA:$AA,""),
"")</f>
        <v/>
      </c>
      <c r="AQ10" s="582">
        <f t="shared" si="13"/>
        <v>0.3465</v>
      </c>
      <c r="AR10" s="571" t="str">
        <f>IFERROR(
AVERAGEIFS(
'New LF Efficacy'!$J:$J,
'New LF Efficacy'!$D:$D,$A10,
'New LF Efficacy'!$F:$F,"Albendazole &amp; Ivermectin", 
'New LF Efficacy'!$W:$W,"&lt;2016",
'New LF Efficacy'!$AA:$AA,""),"")</f>
        <v/>
      </c>
      <c r="AS10" s="582">
        <f t="shared" si="14"/>
        <v>0.7575</v>
      </c>
      <c r="AT10" s="583" t="str">
        <f>IFERROR(AVERAGEIFS(
'Schist Efficacy'!$O:$O, 
'Schist Efficacy'!$C:$C,$A10, 
'Schist Efficacy'!$D:$D, "Praziquantel",
'Schist Efficacy'!$J:$J,"&lt;2016",
'Schist Efficacy'!$U:$U,""),
"")</f>
        <v/>
      </c>
      <c r="AU10" s="572">
        <f t="shared" si="15"/>
        <v>0.7914761905</v>
      </c>
      <c r="AV10" s="131" t="str">
        <f>IFERROR(AVERAGEIFS(
'STH Efficacy'!$AX:$AX, 
'STH Efficacy'!$AL:$AL, $A10, 
'STH Efficacy'!$AM:$AM, "Albendazole",
'STH Efficacy'!$AS:$AS,"&lt;2016",
'STH Efficacy'!$BP:$BP,""),
"")</f>
        <v/>
      </c>
      <c r="AW10" s="132">
        <f t="shared" si="16"/>
        <v>0.3945</v>
      </c>
      <c r="AX10" s="131" t="str">
        <f>IFERROR(AVERAGEIFS(
'STH Efficacy'!$AX:$AX, 
'STH Efficacy'!$AL:$AL, $A10, 
'STH Efficacy'!$AM:$AM, "Mebendazole",
'STH Efficacy'!$AS:$AS,"&lt;2016",
'STH Efficacy'!$BP:$BP,""),
"")</f>
        <v/>
      </c>
      <c r="AY10" s="132">
        <f t="shared" si="17"/>
        <v>0.6</v>
      </c>
      <c r="AZ10" s="131" t="str">
        <f>IFERROR(AVERAGEIFS(
'STH Efficacy'!$AX:$AX, 
'STH Efficacy'!$AL:$AL, $A10, 
'STH Efficacy'!$AM:$AM, "Albendazole &amp; Ivermectin",
'STH Efficacy'!$AS:$AS,"&lt;2016",
'STH Efficacy'!$BP:$BP,""),
"")</f>
        <v/>
      </c>
      <c r="BA10" s="303">
        <f t="shared" si="18"/>
        <v>0.796</v>
      </c>
      <c r="BB10" s="584" t="str">
        <f>IFERROR(AVERAGEIFS(
'STH Efficacy'!$N:$N, 
'STH Efficacy'!$B:$B, $A10, 
'STH Efficacy'!$C:$C, "Albendazole",
'STH Efficacy'!$I:$I,"&lt;2016",
'STH Efficacy'!$AH:$AH,""),
"")</f>
        <v/>
      </c>
      <c r="BC10" s="579">
        <f t="shared" si="19"/>
        <v>0.869</v>
      </c>
      <c r="BD10" s="584" t="str">
        <f>IFERROR(AVERAGEIFS(
'STH Efficacy'!$N:$N, 
'STH Efficacy'!$B:$B, $A10, 
'STH Efficacy'!$C:$C, "Mebendazole",
'STH Efficacy'!$I:$I,"&lt;2016",
'STH Efficacy'!$AH:$AH,""),
"")</f>
        <v/>
      </c>
      <c r="BE10" s="579">
        <f t="shared" si="20"/>
        <v>0.172</v>
      </c>
      <c r="BF10" s="585" t="str">
        <f>IFERROR(AVERAGEIFS(
'STH Efficacy'!$CD:$CD, 
'STH Efficacy'!$BS:$BS, $A10, 
'STH Efficacy'!$BT:$BT, "Albendazole",
'STH Efficacy'!$BZ:$BZ,"&lt;2016",
'STH Efficacy'!$CU:$CU,""),
"")</f>
        <v/>
      </c>
      <c r="BG10" s="580">
        <f t="shared" si="21"/>
        <v>0.9862</v>
      </c>
      <c r="BH10" s="585" t="str">
        <f>IFERROR(AVERAGEIFS(
'STH Efficacy'!$CD:$CD, 
'STH Efficacy'!$BS:$BS, $A10, 
'STH Efficacy'!$BT:$BT, "Mebendazole",
'STH Efficacy'!$BZ:$BZ,"&lt;2016",
'STH Efficacy'!$CU:$CU,""),
"")</f>
        <v/>
      </c>
      <c r="BI10" s="580">
        <f t="shared" si="22"/>
        <v>0.769</v>
      </c>
      <c r="BJ10" s="585" t="str">
        <f>IFERROR(AVERAGEIFS(
'STH Efficacy'!$CD:$CD, 
'STH Efficacy'!$BS:$BS, $A10, 
'STH Efficacy'!$BT:$BT, "Albendazole &amp; Ivermectin",
'STH Efficacy'!$BZ:$BZ,"&lt;2016",
'STH Efficacy'!$CU:$CU,""),
"")</f>
        <v/>
      </c>
      <c r="BK10" s="580">
        <f t="shared" si="23"/>
        <v>1</v>
      </c>
      <c r="BL10" s="575" t="str">
        <f>IFERROR(
  AVERAGEIFS(
    'NEW Onchocerciasis Efficacy'!$AO:$AO,
    'NEW Onchocerciasis Efficacy'!$C:$C,$A10,
    'NEW Onchocerciasis Efficacy'!$D:$D,"Ivermectin",
    'NEW Onchocerciasis Efficacy'!$AR:$AR,"&lt;2016",
    'NEW Onchocerciasis Efficacy'!$BG:$BG,"")
,"")</f>
        <v/>
      </c>
      <c r="BM10" s="586">
        <f t="shared" si="24"/>
        <v>0.3734</v>
      </c>
      <c r="BN10" s="587">
        <v>0.0</v>
      </c>
      <c r="BO10" s="588">
        <v>0.0</v>
      </c>
      <c r="BP10" s="589">
        <v>0.0</v>
      </c>
      <c r="BQ10" s="590">
        <f t="shared" si="25"/>
        <v>0</v>
      </c>
      <c r="BR10" s="560" t="str">
        <f t="shared" si="26"/>
        <v>0000</v>
      </c>
      <c r="BS10" s="560" t="str">
        <f t="shared" si="27"/>
        <v>no action required</v>
      </c>
      <c r="BT10" s="361" t="str">
        <f t="shared" si="28"/>
        <v/>
      </c>
      <c r="BU10" s="591" t="str">
        <f t="shared" si="29"/>
        <v/>
      </c>
      <c r="BV10" s="560" t="str">
        <f t="shared" si="30"/>
        <v>none</v>
      </c>
      <c r="BW10" s="150" t="str">
        <f t="shared" si="31"/>
        <v/>
      </c>
      <c r="BX10" s="150" t="str">
        <f t="shared" si="32"/>
        <v/>
      </c>
      <c r="BY10" s="151" t="str">
        <f t="shared" si="33"/>
        <v/>
      </c>
      <c r="BZ10" s="152" t="str">
        <f t="shared" si="34"/>
        <v/>
      </c>
      <c r="CA10" s="152" t="str">
        <f t="shared" si="35"/>
        <v/>
      </c>
      <c r="CB10" s="152" t="str">
        <f t="shared" si="36"/>
        <v/>
      </c>
      <c r="CC10" s="153" t="str">
        <f t="shared" si="37"/>
        <v/>
      </c>
      <c r="CD10" s="153" t="str">
        <f t="shared" si="38"/>
        <v/>
      </c>
      <c r="CE10" s="154" t="str">
        <f t="shared" si="39"/>
        <v/>
      </c>
      <c r="CF10" s="154" t="str">
        <f t="shared" si="40"/>
        <v/>
      </c>
      <c r="CG10" s="154" t="str">
        <f t="shared" si="41"/>
        <v/>
      </c>
      <c r="CH10" s="308" t="str">
        <f t="shared" si="42"/>
        <v/>
      </c>
    </row>
    <row r="11">
      <c r="A11" s="559" t="s">
        <v>99</v>
      </c>
      <c r="B11" s="560" t="s">
        <v>98</v>
      </c>
      <c r="C11" s="561">
        <v>99923.0</v>
      </c>
      <c r="D11" s="562">
        <v>0.0</v>
      </c>
      <c r="E11" s="563">
        <v>4.91266773201074</v>
      </c>
      <c r="F11" s="564">
        <v>0.0</v>
      </c>
      <c r="G11" s="564">
        <v>0.0</v>
      </c>
      <c r="H11" s="564">
        <v>8.19E-9</v>
      </c>
      <c r="I11" s="565">
        <v>0.034456699</v>
      </c>
      <c r="J11" s="566">
        <v>0.188054601473803</v>
      </c>
      <c r="K11" s="566">
        <v>1.60848922001425</v>
      </c>
      <c r="L11" s="567">
        <v>0.052149301</v>
      </c>
      <c r="M11" s="568">
        <v>0.0202483786011001</v>
      </c>
      <c r="N11" s="568">
        <v>0.0970384909173067</v>
      </c>
      <c r="O11" s="569">
        <v>0.0</v>
      </c>
      <c r="P11" s="570"/>
      <c r="Q11" s="150"/>
      <c r="R11" s="571"/>
      <c r="S11" s="116">
        <f t="shared" si="6"/>
        <v>0.6451333333</v>
      </c>
      <c r="T11" s="151"/>
      <c r="U11" s="572">
        <f t="shared" si="7"/>
        <v>0.0025</v>
      </c>
      <c r="V11" s="598"/>
      <c r="W11" s="574">
        <f t="shared" si="8"/>
        <v>0.56882</v>
      </c>
      <c r="X11" s="598"/>
      <c r="Y11" s="574">
        <f t="shared" si="9"/>
        <v>0.5825818182</v>
      </c>
      <c r="Z11" s="308"/>
      <c r="AA11" s="308"/>
      <c r="AB11" s="575" t="str">
        <f t="shared" si="10"/>
        <v/>
      </c>
      <c r="AC11" s="576">
        <f t="shared" si="11"/>
        <v>0.7574216602</v>
      </c>
      <c r="AD11" s="577">
        <v>0.0</v>
      </c>
      <c r="AE11" s="572">
        <v>0.004296915889</v>
      </c>
      <c r="AF11" s="578">
        <v>1.363697415E-4</v>
      </c>
      <c r="AG11" s="132">
        <v>0.01390848467</v>
      </c>
      <c r="AH11" s="132">
        <v>0.043916617</v>
      </c>
      <c r="AI11" s="579">
        <v>0.006695054691</v>
      </c>
      <c r="AJ11" s="579">
        <v>0.00807154639</v>
      </c>
      <c r="AK11" s="580">
        <v>0.01994205939</v>
      </c>
      <c r="AL11" s="580">
        <v>0.02275412199</v>
      </c>
      <c r="AM11" s="581">
        <v>0.0</v>
      </c>
      <c r="AN11" s="571" t="str">
        <f>IFERROR(
  AVERAGEIFS(
    'New LF Efficacy'!$J:$J,
    'New LF Efficacy'!$D:$D, $A11,
    'New LF Efficacy'!$F:$F,"DEC", 
    'New LF Efficacy'!$W:$W,"&lt;2016",
    'New LF Efficacy'!$AA:$AA,""),
  ""
)</f>
        <v/>
      </c>
      <c r="AO11" s="582">
        <f t="shared" si="12"/>
        <v>0.2589833333</v>
      </c>
      <c r="AP11" s="571" t="str">
        <f>IFERROR(
AVERAGEIFS(
'New LF Efficacy'!$J:$J,
'New LF Efficacy'!$D:$D,$A11,
'New LF Efficacy'!$F:$F,"Albendazole &amp; DEC",
'New LF Efficacy'!$W:$W,"&lt;2016",
'New LF Efficacy'!$AA:$AA,""),
"")</f>
        <v/>
      </c>
      <c r="AQ11" s="582">
        <f t="shared" si="13"/>
        <v>0.3465</v>
      </c>
      <c r="AR11" s="571" t="str">
        <f>IFERROR(
AVERAGEIFS(
'New LF Efficacy'!$J:$J,
'New LF Efficacy'!$D:$D,$A11,
'New LF Efficacy'!$F:$F,"Albendazole &amp; Ivermectin", 
'New LF Efficacy'!$W:$W,"&lt;2016",
'New LF Efficacy'!$AA:$AA,""),"")</f>
        <v/>
      </c>
      <c r="AS11" s="582">
        <f t="shared" si="14"/>
        <v>0.7575</v>
      </c>
      <c r="AT11" s="583" t="str">
        <f>IFERROR(AVERAGEIFS(
'Schist Efficacy'!$O:$O, 
'Schist Efficacy'!$C:$C,$A11, 
'Schist Efficacy'!$D:$D, "Praziquantel",
'Schist Efficacy'!$J:$J,"&lt;2016",
'Schist Efficacy'!$U:$U,""),
"")</f>
        <v/>
      </c>
      <c r="AU11" s="572">
        <f t="shared" si="15"/>
        <v>0.7914761905</v>
      </c>
      <c r="AV11" s="131" t="str">
        <f>IFERROR(AVERAGEIFS(
'STH Efficacy'!$AX:$AX, 
'STH Efficacy'!$AL:$AL, $A11, 
'STH Efficacy'!$AM:$AM, "Albendazole",
'STH Efficacy'!$AS:$AS,"&lt;2016",
'STH Efficacy'!$BP:$BP,""),
"")</f>
        <v/>
      </c>
      <c r="AW11" s="132">
        <f t="shared" si="16"/>
        <v>0.3945</v>
      </c>
      <c r="AX11" s="131" t="str">
        <f>IFERROR(AVERAGEIFS(
'STH Efficacy'!$AX:$AX, 
'STH Efficacy'!$AL:$AL, $A11, 
'STH Efficacy'!$AM:$AM, "Mebendazole",
'STH Efficacy'!$AS:$AS,"&lt;2016",
'STH Efficacy'!$BP:$BP,""),
"")</f>
        <v/>
      </c>
      <c r="AY11" s="132">
        <f t="shared" si="17"/>
        <v>0.6</v>
      </c>
      <c r="AZ11" s="131" t="str">
        <f>IFERROR(AVERAGEIFS(
'STH Efficacy'!$AX:$AX, 
'STH Efficacy'!$AL:$AL, $A11, 
'STH Efficacy'!$AM:$AM, "Albendazole &amp; Ivermectin",
'STH Efficacy'!$AS:$AS,"&lt;2016",
'STH Efficacy'!$BP:$BP,""),
"")</f>
        <v/>
      </c>
      <c r="BA11" s="303">
        <f t="shared" si="18"/>
        <v>0.796</v>
      </c>
      <c r="BB11" s="584" t="str">
        <f>IFERROR(AVERAGEIFS(
'STH Efficacy'!$N:$N, 
'STH Efficacy'!$B:$B, $A11, 
'STH Efficacy'!$C:$C, "Albendazole",
'STH Efficacy'!$I:$I,"&lt;2016",
'STH Efficacy'!$AH:$AH,""),
"")</f>
        <v/>
      </c>
      <c r="BC11" s="579">
        <f t="shared" si="19"/>
        <v>0.869</v>
      </c>
      <c r="BD11" s="584" t="str">
        <f>IFERROR(AVERAGEIFS(
'STH Efficacy'!$N:$N, 
'STH Efficacy'!$B:$B, $A11, 
'STH Efficacy'!$C:$C, "Mebendazole",
'STH Efficacy'!$I:$I,"&lt;2016",
'STH Efficacy'!$AH:$AH,""),
"")</f>
        <v/>
      </c>
      <c r="BE11" s="579">
        <f t="shared" si="20"/>
        <v>0.172</v>
      </c>
      <c r="BF11" s="585" t="str">
        <f>IFERROR(AVERAGEIFS(
'STH Efficacy'!$CD:$CD, 
'STH Efficacy'!$BS:$BS, $A11, 
'STH Efficacy'!$BT:$BT, "Albendazole",
'STH Efficacy'!$BZ:$BZ,"&lt;2016",
'STH Efficacy'!$CU:$CU,""),
"")</f>
        <v/>
      </c>
      <c r="BG11" s="580">
        <f t="shared" si="21"/>
        <v>0.9862</v>
      </c>
      <c r="BH11" s="585" t="str">
        <f>IFERROR(AVERAGEIFS(
'STH Efficacy'!$CD:$CD, 
'STH Efficacy'!$BS:$BS, $A11, 
'STH Efficacy'!$BT:$BT, "Mebendazole",
'STH Efficacy'!$BZ:$BZ,"&lt;2016",
'STH Efficacy'!$CU:$CU,""),
"")</f>
        <v/>
      </c>
      <c r="BI11" s="580">
        <f t="shared" si="22"/>
        <v>0.769</v>
      </c>
      <c r="BJ11" s="585" t="str">
        <f>IFERROR(AVERAGEIFS(
'STH Efficacy'!$CD:$CD, 
'STH Efficacy'!$BS:$BS, $A11, 
'STH Efficacy'!$BT:$BT, "Albendazole &amp; Ivermectin",
'STH Efficacy'!$BZ:$BZ,"&lt;2016",
'STH Efficacy'!$CU:$CU,""),
"")</f>
        <v/>
      </c>
      <c r="BK11" s="580">
        <f t="shared" si="23"/>
        <v>1</v>
      </c>
      <c r="BL11" s="575" t="str">
        <f>IFERROR(
  AVERAGEIFS(
    'NEW Onchocerciasis Efficacy'!$AO:$AO,
    'NEW Onchocerciasis Efficacy'!$C:$C,$A11,
    'NEW Onchocerciasis Efficacy'!$D:$D,"Ivermectin",
    'NEW Onchocerciasis Efficacy'!$AR:$AR,"&lt;2016",
    'NEW Onchocerciasis Efficacy'!$BG:$BG,"")
,"")</f>
        <v/>
      </c>
      <c r="BM11" s="586">
        <f t="shared" si="24"/>
        <v>0.3734</v>
      </c>
      <c r="BN11" s="587">
        <v>0.0</v>
      </c>
      <c r="BO11" s="588">
        <v>0.0</v>
      </c>
      <c r="BP11" s="589">
        <v>0.0</v>
      </c>
      <c r="BQ11" s="590">
        <f t="shared" si="25"/>
        <v>0</v>
      </c>
      <c r="BR11" s="560" t="str">
        <f t="shared" si="26"/>
        <v>0000</v>
      </c>
      <c r="BS11" s="560" t="str">
        <f t="shared" si="27"/>
        <v>no action required</v>
      </c>
      <c r="BT11" s="361" t="str">
        <f t="shared" si="28"/>
        <v/>
      </c>
      <c r="BU11" s="591" t="str">
        <f t="shared" si="29"/>
        <v/>
      </c>
      <c r="BV11" s="560" t="str">
        <f t="shared" si="30"/>
        <v>none</v>
      </c>
      <c r="BW11" s="150" t="str">
        <f t="shared" si="31"/>
        <v/>
      </c>
      <c r="BX11" s="150" t="str">
        <f t="shared" si="32"/>
        <v/>
      </c>
      <c r="BY11" s="151" t="str">
        <f t="shared" si="33"/>
        <v/>
      </c>
      <c r="BZ11" s="152" t="str">
        <f t="shared" si="34"/>
        <v/>
      </c>
      <c r="CA11" s="152" t="str">
        <f t="shared" si="35"/>
        <v/>
      </c>
      <c r="CB11" s="152" t="str">
        <f t="shared" si="36"/>
        <v/>
      </c>
      <c r="CC11" s="153" t="str">
        <f t="shared" si="37"/>
        <v/>
      </c>
      <c r="CD11" s="153" t="str">
        <f t="shared" si="38"/>
        <v/>
      </c>
      <c r="CE11" s="154" t="str">
        <f t="shared" si="39"/>
        <v/>
      </c>
      <c r="CF11" s="154" t="str">
        <f t="shared" si="40"/>
        <v/>
      </c>
      <c r="CG11" s="154" t="str">
        <f t="shared" si="41"/>
        <v/>
      </c>
      <c r="CH11" s="308" t="str">
        <f t="shared" si="42"/>
        <v/>
      </c>
    </row>
    <row r="12">
      <c r="A12" s="559" t="s">
        <v>100</v>
      </c>
      <c r="B12" s="560" t="s">
        <v>98</v>
      </c>
      <c r="C12" s="561">
        <v>4.3417765E7</v>
      </c>
      <c r="D12" s="562">
        <v>0.0</v>
      </c>
      <c r="E12" s="563">
        <v>0.0</v>
      </c>
      <c r="F12" s="564">
        <v>0.111588703</v>
      </c>
      <c r="G12" s="564">
        <v>0.823421615</v>
      </c>
      <c r="H12" s="564">
        <v>3.489831349</v>
      </c>
      <c r="I12" s="565">
        <v>32.14206209</v>
      </c>
      <c r="J12" s="566">
        <v>121.967822000921</v>
      </c>
      <c r="K12" s="566">
        <v>910.114872469049</v>
      </c>
      <c r="L12" s="567">
        <v>16.04581418</v>
      </c>
      <c r="M12" s="568">
        <v>21.3357078674309</v>
      </c>
      <c r="N12" s="568">
        <v>91.3471162195145</v>
      </c>
      <c r="O12" s="569">
        <v>0.0</v>
      </c>
      <c r="P12" s="570"/>
      <c r="Q12" s="150"/>
      <c r="R12" s="571"/>
      <c r="S12" s="116">
        <f t="shared" si="6"/>
        <v>0.6451333333</v>
      </c>
      <c r="T12" s="151"/>
      <c r="U12" s="572">
        <f t="shared" si="7"/>
        <v>0.0025</v>
      </c>
      <c r="V12" s="598"/>
      <c r="W12" s="574">
        <f t="shared" si="8"/>
        <v>0.56882</v>
      </c>
      <c r="X12" s="598"/>
      <c r="Y12" s="574">
        <f t="shared" si="9"/>
        <v>0.5825818182</v>
      </c>
      <c r="Z12" s="308"/>
      <c r="AA12" s="308"/>
      <c r="AB12" s="575" t="str">
        <f t="shared" si="10"/>
        <v/>
      </c>
      <c r="AC12" s="576">
        <f t="shared" si="11"/>
        <v>0.7574216602</v>
      </c>
      <c r="AD12" s="577">
        <v>0.0</v>
      </c>
      <c r="AE12" s="572">
        <v>0.0</v>
      </c>
      <c r="AF12" s="578">
        <v>0.0</v>
      </c>
      <c r="AG12" s="132">
        <v>0.01653258447</v>
      </c>
      <c r="AH12" s="132">
        <v>0.047670154</v>
      </c>
      <c r="AI12" s="579">
        <v>0.009995539267</v>
      </c>
      <c r="AJ12" s="579">
        <v>0.01104826139</v>
      </c>
      <c r="AK12" s="580">
        <v>0.01652177099</v>
      </c>
      <c r="AL12" s="580">
        <v>0.01731556501</v>
      </c>
      <c r="AM12" s="581">
        <v>0.0</v>
      </c>
      <c r="AN12" s="571" t="str">
        <f>IFERROR(
  AVERAGEIFS(
    'New LF Efficacy'!$J:$J,
    'New LF Efficacy'!$D:$D, $A12,
    'New LF Efficacy'!$F:$F,"DEC", 
    'New LF Efficacy'!$W:$W,"&lt;2016",
    'New LF Efficacy'!$AA:$AA,""),
  ""
)</f>
        <v/>
      </c>
      <c r="AO12" s="582">
        <f t="shared" si="12"/>
        <v>0.2589833333</v>
      </c>
      <c r="AP12" s="571" t="str">
        <f>IFERROR(
AVERAGEIFS(
'New LF Efficacy'!$J:$J,
'New LF Efficacy'!$D:$D,$A12,
'New LF Efficacy'!$F:$F,"Albendazole &amp; DEC",
'New LF Efficacy'!$W:$W,"&lt;2016",
'New LF Efficacy'!$AA:$AA,""),
"")</f>
        <v/>
      </c>
      <c r="AQ12" s="582">
        <f t="shared" si="13"/>
        <v>0.3465</v>
      </c>
      <c r="AR12" s="571" t="str">
        <f>IFERROR(
AVERAGEIFS(
'New LF Efficacy'!$J:$J,
'New LF Efficacy'!$D:$D,$A12,
'New LF Efficacy'!$F:$F,"Albendazole &amp; Ivermectin", 
'New LF Efficacy'!$W:$W,"&lt;2016",
'New LF Efficacy'!$AA:$AA,""),"")</f>
        <v/>
      </c>
      <c r="AS12" s="582">
        <f t="shared" si="14"/>
        <v>0.7575</v>
      </c>
      <c r="AT12" s="583" t="str">
        <f>IFERROR(AVERAGEIFS(
'Schist Efficacy'!$O:$O, 
'Schist Efficacy'!$C:$C,$A12, 
'Schist Efficacy'!$D:$D, "Praziquantel",
'Schist Efficacy'!$J:$J,"&lt;2016",
'Schist Efficacy'!$U:$U,""),
"")</f>
        <v/>
      </c>
      <c r="AU12" s="572">
        <f t="shared" si="15"/>
        <v>0.7914761905</v>
      </c>
      <c r="AV12" s="131" t="str">
        <f>IFERROR(AVERAGEIFS(
'STH Efficacy'!$AX:$AX, 
'STH Efficacy'!$AL:$AL, $A12, 
'STH Efficacy'!$AM:$AM, "Albendazole",
'STH Efficacy'!$AS:$AS,"&lt;2016",
'STH Efficacy'!$BP:$BP,""),
"")</f>
        <v/>
      </c>
      <c r="AW12" s="132">
        <f t="shared" si="16"/>
        <v>0.3945</v>
      </c>
      <c r="AX12" s="131" t="str">
        <f>IFERROR(AVERAGEIFS(
'STH Efficacy'!$AX:$AX, 
'STH Efficacy'!$AL:$AL, $A12, 
'STH Efficacy'!$AM:$AM, "Mebendazole",
'STH Efficacy'!$AS:$AS,"&lt;2016",
'STH Efficacy'!$BP:$BP,""),
"")</f>
        <v/>
      </c>
      <c r="AY12" s="132">
        <f t="shared" si="17"/>
        <v>0.6</v>
      </c>
      <c r="AZ12" s="131" t="str">
        <f>IFERROR(AVERAGEIFS(
'STH Efficacy'!$AX:$AX, 
'STH Efficacy'!$AL:$AL, $A12, 
'STH Efficacy'!$AM:$AM, "Albendazole &amp; Ivermectin",
'STH Efficacy'!$AS:$AS,"&lt;2016",
'STH Efficacy'!$BP:$BP,""),
"")</f>
        <v/>
      </c>
      <c r="BA12" s="303">
        <f t="shared" si="18"/>
        <v>0.796</v>
      </c>
      <c r="BB12" s="584" t="str">
        <f>IFERROR(AVERAGEIFS(
'STH Efficacy'!$N:$N, 
'STH Efficacy'!$B:$B, $A12, 
'STH Efficacy'!$C:$C, "Albendazole",
'STH Efficacy'!$I:$I,"&lt;2016",
'STH Efficacy'!$AH:$AH,""),
"")</f>
        <v/>
      </c>
      <c r="BC12" s="579">
        <f t="shared" si="19"/>
        <v>0.869</v>
      </c>
      <c r="BD12" s="584" t="str">
        <f>IFERROR(AVERAGEIFS(
'STH Efficacy'!$N:$N, 
'STH Efficacy'!$B:$B, $A12, 
'STH Efficacy'!$C:$C, "Mebendazole",
'STH Efficacy'!$I:$I,"&lt;2016",
'STH Efficacy'!$AH:$AH,""),
"")</f>
        <v/>
      </c>
      <c r="BE12" s="579">
        <f t="shared" si="20"/>
        <v>0.172</v>
      </c>
      <c r="BF12" s="585" t="str">
        <f>IFERROR(AVERAGEIFS(
'STH Efficacy'!$CD:$CD, 
'STH Efficacy'!$BS:$BS, $A12, 
'STH Efficacy'!$BT:$BT, "Albendazole",
'STH Efficacy'!$BZ:$BZ,"&lt;2016",
'STH Efficacy'!$CU:$CU,""),
"")</f>
        <v/>
      </c>
      <c r="BG12" s="580">
        <f t="shared" si="21"/>
        <v>0.9862</v>
      </c>
      <c r="BH12" s="585" t="str">
        <f>IFERROR(AVERAGEIFS(
'STH Efficacy'!$CD:$CD, 
'STH Efficacy'!$BS:$BS, $A12, 
'STH Efficacy'!$BT:$BT, "Mebendazole",
'STH Efficacy'!$BZ:$BZ,"&lt;2016",
'STH Efficacy'!$CU:$CU,""),
"")</f>
        <v/>
      </c>
      <c r="BI12" s="580">
        <f t="shared" si="22"/>
        <v>0.769</v>
      </c>
      <c r="BJ12" s="585" t="str">
        <f>IFERROR(AVERAGEIFS(
'STH Efficacy'!$CD:$CD, 
'STH Efficacy'!$BS:$BS, $A12, 
'STH Efficacy'!$BT:$BT, "Albendazole &amp; Ivermectin",
'STH Efficacy'!$BZ:$BZ,"&lt;2016",
'STH Efficacy'!$CU:$CU,""),
"")</f>
        <v/>
      </c>
      <c r="BK12" s="580">
        <f t="shared" si="23"/>
        <v>1</v>
      </c>
      <c r="BL12" s="575" t="str">
        <f>IFERROR(
  AVERAGEIFS(
    'NEW Onchocerciasis Efficacy'!$AO:$AO,
    'NEW Onchocerciasis Efficacy'!$C:$C,$A12,
    'NEW Onchocerciasis Efficacy'!$D:$D,"Ivermectin",
    'NEW Onchocerciasis Efficacy'!$AR:$AR,"&lt;2016",
    'NEW Onchocerciasis Efficacy'!$BG:$BG,"")
,"")</f>
        <v/>
      </c>
      <c r="BM12" s="586">
        <f t="shared" si="24"/>
        <v>0.3734</v>
      </c>
      <c r="BN12" s="587">
        <v>0.0</v>
      </c>
      <c r="BO12" s="588">
        <v>0.0</v>
      </c>
      <c r="BP12" s="589">
        <v>0.0</v>
      </c>
      <c r="BQ12" s="590">
        <f t="shared" si="25"/>
        <v>0</v>
      </c>
      <c r="BR12" s="560" t="str">
        <f t="shared" si="26"/>
        <v>0000</v>
      </c>
      <c r="BS12" s="560" t="str">
        <f t="shared" si="27"/>
        <v>no action required</v>
      </c>
      <c r="BT12" s="361" t="str">
        <f t="shared" si="28"/>
        <v/>
      </c>
      <c r="BU12" s="591" t="str">
        <f t="shared" si="29"/>
        <v/>
      </c>
      <c r="BV12" s="560" t="str">
        <f t="shared" si="30"/>
        <v>none</v>
      </c>
      <c r="BW12" s="150" t="str">
        <f t="shared" si="31"/>
        <v/>
      </c>
      <c r="BX12" s="150" t="str">
        <f t="shared" si="32"/>
        <v/>
      </c>
      <c r="BY12" s="151" t="str">
        <f t="shared" si="33"/>
        <v/>
      </c>
      <c r="BZ12" s="152" t="str">
        <f t="shared" si="34"/>
        <v/>
      </c>
      <c r="CA12" s="152" t="str">
        <f t="shared" si="35"/>
        <v/>
      </c>
      <c r="CB12" s="152" t="str">
        <f t="shared" si="36"/>
        <v/>
      </c>
      <c r="CC12" s="153" t="str">
        <f t="shared" si="37"/>
        <v/>
      </c>
      <c r="CD12" s="153" t="str">
        <f t="shared" si="38"/>
        <v/>
      </c>
      <c r="CE12" s="154" t="str">
        <f t="shared" si="39"/>
        <v/>
      </c>
      <c r="CF12" s="154" t="str">
        <f t="shared" si="40"/>
        <v/>
      </c>
      <c r="CG12" s="154" t="str">
        <f t="shared" si="41"/>
        <v/>
      </c>
      <c r="CH12" s="308" t="str">
        <f t="shared" si="42"/>
        <v/>
      </c>
    </row>
    <row r="13">
      <c r="A13" s="559" t="s">
        <v>101</v>
      </c>
      <c r="B13" s="560" t="s">
        <v>90</v>
      </c>
      <c r="C13" s="561">
        <v>2916950.0</v>
      </c>
      <c r="D13" s="562">
        <v>0.0</v>
      </c>
      <c r="E13" s="563">
        <v>0.0</v>
      </c>
      <c r="F13" s="564">
        <v>8.17E-9</v>
      </c>
      <c r="G13" s="564">
        <v>1.1E-7</v>
      </c>
      <c r="H13" s="564">
        <v>2.92E-7</v>
      </c>
      <c r="I13" s="565">
        <v>2.575036937</v>
      </c>
      <c r="J13" s="566">
        <v>4.68643487280266</v>
      </c>
      <c r="K13" s="566">
        <v>38.5428574099358</v>
      </c>
      <c r="L13" s="567">
        <v>0.193799079</v>
      </c>
      <c r="M13" s="568">
        <v>0.108807374197976</v>
      </c>
      <c r="N13" s="568">
        <v>0.473642801687641</v>
      </c>
      <c r="O13" s="569">
        <v>0.0</v>
      </c>
      <c r="P13" s="570"/>
      <c r="Q13" s="150"/>
      <c r="R13" s="571"/>
      <c r="S13" s="116">
        <f t="shared" si="6"/>
        <v>0.6648642857</v>
      </c>
      <c r="T13" s="151"/>
      <c r="U13" s="572">
        <f t="shared" si="7"/>
        <v>0.53016</v>
      </c>
      <c r="V13" s="613"/>
      <c r="W13" s="574" t="b">
        <f t="shared" si="8"/>
        <v>0</v>
      </c>
      <c r="X13" s="613"/>
      <c r="Y13" s="574">
        <f t="shared" si="9"/>
        <v>0.631675</v>
      </c>
      <c r="Z13" s="308"/>
      <c r="AA13" s="308"/>
      <c r="AB13" s="575" t="str">
        <f t="shared" si="10"/>
        <v/>
      </c>
      <c r="AC13" s="576">
        <f t="shared" si="11"/>
        <v>0.7192241206</v>
      </c>
      <c r="AD13" s="577">
        <v>0.0</v>
      </c>
      <c r="AE13" s="572">
        <v>0.0</v>
      </c>
      <c r="AF13" s="578">
        <v>0.0</v>
      </c>
      <c r="AG13" s="132">
        <v>0.01404519467</v>
      </c>
      <c r="AH13" s="132">
        <v>0.044844433</v>
      </c>
      <c r="AI13" s="579">
        <v>0.01002553721</v>
      </c>
      <c r="AJ13" s="579">
        <v>0.01233366259</v>
      </c>
      <c r="AK13" s="580">
        <v>0.01207717508</v>
      </c>
      <c r="AL13" s="580">
        <v>0.01413560325</v>
      </c>
      <c r="AM13" s="581">
        <v>0.0</v>
      </c>
      <c r="AN13" s="571" t="str">
        <f>IFERROR(
  AVERAGEIFS(
    'New LF Efficacy'!$J:$J,
    'New LF Efficacy'!$D:$D, $A13,
    'New LF Efficacy'!$F:$F,"DEC", 
    'New LF Efficacy'!$W:$W,"&lt;2016",
    'New LF Efficacy'!$AA:$AA,""),
  ""
)</f>
        <v/>
      </c>
      <c r="AO13" s="582">
        <f t="shared" si="12"/>
        <v>0.3573520833</v>
      </c>
      <c r="AP13" s="571" t="str">
        <f>IFERROR(
AVERAGEIFS(
'New LF Efficacy'!$J:$J,
'New LF Efficacy'!$D:$D,$A13,
'New LF Efficacy'!$F:$F,"Albendazole &amp; DEC",
'New LF Efficacy'!$W:$W,"&lt;2016",
'New LF Efficacy'!$AA:$AA,""),
"")</f>
        <v/>
      </c>
      <c r="AQ13" s="582">
        <f t="shared" si="13"/>
        <v>0.5143541667</v>
      </c>
      <c r="AR13" s="571" t="str">
        <f>IFERROR(
AVERAGEIFS(
'New LF Efficacy'!$J:$J,
'New LF Efficacy'!$D:$D,$A13,
'New LF Efficacy'!$F:$F,"Albendazole &amp; Ivermectin", 
'New LF Efficacy'!$W:$W,"&lt;2016",
'New LF Efficacy'!$AA:$AA,""),"")</f>
        <v/>
      </c>
      <c r="AS13" s="582">
        <f t="shared" si="14"/>
        <v>0.37153125</v>
      </c>
      <c r="AT13" s="583" t="str">
        <f>IFERROR(AVERAGEIFS(
'Schist Efficacy'!$O:$O, 
'Schist Efficacy'!$C:$C,$A13, 
'Schist Efficacy'!$D:$D, "Praziquantel",
'Schist Efficacy'!$J:$J,"&lt;2016",
'Schist Efficacy'!$U:$U,""),
"")</f>
        <v/>
      </c>
      <c r="AU13" s="572">
        <f t="shared" si="15"/>
        <v>0.655</v>
      </c>
      <c r="AV13" s="131" t="str">
        <f>IFERROR(AVERAGEIFS(
'STH Efficacy'!$AX:$AX, 
'STH Efficacy'!$AL:$AL, $A13, 
'STH Efficacy'!$AM:$AM, "Albendazole",
'STH Efficacy'!$AS:$AS,"&lt;2016",
'STH Efficacy'!$BP:$BP,""),
"")</f>
        <v/>
      </c>
      <c r="AW13" s="132">
        <f t="shared" si="16"/>
        <v>0.4143846154</v>
      </c>
      <c r="AX13" s="131" t="str">
        <f>IFERROR(AVERAGEIFS(
'STH Efficacy'!$AX:$AX, 
'STH Efficacy'!$AL:$AL, $A13, 
'STH Efficacy'!$AM:$AM, "Mebendazole",
'STH Efficacy'!$AS:$AS,"&lt;2016",
'STH Efficacy'!$BP:$BP,""),
"")</f>
        <v/>
      </c>
      <c r="AY13" s="132">
        <f t="shared" si="17"/>
        <v>0.4691770833</v>
      </c>
      <c r="AZ13" s="131" t="str">
        <f>IFERROR(AVERAGEIFS(
'STH Efficacy'!$AX:$AX, 
'STH Efficacy'!$AL:$AL, $A13, 
'STH Efficacy'!$AM:$AM, "Albendazole &amp; Ivermectin",
'STH Efficacy'!$AS:$AS,"&lt;2016",
'STH Efficacy'!$BP:$BP,""),
"")</f>
        <v/>
      </c>
      <c r="BA13" s="303">
        <f t="shared" si="18"/>
        <v>0.597625</v>
      </c>
      <c r="BB13" s="584" t="str">
        <f>IFERROR(AVERAGEIFS(
'STH Efficacy'!$N:$N, 
'STH Efficacy'!$B:$B, $A13, 
'STH Efficacy'!$C:$C, "Albendazole",
'STH Efficacy'!$I:$I,"&lt;2016",
'STH Efficacy'!$AH:$AH,""),
"")</f>
        <v/>
      </c>
      <c r="BC13" s="579">
        <f t="shared" si="19"/>
        <v>0.7613712121</v>
      </c>
      <c r="BD13" s="584" t="str">
        <f>IFERROR(AVERAGEIFS(
'STH Efficacy'!$N:$N, 
'STH Efficacy'!$B:$B, $A13, 
'STH Efficacy'!$C:$C, "Mebendazole",
'STH Efficacy'!$I:$I,"&lt;2016",
'STH Efficacy'!$AH:$AH,""),
"")</f>
        <v/>
      </c>
      <c r="BE13" s="579">
        <f t="shared" si="20"/>
        <v>0.4362466667</v>
      </c>
      <c r="BF13" s="585" t="str">
        <f>IFERROR(AVERAGEIFS(
'STH Efficacy'!$CD:$CD, 
'STH Efficacy'!$BS:$BS, $A13, 
'STH Efficacy'!$BT:$BT, "Albendazole",
'STH Efficacy'!$BZ:$BZ,"&lt;2016",
'STH Efficacy'!$CU:$CU,""),
"")</f>
        <v/>
      </c>
      <c r="BG13" s="580">
        <f t="shared" si="21"/>
        <v>0.9216027778</v>
      </c>
      <c r="BH13" s="585" t="str">
        <f>IFERROR(AVERAGEIFS(
'STH Efficacy'!$CD:$CD, 
'STH Efficacy'!$BS:$BS, $A13, 
'STH Efficacy'!$BT:$BT, "Mebendazole",
'STH Efficacy'!$BZ:$BZ,"&lt;2016",
'STH Efficacy'!$CU:$CU,""),
"")</f>
        <v/>
      </c>
      <c r="BI13" s="580">
        <f t="shared" si="22"/>
        <v>0.8866041667</v>
      </c>
      <c r="BJ13" s="585" t="str">
        <f>IFERROR(AVERAGEIFS(
'STH Efficacy'!$CD:$CD, 
'STH Efficacy'!$BS:$BS, $A13, 
'STH Efficacy'!$BT:$BT, "Albendazole &amp; Ivermectin",
'STH Efficacy'!$BZ:$BZ,"&lt;2016",
'STH Efficacy'!$CU:$CU,""),
"")</f>
        <v/>
      </c>
      <c r="BK13" s="580">
        <f t="shared" si="23"/>
        <v>0.848</v>
      </c>
      <c r="BL13" s="575" t="str">
        <f>IFERROR(
  AVERAGEIFS(
    'NEW Onchocerciasis Efficacy'!$AO:$AO,
    'NEW Onchocerciasis Efficacy'!$C:$C,$A13,
    'NEW Onchocerciasis Efficacy'!$D:$D,"Ivermectin",
    'NEW Onchocerciasis Efficacy'!$AR:$AR,"&lt;2016",
    'NEW Onchocerciasis Efficacy'!$BG:$BG,"")
,"")</f>
        <v/>
      </c>
      <c r="BM13" s="586">
        <f t="shared" si="24"/>
        <v>0.7808368939</v>
      </c>
      <c r="BN13" s="587">
        <v>0.0</v>
      </c>
      <c r="BO13" s="588">
        <v>0.0</v>
      </c>
      <c r="BP13" s="589">
        <v>0.0</v>
      </c>
      <c r="BQ13" s="590">
        <f t="shared" si="25"/>
        <v>0</v>
      </c>
      <c r="BR13" s="560" t="str">
        <f t="shared" si="26"/>
        <v>0000</v>
      </c>
      <c r="BS13" s="560" t="str">
        <f t="shared" si="27"/>
        <v>no action required</v>
      </c>
      <c r="BT13" s="361" t="str">
        <f t="shared" si="28"/>
        <v/>
      </c>
      <c r="BU13" s="591" t="str">
        <f t="shared" si="29"/>
        <v/>
      </c>
      <c r="BV13" s="560" t="str">
        <f t="shared" si="30"/>
        <v>none</v>
      </c>
      <c r="BW13" s="150" t="str">
        <f t="shared" si="31"/>
        <v/>
      </c>
      <c r="BX13" s="150" t="str">
        <f t="shared" si="32"/>
        <v/>
      </c>
      <c r="BY13" s="151" t="str">
        <f t="shared" si="33"/>
        <v/>
      </c>
      <c r="BZ13" s="152" t="str">
        <f t="shared" si="34"/>
        <v/>
      </c>
      <c r="CA13" s="152" t="str">
        <f t="shared" si="35"/>
        <v/>
      </c>
      <c r="CB13" s="152" t="str">
        <f t="shared" si="36"/>
        <v/>
      </c>
      <c r="CC13" s="153" t="str">
        <f t="shared" si="37"/>
        <v/>
      </c>
      <c r="CD13" s="153" t="str">
        <f t="shared" si="38"/>
        <v/>
      </c>
      <c r="CE13" s="154" t="str">
        <f t="shared" si="39"/>
        <v/>
      </c>
      <c r="CF13" s="154" t="str">
        <f t="shared" si="40"/>
        <v/>
      </c>
      <c r="CG13" s="154" t="str">
        <f t="shared" si="41"/>
        <v/>
      </c>
      <c r="CH13" s="308" t="str">
        <f t="shared" si="42"/>
        <v/>
      </c>
    </row>
    <row r="14">
      <c r="A14" s="599" t="s">
        <v>102</v>
      </c>
      <c r="B14" s="560" t="s">
        <v>98</v>
      </c>
      <c r="C14" s="561">
        <v>104341.0</v>
      </c>
      <c r="D14" s="562"/>
      <c r="E14" s="610"/>
      <c r="F14" s="611"/>
      <c r="G14" s="611"/>
      <c r="H14" s="611"/>
      <c r="I14" s="566"/>
      <c r="J14" s="566"/>
      <c r="K14" s="566"/>
      <c r="L14" s="612"/>
      <c r="M14" s="612"/>
      <c r="N14" s="612"/>
      <c r="O14" s="308"/>
      <c r="P14" s="150"/>
      <c r="Q14" s="150"/>
      <c r="R14" s="571"/>
      <c r="S14" s="116">
        <f t="shared" si="6"/>
        <v>0.6451333333</v>
      </c>
      <c r="T14" s="151"/>
      <c r="U14" s="572">
        <f t="shared" si="7"/>
        <v>0.0025</v>
      </c>
      <c r="V14" s="598"/>
      <c r="W14" s="574">
        <f t="shared" si="8"/>
        <v>0.56882</v>
      </c>
      <c r="X14" s="598"/>
      <c r="Y14" s="574">
        <f t="shared" si="9"/>
        <v>0.5825818182</v>
      </c>
      <c r="Z14" s="308"/>
      <c r="AA14" s="308"/>
      <c r="AB14" s="575" t="str">
        <f t="shared" si="10"/>
        <v/>
      </c>
      <c r="AC14" s="576">
        <f t="shared" si="11"/>
        <v>0.7574216602</v>
      </c>
      <c r="AD14" s="571"/>
      <c r="AE14" s="583"/>
      <c r="AF14" s="583"/>
      <c r="AG14" s="131"/>
      <c r="AH14" s="131"/>
      <c r="AI14" s="584"/>
      <c r="AJ14" s="584"/>
      <c r="AK14" s="585"/>
      <c r="AL14" s="585"/>
      <c r="AM14" s="575"/>
      <c r="AN14" s="571" t="str">
        <f>IFERROR(
  AVERAGEIFS(
    'New LF Efficacy'!$J:$J,
    'New LF Efficacy'!$D:$D, $A14,
    'New LF Efficacy'!$F:$F,"DEC", 
    'New LF Efficacy'!$W:$W,"&lt;2016",
    'New LF Efficacy'!$AA:$AA,""),
  ""
)</f>
        <v/>
      </c>
      <c r="AO14" s="582">
        <f t="shared" si="12"/>
        <v>0.2589833333</v>
      </c>
      <c r="AP14" s="571" t="str">
        <f>IFERROR(
AVERAGEIFS(
'New LF Efficacy'!$J:$J,
'New LF Efficacy'!$D:$D,$A14,
'New LF Efficacy'!$F:$F,"Albendazole &amp; DEC",
'New LF Efficacy'!$W:$W,"&lt;2016",
'New LF Efficacy'!$AA:$AA,""),
"")</f>
        <v/>
      </c>
      <c r="AQ14" s="582">
        <f t="shared" si="13"/>
        <v>0.3465</v>
      </c>
      <c r="AR14" s="571" t="str">
        <f>IFERROR(
AVERAGEIFS(
'New LF Efficacy'!$J:$J,
'New LF Efficacy'!$D:$D,$A14,
'New LF Efficacy'!$F:$F,"Albendazole &amp; Ivermectin", 
'New LF Efficacy'!$W:$W,"&lt;2016",
'New LF Efficacy'!$AA:$AA,""),"")</f>
        <v/>
      </c>
      <c r="AS14" s="582">
        <f t="shared" si="14"/>
        <v>0.7575</v>
      </c>
      <c r="AT14" s="583" t="str">
        <f>IFERROR(AVERAGEIFS(
'Schist Efficacy'!$O:$O, 
'Schist Efficacy'!$C:$C,$A14, 
'Schist Efficacy'!$D:$D, "Praziquantel",
'Schist Efficacy'!$J:$J,"&lt;2016",
'Schist Efficacy'!$U:$U,""),
"")</f>
        <v/>
      </c>
      <c r="AU14" s="572">
        <f t="shared" si="15"/>
        <v>0.7914761905</v>
      </c>
      <c r="AV14" s="131" t="str">
        <f>IFERROR(AVERAGEIFS(
'STH Efficacy'!$AX:$AX, 
'STH Efficacy'!$AL:$AL, $A14, 
'STH Efficacy'!$AM:$AM, "Albendazole",
'STH Efficacy'!$AS:$AS,"&lt;2016",
'STH Efficacy'!$BP:$BP,""),
"")</f>
        <v/>
      </c>
      <c r="AW14" s="132">
        <f t="shared" si="16"/>
        <v>0.3945</v>
      </c>
      <c r="AX14" s="131" t="str">
        <f>IFERROR(AVERAGEIFS(
'STH Efficacy'!$AX:$AX, 
'STH Efficacy'!$AL:$AL, $A14, 
'STH Efficacy'!$AM:$AM, "Mebendazole",
'STH Efficacy'!$AS:$AS,"&lt;2016",
'STH Efficacy'!$BP:$BP,""),
"")</f>
        <v/>
      </c>
      <c r="AY14" s="132">
        <f t="shared" si="17"/>
        <v>0.6</v>
      </c>
      <c r="AZ14" s="131" t="str">
        <f>IFERROR(AVERAGEIFS(
'STH Efficacy'!$AX:$AX, 
'STH Efficacy'!$AL:$AL, $A14, 
'STH Efficacy'!$AM:$AM, "Albendazole &amp; Ivermectin",
'STH Efficacy'!$AS:$AS,"&lt;2016",
'STH Efficacy'!$BP:$BP,""),
"")</f>
        <v/>
      </c>
      <c r="BA14" s="303">
        <f t="shared" si="18"/>
        <v>0.796</v>
      </c>
      <c r="BB14" s="584" t="str">
        <f>IFERROR(AVERAGEIFS(
'STH Efficacy'!$N:$N, 
'STH Efficacy'!$B:$B, $A14, 
'STH Efficacy'!$C:$C, "Albendazole",
'STH Efficacy'!$I:$I,"&lt;2016",
'STH Efficacy'!$AH:$AH,""),
"")</f>
        <v/>
      </c>
      <c r="BC14" s="579">
        <f t="shared" si="19"/>
        <v>0.869</v>
      </c>
      <c r="BD14" s="584" t="str">
        <f>IFERROR(AVERAGEIFS(
'STH Efficacy'!$N:$N, 
'STH Efficacy'!$B:$B, $A14, 
'STH Efficacy'!$C:$C, "Mebendazole",
'STH Efficacy'!$I:$I,"&lt;2016",
'STH Efficacy'!$AH:$AH,""),
"")</f>
        <v/>
      </c>
      <c r="BE14" s="579">
        <f t="shared" si="20"/>
        <v>0.172</v>
      </c>
      <c r="BF14" s="585" t="str">
        <f>IFERROR(AVERAGEIFS(
'STH Efficacy'!$CD:$CD, 
'STH Efficacy'!$BS:$BS, $A14, 
'STH Efficacy'!$BT:$BT, "Albendazole",
'STH Efficacy'!$BZ:$BZ,"&lt;2016",
'STH Efficacy'!$CU:$CU,""),
"")</f>
        <v/>
      </c>
      <c r="BG14" s="580">
        <f t="shared" si="21"/>
        <v>0.9862</v>
      </c>
      <c r="BH14" s="585" t="str">
        <f>IFERROR(AVERAGEIFS(
'STH Efficacy'!$CD:$CD, 
'STH Efficacy'!$BS:$BS, $A14, 
'STH Efficacy'!$BT:$BT, "Mebendazole",
'STH Efficacy'!$BZ:$BZ,"&lt;2016",
'STH Efficacy'!$CU:$CU,""),
"")</f>
        <v/>
      </c>
      <c r="BI14" s="580">
        <f t="shared" si="22"/>
        <v>0.769</v>
      </c>
      <c r="BJ14" s="585" t="str">
        <f>IFERROR(AVERAGEIFS(
'STH Efficacy'!$CD:$CD, 
'STH Efficacy'!$BS:$BS, $A14, 
'STH Efficacy'!$BT:$BT, "Albendazole &amp; Ivermectin",
'STH Efficacy'!$BZ:$BZ,"&lt;2016",
'STH Efficacy'!$CU:$CU,""),
"")</f>
        <v/>
      </c>
      <c r="BK14" s="580">
        <f t="shared" si="23"/>
        <v>1</v>
      </c>
      <c r="BL14" s="575" t="str">
        <f>IFERROR(
  AVERAGEIFS(
    'NEW Onchocerciasis Efficacy'!$AO:$AO,
    'NEW Onchocerciasis Efficacy'!$C:$C,$A14,
    'NEW Onchocerciasis Efficacy'!$D:$D,"Ivermectin",
    'NEW Onchocerciasis Efficacy'!$AR:$AR,"&lt;2016",
    'NEW Onchocerciasis Efficacy'!$BG:$BG,"")
,"")</f>
        <v/>
      </c>
      <c r="BM14" s="586">
        <f t="shared" si="24"/>
        <v>0.3734</v>
      </c>
      <c r="BN14" s="587">
        <v>0.0</v>
      </c>
      <c r="BO14" s="588">
        <v>0.0</v>
      </c>
      <c r="BP14" s="589">
        <v>0.0</v>
      </c>
      <c r="BQ14" s="590">
        <f t="shared" si="25"/>
        <v>0</v>
      </c>
      <c r="BR14" s="560" t="str">
        <f t="shared" si="26"/>
        <v>0000</v>
      </c>
      <c r="BS14" s="560" t="str">
        <f t="shared" si="27"/>
        <v>no action required</v>
      </c>
      <c r="BT14" s="361" t="str">
        <f t="shared" si="28"/>
        <v/>
      </c>
      <c r="BU14" s="591" t="str">
        <f t="shared" si="29"/>
        <v/>
      </c>
      <c r="BV14" s="560" t="str">
        <f t="shared" si="30"/>
        <v>none</v>
      </c>
      <c r="BW14" s="150" t="str">
        <f t="shared" si="31"/>
        <v/>
      </c>
      <c r="BX14" s="150" t="str">
        <f t="shared" si="32"/>
        <v/>
      </c>
      <c r="BY14" s="151" t="str">
        <f t="shared" si="33"/>
        <v/>
      </c>
      <c r="BZ14" s="152" t="str">
        <f t="shared" si="34"/>
        <v/>
      </c>
      <c r="CA14" s="152" t="str">
        <f t="shared" si="35"/>
        <v/>
      </c>
      <c r="CB14" s="152" t="str">
        <f t="shared" si="36"/>
        <v/>
      </c>
      <c r="CC14" s="153" t="str">
        <f t="shared" si="37"/>
        <v/>
      </c>
      <c r="CD14" s="153" t="str">
        <f t="shared" si="38"/>
        <v/>
      </c>
      <c r="CE14" s="154" t="str">
        <f t="shared" si="39"/>
        <v/>
      </c>
      <c r="CF14" s="154" t="str">
        <f t="shared" si="40"/>
        <v/>
      </c>
      <c r="CG14" s="154" t="str">
        <f t="shared" si="41"/>
        <v/>
      </c>
      <c r="CH14" s="308" t="str">
        <f t="shared" si="42"/>
        <v/>
      </c>
    </row>
    <row r="15">
      <c r="A15" s="559" t="s">
        <v>103</v>
      </c>
      <c r="B15" s="560" t="s">
        <v>94</v>
      </c>
      <c r="C15" s="561">
        <v>2.3789338E7</v>
      </c>
      <c r="D15" s="562">
        <v>0.0</v>
      </c>
      <c r="E15" s="563">
        <v>0.0</v>
      </c>
      <c r="F15" s="564">
        <v>0.0</v>
      </c>
      <c r="G15" s="564">
        <v>0.0</v>
      </c>
      <c r="H15" s="564">
        <v>0.0</v>
      </c>
      <c r="I15" s="565">
        <v>0.0</v>
      </c>
      <c r="J15" s="566">
        <v>0.0</v>
      </c>
      <c r="K15" s="566">
        <v>0.0</v>
      </c>
      <c r="L15" s="567">
        <v>0.0</v>
      </c>
      <c r="M15" s="568">
        <v>0.0</v>
      </c>
      <c r="N15" s="568">
        <v>0.0</v>
      </c>
      <c r="O15" s="569">
        <v>0.0</v>
      </c>
      <c r="P15" s="570"/>
      <c r="Q15" s="150"/>
      <c r="R15" s="571"/>
      <c r="S15" s="116">
        <f t="shared" si="6"/>
        <v>0.5322777778</v>
      </c>
      <c r="T15" s="151"/>
      <c r="U15" s="572">
        <f t="shared" si="7"/>
        <v>0.7834666667</v>
      </c>
      <c r="V15" s="598"/>
      <c r="W15" s="574">
        <f t="shared" si="8"/>
        <v>0.3593777778</v>
      </c>
      <c r="X15" s="598"/>
      <c r="Y15" s="574">
        <f t="shared" si="9"/>
        <v>0.5347375</v>
      </c>
      <c r="Z15" s="308"/>
      <c r="AA15" s="308"/>
      <c r="AB15" s="575" t="str">
        <f t="shared" si="10"/>
        <v/>
      </c>
      <c r="AC15" s="576">
        <f t="shared" si="11"/>
        <v>0.7192241206</v>
      </c>
      <c r="AD15" s="577">
        <v>0.0</v>
      </c>
      <c r="AE15" s="572">
        <v>0.0</v>
      </c>
      <c r="AF15" s="578">
        <v>0.0</v>
      </c>
      <c r="AG15" s="132">
        <v>0.0</v>
      </c>
      <c r="AH15" s="132">
        <v>0.0</v>
      </c>
      <c r="AI15" s="579">
        <v>0.0</v>
      </c>
      <c r="AJ15" s="579">
        <v>0.0</v>
      </c>
      <c r="AK15" s="580">
        <v>0.0</v>
      </c>
      <c r="AL15" s="580">
        <v>0.0</v>
      </c>
      <c r="AM15" s="581">
        <v>0.0</v>
      </c>
      <c r="AN15" s="571" t="str">
        <f>IFERROR(
  AVERAGEIFS(
    'New LF Efficacy'!$J:$J,
    'New LF Efficacy'!$D:$D, $A15,
    'New LF Efficacy'!$F:$F,"DEC", 
    'New LF Efficacy'!$W:$W,"&lt;2016",
    'New LF Efficacy'!$AA:$AA,""),
  ""
)</f>
        <v/>
      </c>
      <c r="AO15" s="582">
        <f t="shared" si="12"/>
        <v>0.38</v>
      </c>
      <c r="AP15" s="571" t="str">
        <f>IFERROR(
AVERAGEIFS(
'New LF Efficacy'!$J:$J,
'New LF Efficacy'!$D:$D,$A15,
'New LF Efficacy'!$F:$F,"Albendazole &amp; DEC",
'New LF Efficacy'!$W:$W,"&lt;2016",
'New LF Efficacy'!$AA:$AA,""),
"")</f>
        <v/>
      </c>
      <c r="AQ15" s="582">
        <f t="shared" si="13"/>
        <v>0.662</v>
      </c>
      <c r="AR15" s="571" t="str">
        <f>IFERROR(
AVERAGEIFS(
'New LF Efficacy'!$J:$J,
'New LF Efficacy'!$D:$D,$A15,
'New LF Efficacy'!$F:$F,"Albendazole &amp; Ivermectin", 
'New LF Efficacy'!$W:$W,"&lt;2016",
'New LF Efficacy'!$AA:$AA,""),"")</f>
        <v/>
      </c>
      <c r="AS15" s="582">
        <f t="shared" si="14"/>
        <v>0.37153125</v>
      </c>
      <c r="AT15" s="583" t="str">
        <f>IFERROR(AVERAGEIFS(
'Schist Efficacy'!$O:$O, 
'Schist Efficacy'!$C:$C,$A15, 
'Schist Efficacy'!$D:$D, "Praziquantel",
'Schist Efficacy'!$J:$J,"&lt;2016",
'Schist Efficacy'!$U:$U,""),
"")</f>
        <v/>
      </c>
      <c r="AU15" s="572">
        <f t="shared" si="15"/>
        <v>0.9475</v>
      </c>
      <c r="AV15" s="131" t="str">
        <f>IFERROR(AVERAGEIFS(
'STH Efficacy'!$AX:$AX, 
'STH Efficacy'!$AL:$AL, $A15, 
'STH Efficacy'!$AM:$AM, "Albendazole",
'STH Efficacy'!$AS:$AS,"&lt;2016",
'STH Efficacy'!$BP:$BP,""),
"")</f>
        <v/>
      </c>
      <c r="AW15" s="132">
        <f t="shared" si="16"/>
        <v>0.3571666667</v>
      </c>
      <c r="AX15" s="131" t="str">
        <f>IFERROR(AVERAGEIFS(
'STH Efficacy'!$AX:$AX, 
'STH Efficacy'!$AL:$AL, $A15, 
'STH Efficacy'!$AM:$AM, "Mebendazole",
'STH Efficacy'!$AS:$AS,"&lt;2016",
'STH Efficacy'!$BP:$BP,""),
"")</f>
        <v/>
      </c>
      <c r="AY15" s="132">
        <f t="shared" si="17"/>
        <v>0.4155</v>
      </c>
      <c r="AZ15" s="131" t="str">
        <f>IFERROR(AVERAGEIFS(
'STH Efficacy'!$AX:$AX, 
'STH Efficacy'!$AL:$AL, $A15, 
'STH Efficacy'!$AM:$AM, "Albendazole &amp; Ivermectin",
'STH Efficacy'!$AS:$AS,"&lt;2016",
'STH Efficacy'!$BP:$BP,""),
"")</f>
        <v/>
      </c>
      <c r="BA15" s="303">
        <f t="shared" si="18"/>
        <v>0.651</v>
      </c>
      <c r="BB15" s="584" t="str">
        <f>IFERROR(AVERAGEIFS(
'STH Efficacy'!$N:$N, 
'STH Efficacy'!$B:$B, $A15, 
'STH Efficacy'!$C:$C, "Albendazole",
'STH Efficacy'!$I:$I,"&lt;2016",
'STH Efficacy'!$AH:$AH,""),
"")</f>
        <v/>
      </c>
      <c r="BC15" s="579">
        <f t="shared" si="19"/>
        <v>0.5769166667</v>
      </c>
      <c r="BD15" s="584" t="str">
        <f>IFERROR(AVERAGEIFS(
'STH Efficacy'!$N:$N, 
'STH Efficacy'!$B:$B, $A15, 
'STH Efficacy'!$C:$C, "Mebendazole",
'STH Efficacy'!$I:$I,"&lt;2016",
'STH Efficacy'!$AH:$AH,""),
"")</f>
        <v/>
      </c>
      <c r="BE15" s="579">
        <f t="shared" si="20"/>
        <v>0.3145</v>
      </c>
      <c r="BF15" s="585" t="str">
        <f>IFERROR(AVERAGEIFS(
'STH Efficacy'!$CD:$CD, 
'STH Efficacy'!$BS:$BS, $A15, 
'STH Efficacy'!$BT:$BT, "Albendazole",
'STH Efficacy'!$BZ:$BZ,"&lt;2016",
'STH Efficacy'!$CU:$CU,""),
"")</f>
        <v/>
      </c>
      <c r="BG15" s="580">
        <f t="shared" si="21"/>
        <v>0.96925</v>
      </c>
      <c r="BH15" s="585" t="str">
        <f>IFERROR(AVERAGEIFS(
'STH Efficacy'!$CD:$CD, 
'STH Efficacy'!$BS:$BS, $A15, 
'STH Efficacy'!$BT:$BT, "Mebendazole",
'STH Efficacy'!$BZ:$BZ,"&lt;2016",
'STH Efficacy'!$CU:$CU,""),
"")</f>
        <v/>
      </c>
      <c r="BI15" s="580">
        <f t="shared" si="22"/>
        <v>0.9305</v>
      </c>
      <c r="BJ15" s="585" t="str">
        <f>IFERROR(AVERAGEIFS(
'STH Efficacy'!$CD:$CD, 
'STH Efficacy'!$BS:$BS, $A15, 
'STH Efficacy'!$BT:$BT, "Albendazole &amp; Ivermectin",
'STH Efficacy'!$BZ:$BZ,"&lt;2016",
'STH Efficacy'!$CU:$CU,""),
"")</f>
        <v/>
      </c>
      <c r="BK15" s="580">
        <f t="shared" si="23"/>
        <v>0.848</v>
      </c>
      <c r="BL15" s="575" t="str">
        <f>IFERROR(
  AVERAGEIFS(
    'NEW Onchocerciasis Efficacy'!$AO:$AO,
    'NEW Onchocerciasis Efficacy'!$C:$C,$A15,
    'NEW Onchocerciasis Efficacy'!$D:$D,"Ivermectin",
    'NEW Onchocerciasis Efficacy'!$AR:$AR,"&lt;2016",
    'NEW Onchocerciasis Efficacy'!$BG:$BG,"")
,"")</f>
        <v/>
      </c>
      <c r="BM15" s="586">
        <f t="shared" si="24"/>
        <v>0.7808368939</v>
      </c>
      <c r="BN15" s="587">
        <v>0.0</v>
      </c>
      <c r="BO15" s="588">
        <v>0.0</v>
      </c>
      <c r="BP15" s="589">
        <v>0.0</v>
      </c>
      <c r="BQ15" s="590">
        <f t="shared" si="25"/>
        <v>0</v>
      </c>
      <c r="BR15" s="560" t="str">
        <f t="shared" si="26"/>
        <v>0000</v>
      </c>
      <c r="BS15" s="560" t="str">
        <f t="shared" si="27"/>
        <v>no action required</v>
      </c>
      <c r="BT15" s="361" t="str">
        <f t="shared" si="28"/>
        <v/>
      </c>
      <c r="BU15" s="591" t="str">
        <f t="shared" si="29"/>
        <v/>
      </c>
      <c r="BV15" s="560" t="str">
        <f t="shared" si="30"/>
        <v>none</v>
      </c>
      <c r="BW15" s="150" t="str">
        <f t="shared" si="31"/>
        <v/>
      </c>
      <c r="BX15" s="150" t="str">
        <f t="shared" si="32"/>
        <v/>
      </c>
      <c r="BY15" s="151" t="str">
        <f t="shared" si="33"/>
        <v/>
      </c>
      <c r="BZ15" s="152" t="str">
        <f t="shared" si="34"/>
        <v/>
      </c>
      <c r="CA15" s="152" t="str">
        <f t="shared" si="35"/>
        <v/>
      </c>
      <c r="CB15" s="152" t="str">
        <f t="shared" si="36"/>
        <v/>
      </c>
      <c r="CC15" s="153" t="str">
        <f t="shared" si="37"/>
        <v/>
      </c>
      <c r="CD15" s="153" t="str">
        <f t="shared" si="38"/>
        <v/>
      </c>
      <c r="CE15" s="154" t="str">
        <f t="shared" si="39"/>
        <v/>
      </c>
      <c r="CF15" s="154" t="str">
        <f t="shared" si="40"/>
        <v/>
      </c>
      <c r="CG15" s="154" t="str">
        <f t="shared" si="41"/>
        <v/>
      </c>
      <c r="CH15" s="308" t="str">
        <f t="shared" si="42"/>
        <v/>
      </c>
    </row>
    <row r="16">
      <c r="A16" s="559" t="s">
        <v>104</v>
      </c>
      <c r="B16" s="560" t="s">
        <v>90</v>
      </c>
      <c r="C16" s="561">
        <v>8633169.0</v>
      </c>
      <c r="D16" s="562">
        <v>0.0</v>
      </c>
      <c r="E16" s="563">
        <v>0.0</v>
      </c>
      <c r="F16" s="564">
        <v>0.0</v>
      </c>
      <c r="G16" s="564">
        <v>0.0</v>
      </c>
      <c r="H16" s="564">
        <v>0.0</v>
      </c>
      <c r="I16" s="565">
        <v>0.0</v>
      </c>
      <c r="J16" s="566">
        <v>0.0</v>
      </c>
      <c r="K16" s="566">
        <v>0.0</v>
      </c>
      <c r="L16" s="567">
        <v>0.0</v>
      </c>
      <c r="M16" s="568">
        <v>0.0</v>
      </c>
      <c r="N16" s="568">
        <v>0.0</v>
      </c>
      <c r="O16" s="569">
        <v>0.0</v>
      </c>
      <c r="P16" s="570"/>
      <c r="Q16" s="150"/>
      <c r="R16" s="571"/>
      <c r="S16" s="116">
        <f t="shared" si="6"/>
        <v>0.6648642857</v>
      </c>
      <c r="T16" s="151"/>
      <c r="U16" s="572">
        <f t="shared" si="7"/>
        <v>0.53016</v>
      </c>
      <c r="V16" s="598"/>
      <c r="W16" s="574" t="b">
        <f t="shared" si="8"/>
        <v>0</v>
      </c>
      <c r="X16" s="598"/>
      <c r="Y16" s="574">
        <f t="shared" si="9"/>
        <v>0.631675</v>
      </c>
      <c r="Z16" s="308"/>
      <c r="AA16" s="308"/>
      <c r="AB16" s="575" t="str">
        <f t="shared" si="10"/>
        <v/>
      </c>
      <c r="AC16" s="576">
        <f t="shared" si="11"/>
        <v>0.7192241206</v>
      </c>
      <c r="AD16" s="577">
        <v>0.0</v>
      </c>
      <c r="AE16" s="572">
        <v>0.0</v>
      </c>
      <c r="AF16" s="578">
        <v>0.0</v>
      </c>
      <c r="AG16" s="132">
        <v>0.0</v>
      </c>
      <c r="AH16" s="132">
        <v>0.0</v>
      </c>
      <c r="AI16" s="579">
        <v>0.0</v>
      </c>
      <c r="AJ16" s="579">
        <v>0.0</v>
      </c>
      <c r="AK16" s="580">
        <v>0.0</v>
      </c>
      <c r="AL16" s="580">
        <v>0.0</v>
      </c>
      <c r="AM16" s="581">
        <v>0.0</v>
      </c>
      <c r="AN16" s="571" t="str">
        <f>IFERROR(
  AVERAGEIFS(
    'New LF Efficacy'!$J:$J,
    'New LF Efficacy'!$D:$D, $A16,
    'New LF Efficacy'!$F:$F,"DEC", 
    'New LF Efficacy'!$W:$W,"&lt;2016",
    'New LF Efficacy'!$AA:$AA,""),
  ""
)</f>
        <v/>
      </c>
      <c r="AO16" s="582">
        <f t="shared" si="12"/>
        <v>0.3573520833</v>
      </c>
      <c r="AP16" s="571" t="str">
        <f>IFERROR(
AVERAGEIFS(
'New LF Efficacy'!$J:$J,
'New LF Efficacy'!$D:$D,$A16,
'New LF Efficacy'!$F:$F,"Albendazole &amp; DEC",
'New LF Efficacy'!$W:$W,"&lt;2016",
'New LF Efficacy'!$AA:$AA,""),
"")</f>
        <v/>
      </c>
      <c r="AQ16" s="582">
        <f t="shared" si="13"/>
        <v>0.5143541667</v>
      </c>
      <c r="AR16" s="571" t="str">
        <f>IFERROR(
AVERAGEIFS(
'New LF Efficacy'!$J:$J,
'New LF Efficacy'!$D:$D,$A16,
'New LF Efficacy'!$F:$F,"Albendazole &amp; Ivermectin", 
'New LF Efficacy'!$W:$W,"&lt;2016",
'New LF Efficacy'!$AA:$AA,""),"")</f>
        <v/>
      </c>
      <c r="AS16" s="582">
        <f t="shared" si="14"/>
        <v>0.37153125</v>
      </c>
      <c r="AT16" s="583" t="str">
        <f>IFERROR(AVERAGEIFS(
'Schist Efficacy'!$O:$O, 
'Schist Efficacy'!$C:$C,$A16, 
'Schist Efficacy'!$D:$D, "Praziquantel",
'Schist Efficacy'!$J:$J,"&lt;2016",
'Schist Efficacy'!$U:$U,""),
"")</f>
        <v/>
      </c>
      <c r="AU16" s="572">
        <f t="shared" si="15"/>
        <v>0.655</v>
      </c>
      <c r="AV16" s="131" t="str">
        <f>IFERROR(AVERAGEIFS(
'STH Efficacy'!$AX:$AX, 
'STH Efficacy'!$AL:$AL, $A16, 
'STH Efficacy'!$AM:$AM, "Albendazole",
'STH Efficacy'!$AS:$AS,"&lt;2016",
'STH Efficacy'!$BP:$BP,""),
"")</f>
        <v/>
      </c>
      <c r="AW16" s="132">
        <f t="shared" si="16"/>
        <v>0.4143846154</v>
      </c>
      <c r="AX16" s="131" t="str">
        <f>IFERROR(AVERAGEIFS(
'STH Efficacy'!$AX:$AX, 
'STH Efficacy'!$AL:$AL, $A16, 
'STH Efficacy'!$AM:$AM, "Mebendazole",
'STH Efficacy'!$AS:$AS,"&lt;2016",
'STH Efficacy'!$BP:$BP,""),
"")</f>
        <v/>
      </c>
      <c r="AY16" s="132">
        <f t="shared" si="17"/>
        <v>0.4691770833</v>
      </c>
      <c r="AZ16" s="131" t="str">
        <f>IFERROR(AVERAGEIFS(
'STH Efficacy'!$AX:$AX, 
'STH Efficacy'!$AL:$AL, $A16, 
'STH Efficacy'!$AM:$AM, "Albendazole &amp; Ivermectin",
'STH Efficacy'!$AS:$AS,"&lt;2016",
'STH Efficacy'!$BP:$BP,""),
"")</f>
        <v/>
      </c>
      <c r="BA16" s="303">
        <f t="shared" si="18"/>
        <v>0.597625</v>
      </c>
      <c r="BB16" s="584" t="str">
        <f>IFERROR(AVERAGEIFS(
'STH Efficacy'!$N:$N, 
'STH Efficacy'!$B:$B, $A16, 
'STH Efficacy'!$C:$C, "Albendazole",
'STH Efficacy'!$I:$I,"&lt;2016",
'STH Efficacy'!$AH:$AH,""),
"")</f>
        <v/>
      </c>
      <c r="BC16" s="579">
        <f t="shared" si="19"/>
        <v>0.7613712121</v>
      </c>
      <c r="BD16" s="584" t="str">
        <f>IFERROR(AVERAGEIFS(
'STH Efficacy'!$N:$N, 
'STH Efficacy'!$B:$B, $A16, 
'STH Efficacy'!$C:$C, "Mebendazole",
'STH Efficacy'!$I:$I,"&lt;2016",
'STH Efficacy'!$AH:$AH,""),
"")</f>
        <v/>
      </c>
      <c r="BE16" s="579">
        <f t="shared" si="20"/>
        <v>0.4362466667</v>
      </c>
      <c r="BF16" s="585" t="str">
        <f>IFERROR(AVERAGEIFS(
'STH Efficacy'!$CD:$CD, 
'STH Efficacy'!$BS:$BS, $A16, 
'STH Efficacy'!$BT:$BT, "Albendazole",
'STH Efficacy'!$BZ:$BZ,"&lt;2016",
'STH Efficacy'!$CU:$CU,""),
"")</f>
        <v/>
      </c>
      <c r="BG16" s="580">
        <f t="shared" si="21"/>
        <v>0.9216027778</v>
      </c>
      <c r="BH16" s="585" t="str">
        <f>IFERROR(AVERAGEIFS(
'STH Efficacy'!$CD:$CD, 
'STH Efficacy'!$BS:$BS, $A16, 
'STH Efficacy'!$BT:$BT, "Mebendazole",
'STH Efficacy'!$BZ:$BZ,"&lt;2016",
'STH Efficacy'!$CU:$CU,""),
"")</f>
        <v/>
      </c>
      <c r="BI16" s="580">
        <f t="shared" si="22"/>
        <v>0.8866041667</v>
      </c>
      <c r="BJ16" s="585" t="str">
        <f>IFERROR(AVERAGEIFS(
'STH Efficacy'!$CD:$CD, 
'STH Efficacy'!$BS:$BS, $A16, 
'STH Efficacy'!$BT:$BT, "Albendazole &amp; Ivermectin",
'STH Efficacy'!$BZ:$BZ,"&lt;2016",
'STH Efficacy'!$CU:$CU,""),
"")</f>
        <v/>
      </c>
      <c r="BK16" s="580">
        <f t="shared" si="23"/>
        <v>0.848</v>
      </c>
      <c r="BL16" s="575" t="str">
        <f>IFERROR(
  AVERAGEIFS(
    'NEW Onchocerciasis Efficacy'!$AO:$AO,
    'NEW Onchocerciasis Efficacy'!$C:$C,$A16,
    'NEW Onchocerciasis Efficacy'!$D:$D,"Ivermectin",
    'NEW Onchocerciasis Efficacy'!$AR:$AR,"&lt;2016",
    'NEW Onchocerciasis Efficacy'!$BG:$BG,"")
,"")</f>
        <v/>
      </c>
      <c r="BM16" s="586">
        <f t="shared" si="24"/>
        <v>0.7808368939</v>
      </c>
      <c r="BN16" s="587">
        <v>0.0</v>
      </c>
      <c r="BO16" s="588">
        <v>0.0</v>
      </c>
      <c r="BP16" s="589">
        <v>0.0</v>
      </c>
      <c r="BQ16" s="590">
        <f t="shared" si="25"/>
        <v>0</v>
      </c>
      <c r="BR16" s="560" t="str">
        <f t="shared" si="26"/>
        <v>0000</v>
      </c>
      <c r="BS16" s="560" t="str">
        <f t="shared" si="27"/>
        <v>no action required</v>
      </c>
      <c r="BT16" s="361" t="str">
        <f t="shared" si="28"/>
        <v/>
      </c>
      <c r="BU16" s="591" t="str">
        <f t="shared" si="29"/>
        <v/>
      </c>
      <c r="BV16" s="560" t="str">
        <f t="shared" si="30"/>
        <v>none</v>
      </c>
      <c r="BW16" s="150" t="str">
        <f t="shared" si="31"/>
        <v/>
      </c>
      <c r="BX16" s="150" t="str">
        <f t="shared" si="32"/>
        <v/>
      </c>
      <c r="BY16" s="151" t="str">
        <f t="shared" si="33"/>
        <v/>
      </c>
      <c r="BZ16" s="152" t="str">
        <f t="shared" si="34"/>
        <v/>
      </c>
      <c r="CA16" s="152" t="str">
        <f t="shared" si="35"/>
        <v/>
      </c>
      <c r="CB16" s="152" t="str">
        <f t="shared" si="36"/>
        <v/>
      </c>
      <c r="CC16" s="153" t="str">
        <f t="shared" si="37"/>
        <v/>
      </c>
      <c r="CD16" s="153" t="str">
        <f t="shared" si="38"/>
        <v/>
      </c>
      <c r="CE16" s="154" t="str">
        <f t="shared" si="39"/>
        <v/>
      </c>
      <c r="CF16" s="154" t="str">
        <f t="shared" si="40"/>
        <v/>
      </c>
      <c r="CG16" s="154" t="str">
        <f t="shared" si="41"/>
        <v/>
      </c>
      <c r="CH16" s="308" t="str">
        <f t="shared" si="42"/>
        <v/>
      </c>
    </row>
    <row r="17">
      <c r="A17" s="559" t="s">
        <v>105</v>
      </c>
      <c r="B17" s="560" t="s">
        <v>90</v>
      </c>
      <c r="C17" s="561">
        <v>9649341.0</v>
      </c>
      <c r="D17" s="562">
        <v>0.0</v>
      </c>
      <c r="E17" s="563">
        <v>0.0</v>
      </c>
      <c r="F17" s="564">
        <v>1.83E-9</v>
      </c>
      <c r="G17" s="564">
        <v>2.62E-8</v>
      </c>
      <c r="H17" s="564">
        <v>2.51E-7</v>
      </c>
      <c r="I17" s="565">
        <v>3.56314753</v>
      </c>
      <c r="J17" s="566">
        <v>14.6600719266469</v>
      </c>
      <c r="K17" s="566">
        <v>139.911064796492</v>
      </c>
      <c r="L17" s="567">
        <v>3.375468694</v>
      </c>
      <c r="M17" s="568">
        <v>2.40828769766315</v>
      </c>
      <c r="N17" s="568">
        <v>9.91132454241296</v>
      </c>
      <c r="O17" s="569">
        <v>0.0</v>
      </c>
      <c r="P17" s="570"/>
      <c r="Q17" s="150"/>
      <c r="R17" s="571"/>
      <c r="S17" s="116">
        <f t="shared" si="6"/>
        <v>0.6648642857</v>
      </c>
      <c r="T17" s="151"/>
      <c r="U17" s="572">
        <f t="shared" si="7"/>
        <v>0.53016</v>
      </c>
      <c r="V17" s="598"/>
      <c r="W17" s="574" t="b">
        <f t="shared" si="8"/>
        <v>0</v>
      </c>
      <c r="X17" s="573">
        <v>0.5279</v>
      </c>
      <c r="Y17" s="574">
        <f t="shared" si="9"/>
        <v>0.5279</v>
      </c>
      <c r="Z17" s="308"/>
      <c r="AA17" s="308"/>
      <c r="AB17" s="575" t="str">
        <f t="shared" si="10"/>
        <v/>
      </c>
      <c r="AC17" s="576">
        <f t="shared" si="11"/>
        <v>0.7192241206</v>
      </c>
      <c r="AD17" s="577">
        <v>0.0</v>
      </c>
      <c r="AE17" s="572">
        <v>0.0</v>
      </c>
      <c r="AF17" s="578">
        <v>0.0</v>
      </c>
      <c r="AG17" s="132">
        <v>0.01409885284</v>
      </c>
      <c r="AH17" s="132">
        <v>0.044862008</v>
      </c>
      <c r="AI17" s="579">
        <v>0.01083557463</v>
      </c>
      <c r="AJ17" s="579">
        <v>0.01332025185</v>
      </c>
      <c r="AK17" s="580">
        <v>0.0130640878</v>
      </c>
      <c r="AL17" s="580">
        <v>0.01529933158</v>
      </c>
      <c r="AM17" s="581">
        <v>0.0</v>
      </c>
      <c r="AN17" s="571" t="str">
        <f>IFERROR(
  AVERAGEIFS(
    'New LF Efficacy'!$J:$J,
    'New LF Efficacy'!$D:$D, $A17,
    'New LF Efficacy'!$F:$F,"DEC", 
    'New LF Efficacy'!$W:$W,"&lt;2016",
    'New LF Efficacy'!$AA:$AA,""),
  ""
)</f>
        <v/>
      </c>
      <c r="AO17" s="582">
        <f t="shared" si="12"/>
        <v>0.3573520833</v>
      </c>
      <c r="AP17" s="571" t="str">
        <f>IFERROR(
AVERAGEIFS(
'New LF Efficacy'!$J:$J,
'New LF Efficacy'!$D:$D,$A17,
'New LF Efficacy'!$F:$F,"Albendazole &amp; DEC",
'New LF Efficacy'!$W:$W,"&lt;2016",
'New LF Efficacy'!$AA:$AA,""),
"")</f>
        <v/>
      </c>
      <c r="AQ17" s="582">
        <f t="shared" si="13"/>
        <v>0.5143541667</v>
      </c>
      <c r="AR17" s="571" t="str">
        <f>IFERROR(
AVERAGEIFS(
'New LF Efficacy'!$J:$J,
'New LF Efficacy'!$D:$D,$A17,
'New LF Efficacy'!$F:$F,"Albendazole &amp; Ivermectin", 
'New LF Efficacy'!$W:$W,"&lt;2016",
'New LF Efficacy'!$AA:$AA,""),"")</f>
        <v/>
      </c>
      <c r="AS17" s="582">
        <f t="shared" si="14"/>
        <v>0.37153125</v>
      </c>
      <c r="AT17" s="583" t="str">
        <f>IFERROR(AVERAGEIFS(
'Schist Efficacy'!$O:$O, 
'Schist Efficacy'!$C:$C,$A17, 
'Schist Efficacy'!$D:$D, "Praziquantel",
'Schist Efficacy'!$J:$J,"&lt;2016",
'Schist Efficacy'!$U:$U,""),
"")</f>
        <v/>
      </c>
      <c r="AU17" s="572">
        <f t="shared" si="15"/>
        <v>0.655</v>
      </c>
      <c r="AV17" s="131" t="str">
        <f>IFERROR(AVERAGEIFS(
'STH Efficacy'!$AX:$AX, 
'STH Efficacy'!$AL:$AL, $A17, 
'STH Efficacy'!$AM:$AM, "Albendazole",
'STH Efficacy'!$AS:$AS,"&lt;2016",
'STH Efficacy'!$BP:$BP,""),
"")</f>
        <v/>
      </c>
      <c r="AW17" s="132">
        <f t="shared" si="16"/>
        <v>0.4143846154</v>
      </c>
      <c r="AX17" s="131" t="str">
        <f>IFERROR(AVERAGEIFS(
'STH Efficacy'!$AX:$AX, 
'STH Efficacy'!$AL:$AL, $A17, 
'STH Efficacy'!$AM:$AM, "Mebendazole",
'STH Efficacy'!$AS:$AS,"&lt;2016",
'STH Efficacy'!$BP:$BP,""),
"")</f>
        <v/>
      </c>
      <c r="AY17" s="132">
        <f t="shared" si="17"/>
        <v>0.4691770833</v>
      </c>
      <c r="AZ17" s="131" t="str">
        <f>IFERROR(AVERAGEIFS(
'STH Efficacy'!$AX:$AX, 
'STH Efficacy'!$AL:$AL, $A17, 
'STH Efficacy'!$AM:$AM, "Albendazole &amp; Ivermectin",
'STH Efficacy'!$AS:$AS,"&lt;2016",
'STH Efficacy'!$BP:$BP,""),
"")</f>
        <v/>
      </c>
      <c r="BA17" s="303">
        <f t="shared" si="18"/>
        <v>0.597625</v>
      </c>
      <c r="BB17" s="584" t="str">
        <f>IFERROR(AVERAGEIFS(
'STH Efficacy'!$N:$N, 
'STH Efficacy'!$B:$B, $A17, 
'STH Efficacy'!$C:$C, "Albendazole",
'STH Efficacy'!$I:$I,"&lt;2016",
'STH Efficacy'!$AH:$AH,""),
"")</f>
        <v/>
      </c>
      <c r="BC17" s="579">
        <f t="shared" si="19"/>
        <v>0.7613712121</v>
      </c>
      <c r="BD17" s="584" t="str">
        <f>IFERROR(AVERAGEIFS(
'STH Efficacy'!$N:$N, 
'STH Efficacy'!$B:$B, $A17, 
'STH Efficacy'!$C:$C, "Mebendazole",
'STH Efficacy'!$I:$I,"&lt;2016",
'STH Efficacy'!$AH:$AH,""),
"")</f>
        <v/>
      </c>
      <c r="BE17" s="579">
        <f t="shared" si="20"/>
        <v>0.4362466667</v>
      </c>
      <c r="BF17" s="585" t="str">
        <f>IFERROR(AVERAGEIFS(
'STH Efficacy'!$CD:$CD, 
'STH Efficacy'!$BS:$BS, $A17, 
'STH Efficacy'!$BT:$BT, "Albendazole",
'STH Efficacy'!$BZ:$BZ,"&lt;2016",
'STH Efficacy'!$CU:$CU,""),
"")</f>
        <v/>
      </c>
      <c r="BG17" s="580">
        <f t="shared" si="21"/>
        <v>0.9216027778</v>
      </c>
      <c r="BH17" s="585" t="str">
        <f>IFERROR(AVERAGEIFS(
'STH Efficacy'!$CD:$CD, 
'STH Efficacy'!$BS:$BS, $A17, 
'STH Efficacy'!$BT:$BT, "Mebendazole",
'STH Efficacy'!$BZ:$BZ,"&lt;2016",
'STH Efficacy'!$CU:$CU,""),
"")</f>
        <v/>
      </c>
      <c r="BI17" s="580">
        <f t="shared" si="22"/>
        <v>0.8866041667</v>
      </c>
      <c r="BJ17" s="585" t="str">
        <f>IFERROR(AVERAGEIFS(
'STH Efficacy'!$CD:$CD, 
'STH Efficacy'!$BS:$BS, $A17, 
'STH Efficacy'!$BT:$BT, "Albendazole &amp; Ivermectin",
'STH Efficacy'!$BZ:$BZ,"&lt;2016",
'STH Efficacy'!$CU:$CU,""),
"")</f>
        <v/>
      </c>
      <c r="BK17" s="580">
        <f t="shared" si="23"/>
        <v>0.848</v>
      </c>
      <c r="BL17" s="575" t="str">
        <f>IFERROR(
  AVERAGEIFS(
    'NEW Onchocerciasis Efficacy'!$AO:$AO,
    'NEW Onchocerciasis Efficacy'!$C:$C,$A17,
    'NEW Onchocerciasis Efficacy'!$D:$D,"Ivermectin",
    'NEW Onchocerciasis Efficacy'!$AR:$AR,"&lt;2016",
    'NEW Onchocerciasis Efficacy'!$BG:$BG,"")
,"")</f>
        <v/>
      </c>
      <c r="BM17" s="586">
        <f t="shared" si="24"/>
        <v>0.7808368939</v>
      </c>
      <c r="BN17" s="587">
        <v>0.0</v>
      </c>
      <c r="BO17" s="588">
        <v>0.0</v>
      </c>
      <c r="BP17" s="589">
        <v>0.0</v>
      </c>
      <c r="BQ17" s="590">
        <f t="shared" si="25"/>
        <v>0</v>
      </c>
      <c r="BR17" s="560" t="str">
        <f t="shared" si="26"/>
        <v>0000</v>
      </c>
      <c r="BS17" s="560" t="str">
        <f t="shared" si="27"/>
        <v>no action required</v>
      </c>
      <c r="BT17" s="361" t="str">
        <f t="shared" si="28"/>
        <v/>
      </c>
      <c r="BU17" s="591" t="str">
        <f t="shared" si="29"/>
        <v/>
      </c>
      <c r="BV17" s="560" t="str">
        <f t="shared" si="30"/>
        <v>none</v>
      </c>
      <c r="BW17" s="150" t="str">
        <f t="shared" si="31"/>
        <v/>
      </c>
      <c r="BX17" s="150" t="str">
        <f t="shared" si="32"/>
        <v/>
      </c>
      <c r="BY17" s="151" t="str">
        <f t="shared" si="33"/>
        <v/>
      </c>
      <c r="BZ17" s="152" t="str">
        <f t="shared" si="34"/>
        <v/>
      </c>
      <c r="CA17" s="152" t="str">
        <f t="shared" si="35"/>
        <v/>
      </c>
      <c r="CB17" s="152" t="str">
        <f t="shared" si="36"/>
        <v/>
      </c>
      <c r="CC17" s="153" t="str">
        <f t="shared" si="37"/>
        <v/>
      </c>
      <c r="CD17" s="153" t="str">
        <f t="shared" si="38"/>
        <v/>
      </c>
      <c r="CE17" s="154" t="str">
        <f t="shared" si="39"/>
        <v/>
      </c>
      <c r="CF17" s="154" t="str">
        <f t="shared" si="40"/>
        <v/>
      </c>
      <c r="CG17" s="154" t="str">
        <f t="shared" si="41"/>
        <v/>
      </c>
      <c r="CH17" s="308" t="str">
        <f t="shared" si="42"/>
        <v/>
      </c>
    </row>
    <row r="18">
      <c r="A18" s="559" t="s">
        <v>106</v>
      </c>
      <c r="B18" s="560" t="s">
        <v>98</v>
      </c>
      <c r="C18" s="561">
        <v>386838.0</v>
      </c>
      <c r="D18" s="562">
        <v>0.0</v>
      </c>
      <c r="E18" s="610"/>
      <c r="F18" s="564">
        <v>0.0</v>
      </c>
      <c r="G18" s="564">
        <v>0.0</v>
      </c>
      <c r="H18" s="564">
        <v>3.06E-8</v>
      </c>
      <c r="I18" s="565">
        <v>0.043054575</v>
      </c>
      <c r="J18" s="566">
        <v>0.338149622033629</v>
      </c>
      <c r="K18" s="566">
        <v>3.71736747110811</v>
      </c>
      <c r="L18" s="567">
        <v>0.113130796</v>
      </c>
      <c r="M18" s="568">
        <v>0.0726991704163155</v>
      </c>
      <c r="N18" s="568">
        <v>0.287738627608831</v>
      </c>
      <c r="O18" s="569">
        <v>0.0</v>
      </c>
      <c r="P18" s="150"/>
      <c r="Q18" s="150"/>
      <c r="R18" s="571"/>
      <c r="S18" s="116">
        <f t="shared" si="6"/>
        <v>0.6451333333</v>
      </c>
      <c r="T18" s="151"/>
      <c r="U18" s="572">
        <f t="shared" si="7"/>
        <v>0.0025</v>
      </c>
      <c r="V18" s="598"/>
      <c r="W18" s="574">
        <f t="shared" si="8"/>
        <v>0.56882</v>
      </c>
      <c r="X18" s="598"/>
      <c r="Y18" s="574">
        <f t="shared" si="9"/>
        <v>0.5825818182</v>
      </c>
      <c r="Z18" s="308"/>
      <c r="AA18" s="308"/>
      <c r="AB18" s="575" t="str">
        <f t="shared" si="10"/>
        <v/>
      </c>
      <c r="AC18" s="576">
        <f t="shared" si="11"/>
        <v>0.7574216602</v>
      </c>
      <c r="AD18" s="614">
        <v>0.0</v>
      </c>
      <c r="AE18" s="572">
        <v>0.0</v>
      </c>
      <c r="AF18" s="578">
        <v>0.0</v>
      </c>
      <c r="AG18" s="133">
        <v>0.01272470874</v>
      </c>
      <c r="AH18" s="133">
        <v>0.040148034</v>
      </c>
      <c r="AI18" s="584"/>
      <c r="AJ18" s="584"/>
      <c r="AK18" s="585"/>
      <c r="AL18" s="585"/>
      <c r="AM18" s="581"/>
      <c r="AN18" s="571" t="str">
        <f>IFERROR(
  AVERAGEIFS(
    'New LF Efficacy'!$J:$J,
    'New LF Efficacy'!$D:$D, $A18,
    'New LF Efficacy'!$F:$F,"DEC", 
    'New LF Efficacy'!$W:$W,"&lt;2016",
    'New LF Efficacy'!$AA:$AA,""),
  ""
)</f>
        <v/>
      </c>
      <c r="AO18" s="582">
        <f t="shared" si="12"/>
        <v>0.2589833333</v>
      </c>
      <c r="AP18" s="571" t="str">
        <f>IFERROR(
AVERAGEIFS(
'New LF Efficacy'!$J:$J,
'New LF Efficacy'!$D:$D,$A18,
'New LF Efficacy'!$F:$F,"Albendazole &amp; DEC",
'New LF Efficacy'!$W:$W,"&lt;2016",
'New LF Efficacy'!$AA:$AA,""),
"")</f>
        <v/>
      </c>
      <c r="AQ18" s="582">
        <f t="shared" si="13"/>
        <v>0.3465</v>
      </c>
      <c r="AR18" s="571" t="str">
        <f>IFERROR(
AVERAGEIFS(
'New LF Efficacy'!$J:$J,
'New LF Efficacy'!$D:$D,$A18,
'New LF Efficacy'!$F:$F,"Albendazole &amp; Ivermectin", 
'New LF Efficacy'!$W:$W,"&lt;2016",
'New LF Efficacy'!$AA:$AA,""),"")</f>
        <v/>
      </c>
      <c r="AS18" s="582">
        <f t="shared" si="14"/>
        <v>0.7575</v>
      </c>
      <c r="AT18" s="583" t="str">
        <f>IFERROR(AVERAGEIFS(
'Schist Efficacy'!$O:$O, 
'Schist Efficacy'!$C:$C,$A18, 
'Schist Efficacy'!$D:$D, "Praziquantel",
'Schist Efficacy'!$J:$J,"&lt;2016",
'Schist Efficacy'!$U:$U,""),
"")</f>
        <v/>
      </c>
      <c r="AU18" s="572">
        <f t="shared" si="15"/>
        <v>0.7914761905</v>
      </c>
      <c r="AV18" s="131" t="str">
        <f>IFERROR(AVERAGEIFS(
'STH Efficacy'!$AX:$AX, 
'STH Efficacy'!$AL:$AL, $A18, 
'STH Efficacy'!$AM:$AM, "Albendazole",
'STH Efficacy'!$AS:$AS,"&lt;2016",
'STH Efficacy'!$BP:$BP,""),
"")</f>
        <v/>
      </c>
      <c r="AW18" s="132">
        <f t="shared" si="16"/>
        <v>0.3945</v>
      </c>
      <c r="AX18" s="131" t="str">
        <f>IFERROR(AVERAGEIFS(
'STH Efficacy'!$AX:$AX, 
'STH Efficacy'!$AL:$AL, $A18, 
'STH Efficacy'!$AM:$AM, "Mebendazole",
'STH Efficacy'!$AS:$AS,"&lt;2016",
'STH Efficacy'!$BP:$BP,""),
"")</f>
        <v/>
      </c>
      <c r="AY18" s="132">
        <f t="shared" si="17"/>
        <v>0.6</v>
      </c>
      <c r="AZ18" s="131" t="str">
        <f>IFERROR(AVERAGEIFS(
'STH Efficacy'!$AX:$AX, 
'STH Efficacy'!$AL:$AL, $A18, 
'STH Efficacy'!$AM:$AM, "Albendazole &amp; Ivermectin",
'STH Efficacy'!$AS:$AS,"&lt;2016",
'STH Efficacy'!$BP:$BP,""),
"")</f>
        <v/>
      </c>
      <c r="BA18" s="303">
        <f t="shared" si="18"/>
        <v>0.796</v>
      </c>
      <c r="BB18" s="584" t="str">
        <f>IFERROR(AVERAGEIFS(
'STH Efficacy'!$N:$N, 
'STH Efficacy'!$B:$B, $A18, 
'STH Efficacy'!$C:$C, "Albendazole",
'STH Efficacy'!$I:$I,"&lt;2016",
'STH Efficacy'!$AH:$AH,""),
"")</f>
        <v/>
      </c>
      <c r="BC18" s="579">
        <f t="shared" si="19"/>
        <v>0.869</v>
      </c>
      <c r="BD18" s="584" t="str">
        <f>IFERROR(AVERAGEIFS(
'STH Efficacy'!$N:$N, 
'STH Efficacy'!$B:$B, $A18, 
'STH Efficacy'!$C:$C, "Mebendazole",
'STH Efficacy'!$I:$I,"&lt;2016",
'STH Efficacy'!$AH:$AH,""),
"")</f>
        <v/>
      </c>
      <c r="BE18" s="579">
        <f t="shared" si="20"/>
        <v>0.172</v>
      </c>
      <c r="BF18" s="585" t="str">
        <f>IFERROR(AVERAGEIFS(
'STH Efficacy'!$CD:$CD, 
'STH Efficacy'!$BS:$BS, $A18, 
'STH Efficacy'!$BT:$BT, "Albendazole",
'STH Efficacy'!$BZ:$BZ,"&lt;2016",
'STH Efficacy'!$CU:$CU,""),
"")</f>
        <v/>
      </c>
      <c r="BG18" s="580">
        <f t="shared" si="21"/>
        <v>0.9862</v>
      </c>
      <c r="BH18" s="585" t="str">
        <f>IFERROR(AVERAGEIFS(
'STH Efficacy'!$CD:$CD, 
'STH Efficacy'!$BS:$BS, $A18, 
'STH Efficacy'!$BT:$BT, "Mebendazole",
'STH Efficacy'!$BZ:$BZ,"&lt;2016",
'STH Efficacy'!$CU:$CU,""),
"")</f>
        <v/>
      </c>
      <c r="BI18" s="580">
        <f t="shared" si="22"/>
        <v>0.769</v>
      </c>
      <c r="BJ18" s="585" t="str">
        <f>IFERROR(AVERAGEIFS(
'STH Efficacy'!$CD:$CD, 
'STH Efficacy'!$BS:$BS, $A18, 
'STH Efficacy'!$BT:$BT, "Albendazole &amp; Ivermectin",
'STH Efficacy'!$BZ:$BZ,"&lt;2016",
'STH Efficacy'!$CU:$CU,""),
"")</f>
        <v/>
      </c>
      <c r="BK18" s="580">
        <f t="shared" si="23"/>
        <v>1</v>
      </c>
      <c r="BL18" s="575" t="str">
        <f>IFERROR(
  AVERAGEIFS(
    'NEW Onchocerciasis Efficacy'!$AO:$AO,
    'NEW Onchocerciasis Efficacy'!$C:$C,$A18,
    'NEW Onchocerciasis Efficacy'!$D:$D,"Ivermectin",
    'NEW Onchocerciasis Efficacy'!$AR:$AR,"&lt;2016",
    'NEW Onchocerciasis Efficacy'!$BG:$BG,"")
,"")</f>
        <v/>
      </c>
      <c r="BM18" s="586">
        <f t="shared" si="24"/>
        <v>0.3734</v>
      </c>
      <c r="BN18" s="587">
        <v>0.0</v>
      </c>
      <c r="BO18" s="588">
        <v>0.0</v>
      </c>
      <c r="BP18" s="589">
        <v>0.0</v>
      </c>
      <c r="BQ18" s="590">
        <f t="shared" si="25"/>
        <v>0</v>
      </c>
      <c r="BR18" s="560" t="str">
        <f t="shared" si="26"/>
        <v>0000</v>
      </c>
      <c r="BS18" s="560" t="str">
        <f t="shared" si="27"/>
        <v>no action required</v>
      </c>
      <c r="BT18" s="361" t="str">
        <f t="shared" si="28"/>
        <v/>
      </c>
      <c r="BU18" s="591" t="str">
        <f t="shared" si="29"/>
        <v/>
      </c>
      <c r="BV18" s="560" t="str">
        <f t="shared" si="30"/>
        <v>none</v>
      </c>
      <c r="BW18" s="150" t="str">
        <f t="shared" si="31"/>
        <v/>
      </c>
      <c r="BX18" s="150" t="str">
        <f t="shared" si="32"/>
        <v/>
      </c>
      <c r="BY18" s="151" t="str">
        <f t="shared" si="33"/>
        <v/>
      </c>
      <c r="BZ18" s="152" t="str">
        <f t="shared" si="34"/>
        <v/>
      </c>
      <c r="CA18" s="152" t="str">
        <f t="shared" si="35"/>
        <v/>
      </c>
      <c r="CB18" s="152" t="str">
        <f t="shared" si="36"/>
        <v/>
      </c>
      <c r="CC18" s="153" t="str">
        <f t="shared" si="37"/>
        <v/>
      </c>
      <c r="CD18" s="153" t="str">
        <f t="shared" si="38"/>
        <v/>
      </c>
      <c r="CE18" s="154" t="str">
        <f t="shared" si="39"/>
        <v/>
      </c>
      <c r="CF18" s="154" t="str">
        <f t="shared" si="40"/>
        <v/>
      </c>
      <c r="CG18" s="154" t="str">
        <f t="shared" si="41"/>
        <v/>
      </c>
      <c r="CH18" s="308" t="str">
        <f t="shared" si="42"/>
        <v/>
      </c>
    </row>
    <row r="19">
      <c r="A19" s="559" t="s">
        <v>107</v>
      </c>
      <c r="B19" s="560" t="s">
        <v>88</v>
      </c>
      <c r="C19" s="561">
        <v>1371855.0</v>
      </c>
      <c r="D19" s="562">
        <v>0.0</v>
      </c>
      <c r="E19" s="563">
        <v>0.0</v>
      </c>
      <c r="F19" s="564">
        <v>0.0</v>
      </c>
      <c r="G19" s="564">
        <v>0.0</v>
      </c>
      <c r="H19" s="564">
        <v>7.8E-8</v>
      </c>
      <c r="I19" s="565">
        <v>0.227742941</v>
      </c>
      <c r="J19" s="566">
        <v>0.413777628322227</v>
      </c>
      <c r="K19" s="566">
        <v>8.86283178730953</v>
      </c>
      <c r="L19" s="567">
        <v>1.26E-14</v>
      </c>
      <c r="M19" s="568">
        <v>3.36788139705029E-16</v>
      </c>
      <c r="N19" s="568">
        <v>1.25316060092659E-5</v>
      </c>
      <c r="O19" s="569">
        <v>0.0</v>
      </c>
      <c r="P19" s="570"/>
      <c r="Q19" s="150"/>
      <c r="R19" s="571"/>
      <c r="S19" s="116">
        <f t="shared" si="6"/>
        <v>0.1495</v>
      </c>
      <c r="T19" s="151"/>
      <c r="U19" s="572">
        <f t="shared" si="7"/>
        <v>0.65895</v>
      </c>
      <c r="V19" s="598"/>
      <c r="W19" s="574">
        <f t="shared" si="8"/>
        <v>0.97535</v>
      </c>
      <c r="X19" s="598"/>
      <c r="Y19" s="574">
        <f t="shared" si="9"/>
        <v>0.41448</v>
      </c>
      <c r="Z19" s="308"/>
      <c r="AA19" s="308"/>
      <c r="AB19" s="575" t="str">
        <f t="shared" si="10"/>
        <v/>
      </c>
      <c r="AC19" s="576">
        <f t="shared" si="11"/>
        <v>0.4586145155</v>
      </c>
      <c r="AD19" s="577">
        <v>0.0</v>
      </c>
      <c r="AE19" s="572">
        <v>0.0</v>
      </c>
      <c r="AF19" s="578">
        <v>0.0</v>
      </c>
      <c r="AG19" s="132">
        <v>0.009786302065</v>
      </c>
      <c r="AH19" s="132">
        <v>0.031314027</v>
      </c>
      <c r="AI19" s="579">
        <v>0.002743231814</v>
      </c>
      <c r="AJ19" s="579">
        <v>0.00337055803</v>
      </c>
      <c r="AK19" s="580">
        <v>0.01547341927</v>
      </c>
      <c r="AL19" s="580">
        <v>0.01807703523</v>
      </c>
      <c r="AM19" s="581">
        <v>0.0</v>
      </c>
      <c r="AN19" s="571" t="str">
        <f>IFERROR(
  AVERAGEIFS(
    'New LF Efficacy'!$J:$J,
    'New LF Efficacy'!$D:$D, $A19,
    'New LF Efficacy'!$F:$F,"DEC", 
    'New LF Efficacy'!$W:$W,"&lt;2016",
    'New LF Efficacy'!$AA:$AA,""),
  ""
)</f>
        <v/>
      </c>
      <c r="AO19" s="582">
        <f t="shared" si="12"/>
        <v>0.3573520833</v>
      </c>
      <c r="AP19" s="571" t="str">
        <f>IFERROR(
AVERAGEIFS(
'New LF Efficacy'!$J:$J,
'New LF Efficacy'!$D:$D,$A19,
'New LF Efficacy'!$F:$F,"Albendazole &amp; DEC",
'New LF Efficacy'!$W:$W,"&lt;2016",
'New LF Efficacy'!$AA:$AA,""),
"")</f>
        <v/>
      </c>
      <c r="AQ19" s="582">
        <f t="shared" si="13"/>
        <v>0.7935</v>
      </c>
      <c r="AR19" s="571" t="str">
        <f>IFERROR(
AVERAGEIFS(
'New LF Efficacy'!$J:$J,
'New LF Efficacy'!$D:$D,$A19,
'New LF Efficacy'!$F:$F,"Albendazole &amp; Ivermectin", 
'New LF Efficacy'!$W:$W,"&lt;2016",
'New LF Efficacy'!$AA:$AA,""),"")</f>
        <v/>
      </c>
      <c r="AS19" s="582">
        <f t="shared" si="14"/>
        <v>0.37153125</v>
      </c>
      <c r="AT19" s="583" t="str">
        <f>IFERROR(AVERAGEIFS(
'Schist Efficacy'!$O:$O, 
'Schist Efficacy'!$C:$C,$A19, 
'Schist Efficacy'!$D:$D, "Praziquantel",
'Schist Efficacy'!$J:$J,"&lt;2016",
'Schist Efficacy'!$U:$U,""),
"")</f>
        <v/>
      </c>
      <c r="AU19" s="572">
        <f t="shared" si="15"/>
        <v>0.7763141026</v>
      </c>
      <c r="AV19" s="131" t="str">
        <f>IFERROR(AVERAGEIFS(
'STH Efficacy'!$AX:$AX, 
'STH Efficacy'!$AL:$AL, $A19, 
'STH Efficacy'!$AM:$AM, "Albendazole",
'STH Efficacy'!$AS:$AS,"&lt;2016",
'STH Efficacy'!$BP:$BP,""),
"")</f>
        <v/>
      </c>
      <c r="AW19" s="132">
        <f t="shared" si="16"/>
        <v>0.4143846154</v>
      </c>
      <c r="AX19" s="131" t="str">
        <f>IFERROR(AVERAGEIFS(
'STH Efficacy'!$AX:$AX, 
'STH Efficacy'!$AL:$AL, $A19, 
'STH Efficacy'!$AM:$AM, "Mebendazole",
'STH Efficacy'!$AS:$AS,"&lt;2016",
'STH Efficacy'!$BP:$BP,""),
"")</f>
        <v/>
      </c>
      <c r="AY19" s="132">
        <f t="shared" si="17"/>
        <v>0.4691770833</v>
      </c>
      <c r="AZ19" s="131" t="str">
        <f>IFERROR(AVERAGEIFS(
'STH Efficacy'!$AX:$AX, 
'STH Efficacy'!$AL:$AL, $A19, 
'STH Efficacy'!$AM:$AM, "Albendazole &amp; Ivermectin",
'STH Efficacy'!$AS:$AS,"&lt;2016",
'STH Efficacy'!$BP:$BP,""),
"")</f>
        <v/>
      </c>
      <c r="BA19" s="303">
        <f t="shared" si="18"/>
        <v>0.597625</v>
      </c>
      <c r="BB19" s="584" t="str">
        <f>IFERROR(AVERAGEIFS(
'STH Efficacy'!$N:$N, 
'STH Efficacy'!$B:$B, $A19, 
'STH Efficacy'!$C:$C, "Albendazole",
'STH Efficacy'!$I:$I,"&lt;2016",
'STH Efficacy'!$AH:$AH,""),
"")</f>
        <v/>
      </c>
      <c r="BC19" s="579">
        <f t="shared" si="19"/>
        <v>0.7613712121</v>
      </c>
      <c r="BD19" s="584" t="str">
        <f>IFERROR(AVERAGEIFS(
'STH Efficacy'!$N:$N, 
'STH Efficacy'!$B:$B, $A19, 
'STH Efficacy'!$C:$C, "Mebendazole",
'STH Efficacy'!$I:$I,"&lt;2016",
'STH Efficacy'!$AH:$AH,""),
"")</f>
        <v/>
      </c>
      <c r="BE19" s="579">
        <f t="shared" si="20"/>
        <v>0.4362466667</v>
      </c>
      <c r="BF19" s="585" t="str">
        <f>IFERROR(AVERAGEIFS(
'STH Efficacy'!$CD:$CD, 
'STH Efficacy'!$BS:$BS, $A19, 
'STH Efficacy'!$BT:$BT, "Albendazole",
'STH Efficacy'!$BZ:$BZ,"&lt;2016",
'STH Efficacy'!$CU:$CU,""),
"")</f>
        <v/>
      </c>
      <c r="BG19" s="580">
        <f t="shared" si="21"/>
        <v>0.955</v>
      </c>
      <c r="BH19" s="585" t="str">
        <f>IFERROR(AVERAGEIFS(
'STH Efficacy'!$CD:$CD, 
'STH Efficacy'!$BS:$BS, $A19, 
'STH Efficacy'!$BT:$BT, "Mebendazole",
'STH Efficacy'!$BZ:$BZ,"&lt;2016",
'STH Efficacy'!$CU:$CU,""),
"")</f>
        <v/>
      </c>
      <c r="BI19" s="580">
        <f t="shared" si="22"/>
        <v>1</v>
      </c>
      <c r="BJ19" s="585" t="str">
        <f>IFERROR(AVERAGEIFS(
'STH Efficacy'!$CD:$CD, 
'STH Efficacy'!$BS:$BS, $A19, 
'STH Efficacy'!$BT:$BT, "Albendazole &amp; Ivermectin",
'STH Efficacy'!$BZ:$BZ,"&lt;2016",
'STH Efficacy'!$CU:$CU,""),
"")</f>
        <v/>
      </c>
      <c r="BK19" s="580">
        <f t="shared" si="23"/>
        <v>0.848</v>
      </c>
      <c r="BL19" s="575" t="str">
        <f>IFERROR(
  AVERAGEIFS(
    'NEW Onchocerciasis Efficacy'!$AO:$AO,
    'NEW Onchocerciasis Efficacy'!$C:$C,$A19,
    'NEW Onchocerciasis Efficacy'!$D:$D,"Ivermectin",
    'NEW Onchocerciasis Efficacy'!$AR:$AR,"&lt;2016",
    'NEW Onchocerciasis Efficacy'!$BG:$BG,"")
,"")</f>
        <v/>
      </c>
      <c r="BM19" s="586">
        <f t="shared" si="24"/>
        <v>0.7808368939</v>
      </c>
      <c r="BN19" s="587">
        <v>0.0</v>
      </c>
      <c r="BO19" s="588">
        <v>0.0</v>
      </c>
      <c r="BP19" s="589">
        <v>0.0</v>
      </c>
      <c r="BQ19" s="590">
        <f t="shared" si="25"/>
        <v>0</v>
      </c>
      <c r="BR19" s="560" t="str">
        <f t="shared" si="26"/>
        <v>0000</v>
      </c>
      <c r="BS19" s="560" t="str">
        <f t="shared" si="27"/>
        <v>no action required</v>
      </c>
      <c r="BT19" s="361" t="str">
        <f t="shared" si="28"/>
        <v/>
      </c>
      <c r="BU19" s="591" t="str">
        <f t="shared" si="29"/>
        <v/>
      </c>
      <c r="BV19" s="560" t="str">
        <f t="shared" si="30"/>
        <v>none</v>
      </c>
      <c r="BW19" s="150" t="str">
        <f t="shared" si="31"/>
        <v/>
      </c>
      <c r="BX19" s="150" t="str">
        <f t="shared" si="32"/>
        <v/>
      </c>
      <c r="BY19" s="151" t="str">
        <f t="shared" si="33"/>
        <v/>
      </c>
      <c r="BZ19" s="152" t="str">
        <f t="shared" si="34"/>
        <v/>
      </c>
      <c r="CA19" s="152" t="str">
        <f t="shared" si="35"/>
        <v/>
      </c>
      <c r="CB19" s="152" t="str">
        <f t="shared" si="36"/>
        <v/>
      </c>
      <c r="CC19" s="153" t="str">
        <f t="shared" si="37"/>
        <v/>
      </c>
      <c r="CD19" s="153" t="str">
        <f t="shared" si="38"/>
        <v/>
      </c>
      <c r="CE19" s="154" t="str">
        <f t="shared" si="39"/>
        <v/>
      </c>
      <c r="CF19" s="154" t="str">
        <f t="shared" si="40"/>
        <v/>
      </c>
      <c r="CG19" s="154" t="str">
        <f t="shared" si="41"/>
        <v/>
      </c>
      <c r="CH19" s="308" t="str">
        <f t="shared" si="42"/>
        <v/>
      </c>
    </row>
    <row r="20">
      <c r="A20" s="559" t="s">
        <v>108</v>
      </c>
      <c r="B20" s="560" t="s">
        <v>109</v>
      </c>
      <c r="C20" s="561">
        <v>1.61200886E8</v>
      </c>
      <c r="D20" s="562">
        <v>0.0</v>
      </c>
      <c r="E20" s="563">
        <v>0.0</v>
      </c>
      <c r="F20" s="564">
        <v>525.5252592</v>
      </c>
      <c r="G20" s="564">
        <v>3933.758713</v>
      </c>
      <c r="H20" s="564">
        <v>18084.318</v>
      </c>
      <c r="I20" s="565">
        <v>544.7692095</v>
      </c>
      <c r="J20" s="566">
        <v>2338.76231979521</v>
      </c>
      <c r="K20" s="566">
        <v>13288.9641110725</v>
      </c>
      <c r="L20" s="567">
        <v>14829.15146</v>
      </c>
      <c r="M20" s="568">
        <v>41590.5844683243</v>
      </c>
      <c r="N20" s="568">
        <v>125331.418390985</v>
      </c>
      <c r="O20" s="569">
        <v>0.0</v>
      </c>
      <c r="P20" s="601" t="s">
        <v>393</v>
      </c>
      <c r="Q20" s="150"/>
      <c r="R20" s="150"/>
      <c r="S20" s="116">
        <f t="shared" si="6"/>
        <v>0.72214</v>
      </c>
      <c r="T20" s="151"/>
      <c r="U20" s="572">
        <f t="shared" si="7"/>
        <v>0.2806</v>
      </c>
      <c r="V20" s="613"/>
      <c r="W20" s="574">
        <f t="shared" si="8"/>
        <v>0.9373142857</v>
      </c>
      <c r="X20" s="573">
        <v>0.9536</v>
      </c>
      <c r="Y20" s="574">
        <f t="shared" si="9"/>
        <v>0.9536</v>
      </c>
      <c r="Z20" s="308"/>
      <c r="AA20" s="308"/>
      <c r="AB20" s="575" t="str">
        <f t="shared" si="10"/>
        <v/>
      </c>
      <c r="AC20" s="576">
        <f t="shared" si="11"/>
        <v>0.7192241206</v>
      </c>
      <c r="AD20" s="577">
        <v>0.0171630675</v>
      </c>
      <c r="AE20" s="572">
        <v>0.0</v>
      </c>
      <c r="AF20" s="578">
        <v>0.0</v>
      </c>
      <c r="AG20" s="132">
        <v>0.06503527468</v>
      </c>
      <c r="AH20" s="132">
        <v>0.215791764</v>
      </c>
      <c r="AI20" s="579">
        <v>0.01545549922</v>
      </c>
      <c r="AJ20" s="579">
        <v>0.01963346772</v>
      </c>
      <c r="AK20" s="580">
        <v>0.4127191139</v>
      </c>
      <c r="AL20" s="580">
        <v>0.4967653124</v>
      </c>
      <c r="AM20" s="581">
        <v>0.0</v>
      </c>
      <c r="AN20" s="571" t="str">
        <f>IFERROR(
  AVERAGEIFS(
    'New LF Efficacy'!$J:$J,
    'New LF Efficacy'!$D:$D, $A20,
    'New LF Efficacy'!$F:$F,"DEC", 
    'New LF Efficacy'!$W:$W,"&lt;2016",
    'New LF Efficacy'!$AA:$AA,""),
  ""
)</f>
        <v/>
      </c>
      <c r="AO20" s="582">
        <f t="shared" si="12"/>
        <v>0.478175</v>
      </c>
      <c r="AP20" s="571" t="str">
        <f>IFERROR(
AVERAGEIFS(
'New LF Efficacy'!$J:$J,
'New LF Efficacy'!$D:$D,$A20,
'New LF Efficacy'!$F:$F,"Albendazole &amp; DEC",
'New LF Efficacy'!$W:$W,"&lt;2016",
'New LF Efficacy'!$AA:$AA,""),
"")</f>
        <v/>
      </c>
      <c r="AQ20" s="582">
        <f t="shared" si="13"/>
        <v>0.5831666667</v>
      </c>
      <c r="AR20" s="571" t="str">
        <f>IFERROR(
AVERAGEIFS(
'New LF Efficacy'!$J:$J,
'New LF Efficacy'!$D:$D,$A20,
'New LF Efficacy'!$F:$F,"Albendazole &amp; Ivermectin", 
'New LF Efficacy'!$W:$W,"&lt;2016",
'New LF Efficacy'!$AA:$AA,""),"")</f>
        <v/>
      </c>
      <c r="AS20" s="582">
        <f t="shared" si="14"/>
        <v>0.14</v>
      </c>
      <c r="AT20" s="583" t="str">
        <f>IFERROR(AVERAGEIFS(
'Schist Efficacy'!$O:$O, 
'Schist Efficacy'!$C:$C,$A20, 
'Schist Efficacy'!$D:$D, "Praziquantel",
'Schist Efficacy'!$J:$J,"&lt;2016",
'Schist Efficacy'!$U:$U,""),
"")</f>
        <v/>
      </c>
      <c r="AU20" s="572">
        <f t="shared" si="15"/>
        <v>0.743990088</v>
      </c>
      <c r="AV20" s="131" t="str">
        <f>IFERROR(AVERAGEIFS(
'STH Efficacy'!$AX:$AX, 
'STH Efficacy'!$AL:$AL, $A20, 
'STH Efficacy'!$AM:$AM, "Albendazole",
'STH Efficacy'!$AS:$AS,"&lt;2016",
'STH Efficacy'!$BP:$BP,""),
"")</f>
        <v/>
      </c>
      <c r="AW20" s="132">
        <f t="shared" si="16"/>
        <v>0.5394444444</v>
      </c>
      <c r="AX20" s="131" t="str">
        <f>IFERROR(AVERAGEIFS(
'STH Efficacy'!$AX:$AX, 
'STH Efficacy'!$AL:$AL, $A20, 
'STH Efficacy'!$AM:$AM, "Mebendazole",
'STH Efficacy'!$AS:$AS,"&lt;2016",
'STH Efficacy'!$BP:$BP,""),
"")</f>
        <v/>
      </c>
      <c r="AY20" s="132">
        <f t="shared" si="17"/>
        <v>0.3786666667</v>
      </c>
      <c r="AZ20" s="131" t="str">
        <f>IFERROR(AVERAGEIFS(
'STH Efficacy'!$AX:$AX, 
'STH Efficacy'!$AL:$AL, $A20, 
'STH Efficacy'!$AM:$AM, "Albendazole &amp; Ivermectin",
'STH Efficacy'!$AS:$AS,"&lt;2016",
'STH Efficacy'!$BP:$BP,""),
"")</f>
        <v/>
      </c>
      <c r="BA20" s="303">
        <f t="shared" si="18"/>
        <v>0.597625</v>
      </c>
      <c r="BB20" s="584" t="str">
        <f>IFERROR(AVERAGEIFS(
'STH Efficacy'!$N:$N, 
'STH Efficacy'!$B:$B, $A20, 
'STH Efficacy'!$C:$C, "Albendazole",
'STH Efficacy'!$I:$I,"&lt;2016",
'STH Efficacy'!$AH:$AH,""),
"")</f>
        <v/>
      </c>
      <c r="BC20" s="579">
        <f t="shared" si="19"/>
        <v>0.7133333333</v>
      </c>
      <c r="BD20" s="584" t="str">
        <f>IFERROR(AVERAGEIFS(
'STH Efficacy'!$N:$N, 
'STH Efficacy'!$B:$B, $A20, 
'STH Efficacy'!$C:$C, "Mebendazole",
'STH Efficacy'!$I:$I,"&lt;2016",
'STH Efficacy'!$AH:$AH,""),
"")</f>
        <v/>
      </c>
      <c r="BE20" s="579">
        <f t="shared" si="20"/>
        <v>0.205</v>
      </c>
      <c r="BF20" s="585" t="str">
        <f>IFERROR(AVERAGEIFS(
'STH Efficacy'!$CD:$CD, 
'STH Efficacy'!$BS:$BS, $A20, 
'STH Efficacy'!$BT:$BT, "Albendazole",
'STH Efficacy'!$BZ:$BZ,"&lt;2016",
'STH Efficacy'!$CU:$CU,""),
"")</f>
        <v/>
      </c>
      <c r="BG20" s="580">
        <f t="shared" si="21"/>
        <v>0.83</v>
      </c>
      <c r="BH20" s="585" t="str">
        <f>IFERROR(AVERAGEIFS(
'STH Efficacy'!$CD:$CD, 
'STH Efficacy'!$BS:$BS, $A20, 
'STH Efficacy'!$BT:$BT, "Mebendazole",
'STH Efficacy'!$BZ:$BZ,"&lt;2016",
'STH Efficacy'!$CU:$CU,""),
"")</f>
        <v/>
      </c>
      <c r="BI20" s="580">
        <f t="shared" si="22"/>
        <v>1</v>
      </c>
      <c r="BJ20" s="585" t="str">
        <f>IFERROR(AVERAGEIFS(
'STH Efficacy'!$CD:$CD, 
'STH Efficacy'!$BS:$BS, $A20, 
'STH Efficacy'!$BT:$BT, "Albendazole &amp; Ivermectin",
'STH Efficacy'!$BZ:$BZ,"&lt;2016",
'STH Efficacy'!$CU:$CU,""),
"")</f>
        <v/>
      </c>
      <c r="BK20" s="580">
        <f t="shared" si="23"/>
        <v>0.848</v>
      </c>
      <c r="BL20" s="575" t="str">
        <f>IFERROR(
  AVERAGEIFS(
    'NEW Onchocerciasis Efficacy'!$AO:$AO,
    'NEW Onchocerciasis Efficacy'!$C:$C,$A20,
    'NEW Onchocerciasis Efficacy'!$D:$D,"Ivermectin",
    'NEW Onchocerciasis Efficacy'!$AR:$AR,"&lt;2016",
    'NEW Onchocerciasis Efficacy'!$BG:$BG,"")
,"")</f>
        <v/>
      </c>
      <c r="BM20" s="586">
        <f t="shared" si="24"/>
        <v>0.7808368939</v>
      </c>
      <c r="BN20" s="587">
        <v>1.0</v>
      </c>
      <c r="BO20" s="588">
        <v>0.0</v>
      </c>
      <c r="BP20" s="589">
        <v>0.0</v>
      </c>
      <c r="BQ20" s="590">
        <f t="shared" si="25"/>
        <v>1</v>
      </c>
      <c r="BR20" s="560" t="str">
        <f t="shared" si="26"/>
        <v>1001</v>
      </c>
      <c r="BS20" s="560" t="str">
        <f t="shared" si="27"/>
        <v>MDA1/2</v>
      </c>
      <c r="BT20" s="606" t="str">
        <f t="shared" si="28"/>
        <v>IVM+ALB or DEC+ALB</v>
      </c>
      <c r="BU20" s="591" t="str">
        <f t="shared" si="29"/>
        <v/>
      </c>
      <c r="BV20" s="560" t="str">
        <f t="shared" si="30"/>
        <v>lf+sth</v>
      </c>
      <c r="BW20" s="607">
        <f t="shared" si="31"/>
        <v>0</v>
      </c>
      <c r="BX20" s="607">
        <f t="shared" si="32"/>
        <v>0</v>
      </c>
      <c r="BY20" s="151" t="str">
        <f t="shared" si="33"/>
        <v/>
      </c>
      <c r="BZ20" s="615">
        <f t="shared" si="34"/>
        <v>4704.792305</v>
      </c>
      <c r="CA20" s="152" t="str">
        <f t="shared" si="35"/>
        <v/>
      </c>
      <c r="CB20" s="615">
        <f t="shared" si="36"/>
        <v>5881.579742</v>
      </c>
      <c r="CC20" s="616">
        <f t="shared" si="37"/>
        <v>6074.393156</v>
      </c>
      <c r="CD20" s="153" t="str">
        <f t="shared" si="38"/>
        <v/>
      </c>
      <c r="CE20" s="617">
        <f t="shared" si="39"/>
        <v>209833.2213</v>
      </c>
      <c r="CF20" s="154" t="str">
        <f t="shared" si="40"/>
        <v/>
      </c>
      <c r="CG20" s="617">
        <f t="shared" si="41"/>
        <v>233218.6997</v>
      </c>
      <c r="CH20" s="308" t="str">
        <f t="shared" si="42"/>
        <v/>
      </c>
    </row>
    <row r="21">
      <c r="A21" s="559" t="s">
        <v>110</v>
      </c>
      <c r="B21" s="560" t="s">
        <v>98</v>
      </c>
      <c r="C21" s="561">
        <v>284217.0</v>
      </c>
      <c r="D21" s="562">
        <v>0.0</v>
      </c>
      <c r="E21" s="563">
        <v>0.0</v>
      </c>
      <c r="F21" s="564">
        <v>0.0</v>
      </c>
      <c r="G21" s="564">
        <v>0.0</v>
      </c>
      <c r="H21" s="564">
        <v>1.5E-8</v>
      </c>
      <c r="I21" s="565">
        <v>0.053273511</v>
      </c>
      <c r="J21" s="566">
        <v>0.226380137632389</v>
      </c>
      <c r="K21" s="566">
        <v>3.77905463627855</v>
      </c>
      <c r="L21" s="567">
        <v>1.81E-15</v>
      </c>
      <c r="M21" s="568">
        <v>5.7773861037242E-17</v>
      </c>
      <c r="N21" s="568">
        <v>2.06548331974514E-6</v>
      </c>
      <c r="O21" s="569">
        <v>0.0</v>
      </c>
      <c r="P21" s="570"/>
      <c r="Q21" s="150"/>
      <c r="R21" s="571"/>
      <c r="S21" s="116">
        <f t="shared" si="6"/>
        <v>0.6451333333</v>
      </c>
      <c r="T21" s="151"/>
      <c r="U21" s="572">
        <f t="shared" si="7"/>
        <v>0.0025</v>
      </c>
      <c r="V21" s="598"/>
      <c r="W21" s="574">
        <f t="shared" si="8"/>
        <v>0.56882</v>
      </c>
      <c r="X21" s="598"/>
      <c r="Y21" s="574">
        <f t="shared" si="9"/>
        <v>0.5825818182</v>
      </c>
      <c r="Z21" s="308"/>
      <c r="AA21" s="308"/>
      <c r="AB21" s="575" t="str">
        <f t="shared" si="10"/>
        <v/>
      </c>
      <c r="AC21" s="576">
        <f t="shared" si="11"/>
        <v>0.7574216602</v>
      </c>
      <c r="AD21" s="577">
        <v>0.0</v>
      </c>
      <c r="AE21" s="572">
        <v>0.0</v>
      </c>
      <c r="AF21" s="578">
        <v>0.0</v>
      </c>
      <c r="AG21" s="132">
        <v>0.01280385185</v>
      </c>
      <c r="AH21" s="132">
        <v>0.040416577</v>
      </c>
      <c r="AI21" s="579">
        <v>0.00875092985</v>
      </c>
      <c r="AJ21" s="579">
        <v>0.0105323719</v>
      </c>
      <c r="AK21" s="580">
        <v>0.0116698642</v>
      </c>
      <c r="AL21" s="580">
        <v>0.01328815946</v>
      </c>
      <c r="AM21" s="581">
        <v>0.0</v>
      </c>
      <c r="AN21" s="571" t="str">
        <f>IFERROR(
  AVERAGEIFS(
    'New LF Efficacy'!$J:$J,
    'New LF Efficacy'!$D:$D, $A21,
    'New LF Efficacy'!$F:$F,"DEC", 
    'New LF Efficacy'!$W:$W,"&lt;2016",
    'New LF Efficacy'!$AA:$AA,""),
  ""
)</f>
        <v/>
      </c>
      <c r="AO21" s="582">
        <f t="shared" si="12"/>
        <v>0.2589833333</v>
      </c>
      <c r="AP21" s="571" t="str">
        <f>IFERROR(
AVERAGEIFS(
'New LF Efficacy'!$J:$J,
'New LF Efficacy'!$D:$D,$A21,
'New LF Efficacy'!$F:$F,"Albendazole &amp; DEC",
'New LF Efficacy'!$W:$W,"&lt;2016",
'New LF Efficacy'!$AA:$AA,""),
"")</f>
        <v/>
      </c>
      <c r="AQ21" s="582">
        <f t="shared" si="13"/>
        <v>0.3465</v>
      </c>
      <c r="AR21" s="571" t="str">
        <f>IFERROR(
AVERAGEIFS(
'New LF Efficacy'!$J:$J,
'New LF Efficacy'!$D:$D,$A21,
'New LF Efficacy'!$F:$F,"Albendazole &amp; Ivermectin", 
'New LF Efficacy'!$W:$W,"&lt;2016",
'New LF Efficacy'!$AA:$AA,""),"")</f>
        <v/>
      </c>
      <c r="AS21" s="582">
        <f t="shared" si="14"/>
        <v>0.7575</v>
      </c>
      <c r="AT21" s="583" t="str">
        <f>IFERROR(AVERAGEIFS(
'Schist Efficacy'!$O:$O, 
'Schist Efficacy'!$C:$C,$A21, 
'Schist Efficacy'!$D:$D, "Praziquantel",
'Schist Efficacy'!$J:$J,"&lt;2016",
'Schist Efficacy'!$U:$U,""),
"")</f>
        <v/>
      </c>
      <c r="AU21" s="572">
        <f t="shared" si="15"/>
        <v>0.7914761905</v>
      </c>
      <c r="AV21" s="131" t="str">
        <f>IFERROR(AVERAGEIFS(
'STH Efficacy'!$AX:$AX, 
'STH Efficacy'!$AL:$AL, $A21, 
'STH Efficacy'!$AM:$AM, "Albendazole",
'STH Efficacy'!$AS:$AS,"&lt;2016",
'STH Efficacy'!$BP:$BP,""),
"")</f>
        <v/>
      </c>
      <c r="AW21" s="132">
        <f t="shared" si="16"/>
        <v>0.3945</v>
      </c>
      <c r="AX21" s="131" t="str">
        <f>IFERROR(AVERAGEIFS(
'STH Efficacy'!$AX:$AX, 
'STH Efficacy'!$AL:$AL, $A21, 
'STH Efficacy'!$AM:$AM, "Mebendazole",
'STH Efficacy'!$AS:$AS,"&lt;2016",
'STH Efficacy'!$BP:$BP,""),
"")</f>
        <v/>
      </c>
      <c r="AY21" s="132">
        <f t="shared" si="17"/>
        <v>0.6</v>
      </c>
      <c r="AZ21" s="131" t="str">
        <f>IFERROR(AVERAGEIFS(
'STH Efficacy'!$AX:$AX, 
'STH Efficacy'!$AL:$AL, $A21, 
'STH Efficacy'!$AM:$AM, "Albendazole &amp; Ivermectin",
'STH Efficacy'!$AS:$AS,"&lt;2016",
'STH Efficacy'!$BP:$BP,""),
"")</f>
        <v/>
      </c>
      <c r="BA21" s="303">
        <f t="shared" si="18"/>
        <v>0.796</v>
      </c>
      <c r="BB21" s="584" t="str">
        <f>IFERROR(AVERAGEIFS(
'STH Efficacy'!$N:$N, 
'STH Efficacy'!$B:$B, $A21, 
'STH Efficacy'!$C:$C, "Albendazole",
'STH Efficacy'!$I:$I,"&lt;2016",
'STH Efficacy'!$AH:$AH,""),
"")</f>
        <v/>
      </c>
      <c r="BC21" s="579">
        <f t="shared" si="19"/>
        <v>0.869</v>
      </c>
      <c r="BD21" s="584" t="str">
        <f>IFERROR(AVERAGEIFS(
'STH Efficacy'!$N:$N, 
'STH Efficacy'!$B:$B, $A21, 
'STH Efficacy'!$C:$C, "Mebendazole",
'STH Efficacy'!$I:$I,"&lt;2016",
'STH Efficacy'!$AH:$AH,""),
"")</f>
        <v/>
      </c>
      <c r="BE21" s="579">
        <f t="shared" si="20"/>
        <v>0.172</v>
      </c>
      <c r="BF21" s="585" t="str">
        <f>IFERROR(AVERAGEIFS(
'STH Efficacy'!$CD:$CD, 
'STH Efficacy'!$BS:$BS, $A21, 
'STH Efficacy'!$BT:$BT, "Albendazole",
'STH Efficacy'!$BZ:$BZ,"&lt;2016",
'STH Efficacy'!$CU:$CU,""),
"")</f>
        <v/>
      </c>
      <c r="BG21" s="580">
        <f t="shared" si="21"/>
        <v>0.9862</v>
      </c>
      <c r="BH21" s="585" t="str">
        <f>IFERROR(AVERAGEIFS(
'STH Efficacy'!$CD:$CD, 
'STH Efficacy'!$BS:$BS, $A21, 
'STH Efficacy'!$BT:$BT, "Mebendazole",
'STH Efficacy'!$BZ:$BZ,"&lt;2016",
'STH Efficacy'!$CU:$CU,""),
"")</f>
        <v/>
      </c>
      <c r="BI21" s="580">
        <f t="shared" si="22"/>
        <v>0.769</v>
      </c>
      <c r="BJ21" s="585" t="str">
        <f>IFERROR(AVERAGEIFS(
'STH Efficacy'!$CD:$CD, 
'STH Efficacy'!$BS:$BS, $A21, 
'STH Efficacy'!$BT:$BT, "Albendazole &amp; Ivermectin",
'STH Efficacy'!$BZ:$BZ,"&lt;2016",
'STH Efficacy'!$CU:$CU,""),
"")</f>
        <v/>
      </c>
      <c r="BK21" s="580">
        <f t="shared" si="23"/>
        <v>1</v>
      </c>
      <c r="BL21" s="575" t="str">
        <f>IFERROR(
  AVERAGEIFS(
    'NEW Onchocerciasis Efficacy'!$AO:$AO,
    'NEW Onchocerciasis Efficacy'!$C:$C,$A21,
    'NEW Onchocerciasis Efficacy'!$D:$D,"Ivermectin",
    'NEW Onchocerciasis Efficacy'!$AR:$AR,"&lt;2016",
    'NEW Onchocerciasis Efficacy'!$BG:$BG,"")
,"")</f>
        <v/>
      </c>
      <c r="BM21" s="586">
        <f t="shared" si="24"/>
        <v>0.3734</v>
      </c>
      <c r="BN21" s="587">
        <v>0.0</v>
      </c>
      <c r="BO21" s="588">
        <v>0.0</v>
      </c>
      <c r="BP21" s="589">
        <v>0.0</v>
      </c>
      <c r="BQ21" s="590">
        <f t="shared" si="25"/>
        <v>0</v>
      </c>
      <c r="BR21" s="560" t="str">
        <f t="shared" si="26"/>
        <v>0000</v>
      </c>
      <c r="BS21" s="560" t="str">
        <f t="shared" si="27"/>
        <v>no action required</v>
      </c>
      <c r="BT21" s="361" t="str">
        <f t="shared" si="28"/>
        <v/>
      </c>
      <c r="BU21" s="591" t="str">
        <f t="shared" si="29"/>
        <v/>
      </c>
      <c r="BV21" s="560" t="str">
        <f t="shared" si="30"/>
        <v>none</v>
      </c>
      <c r="BW21" s="150" t="str">
        <f t="shared" si="31"/>
        <v/>
      </c>
      <c r="BX21" s="150" t="str">
        <f t="shared" si="32"/>
        <v/>
      </c>
      <c r="BY21" s="151" t="str">
        <f t="shared" si="33"/>
        <v/>
      </c>
      <c r="BZ21" s="152" t="str">
        <f t="shared" si="34"/>
        <v/>
      </c>
      <c r="CA21" s="152" t="str">
        <f t="shared" si="35"/>
        <v/>
      </c>
      <c r="CB21" s="152" t="str">
        <f t="shared" si="36"/>
        <v/>
      </c>
      <c r="CC21" s="153" t="str">
        <f t="shared" si="37"/>
        <v/>
      </c>
      <c r="CD21" s="153" t="str">
        <f t="shared" si="38"/>
        <v/>
      </c>
      <c r="CE21" s="154" t="str">
        <f t="shared" si="39"/>
        <v/>
      </c>
      <c r="CF21" s="154" t="str">
        <f t="shared" si="40"/>
        <v/>
      </c>
      <c r="CG21" s="154" t="str">
        <f t="shared" si="41"/>
        <v/>
      </c>
      <c r="CH21" s="308" t="str">
        <f t="shared" si="42"/>
        <v/>
      </c>
    </row>
    <row r="22">
      <c r="A22" s="559" t="s">
        <v>111</v>
      </c>
      <c r="B22" s="560" t="s">
        <v>90</v>
      </c>
      <c r="C22" s="561">
        <v>9489616.0</v>
      </c>
      <c r="D22" s="562">
        <v>0.0</v>
      </c>
      <c r="E22" s="563">
        <v>0.0</v>
      </c>
      <c r="F22" s="564">
        <v>0.0</v>
      </c>
      <c r="G22" s="564">
        <v>0.0</v>
      </c>
      <c r="H22" s="564">
        <v>0.0</v>
      </c>
      <c r="I22" s="565">
        <v>0.0</v>
      </c>
      <c r="J22" s="566">
        <v>0.0</v>
      </c>
      <c r="K22" s="566">
        <v>0.0</v>
      </c>
      <c r="L22" s="567">
        <v>0.0</v>
      </c>
      <c r="M22" s="568">
        <v>0.0</v>
      </c>
      <c r="N22" s="568">
        <v>0.0</v>
      </c>
      <c r="O22" s="569">
        <v>0.0</v>
      </c>
      <c r="P22" s="570"/>
      <c r="Q22" s="150"/>
      <c r="R22" s="571"/>
      <c r="S22" s="116">
        <f t="shared" si="6"/>
        <v>0.6648642857</v>
      </c>
      <c r="T22" s="151"/>
      <c r="U22" s="572">
        <f t="shared" si="7"/>
        <v>0.53016</v>
      </c>
      <c r="V22" s="598"/>
      <c r="W22" s="574" t="b">
        <f t="shared" si="8"/>
        <v>0</v>
      </c>
      <c r="X22" s="598"/>
      <c r="Y22" s="574">
        <f t="shared" si="9"/>
        <v>0.631675</v>
      </c>
      <c r="Z22" s="308"/>
      <c r="AA22" s="308"/>
      <c r="AB22" s="575" t="str">
        <f t="shared" si="10"/>
        <v/>
      </c>
      <c r="AC22" s="576">
        <f t="shared" si="11"/>
        <v>0.7192241206</v>
      </c>
      <c r="AD22" s="577">
        <v>0.0</v>
      </c>
      <c r="AE22" s="572">
        <v>0.0</v>
      </c>
      <c r="AF22" s="578">
        <v>0.0</v>
      </c>
      <c r="AG22" s="132">
        <v>0.0</v>
      </c>
      <c r="AH22" s="132">
        <v>0.0</v>
      </c>
      <c r="AI22" s="579">
        <v>0.0</v>
      </c>
      <c r="AJ22" s="579">
        <v>0.0</v>
      </c>
      <c r="AK22" s="580">
        <v>0.0</v>
      </c>
      <c r="AL22" s="580">
        <v>0.0</v>
      </c>
      <c r="AM22" s="581">
        <v>0.0</v>
      </c>
      <c r="AN22" s="571" t="str">
        <f>IFERROR(
  AVERAGEIFS(
    'New LF Efficacy'!$J:$J,
    'New LF Efficacy'!$D:$D, $A22,
    'New LF Efficacy'!$F:$F,"DEC", 
    'New LF Efficacy'!$W:$W,"&lt;2016",
    'New LF Efficacy'!$AA:$AA,""),
  ""
)</f>
        <v/>
      </c>
      <c r="AO22" s="582">
        <f t="shared" si="12"/>
        <v>0.3573520833</v>
      </c>
      <c r="AP22" s="571" t="str">
        <f>IFERROR(
AVERAGEIFS(
'New LF Efficacy'!$J:$J,
'New LF Efficacy'!$D:$D,$A22,
'New LF Efficacy'!$F:$F,"Albendazole &amp; DEC",
'New LF Efficacy'!$W:$W,"&lt;2016",
'New LF Efficacy'!$AA:$AA,""),
"")</f>
        <v/>
      </c>
      <c r="AQ22" s="582">
        <f t="shared" si="13"/>
        <v>0.5143541667</v>
      </c>
      <c r="AR22" s="571" t="str">
        <f>IFERROR(
AVERAGEIFS(
'New LF Efficacy'!$J:$J,
'New LF Efficacy'!$D:$D,$A22,
'New LF Efficacy'!$F:$F,"Albendazole &amp; Ivermectin", 
'New LF Efficacy'!$W:$W,"&lt;2016",
'New LF Efficacy'!$AA:$AA,""),"")</f>
        <v/>
      </c>
      <c r="AS22" s="582">
        <f t="shared" si="14"/>
        <v>0.37153125</v>
      </c>
      <c r="AT22" s="583" t="str">
        <f>IFERROR(AVERAGEIFS(
'Schist Efficacy'!$O:$O, 
'Schist Efficacy'!$C:$C,$A22, 
'Schist Efficacy'!$D:$D, "Praziquantel",
'Schist Efficacy'!$J:$J,"&lt;2016",
'Schist Efficacy'!$U:$U,""),
"")</f>
        <v/>
      </c>
      <c r="AU22" s="572">
        <f t="shared" si="15"/>
        <v>0.655</v>
      </c>
      <c r="AV22" s="131" t="str">
        <f>IFERROR(AVERAGEIFS(
'STH Efficacy'!$AX:$AX, 
'STH Efficacy'!$AL:$AL, $A22, 
'STH Efficacy'!$AM:$AM, "Albendazole",
'STH Efficacy'!$AS:$AS,"&lt;2016",
'STH Efficacy'!$BP:$BP,""),
"")</f>
        <v/>
      </c>
      <c r="AW22" s="132">
        <f t="shared" si="16"/>
        <v>0.4143846154</v>
      </c>
      <c r="AX22" s="131" t="str">
        <f>IFERROR(AVERAGEIFS(
'STH Efficacy'!$AX:$AX, 
'STH Efficacy'!$AL:$AL, $A22, 
'STH Efficacy'!$AM:$AM, "Mebendazole",
'STH Efficacy'!$AS:$AS,"&lt;2016",
'STH Efficacy'!$BP:$BP,""),
"")</f>
        <v/>
      </c>
      <c r="AY22" s="132">
        <f t="shared" si="17"/>
        <v>0.4691770833</v>
      </c>
      <c r="AZ22" s="131" t="str">
        <f>IFERROR(AVERAGEIFS(
'STH Efficacy'!$AX:$AX, 
'STH Efficacy'!$AL:$AL, $A22, 
'STH Efficacy'!$AM:$AM, "Albendazole &amp; Ivermectin",
'STH Efficacy'!$AS:$AS,"&lt;2016",
'STH Efficacy'!$BP:$BP,""),
"")</f>
        <v/>
      </c>
      <c r="BA22" s="303">
        <f t="shared" si="18"/>
        <v>0.597625</v>
      </c>
      <c r="BB22" s="584" t="str">
        <f>IFERROR(AVERAGEIFS(
'STH Efficacy'!$N:$N, 
'STH Efficacy'!$B:$B, $A22, 
'STH Efficacy'!$C:$C, "Albendazole",
'STH Efficacy'!$I:$I,"&lt;2016",
'STH Efficacy'!$AH:$AH,""),
"")</f>
        <v/>
      </c>
      <c r="BC22" s="579">
        <f t="shared" si="19"/>
        <v>0.7613712121</v>
      </c>
      <c r="BD22" s="584" t="str">
        <f>IFERROR(AVERAGEIFS(
'STH Efficacy'!$N:$N, 
'STH Efficacy'!$B:$B, $A22, 
'STH Efficacy'!$C:$C, "Mebendazole",
'STH Efficacy'!$I:$I,"&lt;2016",
'STH Efficacy'!$AH:$AH,""),
"")</f>
        <v/>
      </c>
      <c r="BE22" s="579">
        <f t="shared" si="20"/>
        <v>0.4362466667</v>
      </c>
      <c r="BF22" s="585" t="str">
        <f>IFERROR(AVERAGEIFS(
'STH Efficacy'!$CD:$CD, 
'STH Efficacy'!$BS:$BS, $A22, 
'STH Efficacy'!$BT:$BT, "Albendazole",
'STH Efficacy'!$BZ:$BZ,"&lt;2016",
'STH Efficacy'!$CU:$CU,""),
"")</f>
        <v/>
      </c>
      <c r="BG22" s="580">
        <f t="shared" si="21"/>
        <v>0.9216027778</v>
      </c>
      <c r="BH22" s="585" t="str">
        <f>IFERROR(AVERAGEIFS(
'STH Efficacy'!$CD:$CD, 
'STH Efficacy'!$BS:$BS, $A22, 
'STH Efficacy'!$BT:$BT, "Mebendazole",
'STH Efficacy'!$BZ:$BZ,"&lt;2016",
'STH Efficacy'!$CU:$CU,""),
"")</f>
        <v/>
      </c>
      <c r="BI22" s="580">
        <f t="shared" si="22"/>
        <v>0.8866041667</v>
      </c>
      <c r="BJ22" s="585" t="str">
        <f>IFERROR(AVERAGEIFS(
'STH Efficacy'!$CD:$CD, 
'STH Efficacy'!$BS:$BS, $A22, 
'STH Efficacy'!$BT:$BT, "Albendazole &amp; Ivermectin",
'STH Efficacy'!$BZ:$BZ,"&lt;2016",
'STH Efficacy'!$CU:$CU,""),
"")</f>
        <v/>
      </c>
      <c r="BK22" s="580">
        <f t="shared" si="23"/>
        <v>0.848</v>
      </c>
      <c r="BL22" s="575" t="str">
        <f>IFERROR(
  AVERAGEIFS(
    'NEW Onchocerciasis Efficacy'!$AO:$AO,
    'NEW Onchocerciasis Efficacy'!$C:$C,$A22,
    'NEW Onchocerciasis Efficacy'!$D:$D,"Ivermectin",
    'NEW Onchocerciasis Efficacy'!$AR:$AR,"&lt;2016",
    'NEW Onchocerciasis Efficacy'!$BG:$BG,"")
,"")</f>
        <v/>
      </c>
      <c r="BM22" s="586">
        <f t="shared" si="24"/>
        <v>0.7808368939</v>
      </c>
      <c r="BN22" s="587">
        <v>0.0</v>
      </c>
      <c r="BO22" s="588">
        <v>0.0</v>
      </c>
      <c r="BP22" s="589">
        <v>0.0</v>
      </c>
      <c r="BQ22" s="590">
        <f t="shared" si="25"/>
        <v>0</v>
      </c>
      <c r="BR22" s="560" t="str">
        <f t="shared" si="26"/>
        <v>0000</v>
      </c>
      <c r="BS22" s="560" t="str">
        <f t="shared" si="27"/>
        <v>no action required</v>
      </c>
      <c r="BT22" s="361" t="str">
        <f t="shared" si="28"/>
        <v/>
      </c>
      <c r="BU22" s="591" t="str">
        <f t="shared" si="29"/>
        <v/>
      </c>
      <c r="BV22" s="560" t="str">
        <f t="shared" si="30"/>
        <v>none</v>
      </c>
      <c r="BW22" s="150" t="str">
        <f t="shared" si="31"/>
        <v/>
      </c>
      <c r="BX22" s="150" t="str">
        <f t="shared" si="32"/>
        <v/>
      </c>
      <c r="BY22" s="151" t="str">
        <f t="shared" si="33"/>
        <v/>
      </c>
      <c r="BZ22" s="152" t="str">
        <f t="shared" si="34"/>
        <v/>
      </c>
      <c r="CA22" s="152" t="str">
        <f t="shared" si="35"/>
        <v/>
      </c>
      <c r="CB22" s="152" t="str">
        <f t="shared" si="36"/>
        <v/>
      </c>
      <c r="CC22" s="153" t="str">
        <f t="shared" si="37"/>
        <v/>
      </c>
      <c r="CD22" s="153" t="str">
        <f t="shared" si="38"/>
        <v/>
      </c>
      <c r="CE22" s="154" t="str">
        <f t="shared" si="39"/>
        <v/>
      </c>
      <c r="CF22" s="154" t="str">
        <f t="shared" si="40"/>
        <v/>
      </c>
      <c r="CG22" s="154" t="str">
        <f t="shared" si="41"/>
        <v/>
      </c>
      <c r="CH22" s="308" t="str">
        <f t="shared" si="42"/>
        <v/>
      </c>
    </row>
    <row r="23">
      <c r="A23" s="559" t="s">
        <v>112</v>
      </c>
      <c r="B23" s="560" t="s">
        <v>90</v>
      </c>
      <c r="C23" s="561">
        <v>1.1274196E7</v>
      </c>
      <c r="D23" s="562">
        <v>0.0</v>
      </c>
      <c r="E23" s="563">
        <v>0.0</v>
      </c>
      <c r="F23" s="564">
        <v>0.0</v>
      </c>
      <c r="G23" s="564">
        <v>0.0</v>
      </c>
      <c r="H23" s="564">
        <v>0.0</v>
      </c>
      <c r="I23" s="565">
        <v>0.0</v>
      </c>
      <c r="J23" s="566">
        <v>0.0</v>
      </c>
      <c r="K23" s="566">
        <v>0.0</v>
      </c>
      <c r="L23" s="567">
        <v>0.0</v>
      </c>
      <c r="M23" s="568">
        <v>0.0</v>
      </c>
      <c r="N23" s="568">
        <v>0.0</v>
      </c>
      <c r="O23" s="569">
        <v>0.0</v>
      </c>
      <c r="P23" s="570"/>
      <c r="Q23" s="150"/>
      <c r="R23" s="571"/>
      <c r="S23" s="116">
        <f t="shared" si="6"/>
        <v>0.6648642857</v>
      </c>
      <c r="T23" s="151"/>
      <c r="U23" s="572">
        <f t="shared" si="7"/>
        <v>0.53016</v>
      </c>
      <c r="V23" s="598"/>
      <c r="W23" s="574" t="b">
        <f t="shared" si="8"/>
        <v>0</v>
      </c>
      <c r="X23" s="598"/>
      <c r="Y23" s="574">
        <f t="shared" si="9"/>
        <v>0.631675</v>
      </c>
      <c r="Z23" s="308"/>
      <c r="AA23" s="308"/>
      <c r="AB23" s="575" t="str">
        <f t="shared" si="10"/>
        <v/>
      </c>
      <c r="AC23" s="576">
        <f t="shared" si="11"/>
        <v>0.7192241206</v>
      </c>
      <c r="AD23" s="577">
        <v>0.0</v>
      </c>
      <c r="AE23" s="572">
        <v>0.0</v>
      </c>
      <c r="AF23" s="578">
        <v>0.0</v>
      </c>
      <c r="AG23" s="132">
        <v>0.0</v>
      </c>
      <c r="AH23" s="132">
        <v>0.0</v>
      </c>
      <c r="AI23" s="579">
        <v>0.0</v>
      </c>
      <c r="AJ23" s="579">
        <v>0.0</v>
      </c>
      <c r="AK23" s="580">
        <v>0.0</v>
      </c>
      <c r="AL23" s="580">
        <v>0.0</v>
      </c>
      <c r="AM23" s="581">
        <v>0.0</v>
      </c>
      <c r="AN23" s="571" t="str">
        <f>IFERROR(
  AVERAGEIFS(
    'New LF Efficacy'!$J:$J,
    'New LF Efficacy'!$D:$D, $A23,
    'New LF Efficacy'!$F:$F,"DEC", 
    'New LF Efficacy'!$W:$W,"&lt;2016",
    'New LF Efficacy'!$AA:$AA,""),
  ""
)</f>
        <v/>
      </c>
      <c r="AO23" s="582">
        <f t="shared" si="12"/>
        <v>0.3573520833</v>
      </c>
      <c r="AP23" s="571" t="str">
        <f>IFERROR(
AVERAGEIFS(
'New LF Efficacy'!$J:$J,
'New LF Efficacy'!$D:$D,$A23,
'New LF Efficacy'!$F:$F,"Albendazole &amp; DEC",
'New LF Efficacy'!$W:$W,"&lt;2016",
'New LF Efficacy'!$AA:$AA,""),
"")</f>
        <v/>
      </c>
      <c r="AQ23" s="582">
        <f t="shared" si="13"/>
        <v>0.5143541667</v>
      </c>
      <c r="AR23" s="571" t="str">
        <f>IFERROR(
AVERAGEIFS(
'New LF Efficacy'!$J:$J,
'New LF Efficacy'!$D:$D,$A23,
'New LF Efficacy'!$F:$F,"Albendazole &amp; Ivermectin", 
'New LF Efficacy'!$W:$W,"&lt;2016",
'New LF Efficacy'!$AA:$AA,""),"")</f>
        <v/>
      </c>
      <c r="AS23" s="582">
        <f t="shared" si="14"/>
        <v>0.37153125</v>
      </c>
      <c r="AT23" s="583" t="str">
        <f>IFERROR(AVERAGEIFS(
'Schist Efficacy'!$O:$O, 
'Schist Efficacy'!$C:$C,$A23, 
'Schist Efficacy'!$D:$D, "Praziquantel",
'Schist Efficacy'!$J:$J,"&lt;2016",
'Schist Efficacy'!$U:$U,""),
"")</f>
        <v/>
      </c>
      <c r="AU23" s="572">
        <f t="shared" si="15"/>
        <v>0.655</v>
      </c>
      <c r="AV23" s="131" t="str">
        <f>IFERROR(AVERAGEIFS(
'STH Efficacy'!$AX:$AX, 
'STH Efficacy'!$AL:$AL, $A23, 
'STH Efficacy'!$AM:$AM, "Albendazole",
'STH Efficacy'!$AS:$AS,"&lt;2016",
'STH Efficacy'!$BP:$BP,""),
"")</f>
        <v/>
      </c>
      <c r="AW23" s="132">
        <f t="shared" si="16"/>
        <v>0.4143846154</v>
      </c>
      <c r="AX23" s="131" t="str">
        <f>IFERROR(AVERAGEIFS(
'STH Efficacy'!$AX:$AX, 
'STH Efficacy'!$AL:$AL, $A23, 
'STH Efficacy'!$AM:$AM, "Mebendazole",
'STH Efficacy'!$AS:$AS,"&lt;2016",
'STH Efficacy'!$BP:$BP,""),
"")</f>
        <v/>
      </c>
      <c r="AY23" s="132">
        <f t="shared" si="17"/>
        <v>0.4691770833</v>
      </c>
      <c r="AZ23" s="131" t="str">
        <f>IFERROR(AVERAGEIFS(
'STH Efficacy'!$AX:$AX, 
'STH Efficacy'!$AL:$AL, $A23, 
'STH Efficacy'!$AM:$AM, "Albendazole &amp; Ivermectin",
'STH Efficacy'!$AS:$AS,"&lt;2016",
'STH Efficacy'!$BP:$BP,""),
"")</f>
        <v/>
      </c>
      <c r="BA23" s="303">
        <f t="shared" si="18"/>
        <v>0.597625</v>
      </c>
      <c r="BB23" s="584" t="str">
        <f>IFERROR(AVERAGEIFS(
'STH Efficacy'!$N:$N, 
'STH Efficacy'!$B:$B, $A23, 
'STH Efficacy'!$C:$C, "Albendazole",
'STH Efficacy'!$I:$I,"&lt;2016",
'STH Efficacy'!$AH:$AH,""),
"")</f>
        <v/>
      </c>
      <c r="BC23" s="579">
        <f t="shared" si="19"/>
        <v>0.7613712121</v>
      </c>
      <c r="BD23" s="584" t="str">
        <f>IFERROR(AVERAGEIFS(
'STH Efficacy'!$N:$N, 
'STH Efficacy'!$B:$B, $A23, 
'STH Efficacy'!$C:$C, "Mebendazole",
'STH Efficacy'!$I:$I,"&lt;2016",
'STH Efficacy'!$AH:$AH,""),
"")</f>
        <v/>
      </c>
      <c r="BE23" s="579">
        <f t="shared" si="20"/>
        <v>0.4362466667</v>
      </c>
      <c r="BF23" s="585" t="str">
        <f>IFERROR(AVERAGEIFS(
'STH Efficacy'!$CD:$CD, 
'STH Efficacy'!$BS:$BS, $A23, 
'STH Efficacy'!$BT:$BT, "Albendazole",
'STH Efficacy'!$BZ:$BZ,"&lt;2016",
'STH Efficacy'!$CU:$CU,""),
"")</f>
        <v/>
      </c>
      <c r="BG23" s="580">
        <f t="shared" si="21"/>
        <v>0.9216027778</v>
      </c>
      <c r="BH23" s="585" t="str">
        <f>IFERROR(AVERAGEIFS(
'STH Efficacy'!$CD:$CD, 
'STH Efficacy'!$BS:$BS, $A23, 
'STH Efficacy'!$BT:$BT, "Mebendazole",
'STH Efficacy'!$BZ:$BZ,"&lt;2016",
'STH Efficacy'!$CU:$CU,""),
"")</f>
        <v/>
      </c>
      <c r="BI23" s="580">
        <f t="shared" si="22"/>
        <v>0.8866041667</v>
      </c>
      <c r="BJ23" s="585" t="str">
        <f>IFERROR(AVERAGEIFS(
'STH Efficacy'!$CD:$CD, 
'STH Efficacy'!$BS:$BS, $A23, 
'STH Efficacy'!$BT:$BT, "Albendazole &amp; Ivermectin",
'STH Efficacy'!$BZ:$BZ,"&lt;2016",
'STH Efficacy'!$CU:$CU,""),
"")</f>
        <v/>
      </c>
      <c r="BK23" s="580">
        <f t="shared" si="23"/>
        <v>0.848</v>
      </c>
      <c r="BL23" s="575" t="str">
        <f>IFERROR(
  AVERAGEIFS(
    'NEW Onchocerciasis Efficacy'!$AO:$AO,
    'NEW Onchocerciasis Efficacy'!$C:$C,$A23,
    'NEW Onchocerciasis Efficacy'!$D:$D,"Ivermectin",
    'NEW Onchocerciasis Efficacy'!$AR:$AR,"&lt;2016",
    'NEW Onchocerciasis Efficacy'!$BG:$BG,"")
,"")</f>
        <v/>
      </c>
      <c r="BM23" s="586">
        <f t="shared" si="24"/>
        <v>0.7808368939</v>
      </c>
      <c r="BN23" s="587">
        <v>0.0</v>
      </c>
      <c r="BO23" s="588">
        <v>0.0</v>
      </c>
      <c r="BP23" s="589">
        <v>0.0</v>
      </c>
      <c r="BQ23" s="590">
        <f t="shared" si="25"/>
        <v>0</v>
      </c>
      <c r="BR23" s="560" t="str">
        <f t="shared" si="26"/>
        <v>0000</v>
      </c>
      <c r="BS23" s="560" t="str">
        <f t="shared" si="27"/>
        <v>no action required</v>
      </c>
      <c r="BT23" s="361" t="str">
        <f t="shared" si="28"/>
        <v/>
      </c>
      <c r="BU23" s="591" t="str">
        <f t="shared" si="29"/>
        <v/>
      </c>
      <c r="BV23" s="560" t="str">
        <f t="shared" si="30"/>
        <v>none</v>
      </c>
      <c r="BW23" s="150" t="str">
        <f t="shared" si="31"/>
        <v/>
      </c>
      <c r="BX23" s="150" t="str">
        <f t="shared" si="32"/>
        <v/>
      </c>
      <c r="BY23" s="151" t="str">
        <f t="shared" si="33"/>
        <v/>
      </c>
      <c r="BZ23" s="152" t="str">
        <f t="shared" si="34"/>
        <v/>
      </c>
      <c r="CA23" s="152" t="str">
        <f t="shared" si="35"/>
        <v/>
      </c>
      <c r="CB23" s="152" t="str">
        <f t="shared" si="36"/>
        <v/>
      </c>
      <c r="CC23" s="153" t="str">
        <f t="shared" si="37"/>
        <v/>
      </c>
      <c r="CD23" s="153" t="str">
        <f t="shared" si="38"/>
        <v/>
      </c>
      <c r="CE23" s="154" t="str">
        <f t="shared" si="39"/>
        <v/>
      </c>
      <c r="CF23" s="154" t="str">
        <f t="shared" si="40"/>
        <v/>
      </c>
      <c r="CG23" s="154" t="str">
        <f t="shared" si="41"/>
        <v/>
      </c>
      <c r="CH23" s="308" t="str">
        <f t="shared" si="42"/>
        <v/>
      </c>
    </row>
    <row r="24">
      <c r="A24" s="559" t="s">
        <v>113</v>
      </c>
      <c r="B24" s="560" t="s">
        <v>98</v>
      </c>
      <c r="C24" s="561">
        <v>359288.0</v>
      </c>
      <c r="D24" s="562">
        <v>0.0</v>
      </c>
      <c r="E24" s="563">
        <v>0.0</v>
      </c>
      <c r="F24" s="564">
        <v>0.019300999</v>
      </c>
      <c r="G24" s="564">
        <v>0.001274091</v>
      </c>
      <c r="H24" s="564">
        <v>0.867741882</v>
      </c>
      <c r="I24" s="565">
        <v>0.668021745</v>
      </c>
      <c r="J24" s="566">
        <v>2.0099688944556</v>
      </c>
      <c r="K24" s="566">
        <v>14.5071174725505</v>
      </c>
      <c r="L24" s="567">
        <v>1.362046864</v>
      </c>
      <c r="M24" s="568">
        <v>0.459331727181167</v>
      </c>
      <c r="N24" s="568">
        <v>5.21730254126164</v>
      </c>
      <c r="O24" s="569">
        <v>0.0</v>
      </c>
      <c r="P24" s="570"/>
      <c r="Q24" s="150"/>
      <c r="R24" s="571"/>
      <c r="S24" s="116">
        <f t="shared" si="6"/>
        <v>0.6451333333</v>
      </c>
      <c r="T24" s="151"/>
      <c r="U24" s="572">
        <f t="shared" si="7"/>
        <v>0.0025</v>
      </c>
      <c r="V24" s="573">
        <v>1.0</v>
      </c>
      <c r="W24" s="574">
        <f t="shared" si="8"/>
        <v>1</v>
      </c>
      <c r="X24" s="598"/>
      <c r="Y24" s="574">
        <f t="shared" si="9"/>
        <v>0.5825818182</v>
      </c>
      <c r="Z24" s="308"/>
      <c r="AA24" s="308"/>
      <c r="AB24" s="575" t="str">
        <f t="shared" si="10"/>
        <v/>
      </c>
      <c r="AC24" s="576">
        <f t="shared" si="11"/>
        <v>0.7574216602</v>
      </c>
      <c r="AD24" s="577">
        <v>0.0</v>
      </c>
      <c r="AE24" s="572">
        <v>0.0</v>
      </c>
      <c r="AF24" s="578">
        <v>0.0</v>
      </c>
      <c r="AG24" s="132">
        <v>0.01852491245</v>
      </c>
      <c r="AH24" s="132">
        <v>0.0592226</v>
      </c>
      <c r="AI24" s="579">
        <v>0.007350624703</v>
      </c>
      <c r="AJ24" s="579">
        <v>0.008950385028</v>
      </c>
      <c r="AK24" s="580">
        <v>0.05023426603</v>
      </c>
      <c r="AL24" s="580">
        <v>0.05799263413</v>
      </c>
      <c r="AM24" s="581">
        <v>0.0</v>
      </c>
      <c r="AN24" s="571" t="str">
        <f>IFERROR(
  AVERAGEIFS(
    'New LF Efficacy'!$J:$J,
    'New LF Efficacy'!$D:$D, $A24,
    'New LF Efficacy'!$F:$F,"DEC", 
    'New LF Efficacy'!$W:$W,"&lt;2016",
    'New LF Efficacy'!$AA:$AA,""),
  ""
)</f>
        <v/>
      </c>
      <c r="AO24" s="582">
        <f t="shared" si="12"/>
        <v>0.2589833333</v>
      </c>
      <c r="AP24" s="571" t="str">
        <f>IFERROR(
AVERAGEIFS(
'New LF Efficacy'!$J:$J,
'New LF Efficacy'!$D:$D,$A24,
'New LF Efficacy'!$F:$F,"Albendazole &amp; DEC",
'New LF Efficacy'!$W:$W,"&lt;2016",
'New LF Efficacy'!$AA:$AA,""),
"")</f>
        <v/>
      </c>
      <c r="AQ24" s="582">
        <f t="shared" si="13"/>
        <v>0.3465</v>
      </c>
      <c r="AR24" s="571" t="str">
        <f>IFERROR(
AVERAGEIFS(
'New LF Efficacy'!$J:$J,
'New LF Efficacy'!$D:$D,$A24,
'New LF Efficacy'!$F:$F,"Albendazole &amp; Ivermectin", 
'New LF Efficacy'!$W:$W,"&lt;2016",
'New LF Efficacy'!$AA:$AA,""),"")</f>
        <v/>
      </c>
      <c r="AS24" s="582">
        <f t="shared" si="14"/>
        <v>0.7575</v>
      </c>
      <c r="AT24" s="583" t="str">
        <f>IFERROR(AVERAGEIFS(
'Schist Efficacy'!$O:$O, 
'Schist Efficacy'!$C:$C,$A24, 
'Schist Efficacy'!$D:$D, "Praziquantel",
'Schist Efficacy'!$J:$J,"&lt;2016",
'Schist Efficacy'!$U:$U,""),
"")</f>
        <v/>
      </c>
      <c r="AU24" s="572">
        <f t="shared" si="15"/>
        <v>0.7914761905</v>
      </c>
      <c r="AV24" s="131" t="str">
        <f>IFERROR(AVERAGEIFS(
'STH Efficacy'!$AX:$AX, 
'STH Efficacy'!$AL:$AL, $A24, 
'STH Efficacy'!$AM:$AM, "Albendazole",
'STH Efficacy'!$AS:$AS,"&lt;2016",
'STH Efficacy'!$BP:$BP,""),
"")</f>
        <v/>
      </c>
      <c r="AW24" s="132">
        <f t="shared" si="16"/>
        <v>0.3945</v>
      </c>
      <c r="AX24" s="131" t="str">
        <f>IFERROR(AVERAGEIFS(
'STH Efficacy'!$AX:$AX, 
'STH Efficacy'!$AL:$AL, $A24, 
'STH Efficacy'!$AM:$AM, "Mebendazole",
'STH Efficacy'!$AS:$AS,"&lt;2016",
'STH Efficacy'!$BP:$BP,""),
"")</f>
        <v/>
      </c>
      <c r="AY24" s="132">
        <f t="shared" si="17"/>
        <v>0.6</v>
      </c>
      <c r="AZ24" s="131" t="str">
        <f>IFERROR(AVERAGEIFS(
'STH Efficacy'!$AX:$AX, 
'STH Efficacy'!$AL:$AL, $A24, 
'STH Efficacy'!$AM:$AM, "Albendazole &amp; Ivermectin",
'STH Efficacy'!$AS:$AS,"&lt;2016",
'STH Efficacy'!$BP:$BP,""),
"")</f>
        <v/>
      </c>
      <c r="BA24" s="303">
        <f t="shared" si="18"/>
        <v>0.796</v>
      </c>
      <c r="BB24" s="584" t="str">
        <f>IFERROR(AVERAGEIFS(
'STH Efficacy'!$N:$N, 
'STH Efficacy'!$B:$B, $A24, 
'STH Efficacy'!$C:$C, "Albendazole",
'STH Efficacy'!$I:$I,"&lt;2016",
'STH Efficacy'!$AH:$AH,""),
"")</f>
        <v/>
      </c>
      <c r="BC24" s="579">
        <f t="shared" si="19"/>
        <v>0.869</v>
      </c>
      <c r="BD24" s="584" t="str">
        <f>IFERROR(AVERAGEIFS(
'STH Efficacy'!$N:$N, 
'STH Efficacy'!$B:$B, $A24, 
'STH Efficacy'!$C:$C, "Mebendazole",
'STH Efficacy'!$I:$I,"&lt;2016",
'STH Efficacy'!$AH:$AH,""),
"")</f>
        <v/>
      </c>
      <c r="BE24" s="579">
        <f t="shared" si="20"/>
        <v>0.172</v>
      </c>
      <c r="BF24" s="585" t="str">
        <f>IFERROR(AVERAGEIFS(
'STH Efficacy'!$CD:$CD, 
'STH Efficacy'!$BS:$BS, $A24, 
'STH Efficacy'!$BT:$BT, "Albendazole",
'STH Efficacy'!$BZ:$BZ,"&lt;2016",
'STH Efficacy'!$CU:$CU,""),
"")</f>
        <v/>
      </c>
      <c r="BG24" s="580">
        <f t="shared" si="21"/>
        <v>0.9862</v>
      </c>
      <c r="BH24" s="585" t="str">
        <f>IFERROR(AVERAGEIFS(
'STH Efficacy'!$CD:$CD, 
'STH Efficacy'!$BS:$BS, $A24, 
'STH Efficacy'!$BT:$BT, "Mebendazole",
'STH Efficacy'!$BZ:$BZ,"&lt;2016",
'STH Efficacy'!$CU:$CU,""),
"")</f>
        <v/>
      </c>
      <c r="BI24" s="580">
        <f t="shared" si="22"/>
        <v>0.769</v>
      </c>
      <c r="BJ24" s="585" t="str">
        <f>IFERROR(AVERAGEIFS(
'STH Efficacy'!$CD:$CD, 
'STH Efficacy'!$BS:$BS, $A24, 
'STH Efficacy'!$BT:$BT, "Albendazole &amp; Ivermectin",
'STH Efficacy'!$BZ:$BZ,"&lt;2016",
'STH Efficacy'!$CU:$CU,""),
"")</f>
        <v/>
      </c>
      <c r="BK24" s="580">
        <f t="shared" si="23"/>
        <v>1</v>
      </c>
      <c r="BL24" s="575" t="str">
        <f>IFERROR(
  AVERAGEIFS(
    'NEW Onchocerciasis Efficacy'!$AO:$AO,
    'NEW Onchocerciasis Efficacy'!$C:$C,$A24,
    'NEW Onchocerciasis Efficacy'!$D:$D,"Ivermectin",
    'NEW Onchocerciasis Efficacy'!$AR:$AR,"&lt;2016",
    'NEW Onchocerciasis Efficacy'!$BG:$BG,"")
,"")</f>
        <v/>
      </c>
      <c r="BM24" s="586">
        <f t="shared" si="24"/>
        <v>0.3734</v>
      </c>
      <c r="BN24" s="587">
        <v>0.0</v>
      </c>
      <c r="BO24" s="588">
        <v>0.0</v>
      </c>
      <c r="BP24" s="589">
        <v>0.0</v>
      </c>
      <c r="BQ24" s="590">
        <f t="shared" si="25"/>
        <v>0</v>
      </c>
      <c r="BR24" s="560" t="str">
        <f t="shared" si="26"/>
        <v>0000</v>
      </c>
      <c r="BS24" s="560" t="str">
        <f t="shared" si="27"/>
        <v>no action required</v>
      </c>
      <c r="BT24" s="361" t="str">
        <f t="shared" si="28"/>
        <v/>
      </c>
      <c r="BU24" s="591" t="str">
        <f t="shared" si="29"/>
        <v/>
      </c>
      <c r="BV24" s="560" t="str">
        <f t="shared" si="30"/>
        <v>none</v>
      </c>
      <c r="BW24" s="150" t="str">
        <f t="shared" si="31"/>
        <v/>
      </c>
      <c r="BX24" s="150" t="str">
        <f t="shared" si="32"/>
        <v/>
      </c>
      <c r="BY24" s="151" t="str">
        <f t="shared" si="33"/>
        <v/>
      </c>
      <c r="BZ24" s="152" t="str">
        <f t="shared" si="34"/>
        <v/>
      </c>
      <c r="CA24" s="152" t="str">
        <f t="shared" si="35"/>
        <v/>
      </c>
      <c r="CB24" s="152" t="str">
        <f t="shared" si="36"/>
        <v/>
      </c>
      <c r="CC24" s="153" t="str">
        <f t="shared" si="37"/>
        <v/>
      </c>
      <c r="CD24" s="153" t="str">
        <f t="shared" si="38"/>
        <v/>
      </c>
      <c r="CE24" s="154" t="str">
        <f t="shared" si="39"/>
        <v/>
      </c>
      <c r="CF24" s="154" t="str">
        <f t="shared" si="40"/>
        <v/>
      </c>
      <c r="CG24" s="154" t="str">
        <f t="shared" si="41"/>
        <v/>
      </c>
      <c r="CH24" s="308" t="str">
        <f t="shared" si="42"/>
        <v/>
      </c>
    </row>
    <row r="25">
      <c r="A25" s="559" t="s">
        <v>114</v>
      </c>
      <c r="B25" s="560" t="s">
        <v>92</v>
      </c>
      <c r="C25" s="561">
        <v>1.0575952E7</v>
      </c>
      <c r="D25" s="562">
        <v>3472.529878</v>
      </c>
      <c r="E25" s="563">
        <v>24750.5905369422</v>
      </c>
      <c r="F25" s="564">
        <v>22.24941587</v>
      </c>
      <c r="G25" s="564">
        <v>141.2488624</v>
      </c>
      <c r="H25" s="564">
        <v>390.3861746</v>
      </c>
      <c r="I25" s="565">
        <v>329.9583752</v>
      </c>
      <c r="J25" s="566">
        <v>1090.48776877832</v>
      </c>
      <c r="K25" s="566">
        <v>3768.54646196097</v>
      </c>
      <c r="L25" s="567">
        <v>1635.202658</v>
      </c>
      <c r="M25" s="568">
        <v>283.943128140421</v>
      </c>
      <c r="N25" s="568">
        <v>2068.63255685187</v>
      </c>
      <c r="O25" s="569">
        <v>3005.7</v>
      </c>
      <c r="P25" s="601" t="s">
        <v>394</v>
      </c>
      <c r="Q25" s="618">
        <v>1980880.0</v>
      </c>
      <c r="R25" s="603">
        <v>0.8159</v>
      </c>
      <c r="S25" s="116">
        <f t="shared" si="6"/>
        <v>0.8159</v>
      </c>
      <c r="T25" s="572">
        <v>0.4505</v>
      </c>
      <c r="U25" s="572">
        <f t="shared" si="7"/>
        <v>0.4505</v>
      </c>
      <c r="V25" s="613"/>
      <c r="W25" s="574">
        <f t="shared" si="8"/>
        <v>0.7605133333</v>
      </c>
      <c r="X25" s="573">
        <v>0.8681</v>
      </c>
      <c r="Y25" s="574">
        <f t="shared" si="9"/>
        <v>0.8681</v>
      </c>
      <c r="Z25" s="604">
        <v>5865389.0</v>
      </c>
      <c r="AA25" s="604">
        <v>4309310.0</v>
      </c>
      <c r="AB25" s="576">
        <f t="shared" si="10"/>
        <v>0.7347014836</v>
      </c>
      <c r="AC25" s="576">
        <f t="shared" si="11"/>
        <v>0.7347014836</v>
      </c>
      <c r="AD25" s="577">
        <v>0.006200368875</v>
      </c>
      <c r="AE25" s="572">
        <v>0.2252664803</v>
      </c>
      <c r="AF25" s="578">
        <v>0.04752970246</v>
      </c>
      <c r="AG25" s="132">
        <v>0.02205949055</v>
      </c>
      <c r="AH25" s="132">
        <v>0.072341795</v>
      </c>
      <c r="AI25" s="579">
        <v>0.08945115964</v>
      </c>
      <c r="AJ25" s="579">
        <v>0.113052042</v>
      </c>
      <c r="AK25" s="580">
        <v>0.05569902461</v>
      </c>
      <c r="AL25" s="580">
        <v>0.06704738332</v>
      </c>
      <c r="AM25" s="581">
        <v>0.00368108025</v>
      </c>
      <c r="AN25" s="571" t="str">
        <f>IFERROR(
  AVERAGEIFS(
    'New LF Efficacy'!$J:$J,
    'New LF Efficacy'!$D:$D, $A25,
    'New LF Efficacy'!$F:$F,"DEC", 
    'New LF Efficacy'!$W:$W,"&lt;2016",
    'New LF Efficacy'!$AA:$AA,""),
  ""
)</f>
        <v/>
      </c>
      <c r="AO25" s="582">
        <f t="shared" si="12"/>
        <v>0.31225</v>
      </c>
      <c r="AP25" s="571" t="str">
        <f>IFERROR(
AVERAGEIFS(
'New LF Efficacy'!$J:$J,
'New LF Efficacy'!$D:$D,$A25,
'New LF Efficacy'!$F:$F,"Albendazole &amp; DEC",
'New LF Efficacy'!$W:$W,"&lt;2016",
'New LF Efficacy'!$AA:$AA,""),
"")</f>
        <v/>
      </c>
      <c r="AQ25" s="582">
        <f t="shared" si="13"/>
        <v>0.4</v>
      </c>
      <c r="AR25" s="571" t="str">
        <f>IFERROR(
AVERAGEIFS(
'New LF Efficacy'!$J:$J,
'New LF Efficacy'!$D:$D,$A25,
'New LF Efficacy'!$F:$F,"Albendazole &amp; Ivermectin", 
'New LF Efficacy'!$W:$W,"&lt;2016",
'New LF Efficacy'!$AA:$AA,""),"")</f>
        <v/>
      </c>
      <c r="AS25" s="582">
        <f t="shared" si="14"/>
        <v>0.2943125</v>
      </c>
      <c r="AT25" s="583" t="str">
        <f>IFERROR(AVERAGEIFS(
'Schist Efficacy'!$O:$O, 
'Schist Efficacy'!$C:$C,$A25, 
'Schist Efficacy'!$D:$D, "Praziquantel",
'Schist Efficacy'!$J:$J,"&lt;2016",
'Schist Efficacy'!$U:$U,""),
"")</f>
        <v/>
      </c>
      <c r="AU25" s="572">
        <f t="shared" si="15"/>
        <v>0.7206464759</v>
      </c>
      <c r="AV25" s="131" t="str">
        <f>IFERROR(AVERAGEIFS(
'STH Efficacy'!$AX:$AX, 
'STH Efficacy'!$AL:$AL, $A25, 
'STH Efficacy'!$AM:$AM, "Albendazole",
'STH Efficacy'!$AS:$AS,"&lt;2016",
'STH Efficacy'!$BP:$BP,""),
"")</f>
        <v/>
      </c>
      <c r="AW25" s="132">
        <f t="shared" si="16"/>
        <v>0.3816333333</v>
      </c>
      <c r="AX25" s="131" t="str">
        <f>IFERROR(AVERAGEIFS(
'STH Efficacy'!$AX:$AX, 
'STH Efficacy'!$AL:$AL, $A25, 
'STH Efficacy'!$AM:$AM, "Mebendazole",
'STH Efficacy'!$AS:$AS,"&lt;2016",
'STH Efficacy'!$BP:$BP,""),
"")</f>
        <v/>
      </c>
      <c r="AY25" s="132">
        <f t="shared" si="17"/>
        <v>0.4859375</v>
      </c>
      <c r="AZ25" s="131" t="str">
        <f>IFERROR(AVERAGEIFS(
'STH Efficacy'!$AX:$AX, 
'STH Efficacy'!$AL:$AL, $A25, 
'STH Efficacy'!$AM:$AM, "Albendazole &amp; Ivermectin",
'STH Efficacy'!$AS:$AS,"&lt;2016",
'STH Efficacy'!$BP:$BP,""),
"")</f>
        <v/>
      </c>
      <c r="BA25" s="303">
        <f t="shared" si="18"/>
        <v>0.47175</v>
      </c>
      <c r="BB25" s="584" t="str">
        <f>IFERROR(AVERAGEIFS(
'STH Efficacy'!$N:$N, 
'STH Efficacy'!$B:$B, $A25, 
'STH Efficacy'!$C:$C, "Albendazole",
'STH Efficacy'!$I:$I,"&lt;2016",
'STH Efficacy'!$AH:$AH,""),
"")</f>
        <v/>
      </c>
      <c r="BC25" s="579">
        <f t="shared" si="19"/>
        <v>0.8699166667</v>
      </c>
      <c r="BD25" s="584" t="str">
        <f>IFERROR(AVERAGEIFS(
'STH Efficacy'!$N:$N, 
'STH Efficacy'!$B:$B, $A25, 
'STH Efficacy'!$C:$C, "Mebendazole",
'STH Efficacy'!$I:$I,"&lt;2016",
'STH Efficacy'!$AH:$AH,""),
"")</f>
        <v/>
      </c>
      <c r="BE25" s="579">
        <f t="shared" si="20"/>
        <v>0.7092416667</v>
      </c>
      <c r="BF25" s="585" t="str">
        <f>IFERROR(AVERAGEIFS(
'STH Efficacy'!$CD:$CD, 
'STH Efficacy'!$BS:$BS, $A25, 
'STH Efficacy'!$BT:$BT, "Albendazole",
'STH Efficacy'!$BZ:$BZ,"&lt;2016",
'STH Efficacy'!$CU:$CU,""),
"")</f>
        <v/>
      </c>
      <c r="BG25" s="580">
        <f t="shared" si="21"/>
        <v>0.9066666667</v>
      </c>
      <c r="BH25" s="585" t="str">
        <f>IFERROR(AVERAGEIFS(
'STH Efficacy'!$CD:$CD, 
'STH Efficacy'!$BS:$BS, $A25, 
'STH Efficacy'!$BT:$BT, "Mebendazole",
'STH Efficacy'!$BZ:$BZ,"&lt;2016",
'STH Efficacy'!$CU:$CU,""),
"")</f>
        <v/>
      </c>
      <c r="BI25" s="580">
        <f t="shared" si="22"/>
        <v>0.8483333333</v>
      </c>
      <c r="BJ25" s="585" t="str">
        <f>IFERROR(AVERAGEIFS(
'STH Efficacy'!$CD:$CD, 
'STH Efficacy'!$BS:$BS, $A25, 
'STH Efficacy'!$BT:$BT, "Albendazole &amp; Ivermectin",
'STH Efficacy'!$BZ:$BZ,"&lt;2016",
'STH Efficacy'!$CU:$CU,""),
"")</f>
        <v/>
      </c>
      <c r="BK25" s="580">
        <f t="shared" si="23"/>
        <v>0.696</v>
      </c>
      <c r="BL25" s="575" t="str">
        <f>IFERROR(
  AVERAGEIFS(
    'NEW Onchocerciasis Efficacy'!$AO:$AO,
    'NEW Onchocerciasis Efficacy'!$C:$C,$A25,
    'NEW Onchocerciasis Efficacy'!$D:$D,"Ivermectin",
    'NEW Onchocerciasis Efficacy'!$AR:$AR,"&lt;2016",
    'NEW Onchocerciasis Efficacy'!$BG:$BG,"")
,"")</f>
        <v/>
      </c>
      <c r="BM25" s="586">
        <f t="shared" si="24"/>
        <v>0.8390421645</v>
      </c>
      <c r="BN25" s="587">
        <v>1.0</v>
      </c>
      <c r="BO25" s="588">
        <v>1.0</v>
      </c>
      <c r="BP25" s="589">
        <v>1.0</v>
      </c>
      <c r="BQ25" s="590">
        <f t="shared" si="25"/>
        <v>0</v>
      </c>
      <c r="BR25" s="560" t="str">
        <f t="shared" si="26"/>
        <v>1110</v>
      </c>
      <c r="BS25" s="560" t="str">
        <f t="shared" si="27"/>
        <v>MDA1+T2</v>
      </c>
      <c r="BT25" s="606" t="str">
        <f t="shared" si="28"/>
        <v>IVM+ALB</v>
      </c>
      <c r="BU25" s="560" t="str">
        <f t="shared" si="29"/>
        <v>PZQ</v>
      </c>
      <c r="BV25" s="560" t="str">
        <f t="shared" si="30"/>
        <v>lf+onch+schist </v>
      </c>
      <c r="BW25" s="150" t="str">
        <f t="shared" si="31"/>
        <v/>
      </c>
      <c r="BX25" s="607">
        <f t="shared" si="32"/>
        <v>1097.367482</v>
      </c>
      <c r="BY25" s="608">
        <f t="shared" si="33"/>
        <v>11898.0152</v>
      </c>
      <c r="BZ25" s="152" t="str">
        <f t="shared" si="34"/>
        <v/>
      </c>
      <c r="CA25" s="152" t="str">
        <f t="shared" si="35"/>
        <v/>
      </c>
      <c r="CB25" s="152" t="str">
        <f t="shared" si="36"/>
        <v/>
      </c>
      <c r="CC25" s="153" t="str">
        <f t="shared" si="37"/>
        <v/>
      </c>
      <c r="CD25" s="153" t="str">
        <f t="shared" si="38"/>
        <v/>
      </c>
      <c r="CE25" s="154" t="str">
        <f t="shared" si="39"/>
        <v/>
      </c>
      <c r="CF25" s="154" t="str">
        <f t="shared" si="40"/>
        <v/>
      </c>
      <c r="CG25" s="154" t="str">
        <f t="shared" si="41"/>
        <v/>
      </c>
      <c r="CH25" s="609">
        <f t="shared" si="42"/>
        <v>161.0245237</v>
      </c>
    </row>
    <row r="26">
      <c r="A26" s="599" t="s">
        <v>115</v>
      </c>
      <c r="B26" s="560" t="s">
        <v>98</v>
      </c>
      <c r="C26" s="561">
        <v>65235.0</v>
      </c>
      <c r="D26" s="562">
        <v>0.0</v>
      </c>
      <c r="E26" s="563">
        <v>0.0</v>
      </c>
      <c r="F26" s="564">
        <v>0.005227583</v>
      </c>
      <c r="G26" s="564">
        <v>0.050606527</v>
      </c>
      <c r="H26" s="564">
        <v>0.293540839</v>
      </c>
      <c r="I26" s="565">
        <v>0.022850639</v>
      </c>
      <c r="J26" s="566">
        <v>0.126973576626923</v>
      </c>
      <c r="K26" s="566">
        <v>1.20672229792909</v>
      </c>
      <c r="L26" s="567">
        <v>0.008804572</v>
      </c>
      <c r="M26" s="568">
        <v>0.0236212712459181</v>
      </c>
      <c r="N26" s="568">
        <v>0.13110395156195</v>
      </c>
      <c r="O26" s="569">
        <v>0.0</v>
      </c>
      <c r="P26" s="570"/>
      <c r="Q26" s="150"/>
      <c r="R26" s="571"/>
      <c r="S26" s="116">
        <f t="shared" si="6"/>
        <v>0.6451333333</v>
      </c>
      <c r="T26" s="151"/>
      <c r="U26" s="572">
        <f t="shared" si="7"/>
        <v>0.0025</v>
      </c>
      <c r="V26" s="598"/>
      <c r="W26" s="574">
        <f t="shared" si="8"/>
        <v>0.56882</v>
      </c>
      <c r="X26" s="598"/>
      <c r="Y26" s="574">
        <f t="shared" si="9"/>
        <v>0.5825818182</v>
      </c>
      <c r="Z26" s="308"/>
      <c r="AA26" s="308"/>
      <c r="AB26" s="575" t="str">
        <f t="shared" si="10"/>
        <v/>
      </c>
      <c r="AC26" s="576">
        <f t="shared" si="11"/>
        <v>0.7574216602</v>
      </c>
      <c r="AD26" s="577">
        <v>0.0</v>
      </c>
      <c r="AE26" s="572">
        <v>0.0</v>
      </c>
      <c r="AF26" s="578">
        <v>0.0</v>
      </c>
      <c r="AG26" s="132">
        <v>0.01127714295</v>
      </c>
      <c r="AH26" s="132">
        <v>0.035747254</v>
      </c>
      <c r="AI26" s="579">
        <v>0.006857013752</v>
      </c>
      <c r="AJ26" s="579">
        <v>0.0083218781</v>
      </c>
      <c r="AK26" s="580">
        <v>0.008508931458</v>
      </c>
      <c r="AL26" s="580">
        <v>0.009788589804</v>
      </c>
      <c r="AM26" s="581">
        <v>0.0</v>
      </c>
      <c r="AN26" s="571" t="str">
        <f>IFERROR(
  AVERAGEIFS(
    'New LF Efficacy'!$J:$J,
    'New LF Efficacy'!$D:$D, $A26,
    'New LF Efficacy'!$F:$F,"DEC", 
    'New LF Efficacy'!$W:$W,"&lt;2016",
    'New LF Efficacy'!$AA:$AA,""),
  ""
)</f>
        <v/>
      </c>
      <c r="AO26" s="582">
        <f t="shared" si="12"/>
        <v>0.2589833333</v>
      </c>
      <c r="AP26" s="571" t="str">
        <f>IFERROR(
AVERAGEIFS(
'New LF Efficacy'!$J:$J,
'New LF Efficacy'!$D:$D,$A26,
'New LF Efficacy'!$F:$F,"Albendazole &amp; DEC",
'New LF Efficacy'!$W:$W,"&lt;2016",
'New LF Efficacy'!$AA:$AA,""),
"")</f>
        <v/>
      </c>
      <c r="AQ26" s="582">
        <f t="shared" si="13"/>
        <v>0.3465</v>
      </c>
      <c r="AR26" s="571" t="str">
        <f>IFERROR(
AVERAGEIFS(
'New LF Efficacy'!$J:$J,
'New LF Efficacy'!$D:$D,$A26,
'New LF Efficacy'!$F:$F,"Albendazole &amp; Ivermectin", 
'New LF Efficacy'!$W:$W,"&lt;2016",
'New LF Efficacy'!$AA:$AA,""),"")</f>
        <v/>
      </c>
      <c r="AS26" s="582">
        <f t="shared" si="14"/>
        <v>0.7575</v>
      </c>
      <c r="AT26" s="583" t="str">
        <f>IFERROR(AVERAGEIFS(
'Schist Efficacy'!$O:$O, 
'Schist Efficacy'!$C:$C,$A26, 
'Schist Efficacy'!$D:$D, "Praziquantel",
'Schist Efficacy'!$J:$J,"&lt;2016",
'Schist Efficacy'!$U:$U,""),
"")</f>
        <v/>
      </c>
      <c r="AU26" s="572">
        <f t="shared" si="15"/>
        <v>0.7914761905</v>
      </c>
      <c r="AV26" s="131" t="str">
        <f>IFERROR(AVERAGEIFS(
'STH Efficacy'!$AX:$AX, 
'STH Efficacy'!$AL:$AL, $A26, 
'STH Efficacy'!$AM:$AM, "Albendazole",
'STH Efficacy'!$AS:$AS,"&lt;2016",
'STH Efficacy'!$BP:$BP,""),
"")</f>
        <v/>
      </c>
      <c r="AW26" s="132">
        <f t="shared" si="16"/>
        <v>0.3945</v>
      </c>
      <c r="AX26" s="131" t="str">
        <f>IFERROR(AVERAGEIFS(
'STH Efficacy'!$AX:$AX, 
'STH Efficacy'!$AL:$AL, $A26, 
'STH Efficacy'!$AM:$AM, "Mebendazole",
'STH Efficacy'!$AS:$AS,"&lt;2016",
'STH Efficacy'!$BP:$BP,""),
"")</f>
        <v/>
      </c>
      <c r="AY26" s="132">
        <f t="shared" si="17"/>
        <v>0.6</v>
      </c>
      <c r="AZ26" s="131" t="str">
        <f>IFERROR(AVERAGEIFS(
'STH Efficacy'!$AX:$AX, 
'STH Efficacy'!$AL:$AL, $A26, 
'STH Efficacy'!$AM:$AM, "Albendazole &amp; Ivermectin",
'STH Efficacy'!$AS:$AS,"&lt;2016",
'STH Efficacy'!$BP:$BP,""),
"")</f>
        <v/>
      </c>
      <c r="BA26" s="303">
        <f t="shared" si="18"/>
        <v>0.796</v>
      </c>
      <c r="BB26" s="584" t="str">
        <f>IFERROR(AVERAGEIFS(
'STH Efficacy'!$N:$N, 
'STH Efficacy'!$B:$B, $A26, 
'STH Efficacy'!$C:$C, "Albendazole",
'STH Efficacy'!$I:$I,"&lt;2016",
'STH Efficacy'!$AH:$AH,""),
"")</f>
        <v/>
      </c>
      <c r="BC26" s="579">
        <f t="shared" si="19"/>
        <v>0.869</v>
      </c>
      <c r="BD26" s="584" t="str">
        <f>IFERROR(AVERAGEIFS(
'STH Efficacy'!$N:$N, 
'STH Efficacy'!$B:$B, $A26, 
'STH Efficacy'!$C:$C, "Mebendazole",
'STH Efficacy'!$I:$I,"&lt;2016",
'STH Efficacy'!$AH:$AH,""),
"")</f>
        <v/>
      </c>
      <c r="BE26" s="579">
        <f t="shared" si="20"/>
        <v>0.172</v>
      </c>
      <c r="BF26" s="585" t="str">
        <f>IFERROR(AVERAGEIFS(
'STH Efficacy'!$CD:$CD, 
'STH Efficacy'!$BS:$BS, $A26, 
'STH Efficacy'!$BT:$BT, "Albendazole",
'STH Efficacy'!$BZ:$BZ,"&lt;2016",
'STH Efficacy'!$CU:$CU,""),
"")</f>
        <v/>
      </c>
      <c r="BG26" s="580">
        <f t="shared" si="21"/>
        <v>0.9862</v>
      </c>
      <c r="BH26" s="585" t="str">
        <f>IFERROR(AVERAGEIFS(
'STH Efficacy'!$CD:$CD, 
'STH Efficacy'!$BS:$BS, $A26, 
'STH Efficacy'!$BT:$BT, "Mebendazole",
'STH Efficacy'!$BZ:$BZ,"&lt;2016",
'STH Efficacy'!$CU:$CU,""),
"")</f>
        <v/>
      </c>
      <c r="BI26" s="580">
        <f t="shared" si="22"/>
        <v>0.769</v>
      </c>
      <c r="BJ26" s="585" t="str">
        <f>IFERROR(AVERAGEIFS(
'STH Efficacy'!$CD:$CD, 
'STH Efficacy'!$BS:$BS, $A26, 
'STH Efficacy'!$BT:$BT, "Albendazole &amp; Ivermectin",
'STH Efficacy'!$BZ:$BZ,"&lt;2016",
'STH Efficacy'!$CU:$CU,""),
"")</f>
        <v/>
      </c>
      <c r="BK26" s="580">
        <f t="shared" si="23"/>
        <v>1</v>
      </c>
      <c r="BL26" s="575" t="str">
        <f>IFERROR(
  AVERAGEIFS(
    'NEW Onchocerciasis Efficacy'!$AO:$AO,
    'NEW Onchocerciasis Efficacy'!$C:$C,$A26,
    'NEW Onchocerciasis Efficacy'!$D:$D,"Ivermectin",
    'NEW Onchocerciasis Efficacy'!$AR:$AR,"&lt;2016",
    'NEW Onchocerciasis Efficacy'!$BG:$BG,"")
,"")</f>
        <v/>
      </c>
      <c r="BM26" s="586">
        <f t="shared" si="24"/>
        <v>0.3734</v>
      </c>
      <c r="BN26" s="587">
        <v>0.0</v>
      </c>
      <c r="BO26" s="588">
        <v>0.0</v>
      </c>
      <c r="BP26" s="589">
        <v>0.0</v>
      </c>
      <c r="BQ26" s="590">
        <f t="shared" si="25"/>
        <v>0</v>
      </c>
      <c r="BR26" s="560" t="str">
        <f t="shared" si="26"/>
        <v>0000</v>
      </c>
      <c r="BS26" s="560" t="str">
        <f t="shared" si="27"/>
        <v>no action required</v>
      </c>
      <c r="BT26" s="361" t="str">
        <f t="shared" si="28"/>
        <v/>
      </c>
      <c r="BU26" s="591" t="str">
        <f t="shared" si="29"/>
        <v/>
      </c>
      <c r="BV26" s="560" t="str">
        <f t="shared" si="30"/>
        <v>none</v>
      </c>
      <c r="BW26" s="150" t="str">
        <f t="shared" si="31"/>
        <v/>
      </c>
      <c r="BX26" s="150" t="str">
        <f t="shared" si="32"/>
        <v/>
      </c>
      <c r="BY26" s="151" t="str">
        <f t="shared" si="33"/>
        <v/>
      </c>
      <c r="BZ26" s="152" t="str">
        <f t="shared" si="34"/>
        <v/>
      </c>
      <c r="CA26" s="152" t="str">
        <f t="shared" si="35"/>
        <v/>
      </c>
      <c r="CB26" s="152" t="str">
        <f t="shared" si="36"/>
        <v/>
      </c>
      <c r="CC26" s="153" t="str">
        <f t="shared" si="37"/>
        <v/>
      </c>
      <c r="CD26" s="153" t="str">
        <f t="shared" si="38"/>
        <v/>
      </c>
      <c r="CE26" s="154" t="str">
        <f t="shared" si="39"/>
        <v/>
      </c>
      <c r="CF26" s="154" t="str">
        <f t="shared" si="40"/>
        <v/>
      </c>
      <c r="CG26" s="154" t="str">
        <f t="shared" si="41"/>
        <v/>
      </c>
      <c r="CH26" s="308" t="str">
        <f t="shared" si="42"/>
        <v/>
      </c>
    </row>
    <row r="27">
      <c r="A27" s="559" t="s">
        <v>116</v>
      </c>
      <c r="B27" s="560" t="s">
        <v>109</v>
      </c>
      <c r="C27" s="561">
        <v>787386.0</v>
      </c>
      <c r="D27" s="562">
        <v>0.0</v>
      </c>
      <c r="E27" s="563">
        <v>0.0</v>
      </c>
      <c r="F27" s="564">
        <v>0.025401992</v>
      </c>
      <c r="G27" s="564">
        <v>0.204866105</v>
      </c>
      <c r="H27" s="564">
        <v>1.520054491</v>
      </c>
      <c r="I27" s="565">
        <v>3.513991519</v>
      </c>
      <c r="J27" s="566">
        <v>8.24276812613346</v>
      </c>
      <c r="K27" s="566">
        <v>36.4916975994272</v>
      </c>
      <c r="L27" s="567">
        <v>3.980070154</v>
      </c>
      <c r="M27" s="568">
        <v>6.48738205311168</v>
      </c>
      <c r="N27" s="568">
        <v>26.2757282959712</v>
      </c>
      <c r="O27" s="569">
        <v>0.0</v>
      </c>
      <c r="P27" s="570"/>
      <c r="Q27" s="150"/>
      <c r="R27" s="571"/>
      <c r="S27" s="116">
        <f t="shared" si="6"/>
        <v>0.72214</v>
      </c>
      <c r="T27" s="151"/>
      <c r="U27" s="572">
        <f t="shared" si="7"/>
        <v>0.2806</v>
      </c>
      <c r="V27" s="573">
        <v>0.7994</v>
      </c>
      <c r="W27" s="574">
        <f t="shared" si="8"/>
        <v>0.7994</v>
      </c>
      <c r="X27" s="573">
        <v>0.9658</v>
      </c>
      <c r="Y27" s="574">
        <f t="shared" si="9"/>
        <v>0.9658</v>
      </c>
      <c r="Z27" s="308"/>
      <c r="AA27" s="308"/>
      <c r="AB27" s="575" t="str">
        <f t="shared" si="10"/>
        <v/>
      </c>
      <c r="AC27" s="576">
        <f t="shared" si="11"/>
        <v>0.7192241206</v>
      </c>
      <c r="AD27" s="577">
        <v>0.0</v>
      </c>
      <c r="AE27" s="572">
        <v>0.0</v>
      </c>
      <c r="AF27" s="578">
        <v>0.0</v>
      </c>
      <c r="AG27" s="132">
        <v>0.02908270181</v>
      </c>
      <c r="AH27" s="132">
        <v>0.097265034</v>
      </c>
      <c r="AI27" s="579">
        <v>0.01367431917</v>
      </c>
      <c r="AJ27" s="579">
        <v>0.01753937435</v>
      </c>
      <c r="AK27" s="580">
        <v>0.09340173769</v>
      </c>
      <c r="AL27" s="580">
        <v>0.1137752447</v>
      </c>
      <c r="AM27" s="581">
        <v>0.0</v>
      </c>
      <c r="AN27" s="571" t="str">
        <f>IFERROR(
  AVERAGEIFS(
    'New LF Efficacy'!$J:$J,
    'New LF Efficacy'!$D:$D, $A27,
    'New LF Efficacy'!$F:$F,"DEC", 
    'New LF Efficacy'!$W:$W,"&lt;2016",
    'New LF Efficacy'!$AA:$AA,""),
  ""
)</f>
        <v/>
      </c>
      <c r="AO27" s="582">
        <f t="shared" si="12"/>
        <v>0.478175</v>
      </c>
      <c r="AP27" s="571" t="str">
        <f>IFERROR(
AVERAGEIFS(
'New LF Efficacy'!$J:$J,
'New LF Efficacy'!$D:$D,$A27,
'New LF Efficacy'!$F:$F,"Albendazole &amp; DEC",
'New LF Efficacy'!$W:$W,"&lt;2016",
'New LF Efficacy'!$AA:$AA,""),
"")</f>
        <v/>
      </c>
      <c r="AQ27" s="582">
        <f t="shared" si="13"/>
        <v>0.5831666667</v>
      </c>
      <c r="AR27" s="571" t="str">
        <f>IFERROR(
AVERAGEIFS(
'New LF Efficacy'!$J:$J,
'New LF Efficacy'!$D:$D,$A27,
'New LF Efficacy'!$F:$F,"Albendazole &amp; Ivermectin", 
'New LF Efficacy'!$W:$W,"&lt;2016",
'New LF Efficacy'!$AA:$AA,""),"")</f>
        <v/>
      </c>
      <c r="AS27" s="582">
        <f t="shared" si="14"/>
        <v>0.14</v>
      </c>
      <c r="AT27" s="583" t="str">
        <f>IFERROR(AVERAGEIFS(
'Schist Efficacy'!$O:$O, 
'Schist Efficacy'!$C:$C,$A27, 
'Schist Efficacy'!$D:$D, "Praziquantel",
'Schist Efficacy'!$J:$J,"&lt;2016",
'Schist Efficacy'!$U:$U,""),
"")</f>
        <v/>
      </c>
      <c r="AU27" s="572">
        <f t="shared" si="15"/>
        <v>0.743990088</v>
      </c>
      <c r="AV27" s="131" t="str">
        <f>IFERROR(AVERAGEIFS(
'STH Efficacy'!$AX:$AX, 
'STH Efficacy'!$AL:$AL, $A27, 
'STH Efficacy'!$AM:$AM, "Albendazole",
'STH Efficacy'!$AS:$AS,"&lt;2016",
'STH Efficacy'!$BP:$BP,""),
"")</f>
        <v/>
      </c>
      <c r="AW27" s="132">
        <f t="shared" si="16"/>
        <v>0.5394444444</v>
      </c>
      <c r="AX27" s="131" t="str">
        <f>IFERROR(AVERAGEIFS(
'STH Efficacy'!$AX:$AX, 
'STH Efficacy'!$AL:$AL, $A27, 
'STH Efficacy'!$AM:$AM, "Mebendazole",
'STH Efficacy'!$AS:$AS,"&lt;2016",
'STH Efficacy'!$BP:$BP,""),
"")</f>
        <v/>
      </c>
      <c r="AY27" s="132">
        <f t="shared" si="17"/>
        <v>0.3786666667</v>
      </c>
      <c r="AZ27" s="131" t="str">
        <f>IFERROR(AVERAGEIFS(
'STH Efficacy'!$AX:$AX, 
'STH Efficacy'!$AL:$AL, $A27, 
'STH Efficacy'!$AM:$AM, "Albendazole &amp; Ivermectin",
'STH Efficacy'!$AS:$AS,"&lt;2016",
'STH Efficacy'!$BP:$BP,""),
"")</f>
        <v/>
      </c>
      <c r="BA27" s="303">
        <f t="shared" si="18"/>
        <v>0.597625</v>
      </c>
      <c r="BB27" s="584" t="str">
        <f>IFERROR(AVERAGEIFS(
'STH Efficacy'!$N:$N, 
'STH Efficacy'!$B:$B, $A27, 
'STH Efficacy'!$C:$C, "Albendazole",
'STH Efficacy'!$I:$I,"&lt;2016",
'STH Efficacy'!$AH:$AH,""),
"")</f>
        <v/>
      </c>
      <c r="BC27" s="579">
        <f t="shared" si="19"/>
        <v>0.7133333333</v>
      </c>
      <c r="BD27" s="584" t="str">
        <f>IFERROR(AVERAGEIFS(
'STH Efficacy'!$N:$N, 
'STH Efficacy'!$B:$B, $A27, 
'STH Efficacy'!$C:$C, "Mebendazole",
'STH Efficacy'!$I:$I,"&lt;2016",
'STH Efficacy'!$AH:$AH,""),
"")</f>
        <v/>
      </c>
      <c r="BE27" s="579">
        <f t="shared" si="20"/>
        <v>0.205</v>
      </c>
      <c r="BF27" s="585" t="str">
        <f>IFERROR(AVERAGEIFS(
'STH Efficacy'!$CD:$CD, 
'STH Efficacy'!$BS:$BS, $A27, 
'STH Efficacy'!$BT:$BT, "Albendazole",
'STH Efficacy'!$BZ:$BZ,"&lt;2016",
'STH Efficacy'!$CU:$CU,""),
"")</f>
        <v/>
      </c>
      <c r="BG27" s="580">
        <f t="shared" si="21"/>
        <v>0.83</v>
      </c>
      <c r="BH27" s="585" t="str">
        <f>IFERROR(AVERAGEIFS(
'STH Efficacy'!$CD:$CD, 
'STH Efficacy'!$BS:$BS, $A27, 
'STH Efficacy'!$BT:$BT, "Mebendazole",
'STH Efficacy'!$BZ:$BZ,"&lt;2016",
'STH Efficacy'!$CU:$CU,""),
"")</f>
        <v/>
      </c>
      <c r="BI27" s="580">
        <f t="shared" si="22"/>
        <v>1</v>
      </c>
      <c r="BJ27" s="585" t="str">
        <f>IFERROR(AVERAGEIFS(
'STH Efficacy'!$CD:$CD, 
'STH Efficacy'!$BS:$BS, $A27, 
'STH Efficacy'!$BT:$BT, "Albendazole &amp; Ivermectin",
'STH Efficacy'!$BZ:$BZ,"&lt;2016",
'STH Efficacy'!$CU:$CU,""),
"")</f>
        <v/>
      </c>
      <c r="BK27" s="580">
        <f t="shared" si="23"/>
        <v>0.848</v>
      </c>
      <c r="BL27" s="575" t="str">
        <f>IFERROR(
  AVERAGEIFS(
    'NEW Onchocerciasis Efficacy'!$AO:$AO,
    'NEW Onchocerciasis Efficacy'!$C:$C,$A27,
    'NEW Onchocerciasis Efficacy'!$D:$D,"Ivermectin",
    'NEW Onchocerciasis Efficacy'!$AR:$AR,"&lt;2016",
    'NEW Onchocerciasis Efficacy'!$BG:$BG,"")
,"")</f>
        <v/>
      </c>
      <c r="BM27" s="586">
        <f t="shared" si="24"/>
        <v>0.7808368939</v>
      </c>
      <c r="BN27" s="587">
        <v>0.0</v>
      </c>
      <c r="BO27" s="588">
        <v>0.0</v>
      </c>
      <c r="BP27" s="589">
        <v>0.0</v>
      </c>
      <c r="BQ27" s="590">
        <f t="shared" si="25"/>
        <v>0</v>
      </c>
      <c r="BR27" s="560" t="str">
        <f t="shared" si="26"/>
        <v>0000</v>
      </c>
      <c r="BS27" s="560" t="str">
        <f t="shared" si="27"/>
        <v>no action required</v>
      </c>
      <c r="BT27" s="361" t="str">
        <f t="shared" si="28"/>
        <v/>
      </c>
      <c r="BU27" s="591" t="str">
        <f t="shared" si="29"/>
        <v/>
      </c>
      <c r="BV27" s="560" t="str">
        <f t="shared" si="30"/>
        <v>none</v>
      </c>
      <c r="BW27" s="150" t="str">
        <f t="shared" si="31"/>
        <v/>
      </c>
      <c r="BX27" s="150" t="str">
        <f t="shared" si="32"/>
        <v/>
      </c>
      <c r="BY27" s="151" t="str">
        <f t="shared" si="33"/>
        <v/>
      </c>
      <c r="BZ27" s="152" t="str">
        <f t="shared" si="34"/>
        <v/>
      </c>
      <c r="CA27" s="152" t="str">
        <f t="shared" si="35"/>
        <v/>
      </c>
      <c r="CB27" s="152" t="str">
        <f t="shared" si="36"/>
        <v/>
      </c>
      <c r="CC27" s="153" t="str">
        <f t="shared" si="37"/>
        <v/>
      </c>
      <c r="CD27" s="153" t="str">
        <f t="shared" si="38"/>
        <v/>
      </c>
      <c r="CE27" s="154" t="str">
        <f t="shared" si="39"/>
        <v/>
      </c>
      <c r="CF27" s="154" t="str">
        <f t="shared" si="40"/>
        <v/>
      </c>
      <c r="CG27" s="154" t="str">
        <f t="shared" si="41"/>
        <v/>
      </c>
      <c r="CH27" s="308" t="str">
        <f t="shared" si="42"/>
        <v/>
      </c>
    </row>
    <row r="28">
      <c r="A28" s="599" t="s">
        <v>117</v>
      </c>
      <c r="B28" s="560" t="s">
        <v>98</v>
      </c>
      <c r="C28" s="561">
        <v>1.0724705E7</v>
      </c>
      <c r="D28" s="562">
        <v>0.0</v>
      </c>
      <c r="E28" s="563">
        <v>0.0</v>
      </c>
      <c r="F28" s="564">
        <v>1.240098237</v>
      </c>
      <c r="G28" s="564">
        <v>7.270810258</v>
      </c>
      <c r="H28" s="564">
        <v>41.01971382</v>
      </c>
      <c r="I28" s="565">
        <v>25.98811754</v>
      </c>
      <c r="J28" s="566">
        <v>59.4758351899514</v>
      </c>
      <c r="K28" s="566">
        <v>307.417517208837</v>
      </c>
      <c r="L28" s="567">
        <v>62.39688619</v>
      </c>
      <c r="M28" s="568">
        <v>33.4577991244815</v>
      </c>
      <c r="N28" s="568">
        <v>126.560334967338</v>
      </c>
      <c r="O28" s="569">
        <v>0.0</v>
      </c>
      <c r="P28" s="150"/>
      <c r="Q28" s="150"/>
      <c r="R28" s="571"/>
      <c r="S28" s="116">
        <f t="shared" si="6"/>
        <v>0.6451333333</v>
      </c>
      <c r="T28" s="151"/>
      <c r="U28" s="572">
        <f t="shared" si="7"/>
        <v>0.0025</v>
      </c>
      <c r="V28" s="598"/>
      <c r="W28" s="574">
        <f t="shared" si="8"/>
        <v>0.56882</v>
      </c>
      <c r="X28" s="598"/>
      <c r="Y28" s="574">
        <f t="shared" si="9"/>
        <v>0.5825818182</v>
      </c>
      <c r="Z28" s="308"/>
      <c r="AA28" s="308"/>
      <c r="AB28" s="575" t="str">
        <f t="shared" si="10"/>
        <v/>
      </c>
      <c r="AC28" s="576">
        <f t="shared" si="11"/>
        <v>0.7574216602</v>
      </c>
      <c r="AD28" s="577">
        <v>0.0</v>
      </c>
      <c r="AE28" s="572">
        <v>0.0</v>
      </c>
      <c r="AF28" s="578">
        <v>0.0</v>
      </c>
      <c r="AG28" s="132">
        <v>0.01898670057</v>
      </c>
      <c r="AH28" s="132">
        <v>0.060824023</v>
      </c>
      <c r="AI28" s="579">
        <v>0.005095552654</v>
      </c>
      <c r="AJ28" s="579">
        <v>0.006295486466</v>
      </c>
      <c r="AK28" s="580">
        <v>0.02709943869</v>
      </c>
      <c r="AL28" s="580">
        <v>0.03188360674</v>
      </c>
      <c r="AM28" s="581">
        <v>0.0</v>
      </c>
      <c r="AN28" s="571" t="str">
        <f>IFERROR(
  AVERAGEIFS(
    'New LF Efficacy'!$J:$J,
    'New LF Efficacy'!$D:$D, $A28,
    'New LF Efficacy'!$F:$F,"DEC", 
    'New LF Efficacy'!$W:$W,"&lt;2016",
    'New LF Efficacy'!$AA:$AA,""),
  ""
)</f>
        <v/>
      </c>
      <c r="AO28" s="582">
        <f t="shared" si="12"/>
        <v>0.2589833333</v>
      </c>
      <c r="AP28" s="571" t="str">
        <f>IFERROR(
AVERAGEIFS(
'New LF Efficacy'!$J:$J,
'New LF Efficacy'!$D:$D,$A28,
'New LF Efficacy'!$F:$F,"Albendazole &amp; DEC",
'New LF Efficacy'!$W:$W,"&lt;2016",
'New LF Efficacy'!$AA:$AA,""),
"")</f>
        <v/>
      </c>
      <c r="AQ28" s="582">
        <f t="shared" si="13"/>
        <v>0.3465</v>
      </c>
      <c r="AR28" s="571" t="str">
        <f>IFERROR(
AVERAGEIFS(
'New LF Efficacy'!$J:$J,
'New LF Efficacy'!$D:$D,$A28,
'New LF Efficacy'!$F:$F,"Albendazole &amp; Ivermectin", 
'New LF Efficacy'!$W:$W,"&lt;2016",
'New LF Efficacy'!$AA:$AA,""),"")</f>
        <v/>
      </c>
      <c r="AS28" s="582">
        <f t="shared" si="14"/>
        <v>0.7575</v>
      </c>
      <c r="AT28" s="583" t="str">
        <f>IFERROR(AVERAGEIFS(
'Schist Efficacy'!$O:$O, 
'Schist Efficacy'!$C:$C,$A28, 
'Schist Efficacy'!$D:$D, "Praziquantel",
'Schist Efficacy'!$J:$J,"&lt;2016",
'Schist Efficacy'!$U:$U,""),
"")</f>
        <v/>
      </c>
      <c r="AU28" s="572">
        <f t="shared" si="15"/>
        <v>0.7914761905</v>
      </c>
      <c r="AV28" s="131">
        <f>IFERROR(AVERAGEIFS(
'STH Efficacy'!$AX:$AX, 
'STH Efficacy'!$AL:$AL, $A28, 
'STH Efficacy'!$AM:$AM, "Albendazole",
'STH Efficacy'!$AS:$AS,"&lt;2016",
'STH Efficacy'!$BP:$BP,""),
"")</f>
        <v>0.333</v>
      </c>
      <c r="AW28" s="132">
        <f t="shared" si="16"/>
        <v>0.333</v>
      </c>
      <c r="AX28" s="131">
        <f>IFERROR(AVERAGEIFS(
'STH Efficacy'!$AX:$AX, 
'STH Efficacy'!$AL:$AL, $A28, 
'STH Efficacy'!$AM:$AM, "Mebendazole",
'STH Efficacy'!$AS:$AS,"&lt;2016",
'STH Efficacy'!$BP:$BP,""),
"")</f>
        <v>0.6</v>
      </c>
      <c r="AY28" s="132">
        <f t="shared" si="17"/>
        <v>0.6</v>
      </c>
      <c r="AZ28" s="131" t="str">
        <f>IFERROR(AVERAGEIFS(
'STH Efficacy'!$AX:$AX, 
'STH Efficacy'!$AL:$AL, $A28, 
'STH Efficacy'!$AM:$AM, "Albendazole &amp; Ivermectin",
'STH Efficacy'!$AS:$AS,"&lt;2016",
'STH Efficacy'!$BP:$BP,""),
"")</f>
        <v/>
      </c>
      <c r="BA28" s="303">
        <f t="shared" si="18"/>
        <v>0.796</v>
      </c>
      <c r="BB28" s="584">
        <f>IFERROR(AVERAGEIFS(
'STH Efficacy'!$N:$N, 
'STH Efficacy'!$B:$B, $A28, 
'STH Efficacy'!$C:$C, "Albendazole",
'STH Efficacy'!$I:$I,"&lt;2016",
'STH Efficacy'!$AH:$AH,""),
"")</f>
        <v>0.818</v>
      </c>
      <c r="BC28" s="579">
        <f t="shared" si="19"/>
        <v>0.818</v>
      </c>
      <c r="BD28" s="584">
        <f>IFERROR(AVERAGEIFS(
'STH Efficacy'!$N:$N, 
'STH Efficacy'!$B:$B, $A28, 
'STH Efficacy'!$C:$C, "Mebendazole",
'STH Efficacy'!$I:$I,"&lt;2016",
'STH Efficacy'!$AH:$AH,""),
"")</f>
        <v>0.172</v>
      </c>
      <c r="BE28" s="579">
        <f t="shared" si="20"/>
        <v>0.172</v>
      </c>
      <c r="BF28" s="585" t="str">
        <f>IFERROR(AVERAGEIFS(
'STH Efficacy'!$CD:$CD, 
'STH Efficacy'!$BS:$BS, $A28, 
'STH Efficacy'!$BT:$BT, "Albendazole",
'STH Efficacy'!$BZ:$BZ,"&lt;2016",
'STH Efficacy'!$CU:$CU,""),
"")</f>
        <v/>
      </c>
      <c r="BG28" s="580">
        <f t="shared" si="21"/>
        <v>0.9862</v>
      </c>
      <c r="BH28" s="585" t="str">
        <f>IFERROR(AVERAGEIFS(
'STH Efficacy'!$CD:$CD, 
'STH Efficacy'!$BS:$BS, $A28, 
'STH Efficacy'!$BT:$BT, "Mebendazole",
'STH Efficacy'!$BZ:$BZ,"&lt;2016",
'STH Efficacy'!$CU:$CU,""),
"")</f>
        <v/>
      </c>
      <c r="BI28" s="580">
        <f t="shared" si="22"/>
        <v>0.769</v>
      </c>
      <c r="BJ28" s="585" t="str">
        <f>IFERROR(AVERAGEIFS(
'STH Efficacy'!$CD:$CD, 
'STH Efficacy'!$BS:$BS, $A28, 
'STH Efficacy'!$BT:$BT, "Albendazole &amp; Ivermectin",
'STH Efficacy'!$BZ:$BZ,"&lt;2016",
'STH Efficacy'!$CU:$CU,""),
"")</f>
        <v/>
      </c>
      <c r="BK28" s="580">
        <f t="shared" si="23"/>
        <v>1</v>
      </c>
      <c r="BL28" s="575" t="str">
        <f>IFERROR(
  AVERAGEIFS(
    'NEW Onchocerciasis Efficacy'!$AO:$AO,
    'NEW Onchocerciasis Efficacy'!$C:$C,$A28,
    'NEW Onchocerciasis Efficacy'!$D:$D,"Ivermectin",
    'NEW Onchocerciasis Efficacy'!$AR:$AR,"&lt;2016",
    'NEW Onchocerciasis Efficacy'!$BG:$BG,"")
,"")</f>
        <v/>
      </c>
      <c r="BM28" s="586">
        <f t="shared" si="24"/>
        <v>0.3734</v>
      </c>
      <c r="BN28" s="587">
        <v>0.0</v>
      </c>
      <c r="BO28" s="588">
        <v>0.0</v>
      </c>
      <c r="BP28" s="589">
        <v>0.0</v>
      </c>
      <c r="BQ28" s="590">
        <f t="shared" si="25"/>
        <v>0</v>
      </c>
      <c r="BR28" s="560" t="str">
        <f t="shared" si="26"/>
        <v>0000</v>
      </c>
      <c r="BS28" s="560" t="str">
        <f t="shared" si="27"/>
        <v>no action required</v>
      </c>
      <c r="BT28" s="361" t="str">
        <f t="shared" si="28"/>
        <v/>
      </c>
      <c r="BU28" s="591" t="str">
        <f t="shared" si="29"/>
        <v/>
      </c>
      <c r="BV28" s="560" t="str">
        <f t="shared" si="30"/>
        <v>none</v>
      </c>
      <c r="BW28" s="150" t="str">
        <f t="shared" si="31"/>
        <v/>
      </c>
      <c r="BX28" s="150" t="str">
        <f t="shared" si="32"/>
        <v/>
      </c>
      <c r="BY28" s="151" t="str">
        <f t="shared" si="33"/>
        <v/>
      </c>
      <c r="BZ28" s="152" t="str">
        <f t="shared" si="34"/>
        <v/>
      </c>
      <c r="CA28" s="152" t="str">
        <f t="shared" si="35"/>
        <v/>
      </c>
      <c r="CB28" s="152" t="str">
        <f t="shared" si="36"/>
        <v/>
      </c>
      <c r="CC28" s="153" t="str">
        <f t="shared" si="37"/>
        <v/>
      </c>
      <c r="CD28" s="153" t="str">
        <f t="shared" si="38"/>
        <v/>
      </c>
      <c r="CE28" s="154" t="str">
        <f t="shared" si="39"/>
        <v/>
      </c>
      <c r="CF28" s="154" t="str">
        <f t="shared" si="40"/>
        <v/>
      </c>
      <c r="CG28" s="154" t="str">
        <f t="shared" si="41"/>
        <v/>
      </c>
      <c r="CH28" s="308" t="str">
        <f t="shared" si="42"/>
        <v/>
      </c>
    </row>
    <row r="29">
      <c r="A29" s="599" t="s">
        <v>118</v>
      </c>
      <c r="B29" s="560" t="s">
        <v>98</v>
      </c>
      <c r="C29" s="619"/>
      <c r="D29" s="562"/>
      <c r="E29" s="610"/>
      <c r="F29" s="564"/>
      <c r="G29" s="564"/>
      <c r="H29" s="564"/>
      <c r="I29" s="566"/>
      <c r="J29" s="566"/>
      <c r="K29" s="566"/>
      <c r="L29" s="612"/>
      <c r="M29" s="612"/>
      <c r="N29" s="612"/>
      <c r="O29" s="569">
        <v>0.0</v>
      </c>
      <c r="P29" s="150"/>
      <c r="Q29" s="150"/>
      <c r="R29" s="571"/>
      <c r="S29" s="116">
        <f t="shared" si="6"/>
        <v>0.6451333333</v>
      </c>
      <c r="T29" s="151"/>
      <c r="U29" s="572">
        <f t="shared" si="7"/>
        <v>0.0025</v>
      </c>
      <c r="V29" s="598"/>
      <c r="W29" s="574">
        <f t="shared" si="8"/>
        <v>0.56882</v>
      </c>
      <c r="X29" s="598"/>
      <c r="Y29" s="574">
        <f t="shared" si="9"/>
        <v>0.5825818182</v>
      </c>
      <c r="Z29" s="308"/>
      <c r="AA29" s="308"/>
      <c r="AB29" s="575" t="str">
        <f t="shared" si="10"/>
        <v/>
      </c>
      <c r="AC29" s="576">
        <f t="shared" si="11"/>
        <v>0.7574216602</v>
      </c>
      <c r="AD29" s="571"/>
      <c r="AE29" s="583"/>
      <c r="AF29" s="583"/>
      <c r="AG29" s="131"/>
      <c r="AH29" s="131"/>
      <c r="AI29" s="584"/>
      <c r="AJ29" s="584"/>
      <c r="AK29" s="585"/>
      <c r="AL29" s="585"/>
      <c r="AM29" s="575"/>
      <c r="AN29" s="571" t="str">
        <f>IFERROR(
  AVERAGEIFS(
    'New LF Efficacy'!$J:$J,
    'New LF Efficacy'!$D:$D, $A29,
    'New LF Efficacy'!$F:$F,"DEC", 
    'New LF Efficacy'!$W:$W,"&lt;2016",
    'New LF Efficacy'!$AA:$AA,""),
  ""
)</f>
        <v/>
      </c>
      <c r="AO29" s="582">
        <f t="shared" si="12"/>
        <v>0.2589833333</v>
      </c>
      <c r="AP29" s="571" t="str">
        <f>IFERROR(
AVERAGEIFS(
'New LF Efficacy'!$J:$J,
'New LF Efficacy'!$D:$D,$A29,
'New LF Efficacy'!$F:$F,"Albendazole &amp; DEC",
'New LF Efficacy'!$W:$W,"&lt;2016",
'New LF Efficacy'!$AA:$AA,""),
"")</f>
        <v/>
      </c>
      <c r="AQ29" s="582">
        <f t="shared" si="13"/>
        <v>0.3465</v>
      </c>
      <c r="AR29" s="571" t="str">
        <f>IFERROR(
AVERAGEIFS(
'New LF Efficacy'!$J:$J,
'New LF Efficacy'!$D:$D,$A29,
'New LF Efficacy'!$F:$F,"Albendazole &amp; Ivermectin", 
'New LF Efficacy'!$W:$W,"&lt;2016",
'New LF Efficacy'!$AA:$AA,""),"")</f>
        <v/>
      </c>
      <c r="AS29" s="582">
        <f t="shared" si="14"/>
        <v>0.7575</v>
      </c>
      <c r="AT29" s="583" t="str">
        <f>IFERROR(AVERAGEIFS(
'Schist Efficacy'!$O:$O, 
'Schist Efficacy'!$C:$C,$A29, 
'Schist Efficacy'!$D:$D, "Praziquantel",
'Schist Efficacy'!$J:$J,"&lt;2016",
'Schist Efficacy'!$U:$U,""),
"")</f>
        <v/>
      </c>
      <c r="AU29" s="572">
        <f t="shared" si="15"/>
        <v>0.7914761905</v>
      </c>
      <c r="AV29" s="131" t="str">
        <f>IFERROR(AVERAGEIFS(
'STH Efficacy'!$AX:$AX, 
'STH Efficacy'!$AL:$AL, $A29, 
'STH Efficacy'!$AM:$AM, "Albendazole",
'STH Efficacy'!$AS:$AS,"&lt;2016",
'STH Efficacy'!$BP:$BP,""),
"")</f>
        <v/>
      </c>
      <c r="AW29" s="132">
        <f t="shared" si="16"/>
        <v>0.3945</v>
      </c>
      <c r="AX29" s="131" t="str">
        <f>IFERROR(AVERAGEIFS(
'STH Efficacy'!$AX:$AX, 
'STH Efficacy'!$AL:$AL, $A29, 
'STH Efficacy'!$AM:$AM, "Mebendazole",
'STH Efficacy'!$AS:$AS,"&lt;2016",
'STH Efficacy'!$BP:$BP,""),
"")</f>
        <v/>
      </c>
      <c r="AY29" s="132">
        <f t="shared" si="17"/>
        <v>0.6</v>
      </c>
      <c r="AZ29" s="131" t="str">
        <f>IFERROR(AVERAGEIFS(
'STH Efficacy'!$AX:$AX, 
'STH Efficacy'!$AL:$AL, $A29, 
'STH Efficacy'!$AM:$AM, "Albendazole &amp; Ivermectin",
'STH Efficacy'!$AS:$AS,"&lt;2016",
'STH Efficacy'!$BP:$BP,""),
"")</f>
        <v/>
      </c>
      <c r="BA29" s="303">
        <f t="shared" si="18"/>
        <v>0.796</v>
      </c>
      <c r="BB29" s="584" t="str">
        <f>IFERROR(AVERAGEIFS(
'STH Efficacy'!$N:$N, 
'STH Efficacy'!$B:$B, $A29, 
'STH Efficacy'!$C:$C, "Albendazole",
'STH Efficacy'!$I:$I,"&lt;2016",
'STH Efficacy'!$AH:$AH,""),
"")</f>
        <v/>
      </c>
      <c r="BC29" s="579">
        <f t="shared" si="19"/>
        <v>0.869</v>
      </c>
      <c r="BD29" s="584" t="str">
        <f>IFERROR(AVERAGEIFS(
'STH Efficacy'!$N:$N, 
'STH Efficacy'!$B:$B, $A29, 
'STH Efficacy'!$C:$C, "Mebendazole",
'STH Efficacy'!$I:$I,"&lt;2016",
'STH Efficacy'!$AH:$AH,""),
"")</f>
        <v/>
      </c>
      <c r="BE29" s="579">
        <f t="shared" si="20"/>
        <v>0.172</v>
      </c>
      <c r="BF29" s="585" t="str">
        <f>IFERROR(AVERAGEIFS(
'STH Efficacy'!$CD:$CD, 
'STH Efficacy'!$BS:$BS, $A29, 
'STH Efficacy'!$BT:$BT, "Albendazole",
'STH Efficacy'!$BZ:$BZ,"&lt;2016",
'STH Efficacy'!$CU:$CU,""),
"")</f>
        <v/>
      </c>
      <c r="BG29" s="580">
        <f t="shared" si="21"/>
        <v>0.9862</v>
      </c>
      <c r="BH29" s="585" t="str">
        <f>IFERROR(AVERAGEIFS(
'STH Efficacy'!$CD:$CD, 
'STH Efficacy'!$BS:$BS, $A29, 
'STH Efficacy'!$BT:$BT, "Mebendazole",
'STH Efficacy'!$BZ:$BZ,"&lt;2016",
'STH Efficacy'!$CU:$CU,""),
"")</f>
        <v/>
      </c>
      <c r="BI29" s="580">
        <f t="shared" si="22"/>
        <v>0.769</v>
      </c>
      <c r="BJ29" s="585" t="str">
        <f>IFERROR(AVERAGEIFS(
'STH Efficacy'!$CD:$CD, 
'STH Efficacy'!$BS:$BS, $A29, 
'STH Efficacy'!$BT:$BT, "Albendazole &amp; Ivermectin",
'STH Efficacy'!$BZ:$BZ,"&lt;2016",
'STH Efficacy'!$CU:$CU,""),
"")</f>
        <v/>
      </c>
      <c r="BK29" s="580">
        <f t="shared" si="23"/>
        <v>1</v>
      </c>
      <c r="BL29" s="575" t="str">
        <f>IFERROR(
  AVERAGEIFS(
    'NEW Onchocerciasis Efficacy'!$AO:$AO,
    'NEW Onchocerciasis Efficacy'!$C:$C,$A29,
    'NEW Onchocerciasis Efficacy'!$D:$D,"Ivermectin",
    'NEW Onchocerciasis Efficacy'!$AR:$AR,"&lt;2016",
    'NEW Onchocerciasis Efficacy'!$BG:$BG,"")
,"")</f>
        <v/>
      </c>
      <c r="BM29" s="586">
        <f t="shared" si="24"/>
        <v>0.3734</v>
      </c>
      <c r="BN29" s="587">
        <v>0.0</v>
      </c>
      <c r="BO29" s="588">
        <v>0.0</v>
      </c>
      <c r="BP29" s="589">
        <v>0.0</v>
      </c>
      <c r="BQ29" s="590">
        <f t="shared" si="25"/>
        <v>0</v>
      </c>
      <c r="BR29" s="560" t="str">
        <f t="shared" si="26"/>
        <v>0000</v>
      </c>
      <c r="BS29" s="560" t="str">
        <f t="shared" si="27"/>
        <v>no action required</v>
      </c>
      <c r="BT29" s="361" t="str">
        <f t="shared" si="28"/>
        <v/>
      </c>
      <c r="BU29" s="591" t="str">
        <f t="shared" si="29"/>
        <v/>
      </c>
      <c r="BV29" s="560" t="str">
        <f t="shared" si="30"/>
        <v>none</v>
      </c>
      <c r="BW29" s="150" t="str">
        <f t="shared" si="31"/>
        <v/>
      </c>
      <c r="BX29" s="150" t="str">
        <f t="shared" si="32"/>
        <v/>
      </c>
      <c r="BY29" s="151" t="str">
        <f t="shared" si="33"/>
        <v/>
      </c>
      <c r="BZ29" s="152" t="str">
        <f t="shared" si="34"/>
        <v/>
      </c>
      <c r="CA29" s="152" t="str">
        <f t="shared" si="35"/>
        <v/>
      </c>
      <c r="CB29" s="152" t="str">
        <f t="shared" si="36"/>
        <v/>
      </c>
      <c r="CC29" s="153" t="str">
        <f t="shared" si="37"/>
        <v/>
      </c>
      <c r="CD29" s="153" t="str">
        <f t="shared" si="38"/>
        <v/>
      </c>
      <c r="CE29" s="154" t="str">
        <f t="shared" si="39"/>
        <v/>
      </c>
      <c r="CF29" s="154" t="str">
        <f t="shared" si="40"/>
        <v/>
      </c>
      <c r="CG29" s="154" t="str">
        <f t="shared" si="41"/>
        <v/>
      </c>
      <c r="CH29" s="308" t="str">
        <f t="shared" si="42"/>
        <v/>
      </c>
    </row>
    <row r="30">
      <c r="A30" s="599" t="s">
        <v>119</v>
      </c>
      <c r="B30" s="560" t="s">
        <v>90</v>
      </c>
      <c r="C30" s="561">
        <v>3535961.0</v>
      </c>
      <c r="D30" s="562">
        <v>0.0</v>
      </c>
      <c r="E30" s="563">
        <v>0.0</v>
      </c>
      <c r="F30" s="564">
        <v>0.0</v>
      </c>
      <c r="G30" s="564">
        <v>0.0</v>
      </c>
      <c r="H30" s="564">
        <v>0.0</v>
      </c>
      <c r="I30" s="565">
        <v>0.0</v>
      </c>
      <c r="J30" s="566">
        <v>0.0</v>
      </c>
      <c r="K30" s="566">
        <v>0.0</v>
      </c>
      <c r="L30" s="567">
        <v>0.0</v>
      </c>
      <c r="M30" s="568">
        <v>0.0</v>
      </c>
      <c r="N30" s="568">
        <v>0.0</v>
      </c>
      <c r="O30" s="569">
        <v>0.0</v>
      </c>
      <c r="P30" s="150"/>
      <c r="Q30" s="150"/>
      <c r="R30" s="571"/>
      <c r="S30" s="116">
        <f t="shared" si="6"/>
        <v>0.6648642857</v>
      </c>
      <c r="T30" s="151"/>
      <c r="U30" s="572">
        <f t="shared" si="7"/>
        <v>0.53016</v>
      </c>
      <c r="V30" s="598"/>
      <c r="W30" s="574" t="b">
        <f t="shared" si="8"/>
        <v>0</v>
      </c>
      <c r="X30" s="598"/>
      <c r="Y30" s="574">
        <f t="shared" si="9"/>
        <v>0.631675</v>
      </c>
      <c r="Z30" s="308"/>
      <c r="AA30" s="308"/>
      <c r="AB30" s="575" t="str">
        <f t="shared" si="10"/>
        <v/>
      </c>
      <c r="AC30" s="576">
        <f t="shared" si="11"/>
        <v>0.7192241206</v>
      </c>
      <c r="AD30" s="614">
        <v>0.0</v>
      </c>
      <c r="AE30" s="572">
        <v>0.0</v>
      </c>
      <c r="AF30" s="578">
        <v>0.0</v>
      </c>
      <c r="AG30" s="132">
        <v>0.0</v>
      </c>
      <c r="AH30" s="132">
        <v>0.0</v>
      </c>
      <c r="AI30" s="579">
        <v>0.0</v>
      </c>
      <c r="AJ30" s="579">
        <v>0.0</v>
      </c>
      <c r="AK30" s="580">
        <v>0.0</v>
      </c>
      <c r="AL30" s="580">
        <v>0.0</v>
      </c>
      <c r="AM30" s="581">
        <v>0.0</v>
      </c>
      <c r="AN30" s="571" t="str">
        <f>IFERROR(
  AVERAGEIFS(
    'New LF Efficacy'!$J:$J,
    'New LF Efficacy'!$D:$D, $A30,
    'New LF Efficacy'!$F:$F,"DEC", 
    'New LF Efficacy'!$W:$W,"&lt;2016",
    'New LF Efficacy'!$AA:$AA,""),
  ""
)</f>
        <v/>
      </c>
      <c r="AO30" s="582">
        <f t="shared" si="12"/>
        <v>0.3573520833</v>
      </c>
      <c r="AP30" s="571" t="str">
        <f>IFERROR(
AVERAGEIFS(
'New LF Efficacy'!$J:$J,
'New LF Efficacy'!$D:$D,$A30,
'New LF Efficacy'!$F:$F,"Albendazole &amp; DEC",
'New LF Efficacy'!$W:$W,"&lt;2016",
'New LF Efficacy'!$AA:$AA,""),
"")</f>
        <v/>
      </c>
      <c r="AQ30" s="582">
        <f t="shared" si="13"/>
        <v>0.5143541667</v>
      </c>
      <c r="AR30" s="571" t="str">
        <f>IFERROR(
AVERAGEIFS(
'New LF Efficacy'!$J:$J,
'New LF Efficacy'!$D:$D,$A30,
'New LF Efficacy'!$F:$F,"Albendazole &amp; Ivermectin", 
'New LF Efficacy'!$W:$W,"&lt;2016",
'New LF Efficacy'!$AA:$AA,""),"")</f>
        <v/>
      </c>
      <c r="AS30" s="582">
        <f t="shared" si="14"/>
        <v>0.37153125</v>
      </c>
      <c r="AT30" s="583" t="str">
        <f>IFERROR(AVERAGEIFS(
'Schist Efficacy'!$O:$O, 
'Schist Efficacy'!$C:$C,$A30, 
'Schist Efficacy'!$D:$D, "Praziquantel",
'Schist Efficacy'!$J:$J,"&lt;2016",
'Schist Efficacy'!$U:$U,""),
"")</f>
        <v/>
      </c>
      <c r="AU30" s="572">
        <f t="shared" si="15"/>
        <v>0.655</v>
      </c>
      <c r="AV30" s="131" t="str">
        <f>IFERROR(AVERAGEIFS(
'STH Efficacy'!$AX:$AX, 
'STH Efficacy'!$AL:$AL, $A30, 
'STH Efficacy'!$AM:$AM, "Albendazole",
'STH Efficacy'!$AS:$AS,"&lt;2016",
'STH Efficacy'!$BP:$BP,""),
"")</f>
        <v/>
      </c>
      <c r="AW30" s="132">
        <f t="shared" si="16"/>
        <v>0.4143846154</v>
      </c>
      <c r="AX30" s="131" t="str">
        <f>IFERROR(AVERAGEIFS(
'STH Efficacy'!$AX:$AX, 
'STH Efficacy'!$AL:$AL, $A30, 
'STH Efficacy'!$AM:$AM, "Mebendazole",
'STH Efficacy'!$AS:$AS,"&lt;2016",
'STH Efficacy'!$BP:$BP,""),
"")</f>
        <v/>
      </c>
      <c r="AY30" s="132">
        <f t="shared" si="17"/>
        <v>0.4691770833</v>
      </c>
      <c r="AZ30" s="131" t="str">
        <f>IFERROR(AVERAGEIFS(
'STH Efficacy'!$AX:$AX, 
'STH Efficacy'!$AL:$AL, $A30, 
'STH Efficacy'!$AM:$AM, "Albendazole &amp; Ivermectin",
'STH Efficacy'!$AS:$AS,"&lt;2016",
'STH Efficacy'!$BP:$BP,""),
"")</f>
        <v/>
      </c>
      <c r="BA30" s="303">
        <f t="shared" si="18"/>
        <v>0.597625</v>
      </c>
      <c r="BB30" s="584" t="str">
        <f>IFERROR(AVERAGEIFS(
'STH Efficacy'!$N:$N, 
'STH Efficacy'!$B:$B, $A30, 
'STH Efficacy'!$C:$C, "Albendazole",
'STH Efficacy'!$I:$I,"&lt;2016",
'STH Efficacy'!$AH:$AH,""),
"")</f>
        <v/>
      </c>
      <c r="BC30" s="579">
        <f t="shared" si="19"/>
        <v>0.7613712121</v>
      </c>
      <c r="BD30" s="584" t="str">
        <f>IFERROR(AVERAGEIFS(
'STH Efficacy'!$N:$N, 
'STH Efficacy'!$B:$B, $A30, 
'STH Efficacy'!$C:$C, "Mebendazole",
'STH Efficacy'!$I:$I,"&lt;2016",
'STH Efficacy'!$AH:$AH,""),
"")</f>
        <v/>
      </c>
      <c r="BE30" s="579">
        <f t="shared" si="20"/>
        <v>0.4362466667</v>
      </c>
      <c r="BF30" s="585" t="str">
        <f>IFERROR(AVERAGEIFS(
'STH Efficacy'!$CD:$CD, 
'STH Efficacy'!$BS:$BS, $A30, 
'STH Efficacy'!$BT:$BT, "Albendazole",
'STH Efficacy'!$BZ:$BZ,"&lt;2016",
'STH Efficacy'!$CU:$CU,""),
"")</f>
        <v/>
      </c>
      <c r="BG30" s="580">
        <f t="shared" si="21"/>
        <v>0.9216027778</v>
      </c>
      <c r="BH30" s="585" t="str">
        <f>IFERROR(AVERAGEIFS(
'STH Efficacy'!$CD:$CD, 
'STH Efficacy'!$BS:$BS, $A30, 
'STH Efficacy'!$BT:$BT, "Mebendazole",
'STH Efficacy'!$BZ:$BZ,"&lt;2016",
'STH Efficacy'!$CU:$CU,""),
"")</f>
        <v/>
      </c>
      <c r="BI30" s="580">
        <f t="shared" si="22"/>
        <v>0.8866041667</v>
      </c>
      <c r="BJ30" s="585" t="str">
        <f>IFERROR(AVERAGEIFS(
'STH Efficacy'!$CD:$CD, 
'STH Efficacy'!$BS:$BS, $A30, 
'STH Efficacy'!$BT:$BT, "Albendazole &amp; Ivermectin",
'STH Efficacy'!$BZ:$BZ,"&lt;2016",
'STH Efficacy'!$CU:$CU,""),
"")</f>
        <v/>
      </c>
      <c r="BK30" s="580">
        <f t="shared" si="23"/>
        <v>0.848</v>
      </c>
      <c r="BL30" s="575" t="str">
        <f>IFERROR(
  AVERAGEIFS(
    'NEW Onchocerciasis Efficacy'!$AO:$AO,
    'NEW Onchocerciasis Efficacy'!$C:$C,$A30,
    'NEW Onchocerciasis Efficacy'!$D:$D,"Ivermectin",
    'NEW Onchocerciasis Efficacy'!$AR:$AR,"&lt;2016",
    'NEW Onchocerciasis Efficacy'!$BG:$BG,"")
,"")</f>
        <v/>
      </c>
      <c r="BM30" s="586">
        <f t="shared" si="24"/>
        <v>0.7808368939</v>
      </c>
      <c r="BN30" s="587">
        <v>0.0</v>
      </c>
      <c r="BO30" s="588">
        <v>0.0</v>
      </c>
      <c r="BP30" s="589">
        <v>0.0</v>
      </c>
      <c r="BQ30" s="590">
        <f t="shared" si="25"/>
        <v>0</v>
      </c>
      <c r="BR30" s="560" t="str">
        <f t="shared" si="26"/>
        <v>0000</v>
      </c>
      <c r="BS30" s="560" t="str">
        <f t="shared" si="27"/>
        <v>no action required</v>
      </c>
      <c r="BT30" s="361" t="str">
        <f t="shared" si="28"/>
        <v/>
      </c>
      <c r="BU30" s="591" t="str">
        <f t="shared" si="29"/>
        <v/>
      </c>
      <c r="BV30" s="560" t="str">
        <f t="shared" si="30"/>
        <v>none</v>
      </c>
      <c r="BW30" s="150" t="str">
        <f t="shared" si="31"/>
        <v/>
      </c>
      <c r="BX30" s="150" t="str">
        <f t="shared" si="32"/>
        <v/>
      </c>
      <c r="BY30" s="151" t="str">
        <f t="shared" si="33"/>
        <v/>
      </c>
      <c r="BZ30" s="152" t="str">
        <f t="shared" si="34"/>
        <v/>
      </c>
      <c r="CA30" s="152" t="str">
        <f t="shared" si="35"/>
        <v/>
      </c>
      <c r="CB30" s="152" t="str">
        <f t="shared" si="36"/>
        <v/>
      </c>
      <c r="CC30" s="153" t="str">
        <f t="shared" si="37"/>
        <v/>
      </c>
      <c r="CD30" s="153" t="str">
        <f t="shared" si="38"/>
        <v/>
      </c>
      <c r="CE30" s="154" t="str">
        <f t="shared" si="39"/>
        <v/>
      </c>
      <c r="CF30" s="154" t="str">
        <f t="shared" si="40"/>
        <v/>
      </c>
      <c r="CG30" s="154" t="str">
        <f t="shared" si="41"/>
        <v/>
      </c>
      <c r="CH30" s="308" t="str">
        <f t="shared" si="42"/>
        <v/>
      </c>
    </row>
    <row r="31">
      <c r="A31" s="559" t="s">
        <v>120</v>
      </c>
      <c r="B31" s="560" t="s">
        <v>92</v>
      </c>
      <c r="C31" s="561">
        <v>2209197.0</v>
      </c>
      <c r="D31" s="562">
        <v>0.0</v>
      </c>
      <c r="E31" s="563">
        <v>789.472874082294</v>
      </c>
      <c r="F31" s="564">
        <v>0.0</v>
      </c>
      <c r="G31" s="564">
        <v>0.0</v>
      </c>
      <c r="H31" s="564">
        <v>1.72E-7</v>
      </c>
      <c r="I31" s="565">
        <v>24.65706521</v>
      </c>
      <c r="J31" s="566">
        <v>0.0</v>
      </c>
      <c r="K31" s="566">
        <v>0.0</v>
      </c>
      <c r="L31" s="567">
        <v>2.787271507</v>
      </c>
      <c r="M31" s="568">
        <v>1.13444026448414</v>
      </c>
      <c r="N31" s="568">
        <v>4.49100523328664</v>
      </c>
      <c r="O31" s="569">
        <v>0.0</v>
      </c>
      <c r="P31" s="150"/>
      <c r="Q31" s="150"/>
      <c r="R31" s="571"/>
      <c r="S31" s="116">
        <f t="shared" si="6"/>
        <v>0.6227928571</v>
      </c>
      <c r="T31" s="620" t="s">
        <v>395</v>
      </c>
      <c r="U31" s="621" t="str">
        <f t="shared" si="7"/>
        <v> </v>
      </c>
      <c r="V31" s="573">
        <v>1.0</v>
      </c>
      <c r="W31" s="574">
        <f t="shared" si="8"/>
        <v>1</v>
      </c>
      <c r="X31" s="573">
        <v>0.2322</v>
      </c>
      <c r="Y31" s="574">
        <f t="shared" si="9"/>
        <v>0.2322</v>
      </c>
      <c r="Z31" s="308"/>
      <c r="AA31" s="308"/>
      <c r="AB31" s="575" t="str">
        <f t="shared" si="10"/>
        <v/>
      </c>
      <c r="AC31" s="576">
        <f t="shared" si="11"/>
        <v>0.6507101914</v>
      </c>
      <c r="AD31" s="614">
        <v>0.0</v>
      </c>
      <c r="AE31" s="572">
        <v>0.03993565059</v>
      </c>
      <c r="AF31" s="578">
        <v>0.004190530302</v>
      </c>
      <c r="AG31" s="132">
        <v>0.01345059703</v>
      </c>
      <c r="AH31" s="132">
        <v>0.042926711</v>
      </c>
      <c r="AI31" s="579">
        <v>0.03246226686</v>
      </c>
      <c r="AJ31" s="579">
        <v>0.0397439824</v>
      </c>
      <c r="AK31" s="580">
        <v>0.003499187281</v>
      </c>
      <c r="AL31" s="580">
        <v>0.004069985441</v>
      </c>
      <c r="AM31" s="581">
        <v>0.0</v>
      </c>
      <c r="AN31" s="571" t="str">
        <f>IFERROR(
  AVERAGEIFS(
    'New LF Efficacy'!$J:$J,
    'New LF Efficacy'!$D:$D, $A31,
    'New LF Efficacy'!$F:$F,"DEC", 
    'New LF Efficacy'!$W:$W,"&lt;2016",
    'New LF Efficacy'!$AA:$AA,""),
  ""
)</f>
        <v/>
      </c>
      <c r="AO31" s="582">
        <f t="shared" si="12"/>
        <v>0.31225</v>
      </c>
      <c r="AP31" s="571" t="str">
        <f>IFERROR(
AVERAGEIFS(
'New LF Efficacy'!$J:$J,
'New LF Efficacy'!$D:$D,$A31,
'New LF Efficacy'!$F:$F,"Albendazole &amp; DEC",
'New LF Efficacy'!$W:$W,"&lt;2016",
'New LF Efficacy'!$AA:$AA,""),
"")</f>
        <v/>
      </c>
      <c r="AQ31" s="582">
        <f t="shared" si="13"/>
        <v>0.4</v>
      </c>
      <c r="AR31" s="571" t="str">
        <f>IFERROR(
AVERAGEIFS(
'New LF Efficacy'!$J:$J,
'New LF Efficacy'!$D:$D,$A31,
'New LF Efficacy'!$F:$F,"Albendazole &amp; Ivermectin", 
'New LF Efficacy'!$W:$W,"&lt;2016",
'New LF Efficacy'!$AA:$AA,""),"")</f>
        <v/>
      </c>
      <c r="AS31" s="582">
        <f t="shared" si="14"/>
        <v>0.2943125</v>
      </c>
      <c r="AT31" s="583" t="str">
        <f>IFERROR(AVERAGEIFS(
'Schist Efficacy'!$O:$O, 
'Schist Efficacy'!$C:$C,$A31, 
'Schist Efficacy'!$D:$D, "Praziquantel",
'Schist Efficacy'!$J:$J,"&lt;2016",
'Schist Efficacy'!$U:$U,""),
"")</f>
        <v/>
      </c>
      <c r="AU31" s="572">
        <f t="shared" si="15"/>
        <v>0.7206464759</v>
      </c>
      <c r="AV31" s="131" t="str">
        <f>IFERROR(AVERAGEIFS(
'STH Efficacy'!$AX:$AX, 
'STH Efficacy'!$AL:$AL, $A31, 
'STH Efficacy'!$AM:$AM, "Albendazole",
'STH Efficacy'!$AS:$AS,"&lt;2016",
'STH Efficacy'!$BP:$BP,""),
"")</f>
        <v/>
      </c>
      <c r="AW31" s="132">
        <f t="shared" si="16"/>
        <v>0.3816333333</v>
      </c>
      <c r="AX31" s="131" t="str">
        <f>IFERROR(AVERAGEIFS(
'STH Efficacy'!$AX:$AX, 
'STH Efficacy'!$AL:$AL, $A31, 
'STH Efficacy'!$AM:$AM, "Mebendazole",
'STH Efficacy'!$AS:$AS,"&lt;2016",
'STH Efficacy'!$BP:$BP,""),
"")</f>
        <v/>
      </c>
      <c r="AY31" s="132">
        <f t="shared" si="17"/>
        <v>0.4859375</v>
      </c>
      <c r="AZ31" s="131" t="str">
        <f>IFERROR(AVERAGEIFS(
'STH Efficacy'!$AX:$AX, 
'STH Efficacy'!$AL:$AL, $A31, 
'STH Efficacy'!$AM:$AM, "Albendazole &amp; Ivermectin",
'STH Efficacy'!$AS:$AS,"&lt;2016",
'STH Efficacy'!$BP:$BP,""),
"")</f>
        <v/>
      </c>
      <c r="BA31" s="303">
        <f t="shared" si="18"/>
        <v>0.47175</v>
      </c>
      <c r="BB31" s="584" t="str">
        <f>IFERROR(AVERAGEIFS(
'STH Efficacy'!$N:$N, 
'STH Efficacy'!$B:$B, $A31, 
'STH Efficacy'!$C:$C, "Albendazole",
'STH Efficacy'!$I:$I,"&lt;2016",
'STH Efficacy'!$AH:$AH,""),
"")</f>
        <v/>
      </c>
      <c r="BC31" s="579">
        <f t="shared" si="19"/>
        <v>0.8699166667</v>
      </c>
      <c r="BD31" s="584" t="str">
        <f>IFERROR(AVERAGEIFS(
'STH Efficacy'!$N:$N, 
'STH Efficacy'!$B:$B, $A31, 
'STH Efficacy'!$C:$C, "Mebendazole",
'STH Efficacy'!$I:$I,"&lt;2016",
'STH Efficacy'!$AH:$AH,""),
"")</f>
        <v/>
      </c>
      <c r="BE31" s="579">
        <f t="shared" si="20"/>
        <v>0.7092416667</v>
      </c>
      <c r="BF31" s="585" t="str">
        <f>IFERROR(AVERAGEIFS(
'STH Efficacy'!$CD:$CD, 
'STH Efficacy'!$BS:$BS, $A31, 
'STH Efficacy'!$BT:$BT, "Albendazole",
'STH Efficacy'!$BZ:$BZ,"&lt;2016",
'STH Efficacy'!$CU:$CU,""),
"")</f>
        <v/>
      </c>
      <c r="BG31" s="580">
        <f t="shared" si="21"/>
        <v>0.9066666667</v>
      </c>
      <c r="BH31" s="585" t="str">
        <f>IFERROR(AVERAGEIFS(
'STH Efficacy'!$CD:$CD, 
'STH Efficacy'!$BS:$BS, $A31, 
'STH Efficacy'!$BT:$BT, "Mebendazole",
'STH Efficacy'!$BZ:$BZ,"&lt;2016",
'STH Efficacy'!$CU:$CU,""),
"")</f>
        <v/>
      </c>
      <c r="BI31" s="580">
        <f t="shared" si="22"/>
        <v>0.8483333333</v>
      </c>
      <c r="BJ31" s="585" t="str">
        <f>IFERROR(AVERAGEIFS(
'STH Efficacy'!$CD:$CD, 
'STH Efficacy'!$BS:$BS, $A31, 
'STH Efficacy'!$BT:$BT, "Albendazole &amp; Ivermectin",
'STH Efficacy'!$BZ:$BZ,"&lt;2016",
'STH Efficacy'!$CU:$CU,""),
"")</f>
        <v/>
      </c>
      <c r="BK31" s="580">
        <f t="shared" si="23"/>
        <v>0.696</v>
      </c>
      <c r="BL31" s="575" t="str">
        <f>IFERROR(
  AVERAGEIFS(
    'NEW Onchocerciasis Efficacy'!$AO:$AO,
    'NEW Onchocerciasis Efficacy'!$C:$C,$A31,
    'NEW Onchocerciasis Efficacy'!$D:$D,"Ivermectin",
    'NEW Onchocerciasis Efficacy'!$AR:$AR,"&lt;2016",
    'NEW Onchocerciasis Efficacy'!$BG:$BG,"")
,"")</f>
        <v/>
      </c>
      <c r="BM31" s="586">
        <f t="shared" si="24"/>
        <v>0.8390421645</v>
      </c>
      <c r="BN31" s="587">
        <v>0.0</v>
      </c>
      <c r="BO31" s="588">
        <v>1.0</v>
      </c>
      <c r="BP31" s="589">
        <v>1.0</v>
      </c>
      <c r="BQ31" s="590">
        <f t="shared" si="25"/>
        <v>0</v>
      </c>
      <c r="BR31" s="560" t="str">
        <f t="shared" si="26"/>
        <v>0110</v>
      </c>
      <c r="BS31" s="560" t="str">
        <f t="shared" si="27"/>
        <v>MDA3+T2</v>
      </c>
      <c r="BT31" s="606" t="str">
        <f t="shared" si="28"/>
        <v>IVM</v>
      </c>
      <c r="BU31" s="560" t="str">
        <f t="shared" si="29"/>
        <v>PZQ</v>
      </c>
      <c r="BV31" s="560" t="str">
        <f t="shared" si="30"/>
        <v>onch+schist</v>
      </c>
      <c r="BW31" s="150" t="str">
        <f t="shared" si="31"/>
        <v/>
      </c>
      <c r="BX31" s="150" t="str">
        <f t="shared" si="32"/>
        <v/>
      </c>
      <c r="BY31" s="151" t="str">
        <f t="shared" si="33"/>
        <v/>
      </c>
      <c r="BZ31" s="152" t="str">
        <f t="shared" si="34"/>
        <v/>
      </c>
      <c r="CA31" s="152" t="str">
        <f t="shared" si="35"/>
        <v/>
      </c>
      <c r="CB31" s="152" t="str">
        <f t="shared" si="36"/>
        <v/>
      </c>
      <c r="CC31" s="153" t="str">
        <f t="shared" si="37"/>
        <v/>
      </c>
      <c r="CD31" s="153" t="str">
        <f t="shared" si="38"/>
        <v/>
      </c>
      <c r="CE31" s="154" t="str">
        <f t="shared" si="39"/>
        <v/>
      </c>
      <c r="CF31" s="154" t="str">
        <f t="shared" si="40"/>
        <v/>
      </c>
      <c r="CG31" s="154" t="str">
        <f t="shared" si="41"/>
        <v/>
      </c>
      <c r="CH31" s="609">
        <f t="shared" si="42"/>
        <v>0</v>
      </c>
    </row>
    <row r="32">
      <c r="A32" s="559" t="s">
        <v>121</v>
      </c>
      <c r="B32" s="560" t="s">
        <v>98</v>
      </c>
      <c r="C32" s="561">
        <v>2.05962108E8</v>
      </c>
      <c r="D32" s="562">
        <v>1.106525271</v>
      </c>
      <c r="E32" s="563">
        <v>79049.6767873471</v>
      </c>
      <c r="F32" s="564">
        <v>86.31181869</v>
      </c>
      <c r="G32" s="564">
        <v>736.112504</v>
      </c>
      <c r="H32" s="564">
        <v>3249.723189</v>
      </c>
      <c r="I32" s="565">
        <v>314.0193388</v>
      </c>
      <c r="J32" s="566">
        <v>108.19972539209</v>
      </c>
      <c r="K32" s="566">
        <v>683.483368057147</v>
      </c>
      <c r="L32" s="567">
        <v>545.0788956</v>
      </c>
      <c r="M32" s="568">
        <v>952.388654326064</v>
      </c>
      <c r="N32" s="568">
        <v>3681.62630819172</v>
      </c>
      <c r="O32" s="569">
        <v>0.0</v>
      </c>
      <c r="P32" s="601">
        <v>72.2621279191</v>
      </c>
      <c r="Q32" s="150" t="s">
        <v>395</v>
      </c>
      <c r="R32" s="150" t="s">
        <v>395</v>
      </c>
      <c r="S32" s="116" t="str">
        <f t="shared" si="6"/>
        <v> </v>
      </c>
      <c r="T32" s="572">
        <v>0.0025</v>
      </c>
      <c r="U32" s="572">
        <f t="shared" si="7"/>
        <v>0.0025</v>
      </c>
      <c r="V32" s="598"/>
      <c r="W32" s="574">
        <f t="shared" si="8"/>
        <v>0.56882</v>
      </c>
      <c r="X32" s="573">
        <v>0.7528</v>
      </c>
      <c r="Y32" s="574">
        <f t="shared" si="9"/>
        <v>0.7528</v>
      </c>
      <c r="Z32" s="604">
        <v>15475.0</v>
      </c>
      <c r="AA32" s="604">
        <v>11460.0</v>
      </c>
      <c r="AB32" s="576">
        <f t="shared" si="10"/>
        <v>0.740549273</v>
      </c>
      <c r="AC32" s="576">
        <f t="shared" si="11"/>
        <v>0.740549273</v>
      </c>
      <c r="AD32" s="577">
        <v>3.53E-7</v>
      </c>
      <c r="AE32" s="572">
        <v>0.04438072667</v>
      </c>
      <c r="AF32" s="578">
        <v>6.492390009E-4</v>
      </c>
      <c r="AG32" s="132">
        <v>0.0162481078</v>
      </c>
      <c r="AH32" s="132">
        <v>0.050074137</v>
      </c>
      <c r="AI32" s="579">
        <v>0.01091142649</v>
      </c>
      <c r="AJ32" s="579">
        <v>0.01273935144</v>
      </c>
      <c r="AK32" s="580">
        <v>0.02098122175</v>
      </c>
      <c r="AL32" s="580">
        <v>0.02373517401</v>
      </c>
      <c r="AM32" s="581">
        <v>0.0</v>
      </c>
      <c r="AN32" s="571">
        <f>IFERROR(
  AVERAGEIFS(
    'New LF Efficacy'!$J:$J,
    'New LF Efficacy'!$D:$D, $A32,
    'New LF Efficacy'!$F:$F,"DEC", 
    'New LF Efficacy'!$W:$W,"&lt;2016",
    'New LF Efficacy'!$AA:$AA,""),
  ""
)</f>
        <v>0.426</v>
      </c>
      <c r="AO32" s="582">
        <f t="shared" si="12"/>
        <v>0.426</v>
      </c>
      <c r="AP32" s="571">
        <f>IFERROR(
AVERAGEIFS(
'New LF Efficacy'!$J:$J,
'New LF Efficacy'!$D:$D,$A32,
'New LF Efficacy'!$F:$F,"Albendazole &amp; DEC",
'New LF Efficacy'!$W:$W,"&lt;2016",
'New LF Efficacy'!$AA:$AA,""),
"")</f>
        <v>0.579</v>
      </c>
      <c r="AQ32" s="582">
        <f t="shared" si="13"/>
        <v>0.579</v>
      </c>
      <c r="AR32" s="571" t="str">
        <f>IFERROR(
AVERAGEIFS(
'New LF Efficacy'!$J:$J,
'New LF Efficacy'!$D:$D,$A32,
'New LF Efficacy'!$F:$F,"Albendazole &amp; Ivermectin", 
'New LF Efficacy'!$W:$W,"&lt;2016",
'New LF Efficacy'!$AA:$AA,""),"")</f>
        <v/>
      </c>
      <c r="AS32" s="582">
        <f t="shared" si="14"/>
        <v>0.7575</v>
      </c>
      <c r="AT32" s="583">
        <f>IFERROR(AVERAGEIFS(
'Schist Efficacy'!$O:$O, 
'Schist Efficacy'!$C:$C,$A32, 
'Schist Efficacy'!$D:$D, "Praziquantel",
'Schist Efficacy'!$J:$J,"&lt;2016",
'Schist Efficacy'!$U:$U,""),
"")</f>
        <v>0.7914761905</v>
      </c>
      <c r="AU32" s="572">
        <f t="shared" si="15"/>
        <v>0.7914761905</v>
      </c>
      <c r="AV32" s="131" t="str">
        <f>IFERROR(AVERAGEIFS(
'STH Efficacy'!$AX:$AX, 
'STH Efficacy'!$AL:$AL, $A32, 
'STH Efficacy'!$AM:$AM, "Albendazole",
'STH Efficacy'!$AS:$AS,"&lt;2016",
'STH Efficacy'!$BP:$BP,""),
"")</f>
        <v/>
      </c>
      <c r="AW32" s="132">
        <f t="shared" si="16"/>
        <v>0.3945</v>
      </c>
      <c r="AX32" s="131" t="str">
        <f>IFERROR(AVERAGEIFS(
'STH Efficacy'!$AX:$AX, 
'STH Efficacy'!$AL:$AL, $A32, 
'STH Efficacy'!$AM:$AM, "Mebendazole",
'STH Efficacy'!$AS:$AS,"&lt;2016",
'STH Efficacy'!$BP:$BP,""),
"")</f>
        <v/>
      </c>
      <c r="AY32" s="132">
        <f t="shared" si="17"/>
        <v>0.6</v>
      </c>
      <c r="AZ32" s="131" t="str">
        <f>IFERROR(AVERAGEIFS(
'STH Efficacy'!$AX:$AX, 
'STH Efficacy'!$AL:$AL, $A32, 
'STH Efficacy'!$AM:$AM, "Albendazole &amp; Ivermectin",
'STH Efficacy'!$AS:$AS,"&lt;2016",
'STH Efficacy'!$BP:$BP,""),
"")</f>
        <v/>
      </c>
      <c r="BA32" s="303">
        <f t="shared" si="18"/>
        <v>0.796</v>
      </c>
      <c r="BB32" s="584" t="str">
        <f>IFERROR(AVERAGEIFS(
'STH Efficacy'!$N:$N, 
'STH Efficacy'!$B:$B, $A32, 
'STH Efficacy'!$C:$C, "Albendazole",
'STH Efficacy'!$I:$I,"&lt;2016",
'STH Efficacy'!$AH:$AH,""),
"")</f>
        <v/>
      </c>
      <c r="BC32" s="579">
        <f t="shared" si="19"/>
        <v>0.869</v>
      </c>
      <c r="BD32" s="584" t="str">
        <f>IFERROR(AVERAGEIFS(
'STH Efficacy'!$N:$N, 
'STH Efficacy'!$B:$B, $A32, 
'STH Efficacy'!$C:$C, "Mebendazole",
'STH Efficacy'!$I:$I,"&lt;2016",
'STH Efficacy'!$AH:$AH,""),
"")</f>
        <v/>
      </c>
      <c r="BE32" s="579">
        <f t="shared" si="20"/>
        <v>0.172</v>
      </c>
      <c r="BF32" s="585" t="str">
        <f>IFERROR(AVERAGEIFS(
'STH Efficacy'!$CD:$CD, 
'STH Efficacy'!$BS:$BS, $A32, 
'STH Efficacy'!$BT:$BT, "Albendazole",
'STH Efficacy'!$BZ:$BZ,"&lt;2016",
'STH Efficacy'!$CU:$CU,""),
"")</f>
        <v/>
      </c>
      <c r="BG32" s="580">
        <f t="shared" si="21"/>
        <v>0.9862</v>
      </c>
      <c r="BH32" s="585" t="str">
        <f>IFERROR(AVERAGEIFS(
'STH Efficacy'!$CD:$CD, 
'STH Efficacy'!$BS:$BS, $A32, 
'STH Efficacy'!$BT:$BT, "Mebendazole",
'STH Efficacy'!$BZ:$BZ,"&lt;2016",
'STH Efficacy'!$CU:$CU,""),
"")</f>
        <v/>
      </c>
      <c r="BI32" s="580">
        <f t="shared" si="22"/>
        <v>0.769</v>
      </c>
      <c r="BJ32" s="585" t="str">
        <f>IFERROR(AVERAGEIFS(
'STH Efficacy'!$CD:$CD, 
'STH Efficacy'!$BS:$BS, $A32, 
'STH Efficacy'!$BT:$BT, "Albendazole &amp; Ivermectin",
'STH Efficacy'!$BZ:$BZ,"&lt;2016",
'STH Efficacy'!$CU:$CU,""),
"")</f>
        <v/>
      </c>
      <c r="BK32" s="580">
        <f t="shared" si="23"/>
        <v>1</v>
      </c>
      <c r="BL32" s="575" t="str">
        <f>IFERROR(
  AVERAGEIFS(
    'NEW Onchocerciasis Efficacy'!$AO:$AO,
    'NEW Onchocerciasis Efficacy'!$C:$C,$A32,
    'NEW Onchocerciasis Efficacy'!$D:$D,"Ivermectin",
    'NEW Onchocerciasis Efficacy'!$AR:$AR,"&lt;2016",
    'NEW Onchocerciasis Efficacy'!$BG:$BG,"")
,"")</f>
        <v/>
      </c>
      <c r="BM32" s="586">
        <f t="shared" si="24"/>
        <v>0.3734</v>
      </c>
      <c r="BN32" s="587">
        <v>1.0</v>
      </c>
      <c r="BO32" s="588">
        <v>1.0</v>
      </c>
      <c r="BP32" s="589">
        <v>1.0</v>
      </c>
      <c r="BQ32" s="590">
        <f t="shared" si="25"/>
        <v>0</v>
      </c>
      <c r="BR32" s="560" t="str">
        <f t="shared" si="26"/>
        <v>1110</v>
      </c>
      <c r="BS32" s="560" t="str">
        <f t="shared" si="27"/>
        <v>MDA1+T2</v>
      </c>
      <c r="BT32" s="606" t="str">
        <f t="shared" si="28"/>
        <v>IVM+ALB</v>
      </c>
      <c r="BU32" s="560" t="str">
        <f t="shared" si="29"/>
        <v>PZQ</v>
      </c>
      <c r="BV32" s="560" t="str">
        <f t="shared" si="30"/>
        <v>lf+onch+schist </v>
      </c>
      <c r="BW32" s="150" t="str">
        <f t="shared" si="31"/>
        <v/>
      </c>
      <c r="BX32" s="150" t="str">
        <f t="shared" si="32"/>
        <v/>
      </c>
      <c r="BY32" s="608">
        <f t="shared" si="33"/>
        <v>156.7249528</v>
      </c>
      <c r="BZ32" s="152" t="str">
        <f t="shared" si="34"/>
        <v/>
      </c>
      <c r="CA32" s="152" t="str">
        <f t="shared" si="35"/>
        <v/>
      </c>
      <c r="CB32" s="152" t="str">
        <f t="shared" si="36"/>
        <v/>
      </c>
      <c r="CC32" s="153" t="str">
        <f t="shared" si="37"/>
        <v/>
      </c>
      <c r="CD32" s="153" t="str">
        <f t="shared" si="38"/>
        <v/>
      </c>
      <c r="CE32" s="154" t="str">
        <f t="shared" si="39"/>
        <v/>
      </c>
      <c r="CF32" s="154" t="str">
        <f t="shared" si="40"/>
        <v/>
      </c>
      <c r="CG32" s="154" t="str">
        <f t="shared" si="41"/>
        <v/>
      </c>
      <c r="CH32" s="609">
        <f t="shared" si="42"/>
        <v>0</v>
      </c>
    </row>
    <row r="33">
      <c r="A33" s="599" t="s">
        <v>122</v>
      </c>
      <c r="B33" s="560" t="s">
        <v>98</v>
      </c>
      <c r="C33" s="561">
        <v>30113.0</v>
      </c>
      <c r="D33" s="562"/>
      <c r="E33" s="610"/>
      <c r="F33" s="611"/>
      <c r="G33" s="611"/>
      <c r="H33" s="611"/>
      <c r="I33" s="622"/>
      <c r="J33" s="622"/>
      <c r="K33" s="622"/>
      <c r="L33" s="612"/>
      <c r="M33" s="612"/>
      <c r="N33" s="612"/>
      <c r="O33" s="308"/>
      <c r="P33" s="150"/>
      <c r="Q33" s="150"/>
      <c r="R33" s="571"/>
      <c r="S33" s="116">
        <f t="shared" si="6"/>
        <v>0.6451333333</v>
      </c>
      <c r="T33" s="151"/>
      <c r="U33" s="572">
        <f t="shared" si="7"/>
        <v>0.0025</v>
      </c>
      <c r="V33" s="598"/>
      <c r="W33" s="574">
        <f t="shared" si="8"/>
        <v>0.56882</v>
      </c>
      <c r="X33" s="598"/>
      <c r="Y33" s="574">
        <f t="shared" si="9"/>
        <v>0.5825818182</v>
      </c>
      <c r="Z33" s="308"/>
      <c r="AA33" s="308"/>
      <c r="AB33" s="575" t="str">
        <f t="shared" si="10"/>
        <v/>
      </c>
      <c r="AC33" s="576">
        <f t="shared" si="11"/>
        <v>0.7574216602</v>
      </c>
      <c r="AD33" s="571"/>
      <c r="AE33" s="583"/>
      <c r="AF33" s="583"/>
      <c r="AG33" s="131"/>
      <c r="AH33" s="131"/>
      <c r="AI33" s="584"/>
      <c r="AJ33" s="584"/>
      <c r="AK33" s="585"/>
      <c r="AL33" s="585"/>
      <c r="AM33" s="575"/>
      <c r="AN33" s="571" t="str">
        <f>IFERROR(
  AVERAGEIFS(
    'New LF Efficacy'!$J:$J,
    'New LF Efficacy'!$D:$D, $A33,
    'New LF Efficacy'!$F:$F,"DEC", 
    'New LF Efficacy'!$W:$W,"&lt;2016",
    'New LF Efficacy'!$AA:$AA,""),
  ""
)</f>
        <v/>
      </c>
      <c r="AO33" s="582">
        <f t="shared" si="12"/>
        <v>0.2589833333</v>
      </c>
      <c r="AP33" s="571" t="str">
        <f>IFERROR(
AVERAGEIFS(
'New LF Efficacy'!$J:$J,
'New LF Efficacy'!$D:$D,$A33,
'New LF Efficacy'!$F:$F,"Albendazole &amp; DEC",
'New LF Efficacy'!$W:$W,"&lt;2016",
'New LF Efficacy'!$AA:$AA,""),
"")</f>
        <v/>
      </c>
      <c r="AQ33" s="582">
        <f t="shared" si="13"/>
        <v>0.3465</v>
      </c>
      <c r="AR33" s="571" t="str">
        <f>IFERROR(
AVERAGEIFS(
'New LF Efficacy'!$J:$J,
'New LF Efficacy'!$D:$D,$A33,
'New LF Efficacy'!$F:$F,"Albendazole &amp; Ivermectin", 
'New LF Efficacy'!$W:$W,"&lt;2016",
'New LF Efficacy'!$AA:$AA,""),"")</f>
        <v/>
      </c>
      <c r="AS33" s="582">
        <f t="shared" si="14"/>
        <v>0.7575</v>
      </c>
      <c r="AT33" s="583" t="str">
        <f>IFERROR(AVERAGEIFS(
'Schist Efficacy'!$O:$O, 
'Schist Efficacy'!$C:$C,$A33, 
'Schist Efficacy'!$D:$D, "Praziquantel",
'Schist Efficacy'!$J:$J,"&lt;2016",
'Schist Efficacy'!$U:$U,""),
"")</f>
        <v/>
      </c>
      <c r="AU33" s="572">
        <f t="shared" si="15"/>
        <v>0.7914761905</v>
      </c>
      <c r="AV33" s="131" t="str">
        <f>IFERROR(AVERAGEIFS(
'STH Efficacy'!$AX:$AX, 
'STH Efficacy'!$AL:$AL, $A33, 
'STH Efficacy'!$AM:$AM, "Albendazole",
'STH Efficacy'!$AS:$AS,"&lt;2016",
'STH Efficacy'!$BP:$BP,""),
"")</f>
        <v/>
      </c>
      <c r="AW33" s="132">
        <f t="shared" si="16"/>
        <v>0.3945</v>
      </c>
      <c r="AX33" s="131" t="str">
        <f>IFERROR(AVERAGEIFS(
'STH Efficacy'!$AX:$AX, 
'STH Efficacy'!$AL:$AL, $A33, 
'STH Efficacy'!$AM:$AM, "Mebendazole",
'STH Efficacy'!$AS:$AS,"&lt;2016",
'STH Efficacy'!$BP:$BP,""),
"")</f>
        <v/>
      </c>
      <c r="AY33" s="132">
        <f t="shared" si="17"/>
        <v>0.6</v>
      </c>
      <c r="AZ33" s="131" t="str">
        <f>IFERROR(AVERAGEIFS(
'STH Efficacy'!$AX:$AX, 
'STH Efficacy'!$AL:$AL, $A33, 
'STH Efficacy'!$AM:$AM, "Albendazole &amp; Ivermectin",
'STH Efficacy'!$AS:$AS,"&lt;2016",
'STH Efficacy'!$BP:$BP,""),
"")</f>
        <v/>
      </c>
      <c r="BA33" s="303">
        <f t="shared" si="18"/>
        <v>0.796</v>
      </c>
      <c r="BB33" s="584" t="str">
        <f>IFERROR(AVERAGEIFS(
'STH Efficacy'!$N:$N, 
'STH Efficacy'!$B:$B, $A33, 
'STH Efficacy'!$C:$C, "Albendazole",
'STH Efficacy'!$I:$I,"&lt;2016",
'STH Efficacy'!$AH:$AH,""),
"")</f>
        <v/>
      </c>
      <c r="BC33" s="579">
        <f t="shared" si="19"/>
        <v>0.869</v>
      </c>
      <c r="BD33" s="584" t="str">
        <f>IFERROR(AVERAGEIFS(
'STH Efficacy'!$N:$N, 
'STH Efficacy'!$B:$B, $A33, 
'STH Efficacy'!$C:$C, "Mebendazole",
'STH Efficacy'!$I:$I,"&lt;2016",
'STH Efficacy'!$AH:$AH,""),
"")</f>
        <v/>
      </c>
      <c r="BE33" s="579">
        <f t="shared" si="20"/>
        <v>0.172</v>
      </c>
      <c r="BF33" s="585" t="str">
        <f>IFERROR(AVERAGEIFS(
'STH Efficacy'!$CD:$CD, 
'STH Efficacy'!$BS:$BS, $A33, 
'STH Efficacy'!$BT:$BT, "Albendazole",
'STH Efficacy'!$BZ:$BZ,"&lt;2016",
'STH Efficacy'!$CU:$CU,""),
"")</f>
        <v/>
      </c>
      <c r="BG33" s="580">
        <f t="shared" si="21"/>
        <v>0.9862</v>
      </c>
      <c r="BH33" s="585" t="str">
        <f>IFERROR(AVERAGEIFS(
'STH Efficacy'!$CD:$CD, 
'STH Efficacy'!$BS:$BS, $A33, 
'STH Efficacy'!$BT:$BT, "Mebendazole",
'STH Efficacy'!$BZ:$BZ,"&lt;2016",
'STH Efficacy'!$CU:$CU,""),
"")</f>
        <v/>
      </c>
      <c r="BI33" s="580">
        <f t="shared" si="22"/>
        <v>0.769</v>
      </c>
      <c r="BJ33" s="585" t="str">
        <f>IFERROR(AVERAGEIFS(
'STH Efficacy'!$CD:$CD, 
'STH Efficacy'!$BS:$BS, $A33, 
'STH Efficacy'!$BT:$BT, "Albendazole &amp; Ivermectin",
'STH Efficacy'!$BZ:$BZ,"&lt;2016",
'STH Efficacy'!$CU:$CU,""),
"")</f>
        <v/>
      </c>
      <c r="BK33" s="580">
        <f t="shared" si="23"/>
        <v>1</v>
      </c>
      <c r="BL33" s="575" t="str">
        <f>IFERROR(
  AVERAGEIFS(
    'NEW Onchocerciasis Efficacy'!$AO:$AO,
    'NEW Onchocerciasis Efficacy'!$C:$C,$A33,
    'NEW Onchocerciasis Efficacy'!$D:$D,"Ivermectin",
    'NEW Onchocerciasis Efficacy'!$AR:$AR,"&lt;2016",
    'NEW Onchocerciasis Efficacy'!$BG:$BG,"")
,"")</f>
        <v/>
      </c>
      <c r="BM33" s="586">
        <f t="shared" si="24"/>
        <v>0.3734</v>
      </c>
      <c r="BN33" s="587">
        <v>0.0</v>
      </c>
      <c r="BO33" s="588">
        <v>0.0</v>
      </c>
      <c r="BP33" s="589">
        <v>0.0</v>
      </c>
      <c r="BQ33" s="590">
        <f t="shared" si="25"/>
        <v>0</v>
      </c>
      <c r="BR33" s="560" t="str">
        <f t="shared" si="26"/>
        <v>0000</v>
      </c>
      <c r="BS33" s="560" t="str">
        <f t="shared" si="27"/>
        <v>no action required</v>
      </c>
      <c r="BT33" s="361" t="str">
        <f t="shared" si="28"/>
        <v/>
      </c>
      <c r="BU33" s="591" t="str">
        <f t="shared" si="29"/>
        <v/>
      </c>
      <c r="BV33" s="560" t="str">
        <f t="shared" si="30"/>
        <v>none</v>
      </c>
      <c r="BW33" s="150" t="str">
        <f t="shared" si="31"/>
        <v/>
      </c>
      <c r="BX33" s="150" t="str">
        <f t="shared" si="32"/>
        <v/>
      </c>
      <c r="BY33" s="151" t="str">
        <f t="shared" si="33"/>
        <v/>
      </c>
      <c r="BZ33" s="152" t="str">
        <f t="shared" si="34"/>
        <v/>
      </c>
      <c r="CA33" s="152" t="str">
        <f t="shared" si="35"/>
        <v/>
      </c>
      <c r="CB33" s="152" t="str">
        <f t="shared" si="36"/>
        <v/>
      </c>
      <c r="CC33" s="153" t="str">
        <f t="shared" si="37"/>
        <v/>
      </c>
      <c r="CD33" s="153" t="str">
        <f t="shared" si="38"/>
        <v/>
      </c>
      <c r="CE33" s="154" t="str">
        <f t="shared" si="39"/>
        <v/>
      </c>
      <c r="CF33" s="154" t="str">
        <f t="shared" si="40"/>
        <v/>
      </c>
      <c r="CG33" s="154" t="str">
        <f t="shared" si="41"/>
        <v/>
      </c>
      <c r="CH33" s="308" t="str">
        <f t="shared" si="42"/>
        <v/>
      </c>
    </row>
    <row r="34">
      <c r="A34" s="559" t="s">
        <v>123</v>
      </c>
      <c r="B34" s="560" t="s">
        <v>94</v>
      </c>
      <c r="C34" s="561">
        <v>417542.0</v>
      </c>
      <c r="D34" s="562">
        <v>13.94540099</v>
      </c>
      <c r="E34" s="563">
        <v>0.0</v>
      </c>
      <c r="F34" s="564">
        <v>0.0</v>
      </c>
      <c r="G34" s="564">
        <v>0.0</v>
      </c>
      <c r="H34" s="564">
        <v>0.0</v>
      </c>
      <c r="I34" s="565">
        <v>0.0</v>
      </c>
      <c r="J34" s="566"/>
      <c r="K34" s="566"/>
      <c r="L34" s="567">
        <v>0.160239116</v>
      </c>
      <c r="M34" s="568">
        <v>0.128449087207527</v>
      </c>
      <c r="N34" s="568">
        <v>0.486898246112147</v>
      </c>
      <c r="O34" s="569">
        <v>0.0</v>
      </c>
      <c r="P34" s="601">
        <v>63.0</v>
      </c>
      <c r="Q34" s="150" t="s">
        <v>395</v>
      </c>
      <c r="R34" s="150" t="s">
        <v>395</v>
      </c>
      <c r="S34" s="116" t="str">
        <f t="shared" si="6"/>
        <v> </v>
      </c>
      <c r="T34" s="151"/>
      <c r="U34" s="572">
        <f t="shared" si="7"/>
        <v>0.7834666667</v>
      </c>
      <c r="V34" s="598"/>
      <c r="W34" s="574">
        <f t="shared" si="8"/>
        <v>0.3593777778</v>
      </c>
      <c r="X34" s="598"/>
      <c r="Y34" s="574">
        <f t="shared" si="9"/>
        <v>0.5347375</v>
      </c>
      <c r="Z34" s="308"/>
      <c r="AA34" s="308"/>
      <c r="AB34" s="575" t="str">
        <f t="shared" si="10"/>
        <v/>
      </c>
      <c r="AC34" s="576">
        <f t="shared" si="11"/>
        <v>0.7192241206</v>
      </c>
      <c r="AD34" s="577">
        <v>0.001580698677</v>
      </c>
      <c r="AE34" s="572">
        <v>0.0</v>
      </c>
      <c r="AF34" s="583">
        <v>0.0</v>
      </c>
      <c r="AG34" s="133">
        <v>0.0</v>
      </c>
      <c r="AH34" s="133">
        <v>0.0</v>
      </c>
      <c r="AI34" s="623">
        <v>0.0</v>
      </c>
      <c r="AJ34" s="623">
        <v>0.0</v>
      </c>
      <c r="AK34" s="624">
        <v>0.0</v>
      </c>
      <c r="AL34" s="624">
        <v>0.0</v>
      </c>
      <c r="AM34" s="581">
        <v>0.0</v>
      </c>
      <c r="AN34" s="571" t="str">
        <f>IFERROR(
  AVERAGEIFS(
    'New LF Efficacy'!$J:$J,
    'New LF Efficacy'!$D:$D, $A34,
    'New LF Efficacy'!$F:$F,"DEC", 
    'New LF Efficacy'!$W:$W,"&lt;2016",
    'New LF Efficacy'!$AA:$AA,""),
  ""
)</f>
        <v/>
      </c>
      <c r="AO34" s="582">
        <f t="shared" si="12"/>
        <v>0.38</v>
      </c>
      <c r="AP34" s="571" t="str">
        <f>IFERROR(
AVERAGEIFS(
'New LF Efficacy'!$J:$J,
'New LF Efficacy'!$D:$D,$A34,
'New LF Efficacy'!$F:$F,"Albendazole &amp; DEC",
'New LF Efficacy'!$W:$W,"&lt;2016",
'New LF Efficacy'!$AA:$AA,""),
"")</f>
        <v/>
      </c>
      <c r="AQ34" s="582">
        <f t="shared" si="13"/>
        <v>0.662</v>
      </c>
      <c r="AR34" s="571" t="str">
        <f>IFERROR(
AVERAGEIFS(
'New LF Efficacy'!$J:$J,
'New LF Efficacy'!$D:$D,$A34,
'New LF Efficacy'!$F:$F,"Albendazole &amp; Ivermectin", 
'New LF Efficacy'!$W:$W,"&lt;2016",
'New LF Efficacy'!$AA:$AA,""),"")</f>
        <v/>
      </c>
      <c r="AS34" s="582">
        <f t="shared" si="14"/>
        <v>0.37153125</v>
      </c>
      <c r="AT34" s="583" t="str">
        <f>IFERROR(AVERAGEIFS(
'Schist Efficacy'!$O:$O, 
'Schist Efficacy'!$C:$C,$A34, 
'Schist Efficacy'!$D:$D, "Praziquantel",
'Schist Efficacy'!$J:$J,"&lt;2016",
'Schist Efficacy'!$U:$U,""),
"")</f>
        <v/>
      </c>
      <c r="AU34" s="572">
        <f t="shared" si="15"/>
        <v>0.9475</v>
      </c>
      <c r="AV34" s="131" t="str">
        <f>IFERROR(AVERAGEIFS(
'STH Efficacy'!$AX:$AX, 
'STH Efficacy'!$AL:$AL, $A34, 
'STH Efficacy'!$AM:$AM, "Albendazole",
'STH Efficacy'!$AS:$AS,"&lt;2016",
'STH Efficacy'!$BP:$BP,""),
"")</f>
        <v/>
      </c>
      <c r="AW34" s="132">
        <f t="shared" si="16"/>
        <v>0.3571666667</v>
      </c>
      <c r="AX34" s="131" t="str">
        <f>IFERROR(AVERAGEIFS(
'STH Efficacy'!$AX:$AX, 
'STH Efficacy'!$AL:$AL, $A34, 
'STH Efficacy'!$AM:$AM, "Mebendazole",
'STH Efficacy'!$AS:$AS,"&lt;2016",
'STH Efficacy'!$BP:$BP,""),
"")</f>
        <v/>
      </c>
      <c r="AY34" s="132">
        <f t="shared" si="17"/>
        <v>0.4155</v>
      </c>
      <c r="AZ34" s="131" t="str">
        <f>IFERROR(AVERAGEIFS(
'STH Efficacy'!$AX:$AX, 
'STH Efficacy'!$AL:$AL, $A34, 
'STH Efficacy'!$AM:$AM, "Albendazole &amp; Ivermectin",
'STH Efficacy'!$AS:$AS,"&lt;2016",
'STH Efficacy'!$BP:$BP,""),
"")</f>
        <v/>
      </c>
      <c r="BA34" s="303">
        <f t="shared" si="18"/>
        <v>0.651</v>
      </c>
      <c r="BB34" s="584" t="str">
        <f>IFERROR(AVERAGEIFS(
'STH Efficacy'!$N:$N, 
'STH Efficacy'!$B:$B, $A34, 
'STH Efficacy'!$C:$C, "Albendazole",
'STH Efficacy'!$I:$I,"&lt;2016",
'STH Efficacy'!$AH:$AH,""),
"")</f>
        <v/>
      </c>
      <c r="BC34" s="579">
        <f t="shared" si="19"/>
        <v>0.5769166667</v>
      </c>
      <c r="BD34" s="584" t="str">
        <f>IFERROR(AVERAGEIFS(
'STH Efficacy'!$N:$N, 
'STH Efficacy'!$B:$B, $A34, 
'STH Efficacy'!$C:$C, "Mebendazole",
'STH Efficacy'!$I:$I,"&lt;2016",
'STH Efficacy'!$AH:$AH,""),
"")</f>
        <v/>
      </c>
      <c r="BE34" s="579">
        <f t="shared" si="20"/>
        <v>0.3145</v>
      </c>
      <c r="BF34" s="585" t="str">
        <f>IFERROR(AVERAGEIFS(
'STH Efficacy'!$CD:$CD, 
'STH Efficacy'!$BS:$BS, $A34, 
'STH Efficacy'!$BT:$BT, "Albendazole",
'STH Efficacy'!$BZ:$BZ,"&lt;2016",
'STH Efficacy'!$CU:$CU,""),
"")</f>
        <v/>
      </c>
      <c r="BG34" s="580">
        <f t="shared" si="21"/>
        <v>0.96925</v>
      </c>
      <c r="BH34" s="585" t="str">
        <f>IFERROR(AVERAGEIFS(
'STH Efficacy'!$CD:$CD, 
'STH Efficacy'!$BS:$BS, $A34, 
'STH Efficacy'!$BT:$BT, "Mebendazole",
'STH Efficacy'!$BZ:$BZ,"&lt;2016",
'STH Efficacy'!$CU:$CU,""),
"")</f>
        <v/>
      </c>
      <c r="BI34" s="580">
        <f t="shared" si="22"/>
        <v>0.9305</v>
      </c>
      <c r="BJ34" s="585" t="str">
        <f>IFERROR(AVERAGEIFS(
'STH Efficacy'!$CD:$CD, 
'STH Efficacy'!$BS:$BS, $A34, 
'STH Efficacy'!$BT:$BT, "Albendazole &amp; Ivermectin",
'STH Efficacy'!$BZ:$BZ,"&lt;2016",
'STH Efficacy'!$CU:$CU,""),
"")</f>
        <v/>
      </c>
      <c r="BK34" s="580">
        <f t="shared" si="23"/>
        <v>0.848</v>
      </c>
      <c r="BL34" s="575" t="str">
        <f>IFERROR(
  AVERAGEIFS(
    'NEW Onchocerciasis Efficacy'!$AO:$AO,
    'NEW Onchocerciasis Efficacy'!$C:$C,$A34,
    'NEW Onchocerciasis Efficacy'!$D:$D,"Ivermectin",
    'NEW Onchocerciasis Efficacy'!$AR:$AR,"&lt;2016",
    'NEW Onchocerciasis Efficacy'!$BG:$BG,"")
,"")</f>
        <v/>
      </c>
      <c r="BM34" s="586">
        <f t="shared" si="24"/>
        <v>0.7808368939</v>
      </c>
      <c r="BN34" s="587">
        <v>1.0</v>
      </c>
      <c r="BO34" s="588">
        <v>0.0</v>
      </c>
      <c r="BP34" s="589">
        <v>0.0</v>
      </c>
      <c r="BQ34" s="590">
        <f t="shared" si="25"/>
        <v>0</v>
      </c>
      <c r="BR34" s="560" t="str">
        <f t="shared" si="26"/>
        <v>1000</v>
      </c>
      <c r="BS34" s="560" t="str">
        <f t="shared" si="27"/>
        <v>MDA1/2</v>
      </c>
      <c r="BT34" s="606" t="str">
        <f t="shared" si="28"/>
        <v>IVM+ALB or DEC+ALB</v>
      </c>
      <c r="BU34" s="591" t="str">
        <f t="shared" si="29"/>
        <v/>
      </c>
      <c r="BV34" s="560" t="str">
        <f t="shared" si="30"/>
        <v>lf only</v>
      </c>
      <c r="BW34" s="150" t="str">
        <f t="shared" si="31"/>
        <v/>
      </c>
      <c r="BX34" s="150" t="str">
        <f t="shared" si="32"/>
        <v/>
      </c>
      <c r="BY34" s="151" t="str">
        <f t="shared" si="33"/>
        <v/>
      </c>
      <c r="BZ34" s="152" t="str">
        <f t="shared" si="34"/>
        <v/>
      </c>
      <c r="CA34" s="152" t="str">
        <f t="shared" si="35"/>
        <v/>
      </c>
      <c r="CB34" s="152" t="str">
        <f t="shared" si="36"/>
        <v/>
      </c>
      <c r="CC34" s="153" t="str">
        <f t="shared" si="37"/>
        <v/>
      </c>
      <c r="CD34" s="153" t="str">
        <f t="shared" si="38"/>
        <v/>
      </c>
      <c r="CE34" s="154" t="str">
        <f t="shared" si="39"/>
        <v/>
      </c>
      <c r="CF34" s="154" t="str">
        <f t="shared" si="40"/>
        <v/>
      </c>
      <c r="CG34" s="154" t="str">
        <f t="shared" si="41"/>
        <v/>
      </c>
      <c r="CH34" s="308" t="str">
        <f t="shared" si="42"/>
        <v/>
      </c>
    </row>
    <row r="35">
      <c r="A35" s="559" t="s">
        <v>124</v>
      </c>
      <c r="B35" s="560" t="s">
        <v>90</v>
      </c>
      <c r="C35" s="561">
        <v>7177991.0</v>
      </c>
      <c r="D35" s="562">
        <v>0.0</v>
      </c>
      <c r="E35" s="563">
        <v>0.0</v>
      </c>
      <c r="F35" s="564">
        <v>0.0</v>
      </c>
      <c r="G35" s="564">
        <v>0.0</v>
      </c>
      <c r="H35" s="564">
        <v>0.0</v>
      </c>
      <c r="I35" s="565">
        <v>0.0</v>
      </c>
      <c r="J35" s="566">
        <v>0.0</v>
      </c>
      <c r="K35" s="566">
        <v>0.0</v>
      </c>
      <c r="L35" s="567">
        <v>0.0</v>
      </c>
      <c r="M35" s="568">
        <v>0.0</v>
      </c>
      <c r="N35" s="568">
        <v>0.0</v>
      </c>
      <c r="O35" s="569">
        <v>0.0</v>
      </c>
      <c r="P35" s="570"/>
      <c r="Q35" s="150"/>
      <c r="R35" s="571"/>
      <c r="S35" s="116">
        <f t="shared" si="6"/>
        <v>0.6648642857</v>
      </c>
      <c r="T35" s="151"/>
      <c r="U35" s="572">
        <f t="shared" si="7"/>
        <v>0.53016</v>
      </c>
      <c r="V35" s="598"/>
      <c r="W35" s="574" t="b">
        <f t="shared" si="8"/>
        <v>0</v>
      </c>
      <c r="X35" s="598"/>
      <c r="Y35" s="574">
        <f t="shared" si="9"/>
        <v>0.631675</v>
      </c>
      <c r="Z35" s="308"/>
      <c r="AA35" s="308"/>
      <c r="AB35" s="575" t="str">
        <f t="shared" si="10"/>
        <v/>
      </c>
      <c r="AC35" s="576">
        <f t="shared" si="11"/>
        <v>0.7192241206</v>
      </c>
      <c r="AD35" s="577">
        <v>0.0</v>
      </c>
      <c r="AE35" s="572">
        <v>0.0</v>
      </c>
      <c r="AF35" s="578">
        <v>0.0</v>
      </c>
      <c r="AG35" s="132">
        <v>0.0</v>
      </c>
      <c r="AH35" s="132">
        <v>0.0</v>
      </c>
      <c r="AI35" s="579">
        <v>0.0</v>
      </c>
      <c r="AJ35" s="579">
        <v>0.0</v>
      </c>
      <c r="AK35" s="580">
        <v>0.0</v>
      </c>
      <c r="AL35" s="580">
        <v>0.0</v>
      </c>
      <c r="AM35" s="581">
        <v>0.0</v>
      </c>
      <c r="AN35" s="571" t="str">
        <f>IFERROR(
  AVERAGEIFS(
    'New LF Efficacy'!$J:$J,
    'New LF Efficacy'!$D:$D, $A35,
    'New LF Efficacy'!$F:$F,"DEC", 
    'New LF Efficacy'!$W:$W,"&lt;2016",
    'New LF Efficacy'!$AA:$AA,""),
  ""
)</f>
        <v/>
      </c>
      <c r="AO35" s="582">
        <f t="shared" si="12"/>
        <v>0.3573520833</v>
      </c>
      <c r="AP35" s="571" t="str">
        <f>IFERROR(
AVERAGEIFS(
'New LF Efficacy'!$J:$J,
'New LF Efficacy'!$D:$D,$A35,
'New LF Efficacy'!$F:$F,"Albendazole &amp; DEC",
'New LF Efficacy'!$W:$W,"&lt;2016",
'New LF Efficacy'!$AA:$AA,""),
"")</f>
        <v/>
      </c>
      <c r="AQ35" s="582">
        <f t="shared" si="13"/>
        <v>0.5143541667</v>
      </c>
      <c r="AR35" s="571" t="str">
        <f>IFERROR(
AVERAGEIFS(
'New LF Efficacy'!$J:$J,
'New LF Efficacy'!$D:$D,$A35,
'New LF Efficacy'!$F:$F,"Albendazole &amp; Ivermectin", 
'New LF Efficacy'!$W:$W,"&lt;2016",
'New LF Efficacy'!$AA:$AA,""),"")</f>
        <v/>
      </c>
      <c r="AS35" s="582">
        <f t="shared" si="14"/>
        <v>0.37153125</v>
      </c>
      <c r="AT35" s="583" t="str">
        <f>IFERROR(AVERAGEIFS(
'Schist Efficacy'!$O:$O, 
'Schist Efficacy'!$C:$C,$A35, 
'Schist Efficacy'!$D:$D, "Praziquantel",
'Schist Efficacy'!$J:$J,"&lt;2016",
'Schist Efficacy'!$U:$U,""),
"")</f>
        <v/>
      </c>
      <c r="AU35" s="572">
        <f t="shared" si="15"/>
        <v>0.655</v>
      </c>
      <c r="AV35" s="131" t="str">
        <f>IFERROR(AVERAGEIFS(
'STH Efficacy'!$AX:$AX, 
'STH Efficacy'!$AL:$AL, $A35, 
'STH Efficacy'!$AM:$AM, "Albendazole",
'STH Efficacy'!$AS:$AS,"&lt;2016",
'STH Efficacy'!$BP:$BP,""),
"")</f>
        <v/>
      </c>
      <c r="AW35" s="132">
        <f t="shared" si="16"/>
        <v>0.4143846154</v>
      </c>
      <c r="AX35" s="131" t="str">
        <f>IFERROR(AVERAGEIFS(
'STH Efficacy'!$AX:$AX, 
'STH Efficacy'!$AL:$AL, $A35, 
'STH Efficacy'!$AM:$AM, "Mebendazole",
'STH Efficacy'!$AS:$AS,"&lt;2016",
'STH Efficacy'!$BP:$BP,""),
"")</f>
        <v/>
      </c>
      <c r="AY35" s="132">
        <f t="shared" si="17"/>
        <v>0.4691770833</v>
      </c>
      <c r="AZ35" s="131" t="str">
        <f>IFERROR(AVERAGEIFS(
'STH Efficacy'!$AX:$AX, 
'STH Efficacy'!$AL:$AL, $A35, 
'STH Efficacy'!$AM:$AM, "Albendazole &amp; Ivermectin",
'STH Efficacy'!$AS:$AS,"&lt;2016",
'STH Efficacy'!$BP:$BP,""),
"")</f>
        <v/>
      </c>
      <c r="BA35" s="303">
        <f t="shared" si="18"/>
        <v>0.597625</v>
      </c>
      <c r="BB35" s="584" t="str">
        <f>IFERROR(AVERAGEIFS(
'STH Efficacy'!$N:$N, 
'STH Efficacy'!$B:$B, $A35, 
'STH Efficacy'!$C:$C, "Albendazole",
'STH Efficacy'!$I:$I,"&lt;2016",
'STH Efficacy'!$AH:$AH,""),
"")</f>
        <v/>
      </c>
      <c r="BC35" s="579">
        <f t="shared" si="19"/>
        <v>0.7613712121</v>
      </c>
      <c r="BD35" s="584" t="str">
        <f>IFERROR(AVERAGEIFS(
'STH Efficacy'!$N:$N, 
'STH Efficacy'!$B:$B, $A35, 
'STH Efficacy'!$C:$C, "Mebendazole",
'STH Efficacy'!$I:$I,"&lt;2016",
'STH Efficacy'!$AH:$AH,""),
"")</f>
        <v/>
      </c>
      <c r="BE35" s="579">
        <f t="shared" si="20"/>
        <v>0.4362466667</v>
      </c>
      <c r="BF35" s="585" t="str">
        <f>IFERROR(AVERAGEIFS(
'STH Efficacy'!$CD:$CD, 
'STH Efficacy'!$BS:$BS, $A35, 
'STH Efficacy'!$BT:$BT, "Albendazole",
'STH Efficacy'!$BZ:$BZ,"&lt;2016",
'STH Efficacy'!$CU:$CU,""),
"")</f>
        <v/>
      </c>
      <c r="BG35" s="580">
        <f t="shared" si="21"/>
        <v>0.9216027778</v>
      </c>
      <c r="BH35" s="585" t="str">
        <f>IFERROR(AVERAGEIFS(
'STH Efficacy'!$CD:$CD, 
'STH Efficacy'!$BS:$BS, $A35, 
'STH Efficacy'!$BT:$BT, "Mebendazole",
'STH Efficacy'!$BZ:$BZ,"&lt;2016",
'STH Efficacy'!$CU:$CU,""),
"")</f>
        <v/>
      </c>
      <c r="BI35" s="580">
        <f t="shared" si="22"/>
        <v>0.8866041667</v>
      </c>
      <c r="BJ35" s="585" t="str">
        <f>IFERROR(AVERAGEIFS(
'STH Efficacy'!$CD:$CD, 
'STH Efficacy'!$BS:$BS, $A35, 
'STH Efficacy'!$BT:$BT, "Albendazole &amp; Ivermectin",
'STH Efficacy'!$BZ:$BZ,"&lt;2016",
'STH Efficacy'!$CU:$CU,""),
"")</f>
        <v/>
      </c>
      <c r="BK35" s="580">
        <f t="shared" si="23"/>
        <v>0.848</v>
      </c>
      <c r="BL35" s="575" t="str">
        <f>IFERROR(
  AVERAGEIFS(
    'NEW Onchocerciasis Efficacy'!$AO:$AO,
    'NEW Onchocerciasis Efficacy'!$C:$C,$A35,
    'NEW Onchocerciasis Efficacy'!$D:$D,"Ivermectin",
    'NEW Onchocerciasis Efficacy'!$AR:$AR,"&lt;2016",
    'NEW Onchocerciasis Efficacy'!$BG:$BG,"")
,"")</f>
        <v/>
      </c>
      <c r="BM35" s="586">
        <f t="shared" si="24"/>
        <v>0.7808368939</v>
      </c>
      <c r="BN35" s="587">
        <v>0.0</v>
      </c>
      <c r="BO35" s="588">
        <v>0.0</v>
      </c>
      <c r="BP35" s="589">
        <v>0.0</v>
      </c>
      <c r="BQ35" s="590">
        <f t="shared" si="25"/>
        <v>0</v>
      </c>
      <c r="BR35" s="560" t="str">
        <f t="shared" si="26"/>
        <v>0000</v>
      </c>
      <c r="BS35" s="560" t="str">
        <f t="shared" si="27"/>
        <v>no action required</v>
      </c>
      <c r="BT35" s="361" t="str">
        <f t="shared" si="28"/>
        <v/>
      </c>
      <c r="BU35" s="591" t="str">
        <f t="shared" si="29"/>
        <v/>
      </c>
      <c r="BV35" s="560" t="str">
        <f t="shared" si="30"/>
        <v>none</v>
      </c>
      <c r="BW35" s="150" t="str">
        <f t="shared" si="31"/>
        <v/>
      </c>
      <c r="BX35" s="150" t="str">
        <f t="shared" si="32"/>
        <v/>
      </c>
      <c r="BY35" s="151" t="str">
        <f t="shared" si="33"/>
        <v/>
      </c>
      <c r="BZ35" s="152" t="str">
        <f t="shared" si="34"/>
        <v/>
      </c>
      <c r="CA35" s="152" t="str">
        <f t="shared" si="35"/>
        <v/>
      </c>
      <c r="CB35" s="152" t="str">
        <f t="shared" si="36"/>
        <v/>
      </c>
      <c r="CC35" s="153" t="str">
        <f t="shared" si="37"/>
        <v/>
      </c>
      <c r="CD35" s="153" t="str">
        <f t="shared" si="38"/>
        <v/>
      </c>
      <c r="CE35" s="154" t="str">
        <f t="shared" si="39"/>
        <v/>
      </c>
      <c r="CF35" s="154" t="str">
        <f t="shared" si="40"/>
        <v/>
      </c>
      <c r="CG35" s="154" t="str">
        <f t="shared" si="41"/>
        <v/>
      </c>
      <c r="CH35" s="308" t="str">
        <f t="shared" si="42"/>
        <v/>
      </c>
    </row>
    <row r="36">
      <c r="A36" s="559" t="s">
        <v>125</v>
      </c>
      <c r="B36" s="560" t="s">
        <v>92</v>
      </c>
      <c r="C36" s="561">
        <v>1.8110624E7</v>
      </c>
      <c r="D36" s="562">
        <v>37535.20466</v>
      </c>
      <c r="E36" s="563">
        <v>14272.9541402591</v>
      </c>
      <c r="F36" s="564">
        <v>5.61E-5</v>
      </c>
      <c r="G36" s="564">
        <v>5.65101E-4</v>
      </c>
      <c r="H36" s="564">
        <v>0.00175602</v>
      </c>
      <c r="I36" s="565">
        <v>377.9701126</v>
      </c>
      <c r="J36" s="566">
        <v>1091.37015700735</v>
      </c>
      <c r="K36" s="566">
        <v>3531.07220805195</v>
      </c>
      <c r="L36" s="567">
        <v>1039.629185</v>
      </c>
      <c r="M36" s="568">
        <v>66.3628372263064</v>
      </c>
      <c r="N36" s="568">
        <v>1131.77728457371</v>
      </c>
      <c r="O36" s="569">
        <v>72.9</v>
      </c>
      <c r="P36" s="601" t="s">
        <v>396</v>
      </c>
      <c r="Q36" s="618">
        <v>4229398.0</v>
      </c>
      <c r="R36" s="603">
        <v>0.7648</v>
      </c>
      <c r="S36" s="116">
        <f t="shared" si="6"/>
        <v>0.7648</v>
      </c>
      <c r="T36" s="572">
        <v>0.9259</v>
      </c>
      <c r="U36" s="572">
        <f t="shared" si="7"/>
        <v>0.9259</v>
      </c>
      <c r="V36" s="598"/>
      <c r="W36" s="574">
        <f t="shared" si="8"/>
        <v>0.7605133333</v>
      </c>
      <c r="X36" s="613"/>
      <c r="Y36" s="574">
        <f t="shared" si="9"/>
        <v>0.6822424242</v>
      </c>
      <c r="Z36" s="604">
        <v>260001.0</v>
      </c>
      <c r="AA36" s="604">
        <v>230153.0</v>
      </c>
      <c r="AB36" s="576">
        <f t="shared" si="10"/>
        <v>0.8852004415</v>
      </c>
      <c r="AC36" s="576">
        <f t="shared" si="11"/>
        <v>0.8852004415</v>
      </c>
      <c r="AD36" s="577">
        <v>0.02541029427</v>
      </c>
      <c r="AE36" s="572">
        <v>0.01266877174</v>
      </c>
      <c r="AF36" s="578">
        <v>0.002382329851</v>
      </c>
      <c r="AG36" s="132">
        <v>0.018243242</v>
      </c>
      <c r="AH36" s="132">
        <v>0.060882191</v>
      </c>
      <c r="AI36" s="579">
        <v>0.05383698371</v>
      </c>
      <c r="AJ36" s="579">
        <v>0.06924078919</v>
      </c>
      <c r="AK36" s="580">
        <v>0.1528246097</v>
      </c>
      <c r="AL36" s="580">
        <v>0.1872543034</v>
      </c>
      <c r="AM36" s="581">
        <v>1.310839416E-5</v>
      </c>
      <c r="AN36" s="571" t="str">
        <f>IFERROR(
  AVERAGEIFS(
    'New LF Efficacy'!$J:$J,
    'New LF Efficacy'!$D:$D, $A36,
    'New LF Efficacy'!$F:$F,"DEC", 
    'New LF Efficacy'!$W:$W,"&lt;2016",
    'New LF Efficacy'!$AA:$AA,""),
  ""
)</f>
        <v/>
      </c>
      <c r="AO36" s="582">
        <f t="shared" si="12"/>
        <v>0.31225</v>
      </c>
      <c r="AP36" s="571" t="str">
        <f>IFERROR(
AVERAGEIFS(
'New LF Efficacy'!$J:$J,
'New LF Efficacy'!$D:$D,$A36,
'New LF Efficacy'!$F:$F,"Albendazole &amp; DEC",
'New LF Efficacy'!$W:$W,"&lt;2016",
'New LF Efficacy'!$AA:$AA,""),
"")</f>
        <v/>
      </c>
      <c r="AQ36" s="582">
        <f t="shared" si="13"/>
        <v>0.4</v>
      </c>
      <c r="AR36" s="571" t="str">
        <f>IFERROR(
AVERAGEIFS(
'New LF Efficacy'!$J:$J,
'New LF Efficacy'!$D:$D,$A36,
'New LF Efficacy'!$F:$F,"Albendazole &amp; Ivermectin", 
'New LF Efficacy'!$W:$W,"&lt;2016",
'New LF Efficacy'!$AA:$AA,""),"")</f>
        <v/>
      </c>
      <c r="AS36" s="582">
        <f t="shared" si="14"/>
        <v>0.2943125</v>
      </c>
      <c r="AT36" s="583" t="str">
        <f>IFERROR(AVERAGEIFS(
'Schist Efficacy'!$O:$O, 
'Schist Efficacy'!$C:$C,$A36, 
'Schist Efficacy'!$D:$D, "Praziquantel",
'Schist Efficacy'!$J:$J,"&lt;2016",
'Schist Efficacy'!$U:$U,""),
"")</f>
        <v/>
      </c>
      <c r="AU36" s="572">
        <f t="shared" si="15"/>
        <v>0.7206464759</v>
      </c>
      <c r="AV36" s="131" t="str">
        <f>IFERROR(AVERAGEIFS(
'STH Efficacy'!$AX:$AX, 
'STH Efficacy'!$AL:$AL, $A36, 
'STH Efficacy'!$AM:$AM, "Albendazole",
'STH Efficacy'!$AS:$AS,"&lt;2016",
'STH Efficacy'!$BP:$BP,""),
"")</f>
        <v/>
      </c>
      <c r="AW36" s="132">
        <f t="shared" si="16"/>
        <v>0.3816333333</v>
      </c>
      <c r="AX36" s="131" t="str">
        <f>IFERROR(AVERAGEIFS(
'STH Efficacy'!$AX:$AX, 
'STH Efficacy'!$AL:$AL, $A36, 
'STH Efficacy'!$AM:$AM, "Mebendazole",
'STH Efficacy'!$AS:$AS,"&lt;2016",
'STH Efficacy'!$BP:$BP,""),
"")</f>
        <v/>
      </c>
      <c r="AY36" s="132">
        <f t="shared" si="17"/>
        <v>0.4859375</v>
      </c>
      <c r="AZ36" s="131" t="str">
        <f>IFERROR(AVERAGEIFS(
'STH Efficacy'!$AX:$AX, 
'STH Efficacy'!$AL:$AL, $A36, 
'STH Efficacy'!$AM:$AM, "Albendazole &amp; Ivermectin",
'STH Efficacy'!$AS:$AS,"&lt;2016",
'STH Efficacy'!$BP:$BP,""),
"")</f>
        <v/>
      </c>
      <c r="BA36" s="303">
        <f t="shared" si="18"/>
        <v>0.47175</v>
      </c>
      <c r="BB36" s="584" t="str">
        <f>IFERROR(AVERAGEIFS(
'STH Efficacy'!$N:$N, 
'STH Efficacy'!$B:$B, $A36, 
'STH Efficacy'!$C:$C, "Albendazole",
'STH Efficacy'!$I:$I,"&lt;2016",
'STH Efficacy'!$AH:$AH,""),
"")</f>
        <v/>
      </c>
      <c r="BC36" s="579">
        <f t="shared" si="19"/>
        <v>0.8699166667</v>
      </c>
      <c r="BD36" s="584" t="str">
        <f>IFERROR(AVERAGEIFS(
'STH Efficacy'!$N:$N, 
'STH Efficacy'!$B:$B, $A36, 
'STH Efficacy'!$C:$C, "Mebendazole",
'STH Efficacy'!$I:$I,"&lt;2016",
'STH Efficacy'!$AH:$AH,""),
"")</f>
        <v/>
      </c>
      <c r="BE36" s="579">
        <f t="shared" si="20"/>
        <v>0.7092416667</v>
      </c>
      <c r="BF36" s="585" t="str">
        <f>IFERROR(AVERAGEIFS(
'STH Efficacy'!$CD:$CD, 
'STH Efficacy'!$BS:$BS, $A36, 
'STH Efficacy'!$BT:$BT, "Albendazole",
'STH Efficacy'!$BZ:$BZ,"&lt;2016",
'STH Efficacy'!$CU:$CU,""),
"")</f>
        <v/>
      </c>
      <c r="BG36" s="580">
        <f t="shared" si="21"/>
        <v>0.9066666667</v>
      </c>
      <c r="BH36" s="585" t="str">
        <f>IFERROR(AVERAGEIFS(
'STH Efficacy'!$CD:$CD, 
'STH Efficacy'!$BS:$BS, $A36, 
'STH Efficacy'!$BT:$BT, "Mebendazole",
'STH Efficacy'!$BZ:$BZ,"&lt;2016",
'STH Efficacy'!$CU:$CU,""),
"")</f>
        <v/>
      </c>
      <c r="BI36" s="580">
        <f t="shared" si="22"/>
        <v>0.8483333333</v>
      </c>
      <c r="BJ36" s="585" t="str">
        <f>IFERROR(AVERAGEIFS(
'STH Efficacy'!$CD:$CD, 
'STH Efficacy'!$BS:$BS, $A36, 
'STH Efficacy'!$BT:$BT, "Albendazole &amp; Ivermectin",
'STH Efficacy'!$BZ:$BZ,"&lt;2016",
'STH Efficacy'!$CU:$CU,""),
"")</f>
        <v/>
      </c>
      <c r="BK36" s="580">
        <f t="shared" si="23"/>
        <v>0.696</v>
      </c>
      <c r="BL36" s="575" t="str">
        <f>IFERROR(
  AVERAGEIFS(
    'NEW Onchocerciasis Efficacy'!$AO:$AO,
    'NEW Onchocerciasis Efficacy'!$C:$C,$A36,
    'NEW Onchocerciasis Efficacy'!$D:$D,"Ivermectin",
    'NEW Onchocerciasis Efficacy'!$AR:$AR,"&lt;2016",
    'NEW Onchocerciasis Efficacy'!$BG:$BG,"")
,"")</f>
        <v/>
      </c>
      <c r="BM36" s="586">
        <f t="shared" si="24"/>
        <v>0.8390421645</v>
      </c>
      <c r="BN36" s="587">
        <v>1.0</v>
      </c>
      <c r="BO36" s="588">
        <v>1.0</v>
      </c>
      <c r="BP36" s="589">
        <v>1.0</v>
      </c>
      <c r="BQ36" s="590">
        <f t="shared" si="25"/>
        <v>0</v>
      </c>
      <c r="BR36" s="560" t="str">
        <f t="shared" si="26"/>
        <v>1110</v>
      </c>
      <c r="BS36" s="560" t="str">
        <f t="shared" si="27"/>
        <v>MDA1+T2</v>
      </c>
      <c r="BT36" s="606" t="str">
        <f t="shared" si="28"/>
        <v>IVM+ALB</v>
      </c>
      <c r="BU36" s="560" t="str">
        <f t="shared" si="29"/>
        <v>PZQ</v>
      </c>
      <c r="BV36" s="560" t="str">
        <f t="shared" si="30"/>
        <v>lf+onch+schist </v>
      </c>
      <c r="BW36" s="150" t="str">
        <f t="shared" si="31"/>
        <v/>
      </c>
      <c r="BX36" s="607">
        <f t="shared" si="32"/>
        <v>10902.95506</v>
      </c>
      <c r="BY36" s="608">
        <f t="shared" si="33"/>
        <v>28620.53077</v>
      </c>
      <c r="BZ36" s="152" t="str">
        <f t="shared" si="34"/>
        <v/>
      </c>
      <c r="CA36" s="152" t="str">
        <f t="shared" si="35"/>
        <v/>
      </c>
      <c r="CB36" s="152" t="str">
        <f t="shared" si="36"/>
        <v/>
      </c>
      <c r="CC36" s="153" t="str">
        <f t="shared" si="37"/>
        <v/>
      </c>
      <c r="CD36" s="153" t="str">
        <f t="shared" si="38"/>
        <v/>
      </c>
      <c r="CE36" s="154" t="str">
        <f t="shared" si="39"/>
        <v/>
      </c>
      <c r="CF36" s="154" t="str">
        <f t="shared" si="40"/>
        <v/>
      </c>
      <c r="CG36" s="154" t="str">
        <f t="shared" si="41"/>
        <v/>
      </c>
      <c r="CH36" s="609">
        <f t="shared" si="42"/>
        <v>7.01498084</v>
      </c>
    </row>
    <row r="37">
      <c r="A37" s="559" t="s">
        <v>126</v>
      </c>
      <c r="B37" s="560" t="s">
        <v>92</v>
      </c>
      <c r="C37" s="561">
        <v>1.019927E7</v>
      </c>
      <c r="D37" s="562">
        <v>0.0</v>
      </c>
      <c r="E37" s="563">
        <v>7831.75104427219</v>
      </c>
      <c r="F37" s="564">
        <v>41.35386613</v>
      </c>
      <c r="G37" s="564">
        <v>5.221547142</v>
      </c>
      <c r="H37" s="564">
        <v>892.254548</v>
      </c>
      <c r="I37" s="565">
        <v>542.7236961</v>
      </c>
      <c r="J37" s="566">
        <v>1245.8370656864</v>
      </c>
      <c r="K37" s="566">
        <v>9846.7399724761</v>
      </c>
      <c r="L37" s="567">
        <v>1907.022517</v>
      </c>
      <c r="M37" s="568">
        <v>225.223631643773</v>
      </c>
      <c r="N37" s="568">
        <v>3140.55167557955</v>
      </c>
      <c r="O37" s="569">
        <v>16362.1</v>
      </c>
      <c r="P37" s="570"/>
      <c r="Q37" s="150"/>
      <c r="R37" s="571"/>
      <c r="S37" s="116">
        <f t="shared" si="6"/>
        <v>0.6227928571</v>
      </c>
      <c r="T37" s="572">
        <v>0.6264</v>
      </c>
      <c r="U37" s="572">
        <f t="shared" si="7"/>
        <v>0.6264</v>
      </c>
      <c r="V37" s="573">
        <v>0.828</v>
      </c>
      <c r="W37" s="574">
        <f t="shared" si="8"/>
        <v>0.828</v>
      </c>
      <c r="X37" s="573">
        <v>0.9997</v>
      </c>
      <c r="Y37" s="574">
        <f t="shared" si="9"/>
        <v>0.9997</v>
      </c>
      <c r="Z37" s="604">
        <v>1737426.0</v>
      </c>
      <c r="AA37" s="604">
        <v>1437189.0</v>
      </c>
      <c r="AB37" s="576">
        <f t="shared" si="10"/>
        <v>0.8271943668</v>
      </c>
      <c r="AC37" s="576">
        <f t="shared" si="11"/>
        <v>0.8271943668</v>
      </c>
      <c r="AD37" s="577">
        <v>0.0</v>
      </c>
      <c r="AE37" s="572">
        <v>0.040619055</v>
      </c>
      <c r="AF37" s="578">
        <v>0.008612138573</v>
      </c>
      <c r="AG37" s="132">
        <v>0.05162074661</v>
      </c>
      <c r="AH37" s="132">
        <v>0.170148664</v>
      </c>
      <c r="AI37" s="579">
        <v>0.1040256087</v>
      </c>
      <c r="AJ37" s="579">
        <v>0.1321428066</v>
      </c>
      <c r="AK37" s="580">
        <v>0.1198999157</v>
      </c>
      <c r="AL37" s="580">
        <v>0.1450654081</v>
      </c>
      <c r="AM37" s="581">
        <v>0.02395223742</v>
      </c>
      <c r="AN37" s="571" t="str">
        <f>IFERROR(
  AVERAGEIFS(
    'New LF Efficacy'!$J:$J,
    'New LF Efficacy'!$D:$D, $A37,
    'New LF Efficacy'!$F:$F,"DEC", 
    'New LF Efficacy'!$W:$W,"&lt;2016",
    'New LF Efficacy'!$AA:$AA,""),
  ""
)</f>
        <v/>
      </c>
      <c r="AO37" s="582">
        <f t="shared" si="12"/>
        <v>0.31225</v>
      </c>
      <c r="AP37" s="571" t="str">
        <f>IFERROR(
AVERAGEIFS(
'New LF Efficacy'!$J:$J,
'New LF Efficacy'!$D:$D,$A37,
'New LF Efficacy'!$F:$F,"Albendazole &amp; DEC",
'New LF Efficacy'!$W:$W,"&lt;2016",
'New LF Efficacy'!$AA:$AA,""),
"")</f>
        <v/>
      </c>
      <c r="AQ37" s="582">
        <f t="shared" si="13"/>
        <v>0.4</v>
      </c>
      <c r="AR37" s="571" t="str">
        <f>IFERROR(
AVERAGEIFS(
'New LF Efficacy'!$J:$J,
'New LF Efficacy'!$D:$D,$A37,
'New LF Efficacy'!$F:$F,"Albendazole &amp; Ivermectin", 
'New LF Efficacy'!$W:$W,"&lt;2016",
'New LF Efficacy'!$AA:$AA,""),"")</f>
        <v/>
      </c>
      <c r="AS37" s="582">
        <f t="shared" si="14"/>
        <v>0.2943125</v>
      </c>
      <c r="AT37" s="583">
        <f>IFERROR(AVERAGEIFS(
'Schist Efficacy'!$O:$O, 
'Schist Efficacy'!$C:$C,$A37, 
'Schist Efficacy'!$D:$D, "Praziquantel",
'Schist Efficacy'!$J:$J,"&lt;2016",
'Schist Efficacy'!$U:$U,""),
"")</f>
        <v>0.6633333333</v>
      </c>
      <c r="AU37" s="572">
        <f t="shared" si="15"/>
        <v>0.6633333333</v>
      </c>
      <c r="AV37" s="131" t="str">
        <f>IFERROR(AVERAGEIFS(
'STH Efficacy'!$AX:$AX, 
'STH Efficacy'!$AL:$AL, $A37, 
'STH Efficacy'!$AM:$AM, "Albendazole",
'STH Efficacy'!$AS:$AS,"&lt;2016",
'STH Efficacy'!$BP:$BP,""),
"")</f>
        <v/>
      </c>
      <c r="AW37" s="132">
        <f t="shared" si="16"/>
        <v>0.3816333333</v>
      </c>
      <c r="AX37" s="131" t="str">
        <f>IFERROR(AVERAGEIFS(
'STH Efficacy'!$AX:$AX, 
'STH Efficacy'!$AL:$AL, $A37, 
'STH Efficacy'!$AM:$AM, "Mebendazole",
'STH Efficacy'!$AS:$AS,"&lt;2016",
'STH Efficacy'!$BP:$BP,""),
"")</f>
        <v/>
      </c>
      <c r="AY37" s="132">
        <f t="shared" si="17"/>
        <v>0.4859375</v>
      </c>
      <c r="AZ37" s="131" t="str">
        <f>IFERROR(AVERAGEIFS(
'STH Efficacy'!$AX:$AX, 
'STH Efficacy'!$AL:$AL, $A37, 
'STH Efficacy'!$AM:$AM, "Albendazole &amp; Ivermectin",
'STH Efficacy'!$AS:$AS,"&lt;2016",
'STH Efficacy'!$BP:$BP,""),
"")</f>
        <v/>
      </c>
      <c r="BA37" s="303">
        <f t="shared" si="18"/>
        <v>0.47175</v>
      </c>
      <c r="BB37" s="584" t="str">
        <f>IFERROR(AVERAGEIFS(
'STH Efficacy'!$N:$N, 
'STH Efficacy'!$B:$B, $A37, 
'STH Efficacy'!$C:$C, "Albendazole",
'STH Efficacy'!$I:$I,"&lt;2016",
'STH Efficacy'!$AH:$AH,""),
"")</f>
        <v/>
      </c>
      <c r="BC37" s="579">
        <f t="shared" si="19"/>
        <v>0.8699166667</v>
      </c>
      <c r="BD37" s="584" t="str">
        <f>IFERROR(AVERAGEIFS(
'STH Efficacy'!$N:$N, 
'STH Efficacy'!$B:$B, $A37, 
'STH Efficacy'!$C:$C, "Mebendazole",
'STH Efficacy'!$I:$I,"&lt;2016",
'STH Efficacy'!$AH:$AH,""),
"")</f>
        <v/>
      </c>
      <c r="BE37" s="579">
        <f t="shared" si="20"/>
        <v>0.7092416667</v>
      </c>
      <c r="BF37" s="585" t="str">
        <f>IFERROR(AVERAGEIFS(
'STH Efficacy'!$CD:$CD, 
'STH Efficacy'!$BS:$BS, $A37, 
'STH Efficacy'!$BT:$BT, "Albendazole",
'STH Efficacy'!$BZ:$BZ,"&lt;2016",
'STH Efficacy'!$CU:$CU,""),
"")</f>
        <v/>
      </c>
      <c r="BG37" s="580">
        <f t="shared" si="21"/>
        <v>0.9066666667</v>
      </c>
      <c r="BH37" s="585" t="str">
        <f>IFERROR(AVERAGEIFS(
'STH Efficacy'!$CD:$CD, 
'STH Efficacy'!$BS:$BS, $A37, 
'STH Efficacy'!$BT:$BT, "Mebendazole",
'STH Efficacy'!$BZ:$BZ,"&lt;2016",
'STH Efficacy'!$CU:$CU,""),
"")</f>
        <v/>
      </c>
      <c r="BI37" s="580">
        <f t="shared" si="22"/>
        <v>0.8483333333</v>
      </c>
      <c r="BJ37" s="585" t="str">
        <f>IFERROR(AVERAGEIFS(
'STH Efficacy'!$CD:$CD, 
'STH Efficacy'!$BS:$BS, $A37, 
'STH Efficacy'!$BT:$BT, "Albendazole &amp; Ivermectin",
'STH Efficacy'!$BZ:$BZ,"&lt;2016",
'STH Efficacy'!$CU:$CU,""),
"")</f>
        <v/>
      </c>
      <c r="BK37" s="580">
        <f t="shared" si="23"/>
        <v>0.696</v>
      </c>
      <c r="BL37" s="575" t="str">
        <f>IFERROR(
  AVERAGEIFS(
    'NEW Onchocerciasis Efficacy'!$AO:$AO,
    'NEW Onchocerciasis Efficacy'!$C:$C,$A37,
    'NEW Onchocerciasis Efficacy'!$D:$D,"Ivermectin",
    'NEW Onchocerciasis Efficacy'!$AR:$AR,"&lt;2016",
    'NEW Onchocerciasis Efficacy'!$BG:$BG,"")
,"")</f>
        <v/>
      </c>
      <c r="BM37" s="586">
        <f t="shared" si="24"/>
        <v>0.8390421645</v>
      </c>
      <c r="BN37" s="587">
        <v>0.0</v>
      </c>
      <c r="BO37" s="588">
        <v>1.0</v>
      </c>
      <c r="BP37" s="589">
        <v>1.0</v>
      </c>
      <c r="BQ37" s="590">
        <f t="shared" si="25"/>
        <v>0</v>
      </c>
      <c r="BR37" s="560" t="str">
        <f t="shared" si="26"/>
        <v>0110</v>
      </c>
      <c r="BS37" s="560" t="str">
        <f t="shared" si="27"/>
        <v>MDA3+T2</v>
      </c>
      <c r="BT37" s="606" t="str">
        <f t="shared" si="28"/>
        <v>IVM</v>
      </c>
      <c r="BU37" s="560" t="str">
        <f t="shared" si="29"/>
        <v>PZQ</v>
      </c>
      <c r="BV37" s="560" t="str">
        <f t="shared" si="30"/>
        <v>onch+schist</v>
      </c>
      <c r="BW37" s="150" t="str">
        <f t="shared" si="31"/>
        <v/>
      </c>
      <c r="BX37" s="150" t="str">
        <f t="shared" si="32"/>
        <v/>
      </c>
      <c r="BY37" s="608">
        <f t="shared" si="33"/>
        <v>5567.58486</v>
      </c>
      <c r="BZ37" s="152" t="str">
        <f t="shared" si="34"/>
        <v/>
      </c>
      <c r="CA37" s="152" t="str">
        <f t="shared" si="35"/>
        <v/>
      </c>
      <c r="CB37" s="152" t="str">
        <f t="shared" si="36"/>
        <v/>
      </c>
      <c r="CC37" s="153" t="str">
        <f t="shared" si="37"/>
        <v/>
      </c>
      <c r="CD37" s="153" t="str">
        <f t="shared" si="38"/>
        <v/>
      </c>
      <c r="CE37" s="154" t="str">
        <f t="shared" si="39"/>
        <v/>
      </c>
      <c r="CF37" s="154" t="str">
        <f t="shared" si="40"/>
        <v/>
      </c>
      <c r="CG37" s="154" t="str">
        <f t="shared" si="41"/>
        <v/>
      </c>
      <c r="CH37" s="609">
        <f t="shared" si="42"/>
        <v>1237.257332</v>
      </c>
    </row>
    <row r="38">
      <c r="A38" s="559" t="s">
        <v>127</v>
      </c>
      <c r="B38" s="560" t="s">
        <v>94</v>
      </c>
      <c r="C38" s="561">
        <v>1.5517635E7</v>
      </c>
      <c r="D38" s="562">
        <v>0.0</v>
      </c>
      <c r="E38" s="563">
        <v>4086.39098295938</v>
      </c>
      <c r="F38" s="564">
        <v>1.85E-10</v>
      </c>
      <c r="G38" s="564">
        <v>3.57E-9</v>
      </c>
      <c r="H38" s="564">
        <v>5.68E-7</v>
      </c>
      <c r="I38" s="565">
        <v>60.93939238</v>
      </c>
      <c r="J38" s="566">
        <v>191.080621212631</v>
      </c>
      <c r="K38" s="566">
        <v>905.790550911864</v>
      </c>
      <c r="L38" s="567">
        <v>30.8981831</v>
      </c>
      <c r="M38" s="568">
        <v>19.1183664004287</v>
      </c>
      <c r="N38" s="568">
        <v>80.8803538408364</v>
      </c>
      <c r="O38" s="569">
        <v>0.0</v>
      </c>
      <c r="P38" s="570"/>
      <c r="Q38" s="150"/>
      <c r="R38" s="571"/>
      <c r="S38" s="116">
        <f t="shared" si="6"/>
        <v>0.5322777778</v>
      </c>
      <c r="T38" s="572">
        <v>0.8982</v>
      </c>
      <c r="U38" s="572">
        <f t="shared" si="7"/>
        <v>0.8982</v>
      </c>
      <c r="V38" s="573">
        <v>0.9333</v>
      </c>
      <c r="W38" s="574">
        <f t="shared" si="8"/>
        <v>0.9333</v>
      </c>
      <c r="X38" s="573">
        <v>0.9182</v>
      </c>
      <c r="Y38" s="574">
        <f t="shared" si="9"/>
        <v>0.9182</v>
      </c>
      <c r="Z38" s="308"/>
      <c r="AA38" s="308"/>
      <c r="AB38" s="575" t="str">
        <f t="shared" si="10"/>
        <v/>
      </c>
      <c r="AC38" s="576">
        <f t="shared" si="11"/>
        <v>0.7192241206</v>
      </c>
      <c r="AD38" s="577">
        <v>0.0</v>
      </c>
      <c r="AE38" s="572">
        <v>1.66E-5</v>
      </c>
      <c r="AF38" s="578">
        <v>1.99E-6</v>
      </c>
      <c r="AG38" s="132">
        <v>0.01660238729</v>
      </c>
      <c r="AH38" s="132">
        <v>0.0549878</v>
      </c>
      <c r="AI38" s="579">
        <v>0.02116183444</v>
      </c>
      <c r="AJ38" s="579">
        <v>0.02687660048</v>
      </c>
      <c r="AK38" s="580">
        <v>0.168917677</v>
      </c>
      <c r="AL38" s="580">
        <v>0.2038407117</v>
      </c>
      <c r="AM38" s="581">
        <v>0.0</v>
      </c>
      <c r="AN38" s="571" t="str">
        <f>IFERROR(
  AVERAGEIFS(
    'New LF Efficacy'!$J:$J,
    'New LF Efficacy'!$D:$D, $A38,
    'New LF Efficacy'!$F:$F,"DEC", 
    'New LF Efficacy'!$W:$W,"&lt;2016",
    'New LF Efficacy'!$AA:$AA,""),
  ""
)</f>
        <v/>
      </c>
      <c r="AO38" s="582">
        <f t="shared" si="12"/>
        <v>0.38</v>
      </c>
      <c r="AP38" s="571" t="str">
        <f>IFERROR(
AVERAGEIFS(
'New LF Efficacy'!$J:$J,
'New LF Efficacy'!$D:$D,$A38,
'New LF Efficacy'!$F:$F,"Albendazole &amp; DEC",
'New LF Efficacy'!$W:$W,"&lt;2016",
'New LF Efficacy'!$AA:$AA,""),
"")</f>
        <v/>
      </c>
      <c r="AQ38" s="582">
        <f t="shared" si="13"/>
        <v>0.662</v>
      </c>
      <c r="AR38" s="571" t="str">
        <f>IFERROR(
AVERAGEIFS(
'New LF Efficacy'!$J:$J,
'New LF Efficacy'!$D:$D,$A38,
'New LF Efficacy'!$F:$F,"Albendazole &amp; Ivermectin", 
'New LF Efficacy'!$W:$W,"&lt;2016",
'New LF Efficacy'!$AA:$AA,""),"")</f>
        <v/>
      </c>
      <c r="AS38" s="582">
        <f t="shared" si="14"/>
        <v>0.37153125</v>
      </c>
      <c r="AT38" s="583" t="str">
        <f>IFERROR(AVERAGEIFS(
'Schist Efficacy'!$O:$O, 
'Schist Efficacy'!$C:$C,$A38, 
'Schist Efficacy'!$D:$D, "Praziquantel",
'Schist Efficacy'!$J:$J,"&lt;2016",
'Schist Efficacy'!$U:$U,""),
"")</f>
        <v/>
      </c>
      <c r="AU38" s="572">
        <f t="shared" si="15"/>
        <v>0.9475</v>
      </c>
      <c r="AV38" s="131" t="str">
        <f>IFERROR(AVERAGEIFS(
'STH Efficacy'!$AX:$AX, 
'STH Efficacy'!$AL:$AL, $A38, 
'STH Efficacy'!$AM:$AM, "Albendazole",
'STH Efficacy'!$AS:$AS,"&lt;2016",
'STH Efficacy'!$BP:$BP,""),
"")</f>
        <v/>
      </c>
      <c r="AW38" s="132">
        <f t="shared" si="16"/>
        <v>0.3571666667</v>
      </c>
      <c r="AX38" s="131" t="str">
        <f>IFERROR(AVERAGEIFS(
'STH Efficacy'!$AX:$AX, 
'STH Efficacy'!$AL:$AL, $A38, 
'STH Efficacy'!$AM:$AM, "Mebendazole",
'STH Efficacy'!$AS:$AS,"&lt;2016",
'STH Efficacy'!$BP:$BP,""),
"")</f>
        <v/>
      </c>
      <c r="AY38" s="132">
        <f t="shared" si="17"/>
        <v>0.4155</v>
      </c>
      <c r="AZ38" s="131" t="str">
        <f>IFERROR(AVERAGEIFS(
'STH Efficacy'!$AX:$AX, 
'STH Efficacy'!$AL:$AL, $A38, 
'STH Efficacy'!$AM:$AM, "Albendazole &amp; Ivermectin",
'STH Efficacy'!$AS:$AS,"&lt;2016",
'STH Efficacy'!$BP:$BP,""),
"")</f>
        <v/>
      </c>
      <c r="BA38" s="303">
        <f t="shared" si="18"/>
        <v>0.651</v>
      </c>
      <c r="BB38" s="584" t="str">
        <f>IFERROR(AVERAGEIFS(
'STH Efficacy'!$N:$N, 
'STH Efficacy'!$B:$B, $A38, 
'STH Efficacy'!$C:$C, "Albendazole",
'STH Efficacy'!$I:$I,"&lt;2016",
'STH Efficacy'!$AH:$AH,""),
"")</f>
        <v/>
      </c>
      <c r="BC38" s="579">
        <f t="shared" si="19"/>
        <v>0.5769166667</v>
      </c>
      <c r="BD38" s="584" t="str">
        <f>IFERROR(AVERAGEIFS(
'STH Efficacy'!$N:$N, 
'STH Efficacy'!$B:$B, $A38, 
'STH Efficacy'!$C:$C, "Mebendazole",
'STH Efficacy'!$I:$I,"&lt;2016",
'STH Efficacy'!$AH:$AH,""),
"")</f>
        <v/>
      </c>
      <c r="BE38" s="579">
        <f t="shared" si="20"/>
        <v>0.3145</v>
      </c>
      <c r="BF38" s="585" t="str">
        <f>IFERROR(AVERAGEIFS(
'STH Efficacy'!$CD:$CD, 
'STH Efficacy'!$BS:$BS, $A38, 
'STH Efficacy'!$BT:$BT, "Albendazole",
'STH Efficacy'!$BZ:$BZ,"&lt;2016",
'STH Efficacy'!$CU:$CU,""),
"")</f>
        <v/>
      </c>
      <c r="BG38" s="580">
        <f t="shared" si="21"/>
        <v>0.96925</v>
      </c>
      <c r="BH38" s="585" t="str">
        <f>IFERROR(AVERAGEIFS(
'STH Efficacy'!$CD:$CD, 
'STH Efficacy'!$BS:$BS, $A38, 
'STH Efficacy'!$BT:$BT, "Mebendazole",
'STH Efficacy'!$BZ:$BZ,"&lt;2016",
'STH Efficacy'!$CU:$CU,""),
"")</f>
        <v/>
      </c>
      <c r="BI38" s="580">
        <f t="shared" si="22"/>
        <v>0.9305</v>
      </c>
      <c r="BJ38" s="585" t="str">
        <f>IFERROR(AVERAGEIFS(
'STH Efficacy'!$CD:$CD, 
'STH Efficacy'!$BS:$BS, $A38, 
'STH Efficacy'!$BT:$BT, "Albendazole &amp; Ivermectin",
'STH Efficacy'!$BZ:$BZ,"&lt;2016",
'STH Efficacy'!$CU:$CU,""),
"")</f>
        <v/>
      </c>
      <c r="BK38" s="580">
        <f t="shared" si="23"/>
        <v>0.848</v>
      </c>
      <c r="BL38" s="575" t="str">
        <f>IFERROR(
  AVERAGEIFS(
    'NEW Onchocerciasis Efficacy'!$AO:$AO,
    'NEW Onchocerciasis Efficacy'!$C:$C,$A38,
    'NEW Onchocerciasis Efficacy'!$D:$D,"Ivermectin",
    'NEW Onchocerciasis Efficacy'!$AR:$AR,"&lt;2016",
    'NEW Onchocerciasis Efficacy'!$BG:$BG,"")
,"")</f>
        <v/>
      </c>
      <c r="BM38" s="586">
        <f t="shared" si="24"/>
        <v>0.7808368939</v>
      </c>
      <c r="BN38" s="587">
        <v>0.0</v>
      </c>
      <c r="BO38" s="588">
        <v>1.0</v>
      </c>
      <c r="BP38" s="589">
        <v>1.0</v>
      </c>
      <c r="BQ38" s="590">
        <f t="shared" si="25"/>
        <v>0</v>
      </c>
      <c r="BR38" s="560" t="str">
        <f t="shared" si="26"/>
        <v>0110</v>
      </c>
      <c r="BS38" s="560" t="str">
        <f t="shared" si="27"/>
        <v>MDA3+T2</v>
      </c>
      <c r="BT38" s="606" t="str">
        <f t="shared" si="28"/>
        <v>IVM</v>
      </c>
      <c r="BU38" s="560" t="str">
        <f t="shared" si="29"/>
        <v>PZQ</v>
      </c>
      <c r="BV38" s="560" t="str">
        <f t="shared" si="30"/>
        <v>onch+schist</v>
      </c>
      <c r="BW38" s="150" t="str">
        <f t="shared" si="31"/>
        <v/>
      </c>
      <c r="BX38" s="150" t="str">
        <f t="shared" si="32"/>
        <v/>
      </c>
      <c r="BY38" s="608">
        <f t="shared" si="33"/>
        <v>23347.24512</v>
      </c>
      <c r="BZ38" s="152" t="str">
        <f t="shared" si="34"/>
        <v/>
      </c>
      <c r="CA38" s="152" t="str">
        <f t="shared" si="35"/>
        <v/>
      </c>
      <c r="CB38" s="152" t="str">
        <f t="shared" si="36"/>
        <v/>
      </c>
      <c r="CC38" s="153" t="str">
        <f t="shared" si="37"/>
        <v/>
      </c>
      <c r="CD38" s="153" t="str">
        <f t="shared" si="38"/>
        <v/>
      </c>
      <c r="CE38" s="154" t="str">
        <f t="shared" si="39"/>
        <v/>
      </c>
      <c r="CF38" s="154" t="str">
        <f t="shared" si="40"/>
        <v/>
      </c>
      <c r="CG38" s="154" t="str">
        <f t="shared" si="41"/>
        <v/>
      </c>
      <c r="CH38" s="609">
        <f t="shared" si="42"/>
        <v>0</v>
      </c>
    </row>
    <row r="39">
      <c r="A39" s="559" t="s">
        <v>128</v>
      </c>
      <c r="B39" s="560" t="s">
        <v>92</v>
      </c>
      <c r="C39" s="561">
        <v>2.2834522E7</v>
      </c>
      <c r="D39" s="562">
        <v>50841.04746</v>
      </c>
      <c r="E39" s="563">
        <v>27604.3598841008</v>
      </c>
      <c r="F39" s="564">
        <v>112.0353498</v>
      </c>
      <c r="G39" s="564">
        <v>557.8102378</v>
      </c>
      <c r="H39" s="564">
        <v>3924.981167</v>
      </c>
      <c r="I39" s="565">
        <v>493.0673268</v>
      </c>
      <c r="J39" s="566">
        <v>1591.34498331868</v>
      </c>
      <c r="K39" s="566">
        <v>6205.05211794544</v>
      </c>
      <c r="L39" s="567">
        <v>3036.038933</v>
      </c>
      <c r="M39" s="568">
        <v>897.157259378581</v>
      </c>
      <c r="N39" s="568">
        <v>5552.55527852429</v>
      </c>
      <c r="O39" s="569">
        <v>101631.0</v>
      </c>
      <c r="P39" s="601">
        <v>1292162.71134</v>
      </c>
      <c r="Q39" s="618">
        <v>6440400.0</v>
      </c>
      <c r="R39" s="603">
        <v>0.5967</v>
      </c>
      <c r="S39" s="116">
        <f t="shared" si="6"/>
        <v>0.5967</v>
      </c>
      <c r="T39" s="572">
        <v>0.6332</v>
      </c>
      <c r="U39" s="572">
        <f t="shared" si="7"/>
        <v>0.6332</v>
      </c>
      <c r="V39" s="573">
        <v>1.0</v>
      </c>
      <c r="W39" s="574">
        <f t="shared" si="8"/>
        <v>1</v>
      </c>
      <c r="X39" s="573">
        <v>0.7839</v>
      </c>
      <c r="Y39" s="574">
        <f t="shared" si="9"/>
        <v>0.7839</v>
      </c>
      <c r="Z39" s="604">
        <v>9909128.0</v>
      </c>
      <c r="AA39" s="604">
        <v>7540235.0</v>
      </c>
      <c r="AB39" s="576">
        <f t="shared" si="10"/>
        <v>0.7609382985</v>
      </c>
      <c r="AC39" s="576">
        <f t="shared" si="11"/>
        <v>0.7609382985</v>
      </c>
      <c r="AD39" s="577">
        <v>0.0477833836</v>
      </c>
      <c r="AE39" s="572">
        <v>0.0860459574</v>
      </c>
      <c r="AF39" s="578">
        <v>0.01865815271</v>
      </c>
      <c r="AG39" s="132">
        <v>0.02264511918</v>
      </c>
      <c r="AH39" s="132">
        <v>0.073735794</v>
      </c>
      <c r="AI39" s="579">
        <v>0.0477055819</v>
      </c>
      <c r="AJ39" s="579">
        <v>0.05970192134</v>
      </c>
      <c r="AK39" s="580">
        <v>0.05785227649</v>
      </c>
      <c r="AL39" s="580">
        <v>0.06878643646</v>
      </c>
      <c r="AM39" s="581">
        <v>0.05260767629</v>
      </c>
      <c r="AN39" s="571" t="str">
        <f>IFERROR(
  AVERAGEIFS(
    'New LF Efficacy'!$J:$J,
    'New LF Efficacy'!$D:$D, $A39,
    'New LF Efficacy'!$F:$F,"DEC", 
    'New LF Efficacy'!$W:$W,"&lt;2016",
    'New LF Efficacy'!$AA:$AA,""),
  ""
)</f>
        <v/>
      </c>
      <c r="AO39" s="582">
        <f t="shared" si="12"/>
        <v>0.31225</v>
      </c>
      <c r="AP39" s="571" t="str">
        <f>IFERROR(
AVERAGEIFS(
'New LF Efficacy'!$J:$J,
'New LF Efficacy'!$D:$D,$A39,
'New LF Efficacy'!$F:$F,"Albendazole &amp; DEC",
'New LF Efficacy'!$W:$W,"&lt;2016",
'New LF Efficacy'!$AA:$AA,""),
"")</f>
        <v/>
      </c>
      <c r="AQ39" s="582">
        <f t="shared" si="13"/>
        <v>0.4</v>
      </c>
      <c r="AR39" s="571" t="str">
        <f>IFERROR(
AVERAGEIFS(
'New LF Efficacy'!$J:$J,
'New LF Efficacy'!$D:$D,$A39,
'New LF Efficacy'!$F:$F,"Albendazole &amp; Ivermectin", 
'New LF Efficacy'!$W:$W,"&lt;2016",
'New LF Efficacy'!$AA:$AA,""),"")</f>
        <v/>
      </c>
      <c r="AS39" s="582">
        <f t="shared" si="14"/>
        <v>0.2943125</v>
      </c>
      <c r="AT39" s="583">
        <f>IFERROR(AVERAGEIFS(
'Schist Efficacy'!$O:$O, 
'Schist Efficacy'!$C:$C,$A39, 
'Schist Efficacy'!$D:$D, "Praziquantel",
'Schist Efficacy'!$J:$J,"&lt;2016",
'Schist Efficacy'!$U:$U,""),
"")</f>
        <v>0.8</v>
      </c>
      <c r="AU39" s="572">
        <f t="shared" si="15"/>
        <v>0.8</v>
      </c>
      <c r="AV39" s="131" t="str">
        <f>IFERROR(AVERAGEIFS(
'STH Efficacy'!$AX:$AX, 
'STH Efficacy'!$AL:$AL, $A39, 
'STH Efficacy'!$AM:$AM, "Albendazole",
'STH Efficacy'!$AS:$AS,"&lt;2016",
'STH Efficacy'!$BP:$BP,""),
"")</f>
        <v/>
      </c>
      <c r="AW39" s="132">
        <f t="shared" si="16"/>
        <v>0.3816333333</v>
      </c>
      <c r="AX39" s="131" t="str">
        <f>IFERROR(AVERAGEIFS(
'STH Efficacy'!$AX:$AX, 
'STH Efficacy'!$AL:$AL, $A39, 
'STH Efficacy'!$AM:$AM, "Mebendazole",
'STH Efficacy'!$AS:$AS,"&lt;2016",
'STH Efficacy'!$BP:$BP,""),
"")</f>
        <v/>
      </c>
      <c r="AY39" s="132">
        <f t="shared" si="17"/>
        <v>0.4859375</v>
      </c>
      <c r="AZ39" s="131" t="str">
        <f>IFERROR(AVERAGEIFS(
'STH Efficacy'!$AX:$AX, 
'STH Efficacy'!$AL:$AL, $A39, 
'STH Efficacy'!$AM:$AM, "Albendazole &amp; Ivermectin",
'STH Efficacy'!$AS:$AS,"&lt;2016",
'STH Efficacy'!$BP:$BP,""),
"")</f>
        <v/>
      </c>
      <c r="BA39" s="303">
        <f t="shared" si="18"/>
        <v>0.47175</v>
      </c>
      <c r="BB39" s="584" t="str">
        <f>IFERROR(AVERAGEIFS(
'STH Efficacy'!$N:$N, 
'STH Efficacy'!$B:$B, $A39, 
'STH Efficacy'!$C:$C, "Albendazole",
'STH Efficacy'!$I:$I,"&lt;2016",
'STH Efficacy'!$AH:$AH,""),
"")</f>
        <v/>
      </c>
      <c r="BC39" s="579">
        <f t="shared" si="19"/>
        <v>0.8699166667</v>
      </c>
      <c r="BD39" s="584" t="str">
        <f>IFERROR(AVERAGEIFS(
'STH Efficacy'!$N:$N, 
'STH Efficacy'!$B:$B, $A39, 
'STH Efficacy'!$C:$C, "Mebendazole",
'STH Efficacy'!$I:$I,"&lt;2016",
'STH Efficacy'!$AH:$AH,""),
"")</f>
        <v/>
      </c>
      <c r="BE39" s="579">
        <f t="shared" si="20"/>
        <v>0.7092416667</v>
      </c>
      <c r="BF39" s="585">
        <f>IFERROR(AVERAGEIFS(
'STH Efficacy'!$CD:$CD, 
'STH Efficacy'!$BS:$BS, $A39, 
'STH Efficacy'!$BT:$BT, "Albendazole",
'STH Efficacy'!$BZ:$BZ,"&lt;2016",
'STH Efficacy'!$CU:$CU,""),
"")</f>
        <v>1</v>
      </c>
      <c r="BG39" s="580">
        <f t="shared" si="21"/>
        <v>1</v>
      </c>
      <c r="BH39" s="585" t="str">
        <f>IFERROR(AVERAGEIFS(
'STH Efficacy'!$CD:$CD, 
'STH Efficacy'!$BS:$BS, $A39, 
'STH Efficacy'!$BT:$BT, "Mebendazole",
'STH Efficacy'!$BZ:$BZ,"&lt;2016",
'STH Efficacy'!$CU:$CU,""),
"")</f>
        <v/>
      </c>
      <c r="BI39" s="580">
        <f t="shared" si="22"/>
        <v>0.8483333333</v>
      </c>
      <c r="BJ39" s="585" t="str">
        <f>IFERROR(AVERAGEIFS(
'STH Efficacy'!$CD:$CD, 
'STH Efficacy'!$BS:$BS, $A39, 
'STH Efficacy'!$BT:$BT, "Albendazole &amp; Ivermectin",
'STH Efficacy'!$BZ:$BZ,"&lt;2016",
'STH Efficacy'!$CU:$CU,""),
"")</f>
        <v/>
      </c>
      <c r="BK39" s="580">
        <f t="shared" si="23"/>
        <v>0.696</v>
      </c>
      <c r="BL39" s="575" t="str">
        <f>IFERROR(
  AVERAGEIFS(
    'NEW Onchocerciasis Efficacy'!$AO:$AO,
    'NEW Onchocerciasis Efficacy'!$C:$C,$A39,
    'NEW Onchocerciasis Efficacy'!$D:$D,"Ivermectin",
    'NEW Onchocerciasis Efficacy'!$AR:$AR,"&lt;2016",
    'NEW Onchocerciasis Efficacy'!$BG:$BG,"")
,"")</f>
        <v/>
      </c>
      <c r="BM39" s="586">
        <f t="shared" si="24"/>
        <v>0.8390421645</v>
      </c>
      <c r="BN39" s="587">
        <v>1.0</v>
      </c>
      <c r="BO39" s="588">
        <v>1.0</v>
      </c>
      <c r="BP39" s="589">
        <v>1.0</v>
      </c>
      <c r="BQ39" s="590">
        <f t="shared" si="25"/>
        <v>0</v>
      </c>
      <c r="BR39" s="560" t="str">
        <f t="shared" si="26"/>
        <v>1110</v>
      </c>
      <c r="BS39" s="560" t="str">
        <f t="shared" si="27"/>
        <v>MDA1+T2</v>
      </c>
      <c r="BT39" s="606" t="str">
        <f t="shared" si="28"/>
        <v>IVM+ALB</v>
      </c>
      <c r="BU39" s="560" t="str">
        <f t="shared" si="29"/>
        <v>PZQ</v>
      </c>
      <c r="BV39" s="560" t="str">
        <f t="shared" si="30"/>
        <v>lf+onch+schist </v>
      </c>
      <c r="BW39" s="150" t="str">
        <f t="shared" si="31"/>
        <v/>
      </c>
      <c r="BX39" s="607">
        <f t="shared" si="32"/>
        <v>10830.53282</v>
      </c>
      <c r="BY39" s="608">
        <f t="shared" si="33"/>
        <v>28338.32795</v>
      </c>
      <c r="BZ39" s="152" t="str">
        <f t="shared" si="34"/>
        <v/>
      </c>
      <c r="CA39" s="152" t="str">
        <f t="shared" si="35"/>
        <v/>
      </c>
      <c r="CB39" s="152" t="str">
        <f t="shared" si="36"/>
        <v/>
      </c>
      <c r="CC39" s="153" t="str">
        <f t="shared" si="37"/>
        <v/>
      </c>
      <c r="CD39" s="153" t="str">
        <f t="shared" si="38"/>
        <v/>
      </c>
      <c r="CE39" s="154" t="str">
        <f t="shared" si="39"/>
        <v/>
      </c>
      <c r="CF39" s="154" t="str">
        <f t="shared" si="40"/>
        <v/>
      </c>
      <c r="CG39" s="154" t="str">
        <f t="shared" si="41"/>
        <v/>
      </c>
      <c r="CH39" s="609">
        <f t="shared" si="42"/>
        <v>5982.476469</v>
      </c>
    </row>
    <row r="40">
      <c r="A40" s="559" t="s">
        <v>129</v>
      </c>
      <c r="B40" s="560" t="s">
        <v>98</v>
      </c>
      <c r="C40" s="561">
        <v>3.584861E7</v>
      </c>
      <c r="D40" s="562">
        <v>0.0</v>
      </c>
      <c r="E40" s="563">
        <v>0.0</v>
      </c>
      <c r="F40" s="564">
        <v>0.0</v>
      </c>
      <c r="G40" s="564">
        <v>0.0</v>
      </c>
      <c r="H40" s="564">
        <v>0.0</v>
      </c>
      <c r="I40" s="565">
        <v>0.0</v>
      </c>
      <c r="J40" s="566">
        <v>0.0</v>
      </c>
      <c r="K40" s="566">
        <v>0.0</v>
      </c>
      <c r="L40" s="567">
        <v>0.0</v>
      </c>
      <c r="M40" s="568">
        <v>0.0</v>
      </c>
      <c r="N40" s="568">
        <v>0.0</v>
      </c>
      <c r="O40" s="569">
        <v>0.0</v>
      </c>
      <c r="P40" s="570"/>
      <c r="Q40" s="150"/>
      <c r="R40" s="571"/>
      <c r="S40" s="116">
        <f t="shared" si="6"/>
        <v>0.6451333333</v>
      </c>
      <c r="T40" s="151"/>
      <c r="U40" s="572">
        <f t="shared" si="7"/>
        <v>0.0025</v>
      </c>
      <c r="V40" s="598"/>
      <c r="W40" s="574">
        <f t="shared" si="8"/>
        <v>0.56882</v>
      </c>
      <c r="X40" s="598"/>
      <c r="Y40" s="574">
        <f t="shared" si="9"/>
        <v>0.5825818182</v>
      </c>
      <c r="Z40" s="308"/>
      <c r="AA40" s="308"/>
      <c r="AB40" s="575" t="str">
        <f t="shared" si="10"/>
        <v/>
      </c>
      <c r="AC40" s="576">
        <f t="shared" si="11"/>
        <v>0.7574216602</v>
      </c>
      <c r="AD40" s="577">
        <v>0.0</v>
      </c>
      <c r="AE40" s="572">
        <v>0.0</v>
      </c>
      <c r="AF40" s="578">
        <v>0.0</v>
      </c>
      <c r="AG40" s="132">
        <v>0.0</v>
      </c>
      <c r="AH40" s="132">
        <v>0.0</v>
      </c>
      <c r="AI40" s="579">
        <v>0.0</v>
      </c>
      <c r="AJ40" s="579">
        <v>0.0</v>
      </c>
      <c r="AK40" s="580">
        <v>0.0</v>
      </c>
      <c r="AL40" s="580">
        <v>0.0</v>
      </c>
      <c r="AM40" s="581">
        <v>0.0</v>
      </c>
      <c r="AN40" s="571" t="str">
        <f>IFERROR(
  AVERAGEIFS(
    'New LF Efficacy'!$J:$J,
    'New LF Efficacy'!$D:$D, $A40,
    'New LF Efficacy'!$F:$F,"DEC", 
    'New LF Efficacy'!$W:$W,"&lt;2016",
    'New LF Efficacy'!$AA:$AA,""),
  ""
)</f>
        <v/>
      </c>
      <c r="AO40" s="582">
        <f t="shared" si="12"/>
        <v>0.2589833333</v>
      </c>
      <c r="AP40" s="571" t="str">
        <f>IFERROR(
AVERAGEIFS(
'New LF Efficacy'!$J:$J,
'New LF Efficacy'!$D:$D,$A40,
'New LF Efficacy'!$F:$F,"Albendazole &amp; DEC",
'New LF Efficacy'!$W:$W,"&lt;2016",
'New LF Efficacy'!$AA:$AA,""),
"")</f>
        <v/>
      </c>
      <c r="AQ40" s="582">
        <f t="shared" si="13"/>
        <v>0.3465</v>
      </c>
      <c r="AR40" s="571" t="str">
        <f>IFERROR(
AVERAGEIFS(
'New LF Efficacy'!$J:$J,
'New LF Efficacy'!$D:$D,$A40,
'New LF Efficacy'!$F:$F,"Albendazole &amp; Ivermectin", 
'New LF Efficacy'!$W:$W,"&lt;2016",
'New LF Efficacy'!$AA:$AA,""),"")</f>
        <v/>
      </c>
      <c r="AS40" s="582">
        <f t="shared" si="14"/>
        <v>0.7575</v>
      </c>
      <c r="AT40" s="583" t="str">
        <f>IFERROR(AVERAGEIFS(
'Schist Efficacy'!$O:$O, 
'Schist Efficacy'!$C:$C,$A40, 
'Schist Efficacy'!$D:$D, "Praziquantel",
'Schist Efficacy'!$J:$J,"&lt;2016",
'Schist Efficacy'!$U:$U,""),
"")</f>
        <v/>
      </c>
      <c r="AU40" s="572">
        <f t="shared" si="15"/>
        <v>0.7914761905</v>
      </c>
      <c r="AV40" s="131" t="str">
        <f>IFERROR(AVERAGEIFS(
'STH Efficacy'!$AX:$AX, 
'STH Efficacy'!$AL:$AL, $A40, 
'STH Efficacy'!$AM:$AM, "Albendazole",
'STH Efficacy'!$AS:$AS,"&lt;2016",
'STH Efficacy'!$BP:$BP,""),
"")</f>
        <v/>
      </c>
      <c r="AW40" s="132">
        <f t="shared" si="16"/>
        <v>0.3945</v>
      </c>
      <c r="AX40" s="131" t="str">
        <f>IFERROR(AVERAGEIFS(
'STH Efficacy'!$AX:$AX, 
'STH Efficacy'!$AL:$AL, $A40, 
'STH Efficacy'!$AM:$AM, "Mebendazole",
'STH Efficacy'!$AS:$AS,"&lt;2016",
'STH Efficacy'!$BP:$BP,""),
"")</f>
        <v/>
      </c>
      <c r="AY40" s="132">
        <f t="shared" si="17"/>
        <v>0.6</v>
      </c>
      <c r="AZ40" s="131" t="str">
        <f>IFERROR(AVERAGEIFS(
'STH Efficacy'!$AX:$AX, 
'STH Efficacy'!$AL:$AL, $A40, 
'STH Efficacy'!$AM:$AM, "Albendazole &amp; Ivermectin",
'STH Efficacy'!$AS:$AS,"&lt;2016",
'STH Efficacy'!$BP:$BP,""),
"")</f>
        <v/>
      </c>
      <c r="BA40" s="303">
        <f t="shared" si="18"/>
        <v>0.796</v>
      </c>
      <c r="BB40" s="584" t="str">
        <f>IFERROR(AVERAGEIFS(
'STH Efficacy'!$N:$N, 
'STH Efficacy'!$B:$B, $A40, 
'STH Efficacy'!$C:$C, "Albendazole",
'STH Efficacy'!$I:$I,"&lt;2016",
'STH Efficacy'!$AH:$AH,""),
"")</f>
        <v/>
      </c>
      <c r="BC40" s="579">
        <f t="shared" si="19"/>
        <v>0.869</v>
      </c>
      <c r="BD40" s="584" t="str">
        <f>IFERROR(AVERAGEIFS(
'STH Efficacy'!$N:$N, 
'STH Efficacy'!$B:$B, $A40, 
'STH Efficacy'!$C:$C, "Mebendazole",
'STH Efficacy'!$I:$I,"&lt;2016",
'STH Efficacy'!$AH:$AH,""),
"")</f>
        <v/>
      </c>
      <c r="BE40" s="579">
        <f t="shared" si="20"/>
        <v>0.172</v>
      </c>
      <c r="BF40" s="585" t="str">
        <f>IFERROR(AVERAGEIFS(
'STH Efficacy'!$CD:$CD, 
'STH Efficacy'!$BS:$BS, $A40, 
'STH Efficacy'!$BT:$BT, "Albendazole",
'STH Efficacy'!$BZ:$BZ,"&lt;2016",
'STH Efficacy'!$CU:$CU,""),
"")</f>
        <v/>
      </c>
      <c r="BG40" s="580">
        <f t="shared" si="21"/>
        <v>0.9862</v>
      </c>
      <c r="BH40" s="585" t="str">
        <f>IFERROR(AVERAGEIFS(
'STH Efficacy'!$CD:$CD, 
'STH Efficacy'!$BS:$BS, $A40, 
'STH Efficacy'!$BT:$BT, "Mebendazole",
'STH Efficacy'!$BZ:$BZ,"&lt;2016",
'STH Efficacy'!$CU:$CU,""),
"")</f>
        <v/>
      </c>
      <c r="BI40" s="580">
        <f t="shared" si="22"/>
        <v>0.769</v>
      </c>
      <c r="BJ40" s="585" t="str">
        <f>IFERROR(AVERAGEIFS(
'STH Efficacy'!$CD:$CD, 
'STH Efficacy'!$BS:$BS, $A40, 
'STH Efficacy'!$BT:$BT, "Albendazole &amp; Ivermectin",
'STH Efficacy'!$BZ:$BZ,"&lt;2016",
'STH Efficacy'!$CU:$CU,""),
"")</f>
        <v/>
      </c>
      <c r="BK40" s="580">
        <f t="shared" si="23"/>
        <v>1</v>
      </c>
      <c r="BL40" s="575" t="str">
        <f>IFERROR(
  AVERAGEIFS(
    'NEW Onchocerciasis Efficacy'!$AO:$AO,
    'NEW Onchocerciasis Efficacy'!$C:$C,$A40,
    'NEW Onchocerciasis Efficacy'!$D:$D,"Ivermectin",
    'NEW Onchocerciasis Efficacy'!$AR:$AR,"&lt;2016",
    'NEW Onchocerciasis Efficacy'!$BG:$BG,"")
,"")</f>
        <v/>
      </c>
      <c r="BM40" s="586">
        <f t="shared" si="24"/>
        <v>0.3734</v>
      </c>
      <c r="BN40" s="587">
        <v>0.0</v>
      </c>
      <c r="BO40" s="588">
        <v>0.0</v>
      </c>
      <c r="BP40" s="589">
        <v>0.0</v>
      </c>
      <c r="BQ40" s="590">
        <f t="shared" si="25"/>
        <v>0</v>
      </c>
      <c r="BR40" s="560" t="str">
        <f t="shared" si="26"/>
        <v>0000</v>
      </c>
      <c r="BS40" s="560" t="str">
        <f t="shared" si="27"/>
        <v>no action required</v>
      </c>
      <c r="BT40" s="361" t="str">
        <f t="shared" si="28"/>
        <v/>
      </c>
      <c r="BU40" s="591" t="str">
        <f t="shared" si="29"/>
        <v/>
      </c>
      <c r="BV40" s="560" t="str">
        <f t="shared" si="30"/>
        <v>none</v>
      </c>
      <c r="BW40" s="150" t="str">
        <f t="shared" si="31"/>
        <v/>
      </c>
      <c r="BX40" s="150" t="str">
        <f t="shared" si="32"/>
        <v/>
      </c>
      <c r="BY40" s="151" t="str">
        <f t="shared" si="33"/>
        <v/>
      </c>
      <c r="BZ40" s="152" t="str">
        <f t="shared" si="34"/>
        <v/>
      </c>
      <c r="CA40" s="152" t="str">
        <f t="shared" si="35"/>
        <v/>
      </c>
      <c r="CB40" s="152" t="str">
        <f t="shared" si="36"/>
        <v/>
      </c>
      <c r="CC40" s="153" t="str">
        <f t="shared" si="37"/>
        <v/>
      </c>
      <c r="CD40" s="153" t="str">
        <f t="shared" si="38"/>
        <v/>
      </c>
      <c r="CE40" s="154" t="str">
        <f t="shared" si="39"/>
        <v/>
      </c>
      <c r="CF40" s="154" t="str">
        <f t="shared" si="40"/>
        <v/>
      </c>
      <c r="CG40" s="154" t="str">
        <f t="shared" si="41"/>
        <v/>
      </c>
      <c r="CH40" s="308" t="str">
        <f t="shared" si="42"/>
        <v/>
      </c>
    </row>
    <row r="41">
      <c r="A41" s="559" t="s">
        <v>130</v>
      </c>
      <c r="B41" s="560" t="s">
        <v>92</v>
      </c>
      <c r="C41" s="561">
        <v>532913.0</v>
      </c>
      <c r="D41" s="562">
        <v>0.0</v>
      </c>
      <c r="E41" s="563">
        <v>0.0</v>
      </c>
      <c r="F41" s="564">
        <v>3.08496E-4</v>
      </c>
      <c r="G41" s="564">
        <v>0.001532131</v>
      </c>
      <c r="H41" s="564">
        <v>0.021349501</v>
      </c>
      <c r="I41" s="565">
        <v>1.251095194</v>
      </c>
      <c r="J41" s="566">
        <v>3.63947694773871</v>
      </c>
      <c r="K41" s="566">
        <v>18.0905889051001</v>
      </c>
      <c r="L41" s="567">
        <v>0.822579599</v>
      </c>
      <c r="M41" s="568">
        <v>0.165578604917869</v>
      </c>
      <c r="N41" s="568">
        <v>1.12441274668302</v>
      </c>
      <c r="O41" s="569">
        <v>0.0</v>
      </c>
      <c r="P41" s="570"/>
      <c r="Q41" s="150"/>
      <c r="R41" s="571"/>
      <c r="S41" s="116">
        <f t="shared" si="6"/>
        <v>0.6227928571</v>
      </c>
      <c r="T41" s="151"/>
      <c r="U41" s="572">
        <f t="shared" si="7"/>
        <v>0.5141</v>
      </c>
      <c r="V41" s="573">
        <v>0.7214</v>
      </c>
      <c r="W41" s="574">
        <f t="shared" si="8"/>
        <v>0.7214</v>
      </c>
      <c r="X41" s="573">
        <v>0.7214</v>
      </c>
      <c r="Y41" s="574">
        <f t="shared" si="9"/>
        <v>0.7214</v>
      </c>
      <c r="Z41" s="308"/>
      <c r="AA41" s="308"/>
      <c r="AB41" s="575" t="str">
        <f t="shared" si="10"/>
        <v/>
      </c>
      <c r="AC41" s="576">
        <f t="shared" si="11"/>
        <v>0.6507101914</v>
      </c>
      <c r="AD41" s="577">
        <v>0.0</v>
      </c>
      <c r="AE41" s="572">
        <v>0.0</v>
      </c>
      <c r="AF41" s="578">
        <v>0.0</v>
      </c>
      <c r="AG41" s="132">
        <v>0.01784214848</v>
      </c>
      <c r="AH41" s="132">
        <v>0.055138165</v>
      </c>
      <c r="AI41" s="579">
        <v>0.0199329544</v>
      </c>
      <c r="AJ41" s="579">
        <v>0.02359039226</v>
      </c>
      <c r="AK41" s="580">
        <v>0.03110537699</v>
      </c>
      <c r="AL41" s="580">
        <v>0.03499174677</v>
      </c>
      <c r="AM41" s="581">
        <v>0.0</v>
      </c>
      <c r="AN41" s="571" t="str">
        <f>IFERROR(
  AVERAGEIFS(
    'New LF Efficacy'!$J:$J,
    'New LF Efficacy'!$D:$D, $A41,
    'New LF Efficacy'!$F:$F,"DEC", 
    'New LF Efficacy'!$W:$W,"&lt;2016",
    'New LF Efficacy'!$AA:$AA,""),
  ""
)</f>
        <v/>
      </c>
      <c r="AO41" s="582">
        <f t="shared" si="12"/>
        <v>0.31225</v>
      </c>
      <c r="AP41" s="571" t="str">
        <f>IFERROR(
AVERAGEIFS(
'New LF Efficacy'!$J:$J,
'New LF Efficacy'!$D:$D,$A41,
'New LF Efficacy'!$F:$F,"Albendazole &amp; DEC",
'New LF Efficacy'!$W:$W,"&lt;2016",
'New LF Efficacy'!$AA:$AA,""),
"")</f>
        <v/>
      </c>
      <c r="AQ41" s="582">
        <f t="shared" si="13"/>
        <v>0.4</v>
      </c>
      <c r="AR41" s="571" t="str">
        <f>IFERROR(
AVERAGEIFS(
'New LF Efficacy'!$J:$J,
'New LF Efficacy'!$D:$D,$A41,
'New LF Efficacy'!$F:$F,"Albendazole &amp; Ivermectin", 
'New LF Efficacy'!$W:$W,"&lt;2016",
'New LF Efficacy'!$AA:$AA,""),"")</f>
        <v/>
      </c>
      <c r="AS41" s="582">
        <f t="shared" si="14"/>
        <v>0.2943125</v>
      </c>
      <c r="AT41" s="583" t="str">
        <f>IFERROR(AVERAGEIFS(
'Schist Efficacy'!$O:$O, 
'Schist Efficacy'!$C:$C,$A41, 
'Schist Efficacy'!$D:$D, "Praziquantel",
'Schist Efficacy'!$J:$J,"&lt;2016",
'Schist Efficacy'!$U:$U,""),
"")</f>
        <v/>
      </c>
      <c r="AU41" s="572">
        <f t="shared" si="15"/>
        <v>0.7206464759</v>
      </c>
      <c r="AV41" s="131" t="str">
        <f>IFERROR(AVERAGEIFS(
'STH Efficacy'!$AX:$AX, 
'STH Efficacy'!$AL:$AL, $A41, 
'STH Efficacy'!$AM:$AM, "Albendazole",
'STH Efficacy'!$AS:$AS,"&lt;2016",
'STH Efficacy'!$BP:$BP,""),
"")</f>
        <v/>
      </c>
      <c r="AW41" s="132">
        <f t="shared" si="16"/>
        <v>0.3816333333</v>
      </c>
      <c r="AX41" s="131" t="str">
        <f>IFERROR(AVERAGEIFS(
'STH Efficacy'!$AX:$AX, 
'STH Efficacy'!$AL:$AL, $A41, 
'STH Efficacy'!$AM:$AM, "Mebendazole",
'STH Efficacy'!$AS:$AS,"&lt;2016",
'STH Efficacy'!$BP:$BP,""),
"")</f>
        <v/>
      </c>
      <c r="AY41" s="132">
        <f t="shared" si="17"/>
        <v>0.4859375</v>
      </c>
      <c r="AZ41" s="131" t="str">
        <f>IFERROR(AVERAGEIFS(
'STH Efficacy'!$AX:$AX, 
'STH Efficacy'!$AL:$AL, $A41, 
'STH Efficacy'!$AM:$AM, "Albendazole &amp; Ivermectin",
'STH Efficacy'!$AS:$AS,"&lt;2016",
'STH Efficacy'!$BP:$BP,""),
"")</f>
        <v/>
      </c>
      <c r="BA41" s="303">
        <f t="shared" si="18"/>
        <v>0.47175</v>
      </c>
      <c r="BB41" s="584" t="str">
        <f>IFERROR(AVERAGEIFS(
'STH Efficacy'!$N:$N, 
'STH Efficacy'!$B:$B, $A41, 
'STH Efficacy'!$C:$C, "Albendazole",
'STH Efficacy'!$I:$I,"&lt;2016",
'STH Efficacy'!$AH:$AH,""),
"")</f>
        <v/>
      </c>
      <c r="BC41" s="579">
        <f t="shared" si="19"/>
        <v>0.8699166667</v>
      </c>
      <c r="BD41" s="584" t="str">
        <f>IFERROR(AVERAGEIFS(
'STH Efficacy'!$N:$N, 
'STH Efficacy'!$B:$B, $A41, 
'STH Efficacy'!$C:$C, "Mebendazole",
'STH Efficacy'!$I:$I,"&lt;2016",
'STH Efficacy'!$AH:$AH,""),
"")</f>
        <v/>
      </c>
      <c r="BE41" s="579">
        <f t="shared" si="20"/>
        <v>0.7092416667</v>
      </c>
      <c r="BF41" s="585" t="str">
        <f>IFERROR(AVERAGEIFS(
'STH Efficacy'!$CD:$CD, 
'STH Efficacy'!$BS:$BS, $A41, 
'STH Efficacy'!$BT:$BT, "Albendazole",
'STH Efficacy'!$BZ:$BZ,"&lt;2016",
'STH Efficacy'!$CU:$CU,""),
"")</f>
        <v/>
      </c>
      <c r="BG41" s="580">
        <f t="shared" si="21"/>
        <v>0.9066666667</v>
      </c>
      <c r="BH41" s="585" t="str">
        <f>IFERROR(AVERAGEIFS(
'STH Efficacy'!$CD:$CD, 
'STH Efficacy'!$BS:$BS, $A41, 
'STH Efficacy'!$BT:$BT, "Mebendazole",
'STH Efficacy'!$BZ:$BZ,"&lt;2016",
'STH Efficacy'!$CU:$CU,""),
"")</f>
        <v/>
      </c>
      <c r="BI41" s="580">
        <f t="shared" si="22"/>
        <v>0.8483333333</v>
      </c>
      <c r="BJ41" s="585" t="str">
        <f>IFERROR(AVERAGEIFS(
'STH Efficacy'!$CD:$CD, 
'STH Efficacy'!$BS:$BS, $A41, 
'STH Efficacy'!$BT:$BT, "Albendazole &amp; Ivermectin",
'STH Efficacy'!$BZ:$BZ,"&lt;2016",
'STH Efficacy'!$CU:$CU,""),
"")</f>
        <v/>
      </c>
      <c r="BK41" s="580">
        <f t="shared" si="23"/>
        <v>0.696</v>
      </c>
      <c r="BL41" s="575" t="str">
        <f>IFERROR(
  AVERAGEIFS(
    'NEW Onchocerciasis Efficacy'!$AO:$AO,
    'NEW Onchocerciasis Efficacy'!$C:$C,$A41,
    'NEW Onchocerciasis Efficacy'!$D:$D,"Ivermectin",
    'NEW Onchocerciasis Efficacy'!$AR:$AR,"&lt;2016",
    'NEW Onchocerciasis Efficacy'!$BG:$BG,"")
,"")</f>
        <v/>
      </c>
      <c r="BM41" s="586">
        <f t="shared" si="24"/>
        <v>0.8390421645</v>
      </c>
      <c r="BN41" s="587">
        <v>0.0</v>
      </c>
      <c r="BO41" s="588">
        <v>0.0</v>
      </c>
      <c r="BP41" s="589">
        <v>0.0</v>
      </c>
      <c r="BQ41" s="590">
        <f t="shared" si="25"/>
        <v>0</v>
      </c>
      <c r="BR41" s="560" t="str">
        <f t="shared" si="26"/>
        <v>0000</v>
      </c>
      <c r="BS41" s="560" t="str">
        <f t="shared" si="27"/>
        <v>no action required</v>
      </c>
      <c r="BT41" s="361" t="str">
        <f t="shared" si="28"/>
        <v/>
      </c>
      <c r="BU41" s="591" t="str">
        <f t="shared" si="29"/>
        <v/>
      </c>
      <c r="BV41" s="560" t="str">
        <f t="shared" si="30"/>
        <v>none</v>
      </c>
      <c r="BW41" s="150" t="str">
        <f t="shared" si="31"/>
        <v/>
      </c>
      <c r="BX41" s="150" t="str">
        <f t="shared" si="32"/>
        <v/>
      </c>
      <c r="BY41" s="151" t="str">
        <f t="shared" si="33"/>
        <v/>
      </c>
      <c r="BZ41" s="152" t="str">
        <f t="shared" si="34"/>
        <v/>
      </c>
      <c r="CA41" s="152" t="str">
        <f t="shared" si="35"/>
        <v/>
      </c>
      <c r="CB41" s="152" t="str">
        <f t="shared" si="36"/>
        <v/>
      </c>
      <c r="CC41" s="153" t="str">
        <f t="shared" si="37"/>
        <v/>
      </c>
      <c r="CD41" s="153" t="str">
        <f t="shared" si="38"/>
        <v/>
      </c>
      <c r="CE41" s="154" t="str">
        <f t="shared" si="39"/>
        <v/>
      </c>
      <c r="CF41" s="154" t="str">
        <f t="shared" si="40"/>
        <v/>
      </c>
      <c r="CG41" s="154" t="str">
        <f t="shared" si="41"/>
        <v/>
      </c>
      <c r="CH41" s="308" t="str">
        <f t="shared" si="42"/>
        <v/>
      </c>
    </row>
    <row r="42">
      <c r="A42" s="599" t="s">
        <v>131</v>
      </c>
      <c r="B42" s="560" t="s">
        <v>98</v>
      </c>
      <c r="C42" s="561">
        <v>59963.0</v>
      </c>
      <c r="D42" s="562"/>
      <c r="E42" s="610"/>
      <c r="F42" s="611"/>
      <c r="G42" s="611"/>
      <c r="H42" s="611"/>
      <c r="I42" s="566"/>
      <c r="J42" s="566"/>
      <c r="K42" s="566"/>
      <c r="L42" s="612"/>
      <c r="M42" s="612"/>
      <c r="N42" s="612"/>
      <c r="O42" s="308"/>
      <c r="P42" s="150"/>
      <c r="Q42" s="150"/>
      <c r="R42" s="571"/>
      <c r="S42" s="116">
        <f t="shared" si="6"/>
        <v>0.6451333333</v>
      </c>
      <c r="T42" s="151"/>
      <c r="U42" s="572">
        <f t="shared" si="7"/>
        <v>0.0025</v>
      </c>
      <c r="V42" s="598"/>
      <c r="W42" s="574">
        <f t="shared" si="8"/>
        <v>0.56882</v>
      </c>
      <c r="X42" s="598"/>
      <c r="Y42" s="574">
        <f t="shared" si="9"/>
        <v>0.5825818182</v>
      </c>
      <c r="Z42" s="308"/>
      <c r="AA42" s="308"/>
      <c r="AB42" s="575" t="str">
        <f t="shared" si="10"/>
        <v/>
      </c>
      <c r="AC42" s="576">
        <f t="shared" si="11"/>
        <v>0.7574216602</v>
      </c>
      <c r="AD42" s="571"/>
      <c r="AE42" s="583"/>
      <c r="AF42" s="583"/>
      <c r="AG42" s="131"/>
      <c r="AH42" s="131"/>
      <c r="AI42" s="584"/>
      <c r="AJ42" s="584"/>
      <c r="AK42" s="585"/>
      <c r="AL42" s="585"/>
      <c r="AM42" s="575"/>
      <c r="AN42" s="571" t="str">
        <f>IFERROR(
  AVERAGEIFS(
    'New LF Efficacy'!$J:$J,
    'New LF Efficacy'!$D:$D, $A42,
    'New LF Efficacy'!$F:$F,"DEC", 
    'New LF Efficacy'!$W:$W,"&lt;2016",
    'New LF Efficacy'!$AA:$AA,""),
  ""
)</f>
        <v/>
      </c>
      <c r="AO42" s="582">
        <f t="shared" si="12"/>
        <v>0.2589833333</v>
      </c>
      <c r="AP42" s="571" t="str">
        <f>IFERROR(
AVERAGEIFS(
'New LF Efficacy'!$J:$J,
'New LF Efficacy'!$D:$D,$A42,
'New LF Efficacy'!$F:$F,"Albendazole &amp; DEC",
'New LF Efficacy'!$W:$W,"&lt;2016",
'New LF Efficacy'!$AA:$AA,""),
"")</f>
        <v/>
      </c>
      <c r="AQ42" s="582">
        <f t="shared" si="13"/>
        <v>0.3465</v>
      </c>
      <c r="AR42" s="571" t="str">
        <f>IFERROR(
AVERAGEIFS(
'New LF Efficacy'!$J:$J,
'New LF Efficacy'!$D:$D,$A42,
'New LF Efficacy'!$F:$F,"Albendazole &amp; Ivermectin", 
'New LF Efficacy'!$W:$W,"&lt;2016",
'New LF Efficacy'!$AA:$AA,""),"")</f>
        <v/>
      </c>
      <c r="AS42" s="582">
        <f t="shared" si="14"/>
        <v>0.7575</v>
      </c>
      <c r="AT42" s="583" t="str">
        <f>IFERROR(AVERAGEIFS(
'Schist Efficacy'!$O:$O, 
'Schist Efficacy'!$C:$C,$A42, 
'Schist Efficacy'!$D:$D, "Praziquantel",
'Schist Efficacy'!$J:$J,"&lt;2016",
'Schist Efficacy'!$U:$U,""),
"")</f>
        <v/>
      </c>
      <c r="AU42" s="572">
        <f t="shared" si="15"/>
        <v>0.7914761905</v>
      </c>
      <c r="AV42" s="131" t="str">
        <f>IFERROR(AVERAGEIFS(
'STH Efficacy'!$AX:$AX, 
'STH Efficacy'!$AL:$AL, $A42, 
'STH Efficacy'!$AM:$AM, "Albendazole",
'STH Efficacy'!$AS:$AS,"&lt;2016",
'STH Efficacy'!$BP:$BP,""),
"")</f>
        <v/>
      </c>
      <c r="AW42" s="132">
        <f t="shared" si="16"/>
        <v>0.3945</v>
      </c>
      <c r="AX42" s="131" t="str">
        <f>IFERROR(AVERAGEIFS(
'STH Efficacy'!$AX:$AX, 
'STH Efficacy'!$AL:$AL, $A42, 
'STH Efficacy'!$AM:$AM, "Mebendazole",
'STH Efficacy'!$AS:$AS,"&lt;2016",
'STH Efficacy'!$BP:$BP,""),
"")</f>
        <v/>
      </c>
      <c r="AY42" s="132">
        <f t="shared" si="17"/>
        <v>0.6</v>
      </c>
      <c r="AZ42" s="131" t="str">
        <f>IFERROR(AVERAGEIFS(
'STH Efficacy'!$AX:$AX, 
'STH Efficacy'!$AL:$AL, $A42, 
'STH Efficacy'!$AM:$AM, "Albendazole &amp; Ivermectin",
'STH Efficacy'!$AS:$AS,"&lt;2016",
'STH Efficacy'!$BP:$BP,""),
"")</f>
        <v/>
      </c>
      <c r="BA42" s="303">
        <f t="shared" si="18"/>
        <v>0.796</v>
      </c>
      <c r="BB42" s="584" t="str">
        <f>IFERROR(AVERAGEIFS(
'STH Efficacy'!$N:$N, 
'STH Efficacy'!$B:$B, $A42, 
'STH Efficacy'!$C:$C, "Albendazole",
'STH Efficacy'!$I:$I,"&lt;2016",
'STH Efficacy'!$AH:$AH,""),
"")</f>
        <v/>
      </c>
      <c r="BC42" s="579">
        <f t="shared" si="19"/>
        <v>0.869</v>
      </c>
      <c r="BD42" s="584" t="str">
        <f>IFERROR(AVERAGEIFS(
'STH Efficacy'!$N:$N, 
'STH Efficacy'!$B:$B, $A42, 
'STH Efficacy'!$C:$C, "Mebendazole",
'STH Efficacy'!$I:$I,"&lt;2016",
'STH Efficacy'!$AH:$AH,""),
"")</f>
        <v/>
      </c>
      <c r="BE42" s="579">
        <f t="shared" si="20"/>
        <v>0.172</v>
      </c>
      <c r="BF42" s="585" t="str">
        <f>IFERROR(AVERAGEIFS(
'STH Efficacy'!$CD:$CD, 
'STH Efficacy'!$BS:$BS, $A42, 
'STH Efficacy'!$BT:$BT, "Albendazole",
'STH Efficacy'!$BZ:$BZ,"&lt;2016",
'STH Efficacy'!$CU:$CU,""),
"")</f>
        <v/>
      </c>
      <c r="BG42" s="580">
        <f t="shared" si="21"/>
        <v>0.9862</v>
      </c>
      <c r="BH42" s="585" t="str">
        <f>IFERROR(AVERAGEIFS(
'STH Efficacy'!$CD:$CD, 
'STH Efficacy'!$BS:$BS, $A42, 
'STH Efficacy'!$BT:$BT, "Mebendazole",
'STH Efficacy'!$BZ:$BZ,"&lt;2016",
'STH Efficacy'!$CU:$CU,""),
"")</f>
        <v/>
      </c>
      <c r="BI42" s="580">
        <f t="shared" si="22"/>
        <v>0.769</v>
      </c>
      <c r="BJ42" s="585" t="str">
        <f>IFERROR(AVERAGEIFS(
'STH Efficacy'!$CD:$CD, 
'STH Efficacy'!$BS:$BS, $A42, 
'STH Efficacy'!$BT:$BT, "Albendazole &amp; Ivermectin",
'STH Efficacy'!$BZ:$BZ,"&lt;2016",
'STH Efficacy'!$CU:$CU,""),
"")</f>
        <v/>
      </c>
      <c r="BK42" s="580">
        <f t="shared" si="23"/>
        <v>1</v>
      </c>
      <c r="BL42" s="575" t="str">
        <f>IFERROR(
  AVERAGEIFS(
    'NEW Onchocerciasis Efficacy'!$AO:$AO,
    'NEW Onchocerciasis Efficacy'!$C:$C,$A42,
    'NEW Onchocerciasis Efficacy'!$D:$D,"Ivermectin",
    'NEW Onchocerciasis Efficacy'!$AR:$AR,"&lt;2016",
    'NEW Onchocerciasis Efficacy'!$BG:$BG,"")
,"")</f>
        <v/>
      </c>
      <c r="BM42" s="586">
        <f t="shared" si="24"/>
        <v>0.3734</v>
      </c>
      <c r="BN42" s="587">
        <v>0.0</v>
      </c>
      <c r="BO42" s="588">
        <v>0.0</v>
      </c>
      <c r="BP42" s="589">
        <v>0.0</v>
      </c>
      <c r="BQ42" s="590">
        <f t="shared" si="25"/>
        <v>0</v>
      </c>
      <c r="BR42" s="560" t="str">
        <f t="shared" si="26"/>
        <v>0000</v>
      </c>
      <c r="BS42" s="560" t="str">
        <f t="shared" si="27"/>
        <v>no action required</v>
      </c>
      <c r="BT42" s="361" t="str">
        <f t="shared" si="28"/>
        <v/>
      </c>
      <c r="BU42" s="591" t="str">
        <f t="shared" si="29"/>
        <v/>
      </c>
      <c r="BV42" s="560" t="str">
        <f t="shared" si="30"/>
        <v>none</v>
      </c>
      <c r="BW42" s="150" t="str">
        <f t="shared" si="31"/>
        <v/>
      </c>
      <c r="BX42" s="150" t="str">
        <f t="shared" si="32"/>
        <v/>
      </c>
      <c r="BY42" s="151" t="str">
        <f t="shared" si="33"/>
        <v/>
      </c>
      <c r="BZ42" s="152" t="str">
        <f t="shared" si="34"/>
        <v/>
      </c>
      <c r="CA42" s="152" t="str">
        <f t="shared" si="35"/>
        <v/>
      </c>
      <c r="CB42" s="152" t="str">
        <f t="shared" si="36"/>
        <v/>
      </c>
      <c r="CC42" s="153" t="str">
        <f t="shared" si="37"/>
        <v/>
      </c>
      <c r="CD42" s="153" t="str">
        <f t="shared" si="38"/>
        <v/>
      </c>
      <c r="CE42" s="154" t="str">
        <f t="shared" si="39"/>
        <v/>
      </c>
      <c r="CF42" s="154" t="str">
        <f t="shared" si="40"/>
        <v/>
      </c>
      <c r="CG42" s="154" t="str">
        <f t="shared" si="41"/>
        <v/>
      </c>
      <c r="CH42" s="308" t="str">
        <f t="shared" si="42"/>
        <v/>
      </c>
    </row>
    <row r="43">
      <c r="A43" s="559" t="s">
        <v>132</v>
      </c>
      <c r="B43" s="560" t="s">
        <v>92</v>
      </c>
      <c r="C43" s="561">
        <v>4546100.0</v>
      </c>
      <c r="D43" s="562">
        <v>2834.776488</v>
      </c>
      <c r="E43" s="563">
        <v>4268.744845517</v>
      </c>
      <c r="F43" s="564">
        <v>0.014236133</v>
      </c>
      <c r="G43" s="564">
        <v>0.135613945</v>
      </c>
      <c r="H43" s="564">
        <v>0.73849284</v>
      </c>
      <c r="I43" s="565">
        <v>145.8017124</v>
      </c>
      <c r="J43" s="566">
        <v>462.311011764965</v>
      </c>
      <c r="K43" s="566">
        <v>1725.31416834416</v>
      </c>
      <c r="L43" s="567">
        <v>334.7233872</v>
      </c>
      <c r="M43" s="568">
        <v>41.3253838776377</v>
      </c>
      <c r="N43" s="568">
        <v>396.295045815557</v>
      </c>
      <c r="O43" s="569">
        <v>20883.0</v>
      </c>
      <c r="P43" s="601" t="s">
        <v>397</v>
      </c>
      <c r="Q43" s="150" t="s">
        <v>395</v>
      </c>
      <c r="R43" s="150" t="s">
        <v>395</v>
      </c>
      <c r="S43" s="116" t="str">
        <f t="shared" si="6"/>
        <v> </v>
      </c>
      <c r="T43" s="620" t="s">
        <v>395</v>
      </c>
      <c r="U43" s="621" t="str">
        <f t="shared" si="7"/>
        <v> </v>
      </c>
      <c r="V43" s="573">
        <v>1.0</v>
      </c>
      <c r="W43" s="574">
        <f t="shared" si="8"/>
        <v>1</v>
      </c>
      <c r="X43" s="598"/>
      <c r="Y43" s="574">
        <f t="shared" si="9"/>
        <v>0.6822424242</v>
      </c>
      <c r="Z43" s="604">
        <v>2485741.0</v>
      </c>
      <c r="AA43" s="625" t="s">
        <v>395</v>
      </c>
      <c r="AB43" s="575" t="str">
        <f t="shared" si="10"/>
        <v/>
      </c>
      <c r="AC43" s="576">
        <f t="shared" si="11"/>
        <v>0.6507101914</v>
      </c>
      <c r="AD43" s="577">
        <v>0.08716627079</v>
      </c>
      <c r="AE43" s="572">
        <v>0.0450081731</v>
      </c>
      <c r="AF43" s="578">
        <v>0.007009621978</v>
      </c>
      <c r="AG43" s="132">
        <v>0.03167874298</v>
      </c>
      <c r="AH43" s="132">
        <v>0.104915776</v>
      </c>
      <c r="AI43" s="579">
        <v>0.07367813461</v>
      </c>
      <c r="AJ43" s="579">
        <v>0.0936621395</v>
      </c>
      <c r="AK43" s="580">
        <v>0.08943515122</v>
      </c>
      <c r="AL43" s="580">
        <v>0.1080499423</v>
      </c>
      <c r="AM43" s="581">
        <v>0.06425218559</v>
      </c>
      <c r="AN43" s="571" t="str">
        <f>IFERROR(
  AVERAGEIFS(
    'New LF Efficacy'!$J:$J,
    'New LF Efficacy'!$D:$D, $A43,
    'New LF Efficacy'!$F:$F,"DEC", 
    'New LF Efficacy'!$W:$W,"&lt;2016",
    'New LF Efficacy'!$AA:$AA,""),
  ""
)</f>
        <v/>
      </c>
      <c r="AO43" s="582">
        <f t="shared" si="12"/>
        <v>0.31225</v>
      </c>
      <c r="AP43" s="571" t="str">
        <f>IFERROR(
AVERAGEIFS(
'New LF Efficacy'!$J:$J,
'New LF Efficacy'!$D:$D,$A43,
'New LF Efficacy'!$F:$F,"Albendazole &amp; DEC",
'New LF Efficacy'!$W:$W,"&lt;2016",
'New LF Efficacy'!$AA:$AA,""),
"")</f>
        <v/>
      </c>
      <c r="AQ43" s="582">
        <f t="shared" si="13"/>
        <v>0.4</v>
      </c>
      <c r="AR43" s="571" t="str">
        <f>IFERROR(
AVERAGEIFS(
'New LF Efficacy'!$J:$J,
'New LF Efficacy'!$D:$D,$A43,
'New LF Efficacy'!$F:$F,"Albendazole &amp; Ivermectin", 
'New LF Efficacy'!$W:$W,"&lt;2016",
'New LF Efficacy'!$AA:$AA,""),"")</f>
        <v/>
      </c>
      <c r="AS43" s="582">
        <f t="shared" si="14"/>
        <v>0.2943125</v>
      </c>
      <c r="AT43" s="583" t="str">
        <f>IFERROR(AVERAGEIFS(
'Schist Efficacy'!$O:$O, 
'Schist Efficacy'!$C:$C,$A43, 
'Schist Efficacy'!$D:$D, "Praziquantel",
'Schist Efficacy'!$J:$J,"&lt;2016",
'Schist Efficacy'!$U:$U,""),
"")</f>
        <v/>
      </c>
      <c r="AU43" s="572">
        <f t="shared" si="15"/>
        <v>0.7206464759</v>
      </c>
      <c r="AV43" s="131" t="str">
        <f>IFERROR(AVERAGEIFS(
'STH Efficacy'!$AX:$AX, 
'STH Efficacy'!$AL:$AL, $A43, 
'STH Efficacy'!$AM:$AM, "Albendazole",
'STH Efficacy'!$AS:$AS,"&lt;2016",
'STH Efficacy'!$BP:$BP,""),
"")</f>
        <v/>
      </c>
      <c r="AW43" s="132">
        <f t="shared" si="16"/>
        <v>0.3816333333</v>
      </c>
      <c r="AX43" s="131" t="str">
        <f>IFERROR(AVERAGEIFS(
'STH Efficacy'!$AX:$AX, 
'STH Efficacy'!$AL:$AL, $A43, 
'STH Efficacy'!$AM:$AM, "Mebendazole",
'STH Efficacy'!$AS:$AS,"&lt;2016",
'STH Efficacy'!$BP:$BP,""),
"")</f>
        <v/>
      </c>
      <c r="AY43" s="132">
        <f t="shared" si="17"/>
        <v>0.4859375</v>
      </c>
      <c r="AZ43" s="131" t="str">
        <f>IFERROR(AVERAGEIFS(
'STH Efficacy'!$AX:$AX, 
'STH Efficacy'!$AL:$AL, $A43, 
'STH Efficacy'!$AM:$AM, "Albendazole &amp; Ivermectin",
'STH Efficacy'!$AS:$AS,"&lt;2016",
'STH Efficacy'!$BP:$BP,""),
"")</f>
        <v/>
      </c>
      <c r="BA43" s="303">
        <f t="shared" si="18"/>
        <v>0.47175</v>
      </c>
      <c r="BB43" s="584" t="str">
        <f>IFERROR(AVERAGEIFS(
'STH Efficacy'!$N:$N, 
'STH Efficacy'!$B:$B, $A43, 
'STH Efficacy'!$C:$C, "Albendazole",
'STH Efficacy'!$I:$I,"&lt;2016",
'STH Efficacy'!$AH:$AH,""),
"")</f>
        <v/>
      </c>
      <c r="BC43" s="579">
        <f t="shared" si="19"/>
        <v>0.8699166667</v>
      </c>
      <c r="BD43" s="584" t="str">
        <f>IFERROR(AVERAGEIFS(
'STH Efficacy'!$N:$N, 
'STH Efficacy'!$B:$B, $A43, 
'STH Efficacy'!$C:$C, "Mebendazole",
'STH Efficacy'!$I:$I,"&lt;2016",
'STH Efficacy'!$AH:$AH,""),
"")</f>
        <v/>
      </c>
      <c r="BE43" s="579">
        <f t="shared" si="20"/>
        <v>0.7092416667</v>
      </c>
      <c r="BF43" s="585" t="str">
        <f>IFERROR(AVERAGEIFS(
'STH Efficacy'!$CD:$CD, 
'STH Efficacy'!$BS:$BS, $A43, 
'STH Efficacy'!$BT:$BT, "Albendazole",
'STH Efficacy'!$BZ:$BZ,"&lt;2016",
'STH Efficacy'!$CU:$CU,""),
"")</f>
        <v/>
      </c>
      <c r="BG43" s="580">
        <f t="shared" si="21"/>
        <v>0.9066666667</v>
      </c>
      <c r="BH43" s="585" t="str">
        <f>IFERROR(AVERAGEIFS(
'STH Efficacy'!$CD:$CD, 
'STH Efficacy'!$BS:$BS, $A43, 
'STH Efficacy'!$BT:$BT, "Mebendazole",
'STH Efficacy'!$BZ:$BZ,"&lt;2016",
'STH Efficacy'!$CU:$CU,""),
"")</f>
        <v/>
      </c>
      <c r="BI43" s="580">
        <f t="shared" si="22"/>
        <v>0.8483333333</v>
      </c>
      <c r="BJ43" s="585" t="str">
        <f>IFERROR(AVERAGEIFS(
'STH Efficacy'!$CD:$CD, 
'STH Efficacy'!$BS:$BS, $A43, 
'STH Efficacy'!$BT:$BT, "Albendazole &amp; Ivermectin",
'STH Efficacy'!$BZ:$BZ,"&lt;2016",
'STH Efficacy'!$CU:$CU,""),
"")</f>
        <v/>
      </c>
      <c r="BK43" s="580">
        <f t="shared" si="23"/>
        <v>0.696</v>
      </c>
      <c r="BL43" s="575" t="str">
        <f>IFERROR(
  AVERAGEIFS(
    'NEW Onchocerciasis Efficacy'!$AO:$AO,
    'NEW Onchocerciasis Efficacy'!$C:$C,$A43,
    'NEW Onchocerciasis Efficacy'!$D:$D,"Ivermectin",
    'NEW Onchocerciasis Efficacy'!$AR:$AR,"&lt;2016",
    'NEW Onchocerciasis Efficacy'!$BG:$BG,"")
,"")</f>
        <v/>
      </c>
      <c r="BM43" s="586">
        <f t="shared" si="24"/>
        <v>0.8390421645</v>
      </c>
      <c r="BN43" s="587">
        <v>1.0</v>
      </c>
      <c r="BO43" s="588">
        <v>1.0</v>
      </c>
      <c r="BP43" s="589">
        <v>1.0</v>
      </c>
      <c r="BQ43" s="590">
        <f t="shared" si="25"/>
        <v>0</v>
      </c>
      <c r="BR43" s="560" t="str">
        <f t="shared" si="26"/>
        <v>1110</v>
      </c>
      <c r="BS43" s="560" t="str">
        <f t="shared" si="27"/>
        <v>MDA1+T2</v>
      </c>
      <c r="BT43" s="606" t="str">
        <f t="shared" si="28"/>
        <v>IVM+ALB</v>
      </c>
      <c r="BU43" s="560" t="str">
        <f t="shared" si="29"/>
        <v>PZQ</v>
      </c>
      <c r="BV43" s="560" t="str">
        <f t="shared" si="30"/>
        <v>lf+onch+schist </v>
      </c>
      <c r="BW43" s="150" t="str">
        <f t="shared" si="31"/>
        <v/>
      </c>
      <c r="BX43" s="150" t="str">
        <f t="shared" si="32"/>
        <v/>
      </c>
      <c r="BY43" s="151" t="str">
        <f t="shared" si="33"/>
        <v/>
      </c>
      <c r="BZ43" s="152" t="str">
        <f t="shared" si="34"/>
        <v/>
      </c>
      <c r="CA43" s="152" t="str">
        <f t="shared" si="35"/>
        <v/>
      </c>
      <c r="CB43" s="152" t="str">
        <f t="shared" si="36"/>
        <v/>
      </c>
      <c r="CC43" s="153" t="str">
        <f t="shared" si="37"/>
        <v/>
      </c>
      <c r="CD43" s="153" t="str">
        <f t="shared" si="38"/>
        <v/>
      </c>
      <c r="CE43" s="154" t="str">
        <f t="shared" si="39"/>
        <v/>
      </c>
      <c r="CF43" s="154" t="str">
        <f t="shared" si="40"/>
        <v/>
      </c>
      <c r="CG43" s="154" t="str">
        <f t="shared" si="41"/>
        <v/>
      </c>
      <c r="CH43" s="609">
        <f t="shared" si="42"/>
        <v>837.069703</v>
      </c>
    </row>
    <row r="44">
      <c r="A44" s="559" t="s">
        <v>133</v>
      </c>
      <c r="B44" s="560" t="s">
        <v>92</v>
      </c>
      <c r="C44" s="561">
        <v>1.4009413E7</v>
      </c>
      <c r="D44" s="562">
        <v>7290.748119</v>
      </c>
      <c r="E44" s="563">
        <v>14610.5440162944</v>
      </c>
      <c r="F44" s="564">
        <v>3.3428604</v>
      </c>
      <c r="G44" s="564">
        <v>17.67376679</v>
      </c>
      <c r="H44" s="564">
        <v>41.75394406</v>
      </c>
      <c r="I44" s="565">
        <v>1933.69397</v>
      </c>
      <c r="J44" s="566">
        <v>5406.61294431757</v>
      </c>
      <c r="K44" s="566">
        <v>18249.0582608832</v>
      </c>
      <c r="L44" s="567">
        <v>1646.183838</v>
      </c>
      <c r="M44" s="568">
        <v>164.078285332875</v>
      </c>
      <c r="N44" s="568">
        <v>1839.31688297043</v>
      </c>
      <c r="O44" s="569">
        <v>17324.2</v>
      </c>
      <c r="P44" s="601">
        <v>211845.483236</v>
      </c>
      <c r="Q44" s="618">
        <v>3074858.0</v>
      </c>
      <c r="R44" s="603">
        <v>0.679</v>
      </c>
      <c r="S44" s="116">
        <f t="shared" si="6"/>
        <v>0.679</v>
      </c>
      <c r="T44" s="572">
        <v>0.5774</v>
      </c>
      <c r="U44" s="572">
        <f t="shared" si="7"/>
        <v>0.5774</v>
      </c>
      <c r="V44" s="573">
        <v>1.0</v>
      </c>
      <c r="W44" s="574">
        <f t="shared" si="8"/>
        <v>1</v>
      </c>
      <c r="X44" s="573">
        <v>0.2572</v>
      </c>
      <c r="Y44" s="574">
        <f t="shared" si="9"/>
        <v>0.2572</v>
      </c>
      <c r="Z44" s="604">
        <v>5641756.0</v>
      </c>
      <c r="AA44" s="604">
        <v>3710291.0</v>
      </c>
      <c r="AB44" s="576">
        <f t="shared" si="10"/>
        <v>0.657648257</v>
      </c>
      <c r="AC44" s="576">
        <f t="shared" si="11"/>
        <v>0.657648257</v>
      </c>
      <c r="AD44" s="577">
        <v>0.01421695542</v>
      </c>
      <c r="AE44" s="572">
        <v>0.07218807526</v>
      </c>
      <c r="AF44" s="578">
        <v>0.003304824284</v>
      </c>
      <c r="AG44" s="132">
        <v>0.02876480465</v>
      </c>
      <c r="AH44" s="132">
        <v>0.095373695</v>
      </c>
      <c r="AI44" s="579">
        <v>0.182350747</v>
      </c>
      <c r="AJ44" s="579">
        <v>0.2334837386</v>
      </c>
      <c r="AK44" s="580">
        <v>0.1109589762</v>
      </c>
      <c r="AL44" s="580">
        <v>0.1354940798</v>
      </c>
      <c r="AM44" s="581">
        <v>0.01689174455</v>
      </c>
      <c r="AN44" s="571" t="str">
        <f>IFERROR(
  AVERAGEIFS(
    'New LF Efficacy'!$J:$J,
    'New LF Efficacy'!$D:$D, $A44,
    'New LF Efficacy'!$F:$F,"DEC", 
    'New LF Efficacy'!$W:$W,"&lt;2016",
    'New LF Efficacy'!$AA:$AA,""),
  ""
)</f>
        <v/>
      </c>
      <c r="AO44" s="582">
        <f t="shared" si="12"/>
        <v>0.31225</v>
      </c>
      <c r="AP44" s="571" t="str">
        <f>IFERROR(
AVERAGEIFS(
'New LF Efficacy'!$J:$J,
'New LF Efficacy'!$D:$D,$A44,
'New LF Efficacy'!$F:$F,"Albendazole &amp; DEC",
'New LF Efficacy'!$W:$W,"&lt;2016",
'New LF Efficacy'!$AA:$AA,""),
"")</f>
        <v/>
      </c>
      <c r="AQ44" s="582">
        <f t="shared" si="13"/>
        <v>0.4</v>
      </c>
      <c r="AR44" s="571" t="str">
        <f>IFERROR(
AVERAGEIFS(
'New LF Efficacy'!$J:$J,
'New LF Efficacy'!$D:$D,$A44,
'New LF Efficacy'!$F:$F,"Albendazole &amp; Ivermectin", 
'New LF Efficacy'!$W:$W,"&lt;2016",
'New LF Efficacy'!$AA:$AA,""),"")</f>
        <v/>
      </c>
      <c r="AS44" s="582">
        <f t="shared" si="14"/>
        <v>0.2943125</v>
      </c>
      <c r="AT44" s="583" t="str">
        <f>IFERROR(AVERAGEIFS(
'Schist Efficacy'!$O:$O, 
'Schist Efficacy'!$C:$C,$A44, 
'Schist Efficacy'!$D:$D, "Praziquantel",
'Schist Efficacy'!$J:$J,"&lt;2016",
'Schist Efficacy'!$U:$U,""),
"")</f>
        <v/>
      </c>
      <c r="AU44" s="572">
        <f t="shared" si="15"/>
        <v>0.7206464759</v>
      </c>
      <c r="AV44" s="131" t="str">
        <f>IFERROR(AVERAGEIFS(
'STH Efficacy'!$AX:$AX, 
'STH Efficacy'!$AL:$AL, $A44, 
'STH Efficacy'!$AM:$AM, "Albendazole",
'STH Efficacy'!$AS:$AS,"&lt;2016",
'STH Efficacy'!$BP:$BP,""),
"")</f>
        <v/>
      </c>
      <c r="AW44" s="132">
        <f t="shared" si="16"/>
        <v>0.3816333333</v>
      </c>
      <c r="AX44" s="131" t="str">
        <f>IFERROR(AVERAGEIFS(
'STH Efficacy'!$AX:$AX, 
'STH Efficacy'!$AL:$AL, $A44, 
'STH Efficacy'!$AM:$AM, "Mebendazole",
'STH Efficacy'!$AS:$AS,"&lt;2016",
'STH Efficacy'!$BP:$BP,""),
"")</f>
        <v/>
      </c>
      <c r="AY44" s="132">
        <f t="shared" si="17"/>
        <v>0.4859375</v>
      </c>
      <c r="AZ44" s="131" t="str">
        <f>IFERROR(AVERAGEIFS(
'STH Efficacy'!$AX:$AX, 
'STH Efficacy'!$AL:$AL, $A44, 
'STH Efficacy'!$AM:$AM, "Albendazole &amp; Ivermectin",
'STH Efficacy'!$AS:$AS,"&lt;2016",
'STH Efficacy'!$BP:$BP,""),
"")</f>
        <v/>
      </c>
      <c r="BA44" s="303">
        <f t="shared" si="18"/>
        <v>0.47175</v>
      </c>
      <c r="BB44" s="584" t="str">
        <f>IFERROR(AVERAGEIFS(
'STH Efficacy'!$N:$N, 
'STH Efficacy'!$B:$B, $A44, 
'STH Efficacy'!$C:$C, "Albendazole",
'STH Efficacy'!$I:$I,"&lt;2016",
'STH Efficacy'!$AH:$AH,""),
"")</f>
        <v/>
      </c>
      <c r="BC44" s="579">
        <f t="shared" si="19"/>
        <v>0.8699166667</v>
      </c>
      <c r="BD44" s="584" t="str">
        <f>IFERROR(AVERAGEIFS(
'STH Efficacy'!$N:$N, 
'STH Efficacy'!$B:$B, $A44, 
'STH Efficacy'!$C:$C, "Mebendazole",
'STH Efficacy'!$I:$I,"&lt;2016",
'STH Efficacy'!$AH:$AH,""),
"")</f>
        <v/>
      </c>
      <c r="BE44" s="579">
        <f t="shared" si="20"/>
        <v>0.7092416667</v>
      </c>
      <c r="BF44" s="585" t="str">
        <f>IFERROR(AVERAGEIFS(
'STH Efficacy'!$CD:$CD, 
'STH Efficacy'!$BS:$BS, $A44, 
'STH Efficacy'!$BT:$BT, "Albendazole",
'STH Efficacy'!$BZ:$BZ,"&lt;2016",
'STH Efficacy'!$CU:$CU,""),
"")</f>
        <v/>
      </c>
      <c r="BG44" s="580">
        <f t="shared" si="21"/>
        <v>0.9066666667</v>
      </c>
      <c r="BH44" s="585" t="str">
        <f>IFERROR(AVERAGEIFS(
'STH Efficacy'!$CD:$CD, 
'STH Efficacy'!$BS:$BS, $A44, 
'STH Efficacy'!$BT:$BT, "Mebendazole",
'STH Efficacy'!$BZ:$BZ,"&lt;2016",
'STH Efficacy'!$CU:$CU,""),
"")</f>
        <v/>
      </c>
      <c r="BI44" s="580">
        <f t="shared" si="22"/>
        <v>0.8483333333</v>
      </c>
      <c r="BJ44" s="585" t="str">
        <f>IFERROR(AVERAGEIFS(
'STH Efficacy'!$CD:$CD, 
'STH Efficacy'!$BS:$BS, $A44, 
'STH Efficacy'!$BT:$BT, "Albendazole &amp; Ivermectin",
'STH Efficacy'!$BZ:$BZ,"&lt;2016",
'STH Efficacy'!$CU:$CU,""),
"")</f>
        <v/>
      </c>
      <c r="BK44" s="580">
        <f t="shared" si="23"/>
        <v>0.696</v>
      </c>
      <c r="BL44" s="575" t="str">
        <f>IFERROR(
  AVERAGEIFS(
    'NEW Onchocerciasis Efficacy'!$AO:$AO,
    'NEW Onchocerciasis Efficacy'!$C:$C,$A44,
    'NEW Onchocerciasis Efficacy'!$D:$D,"Ivermectin",
    'NEW Onchocerciasis Efficacy'!$AR:$AR,"&lt;2016",
    'NEW Onchocerciasis Efficacy'!$BG:$BG,"")
,"")</f>
        <v/>
      </c>
      <c r="BM44" s="586">
        <f t="shared" si="24"/>
        <v>0.8390421645</v>
      </c>
      <c r="BN44" s="587">
        <v>1.0</v>
      </c>
      <c r="BO44" s="588">
        <v>1.0</v>
      </c>
      <c r="BP44" s="589">
        <v>1.0</v>
      </c>
      <c r="BQ44" s="590">
        <f t="shared" si="25"/>
        <v>0</v>
      </c>
      <c r="BR44" s="560" t="str">
        <f t="shared" si="26"/>
        <v>1110</v>
      </c>
      <c r="BS44" s="560" t="str">
        <f t="shared" si="27"/>
        <v>MDA1+T2</v>
      </c>
      <c r="BT44" s="606" t="str">
        <f t="shared" si="28"/>
        <v>IVM+ALB</v>
      </c>
      <c r="BU44" s="560" t="str">
        <f t="shared" si="29"/>
        <v>PZQ</v>
      </c>
      <c r="BV44" s="560" t="str">
        <f t="shared" si="30"/>
        <v>lf+onch+schist </v>
      </c>
      <c r="BW44" s="150" t="str">
        <f t="shared" si="31"/>
        <v/>
      </c>
      <c r="BX44" s="607">
        <f t="shared" si="32"/>
        <v>1820.844068</v>
      </c>
      <c r="BY44" s="608">
        <f t="shared" si="33"/>
        <v>10411.8501</v>
      </c>
      <c r="BZ44" s="152" t="str">
        <f t="shared" si="34"/>
        <v/>
      </c>
      <c r="CA44" s="152" t="str">
        <f t="shared" si="35"/>
        <v/>
      </c>
      <c r="CB44" s="152" t="str">
        <f t="shared" si="36"/>
        <v/>
      </c>
      <c r="CC44" s="153" t="str">
        <f t="shared" si="37"/>
        <v/>
      </c>
      <c r="CD44" s="153" t="str">
        <f t="shared" si="38"/>
        <v/>
      </c>
      <c r="CE44" s="154" t="str">
        <f t="shared" si="39"/>
        <v/>
      </c>
      <c r="CF44" s="154" t="str">
        <f t="shared" si="40"/>
        <v/>
      </c>
      <c r="CG44" s="154" t="str">
        <f t="shared" si="41"/>
        <v/>
      </c>
      <c r="CH44" s="609">
        <f t="shared" si="42"/>
        <v>710.9389779</v>
      </c>
    </row>
    <row r="45">
      <c r="A45" s="559" t="s">
        <v>134</v>
      </c>
      <c r="B45" s="560" t="s">
        <v>98</v>
      </c>
      <c r="C45" s="561">
        <v>1.7762681E7</v>
      </c>
      <c r="D45" s="562">
        <v>0.0</v>
      </c>
      <c r="E45" s="563">
        <v>0.0</v>
      </c>
      <c r="F45" s="564">
        <v>0.323714481</v>
      </c>
      <c r="G45" s="564">
        <v>2.481733804</v>
      </c>
      <c r="H45" s="564">
        <v>18.15699365</v>
      </c>
      <c r="I45" s="565">
        <v>1.161374756</v>
      </c>
      <c r="J45" s="566">
        <v>16.2212069072345</v>
      </c>
      <c r="K45" s="566">
        <v>171.874621864632</v>
      </c>
      <c r="L45" s="567">
        <v>6.67282433</v>
      </c>
      <c r="M45" s="568">
        <v>14.2233116053272</v>
      </c>
      <c r="N45" s="568">
        <v>73.0845946675098</v>
      </c>
      <c r="O45" s="569">
        <v>0.0</v>
      </c>
      <c r="P45" s="570"/>
      <c r="Q45" s="150"/>
      <c r="R45" s="571"/>
      <c r="S45" s="116">
        <f t="shared" si="6"/>
        <v>0.6451333333</v>
      </c>
      <c r="T45" s="151"/>
      <c r="U45" s="572">
        <f t="shared" si="7"/>
        <v>0.0025</v>
      </c>
      <c r="V45" s="598"/>
      <c r="W45" s="574">
        <f t="shared" si="8"/>
        <v>0.56882</v>
      </c>
      <c r="X45" s="598"/>
      <c r="Y45" s="574">
        <f t="shared" si="9"/>
        <v>0.5825818182</v>
      </c>
      <c r="Z45" s="308"/>
      <c r="AA45" s="308"/>
      <c r="AB45" s="575" t="str">
        <f t="shared" si="10"/>
        <v/>
      </c>
      <c r="AC45" s="576">
        <f t="shared" si="11"/>
        <v>0.7574216602</v>
      </c>
      <c r="AD45" s="577">
        <v>0.0</v>
      </c>
      <c r="AE45" s="572">
        <v>0.0</v>
      </c>
      <c r="AF45" s="578">
        <v>0.0</v>
      </c>
      <c r="AG45" s="132">
        <v>0.01491296284</v>
      </c>
      <c r="AH45" s="132">
        <v>0.043257205</v>
      </c>
      <c r="AI45" s="579">
        <v>0.009898799577</v>
      </c>
      <c r="AJ45" s="579">
        <v>0.01100177207</v>
      </c>
      <c r="AK45" s="580">
        <v>0.01044414228</v>
      </c>
      <c r="AL45" s="580">
        <v>0.01104939139</v>
      </c>
      <c r="AM45" s="581">
        <v>0.0</v>
      </c>
      <c r="AN45" s="571" t="str">
        <f>IFERROR(
  AVERAGEIFS(
    'New LF Efficacy'!$J:$J,
    'New LF Efficacy'!$D:$D, $A45,
    'New LF Efficacy'!$F:$F,"DEC", 
    'New LF Efficacy'!$W:$W,"&lt;2016",
    'New LF Efficacy'!$AA:$AA,""),
  ""
)</f>
        <v/>
      </c>
      <c r="AO45" s="582">
        <f t="shared" si="12"/>
        <v>0.2589833333</v>
      </c>
      <c r="AP45" s="571" t="str">
        <f>IFERROR(
AVERAGEIFS(
'New LF Efficacy'!$J:$J,
'New LF Efficacy'!$D:$D,$A45,
'New LF Efficacy'!$F:$F,"Albendazole &amp; DEC",
'New LF Efficacy'!$W:$W,"&lt;2016",
'New LF Efficacy'!$AA:$AA,""),
"")</f>
        <v/>
      </c>
      <c r="AQ45" s="582">
        <f t="shared" si="13"/>
        <v>0.3465</v>
      </c>
      <c r="AR45" s="571" t="str">
        <f>IFERROR(
AVERAGEIFS(
'New LF Efficacy'!$J:$J,
'New LF Efficacy'!$D:$D,$A45,
'New LF Efficacy'!$F:$F,"Albendazole &amp; Ivermectin", 
'New LF Efficacy'!$W:$W,"&lt;2016",
'New LF Efficacy'!$AA:$AA,""),"")</f>
        <v/>
      </c>
      <c r="AS45" s="582">
        <f t="shared" si="14"/>
        <v>0.7575</v>
      </c>
      <c r="AT45" s="583" t="str">
        <f>IFERROR(AVERAGEIFS(
'Schist Efficacy'!$O:$O, 
'Schist Efficacy'!$C:$C,$A45, 
'Schist Efficacy'!$D:$D, "Praziquantel",
'Schist Efficacy'!$J:$J,"&lt;2016",
'Schist Efficacy'!$U:$U,""),
"")</f>
        <v/>
      </c>
      <c r="AU45" s="572">
        <f t="shared" si="15"/>
        <v>0.7914761905</v>
      </c>
      <c r="AV45" s="131" t="str">
        <f>IFERROR(AVERAGEIFS(
'STH Efficacy'!$AX:$AX, 
'STH Efficacy'!$AL:$AL, $A45, 
'STH Efficacy'!$AM:$AM, "Albendazole",
'STH Efficacy'!$AS:$AS,"&lt;2016",
'STH Efficacy'!$BP:$BP,""),
"")</f>
        <v/>
      </c>
      <c r="AW45" s="132">
        <f t="shared" si="16"/>
        <v>0.3945</v>
      </c>
      <c r="AX45" s="131" t="str">
        <f>IFERROR(AVERAGEIFS(
'STH Efficacy'!$AX:$AX, 
'STH Efficacy'!$AL:$AL, $A45, 
'STH Efficacy'!$AM:$AM, "Mebendazole",
'STH Efficacy'!$AS:$AS,"&lt;2016",
'STH Efficacy'!$BP:$BP,""),
"")</f>
        <v/>
      </c>
      <c r="AY45" s="132">
        <f t="shared" si="17"/>
        <v>0.6</v>
      </c>
      <c r="AZ45" s="131" t="str">
        <f>IFERROR(AVERAGEIFS(
'STH Efficacy'!$AX:$AX, 
'STH Efficacy'!$AL:$AL, $A45, 
'STH Efficacy'!$AM:$AM, "Albendazole &amp; Ivermectin",
'STH Efficacy'!$AS:$AS,"&lt;2016",
'STH Efficacy'!$BP:$BP,""),
"")</f>
        <v/>
      </c>
      <c r="BA45" s="303">
        <f t="shared" si="18"/>
        <v>0.796</v>
      </c>
      <c r="BB45" s="584" t="str">
        <f>IFERROR(AVERAGEIFS(
'STH Efficacy'!$N:$N, 
'STH Efficacy'!$B:$B, $A45, 
'STH Efficacy'!$C:$C, "Albendazole",
'STH Efficacy'!$I:$I,"&lt;2016",
'STH Efficacy'!$AH:$AH,""),
"")</f>
        <v/>
      </c>
      <c r="BC45" s="579">
        <f t="shared" si="19"/>
        <v>0.869</v>
      </c>
      <c r="BD45" s="584" t="str">
        <f>IFERROR(AVERAGEIFS(
'STH Efficacy'!$N:$N, 
'STH Efficacy'!$B:$B, $A45, 
'STH Efficacy'!$C:$C, "Mebendazole",
'STH Efficacy'!$I:$I,"&lt;2016",
'STH Efficacy'!$AH:$AH,""),
"")</f>
        <v/>
      </c>
      <c r="BE45" s="579">
        <f t="shared" si="20"/>
        <v>0.172</v>
      </c>
      <c r="BF45" s="585" t="str">
        <f>IFERROR(AVERAGEIFS(
'STH Efficacy'!$CD:$CD, 
'STH Efficacy'!$BS:$BS, $A45, 
'STH Efficacy'!$BT:$BT, "Albendazole",
'STH Efficacy'!$BZ:$BZ,"&lt;2016",
'STH Efficacy'!$CU:$CU,""),
"")</f>
        <v/>
      </c>
      <c r="BG45" s="580">
        <f t="shared" si="21"/>
        <v>0.9862</v>
      </c>
      <c r="BH45" s="585" t="str">
        <f>IFERROR(AVERAGEIFS(
'STH Efficacy'!$CD:$CD, 
'STH Efficacy'!$BS:$BS, $A45, 
'STH Efficacy'!$BT:$BT, "Mebendazole",
'STH Efficacy'!$BZ:$BZ,"&lt;2016",
'STH Efficacy'!$CU:$CU,""),
"")</f>
        <v/>
      </c>
      <c r="BI45" s="580">
        <f t="shared" si="22"/>
        <v>0.769</v>
      </c>
      <c r="BJ45" s="585" t="str">
        <f>IFERROR(AVERAGEIFS(
'STH Efficacy'!$CD:$CD, 
'STH Efficacy'!$BS:$BS, $A45, 
'STH Efficacy'!$BT:$BT, "Albendazole &amp; Ivermectin",
'STH Efficacy'!$BZ:$BZ,"&lt;2016",
'STH Efficacy'!$CU:$CU,""),
"")</f>
        <v/>
      </c>
      <c r="BK45" s="580">
        <f t="shared" si="23"/>
        <v>1</v>
      </c>
      <c r="BL45" s="575" t="str">
        <f>IFERROR(
  AVERAGEIFS(
    'NEW Onchocerciasis Efficacy'!$AO:$AO,
    'NEW Onchocerciasis Efficacy'!$C:$C,$A45,
    'NEW Onchocerciasis Efficacy'!$D:$D,"Ivermectin",
    'NEW Onchocerciasis Efficacy'!$AR:$AR,"&lt;2016",
    'NEW Onchocerciasis Efficacy'!$BG:$BG,"")
,"")</f>
        <v/>
      </c>
      <c r="BM45" s="586">
        <f t="shared" si="24"/>
        <v>0.3734</v>
      </c>
      <c r="BN45" s="587">
        <v>0.0</v>
      </c>
      <c r="BO45" s="588">
        <v>0.0</v>
      </c>
      <c r="BP45" s="589">
        <v>0.0</v>
      </c>
      <c r="BQ45" s="590">
        <f t="shared" si="25"/>
        <v>0</v>
      </c>
      <c r="BR45" s="560" t="str">
        <f t="shared" si="26"/>
        <v>0000</v>
      </c>
      <c r="BS45" s="560" t="str">
        <f t="shared" si="27"/>
        <v>no action required</v>
      </c>
      <c r="BT45" s="361" t="str">
        <f t="shared" si="28"/>
        <v/>
      </c>
      <c r="BU45" s="591" t="str">
        <f t="shared" si="29"/>
        <v/>
      </c>
      <c r="BV45" s="560" t="str">
        <f t="shared" si="30"/>
        <v>none</v>
      </c>
      <c r="BW45" s="150" t="str">
        <f t="shared" si="31"/>
        <v/>
      </c>
      <c r="BX45" s="150" t="str">
        <f t="shared" si="32"/>
        <v/>
      </c>
      <c r="BY45" s="151" t="str">
        <f t="shared" si="33"/>
        <v/>
      </c>
      <c r="BZ45" s="152" t="str">
        <f t="shared" si="34"/>
        <v/>
      </c>
      <c r="CA45" s="152" t="str">
        <f t="shared" si="35"/>
        <v/>
      </c>
      <c r="CB45" s="152" t="str">
        <f t="shared" si="36"/>
        <v/>
      </c>
      <c r="CC45" s="153" t="str">
        <f t="shared" si="37"/>
        <v/>
      </c>
      <c r="CD45" s="153" t="str">
        <f t="shared" si="38"/>
        <v/>
      </c>
      <c r="CE45" s="154" t="str">
        <f t="shared" si="39"/>
        <v/>
      </c>
      <c r="CF45" s="154" t="str">
        <f t="shared" si="40"/>
        <v/>
      </c>
      <c r="CG45" s="154" t="str">
        <f t="shared" si="41"/>
        <v/>
      </c>
      <c r="CH45" s="308" t="str">
        <f t="shared" si="42"/>
        <v/>
      </c>
    </row>
    <row r="46">
      <c r="A46" s="559" t="s">
        <v>135</v>
      </c>
      <c r="B46" s="560" t="s">
        <v>94</v>
      </c>
      <c r="C46" s="561">
        <v>1.37122E9</v>
      </c>
      <c r="D46" s="562">
        <v>0.0</v>
      </c>
      <c r="E46" s="563">
        <v>33337.2814733274</v>
      </c>
      <c r="F46" s="564">
        <v>106.2579328</v>
      </c>
      <c r="G46" s="564">
        <v>757.3465649</v>
      </c>
      <c r="H46" s="564">
        <v>8537.341243</v>
      </c>
      <c r="I46" s="565">
        <v>2011.278921</v>
      </c>
      <c r="J46" s="566">
        <v>7699.10534032154</v>
      </c>
      <c r="K46" s="566">
        <v>97600.9477338963</v>
      </c>
      <c r="L46" s="567">
        <v>619.8830402</v>
      </c>
      <c r="M46" s="568">
        <v>969.925881276395</v>
      </c>
      <c r="N46" s="568">
        <v>5730.7515507162</v>
      </c>
      <c r="O46" s="569">
        <v>0.0</v>
      </c>
      <c r="P46" s="570"/>
      <c r="Q46" s="150"/>
      <c r="R46" s="571"/>
      <c r="S46" s="116">
        <f t="shared" si="6"/>
        <v>0.5322777778</v>
      </c>
      <c r="T46" s="626" t="s">
        <v>395</v>
      </c>
      <c r="U46" s="572" t="str">
        <f t="shared" si="7"/>
        <v> </v>
      </c>
      <c r="V46" s="598"/>
      <c r="W46" s="574">
        <f t="shared" si="8"/>
        <v>0.3593777778</v>
      </c>
      <c r="X46" s="598"/>
      <c r="Y46" s="574">
        <f t="shared" si="9"/>
        <v>0.5347375</v>
      </c>
      <c r="Z46" s="308"/>
      <c r="AA46" s="308"/>
      <c r="AB46" s="575" t="str">
        <f t="shared" si="10"/>
        <v/>
      </c>
      <c r="AC46" s="576">
        <f t="shared" si="11"/>
        <v>0.7192241206</v>
      </c>
      <c r="AD46" s="577">
        <v>0.0</v>
      </c>
      <c r="AE46" s="572">
        <v>0.002598553978</v>
      </c>
      <c r="AF46" s="578">
        <v>3.446670532E-4</v>
      </c>
      <c r="AG46" s="132">
        <v>0.03401133674</v>
      </c>
      <c r="AH46" s="132">
        <v>0.110821016</v>
      </c>
      <c r="AI46" s="579">
        <v>0.01521449558</v>
      </c>
      <c r="AJ46" s="579">
        <v>0.01929732187</v>
      </c>
      <c r="AK46" s="580">
        <v>0.01501739175</v>
      </c>
      <c r="AL46" s="580">
        <v>0.01776784623</v>
      </c>
      <c r="AM46" s="581">
        <v>0.0</v>
      </c>
      <c r="AN46" s="571" t="str">
        <f>IFERROR(
  AVERAGEIFS(
    'New LF Efficacy'!$J:$J,
    'New LF Efficacy'!$D:$D, $A46,
    'New LF Efficacy'!$F:$F,"DEC", 
    'New LF Efficacy'!$W:$W,"&lt;2016",
    'New LF Efficacy'!$AA:$AA,""),
  ""
)</f>
        <v/>
      </c>
      <c r="AO46" s="582">
        <f t="shared" si="12"/>
        <v>0.38</v>
      </c>
      <c r="AP46" s="571" t="str">
        <f>IFERROR(
AVERAGEIFS(
'New LF Efficacy'!$J:$J,
'New LF Efficacy'!$D:$D,$A46,
'New LF Efficacy'!$F:$F,"Albendazole &amp; DEC",
'New LF Efficacy'!$W:$W,"&lt;2016",
'New LF Efficacy'!$AA:$AA,""),
"")</f>
        <v/>
      </c>
      <c r="AQ46" s="582">
        <f t="shared" si="13"/>
        <v>0.662</v>
      </c>
      <c r="AR46" s="571" t="str">
        <f>IFERROR(
AVERAGEIFS(
'New LF Efficacy'!$J:$J,
'New LF Efficacy'!$D:$D,$A46,
'New LF Efficacy'!$F:$F,"Albendazole &amp; Ivermectin", 
'New LF Efficacy'!$W:$W,"&lt;2016",
'New LF Efficacy'!$AA:$AA,""),"")</f>
        <v/>
      </c>
      <c r="AS46" s="582">
        <f t="shared" si="14"/>
        <v>0.37153125</v>
      </c>
      <c r="AT46" s="583">
        <f>IFERROR(AVERAGEIFS(
'Schist Efficacy'!$O:$O, 
'Schist Efficacy'!$C:$C,$A46, 
'Schist Efficacy'!$D:$D, "Praziquantel",
'Schist Efficacy'!$J:$J,"&lt;2016",
'Schist Efficacy'!$U:$U,""),
"")</f>
        <v>0.95</v>
      </c>
      <c r="AU46" s="572">
        <f t="shared" si="15"/>
        <v>0.95</v>
      </c>
      <c r="AV46" s="131">
        <f>IFERROR(AVERAGEIFS(
'STH Efficacy'!$AX:$AX, 
'STH Efficacy'!$AL:$AL, $A46, 
'STH Efficacy'!$AM:$AM, "Albendazole",
'STH Efficacy'!$AS:$AS,"&lt;2016",
'STH Efficacy'!$BP:$BP,""),
"")</f>
        <v>0.4235</v>
      </c>
      <c r="AW46" s="132">
        <f t="shared" si="16"/>
        <v>0.4235</v>
      </c>
      <c r="AX46" s="131">
        <f>IFERROR(AVERAGEIFS(
'STH Efficacy'!$AX:$AX, 
'STH Efficacy'!$AL:$AL, $A46, 
'STH Efficacy'!$AM:$AM, "Mebendazole",
'STH Efficacy'!$AS:$AS,"&lt;2016",
'STH Efficacy'!$BP:$BP,""),
"")</f>
        <v>0.552</v>
      </c>
      <c r="AY46" s="132">
        <f t="shared" si="17"/>
        <v>0.552</v>
      </c>
      <c r="AZ46" s="131" t="str">
        <f>IFERROR(AVERAGEIFS(
'STH Efficacy'!$AX:$AX, 
'STH Efficacy'!$AL:$AL, $A46, 
'STH Efficacy'!$AM:$AM, "Albendazole &amp; Ivermectin",
'STH Efficacy'!$AS:$AS,"&lt;2016",
'STH Efficacy'!$BP:$BP,""),
"")</f>
        <v/>
      </c>
      <c r="BA46" s="303">
        <f t="shared" si="18"/>
        <v>0.651</v>
      </c>
      <c r="BB46" s="584">
        <f>IFERROR(AVERAGEIFS(
'STH Efficacy'!$N:$N, 
'STH Efficacy'!$B:$B, $A46, 
'STH Efficacy'!$C:$C, "Albendazole",
'STH Efficacy'!$I:$I,"&lt;2016",
'STH Efficacy'!$AH:$AH,""),
"")</f>
        <v>0.75075</v>
      </c>
      <c r="BC46" s="579">
        <f t="shared" si="19"/>
        <v>0.75075</v>
      </c>
      <c r="BD46" s="584">
        <f>IFERROR(AVERAGEIFS(
'STH Efficacy'!$N:$N, 
'STH Efficacy'!$B:$B, $A46, 
'STH Efficacy'!$C:$C, "Mebendazole",
'STH Efficacy'!$I:$I,"&lt;2016",
'STH Efficacy'!$AH:$AH,""),
"")</f>
        <v>0.4475</v>
      </c>
      <c r="BE46" s="579">
        <f t="shared" si="20"/>
        <v>0.4475</v>
      </c>
      <c r="BF46" s="585">
        <f>IFERROR(AVERAGEIFS(
'STH Efficacy'!$CD:$CD, 
'STH Efficacy'!$BS:$BS, $A46, 
'STH Efficacy'!$BT:$BT, "Albendazole",
'STH Efficacy'!$BZ:$BZ,"&lt;2016",
'STH Efficacy'!$CU:$CU,""),
"")</f>
        <v>0.9645</v>
      </c>
      <c r="BG46" s="580">
        <f t="shared" si="21"/>
        <v>0.9645</v>
      </c>
      <c r="BH46" s="585">
        <f>IFERROR(AVERAGEIFS(
'STH Efficacy'!$CD:$CD, 
'STH Efficacy'!$BS:$BS, $A46, 
'STH Efficacy'!$BT:$BT, "Mebendazole",
'STH Efficacy'!$BZ:$BZ,"&lt;2016",
'STH Efficacy'!$CU:$CU,""),
"")</f>
        <v>0.9305</v>
      </c>
      <c r="BI46" s="580">
        <f t="shared" si="22"/>
        <v>0.9305</v>
      </c>
      <c r="BJ46" s="585" t="str">
        <f>IFERROR(AVERAGEIFS(
'STH Efficacy'!$CD:$CD, 
'STH Efficacy'!$BS:$BS, $A46, 
'STH Efficacy'!$BT:$BT, "Albendazole &amp; Ivermectin",
'STH Efficacy'!$BZ:$BZ,"&lt;2016",
'STH Efficacy'!$CU:$CU,""),
"")</f>
        <v/>
      </c>
      <c r="BK46" s="580">
        <f t="shared" si="23"/>
        <v>0.848</v>
      </c>
      <c r="BL46" s="575" t="str">
        <f>IFERROR(
  AVERAGEIFS(
    'NEW Onchocerciasis Efficacy'!$AO:$AO,
    'NEW Onchocerciasis Efficacy'!$C:$C,$A46,
    'NEW Onchocerciasis Efficacy'!$D:$D,"Ivermectin",
    'NEW Onchocerciasis Efficacy'!$AR:$AR,"&lt;2016",
    'NEW Onchocerciasis Efficacy'!$BG:$BG,"")
,"")</f>
        <v/>
      </c>
      <c r="BM46" s="586">
        <f t="shared" si="24"/>
        <v>0.7808368939</v>
      </c>
      <c r="BN46" s="587">
        <v>0.0</v>
      </c>
      <c r="BO46" s="588">
        <v>1.0</v>
      </c>
      <c r="BP46" s="589">
        <v>1.0</v>
      </c>
      <c r="BQ46" s="590">
        <f t="shared" si="25"/>
        <v>0</v>
      </c>
      <c r="BR46" s="560" t="str">
        <f t="shared" si="26"/>
        <v>0110</v>
      </c>
      <c r="BS46" s="560" t="str">
        <f t="shared" si="27"/>
        <v>MDA3+T2</v>
      </c>
      <c r="BT46" s="606" t="str">
        <f t="shared" si="28"/>
        <v>IVM</v>
      </c>
      <c r="BU46" s="560" t="str">
        <f t="shared" si="29"/>
        <v>PZQ</v>
      </c>
      <c r="BV46" s="560" t="str">
        <f t="shared" si="30"/>
        <v>onch+schist</v>
      </c>
      <c r="BW46" s="150" t="str">
        <f t="shared" si="31"/>
        <v/>
      </c>
      <c r="BX46" s="150" t="str">
        <f t="shared" si="32"/>
        <v/>
      </c>
      <c r="BY46" s="151" t="str">
        <f t="shared" si="33"/>
        <v/>
      </c>
      <c r="BZ46" s="152" t="str">
        <f t="shared" si="34"/>
        <v/>
      </c>
      <c r="CA46" s="152" t="str">
        <f t="shared" si="35"/>
        <v/>
      </c>
      <c r="CB46" s="152" t="str">
        <f t="shared" si="36"/>
        <v/>
      </c>
      <c r="CC46" s="153" t="str">
        <f t="shared" si="37"/>
        <v/>
      </c>
      <c r="CD46" s="153" t="str">
        <f t="shared" si="38"/>
        <v/>
      </c>
      <c r="CE46" s="154" t="str">
        <f t="shared" si="39"/>
        <v/>
      </c>
      <c r="CF46" s="154" t="str">
        <f t="shared" si="40"/>
        <v/>
      </c>
      <c r="CG46" s="154" t="str">
        <f t="shared" si="41"/>
        <v/>
      </c>
      <c r="CH46" s="609">
        <f t="shared" si="42"/>
        <v>0</v>
      </c>
    </row>
    <row r="47">
      <c r="A47" s="599" t="s">
        <v>136</v>
      </c>
      <c r="B47" s="560" t="s">
        <v>94</v>
      </c>
      <c r="C47" s="561">
        <v>7305700.0</v>
      </c>
      <c r="D47" s="562"/>
      <c r="E47" s="610"/>
      <c r="F47" s="611"/>
      <c r="G47" s="611"/>
      <c r="H47" s="611"/>
      <c r="I47" s="566"/>
      <c r="J47" s="566"/>
      <c r="K47" s="566"/>
      <c r="L47" s="612"/>
      <c r="M47" s="612"/>
      <c r="N47" s="612"/>
      <c r="O47" s="308"/>
      <c r="P47" s="150"/>
      <c r="Q47" s="150"/>
      <c r="R47" s="571"/>
      <c r="S47" s="116">
        <f t="shared" si="6"/>
        <v>0.5322777778</v>
      </c>
      <c r="T47" s="151"/>
      <c r="U47" s="572">
        <f t="shared" si="7"/>
        <v>0.7834666667</v>
      </c>
      <c r="V47" s="598"/>
      <c r="W47" s="574">
        <f t="shared" si="8"/>
        <v>0.3593777778</v>
      </c>
      <c r="X47" s="598"/>
      <c r="Y47" s="574">
        <f t="shared" si="9"/>
        <v>0.5347375</v>
      </c>
      <c r="Z47" s="308"/>
      <c r="AA47" s="308"/>
      <c r="AB47" s="575" t="str">
        <f t="shared" si="10"/>
        <v/>
      </c>
      <c r="AC47" s="576">
        <f t="shared" si="11"/>
        <v>0.7192241206</v>
      </c>
      <c r="AD47" s="571"/>
      <c r="AE47" s="583"/>
      <c r="AF47" s="583"/>
      <c r="AG47" s="131"/>
      <c r="AH47" s="131"/>
      <c r="AI47" s="584"/>
      <c r="AJ47" s="584"/>
      <c r="AK47" s="585"/>
      <c r="AL47" s="585"/>
      <c r="AM47" s="575"/>
      <c r="AN47" s="571" t="str">
        <f>IFERROR(
  AVERAGEIFS(
    'New LF Efficacy'!$J:$J,
    'New LF Efficacy'!$D:$D, $A47,
    'New LF Efficacy'!$F:$F,"DEC", 
    'New LF Efficacy'!$W:$W,"&lt;2016",
    'New LF Efficacy'!$AA:$AA,""),
  ""
)</f>
        <v/>
      </c>
      <c r="AO47" s="582">
        <f t="shared" si="12"/>
        <v>0.38</v>
      </c>
      <c r="AP47" s="571" t="str">
        <f>IFERROR(
AVERAGEIFS(
'New LF Efficacy'!$J:$J,
'New LF Efficacy'!$D:$D,$A47,
'New LF Efficacy'!$F:$F,"Albendazole &amp; DEC",
'New LF Efficacy'!$W:$W,"&lt;2016",
'New LF Efficacy'!$AA:$AA,""),
"")</f>
        <v/>
      </c>
      <c r="AQ47" s="582">
        <f t="shared" si="13"/>
        <v>0.662</v>
      </c>
      <c r="AR47" s="571" t="str">
        <f>IFERROR(
AVERAGEIFS(
'New LF Efficacy'!$J:$J,
'New LF Efficacy'!$D:$D,$A47,
'New LF Efficacy'!$F:$F,"Albendazole &amp; Ivermectin", 
'New LF Efficacy'!$W:$W,"&lt;2016",
'New LF Efficacy'!$AA:$AA,""),"")</f>
        <v/>
      </c>
      <c r="AS47" s="582">
        <f t="shared" si="14"/>
        <v>0.37153125</v>
      </c>
      <c r="AT47" s="583" t="str">
        <f>IFERROR(AVERAGEIFS(
'Schist Efficacy'!$O:$O, 
'Schist Efficacy'!$C:$C,$A47, 
'Schist Efficacy'!$D:$D, "Praziquantel",
'Schist Efficacy'!$J:$J,"&lt;2016",
'Schist Efficacy'!$U:$U,""),
"")</f>
        <v/>
      </c>
      <c r="AU47" s="572">
        <f t="shared" si="15"/>
        <v>0.9475</v>
      </c>
      <c r="AV47" s="131" t="str">
        <f>IFERROR(AVERAGEIFS(
'STH Efficacy'!$AX:$AX, 
'STH Efficacy'!$AL:$AL, $A47, 
'STH Efficacy'!$AM:$AM, "Albendazole",
'STH Efficacy'!$AS:$AS,"&lt;2016",
'STH Efficacy'!$BP:$BP,""),
"")</f>
        <v/>
      </c>
      <c r="AW47" s="132">
        <f t="shared" si="16"/>
        <v>0.3571666667</v>
      </c>
      <c r="AX47" s="131" t="str">
        <f>IFERROR(AVERAGEIFS(
'STH Efficacy'!$AX:$AX, 
'STH Efficacy'!$AL:$AL, $A47, 
'STH Efficacy'!$AM:$AM, "Mebendazole",
'STH Efficacy'!$AS:$AS,"&lt;2016",
'STH Efficacy'!$BP:$BP,""),
"")</f>
        <v/>
      </c>
      <c r="AY47" s="132">
        <f t="shared" si="17"/>
        <v>0.4155</v>
      </c>
      <c r="AZ47" s="131" t="str">
        <f>IFERROR(AVERAGEIFS(
'STH Efficacy'!$AX:$AX, 
'STH Efficacy'!$AL:$AL, $A47, 
'STH Efficacy'!$AM:$AM, "Albendazole &amp; Ivermectin",
'STH Efficacy'!$AS:$AS,"&lt;2016",
'STH Efficacy'!$BP:$BP,""),
"")</f>
        <v/>
      </c>
      <c r="BA47" s="303">
        <f t="shared" si="18"/>
        <v>0.651</v>
      </c>
      <c r="BB47" s="584" t="str">
        <f>IFERROR(AVERAGEIFS(
'STH Efficacy'!$N:$N, 
'STH Efficacy'!$B:$B, $A47, 
'STH Efficacy'!$C:$C, "Albendazole",
'STH Efficacy'!$I:$I,"&lt;2016",
'STH Efficacy'!$AH:$AH,""),
"")</f>
        <v/>
      </c>
      <c r="BC47" s="579">
        <f t="shared" si="19"/>
        <v>0.5769166667</v>
      </c>
      <c r="BD47" s="584" t="str">
        <f>IFERROR(AVERAGEIFS(
'STH Efficacy'!$N:$N, 
'STH Efficacy'!$B:$B, $A47, 
'STH Efficacy'!$C:$C, "Mebendazole",
'STH Efficacy'!$I:$I,"&lt;2016",
'STH Efficacy'!$AH:$AH,""),
"")</f>
        <v/>
      </c>
      <c r="BE47" s="579">
        <f t="shared" si="20"/>
        <v>0.3145</v>
      </c>
      <c r="BF47" s="585" t="str">
        <f>IFERROR(AVERAGEIFS(
'STH Efficacy'!$CD:$CD, 
'STH Efficacy'!$BS:$BS, $A47, 
'STH Efficacy'!$BT:$BT, "Albendazole",
'STH Efficacy'!$BZ:$BZ,"&lt;2016",
'STH Efficacy'!$CU:$CU,""),
"")</f>
        <v/>
      </c>
      <c r="BG47" s="580">
        <f t="shared" si="21"/>
        <v>0.96925</v>
      </c>
      <c r="BH47" s="585" t="str">
        <f>IFERROR(AVERAGEIFS(
'STH Efficacy'!$CD:$CD, 
'STH Efficacy'!$BS:$BS, $A47, 
'STH Efficacy'!$BT:$BT, "Mebendazole",
'STH Efficacy'!$BZ:$BZ,"&lt;2016",
'STH Efficacy'!$CU:$CU,""),
"")</f>
        <v/>
      </c>
      <c r="BI47" s="580">
        <f t="shared" si="22"/>
        <v>0.9305</v>
      </c>
      <c r="BJ47" s="585" t="str">
        <f>IFERROR(AVERAGEIFS(
'STH Efficacy'!$CD:$CD, 
'STH Efficacy'!$BS:$BS, $A47, 
'STH Efficacy'!$BT:$BT, "Albendazole &amp; Ivermectin",
'STH Efficacy'!$BZ:$BZ,"&lt;2016",
'STH Efficacy'!$CU:$CU,""),
"")</f>
        <v/>
      </c>
      <c r="BK47" s="580">
        <f t="shared" si="23"/>
        <v>0.848</v>
      </c>
      <c r="BL47" s="575" t="str">
        <f>IFERROR(
  AVERAGEIFS(
    'NEW Onchocerciasis Efficacy'!$AO:$AO,
    'NEW Onchocerciasis Efficacy'!$C:$C,$A47,
    'NEW Onchocerciasis Efficacy'!$D:$D,"Ivermectin",
    'NEW Onchocerciasis Efficacy'!$AR:$AR,"&lt;2016",
    'NEW Onchocerciasis Efficacy'!$BG:$BG,"")
,"")</f>
        <v/>
      </c>
      <c r="BM47" s="586">
        <f t="shared" si="24"/>
        <v>0.7808368939</v>
      </c>
      <c r="BN47" s="587">
        <v>0.0</v>
      </c>
      <c r="BO47" s="588">
        <v>0.0</v>
      </c>
      <c r="BP47" s="589">
        <v>0.0</v>
      </c>
      <c r="BQ47" s="590">
        <f t="shared" si="25"/>
        <v>0</v>
      </c>
      <c r="BR47" s="560" t="str">
        <f t="shared" si="26"/>
        <v>0000</v>
      </c>
      <c r="BS47" s="560" t="str">
        <f t="shared" si="27"/>
        <v>no action required</v>
      </c>
      <c r="BT47" s="361" t="str">
        <f t="shared" si="28"/>
        <v/>
      </c>
      <c r="BU47" s="591" t="str">
        <f t="shared" si="29"/>
        <v/>
      </c>
      <c r="BV47" s="560" t="str">
        <f t="shared" si="30"/>
        <v>none</v>
      </c>
      <c r="BW47" s="150" t="str">
        <f t="shared" si="31"/>
        <v/>
      </c>
      <c r="BX47" s="150" t="str">
        <f t="shared" si="32"/>
        <v/>
      </c>
      <c r="BY47" s="151" t="str">
        <f t="shared" si="33"/>
        <v/>
      </c>
      <c r="BZ47" s="152" t="str">
        <f t="shared" si="34"/>
        <v/>
      </c>
      <c r="CA47" s="152" t="str">
        <f t="shared" si="35"/>
        <v/>
      </c>
      <c r="CB47" s="152" t="str">
        <f t="shared" si="36"/>
        <v/>
      </c>
      <c r="CC47" s="153" t="str">
        <f t="shared" si="37"/>
        <v/>
      </c>
      <c r="CD47" s="153" t="str">
        <f t="shared" si="38"/>
        <v/>
      </c>
      <c r="CE47" s="154" t="str">
        <f t="shared" si="39"/>
        <v/>
      </c>
      <c r="CF47" s="154" t="str">
        <f t="shared" si="40"/>
        <v/>
      </c>
      <c r="CG47" s="154" t="str">
        <f t="shared" si="41"/>
        <v/>
      </c>
      <c r="CH47" s="308" t="str">
        <f t="shared" si="42"/>
        <v/>
      </c>
    </row>
    <row r="48">
      <c r="A48" s="599" t="s">
        <v>137</v>
      </c>
      <c r="B48" s="560" t="s">
        <v>94</v>
      </c>
      <c r="C48" s="561">
        <v>600942.0</v>
      </c>
      <c r="D48" s="562"/>
      <c r="E48" s="610"/>
      <c r="F48" s="611"/>
      <c r="G48" s="611"/>
      <c r="H48" s="611"/>
      <c r="I48" s="622"/>
      <c r="J48" s="622"/>
      <c r="K48" s="622"/>
      <c r="L48" s="612"/>
      <c r="M48" s="612"/>
      <c r="N48" s="612"/>
      <c r="O48" s="308"/>
      <c r="P48" s="150"/>
      <c r="Q48" s="150"/>
      <c r="R48" s="571"/>
      <c r="S48" s="116">
        <f t="shared" si="6"/>
        <v>0.5322777778</v>
      </c>
      <c r="T48" s="151"/>
      <c r="U48" s="572">
        <f t="shared" si="7"/>
        <v>0.7834666667</v>
      </c>
      <c r="V48" s="598"/>
      <c r="W48" s="574">
        <f t="shared" si="8"/>
        <v>0.3593777778</v>
      </c>
      <c r="X48" s="598"/>
      <c r="Y48" s="574">
        <f t="shared" si="9"/>
        <v>0.5347375</v>
      </c>
      <c r="Z48" s="308"/>
      <c r="AA48" s="308"/>
      <c r="AB48" s="575" t="str">
        <f t="shared" si="10"/>
        <v/>
      </c>
      <c r="AC48" s="576">
        <f t="shared" si="11"/>
        <v>0.7192241206</v>
      </c>
      <c r="AD48" s="571"/>
      <c r="AE48" s="583"/>
      <c r="AF48" s="583"/>
      <c r="AG48" s="131"/>
      <c r="AH48" s="131"/>
      <c r="AI48" s="584"/>
      <c r="AJ48" s="584"/>
      <c r="AK48" s="585"/>
      <c r="AL48" s="585"/>
      <c r="AM48" s="575"/>
      <c r="AN48" s="571" t="str">
        <f>IFERROR(
  AVERAGEIFS(
    'New LF Efficacy'!$J:$J,
    'New LF Efficacy'!$D:$D, $A48,
    'New LF Efficacy'!$F:$F,"DEC", 
    'New LF Efficacy'!$W:$W,"&lt;2016",
    'New LF Efficacy'!$AA:$AA,""),
  ""
)</f>
        <v/>
      </c>
      <c r="AO48" s="582">
        <f t="shared" si="12"/>
        <v>0.38</v>
      </c>
      <c r="AP48" s="571" t="str">
        <f>IFERROR(
AVERAGEIFS(
'New LF Efficacy'!$J:$J,
'New LF Efficacy'!$D:$D,$A48,
'New LF Efficacy'!$F:$F,"Albendazole &amp; DEC",
'New LF Efficacy'!$W:$W,"&lt;2016",
'New LF Efficacy'!$AA:$AA,""),
"")</f>
        <v/>
      </c>
      <c r="AQ48" s="582">
        <f t="shared" si="13"/>
        <v>0.662</v>
      </c>
      <c r="AR48" s="571" t="str">
        <f>IFERROR(
AVERAGEIFS(
'New LF Efficacy'!$J:$J,
'New LF Efficacy'!$D:$D,$A48,
'New LF Efficacy'!$F:$F,"Albendazole &amp; Ivermectin", 
'New LF Efficacy'!$W:$W,"&lt;2016",
'New LF Efficacy'!$AA:$AA,""),"")</f>
        <v/>
      </c>
      <c r="AS48" s="582">
        <f t="shared" si="14"/>
        <v>0.37153125</v>
      </c>
      <c r="AT48" s="583" t="str">
        <f>IFERROR(AVERAGEIFS(
'Schist Efficacy'!$O:$O, 
'Schist Efficacy'!$C:$C,$A48, 
'Schist Efficacy'!$D:$D, "Praziquantel",
'Schist Efficacy'!$J:$J,"&lt;2016",
'Schist Efficacy'!$U:$U,""),
"")</f>
        <v/>
      </c>
      <c r="AU48" s="572">
        <f t="shared" si="15"/>
        <v>0.9475</v>
      </c>
      <c r="AV48" s="131" t="str">
        <f>IFERROR(AVERAGEIFS(
'STH Efficacy'!$AX:$AX, 
'STH Efficacy'!$AL:$AL, $A48, 
'STH Efficacy'!$AM:$AM, "Albendazole",
'STH Efficacy'!$AS:$AS,"&lt;2016",
'STH Efficacy'!$BP:$BP,""),
"")</f>
        <v/>
      </c>
      <c r="AW48" s="132">
        <f t="shared" si="16"/>
        <v>0.3571666667</v>
      </c>
      <c r="AX48" s="131" t="str">
        <f>IFERROR(AVERAGEIFS(
'STH Efficacy'!$AX:$AX, 
'STH Efficacy'!$AL:$AL, $A48, 
'STH Efficacy'!$AM:$AM, "Mebendazole",
'STH Efficacy'!$AS:$AS,"&lt;2016",
'STH Efficacy'!$BP:$BP,""),
"")</f>
        <v/>
      </c>
      <c r="AY48" s="132">
        <f t="shared" si="17"/>
        <v>0.4155</v>
      </c>
      <c r="AZ48" s="131" t="str">
        <f>IFERROR(AVERAGEIFS(
'STH Efficacy'!$AX:$AX, 
'STH Efficacy'!$AL:$AL, $A48, 
'STH Efficacy'!$AM:$AM, "Albendazole &amp; Ivermectin",
'STH Efficacy'!$AS:$AS,"&lt;2016",
'STH Efficacy'!$BP:$BP,""),
"")</f>
        <v/>
      </c>
      <c r="BA48" s="303">
        <f t="shared" si="18"/>
        <v>0.651</v>
      </c>
      <c r="BB48" s="584" t="str">
        <f>IFERROR(AVERAGEIFS(
'STH Efficacy'!$N:$N, 
'STH Efficacy'!$B:$B, $A48, 
'STH Efficacy'!$C:$C, "Albendazole",
'STH Efficacy'!$I:$I,"&lt;2016",
'STH Efficacy'!$AH:$AH,""),
"")</f>
        <v/>
      </c>
      <c r="BC48" s="579">
        <f t="shared" si="19"/>
        <v>0.5769166667</v>
      </c>
      <c r="BD48" s="584" t="str">
        <f>IFERROR(AVERAGEIFS(
'STH Efficacy'!$N:$N, 
'STH Efficacy'!$B:$B, $A48, 
'STH Efficacy'!$C:$C, "Mebendazole",
'STH Efficacy'!$I:$I,"&lt;2016",
'STH Efficacy'!$AH:$AH,""),
"")</f>
        <v/>
      </c>
      <c r="BE48" s="579">
        <f t="shared" si="20"/>
        <v>0.3145</v>
      </c>
      <c r="BF48" s="585" t="str">
        <f>IFERROR(AVERAGEIFS(
'STH Efficacy'!$CD:$CD, 
'STH Efficacy'!$BS:$BS, $A48, 
'STH Efficacy'!$BT:$BT, "Albendazole",
'STH Efficacy'!$BZ:$BZ,"&lt;2016",
'STH Efficacy'!$CU:$CU,""),
"")</f>
        <v/>
      </c>
      <c r="BG48" s="580">
        <f t="shared" si="21"/>
        <v>0.96925</v>
      </c>
      <c r="BH48" s="585" t="str">
        <f>IFERROR(AVERAGEIFS(
'STH Efficacy'!$CD:$CD, 
'STH Efficacy'!$BS:$BS, $A48, 
'STH Efficacy'!$BT:$BT, "Mebendazole",
'STH Efficacy'!$BZ:$BZ,"&lt;2016",
'STH Efficacy'!$CU:$CU,""),
"")</f>
        <v/>
      </c>
      <c r="BI48" s="580">
        <f t="shared" si="22"/>
        <v>0.9305</v>
      </c>
      <c r="BJ48" s="585" t="str">
        <f>IFERROR(AVERAGEIFS(
'STH Efficacy'!$CD:$CD, 
'STH Efficacy'!$BS:$BS, $A48, 
'STH Efficacy'!$BT:$BT, "Albendazole &amp; Ivermectin",
'STH Efficacy'!$BZ:$BZ,"&lt;2016",
'STH Efficacy'!$CU:$CU,""),
"")</f>
        <v/>
      </c>
      <c r="BK48" s="580">
        <f t="shared" si="23"/>
        <v>0.848</v>
      </c>
      <c r="BL48" s="575" t="str">
        <f>IFERROR(
  AVERAGEIFS(
    'NEW Onchocerciasis Efficacy'!$AO:$AO,
    'NEW Onchocerciasis Efficacy'!$C:$C,$A48,
    'NEW Onchocerciasis Efficacy'!$D:$D,"Ivermectin",
    'NEW Onchocerciasis Efficacy'!$AR:$AR,"&lt;2016",
    'NEW Onchocerciasis Efficacy'!$BG:$BG,"")
,"")</f>
        <v/>
      </c>
      <c r="BM48" s="586">
        <f t="shared" si="24"/>
        <v>0.7808368939</v>
      </c>
      <c r="BN48" s="587">
        <v>0.0</v>
      </c>
      <c r="BO48" s="588">
        <v>0.0</v>
      </c>
      <c r="BP48" s="589">
        <v>0.0</v>
      </c>
      <c r="BQ48" s="590">
        <f t="shared" si="25"/>
        <v>0</v>
      </c>
      <c r="BR48" s="560" t="str">
        <f t="shared" si="26"/>
        <v>0000</v>
      </c>
      <c r="BS48" s="560" t="str">
        <f t="shared" si="27"/>
        <v>no action required</v>
      </c>
      <c r="BT48" s="361" t="str">
        <f t="shared" si="28"/>
        <v/>
      </c>
      <c r="BU48" s="591" t="str">
        <f t="shared" si="29"/>
        <v/>
      </c>
      <c r="BV48" s="560" t="str">
        <f t="shared" si="30"/>
        <v>none</v>
      </c>
      <c r="BW48" s="150" t="str">
        <f t="shared" si="31"/>
        <v/>
      </c>
      <c r="BX48" s="150" t="str">
        <f t="shared" si="32"/>
        <v/>
      </c>
      <c r="BY48" s="151" t="str">
        <f t="shared" si="33"/>
        <v/>
      </c>
      <c r="BZ48" s="152" t="str">
        <f t="shared" si="34"/>
        <v/>
      </c>
      <c r="CA48" s="152" t="str">
        <f t="shared" si="35"/>
        <v/>
      </c>
      <c r="CB48" s="152" t="str">
        <f t="shared" si="36"/>
        <v/>
      </c>
      <c r="CC48" s="153" t="str">
        <f t="shared" si="37"/>
        <v/>
      </c>
      <c r="CD48" s="153" t="str">
        <f t="shared" si="38"/>
        <v/>
      </c>
      <c r="CE48" s="154" t="str">
        <f t="shared" si="39"/>
        <v/>
      </c>
      <c r="CF48" s="154" t="str">
        <f t="shared" si="40"/>
        <v/>
      </c>
      <c r="CG48" s="154" t="str">
        <f t="shared" si="41"/>
        <v/>
      </c>
      <c r="CH48" s="308" t="str">
        <f t="shared" si="42"/>
        <v/>
      </c>
    </row>
    <row r="49">
      <c r="A49" s="559" t="s">
        <v>138</v>
      </c>
      <c r="B49" s="560" t="s">
        <v>98</v>
      </c>
      <c r="C49" s="561">
        <v>4.8228697E7</v>
      </c>
      <c r="D49" s="562">
        <v>0.0</v>
      </c>
      <c r="E49" s="563">
        <v>0.0</v>
      </c>
      <c r="F49" s="564">
        <v>29.22566384</v>
      </c>
      <c r="G49" s="564">
        <v>202.724803</v>
      </c>
      <c r="H49" s="564">
        <v>813.5481689</v>
      </c>
      <c r="I49" s="565">
        <v>48.09587813</v>
      </c>
      <c r="J49" s="566">
        <v>209.433095635538</v>
      </c>
      <c r="K49" s="566">
        <v>1478.38408470282</v>
      </c>
      <c r="L49" s="567">
        <v>1013.038219</v>
      </c>
      <c r="M49" s="568">
        <v>2178.62897812099</v>
      </c>
      <c r="N49" s="568">
        <v>6787.08070205684</v>
      </c>
      <c r="O49" s="569">
        <v>0.0</v>
      </c>
      <c r="P49" s="570"/>
      <c r="Q49" s="150"/>
      <c r="R49" s="571"/>
      <c r="S49" s="116">
        <f t="shared" si="6"/>
        <v>0.6451333333</v>
      </c>
      <c r="T49" s="151"/>
      <c r="U49" s="572">
        <f t="shared" si="7"/>
        <v>0.0025</v>
      </c>
      <c r="V49" s="573">
        <v>0.027</v>
      </c>
      <c r="W49" s="574">
        <f t="shared" si="8"/>
        <v>0.027</v>
      </c>
      <c r="X49" s="573">
        <v>0.2755</v>
      </c>
      <c r="Y49" s="574">
        <f t="shared" si="9"/>
        <v>0.2755</v>
      </c>
      <c r="Z49" s="625" t="s">
        <v>395</v>
      </c>
      <c r="AA49" s="308" t="s">
        <v>395</v>
      </c>
      <c r="AB49" s="575" t="str">
        <f t="shared" si="10"/>
        <v/>
      </c>
      <c r="AC49" s="576">
        <f t="shared" si="11"/>
        <v>0.7574216602</v>
      </c>
      <c r="AD49" s="577">
        <v>0.0</v>
      </c>
      <c r="AE49" s="572">
        <v>0.0</v>
      </c>
      <c r="AF49" s="578">
        <v>0.0</v>
      </c>
      <c r="AG49" s="132">
        <v>0.02341783168</v>
      </c>
      <c r="AH49" s="132">
        <v>0.072487826</v>
      </c>
      <c r="AI49" s="579">
        <v>0.008293951829</v>
      </c>
      <c r="AJ49" s="579">
        <v>0.009825311211</v>
      </c>
      <c r="AK49" s="580">
        <v>0.1554843571</v>
      </c>
      <c r="AL49" s="580">
        <v>0.1747124786</v>
      </c>
      <c r="AM49" s="581">
        <v>0.0</v>
      </c>
      <c r="AN49" s="571" t="str">
        <f>IFERROR(
  AVERAGEIFS(
    'New LF Efficacy'!$J:$J,
    'New LF Efficacy'!$D:$D, $A49,
    'New LF Efficacy'!$F:$F,"DEC", 
    'New LF Efficacy'!$W:$W,"&lt;2016",
    'New LF Efficacy'!$AA:$AA,""),
  ""
)</f>
        <v/>
      </c>
      <c r="AO49" s="582">
        <f t="shared" si="12"/>
        <v>0.2589833333</v>
      </c>
      <c r="AP49" s="571" t="str">
        <f>IFERROR(
AVERAGEIFS(
'New LF Efficacy'!$J:$J,
'New LF Efficacy'!$D:$D,$A49,
'New LF Efficacy'!$F:$F,"Albendazole &amp; DEC",
'New LF Efficacy'!$W:$W,"&lt;2016",
'New LF Efficacy'!$AA:$AA,""),
"")</f>
        <v/>
      </c>
      <c r="AQ49" s="582">
        <f t="shared" si="13"/>
        <v>0.3465</v>
      </c>
      <c r="AR49" s="571" t="str">
        <f>IFERROR(
AVERAGEIFS(
'New LF Efficacy'!$J:$J,
'New LF Efficacy'!$D:$D,$A49,
'New LF Efficacy'!$F:$F,"Albendazole &amp; Ivermectin", 
'New LF Efficacy'!$W:$W,"&lt;2016",
'New LF Efficacy'!$AA:$AA,""),"")</f>
        <v/>
      </c>
      <c r="AS49" s="582">
        <f t="shared" si="14"/>
        <v>0.7575</v>
      </c>
      <c r="AT49" s="583" t="str">
        <f>IFERROR(AVERAGEIFS(
'Schist Efficacy'!$O:$O, 
'Schist Efficacy'!$C:$C,$A49, 
'Schist Efficacy'!$D:$D, "Praziquantel",
'Schist Efficacy'!$J:$J,"&lt;2016",
'Schist Efficacy'!$U:$U,""),
"")</f>
        <v/>
      </c>
      <c r="AU49" s="572">
        <f t="shared" si="15"/>
        <v>0.7914761905</v>
      </c>
      <c r="AV49" s="131" t="str">
        <f>IFERROR(AVERAGEIFS(
'STH Efficacy'!$AX:$AX, 
'STH Efficacy'!$AL:$AL, $A49, 
'STH Efficacy'!$AM:$AM, "Albendazole",
'STH Efficacy'!$AS:$AS,"&lt;2016",
'STH Efficacy'!$BP:$BP,""),
"")</f>
        <v/>
      </c>
      <c r="AW49" s="132">
        <f t="shared" si="16"/>
        <v>0.3945</v>
      </c>
      <c r="AX49" s="131" t="str">
        <f>IFERROR(AVERAGEIFS(
'STH Efficacy'!$AX:$AX, 
'STH Efficacy'!$AL:$AL, $A49, 
'STH Efficacy'!$AM:$AM, "Mebendazole",
'STH Efficacy'!$AS:$AS,"&lt;2016",
'STH Efficacy'!$BP:$BP,""),
"")</f>
        <v/>
      </c>
      <c r="AY49" s="132">
        <f t="shared" si="17"/>
        <v>0.6</v>
      </c>
      <c r="AZ49" s="131" t="str">
        <f>IFERROR(AVERAGEIFS(
'STH Efficacy'!$AX:$AX, 
'STH Efficacy'!$AL:$AL, $A49, 
'STH Efficacy'!$AM:$AM, "Albendazole &amp; Ivermectin",
'STH Efficacy'!$AS:$AS,"&lt;2016",
'STH Efficacy'!$BP:$BP,""),
"")</f>
        <v/>
      </c>
      <c r="BA49" s="303">
        <f t="shared" si="18"/>
        <v>0.796</v>
      </c>
      <c r="BB49" s="584" t="str">
        <f>IFERROR(AVERAGEIFS(
'STH Efficacy'!$N:$N, 
'STH Efficacy'!$B:$B, $A49, 
'STH Efficacy'!$C:$C, "Albendazole",
'STH Efficacy'!$I:$I,"&lt;2016",
'STH Efficacy'!$AH:$AH,""),
"")</f>
        <v/>
      </c>
      <c r="BC49" s="579">
        <f t="shared" si="19"/>
        <v>0.869</v>
      </c>
      <c r="BD49" s="584" t="str">
        <f>IFERROR(AVERAGEIFS(
'STH Efficacy'!$N:$N, 
'STH Efficacy'!$B:$B, $A49, 
'STH Efficacy'!$C:$C, "Mebendazole",
'STH Efficacy'!$I:$I,"&lt;2016",
'STH Efficacy'!$AH:$AH,""),
"")</f>
        <v/>
      </c>
      <c r="BE49" s="579">
        <f t="shared" si="20"/>
        <v>0.172</v>
      </c>
      <c r="BF49" s="585" t="str">
        <f>IFERROR(AVERAGEIFS(
'STH Efficacy'!$CD:$CD, 
'STH Efficacy'!$BS:$BS, $A49, 
'STH Efficacy'!$BT:$BT, "Albendazole",
'STH Efficacy'!$BZ:$BZ,"&lt;2016",
'STH Efficacy'!$CU:$CU,""),
"")</f>
        <v/>
      </c>
      <c r="BG49" s="580">
        <f t="shared" si="21"/>
        <v>0.9862</v>
      </c>
      <c r="BH49" s="585" t="str">
        <f>IFERROR(AVERAGEIFS(
'STH Efficacy'!$CD:$CD, 
'STH Efficacy'!$BS:$BS, $A49, 
'STH Efficacy'!$BT:$BT, "Mebendazole",
'STH Efficacy'!$BZ:$BZ,"&lt;2016",
'STH Efficacy'!$CU:$CU,""),
"")</f>
        <v/>
      </c>
      <c r="BI49" s="580">
        <f t="shared" si="22"/>
        <v>0.769</v>
      </c>
      <c r="BJ49" s="585" t="str">
        <f>IFERROR(AVERAGEIFS(
'STH Efficacy'!$CD:$CD, 
'STH Efficacy'!$BS:$BS, $A49, 
'STH Efficacy'!$BT:$BT, "Albendazole &amp; Ivermectin",
'STH Efficacy'!$BZ:$BZ,"&lt;2016",
'STH Efficacy'!$CU:$CU,""),
"")</f>
        <v/>
      </c>
      <c r="BK49" s="580">
        <f t="shared" si="23"/>
        <v>1</v>
      </c>
      <c r="BL49" s="575" t="str">
        <f>IFERROR(
  AVERAGEIFS(
    'NEW Onchocerciasis Efficacy'!$AO:$AO,
    'NEW Onchocerciasis Efficacy'!$C:$C,$A49,
    'NEW Onchocerciasis Efficacy'!$D:$D,"Ivermectin",
    'NEW Onchocerciasis Efficacy'!$AR:$AR,"&lt;2016",
    'NEW Onchocerciasis Efficacy'!$BG:$BG,"")
,"")</f>
        <v/>
      </c>
      <c r="BM49" s="586">
        <f t="shared" si="24"/>
        <v>0.3734</v>
      </c>
      <c r="BN49" s="587">
        <v>0.0</v>
      </c>
      <c r="BO49" s="588">
        <v>0.0</v>
      </c>
      <c r="BP49" s="589">
        <v>0.0</v>
      </c>
      <c r="BQ49" s="590">
        <f t="shared" si="25"/>
        <v>0</v>
      </c>
      <c r="BR49" s="560" t="str">
        <f t="shared" si="26"/>
        <v>0000</v>
      </c>
      <c r="BS49" s="560" t="str">
        <f t="shared" si="27"/>
        <v>no action required</v>
      </c>
      <c r="BT49" s="361" t="str">
        <f t="shared" si="28"/>
        <v/>
      </c>
      <c r="BU49" s="591" t="str">
        <f t="shared" si="29"/>
        <v/>
      </c>
      <c r="BV49" s="560" t="str">
        <f t="shared" si="30"/>
        <v>none</v>
      </c>
      <c r="BW49" s="150" t="str">
        <f t="shared" si="31"/>
        <v/>
      </c>
      <c r="BX49" s="150" t="str">
        <f t="shared" si="32"/>
        <v/>
      </c>
      <c r="BY49" s="151" t="str">
        <f t="shared" si="33"/>
        <v/>
      </c>
      <c r="BZ49" s="152" t="str">
        <f t="shared" si="34"/>
        <v/>
      </c>
      <c r="CA49" s="152" t="str">
        <f t="shared" si="35"/>
        <v/>
      </c>
      <c r="CB49" s="152" t="str">
        <f t="shared" si="36"/>
        <v/>
      </c>
      <c r="CC49" s="153" t="str">
        <f t="shared" si="37"/>
        <v/>
      </c>
      <c r="CD49" s="153" t="str">
        <f t="shared" si="38"/>
        <v/>
      </c>
      <c r="CE49" s="154" t="str">
        <f t="shared" si="39"/>
        <v/>
      </c>
      <c r="CF49" s="154" t="str">
        <f t="shared" si="40"/>
        <v/>
      </c>
      <c r="CG49" s="154" t="str">
        <f t="shared" si="41"/>
        <v/>
      </c>
      <c r="CH49" s="308" t="str">
        <f t="shared" si="42"/>
        <v/>
      </c>
    </row>
    <row r="50">
      <c r="A50" s="559" t="s">
        <v>139</v>
      </c>
      <c r="B50" s="560" t="s">
        <v>92</v>
      </c>
      <c r="C50" s="561">
        <v>777424.0</v>
      </c>
      <c r="D50" s="562">
        <v>1535.686937</v>
      </c>
      <c r="E50" s="563">
        <v>0.0</v>
      </c>
      <c r="F50" s="564">
        <v>0.804783921</v>
      </c>
      <c r="G50" s="564">
        <v>5.473023589</v>
      </c>
      <c r="H50" s="564">
        <v>31.34080911</v>
      </c>
      <c r="I50" s="565">
        <v>7.64448825</v>
      </c>
      <c r="J50" s="566">
        <v>25.6483117534482</v>
      </c>
      <c r="K50" s="566">
        <v>180.31060876132</v>
      </c>
      <c r="L50" s="567">
        <v>13.49138493</v>
      </c>
      <c r="M50" s="568">
        <v>6.43148654941271</v>
      </c>
      <c r="N50" s="568">
        <v>27.7120906758018</v>
      </c>
      <c r="O50" s="569">
        <v>0.0</v>
      </c>
      <c r="P50" s="601">
        <v>43889.1407245</v>
      </c>
      <c r="Q50" s="618">
        <v>382312.0</v>
      </c>
      <c r="R50" s="603">
        <v>0.4616</v>
      </c>
      <c r="S50" s="116">
        <f t="shared" si="6"/>
        <v>0.4616</v>
      </c>
      <c r="T50" s="151"/>
      <c r="U50" s="572">
        <f t="shared" si="7"/>
        <v>0.5141</v>
      </c>
      <c r="V50" s="573">
        <v>0.4759</v>
      </c>
      <c r="W50" s="574">
        <f t="shared" si="8"/>
        <v>0.4759</v>
      </c>
      <c r="X50" s="573">
        <v>0.4759</v>
      </c>
      <c r="Y50" s="574">
        <f t="shared" si="9"/>
        <v>0.4759</v>
      </c>
      <c r="Z50" s="308"/>
      <c r="AA50" s="308"/>
      <c r="AB50" s="575" t="str">
        <f t="shared" si="10"/>
        <v/>
      </c>
      <c r="AC50" s="576">
        <f t="shared" si="11"/>
        <v>0.6507101914</v>
      </c>
      <c r="AD50" s="577">
        <v>0.06334134863</v>
      </c>
      <c r="AE50" s="572">
        <v>0.0</v>
      </c>
      <c r="AF50" s="578">
        <v>0.0</v>
      </c>
      <c r="AG50" s="132">
        <v>0.0198332743</v>
      </c>
      <c r="AH50" s="132">
        <v>0.064291451</v>
      </c>
      <c r="AI50" s="579">
        <v>0.03551022279</v>
      </c>
      <c r="AJ50" s="579">
        <v>0.04404895911</v>
      </c>
      <c r="AK50" s="580">
        <v>0.01672560293</v>
      </c>
      <c r="AL50" s="580">
        <v>0.01972204213</v>
      </c>
      <c r="AM50" s="581">
        <v>0.0</v>
      </c>
      <c r="AN50" s="571" t="str">
        <f>IFERROR(
  AVERAGEIFS(
    'New LF Efficacy'!$J:$J,
    'New LF Efficacy'!$D:$D, $A50,
    'New LF Efficacy'!$F:$F,"DEC", 
    'New LF Efficacy'!$W:$W,"&lt;2016",
    'New LF Efficacy'!$AA:$AA,""),
  ""
)</f>
        <v/>
      </c>
      <c r="AO50" s="582">
        <f t="shared" si="12"/>
        <v>0.31225</v>
      </c>
      <c r="AP50" s="571" t="str">
        <f>IFERROR(
AVERAGEIFS(
'New LF Efficacy'!$J:$J,
'New LF Efficacy'!$D:$D,$A50,
'New LF Efficacy'!$F:$F,"Albendazole &amp; DEC",
'New LF Efficacy'!$W:$W,"&lt;2016",
'New LF Efficacy'!$AA:$AA,""),
"")</f>
        <v/>
      </c>
      <c r="AQ50" s="582">
        <f t="shared" si="13"/>
        <v>0.4</v>
      </c>
      <c r="AR50" s="571" t="str">
        <f>IFERROR(
AVERAGEIFS(
'New LF Efficacy'!$J:$J,
'New LF Efficacy'!$D:$D,$A50,
'New LF Efficacy'!$F:$F,"Albendazole &amp; Ivermectin", 
'New LF Efficacy'!$W:$W,"&lt;2016",
'New LF Efficacy'!$AA:$AA,""),"")</f>
        <v/>
      </c>
      <c r="AS50" s="582">
        <f t="shared" si="14"/>
        <v>0.2943125</v>
      </c>
      <c r="AT50" s="583" t="str">
        <f>IFERROR(AVERAGEIFS(
'Schist Efficacy'!$O:$O, 
'Schist Efficacy'!$C:$C,$A50, 
'Schist Efficacy'!$D:$D, "Praziquantel",
'Schist Efficacy'!$J:$J,"&lt;2016",
'Schist Efficacy'!$U:$U,""),
"")</f>
        <v/>
      </c>
      <c r="AU50" s="572">
        <f t="shared" si="15"/>
        <v>0.7206464759</v>
      </c>
      <c r="AV50" s="131" t="str">
        <f>IFERROR(AVERAGEIFS(
'STH Efficacy'!$AX:$AX, 
'STH Efficacy'!$AL:$AL, $A50, 
'STH Efficacy'!$AM:$AM, "Albendazole",
'STH Efficacy'!$AS:$AS,"&lt;2016",
'STH Efficacy'!$BP:$BP,""),
"")</f>
        <v/>
      </c>
      <c r="AW50" s="132">
        <f t="shared" si="16"/>
        <v>0.3816333333</v>
      </c>
      <c r="AX50" s="131" t="str">
        <f>IFERROR(AVERAGEIFS(
'STH Efficacy'!$AX:$AX, 
'STH Efficacy'!$AL:$AL, $A50, 
'STH Efficacy'!$AM:$AM, "Mebendazole",
'STH Efficacy'!$AS:$AS,"&lt;2016",
'STH Efficacy'!$BP:$BP,""),
"")</f>
        <v/>
      </c>
      <c r="AY50" s="132">
        <f t="shared" si="17"/>
        <v>0.4859375</v>
      </c>
      <c r="AZ50" s="131" t="str">
        <f>IFERROR(AVERAGEIFS(
'STH Efficacy'!$AX:$AX, 
'STH Efficacy'!$AL:$AL, $A50, 
'STH Efficacy'!$AM:$AM, "Albendazole &amp; Ivermectin",
'STH Efficacy'!$AS:$AS,"&lt;2016",
'STH Efficacy'!$BP:$BP,""),
"")</f>
        <v/>
      </c>
      <c r="BA50" s="303">
        <f t="shared" si="18"/>
        <v>0.47175</v>
      </c>
      <c r="BB50" s="584" t="str">
        <f>IFERROR(AVERAGEIFS(
'STH Efficacy'!$N:$N, 
'STH Efficacy'!$B:$B, $A50, 
'STH Efficacy'!$C:$C, "Albendazole",
'STH Efficacy'!$I:$I,"&lt;2016",
'STH Efficacy'!$AH:$AH,""),
"")</f>
        <v/>
      </c>
      <c r="BC50" s="579">
        <f t="shared" si="19"/>
        <v>0.8699166667</v>
      </c>
      <c r="BD50" s="584" t="str">
        <f>IFERROR(AVERAGEIFS(
'STH Efficacy'!$N:$N, 
'STH Efficacy'!$B:$B, $A50, 
'STH Efficacy'!$C:$C, "Mebendazole",
'STH Efficacy'!$I:$I,"&lt;2016",
'STH Efficacy'!$AH:$AH,""),
"")</f>
        <v/>
      </c>
      <c r="BE50" s="579">
        <f t="shared" si="20"/>
        <v>0.7092416667</v>
      </c>
      <c r="BF50" s="585" t="str">
        <f>IFERROR(AVERAGEIFS(
'STH Efficacy'!$CD:$CD, 
'STH Efficacy'!$BS:$BS, $A50, 
'STH Efficacy'!$BT:$BT, "Albendazole",
'STH Efficacy'!$BZ:$BZ,"&lt;2016",
'STH Efficacy'!$CU:$CU,""),
"")</f>
        <v/>
      </c>
      <c r="BG50" s="580">
        <f t="shared" si="21"/>
        <v>0.9066666667</v>
      </c>
      <c r="BH50" s="585" t="str">
        <f>IFERROR(AVERAGEIFS(
'STH Efficacy'!$CD:$CD, 
'STH Efficacy'!$BS:$BS, $A50, 
'STH Efficacy'!$BT:$BT, "Mebendazole",
'STH Efficacy'!$BZ:$BZ,"&lt;2016",
'STH Efficacy'!$CU:$CU,""),
"")</f>
        <v/>
      </c>
      <c r="BI50" s="580">
        <f t="shared" si="22"/>
        <v>0.8483333333</v>
      </c>
      <c r="BJ50" s="585" t="str">
        <f>IFERROR(AVERAGEIFS(
'STH Efficacy'!$CD:$CD, 
'STH Efficacy'!$BS:$BS, $A50, 
'STH Efficacy'!$BT:$BT, "Albendazole &amp; Ivermectin",
'STH Efficacy'!$BZ:$BZ,"&lt;2016",
'STH Efficacy'!$CU:$CU,""),
"")</f>
        <v/>
      </c>
      <c r="BK50" s="580">
        <f t="shared" si="23"/>
        <v>0.696</v>
      </c>
      <c r="BL50" s="575" t="str">
        <f>IFERROR(
  AVERAGEIFS(
    'NEW Onchocerciasis Efficacy'!$AO:$AO,
    'NEW Onchocerciasis Efficacy'!$C:$C,$A50,
    'NEW Onchocerciasis Efficacy'!$D:$D,"Ivermectin",
    'NEW Onchocerciasis Efficacy'!$AR:$AR,"&lt;2016",
    'NEW Onchocerciasis Efficacy'!$BG:$BG,"")
,"")</f>
        <v/>
      </c>
      <c r="BM50" s="586">
        <f t="shared" si="24"/>
        <v>0.8390421645</v>
      </c>
      <c r="BN50" s="587">
        <v>1.0</v>
      </c>
      <c r="BO50" s="588">
        <v>0.0</v>
      </c>
      <c r="BP50" s="589">
        <v>0.0</v>
      </c>
      <c r="BQ50" s="590">
        <f t="shared" si="25"/>
        <v>0</v>
      </c>
      <c r="BR50" s="560" t="str">
        <f t="shared" si="26"/>
        <v>1000</v>
      </c>
      <c r="BS50" s="560" t="str">
        <f t="shared" si="27"/>
        <v>MDA1/2</v>
      </c>
      <c r="BT50" s="606" t="str">
        <f t="shared" si="28"/>
        <v>IVM+ALB or DEC+ALB</v>
      </c>
      <c r="BU50" s="591" t="str">
        <f t="shared" si="29"/>
        <v/>
      </c>
      <c r="BV50" s="560" t="str">
        <f t="shared" si="30"/>
        <v>lf only</v>
      </c>
      <c r="BW50" s="607">
        <f t="shared" si="31"/>
        <v>347.7595615</v>
      </c>
      <c r="BX50" s="607">
        <f t="shared" si="32"/>
        <v>241.4295365</v>
      </c>
      <c r="BY50" s="151" t="str">
        <f t="shared" si="33"/>
        <v/>
      </c>
      <c r="BZ50" s="152" t="str">
        <f t="shared" si="34"/>
        <v/>
      </c>
      <c r="CA50" s="152" t="str">
        <f t="shared" si="35"/>
        <v/>
      </c>
      <c r="CB50" s="152" t="str">
        <f t="shared" si="36"/>
        <v/>
      </c>
      <c r="CC50" s="153" t="str">
        <f t="shared" si="37"/>
        <v/>
      </c>
      <c r="CD50" s="153" t="str">
        <f t="shared" si="38"/>
        <v/>
      </c>
      <c r="CE50" s="154" t="str">
        <f t="shared" si="39"/>
        <v/>
      </c>
      <c r="CF50" s="154" t="str">
        <f t="shared" si="40"/>
        <v/>
      </c>
      <c r="CG50" s="154" t="str">
        <f t="shared" si="41"/>
        <v/>
      </c>
      <c r="CH50" s="308" t="str">
        <f t="shared" si="42"/>
        <v/>
      </c>
    </row>
    <row r="51">
      <c r="A51" s="559" t="s">
        <v>140</v>
      </c>
      <c r="B51" s="560" t="s">
        <v>92</v>
      </c>
      <c r="C51" s="561">
        <v>4995648.0</v>
      </c>
      <c r="D51" s="562">
        <v>5442.952018</v>
      </c>
      <c r="E51" s="563">
        <v>7485.57571625975</v>
      </c>
      <c r="F51" s="564">
        <v>0.0</v>
      </c>
      <c r="G51" s="564">
        <v>0.0</v>
      </c>
      <c r="H51" s="564">
        <v>4.1E-7</v>
      </c>
      <c r="I51" s="565">
        <v>47.73607352</v>
      </c>
      <c r="J51" s="566">
        <v>183.703316696333</v>
      </c>
      <c r="K51" s="566">
        <v>746.970684845263</v>
      </c>
      <c r="L51" s="567">
        <v>64.88716783</v>
      </c>
      <c r="M51" s="568">
        <v>10.3643087705857</v>
      </c>
      <c r="N51" s="568">
        <v>79.8400537591326</v>
      </c>
      <c r="O51" s="569">
        <v>2491.3</v>
      </c>
      <c r="P51" s="601" t="s">
        <v>398</v>
      </c>
      <c r="Q51" s="618">
        <v>106081.0</v>
      </c>
      <c r="R51" s="603">
        <v>0.1131</v>
      </c>
      <c r="S51" s="116">
        <f t="shared" si="6"/>
        <v>0.1131</v>
      </c>
      <c r="T51" s="572">
        <v>0.4077</v>
      </c>
      <c r="U51" s="572">
        <f t="shared" si="7"/>
        <v>0.4077</v>
      </c>
      <c r="V51" s="573">
        <v>0.0808</v>
      </c>
      <c r="W51" s="574">
        <f t="shared" si="8"/>
        <v>0.0808</v>
      </c>
      <c r="X51" s="573">
        <v>0.5889</v>
      </c>
      <c r="Y51" s="574">
        <f t="shared" si="9"/>
        <v>0.5889</v>
      </c>
      <c r="Z51" s="604">
        <v>661383.0</v>
      </c>
      <c r="AA51" s="604">
        <v>509072.0</v>
      </c>
      <c r="AB51" s="576">
        <f t="shared" si="10"/>
        <v>0.7697083233</v>
      </c>
      <c r="AC51" s="576">
        <f t="shared" si="11"/>
        <v>0.7697083233</v>
      </c>
      <c r="AD51" s="577">
        <v>0.03872842091</v>
      </c>
      <c r="AE51" s="572">
        <v>0.162875941</v>
      </c>
      <c r="AF51" s="578">
        <v>0.02339179766</v>
      </c>
      <c r="AG51" s="132">
        <v>0.01848847026</v>
      </c>
      <c r="AH51" s="132">
        <v>0.060743206</v>
      </c>
      <c r="AI51" s="579">
        <v>0.02778199448</v>
      </c>
      <c r="AJ51" s="579">
        <v>0.03510548829</v>
      </c>
      <c r="AK51" s="580">
        <v>0.01536984163</v>
      </c>
      <c r="AL51" s="580">
        <v>0.01846090005</v>
      </c>
      <c r="AM51" s="581">
        <v>0.007411701376</v>
      </c>
      <c r="AN51" s="571" t="str">
        <f>IFERROR(
  AVERAGEIFS(
    'New LF Efficacy'!$J:$J,
    'New LF Efficacy'!$D:$D, $A51,
    'New LF Efficacy'!$F:$F,"DEC", 
    'New LF Efficacy'!$W:$W,"&lt;2016",
    'New LF Efficacy'!$AA:$AA,""),
  ""
)</f>
        <v/>
      </c>
      <c r="AO51" s="582">
        <f t="shared" si="12"/>
        <v>0.31225</v>
      </c>
      <c r="AP51" s="571" t="str">
        <f>IFERROR(
AVERAGEIFS(
'New LF Efficacy'!$J:$J,
'New LF Efficacy'!$D:$D,$A51,
'New LF Efficacy'!$F:$F,"Albendazole &amp; DEC",
'New LF Efficacy'!$W:$W,"&lt;2016",
'New LF Efficacy'!$AA:$AA,""),
"")</f>
        <v/>
      </c>
      <c r="AQ51" s="582">
        <f t="shared" si="13"/>
        <v>0.4</v>
      </c>
      <c r="AR51" s="571" t="str">
        <f>IFERROR(
AVERAGEIFS(
'New LF Efficacy'!$J:$J,
'New LF Efficacy'!$D:$D,$A51,
'New LF Efficacy'!$F:$F,"Albendazole &amp; Ivermectin", 
'New LF Efficacy'!$W:$W,"&lt;2016",
'New LF Efficacy'!$AA:$AA,""),"")</f>
        <v/>
      </c>
      <c r="AS51" s="582">
        <f t="shared" si="14"/>
        <v>0.2943125</v>
      </c>
      <c r="AT51" s="583" t="str">
        <f>IFERROR(AVERAGEIFS(
'Schist Efficacy'!$O:$O, 
'Schist Efficacy'!$C:$C,$A51, 
'Schist Efficacy'!$D:$D, "Praziquantel",
'Schist Efficacy'!$J:$J,"&lt;2016",
'Schist Efficacy'!$U:$U,""),
"")</f>
        <v/>
      </c>
      <c r="AU51" s="572">
        <f t="shared" si="15"/>
        <v>0.7206464759</v>
      </c>
      <c r="AV51" s="131" t="str">
        <f>IFERROR(AVERAGEIFS(
'STH Efficacy'!$AX:$AX, 
'STH Efficacy'!$AL:$AL, $A51, 
'STH Efficacy'!$AM:$AM, "Albendazole",
'STH Efficacy'!$AS:$AS,"&lt;2016",
'STH Efficacy'!$BP:$BP,""),
"")</f>
        <v/>
      </c>
      <c r="AW51" s="132">
        <f t="shared" si="16"/>
        <v>0.3816333333</v>
      </c>
      <c r="AX51" s="131" t="str">
        <f>IFERROR(AVERAGEIFS(
'STH Efficacy'!$AX:$AX, 
'STH Efficacy'!$AL:$AL, $A51, 
'STH Efficacy'!$AM:$AM, "Mebendazole",
'STH Efficacy'!$AS:$AS,"&lt;2016",
'STH Efficacy'!$BP:$BP,""),
"")</f>
        <v/>
      </c>
      <c r="AY51" s="132">
        <f t="shared" si="17"/>
        <v>0.4859375</v>
      </c>
      <c r="AZ51" s="131" t="str">
        <f>IFERROR(AVERAGEIFS(
'STH Efficacy'!$AX:$AX, 
'STH Efficacy'!$AL:$AL, $A51, 
'STH Efficacy'!$AM:$AM, "Albendazole &amp; Ivermectin",
'STH Efficacy'!$AS:$AS,"&lt;2016",
'STH Efficacy'!$BP:$BP,""),
"")</f>
        <v/>
      </c>
      <c r="BA51" s="303">
        <f t="shared" si="18"/>
        <v>0.47175</v>
      </c>
      <c r="BB51" s="584" t="str">
        <f>IFERROR(AVERAGEIFS(
'STH Efficacy'!$N:$N, 
'STH Efficacy'!$B:$B, $A51, 
'STH Efficacy'!$C:$C, "Albendazole",
'STH Efficacy'!$I:$I,"&lt;2016",
'STH Efficacy'!$AH:$AH,""),
"")</f>
        <v/>
      </c>
      <c r="BC51" s="579">
        <f t="shared" si="19"/>
        <v>0.8699166667</v>
      </c>
      <c r="BD51" s="584" t="str">
        <f>IFERROR(AVERAGEIFS(
'STH Efficacy'!$N:$N, 
'STH Efficacy'!$B:$B, $A51, 
'STH Efficacy'!$C:$C, "Mebendazole",
'STH Efficacy'!$I:$I,"&lt;2016",
'STH Efficacy'!$AH:$AH,""),
"")</f>
        <v/>
      </c>
      <c r="BE51" s="579">
        <f t="shared" si="20"/>
        <v>0.7092416667</v>
      </c>
      <c r="BF51" s="585" t="str">
        <f>IFERROR(AVERAGEIFS(
'STH Efficacy'!$CD:$CD, 
'STH Efficacy'!$BS:$BS, $A51, 
'STH Efficacy'!$BT:$BT, "Albendazole",
'STH Efficacy'!$BZ:$BZ,"&lt;2016",
'STH Efficacy'!$CU:$CU,""),
"")</f>
        <v/>
      </c>
      <c r="BG51" s="580">
        <f t="shared" si="21"/>
        <v>0.9066666667</v>
      </c>
      <c r="BH51" s="585" t="str">
        <f>IFERROR(AVERAGEIFS(
'STH Efficacy'!$CD:$CD, 
'STH Efficacy'!$BS:$BS, $A51, 
'STH Efficacy'!$BT:$BT, "Mebendazole",
'STH Efficacy'!$BZ:$BZ,"&lt;2016",
'STH Efficacy'!$CU:$CU,""),
"")</f>
        <v/>
      </c>
      <c r="BI51" s="580">
        <f t="shared" si="22"/>
        <v>0.8483333333</v>
      </c>
      <c r="BJ51" s="585" t="str">
        <f>IFERROR(AVERAGEIFS(
'STH Efficacy'!$CD:$CD, 
'STH Efficacy'!$BS:$BS, $A51, 
'STH Efficacy'!$BT:$BT, "Albendazole &amp; Ivermectin",
'STH Efficacy'!$BZ:$BZ,"&lt;2016",
'STH Efficacy'!$CU:$CU,""),
"")</f>
        <v/>
      </c>
      <c r="BK51" s="580">
        <f t="shared" si="23"/>
        <v>0.696</v>
      </c>
      <c r="BL51" s="575" t="str">
        <f>IFERROR(
  AVERAGEIFS(
    'NEW Onchocerciasis Efficacy'!$AO:$AO,
    'NEW Onchocerciasis Efficacy'!$C:$C,$A51,
    'NEW Onchocerciasis Efficacy'!$D:$D,"Ivermectin",
    'NEW Onchocerciasis Efficacy'!$AR:$AR,"&lt;2016",
    'NEW Onchocerciasis Efficacy'!$BG:$BG,"")
,"")</f>
        <v/>
      </c>
      <c r="BM51" s="586">
        <f t="shared" si="24"/>
        <v>0.8390421645</v>
      </c>
      <c r="BN51" s="587">
        <v>1.0</v>
      </c>
      <c r="BO51" s="588">
        <v>1.0</v>
      </c>
      <c r="BP51" s="589">
        <v>1.0</v>
      </c>
      <c r="BQ51" s="590">
        <f t="shared" si="25"/>
        <v>0</v>
      </c>
      <c r="BR51" s="560" t="str">
        <f t="shared" si="26"/>
        <v>1110</v>
      </c>
      <c r="BS51" s="560" t="str">
        <f t="shared" si="27"/>
        <v>MDA1+T2</v>
      </c>
      <c r="BT51" s="606" t="str">
        <f t="shared" si="28"/>
        <v>IVM+ALB</v>
      </c>
      <c r="BU51" s="560" t="str">
        <f t="shared" si="29"/>
        <v>PZQ</v>
      </c>
      <c r="BV51" s="560" t="str">
        <f t="shared" si="30"/>
        <v>lf+onch+schist </v>
      </c>
      <c r="BW51" s="150" t="str">
        <f t="shared" si="31"/>
        <v/>
      </c>
      <c r="BX51" s="607">
        <f t="shared" si="32"/>
        <v>187.4166387</v>
      </c>
      <c r="BY51" s="608">
        <f t="shared" si="33"/>
        <v>3114.333571</v>
      </c>
      <c r="BZ51" s="152" t="str">
        <f t="shared" si="34"/>
        <v/>
      </c>
      <c r="CA51" s="152" t="str">
        <f t="shared" si="35"/>
        <v/>
      </c>
      <c r="CB51" s="152" t="str">
        <f t="shared" si="36"/>
        <v/>
      </c>
      <c r="CC51" s="153" t="str">
        <f t="shared" si="37"/>
        <v/>
      </c>
      <c r="CD51" s="153" t="str">
        <f t="shared" si="38"/>
        <v/>
      </c>
      <c r="CE51" s="154" t="str">
        <f t="shared" si="39"/>
        <v/>
      </c>
      <c r="CF51" s="154" t="str">
        <f t="shared" si="40"/>
        <v/>
      </c>
      <c r="CG51" s="154" t="str">
        <f t="shared" si="41"/>
        <v/>
      </c>
      <c r="CH51" s="609">
        <f t="shared" si="42"/>
        <v>151.4216361</v>
      </c>
    </row>
    <row r="52">
      <c r="A52" s="559" t="s">
        <v>141</v>
      </c>
      <c r="B52" s="560" t="s">
        <v>94</v>
      </c>
      <c r="C52" s="561">
        <v>18800.0</v>
      </c>
      <c r="D52" s="562"/>
      <c r="E52" s="610"/>
      <c r="F52" s="611"/>
      <c r="G52" s="611"/>
      <c r="H52" s="611"/>
      <c r="I52" s="566"/>
      <c r="J52" s="566"/>
      <c r="K52" s="566"/>
      <c r="L52" s="612"/>
      <c r="M52" s="612"/>
      <c r="N52" s="612"/>
      <c r="O52" s="308"/>
      <c r="P52" s="570"/>
      <c r="Q52" s="150"/>
      <c r="R52" s="571"/>
      <c r="S52" s="116">
        <f t="shared" si="6"/>
        <v>0.5322777778</v>
      </c>
      <c r="T52" s="151"/>
      <c r="U52" s="572">
        <f t="shared" si="7"/>
        <v>0.7834666667</v>
      </c>
      <c r="V52" s="598"/>
      <c r="W52" s="574">
        <f t="shared" si="8"/>
        <v>0.3593777778</v>
      </c>
      <c r="X52" s="598"/>
      <c r="Y52" s="574">
        <f t="shared" si="9"/>
        <v>0.5347375</v>
      </c>
      <c r="Z52" s="308"/>
      <c r="AA52" s="308"/>
      <c r="AB52" s="575" t="str">
        <f t="shared" si="10"/>
        <v/>
      </c>
      <c r="AC52" s="576">
        <f t="shared" si="11"/>
        <v>0.7192241206</v>
      </c>
      <c r="AD52" s="571"/>
      <c r="AE52" s="583"/>
      <c r="AF52" s="583"/>
      <c r="AG52" s="131"/>
      <c r="AH52" s="131"/>
      <c r="AI52" s="584"/>
      <c r="AJ52" s="584"/>
      <c r="AK52" s="585"/>
      <c r="AL52" s="585"/>
      <c r="AM52" s="575"/>
      <c r="AN52" s="571" t="str">
        <f>IFERROR(
  AVERAGEIFS(
    'New LF Efficacy'!$J:$J,
    'New LF Efficacy'!$D:$D, $A52,
    'New LF Efficacy'!$F:$F,"DEC", 
    'New LF Efficacy'!$W:$W,"&lt;2016",
    'New LF Efficacy'!$AA:$AA,""),
  ""
)</f>
        <v/>
      </c>
      <c r="AO52" s="582">
        <f t="shared" si="12"/>
        <v>0.38</v>
      </c>
      <c r="AP52" s="571" t="str">
        <f>IFERROR(
AVERAGEIFS(
'New LF Efficacy'!$J:$J,
'New LF Efficacy'!$D:$D,$A52,
'New LF Efficacy'!$F:$F,"Albendazole &amp; DEC",
'New LF Efficacy'!$W:$W,"&lt;2016",
'New LF Efficacy'!$AA:$AA,""),
"")</f>
        <v/>
      </c>
      <c r="AQ52" s="582">
        <f t="shared" si="13"/>
        <v>0.662</v>
      </c>
      <c r="AR52" s="571" t="str">
        <f>IFERROR(
AVERAGEIFS(
'New LF Efficacy'!$J:$J,
'New LF Efficacy'!$D:$D,$A52,
'New LF Efficacy'!$F:$F,"Albendazole &amp; Ivermectin", 
'New LF Efficacy'!$W:$W,"&lt;2016",
'New LF Efficacy'!$AA:$AA,""),"")</f>
        <v/>
      </c>
      <c r="AS52" s="582">
        <f t="shared" si="14"/>
        <v>0.37153125</v>
      </c>
      <c r="AT52" s="583" t="str">
        <f>IFERROR(AVERAGEIFS(
'Schist Efficacy'!$O:$O, 
'Schist Efficacy'!$C:$C,$A52, 
'Schist Efficacy'!$D:$D, "Praziquantel",
'Schist Efficacy'!$J:$J,"&lt;2016",
'Schist Efficacy'!$U:$U,""),
"")</f>
        <v/>
      </c>
      <c r="AU52" s="572">
        <f t="shared" si="15"/>
        <v>0.9475</v>
      </c>
      <c r="AV52" s="131" t="str">
        <f>IFERROR(AVERAGEIFS(
'STH Efficacy'!$AX:$AX, 
'STH Efficacy'!$AL:$AL, $A52, 
'STH Efficacy'!$AM:$AM, "Albendazole",
'STH Efficacy'!$AS:$AS,"&lt;2016",
'STH Efficacy'!$BP:$BP,""),
"")</f>
        <v/>
      </c>
      <c r="AW52" s="132">
        <f t="shared" si="16"/>
        <v>0.3571666667</v>
      </c>
      <c r="AX52" s="131" t="str">
        <f>IFERROR(AVERAGEIFS(
'STH Efficacy'!$AX:$AX, 
'STH Efficacy'!$AL:$AL, $A52, 
'STH Efficacy'!$AM:$AM, "Mebendazole",
'STH Efficacy'!$AS:$AS,"&lt;2016",
'STH Efficacy'!$BP:$BP,""),
"")</f>
        <v/>
      </c>
      <c r="AY52" s="132">
        <f t="shared" si="17"/>
        <v>0.4155</v>
      </c>
      <c r="AZ52" s="131" t="str">
        <f>IFERROR(AVERAGEIFS(
'STH Efficacy'!$AX:$AX, 
'STH Efficacy'!$AL:$AL, $A52, 
'STH Efficacy'!$AM:$AM, "Albendazole &amp; Ivermectin",
'STH Efficacy'!$AS:$AS,"&lt;2016",
'STH Efficacy'!$BP:$BP,""),
"")</f>
        <v/>
      </c>
      <c r="BA52" s="303">
        <f t="shared" si="18"/>
        <v>0.651</v>
      </c>
      <c r="BB52" s="584" t="str">
        <f>IFERROR(AVERAGEIFS(
'STH Efficacy'!$N:$N, 
'STH Efficacy'!$B:$B, $A52, 
'STH Efficacy'!$C:$C, "Albendazole",
'STH Efficacy'!$I:$I,"&lt;2016",
'STH Efficacy'!$AH:$AH,""),
"")</f>
        <v/>
      </c>
      <c r="BC52" s="579">
        <f t="shared" si="19"/>
        <v>0.5769166667</v>
      </c>
      <c r="BD52" s="584" t="str">
        <f>IFERROR(AVERAGEIFS(
'STH Efficacy'!$N:$N, 
'STH Efficacy'!$B:$B, $A52, 
'STH Efficacy'!$C:$C, "Mebendazole",
'STH Efficacy'!$I:$I,"&lt;2016",
'STH Efficacy'!$AH:$AH,""),
"")</f>
        <v/>
      </c>
      <c r="BE52" s="579">
        <f t="shared" si="20"/>
        <v>0.3145</v>
      </c>
      <c r="BF52" s="585" t="str">
        <f>IFERROR(AVERAGEIFS(
'STH Efficacy'!$CD:$CD, 
'STH Efficacy'!$BS:$BS, $A52, 
'STH Efficacy'!$BT:$BT, "Albendazole",
'STH Efficacy'!$BZ:$BZ,"&lt;2016",
'STH Efficacy'!$CU:$CU,""),
"")</f>
        <v/>
      </c>
      <c r="BG52" s="580">
        <f t="shared" si="21"/>
        <v>0.96925</v>
      </c>
      <c r="BH52" s="585" t="str">
        <f>IFERROR(AVERAGEIFS(
'STH Efficacy'!$CD:$CD, 
'STH Efficacy'!$BS:$BS, $A52, 
'STH Efficacy'!$BT:$BT, "Mebendazole",
'STH Efficacy'!$BZ:$BZ,"&lt;2016",
'STH Efficacy'!$CU:$CU,""),
"")</f>
        <v/>
      </c>
      <c r="BI52" s="580">
        <f t="shared" si="22"/>
        <v>0.9305</v>
      </c>
      <c r="BJ52" s="585" t="str">
        <f>IFERROR(AVERAGEIFS(
'STH Efficacy'!$CD:$CD, 
'STH Efficacy'!$BS:$BS, $A52, 
'STH Efficacy'!$BT:$BT, "Albendazole &amp; Ivermectin",
'STH Efficacy'!$BZ:$BZ,"&lt;2016",
'STH Efficacy'!$CU:$CU,""),
"")</f>
        <v/>
      </c>
      <c r="BK52" s="580">
        <f t="shared" si="23"/>
        <v>0.848</v>
      </c>
      <c r="BL52" s="575" t="str">
        <f>IFERROR(
  AVERAGEIFS(
    'NEW Onchocerciasis Efficacy'!$AO:$AO,
    'NEW Onchocerciasis Efficacy'!$C:$C,$A52,
    'NEW Onchocerciasis Efficacy'!$D:$D,"Ivermectin",
    'NEW Onchocerciasis Efficacy'!$AR:$AR,"&lt;2016",
    'NEW Onchocerciasis Efficacy'!$BG:$BG,"")
,"")</f>
        <v/>
      </c>
      <c r="BM52" s="586">
        <f t="shared" si="24"/>
        <v>0.7808368939</v>
      </c>
      <c r="BN52" s="587">
        <v>0.0</v>
      </c>
      <c r="BO52" s="588">
        <v>0.0</v>
      </c>
      <c r="BP52" s="589">
        <v>0.0</v>
      </c>
      <c r="BQ52" s="590">
        <f t="shared" si="25"/>
        <v>0</v>
      </c>
      <c r="BR52" s="560" t="str">
        <f t="shared" si="26"/>
        <v>0000</v>
      </c>
      <c r="BS52" s="560" t="str">
        <f t="shared" si="27"/>
        <v>no action required</v>
      </c>
      <c r="BT52" s="361" t="str">
        <f t="shared" si="28"/>
        <v/>
      </c>
      <c r="BU52" s="591" t="str">
        <f t="shared" si="29"/>
        <v/>
      </c>
      <c r="BV52" s="560" t="str">
        <f t="shared" si="30"/>
        <v>none</v>
      </c>
      <c r="BW52" s="150" t="str">
        <f t="shared" si="31"/>
        <v/>
      </c>
      <c r="BX52" s="150" t="str">
        <f t="shared" si="32"/>
        <v/>
      </c>
      <c r="BY52" s="151" t="str">
        <f t="shared" si="33"/>
        <v/>
      </c>
      <c r="BZ52" s="152" t="str">
        <f t="shared" si="34"/>
        <v/>
      </c>
      <c r="CA52" s="152" t="str">
        <f t="shared" si="35"/>
        <v/>
      </c>
      <c r="CB52" s="152" t="str">
        <f t="shared" si="36"/>
        <v/>
      </c>
      <c r="CC52" s="153" t="str">
        <f t="shared" si="37"/>
        <v/>
      </c>
      <c r="CD52" s="153" t="str">
        <f t="shared" si="38"/>
        <v/>
      </c>
      <c r="CE52" s="154" t="str">
        <f t="shared" si="39"/>
        <v/>
      </c>
      <c r="CF52" s="154" t="str">
        <f t="shared" si="40"/>
        <v/>
      </c>
      <c r="CG52" s="154" t="str">
        <f t="shared" si="41"/>
        <v/>
      </c>
      <c r="CH52" s="308" t="str">
        <f t="shared" si="42"/>
        <v/>
      </c>
    </row>
    <row r="53">
      <c r="A53" s="559" t="s">
        <v>142</v>
      </c>
      <c r="B53" s="560" t="s">
        <v>98</v>
      </c>
      <c r="C53" s="561">
        <v>4807852.0</v>
      </c>
      <c r="D53" s="562">
        <v>0.0</v>
      </c>
      <c r="E53" s="563">
        <v>0.0</v>
      </c>
      <c r="F53" s="564">
        <v>0.553644086</v>
      </c>
      <c r="G53" s="564">
        <v>4.184084193</v>
      </c>
      <c r="H53" s="564">
        <v>34.03176912</v>
      </c>
      <c r="I53" s="565">
        <v>4.182137022</v>
      </c>
      <c r="J53" s="566">
        <v>20.6341605931764</v>
      </c>
      <c r="K53" s="566">
        <v>135.351613623489</v>
      </c>
      <c r="L53" s="567">
        <v>33.12924944</v>
      </c>
      <c r="M53" s="568">
        <v>75.0642149653245</v>
      </c>
      <c r="N53" s="568">
        <v>275.63787438788</v>
      </c>
      <c r="O53" s="569">
        <v>0.0</v>
      </c>
      <c r="P53" s="600">
        <v>219269.627237</v>
      </c>
      <c r="Q53" s="150"/>
      <c r="R53" s="571"/>
      <c r="S53" s="116">
        <f t="shared" si="6"/>
        <v>0.6451333333</v>
      </c>
      <c r="T53" s="151"/>
      <c r="U53" s="572">
        <f t="shared" si="7"/>
        <v>0.0025</v>
      </c>
      <c r="V53" s="598"/>
      <c r="W53" s="574">
        <f t="shared" si="8"/>
        <v>0.56882</v>
      </c>
      <c r="X53" s="598"/>
      <c r="Y53" s="574">
        <f t="shared" si="9"/>
        <v>0.5825818182</v>
      </c>
      <c r="Z53" s="308"/>
      <c r="AA53" s="308"/>
      <c r="AB53" s="575" t="str">
        <f t="shared" si="10"/>
        <v/>
      </c>
      <c r="AC53" s="576">
        <f t="shared" si="11"/>
        <v>0.7574216602</v>
      </c>
      <c r="AD53" s="577">
        <v>0.0</v>
      </c>
      <c r="AE53" s="572">
        <v>0.0</v>
      </c>
      <c r="AF53" s="578">
        <v>0.0</v>
      </c>
      <c r="AG53" s="132">
        <v>0.02217064902</v>
      </c>
      <c r="AH53" s="132">
        <v>0.068524298</v>
      </c>
      <c r="AI53" s="579">
        <v>0.007878508854</v>
      </c>
      <c r="AJ53" s="579">
        <v>0.009385996214</v>
      </c>
      <c r="AK53" s="580">
        <v>0.1254810199</v>
      </c>
      <c r="AL53" s="580">
        <v>0.1413755244</v>
      </c>
      <c r="AM53" s="581">
        <v>0.0</v>
      </c>
      <c r="AN53" s="571" t="str">
        <f>IFERROR(
  AVERAGEIFS(
    'New LF Efficacy'!$J:$J,
    'New LF Efficacy'!$D:$D, $A53,
    'New LF Efficacy'!$F:$F,"DEC", 
    'New LF Efficacy'!$W:$W,"&lt;2016",
    'New LF Efficacy'!$AA:$AA,""),
  ""
)</f>
        <v/>
      </c>
      <c r="AO53" s="582">
        <f t="shared" si="12"/>
        <v>0.2589833333</v>
      </c>
      <c r="AP53" s="571" t="str">
        <f>IFERROR(
AVERAGEIFS(
'New LF Efficacy'!$J:$J,
'New LF Efficacy'!$D:$D,$A53,
'New LF Efficacy'!$F:$F,"Albendazole &amp; DEC",
'New LF Efficacy'!$W:$W,"&lt;2016",
'New LF Efficacy'!$AA:$AA,""),
"")</f>
        <v/>
      </c>
      <c r="AQ53" s="582">
        <f t="shared" si="13"/>
        <v>0.3465</v>
      </c>
      <c r="AR53" s="571" t="str">
        <f>IFERROR(
AVERAGEIFS(
'New LF Efficacy'!$J:$J,
'New LF Efficacy'!$D:$D,$A53,
'New LF Efficacy'!$F:$F,"Albendazole &amp; Ivermectin", 
'New LF Efficacy'!$W:$W,"&lt;2016",
'New LF Efficacy'!$AA:$AA,""),"")</f>
        <v/>
      </c>
      <c r="AS53" s="582">
        <f t="shared" si="14"/>
        <v>0.7575</v>
      </c>
      <c r="AT53" s="583" t="str">
        <f>IFERROR(AVERAGEIFS(
'Schist Efficacy'!$O:$O, 
'Schist Efficacy'!$C:$C,$A53, 
'Schist Efficacy'!$D:$D, "Praziquantel",
'Schist Efficacy'!$J:$J,"&lt;2016",
'Schist Efficacy'!$U:$U,""),
"")</f>
        <v/>
      </c>
      <c r="AU53" s="572">
        <f t="shared" si="15"/>
        <v>0.7914761905</v>
      </c>
      <c r="AV53" s="131" t="str">
        <f>IFERROR(AVERAGEIFS(
'STH Efficacy'!$AX:$AX, 
'STH Efficacy'!$AL:$AL, $A53, 
'STH Efficacy'!$AM:$AM, "Albendazole",
'STH Efficacy'!$AS:$AS,"&lt;2016",
'STH Efficacy'!$BP:$BP,""),
"")</f>
        <v/>
      </c>
      <c r="AW53" s="132">
        <f t="shared" si="16"/>
        <v>0.3945</v>
      </c>
      <c r="AX53" s="131" t="str">
        <f>IFERROR(AVERAGEIFS(
'STH Efficacy'!$AX:$AX, 
'STH Efficacy'!$AL:$AL, $A53, 
'STH Efficacy'!$AM:$AM, "Mebendazole",
'STH Efficacy'!$AS:$AS,"&lt;2016",
'STH Efficacy'!$BP:$BP,""),
"")</f>
        <v/>
      </c>
      <c r="AY53" s="132">
        <f t="shared" si="17"/>
        <v>0.6</v>
      </c>
      <c r="AZ53" s="131" t="str">
        <f>IFERROR(AVERAGEIFS(
'STH Efficacy'!$AX:$AX, 
'STH Efficacy'!$AL:$AL, $A53, 
'STH Efficacy'!$AM:$AM, "Albendazole &amp; Ivermectin",
'STH Efficacy'!$AS:$AS,"&lt;2016",
'STH Efficacy'!$BP:$BP,""),
"")</f>
        <v/>
      </c>
      <c r="BA53" s="303">
        <f t="shared" si="18"/>
        <v>0.796</v>
      </c>
      <c r="BB53" s="584" t="str">
        <f>IFERROR(AVERAGEIFS(
'STH Efficacy'!$N:$N, 
'STH Efficacy'!$B:$B, $A53, 
'STH Efficacy'!$C:$C, "Albendazole",
'STH Efficacy'!$I:$I,"&lt;2016",
'STH Efficacy'!$AH:$AH,""),
"")</f>
        <v/>
      </c>
      <c r="BC53" s="579">
        <f t="shared" si="19"/>
        <v>0.869</v>
      </c>
      <c r="BD53" s="584" t="str">
        <f>IFERROR(AVERAGEIFS(
'STH Efficacy'!$N:$N, 
'STH Efficacy'!$B:$B, $A53, 
'STH Efficacy'!$C:$C, "Mebendazole",
'STH Efficacy'!$I:$I,"&lt;2016",
'STH Efficacy'!$AH:$AH,""),
"")</f>
        <v/>
      </c>
      <c r="BE53" s="579">
        <f t="shared" si="20"/>
        <v>0.172</v>
      </c>
      <c r="BF53" s="585" t="str">
        <f>IFERROR(AVERAGEIFS(
'STH Efficacy'!$CD:$CD, 
'STH Efficacy'!$BS:$BS, $A53, 
'STH Efficacy'!$BT:$BT, "Albendazole",
'STH Efficacy'!$BZ:$BZ,"&lt;2016",
'STH Efficacy'!$CU:$CU,""),
"")</f>
        <v/>
      </c>
      <c r="BG53" s="580">
        <f t="shared" si="21"/>
        <v>0.9862</v>
      </c>
      <c r="BH53" s="585" t="str">
        <f>IFERROR(AVERAGEIFS(
'STH Efficacy'!$CD:$CD, 
'STH Efficacy'!$BS:$BS, $A53, 
'STH Efficacy'!$BT:$BT, "Mebendazole",
'STH Efficacy'!$BZ:$BZ,"&lt;2016",
'STH Efficacy'!$CU:$CU,""),
"")</f>
        <v/>
      </c>
      <c r="BI53" s="580">
        <f t="shared" si="22"/>
        <v>0.769</v>
      </c>
      <c r="BJ53" s="585" t="str">
        <f>IFERROR(AVERAGEIFS(
'STH Efficacy'!$CD:$CD, 
'STH Efficacy'!$BS:$BS, $A53, 
'STH Efficacy'!$BT:$BT, "Albendazole &amp; Ivermectin",
'STH Efficacy'!$BZ:$BZ,"&lt;2016",
'STH Efficacy'!$CU:$CU,""),
"")</f>
        <v/>
      </c>
      <c r="BK53" s="580">
        <f t="shared" si="23"/>
        <v>1</v>
      </c>
      <c r="BL53" s="575" t="str">
        <f>IFERROR(
  AVERAGEIFS(
    'NEW Onchocerciasis Efficacy'!$AO:$AO,
    'NEW Onchocerciasis Efficacy'!$C:$C,$A53,
    'NEW Onchocerciasis Efficacy'!$D:$D,"Ivermectin",
    'NEW Onchocerciasis Efficacy'!$AR:$AR,"&lt;2016",
    'NEW Onchocerciasis Efficacy'!$BG:$BG,"")
,"")</f>
        <v/>
      </c>
      <c r="BM53" s="586">
        <f t="shared" si="24"/>
        <v>0.3734</v>
      </c>
      <c r="BN53" s="587">
        <v>0.0</v>
      </c>
      <c r="BO53" s="588">
        <v>0.0</v>
      </c>
      <c r="BP53" s="589">
        <v>0.0</v>
      </c>
      <c r="BQ53" s="590">
        <f t="shared" si="25"/>
        <v>0</v>
      </c>
      <c r="BR53" s="560" t="str">
        <f t="shared" si="26"/>
        <v>0000</v>
      </c>
      <c r="BS53" s="560" t="str">
        <f t="shared" si="27"/>
        <v>no action required</v>
      </c>
      <c r="BT53" s="361" t="str">
        <f t="shared" si="28"/>
        <v/>
      </c>
      <c r="BU53" s="591" t="str">
        <f t="shared" si="29"/>
        <v/>
      </c>
      <c r="BV53" s="560" t="str">
        <f t="shared" si="30"/>
        <v>none</v>
      </c>
      <c r="BW53" s="150" t="str">
        <f t="shared" si="31"/>
        <v/>
      </c>
      <c r="BX53" s="150" t="str">
        <f t="shared" si="32"/>
        <v/>
      </c>
      <c r="BY53" s="151" t="str">
        <f t="shared" si="33"/>
        <v/>
      </c>
      <c r="BZ53" s="152" t="str">
        <f t="shared" si="34"/>
        <v/>
      </c>
      <c r="CA53" s="152" t="str">
        <f t="shared" si="35"/>
        <v/>
      </c>
      <c r="CB53" s="152" t="str">
        <f t="shared" si="36"/>
        <v/>
      </c>
      <c r="CC53" s="153" t="str">
        <f t="shared" si="37"/>
        <v/>
      </c>
      <c r="CD53" s="153" t="str">
        <f t="shared" si="38"/>
        <v/>
      </c>
      <c r="CE53" s="154" t="str">
        <f t="shared" si="39"/>
        <v/>
      </c>
      <c r="CF53" s="154" t="str">
        <f t="shared" si="40"/>
        <v/>
      </c>
      <c r="CG53" s="154" t="str">
        <f t="shared" si="41"/>
        <v/>
      </c>
      <c r="CH53" s="308" t="str">
        <f t="shared" si="42"/>
        <v/>
      </c>
    </row>
    <row r="54">
      <c r="A54" s="599" t="s">
        <v>143</v>
      </c>
      <c r="B54" s="560" t="s">
        <v>92</v>
      </c>
      <c r="C54" s="561">
        <v>2.3108472E7</v>
      </c>
      <c r="D54" s="562">
        <v>3992.586907</v>
      </c>
      <c r="E54" s="563">
        <v>52649.6064326696</v>
      </c>
      <c r="F54" s="564">
        <v>15.9898121</v>
      </c>
      <c r="G54" s="564">
        <v>92.01545823</v>
      </c>
      <c r="H54" s="564">
        <v>303.3887137</v>
      </c>
      <c r="I54" s="565">
        <v>596.1506732</v>
      </c>
      <c r="J54" s="566">
        <v>1744.74268441853</v>
      </c>
      <c r="K54" s="566">
        <v>7066.55194593314</v>
      </c>
      <c r="L54" s="567">
        <v>4213.712324</v>
      </c>
      <c r="M54" s="568">
        <v>804.550729420126</v>
      </c>
      <c r="N54" s="568">
        <v>5461.79889038746</v>
      </c>
      <c r="O54" s="569">
        <v>95.4</v>
      </c>
      <c r="P54" s="601"/>
      <c r="Q54" s="618">
        <v>1.4817898E7</v>
      </c>
      <c r="R54" s="603">
        <v>0.7235</v>
      </c>
      <c r="S54" s="116">
        <f t="shared" si="6"/>
        <v>0.7235</v>
      </c>
      <c r="T54" s="572">
        <v>0.6293</v>
      </c>
      <c r="U54" s="572">
        <f t="shared" si="7"/>
        <v>0.6293</v>
      </c>
      <c r="V54" s="573">
        <v>1.0</v>
      </c>
      <c r="W54" s="574">
        <f t="shared" si="8"/>
        <v>1</v>
      </c>
      <c r="X54" s="573">
        <v>0.8676</v>
      </c>
      <c r="Y54" s="574">
        <f t="shared" si="9"/>
        <v>0.8676</v>
      </c>
      <c r="Z54" s="604">
        <v>3096211.0</v>
      </c>
      <c r="AA54" s="604">
        <v>3096211.0</v>
      </c>
      <c r="AB54" s="576">
        <f t="shared" si="10"/>
        <v>1</v>
      </c>
      <c r="AC54" s="576">
        <f t="shared" si="11"/>
        <v>1</v>
      </c>
      <c r="AD54" s="577">
        <v>0.008997908203</v>
      </c>
      <c r="AE54" s="572">
        <v>0.2155287194</v>
      </c>
      <c r="AF54" s="578">
        <v>0.04374603337</v>
      </c>
      <c r="AG54" s="133">
        <v>0.01471828786</v>
      </c>
      <c r="AH54" s="133">
        <v>0.048241612</v>
      </c>
      <c r="AI54" s="623">
        <v>0.04752803346</v>
      </c>
      <c r="AJ54" s="623">
        <v>0.06007101295</v>
      </c>
      <c r="AK54" s="624">
        <v>0.04391199539</v>
      </c>
      <c r="AL54" s="624">
        <v>0.05282597805</v>
      </c>
      <c r="AM54" s="581">
        <v>1.293645076E-5</v>
      </c>
      <c r="AN54" s="571" t="str">
        <f>IFERROR(
  AVERAGEIFS(
    'New LF Efficacy'!$J:$J,
    'New LF Efficacy'!$D:$D, $A54,
    'New LF Efficacy'!$F:$F,"DEC", 
    'New LF Efficacy'!$W:$W,"&lt;2016",
    'New LF Efficacy'!$AA:$AA,""),
  ""
)</f>
        <v/>
      </c>
      <c r="AO54" s="582">
        <f t="shared" si="12"/>
        <v>0.31225</v>
      </c>
      <c r="AP54" s="571" t="str">
        <f>IFERROR(
AVERAGEIFS(
'New LF Efficacy'!$J:$J,
'New LF Efficacy'!$D:$D,$A54,
'New LF Efficacy'!$F:$F,"Albendazole &amp; DEC",
'New LF Efficacy'!$W:$W,"&lt;2016",
'New LF Efficacy'!$AA:$AA,""),
"")</f>
        <v/>
      </c>
      <c r="AQ54" s="582">
        <f t="shared" si="13"/>
        <v>0.4</v>
      </c>
      <c r="AR54" s="571" t="str">
        <f>IFERROR(
AVERAGEIFS(
'New LF Efficacy'!$J:$J,
'New LF Efficacy'!$D:$D,$A54,
'New LF Efficacy'!$F:$F,"Albendazole &amp; Ivermectin", 
'New LF Efficacy'!$W:$W,"&lt;2016",
'New LF Efficacy'!$AA:$AA,""),"")</f>
        <v/>
      </c>
      <c r="AS54" s="582">
        <f t="shared" si="14"/>
        <v>0.2943125</v>
      </c>
      <c r="AT54" s="583">
        <f>IFERROR(AVERAGEIFS(
'Schist Efficacy'!$O:$O, 
'Schist Efficacy'!$C:$C,$A54, 
'Schist Efficacy'!$D:$D, "Praziquantel",
'Schist Efficacy'!$J:$J,"&lt;2016",
'Schist Efficacy'!$U:$U,""),
"")</f>
        <v>0.668125</v>
      </c>
      <c r="AU54" s="572">
        <f t="shared" si="15"/>
        <v>0.668125</v>
      </c>
      <c r="AV54" s="131" t="str">
        <f>IFERROR(AVERAGEIFS(
'STH Efficacy'!$AX:$AX, 
'STH Efficacy'!$AL:$AL, $A54, 
'STH Efficacy'!$AM:$AM, "Albendazole",
'STH Efficacy'!$AS:$AS,"&lt;2016",
'STH Efficacy'!$BP:$BP,""),
"")</f>
        <v/>
      </c>
      <c r="AW54" s="132">
        <f t="shared" si="16"/>
        <v>0.3816333333</v>
      </c>
      <c r="AX54" s="131" t="str">
        <f>IFERROR(AVERAGEIFS(
'STH Efficacy'!$AX:$AX, 
'STH Efficacy'!$AL:$AL, $A54, 
'STH Efficacy'!$AM:$AM, "Mebendazole",
'STH Efficacy'!$AS:$AS,"&lt;2016",
'STH Efficacy'!$BP:$BP,""),
"")</f>
        <v/>
      </c>
      <c r="AY54" s="132">
        <f t="shared" si="17"/>
        <v>0.4859375</v>
      </c>
      <c r="AZ54" s="131" t="str">
        <f>IFERROR(AVERAGEIFS(
'STH Efficacy'!$AX:$AX, 
'STH Efficacy'!$AL:$AL, $A54, 
'STH Efficacy'!$AM:$AM, "Albendazole &amp; Ivermectin",
'STH Efficacy'!$AS:$AS,"&lt;2016",
'STH Efficacy'!$BP:$BP,""),
"")</f>
        <v/>
      </c>
      <c r="BA54" s="303">
        <f t="shared" si="18"/>
        <v>0.47175</v>
      </c>
      <c r="BB54" s="584" t="str">
        <f>IFERROR(AVERAGEIFS(
'STH Efficacy'!$N:$N, 
'STH Efficacy'!$B:$B, $A54, 
'STH Efficacy'!$C:$C, "Albendazole",
'STH Efficacy'!$I:$I,"&lt;2016",
'STH Efficacy'!$AH:$AH,""),
"")</f>
        <v/>
      </c>
      <c r="BC54" s="579">
        <f t="shared" si="19"/>
        <v>0.8699166667</v>
      </c>
      <c r="BD54" s="584" t="str">
        <f>IFERROR(AVERAGEIFS(
'STH Efficacy'!$N:$N, 
'STH Efficacy'!$B:$B, $A54, 
'STH Efficacy'!$C:$C, "Mebendazole",
'STH Efficacy'!$I:$I,"&lt;2016",
'STH Efficacy'!$AH:$AH,""),
"")</f>
        <v/>
      </c>
      <c r="BE54" s="579">
        <f t="shared" si="20"/>
        <v>0.7092416667</v>
      </c>
      <c r="BF54" s="585" t="str">
        <f>IFERROR(AVERAGEIFS(
'STH Efficacy'!$CD:$CD, 
'STH Efficacy'!$BS:$BS, $A54, 
'STH Efficacy'!$BT:$BT, "Albendazole",
'STH Efficacy'!$BZ:$BZ,"&lt;2016",
'STH Efficacy'!$CU:$CU,""),
"")</f>
        <v/>
      </c>
      <c r="BG54" s="580">
        <f t="shared" si="21"/>
        <v>0.9066666667</v>
      </c>
      <c r="BH54" s="585" t="str">
        <f>IFERROR(AVERAGEIFS(
'STH Efficacy'!$CD:$CD, 
'STH Efficacy'!$BS:$BS, $A54, 
'STH Efficacy'!$BT:$BT, "Mebendazole",
'STH Efficacy'!$BZ:$BZ,"&lt;2016",
'STH Efficacy'!$CU:$CU,""),
"")</f>
        <v/>
      </c>
      <c r="BI54" s="580">
        <f t="shared" si="22"/>
        <v>0.8483333333</v>
      </c>
      <c r="BJ54" s="585" t="str">
        <f>IFERROR(AVERAGEIFS(
'STH Efficacy'!$CD:$CD, 
'STH Efficacy'!$BS:$BS, $A54, 
'STH Efficacy'!$BT:$BT, "Albendazole &amp; Ivermectin",
'STH Efficacy'!$BZ:$BZ,"&lt;2016",
'STH Efficacy'!$CU:$CU,""),
"")</f>
        <v/>
      </c>
      <c r="BK54" s="580">
        <f t="shared" si="23"/>
        <v>0.696</v>
      </c>
      <c r="BL54" s="575" t="str">
        <f>IFERROR(
  AVERAGEIFS(
    'NEW Onchocerciasis Efficacy'!$AO:$AO,
    'NEW Onchocerciasis Efficacy'!$C:$C,$A54,
    'NEW Onchocerciasis Efficacy'!$D:$D,"Ivermectin",
    'NEW Onchocerciasis Efficacy'!$AR:$AR,"&lt;2016",
    'NEW Onchocerciasis Efficacy'!$BG:$BG,"")
,"")</f>
        <v/>
      </c>
      <c r="BM54" s="586">
        <f t="shared" si="24"/>
        <v>0.8390421645</v>
      </c>
      <c r="BN54" s="587">
        <v>1.0</v>
      </c>
      <c r="BO54" s="588">
        <v>1.0</v>
      </c>
      <c r="BP54" s="589">
        <v>1.0</v>
      </c>
      <c r="BQ54" s="590">
        <f t="shared" si="25"/>
        <v>0</v>
      </c>
      <c r="BR54" s="560" t="str">
        <f t="shared" si="26"/>
        <v>1110</v>
      </c>
      <c r="BS54" s="560" t="str">
        <f t="shared" si="27"/>
        <v>MDA1+T2</v>
      </c>
      <c r="BT54" s="606" t="str">
        <f t="shared" si="28"/>
        <v>IVM+ALB</v>
      </c>
      <c r="BU54" s="560" t="str">
        <f t="shared" si="29"/>
        <v>PZQ</v>
      </c>
      <c r="BV54" s="560" t="str">
        <f t="shared" si="30"/>
        <v>lf+onch+schist </v>
      </c>
      <c r="BW54" s="150" t="str">
        <f t="shared" si="31"/>
        <v/>
      </c>
      <c r="BX54" s="607">
        <f t="shared" si="32"/>
        <v>1080.167418</v>
      </c>
      <c r="BY54" s="608">
        <f t="shared" si="33"/>
        <v>38196.22733</v>
      </c>
      <c r="BZ54" s="152" t="str">
        <f t="shared" si="34"/>
        <v/>
      </c>
      <c r="CA54" s="152" t="str">
        <f t="shared" si="35"/>
        <v/>
      </c>
      <c r="CB54" s="152" t="str">
        <f t="shared" si="36"/>
        <v/>
      </c>
      <c r="CC54" s="153" t="str">
        <f t="shared" si="37"/>
        <v/>
      </c>
      <c r="CD54" s="153" t="str">
        <f t="shared" si="38"/>
        <v/>
      </c>
      <c r="CE54" s="154" t="str">
        <f t="shared" si="39"/>
        <v/>
      </c>
      <c r="CF54" s="154" t="str">
        <f t="shared" si="40"/>
        <v/>
      </c>
      <c r="CG54" s="154" t="str">
        <f t="shared" si="41"/>
        <v/>
      </c>
      <c r="CH54" s="609">
        <f t="shared" si="42"/>
        <v>16.57672691</v>
      </c>
    </row>
    <row r="55">
      <c r="A55" s="559" t="s">
        <v>144</v>
      </c>
      <c r="B55" s="560" t="s">
        <v>90</v>
      </c>
      <c r="C55" s="561">
        <v>4203604.0</v>
      </c>
      <c r="D55" s="562">
        <v>0.0</v>
      </c>
      <c r="E55" s="563">
        <v>0.0</v>
      </c>
      <c r="F55" s="564">
        <v>0.0</v>
      </c>
      <c r="G55" s="564">
        <v>0.0</v>
      </c>
      <c r="H55" s="564">
        <v>0.0</v>
      </c>
      <c r="I55" s="565">
        <v>0.0</v>
      </c>
      <c r="J55" s="566">
        <v>0.0</v>
      </c>
      <c r="K55" s="566">
        <v>0.0</v>
      </c>
      <c r="L55" s="567">
        <v>0.0</v>
      </c>
      <c r="M55" s="568">
        <v>0.0</v>
      </c>
      <c r="N55" s="568">
        <v>0.0</v>
      </c>
      <c r="O55" s="569">
        <v>0.0</v>
      </c>
      <c r="P55" s="570"/>
      <c r="Q55" s="150"/>
      <c r="R55" s="571"/>
      <c r="S55" s="116">
        <f t="shared" si="6"/>
        <v>0.6648642857</v>
      </c>
      <c r="T55" s="151"/>
      <c r="U55" s="572">
        <f t="shared" si="7"/>
        <v>0.53016</v>
      </c>
      <c r="V55" s="598"/>
      <c r="W55" s="574" t="b">
        <f t="shared" si="8"/>
        <v>0</v>
      </c>
      <c r="X55" s="598"/>
      <c r="Y55" s="574">
        <f t="shared" si="9"/>
        <v>0.631675</v>
      </c>
      <c r="Z55" s="308"/>
      <c r="AA55" s="308"/>
      <c r="AB55" s="575" t="str">
        <f t="shared" si="10"/>
        <v/>
      </c>
      <c r="AC55" s="576">
        <f t="shared" si="11"/>
        <v>0.7192241206</v>
      </c>
      <c r="AD55" s="577">
        <v>0.0</v>
      </c>
      <c r="AE55" s="572">
        <v>0.0</v>
      </c>
      <c r="AF55" s="578">
        <v>0.0</v>
      </c>
      <c r="AG55" s="132">
        <v>0.0</v>
      </c>
      <c r="AH55" s="132">
        <v>0.0</v>
      </c>
      <c r="AI55" s="579">
        <v>0.0</v>
      </c>
      <c r="AJ55" s="579">
        <v>0.0</v>
      </c>
      <c r="AK55" s="580">
        <v>0.0</v>
      </c>
      <c r="AL55" s="580">
        <v>0.0</v>
      </c>
      <c r="AM55" s="581">
        <v>0.0</v>
      </c>
      <c r="AN55" s="571" t="str">
        <f>IFERROR(
  AVERAGEIFS(
    'New LF Efficacy'!$J:$J,
    'New LF Efficacy'!$D:$D, $A55,
    'New LF Efficacy'!$F:$F,"DEC", 
    'New LF Efficacy'!$W:$W,"&lt;2016",
    'New LF Efficacy'!$AA:$AA,""),
  ""
)</f>
        <v/>
      </c>
      <c r="AO55" s="582">
        <f t="shared" si="12"/>
        <v>0.3573520833</v>
      </c>
      <c r="AP55" s="571" t="str">
        <f>IFERROR(
AVERAGEIFS(
'New LF Efficacy'!$J:$J,
'New LF Efficacy'!$D:$D,$A55,
'New LF Efficacy'!$F:$F,"Albendazole &amp; DEC",
'New LF Efficacy'!$W:$W,"&lt;2016",
'New LF Efficacy'!$AA:$AA,""),
"")</f>
        <v/>
      </c>
      <c r="AQ55" s="582">
        <f t="shared" si="13"/>
        <v>0.5143541667</v>
      </c>
      <c r="AR55" s="571" t="str">
        <f>IFERROR(
AVERAGEIFS(
'New LF Efficacy'!$J:$J,
'New LF Efficacy'!$D:$D,$A55,
'New LF Efficacy'!$F:$F,"Albendazole &amp; Ivermectin", 
'New LF Efficacy'!$W:$W,"&lt;2016",
'New LF Efficacy'!$AA:$AA,""),"")</f>
        <v/>
      </c>
      <c r="AS55" s="582">
        <f t="shared" si="14"/>
        <v>0.37153125</v>
      </c>
      <c r="AT55" s="583" t="str">
        <f>IFERROR(AVERAGEIFS(
'Schist Efficacy'!$O:$O, 
'Schist Efficacy'!$C:$C,$A55, 
'Schist Efficacy'!$D:$D, "Praziquantel",
'Schist Efficacy'!$J:$J,"&lt;2016",
'Schist Efficacy'!$U:$U,""),
"")</f>
        <v/>
      </c>
      <c r="AU55" s="572">
        <f t="shared" si="15"/>
        <v>0.655</v>
      </c>
      <c r="AV55" s="131" t="str">
        <f>IFERROR(AVERAGEIFS(
'STH Efficacy'!$AX:$AX, 
'STH Efficacy'!$AL:$AL, $A55, 
'STH Efficacy'!$AM:$AM, "Albendazole",
'STH Efficacy'!$AS:$AS,"&lt;2016",
'STH Efficacy'!$BP:$BP,""),
"")</f>
        <v/>
      </c>
      <c r="AW55" s="132">
        <f t="shared" si="16"/>
        <v>0.4143846154</v>
      </c>
      <c r="AX55" s="131" t="str">
        <f>IFERROR(AVERAGEIFS(
'STH Efficacy'!$AX:$AX, 
'STH Efficacy'!$AL:$AL, $A55, 
'STH Efficacy'!$AM:$AM, "Mebendazole",
'STH Efficacy'!$AS:$AS,"&lt;2016",
'STH Efficacy'!$BP:$BP,""),
"")</f>
        <v/>
      </c>
      <c r="AY55" s="132">
        <f t="shared" si="17"/>
        <v>0.4691770833</v>
      </c>
      <c r="AZ55" s="131" t="str">
        <f>IFERROR(AVERAGEIFS(
'STH Efficacy'!$AX:$AX, 
'STH Efficacy'!$AL:$AL, $A55, 
'STH Efficacy'!$AM:$AM, "Albendazole &amp; Ivermectin",
'STH Efficacy'!$AS:$AS,"&lt;2016",
'STH Efficacy'!$BP:$BP,""),
"")</f>
        <v/>
      </c>
      <c r="BA55" s="303">
        <f t="shared" si="18"/>
        <v>0.597625</v>
      </c>
      <c r="BB55" s="584" t="str">
        <f>IFERROR(AVERAGEIFS(
'STH Efficacy'!$N:$N, 
'STH Efficacy'!$B:$B, $A55, 
'STH Efficacy'!$C:$C, "Albendazole",
'STH Efficacy'!$I:$I,"&lt;2016",
'STH Efficacy'!$AH:$AH,""),
"")</f>
        <v/>
      </c>
      <c r="BC55" s="579">
        <f t="shared" si="19"/>
        <v>0.7613712121</v>
      </c>
      <c r="BD55" s="584" t="str">
        <f>IFERROR(AVERAGEIFS(
'STH Efficacy'!$N:$N, 
'STH Efficacy'!$B:$B, $A55, 
'STH Efficacy'!$C:$C, "Mebendazole",
'STH Efficacy'!$I:$I,"&lt;2016",
'STH Efficacy'!$AH:$AH,""),
"")</f>
        <v/>
      </c>
      <c r="BE55" s="579">
        <f t="shared" si="20"/>
        <v>0.4362466667</v>
      </c>
      <c r="BF55" s="585" t="str">
        <f>IFERROR(AVERAGEIFS(
'STH Efficacy'!$CD:$CD, 
'STH Efficacy'!$BS:$BS, $A55, 
'STH Efficacy'!$BT:$BT, "Albendazole",
'STH Efficacy'!$BZ:$BZ,"&lt;2016",
'STH Efficacy'!$CU:$CU,""),
"")</f>
        <v/>
      </c>
      <c r="BG55" s="580">
        <f t="shared" si="21"/>
        <v>0.9216027778</v>
      </c>
      <c r="BH55" s="585" t="str">
        <f>IFERROR(AVERAGEIFS(
'STH Efficacy'!$CD:$CD, 
'STH Efficacy'!$BS:$BS, $A55, 
'STH Efficacy'!$BT:$BT, "Mebendazole",
'STH Efficacy'!$BZ:$BZ,"&lt;2016",
'STH Efficacy'!$CU:$CU,""),
"")</f>
        <v/>
      </c>
      <c r="BI55" s="580">
        <f t="shared" si="22"/>
        <v>0.8866041667</v>
      </c>
      <c r="BJ55" s="585" t="str">
        <f>IFERROR(AVERAGEIFS(
'STH Efficacy'!$CD:$CD, 
'STH Efficacy'!$BS:$BS, $A55, 
'STH Efficacy'!$BT:$BT, "Albendazole &amp; Ivermectin",
'STH Efficacy'!$BZ:$BZ,"&lt;2016",
'STH Efficacy'!$CU:$CU,""),
"")</f>
        <v/>
      </c>
      <c r="BK55" s="580">
        <f t="shared" si="23"/>
        <v>0.848</v>
      </c>
      <c r="BL55" s="575" t="str">
        <f>IFERROR(
  AVERAGEIFS(
    'NEW Onchocerciasis Efficacy'!$AO:$AO,
    'NEW Onchocerciasis Efficacy'!$C:$C,$A55,
    'NEW Onchocerciasis Efficacy'!$D:$D,"Ivermectin",
    'NEW Onchocerciasis Efficacy'!$AR:$AR,"&lt;2016",
    'NEW Onchocerciasis Efficacy'!$BG:$BG,"")
,"")</f>
        <v/>
      </c>
      <c r="BM55" s="586">
        <f t="shared" si="24"/>
        <v>0.7808368939</v>
      </c>
      <c r="BN55" s="587">
        <v>0.0</v>
      </c>
      <c r="BO55" s="588">
        <v>0.0</v>
      </c>
      <c r="BP55" s="589">
        <v>0.0</v>
      </c>
      <c r="BQ55" s="590">
        <f t="shared" si="25"/>
        <v>0</v>
      </c>
      <c r="BR55" s="560" t="str">
        <f t="shared" si="26"/>
        <v>0000</v>
      </c>
      <c r="BS55" s="560" t="str">
        <f t="shared" si="27"/>
        <v>no action required</v>
      </c>
      <c r="BT55" s="361" t="str">
        <f t="shared" si="28"/>
        <v/>
      </c>
      <c r="BU55" s="591" t="str">
        <f t="shared" si="29"/>
        <v/>
      </c>
      <c r="BV55" s="560" t="str">
        <f t="shared" si="30"/>
        <v>none</v>
      </c>
      <c r="BW55" s="150" t="str">
        <f t="shared" si="31"/>
        <v/>
      </c>
      <c r="BX55" s="150" t="str">
        <f t="shared" si="32"/>
        <v/>
      </c>
      <c r="BY55" s="151" t="str">
        <f t="shared" si="33"/>
        <v/>
      </c>
      <c r="BZ55" s="152" t="str">
        <f t="shared" si="34"/>
        <v/>
      </c>
      <c r="CA55" s="152" t="str">
        <f t="shared" si="35"/>
        <v/>
      </c>
      <c r="CB55" s="152" t="str">
        <f t="shared" si="36"/>
        <v/>
      </c>
      <c r="CC55" s="153" t="str">
        <f t="shared" si="37"/>
        <v/>
      </c>
      <c r="CD55" s="153" t="str">
        <f t="shared" si="38"/>
        <v/>
      </c>
      <c r="CE55" s="154" t="str">
        <f t="shared" si="39"/>
        <v/>
      </c>
      <c r="CF55" s="154" t="str">
        <f t="shared" si="40"/>
        <v/>
      </c>
      <c r="CG55" s="154" t="str">
        <f t="shared" si="41"/>
        <v/>
      </c>
      <c r="CH55" s="308" t="str">
        <f t="shared" si="42"/>
        <v/>
      </c>
    </row>
    <row r="56">
      <c r="A56" s="559" t="s">
        <v>145</v>
      </c>
      <c r="B56" s="560" t="s">
        <v>98</v>
      </c>
      <c r="C56" s="561">
        <v>1.1461432E7</v>
      </c>
      <c r="D56" s="562">
        <v>0.0</v>
      </c>
      <c r="E56" s="563">
        <v>0.0</v>
      </c>
      <c r="F56" s="564">
        <v>0.732604204</v>
      </c>
      <c r="G56" s="564">
        <v>5.002275805</v>
      </c>
      <c r="H56" s="564">
        <v>27.34542831</v>
      </c>
      <c r="I56" s="565">
        <v>11.59751252</v>
      </c>
      <c r="J56" s="566">
        <v>46.7783885314849</v>
      </c>
      <c r="K56" s="566">
        <v>534.814844383369</v>
      </c>
      <c r="L56" s="567">
        <v>22.52417862</v>
      </c>
      <c r="M56" s="568">
        <v>63.8281808496355</v>
      </c>
      <c r="N56" s="568">
        <v>261.048190279098</v>
      </c>
      <c r="O56" s="569">
        <v>0.0</v>
      </c>
      <c r="P56" s="150"/>
      <c r="Q56" s="150"/>
      <c r="R56" s="571"/>
      <c r="S56" s="116">
        <f t="shared" si="6"/>
        <v>0.6451333333</v>
      </c>
      <c r="T56" s="151"/>
      <c r="U56" s="572">
        <f t="shared" si="7"/>
        <v>0.0025</v>
      </c>
      <c r="V56" s="598"/>
      <c r="W56" s="574">
        <f t="shared" si="8"/>
        <v>0.56882</v>
      </c>
      <c r="X56" s="598"/>
      <c r="Y56" s="574">
        <f t="shared" si="9"/>
        <v>0.5825818182</v>
      </c>
      <c r="Z56" s="308"/>
      <c r="AA56" s="308"/>
      <c r="AB56" s="575" t="str">
        <f t="shared" si="10"/>
        <v/>
      </c>
      <c r="AC56" s="576">
        <f t="shared" si="11"/>
        <v>0.7574216602</v>
      </c>
      <c r="AD56" s="577">
        <v>0.0</v>
      </c>
      <c r="AE56" s="572">
        <v>0.0</v>
      </c>
      <c r="AF56" s="578">
        <v>0.0</v>
      </c>
      <c r="AG56" s="132">
        <v>0.01508190834</v>
      </c>
      <c r="AH56" s="132">
        <v>0.04744227</v>
      </c>
      <c r="AI56" s="579">
        <v>0.008889250521</v>
      </c>
      <c r="AJ56" s="579">
        <v>0.01071555661</v>
      </c>
      <c r="AK56" s="580">
        <v>0.02210461391</v>
      </c>
      <c r="AL56" s="580">
        <v>0.02531566363</v>
      </c>
      <c r="AM56" s="581">
        <v>0.0</v>
      </c>
      <c r="AN56" s="571" t="str">
        <f>IFERROR(
  AVERAGEIFS(
    'New LF Efficacy'!$J:$J,
    'New LF Efficacy'!$D:$D, $A56,
    'New LF Efficacy'!$F:$F,"DEC", 
    'New LF Efficacy'!$W:$W,"&lt;2016",
    'New LF Efficacy'!$AA:$AA,""),
  ""
)</f>
        <v/>
      </c>
      <c r="AO56" s="582">
        <f t="shared" si="12"/>
        <v>0.2589833333</v>
      </c>
      <c r="AP56" s="571" t="str">
        <f>IFERROR(
AVERAGEIFS(
'New LF Efficacy'!$J:$J,
'New LF Efficacy'!$D:$D,$A56,
'New LF Efficacy'!$F:$F,"Albendazole &amp; DEC",
'New LF Efficacy'!$W:$W,"&lt;2016",
'New LF Efficacy'!$AA:$AA,""),
"")</f>
        <v/>
      </c>
      <c r="AQ56" s="582">
        <f t="shared" si="13"/>
        <v>0.3465</v>
      </c>
      <c r="AR56" s="571" t="str">
        <f>IFERROR(
AVERAGEIFS(
'New LF Efficacy'!$J:$J,
'New LF Efficacy'!$D:$D,$A56,
'New LF Efficacy'!$F:$F,"Albendazole &amp; Ivermectin", 
'New LF Efficacy'!$W:$W,"&lt;2016",
'New LF Efficacy'!$AA:$AA,""),"")</f>
        <v/>
      </c>
      <c r="AS56" s="582">
        <f t="shared" si="14"/>
        <v>0.7575</v>
      </c>
      <c r="AT56" s="583" t="str">
        <f>IFERROR(AVERAGEIFS(
'Schist Efficacy'!$O:$O, 
'Schist Efficacy'!$C:$C,$A56, 
'Schist Efficacy'!$D:$D, "Praziquantel",
'Schist Efficacy'!$J:$J,"&lt;2016",
'Schist Efficacy'!$U:$U,""),
"")</f>
        <v/>
      </c>
      <c r="AU56" s="572">
        <f t="shared" si="15"/>
        <v>0.7914761905</v>
      </c>
      <c r="AV56" s="131" t="str">
        <f>IFERROR(AVERAGEIFS(
'STH Efficacy'!$AX:$AX, 
'STH Efficacy'!$AL:$AL, $A56, 
'STH Efficacy'!$AM:$AM, "Albendazole",
'STH Efficacy'!$AS:$AS,"&lt;2016",
'STH Efficacy'!$BP:$BP,""),
"")</f>
        <v/>
      </c>
      <c r="AW56" s="132">
        <f t="shared" si="16"/>
        <v>0.3945</v>
      </c>
      <c r="AX56" s="131" t="str">
        <f>IFERROR(AVERAGEIFS(
'STH Efficacy'!$AX:$AX, 
'STH Efficacy'!$AL:$AL, $A56, 
'STH Efficacy'!$AM:$AM, "Mebendazole",
'STH Efficacy'!$AS:$AS,"&lt;2016",
'STH Efficacy'!$BP:$BP,""),
"")</f>
        <v/>
      </c>
      <c r="AY56" s="132">
        <f t="shared" si="17"/>
        <v>0.6</v>
      </c>
      <c r="AZ56" s="131" t="str">
        <f>IFERROR(AVERAGEIFS(
'STH Efficacy'!$AX:$AX, 
'STH Efficacy'!$AL:$AL, $A56, 
'STH Efficacy'!$AM:$AM, "Albendazole &amp; Ivermectin",
'STH Efficacy'!$AS:$AS,"&lt;2016",
'STH Efficacy'!$BP:$BP,""),
"")</f>
        <v/>
      </c>
      <c r="BA56" s="303">
        <f t="shared" si="18"/>
        <v>0.796</v>
      </c>
      <c r="BB56" s="584" t="str">
        <f>IFERROR(AVERAGEIFS(
'STH Efficacy'!$N:$N, 
'STH Efficacy'!$B:$B, $A56, 
'STH Efficacy'!$C:$C, "Albendazole",
'STH Efficacy'!$I:$I,"&lt;2016",
'STH Efficacy'!$AH:$AH,""),
"")</f>
        <v/>
      </c>
      <c r="BC56" s="579">
        <f t="shared" si="19"/>
        <v>0.869</v>
      </c>
      <c r="BD56" s="584" t="str">
        <f>IFERROR(AVERAGEIFS(
'STH Efficacy'!$N:$N, 
'STH Efficacy'!$B:$B, $A56, 
'STH Efficacy'!$C:$C, "Mebendazole",
'STH Efficacy'!$I:$I,"&lt;2016",
'STH Efficacy'!$AH:$AH,""),
"")</f>
        <v/>
      </c>
      <c r="BE56" s="579">
        <f t="shared" si="20"/>
        <v>0.172</v>
      </c>
      <c r="BF56" s="585" t="str">
        <f>IFERROR(AVERAGEIFS(
'STH Efficacy'!$CD:$CD, 
'STH Efficacy'!$BS:$BS, $A56, 
'STH Efficacy'!$BT:$BT, "Albendazole",
'STH Efficacy'!$BZ:$BZ,"&lt;2016",
'STH Efficacy'!$CU:$CU,""),
"")</f>
        <v/>
      </c>
      <c r="BG56" s="580">
        <f t="shared" si="21"/>
        <v>0.9862</v>
      </c>
      <c r="BH56" s="585">
        <f>IFERROR(AVERAGEIFS(
'STH Efficacy'!$CD:$CD, 
'STH Efficacy'!$BS:$BS, $A56, 
'STH Efficacy'!$BT:$BT, "Mebendazole",
'STH Efficacy'!$BZ:$BZ,"&lt;2016",
'STH Efficacy'!$CU:$CU,""),
"")</f>
        <v>0.769</v>
      </c>
      <c r="BI56" s="580">
        <f t="shared" si="22"/>
        <v>0.769</v>
      </c>
      <c r="BJ56" s="585" t="str">
        <f>IFERROR(AVERAGEIFS(
'STH Efficacy'!$CD:$CD, 
'STH Efficacy'!$BS:$BS, $A56, 
'STH Efficacy'!$BT:$BT, "Albendazole &amp; Ivermectin",
'STH Efficacy'!$BZ:$BZ,"&lt;2016",
'STH Efficacy'!$CU:$CU,""),
"")</f>
        <v/>
      </c>
      <c r="BK56" s="580">
        <f t="shared" si="23"/>
        <v>1</v>
      </c>
      <c r="BL56" s="575" t="str">
        <f>IFERROR(
  AVERAGEIFS(
    'NEW Onchocerciasis Efficacy'!$AO:$AO,
    'NEW Onchocerciasis Efficacy'!$C:$C,$A56,
    'NEW Onchocerciasis Efficacy'!$D:$D,"Ivermectin",
    'NEW Onchocerciasis Efficacy'!$AR:$AR,"&lt;2016",
    'NEW Onchocerciasis Efficacy'!$BG:$BG,"")
,"")</f>
        <v/>
      </c>
      <c r="BM56" s="586">
        <f t="shared" si="24"/>
        <v>0.3734</v>
      </c>
      <c r="BN56" s="587">
        <v>0.0</v>
      </c>
      <c r="BO56" s="588">
        <v>0.0</v>
      </c>
      <c r="BP56" s="589">
        <v>0.0</v>
      </c>
      <c r="BQ56" s="590">
        <f t="shared" si="25"/>
        <v>0</v>
      </c>
      <c r="BR56" s="560" t="str">
        <f t="shared" si="26"/>
        <v>0000</v>
      </c>
      <c r="BS56" s="560" t="str">
        <f t="shared" si="27"/>
        <v>no action required</v>
      </c>
      <c r="BT56" s="361" t="str">
        <f t="shared" si="28"/>
        <v/>
      </c>
      <c r="BU56" s="591" t="str">
        <f t="shared" si="29"/>
        <v/>
      </c>
      <c r="BV56" s="560" t="str">
        <f t="shared" si="30"/>
        <v>none</v>
      </c>
      <c r="BW56" s="150" t="str">
        <f t="shared" si="31"/>
        <v/>
      </c>
      <c r="BX56" s="150" t="str">
        <f t="shared" si="32"/>
        <v/>
      </c>
      <c r="BY56" s="151" t="str">
        <f t="shared" si="33"/>
        <v/>
      </c>
      <c r="BZ56" s="152" t="str">
        <f t="shared" si="34"/>
        <v/>
      </c>
      <c r="CA56" s="152" t="str">
        <f t="shared" si="35"/>
        <v/>
      </c>
      <c r="CB56" s="152" t="str">
        <f t="shared" si="36"/>
        <v/>
      </c>
      <c r="CC56" s="153" t="str">
        <f t="shared" si="37"/>
        <v/>
      </c>
      <c r="CD56" s="153" t="str">
        <f t="shared" si="38"/>
        <v/>
      </c>
      <c r="CE56" s="154" t="str">
        <f t="shared" si="39"/>
        <v/>
      </c>
      <c r="CF56" s="154" t="str">
        <f t="shared" si="40"/>
        <v/>
      </c>
      <c r="CG56" s="154" t="str">
        <f t="shared" si="41"/>
        <v/>
      </c>
      <c r="CH56" s="308" t="str">
        <f t="shared" si="42"/>
        <v/>
      </c>
    </row>
    <row r="57">
      <c r="A57" s="599" t="s">
        <v>146</v>
      </c>
      <c r="B57" s="560" t="s">
        <v>98</v>
      </c>
      <c r="C57" s="561">
        <v>157979.0</v>
      </c>
      <c r="D57" s="562"/>
      <c r="E57" s="610"/>
      <c r="F57" s="611"/>
      <c r="G57" s="611"/>
      <c r="H57" s="611"/>
      <c r="I57" s="566"/>
      <c r="J57" s="566"/>
      <c r="K57" s="566"/>
      <c r="L57" s="612"/>
      <c r="M57" s="612"/>
      <c r="N57" s="612"/>
      <c r="O57" s="308"/>
      <c r="P57" s="150"/>
      <c r="Q57" s="150"/>
      <c r="R57" s="571"/>
      <c r="S57" s="116">
        <f t="shared" si="6"/>
        <v>0.6451333333</v>
      </c>
      <c r="T57" s="151"/>
      <c r="U57" s="572">
        <f t="shared" si="7"/>
        <v>0.0025</v>
      </c>
      <c r="V57" s="598"/>
      <c r="W57" s="574">
        <f t="shared" si="8"/>
        <v>0.56882</v>
      </c>
      <c r="X57" s="598"/>
      <c r="Y57" s="574">
        <f t="shared" si="9"/>
        <v>0.5825818182</v>
      </c>
      <c r="Z57" s="308"/>
      <c r="AA57" s="308"/>
      <c r="AB57" s="575" t="str">
        <f t="shared" si="10"/>
        <v/>
      </c>
      <c r="AC57" s="576">
        <f t="shared" si="11"/>
        <v>0.7574216602</v>
      </c>
      <c r="AD57" s="571"/>
      <c r="AE57" s="583"/>
      <c r="AF57" s="583"/>
      <c r="AG57" s="131"/>
      <c r="AH57" s="131"/>
      <c r="AI57" s="584"/>
      <c r="AJ57" s="584"/>
      <c r="AK57" s="585"/>
      <c r="AL57" s="585"/>
      <c r="AM57" s="575"/>
      <c r="AN57" s="571" t="str">
        <f>IFERROR(
  AVERAGEIFS(
    'New LF Efficacy'!$J:$J,
    'New LF Efficacy'!$D:$D, $A57,
    'New LF Efficacy'!$F:$F,"DEC", 
    'New LF Efficacy'!$W:$W,"&lt;2016",
    'New LF Efficacy'!$AA:$AA,""),
  ""
)</f>
        <v/>
      </c>
      <c r="AO57" s="582">
        <f t="shared" si="12"/>
        <v>0.2589833333</v>
      </c>
      <c r="AP57" s="571" t="str">
        <f>IFERROR(
AVERAGEIFS(
'New LF Efficacy'!$J:$J,
'New LF Efficacy'!$D:$D,$A57,
'New LF Efficacy'!$F:$F,"Albendazole &amp; DEC",
'New LF Efficacy'!$W:$W,"&lt;2016",
'New LF Efficacy'!$AA:$AA,""),
"")</f>
        <v/>
      </c>
      <c r="AQ57" s="582">
        <f t="shared" si="13"/>
        <v>0.3465</v>
      </c>
      <c r="AR57" s="571" t="str">
        <f>IFERROR(
AVERAGEIFS(
'New LF Efficacy'!$J:$J,
'New LF Efficacy'!$D:$D,$A57,
'New LF Efficacy'!$F:$F,"Albendazole &amp; Ivermectin", 
'New LF Efficacy'!$W:$W,"&lt;2016",
'New LF Efficacy'!$AA:$AA,""),"")</f>
        <v/>
      </c>
      <c r="AS57" s="582">
        <f t="shared" si="14"/>
        <v>0.7575</v>
      </c>
      <c r="AT57" s="583" t="str">
        <f>IFERROR(AVERAGEIFS(
'Schist Efficacy'!$O:$O, 
'Schist Efficacy'!$C:$C,$A57, 
'Schist Efficacy'!$D:$D, "Praziquantel",
'Schist Efficacy'!$J:$J,"&lt;2016",
'Schist Efficacy'!$U:$U,""),
"")</f>
        <v/>
      </c>
      <c r="AU57" s="572">
        <f t="shared" si="15"/>
        <v>0.7914761905</v>
      </c>
      <c r="AV57" s="131" t="str">
        <f>IFERROR(AVERAGEIFS(
'STH Efficacy'!$AX:$AX, 
'STH Efficacy'!$AL:$AL, $A57, 
'STH Efficacy'!$AM:$AM, "Albendazole",
'STH Efficacy'!$AS:$AS,"&lt;2016",
'STH Efficacy'!$BP:$BP,""),
"")</f>
        <v/>
      </c>
      <c r="AW57" s="132">
        <f t="shared" si="16"/>
        <v>0.3945</v>
      </c>
      <c r="AX57" s="131" t="str">
        <f>IFERROR(AVERAGEIFS(
'STH Efficacy'!$AX:$AX, 
'STH Efficacy'!$AL:$AL, $A57, 
'STH Efficacy'!$AM:$AM, "Mebendazole",
'STH Efficacy'!$AS:$AS,"&lt;2016",
'STH Efficacy'!$BP:$BP,""),
"")</f>
        <v/>
      </c>
      <c r="AY57" s="132">
        <f t="shared" si="17"/>
        <v>0.6</v>
      </c>
      <c r="AZ57" s="131" t="str">
        <f>IFERROR(AVERAGEIFS(
'STH Efficacy'!$AX:$AX, 
'STH Efficacy'!$AL:$AL, $A57, 
'STH Efficacy'!$AM:$AM, "Albendazole &amp; Ivermectin",
'STH Efficacy'!$AS:$AS,"&lt;2016",
'STH Efficacy'!$BP:$BP,""),
"")</f>
        <v/>
      </c>
      <c r="BA57" s="303">
        <f t="shared" si="18"/>
        <v>0.796</v>
      </c>
      <c r="BB57" s="584" t="str">
        <f>IFERROR(AVERAGEIFS(
'STH Efficacy'!$N:$N, 
'STH Efficacy'!$B:$B, $A57, 
'STH Efficacy'!$C:$C, "Albendazole",
'STH Efficacy'!$I:$I,"&lt;2016",
'STH Efficacy'!$AH:$AH,""),
"")</f>
        <v/>
      </c>
      <c r="BC57" s="579">
        <f t="shared" si="19"/>
        <v>0.869</v>
      </c>
      <c r="BD57" s="584" t="str">
        <f>IFERROR(AVERAGEIFS(
'STH Efficacy'!$N:$N, 
'STH Efficacy'!$B:$B, $A57, 
'STH Efficacy'!$C:$C, "Mebendazole",
'STH Efficacy'!$I:$I,"&lt;2016",
'STH Efficacy'!$AH:$AH,""),
"")</f>
        <v/>
      </c>
      <c r="BE57" s="579">
        <f t="shared" si="20"/>
        <v>0.172</v>
      </c>
      <c r="BF57" s="585" t="str">
        <f>IFERROR(AVERAGEIFS(
'STH Efficacy'!$CD:$CD, 
'STH Efficacy'!$BS:$BS, $A57, 
'STH Efficacy'!$BT:$BT, "Albendazole",
'STH Efficacy'!$BZ:$BZ,"&lt;2016",
'STH Efficacy'!$CU:$CU,""),
"")</f>
        <v/>
      </c>
      <c r="BG57" s="580">
        <f t="shared" si="21"/>
        <v>0.9862</v>
      </c>
      <c r="BH57" s="585" t="str">
        <f>IFERROR(AVERAGEIFS(
'STH Efficacy'!$CD:$CD, 
'STH Efficacy'!$BS:$BS, $A57, 
'STH Efficacy'!$BT:$BT, "Mebendazole",
'STH Efficacy'!$BZ:$BZ,"&lt;2016",
'STH Efficacy'!$CU:$CU,""),
"")</f>
        <v/>
      </c>
      <c r="BI57" s="580">
        <f t="shared" si="22"/>
        <v>0.769</v>
      </c>
      <c r="BJ57" s="585" t="str">
        <f>IFERROR(AVERAGEIFS(
'STH Efficacy'!$CD:$CD, 
'STH Efficacy'!$BS:$BS, $A57, 
'STH Efficacy'!$BT:$BT, "Albendazole &amp; Ivermectin",
'STH Efficacy'!$BZ:$BZ,"&lt;2016",
'STH Efficacy'!$CU:$CU,""),
"")</f>
        <v/>
      </c>
      <c r="BK57" s="580">
        <f t="shared" si="23"/>
        <v>1</v>
      </c>
      <c r="BL57" s="575" t="str">
        <f>IFERROR(
  AVERAGEIFS(
    'NEW Onchocerciasis Efficacy'!$AO:$AO,
    'NEW Onchocerciasis Efficacy'!$C:$C,$A57,
    'NEW Onchocerciasis Efficacy'!$D:$D,"Ivermectin",
    'NEW Onchocerciasis Efficacy'!$AR:$AR,"&lt;2016",
    'NEW Onchocerciasis Efficacy'!$BG:$BG,"")
,"")</f>
        <v/>
      </c>
      <c r="BM57" s="586">
        <f t="shared" si="24"/>
        <v>0.3734</v>
      </c>
      <c r="BN57" s="587">
        <v>0.0</v>
      </c>
      <c r="BO57" s="588">
        <v>0.0</v>
      </c>
      <c r="BP57" s="589">
        <v>0.0</v>
      </c>
      <c r="BQ57" s="590">
        <f t="shared" si="25"/>
        <v>0</v>
      </c>
      <c r="BR57" s="560" t="str">
        <f t="shared" si="26"/>
        <v>0000</v>
      </c>
      <c r="BS57" s="560" t="str">
        <f t="shared" si="27"/>
        <v>no action required</v>
      </c>
      <c r="BT57" s="361" t="str">
        <f t="shared" si="28"/>
        <v/>
      </c>
      <c r="BU57" s="591" t="str">
        <f t="shared" si="29"/>
        <v/>
      </c>
      <c r="BV57" s="560" t="str">
        <f t="shared" si="30"/>
        <v>none</v>
      </c>
      <c r="BW57" s="150" t="str">
        <f t="shared" si="31"/>
        <v/>
      </c>
      <c r="BX57" s="150" t="str">
        <f t="shared" si="32"/>
        <v/>
      </c>
      <c r="BY57" s="151" t="str">
        <f t="shared" si="33"/>
        <v/>
      </c>
      <c r="BZ57" s="152" t="str">
        <f t="shared" si="34"/>
        <v/>
      </c>
      <c r="CA57" s="152" t="str">
        <f t="shared" si="35"/>
        <v/>
      </c>
      <c r="CB57" s="152" t="str">
        <f t="shared" si="36"/>
        <v/>
      </c>
      <c r="CC57" s="153" t="str">
        <f t="shared" si="37"/>
        <v/>
      </c>
      <c r="CD57" s="153" t="str">
        <f t="shared" si="38"/>
        <v/>
      </c>
      <c r="CE57" s="154" t="str">
        <f t="shared" si="39"/>
        <v/>
      </c>
      <c r="CF57" s="154" t="str">
        <f t="shared" si="40"/>
        <v/>
      </c>
      <c r="CG57" s="154" t="str">
        <f t="shared" si="41"/>
        <v/>
      </c>
      <c r="CH57" s="308" t="str">
        <f t="shared" si="42"/>
        <v/>
      </c>
    </row>
    <row r="58">
      <c r="A58" s="559" t="s">
        <v>147</v>
      </c>
      <c r="B58" s="560" t="s">
        <v>90</v>
      </c>
      <c r="C58" s="561">
        <v>1160985.0</v>
      </c>
      <c r="D58" s="562">
        <v>0.0</v>
      </c>
      <c r="E58" s="563">
        <v>0.0</v>
      </c>
      <c r="F58" s="564">
        <v>0.0</v>
      </c>
      <c r="G58" s="564">
        <v>0.0</v>
      </c>
      <c r="H58" s="564">
        <v>0.0</v>
      </c>
      <c r="I58" s="565">
        <v>0.0</v>
      </c>
      <c r="J58" s="566">
        <v>0.0</v>
      </c>
      <c r="K58" s="566">
        <v>0.0</v>
      </c>
      <c r="L58" s="567">
        <v>0.0</v>
      </c>
      <c r="M58" s="568">
        <v>0.0</v>
      </c>
      <c r="N58" s="568">
        <v>0.0</v>
      </c>
      <c r="O58" s="569">
        <v>0.0</v>
      </c>
      <c r="P58" s="150"/>
      <c r="Q58" s="150"/>
      <c r="R58" s="571"/>
      <c r="S58" s="116">
        <f t="shared" si="6"/>
        <v>0.6648642857</v>
      </c>
      <c r="T58" s="151"/>
      <c r="U58" s="572">
        <f t="shared" si="7"/>
        <v>0.53016</v>
      </c>
      <c r="V58" s="598"/>
      <c r="W58" s="574" t="b">
        <f t="shared" si="8"/>
        <v>0</v>
      </c>
      <c r="X58" s="598"/>
      <c r="Y58" s="574">
        <f t="shared" si="9"/>
        <v>0.631675</v>
      </c>
      <c r="Z58" s="308"/>
      <c r="AA58" s="308"/>
      <c r="AB58" s="575" t="str">
        <f t="shared" si="10"/>
        <v/>
      </c>
      <c r="AC58" s="576">
        <f t="shared" si="11"/>
        <v>0.7192241206</v>
      </c>
      <c r="AD58" s="577">
        <v>0.0</v>
      </c>
      <c r="AE58" s="572">
        <v>0.0</v>
      </c>
      <c r="AF58" s="578">
        <v>0.0</v>
      </c>
      <c r="AG58" s="132">
        <v>0.0</v>
      </c>
      <c r="AH58" s="132">
        <v>0.0</v>
      </c>
      <c r="AI58" s="579">
        <v>0.0</v>
      </c>
      <c r="AJ58" s="579">
        <v>0.0</v>
      </c>
      <c r="AK58" s="580">
        <v>0.0</v>
      </c>
      <c r="AL58" s="580">
        <v>0.0</v>
      </c>
      <c r="AM58" s="581">
        <v>0.0</v>
      </c>
      <c r="AN58" s="571" t="str">
        <f>IFERROR(
  AVERAGEIFS(
    'New LF Efficacy'!$J:$J,
    'New LF Efficacy'!$D:$D, $A58,
    'New LF Efficacy'!$F:$F,"DEC", 
    'New LF Efficacy'!$W:$W,"&lt;2016",
    'New LF Efficacy'!$AA:$AA,""),
  ""
)</f>
        <v/>
      </c>
      <c r="AO58" s="582">
        <f t="shared" si="12"/>
        <v>0.3573520833</v>
      </c>
      <c r="AP58" s="571" t="str">
        <f>IFERROR(
AVERAGEIFS(
'New LF Efficacy'!$J:$J,
'New LF Efficacy'!$D:$D,$A58,
'New LF Efficacy'!$F:$F,"Albendazole &amp; DEC",
'New LF Efficacy'!$W:$W,"&lt;2016",
'New LF Efficacy'!$AA:$AA,""),
"")</f>
        <v/>
      </c>
      <c r="AQ58" s="582">
        <f t="shared" si="13"/>
        <v>0.5143541667</v>
      </c>
      <c r="AR58" s="571" t="str">
        <f>IFERROR(
AVERAGEIFS(
'New LF Efficacy'!$J:$J,
'New LF Efficacy'!$D:$D,$A58,
'New LF Efficacy'!$F:$F,"Albendazole &amp; Ivermectin", 
'New LF Efficacy'!$W:$W,"&lt;2016",
'New LF Efficacy'!$AA:$AA,""),"")</f>
        <v/>
      </c>
      <c r="AS58" s="582">
        <f t="shared" si="14"/>
        <v>0.37153125</v>
      </c>
      <c r="AT58" s="583" t="str">
        <f>IFERROR(AVERAGEIFS(
'Schist Efficacy'!$O:$O, 
'Schist Efficacy'!$C:$C,$A58, 
'Schist Efficacy'!$D:$D, "Praziquantel",
'Schist Efficacy'!$J:$J,"&lt;2016",
'Schist Efficacy'!$U:$U,""),
"")</f>
        <v/>
      </c>
      <c r="AU58" s="572">
        <f t="shared" si="15"/>
        <v>0.655</v>
      </c>
      <c r="AV58" s="131" t="str">
        <f>IFERROR(AVERAGEIFS(
'STH Efficacy'!$AX:$AX, 
'STH Efficacy'!$AL:$AL, $A58, 
'STH Efficacy'!$AM:$AM, "Albendazole",
'STH Efficacy'!$AS:$AS,"&lt;2016",
'STH Efficacy'!$BP:$BP,""),
"")</f>
        <v/>
      </c>
      <c r="AW58" s="132">
        <f t="shared" si="16"/>
        <v>0.4143846154</v>
      </c>
      <c r="AX58" s="131" t="str">
        <f>IFERROR(AVERAGEIFS(
'STH Efficacy'!$AX:$AX, 
'STH Efficacy'!$AL:$AL, $A58, 
'STH Efficacy'!$AM:$AM, "Mebendazole",
'STH Efficacy'!$AS:$AS,"&lt;2016",
'STH Efficacy'!$BP:$BP,""),
"")</f>
        <v/>
      </c>
      <c r="AY58" s="132">
        <f t="shared" si="17"/>
        <v>0.4691770833</v>
      </c>
      <c r="AZ58" s="131" t="str">
        <f>IFERROR(AVERAGEIFS(
'STH Efficacy'!$AX:$AX, 
'STH Efficacy'!$AL:$AL, $A58, 
'STH Efficacy'!$AM:$AM, "Albendazole &amp; Ivermectin",
'STH Efficacy'!$AS:$AS,"&lt;2016",
'STH Efficacy'!$BP:$BP,""),
"")</f>
        <v/>
      </c>
      <c r="BA58" s="303">
        <f t="shared" si="18"/>
        <v>0.597625</v>
      </c>
      <c r="BB58" s="584" t="str">
        <f>IFERROR(AVERAGEIFS(
'STH Efficacy'!$N:$N, 
'STH Efficacy'!$B:$B, $A58, 
'STH Efficacy'!$C:$C, "Albendazole",
'STH Efficacy'!$I:$I,"&lt;2016",
'STH Efficacy'!$AH:$AH,""),
"")</f>
        <v/>
      </c>
      <c r="BC58" s="579">
        <f t="shared" si="19"/>
        <v>0.7613712121</v>
      </c>
      <c r="BD58" s="584" t="str">
        <f>IFERROR(AVERAGEIFS(
'STH Efficacy'!$N:$N, 
'STH Efficacy'!$B:$B, $A58, 
'STH Efficacy'!$C:$C, "Mebendazole",
'STH Efficacy'!$I:$I,"&lt;2016",
'STH Efficacy'!$AH:$AH,""),
"")</f>
        <v/>
      </c>
      <c r="BE58" s="579">
        <f t="shared" si="20"/>
        <v>0.4362466667</v>
      </c>
      <c r="BF58" s="585" t="str">
        <f>IFERROR(AVERAGEIFS(
'STH Efficacy'!$CD:$CD, 
'STH Efficacy'!$BS:$BS, $A58, 
'STH Efficacy'!$BT:$BT, "Albendazole",
'STH Efficacy'!$BZ:$BZ,"&lt;2016",
'STH Efficacy'!$CU:$CU,""),
"")</f>
        <v/>
      </c>
      <c r="BG58" s="580">
        <f t="shared" si="21"/>
        <v>0.9216027778</v>
      </c>
      <c r="BH58" s="585" t="str">
        <f>IFERROR(AVERAGEIFS(
'STH Efficacy'!$CD:$CD, 
'STH Efficacy'!$BS:$BS, $A58, 
'STH Efficacy'!$BT:$BT, "Mebendazole",
'STH Efficacy'!$BZ:$BZ,"&lt;2016",
'STH Efficacy'!$CU:$CU,""),
"")</f>
        <v/>
      </c>
      <c r="BI58" s="580">
        <f t="shared" si="22"/>
        <v>0.8866041667</v>
      </c>
      <c r="BJ58" s="585" t="str">
        <f>IFERROR(AVERAGEIFS(
'STH Efficacy'!$CD:$CD, 
'STH Efficacy'!$BS:$BS, $A58, 
'STH Efficacy'!$BT:$BT, "Albendazole &amp; Ivermectin",
'STH Efficacy'!$BZ:$BZ,"&lt;2016",
'STH Efficacy'!$CU:$CU,""),
"")</f>
        <v/>
      </c>
      <c r="BK58" s="580">
        <f t="shared" si="23"/>
        <v>0.848</v>
      </c>
      <c r="BL58" s="575" t="str">
        <f>IFERROR(
  AVERAGEIFS(
    'NEW Onchocerciasis Efficacy'!$AO:$AO,
    'NEW Onchocerciasis Efficacy'!$C:$C,$A58,
    'NEW Onchocerciasis Efficacy'!$D:$D,"Ivermectin",
    'NEW Onchocerciasis Efficacy'!$AR:$AR,"&lt;2016",
    'NEW Onchocerciasis Efficacy'!$BG:$BG,"")
,"")</f>
        <v/>
      </c>
      <c r="BM58" s="586">
        <f t="shared" si="24"/>
        <v>0.7808368939</v>
      </c>
      <c r="BN58" s="587">
        <v>0.0</v>
      </c>
      <c r="BO58" s="588">
        <v>0.0</v>
      </c>
      <c r="BP58" s="589">
        <v>0.0</v>
      </c>
      <c r="BQ58" s="590">
        <f t="shared" si="25"/>
        <v>0</v>
      </c>
      <c r="BR58" s="560" t="str">
        <f t="shared" si="26"/>
        <v>0000</v>
      </c>
      <c r="BS58" s="560" t="str">
        <f t="shared" si="27"/>
        <v>no action required</v>
      </c>
      <c r="BT58" s="361" t="str">
        <f t="shared" si="28"/>
        <v/>
      </c>
      <c r="BU58" s="591" t="str">
        <f t="shared" si="29"/>
        <v/>
      </c>
      <c r="BV58" s="560" t="str">
        <f t="shared" si="30"/>
        <v>none</v>
      </c>
      <c r="BW58" s="150" t="str">
        <f t="shared" si="31"/>
        <v/>
      </c>
      <c r="BX58" s="150" t="str">
        <f t="shared" si="32"/>
        <v/>
      </c>
      <c r="BY58" s="151" t="str">
        <f t="shared" si="33"/>
        <v/>
      </c>
      <c r="BZ58" s="152" t="str">
        <f t="shared" si="34"/>
        <v/>
      </c>
      <c r="CA58" s="152" t="str">
        <f t="shared" si="35"/>
        <v/>
      </c>
      <c r="CB58" s="152" t="str">
        <f t="shared" si="36"/>
        <v/>
      </c>
      <c r="CC58" s="153" t="str">
        <f t="shared" si="37"/>
        <v/>
      </c>
      <c r="CD58" s="153" t="str">
        <f t="shared" si="38"/>
        <v/>
      </c>
      <c r="CE58" s="154" t="str">
        <f t="shared" si="39"/>
        <v/>
      </c>
      <c r="CF58" s="154" t="str">
        <f t="shared" si="40"/>
        <v/>
      </c>
      <c r="CG58" s="154" t="str">
        <f t="shared" si="41"/>
        <v/>
      </c>
      <c r="CH58" s="308" t="str">
        <f t="shared" si="42"/>
        <v/>
      </c>
    </row>
    <row r="59">
      <c r="A59" s="559" t="s">
        <v>148</v>
      </c>
      <c r="B59" s="560" t="s">
        <v>90</v>
      </c>
      <c r="C59" s="561">
        <v>1.0546059E7</v>
      </c>
      <c r="D59" s="562">
        <v>0.0</v>
      </c>
      <c r="E59" s="563">
        <v>0.0</v>
      </c>
      <c r="F59" s="564">
        <v>0.0</v>
      </c>
      <c r="G59" s="564">
        <v>0.0</v>
      </c>
      <c r="H59" s="564">
        <v>0.0</v>
      </c>
      <c r="I59" s="565">
        <v>0.0</v>
      </c>
      <c r="J59" s="566">
        <v>0.0</v>
      </c>
      <c r="K59" s="566">
        <v>0.0</v>
      </c>
      <c r="L59" s="567">
        <v>0.0</v>
      </c>
      <c r="M59" s="568">
        <v>0.0</v>
      </c>
      <c r="N59" s="568">
        <v>0.0</v>
      </c>
      <c r="O59" s="569">
        <v>0.0</v>
      </c>
      <c r="P59" s="150"/>
      <c r="Q59" s="150"/>
      <c r="R59" s="571"/>
      <c r="S59" s="116">
        <f t="shared" si="6"/>
        <v>0.6648642857</v>
      </c>
      <c r="T59" s="151"/>
      <c r="U59" s="572">
        <f t="shared" si="7"/>
        <v>0.53016</v>
      </c>
      <c r="V59" s="598"/>
      <c r="W59" s="574" t="b">
        <f t="shared" si="8"/>
        <v>0</v>
      </c>
      <c r="X59" s="598"/>
      <c r="Y59" s="574">
        <f t="shared" si="9"/>
        <v>0.631675</v>
      </c>
      <c r="Z59" s="308"/>
      <c r="AA59" s="308"/>
      <c r="AB59" s="575" t="str">
        <f t="shared" si="10"/>
        <v/>
      </c>
      <c r="AC59" s="576">
        <f t="shared" si="11"/>
        <v>0.7192241206</v>
      </c>
      <c r="AD59" s="577">
        <v>0.0</v>
      </c>
      <c r="AE59" s="572">
        <v>0.0</v>
      </c>
      <c r="AF59" s="578">
        <v>0.0</v>
      </c>
      <c r="AG59" s="132">
        <v>0.0</v>
      </c>
      <c r="AH59" s="132">
        <v>0.0</v>
      </c>
      <c r="AI59" s="579">
        <v>0.0</v>
      </c>
      <c r="AJ59" s="579">
        <v>0.0</v>
      </c>
      <c r="AK59" s="580">
        <v>0.0</v>
      </c>
      <c r="AL59" s="580">
        <v>0.0</v>
      </c>
      <c r="AM59" s="581">
        <v>0.0</v>
      </c>
      <c r="AN59" s="571" t="str">
        <f>IFERROR(
  AVERAGEIFS(
    'New LF Efficacy'!$J:$J,
    'New LF Efficacy'!$D:$D, $A59,
    'New LF Efficacy'!$F:$F,"DEC", 
    'New LF Efficacy'!$W:$W,"&lt;2016",
    'New LF Efficacy'!$AA:$AA,""),
  ""
)</f>
        <v/>
      </c>
      <c r="AO59" s="582">
        <f t="shared" si="12"/>
        <v>0.3573520833</v>
      </c>
      <c r="AP59" s="571" t="str">
        <f>IFERROR(
AVERAGEIFS(
'New LF Efficacy'!$J:$J,
'New LF Efficacy'!$D:$D,$A59,
'New LF Efficacy'!$F:$F,"Albendazole &amp; DEC",
'New LF Efficacy'!$W:$W,"&lt;2016",
'New LF Efficacy'!$AA:$AA,""),
"")</f>
        <v/>
      </c>
      <c r="AQ59" s="582">
        <f t="shared" si="13"/>
        <v>0.5143541667</v>
      </c>
      <c r="AR59" s="571" t="str">
        <f>IFERROR(
AVERAGEIFS(
'New LF Efficacy'!$J:$J,
'New LF Efficacy'!$D:$D,$A59,
'New LF Efficacy'!$F:$F,"Albendazole &amp; Ivermectin", 
'New LF Efficacy'!$W:$W,"&lt;2016",
'New LF Efficacy'!$AA:$AA,""),"")</f>
        <v/>
      </c>
      <c r="AS59" s="582">
        <f t="shared" si="14"/>
        <v>0.37153125</v>
      </c>
      <c r="AT59" s="583">
        <f>IFERROR(AVERAGEIFS(
'Schist Efficacy'!$O:$O, 
'Schist Efficacy'!$C:$C,$A59, 
'Schist Efficacy'!$D:$D, "Praziquantel",
'Schist Efficacy'!$J:$J,"&lt;2016",
'Schist Efficacy'!$U:$U,""),
"")</f>
        <v>0.655</v>
      </c>
      <c r="AU59" s="572">
        <f t="shared" si="15"/>
        <v>0.655</v>
      </c>
      <c r="AV59" s="131" t="str">
        <f>IFERROR(AVERAGEIFS(
'STH Efficacy'!$AX:$AX, 
'STH Efficacy'!$AL:$AL, $A59, 
'STH Efficacy'!$AM:$AM, "Albendazole",
'STH Efficacy'!$AS:$AS,"&lt;2016",
'STH Efficacy'!$BP:$BP,""),
"")</f>
        <v/>
      </c>
      <c r="AW59" s="132">
        <f t="shared" si="16"/>
        <v>0.4143846154</v>
      </c>
      <c r="AX59" s="131" t="str">
        <f>IFERROR(AVERAGEIFS(
'STH Efficacy'!$AX:$AX, 
'STH Efficacy'!$AL:$AL, $A59, 
'STH Efficacy'!$AM:$AM, "Mebendazole",
'STH Efficacy'!$AS:$AS,"&lt;2016",
'STH Efficacy'!$BP:$BP,""),
"")</f>
        <v/>
      </c>
      <c r="AY59" s="132">
        <f t="shared" si="17"/>
        <v>0.4691770833</v>
      </c>
      <c r="AZ59" s="131" t="str">
        <f>IFERROR(AVERAGEIFS(
'STH Efficacy'!$AX:$AX, 
'STH Efficacy'!$AL:$AL, $A59, 
'STH Efficacy'!$AM:$AM, "Albendazole &amp; Ivermectin",
'STH Efficacy'!$AS:$AS,"&lt;2016",
'STH Efficacy'!$BP:$BP,""),
"")</f>
        <v/>
      </c>
      <c r="BA59" s="303">
        <f t="shared" si="18"/>
        <v>0.597625</v>
      </c>
      <c r="BB59" s="584" t="str">
        <f>IFERROR(AVERAGEIFS(
'STH Efficacy'!$N:$N, 
'STH Efficacy'!$B:$B, $A59, 
'STH Efficacy'!$C:$C, "Albendazole",
'STH Efficacy'!$I:$I,"&lt;2016",
'STH Efficacy'!$AH:$AH,""),
"")</f>
        <v/>
      </c>
      <c r="BC59" s="579">
        <f t="shared" si="19"/>
        <v>0.7613712121</v>
      </c>
      <c r="BD59" s="584" t="str">
        <f>IFERROR(AVERAGEIFS(
'STH Efficacy'!$N:$N, 
'STH Efficacy'!$B:$B, $A59, 
'STH Efficacy'!$C:$C, "Mebendazole",
'STH Efficacy'!$I:$I,"&lt;2016",
'STH Efficacy'!$AH:$AH,""),
"")</f>
        <v/>
      </c>
      <c r="BE59" s="579">
        <f t="shared" si="20"/>
        <v>0.4362466667</v>
      </c>
      <c r="BF59" s="585" t="str">
        <f>IFERROR(AVERAGEIFS(
'STH Efficacy'!$CD:$CD, 
'STH Efficacy'!$BS:$BS, $A59, 
'STH Efficacy'!$BT:$BT, "Albendazole",
'STH Efficacy'!$BZ:$BZ,"&lt;2016",
'STH Efficacy'!$CU:$CU,""),
"")</f>
        <v/>
      </c>
      <c r="BG59" s="580">
        <f t="shared" si="21"/>
        <v>0.9216027778</v>
      </c>
      <c r="BH59" s="585" t="str">
        <f>IFERROR(AVERAGEIFS(
'STH Efficacy'!$CD:$CD, 
'STH Efficacy'!$BS:$BS, $A59, 
'STH Efficacy'!$BT:$BT, "Mebendazole",
'STH Efficacy'!$BZ:$BZ,"&lt;2016",
'STH Efficacy'!$CU:$CU,""),
"")</f>
        <v/>
      </c>
      <c r="BI59" s="580">
        <f t="shared" si="22"/>
        <v>0.8866041667</v>
      </c>
      <c r="BJ59" s="585" t="str">
        <f>IFERROR(AVERAGEIFS(
'STH Efficacy'!$CD:$CD, 
'STH Efficacy'!$BS:$BS, $A59, 
'STH Efficacy'!$BT:$BT, "Albendazole &amp; Ivermectin",
'STH Efficacy'!$BZ:$BZ,"&lt;2016",
'STH Efficacy'!$CU:$CU,""),
"")</f>
        <v/>
      </c>
      <c r="BK59" s="580">
        <f t="shared" si="23"/>
        <v>0.848</v>
      </c>
      <c r="BL59" s="575" t="str">
        <f>IFERROR(
  AVERAGEIFS(
    'NEW Onchocerciasis Efficacy'!$AO:$AO,
    'NEW Onchocerciasis Efficacy'!$C:$C,$A59,
    'NEW Onchocerciasis Efficacy'!$D:$D,"Ivermectin",
    'NEW Onchocerciasis Efficacy'!$AR:$AR,"&lt;2016",
    'NEW Onchocerciasis Efficacy'!$BG:$BG,"")
,"")</f>
        <v/>
      </c>
      <c r="BM59" s="586">
        <f t="shared" si="24"/>
        <v>0.7808368939</v>
      </c>
      <c r="BN59" s="587">
        <v>0.0</v>
      </c>
      <c r="BO59" s="588">
        <v>0.0</v>
      </c>
      <c r="BP59" s="589">
        <v>0.0</v>
      </c>
      <c r="BQ59" s="590">
        <f t="shared" si="25"/>
        <v>0</v>
      </c>
      <c r="BR59" s="560" t="str">
        <f t="shared" si="26"/>
        <v>0000</v>
      </c>
      <c r="BS59" s="560" t="str">
        <f t="shared" si="27"/>
        <v>no action required</v>
      </c>
      <c r="BT59" s="361" t="str">
        <f t="shared" si="28"/>
        <v/>
      </c>
      <c r="BU59" s="591" t="str">
        <f t="shared" si="29"/>
        <v/>
      </c>
      <c r="BV59" s="560" t="str">
        <f t="shared" si="30"/>
        <v>none</v>
      </c>
      <c r="BW59" s="150" t="str">
        <f t="shared" si="31"/>
        <v/>
      </c>
      <c r="BX59" s="150" t="str">
        <f t="shared" si="32"/>
        <v/>
      </c>
      <c r="BY59" s="151" t="str">
        <f t="shared" si="33"/>
        <v/>
      </c>
      <c r="BZ59" s="152" t="str">
        <f t="shared" si="34"/>
        <v/>
      </c>
      <c r="CA59" s="152" t="str">
        <f t="shared" si="35"/>
        <v/>
      </c>
      <c r="CB59" s="152" t="str">
        <f t="shared" si="36"/>
        <v/>
      </c>
      <c r="CC59" s="153" t="str">
        <f t="shared" si="37"/>
        <v/>
      </c>
      <c r="CD59" s="153" t="str">
        <f t="shared" si="38"/>
        <v/>
      </c>
      <c r="CE59" s="154" t="str">
        <f t="shared" si="39"/>
        <v/>
      </c>
      <c r="CF59" s="154" t="str">
        <f t="shared" si="40"/>
        <v/>
      </c>
      <c r="CG59" s="154" t="str">
        <f t="shared" si="41"/>
        <v/>
      </c>
      <c r="CH59" s="308" t="str">
        <f t="shared" si="42"/>
        <v/>
      </c>
    </row>
    <row r="60">
      <c r="A60" s="559" t="s">
        <v>149</v>
      </c>
      <c r="B60" s="560" t="s">
        <v>109</v>
      </c>
      <c r="C60" s="561">
        <v>2.5243917E7</v>
      </c>
      <c r="D60" s="562">
        <v>0.0</v>
      </c>
      <c r="E60" s="563">
        <v>0.0</v>
      </c>
      <c r="F60" s="611"/>
      <c r="G60" s="611"/>
      <c r="H60" s="611"/>
      <c r="I60" s="565">
        <v>3.238694111</v>
      </c>
      <c r="J60" s="566">
        <v>71.6437873150454</v>
      </c>
      <c r="K60" s="566">
        <v>898.75647539924</v>
      </c>
      <c r="L60" s="567">
        <v>8.46E-7</v>
      </c>
      <c r="M60" s="568">
        <v>86.919752897816</v>
      </c>
      <c r="N60" s="568">
        <v>472.632186634965</v>
      </c>
      <c r="O60" s="569">
        <v>0.0</v>
      </c>
      <c r="P60" s="150"/>
      <c r="Q60" s="150"/>
      <c r="R60" s="571"/>
      <c r="S60" s="116">
        <f t="shared" si="6"/>
        <v>0.72214</v>
      </c>
      <c r="T60" s="151"/>
      <c r="U60" s="572">
        <f t="shared" si="7"/>
        <v>0.2806</v>
      </c>
      <c r="V60" s="573">
        <v>0.9956</v>
      </c>
      <c r="W60" s="574">
        <f t="shared" si="8"/>
        <v>0.9956</v>
      </c>
      <c r="X60" s="573">
        <v>0.9902</v>
      </c>
      <c r="Y60" s="574">
        <f t="shared" si="9"/>
        <v>0.9902</v>
      </c>
      <c r="Z60" s="308"/>
      <c r="AA60" s="308"/>
      <c r="AB60" s="575" t="str">
        <f t="shared" si="10"/>
        <v/>
      </c>
      <c r="AC60" s="576">
        <f t="shared" si="11"/>
        <v>0.7192241206</v>
      </c>
      <c r="AD60" s="571"/>
      <c r="AE60" s="583"/>
      <c r="AF60" s="578"/>
      <c r="AG60" s="131"/>
      <c r="AH60" s="133">
        <v>0.030273188</v>
      </c>
      <c r="AI60" s="623">
        <v>0.1346312467</v>
      </c>
      <c r="AJ60" s="623">
        <v>0.1712145198</v>
      </c>
      <c r="AK60" s="624">
        <v>0.1775022438</v>
      </c>
      <c r="AL60" s="624">
        <v>0.2149179926</v>
      </c>
      <c r="AM60" s="581">
        <v>0.1369241832</v>
      </c>
      <c r="AN60" s="571" t="str">
        <f>IFERROR(
  AVERAGEIFS(
    'New LF Efficacy'!$J:$J,
    'New LF Efficacy'!$D:$D, $A60,
    'New LF Efficacy'!$F:$F,"DEC", 
    'New LF Efficacy'!$W:$W,"&lt;2016",
    'New LF Efficacy'!$AA:$AA,""),
  ""
)</f>
        <v/>
      </c>
      <c r="AO60" s="582">
        <f t="shared" si="12"/>
        <v>0.478175</v>
      </c>
      <c r="AP60" s="571" t="str">
        <f>IFERROR(
AVERAGEIFS(
'New LF Efficacy'!$J:$J,
'New LF Efficacy'!$D:$D,$A60,
'New LF Efficacy'!$F:$F,"Albendazole &amp; DEC",
'New LF Efficacy'!$W:$W,"&lt;2016",
'New LF Efficacy'!$AA:$AA,""),
"")</f>
        <v/>
      </c>
      <c r="AQ60" s="582">
        <f t="shared" si="13"/>
        <v>0.5831666667</v>
      </c>
      <c r="AR60" s="571" t="str">
        <f>IFERROR(
AVERAGEIFS(
'New LF Efficacy'!$J:$J,
'New LF Efficacy'!$D:$D,$A60,
'New LF Efficacy'!$F:$F,"Albendazole &amp; Ivermectin", 
'New LF Efficacy'!$W:$W,"&lt;2016",
'New LF Efficacy'!$AA:$AA,""),"")</f>
        <v/>
      </c>
      <c r="AS60" s="582">
        <f t="shared" si="14"/>
        <v>0.14</v>
      </c>
      <c r="AT60" s="583" t="str">
        <f>IFERROR(AVERAGEIFS(
'Schist Efficacy'!$O:$O, 
'Schist Efficacy'!$C:$C,$A60, 
'Schist Efficacy'!$D:$D, "Praziquantel",
'Schist Efficacy'!$J:$J,"&lt;2016",
'Schist Efficacy'!$U:$U,""),
"")</f>
        <v/>
      </c>
      <c r="AU60" s="572">
        <f t="shared" si="15"/>
        <v>0.743990088</v>
      </c>
      <c r="AV60" s="131" t="str">
        <f>IFERROR(AVERAGEIFS(
'STH Efficacy'!$AX:$AX, 
'STH Efficacy'!$AL:$AL, $A60, 
'STH Efficacy'!$AM:$AM, "Albendazole",
'STH Efficacy'!$AS:$AS,"&lt;2016",
'STH Efficacy'!$BP:$BP,""),
"")</f>
        <v/>
      </c>
      <c r="AW60" s="132">
        <f t="shared" si="16"/>
        <v>0.5394444444</v>
      </c>
      <c r="AX60" s="131" t="str">
        <f>IFERROR(AVERAGEIFS(
'STH Efficacy'!$AX:$AX, 
'STH Efficacy'!$AL:$AL, $A60, 
'STH Efficacy'!$AM:$AM, "Mebendazole",
'STH Efficacy'!$AS:$AS,"&lt;2016",
'STH Efficacy'!$BP:$BP,""),
"")</f>
        <v/>
      </c>
      <c r="AY60" s="132">
        <f t="shared" si="17"/>
        <v>0.3786666667</v>
      </c>
      <c r="AZ60" s="131" t="str">
        <f>IFERROR(AVERAGEIFS(
'STH Efficacy'!$AX:$AX, 
'STH Efficacy'!$AL:$AL, $A60, 
'STH Efficacy'!$AM:$AM, "Albendazole &amp; Ivermectin",
'STH Efficacy'!$AS:$AS,"&lt;2016",
'STH Efficacy'!$BP:$BP,""),
"")</f>
        <v/>
      </c>
      <c r="BA60" s="303">
        <f t="shared" si="18"/>
        <v>0.597625</v>
      </c>
      <c r="BB60" s="584" t="str">
        <f>IFERROR(AVERAGEIFS(
'STH Efficacy'!$N:$N, 
'STH Efficacy'!$B:$B, $A60, 
'STH Efficacy'!$C:$C, "Albendazole",
'STH Efficacy'!$I:$I,"&lt;2016",
'STH Efficacy'!$AH:$AH,""),
"")</f>
        <v/>
      </c>
      <c r="BC60" s="579">
        <f t="shared" si="19"/>
        <v>0.7133333333</v>
      </c>
      <c r="BD60" s="584" t="str">
        <f>IFERROR(AVERAGEIFS(
'STH Efficacy'!$N:$N, 
'STH Efficacy'!$B:$B, $A60, 
'STH Efficacy'!$C:$C, "Mebendazole",
'STH Efficacy'!$I:$I,"&lt;2016",
'STH Efficacy'!$AH:$AH,""),
"")</f>
        <v/>
      </c>
      <c r="BE60" s="579">
        <f t="shared" si="20"/>
        <v>0.205</v>
      </c>
      <c r="BF60" s="585" t="str">
        <f>IFERROR(AVERAGEIFS(
'STH Efficacy'!$CD:$CD, 
'STH Efficacy'!$BS:$BS, $A60, 
'STH Efficacy'!$BT:$BT, "Albendazole",
'STH Efficacy'!$BZ:$BZ,"&lt;2016",
'STH Efficacy'!$CU:$CU,""),
"")</f>
        <v/>
      </c>
      <c r="BG60" s="580">
        <f t="shared" si="21"/>
        <v>0.83</v>
      </c>
      <c r="BH60" s="585" t="str">
        <f>IFERROR(AVERAGEIFS(
'STH Efficacy'!$CD:$CD, 
'STH Efficacy'!$BS:$BS, $A60, 
'STH Efficacy'!$BT:$BT, "Mebendazole",
'STH Efficacy'!$BZ:$BZ,"&lt;2016",
'STH Efficacy'!$CU:$CU,""),
"")</f>
        <v/>
      </c>
      <c r="BI60" s="580">
        <f t="shared" si="22"/>
        <v>1</v>
      </c>
      <c r="BJ60" s="585" t="str">
        <f>IFERROR(AVERAGEIFS(
'STH Efficacy'!$CD:$CD, 
'STH Efficacy'!$BS:$BS, $A60, 
'STH Efficacy'!$BT:$BT, "Albendazole &amp; Ivermectin",
'STH Efficacy'!$BZ:$BZ,"&lt;2016",
'STH Efficacy'!$CU:$CU,""),
"")</f>
        <v/>
      </c>
      <c r="BK60" s="580">
        <f t="shared" si="23"/>
        <v>0.848</v>
      </c>
      <c r="BL60" s="575" t="str">
        <f>IFERROR(
  AVERAGEIFS(
    'NEW Onchocerciasis Efficacy'!$AO:$AO,
    'NEW Onchocerciasis Efficacy'!$C:$C,$A60,
    'NEW Onchocerciasis Efficacy'!$D:$D,"Ivermectin",
    'NEW Onchocerciasis Efficacy'!$AR:$AR,"&lt;2016",
    'NEW Onchocerciasis Efficacy'!$BG:$BG,"")
,"")</f>
        <v/>
      </c>
      <c r="BM60" s="586">
        <f t="shared" si="24"/>
        <v>0.7808368939</v>
      </c>
      <c r="BN60" s="587">
        <v>0.0</v>
      </c>
      <c r="BO60" s="588">
        <v>0.0</v>
      </c>
      <c r="BP60" s="589">
        <v>0.0</v>
      </c>
      <c r="BQ60" s="590">
        <f t="shared" si="25"/>
        <v>0</v>
      </c>
      <c r="BR60" s="560" t="str">
        <f t="shared" si="26"/>
        <v>0000</v>
      </c>
      <c r="BS60" s="560" t="str">
        <f t="shared" si="27"/>
        <v>no action required</v>
      </c>
      <c r="BT60" s="361" t="str">
        <f t="shared" si="28"/>
        <v/>
      </c>
      <c r="BU60" s="591" t="str">
        <f t="shared" si="29"/>
        <v/>
      </c>
      <c r="BV60" s="560" t="str">
        <f t="shared" si="30"/>
        <v>none</v>
      </c>
      <c r="BW60" s="150" t="str">
        <f t="shared" si="31"/>
        <v/>
      </c>
      <c r="BX60" s="150" t="str">
        <f t="shared" si="32"/>
        <v/>
      </c>
      <c r="BY60" s="151" t="str">
        <f t="shared" si="33"/>
        <v/>
      </c>
      <c r="BZ60" s="152" t="str">
        <f t="shared" si="34"/>
        <v/>
      </c>
      <c r="CA60" s="152" t="str">
        <f t="shared" si="35"/>
        <v/>
      </c>
      <c r="CB60" s="152" t="str">
        <f t="shared" si="36"/>
        <v/>
      </c>
      <c r="CC60" s="153" t="str">
        <f t="shared" si="37"/>
        <v/>
      </c>
      <c r="CD60" s="153" t="str">
        <f t="shared" si="38"/>
        <v/>
      </c>
      <c r="CE60" s="154" t="str">
        <f t="shared" si="39"/>
        <v/>
      </c>
      <c r="CF60" s="154" t="str">
        <f t="shared" si="40"/>
        <v/>
      </c>
      <c r="CG60" s="154" t="str">
        <f t="shared" si="41"/>
        <v/>
      </c>
      <c r="CH60" s="308" t="str">
        <f t="shared" si="42"/>
        <v/>
      </c>
    </row>
    <row r="61">
      <c r="A61" s="599" t="s">
        <v>150</v>
      </c>
      <c r="B61" s="560" t="s">
        <v>92</v>
      </c>
      <c r="C61" s="561">
        <v>7.6196619E7</v>
      </c>
      <c r="D61" s="562">
        <v>24700.51157</v>
      </c>
      <c r="E61" s="563">
        <v>150329.937371839</v>
      </c>
      <c r="F61" s="564">
        <v>562.4018975</v>
      </c>
      <c r="G61" s="564">
        <v>2688.554615</v>
      </c>
      <c r="H61" s="564">
        <v>8017.395932</v>
      </c>
      <c r="I61" s="565">
        <v>4447.758548</v>
      </c>
      <c r="J61" s="566">
        <v>16261.6789765782</v>
      </c>
      <c r="K61" s="566">
        <v>52645.3315575971</v>
      </c>
      <c r="L61" s="567">
        <v>30133.5519</v>
      </c>
      <c r="M61" s="568">
        <v>10756.5893019541</v>
      </c>
      <c r="N61" s="568">
        <v>49812.4972600491</v>
      </c>
      <c r="O61" s="569">
        <v>664566.7</v>
      </c>
      <c r="P61" s="601">
        <v>64137.0</v>
      </c>
      <c r="Q61" s="618">
        <v>3.0372985E7</v>
      </c>
      <c r="R61" s="603">
        <v>0.7124</v>
      </c>
      <c r="S61" s="116">
        <f t="shared" si="6"/>
        <v>0.7124</v>
      </c>
      <c r="T61" s="572">
        <v>0.5777</v>
      </c>
      <c r="U61" s="572">
        <f t="shared" si="7"/>
        <v>0.5777</v>
      </c>
      <c r="V61" s="573">
        <v>0.9178</v>
      </c>
      <c r="W61" s="574">
        <f t="shared" si="8"/>
        <v>0.9178</v>
      </c>
      <c r="X61" s="573">
        <v>0.6744</v>
      </c>
      <c r="Y61" s="574">
        <f t="shared" si="9"/>
        <v>0.6744</v>
      </c>
      <c r="Z61" s="604">
        <v>4.6447852E7</v>
      </c>
      <c r="AA61" s="604">
        <v>3.5695074E7</v>
      </c>
      <c r="AB61" s="576">
        <f t="shared" si="10"/>
        <v>0.7684978414</v>
      </c>
      <c r="AC61" s="576">
        <f t="shared" si="11"/>
        <v>0.7684978414</v>
      </c>
      <c r="AD61" s="577">
        <v>0.007578511853</v>
      </c>
      <c r="AE61" s="572">
        <v>0.2083085689</v>
      </c>
      <c r="AF61" s="578">
        <v>0.03600836252</v>
      </c>
      <c r="AG61" s="132">
        <v>0.06712331049</v>
      </c>
      <c r="AH61" s="132">
        <v>0.221686828</v>
      </c>
      <c r="AI61" s="579"/>
      <c r="AJ61" s="579"/>
      <c r="AK61" s="580"/>
      <c r="AL61" s="580"/>
      <c r="AM61" s="581"/>
      <c r="AN61" s="571" t="str">
        <f>IFERROR(
  AVERAGEIFS(
    'New LF Efficacy'!$J:$J,
    'New LF Efficacy'!$D:$D, $A61,
    'New LF Efficacy'!$F:$F,"DEC", 
    'New LF Efficacy'!$W:$W,"&lt;2016",
    'New LF Efficacy'!$AA:$AA,""),
  ""
)</f>
        <v/>
      </c>
      <c r="AO61" s="582">
        <f t="shared" si="12"/>
        <v>0.31225</v>
      </c>
      <c r="AP61" s="571" t="str">
        <f>IFERROR(
AVERAGEIFS(
'New LF Efficacy'!$J:$J,
'New LF Efficacy'!$D:$D,$A61,
'New LF Efficacy'!$F:$F,"Albendazole &amp; DEC",
'New LF Efficacy'!$W:$W,"&lt;2016",
'New LF Efficacy'!$AA:$AA,""),
"")</f>
        <v/>
      </c>
      <c r="AQ61" s="582">
        <f t="shared" si="13"/>
        <v>0.4</v>
      </c>
      <c r="AR61" s="571" t="str">
        <f>IFERROR(
AVERAGEIFS(
'New LF Efficacy'!$J:$J,
'New LF Efficacy'!$D:$D,$A61,
'New LF Efficacy'!$F:$F,"Albendazole &amp; Ivermectin", 
'New LF Efficacy'!$W:$W,"&lt;2016",
'New LF Efficacy'!$AA:$AA,""),"")</f>
        <v/>
      </c>
      <c r="AS61" s="582">
        <f t="shared" si="14"/>
        <v>0.2943125</v>
      </c>
      <c r="AT61" s="583" t="str">
        <f>IFERROR(AVERAGEIFS(
'Schist Efficacy'!$O:$O, 
'Schist Efficacy'!$C:$C,$A61, 
'Schist Efficacy'!$D:$D, "Praziquantel",
'Schist Efficacy'!$J:$J,"&lt;2016",
'Schist Efficacy'!$U:$U,""),
"")</f>
        <v/>
      </c>
      <c r="AU61" s="572">
        <f t="shared" si="15"/>
        <v>0.7206464759</v>
      </c>
      <c r="AV61" s="131" t="str">
        <f>IFERROR(AVERAGEIFS(
'STH Efficacy'!$AX:$AX, 
'STH Efficacy'!$AL:$AL, $A61, 
'STH Efficacy'!$AM:$AM, "Albendazole",
'STH Efficacy'!$AS:$AS,"&lt;2016",
'STH Efficacy'!$BP:$BP,""),
"")</f>
        <v/>
      </c>
      <c r="AW61" s="132">
        <f t="shared" si="16"/>
        <v>0.3816333333</v>
      </c>
      <c r="AX61" s="131" t="str">
        <f>IFERROR(AVERAGEIFS(
'STH Efficacy'!$AX:$AX, 
'STH Efficacy'!$AL:$AL, $A61, 
'STH Efficacy'!$AM:$AM, "Mebendazole",
'STH Efficacy'!$AS:$AS,"&lt;2016",
'STH Efficacy'!$BP:$BP,""),
"")</f>
        <v/>
      </c>
      <c r="AY61" s="132">
        <f t="shared" si="17"/>
        <v>0.4859375</v>
      </c>
      <c r="AZ61" s="131" t="str">
        <f>IFERROR(AVERAGEIFS(
'STH Efficacy'!$AX:$AX, 
'STH Efficacy'!$AL:$AL, $A61, 
'STH Efficacy'!$AM:$AM, "Albendazole &amp; Ivermectin",
'STH Efficacy'!$AS:$AS,"&lt;2016",
'STH Efficacy'!$BP:$BP,""),
"")</f>
        <v/>
      </c>
      <c r="BA61" s="303">
        <f t="shared" si="18"/>
        <v>0.47175</v>
      </c>
      <c r="BB61" s="584" t="str">
        <f>IFERROR(AVERAGEIFS(
'STH Efficacy'!$N:$N, 
'STH Efficacy'!$B:$B, $A61, 
'STH Efficacy'!$C:$C, "Albendazole",
'STH Efficacy'!$I:$I,"&lt;2016",
'STH Efficacy'!$AH:$AH,""),
"")</f>
        <v/>
      </c>
      <c r="BC61" s="579">
        <f t="shared" si="19"/>
        <v>0.8699166667</v>
      </c>
      <c r="BD61" s="584" t="str">
        <f>IFERROR(AVERAGEIFS(
'STH Efficacy'!$N:$N, 
'STH Efficacy'!$B:$B, $A61, 
'STH Efficacy'!$C:$C, "Mebendazole",
'STH Efficacy'!$I:$I,"&lt;2016",
'STH Efficacy'!$AH:$AH,""),
"")</f>
        <v/>
      </c>
      <c r="BE61" s="579">
        <f t="shared" si="20"/>
        <v>0.7092416667</v>
      </c>
      <c r="BF61" s="585" t="str">
        <f>IFERROR(AVERAGEIFS(
'STH Efficacy'!$CD:$CD, 
'STH Efficacy'!$BS:$BS, $A61, 
'STH Efficacy'!$BT:$BT, "Albendazole",
'STH Efficacy'!$BZ:$BZ,"&lt;2016",
'STH Efficacy'!$CU:$CU,""),
"")</f>
        <v/>
      </c>
      <c r="BG61" s="580">
        <f t="shared" si="21"/>
        <v>0.9066666667</v>
      </c>
      <c r="BH61" s="585" t="str">
        <f>IFERROR(AVERAGEIFS(
'STH Efficacy'!$CD:$CD, 
'STH Efficacy'!$BS:$BS, $A61, 
'STH Efficacy'!$BT:$BT, "Mebendazole",
'STH Efficacy'!$BZ:$BZ,"&lt;2016",
'STH Efficacy'!$CU:$CU,""),
"")</f>
        <v/>
      </c>
      <c r="BI61" s="580">
        <f t="shared" si="22"/>
        <v>0.8483333333</v>
      </c>
      <c r="BJ61" s="585" t="str">
        <f>IFERROR(AVERAGEIFS(
'STH Efficacy'!$CD:$CD, 
'STH Efficacy'!$BS:$BS, $A61, 
'STH Efficacy'!$BT:$BT, "Albendazole &amp; Ivermectin",
'STH Efficacy'!$BZ:$BZ,"&lt;2016",
'STH Efficacy'!$CU:$CU,""),
"")</f>
        <v/>
      </c>
      <c r="BK61" s="580">
        <f t="shared" si="23"/>
        <v>0.696</v>
      </c>
      <c r="BL61" s="575" t="str">
        <f>IFERROR(
  AVERAGEIFS(
    'NEW Onchocerciasis Efficacy'!$AO:$AO,
    'NEW Onchocerciasis Efficacy'!$C:$C,$A61,
    'NEW Onchocerciasis Efficacy'!$D:$D,"Ivermectin",
    'NEW Onchocerciasis Efficacy'!$AR:$AR,"&lt;2016",
    'NEW Onchocerciasis Efficacy'!$BG:$BG,"")
,"")</f>
        <v/>
      </c>
      <c r="BM61" s="586">
        <f t="shared" si="24"/>
        <v>0.8390421645</v>
      </c>
      <c r="BN61" s="587">
        <v>1.0</v>
      </c>
      <c r="BO61" s="588">
        <v>1.0</v>
      </c>
      <c r="BP61" s="589">
        <v>1.0</v>
      </c>
      <c r="BQ61" s="590">
        <f t="shared" si="25"/>
        <v>1</v>
      </c>
      <c r="BR61" s="560" t="str">
        <f t="shared" si="26"/>
        <v>1111</v>
      </c>
      <c r="BS61" s="560" t="str">
        <f t="shared" si="27"/>
        <v>MDA1+T2</v>
      </c>
      <c r="BT61" s="606" t="str">
        <f t="shared" si="28"/>
        <v>IVM+ALB</v>
      </c>
      <c r="BU61" s="560" t="str">
        <f t="shared" si="29"/>
        <v>PZQ</v>
      </c>
      <c r="BV61" s="560" t="str">
        <f t="shared" si="30"/>
        <v>lf+onch+schist+sth</v>
      </c>
      <c r="BW61" s="150" t="str">
        <f t="shared" si="31"/>
        <v/>
      </c>
      <c r="BX61" s="607">
        <f t="shared" si="32"/>
        <v>6552.833356</v>
      </c>
      <c r="BY61" s="608">
        <f t="shared" si="33"/>
        <v>107224.3484</v>
      </c>
      <c r="BZ61" s="627">
        <f t="shared" si="34"/>
        <v>1234.959779</v>
      </c>
      <c r="CA61" s="152" t="str">
        <f t="shared" si="35"/>
        <v/>
      </c>
      <c r="CB61" s="627">
        <f t="shared" si="36"/>
        <v>1683.90426</v>
      </c>
      <c r="CC61" s="628">
        <f t="shared" si="37"/>
        <v>40697.15871</v>
      </c>
      <c r="CD61" s="153" t="str">
        <f t="shared" si="38"/>
        <v/>
      </c>
      <c r="CE61" s="629">
        <f t="shared" si="39"/>
        <v>166308.763</v>
      </c>
      <c r="CF61" s="174" t="str">
        <f t="shared" si="40"/>
        <v/>
      </c>
      <c r="CG61" s="629">
        <f t="shared" si="41"/>
        <v>62805.32454</v>
      </c>
      <c r="CH61" s="609">
        <f t="shared" si="42"/>
        <v>40213.63765</v>
      </c>
    </row>
    <row r="62">
      <c r="A62" s="599" t="s">
        <v>151</v>
      </c>
      <c r="B62" s="560" t="s">
        <v>90</v>
      </c>
      <c r="C62" s="561">
        <v>5683483.0</v>
      </c>
      <c r="D62" s="562">
        <v>0.0</v>
      </c>
      <c r="E62" s="563">
        <v>0.0</v>
      </c>
      <c r="F62" s="564">
        <v>0.0</v>
      </c>
      <c r="G62" s="564">
        <v>0.0</v>
      </c>
      <c r="H62" s="564">
        <v>0.0</v>
      </c>
      <c r="I62" s="565">
        <v>0.0</v>
      </c>
      <c r="J62" s="566">
        <v>0.0</v>
      </c>
      <c r="K62" s="566">
        <v>0.0</v>
      </c>
      <c r="L62" s="567">
        <v>0.0</v>
      </c>
      <c r="M62" s="568">
        <v>0.0</v>
      </c>
      <c r="N62" s="568">
        <v>0.0</v>
      </c>
      <c r="O62" s="569">
        <v>0.0</v>
      </c>
      <c r="P62" s="570"/>
      <c r="Q62" s="150"/>
      <c r="R62" s="571"/>
      <c r="S62" s="116">
        <f t="shared" si="6"/>
        <v>0.6648642857</v>
      </c>
      <c r="T62" s="151"/>
      <c r="U62" s="572">
        <f t="shared" si="7"/>
        <v>0.53016</v>
      </c>
      <c r="V62" s="598"/>
      <c r="W62" s="574" t="b">
        <f t="shared" si="8"/>
        <v>0</v>
      </c>
      <c r="X62" s="598"/>
      <c r="Y62" s="574">
        <f t="shared" si="9"/>
        <v>0.631675</v>
      </c>
      <c r="Z62" s="308"/>
      <c r="AA62" s="308"/>
      <c r="AB62" s="575" t="str">
        <f t="shared" si="10"/>
        <v/>
      </c>
      <c r="AC62" s="576">
        <f t="shared" si="11"/>
        <v>0.7192241206</v>
      </c>
      <c r="AD62" s="614">
        <v>0.0</v>
      </c>
      <c r="AE62" s="572">
        <v>0.0</v>
      </c>
      <c r="AF62" s="578">
        <v>0.0</v>
      </c>
      <c r="AG62" s="132">
        <v>0.0</v>
      </c>
      <c r="AH62" s="132">
        <v>0.0</v>
      </c>
      <c r="AI62" s="579">
        <v>0.0</v>
      </c>
      <c r="AJ62" s="579">
        <v>0.0</v>
      </c>
      <c r="AK62" s="580">
        <v>0.0</v>
      </c>
      <c r="AL62" s="580">
        <v>0.0</v>
      </c>
      <c r="AM62" s="581">
        <v>0.0</v>
      </c>
      <c r="AN62" s="571" t="str">
        <f>IFERROR(
  AVERAGEIFS(
    'New LF Efficacy'!$J:$J,
    'New LF Efficacy'!$D:$D, $A62,
    'New LF Efficacy'!$F:$F,"DEC", 
    'New LF Efficacy'!$W:$W,"&lt;2016",
    'New LF Efficacy'!$AA:$AA,""),
  ""
)</f>
        <v/>
      </c>
      <c r="AO62" s="582">
        <f t="shared" si="12"/>
        <v>0.3573520833</v>
      </c>
      <c r="AP62" s="571" t="str">
        <f>IFERROR(
AVERAGEIFS(
'New LF Efficacy'!$J:$J,
'New LF Efficacy'!$D:$D,$A62,
'New LF Efficacy'!$F:$F,"Albendazole &amp; DEC",
'New LF Efficacy'!$W:$W,"&lt;2016",
'New LF Efficacy'!$AA:$AA,""),
"")</f>
        <v/>
      </c>
      <c r="AQ62" s="582">
        <f t="shared" si="13"/>
        <v>0.5143541667</v>
      </c>
      <c r="AR62" s="571" t="str">
        <f>IFERROR(
AVERAGEIFS(
'New LF Efficacy'!$J:$J,
'New LF Efficacy'!$D:$D,$A62,
'New LF Efficacy'!$F:$F,"Albendazole &amp; Ivermectin", 
'New LF Efficacy'!$W:$W,"&lt;2016",
'New LF Efficacy'!$AA:$AA,""),"")</f>
        <v/>
      </c>
      <c r="AS62" s="582">
        <f t="shared" si="14"/>
        <v>0.37153125</v>
      </c>
      <c r="AT62" s="583" t="str">
        <f>IFERROR(AVERAGEIFS(
'Schist Efficacy'!$O:$O, 
'Schist Efficacy'!$C:$C,$A62, 
'Schist Efficacy'!$D:$D, "Praziquantel",
'Schist Efficacy'!$J:$J,"&lt;2016",
'Schist Efficacy'!$U:$U,""),
"")</f>
        <v/>
      </c>
      <c r="AU62" s="572">
        <f t="shared" si="15"/>
        <v>0.655</v>
      </c>
      <c r="AV62" s="131" t="str">
        <f>IFERROR(AVERAGEIFS(
'STH Efficacy'!$AX:$AX, 
'STH Efficacy'!$AL:$AL, $A62, 
'STH Efficacy'!$AM:$AM, "Albendazole",
'STH Efficacy'!$AS:$AS,"&lt;2016",
'STH Efficacy'!$BP:$BP,""),
"")</f>
        <v/>
      </c>
      <c r="AW62" s="132">
        <f t="shared" si="16"/>
        <v>0.4143846154</v>
      </c>
      <c r="AX62" s="131" t="str">
        <f>IFERROR(AVERAGEIFS(
'STH Efficacy'!$AX:$AX, 
'STH Efficacy'!$AL:$AL, $A62, 
'STH Efficacy'!$AM:$AM, "Mebendazole",
'STH Efficacy'!$AS:$AS,"&lt;2016",
'STH Efficacy'!$BP:$BP,""),
"")</f>
        <v/>
      </c>
      <c r="AY62" s="132">
        <f t="shared" si="17"/>
        <v>0.4691770833</v>
      </c>
      <c r="AZ62" s="131" t="str">
        <f>IFERROR(AVERAGEIFS(
'STH Efficacy'!$AX:$AX, 
'STH Efficacy'!$AL:$AL, $A62, 
'STH Efficacy'!$AM:$AM, "Albendazole &amp; Ivermectin",
'STH Efficacy'!$AS:$AS,"&lt;2016",
'STH Efficacy'!$BP:$BP,""),
"")</f>
        <v/>
      </c>
      <c r="BA62" s="303">
        <f t="shared" si="18"/>
        <v>0.597625</v>
      </c>
      <c r="BB62" s="584" t="str">
        <f>IFERROR(AVERAGEIFS(
'STH Efficacy'!$N:$N, 
'STH Efficacy'!$B:$B, $A62, 
'STH Efficacy'!$C:$C, "Albendazole",
'STH Efficacy'!$I:$I,"&lt;2016",
'STH Efficacy'!$AH:$AH,""),
"")</f>
        <v/>
      </c>
      <c r="BC62" s="579">
        <f t="shared" si="19"/>
        <v>0.7613712121</v>
      </c>
      <c r="BD62" s="584" t="str">
        <f>IFERROR(AVERAGEIFS(
'STH Efficacy'!$N:$N, 
'STH Efficacy'!$B:$B, $A62, 
'STH Efficacy'!$C:$C, "Mebendazole",
'STH Efficacy'!$I:$I,"&lt;2016",
'STH Efficacy'!$AH:$AH,""),
"")</f>
        <v/>
      </c>
      <c r="BE62" s="579">
        <f t="shared" si="20"/>
        <v>0.4362466667</v>
      </c>
      <c r="BF62" s="585" t="str">
        <f>IFERROR(AVERAGEIFS(
'STH Efficacy'!$CD:$CD, 
'STH Efficacy'!$BS:$BS, $A62, 
'STH Efficacy'!$BT:$BT, "Albendazole",
'STH Efficacy'!$BZ:$BZ,"&lt;2016",
'STH Efficacy'!$CU:$CU,""),
"")</f>
        <v/>
      </c>
      <c r="BG62" s="580">
        <f t="shared" si="21"/>
        <v>0.9216027778</v>
      </c>
      <c r="BH62" s="585" t="str">
        <f>IFERROR(AVERAGEIFS(
'STH Efficacy'!$CD:$CD, 
'STH Efficacy'!$BS:$BS, $A62, 
'STH Efficacy'!$BT:$BT, "Mebendazole",
'STH Efficacy'!$BZ:$BZ,"&lt;2016",
'STH Efficacy'!$CU:$CU,""),
"")</f>
        <v/>
      </c>
      <c r="BI62" s="580">
        <f t="shared" si="22"/>
        <v>0.8866041667</v>
      </c>
      <c r="BJ62" s="585" t="str">
        <f>IFERROR(AVERAGEIFS(
'STH Efficacy'!$CD:$CD, 
'STH Efficacy'!$BS:$BS, $A62, 
'STH Efficacy'!$BT:$BT, "Albendazole &amp; Ivermectin",
'STH Efficacy'!$BZ:$BZ,"&lt;2016",
'STH Efficacy'!$CU:$CU,""),
"")</f>
        <v/>
      </c>
      <c r="BK62" s="580">
        <f t="shared" si="23"/>
        <v>0.848</v>
      </c>
      <c r="BL62" s="575" t="str">
        <f>IFERROR(
  AVERAGEIFS(
    'NEW Onchocerciasis Efficacy'!$AO:$AO,
    'NEW Onchocerciasis Efficacy'!$C:$C,$A62,
    'NEW Onchocerciasis Efficacy'!$D:$D,"Ivermectin",
    'NEW Onchocerciasis Efficacy'!$AR:$AR,"&lt;2016",
    'NEW Onchocerciasis Efficacy'!$BG:$BG,"")
,"")</f>
        <v/>
      </c>
      <c r="BM62" s="586">
        <f t="shared" si="24"/>
        <v>0.7808368939</v>
      </c>
      <c r="BN62" s="587">
        <v>0.0</v>
      </c>
      <c r="BO62" s="588">
        <v>0.0</v>
      </c>
      <c r="BP62" s="589">
        <v>0.0</v>
      </c>
      <c r="BQ62" s="590">
        <f t="shared" si="25"/>
        <v>0</v>
      </c>
      <c r="BR62" s="560" t="str">
        <f t="shared" si="26"/>
        <v>0000</v>
      </c>
      <c r="BS62" s="560" t="str">
        <f t="shared" si="27"/>
        <v>no action required</v>
      </c>
      <c r="BT62" s="361" t="str">
        <f t="shared" si="28"/>
        <v/>
      </c>
      <c r="BU62" s="591" t="str">
        <f t="shared" si="29"/>
        <v/>
      </c>
      <c r="BV62" s="560" t="str">
        <f t="shared" si="30"/>
        <v>none</v>
      </c>
      <c r="BW62" s="150" t="str">
        <f t="shared" si="31"/>
        <v/>
      </c>
      <c r="BX62" s="150" t="str">
        <f t="shared" si="32"/>
        <v/>
      </c>
      <c r="BY62" s="151" t="str">
        <f t="shared" si="33"/>
        <v/>
      </c>
      <c r="BZ62" s="152" t="str">
        <f t="shared" si="34"/>
        <v/>
      </c>
      <c r="CA62" s="152" t="str">
        <f t="shared" si="35"/>
        <v/>
      </c>
      <c r="CB62" s="152" t="str">
        <f t="shared" si="36"/>
        <v/>
      </c>
      <c r="CC62" s="153" t="str">
        <f t="shared" si="37"/>
        <v/>
      </c>
      <c r="CD62" s="153" t="str">
        <f t="shared" si="38"/>
        <v/>
      </c>
      <c r="CE62" s="154" t="str">
        <f t="shared" si="39"/>
        <v/>
      </c>
      <c r="CF62" s="154" t="str">
        <f t="shared" si="40"/>
        <v/>
      </c>
      <c r="CG62" s="154" t="str">
        <f t="shared" si="41"/>
        <v/>
      </c>
      <c r="CH62" s="308" t="str">
        <f t="shared" si="42"/>
        <v/>
      </c>
    </row>
    <row r="63">
      <c r="A63" s="559" t="s">
        <v>152</v>
      </c>
      <c r="B63" s="560" t="s">
        <v>88</v>
      </c>
      <c r="C63" s="561">
        <v>927414.0</v>
      </c>
      <c r="D63" s="562">
        <v>0.0</v>
      </c>
      <c r="E63" s="563">
        <v>82.6987416542654</v>
      </c>
      <c r="F63" s="564">
        <v>0.0</v>
      </c>
      <c r="G63" s="564">
        <v>0.0</v>
      </c>
      <c r="H63" s="564">
        <v>7.51E-8</v>
      </c>
      <c r="I63" s="565">
        <v>3.079078733</v>
      </c>
      <c r="J63" s="630">
        <v>4.38172278574574</v>
      </c>
      <c r="K63" s="630">
        <v>26.8558520519914</v>
      </c>
      <c r="L63" s="567">
        <v>9.001594085</v>
      </c>
      <c r="M63" s="568">
        <v>1.76196761063432</v>
      </c>
      <c r="N63" s="568">
        <v>11.7139959199764</v>
      </c>
      <c r="O63" s="569">
        <v>0.0</v>
      </c>
      <c r="P63" s="570"/>
      <c r="Q63" s="150"/>
      <c r="R63" s="571"/>
      <c r="S63" s="116">
        <f t="shared" si="6"/>
        <v>0.1495</v>
      </c>
      <c r="T63" s="151"/>
      <c r="U63" s="572">
        <f t="shared" si="7"/>
        <v>0.65895</v>
      </c>
      <c r="V63" s="613"/>
      <c r="W63" s="574">
        <f t="shared" si="8"/>
        <v>0.97535</v>
      </c>
      <c r="X63" s="598"/>
      <c r="Y63" s="574">
        <f t="shared" si="9"/>
        <v>0.41448</v>
      </c>
      <c r="Z63" s="308"/>
      <c r="AA63" s="308"/>
      <c r="AB63" s="575" t="str">
        <f t="shared" si="10"/>
        <v/>
      </c>
      <c r="AC63" s="576">
        <f t="shared" si="11"/>
        <v>0.4586145155</v>
      </c>
      <c r="AD63" s="614">
        <v>0.0</v>
      </c>
      <c r="AE63" s="572">
        <v>0.001219581498</v>
      </c>
      <c r="AF63" s="578">
        <v>1.069204468E-4</v>
      </c>
      <c r="AG63" s="132">
        <v>0.01844999919</v>
      </c>
      <c r="AH63" s="132">
        <v>0.061956849</v>
      </c>
      <c r="AI63" s="579">
        <v>0.01174328014</v>
      </c>
      <c r="AJ63" s="579">
        <v>0.01520966798</v>
      </c>
      <c r="AK63" s="580">
        <v>0.04087047838</v>
      </c>
      <c r="AL63" s="580">
        <v>0.05033452207</v>
      </c>
      <c r="AM63" s="581">
        <v>0.0</v>
      </c>
      <c r="AN63" s="571" t="str">
        <f>IFERROR(
  AVERAGEIFS(
    'New LF Efficacy'!$J:$J,
    'New LF Efficacy'!$D:$D, $A63,
    'New LF Efficacy'!$F:$F,"DEC", 
    'New LF Efficacy'!$W:$W,"&lt;2016",
    'New LF Efficacy'!$AA:$AA,""),
  ""
)</f>
        <v/>
      </c>
      <c r="AO63" s="582">
        <f t="shared" si="12"/>
        <v>0.3573520833</v>
      </c>
      <c r="AP63" s="571" t="str">
        <f>IFERROR(
AVERAGEIFS(
'New LF Efficacy'!$J:$J,
'New LF Efficacy'!$D:$D,$A63,
'New LF Efficacy'!$F:$F,"Albendazole &amp; DEC",
'New LF Efficacy'!$W:$W,"&lt;2016",
'New LF Efficacy'!$AA:$AA,""),
"")</f>
        <v/>
      </c>
      <c r="AQ63" s="582">
        <f t="shared" si="13"/>
        <v>0.7935</v>
      </c>
      <c r="AR63" s="571" t="str">
        <f>IFERROR(
AVERAGEIFS(
'New LF Efficacy'!$J:$J,
'New LF Efficacy'!$D:$D,$A63,
'New LF Efficacy'!$F:$F,"Albendazole &amp; Ivermectin", 
'New LF Efficacy'!$W:$W,"&lt;2016",
'New LF Efficacy'!$AA:$AA,""),"")</f>
        <v/>
      </c>
      <c r="AS63" s="582">
        <f t="shared" si="14"/>
        <v>0.37153125</v>
      </c>
      <c r="AT63" s="583" t="str">
        <f>IFERROR(AVERAGEIFS(
'Schist Efficacy'!$O:$O, 
'Schist Efficacy'!$C:$C,$A63, 
'Schist Efficacy'!$D:$D, "Praziquantel",
'Schist Efficacy'!$J:$J,"&lt;2016",
'Schist Efficacy'!$U:$U,""),
"")</f>
        <v/>
      </c>
      <c r="AU63" s="572">
        <f t="shared" si="15"/>
        <v>0.7763141026</v>
      </c>
      <c r="AV63" s="131" t="str">
        <f>IFERROR(AVERAGEIFS(
'STH Efficacy'!$AX:$AX, 
'STH Efficacy'!$AL:$AL, $A63, 
'STH Efficacy'!$AM:$AM, "Albendazole",
'STH Efficacy'!$AS:$AS,"&lt;2016",
'STH Efficacy'!$BP:$BP,""),
"")</f>
        <v/>
      </c>
      <c r="AW63" s="132">
        <f t="shared" si="16"/>
        <v>0.4143846154</v>
      </c>
      <c r="AX63" s="131" t="str">
        <f>IFERROR(AVERAGEIFS(
'STH Efficacy'!$AX:$AX, 
'STH Efficacy'!$AL:$AL, $A63, 
'STH Efficacy'!$AM:$AM, "Mebendazole",
'STH Efficacy'!$AS:$AS,"&lt;2016",
'STH Efficacy'!$BP:$BP,""),
"")</f>
        <v/>
      </c>
      <c r="AY63" s="132">
        <f t="shared" si="17"/>
        <v>0.4691770833</v>
      </c>
      <c r="AZ63" s="131" t="str">
        <f>IFERROR(AVERAGEIFS(
'STH Efficacy'!$AX:$AX, 
'STH Efficacy'!$AL:$AL, $A63, 
'STH Efficacy'!$AM:$AM, "Albendazole &amp; Ivermectin",
'STH Efficacy'!$AS:$AS,"&lt;2016",
'STH Efficacy'!$BP:$BP,""),
"")</f>
        <v/>
      </c>
      <c r="BA63" s="303">
        <f t="shared" si="18"/>
        <v>0.597625</v>
      </c>
      <c r="BB63" s="584" t="str">
        <f>IFERROR(AVERAGEIFS(
'STH Efficacy'!$N:$N, 
'STH Efficacy'!$B:$B, $A63, 
'STH Efficacy'!$C:$C, "Albendazole",
'STH Efficacy'!$I:$I,"&lt;2016",
'STH Efficacy'!$AH:$AH,""),
"")</f>
        <v/>
      </c>
      <c r="BC63" s="579">
        <f t="shared" si="19"/>
        <v>0.7613712121</v>
      </c>
      <c r="BD63" s="584" t="str">
        <f>IFERROR(AVERAGEIFS(
'STH Efficacy'!$N:$N, 
'STH Efficacy'!$B:$B, $A63, 
'STH Efficacy'!$C:$C, "Mebendazole",
'STH Efficacy'!$I:$I,"&lt;2016",
'STH Efficacy'!$AH:$AH,""),
"")</f>
        <v/>
      </c>
      <c r="BE63" s="579">
        <f t="shared" si="20"/>
        <v>0.4362466667</v>
      </c>
      <c r="BF63" s="585" t="str">
        <f>IFERROR(AVERAGEIFS(
'STH Efficacy'!$CD:$CD, 
'STH Efficacy'!$BS:$BS, $A63, 
'STH Efficacy'!$BT:$BT, "Albendazole",
'STH Efficacy'!$BZ:$BZ,"&lt;2016",
'STH Efficacy'!$CU:$CU,""),
"")</f>
        <v/>
      </c>
      <c r="BG63" s="580">
        <f t="shared" si="21"/>
        <v>0.955</v>
      </c>
      <c r="BH63" s="585" t="str">
        <f>IFERROR(AVERAGEIFS(
'STH Efficacy'!$CD:$CD, 
'STH Efficacy'!$BS:$BS, $A63, 
'STH Efficacy'!$BT:$BT, "Mebendazole",
'STH Efficacy'!$BZ:$BZ,"&lt;2016",
'STH Efficacy'!$CU:$CU,""),
"")</f>
        <v/>
      </c>
      <c r="BI63" s="580">
        <f t="shared" si="22"/>
        <v>1</v>
      </c>
      <c r="BJ63" s="585" t="str">
        <f>IFERROR(AVERAGEIFS(
'STH Efficacy'!$CD:$CD, 
'STH Efficacy'!$BS:$BS, $A63, 
'STH Efficacy'!$BT:$BT, "Albendazole &amp; Ivermectin",
'STH Efficacy'!$BZ:$BZ,"&lt;2016",
'STH Efficacy'!$CU:$CU,""),
"")</f>
        <v/>
      </c>
      <c r="BK63" s="580">
        <f t="shared" si="23"/>
        <v>0.848</v>
      </c>
      <c r="BL63" s="575" t="str">
        <f>IFERROR(
  AVERAGEIFS(
    'NEW Onchocerciasis Efficacy'!$AO:$AO,
    'NEW Onchocerciasis Efficacy'!$C:$C,$A63,
    'NEW Onchocerciasis Efficacy'!$D:$D,"Ivermectin",
    'NEW Onchocerciasis Efficacy'!$AR:$AR,"&lt;2016",
    'NEW Onchocerciasis Efficacy'!$BG:$BG,"")
,"")</f>
        <v/>
      </c>
      <c r="BM63" s="586">
        <f t="shared" si="24"/>
        <v>0.7808368939</v>
      </c>
      <c r="BN63" s="587">
        <v>0.0</v>
      </c>
      <c r="BO63" s="588">
        <v>0.0</v>
      </c>
      <c r="BP63" s="589">
        <v>0.0</v>
      </c>
      <c r="BQ63" s="590">
        <f t="shared" si="25"/>
        <v>0</v>
      </c>
      <c r="BR63" s="560" t="str">
        <f t="shared" si="26"/>
        <v>0000</v>
      </c>
      <c r="BS63" s="560" t="str">
        <f t="shared" si="27"/>
        <v>no action required</v>
      </c>
      <c r="BT63" s="361" t="str">
        <f t="shared" si="28"/>
        <v/>
      </c>
      <c r="BU63" s="591" t="str">
        <f t="shared" si="29"/>
        <v/>
      </c>
      <c r="BV63" s="560" t="str">
        <f t="shared" si="30"/>
        <v>none</v>
      </c>
      <c r="BW63" s="150" t="str">
        <f t="shared" si="31"/>
        <v/>
      </c>
      <c r="BX63" s="150" t="str">
        <f t="shared" si="32"/>
        <v/>
      </c>
      <c r="BY63" s="151" t="str">
        <f t="shared" si="33"/>
        <v/>
      </c>
      <c r="BZ63" s="152" t="str">
        <f t="shared" si="34"/>
        <v/>
      </c>
      <c r="CA63" s="152" t="str">
        <f t="shared" si="35"/>
        <v/>
      </c>
      <c r="CB63" s="152" t="str">
        <f t="shared" si="36"/>
        <v/>
      </c>
      <c r="CC63" s="153" t="str">
        <f t="shared" si="37"/>
        <v/>
      </c>
      <c r="CD63" s="153" t="str">
        <f t="shared" si="38"/>
        <v/>
      </c>
      <c r="CE63" s="154" t="str">
        <f t="shared" si="39"/>
        <v/>
      </c>
      <c r="CF63" s="154" t="str">
        <f t="shared" si="40"/>
        <v/>
      </c>
      <c r="CG63" s="154" t="str">
        <f t="shared" si="41"/>
        <v/>
      </c>
      <c r="CH63" s="308" t="str">
        <f t="shared" si="42"/>
        <v/>
      </c>
    </row>
    <row r="64">
      <c r="A64" s="559" t="s">
        <v>153</v>
      </c>
      <c r="B64" s="560" t="s">
        <v>98</v>
      </c>
      <c r="C64" s="561">
        <v>73162.0</v>
      </c>
      <c r="D64" s="562">
        <v>0.0</v>
      </c>
      <c r="E64" s="563">
        <v>0.0</v>
      </c>
      <c r="F64" s="564">
        <v>5.15E-16</v>
      </c>
      <c r="G64" s="564">
        <v>3.28E-16</v>
      </c>
      <c r="H64" s="564">
        <v>1.57E-15</v>
      </c>
      <c r="I64" s="565">
        <v>0.012129716</v>
      </c>
      <c r="J64" s="566">
        <v>0.195073863942773</v>
      </c>
      <c r="K64" s="566">
        <v>0.834007951196632</v>
      </c>
      <c r="L64" s="567">
        <v>0.076091075</v>
      </c>
      <c r="M64" s="568">
        <v>0.0344990525903377</v>
      </c>
      <c r="N64" s="568">
        <v>0.144872142950913</v>
      </c>
      <c r="O64" s="569">
        <v>0.0</v>
      </c>
      <c r="P64" s="570"/>
      <c r="Q64" s="150"/>
      <c r="R64" s="571"/>
      <c r="S64" s="116">
        <f t="shared" si="6"/>
        <v>0.6451333333</v>
      </c>
      <c r="T64" s="151"/>
      <c r="U64" s="572">
        <f t="shared" si="7"/>
        <v>0.0025</v>
      </c>
      <c r="V64" s="598"/>
      <c r="W64" s="574">
        <f t="shared" si="8"/>
        <v>0.56882</v>
      </c>
      <c r="X64" s="598"/>
      <c r="Y64" s="574">
        <f t="shared" si="9"/>
        <v>0.5825818182</v>
      </c>
      <c r="Z64" s="308"/>
      <c r="AA64" s="308"/>
      <c r="AB64" s="575" t="str">
        <f t="shared" si="10"/>
        <v/>
      </c>
      <c r="AC64" s="576">
        <f t="shared" si="11"/>
        <v>0.7574216602</v>
      </c>
      <c r="AD64" s="614">
        <v>0.0</v>
      </c>
      <c r="AE64" s="572">
        <v>0.0</v>
      </c>
      <c r="AF64" s="578">
        <v>0.0</v>
      </c>
      <c r="AG64" s="132">
        <v>0.01487758169</v>
      </c>
      <c r="AH64" s="132">
        <v>0.047300847</v>
      </c>
      <c r="AI64" s="579">
        <v>0.008522923674</v>
      </c>
      <c r="AJ64" s="579">
        <v>0.01031117483</v>
      </c>
      <c r="AK64" s="580">
        <v>0.01913200414</v>
      </c>
      <c r="AL64" s="580">
        <v>0.02185002572</v>
      </c>
      <c r="AM64" s="581">
        <v>0.0</v>
      </c>
      <c r="AN64" s="571" t="str">
        <f>IFERROR(
  AVERAGEIFS(
    'New LF Efficacy'!$J:$J,
    'New LF Efficacy'!$D:$D, $A64,
    'New LF Efficacy'!$F:$F,"DEC", 
    'New LF Efficacy'!$W:$W,"&lt;2016",
    'New LF Efficacy'!$AA:$AA,""),
  ""
)</f>
        <v/>
      </c>
      <c r="AO64" s="582">
        <f t="shared" si="12"/>
        <v>0.2589833333</v>
      </c>
      <c r="AP64" s="571" t="str">
        <f>IFERROR(
AVERAGEIFS(
'New LF Efficacy'!$J:$J,
'New LF Efficacy'!$D:$D,$A64,
'New LF Efficacy'!$F:$F,"Albendazole &amp; DEC",
'New LF Efficacy'!$W:$W,"&lt;2016",
'New LF Efficacy'!$AA:$AA,""),
"")</f>
        <v/>
      </c>
      <c r="AQ64" s="582">
        <f t="shared" si="13"/>
        <v>0.3465</v>
      </c>
      <c r="AR64" s="571" t="str">
        <f>IFERROR(
AVERAGEIFS(
'New LF Efficacy'!$J:$J,
'New LF Efficacy'!$D:$D,$A64,
'New LF Efficacy'!$F:$F,"Albendazole &amp; Ivermectin", 
'New LF Efficacy'!$W:$W,"&lt;2016",
'New LF Efficacy'!$AA:$AA,""),"")</f>
        <v/>
      </c>
      <c r="AS64" s="582">
        <f t="shared" si="14"/>
        <v>0.7575</v>
      </c>
      <c r="AT64" s="583" t="str">
        <f>IFERROR(AVERAGEIFS(
'Schist Efficacy'!$O:$O, 
'Schist Efficacy'!$C:$C,$A64, 
'Schist Efficacy'!$D:$D, "Praziquantel",
'Schist Efficacy'!$J:$J,"&lt;2016",
'Schist Efficacy'!$U:$U,""),
"")</f>
        <v/>
      </c>
      <c r="AU64" s="572">
        <f t="shared" si="15"/>
        <v>0.7914761905</v>
      </c>
      <c r="AV64" s="131" t="str">
        <f>IFERROR(AVERAGEIFS(
'STH Efficacy'!$AX:$AX, 
'STH Efficacy'!$AL:$AL, $A64, 
'STH Efficacy'!$AM:$AM, "Albendazole",
'STH Efficacy'!$AS:$AS,"&lt;2016",
'STH Efficacy'!$BP:$BP,""),
"")</f>
        <v/>
      </c>
      <c r="AW64" s="132">
        <f t="shared" si="16"/>
        <v>0.3945</v>
      </c>
      <c r="AX64" s="131" t="str">
        <f>IFERROR(AVERAGEIFS(
'STH Efficacy'!$AX:$AX, 
'STH Efficacy'!$AL:$AL, $A64, 
'STH Efficacy'!$AM:$AM, "Mebendazole",
'STH Efficacy'!$AS:$AS,"&lt;2016",
'STH Efficacy'!$BP:$BP,""),
"")</f>
        <v/>
      </c>
      <c r="AY64" s="132">
        <f t="shared" si="17"/>
        <v>0.6</v>
      </c>
      <c r="AZ64" s="131" t="str">
        <f>IFERROR(AVERAGEIFS(
'STH Efficacy'!$AX:$AX, 
'STH Efficacy'!$AL:$AL, $A64, 
'STH Efficacy'!$AM:$AM, "Albendazole &amp; Ivermectin",
'STH Efficacy'!$AS:$AS,"&lt;2016",
'STH Efficacy'!$BP:$BP,""),
"")</f>
        <v/>
      </c>
      <c r="BA64" s="303">
        <f t="shared" si="18"/>
        <v>0.796</v>
      </c>
      <c r="BB64" s="584" t="str">
        <f>IFERROR(AVERAGEIFS(
'STH Efficacy'!$N:$N, 
'STH Efficacy'!$B:$B, $A64, 
'STH Efficacy'!$C:$C, "Albendazole",
'STH Efficacy'!$I:$I,"&lt;2016",
'STH Efficacy'!$AH:$AH,""),
"")</f>
        <v/>
      </c>
      <c r="BC64" s="579">
        <f t="shared" si="19"/>
        <v>0.869</v>
      </c>
      <c r="BD64" s="584" t="str">
        <f>IFERROR(AVERAGEIFS(
'STH Efficacy'!$N:$N, 
'STH Efficacy'!$B:$B, $A64, 
'STH Efficacy'!$C:$C, "Mebendazole",
'STH Efficacy'!$I:$I,"&lt;2016",
'STH Efficacy'!$AH:$AH,""),
"")</f>
        <v/>
      </c>
      <c r="BE64" s="579">
        <f t="shared" si="20"/>
        <v>0.172</v>
      </c>
      <c r="BF64" s="585" t="str">
        <f>IFERROR(AVERAGEIFS(
'STH Efficacy'!$CD:$CD, 
'STH Efficacy'!$BS:$BS, $A64, 
'STH Efficacy'!$BT:$BT, "Albendazole",
'STH Efficacy'!$BZ:$BZ,"&lt;2016",
'STH Efficacy'!$CU:$CU,""),
"")</f>
        <v/>
      </c>
      <c r="BG64" s="580">
        <f t="shared" si="21"/>
        <v>0.9862</v>
      </c>
      <c r="BH64" s="585" t="str">
        <f>IFERROR(AVERAGEIFS(
'STH Efficacy'!$CD:$CD, 
'STH Efficacy'!$BS:$BS, $A64, 
'STH Efficacy'!$BT:$BT, "Mebendazole",
'STH Efficacy'!$BZ:$BZ,"&lt;2016",
'STH Efficacy'!$CU:$CU,""),
"")</f>
        <v/>
      </c>
      <c r="BI64" s="580">
        <f t="shared" si="22"/>
        <v>0.769</v>
      </c>
      <c r="BJ64" s="585" t="str">
        <f>IFERROR(AVERAGEIFS(
'STH Efficacy'!$CD:$CD, 
'STH Efficacy'!$BS:$BS, $A64, 
'STH Efficacy'!$BT:$BT, "Albendazole &amp; Ivermectin",
'STH Efficacy'!$BZ:$BZ,"&lt;2016",
'STH Efficacy'!$CU:$CU,""),
"")</f>
        <v/>
      </c>
      <c r="BK64" s="580">
        <f t="shared" si="23"/>
        <v>1</v>
      </c>
      <c r="BL64" s="575" t="str">
        <f>IFERROR(
  AVERAGEIFS(
    'NEW Onchocerciasis Efficacy'!$AO:$AO,
    'NEW Onchocerciasis Efficacy'!$C:$C,$A64,
    'NEW Onchocerciasis Efficacy'!$D:$D,"Ivermectin",
    'NEW Onchocerciasis Efficacy'!$AR:$AR,"&lt;2016",
    'NEW Onchocerciasis Efficacy'!$BG:$BG,"")
,"")</f>
        <v/>
      </c>
      <c r="BM64" s="586">
        <f t="shared" si="24"/>
        <v>0.3734</v>
      </c>
      <c r="BN64" s="587">
        <v>0.0</v>
      </c>
      <c r="BO64" s="588">
        <v>0.0</v>
      </c>
      <c r="BP64" s="589">
        <v>0.0</v>
      </c>
      <c r="BQ64" s="590">
        <f t="shared" si="25"/>
        <v>0</v>
      </c>
      <c r="BR64" s="560" t="str">
        <f t="shared" si="26"/>
        <v>0000</v>
      </c>
      <c r="BS64" s="560" t="str">
        <f t="shared" si="27"/>
        <v>no action required</v>
      </c>
      <c r="BT64" s="361" t="str">
        <f t="shared" si="28"/>
        <v/>
      </c>
      <c r="BU64" s="591" t="str">
        <f t="shared" si="29"/>
        <v/>
      </c>
      <c r="BV64" s="560" t="str">
        <f t="shared" si="30"/>
        <v>none</v>
      </c>
      <c r="BW64" s="150" t="str">
        <f t="shared" si="31"/>
        <v/>
      </c>
      <c r="BX64" s="150" t="str">
        <f t="shared" si="32"/>
        <v/>
      </c>
      <c r="BY64" s="151" t="str">
        <f t="shared" si="33"/>
        <v/>
      </c>
      <c r="BZ64" s="152" t="str">
        <f t="shared" si="34"/>
        <v/>
      </c>
      <c r="CA64" s="152" t="str">
        <f t="shared" si="35"/>
        <v/>
      </c>
      <c r="CB64" s="152" t="str">
        <f t="shared" si="36"/>
        <v/>
      </c>
      <c r="CC64" s="153" t="str">
        <f t="shared" si="37"/>
        <v/>
      </c>
      <c r="CD64" s="153" t="str">
        <f t="shared" si="38"/>
        <v/>
      </c>
      <c r="CE64" s="154" t="str">
        <f t="shared" si="39"/>
        <v/>
      </c>
      <c r="CF64" s="154" t="str">
        <f t="shared" si="40"/>
        <v/>
      </c>
      <c r="CG64" s="154" t="str">
        <f t="shared" si="41"/>
        <v/>
      </c>
      <c r="CH64" s="308" t="str">
        <f t="shared" si="42"/>
        <v/>
      </c>
    </row>
    <row r="65">
      <c r="A65" s="559" t="s">
        <v>154</v>
      </c>
      <c r="B65" s="560" t="s">
        <v>98</v>
      </c>
      <c r="C65" s="561">
        <v>1.0528394E7</v>
      </c>
      <c r="D65" s="562">
        <v>83.44518699</v>
      </c>
      <c r="E65" s="563">
        <v>617.148045476946</v>
      </c>
      <c r="F65" s="564">
        <v>0.0</v>
      </c>
      <c r="G65" s="564">
        <v>0.0</v>
      </c>
      <c r="H65" s="564">
        <v>8.65E-7</v>
      </c>
      <c r="I65" s="565">
        <v>3.712796933</v>
      </c>
      <c r="J65" s="566">
        <v>19.8323079152059</v>
      </c>
      <c r="K65" s="566">
        <v>142.311159261023</v>
      </c>
      <c r="L65" s="567">
        <v>12.47409022</v>
      </c>
      <c r="M65" s="568">
        <v>5.21584158532454</v>
      </c>
      <c r="N65" s="568">
        <v>21.6795606173209</v>
      </c>
      <c r="O65" s="631">
        <v>0.0</v>
      </c>
      <c r="P65" s="601">
        <v>4275.76368633</v>
      </c>
      <c r="Q65" s="618">
        <v>56985.0</v>
      </c>
      <c r="R65" s="603">
        <v>0.8174</v>
      </c>
      <c r="S65" s="116">
        <f t="shared" si="6"/>
        <v>0.8174</v>
      </c>
      <c r="T65" s="151"/>
      <c r="U65" s="572">
        <f t="shared" si="7"/>
        <v>0.0025</v>
      </c>
      <c r="V65" s="573">
        <v>0.1694</v>
      </c>
      <c r="W65" s="574">
        <f t="shared" si="8"/>
        <v>0.1694</v>
      </c>
      <c r="X65" s="573">
        <v>0.8025</v>
      </c>
      <c r="Y65" s="574">
        <f t="shared" si="9"/>
        <v>0.8025</v>
      </c>
      <c r="Z65" s="308"/>
      <c r="AA65" s="308"/>
      <c r="AB65" s="575" t="str">
        <f t="shared" si="10"/>
        <v/>
      </c>
      <c r="AC65" s="576">
        <f t="shared" si="11"/>
        <v>0.7574216602</v>
      </c>
      <c r="AD65" s="577">
        <v>4.260877475E-4</v>
      </c>
      <c r="AE65" s="572">
        <v>0.005495534985</v>
      </c>
      <c r="AF65" s="578">
        <v>2.04104646E-4</v>
      </c>
      <c r="AG65" s="132">
        <v>0.01892172828</v>
      </c>
      <c r="AH65" s="132">
        <v>0.059877655</v>
      </c>
      <c r="AI65" s="579">
        <v>0.007060849115</v>
      </c>
      <c r="AJ65" s="579">
        <v>0.00853438819</v>
      </c>
      <c r="AK65" s="580">
        <v>0.06688098559</v>
      </c>
      <c r="AL65" s="580">
        <v>0.07654011667</v>
      </c>
      <c r="AM65" s="581">
        <v>0.0</v>
      </c>
      <c r="AN65" s="571" t="str">
        <f>IFERROR(
  AVERAGEIFS(
    'New LF Efficacy'!$J:$J,
    'New LF Efficacy'!$D:$D, $A65,
    'New LF Efficacy'!$F:$F,"DEC", 
    'New LF Efficacy'!$W:$W,"&lt;2016",
    'New LF Efficacy'!$AA:$AA,""),
  ""
)</f>
        <v/>
      </c>
      <c r="AO65" s="582">
        <f t="shared" si="12"/>
        <v>0.2589833333</v>
      </c>
      <c r="AP65" s="571" t="str">
        <f>IFERROR(
AVERAGEIFS(
'New LF Efficacy'!$J:$J,
'New LF Efficacy'!$D:$D,$A65,
'New LF Efficacy'!$F:$F,"Albendazole &amp; DEC",
'New LF Efficacy'!$W:$W,"&lt;2016",
'New LF Efficacy'!$AA:$AA,""),
"")</f>
        <v/>
      </c>
      <c r="AQ65" s="582">
        <f t="shared" si="13"/>
        <v>0.3465</v>
      </c>
      <c r="AR65" s="571" t="str">
        <f>IFERROR(
AVERAGEIFS(
'New LF Efficacy'!$J:$J,
'New LF Efficacy'!$D:$D,$A65,
'New LF Efficacy'!$F:$F,"Albendazole &amp; Ivermectin", 
'New LF Efficacy'!$W:$W,"&lt;2016",
'New LF Efficacy'!$AA:$AA,""),"")</f>
        <v/>
      </c>
      <c r="AS65" s="582">
        <f t="shared" si="14"/>
        <v>0.7575</v>
      </c>
      <c r="AT65" s="583" t="str">
        <f>IFERROR(AVERAGEIFS(
'Schist Efficacy'!$O:$O, 
'Schist Efficacy'!$C:$C,$A65, 
'Schist Efficacy'!$D:$D, "Praziquantel",
'Schist Efficacy'!$J:$J,"&lt;2016",
'Schist Efficacy'!$U:$U,""),
"")</f>
        <v/>
      </c>
      <c r="AU65" s="572">
        <f t="shared" si="15"/>
        <v>0.7914761905</v>
      </c>
      <c r="AV65" s="131" t="str">
        <f>IFERROR(AVERAGEIFS(
'STH Efficacy'!$AX:$AX, 
'STH Efficacy'!$AL:$AL, $A65, 
'STH Efficacy'!$AM:$AM, "Albendazole",
'STH Efficacy'!$AS:$AS,"&lt;2016",
'STH Efficacy'!$BP:$BP,""),
"")</f>
        <v/>
      </c>
      <c r="AW65" s="132">
        <f t="shared" si="16"/>
        <v>0.3945</v>
      </c>
      <c r="AX65" s="131" t="str">
        <f>IFERROR(AVERAGEIFS(
'STH Efficacy'!$AX:$AX, 
'STH Efficacy'!$AL:$AL, $A65, 
'STH Efficacy'!$AM:$AM, "Mebendazole",
'STH Efficacy'!$AS:$AS,"&lt;2016",
'STH Efficacy'!$BP:$BP,""),
"")</f>
        <v/>
      </c>
      <c r="AY65" s="132">
        <f t="shared" si="17"/>
        <v>0.6</v>
      </c>
      <c r="AZ65" s="131" t="str">
        <f>IFERROR(AVERAGEIFS(
'STH Efficacy'!$AX:$AX, 
'STH Efficacy'!$AL:$AL, $A65, 
'STH Efficacy'!$AM:$AM, "Albendazole &amp; Ivermectin",
'STH Efficacy'!$AS:$AS,"&lt;2016",
'STH Efficacy'!$BP:$BP,""),
"")</f>
        <v/>
      </c>
      <c r="BA65" s="303">
        <f t="shared" si="18"/>
        <v>0.796</v>
      </c>
      <c r="BB65" s="584" t="str">
        <f>IFERROR(AVERAGEIFS(
'STH Efficacy'!$N:$N, 
'STH Efficacy'!$B:$B, $A65, 
'STH Efficacy'!$C:$C, "Albendazole",
'STH Efficacy'!$I:$I,"&lt;2016",
'STH Efficacy'!$AH:$AH,""),
"")</f>
        <v/>
      </c>
      <c r="BC65" s="579">
        <f t="shared" si="19"/>
        <v>0.869</v>
      </c>
      <c r="BD65" s="584" t="str">
        <f>IFERROR(AVERAGEIFS(
'STH Efficacy'!$N:$N, 
'STH Efficacy'!$B:$B, $A65, 
'STH Efficacy'!$C:$C, "Mebendazole",
'STH Efficacy'!$I:$I,"&lt;2016",
'STH Efficacy'!$AH:$AH,""),
"")</f>
        <v/>
      </c>
      <c r="BE65" s="579">
        <f t="shared" si="20"/>
        <v>0.172</v>
      </c>
      <c r="BF65" s="585" t="str">
        <f>IFERROR(AVERAGEIFS(
'STH Efficacy'!$CD:$CD, 
'STH Efficacy'!$BS:$BS, $A65, 
'STH Efficacy'!$BT:$BT, "Albendazole",
'STH Efficacy'!$BZ:$BZ,"&lt;2016",
'STH Efficacy'!$CU:$CU,""),
"")</f>
        <v/>
      </c>
      <c r="BG65" s="580">
        <f t="shared" si="21"/>
        <v>0.9862</v>
      </c>
      <c r="BH65" s="585" t="str">
        <f>IFERROR(AVERAGEIFS(
'STH Efficacy'!$CD:$CD, 
'STH Efficacy'!$BS:$BS, $A65, 
'STH Efficacy'!$BT:$BT, "Mebendazole",
'STH Efficacy'!$BZ:$BZ,"&lt;2016",
'STH Efficacy'!$CU:$CU,""),
"")</f>
        <v/>
      </c>
      <c r="BI65" s="580">
        <f t="shared" si="22"/>
        <v>0.769</v>
      </c>
      <c r="BJ65" s="585" t="str">
        <f>IFERROR(AVERAGEIFS(
'STH Efficacy'!$CD:$CD, 
'STH Efficacy'!$BS:$BS, $A65, 
'STH Efficacy'!$BT:$BT, "Albendazole &amp; Ivermectin",
'STH Efficacy'!$BZ:$BZ,"&lt;2016",
'STH Efficacy'!$CU:$CU,""),
"")</f>
        <v/>
      </c>
      <c r="BK65" s="580">
        <f t="shared" si="23"/>
        <v>1</v>
      </c>
      <c r="BL65" s="575" t="str">
        <f>IFERROR(
  AVERAGEIFS(
    'NEW Onchocerciasis Efficacy'!$AO:$AO,
    'NEW Onchocerciasis Efficacy'!$C:$C,$A65,
    'NEW Onchocerciasis Efficacy'!$D:$D,"Ivermectin",
    'NEW Onchocerciasis Efficacy'!$AR:$AR,"&lt;2016",
    'NEW Onchocerciasis Efficacy'!$BG:$BG,"")
,"")</f>
        <v/>
      </c>
      <c r="BM65" s="586">
        <f t="shared" si="24"/>
        <v>0.3734</v>
      </c>
      <c r="BN65" s="587">
        <v>1.0</v>
      </c>
      <c r="BO65" s="588">
        <v>0.0</v>
      </c>
      <c r="BP65" s="589">
        <v>0.0</v>
      </c>
      <c r="BQ65" s="590">
        <f t="shared" si="25"/>
        <v>0</v>
      </c>
      <c r="BR65" s="560" t="str">
        <f t="shared" si="26"/>
        <v>1000</v>
      </c>
      <c r="BS65" s="560" t="str">
        <f t="shared" si="27"/>
        <v>MDA1/2</v>
      </c>
      <c r="BT65" s="606" t="str">
        <f t="shared" si="28"/>
        <v>IVM+ALB or DEC+ALB</v>
      </c>
      <c r="BU65" s="591" t="str">
        <f t="shared" si="29"/>
        <v/>
      </c>
      <c r="BV65" s="560" t="str">
        <f t="shared" si="30"/>
        <v>lf only</v>
      </c>
      <c r="BW65" s="607">
        <f t="shared" si="31"/>
        <v>32.97302557</v>
      </c>
      <c r="BX65" s="607">
        <f t="shared" si="32"/>
        <v>135.6748607</v>
      </c>
      <c r="BY65" s="151" t="str">
        <f t="shared" si="33"/>
        <v/>
      </c>
      <c r="BZ65" s="152" t="str">
        <f t="shared" si="34"/>
        <v/>
      </c>
      <c r="CA65" s="152" t="str">
        <f t="shared" si="35"/>
        <v/>
      </c>
      <c r="CB65" s="152" t="str">
        <f t="shared" si="36"/>
        <v/>
      </c>
      <c r="CC65" s="153" t="str">
        <f t="shared" si="37"/>
        <v/>
      </c>
      <c r="CD65" s="153" t="str">
        <f t="shared" si="38"/>
        <v/>
      </c>
      <c r="CE65" s="154" t="str">
        <f t="shared" si="39"/>
        <v/>
      </c>
      <c r="CF65" s="154" t="str">
        <f t="shared" si="40"/>
        <v/>
      </c>
      <c r="CG65" s="154" t="str">
        <f t="shared" si="41"/>
        <v/>
      </c>
      <c r="CH65" s="308" t="str">
        <f t="shared" si="42"/>
        <v/>
      </c>
    </row>
    <row r="66">
      <c r="A66" s="559" t="s">
        <v>155</v>
      </c>
      <c r="B66" s="560" t="s">
        <v>98</v>
      </c>
      <c r="C66" s="561">
        <v>1.6144368E7</v>
      </c>
      <c r="D66" s="562">
        <v>0.0</v>
      </c>
      <c r="E66" s="563">
        <v>0.0</v>
      </c>
      <c r="F66" s="564">
        <v>36.40674708</v>
      </c>
      <c r="G66" s="564">
        <v>178.6286121</v>
      </c>
      <c r="H66" s="564">
        <v>1216.538232</v>
      </c>
      <c r="I66" s="565">
        <v>9.577253351</v>
      </c>
      <c r="J66" s="566">
        <v>26.7645918534511</v>
      </c>
      <c r="K66" s="566">
        <v>205.323200851341</v>
      </c>
      <c r="L66" s="567">
        <v>483.6307636</v>
      </c>
      <c r="M66" s="568">
        <v>549.049223392548</v>
      </c>
      <c r="N66" s="568">
        <v>2666.22751090188</v>
      </c>
      <c r="O66" s="631">
        <v>0.0</v>
      </c>
      <c r="P66" s="570"/>
      <c r="Q66" s="150"/>
      <c r="R66" s="571"/>
      <c r="S66" s="116">
        <f t="shared" si="6"/>
        <v>0.6451333333</v>
      </c>
      <c r="T66" s="151"/>
      <c r="U66" s="572">
        <f t="shared" si="7"/>
        <v>0.0025</v>
      </c>
      <c r="V66" s="598"/>
      <c r="W66" s="574">
        <f t="shared" si="8"/>
        <v>0.56882</v>
      </c>
      <c r="X66" s="598"/>
      <c r="Y66" s="574">
        <f t="shared" si="9"/>
        <v>0.5825818182</v>
      </c>
      <c r="Z66" s="625" t="s">
        <v>395</v>
      </c>
      <c r="AA66" s="625"/>
      <c r="AB66" s="575" t="str">
        <f t="shared" si="10"/>
        <v/>
      </c>
      <c r="AC66" s="576">
        <f t="shared" si="11"/>
        <v>0.7574216602</v>
      </c>
      <c r="AD66" s="577">
        <v>0.0</v>
      </c>
      <c r="AE66" s="572">
        <v>0.0</v>
      </c>
      <c r="AF66" s="578">
        <v>0.0</v>
      </c>
      <c r="AG66" s="132">
        <v>0.03165883222</v>
      </c>
      <c r="AH66" s="132">
        <v>0.096946009</v>
      </c>
      <c r="AI66" s="579">
        <v>0.004861899334</v>
      </c>
      <c r="AJ66" s="579">
        <v>0.005710861723</v>
      </c>
      <c r="AK66" s="580">
        <v>0.1058345293</v>
      </c>
      <c r="AL66" s="580">
        <v>0.1181998572</v>
      </c>
      <c r="AM66" s="581">
        <v>0.0</v>
      </c>
      <c r="AN66" s="571" t="str">
        <f>IFERROR(
  AVERAGEIFS(
    'New LF Efficacy'!$J:$J,
    'New LF Efficacy'!$D:$D, $A66,
    'New LF Efficacy'!$F:$F,"DEC", 
    'New LF Efficacy'!$W:$W,"&lt;2016",
    'New LF Efficacy'!$AA:$AA,""),
  ""
)</f>
        <v/>
      </c>
      <c r="AO66" s="582">
        <f t="shared" si="12"/>
        <v>0.2589833333</v>
      </c>
      <c r="AP66" s="571" t="str">
        <f>IFERROR(
AVERAGEIFS(
'New LF Efficacy'!$J:$J,
'New LF Efficacy'!$D:$D,$A66,
'New LF Efficacy'!$F:$F,"Albendazole &amp; DEC",
'New LF Efficacy'!$W:$W,"&lt;2016",
'New LF Efficacy'!$AA:$AA,""),
"")</f>
        <v/>
      </c>
      <c r="AQ66" s="582">
        <f t="shared" si="13"/>
        <v>0.3465</v>
      </c>
      <c r="AR66" s="571" t="str">
        <f>IFERROR(
AVERAGEIFS(
'New LF Efficacy'!$J:$J,
'New LF Efficacy'!$D:$D,$A66,
'New LF Efficacy'!$F:$F,"Albendazole &amp; Ivermectin", 
'New LF Efficacy'!$W:$W,"&lt;2016",
'New LF Efficacy'!$AA:$AA,""),"")</f>
        <v/>
      </c>
      <c r="AS66" s="582">
        <f t="shared" si="14"/>
        <v>0.7575</v>
      </c>
      <c r="AT66" s="583" t="str">
        <f>IFERROR(AVERAGEIFS(
'Schist Efficacy'!$O:$O, 
'Schist Efficacy'!$C:$C,$A66, 
'Schist Efficacy'!$D:$D, "Praziquantel",
'Schist Efficacy'!$J:$J,"&lt;2016",
'Schist Efficacy'!$U:$U,""),
"")</f>
        <v/>
      </c>
      <c r="AU66" s="572">
        <f t="shared" si="15"/>
        <v>0.7914761905</v>
      </c>
      <c r="AV66" s="131" t="str">
        <f>IFERROR(AVERAGEIFS(
'STH Efficacy'!$AX:$AX, 
'STH Efficacy'!$AL:$AL, $A66, 
'STH Efficacy'!$AM:$AM, "Albendazole",
'STH Efficacy'!$AS:$AS,"&lt;2016",
'STH Efficacy'!$BP:$BP,""),
"")</f>
        <v/>
      </c>
      <c r="AW66" s="132">
        <f t="shared" si="16"/>
        <v>0.3945</v>
      </c>
      <c r="AX66" s="131" t="str">
        <f>IFERROR(AVERAGEIFS(
'STH Efficacy'!$AX:$AX, 
'STH Efficacy'!$AL:$AL, $A66, 
'STH Efficacy'!$AM:$AM, "Mebendazole",
'STH Efficacy'!$AS:$AS,"&lt;2016",
'STH Efficacy'!$BP:$BP,""),
"")</f>
        <v/>
      </c>
      <c r="AY66" s="132">
        <f t="shared" si="17"/>
        <v>0.6</v>
      </c>
      <c r="AZ66" s="131" t="str">
        <f>IFERROR(AVERAGEIFS(
'STH Efficacy'!$AX:$AX, 
'STH Efficacy'!$AL:$AL, $A66, 
'STH Efficacy'!$AM:$AM, "Albendazole &amp; Ivermectin",
'STH Efficacy'!$AS:$AS,"&lt;2016",
'STH Efficacy'!$BP:$BP,""),
"")</f>
        <v/>
      </c>
      <c r="BA66" s="303">
        <f t="shared" si="18"/>
        <v>0.796</v>
      </c>
      <c r="BB66" s="584" t="str">
        <f>IFERROR(AVERAGEIFS(
'STH Efficacy'!$N:$N, 
'STH Efficacy'!$B:$B, $A66, 
'STH Efficacy'!$C:$C, "Albendazole",
'STH Efficacy'!$I:$I,"&lt;2016",
'STH Efficacy'!$AH:$AH,""),
"")</f>
        <v/>
      </c>
      <c r="BC66" s="579">
        <f t="shared" si="19"/>
        <v>0.869</v>
      </c>
      <c r="BD66" s="584" t="str">
        <f>IFERROR(AVERAGEIFS(
'STH Efficacy'!$N:$N, 
'STH Efficacy'!$B:$B, $A66, 
'STH Efficacy'!$C:$C, "Mebendazole",
'STH Efficacy'!$I:$I,"&lt;2016",
'STH Efficacy'!$AH:$AH,""),
"")</f>
        <v/>
      </c>
      <c r="BE66" s="579">
        <f t="shared" si="20"/>
        <v>0.172</v>
      </c>
      <c r="BF66" s="585" t="str">
        <f>IFERROR(AVERAGEIFS(
'STH Efficacy'!$CD:$CD, 
'STH Efficacy'!$BS:$BS, $A66, 
'STH Efficacy'!$BT:$BT, "Albendazole",
'STH Efficacy'!$BZ:$BZ,"&lt;2016",
'STH Efficacy'!$CU:$CU,""),
"")</f>
        <v/>
      </c>
      <c r="BG66" s="580">
        <f t="shared" si="21"/>
        <v>0.9862</v>
      </c>
      <c r="BH66" s="585" t="str">
        <f>IFERROR(AVERAGEIFS(
'STH Efficacy'!$CD:$CD, 
'STH Efficacy'!$BS:$BS, $A66, 
'STH Efficacy'!$BT:$BT, "Mebendazole",
'STH Efficacy'!$BZ:$BZ,"&lt;2016",
'STH Efficacy'!$CU:$CU,""),
"")</f>
        <v/>
      </c>
      <c r="BI66" s="580">
        <f t="shared" si="22"/>
        <v>0.769</v>
      </c>
      <c r="BJ66" s="585" t="str">
        <f>IFERROR(AVERAGEIFS(
'STH Efficacy'!$CD:$CD, 
'STH Efficacy'!$BS:$BS, $A66, 
'STH Efficacy'!$BT:$BT, "Albendazole &amp; Ivermectin",
'STH Efficacy'!$BZ:$BZ,"&lt;2016",
'STH Efficacy'!$CU:$CU,""),
"")</f>
        <v/>
      </c>
      <c r="BK66" s="580">
        <f t="shared" si="23"/>
        <v>1</v>
      </c>
      <c r="BL66" s="575" t="str">
        <f>IFERROR(
  AVERAGEIFS(
    'NEW Onchocerciasis Efficacy'!$AO:$AO,
    'NEW Onchocerciasis Efficacy'!$C:$C,$A66,
    'NEW Onchocerciasis Efficacy'!$D:$D,"Ivermectin",
    'NEW Onchocerciasis Efficacy'!$AR:$AR,"&lt;2016",
    'NEW Onchocerciasis Efficacy'!$BG:$BG,"")
,"")</f>
        <v/>
      </c>
      <c r="BM66" s="586">
        <f t="shared" si="24"/>
        <v>0.3734</v>
      </c>
      <c r="BN66" s="587">
        <v>0.0</v>
      </c>
      <c r="BO66" s="588">
        <v>0.0</v>
      </c>
      <c r="BP66" s="589">
        <v>1.0</v>
      </c>
      <c r="BQ66" s="590">
        <f t="shared" si="25"/>
        <v>0</v>
      </c>
      <c r="BR66" s="560" t="str">
        <f t="shared" si="26"/>
        <v>0010</v>
      </c>
      <c r="BS66" s="560" t="str">
        <f t="shared" si="27"/>
        <v>T2</v>
      </c>
      <c r="BT66" s="606" t="str">
        <f t="shared" si="28"/>
        <v>PZQ</v>
      </c>
      <c r="BU66" s="560" t="str">
        <f t="shared" si="29"/>
        <v>PZQ</v>
      </c>
      <c r="BV66" s="560" t="str">
        <f t="shared" si="30"/>
        <v>schist only</v>
      </c>
      <c r="BW66" s="150" t="str">
        <f t="shared" si="31"/>
        <v/>
      </c>
      <c r="BX66" s="150" t="str">
        <f t="shared" si="32"/>
        <v/>
      </c>
      <c r="BY66" s="608">
        <f t="shared" si="33"/>
        <v>0</v>
      </c>
      <c r="BZ66" s="152" t="str">
        <f t="shared" si="34"/>
        <v/>
      </c>
      <c r="CA66" s="152" t="str">
        <f t="shared" si="35"/>
        <v/>
      </c>
      <c r="CB66" s="152" t="str">
        <f t="shared" si="36"/>
        <v/>
      </c>
      <c r="CC66" s="153" t="str">
        <f t="shared" si="37"/>
        <v/>
      </c>
      <c r="CD66" s="153" t="str">
        <f t="shared" si="38"/>
        <v/>
      </c>
      <c r="CE66" s="154" t="str">
        <f t="shared" si="39"/>
        <v/>
      </c>
      <c r="CF66" s="154" t="str">
        <f t="shared" si="40"/>
        <v/>
      </c>
      <c r="CG66" s="154" t="str">
        <f t="shared" si="41"/>
        <v/>
      </c>
      <c r="CH66" s="308" t="str">
        <f t="shared" si="42"/>
        <v/>
      </c>
    </row>
    <row r="67">
      <c r="A67" s="599" t="s">
        <v>156</v>
      </c>
      <c r="B67" s="560" t="s">
        <v>88</v>
      </c>
      <c r="C67" s="561">
        <v>9.3778172E7</v>
      </c>
      <c r="D67" s="562">
        <v>0.0</v>
      </c>
      <c r="E67" s="563">
        <v>28724.8723915623</v>
      </c>
      <c r="F67" s="564">
        <v>0.561436404</v>
      </c>
      <c r="G67" s="564">
        <v>4.044913797</v>
      </c>
      <c r="H67" s="564">
        <v>25.23530776</v>
      </c>
      <c r="I67" s="565">
        <v>117.8746151</v>
      </c>
      <c r="J67" s="566">
        <v>339.01556808214</v>
      </c>
      <c r="K67" s="566">
        <v>1737.19552417129</v>
      </c>
      <c r="L67" s="567">
        <v>330.7035263</v>
      </c>
      <c r="M67" s="568">
        <v>522.669417380716</v>
      </c>
      <c r="N67" s="568">
        <v>1417.34680818437</v>
      </c>
      <c r="O67" s="569">
        <v>0.0</v>
      </c>
      <c r="P67" s="632">
        <v>51859.9967</v>
      </c>
      <c r="Q67" s="150" t="s">
        <v>395</v>
      </c>
      <c r="R67" s="150" t="s">
        <v>395</v>
      </c>
      <c r="S67" s="116" t="str">
        <f t="shared" si="6"/>
        <v> </v>
      </c>
      <c r="T67" s="572">
        <v>0.9558</v>
      </c>
      <c r="U67" s="572">
        <f t="shared" si="7"/>
        <v>0.9558</v>
      </c>
      <c r="V67" s="598"/>
      <c r="W67" s="574">
        <f t="shared" si="8"/>
        <v>0.97535</v>
      </c>
      <c r="X67" s="598"/>
      <c r="Y67" s="574">
        <f t="shared" si="9"/>
        <v>0.41448</v>
      </c>
      <c r="Z67" s="308"/>
      <c r="AA67" s="308"/>
      <c r="AB67" s="575" t="str">
        <f t="shared" si="10"/>
        <v/>
      </c>
      <c r="AC67" s="576">
        <f t="shared" si="11"/>
        <v>0.4586145155</v>
      </c>
      <c r="AD67" s="577">
        <v>0.00553262313</v>
      </c>
      <c r="AE67" s="572">
        <v>0.01412345027</v>
      </c>
      <c r="AF67" s="578">
        <v>9.904764931E-4</v>
      </c>
      <c r="AG67" s="132">
        <v>0.01019483987</v>
      </c>
      <c r="AH67" s="132">
        <v>0.032754076</v>
      </c>
      <c r="AI67" s="579">
        <v>0.002999286103</v>
      </c>
      <c r="AJ67" s="579">
        <v>0.003710507357</v>
      </c>
      <c r="AK67" s="580">
        <v>0.04562224395</v>
      </c>
      <c r="AL67" s="580">
        <v>0.05370820099</v>
      </c>
      <c r="AM67" s="581">
        <v>0.0</v>
      </c>
      <c r="AN67" s="571" t="str">
        <f>IFERROR(
  AVERAGEIFS(
    'New LF Efficacy'!$J:$J,
    'New LF Efficacy'!$D:$D, $A67,
    'New LF Efficacy'!$F:$F,"DEC", 
    'New LF Efficacy'!$W:$W,"&lt;2016",
    'New LF Efficacy'!$AA:$AA,""),
  ""
)</f>
        <v/>
      </c>
      <c r="AO67" s="582">
        <f t="shared" si="12"/>
        <v>0.3573520833</v>
      </c>
      <c r="AP67" s="571">
        <f>IFERROR(
AVERAGEIFS(
'New LF Efficacy'!$J:$J,
'New LF Efficacy'!$D:$D,$A67,
'New LF Efficacy'!$F:$F,"Albendazole &amp; DEC",
'New LF Efficacy'!$W:$W,"&lt;2016",
'New LF Efficacy'!$AA:$AA,""),
"")</f>
        <v>0.7935</v>
      </c>
      <c r="AQ67" s="582">
        <f t="shared" si="13"/>
        <v>0.7935</v>
      </c>
      <c r="AR67" s="571" t="str">
        <f>IFERROR(
AVERAGEIFS(
'New LF Efficacy'!$J:$J,
'New LF Efficacy'!$D:$D,$A67,
'New LF Efficacy'!$F:$F,"Albendazole &amp; Ivermectin", 
'New LF Efficacy'!$W:$W,"&lt;2016",
'New LF Efficacy'!$AA:$AA,""),"")</f>
        <v/>
      </c>
      <c r="AS67" s="582">
        <f t="shared" si="14"/>
        <v>0.37153125</v>
      </c>
      <c r="AT67" s="583">
        <f>IFERROR(AVERAGEIFS(
'Schist Efficacy'!$O:$O, 
'Schist Efficacy'!$C:$C,$A67, 
'Schist Efficacy'!$D:$D, "Praziquantel",
'Schist Efficacy'!$J:$J,"&lt;2016",
'Schist Efficacy'!$U:$U,""),
"")</f>
        <v>0.59825</v>
      </c>
      <c r="AU67" s="572">
        <f t="shared" si="15"/>
        <v>0.59825</v>
      </c>
      <c r="AV67" s="131" t="str">
        <f>IFERROR(AVERAGEIFS(
'STH Efficacy'!$AX:$AX, 
'STH Efficacy'!$AL:$AL, $A67, 
'STH Efficacy'!$AM:$AM, "Albendazole",
'STH Efficacy'!$AS:$AS,"&lt;2016",
'STH Efficacy'!$BP:$BP,""),
"")</f>
        <v/>
      </c>
      <c r="AW67" s="132">
        <f t="shared" si="16"/>
        <v>0.4143846154</v>
      </c>
      <c r="AX67" s="131" t="str">
        <f>IFERROR(AVERAGEIFS(
'STH Efficacy'!$AX:$AX, 
'STH Efficacy'!$AL:$AL, $A67, 
'STH Efficacy'!$AM:$AM, "Mebendazole",
'STH Efficacy'!$AS:$AS,"&lt;2016",
'STH Efficacy'!$BP:$BP,""),
"")</f>
        <v/>
      </c>
      <c r="AY67" s="132">
        <f t="shared" si="17"/>
        <v>0.4691770833</v>
      </c>
      <c r="AZ67" s="131" t="str">
        <f>IFERROR(AVERAGEIFS(
'STH Efficacy'!$AX:$AX, 
'STH Efficacy'!$AL:$AL, $A67, 
'STH Efficacy'!$AM:$AM, "Albendazole &amp; Ivermectin",
'STH Efficacy'!$AS:$AS,"&lt;2016",
'STH Efficacy'!$BP:$BP,""),
"")</f>
        <v/>
      </c>
      <c r="BA67" s="303">
        <f t="shared" si="18"/>
        <v>0.597625</v>
      </c>
      <c r="BB67" s="584" t="str">
        <f>IFERROR(AVERAGEIFS(
'STH Efficacy'!$N:$N, 
'STH Efficacy'!$B:$B, $A67, 
'STH Efficacy'!$C:$C, "Albendazole",
'STH Efficacy'!$I:$I,"&lt;2016",
'STH Efficacy'!$AH:$AH,""),
"")</f>
        <v/>
      </c>
      <c r="BC67" s="579">
        <f t="shared" si="19"/>
        <v>0.7613712121</v>
      </c>
      <c r="BD67" s="584" t="str">
        <f>IFERROR(AVERAGEIFS(
'STH Efficacy'!$N:$N, 
'STH Efficacy'!$B:$B, $A67, 
'STH Efficacy'!$C:$C, "Mebendazole",
'STH Efficacy'!$I:$I,"&lt;2016",
'STH Efficacy'!$AH:$AH,""),
"")</f>
        <v/>
      </c>
      <c r="BE67" s="579">
        <f t="shared" si="20"/>
        <v>0.4362466667</v>
      </c>
      <c r="BF67" s="585" t="str">
        <f>IFERROR(AVERAGEIFS(
'STH Efficacy'!$CD:$CD, 
'STH Efficacy'!$BS:$BS, $A67, 
'STH Efficacy'!$BT:$BT, "Albendazole",
'STH Efficacy'!$BZ:$BZ,"&lt;2016",
'STH Efficacy'!$CU:$CU,""),
"")</f>
        <v/>
      </c>
      <c r="BG67" s="580">
        <f t="shared" si="21"/>
        <v>0.955</v>
      </c>
      <c r="BH67" s="585" t="str">
        <f>IFERROR(AVERAGEIFS(
'STH Efficacy'!$CD:$CD, 
'STH Efficacy'!$BS:$BS, $A67, 
'STH Efficacy'!$BT:$BT, "Mebendazole",
'STH Efficacy'!$BZ:$BZ,"&lt;2016",
'STH Efficacy'!$CU:$CU,""),
"")</f>
        <v/>
      </c>
      <c r="BI67" s="580">
        <f t="shared" si="22"/>
        <v>1</v>
      </c>
      <c r="BJ67" s="585" t="str">
        <f>IFERROR(AVERAGEIFS(
'STH Efficacy'!$CD:$CD, 
'STH Efficacy'!$BS:$BS, $A67, 
'STH Efficacy'!$BT:$BT, "Albendazole &amp; Ivermectin",
'STH Efficacy'!$BZ:$BZ,"&lt;2016",
'STH Efficacy'!$CU:$CU,""),
"")</f>
        <v/>
      </c>
      <c r="BK67" s="580">
        <f t="shared" si="23"/>
        <v>0.848</v>
      </c>
      <c r="BL67" s="575" t="str">
        <f>IFERROR(
  AVERAGEIFS(
    'NEW Onchocerciasis Efficacy'!$AO:$AO,
    'NEW Onchocerciasis Efficacy'!$C:$C,$A67,
    'NEW Onchocerciasis Efficacy'!$D:$D,"Ivermectin",
    'NEW Onchocerciasis Efficacy'!$AR:$AR,"&lt;2016",
    'NEW Onchocerciasis Efficacy'!$BG:$BG,"")
,"")</f>
        <v/>
      </c>
      <c r="BM67" s="586">
        <f t="shared" si="24"/>
        <v>0.7808368939</v>
      </c>
      <c r="BN67" s="587">
        <v>0.0</v>
      </c>
      <c r="BO67" s="588">
        <v>1.0</v>
      </c>
      <c r="BP67" s="589">
        <v>1.0</v>
      </c>
      <c r="BQ67" s="590">
        <f t="shared" si="25"/>
        <v>0</v>
      </c>
      <c r="BR67" s="560" t="str">
        <f t="shared" si="26"/>
        <v>0110</v>
      </c>
      <c r="BS67" s="560" t="str">
        <f t="shared" si="27"/>
        <v>MDA3+T2</v>
      </c>
      <c r="BT67" s="606" t="str">
        <f t="shared" si="28"/>
        <v>IVM</v>
      </c>
      <c r="BU67" s="560" t="str">
        <f t="shared" si="29"/>
        <v>PZQ</v>
      </c>
      <c r="BV67" s="560" t="str">
        <f t="shared" si="30"/>
        <v>onch+schist</v>
      </c>
      <c r="BW67" s="150" t="str">
        <f t="shared" si="31"/>
        <v/>
      </c>
      <c r="BX67" s="150" t="str">
        <f t="shared" si="32"/>
        <v/>
      </c>
      <c r="BY67" s="608">
        <f t="shared" si="33"/>
        <v>38359.11981</v>
      </c>
      <c r="BZ67" s="152" t="str">
        <f t="shared" si="34"/>
        <v/>
      </c>
      <c r="CA67" s="152" t="str">
        <f t="shared" si="35"/>
        <v/>
      </c>
      <c r="CB67" s="152" t="str">
        <f t="shared" si="36"/>
        <v/>
      </c>
      <c r="CC67" s="153" t="str">
        <f t="shared" si="37"/>
        <v/>
      </c>
      <c r="CD67" s="153" t="str">
        <f t="shared" si="38"/>
        <v/>
      </c>
      <c r="CE67" s="154" t="str">
        <f t="shared" si="39"/>
        <v/>
      </c>
      <c r="CF67" s="154" t="str">
        <f t="shared" si="40"/>
        <v/>
      </c>
      <c r="CG67" s="154" t="str">
        <f t="shared" si="41"/>
        <v/>
      </c>
      <c r="CH67" s="609">
        <f t="shared" si="42"/>
        <v>0</v>
      </c>
    </row>
    <row r="68">
      <c r="A68" s="599" t="s">
        <v>157</v>
      </c>
      <c r="B68" s="560" t="s">
        <v>98</v>
      </c>
      <c r="C68" s="561">
        <v>6312478.0</v>
      </c>
      <c r="D68" s="562">
        <v>0.0</v>
      </c>
      <c r="E68" s="563">
        <v>0.0</v>
      </c>
      <c r="F68" s="564">
        <v>1.265066664</v>
      </c>
      <c r="G68" s="564">
        <v>0.092126757</v>
      </c>
      <c r="H68" s="564">
        <v>57.30106932</v>
      </c>
      <c r="I68" s="565">
        <v>19.94734131</v>
      </c>
      <c r="J68" s="566">
        <v>43.2971860391205</v>
      </c>
      <c r="K68" s="566">
        <v>542.461004469458</v>
      </c>
      <c r="L68" s="567">
        <v>7.036158191</v>
      </c>
      <c r="M68" s="568">
        <v>4.60125009999473</v>
      </c>
      <c r="N68" s="568">
        <v>34.1372924258604</v>
      </c>
      <c r="O68" s="569">
        <v>0.0</v>
      </c>
      <c r="P68" s="570"/>
      <c r="Q68" s="150"/>
      <c r="R68" s="571"/>
      <c r="S68" s="116">
        <f t="shared" si="6"/>
        <v>0.6451333333</v>
      </c>
      <c r="T68" s="151"/>
      <c r="U68" s="572">
        <f t="shared" si="7"/>
        <v>0.0025</v>
      </c>
      <c r="V68" s="598"/>
      <c r="W68" s="574">
        <f t="shared" si="8"/>
        <v>0.56882</v>
      </c>
      <c r="X68" s="573">
        <v>0.7201</v>
      </c>
      <c r="Y68" s="574">
        <f t="shared" si="9"/>
        <v>0.7201</v>
      </c>
      <c r="Z68" s="308"/>
      <c r="AA68" s="308"/>
      <c r="AB68" s="575" t="str">
        <f t="shared" si="10"/>
        <v/>
      </c>
      <c r="AC68" s="576">
        <f t="shared" si="11"/>
        <v>0.7574216602</v>
      </c>
      <c r="AD68" s="577">
        <v>0.0</v>
      </c>
      <c r="AE68" s="572">
        <v>0.0</v>
      </c>
      <c r="AF68" s="578">
        <v>0.0</v>
      </c>
      <c r="AG68" s="133">
        <v>0.02431074796</v>
      </c>
      <c r="AH68" s="133">
        <v>0.07551382</v>
      </c>
      <c r="AI68" s="623">
        <v>0.02209070414</v>
      </c>
      <c r="AJ68" s="623">
        <v>0.02623062922</v>
      </c>
      <c r="AK68" s="624">
        <v>0.05827150977</v>
      </c>
      <c r="AL68" s="624">
        <v>0.0656329619</v>
      </c>
      <c r="AM68" s="581">
        <v>0.0</v>
      </c>
      <c r="AN68" s="571" t="str">
        <f>IFERROR(
  AVERAGEIFS(
    'New LF Efficacy'!$J:$J,
    'New LF Efficacy'!$D:$D, $A68,
    'New LF Efficacy'!$F:$F,"DEC", 
    'New LF Efficacy'!$W:$W,"&lt;2016",
    'New LF Efficacy'!$AA:$AA,""),
  ""
)</f>
        <v/>
      </c>
      <c r="AO68" s="582">
        <f t="shared" si="12"/>
        <v>0.2589833333</v>
      </c>
      <c r="AP68" s="571" t="str">
        <f>IFERROR(
AVERAGEIFS(
'New LF Efficacy'!$J:$J,
'New LF Efficacy'!$D:$D,$A68,
'New LF Efficacy'!$F:$F,"Albendazole &amp; DEC",
'New LF Efficacy'!$W:$W,"&lt;2016",
'New LF Efficacy'!$AA:$AA,""),
"")</f>
        <v/>
      </c>
      <c r="AQ68" s="582">
        <f t="shared" si="13"/>
        <v>0.3465</v>
      </c>
      <c r="AR68" s="571" t="str">
        <f>IFERROR(
AVERAGEIFS(
'New LF Efficacy'!$J:$J,
'New LF Efficacy'!$D:$D,$A68,
'New LF Efficacy'!$F:$F,"Albendazole &amp; Ivermectin", 
'New LF Efficacy'!$W:$W,"&lt;2016",
'New LF Efficacy'!$AA:$AA,""),"")</f>
        <v/>
      </c>
      <c r="AS68" s="582">
        <f t="shared" si="14"/>
        <v>0.7575</v>
      </c>
      <c r="AT68" s="583" t="str">
        <f>IFERROR(AVERAGEIFS(
'Schist Efficacy'!$O:$O, 
'Schist Efficacy'!$C:$C,$A68, 
'Schist Efficacy'!$D:$D, "Praziquantel",
'Schist Efficacy'!$J:$J,"&lt;2016",
'Schist Efficacy'!$U:$U,""),
"")</f>
        <v/>
      </c>
      <c r="AU68" s="572">
        <f t="shared" si="15"/>
        <v>0.7914761905</v>
      </c>
      <c r="AV68" s="131" t="str">
        <f>IFERROR(AVERAGEIFS(
'STH Efficacy'!$AX:$AX, 
'STH Efficacy'!$AL:$AL, $A68, 
'STH Efficacy'!$AM:$AM, "Albendazole",
'STH Efficacy'!$AS:$AS,"&lt;2016",
'STH Efficacy'!$BP:$BP,""),
"")</f>
        <v/>
      </c>
      <c r="AW68" s="132">
        <f t="shared" si="16"/>
        <v>0.3945</v>
      </c>
      <c r="AX68" s="131" t="str">
        <f>IFERROR(AVERAGEIFS(
'STH Efficacy'!$AX:$AX, 
'STH Efficacy'!$AL:$AL, $A68, 
'STH Efficacy'!$AM:$AM, "Mebendazole",
'STH Efficacy'!$AS:$AS,"&lt;2016",
'STH Efficacy'!$BP:$BP,""),
"")</f>
        <v/>
      </c>
      <c r="AY68" s="132">
        <f t="shared" si="17"/>
        <v>0.6</v>
      </c>
      <c r="AZ68" s="131" t="str">
        <f>IFERROR(AVERAGEIFS(
'STH Efficacy'!$AX:$AX, 
'STH Efficacy'!$AL:$AL, $A68, 
'STH Efficacy'!$AM:$AM, "Albendazole &amp; Ivermectin",
'STH Efficacy'!$AS:$AS,"&lt;2016",
'STH Efficacy'!$BP:$BP,""),
"")</f>
        <v/>
      </c>
      <c r="BA68" s="303">
        <f t="shared" si="18"/>
        <v>0.796</v>
      </c>
      <c r="BB68" s="584" t="str">
        <f>IFERROR(AVERAGEIFS(
'STH Efficacy'!$N:$N, 
'STH Efficacy'!$B:$B, $A68, 
'STH Efficacy'!$C:$C, "Albendazole",
'STH Efficacy'!$I:$I,"&lt;2016",
'STH Efficacy'!$AH:$AH,""),
"")</f>
        <v/>
      </c>
      <c r="BC68" s="579">
        <f t="shared" si="19"/>
        <v>0.869</v>
      </c>
      <c r="BD68" s="584" t="str">
        <f>IFERROR(AVERAGEIFS(
'STH Efficacy'!$N:$N, 
'STH Efficacy'!$B:$B, $A68, 
'STH Efficacy'!$C:$C, "Mebendazole",
'STH Efficacy'!$I:$I,"&lt;2016",
'STH Efficacy'!$AH:$AH,""),
"")</f>
        <v/>
      </c>
      <c r="BE68" s="579">
        <f t="shared" si="20"/>
        <v>0.172</v>
      </c>
      <c r="BF68" s="585" t="str">
        <f>IFERROR(AVERAGEIFS(
'STH Efficacy'!$CD:$CD, 
'STH Efficacy'!$BS:$BS, $A68, 
'STH Efficacy'!$BT:$BT, "Albendazole",
'STH Efficacy'!$BZ:$BZ,"&lt;2016",
'STH Efficacy'!$CU:$CU,""),
"")</f>
        <v/>
      </c>
      <c r="BG68" s="580">
        <f t="shared" si="21"/>
        <v>0.9862</v>
      </c>
      <c r="BH68" s="585" t="str">
        <f>IFERROR(AVERAGEIFS(
'STH Efficacy'!$CD:$CD, 
'STH Efficacy'!$BS:$BS, $A68, 
'STH Efficacy'!$BT:$BT, "Mebendazole",
'STH Efficacy'!$BZ:$BZ,"&lt;2016",
'STH Efficacy'!$CU:$CU,""),
"")</f>
        <v/>
      </c>
      <c r="BI68" s="580">
        <f t="shared" si="22"/>
        <v>0.769</v>
      </c>
      <c r="BJ68" s="585" t="str">
        <f>IFERROR(AVERAGEIFS(
'STH Efficacy'!$CD:$CD, 
'STH Efficacy'!$BS:$BS, $A68, 
'STH Efficacy'!$BT:$BT, "Albendazole &amp; Ivermectin",
'STH Efficacy'!$BZ:$BZ,"&lt;2016",
'STH Efficacy'!$CU:$CU,""),
"")</f>
        <v/>
      </c>
      <c r="BK68" s="580">
        <f t="shared" si="23"/>
        <v>1</v>
      </c>
      <c r="BL68" s="575" t="str">
        <f>IFERROR(
  AVERAGEIFS(
    'NEW Onchocerciasis Efficacy'!$AO:$AO,
    'NEW Onchocerciasis Efficacy'!$C:$C,$A68,
    'NEW Onchocerciasis Efficacy'!$D:$D,"Ivermectin",
    'NEW Onchocerciasis Efficacy'!$AR:$AR,"&lt;2016",
    'NEW Onchocerciasis Efficacy'!$BG:$BG,"")
,"")</f>
        <v/>
      </c>
      <c r="BM68" s="586">
        <f t="shared" si="24"/>
        <v>0.3734</v>
      </c>
      <c r="BN68" s="587">
        <v>0.0</v>
      </c>
      <c r="BO68" s="588">
        <v>0.0</v>
      </c>
      <c r="BP68" s="589">
        <v>0.0</v>
      </c>
      <c r="BQ68" s="590">
        <f t="shared" si="25"/>
        <v>0</v>
      </c>
      <c r="BR68" s="560" t="str">
        <f t="shared" si="26"/>
        <v>0000</v>
      </c>
      <c r="BS68" s="560" t="str">
        <f t="shared" si="27"/>
        <v>no action required</v>
      </c>
      <c r="BT68" s="361" t="str">
        <f t="shared" si="28"/>
        <v/>
      </c>
      <c r="BU68" s="591" t="str">
        <f t="shared" si="29"/>
        <v/>
      </c>
      <c r="BV68" s="560" t="str">
        <f t="shared" si="30"/>
        <v>none</v>
      </c>
      <c r="BW68" s="150" t="str">
        <f t="shared" si="31"/>
        <v/>
      </c>
      <c r="BX68" s="150" t="str">
        <f t="shared" si="32"/>
        <v/>
      </c>
      <c r="BY68" s="151" t="str">
        <f t="shared" si="33"/>
        <v/>
      </c>
      <c r="BZ68" s="152" t="str">
        <f t="shared" si="34"/>
        <v/>
      </c>
      <c r="CA68" s="152" t="str">
        <f t="shared" si="35"/>
        <v/>
      </c>
      <c r="CB68" s="152" t="str">
        <f t="shared" si="36"/>
        <v/>
      </c>
      <c r="CC68" s="153" t="str">
        <f t="shared" si="37"/>
        <v/>
      </c>
      <c r="CD68" s="153" t="str">
        <f t="shared" si="38"/>
        <v/>
      </c>
      <c r="CE68" s="154" t="str">
        <f t="shared" si="39"/>
        <v/>
      </c>
      <c r="CF68" s="154" t="str">
        <f t="shared" si="40"/>
        <v/>
      </c>
      <c r="CG68" s="154" t="str">
        <f t="shared" si="41"/>
        <v/>
      </c>
      <c r="CH68" s="308" t="str">
        <f t="shared" si="42"/>
        <v/>
      </c>
    </row>
    <row r="69">
      <c r="A69" s="599" t="s">
        <v>158</v>
      </c>
      <c r="B69" s="560" t="s">
        <v>92</v>
      </c>
      <c r="C69" s="561">
        <v>1175389.0</v>
      </c>
      <c r="D69" s="562">
        <v>1728.353068</v>
      </c>
      <c r="E69" s="563">
        <v>442.330893746365</v>
      </c>
      <c r="F69" s="564">
        <v>1.293066306</v>
      </c>
      <c r="G69" s="564">
        <v>8.565941295</v>
      </c>
      <c r="H69" s="564">
        <v>24.75004631</v>
      </c>
      <c r="I69" s="565">
        <v>12.04181246</v>
      </c>
      <c r="J69" s="566">
        <v>49.5794646612925</v>
      </c>
      <c r="K69" s="566">
        <v>245.478976791019</v>
      </c>
      <c r="L69" s="567">
        <v>140.3691587</v>
      </c>
      <c r="M69" s="568">
        <v>200.705761650377</v>
      </c>
      <c r="N69" s="568">
        <v>467.55052540786</v>
      </c>
      <c r="O69" s="569">
        <v>2312.0</v>
      </c>
      <c r="P69" s="601">
        <v>31234.2432895</v>
      </c>
      <c r="Q69" s="150" t="s">
        <v>395</v>
      </c>
      <c r="R69" s="150" t="s">
        <v>395</v>
      </c>
      <c r="S69" s="116" t="str">
        <f t="shared" si="6"/>
        <v> </v>
      </c>
      <c r="T69" s="620" t="s">
        <v>395</v>
      </c>
      <c r="U69" s="621" t="str">
        <f t="shared" si="7"/>
        <v> </v>
      </c>
      <c r="V69" s="598"/>
      <c r="W69" s="574">
        <f t="shared" si="8"/>
        <v>0.7605133333</v>
      </c>
      <c r="X69" s="598"/>
      <c r="Y69" s="574">
        <f t="shared" si="9"/>
        <v>0.6822424242</v>
      </c>
      <c r="Z69" s="604">
        <v>98797.0</v>
      </c>
      <c r="AA69" s="625" t="s">
        <v>395</v>
      </c>
      <c r="AB69" s="575" t="str">
        <f t="shared" si="10"/>
        <v/>
      </c>
      <c r="AC69" s="576">
        <f t="shared" si="11"/>
        <v>0.6507101914</v>
      </c>
      <c r="AD69" s="577">
        <v>0.02398231653</v>
      </c>
      <c r="AE69" s="572">
        <v>0.04044605967</v>
      </c>
      <c r="AF69" s="578">
        <v>0.006696842235</v>
      </c>
      <c r="AG69" s="132">
        <v>0.01669286199</v>
      </c>
      <c r="AH69" s="132">
        <v>0.055124832</v>
      </c>
      <c r="AI69" s="579">
        <v>0.01507896183</v>
      </c>
      <c r="AJ69" s="579">
        <v>0.01909396794</v>
      </c>
      <c r="AK69" s="580">
        <v>0.02973941705</v>
      </c>
      <c r="AL69" s="580">
        <v>0.03568421217</v>
      </c>
      <c r="AM69" s="581">
        <v>0.02919621034</v>
      </c>
      <c r="AN69" s="571" t="str">
        <f>IFERROR(
  AVERAGEIFS(
    'New LF Efficacy'!$J:$J,
    'New LF Efficacy'!$D:$D, $A69,
    'New LF Efficacy'!$F:$F,"DEC", 
    'New LF Efficacy'!$W:$W,"&lt;2016",
    'New LF Efficacy'!$AA:$AA,""),
  ""
)</f>
        <v/>
      </c>
      <c r="AO69" s="582">
        <f t="shared" si="12"/>
        <v>0.31225</v>
      </c>
      <c r="AP69" s="571" t="str">
        <f>IFERROR(
AVERAGEIFS(
'New LF Efficacy'!$J:$J,
'New LF Efficacy'!$D:$D,$A69,
'New LF Efficacy'!$F:$F,"Albendazole &amp; DEC",
'New LF Efficacy'!$W:$W,"&lt;2016",
'New LF Efficacy'!$AA:$AA,""),
"")</f>
        <v/>
      </c>
      <c r="AQ69" s="582">
        <f t="shared" si="13"/>
        <v>0.4</v>
      </c>
      <c r="AR69" s="571" t="str">
        <f>IFERROR(
AVERAGEIFS(
'New LF Efficacy'!$J:$J,
'New LF Efficacy'!$D:$D,$A69,
'New LF Efficacy'!$F:$F,"Albendazole &amp; Ivermectin", 
'New LF Efficacy'!$W:$W,"&lt;2016",
'New LF Efficacy'!$AA:$AA,""),"")</f>
        <v/>
      </c>
      <c r="AS69" s="582">
        <f t="shared" si="14"/>
        <v>0.2943125</v>
      </c>
      <c r="AT69" s="583" t="str">
        <f>IFERROR(AVERAGEIFS(
'Schist Efficacy'!$O:$O, 
'Schist Efficacy'!$C:$C,$A69, 
'Schist Efficacy'!$D:$D, "Praziquantel",
'Schist Efficacy'!$J:$J,"&lt;2016",
'Schist Efficacy'!$U:$U,""),
"")</f>
        <v/>
      </c>
      <c r="AU69" s="572">
        <f t="shared" si="15"/>
        <v>0.7206464759</v>
      </c>
      <c r="AV69" s="131" t="str">
        <f>IFERROR(AVERAGEIFS(
'STH Efficacy'!$AX:$AX, 
'STH Efficacy'!$AL:$AL, $A69, 
'STH Efficacy'!$AM:$AM, "Albendazole",
'STH Efficacy'!$AS:$AS,"&lt;2016",
'STH Efficacy'!$BP:$BP,""),
"")</f>
        <v/>
      </c>
      <c r="AW69" s="132">
        <f t="shared" si="16"/>
        <v>0.3816333333</v>
      </c>
      <c r="AX69" s="131" t="str">
        <f>IFERROR(AVERAGEIFS(
'STH Efficacy'!$AX:$AX, 
'STH Efficacy'!$AL:$AL, $A69, 
'STH Efficacy'!$AM:$AM, "Mebendazole",
'STH Efficacy'!$AS:$AS,"&lt;2016",
'STH Efficacy'!$BP:$BP,""),
"")</f>
        <v/>
      </c>
      <c r="AY69" s="132">
        <f t="shared" si="17"/>
        <v>0.4859375</v>
      </c>
      <c r="AZ69" s="131" t="str">
        <f>IFERROR(AVERAGEIFS(
'STH Efficacy'!$AX:$AX, 
'STH Efficacy'!$AL:$AL, $A69, 
'STH Efficacy'!$AM:$AM, "Albendazole &amp; Ivermectin",
'STH Efficacy'!$AS:$AS,"&lt;2016",
'STH Efficacy'!$BP:$BP,""),
"")</f>
        <v/>
      </c>
      <c r="BA69" s="303">
        <f t="shared" si="18"/>
        <v>0.47175</v>
      </c>
      <c r="BB69" s="584" t="str">
        <f>IFERROR(AVERAGEIFS(
'STH Efficacy'!$N:$N, 
'STH Efficacy'!$B:$B, $A69, 
'STH Efficacy'!$C:$C, "Albendazole",
'STH Efficacy'!$I:$I,"&lt;2016",
'STH Efficacy'!$AH:$AH,""),
"")</f>
        <v/>
      </c>
      <c r="BC69" s="579">
        <f t="shared" si="19"/>
        <v>0.8699166667</v>
      </c>
      <c r="BD69" s="584" t="str">
        <f>IFERROR(AVERAGEIFS(
'STH Efficacy'!$N:$N, 
'STH Efficacy'!$B:$B, $A69, 
'STH Efficacy'!$C:$C, "Mebendazole",
'STH Efficacy'!$I:$I,"&lt;2016",
'STH Efficacy'!$AH:$AH,""),
"")</f>
        <v/>
      </c>
      <c r="BE69" s="579">
        <f t="shared" si="20"/>
        <v>0.7092416667</v>
      </c>
      <c r="BF69" s="585" t="str">
        <f>IFERROR(AVERAGEIFS(
'STH Efficacy'!$CD:$CD, 
'STH Efficacy'!$BS:$BS, $A69, 
'STH Efficacy'!$BT:$BT, "Albendazole",
'STH Efficacy'!$BZ:$BZ,"&lt;2016",
'STH Efficacy'!$CU:$CU,""),
"")</f>
        <v/>
      </c>
      <c r="BG69" s="580">
        <f t="shared" si="21"/>
        <v>0.9066666667</v>
      </c>
      <c r="BH69" s="585" t="str">
        <f>IFERROR(AVERAGEIFS(
'STH Efficacy'!$CD:$CD, 
'STH Efficacy'!$BS:$BS, $A69, 
'STH Efficacy'!$BT:$BT, "Mebendazole",
'STH Efficacy'!$BZ:$BZ,"&lt;2016",
'STH Efficacy'!$CU:$CU,""),
"")</f>
        <v/>
      </c>
      <c r="BI69" s="580">
        <f t="shared" si="22"/>
        <v>0.8483333333</v>
      </c>
      <c r="BJ69" s="585" t="str">
        <f>IFERROR(AVERAGEIFS(
'STH Efficacy'!$CD:$CD, 
'STH Efficacy'!$BS:$BS, $A69, 
'STH Efficacy'!$BT:$BT, "Albendazole &amp; Ivermectin",
'STH Efficacy'!$BZ:$BZ,"&lt;2016",
'STH Efficacy'!$CU:$CU,""),
"")</f>
        <v/>
      </c>
      <c r="BK69" s="580">
        <f t="shared" si="23"/>
        <v>0.696</v>
      </c>
      <c r="BL69" s="575" t="str">
        <f>IFERROR(
  AVERAGEIFS(
    'NEW Onchocerciasis Efficacy'!$AO:$AO,
    'NEW Onchocerciasis Efficacy'!$C:$C,$A69,
    'NEW Onchocerciasis Efficacy'!$D:$D,"Ivermectin",
    'NEW Onchocerciasis Efficacy'!$AR:$AR,"&lt;2016",
    'NEW Onchocerciasis Efficacy'!$BG:$BG,"")
,"")</f>
        <v/>
      </c>
      <c r="BM69" s="586">
        <f t="shared" si="24"/>
        <v>0.8390421645</v>
      </c>
      <c r="BN69" s="587">
        <v>1.0</v>
      </c>
      <c r="BO69" s="588">
        <v>1.0</v>
      </c>
      <c r="BP69" s="589">
        <v>1.0</v>
      </c>
      <c r="BQ69" s="590">
        <f t="shared" si="25"/>
        <v>0</v>
      </c>
      <c r="BR69" s="560" t="str">
        <f t="shared" si="26"/>
        <v>1110</v>
      </c>
      <c r="BS69" s="560" t="str">
        <f t="shared" si="27"/>
        <v>MDA1+T2</v>
      </c>
      <c r="BT69" s="606" t="str">
        <f t="shared" si="28"/>
        <v>IVM+ALB</v>
      </c>
      <c r="BU69" s="560" t="str">
        <f t="shared" si="29"/>
        <v>PZQ</v>
      </c>
      <c r="BV69" s="560" t="str">
        <f t="shared" si="30"/>
        <v>lf+onch+schist </v>
      </c>
      <c r="BW69" s="150" t="str">
        <f t="shared" si="31"/>
        <v/>
      </c>
      <c r="BX69" s="150" t="str">
        <f t="shared" si="32"/>
        <v/>
      </c>
      <c r="BY69" s="151" t="str">
        <f t="shared" si="33"/>
        <v/>
      </c>
      <c r="BZ69" s="152" t="str">
        <f t="shared" si="34"/>
        <v/>
      </c>
      <c r="CA69" s="152" t="str">
        <f t="shared" si="35"/>
        <v/>
      </c>
      <c r="CB69" s="152" t="str">
        <f t="shared" si="36"/>
        <v/>
      </c>
      <c r="CC69" s="153" t="str">
        <f t="shared" si="37"/>
        <v/>
      </c>
      <c r="CD69" s="153" t="str">
        <f t="shared" si="38"/>
        <v/>
      </c>
      <c r="CE69" s="154" t="str">
        <f t="shared" si="39"/>
        <v/>
      </c>
      <c r="CF69" s="154" t="str">
        <f t="shared" si="40"/>
        <v/>
      </c>
      <c r="CG69" s="154" t="str">
        <f t="shared" si="41"/>
        <v/>
      </c>
      <c r="CH69" s="609">
        <f t="shared" si="42"/>
        <v>92.67371323</v>
      </c>
    </row>
    <row r="70">
      <c r="A70" s="559" t="s">
        <v>159</v>
      </c>
      <c r="B70" s="560" t="s">
        <v>92</v>
      </c>
      <c r="C70" s="619"/>
      <c r="D70" s="562">
        <v>117.6587282</v>
      </c>
      <c r="E70" s="563">
        <v>4016.69105309115</v>
      </c>
      <c r="F70" s="564">
        <v>0.006068316</v>
      </c>
      <c r="G70" s="564">
        <v>0.050630282</v>
      </c>
      <c r="H70" s="564">
        <v>0.172846734</v>
      </c>
      <c r="I70" s="565">
        <v>142.7798137</v>
      </c>
      <c r="J70" s="566">
        <v>393.223570485338</v>
      </c>
      <c r="K70" s="566">
        <v>1490.84747305265</v>
      </c>
      <c r="L70" s="567">
        <v>93.54810633</v>
      </c>
      <c r="M70" s="568">
        <v>12.9699888864459</v>
      </c>
      <c r="N70" s="568">
        <v>111.699373688515</v>
      </c>
      <c r="O70" s="569">
        <v>0.0</v>
      </c>
      <c r="P70" s="601">
        <v>6927.25167514</v>
      </c>
      <c r="Q70" s="618">
        <v>55525.0</v>
      </c>
      <c r="R70" s="603">
        <v>0.7606</v>
      </c>
      <c r="S70" s="116">
        <f t="shared" si="6"/>
        <v>0.7606</v>
      </c>
      <c r="T70" s="572">
        <v>0.6121</v>
      </c>
      <c r="U70" s="572">
        <f t="shared" si="7"/>
        <v>0.6121</v>
      </c>
      <c r="V70" s="598"/>
      <c r="W70" s="574">
        <f t="shared" si="8"/>
        <v>0.7605133333</v>
      </c>
      <c r="X70" s="598"/>
      <c r="Y70" s="574">
        <f t="shared" si="9"/>
        <v>0.6822424242</v>
      </c>
      <c r="Z70" s="308"/>
      <c r="AA70" s="308"/>
      <c r="AB70" s="575" t="str">
        <f t="shared" si="10"/>
        <v/>
      </c>
      <c r="AC70" s="576">
        <f t="shared" si="11"/>
        <v>0.6507101914</v>
      </c>
      <c r="AD70" s="577">
        <v>0.001218674836</v>
      </c>
      <c r="AE70" s="572">
        <v>0.05994602468</v>
      </c>
      <c r="AF70" s="578">
        <v>0.006399351582</v>
      </c>
      <c r="AG70" s="132">
        <v>0.01821676836</v>
      </c>
      <c r="AH70" s="132">
        <v>0.059803419</v>
      </c>
      <c r="AI70" s="579">
        <v>0.1040366976</v>
      </c>
      <c r="AJ70" s="579">
        <v>0.1310383755</v>
      </c>
      <c r="AK70" s="580">
        <v>0.01877243008</v>
      </c>
      <c r="AL70" s="580">
        <v>0.02246921113</v>
      </c>
      <c r="AM70" s="581">
        <v>0.0</v>
      </c>
      <c r="AN70" s="571" t="str">
        <f>IFERROR(
  AVERAGEIFS(
    'New LF Efficacy'!$J:$J,
    'New LF Efficacy'!$D:$D, $A70,
    'New LF Efficacy'!$F:$F,"DEC", 
    'New LF Efficacy'!$W:$W,"&lt;2016",
    'New LF Efficacy'!$AA:$AA,""),
  ""
)</f>
        <v/>
      </c>
      <c r="AO70" s="582">
        <f t="shared" si="12"/>
        <v>0.31225</v>
      </c>
      <c r="AP70" s="571" t="str">
        <f>IFERROR(
AVERAGEIFS(
'New LF Efficacy'!$J:$J,
'New LF Efficacy'!$D:$D,$A70,
'New LF Efficacy'!$F:$F,"Albendazole &amp; DEC",
'New LF Efficacy'!$W:$W,"&lt;2016",
'New LF Efficacy'!$AA:$AA,""),
"")</f>
        <v/>
      </c>
      <c r="AQ70" s="582">
        <f t="shared" si="13"/>
        <v>0.4</v>
      </c>
      <c r="AR70" s="571" t="str">
        <f>IFERROR(
AVERAGEIFS(
'New LF Efficacy'!$J:$J,
'New LF Efficacy'!$D:$D,$A70,
'New LF Efficacy'!$F:$F,"Albendazole &amp; Ivermectin", 
'New LF Efficacy'!$W:$W,"&lt;2016",
'New LF Efficacy'!$AA:$AA,""),"")</f>
        <v/>
      </c>
      <c r="AS70" s="582">
        <f t="shared" si="14"/>
        <v>0.2943125</v>
      </c>
      <c r="AT70" s="583" t="str">
        <f>IFERROR(AVERAGEIFS(
'Schist Efficacy'!$O:$O, 
'Schist Efficacy'!$C:$C,$A70, 
'Schist Efficacy'!$D:$D, "Praziquantel",
'Schist Efficacy'!$J:$J,"&lt;2016",
'Schist Efficacy'!$U:$U,""),
"")</f>
        <v/>
      </c>
      <c r="AU70" s="572">
        <f t="shared" si="15"/>
        <v>0.7206464759</v>
      </c>
      <c r="AV70" s="131" t="str">
        <f>IFERROR(AVERAGEIFS(
'STH Efficacy'!$AX:$AX, 
'STH Efficacy'!$AL:$AL, $A70, 
'STH Efficacy'!$AM:$AM, "Albendazole",
'STH Efficacy'!$AS:$AS,"&lt;2016",
'STH Efficacy'!$BP:$BP,""),
"")</f>
        <v/>
      </c>
      <c r="AW70" s="132">
        <f t="shared" si="16"/>
        <v>0.3816333333</v>
      </c>
      <c r="AX70" s="131" t="str">
        <f>IFERROR(AVERAGEIFS(
'STH Efficacy'!$AX:$AX, 
'STH Efficacy'!$AL:$AL, $A70, 
'STH Efficacy'!$AM:$AM, "Mebendazole",
'STH Efficacy'!$AS:$AS,"&lt;2016",
'STH Efficacy'!$BP:$BP,""),
"")</f>
        <v/>
      </c>
      <c r="AY70" s="132">
        <f t="shared" si="17"/>
        <v>0.4859375</v>
      </c>
      <c r="AZ70" s="131" t="str">
        <f>IFERROR(AVERAGEIFS(
'STH Efficacy'!$AX:$AX, 
'STH Efficacy'!$AL:$AL, $A70, 
'STH Efficacy'!$AM:$AM, "Albendazole &amp; Ivermectin",
'STH Efficacy'!$AS:$AS,"&lt;2016",
'STH Efficacy'!$BP:$BP,""),
"")</f>
        <v/>
      </c>
      <c r="BA70" s="303">
        <f t="shared" si="18"/>
        <v>0.47175</v>
      </c>
      <c r="BB70" s="584" t="str">
        <f>IFERROR(AVERAGEIFS(
'STH Efficacy'!$N:$N, 
'STH Efficacy'!$B:$B, $A70, 
'STH Efficacy'!$C:$C, "Albendazole",
'STH Efficacy'!$I:$I,"&lt;2016",
'STH Efficacy'!$AH:$AH,""),
"")</f>
        <v/>
      </c>
      <c r="BC70" s="579">
        <f t="shared" si="19"/>
        <v>0.8699166667</v>
      </c>
      <c r="BD70" s="584" t="str">
        <f>IFERROR(AVERAGEIFS(
'STH Efficacy'!$N:$N, 
'STH Efficacy'!$B:$B, $A70, 
'STH Efficacy'!$C:$C, "Mebendazole",
'STH Efficacy'!$I:$I,"&lt;2016",
'STH Efficacy'!$AH:$AH,""),
"")</f>
        <v/>
      </c>
      <c r="BE70" s="579">
        <f t="shared" si="20"/>
        <v>0.7092416667</v>
      </c>
      <c r="BF70" s="585" t="str">
        <f>IFERROR(AVERAGEIFS(
'STH Efficacy'!$CD:$CD, 
'STH Efficacy'!$BS:$BS, $A70, 
'STH Efficacy'!$BT:$BT, "Albendazole",
'STH Efficacy'!$BZ:$BZ,"&lt;2016",
'STH Efficacy'!$CU:$CU,""),
"")</f>
        <v/>
      </c>
      <c r="BG70" s="580">
        <f t="shared" si="21"/>
        <v>0.9066666667</v>
      </c>
      <c r="BH70" s="585" t="str">
        <f>IFERROR(AVERAGEIFS(
'STH Efficacy'!$CD:$CD, 
'STH Efficacy'!$BS:$BS, $A70, 
'STH Efficacy'!$BT:$BT, "Mebendazole",
'STH Efficacy'!$BZ:$BZ,"&lt;2016",
'STH Efficacy'!$CU:$CU,""),
"")</f>
        <v/>
      </c>
      <c r="BI70" s="580">
        <f t="shared" si="22"/>
        <v>0.8483333333</v>
      </c>
      <c r="BJ70" s="585" t="str">
        <f>IFERROR(AVERAGEIFS(
'STH Efficacy'!$CD:$CD, 
'STH Efficacy'!$BS:$BS, $A70, 
'STH Efficacy'!$BT:$BT, "Albendazole &amp; Ivermectin",
'STH Efficacy'!$BZ:$BZ,"&lt;2016",
'STH Efficacy'!$CU:$CU,""),
"")</f>
        <v/>
      </c>
      <c r="BK70" s="580">
        <f t="shared" si="23"/>
        <v>0.696</v>
      </c>
      <c r="BL70" s="575" t="str">
        <f>IFERROR(
  AVERAGEIFS(
    'NEW Onchocerciasis Efficacy'!$AO:$AO,
    'NEW Onchocerciasis Efficacy'!$C:$C,$A70,
    'NEW Onchocerciasis Efficacy'!$D:$D,"Ivermectin",
    'NEW Onchocerciasis Efficacy'!$AR:$AR,"&lt;2016",
    'NEW Onchocerciasis Efficacy'!$BG:$BG,"")
,"")</f>
        <v/>
      </c>
      <c r="BM70" s="586">
        <f t="shared" si="24"/>
        <v>0.8390421645</v>
      </c>
      <c r="BN70" s="587">
        <v>1.0</v>
      </c>
      <c r="BO70" s="588">
        <v>1.0</v>
      </c>
      <c r="BP70" s="589">
        <v>1.0</v>
      </c>
      <c r="BQ70" s="590">
        <f t="shared" si="25"/>
        <v>0</v>
      </c>
      <c r="BR70" s="560" t="str">
        <f t="shared" si="26"/>
        <v>1110</v>
      </c>
      <c r="BS70" s="560" t="str">
        <f t="shared" si="27"/>
        <v>MDA1+T2</v>
      </c>
      <c r="BT70" s="606" t="str">
        <f t="shared" si="28"/>
        <v>IVM+ALB</v>
      </c>
      <c r="BU70" s="560" t="str">
        <f t="shared" si="29"/>
        <v>PZQ</v>
      </c>
      <c r="BV70" s="560" t="str">
        <f t="shared" si="30"/>
        <v>lf+onch+schist </v>
      </c>
      <c r="BW70" s="150" t="str">
        <f t="shared" si="31"/>
        <v/>
      </c>
      <c r="BX70" s="607">
        <f t="shared" si="32"/>
        <v>33.93483985</v>
      </c>
      <c r="BY70" s="608">
        <f t="shared" si="33"/>
        <v>3170.187546</v>
      </c>
      <c r="BZ70" s="152" t="str">
        <f t="shared" si="34"/>
        <v/>
      </c>
      <c r="CA70" s="152" t="str">
        <f t="shared" si="35"/>
        <v/>
      </c>
      <c r="CB70" s="152" t="str">
        <f t="shared" si="36"/>
        <v/>
      </c>
      <c r="CC70" s="153" t="str">
        <f t="shared" si="37"/>
        <v/>
      </c>
      <c r="CD70" s="153" t="str">
        <f t="shared" si="38"/>
        <v/>
      </c>
      <c r="CE70" s="154" t="str">
        <f t="shared" si="39"/>
        <v/>
      </c>
      <c r="CF70" s="154" t="str">
        <f t="shared" si="40"/>
        <v/>
      </c>
      <c r="CG70" s="154" t="str">
        <f t="shared" si="41"/>
        <v/>
      </c>
      <c r="CH70" s="609">
        <f t="shared" si="42"/>
        <v>0</v>
      </c>
    </row>
    <row r="71">
      <c r="A71" s="559" t="s">
        <v>160</v>
      </c>
      <c r="B71" s="560" t="s">
        <v>90</v>
      </c>
      <c r="C71" s="561">
        <v>1315407.0</v>
      </c>
      <c r="D71" s="562">
        <v>0.0</v>
      </c>
      <c r="E71" s="563">
        <v>0.0</v>
      </c>
      <c r="F71" s="564">
        <v>0.0</v>
      </c>
      <c r="G71" s="564">
        <v>0.0</v>
      </c>
      <c r="H71" s="564">
        <v>0.0</v>
      </c>
      <c r="I71" s="565">
        <v>0.0</v>
      </c>
      <c r="J71" s="566">
        <v>0.0</v>
      </c>
      <c r="K71" s="566">
        <v>0.0</v>
      </c>
      <c r="L71" s="567">
        <v>0.006127021</v>
      </c>
      <c r="M71" s="568">
        <v>0.00458089473615321</v>
      </c>
      <c r="N71" s="568">
        <v>0.0269986684824748</v>
      </c>
      <c r="O71" s="569">
        <v>0.0</v>
      </c>
      <c r="P71" s="570"/>
      <c r="Q71" s="150"/>
      <c r="R71" s="571"/>
      <c r="S71" s="116">
        <f t="shared" si="6"/>
        <v>0.6648642857</v>
      </c>
      <c r="T71" s="151"/>
      <c r="U71" s="572">
        <f t="shared" si="7"/>
        <v>0.53016</v>
      </c>
      <c r="V71" s="598"/>
      <c r="W71" s="574" t="b">
        <f t="shared" si="8"/>
        <v>0</v>
      </c>
      <c r="X71" s="598"/>
      <c r="Y71" s="574">
        <f t="shared" si="9"/>
        <v>0.631675</v>
      </c>
      <c r="Z71" s="308"/>
      <c r="AA71" s="308"/>
      <c r="AB71" s="575" t="str">
        <f t="shared" si="10"/>
        <v/>
      </c>
      <c r="AC71" s="576">
        <f t="shared" si="11"/>
        <v>0.7192241206</v>
      </c>
      <c r="AD71" s="577">
        <v>0.0</v>
      </c>
      <c r="AE71" s="572">
        <v>0.0</v>
      </c>
      <c r="AF71" s="578">
        <v>0.0</v>
      </c>
      <c r="AG71" s="132">
        <v>0.0</v>
      </c>
      <c r="AH71" s="132">
        <v>0.0</v>
      </c>
      <c r="AI71" s="579">
        <v>0.0</v>
      </c>
      <c r="AJ71" s="579">
        <v>0.0</v>
      </c>
      <c r="AK71" s="580">
        <v>0.0</v>
      </c>
      <c r="AL71" s="580">
        <v>0.0</v>
      </c>
      <c r="AM71" s="581">
        <v>0.0</v>
      </c>
      <c r="AN71" s="571" t="str">
        <f>IFERROR(
  AVERAGEIFS(
    'New LF Efficacy'!$J:$J,
    'New LF Efficacy'!$D:$D, $A71,
    'New LF Efficacy'!$F:$F,"DEC", 
    'New LF Efficacy'!$W:$W,"&lt;2016",
    'New LF Efficacy'!$AA:$AA,""),
  ""
)</f>
        <v/>
      </c>
      <c r="AO71" s="582">
        <f t="shared" si="12"/>
        <v>0.3573520833</v>
      </c>
      <c r="AP71" s="571" t="str">
        <f>IFERROR(
AVERAGEIFS(
'New LF Efficacy'!$J:$J,
'New LF Efficacy'!$D:$D,$A71,
'New LF Efficacy'!$F:$F,"Albendazole &amp; DEC",
'New LF Efficacy'!$W:$W,"&lt;2016",
'New LF Efficacy'!$AA:$AA,""),
"")</f>
        <v/>
      </c>
      <c r="AQ71" s="582">
        <f t="shared" si="13"/>
        <v>0.5143541667</v>
      </c>
      <c r="AR71" s="571" t="str">
        <f>IFERROR(
AVERAGEIFS(
'New LF Efficacy'!$J:$J,
'New LF Efficacy'!$D:$D,$A71,
'New LF Efficacy'!$F:$F,"Albendazole &amp; Ivermectin", 
'New LF Efficacy'!$W:$W,"&lt;2016",
'New LF Efficacy'!$AA:$AA,""),"")</f>
        <v/>
      </c>
      <c r="AS71" s="582">
        <f t="shared" si="14"/>
        <v>0.37153125</v>
      </c>
      <c r="AT71" s="583" t="str">
        <f>IFERROR(AVERAGEIFS(
'Schist Efficacy'!$O:$O, 
'Schist Efficacy'!$C:$C,$A71, 
'Schist Efficacy'!$D:$D, "Praziquantel",
'Schist Efficacy'!$J:$J,"&lt;2016",
'Schist Efficacy'!$U:$U,""),
"")</f>
        <v/>
      </c>
      <c r="AU71" s="572">
        <f t="shared" si="15"/>
        <v>0.655</v>
      </c>
      <c r="AV71" s="131" t="str">
        <f>IFERROR(AVERAGEIFS(
'STH Efficacy'!$AX:$AX, 
'STH Efficacy'!$AL:$AL, $A71, 
'STH Efficacy'!$AM:$AM, "Albendazole",
'STH Efficacy'!$AS:$AS,"&lt;2016",
'STH Efficacy'!$BP:$BP,""),
"")</f>
        <v/>
      </c>
      <c r="AW71" s="132">
        <f t="shared" si="16"/>
        <v>0.4143846154</v>
      </c>
      <c r="AX71" s="131" t="str">
        <f>IFERROR(AVERAGEIFS(
'STH Efficacy'!$AX:$AX, 
'STH Efficacy'!$AL:$AL, $A71, 
'STH Efficacy'!$AM:$AM, "Mebendazole",
'STH Efficacy'!$AS:$AS,"&lt;2016",
'STH Efficacy'!$BP:$BP,""),
"")</f>
        <v/>
      </c>
      <c r="AY71" s="132">
        <f t="shared" si="17"/>
        <v>0.4691770833</v>
      </c>
      <c r="AZ71" s="131" t="str">
        <f>IFERROR(AVERAGEIFS(
'STH Efficacy'!$AX:$AX, 
'STH Efficacy'!$AL:$AL, $A71, 
'STH Efficacy'!$AM:$AM, "Albendazole &amp; Ivermectin",
'STH Efficacy'!$AS:$AS,"&lt;2016",
'STH Efficacy'!$BP:$BP,""),
"")</f>
        <v/>
      </c>
      <c r="BA71" s="303">
        <f t="shared" si="18"/>
        <v>0.597625</v>
      </c>
      <c r="BB71" s="584" t="str">
        <f>IFERROR(AVERAGEIFS(
'STH Efficacy'!$N:$N, 
'STH Efficacy'!$B:$B, $A71, 
'STH Efficacy'!$C:$C, "Albendazole",
'STH Efficacy'!$I:$I,"&lt;2016",
'STH Efficacy'!$AH:$AH,""),
"")</f>
        <v/>
      </c>
      <c r="BC71" s="579">
        <f t="shared" si="19"/>
        <v>0.7613712121</v>
      </c>
      <c r="BD71" s="584" t="str">
        <f>IFERROR(AVERAGEIFS(
'STH Efficacy'!$N:$N, 
'STH Efficacy'!$B:$B, $A71, 
'STH Efficacy'!$C:$C, "Mebendazole",
'STH Efficacy'!$I:$I,"&lt;2016",
'STH Efficacy'!$AH:$AH,""),
"")</f>
        <v/>
      </c>
      <c r="BE71" s="579">
        <f t="shared" si="20"/>
        <v>0.4362466667</v>
      </c>
      <c r="BF71" s="585" t="str">
        <f>IFERROR(AVERAGEIFS(
'STH Efficacy'!$CD:$CD, 
'STH Efficacy'!$BS:$BS, $A71, 
'STH Efficacy'!$BT:$BT, "Albendazole",
'STH Efficacy'!$BZ:$BZ,"&lt;2016",
'STH Efficacy'!$CU:$CU,""),
"")</f>
        <v/>
      </c>
      <c r="BG71" s="580">
        <f t="shared" si="21"/>
        <v>0.9216027778</v>
      </c>
      <c r="BH71" s="585" t="str">
        <f>IFERROR(AVERAGEIFS(
'STH Efficacy'!$CD:$CD, 
'STH Efficacy'!$BS:$BS, $A71, 
'STH Efficacy'!$BT:$BT, "Mebendazole",
'STH Efficacy'!$BZ:$BZ,"&lt;2016",
'STH Efficacy'!$CU:$CU,""),
"")</f>
        <v/>
      </c>
      <c r="BI71" s="580">
        <f t="shared" si="22"/>
        <v>0.8866041667</v>
      </c>
      <c r="BJ71" s="585" t="str">
        <f>IFERROR(AVERAGEIFS(
'STH Efficacy'!$CD:$CD, 
'STH Efficacy'!$BS:$BS, $A71, 
'STH Efficacy'!$BT:$BT, "Albendazole &amp; Ivermectin",
'STH Efficacy'!$BZ:$BZ,"&lt;2016",
'STH Efficacy'!$CU:$CU,""),
"")</f>
        <v/>
      </c>
      <c r="BK71" s="580">
        <f t="shared" si="23"/>
        <v>0.848</v>
      </c>
      <c r="BL71" s="575" t="str">
        <f>IFERROR(
  AVERAGEIFS(
    'NEW Onchocerciasis Efficacy'!$AO:$AO,
    'NEW Onchocerciasis Efficacy'!$C:$C,$A71,
    'NEW Onchocerciasis Efficacy'!$D:$D,"Ivermectin",
    'NEW Onchocerciasis Efficacy'!$AR:$AR,"&lt;2016",
    'NEW Onchocerciasis Efficacy'!$BG:$BG,"")
,"")</f>
        <v/>
      </c>
      <c r="BM71" s="586">
        <f t="shared" si="24"/>
        <v>0.7808368939</v>
      </c>
      <c r="BN71" s="587">
        <v>0.0</v>
      </c>
      <c r="BO71" s="588">
        <v>0.0</v>
      </c>
      <c r="BP71" s="589">
        <v>0.0</v>
      </c>
      <c r="BQ71" s="590">
        <f t="shared" si="25"/>
        <v>0</v>
      </c>
      <c r="BR71" s="560" t="str">
        <f t="shared" si="26"/>
        <v>0000</v>
      </c>
      <c r="BS71" s="560" t="str">
        <f t="shared" si="27"/>
        <v>no action required</v>
      </c>
      <c r="BT71" s="361" t="str">
        <f t="shared" si="28"/>
        <v/>
      </c>
      <c r="BU71" s="591" t="str">
        <f t="shared" si="29"/>
        <v/>
      </c>
      <c r="BV71" s="560" t="str">
        <f t="shared" si="30"/>
        <v>none</v>
      </c>
      <c r="BW71" s="150" t="str">
        <f t="shared" si="31"/>
        <v/>
      </c>
      <c r="BX71" s="150" t="str">
        <f t="shared" si="32"/>
        <v/>
      </c>
      <c r="BY71" s="151" t="str">
        <f t="shared" si="33"/>
        <v/>
      </c>
      <c r="BZ71" s="152" t="str">
        <f t="shared" si="34"/>
        <v/>
      </c>
      <c r="CA71" s="152" t="str">
        <f t="shared" si="35"/>
        <v/>
      </c>
      <c r="CB71" s="152" t="str">
        <f t="shared" si="36"/>
        <v/>
      </c>
      <c r="CC71" s="153" t="str">
        <f t="shared" si="37"/>
        <v/>
      </c>
      <c r="CD71" s="153" t="str">
        <f t="shared" si="38"/>
        <v/>
      </c>
      <c r="CE71" s="154" t="str">
        <f t="shared" si="39"/>
        <v/>
      </c>
      <c r="CF71" s="154" t="str">
        <f t="shared" si="40"/>
        <v/>
      </c>
      <c r="CG71" s="154" t="str">
        <f t="shared" si="41"/>
        <v/>
      </c>
      <c r="CH71" s="308" t="str">
        <f t="shared" si="42"/>
        <v/>
      </c>
    </row>
    <row r="72">
      <c r="A72" s="559" t="s">
        <v>161</v>
      </c>
      <c r="B72" s="560" t="s">
        <v>92</v>
      </c>
      <c r="C72" s="561">
        <v>9.9873033E7</v>
      </c>
      <c r="D72" s="562">
        <v>680.3024439</v>
      </c>
      <c r="E72" s="563">
        <v>178312.109534646</v>
      </c>
      <c r="F72" s="564">
        <v>193.6271463</v>
      </c>
      <c r="G72" s="564">
        <v>1256.098502</v>
      </c>
      <c r="H72" s="564">
        <v>5707.643571</v>
      </c>
      <c r="I72" s="565">
        <v>7493.049166</v>
      </c>
      <c r="J72" s="566">
        <v>23207.485144267</v>
      </c>
      <c r="K72" s="566">
        <v>85207.1201730009</v>
      </c>
      <c r="L72" s="567">
        <v>13256.25915</v>
      </c>
      <c r="M72" s="568">
        <v>4468.70451724346</v>
      </c>
      <c r="N72" s="568">
        <v>22356.8812451925</v>
      </c>
      <c r="O72" s="569">
        <v>40558.5</v>
      </c>
      <c r="P72" s="601" t="s">
        <v>399</v>
      </c>
      <c r="Q72" s="618">
        <v>4236666.0</v>
      </c>
      <c r="R72" s="603">
        <v>0.752</v>
      </c>
      <c r="S72" s="116">
        <f t="shared" si="6"/>
        <v>0.752</v>
      </c>
      <c r="T72" s="572">
        <v>0.473</v>
      </c>
      <c r="U72" s="572">
        <f t="shared" si="7"/>
        <v>0.473</v>
      </c>
      <c r="V72" s="573">
        <v>0.8398</v>
      </c>
      <c r="W72" s="574">
        <f t="shared" si="8"/>
        <v>0.8398</v>
      </c>
      <c r="X72" s="573">
        <v>0.7483</v>
      </c>
      <c r="Y72" s="574">
        <f t="shared" si="9"/>
        <v>0.7483</v>
      </c>
      <c r="Z72" s="604">
        <v>1.7506842E7</v>
      </c>
      <c r="AA72" s="604">
        <v>1.4173602E7</v>
      </c>
      <c r="AB72" s="576">
        <f t="shared" si="10"/>
        <v>0.8096035824</v>
      </c>
      <c r="AC72" s="576">
        <f t="shared" si="11"/>
        <v>0.8096035824</v>
      </c>
      <c r="AD72" s="577">
        <v>2.212487992E-4</v>
      </c>
      <c r="AE72" s="572">
        <v>0.2068918555</v>
      </c>
      <c r="AF72" s="578">
        <v>0.03457115283</v>
      </c>
      <c r="AG72" s="132">
        <v>0.02256416269</v>
      </c>
      <c r="AH72" s="132">
        <v>0.074655527</v>
      </c>
      <c r="AI72" s="579">
        <v>0.1704744214</v>
      </c>
      <c r="AJ72" s="579">
        <v>0.2206028044</v>
      </c>
      <c r="AK72" s="580">
        <v>0.03773162428</v>
      </c>
      <c r="AL72" s="580">
        <v>0.04576184292</v>
      </c>
      <c r="AM72" s="581">
        <v>0.005826087163</v>
      </c>
      <c r="AN72" s="571" t="str">
        <f>IFERROR(
  AVERAGEIFS(
    'New LF Efficacy'!$J:$J,
    'New LF Efficacy'!$D:$D, $A72,
    'New LF Efficacy'!$F:$F,"DEC", 
    'New LF Efficacy'!$W:$W,"&lt;2016",
    'New LF Efficacy'!$AA:$AA,""),
  ""
)</f>
        <v/>
      </c>
      <c r="AO72" s="582">
        <f t="shared" si="12"/>
        <v>0.31225</v>
      </c>
      <c r="AP72" s="571" t="str">
        <f>IFERROR(
AVERAGEIFS(
'New LF Efficacy'!$J:$J,
'New LF Efficacy'!$D:$D,$A72,
'New LF Efficacy'!$F:$F,"Albendazole &amp; DEC",
'New LF Efficacy'!$W:$W,"&lt;2016",
'New LF Efficacy'!$AA:$AA,""),
"")</f>
        <v/>
      </c>
      <c r="AQ72" s="582">
        <f t="shared" si="13"/>
        <v>0.4</v>
      </c>
      <c r="AR72" s="571" t="str">
        <f>IFERROR(
AVERAGEIFS(
'New LF Efficacy'!$J:$J,
'New LF Efficacy'!$D:$D,$A72,
'New LF Efficacy'!$F:$F,"Albendazole &amp; Ivermectin", 
'New LF Efficacy'!$W:$W,"&lt;2016",
'New LF Efficacy'!$AA:$AA,""),"")</f>
        <v/>
      </c>
      <c r="AS72" s="582">
        <f t="shared" si="14"/>
        <v>0.2943125</v>
      </c>
      <c r="AT72" s="583">
        <f>IFERROR(AVERAGEIFS(
'Schist Efficacy'!$O:$O, 
'Schist Efficacy'!$C:$C,$A72, 
'Schist Efficacy'!$D:$D, "Praziquantel",
'Schist Efficacy'!$J:$J,"&lt;2016",
'Schist Efficacy'!$U:$U,""),
"")</f>
        <v>0.94</v>
      </c>
      <c r="AU72" s="572">
        <f t="shared" si="15"/>
        <v>0.94</v>
      </c>
      <c r="AV72" s="131">
        <f>IFERROR(AVERAGEIFS(
'STH Efficacy'!$AX:$AX, 
'STH Efficacy'!$AL:$AL, $A72, 
'STH Efficacy'!$AM:$AM, "Albendazole",
'STH Efficacy'!$AS:$AS,"&lt;2016",
'STH Efficacy'!$BP:$BP,""),
"")</f>
        <v>0.171</v>
      </c>
      <c r="AW72" s="132">
        <f t="shared" si="16"/>
        <v>0.171</v>
      </c>
      <c r="AX72" s="131">
        <f>IFERROR(AVERAGEIFS(
'STH Efficacy'!$AX:$AX, 
'STH Efficacy'!$AL:$AL, $A72, 
'STH Efficacy'!$AM:$AM, "Mebendazole",
'STH Efficacy'!$AS:$AS,"&lt;2016",
'STH Efficacy'!$BP:$BP,""),
"")</f>
        <v>0.437</v>
      </c>
      <c r="AY72" s="132">
        <f t="shared" si="17"/>
        <v>0.437</v>
      </c>
      <c r="AZ72" s="131" t="str">
        <f>IFERROR(AVERAGEIFS(
'STH Efficacy'!$AX:$AX, 
'STH Efficacy'!$AL:$AL, $A72, 
'STH Efficacy'!$AM:$AM, "Albendazole &amp; Ivermectin",
'STH Efficacy'!$AS:$AS,"&lt;2016",
'STH Efficacy'!$BP:$BP,""),
"")</f>
        <v/>
      </c>
      <c r="BA72" s="303">
        <f t="shared" si="18"/>
        <v>0.47175</v>
      </c>
      <c r="BB72" s="584" t="str">
        <f>IFERROR(AVERAGEIFS(
'STH Efficacy'!$N:$N, 
'STH Efficacy'!$B:$B, $A72, 
'STH Efficacy'!$C:$C, "Albendazole",
'STH Efficacy'!$I:$I,"&lt;2016",
'STH Efficacy'!$AH:$AH,""),
"")</f>
        <v/>
      </c>
      <c r="BC72" s="579">
        <f t="shared" si="19"/>
        <v>0.8699166667</v>
      </c>
      <c r="BD72" s="584" t="str">
        <f>IFERROR(AVERAGEIFS(
'STH Efficacy'!$N:$N, 
'STH Efficacy'!$B:$B, $A72, 
'STH Efficacy'!$C:$C, "Mebendazole",
'STH Efficacy'!$I:$I,"&lt;2016",
'STH Efficacy'!$AH:$AH,""),
"")</f>
        <v/>
      </c>
      <c r="BE72" s="579">
        <f t="shared" si="20"/>
        <v>0.7092416667</v>
      </c>
      <c r="BF72" s="585">
        <f>IFERROR(AVERAGEIFS(
'STH Efficacy'!$CD:$CD, 
'STH Efficacy'!$BS:$BS, $A72, 
'STH Efficacy'!$BT:$BT, "Albendazole",
'STH Efficacy'!$BZ:$BZ,"&lt;2016",
'STH Efficacy'!$CU:$CU,""),
"")</f>
        <v>0.882</v>
      </c>
      <c r="BG72" s="580">
        <f t="shared" si="21"/>
        <v>0.882</v>
      </c>
      <c r="BH72" s="585">
        <f>IFERROR(AVERAGEIFS(
'STH Efficacy'!$CD:$CD, 
'STH Efficacy'!$BS:$BS, $A72, 
'STH Efficacy'!$BT:$BT, "Mebendazole",
'STH Efficacy'!$BZ:$BZ,"&lt;2016",
'STH Efficacy'!$CU:$CU,""),
"")</f>
        <v>0.9333333333</v>
      </c>
      <c r="BI72" s="580">
        <f t="shared" si="22"/>
        <v>0.9333333333</v>
      </c>
      <c r="BJ72" s="585" t="str">
        <f>IFERROR(AVERAGEIFS(
'STH Efficacy'!$CD:$CD, 
'STH Efficacy'!$BS:$BS, $A72, 
'STH Efficacy'!$BT:$BT, "Albendazole &amp; Ivermectin",
'STH Efficacy'!$BZ:$BZ,"&lt;2016",
'STH Efficacy'!$CU:$CU,""),
"")</f>
        <v/>
      </c>
      <c r="BK72" s="580">
        <f t="shared" si="23"/>
        <v>0.696</v>
      </c>
      <c r="BL72" s="575">
        <f>IFERROR(
  AVERAGEIFS(
    'NEW Onchocerciasis Efficacy'!$AO:$AO,
    'NEW Onchocerciasis Efficacy'!$C:$C,$A72,
    'NEW Onchocerciasis Efficacy'!$D:$D,"Ivermectin",
    'NEW Onchocerciasis Efficacy'!$AR:$AR,"&lt;2016",
    'NEW Onchocerciasis Efficacy'!$BG:$BG,"")
,"")</f>
        <v>0.81</v>
      </c>
      <c r="BM72" s="586">
        <f t="shared" si="24"/>
        <v>0.81</v>
      </c>
      <c r="BN72" s="587">
        <v>1.0</v>
      </c>
      <c r="BO72" s="588">
        <v>1.0</v>
      </c>
      <c r="BP72" s="589">
        <v>1.0</v>
      </c>
      <c r="BQ72" s="590">
        <f t="shared" si="25"/>
        <v>0</v>
      </c>
      <c r="BR72" s="560" t="str">
        <f t="shared" si="26"/>
        <v>1110</v>
      </c>
      <c r="BS72" s="560" t="str">
        <f t="shared" si="27"/>
        <v>MDA1+T2</v>
      </c>
      <c r="BT72" s="606" t="str">
        <f t="shared" si="28"/>
        <v>IVM+ALB</v>
      </c>
      <c r="BU72" s="560" t="str">
        <f t="shared" si="29"/>
        <v>PZQ</v>
      </c>
      <c r="BV72" s="560" t="str">
        <f t="shared" si="30"/>
        <v>lf+onch+schist </v>
      </c>
      <c r="BW72" s="150" t="str">
        <f t="shared" si="31"/>
        <v/>
      </c>
      <c r="BX72" s="607">
        <f t="shared" si="32"/>
        <v>193.3620459</v>
      </c>
      <c r="BY72" s="608">
        <f t="shared" si="33"/>
        <v>142751.1436</v>
      </c>
      <c r="BZ72" s="152" t="str">
        <f t="shared" si="34"/>
        <v/>
      </c>
      <c r="CA72" s="152" t="str">
        <f t="shared" si="35"/>
        <v/>
      </c>
      <c r="CB72" s="152" t="str">
        <f t="shared" si="36"/>
        <v/>
      </c>
      <c r="CC72" s="153" t="str">
        <f t="shared" si="37"/>
        <v/>
      </c>
      <c r="CD72" s="153" t="str">
        <f t="shared" si="38"/>
        <v/>
      </c>
      <c r="CE72" s="154" t="str">
        <f t="shared" si="39"/>
        <v/>
      </c>
      <c r="CF72" s="154" t="str">
        <f t="shared" si="40"/>
        <v/>
      </c>
      <c r="CG72" s="154" t="str">
        <f t="shared" si="41"/>
        <v/>
      </c>
      <c r="CH72" s="609">
        <f t="shared" si="42"/>
        <v>2575.612857</v>
      </c>
    </row>
    <row r="73">
      <c r="A73" s="559" t="s">
        <v>162</v>
      </c>
      <c r="B73" s="560" t="s">
        <v>94</v>
      </c>
      <c r="C73" s="561">
        <v>892149.0</v>
      </c>
      <c r="D73" s="562">
        <v>216.0001637</v>
      </c>
      <c r="E73" s="563">
        <v>0.0</v>
      </c>
      <c r="F73" s="564">
        <v>4.23457235</v>
      </c>
      <c r="G73" s="564">
        <v>35.3923577</v>
      </c>
      <c r="H73" s="564">
        <v>279.4092288</v>
      </c>
      <c r="I73" s="565">
        <v>2.446767489</v>
      </c>
      <c r="J73" s="566">
        <v>10.1030800690988</v>
      </c>
      <c r="K73" s="566">
        <v>58.2996869947161</v>
      </c>
      <c r="L73" s="567">
        <v>13.96139068</v>
      </c>
      <c r="M73" s="568">
        <v>16.4371911017439</v>
      </c>
      <c r="N73" s="568">
        <v>65.4627005315522</v>
      </c>
      <c r="O73" s="569">
        <v>0.0</v>
      </c>
      <c r="P73" s="633">
        <v>3170.75348616</v>
      </c>
      <c r="Q73" s="618">
        <v>68072.0</v>
      </c>
      <c r="R73" s="603">
        <v>0.8632</v>
      </c>
      <c r="S73" s="116">
        <f t="shared" si="6"/>
        <v>0.8632</v>
      </c>
      <c r="T73" s="151"/>
      <c r="U73" s="572">
        <f t="shared" si="7"/>
        <v>0.7834666667</v>
      </c>
      <c r="V73" s="573">
        <v>0.0702</v>
      </c>
      <c r="W73" s="574">
        <f t="shared" si="8"/>
        <v>0.0702</v>
      </c>
      <c r="X73" s="573">
        <v>0.0768</v>
      </c>
      <c r="Y73" s="574">
        <f t="shared" si="9"/>
        <v>0.0768</v>
      </c>
      <c r="Z73" s="308"/>
      <c r="AA73" s="308"/>
      <c r="AB73" s="575" t="str">
        <f t="shared" si="10"/>
        <v/>
      </c>
      <c r="AC73" s="576">
        <f t="shared" si="11"/>
        <v>0.7192241206</v>
      </c>
      <c r="AD73" s="577">
        <v>0.003614569057</v>
      </c>
      <c r="AE73" s="572">
        <v>0.0</v>
      </c>
      <c r="AF73" s="578">
        <v>0.0</v>
      </c>
      <c r="AG73" s="132">
        <v>0.03162770187</v>
      </c>
      <c r="AH73" s="132">
        <v>0.103040292</v>
      </c>
      <c r="AI73" s="579">
        <v>0.01109561486</v>
      </c>
      <c r="AJ73" s="579">
        <v>0.01389022515</v>
      </c>
      <c r="AK73" s="580">
        <v>0.04474758997</v>
      </c>
      <c r="AL73" s="580">
        <v>0.05326438804</v>
      </c>
      <c r="AM73" s="581">
        <v>0.0</v>
      </c>
      <c r="AN73" s="571" t="str">
        <f>IFERROR(
  AVERAGEIFS(
    'New LF Efficacy'!$J:$J,
    'New LF Efficacy'!$D:$D, $A73,
    'New LF Efficacy'!$F:$F,"DEC", 
    'New LF Efficacy'!$W:$W,"&lt;2016",
    'New LF Efficacy'!$AA:$AA,""),
  ""
)</f>
        <v/>
      </c>
      <c r="AO73" s="582">
        <f t="shared" si="12"/>
        <v>0.38</v>
      </c>
      <c r="AP73" s="571" t="str">
        <f>IFERROR(
AVERAGEIFS(
'New LF Efficacy'!$J:$J,
'New LF Efficacy'!$D:$D,$A73,
'New LF Efficacy'!$F:$F,"Albendazole &amp; DEC",
'New LF Efficacy'!$W:$W,"&lt;2016",
'New LF Efficacy'!$AA:$AA,""),
"")</f>
        <v/>
      </c>
      <c r="AQ73" s="582">
        <f t="shared" si="13"/>
        <v>0.662</v>
      </c>
      <c r="AR73" s="571" t="str">
        <f>IFERROR(
AVERAGEIFS(
'New LF Efficacy'!$J:$J,
'New LF Efficacy'!$D:$D,$A73,
'New LF Efficacy'!$F:$F,"Albendazole &amp; Ivermectin", 
'New LF Efficacy'!$W:$W,"&lt;2016",
'New LF Efficacy'!$AA:$AA,""),"")</f>
        <v/>
      </c>
      <c r="AS73" s="582">
        <f t="shared" si="14"/>
        <v>0.37153125</v>
      </c>
      <c r="AT73" s="583" t="str">
        <f>IFERROR(AVERAGEIFS(
'Schist Efficacy'!$O:$O, 
'Schist Efficacy'!$C:$C,$A73, 
'Schist Efficacy'!$D:$D, "Praziquantel",
'Schist Efficacy'!$J:$J,"&lt;2016",
'Schist Efficacy'!$U:$U,""),
"")</f>
        <v/>
      </c>
      <c r="AU73" s="572">
        <f t="shared" si="15"/>
        <v>0.9475</v>
      </c>
      <c r="AV73" s="131" t="str">
        <f>IFERROR(AVERAGEIFS(
'STH Efficacy'!$AX:$AX, 
'STH Efficacy'!$AL:$AL, $A73, 
'STH Efficacy'!$AM:$AM, "Albendazole",
'STH Efficacy'!$AS:$AS,"&lt;2016",
'STH Efficacy'!$BP:$BP,""),
"")</f>
        <v/>
      </c>
      <c r="AW73" s="132">
        <f t="shared" si="16"/>
        <v>0.3571666667</v>
      </c>
      <c r="AX73" s="131" t="str">
        <f>IFERROR(AVERAGEIFS(
'STH Efficacy'!$AX:$AX, 
'STH Efficacy'!$AL:$AL, $A73, 
'STH Efficacy'!$AM:$AM, "Mebendazole",
'STH Efficacy'!$AS:$AS,"&lt;2016",
'STH Efficacy'!$BP:$BP,""),
"")</f>
        <v/>
      </c>
      <c r="AY73" s="132">
        <f t="shared" si="17"/>
        <v>0.4155</v>
      </c>
      <c r="AZ73" s="131" t="str">
        <f>IFERROR(AVERAGEIFS(
'STH Efficacy'!$AX:$AX, 
'STH Efficacy'!$AL:$AL, $A73, 
'STH Efficacy'!$AM:$AM, "Albendazole &amp; Ivermectin",
'STH Efficacy'!$AS:$AS,"&lt;2016",
'STH Efficacy'!$BP:$BP,""),
"")</f>
        <v/>
      </c>
      <c r="BA73" s="303">
        <f t="shared" si="18"/>
        <v>0.651</v>
      </c>
      <c r="BB73" s="584" t="str">
        <f>IFERROR(AVERAGEIFS(
'STH Efficacy'!$N:$N, 
'STH Efficacy'!$B:$B, $A73, 
'STH Efficacy'!$C:$C, "Albendazole",
'STH Efficacy'!$I:$I,"&lt;2016",
'STH Efficacy'!$AH:$AH,""),
"")</f>
        <v/>
      </c>
      <c r="BC73" s="579">
        <f t="shared" si="19"/>
        <v>0.5769166667</v>
      </c>
      <c r="BD73" s="584" t="str">
        <f>IFERROR(AVERAGEIFS(
'STH Efficacy'!$N:$N, 
'STH Efficacy'!$B:$B, $A73, 
'STH Efficacy'!$C:$C, "Mebendazole",
'STH Efficacy'!$I:$I,"&lt;2016",
'STH Efficacy'!$AH:$AH,""),
"")</f>
        <v/>
      </c>
      <c r="BE73" s="579">
        <f t="shared" si="20"/>
        <v>0.3145</v>
      </c>
      <c r="BF73" s="585" t="str">
        <f>IFERROR(AVERAGEIFS(
'STH Efficacy'!$CD:$CD, 
'STH Efficacy'!$BS:$BS, $A73, 
'STH Efficacy'!$BT:$BT, "Albendazole",
'STH Efficacy'!$BZ:$BZ,"&lt;2016",
'STH Efficacy'!$CU:$CU,""),
"")</f>
        <v/>
      </c>
      <c r="BG73" s="580">
        <f t="shared" si="21"/>
        <v>0.96925</v>
      </c>
      <c r="BH73" s="585" t="str">
        <f>IFERROR(AVERAGEIFS(
'STH Efficacy'!$CD:$CD, 
'STH Efficacy'!$BS:$BS, $A73, 
'STH Efficacy'!$BT:$BT, "Mebendazole",
'STH Efficacy'!$BZ:$BZ,"&lt;2016",
'STH Efficacy'!$CU:$CU,""),
"")</f>
        <v/>
      </c>
      <c r="BI73" s="580">
        <f t="shared" si="22"/>
        <v>0.9305</v>
      </c>
      <c r="BJ73" s="585" t="str">
        <f>IFERROR(AVERAGEIFS(
'STH Efficacy'!$CD:$CD, 
'STH Efficacy'!$BS:$BS, $A73, 
'STH Efficacy'!$BT:$BT, "Albendazole &amp; Ivermectin",
'STH Efficacy'!$BZ:$BZ,"&lt;2016",
'STH Efficacy'!$CU:$CU,""),
"")</f>
        <v/>
      </c>
      <c r="BK73" s="580">
        <f t="shared" si="23"/>
        <v>0.848</v>
      </c>
      <c r="BL73" s="575" t="str">
        <f>IFERROR(
  AVERAGEIFS(
    'NEW Onchocerciasis Efficacy'!$AO:$AO,
    'NEW Onchocerciasis Efficacy'!$C:$C,$A73,
    'NEW Onchocerciasis Efficacy'!$D:$D,"Ivermectin",
    'NEW Onchocerciasis Efficacy'!$AR:$AR,"&lt;2016",
    'NEW Onchocerciasis Efficacy'!$BG:$BG,"")
,"")</f>
        <v/>
      </c>
      <c r="BM73" s="586">
        <f t="shared" si="24"/>
        <v>0.7808368939</v>
      </c>
      <c r="BN73" s="587">
        <v>1.0</v>
      </c>
      <c r="BO73" s="588">
        <v>0.0</v>
      </c>
      <c r="BP73" s="589">
        <v>0.0</v>
      </c>
      <c r="BQ73" s="590">
        <f t="shared" si="25"/>
        <v>0</v>
      </c>
      <c r="BR73" s="560" t="str">
        <f t="shared" si="26"/>
        <v>1000</v>
      </c>
      <c r="BS73" s="560" t="str">
        <f t="shared" si="27"/>
        <v>MDA1/2</v>
      </c>
      <c r="BT73" s="606" t="str">
        <f t="shared" si="28"/>
        <v>IVM+ALB or DEC+ALB</v>
      </c>
      <c r="BU73" s="591" t="str">
        <f t="shared" si="29"/>
        <v/>
      </c>
      <c r="BV73" s="560" t="str">
        <f t="shared" si="30"/>
        <v>lf only</v>
      </c>
      <c r="BW73" s="607">
        <f t="shared" si="31"/>
        <v>288.0117769</v>
      </c>
      <c r="BX73" s="607">
        <f t="shared" si="32"/>
        <v>101.9771659</v>
      </c>
      <c r="BY73" s="151" t="str">
        <f t="shared" si="33"/>
        <v/>
      </c>
      <c r="BZ73" s="152" t="str">
        <f t="shared" si="34"/>
        <v/>
      </c>
      <c r="CA73" s="152" t="str">
        <f t="shared" si="35"/>
        <v/>
      </c>
      <c r="CB73" s="152" t="str">
        <f t="shared" si="36"/>
        <v/>
      </c>
      <c r="CC73" s="153" t="str">
        <f t="shared" si="37"/>
        <v/>
      </c>
      <c r="CD73" s="153" t="str">
        <f t="shared" si="38"/>
        <v/>
      </c>
      <c r="CE73" s="154" t="str">
        <f t="shared" si="39"/>
        <v/>
      </c>
      <c r="CF73" s="154" t="str">
        <f t="shared" si="40"/>
        <v/>
      </c>
      <c r="CG73" s="154" t="str">
        <f t="shared" si="41"/>
        <v/>
      </c>
      <c r="CH73" s="308" t="str">
        <f t="shared" si="42"/>
        <v/>
      </c>
    </row>
    <row r="74">
      <c r="A74" s="559" t="s">
        <v>163</v>
      </c>
      <c r="B74" s="560" t="s">
        <v>90</v>
      </c>
      <c r="C74" s="561">
        <v>5479531.0</v>
      </c>
      <c r="D74" s="562">
        <v>0.0</v>
      </c>
      <c r="E74" s="563">
        <v>0.0</v>
      </c>
      <c r="F74" s="564">
        <v>0.0</v>
      </c>
      <c r="G74" s="564">
        <v>0.0</v>
      </c>
      <c r="H74" s="564">
        <v>0.0</v>
      </c>
      <c r="I74" s="565">
        <v>0.0</v>
      </c>
      <c r="J74" s="566">
        <v>0.0</v>
      </c>
      <c r="K74" s="566">
        <v>0.0</v>
      </c>
      <c r="L74" s="567">
        <v>0.0</v>
      </c>
      <c r="M74" s="568">
        <v>0.0</v>
      </c>
      <c r="N74" s="568">
        <v>0.0</v>
      </c>
      <c r="O74" s="569">
        <v>0.0</v>
      </c>
      <c r="P74" s="570"/>
      <c r="Q74" s="150"/>
      <c r="R74" s="571"/>
      <c r="S74" s="116">
        <f t="shared" si="6"/>
        <v>0.6648642857</v>
      </c>
      <c r="T74" s="151"/>
      <c r="U74" s="572">
        <f t="shared" si="7"/>
        <v>0.53016</v>
      </c>
      <c r="V74" s="598"/>
      <c r="W74" s="574" t="b">
        <f t="shared" si="8"/>
        <v>0</v>
      </c>
      <c r="X74" s="598"/>
      <c r="Y74" s="574">
        <f t="shared" si="9"/>
        <v>0.631675</v>
      </c>
      <c r="Z74" s="308"/>
      <c r="AA74" s="308"/>
      <c r="AB74" s="575" t="str">
        <f t="shared" si="10"/>
        <v/>
      </c>
      <c r="AC74" s="576">
        <f t="shared" si="11"/>
        <v>0.7192241206</v>
      </c>
      <c r="AD74" s="577">
        <v>0.0</v>
      </c>
      <c r="AE74" s="572">
        <v>0.0</v>
      </c>
      <c r="AF74" s="578">
        <v>0.0</v>
      </c>
      <c r="AG74" s="132">
        <v>0.0</v>
      </c>
      <c r="AH74" s="132">
        <v>0.0</v>
      </c>
      <c r="AI74" s="579">
        <v>0.0</v>
      </c>
      <c r="AJ74" s="579">
        <v>0.0</v>
      </c>
      <c r="AK74" s="580">
        <v>0.0</v>
      </c>
      <c r="AL74" s="580">
        <v>0.0</v>
      </c>
      <c r="AM74" s="581">
        <v>0.0</v>
      </c>
      <c r="AN74" s="571" t="str">
        <f>IFERROR(
  AVERAGEIFS(
    'New LF Efficacy'!$J:$J,
    'New LF Efficacy'!$D:$D, $A74,
    'New LF Efficacy'!$F:$F,"DEC", 
    'New LF Efficacy'!$W:$W,"&lt;2016",
    'New LF Efficacy'!$AA:$AA,""),
  ""
)</f>
        <v/>
      </c>
      <c r="AO74" s="582">
        <f t="shared" si="12"/>
        <v>0.3573520833</v>
      </c>
      <c r="AP74" s="571" t="str">
        <f>IFERROR(
AVERAGEIFS(
'New LF Efficacy'!$J:$J,
'New LF Efficacy'!$D:$D,$A74,
'New LF Efficacy'!$F:$F,"Albendazole &amp; DEC",
'New LF Efficacy'!$W:$W,"&lt;2016",
'New LF Efficacy'!$AA:$AA,""),
"")</f>
        <v/>
      </c>
      <c r="AQ74" s="582">
        <f t="shared" si="13"/>
        <v>0.5143541667</v>
      </c>
      <c r="AR74" s="571" t="str">
        <f>IFERROR(
AVERAGEIFS(
'New LF Efficacy'!$J:$J,
'New LF Efficacy'!$D:$D,$A74,
'New LF Efficacy'!$F:$F,"Albendazole &amp; Ivermectin", 
'New LF Efficacy'!$W:$W,"&lt;2016",
'New LF Efficacy'!$AA:$AA,""),"")</f>
        <v/>
      </c>
      <c r="AS74" s="582">
        <f t="shared" si="14"/>
        <v>0.37153125</v>
      </c>
      <c r="AT74" s="583" t="str">
        <f>IFERROR(AVERAGEIFS(
'Schist Efficacy'!$O:$O, 
'Schist Efficacy'!$C:$C,$A74, 
'Schist Efficacy'!$D:$D, "Praziquantel",
'Schist Efficacy'!$J:$J,"&lt;2016",
'Schist Efficacy'!$U:$U,""),
"")</f>
        <v/>
      </c>
      <c r="AU74" s="572">
        <f t="shared" si="15"/>
        <v>0.655</v>
      </c>
      <c r="AV74" s="131" t="str">
        <f>IFERROR(AVERAGEIFS(
'STH Efficacy'!$AX:$AX, 
'STH Efficacy'!$AL:$AL, $A74, 
'STH Efficacy'!$AM:$AM, "Albendazole",
'STH Efficacy'!$AS:$AS,"&lt;2016",
'STH Efficacy'!$BP:$BP,""),
"")</f>
        <v/>
      </c>
      <c r="AW74" s="132">
        <f t="shared" si="16"/>
        <v>0.4143846154</v>
      </c>
      <c r="AX74" s="131" t="str">
        <f>IFERROR(AVERAGEIFS(
'STH Efficacy'!$AX:$AX, 
'STH Efficacy'!$AL:$AL, $A74, 
'STH Efficacy'!$AM:$AM, "Mebendazole",
'STH Efficacy'!$AS:$AS,"&lt;2016",
'STH Efficacy'!$BP:$BP,""),
"")</f>
        <v/>
      </c>
      <c r="AY74" s="132">
        <f t="shared" si="17"/>
        <v>0.4691770833</v>
      </c>
      <c r="AZ74" s="131" t="str">
        <f>IFERROR(AVERAGEIFS(
'STH Efficacy'!$AX:$AX, 
'STH Efficacy'!$AL:$AL, $A74, 
'STH Efficacy'!$AM:$AM, "Albendazole &amp; Ivermectin",
'STH Efficacy'!$AS:$AS,"&lt;2016",
'STH Efficacy'!$BP:$BP,""),
"")</f>
        <v/>
      </c>
      <c r="BA74" s="303">
        <f t="shared" si="18"/>
        <v>0.597625</v>
      </c>
      <c r="BB74" s="584" t="str">
        <f>IFERROR(AVERAGEIFS(
'STH Efficacy'!$N:$N, 
'STH Efficacy'!$B:$B, $A74, 
'STH Efficacy'!$C:$C, "Albendazole",
'STH Efficacy'!$I:$I,"&lt;2016",
'STH Efficacy'!$AH:$AH,""),
"")</f>
        <v/>
      </c>
      <c r="BC74" s="579">
        <f t="shared" si="19"/>
        <v>0.7613712121</v>
      </c>
      <c r="BD74" s="584" t="str">
        <f>IFERROR(AVERAGEIFS(
'STH Efficacy'!$N:$N, 
'STH Efficacy'!$B:$B, $A74, 
'STH Efficacy'!$C:$C, "Mebendazole",
'STH Efficacy'!$I:$I,"&lt;2016",
'STH Efficacy'!$AH:$AH,""),
"")</f>
        <v/>
      </c>
      <c r="BE74" s="579">
        <f t="shared" si="20"/>
        <v>0.4362466667</v>
      </c>
      <c r="BF74" s="585" t="str">
        <f>IFERROR(AVERAGEIFS(
'STH Efficacy'!$CD:$CD, 
'STH Efficacy'!$BS:$BS, $A74, 
'STH Efficacy'!$BT:$BT, "Albendazole",
'STH Efficacy'!$BZ:$BZ,"&lt;2016",
'STH Efficacy'!$CU:$CU,""),
"")</f>
        <v/>
      </c>
      <c r="BG74" s="580">
        <f t="shared" si="21"/>
        <v>0.9216027778</v>
      </c>
      <c r="BH74" s="585" t="str">
        <f>IFERROR(AVERAGEIFS(
'STH Efficacy'!$CD:$CD, 
'STH Efficacy'!$BS:$BS, $A74, 
'STH Efficacy'!$BT:$BT, "Mebendazole",
'STH Efficacy'!$BZ:$BZ,"&lt;2016",
'STH Efficacy'!$CU:$CU,""),
"")</f>
        <v/>
      </c>
      <c r="BI74" s="580">
        <f t="shared" si="22"/>
        <v>0.8866041667</v>
      </c>
      <c r="BJ74" s="585" t="str">
        <f>IFERROR(AVERAGEIFS(
'STH Efficacy'!$CD:$CD, 
'STH Efficacy'!$BS:$BS, $A74, 
'STH Efficacy'!$BT:$BT, "Albendazole &amp; Ivermectin",
'STH Efficacy'!$BZ:$BZ,"&lt;2016",
'STH Efficacy'!$CU:$CU,""),
"")</f>
        <v/>
      </c>
      <c r="BK74" s="580">
        <f t="shared" si="23"/>
        <v>0.848</v>
      </c>
      <c r="BL74" s="575" t="str">
        <f>IFERROR(
  AVERAGEIFS(
    'NEW Onchocerciasis Efficacy'!$AO:$AO,
    'NEW Onchocerciasis Efficacy'!$C:$C,$A74,
    'NEW Onchocerciasis Efficacy'!$D:$D,"Ivermectin",
    'NEW Onchocerciasis Efficacy'!$AR:$AR,"&lt;2016",
    'NEW Onchocerciasis Efficacy'!$BG:$BG,"")
,"")</f>
        <v/>
      </c>
      <c r="BM74" s="586">
        <f t="shared" si="24"/>
        <v>0.7808368939</v>
      </c>
      <c r="BN74" s="587">
        <v>0.0</v>
      </c>
      <c r="BO74" s="588">
        <v>0.0</v>
      </c>
      <c r="BP74" s="589">
        <v>0.0</v>
      </c>
      <c r="BQ74" s="590">
        <f t="shared" si="25"/>
        <v>0</v>
      </c>
      <c r="BR74" s="560" t="str">
        <f t="shared" si="26"/>
        <v>0000</v>
      </c>
      <c r="BS74" s="560" t="str">
        <f t="shared" si="27"/>
        <v>no action required</v>
      </c>
      <c r="BT74" s="361" t="str">
        <f t="shared" si="28"/>
        <v/>
      </c>
      <c r="BU74" s="591" t="str">
        <f t="shared" si="29"/>
        <v/>
      </c>
      <c r="BV74" s="560" t="str">
        <f t="shared" si="30"/>
        <v>none</v>
      </c>
      <c r="BW74" s="150" t="str">
        <f t="shared" si="31"/>
        <v/>
      </c>
      <c r="BX74" s="150" t="str">
        <f t="shared" si="32"/>
        <v/>
      </c>
      <c r="BY74" s="151" t="str">
        <f t="shared" si="33"/>
        <v/>
      </c>
      <c r="BZ74" s="152" t="str">
        <f t="shared" si="34"/>
        <v/>
      </c>
      <c r="CA74" s="152" t="str">
        <f t="shared" si="35"/>
        <v/>
      </c>
      <c r="CB74" s="152" t="str">
        <f t="shared" si="36"/>
        <v/>
      </c>
      <c r="CC74" s="153" t="str">
        <f t="shared" si="37"/>
        <v/>
      </c>
      <c r="CD74" s="153" t="str">
        <f t="shared" si="38"/>
        <v/>
      </c>
      <c r="CE74" s="154" t="str">
        <f t="shared" si="39"/>
        <v/>
      </c>
      <c r="CF74" s="154" t="str">
        <f t="shared" si="40"/>
        <v/>
      </c>
      <c r="CG74" s="154" t="str">
        <f t="shared" si="41"/>
        <v/>
      </c>
      <c r="CH74" s="308" t="str">
        <f t="shared" si="42"/>
        <v/>
      </c>
    </row>
    <row r="75">
      <c r="A75" s="559" t="s">
        <v>164</v>
      </c>
      <c r="B75" s="560" t="s">
        <v>90</v>
      </c>
      <c r="C75" s="561">
        <v>6.6624068E7</v>
      </c>
      <c r="D75" s="562">
        <v>0.0</v>
      </c>
      <c r="E75" s="563">
        <v>0.0</v>
      </c>
      <c r="F75" s="564">
        <v>0.0</v>
      </c>
      <c r="G75" s="564">
        <v>0.0</v>
      </c>
      <c r="H75" s="564">
        <v>0.0</v>
      </c>
      <c r="I75" s="565">
        <v>0.0</v>
      </c>
      <c r="J75" s="566">
        <v>0.0</v>
      </c>
      <c r="K75" s="566">
        <v>0.0</v>
      </c>
      <c r="L75" s="567">
        <v>0.0</v>
      </c>
      <c r="M75" s="568">
        <v>0.0</v>
      </c>
      <c r="N75" s="568">
        <v>0.0</v>
      </c>
      <c r="O75" s="569">
        <v>0.0</v>
      </c>
      <c r="P75" s="570"/>
      <c r="Q75" s="150"/>
      <c r="R75" s="571"/>
      <c r="S75" s="116">
        <f t="shared" si="6"/>
        <v>0.6648642857</v>
      </c>
      <c r="T75" s="151"/>
      <c r="U75" s="572">
        <f t="shared" si="7"/>
        <v>0.53016</v>
      </c>
      <c r="V75" s="598"/>
      <c r="W75" s="574" t="b">
        <f t="shared" si="8"/>
        <v>0</v>
      </c>
      <c r="X75" s="598"/>
      <c r="Y75" s="574">
        <f t="shared" si="9"/>
        <v>0.631675</v>
      </c>
      <c r="Z75" s="308"/>
      <c r="AA75" s="308"/>
      <c r="AB75" s="575" t="str">
        <f t="shared" si="10"/>
        <v/>
      </c>
      <c r="AC75" s="576">
        <f t="shared" si="11"/>
        <v>0.7192241206</v>
      </c>
      <c r="AD75" s="577">
        <v>0.0</v>
      </c>
      <c r="AE75" s="572">
        <v>0.0</v>
      </c>
      <c r="AF75" s="578">
        <v>0.0</v>
      </c>
      <c r="AG75" s="132">
        <v>0.0</v>
      </c>
      <c r="AH75" s="132">
        <v>0.0</v>
      </c>
      <c r="AI75" s="579">
        <v>0.0</v>
      </c>
      <c r="AJ75" s="579">
        <v>0.0</v>
      </c>
      <c r="AK75" s="580">
        <v>0.0</v>
      </c>
      <c r="AL75" s="580">
        <v>0.0</v>
      </c>
      <c r="AM75" s="581">
        <v>0.0</v>
      </c>
      <c r="AN75" s="571" t="str">
        <f>IFERROR(
  AVERAGEIFS(
    'New LF Efficacy'!$J:$J,
    'New LF Efficacy'!$D:$D, $A75,
    'New LF Efficacy'!$F:$F,"DEC", 
    'New LF Efficacy'!$W:$W,"&lt;2016",
    'New LF Efficacy'!$AA:$AA,""),
  ""
)</f>
        <v/>
      </c>
      <c r="AO75" s="582">
        <f t="shared" si="12"/>
        <v>0.3573520833</v>
      </c>
      <c r="AP75" s="571" t="str">
        <f>IFERROR(
AVERAGEIFS(
'New LF Efficacy'!$J:$J,
'New LF Efficacy'!$D:$D,$A75,
'New LF Efficacy'!$F:$F,"Albendazole &amp; DEC",
'New LF Efficacy'!$W:$W,"&lt;2016",
'New LF Efficacy'!$AA:$AA,""),
"")</f>
        <v/>
      </c>
      <c r="AQ75" s="582">
        <f t="shared" si="13"/>
        <v>0.5143541667</v>
      </c>
      <c r="AR75" s="571" t="str">
        <f>IFERROR(
AVERAGEIFS(
'New LF Efficacy'!$J:$J,
'New LF Efficacy'!$D:$D,$A75,
'New LF Efficacy'!$F:$F,"Albendazole &amp; Ivermectin", 
'New LF Efficacy'!$W:$W,"&lt;2016",
'New LF Efficacy'!$AA:$AA,""),"")</f>
        <v/>
      </c>
      <c r="AS75" s="582">
        <f t="shared" si="14"/>
        <v>0.37153125</v>
      </c>
      <c r="AT75" s="583" t="str">
        <f>IFERROR(AVERAGEIFS(
'Schist Efficacy'!$O:$O, 
'Schist Efficacy'!$C:$C,$A75, 
'Schist Efficacy'!$D:$D, "Praziquantel",
'Schist Efficacy'!$J:$J,"&lt;2016",
'Schist Efficacy'!$U:$U,""),
"")</f>
        <v/>
      </c>
      <c r="AU75" s="572">
        <f t="shared" si="15"/>
        <v>0.655</v>
      </c>
      <c r="AV75" s="131" t="str">
        <f>IFERROR(AVERAGEIFS(
'STH Efficacy'!$AX:$AX, 
'STH Efficacy'!$AL:$AL, $A75, 
'STH Efficacy'!$AM:$AM, "Albendazole",
'STH Efficacy'!$AS:$AS,"&lt;2016",
'STH Efficacy'!$BP:$BP,""),
"")</f>
        <v/>
      </c>
      <c r="AW75" s="132">
        <f t="shared" si="16"/>
        <v>0.4143846154</v>
      </c>
      <c r="AX75" s="131" t="str">
        <f>IFERROR(AVERAGEIFS(
'STH Efficacy'!$AX:$AX, 
'STH Efficacy'!$AL:$AL, $A75, 
'STH Efficacy'!$AM:$AM, "Mebendazole",
'STH Efficacy'!$AS:$AS,"&lt;2016",
'STH Efficacy'!$BP:$BP,""),
"")</f>
        <v/>
      </c>
      <c r="AY75" s="132">
        <f t="shared" si="17"/>
        <v>0.4691770833</v>
      </c>
      <c r="AZ75" s="131" t="str">
        <f>IFERROR(AVERAGEIFS(
'STH Efficacy'!$AX:$AX, 
'STH Efficacy'!$AL:$AL, $A75, 
'STH Efficacy'!$AM:$AM, "Albendazole &amp; Ivermectin",
'STH Efficacy'!$AS:$AS,"&lt;2016",
'STH Efficacy'!$BP:$BP,""),
"")</f>
        <v/>
      </c>
      <c r="BA75" s="303">
        <f t="shared" si="18"/>
        <v>0.597625</v>
      </c>
      <c r="BB75" s="584" t="str">
        <f>IFERROR(AVERAGEIFS(
'STH Efficacy'!$N:$N, 
'STH Efficacy'!$B:$B, $A75, 
'STH Efficacy'!$C:$C, "Albendazole",
'STH Efficacy'!$I:$I,"&lt;2016",
'STH Efficacy'!$AH:$AH,""),
"")</f>
        <v/>
      </c>
      <c r="BC75" s="579">
        <f t="shared" si="19"/>
        <v>0.7613712121</v>
      </c>
      <c r="BD75" s="584" t="str">
        <f>IFERROR(AVERAGEIFS(
'STH Efficacy'!$N:$N, 
'STH Efficacy'!$B:$B, $A75, 
'STH Efficacy'!$C:$C, "Mebendazole",
'STH Efficacy'!$I:$I,"&lt;2016",
'STH Efficacy'!$AH:$AH,""),
"")</f>
        <v/>
      </c>
      <c r="BE75" s="579">
        <f t="shared" si="20"/>
        <v>0.4362466667</v>
      </c>
      <c r="BF75" s="585" t="str">
        <f>IFERROR(AVERAGEIFS(
'STH Efficacy'!$CD:$CD, 
'STH Efficacy'!$BS:$BS, $A75, 
'STH Efficacy'!$BT:$BT, "Albendazole",
'STH Efficacy'!$BZ:$BZ,"&lt;2016",
'STH Efficacy'!$CU:$CU,""),
"")</f>
        <v/>
      </c>
      <c r="BG75" s="580">
        <f t="shared" si="21"/>
        <v>0.9216027778</v>
      </c>
      <c r="BH75" s="585" t="str">
        <f>IFERROR(AVERAGEIFS(
'STH Efficacy'!$CD:$CD, 
'STH Efficacy'!$BS:$BS, $A75, 
'STH Efficacy'!$BT:$BT, "Mebendazole",
'STH Efficacy'!$BZ:$BZ,"&lt;2016",
'STH Efficacy'!$CU:$CU,""),
"")</f>
        <v/>
      </c>
      <c r="BI75" s="580">
        <f t="shared" si="22"/>
        <v>0.8866041667</v>
      </c>
      <c r="BJ75" s="585" t="str">
        <f>IFERROR(AVERAGEIFS(
'STH Efficacy'!$CD:$CD, 
'STH Efficacy'!$BS:$BS, $A75, 
'STH Efficacy'!$BT:$BT, "Albendazole &amp; Ivermectin",
'STH Efficacy'!$BZ:$BZ,"&lt;2016",
'STH Efficacy'!$CU:$CU,""),
"")</f>
        <v/>
      </c>
      <c r="BK75" s="580">
        <f t="shared" si="23"/>
        <v>0.848</v>
      </c>
      <c r="BL75" s="575" t="str">
        <f>IFERROR(
  AVERAGEIFS(
    'NEW Onchocerciasis Efficacy'!$AO:$AO,
    'NEW Onchocerciasis Efficacy'!$C:$C,$A75,
    'NEW Onchocerciasis Efficacy'!$D:$D,"Ivermectin",
    'NEW Onchocerciasis Efficacy'!$AR:$AR,"&lt;2016",
    'NEW Onchocerciasis Efficacy'!$BG:$BG,"")
,"")</f>
        <v/>
      </c>
      <c r="BM75" s="586">
        <f t="shared" si="24"/>
        <v>0.7808368939</v>
      </c>
      <c r="BN75" s="587">
        <v>0.0</v>
      </c>
      <c r="BO75" s="588">
        <v>0.0</v>
      </c>
      <c r="BP75" s="589">
        <v>0.0</v>
      </c>
      <c r="BQ75" s="590">
        <f t="shared" si="25"/>
        <v>0</v>
      </c>
      <c r="BR75" s="560" t="str">
        <f t="shared" si="26"/>
        <v>0000</v>
      </c>
      <c r="BS75" s="560" t="str">
        <f t="shared" si="27"/>
        <v>no action required</v>
      </c>
      <c r="BT75" s="361" t="str">
        <f t="shared" si="28"/>
        <v/>
      </c>
      <c r="BU75" s="591" t="str">
        <f t="shared" si="29"/>
        <v/>
      </c>
      <c r="BV75" s="560" t="str">
        <f t="shared" si="30"/>
        <v>none</v>
      </c>
      <c r="BW75" s="150" t="str">
        <f t="shared" si="31"/>
        <v/>
      </c>
      <c r="BX75" s="150" t="str">
        <f t="shared" si="32"/>
        <v/>
      </c>
      <c r="BY75" s="151" t="str">
        <f t="shared" si="33"/>
        <v/>
      </c>
      <c r="BZ75" s="152" t="str">
        <f t="shared" si="34"/>
        <v/>
      </c>
      <c r="CA75" s="152" t="str">
        <f t="shared" si="35"/>
        <v/>
      </c>
      <c r="CB75" s="152" t="str">
        <f t="shared" si="36"/>
        <v/>
      </c>
      <c r="CC75" s="153" t="str">
        <f t="shared" si="37"/>
        <v/>
      </c>
      <c r="CD75" s="153" t="str">
        <f t="shared" si="38"/>
        <v/>
      </c>
      <c r="CE75" s="154" t="str">
        <f t="shared" si="39"/>
        <v/>
      </c>
      <c r="CF75" s="154" t="str">
        <f t="shared" si="40"/>
        <v/>
      </c>
      <c r="CG75" s="154" t="str">
        <f t="shared" si="41"/>
        <v/>
      </c>
      <c r="CH75" s="308" t="str">
        <f t="shared" si="42"/>
        <v/>
      </c>
    </row>
    <row r="76">
      <c r="A76" s="599" t="s">
        <v>165</v>
      </c>
      <c r="B76" s="560" t="s">
        <v>94</v>
      </c>
      <c r="C76" s="561">
        <v>277690.0</v>
      </c>
      <c r="D76" s="562"/>
      <c r="E76" s="610"/>
      <c r="F76" s="611"/>
      <c r="G76" s="611"/>
      <c r="H76" s="611"/>
      <c r="I76" s="566"/>
      <c r="J76" s="566"/>
      <c r="K76" s="566"/>
      <c r="L76" s="612"/>
      <c r="M76" s="612"/>
      <c r="N76" s="612"/>
      <c r="O76" s="308"/>
      <c r="P76" s="634"/>
      <c r="Q76" s="618">
        <v>32963.0</v>
      </c>
      <c r="R76" s="603">
        <v>0.8711</v>
      </c>
      <c r="S76" s="116">
        <f t="shared" si="6"/>
        <v>0.8711</v>
      </c>
      <c r="T76" s="151"/>
      <c r="U76" s="572">
        <f t="shared" si="7"/>
        <v>0.7834666667</v>
      </c>
      <c r="V76" s="598"/>
      <c r="W76" s="574">
        <f t="shared" si="8"/>
        <v>0.3593777778</v>
      </c>
      <c r="X76" s="598"/>
      <c r="Y76" s="574">
        <f t="shared" si="9"/>
        <v>0.5347375</v>
      </c>
      <c r="Z76" s="308"/>
      <c r="AA76" s="308"/>
      <c r="AB76" s="575" t="str">
        <f t="shared" si="10"/>
        <v/>
      </c>
      <c r="AC76" s="576">
        <f t="shared" si="11"/>
        <v>0.7192241206</v>
      </c>
      <c r="AD76" s="571"/>
      <c r="AE76" s="583"/>
      <c r="AF76" s="583"/>
      <c r="AG76" s="131"/>
      <c r="AH76" s="131"/>
      <c r="AI76" s="584"/>
      <c r="AJ76" s="584"/>
      <c r="AK76" s="585"/>
      <c r="AL76" s="585"/>
      <c r="AM76" s="575"/>
      <c r="AN76" s="571">
        <f>IFERROR(
  AVERAGEIFS(
    'New LF Efficacy'!$J:$J,
    'New LF Efficacy'!$D:$D, $A76,
    'New LF Efficacy'!$F:$F,"DEC", 
    'New LF Efficacy'!$W:$W,"&lt;2016",
    'New LF Efficacy'!$AA:$AA,""),
  ""
)</f>
        <v>0.26</v>
      </c>
      <c r="AO76" s="582">
        <f t="shared" si="12"/>
        <v>0.26</v>
      </c>
      <c r="AP76" s="571" t="str">
        <f>IFERROR(
AVERAGEIFS(
'New LF Efficacy'!$J:$J,
'New LF Efficacy'!$D:$D,$A76,
'New LF Efficacy'!$F:$F,"Albendazole &amp; DEC",
'New LF Efficacy'!$W:$W,"&lt;2016",
'New LF Efficacy'!$AA:$AA,""),
"")</f>
        <v/>
      </c>
      <c r="AQ76" s="582">
        <f t="shared" si="13"/>
        <v>0.662</v>
      </c>
      <c r="AR76" s="571" t="str">
        <f>IFERROR(
AVERAGEIFS(
'New LF Efficacy'!$J:$J,
'New LF Efficacy'!$D:$D,$A76,
'New LF Efficacy'!$F:$F,"Albendazole &amp; Ivermectin", 
'New LF Efficacy'!$W:$W,"&lt;2016",
'New LF Efficacy'!$AA:$AA,""),"")</f>
        <v/>
      </c>
      <c r="AS76" s="582">
        <f t="shared" si="14"/>
        <v>0.37153125</v>
      </c>
      <c r="AT76" s="583" t="str">
        <f>IFERROR(AVERAGEIFS(
'Schist Efficacy'!$O:$O, 
'Schist Efficacy'!$C:$C,$A76, 
'Schist Efficacy'!$D:$D, "Praziquantel",
'Schist Efficacy'!$J:$J,"&lt;2016",
'Schist Efficacy'!$U:$U,""),
"")</f>
        <v/>
      </c>
      <c r="AU76" s="572">
        <f t="shared" si="15"/>
        <v>0.9475</v>
      </c>
      <c r="AV76" s="131" t="str">
        <f>IFERROR(AVERAGEIFS(
'STH Efficacy'!$AX:$AX, 
'STH Efficacy'!$AL:$AL, $A76, 
'STH Efficacy'!$AM:$AM, "Albendazole",
'STH Efficacy'!$AS:$AS,"&lt;2016",
'STH Efficacy'!$BP:$BP,""),
"")</f>
        <v/>
      </c>
      <c r="AW76" s="132">
        <f t="shared" si="16"/>
        <v>0.3571666667</v>
      </c>
      <c r="AX76" s="131" t="str">
        <f>IFERROR(AVERAGEIFS(
'STH Efficacy'!$AX:$AX, 
'STH Efficacy'!$AL:$AL, $A76, 
'STH Efficacy'!$AM:$AM, "Mebendazole",
'STH Efficacy'!$AS:$AS,"&lt;2016",
'STH Efficacy'!$BP:$BP,""),
"")</f>
        <v/>
      </c>
      <c r="AY76" s="132">
        <f t="shared" si="17"/>
        <v>0.4155</v>
      </c>
      <c r="AZ76" s="131" t="str">
        <f>IFERROR(AVERAGEIFS(
'STH Efficacy'!$AX:$AX, 
'STH Efficacy'!$AL:$AL, $A76, 
'STH Efficacy'!$AM:$AM, "Albendazole &amp; Ivermectin",
'STH Efficacy'!$AS:$AS,"&lt;2016",
'STH Efficacy'!$BP:$BP,""),
"")</f>
        <v/>
      </c>
      <c r="BA76" s="303">
        <f t="shared" si="18"/>
        <v>0.651</v>
      </c>
      <c r="BB76" s="584" t="str">
        <f>IFERROR(AVERAGEIFS(
'STH Efficacy'!$N:$N, 
'STH Efficacy'!$B:$B, $A76, 
'STH Efficacy'!$C:$C, "Albendazole",
'STH Efficacy'!$I:$I,"&lt;2016",
'STH Efficacy'!$AH:$AH,""),
"")</f>
        <v/>
      </c>
      <c r="BC76" s="579">
        <f t="shared" si="19"/>
        <v>0.5769166667</v>
      </c>
      <c r="BD76" s="584" t="str">
        <f>IFERROR(AVERAGEIFS(
'STH Efficacy'!$N:$N, 
'STH Efficacy'!$B:$B, $A76, 
'STH Efficacy'!$C:$C, "Mebendazole",
'STH Efficacy'!$I:$I,"&lt;2016",
'STH Efficacy'!$AH:$AH,""),
"")</f>
        <v/>
      </c>
      <c r="BE76" s="579">
        <f t="shared" si="20"/>
        <v>0.3145</v>
      </c>
      <c r="BF76" s="585" t="str">
        <f>IFERROR(AVERAGEIFS(
'STH Efficacy'!$CD:$CD, 
'STH Efficacy'!$BS:$BS, $A76, 
'STH Efficacy'!$BT:$BT, "Albendazole",
'STH Efficacy'!$BZ:$BZ,"&lt;2016",
'STH Efficacy'!$CU:$CU,""),
"")</f>
        <v/>
      </c>
      <c r="BG76" s="580">
        <f t="shared" si="21"/>
        <v>0.96925</v>
      </c>
      <c r="BH76" s="585" t="str">
        <f>IFERROR(AVERAGEIFS(
'STH Efficacy'!$CD:$CD, 
'STH Efficacy'!$BS:$BS, $A76, 
'STH Efficacy'!$BT:$BT, "Mebendazole",
'STH Efficacy'!$BZ:$BZ,"&lt;2016",
'STH Efficacy'!$CU:$CU,""),
"")</f>
        <v/>
      </c>
      <c r="BI76" s="580">
        <f t="shared" si="22"/>
        <v>0.9305</v>
      </c>
      <c r="BJ76" s="585" t="str">
        <f>IFERROR(AVERAGEIFS(
'STH Efficacy'!$CD:$CD, 
'STH Efficacy'!$BS:$BS, $A76, 
'STH Efficacy'!$BT:$BT, "Albendazole &amp; Ivermectin",
'STH Efficacy'!$BZ:$BZ,"&lt;2016",
'STH Efficacy'!$CU:$CU,""),
"")</f>
        <v/>
      </c>
      <c r="BK76" s="580">
        <f t="shared" si="23"/>
        <v>0.848</v>
      </c>
      <c r="BL76" s="575" t="str">
        <f>IFERROR(
  AVERAGEIFS(
    'NEW Onchocerciasis Efficacy'!$AO:$AO,
    'NEW Onchocerciasis Efficacy'!$C:$C,$A76,
    'NEW Onchocerciasis Efficacy'!$D:$D,"Ivermectin",
    'NEW Onchocerciasis Efficacy'!$AR:$AR,"&lt;2016",
    'NEW Onchocerciasis Efficacy'!$BG:$BG,"")
,"")</f>
        <v/>
      </c>
      <c r="BM76" s="586">
        <f t="shared" si="24"/>
        <v>0.7808368939</v>
      </c>
      <c r="BN76" s="587">
        <v>1.0</v>
      </c>
      <c r="BO76" s="588">
        <v>0.0</v>
      </c>
      <c r="BP76" s="589">
        <v>0.0</v>
      </c>
      <c r="BQ76" s="590">
        <f t="shared" si="25"/>
        <v>0</v>
      </c>
      <c r="BR76" s="560" t="str">
        <f t="shared" si="26"/>
        <v>1000</v>
      </c>
      <c r="BS76" s="560" t="str">
        <f t="shared" si="27"/>
        <v>MDA1/2</v>
      </c>
      <c r="BT76" s="606" t="str">
        <f t="shared" si="28"/>
        <v>IVM+ALB or DEC+ALB</v>
      </c>
      <c r="BU76" s="591" t="str">
        <f t="shared" si="29"/>
        <v/>
      </c>
      <c r="BV76" s="560" t="str">
        <f t="shared" si="30"/>
        <v>lf only</v>
      </c>
      <c r="BW76" s="607">
        <f t="shared" si="31"/>
        <v>0</v>
      </c>
      <c r="BX76" s="607">
        <f t="shared" si="32"/>
        <v>0</v>
      </c>
      <c r="BY76" s="151" t="str">
        <f t="shared" si="33"/>
        <v/>
      </c>
      <c r="BZ76" s="152" t="str">
        <f t="shared" si="34"/>
        <v/>
      </c>
      <c r="CA76" s="152" t="str">
        <f t="shared" si="35"/>
        <v/>
      </c>
      <c r="CB76" s="152" t="str">
        <f t="shared" si="36"/>
        <v/>
      </c>
      <c r="CC76" s="153" t="str">
        <f t="shared" si="37"/>
        <v/>
      </c>
      <c r="CD76" s="153" t="str">
        <f t="shared" si="38"/>
        <v/>
      </c>
      <c r="CE76" s="154" t="str">
        <f t="shared" si="39"/>
        <v/>
      </c>
      <c r="CF76" s="154" t="str">
        <f t="shared" si="40"/>
        <v/>
      </c>
      <c r="CG76" s="154" t="str">
        <f t="shared" si="41"/>
        <v/>
      </c>
      <c r="CH76" s="308" t="str">
        <f t="shared" si="42"/>
        <v/>
      </c>
    </row>
    <row r="77">
      <c r="A77" s="559" t="s">
        <v>166</v>
      </c>
      <c r="B77" s="560" t="s">
        <v>92</v>
      </c>
      <c r="C77" s="561">
        <v>1930175.0</v>
      </c>
      <c r="D77" s="562">
        <v>559.4726856</v>
      </c>
      <c r="E77" s="563">
        <v>2094.69777055591</v>
      </c>
      <c r="F77" s="564">
        <v>1.840674538</v>
      </c>
      <c r="G77" s="564">
        <v>12.0615191</v>
      </c>
      <c r="H77" s="564">
        <v>45.26493551</v>
      </c>
      <c r="I77" s="565">
        <v>6.056950381</v>
      </c>
      <c r="J77" s="566">
        <v>20.5080046398281</v>
      </c>
      <c r="K77" s="566">
        <v>83.4732787964112</v>
      </c>
      <c r="L77" s="567">
        <v>46.32388491</v>
      </c>
      <c r="M77" s="568">
        <v>14.2433598809568</v>
      </c>
      <c r="N77" s="568">
        <v>74.1474604118643</v>
      </c>
      <c r="O77" s="569">
        <v>0.0</v>
      </c>
      <c r="P77" s="601" t="s">
        <v>400</v>
      </c>
      <c r="Q77" s="150" t="s">
        <v>395</v>
      </c>
      <c r="R77" s="150" t="s">
        <v>395</v>
      </c>
      <c r="S77" s="116" t="str">
        <f t="shared" si="6"/>
        <v> </v>
      </c>
      <c r="T77" s="620" t="s">
        <v>395</v>
      </c>
      <c r="U77" s="621" t="str">
        <f t="shared" si="7"/>
        <v> </v>
      </c>
      <c r="V77" s="598"/>
      <c r="W77" s="574">
        <f t="shared" si="8"/>
        <v>0.7605133333</v>
      </c>
      <c r="X77" s="598"/>
      <c r="Y77" s="574">
        <f t="shared" si="9"/>
        <v>0.6822424242</v>
      </c>
      <c r="Z77" s="604">
        <v>76466.0</v>
      </c>
      <c r="AA77" s="625" t="s">
        <v>395</v>
      </c>
      <c r="AB77" s="575" t="str">
        <f t="shared" si="10"/>
        <v/>
      </c>
      <c r="AC77" s="576">
        <f t="shared" si="11"/>
        <v>0.6507101914</v>
      </c>
      <c r="AD77" s="577">
        <v>0.003796327272</v>
      </c>
      <c r="AE77" s="572">
        <v>0.1508859784</v>
      </c>
      <c r="AF77" s="578">
        <v>0.01110274854</v>
      </c>
      <c r="AG77" s="132">
        <v>0.01611990034</v>
      </c>
      <c r="AH77" s="132">
        <v>0.053090597</v>
      </c>
      <c r="AI77" s="579">
        <v>0.01055791111</v>
      </c>
      <c r="AJ77" s="579">
        <v>0.01331792299</v>
      </c>
      <c r="AK77" s="580">
        <v>0.008979302126</v>
      </c>
      <c r="AL77" s="580">
        <v>0.01076739126</v>
      </c>
      <c r="AM77" s="581">
        <v>0.0</v>
      </c>
      <c r="AN77" s="571" t="str">
        <f>IFERROR(
  AVERAGEIFS(
    'New LF Efficacy'!$J:$J,
    'New LF Efficacy'!$D:$D, $A77,
    'New LF Efficacy'!$F:$F,"DEC", 
    'New LF Efficacy'!$W:$W,"&lt;2016",
    'New LF Efficacy'!$AA:$AA,""),
  ""
)</f>
        <v/>
      </c>
      <c r="AO77" s="582">
        <f t="shared" si="12"/>
        <v>0.31225</v>
      </c>
      <c r="AP77" s="571" t="str">
        <f>IFERROR(
AVERAGEIFS(
'New LF Efficacy'!$J:$J,
'New LF Efficacy'!$D:$D,$A77,
'New LF Efficacy'!$F:$F,"Albendazole &amp; DEC",
'New LF Efficacy'!$W:$W,"&lt;2016",
'New LF Efficacy'!$AA:$AA,""),
"")</f>
        <v/>
      </c>
      <c r="AQ77" s="582">
        <f t="shared" si="13"/>
        <v>0.4</v>
      </c>
      <c r="AR77" s="571" t="str">
        <f>IFERROR(
AVERAGEIFS(
'New LF Efficacy'!$J:$J,
'New LF Efficacy'!$D:$D,$A77,
'New LF Efficacy'!$F:$F,"Albendazole &amp; Ivermectin", 
'New LF Efficacy'!$W:$W,"&lt;2016",
'New LF Efficacy'!$AA:$AA,""),"")</f>
        <v/>
      </c>
      <c r="AS77" s="582">
        <f t="shared" si="14"/>
        <v>0.2943125</v>
      </c>
      <c r="AT77" s="583" t="str">
        <f>IFERROR(AVERAGEIFS(
'Schist Efficacy'!$O:$O, 
'Schist Efficacy'!$C:$C,$A77, 
'Schist Efficacy'!$D:$D, "Praziquantel",
'Schist Efficacy'!$J:$J,"&lt;2016",
'Schist Efficacy'!$U:$U,""),
"")</f>
        <v/>
      </c>
      <c r="AU77" s="572">
        <f t="shared" si="15"/>
        <v>0.7206464759</v>
      </c>
      <c r="AV77" s="131">
        <f>IFERROR(AVERAGEIFS(
'STH Efficacy'!$AX:$AX, 
'STH Efficacy'!$AL:$AL, $A77, 
'STH Efficacy'!$AM:$AM, "Albendazole",
'STH Efficacy'!$AS:$AS,"&lt;2016",
'STH Efficacy'!$BP:$BP,""),
"")</f>
        <v>0.6333333333</v>
      </c>
      <c r="AW77" s="132">
        <f t="shared" si="16"/>
        <v>0.6333333333</v>
      </c>
      <c r="AX77" s="131" t="str">
        <f>IFERROR(AVERAGEIFS(
'STH Efficacy'!$AX:$AX, 
'STH Efficacy'!$AL:$AL, $A77, 
'STH Efficacy'!$AM:$AM, "Mebendazole",
'STH Efficacy'!$AS:$AS,"&lt;2016",
'STH Efficacy'!$BP:$BP,""),
"")</f>
        <v/>
      </c>
      <c r="AY77" s="132">
        <f t="shared" si="17"/>
        <v>0.4859375</v>
      </c>
      <c r="AZ77" s="131" t="str">
        <f>IFERROR(AVERAGEIFS(
'STH Efficacy'!$AX:$AX, 
'STH Efficacy'!$AL:$AL, $A77, 
'STH Efficacy'!$AM:$AM, "Albendazole &amp; Ivermectin",
'STH Efficacy'!$AS:$AS,"&lt;2016",
'STH Efficacy'!$BP:$BP,""),
"")</f>
        <v/>
      </c>
      <c r="BA77" s="303">
        <f t="shared" si="18"/>
        <v>0.47175</v>
      </c>
      <c r="BB77" s="584">
        <f>IFERROR(AVERAGEIFS(
'STH Efficacy'!$N:$N, 
'STH Efficacy'!$B:$B, $A77, 
'STH Efficacy'!$C:$C, "Albendazole",
'STH Efficacy'!$I:$I,"&lt;2016",
'STH Efficacy'!$AH:$AH,""),
"")</f>
        <v>0.7966666667</v>
      </c>
      <c r="BC77" s="579">
        <f t="shared" si="19"/>
        <v>0.7966666667</v>
      </c>
      <c r="BD77" s="584" t="str">
        <f>IFERROR(AVERAGEIFS(
'STH Efficacy'!$N:$N, 
'STH Efficacy'!$B:$B, $A77, 
'STH Efficacy'!$C:$C, "Mebendazole",
'STH Efficacy'!$I:$I,"&lt;2016",
'STH Efficacy'!$AH:$AH,""),
"")</f>
        <v/>
      </c>
      <c r="BE77" s="579">
        <f t="shared" si="20"/>
        <v>0.7092416667</v>
      </c>
      <c r="BF77" s="585">
        <f>IFERROR(AVERAGEIFS(
'STH Efficacy'!$CD:$CD, 
'STH Efficacy'!$BS:$BS, $A77, 
'STH Efficacy'!$BT:$BT, "Albendazole",
'STH Efficacy'!$BZ:$BZ,"&lt;2016",
'STH Efficacy'!$CU:$CU,""),
"")</f>
        <v>0.8933333333</v>
      </c>
      <c r="BG77" s="580">
        <f t="shared" si="21"/>
        <v>0.8933333333</v>
      </c>
      <c r="BH77" s="585" t="str">
        <f>IFERROR(AVERAGEIFS(
'STH Efficacy'!$CD:$CD, 
'STH Efficacy'!$BS:$BS, $A77, 
'STH Efficacy'!$BT:$BT, "Mebendazole",
'STH Efficacy'!$BZ:$BZ,"&lt;2016",
'STH Efficacy'!$CU:$CU,""),
"")</f>
        <v/>
      </c>
      <c r="BI77" s="580">
        <f t="shared" si="22"/>
        <v>0.8483333333</v>
      </c>
      <c r="BJ77" s="585" t="str">
        <f>IFERROR(AVERAGEIFS(
'STH Efficacy'!$CD:$CD, 
'STH Efficacy'!$BS:$BS, $A77, 
'STH Efficacy'!$BT:$BT, "Albendazole &amp; Ivermectin",
'STH Efficacy'!$BZ:$BZ,"&lt;2016",
'STH Efficacy'!$CU:$CU,""),
"")</f>
        <v/>
      </c>
      <c r="BK77" s="580">
        <f t="shared" si="23"/>
        <v>0.696</v>
      </c>
      <c r="BL77" s="575" t="str">
        <f>IFERROR(
  AVERAGEIFS(
    'NEW Onchocerciasis Efficacy'!$AO:$AO,
    'NEW Onchocerciasis Efficacy'!$C:$C,$A77,
    'NEW Onchocerciasis Efficacy'!$D:$D,"Ivermectin",
    'NEW Onchocerciasis Efficacy'!$AR:$AR,"&lt;2016",
    'NEW Onchocerciasis Efficacy'!$BG:$BG,"")
,"")</f>
        <v/>
      </c>
      <c r="BM77" s="586">
        <f t="shared" si="24"/>
        <v>0.8390421645</v>
      </c>
      <c r="BN77" s="587">
        <v>1.0</v>
      </c>
      <c r="BO77" s="588">
        <v>1.0</v>
      </c>
      <c r="BP77" s="589">
        <v>1.0</v>
      </c>
      <c r="BQ77" s="590">
        <f t="shared" si="25"/>
        <v>0</v>
      </c>
      <c r="BR77" s="560" t="str">
        <f t="shared" si="26"/>
        <v>1110</v>
      </c>
      <c r="BS77" s="560" t="str">
        <f t="shared" si="27"/>
        <v>MDA1+T2</v>
      </c>
      <c r="BT77" s="606" t="str">
        <f t="shared" si="28"/>
        <v>IVM+ALB</v>
      </c>
      <c r="BU77" s="560" t="str">
        <f t="shared" si="29"/>
        <v>PZQ</v>
      </c>
      <c r="BV77" s="560" t="str">
        <f t="shared" si="30"/>
        <v>lf+onch+schist </v>
      </c>
      <c r="BW77" s="150" t="str">
        <f t="shared" si="31"/>
        <v/>
      </c>
      <c r="BX77" s="150" t="str">
        <f t="shared" si="32"/>
        <v/>
      </c>
      <c r="BY77" s="151" t="str">
        <f t="shared" si="33"/>
        <v/>
      </c>
      <c r="BZ77" s="152" t="str">
        <f t="shared" si="34"/>
        <v/>
      </c>
      <c r="CA77" s="152" t="str">
        <f t="shared" si="35"/>
        <v/>
      </c>
      <c r="CB77" s="152" t="str">
        <f t="shared" si="36"/>
        <v/>
      </c>
      <c r="CC77" s="153" t="str">
        <f t="shared" si="37"/>
        <v/>
      </c>
      <c r="CD77" s="153" t="str">
        <f t="shared" si="38"/>
        <v/>
      </c>
      <c r="CE77" s="154" t="str">
        <f t="shared" si="39"/>
        <v/>
      </c>
      <c r="CF77" s="154" t="str">
        <f t="shared" si="40"/>
        <v/>
      </c>
      <c r="CG77" s="154" t="str">
        <f t="shared" si="41"/>
        <v/>
      </c>
      <c r="CH77" s="609">
        <f t="shared" si="42"/>
        <v>0</v>
      </c>
    </row>
    <row r="78">
      <c r="A78" s="559" t="s">
        <v>167</v>
      </c>
      <c r="B78" s="560" t="s">
        <v>92</v>
      </c>
      <c r="C78" s="561">
        <v>1977590.0</v>
      </c>
      <c r="D78" s="562">
        <v>741.2125545</v>
      </c>
      <c r="E78" s="610"/>
      <c r="F78" s="564">
        <v>0.001543533</v>
      </c>
      <c r="G78" s="564">
        <v>0.013834167</v>
      </c>
      <c r="H78" s="564">
        <v>0.066635204</v>
      </c>
      <c r="I78" s="565">
        <v>26.97784712</v>
      </c>
      <c r="J78" s="566">
        <v>98.3210062945506</v>
      </c>
      <c r="K78" s="566">
        <v>355.596474348414</v>
      </c>
      <c r="L78" s="567">
        <v>92.78316531</v>
      </c>
      <c r="M78" s="568">
        <v>27.4799957531418</v>
      </c>
      <c r="N78" s="568">
        <v>146.424195706309</v>
      </c>
      <c r="O78" s="569">
        <v>0.0</v>
      </c>
      <c r="P78" s="378">
        <v>22285.84399</v>
      </c>
      <c r="Q78" s="150"/>
      <c r="R78" s="571"/>
      <c r="S78" s="116">
        <f t="shared" si="6"/>
        <v>0.6227928571</v>
      </c>
      <c r="T78" s="572">
        <v>0.8331</v>
      </c>
      <c r="U78" s="572">
        <f t="shared" si="7"/>
        <v>0.8331</v>
      </c>
      <c r="V78" s="573">
        <v>0.1522</v>
      </c>
      <c r="W78" s="574">
        <f t="shared" si="8"/>
        <v>0.1522</v>
      </c>
      <c r="X78" s="573">
        <v>0.6598</v>
      </c>
      <c r="Y78" s="574">
        <f t="shared" si="9"/>
        <v>0.6598</v>
      </c>
      <c r="Z78" s="308"/>
      <c r="AA78" s="308"/>
      <c r="AB78" s="575" t="str">
        <f t="shared" si="10"/>
        <v/>
      </c>
      <c r="AC78" s="576">
        <f t="shared" si="11"/>
        <v>0.6507101914</v>
      </c>
      <c r="AD78" s="577">
        <v>0.0107155026</v>
      </c>
      <c r="AE78" s="572">
        <v>0.2923447071</v>
      </c>
      <c r="AF78" s="578">
        <v>0.06216762271</v>
      </c>
      <c r="AG78" s="133">
        <v>0.01919613278</v>
      </c>
      <c r="AH78" s="133">
        <v>0.062892192</v>
      </c>
      <c r="AI78" s="584"/>
      <c r="AJ78" s="584"/>
      <c r="AK78" s="585"/>
      <c r="AL78" s="585"/>
      <c r="AM78" s="581"/>
      <c r="AN78" s="571" t="str">
        <f>IFERROR(
  AVERAGEIFS(
    'New LF Efficacy'!$J:$J,
    'New LF Efficacy'!$D:$D, $A78,
    'New LF Efficacy'!$F:$F,"DEC", 
    'New LF Efficacy'!$W:$W,"&lt;2016",
    'New LF Efficacy'!$AA:$AA,""),
  ""
)</f>
        <v/>
      </c>
      <c r="AO78" s="582">
        <f t="shared" si="12"/>
        <v>0.31225</v>
      </c>
      <c r="AP78" s="571" t="str">
        <f>IFERROR(
AVERAGEIFS(
'New LF Efficacy'!$J:$J,
'New LF Efficacy'!$D:$D,$A78,
'New LF Efficacy'!$F:$F,"Albendazole &amp; DEC",
'New LF Efficacy'!$W:$W,"&lt;2016",
'New LF Efficacy'!$AA:$AA,""),
"")</f>
        <v/>
      </c>
      <c r="AQ78" s="582">
        <f t="shared" si="13"/>
        <v>0.4</v>
      </c>
      <c r="AR78" s="571" t="str">
        <f>IFERROR(
AVERAGEIFS(
'New LF Efficacy'!$J:$J,
'New LF Efficacy'!$D:$D,$A78,
'New LF Efficacy'!$F:$F,"Albendazole &amp; Ivermectin", 
'New LF Efficacy'!$W:$W,"&lt;2016",
'New LF Efficacy'!$AA:$AA,""),"")</f>
        <v/>
      </c>
      <c r="AS78" s="582">
        <f t="shared" si="14"/>
        <v>0.2943125</v>
      </c>
      <c r="AT78" s="583" t="str">
        <f>IFERROR(AVERAGEIFS(
'Schist Efficacy'!$O:$O, 
'Schist Efficacy'!$C:$C,$A78, 
'Schist Efficacy'!$D:$D, "Praziquantel",
'Schist Efficacy'!$J:$J,"&lt;2016",
'Schist Efficacy'!$U:$U,""),
"")</f>
        <v/>
      </c>
      <c r="AU78" s="572">
        <f t="shared" si="15"/>
        <v>0.7206464759</v>
      </c>
      <c r="AV78" s="131" t="str">
        <f>IFERROR(AVERAGEIFS(
'STH Efficacy'!$AX:$AX, 
'STH Efficacy'!$AL:$AL, $A78, 
'STH Efficacy'!$AM:$AM, "Albendazole",
'STH Efficacy'!$AS:$AS,"&lt;2016",
'STH Efficacy'!$BP:$BP,""),
"")</f>
        <v/>
      </c>
      <c r="AW78" s="132">
        <f t="shared" si="16"/>
        <v>0.3816333333</v>
      </c>
      <c r="AX78" s="131" t="str">
        <f>IFERROR(AVERAGEIFS(
'STH Efficacy'!$AX:$AX, 
'STH Efficacy'!$AL:$AL, $A78, 
'STH Efficacy'!$AM:$AM, "Mebendazole",
'STH Efficacy'!$AS:$AS,"&lt;2016",
'STH Efficacy'!$BP:$BP,""),
"")</f>
        <v/>
      </c>
      <c r="AY78" s="132">
        <f t="shared" si="17"/>
        <v>0.4859375</v>
      </c>
      <c r="AZ78" s="131" t="str">
        <f>IFERROR(AVERAGEIFS(
'STH Efficacy'!$AX:$AX, 
'STH Efficacy'!$AL:$AL, $A78, 
'STH Efficacy'!$AM:$AM, "Albendazole &amp; Ivermectin",
'STH Efficacy'!$AS:$AS,"&lt;2016",
'STH Efficacy'!$BP:$BP,""),
"")</f>
        <v/>
      </c>
      <c r="BA78" s="303">
        <f t="shared" si="18"/>
        <v>0.47175</v>
      </c>
      <c r="BB78" s="584" t="str">
        <f>IFERROR(AVERAGEIFS(
'STH Efficacy'!$N:$N, 
'STH Efficacy'!$B:$B, $A78, 
'STH Efficacy'!$C:$C, "Albendazole",
'STH Efficacy'!$I:$I,"&lt;2016",
'STH Efficacy'!$AH:$AH,""),
"")</f>
        <v/>
      </c>
      <c r="BC78" s="579">
        <f t="shared" si="19"/>
        <v>0.8699166667</v>
      </c>
      <c r="BD78" s="584" t="str">
        <f>IFERROR(AVERAGEIFS(
'STH Efficacy'!$N:$N, 
'STH Efficacy'!$B:$B, $A78, 
'STH Efficacy'!$C:$C, "Mebendazole",
'STH Efficacy'!$I:$I,"&lt;2016",
'STH Efficacy'!$AH:$AH,""),
"")</f>
        <v/>
      </c>
      <c r="BE78" s="579">
        <f t="shared" si="20"/>
        <v>0.7092416667</v>
      </c>
      <c r="BF78" s="585" t="str">
        <f>IFERROR(AVERAGEIFS(
'STH Efficacy'!$CD:$CD, 
'STH Efficacy'!$BS:$BS, $A78, 
'STH Efficacy'!$BT:$BT, "Albendazole",
'STH Efficacy'!$BZ:$BZ,"&lt;2016",
'STH Efficacy'!$CU:$CU,""),
"")</f>
        <v/>
      </c>
      <c r="BG78" s="580">
        <f t="shared" si="21"/>
        <v>0.9066666667</v>
      </c>
      <c r="BH78" s="585" t="str">
        <f>IFERROR(AVERAGEIFS(
'STH Efficacy'!$CD:$CD, 
'STH Efficacy'!$BS:$BS, $A78, 
'STH Efficacy'!$BT:$BT, "Mebendazole",
'STH Efficacy'!$BZ:$BZ,"&lt;2016",
'STH Efficacy'!$CU:$CU,""),
"")</f>
        <v/>
      </c>
      <c r="BI78" s="580">
        <f t="shared" si="22"/>
        <v>0.8483333333</v>
      </c>
      <c r="BJ78" s="585" t="str">
        <f>IFERROR(AVERAGEIFS(
'STH Efficacy'!$CD:$CD, 
'STH Efficacy'!$BS:$BS, $A78, 
'STH Efficacy'!$BT:$BT, "Albendazole &amp; Ivermectin",
'STH Efficacy'!$BZ:$BZ,"&lt;2016",
'STH Efficacy'!$CU:$CU,""),
"")</f>
        <v/>
      </c>
      <c r="BK78" s="580">
        <f t="shared" si="23"/>
        <v>0.696</v>
      </c>
      <c r="BL78" s="575" t="str">
        <f>IFERROR(
  AVERAGEIFS(
    'NEW Onchocerciasis Efficacy'!$AO:$AO,
    'NEW Onchocerciasis Efficacy'!$C:$C,$A78,
    'NEW Onchocerciasis Efficacy'!$D:$D,"Ivermectin",
    'NEW Onchocerciasis Efficacy'!$AR:$AR,"&lt;2016",
    'NEW Onchocerciasis Efficacy'!$BG:$BG,"")
,"")</f>
        <v/>
      </c>
      <c r="BM78" s="586">
        <f t="shared" si="24"/>
        <v>0.8390421645</v>
      </c>
      <c r="BN78" s="587">
        <v>0.0</v>
      </c>
      <c r="BO78" s="588">
        <v>1.0</v>
      </c>
      <c r="BP78" s="589">
        <v>1.0</v>
      </c>
      <c r="BQ78" s="590">
        <f t="shared" si="25"/>
        <v>0</v>
      </c>
      <c r="BR78" s="560" t="str">
        <f t="shared" si="26"/>
        <v>0110</v>
      </c>
      <c r="BS78" s="560" t="str">
        <f t="shared" si="27"/>
        <v>MDA3+T2</v>
      </c>
      <c r="BT78" s="606" t="str">
        <f t="shared" si="28"/>
        <v>IVM</v>
      </c>
      <c r="BU78" s="560" t="str">
        <f t="shared" si="29"/>
        <v>PZQ</v>
      </c>
      <c r="BV78" s="560" t="str">
        <f t="shared" si="30"/>
        <v>onch+schist</v>
      </c>
      <c r="BW78" s="150" t="str">
        <f t="shared" si="31"/>
        <v/>
      </c>
      <c r="BX78" s="150" t="str">
        <f t="shared" si="32"/>
        <v/>
      </c>
      <c r="BY78" s="608">
        <f t="shared" si="33"/>
        <v>0</v>
      </c>
      <c r="BZ78" s="152" t="str">
        <f t="shared" si="34"/>
        <v/>
      </c>
      <c r="CA78" s="152" t="str">
        <f t="shared" si="35"/>
        <v/>
      </c>
      <c r="CB78" s="152" t="str">
        <f t="shared" si="36"/>
        <v/>
      </c>
      <c r="CC78" s="153" t="str">
        <f t="shared" si="37"/>
        <v/>
      </c>
      <c r="CD78" s="153" t="str">
        <f t="shared" si="38"/>
        <v/>
      </c>
      <c r="CE78" s="154" t="str">
        <f t="shared" si="39"/>
        <v/>
      </c>
      <c r="CF78" s="154" t="str">
        <f t="shared" si="40"/>
        <v/>
      </c>
      <c r="CG78" s="154" t="str">
        <f t="shared" si="41"/>
        <v/>
      </c>
      <c r="CH78" s="609">
        <f t="shared" si="42"/>
        <v>0</v>
      </c>
    </row>
    <row r="79">
      <c r="A79" s="559" t="s">
        <v>168</v>
      </c>
      <c r="B79" s="560" t="s">
        <v>90</v>
      </c>
      <c r="C79" s="561">
        <v>3717100.0</v>
      </c>
      <c r="D79" s="562">
        <v>0.0</v>
      </c>
      <c r="E79" s="563">
        <v>0.0</v>
      </c>
      <c r="F79" s="564">
        <v>4.05E-9</v>
      </c>
      <c r="G79" s="564">
        <v>5.57E-8</v>
      </c>
      <c r="H79" s="564">
        <v>1.42E-7</v>
      </c>
      <c r="I79" s="565">
        <v>0.456282361</v>
      </c>
      <c r="J79" s="566">
        <v>2.65369900974695</v>
      </c>
      <c r="K79" s="566">
        <v>33.1113438087833</v>
      </c>
      <c r="L79" s="567">
        <v>0.002073049</v>
      </c>
      <c r="M79" s="568">
        <v>0.00395254052021864</v>
      </c>
      <c r="N79" s="568">
        <v>0.0108092066682066</v>
      </c>
      <c r="O79" s="569">
        <v>0.0</v>
      </c>
      <c r="P79" s="150"/>
      <c r="Q79" s="150"/>
      <c r="R79" s="571"/>
      <c r="S79" s="116">
        <f t="shared" si="6"/>
        <v>0.6648642857</v>
      </c>
      <c r="T79" s="151"/>
      <c r="U79" s="572">
        <f t="shared" si="7"/>
        <v>0.53016</v>
      </c>
      <c r="V79" s="598"/>
      <c r="W79" s="574" t="b">
        <f t="shared" si="8"/>
        <v>0</v>
      </c>
      <c r="X79" s="598"/>
      <c r="Y79" s="574">
        <f t="shared" si="9"/>
        <v>0.631675</v>
      </c>
      <c r="Z79" s="308"/>
      <c r="AA79" s="308"/>
      <c r="AB79" s="575" t="str">
        <f t="shared" si="10"/>
        <v/>
      </c>
      <c r="AC79" s="576">
        <f t="shared" si="11"/>
        <v>0.7192241206</v>
      </c>
      <c r="AD79" s="577">
        <v>0.0</v>
      </c>
      <c r="AE79" s="572">
        <v>0.0</v>
      </c>
      <c r="AF79" s="578">
        <v>0.0</v>
      </c>
      <c r="AG79" s="132">
        <v>0.0148008861</v>
      </c>
      <c r="AH79" s="132">
        <v>0.045596525</v>
      </c>
      <c r="AI79" s="579">
        <v>0.007576352772</v>
      </c>
      <c r="AJ79" s="579">
        <v>0.00901785129</v>
      </c>
      <c r="AK79" s="580">
        <v>0.01881608304</v>
      </c>
      <c r="AL79" s="580">
        <v>0.02131166381</v>
      </c>
      <c r="AM79" s="581">
        <v>0.0</v>
      </c>
      <c r="AN79" s="571" t="str">
        <f>IFERROR(
  AVERAGEIFS(
    'New LF Efficacy'!$J:$J,
    'New LF Efficacy'!$D:$D, $A79,
    'New LF Efficacy'!$F:$F,"DEC", 
    'New LF Efficacy'!$W:$W,"&lt;2016",
    'New LF Efficacy'!$AA:$AA,""),
  ""
)</f>
        <v/>
      </c>
      <c r="AO79" s="582">
        <f t="shared" si="12"/>
        <v>0.3573520833</v>
      </c>
      <c r="AP79" s="571" t="str">
        <f>IFERROR(
AVERAGEIFS(
'New LF Efficacy'!$J:$J,
'New LF Efficacy'!$D:$D,$A79,
'New LF Efficacy'!$F:$F,"Albendazole &amp; DEC",
'New LF Efficacy'!$W:$W,"&lt;2016",
'New LF Efficacy'!$AA:$AA,""),
"")</f>
        <v/>
      </c>
      <c r="AQ79" s="582">
        <f t="shared" si="13"/>
        <v>0.5143541667</v>
      </c>
      <c r="AR79" s="571" t="str">
        <f>IFERROR(
AVERAGEIFS(
'New LF Efficacy'!$J:$J,
'New LF Efficacy'!$D:$D,$A79,
'New LF Efficacy'!$F:$F,"Albendazole &amp; Ivermectin", 
'New LF Efficacy'!$W:$W,"&lt;2016",
'New LF Efficacy'!$AA:$AA,""),"")</f>
        <v/>
      </c>
      <c r="AS79" s="582">
        <f t="shared" si="14"/>
        <v>0.37153125</v>
      </c>
      <c r="AT79" s="583" t="str">
        <f>IFERROR(AVERAGEIFS(
'Schist Efficacy'!$O:$O, 
'Schist Efficacy'!$C:$C,$A79, 
'Schist Efficacy'!$D:$D, "Praziquantel",
'Schist Efficacy'!$J:$J,"&lt;2016",
'Schist Efficacy'!$U:$U,""),
"")</f>
        <v/>
      </c>
      <c r="AU79" s="572">
        <f t="shared" si="15"/>
        <v>0.655</v>
      </c>
      <c r="AV79" s="131" t="str">
        <f>IFERROR(AVERAGEIFS(
'STH Efficacy'!$AX:$AX, 
'STH Efficacy'!$AL:$AL, $A79, 
'STH Efficacy'!$AM:$AM, "Albendazole",
'STH Efficacy'!$AS:$AS,"&lt;2016",
'STH Efficacy'!$BP:$BP,""),
"")</f>
        <v/>
      </c>
      <c r="AW79" s="132">
        <f t="shared" si="16"/>
        <v>0.4143846154</v>
      </c>
      <c r="AX79" s="131" t="str">
        <f>IFERROR(AVERAGEIFS(
'STH Efficacy'!$AX:$AX, 
'STH Efficacy'!$AL:$AL, $A79, 
'STH Efficacy'!$AM:$AM, "Mebendazole",
'STH Efficacy'!$AS:$AS,"&lt;2016",
'STH Efficacy'!$BP:$BP,""),
"")</f>
        <v/>
      </c>
      <c r="AY79" s="132">
        <f t="shared" si="17"/>
        <v>0.4691770833</v>
      </c>
      <c r="AZ79" s="131" t="str">
        <f>IFERROR(AVERAGEIFS(
'STH Efficacy'!$AX:$AX, 
'STH Efficacy'!$AL:$AL, $A79, 
'STH Efficacy'!$AM:$AM, "Albendazole &amp; Ivermectin",
'STH Efficacy'!$AS:$AS,"&lt;2016",
'STH Efficacy'!$BP:$BP,""),
"")</f>
        <v/>
      </c>
      <c r="BA79" s="303">
        <f t="shared" si="18"/>
        <v>0.597625</v>
      </c>
      <c r="BB79" s="584" t="str">
        <f>IFERROR(AVERAGEIFS(
'STH Efficacy'!$N:$N, 
'STH Efficacy'!$B:$B, $A79, 
'STH Efficacy'!$C:$C, "Albendazole",
'STH Efficacy'!$I:$I,"&lt;2016",
'STH Efficacy'!$AH:$AH,""),
"")</f>
        <v/>
      </c>
      <c r="BC79" s="579">
        <f t="shared" si="19"/>
        <v>0.7613712121</v>
      </c>
      <c r="BD79" s="584" t="str">
        <f>IFERROR(AVERAGEIFS(
'STH Efficacy'!$N:$N, 
'STH Efficacy'!$B:$B, $A79, 
'STH Efficacy'!$C:$C, "Mebendazole",
'STH Efficacy'!$I:$I,"&lt;2016",
'STH Efficacy'!$AH:$AH,""),
"")</f>
        <v/>
      </c>
      <c r="BE79" s="579">
        <f t="shared" si="20"/>
        <v>0.4362466667</v>
      </c>
      <c r="BF79" s="585" t="str">
        <f>IFERROR(AVERAGEIFS(
'STH Efficacy'!$CD:$CD, 
'STH Efficacy'!$BS:$BS, $A79, 
'STH Efficacy'!$BT:$BT, "Albendazole",
'STH Efficacy'!$BZ:$BZ,"&lt;2016",
'STH Efficacy'!$CU:$CU,""),
"")</f>
        <v/>
      </c>
      <c r="BG79" s="580">
        <f t="shared" si="21"/>
        <v>0.9216027778</v>
      </c>
      <c r="BH79" s="585" t="str">
        <f>IFERROR(AVERAGEIFS(
'STH Efficacy'!$CD:$CD, 
'STH Efficacy'!$BS:$BS, $A79, 
'STH Efficacy'!$BT:$BT, "Mebendazole",
'STH Efficacy'!$BZ:$BZ,"&lt;2016",
'STH Efficacy'!$CU:$CU,""),
"")</f>
        <v/>
      </c>
      <c r="BI79" s="580">
        <f t="shared" si="22"/>
        <v>0.8866041667</v>
      </c>
      <c r="BJ79" s="585" t="str">
        <f>IFERROR(AVERAGEIFS(
'STH Efficacy'!$CD:$CD, 
'STH Efficacy'!$BS:$BS, $A79, 
'STH Efficacy'!$BT:$BT, "Albendazole &amp; Ivermectin",
'STH Efficacy'!$BZ:$BZ,"&lt;2016",
'STH Efficacy'!$CU:$CU,""),
"")</f>
        <v/>
      </c>
      <c r="BK79" s="580">
        <f t="shared" si="23"/>
        <v>0.848</v>
      </c>
      <c r="BL79" s="575" t="str">
        <f>IFERROR(
  AVERAGEIFS(
    'NEW Onchocerciasis Efficacy'!$AO:$AO,
    'NEW Onchocerciasis Efficacy'!$C:$C,$A79,
    'NEW Onchocerciasis Efficacy'!$D:$D,"Ivermectin",
    'NEW Onchocerciasis Efficacy'!$AR:$AR,"&lt;2016",
    'NEW Onchocerciasis Efficacy'!$BG:$BG,"")
,"")</f>
        <v/>
      </c>
      <c r="BM79" s="586">
        <f t="shared" si="24"/>
        <v>0.7808368939</v>
      </c>
      <c r="BN79" s="587">
        <v>0.0</v>
      </c>
      <c r="BO79" s="588">
        <v>0.0</v>
      </c>
      <c r="BP79" s="589">
        <v>0.0</v>
      </c>
      <c r="BQ79" s="590">
        <f t="shared" si="25"/>
        <v>0</v>
      </c>
      <c r="BR79" s="560" t="str">
        <f t="shared" si="26"/>
        <v>0000</v>
      </c>
      <c r="BS79" s="560" t="str">
        <f t="shared" si="27"/>
        <v>no action required</v>
      </c>
      <c r="BT79" s="361" t="str">
        <f t="shared" si="28"/>
        <v/>
      </c>
      <c r="BU79" s="591" t="str">
        <f t="shared" si="29"/>
        <v/>
      </c>
      <c r="BV79" s="560" t="str">
        <f t="shared" si="30"/>
        <v>none</v>
      </c>
      <c r="BW79" s="150" t="str">
        <f t="shared" si="31"/>
        <v/>
      </c>
      <c r="BX79" s="150" t="str">
        <f t="shared" si="32"/>
        <v/>
      </c>
      <c r="BY79" s="151" t="str">
        <f t="shared" si="33"/>
        <v/>
      </c>
      <c r="BZ79" s="152" t="str">
        <f t="shared" si="34"/>
        <v/>
      </c>
      <c r="CA79" s="152" t="str">
        <f t="shared" si="35"/>
        <v/>
      </c>
      <c r="CB79" s="152" t="str">
        <f t="shared" si="36"/>
        <v/>
      </c>
      <c r="CC79" s="153" t="str">
        <f t="shared" si="37"/>
        <v/>
      </c>
      <c r="CD79" s="153" t="str">
        <f t="shared" si="38"/>
        <v/>
      </c>
      <c r="CE79" s="154" t="str">
        <f t="shared" si="39"/>
        <v/>
      </c>
      <c r="CF79" s="154" t="str">
        <f t="shared" si="40"/>
        <v/>
      </c>
      <c r="CG79" s="154" t="str">
        <f t="shared" si="41"/>
        <v/>
      </c>
      <c r="CH79" s="308" t="str">
        <f t="shared" si="42"/>
        <v/>
      </c>
    </row>
    <row r="80">
      <c r="A80" s="559" t="s">
        <v>169</v>
      </c>
      <c r="B80" s="560" t="s">
        <v>90</v>
      </c>
      <c r="C80" s="561">
        <v>8.1686611E7</v>
      </c>
      <c r="D80" s="562">
        <v>0.0</v>
      </c>
      <c r="E80" s="563">
        <v>0.0</v>
      </c>
      <c r="F80" s="564">
        <v>0.0</v>
      </c>
      <c r="G80" s="564">
        <v>0.0</v>
      </c>
      <c r="H80" s="564">
        <v>0.0</v>
      </c>
      <c r="I80" s="565">
        <v>0.0</v>
      </c>
      <c r="J80" s="566">
        <v>0.0</v>
      </c>
      <c r="K80" s="566">
        <v>0.0</v>
      </c>
      <c r="L80" s="567">
        <v>0.0</v>
      </c>
      <c r="M80" s="568">
        <v>0.0</v>
      </c>
      <c r="N80" s="568">
        <v>0.0</v>
      </c>
      <c r="O80" s="631">
        <v>0.0</v>
      </c>
      <c r="P80" s="570"/>
      <c r="Q80" s="150"/>
      <c r="R80" s="571"/>
      <c r="S80" s="116">
        <f t="shared" si="6"/>
        <v>0.6648642857</v>
      </c>
      <c r="T80" s="151"/>
      <c r="U80" s="572">
        <f t="shared" si="7"/>
        <v>0.53016</v>
      </c>
      <c r="V80" s="573">
        <v>0.0</v>
      </c>
      <c r="W80" s="574">
        <f t="shared" si="8"/>
        <v>0</v>
      </c>
      <c r="X80" s="573">
        <v>0.0</v>
      </c>
      <c r="Y80" s="574">
        <f t="shared" si="9"/>
        <v>0</v>
      </c>
      <c r="Z80" s="308"/>
      <c r="AA80" s="308"/>
      <c r="AB80" s="575" t="str">
        <f t="shared" si="10"/>
        <v/>
      </c>
      <c r="AC80" s="576">
        <f t="shared" si="11"/>
        <v>0.7192241206</v>
      </c>
      <c r="AD80" s="577">
        <v>0.0</v>
      </c>
      <c r="AE80" s="572">
        <v>0.0</v>
      </c>
      <c r="AF80" s="578">
        <v>0.0</v>
      </c>
      <c r="AG80" s="132">
        <v>0.0</v>
      </c>
      <c r="AH80" s="132">
        <v>0.0</v>
      </c>
      <c r="AI80" s="579">
        <v>0.0</v>
      </c>
      <c r="AJ80" s="579">
        <v>0.0</v>
      </c>
      <c r="AK80" s="580">
        <v>0.0</v>
      </c>
      <c r="AL80" s="580">
        <v>0.0</v>
      </c>
      <c r="AM80" s="581">
        <v>0.0</v>
      </c>
      <c r="AN80" s="571" t="str">
        <f>IFERROR(
  AVERAGEIFS(
    'New LF Efficacy'!$J:$J,
    'New LF Efficacy'!$D:$D, $A80,
    'New LF Efficacy'!$F:$F,"DEC", 
    'New LF Efficacy'!$W:$W,"&lt;2016",
    'New LF Efficacy'!$AA:$AA,""),
  ""
)</f>
        <v/>
      </c>
      <c r="AO80" s="582">
        <f t="shared" si="12"/>
        <v>0.3573520833</v>
      </c>
      <c r="AP80" s="571" t="str">
        <f>IFERROR(
AVERAGEIFS(
'New LF Efficacy'!$J:$J,
'New LF Efficacy'!$D:$D,$A80,
'New LF Efficacy'!$F:$F,"Albendazole &amp; DEC",
'New LF Efficacy'!$W:$W,"&lt;2016",
'New LF Efficacy'!$AA:$AA,""),
"")</f>
        <v/>
      </c>
      <c r="AQ80" s="582">
        <f t="shared" si="13"/>
        <v>0.5143541667</v>
      </c>
      <c r="AR80" s="571" t="str">
        <f>IFERROR(
AVERAGEIFS(
'New LF Efficacy'!$J:$J,
'New LF Efficacy'!$D:$D,$A80,
'New LF Efficacy'!$F:$F,"Albendazole &amp; Ivermectin", 
'New LF Efficacy'!$W:$W,"&lt;2016",
'New LF Efficacy'!$AA:$AA,""),"")</f>
        <v/>
      </c>
      <c r="AS80" s="582">
        <f t="shared" si="14"/>
        <v>0.37153125</v>
      </c>
      <c r="AT80" s="583" t="str">
        <f>IFERROR(AVERAGEIFS(
'Schist Efficacy'!$O:$O, 
'Schist Efficacy'!$C:$C,$A80, 
'Schist Efficacy'!$D:$D, "Praziquantel",
'Schist Efficacy'!$J:$J,"&lt;2016",
'Schist Efficacy'!$U:$U,""),
"")</f>
        <v/>
      </c>
      <c r="AU80" s="572">
        <f t="shared" si="15"/>
        <v>0.655</v>
      </c>
      <c r="AV80" s="131" t="str">
        <f>IFERROR(AVERAGEIFS(
'STH Efficacy'!$AX:$AX, 
'STH Efficacy'!$AL:$AL, $A80, 
'STH Efficacy'!$AM:$AM, "Albendazole",
'STH Efficacy'!$AS:$AS,"&lt;2016",
'STH Efficacy'!$BP:$BP,""),
"")</f>
        <v/>
      </c>
      <c r="AW80" s="132">
        <f t="shared" si="16"/>
        <v>0.4143846154</v>
      </c>
      <c r="AX80" s="131" t="str">
        <f>IFERROR(AVERAGEIFS(
'STH Efficacy'!$AX:$AX, 
'STH Efficacy'!$AL:$AL, $A80, 
'STH Efficacy'!$AM:$AM, "Mebendazole",
'STH Efficacy'!$AS:$AS,"&lt;2016",
'STH Efficacy'!$BP:$BP,""),
"")</f>
        <v/>
      </c>
      <c r="AY80" s="132">
        <f t="shared" si="17"/>
        <v>0.4691770833</v>
      </c>
      <c r="AZ80" s="131" t="str">
        <f>IFERROR(AVERAGEIFS(
'STH Efficacy'!$AX:$AX, 
'STH Efficacy'!$AL:$AL, $A80, 
'STH Efficacy'!$AM:$AM, "Albendazole &amp; Ivermectin",
'STH Efficacy'!$AS:$AS,"&lt;2016",
'STH Efficacy'!$BP:$BP,""),
"")</f>
        <v/>
      </c>
      <c r="BA80" s="303">
        <f t="shared" si="18"/>
        <v>0.597625</v>
      </c>
      <c r="BB80" s="584" t="str">
        <f>IFERROR(AVERAGEIFS(
'STH Efficacy'!$N:$N, 
'STH Efficacy'!$B:$B, $A80, 
'STH Efficacy'!$C:$C, "Albendazole",
'STH Efficacy'!$I:$I,"&lt;2016",
'STH Efficacy'!$AH:$AH,""),
"")</f>
        <v/>
      </c>
      <c r="BC80" s="579">
        <f t="shared" si="19"/>
        <v>0.7613712121</v>
      </c>
      <c r="BD80" s="584" t="str">
        <f>IFERROR(AVERAGEIFS(
'STH Efficacy'!$N:$N, 
'STH Efficacy'!$B:$B, $A80, 
'STH Efficacy'!$C:$C, "Mebendazole",
'STH Efficacy'!$I:$I,"&lt;2016",
'STH Efficacy'!$AH:$AH,""),
"")</f>
        <v/>
      </c>
      <c r="BE80" s="579">
        <f t="shared" si="20"/>
        <v>0.4362466667</v>
      </c>
      <c r="BF80" s="585" t="str">
        <f>IFERROR(AVERAGEIFS(
'STH Efficacy'!$CD:$CD, 
'STH Efficacy'!$BS:$BS, $A80, 
'STH Efficacy'!$BT:$BT, "Albendazole",
'STH Efficacy'!$BZ:$BZ,"&lt;2016",
'STH Efficacy'!$CU:$CU,""),
"")</f>
        <v/>
      </c>
      <c r="BG80" s="580">
        <f t="shared" si="21"/>
        <v>0.9216027778</v>
      </c>
      <c r="BH80" s="585" t="str">
        <f>IFERROR(AVERAGEIFS(
'STH Efficacy'!$CD:$CD, 
'STH Efficacy'!$BS:$BS, $A80, 
'STH Efficacy'!$BT:$BT, "Mebendazole",
'STH Efficacy'!$BZ:$BZ,"&lt;2016",
'STH Efficacy'!$CU:$CU,""),
"")</f>
        <v/>
      </c>
      <c r="BI80" s="580">
        <f t="shared" si="22"/>
        <v>0.8866041667</v>
      </c>
      <c r="BJ80" s="585" t="str">
        <f>IFERROR(AVERAGEIFS(
'STH Efficacy'!$CD:$CD, 
'STH Efficacy'!$BS:$BS, $A80, 
'STH Efficacy'!$BT:$BT, "Albendazole &amp; Ivermectin",
'STH Efficacy'!$BZ:$BZ,"&lt;2016",
'STH Efficacy'!$CU:$CU,""),
"")</f>
        <v/>
      </c>
      <c r="BK80" s="580">
        <f t="shared" si="23"/>
        <v>0.848</v>
      </c>
      <c r="BL80" s="575" t="str">
        <f>IFERROR(
  AVERAGEIFS(
    'NEW Onchocerciasis Efficacy'!$AO:$AO,
    'NEW Onchocerciasis Efficacy'!$C:$C,$A80,
    'NEW Onchocerciasis Efficacy'!$D:$D,"Ivermectin",
    'NEW Onchocerciasis Efficacy'!$AR:$AR,"&lt;2016",
    'NEW Onchocerciasis Efficacy'!$BG:$BG,"")
,"")</f>
        <v/>
      </c>
      <c r="BM80" s="586">
        <f t="shared" si="24"/>
        <v>0.7808368939</v>
      </c>
      <c r="BN80" s="587">
        <v>0.0</v>
      </c>
      <c r="BO80" s="588">
        <v>0.0</v>
      </c>
      <c r="BP80" s="589">
        <v>0.0</v>
      </c>
      <c r="BQ80" s="590">
        <f t="shared" si="25"/>
        <v>0</v>
      </c>
      <c r="BR80" s="560" t="str">
        <f t="shared" si="26"/>
        <v>0000</v>
      </c>
      <c r="BS80" s="560" t="str">
        <f t="shared" si="27"/>
        <v>no action required</v>
      </c>
      <c r="BT80" s="361" t="str">
        <f t="shared" si="28"/>
        <v/>
      </c>
      <c r="BU80" s="591" t="str">
        <f t="shared" si="29"/>
        <v/>
      </c>
      <c r="BV80" s="560" t="str">
        <f t="shared" si="30"/>
        <v>none</v>
      </c>
      <c r="BW80" s="150" t="str">
        <f t="shared" si="31"/>
        <v/>
      </c>
      <c r="BX80" s="150" t="str">
        <f t="shared" si="32"/>
        <v/>
      </c>
      <c r="BY80" s="151" t="str">
        <f t="shared" si="33"/>
        <v/>
      </c>
      <c r="BZ80" s="152" t="str">
        <f t="shared" si="34"/>
        <v/>
      </c>
      <c r="CA80" s="152" t="str">
        <f t="shared" si="35"/>
        <v/>
      </c>
      <c r="CB80" s="152" t="str">
        <f t="shared" si="36"/>
        <v/>
      </c>
      <c r="CC80" s="153" t="str">
        <f t="shared" si="37"/>
        <v/>
      </c>
      <c r="CD80" s="153" t="str">
        <f t="shared" si="38"/>
        <v/>
      </c>
      <c r="CE80" s="154" t="str">
        <f t="shared" si="39"/>
        <v/>
      </c>
      <c r="CF80" s="154" t="str">
        <f t="shared" si="40"/>
        <v/>
      </c>
      <c r="CG80" s="154" t="str">
        <f t="shared" si="41"/>
        <v/>
      </c>
      <c r="CH80" s="308" t="str">
        <f t="shared" si="42"/>
        <v/>
      </c>
    </row>
    <row r="81">
      <c r="A81" s="559" t="s">
        <v>170</v>
      </c>
      <c r="B81" s="560" t="s">
        <v>92</v>
      </c>
      <c r="C81" s="561">
        <v>2.7582821E7</v>
      </c>
      <c r="D81" s="562">
        <v>1757.431738</v>
      </c>
      <c r="E81" s="563">
        <v>14566.1382055727</v>
      </c>
      <c r="F81" s="564">
        <v>0.006045187</v>
      </c>
      <c r="G81" s="564">
        <v>0.049734674</v>
      </c>
      <c r="H81" s="564">
        <v>0.268765334</v>
      </c>
      <c r="I81" s="565">
        <v>570.3966631</v>
      </c>
      <c r="J81" s="566">
        <v>1878.9466464432</v>
      </c>
      <c r="K81" s="566">
        <v>7954.69010420728</v>
      </c>
      <c r="L81" s="567">
        <v>411.2361692</v>
      </c>
      <c r="M81" s="568">
        <v>91.7146585263339</v>
      </c>
      <c r="N81" s="568">
        <v>574.271420751078</v>
      </c>
      <c r="O81" s="631">
        <v>489.0</v>
      </c>
      <c r="P81" s="601">
        <v>59929.0592235</v>
      </c>
      <c r="Q81" s="618">
        <v>691799.0</v>
      </c>
      <c r="R81" s="603">
        <v>0.4937</v>
      </c>
      <c r="S81" s="116">
        <f t="shared" si="6"/>
        <v>0.4937</v>
      </c>
      <c r="T81" s="572">
        <v>0.2135</v>
      </c>
      <c r="U81" s="572">
        <f t="shared" si="7"/>
        <v>0.2135</v>
      </c>
      <c r="V81" s="598"/>
      <c r="W81" s="574">
        <f t="shared" si="8"/>
        <v>0.7605133333</v>
      </c>
      <c r="X81" s="573">
        <v>0.1614</v>
      </c>
      <c r="Y81" s="574">
        <f t="shared" si="9"/>
        <v>0.1614</v>
      </c>
      <c r="Z81" s="604">
        <v>8066348.0</v>
      </c>
      <c r="AA81" s="604">
        <v>4403121.0</v>
      </c>
      <c r="AB81" s="576">
        <f t="shared" si="10"/>
        <v>0.5458630101</v>
      </c>
      <c r="AC81" s="576">
        <f t="shared" si="11"/>
        <v>0.5458630101</v>
      </c>
      <c r="AD81" s="577">
        <v>0.002039389928</v>
      </c>
      <c r="AE81" s="572">
        <v>0.03294961685</v>
      </c>
      <c r="AF81" s="578">
        <v>0.007053706435</v>
      </c>
      <c r="AG81" s="132">
        <v>0.00967296497</v>
      </c>
      <c r="AH81" s="132">
        <v>0.031574275</v>
      </c>
      <c r="AI81" s="579">
        <v>0.07398978861</v>
      </c>
      <c r="AJ81" s="579">
        <v>0.09263851602</v>
      </c>
      <c r="AK81" s="580">
        <v>0.03487912525</v>
      </c>
      <c r="AL81" s="580">
        <v>0.0414739652</v>
      </c>
      <c r="AM81" s="581">
        <v>2.037501285E-4</v>
      </c>
      <c r="AN81" s="571" t="str">
        <f>IFERROR(
  AVERAGEIFS(
    'New LF Efficacy'!$J:$J,
    'New LF Efficacy'!$D:$D, $A81,
    'New LF Efficacy'!$F:$F,"DEC", 
    'New LF Efficacy'!$W:$W,"&lt;2016",
    'New LF Efficacy'!$AA:$AA,""),
  ""
)</f>
        <v/>
      </c>
      <c r="AO81" s="582">
        <f t="shared" si="12"/>
        <v>0.31225</v>
      </c>
      <c r="AP81" s="571" t="str">
        <f>IFERROR(
AVERAGEIFS(
'New LF Efficacy'!$J:$J,
'New LF Efficacy'!$D:$D,$A81,
'New LF Efficacy'!$F:$F,"Albendazole &amp; DEC",
'New LF Efficacy'!$W:$W,"&lt;2016",
'New LF Efficacy'!$AA:$AA,""),
"")</f>
        <v/>
      </c>
      <c r="AQ81" s="582">
        <f t="shared" si="13"/>
        <v>0.4</v>
      </c>
      <c r="AR81" s="571">
        <f>IFERROR(
AVERAGEIFS(
'New LF Efficacy'!$J:$J,
'New LF Efficacy'!$D:$D,$A81,
'New LF Efficacy'!$F:$F,"Albendazole &amp; Ivermectin", 
'New LF Efficacy'!$W:$W,"&lt;2016",
'New LF Efficacy'!$AA:$AA,""),"")</f>
        <v>0.394625</v>
      </c>
      <c r="AS81" s="582">
        <f t="shared" si="14"/>
        <v>0.394625</v>
      </c>
      <c r="AT81" s="583" t="str">
        <f>IFERROR(AVERAGEIFS(
'Schist Efficacy'!$O:$O, 
'Schist Efficacy'!$C:$C,$A81, 
'Schist Efficacy'!$D:$D, "Praziquantel",
'Schist Efficacy'!$J:$J,"&lt;2016",
'Schist Efficacy'!$U:$U,""),
"")</f>
        <v/>
      </c>
      <c r="AU81" s="572">
        <f t="shared" si="15"/>
        <v>0.7206464759</v>
      </c>
      <c r="AV81" s="131" t="str">
        <f>IFERROR(AVERAGEIFS(
'STH Efficacy'!$AX:$AX, 
'STH Efficacy'!$AL:$AL, $A81, 
'STH Efficacy'!$AM:$AM, "Albendazole",
'STH Efficacy'!$AS:$AS,"&lt;2016",
'STH Efficacy'!$BP:$BP,""),
"")</f>
        <v/>
      </c>
      <c r="AW81" s="132">
        <f t="shared" si="16"/>
        <v>0.3816333333</v>
      </c>
      <c r="AX81" s="131" t="str">
        <f>IFERROR(AVERAGEIFS(
'STH Efficacy'!$AX:$AX, 
'STH Efficacy'!$AL:$AL, $A81, 
'STH Efficacy'!$AM:$AM, "Mebendazole",
'STH Efficacy'!$AS:$AS,"&lt;2016",
'STH Efficacy'!$BP:$BP,""),
"")</f>
        <v/>
      </c>
      <c r="AY81" s="132">
        <f t="shared" si="17"/>
        <v>0.4859375</v>
      </c>
      <c r="AZ81" s="131" t="str">
        <f>IFERROR(AVERAGEIFS(
'STH Efficacy'!$AX:$AX, 
'STH Efficacy'!$AL:$AL, $A81, 
'STH Efficacy'!$AM:$AM, "Albendazole &amp; Ivermectin",
'STH Efficacy'!$AS:$AS,"&lt;2016",
'STH Efficacy'!$BP:$BP,""),
"")</f>
        <v/>
      </c>
      <c r="BA81" s="303">
        <f t="shared" si="18"/>
        <v>0.47175</v>
      </c>
      <c r="BB81" s="584" t="str">
        <f>IFERROR(AVERAGEIFS(
'STH Efficacy'!$N:$N, 
'STH Efficacy'!$B:$B, $A81, 
'STH Efficacy'!$C:$C, "Albendazole",
'STH Efficacy'!$I:$I,"&lt;2016",
'STH Efficacy'!$AH:$AH,""),
"")</f>
        <v/>
      </c>
      <c r="BC81" s="579">
        <f t="shared" si="19"/>
        <v>0.8699166667</v>
      </c>
      <c r="BD81" s="584" t="str">
        <f>IFERROR(AVERAGEIFS(
'STH Efficacy'!$N:$N, 
'STH Efficacy'!$B:$B, $A81, 
'STH Efficacy'!$C:$C, "Mebendazole",
'STH Efficacy'!$I:$I,"&lt;2016",
'STH Efficacy'!$AH:$AH,""),
"")</f>
        <v/>
      </c>
      <c r="BE81" s="579">
        <f t="shared" si="20"/>
        <v>0.7092416667</v>
      </c>
      <c r="BF81" s="585" t="str">
        <f>IFERROR(AVERAGEIFS(
'STH Efficacy'!$CD:$CD, 
'STH Efficacy'!$BS:$BS, $A81, 
'STH Efficacy'!$BT:$BT, "Albendazole",
'STH Efficacy'!$BZ:$BZ,"&lt;2016",
'STH Efficacy'!$CU:$CU,""),
"")</f>
        <v/>
      </c>
      <c r="BG81" s="580">
        <f t="shared" si="21"/>
        <v>0.9066666667</v>
      </c>
      <c r="BH81" s="585" t="str">
        <f>IFERROR(AVERAGEIFS(
'STH Efficacy'!$CD:$CD, 
'STH Efficacy'!$BS:$BS, $A81, 
'STH Efficacy'!$BT:$BT, "Mebendazole",
'STH Efficacy'!$BZ:$BZ,"&lt;2016",
'STH Efficacy'!$CU:$CU,""),
"")</f>
        <v/>
      </c>
      <c r="BI81" s="580">
        <f t="shared" si="22"/>
        <v>0.8483333333</v>
      </c>
      <c r="BJ81" s="585" t="str">
        <f>IFERROR(AVERAGEIFS(
'STH Efficacy'!$CD:$CD, 
'STH Efficacy'!$BS:$BS, $A81, 
'STH Efficacy'!$BT:$BT, "Albendazole &amp; Ivermectin",
'STH Efficacy'!$BZ:$BZ,"&lt;2016",
'STH Efficacy'!$CU:$CU,""),
"")</f>
        <v/>
      </c>
      <c r="BK81" s="580">
        <f t="shared" si="23"/>
        <v>0.696</v>
      </c>
      <c r="BL81" s="575">
        <f>IFERROR(
  AVERAGEIFS(
    'NEW Onchocerciasis Efficacy'!$AO:$AO,
    'NEW Onchocerciasis Efficacy'!$C:$C,$A81,
    'NEW Onchocerciasis Efficacy'!$D:$D,"Ivermectin",
    'NEW Onchocerciasis Efficacy'!$AR:$AR,"&lt;2016",
    'NEW Onchocerciasis Efficacy'!$BG:$BG,"")
,"")</f>
        <v>0.8558066667</v>
      </c>
      <c r="BM81" s="586">
        <f t="shared" si="24"/>
        <v>0.8558066667</v>
      </c>
      <c r="BN81" s="587">
        <v>1.0</v>
      </c>
      <c r="BO81" s="588">
        <v>1.0</v>
      </c>
      <c r="BP81" s="589">
        <v>1.0</v>
      </c>
      <c r="BQ81" s="590">
        <f t="shared" si="25"/>
        <v>0</v>
      </c>
      <c r="BR81" s="560" t="str">
        <f t="shared" si="26"/>
        <v>1110</v>
      </c>
      <c r="BS81" s="560" t="str">
        <f t="shared" si="27"/>
        <v>MDA1+T2</v>
      </c>
      <c r="BT81" s="606" t="str">
        <f t="shared" si="28"/>
        <v>IVM+ALB</v>
      </c>
      <c r="BU81" s="560" t="str">
        <f t="shared" si="29"/>
        <v>PZQ</v>
      </c>
      <c r="BV81" s="560" t="str">
        <f t="shared" si="30"/>
        <v>lf+onch+schist </v>
      </c>
      <c r="BW81" s="150" t="str">
        <f t="shared" si="31"/>
        <v/>
      </c>
      <c r="BX81" s="607">
        <f t="shared" si="32"/>
        <v>425.242478</v>
      </c>
      <c r="BY81" s="608">
        <f t="shared" si="33"/>
        <v>2648.630231</v>
      </c>
      <c r="BZ81" s="152" t="str">
        <f t="shared" si="34"/>
        <v/>
      </c>
      <c r="CA81" s="152" t="str">
        <f t="shared" si="35"/>
        <v/>
      </c>
      <c r="CB81" s="152" t="str">
        <f t="shared" si="36"/>
        <v/>
      </c>
      <c r="CC81" s="153" t="str">
        <f t="shared" si="37"/>
        <v/>
      </c>
      <c r="CD81" s="153" t="str">
        <f t="shared" si="38"/>
        <v/>
      </c>
      <c r="CE81" s="154" t="str">
        <f t="shared" si="39"/>
        <v/>
      </c>
      <c r="CF81" s="154" t="str">
        <f t="shared" si="40"/>
        <v/>
      </c>
      <c r="CG81" s="154" t="str">
        <f t="shared" si="41"/>
        <v/>
      </c>
      <c r="CH81" s="609">
        <f t="shared" si="42"/>
        <v>14.29040628</v>
      </c>
    </row>
    <row r="82">
      <c r="A82" s="559" t="s">
        <v>171</v>
      </c>
      <c r="B82" s="560" t="s">
        <v>90</v>
      </c>
      <c r="C82" s="561">
        <v>1.0820883E7</v>
      </c>
      <c r="D82" s="562">
        <v>0.0</v>
      </c>
      <c r="E82" s="563">
        <v>0.0</v>
      </c>
      <c r="F82" s="564">
        <v>0.0</v>
      </c>
      <c r="G82" s="564">
        <v>0.0</v>
      </c>
      <c r="H82" s="564">
        <v>0.0</v>
      </c>
      <c r="I82" s="565">
        <v>0.0</v>
      </c>
      <c r="J82" s="566">
        <v>0.0</v>
      </c>
      <c r="K82" s="566">
        <v>0.0</v>
      </c>
      <c r="L82" s="567">
        <v>0.0</v>
      </c>
      <c r="M82" s="568">
        <v>0.0</v>
      </c>
      <c r="N82" s="568">
        <v>0.0</v>
      </c>
      <c r="O82" s="569">
        <v>0.0</v>
      </c>
      <c r="P82" s="570"/>
      <c r="Q82" s="150"/>
      <c r="R82" s="571"/>
      <c r="S82" s="116">
        <f t="shared" si="6"/>
        <v>0.6648642857</v>
      </c>
      <c r="T82" s="151"/>
      <c r="U82" s="572">
        <f t="shared" si="7"/>
        <v>0.53016</v>
      </c>
      <c r="V82" s="598"/>
      <c r="W82" s="574" t="b">
        <f t="shared" si="8"/>
        <v>0</v>
      </c>
      <c r="X82" s="598"/>
      <c r="Y82" s="574">
        <f t="shared" si="9"/>
        <v>0.631675</v>
      </c>
      <c r="Z82" s="308"/>
      <c r="AA82" s="308"/>
      <c r="AB82" s="575" t="str">
        <f t="shared" si="10"/>
        <v/>
      </c>
      <c r="AC82" s="576">
        <f t="shared" si="11"/>
        <v>0.7192241206</v>
      </c>
      <c r="AD82" s="577">
        <v>0.0</v>
      </c>
      <c r="AE82" s="572">
        <v>0.0</v>
      </c>
      <c r="AF82" s="578">
        <v>0.0</v>
      </c>
      <c r="AG82" s="132">
        <v>0.0</v>
      </c>
      <c r="AH82" s="132">
        <v>0.0</v>
      </c>
      <c r="AI82" s="579">
        <v>0.0</v>
      </c>
      <c r="AJ82" s="579">
        <v>0.0</v>
      </c>
      <c r="AK82" s="580">
        <v>0.0</v>
      </c>
      <c r="AL82" s="580">
        <v>0.0</v>
      </c>
      <c r="AM82" s="581">
        <v>0.0</v>
      </c>
      <c r="AN82" s="571" t="str">
        <f>IFERROR(
  AVERAGEIFS(
    'New LF Efficacy'!$J:$J,
    'New LF Efficacy'!$D:$D, $A82,
    'New LF Efficacy'!$F:$F,"DEC", 
    'New LF Efficacy'!$W:$W,"&lt;2016",
    'New LF Efficacy'!$AA:$AA,""),
  ""
)</f>
        <v/>
      </c>
      <c r="AO82" s="582">
        <f t="shared" si="12"/>
        <v>0.3573520833</v>
      </c>
      <c r="AP82" s="571" t="str">
        <f>IFERROR(
AVERAGEIFS(
'New LF Efficacy'!$J:$J,
'New LF Efficacy'!$D:$D,$A82,
'New LF Efficacy'!$F:$F,"Albendazole &amp; DEC",
'New LF Efficacy'!$W:$W,"&lt;2016",
'New LF Efficacy'!$AA:$AA,""),
"")</f>
        <v/>
      </c>
      <c r="AQ82" s="582">
        <f t="shared" si="13"/>
        <v>0.5143541667</v>
      </c>
      <c r="AR82" s="571" t="str">
        <f>IFERROR(
AVERAGEIFS(
'New LF Efficacy'!$J:$J,
'New LF Efficacy'!$D:$D,$A82,
'New LF Efficacy'!$F:$F,"Albendazole &amp; Ivermectin", 
'New LF Efficacy'!$W:$W,"&lt;2016",
'New LF Efficacy'!$AA:$AA,""),"")</f>
        <v/>
      </c>
      <c r="AS82" s="582">
        <f t="shared" si="14"/>
        <v>0.37153125</v>
      </c>
      <c r="AT82" s="583" t="str">
        <f>IFERROR(AVERAGEIFS(
'Schist Efficacy'!$O:$O, 
'Schist Efficacy'!$C:$C,$A82, 
'Schist Efficacy'!$D:$D, "Praziquantel",
'Schist Efficacy'!$J:$J,"&lt;2016",
'Schist Efficacy'!$U:$U,""),
"")</f>
        <v/>
      </c>
      <c r="AU82" s="572">
        <f t="shared" si="15"/>
        <v>0.655</v>
      </c>
      <c r="AV82" s="131" t="str">
        <f>IFERROR(AVERAGEIFS(
'STH Efficacy'!$AX:$AX, 
'STH Efficacy'!$AL:$AL, $A82, 
'STH Efficacy'!$AM:$AM, "Albendazole",
'STH Efficacy'!$AS:$AS,"&lt;2016",
'STH Efficacy'!$BP:$BP,""),
"")</f>
        <v/>
      </c>
      <c r="AW82" s="132">
        <f t="shared" si="16"/>
        <v>0.4143846154</v>
      </c>
      <c r="AX82" s="131" t="str">
        <f>IFERROR(AVERAGEIFS(
'STH Efficacy'!$AX:$AX, 
'STH Efficacy'!$AL:$AL, $A82, 
'STH Efficacy'!$AM:$AM, "Mebendazole",
'STH Efficacy'!$AS:$AS,"&lt;2016",
'STH Efficacy'!$BP:$BP,""),
"")</f>
        <v/>
      </c>
      <c r="AY82" s="132">
        <f t="shared" si="17"/>
        <v>0.4691770833</v>
      </c>
      <c r="AZ82" s="131" t="str">
        <f>IFERROR(AVERAGEIFS(
'STH Efficacy'!$AX:$AX, 
'STH Efficacy'!$AL:$AL, $A82, 
'STH Efficacy'!$AM:$AM, "Albendazole &amp; Ivermectin",
'STH Efficacy'!$AS:$AS,"&lt;2016",
'STH Efficacy'!$BP:$BP,""),
"")</f>
        <v/>
      </c>
      <c r="BA82" s="303">
        <f t="shared" si="18"/>
        <v>0.597625</v>
      </c>
      <c r="BB82" s="584" t="str">
        <f>IFERROR(AVERAGEIFS(
'STH Efficacy'!$N:$N, 
'STH Efficacy'!$B:$B, $A82, 
'STH Efficacy'!$C:$C, "Albendazole",
'STH Efficacy'!$I:$I,"&lt;2016",
'STH Efficacy'!$AH:$AH,""),
"")</f>
        <v/>
      </c>
      <c r="BC82" s="579">
        <f t="shared" si="19"/>
        <v>0.7613712121</v>
      </c>
      <c r="BD82" s="584" t="str">
        <f>IFERROR(AVERAGEIFS(
'STH Efficacy'!$N:$N, 
'STH Efficacy'!$B:$B, $A82, 
'STH Efficacy'!$C:$C, "Mebendazole",
'STH Efficacy'!$I:$I,"&lt;2016",
'STH Efficacy'!$AH:$AH,""),
"")</f>
        <v/>
      </c>
      <c r="BE82" s="579">
        <f t="shared" si="20"/>
        <v>0.4362466667</v>
      </c>
      <c r="BF82" s="585" t="str">
        <f>IFERROR(AVERAGEIFS(
'STH Efficacy'!$CD:$CD, 
'STH Efficacy'!$BS:$BS, $A82, 
'STH Efficacy'!$BT:$BT, "Albendazole",
'STH Efficacy'!$BZ:$BZ,"&lt;2016",
'STH Efficacy'!$CU:$CU,""),
"")</f>
        <v/>
      </c>
      <c r="BG82" s="580">
        <f t="shared" si="21"/>
        <v>0.9216027778</v>
      </c>
      <c r="BH82" s="585" t="str">
        <f>IFERROR(AVERAGEIFS(
'STH Efficacy'!$CD:$CD, 
'STH Efficacy'!$BS:$BS, $A82, 
'STH Efficacy'!$BT:$BT, "Mebendazole",
'STH Efficacy'!$BZ:$BZ,"&lt;2016",
'STH Efficacy'!$CU:$CU,""),
"")</f>
        <v/>
      </c>
      <c r="BI82" s="580">
        <f t="shared" si="22"/>
        <v>0.8866041667</v>
      </c>
      <c r="BJ82" s="585" t="str">
        <f>IFERROR(AVERAGEIFS(
'STH Efficacy'!$CD:$CD, 
'STH Efficacy'!$BS:$BS, $A82, 
'STH Efficacy'!$BT:$BT, "Albendazole &amp; Ivermectin",
'STH Efficacy'!$BZ:$BZ,"&lt;2016",
'STH Efficacy'!$CU:$CU,""),
"")</f>
        <v/>
      </c>
      <c r="BK82" s="580">
        <f t="shared" si="23"/>
        <v>0.848</v>
      </c>
      <c r="BL82" s="575" t="str">
        <f>IFERROR(
  AVERAGEIFS(
    'NEW Onchocerciasis Efficacy'!$AO:$AO,
    'NEW Onchocerciasis Efficacy'!$C:$C,$A82,
    'NEW Onchocerciasis Efficacy'!$D:$D,"Ivermectin",
    'NEW Onchocerciasis Efficacy'!$AR:$AR,"&lt;2016",
    'NEW Onchocerciasis Efficacy'!$BG:$BG,"")
,"")</f>
        <v/>
      </c>
      <c r="BM82" s="586">
        <f t="shared" si="24"/>
        <v>0.7808368939</v>
      </c>
      <c r="BN82" s="587">
        <v>0.0</v>
      </c>
      <c r="BO82" s="588">
        <v>0.0</v>
      </c>
      <c r="BP82" s="589">
        <v>0.0</v>
      </c>
      <c r="BQ82" s="590">
        <f t="shared" si="25"/>
        <v>0</v>
      </c>
      <c r="BR82" s="560" t="str">
        <f t="shared" si="26"/>
        <v>0000</v>
      </c>
      <c r="BS82" s="560" t="str">
        <f t="shared" si="27"/>
        <v>no action required</v>
      </c>
      <c r="BT82" s="361" t="str">
        <f t="shared" si="28"/>
        <v/>
      </c>
      <c r="BU82" s="591" t="str">
        <f t="shared" si="29"/>
        <v/>
      </c>
      <c r="BV82" s="560" t="str">
        <f t="shared" si="30"/>
        <v>none</v>
      </c>
      <c r="BW82" s="150" t="str">
        <f t="shared" si="31"/>
        <v/>
      </c>
      <c r="BX82" s="150" t="str">
        <f t="shared" si="32"/>
        <v/>
      </c>
      <c r="BY82" s="151" t="str">
        <f t="shared" si="33"/>
        <v/>
      </c>
      <c r="BZ82" s="152" t="str">
        <f t="shared" si="34"/>
        <v/>
      </c>
      <c r="CA82" s="152" t="str">
        <f t="shared" si="35"/>
        <v/>
      </c>
      <c r="CB82" s="152" t="str">
        <f t="shared" si="36"/>
        <v/>
      </c>
      <c r="CC82" s="153" t="str">
        <f t="shared" si="37"/>
        <v/>
      </c>
      <c r="CD82" s="153" t="str">
        <f t="shared" si="38"/>
        <v/>
      </c>
      <c r="CE82" s="154" t="str">
        <f t="shared" si="39"/>
        <v/>
      </c>
      <c r="CF82" s="154" t="str">
        <f t="shared" si="40"/>
        <v/>
      </c>
      <c r="CG82" s="154" t="str">
        <f t="shared" si="41"/>
        <v/>
      </c>
      <c r="CH82" s="308" t="str">
        <f t="shared" si="42"/>
        <v/>
      </c>
    </row>
    <row r="83">
      <c r="A83" s="559" t="s">
        <v>172</v>
      </c>
      <c r="B83" s="560" t="s">
        <v>90</v>
      </c>
      <c r="C83" s="635">
        <v>56114.0</v>
      </c>
      <c r="D83" s="562">
        <v>0.0</v>
      </c>
      <c r="E83" s="563">
        <v>0.0</v>
      </c>
      <c r="F83" s="564">
        <v>0.0</v>
      </c>
      <c r="G83" s="564">
        <v>0.0</v>
      </c>
      <c r="H83" s="564">
        <v>0.0</v>
      </c>
      <c r="I83" s="565">
        <v>0.0</v>
      </c>
      <c r="J83" s="566">
        <v>0.0</v>
      </c>
      <c r="K83" s="566">
        <v>0.0</v>
      </c>
      <c r="L83" s="567">
        <v>0.0</v>
      </c>
      <c r="M83" s="568">
        <v>0.0</v>
      </c>
      <c r="N83" s="568">
        <v>0.0</v>
      </c>
      <c r="O83" s="569">
        <v>0.0</v>
      </c>
      <c r="P83" s="570"/>
      <c r="Q83" s="150"/>
      <c r="R83" s="571"/>
      <c r="S83" s="116">
        <f t="shared" si="6"/>
        <v>0.6648642857</v>
      </c>
      <c r="T83" s="151"/>
      <c r="U83" s="572">
        <f t="shared" si="7"/>
        <v>0.53016</v>
      </c>
      <c r="V83" s="598"/>
      <c r="W83" s="574" t="b">
        <f t="shared" si="8"/>
        <v>0</v>
      </c>
      <c r="X83" s="598"/>
      <c r="Y83" s="574">
        <f t="shared" si="9"/>
        <v>0.631675</v>
      </c>
      <c r="Z83" s="308"/>
      <c r="AA83" s="308"/>
      <c r="AB83" s="575" t="str">
        <f t="shared" si="10"/>
        <v/>
      </c>
      <c r="AC83" s="576">
        <f t="shared" si="11"/>
        <v>0.7192241206</v>
      </c>
      <c r="AD83" s="577">
        <v>0.0</v>
      </c>
      <c r="AE83" s="572">
        <v>0.0</v>
      </c>
      <c r="AF83" s="578">
        <v>0.0</v>
      </c>
      <c r="AG83" s="132">
        <v>0.0</v>
      </c>
      <c r="AH83" s="132">
        <v>0.0</v>
      </c>
      <c r="AI83" s="579">
        <v>0.0</v>
      </c>
      <c r="AJ83" s="579">
        <v>0.0</v>
      </c>
      <c r="AK83" s="580">
        <v>0.0</v>
      </c>
      <c r="AL83" s="580">
        <v>0.0</v>
      </c>
      <c r="AM83" s="581">
        <v>0.0</v>
      </c>
      <c r="AN83" s="571" t="str">
        <f>IFERROR(
  AVERAGEIFS(
    'New LF Efficacy'!$J:$J,
    'New LF Efficacy'!$D:$D, $A83,
    'New LF Efficacy'!$F:$F,"DEC", 
    'New LF Efficacy'!$W:$W,"&lt;2016",
    'New LF Efficacy'!$AA:$AA,""),
  ""
)</f>
        <v/>
      </c>
      <c r="AO83" s="582">
        <f t="shared" si="12"/>
        <v>0.3573520833</v>
      </c>
      <c r="AP83" s="571" t="str">
        <f>IFERROR(
AVERAGEIFS(
'New LF Efficacy'!$J:$J,
'New LF Efficacy'!$D:$D,$A83,
'New LF Efficacy'!$F:$F,"Albendazole &amp; DEC",
'New LF Efficacy'!$W:$W,"&lt;2016",
'New LF Efficacy'!$AA:$AA,""),
"")</f>
        <v/>
      </c>
      <c r="AQ83" s="582">
        <f t="shared" si="13"/>
        <v>0.5143541667</v>
      </c>
      <c r="AR83" s="571" t="str">
        <f>IFERROR(
AVERAGEIFS(
'New LF Efficacy'!$J:$J,
'New LF Efficacy'!$D:$D,$A83,
'New LF Efficacy'!$F:$F,"Albendazole &amp; Ivermectin", 
'New LF Efficacy'!$W:$W,"&lt;2016",
'New LF Efficacy'!$AA:$AA,""),"")</f>
        <v/>
      </c>
      <c r="AS83" s="582">
        <f t="shared" si="14"/>
        <v>0.37153125</v>
      </c>
      <c r="AT83" s="583" t="str">
        <f>IFERROR(AVERAGEIFS(
'Schist Efficacy'!$O:$O, 
'Schist Efficacy'!$C:$C,$A83, 
'Schist Efficacy'!$D:$D, "Praziquantel",
'Schist Efficacy'!$J:$J,"&lt;2016",
'Schist Efficacy'!$U:$U,""),
"")</f>
        <v/>
      </c>
      <c r="AU83" s="572">
        <f t="shared" si="15"/>
        <v>0.655</v>
      </c>
      <c r="AV83" s="131" t="str">
        <f>IFERROR(AVERAGEIFS(
'STH Efficacy'!$AX:$AX, 
'STH Efficacy'!$AL:$AL, $A83, 
'STH Efficacy'!$AM:$AM, "Albendazole",
'STH Efficacy'!$AS:$AS,"&lt;2016",
'STH Efficacy'!$BP:$BP,""),
"")</f>
        <v/>
      </c>
      <c r="AW83" s="132">
        <f t="shared" si="16"/>
        <v>0.4143846154</v>
      </c>
      <c r="AX83" s="131" t="str">
        <f>IFERROR(AVERAGEIFS(
'STH Efficacy'!$AX:$AX, 
'STH Efficacy'!$AL:$AL, $A83, 
'STH Efficacy'!$AM:$AM, "Mebendazole",
'STH Efficacy'!$AS:$AS,"&lt;2016",
'STH Efficacy'!$BP:$BP,""),
"")</f>
        <v/>
      </c>
      <c r="AY83" s="132">
        <f t="shared" si="17"/>
        <v>0.4691770833</v>
      </c>
      <c r="AZ83" s="131" t="str">
        <f>IFERROR(AVERAGEIFS(
'STH Efficacy'!$AX:$AX, 
'STH Efficacy'!$AL:$AL, $A83, 
'STH Efficacy'!$AM:$AM, "Albendazole &amp; Ivermectin",
'STH Efficacy'!$AS:$AS,"&lt;2016",
'STH Efficacy'!$BP:$BP,""),
"")</f>
        <v/>
      </c>
      <c r="BA83" s="303">
        <f t="shared" si="18"/>
        <v>0.597625</v>
      </c>
      <c r="BB83" s="584" t="str">
        <f>IFERROR(AVERAGEIFS(
'STH Efficacy'!$N:$N, 
'STH Efficacy'!$B:$B, $A83, 
'STH Efficacy'!$C:$C, "Albendazole",
'STH Efficacy'!$I:$I,"&lt;2016",
'STH Efficacy'!$AH:$AH,""),
"")</f>
        <v/>
      </c>
      <c r="BC83" s="579">
        <f t="shared" si="19"/>
        <v>0.7613712121</v>
      </c>
      <c r="BD83" s="584" t="str">
        <f>IFERROR(AVERAGEIFS(
'STH Efficacy'!$N:$N, 
'STH Efficacy'!$B:$B, $A83, 
'STH Efficacy'!$C:$C, "Mebendazole",
'STH Efficacy'!$I:$I,"&lt;2016",
'STH Efficacy'!$AH:$AH,""),
"")</f>
        <v/>
      </c>
      <c r="BE83" s="579">
        <f t="shared" si="20"/>
        <v>0.4362466667</v>
      </c>
      <c r="BF83" s="585" t="str">
        <f>IFERROR(AVERAGEIFS(
'STH Efficacy'!$CD:$CD, 
'STH Efficacy'!$BS:$BS, $A83, 
'STH Efficacy'!$BT:$BT, "Albendazole",
'STH Efficacy'!$BZ:$BZ,"&lt;2016",
'STH Efficacy'!$CU:$CU,""),
"")</f>
        <v/>
      </c>
      <c r="BG83" s="580">
        <f t="shared" si="21"/>
        <v>0.9216027778</v>
      </c>
      <c r="BH83" s="585" t="str">
        <f>IFERROR(AVERAGEIFS(
'STH Efficacy'!$CD:$CD, 
'STH Efficacy'!$BS:$BS, $A83, 
'STH Efficacy'!$BT:$BT, "Mebendazole",
'STH Efficacy'!$BZ:$BZ,"&lt;2016",
'STH Efficacy'!$CU:$CU,""),
"")</f>
        <v/>
      </c>
      <c r="BI83" s="580">
        <f t="shared" si="22"/>
        <v>0.8866041667</v>
      </c>
      <c r="BJ83" s="585" t="str">
        <f>IFERROR(AVERAGEIFS(
'STH Efficacy'!$CD:$CD, 
'STH Efficacy'!$BS:$BS, $A83, 
'STH Efficacy'!$BT:$BT, "Albendazole &amp; Ivermectin",
'STH Efficacy'!$BZ:$BZ,"&lt;2016",
'STH Efficacy'!$CU:$CU,""),
"")</f>
        <v/>
      </c>
      <c r="BK83" s="580">
        <f t="shared" si="23"/>
        <v>0.848</v>
      </c>
      <c r="BL83" s="575" t="str">
        <f>IFERROR(
  AVERAGEIFS(
    'NEW Onchocerciasis Efficacy'!$AO:$AO,
    'NEW Onchocerciasis Efficacy'!$C:$C,$A83,
    'NEW Onchocerciasis Efficacy'!$D:$D,"Ivermectin",
    'NEW Onchocerciasis Efficacy'!$AR:$AR,"&lt;2016",
    'NEW Onchocerciasis Efficacy'!$BG:$BG,"")
,"")</f>
        <v/>
      </c>
      <c r="BM83" s="586">
        <f t="shared" si="24"/>
        <v>0.7808368939</v>
      </c>
      <c r="BN83" s="587">
        <v>0.0</v>
      </c>
      <c r="BO83" s="588">
        <v>0.0</v>
      </c>
      <c r="BP83" s="589">
        <v>0.0</v>
      </c>
      <c r="BQ83" s="590">
        <f t="shared" si="25"/>
        <v>0</v>
      </c>
      <c r="BR83" s="560" t="str">
        <f t="shared" si="26"/>
        <v>0000</v>
      </c>
      <c r="BS83" s="560" t="str">
        <f t="shared" si="27"/>
        <v>no action required</v>
      </c>
      <c r="BT83" s="361" t="str">
        <f t="shared" si="28"/>
        <v/>
      </c>
      <c r="BU83" s="591" t="str">
        <f t="shared" si="29"/>
        <v/>
      </c>
      <c r="BV83" s="560" t="str">
        <f t="shared" si="30"/>
        <v>none</v>
      </c>
      <c r="BW83" s="150" t="str">
        <f t="shared" si="31"/>
        <v/>
      </c>
      <c r="BX83" s="150" t="str">
        <f t="shared" si="32"/>
        <v/>
      </c>
      <c r="BY83" s="151" t="str">
        <f t="shared" si="33"/>
        <v/>
      </c>
      <c r="BZ83" s="152" t="str">
        <f t="shared" si="34"/>
        <v/>
      </c>
      <c r="CA83" s="152" t="str">
        <f t="shared" si="35"/>
        <v/>
      </c>
      <c r="CB83" s="152" t="str">
        <f t="shared" si="36"/>
        <v/>
      </c>
      <c r="CC83" s="153" t="str">
        <f t="shared" si="37"/>
        <v/>
      </c>
      <c r="CD83" s="153" t="str">
        <f t="shared" si="38"/>
        <v/>
      </c>
      <c r="CE83" s="154" t="str">
        <f t="shared" si="39"/>
        <v/>
      </c>
      <c r="CF83" s="154" t="str">
        <f t="shared" si="40"/>
        <v/>
      </c>
      <c r="CG83" s="154" t="str">
        <f t="shared" si="41"/>
        <v/>
      </c>
      <c r="CH83" s="308" t="str">
        <f t="shared" si="42"/>
        <v/>
      </c>
    </row>
    <row r="84">
      <c r="A84" s="559" t="s">
        <v>173</v>
      </c>
      <c r="B84" s="560" t="s">
        <v>98</v>
      </c>
      <c r="C84" s="561">
        <v>106823.0</v>
      </c>
      <c r="D84" s="562">
        <v>0.0</v>
      </c>
      <c r="E84" s="563">
        <v>0.0</v>
      </c>
      <c r="F84" s="564">
        <v>4.70264E-4</v>
      </c>
      <c r="G84" s="564">
        <v>0.004396093</v>
      </c>
      <c r="H84" s="564">
        <v>0.037656896</v>
      </c>
      <c r="I84" s="565">
        <v>0.19379752</v>
      </c>
      <c r="J84" s="566">
        <v>0.491456862789696</v>
      </c>
      <c r="K84" s="566">
        <v>3.73892415470742</v>
      </c>
      <c r="L84" s="567">
        <v>0.135849929</v>
      </c>
      <c r="M84" s="568">
        <v>0.199154063536055</v>
      </c>
      <c r="N84" s="568">
        <v>0.872772065592403</v>
      </c>
      <c r="O84" s="569">
        <v>0.0</v>
      </c>
      <c r="P84" s="570"/>
      <c r="Q84" s="150"/>
      <c r="R84" s="571"/>
      <c r="S84" s="116">
        <f t="shared" si="6"/>
        <v>0.6451333333</v>
      </c>
      <c r="T84" s="151"/>
      <c r="U84" s="572">
        <f t="shared" si="7"/>
        <v>0.0025</v>
      </c>
      <c r="V84" s="598"/>
      <c r="W84" s="574">
        <f t="shared" si="8"/>
        <v>0.56882</v>
      </c>
      <c r="X84" s="598"/>
      <c r="Y84" s="574">
        <f t="shared" si="9"/>
        <v>0.5825818182</v>
      </c>
      <c r="Z84" s="308"/>
      <c r="AA84" s="308"/>
      <c r="AB84" s="575" t="str">
        <f t="shared" si="10"/>
        <v/>
      </c>
      <c r="AC84" s="576">
        <f t="shared" si="11"/>
        <v>0.7574216602</v>
      </c>
      <c r="AD84" s="577">
        <v>0.0</v>
      </c>
      <c r="AE84" s="572">
        <v>0.0</v>
      </c>
      <c r="AF84" s="578">
        <v>0.0</v>
      </c>
      <c r="AG84" s="132">
        <v>0.01639311189</v>
      </c>
      <c r="AH84" s="132">
        <v>0.05350569</v>
      </c>
      <c r="AI84" s="579">
        <v>0.008075457713</v>
      </c>
      <c r="AJ84" s="579">
        <v>0.01008163498</v>
      </c>
      <c r="AK84" s="580">
        <v>0.03151520403</v>
      </c>
      <c r="AL84" s="580">
        <v>0.03725767354</v>
      </c>
      <c r="AM84" s="581">
        <v>0.0</v>
      </c>
      <c r="AN84" s="571" t="str">
        <f>IFERROR(
  AVERAGEIFS(
    'New LF Efficacy'!$J:$J,
    'New LF Efficacy'!$D:$D, $A84,
    'New LF Efficacy'!$F:$F,"DEC", 
    'New LF Efficacy'!$W:$W,"&lt;2016",
    'New LF Efficacy'!$AA:$AA,""),
  ""
)</f>
        <v/>
      </c>
      <c r="AO84" s="582">
        <f t="shared" si="12"/>
        <v>0.2589833333</v>
      </c>
      <c r="AP84" s="571" t="str">
        <f>IFERROR(
AVERAGEIFS(
'New LF Efficacy'!$J:$J,
'New LF Efficacy'!$D:$D,$A84,
'New LF Efficacy'!$F:$F,"Albendazole &amp; DEC",
'New LF Efficacy'!$W:$W,"&lt;2016",
'New LF Efficacy'!$AA:$AA,""),
"")</f>
        <v/>
      </c>
      <c r="AQ84" s="582">
        <f t="shared" si="13"/>
        <v>0.3465</v>
      </c>
      <c r="AR84" s="571" t="str">
        <f>IFERROR(
AVERAGEIFS(
'New LF Efficacy'!$J:$J,
'New LF Efficacy'!$D:$D,$A84,
'New LF Efficacy'!$F:$F,"Albendazole &amp; Ivermectin", 
'New LF Efficacy'!$W:$W,"&lt;2016",
'New LF Efficacy'!$AA:$AA,""),"")</f>
        <v/>
      </c>
      <c r="AS84" s="582">
        <f t="shared" si="14"/>
        <v>0.7575</v>
      </c>
      <c r="AT84" s="583" t="str">
        <f>IFERROR(AVERAGEIFS(
'Schist Efficacy'!$O:$O, 
'Schist Efficacy'!$C:$C,$A84, 
'Schist Efficacy'!$D:$D, "Praziquantel",
'Schist Efficacy'!$J:$J,"&lt;2016",
'Schist Efficacy'!$U:$U,""),
"")</f>
        <v/>
      </c>
      <c r="AU84" s="572">
        <f t="shared" si="15"/>
        <v>0.7914761905</v>
      </c>
      <c r="AV84" s="131" t="str">
        <f>IFERROR(AVERAGEIFS(
'STH Efficacy'!$AX:$AX, 
'STH Efficacy'!$AL:$AL, $A84, 
'STH Efficacy'!$AM:$AM, "Albendazole",
'STH Efficacy'!$AS:$AS,"&lt;2016",
'STH Efficacy'!$BP:$BP,""),
"")</f>
        <v/>
      </c>
      <c r="AW84" s="132">
        <f t="shared" si="16"/>
        <v>0.3945</v>
      </c>
      <c r="AX84" s="131" t="str">
        <f>IFERROR(AVERAGEIFS(
'STH Efficacy'!$AX:$AX, 
'STH Efficacy'!$AL:$AL, $A84, 
'STH Efficacy'!$AM:$AM, "Mebendazole",
'STH Efficacy'!$AS:$AS,"&lt;2016",
'STH Efficacy'!$BP:$BP,""),
"")</f>
        <v/>
      </c>
      <c r="AY84" s="132">
        <f t="shared" si="17"/>
        <v>0.6</v>
      </c>
      <c r="AZ84" s="131" t="str">
        <f>IFERROR(AVERAGEIFS(
'STH Efficacy'!$AX:$AX, 
'STH Efficacy'!$AL:$AL, $A84, 
'STH Efficacy'!$AM:$AM, "Albendazole &amp; Ivermectin",
'STH Efficacy'!$AS:$AS,"&lt;2016",
'STH Efficacy'!$BP:$BP,""),
"")</f>
        <v/>
      </c>
      <c r="BA84" s="303">
        <f t="shared" si="18"/>
        <v>0.796</v>
      </c>
      <c r="BB84" s="584" t="str">
        <f>IFERROR(AVERAGEIFS(
'STH Efficacy'!$N:$N, 
'STH Efficacy'!$B:$B, $A84, 
'STH Efficacy'!$C:$C, "Albendazole",
'STH Efficacy'!$I:$I,"&lt;2016",
'STH Efficacy'!$AH:$AH,""),
"")</f>
        <v/>
      </c>
      <c r="BC84" s="579">
        <f t="shared" si="19"/>
        <v>0.869</v>
      </c>
      <c r="BD84" s="584" t="str">
        <f>IFERROR(AVERAGEIFS(
'STH Efficacy'!$N:$N, 
'STH Efficacy'!$B:$B, $A84, 
'STH Efficacy'!$C:$C, "Mebendazole",
'STH Efficacy'!$I:$I,"&lt;2016",
'STH Efficacy'!$AH:$AH,""),
"")</f>
        <v/>
      </c>
      <c r="BE84" s="579">
        <f t="shared" si="20"/>
        <v>0.172</v>
      </c>
      <c r="BF84" s="585" t="str">
        <f>IFERROR(AVERAGEIFS(
'STH Efficacy'!$CD:$CD, 
'STH Efficacy'!$BS:$BS, $A84, 
'STH Efficacy'!$BT:$BT, "Albendazole",
'STH Efficacy'!$BZ:$BZ,"&lt;2016",
'STH Efficacy'!$CU:$CU,""),
"")</f>
        <v/>
      </c>
      <c r="BG84" s="580">
        <f t="shared" si="21"/>
        <v>0.9862</v>
      </c>
      <c r="BH84" s="585" t="str">
        <f>IFERROR(AVERAGEIFS(
'STH Efficacy'!$CD:$CD, 
'STH Efficacy'!$BS:$BS, $A84, 
'STH Efficacy'!$BT:$BT, "Mebendazole",
'STH Efficacy'!$BZ:$BZ,"&lt;2016",
'STH Efficacy'!$CU:$CU,""),
"")</f>
        <v/>
      </c>
      <c r="BI84" s="580">
        <f t="shared" si="22"/>
        <v>0.769</v>
      </c>
      <c r="BJ84" s="585" t="str">
        <f>IFERROR(AVERAGEIFS(
'STH Efficacy'!$CD:$CD, 
'STH Efficacy'!$BS:$BS, $A84, 
'STH Efficacy'!$BT:$BT, "Albendazole &amp; Ivermectin",
'STH Efficacy'!$BZ:$BZ,"&lt;2016",
'STH Efficacy'!$CU:$CU,""),
"")</f>
        <v/>
      </c>
      <c r="BK84" s="580">
        <f t="shared" si="23"/>
        <v>1</v>
      </c>
      <c r="BL84" s="575" t="str">
        <f>IFERROR(
  AVERAGEIFS(
    'NEW Onchocerciasis Efficacy'!$AO:$AO,
    'NEW Onchocerciasis Efficacy'!$C:$C,$A84,
    'NEW Onchocerciasis Efficacy'!$D:$D,"Ivermectin",
    'NEW Onchocerciasis Efficacy'!$AR:$AR,"&lt;2016",
    'NEW Onchocerciasis Efficacy'!$BG:$BG,"")
,"")</f>
        <v/>
      </c>
      <c r="BM84" s="586">
        <f t="shared" si="24"/>
        <v>0.3734</v>
      </c>
      <c r="BN84" s="587">
        <v>0.0</v>
      </c>
      <c r="BO84" s="588">
        <v>0.0</v>
      </c>
      <c r="BP84" s="589">
        <v>0.0</v>
      </c>
      <c r="BQ84" s="590">
        <f t="shared" si="25"/>
        <v>0</v>
      </c>
      <c r="BR84" s="560" t="str">
        <f t="shared" si="26"/>
        <v>0000</v>
      </c>
      <c r="BS84" s="560" t="str">
        <f t="shared" si="27"/>
        <v>no action required</v>
      </c>
      <c r="BT84" s="361" t="str">
        <f t="shared" si="28"/>
        <v/>
      </c>
      <c r="BU84" s="591" t="str">
        <f t="shared" si="29"/>
        <v/>
      </c>
      <c r="BV84" s="560" t="str">
        <f t="shared" si="30"/>
        <v>none</v>
      </c>
      <c r="BW84" s="150" t="str">
        <f t="shared" si="31"/>
        <v/>
      </c>
      <c r="BX84" s="150" t="str">
        <f t="shared" si="32"/>
        <v/>
      </c>
      <c r="BY84" s="151" t="str">
        <f t="shared" si="33"/>
        <v/>
      </c>
      <c r="BZ84" s="152" t="str">
        <f t="shared" si="34"/>
        <v/>
      </c>
      <c r="CA84" s="152" t="str">
        <f t="shared" si="35"/>
        <v/>
      </c>
      <c r="CB84" s="152" t="str">
        <f t="shared" si="36"/>
        <v/>
      </c>
      <c r="CC84" s="153" t="str">
        <f t="shared" si="37"/>
        <v/>
      </c>
      <c r="CD84" s="153" t="str">
        <f t="shared" si="38"/>
        <v/>
      </c>
      <c r="CE84" s="154" t="str">
        <f t="shared" si="39"/>
        <v/>
      </c>
      <c r="CF84" s="154" t="str">
        <f t="shared" si="40"/>
        <v/>
      </c>
      <c r="CG84" s="154" t="str">
        <f t="shared" si="41"/>
        <v/>
      </c>
      <c r="CH84" s="308" t="str">
        <f t="shared" si="42"/>
        <v/>
      </c>
    </row>
    <row r="85">
      <c r="A85" s="599" t="s">
        <v>174</v>
      </c>
      <c r="B85" s="560" t="s">
        <v>94</v>
      </c>
      <c r="C85" s="561">
        <v>161797.0</v>
      </c>
      <c r="D85" s="562">
        <v>0.0</v>
      </c>
      <c r="E85" s="563">
        <v>0.0</v>
      </c>
      <c r="F85" s="564">
        <v>0.353036848</v>
      </c>
      <c r="G85" s="564">
        <v>3.635586125</v>
      </c>
      <c r="H85" s="564">
        <v>14.73824282</v>
      </c>
      <c r="I85" s="565">
        <v>0.338586997</v>
      </c>
      <c r="J85" s="566">
        <v>1.15091003899455</v>
      </c>
      <c r="K85" s="566">
        <v>8.28989814502742</v>
      </c>
      <c r="L85" s="567">
        <v>0.339924798</v>
      </c>
      <c r="M85" s="568">
        <v>0.348167326791711</v>
      </c>
      <c r="N85" s="568">
        <v>1.37614807417653</v>
      </c>
      <c r="O85" s="631">
        <v>0.0</v>
      </c>
      <c r="P85" s="570"/>
      <c r="Q85" s="150"/>
      <c r="R85" s="571"/>
      <c r="S85" s="116">
        <f t="shared" si="6"/>
        <v>0.5322777778</v>
      </c>
      <c r="T85" s="151"/>
      <c r="U85" s="572">
        <f t="shared" si="7"/>
        <v>0.7834666667</v>
      </c>
      <c r="V85" s="598"/>
      <c r="W85" s="574">
        <f t="shared" si="8"/>
        <v>0.3593777778</v>
      </c>
      <c r="X85" s="598"/>
      <c r="Y85" s="574">
        <f t="shared" si="9"/>
        <v>0.5347375</v>
      </c>
      <c r="Z85" s="308"/>
      <c r="AA85" s="308"/>
      <c r="AB85" s="575" t="str">
        <f t="shared" si="10"/>
        <v/>
      </c>
      <c r="AC85" s="576">
        <f t="shared" si="11"/>
        <v>0.7192241206</v>
      </c>
      <c r="AD85" s="577">
        <v>0.0</v>
      </c>
      <c r="AE85" s="572">
        <v>0.0</v>
      </c>
      <c r="AF85" s="578">
        <v>0.0</v>
      </c>
      <c r="AG85" s="132">
        <v>0.02163283479</v>
      </c>
      <c r="AH85" s="132">
        <v>0.068491904</v>
      </c>
      <c r="AI85" s="579">
        <v>0.01144154871</v>
      </c>
      <c r="AJ85" s="579">
        <v>0.01388984844</v>
      </c>
      <c r="AK85" s="580">
        <v>0.01080711127</v>
      </c>
      <c r="AL85" s="580">
        <v>0.01248709044</v>
      </c>
      <c r="AM85" s="581">
        <v>0.0</v>
      </c>
      <c r="AN85" s="571" t="str">
        <f>IFERROR(
  AVERAGEIFS(
    'New LF Efficacy'!$J:$J,
    'New LF Efficacy'!$D:$D, $A85,
    'New LF Efficacy'!$F:$F,"DEC", 
    'New LF Efficacy'!$W:$W,"&lt;2016",
    'New LF Efficacy'!$AA:$AA,""),
  ""
)</f>
        <v/>
      </c>
      <c r="AO85" s="582">
        <f t="shared" si="12"/>
        <v>0.38</v>
      </c>
      <c r="AP85" s="571" t="str">
        <f>IFERROR(
AVERAGEIFS(
'New LF Efficacy'!$J:$J,
'New LF Efficacy'!$D:$D,$A85,
'New LF Efficacy'!$F:$F,"Albendazole &amp; DEC",
'New LF Efficacy'!$W:$W,"&lt;2016",
'New LF Efficacy'!$AA:$AA,""),
"")</f>
        <v/>
      </c>
      <c r="AQ85" s="582">
        <f t="shared" si="13"/>
        <v>0.662</v>
      </c>
      <c r="AR85" s="571" t="str">
        <f>IFERROR(
AVERAGEIFS(
'New LF Efficacy'!$J:$J,
'New LF Efficacy'!$D:$D,$A85,
'New LF Efficacy'!$F:$F,"Albendazole &amp; Ivermectin", 
'New LF Efficacy'!$W:$W,"&lt;2016",
'New LF Efficacy'!$AA:$AA,""),"")</f>
        <v/>
      </c>
      <c r="AS85" s="582">
        <f t="shared" si="14"/>
        <v>0.37153125</v>
      </c>
      <c r="AT85" s="583" t="str">
        <f>IFERROR(AVERAGEIFS(
'Schist Efficacy'!$O:$O, 
'Schist Efficacy'!$C:$C,$A85, 
'Schist Efficacy'!$D:$D, "Praziquantel",
'Schist Efficacy'!$J:$J,"&lt;2016",
'Schist Efficacy'!$U:$U,""),
"")</f>
        <v/>
      </c>
      <c r="AU85" s="572">
        <f t="shared" si="15"/>
        <v>0.9475</v>
      </c>
      <c r="AV85" s="131" t="str">
        <f>IFERROR(AVERAGEIFS(
'STH Efficacy'!$AX:$AX, 
'STH Efficacy'!$AL:$AL, $A85, 
'STH Efficacy'!$AM:$AM, "Albendazole",
'STH Efficacy'!$AS:$AS,"&lt;2016",
'STH Efficacy'!$BP:$BP,""),
"")</f>
        <v/>
      </c>
      <c r="AW85" s="132">
        <f t="shared" si="16"/>
        <v>0.3571666667</v>
      </c>
      <c r="AX85" s="131" t="str">
        <f>IFERROR(AVERAGEIFS(
'STH Efficacy'!$AX:$AX, 
'STH Efficacy'!$AL:$AL, $A85, 
'STH Efficacy'!$AM:$AM, "Mebendazole",
'STH Efficacy'!$AS:$AS,"&lt;2016",
'STH Efficacy'!$BP:$BP,""),
"")</f>
        <v/>
      </c>
      <c r="AY85" s="132">
        <f t="shared" si="17"/>
        <v>0.4155</v>
      </c>
      <c r="AZ85" s="131" t="str">
        <f>IFERROR(AVERAGEIFS(
'STH Efficacy'!$AX:$AX, 
'STH Efficacy'!$AL:$AL, $A85, 
'STH Efficacy'!$AM:$AM, "Albendazole &amp; Ivermectin",
'STH Efficacy'!$AS:$AS,"&lt;2016",
'STH Efficacy'!$BP:$BP,""),
"")</f>
        <v/>
      </c>
      <c r="BA85" s="303">
        <f t="shared" si="18"/>
        <v>0.651</v>
      </c>
      <c r="BB85" s="584" t="str">
        <f>IFERROR(AVERAGEIFS(
'STH Efficacy'!$N:$N, 
'STH Efficacy'!$B:$B, $A85, 
'STH Efficacy'!$C:$C, "Albendazole",
'STH Efficacy'!$I:$I,"&lt;2016",
'STH Efficacy'!$AH:$AH,""),
"")</f>
        <v/>
      </c>
      <c r="BC85" s="579">
        <f t="shared" si="19"/>
        <v>0.5769166667</v>
      </c>
      <c r="BD85" s="584" t="str">
        <f>IFERROR(AVERAGEIFS(
'STH Efficacy'!$N:$N, 
'STH Efficacy'!$B:$B, $A85, 
'STH Efficacy'!$C:$C, "Mebendazole",
'STH Efficacy'!$I:$I,"&lt;2016",
'STH Efficacy'!$AH:$AH,""),
"")</f>
        <v/>
      </c>
      <c r="BE85" s="579">
        <f t="shared" si="20"/>
        <v>0.3145</v>
      </c>
      <c r="BF85" s="585" t="str">
        <f>IFERROR(AVERAGEIFS(
'STH Efficacy'!$CD:$CD, 
'STH Efficacy'!$BS:$BS, $A85, 
'STH Efficacy'!$BT:$BT, "Albendazole",
'STH Efficacy'!$BZ:$BZ,"&lt;2016",
'STH Efficacy'!$CU:$CU,""),
"")</f>
        <v/>
      </c>
      <c r="BG85" s="580">
        <f t="shared" si="21"/>
        <v>0.96925</v>
      </c>
      <c r="BH85" s="585" t="str">
        <f>IFERROR(AVERAGEIFS(
'STH Efficacy'!$CD:$CD, 
'STH Efficacy'!$BS:$BS, $A85, 
'STH Efficacy'!$BT:$BT, "Mebendazole",
'STH Efficacy'!$BZ:$BZ,"&lt;2016",
'STH Efficacy'!$CU:$CU,""),
"")</f>
        <v/>
      </c>
      <c r="BI85" s="580">
        <f t="shared" si="22"/>
        <v>0.9305</v>
      </c>
      <c r="BJ85" s="585" t="str">
        <f>IFERROR(AVERAGEIFS(
'STH Efficacy'!$CD:$CD, 
'STH Efficacy'!$BS:$BS, $A85, 
'STH Efficacy'!$BT:$BT, "Albendazole &amp; Ivermectin",
'STH Efficacy'!$BZ:$BZ,"&lt;2016",
'STH Efficacy'!$CU:$CU,""),
"")</f>
        <v/>
      </c>
      <c r="BK85" s="580">
        <f t="shared" si="23"/>
        <v>0.848</v>
      </c>
      <c r="BL85" s="575" t="str">
        <f>IFERROR(
  AVERAGEIFS(
    'NEW Onchocerciasis Efficacy'!$AO:$AO,
    'NEW Onchocerciasis Efficacy'!$C:$C,$A85,
    'NEW Onchocerciasis Efficacy'!$D:$D,"Ivermectin",
    'NEW Onchocerciasis Efficacy'!$AR:$AR,"&lt;2016",
    'NEW Onchocerciasis Efficacy'!$BG:$BG,"")
,"")</f>
        <v/>
      </c>
      <c r="BM85" s="586">
        <f t="shared" si="24"/>
        <v>0.7808368939</v>
      </c>
      <c r="BN85" s="587">
        <v>0.0</v>
      </c>
      <c r="BO85" s="588">
        <v>0.0</v>
      </c>
      <c r="BP85" s="589">
        <v>1.0</v>
      </c>
      <c r="BQ85" s="590">
        <f t="shared" si="25"/>
        <v>0</v>
      </c>
      <c r="BR85" s="560" t="str">
        <f t="shared" si="26"/>
        <v>0010</v>
      </c>
      <c r="BS85" s="560" t="str">
        <f t="shared" si="27"/>
        <v>T2</v>
      </c>
      <c r="BT85" s="606" t="str">
        <f t="shared" si="28"/>
        <v>PZQ</v>
      </c>
      <c r="BU85" s="560" t="str">
        <f t="shared" si="29"/>
        <v>PZQ</v>
      </c>
      <c r="BV85" s="560" t="str">
        <f t="shared" si="30"/>
        <v>schist only</v>
      </c>
      <c r="BW85" s="150" t="str">
        <f t="shared" si="31"/>
        <v/>
      </c>
      <c r="BX85" s="150" t="str">
        <f t="shared" si="32"/>
        <v/>
      </c>
      <c r="BY85" s="608">
        <f t="shared" si="33"/>
        <v>0</v>
      </c>
      <c r="BZ85" s="152" t="str">
        <f t="shared" si="34"/>
        <v/>
      </c>
      <c r="CA85" s="152" t="str">
        <f t="shared" si="35"/>
        <v/>
      </c>
      <c r="CB85" s="152" t="str">
        <f t="shared" si="36"/>
        <v/>
      </c>
      <c r="CC85" s="153" t="str">
        <f t="shared" si="37"/>
        <v/>
      </c>
      <c r="CD85" s="153" t="str">
        <f t="shared" si="38"/>
        <v/>
      </c>
      <c r="CE85" s="154" t="str">
        <f t="shared" si="39"/>
        <v/>
      </c>
      <c r="CF85" s="154" t="str">
        <f t="shared" si="40"/>
        <v/>
      </c>
      <c r="CG85" s="154" t="str">
        <f t="shared" si="41"/>
        <v/>
      </c>
      <c r="CH85" s="308" t="str">
        <f t="shared" si="42"/>
        <v/>
      </c>
    </row>
    <row r="86">
      <c r="A86" s="559" t="s">
        <v>175</v>
      </c>
      <c r="B86" s="560" t="s">
        <v>98</v>
      </c>
      <c r="C86" s="561">
        <v>1.6252429E7</v>
      </c>
      <c r="D86" s="562">
        <v>0.0</v>
      </c>
      <c r="E86" s="563">
        <v>0.0</v>
      </c>
      <c r="F86" s="564">
        <v>39.74870531</v>
      </c>
      <c r="G86" s="564">
        <v>84.84990697</v>
      </c>
      <c r="H86" s="564">
        <v>1212.007566</v>
      </c>
      <c r="I86" s="565">
        <v>140.8681172</v>
      </c>
      <c r="J86" s="566">
        <v>379.034946196658</v>
      </c>
      <c r="K86" s="566">
        <v>2846.72095145457</v>
      </c>
      <c r="L86" s="567">
        <v>824.1864903</v>
      </c>
      <c r="M86" s="568">
        <v>311.325373461399</v>
      </c>
      <c r="N86" s="568">
        <v>2340.91295225002</v>
      </c>
      <c r="O86" s="631">
        <v>0.0</v>
      </c>
      <c r="P86" s="570"/>
      <c r="Q86" s="150"/>
      <c r="R86" s="571"/>
      <c r="S86" s="116">
        <f t="shared" si="6"/>
        <v>0.6451333333</v>
      </c>
      <c r="T86" s="151"/>
      <c r="U86" s="572">
        <f t="shared" si="7"/>
        <v>0.0025</v>
      </c>
      <c r="V86" s="573">
        <v>0.3762</v>
      </c>
      <c r="W86" s="574">
        <f t="shared" si="8"/>
        <v>0.3762</v>
      </c>
      <c r="X86" s="573">
        <v>0.2795</v>
      </c>
      <c r="Y86" s="574">
        <f t="shared" si="9"/>
        <v>0.2795</v>
      </c>
      <c r="Z86" s="625" t="s">
        <v>395</v>
      </c>
      <c r="AA86" s="625" t="s">
        <v>395</v>
      </c>
      <c r="AB86" s="575" t="str">
        <f t="shared" si="10"/>
        <v/>
      </c>
      <c r="AC86" s="576">
        <f t="shared" si="11"/>
        <v>0.7574216602</v>
      </c>
      <c r="AD86" s="577">
        <v>0.0</v>
      </c>
      <c r="AE86" s="572">
        <v>0.0</v>
      </c>
      <c r="AF86" s="578">
        <v>0.0</v>
      </c>
      <c r="AG86" s="133">
        <v>0.0273869899</v>
      </c>
      <c r="AH86" s="133">
        <v>0.087288214</v>
      </c>
      <c r="AI86" s="623">
        <v>0.02866332789</v>
      </c>
      <c r="AJ86" s="623">
        <v>0.03500671308</v>
      </c>
      <c r="AK86" s="624">
        <v>0.1292290157</v>
      </c>
      <c r="AL86" s="624">
        <v>0.1497518613</v>
      </c>
      <c r="AM86" s="581">
        <v>0.0</v>
      </c>
      <c r="AN86" s="571" t="str">
        <f>IFERROR(
  AVERAGEIFS(
    'New LF Efficacy'!$J:$J,
    'New LF Efficacy'!$D:$D, $A86,
    'New LF Efficacy'!$F:$F,"DEC", 
    'New LF Efficacy'!$W:$W,"&lt;2016",
    'New LF Efficacy'!$AA:$AA,""),
  ""
)</f>
        <v/>
      </c>
      <c r="AO86" s="582">
        <f t="shared" si="12"/>
        <v>0.2589833333</v>
      </c>
      <c r="AP86" s="571" t="str">
        <f>IFERROR(
AVERAGEIFS(
'New LF Efficacy'!$J:$J,
'New LF Efficacy'!$D:$D,$A86,
'New LF Efficacy'!$F:$F,"Albendazole &amp; DEC",
'New LF Efficacy'!$W:$W,"&lt;2016",
'New LF Efficacy'!$AA:$AA,""),
"")</f>
        <v/>
      </c>
      <c r="AQ86" s="582">
        <f t="shared" si="13"/>
        <v>0.3465</v>
      </c>
      <c r="AR86" s="571" t="str">
        <f>IFERROR(
AVERAGEIFS(
'New LF Efficacy'!$J:$J,
'New LF Efficacy'!$D:$D,$A86,
'New LF Efficacy'!$F:$F,"Albendazole &amp; Ivermectin", 
'New LF Efficacy'!$W:$W,"&lt;2016",
'New LF Efficacy'!$AA:$AA,""),"")</f>
        <v/>
      </c>
      <c r="AS86" s="582">
        <f t="shared" si="14"/>
        <v>0.7575</v>
      </c>
      <c r="AT86" s="583" t="str">
        <f>IFERROR(AVERAGEIFS(
'Schist Efficacy'!$O:$O, 
'Schist Efficacy'!$C:$C,$A86, 
'Schist Efficacy'!$D:$D, "Praziquantel",
'Schist Efficacy'!$J:$J,"&lt;2016",
'Schist Efficacy'!$U:$U,""),
"")</f>
        <v/>
      </c>
      <c r="AU86" s="572">
        <f t="shared" si="15"/>
        <v>0.7914761905</v>
      </c>
      <c r="AV86" s="131" t="str">
        <f>IFERROR(AVERAGEIFS(
'STH Efficacy'!$AX:$AX, 
'STH Efficacy'!$AL:$AL, $A86, 
'STH Efficacy'!$AM:$AM, "Albendazole",
'STH Efficacy'!$AS:$AS,"&lt;2016",
'STH Efficacy'!$BP:$BP,""),
"")</f>
        <v/>
      </c>
      <c r="AW86" s="132">
        <f t="shared" si="16"/>
        <v>0.3945</v>
      </c>
      <c r="AX86" s="131" t="str">
        <f>IFERROR(AVERAGEIFS(
'STH Efficacy'!$AX:$AX, 
'STH Efficacy'!$AL:$AL, $A86, 
'STH Efficacy'!$AM:$AM, "Mebendazole",
'STH Efficacy'!$AS:$AS,"&lt;2016",
'STH Efficacy'!$BP:$BP,""),
"")</f>
        <v/>
      </c>
      <c r="AY86" s="132">
        <f t="shared" si="17"/>
        <v>0.6</v>
      </c>
      <c r="AZ86" s="131" t="str">
        <f>IFERROR(AVERAGEIFS(
'STH Efficacy'!$AX:$AX, 
'STH Efficacy'!$AL:$AL, $A86, 
'STH Efficacy'!$AM:$AM, "Albendazole &amp; Ivermectin",
'STH Efficacy'!$AS:$AS,"&lt;2016",
'STH Efficacy'!$BP:$BP,""),
"")</f>
        <v/>
      </c>
      <c r="BA86" s="303">
        <f t="shared" si="18"/>
        <v>0.796</v>
      </c>
      <c r="BB86" s="584" t="str">
        <f>IFERROR(AVERAGEIFS(
'STH Efficacy'!$N:$N, 
'STH Efficacy'!$B:$B, $A86, 
'STH Efficacy'!$C:$C, "Albendazole",
'STH Efficacy'!$I:$I,"&lt;2016",
'STH Efficacy'!$AH:$AH,""),
"")</f>
        <v/>
      </c>
      <c r="BC86" s="579">
        <f t="shared" si="19"/>
        <v>0.869</v>
      </c>
      <c r="BD86" s="584" t="str">
        <f>IFERROR(AVERAGEIFS(
'STH Efficacy'!$N:$N, 
'STH Efficacy'!$B:$B, $A86, 
'STH Efficacy'!$C:$C, "Mebendazole",
'STH Efficacy'!$I:$I,"&lt;2016",
'STH Efficacy'!$AH:$AH,""),
"")</f>
        <v/>
      </c>
      <c r="BE86" s="579">
        <f t="shared" si="20"/>
        <v>0.172</v>
      </c>
      <c r="BF86" s="585" t="str">
        <f>IFERROR(AVERAGEIFS(
'STH Efficacy'!$CD:$CD, 
'STH Efficacy'!$BS:$BS, $A86, 
'STH Efficacy'!$BT:$BT, "Albendazole",
'STH Efficacy'!$BZ:$BZ,"&lt;2016",
'STH Efficacy'!$CU:$CU,""),
"")</f>
        <v/>
      </c>
      <c r="BG86" s="580">
        <f t="shared" si="21"/>
        <v>0.9862</v>
      </c>
      <c r="BH86" s="585" t="str">
        <f>IFERROR(AVERAGEIFS(
'STH Efficacy'!$CD:$CD, 
'STH Efficacy'!$BS:$BS, $A86, 
'STH Efficacy'!$BT:$BT, "Mebendazole",
'STH Efficacy'!$BZ:$BZ,"&lt;2016",
'STH Efficacy'!$CU:$CU,""),
"")</f>
        <v/>
      </c>
      <c r="BI86" s="580">
        <f t="shared" si="22"/>
        <v>0.769</v>
      </c>
      <c r="BJ86" s="585" t="str">
        <f>IFERROR(AVERAGEIFS(
'STH Efficacy'!$CD:$CD, 
'STH Efficacy'!$BS:$BS, $A86, 
'STH Efficacy'!$BT:$BT, "Albendazole &amp; Ivermectin",
'STH Efficacy'!$BZ:$BZ,"&lt;2016",
'STH Efficacy'!$CU:$CU,""),
"")</f>
        <v/>
      </c>
      <c r="BK86" s="580">
        <f t="shared" si="23"/>
        <v>1</v>
      </c>
      <c r="BL86" s="575">
        <f>IFERROR(
  AVERAGEIFS(
    'NEW Onchocerciasis Efficacy'!$AO:$AO,
    'NEW Onchocerciasis Efficacy'!$C:$C,$A86,
    'NEW Onchocerciasis Efficacy'!$D:$D,"Ivermectin",
    'NEW Onchocerciasis Efficacy'!$AR:$AR,"&lt;2016",
    'NEW Onchocerciasis Efficacy'!$BG:$BG,"")
,"")</f>
        <v>0.3734</v>
      </c>
      <c r="BM86" s="586">
        <f t="shared" si="24"/>
        <v>0.3734</v>
      </c>
      <c r="BN86" s="587">
        <v>0.0</v>
      </c>
      <c r="BO86" s="588">
        <v>1.0</v>
      </c>
      <c r="BP86" s="589">
        <v>1.0</v>
      </c>
      <c r="BQ86" s="590">
        <f t="shared" si="25"/>
        <v>0</v>
      </c>
      <c r="BR86" s="560" t="str">
        <f t="shared" si="26"/>
        <v>0110</v>
      </c>
      <c r="BS86" s="560" t="str">
        <f t="shared" si="27"/>
        <v>MDA3+T2</v>
      </c>
      <c r="BT86" s="606" t="str">
        <f t="shared" si="28"/>
        <v>IVM</v>
      </c>
      <c r="BU86" s="560" t="str">
        <f t="shared" si="29"/>
        <v>PZQ</v>
      </c>
      <c r="BV86" s="560" t="str">
        <f t="shared" si="30"/>
        <v>onch+schist</v>
      </c>
      <c r="BW86" s="150" t="str">
        <f t="shared" si="31"/>
        <v/>
      </c>
      <c r="BX86" s="150" t="str">
        <f t="shared" si="32"/>
        <v/>
      </c>
      <c r="BY86" s="608">
        <f t="shared" si="33"/>
        <v>0</v>
      </c>
      <c r="BZ86" s="152" t="str">
        <f t="shared" si="34"/>
        <v/>
      </c>
      <c r="CA86" s="152" t="str">
        <f t="shared" si="35"/>
        <v/>
      </c>
      <c r="CB86" s="152" t="str">
        <f t="shared" si="36"/>
        <v/>
      </c>
      <c r="CC86" s="153" t="str">
        <f t="shared" si="37"/>
        <v/>
      </c>
      <c r="CD86" s="153" t="str">
        <f t="shared" si="38"/>
        <v/>
      </c>
      <c r="CE86" s="154" t="str">
        <f t="shared" si="39"/>
        <v/>
      </c>
      <c r="CF86" s="154" t="str">
        <f t="shared" si="40"/>
        <v/>
      </c>
      <c r="CG86" s="154" t="str">
        <f t="shared" si="41"/>
        <v/>
      </c>
      <c r="CH86" s="609">
        <f t="shared" si="42"/>
        <v>0</v>
      </c>
    </row>
    <row r="87">
      <c r="A87" s="559" t="s">
        <v>176</v>
      </c>
      <c r="B87" s="560" t="s">
        <v>92</v>
      </c>
      <c r="C87" s="561">
        <v>1.2091533E7</v>
      </c>
      <c r="D87" s="562">
        <v>16361.22288</v>
      </c>
      <c r="E87" s="563">
        <v>14603.4411981689</v>
      </c>
      <c r="F87" s="564">
        <v>25.0728282</v>
      </c>
      <c r="G87" s="564">
        <v>149.5286208</v>
      </c>
      <c r="H87" s="564">
        <v>486.1021545</v>
      </c>
      <c r="I87" s="565">
        <v>392.287995</v>
      </c>
      <c r="J87" s="566">
        <v>1236.64995021986</v>
      </c>
      <c r="K87" s="566">
        <v>4699.32812574078</v>
      </c>
      <c r="L87" s="567">
        <v>5507.045546</v>
      </c>
      <c r="M87" s="568">
        <v>1306.05333089364</v>
      </c>
      <c r="N87" s="568">
        <v>7626.36783484748</v>
      </c>
      <c r="O87" s="569">
        <v>2625.4</v>
      </c>
      <c r="P87" s="601">
        <v>487261.972484</v>
      </c>
      <c r="Q87" s="618">
        <v>5588471.0</v>
      </c>
      <c r="R87" s="603">
        <v>0.7635</v>
      </c>
      <c r="S87" s="116">
        <f t="shared" si="6"/>
        <v>0.7635</v>
      </c>
      <c r="T87" s="572">
        <v>0.4274</v>
      </c>
      <c r="U87" s="572">
        <f t="shared" si="7"/>
        <v>0.4274</v>
      </c>
      <c r="V87" s="613"/>
      <c r="W87" s="574">
        <f t="shared" si="8"/>
        <v>0.7605133333</v>
      </c>
      <c r="X87" s="573">
        <v>0.9949</v>
      </c>
      <c r="Y87" s="574">
        <f t="shared" si="9"/>
        <v>0.9949</v>
      </c>
      <c r="Z87" s="604">
        <v>6930788.0</v>
      </c>
      <c r="AA87" s="604">
        <v>5007554.0</v>
      </c>
      <c r="AB87" s="576">
        <f t="shared" si="10"/>
        <v>0.7225086094</v>
      </c>
      <c r="AC87" s="576">
        <f t="shared" si="11"/>
        <v>0.7225086094</v>
      </c>
      <c r="AD87" s="577">
        <v>0.0419533217</v>
      </c>
      <c r="AE87" s="572">
        <v>0.09951959508</v>
      </c>
      <c r="AF87" s="578">
        <v>0.01188044662</v>
      </c>
      <c r="AG87" s="132">
        <v>0.02873481056</v>
      </c>
      <c r="AH87" s="132">
        <v>0.095160305</v>
      </c>
      <c r="AI87" s="579">
        <v>0.06113883562</v>
      </c>
      <c r="AJ87" s="579">
        <v>0.07805397093</v>
      </c>
      <c r="AK87" s="580">
        <v>0.1321372247</v>
      </c>
      <c r="AL87" s="580">
        <v>0.1607079889</v>
      </c>
      <c r="AM87" s="581">
        <v>0.003161752043</v>
      </c>
      <c r="AN87" s="571" t="str">
        <f>IFERROR(
  AVERAGEIFS(
    'New LF Efficacy'!$J:$J,
    'New LF Efficacy'!$D:$D, $A87,
    'New LF Efficacy'!$F:$F,"DEC", 
    'New LF Efficacy'!$W:$W,"&lt;2016",
    'New LF Efficacy'!$AA:$AA,""),
  ""
)</f>
        <v/>
      </c>
      <c r="AO87" s="582">
        <f t="shared" si="12"/>
        <v>0.31225</v>
      </c>
      <c r="AP87" s="571" t="str">
        <f>IFERROR(
AVERAGEIFS(
'New LF Efficacy'!$J:$J,
'New LF Efficacy'!$D:$D,$A87,
'New LF Efficacy'!$F:$F,"Albendazole &amp; DEC",
'New LF Efficacy'!$W:$W,"&lt;2016",
'New LF Efficacy'!$AA:$AA,""),
"")</f>
        <v/>
      </c>
      <c r="AQ87" s="582">
        <f t="shared" si="13"/>
        <v>0.4</v>
      </c>
      <c r="AR87" s="571" t="str">
        <f>IFERROR(
AVERAGEIFS(
'New LF Efficacy'!$J:$J,
'New LF Efficacy'!$D:$D,$A87,
'New LF Efficacy'!$F:$F,"Albendazole &amp; Ivermectin", 
'New LF Efficacy'!$W:$W,"&lt;2016",
'New LF Efficacy'!$AA:$AA,""),"")</f>
        <v/>
      </c>
      <c r="AS87" s="582">
        <f t="shared" si="14"/>
        <v>0.2943125</v>
      </c>
      <c r="AT87" s="583" t="str">
        <f>IFERROR(AVERAGEIFS(
'Schist Efficacy'!$O:$O, 
'Schist Efficacy'!$C:$C,$A87, 
'Schist Efficacy'!$D:$D, "Praziquantel",
'Schist Efficacy'!$J:$J,"&lt;2016",
'Schist Efficacy'!$U:$U,""),
"")</f>
        <v/>
      </c>
      <c r="AU87" s="572">
        <f t="shared" si="15"/>
        <v>0.7206464759</v>
      </c>
      <c r="AV87" s="131" t="str">
        <f>IFERROR(AVERAGEIFS(
'STH Efficacy'!$AX:$AX, 
'STH Efficacy'!$AL:$AL, $A87, 
'STH Efficacy'!$AM:$AM, "Albendazole",
'STH Efficacy'!$AS:$AS,"&lt;2016",
'STH Efficacy'!$BP:$BP,""),
"")</f>
        <v/>
      </c>
      <c r="AW87" s="132">
        <f t="shared" si="16"/>
        <v>0.3816333333</v>
      </c>
      <c r="AX87" s="131" t="str">
        <f>IFERROR(AVERAGEIFS(
'STH Efficacy'!$AX:$AX, 
'STH Efficacy'!$AL:$AL, $A87, 
'STH Efficacy'!$AM:$AM, "Mebendazole",
'STH Efficacy'!$AS:$AS,"&lt;2016",
'STH Efficacy'!$BP:$BP,""),
"")</f>
        <v/>
      </c>
      <c r="AY87" s="132">
        <f t="shared" si="17"/>
        <v>0.4859375</v>
      </c>
      <c r="AZ87" s="131" t="str">
        <f>IFERROR(AVERAGEIFS(
'STH Efficacy'!$AX:$AX, 
'STH Efficacy'!$AL:$AL, $A87, 
'STH Efficacy'!$AM:$AM, "Albendazole &amp; Ivermectin",
'STH Efficacy'!$AS:$AS,"&lt;2016",
'STH Efficacy'!$BP:$BP,""),
"")</f>
        <v/>
      </c>
      <c r="BA87" s="303">
        <f t="shared" si="18"/>
        <v>0.47175</v>
      </c>
      <c r="BB87" s="584" t="str">
        <f>IFERROR(AVERAGEIFS(
'STH Efficacy'!$N:$N, 
'STH Efficacy'!$B:$B, $A87, 
'STH Efficacy'!$C:$C, "Albendazole",
'STH Efficacy'!$I:$I,"&lt;2016",
'STH Efficacy'!$AH:$AH,""),
"")</f>
        <v/>
      </c>
      <c r="BC87" s="579">
        <f t="shared" si="19"/>
        <v>0.8699166667</v>
      </c>
      <c r="BD87" s="584" t="str">
        <f>IFERROR(AVERAGEIFS(
'STH Efficacy'!$N:$N, 
'STH Efficacy'!$B:$B, $A87, 
'STH Efficacy'!$C:$C, "Mebendazole",
'STH Efficacy'!$I:$I,"&lt;2016",
'STH Efficacy'!$AH:$AH,""),
"")</f>
        <v/>
      </c>
      <c r="BE87" s="579">
        <f t="shared" si="20"/>
        <v>0.7092416667</v>
      </c>
      <c r="BF87" s="585" t="str">
        <f>IFERROR(AVERAGEIFS(
'STH Efficacy'!$CD:$CD, 
'STH Efficacy'!$BS:$BS, $A87, 
'STH Efficacy'!$BT:$BT, "Albendazole",
'STH Efficacy'!$BZ:$BZ,"&lt;2016",
'STH Efficacy'!$CU:$CU,""),
"")</f>
        <v/>
      </c>
      <c r="BG87" s="580">
        <f t="shared" si="21"/>
        <v>0.9066666667</v>
      </c>
      <c r="BH87" s="585" t="str">
        <f>IFERROR(AVERAGEIFS(
'STH Efficacy'!$CD:$CD, 
'STH Efficacy'!$BS:$BS, $A87, 
'STH Efficacy'!$BT:$BT, "Mebendazole",
'STH Efficacy'!$BZ:$BZ,"&lt;2016",
'STH Efficacy'!$CU:$CU,""),
"")</f>
        <v/>
      </c>
      <c r="BI87" s="580">
        <f t="shared" si="22"/>
        <v>0.8483333333</v>
      </c>
      <c r="BJ87" s="585" t="str">
        <f>IFERROR(AVERAGEIFS(
'STH Efficacy'!$CD:$CD, 
'STH Efficacy'!$BS:$BS, $A87, 
'STH Efficacy'!$BT:$BT, "Albendazole &amp; Ivermectin",
'STH Efficacy'!$BZ:$BZ,"&lt;2016",
'STH Efficacy'!$CU:$CU,""),
"")</f>
        <v/>
      </c>
      <c r="BK87" s="580">
        <f t="shared" si="23"/>
        <v>0.696</v>
      </c>
      <c r="BL87" s="575" t="str">
        <f>IFERROR(
  AVERAGEIFS(
    'NEW Onchocerciasis Efficacy'!$AO:$AO,
    'NEW Onchocerciasis Efficacy'!$C:$C,$A87,
    'NEW Onchocerciasis Efficacy'!$D:$D,"Ivermectin",
    'NEW Onchocerciasis Efficacy'!$AR:$AR,"&lt;2016",
    'NEW Onchocerciasis Efficacy'!$BG:$BG,"")
,"")</f>
        <v/>
      </c>
      <c r="BM87" s="586">
        <f t="shared" si="24"/>
        <v>0.8390421645</v>
      </c>
      <c r="BN87" s="587">
        <v>1.0</v>
      </c>
      <c r="BO87" s="588">
        <v>1.0</v>
      </c>
      <c r="BP87" s="589">
        <v>1.0</v>
      </c>
      <c r="BQ87" s="590">
        <f t="shared" si="25"/>
        <v>0</v>
      </c>
      <c r="BR87" s="560" t="str">
        <f t="shared" si="26"/>
        <v>1110</v>
      </c>
      <c r="BS87" s="560" t="str">
        <f t="shared" si="27"/>
        <v>MDA1+T2</v>
      </c>
      <c r="BT87" s="606" t="str">
        <f t="shared" si="28"/>
        <v>IVM+ALB</v>
      </c>
      <c r="BU87" s="560" t="str">
        <f t="shared" si="29"/>
        <v>PZQ</v>
      </c>
      <c r="BV87" s="560" t="str">
        <f t="shared" si="30"/>
        <v>lf+onch+schist </v>
      </c>
      <c r="BW87" s="150" t="str">
        <f t="shared" si="31"/>
        <v/>
      </c>
      <c r="BX87" s="607">
        <f t="shared" si="32"/>
        <v>4742.070211</v>
      </c>
      <c r="BY87" s="608">
        <f t="shared" si="33"/>
        <v>6499.928777</v>
      </c>
      <c r="BZ87" s="152" t="str">
        <f t="shared" si="34"/>
        <v/>
      </c>
      <c r="CA87" s="152" t="str">
        <f t="shared" si="35"/>
        <v/>
      </c>
      <c r="CB87" s="152" t="str">
        <f t="shared" si="36"/>
        <v/>
      </c>
      <c r="CC87" s="153" t="str">
        <f t="shared" si="37"/>
        <v/>
      </c>
      <c r="CD87" s="153" t="str">
        <f t="shared" si="38"/>
        <v/>
      </c>
      <c r="CE87" s="154" t="str">
        <f t="shared" si="39"/>
        <v/>
      </c>
      <c r="CF87" s="154" t="str">
        <f t="shared" si="40"/>
        <v/>
      </c>
      <c r="CG87" s="154" t="str">
        <f t="shared" si="41"/>
        <v/>
      </c>
      <c r="CH87" s="609">
        <f t="shared" si="42"/>
        <v>134.7231028</v>
      </c>
    </row>
    <row r="88">
      <c r="A88" s="599" t="s">
        <v>177</v>
      </c>
      <c r="B88" s="560" t="s">
        <v>92</v>
      </c>
      <c r="C88" s="561">
        <v>1770526.0</v>
      </c>
      <c r="D88" s="562">
        <v>5523.137633</v>
      </c>
      <c r="E88" s="563">
        <v>1980.68345026266</v>
      </c>
      <c r="F88" s="564">
        <v>0.053781249</v>
      </c>
      <c r="G88" s="564">
        <v>0.390764851</v>
      </c>
      <c r="H88" s="564">
        <v>0.919278043</v>
      </c>
      <c r="I88" s="565">
        <v>151.2916335</v>
      </c>
      <c r="J88" s="566">
        <v>443.414215009659</v>
      </c>
      <c r="K88" s="566">
        <v>1706.59398390431</v>
      </c>
      <c r="L88" s="567">
        <v>89.98465398</v>
      </c>
      <c r="M88" s="568">
        <v>12.5748840868668</v>
      </c>
      <c r="N88" s="568">
        <v>106.355627267397</v>
      </c>
      <c r="O88" s="569">
        <v>3.2</v>
      </c>
      <c r="P88" s="601">
        <v>158512.206881</v>
      </c>
      <c r="Q88" s="618">
        <v>831768.0</v>
      </c>
      <c r="R88" s="603">
        <v>0.735</v>
      </c>
      <c r="S88" s="116">
        <f t="shared" si="6"/>
        <v>0.735</v>
      </c>
      <c r="T88" s="626" t="s">
        <v>395</v>
      </c>
      <c r="U88" s="572" t="str">
        <f t="shared" si="7"/>
        <v> </v>
      </c>
      <c r="V88" s="573">
        <v>1.0</v>
      </c>
      <c r="W88" s="574">
        <f t="shared" si="8"/>
        <v>1</v>
      </c>
      <c r="X88" s="573">
        <v>0.4941</v>
      </c>
      <c r="Y88" s="574">
        <f t="shared" si="9"/>
        <v>0.4941</v>
      </c>
      <c r="Z88" s="604">
        <v>554035.0</v>
      </c>
      <c r="AA88" s="605">
        <v>429437.0</v>
      </c>
      <c r="AB88" s="576">
        <f t="shared" si="10"/>
        <v>0.7751080708</v>
      </c>
      <c r="AC88" s="576">
        <f t="shared" si="11"/>
        <v>0.7751080708</v>
      </c>
      <c r="AD88" s="577">
        <v>0.08731853404</v>
      </c>
      <c r="AE88" s="572">
        <v>0.07039282318</v>
      </c>
      <c r="AF88" s="578">
        <v>0.004428758633</v>
      </c>
      <c r="AG88" s="132">
        <v>0.02192780927</v>
      </c>
      <c r="AH88" s="132">
        <v>0.071884598</v>
      </c>
      <c r="AI88" s="579">
        <v>0.2020174522</v>
      </c>
      <c r="AJ88" s="579">
        <v>0.2552355122</v>
      </c>
      <c r="AK88" s="580">
        <v>0.05473577723</v>
      </c>
      <c r="AL88" s="580">
        <v>0.06588620247</v>
      </c>
      <c r="AM88" s="581">
        <v>7.205050397E-6</v>
      </c>
      <c r="AN88" s="571" t="str">
        <f>IFERROR(
  AVERAGEIFS(
    'New LF Efficacy'!$J:$J,
    'New LF Efficacy'!$D:$D, $A88,
    'New LF Efficacy'!$F:$F,"DEC", 
    'New LF Efficacy'!$W:$W,"&lt;2016",
    'New LF Efficacy'!$AA:$AA,""),
  ""
)</f>
        <v/>
      </c>
      <c r="AO88" s="582">
        <f t="shared" si="12"/>
        <v>0.31225</v>
      </c>
      <c r="AP88" s="571" t="str">
        <f>IFERROR(
AVERAGEIFS(
'New LF Efficacy'!$J:$J,
'New LF Efficacy'!$D:$D,$A88,
'New LF Efficacy'!$F:$F,"Albendazole &amp; DEC",
'New LF Efficacy'!$W:$W,"&lt;2016",
'New LF Efficacy'!$AA:$AA,""),
"")</f>
        <v/>
      </c>
      <c r="AQ88" s="582">
        <f t="shared" si="13"/>
        <v>0.4</v>
      </c>
      <c r="AR88" s="571" t="str">
        <f>IFERROR(
AVERAGEIFS(
'New LF Efficacy'!$J:$J,
'New LF Efficacy'!$D:$D,$A88,
'New LF Efficacy'!$F:$F,"Albendazole &amp; Ivermectin", 
'New LF Efficacy'!$W:$W,"&lt;2016",
'New LF Efficacy'!$AA:$AA,""),"")</f>
        <v/>
      </c>
      <c r="AS88" s="582">
        <f t="shared" si="14"/>
        <v>0.2943125</v>
      </c>
      <c r="AT88" s="583" t="str">
        <f>IFERROR(AVERAGEIFS(
'Schist Efficacy'!$O:$O, 
'Schist Efficacy'!$C:$C,$A88, 
'Schist Efficacy'!$D:$D, "Praziquantel",
'Schist Efficacy'!$J:$J,"&lt;2016",
'Schist Efficacy'!$U:$U,""),
"")</f>
        <v/>
      </c>
      <c r="AU88" s="572">
        <f t="shared" si="15"/>
        <v>0.7206464759</v>
      </c>
      <c r="AV88" s="131" t="str">
        <f>IFERROR(AVERAGEIFS(
'STH Efficacy'!$AX:$AX, 
'STH Efficacy'!$AL:$AL, $A88, 
'STH Efficacy'!$AM:$AM, "Albendazole",
'STH Efficacy'!$AS:$AS,"&lt;2016",
'STH Efficacy'!$BP:$BP,""),
"")</f>
        <v/>
      </c>
      <c r="AW88" s="132">
        <f t="shared" si="16"/>
        <v>0.3816333333</v>
      </c>
      <c r="AX88" s="131" t="str">
        <f>IFERROR(AVERAGEIFS(
'STH Efficacy'!$AX:$AX, 
'STH Efficacy'!$AL:$AL, $A88, 
'STH Efficacy'!$AM:$AM, "Mebendazole",
'STH Efficacy'!$AS:$AS,"&lt;2016",
'STH Efficacy'!$BP:$BP,""),
"")</f>
        <v/>
      </c>
      <c r="AY88" s="132">
        <f t="shared" si="17"/>
        <v>0.4859375</v>
      </c>
      <c r="AZ88" s="131" t="str">
        <f>IFERROR(AVERAGEIFS(
'STH Efficacy'!$AX:$AX, 
'STH Efficacy'!$AL:$AL, $A88, 
'STH Efficacy'!$AM:$AM, "Albendazole &amp; Ivermectin",
'STH Efficacy'!$AS:$AS,"&lt;2016",
'STH Efficacy'!$BP:$BP,""),
"")</f>
        <v/>
      </c>
      <c r="BA88" s="303">
        <f t="shared" si="18"/>
        <v>0.47175</v>
      </c>
      <c r="BB88" s="584" t="str">
        <f>IFERROR(AVERAGEIFS(
'STH Efficacy'!$N:$N, 
'STH Efficacy'!$B:$B, $A88, 
'STH Efficacy'!$C:$C, "Albendazole",
'STH Efficacy'!$I:$I,"&lt;2016",
'STH Efficacy'!$AH:$AH,""),
"")</f>
        <v/>
      </c>
      <c r="BC88" s="579">
        <f t="shared" si="19"/>
        <v>0.8699166667</v>
      </c>
      <c r="BD88" s="584" t="str">
        <f>IFERROR(AVERAGEIFS(
'STH Efficacy'!$N:$N, 
'STH Efficacy'!$B:$B, $A88, 
'STH Efficacy'!$C:$C, "Mebendazole",
'STH Efficacy'!$I:$I,"&lt;2016",
'STH Efficacy'!$AH:$AH,""),
"")</f>
        <v/>
      </c>
      <c r="BE88" s="579">
        <f t="shared" si="20"/>
        <v>0.7092416667</v>
      </c>
      <c r="BF88" s="585" t="str">
        <f>IFERROR(AVERAGEIFS(
'STH Efficacy'!$CD:$CD, 
'STH Efficacy'!$BS:$BS, $A88, 
'STH Efficacy'!$BT:$BT, "Albendazole",
'STH Efficacy'!$BZ:$BZ,"&lt;2016",
'STH Efficacy'!$CU:$CU,""),
"")</f>
        <v/>
      </c>
      <c r="BG88" s="580">
        <f t="shared" si="21"/>
        <v>0.9066666667</v>
      </c>
      <c r="BH88" s="585" t="str">
        <f>IFERROR(AVERAGEIFS(
'STH Efficacy'!$CD:$CD, 
'STH Efficacy'!$BS:$BS, $A88, 
'STH Efficacy'!$BT:$BT, "Mebendazole",
'STH Efficacy'!$BZ:$BZ,"&lt;2016",
'STH Efficacy'!$CU:$CU,""),
"")</f>
        <v/>
      </c>
      <c r="BI88" s="580">
        <f t="shared" si="22"/>
        <v>0.8483333333</v>
      </c>
      <c r="BJ88" s="585" t="str">
        <f>IFERROR(AVERAGEIFS(
'STH Efficacy'!$CD:$CD, 
'STH Efficacy'!$BS:$BS, $A88, 
'STH Efficacy'!$BT:$BT, "Albendazole &amp; Ivermectin",
'STH Efficacy'!$BZ:$BZ,"&lt;2016",
'STH Efficacy'!$CU:$CU,""),
"")</f>
        <v/>
      </c>
      <c r="BK88" s="580">
        <f t="shared" si="23"/>
        <v>0.696</v>
      </c>
      <c r="BL88" s="575" t="str">
        <f>IFERROR(
  AVERAGEIFS(
    'NEW Onchocerciasis Efficacy'!$AO:$AO,
    'NEW Onchocerciasis Efficacy'!$C:$C,$A88,
    'NEW Onchocerciasis Efficacy'!$D:$D,"Ivermectin",
    'NEW Onchocerciasis Efficacy'!$AR:$AR,"&lt;2016",
    'NEW Onchocerciasis Efficacy'!$BG:$BG,"")
,"")</f>
        <v/>
      </c>
      <c r="BM88" s="586">
        <f t="shared" si="24"/>
        <v>0.8390421645</v>
      </c>
      <c r="BN88" s="587">
        <v>1.0</v>
      </c>
      <c r="BO88" s="588">
        <v>0.0</v>
      </c>
      <c r="BP88" s="589">
        <v>1.0</v>
      </c>
      <c r="BQ88" s="590">
        <f t="shared" si="25"/>
        <v>0</v>
      </c>
      <c r="BR88" s="560" t="str">
        <f t="shared" si="26"/>
        <v>1010</v>
      </c>
      <c r="BS88" s="560" t="str">
        <f t="shared" si="27"/>
        <v>MDA1/2+T2</v>
      </c>
      <c r="BT88" s="606" t="str">
        <f t="shared" si="28"/>
        <v>IVM+ALB or DEC +ALB</v>
      </c>
      <c r="BU88" s="560" t="str">
        <f t="shared" si="29"/>
        <v>PZQ</v>
      </c>
      <c r="BV88" s="560" t="str">
        <f t="shared" si="30"/>
        <v>lf+schist </v>
      </c>
      <c r="BW88" s="150" t="str">
        <f t="shared" si="31"/>
        <v/>
      </c>
      <c r="BX88" s="607">
        <f t="shared" si="32"/>
        <v>1524.554576</v>
      </c>
      <c r="BY88" s="151" t="str">
        <f t="shared" si="33"/>
        <v/>
      </c>
      <c r="BZ88" s="152" t="str">
        <f t="shared" si="34"/>
        <v/>
      </c>
      <c r="CA88" s="152" t="str">
        <f t="shared" si="35"/>
        <v/>
      </c>
      <c r="CB88" s="152" t="str">
        <f t="shared" si="36"/>
        <v/>
      </c>
      <c r="CC88" s="153" t="str">
        <f t="shared" si="37"/>
        <v/>
      </c>
      <c r="CD88" s="153" t="str">
        <f t="shared" si="38"/>
        <v/>
      </c>
      <c r="CE88" s="154" t="str">
        <f t="shared" si="39"/>
        <v/>
      </c>
      <c r="CF88" s="154" t="str">
        <f t="shared" si="40"/>
        <v/>
      </c>
      <c r="CG88" s="154" t="str">
        <f t="shared" si="41"/>
        <v/>
      </c>
      <c r="CH88" s="308" t="str">
        <f t="shared" si="42"/>
        <v/>
      </c>
    </row>
    <row r="89">
      <c r="A89" s="559" t="s">
        <v>178</v>
      </c>
      <c r="B89" s="560" t="s">
        <v>98</v>
      </c>
      <c r="C89" s="561">
        <v>768514.0</v>
      </c>
      <c r="D89" s="562">
        <v>2299.778162</v>
      </c>
      <c r="E89" s="563">
        <v>0.0</v>
      </c>
      <c r="F89" s="564">
        <v>0.062331401</v>
      </c>
      <c r="G89" s="564">
        <v>0.425713239</v>
      </c>
      <c r="H89" s="564">
        <v>1.449156802</v>
      </c>
      <c r="I89" s="565">
        <v>1.060558812</v>
      </c>
      <c r="J89" s="566">
        <v>3.37870275273253</v>
      </c>
      <c r="K89" s="566">
        <v>16.4625800610702</v>
      </c>
      <c r="L89" s="567">
        <v>4.512242237</v>
      </c>
      <c r="M89" s="568">
        <v>5.99026894474308</v>
      </c>
      <c r="N89" s="568">
        <v>19.1631483878797</v>
      </c>
      <c r="O89" s="569">
        <v>0.0</v>
      </c>
      <c r="P89" s="601" t="s">
        <v>401</v>
      </c>
      <c r="Q89" s="618">
        <v>437965.0</v>
      </c>
      <c r="R89" s="603">
        <v>0.6089</v>
      </c>
      <c r="S89" s="116">
        <f t="shared" si="6"/>
        <v>0.6089</v>
      </c>
      <c r="T89" s="151"/>
      <c r="U89" s="572">
        <f t="shared" si="7"/>
        <v>0.0025</v>
      </c>
      <c r="V89" s="573">
        <v>0.6896</v>
      </c>
      <c r="W89" s="574">
        <f t="shared" si="8"/>
        <v>0.6896</v>
      </c>
      <c r="X89" s="573">
        <v>0.5539</v>
      </c>
      <c r="Y89" s="574">
        <f t="shared" si="9"/>
        <v>0.5539</v>
      </c>
      <c r="Z89" s="308"/>
      <c r="AA89" s="308"/>
      <c r="AB89" s="575" t="str">
        <f t="shared" si="10"/>
        <v/>
      </c>
      <c r="AC89" s="576">
        <f t="shared" si="11"/>
        <v>0.7574216602</v>
      </c>
      <c r="AD89" s="577">
        <v>0.08644825325</v>
      </c>
      <c r="AE89" s="572">
        <v>0.0</v>
      </c>
      <c r="AF89" s="578">
        <v>0.0</v>
      </c>
      <c r="AG89" s="132">
        <v>0.01839511753</v>
      </c>
      <c r="AH89" s="132">
        <v>0.059655385</v>
      </c>
      <c r="AI89" s="579">
        <v>0.007776133149</v>
      </c>
      <c r="AJ89" s="579">
        <v>0.009646686315</v>
      </c>
      <c r="AK89" s="580">
        <v>0.07663853138</v>
      </c>
      <c r="AL89" s="580">
        <v>0.09023867199</v>
      </c>
      <c r="AM89" s="581">
        <v>0.0</v>
      </c>
      <c r="AN89" s="571" t="str">
        <f>IFERROR(
  AVERAGEIFS(
    'New LF Efficacy'!$J:$J,
    'New LF Efficacy'!$D:$D, $A89,
    'New LF Efficacy'!$F:$F,"DEC", 
    'New LF Efficacy'!$W:$W,"&lt;2016",
    'New LF Efficacy'!$AA:$AA,""),
  ""
)</f>
        <v/>
      </c>
      <c r="AO89" s="582">
        <f t="shared" si="12"/>
        <v>0.2589833333</v>
      </c>
      <c r="AP89" s="571" t="str">
        <f>IFERROR(
AVERAGEIFS(
'New LF Efficacy'!$J:$J,
'New LF Efficacy'!$D:$D,$A89,
'New LF Efficacy'!$F:$F,"Albendazole &amp; DEC",
'New LF Efficacy'!$W:$W,"&lt;2016",
'New LF Efficacy'!$AA:$AA,""),
"")</f>
        <v/>
      </c>
      <c r="AQ89" s="582">
        <f t="shared" si="13"/>
        <v>0.3465</v>
      </c>
      <c r="AR89" s="571" t="str">
        <f>IFERROR(
AVERAGEIFS(
'New LF Efficacy'!$J:$J,
'New LF Efficacy'!$D:$D,$A89,
'New LF Efficacy'!$F:$F,"Albendazole &amp; Ivermectin", 
'New LF Efficacy'!$W:$W,"&lt;2016",
'New LF Efficacy'!$AA:$AA,""),"")</f>
        <v/>
      </c>
      <c r="AS89" s="582">
        <f t="shared" si="14"/>
        <v>0.7575</v>
      </c>
      <c r="AT89" s="583" t="str">
        <f>IFERROR(AVERAGEIFS(
'Schist Efficacy'!$O:$O, 
'Schist Efficacy'!$C:$C,$A89, 
'Schist Efficacy'!$D:$D, "Praziquantel",
'Schist Efficacy'!$J:$J,"&lt;2016",
'Schist Efficacy'!$U:$U,""),
"")</f>
        <v/>
      </c>
      <c r="AU89" s="572">
        <f t="shared" si="15"/>
        <v>0.7914761905</v>
      </c>
      <c r="AV89" s="131" t="str">
        <f>IFERROR(AVERAGEIFS(
'STH Efficacy'!$AX:$AX, 
'STH Efficacy'!$AL:$AL, $A89, 
'STH Efficacy'!$AM:$AM, "Albendazole",
'STH Efficacy'!$AS:$AS,"&lt;2016",
'STH Efficacy'!$BP:$BP,""),
"")</f>
        <v/>
      </c>
      <c r="AW89" s="132">
        <f t="shared" si="16"/>
        <v>0.3945</v>
      </c>
      <c r="AX89" s="131" t="str">
        <f>IFERROR(AVERAGEIFS(
'STH Efficacy'!$AX:$AX, 
'STH Efficacy'!$AL:$AL, $A89, 
'STH Efficacy'!$AM:$AM, "Mebendazole",
'STH Efficacy'!$AS:$AS,"&lt;2016",
'STH Efficacy'!$BP:$BP,""),
"")</f>
        <v/>
      </c>
      <c r="AY89" s="132">
        <f t="shared" si="17"/>
        <v>0.6</v>
      </c>
      <c r="AZ89" s="131" t="str">
        <f>IFERROR(AVERAGEIFS(
'STH Efficacy'!$AX:$AX, 
'STH Efficacy'!$AL:$AL, $A89, 
'STH Efficacy'!$AM:$AM, "Albendazole &amp; Ivermectin",
'STH Efficacy'!$AS:$AS,"&lt;2016",
'STH Efficacy'!$BP:$BP,""),
"")</f>
        <v/>
      </c>
      <c r="BA89" s="303">
        <f t="shared" si="18"/>
        <v>0.796</v>
      </c>
      <c r="BB89" s="584" t="str">
        <f>IFERROR(AVERAGEIFS(
'STH Efficacy'!$N:$N, 
'STH Efficacy'!$B:$B, $A89, 
'STH Efficacy'!$C:$C, "Albendazole",
'STH Efficacy'!$I:$I,"&lt;2016",
'STH Efficacy'!$AH:$AH,""),
"")</f>
        <v/>
      </c>
      <c r="BC89" s="579">
        <f t="shared" si="19"/>
        <v>0.869</v>
      </c>
      <c r="BD89" s="584" t="str">
        <f>IFERROR(AVERAGEIFS(
'STH Efficacy'!$N:$N, 
'STH Efficacy'!$B:$B, $A89, 
'STH Efficacy'!$C:$C, "Mebendazole",
'STH Efficacy'!$I:$I,"&lt;2016",
'STH Efficacy'!$AH:$AH,""),
"")</f>
        <v/>
      </c>
      <c r="BE89" s="579">
        <f t="shared" si="20"/>
        <v>0.172</v>
      </c>
      <c r="BF89" s="585" t="str">
        <f>IFERROR(AVERAGEIFS(
'STH Efficacy'!$CD:$CD, 
'STH Efficacy'!$BS:$BS, $A89, 
'STH Efficacy'!$BT:$BT, "Albendazole",
'STH Efficacy'!$BZ:$BZ,"&lt;2016",
'STH Efficacy'!$CU:$CU,""),
"")</f>
        <v/>
      </c>
      <c r="BG89" s="580">
        <f t="shared" si="21"/>
        <v>0.9862</v>
      </c>
      <c r="BH89" s="585" t="str">
        <f>IFERROR(AVERAGEIFS(
'STH Efficacy'!$CD:$CD, 
'STH Efficacy'!$BS:$BS, $A89, 
'STH Efficacy'!$BT:$BT, "Mebendazole",
'STH Efficacy'!$BZ:$BZ,"&lt;2016",
'STH Efficacy'!$CU:$CU,""),
"")</f>
        <v/>
      </c>
      <c r="BI89" s="580">
        <f t="shared" si="22"/>
        <v>0.769</v>
      </c>
      <c r="BJ89" s="585" t="str">
        <f>IFERROR(AVERAGEIFS(
'STH Efficacy'!$CD:$CD, 
'STH Efficacy'!$BS:$BS, $A89, 
'STH Efficacy'!$BT:$BT, "Albendazole &amp; Ivermectin",
'STH Efficacy'!$BZ:$BZ,"&lt;2016",
'STH Efficacy'!$CU:$CU,""),
"")</f>
        <v/>
      </c>
      <c r="BK89" s="580">
        <f t="shared" si="23"/>
        <v>1</v>
      </c>
      <c r="BL89" s="575" t="str">
        <f>IFERROR(
  AVERAGEIFS(
    'NEW Onchocerciasis Efficacy'!$AO:$AO,
    'NEW Onchocerciasis Efficacy'!$C:$C,$A89,
    'NEW Onchocerciasis Efficacy'!$D:$D,"Ivermectin",
    'NEW Onchocerciasis Efficacy'!$AR:$AR,"&lt;2016",
    'NEW Onchocerciasis Efficacy'!$BG:$BG,"")
,"")</f>
        <v/>
      </c>
      <c r="BM89" s="586">
        <f t="shared" si="24"/>
        <v>0.3734</v>
      </c>
      <c r="BN89" s="587">
        <v>1.0</v>
      </c>
      <c r="BO89" s="588">
        <v>0.0</v>
      </c>
      <c r="BP89" s="589">
        <v>0.0</v>
      </c>
      <c r="BQ89" s="590">
        <f t="shared" si="25"/>
        <v>0</v>
      </c>
      <c r="BR89" s="560" t="str">
        <f t="shared" si="26"/>
        <v>1000</v>
      </c>
      <c r="BS89" s="560" t="str">
        <f t="shared" si="27"/>
        <v>MDA1/2</v>
      </c>
      <c r="BT89" s="606" t="str">
        <f t="shared" si="28"/>
        <v>IVM+ALB or DEC+ALB</v>
      </c>
      <c r="BU89" s="591" t="str">
        <f t="shared" si="29"/>
        <v/>
      </c>
      <c r="BV89" s="560" t="str">
        <f t="shared" si="30"/>
        <v>lf only</v>
      </c>
      <c r="BW89" s="607">
        <f t="shared" si="31"/>
        <v>614.9633956</v>
      </c>
      <c r="BX89" s="607">
        <f t="shared" si="32"/>
        <v>1968.886238</v>
      </c>
      <c r="BY89" s="151" t="str">
        <f t="shared" si="33"/>
        <v/>
      </c>
      <c r="BZ89" s="152" t="str">
        <f t="shared" si="34"/>
        <v/>
      </c>
      <c r="CA89" s="152" t="str">
        <f t="shared" si="35"/>
        <v/>
      </c>
      <c r="CB89" s="152" t="str">
        <f t="shared" si="36"/>
        <v/>
      </c>
      <c r="CC89" s="153" t="str">
        <f t="shared" si="37"/>
        <v/>
      </c>
      <c r="CD89" s="153" t="str">
        <f t="shared" si="38"/>
        <v/>
      </c>
      <c r="CE89" s="154" t="str">
        <f t="shared" si="39"/>
        <v/>
      </c>
      <c r="CF89" s="154" t="str">
        <f t="shared" si="40"/>
        <v/>
      </c>
      <c r="CG89" s="154" t="str">
        <f t="shared" si="41"/>
        <v/>
      </c>
      <c r="CH89" s="308" t="str">
        <f t="shared" si="42"/>
        <v/>
      </c>
    </row>
    <row r="90">
      <c r="A90" s="559" t="s">
        <v>179</v>
      </c>
      <c r="B90" s="560" t="s">
        <v>98</v>
      </c>
      <c r="C90" s="561">
        <v>1.0711061E7</v>
      </c>
      <c r="D90" s="562">
        <v>25061.36078</v>
      </c>
      <c r="E90" s="563">
        <v>0.0</v>
      </c>
      <c r="F90" s="564">
        <v>1.361078506</v>
      </c>
      <c r="G90" s="564">
        <v>8.969353023</v>
      </c>
      <c r="H90" s="564">
        <v>52.52577366</v>
      </c>
      <c r="I90" s="565">
        <v>197.2419098</v>
      </c>
      <c r="J90" s="566">
        <v>561.851286620716</v>
      </c>
      <c r="K90" s="566">
        <v>2790.8267370716</v>
      </c>
      <c r="L90" s="567">
        <v>264.7191317</v>
      </c>
      <c r="M90" s="568">
        <v>128.792749204572</v>
      </c>
      <c r="N90" s="568">
        <v>577.265273069772</v>
      </c>
      <c r="O90" s="569">
        <v>0.0</v>
      </c>
      <c r="P90" s="601" t="s">
        <v>402</v>
      </c>
      <c r="Q90" s="618">
        <v>2838735.0</v>
      </c>
      <c r="R90" s="603">
        <v>0.5091</v>
      </c>
      <c r="S90" s="116">
        <f t="shared" si="6"/>
        <v>0.5091</v>
      </c>
      <c r="T90" s="151"/>
      <c r="U90" s="572">
        <f t="shared" si="7"/>
        <v>0.0025</v>
      </c>
      <c r="V90" s="573">
        <v>0.1179</v>
      </c>
      <c r="W90" s="574">
        <f t="shared" si="8"/>
        <v>0.1179</v>
      </c>
      <c r="X90" s="573">
        <v>0.2416</v>
      </c>
      <c r="Y90" s="574">
        <f t="shared" si="9"/>
        <v>0.2416</v>
      </c>
      <c r="Z90" s="308"/>
      <c r="AA90" s="308"/>
      <c r="AB90" s="575" t="str">
        <f t="shared" si="10"/>
        <v/>
      </c>
      <c r="AC90" s="576">
        <f t="shared" si="11"/>
        <v>0.7574216602</v>
      </c>
      <c r="AD90" s="577">
        <v>0.04677364347</v>
      </c>
      <c r="AE90" s="572">
        <v>0.0</v>
      </c>
      <c r="AF90" s="578">
        <v>0.0</v>
      </c>
      <c r="AG90" s="132">
        <v>0.02214324123</v>
      </c>
      <c r="AH90" s="132">
        <v>0.073416187</v>
      </c>
      <c r="AI90" s="579">
        <v>0.06851989647</v>
      </c>
      <c r="AJ90" s="579">
        <v>0.08715920555</v>
      </c>
      <c r="AK90" s="580">
        <v>0.127960264</v>
      </c>
      <c r="AL90" s="580">
        <v>0.1547237398</v>
      </c>
      <c r="AM90" s="581">
        <v>0.0</v>
      </c>
      <c r="AN90" s="571">
        <f>IFERROR(
  AVERAGEIFS(
    'New LF Efficacy'!$J:$J,
    'New LF Efficacy'!$D:$D, $A90,
    'New LF Efficacy'!$F:$F,"DEC", 
    'New LF Efficacy'!$W:$W,"&lt;2016",
    'New LF Efficacy'!$AA:$AA,""),
  ""
)</f>
        <v>0.09196666667</v>
      </c>
      <c r="AO90" s="582">
        <f t="shared" si="12"/>
        <v>0.09196666667</v>
      </c>
      <c r="AP90" s="571">
        <f>IFERROR(
AVERAGEIFS(
'New LF Efficacy'!$J:$J,
'New LF Efficacy'!$D:$D,$A90,
'New LF Efficacy'!$F:$F,"Albendazole &amp; DEC",
'New LF Efficacy'!$W:$W,"&lt;2016",
'New LF Efficacy'!$AA:$AA,""),
"")</f>
        <v>0.114</v>
      </c>
      <c r="AQ90" s="582">
        <f t="shared" si="13"/>
        <v>0.114</v>
      </c>
      <c r="AR90" s="571">
        <f>IFERROR(
AVERAGEIFS(
'New LF Efficacy'!$J:$J,
'New LF Efficacy'!$D:$D,$A90,
'New LF Efficacy'!$F:$F,"Albendazole &amp; Ivermectin", 
'New LF Efficacy'!$W:$W,"&lt;2016",
'New LF Efficacy'!$AA:$AA,""),"")</f>
        <v>0.7575</v>
      </c>
      <c r="AS90" s="582">
        <f t="shared" si="14"/>
        <v>0.7575</v>
      </c>
      <c r="AT90" s="583" t="str">
        <f>IFERROR(AVERAGEIFS(
'Schist Efficacy'!$O:$O, 
'Schist Efficacy'!$C:$C,$A90, 
'Schist Efficacy'!$D:$D, "Praziquantel",
'Schist Efficacy'!$J:$J,"&lt;2016",
'Schist Efficacy'!$U:$U,""),
"")</f>
        <v/>
      </c>
      <c r="AU90" s="572">
        <f t="shared" si="15"/>
        <v>0.7914761905</v>
      </c>
      <c r="AV90" s="131">
        <f>IFERROR(AVERAGEIFS(
'STH Efficacy'!$AX:$AX, 
'STH Efficacy'!$AL:$AL, $A90, 
'STH Efficacy'!$AM:$AM, "Albendazole",
'STH Efficacy'!$AS:$AS,"&lt;2016",
'STH Efficacy'!$BP:$BP,""),
"")</f>
        <v>0.456</v>
      </c>
      <c r="AW90" s="132">
        <f t="shared" si="16"/>
        <v>0.456</v>
      </c>
      <c r="AX90" s="131" t="str">
        <f>IFERROR(AVERAGEIFS(
'STH Efficacy'!$AX:$AX, 
'STH Efficacy'!$AL:$AL, $A90, 
'STH Efficacy'!$AM:$AM, "Mebendazole",
'STH Efficacy'!$AS:$AS,"&lt;2016",
'STH Efficacy'!$BP:$BP,""),
"")</f>
        <v/>
      </c>
      <c r="AY90" s="132">
        <f t="shared" si="17"/>
        <v>0.6</v>
      </c>
      <c r="AZ90" s="131">
        <f>IFERROR(AVERAGEIFS(
'STH Efficacy'!$AX:$AX, 
'STH Efficacy'!$AL:$AL, $A90, 
'STH Efficacy'!$AM:$AM, "Albendazole &amp; Ivermectin",
'STH Efficacy'!$AS:$AS,"&lt;2016",
'STH Efficacy'!$BP:$BP,""),
"")</f>
        <v>0.796</v>
      </c>
      <c r="BA90" s="303">
        <f t="shared" si="18"/>
        <v>0.796</v>
      </c>
      <c r="BB90" s="584">
        <f>IFERROR(AVERAGEIFS(
'STH Efficacy'!$N:$N, 
'STH Efficacy'!$B:$B, $A90, 
'STH Efficacy'!$C:$C, "Albendazole",
'STH Efficacy'!$I:$I,"&lt;2016",
'STH Efficacy'!$AH:$AH,""),
"")</f>
        <v>0.92</v>
      </c>
      <c r="BC90" s="579">
        <f t="shared" si="19"/>
        <v>0.92</v>
      </c>
      <c r="BD90" s="584" t="str">
        <f>IFERROR(AVERAGEIFS(
'STH Efficacy'!$N:$N, 
'STH Efficacy'!$B:$B, $A90, 
'STH Efficacy'!$C:$C, "Mebendazole",
'STH Efficacy'!$I:$I,"&lt;2016",
'STH Efficacy'!$AH:$AH,""),
"")</f>
        <v/>
      </c>
      <c r="BE90" s="579">
        <f t="shared" si="20"/>
        <v>0.172</v>
      </c>
      <c r="BF90" s="585">
        <f>IFERROR(AVERAGEIFS(
'STH Efficacy'!$CD:$CD, 
'STH Efficacy'!$BS:$BS, $A90, 
'STH Efficacy'!$BT:$BT, "Albendazole",
'STH Efficacy'!$BZ:$BZ,"&lt;2016",
'STH Efficacy'!$CU:$CU,""),
"")</f>
        <v>0.9764</v>
      </c>
      <c r="BG90" s="580">
        <f t="shared" si="21"/>
        <v>0.9764</v>
      </c>
      <c r="BH90" s="585" t="str">
        <f>IFERROR(AVERAGEIFS(
'STH Efficacy'!$CD:$CD, 
'STH Efficacy'!$BS:$BS, $A90, 
'STH Efficacy'!$BT:$BT, "Mebendazole",
'STH Efficacy'!$BZ:$BZ,"&lt;2016",
'STH Efficacy'!$CU:$CU,""),
"")</f>
        <v/>
      </c>
      <c r="BI90" s="580">
        <f t="shared" si="22"/>
        <v>0.769</v>
      </c>
      <c r="BJ90" s="585">
        <f>IFERROR(AVERAGEIFS(
'STH Efficacy'!$CD:$CD, 
'STH Efficacy'!$BS:$BS, $A90, 
'STH Efficacy'!$BT:$BT, "Albendazole &amp; Ivermectin",
'STH Efficacy'!$BZ:$BZ,"&lt;2016",
'STH Efficacy'!$CU:$CU,""),
"")</f>
        <v>1</v>
      </c>
      <c r="BK90" s="580">
        <f t="shared" si="23"/>
        <v>1</v>
      </c>
      <c r="BL90" s="575" t="str">
        <f>IFERROR(
  AVERAGEIFS(
    'NEW Onchocerciasis Efficacy'!$AO:$AO,
    'NEW Onchocerciasis Efficacy'!$C:$C,$A90,
    'NEW Onchocerciasis Efficacy'!$D:$D,"Ivermectin",
    'NEW Onchocerciasis Efficacy'!$AR:$AR,"&lt;2016",
    'NEW Onchocerciasis Efficacy'!$BG:$BG,"")
,"")</f>
        <v/>
      </c>
      <c r="BM90" s="586">
        <f t="shared" si="24"/>
        <v>0.3734</v>
      </c>
      <c r="BN90" s="587">
        <v>1.0</v>
      </c>
      <c r="BO90" s="588">
        <v>0.0</v>
      </c>
      <c r="BP90" s="589">
        <v>0.0</v>
      </c>
      <c r="BQ90" s="590">
        <f t="shared" si="25"/>
        <v>0</v>
      </c>
      <c r="BR90" s="560" t="str">
        <f t="shared" si="26"/>
        <v>1000</v>
      </c>
      <c r="BS90" s="560" t="str">
        <f t="shared" si="27"/>
        <v>MDA1/2</v>
      </c>
      <c r="BT90" s="606" t="str">
        <f t="shared" si="28"/>
        <v>IVM+ALB or DEC+ALB</v>
      </c>
      <c r="BU90" s="591" t="str">
        <f t="shared" si="29"/>
        <v/>
      </c>
      <c r="BV90" s="560" t="str">
        <f t="shared" si="30"/>
        <v>lf only</v>
      </c>
      <c r="BW90" s="607">
        <f t="shared" si="31"/>
        <v>1544.112495</v>
      </c>
      <c r="BX90" s="607">
        <f t="shared" si="32"/>
        <v>15731.48601</v>
      </c>
      <c r="BY90" s="151" t="str">
        <f t="shared" si="33"/>
        <v/>
      </c>
      <c r="BZ90" s="152" t="str">
        <f t="shared" si="34"/>
        <v/>
      </c>
      <c r="CA90" s="152" t="str">
        <f t="shared" si="35"/>
        <v/>
      </c>
      <c r="CB90" s="152" t="str">
        <f t="shared" si="36"/>
        <v/>
      </c>
      <c r="CC90" s="153" t="str">
        <f t="shared" si="37"/>
        <v/>
      </c>
      <c r="CD90" s="153" t="str">
        <f t="shared" si="38"/>
        <v/>
      </c>
      <c r="CE90" s="154" t="str">
        <f t="shared" si="39"/>
        <v/>
      </c>
      <c r="CF90" s="154" t="str">
        <f t="shared" si="40"/>
        <v/>
      </c>
      <c r="CG90" s="154" t="str">
        <f t="shared" si="41"/>
        <v/>
      </c>
      <c r="CH90" s="308" t="str">
        <f t="shared" si="42"/>
        <v/>
      </c>
    </row>
    <row r="91">
      <c r="A91" s="559" t="s">
        <v>180</v>
      </c>
      <c r="B91" s="560" t="s">
        <v>98</v>
      </c>
      <c r="C91" s="561">
        <v>8960829.0</v>
      </c>
      <c r="D91" s="562">
        <v>0.0</v>
      </c>
      <c r="E91" s="563">
        <v>0.0</v>
      </c>
      <c r="F91" s="564">
        <v>24.13393775</v>
      </c>
      <c r="G91" s="564">
        <v>138.2403908</v>
      </c>
      <c r="H91" s="564">
        <v>1010.201866</v>
      </c>
      <c r="I91" s="565">
        <v>25.95308028</v>
      </c>
      <c r="J91" s="566">
        <v>79.5806808970746</v>
      </c>
      <c r="K91" s="566">
        <v>436.831977209739</v>
      </c>
      <c r="L91" s="567">
        <v>378.404916</v>
      </c>
      <c r="M91" s="568">
        <v>636.355378253156</v>
      </c>
      <c r="N91" s="568">
        <v>2693.14369836368</v>
      </c>
      <c r="O91" s="569">
        <v>0.0</v>
      </c>
      <c r="P91" s="570"/>
      <c r="Q91" s="150"/>
      <c r="R91" s="571"/>
      <c r="S91" s="116">
        <f t="shared" si="6"/>
        <v>0.6451333333</v>
      </c>
      <c r="T91" s="151"/>
      <c r="U91" s="572">
        <f t="shared" si="7"/>
        <v>0.0025</v>
      </c>
      <c r="V91" s="573">
        <v>0.5728</v>
      </c>
      <c r="W91" s="574">
        <f t="shared" si="8"/>
        <v>0.5728</v>
      </c>
      <c r="X91" s="573">
        <v>0.549</v>
      </c>
      <c r="Y91" s="574">
        <f t="shared" si="9"/>
        <v>0.549</v>
      </c>
      <c r="Z91" s="308"/>
      <c r="AA91" s="308"/>
      <c r="AB91" s="575" t="str">
        <f t="shared" si="10"/>
        <v/>
      </c>
      <c r="AC91" s="576">
        <f t="shared" si="11"/>
        <v>0.7574216602</v>
      </c>
      <c r="AD91" s="577">
        <v>0.0</v>
      </c>
      <c r="AE91" s="572">
        <v>0.0</v>
      </c>
      <c r="AF91" s="578">
        <v>0.0</v>
      </c>
      <c r="AG91" s="133">
        <v>0.02965761732</v>
      </c>
      <c r="AH91" s="133">
        <v>0.094081924</v>
      </c>
      <c r="AI91" s="623">
        <v>0.01271721283</v>
      </c>
      <c r="AJ91" s="623">
        <v>0.01546772777</v>
      </c>
      <c r="AK91" s="624">
        <v>0.2353222715</v>
      </c>
      <c r="AL91" s="624">
        <v>0.2719672674</v>
      </c>
      <c r="AM91" s="581">
        <v>0.0</v>
      </c>
      <c r="AN91" s="571" t="str">
        <f>IFERROR(
  AVERAGEIFS(
    'New LF Efficacy'!$J:$J,
    'New LF Efficacy'!$D:$D, $A91,
    'New LF Efficacy'!$F:$F,"DEC", 
    'New LF Efficacy'!$W:$W,"&lt;2016",
    'New LF Efficacy'!$AA:$AA,""),
  ""
)</f>
        <v/>
      </c>
      <c r="AO91" s="582">
        <f t="shared" si="12"/>
        <v>0.2589833333</v>
      </c>
      <c r="AP91" s="571" t="str">
        <f>IFERROR(
AVERAGEIFS(
'New LF Efficacy'!$J:$J,
'New LF Efficacy'!$D:$D,$A91,
'New LF Efficacy'!$F:$F,"Albendazole &amp; DEC",
'New LF Efficacy'!$W:$W,"&lt;2016",
'New LF Efficacy'!$AA:$AA,""),
"")</f>
        <v/>
      </c>
      <c r="AQ91" s="582">
        <f t="shared" si="13"/>
        <v>0.3465</v>
      </c>
      <c r="AR91" s="571" t="str">
        <f>IFERROR(
AVERAGEIFS(
'New LF Efficacy'!$J:$J,
'New LF Efficacy'!$D:$D,$A91,
'New LF Efficacy'!$F:$F,"Albendazole &amp; Ivermectin", 
'New LF Efficacy'!$W:$W,"&lt;2016",
'New LF Efficacy'!$AA:$AA,""),"")</f>
        <v/>
      </c>
      <c r="AS91" s="582">
        <f t="shared" si="14"/>
        <v>0.7575</v>
      </c>
      <c r="AT91" s="583" t="str">
        <f>IFERROR(AVERAGEIFS(
'Schist Efficacy'!$O:$O, 
'Schist Efficacy'!$C:$C,$A91, 
'Schist Efficacy'!$D:$D, "Praziquantel",
'Schist Efficacy'!$J:$J,"&lt;2016",
'Schist Efficacy'!$U:$U,""),
"")</f>
        <v/>
      </c>
      <c r="AU91" s="572">
        <f t="shared" si="15"/>
        <v>0.7914761905</v>
      </c>
      <c r="AV91" s="131" t="str">
        <f>IFERROR(AVERAGEIFS(
'STH Efficacy'!$AX:$AX, 
'STH Efficacy'!$AL:$AL, $A91, 
'STH Efficacy'!$AM:$AM, "Albendazole",
'STH Efficacy'!$AS:$AS,"&lt;2016",
'STH Efficacy'!$BP:$BP,""),
"")</f>
        <v/>
      </c>
      <c r="AW91" s="132">
        <f t="shared" si="16"/>
        <v>0.3945</v>
      </c>
      <c r="AX91" s="131" t="str">
        <f>IFERROR(AVERAGEIFS(
'STH Efficacy'!$AX:$AX, 
'STH Efficacy'!$AL:$AL, $A91, 
'STH Efficacy'!$AM:$AM, "Mebendazole",
'STH Efficacy'!$AS:$AS,"&lt;2016",
'STH Efficacy'!$BP:$BP,""),
"")</f>
        <v/>
      </c>
      <c r="AY91" s="132">
        <f t="shared" si="17"/>
        <v>0.6</v>
      </c>
      <c r="AZ91" s="131" t="str">
        <f>IFERROR(AVERAGEIFS(
'STH Efficacy'!$AX:$AX, 
'STH Efficacy'!$AL:$AL, $A91, 
'STH Efficacy'!$AM:$AM, "Albendazole &amp; Ivermectin",
'STH Efficacy'!$AS:$AS,"&lt;2016",
'STH Efficacy'!$BP:$BP,""),
"")</f>
        <v/>
      </c>
      <c r="BA91" s="303">
        <f t="shared" si="18"/>
        <v>0.796</v>
      </c>
      <c r="BB91" s="584" t="str">
        <f>IFERROR(AVERAGEIFS(
'STH Efficacy'!$N:$N, 
'STH Efficacy'!$B:$B, $A91, 
'STH Efficacy'!$C:$C, "Albendazole",
'STH Efficacy'!$I:$I,"&lt;2016",
'STH Efficacy'!$AH:$AH,""),
"")</f>
        <v/>
      </c>
      <c r="BC91" s="579">
        <f t="shared" si="19"/>
        <v>0.869</v>
      </c>
      <c r="BD91" s="584" t="str">
        <f>IFERROR(AVERAGEIFS(
'STH Efficacy'!$N:$N, 
'STH Efficacy'!$B:$B, $A91, 
'STH Efficacy'!$C:$C, "Mebendazole",
'STH Efficacy'!$I:$I,"&lt;2016",
'STH Efficacy'!$AH:$AH,""),
"")</f>
        <v/>
      </c>
      <c r="BE91" s="579">
        <f t="shared" si="20"/>
        <v>0.172</v>
      </c>
      <c r="BF91" s="585" t="str">
        <f>IFERROR(AVERAGEIFS(
'STH Efficacy'!$CD:$CD, 
'STH Efficacy'!$BS:$BS, $A91, 
'STH Efficacy'!$BT:$BT, "Albendazole",
'STH Efficacy'!$BZ:$BZ,"&lt;2016",
'STH Efficacy'!$CU:$CU,""),
"")</f>
        <v/>
      </c>
      <c r="BG91" s="580">
        <f t="shared" si="21"/>
        <v>0.9862</v>
      </c>
      <c r="BH91" s="585" t="str">
        <f>IFERROR(AVERAGEIFS(
'STH Efficacy'!$CD:$CD, 
'STH Efficacy'!$BS:$BS, $A91, 
'STH Efficacy'!$BT:$BT, "Mebendazole",
'STH Efficacy'!$BZ:$BZ,"&lt;2016",
'STH Efficacy'!$CU:$CU,""),
"")</f>
        <v/>
      </c>
      <c r="BI91" s="580">
        <f t="shared" si="22"/>
        <v>0.769</v>
      </c>
      <c r="BJ91" s="585" t="str">
        <f>IFERROR(AVERAGEIFS(
'STH Efficacy'!$CD:$CD, 
'STH Efficacy'!$BS:$BS, $A91, 
'STH Efficacy'!$BT:$BT, "Albendazole &amp; Ivermectin",
'STH Efficacy'!$BZ:$BZ,"&lt;2016",
'STH Efficacy'!$CU:$CU,""),
"")</f>
        <v/>
      </c>
      <c r="BK91" s="580">
        <f t="shared" si="23"/>
        <v>1</v>
      </c>
      <c r="BL91" s="575" t="str">
        <f>IFERROR(
  AVERAGEIFS(
    'NEW Onchocerciasis Efficacy'!$AO:$AO,
    'NEW Onchocerciasis Efficacy'!$C:$C,$A91,
    'NEW Onchocerciasis Efficacy'!$D:$D,"Ivermectin",
    'NEW Onchocerciasis Efficacy'!$AR:$AR,"&lt;2016",
    'NEW Onchocerciasis Efficacy'!$BG:$BG,"")
,"")</f>
        <v/>
      </c>
      <c r="BM91" s="586">
        <f t="shared" si="24"/>
        <v>0.3734</v>
      </c>
      <c r="BN91" s="587">
        <v>0.0</v>
      </c>
      <c r="BO91" s="588">
        <v>0.0</v>
      </c>
      <c r="BP91" s="589">
        <v>0.0</v>
      </c>
      <c r="BQ91" s="590">
        <f t="shared" si="25"/>
        <v>0</v>
      </c>
      <c r="BR91" s="560" t="str">
        <f t="shared" si="26"/>
        <v>0000</v>
      </c>
      <c r="BS91" s="560" t="str">
        <f t="shared" si="27"/>
        <v>no action required</v>
      </c>
      <c r="BT91" s="361" t="str">
        <f t="shared" si="28"/>
        <v/>
      </c>
      <c r="BU91" s="591" t="str">
        <f t="shared" si="29"/>
        <v/>
      </c>
      <c r="BV91" s="560" t="str">
        <f t="shared" si="30"/>
        <v>none</v>
      </c>
      <c r="BW91" s="150" t="str">
        <f t="shared" si="31"/>
        <v/>
      </c>
      <c r="BX91" s="150" t="str">
        <f t="shared" si="32"/>
        <v/>
      </c>
      <c r="BY91" s="151" t="str">
        <f t="shared" si="33"/>
        <v/>
      </c>
      <c r="BZ91" s="152" t="str">
        <f t="shared" si="34"/>
        <v/>
      </c>
      <c r="CA91" s="152" t="str">
        <f t="shared" si="35"/>
        <v/>
      </c>
      <c r="CB91" s="152" t="str">
        <f t="shared" si="36"/>
        <v/>
      </c>
      <c r="CC91" s="153" t="str">
        <f t="shared" si="37"/>
        <v/>
      </c>
      <c r="CD91" s="153" t="str">
        <f t="shared" si="38"/>
        <v/>
      </c>
      <c r="CE91" s="154" t="str">
        <f t="shared" si="39"/>
        <v/>
      </c>
      <c r="CF91" s="154" t="str">
        <f t="shared" si="40"/>
        <v/>
      </c>
      <c r="CG91" s="154" t="str">
        <f t="shared" si="41"/>
        <v/>
      </c>
      <c r="CH91" s="308" t="str">
        <f t="shared" si="42"/>
        <v/>
      </c>
    </row>
    <row r="92">
      <c r="A92" s="559" t="s">
        <v>181</v>
      </c>
      <c r="B92" s="560" t="s">
        <v>90</v>
      </c>
      <c r="C92" s="561">
        <v>9843028.0</v>
      </c>
      <c r="D92" s="562">
        <v>0.0</v>
      </c>
      <c r="E92" s="563">
        <v>0.0</v>
      </c>
      <c r="F92" s="564">
        <v>0.0</v>
      </c>
      <c r="G92" s="564">
        <v>0.0</v>
      </c>
      <c r="H92" s="564">
        <v>0.0</v>
      </c>
      <c r="I92" s="565">
        <v>0.0</v>
      </c>
      <c r="J92" s="566">
        <v>0.0</v>
      </c>
      <c r="K92" s="566">
        <v>0.0</v>
      </c>
      <c r="L92" s="567">
        <v>0.0</v>
      </c>
      <c r="M92" s="568">
        <v>0.0</v>
      </c>
      <c r="N92" s="568">
        <v>0.0</v>
      </c>
      <c r="O92" s="569">
        <v>0.0</v>
      </c>
      <c r="P92" s="570"/>
      <c r="Q92" s="150"/>
      <c r="R92" s="571"/>
      <c r="S92" s="116">
        <f t="shared" si="6"/>
        <v>0.6648642857</v>
      </c>
      <c r="T92" s="151"/>
      <c r="U92" s="572">
        <f t="shared" si="7"/>
        <v>0.53016</v>
      </c>
      <c r="V92" s="598"/>
      <c r="W92" s="574" t="b">
        <f t="shared" si="8"/>
        <v>0</v>
      </c>
      <c r="X92" s="598"/>
      <c r="Y92" s="574">
        <f t="shared" si="9"/>
        <v>0.631675</v>
      </c>
      <c r="Z92" s="308"/>
      <c r="AA92" s="308"/>
      <c r="AB92" s="575" t="str">
        <f t="shared" si="10"/>
        <v/>
      </c>
      <c r="AC92" s="576">
        <f t="shared" si="11"/>
        <v>0.7192241206</v>
      </c>
      <c r="AD92" s="577">
        <v>0.0</v>
      </c>
      <c r="AE92" s="572">
        <v>0.0</v>
      </c>
      <c r="AF92" s="578">
        <v>0.0</v>
      </c>
      <c r="AG92" s="133">
        <v>0.0</v>
      </c>
      <c r="AH92" s="133">
        <v>0.0</v>
      </c>
      <c r="AI92" s="623">
        <v>0.0</v>
      </c>
      <c r="AJ92" s="623">
        <v>0.0</v>
      </c>
      <c r="AK92" s="624">
        <v>0.0</v>
      </c>
      <c r="AL92" s="624">
        <v>0.0</v>
      </c>
      <c r="AM92" s="581">
        <v>0.0</v>
      </c>
      <c r="AN92" s="571" t="str">
        <f>IFERROR(
  AVERAGEIFS(
    'New LF Efficacy'!$J:$J,
    'New LF Efficacy'!$D:$D, $A92,
    'New LF Efficacy'!$F:$F,"DEC", 
    'New LF Efficacy'!$W:$W,"&lt;2016",
    'New LF Efficacy'!$AA:$AA,""),
  ""
)</f>
        <v/>
      </c>
      <c r="AO92" s="582">
        <f t="shared" si="12"/>
        <v>0.3573520833</v>
      </c>
      <c r="AP92" s="571" t="str">
        <f>IFERROR(
AVERAGEIFS(
'New LF Efficacy'!$J:$J,
'New LF Efficacy'!$D:$D,$A92,
'New LF Efficacy'!$F:$F,"Albendazole &amp; DEC",
'New LF Efficacy'!$W:$W,"&lt;2016",
'New LF Efficacy'!$AA:$AA,""),
"")</f>
        <v/>
      </c>
      <c r="AQ92" s="582">
        <f t="shared" si="13"/>
        <v>0.5143541667</v>
      </c>
      <c r="AR92" s="571" t="str">
        <f>IFERROR(
AVERAGEIFS(
'New LF Efficacy'!$J:$J,
'New LF Efficacy'!$D:$D,$A92,
'New LF Efficacy'!$F:$F,"Albendazole &amp; Ivermectin", 
'New LF Efficacy'!$W:$W,"&lt;2016",
'New LF Efficacy'!$AA:$AA,""),"")</f>
        <v/>
      </c>
      <c r="AS92" s="582">
        <f t="shared" si="14"/>
        <v>0.37153125</v>
      </c>
      <c r="AT92" s="583" t="str">
        <f>IFERROR(AVERAGEIFS(
'Schist Efficacy'!$O:$O, 
'Schist Efficacy'!$C:$C,$A92, 
'Schist Efficacy'!$D:$D, "Praziquantel",
'Schist Efficacy'!$J:$J,"&lt;2016",
'Schist Efficacy'!$U:$U,""),
"")</f>
        <v/>
      </c>
      <c r="AU92" s="572">
        <f t="shared" si="15"/>
        <v>0.655</v>
      </c>
      <c r="AV92" s="131" t="str">
        <f>IFERROR(AVERAGEIFS(
'STH Efficacy'!$AX:$AX, 
'STH Efficacy'!$AL:$AL, $A92, 
'STH Efficacy'!$AM:$AM, "Albendazole",
'STH Efficacy'!$AS:$AS,"&lt;2016",
'STH Efficacy'!$BP:$BP,""),
"")</f>
        <v/>
      </c>
      <c r="AW92" s="132">
        <f t="shared" si="16"/>
        <v>0.4143846154</v>
      </c>
      <c r="AX92" s="131" t="str">
        <f>IFERROR(AVERAGEIFS(
'STH Efficacy'!$AX:$AX, 
'STH Efficacy'!$AL:$AL, $A92, 
'STH Efficacy'!$AM:$AM, "Mebendazole",
'STH Efficacy'!$AS:$AS,"&lt;2016",
'STH Efficacy'!$BP:$BP,""),
"")</f>
        <v/>
      </c>
      <c r="AY92" s="132">
        <f t="shared" si="17"/>
        <v>0.4691770833</v>
      </c>
      <c r="AZ92" s="131" t="str">
        <f>IFERROR(AVERAGEIFS(
'STH Efficacy'!$AX:$AX, 
'STH Efficacy'!$AL:$AL, $A92, 
'STH Efficacy'!$AM:$AM, "Albendazole &amp; Ivermectin",
'STH Efficacy'!$AS:$AS,"&lt;2016",
'STH Efficacy'!$BP:$BP,""),
"")</f>
        <v/>
      </c>
      <c r="BA92" s="303">
        <f t="shared" si="18"/>
        <v>0.597625</v>
      </c>
      <c r="BB92" s="584" t="str">
        <f>IFERROR(AVERAGEIFS(
'STH Efficacy'!$N:$N, 
'STH Efficacy'!$B:$B, $A92, 
'STH Efficacy'!$C:$C, "Albendazole",
'STH Efficacy'!$I:$I,"&lt;2016",
'STH Efficacy'!$AH:$AH,""),
"")</f>
        <v/>
      </c>
      <c r="BC92" s="579">
        <f t="shared" si="19"/>
        <v>0.7613712121</v>
      </c>
      <c r="BD92" s="584" t="str">
        <f>IFERROR(AVERAGEIFS(
'STH Efficacy'!$N:$N, 
'STH Efficacy'!$B:$B, $A92, 
'STH Efficacy'!$C:$C, "Mebendazole",
'STH Efficacy'!$I:$I,"&lt;2016",
'STH Efficacy'!$AH:$AH,""),
"")</f>
        <v/>
      </c>
      <c r="BE92" s="579">
        <f t="shared" si="20"/>
        <v>0.4362466667</v>
      </c>
      <c r="BF92" s="585" t="str">
        <f>IFERROR(AVERAGEIFS(
'STH Efficacy'!$CD:$CD, 
'STH Efficacy'!$BS:$BS, $A92, 
'STH Efficacy'!$BT:$BT, "Albendazole",
'STH Efficacy'!$BZ:$BZ,"&lt;2016",
'STH Efficacy'!$CU:$CU,""),
"")</f>
        <v/>
      </c>
      <c r="BG92" s="580">
        <f t="shared" si="21"/>
        <v>0.9216027778</v>
      </c>
      <c r="BH92" s="585" t="str">
        <f>IFERROR(AVERAGEIFS(
'STH Efficacy'!$CD:$CD, 
'STH Efficacy'!$BS:$BS, $A92, 
'STH Efficacy'!$BT:$BT, "Mebendazole",
'STH Efficacy'!$BZ:$BZ,"&lt;2016",
'STH Efficacy'!$CU:$CU,""),
"")</f>
        <v/>
      </c>
      <c r="BI92" s="580">
        <f t="shared" si="22"/>
        <v>0.8866041667</v>
      </c>
      <c r="BJ92" s="585" t="str">
        <f>IFERROR(AVERAGEIFS(
'STH Efficacy'!$CD:$CD, 
'STH Efficacy'!$BS:$BS, $A92, 
'STH Efficacy'!$BT:$BT, "Albendazole &amp; Ivermectin",
'STH Efficacy'!$BZ:$BZ,"&lt;2016",
'STH Efficacy'!$CU:$CU,""),
"")</f>
        <v/>
      </c>
      <c r="BK92" s="580">
        <f t="shared" si="23"/>
        <v>0.848</v>
      </c>
      <c r="BL92" s="575" t="str">
        <f>IFERROR(
  AVERAGEIFS(
    'NEW Onchocerciasis Efficacy'!$AO:$AO,
    'NEW Onchocerciasis Efficacy'!$C:$C,$A92,
    'NEW Onchocerciasis Efficacy'!$D:$D,"Ivermectin",
    'NEW Onchocerciasis Efficacy'!$AR:$AR,"&lt;2016",
    'NEW Onchocerciasis Efficacy'!$BG:$BG,"")
,"")</f>
        <v/>
      </c>
      <c r="BM92" s="586">
        <f t="shared" si="24"/>
        <v>0.7808368939</v>
      </c>
      <c r="BN92" s="587">
        <v>0.0</v>
      </c>
      <c r="BO92" s="588">
        <v>0.0</v>
      </c>
      <c r="BP92" s="589">
        <v>0.0</v>
      </c>
      <c r="BQ92" s="590">
        <f t="shared" si="25"/>
        <v>0</v>
      </c>
      <c r="BR92" s="560" t="str">
        <f t="shared" si="26"/>
        <v>0000</v>
      </c>
      <c r="BS92" s="560" t="str">
        <f t="shared" si="27"/>
        <v>no action required</v>
      </c>
      <c r="BT92" s="361" t="str">
        <f t="shared" si="28"/>
        <v/>
      </c>
      <c r="BU92" s="591" t="str">
        <f t="shared" si="29"/>
        <v/>
      </c>
      <c r="BV92" s="560" t="str">
        <f t="shared" si="30"/>
        <v>none</v>
      </c>
      <c r="BW92" s="150" t="str">
        <f t="shared" si="31"/>
        <v/>
      </c>
      <c r="BX92" s="150" t="str">
        <f t="shared" si="32"/>
        <v/>
      </c>
      <c r="BY92" s="151" t="str">
        <f t="shared" si="33"/>
        <v/>
      </c>
      <c r="BZ92" s="152" t="str">
        <f t="shared" si="34"/>
        <v/>
      </c>
      <c r="CA92" s="152" t="str">
        <f t="shared" si="35"/>
        <v/>
      </c>
      <c r="CB92" s="152" t="str">
        <f t="shared" si="36"/>
        <v/>
      </c>
      <c r="CC92" s="153" t="str">
        <f t="shared" si="37"/>
        <v/>
      </c>
      <c r="CD92" s="153" t="str">
        <f t="shared" si="38"/>
        <v/>
      </c>
      <c r="CE92" s="154" t="str">
        <f t="shared" si="39"/>
        <v/>
      </c>
      <c r="CF92" s="154" t="str">
        <f t="shared" si="40"/>
        <v/>
      </c>
      <c r="CG92" s="154" t="str">
        <f t="shared" si="41"/>
        <v/>
      </c>
      <c r="CH92" s="308" t="str">
        <f t="shared" si="42"/>
        <v/>
      </c>
    </row>
    <row r="93">
      <c r="A93" s="559" t="s">
        <v>182</v>
      </c>
      <c r="B93" s="560" t="s">
        <v>90</v>
      </c>
      <c r="C93" s="561">
        <v>330815.0</v>
      </c>
      <c r="D93" s="562">
        <v>0.0</v>
      </c>
      <c r="E93" s="563">
        <v>0.0</v>
      </c>
      <c r="F93" s="564">
        <v>0.0</v>
      </c>
      <c r="G93" s="564">
        <v>0.0</v>
      </c>
      <c r="H93" s="564">
        <v>0.0</v>
      </c>
      <c r="I93" s="565">
        <v>0.0</v>
      </c>
      <c r="J93" s="566">
        <v>0.0</v>
      </c>
      <c r="K93" s="566">
        <v>0.0</v>
      </c>
      <c r="L93" s="567">
        <v>0.0</v>
      </c>
      <c r="M93" s="568">
        <v>0.0</v>
      </c>
      <c r="N93" s="568">
        <v>0.0</v>
      </c>
      <c r="O93" s="569">
        <v>0.0</v>
      </c>
      <c r="P93" s="570"/>
      <c r="Q93" s="150"/>
      <c r="R93" s="571"/>
      <c r="S93" s="116">
        <f t="shared" si="6"/>
        <v>0.6648642857</v>
      </c>
      <c r="T93" s="151"/>
      <c r="U93" s="572">
        <f t="shared" si="7"/>
        <v>0.53016</v>
      </c>
      <c r="V93" s="598"/>
      <c r="W93" s="574" t="b">
        <f t="shared" si="8"/>
        <v>0</v>
      </c>
      <c r="X93" s="598"/>
      <c r="Y93" s="574">
        <f t="shared" si="9"/>
        <v>0.631675</v>
      </c>
      <c r="Z93" s="308"/>
      <c r="AA93" s="308"/>
      <c r="AB93" s="575" t="str">
        <f t="shared" si="10"/>
        <v/>
      </c>
      <c r="AC93" s="576">
        <f t="shared" si="11"/>
        <v>0.7192241206</v>
      </c>
      <c r="AD93" s="577">
        <v>0.0</v>
      </c>
      <c r="AE93" s="572">
        <v>0.0</v>
      </c>
      <c r="AF93" s="578">
        <v>0.0</v>
      </c>
      <c r="AG93" s="132">
        <v>0.0</v>
      </c>
      <c r="AH93" s="132">
        <v>0.0</v>
      </c>
      <c r="AI93" s="579">
        <v>0.0</v>
      </c>
      <c r="AJ93" s="579">
        <v>0.0</v>
      </c>
      <c r="AK93" s="580">
        <v>0.0</v>
      </c>
      <c r="AL93" s="580">
        <v>0.0</v>
      </c>
      <c r="AM93" s="581">
        <v>0.0</v>
      </c>
      <c r="AN93" s="571" t="str">
        <f>IFERROR(
  AVERAGEIFS(
    'New LF Efficacy'!$J:$J,
    'New LF Efficacy'!$D:$D, $A93,
    'New LF Efficacy'!$F:$F,"DEC", 
    'New LF Efficacy'!$W:$W,"&lt;2016",
    'New LF Efficacy'!$AA:$AA,""),
  ""
)</f>
        <v/>
      </c>
      <c r="AO93" s="582">
        <f t="shared" si="12"/>
        <v>0.3573520833</v>
      </c>
      <c r="AP93" s="571" t="str">
        <f>IFERROR(
AVERAGEIFS(
'New LF Efficacy'!$J:$J,
'New LF Efficacy'!$D:$D,$A93,
'New LF Efficacy'!$F:$F,"Albendazole &amp; DEC",
'New LF Efficacy'!$W:$W,"&lt;2016",
'New LF Efficacy'!$AA:$AA,""),
"")</f>
        <v/>
      </c>
      <c r="AQ93" s="582">
        <f t="shared" si="13"/>
        <v>0.5143541667</v>
      </c>
      <c r="AR93" s="571" t="str">
        <f>IFERROR(
AVERAGEIFS(
'New LF Efficacy'!$J:$J,
'New LF Efficacy'!$D:$D,$A93,
'New LF Efficacy'!$F:$F,"Albendazole &amp; Ivermectin", 
'New LF Efficacy'!$W:$W,"&lt;2016",
'New LF Efficacy'!$AA:$AA,""),"")</f>
        <v/>
      </c>
      <c r="AS93" s="582">
        <f t="shared" si="14"/>
        <v>0.37153125</v>
      </c>
      <c r="AT93" s="583" t="str">
        <f>IFERROR(AVERAGEIFS(
'Schist Efficacy'!$O:$O, 
'Schist Efficacy'!$C:$C,$A93, 
'Schist Efficacy'!$D:$D, "Praziquantel",
'Schist Efficacy'!$J:$J,"&lt;2016",
'Schist Efficacy'!$U:$U,""),
"")</f>
        <v/>
      </c>
      <c r="AU93" s="572">
        <f t="shared" si="15"/>
        <v>0.655</v>
      </c>
      <c r="AV93" s="131" t="str">
        <f>IFERROR(AVERAGEIFS(
'STH Efficacy'!$AX:$AX, 
'STH Efficacy'!$AL:$AL, $A93, 
'STH Efficacy'!$AM:$AM, "Albendazole",
'STH Efficacy'!$AS:$AS,"&lt;2016",
'STH Efficacy'!$BP:$BP,""),
"")</f>
        <v/>
      </c>
      <c r="AW93" s="132">
        <f t="shared" si="16"/>
        <v>0.4143846154</v>
      </c>
      <c r="AX93" s="131" t="str">
        <f>IFERROR(AVERAGEIFS(
'STH Efficacy'!$AX:$AX, 
'STH Efficacy'!$AL:$AL, $A93, 
'STH Efficacy'!$AM:$AM, "Mebendazole",
'STH Efficacy'!$AS:$AS,"&lt;2016",
'STH Efficacy'!$BP:$BP,""),
"")</f>
        <v/>
      </c>
      <c r="AY93" s="132">
        <f t="shared" si="17"/>
        <v>0.4691770833</v>
      </c>
      <c r="AZ93" s="131" t="str">
        <f>IFERROR(AVERAGEIFS(
'STH Efficacy'!$AX:$AX, 
'STH Efficacy'!$AL:$AL, $A93, 
'STH Efficacy'!$AM:$AM, "Albendazole &amp; Ivermectin",
'STH Efficacy'!$AS:$AS,"&lt;2016",
'STH Efficacy'!$BP:$BP,""),
"")</f>
        <v/>
      </c>
      <c r="BA93" s="303">
        <f t="shared" si="18"/>
        <v>0.597625</v>
      </c>
      <c r="BB93" s="584" t="str">
        <f>IFERROR(AVERAGEIFS(
'STH Efficacy'!$N:$N, 
'STH Efficacy'!$B:$B, $A93, 
'STH Efficacy'!$C:$C, "Albendazole",
'STH Efficacy'!$I:$I,"&lt;2016",
'STH Efficacy'!$AH:$AH,""),
"")</f>
        <v/>
      </c>
      <c r="BC93" s="579">
        <f t="shared" si="19"/>
        <v>0.7613712121</v>
      </c>
      <c r="BD93" s="584" t="str">
        <f>IFERROR(AVERAGEIFS(
'STH Efficacy'!$N:$N, 
'STH Efficacy'!$B:$B, $A93, 
'STH Efficacy'!$C:$C, "Mebendazole",
'STH Efficacy'!$I:$I,"&lt;2016",
'STH Efficacy'!$AH:$AH,""),
"")</f>
        <v/>
      </c>
      <c r="BE93" s="579">
        <f t="shared" si="20"/>
        <v>0.4362466667</v>
      </c>
      <c r="BF93" s="585" t="str">
        <f>IFERROR(AVERAGEIFS(
'STH Efficacy'!$CD:$CD, 
'STH Efficacy'!$BS:$BS, $A93, 
'STH Efficacy'!$BT:$BT, "Albendazole",
'STH Efficacy'!$BZ:$BZ,"&lt;2016",
'STH Efficacy'!$CU:$CU,""),
"")</f>
        <v/>
      </c>
      <c r="BG93" s="580">
        <f t="shared" si="21"/>
        <v>0.9216027778</v>
      </c>
      <c r="BH93" s="585" t="str">
        <f>IFERROR(AVERAGEIFS(
'STH Efficacy'!$CD:$CD, 
'STH Efficacy'!$BS:$BS, $A93, 
'STH Efficacy'!$BT:$BT, "Mebendazole",
'STH Efficacy'!$BZ:$BZ,"&lt;2016",
'STH Efficacy'!$CU:$CU,""),
"")</f>
        <v/>
      </c>
      <c r="BI93" s="580">
        <f t="shared" si="22"/>
        <v>0.8866041667</v>
      </c>
      <c r="BJ93" s="585" t="str">
        <f>IFERROR(AVERAGEIFS(
'STH Efficacy'!$CD:$CD, 
'STH Efficacy'!$BS:$BS, $A93, 
'STH Efficacy'!$BT:$BT, "Albendazole &amp; Ivermectin",
'STH Efficacy'!$BZ:$BZ,"&lt;2016",
'STH Efficacy'!$CU:$CU,""),
"")</f>
        <v/>
      </c>
      <c r="BK93" s="580">
        <f t="shared" si="23"/>
        <v>0.848</v>
      </c>
      <c r="BL93" s="575" t="str">
        <f>IFERROR(
  AVERAGEIFS(
    'NEW Onchocerciasis Efficacy'!$AO:$AO,
    'NEW Onchocerciasis Efficacy'!$C:$C,$A93,
    'NEW Onchocerciasis Efficacy'!$D:$D,"Ivermectin",
    'NEW Onchocerciasis Efficacy'!$AR:$AR,"&lt;2016",
    'NEW Onchocerciasis Efficacy'!$BG:$BG,"")
,"")</f>
        <v/>
      </c>
      <c r="BM93" s="586">
        <f t="shared" si="24"/>
        <v>0.7808368939</v>
      </c>
      <c r="BN93" s="587">
        <v>0.0</v>
      </c>
      <c r="BO93" s="588">
        <v>0.0</v>
      </c>
      <c r="BP93" s="589">
        <v>0.0</v>
      </c>
      <c r="BQ93" s="590">
        <f t="shared" si="25"/>
        <v>0</v>
      </c>
      <c r="BR93" s="560" t="str">
        <f t="shared" si="26"/>
        <v>0000</v>
      </c>
      <c r="BS93" s="560" t="str">
        <f t="shared" si="27"/>
        <v>no action required</v>
      </c>
      <c r="BT93" s="361" t="str">
        <f t="shared" si="28"/>
        <v/>
      </c>
      <c r="BU93" s="591" t="str">
        <f t="shared" si="29"/>
        <v/>
      </c>
      <c r="BV93" s="560" t="str">
        <f t="shared" si="30"/>
        <v>none</v>
      </c>
      <c r="BW93" s="150" t="str">
        <f t="shared" si="31"/>
        <v/>
      </c>
      <c r="BX93" s="150" t="str">
        <f t="shared" si="32"/>
        <v/>
      </c>
      <c r="BY93" s="151" t="str">
        <f t="shared" si="33"/>
        <v/>
      </c>
      <c r="BZ93" s="152" t="str">
        <f t="shared" si="34"/>
        <v/>
      </c>
      <c r="CA93" s="152" t="str">
        <f t="shared" si="35"/>
        <v/>
      </c>
      <c r="CB93" s="152" t="str">
        <f t="shared" si="36"/>
        <v/>
      </c>
      <c r="CC93" s="153" t="str">
        <f t="shared" si="37"/>
        <v/>
      </c>
      <c r="CD93" s="153" t="str">
        <f t="shared" si="38"/>
        <v/>
      </c>
      <c r="CE93" s="154" t="str">
        <f t="shared" si="39"/>
        <v/>
      </c>
      <c r="CF93" s="154" t="str">
        <f t="shared" si="40"/>
        <v/>
      </c>
      <c r="CG93" s="154" t="str">
        <f t="shared" si="41"/>
        <v/>
      </c>
      <c r="CH93" s="308" t="str">
        <f t="shared" si="42"/>
        <v/>
      </c>
    </row>
    <row r="94">
      <c r="A94" s="559" t="s">
        <v>183</v>
      </c>
      <c r="B94" s="560" t="s">
        <v>109</v>
      </c>
      <c r="C94" s="561">
        <v>1.30905398E9</v>
      </c>
      <c r="D94" s="562">
        <v>96265.88963</v>
      </c>
      <c r="E94" s="563">
        <v>0.0</v>
      </c>
      <c r="F94" s="564">
        <v>845.3629117</v>
      </c>
      <c r="G94" s="564">
        <v>6575.412236</v>
      </c>
      <c r="H94" s="564">
        <v>22957.91117</v>
      </c>
      <c r="I94" s="565">
        <v>6711.726237</v>
      </c>
      <c r="J94" s="566">
        <v>25830.6811249367</v>
      </c>
      <c r="K94" s="566">
        <v>116914.408837176</v>
      </c>
      <c r="L94" s="567">
        <v>24186.37167</v>
      </c>
      <c r="M94" s="568">
        <v>47118.6572489332</v>
      </c>
      <c r="N94" s="568">
        <v>144406.59456041</v>
      </c>
      <c r="O94" s="569">
        <v>0.0</v>
      </c>
      <c r="P94" s="601">
        <v>1.4814233516E7</v>
      </c>
      <c r="Q94" s="618">
        <v>1.72239772E8</v>
      </c>
      <c r="R94" s="603">
        <v>0.411</v>
      </c>
      <c r="S94" s="116">
        <f t="shared" si="6"/>
        <v>0.411</v>
      </c>
      <c r="T94" s="151"/>
      <c r="U94" s="572">
        <f t="shared" si="7"/>
        <v>0.2806</v>
      </c>
      <c r="V94" s="573">
        <v>1.0</v>
      </c>
      <c r="W94" s="574">
        <f t="shared" si="8"/>
        <v>1</v>
      </c>
      <c r="X94" s="573">
        <v>1.0</v>
      </c>
      <c r="Y94" s="574">
        <f t="shared" si="9"/>
        <v>1</v>
      </c>
      <c r="Z94" s="308"/>
      <c r="AA94" s="308"/>
      <c r="AB94" s="575" t="str">
        <f t="shared" si="10"/>
        <v/>
      </c>
      <c r="AC94" s="576">
        <f t="shared" si="11"/>
        <v>0.7192241206</v>
      </c>
      <c r="AD94" s="577">
        <v>0.01093770837</v>
      </c>
      <c r="AE94" s="572">
        <v>0.0</v>
      </c>
      <c r="AF94" s="578">
        <v>0.0</v>
      </c>
      <c r="AG94" s="132">
        <v>0.02515607968</v>
      </c>
      <c r="AH94" s="132">
        <v>0.083663175</v>
      </c>
      <c r="AI94" s="579">
        <v>0.02085490448</v>
      </c>
      <c r="AJ94" s="579">
        <v>0.02640915875</v>
      </c>
      <c r="AK94" s="580">
        <v>0.09397574124</v>
      </c>
      <c r="AL94" s="580">
        <v>0.1140677572</v>
      </c>
      <c r="AM94" s="581">
        <v>0.0</v>
      </c>
      <c r="AN94" s="571">
        <f>IFERROR(
  AVERAGEIFS(
    'New LF Efficacy'!$J:$J,
    'New LF Efficacy'!$D:$D, $A94,
    'New LF Efficacy'!$F:$F,"DEC", 
    'New LF Efficacy'!$W:$W,"&lt;2016",
    'New LF Efficacy'!$AA:$AA,""),
  ""
)</f>
        <v>0.373</v>
      </c>
      <c r="AO94" s="582">
        <f t="shared" si="12"/>
        <v>0.373</v>
      </c>
      <c r="AP94" s="571">
        <f>IFERROR(
AVERAGEIFS(
'New LF Efficacy'!$J:$J,
'New LF Efficacy'!$D:$D,$A94,
'New LF Efficacy'!$F:$F,"Albendazole &amp; DEC",
'New LF Efficacy'!$W:$W,"&lt;2016",
'New LF Efficacy'!$AA:$AA,""),
"")</f>
        <v>0.4463333333</v>
      </c>
      <c r="AQ94" s="582">
        <f t="shared" si="13"/>
        <v>0.4463333333</v>
      </c>
      <c r="AR94" s="571">
        <f>IFERROR(
AVERAGEIFS(
'New LF Efficacy'!$J:$J,
'New LF Efficacy'!$D:$D,$A94,
'New LF Efficacy'!$F:$F,"Albendazole &amp; Ivermectin", 
'New LF Efficacy'!$W:$W,"&lt;2016",
'New LF Efficacy'!$AA:$AA,""),"")</f>
        <v>0.14</v>
      </c>
      <c r="AS94" s="582">
        <f t="shared" si="14"/>
        <v>0.14</v>
      </c>
      <c r="AT94" s="583" t="str">
        <f>IFERROR(AVERAGEIFS(
'Schist Efficacy'!$O:$O, 
'Schist Efficacy'!$C:$C,$A94, 
'Schist Efficacy'!$D:$D, "Praziquantel",
'Schist Efficacy'!$J:$J,"&lt;2016",
'Schist Efficacy'!$U:$U,""),
"")</f>
        <v/>
      </c>
      <c r="AU94" s="572">
        <f t="shared" si="15"/>
        <v>0.743990088</v>
      </c>
      <c r="AV94" s="131" t="str">
        <f>IFERROR(AVERAGEIFS(
'STH Efficacy'!$AX:$AX, 
'STH Efficacy'!$AL:$AL, $A94, 
'STH Efficacy'!$AM:$AM, "Albendazole",
'STH Efficacy'!$AS:$AS,"&lt;2016",
'STH Efficacy'!$BP:$BP,""),
"")</f>
        <v/>
      </c>
      <c r="AW94" s="132">
        <f t="shared" si="16"/>
        <v>0.5394444444</v>
      </c>
      <c r="AX94" s="131" t="str">
        <f>IFERROR(AVERAGEIFS(
'STH Efficacy'!$AX:$AX, 
'STH Efficacy'!$AL:$AL, $A94, 
'STH Efficacy'!$AM:$AM, "Mebendazole",
'STH Efficacy'!$AS:$AS,"&lt;2016",
'STH Efficacy'!$BP:$BP,""),
"")</f>
        <v/>
      </c>
      <c r="AY94" s="132">
        <f t="shared" si="17"/>
        <v>0.3786666667</v>
      </c>
      <c r="AZ94" s="131" t="str">
        <f>IFERROR(AVERAGEIFS(
'STH Efficacy'!$AX:$AX, 
'STH Efficacy'!$AL:$AL, $A94, 
'STH Efficacy'!$AM:$AM, "Albendazole &amp; Ivermectin",
'STH Efficacy'!$AS:$AS,"&lt;2016",
'STH Efficacy'!$BP:$BP,""),
"")</f>
        <v/>
      </c>
      <c r="BA94" s="303">
        <f t="shared" si="18"/>
        <v>0.597625</v>
      </c>
      <c r="BB94" s="584" t="str">
        <f>IFERROR(AVERAGEIFS(
'STH Efficacy'!$N:$N, 
'STH Efficacy'!$B:$B, $A94, 
'STH Efficacy'!$C:$C, "Albendazole",
'STH Efficacy'!$I:$I,"&lt;2016",
'STH Efficacy'!$AH:$AH,""),
"")</f>
        <v/>
      </c>
      <c r="BC94" s="579">
        <f t="shared" si="19"/>
        <v>0.7133333333</v>
      </c>
      <c r="BD94" s="584" t="str">
        <f>IFERROR(AVERAGEIFS(
'STH Efficacy'!$N:$N, 
'STH Efficacy'!$B:$B, $A94, 
'STH Efficacy'!$C:$C, "Mebendazole",
'STH Efficacy'!$I:$I,"&lt;2016",
'STH Efficacy'!$AH:$AH,""),
"")</f>
        <v/>
      </c>
      <c r="BE94" s="579">
        <f t="shared" si="20"/>
        <v>0.205</v>
      </c>
      <c r="BF94" s="585">
        <f>IFERROR(AVERAGEIFS(
'STH Efficacy'!$CD:$CD, 
'STH Efficacy'!$BS:$BS, $A94, 
'STH Efficacy'!$BT:$BT, "Albendazole",
'STH Efficacy'!$BZ:$BZ,"&lt;2016",
'STH Efficacy'!$CU:$CU,""),
"")</f>
        <v>0.66</v>
      </c>
      <c r="BG94" s="580">
        <f t="shared" si="21"/>
        <v>0.66</v>
      </c>
      <c r="BH94" s="585" t="str">
        <f>IFERROR(AVERAGEIFS(
'STH Efficacy'!$CD:$CD, 
'STH Efficacy'!$BS:$BS, $A94, 
'STH Efficacy'!$BT:$BT, "Mebendazole",
'STH Efficacy'!$BZ:$BZ,"&lt;2016",
'STH Efficacy'!$CU:$CU,""),
"")</f>
        <v/>
      </c>
      <c r="BI94" s="580">
        <f t="shared" si="22"/>
        <v>1</v>
      </c>
      <c r="BJ94" s="585" t="str">
        <f>IFERROR(AVERAGEIFS(
'STH Efficacy'!$CD:$CD, 
'STH Efficacy'!$BS:$BS, $A94, 
'STH Efficacy'!$BT:$BT, "Albendazole &amp; Ivermectin",
'STH Efficacy'!$BZ:$BZ,"&lt;2016",
'STH Efficacy'!$CU:$CU,""),
"")</f>
        <v/>
      </c>
      <c r="BK94" s="580">
        <f t="shared" si="23"/>
        <v>0.848</v>
      </c>
      <c r="BL94" s="575" t="str">
        <f>IFERROR(
  AVERAGEIFS(
    'NEW Onchocerciasis Efficacy'!$AO:$AO,
    'NEW Onchocerciasis Efficacy'!$C:$C,$A94,
    'NEW Onchocerciasis Efficacy'!$D:$D,"Ivermectin",
    'NEW Onchocerciasis Efficacy'!$AR:$AR,"&lt;2016",
    'NEW Onchocerciasis Efficacy'!$BG:$BG,"")
,"")</f>
        <v/>
      </c>
      <c r="BM94" s="586">
        <f t="shared" si="24"/>
        <v>0.7808368939</v>
      </c>
      <c r="BN94" s="587">
        <v>1.0</v>
      </c>
      <c r="BO94" s="588">
        <v>1.0</v>
      </c>
      <c r="BP94" s="589">
        <v>0.0</v>
      </c>
      <c r="BQ94" s="590">
        <f t="shared" si="25"/>
        <v>0</v>
      </c>
      <c r="BR94" s="560" t="str">
        <f t="shared" si="26"/>
        <v>1100</v>
      </c>
      <c r="BS94" s="560" t="str">
        <f t="shared" si="27"/>
        <v>MDA1</v>
      </c>
      <c r="BT94" s="606" t="str">
        <f t="shared" si="28"/>
        <v>IVM+ALB</v>
      </c>
      <c r="BU94" s="591" t="str">
        <f t="shared" si="29"/>
        <v/>
      </c>
      <c r="BV94" s="560" t="str">
        <f t="shared" si="30"/>
        <v>lf+onch</v>
      </c>
      <c r="BW94" s="150" t="str">
        <f t="shared" si="31"/>
        <v/>
      </c>
      <c r="BX94" s="607">
        <f t="shared" si="32"/>
        <v>5877.320299</v>
      </c>
      <c r="BY94" s="151" t="str">
        <f t="shared" si="33"/>
        <v/>
      </c>
      <c r="BZ94" s="152" t="str">
        <f t="shared" si="34"/>
        <v/>
      </c>
      <c r="CA94" s="152" t="str">
        <f t="shared" si="35"/>
        <v/>
      </c>
      <c r="CB94" s="152" t="str">
        <f t="shared" si="36"/>
        <v/>
      </c>
      <c r="CC94" s="153" t="str">
        <f t="shared" si="37"/>
        <v/>
      </c>
      <c r="CD94" s="153" t="str">
        <f t="shared" si="38"/>
        <v/>
      </c>
      <c r="CE94" s="154" t="str">
        <f t="shared" si="39"/>
        <v/>
      </c>
      <c r="CF94" s="154" t="str">
        <f t="shared" si="40"/>
        <v/>
      </c>
      <c r="CG94" s="154" t="str">
        <f t="shared" si="41"/>
        <v/>
      </c>
      <c r="CH94" s="609">
        <f t="shared" si="42"/>
        <v>0</v>
      </c>
    </row>
    <row r="95">
      <c r="A95" s="559" t="s">
        <v>184</v>
      </c>
      <c r="B95" s="560" t="s">
        <v>109</v>
      </c>
      <c r="C95" s="561">
        <v>2.58162113E8</v>
      </c>
      <c r="D95" s="562">
        <v>169889.7406</v>
      </c>
      <c r="E95" s="563">
        <v>186.313369635551</v>
      </c>
      <c r="F95" s="564">
        <v>134.8363106</v>
      </c>
      <c r="G95" s="564">
        <v>1100.327136</v>
      </c>
      <c r="H95" s="564">
        <v>7468.461856</v>
      </c>
      <c r="I95" s="565">
        <v>654.940226</v>
      </c>
      <c r="J95" s="566">
        <v>3004.30100753169</v>
      </c>
      <c r="K95" s="566">
        <v>19126.4936343189</v>
      </c>
      <c r="L95" s="567">
        <v>5441.705192</v>
      </c>
      <c r="M95" s="568">
        <v>11174.9412828072</v>
      </c>
      <c r="N95" s="568">
        <v>34237.7760974095</v>
      </c>
      <c r="O95" s="569">
        <v>0.0</v>
      </c>
      <c r="P95" s="601">
        <v>1.12985466417E7</v>
      </c>
      <c r="Q95" s="618">
        <v>3.9726828E7</v>
      </c>
      <c r="R95" s="603">
        <v>0.7822</v>
      </c>
      <c r="S95" s="116">
        <f t="shared" si="6"/>
        <v>0.7822</v>
      </c>
      <c r="T95" s="572">
        <v>0.2806</v>
      </c>
      <c r="U95" s="572">
        <f t="shared" si="7"/>
        <v>0.2806</v>
      </c>
      <c r="V95" s="573">
        <v>1.157</v>
      </c>
      <c r="W95" s="574">
        <f t="shared" si="8"/>
        <v>1.157</v>
      </c>
      <c r="X95" s="573">
        <v>1.0212</v>
      </c>
      <c r="Y95" s="574">
        <f t="shared" si="9"/>
        <v>1.0212</v>
      </c>
      <c r="Z95" s="308"/>
      <c r="AA95" s="308"/>
      <c r="AB95" s="575" t="str">
        <f t="shared" si="10"/>
        <v/>
      </c>
      <c r="AC95" s="576">
        <f t="shared" si="11"/>
        <v>0.7192241206</v>
      </c>
      <c r="AD95" s="577">
        <v>0.0449802265</v>
      </c>
      <c r="AE95" s="572">
        <v>4.62E-5</v>
      </c>
      <c r="AF95" s="578">
        <v>3.82E-6</v>
      </c>
      <c r="AG95" s="132">
        <v>0.04343420068</v>
      </c>
      <c r="AH95" s="132">
        <v>0.142249342</v>
      </c>
      <c r="AI95" s="579">
        <v>0.02122979229</v>
      </c>
      <c r="AJ95" s="579">
        <v>0.02639568421</v>
      </c>
      <c r="AK95" s="580">
        <v>0.1341187464</v>
      </c>
      <c r="AL95" s="580">
        <v>0.1579324717</v>
      </c>
      <c r="AM95" s="581">
        <v>0.0</v>
      </c>
      <c r="AN95" s="571" t="str">
        <f>IFERROR(
  AVERAGEIFS(
    'New LF Efficacy'!$J:$J,
    'New LF Efficacy'!$D:$D, $A95,
    'New LF Efficacy'!$F:$F,"DEC", 
    'New LF Efficacy'!$W:$W,"&lt;2016",
    'New LF Efficacy'!$AA:$AA,""),
  ""
)</f>
        <v/>
      </c>
      <c r="AO95" s="582">
        <f t="shared" si="12"/>
        <v>0.478175</v>
      </c>
      <c r="AP95" s="571">
        <f>IFERROR(
AVERAGEIFS(
'New LF Efficacy'!$J:$J,
'New LF Efficacy'!$D:$D,$A95,
'New LF Efficacy'!$F:$F,"Albendazole &amp; DEC",
'New LF Efficacy'!$W:$W,"&lt;2016",
'New LF Efficacy'!$AA:$AA,""),
"")</f>
        <v>0.72</v>
      </c>
      <c r="AQ95" s="582">
        <f t="shared" si="13"/>
        <v>0.72</v>
      </c>
      <c r="AR95" s="571" t="str">
        <f>IFERROR(
AVERAGEIFS(
'New LF Efficacy'!$J:$J,
'New LF Efficacy'!$D:$D,$A95,
'New LF Efficacy'!$F:$F,"Albendazole &amp; Ivermectin", 
'New LF Efficacy'!$W:$W,"&lt;2016",
'New LF Efficacy'!$AA:$AA,""),"")</f>
        <v/>
      </c>
      <c r="AS95" s="582">
        <f t="shared" si="14"/>
        <v>0.14</v>
      </c>
      <c r="AT95" s="583" t="str">
        <f>IFERROR(AVERAGEIFS(
'Schist Efficacy'!$O:$O, 
'Schist Efficacy'!$C:$C,$A95, 
'Schist Efficacy'!$D:$D, "Praziquantel",
'Schist Efficacy'!$J:$J,"&lt;2016",
'Schist Efficacy'!$U:$U,""),
"")</f>
        <v/>
      </c>
      <c r="AU95" s="572">
        <f t="shared" si="15"/>
        <v>0.743990088</v>
      </c>
      <c r="AV95" s="131">
        <f>IFERROR(AVERAGEIFS(
'STH Efficacy'!$AX:$AX, 
'STH Efficacy'!$AL:$AL, $A95, 
'STH Efficacy'!$AM:$AM, "Albendazole",
'STH Efficacy'!$AS:$AS,"&lt;2016",
'STH Efficacy'!$BP:$BP,""),
"")</f>
        <v>0.667</v>
      </c>
      <c r="AW95" s="132">
        <f t="shared" si="16"/>
        <v>0.667</v>
      </c>
      <c r="AX95" s="131" t="str">
        <f>IFERROR(AVERAGEIFS(
'STH Efficacy'!$AX:$AX, 
'STH Efficacy'!$AL:$AL, $A95, 
'STH Efficacy'!$AM:$AM, "Mebendazole",
'STH Efficacy'!$AS:$AS,"&lt;2016",
'STH Efficacy'!$BP:$BP,""),
"")</f>
        <v/>
      </c>
      <c r="AY95" s="132">
        <f t="shared" si="17"/>
        <v>0.3786666667</v>
      </c>
      <c r="AZ95" s="131" t="str">
        <f>IFERROR(AVERAGEIFS(
'STH Efficacy'!$AX:$AX, 
'STH Efficacy'!$AL:$AL, $A95, 
'STH Efficacy'!$AM:$AM, "Albendazole &amp; Ivermectin",
'STH Efficacy'!$AS:$AS,"&lt;2016",
'STH Efficacy'!$BP:$BP,""),
"")</f>
        <v/>
      </c>
      <c r="BA95" s="303">
        <f t="shared" si="18"/>
        <v>0.597625</v>
      </c>
      <c r="BB95" s="584" t="str">
        <f>IFERROR(AVERAGEIFS(
'STH Efficacy'!$N:$N, 
'STH Efficacy'!$B:$B, $A95, 
'STH Efficacy'!$C:$C, "Albendazole",
'STH Efficacy'!$I:$I,"&lt;2016",
'STH Efficacy'!$AH:$AH,""),
"")</f>
        <v/>
      </c>
      <c r="BC95" s="579">
        <f t="shared" si="19"/>
        <v>0.7133333333</v>
      </c>
      <c r="BD95" s="584" t="str">
        <f>IFERROR(AVERAGEIFS(
'STH Efficacy'!$N:$N, 
'STH Efficacy'!$B:$B, $A95, 
'STH Efficacy'!$C:$C, "Mebendazole",
'STH Efficacy'!$I:$I,"&lt;2016",
'STH Efficacy'!$AH:$AH,""),
"")</f>
        <v/>
      </c>
      <c r="BE95" s="579">
        <f t="shared" si="20"/>
        <v>0.205</v>
      </c>
      <c r="BF95" s="585" t="str">
        <f>IFERROR(AVERAGEIFS(
'STH Efficacy'!$CD:$CD, 
'STH Efficacy'!$BS:$BS, $A95, 
'STH Efficacy'!$BT:$BT, "Albendazole",
'STH Efficacy'!$BZ:$BZ,"&lt;2016",
'STH Efficacy'!$CU:$CU,""),
"")</f>
        <v/>
      </c>
      <c r="BG95" s="580">
        <f t="shared" si="21"/>
        <v>0.83</v>
      </c>
      <c r="BH95" s="585" t="str">
        <f>IFERROR(AVERAGEIFS(
'STH Efficacy'!$CD:$CD, 
'STH Efficacy'!$BS:$BS, $A95, 
'STH Efficacy'!$BT:$BT, "Mebendazole",
'STH Efficacy'!$BZ:$BZ,"&lt;2016",
'STH Efficacy'!$CU:$CU,""),
"")</f>
        <v/>
      </c>
      <c r="BI95" s="580">
        <f t="shared" si="22"/>
        <v>1</v>
      </c>
      <c r="BJ95" s="585" t="str">
        <f>IFERROR(AVERAGEIFS(
'STH Efficacy'!$CD:$CD, 
'STH Efficacy'!$BS:$BS, $A95, 
'STH Efficacy'!$BT:$BT, "Albendazole &amp; Ivermectin",
'STH Efficacy'!$BZ:$BZ,"&lt;2016",
'STH Efficacy'!$CU:$CU,""),
"")</f>
        <v/>
      </c>
      <c r="BK95" s="580">
        <f t="shared" si="23"/>
        <v>0.848</v>
      </c>
      <c r="BL95" s="575" t="str">
        <f>IFERROR(
  AVERAGEIFS(
    'NEW Onchocerciasis Efficacy'!$AO:$AO,
    'NEW Onchocerciasis Efficacy'!$C:$C,$A95,
    'NEW Onchocerciasis Efficacy'!$D:$D,"Ivermectin",
    'NEW Onchocerciasis Efficacy'!$AR:$AR,"&lt;2016",
    'NEW Onchocerciasis Efficacy'!$BG:$BG,"")
,"")</f>
        <v/>
      </c>
      <c r="BM95" s="586">
        <f t="shared" si="24"/>
        <v>0.7808368939</v>
      </c>
      <c r="BN95" s="587">
        <v>1.0</v>
      </c>
      <c r="BO95" s="588">
        <v>0.0</v>
      </c>
      <c r="BP95" s="589">
        <v>1.0</v>
      </c>
      <c r="BQ95" s="590">
        <f t="shared" si="25"/>
        <v>0</v>
      </c>
      <c r="BR95" s="560" t="str">
        <f t="shared" si="26"/>
        <v>1010</v>
      </c>
      <c r="BS95" s="560" t="str">
        <f t="shared" si="27"/>
        <v>MDA1/2+T2</v>
      </c>
      <c r="BT95" s="606" t="str">
        <f t="shared" si="28"/>
        <v>IVM+ALB or DEC +ALB</v>
      </c>
      <c r="BU95" s="560" t="str">
        <f t="shared" si="29"/>
        <v>PZQ</v>
      </c>
      <c r="BV95" s="560" t="str">
        <f t="shared" si="30"/>
        <v>lf+schist </v>
      </c>
      <c r="BW95" s="150" t="str">
        <f t="shared" si="31"/>
        <v/>
      </c>
      <c r="BX95" s="607">
        <f t="shared" si="32"/>
        <v>20892.14245</v>
      </c>
      <c r="BY95" s="608">
        <f t="shared" si="33"/>
        <v>49.15781703</v>
      </c>
      <c r="BZ95" s="152" t="str">
        <f t="shared" si="34"/>
        <v/>
      </c>
      <c r="CA95" s="152" t="str">
        <f t="shared" si="35"/>
        <v/>
      </c>
      <c r="CB95" s="152" t="str">
        <f t="shared" si="36"/>
        <v/>
      </c>
      <c r="CC95" s="153" t="str">
        <f t="shared" si="37"/>
        <v/>
      </c>
      <c r="CD95" s="153" t="str">
        <f t="shared" si="38"/>
        <v/>
      </c>
      <c r="CE95" s="154" t="str">
        <f t="shared" si="39"/>
        <v/>
      </c>
      <c r="CF95" s="154" t="str">
        <f t="shared" si="40"/>
        <v/>
      </c>
      <c r="CG95" s="154" t="str">
        <f t="shared" si="41"/>
        <v/>
      </c>
      <c r="CH95" s="308" t="str">
        <f t="shared" si="42"/>
        <v/>
      </c>
    </row>
    <row r="96">
      <c r="A96" s="599" t="s">
        <v>185</v>
      </c>
      <c r="B96" s="560" t="s">
        <v>88</v>
      </c>
      <c r="C96" s="561">
        <v>7.9360487E7</v>
      </c>
      <c r="D96" s="562">
        <v>0.0</v>
      </c>
      <c r="E96" s="563">
        <v>27.3866886954764</v>
      </c>
      <c r="F96" s="564">
        <v>6.29619E-4</v>
      </c>
      <c r="G96" s="564">
        <v>0.006063593</v>
      </c>
      <c r="H96" s="564">
        <v>0.05607103</v>
      </c>
      <c r="I96" s="565">
        <v>30.84993356</v>
      </c>
      <c r="J96" s="566">
        <v>59.0043715104088</v>
      </c>
      <c r="K96" s="566">
        <v>494.33407288712</v>
      </c>
      <c r="L96" s="567">
        <v>42.35926291</v>
      </c>
      <c r="M96" s="568">
        <v>61.5270856341018</v>
      </c>
      <c r="N96" s="568">
        <v>244.92301164177</v>
      </c>
      <c r="O96" s="569">
        <v>0.0</v>
      </c>
      <c r="P96" s="570"/>
      <c r="Q96" s="150"/>
      <c r="R96" s="571"/>
      <c r="S96" s="116">
        <f t="shared" si="6"/>
        <v>0.1495</v>
      </c>
      <c r="T96" s="151"/>
      <c r="U96" s="572">
        <f t="shared" si="7"/>
        <v>0.65895</v>
      </c>
      <c r="V96" s="598"/>
      <c r="W96" s="574">
        <f t="shared" si="8"/>
        <v>0.97535</v>
      </c>
      <c r="X96" s="598"/>
      <c r="Y96" s="574">
        <f t="shared" si="9"/>
        <v>0.41448</v>
      </c>
      <c r="Z96" s="308"/>
      <c r="AA96" s="308"/>
      <c r="AB96" s="575" t="str">
        <f t="shared" si="10"/>
        <v/>
      </c>
      <c r="AC96" s="576">
        <f t="shared" si="11"/>
        <v>0.4586145155</v>
      </c>
      <c r="AD96" s="577">
        <v>0.0</v>
      </c>
      <c r="AE96" s="572">
        <v>2.0E-6</v>
      </c>
      <c r="AF96" s="578">
        <v>0.0</v>
      </c>
      <c r="AG96" s="132">
        <v>0.01055343271</v>
      </c>
      <c r="AH96" s="132">
        <v>0.034000462</v>
      </c>
      <c r="AI96" s="579">
        <v>0.002775117885</v>
      </c>
      <c r="AJ96" s="579">
        <v>0.003452322423</v>
      </c>
      <c r="AK96" s="580">
        <v>0.01885837322</v>
      </c>
      <c r="AL96" s="580">
        <v>0.02203167561</v>
      </c>
      <c r="AM96" s="581">
        <v>0.0</v>
      </c>
      <c r="AN96" s="571" t="str">
        <f>IFERROR(
  AVERAGEIFS(
    'New LF Efficacy'!$J:$J,
    'New LF Efficacy'!$D:$D, $A96,
    'New LF Efficacy'!$F:$F,"DEC", 
    'New LF Efficacy'!$W:$W,"&lt;2016",
    'New LF Efficacy'!$AA:$AA,""),
  ""
)</f>
        <v/>
      </c>
      <c r="AO96" s="582">
        <f t="shared" si="12"/>
        <v>0.3573520833</v>
      </c>
      <c r="AP96" s="571" t="str">
        <f>IFERROR(
AVERAGEIFS(
'New LF Efficacy'!$J:$J,
'New LF Efficacy'!$D:$D,$A96,
'New LF Efficacy'!$F:$F,"Albendazole &amp; DEC",
'New LF Efficacy'!$W:$W,"&lt;2016",
'New LF Efficacy'!$AA:$AA,""),
"")</f>
        <v/>
      </c>
      <c r="AQ96" s="582">
        <f t="shared" si="13"/>
        <v>0.7935</v>
      </c>
      <c r="AR96" s="571" t="str">
        <f>IFERROR(
AVERAGEIFS(
'New LF Efficacy'!$J:$J,
'New LF Efficacy'!$D:$D,$A96,
'New LF Efficacy'!$F:$F,"Albendazole &amp; Ivermectin", 
'New LF Efficacy'!$W:$W,"&lt;2016",
'New LF Efficacy'!$AA:$AA,""),"")</f>
        <v/>
      </c>
      <c r="AS96" s="582">
        <f t="shared" si="14"/>
        <v>0.37153125</v>
      </c>
      <c r="AT96" s="583" t="str">
        <f>IFERROR(AVERAGEIFS(
'Schist Efficacy'!$O:$O, 
'Schist Efficacy'!$C:$C,$A96, 
'Schist Efficacy'!$D:$D, "Praziquantel",
'Schist Efficacy'!$J:$J,"&lt;2016",
'Schist Efficacy'!$U:$U,""),
"")</f>
        <v/>
      </c>
      <c r="AU96" s="572">
        <f t="shared" si="15"/>
        <v>0.7763141026</v>
      </c>
      <c r="AV96" s="131" t="str">
        <f>IFERROR(AVERAGEIFS(
'STH Efficacy'!$AX:$AX, 
'STH Efficacy'!$AL:$AL, $A96, 
'STH Efficacy'!$AM:$AM, "Albendazole",
'STH Efficacy'!$AS:$AS,"&lt;2016",
'STH Efficacy'!$BP:$BP,""),
"")</f>
        <v/>
      </c>
      <c r="AW96" s="132">
        <f t="shared" si="16"/>
        <v>0.4143846154</v>
      </c>
      <c r="AX96" s="131" t="str">
        <f>IFERROR(AVERAGEIFS(
'STH Efficacy'!$AX:$AX, 
'STH Efficacy'!$AL:$AL, $A96, 
'STH Efficacy'!$AM:$AM, "Mebendazole",
'STH Efficacy'!$AS:$AS,"&lt;2016",
'STH Efficacy'!$BP:$BP,""),
"")</f>
        <v/>
      </c>
      <c r="AY96" s="132">
        <f t="shared" si="17"/>
        <v>0.4691770833</v>
      </c>
      <c r="AZ96" s="131" t="str">
        <f>IFERROR(AVERAGEIFS(
'STH Efficacy'!$AX:$AX, 
'STH Efficacy'!$AL:$AL, $A96, 
'STH Efficacy'!$AM:$AM, "Albendazole &amp; Ivermectin",
'STH Efficacy'!$AS:$AS,"&lt;2016",
'STH Efficacy'!$BP:$BP,""),
"")</f>
        <v/>
      </c>
      <c r="BA96" s="303">
        <f t="shared" si="18"/>
        <v>0.597625</v>
      </c>
      <c r="BB96" s="584" t="str">
        <f>IFERROR(AVERAGEIFS(
'STH Efficacy'!$N:$N, 
'STH Efficacy'!$B:$B, $A96, 
'STH Efficacy'!$C:$C, "Albendazole",
'STH Efficacy'!$I:$I,"&lt;2016",
'STH Efficacy'!$AH:$AH,""),
"")</f>
        <v/>
      </c>
      <c r="BC96" s="579">
        <f t="shared" si="19"/>
        <v>0.7613712121</v>
      </c>
      <c r="BD96" s="584" t="str">
        <f>IFERROR(AVERAGEIFS(
'STH Efficacy'!$N:$N, 
'STH Efficacy'!$B:$B, $A96, 
'STH Efficacy'!$C:$C, "Mebendazole",
'STH Efficacy'!$I:$I,"&lt;2016",
'STH Efficacy'!$AH:$AH,""),
"")</f>
        <v/>
      </c>
      <c r="BE96" s="579">
        <f t="shared" si="20"/>
        <v>0.4362466667</v>
      </c>
      <c r="BF96" s="585" t="str">
        <f>IFERROR(AVERAGEIFS(
'STH Efficacy'!$CD:$CD, 
'STH Efficacy'!$BS:$BS, $A96, 
'STH Efficacy'!$BT:$BT, "Albendazole",
'STH Efficacy'!$BZ:$BZ,"&lt;2016",
'STH Efficacy'!$CU:$CU,""),
"")</f>
        <v/>
      </c>
      <c r="BG96" s="580">
        <f t="shared" si="21"/>
        <v>0.955</v>
      </c>
      <c r="BH96" s="585" t="str">
        <f>IFERROR(AVERAGEIFS(
'STH Efficacy'!$CD:$CD, 
'STH Efficacy'!$BS:$BS, $A96, 
'STH Efficacy'!$BT:$BT, "Mebendazole",
'STH Efficacy'!$BZ:$BZ,"&lt;2016",
'STH Efficacy'!$CU:$CU,""),
"")</f>
        <v/>
      </c>
      <c r="BI96" s="580">
        <f t="shared" si="22"/>
        <v>1</v>
      </c>
      <c r="BJ96" s="585" t="str">
        <f>IFERROR(AVERAGEIFS(
'STH Efficacy'!$CD:$CD, 
'STH Efficacy'!$BS:$BS, $A96, 
'STH Efficacy'!$BT:$BT, "Albendazole &amp; Ivermectin",
'STH Efficacy'!$BZ:$BZ,"&lt;2016",
'STH Efficacy'!$CU:$CU,""),
"")</f>
        <v/>
      </c>
      <c r="BK96" s="580">
        <f t="shared" si="23"/>
        <v>0.848</v>
      </c>
      <c r="BL96" s="575" t="str">
        <f>IFERROR(
  AVERAGEIFS(
    'NEW Onchocerciasis Efficacy'!$AO:$AO,
    'NEW Onchocerciasis Efficacy'!$C:$C,$A96,
    'NEW Onchocerciasis Efficacy'!$D:$D,"Ivermectin",
    'NEW Onchocerciasis Efficacy'!$AR:$AR,"&lt;2016",
    'NEW Onchocerciasis Efficacy'!$BG:$BG,"")
,"")</f>
        <v/>
      </c>
      <c r="BM96" s="586">
        <f t="shared" si="24"/>
        <v>0.7808368939</v>
      </c>
      <c r="BN96" s="587">
        <v>0.0</v>
      </c>
      <c r="BO96" s="588">
        <v>0.0</v>
      </c>
      <c r="BP96" s="589">
        <v>0.0</v>
      </c>
      <c r="BQ96" s="590">
        <f t="shared" si="25"/>
        <v>0</v>
      </c>
      <c r="BR96" s="560" t="str">
        <f t="shared" si="26"/>
        <v>0000</v>
      </c>
      <c r="BS96" s="560" t="str">
        <f t="shared" si="27"/>
        <v>no action required</v>
      </c>
      <c r="BT96" s="361" t="str">
        <f t="shared" si="28"/>
        <v/>
      </c>
      <c r="BU96" s="591" t="str">
        <f t="shared" si="29"/>
        <v/>
      </c>
      <c r="BV96" s="560" t="str">
        <f t="shared" si="30"/>
        <v>none</v>
      </c>
      <c r="BW96" s="150" t="str">
        <f t="shared" si="31"/>
        <v/>
      </c>
      <c r="BX96" s="150" t="str">
        <f t="shared" si="32"/>
        <v/>
      </c>
      <c r="BY96" s="151" t="str">
        <f t="shared" si="33"/>
        <v/>
      </c>
      <c r="BZ96" s="152" t="str">
        <f t="shared" si="34"/>
        <v/>
      </c>
      <c r="CA96" s="152" t="str">
        <f t="shared" si="35"/>
        <v/>
      </c>
      <c r="CB96" s="152" t="str">
        <f t="shared" si="36"/>
        <v/>
      </c>
      <c r="CC96" s="153" t="str">
        <f t="shared" si="37"/>
        <v/>
      </c>
      <c r="CD96" s="153" t="str">
        <f t="shared" si="38"/>
        <v/>
      </c>
      <c r="CE96" s="154" t="str">
        <f t="shared" si="39"/>
        <v/>
      </c>
      <c r="CF96" s="154" t="str">
        <f t="shared" si="40"/>
        <v/>
      </c>
      <c r="CG96" s="154" t="str">
        <f t="shared" si="41"/>
        <v/>
      </c>
      <c r="CH96" s="308" t="str">
        <f t="shared" si="42"/>
        <v/>
      </c>
    </row>
    <row r="97">
      <c r="A97" s="599" t="s">
        <v>186</v>
      </c>
      <c r="B97" s="560" t="s">
        <v>88</v>
      </c>
      <c r="C97" s="561">
        <v>3.6115649E7</v>
      </c>
      <c r="D97" s="562">
        <v>0.0</v>
      </c>
      <c r="E97" s="563">
        <v>6125.28652093685</v>
      </c>
      <c r="F97" s="564">
        <v>0.037464523</v>
      </c>
      <c r="G97" s="564">
        <v>0.307098568</v>
      </c>
      <c r="H97" s="564">
        <v>1.789664499</v>
      </c>
      <c r="I97" s="565">
        <v>50.39806344</v>
      </c>
      <c r="J97" s="566">
        <v>194.352874572749</v>
      </c>
      <c r="K97" s="566">
        <v>577.019209359969</v>
      </c>
      <c r="L97" s="567">
        <v>30.28288728</v>
      </c>
      <c r="M97" s="568">
        <v>23.2203862037554</v>
      </c>
      <c r="N97" s="568">
        <v>61.4946049902073</v>
      </c>
      <c r="O97" s="569">
        <v>0.0</v>
      </c>
      <c r="P97" s="570"/>
      <c r="Q97" s="150"/>
      <c r="R97" s="571"/>
      <c r="S97" s="116">
        <f t="shared" si="6"/>
        <v>0.1495</v>
      </c>
      <c r="T97" s="151"/>
      <c r="U97" s="572">
        <f t="shared" si="7"/>
        <v>0.65895</v>
      </c>
      <c r="V97" s="598"/>
      <c r="W97" s="574">
        <f t="shared" si="8"/>
        <v>0.97535</v>
      </c>
      <c r="X97" s="598"/>
      <c r="Y97" s="574">
        <f t="shared" si="9"/>
        <v>0.41448</v>
      </c>
      <c r="Z97" s="308"/>
      <c r="AA97" s="308"/>
      <c r="AB97" s="575" t="str">
        <f t="shared" si="10"/>
        <v/>
      </c>
      <c r="AC97" s="576">
        <f t="shared" si="11"/>
        <v>0.4586145155</v>
      </c>
      <c r="AD97" s="577">
        <v>0.0</v>
      </c>
      <c r="AE97" s="572">
        <v>0.01876510141</v>
      </c>
      <c r="AF97" s="578">
        <v>0.001268361506</v>
      </c>
      <c r="AG97" s="132">
        <v>0.01288009721</v>
      </c>
      <c r="AH97" s="132">
        <v>0.041926376</v>
      </c>
      <c r="AI97" s="579">
        <v>0.007524327648</v>
      </c>
      <c r="AJ97" s="579">
        <v>0.009399193592</v>
      </c>
      <c r="AK97" s="580">
        <v>0.03164907565</v>
      </c>
      <c r="AL97" s="580">
        <v>0.03761411523</v>
      </c>
      <c r="AM97" s="581">
        <v>0.0</v>
      </c>
      <c r="AN97" s="571" t="str">
        <f>IFERROR(
  AVERAGEIFS(
    'New LF Efficacy'!$J:$J,
    'New LF Efficacy'!$D:$D, $A97,
    'New LF Efficacy'!$F:$F,"DEC", 
    'New LF Efficacy'!$W:$W,"&lt;2016",
    'New LF Efficacy'!$AA:$AA,""),
  ""
)</f>
        <v/>
      </c>
      <c r="AO97" s="582">
        <f t="shared" si="12"/>
        <v>0.3573520833</v>
      </c>
      <c r="AP97" s="571" t="str">
        <f>IFERROR(
AVERAGEIFS(
'New LF Efficacy'!$J:$J,
'New LF Efficacy'!$D:$D,$A97,
'New LF Efficacy'!$F:$F,"Albendazole &amp; DEC",
'New LF Efficacy'!$W:$W,"&lt;2016",
'New LF Efficacy'!$AA:$AA,""),
"")</f>
        <v/>
      </c>
      <c r="AQ97" s="582">
        <f t="shared" si="13"/>
        <v>0.7935</v>
      </c>
      <c r="AR97" s="571" t="str">
        <f>IFERROR(
AVERAGEIFS(
'New LF Efficacy'!$J:$J,
'New LF Efficacy'!$D:$D,$A97,
'New LF Efficacy'!$F:$F,"Albendazole &amp; Ivermectin", 
'New LF Efficacy'!$W:$W,"&lt;2016",
'New LF Efficacy'!$AA:$AA,""),"")</f>
        <v/>
      </c>
      <c r="AS97" s="582">
        <f t="shared" si="14"/>
        <v>0.37153125</v>
      </c>
      <c r="AT97" s="583" t="str">
        <f>IFERROR(AVERAGEIFS(
'Schist Efficacy'!$O:$O, 
'Schist Efficacy'!$C:$C,$A97, 
'Schist Efficacy'!$D:$D, "Praziquantel",
'Schist Efficacy'!$J:$J,"&lt;2016",
'Schist Efficacy'!$U:$U,""),
"")</f>
        <v/>
      </c>
      <c r="AU97" s="572">
        <f t="shared" si="15"/>
        <v>0.7763141026</v>
      </c>
      <c r="AV97" s="131" t="str">
        <f>IFERROR(AVERAGEIFS(
'STH Efficacy'!$AX:$AX, 
'STH Efficacy'!$AL:$AL, $A97, 
'STH Efficacy'!$AM:$AM, "Albendazole",
'STH Efficacy'!$AS:$AS,"&lt;2016",
'STH Efficacy'!$BP:$BP,""),
"")</f>
        <v/>
      </c>
      <c r="AW97" s="132">
        <f t="shared" si="16"/>
        <v>0.4143846154</v>
      </c>
      <c r="AX97" s="131" t="str">
        <f>IFERROR(AVERAGEIFS(
'STH Efficacy'!$AX:$AX, 
'STH Efficacy'!$AL:$AL, $A97, 
'STH Efficacy'!$AM:$AM, "Mebendazole",
'STH Efficacy'!$AS:$AS,"&lt;2016",
'STH Efficacy'!$BP:$BP,""),
"")</f>
        <v/>
      </c>
      <c r="AY97" s="132">
        <f t="shared" si="17"/>
        <v>0.4691770833</v>
      </c>
      <c r="AZ97" s="131" t="str">
        <f>IFERROR(AVERAGEIFS(
'STH Efficacy'!$AX:$AX, 
'STH Efficacy'!$AL:$AL, $A97, 
'STH Efficacy'!$AM:$AM, "Albendazole &amp; Ivermectin",
'STH Efficacy'!$AS:$AS,"&lt;2016",
'STH Efficacy'!$BP:$BP,""),
"")</f>
        <v/>
      </c>
      <c r="BA97" s="303">
        <f t="shared" si="18"/>
        <v>0.597625</v>
      </c>
      <c r="BB97" s="584" t="str">
        <f>IFERROR(AVERAGEIFS(
'STH Efficacy'!$N:$N, 
'STH Efficacy'!$B:$B, $A97, 
'STH Efficacy'!$C:$C, "Albendazole",
'STH Efficacy'!$I:$I,"&lt;2016",
'STH Efficacy'!$AH:$AH,""),
"")</f>
        <v/>
      </c>
      <c r="BC97" s="579">
        <f t="shared" si="19"/>
        <v>0.7613712121</v>
      </c>
      <c r="BD97" s="584" t="str">
        <f>IFERROR(AVERAGEIFS(
'STH Efficacy'!$N:$N, 
'STH Efficacy'!$B:$B, $A97, 
'STH Efficacy'!$C:$C, "Mebendazole",
'STH Efficacy'!$I:$I,"&lt;2016",
'STH Efficacy'!$AH:$AH,""),
"")</f>
        <v/>
      </c>
      <c r="BE97" s="579">
        <f t="shared" si="20"/>
        <v>0.4362466667</v>
      </c>
      <c r="BF97" s="585">
        <f>IFERROR(AVERAGEIFS(
'STH Efficacy'!$CD:$CD, 
'STH Efficacy'!$BS:$BS, $A97, 
'STH Efficacy'!$BT:$BT, "Albendazole",
'STH Efficacy'!$BZ:$BZ,"&lt;2016",
'STH Efficacy'!$CU:$CU,""),
"")</f>
        <v>0.955</v>
      </c>
      <c r="BG97" s="580">
        <f t="shared" si="21"/>
        <v>0.955</v>
      </c>
      <c r="BH97" s="585" t="str">
        <f>IFERROR(AVERAGEIFS(
'STH Efficacy'!$CD:$CD, 
'STH Efficacy'!$BS:$BS, $A97, 
'STH Efficacy'!$BT:$BT, "Mebendazole",
'STH Efficacy'!$BZ:$BZ,"&lt;2016",
'STH Efficacy'!$CU:$CU,""),
"")</f>
        <v/>
      </c>
      <c r="BI97" s="580">
        <f t="shared" si="22"/>
        <v>1</v>
      </c>
      <c r="BJ97" s="585" t="str">
        <f>IFERROR(AVERAGEIFS(
'STH Efficacy'!$CD:$CD, 
'STH Efficacy'!$BS:$BS, $A97, 
'STH Efficacy'!$BT:$BT, "Albendazole &amp; Ivermectin",
'STH Efficacy'!$BZ:$BZ,"&lt;2016",
'STH Efficacy'!$CU:$CU,""),
"")</f>
        <v/>
      </c>
      <c r="BK97" s="580">
        <f t="shared" si="23"/>
        <v>0.848</v>
      </c>
      <c r="BL97" s="575" t="str">
        <f>IFERROR(
  AVERAGEIFS(
    'NEW Onchocerciasis Efficacy'!$AO:$AO,
    'NEW Onchocerciasis Efficacy'!$C:$C,$A97,
    'NEW Onchocerciasis Efficacy'!$D:$D,"Ivermectin",
    'NEW Onchocerciasis Efficacy'!$AR:$AR,"&lt;2016",
    'NEW Onchocerciasis Efficacy'!$BG:$BG,"")
,"")</f>
        <v/>
      </c>
      <c r="BM97" s="586">
        <f t="shared" si="24"/>
        <v>0.7808368939</v>
      </c>
      <c r="BN97" s="587">
        <v>0.0</v>
      </c>
      <c r="BO97" s="588">
        <v>0.0</v>
      </c>
      <c r="BP97" s="589">
        <v>0.0</v>
      </c>
      <c r="BQ97" s="590">
        <f t="shared" si="25"/>
        <v>0</v>
      </c>
      <c r="BR97" s="560" t="str">
        <f t="shared" si="26"/>
        <v>0000</v>
      </c>
      <c r="BS97" s="560" t="str">
        <f t="shared" si="27"/>
        <v>no action required</v>
      </c>
      <c r="BT97" s="361" t="str">
        <f t="shared" si="28"/>
        <v/>
      </c>
      <c r="BU97" s="591" t="str">
        <f t="shared" si="29"/>
        <v/>
      </c>
      <c r="BV97" s="560" t="str">
        <f t="shared" si="30"/>
        <v>none</v>
      </c>
      <c r="BW97" s="150" t="str">
        <f t="shared" si="31"/>
        <v/>
      </c>
      <c r="BX97" s="150" t="str">
        <f t="shared" si="32"/>
        <v/>
      </c>
      <c r="BY97" s="151" t="str">
        <f t="shared" si="33"/>
        <v/>
      </c>
      <c r="BZ97" s="152" t="str">
        <f t="shared" si="34"/>
        <v/>
      </c>
      <c r="CA97" s="152" t="str">
        <f t="shared" si="35"/>
        <v/>
      </c>
      <c r="CB97" s="152" t="str">
        <f t="shared" si="36"/>
        <v/>
      </c>
      <c r="CC97" s="153" t="str">
        <f t="shared" si="37"/>
        <v/>
      </c>
      <c r="CD97" s="153" t="str">
        <f t="shared" si="38"/>
        <v/>
      </c>
      <c r="CE97" s="154" t="str">
        <f t="shared" si="39"/>
        <v/>
      </c>
      <c r="CF97" s="154" t="str">
        <f t="shared" si="40"/>
        <v/>
      </c>
      <c r="CG97" s="154" t="str">
        <f t="shared" si="41"/>
        <v/>
      </c>
      <c r="CH97" s="308" t="str">
        <f t="shared" si="42"/>
        <v/>
      </c>
    </row>
    <row r="98">
      <c r="A98" s="599" t="s">
        <v>187</v>
      </c>
      <c r="B98" s="560" t="s">
        <v>90</v>
      </c>
      <c r="C98" s="561">
        <v>4676835.0</v>
      </c>
      <c r="D98" s="562">
        <v>0.0</v>
      </c>
      <c r="E98" s="563">
        <v>0.0</v>
      </c>
      <c r="F98" s="564">
        <v>0.0</v>
      </c>
      <c r="G98" s="564">
        <v>0.0</v>
      </c>
      <c r="H98" s="564">
        <v>0.0</v>
      </c>
      <c r="I98" s="565">
        <v>0.0</v>
      </c>
      <c r="J98" s="566">
        <v>0.0</v>
      </c>
      <c r="K98" s="566">
        <v>0.0</v>
      </c>
      <c r="L98" s="567">
        <v>0.0</v>
      </c>
      <c r="M98" s="568">
        <v>0.0</v>
      </c>
      <c r="N98" s="568">
        <v>0.0</v>
      </c>
      <c r="O98" s="569">
        <v>0.0</v>
      </c>
      <c r="P98" s="570"/>
      <c r="Q98" s="150"/>
      <c r="R98" s="571"/>
      <c r="S98" s="116">
        <f t="shared" si="6"/>
        <v>0.6648642857</v>
      </c>
      <c r="T98" s="151"/>
      <c r="U98" s="572">
        <f t="shared" si="7"/>
        <v>0.53016</v>
      </c>
      <c r="V98" s="598"/>
      <c r="W98" s="574" t="b">
        <f t="shared" si="8"/>
        <v>0</v>
      </c>
      <c r="X98" s="598"/>
      <c r="Y98" s="574">
        <f t="shared" si="9"/>
        <v>0.631675</v>
      </c>
      <c r="Z98" s="308"/>
      <c r="AA98" s="308"/>
      <c r="AB98" s="575" t="str">
        <f t="shared" si="10"/>
        <v/>
      </c>
      <c r="AC98" s="576">
        <f t="shared" si="11"/>
        <v>0.7192241206</v>
      </c>
      <c r="AD98" s="577">
        <v>0.0</v>
      </c>
      <c r="AE98" s="572">
        <v>0.0</v>
      </c>
      <c r="AF98" s="578">
        <v>0.0</v>
      </c>
      <c r="AG98" s="132">
        <v>0.0</v>
      </c>
      <c r="AH98" s="132">
        <v>0.0</v>
      </c>
      <c r="AI98" s="579">
        <v>0.0</v>
      </c>
      <c r="AJ98" s="579">
        <v>0.0</v>
      </c>
      <c r="AK98" s="580">
        <v>0.0</v>
      </c>
      <c r="AL98" s="580">
        <v>0.0</v>
      </c>
      <c r="AM98" s="581">
        <v>0.0</v>
      </c>
      <c r="AN98" s="571" t="str">
        <f>IFERROR(
  AVERAGEIFS(
    'New LF Efficacy'!$J:$J,
    'New LF Efficacy'!$D:$D, $A98,
    'New LF Efficacy'!$F:$F,"DEC", 
    'New LF Efficacy'!$W:$W,"&lt;2016",
    'New LF Efficacy'!$AA:$AA,""),
  ""
)</f>
        <v/>
      </c>
      <c r="AO98" s="582">
        <f t="shared" si="12"/>
        <v>0.3573520833</v>
      </c>
      <c r="AP98" s="571" t="str">
        <f>IFERROR(
AVERAGEIFS(
'New LF Efficacy'!$J:$J,
'New LF Efficacy'!$D:$D,$A98,
'New LF Efficacy'!$F:$F,"Albendazole &amp; DEC",
'New LF Efficacy'!$W:$W,"&lt;2016",
'New LF Efficacy'!$AA:$AA,""),
"")</f>
        <v/>
      </c>
      <c r="AQ98" s="582">
        <f t="shared" si="13"/>
        <v>0.5143541667</v>
      </c>
      <c r="AR98" s="571" t="str">
        <f>IFERROR(
AVERAGEIFS(
'New LF Efficacy'!$J:$J,
'New LF Efficacy'!$D:$D,$A98,
'New LF Efficacy'!$F:$F,"Albendazole &amp; Ivermectin", 
'New LF Efficacy'!$W:$W,"&lt;2016",
'New LF Efficacy'!$AA:$AA,""),"")</f>
        <v/>
      </c>
      <c r="AS98" s="582">
        <f t="shared" si="14"/>
        <v>0.37153125</v>
      </c>
      <c r="AT98" s="583" t="str">
        <f>IFERROR(AVERAGEIFS(
'Schist Efficacy'!$O:$O, 
'Schist Efficacy'!$C:$C,$A98, 
'Schist Efficacy'!$D:$D, "Praziquantel",
'Schist Efficacy'!$J:$J,"&lt;2016",
'Schist Efficacy'!$U:$U,""),
"")</f>
        <v/>
      </c>
      <c r="AU98" s="572">
        <f t="shared" si="15"/>
        <v>0.655</v>
      </c>
      <c r="AV98" s="131" t="str">
        <f>IFERROR(AVERAGEIFS(
'STH Efficacy'!$AX:$AX, 
'STH Efficacy'!$AL:$AL, $A98, 
'STH Efficacy'!$AM:$AM, "Albendazole",
'STH Efficacy'!$AS:$AS,"&lt;2016",
'STH Efficacy'!$BP:$BP,""),
"")</f>
        <v/>
      </c>
      <c r="AW98" s="132">
        <f t="shared" si="16"/>
        <v>0.4143846154</v>
      </c>
      <c r="AX98" s="131" t="str">
        <f>IFERROR(AVERAGEIFS(
'STH Efficacy'!$AX:$AX, 
'STH Efficacy'!$AL:$AL, $A98, 
'STH Efficacy'!$AM:$AM, "Mebendazole",
'STH Efficacy'!$AS:$AS,"&lt;2016",
'STH Efficacy'!$BP:$BP,""),
"")</f>
        <v/>
      </c>
      <c r="AY98" s="132">
        <f t="shared" si="17"/>
        <v>0.4691770833</v>
      </c>
      <c r="AZ98" s="131" t="str">
        <f>IFERROR(AVERAGEIFS(
'STH Efficacy'!$AX:$AX, 
'STH Efficacy'!$AL:$AL, $A98, 
'STH Efficacy'!$AM:$AM, "Albendazole &amp; Ivermectin",
'STH Efficacy'!$AS:$AS,"&lt;2016",
'STH Efficacy'!$BP:$BP,""),
"")</f>
        <v/>
      </c>
      <c r="BA98" s="303">
        <f t="shared" si="18"/>
        <v>0.597625</v>
      </c>
      <c r="BB98" s="584" t="str">
        <f>IFERROR(AVERAGEIFS(
'STH Efficacy'!$N:$N, 
'STH Efficacy'!$B:$B, $A98, 
'STH Efficacy'!$C:$C, "Albendazole",
'STH Efficacy'!$I:$I,"&lt;2016",
'STH Efficacy'!$AH:$AH,""),
"")</f>
        <v/>
      </c>
      <c r="BC98" s="579">
        <f t="shared" si="19"/>
        <v>0.7613712121</v>
      </c>
      <c r="BD98" s="584" t="str">
        <f>IFERROR(AVERAGEIFS(
'STH Efficacy'!$N:$N, 
'STH Efficacy'!$B:$B, $A98, 
'STH Efficacy'!$C:$C, "Mebendazole",
'STH Efficacy'!$I:$I,"&lt;2016",
'STH Efficacy'!$AH:$AH,""),
"")</f>
        <v/>
      </c>
      <c r="BE98" s="579">
        <f t="shared" si="20"/>
        <v>0.4362466667</v>
      </c>
      <c r="BF98" s="585" t="str">
        <f>IFERROR(AVERAGEIFS(
'STH Efficacy'!$CD:$CD, 
'STH Efficacy'!$BS:$BS, $A98, 
'STH Efficacy'!$BT:$BT, "Albendazole",
'STH Efficacy'!$BZ:$BZ,"&lt;2016",
'STH Efficacy'!$CU:$CU,""),
"")</f>
        <v/>
      </c>
      <c r="BG98" s="580">
        <f t="shared" si="21"/>
        <v>0.9216027778</v>
      </c>
      <c r="BH98" s="585" t="str">
        <f>IFERROR(AVERAGEIFS(
'STH Efficacy'!$CD:$CD, 
'STH Efficacy'!$BS:$BS, $A98, 
'STH Efficacy'!$BT:$BT, "Mebendazole",
'STH Efficacy'!$BZ:$BZ,"&lt;2016",
'STH Efficacy'!$CU:$CU,""),
"")</f>
        <v/>
      </c>
      <c r="BI98" s="580">
        <f t="shared" si="22"/>
        <v>0.8866041667</v>
      </c>
      <c r="BJ98" s="585" t="str">
        <f>IFERROR(AVERAGEIFS(
'STH Efficacy'!$CD:$CD, 
'STH Efficacy'!$BS:$BS, $A98, 
'STH Efficacy'!$BT:$BT, "Albendazole &amp; Ivermectin",
'STH Efficacy'!$BZ:$BZ,"&lt;2016",
'STH Efficacy'!$CU:$CU,""),
"")</f>
        <v/>
      </c>
      <c r="BK98" s="580">
        <f t="shared" si="23"/>
        <v>0.848</v>
      </c>
      <c r="BL98" s="575" t="str">
        <f>IFERROR(
  AVERAGEIFS(
    'NEW Onchocerciasis Efficacy'!$AO:$AO,
    'NEW Onchocerciasis Efficacy'!$C:$C,$A98,
    'NEW Onchocerciasis Efficacy'!$D:$D,"Ivermectin",
    'NEW Onchocerciasis Efficacy'!$AR:$AR,"&lt;2016",
    'NEW Onchocerciasis Efficacy'!$BG:$BG,"")
,"")</f>
        <v/>
      </c>
      <c r="BM98" s="586">
        <f t="shared" si="24"/>
        <v>0.7808368939</v>
      </c>
      <c r="BN98" s="587">
        <v>0.0</v>
      </c>
      <c r="BO98" s="588">
        <v>0.0</v>
      </c>
      <c r="BP98" s="589">
        <v>0.0</v>
      </c>
      <c r="BQ98" s="590">
        <f t="shared" si="25"/>
        <v>0</v>
      </c>
      <c r="BR98" s="560" t="str">
        <f t="shared" si="26"/>
        <v>0000</v>
      </c>
      <c r="BS98" s="560" t="str">
        <f t="shared" si="27"/>
        <v>no action required</v>
      </c>
      <c r="BT98" s="361" t="str">
        <f t="shared" si="28"/>
        <v/>
      </c>
      <c r="BU98" s="591" t="str">
        <f t="shared" si="29"/>
        <v/>
      </c>
      <c r="BV98" s="560" t="str">
        <f t="shared" si="30"/>
        <v>none</v>
      </c>
      <c r="BW98" s="150" t="str">
        <f t="shared" si="31"/>
        <v/>
      </c>
      <c r="BX98" s="150" t="str">
        <f t="shared" si="32"/>
        <v/>
      </c>
      <c r="BY98" s="151" t="str">
        <f t="shared" si="33"/>
        <v/>
      </c>
      <c r="BZ98" s="152" t="str">
        <f t="shared" si="34"/>
        <v/>
      </c>
      <c r="CA98" s="152" t="str">
        <f t="shared" si="35"/>
        <v/>
      </c>
      <c r="CB98" s="152" t="str">
        <f t="shared" si="36"/>
        <v/>
      </c>
      <c r="CC98" s="153" t="str">
        <f t="shared" si="37"/>
        <v/>
      </c>
      <c r="CD98" s="153" t="str">
        <f t="shared" si="38"/>
        <v/>
      </c>
      <c r="CE98" s="154" t="str">
        <f t="shared" si="39"/>
        <v/>
      </c>
      <c r="CF98" s="154" t="str">
        <f t="shared" si="40"/>
        <v/>
      </c>
      <c r="CG98" s="154" t="str">
        <f t="shared" si="41"/>
        <v/>
      </c>
      <c r="CH98" s="308" t="str">
        <f t="shared" si="42"/>
        <v/>
      </c>
    </row>
    <row r="99">
      <c r="A99" s="599" t="s">
        <v>188</v>
      </c>
      <c r="B99" s="560" t="s">
        <v>90</v>
      </c>
      <c r="C99" s="561">
        <v>8380100.0</v>
      </c>
      <c r="D99" s="562">
        <v>0.0</v>
      </c>
      <c r="E99" s="563">
        <v>0.0</v>
      </c>
      <c r="F99" s="564">
        <v>0.0</v>
      </c>
      <c r="G99" s="564">
        <v>0.0</v>
      </c>
      <c r="H99" s="564">
        <v>0.0</v>
      </c>
      <c r="I99" s="565">
        <v>0.0</v>
      </c>
      <c r="J99" s="566">
        <v>0.0</v>
      </c>
      <c r="K99" s="566">
        <v>0.0</v>
      </c>
      <c r="L99" s="567">
        <v>0.0</v>
      </c>
      <c r="M99" s="568">
        <v>0.0</v>
      </c>
      <c r="N99" s="568">
        <v>0.0</v>
      </c>
      <c r="O99" s="569">
        <v>0.0</v>
      </c>
      <c r="P99" s="570"/>
      <c r="Q99" s="150"/>
      <c r="R99" s="571"/>
      <c r="S99" s="116">
        <f t="shared" si="6"/>
        <v>0.6648642857</v>
      </c>
      <c r="T99" s="151"/>
      <c r="U99" s="572">
        <f t="shared" si="7"/>
        <v>0.53016</v>
      </c>
      <c r="V99" s="598"/>
      <c r="W99" s="574" t="b">
        <f t="shared" si="8"/>
        <v>0</v>
      </c>
      <c r="X99" s="598"/>
      <c r="Y99" s="574">
        <f t="shared" si="9"/>
        <v>0.631675</v>
      </c>
      <c r="Z99" s="308"/>
      <c r="AA99" s="308"/>
      <c r="AB99" s="575" t="str">
        <f t="shared" si="10"/>
        <v/>
      </c>
      <c r="AC99" s="576">
        <f t="shared" si="11"/>
        <v>0.7192241206</v>
      </c>
      <c r="AD99" s="577">
        <v>0.0</v>
      </c>
      <c r="AE99" s="572">
        <v>0.0</v>
      </c>
      <c r="AF99" s="578">
        <v>0.0</v>
      </c>
      <c r="AG99" s="132">
        <v>0.0</v>
      </c>
      <c r="AH99" s="132">
        <v>0.0</v>
      </c>
      <c r="AI99" s="579">
        <v>0.0</v>
      </c>
      <c r="AJ99" s="579">
        <v>0.0</v>
      </c>
      <c r="AK99" s="580">
        <v>0.0</v>
      </c>
      <c r="AL99" s="580">
        <v>0.0</v>
      </c>
      <c r="AM99" s="581">
        <v>0.0</v>
      </c>
      <c r="AN99" s="571" t="str">
        <f>IFERROR(
  AVERAGEIFS(
    'New LF Efficacy'!$J:$J,
    'New LF Efficacy'!$D:$D, $A99,
    'New LF Efficacy'!$F:$F,"DEC", 
    'New LF Efficacy'!$W:$W,"&lt;2016",
    'New LF Efficacy'!$AA:$AA,""),
  ""
)</f>
        <v/>
      </c>
      <c r="AO99" s="582">
        <f t="shared" si="12"/>
        <v>0.3573520833</v>
      </c>
      <c r="AP99" s="571" t="str">
        <f>IFERROR(
AVERAGEIFS(
'New LF Efficacy'!$J:$J,
'New LF Efficacy'!$D:$D,$A99,
'New LF Efficacy'!$F:$F,"Albendazole &amp; DEC",
'New LF Efficacy'!$W:$W,"&lt;2016",
'New LF Efficacy'!$AA:$AA,""),
"")</f>
        <v/>
      </c>
      <c r="AQ99" s="582">
        <f t="shared" si="13"/>
        <v>0.5143541667</v>
      </c>
      <c r="AR99" s="571" t="str">
        <f>IFERROR(
AVERAGEIFS(
'New LF Efficacy'!$J:$J,
'New LF Efficacy'!$D:$D,$A99,
'New LF Efficacy'!$F:$F,"Albendazole &amp; Ivermectin", 
'New LF Efficacy'!$W:$W,"&lt;2016",
'New LF Efficacy'!$AA:$AA,""),"")</f>
        <v/>
      </c>
      <c r="AS99" s="582">
        <f t="shared" si="14"/>
        <v>0.37153125</v>
      </c>
      <c r="AT99" s="583" t="str">
        <f>IFERROR(AVERAGEIFS(
'Schist Efficacy'!$O:$O, 
'Schist Efficacy'!$C:$C,$A99, 
'Schist Efficacy'!$D:$D, "Praziquantel",
'Schist Efficacy'!$J:$J,"&lt;2016",
'Schist Efficacy'!$U:$U,""),
"")</f>
        <v/>
      </c>
      <c r="AU99" s="572">
        <f t="shared" si="15"/>
        <v>0.655</v>
      </c>
      <c r="AV99" s="131" t="str">
        <f>IFERROR(AVERAGEIFS(
'STH Efficacy'!$AX:$AX, 
'STH Efficacy'!$AL:$AL, $A99, 
'STH Efficacy'!$AM:$AM, "Albendazole",
'STH Efficacy'!$AS:$AS,"&lt;2016",
'STH Efficacy'!$BP:$BP,""),
"")</f>
        <v/>
      </c>
      <c r="AW99" s="132">
        <f t="shared" si="16"/>
        <v>0.4143846154</v>
      </c>
      <c r="AX99" s="131" t="str">
        <f>IFERROR(AVERAGEIFS(
'STH Efficacy'!$AX:$AX, 
'STH Efficacy'!$AL:$AL, $A99, 
'STH Efficacy'!$AM:$AM, "Mebendazole",
'STH Efficacy'!$AS:$AS,"&lt;2016",
'STH Efficacy'!$BP:$BP,""),
"")</f>
        <v/>
      </c>
      <c r="AY99" s="132">
        <f t="shared" si="17"/>
        <v>0.4691770833</v>
      </c>
      <c r="AZ99" s="131" t="str">
        <f>IFERROR(AVERAGEIFS(
'STH Efficacy'!$AX:$AX, 
'STH Efficacy'!$AL:$AL, $A99, 
'STH Efficacy'!$AM:$AM, "Albendazole &amp; Ivermectin",
'STH Efficacy'!$AS:$AS,"&lt;2016",
'STH Efficacy'!$BP:$BP,""),
"")</f>
        <v/>
      </c>
      <c r="BA99" s="303">
        <f t="shared" si="18"/>
        <v>0.597625</v>
      </c>
      <c r="BB99" s="584" t="str">
        <f>IFERROR(AVERAGEIFS(
'STH Efficacy'!$N:$N, 
'STH Efficacy'!$B:$B, $A99, 
'STH Efficacy'!$C:$C, "Albendazole",
'STH Efficacy'!$I:$I,"&lt;2016",
'STH Efficacy'!$AH:$AH,""),
"")</f>
        <v/>
      </c>
      <c r="BC99" s="579">
        <f t="shared" si="19"/>
        <v>0.7613712121</v>
      </c>
      <c r="BD99" s="584" t="str">
        <f>IFERROR(AVERAGEIFS(
'STH Efficacy'!$N:$N, 
'STH Efficacy'!$B:$B, $A99, 
'STH Efficacy'!$C:$C, "Mebendazole",
'STH Efficacy'!$I:$I,"&lt;2016",
'STH Efficacy'!$AH:$AH,""),
"")</f>
        <v/>
      </c>
      <c r="BE99" s="579">
        <f t="shared" si="20"/>
        <v>0.4362466667</v>
      </c>
      <c r="BF99" s="585" t="str">
        <f>IFERROR(AVERAGEIFS(
'STH Efficacy'!$CD:$CD, 
'STH Efficacy'!$BS:$BS, $A99, 
'STH Efficacy'!$BT:$BT, "Albendazole",
'STH Efficacy'!$BZ:$BZ,"&lt;2016",
'STH Efficacy'!$CU:$CU,""),
"")</f>
        <v/>
      </c>
      <c r="BG99" s="580">
        <f t="shared" si="21"/>
        <v>0.9216027778</v>
      </c>
      <c r="BH99" s="585" t="str">
        <f>IFERROR(AVERAGEIFS(
'STH Efficacy'!$CD:$CD, 
'STH Efficacy'!$BS:$BS, $A99, 
'STH Efficacy'!$BT:$BT, "Mebendazole",
'STH Efficacy'!$BZ:$BZ,"&lt;2016",
'STH Efficacy'!$CU:$CU,""),
"")</f>
        <v/>
      </c>
      <c r="BI99" s="580">
        <f t="shared" si="22"/>
        <v>0.8866041667</v>
      </c>
      <c r="BJ99" s="585" t="str">
        <f>IFERROR(AVERAGEIFS(
'STH Efficacy'!$CD:$CD, 
'STH Efficacy'!$BS:$BS, $A99, 
'STH Efficacy'!$BT:$BT, "Albendazole &amp; Ivermectin",
'STH Efficacy'!$BZ:$BZ,"&lt;2016",
'STH Efficacy'!$CU:$CU,""),
"")</f>
        <v/>
      </c>
      <c r="BK99" s="580">
        <f t="shared" si="23"/>
        <v>0.848</v>
      </c>
      <c r="BL99" s="575" t="str">
        <f>IFERROR(
  AVERAGEIFS(
    'NEW Onchocerciasis Efficacy'!$AO:$AO,
    'NEW Onchocerciasis Efficacy'!$C:$C,$A99,
    'NEW Onchocerciasis Efficacy'!$D:$D,"Ivermectin",
    'NEW Onchocerciasis Efficacy'!$AR:$AR,"&lt;2016",
    'NEW Onchocerciasis Efficacy'!$BG:$BG,"")
,"")</f>
        <v/>
      </c>
      <c r="BM99" s="586">
        <f t="shared" si="24"/>
        <v>0.7808368939</v>
      </c>
      <c r="BN99" s="587">
        <v>0.0</v>
      </c>
      <c r="BO99" s="588">
        <v>0.0</v>
      </c>
      <c r="BP99" s="589">
        <v>0.0</v>
      </c>
      <c r="BQ99" s="590">
        <f t="shared" si="25"/>
        <v>0</v>
      </c>
      <c r="BR99" s="560" t="str">
        <f t="shared" si="26"/>
        <v>0000</v>
      </c>
      <c r="BS99" s="560" t="str">
        <f t="shared" si="27"/>
        <v>no action required</v>
      </c>
      <c r="BT99" s="361" t="str">
        <f t="shared" si="28"/>
        <v/>
      </c>
      <c r="BU99" s="591" t="str">
        <f t="shared" si="29"/>
        <v/>
      </c>
      <c r="BV99" s="560" t="str">
        <f t="shared" si="30"/>
        <v>none</v>
      </c>
      <c r="BW99" s="150" t="str">
        <f t="shared" si="31"/>
        <v/>
      </c>
      <c r="BX99" s="150" t="str">
        <f t="shared" si="32"/>
        <v/>
      </c>
      <c r="BY99" s="151" t="str">
        <f t="shared" si="33"/>
        <v/>
      </c>
      <c r="BZ99" s="152" t="str">
        <f t="shared" si="34"/>
        <v/>
      </c>
      <c r="CA99" s="152" t="str">
        <f t="shared" si="35"/>
        <v/>
      </c>
      <c r="CB99" s="152" t="str">
        <f t="shared" si="36"/>
        <v/>
      </c>
      <c r="CC99" s="153" t="str">
        <f t="shared" si="37"/>
        <v/>
      </c>
      <c r="CD99" s="153" t="str">
        <f t="shared" si="38"/>
        <v/>
      </c>
      <c r="CE99" s="154" t="str">
        <f t="shared" si="39"/>
        <v/>
      </c>
      <c r="CF99" s="154" t="str">
        <f t="shared" si="40"/>
        <v/>
      </c>
      <c r="CG99" s="154" t="str">
        <f t="shared" si="41"/>
        <v/>
      </c>
      <c r="CH99" s="308" t="str">
        <f t="shared" si="42"/>
        <v/>
      </c>
    </row>
    <row r="100">
      <c r="A100" s="599" t="s">
        <v>189</v>
      </c>
      <c r="B100" s="560" t="s">
        <v>90</v>
      </c>
      <c r="C100" s="561">
        <v>6.0730582E7</v>
      </c>
      <c r="D100" s="562">
        <v>0.0</v>
      </c>
      <c r="E100" s="563">
        <v>0.0</v>
      </c>
      <c r="F100" s="564">
        <v>0.0</v>
      </c>
      <c r="G100" s="564">
        <v>0.0</v>
      </c>
      <c r="H100" s="564">
        <v>0.0</v>
      </c>
      <c r="I100" s="565">
        <v>0.0</v>
      </c>
      <c r="J100" s="566">
        <v>0.0</v>
      </c>
      <c r="K100" s="566">
        <v>0.0</v>
      </c>
      <c r="L100" s="567">
        <v>0.0</v>
      </c>
      <c r="M100" s="568">
        <v>0.0</v>
      </c>
      <c r="N100" s="568">
        <v>0.0</v>
      </c>
      <c r="O100" s="569">
        <v>0.0</v>
      </c>
      <c r="P100" s="570"/>
      <c r="Q100" s="150"/>
      <c r="R100" s="571"/>
      <c r="S100" s="116">
        <f t="shared" si="6"/>
        <v>0.6648642857</v>
      </c>
      <c r="T100" s="151"/>
      <c r="U100" s="572">
        <f t="shared" si="7"/>
        <v>0.53016</v>
      </c>
      <c r="V100" s="598"/>
      <c r="W100" s="574" t="b">
        <f t="shared" si="8"/>
        <v>0</v>
      </c>
      <c r="X100" s="598"/>
      <c r="Y100" s="574">
        <f t="shared" si="9"/>
        <v>0.631675</v>
      </c>
      <c r="Z100" s="308"/>
      <c r="AA100" s="308"/>
      <c r="AB100" s="575" t="str">
        <f t="shared" si="10"/>
        <v/>
      </c>
      <c r="AC100" s="576">
        <f t="shared" si="11"/>
        <v>0.7192241206</v>
      </c>
      <c r="AD100" s="577">
        <v>0.0</v>
      </c>
      <c r="AE100" s="572">
        <v>0.0</v>
      </c>
      <c r="AF100" s="578">
        <v>0.0</v>
      </c>
      <c r="AG100" s="132">
        <v>0.0</v>
      </c>
      <c r="AH100" s="132">
        <v>0.0</v>
      </c>
      <c r="AI100" s="579">
        <v>0.0</v>
      </c>
      <c r="AJ100" s="579">
        <v>0.0</v>
      </c>
      <c r="AK100" s="580">
        <v>0.0</v>
      </c>
      <c r="AL100" s="580">
        <v>0.0</v>
      </c>
      <c r="AM100" s="581">
        <v>0.0</v>
      </c>
      <c r="AN100" s="571" t="str">
        <f>IFERROR(
  AVERAGEIFS(
    'New LF Efficacy'!$J:$J,
    'New LF Efficacy'!$D:$D, $A100,
    'New LF Efficacy'!$F:$F,"DEC", 
    'New LF Efficacy'!$W:$W,"&lt;2016",
    'New LF Efficacy'!$AA:$AA,""),
  ""
)</f>
        <v/>
      </c>
      <c r="AO100" s="582">
        <f t="shared" si="12"/>
        <v>0.3573520833</v>
      </c>
      <c r="AP100" s="571" t="str">
        <f>IFERROR(
AVERAGEIFS(
'New LF Efficacy'!$J:$J,
'New LF Efficacy'!$D:$D,$A100,
'New LF Efficacy'!$F:$F,"Albendazole &amp; DEC",
'New LF Efficacy'!$W:$W,"&lt;2016",
'New LF Efficacy'!$AA:$AA,""),
"")</f>
        <v/>
      </c>
      <c r="AQ100" s="582">
        <f t="shared" si="13"/>
        <v>0.5143541667</v>
      </c>
      <c r="AR100" s="571" t="str">
        <f>IFERROR(
AVERAGEIFS(
'New LF Efficacy'!$J:$J,
'New LF Efficacy'!$D:$D,$A100,
'New LF Efficacy'!$F:$F,"Albendazole &amp; Ivermectin", 
'New LF Efficacy'!$W:$W,"&lt;2016",
'New LF Efficacy'!$AA:$AA,""),"")</f>
        <v/>
      </c>
      <c r="AS100" s="582">
        <f t="shared" si="14"/>
        <v>0.37153125</v>
      </c>
      <c r="AT100" s="583" t="str">
        <f>IFERROR(AVERAGEIFS(
'Schist Efficacy'!$O:$O, 
'Schist Efficacy'!$C:$C,$A100, 
'Schist Efficacy'!$D:$D, "Praziquantel",
'Schist Efficacy'!$J:$J,"&lt;2016",
'Schist Efficacy'!$U:$U,""),
"")</f>
        <v/>
      </c>
      <c r="AU100" s="572">
        <f t="shared" si="15"/>
        <v>0.655</v>
      </c>
      <c r="AV100" s="131" t="str">
        <f>IFERROR(AVERAGEIFS(
'STH Efficacy'!$AX:$AX, 
'STH Efficacy'!$AL:$AL, $A100, 
'STH Efficacy'!$AM:$AM, "Albendazole",
'STH Efficacy'!$AS:$AS,"&lt;2016",
'STH Efficacy'!$BP:$BP,""),
"")</f>
        <v/>
      </c>
      <c r="AW100" s="132">
        <f t="shared" si="16"/>
        <v>0.4143846154</v>
      </c>
      <c r="AX100" s="131" t="str">
        <f>IFERROR(AVERAGEIFS(
'STH Efficacy'!$AX:$AX, 
'STH Efficacy'!$AL:$AL, $A100, 
'STH Efficacy'!$AM:$AM, "Mebendazole",
'STH Efficacy'!$AS:$AS,"&lt;2016",
'STH Efficacy'!$BP:$BP,""),
"")</f>
        <v/>
      </c>
      <c r="AY100" s="132">
        <f t="shared" si="17"/>
        <v>0.4691770833</v>
      </c>
      <c r="AZ100" s="131" t="str">
        <f>IFERROR(AVERAGEIFS(
'STH Efficacy'!$AX:$AX, 
'STH Efficacy'!$AL:$AL, $A100, 
'STH Efficacy'!$AM:$AM, "Albendazole &amp; Ivermectin",
'STH Efficacy'!$AS:$AS,"&lt;2016",
'STH Efficacy'!$BP:$BP,""),
"")</f>
        <v/>
      </c>
      <c r="BA100" s="303">
        <f t="shared" si="18"/>
        <v>0.597625</v>
      </c>
      <c r="BB100" s="584" t="str">
        <f>IFERROR(AVERAGEIFS(
'STH Efficacy'!$N:$N, 
'STH Efficacy'!$B:$B, $A100, 
'STH Efficacy'!$C:$C, "Albendazole",
'STH Efficacy'!$I:$I,"&lt;2016",
'STH Efficacy'!$AH:$AH,""),
"")</f>
        <v/>
      </c>
      <c r="BC100" s="579">
        <f t="shared" si="19"/>
        <v>0.7613712121</v>
      </c>
      <c r="BD100" s="584" t="str">
        <f>IFERROR(AVERAGEIFS(
'STH Efficacy'!$N:$N, 
'STH Efficacy'!$B:$B, $A100, 
'STH Efficacy'!$C:$C, "Mebendazole",
'STH Efficacy'!$I:$I,"&lt;2016",
'STH Efficacy'!$AH:$AH,""),
"")</f>
        <v/>
      </c>
      <c r="BE100" s="579">
        <f t="shared" si="20"/>
        <v>0.4362466667</v>
      </c>
      <c r="BF100" s="585" t="str">
        <f>IFERROR(AVERAGEIFS(
'STH Efficacy'!$CD:$CD, 
'STH Efficacy'!$BS:$BS, $A100, 
'STH Efficacy'!$BT:$BT, "Albendazole",
'STH Efficacy'!$BZ:$BZ,"&lt;2016",
'STH Efficacy'!$CU:$CU,""),
"")</f>
        <v/>
      </c>
      <c r="BG100" s="580">
        <f t="shared" si="21"/>
        <v>0.9216027778</v>
      </c>
      <c r="BH100" s="585" t="str">
        <f>IFERROR(AVERAGEIFS(
'STH Efficacy'!$CD:$CD, 
'STH Efficacy'!$BS:$BS, $A100, 
'STH Efficacy'!$BT:$BT, "Mebendazole",
'STH Efficacy'!$BZ:$BZ,"&lt;2016",
'STH Efficacy'!$CU:$CU,""),
"")</f>
        <v/>
      </c>
      <c r="BI100" s="580">
        <f t="shared" si="22"/>
        <v>0.8866041667</v>
      </c>
      <c r="BJ100" s="585" t="str">
        <f>IFERROR(AVERAGEIFS(
'STH Efficacy'!$CD:$CD, 
'STH Efficacy'!$BS:$BS, $A100, 
'STH Efficacy'!$BT:$BT, "Albendazole &amp; Ivermectin",
'STH Efficacy'!$BZ:$BZ,"&lt;2016",
'STH Efficacy'!$CU:$CU,""),
"")</f>
        <v/>
      </c>
      <c r="BK100" s="580">
        <f t="shared" si="23"/>
        <v>0.848</v>
      </c>
      <c r="BL100" s="575" t="str">
        <f>IFERROR(
  AVERAGEIFS(
    'NEW Onchocerciasis Efficacy'!$AO:$AO,
    'NEW Onchocerciasis Efficacy'!$C:$C,$A100,
    'NEW Onchocerciasis Efficacy'!$D:$D,"Ivermectin",
    'NEW Onchocerciasis Efficacy'!$AR:$AR,"&lt;2016",
    'NEW Onchocerciasis Efficacy'!$BG:$BG,"")
,"")</f>
        <v/>
      </c>
      <c r="BM100" s="586">
        <f t="shared" si="24"/>
        <v>0.7808368939</v>
      </c>
      <c r="BN100" s="587">
        <v>0.0</v>
      </c>
      <c r="BO100" s="588">
        <v>0.0</v>
      </c>
      <c r="BP100" s="589">
        <v>0.0</v>
      </c>
      <c r="BQ100" s="590">
        <f t="shared" si="25"/>
        <v>0</v>
      </c>
      <c r="BR100" s="560" t="str">
        <f t="shared" si="26"/>
        <v>0000</v>
      </c>
      <c r="BS100" s="560" t="str">
        <f t="shared" si="27"/>
        <v>no action required</v>
      </c>
      <c r="BT100" s="361" t="str">
        <f t="shared" si="28"/>
        <v/>
      </c>
      <c r="BU100" s="591" t="str">
        <f t="shared" si="29"/>
        <v/>
      </c>
      <c r="BV100" s="560" t="str">
        <f t="shared" si="30"/>
        <v>none</v>
      </c>
      <c r="BW100" s="150" t="str">
        <f t="shared" si="31"/>
        <v/>
      </c>
      <c r="BX100" s="150" t="str">
        <f t="shared" si="32"/>
        <v/>
      </c>
      <c r="BY100" s="151" t="str">
        <f t="shared" si="33"/>
        <v/>
      </c>
      <c r="BZ100" s="152" t="str">
        <f t="shared" si="34"/>
        <v/>
      </c>
      <c r="CA100" s="152" t="str">
        <f t="shared" si="35"/>
        <v/>
      </c>
      <c r="CB100" s="152" t="str">
        <f t="shared" si="36"/>
        <v/>
      </c>
      <c r="CC100" s="153" t="str">
        <f t="shared" si="37"/>
        <v/>
      </c>
      <c r="CD100" s="153" t="str">
        <f t="shared" si="38"/>
        <v/>
      </c>
      <c r="CE100" s="154" t="str">
        <f t="shared" si="39"/>
        <v/>
      </c>
      <c r="CF100" s="154" t="str">
        <f t="shared" si="40"/>
        <v/>
      </c>
      <c r="CG100" s="154" t="str">
        <f t="shared" si="41"/>
        <v/>
      </c>
      <c r="CH100" s="308" t="str">
        <f t="shared" si="42"/>
        <v/>
      </c>
    </row>
    <row r="101">
      <c r="A101" s="599" t="s">
        <v>190</v>
      </c>
      <c r="B101" s="560" t="s">
        <v>98</v>
      </c>
      <c r="C101" s="561">
        <v>2871934.0</v>
      </c>
      <c r="D101" s="562">
        <v>0.0</v>
      </c>
      <c r="E101" s="563">
        <v>0.0</v>
      </c>
      <c r="F101" s="564">
        <v>5.967639093</v>
      </c>
      <c r="G101" s="564">
        <v>59.53419404</v>
      </c>
      <c r="H101" s="564">
        <v>259.0328322</v>
      </c>
      <c r="I101" s="565">
        <v>4.501691583</v>
      </c>
      <c r="J101" s="566">
        <v>18.531489943436</v>
      </c>
      <c r="K101" s="566">
        <v>122.861554079221</v>
      </c>
      <c r="L101" s="567">
        <v>6.42030045</v>
      </c>
      <c r="M101" s="568">
        <v>10.143150951995</v>
      </c>
      <c r="N101" s="568">
        <v>35.3651794817554</v>
      </c>
      <c r="O101" s="569">
        <v>0.0</v>
      </c>
      <c r="P101" s="570"/>
      <c r="Q101" s="150"/>
      <c r="R101" s="571"/>
      <c r="S101" s="116">
        <f t="shared" si="6"/>
        <v>0.6451333333</v>
      </c>
      <c r="T101" s="151"/>
      <c r="U101" s="572">
        <f t="shared" si="7"/>
        <v>0.0025</v>
      </c>
      <c r="V101" s="598"/>
      <c r="W101" s="574">
        <f t="shared" si="8"/>
        <v>0.56882</v>
      </c>
      <c r="X101" s="598"/>
      <c r="Y101" s="574">
        <f t="shared" si="9"/>
        <v>0.5825818182</v>
      </c>
      <c r="Z101" s="308"/>
      <c r="AA101" s="308"/>
      <c r="AB101" s="575" t="str">
        <f t="shared" si="10"/>
        <v/>
      </c>
      <c r="AC101" s="576">
        <f t="shared" si="11"/>
        <v>0.7574216602</v>
      </c>
      <c r="AD101" s="577">
        <v>0.0</v>
      </c>
      <c r="AE101" s="572">
        <v>0.0</v>
      </c>
      <c r="AF101" s="578">
        <v>0.0</v>
      </c>
      <c r="AG101" s="132">
        <v>0.01443842026</v>
      </c>
      <c r="AH101" s="132">
        <v>0.046457311</v>
      </c>
      <c r="AI101" s="579">
        <v>0.01378422748</v>
      </c>
      <c r="AJ101" s="579">
        <v>0.01692776272</v>
      </c>
      <c r="AK101" s="580">
        <v>0.01221997725</v>
      </c>
      <c r="AL101" s="580">
        <v>0.01421593963</v>
      </c>
      <c r="AM101" s="581">
        <v>0.0</v>
      </c>
      <c r="AN101" s="571" t="str">
        <f>IFERROR(
  AVERAGEIFS(
    'New LF Efficacy'!$J:$J,
    'New LF Efficacy'!$D:$D, $A101,
    'New LF Efficacy'!$F:$F,"DEC", 
    'New LF Efficacy'!$W:$W,"&lt;2016",
    'New LF Efficacy'!$AA:$AA,""),
  ""
)</f>
        <v/>
      </c>
      <c r="AO101" s="582">
        <f t="shared" si="12"/>
        <v>0.2589833333</v>
      </c>
      <c r="AP101" s="571" t="str">
        <f>IFERROR(
AVERAGEIFS(
'New LF Efficacy'!$J:$J,
'New LF Efficacy'!$D:$D,$A101,
'New LF Efficacy'!$F:$F,"Albendazole &amp; DEC",
'New LF Efficacy'!$W:$W,"&lt;2016",
'New LF Efficacy'!$AA:$AA,""),
"")</f>
        <v/>
      </c>
      <c r="AQ101" s="582">
        <f t="shared" si="13"/>
        <v>0.3465</v>
      </c>
      <c r="AR101" s="571" t="str">
        <f>IFERROR(
AVERAGEIFS(
'New LF Efficacy'!$J:$J,
'New LF Efficacy'!$D:$D,$A101,
'New LF Efficacy'!$F:$F,"Albendazole &amp; Ivermectin", 
'New LF Efficacy'!$W:$W,"&lt;2016",
'New LF Efficacy'!$AA:$AA,""),"")</f>
        <v/>
      </c>
      <c r="AS101" s="582">
        <f t="shared" si="14"/>
        <v>0.7575</v>
      </c>
      <c r="AT101" s="583" t="str">
        <f>IFERROR(AVERAGEIFS(
'Schist Efficacy'!$O:$O, 
'Schist Efficacy'!$C:$C,$A101, 
'Schist Efficacy'!$D:$D, "Praziquantel",
'Schist Efficacy'!$J:$J,"&lt;2016",
'Schist Efficacy'!$U:$U,""),
"")</f>
        <v/>
      </c>
      <c r="AU101" s="572">
        <f t="shared" si="15"/>
        <v>0.7914761905</v>
      </c>
      <c r="AV101" s="131" t="str">
        <f>IFERROR(AVERAGEIFS(
'STH Efficacy'!$AX:$AX, 
'STH Efficacy'!$AL:$AL, $A101, 
'STH Efficacy'!$AM:$AM, "Albendazole",
'STH Efficacy'!$AS:$AS,"&lt;2016",
'STH Efficacy'!$BP:$BP,""),
"")</f>
        <v/>
      </c>
      <c r="AW101" s="132">
        <f t="shared" si="16"/>
        <v>0.3945</v>
      </c>
      <c r="AX101" s="131" t="str">
        <f>IFERROR(AVERAGEIFS(
'STH Efficacy'!$AX:$AX, 
'STH Efficacy'!$AL:$AL, $A101, 
'STH Efficacy'!$AM:$AM, "Mebendazole",
'STH Efficacy'!$AS:$AS,"&lt;2016",
'STH Efficacy'!$BP:$BP,""),
"")</f>
        <v/>
      </c>
      <c r="AY101" s="132">
        <f t="shared" si="17"/>
        <v>0.6</v>
      </c>
      <c r="AZ101" s="131" t="str">
        <f>IFERROR(AVERAGEIFS(
'STH Efficacy'!$AX:$AX, 
'STH Efficacy'!$AL:$AL, $A101, 
'STH Efficacy'!$AM:$AM, "Albendazole &amp; Ivermectin",
'STH Efficacy'!$AS:$AS,"&lt;2016",
'STH Efficacy'!$BP:$BP,""),
"")</f>
        <v/>
      </c>
      <c r="BA101" s="303">
        <f t="shared" si="18"/>
        <v>0.796</v>
      </c>
      <c r="BB101" s="584" t="str">
        <f>IFERROR(AVERAGEIFS(
'STH Efficacy'!$N:$N, 
'STH Efficacy'!$B:$B, $A101, 
'STH Efficacy'!$C:$C, "Albendazole",
'STH Efficacy'!$I:$I,"&lt;2016",
'STH Efficacy'!$AH:$AH,""),
"")</f>
        <v/>
      </c>
      <c r="BC101" s="579">
        <f t="shared" si="19"/>
        <v>0.869</v>
      </c>
      <c r="BD101" s="584" t="str">
        <f>IFERROR(AVERAGEIFS(
'STH Efficacy'!$N:$N, 
'STH Efficacy'!$B:$B, $A101, 
'STH Efficacy'!$C:$C, "Mebendazole",
'STH Efficacy'!$I:$I,"&lt;2016",
'STH Efficacy'!$AH:$AH,""),
"")</f>
        <v/>
      </c>
      <c r="BE101" s="579">
        <f t="shared" si="20"/>
        <v>0.172</v>
      </c>
      <c r="BF101" s="585" t="str">
        <f>IFERROR(AVERAGEIFS(
'STH Efficacy'!$CD:$CD, 
'STH Efficacy'!$BS:$BS, $A101, 
'STH Efficacy'!$BT:$BT, "Albendazole",
'STH Efficacy'!$BZ:$BZ,"&lt;2016",
'STH Efficacy'!$CU:$CU,""),
"")</f>
        <v/>
      </c>
      <c r="BG101" s="580">
        <f t="shared" si="21"/>
        <v>0.9862</v>
      </c>
      <c r="BH101" s="585" t="str">
        <f>IFERROR(AVERAGEIFS(
'STH Efficacy'!$CD:$CD, 
'STH Efficacy'!$BS:$BS, $A101, 
'STH Efficacy'!$BT:$BT, "Mebendazole",
'STH Efficacy'!$BZ:$BZ,"&lt;2016",
'STH Efficacy'!$CU:$CU,""),
"")</f>
        <v/>
      </c>
      <c r="BI101" s="580">
        <f t="shared" si="22"/>
        <v>0.769</v>
      </c>
      <c r="BJ101" s="585" t="str">
        <f>IFERROR(AVERAGEIFS(
'STH Efficacy'!$CD:$CD, 
'STH Efficacy'!$BS:$BS, $A101, 
'STH Efficacy'!$BT:$BT, "Albendazole &amp; Ivermectin",
'STH Efficacy'!$BZ:$BZ,"&lt;2016",
'STH Efficacy'!$CU:$CU,""),
"")</f>
        <v/>
      </c>
      <c r="BK101" s="580">
        <f t="shared" si="23"/>
        <v>1</v>
      </c>
      <c r="BL101" s="575" t="str">
        <f>IFERROR(
  AVERAGEIFS(
    'NEW Onchocerciasis Efficacy'!$AO:$AO,
    'NEW Onchocerciasis Efficacy'!$C:$C,$A101,
    'NEW Onchocerciasis Efficacy'!$D:$D,"Ivermectin",
    'NEW Onchocerciasis Efficacy'!$AR:$AR,"&lt;2016",
    'NEW Onchocerciasis Efficacy'!$BG:$BG,"")
,"")</f>
        <v/>
      </c>
      <c r="BM101" s="586">
        <f t="shared" si="24"/>
        <v>0.3734</v>
      </c>
      <c r="BN101" s="587">
        <v>0.0</v>
      </c>
      <c r="BO101" s="588">
        <v>0.0</v>
      </c>
      <c r="BP101" s="589">
        <v>0.0</v>
      </c>
      <c r="BQ101" s="590">
        <f t="shared" si="25"/>
        <v>0</v>
      </c>
      <c r="BR101" s="560" t="str">
        <f t="shared" si="26"/>
        <v>0000</v>
      </c>
      <c r="BS101" s="560" t="str">
        <f t="shared" si="27"/>
        <v>no action required</v>
      </c>
      <c r="BT101" s="361" t="str">
        <f t="shared" si="28"/>
        <v/>
      </c>
      <c r="BU101" s="591" t="str">
        <f t="shared" si="29"/>
        <v/>
      </c>
      <c r="BV101" s="560" t="str">
        <f t="shared" si="30"/>
        <v>none</v>
      </c>
      <c r="BW101" s="150" t="str">
        <f t="shared" si="31"/>
        <v/>
      </c>
      <c r="BX101" s="150" t="str">
        <f t="shared" si="32"/>
        <v/>
      </c>
      <c r="BY101" s="151" t="str">
        <f t="shared" si="33"/>
        <v/>
      </c>
      <c r="BZ101" s="152" t="str">
        <f t="shared" si="34"/>
        <v/>
      </c>
      <c r="CA101" s="152" t="str">
        <f t="shared" si="35"/>
        <v/>
      </c>
      <c r="CB101" s="152" t="str">
        <f t="shared" si="36"/>
        <v/>
      </c>
      <c r="CC101" s="153" t="str">
        <f t="shared" si="37"/>
        <v/>
      </c>
      <c r="CD101" s="153" t="str">
        <f t="shared" si="38"/>
        <v/>
      </c>
      <c r="CE101" s="154" t="str">
        <f t="shared" si="39"/>
        <v/>
      </c>
      <c r="CF101" s="154" t="str">
        <f t="shared" si="40"/>
        <v/>
      </c>
      <c r="CG101" s="154" t="str">
        <f t="shared" si="41"/>
        <v/>
      </c>
      <c r="CH101" s="308" t="str">
        <f t="shared" si="42"/>
        <v/>
      </c>
    </row>
    <row r="102">
      <c r="A102" s="599" t="s">
        <v>191</v>
      </c>
      <c r="B102" s="560" t="s">
        <v>94</v>
      </c>
      <c r="C102" s="561">
        <v>1.27141E8</v>
      </c>
      <c r="D102" s="562">
        <v>0.0</v>
      </c>
      <c r="E102" s="563">
        <v>0.0</v>
      </c>
      <c r="F102" s="564">
        <v>0.0</v>
      </c>
      <c r="G102" s="564">
        <v>0.0</v>
      </c>
      <c r="H102" s="564">
        <v>0.0</v>
      </c>
      <c r="I102" s="565">
        <v>0.0</v>
      </c>
      <c r="J102" s="566">
        <v>0.0</v>
      </c>
      <c r="K102" s="566">
        <v>0.0</v>
      </c>
      <c r="L102" s="567">
        <v>0.0</v>
      </c>
      <c r="M102" s="568">
        <v>0.0</v>
      </c>
      <c r="N102" s="568">
        <v>0.0</v>
      </c>
      <c r="O102" s="569">
        <v>0.0</v>
      </c>
      <c r="P102" s="570"/>
      <c r="Q102" s="150"/>
      <c r="R102" s="571"/>
      <c r="S102" s="116">
        <f t="shared" si="6"/>
        <v>0.5322777778</v>
      </c>
      <c r="T102" s="151"/>
      <c r="U102" s="572">
        <f t="shared" si="7"/>
        <v>0.7834666667</v>
      </c>
      <c r="V102" s="598"/>
      <c r="W102" s="574">
        <f t="shared" si="8"/>
        <v>0.3593777778</v>
      </c>
      <c r="X102" s="598"/>
      <c r="Y102" s="574">
        <f t="shared" si="9"/>
        <v>0.5347375</v>
      </c>
      <c r="Z102" s="308"/>
      <c r="AA102" s="308"/>
      <c r="AB102" s="575" t="str">
        <f t="shared" si="10"/>
        <v/>
      </c>
      <c r="AC102" s="576">
        <f t="shared" si="11"/>
        <v>0.7192241206</v>
      </c>
      <c r="AD102" s="577">
        <v>0.0</v>
      </c>
      <c r="AE102" s="572">
        <v>0.0</v>
      </c>
      <c r="AF102" s="578">
        <v>0.0</v>
      </c>
      <c r="AG102" s="132">
        <v>0.0</v>
      </c>
      <c r="AH102" s="132">
        <v>0.0</v>
      </c>
      <c r="AI102" s="579">
        <v>0.0</v>
      </c>
      <c r="AJ102" s="579">
        <v>0.0</v>
      </c>
      <c r="AK102" s="580">
        <v>0.0</v>
      </c>
      <c r="AL102" s="580">
        <v>0.0</v>
      </c>
      <c r="AM102" s="581">
        <v>0.0</v>
      </c>
      <c r="AN102" s="571" t="str">
        <f>IFERROR(
  AVERAGEIFS(
    'New LF Efficacy'!$J:$J,
    'New LF Efficacy'!$D:$D, $A102,
    'New LF Efficacy'!$F:$F,"DEC", 
    'New LF Efficacy'!$W:$W,"&lt;2016",
    'New LF Efficacy'!$AA:$AA,""),
  ""
)</f>
        <v/>
      </c>
      <c r="AO102" s="582">
        <f t="shared" si="12"/>
        <v>0.38</v>
      </c>
      <c r="AP102" s="571" t="str">
        <f>IFERROR(
AVERAGEIFS(
'New LF Efficacy'!$J:$J,
'New LF Efficacy'!$D:$D,$A102,
'New LF Efficacy'!$F:$F,"Albendazole &amp; DEC",
'New LF Efficacy'!$W:$W,"&lt;2016",
'New LF Efficacy'!$AA:$AA,""),
"")</f>
        <v/>
      </c>
      <c r="AQ102" s="582">
        <f t="shared" si="13"/>
        <v>0.662</v>
      </c>
      <c r="AR102" s="571" t="str">
        <f>IFERROR(
AVERAGEIFS(
'New LF Efficacy'!$J:$J,
'New LF Efficacy'!$D:$D,$A102,
'New LF Efficacy'!$F:$F,"Albendazole &amp; Ivermectin", 
'New LF Efficacy'!$W:$W,"&lt;2016",
'New LF Efficacy'!$AA:$AA,""),"")</f>
        <v/>
      </c>
      <c r="AS102" s="582">
        <f t="shared" si="14"/>
        <v>0.37153125</v>
      </c>
      <c r="AT102" s="583" t="str">
        <f>IFERROR(AVERAGEIFS(
'Schist Efficacy'!$O:$O, 
'Schist Efficacy'!$C:$C,$A102, 
'Schist Efficacy'!$D:$D, "Praziquantel",
'Schist Efficacy'!$J:$J,"&lt;2016",
'Schist Efficacy'!$U:$U,""),
"")</f>
        <v/>
      </c>
      <c r="AU102" s="572">
        <f t="shared" si="15"/>
        <v>0.9475</v>
      </c>
      <c r="AV102" s="131" t="str">
        <f>IFERROR(AVERAGEIFS(
'STH Efficacy'!$AX:$AX, 
'STH Efficacy'!$AL:$AL, $A102, 
'STH Efficacy'!$AM:$AM, "Albendazole",
'STH Efficacy'!$AS:$AS,"&lt;2016",
'STH Efficacy'!$BP:$BP,""),
"")</f>
        <v/>
      </c>
      <c r="AW102" s="132">
        <f t="shared" si="16"/>
        <v>0.3571666667</v>
      </c>
      <c r="AX102" s="131" t="str">
        <f>IFERROR(AVERAGEIFS(
'STH Efficacy'!$AX:$AX, 
'STH Efficacy'!$AL:$AL, $A102, 
'STH Efficacy'!$AM:$AM, "Mebendazole",
'STH Efficacy'!$AS:$AS,"&lt;2016",
'STH Efficacy'!$BP:$BP,""),
"")</f>
        <v/>
      </c>
      <c r="AY102" s="132">
        <f t="shared" si="17"/>
        <v>0.4155</v>
      </c>
      <c r="AZ102" s="131" t="str">
        <f>IFERROR(AVERAGEIFS(
'STH Efficacy'!$AX:$AX, 
'STH Efficacy'!$AL:$AL, $A102, 
'STH Efficacy'!$AM:$AM, "Albendazole &amp; Ivermectin",
'STH Efficacy'!$AS:$AS,"&lt;2016",
'STH Efficacy'!$BP:$BP,""),
"")</f>
        <v/>
      </c>
      <c r="BA102" s="303">
        <f t="shared" si="18"/>
        <v>0.651</v>
      </c>
      <c r="BB102" s="584" t="str">
        <f>IFERROR(AVERAGEIFS(
'STH Efficacy'!$N:$N, 
'STH Efficacy'!$B:$B, $A102, 
'STH Efficacy'!$C:$C, "Albendazole",
'STH Efficacy'!$I:$I,"&lt;2016",
'STH Efficacy'!$AH:$AH,""),
"")</f>
        <v/>
      </c>
      <c r="BC102" s="579">
        <f t="shared" si="19"/>
        <v>0.5769166667</v>
      </c>
      <c r="BD102" s="584" t="str">
        <f>IFERROR(AVERAGEIFS(
'STH Efficacy'!$N:$N, 
'STH Efficacy'!$B:$B, $A102, 
'STH Efficacy'!$C:$C, "Mebendazole",
'STH Efficacy'!$I:$I,"&lt;2016",
'STH Efficacy'!$AH:$AH,""),
"")</f>
        <v/>
      </c>
      <c r="BE102" s="579">
        <f t="shared" si="20"/>
        <v>0.3145</v>
      </c>
      <c r="BF102" s="585" t="str">
        <f>IFERROR(AVERAGEIFS(
'STH Efficacy'!$CD:$CD, 
'STH Efficacy'!$BS:$BS, $A102, 
'STH Efficacy'!$BT:$BT, "Albendazole",
'STH Efficacy'!$BZ:$BZ,"&lt;2016",
'STH Efficacy'!$CU:$CU,""),
"")</f>
        <v/>
      </c>
      <c r="BG102" s="580">
        <f t="shared" si="21"/>
        <v>0.96925</v>
      </c>
      <c r="BH102" s="585" t="str">
        <f>IFERROR(AVERAGEIFS(
'STH Efficacy'!$CD:$CD, 
'STH Efficacy'!$BS:$BS, $A102, 
'STH Efficacy'!$BT:$BT, "Mebendazole",
'STH Efficacy'!$BZ:$BZ,"&lt;2016",
'STH Efficacy'!$CU:$CU,""),
"")</f>
        <v/>
      </c>
      <c r="BI102" s="580">
        <f t="shared" si="22"/>
        <v>0.9305</v>
      </c>
      <c r="BJ102" s="585" t="str">
        <f>IFERROR(AVERAGEIFS(
'STH Efficacy'!$CD:$CD, 
'STH Efficacy'!$BS:$BS, $A102, 
'STH Efficacy'!$BT:$BT, "Albendazole &amp; Ivermectin",
'STH Efficacy'!$BZ:$BZ,"&lt;2016",
'STH Efficacy'!$CU:$CU,""),
"")</f>
        <v/>
      </c>
      <c r="BK102" s="580">
        <f t="shared" si="23"/>
        <v>0.848</v>
      </c>
      <c r="BL102" s="575" t="str">
        <f>IFERROR(
  AVERAGEIFS(
    'NEW Onchocerciasis Efficacy'!$AO:$AO,
    'NEW Onchocerciasis Efficacy'!$C:$C,$A102,
    'NEW Onchocerciasis Efficacy'!$D:$D,"Ivermectin",
    'NEW Onchocerciasis Efficacy'!$AR:$AR,"&lt;2016",
    'NEW Onchocerciasis Efficacy'!$BG:$BG,"")
,"")</f>
        <v/>
      </c>
      <c r="BM102" s="586">
        <f t="shared" si="24"/>
        <v>0.7808368939</v>
      </c>
      <c r="BN102" s="587">
        <v>0.0</v>
      </c>
      <c r="BO102" s="588">
        <v>0.0</v>
      </c>
      <c r="BP102" s="589">
        <v>0.0</v>
      </c>
      <c r="BQ102" s="590">
        <f t="shared" si="25"/>
        <v>0</v>
      </c>
      <c r="BR102" s="560" t="str">
        <f t="shared" si="26"/>
        <v>0000</v>
      </c>
      <c r="BS102" s="560" t="str">
        <f t="shared" si="27"/>
        <v>no action required</v>
      </c>
      <c r="BT102" s="361" t="str">
        <f t="shared" si="28"/>
        <v/>
      </c>
      <c r="BU102" s="591" t="str">
        <f t="shared" si="29"/>
        <v/>
      </c>
      <c r="BV102" s="560" t="str">
        <f t="shared" si="30"/>
        <v>none</v>
      </c>
      <c r="BW102" s="150" t="str">
        <f t="shared" si="31"/>
        <v/>
      </c>
      <c r="BX102" s="150" t="str">
        <f t="shared" si="32"/>
        <v/>
      </c>
      <c r="BY102" s="151" t="str">
        <f t="shared" si="33"/>
        <v/>
      </c>
      <c r="BZ102" s="152" t="str">
        <f t="shared" si="34"/>
        <v/>
      </c>
      <c r="CA102" s="152" t="str">
        <f t="shared" si="35"/>
        <v/>
      </c>
      <c r="CB102" s="152" t="str">
        <f t="shared" si="36"/>
        <v/>
      </c>
      <c r="CC102" s="153" t="str">
        <f t="shared" si="37"/>
        <v/>
      </c>
      <c r="CD102" s="153" t="str">
        <f t="shared" si="38"/>
        <v/>
      </c>
      <c r="CE102" s="154" t="str">
        <f t="shared" si="39"/>
        <v/>
      </c>
      <c r="CF102" s="154" t="str">
        <f t="shared" si="40"/>
        <v/>
      </c>
      <c r="CG102" s="154" t="str">
        <f t="shared" si="41"/>
        <v/>
      </c>
      <c r="CH102" s="308" t="str">
        <f t="shared" si="42"/>
        <v/>
      </c>
    </row>
    <row r="103">
      <c r="A103" s="599" t="s">
        <v>192</v>
      </c>
      <c r="B103" s="560" t="s">
        <v>88</v>
      </c>
      <c r="C103" s="561">
        <v>9159302.0</v>
      </c>
      <c r="D103" s="562">
        <v>0.0</v>
      </c>
      <c r="E103" s="563">
        <v>122.177617391773</v>
      </c>
      <c r="F103" s="564">
        <v>0.098839957</v>
      </c>
      <c r="G103" s="564">
        <v>0.836270094</v>
      </c>
      <c r="H103" s="564">
        <v>5.159373947</v>
      </c>
      <c r="I103" s="565">
        <v>7.089595915</v>
      </c>
      <c r="J103" s="566">
        <v>16.4379011417675</v>
      </c>
      <c r="K103" s="566">
        <v>103.721729582082</v>
      </c>
      <c r="L103" s="567">
        <v>18.49937122</v>
      </c>
      <c r="M103" s="568">
        <v>33.7859604726062</v>
      </c>
      <c r="N103" s="568">
        <v>118.286568127978</v>
      </c>
      <c r="O103" s="569">
        <v>0.0</v>
      </c>
      <c r="P103" s="570"/>
      <c r="Q103" s="150"/>
      <c r="R103" s="571"/>
      <c r="S103" s="116">
        <f t="shared" si="6"/>
        <v>0.1495</v>
      </c>
      <c r="T103" s="151"/>
      <c r="U103" s="572">
        <f t="shared" si="7"/>
        <v>0.65895</v>
      </c>
      <c r="V103" s="598"/>
      <c r="W103" s="574">
        <f t="shared" si="8"/>
        <v>0.97535</v>
      </c>
      <c r="X103" s="636"/>
      <c r="Y103" s="574">
        <f t="shared" si="9"/>
        <v>0.41448</v>
      </c>
      <c r="Z103" s="308"/>
      <c r="AA103" s="308"/>
      <c r="AB103" s="575" t="str">
        <f t="shared" si="10"/>
        <v/>
      </c>
      <c r="AC103" s="576">
        <f t="shared" si="11"/>
        <v>0.4586145155</v>
      </c>
      <c r="AD103" s="577">
        <v>0.0</v>
      </c>
      <c r="AE103" s="572">
        <v>0.001007243074</v>
      </c>
      <c r="AF103" s="578">
        <v>6.71E-5</v>
      </c>
      <c r="AG103" s="132">
        <v>0.01030417809</v>
      </c>
      <c r="AH103" s="132">
        <v>0.033163624</v>
      </c>
      <c r="AI103" s="579">
        <v>0.002900040276</v>
      </c>
      <c r="AJ103" s="579">
        <v>0.00357177591</v>
      </c>
      <c r="AK103" s="580">
        <v>0.01914092155</v>
      </c>
      <c r="AL103" s="580">
        <v>0.02235987384</v>
      </c>
      <c r="AM103" s="581">
        <v>0.0</v>
      </c>
      <c r="AN103" s="571" t="str">
        <f>IFERROR(
  AVERAGEIFS(
    'New LF Efficacy'!$J:$J,
    'New LF Efficacy'!$D:$D, $A103,
    'New LF Efficacy'!$F:$F,"DEC", 
    'New LF Efficacy'!$W:$W,"&lt;2016",
    'New LF Efficacy'!$AA:$AA,""),
  ""
)</f>
        <v/>
      </c>
      <c r="AO103" s="582">
        <f t="shared" si="12"/>
        <v>0.3573520833</v>
      </c>
      <c r="AP103" s="571" t="str">
        <f>IFERROR(
AVERAGEIFS(
'New LF Efficacy'!$J:$J,
'New LF Efficacy'!$D:$D,$A103,
'New LF Efficacy'!$F:$F,"Albendazole &amp; DEC",
'New LF Efficacy'!$W:$W,"&lt;2016",
'New LF Efficacy'!$AA:$AA,""),
"")</f>
        <v/>
      </c>
      <c r="AQ103" s="582">
        <f t="shared" si="13"/>
        <v>0.7935</v>
      </c>
      <c r="AR103" s="571" t="str">
        <f>IFERROR(
AVERAGEIFS(
'New LF Efficacy'!$J:$J,
'New LF Efficacy'!$D:$D,$A103,
'New LF Efficacy'!$F:$F,"Albendazole &amp; Ivermectin", 
'New LF Efficacy'!$W:$W,"&lt;2016",
'New LF Efficacy'!$AA:$AA,""),"")</f>
        <v/>
      </c>
      <c r="AS103" s="582">
        <f t="shared" si="14"/>
        <v>0.37153125</v>
      </c>
      <c r="AT103" s="583" t="str">
        <f>IFERROR(AVERAGEIFS(
'Schist Efficacy'!$O:$O, 
'Schist Efficacy'!$C:$C,$A103, 
'Schist Efficacy'!$D:$D, "Praziquantel",
'Schist Efficacy'!$J:$J,"&lt;2016",
'Schist Efficacy'!$U:$U,""),
"")</f>
        <v/>
      </c>
      <c r="AU103" s="572">
        <f t="shared" si="15"/>
        <v>0.7763141026</v>
      </c>
      <c r="AV103" s="131" t="str">
        <f>IFERROR(AVERAGEIFS(
'STH Efficacy'!$AX:$AX, 
'STH Efficacy'!$AL:$AL, $A103, 
'STH Efficacy'!$AM:$AM, "Albendazole",
'STH Efficacy'!$AS:$AS,"&lt;2016",
'STH Efficacy'!$BP:$BP,""),
"")</f>
        <v/>
      </c>
      <c r="AW103" s="132">
        <f t="shared" si="16"/>
        <v>0.4143846154</v>
      </c>
      <c r="AX103" s="131" t="str">
        <f>IFERROR(AVERAGEIFS(
'STH Efficacy'!$AX:$AX, 
'STH Efficacy'!$AL:$AL, $A103, 
'STH Efficacy'!$AM:$AM, "Mebendazole",
'STH Efficacy'!$AS:$AS,"&lt;2016",
'STH Efficacy'!$BP:$BP,""),
"")</f>
        <v/>
      </c>
      <c r="AY103" s="132">
        <f t="shared" si="17"/>
        <v>0.4691770833</v>
      </c>
      <c r="AZ103" s="131" t="str">
        <f>IFERROR(AVERAGEIFS(
'STH Efficacy'!$AX:$AX, 
'STH Efficacy'!$AL:$AL, $A103, 
'STH Efficacy'!$AM:$AM, "Albendazole &amp; Ivermectin",
'STH Efficacy'!$AS:$AS,"&lt;2016",
'STH Efficacy'!$BP:$BP,""),
"")</f>
        <v/>
      </c>
      <c r="BA103" s="303">
        <f t="shared" si="18"/>
        <v>0.597625</v>
      </c>
      <c r="BB103" s="584" t="str">
        <f>IFERROR(AVERAGEIFS(
'STH Efficacy'!$N:$N, 
'STH Efficacy'!$B:$B, $A103, 
'STH Efficacy'!$C:$C, "Albendazole",
'STH Efficacy'!$I:$I,"&lt;2016",
'STH Efficacy'!$AH:$AH,""),
"")</f>
        <v/>
      </c>
      <c r="BC103" s="579">
        <f t="shared" si="19"/>
        <v>0.7613712121</v>
      </c>
      <c r="BD103" s="584" t="str">
        <f>IFERROR(AVERAGEIFS(
'STH Efficacy'!$N:$N, 
'STH Efficacy'!$B:$B, $A103, 
'STH Efficacy'!$C:$C, "Mebendazole",
'STH Efficacy'!$I:$I,"&lt;2016",
'STH Efficacy'!$AH:$AH,""),
"")</f>
        <v/>
      </c>
      <c r="BE103" s="579">
        <f t="shared" si="20"/>
        <v>0.4362466667</v>
      </c>
      <c r="BF103" s="585" t="str">
        <f>IFERROR(AVERAGEIFS(
'STH Efficacy'!$CD:$CD, 
'STH Efficacy'!$BS:$BS, $A103, 
'STH Efficacy'!$BT:$BT, "Albendazole",
'STH Efficacy'!$BZ:$BZ,"&lt;2016",
'STH Efficacy'!$CU:$CU,""),
"")</f>
        <v/>
      </c>
      <c r="BG103" s="580">
        <f t="shared" si="21"/>
        <v>0.955</v>
      </c>
      <c r="BH103" s="585" t="str">
        <f>IFERROR(AVERAGEIFS(
'STH Efficacy'!$CD:$CD, 
'STH Efficacy'!$BS:$BS, $A103, 
'STH Efficacy'!$BT:$BT, "Mebendazole",
'STH Efficacy'!$BZ:$BZ,"&lt;2016",
'STH Efficacy'!$CU:$CU,""),
"")</f>
        <v/>
      </c>
      <c r="BI103" s="580">
        <f t="shared" si="22"/>
        <v>1</v>
      </c>
      <c r="BJ103" s="585" t="str">
        <f>IFERROR(AVERAGEIFS(
'STH Efficacy'!$CD:$CD, 
'STH Efficacy'!$BS:$BS, $A103, 
'STH Efficacy'!$BT:$BT, "Albendazole &amp; Ivermectin",
'STH Efficacy'!$BZ:$BZ,"&lt;2016",
'STH Efficacy'!$CU:$CU,""),
"")</f>
        <v/>
      </c>
      <c r="BK103" s="580">
        <f t="shared" si="23"/>
        <v>0.848</v>
      </c>
      <c r="BL103" s="575" t="str">
        <f>IFERROR(
  AVERAGEIFS(
    'NEW Onchocerciasis Efficacy'!$AO:$AO,
    'NEW Onchocerciasis Efficacy'!$C:$C,$A103,
    'NEW Onchocerciasis Efficacy'!$D:$D,"Ivermectin",
    'NEW Onchocerciasis Efficacy'!$AR:$AR,"&lt;2016",
    'NEW Onchocerciasis Efficacy'!$BG:$BG,"")
,"")</f>
        <v/>
      </c>
      <c r="BM103" s="586">
        <f t="shared" si="24"/>
        <v>0.7808368939</v>
      </c>
      <c r="BN103" s="587">
        <v>0.0</v>
      </c>
      <c r="BO103" s="588">
        <v>0.0</v>
      </c>
      <c r="BP103" s="589">
        <v>0.0</v>
      </c>
      <c r="BQ103" s="590">
        <f t="shared" si="25"/>
        <v>0</v>
      </c>
      <c r="BR103" s="560" t="str">
        <f t="shared" si="26"/>
        <v>0000</v>
      </c>
      <c r="BS103" s="560" t="str">
        <f t="shared" si="27"/>
        <v>no action required</v>
      </c>
      <c r="BT103" s="361" t="str">
        <f t="shared" si="28"/>
        <v/>
      </c>
      <c r="BU103" s="591" t="str">
        <f t="shared" si="29"/>
        <v/>
      </c>
      <c r="BV103" s="560" t="str">
        <f t="shared" si="30"/>
        <v>none</v>
      </c>
      <c r="BW103" s="150" t="str">
        <f t="shared" si="31"/>
        <v/>
      </c>
      <c r="BX103" s="150" t="str">
        <f t="shared" si="32"/>
        <v/>
      </c>
      <c r="BY103" s="151" t="str">
        <f t="shared" si="33"/>
        <v/>
      </c>
      <c r="BZ103" s="152" t="str">
        <f t="shared" si="34"/>
        <v/>
      </c>
      <c r="CA103" s="152" t="str">
        <f t="shared" si="35"/>
        <v/>
      </c>
      <c r="CB103" s="152" t="str">
        <f t="shared" si="36"/>
        <v/>
      </c>
      <c r="CC103" s="153" t="str">
        <f t="shared" si="37"/>
        <v/>
      </c>
      <c r="CD103" s="153" t="str">
        <f t="shared" si="38"/>
        <v/>
      </c>
      <c r="CE103" s="154" t="str">
        <f t="shared" si="39"/>
        <v/>
      </c>
      <c r="CF103" s="154" t="str">
        <f t="shared" si="40"/>
        <v/>
      </c>
      <c r="CG103" s="154" t="str">
        <f t="shared" si="41"/>
        <v/>
      </c>
      <c r="CH103" s="308" t="str">
        <f t="shared" si="42"/>
        <v/>
      </c>
    </row>
    <row r="104">
      <c r="A104" s="599" t="s">
        <v>193</v>
      </c>
      <c r="B104" s="560" t="s">
        <v>90</v>
      </c>
      <c r="C104" s="561">
        <v>1.7544126E7</v>
      </c>
      <c r="D104" s="562">
        <v>0.0</v>
      </c>
      <c r="E104" s="563">
        <v>0.0</v>
      </c>
      <c r="F104" s="564">
        <v>0.0</v>
      </c>
      <c r="G104" s="564">
        <v>0.0</v>
      </c>
      <c r="H104" s="564">
        <v>1.16E-6</v>
      </c>
      <c r="I104" s="565">
        <v>4.09895355</v>
      </c>
      <c r="J104" s="566">
        <v>28.2611357950059</v>
      </c>
      <c r="K104" s="566">
        <v>164.172328019709</v>
      </c>
      <c r="L104" s="567">
        <v>21.66685441</v>
      </c>
      <c r="M104" s="568">
        <v>40.8362445718123</v>
      </c>
      <c r="N104" s="568">
        <v>127.636510306527</v>
      </c>
      <c r="O104" s="569">
        <v>0.0</v>
      </c>
      <c r="P104" s="570"/>
      <c r="Q104" s="150"/>
      <c r="R104" s="571"/>
      <c r="S104" s="116">
        <f t="shared" si="6"/>
        <v>0.6648642857</v>
      </c>
      <c r="T104" s="151"/>
      <c r="U104" s="572">
        <f t="shared" si="7"/>
        <v>0.53016</v>
      </c>
      <c r="V104" s="598"/>
      <c r="W104" s="574" t="b">
        <f t="shared" si="8"/>
        <v>0</v>
      </c>
      <c r="X104" s="598"/>
      <c r="Y104" s="574">
        <f t="shared" si="9"/>
        <v>0.631675</v>
      </c>
      <c r="Z104" s="308"/>
      <c r="AA104" s="308"/>
      <c r="AB104" s="575" t="str">
        <f t="shared" si="10"/>
        <v/>
      </c>
      <c r="AC104" s="576">
        <f t="shared" si="11"/>
        <v>0.7192241206</v>
      </c>
      <c r="AD104" s="577">
        <v>0.0</v>
      </c>
      <c r="AE104" s="572">
        <v>0.0</v>
      </c>
      <c r="AF104" s="578">
        <v>0.0</v>
      </c>
      <c r="AG104" s="132">
        <v>0.01334431887</v>
      </c>
      <c r="AH104" s="132">
        <v>0.041336836</v>
      </c>
      <c r="AI104" s="579">
        <v>0.008192799374</v>
      </c>
      <c r="AJ104" s="579">
        <v>0.009826024649</v>
      </c>
      <c r="AK104" s="580">
        <v>0.01073940776</v>
      </c>
      <c r="AL104" s="580">
        <v>0.01229077511</v>
      </c>
      <c r="AM104" s="581">
        <v>0.0</v>
      </c>
      <c r="AN104" s="571" t="str">
        <f>IFERROR(
  AVERAGEIFS(
    'New LF Efficacy'!$J:$J,
    'New LF Efficacy'!$D:$D, $A104,
    'New LF Efficacy'!$F:$F,"DEC", 
    'New LF Efficacy'!$W:$W,"&lt;2016",
    'New LF Efficacy'!$AA:$AA,""),
  ""
)</f>
        <v/>
      </c>
      <c r="AO104" s="582">
        <f t="shared" si="12"/>
        <v>0.3573520833</v>
      </c>
      <c r="AP104" s="571" t="str">
        <f>IFERROR(
AVERAGEIFS(
'New LF Efficacy'!$J:$J,
'New LF Efficacy'!$D:$D,$A104,
'New LF Efficacy'!$F:$F,"Albendazole &amp; DEC",
'New LF Efficacy'!$W:$W,"&lt;2016",
'New LF Efficacy'!$AA:$AA,""),
"")</f>
        <v/>
      </c>
      <c r="AQ104" s="582">
        <f t="shared" si="13"/>
        <v>0.5143541667</v>
      </c>
      <c r="AR104" s="571" t="str">
        <f>IFERROR(
AVERAGEIFS(
'New LF Efficacy'!$J:$J,
'New LF Efficacy'!$D:$D,$A104,
'New LF Efficacy'!$F:$F,"Albendazole &amp; Ivermectin", 
'New LF Efficacy'!$W:$W,"&lt;2016",
'New LF Efficacy'!$AA:$AA,""),"")</f>
        <v/>
      </c>
      <c r="AS104" s="582">
        <f t="shared" si="14"/>
        <v>0.37153125</v>
      </c>
      <c r="AT104" s="583" t="str">
        <f>IFERROR(AVERAGEIFS(
'Schist Efficacy'!$O:$O, 
'Schist Efficacy'!$C:$C,$A104, 
'Schist Efficacy'!$D:$D, "Praziquantel",
'Schist Efficacy'!$J:$J,"&lt;2016",
'Schist Efficacy'!$U:$U,""),
"")</f>
        <v/>
      </c>
      <c r="AU104" s="572">
        <f t="shared" si="15"/>
        <v>0.655</v>
      </c>
      <c r="AV104" s="131" t="str">
        <f>IFERROR(AVERAGEIFS(
'STH Efficacy'!$AX:$AX, 
'STH Efficacy'!$AL:$AL, $A104, 
'STH Efficacy'!$AM:$AM, "Albendazole",
'STH Efficacy'!$AS:$AS,"&lt;2016",
'STH Efficacy'!$BP:$BP,""),
"")</f>
        <v/>
      </c>
      <c r="AW104" s="132">
        <f t="shared" si="16"/>
        <v>0.4143846154</v>
      </c>
      <c r="AX104" s="131" t="str">
        <f>IFERROR(AVERAGEIFS(
'STH Efficacy'!$AX:$AX, 
'STH Efficacy'!$AL:$AL, $A104, 
'STH Efficacy'!$AM:$AM, "Mebendazole",
'STH Efficacy'!$AS:$AS,"&lt;2016",
'STH Efficacy'!$BP:$BP,""),
"")</f>
        <v/>
      </c>
      <c r="AY104" s="132">
        <f t="shared" si="17"/>
        <v>0.4691770833</v>
      </c>
      <c r="AZ104" s="131" t="str">
        <f>IFERROR(AVERAGEIFS(
'STH Efficacy'!$AX:$AX, 
'STH Efficacy'!$AL:$AL, $A104, 
'STH Efficacy'!$AM:$AM, "Albendazole &amp; Ivermectin",
'STH Efficacy'!$AS:$AS,"&lt;2016",
'STH Efficacy'!$BP:$BP,""),
"")</f>
        <v/>
      </c>
      <c r="BA104" s="303">
        <f t="shared" si="18"/>
        <v>0.597625</v>
      </c>
      <c r="BB104" s="584" t="str">
        <f>IFERROR(AVERAGEIFS(
'STH Efficacy'!$N:$N, 
'STH Efficacy'!$B:$B, $A104, 
'STH Efficacy'!$C:$C, "Albendazole",
'STH Efficacy'!$I:$I,"&lt;2016",
'STH Efficacy'!$AH:$AH,""),
"")</f>
        <v/>
      </c>
      <c r="BC104" s="579">
        <f t="shared" si="19"/>
        <v>0.7613712121</v>
      </c>
      <c r="BD104" s="584" t="str">
        <f>IFERROR(AVERAGEIFS(
'STH Efficacy'!$N:$N, 
'STH Efficacy'!$B:$B, $A104, 
'STH Efficacy'!$C:$C, "Mebendazole",
'STH Efficacy'!$I:$I,"&lt;2016",
'STH Efficacy'!$AH:$AH,""),
"")</f>
        <v/>
      </c>
      <c r="BE104" s="579">
        <f t="shared" si="20"/>
        <v>0.4362466667</v>
      </c>
      <c r="BF104" s="585" t="str">
        <f>IFERROR(AVERAGEIFS(
'STH Efficacy'!$CD:$CD, 
'STH Efficacy'!$BS:$BS, $A104, 
'STH Efficacy'!$BT:$BT, "Albendazole",
'STH Efficacy'!$BZ:$BZ,"&lt;2016",
'STH Efficacy'!$CU:$CU,""),
"")</f>
        <v/>
      </c>
      <c r="BG104" s="580">
        <f t="shared" si="21"/>
        <v>0.9216027778</v>
      </c>
      <c r="BH104" s="585" t="str">
        <f>IFERROR(AVERAGEIFS(
'STH Efficacy'!$CD:$CD, 
'STH Efficacy'!$BS:$BS, $A104, 
'STH Efficacy'!$BT:$BT, "Mebendazole",
'STH Efficacy'!$BZ:$BZ,"&lt;2016",
'STH Efficacy'!$CU:$CU,""),
"")</f>
        <v/>
      </c>
      <c r="BI104" s="580">
        <f t="shared" si="22"/>
        <v>0.8866041667</v>
      </c>
      <c r="BJ104" s="585" t="str">
        <f>IFERROR(AVERAGEIFS(
'STH Efficacy'!$CD:$CD, 
'STH Efficacy'!$BS:$BS, $A104, 
'STH Efficacy'!$BT:$BT, "Albendazole &amp; Ivermectin",
'STH Efficacy'!$BZ:$BZ,"&lt;2016",
'STH Efficacy'!$CU:$CU,""),
"")</f>
        <v/>
      </c>
      <c r="BK104" s="580">
        <f t="shared" si="23"/>
        <v>0.848</v>
      </c>
      <c r="BL104" s="575" t="str">
        <f>IFERROR(
  AVERAGEIFS(
    'NEW Onchocerciasis Efficacy'!$AO:$AO,
    'NEW Onchocerciasis Efficacy'!$C:$C,$A104,
    'NEW Onchocerciasis Efficacy'!$D:$D,"Ivermectin",
    'NEW Onchocerciasis Efficacy'!$AR:$AR,"&lt;2016",
    'NEW Onchocerciasis Efficacy'!$BG:$BG,"")
,"")</f>
        <v/>
      </c>
      <c r="BM104" s="586">
        <f t="shared" si="24"/>
        <v>0.7808368939</v>
      </c>
      <c r="BN104" s="587">
        <v>0.0</v>
      </c>
      <c r="BO104" s="588">
        <v>1.0</v>
      </c>
      <c r="BP104" s="589">
        <v>1.0</v>
      </c>
      <c r="BQ104" s="590">
        <f t="shared" si="25"/>
        <v>0</v>
      </c>
      <c r="BR104" s="560" t="str">
        <f t="shared" si="26"/>
        <v>0110</v>
      </c>
      <c r="BS104" s="560" t="str">
        <f t="shared" si="27"/>
        <v>MDA3+T2</v>
      </c>
      <c r="BT104" s="606" t="str">
        <f t="shared" si="28"/>
        <v>IVM</v>
      </c>
      <c r="BU104" s="560" t="str">
        <f t="shared" si="29"/>
        <v>PZQ</v>
      </c>
      <c r="BV104" s="560" t="str">
        <f t="shared" si="30"/>
        <v>onch+schist</v>
      </c>
      <c r="BW104" s="150" t="str">
        <f t="shared" si="31"/>
        <v/>
      </c>
      <c r="BX104" s="150" t="str">
        <f t="shared" si="32"/>
        <v/>
      </c>
      <c r="BY104" s="608">
        <f t="shared" si="33"/>
        <v>0</v>
      </c>
      <c r="BZ104" s="152" t="str">
        <f t="shared" si="34"/>
        <v/>
      </c>
      <c r="CA104" s="152" t="str">
        <f t="shared" si="35"/>
        <v/>
      </c>
      <c r="CB104" s="152" t="str">
        <f t="shared" si="36"/>
        <v/>
      </c>
      <c r="CC104" s="153" t="str">
        <f t="shared" si="37"/>
        <v/>
      </c>
      <c r="CD104" s="153" t="str">
        <f t="shared" si="38"/>
        <v/>
      </c>
      <c r="CE104" s="154" t="str">
        <f t="shared" si="39"/>
        <v/>
      </c>
      <c r="CF104" s="154" t="str">
        <f t="shared" si="40"/>
        <v/>
      </c>
      <c r="CG104" s="154" t="str">
        <f t="shared" si="41"/>
        <v/>
      </c>
      <c r="CH104" s="637">
        <f t="shared" si="42"/>
        <v>0</v>
      </c>
    </row>
    <row r="105">
      <c r="A105" s="559" t="s">
        <v>194</v>
      </c>
      <c r="B105" s="560" t="s">
        <v>92</v>
      </c>
      <c r="C105" s="561">
        <v>4.7236259E7</v>
      </c>
      <c r="D105" s="562">
        <v>618.2197363</v>
      </c>
      <c r="E105" s="563">
        <v>58707.3627506432</v>
      </c>
      <c r="F105" s="564">
        <v>35.40351885</v>
      </c>
      <c r="G105" s="564">
        <v>250.5208229</v>
      </c>
      <c r="H105" s="564">
        <v>1201.219453</v>
      </c>
      <c r="I105" s="565">
        <v>642.2299513</v>
      </c>
      <c r="J105" s="566">
        <v>2289.38261462113</v>
      </c>
      <c r="K105" s="566">
        <v>10316.7168170288</v>
      </c>
      <c r="L105" s="567">
        <v>1202.339921</v>
      </c>
      <c r="M105" s="568">
        <v>893.57830012715</v>
      </c>
      <c r="N105" s="568">
        <v>3226.957291012</v>
      </c>
      <c r="O105" s="569">
        <v>0.0</v>
      </c>
      <c r="P105" s="601">
        <v>81119.3027117</v>
      </c>
      <c r="Q105" s="618">
        <v>3017897.0</v>
      </c>
      <c r="R105" s="603">
        <v>0.7804</v>
      </c>
      <c r="S105" s="116">
        <f t="shared" si="6"/>
        <v>0.7804</v>
      </c>
      <c r="T105" s="572">
        <v>0.2355</v>
      </c>
      <c r="U105" s="572">
        <f t="shared" si="7"/>
        <v>0.2355</v>
      </c>
      <c r="V105" s="573">
        <v>0.5405</v>
      </c>
      <c r="W105" s="574">
        <f t="shared" si="8"/>
        <v>0.5405</v>
      </c>
      <c r="X105" s="573">
        <v>0.7122</v>
      </c>
      <c r="Y105" s="574">
        <f t="shared" si="9"/>
        <v>0.7122</v>
      </c>
      <c r="Z105" s="625" t="s">
        <v>395</v>
      </c>
      <c r="AA105" s="625" t="s">
        <v>395</v>
      </c>
      <c r="AB105" s="575" t="str">
        <f t="shared" si="10"/>
        <v/>
      </c>
      <c r="AC105" s="576">
        <f t="shared" si="11"/>
        <v>0.6507101914</v>
      </c>
      <c r="AD105" s="577">
        <v>0.001737843966</v>
      </c>
      <c r="AE105" s="572">
        <v>0.1488949098</v>
      </c>
      <c r="AF105" s="578">
        <v>0.02941906801</v>
      </c>
      <c r="AG105" s="132">
        <v>0.01664979057</v>
      </c>
      <c r="AH105" s="132">
        <v>0.055718529</v>
      </c>
      <c r="AI105" s="579">
        <v>0.03899456542</v>
      </c>
      <c r="AJ105" s="579">
        <v>0.04986072624</v>
      </c>
      <c r="AK105" s="580">
        <v>0.0297839116</v>
      </c>
      <c r="AL105" s="580">
        <v>0.03656469743</v>
      </c>
      <c r="AM105" s="581">
        <v>0.0</v>
      </c>
      <c r="AN105" s="571">
        <f>IFERROR(
  AVERAGEIFS(
    'New LF Efficacy'!$J:$J,
    'New LF Efficacy'!$D:$D, $A105,
    'New LF Efficacy'!$F:$F,"DEC", 
    'New LF Efficacy'!$W:$W,"&lt;2016",
    'New LF Efficacy'!$AA:$AA,""),
  ""
)</f>
        <v>0.5185</v>
      </c>
      <c r="AO105" s="582">
        <f t="shared" si="12"/>
        <v>0.5185</v>
      </c>
      <c r="AP105" s="571">
        <f>IFERROR(
AVERAGEIFS(
'New LF Efficacy'!$J:$J,
'New LF Efficacy'!$D:$D,$A105,
'New LF Efficacy'!$F:$F,"Albendazole &amp; DEC",
'New LF Efficacy'!$W:$W,"&lt;2016",
'New LF Efficacy'!$AA:$AA,""),
"")</f>
        <v>0.537</v>
      </c>
      <c r="AQ105" s="582">
        <f t="shared" si="13"/>
        <v>0.537</v>
      </c>
      <c r="AR105" s="571" t="str">
        <f>IFERROR(
AVERAGEIFS(
'New LF Efficacy'!$J:$J,
'New LF Efficacy'!$D:$D,$A105,
'New LF Efficacy'!$F:$F,"Albendazole &amp; Ivermectin", 
'New LF Efficacy'!$W:$W,"&lt;2016",
'New LF Efficacy'!$AA:$AA,""),"")</f>
        <v/>
      </c>
      <c r="AS105" s="582">
        <f t="shared" si="14"/>
        <v>0.2943125</v>
      </c>
      <c r="AT105" s="583">
        <f>IFERROR(AVERAGEIFS(
'Schist Efficacy'!$O:$O, 
'Schist Efficacy'!$C:$C,$A105, 
'Schist Efficacy'!$D:$D, "Praziquantel",
'Schist Efficacy'!$J:$J,"&lt;2016",
'Schist Efficacy'!$U:$U,""),
"")</f>
        <v>0.7191428571</v>
      </c>
      <c r="AU105" s="572">
        <f t="shared" si="15"/>
        <v>0.7191428571</v>
      </c>
      <c r="AV105" s="131" t="str">
        <f>IFERROR(AVERAGEIFS(
'STH Efficacy'!$AX:$AX, 
'STH Efficacy'!$AL:$AL, $A105, 
'STH Efficacy'!$AM:$AM, "Albendazole",
'STH Efficacy'!$AS:$AS,"&lt;2016",
'STH Efficacy'!$BP:$BP,""),
"")</f>
        <v/>
      </c>
      <c r="AW105" s="132">
        <f t="shared" si="16"/>
        <v>0.3816333333</v>
      </c>
      <c r="AX105" s="131" t="str">
        <f>IFERROR(AVERAGEIFS(
'STH Efficacy'!$AX:$AX, 
'STH Efficacy'!$AL:$AL, $A105, 
'STH Efficacy'!$AM:$AM, "Mebendazole",
'STH Efficacy'!$AS:$AS,"&lt;2016",
'STH Efficacy'!$BP:$BP,""),
"")</f>
        <v/>
      </c>
      <c r="AY105" s="132">
        <f t="shared" si="17"/>
        <v>0.4859375</v>
      </c>
      <c r="AZ105" s="131" t="str">
        <f>IFERROR(AVERAGEIFS(
'STH Efficacy'!$AX:$AX, 
'STH Efficacy'!$AL:$AL, $A105, 
'STH Efficacy'!$AM:$AM, "Albendazole &amp; Ivermectin",
'STH Efficacy'!$AS:$AS,"&lt;2016",
'STH Efficacy'!$BP:$BP,""),
"")</f>
        <v/>
      </c>
      <c r="BA105" s="303">
        <f t="shared" si="18"/>
        <v>0.47175</v>
      </c>
      <c r="BB105" s="584" t="str">
        <f>IFERROR(AVERAGEIFS(
'STH Efficacy'!$N:$N, 
'STH Efficacy'!$B:$B, $A105, 
'STH Efficacy'!$C:$C, "Albendazole",
'STH Efficacy'!$I:$I,"&lt;2016",
'STH Efficacy'!$AH:$AH,""),
"")</f>
        <v/>
      </c>
      <c r="BC105" s="579">
        <f t="shared" si="19"/>
        <v>0.8699166667</v>
      </c>
      <c r="BD105" s="584" t="str">
        <f>IFERROR(AVERAGEIFS(
'STH Efficacy'!$N:$N, 
'STH Efficacy'!$B:$B, $A105, 
'STH Efficacy'!$C:$C, "Mebendazole",
'STH Efficacy'!$I:$I,"&lt;2016",
'STH Efficacy'!$AH:$AH,""),
"")</f>
        <v/>
      </c>
      <c r="BE105" s="579">
        <f t="shared" si="20"/>
        <v>0.7092416667</v>
      </c>
      <c r="BF105" s="585">
        <f>IFERROR(AVERAGEIFS(
'STH Efficacy'!$CD:$CD, 
'STH Efficacy'!$BS:$BS, $A105, 
'STH Efficacy'!$BT:$BT, "Albendazole",
'STH Efficacy'!$BZ:$BZ,"&lt;2016",
'STH Efficacy'!$CU:$CU,""),
"")</f>
        <v>0.758</v>
      </c>
      <c r="BG105" s="580">
        <f t="shared" si="21"/>
        <v>0.758</v>
      </c>
      <c r="BH105" s="585">
        <f>IFERROR(AVERAGEIFS(
'STH Efficacy'!$CD:$CD, 
'STH Efficacy'!$BS:$BS, $A105, 
'STH Efficacy'!$BT:$BT, "Mebendazole",
'STH Efficacy'!$BZ:$BZ,"&lt;2016",
'STH Efficacy'!$CU:$CU,""),
"")</f>
        <v>0.855</v>
      </c>
      <c r="BI105" s="580">
        <f t="shared" si="22"/>
        <v>0.855</v>
      </c>
      <c r="BJ105" s="585" t="str">
        <f>IFERROR(AVERAGEIFS(
'STH Efficacy'!$CD:$CD, 
'STH Efficacy'!$BS:$BS, $A105, 
'STH Efficacy'!$BT:$BT, "Albendazole &amp; Ivermectin",
'STH Efficacy'!$BZ:$BZ,"&lt;2016",
'STH Efficacy'!$CU:$CU,""),
"")</f>
        <v/>
      </c>
      <c r="BK105" s="580">
        <f t="shared" si="23"/>
        <v>0.696</v>
      </c>
      <c r="BL105" s="575" t="str">
        <f>IFERROR(
  AVERAGEIFS(
    'NEW Onchocerciasis Efficacy'!$AO:$AO,
    'NEW Onchocerciasis Efficacy'!$C:$C,$A105,
    'NEW Onchocerciasis Efficacy'!$D:$D,"Ivermectin",
    'NEW Onchocerciasis Efficacy'!$AR:$AR,"&lt;2016",
    'NEW Onchocerciasis Efficacy'!$BG:$BG,"")
,"")</f>
        <v/>
      </c>
      <c r="BM105" s="586">
        <f t="shared" si="24"/>
        <v>0.8390421645</v>
      </c>
      <c r="BN105" s="587">
        <v>1.0</v>
      </c>
      <c r="BO105" s="588">
        <v>0.0</v>
      </c>
      <c r="BP105" s="589">
        <v>1.0</v>
      </c>
      <c r="BQ105" s="590">
        <f t="shared" si="25"/>
        <v>0</v>
      </c>
      <c r="BR105" s="560" t="str">
        <f t="shared" si="26"/>
        <v>1010</v>
      </c>
      <c r="BS105" s="560" t="str">
        <f t="shared" si="27"/>
        <v>MDA1/2+T2</v>
      </c>
      <c r="BT105" s="606" t="str">
        <f t="shared" si="28"/>
        <v>IVM+ALB or DEC +ALB</v>
      </c>
      <c r="BU105" s="560" t="str">
        <f t="shared" si="29"/>
        <v>PZQ</v>
      </c>
      <c r="BV105" s="560" t="str">
        <f t="shared" si="30"/>
        <v>lf+schist </v>
      </c>
      <c r="BW105" s="150" t="str">
        <f t="shared" si="31"/>
        <v/>
      </c>
      <c r="BX105" s="607">
        <f t="shared" si="32"/>
        <v>184.3310479</v>
      </c>
      <c r="BY105" s="608">
        <f t="shared" si="33"/>
        <v>11969.74345</v>
      </c>
      <c r="BZ105" s="152" t="str">
        <f t="shared" si="34"/>
        <v/>
      </c>
      <c r="CA105" s="152" t="str">
        <f t="shared" si="35"/>
        <v/>
      </c>
      <c r="CB105" s="152" t="str">
        <f t="shared" si="36"/>
        <v/>
      </c>
      <c r="CC105" s="153" t="str">
        <f t="shared" si="37"/>
        <v/>
      </c>
      <c r="CD105" s="153" t="str">
        <f t="shared" si="38"/>
        <v/>
      </c>
      <c r="CE105" s="154" t="str">
        <f t="shared" si="39"/>
        <v/>
      </c>
      <c r="CF105" s="154" t="str">
        <f t="shared" si="40"/>
        <v/>
      </c>
      <c r="CG105" s="154" t="str">
        <f t="shared" si="41"/>
        <v/>
      </c>
      <c r="CH105" s="308" t="str">
        <f t="shared" si="42"/>
        <v/>
      </c>
    </row>
    <row r="106">
      <c r="A106" s="599" t="s">
        <v>195</v>
      </c>
      <c r="B106" s="560" t="s">
        <v>94</v>
      </c>
      <c r="C106" s="561">
        <v>112407.0</v>
      </c>
      <c r="D106" s="562">
        <v>0.0</v>
      </c>
      <c r="E106" s="563">
        <v>0.0</v>
      </c>
      <c r="F106" s="564">
        <v>3.635429564</v>
      </c>
      <c r="G106" s="564">
        <v>40.46992536</v>
      </c>
      <c r="H106" s="564">
        <v>110.3672564</v>
      </c>
      <c r="I106" s="565">
        <v>0.380428925</v>
      </c>
      <c r="J106" s="566">
        <v>1.34436696523486</v>
      </c>
      <c r="K106" s="566">
        <v>5.60187631676895</v>
      </c>
      <c r="L106" s="567">
        <v>0.822294345</v>
      </c>
      <c r="M106" s="568">
        <v>0.315816756812533</v>
      </c>
      <c r="N106" s="568">
        <v>1.32414930438454</v>
      </c>
      <c r="O106" s="569">
        <v>0.0</v>
      </c>
      <c r="P106" s="632">
        <v>241.6512</v>
      </c>
      <c r="Q106" s="150" t="s">
        <v>395</v>
      </c>
      <c r="R106" s="150" t="s">
        <v>395</v>
      </c>
      <c r="S106" s="116" t="str">
        <f t="shared" si="6"/>
        <v> </v>
      </c>
      <c r="T106" s="151"/>
      <c r="U106" s="572">
        <f t="shared" si="7"/>
        <v>0.7834666667</v>
      </c>
      <c r="V106" s="613"/>
      <c r="W106" s="574">
        <f t="shared" si="8"/>
        <v>0.3593777778</v>
      </c>
      <c r="X106" s="613"/>
      <c r="Y106" s="574">
        <f t="shared" si="9"/>
        <v>0.5347375</v>
      </c>
      <c r="Z106" s="308"/>
      <c r="AA106" s="308"/>
      <c r="AB106" s="575" t="str">
        <f t="shared" si="10"/>
        <v/>
      </c>
      <c r="AC106" s="576">
        <f t="shared" si="11"/>
        <v>0.7192241206</v>
      </c>
      <c r="AD106" s="577">
        <v>0.01763722617</v>
      </c>
      <c r="AE106" s="572">
        <v>0.0</v>
      </c>
      <c r="AF106" s="578">
        <v>0.0</v>
      </c>
      <c r="AG106" s="132">
        <v>0.04685706837</v>
      </c>
      <c r="AH106" s="132">
        <v>0.153007225</v>
      </c>
      <c r="AI106" s="579">
        <v>0.01255647443</v>
      </c>
      <c r="AJ106" s="579">
        <v>0.01577865983</v>
      </c>
      <c r="AK106" s="580">
        <v>0.1770242781</v>
      </c>
      <c r="AL106" s="580">
        <v>0.2120996177</v>
      </c>
      <c r="AM106" s="581">
        <v>0.0</v>
      </c>
      <c r="AN106" s="571" t="str">
        <f>IFERROR(
  AVERAGEIFS(
    'New LF Efficacy'!$J:$J,
    'New LF Efficacy'!$D:$D, $A106,
    'New LF Efficacy'!$F:$F,"DEC", 
    'New LF Efficacy'!$W:$W,"&lt;2016",
    'New LF Efficacy'!$AA:$AA,""),
  ""
)</f>
        <v/>
      </c>
      <c r="AO106" s="582">
        <f t="shared" si="12"/>
        <v>0.38</v>
      </c>
      <c r="AP106" s="571" t="str">
        <f>IFERROR(
AVERAGEIFS(
'New LF Efficacy'!$J:$J,
'New LF Efficacy'!$D:$D,$A106,
'New LF Efficacy'!$F:$F,"Albendazole &amp; DEC",
'New LF Efficacy'!$W:$W,"&lt;2016",
'New LF Efficacy'!$AA:$AA,""),
"")</f>
        <v/>
      </c>
      <c r="AQ106" s="582">
        <f t="shared" si="13"/>
        <v>0.662</v>
      </c>
      <c r="AR106" s="571" t="str">
        <f>IFERROR(
AVERAGEIFS(
'New LF Efficacy'!$J:$J,
'New LF Efficacy'!$D:$D,$A106,
'New LF Efficacy'!$F:$F,"Albendazole &amp; Ivermectin", 
'New LF Efficacy'!$W:$W,"&lt;2016",
'New LF Efficacy'!$AA:$AA,""),"")</f>
        <v/>
      </c>
      <c r="AS106" s="582">
        <f t="shared" si="14"/>
        <v>0.37153125</v>
      </c>
      <c r="AT106" s="583" t="str">
        <f>IFERROR(AVERAGEIFS(
'Schist Efficacy'!$O:$O, 
'Schist Efficacy'!$C:$C,$A106, 
'Schist Efficacy'!$D:$D, "Praziquantel",
'Schist Efficacy'!$J:$J,"&lt;2016",
'Schist Efficacy'!$U:$U,""),
"")</f>
        <v/>
      </c>
      <c r="AU106" s="572">
        <f t="shared" si="15"/>
        <v>0.9475</v>
      </c>
      <c r="AV106" s="131" t="str">
        <f>IFERROR(AVERAGEIFS(
'STH Efficacy'!$AX:$AX, 
'STH Efficacy'!$AL:$AL, $A106, 
'STH Efficacy'!$AM:$AM, "Albendazole",
'STH Efficacy'!$AS:$AS,"&lt;2016",
'STH Efficacy'!$BP:$BP,""),
"")</f>
        <v/>
      </c>
      <c r="AW106" s="132">
        <f t="shared" si="16"/>
        <v>0.3571666667</v>
      </c>
      <c r="AX106" s="131" t="str">
        <f>IFERROR(AVERAGEIFS(
'STH Efficacy'!$AX:$AX, 
'STH Efficacy'!$AL:$AL, $A106, 
'STH Efficacy'!$AM:$AM, "Mebendazole",
'STH Efficacy'!$AS:$AS,"&lt;2016",
'STH Efficacy'!$BP:$BP,""),
"")</f>
        <v/>
      </c>
      <c r="AY106" s="132">
        <f t="shared" si="17"/>
        <v>0.4155</v>
      </c>
      <c r="AZ106" s="131" t="str">
        <f>IFERROR(AVERAGEIFS(
'STH Efficacy'!$AX:$AX, 
'STH Efficacy'!$AL:$AL, $A106, 
'STH Efficacy'!$AM:$AM, "Albendazole &amp; Ivermectin",
'STH Efficacy'!$AS:$AS,"&lt;2016",
'STH Efficacy'!$BP:$BP,""),
"")</f>
        <v/>
      </c>
      <c r="BA106" s="303">
        <f t="shared" si="18"/>
        <v>0.651</v>
      </c>
      <c r="BB106" s="584" t="str">
        <f>IFERROR(AVERAGEIFS(
'STH Efficacy'!$N:$N, 
'STH Efficacy'!$B:$B, $A106, 
'STH Efficacy'!$C:$C, "Albendazole",
'STH Efficacy'!$I:$I,"&lt;2016",
'STH Efficacy'!$AH:$AH,""),
"")</f>
        <v/>
      </c>
      <c r="BC106" s="579">
        <f t="shared" si="19"/>
        <v>0.5769166667</v>
      </c>
      <c r="BD106" s="584" t="str">
        <f>IFERROR(AVERAGEIFS(
'STH Efficacy'!$N:$N, 
'STH Efficacy'!$B:$B, $A106, 
'STH Efficacy'!$C:$C, "Mebendazole",
'STH Efficacy'!$I:$I,"&lt;2016",
'STH Efficacy'!$AH:$AH,""),
"")</f>
        <v/>
      </c>
      <c r="BE106" s="579">
        <f t="shared" si="20"/>
        <v>0.3145</v>
      </c>
      <c r="BF106" s="585" t="str">
        <f>IFERROR(AVERAGEIFS(
'STH Efficacy'!$CD:$CD, 
'STH Efficacy'!$BS:$BS, $A106, 
'STH Efficacy'!$BT:$BT, "Albendazole",
'STH Efficacy'!$BZ:$BZ,"&lt;2016",
'STH Efficacy'!$CU:$CU,""),
"")</f>
        <v/>
      </c>
      <c r="BG106" s="580">
        <f t="shared" si="21"/>
        <v>0.96925</v>
      </c>
      <c r="BH106" s="585" t="str">
        <f>IFERROR(AVERAGEIFS(
'STH Efficacy'!$CD:$CD, 
'STH Efficacy'!$BS:$BS, $A106, 
'STH Efficacy'!$BT:$BT, "Mebendazole",
'STH Efficacy'!$BZ:$BZ,"&lt;2016",
'STH Efficacy'!$CU:$CU,""),
"")</f>
        <v/>
      </c>
      <c r="BI106" s="580">
        <f t="shared" si="22"/>
        <v>0.9305</v>
      </c>
      <c r="BJ106" s="585" t="str">
        <f>IFERROR(AVERAGEIFS(
'STH Efficacy'!$CD:$CD, 
'STH Efficacy'!$BS:$BS, $A106, 
'STH Efficacy'!$BT:$BT, "Albendazole &amp; Ivermectin",
'STH Efficacy'!$BZ:$BZ,"&lt;2016",
'STH Efficacy'!$CU:$CU,""),
"")</f>
        <v/>
      </c>
      <c r="BK106" s="580">
        <f t="shared" si="23"/>
        <v>0.848</v>
      </c>
      <c r="BL106" s="575" t="str">
        <f>IFERROR(
  AVERAGEIFS(
    'NEW Onchocerciasis Efficacy'!$AO:$AO,
    'NEW Onchocerciasis Efficacy'!$C:$C,$A106,
    'NEW Onchocerciasis Efficacy'!$D:$D,"Ivermectin",
    'NEW Onchocerciasis Efficacy'!$AR:$AR,"&lt;2016",
    'NEW Onchocerciasis Efficacy'!$BG:$BG,"")
,"")</f>
        <v/>
      </c>
      <c r="BM106" s="586">
        <f t="shared" si="24"/>
        <v>0.7808368939</v>
      </c>
      <c r="BN106" s="587">
        <v>0.0</v>
      </c>
      <c r="BO106" s="588">
        <v>0.0</v>
      </c>
      <c r="BP106" s="589">
        <v>0.0</v>
      </c>
      <c r="BQ106" s="590">
        <f t="shared" si="25"/>
        <v>0</v>
      </c>
      <c r="BR106" s="560" t="str">
        <f t="shared" si="26"/>
        <v>0000</v>
      </c>
      <c r="BS106" s="560" t="str">
        <f t="shared" si="27"/>
        <v>no action required</v>
      </c>
      <c r="BT106" s="361" t="str">
        <f t="shared" si="28"/>
        <v/>
      </c>
      <c r="BU106" s="591" t="str">
        <f t="shared" si="29"/>
        <v/>
      </c>
      <c r="BV106" s="560" t="str">
        <f t="shared" si="30"/>
        <v>none</v>
      </c>
      <c r="BW106" s="150" t="str">
        <f t="shared" si="31"/>
        <v/>
      </c>
      <c r="BX106" s="150" t="str">
        <f t="shared" si="32"/>
        <v/>
      </c>
      <c r="BY106" s="151" t="str">
        <f t="shared" si="33"/>
        <v/>
      </c>
      <c r="BZ106" s="152" t="str">
        <f t="shared" si="34"/>
        <v/>
      </c>
      <c r="CA106" s="152" t="str">
        <f t="shared" si="35"/>
        <v/>
      </c>
      <c r="CB106" s="152" t="str">
        <f t="shared" si="36"/>
        <v/>
      </c>
      <c r="CC106" s="153" t="str">
        <f t="shared" si="37"/>
        <v/>
      </c>
      <c r="CD106" s="153" t="str">
        <f t="shared" si="38"/>
        <v/>
      </c>
      <c r="CE106" s="154" t="str">
        <f t="shared" si="39"/>
        <v/>
      </c>
      <c r="CF106" s="154" t="str">
        <f t="shared" si="40"/>
        <v/>
      </c>
      <c r="CG106" s="154" t="str">
        <f t="shared" si="41"/>
        <v/>
      </c>
      <c r="CH106" s="308" t="str">
        <f t="shared" si="42"/>
        <v/>
      </c>
    </row>
    <row r="107">
      <c r="A107" s="599" t="s">
        <v>196</v>
      </c>
      <c r="B107" s="560" t="s">
        <v>88</v>
      </c>
      <c r="C107" s="561">
        <v>3935794.0</v>
      </c>
      <c r="D107" s="562">
        <v>0.0</v>
      </c>
      <c r="E107" s="563">
        <v>0.0</v>
      </c>
      <c r="F107" s="564">
        <v>0.0</v>
      </c>
      <c r="G107" s="564">
        <v>0.0</v>
      </c>
      <c r="H107" s="564">
        <v>0.0</v>
      </c>
      <c r="I107" s="565">
        <v>0.0</v>
      </c>
      <c r="J107" s="566">
        <v>0.0</v>
      </c>
      <c r="K107" s="566">
        <v>0.0</v>
      </c>
      <c r="L107" s="567">
        <v>0.0</v>
      </c>
      <c r="M107" s="568">
        <v>0.0</v>
      </c>
      <c r="N107" s="568">
        <v>0.0</v>
      </c>
      <c r="O107" s="569">
        <v>0.0</v>
      </c>
      <c r="P107" s="570"/>
      <c r="Q107" s="150"/>
      <c r="R107" s="571"/>
      <c r="S107" s="116">
        <f t="shared" si="6"/>
        <v>0.1495</v>
      </c>
      <c r="T107" s="151"/>
      <c r="U107" s="572">
        <f t="shared" si="7"/>
        <v>0.65895</v>
      </c>
      <c r="V107" s="598"/>
      <c r="W107" s="574">
        <f t="shared" si="8"/>
        <v>0.97535</v>
      </c>
      <c r="X107" s="598"/>
      <c r="Y107" s="574">
        <f t="shared" si="9"/>
        <v>0.41448</v>
      </c>
      <c r="Z107" s="308"/>
      <c r="AA107" s="308"/>
      <c r="AB107" s="575" t="str">
        <f t="shared" si="10"/>
        <v/>
      </c>
      <c r="AC107" s="576">
        <f t="shared" si="11"/>
        <v>0.4586145155</v>
      </c>
      <c r="AD107" s="577">
        <v>0.0</v>
      </c>
      <c r="AE107" s="572">
        <v>0.0</v>
      </c>
      <c r="AF107" s="578">
        <v>0.0</v>
      </c>
      <c r="AG107" s="132">
        <v>0.0</v>
      </c>
      <c r="AH107" s="132">
        <v>0.0</v>
      </c>
      <c r="AI107" s="579">
        <v>0.0</v>
      </c>
      <c r="AJ107" s="579">
        <v>0.0</v>
      </c>
      <c r="AK107" s="580">
        <v>0.0</v>
      </c>
      <c r="AL107" s="580">
        <v>0.0</v>
      </c>
      <c r="AM107" s="581">
        <v>0.0</v>
      </c>
      <c r="AN107" s="571" t="str">
        <f>IFERROR(
  AVERAGEIFS(
    'New LF Efficacy'!$J:$J,
    'New LF Efficacy'!$D:$D, $A107,
    'New LF Efficacy'!$F:$F,"DEC", 
    'New LF Efficacy'!$W:$W,"&lt;2016",
    'New LF Efficacy'!$AA:$AA,""),
  ""
)</f>
        <v/>
      </c>
      <c r="AO107" s="582">
        <f t="shared" si="12"/>
        <v>0.3573520833</v>
      </c>
      <c r="AP107" s="571" t="str">
        <f>IFERROR(
AVERAGEIFS(
'New LF Efficacy'!$J:$J,
'New LF Efficacy'!$D:$D,$A107,
'New LF Efficacy'!$F:$F,"Albendazole &amp; DEC",
'New LF Efficacy'!$W:$W,"&lt;2016",
'New LF Efficacy'!$AA:$AA,""),
"")</f>
        <v/>
      </c>
      <c r="AQ107" s="582">
        <f t="shared" si="13"/>
        <v>0.7935</v>
      </c>
      <c r="AR107" s="571" t="str">
        <f>IFERROR(
AVERAGEIFS(
'New LF Efficacy'!$J:$J,
'New LF Efficacy'!$D:$D,$A107,
'New LF Efficacy'!$F:$F,"Albendazole &amp; Ivermectin", 
'New LF Efficacy'!$W:$W,"&lt;2016",
'New LF Efficacy'!$AA:$AA,""),"")</f>
        <v/>
      </c>
      <c r="AS107" s="582">
        <f t="shared" si="14"/>
        <v>0.37153125</v>
      </c>
      <c r="AT107" s="583" t="str">
        <f>IFERROR(AVERAGEIFS(
'Schist Efficacy'!$O:$O, 
'Schist Efficacy'!$C:$C,$A107, 
'Schist Efficacy'!$D:$D, "Praziquantel",
'Schist Efficacy'!$J:$J,"&lt;2016",
'Schist Efficacy'!$U:$U,""),
"")</f>
        <v/>
      </c>
      <c r="AU107" s="572">
        <f t="shared" si="15"/>
        <v>0.7763141026</v>
      </c>
      <c r="AV107" s="131" t="str">
        <f>IFERROR(AVERAGEIFS(
'STH Efficacy'!$AX:$AX, 
'STH Efficacy'!$AL:$AL, $A107, 
'STH Efficacy'!$AM:$AM, "Albendazole",
'STH Efficacy'!$AS:$AS,"&lt;2016",
'STH Efficacy'!$BP:$BP,""),
"")</f>
        <v/>
      </c>
      <c r="AW107" s="132">
        <f t="shared" si="16"/>
        <v>0.4143846154</v>
      </c>
      <c r="AX107" s="131" t="str">
        <f>IFERROR(AVERAGEIFS(
'STH Efficacy'!$AX:$AX, 
'STH Efficacy'!$AL:$AL, $A107, 
'STH Efficacy'!$AM:$AM, "Mebendazole",
'STH Efficacy'!$AS:$AS,"&lt;2016",
'STH Efficacy'!$BP:$BP,""),
"")</f>
        <v/>
      </c>
      <c r="AY107" s="132">
        <f t="shared" si="17"/>
        <v>0.4691770833</v>
      </c>
      <c r="AZ107" s="131" t="str">
        <f>IFERROR(AVERAGEIFS(
'STH Efficacy'!$AX:$AX, 
'STH Efficacy'!$AL:$AL, $A107, 
'STH Efficacy'!$AM:$AM, "Albendazole &amp; Ivermectin",
'STH Efficacy'!$AS:$AS,"&lt;2016",
'STH Efficacy'!$BP:$BP,""),
"")</f>
        <v/>
      </c>
      <c r="BA107" s="303">
        <f t="shared" si="18"/>
        <v>0.597625</v>
      </c>
      <c r="BB107" s="584" t="str">
        <f>IFERROR(AVERAGEIFS(
'STH Efficacy'!$N:$N, 
'STH Efficacy'!$B:$B, $A107, 
'STH Efficacy'!$C:$C, "Albendazole",
'STH Efficacy'!$I:$I,"&lt;2016",
'STH Efficacy'!$AH:$AH,""),
"")</f>
        <v/>
      </c>
      <c r="BC107" s="579">
        <f t="shared" si="19"/>
        <v>0.7613712121</v>
      </c>
      <c r="BD107" s="584" t="str">
        <f>IFERROR(AVERAGEIFS(
'STH Efficacy'!$N:$N, 
'STH Efficacy'!$B:$B, $A107, 
'STH Efficacy'!$C:$C, "Mebendazole",
'STH Efficacy'!$I:$I,"&lt;2016",
'STH Efficacy'!$AH:$AH,""),
"")</f>
        <v/>
      </c>
      <c r="BE107" s="579">
        <f t="shared" si="20"/>
        <v>0.4362466667</v>
      </c>
      <c r="BF107" s="585" t="str">
        <f>IFERROR(AVERAGEIFS(
'STH Efficacy'!$CD:$CD, 
'STH Efficacy'!$BS:$BS, $A107, 
'STH Efficacy'!$BT:$BT, "Albendazole",
'STH Efficacy'!$BZ:$BZ,"&lt;2016",
'STH Efficacy'!$CU:$CU,""),
"")</f>
        <v/>
      </c>
      <c r="BG107" s="580">
        <f t="shared" si="21"/>
        <v>0.955</v>
      </c>
      <c r="BH107" s="585" t="str">
        <f>IFERROR(AVERAGEIFS(
'STH Efficacy'!$CD:$CD, 
'STH Efficacy'!$BS:$BS, $A107, 
'STH Efficacy'!$BT:$BT, "Mebendazole",
'STH Efficacy'!$BZ:$BZ,"&lt;2016",
'STH Efficacy'!$CU:$CU,""),
"")</f>
        <v/>
      </c>
      <c r="BI107" s="580">
        <f t="shared" si="22"/>
        <v>1</v>
      </c>
      <c r="BJ107" s="585" t="str">
        <f>IFERROR(AVERAGEIFS(
'STH Efficacy'!$CD:$CD, 
'STH Efficacy'!$BS:$BS, $A107, 
'STH Efficacy'!$BT:$BT, "Albendazole &amp; Ivermectin",
'STH Efficacy'!$BZ:$BZ,"&lt;2016",
'STH Efficacy'!$CU:$CU,""),
"")</f>
        <v/>
      </c>
      <c r="BK107" s="580">
        <f t="shared" si="23"/>
        <v>0.848</v>
      </c>
      <c r="BL107" s="575" t="str">
        <f>IFERROR(
  AVERAGEIFS(
    'NEW Onchocerciasis Efficacy'!$AO:$AO,
    'NEW Onchocerciasis Efficacy'!$C:$C,$A107,
    'NEW Onchocerciasis Efficacy'!$D:$D,"Ivermectin",
    'NEW Onchocerciasis Efficacy'!$AR:$AR,"&lt;2016",
    'NEW Onchocerciasis Efficacy'!$BG:$BG,"")
,"")</f>
        <v/>
      </c>
      <c r="BM107" s="586">
        <f t="shared" si="24"/>
        <v>0.7808368939</v>
      </c>
      <c r="BN107" s="587">
        <v>0.0</v>
      </c>
      <c r="BO107" s="588">
        <v>0.0</v>
      </c>
      <c r="BP107" s="589">
        <v>0.0</v>
      </c>
      <c r="BQ107" s="590">
        <f t="shared" si="25"/>
        <v>0</v>
      </c>
      <c r="BR107" s="560" t="str">
        <f t="shared" si="26"/>
        <v>0000</v>
      </c>
      <c r="BS107" s="560" t="str">
        <f t="shared" si="27"/>
        <v>no action required</v>
      </c>
      <c r="BT107" s="361" t="str">
        <f t="shared" si="28"/>
        <v/>
      </c>
      <c r="BU107" s="591" t="str">
        <f t="shared" si="29"/>
        <v/>
      </c>
      <c r="BV107" s="560" t="str">
        <f t="shared" si="30"/>
        <v>none</v>
      </c>
      <c r="BW107" s="150" t="str">
        <f t="shared" si="31"/>
        <v/>
      </c>
      <c r="BX107" s="150" t="str">
        <f t="shared" si="32"/>
        <v/>
      </c>
      <c r="BY107" s="151" t="str">
        <f t="shared" si="33"/>
        <v/>
      </c>
      <c r="BZ107" s="152" t="str">
        <f t="shared" si="34"/>
        <v/>
      </c>
      <c r="CA107" s="152" t="str">
        <f t="shared" si="35"/>
        <v/>
      </c>
      <c r="CB107" s="152" t="str">
        <f t="shared" si="36"/>
        <v/>
      </c>
      <c r="CC107" s="153" t="str">
        <f t="shared" si="37"/>
        <v/>
      </c>
      <c r="CD107" s="153" t="str">
        <f t="shared" si="38"/>
        <v/>
      </c>
      <c r="CE107" s="154" t="str">
        <f t="shared" si="39"/>
        <v/>
      </c>
      <c r="CF107" s="154" t="str">
        <f t="shared" si="40"/>
        <v/>
      </c>
      <c r="CG107" s="154" t="str">
        <f t="shared" si="41"/>
        <v/>
      </c>
      <c r="CH107" s="308" t="str">
        <f t="shared" si="42"/>
        <v/>
      </c>
    </row>
    <row r="108">
      <c r="A108" s="599" t="s">
        <v>197</v>
      </c>
      <c r="B108" s="560" t="s">
        <v>90</v>
      </c>
      <c r="C108" s="561">
        <v>5956900.0</v>
      </c>
      <c r="D108" s="562">
        <v>0.0</v>
      </c>
      <c r="E108" s="563">
        <v>0.0</v>
      </c>
      <c r="F108" s="564">
        <v>0.0</v>
      </c>
      <c r="G108" s="564">
        <v>0.0</v>
      </c>
      <c r="H108" s="564">
        <v>4.99E-7</v>
      </c>
      <c r="I108" s="565">
        <v>9.186876712</v>
      </c>
      <c r="J108" s="630">
        <v>20.1723221915169</v>
      </c>
      <c r="K108" s="630">
        <v>95.9038141760295</v>
      </c>
      <c r="L108" s="567">
        <v>36.92758904</v>
      </c>
      <c r="M108" s="568">
        <v>82.4365808979104</v>
      </c>
      <c r="N108" s="568">
        <v>229.838458298924</v>
      </c>
      <c r="O108" s="569">
        <v>0.0</v>
      </c>
      <c r="P108" s="570"/>
      <c r="Q108" s="150"/>
      <c r="R108" s="571"/>
      <c r="S108" s="116">
        <f t="shared" si="6"/>
        <v>0.6648642857</v>
      </c>
      <c r="T108" s="151"/>
      <c r="U108" s="572">
        <f t="shared" si="7"/>
        <v>0.53016</v>
      </c>
      <c r="V108" s="598"/>
      <c r="W108" s="574" t="b">
        <f t="shared" si="8"/>
        <v>0</v>
      </c>
      <c r="X108" s="573">
        <v>1.0</v>
      </c>
      <c r="Y108" s="574">
        <f t="shared" si="9"/>
        <v>1</v>
      </c>
      <c r="Z108" s="308"/>
      <c r="AA108" s="308"/>
      <c r="AB108" s="575" t="str">
        <f t="shared" si="10"/>
        <v/>
      </c>
      <c r="AC108" s="576">
        <f t="shared" si="11"/>
        <v>0.7192241206</v>
      </c>
      <c r="AD108" s="577">
        <v>0.0</v>
      </c>
      <c r="AE108" s="572">
        <v>0.0</v>
      </c>
      <c r="AF108" s="578">
        <v>0.0</v>
      </c>
      <c r="AG108" s="132">
        <v>0.01764073242</v>
      </c>
      <c r="AH108" s="132">
        <v>0.056709578</v>
      </c>
      <c r="AI108" s="579">
        <v>0.01074185165</v>
      </c>
      <c r="AJ108" s="579">
        <v>0.01334782504</v>
      </c>
      <c r="AK108" s="580">
        <v>0.0378396837</v>
      </c>
      <c r="AL108" s="580">
        <v>0.04488393541</v>
      </c>
      <c r="AM108" s="581">
        <v>0.0</v>
      </c>
      <c r="AN108" s="571" t="str">
        <f>IFERROR(
  AVERAGEIFS(
    'New LF Efficacy'!$J:$J,
    'New LF Efficacy'!$D:$D, $A108,
    'New LF Efficacy'!$F:$F,"DEC", 
    'New LF Efficacy'!$W:$W,"&lt;2016",
    'New LF Efficacy'!$AA:$AA,""),
  ""
)</f>
        <v/>
      </c>
      <c r="AO108" s="582">
        <f t="shared" si="12"/>
        <v>0.3573520833</v>
      </c>
      <c r="AP108" s="571" t="str">
        <f>IFERROR(
AVERAGEIFS(
'New LF Efficacy'!$J:$J,
'New LF Efficacy'!$D:$D,$A108,
'New LF Efficacy'!$F:$F,"Albendazole &amp; DEC",
'New LF Efficacy'!$W:$W,"&lt;2016",
'New LF Efficacy'!$AA:$AA,""),
"")</f>
        <v/>
      </c>
      <c r="AQ108" s="582">
        <f t="shared" si="13"/>
        <v>0.5143541667</v>
      </c>
      <c r="AR108" s="571" t="str">
        <f>IFERROR(
AVERAGEIFS(
'New LF Efficacy'!$J:$J,
'New LF Efficacy'!$D:$D,$A108,
'New LF Efficacy'!$F:$F,"Albendazole &amp; Ivermectin", 
'New LF Efficacy'!$W:$W,"&lt;2016",
'New LF Efficacy'!$AA:$AA,""),"")</f>
        <v/>
      </c>
      <c r="AS108" s="582">
        <f t="shared" si="14"/>
        <v>0.37153125</v>
      </c>
      <c r="AT108" s="583" t="str">
        <f>IFERROR(AVERAGEIFS(
'Schist Efficacy'!$O:$O, 
'Schist Efficacy'!$C:$C,$A108, 
'Schist Efficacy'!$D:$D, "Praziquantel",
'Schist Efficacy'!$J:$J,"&lt;2016",
'Schist Efficacy'!$U:$U,""),
"")</f>
        <v/>
      </c>
      <c r="AU108" s="572">
        <f t="shared" si="15"/>
        <v>0.655</v>
      </c>
      <c r="AV108" s="131" t="str">
        <f>IFERROR(AVERAGEIFS(
'STH Efficacy'!$AX:$AX, 
'STH Efficacy'!$AL:$AL, $A108, 
'STH Efficacy'!$AM:$AM, "Albendazole",
'STH Efficacy'!$AS:$AS,"&lt;2016",
'STH Efficacy'!$BP:$BP,""),
"")</f>
        <v/>
      </c>
      <c r="AW108" s="132">
        <f t="shared" si="16"/>
        <v>0.4143846154</v>
      </c>
      <c r="AX108" s="131" t="str">
        <f>IFERROR(AVERAGEIFS(
'STH Efficacy'!$AX:$AX, 
'STH Efficacy'!$AL:$AL, $A108, 
'STH Efficacy'!$AM:$AM, "Mebendazole",
'STH Efficacy'!$AS:$AS,"&lt;2016",
'STH Efficacy'!$BP:$BP,""),
"")</f>
        <v/>
      </c>
      <c r="AY108" s="132">
        <f t="shared" si="17"/>
        <v>0.4691770833</v>
      </c>
      <c r="AZ108" s="131" t="str">
        <f>IFERROR(AVERAGEIFS(
'STH Efficacy'!$AX:$AX, 
'STH Efficacy'!$AL:$AL, $A108, 
'STH Efficacy'!$AM:$AM, "Albendazole &amp; Ivermectin",
'STH Efficacy'!$AS:$AS,"&lt;2016",
'STH Efficacy'!$BP:$BP,""),
"")</f>
        <v/>
      </c>
      <c r="BA108" s="303">
        <f t="shared" si="18"/>
        <v>0.597625</v>
      </c>
      <c r="BB108" s="584" t="str">
        <f>IFERROR(AVERAGEIFS(
'STH Efficacy'!$N:$N, 
'STH Efficacy'!$B:$B, $A108, 
'STH Efficacy'!$C:$C, "Albendazole",
'STH Efficacy'!$I:$I,"&lt;2016",
'STH Efficacy'!$AH:$AH,""),
"")</f>
        <v/>
      </c>
      <c r="BC108" s="579">
        <f t="shared" si="19"/>
        <v>0.7613712121</v>
      </c>
      <c r="BD108" s="584" t="str">
        <f>IFERROR(AVERAGEIFS(
'STH Efficacy'!$N:$N, 
'STH Efficacy'!$B:$B, $A108, 
'STH Efficacy'!$C:$C, "Mebendazole",
'STH Efficacy'!$I:$I,"&lt;2016",
'STH Efficacy'!$AH:$AH,""),
"")</f>
        <v/>
      </c>
      <c r="BE108" s="579">
        <f t="shared" si="20"/>
        <v>0.4362466667</v>
      </c>
      <c r="BF108" s="585" t="str">
        <f>IFERROR(AVERAGEIFS(
'STH Efficacy'!$CD:$CD, 
'STH Efficacy'!$BS:$BS, $A108, 
'STH Efficacy'!$BT:$BT, "Albendazole",
'STH Efficacy'!$BZ:$BZ,"&lt;2016",
'STH Efficacy'!$CU:$CU,""),
"")</f>
        <v/>
      </c>
      <c r="BG108" s="580">
        <f t="shared" si="21"/>
        <v>0.9216027778</v>
      </c>
      <c r="BH108" s="585" t="str">
        <f>IFERROR(AVERAGEIFS(
'STH Efficacy'!$CD:$CD, 
'STH Efficacy'!$BS:$BS, $A108, 
'STH Efficacy'!$BT:$BT, "Mebendazole",
'STH Efficacy'!$BZ:$BZ,"&lt;2016",
'STH Efficacy'!$CU:$CU,""),
"")</f>
        <v/>
      </c>
      <c r="BI108" s="580">
        <f t="shared" si="22"/>
        <v>0.8866041667</v>
      </c>
      <c r="BJ108" s="585" t="str">
        <f>IFERROR(AVERAGEIFS(
'STH Efficacy'!$CD:$CD, 
'STH Efficacy'!$BS:$BS, $A108, 
'STH Efficacy'!$BT:$BT, "Albendazole &amp; Ivermectin",
'STH Efficacy'!$BZ:$BZ,"&lt;2016",
'STH Efficacy'!$CU:$CU,""),
"")</f>
        <v/>
      </c>
      <c r="BK108" s="580">
        <f t="shared" si="23"/>
        <v>0.848</v>
      </c>
      <c r="BL108" s="575" t="str">
        <f>IFERROR(
  AVERAGEIFS(
    'NEW Onchocerciasis Efficacy'!$AO:$AO,
    'NEW Onchocerciasis Efficacy'!$C:$C,$A108,
    'NEW Onchocerciasis Efficacy'!$D:$D,"Ivermectin",
    'NEW Onchocerciasis Efficacy'!$AR:$AR,"&lt;2016",
    'NEW Onchocerciasis Efficacy'!$BG:$BG,"")
,"")</f>
        <v/>
      </c>
      <c r="BM108" s="586">
        <f t="shared" si="24"/>
        <v>0.7808368939</v>
      </c>
      <c r="BN108" s="587">
        <v>0.0</v>
      </c>
      <c r="BO108" s="588">
        <v>1.0</v>
      </c>
      <c r="BP108" s="589">
        <v>0.0</v>
      </c>
      <c r="BQ108" s="590">
        <f t="shared" si="25"/>
        <v>0</v>
      </c>
      <c r="BR108" s="560" t="str">
        <f t="shared" si="26"/>
        <v>0100</v>
      </c>
      <c r="BS108" s="560" t="str">
        <f t="shared" si="27"/>
        <v>MDA3</v>
      </c>
      <c r="BT108" s="606" t="str">
        <f t="shared" si="28"/>
        <v>IVM</v>
      </c>
      <c r="BU108" s="591" t="str">
        <f t="shared" si="29"/>
        <v/>
      </c>
      <c r="BV108" s="560" t="str">
        <f t="shared" si="30"/>
        <v>onch only</v>
      </c>
      <c r="BW108" s="150" t="str">
        <f t="shared" si="31"/>
        <v/>
      </c>
      <c r="BX108" s="150" t="str">
        <f t="shared" si="32"/>
        <v/>
      </c>
      <c r="BY108" s="151" t="str">
        <f t="shared" si="33"/>
        <v/>
      </c>
      <c r="BZ108" s="152" t="str">
        <f t="shared" si="34"/>
        <v/>
      </c>
      <c r="CA108" s="152" t="str">
        <f t="shared" si="35"/>
        <v/>
      </c>
      <c r="CB108" s="152" t="str">
        <f t="shared" si="36"/>
        <v/>
      </c>
      <c r="CC108" s="153" t="str">
        <f t="shared" si="37"/>
        <v/>
      </c>
      <c r="CD108" s="153" t="str">
        <f t="shared" si="38"/>
        <v/>
      </c>
      <c r="CE108" s="154" t="str">
        <f t="shared" si="39"/>
        <v/>
      </c>
      <c r="CF108" s="154" t="str">
        <f t="shared" si="40"/>
        <v/>
      </c>
      <c r="CG108" s="154" t="str">
        <f t="shared" si="41"/>
        <v/>
      </c>
      <c r="CH108" s="637">
        <f t="shared" si="42"/>
        <v>0</v>
      </c>
    </row>
    <row r="109">
      <c r="A109" s="599" t="s">
        <v>198</v>
      </c>
      <c r="B109" s="560" t="s">
        <v>94</v>
      </c>
      <c r="C109" s="561">
        <v>6663967.0</v>
      </c>
      <c r="D109" s="562">
        <v>102.1797052</v>
      </c>
      <c r="E109" s="563">
        <v>1011.85324339839</v>
      </c>
      <c r="F109" s="564">
        <v>41.68608008</v>
      </c>
      <c r="G109" s="564">
        <v>89.75951085</v>
      </c>
      <c r="H109" s="564">
        <v>864.7627307</v>
      </c>
      <c r="I109" s="565">
        <v>101.5602232</v>
      </c>
      <c r="J109" s="566">
        <v>314.891065934426</v>
      </c>
      <c r="K109" s="566">
        <v>1873.95602120328</v>
      </c>
      <c r="L109" s="567">
        <v>431.7166794</v>
      </c>
      <c r="M109" s="568">
        <v>155.701578418</v>
      </c>
      <c r="N109" s="568">
        <v>898.588973726779</v>
      </c>
      <c r="O109" s="569">
        <v>0.0</v>
      </c>
      <c r="P109" s="601" t="s">
        <v>403</v>
      </c>
      <c r="Q109" s="618">
        <v>130099.0</v>
      </c>
      <c r="R109" s="603">
        <v>0.8685</v>
      </c>
      <c r="S109" s="116">
        <f t="shared" si="6"/>
        <v>0.8685</v>
      </c>
      <c r="T109" s="572">
        <v>0.804</v>
      </c>
      <c r="U109" s="572">
        <f t="shared" si="7"/>
        <v>0.804</v>
      </c>
      <c r="V109" s="573">
        <v>0.0195</v>
      </c>
      <c r="W109" s="574">
        <f t="shared" si="8"/>
        <v>0.0195</v>
      </c>
      <c r="X109" s="573">
        <v>0.9463</v>
      </c>
      <c r="Y109" s="574">
        <f t="shared" si="9"/>
        <v>0.9463</v>
      </c>
      <c r="Z109" s="308"/>
      <c r="AA109" s="308"/>
      <c r="AB109" s="575" t="str">
        <f t="shared" si="10"/>
        <v/>
      </c>
      <c r="AC109" s="576">
        <f t="shared" si="11"/>
        <v>0.7192241206</v>
      </c>
      <c r="AD109" s="577">
        <v>5.537674976E-4</v>
      </c>
      <c r="AE109" s="572">
        <v>9.02E-5</v>
      </c>
      <c r="AF109" s="578">
        <v>1.11E-5</v>
      </c>
      <c r="AG109" s="133">
        <v>0.04579115993</v>
      </c>
      <c r="AH109" s="133">
        <v>0.149346761</v>
      </c>
      <c r="AI109" s="623">
        <v>0.05775990605</v>
      </c>
      <c r="AJ109" s="623">
        <v>0.07218952835</v>
      </c>
      <c r="AK109" s="624">
        <v>0.03997717743</v>
      </c>
      <c r="AL109" s="624">
        <v>0.04738933108</v>
      </c>
      <c r="AM109" s="581">
        <v>0.0</v>
      </c>
      <c r="AN109" s="571" t="str">
        <f>IFERROR(
  AVERAGEIFS(
    'New LF Efficacy'!$J:$J,
    'New LF Efficacy'!$D:$D, $A109,
    'New LF Efficacy'!$F:$F,"DEC", 
    'New LF Efficacy'!$W:$W,"&lt;2016",
    'New LF Efficacy'!$AA:$AA,""),
  ""
)</f>
        <v/>
      </c>
      <c r="AO109" s="582">
        <f t="shared" si="12"/>
        <v>0.38</v>
      </c>
      <c r="AP109" s="571" t="str">
        <f>IFERROR(
AVERAGEIFS(
'New LF Efficacy'!$J:$J,
'New LF Efficacy'!$D:$D,$A109,
'New LF Efficacy'!$F:$F,"Albendazole &amp; DEC",
'New LF Efficacy'!$W:$W,"&lt;2016",
'New LF Efficacy'!$AA:$AA,""),
"")</f>
        <v/>
      </c>
      <c r="AQ109" s="582">
        <f t="shared" si="13"/>
        <v>0.662</v>
      </c>
      <c r="AR109" s="571" t="str">
        <f>IFERROR(
AVERAGEIFS(
'New LF Efficacy'!$J:$J,
'New LF Efficacy'!$D:$D,$A109,
'New LF Efficacy'!$F:$F,"Albendazole &amp; Ivermectin", 
'New LF Efficacy'!$W:$W,"&lt;2016",
'New LF Efficacy'!$AA:$AA,""),"")</f>
        <v/>
      </c>
      <c r="AS109" s="582">
        <f t="shared" si="14"/>
        <v>0.37153125</v>
      </c>
      <c r="AT109" s="583" t="str">
        <f>IFERROR(AVERAGEIFS(
'Schist Efficacy'!$O:$O, 
'Schist Efficacy'!$C:$C,$A109, 
'Schist Efficacy'!$D:$D, "Praziquantel",
'Schist Efficacy'!$J:$J,"&lt;2016",
'Schist Efficacy'!$U:$U,""),
"")</f>
        <v/>
      </c>
      <c r="AU109" s="572">
        <f t="shared" si="15"/>
        <v>0.9475</v>
      </c>
      <c r="AV109" s="131">
        <f>IFERROR(AVERAGEIFS(
'STH Efficacy'!$AX:$AX, 
'STH Efficacy'!$AL:$AL, $A109, 
'STH Efficacy'!$AM:$AM, "Albendazole",
'STH Efficacy'!$AS:$AS,"&lt;2016",
'STH Efficacy'!$BP:$BP,""),
"")</f>
        <v>0.333</v>
      </c>
      <c r="AW109" s="132">
        <f t="shared" si="16"/>
        <v>0.333</v>
      </c>
      <c r="AX109" s="131">
        <f>IFERROR(AVERAGEIFS(
'STH Efficacy'!$AX:$AX, 
'STH Efficacy'!$AL:$AL, $A109, 
'STH Efficacy'!$AM:$AM, "Mebendazole",
'STH Efficacy'!$AS:$AS,"&lt;2016",
'STH Efficacy'!$BP:$BP,""),
"")</f>
        <v>0.279</v>
      </c>
      <c r="AY109" s="132">
        <f t="shared" si="17"/>
        <v>0.279</v>
      </c>
      <c r="AZ109" s="131" t="str">
        <f>IFERROR(AVERAGEIFS(
'STH Efficacy'!$AX:$AX, 
'STH Efficacy'!$AL:$AL, $A109, 
'STH Efficacy'!$AM:$AM, "Albendazole &amp; Ivermectin",
'STH Efficacy'!$AS:$AS,"&lt;2016",
'STH Efficacy'!$BP:$BP,""),
"")</f>
        <v/>
      </c>
      <c r="BA109" s="303">
        <f t="shared" si="18"/>
        <v>0.651</v>
      </c>
      <c r="BB109" s="584">
        <f>IFERROR(AVERAGEIFS(
'STH Efficacy'!$N:$N, 
'STH Efficacy'!$B:$B, $A109, 
'STH Efficacy'!$C:$C, "Albendazole",
'STH Efficacy'!$I:$I,"&lt;2016",
'STH Efficacy'!$AH:$AH,""),
"")</f>
        <v>0.36</v>
      </c>
      <c r="BC109" s="579">
        <f t="shared" si="19"/>
        <v>0.36</v>
      </c>
      <c r="BD109" s="584">
        <f>IFERROR(AVERAGEIFS(
'STH Efficacy'!$N:$N, 
'STH Efficacy'!$B:$B, $A109, 
'STH Efficacy'!$C:$C, "Mebendazole",
'STH Efficacy'!$I:$I,"&lt;2016",
'STH Efficacy'!$AH:$AH,""),
"")</f>
        <v>0.176</v>
      </c>
      <c r="BE109" s="579">
        <f t="shared" si="20"/>
        <v>0.176</v>
      </c>
      <c r="BF109" s="585" t="str">
        <f>IFERROR(AVERAGEIFS(
'STH Efficacy'!$CD:$CD, 
'STH Efficacy'!$BS:$BS, $A109, 
'STH Efficacy'!$BT:$BT, "Albendazole",
'STH Efficacy'!$BZ:$BZ,"&lt;2016",
'STH Efficacy'!$CU:$CU,""),
"")</f>
        <v/>
      </c>
      <c r="BG109" s="580">
        <f t="shared" si="21"/>
        <v>0.96925</v>
      </c>
      <c r="BH109" s="585" t="str">
        <f>IFERROR(AVERAGEIFS(
'STH Efficacy'!$CD:$CD, 
'STH Efficacy'!$BS:$BS, $A109, 
'STH Efficacy'!$BT:$BT, "Mebendazole",
'STH Efficacy'!$BZ:$BZ,"&lt;2016",
'STH Efficacy'!$CU:$CU,""),
"")</f>
        <v/>
      </c>
      <c r="BI109" s="580">
        <f t="shared" si="22"/>
        <v>0.9305</v>
      </c>
      <c r="BJ109" s="585" t="str">
        <f>IFERROR(AVERAGEIFS(
'STH Efficacy'!$CD:$CD, 
'STH Efficacy'!$BS:$BS, $A109, 
'STH Efficacy'!$BT:$BT, "Albendazole &amp; Ivermectin",
'STH Efficacy'!$BZ:$BZ,"&lt;2016",
'STH Efficacy'!$CU:$CU,""),
"")</f>
        <v/>
      </c>
      <c r="BK109" s="580">
        <f t="shared" si="23"/>
        <v>0.848</v>
      </c>
      <c r="BL109" s="575" t="str">
        <f>IFERROR(
  AVERAGEIFS(
    'NEW Onchocerciasis Efficacy'!$AO:$AO,
    'NEW Onchocerciasis Efficacy'!$C:$C,$A109,
    'NEW Onchocerciasis Efficacy'!$D:$D,"Ivermectin",
    'NEW Onchocerciasis Efficacy'!$AR:$AR,"&lt;2016",
    'NEW Onchocerciasis Efficacy'!$BG:$BG,"")
,"")</f>
        <v/>
      </c>
      <c r="BM109" s="586">
        <f t="shared" si="24"/>
        <v>0.7808368939</v>
      </c>
      <c r="BN109" s="587">
        <v>1.0</v>
      </c>
      <c r="BO109" s="588">
        <v>0.0</v>
      </c>
      <c r="BP109" s="589">
        <v>1.0</v>
      </c>
      <c r="BQ109" s="590">
        <f t="shared" si="25"/>
        <v>0</v>
      </c>
      <c r="BR109" s="560" t="str">
        <f t="shared" si="26"/>
        <v>1010</v>
      </c>
      <c r="BS109" s="560" t="str">
        <f t="shared" si="27"/>
        <v>MDA1/2+T2</v>
      </c>
      <c r="BT109" s="606" t="str">
        <f t="shared" si="28"/>
        <v>IVM+ALB or DEC +ALB</v>
      </c>
      <c r="BU109" s="560" t="str">
        <f t="shared" si="29"/>
        <v>PZQ</v>
      </c>
      <c r="BV109" s="560" t="str">
        <f t="shared" si="30"/>
        <v>lf+schist </v>
      </c>
      <c r="BW109" s="150" t="str">
        <f t="shared" si="31"/>
        <v/>
      </c>
      <c r="BX109" s="607">
        <f t="shared" si="32"/>
        <v>48.67799044</v>
      </c>
      <c r="BY109" s="608">
        <f t="shared" si="33"/>
        <v>3235.88297</v>
      </c>
      <c r="BZ109" s="152" t="str">
        <f t="shared" si="34"/>
        <v/>
      </c>
      <c r="CA109" s="152" t="str">
        <f t="shared" si="35"/>
        <v/>
      </c>
      <c r="CB109" s="152" t="str">
        <f t="shared" si="36"/>
        <v/>
      </c>
      <c r="CC109" s="153" t="str">
        <f t="shared" si="37"/>
        <v/>
      </c>
      <c r="CD109" s="153" t="str">
        <f t="shared" si="38"/>
        <v/>
      </c>
      <c r="CE109" s="154" t="str">
        <f t="shared" si="39"/>
        <v/>
      </c>
      <c r="CF109" s="154" t="str">
        <f t="shared" si="40"/>
        <v/>
      </c>
      <c r="CG109" s="154" t="str">
        <f t="shared" si="41"/>
        <v/>
      </c>
      <c r="CH109" s="308" t="str">
        <f t="shared" si="42"/>
        <v/>
      </c>
    </row>
    <row r="110">
      <c r="A110" s="599" t="s">
        <v>199</v>
      </c>
      <c r="B110" s="560" t="s">
        <v>90</v>
      </c>
      <c r="C110" s="561">
        <v>1977527.0</v>
      </c>
      <c r="D110" s="562">
        <v>0.0</v>
      </c>
      <c r="E110" s="563">
        <v>0.0</v>
      </c>
      <c r="F110" s="564">
        <v>0.0</v>
      </c>
      <c r="G110" s="564">
        <v>0.0</v>
      </c>
      <c r="H110" s="564">
        <v>0.0</v>
      </c>
      <c r="I110" s="565">
        <v>0.0</v>
      </c>
      <c r="J110" s="566">
        <v>0.0</v>
      </c>
      <c r="K110" s="566">
        <v>0.0</v>
      </c>
      <c r="L110" s="567">
        <v>0.013677801</v>
      </c>
      <c r="M110" s="568">
        <v>0.0117607015833595</v>
      </c>
      <c r="N110" s="568">
        <v>0.0679877240932385</v>
      </c>
      <c r="O110" s="569">
        <v>0.0</v>
      </c>
      <c r="P110" s="570"/>
      <c r="Q110" s="150"/>
      <c r="R110" s="571"/>
      <c r="S110" s="116">
        <f t="shared" si="6"/>
        <v>0.6648642857</v>
      </c>
      <c r="T110" s="151"/>
      <c r="U110" s="572">
        <f t="shared" si="7"/>
        <v>0.53016</v>
      </c>
      <c r="V110" s="598"/>
      <c r="W110" s="574" t="b">
        <f t="shared" si="8"/>
        <v>0</v>
      </c>
      <c r="X110" s="598"/>
      <c r="Y110" s="574">
        <f t="shared" si="9"/>
        <v>0.631675</v>
      </c>
      <c r="Z110" s="308"/>
      <c r="AA110" s="308"/>
      <c r="AB110" s="575" t="str">
        <f t="shared" si="10"/>
        <v/>
      </c>
      <c r="AC110" s="576">
        <f t="shared" si="11"/>
        <v>0.7192241206</v>
      </c>
      <c r="AD110" s="577">
        <v>0.0</v>
      </c>
      <c r="AE110" s="572">
        <v>0.0</v>
      </c>
      <c r="AF110" s="578">
        <v>0.0</v>
      </c>
      <c r="AG110" s="132">
        <v>0.0</v>
      </c>
      <c r="AH110" s="132">
        <v>0.0</v>
      </c>
      <c r="AI110" s="579">
        <v>0.0</v>
      </c>
      <c r="AJ110" s="579">
        <v>0.0</v>
      </c>
      <c r="AK110" s="580">
        <v>0.0</v>
      </c>
      <c r="AL110" s="580">
        <v>0.0</v>
      </c>
      <c r="AM110" s="581">
        <v>0.0</v>
      </c>
      <c r="AN110" s="571" t="str">
        <f>IFERROR(
  AVERAGEIFS(
    'New LF Efficacy'!$J:$J,
    'New LF Efficacy'!$D:$D, $A110,
    'New LF Efficacy'!$F:$F,"DEC", 
    'New LF Efficacy'!$W:$W,"&lt;2016",
    'New LF Efficacy'!$AA:$AA,""),
  ""
)</f>
        <v/>
      </c>
      <c r="AO110" s="582">
        <f t="shared" si="12"/>
        <v>0.3573520833</v>
      </c>
      <c r="AP110" s="571" t="str">
        <f>IFERROR(
AVERAGEIFS(
'New LF Efficacy'!$J:$J,
'New LF Efficacy'!$D:$D,$A110,
'New LF Efficacy'!$F:$F,"Albendazole &amp; DEC",
'New LF Efficacy'!$W:$W,"&lt;2016",
'New LF Efficacy'!$AA:$AA,""),
"")</f>
        <v/>
      </c>
      <c r="AQ110" s="582">
        <f t="shared" si="13"/>
        <v>0.5143541667</v>
      </c>
      <c r="AR110" s="571" t="str">
        <f>IFERROR(
AVERAGEIFS(
'New LF Efficacy'!$J:$J,
'New LF Efficacy'!$D:$D,$A110,
'New LF Efficacy'!$F:$F,"Albendazole &amp; Ivermectin", 
'New LF Efficacy'!$W:$W,"&lt;2016",
'New LF Efficacy'!$AA:$AA,""),"")</f>
        <v/>
      </c>
      <c r="AS110" s="582">
        <f t="shared" si="14"/>
        <v>0.37153125</v>
      </c>
      <c r="AT110" s="583" t="str">
        <f>IFERROR(AVERAGEIFS(
'Schist Efficacy'!$O:$O, 
'Schist Efficacy'!$C:$C,$A110, 
'Schist Efficacy'!$D:$D, "Praziquantel",
'Schist Efficacy'!$J:$J,"&lt;2016",
'Schist Efficacy'!$U:$U,""),
"")</f>
        <v/>
      </c>
      <c r="AU110" s="572">
        <f t="shared" si="15"/>
        <v>0.655</v>
      </c>
      <c r="AV110" s="131" t="str">
        <f>IFERROR(AVERAGEIFS(
'STH Efficacy'!$AX:$AX, 
'STH Efficacy'!$AL:$AL, $A110, 
'STH Efficacy'!$AM:$AM, "Albendazole",
'STH Efficacy'!$AS:$AS,"&lt;2016",
'STH Efficacy'!$BP:$BP,""),
"")</f>
        <v/>
      </c>
      <c r="AW110" s="132">
        <f t="shared" si="16"/>
        <v>0.4143846154</v>
      </c>
      <c r="AX110" s="131" t="str">
        <f>IFERROR(AVERAGEIFS(
'STH Efficacy'!$AX:$AX, 
'STH Efficacy'!$AL:$AL, $A110, 
'STH Efficacy'!$AM:$AM, "Mebendazole",
'STH Efficacy'!$AS:$AS,"&lt;2016",
'STH Efficacy'!$BP:$BP,""),
"")</f>
        <v/>
      </c>
      <c r="AY110" s="132">
        <f t="shared" si="17"/>
        <v>0.4691770833</v>
      </c>
      <c r="AZ110" s="131" t="str">
        <f>IFERROR(AVERAGEIFS(
'STH Efficacy'!$AX:$AX, 
'STH Efficacy'!$AL:$AL, $A110, 
'STH Efficacy'!$AM:$AM, "Albendazole &amp; Ivermectin",
'STH Efficacy'!$AS:$AS,"&lt;2016",
'STH Efficacy'!$BP:$BP,""),
"")</f>
        <v/>
      </c>
      <c r="BA110" s="303">
        <f t="shared" si="18"/>
        <v>0.597625</v>
      </c>
      <c r="BB110" s="584" t="str">
        <f>IFERROR(AVERAGEIFS(
'STH Efficacy'!$N:$N, 
'STH Efficacy'!$B:$B, $A110, 
'STH Efficacy'!$C:$C, "Albendazole",
'STH Efficacy'!$I:$I,"&lt;2016",
'STH Efficacy'!$AH:$AH,""),
"")</f>
        <v/>
      </c>
      <c r="BC110" s="579">
        <f t="shared" si="19"/>
        <v>0.7613712121</v>
      </c>
      <c r="BD110" s="584" t="str">
        <f>IFERROR(AVERAGEIFS(
'STH Efficacy'!$N:$N, 
'STH Efficacy'!$B:$B, $A110, 
'STH Efficacy'!$C:$C, "Mebendazole",
'STH Efficacy'!$I:$I,"&lt;2016",
'STH Efficacy'!$AH:$AH,""),
"")</f>
        <v/>
      </c>
      <c r="BE110" s="579">
        <f t="shared" si="20"/>
        <v>0.4362466667</v>
      </c>
      <c r="BF110" s="585" t="str">
        <f>IFERROR(AVERAGEIFS(
'STH Efficacy'!$CD:$CD, 
'STH Efficacy'!$BS:$BS, $A110, 
'STH Efficacy'!$BT:$BT, "Albendazole",
'STH Efficacy'!$BZ:$BZ,"&lt;2016",
'STH Efficacy'!$CU:$CU,""),
"")</f>
        <v/>
      </c>
      <c r="BG110" s="580">
        <f t="shared" si="21"/>
        <v>0.9216027778</v>
      </c>
      <c r="BH110" s="585" t="str">
        <f>IFERROR(AVERAGEIFS(
'STH Efficacy'!$CD:$CD, 
'STH Efficacy'!$BS:$BS, $A110, 
'STH Efficacy'!$BT:$BT, "Mebendazole",
'STH Efficacy'!$BZ:$BZ,"&lt;2016",
'STH Efficacy'!$CU:$CU,""),
"")</f>
        <v/>
      </c>
      <c r="BI110" s="580">
        <f t="shared" si="22"/>
        <v>0.8866041667</v>
      </c>
      <c r="BJ110" s="585" t="str">
        <f>IFERROR(AVERAGEIFS(
'STH Efficacy'!$CD:$CD, 
'STH Efficacy'!$BS:$BS, $A110, 
'STH Efficacy'!$BT:$BT, "Albendazole &amp; Ivermectin",
'STH Efficacy'!$BZ:$BZ,"&lt;2016",
'STH Efficacy'!$CU:$CU,""),
"")</f>
        <v/>
      </c>
      <c r="BK110" s="580">
        <f t="shared" si="23"/>
        <v>0.848</v>
      </c>
      <c r="BL110" s="575" t="str">
        <f>IFERROR(
  AVERAGEIFS(
    'NEW Onchocerciasis Efficacy'!$AO:$AO,
    'NEW Onchocerciasis Efficacy'!$C:$C,$A110,
    'NEW Onchocerciasis Efficacy'!$D:$D,"Ivermectin",
    'NEW Onchocerciasis Efficacy'!$AR:$AR,"&lt;2016",
    'NEW Onchocerciasis Efficacy'!$BG:$BG,"")
,"")</f>
        <v/>
      </c>
      <c r="BM110" s="586">
        <f t="shared" si="24"/>
        <v>0.7808368939</v>
      </c>
      <c r="BN110" s="587">
        <v>0.0</v>
      </c>
      <c r="BO110" s="588">
        <v>0.0</v>
      </c>
      <c r="BP110" s="589">
        <v>0.0</v>
      </c>
      <c r="BQ110" s="590">
        <f t="shared" si="25"/>
        <v>0</v>
      </c>
      <c r="BR110" s="560" t="str">
        <f t="shared" si="26"/>
        <v>0000</v>
      </c>
      <c r="BS110" s="560" t="str">
        <f t="shared" si="27"/>
        <v>no action required</v>
      </c>
      <c r="BT110" s="361" t="str">
        <f t="shared" si="28"/>
        <v/>
      </c>
      <c r="BU110" s="591" t="str">
        <f t="shared" si="29"/>
        <v/>
      </c>
      <c r="BV110" s="560" t="str">
        <f t="shared" si="30"/>
        <v>none</v>
      </c>
      <c r="BW110" s="150" t="str">
        <f t="shared" si="31"/>
        <v/>
      </c>
      <c r="BX110" s="150" t="str">
        <f t="shared" si="32"/>
        <v/>
      </c>
      <c r="BY110" s="151" t="str">
        <f t="shared" si="33"/>
        <v/>
      </c>
      <c r="BZ110" s="152" t="str">
        <f t="shared" si="34"/>
        <v/>
      </c>
      <c r="CA110" s="152" t="str">
        <f t="shared" si="35"/>
        <v/>
      </c>
      <c r="CB110" s="152" t="str">
        <f t="shared" si="36"/>
        <v/>
      </c>
      <c r="CC110" s="153" t="str">
        <f t="shared" si="37"/>
        <v/>
      </c>
      <c r="CD110" s="153" t="str">
        <f t="shared" si="38"/>
        <v/>
      </c>
      <c r="CE110" s="154" t="str">
        <f t="shared" si="39"/>
        <v/>
      </c>
      <c r="CF110" s="154" t="str">
        <f t="shared" si="40"/>
        <v/>
      </c>
      <c r="CG110" s="154" t="str">
        <f t="shared" si="41"/>
        <v/>
      </c>
      <c r="CH110" s="308" t="str">
        <f t="shared" si="42"/>
        <v/>
      </c>
    </row>
    <row r="111">
      <c r="A111" s="599" t="s">
        <v>200</v>
      </c>
      <c r="B111" s="560" t="s">
        <v>88</v>
      </c>
      <c r="C111" s="561">
        <v>5851479.0</v>
      </c>
      <c r="D111" s="562">
        <v>0.0</v>
      </c>
      <c r="E111" s="563">
        <v>2.86350326740752</v>
      </c>
      <c r="F111" s="564">
        <v>0.0</v>
      </c>
      <c r="G111" s="564">
        <v>0.0</v>
      </c>
      <c r="H111" s="564">
        <v>2.68E-7</v>
      </c>
      <c r="I111" s="565">
        <v>1.769577371</v>
      </c>
      <c r="J111" s="566">
        <v>4.06548399837001</v>
      </c>
      <c r="K111" s="566">
        <v>34.6576675371118</v>
      </c>
      <c r="L111" s="567">
        <v>0.576797192</v>
      </c>
      <c r="M111" s="568">
        <v>0.656944436702022</v>
      </c>
      <c r="N111" s="568">
        <v>1.85225100940251</v>
      </c>
      <c r="O111" s="569">
        <v>0.0</v>
      </c>
      <c r="P111" s="570"/>
      <c r="Q111" s="150"/>
      <c r="R111" s="571"/>
      <c r="S111" s="116">
        <f t="shared" si="6"/>
        <v>0.1495</v>
      </c>
      <c r="T111" s="151"/>
      <c r="U111" s="572">
        <f t="shared" si="7"/>
        <v>0.65895</v>
      </c>
      <c r="V111" s="598"/>
      <c r="W111" s="574">
        <f t="shared" si="8"/>
        <v>0.97535</v>
      </c>
      <c r="X111" s="598"/>
      <c r="Y111" s="574">
        <f t="shared" si="9"/>
        <v>0.41448</v>
      </c>
      <c r="Z111" s="308"/>
      <c r="AA111" s="308"/>
      <c r="AB111" s="575" t="str">
        <f t="shared" si="10"/>
        <v/>
      </c>
      <c r="AC111" s="576">
        <f t="shared" si="11"/>
        <v>0.4586145155</v>
      </c>
      <c r="AD111" s="577">
        <v>0.0</v>
      </c>
      <c r="AE111" s="572">
        <v>1.08E-5</v>
      </c>
      <c r="AF111" s="578">
        <v>6.73E-7</v>
      </c>
      <c r="AG111" s="132">
        <v>0.009512675121</v>
      </c>
      <c r="AH111" s="132">
        <v>0.030330144</v>
      </c>
      <c r="AI111" s="579">
        <v>0.003556455396</v>
      </c>
      <c r="AJ111" s="579">
        <v>0.004342889227</v>
      </c>
      <c r="AK111" s="580">
        <v>0.01698920364</v>
      </c>
      <c r="AL111" s="580">
        <v>0.0197238331</v>
      </c>
      <c r="AM111" s="581">
        <v>0.0</v>
      </c>
      <c r="AN111" s="571" t="str">
        <f>IFERROR(
  AVERAGEIFS(
    'New LF Efficacy'!$J:$J,
    'New LF Efficacy'!$D:$D, $A111,
    'New LF Efficacy'!$F:$F,"DEC", 
    'New LF Efficacy'!$W:$W,"&lt;2016",
    'New LF Efficacy'!$AA:$AA,""),
  ""
)</f>
        <v/>
      </c>
      <c r="AO111" s="582">
        <f t="shared" si="12"/>
        <v>0.3573520833</v>
      </c>
      <c r="AP111" s="571" t="str">
        <f>IFERROR(
AVERAGEIFS(
'New LF Efficacy'!$J:$J,
'New LF Efficacy'!$D:$D,$A111,
'New LF Efficacy'!$F:$F,"Albendazole &amp; DEC",
'New LF Efficacy'!$W:$W,"&lt;2016",
'New LF Efficacy'!$AA:$AA,""),
"")</f>
        <v/>
      </c>
      <c r="AQ111" s="582">
        <f t="shared" si="13"/>
        <v>0.7935</v>
      </c>
      <c r="AR111" s="571" t="str">
        <f>IFERROR(
AVERAGEIFS(
'New LF Efficacy'!$J:$J,
'New LF Efficacy'!$D:$D,$A111,
'New LF Efficacy'!$F:$F,"Albendazole &amp; Ivermectin", 
'New LF Efficacy'!$W:$W,"&lt;2016",
'New LF Efficacy'!$AA:$AA,""),"")</f>
        <v/>
      </c>
      <c r="AS111" s="582">
        <f t="shared" si="14"/>
        <v>0.37153125</v>
      </c>
      <c r="AT111" s="583" t="str">
        <f>IFERROR(AVERAGEIFS(
'Schist Efficacy'!$O:$O, 
'Schist Efficacy'!$C:$C,$A111, 
'Schist Efficacy'!$D:$D, "Praziquantel",
'Schist Efficacy'!$J:$J,"&lt;2016",
'Schist Efficacy'!$U:$U,""),
"")</f>
        <v/>
      </c>
      <c r="AU111" s="572">
        <f t="shared" si="15"/>
        <v>0.7763141026</v>
      </c>
      <c r="AV111" s="131" t="str">
        <f>IFERROR(AVERAGEIFS(
'STH Efficacy'!$AX:$AX, 
'STH Efficacy'!$AL:$AL, $A111, 
'STH Efficacy'!$AM:$AM, "Albendazole",
'STH Efficacy'!$AS:$AS,"&lt;2016",
'STH Efficacy'!$BP:$BP,""),
"")</f>
        <v/>
      </c>
      <c r="AW111" s="132">
        <f t="shared" si="16"/>
        <v>0.4143846154</v>
      </c>
      <c r="AX111" s="131" t="str">
        <f>IFERROR(AVERAGEIFS(
'STH Efficacy'!$AX:$AX, 
'STH Efficacy'!$AL:$AL, $A111, 
'STH Efficacy'!$AM:$AM, "Mebendazole",
'STH Efficacy'!$AS:$AS,"&lt;2016",
'STH Efficacy'!$BP:$BP,""),
"")</f>
        <v/>
      </c>
      <c r="AY111" s="132">
        <f t="shared" si="17"/>
        <v>0.4691770833</v>
      </c>
      <c r="AZ111" s="131" t="str">
        <f>IFERROR(AVERAGEIFS(
'STH Efficacy'!$AX:$AX, 
'STH Efficacy'!$AL:$AL, $A111, 
'STH Efficacy'!$AM:$AM, "Albendazole &amp; Ivermectin",
'STH Efficacy'!$AS:$AS,"&lt;2016",
'STH Efficacy'!$BP:$BP,""),
"")</f>
        <v/>
      </c>
      <c r="BA111" s="303">
        <f t="shared" si="18"/>
        <v>0.597625</v>
      </c>
      <c r="BB111" s="584" t="str">
        <f>IFERROR(AVERAGEIFS(
'STH Efficacy'!$N:$N, 
'STH Efficacy'!$B:$B, $A111, 
'STH Efficacy'!$C:$C, "Albendazole",
'STH Efficacy'!$I:$I,"&lt;2016",
'STH Efficacy'!$AH:$AH,""),
"")</f>
        <v/>
      </c>
      <c r="BC111" s="579">
        <f t="shared" si="19"/>
        <v>0.7613712121</v>
      </c>
      <c r="BD111" s="584" t="str">
        <f>IFERROR(AVERAGEIFS(
'STH Efficacy'!$N:$N, 
'STH Efficacy'!$B:$B, $A111, 
'STH Efficacy'!$C:$C, "Mebendazole",
'STH Efficacy'!$I:$I,"&lt;2016",
'STH Efficacy'!$AH:$AH,""),
"")</f>
        <v/>
      </c>
      <c r="BE111" s="579">
        <f t="shared" si="20"/>
        <v>0.4362466667</v>
      </c>
      <c r="BF111" s="585" t="str">
        <f>IFERROR(AVERAGEIFS(
'STH Efficacy'!$CD:$CD, 
'STH Efficacy'!$BS:$BS, $A111, 
'STH Efficacy'!$BT:$BT, "Albendazole",
'STH Efficacy'!$BZ:$BZ,"&lt;2016",
'STH Efficacy'!$CU:$CU,""),
"")</f>
        <v/>
      </c>
      <c r="BG111" s="580">
        <f t="shared" si="21"/>
        <v>0.955</v>
      </c>
      <c r="BH111" s="585" t="str">
        <f>IFERROR(AVERAGEIFS(
'STH Efficacy'!$CD:$CD, 
'STH Efficacy'!$BS:$BS, $A111, 
'STH Efficacy'!$BT:$BT, "Mebendazole",
'STH Efficacy'!$BZ:$BZ,"&lt;2016",
'STH Efficacy'!$CU:$CU,""),
"")</f>
        <v/>
      </c>
      <c r="BI111" s="580">
        <f t="shared" si="22"/>
        <v>1</v>
      </c>
      <c r="BJ111" s="585" t="str">
        <f>IFERROR(AVERAGEIFS(
'STH Efficacy'!$CD:$CD, 
'STH Efficacy'!$BS:$BS, $A111, 
'STH Efficacy'!$BT:$BT, "Albendazole &amp; Ivermectin",
'STH Efficacy'!$BZ:$BZ,"&lt;2016",
'STH Efficacy'!$CU:$CU,""),
"")</f>
        <v/>
      </c>
      <c r="BK111" s="580">
        <f t="shared" si="23"/>
        <v>0.848</v>
      </c>
      <c r="BL111" s="575" t="str">
        <f>IFERROR(
  AVERAGEIFS(
    'NEW Onchocerciasis Efficacy'!$AO:$AO,
    'NEW Onchocerciasis Efficacy'!$C:$C,$A111,
    'NEW Onchocerciasis Efficacy'!$D:$D,"Ivermectin",
    'NEW Onchocerciasis Efficacy'!$AR:$AR,"&lt;2016",
    'NEW Onchocerciasis Efficacy'!$BG:$BG,"")
,"")</f>
        <v/>
      </c>
      <c r="BM111" s="586">
        <f t="shared" si="24"/>
        <v>0.7808368939</v>
      </c>
      <c r="BN111" s="587">
        <v>0.0</v>
      </c>
      <c r="BO111" s="588">
        <v>0.0</v>
      </c>
      <c r="BP111" s="589">
        <v>0.0</v>
      </c>
      <c r="BQ111" s="590">
        <f t="shared" si="25"/>
        <v>0</v>
      </c>
      <c r="BR111" s="560" t="str">
        <f t="shared" si="26"/>
        <v>0000</v>
      </c>
      <c r="BS111" s="560" t="str">
        <f t="shared" si="27"/>
        <v>no action required</v>
      </c>
      <c r="BT111" s="361" t="str">
        <f t="shared" si="28"/>
        <v/>
      </c>
      <c r="BU111" s="591" t="str">
        <f t="shared" si="29"/>
        <v/>
      </c>
      <c r="BV111" s="560" t="str">
        <f t="shared" si="30"/>
        <v>none</v>
      </c>
      <c r="BW111" s="150" t="str">
        <f t="shared" si="31"/>
        <v/>
      </c>
      <c r="BX111" s="150" t="str">
        <f t="shared" si="32"/>
        <v/>
      </c>
      <c r="BY111" s="151" t="str">
        <f t="shared" si="33"/>
        <v/>
      </c>
      <c r="BZ111" s="152" t="str">
        <f t="shared" si="34"/>
        <v/>
      </c>
      <c r="CA111" s="152" t="str">
        <f t="shared" si="35"/>
        <v/>
      </c>
      <c r="CB111" s="152" t="str">
        <f t="shared" si="36"/>
        <v/>
      </c>
      <c r="CC111" s="153" t="str">
        <f t="shared" si="37"/>
        <v/>
      </c>
      <c r="CD111" s="153" t="str">
        <f t="shared" si="38"/>
        <v/>
      </c>
      <c r="CE111" s="154" t="str">
        <f t="shared" si="39"/>
        <v/>
      </c>
      <c r="CF111" s="154" t="str">
        <f t="shared" si="40"/>
        <v/>
      </c>
      <c r="CG111" s="154" t="str">
        <f t="shared" si="41"/>
        <v/>
      </c>
      <c r="CH111" s="308" t="str">
        <f t="shared" si="42"/>
        <v/>
      </c>
    </row>
    <row r="112">
      <c r="A112" s="599" t="s">
        <v>201</v>
      </c>
      <c r="B112" s="560" t="s">
        <v>92</v>
      </c>
      <c r="C112" s="561">
        <v>2174645.0</v>
      </c>
      <c r="D112" s="562">
        <v>0.0</v>
      </c>
      <c r="E112" s="563">
        <v>0.0</v>
      </c>
      <c r="F112" s="564">
        <v>0.450047917</v>
      </c>
      <c r="G112" s="564">
        <v>2.96665319</v>
      </c>
      <c r="H112" s="564">
        <v>16.92255354</v>
      </c>
      <c r="I112" s="565">
        <v>45.11293314</v>
      </c>
      <c r="J112" s="566">
        <v>177.370960853711</v>
      </c>
      <c r="K112" s="566">
        <v>1030.52097274576</v>
      </c>
      <c r="L112" s="567">
        <v>6.351985271</v>
      </c>
      <c r="M112" s="568">
        <v>4.86281832220422</v>
      </c>
      <c r="N112" s="568">
        <v>16.4203237670486</v>
      </c>
      <c r="O112" s="569">
        <v>0.0</v>
      </c>
      <c r="P112" s="570"/>
      <c r="Q112" s="150"/>
      <c r="R112" s="571"/>
      <c r="S112" s="116">
        <f t="shared" si="6"/>
        <v>0.6227928571</v>
      </c>
      <c r="T112" s="151"/>
      <c r="U112" s="572">
        <f t="shared" si="7"/>
        <v>0.5141</v>
      </c>
      <c r="V112" s="573">
        <v>0.7892</v>
      </c>
      <c r="W112" s="574">
        <f t="shared" si="8"/>
        <v>0.7892</v>
      </c>
      <c r="X112" s="573">
        <v>0.8103</v>
      </c>
      <c r="Y112" s="574">
        <f t="shared" si="9"/>
        <v>0.8103</v>
      </c>
      <c r="Z112" s="308"/>
      <c r="AA112" s="308"/>
      <c r="AB112" s="575" t="str">
        <f t="shared" si="10"/>
        <v/>
      </c>
      <c r="AC112" s="576">
        <f t="shared" si="11"/>
        <v>0.6507101914</v>
      </c>
      <c r="AD112" s="577">
        <v>0.0</v>
      </c>
      <c r="AE112" s="572">
        <v>0.0</v>
      </c>
      <c r="AF112" s="578">
        <v>0.0</v>
      </c>
      <c r="AG112" s="133">
        <v>0.01951302953</v>
      </c>
      <c r="AH112" s="133">
        <v>0.063572004</v>
      </c>
      <c r="AI112" s="623">
        <v>0.0630612543</v>
      </c>
      <c r="AJ112" s="623">
        <v>0.07874138355</v>
      </c>
      <c r="AK112" s="624">
        <v>0.0212139848</v>
      </c>
      <c r="AL112" s="624">
        <v>0.02514850594</v>
      </c>
      <c r="AM112" s="581">
        <v>0.0</v>
      </c>
      <c r="AN112" s="571" t="str">
        <f>IFERROR(
  AVERAGEIFS(
    'New LF Efficacy'!$J:$J,
    'New LF Efficacy'!$D:$D, $A112,
    'New LF Efficacy'!$F:$F,"DEC", 
    'New LF Efficacy'!$W:$W,"&lt;2016",
    'New LF Efficacy'!$AA:$AA,""),
  ""
)</f>
        <v/>
      </c>
      <c r="AO112" s="582">
        <f t="shared" si="12"/>
        <v>0.31225</v>
      </c>
      <c r="AP112" s="571" t="str">
        <f>IFERROR(
AVERAGEIFS(
'New LF Efficacy'!$J:$J,
'New LF Efficacy'!$D:$D,$A112,
'New LF Efficacy'!$F:$F,"Albendazole &amp; DEC",
'New LF Efficacy'!$W:$W,"&lt;2016",
'New LF Efficacy'!$AA:$AA,""),
"")</f>
        <v/>
      </c>
      <c r="AQ112" s="582">
        <f t="shared" si="13"/>
        <v>0.4</v>
      </c>
      <c r="AR112" s="571" t="str">
        <f>IFERROR(
AVERAGEIFS(
'New LF Efficacy'!$J:$J,
'New LF Efficacy'!$D:$D,$A112,
'New LF Efficacy'!$F:$F,"Albendazole &amp; Ivermectin", 
'New LF Efficacy'!$W:$W,"&lt;2016",
'New LF Efficacy'!$AA:$AA,""),"")</f>
        <v/>
      </c>
      <c r="AS112" s="582">
        <f t="shared" si="14"/>
        <v>0.2943125</v>
      </c>
      <c r="AT112" s="583" t="str">
        <f>IFERROR(AVERAGEIFS(
'Schist Efficacy'!$O:$O, 
'Schist Efficacy'!$C:$C,$A112, 
'Schist Efficacy'!$D:$D, "Praziquantel",
'Schist Efficacy'!$J:$J,"&lt;2016",
'Schist Efficacy'!$U:$U,""),
"")</f>
        <v/>
      </c>
      <c r="AU112" s="572">
        <f t="shared" si="15"/>
        <v>0.7206464759</v>
      </c>
      <c r="AV112" s="131" t="str">
        <f>IFERROR(AVERAGEIFS(
'STH Efficacy'!$AX:$AX, 
'STH Efficacy'!$AL:$AL, $A112, 
'STH Efficacy'!$AM:$AM, "Albendazole",
'STH Efficacy'!$AS:$AS,"&lt;2016",
'STH Efficacy'!$BP:$BP,""),
"")</f>
        <v/>
      </c>
      <c r="AW112" s="132">
        <f t="shared" si="16"/>
        <v>0.3816333333</v>
      </c>
      <c r="AX112" s="131" t="str">
        <f>IFERROR(AVERAGEIFS(
'STH Efficacy'!$AX:$AX, 
'STH Efficacy'!$AL:$AL, $A112, 
'STH Efficacy'!$AM:$AM, "Mebendazole",
'STH Efficacy'!$AS:$AS,"&lt;2016",
'STH Efficacy'!$BP:$BP,""),
"")</f>
        <v/>
      </c>
      <c r="AY112" s="132">
        <f t="shared" si="17"/>
        <v>0.4859375</v>
      </c>
      <c r="AZ112" s="131" t="str">
        <f>IFERROR(AVERAGEIFS(
'STH Efficacy'!$AX:$AX, 
'STH Efficacy'!$AL:$AL, $A112, 
'STH Efficacy'!$AM:$AM, "Albendazole &amp; Ivermectin",
'STH Efficacy'!$AS:$AS,"&lt;2016",
'STH Efficacy'!$BP:$BP,""),
"")</f>
        <v/>
      </c>
      <c r="BA112" s="303">
        <f t="shared" si="18"/>
        <v>0.47175</v>
      </c>
      <c r="BB112" s="584" t="str">
        <f>IFERROR(AVERAGEIFS(
'STH Efficacy'!$N:$N, 
'STH Efficacy'!$B:$B, $A112, 
'STH Efficacy'!$C:$C, "Albendazole",
'STH Efficacy'!$I:$I,"&lt;2016",
'STH Efficacy'!$AH:$AH,""),
"")</f>
        <v/>
      </c>
      <c r="BC112" s="579">
        <f t="shared" si="19"/>
        <v>0.8699166667</v>
      </c>
      <c r="BD112" s="584" t="str">
        <f>IFERROR(AVERAGEIFS(
'STH Efficacy'!$N:$N, 
'STH Efficacy'!$B:$B, $A112, 
'STH Efficacy'!$C:$C, "Mebendazole",
'STH Efficacy'!$I:$I,"&lt;2016",
'STH Efficacy'!$AH:$AH,""),
"")</f>
        <v/>
      </c>
      <c r="BE112" s="579">
        <f t="shared" si="20"/>
        <v>0.7092416667</v>
      </c>
      <c r="BF112" s="585" t="str">
        <f>IFERROR(AVERAGEIFS(
'STH Efficacy'!$CD:$CD, 
'STH Efficacy'!$BS:$BS, $A112, 
'STH Efficacy'!$BT:$BT, "Albendazole",
'STH Efficacy'!$BZ:$BZ,"&lt;2016",
'STH Efficacy'!$CU:$CU,""),
"")</f>
        <v/>
      </c>
      <c r="BG112" s="580">
        <f t="shared" si="21"/>
        <v>0.9066666667</v>
      </c>
      <c r="BH112" s="585" t="str">
        <f>IFERROR(AVERAGEIFS(
'STH Efficacy'!$CD:$CD, 
'STH Efficacy'!$BS:$BS, $A112, 
'STH Efficacy'!$BT:$BT, "Mebendazole",
'STH Efficacy'!$BZ:$BZ,"&lt;2016",
'STH Efficacy'!$CU:$CU,""),
"")</f>
        <v/>
      </c>
      <c r="BI112" s="580">
        <f t="shared" si="22"/>
        <v>0.8483333333</v>
      </c>
      <c r="BJ112" s="585" t="str">
        <f>IFERROR(AVERAGEIFS(
'STH Efficacy'!$CD:$CD, 
'STH Efficacy'!$BS:$BS, $A112, 
'STH Efficacy'!$BT:$BT, "Albendazole &amp; Ivermectin",
'STH Efficacy'!$BZ:$BZ,"&lt;2016",
'STH Efficacy'!$CU:$CU,""),
"")</f>
        <v/>
      </c>
      <c r="BK112" s="580">
        <f t="shared" si="23"/>
        <v>0.696</v>
      </c>
      <c r="BL112" s="575" t="str">
        <f>IFERROR(
  AVERAGEIFS(
    'NEW Onchocerciasis Efficacy'!$AO:$AO,
    'NEW Onchocerciasis Efficacy'!$C:$C,$A112,
    'NEW Onchocerciasis Efficacy'!$D:$D,"Ivermectin",
    'NEW Onchocerciasis Efficacy'!$AR:$AR,"&lt;2016",
    'NEW Onchocerciasis Efficacy'!$BG:$BG,"")
,"")</f>
        <v/>
      </c>
      <c r="BM112" s="586">
        <f t="shared" si="24"/>
        <v>0.8390421645</v>
      </c>
      <c r="BN112" s="587">
        <v>0.0</v>
      </c>
      <c r="BO112" s="588">
        <v>1.0</v>
      </c>
      <c r="BP112" s="589">
        <v>1.0</v>
      </c>
      <c r="BQ112" s="590">
        <f t="shared" si="25"/>
        <v>0</v>
      </c>
      <c r="BR112" s="560" t="str">
        <f t="shared" si="26"/>
        <v>0110</v>
      </c>
      <c r="BS112" s="560" t="str">
        <f t="shared" si="27"/>
        <v>MDA3+T2</v>
      </c>
      <c r="BT112" s="606" t="str">
        <f t="shared" si="28"/>
        <v>IVM</v>
      </c>
      <c r="BU112" s="560" t="str">
        <f t="shared" si="29"/>
        <v>PZQ</v>
      </c>
      <c r="BV112" s="560" t="str">
        <f t="shared" si="30"/>
        <v>onch+schist</v>
      </c>
      <c r="BW112" s="150" t="str">
        <f t="shared" si="31"/>
        <v/>
      </c>
      <c r="BX112" s="150" t="str">
        <f t="shared" si="32"/>
        <v/>
      </c>
      <c r="BY112" s="608">
        <f t="shared" si="33"/>
        <v>0</v>
      </c>
      <c r="BZ112" s="152" t="str">
        <f t="shared" si="34"/>
        <v/>
      </c>
      <c r="CA112" s="152" t="str">
        <f t="shared" si="35"/>
        <v/>
      </c>
      <c r="CB112" s="152" t="str">
        <f t="shared" si="36"/>
        <v/>
      </c>
      <c r="CC112" s="153" t="str">
        <f t="shared" si="37"/>
        <v/>
      </c>
      <c r="CD112" s="153" t="str">
        <f t="shared" si="38"/>
        <v/>
      </c>
      <c r="CE112" s="154" t="str">
        <f t="shared" si="39"/>
        <v/>
      </c>
      <c r="CF112" s="154" t="str">
        <f t="shared" si="40"/>
        <v/>
      </c>
      <c r="CG112" s="154" t="str">
        <f t="shared" si="41"/>
        <v/>
      </c>
      <c r="CH112" s="637">
        <f t="shared" si="42"/>
        <v>0</v>
      </c>
    </row>
    <row r="113">
      <c r="A113" s="559" t="s">
        <v>202</v>
      </c>
      <c r="B113" s="560" t="s">
        <v>92</v>
      </c>
      <c r="C113" s="561">
        <v>4499621.0</v>
      </c>
      <c r="D113" s="562">
        <v>17087.42431</v>
      </c>
      <c r="E113" s="563">
        <v>11160.0530502762</v>
      </c>
      <c r="F113" s="564">
        <v>1.212901652</v>
      </c>
      <c r="G113" s="564">
        <v>7.69589719</v>
      </c>
      <c r="H113" s="564">
        <v>36.41167621</v>
      </c>
      <c r="I113" s="565">
        <v>182.2519036</v>
      </c>
      <c r="J113" s="566">
        <v>622.192529147704</v>
      </c>
      <c r="K113" s="566">
        <v>2326.75189078741</v>
      </c>
      <c r="L113" s="567">
        <v>958.4973947</v>
      </c>
      <c r="M113" s="568">
        <v>325.539767065827</v>
      </c>
      <c r="N113" s="568">
        <v>1694.89091120888</v>
      </c>
      <c r="O113" s="569">
        <v>51830.9</v>
      </c>
      <c r="P113" s="601">
        <v>491445.771125</v>
      </c>
      <c r="Q113" s="618">
        <v>2002850.0</v>
      </c>
      <c r="R113" s="603">
        <v>0.8403</v>
      </c>
      <c r="S113" s="116">
        <f t="shared" si="6"/>
        <v>0.8403</v>
      </c>
      <c r="T113" s="572">
        <v>0.1548</v>
      </c>
      <c r="U113" s="572">
        <f t="shared" si="7"/>
        <v>0.1548</v>
      </c>
      <c r="V113" s="573">
        <v>1.0</v>
      </c>
      <c r="W113" s="574">
        <f t="shared" si="8"/>
        <v>1</v>
      </c>
      <c r="X113" s="573">
        <v>0.9422</v>
      </c>
      <c r="Y113" s="574">
        <f t="shared" si="9"/>
        <v>0.9422</v>
      </c>
      <c r="Z113" s="604">
        <v>2575431.0</v>
      </c>
      <c r="AA113" s="604">
        <v>2165520.0</v>
      </c>
      <c r="AB113" s="576">
        <f t="shared" si="10"/>
        <v>0.8408379025</v>
      </c>
      <c r="AC113" s="576">
        <f t="shared" si="11"/>
        <v>0.8408379025</v>
      </c>
      <c r="AD113" s="577">
        <v>0.1056331946</v>
      </c>
      <c r="AE113" s="572">
        <v>0.2771174291</v>
      </c>
      <c r="AF113" s="578">
        <v>0.05665596402</v>
      </c>
      <c r="AG113" s="132">
        <v>0.04378311334</v>
      </c>
      <c r="AH113" s="132">
        <v>0.143976424</v>
      </c>
      <c r="AI113" s="579">
        <v>0.09661669041</v>
      </c>
      <c r="AJ113" s="579">
        <v>0.1221438272</v>
      </c>
      <c r="AK113" s="580">
        <v>0.1954000144</v>
      </c>
      <c r="AL113" s="580">
        <v>0.2349404255</v>
      </c>
      <c r="AM113" s="581">
        <v>0.1872340208</v>
      </c>
      <c r="AN113" s="571" t="str">
        <f>IFERROR(
  AVERAGEIFS(
    'New LF Efficacy'!$J:$J,
    'New LF Efficacy'!$D:$D, $A113,
    'New LF Efficacy'!$F:$F,"DEC", 
    'New LF Efficacy'!$W:$W,"&lt;2016",
    'New LF Efficacy'!$AA:$AA,""),
  ""
)</f>
        <v/>
      </c>
      <c r="AO113" s="582">
        <f t="shared" si="12"/>
        <v>0.31225</v>
      </c>
      <c r="AP113" s="571" t="str">
        <f>IFERROR(
AVERAGEIFS(
'New LF Efficacy'!$J:$J,
'New LF Efficacy'!$D:$D,$A113,
'New LF Efficacy'!$F:$F,"Albendazole &amp; DEC",
'New LF Efficacy'!$W:$W,"&lt;2016",
'New LF Efficacy'!$AA:$AA,""),
"")</f>
        <v/>
      </c>
      <c r="AQ113" s="582">
        <f t="shared" si="13"/>
        <v>0.4</v>
      </c>
      <c r="AR113" s="571" t="str">
        <f>IFERROR(
AVERAGEIFS(
'New LF Efficacy'!$J:$J,
'New LF Efficacy'!$D:$D,$A113,
'New LF Efficacy'!$F:$F,"Albendazole &amp; Ivermectin", 
'New LF Efficacy'!$W:$W,"&lt;2016",
'New LF Efficacy'!$AA:$AA,""),"")</f>
        <v/>
      </c>
      <c r="AS113" s="582">
        <f t="shared" si="14"/>
        <v>0.2943125</v>
      </c>
      <c r="AT113" s="583" t="str">
        <f>IFERROR(AVERAGEIFS(
'Schist Efficacy'!$O:$O, 
'Schist Efficacy'!$C:$C,$A113, 
'Schist Efficacy'!$D:$D, "Praziquantel",
'Schist Efficacy'!$J:$J,"&lt;2016",
'Schist Efficacy'!$U:$U,""),
"")</f>
        <v/>
      </c>
      <c r="AU113" s="572">
        <f t="shared" si="15"/>
        <v>0.7206464759</v>
      </c>
      <c r="AV113" s="131" t="str">
        <f>IFERROR(AVERAGEIFS(
'STH Efficacy'!$AX:$AX, 
'STH Efficacy'!$AL:$AL, $A113, 
'STH Efficacy'!$AM:$AM, "Albendazole",
'STH Efficacy'!$AS:$AS,"&lt;2016",
'STH Efficacy'!$BP:$BP,""),
"")</f>
        <v/>
      </c>
      <c r="AW113" s="132">
        <f t="shared" si="16"/>
        <v>0.3816333333</v>
      </c>
      <c r="AX113" s="131" t="str">
        <f>IFERROR(AVERAGEIFS(
'STH Efficacy'!$AX:$AX, 
'STH Efficacy'!$AL:$AL, $A113, 
'STH Efficacy'!$AM:$AM, "Mebendazole",
'STH Efficacy'!$AS:$AS,"&lt;2016",
'STH Efficacy'!$BP:$BP,""),
"")</f>
        <v/>
      </c>
      <c r="AY113" s="132">
        <f t="shared" si="17"/>
        <v>0.4859375</v>
      </c>
      <c r="AZ113" s="131" t="str">
        <f>IFERROR(AVERAGEIFS(
'STH Efficacy'!$AX:$AX, 
'STH Efficacy'!$AL:$AL, $A113, 
'STH Efficacy'!$AM:$AM, "Albendazole &amp; Ivermectin",
'STH Efficacy'!$AS:$AS,"&lt;2016",
'STH Efficacy'!$BP:$BP,""),
"")</f>
        <v/>
      </c>
      <c r="BA113" s="303">
        <f t="shared" si="18"/>
        <v>0.47175</v>
      </c>
      <c r="BB113" s="584" t="str">
        <f>IFERROR(AVERAGEIFS(
'STH Efficacy'!$N:$N, 
'STH Efficacy'!$B:$B, $A113, 
'STH Efficacy'!$C:$C, "Albendazole",
'STH Efficacy'!$I:$I,"&lt;2016",
'STH Efficacy'!$AH:$AH,""),
"")</f>
        <v/>
      </c>
      <c r="BC113" s="579">
        <f t="shared" si="19"/>
        <v>0.8699166667</v>
      </c>
      <c r="BD113" s="584" t="str">
        <f>IFERROR(AVERAGEIFS(
'STH Efficacy'!$N:$N, 
'STH Efficacy'!$B:$B, $A113, 
'STH Efficacy'!$C:$C, "Mebendazole",
'STH Efficacy'!$I:$I,"&lt;2016",
'STH Efficacy'!$AH:$AH,""),
"")</f>
        <v/>
      </c>
      <c r="BE113" s="579">
        <f t="shared" si="20"/>
        <v>0.7092416667</v>
      </c>
      <c r="BF113" s="585" t="str">
        <f>IFERROR(AVERAGEIFS(
'STH Efficacy'!$CD:$CD, 
'STH Efficacy'!$BS:$BS, $A113, 
'STH Efficacy'!$BT:$BT, "Albendazole",
'STH Efficacy'!$BZ:$BZ,"&lt;2016",
'STH Efficacy'!$CU:$CU,""),
"")</f>
        <v/>
      </c>
      <c r="BG113" s="580">
        <f t="shared" si="21"/>
        <v>0.9066666667</v>
      </c>
      <c r="BH113" s="585" t="str">
        <f>IFERROR(AVERAGEIFS(
'STH Efficacy'!$CD:$CD, 
'STH Efficacy'!$BS:$BS, $A113, 
'STH Efficacy'!$BT:$BT, "Mebendazole",
'STH Efficacy'!$BZ:$BZ,"&lt;2016",
'STH Efficacy'!$CU:$CU,""),
"")</f>
        <v/>
      </c>
      <c r="BI113" s="580">
        <f t="shared" si="22"/>
        <v>0.8483333333</v>
      </c>
      <c r="BJ113" s="585" t="str">
        <f>IFERROR(AVERAGEIFS(
'STH Efficacy'!$CD:$CD, 
'STH Efficacy'!$BS:$BS, $A113, 
'STH Efficacy'!$BT:$BT, "Albendazole &amp; Ivermectin",
'STH Efficacy'!$BZ:$BZ,"&lt;2016",
'STH Efficacy'!$CU:$CU,""),
"")</f>
        <v/>
      </c>
      <c r="BK113" s="580">
        <f t="shared" si="23"/>
        <v>0.696</v>
      </c>
      <c r="BL113" s="575">
        <f>IFERROR(
  AVERAGEIFS(
    'NEW Onchocerciasis Efficacy'!$AO:$AO,
    'NEW Onchocerciasis Efficacy'!$C:$C,$A113,
    'NEW Onchocerciasis Efficacy'!$D:$D,"Ivermectin",
    'NEW Onchocerciasis Efficacy'!$AR:$AR,"&lt;2016",
    'NEW Onchocerciasis Efficacy'!$BG:$BG,"")
,"")</f>
        <v>0.9258818182</v>
      </c>
      <c r="BM113" s="586">
        <f t="shared" si="24"/>
        <v>0.9258818182</v>
      </c>
      <c r="BN113" s="587">
        <v>1.0</v>
      </c>
      <c r="BO113" s="588">
        <v>0.0</v>
      </c>
      <c r="BP113" s="589">
        <v>1.0</v>
      </c>
      <c r="BQ113" s="590">
        <f t="shared" si="25"/>
        <v>0</v>
      </c>
      <c r="BR113" s="560" t="str">
        <f t="shared" si="26"/>
        <v>1010</v>
      </c>
      <c r="BS113" s="560" t="str">
        <f t="shared" si="27"/>
        <v>MDA1/2+T2</v>
      </c>
      <c r="BT113" s="606" t="str">
        <f t="shared" si="28"/>
        <v>IVM+ALB or DEC +ALB</v>
      </c>
      <c r="BU113" s="560" t="str">
        <f t="shared" si="29"/>
        <v>PZQ</v>
      </c>
      <c r="BV113" s="560" t="str">
        <f t="shared" si="30"/>
        <v>lf+schist </v>
      </c>
      <c r="BW113" s="150" t="str">
        <f t="shared" si="31"/>
        <v/>
      </c>
      <c r="BX113" s="607">
        <f t="shared" si="32"/>
        <v>5614.408223</v>
      </c>
      <c r="BY113" s="608">
        <f t="shared" si="33"/>
        <v>1401.294638</v>
      </c>
      <c r="BZ113" s="152" t="str">
        <f t="shared" si="34"/>
        <v/>
      </c>
      <c r="CA113" s="152" t="str">
        <f t="shared" si="35"/>
        <v/>
      </c>
      <c r="CB113" s="152" t="str">
        <f t="shared" si="36"/>
        <v/>
      </c>
      <c r="CC113" s="153" t="str">
        <f t="shared" si="37"/>
        <v/>
      </c>
      <c r="CD113" s="153" t="str">
        <f t="shared" si="38"/>
        <v/>
      </c>
      <c r="CE113" s="154" t="str">
        <f t="shared" si="39"/>
        <v/>
      </c>
      <c r="CF113" s="154" t="str">
        <f t="shared" si="40"/>
        <v/>
      </c>
      <c r="CG113" s="154" t="str">
        <f t="shared" si="41"/>
        <v/>
      </c>
      <c r="CH113" s="308" t="str">
        <f t="shared" si="42"/>
        <v/>
      </c>
    </row>
    <row r="114">
      <c r="A114" s="559" t="s">
        <v>203</v>
      </c>
      <c r="B114" s="560" t="s">
        <v>88</v>
      </c>
      <c r="C114" s="561">
        <v>6234955.0</v>
      </c>
      <c r="D114" s="562">
        <v>0.0</v>
      </c>
      <c r="E114" s="563">
        <v>9462.78285607046</v>
      </c>
      <c r="F114" s="564">
        <v>0.300737885</v>
      </c>
      <c r="G114" s="564">
        <v>2.011270017</v>
      </c>
      <c r="H114" s="564">
        <v>7.490783303</v>
      </c>
      <c r="I114" s="565">
        <v>2.424224038</v>
      </c>
      <c r="J114" s="566">
        <v>6.46167160732197</v>
      </c>
      <c r="K114" s="566">
        <v>26.5603792738665</v>
      </c>
      <c r="L114" s="567">
        <v>5.474144993</v>
      </c>
      <c r="M114" s="568">
        <v>5.45669074765301</v>
      </c>
      <c r="N114" s="568">
        <v>17.8122681634196</v>
      </c>
      <c r="O114" s="569">
        <v>0.0</v>
      </c>
      <c r="P114" s="570"/>
      <c r="Q114" s="150"/>
      <c r="R114" s="571"/>
      <c r="S114" s="116">
        <f t="shared" si="6"/>
        <v>0.1495</v>
      </c>
      <c r="T114" s="151"/>
      <c r="U114" s="572">
        <f t="shared" si="7"/>
        <v>0.65895</v>
      </c>
      <c r="V114" s="598"/>
      <c r="W114" s="574">
        <f t="shared" si="8"/>
        <v>0.97535</v>
      </c>
      <c r="X114" s="598"/>
      <c r="Y114" s="574">
        <f t="shared" si="9"/>
        <v>0.41448</v>
      </c>
      <c r="Z114" s="308"/>
      <c r="AA114" s="308"/>
      <c r="AB114" s="575" t="str">
        <f t="shared" si="10"/>
        <v/>
      </c>
      <c r="AC114" s="576">
        <f t="shared" si="11"/>
        <v>0.4586145155</v>
      </c>
      <c r="AD114" s="577">
        <v>0.0</v>
      </c>
      <c r="AE114" s="572">
        <v>0.2019146362</v>
      </c>
      <c r="AF114" s="578">
        <v>0.0183054155</v>
      </c>
      <c r="AG114" s="132">
        <v>0.008422457031</v>
      </c>
      <c r="AH114" s="132">
        <v>0.026980209</v>
      </c>
      <c r="AI114" s="579">
        <v>0.00357010935</v>
      </c>
      <c r="AJ114" s="579">
        <v>0.004384345129</v>
      </c>
      <c r="AK114" s="580">
        <v>0.00681612265</v>
      </c>
      <c r="AL114" s="580">
        <v>0.007958657728</v>
      </c>
      <c r="AM114" s="581">
        <v>0.0</v>
      </c>
      <c r="AN114" s="571" t="str">
        <f>IFERROR(
  AVERAGEIFS(
    'New LF Efficacy'!$J:$J,
    'New LF Efficacy'!$D:$D, $A114,
    'New LF Efficacy'!$F:$F,"DEC", 
    'New LF Efficacy'!$W:$W,"&lt;2016",
    'New LF Efficacy'!$AA:$AA,""),
  ""
)</f>
        <v/>
      </c>
      <c r="AO114" s="582">
        <f t="shared" si="12"/>
        <v>0.3573520833</v>
      </c>
      <c r="AP114" s="571" t="str">
        <f>IFERROR(
AVERAGEIFS(
'New LF Efficacy'!$J:$J,
'New LF Efficacy'!$D:$D,$A114,
'New LF Efficacy'!$F:$F,"Albendazole &amp; DEC",
'New LF Efficacy'!$W:$W,"&lt;2016",
'New LF Efficacy'!$AA:$AA,""),
"")</f>
        <v/>
      </c>
      <c r="AQ114" s="582">
        <f t="shared" si="13"/>
        <v>0.7935</v>
      </c>
      <c r="AR114" s="571" t="str">
        <f>IFERROR(
AVERAGEIFS(
'New LF Efficacy'!$J:$J,
'New LF Efficacy'!$D:$D,$A114,
'New LF Efficacy'!$F:$F,"Albendazole &amp; Ivermectin", 
'New LF Efficacy'!$W:$W,"&lt;2016",
'New LF Efficacy'!$AA:$AA,""),"")</f>
        <v/>
      </c>
      <c r="AS114" s="582">
        <f t="shared" si="14"/>
        <v>0.37153125</v>
      </c>
      <c r="AT114" s="583" t="str">
        <f>IFERROR(AVERAGEIFS(
'Schist Efficacy'!$O:$O, 
'Schist Efficacy'!$C:$C,$A114, 
'Schist Efficacy'!$D:$D, "Praziquantel",
'Schist Efficacy'!$J:$J,"&lt;2016",
'Schist Efficacy'!$U:$U,""),
"")</f>
        <v/>
      </c>
      <c r="AU114" s="572">
        <f t="shared" si="15"/>
        <v>0.7763141026</v>
      </c>
      <c r="AV114" s="131" t="str">
        <f>IFERROR(AVERAGEIFS(
'STH Efficacy'!$AX:$AX, 
'STH Efficacy'!$AL:$AL, $A114, 
'STH Efficacy'!$AM:$AM, "Albendazole",
'STH Efficacy'!$AS:$AS,"&lt;2016",
'STH Efficacy'!$BP:$BP,""),
"")</f>
        <v/>
      </c>
      <c r="AW114" s="132">
        <f t="shared" si="16"/>
        <v>0.4143846154</v>
      </c>
      <c r="AX114" s="131" t="str">
        <f>IFERROR(AVERAGEIFS(
'STH Efficacy'!$AX:$AX, 
'STH Efficacy'!$AL:$AL, $A114, 
'STH Efficacy'!$AM:$AM, "Mebendazole",
'STH Efficacy'!$AS:$AS,"&lt;2016",
'STH Efficacy'!$BP:$BP,""),
"")</f>
        <v/>
      </c>
      <c r="AY114" s="132">
        <f t="shared" si="17"/>
        <v>0.4691770833</v>
      </c>
      <c r="AZ114" s="131" t="str">
        <f>IFERROR(AVERAGEIFS(
'STH Efficacy'!$AX:$AX, 
'STH Efficacy'!$AL:$AL, $A114, 
'STH Efficacy'!$AM:$AM, "Albendazole &amp; Ivermectin",
'STH Efficacy'!$AS:$AS,"&lt;2016",
'STH Efficacy'!$BP:$BP,""),
"")</f>
        <v/>
      </c>
      <c r="BA114" s="303">
        <f t="shared" si="18"/>
        <v>0.597625</v>
      </c>
      <c r="BB114" s="584" t="str">
        <f>IFERROR(AVERAGEIFS(
'STH Efficacy'!$N:$N, 
'STH Efficacy'!$B:$B, $A114, 
'STH Efficacy'!$C:$C, "Albendazole",
'STH Efficacy'!$I:$I,"&lt;2016",
'STH Efficacy'!$AH:$AH,""),
"")</f>
        <v/>
      </c>
      <c r="BC114" s="579">
        <f t="shared" si="19"/>
        <v>0.7613712121</v>
      </c>
      <c r="BD114" s="584" t="str">
        <f>IFERROR(AVERAGEIFS(
'STH Efficacy'!$N:$N, 
'STH Efficacy'!$B:$B, $A114, 
'STH Efficacy'!$C:$C, "Mebendazole",
'STH Efficacy'!$I:$I,"&lt;2016",
'STH Efficacy'!$AH:$AH,""),
"")</f>
        <v/>
      </c>
      <c r="BE114" s="579">
        <f t="shared" si="20"/>
        <v>0.4362466667</v>
      </c>
      <c r="BF114" s="585" t="str">
        <f>IFERROR(AVERAGEIFS(
'STH Efficacy'!$CD:$CD, 
'STH Efficacy'!$BS:$BS, $A114, 
'STH Efficacy'!$BT:$BT, "Albendazole",
'STH Efficacy'!$BZ:$BZ,"&lt;2016",
'STH Efficacy'!$CU:$CU,""),
"")</f>
        <v/>
      </c>
      <c r="BG114" s="580">
        <f t="shared" si="21"/>
        <v>0.955</v>
      </c>
      <c r="BH114" s="585" t="str">
        <f>IFERROR(AVERAGEIFS(
'STH Efficacy'!$CD:$CD, 
'STH Efficacy'!$BS:$BS, $A114, 
'STH Efficacy'!$BT:$BT, "Mebendazole",
'STH Efficacy'!$BZ:$BZ,"&lt;2016",
'STH Efficacy'!$CU:$CU,""),
"")</f>
        <v/>
      </c>
      <c r="BI114" s="580">
        <f t="shared" si="22"/>
        <v>1</v>
      </c>
      <c r="BJ114" s="585" t="str">
        <f>IFERROR(AVERAGEIFS(
'STH Efficacy'!$CD:$CD, 
'STH Efficacy'!$BS:$BS, $A114, 
'STH Efficacy'!$BT:$BT, "Albendazole &amp; Ivermectin",
'STH Efficacy'!$BZ:$BZ,"&lt;2016",
'STH Efficacy'!$CU:$CU,""),
"")</f>
        <v/>
      </c>
      <c r="BK114" s="580">
        <f t="shared" si="23"/>
        <v>0.848</v>
      </c>
      <c r="BL114" s="575" t="str">
        <f>IFERROR(
  AVERAGEIFS(
    'NEW Onchocerciasis Efficacy'!$AO:$AO,
    'NEW Onchocerciasis Efficacy'!$C:$C,$A114,
    'NEW Onchocerciasis Efficacy'!$D:$D,"Ivermectin",
    'NEW Onchocerciasis Efficacy'!$AR:$AR,"&lt;2016",
    'NEW Onchocerciasis Efficacy'!$BG:$BG,"")
,"")</f>
        <v/>
      </c>
      <c r="BM114" s="586">
        <f t="shared" si="24"/>
        <v>0.7808368939</v>
      </c>
      <c r="BN114" s="587">
        <v>0.0</v>
      </c>
      <c r="BO114" s="588">
        <v>0.0</v>
      </c>
      <c r="BP114" s="589">
        <v>0.0</v>
      </c>
      <c r="BQ114" s="590">
        <f t="shared" si="25"/>
        <v>0</v>
      </c>
      <c r="BR114" s="560" t="str">
        <f t="shared" si="26"/>
        <v>0000</v>
      </c>
      <c r="BS114" s="560" t="str">
        <f t="shared" si="27"/>
        <v>no action required</v>
      </c>
      <c r="BT114" s="361" t="str">
        <f t="shared" si="28"/>
        <v/>
      </c>
      <c r="BU114" s="591" t="str">
        <f t="shared" si="29"/>
        <v/>
      </c>
      <c r="BV114" s="560" t="str">
        <f t="shared" si="30"/>
        <v>none</v>
      </c>
      <c r="BW114" s="150" t="str">
        <f t="shared" si="31"/>
        <v/>
      </c>
      <c r="BX114" s="150" t="str">
        <f t="shared" si="32"/>
        <v/>
      </c>
      <c r="BY114" s="151" t="str">
        <f t="shared" si="33"/>
        <v/>
      </c>
      <c r="BZ114" s="152" t="str">
        <f t="shared" si="34"/>
        <v/>
      </c>
      <c r="CA114" s="152" t="str">
        <f t="shared" si="35"/>
        <v/>
      </c>
      <c r="CB114" s="152" t="str">
        <f t="shared" si="36"/>
        <v/>
      </c>
      <c r="CC114" s="153" t="str">
        <f t="shared" si="37"/>
        <v/>
      </c>
      <c r="CD114" s="153" t="str">
        <f t="shared" si="38"/>
        <v/>
      </c>
      <c r="CE114" s="154" t="str">
        <f t="shared" si="39"/>
        <v/>
      </c>
      <c r="CF114" s="154" t="str">
        <f t="shared" si="40"/>
        <v/>
      </c>
      <c r="CG114" s="154" t="str">
        <f t="shared" si="41"/>
        <v/>
      </c>
      <c r="CH114" s="308" t="str">
        <f t="shared" si="42"/>
        <v/>
      </c>
    </row>
    <row r="115">
      <c r="A115" s="559" t="s">
        <v>204</v>
      </c>
      <c r="B115" s="560" t="s">
        <v>90</v>
      </c>
      <c r="C115" s="561">
        <v>2904910.0</v>
      </c>
      <c r="D115" s="562">
        <v>0.0</v>
      </c>
      <c r="E115" s="563">
        <v>0.0</v>
      </c>
      <c r="F115" s="564">
        <v>0.0</v>
      </c>
      <c r="G115" s="564">
        <v>0.0</v>
      </c>
      <c r="H115" s="564">
        <v>0.0</v>
      </c>
      <c r="I115" s="565">
        <v>0.0</v>
      </c>
      <c r="J115" s="566">
        <v>0.0</v>
      </c>
      <c r="K115" s="566">
        <v>0.0</v>
      </c>
      <c r="L115" s="567">
        <v>0.026316089</v>
      </c>
      <c r="M115" s="568">
        <v>0.0133914644584193</v>
      </c>
      <c r="N115" s="568">
        <v>0.116796933762509</v>
      </c>
      <c r="O115" s="569">
        <v>0.0</v>
      </c>
      <c r="P115" s="570"/>
      <c r="Q115" s="150"/>
      <c r="R115" s="571"/>
      <c r="S115" s="116">
        <f t="shared" si="6"/>
        <v>0.6648642857</v>
      </c>
      <c r="T115" s="151"/>
      <c r="U115" s="572">
        <f t="shared" si="7"/>
        <v>0.53016</v>
      </c>
      <c r="V115" s="598"/>
      <c r="W115" s="574" t="b">
        <f t="shared" si="8"/>
        <v>0</v>
      </c>
      <c r="X115" s="598"/>
      <c r="Y115" s="574">
        <f t="shared" si="9"/>
        <v>0.631675</v>
      </c>
      <c r="Z115" s="308"/>
      <c r="AA115" s="308"/>
      <c r="AB115" s="575" t="str">
        <f t="shared" si="10"/>
        <v/>
      </c>
      <c r="AC115" s="576">
        <f t="shared" si="11"/>
        <v>0.7192241206</v>
      </c>
      <c r="AD115" s="577">
        <v>0.0</v>
      </c>
      <c r="AE115" s="572">
        <v>0.0</v>
      </c>
      <c r="AF115" s="578">
        <v>0.0</v>
      </c>
      <c r="AG115" s="132">
        <v>0.0</v>
      </c>
      <c r="AH115" s="132">
        <v>0.0</v>
      </c>
      <c r="AI115" s="579">
        <v>0.0</v>
      </c>
      <c r="AJ115" s="579">
        <v>0.0</v>
      </c>
      <c r="AK115" s="580">
        <v>0.0</v>
      </c>
      <c r="AL115" s="580">
        <v>0.0</v>
      </c>
      <c r="AM115" s="581">
        <v>0.0</v>
      </c>
      <c r="AN115" s="571" t="str">
        <f>IFERROR(
  AVERAGEIFS(
    'New LF Efficacy'!$J:$J,
    'New LF Efficacy'!$D:$D, $A115,
    'New LF Efficacy'!$F:$F,"DEC", 
    'New LF Efficacy'!$W:$W,"&lt;2016",
    'New LF Efficacy'!$AA:$AA,""),
  ""
)</f>
        <v/>
      </c>
      <c r="AO115" s="582">
        <f t="shared" si="12"/>
        <v>0.3573520833</v>
      </c>
      <c r="AP115" s="571" t="str">
        <f>IFERROR(
AVERAGEIFS(
'New LF Efficacy'!$J:$J,
'New LF Efficacy'!$D:$D,$A115,
'New LF Efficacy'!$F:$F,"Albendazole &amp; DEC",
'New LF Efficacy'!$W:$W,"&lt;2016",
'New LF Efficacy'!$AA:$AA,""),
"")</f>
        <v/>
      </c>
      <c r="AQ115" s="582">
        <f t="shared" si="13"/>
        <v>0.5143541667</v>
      </c>
      <c r="AR115" s="571" t="str">
        <f>IFERROR(
AVERAGEIFS(
'New LF Efficacy'!$J:$J,
'New LF Efficacy'!$D:$D,$A115,
'New LF Efficacy'!$F:$F,"Albendazole &amp; Ivermectin", 
'New LF Efficacy'!$W:$W,"&lt;2016",
'New LF Efficacy'!$AA:$AA,""),"")</f>
        <v/>
      </c>
      <c r="AS115" s="582">
        <f t="shared" si="14"/>
        <v>0.37153125</v>
      </c>
      <c r="AT115" s="583" t="str">
        <f>IFERROR(AVERAGEIFS(
'Schist Efficacy'!$O:$O, 
'Schist Efficacy'!$C:$C,$A115, 
'Schist Efficacy'!$D:$D, "Praziquantel",
'Schist Efficacy'!$J:$J,"&lt;2016",
'Schist Efficacy'!$U:$U,""),
"")</f>
        <v/>
      </c>
      <c r="AU115" s="572">
        <f t="shared" si="15"/>
        <v>0.655</v>
      </c>
      <c r="AV115" s="131" t="str">
        <f>IFERROR(AVERAGEIFS(
'STH Efficacy'!$AX:$AX, 
'STH Efficacy'!$AL:$AL, $A115, 
'STH Efficacy'!$AM:$AM, "Albendazole",
'STH Efficacy'!$AS:$AS,"&lt;2016",
'STH Efficacy'!$BP:$BP,""),
"")</f>
        <v/>
      </c>
      <c r="AW115" s="132">
        <f t="shared" si="16"/>
        <v>0.4143846154</v>
      </c>
      <c r="AX115" s="131" t="str">
        <f>IFERROR(AVERAGEIFS(
'STH Efficacy'!$AX:$AX, 
'STH Efficacy'!$AL:$AL, $A115, 
'STH Efficacy'!$AM:$AM, "Mebendazole",
'STH Efficacy'!$AS:$AS,"&lt;2016",
'STH Efficacy'!$BP:$BP,""),
"")</f>
        <v/>
      </c>
      <c r="AY115" s="132">
        <f t="shared" si="17"/>
        <v>0.4691770833</v>
      </c>
      <c r="AZ115" s="131" t="str">
        <f>IFERROR(AVERAGEIFS(
'STH Efficacy'!$AX:$AX, 
'STH Efficacy'!$AL:$AL, $A115, 
'STH Efficacy'!$AM:$AM, "Albendazole &amp; Ivermectin",
'STH Efficacy'!$AS:$AS,"&lt;2016",
'STH Efficacy'!$BP:$BP,""),
"")</f>
        <v/>
      </c>
      <c r="BA115" s="303">
        <f t="shared" si="18"/>
        <v>0.597625</v>
      </c>
      <c r="BB115" s="584" t="str">
        <f>IFERROR(AVERAGEIFS(
'STH Efficacy'!$N:$N, 
'STH Efficacy'!$B:$B, $A115, 
'STH Efficacy'!$C:$C, "Albendazole",
'STH Efficacy'!$I:$I,"&lt;2016",
'STH Efficacy'!$AH:$AH,""),
"")</f>
        <v/>
      </c>
      <c r="BC115" s="579">
        <f t="shared" si="19"/>
        <v>0.7613712121</v>
      </c>
      <c r="BD115" s="584" t="str">
        <f>IFERROR(AVERAGEIFS(
'STH Efficacy'!$N:$N, 
'STH Efficacy'!$B:$B, $A115, 
'STH Efficacy'!$C:$C, "Mebendazole",
'STH Efficacy'!$I:$I,"&lt;2016",
'STH Efficacy'!$AH:$AH,""),
"")</f>
        <v/>
      </c>
      <c r="BE115" s="579">
        <f t="shared" si="20"/>
        <v>0.4362466667</v>
      </c>
      <c r="BF115" s="585" t="str">
        <f>IFERROR(AVERAGEIFS(
'STH Efficacy'!$CD:$CD, 
'STH Efficacy'!$BS:$BS, $A115, 
'STH Efficacy'!$BT:$BT, "Albendazole",
'STH Efficacy'!$BZ:$BZ,"&lt;2016",
'STH Efficacy'!$CU:$CU,""),
"")</f>
        <v/>
      </c>
      <c r="BG115" s="580">
        <f t="shared" si="21"/>
        <v>0.9216027778</v>
      </c>
      <c r="BH115" s="585" t="str">
        <f>IFERROR(AVERAGEIFS(
'STH Efficacy'!$CD:$CD, 
'STH Efficacy'!$BS:$BS, $A115, 
'STH Efficacy'!$BT:$BT, "Mebendazole",
'STH Efficacy'!$BZ:$BZ,"&lt;2016",
'STH Efficacy'!$CU:$CU,""),
"")</f>
        <v/>
      </c>
      <c r="BI115" s="580">
        <f t="shared" si="22"/>
        <v>0.8866041667</v>
      </c>
      <c r="BJ115" s="585" t="str">
        <f>IFERROR(AVERAGEIFS(
'STH Efficacy'!$CD:$CD, 
'STH Efficacy'!$BS:$BS, $A115, 
'STH Efficacy'!$BT:$BT, "Albendazole &amp; Ivermectin",
'STH Efficacy'!$BZ:$BZ,"&lt;2016",
'STH Efficacy'!$CU:$CU,""),
"")</f>
        <v/>
      </c>
      <c r="BK115" s="580">
        <f t="shared" si="23"/>
        <v>0.848</v>
      </c>
      <c r="BL115" s="575" t="str">
        <f>IFERROR(
  AVERAGEIFS(
    'NEW Onchocerciasis Efficacy'!$AO:$AO,
    'NEW Onchocerciasis Efficacy'!$C:$C,$A115,
    'NEW Onchocerciasis Efficacy'!$D:$D,"Ivermectin",
    'NEW Onchocerciasis Efficacy'!$AR:$AR,"&lt;2016",
    'NEW Onchocerciasis Efficacy'!$BG:$BG,"")
,"")</f>
        <v/>
      </c>
      <c r="BM115" s="586">
        <f t="shared" si="24"/>
        <v>0.7808368939</v>
      </c>
      <c r="BN115" s="587">
        <v>0.0</v>
      </c>
      <c r="BO115" s="588">
        <v>0.0</v>
      </c>
      <c r="BP115" s="589">
        <v>0.0</v>
      </c>
      <c r="BQ115" s="590">
        <f t="shared" si="25"/>
        <v>0</v>
      </c>
      <c r="BR115" s="560" t="str">
        <f t="shared" si="26"/>
        <v>0000</v>
      </c>
      <c r="BS115" s="560" t="str">
        <f t="shared" si="27"/>
        <v>no action required</v>
      </c>
      <c r="BT115" s="361" t="str">
        <f t="shared" si="28"/>
        <v/>
      </c>
      <c r="BU115" s="591" t="str">
        <f t="shared" si="29"/>
        <v/>
      </c>
      <c r="BV115" s="560" t="str">
        <f t="shared" si="30"/>
        <v>none</v>
      </c>
      <c r="BW115" s="150" t="str">
        <f t="shared" si="31"/>
        <v/>
      </c>
      <c r="BX115" s="150" t="str">
        <f t="shared" si="32"/>
        <v/>
      </c>
      <c r="BY115" s="151" t="str">
        <f t="shared" si="33"/>
        <v/>
      </c>
      <c r="BZ115" s="152" t="str">
        <f t="shared" si="34"/>
        <v/>
      </c>
      <c r="CA115" s="152" t="str">
        <f t="shared" si="35"/>
        <v/>
      </c>
      <c r="CB115" s="152" t="str">
        <f t="shared" si="36"/>
        <v/>
      </c>
      <c r="CC115" s="153" t="str">
        <f t="shared" si="37"/>
        <v/>
      </c>
      <c r="CD115" s="153" t="str">
        <f t="shared" si="38"/>
        <v/>
      </c>
      <c r="CE115" s="154" t="str">
        <f t="shared" si="39"/>
        <v/>
      </c>
      <c r="CF115" s="154" t="str">
        <f t="shared" si="40"/>
        <v/>
      </c>
      <c r="CG115" s="154" t="str">
        <f t="shared" si="41"/>
        <v/>
      </c>
      <c r="CH115" s="308" t="str">
        <f t="shared" si="42"/>
        <v/>
      </c>
    </row>
    <row r="116">
      <c r="A116" s="559" t="s">
        <v>205</v>
      </c>
      <c r="B116" s="560" t="s">
        <v>90</v>
      </c>
      <c r="C116" s="561">
        <v>569604.0</v>
      </c>
      <c r="D116" s="562">
        <v>0.0</v>
      </c>
      <c r="E116" s="563">
        <v>0.0</v>
      </c>
      <c r="F116" s="564">
        <v>0.0</v>
      </c>
      <c r="G116" s="564">
        <v>0.0</v>
      </c>
      <c r="H116" s="564">
        <v>0.0</v>
      </c>
      <c r="I116" s="565">
        <v>0.0</v>
      </c>
      <c r="J116" s="566">
        <v>0.0</v>
      </c>
      <c r="K116" s="566">
        <v>0.0</v>
      </c>
      <c r="L116" s="567">
        <v>0.0</v>
      </c>
      <c r="M116" s="568">
        <v>0.0</v>
      </c>
      <c r="N116" s="568">
        <v>0.0</v>
      </c>
      <c r="O116" s="569">
        <v>0.0</v>
      </c>
      <c r="P116" s="570"/>
      <c r="Q116" s="150"/>
      <c r="R116" s="571"/>
      <c r="S116" s="116">
        <f t="shared" si="6"/>
        <v>0.6648642857</v>
      </c>
      <c r="T116" s="151"/>
      <c r="U116" s="572">
        <f t="shared" si="7"/>
        <v>0.53016</v>
      </c>
      <c r="V116" s="598"/>
      <c r="W116" s="574" t="b">
        <f t="shared" si="8"/>
        <v>0</v>
      </c>
      <c r="X116" s="598"/>
      <c r="Y116" s="574">
        <f t="shared" si="9"/>
        <v>0.631675</v>
      </c>
      <c r="Z116" s="308"/>
      <c r="AA116" s="308"/>
      <c r="AB116" s="575" t="str">
        <f t="shared" si="10"/>
        <v/>
      </c>
      <c r="AC116" s="576">
        <f t="shared" si="11"/>
        <v>0.7192241206</v>
      </c>
      <c r="AD116" s="577">
        <v>0.0</v>
      </c>
      <c r="AE116" s="572">
        <v>0.0</v>
      </c>
      <c r="AF116" s="578">
        <v>0.0</v>
      </c>
      <c r="AG116" s="133">
        <v>0.0</v>
      </c>
      <c r="AH116" s="133">
        <v>0.0</v>
      </c>
      <c r="AI116" s="623">
        <v>0.0</v>
      </c>
      <c r="AJ116" s="623">
        <v>0.0</v>
      </c>
      <c r="AK116" s="624">
        <v>0.0</v>
      </c>
      <c r="AL116" s="624">
        <v>0.0</v>
      </c>
      <c r="AM116" s="581">
        <v>0.0</v>
      </c>
      <c r="AN116" s="571" t="str">
        <f>IFERROR(
  AVERAGEIFS(
    'New LF Efficacy'!$J:$J,
    'New LF Efficacy'!$D:$D, $A116,
    'New LF Efficacy'!$F:$F,"DEC", 
    'New LF Efficacy'!$W:$W,"&lt;2016",
    'New LF Efficacy'!$AA:$AA,""),
  ""
)</f>
        <v/>
      </c>
      <c r="AO116" s="582">
        <f t="shared" si="12"/>
        <v>0.3573520833</v>
      </c>
      <c r="AP116" s="571" t="str">
        <f>IFERROR(
AVERAGEIFS(
'New LF Efficacy'!$J:$J,
'New LF Efficacy'!$D:$D,$A116,
'New LF Efficacy'!$F:$F,"Albendazole &amp; DEC",
'New LF Efficacy'!$W:$W,"&lt;2016",
'New LF Efficacy'!$AA:$AA,""),
"")</f>
        <v/>
      </c>
      <c r="AQ116" s="582">
        <f t="shared" si="13"/>
        <v>0.5143541667</v>
      </c>
      <c r="AR116" s="571" t="str">
        <f>IFERROR(
AVERAGEIFS(
'New LF Efficacy'!$J:$J,
'New LF Efficacy'!$D:$D,$A116,
'New LF Efficacy'!$F:$F,"Albendazole &amp; Ivermectin", 
'New LF Efficacy'!$W:$W,"&lt;2016",
'New LF Efficacy'!$AA:$AA,""),"")</f>
        <v/>
      </c>
      <c r="AS116" s="582">
        <f t="shared" si="14"/>
        <v>0.37153125</v>
      </c>
      <c r="AT116" s="583" t="str">
        <f>IFERROR(AVERAGEIFS(
'Schist Efficacy'!$O:$O, 
'Schist Efficacy'!$C:$C,$A116, 
'Schist Efficacy'!$D:$D, "Praziquantel",
'Schist Efficacy'!$J:$J,"&lt;2016",
'Schist Efficacy'!$U:$U,""),
"")</f>
        <v/>
      </c>
      <c r="AU116" s="572">
        <f t="shared" si="15"/>
        <v>0.655</v>
      </c>
      <c r="AV116" s="131" t="str">
        <f>IFERROR(AVERAGEIFS(
'STH Efficacy'!$AX:$AX, 
'STH Efficacy'!$AL:$AL, $A116, 
'STH Efficacy'!$AM:$AM, "Albendazole",
'STH Efficacy'!$AS:$AS,"&lt;2016",
'STH Efficacy'!$BP:$BP,""),
"")</f>
        <v/>
      </c>
      <c r="AW116" s="132">
        <f t="shared" si="16"/>
        <v>0.4143846154</v>
      </c>
      <c r="AX116" s="131" t="str">
        <f>IFERROR(AVERAGEIFS(
'STH Efficacy'!$AX:$AX, 
'STH Efficacy'!$AL:$AL, $A116, 
'STH Efficacy'!$AM:$AM, "Mebendazole",
'STH Efficacy'!$AS:$AS,"&lt;2016",
'STH Efficacy'!$BP:$BP,""),
"")</f>
        <v/>
      </c>
      <c r="AY116" s="132">
        <f t="shared" si="17"/>
        <v>0.4691770833</v>
      </c>
      <c r="AZ116" s="131" t="str">
        <f>IFERROR(AVERAGEIFS(
'STH Efficacy'!$AX:$AX, 
'STH Efficacy'!$AL:$AL, $A116, 
'STH Efficacy'!$AM:$AM, "Albendazole &amp; Ivermectin",
'STH Efficacy'!$AS:$AS,"&lt;2016",
'STH Efficacy'!$BP:$BP,""),
"")</f>
        <v/>
      </c>
      <c r="BA116" s="303">
        <f t="shared" si="18"/>
        <v>0.597625</v>
      </c>
      <c r="BB116" s="584" t="str">
        <f>IFERROR(AVERAGEIFS(
'STH Efficacy'!$N:$N, 
'STH Efficacy'!$B:$B, $A116, 
'STH Efficacy'!$C:$C, "Albendazole",
'STH Efficacy'!$I:$I,"&lt;2016",
'STH Efficacy'!$AH:$AH,""),
"")</f>
        <v/>
      </c>
      <c r="BC116" s="579">
        <f t="shared" si="19"/>
        <v>0.7613712121</v>
      </c>
      <c r="BD116" s="584" t="str">
        <f>IFERROR(AVERAGEIFS(
'STH Efficacy'!$N:$N, 
'STH Efficacy'!$B:$B, $A116, 
'STH Efficacy'!$C:$C, "Mebendazole",
'STH Efficacy'!$I:$I,"&lt;2016",
'STH Efficacy'!$AH:$AH,""),
"")</f>
        <v/>
      </c>
      <c r="BE116" s="579">
        <f t="shared" si="20"/>
        <v>0.4362466667</v>
      </c>
      <c r="BF116" s="585" t="str">
        <f>IFERROR(AVERAGEIFS(
'STH Efficacy'!$CD:$CD, 
'STH Efficacy'!$BS:$BS, $A116, 
'STH Efficacy'!$BT:$BT, "Albendazole",
'STH Efficacy'!$BZ:$BZ,"&lt;2016",
'STH Efficacy'!$CU:$CU,""),
"")</f>
        <v/>
      </c>
      <c r="BG116" s="580">
        <f t="shared" si="21"/>
        <v>0.9216027778</v>
      </c>
      <c r="BH116" s="585" t="str">
        <f>IFERROR(AVERAGEIFS(
'STH Efficacy'!$CD:$CD, 
'STH Efficacy'!$BS:$BS, $A116, 
'STH Efficacy'!$BT:$BT, "Mebendazole",
'STH Efficacy'!$BZ:$BZ,"&lt;2016",
'STH Efficacy'!$CU:$CU,""),
"")</f>
        <v/>
      </c>
      <c r="BI116" s="580">
        <f t="shared" si="22"/>
        <v>0.8866041667</v>
      </c>
      <c r="BJ116" s="585" t="str">
        <f>IFERROR(AVERAGEIFS(
'STH Efficacy'!$CD:$CD, 
'STH Efficacy'!$BS:$BS, $A116, 
'STH Efficacy'!$BT:$BT, "Albendazole &amp; Ivermectin",
'STH Efficacy'!$BZ:$BZ,"&lt;2016",
'STH Efficacy'!$CU:$CU,""),
"")</f>
        <v/>
      </c>
      <c r="BK116" s="580">
        <f t="shared" si="23"/>
        <v>0.848</v>
      </c>
      <c r="BL116" s="575" t="str">
        <f>IFERROR(
  AVERAGEIFS(
    'NEW Onchocerciasis Efficacy'!$AO:$AO,
    'NEW Onchocerciasis Efficacy'!$C:$C,$A116,
    'NEW Onchocerciasis Efficacy'!$D:$D,"Ivermectin",
    'NEW Onchocerciasis Efficacy'!$AR:$AR,"&lt;2016",
    'NEW Onchocerciasis Efficacy'!$BG:$BG,"")
,"")</f>
        <v/>
      </c>
      <c r="BM116" s="586">
        <f t="shared" si="24"/>
        <v>0.7808368939</v>
      </c>
      <c r="BN116" s="587">
        <v>0.0</v>
      </c>
      <c r="BO116" s="588">
        <v>1.0</v>
      </c>
      <c r="BP116" s="589">
        <v>0.0</v>
      </c>
      <c r="BQ116" s="590">
        <f t="shared" si="25"/>
        <v>0</v>
      </c>
      <c r="BR116" s="560" t="str">
        <f t="shared" si="26"/>
        <v>0100</v>
      </c>
      <c r="BS116" s="560" t="str">
        <f t="shared" si="27"/>
        <v>MDA3</v>
      </c>
      <c r="BT116" s="606" t="str">
        <f t="shared" si="28"/>
        <v>IVM</v>
      </c>
      <c r="BU116" s="591" t="str">
        <f t="shared" si="29"/>
        <v/>
      </c>
      <c r="BV116" s="560" t="str">
        <f t="shared" si="30"/>
        <v>onch only</v>
      </c>
      <c r="BW116" s="150" t="str">
        <f t="shared" si="31"/>
        <v/>
      </c>
      <c r="BX116" s="150" t="str">
        <f t="shared" si="32"/>
        <v/>
      </c>
      <c r="BY116" s="151" t="str">
        <f t="shared" si="33"/>
        <v/>
      </c>
      <c r="BZ116" s="152" t="str">
        <f t="shared" si="34"/>
        <v/>
      </c>
      <c r="CA116" s="152" t="str">
        <f t="shared" si="35"/>
        <v/>
      </c>
      <c r="CB116" s="152" t="str">
        <f t="shared" si="36"/>
        <v/>
      </c>
      <c r="CC116" s="153" t="str">
        <f t="shared" si="37"/>
        <v/>
      </c>
      <c r="CD116" s="153" t="str">
        <f t="shared" si="38"/>
        <v/>
      </c>
      <c r="CE116" s="154" t="str">
        <f t="shared" si="39"/>
        <v/>
      </c>
      <c r="CF116" s="154" t="str">
        <f t="shared" si="40"/>
        <v/>
      </c>
      <c r="CG116" s="154" t="str">
        <f t="shared" si="41"/>
        <v/>
      </c>
      <c r="CH116" s="637">
        <f t="shared" si="42"/>
        <v>0</v>
      </c>
    </row>
    <row r="117">
      <c r="A117" s="559" t="s">
        <v>206</v>
      </c>
      <c r="B117" s="560" t="s">
        <v>92</v>
      </c>
      <c r="C117" s="561">
        <v>2.4234088E7</v>
      </c>
      <c r="D117" s="562">
        <v>21820.59185</v>
      </c>
      <c r="E117" s="563">
        <v>21270.49850667</v>
      </c>
      <c r="F117" s="564">
        <v>93.22323624</v>
      </c>
      <c r="G117" s="564">
        <v>357.9902074</v>
      </c>
      <c r="H117" s="564">
        <v>2446.704684</v>
      </c>
      <c r="I117" s="565">
        <v>2370.371642</v>
      </c>
      <c r="J117" s="566">
        <v>7132.69762504054</v>
      </c>
      <c r="K117" s="566">
        <v>35069.8652670165</v>
      </c>
      <c r="L117" s="567">
        <v>2985.272367</v>
      </c>
      <c r="M117" s="568">
        <v>1106.7104474204</v>
      </c>
      <c r="N117" s="568">
        <v>6538.76464448327</v>
      </c>
      <c r="O117" s="569">
        <v>0.0</v>
      </c>
      <c r="P117" s="601">
        <v>873274.849318</v>
      </c>
      <c r="Q117" s="602">
        <v>0.0</v>
      </c>
      <c r="R117" s="602">
        <v>0.0</v>
      </c>
      <c r="S117" s="116">
        <f t="shared" si="6"/>
        <v>0</v>
      </c>
      <c r="T117" s="572">
        <v>0.4687</v>
      </c>
      <c r="U117" s="572">
        <f t="shared" si="7"/>
        <v>0.4687</v>
      </c>
      <c r="V117" s="573">
        <v>1.0</v>
      </c>
      <c r="W117" s="574">
        <f t="shared" si="8"/>
        <v>1</v>
      </c>
      <c r="X117" s="573">
        <v>0.4527</v>
      </c>
      <c r="Y117" s="574">
        <f t="shared" si="9"/>
        <v>0.4527</v>
      </c>
      <c r="Z117" s="308"/>
      <c r="AA117" s="308"/>
      <c r="AB117" s="575" t="str">
        <f t="shared" si="10"/>
        <v/>
      </c>
      <c r="AC117" s="576">
        <f t="shared" si="11"/>
        <v>0.6507101914</v>
      </c>
      <c r="AD117" s="577">
        <v>0.03416152777</v>
      </c>
      <c r="AE117" s="572">
        <v>0.07034231808</v>
      </c>
      <c r="AF117" s="578">
        <v>0.01652312673</v>
      </c>
      <c r="AG117" s="132">
        <v>0.02154929219</v>
      </c>
      <c r="AH117" s="132">
        <v>0.070840753</v>
      </c>
      <c r="AI117" s="579">
        <v>0.2004196513</v>
      </c>
      <c r="AJ117" s="579">
        <v>0.2536180082</v>
      </c>
      <c r="AK117" s="580">
        <v>0.06510129774</v>
      </c>
      <c r="AL117" s="580">
        <v>0.07845129308</v>
      </c>
      <c r="AM117" s="581">
        <v>0.0</v>
      </c>
      <c r="AN117" s="571" t="str">
        <f>IFERROR(
  AVERAGEIFS(
    'New LF Efficacy'!$J:$J,
    'New LF Efficacy'!$D:$D, $A117,
    'New LF Efficacy'!$F:$F,"DEC", 
    'New LF Efficacy'!$W:$W,"&lt;2016",
    'New LF Efficacy'!$AA:$AA,""),
  ""
)</f>
        <v/>
      </c>
      <c r="AO117" s="582">
        <f t="shared" si="12"/>
        <v>0.31225</v>
      </c>
      <c r="AP117" s="571" t="str">
        <f>IFERROR(
AVERAGEIFS(
'New LF Efficacy'!$J:$J,
'New LF Efficacy'!$D:$D,$A117,
'New LF Efficacy'!$F:$F,"Albendazole &amp; DEC",
'New LF Efficacy'!$W:$W,"&lt;2016",
'New LF Efficacy'!$AA:$AA,""),
"")</f>
        <v/>
      </c>
      <c r="AQ117" s="582">
        <f t="shared" si="13"/>
        <v>0.4</v>
      </c>
      <c r="AR117" s="571" t="str">
        <f>IFERROR(
AVERAGEIFS(
'New LF Efficacy'!$J:$J,
'New LF Efficacy'!$D:$D,$A117,
'New LF Efficacy'!$F:$F,"Albendazole &amp; Ivermectin", 
'New LF Efficacy'!$W:$W,"&lt;2016",
'New LF Efficacy'!$AA:$AA,""),"")</f>
        <v/>
      </c>
      <c r="AS117" s="582">
        <f t="shared" si="14"/>
        <v>0.2943125</v>
      </c>
      <c r="AT117" s="583" t="str">
        <f>IFERROR(AVERAGEIFS(
'Schist Efficacy'!$O:$O, 
'Schist Efficacy'!$C:$C,$A117, 
'Schist Efficacy'!$D:$D, "Praziquantel",
'Schist Efficacy'!$J:$J,"&lt;2016",
'Schist Efficacy'!$U:$U,""),
"")</f>
        <v/>
      </c>
      <c r="AU117" s="572">
        <f t="shared" si="15"/>
        <v>0.7206464759</v>
      </c>
      <c r="AV117" s="131" t="str">
        <f>IFERROR(AVERAGEIFS(
'STH Efficacy'!$AX:$AX, 
'STH Efficacy'!$AL:$AL, $A117, 
'STH Efficacy'!$AM:$AM, "Albendazole",
'STH Efficacy'!$AS:$AS,"&lt;2016",
'STH Efficacy'!$BP:$BP,""),
"")</f>
        <v/>
      </c>
      <c r="AW117" s="132">
        <f t="shared" si="16"/>
        <v>0.3816333333</v>
      </c>
      <c r="AX117" s="131" t="str">
        <f>IFERROR(AVERAGEIFS(
'STH Efficacy'!$AX:$AX, 
'STH Efficacy'!$AL:$AL, $A117, 
'STH Efficacy'!$AM:$AM, "Mebendazole",
'STH Efficacy'!$AS:$AS,"&lt;2016",
'STH Efficacy'!$BP:$BP,""),
"")</f>
        <v/>
      </c>
      <c r="AY117" s="132">
        <f t="shared" si="17"/>
        <v>0.4859375</v>
      </c>
      <c r="AZ117" s="131" t="str">
        <f>IFERROR(AVERAGEIFS(
'STH Efficacy'!$AX:$AX, 
'STH Efficacy'!$AL:$AL, $A117, 
'STH Efficacy'!$AM:$AM, "Albendazole &amp; Ivermectin",
'STH Efficacy'!$AS:$AS,"&lt;2016",
'STH Efficacy'!$BP:$BP,""),
"")</f>
        <v/>
      </c>
      <c r="BA117" s="303">
        <f t="shared" si="18"/>
        <v>0.47175</v>
      </c>
      <c r="BB117" s="584" t="str">
        <f>IFERROR(AVERAGEIFS(
'STH Efficacy'!$N:$N, 
'STH Efficacy'!$B:$B, $A117, 
'STH Efficacy'!$C:$C, "Albendazole",
'STH Efficacy'!$I:$I,"&lt;2016",
'STH Efficacy'!$AH:$AH,""),
"")</f>
        <v/>
      </c>
      <c r="BC117" s="579">
        <f t="shared" si="19"/>
        <v>0.8699166667</v>
      </c>
      <c r="BD117" s="584" t="str">
        <f>IFERROR(AVERAGEIFS(
'STH Efficacy'!$N:$N, 
'STH Efficacy'!$B:$B, $A117, 
'STH Efficacy'!$C:$C, "Mebendazole",
'STH Efficacy'!$I:$I,"&lt;2016",
'STH Efficacy'!$AH:$AH,""),
"")</f>
        <v/>
      </c>
      <c r="BE117" s="579">
        <f t="shared" si="20"/>
        <v>0.7092416667</v>
      </c>
      <c r="BF117" s="585" t="str">
        <f>IFERROR(AVERAGEIFS(
'STH Efficacy'!$CD:$CD, 
'STH Efficacy'!$BS:$BS, $A117, 
'STH Efficacy'!$BT:$BT, "Albendazole",
'STH Efficacy'!$BZ:$BZ,"&lt;2016",
'STH Efficacy'!$CU:$CU,""),
"")</f>
        <v/>
      </c>
      <c r="BG117" s="580">
        <f t="shared" si="21"/>
        <v>0.9066666667</v>
      </c>
      <c r="BH117" s="585" t="str">
        <f>IFERROR(AVERAGEIFS(
'STH Efficacy'!$CD:$CD, 
'STH Efficacy'!$BS:$BS, $A117, 
'STH Efficacy'!$BT:$BT, "Mebendazole",
'STH Efficacy'!$BZ:$BZ,"&lt;2016",
'STH Efficacy'!$CU:$CU,""),
"")</f>
        <v/>
      </c>
      <c r="BI117" s="580">
        <f t="shared" si="22"/>
        <v>0.8483333333</v>
      </c>
      <c r="BJ117" s="585" t="str">
        <f>IFERROR(AVERAGEIFS(
'STH Efficacy'!$CD:$CD, 
'STH Efficacy'!$BS:$BS, $A117, 
'STH Efficacy'!$BT:$BT, "Albendazole &amp; Ivermectin",
'STH Efficacy'!$BZ:$BZ,"&lt;2016",
'STH Efficacy'!$CU:$CU,""),
"")</f>
        <v/>
      </c>
      <c r="BK117" s="580">
        <f t="shared" si="23"/>
        <v>0.696</v>
      </c>
      <c r="BL117" s="575" t="str">
        <f>IFERROR(
  AVERAGEIFS(
    'NEW Onchocerciasis Efficacy'!$AO:$AO,
    'NEW Onchocerciasis Efficacy'!$C:$C,$A117,
    'NEW Onchocerciasis Efficacy'!$D:$D,"Ivermectin",
    'NEW Onchocerciasis Efficacy'!$AR:$AR,"&lt;2016",
    'NEW Onchocerciasis Efficacy'!$BG:$BG,"")
,"")</f>
        <v/>
      </c>
      <c r="BM117" s="586">
        <f t="shared" si="24"/>
        <v>0.8390421645</v>
      </c>
      <c r="BN117" s="587">
        <v>1.0</v>
      </c>
      <c r="BO117" s="588">
        <v>1.0</v>
      </c>
      <c r="BP117" s="589">
        <v>1.0</v>
      </c>
      <c r="BQ117" s="590">
        <f t="shared" si="25"/>
        <v>0</v>
      </c>
      <c r="BR117" s="560" t="str">
        <f t="shared" si="26"/>
        <v>1110</v>
      </c>
      <c r="BS117" s="560" t="str">
        <f t="shared" si="27"/>
        <v>MDA1+T2</v>
      </c>
      <c r="BT117" s="606" t="str">
        <f t="shared" si="28"/>
        <v>IVM+ALB</v>
      </c>
      <c r="BU117" s="560" t="str">
        <f t="shared" si="29"/>
        <v>PZQ</v>
      </c>
      <c r="BV117" s="560" t="str">
        <f t="shared" si="30"/>
        <v>lf+onch+schist </v>
      </c>
      <c r="BW117" s="150" t="str">
        <f t="shared" si="31"/>
        <v/>
      </c>
      <c r="BX117" s="607">
        <f t="shared" si="32"/>
        <v>0</v>
      </c>
      <c r="BY117" s="608">
        <f t="shared" si="33"/>
        <v>10848.8592</v>
      </c>
      <c r="BZ117" s="152" t="str">
        <f t="shared" si="34"/>
        <v/>
      </c>
      <c r="CA117" s="152" t="str">
        <f t="shared" si="35"/>
        <v/>
      </c>
      <c r="CB117" s="152" t="str">
        <f t="shared" si="36"/>
        <v/>
      </c>
      <c r="CC117" s="153" t="str">
        <f t="shared" si="37"/>
        <v/>
      </c>
      <c r="CD117" s="153" t="str">
        <f t="shared" si="38"/>
        <v/>
      </c>
      <c r="CE117" s="154" t="str">
        <f t="shared" si="39"/>
        <v/>
      </c>
      <c r="CF117" s="154" t="str">
        <f t="shared" si="40"/>
        <v/>
      </c>
      <c r="CG117" s="154" t="str">
        <f t="shared" si="41"/>
        <v/>
      </c>
      <c r="CH117" s="637">
        <f t="shared" si="42"/>
        <v>0</v>
      </c>
    </row>
    <row r="118">
      <c r="A118" s="559" t="s">
        <v>207</v>
      </c>
      <c r="B118" s="560" t="s">
        <v>92</v>
      </c>
      <c r="C118" s="561">
        <v>1.7573607E7</v>
      </c>
      <c r="D118" s="562">
        <v>0.0</v>
      </c>
      <c r="E118" s="563">
        <v>11238.6638957861</v>
      </c>
      <c r="F118" s="564">
        <v>0.007397433</v>
      </c>
      <c r="G118" s="564">
        <v>0.078800213</v>
      </c>
      <c r="H118" s="564">
        <v>0.186139686</v>
      </c>
      <c r="I118" s="565">
        <v>204.4099343</v>
      </c>
      <c r="J118" s="566">
        <v>657.893884831822</v>
      </c>
      <c r="K118" s="566">
        <v>2701.52234112273</v>
      </c>
      <c r="L118" s="567">
        <v>276.6316065</v>
      </c>
      <c r="M118" s="568">
        <v>67.7143214077354</v>
      </c>
      <c r="N118" s="568">
        <v>382.735637260702</v>
      </c>
      <c r="O118" s="569">
        <v>7519.1</v>
      </c>
      <c r="P118" s="632">
        <v>2532.99</v>
      </c>
      <c r="Q118" s="150" t="s">
        <v>395</v>
      </c>
      <c r="R118" s="150" t="s">
        <v>395</v>
      </c>
      <c r="S118" s="116" t="str">
        <f t="shared" si="6"/>
        <v> </v>
      </c>
      <c r="T118" s="572">
        <v>0.445</v>
      </c>
      <c r="U118" s="572">
        <f t="shared" si="7"/>
        <v>0.445</v>
      </c>
      <c r="V118" s="573">
        <v>0.9151</v>
      </c>
      <c r="W118" s="574">
        <f t="shared" si="8"/>
        <v>0.9151</v>
      </c>
      <c r="X118" s="573">
        <v>0.7496</v>
      </c>
      <c r="Y118" s="574">
        <f t="shared" si="9"/>
        <v>0.7496</v>
      </c>
      <c r="Z118" s="604">
        <v>2284986.0</v>
      </c>
      <c r="AA118" s="604">
        <v>1955721.0</v>
      </c>
      <c r="AB118" s="576">
        <f t="shared" si="10"/>
        <v>0.8559006488</v>
      </c>
      <c r="AC118" s="576">
        <f t="shared" si="11"/>
        <v>0.8559006488</v>
      </c>
      <c r="AD118" s="577">
        <v>0.01230118792</v>
      </c>
      <c r="AE118" s="572">
        <v>0.0427018794</v>
      </c>
      <c r="AF118" s="578">
        <v>0.0106240338</v>
      </c>
      <c r="AG118" s="132">
        <v>0.02207361528</v>
      </c>
      <c r="AH118" s="132">
        <v>0.072576473</v>
      </c>
      <c r="AI118" s="579">
        <v>0.02873193648</v>
      </c>
      <c r="AJ118" s="579">
        <v>0.03630197171</v>
      </c>
      <c r="AK118" s="580">
        <v>0.0395476103</v>
      </c>
      <c r="AL118" s="580">
        <v>0.04749688387</v>
      </c>
      <c r="AM118" s="581">
        <v>0.006436081451</v>
      </c>
      <c r="AN118" s="571" t="str">
        <f>IFERROR(
  AVERAGEIFS(
    'New LF Efficacy'!$J:$J,
    'New LF Efficacy'!$D:$D, $A118,
    'New LF Efficacy'!$F:$F,"DEC", 
    'New LF Efficacy'!$W:$W,"&lt;2016",
    'New LF Efficacy'!$AA:$AA,""),
  ""
)</f>
        <v/>
      </c>
      <c r="AO118" s="582">
        <f t="shared" si="12"/>
        <v>0.31225</v>
      </c>
      <c r="AP118" s="571" t="str">
        <f>IFERROR(
AVERAGEIFS(
'New LF Efficacy'!$J:$J,
'New LF Efficacy'!$D:$D,$A118,
'New LF Efficacy'!$F:$F,"Albendazole &amp; DEC",
'New LF Efficacy'!$W:$W,"&lt;2016",
'New LF Efficacy'!$AA:$AA,""),
"")</f>
        <v/>
      </c>
      <c r="AQ118" s="582">
        <f t="shared" si="13"/>
        <v>0.4</v>
      </c>
      <c r="AR118" s="571" t="str">
        <f>IFERROR(
AVERAGEIFS(
'New LF Efficacy'!$J:$J,
'New LF Efficacy'!$D:$D,$A118,
'New LF Efficacy'!$F:$F,"Albendazole &amp; Ivermectin", 
'New LF Efficacy'!$W:$W,"&lt;2016",
'New LF Efficacy'!$AA:$AA,""),"")</f>
        <v/>
      </c>
      <c r="AS118" s="582">
        <f t="shared" si="14"/>
        <v>0.2943125</v>
      </c>
      <c r="AT118" s="583">
        <f>IFERROR(AVERAGEIFS(
'Schist Efficacy'!$O:$O, 
'Schist Efficacy'!$C:$C,$A118, 
'Schist Efficacy'!$D:$D, "Praziquantel",
'Schist Efficacy'!$J:$J,"&lt;2016",
'Schist Efficacy'!$U:$U,""),
"")</f>
        <v>0.2825</v>
      </c>
      <c r="AU118" s="572">
        <f t="shared" si="15"/>
        <v>0.2825</v>
      </c>
      <c r="AV118" s="131" t="str">
        <f>IFERROR(AVERAGEIFS(
'STH Efficacy'!$AX:$AX, 
'STH Efficacy'!$AL:$AL, $A118, 
'STH Efficacy'!$AM:$AM, "Albendazole",
'STH Efficacy'!$AS:$AS,"&lt;2016",
'STH Efficacy'!$BP:$BP,""),
"")</f>
        <v/>
      </c>
      <c r="AW118" s="132">
        <f t="shared" si="16"/>
        <v>0.3816333333</v>
      </c>
      <c r="AX118" s="131" t="str">
        <f>IFERROR(AVERAGEIFS(
'STH Efficacy'!$AX:$AX, 
'STH Efficacy'!$AL:$AL, $A118, 
'STH Efficacy'!$AM:$AM, "Mebendazole",
'STH Efficacy'!$AS:$AS,"&lt;2016",
'STH Efficacy'!$BP:$BP,""),
"")</f>
        <v/>
      </c>
      <c r="AY118" s="132">
        <f t="shared" si="17"/>
        <v>0.4859375</v>
      </c>
      <c r="AZ118" s="131" t="str">
        <f>IFERROR(AVERAGEIFS(
'STH Efficacy'!$AX:$AX, 
'STH Efficacy'!$AL:$AL, $A118, 
'STH Efficacy'!$AM:$AM, "Albendazole &amp; Ivermectin",
'STH Efficacy'!$AS:$AS,"&lt;2016",
'STH Efficacy'!$BP:$BP,""),
"")</f>
        <v/>
      </c>
      <c r="BA118" s="303">
        <f t="shared" si="18"/>
        <v>0.47175</v>
      </c>
      <c r="BB118" s="584">
        <f>IFERROR(AVERAGEIFS(
'STH Efficacy'!$N:$N, 
'STH Efficacy'!$B:$B, $A118, 
'STH Efficacy'!$C:$C, "Albendazole",
'STH Efficacy'!$I:$I,"&lt;2016",
'STH Efficacy'!$AH:$AH,""),
"")</f>
        <v>0.923</v>
      </c>
      <c r="BC118" s="579">
        <f t="shared" si="19"/>
        <v>0.923</v>
      </c>
      <c r="BD118" s="584">
        <f>IFERROR(AVERAGEIFS(
'STH Efficacy'!$N:$N, 
'STH Efficacy'!$B:$B, $A118, 
'STH Efficacy'!$C:$C, "Mebendazole",
'STH Efficacy'!$I:$I,"&lt;2016",
'STH Efficacy'!$AH:$AH,""),
"")</f>
        <v>0.982</v>
      </c>
      <c r="BE118" s="579">
        <f t="shared" si="20"/>
        <v>0.982</v>
      </c>
      <c r="BF118" s="585" t="str">
        <f>IFERROR(AVERAGEIFS(
'STH Efficacy'!$CD:$CD, 
'STH Efficacy'!$BS:$BS, $A118, 
'STH Efficacy'!$BT:$BT, "Albendazole",
'STH Efficacy'!$BZ:$BZ,"&lt;2016",
'STH Efficacy'!$CU:$CU,""),
"")</f>
        <v/>
      </c>
      <c r="BG118" s="580">
        <f t="shared" si="21"/>
        <v>0.9066666667</v>
      </c>
      <c r="BH118" s="585" t="str">
        <f>IFERROR(AVERAGEIFS(
'STH Efficacy'!$CD:$CD, 
'STH Efficacy'!$BS:$BS, $A118, 
'STH Efficacy'!$BT:$BT, "Mebendazole",
'STH Efficacy'!$BZ:$BZ,"&lt;2016",
'STH Efficacy'!$CU:$CU,""),
"")</f>
        <v/>
      </c>
      <c r="BI118" s="580">
        <f t="shared" si="22"/>
        <v>0.8483333333</v>
      </c>
      <c r="BJ118" s="585" t="str">
        <f>IFERROR(AVERAGEIFS(
'STH Efficacy'!$CD:$CD, 
'STH Efficacy'!$BS:$BS, $A118, 
'STH Efficacy'!$BT:$BT, "Albendazole &amp; Ivermectin",
'STH Efficacy'!$BZ:$BZ,"&lt;2016",
'STH Efficacy'!$CU:$CU,""),
"")</f>
        <v/>
      </c>
      <c r="BK118" s="580">
        <f t="shared" si="23"/>
        <v>0.696</v>
      </c>
      <c r="BL118" s="575" t="str">
        <f>IFERROR(
  AVERAGEIFS(
    'NEW Onchocerciasis Efficacy'!$AO:$AO,
    'NEW Onchocerciasis Efficacy'!$C:$C,$A118,
    'NEW Onchocerciasis Efficacy'!$D:$D,"Ivermectin",
    'NEW Onchocerciasis Efficacy'!$AR:$AR,"&lt;2016",
    'NEW Onchocerciasis Efficacy'!$BG:$BG,"")
,"")</f>
        <v/>
      </c>
      <c r="BM118" s="586">
        <f t="shared" si="24"/>
        <v>0.8390421645</v>
      </c>
      <c r="BN118" s="587">
        <v>0.0</v>
      </c>
      <c r="BO118" s="588">
        <v>0.0</v>
      </c>
      <c r="BP118" s="589">
        <v>1.0</v>
      </c>
      <c r="BQ118" s="590">
        <f t="shared" si="25"/>
        <v>0</v>
      </c>
      <c r="BR118" s="560" t="str">
        <f t="shared" si="26"/>
        <v>0010</v>
      </c>
      <c r="BS118" s="560" t="str">
        <f t="shared" si="27"/>
        <v>T2</v>
      </c>
      <c r="BT118" s="361" t="str">
        <f t="shared" ref="BT118:BT125" si="43">IF(BS118="no action required","",IF(BS118="MDA1","IVM+ALB",IF(BS118="MDA3","IVM",IF(BS118="T1","ALB+PZQ or MBD+PZQ",IF(BS118="T2","",IF(BS118="T3","ALB or MBD",IF(BS118="MDA1+T1","IVM+ALB",IF(BS118="MDA1+T2","IVM+ALB",IF(BS118="MDA1+T3","IVM+ALB",IF(BS118="MDA1/2+T1","IVM+ALB or DEC+ALB",IF(BS118="MDA1/2+T2","IVM+ALB or DEC +ALB",IF(BS118="MDA1/2+T3","IVM+ALB of DEC+ALB",IF(BS118="MDA1/2","IVM+ALB or DEC+ALB",IF(BS118="MDA3+T2","IVM",IF(BS118="T1+T3","ALB+PZQ or MBD+PZQ",IF(BS118="T3+T3","2(ALB or MBD)"))))))))))))))))</f>
        <v/>
      </c>
      <c r="BU118" s="560" t="str">
        <f t="shared" si="29"/>
        <v>PZQ</v>
      </c>
      <c r="BV118" s="560" t="str">
        <f t="shared" si="30"/>
        <v>schist only</v>
      </c>
      <c r="BW118" s="150" t="str">
        <f t="shared" si="31"/>
        <v/>
      </c>
      <c r="BX118" s="150" t="str">
        <f t="shared" si="32"/>
        <v/>
      </c>
      <c r="BY118" s="638">
        <f t="shared" si="33"/>
        <v>1615.990775</v>
      </c>
      <c r="BZ118" s="152" t="str">
        <f t="shared" si="34"/>
        <v/>
      </c>
      <c r="CA118" s="152" t="str">
        <f t="shared" si="35"/>
        <v/>
      </c>
      <c r="CB118" s="152" t="str">
        <f t="shared" si="36"/>
        <v/>
      </c>
      <c r="CC118" s="153" t="str">
        <f t="shared" si="37"/>
        <v/>
      </c>
      <c r="CD118" s="153" t="str">
        <f t="shared" si="38"/>
        <v/>
      </c>
      <c r="CE118" s="154" t="str">
        <f t="shared" si="39"/>
        <v/>
      </c>
      <c r="CF118" s="154" t="str">
        <f t="shared" si="40"/>
        <v/>
      </c>
      <c r="CG118" s="154" t="str">
        <f t="shared" si="41"/>
        <v/>
      </c>
      <c r="CH118" s="308" t="str">
        <f t="shared" si="42"/>
        <v/>
      </c>
    </row>
    <row r="119">
      <c r="A119" s="559" t="s">
        <v>208</v>
      </c>
      <c r="B119" s="560" t="s">
        <v>94</v>
      </c>
      <c r="C119" s="561">
        <v>3.0723155E7</v>
      </c>
      <c r="D119" s="562">
        <v>44.78667099</v>
      </c>
      <c r="E119" s="563">
        <v>0.0</v>
      </c>
      <c r="F119" s="564">
        <v>148.5593345</v>
      </c>
      <c r="G119" s="564">
        <v>1386.848369</v>
      </c>
      <c r="H119" s="564">
        <v>10539.57136</v>
      </c>
      <c r="I119" s="565">
        <v>27.95142608</v>
      </c>
      <c r="J119" s="566">
        <v>137.801376771486</v>
      </c>
      <c r="K119" s="566">
        <v>806.851362192551</v>
      </c>
      <c r="L119" s="567">
        <v>197.1435389</v>
      </c>
      <c r="M119" s="568">
        <v>589.011523921751</v>
      </c>
      <c r="N119" s="568">
        <v>2485.47249398097</v>
      </c>
      <c r="O119" s="569">
        <v>0.0</v>
      </c>
      <c r="P119" s="601">
        <v>615.413313902</v>
      </c>
      <c r="Q119" s="618">
        <v>27344.0</v>
      </c>
      <c r="R119" s="603">
        <v>0.8924</v>
      </c>
      <c r="S119" s="116">
        <f t="shared" si="6"/>
        <v>0.8924</v>
      </c>
      <c r="T119" s="151"/>
      <c r="U119" s="572">
        <f t="shared" si="7"/>
        <v>0.7834666667</v>
      </c>
      <c r="V119" s="598"/>
      <c r="W119" s="574">
        <f t="shared" si="8"/>
        <v>0.3593777778</v>
      </c>
      <c r="X119" s="598"/>
      <c r="Y119" s="574">
        <f t="shared" si="9"/>
        <v>0.5347375</v>
      </c>
      <c r="Z119" s="308"/>
      <c r="AA119" s="308"/>
      <c r="AB119" s="575" t="str">
        <f t="shared" si="10"/>
        <v/>
      </c>
      <c r="AC119" s="576">
        <f t="shared" si="11"/>
        <v>0.7192241206</v>
      </c>
      <c r="AD119" s="577">
        <v>2.14E-5</v>
      </c>
      <c r="AE119" s="572">
        <v>0.0</v>
      </c>
      <c r="AF119" s="578">
        <v>0.0</v>
      </c>
      <c r="AG119" s="132">
        <v>0.04071076809</v>
      </c>
      <c r="AH119" s="132">
        <v>0.128825095</v>
      </c>
      <c r="AI119" s="579">
        <v>0.006050630182</v>
      </c>
      <c r="AJ119" s="579">
        <v>0.007368631096</v>
      </c>
      <c r="AK119" s="580">
        <v>0.04307666294</v>
      </c>
      <c r="AL119" s="580">
        <v>0.04952587236</v>
      </c>
      <c r="AM119" s="581">
        <v>0.0</v>
      </c>
      <c r="AN119" s="571" t="str">
        <f>IFERROR(
  AVERAGEIFS(
    'New LF Efficacy'!$J:$J,
    'New LF Efficacy'!$D:$D, $A119,
    'New LF Efficacy'!$F:$F,"DEC", 
    'New LF Efficacy'!$W:$W,"&lt;2016",
    'New LF Efficacy'!$AA:$AA,""),
  ""
)</f>
        <v/>
      </c>
      <c r="AO119" s="582">
        <f t="shared" si="12"/>
        <v>0.38</v>
      </c>
      <c r="AP119" s="571" t="str">
        <f>IFERROR(
AVERAGEIFS(
'New LF Efficacy'!$J:$J,
'New LF Efficacy'!$D:$D,$A119,
'New LF Efficacy'!$F:$F,"Albendazole &amp; DEC",
'New LF Efficacy'!$W:$W,"&lt;2016",
'New LF Efficacy'!$AA:$AA,""),
"")</f>
        <v/>
      </c>
      <c r="AQ119" s="582">
        <f t="shared" si="13"/>
        <v>0.662</v>
      </c>
      <c r="AR119" s="571" t="str">
        <f>IFERROR(
AVERAGEIFS(
'New LF Efficacy'!$J:$J,
'New LF Efficacy'!$D:$D,$A119,
'New LF Efficacy'!$F:$F,"Albendazole &amp; Ivermectin", 
'New LF Efficacy'!$W:$W,"&lt;2016",
'New LF Efficacy'!$AA:$AA,""),"")</f>
        <v/>
      </c>
      <c r="AS119" s="582">
        <f t="shared" si="14"/>
        <v>0.37153125</v>
      </c>
      <c r="AT119" s="583" t="str">
        <f>IFERROR(AVERAGEIFS(
'Schist Efficacy'!$O:$O, 
'Schist Efficacy'!$C:$C,$A119, 
'Schist Efficacy'!$D:$D, "Praziquantel",
'Schist Efficacy'!$J:$J,"&lt;2016",
'Schist Efficacy'!$U:$U,""),
"")</f>
        <v/>
      </c>
      <c r="AU119" s="572">
        <f t="shared" si="15"/>
        <v>0.9475</v>
      </c>
      <c r="AV119" s="131" t="str">
        <f>IFERROR(AVERAGEIFS(
'STH Efficacy'!$AX:$AX, 
'STH Efficacy'!$AL:$AL, $A119, 
'STH Efficacy'!$AM:$AM, "Albendazole",
'STH Efficacy'!$AS:$AS,"&lt;2016",
'STH Efficacy'!$BP:$BP,""),
"")</f>
        <v/>
      </c>
      <c r="AW119" s="132">
        <f t="shared" si="16"/>
        <v>0.3571666667</v>
      </c>
      <c r="AX119" s="131" t="str">
        <f>IFERROR(AVERAGEIFS(
'STH Efficacy'!$AX:$AX, 
'STH Efficacy'!$AL:$AL, $A119, 
'STH Efficacy'!$AM:$AM, "Mebendazole",
'STH Efficacy'!$AS:$AS,"&lt;2016",
'STH Efficacy'!$BP:$BP,""),
"")</f>
        <v/>
      </c>
      <c r="AY119" s="132">
        <f t="shared" si="17"/>
        <v>0.4155</v>
      </c>
      <c r="AZ119" s="131" t="str">
        <f>IFERROR(AVERAGEIFS(
'STH Efficacy'!$AX:$AX, 
'STH Efficacy'!$AL:$AL, $A119, 
'STH Efficacy'!$AM:$AM, "Albendazole &amp; Ivermectin",
'STH Efficacy'!$AS:$AS,"&lt;2016",
'STH Efficacy'!$BP:$BP,""),
"")</f>
        <v/>
      </c>
      <c r="BA119" s="303">
        <f t="shared" si="18"/>
        <v>0.651</v>
      </c>
      <c r="BB119" s="584" t="str">
        <f>IFERROR(AVERAGEIFS(
'STH Efficacy'!$N:$N, 
'STH Efficacy'!$B:$B, $A119, 
'STH Efficacy'!$C:$C, "Albendazole",
'STH Efficacy'!$I:$I,"&lt;2016",
'STH Efficacy'!$AH:$AH,""),
"")</f>
        <v/>
      </c>
      <c r="BC119" s="579">
        <f t="shared" si="19"/>
        <v>0.5769166667</v>
      </c>
      <c r="BD119" s="584" t="str">
        <f>IFERROR(AVERAGEIFS(
'STH Efficacy'!$N:$N, 
'STH Efficacy'!$B:$B, $A119, 
'STH Efficacy'!$C:$C, "Mebendazole",
'STH Efficacy'!$I:$I,"&lt;2016",
'STH Efficacy'!$AH:$AH,""),
"")</f>
        <v/>
      </c>
      <c r="BE119" s="579">
        <f t="shared" si="20"/>
        <v>0.3145</v>
      </c>
      <c r="BF119" s="585">
        <f>IFERROR(AVERAGEIFS(
'STH Efficacy'!$CD:$CD, 
'STH Efficacy'!$BS:$BS, $A119, 
'STH Efficacy'!$BT:$BT, "Albendazole",
'STH Efficacy'!$BZ:$BZ,"&lt;2016",
'STH Efficacy'!$CU:$CU,""),
"")</f>
        <v>0.974</v>
      </c>
      <c r="BG119" s="580">
        <f t="shared" si="21"/>
        <v>0.974</v>
      </c>
      <c r="BH119" s="585" t="str">
        <f>IFERROR(AVERAGEIFS(
'STH Efficacy'!$CD:$CD, 
'STH Efficacy'!$BS:$BS, $A119, 
'STH Efficacy'!$BT:$BT, "Mebendazole",
'STH Efficacy'!$BZ:$BZ,"&lt;2016",
'STH Efficacy'!$CU:$CU,""),
"")</f>
        <v/>
      </c>
      <c r="BI119" s="580">
        <f t="shared" si="22"/>
        <v>0.9305</v>
      </c>
      <c r="BJ119" s="585" t="str">
        <f>IFERROR(AVERAGEIFS(
'STH Efficacy'!$CD:$CD, 
'STH Efficacy'!$BS:$BS, $A119, 
'STH Efficacy'!$BT:$BT, "Albendazole &amp; Ivermectin",
'STH Efficacy'!$BZ:$BZ,"&lt;2016",
'STH Efficacy'!$CU:$CU,""),
"")</f>
        <v/>
      </c>
      <c r="BK119" s="580">
        <f t="shared" si="23"/>
        <v>0.848</v>
      </c>
      <c r="BL119" s="575" t="str">
        <f>IFERROR(
  AVERAGEIFS(
    'NEW Onchocerciasis Efficacy'!$AO:$AO,
    'NEW Onchocerciasis Efficacy'!$C:$C,$A119,
    'NEW Onchocerciasis Efficacy'!$D:$D,"Ivermectin",
    'NEW Onchocerciasis Efficacy'!$AR:$AR,"&lt;2016",
    'NEW Onchocerciasis Efficacy'!$BG:$BG,"")
,"")</f>
        <v/>
      </c>
      <c r="BM119" s="586">
        <f t="shared" si="24"/>
        <v>0.7808368939</v>
      </c>
      <c r="BN119" s="587">
        <v>1.0</v>
      </c>
      <c r="BO119" s="588">
        <v>0.0</v>
      </c>
      <c r="BP119" s="589">
        <v>0.0</v>
      </c>
      <c r="BQ119" s="590">
        <f t="shared" si="25"/>
        <v>0</v>
      </c>
      <c r="BR119" s="560" t="str">
        <f t="shared" si="26"/>
        <v>1000</v>
      </c>
      <c r="BS119" s="560" t="str">
        <f t="shared" si="27"/>
        <v>MDA1/2</v>
      </c>
      <c r="BT119" s="606" t="str">
        <f t="shared" si="43"/>
        <v>IVM+ALB or DEC+ALB</v>
      </c>
      <c r="BU119" s="591" t="str">
        <f t="shared" si="29"/>
        <v/>
      </c>
      <c r="BV119" s="560" t="str">
        <f t="shared" si="30"/>
        <v>lf only</v>
      </c>
      <c r="BW119" s="607">
        <f t="shared" si="31"/>
        <v>64.65432713</v>
      </c>
      <c r="BX119" s="607">
        <f t="shared" si="32"/>
        <v>22.21455821</v>
      </c>
      <c r="BY119" s="151" t="str">
        <f t="shared" si="33"/>
        <v/>
      </c>
      <c r="BZ119" s="152" t="str">
        <f t="shared" si="34"/>
        <v/>
      </c>
      <c r="CA119" s="152" t="str">
        <f t="shared" si="35"/>
        <v/>
      </c>
      <c r="CB119" s="152" t="str">
        <f t="shared" si="36"/>
        <v/>
      </c>
      <c r="CC119" s="153" t="str">
        <f t="shared" si="37"/>
        <v/>
      </c>
      <c r="CD119" s="153" t="str">
        <f t="shared" si="38"/>
        <v/>
      </c>
      <c r="CE119" s="154" t="str">
        <f t="shared" si="39"/>
        <v/>
      </c>
      <c r="CF119" s="154" t="str">
        <f t="shared" si="40"/>
        <v/>
      </c>
      <c r="CG119" s="154" t="str">
        <f t="shared" si="41"/>
        <v/>
      </c>
      <c r="CH119" s="308" t="str">
        <f t="shared" si="42"/>
        <v/>
      </c>
    </row>
    <row r="120">
      <c r="A120" s="599" t="s">
        <v>209</v>
      </c>
      <c r="B120" s="560" t="s">
        <v>109</v>
      </c>
      <c r="C120" s="561">
        <v>409163.0</v>
      </c>
      <c r="D120" s="562">
        <v>0.0</v>
      </c>
      <c r="E120" s="563">
        <v>0.0</v>
      </c>
      <c r="F120" s="564">
        <v>0.0</v>
      </c>
      <c r="G120" s="564">
        <v>0.0</v>
      </c>
      <c r="H120" s="564">
        <v>1.16E-7</v>
      </c>
      <c r="I120" s="565">
        <v>0.120470511</v>
      </c>
      <c r="J120" s="566">
        <v>0.667381794556677</v>
      </c>
      <c r="K120" s="566">
        <v>6.39041908018881</v>
      </c>
      <c r="L120" s="567">
        <v>0.153081155</v>
      </c>
      <c r="M120" s="568">
        <v>0.0723377127641156</v>
      </c>
      <c r="N120" s="568">
        <v>0.281846447879882</v>
      </c>
      <c r="O120" s="569">
        <v>0.0</v>
      </c>
      <c r="P120" s="570"/>
      <c r="Q120" s="150"/>
      <c r="R120" s="571"/>
      <c r="S120" s="116">
        <f t="shared" si="6"/>
        <v>0.72214</v>
      </c>
      <c r="T120" s="151"/>
      <c r="U120" s="572">
        <f t="shared" si="7"/>
        <v>0.2806</v>
      </c>
      <c r="V120" s="598"/>
      <c r="W120" s="574">
        <f t="shared" si="8"/>
        <v>0.9373142857</v>
      </c>
      <c r="X120" s="598"/>
      <c r="Y120" s="574">
        <f t="shared" si="9"/>
        <v>0.8943375</v>
      </c>
      <c r="Z120" s="308"/>
      <c r="AA120" s="308"/>
      <c r="AB120" s="575" t="str">
        <f t="shared" si="10"/>
        <v/>
      </c>
      <c r="AC120" s="576">
        <f t="shared" si="11"/>
        <v>0.7192241206</v>
      </c>
      <c r="AD120" s="577">
        <v>0.0</v>
      </c>
      <c r="AE120" s="572">
        <v>0.0</v>
      </c>
      <c r="AF120" s="578">
        <v>0.0</v>
      </c>
      <c r="AG120" s="132">
        <v>0.04755675595</v>
      </c>
      <c r="AH120" s="132">
        <v>0.152231106</v>
      </c>
      <c r="AI120" s="579">
        <v>0.009520876371</v>
      </c>
      <c r="AJ120" s="579">
        <v>0.01174687311</v>
      </c>
      <c r="AK120" s="580">
        <v>0.05351526481</v>
      </c>
      <c r="AL120" s="580">
        <v>0.06284113606</v>
      </c>
      <c r="AM120" s="581">
        <v>0.0</v>
      </c>
      <c r="AN120" s="571" t="str">
        <f>IFERROR(
  AVERAGEIFS(
    'New LF Efficacy'!$J:$J,
    'New LF Efficacy'!$D:$D, $A120,
    'New LF Efficacy'!$F:$F,"DEC", 
    'New LF Efficacy'!$W:$W,"&lt;2016",
    'New LF Efficacy'!$AA:$AA,""),
  ""
)</f>
        <v/>
      </c>
      <c r="AO120" s="582">
        <f t="shared" si="12"/>
        <v>0.478175</v>
      </c>
      <c r="AP120" s="571" t="str">
        <f>IFERROR(
AVERAGEIFS(
'New LF Efficacy'!$J:$J,
'New LF Efficacy'!$D:$D,$A120,
'New LF Efficacy'!$F:$F,"Albendazole &amp; DEC",
'New LF Efficacy'!$W:$W,"&lt;2016",
'New LF Efficacy'!$AA:$AA,""),
"")</f>
        <v/>
      </c>
      <c r="AQ120" s="582">
        <f t="shared" si="13"/>
        <v>0.5831666667</v>
      </c>
      <c r="AR120" s="571" t="str">
        <f>IFERROR(
AVERAGEIFS(
'New LF Efficacy'!$J:$J,
'New LF Efficacy'!$D:$D,$A120,
'New LF Efficacy'!$F:$F,"Albendazole &amp; Ivermectin", 
'New LF Efficacy'!$W:$W,"&lt;2016",
'New LF Efficacy'!$AA:$AA,""),"")</f>
        <v/>
      </c>
      <c r="AS120" s="582">
        <f t="shared" si="14"/>
        <v>0.14</v>
      </c>
      <c r="AT120" s="583" t="str">
        <f>IFERROR(AVERAGEIFS(
'Schist Efficacy'!$O:$O, 
'Schist Efficacy'!$C:$C,$A120, 
'Schist Efficacy'!$D:$D, "Praziquantel",
'Schist Efficacy'!$J:$J,"&lt;2016",
'Schist Efficacy'!$U:$U,""),
"")</f>
        <v/>
      </c>
      <c r="AU120" s="572">
        <f t="shared" si="15"/>
        <v>0.743990088</v>
      </c>
      <c r="AV120" s="131" t="str">
        <f>IFERROR(AVERAGEIFS(
'STH Efficacy'!$AX:$AX, 
'STH Efficacy'!$AL:$AL, $A120, 
'STH Efficacy'!$AM:$AM, "Albendazole",
'STH Efficacy'!$AS:$AS,"&lt;2016",
'STH Efficacy'!$BP:$BP,""),
"")</f>
        <v/>
      </c>
      <c r="AW120" s="132">
        <f t="shared" si="16"/>
        <v>0.5394444444</v>
      </c>
      <c r="AX120" s="131" t="str">
        <f>IFERROR(AVERAGEIFS(
'STH Efficacy'!$AX:$AX, 
'STH Efficacy'!$AL:$AL, $A120, 
'STH Efficacy'!$AM:$AM, "Mebendazole",
'STH Efficacy'!$AS:$AS,"&lt;2016",
'STH Efficacy'!$BP:$BP,""),
"")</f>
        <v/>
      </c>
      <c r="AY120" s="132">
        <f t="shared" si="17"/>
        <v>0.3786666667</v>
      </c>
      <c r="AZ120" s="131" t="str">
        <f>IFERROR(AVERAGEIFS(
'STH Efficacy'!$AX:$AX, 
'STH Efficacy'!$AL:$AL, $A120, 
'STH Efficacy'!$AM:$AM, "Albendazole &amp; Ivermectin",
'STH Efficacy'!$AS:$AS,"&lt;2016",
'STH Efficacy'!$BP:$BP,""),
"")</f>
        <v/>
      </c>
      <c r="BA120" s="303">
        <f t="shared" si="18"/>
        <v>0.597625</v>
      </c>
      <c r="BB120" s="584" t="str">
        <f>IFERROR(AVERAGEIFS(
'STH Efficacy'!$N:$N, 
'STH Efficacy'!$B:$B, $A120, 
'STH Efficacy'!$C:$C, "Albendazole",
'STH Efficacy'!$I:$I,"&lt;2016",
'STH Efficacy'!$AH:$AH,""),
"")</f>
        <v/>
      </c>
      <c r="BC120" s="579">
        <f t="shared" si="19"/>
        <v>0.7133333333</v>
      </c>
      <c r="BD120" s="584" t="str">
        <f>IFERROR(AVERAGEIFS(
'STH Efficacy'!$N:$N, 
'STH Efficacy'!$B:$B, $A120, 
'STH Efficacy'!$C:$C, "Mebendazole",
'STH Efficacy'!$I:$I,"&lt;2016",
'STH Efficacy'!$AH:$AH,""),
"")</f>
        <v/>
      </c>
      <c r="BE120" s="579">
        <f t="shared" si="20"/>
        <v>0.205</v>
      </c>
      <c r="BF120" s="585" t="str">
        <f>IFERROR(AVERAGEIFS(
'STH Efficacy'!$CD:$CD, 
'STH Efficacy'!$BS:$BS, $A120, 
'STH Efficacy'!$BT:$BT, "Albendazole",
'STH Efficacy'!$BZ:$BZ,"&lt;2016",
'STH Efficacy'!$CU:$CU,""),
"")</f>
        <v/>
      </c>
      <c r="BG120" s="580">
        <f t="shared" si="21"/>
        <v>0.83</v>
      </c>
      <c r="BH120" s="585" t="str">
        <f>IFERROR(AVERAGEIFS(
'STH Efficacy'!$CD:$CD, 
'STH Efficacy'!$BS:$BS, $A120, 
'STH Efficacy'!$BT:$BT, "Mebendazole",
'STH Efficacy'!$BZ:$BZ,"&lt;2016",
'STH Efficacy'!$CU:$CU,""),
"")</f>
        <v/>
      </c>
      <c r="BI120" s="580">
        <f t="shared" si="22"/>
        <v>1</v>
      </c>
      <c r="BJ120" s="585" t="str">
        <f>IFERROR(AVERAGEIFS(
'STH Efficacy'!$CD:$CD, 
'STH Efficacy'!$BS:$BS, $A120, 
'STH Efficacy'!$BT:$BT, "Albendazole &amp; Ivermectin",
'STH Efficacy'!$BZ:$BZ,"&lt;2016",
'STH Efficacy'!$CU:$CU,""),
"")</f>
        <v/>
      </c>
      <c r="BK120" s="580">
        <f t="shared" si="23"/>
        <v>0.848</v>
      </c>
      <c r="BL120" s="575" t="str">
        <f>IFERROR(
  AVERAGEIFS(
    'NEW Onchocerciasis Efficacy'!$AO:$AO,
    'NEW Onchocerciasis Efficacy'!$C:$C,$A120,
    'NEW Onchocerciasis Efficacy'!$D:$D,"Ivermectin",
    'NEW Onchocerciasis Efficacy'!$AR:$AR,"&lt;2016",
    'NEW Onchocerciasis Efficacy'!$BG:$BG,"")
,"")</f>
        <v/>
      </c>
      <c r="BM120" s="586">
        <f t="shared" si="24"/>
        <v>0.7808368939</v>
      </c>
      <c r="BN120" s="587">
        <v>0.0</v>
      </c>
      <c r="BO120" s="588">
        <v>1.0</v>
      </c>
      <c r="BP120" s="589">
        <v>1.0</v>
      </c>
      <c r="BQ120" s="590">
        <f t="shared" si="25"/>
        <v>0</v>
      </c>
      <c r="BR120" s="560" t="str">
        <f t="shared" si="26"/>
        <v>0110</v>
      </c>
      <c r="BS120" s="560" t="str">
        <f t="shared" si="27"/>
        <v>MDA3+T2</v>
      </c>
      <c r="BT120" s="606" t="str">
        <f t="shared" si="43"/>
        <v>IVM</v>
      </c>
      <c r="BU120" s="560" t="str">
        <f t="shared" si="29"/>
        <v>PZQ</v>
      </c>
      <c r="BV120" s="560" t="str">
        <f t="shared" si="30"/>
        <v>onch+schist</v>
      </c>
      <c r="BW120" s="150" t="str">
        <f t="shared" si="31"/>
        <v/>
      </c>
      <c r="BX120" s="150" t="str">
        <f t="shared" si="32"/>
        <v/>
      </c>
      <c r="BY120" s="608">
        <f t="shared" si="33"/>
        <v>0</v>
      </c>
      <c r="BZ120" s="152" t="str">
        <f t="shared" si="34"/>
        <v/>
      </c>
      <c r="CA120" s="152" t="str">
        <f t="shared" si="35"/>
        <v/>
      </c>
      <c r="CB120" s="152" t="str">
        <f t="shared" si="36"/>
        <v/>
      </c>
      <c r="CC120" s="153" t="str">
        <f t="shared" si="37"/>
        <v/>
      </c>
      <c r="CD120" s="153" t="str">
        <f t="shared" si="38"/>
        <v/>
      </c>
      <c r="CE120" s="154" t="str">
        <f t="shared" si="39"/>
        <v/>
      </c>
      <c r="CF120" s="154" t="str">
        <f t="shared" si="40"/>
        <v/>
      </c>
      <c r="CG120" s="154" t="str">
        <f t="shared" si="41"/>
        <v/>
      </c>
      <c r="CH120" s="637">
        <f t="shared" si="42"/>
        <v>0</v>
      </c>
    </row>
    <row r="121">
      <c r="A121" s="559" t="s">
        <v>210</v>
      </c>
      <c r="B121" s="560" t="s">
        <v>92</v>
      </c>
      <c r="C121" s="561">
        <v>1.7467905E7</v>
      </c>
      <c r="D121" s="562">
        <v>63957.04429</v>
      </c>
      <c r="E121" s="563">
        <v>16187.2560555941</v>
      </c>
      <c r="F121" s="564">
        <v>0.296604219</v>
      </c>
      <c r="G121" s="564">
        <v>0.386641052</v>
      </c>
      <c r="H121" s="564">
        <v>6.542189848</v>
      </c>
      <c r="I121" s="565">
        <v>728.5203158</v>
      </c>
      <c r="J121" s="566">
        <v>2206.25856627467</v>
      </c>
      <c r="K121" s="566">
        <v>7563.11078118757</v>
      </c>
      <c r="L121" s="567">
        <v>2056.543314</v>
      </c>
      <c r="M121" s="568">
        <v>96.4055206975747</v>
      </c>
      <c r="N121" s="568">
        <v>2167.49679644062</v>
      </c>
      <c r="O121" s="569">
        <v>92.0</v>
      </c>
      <c r="P121" s="601" t="s">
        <v>404</v>
      </c>
      <c r="Q121" s="618">
        <v>1731545.0</v>
      </c>
      <c r="R121" s="603">
        <v>0.7391</v>
      </c>
      <c r="S121" s="116">
        <f t="shared" si="6"/>
        <v>0.7391</v>
      </c>
      <c r="T121" s="572">
        <v>0.5599</v>
      </c>
      <c r="U121" s="572">
        <f t="shared" si="7"/>
        <v>0.5599</v>
      </c>
      <c r="V121" s="613"/>
      <c r="W121" s="574">
        <f t="shared" si="8"/>
        <v>0.7605133333</v>
      </c>
      <c r="X121" s="613"/>
      <c r="Y121" s="574">
        <f t="shared" si="9"/>
        <v>0.6822424242</v>
      </c>
      <c r="Z121" s="604">
        <v>5737454.0</v>
      </c>
      <c r="AA121" s="604">
        <v>4474931.0</v>
      </c>
      <c r="AB121" s="576">
        <f t="shared" si="10"/>
        <v>0.7799506541</v>
      </c>
      <c r="AC121" s="576">
        <f t="shared" si="11"/>
        <v>0.7799506541</v>
      </c>
      <c r="AD121" s="577">
        <v>0.06416891815</v>
      </c>
      <c r="AE121" s="572">
        <v>0.04386354401</v>
      </c>
      <c r="AF121" s="578">
        <v>0.01014276968</v>
      </c>
      <c r="AG121" s="133">
        <v>0.02974106507</v>
      </c>
      <c r="AH121" s="133">
        <v>0.098595165</v>
      </c>
      <c r="AI121" s="623">
        <v>0.06578006423</v>
      </c>
      <c r="AJ121" s="623">
        <v>0.08401992569</v>
      </c>
      <c r="AK121" s="624">
        <v>0.20393918</v>
      </c>
      <c r="AL121" s="624">
        <v>0.2480871663</v>
      </c>
      <c r="AM121" s="581">
        <v>1.921755015E-5</v>
      </c>
      <c r="AN121" s="571" t="str">
        <f>IFERROR(
  AVERAGEIFS(
    'New LF Efficacy'!$J:$J,
    'New LF Efficacy'!$D:$D, $A121,
    'New LF Efficacy'!$F:$F,"DEC", 
    'New LF Efficacy'!$W:$W,"&lt;2016",
    'New LF Efficacy'!$AA:$AA,""),
  ""
)</f>
        <v/>
      </c>
      <c r="AO121" s="582">
        <f t="shared" si="12"/>
        <v>0.31225</v>
      </c>
      <c r="AP121" s="571" t="str">
        <f>IFERROR(
AVERAGEIFS(
'New LF Efficacy'!$J:$J,
'New LF Efficacy'!$D:$D,$A121,
'New LF Efficacy'!$F:$F,"Albendazole &amp; DEC",
'New LF Efficacy'!$W:$W,"&lt;2016",
'New LF Efficacy'!$AA:$AA,""),
"")</f>
        <v/>
      </c>
      <c r="AQ121" s="582">
        <f t="shared" si="13"/>
        <v>0.4</v>
      </c>
      <c r="AR121" s="571" t="str">
        <f>IFERROR(
AVERAGEIFS(
'New LF Efficacy'!$J:$J,
'New LF Efficacy'!$D:$D,$A121,
'New LF Efficacy'!$F:$F,"Albendazole &amp; Ivermectin", 
'New LF Efficacy'!$W:$W,"&lt;2016",
'New LF Efficacy'!$AA:$AA,""),"")</f>
        <v/>
      </c>
      <c r="AS121" s="582">
        <f t="shared" si="14"/>
        <v>0.2943125</v>
      </c>
      <c r="AT121" s="583">
        <f>IFERROR(AVERAGEIFS(
'Schist Efficacy'!$O:$O, 
'Schist Efficacy'!$C:$C,$A121, 
'Schist Efficacy'!$D:$D, "Praziquantel",
'Schist Efficacy'!$J:$J,"&lt;2016",
'Schist Efficacy'!$U:$U,""),
"")</f>
        <v>0.977</v>
      </c>
      <c r="AU121" s="572">
        <f t="shared" si="15"/>
        <v>0.977</v>
      </c>
      <c r="AV121" s="131" t="str">
        <f>IFERROR(AVERAGEIFS(
'STH Efficacy'!$AX:$AX, 
'STH Efficacy'!$AL:$AL, $A121, 
'STH Efficacy'!$AM:$AM, "Albendazole",
'STH Efficacy'!$AS:$AS,"&lt;2016",
'STH Efficacy'!$BP:$BP,""),
"")</f>
        <v/>
      </c>
      <c r="AW121" s="132">
        <f t="shared" si="16"/>
        <v>0.3816333333</v>
      </c>
      <c r="AX121" s="131" t="str">
        <f>IFERROR(AVERAGEIFS(
'STH Efficacy'!$AX:$AX, 
'STH Efficacy'!$AL:$AL, $A121, 
'STH Efficacy'!$AM:$AM, "Mebendazole",
'STH Efficacy'!$AS:$AS,"&lt;2016",
'STH Efficacy'!$BP:$BP,""),
"")</f>
        <v/>
      </c>
      <c r="AY121" s="132">
        <f t="shared" si="17"/>
        <v>0.4859375</v>
      </c>
      <c r="AZ121" s="131" t="str">
        <f>IFERROR(AVERAGEIFS(
'STH Efficacy'!$AX:$AX, 
'STH Efficacy'!$AL:$AL, $A121, 
'STH Efficacy'!$AM:$AM, "Albendazole &amp; Ivermectin",
'STH Efficacy'!$AS:$AS,"&lt;2016",
'STH Efficacy'!$BP:$BP,""),
"")</f>
        <v/>
      </c>
      <c r="BA121" s="303">
        <f t="shared" si="18"/>
        <v>0.47175</v>
      </c>
      <c r="BB121" s="584">
        <f>IFERROR(AVERAGEIFS(
'STH Efficacy'!$N:$N, 
'STH Efficacy'!$B:$B, $A121, 
'STH Efficacy'!$C:$C, "Albendazole",
'STH Efficacy'!$I:$I,"&lt;2016",
'STH Efficacy'!$AH:$AH,""),
"")</f>
        <v>0.838</v>
      </c>
      <c r="BC121" s="579">
        <f t="shared" si="19"/>
        <v>0.838</v>
      </c>
      <c r="BD121" s="584">
        <f>IFERROR(AVERAGEIFS(
'STH Efficacy'!$N:$N, 
'STH Efficacy'!$B:$B, $A121, 
'STH Efficacy'!$C:$C, "Mebendazole",
'STH Efficacy'!$I:$I,"&lt;2016",
'STH Efficacy'!$AH:$AH,""),
"")</f>
        <v>0.3715</v>
      </c>
      <c r="BE121" s="579">
        <f t="shared" si="20"/>
        <v>0.3715</v>
      </c>
      <c r="BF121" s="585" t="str">
        <f>IFERROR(AVERAGEIFS(
'STH Efficacy'!$CD:$CD, 
'STH Efficacy'!$BS:$BS, $A121, 
'STH Efficacy'!$BT:$BT, "Albendazole",
'STH Efficacy'!$BZ:$BZ,"&lt;2016",
'STH Efficacy'!$CU:$CU,""),
"")</f>
        <v/>
      </c>
      <c r="BG121" s="580">
        <f t="shared" si="21"/>
        <v>0.9066666667</v>
      </c>
      <c r="BH121" s="585" t="str">
        <f>IFERROR(AVERAGEIFS(
'STH Efficacy'!$CD:$CD, 
'STH Efficacy'!$BS:$BS, $A121, 
'STH Efficacy'!$BT:$BT, "Mebendazole",
'STH Efficacy'!$BZ:$BZ,"&lt;2016",
'STH Efficacy'!$CU:$CU,""),
"")</f>
        <v/>
      </c>
      <c r="BI121" s="580">
        <f t="shared" si="22"/>
        <v>0.8483333333</v>
      </c>
      <c r="BJ121" s="585" t="str">
        <f>IFERROR(AVERAGEIFS(
'STH Efficacy'!$CD:$CD, 
'STH Efficacy'!$BS:$BS, $A121, 
'STH Efficacy'!$BT:$BT, "Albendazole &amp; Ivermectin",
'STH Efficacy'!$BZ:$BZ,"&lt;2016",
'STH Efficacy'!$CU:$CU,""),
"")</f>
        <v/>
      </c>
      <c r="BK121" s="580">
        <f t="shared" si="23"/>
        <v>0.696</v>
      </c>
      <c r="BL121" s="575">
        <f>IFERROR(
  AVERAGEIFS(
    'NEW Onchocerciasis Efficacy'!$AO:$AO,
    'NEW Onchocerciasis Efficacy'!$C:$C,$A121,
    'NEW Onchocerciasis Efficacy'!$D:$D,"Ivermectin",
    'NEW Onchocerciasis Efficacy'!$AR:$AR,"&lt;2016",
    'NEW Onchocerciasis Efficacy'!$BG:$BG,"")
,"")</f>
        <v>0.98</v>
      </c>
      <c r="BM121" s="586">
        <f t="shared" si="24"/>
        <v>0.98</v>
      </c>
      <c r="BN121" s="587">
        <v>1.0</v>
      </c>
      <c r="BO121" s="588">
        <v>0.0</v>
      </c>
      <c r="BP121" s="589">
        <v>1.0</v>
      </c>
      <c r="BQ121" s="590">
        <f t="shared" si="25"/>
        <v>0</v>
      </c>
      <c r="BR121" s="560" t="str">
        <f t="shared" si="26"/>
        <v>1010</v>
      </c>
      <c r="BS121" s="560" t="str">
        <f t="shared" si="27"/>
        <v>MDA1/2+T2</v>
      </c>
      <c r="BT121" s="606" t="str">
        <f t="shared" si="43"/>
        <v>IVM+ALB or DEC +ALB</v>
      </c>
      <c r="BU121" s="560" t="str">
        <f t="shared" si="29"/>
        <v>PZQ</v>
      </c>
      <c r="BV121" s="560" t="str">
        <f t="shared" si="30"/>
        <v>lf+schist </v>
      </c>
      <c r="BW121" s="150" t="str">
        <f t="shared" si="31"/>
        <v/>
      </c>
      <c r="BX121" s="607">
        <f t="shared" si="32"/>
        <v>17779.95199</v>
      </c>
      <c r="BY121" s="608">
        <f t="shared" si="33"/>
        <v>19547.96017</v>
      </c>
      <c r="BZ121" s="152" t="str">
        <f t="shared" si="34"/>
        <v/>
      </c>
      <c r="CA121" s="152" t="str">
        <f t="shared" si="35"/>
        <v/>
      </c>
      <c r="CB121" s="152" t="str">
        <f t="shared" si="36"/>
        <v/>
      </c>
      <c r="CC121" s="153" t="str">
        <f t="shared" si="37"/>
        <v/>
      </c>
      <c r="CD121" s="153" t="str">
        <f t="shared" si="38"/>
        <v/>
      </c>
      <c r="CE121" s="154" t="str">
        <f t="shared" si="39"/>
        <v/>
      </c>
      <c r="CF121" s="154" t="str">
        <f t="shared" si="40"/>
        <v/>
      </c>
      <c r="CG121" s="154" t="str">
        <f t="shared" si="41"/>
        <v/>
      </c>
      <c r="CH121" s="308" t="str">
        <f t="shared" si="42"/>
        <v/>
      </c>
    </row>
    <row r="122">
      <c r="A122" s="559" t="s">
        <v>211</v>
      </c>
      <c r="B122" s="560" t="s">
        <v>90</v>
      </c>
      <c r="C122" s="561">
        <v>431874.0</v>
      </c>
      <c r="D122" s="562">
        <v>0.0</v>
      </c>
      <c r="E122" s="563">
        <v>0.0</v>
      </c>
      <c r="F122" s="564">
        <v>0.0</v>
      </c>
      <c r="G122" s="564">
        <v>0.0</v>
      </c>
      <c r="H122" s="564">
        <v>0.0</v>
      </c>
      <c r="I122" s="565">
        <v>0.0</v>
      </c>
      <c r="J122" s="566">
        <v>0.0</v>
      </c>
      <c r="K122" s="566">
        <v>0.0</v>
      </c>
      <c r="L122" s="567">
        <v>0.0</v>
      </c>
      <c r="M122" s="568">
        <v>0.0</v>
      </c>
      <c r="N122" s="568">
        <v>0.0</v>
      </c>
      <c r="O122" s="569">
        <v>0.0</v>
      </c>
      <c r="P122" s="570"/>
      <c r="Q122" s="150"/>
      <c r="R122" s="571"/>
      <c r="S122" s="116">
        <f t="shared" si="6"/>
        <v>0.6648642857</v>
      </c>
      <c r="T122" s="151"/>
      <c r="U122" s="572">
        <f t="shared" si="7"/>
        <v>0.53016</v>
      </c>
      <c r="V122" s="598"/>
      <c r="W122" s="574" t="b">
        <f t="shared" si="8"/>
        <v>0</v>
      </c>
      <c r="X122" s="598"/>
      <c r="Y122" s="574">
        <f t="shared" si="9"/>
        <v>0.631675</v>
      </c>
      <c r="Z122" s="308"/>
      <c r="AA122" s="308"/>
      <c r="AB122" s="575" t="str">
        <f t="shared" si="10"/>
        <v/>
      </c>
      <c r="AC122" s="576">
        <f t="shared" si="11"/>
        <v>0.7192241206</v>
      </c>
      <c r="AD122" s="577">
        <v>0.0</v>
      </c>
      <c r="AE122" s="572">
        <v>0.0</v>
      </c>
      <c r="AF122" s="578">
        <v>0.0</v>
      </c>
      <c r="AG122" s="132">
        <v>0.0</v>
      </c>
      <c r="AH122" s="132">
        <v>0.0</v>
      </c>
      <c r="AI122" s="579">
        <v>0.0</v>
      </c>
      <c r="AJ122" s="579">
        <v>0.0</v>
      </c>
      <c r="AK122" s="580">
        <v>0.0</v>
      </c>
      <c r="AL122" s="580">
        <v>0.0</v>
      </c>
      <c r="AM122" s="581">
        <v>0.0</v>
      </c>
      <c r="AN122" s="571" t="str">
        <f>IFERROR(
  AVERAGEIFS(
    'New LF Efficacy'!$J:$J,
    'New LF Efficacy'!$D:$D, $A122,
    'New LF Efficacy'!$F:$F,"DEC", 
    'New LF Efficacy'!$W:$W,"&lt;2016",
    'New LF Efficacy'!$AA:$AA,""),
  ""
)</f>
        <v/>
      </c>
      <c r="AO122" s="582">
        <f t="shared" si="12"/>
        <v>0.3573520833</v>
      </c>
      <c r="AP122" s="571" t="str">
        <f>IFERROR(
AVERAGEIFS(
'New LF Efficacy'!$J:$J,
'New LF Efficacy'!$D:$D,$A122,
'New LF Efficacy'!$F:$F,"Albendazole &amp; DEC",
'New LF Efficacy'!$W:$W,"&lt;2016",
'New LF Efficacy'!$AA:$AA,""),
"")</f>
        <v/>
      </c>
      <c r="AQ122" s="582">
        <f t="shared" si="13"/>
        <v>0.5143541667</v>
      </c>
      <c r="AR122" s="571" t="str">
        <f>IFERROR(
AVERAGEIFS(
'New LF Efficacy'!$J:$J,
'New LF Efficacy'!$D:$D,$A122,
'New LF Efficacy'!$F:$F,"Albendazole &amp; Ivermectin", 
'New LF Efficacy'!$W:$W,"&lt;2016",
'New LF Efficacy'!$AA:$AA,""),"")</f>
        <v/>
      </c>
      <c r="AS122" s="582">
        <f t="shared" si="14"/>
        <v>0.37153125</v>
      </c>
      <c r="AT122" s="583" t="str">
        <f>IFERROR(AVERAGEIFS(
'Schist Efficacy'!$O:$O, 
'Schist Efficacy'!$C:$C,$A122, 
'Schist Efficacy'!$D:$D, "Praziquantel",
'Schist Efficacy'!$J:$J,"&lt;2016",
'Schist Efficacy'!$U:$U,""),
"")</f>
        <v/>
      </c>
      <c r="AU122" s="572">
        <f t="shared" si="15"/>
        <v>0.655</v>
      </c>
      <c r="AV122" s="131" t="str">
        <f>IFERROR(AVERAGEIFS(
'STH Efficacy'!$AX:$AX, 
'STH Efficacy'!$AL:$AL, $A122, 
'STH Efficacy'!$AM:$AM, "Albendazole",
'STH Efficacy'!$AS:$AS,"&lt;2016",
'STH Efficacy'!$BP:$BP,""),
"")</f>
        <v/>
      </c>
      <c r="AW122" s="132">
        <f t="shared" si="16"/>
        <v>0.4143846154</v>
      </c>
      <c r="AX122" s="131" t="str">
        <f>IFERROR(AVERAGEIFS(
'STH Efficacy'!$AX:$AX, 
'STH Efficacy'!$AL:$AL, $A122, 
'STH Efficacy'!$AM:$AM, "Mebendazole",
'STH Efficacy'!$AS:$AS,"&lt;2016",
'STH Efficacy'!$BP:$BP,""),
"")</f>
        <v/>
      </c>
      <c r="AY122" s="132">
        <f t="shared" si="17"/>
        <v>0.4691770833</v>
      </c>
      <c r="AZ122" s="131" t="str">
        <f>IFERROR(AVERAGEIFS(
'STH Efficacy'!$AX:$AX, 
'STH Efficacy'!$AL:$AL, $A122, 
'STH Efficacy'!$AM:$AM, "Albendazole &amp; Ivermectin",
'STH Efficacy'!$AS:$AS,"&lt;2016",
'STH Efficacy'!$BP:$BP,""),
"")</f>
        <v/>
      </c>
      <c r="BA122" s="303">
        <f t="shared" si="18"/>
        <v>0.597625</v>
      </c>
      <c r="BB122" s="584" t="str">
        <f>IFERROR(AVERAGEIFS(
'STH Efficacy'!$N:$N, 
'STH Efficacy'!$B:$B, $A122, 
'STH Efficacy'!$C:$C, "Albendazole",
'STH Efficacy'!$I:$I,"&lt;2016",
'STH Efficacy'!$AH:$AH,""),
"")</f>
        <v/>
      </c>
      <c r="BC122" s="579">
        <f t="shared" si="19"/>
        <v>0.7613712121</v>
      </c>
      <c r="BD122" s="584" t="str">
        <f>IFERROR(AVERAGEIFS(
'STH Efficacy'!$N:$N, 
'STH Efficacy'!$B:$B, $A122, 
'STH Efficacy'!$C:$C, "Mebendazole",
'STH Efficacy'!$I:$I,"&lt;2016",
'STH Efficacy'!$AH:$AH,""),
"")</f>
        <v/>
      </c>
      <c r="BE122" s="579">
        <f t="shared" si="20"/>
        <v>0.4362466667</v>
      </c>
      <c r="BF122" s="585" t="str">
        <f>IFERROR(AVERAGEIFS(
'STH Efficacy'!$CD:$CD, 
'STH Efficacy'!$BS:$BS, $A122, 
'STH Efficacy'!$BT:$BT, "Albendazole",
'STH Efficacy'!$BZ:$BZ,"&lt;2016",
'STH Efficacy'!$CU:$CU,""),
"")</f>
        <v/>
      </c>
      <c r="BG122" s="580">
        <f t="shared" si="21"/>
        <v>0.9216027778</v>
      </c>
      <c r="BH122" s="585" t="str">
        <f>IFERROR(AVERAGEIFS(
'STH Efficacy'!$CD:$CD, 
'STH Efficacy'!$BS:$BS, $A122, 
'STH Efficacy'!$BT:$BT, "Mebendazole",
'STH Efficacy'!$BZ:$BZ,"&lt;2016",
'STH Efficacy'!$CU:$CU,""),
"")</f>
        <v/>
      </c>
      <c r="BI122" s="580">
        <f t="shared" si="22"/>
        <v>0.8866041667</v>
      </c>
      <c r="BJ122" s="585" t="str">
        <f>IFERROR(AVERAGEIFS(
'STH Efficacy'!$CD:$CD, 
'STH Efficacy'!$BS:$BS, $A122, 
'STH Efficacy'!$BT:$BT, "Albendazole &amp; Ivermectin",
'STH Efficacy'!$BZ:$BZ,"&lt;2016",
'STH Efficacy'!$CU:$CU,""),
"")</f>
        <v/>
      </c>
      <c r="BK122" s="580">
        <f t="shared" si="23"/>
        <v>0.848</v>
      </c>
      <c r="BL122" s="575" t="str">
        <f>IFERROR(
  AVERAGEIFS(
    'NEW Onchocerciasis Efficacy'!$AO:$AO,
    'NEW Onchocerciasis Efficacy'!$C:$C,$A122,
    'NEW Onchocerciasis Efficacy'!$D:$D,"Ivermectin",
    'NEW Onchocerciasis Efficacy'!$AR:$AR,"&lt;2016",
    'NEW Onchocerciasis Efficacy'!$BG:$BG,"")
,"")</f>
        <v/>
      </c>
      <c r="BM122" s="586">
        <f t="shared" si="24"/>
        <v>0.7808368939</v>
      </c>
      <c r="BN122" s="587">
        <v>0.0</v>
      </c>
      <c r="BO122" s="588">
        <v>0.0</v>
      </c>
      <c r="BP122" s="589">
        <v>0.0</v>
      </c>
      <c r="BQ122" s="590">
        <f t="shared" si="25"/>
        <v>0</v>
      </c>
      <c r="BR122" s="560" t="str">
        <f t="shared" si="26"/>
        <v>0000</v>
      </c>
      <c r="BS122" s="560" t="str">
        <f t="shared" si="27"/>
        <v>no action required</v>
      </c>
      <c r="BT122" s="361" t="str">
        <f t="shared" si="43"/>
        <v/>
      </c>
      <c r="BU122" s="591" t="str">
        <f t="shared" si="29"/>
        <v/>
      </c>
      <c r="BV122" s="560" t="str">
        <f t="shared" si="30"/>
        <v>none</v>
      </c>
      <c r="BW122" s="150" t="str">
        <f t="shared" si="31"/>
        <v/>
      </c>
      <c r="BX122" s="150" t="str">
        <f t="shared" si="32"/>
        <v/>
      </c>
      <c r="BY122" s="151" t="str">
        <f t="shared" si="33"/>
        <v/>
      </c>
      <c r="BZ122" s="152" t="str">
        <f t="shared" si="34"/>
        <v/>
      </c>
      <c r="CA122" s="152" t="str">
        <f t="shared" si="35"/>
        <v/>
      </c>
      <c r="CB122" s="152" t="str">
        <f t="shared" si="36"/>
        <v/>
      </c>
      <c r="CC122" s="153" t="str">
        <f t="shared" si="37"/>
        <v/>
      </c>
      <c r="CD122" s="153" t="str">
        <f t="shared" si="38"/>
        <v/>
      </c>
      <c r="CE122" s="154" t="str">
        <f t="shared" si="39"/>
        <v/>
      </c>
      <c r="CF122" s="154" t="str">
        <f t="shared" si="40"/>
        <v/>
      </c>
      <c r="CG122" s="154" t="str">
        <f t="shared" si="41"/>
        <v/>
      </c>
      <c r="CH122" s="308" t="str">
        <f t="shared" si="42"/>
        <v/>
      </c>
    </row>
    <row r="123">
      <c r="A123" s="559" t="s">
        <v>212</v>
      </c>
      <c r="B123" s="560" t="s">
        <v>94</v>
      </c>
      <c r="C123" s="561">
        <v>52994.0</v>
      </c>
      <c r="D123" s="562">
        <v>7.623133818</v>
      </c>
      <c r="E123" s="563">
        <v>0.0</v>
      </c>
      <c r="F123" s="564">
        <v>0.758686444</v>
      </c>
      <c r="G123" s="564">
        <v>7.588156127</v>
      </c>
      <c r="H123" s="564">
        <v>23.35128885</v>
      </c>
      <c r="I123" s="565">
        <v>0.410701492</v>
      </c>
      <c r="J123" s="566">
        <v>1.45833005713913</v>
      </c>
      <c r="K123" s="566">
        <v>7.08778118750453</v>
      </c>
      <c r="L123" s="567">
        <v>0.198685192</v>
      </c>
      <c r="M123" s="568">
        <v>0.160111369867095</v>
      </c>
      <c r="N123" s="568">
        <v>0.514046114786928</v>
      </c>
      <c r="O123" s="569">
        <v>0.0</v>
      </c>
      <c r="P123" s="632">
        <v>138.46831</v>
      </c>
      <c r="Q123" s="150"/>
      <c r="R123" s="571"/>
      <c r="S123" s="116">
        <f t="shared" si="6"/>
        <v>0.5322777778</v>
      </c>
      <c r="T123" s="151"/>
      <c r="U123" s="572">
        <f t="shared" si="7"/>
        <v>0.7834666667</v>
      </c>
      <c r="V123" s="613"/>
      <c r="W123" s="574">
        <f t="shared" si="8"/>
        <v>0.3593777778</v>
      </c>
      <c r="X123" s="613"/>
      <c r="Y123" s="574">
        <f t="shared" si="9"/>
        <v>0.5347375</v>
      </c>
      <c r="Z123" s="308"/>
      <c r="AA123" s="308"/>
      <c r="AB123" s="575" t="str">
        <f t="shared" si="10"/>
        <v/>
      </c>
      <c r="AC123" s="576">
        <f t="shared" si="11"/>
        <v>0.7192241206</v>
      </c>
      <c r="AD123" s="577">
        <v>0.01896092697</v>
      </c>
      <c r="AE123" s="572">
        <v>0.0</v>
      </c>
      <c r="AF123" s="578">
        <v>0.0</v>
      </c>
      <c r="AG123" s="133">
        <v>0.03764453609</v>
      </c>
      <c r="AH123" s="133">
        <v>0.123765449</v>
      </c>
      <c r="AI123" s="623">
        <v>0.02561698892</v>
      </c>
      <c r="AJ123" s="623">
        <v>0.03234176858</v>
      </c>
      <c r="AK123" s="624">
        <v>0.04870561014</v>
      </c>
      <c r="AL123" s="624">
        <v>0.05841367161</v>
      </c>
      <c r="AM123" s="581">
        <v>0.0</v>
      </c>
      <c r="AN123" s="571" t="str">
        <f>IFERROR(
  AVERAGEIFS(
    'New LF Efficacy'!$J:$J,
    'New LF Efficacy'!$D:$D, $A123,
    'New LF Efficacy'!$F:$F,"DEC", 
    'New LF Efficacy'!$W:$W,"&lt;2016",
    'New LF Efficacy'!$AA:$AA,""),
  ""
)</f>
        <v/>
      </c>
      <c r="AO123" s="582">
        <f t="shared" si="12"/>
        <v>0.38</v>
      </c>
      <c r="AP123" s="571" t="str">
        <f>IFERROR(
AVERAGEIFS(
'New LF Efficacy'!$J:$J,
'New LF Efficacy'!$D:$D,$A123,
'New LF Efficacy'!$F:$F,"Albendazole &amp; DEC",
'New LF Efficacy'!$W:$W,"&lt;2016",
'New LF Efficacy'!$AA:$AA,""),
"")</f>
        <v/>
      </c>
      <c r="AQ123" s="582">
        <f t="shared" si="13"/>
        <v>0.662</v>
      </c>
      <c r="AR123" s="571" t="str">
        <f>IFERROR(
AVERAGEIFS(
'New LF Efficacy'!$J:$J,
'New LF Efficacy'!$D:$D,$A123,
'New LF Efficacy'!$F:$F,"Albendazole &amp; Ivermectin", 
'New LF Efficacy'!$W:$W,"&lt;2016",
'New LF Efficacy'!$AA:$AA,""),"")</f>
        <v/>
      </c>
      <c r="AS123" s="582">
        <f t="shared" si="14"/>
        <v>0.37153125</v>
      </c>
      <c r="AT123" s="583" t="str">
        <f>IFERROR(AVERAGEIFS(
'Schist Efficacy'!$O:$O, 
'Schist Efficacy'!$C:$C,$A123, 
'Schist Efficacy'!$D:$D, "Praziquantel",
'Schist Efficacy'!$J:$J,"&lt;2016",
'Schist Efficacy'!$U:$U,""),
"")</f>
        <v/>
      </c>
      <c r="AU123" s="572">
        <f t="shared" si="15"/>
        <v>0.9475</v>
      </c>
      <c r="AV123" s="131" t="str">
        <f>IFERROR(AVERAGEIFS(
'STH Efficacy'!$AX:$AX, 
'STH Efficacy'!$AL:$AL, $A123, 
'STH Efficacy'!$AM:$AM, "Albendazole",
'STH Efficacy'!$AS:$AS,"&lt;2016",
'STH Efficacy'!$BP:$BP,""),
"")</f>
        <v/>
      </c>
      <c r="AW123" s="132">
        <f t="shared" si="16"/>
        <v>0.3571666667</v>
      </c>
      <c r="AX123" s="131" t="str">
        <f>IFERROR(AVERAGEIFS(
'STH Efficacy'!$AX:$AX, 
'STH Efficacy'!$AL:$AL, $A123, 
'STH Efficacy'!$AM:$AM, "Mebendazole",
'STH Efficacy'!$AS:$AS,"&lt;2016",
'STH Efficacy'!$BP:$BP,""),
"")</f>
        <v/>
      </c>
      <c r="AY123" s="132">
        <f t="shared" si="17"/>
        <v>0.4155</v>
      </c>
      <c r="AZ123" s="131" t="str">
        <f>IFERROR(AVERAGEIFS(
'STH Efficacy'!$AX:$AX, 
'STH Efficacy'!$AL:$AL, $A123, 
'STH Efficacy'!$AM:$AM, "Albendazole &amp; Ivermectin",
'STH Efficacy'!$AS:$AS,"&lt;2016",
'STH Efficacy'!$BP:$BP,""),
"")</f>
        <v/>
      </c>
      <c r="BA123" s="303">
        <f t="shared" si="18"/>
        <v>0.651</v>
      </c>
      <c r="BB123" s="584" t="str">
        <f>IFERROR(AVERAGEIFS(
'STH Efficacy'!$N:$N, 
'STH Efficacy'!$B:$B, $A123, 
'STH Efficacy'!$C:$C, "Albendazole",
'STH Efficacy'!$I:$I,"&lt;2016",
'STH Efficacy'!$AH:$AH,""),
"")</f>
        <v/>
      </c>
      <c r="BC123" s="579">
        <f t="shared" si="19"/>
        <v>0.5769166667</v>
      </c>
      <c r="BD123" s="584" t="str">
        <f>IFERROR(AVERAGEIFS(
'STH Efficacy'!$N:$N, 
'STH Efficacy'!$B:$B, $A123, 
'STH Efficacy'!$C:$C, "Mebendazole",
'STH Efficacy'!$I:$I,"&lt;2016",
'STH Efficacy'!$AH:$AH,""),
"")</f>
        <v/>
      </c>
      <c r="BE123" s="579">
        <f t="shared" si="20"/>
        <v>0.3145</v>
      </c>
      <c r="BF123" s="585" t="str">
        <f>IFERROR(AVERAGEIFS(
'STH Efficacy'!$CD:$CD, 
'STH Efficacy'!$BS:$BS, $A123, 
'STH Efficacy'!$BT:$BT, "Albendazole",
'STH Efficacy'!$BZ:$BZ,"&lt;2016",
'STH Efficacy'!$CU:$CU,""),
"")</f>
        <v/>
      </c>
      <c r="BG123" s="580">
        <f t="shared" si="21"/>
        <v>0.96925</v>
      </c>
      <c r="BH123" s="585" t="str">
        <f>IFERROR(AVERAGEIFS(
'STH Efficacy'!$CD:$CD, 
'STH Efficacy'!$BS:$BS, $A123, 
'STH Efficacy'!$BT:$BT, "Mebendazole",
'STH Efficacy'!$BZ:$BZ,"&lt;2016",
'STH Efficacy'!$CU:$CU,""),
"")</f>
        <v/>
      </c>
      <c r="BI123" s="580">
        <f t="shared" si="22"/>
        <v>0.9305</v>
      </c>
      <c r="BJ123" s="585" t="str">
        <f>IFERROR(AVERAGEIFS(
'STH Efficacy'!$CD:$CD, 
'STH Efficacy'!$BS:$BS, $A123, 
'STH Efficacy'!$BT:$BT, "Albendazole &amp; Ivermectin",
'STH Efficacy'!$BZ:$BZ,"&lt;2016",
'STH Efficacy'!$CU:$CU,""),
"")</f>
        <v/>
      </c>
      <c r="BK123" s="580">
        <f t="shared" si="23"/>
        <v>0.848</v>
      </c>
      <c r="BL123" s="575" t="str">
        <f>IFERROR(
  AVERAGEIFS(
    'NEW Onchocerciasis Efficacy'!$AO:$AO,
    'NEW Onchocerciasis Efficacy'!$C:$C,$A123,
    'NEW Onchocerciasis Efficacy'!$D:$D,"Ivermectin",
    'NEW Onchocerciasis Efficacy'!$AR:$AR,"&lt;2016",
    'NEW Onchocerciasis Efficacy'!$BG:$BG,"")
,"")</f>
        <v/>
      </c>
      <c r="BM123" s="586">
        <f t="shared" si="24"/>
        <v>0.7808368939</v>
      </c>
      <c r="BN123" s="587">
        <v>0.0</v>
      </c>
      <c r="BO123" s="588">
        <v>1.0</v>
      </c>
      <c r="BP123" s="589">
        <v>0.0</v>
      </c>
      <c r="BQ123" s="590">
        <f t="shared" si="25"/>
        <v>0</v>
      </c>
      <c r="BR123" s="560" t="str">
        <f t="shared" si="26"/>
        <v>0100</v>
      </c>
      <c r="BS123" s="560" t="str">
        <f t="shared" si="27"/>
        <v>MDA3</v>
      </c>
      <c r="BT123" s="606" t="str">
        <f t="shared" si="43"/>
        <v>IVM</v>
      </c>
      <c r="BU123" s="591" t="str">
        <f t="shared" si="29"/>
        <v/>
      </c>
      <c r="BV123" s="560" t="str">
        <f t="shared" si="30"/>
        <v>onch only</v>
      </c>
      <c r="BW123" s="150" t="str">
        <f t="shared" si="31"/>
        <v/>
      </c>
      <c r="BX123" s="150" t="str">
        <f t="shared" si="32"/>
        <v/>
      </c>
      <c r="BY123" s="151" t="str">
        <f t="shared" si="33"/>
        <v/>
      </c>
      <c r="BZ123" s="152" t="str">
        <f t="shared" si="34"/>
        <v/>
      </c>
      <c r="CA123" s="152" t="str">
        <f t="shared" si="35"/>
        <v/>
      </c>
      <c r="CB123" s="152" t="str">
        <f t="shared" si="36"/>
        <v/>
      </c>
      <c r="CC123" s="153" t="str">
        <f t="shared" si="37"/>
        <v/>
      </c>
      <c r="CD123" s="153" t="str">
        <f t="shared" si="38"/>
        <v/>
      </c>
      <c r="CE123" s="154" t="str">
        <f t="shared" si="39"/>
        <v/>
      </c>
      <c r="CF123" s="154" t="str">
        <f t="shared" si="40"/>
        <v/>
      </c>
      <c r="CG123" s="154" t="str">
        <f t="shared" si="41"/>
        <v/>
      </c>
      <c r="CH123" s="637">
        <f t="shared" si="42"/>
        <v>0</v>
      </c>
    </row>
    <row r="124">
      <c r="A124" s="559" t="s">
        <v>213</v>
      </c>
      <c r="B124" s="560" t="s">
        <v>92</v>
      </c>
      <c r="C124" s="561">
        <v>4182341.0</v>
      </c>
      <c r="D124" s="562">
        <v>0.0</v>
      </c>
      <c r="E124" s="563">
        <v>2006.53586082898</v>
      </c>
      <c r="F124" s="564">
        <v>0.049743484</v>
      </c>
      <c r="G124" s="564">
        <v>0.347200459</v>
      </c>
      <c r="H124" s="564">
        <v>0.876911799</v>
      </c>
      <c r="I124" s="565">
        <v>81.81488785</v>
      </c>
      <c r="J124" s="566">
        <v>212.481872404332</v>
      </c>
      <c r="K124" s="566">
        <v>864.642761067861</v>
      </c>
      <c r="L124" s="567">
        <v>28.97679702</v>
      </c>
      <c r="M124" s="568">
        <v>8.42119832265042</v>
      </c>
      <c r="N124" s="568">
        <v>39.8390686056916</v>
      </c>
      <c r="O124" s="569">
        <v>0.0</v>
      </c>
      <c r="P124" s="570"/>
      <c r="Q124" s="150"/>
      <c r="R124" s="571"/>
      <c r="S124" s="116">
        <f t="shared" si="6"/>
        <v>0.6227928571</v>
      </c>
      <c r="T124" s="572">
        <v>0.3201</v>
      </c>
      <c r="U124" s="572">
        <f t="shared" si="7"/>
        <v>0.3201</v>
      </c>
      <c r="V124" s="598"/>
      <c r="W124" s="574">
        <f t="shared" si="8"/>
        <v>0.7605133333</v>
      </c>
      <c r="X124" s="598"/>
      <c r="Y124" s="574">
        <f t="shared" si="9"/>
        <v>0.6822424242</v>
      </c>
      <c r="Z124" s="308"/>
      <c r="AA124" s="308"/>
      <c r="AB124" s="575" t="str">
        <f t="shared" si="10"/>
        <v/>
      </c>
      <c r="AC124" s="576">
        <f t="shared" si="11"/>
        <v>0.6507101914</v>
      </c>
      <c r="AD124" s="577">
        <v>0.0</v>
      </c>
      <c r="AE124" s="572">
        <v>0.05084666684</v>
      </c>
      <c r="AF124" s="578">
        <v>0.006195308679</v>
      </c>
      <c r="AG124" s="133">
        <v>0.01755730293</v>
      </c>
      <c r="AH124" s="133">
        <v>0.058570864</v>
      </c>
      <c r="AI124" s="623">
        <v>0.07398595003</v>
      </c>
      <c r="AJ124" s="623">
        <v>0.09495709014</v>
      </c>
      <c r="AK124" s="624">
        <v>0.04124952138</v>
      </c>
      <c r="AL124" s="624">
        <v>0.05036370796</v>
      </c>
      <c r="AM124" s="581">
        <v>0.0</v>
      </c>
      <c r="AN124" s="571" t="str">
        <f>IFERROR(
  AVERAGEIFS(
    'New LF Efficacy'!$J:$J,
    'New LF Efficacy'!$D:$D, $A124,
    'New LF Efficacy'!$F:$F,"DEC", 
    'New LF Efficacy'!$W:$W,"&lt;2016",
    'New LF Efficacy'!$AA:$AA,""),
  ""
)</f>
        <v/>
      </c>
      <c r="AO124" s="582">
        <f t="shared" si="12"/>
        <v>0.31225</v>
      </c>
      <c r="AP124" s="571" t="str">
        <f>IFERROR(
AVERAGEIFS(
'New LF Efficacy'!$J:$J,
'New LF Efficacy'!$D:$D,$A124,
'New LF Efficacy'!$F:$F,"Albendazole &amp; DEC",
'New LF Efficacy'!$W:$W,"&lt;2016",
'New LF Efficacy'!$AA:$AA,""),
"")</f>
        <v/>
      </c>
      <c r="AQ124" s="582">
        <f t="shared" si="13"/>
        <v>0.4</v>
      </c>
      <c r="AR124" s="571" t="str">
        <f>IFERROR(
AVERAGEIFS(
'New LF Efficacy'!$J:$J,
'New LF Efficacy'!$D:$D,$A124,
'New LF Efficacy'!$F:$F,"Albendazole &amp; Ivermectin", 
'New LF Efficacy'!$W:$W,"&lt;2016",
'New LF Efficacy'!$AA:$AA,""),"")</f>
        <v/>
      </c>
      <c r="AS124" s="582">
        <f t="shared" si="14"/>
        <v>0.2943125</v>
      </c>
      <c r="AT124" s="583">
        <f>IFERROR(AVERAGEIFS(
'Schist Efficacy'!$O:$O, 
'Schist Efficacy'!$C:$C,$A124, 
'Schist Efficacy'!$D:$D, "Praziquantel",
'Schist Efficacy'!$J:$J,"&lt;2016",
'Schist Efficacy'!$U:$U,""),
"")</f>
        <v>0.78825</v>
      </c>
      <c r="AU124" s="572">
        <f t="shared" si="15"/>
        <v>0.78825</v>
      </c>
      <c r="AV124" s="131" t="str">
        <f>IFERROR(AVERAGEIFS(
'STH Efficacy'!$AX:$AX, 
'STH Efficacy'!$AL:$AL, $A124, 
'STH Efficacy'!$AM:$AM, "Albendazole",
'STH Efficacy'!$AS:$AS,"&lt;2016",
'STH Efficacy'!$BP:$BP,""),
"")</f>
        <v/>
      </c>
      <c r="AW124" s="132">
        <f t="shared" si="16"/>
        <v>0.3816333333</v>
      </c>
      <c r="AX124" s="131" t="str">
        <f>IFERROR(AVERAGEIFS(
'STH Efficacy'!$AX:$AX, 
'STH Efficacy'!$AL:$AL, $A124, 
'STH Efficacy'!$AM:$AM, "Mebendazole",
'STH Efficacy'!$AS:$AS,"&lt;2016",
'STH Efficacy'!$BP:$BP,""),
"")</f>
        <v/>
      </c>
      <c r="AY124" s="132">
        <f t="shared" si="17"/>
        <v>0.4859375</v>
      </c>
      <c r="AZ124" s="131" t="str">
        <f>IFERROR(AVERAGEIFS(
'STH Efficacy'!$AX:$AX, 
'STH Efficacy'!$AL:$AL, $A124, 
'STH Efficacy'!$AM:$AM, "Albendazole &amp; Ivermectin",
'STH Efficacy'!$AS:$AS,"&lt;2016",
'STH Efficacy'!$BP:$BP,""),
"")</f>
        <v/>
      </c>
      <c r="BA124" s="303">
        <f t="shared" si="18"/>
        <v>0.47175</v>
      </c>
      <c r="BB124" s="584" t="str">
        <f>IFERROR(AVERAGEIFS(
'STH Efficacy'!$N:$N, 
'STH Efficacy'!$B:$B, $A124, 
'STH Efficacy'!$C:$C, "Albendazole",
'STH Efficacy'!$I:$I,"&lt;2016",
'STH Efficacy'!$AH:$AH,""),
"")</f>
        <v/>
      </c>
      <c r="BC124" s="579">
        <f t="shared" si="19"/>
        <v>0.8699166667</v>
      </c>
      <c r="BD124" s="584" t="str">
        <f>IFERROR(AVERAGEIFS(
'STH Efficacy'!$N:$N, 
'STH Efficacy'!$B:$B, $A124, 
'STH Efficacy'!$C:$C, "Mebendazole",
'STH Efficacy'!$I:$I,"&lt;2016",
'STH Efficacy'!$AH:$AH,""),
"")</f>
        <v/>
      </c>
      <c r="BE124" s="579">
        <f t="shared" si="20"/>
        <v>0.7092416667</v>
      </c>
      <c r="BF124" s="585" t="str">
        <f>IFERROR(AVERAGEIFS(
'STH Efficacy'!$CD:$CD, 
'STH Efficacy'!$BS:$BS, $A124, 
'STH Efficacy'!$BT:$BT, "Albendazole",
'STH Efficacy'!$BZ:$BZ,"&lt;2016",
'STH Efficacy'!$CU:$CU,""),
"")</f>
        <v/>
      </c>
      <c r="BG124" s="580">
        <f t="shared" si="21"/>
        <v>0.9066666667</v>
      </c>
      <c r="BH124" s="585" t="str">
        <f>IFERROR(AVERAGEIFS(
'STH Efficacy'!$CD:$CD, 
'STH Efficacy'!$BS:$BS, $A124, 
'STH Efficacy'!$BT:$BT, "Mebendazole",
'STH Efficacy'!$BZ:$BZ,"&lt;2016",
'STH Efficacy'!$CU:$CU,""),
"")</f>
        <v/>
      </c>
      <c r="BI124" s="580">
        <f t="shared" si="22"/>
        <v>0.8483333333</v>
      </c>
      <c r="BJ124" s="585" t="str">
        <f>IFERROR(AVERAGEIFS(
'STH Efficacy'!$CD:$CD, 
'STH Efficacy'!$BS:$BS, $A124, 
'STH Efficacy'!$BT:$BT, "Albendazole &amp; Ivermectin",
'STH Efficacy'!$BZ:$BZ,"&lt;2016",
'STH Efficacy'!$CU:$CU,""),
"")</f>
        <v/>
      </c>
      <c r="BK124" s="580">
        <f t="shared" si="23"/>
        <v>0.696</v>
      </c>
      <c r="BL124" s="575" t="str">
        <f>IFERROR(
  AVERAGEIFS(
    'NEW Onchocerciasis Efficacy'!$AO:$AO,
    'NEW Onchocerciasis Efficacy'!$C:$C,$A124,
    'NEW Onchocerciasis Efficacy'!$D:$D,"Ivermectin",
    'NEW Onchocerciasis Efficacy'!$AR:$AR,"&lt;2016",
    'NEW Onchocerciasis Efficacy'!$BG:$BG,"")
,"")</f>
        <v/>
      </c>
      <c r="BM124" s="586">
        <f t="shared" si="24"/>
        <v>0.8390421645</v>
      </c>
      <c r="BN124" s="587">
        <v>0.0</v>
      </c>
      <c r="BO124" s="588">
        <v>0.0</v>
      </c>
      <c r="BP124" s="589">
        <v>1.0</v>
      </c>
      <c r="BQ124" s="590">
        <f t="shared" si="25"/>
        <v>0</v>
      </c>
      <c r="BR124" s="560" t="str">
        <f t="shared" si="26"/>
        <v>0010</v>
      </c>
      <c r="BS124" s="560" t="str">
        <f t="shared" si="27"/>
        <v>T2</v>
      </c>
      <c r="BT124" s="361" t="str">
        <f t="shared" si="43"/>
        <v/>
      </c>
      <c r="BU124" s="560" t="str">
        <f t="shared" si="29"/>
        <v>PZQ</v>
      </c>
      <c r="BV124" s="560" t="str">
        <f t="shared" si="30"/>
        <v>schist only</v>
      </c>
      <c r="BW124" s="150" t="str">
        <f t="shared" si="31"/>
        <v/>
      </c>
      <c r="BX124" s="150" t="str">
        <f t="shared" si="32"/>
        <v/>
      </c>
      <c r="BY124" s="608">
        <f t="shared" si="33"/>
        <v>677.1425945</v>
      </c>
      <c r="BZ124" s="152" t="str">
        <f t="shared" si="34"/>
        <v/>
      </c>
      <c r="CA124" s="152" t="str">
        <f t="shared" si="35"/>
        <v/>
      </c>
      <c r="CB124" s="152" t="str">
        <f t="shared" si="36"/>
        <v/>
      </c>
      <c r="CC124" s="153" t="str">
        <f t="shared" si="37"/>
        <v/>
      </c>
      <c r="CD124" s="153" t="str">
        <f t="shared" si="38"/>
        <v/>
      </c>
      <c r="CE124" s="154" t="str">
        <f t="shared" si="39"/>
        <v/>
      </c>
      <c r="CF124" s="154" t="str">
        <f t="shared" si="40"/>
        <v/>
      </c>
      <c r="CG124" s="154" t="str">
        <f t="shared" si="41"/>
        <v/>
      </c>
      <c r="CH124" s="308" t="str">
        <f t="shared" si="42"/>
        <v/>
      </c>
    </row>
    <row r="125">
      <c r="A125" s="559" t="s">
        <v>214</v>
      </c>
      <c r="B125" s="560" t="s">
        <v>92</v>
      </c>
      <c r="C125" s="561">
        <v>1262605.0</v>
      </c>
      <c r="D125" s="562">
        <v>0.0</v>
      </c>
      <c r="E125" s="563">
        <v>3165.17508536379</v>
      </c>
      <c r="F125" s="564">
        <v>0.0</v>
      </c>
      <c r="G125" s="564">
        <v>0.0</v>
      </c>
      <c r="H125" s="564">
        <v>2.38E-7</v>
      </c>
      <c r="I125" s="565">
        <v>0.325250579</v>
      </c>
      <c r="J125" s="566">
        <v>1.6204987711782</v>
      </c>
      <c r="K125" s="566">
        <v>16.9946588646427</v>
      </c>
      <c r="L125" s="567">
        <v>0.326583312</v>
      </c>
      <c r="M125" s="568">
        <v>0.138717163653739</v>
      </c>
      <c r="N125" s="568">
        <v>0.901904844770066</v>
      </c>
      <c r="O125" s="631">
        <v>0.0</v>
      </c>
      <c r="P125" s="570"/>
      <c r="Q125" s="150"/>
      <c r="R125" s="571"/>
      <c r="S125" s="116">
        <f t="shared" si="6"/>
        <v>0.6227928571</v>
      </c>
      <c r="T125" s="151"/>
      <c r="U125" s="572">
        <f t="shared" si="7"/>
        <v>0.5141</v>
      </c>
      <c r="V125" s="598"/>
      <c r="W125" s="574">
        <f t="shared" si="8"/>
        <v>0.7605133333</v>
      </c>
      <c r="X125" s="598"/>
      <c r="Y125" s="574">
        <f t="shared" si="9"/>
        <v>0.6822424242</v>
      </c>
      <c r="Z125" s="308"/>
      <c r="AA125" s="308"/>
      <c r="AB125" s="575" t="str">
        <f t="shared" si="10"/>
        <v/>
      </c>
      <c r="AC125" s="576">
        <f t="shared" si="11"/>
        <v>0.6507101914</v>
      </c>
      <c r="AD125" s="577">
        <v>0.0</v>
      </c>
      <c r="AE125" s="572">
        <v>0.2939397311</v>
      </c>
      <c r="AF125" s="578">
        <v>0.04966450216</v>
      </c>
      <c r="AG125" s="132">
        <v>0.04232499129</v>
      </c>
      <c r="AH125" s="132">
        <v>0.134842629</v>
      </c>
      <c r="AI125" s="579">
        <v>0.00586875099</v>
      </c>
      <c r="AJ125" s="579">
        <v>0.007114406183</v>
      </c>
      <c r="AK125" s="580">
        <v>0.0543165253</v>
      </c>
      <c r="AL125" s="580">
        <v>0.06222071084</v>
      </c>
      <c r="AM125" s="581">
        <v>0.0</v>
      </c>
      <c r="AN125" s="571" t="str">
        <f>IFERROR(
  AVERAGEIFS(
    'New LF Efficacy'!$J:$J,
    'New LF Efficacy'!$D:$D, $A125,
    'New LF Efficacy'!$F:$F,"DEC", 
    'New LF Efficacy'!$W:$W,"&lt;2016",
    'New LF Efficacy'!$AA:$AA,""),
  ""
)</f>
        <v/>
      </c>
      <c r="AO125" s="582">
        <f t="shared" si="12"/>
        <v>0.31225</v>
      </c>
      <c r="AP125" s="571" t="str">
        <f>IFERROR(
AVERAGEIFS(
'New LF Efficacy'!$J:$J,
'New LF Efficacy'!$D:$D,$A125,
'New LF Efficacy'!$F:$F,"Albendazole &amp; DEC",
'New LF Efficacy'!$W:$W,"&lt;2016",
'New LF Efficacy'!$AA:$AA,""),
"")</f>
        <v/>
      </c>
      <c r="AQ125" s="582">
        <f t="shared" si="13"/>
        <v>0.4</v>
      </c>
      <c r="AR125" s="571" t="str">
        <f>IFERROR(
AVERAGEIFS(
'New LF Efficacy'!$J:$J,
'New LF Efficacy'!$D:$D,$A125,
'New LF Efficacy'!$F:$F,"Albendazole &amp; Ivermectin", 
'New LF Efficacy'!$W:$W,"&lt;2016",
'New LF Efficacy'!$AA:$AA,""),"")</f>
        <v/>
      </c>
      <c r="AS125" s="582">
        <f t="shared" si="14"/>
        <v>0.2943125</v>
      </c>
      <c r="AT125" s="583" t="str">
        <f>IFERROR(AVERAGEIFS(
'Schist Efficacy'!$O:$O, 
'Schist Efficacy'!$C:$C,$A125, 
'Schist Efficacy'!$D:$D, "Praziquantel",
'Schist Efficacy'!$J:$J,"&lt;2016",
'Schist Efficacy'!$U:$U,""),
"")</f>
        <v/>
      </c>
      <c r="AU125" s="572">
        <f t="shared" si="15"/>
        <v>0.7206464759</v>
      </c>
      <c r="AV125" s="131" t="str">
        <f>IFERROR(AVERAGEIFS(
'STH Efficacy'!$AX:$AX, 
'STH Efficacy'!$AL:$AL, $A125, 
'STH Efficacy'!$AM:$AM, "Albendazole",
'STH Efficacy'!$AS:$AS,"&lt;2016",
'STH Efficacy'!$BP:$BP,""),
"")</f>
        <v/>
      </c>
      <c r="AW125" s="132">
        <f t="shared" si="16"/>
        <v>0.3816333333</v>
      </c>
      <c r="AX125" s="131" t="str">
        <f>IFERROR(AVERAGEIFS(
'STH Efficacy'!$AX:$AX, 
'STH Efficacy'!$AL:$AL, $A125, 
'STH Efficacy'!$AM:$AM, "Mebendazole",
'STH Efficacy'!$AS:$AS,"&lt;2016",
'STH Efficacy'!$BP:$BP,""),
"")</f>
        <v/>
      </c>
      <c r="AY125" s="132">
        <f t="shared" si="17"/>
        <v>0.4859375</v>
      </c>
      <c r="AZ125" s="131" t="str">
        <f>IFERROR(AVERAGEIFS(
'STH Efficacy'!$AX:$AX, 
'STH Efficacy'!$AL:$AL, $A125, 
'STH Efficacy'!$AM:$AM, "Albendazole &amp; Ivermectin",
'STH Efficacy'!$AS:$AS,"&lt;2016",
'STH Efficacy'!$BP:$BP,""),
"")</f>
        <v/>
      </c>
      <c r="BA125" s="303">
        <f t="shared" si="18"/>
        <v>0.47175</v>
      </c>
      <c r="BB125" s="584" t="str">
        <f>IFERROR(AVERAGEIFS(
'STH Efficacy'!$N:$N, 
'STH Efficacy'!$B:$B, $A125, 
'STH Efficacy'!$C:$C, "Albendazole",
'STH Efficacy'!$I:$I,"&lt;2016",
'STH Efficacy'!$AH:$AH,""),
"")</f>
        <v/>
      </c>
      <c r="BC125" s="579">
        <f t="shared" si="19"/>
        <v>0.8699166667</v>
      </c>
      <c r="BD125" s="584" t="str">
        <f>IFERROR(AVERAGEIFS(
'STH Efficacy'!$N:$N, 
'STH Efficacy'!$B:$B, $A125, 
'STH Efficacy'!$C:$C, "Mebendazole",
'STH Efficacy'!$I:$I,"&lt;2016",
'STH Efficacy'!$AH:$AH,""),
"")</f>
        <v/>
      </c>
      <c r="BE125" s="579">
        <f t="shared" si="20"/>
        <v>0.7092416667</v>
      </c>
      <c r="BF125" s="585" t="str">
        <f>IFERROR(AVERAGEIFS(
'STH Efficacy'!$CD:$CD, 
'STH Efficacy'!$BS:$BS, $A125, 
'STH Efficacy'!$BT:$BT, "Albendazole",
'STH Efficacy'!$BZ:$BZ,"&lt;2016",
'STH Efficacy'!$CU:$CU,""),
"")</f>
        <v/>
      </c>
      <c r="BG125" s="580">
        <f t="shared" si="21"/>
        <v>0.9066666667</v>
      </c>
      <c r="BH125" s="585" t="str">
        <f>IFERROR(AVERAGEIFS(
'STH Efficacy'!$CD:$CD, 
'STH Efficacy'!$BS:$BS, $A125, 
'STH Efficacy'!$BT:$BT, "Mebendazole",
'STH Efficacy'!$BZ:$BZ,"&lt;2016",
'STH Efficacy'!$CU:$CU,""),
"")</f>
        <v/>
      </c>
      <c r="BI125" s="580">
        <f t="shared" si="22"/>
        <v>0.8483333333</v>
      </c>
      <c r="BJ125" s="585" t="str">
        <f>IFERROR(AVERAGEIFS(
'STH Efficacy'!$CD:$CD, 
'STH Efficacy'!$BS:$BS, $A125, 
'STH Efficacy'!$BT:$BT, "Albendazole &amp; Ivermectin",
'STH Efficacy'!$BZ:$BZ,"&lt;2016",
'STH Efficacy'!$CU:$CU,""),
"")</f>
        <v/>
      </c>
      <c r="BK125" s="580">
        <f t="shared" si="23"/>
        <v>0.696</v>
      </c>
      <c r="BL125" s="575" t="str">
        <f>IFERROR(
  AVERAGEIFS(
    'NEW Onchocerciasis Efficacy'!$AO:$AO,
    'NEW Onchocerciasis Efficacy'!$C:$C,$A125,
    'NEW Onchocerciasis Efficacy'!$D:$D,"Ivermectin",
    'NEW Onchocerciasis Efficacy'!$AR:$AR,"&lt;2016",
    'NEW Onchocerciasis Efficacy'!$BG:$BG,"")
,"")</f>
        <v/>
      </c>
      <c r="BM125" s="586">
        <f t="shared" si="24"/>
        <v>0.8390421645</v>
      </c>
      <c r="BN125" s="587">
        <v>0.0</v>
      </c>
      <c r="BO125" s="588">
        <v>0.0</v>
      </c>
      <c r="BP125" s="589">
        <v>1.0</v>
      </c>
      <c r="BQ125" s="590">
        <f t="shared" si="25"/>
        <v>0</v>
      </c>
      <c r="BR125" s="560" t="str">
        <f t="shared" si="26"/>
        <v>0010</v>
      </c>
      <c r="BS125" s="560" t="str">
        <f t="shared" si="27"/>
        <v>T2</v>
      </c>
      <c r="BT125" s="361" t="str">
        <f t="shared" si="43"/>
        <v/>
      </c>
      <c r="BU125" s="560" t="str">
        <f t="shared" si="29"/>
        <v>PZQ</v>
      </c>
      <c r="BV125" s="560" t="str">
        <f t="shared" si="30"/>
        <v>schist only</v>
      </c>
      <c r="BW125" s="150" t="str">
        <f t="shared" si="31"/>
        <v/>
      </c>
      <c r="BX125" s="150" t="str">
        <f t="shared" si="32"/>
        <v/>
      </c>
      <c r="BY125" s="608">
        <f t="shared" si="33"/>
        <v>1862.777916</v>
      </c>
      <c r="BZ125" s="152" t="str">
        <f t="shared" si="34"/>
        <v/>
      </c>
      <c r="CA125" s="152" t="str">
        <f t="shared" si="35"/>
        <v/>
      </c>
      <c r="CB125" s="152" t="str">
        <f t="shared" si="36"/>
        <v/>
      </c>
      <c r="CC125" s="153" t="str">
        <f t="shared" si="37"/>
        <v/>
      </c>
      <c r="CD125" s="153" t="str">
        <f t="shared" si="38"/>
        <v/>
      </c>
      <c r="CE125" s="154" t="str">
        <f t="shared" si="39"/>
        <v/>
      </c>
      <c r="CF125" s="154" t="str">
        <f t="shared" si="40"/>
        <v/>
      </c>
      <c r="CG125" s="154" t="str">
        <f t="shared" si="41"/>
        <v/>
      </c>
      <c r="CH125" s="308" t="str">
        <f t="shared" si="42"/>
        <v/>
      </c>
    </row>
    <row r="126">
      <c r="A126" s="559" t="s">
        <v>215</v>
      </c>
      <c r="B126" s="560" t="s">
        <v>98</v>
      </c>
      <c r="C126" s="561">
        <v>1.25890949E8</v>
      </c>
      <c r="D126" s="562">
        <v>0.0</v>
      </c>
      <c r="E126" s="563">
        <v>0.0</v>
      </c>
      <c r="F126" s="564">
        <v>138.4544008</v>
      </c>
      <c r="G126" s="564">
        <v>990.1375734</v>
      </c>
      <c r="H126" s="564">
        <v>4354.097088</v>
      </c>
      <c r="I126" s="565">
        <v>78.80025937</v>
      </c>
      <c r="J126" s="566">
        <v>229.720369770917</v>
      </c>
      <c r="K126" s="566">
        <v>1974.45030093475</v>
      </c>
      <c r="L126" s="567">
        <v>1648.3166</v>
      </c>
      <c r="M126" s="568">
        <v>3495.73548269249</v>
      </c>
      <c r="N126" s="568">
        <v>10382.9739085054</v>
      </c>
      <c r="O126" s="631">
        <v>0.0</v>
      </c>
      <c r="P126" s="570"/>
      <c r="Q126" s="150"/>
      <c r="R126" s="571"/>
      <c r="S126" s="116">
        <f t="shared" si="6"/>
        <v>0.6451333333</v>
      </c>
      <c r="T126" s="151"/>
      <c r="U126" s="572">
        <f t="shared" si="7"/>
        <v>0.0025</v>
      </c>
      <c r="V126" s="573">
        <v>0.766</v>
      </c>
      <c r="W126" s="574">
        <f t="shared" si="8"/>
        <v>0.766</v>
      </c>
      <c r="X126" s="573">
        <v>0.6284</v>
      </c>
      <c r="Y126" s="574">
        <f t="shared" si="9"/>
        <v>0.6284</v>
      </c>
      <c r="Z126" s="625" t="s">
        <v>395</v>
      </c>
      <c r="AA126" s="625" t="s">
        <v>395</v>
      </c>
      <c r="AB126" s="575" t="str">
        <f t="shared" si="10"/>
        <v/>
      </c>
      <c r="AC126" s="576">
        <f t="shared" si="11"/>
        <v>0.7574216602</v>
      </c>
      <c r="AD126" s="577">
        <v>0.0</v>
      </c>
      <c r="AE126" s="572">
        <v>0.0</v>
      </c>
      <c r="AF126" s="578">
        <v>0.0</v>
      </c>
      <c r="AG126" s="133">
        <v>0.02392819971</v>
      </c>
      <c r="AH126" s="132">
        <v>0.076000703</v>
      </c>
      <c r="AI126" s="579">
        <v>0.008266920891</v>
      </c>
      <c r="AJ126" s="579">
        <v>0.01005950755</v>
      </c>
      <c r="AK126" s="624">
        <v>0.1582244234</v>
      </c>
      <c r="AL126" s="624">
        <v>0.1816568629</v>
      </c>
      <c r="AM126" s="581">
        <v>0.0</v>
      </c>
      <c r="AN126" s="571" t="str">
        <f>IFERROR(
  AVERAGEIFS(
    'New LF Efficacy'!$J:$J,
    'New LF Efficacy'!$D:$D, $A126,
    'New LF Efficacy'!$F:$F,"DEC", 
    'New LF Efficacy'!$W:$W,"&lt;2016",
    'New LF Efficacy'!$AA:$AA,""),
  ""
)</f>
        <v/>
      </c>
      <c r="AO126" s="582">
        <f t="shared" si="12"/>
        <v>0.2589833333</v>
      </c>
      <c r="AP126" s="571" t="str">
        <f>IFERROR(
AVERAGEIFS(
'New LF Efficacy'!$J:$J,
'New LF Efficacy'!$D:$D,$A126,
'New LF Efficacy'!$F:$F,"Albendazole &amp; DEC",
'New LF Efficacy'!$W:$W,"&lt;2016",
'New LF Efficacy'!$AA:$AA,""),
"")</f>
        <v/>
      </c>
      <c r="AQ126" s="582">
        <f t="shared" si="13"/>
        <v>0.3465</v>
      </c>
      <c r="AR126" s="571" t="str">
        <f>IFERROR(
AVERAGEIFS(
'New LF Efficacy'!$J:$J,
'New LF Efficacy'!$D:$D,$A126,
'New LF Efficacy'!$F:$F,"Albendazole &amp; Ivermectin", 
'New LF Efficacy'!$W:$W,"&lt;2016",
'New LF Efficacy'!$AA:$AA,""),"")</f>
        <v/>
      </c>
      <c r="AS126" s="582">
        <f t="shared" si="14"/>
        <v>0.7575</v>
      </c>
      <c r="AT126" s="583" t="str">
        <f>IFERROR(AVERAGEIFS(
'Schist Efficacy'!$O:$O, 
'Schist Efficacy'!$C:$C,$A126, 
'Schist Efficacy'!$D:$D, "Praziquantel",
'Schist Efficacy'!$J:$J,"&lt;2016",
'Schist Efficacy'!$U:$U,""),
"")</f>
        <v/>
      </c>
      <c r="AU126" s="572">
        <f t="shared" si="15"/>
        <v>0.7914761905</v>
      </c>
      <c r="AV126" s="131" t="str">
        <f>IFERROR(AVERAGEIFS(
'STH Efficacy'!$AX:$AX, 
'STH Efficacy'!$AL:$AL, $A126, 
'STH Efficacy'!$AM:$AM, "Albendazole",
'STH Efficacy'!$AS:$AS,"&lt;2016",
'STH Efficacy'!$BP:$BP,""),
"")</f>
        <v/>
      </c>
      <c r="AW126" s="132">
        <f t="shared" si="16"/>
        <v>0.3945</v>
      </c>
      <c r="AX126" s="131" t="str">
        <f>IFERROR(AVERAGEIFS(
'STH Efficacy'!$AX:$AX, 
'STH Efficacy'!$AL:$AL, $A126, 
'STH Efficacy'!$AM:$AM, "Mebendazole",
'STH Efficacy'!$AS:$AS,"&lt;2016",
'STH Efficacy'!$BP:$BP,""),
"")</f>
        <v/>
      </c>
      <c r="AY126" s="132">
        <f t="shared" si="17"/>
        <v>0.6</v>
      </c>
      <c r="AZ126" s="131" t="str">
        <f>IFERROR(AVERAGEIFS(
'STH Efficacy'!$AX:$AX, 
'STH Efficacy'!$AL:$AL, $A126, 
'STH Efficacy'!$AM:$AM, "Albendazole &amp; Ivermectin",
'STH Efficacy'!$AS:$AS,"&lt;2016",
'STH Efficacy'!$BP:$BP,""),
"")</f>
        <v/>
      </c>
      <c r="BA126" s="303">
        <f t="shared" si="18"/>
        <v>0.796</v>
      </c>
      <c r="BB126" s="584" t="str">
        <f>IFERROR(AVERAGEIFS(
'STH Efficacy'!$N:$N, 
'STH Efficacy'!$B:$B, $A126, 
'STH Efficacy'!$C:$C, "Albendazole",
'STH Efficacy'!$I:$I,"&lt;2016",
'STH Efficacy'!$AH:$AH,""),
"")</f>
        <v/>
      </c>
      <c r="BC126" s="579">
        <f t="shared" si="19"/>
        <v>0.869</v>
      </c>
      <c r="BD126" s="584" t="str">
        <f>IFERROR(AVERAGEIFS(
'STH Efficacy'!$N:$N, 
'STH Efficacy'!$B:$B, $A126, 
'STH Efficacy'!$C:$C, "Mebendazole",
'STH Efficacy'!$I:$I,"&lt;2016",
'STH Efficacy'!$AH:$AH,""),
"")</f>
        <v/>
      </c>
      <c r="BE126" s="579">
        <f t="shared" si="20"/>
        <v>0.172</v>
      </c>
      <c r="BF126" s="585" t="str">
        <f>IFERROR(AVERAGEIFS(
'STH Efficacy'!$CD:$CD, 
'STH Efficacy'!$BS:$BS, $A126, 
'STH Efficacy'!$BT:$BT, "Albendazole",
'STH Efficacy'!$BZ:$BZ,"&lt;2016",
'STH Efficacy'!$CU:$CU,""),
"")</f>
        <v/>
      </c>
      <c r="BG126" s="580">
        <f t="shared" si="21"/>
        <v>0.9862</v>
      </c>
      <c r="BH126" s="585" t="str">
        <f>IFERROR(AVERAGEIFS(
'STH Efficacy'!$CD:$CD, 
'STH Efficacy'!$BS:$BS, $A126, 
'STH Efficacy'!$BT:$BT, "Mebendazole",
'STH Efficacy'!$BZ:$BZ,"&lt;2016",
'STH Efficacy'!$CU:$CU,""),
"")</f>
        <v/>
      </c>
      <c r="BI126" s="580">
        <f t="shared" si="22"/>
        <v>0.769</v>
      </c>
      <c r="BJ126" s="585" t="str">
        <f>IFERROR(AVERAGEIFS(
'STH Efficacy'!$CD:$CD, 
'STH Efficacy'!$BS:$BS, $A126, 
'STH Efficacy'!$BT:$BT, "Albendazole &amp; Ivermectin",
'STH Efficacy'!$BZ:$BZ,"&lt;2016",
'STH Efficacy'!$CU:$CU,""),
"")</f>
        <v/>
      </c>
      <c r="BK126" s="580">
        <f t="shared" si="23"/>
        <v>1</v>
      </c>
      <c r="BL126" s="575" t="str">
        <f>IFERROR(
  AVERAGEIFS(
    'NEW Onchocerciasis Efficacy'!$AO:$AO,
    'NEW Onchocerciasis Efficacy'!$C:$C,$A126,
    'NEW Onchocerciasis Efficacy'!$D:$D,"Ivermectin",
    'NEW Onchocerciasis Efficacy'!$AR:$AR,"&lt;2016",
    'NEW Onchocerciasis Efficacy'!$BG:$BG,"")
,"")</f>
        <v/>
      </c>
      <c r="BM126" s="586">
        <f t="shared" si="24"/>
        <v>0.3734</v>
      </c>
      <c r="BN126" s="587">
        <v>0.0</v>
      </c>
      <c r="BO126" s="588">
        <v>0.0</v>
      </c>
      <c r="BP126" s="589">
        <v>0.0</v>
      </c>
      <c r="BQ126" s="590">
        <f t="shared" si="25"/>
        <v>0</v>
      </c>
      <c r="BR126" s="560" t="str">
        <f t="shared" si="26"/>
        <v>0000</v>
      </c>
      <c r="BS126" s="560" t="str">
        <f t="shared" si="27"/>
        <v>no action required</v>
      </c>
      <c r="BT126" s="361" t="str">
        <f t="shared" ref="BT126:BT220" si="44">IF(BS126="no action required","",IF(BS126="MDA1","IVM+ALB",IF(BS126="MDA3","IVM",IF(BS126="T1","ALB+PZQ or MBD+PZQ",IF(BS126="T2","PZQ",IF(BS126="T3","ALB or MBD",IF(BS126="MDA1+T1","IVM+ALB",IF(BS126="MDA1+T2","IVM+ALB",IF(BS126="MDA1+T3","IVM+ALB",IF(BS126="MDA1/2+T1","IVM+ALB or DEC+ALB",IF(BS126="MDA1/2+T2","IVM+ALB or DEC +ALB",IF(BS126="MDA1/2+T3","IVM+ALB of DEC+ALB",IF(BS126="MDA1/2","IVM+ALB or DEC+ALB",IF(BS126="MDA3+T2","IVM",IF(BS126="T1+T3","ALB+PZQ or MBD+PZQ",IF(BS126="T3+T3","2(ALB or MBD)"))))))))))))))))</f>
        <v/>
      </c>
      <c r="BU126" s="591" t="str">
        <f t="shared" si="29"/>
        <v/>
      </c>
      <c r="BV126" s="560" t="str">
        <f t="shared" si="30"/>
        <v>none</v>
      </c>
      <c r="BW126" s="150" t="str">
        <f t="shared" si="31"/>
        <v/>
      </c>
      <c r="BX126" s="150" t="str">
        <f t="shared" si="32"/>
        <v/>
      </c>
      <c r="BY126" s="151" t="str">
        <f t="shared" si="33"/>
        <v/>
      </c>
      <c r="BZ126" s="152" t="str">
        <f t="shared" si="34"/>
        <v/>
      </c>
      <c r="CA126" s="152" t="str">
        <f t="shared" si="35"/>
        <v/>
      </c>
      <c r="CB126" s="152" t="str">
        <f t="shared" si="36"/>
        <v/>
      </c>
      <c r="CC126" s="153" t="str">
        <f t="shared" si="37"/>
        <v/>
      </c>
      <c r="CD126" s="153" t="str">
        <f t="shared" si="38"/>
        <v/>
      </c>
      <c r="CE126" s="154" t="str">
        <f t="shared" si="39"/>
        <v/>
      </c>
      <c r="CF126" s="154" t="str">
        <f t="shared" si="40"/>
        <v/>
      </c>
      <c r="CG126" s="154" t="str">
        <f t="shared" si="41"/>
        <v/>
      </c>
      <c r="CH126" s="308" t="str">
        <f t="shared" si="42"/>
        <v/>
      </c>
    </row>
    <row r="127">
      <c r="A127" s="559" t="s">
        <v>216</v>
      </c>
      <c r="B127" s="560" t="s">
        <v>94</v>
      </c>
      <c r="C127" s="561">
        <v>104433.0</v>
      </c>
      <c r="D127" s="562">
        <v>134.4861858</v>
      </c>
      <c r="E127" s="563">
        <v>0.0</v>
      </c>
      <c r="F127" s="611"/>
      <c r="G127" s="611"/>
      <c r="H127" s="611"/>
      <c r="I127" s="565">
        <v>0.921940621</v>
      </c>
      <c r="J127" s="566">
        <v>3.93286797170047</v>
      </c>
      <c r="K127" s="566">
        <v>18.0646870752481</v>
      </c>
      <c r="L127" s="567">
        <v>2.302116124</v>
      </c>
      <c r="M127" s="568">
        <v>4.26257798360396</v>
      </c>
      <c r="N127" s="568">
        <v>13.8734250880552</v>
      </c>
      <c r="O127" s="569">
        <v>0.0</v>
      </c>
      <c r="P127" s="601" t="s">
        <v>405</v>
      </c>
      <c r="Q127" s="618">
        <v>26208.0</v>
      </c>
      <c r="R127" s="603">
        <v>0.5065</v>
      </c>
      <c r="S127" s="116">
        <f t="shared" si="6"/>
        <v>0.5065</v>
      </c>
      <c r="T127" s="151"/>
      <c r="U127" s="572">
        <f t="shared" si="7"/>
        <v>0.7834666667</v>
      </c>
      <c r="V127" s="573">
        <v>0.2476</v>
      </c>
      <c r="W127" s="574">
        <f t="shared" si="8"/>
        <v>0.2476</v>
      </c>
      <c r="X127" s="573">
        <v>0.2476</v>
      </c>
      <c r="Y127" s="574">
        <f t="shared" si="9"/>
        <v>0.2476</v>
      </c>
      <c r="Z127" s="308"/>
      <c r="AA127" s="308"/>
      <c r="AB127" s="575" t="str">
        <f t="shared" si="10"/>
        <v/>
      </c>
      <c r="AC127" s="576">
        <f t="shared" si="11"/>
        <v>0.7192241206</v>
      </c>
      <c r="AD127" s="577">
        <v>0.0326488178</v>
      </c>
      <c r="AE127" s="639">
        <v>0.0</v>
      </c>
      <c r="AF127" s="583">
        <v>0.0</v>
      </c>
      <c r="AG127" s="133">
        <v>0.0141882296</v>
      </c>
      <c r="AH127" s="133">
        <v>0.045790306</v>
      </c>
      <c r="AI127" s="584"/>
      <c r="AJ127" s="584"/>
      <c r="AK127" s="585"/>
      <c r="AL127" s="585"/>
      <c r="AM127" s="581"/>
      <c r="AN127" s="571" t="str">
        <f>IFERROR(
  AVERAGEIFS(
    'New LF Efficacy'!$J:$J,
    'New LF Efficacy'!$D:$D, $A127,
    'New LF Efficacy'!$F:$F,"DEC", 
    'New LF Efficacy'!$W:$W,"&lt;2016",
    'New LF Efficacy'!$AA:$AA,""),
  ""
)</f>
        <v/>
      </c>
      <c r="AO127" s="582">
        <f t="shared" si="12"/>
        <v>0.38</v>
      </c>
      <c r="AP127" s="571" t="str">
        <f>IFERROR(
AVERAGEIFS(
'New LF Efficacy'!$J:$J,
'New LF Efficacy'!$D:$D,$A127,
'New LF Efficacy'!$F:$F,"Albendazole &amp; DEC",
'New LF Efficacy'!$W:$W,"&lt;2016",
'New LF Efficacy'!$AA:$AA,""),
"")</f>
        <v/>
      </c>
      <c r="AQ127" s="582">
        <f t="shared" si="13"/>
        <v>0.662</v>
      </c>
      <c r="AR127" s="571" t="str">
        <f>IFERROR(
AVERAGEIFS(
'New LF Efficacy'!$J:$J,
'New LF Efficacy'!$D:$D,$A127,
'New LF Efficacy'!$F:$F,"Albendazole &amp; Ivermectin", 
'New LF Efficacy'!$W:$W,"&lt;2016",
'New LF Efficacy'!$AA:$AA,""),"")</f>
        <v/>
      </c>
      <c r="AS127" s="582">
        <f t="shared" si="14"/>
        <v>0.37153125</v>
      </c>
      <c r="AT127" s="583" t="str">
        <f>IFERROR(AVERAGEIFS(
'Schist Efficacy'!$O:$O, 
'Schist Efficacy'!$C:$C,$A127, 
'Schist Efficacy'!$D:$D, "Praziquantel",
'Schist Efficacy'!$J:$J,"&lt;2016",
'Schist Efficacy'!$U:$U,""),
"")</f>
        <v/>
      </c>
      <c r="AU127" s="572">
        <f t="shared" si="15"/>
        <v>0.9475</v>
      </c>
      <c r="AV127" s="131" t="str">
        <f>IFERROR(AVERAGEIFS(
'STH Efficacy'!$AX:$AX, 
'STH Efficacy'!$AL:$AL, $A127, 
'STH Efficacy'!$AM:$AM, "Albendazole",
'STH Efficacy'!$AS:$AS,"&lt;2016",
'STH Efficacy'!$BP:$BP,""),
"")</f>
        <v/>
      </c>
      <c r="AW127" s="132">
        <f t="shared" si="16"/>
        <v>0.3571666667</v>
      </c>
      <c r="AX127" s="131" t="str">
        <f>IFERROR(AVERAGEIFS(
'STH Efficacy'!$AX:$AX, 
'STH Efficacy'!$AL:$AL, $A127, 
'STH Efficacy'!$AM:$AM, "Mebendazole",
'STH Efficacy'!$AS:$AS,"&lt;2016",
'STH Efficacy'!$BP:$BP,""),
"")</f>
        <v/>
      </c>
      <c r="AY127" s="132">
        <f t="shared" si="17"/>
        <v>0.4155</v>
      </c>
      <c r="AZ127" s="131" t="str">
        <f>IFERROR(AVERAGEIFS(
'STH Efficacy'!$AX:$AX, 
'STH Efficacy'!$AL:$AL, $A127, 
'STH Efficacy'!$AM:$AM, "Albendazole &amp; Ivermectin",
'STH Efficacy'!$AS:$AS,"&lt;2016",
'STH Efficacy'!$BP:$BP,""),
"")</f>
        <v/>
      </c>
      <c r="BA127" s="303">
        <f t="shared" si="18"/>
        <v>0.651</v>
      </c>
      <c r="BB127" s="584" t="str">
        <f>IFERROR(AVERAGEIFS(
'STH Efficacy'!$N:$N, 
'STH Efficacy'!$B:$B, $A127, 
'STH Efficacy'!$C:$C, "Albendazole",
'STH Efficacy'!$I:$I,"&lt;2016",
'STH Efficacy'!$AH:$AH,""),
"")</f>
        <v/>
      </c>
      <c r="BC127" s="579">
        <f t="shared" si="19"/>
        <v>0.5769166667</v>
      </c>
      <c r="BD127" s="584" t="str">
        <f>IFERROR(AVERAGEIFS(
'STH Efficacy'!$N:$N, 
'STH Efficacy'!$B:$B, $A127, 
'STH Efficacy'!$C:$C, "Mebendazole",
'STH Efficacy'!$I:$I,"&lt;2016",
'STH Efficacy'!$AH:$AH,""),
"")</f>
        <v/>
      </c>
      <c r="BE127" s="579">
        <f t="shared" si="20"/>
        <v>0.3145</v>
      </c>
      <c r="BF127" s="585" t="str">
        <f>IFERROR(AVERAGEIFS(
'STH Efficacy'!$CD:$CD, 
'STH Efficacy'!$BS:$BS, $A127, 
'STH Efficacy'!$BT:$BT, "Albendazole",
'STH Efficacy'!$BZ:$BZ,"&lt;2016",
'STH Efficacy'!$CU:$CU,""),
"")</f>
        <v/>
      </c>
      <c r="BG127" s="580">
        <f t="shared" si="21"/>
        <v>0.96925</v>
      </c>
      <c r="BH127" s="585" t="str">
        <f>IFERROR(AVERAGEIFS(
'STH Efficacy'!$CD:$CD, 
'STH Efficacy'!$BS:$BS, $A127, 
'STH Efficacy'!$BT:$BT, "Mebendazole",
'STH Efficacy'!$BZ:$BZ,"&lt;2016",
'STH Efficacy'!$CU:$CU,""),
"")</f>
        <v/>
      </c>
      <c r="BI127" s="580">
        <f t="shared" si="22"/>
        <v>0.9305</v>
      </c>
      <c r="BJ127" s="585" t="str">
        <f>IFERROR(AVERAGEIFS(
'STH Efficacy'!$CD:$CD, 
'STH Efficacy'!$BS:$BS, $A127, 
'STH Efficacy'!$BT:$BT, "Albendazole &amp; Ivermectin",
'STH Efficacy'!$BZ:$BZ,"&lt;2016",
'STH Efficacy'!$CU:$CU,""),
"")</f>
        <v/>
      </c>
      <c r="BK127" s="580">
        <f t="shared" si="23"/>
        <v>0.848</v>
      </c>
      <c r="BL127" s="575" t="str">
        <f>IFERROR(
  AVERAGEIFS(
    'NEW Onchocerciasis Efficacy'!$AO:$AO,
    'NEW Onchocerciasis Efficacy'!$C:$C,$A127,
    'NEW Onchocerciasis Efficacy'!$D:$D,"Ivermectin",
    'NEW Onchocerciasis Efficacy'!$AR:$AR,"&lt;2016",
    'NEW Onchocerciasis Efficacy'!$BG:$BG,"")
,"")</f>
        <v/>
      </c>
      <c r="BM127" s="586">
        <f t="shared" si="24"/>
        <v>0.7808368939</v>
      </c>
      <c r="BN127" s="587">
        <v>1.0</v>
      </c>
      <c r="BO127" s="588">
        <v>0.0</v>
      </c>
      <c r="BP127" s="589">
        <v>0.0</v>
      </c>
      <c r="BQ127" s="590">
        <f t="shared" si="25"/>
        <v>0</v>
      </c>
      <c r="BR127" s="560" t="str">
        <f t="shared" si="26"/>
        <v>1000</v>
      </c>
      <c r="BS127" s="560" t="str">
        <f t="shared" si="27"/>
        <v>MDA1/2</v>
      </c>
      <c r="BT127" s="606" t="str">
        <f t="shared" si="44"/>
        <v>IVM+ALB or DEC+ALB</v>
      </c>
      <c r="BU127" s="591" t="str">
        <f t="shared" si="29"/>
        <v/>
      </c>
      <c r="BV127" s="560" t="str">
        <f t="shared" si="30"/>
        <v>lf only</v>
      </c>
      <c r="BW127" s="607">
        <f t="shared" si="31"/>
        <v>67.84086818</v>
      </c>
      <c r="BX127" s="607">
        <f t="shared" si="32"/>
        <v>31.17403638</v>
      </c>
      <c r="BY127" s="151" t="str">
        <f t="shared" si="33"/>
        <v/>
      </c>
      <c r="BZ127" s="152" t="str">
        <f t="shared" si="34"/>
        <v/>
      </c>
      <c r="CA127" s="152" t="str">
        <f t="shared" si="35"/>
        <v/>
      </c>
      <c r="CB127" s="152" t="str">
        <f t="shared" si="36"/>
        <v/>
      </c>
      <c r="CC127" s="153" t="str">
        <f t="shared" si="37"/>
        <v/>
      </c>
      <c r="CD127" s="153" t="str">
        <f t="shared" si="38"/>
        <v/>
      </c>
      <c r="CE127" s="154" t="str">
        <f t="shared" si="39"/>
        <v/>
      </c>
      <c r="CF127" s="154" t="str">
        <f t="shared" si="40"/>
        <v/>
      </c>
      <c r="CG127" s="154" t="str">
        <f t="shared" si="41"/>
        <v/>
      </c>
      <c r="CH127" s="308" t="str">
        <f t="shared" si="42"/>
        <v/>
      </c>
    </row>
    <row r="128">
      <c r="A128" s="559" t="s">
        <v>217</v>
      </c>
      <c r="B128" s="560" t="s">
        <v>90</v>
      </c>
      <c r="C128" s="561">
        <v>38307.0</v>
      </c>
      <c r="D128" s="562"/>
      <c r="E128" s="610"/>
      <c r="F128" s="611"/>
      <c r="G128" s="611"/>
      <c r="H128" s="611"/>
      <c r="I128" s="566"/>
      <c r="J128" s="566"/>
      <c r="K128" s="566"/>
      <c r="L128" s="612"/>
      <c r="M128" s="612"/>
      <c r="N128" s="612"/>
      <c r="O128" s="308"/>
      <c r="P128" s="150"/>
      <c r="Q128" s="150"/>
      <c r="R128" s="571"/>
      <c r="S128" s="116">
        <f t="shared" si="6"/>
        <v>0.6648642857</v>
      </c>
      <c r="T128" s="151"/>
      <c r="U128" s="572">
        <f t="shared" si="7"/>
        <v>0.53016</v>
      </c>
      <c r="V128" s="598"/>
      <c r="W128" s="574" t="b">
        <f t="shared" si="8"/>
        <v>0</v>
      </c>
      <c r="X128" s="598"/>
      <c r="Y128" s="574">
        <f t="shared" si="9"/>
        <v>0.631675</v>
      </c>
      <c r="Z128" s="308"/>
      <c r="AA128" s="308"/>
      <c r="AB128" s="575" t="str">
        <f t="shared" si="10"/>
        <v/>
      </c>
      <c r="AC128" s="576">
        <f t="shared" si="11"/>
        <v>0.7192241206</v>
      </c>
      <c r="AD128" s="571"/>
      <c r="AE128" s="583"/>
      <c r="AF128" s="583"/>
      <c r="AG128" s="131"/>
      <c r="AH128" s="131"/>
      <c r="AI128" s="584"/>
      <c r="AJ128" s="584"/>
      <c r="AK128" s="585"/>
      <c r="AL128" s="585"/>
      <c r="AM128" s="575"/>
      <c r="AN128" s="571" t="str">
        <f>IFERROR(
  AVERAGEIFS(
    'New LF Efficacy'!$J:$J,
    'New LF Efficacy'!$D:$D, $A128,
    'New LF Efficacy'!$F:$F,"DEC", 
    'New LF Efficacy'!$W:$W,"&lt;2016",
    'New LF Efficacy'!$AA:$AA,""),
  ""
)</f>
        <v/>
      </c>
      <c r="AO128" s="582">
        <f t="shared" si="12"/>
        <v>0.3573520833</v>
      </c>
      <c r="AP128" s="571" t="str">
        <f>IFERROR(
AVERAGEIFS(
'New LF Efficacy'!$J:$J,
'New LF Efficacy'!$D:$D,$A128,
'New LF Efficacy'!$F:$F,"Albendazole &amp; DEC",
'New LF Efficacy'!$W:$W,"&lt;2016",
'New LF Efficacy'!$AA:$AA,""),
"")</f>
        <v/>
      </c>
      <c r="AQ128" s="582">
        <f t="shared" si="13"/>
        <v>0.5143541667</v>
      </c>
      <c r="AR128" s="571" t="str">
        <f>IFERROR(
AVERAGEIFS(
'New LF Efficacy'!$J:$J,
'New LF Efficacy'!$D:$D,$A128,
'New LF Efficacy'!$F:$F,"Albendazole &amp; Ivermectin", 
'New LF Efficacy'!$W:$W,"&lt;2016",
'New LF Efficacy'!$AA:$AA,""),"")</f>
        <v/>
      </c>
      <c r="AS128" s="582">
        <f t="shared" si="14"/>
        <v>0.37153125</v>
      </c>
      <c r="AT128" s="583" t="str">
        <f>IFERROR(AVERAGEIFS(
'Schist Efficacy'!$O:$O, 
'Schist Efficacy'!$C:$C,$A128, 
'Schist Efficacy'!$D:$D, "Praziquantel",
'Schist Efficacy'!$J:$J,"&lt;2016",
'Schist Efficacy'!$U:$U,""),
"")</f>
        <v/>
      </c>
      <c r="AU128" s="572">
        <f t="shared" si="15"/>
        <v>0.655</v>
      </c>
      <c r="AV128" s="131" t="str">
        <f>IFERROR(AVERAGEIFS(
'STH Efficacy'!$AX:$AX, 
'STH Efficacy'!$AL:$AL, $A128, 
'STH Efficacy'!$AM:$AM, "Albendazole",
'STH Efficacy'!$AS:$AS,"&lt;2016",
'STH Efficacy'!$BP:$BP,""),
"")</f>
        <v/>
      </c>
      <c r="AW128" s="132">
        <f t="shared" si="16"/>
        <v>0.4143846154</v>
      </c>
      <c r="AX128" s="131" t="str">
        <f>IFERROR(AVERAGEIFS(
'STH Efficacy'!$AX:$AX, 
'STH Efficacy'!$AL:$AL, $A128, 
'STH Efficacy'!$AM:$AM, "Mebendazole",
'STH Efficacy'!$AS:$AS,"&lt;2016",
'STH Efficacy'!$BP:$BP,""),
"")</f>
        <v/>
      </c>
      <c r="AY128" s="132">
        <f t="shared" si="17"/>
        <v>0.4691770833</v>
      </c>
      <c r="AZ128" s="131" t="str">
        <f>IFERROR(AVERAGEIFS(
'STH Efficacy'!$AX:$AX, 
'STH Efficacy'!$AL:$AL, $A128, 
'STH Efficacy'!$AM:$AM, "Albendazole &amp; Ivermectin",
'STH Efficacy'!$AS:$AS,"&lt;2016",
'STH Efficacy'!$BP:$BP,""),
"")</f>
        <v/>
      </c>
      <c r="BA128" s="303">
        <f t="shared" si="18"/>
        <v>0.597625</v>
      </c>
      <c r="BB128" s="584" t="str">
        <f>IFERROR(AVERAGEIFS(
'STH Efficacy'!$N:$N, 
'STH Efficacy'!$B:$B, $A128, 
'STH Efficacy'!$C:$C, "Albendazole",
'STH Efficacy'!$I:$I,"&lt;2016",
'STH Efficacy'!$AH:$AH,""),
"")</f>
        <v/>
      </c>
      <c r="BC128" s="579">
        <f t="shared" si="19"/>
        <v>0.7613712121</v>
      </c>
      <c r="BD128" s="584" t="str">
        <f>IFERROR(AVERAGEIFS(
'STH Efficacy'!$N:$N, 
'STH Efficacy'!$B:$B, $A128, 
'STH Efficacy'!$C:$C, "Mebendazole",
'STH Efficacy'!$I:$I,"&lt;2016",
'STH Efficacy'!$AH:$AH,""),
"")</f>
        <v/>
      </c>
      <c r="BE128" s="579">
        <f t="shared" si="20"/>
        <v>0.4362466667</v>
      </c>
      <c r="BF128" s="585" t="str">
        <f>IFERROR(AVERAGEIFS(
'STH Efficacy'!$CD:$CD, 
'STH Efficacy'!$BS:$BS, $A128, 
'STH Efficacy'!$BT:$BT, "Albendazole",
'STH Efficacy'!$BZ:$BZ,"&lt;2016",
'STH Efficacy'!$CU:$CU,""),
"")</f>
        <v/>
      </c>
      <c r="BG128" s="580">
        <f t="shared" si="21"/>
        <v>0.9216027778</v>
      </c>
      <c r="BH128" s="585" t="str">
        <f>IFERROR(AVERAGEIFS(
'STH Efficacy'!$CD:$CD, 
'STH Efficacy'!$BS:$BS, $A128, 
'STH Efficacy'!$BT:$BT, "Mebendazole",
'STH Efficacy'!$BZ:$BZ,"&lt;2016",
'STH Efficacy'!$CU:$CU,""),
"")</f>
        <v/>
      </c>
      <c r="BI128" s="580">
        <f t="shared" si="22"/>
        <v>0.8866041667</v>
      </c>
      <c r="BJ128" s="585" t="str">
        <f>IFERROR(AVERAGEIFS(
'STH Efficacy'!$CD:$CD, 
'STH Efficacy'!$BS:$BS, $A128, 
'STH Efficacy'!$BT:$BT, "Albendazole &amp; Ivermectin",
'STH Efficacy'!$BZ:$BZ,"&lt;2016",
'STH Efficacy'!$CU:$CU,""),
"")</f>
        <v/>
      </c>
      <c r="BK128" s="580">
        <f t="shared" si="23"/>
        <v>0.848</v>
      </c>
      <c r="BL128" s="575" t="str">
        <f>IFERROR(
  AVERAGEIFS(
    'NEW Onchocerciasis Efficacy'!$AO:$AO,
    'NEW Onchocerciasis Efficacy'!$C:$C,$A128,
    'NEW Onchocerciasis Efficacy'!$D:$D,"Ivermectin",
    'NEW Onchocerciasis Efficacy'!$AR:$AR,"&lt;2016",
    'NEW Onchocerciasis Efficacy'!$BG:$BG,"")
,"")</f>
        <v/>
      </c>
      <c r="BM128" s="586">
        <f t="shared" si="24"/>
        <v>0.7808368939</v>
      </c>
      <c r="BN128" s="587">
        <v>0.0</v>
      </c>
      <c r="BO128" s="588">
        <v>0.0</v>
      </c>
      <c r="BP128" s="589">
        <v>0.0</v>
      </c>
      <c r="BQ128" s="590">
        <f t="shared" si="25"/>
        <v>0</v>
      </c>
      <c r="BR128" s="560" t="str">
        <f t="shared" si="26"/>
        <v>0000</v>
      </c>
      <c r="BS128" s="560" t="str">
        <f t="shared" si="27"/>
        <v>no action required</v>
      </c>
      <c r="BT128" s="361" t="str">
        <f t="shared" si="44"/>
        <v/>
      </c>
      <c r="BU128" s="591" t="str">
        <f t="shared" si="29"/>
        <v/>
      </c>
      <c r="BV128" s="560" t="str">
        <f t="shared" si="30"/>
        <v>none</v>
      </c>
      <c r="BW128" s="150" t="str">
        <f t="shared" si="31"/>
        <v/>
      </c>
      <c r="BX128" s="150" t="str">
        <f t="shared" si="32"/>
        <v/>
      </c>
      <c r="BY128" s="151" t="str">
        <f t="shared" si="33"/>
        <v/>
      </c>
      <c r="BZ128" s="152" t="str">
        <f t="shared" si="34"/>
        <v/>
      </c>
      <c r="CA128" s="152" t="str">
        <f t="shared" si="35"/>
        <v/>
      </c>
      <c r="CB128" s="152" t="str">
        <f t="shared" si="36"/>
        <v/>
      </c>
      <c r="CC128" s="153" t="str">
        <f t="shared" si="37"/>
        <v/>
      </c>
      <c r="CD128" s="153" t="str">
        <f t="shared" si="38"/>
        <v/>
      </c>
      <c r="CE128" s="154" t="str">
        <f t="shared" si="39"/>
        <v/>
      </c>
      <c r="CF128" s="154" t="str">
        <f t="shared" si="40"/>
        <v/>
      </c>
      <c r="CG128" s="154" t="str">
        <f t="shared" si="41"/>
        <v/>
      </c>
      <c r="CH128" s="308" t="str">
        <f t="shared" si="42"/>
        <v/>
      </c>
    </row>
    <row r="129">
      <c r="A129" s="559" t="s">
        <v>218</v>
      </c>
      <c r="B129" s="560" t="s">
        <v>94</v>
      </c>
      <c r="C129" s="561">
        <v>2976877.0</v>
      </c>
      <c r="D129" s="562">
        <v>0.0</v>
      </c>
      <c r="E129" s="563">
        <v>0.0</v>
      </c>
      <c r="F129" s="564">
        <v>0.0</v>
      </c>
      <c r="G129" s="564">
        <v>0.0</v>
      </c>
      <c r="H129" s="564">
        <v>2.02E-7</v>
      </c>
      <c r="I129" s="565">
        <v>8.014835244</v>
      </c>
      <c r="J129" s="566">
        <v>23.082300766542</v>
      </c>
      <c r="K129" s="566">
        <v>175.248421549396</v>
      </c>
      <c r="L129" s="567">
        <v>1.37E-13</v>
      </c>
      <c r="M129" s="568">
        <v>2.86017800043502E-15</v>
      </c>
      <c r="N129" s="568">
        <v>6.17941953770744E-5</v>
      </c>
      <c r="O129" s="569">
        <v>0.0</v>
      </c>
      <c r="P129" s="150"/>
      <c r="Q129" s="150"/>
      <c r="R129" s="571"/>
      <c r="S129" s="116">
        <f t="shared" si="6"/>
        <v>0.5322777778</v>
      </c>
      <c r="T129" s="151"/>
      <c r="U129" s="572">
        <f t="shared" si="7"/>
        <v>0.7834666667</v>
      </c>
      <c r="V129" s="598"/>
      <c r="W129" s="574">
        <f t="shared" si="8"/>
        <v>0.3593777778</v>
      </c>
      <c r="X129" s="598"/>
      <c r="Y129" s="574">
        <f t="shared" si="9"/>
        <v>0.5347375</v>
      </c>
      <c r="Z129" s="308"/>
      <c r="AA129" s="308"/>
      <c r="AB129" s="575" t="str">
        <f t="shared" si="10"/>
        <v/>
      </c>
      <c r="AC129" s="576">
        <f t="shared" si="11"/>
        <v>0.7192241206</v>
      </c>
      <c r="AD129" s="577">
        <v>0.0</v>
      </c>
      <c r="AE129" s="572">
        <v>0.0</v>
      </c>
      <c r="AF129" s="578">
        <v>0.0</v>
      </c>
      <c r="AG129" s="132">
        <v>0.01434040806</v>
      </c>
      <c r="AH129" s="132">
        <v>0.045064837</v>
      </c>
      <c r="AI129" s="579">
        <v>0.02762582483</v>
      </c>
      <c r="AJ129" s="579">
        <v>0.03362223127</v>
      </c>
      <c r="AK129" s="580">
        <v>0.03266935462</v>
      </c>
      <c r="AL129" s="580">
        <v>0.0379636253</v>
      </c>
      <c r="AM129" s="581">
        <v>0.0</v>
      </c>
      <c r="AN129" s="571" t="str">
        <f>IFERROR(
  AVERAGEIFS(
    'New LF Efficacy'!$J:$J,
    'New LF Efficacy'!$D:$D, $A129,
    'New LF Efficacy'!$F:$F,"DEC", 
    'New LF Efficacy'!$W:$W,"&lt;2016",
    'New LF Efficacy'!$AA:$AA,""),
  ""
)</f>
        <v/>
      </c>
      <c r="AO129" s="582">
        <f t="shared" si="12"/>
        <v>0.38</v>
      </c>
      <c r="AP129" s="571" t="str">
        <f>IFERROR(
AVERAGEIFS(
'New LF Efficacy'!$J:$J,
'New LF Efficacy'!$D:$D,$A129,
'New LF Efficacy'!$F:$F,"Albendazole &amp; DEC",
'New LF Efficacy'!$W:$W,"&lt;2016",
'New LF Efficacy'!$AA:$AA,""),
"")</f>
        <v/>
      </c>
      <c r="AQ129" s="582">
        <f t="shared" si="13"/>
        <v>0.662</v>
      </c>
      <c r="AR129" s="571" t="str">
        <f>IFERROR(
AVERAGEIFS(
'New LF Efficacy'!$J:$J,
'New LF Efficacy'!$D:$D,$A129,
'New LF Efficacy'!$F:$F,"Albendazole &amp; Ivermectin", 
'New LF Efficacy'!$W:$W,"&lt;2016",
'New LF Efficacy'!$AA:$AA,""),"")</f>
        <v/>
      </c>
      <c r="AS129" s="582">
        <f t="shared" si="14"/>
        <v>0.37153125</v>
      </c>
      <c r="AT129" s="583" t="str">
        <f>IFERROR(AVERAGEIFS(
'Schist Efficacy'!$O:$O, 
'Schist Efficacy'!$C:$C,$A129, 
'Schist Efficacy'!$D:$D, "Praziquantel",
'Schist Efficacy'!$J:$J,"&lt;2016",
'Schist Efficacy'!$U:$U,""),
"")</f>
        <v/>
      </c>
      <c r="AU129" s="572">
        <f t="shared" si="15"/>
        <v>0.9475</v>
      </c>
      <c r="AV129" s="131" t="str">
        <f>IFERROR(AVERAGEIFS(
'STH Efficacy'!$AX:$AX, 
'STH Efficacy'!$AL:$AL, $A129, 
'STH Efficacy'!$AM:$AM, "Albendazole",
'STH Efficacy'!$AS:$AS,"&lt;2016",
'STH Efficacy'!$BP:$BP,""),
"")</f>
        <v/>
      </c>
      <c r="AW129" s="132">
        <f t="shared" si="16"/>
        <v>0.3571666667</v>
      </c>
      <c r="AX129" s="131" t="str">
        <f>IFERROR(AVERAGEIFS(
'STH Efficacy'!$AX:$AX, 
'STH Efficacy'!$AL:$AL, $A129, 
'STH Efficacy'!$AM:$AM, "Mebendazole",
'STH Efficacy'!$AS:$AS,"&lt;2016",
'STH Efficacy'!$BP:$BP,""),
"")</f>
        <v/>
      </c>
      <c r="AY129" s="132">
        <f t="shared" si="17"/>
        <v>0.4155</v>
      </c>
      <c r="AZ129" s="131" t="str">
        <f>IFERROR(AVERAGEIFS(
'STH Efficacy'!$AX:$AX, 
'STH Efficacy'!$AL:$AL, $A129, 
'STH Efficacy'!$AM:$AM, "Albendazole &amp; Ivermectin",
'STH Efficacy'!$AS:$AS,"&lt;2016",
'STH Efficacy'!$BP:$BP,""),
"")</f>
        <v/>
      </c>
      <c r="BA129" s="303">
        <f t="shared" si="18"/>
        <v>0.651</v>
      </c>
      <c r="BB129" s="584" t="str">
        <f>IFERROR(AVERAGEIFS(
'STH Efficacy'!$N:$N, 
'STH Efficacy'!$B:$B, $A129, 
'STH Efficacy'!$C:$C, "Albendazole",
'STH Efficacy'!$I:$I,"&lt;2016",
'STH Efficacy'!$AH:$AH,""),
"")</f>
        <v/>
      </c>
      <c r="BC129" s="579">
        <f t="shared" si="19"/>
        <v>0.5769166667</v>
      </c>
      <c r="BD129" s="584" t="str">
        <f>IFERROR(AVERAGEIFS(
'STH Efficacy'!$N:$N, 
'STH Efficacy'!$B:$B, $A129, 
'STH Efficacy'!$C:$C, "Mebendazole",
'STH Efficacy'!$I:$I,"&lt;2016",
'STH Efficacy'!$AH:$AH,""),
"")</f>
        <v/>
      </c>
      <c r="BE129" s="579">
        <f t="shared" si="20"/>
        <v>0.3145</v>
      </c>
      <c r="BF129" s="585" t="str">
        <f>IFERROR(AVERAGEIFS(
'STH Efficacy'!$CD:$CD, 
'STH Efficacy'!$BS:$BS, $A129, 
'STH Efficacy'!$BT:$BT, "Albendazole",
'STH Efficacy'!$BZ:$BZ,"&lt;2016",
'STH Efficacy'!$CU:$CU,""),
"")</f>
        <v/>
      </c>
      <c r="BG129" s="580">
        <f t="shared" si="21"/>
        <v>0.96925</v>
      </c>
      <c r="BH129" s="585" t="str">
        <f>IFERROR(AVERAGEIFS(
'STH Efficacy'!$CD:$CD, 
'STH Efficacy'!$BS:$BS, $A129, 
'STH Efficacy'!$BT:$BT, "Mebendazole",
'STH Efficacy'!$BZ:$BZ,"&lt;2016",
'STH Efficacy'!$CU:$CU,""),
"")</f>
        <v/>
      </c>
      <c r="BI129" s="580">
        <f t="shared" si="22"/>
        <v>0.9305</v>
      </c>
      <c r="BJ129" s="585" t="str">
        <f>IFERROR(AVERAGEIFS(
'STH Efficacy'!$CD:$CD, 
'STH Efficacy'!$BS:$BS, $A129, 
'STH Efficacy'!$BT:$BT, "Albendazole &amp; Ivermectin",
'STH Efficacy'!$BZ:$BZ,"&lt;2016",
'STH Efficacy'!$CU:$CU,""),
"")</f>
        <v/>
      </c>
      <c r="BK129" s="580">
        <f t="shared" si="23"/>
        <v>0.848</v>
      </c>
      <c r="BL129" s="575" t="str">
        <f>IFERROR(
  AVERAGEIFS(
    'NEW Onchocerciasis Efficacy'!$AO:$AO,
    'NEW Onchocerciasis Efficacy'!$C:$C,$A129,
    'NEW Onchocerciasis Efficacy'!$D:$D,"Ivermectin",
    'NEW Onchocerciasis Efficacy'!$AR:$AR,"&lt;2016",
    'NEW Onchocerciasis Efficacy'!$BG:$BG,"")
,"")</f>
        <v/>
      </c>
      <c r="BM129" s="586">
        <f t="shared" si="24"/>
        <v>0.7808368939</v>
      </c>
      <c r="BN129" s="587">
        <v>0.0</v>
      </c>
      <c r="BO129" s="588">
        <v>0.0</v>
      </c>
      <c r="BP129" s="589">
        <v>0.0</v>
      </c>
      <c r="BQ129" s="590">
        <f t="shared" si="25"/>
        <v>0</v>
      </c>
      <c r="BR129" s="560" t="str">
        <f t="shared" si="26"/>
        <v>0000</v>
      </c>
      <c r="BS129" s="560" t="str">
        <f t="shared" si="27"/>
        <v>no action required</v>
      </c>
      <c r="BT129" s="361" t="str">
        <f t="shared" si="44"/>
        <v/>
      </c>
      <c r="BU129" s="591" t="str">
        <f t="shared" si="29"/>
        <v/>
      </c>
      <c r="BV129" s="560" t="str">
        <f t="shared" si="30"/>
        <v>none</v>
      </c>
      <c r="BW129" s="150" t="str">
        <f t="shared" si="31"/>
        <v/>
      </c>
      <c r="BX129" s="150" t="str">
        <f t="shared" si="32"/>
        <v/>
      </c>
      <c r="BY129" s="151" t="str">
        <f t="shared" si="33"/>
        <v/>
      </c>
      <c r="BZ129" s="152" t="str">
        <f t="shared" si="34"/>
        <v/>
      </c>
      <c r="CA129" s="152" t="str">
        <f t="shared" si="35"/>
        <v/>
      </c>
      <c r="CB129" s="152" t="str">
        <f t="shared" si="36"/>
        <v/>
      </c>
      <c r="CC129" s="153" t="str">
        <f t="shared" si="37"/>
        <v/>
      </c>
      <c r="CD129" s="153" t="str">
        <f t="shared" si="38"/>
        <v/>
      </c>
      <c r="CE129" s="154" t="str">
        <f t="shared" si="39"/>
        <v/>
      </c>
      <c r="CF129" s="154" t="str">
        <f t="shared" si="40"/>
        <v/>
      </c>
      <c r="CG129" s="154" t="str">
        <f t="shared" si="41"/>
        <v/>
      </c>
      <c r="CH129" s="308" t="str">
        <f t="shared" si="42"/>
        <v/>
      </c>
    </row>
    <row r="130">
      <c r="A130" s="599" t="s">
        <v>219</v>
      </c>
      <c r="B130" s="560" t="s">
        <v>90</v>
      </c>
      <c r="C130" s="561">
        <v>622159.0</v>
      </c>
      <c r="D130" s="562">
        <v>0.0</v>
      </c>
      <c r="E130" s="563">
        <v>0.0</v>
      </c>
      <c r="F130" s="564">
        <v>0.0</v>
      </c>
      <c r="G130" s="564">
        <v>0.0</v>
      </c>
      <c r="H130" s="564">
        <v>0.0</v>
      </c>
      <c r="I130" s="565">
        <v>0.0</v>
      </c>
      <c r="J130" s="566">
        <v>0.0</v>
      </c>
      <c r="K130" s="566">
        <v>0.0</v>
      </c>
      <c r="L130" s="567">
        <v>0.019927574</v>
      </c>
      <c r="M130" s="568">
        <v>0.0206930417600357</v>
      </c>
      <c r="N130" s="568">
        <v>0.0938848497748691</v>
      </c>
      <c r="O130" s="569">
        <v>0.0</v>
      </c>
      <c r="P130" s="150"/>
      <c r="Q130" s="150"/>
      <c r="R130" s="571"/>
      <c r="S130" s="116">
        <f t="shared" si="6"/>
        <v>0.6648642857</v>
      </c>
      <c r="T130" s="151"/>
      <c r="U130" s="572">
        <f t="shared" si="7"/>
        <v>0.53016</v>
      </c>
      <c r="V130" s="598"/>
      <c r="W130" s="574" t="b">
        <f t="shared" si="8"/>
        <v>0</v>
      </c>
      <c r="X130" s="598"/>
      <c r="Y130" s="574">
        <f t="shared" si="9"/>
        <v>0.631675</v>
      </c>
      <c r="Z130" s="308"/>
      <c r="AA130" s="308"/>
      <c r="AB130" s="575" t="str">
        <f t="shared" si="10"/>
        <v/>
      </c>
      <c r="AC130" s="576">
        <f t="shared" si="11"/>
        <v>0.7192241206</v>
      </c>
      <c r="AD130" s="577">
        <v>0.0</v>
      </c>
      <c r="AE130" s="572">
        <v>0.0</v>
      </c>
      <c r="AF130" s="578">
        <v>0.0</v>
      </c>
      <c r="AG130" s="132">
        <v>0.0</v>
      </c>
      <c r="AH130" s="132">
        <v>0.0</v>
      </c>
      <c r="AI130" s="579">
        <v>0.0</v>
      </c>
      <c r="AJ130" s="579">
        <v>0.0</v>
      </c>
      <c r="AK130" s="580">
        <v>0.0</v>
      </c>
      <c r="AL130" s="580">
        <v>0.0</v>
      </c>
      <c r="AM130" s="581">
        <v>0.0</v>
      </c>
      <c r="AN130" s="571" t="str">
        <f>IFERROR(
  AVERAGEIFS(
    'New LF Efficacy'!$J:$J,
    'New LF Efficacy'!$D:$D, $A130,
    'New LF Efficacy'!$F:$F,"DEC", 
    'New LF Efficacy'!$W:$W,"&lt;2016",
    'New LF Efficacy'!$AA:$AA,""),
  ""
)</f>
        <v/>
      </c>
      <c r="AO130" s="582">
        <f t="shared" si="12"/>
        <v>0.3573520833</v>
      </c>
      <c r="AP130" s="571" t="str">
        <f>IFERROR(
AVERAGEIFS(
'New LF Efficacy'!$J:$J,
'New LF Efficacy'!$D:$D,$A130,
'New LF Efficacy'!$F:$F,"Albendazole &amp; DEC",
'New LF Efficacy'!$W:$W,"&lt;2016",
'New LF Efficacy'!$AA:$AA,""),
"")</f>
        <v/>
      </c>
      <c r="AQ130" s="582">
        <f t="shared" si="13"/>
        <v>0.5143541667</v>
      </c>
      <c r="AR130" s="571" t="str">
        <f>IFERROR(
AVERAGEIFS(
'New LF Efficacy'!$J:$J,
'New LF Efficacy'!$D:$D,$A130,
'New LF Efficacy'!$F:$F,"Albendazole &amp; Ivermectin", 
'New LF Efficacy'!$W:$W,"&lt;2016",
'New LF Efficacy'!$AA:$AA,""),"")</f>
        <v/>
      </c>
      <c r="AS130" s="582">
        <f t="shared" si="14"/>
        <v>0.37153125</v>
      </c>
      <c r="AT130" s="583" t="str">
        <f>IFERROR(AVERAGEIFS(
'Schist Efficacy'!$O:$O, 
'Schist Efficacy'!$C:$C,$A130, 
'Schist Efficacy'!$D:$D, "Praziquantel",
'Schist Efficacy'!$J:$J,"&lt;2016",
'Schist Efficacy'!$U:$U,""),
"")</f>
        <v/>
      </c>
      <c r="AU130" s="572">
        <f t="shared" si="15"/>
        <v>0.655</v>
      </c>
      <c r="AV130" s="131" t="str">
        <f>IFERROR(AVERAGEIFS(
'STH Efficacy'!$AX:$AX, 
'STH Efficacy'!$AL:$AL, $A130, 
'STH Efficacy'!$AM:$AM, "Albendazole",
'STH Efficacy'!$AS:$AS,"&lt;2016",
'STH Efficacy'!$BP:$BP,""),
"")</f>
        <v/>
      </c>
      <c r="AW130" s="132">
        <f t="shared" si="16"/>
        <v>0.4143846154</v>
      </c>
      <c r="AX130" s="131" t="str">
        <f>IFERROR(AVERAGEIFS(
'STH Efficacy'!$AX:$AX, 
'STH Efficacy'!$AL:$AL, $A130, 
'STH Efficacy'!$AM:$AM, "Mebendazole",
'STH Efficacy'!$AS:$AS,"&lt;2016",
'STH Efficacy'!$BP:$BP,""),
"")</f>
        <v/>
      </c>
      <c r="AY130" s="132">
        <f t="shared" si="17"/>
        <v>0.4691770833</v>
      </c>
      <c r="AZ130" s="131" t="str">
        <f>IFERROR(AVERAGEIFS(
'STH Efficacy'!$AX:$AX, 
'STH Efficacy'!$AL:$AL, $A130, 
'STH Efficacy'!$AM:$AM, "Albendazole &amp; Ivermectin",
'STH Efficacy'!$AS:$AS,"&lt;2016",
'STH Efficacy'!$BP:$BP,""),
"")</f>
        <v/>
      </c>
      <c r="BA130" s="303">
        <f t="shared" si="18"/>
        <v>0.597625</v>
      </c>
      <c r="BB130" s="584" t="str">
        <f>IFERROR(AVERAGEIFS(
'STH Efficacy'!$N:$N, 
'STH Efficacy'!$B:$B, $A130, 
'STH Efficacy'!$C:$C, "Albendazole",
'STH Efficacy'!$I:$I,"&lt;2016",
'STH Efficacy'!$AH:$AH,""),
"")</f>
        <v/>
      </c>
      <c r="BC130" s="579">
        <f t="shared" si="19"/>
        <v>0.7613712121</v>
      </c>
      <c r="BD130" s="584" t="str">
        <f>IFERROR(AVERAGEIFS(
'STH Efficacy'!$N:$N, 
'STH Efficacy'!$B:$B, $A130, 
'STH Efficacy'!$C:$C, "Mebendazole",
'STH Efficacy'!$I:$I,"&lt;2016",
'STH Efficacy'!$AH:$AH,""),
"")</f>
        <v/>
      </c>
      <c r="BE130" s="579">
        <f t="shared" si="20"/>
        <v>0.4362466667</v>
      </c>
      <c r="BF130" s="585" t="str">
        <f>IFERROR(AVERAGEIFS(
'STH Efficacy'!$CD:$CD, 
'STH Efficacy'!$BS:$BS, $A130, 
'STH Efficacy'!$BT:$BT, "Albendazole",
'STH Efficacy'!$BZ:$BZ,"&lt;2016",
'STH Efficacy'!$CU:$CU,""),
"")</f>
        <v/>
      </c>
      <c r="BG130" s="580">
        <f t="shared" si="21"/>
        <v>0.9216027778</v>
      </c>
      <c r="BH130" s="585" t="str">
        <f>IFERROR(AVERAGEIFS(
'STH Efficacy'!$CD:$CD, 
'STH Efficacy'!$BS:$BS, $A130, 
'STH Efficacy'!$BT:$BT, "Mebendazole",
'STH Efficacy'!$BZ:$BZ,"&lt;2016",
'STH Efficacy'!$CU:$CU,""),
"")</f>
        <v/>
      </c>
      <c r="BI130" s="580">
        <f t="shared" si="22"/>
        <v>0.8866041667</v>
      </c>
      <c r="BJ130" s="585" t="str">
        <f>IFERROR(AVERAGEIFS(
'STH Efficacy'!$CD:$CD, 
'STH Efficacy'!$BS:$BS, $A130, 
'STH Efficacy'!$BT:$BT, "Albendazole &amp; Ivermectin",
'STH Efficacy'!$BZ:$BZ,"&lt;2016",
'STH Efficacy'!$CU:$CU,""),
"")</f>
        <v/>
      </c>
      <c r="BK130" s="580">
        <f t="shared" si="23"/>
        <v>0.848</v>
      </c>
      <c r="BL130" s="575" t="str">
        <f>IFERROR(
  AVERAGEIFS(
    'NEW Onchocerciasis Efficacy'!$AO:$AO,
    'NEW Onchocerciasis Efficacy'!$C:$C,$A130,
    'NEW Onchocerciasis Efficacy'!$D:$D,"Ivermectin",
    'NEW Onchocerciasis Efficacy'!$AR:$AR,"&lt;2016",
    'NEW Onchocerciasis Efficacy'!$BG:$BG,"")
,"")</f>
        <v/>
      </c>
      <c r="BM130" s="586">
        <f t="shared" si="24"/>
        <v>0.7808368939</v>
      </c>
      <c r="BN130" s="587">
        <v>0.0</v>
      </c>
      <c r="BO130" s="588">
        <v>0.0</v>
      </c>
      <c r="BP130" s="589">
        <v>0.0</v>
      </c>
      <c r="BQ130" s="590">
        <f t="shared" si="25"/>
        <v>0</v>
      </c>
      <c r="BR130" s="560" t="str">
        <f t="shared" si="26"/>
        <v>0000</v>
      </c>
      <c r="BS130" s="560" t="str">
        <f t="shared" si="27"/>
        <v>no action required</v>
      </c>
      <c r="BT130" s="361" t="str">
        <f t="shared" si="44"/>
        <v/>
      </c>
      <c r="BU130" s="591" t="str">
        <f t="shared" si="29"/>
        <v/>
      </c>
      <c r="BV130" s="560" t="str">
        <f t="shared" si="30"/>
        <v>none</v>
      </c>
      <c r="BW130" s="150" t="str">
        <f t="shared" si="31"/>
        <v/>
      </c>
      <c r="BX130" s="150" t="str">
        <f t="shared" si="32"/>
        <v/>
      </c>
      <c r="BY130" s="151" t="str">
        <f t="shared" si="33"/>
        <v/>
      </c>
      <c r="BZ130" s="152" t="str">
        <f t="shared" si="34"/>
        <v/>
      </c>
      <c r="CA130" s="152" t="str">
        <f t="shared" si="35"/>
        <v/>
      </c>
      <c r="CB130" s="152" t="str">
        <f t="shared" si="36"/>
        <v/>
      </c>
      <c r="CC130" s="153" t="str">
        <f t="shared" si="37"/>
        <v/>
      </c>
      <c r="CD130" s="153" t="str">
        <f t="shared" si="38"/>
        <v/>
      </c>
      <c r="CE130" s="154" t="str">
        <f t="shared" si="39"/>
        <v/>
      </c>
      <c r="CF130" s="154" t="str">
        <f t="shared" si="40"/>
        <v/>
      </c>
      <c r="CG130" s="154" t="str">
        <f t="shared" si="41"/>
        <v/>
      </c>
      <c r="CH130" s="308" t="str">
        <f t="shared" si="42"/>
        <v/>
      </c>
    </row>
    <row r="131">
      <c r="A131" s="599" t="s">
        <v>220</v>
      </c>
      <c r="B131" s="560" t="s">
        <v>98</v>
      </c>
      <c r="C131" s="561">
        <v>5012.0</v>
      </c>
      <c r="D131" s="562"/>
      <c r="E131" s="610"/>
      <c r="F131" s="611"/>
      <c r="G131" s="611"/>
      <c r="H131" s="611"/>
      <c r="I131" s="566"/>
      <c r="J131" s="566"/>
      <c r="K131" s="566"/>
      <c r="L131" s="612"/>
      <c r="M131" s="612"/>
      <c r="N131" s="612"/>
      <c r="O131" s="308"/>
      <c r="P131" s="150"/>
      <c r="Q131" s="150"/>
      <c r="R131" s="571"/>
      <c r="S131" s="116">
        <f t="shared" si="6"/>
        <v>0.6451333333</v>
      </c>
      <c r="T131" s="151"/>
      <c r="U131" s="572">
        <f t="shared" si="7"/>
        <v>0.0025</v>
      </c>
      <c r="V131" s="598"/>
      <c r="W131" s="574">
        <f t="shared" si="8"/>
        <v>0.56882</v>
      </c>
      <c r="X131" s="598"/>
      <c r="Y131" s="574">
        <f t="shared" si="9"/>
        <v>0.5825818182</v>
      </c>
      <c r="Z131" s="308"/>
      <c r="AA131" s="308"/>
      <c r="AB131" s="575" t="str">
        <f t="shared" si="10"/>
        <v/>
      </c>
      <c r="AC131" s="576">
        <f t="shared" si="11"/>
        <v>0.7574216602</v>
      </c>
      <c r="AD131" s="640"/>
      <c r="AE131" s="583"/>
      <c r="AF131" s="583"/>
      <c r="AG131" s="131"/>
      <c r="AH131" s="131"/>
      <c r="AI131" s="584"/>
      <c r="AJ131" s="584"/>
      <c r="AK131" s="585"/>
      <c r="AL131" s="585"/>
      <c r="AM131" s="575"/>
      <c r="AN131" s="571" t="str">
        <f>IFERROR(
  AVERAGEIFS(
    'New LF Efficacy'!$J:$J,
    'New LF Efficacy'!$D:$D, $A131,
    'New LF Efficacy'!$F:$F,"DEC", 
    'New LF Efficacy'!$W:$W,"&lt;2016",
    'New LF Efficacy'!$AA:$AA,""),
  ""
)</f>
        <v/>
      </c>
      <c r="AO131" s="582">
        <f t="shared" si="12"/>
        <v>0.2589833333</v>
      </c>
      <c r="AP131" s="571" t="str">
        <f>IFERROR(
AVERAGEIFS(
'New LF Efficacy'!$J:$J,
'New LF Efficacy'!$D:$D,$A131,
'New LF Efficacy'!$F:$F,"Albendazole &amp; DEC",
'New LF Efficacy'!$W:$W,"&lt;2016",
'New LF Efficacy'!$AA:$AA,""),
"")</f>
        <v/>
      </c>
      <c r="AQ131" s="582">
        <f t="shared" si="13"/>
        <v>0.3465</v>
      </c>
      <c r="AR131" s="571" t="str">
        <f>IFERROR(
AVERAGEIFS(
'New LF Efficacy'!$J:$J,
'New LF Efficacy'!$D:$D,$A131,
'New LF Efficacy'!$F:$F,"Albendazole &amp; Ivermectin", 
'New LF Efficacy'!$W:$W,"&lt;2016",
'New LF Efficacy'!$AA:$AA,""),"")</f>
        <v/>
      </c>
      <c r="AS131" s="582">
        <f t="shared" si="14"/>
        <v>0.7575</v>
      </c>
      <c r="AT131" s="583" t="str">
        <f>IFERROR(AVERAGEIFS(
'Schist Efficacy'!$O:$O, 
'Schist Efficacy'!$C:$C,$A131, 
'Schist Efficacy'!$D:$D, "Praziquantel",
'Schist Efficacy'!$J:$J,"&lt;2016",
'Schist Efficacy'!$U:$U,""),
"")</f>
        <v/>
      </c>
      <c r="AU131" s="572">
        <f t="shared" si="15"/>
        <v>0.7914761905</v>
      </c>
      <c r="AV131" s="131" t="str">
        <f>IFERROR(AVERAGEIFS(
'STH Efficacy'!$AX:$AX, 
'STH Efficacy'!$AL:$AL, $A131, 
'STH Efficacy'!$AM:$AM, "Albendazole",
'STH Efficacy'!$AS:$AS,"&lt;2016",
'STH Efficacy'!$BP:$BP,""),
"")</f>
        <v/>
      </c>
      <c r="AW131" s="132">
        <f t="shared" si="16"/>
        <v>0.3945</v>
      </c>
      <c r="AX131" s="131" t="str">
        <f>IFERROR(AVERAGEIFS(
'STH Efficacy'!$AX:$AX, 
'STH Efficacy'!$AL:$AL, $A131, 
'STH Efficacy'!$AM:$AM, "Mebendazole",
'STH Efficacy'!$AS:$AS,"&lt;2016",
'STH Efficacy'!$BP:$BP,""),
"")</f>
        <v/>
      </c>
      <c r="AY131" s="132">
        <f t="shared" si="17"/>
        <v>0.6</v>
      </c>
      <c r="AZ131" s="131" t="str">
        <f>IFERROR(AVERAGEIFS(
'STH Efficacy'!$AX:$AX, 
'STH Efficacy'!$AL:$AL, $A131, 
'STH Efficacy'!$AM:$AM, "Albendazole &amp; Ivermectin",
'STH Efficacy'!$AS:$AS,"&lt;2016",
'STH Efficacy'!$BP:$BP,""),
"")</f>
        <v/>
      </c>
      <c r="BA131" s="303">
        <f t="shared" si="18"/>
        <v>0.796</v>
      </c>
      <c r="BB131" s="584" t="str">
        <f>IFERROR(AVERAGEIFS(
'STH Efficacy'!$N:$N, 
'STH Efficacy'!$B:$B, $A131, 
'STH Efficacy'!$C:$C, "Albendazole",
'STH Efficacy'!$I:$I,"&lt;2016",
'STH Efficacy'!$AH:$AH,""),
"")</f>
        <v/>
      </c>
      <c r="BC131" s="579">
        <f t="shared" si="19"/>
        <v>0.869</v>
      </c>
      <c r="BD131" s="584" t="str">
        <f>IFERROR(AVERAGEIFS(
'STH Efficacy'!$N:$N, 
'STH Efficacy'!$B:$B, $A131, 
'STH Efficacy'!$C:$C, "Mebendazole",
'STH Efficacy'!$I:$I,"&lt;2016",
'STH Efficacy'!$AH:$AH,""),
"")</f>
        <v/>
      </c>
      <c r="BE131" s="579">
        <f t="shared" si="20"/>
        <v>0.172</v>
      </c>
      <c r="BF131" s="585" t="str">
        <f>IFERROR(AVERAGEIFS(
'STH Efficacy'!$CD:$CD, 
'STH Efficacy'!$BS:$BS, $A131, 
'STH Efficacy'!$BT:$BT, "Albendazole",
'STH Efficacy'!$BZ:$BZ,"&lt;2016",
'STH Efficacy'!$CU:$CU,""),
"")</f>
        <v/>
      </c>
      <c r="BG131" s="580">
        <f t="shared" si="21"/>
        <v>0.9862</v>
      </c>
      <c r="BH131" s="585" t="str">
        <f>IFERROR(AVERAGEIFS(
'STH Efficacy'!$CD:$CD, 
'STH Efficacy'!$BS:$BS, $A131, 
'STH Efficacy'!$BT:$BT, "Mebendazole",
'STH Efficacy'!$BZ:$BZ,"&lt;2016",
'STH Efficacy'!$CU:$CU,""),
"")</f>
        <v/>
      </c>
      <c r="BI131" s="580">
        <f t="shared" si="22"/>
        <v>0.769</v>
      </c>
      <c r="BJ131" s="585" t="str">
        <f>IFERROR(AVERAGEIFS(
'STH Efficacy'!$CD:$CD, 
'STH Efficacy'!$BS:$BS, $A131, 
'STH Efficacy'!$BT:$BT, "Albendazole &amp; Ivermectin",
'STH Efficacy'!$BZ:$BZ,"&lt;2016",
'STH Efficacy'!$CU:$CU,""),
"")</f>
        <v/>
      </c>
      <c r="BK131" s="580">
        <f t="shared" si="23"/>
        <v>1</v>
      </c>
      <c r="BL131" s="575" t="str">
        <f>IFERROR(
  AVERAGEIFS(
    'NEW Onchocerciasis Efficacy'!$AO:$AO,
    'NEW Onchocerciasis Efficacy'!$C:$C,$A131,
    'NEW Onchocerciasis Efficacy'!$D:$D,"Ivermectin",
    'NEW Onchocerciasis Efficacy'!$AR:$AR,"&lt;2016",
    'NEW Onchocerciasis Efficacy'!$BG:$BG,"")
,"")</f>
        <v/>
      </c>
      <c r="BM131" s="586">
        <f t="shared" si="24"/>
        <v>0.3734</v>
      </c>
      <c r="BN131" s="587">
        <v>0.0</v>
      </c>
      <c r="BO131" s="588">
        <v>0.0</v>
      </c>
      <c r="BP131" s="589">
        <v>0.0</v>
      </c>
      <c r="BQ131" s="590">
        <f t="shared" si="25"/>
        <v>0</v>
      </c>
      <c r="BR131" s="560" t="str">
        <f t="shared" si="26"/>
        <v>0000</v>
      </c>
      <c r="BS131" s="560" t="str">
        <f t="shared" si="27"/>
        <v>no action required</v>
      </c>
      <c r="BT131" s="361" t="str">
        <f t="shared" si="44"/>
        <v/>
      </c>
      <c r="BU131" s="591" t="str">
        <f t="shared" si="29"/>
        <v/>
      </c>
      <c r="BV131" s="560" t="str">
        <f t="shared" si="30"/>
        <v>none</v>
      </c>
      <c r="BW131" s="150" t="str">
        <f t="shared" si="31"/>
        <v/>
      </c>
      <c r="BX131" s="150" t="str">
        <f t="shared" si="32"/>
        <v/>
      </c>
      <c r="BY131" s="151" t="str">
        <f t="shared" si="33"/>
        <v/>
      </c>
      <c r="BZ131" s="152" t="str">
        <f t="shared" si="34"/>
        <v/>
      </c>
      <c r="CA131" s="152" t="str">
        <f t="shared" si="35"/>
        <v/>
      </c>
      <c r="CB131" s="152" t="str">
        <f t="shared" si="36"/>
        <v/>
      </c>
      <c r="CC131" s="153" t="str">
        <f t="shared" si="37"/>
        <v/>
      </c>
      <c r="CD131" s="153" t="str">
        <f t="shared" si="38"/>
        <v/>
      </c>
      <c r="CE131" s="154" t="str">
        <f t="shared" si="39"/>
        <v/>
      </c>
      <c r="CF131" s="154" t="str">
        <f t="shared" si="40"/>
        <v/>
      </c>
      <c r="CG131" s="154" t="str">
        <f t="shared" si="41"/>
        <v/>
      </c>
      <c r="CH131" s="308" t="str">
        <f t="shared" si="42"/>
        <v/>
      </c>
    </row>
    <row r="132">
      <c r="A132" s="559" t="s">
        <v>221</v>
      </c>
      <c r="B132" s="560" t="s">
        <v>88</v>
      </c>
      <c r="C132" s="561">
        <v>3.4803322E7</v>
      </c>
      <c r="D132" s="562">
        <v>0.0</v>
      </c>
      <c r="E132" s="563">
        <v>1740.74947330669</v>
      </c>
      <c r="F132" s="564">
        <v>2.015103161</v>
      </c>
      <c r="G132" s="564">
        <v>14.63590261</v>
      </c>
      <c r="H132" s="564">
        <v>54.35431193</v>
      </c>
      <c r="I132" s="565">
        <v>24.58090717</v>
      </c>
      <c r="J132" s="566">
        <v>64.5340125592052</v>
      </c>
      <c r="K132" s="566">
        <v>290.754340935017</v>
      </c>
      <c r="L132" s="567">
        <v>85.455809</v>
      </c>
      <c r="M132" s="568">
        <v>179.372834232216</v>
      </c>
      <c r="N132" s="568">
        <v>505.945658339303</v>
      </c>
      <c r="O132" s="569">
        <v>0.0</v>
      </c>
      <c r="P132" s="570"/>
      <c r="Q132" s="150"/>
      <c r="R132" s="571"/>
      <c r="S132" s="116">
        <f t="shared" si="6"/>
        <v>0.1495</v>
      </c>
      <c r="T132" s="151"/>
      <c r="U132" s="572">
        <f t="shared" si="7"/>
        <v>0.65895</v>
      </c>
      <c r="V132" s="598"/>
      <c r="W132" s="574">
        <f t="shared" si="8"/>
        <v>0.97535</v>
      </c>
      <c r="X132" s="598"/>
      <c r="Y132" s="574">
        <f t="shared" si="9"/>
        <v>0.41448</v>
      </c>
      <c r="Z132" s="308"/>
      <c r="AA132" s="308"/>
      <c r="AB132" s="575" t="str">
        <f t="shared" si="10"/>
        <v/>
      </c>
      <c r="AC132" s="576">
        <f t="shared" si="11"/>
        <v>0.4586145155</v>
      </c>
      <c r="AD132" s="614">
        <v>0.0</v>
      </c>
      <c r="AE132" s="572">
        <v>0.003638056264</v>
      </c>
      <c r="AF132" s="578">
        <v>2.048130512E-4</v>
      </c>
      <c r="AG132" s="132">
        <v>0.0134071123</v>
      </c>
      <c r="AH132" s="132">
        <v>0.043660827</v>
      </c>
      <c r="AI132" s="579">
        <v>0.005592337621</v>
      </c>
      <c r="AJ132" s="579">
        <v>0.006961364157</v>
      </c>
      <c r="AK132" s="580">
        <v>0.05029372338</v>
      </c>
      <c r="AL132" s="580">
        <v>0.05938166294</v>
      </c>
      <c r="AM132" s="581">
        <v>0.0</v>
      </c>
      <c r="AN132" s="571" t="str">
        <f>IFERROR(
  AVERAGEIFS(
    'New LF Efficacy'!$J:$J,
    'New LF Efficacy'!$D:$D, $A132,
    'New LF Efficacy'!$F:$F,"DEC", 
    'New LF Efficacy'!$W:$W,"&lt;2016",
    'New LF Efficacy'!$AA:$AA,""),
  ""
)</f>
        <v/>
      </c>
      <c r="AO132" s="582">
        <f t="shared" si="12"/>
        <v>0.3573520833</v>
      </c>
      <c r="AP132" s="571" t="str">
        <f>IFERROR(
AVERAGEIFS(
'New LF Efficacy'!$J:$J,
'New LF Efficacy'!$D:$D,$A132,
'New LF Efficacy'!$F:$F,"Albendazole &amp; DEC",
'New LF Efficacy'!$W:$W,"&lt;2016",
'New LF Efficacy'!$AA:$AA,""),
"")</f>
        <v/>
      </c>
      <c r="AQ132" s="582">
        <f t="shared" si="13"/>
        <v>0.7935</v>
      </c>
      <c r="AR132" s="571" t="str">
        <f>IFERROR(
AVERAGEIFS(
'New LF Efficacy'!$J:$J,
'New LF Efficacy'!$D:$D,$A132,
'New LF Efficacy'!$F:$F,"Albendazole &amp; Ivermectin", 
'New LF Efficacy'!$W:$W,"&lt;2016",
'New LF Efficacy'!$AA:$AA,""),"")</f>
        <v/>
      </c>
      <c r="AS132" s="582">
        <f t="shared" si="14"/>
        <v>0.37153125</v>
      </c>
      <c r="AT132" s="583" t="str">
        <f>IFERROR(AVERAGEIFS(
'Schist Efficacy'!$O:$O, 
'Schist Efficacy'!$C:$C,$A132, 
'Schist Efficacy'!$D:$D, "Praziquantel",
'Schist Efficacy'!$J:$J,"&lt;2016",
'Schist Efficacy'!$U:$U,""),
"")</f>
        <v/>
      </c>
      <c r="AU132" s="572">
        <f t="shared" si="15"/>
        <v>0.7763141026</v>
      </c>
      <c r="AV132" s="131" t="str">
        <f>IFERROR(AVERAGEIFS(
'STH Efficacy'!$AX:$AX, 
'STH Efficacy'!$AL:$AL, $A132, 
'STH Efficacy'!$AM:$AM, "Albendazole",
'STH Efficacy'!$AS:$AS,"&lt;2016",
'STH Efficacy'!$BP:$BP,""),
"")</f>
        <v/>
      </c>
      <c r="AW132" s="132">
        <f t="shared" si="16"/>
        <v>0.4143846154</v>
      </c>
      <c r="AX132" s="131" t="str">
        <f>IFERROR(AVERAGEIFS(
'STH Efficacy'!$AX:$AX, 
'STH Efficacy'!$AL:$AL, $A132, 
'STH Efficacy'!$AM:$AM, "Mebendazole",
'STH Efficacy'!$AS:$AS,"&lt;2016",
'STH Efficacy'!$BP:$BP,""),
"")</f>
        <v/>
      </c>
      <c r="AY132" s="132">
        <f t="shared" si="17"/>
        <v>0.4691770833</v>
      </c>
      <c r="AZ132" s="131" t="str">
        <f>IFERROR(AVERAGEIFS(
'STH Efficacy'!$AX:$AX, 
'STH Efficacy'!$AL:$AL, $A132, 
'STH Efficacy'!$AM:$AM, "Albendazole &amp; Ivermectin",
'STH Efficacy'!$AS:$AS,"&lt;2016",
'STH Efficacy'!$BP:$BP,""),
"")</f>
        <v/>
      </c>
      <c r="BA132" s="303">
        <f t="shared" si="18"/>
        <v>0.597625</v>
      </c>
      <c r="BB132" s="584" t="str">
        <f>IFERROR(AVERAGEIFS(
'STH Efficacy'!$N:$N, 
'STH Efficacy'!$B:$B, $A132, 
'STH Efficacy'!$C:$C, "Albendazole",
'STH Efficacy'!$I:$I,"&lt;2016",
'STH Efficacy'!$AH:$AH,""),
"")</f>
        <v/>
      </c>
      <c r="BC132" s="579">
        <f t="shared" si="19"/>
        <v>0.7613712121</v>
      </c>
      <c r="BD132" s="584" t="str">
        <f>IFERROR(AVERAGEIFS(
'STH Efficacy'!$N:$N, 
'STH Efficacy'!$B:$B, $A132, 
'STH Efficacy'!$C:$C, "Mebendazole",
'STH Efficacy'!$I:$I,"&lt;2016",
'STH Efficacy'!$AH:$AH,""),
"")</f>
        <v/>
      </c>
      <c r="BE132" s="579">
        <f t="shared" si="20"/>
        <v>0.4362466667</v>
      </c>
      <c r="BF132" s="585" t="str">
        <f>IFERROR(AVERAGEIFS(
'STH Efficacy'!$CD:$CD, 
'STH Efficacy'!$BS:$BS, $A132, 
'STH Efficacy'!$BT:$BT, "Albendazole",
'STH Efficacy'!$BZ:$BZ,"&lt;2016",
'STH Efficacy'!$CU:$CU,""),
"")</f>
        <v/>
      </c>
      <c r="BG132" s="580">
        <f t="shared" si="21"/>
        <v>0.955</v>
      </c>
      <c r="BH132" s="585" t="str">
        <f>IFERROR(AVERAGEIFS(
'STH Efficacy'!$CD:$CD, 
'STH Efficacy'!$BS:$BS, $A132, 
'STH Efficacy'!$BT:$BT, "Mebendazole",
'STH Efficacy'!$BZ:$BZ,"&lt;2016",
'STH Efficacy'!$CU:$CU,""),
"")</f>
        <v/>
      </c>
      <c r="BI132" s="580">
        <f t="shared" si="22"/>
        <v>1</v>
      </c>
      <c r="BJ132" s="585" t="str">
        <f>IFERROR(AVERAGEIFS(
'STH Efficacy'!$CD:$CD, 
'STH Efficacy'!$BS:$BS, $A132, 
'STH Efficacy'!$BT:$BT, "Albendazole &amp; Ivermectin",
'STH Efficacy'!$BZ:$BZ,"&lt;2016",
'STH Efficacy'!$CU:$CU,""),
"")</f>
        <v/>
      </c>
      <c r="BK132" s="580">
        <f t="shared" si="23"/>
        <v>0.848</v>
      </c>
      <c r="BL132" s="575" t="str">
        <f>IFERROR(
  AVERAGEIFS(
    'NEW Onchocerciasis Efficacy'!$AO:$AO,
    'NEW Onchocerciasis Efficacy'!$C:$C,$A132,
    'NEW Onchocerciasis Efficacy'!$D:$D,"Ivermectin",
    'NEW Onchocerciasis Efficacy'!$AR:$AR,"&lt;2016",
    'NEW Onchocerciasis Efficacy'!$BG:$BG,"")
,"")</f>
        <v/>
      </c>
      <c r="BM132" s="586">
        <f t="shared" si="24"/>
        <v>0.7808368939</v>
      </c>
      <c r="BN132" s="587">
        <v>0.0</v>
      </c>
      <c r="BO132" s="588">
        <v>1.0</v>
      </c>
      <c r="BP132" s="589">
        <v>1.0</v>
      </c>
      <c r="BQ132" s="590">
        <f t="shared" si="25"/>
        <v>0</v>
      </c>
      <c r="BR132" s="560" t="str">
        <f t="shared" si="26"/>
        <v>0110</v>
      </c>
      <c r="BS132" s="560" t="str">
        <f t="shared" si="27"/>
        <v>MDA3+T2</v>
      </c>
      <c r="BT132" s="606" t="str">
        <f t="shared" si="44"/>
        <v>IVM</v>
      </c>
      <c r="BU132" s="560" t="str">
        <f t="shared" si="29"/>
        <v>PZQ</v>
      </c>
      <c r="BV132" s="560" t="str">
        <f t="shared" si="30"/>
        <v>onch+schist</v>
      </c>
      <c r="BW132" s="150" t="str">
        <f t="shared" si="31"/>
        <v/>
      </c>
      <c r="BX132" s="150" t="str">
        <f t="shared" si="32"/>
        <v/>
      </c>
      <c r="BY132" s="608">
        <f t="shared" si="33"/>
        <v>1823.089681</v>
      </c>
      <c r="BZ132" s="152" t="str">
        <f t="shared" si="34"/>
        <v/>
      </c>
      <c r="CA132" s="152" t="str">
        <f t="shared" si="35"/>
        <v/>
      </c>
      <c r="CB132" s="152" t="str">
        <f t="shared" si="36"/>
        <v/>
      </c>
      <c r="CC132" s="153" t="str">
        <f t="shared" si="37"/>
        <v/>
      </c>
      <c r="CD132" s="153" t="str">
        <f t="shared" si="38"/>
        <v/>
      </c>
      <c r="CE132" s="154" t="str">
        <f t="shared" si="39"/>
        <v/>
      </c>
      <c r="CF132" s="154" t="str">
        <f t="shared" si="40"/>
        <v/>
      </c>
      <c r="CG132" s="154" t="str">
        <f t="shared" si="41"/>
        <v/>
      </c>
      <c r="CH132" s="637">
        <f t="shared" si="42"/>
        <v>0</v>
      </c>
    </row>
    <row r="133">
      <c r="A133" s="559" t="s">
        <v>222</v>
      </c>
      <c r="B133" s="560" t="s">
        <v>92</v>
      </c>
      <c r="C133" s="561">
        <v>2.8010691E7</v>
      </c>
      <c r="D133" s="562">
        <v>52723.1153</v>
      </c>
      <c r="E133" s="563">
        <v>10751.3399461528</v>
      </c>
      <c r="F133" s="564">
        <v>17.24637321</v>
      </c>
      <c r="G133" s="564">
        <v>117.0579758</v>
      </c>
      <c r="H133" s="564">
        <v>495.4268649</v>
      </c>
      <c r="I133" s="565">
        <v>1315.708952</v>
      </c>
      <c r="J133" s="566">
        <v>4865.38738457057</v>
      </c>
      <c r="K133" s="566">
        <v>16643.646716463</v>
      </c>
      <c r="L133" s="567">
        <v>2201.860742</v>
      </c>
      <c r="M133" s="568">
        <v>1478.71909152621</v>
      </c>
      <c r="N133" s="568">
        <v>5300.15153106859</v>
      </c>
      <c r="O133" s="569">
        <v>0.0</v>
      </c>
      <c r="P133" s="601" t="s">
        <v>406</v>
      </c>
      <c r="Q133" s="618">
        <v>1.579935E7</v>
      </c>
      <c r="R133" s="603">
        <v>0.7995</v>
      </c>
      <c r="S133" s="116">
        <f t="shared" si="6"/>
        <v>0.7995</v>
      </c>
      <c r="T133" s="572">
        <v>0.1836</v>
      </c>
      <c r="U133" s="572">
        <f t="shared" si="7"/>
        <v>0.1836</v>
      </c>
      <c r="V133" s="573">
        <v>0.855</v>
      </c>
      <c r="W133" s="574">
        <f t="shared" si="8"/>
        <v>0.855</v>
      </c>
      <c r="X133" s="573">
        <v>0.8843</v>
      </c>
      <c r="Y133" s="574">
        <f t="shared" si="9"/>
        <v>0.8843</v>
      </c>
      <c r="Z133" s="604" t="s">
        <v>395</v>
      </c>
      <c r="AA133" s="308"/>
      <c r="AB133" s="575" t="str">
        <f t="shared" si="10"/>
        <v/>
      </c>
      <c r="AC133" s="576">
        <f t="shared" si="11"/>
        <v>0.6507101914</v>
      </c>
      <c r="AD133" s="577">
        <v>0.05906161363</v>
      </c>
      <c r="AE133" s="572">
        <v>0.01334766457</v>
      </c>
      <c r="AF133" s="578">
        <v>0.003086574945</v>
      </c>
      <c r="AG133" s="132">
        <v>0.02271269955</v>
      </c>
      <c r="AH133" s="132">
        <v>0.074949874</v>
      </c>
      <c r="AI133" s="579">
        <v>0.08881640967</v>
      </c>
      <c r="AJ133" s="579">
        <v>0.1125231687</v>
      </c>
      <c r="AK133" s="580">
        <v>0.1229810989</v>
      </c>
      <c r="AL133" s="580">
        <v>0.1481428247</v>
      </c>
      <c r="AM133" s="581">
        <v>0.0</v>
      </c>
      <c r="AN133" s="571" t="str">
        <f>IFERROR(
  AVERAGEIFS(
    'New LF Efficacy'!$J:$J,
    'New LF Efficacy'!$D:$D, $A133,
    'New LF Efficacy'!$F:$F,"DEC", 
    'New LF Efficacy'!$W:$W,"&lt;2016",
    'New LF Efficacy'!$AA:$AA,""),
  ""
)</f>
        <v/>
      </c>
      <c r="AO133" s="582">
        <f t="shared" si="12"/>
        <v>0.31225</v>
      </c>
      <c r="AP133" s="571" t="str">
        <f>IFERROR(
AVERAGEIFS(
'New LF Efficacy'!$J:$J,
'New LF Efficacy'!$D:$D,$A133,
'New LF Efficacy'!$F:$F,"Albendazole &amp; DEC",
'New LF Efficacy'!$W:$W,"&lt;2016",
'New LF Efficacy'!$AA:$AA,""),
"")</f>
        <v/>
      </c>
      <c r="AQ133" s="582">
        <f t="shared" si="13"/>
        <v>0.4</v>
      </c>
      <c r="AR133" s="571" t="str">
        <f>IFERROR(
AVERAGEIFS(
'New LF Efficacy'!$J:$J,
'New LF Efficacy'!$D:$D,$A133,
'New LF Efficacy'!$F:$F,"Albendazole &amp; Ivermectin", 
'New LF Efficacy'!$W:$W,"&lt;2016",
'New LF Efficacy'!$AA:$AA,""),"")</f>
        <v/>
      </c>
      <c r="AS133" s="582">
        <f t="shared" si="14"/>
        <v>0.2943125</v>
      </c>
      <c r="AT133" s="583" t="str">
        <f>IFERROR(AVERAGEIFS(
'Schist Efficacy'!$O:$O, 
'Schist Efficacy'!$C:$C,$A133, 
'Schist Efficacy'!$D:$D, "Praziquantel",
'Schist Efficacy'!$J:$J,"&lt;2016",
'Schist Efficacy'!$U:$U,""),
"")</f>
        <v/>
      </c>
      <c r="AU133" s="572">
        <f t="shared" si="15"/>
        <v>0.7206464759</v>
      </c>
      <c r="AV133" s="131" t="str">
        <f>IFERROR(AVERAGEIFS(
'STH Efficacy'!$AX:$AX, 
'STH Efficacy'!$AL:$AL, $A133, 
'STH Efficacy'!$AM:$AM, "Albendazole",
'STH Efficacy'!$AS:$AS,"&lt;2016",
'STH Efficacy'!$BP:$BP,""),
"")</f>
        <v/>
      </c>
      <c r="AW133" s="132">
        <f t="shared" si="16"/>
        <v>0.3816333333</v>
      </c>
      <c r="AX133" s="131" t="str">
        <f>IFERROR(AVERAGEIFS(
'STH Efficacy'!$AX:$AX, 
'STH Efficacy'!$AL:$AL, $A133, 
'STH Efficacy'!$AM:$AM, "Mebendazole",
'STH Efficacy'!$AS:$AS,"&lt;2016",
'STH Efficacy'!$BP:$BP,""),
"")</f>
        <v/>
      </c>
      <c r="AY133" s="132">
        <f t="shared" si="17"/>
        <v>0.4859375</v>
      </c>
      <c r="AZ133" s="131" t="str">
        <f>IFERROR(AVERAGEIFS(
'STH Efficacy'!$AX:$AX, 
'STH Efficacy'!$AL:$AL, $A133, 
'STH Efficacy'!$AM:$AM, "Albendazole &amp; Ivermectin",
'STH Efficacy'!$AS:$AS,"&lt;2016",
'STH Efficacy'!$BP:$BP,""),
"")</f>
        <v/>
      </c>
      <c r="BA133" s="303">
        <f t="shared" si="18"/>
        <v>0.47175</v>
      </c>
      <c r="BB133" s="584" t="str">
        <f>IFERROR(AVERAGEIFS(
'STH Efficacy'!$N:$N, 
'STH Efficacy'!$B:$B, $A133, 
'STH Efficacy'!$C:$C, "Albendazole",
'STH Efficacy'!$I:$I,"&lt;2016",
'STH Efficacy'!$AH:$AH,""),
"")</f>
        <v/>
      </c>
      <c r="BC133" s="579">
        <f t="shared" si="19"/>
        <v>0.8699166667</v>
      </c>
      <c r="BD133" s="584" t="str">
        <f>IFERROR(AVERAGEIFS(
'STH Efficacy'!$N:$N, 
'STH Efficacy'!$B:$B, $A133, 
'STH Efficacy'!$C:$C, "Mebendazole",
'STH Efficacy'!$I:$I,"&lt;2016",
'STH Efficacy'!$AH:$AH,""),
"")</f>
        <v/>
      </c>
      <c r="BE133" s="579">
        <f t="shared" si="20"/>
        <v>0.7092416667</v>
      </c>
      <c r="BF133" s="585" t="str">
        <f>IFERROR(AVERAGEIFS(
'STH Efficacy'!$CD:$CD, 
'STH Efficacy'!$BS:$BS, $A133, 
'STH Efficacy'!$BT:$BT, "Albendazole",
'STH Efficacy'!$BZ:$BZ,"&lt;2016",
'STH Efficacy'!$CU:$CU,""),
"")</f>
        <v/>
      </c>
      <c r="BG133" s="580">
        <f t="shared" si="21"/>
        <v>0.9066666667</v>
      </c>
      <c r="BH133" s="585" t="str">
        <f>IFERROR(AVERAGEIFS(
'STH Efficacy'!$CD:$CD, 
'STH Efficacy'!$BS:$BS, $A133, 
'STH Efficacy'!$BT:$BT, "Mebendazole",
'STH Efficacy'!$BZ:$BZ,"&lt;2016",
'STH Efficacy'!$CU:$CU,""),
"")</f>
        <v/>
      </c>
      <c r="BI133" s="580">
        <f t="shared" si="22"/>
        <v>0.8483333333</v>
      </c>
      <c r="BJ133" s="585" t="str">
        <f>IFERROR(AVERAGEIFS(
'STH Efficacy'!$CD:$CD, 
'STH Efficacy'!$BS:$BS, $A133, 
'STH Efficacy'!$BT:$BT, "Albendazole &amp; Ivermectin",
'STH Efficacy'!$BZ:$BZ,"&lt;2016",
'STH Efficacy'!$CU:$CU,""),
"")</f>
        <v/>
      </c>
      <c r="BK133" s="580">
        <f t="shared" si="23"/>
        <v>0.696</v>
      </c>
      <c r="BL133" s="575" t="str">
        <f>IFERROR(
  AVERAGEIFS(
    'NEW Onchocerciasis Efficacy'!$AO:$AO,
    'NEW Onchocerciasis Efficacy'!$C:$C,$A133,
    'NEW Onchocerciasis Efficacy'!$D:$D,"Ivermectin",
    'NEW Onchocerciasis Efficacy'!$AR:$AR,"&lt;2016",
    'NEW Onchocerciasis Efficacy'!$BG:$BG,"")
,"")</f>
        <v/>
      </c>
      <c r="BM133" s="586">
        <f t="shared" si="24"/>
        <v>0.8390421645</v>
      </c>
      <c r="BN133" s="587">
        <v>1.0</v>
      </c>
      <c r="BO133" s="588">
        <v>0.0</v>
      </c>
      <c r="BP133" s="589">
        <v>1.0</v>
      </c>
      <c r="BQ133" s="590">
        <f t="shared" si="25"/>
        <v>0</v>
      </c>
      <c r="BR133" s="560" t="str">
        <f t="shared" si="26"/>
        <v>1010</v>
      </c>
      <c r="BS133" s="560" t="str">
        <f t="shared" si="27"/>
        <v>MDA1/2+T2</v>
      </c>
      <c r="BT133" s="606" t="str">
        <f t="shared" si="44"/>
        <v>IVM+ALB or DEC +ALB</v>
      </c>
      <c r="BU133" s="560" t="str">
        <f t="shared" si="29"/>
        <v>PZQ</v>
      </c>
      <c r="BV133" s="560" t="str">
        <f t="shared" si="30"/>
        <v>lf+schist </v>
      </c>
      <c r="BW133" s="150" t="str">
        <f t="shared" si="31"/>
        <v/>
      </c>
      <c r="BX133" s="607">
        <f t="shared" si="32"/>
        <v>16223.28377</v>
      </c>
      <c r="BY133" s="608">
        <f t="shared" si="33"/>
        <v>1639.431565</v>
      </c>
      <c r="BZ133" s="152" t="str">
        <f t="shared" si="34"/>
        <v/>
      </c>
      <c r="CA133" s="152" t="str">
        <f t="shared" si="35"/>
        <v/>
      </c>
      <c r="CB133" s="152" t="str">
        <f t="shared" si="36"/>
        <v/>
      </c>
      <c r="CC133" s="153" t="str">
        <f t="shared" si="37"/>
        <v/>
      </c>
      <c r="CD133" s="153" t="str">
        <f t="shared" si="38"/>
        <v/>
      </c>
      <c r="CE133" s="154" t="str">
        <f t="shared" si="39"/>
        <v/>
      </c>
      <c r="CF133" s="154" t="str">
        <f t="shared" si="40"/>
        <v/>
      </c>
      <c r="CG133" s="154" t="str">
        <f t="shared" si="41"/>
        <v/>
      </c>
      <c r="CH133" s="308" t="str">
        <f t="shared" si="42"/>
        <v/>
      </c>
    </row>
    <row r="134">
      <c r="A134" s="559" t="s">
        <v>223</v>
      </c>
      <c r="B134" s="560" t="s">
        <v>109</v>
      </c>
      <c r="C134" s="561">
        <v>5.2403669E7</v>
      </c>
      <c r="D134" s="562">
        <v>66197.20689</v>
      </c>
      <c r="E134" s="563">
        <v>0.0</v>
      </c>
      <c r="F134" s="564">
        <v>466.2726572</v>
      </c>
      <c r="G134" s="564">
        <v>98.27958422</v>
      </c>
      <c r="H134" s="564">
        <v>11513.81317</v>
      </c>
      <c r="I134" s="565">
        <v>185.4699023</v>
      </c>
      <c r="J134" s="566">
        <v>448.551149287558</v>
      </c>
      <c r="K134" s="566">
        <v>4059.33001548736</v>
      </c>
      <c r="L134" s="567">
        <v>3102.986081</v>
      </c>
      <c r="M134" s="568">
        <v>926.495250840243</v>
      </c>
      <c r="N134" s="568">
        <v>13611.480769385</v>
      </c>
      <c r="O134" s="569">
        <v>0.0</v>
      </c>
      <c r="P134" s="601" t="s">
        <v>407</v>
      </c>
      <c r="Q134" s="618">
        <v>3.1937968E7</v>
      </c>
      <c r="R134" s="603">
        <v>0.9389</v>
      </c>
      <c r="S134" s="116">
        <f t="shared" si="6"/>
        <v>0.9389</v>
      </c>
      <c r="T134" s="151"/>
      <c r="U134" s="572">
        <f t="shared" si="7"/>
        <v>0.2806</v>
      </c>
      <c r="V134" s="573">
        <v>0.9785</v>
      </c>
      <c r="W134" s="574">
        <f t="shared" si="8"/>
        <v>0.9785</v>
      </c>
      <c r="X134" s="573">
        <v>0.9783</v>
      </c>
      <c r="Y134" s="574">
        <f t="shared" si="9"/>
        <v>0.9783</v>
      </c>
      <c r="Z134" s="308"/>
      <c r="AA134" s="308"/>
      <c r="AB134" s="575" t="str">
        <f t="shared" si="10"/>
        <v/>
      </c>
      <c r="AC134" s="576">
        <f t="shared" si="11"/>
        <v>0.7192241206</v>
      </c>
      <c r="AD134" s="577">
        <v>0.02055271294</v>
      </c>
      <c r="AE134" s="572">
        <v>0.0</v>
      </c>
      <c r="AF134" s="578">
        <v>0.0</v>
      </c>
      <c r="AG134" s="132">
        <v>0.07235500682</v>
      </c>
      <c r="AH134" s="132">
        <v>0.235787105</v>
      </c>
      <c r="AI134" s="579">
        <v>0.0235714167</v>
      </c>
      <c r="AJ134" s="579">
        <v>0.02933001972</v>
      </c>
      <c r="AK134" s="580">
        <v>0.2217189374</v>
      </c>
      <c r="AL134" s="580">
        <v>0.261446575</v>
      </c>
      <c r="AM134" s="581">
        <v>0.0</v>
      </c>
      <c r="AN134" s="571" t="str">
        <f>IFERROR(
  AVERAGEIFS(
    'New LF Efficacy'!$J:$J,
    'New LF Efficacy'!$D:$D, $A134,
    'New LF Efficacy'!$F:$F,"DEC", 
    'New LF Efficacy'!$W:$W,"&lt;2016",
    'New LF Efficacy'!$AA:$AA,""),
  ""
)</f>
        <v/>
      </c>
      <c r="AO134" s="582">
        <f t="shared" si="12"/>
        <v>0.478175</v>
      </c>
      <c r="AP134" s="571" t="str">
        <f>IFERROR(
AVERAGEIFS(
'New LF Efficacy'!$J:$J,
'New LF Efficacy'!$D:$D,$A134,
'New LF Efficacy'!$F:$F,"Albendazole &amp; DEC",
'New LF Efficacy'!$W:$W,"&lt;2016",
'New LF Efficacy'!$AA:$AA,""),
"")</f>
        <v/>
      </c>
      <c r="AQ134" s="582">
        <f t="shared" si="13"/>
        <v>0.5831666667</v>
      </c>
      <c r="AR134" s="571" t="str">
        <f>IFERROR(
AVERAGEIFS(
'New LF Efficacy'!$J:$J,
'New LF Efficacy'!$D:$D,$A134,
'New LF Efficacy'!$F:$F,"Albendazole &amp; Ivermectin", 
'New LF Efficacy'!$W:$W,"&lt;2016",
'New LF Efficacy'!$AA:$AA,""),"")</f>
        <v/>
      </c>
      <c r="AS134" s="582">
        <f t="shared" si="14"/>
        <v>0.14</v>
      </c>
      <c r="AT134" s="583" t="str">
        <f>IFERROR(AVERAGEIFS(
'Schist Efficacy'!$O:$O, 
'Schist Efficacy'!$C:$C,$A134, 
'Schist Efficacy'!$D:$D, "Praziquantel",
'Schist Efficacy'!$J:$J,"&lt;2016",
'Schist Efficacy'!$U:$U,""),
"")</f>
        <v/>
      </c>
      <c r="AU134" s="572">
        <f t="shared" si="15"/>
        <v>0.743990088</v>
      </c>
      <c r="AV134" s="131" t="str">
        <f>IFERROR(AVERAGEIFS(
'STH Efficacy'!$AX:$AX, 
'STH Efficacy'!$AL:$AL, $A134, 
'STH Efficacy'!$AM:$AM, "Albendazole",
'STH Efficacy'!$AS:$AS,"&lt;2016",
'STH Efficacy'!$BP:$BP,""),
"")</f>
        <v/>
      </c>
      <c r="AW134" s="132">
        <f t="shared" si="16"/>
        <v>0.5394444444</v>
      </c>
      <c r="AX134" s="131" t="str">
        <f>IFERROR(AVERAGEIFS(
'STH Efficacy'!$AX:$AX, 
'STH Efficacy'!$AL:$AL, $A134, 
'STH Efficacy'!$AM:$AM, "Mebendazole",
'STH Efficacy'!$AS:$AS,"&lt;2016",
'STH Efficacy'!$BP:$BP,""),
"")</f>
        <v/>
      </c>
      <c r="AY134" s="132">
        <f t="shared" si="17"/>
        <v>0.3786666667</v>
      </c>
      <c r="AZ134" s="131" t="str">
        <f>IFERROR(AVERAGEIFS(
'STH Efficacy'!$AX:$AX, 
'STH Efficacy'!$AL:$AL, $A134, 
'STH Efficacy'!$AM:$AM, "Albendazole &amp; Ivermectin",
'STH Efficacy'!$AS:$AS,"&lt;2016",
'STH Efficacy'!$BP:$BP,""),
"")</f>
        <v/>
      </c>
      <c r="BA134" s="303">
        <f t="shared" si="18"/>
        <v>0.597625</v>
      </c>
      <c r="BB134" s="584" t="str">
        <f>IFERROR(AVERAGEIFS(
'STH Efficacy'!$N:$N, 
'STH Efficacy'!$B:$B, $A134, 
'STH Efficacy'!$C:$C, "Albendazole",
'STH Efficacy'!$I:$I,"&lt;2016",
'STH Efficacy'!$AH:$AH,""),
"")</f>
        <v/>
      </c>
      <c r="BC134" s="579">
        <f t="shared" si="19"/>
        <v>0.7133333333</v>
      </c>
      <c r="BD134" s="584" t="str">
        <f>IFERROR(AVERAGEIFS(
'STH Efficacy'!$N:$N, 
'STH Efficacy'!$B:$B, $A134, 
'STH Efficacy'!$C:$C, "Mebendazole",
'STH Efficacy'!$I:$I,"&lt;2016",
'STH Efficacy'!$AH:$AH,""),
"")</f>
        <v/>
      </c>
      <c r="BE134" s="579">
        <f t="shared" si="20"/>
        <v>0.205</v>
      </c>
      <c r="BF134" s="585" t="str">
        <f>IFERROR(AVERAGEIFS(
'STH Efficacy'!$CD:$CD, 
'STH Efficacy'!$BS:$BS, $A134, 
'STH Efficacy'!$BT:$BT, "Albendazole",
'STH Efficacy'!$BZ:$BZ,"&lt;2016",
'STH Efficacy'!$CU:$CU,""),
"")</f>
        <v/>
      </c>
      <c r="BG134" s="580">
        <f t="shared" si="21"/>
        <v>0.83</v>
      </c>
      <c r="BH134" s="585" t="str">
        <f>IFERROR(AVERAGEIFS(
'STH Efficacy'!$CD:$CD, 
'STH Efficacy'!$BS:$BS, $A134, 
'STH Efficacy'!$BT:$BT, "Mebendazole",
'STH Efficacy'!$BZ:$BZ,"&lt;2016",
'STH Efficacy'!$CU:$CU,""),
"")</f>
        <v/>
      </c>
      <c r="BI134" s="580">
        <f t="shared" si="22"/>
        <v>1</v>
      </c>
      <c r="BJ134" s="585" t="str">
        <f>IFERROR(AVERAGEIFS(
'STH Efficacy'!$CD:$CD, 
'STH Efficacy'!$BS:$BS, $A134, 
'STH Efficacy'!$BT:$BT, "Albendazole &amp; Ivermectin",
'STH Efficacy'!$BZ:$BZ,"&lt;2016",
'STH Efficacy'!$CU:$CU,""),
"")</f>
        <v/>
      </c>
      <c r="BK134" s="580">
        <f t="shared" si="23"/>
        <v>0.848</v>
      </c>
      <c r="BL134" s="575" t="str">
        <f>IFERROR(
  AVERAGEIFS(
    'NEW Onchocerciasis Efficacy'!$AO:$AO,
    'NEW Onchocerciasis Efficacy'!$C:$C,$A134,
    'NEW Onchocerciasis Efficacy'!$D:$D,"Ivermectin",
    'NEW Onchocerciasis Efficacy'!$AR:$AR,"&lt;2016",
    'NEW Onchocerciasis Efficacy'!$BG:$BG,"")
,"")</f>
        <v/>
      </c>
      <c r="BM134" s="586">
        <f t="shared" si="24"/>
        <v>0.7808368939</v>
      </c>
      <c r="BN134" s="587">
        <v>1.0</v>
      </c>
      <c r="BO134" s="588">
        <v>1.0</v>
      </c>
      <c r="BP134" s="589">
        <v>0.0</v>
      </c>
      <c r="BQ134" s="590">
        <f t="shared" si="25"/>
        <v>0</v>
      </c>
      <c r="BR134" s="560" t="str">
        <f t="shared" si="26"/>
        <v>1100</v>
      </c>
      <c r="BS134" s="560" t="str">
        <f t="shared" si="27"/>
        <v>MDA1</v>
      </c>
      <c r="BT134" s="606" t="str">
        <f t="shared" si="44"/>
        <v>IVM+ALB</v>
      </c>
      <c r="BU134" s="591" t="str">
        <f t="shared" si="29"/>
        <v/>
      </c>
      <c r="BV134" s="560" t="str">
        <f t="shared" si="30"/>
        <v>lf+onch</v>
      </c>
      <c r="BW134" s="150" t="str">
        <f t="shared" si="31"/>
        <v/>
      </c>
      <c r="BX134" s="607">
        <f t="shared" si="32"/>
        <v>10018.21194</v>
      </c>
      <c r="BY134" s="151" t="str">
        <f t="shared" si="33"/>
        <v/>
      </c>
      <c r="BZ134" s="152" t="str">
        <f t="shared" si="34"/>
        <v/>
      </c>
      <c r="CA134" s="152" t="str">
        <f t="shared" si="35"/>
        <v/>
      </c>
      <c r="CB134" s="152" t="str">
        <f t="shared" si="36"/>
        <v/>
      </c>
      <c r="CC134" s="153" t="str">
        <f t="shared" si="37"/>
        <v/>
      </c>
      <c r="CD134" s="153" t="str">
        <f t="shared" si="38"/>
        <v/>
      </c>
      <c r="CE134" s="154" t="str">
        <f t="shared" si="39"/>
        <v/>
      </c>
      <c r="CF134" s="154" t="str">
        <f t="shared" si="40"/>
        <v/>
      </c>
      <c r="CG134" s="154" t="str">
        <f t="shared" si="41"/>
        <v/>
      </c>
      <c r="CH134" s="637">
        <f t="shared" si="42"/>
        <v>0</v>
      </c>
    </row>
    <row r="135">
      <c r="A135" s="559" t="s">
        <v>224</v>
      </c>
      <c r="B135" s="560" t="s">
        <v>92</v>
      </c>
      <c r="C135" s="561">
        <v>2425561.0</v>
      </c>
      <c r="D135" s="562">
        <v>0.0</v>
      </c>
      <c r="E135" s="563">
        <v>1309.52926960765</v>
      </c>
      <c r="F135" s="564">
        <v>2.79E-5</v>
      </c>
      <c r="G135" s="564">
        <v>2.56024E-4</v>
      </c>
      <c r="H135" s="564">
        <v>6.16846E-4</v>
      </c>
      <c r="I135" s="565">
        <v>79.95118495</v>
      </c>
      <c r="J135" s="566">
        <v>293.721205221631</v>
      </c>
      <c r="K135" s="566">
        <v>1511.20828922258</v>
      </c>
      <c r="L135" s="567">
        <v>4.186569818</v>
      </c>
      <c r="M135" s="568">
        <v>1.27665780564157</v>
      </c>
      <c r="N135" s="568">
        <v>6.04468336210016</v>
      </c>
      <c r="O135" s="569">
        <v>0.0</v>
      </c>
      <c r="P135" s="570"/>
      <c r="Q135" s="150"/>
      <c r="R135" s="571"/>
      <c r="S135" s="116">
        <f t="shared" si="6"/>
        <v>0.6227928571</v>
      </c>
      <c r="T135" s="620" t="s">
        <v>395</v>
      </c>
      <c r="U135" s="621" t="str">
        <f t="shared" si="7"/>
        <v> </v>
      </c>
      <c r="V135" s="598"/>
      <c r="W135" s="574">
        <f t="shared" si="8"/>
        <v>0.7605133333</v>
      </c>
      <c r="X135" s="598"/>
      <c r="Y135" s="574">
        <f t="shared" si="9"/>
        <v>0.6822424242</v>
      </c>
      <c r="Z135" s="308"/>
      <c r="AA135" s="308"/>
      <c r="AB135" s="575" t="str">
        <f t="shared" si="10"/>
        <v/>
      </c>
      <c r="AC135" s="576">
        <f t="shared" si="11"/>
        <v>0.6507101914</v>
      </c>
      <c r="AD135" s="577">
        <v>0.0</v>
      </c>
      <c r="AE135" s="572">
        <v>0.06833465177</v>
      </c>
      <c r="AF135" s="578">
        <v>0.003760512918</v>
      </c>
      <c r="AG135" s="132">
        <v>0.01463917035</v>
      </c>
      <c r="AH135" s="132">
        <v>0.048099829</v>
      </c>
      <c r="AI135" s="579">
        <v>0.08979348148</v>
      </c>
      <c r="AJ135" s="579">
        <v>0.1134347104</v>
      </c>
      <c r="AK135" s="580">
        <v>0.01023159714</v>
      </c>
      <c r="AL135" s="580">
        <v>0.01228314959</v>
      </c>
      <c r="AM135" s="581">
        <v>0.0</v>
      </c>
      <c r="AN135" s="571" t="str">
        <f>IFERROR(
  AVERAGEIFS(
    'New LF Efficacy'!$J:$J,
    'New LF Efficacy'!$D:$D, $A135,
    'New LF Efficacy'!$F:$F,"DEC", 
    'New LF Efficacy'!$W:$W,"&lt;2016",
    'New LF Efficacy'!$AA:$AA,""),
  ""
)</f>
        <v/>
      </c>
      <c r="AO135" s="582">
        <f t="shared" si="12"/>
        <v>0.31225</v>
      </c>
      <c r="AP135" s="571" t="str">
        <f>IFERROR(
AVERAGEIFS(
'New LF Efficacy'!$J:$J,
'New LF Efficacy'!$D:$D,$A135,
'New LF Efficacy'!$F:$F,"Albendazole &amp; DEC",
'New LF Efficacy'!$W:$W,"&lt;2016",
'New LF Efficacy'!$AA:$AA,""),
"")</f>
        <v/>
      </c>
      <c r="AQ135" s="582">
        <f t="shared" si="13"/>
        <v>0.4</v>
      </c>
      <c r="AR135" s="571" t="str">
        <f>IFERROR(
AVERAGEIFS(
'New LF Efficacy'!$J:$J,
'New LF Efficacy'!$D:$D,$A135,
'New LF Efficacy'!$F:$F,"Albendazole &amp; Ivermectin", 
'New LF Efficacy'!$W:$W,"&lt;2016",
'New LF Efficacy'!$AA:$AA,""),"")</f>
        <v/>
      </c>
      <c r="AS135" s="582">
        <f t="shared" si="14"/>
        <v>0.2943125</v>
      </c>
      <c r="AT135" s="583" t="str">
        <f>IFERROR(AVERAGEIFS(
'Schist Efficacy'!$O:$O, 
'Schist Efficacy'!$C:$C,$A135, 
'Schist Efficacy'!$D:$D, "Praziquantel",
'Schist Efficacy'!$J:$J,"&lt;2016",
'Schist Efficacy'!$U:$U,""),
"")</f>
        <v/>
      </c>
      <c r="AU135" s="572">
        <f t="shared" si="15"/>
        <v>0.7206464759</v>
      </c>
      <c r="AV135" s="131" t="str">
        <f>IFERROR(AVERAGEIFS(
'STH Efficacy'!$AX:$AX, 
'STH Efficacy'!$AL:$AL, $A135, 
'STH Efficacy'!$AM:$AM, "Albendazole",
'STH Efficacy'!$AS:$AS,"&lt;2016",
'STH Efficacy'!$BP:$BP,""),
"")</f>
        <v/>
      </c>
      <c r="AW135" s="132">
        <f t="shared" si="16"/>
        <v>0.3816333333</v>
      </c>
      <c r="AX135" s="131" t="str">
        <f>IFERROR(AVERAGEIFS(
'STH Efficacy'!$AX:$AX, 
'STH Efficacy'!$AL:$AL, $A135, 
'STH Efficacy'!$AM:$AM, "Mebendazole",
'STH Efficacy'!$AS:$AS,"&lt;2016",
'STH Efficacy'!$BP:$BP,""),
"")</f>
        <v/>
      </c>
      <c r="AY135" s="132">
        <f t="shared" si="17"/>
        <v>0.4859375</v>
      </c>
      <c r="AZ135" s="131" t="str">
        <f>IFERROR(AVERAGEIFS(
'STH Efficacy'!$AX:$AX, 
'STH Efficacy'!$AL:$AL, $A135, 
'STH Efficacy'!$AM:$AM, "Albendazole &amp; Ivermectin",
'STH Efficacy'!$AS:$AS,"&lt;2016",
'STH Efficacy'!$BP:$BP,""),
"")</f>
        <v/>
      </c>
      <c r="BA135" s="303">
        <f t="shared" si="18"/>
        <v>0.47175</v>
      </c>
      <c r="BB135" s="584" t="str">
        <f>IFERROR(AVERAGEIFS(
'STH Efficacy'!$N:$N, 
'STH Efficacy'!$B:$B, $A135, 
'STH Efficacy'!$C:$C, "Albendazole",
'STH Efficacy'!$I:$I,"&lt;2016",
'STH Efficacy'!$AH:$AH,""),
"")</f>
        <v/>
      </c>
      <c r="BC135" s="579">
        <f t="shared" si="19"/>
        <v>0.8699166667</v>
      </c>
      <c r="BD135" s="584" t="str">
        <f>IFERROR(AVERAGEIFS(
'STH Efficacy'!$N:$N, 
'STH Efficacy'!$B:$B, $A135, 
'STH Efficacy'!$C:$C, "Mebendazole",
'STH Efficacy'!$I:$I,"&lt;2016",
'STH Efficacy'!$AH:$AH,""),
"")</f>
        <v/>
      </c>
      <c r="BE135" s="579">
        <f t="shared" si="20"/>
        <v>0.7092416667</v>
      </c>
      <c r="BF135" s="585" t="str">
        <f>IFERROR(AVERAGEIFS(
'STH Efficacy'!$CD:$CD, 
'STH Efficacy'!$BS:$BS, $A135, 
'STH Efficacy'!$BT:$BT, "Albendazole",
'STH Efficacy'!$BZ:$BZ,"&lt;2016",
'STH Efficacy'!$CU:$CU,""),
"")</f>
        <v/>
      </c>
      <c r="BG135" s="580">
        <f t="shared" si="21"/>
        <v>0.9066666667</v>
      </c>
      <c r="BH135" s="585" t="str">
        <f>IFERROR(AVERAGEIFS(
'STH Efficacy'!$CD:$CD, 
'STH Efficacy'!$BS:$BS, $A135, 
'STH Efficacy'!$BT:$BT, "Mebendazole",
'STH Efficacy'!$BZ:$BZ,"&lt;2016",
'STH Efficacy'!$CU:$CU,""),
"")</f>
        <v/>
      </c>
      <c r="BI135" s="580">
        <f t="shared" si="22"/>
        <v>0.8483333333</v>
      </c>
      <c r="BJ135" s="585" t="str">
        <f>IFERROR(AVERAGEIFS(
'STH Efficacy'!$CD:$CD, 
'STH Efficacy'!$BS:$BS, $A135, 
'STH Efficacy'!$BT:$BT, "Albendazole &amp; Ivermectin",
'STH Efficacy'!$BZ:$BZ,"&lt;2016",
'STH Efficacy'!$CU:$CU,""),
"")</f>
        <v/>
      </c>
      <c r="BK135" s="580">
        <f t="shared" si="23"/>
        <v>0.696</v>
      </c>
      <c r="BL135" s="575" t="str">
        <f>IFERROR(
  AVERAGEIFS(
    'NEW Onchocerciasis Efficacy'!$AO:$AO,
    'NEW Onchocerciasis Efficacy'!$C:$C,$A135,
    'NEW Onchocerciasis Efficacy'!$D:$D,"Ivermectin",
    'NEW Onchocerciasis Efficacy'!$AR:$AR,"&lt;2016",
    'NEW Onchocerciasis Efficacy'!$BG:$BG,"")
,"")</f>
        <v/>
      </c>
      <c r="BM135" s="586">
        <f t="shared" si="24"/>
        <v>0.8390421645</v>
      </c>
      <c r="BN135" s="587">
        <v>0.0</v>
      </c>
      <c r="BO135" s="588">
        <v>0.0</v>
      </c>
      <c r="BP135" s="589">
        <v>1.0</v>
      </c>
      <c r="BQ135" s="590">
        <f t="shared" si="25"/>
        <v>0</v>
      </c>
      <c r="BR135" s="560" t="str">
        <f t="shared" si="26"/>
        <v>0010</v>
      </c>
      <c r="BS135" s="560" t="str">
        <f t="shared" si="27"/>
        <v>T2</v>
      </c>
      <c r="BT135" s="606" t="str">
        <f t="shared" si="44"/>
        <v>PZQ</v>
      </c>
      <c r="BU135" s="560" t="str">
        <f t="shared" si="29"/>
        <v>PZQ</v>
      </c>
      <c r="BV135" s="560" t="str">
        <f t="shared" si="30"/>
        <v>schist only</v>
      </c>
      <c r="BW135" s="150" t="str">
        <f t="shared" si="31"/>
        <v/>
      </c>
      <c r="BX135" s="150" t="str">
        <f t="shared" si="32"/>
        <v/>
      </c>
      <c r="BY135" s="151" t="str">
        <f t="shared" si="33"/>
        <v/>
      </c>
      <c r="BZ135" s="152" t="str">
        <f t="shared" si="34"/>
        <v/>
      </c>
      <c r="CA135" s="152" t="str">
        <f t="shared" si="35"/>
        <v/>
      </c>
      <c r="CB135" s="152" t="str">
        <f t="shared" si="36"/>
        <v/>
      </c>
      <c r="CC135" s="153" t="str">
        <f t="shared" si="37"/>
        <v/>
      </c>
      <c r="CD135" s="153" t="str">
        <f t="shared" si="38"/>
        <v/>
      </c>
      <c r="CE135" s="154" t="str">
        <f t="shared" si="39"/>
        <v/>
      </c>
      <c r="CF135" s="154" t="str">
        <f t="shared" si="40"/>
        <v/>
      </c>
      <c r="CG135" s="154" t="str">
        <f t="shared" si="41"/>
        <v/>
      </c>
      <c r="CH135" s="308" t="str">
        <f t="shared" si="42"/>
        <v/>
      </c>
    </row>
    <row r="136">
      <c r="A136" s="559" t="s">
        <v>225</v>
      </c>
      <c r="B136" s="560" t="s">
        <v>94</v>
      </c>
      <c r="C136" s="561">
        <v>12475.0</v>
      </c>
      <c r="D136" s="562"/>
      <c r="E136" s="610"/>
      <c r="F136" s="611"/>
      <c r="G136" s="611"/>
      <c r="H136" s="611"/>
      <c r="I136" s="566"/>
      <c r="J136" s="566"/>
      <c r="K136" s="566"/>
      <c r="L136" s="612"/>
      <c r="M136" s="612"/>
      <c r="N136" s="612"/>
      <c r="O136" s="308"/>
      <c r="P136" s="150"/>
      <c r="Q136" s="150"/>
      <c r="R136" s="571"/>
      <c r="S136" s="116">
        <f t="shared" si="6"/>
        <v>0.5322777778</v>
      </c>
      <c r="T136" s="151"/>
      <c r="U136" s="572">
        <f t="shared" si="7"/>
        <v>0.7834666667</v>
      </c>
      <c r="V136" s="598"/>
      <c r="W136" s="574">
        <f t="shared" si="8"/>
        <v>0.3593777778</v>
      </c>
      <c r="X136" s="598"/>
      <c r="Y136" s="574">
        <f t="shared" si="9"/>
        <v>0.5347375</v>
      </c>
      <c r="Z136" s="308"/>
      <c r="AA136" s="308"/>
      <c r="AB136" s="575" t="str">
        <f t="shared" si="10"/>
        <v/>
      </c>
      <c r="AC136" s="576">
        <f t="shared" si="11"/>
        <v>0.7192241206</v>
      </c>
      <c r="AD136" s="571"/>
      <c r="AE136" s="583"/>
      <c r="AF136" s="583"/>
      <c r="AG136" s="131"/>
      <c r="AH136" s="131"/>
      <c r="AI136" s="584"/>
      <c r="AJ136" s="584"/>
      <c r="AK136" s="585"/>
      <c r="AL136" s="585"/>
      <c r="AM136" s="575"/>
      <c r="AN136" s="571" t="str">
        <f>IFERROR(
  AVERAGEIFS(
    'New LF Efficacy'!$J:$J,
    'New LF Efficacy'!$D:$D, $A136,
    'New LF Efficacy'!$F:$F,"DEC", 
    'New LF Efficacy'!$W:$W,"&lt;2016",
    'New LF Efficacy'!$AA:$AA,""),
  ""
)</f>
        <v/>
      </c>
      <c r="AO136" s="582">
        <f t="shared" si="12"/>
        <v>0.38</v>
      </c>
      <c r="AP136" s="571" t="str">
        <f>IFERROR(
AVERAGEIFS(
'New LF Efficacy'!$J:$J,
'New LF Efficacy'!$D:$D,$A136,
'New LF Efficacy'!$F:$F,"Albendazole &amp; DEC",
'New LF Efficacy'!$W:$W,"&lt;2016",
'New LF Efficacy'!$AA:$AA,""),
"")</f>
        <v/>
      </c>
      <c r="AQ136" s="582">
        <f t="shared" si="13"/>
        <v>0.662</v>
      </c>
      <c r="AR136" s="571" t="str">
        <f>IFERROR(
AVERAGEIFS(
'New LF Efficacy'!$J:$J,
'New LF Efficacy'!$D:$D,$A136,
'New LF Efficacy'!$F:$F,"Albendazole &amp; Ivermectin", 
'New LF Efficacy'!$W:$W,"&lt;2016",
'New LF Efficacy'!$AA:$AA,""),"")</f>
        <v/>
      </c>
      <c r="AS136" s="582">
        <f t="shared" si="14"/>
        <v>0.37153125</v>
      </c>
      <c r="AT136" s="583" t="str">
        <f>IFERROR(AVERAGEIFS(
'Schist Efficacy'!$O:$O, 
'Schist Efficacy'!$C:$C,$A136, 
'Schist Efficacy'!$D:$D, "Praziquantel",
'Schist Efficacy'!$J:$J,"&lt;2016",
'Schist Efficacy'!$U:$U,""),
"")</f>
        <v/>
      </c>
      <c r="AU136" s="572">
        <f t="shared" si="15"/>
        <v>0.9475</v>
      </c>
      <c r="AV136" s="131" t="str">
        <f>IFERROR(AVERAGEIFS(
'STH Efficacy'!$AX:$AX, 
'STH Efficacy'!$AL:$AL, $A136, 
'STH Efficacy'!$AM:$AM, "Albendazole",
'STH Efficacy'!$AS:$AS,"&lt;2016",
'STH Efficacy'!$BP:$BP,""),
"")</f>
        <v/>
      </c>
      <c r="AW136" s="132">
        <f t="shared" si="16"/>
        <v>0.3571666667</v>
      </c>
      <c r="AX136" s="131" t="str">
        <f>IFERROR(AVERAGEIFS(
'STH Efficacy'!$AX:$AX, 
'STH Efficacy'!$AL:$AL, $A136, 
'STH Efficacy'!$AM:$AM, "Mebendazole",
'STH Efficacy'!$AS:$AS,"&lt;2016",
'STH Efficacy'!$BP:$BP,""),
"")</f>
        <v/>
      </c>
      <c r="AY136" s="132">
        <f t="shared" si="17"/>
        <v>0.4155</v>
      </c>
      <c r="AZ136" s="131" t="str">
        <f>IFERROR(AVERAGEIFS(
'STH Efficacy'!$AX:$AX, 
'STH Efficacy'!$AL:$AL, $A136, 
'STH Efficacy'!$AM:$AM, "Albendazole &amp; Ivermectin",
'STH Efficacy'!$AS:$AS,"&lt;2016",
'STH Efficacy'!$BP:$BP,""),
"")</f>
        <v/>
      </c>
      <c r="BA136" s="303">
        <f t="shared" si="18"/>
        <v>0.651</v>
      </c>
      <c r="BB136" s="584" t="str">
        <f>IFERROR(AVERAGEIFS(
'STH Efficacy'!$N:$N, 
'STH Efficacy'!$B:$B, $A136, 
'STH Efficacy'!$C:$C, "Albendazole",
'STH Efficacy'!$I:$I,"&lt;2016",
'STH Efficacy'!$AH:$AH,""),
"")</f>
        <v/>
      </c>
      <c r="BC136" s="579">
        <f t="shared" si="19"/>
        <v>0.5769166667</v>
      </c>
      <c r="BD136" s="584" t="str">
        <f>IFERROR(AVERAGEIFS(
'STH Efficacy'!$N:$N, 
'STH Efficacy'!$B:$B, $A136, 
'STH Efficacy'!$C:$C, "Mebendazole",
'STH Efficacy'!$I:$I,"&lt;2016",
'STH Efficacy'!$AH:$AH,""),
"")</f>
        <v/>
      </c>
      <c r="BE136" s="579">
        <f t="shared" si="20"/>
        <v>0.3145</v>
      </c>
      <c r="BF136" s="585" t="str">
        <f>IFERROR(AVERAGEIFS(
'STH Efficacy'!$CD:$CD, 
'STH Efficacy'!$BS:$BS, $A136, 
'STH Efficacy'!$BT:$BT, "Albendazole",
'STH Efficacy'!$BZ:$BZ,"&lt;2016",
'STH Efficacy'!$CU:$CU,""),
"")</f>
        <v/>
      </c>
      <c r="BG136" s="580">
        <f t="shared" si="21"/>
        <v>0.96925</v>
      </c>
      <c r="BH136" s="585" t="str">
        <f>IFERROR(AVERAGEIFS(
'STH Efficacy'!$CD:$CD, 
'STH Efficacy'!$BS:$BS, $A136, 
'STH Efficacy'!$BT:$BT, "Mebendazole",
'STH Efficacy'!$BZ:$BZ,"&lt;2016",
'STH Efficacy'!$CU:$CU,""),
"")</f>
        <v/>
      </c>
      <c r="BI136" s="580">
        <f t="shared" si="22"/>
        <v>0.9305</v>
      </c>
      <c r="BJ136" s="585" t="str">
        <f>IFERROR(AVERAGEIFS(
'STH Efficacy'!$CD:$CD, 
'STH Efficacy'!$BS:$BS, $A136, 
'STH Efficacy'!$BT:$BT, "Albendazole &amp; Ivermectin",
'STH Efficacy'!$BZ:$BZ,"&lt;2016",
'STH Efficacy'!$CU:$CU,""),
"")</f>
        <v/>
      </c>
      <c r="BK136" s="580">
        <f t="shared" si="23"/>
        <v>0.848</v>
      </c>
      <c r="BL136" s="575" t="str">
        <f>IFERROR(
  AVERAGEIFS(
    'NEW Onchocerciasis Efficacy'!$AO:$AO,
    'NEW Onchocerciasis Efficacy'!$C:$C,$A136,
    'NEW Onchocerciasis Efficacy'!$D:$D,"Ivermectin",
    'NEW Onchocerciasis Efficacy'!$AR:$AR,"&lt;2016",
    'NEW Onchocerciasis Efficacy'!$BG:$BG,"")
,"")</f>
        <v/>
      </c>
      <c r="BM136" s="586">
        <f t="shared" si="24"/>
        <v>0.7808368939</v>
      </c>
      <c r="BN136" s="587">
        <v>0.0</v>
      </c>
      <c r="BO136" s="588">
        <v>0.0</v>
      </c>
      <c r="BP136" s="589">
        <v>0.0</v>
      </c>
      <c r="BQ136" s="590">
        <f t="shared" si="25"/>
        <v>0</v>
      </c>
      <c r="BR136" s="560" t="str">
        <f t="shared" si="26"/>
        <v>0000</v>
      </c>
      <c r="BS136" s="560" t="str">
        <f t="shared" si="27"/>
        <v>no action required</v>
      </c>
      <c r="BT136" s="361" t="str">
        <f t="shared" si="44"/>
        <v/>
      </c>
      <c r="BU136" s="591" t="str">
        <f t="shared" si="29"/>
        <v/>
      </c>
      <c r="BV136" s="560" t="str">
        <f t="shared" si="30"/>
        <v>none</v>
      </c>
      <c r="BW136" s="150" t="str">
        <f t="shared" si="31"/>
        <v/>
      </c>
      <c r="BX136" s="150" t="str">
        <f t="shared" si="32"/>
        <v/>
      </c>
      <c r="BY136" s="151" t="str">
        <f t="shared" si="33"/>
        <v/>
      </c>
      <c r="BZ136" s="152" t="str">
        <f t="shared" si="34"/>
        <v/>
      </c>
      <c r="CA136" s="152" t="str">
        <f t="shared" si="35"/>
        <v/>
      </c>
      <c r="CB136" s="152" t="str">
        <f t="shared" si="36"/>
        <v/>
      </c>
      <c r="CC136" s="153" t="str">
        <f t="shared" si="37"/>
        <v/>
      </c>
      <c r="CD136" s="153" t="str">
        <f t="shared" si="38"/>
        <v/>
      </c>
      <c r="CE136" s="154" t="str">
        <f t="shared" si="39"/>
        <v/>
      </c>
      <c r="CF136" s="154" t="str">
        <f t="shared" si="40"/>
        <v/>
      </c>
      <c r="CG136" s="154" t="str">
        <f t="shared" si="41"/>
        <v/>
      </c>
      <c r="CH136" s="308" t="str">
        <f t="shared" si="42"/>
        <v/>
      </c>
    </row>
    <row r="137">
      <c r="A137" s="559" t="s">
        <v>226</v>
      </c>
      <c r="B137" s="560" t="s">
        <v>109</v>
      </c>
      <c r="C137" s="561">
        <v>2.8656282E7</v>
      </c>
      <c r="D137" s="562">
        <v>25369.45573</v>
      </c>
      <c r="E137" s="563">
        <v>0.0</v>
      </c>
      <c r="F137" s="564">
        <v>62.76038557</v>
      </c>
      <c r="G137" s="564">
        <v>539.6988608</v>
      </c>
      <c r="H137" s="564">
        <v>3478.702737</v>
      </c>
      <c r="I137" s="565">
        <v>924.8895235</v>
      </c>
      <c r="J137" s="566">
        <v>3719.65022509327</v>
      </c>
      <c r="K137" s="566">
        <v>19992.7727897991</v>
      </c>
      <c r="L137" s="567">
        <v>616.9339038</v>
      </c>
      <c r="M137" s="568">
        <v>1458.36600238729</v>
      </c>
      <c r="N137" s="568">
        <v>5071.61510817362</v>
      </c>
      <c r="O137" s="569">
        <v>0.0</v>
      </c>
      <c r="P137" s="601">
        <v>586173.547648</v>
      </c>
      <c r="Q137" s="618">
        <v>7870784.0</v>
      </c>
      <c r="R137" s="603">
        <v>0.7023</v>
      </c>
      <c r="S137" s="116">
        <f t="shared" si="6"/>
        <v>0.7023</v>
      </c>
      <c r="T137" s="151"/>
      <c r="U137" s="572">
        <f t="shared" si="7"/>
        <v>0.2806</v>
      </c>
      <c r="V137" s="573">
        <v>0.8544</v>
      </c>
      <c r="W137" s="574">
        <f t="shared" si="8"/>
        <v>0.8544</v>
      </c>
      <c r="X137" s="573">
        <v>0.4499</v>
      </c>
      <c r="Y137" s="574">
        <f t="shared" si="9"/>
        <v>0.4499</v>
      </c>
      <c r="Z137" s="308"/>
      <c r="AA137" s="308"/>
      <c r="AB137" s="575" t="str">
        <f t="shared" si="10"/>
        <v/>
      </c>
      <c r="AC137" s="576">
        <f t="shared" si="11"/>
        <v>0.7192241206</v>
      </c>
      <c r="AD137" s="577">
        <v>0.02017240874</v>
      </c>
      <c r="AE137" s="572">
        <v>0.0</v>
      </c>
      <c r="AF137" s="578">
        <v>0.0</v>
      </c>
      <c r="AG137" s="132">
        <v>0.05017245408</v>
      </c>
      <c r="AH137" s="132">
        <v>0.165088388</v>
      </c>
      <c r="AI137" s="579">
        <v>0.113913763</v>
      </c>
      <c r="AJ137" s="579">
        <v>0.1430273377</v>
      </c>
      <c r="AK137" s="580">
        <v>0.2369111546</v>
      </c>
      <c r="AL137" s="580">
        <v>0.2819851868</v>
      </c>
      <c r="AM137" s="581">
        <v>0.0</v>
      </c>
      <c r="AN137" s="571" t="str">
        <f>IFERROR(
  AVERAGEIFS(
    'New LF Efficacy'!$J:$J,
    'New LF Efficacy'!$D:$D, $A137,
    'New LF Efficacy'!$F:$F,"DEC", 
    'New LF Efficacy'!$W:$W,"&lt;2016",
    'New LF Efficacy'!$AA:$AA,""),
  ""
)</f>
        <v/>
      </c>
      <c r="AO137" s="582">
        <f t="shared" si="12"/>
        <v>0.478175</v>
      </c>
      <c r="AP137" s="571" t="str">
        <f>IFERROR(
AVERAGEIFS(
'New LF Efficacy'!$J:$J,
'New LF Efficacy'!$D:$D,$A137,
'New LF Efficacy'!$F:$F,"Albendazole &amp; DEC",
'New LF Efficacy'!$W:$W,"&lt;2016",
'New LF Efficacy'!$AA:$AA,""),
"")</f>
        <v/>
      </c>
      <c r="AQ137" s="582">
        <f t="shared" si="13"/>
        <v>0.5831666667</v>
      </c>
      <c r="AR137" s="571" t="str">
        <f>IFERROR(
AVERAGEIFS(
'New LF Efficacy'!$J:$J,
'New LF Efficacy'!$D:$D,$A137,
'New LF Efficacy'!$F:$F,"Albendazole &amp; Ivermectin", 
'New LF Efficacy'!$W:$W,"&lt;2016",
'New LF Efficacy'!$AA:$AA,""),"")</f>
        <v/>
      </c>
      <c r="AS137" s="582">
        <f t="shared" si="14"/>
        <v>0.14</v>
      </c>
      <c r="AT137" s="583" t="str">
        <f>IFERROR(AVERAGEIFS(
'Schist Efficacy'!$O:$O, 
'Schist Efficacy'!$C:$C,$A137, 
'Schist Efficacy'!$D:$D, "Praziquantel",
'Schist Efficacy'!$J:$J,"&lt;2016",
'Schist Efficacy'!$U:$U,""),
"")</f>
        <v/>
      </c>
      <c r="AU137" s="572">
        <f t="shared" si="15"/>
        <v>0.743990088</v>
      </c>
      <c r="AV137" s="131">
        <f>IFERROR(AVERAGEIFS(
'STH Efficacy'!$AX:$AX, 
'STH Efficacy'!$AL:$AL, $A137, 
'STH Efficacy'!$AM:$AM, "Albendazole",
'STH Efficacy'!$AS:$AS,"&lt;2016",
'STH Efficacy'!$BP:$BP,""),
"")</f>
        <v>0.2773333333</v>
      </c>
      <c r="AW137" s="132">
        <f t="shared" si="16"/>
        <v>0.2773333333</v>
      </c>
      <c r="AX137" s="131" t="str">
        <f>IFERROR(AVERAGEIFS(
'STH Efficacy'!$AX:$AX, 
'STH Efficacy'!$AL:$AL, $A137, 
'STH Efficacy'!$AM:$AM, "Mebendazole",
'STH Efficacy'!$AS:$AS,"&lt;2016",
'STH Efficacy'!$BP:$BP,""),
"")</f>
        <v/>
      </c>
      <c r="AY137" s="132">
        <f t="shared" si="17"/>
        <v>0.3786666667</v>
      </c>
      <c r="AZ137" s="131" t="str">
        <f>IFERROR(AVERAGEIFS(
'STH Efficacy'!$AX:$AX, 
'STH Efficacy'!$AL:$AL, $A137, 
'STH Efficacy'!$AM:$AM, "Albendazole &amp; Ivermectin",
'STH Efficacy'!$AS:$AS,"&lt;2016",
'STH Efficacy'!$BP:$BP,""),
"")</f>
        <v/>
      </c>
      <c r="BA137" s="303">
        <f t="shared" si="18"/>
        <v>0.597625</v>
      </c>
      <c r="BB137" s="584" t="str">
        <f>IFERROR(AVERAGEIFS(
'STH Efficacy'!$N:$N, 
'STH Efficacy'!$B:$B, $A137, 
'STH Efficacy'!$C:$C, "Albendazole",
'STH Efficacy'!$I:$I,"&lt;2016",
'STH Efficacy'!$AH:$AH,""),
"")</f>
        <v/>
      </c>
      <c r="BC137" s="579">
        <f t="shared" si="19"/>
        <v>0.7133333333</v>
      </c>
      <c r="BD137" s="584" t="str">
        <f>IFERROR(AVERAGEIFS(
'STH Efficacy'!$N:$N, 
'STH Efficacy'!$B:$B, $A137, 
'STH Efficacy'!$C:$C, "Mebendazole",
'STH Efficacy'!$I:$I,"&lt;2016",
'STH Efficacy'!$AH:$AH,""),
"")</f>
        <v/>
      </c>
      <c r="BE137" s="579">
        <f t="shared" si="20"/>
        <v>0.205</v>
      </c>
      <c r="BF137" s="585" t="str">
        <f>IFERROR(AVERAGEIFS(
'STH Efficacy'!$CD:$CD, 
'STH Efficacy'!$BS:$BS, $A137, 
'STH Efficacy'!$BT:$BT, "Albendazole",
'STH Efficacy'!$BZ:$BZ,"&lt;2016",
'STH Efficacy'!$CU:$CU,""),
"")</f>
        <v/>
      </c>
      <c r="BG137" s="580">
        <f t="shared" si="21"/>
        <v>0.83</v>
      </c>
      <c r="BH137" s="585" t="str">
        <f>IFERROR(AVERAGEIFS(
'STH Efficacy'!$CD:$CD, 
'STH Efficacy'!$BS:$BS, $A137, 
'STH Efficacy'!$BT:$BT, "Mebendazole",
'STH Efficacy'!$BZ:$BZ,"&lt;2016",
'STH Efficacy'!$CU:$CU,""),
"")</f>
        <v/>
      </c>
      <c r="BI137" s="580">
        <f t="shared" si="22"/>
        <v>1</v>
      </c>
      <c r="BJ137" s="585" t="str">
        <f>IFERROR(AVERAGEIFS(
'STH Efficacy'!$CD:$CD, 
'STH Efficacy'!$BS:$BS, $A137, 
'STH Efficacy'!$BT:$BT, "Albendazole &amp; Ivermectin",
'STH Efficacy'!$BZ:$BZ,"&lt;2016",
'STH Efficacy'!$CU:$CU,""),
"")</f>
        <v/>
      </c>
      <c r="BK137" s="580">
        <f t="shared" si="23"/>
        <v>0.848</v>
      </c>
      <c r="BL137" s="575" t="str">
        <f>IFERROR(
  AVERAGEIFS(
    'NEW Onchocerciasis Efficacy'!$AO:$AO,
    'NEW Onchocerciasis Efficacy'!$C:$C,$A137,
    'NEW Onchocerciasis Efficacy'!$D:$D,"Ivermectin",
    'NEW Onchocerciasis Efficacy'!$AR:$AR,"&lt;2016",
    'NEW Onchocerciasis Efficacy'!$BG:$BG,"")
,"")</f>
        <v/>
      </c>
      <c r="BM137" s="586">
        <f t="shared" si="24"/>
        <v>0.7808368939</v>
      </c>
      <c r="BN137" s="587">
        <v>1.0</v>
      </c>
      <c r="BO137" s="588">
        <v>0.0</v>
      </c>
      <c r="BP137" s="589">
        <v>0.0</v>
      </c>
      <c r="BQ137" s="590">
        <f t="shared" si="25"/>
        <v>0</v>
      </c>
      <c r="BR137" s="560" t="str">
        <f t="shared" si="26"/>
        <v>1000</v>
      </c>
      <c r="BS137" s="560" t="str">
        <f t="shared" si="27"/>
        <v>MDA1/2</v>
      </c>
      <c r="BT137" s="606" t="str">
        <f t="shared" si="44"/>
        <v>IVM+ALB or DEC+ALB</v>
      </c>
      <c r="BU137" s="591" t="str">
        <f t="shared" si="29"/>
        <v/>
      </c>
      <c r="BV137" s="560" t="str">
        <f t="shared" si="30"/>
        <v>lf only</v>
      </c>
      <c r="BW137" s="607">
        <f t="shared" si="31"/>
        <v>17597.42939</v>
      </c>
      <c r="BX137" s="607">
        <f t="shared" si="32"/>
        <v>2766.370729</v>
      </c>
      <c r="BY137" s="151" t="str">
        <f t="shared" si="33"/>
        <v/>
      </c>
      <c r="BZ137" s="152" t="str">
        <f t="shared" si="34"/>
        <v/>
      </c>
      <c r="CA137" s="152" t="str">
        <f t="shared" si="35"/>
        <v/>
      </c>
      <c r="CB137" s="152" t="str">
        <f t="shared" si="36"/>
        <v/>
      </c>
      <c r="CC137" s="153" t="str">
        <f t="shared" si="37"/>
        <v/>
      </c>
      <c r="CD137" s="153" t="str">
        <f t="shared" si="38"/>
        <v/>
      </c>
      <c r="CE137" s="154" t="str">
        <f t="shared" si="39"/>
        <v/>
      </c>
      <c r="CF137" s="154" t="str">
        <f t="shared" si="40"/>
        <v/>
      </c>
      <c r="CG137" s="154" t="str">
        <f t="shared" si="41"/>
        <v/>
      </c>
      <c r="CH137" s="308" t="str">
        <f t="shared" si="42"/>
        <v/>
      </c>
    </row>
    <row r="138">
      <c r="A138" s="559" t="s">
        <v>227</v>
      </c>
      <c r="B138" s="560" t="s">
        <v>90</v>
      </c>
      <c r="C138" s="561">
        <v>1.6939923E7</v>
      </c>
      <c r="D138" s="562">
        <v>0.0</v>
      </c>
      <c r="E138" s="563">
        <v>0.0</v>
      </c>
      <c r="F138" s="564">
        <v>0.0</v>
      </c>
      <c r="G138" s="564">
        <v>0.0</v>
      </c>
      <c r="H138" s="564">
        <v>0.0</v>
      </c>
      <c r="I138" s="565">
        <v>0.0</v>
      </c>
      <c r="J138" s="566">
        <v>0.0</v>
      </c>
      <c r="K138" s="566">
        <v>0.0</v>
      </c>
      <c r="L138" s="567">
        <v>0.0</v>
      </c>
      <c r="M138" s="568">
        <v>0.0</v>
      </c>
      <c r="N138" s="568">
        <v>0.0</v>
      </c>
      <c r="O138" s="569">
        <v>0.0</v>
      </c>
      <c r="P138" s="570"/>
      <c r="Q138" s="150"/>
      <c r="R138" s="571"/>
      <c r="S138" s="116">
        <f t="shared" si="6"/>
        <v>0.6648642857</v>
      </c>
      <c r="T138" s="151"/>
      <c r="U138" s="572">
        <f t="shared" si="7"/>
        <v>0.53016</v>
      </c>
      <c r="V138" s="598"/>
      <c r="W138" s="574" t="b">
        <f t="shared" si="8"/>
        <v>0</v>
      </c>
      <c r="X138" s="598"/>
      <c r="Y138" s="574">
        <f t="shared" si="9"/>
        <v>0.631675</v>
      </c>
      <c r="Z138" s="308"/>
      <c r="AA138" s="308"/>
      <c r="AB138" s="575" t="str">
        <f t="shared" si="10"/>
        <v/>
      </c>
      <c r="AC138" s="576">
        <f t="shared" si="11"/>
        <v>0.7192241206</v>
      </c>
      <c r="AD138" s="577">
        <v>0.0</v>
      </c>
      <c r="AE138" s="572">
        <v>0.0</v>
      </c>
      <c r="AF138" s="578">
        <v>0.0</v>
      </c>
      <c r="AG138" s="133">
        <v>0.0</v>
      </c>
      <c r="AH138" s="133">
        <v>0.0</v>
      </c>
      <c r="AI138" s="623">
        <v>0.0</v>
      </c>
      <c r="AJ138" s="623">
        <v>0.0</v>
      </c>
      <c r="AK138" s="624">
        <v>0.0</v>
      </c>
      <c r="AL138" s="624">
        <v>0.0</v>
      </c>
      <c r="AM138" s="581">
        <v>0.0</v>
      </c>
      <c r="AN138" s="571" t="str">
        <f>IFERROR(
  AVERAGEIFS(
    'New LF Efficacy'!$J:$J,
    'New LF Efficacy'!$D:$D, $A138,
    'New LF Efficacy'!$F:$F,"DEC", 
    'New LF Efficacy'!$W:$W,"&lt;2016",
    'New LF Efficacy'!$AA:$AA,""),
  ""
)</f>
        <v/>
      </c>
      <c r="AO138" s="582">
        <f t="shared" si="12"/>
        <v>0.3573520833</v>
      </c>
      <c r="AP138" s="571" t="str">
        <f>IFERROR(
AVERAGEIFS(
'New LF Efficacy'!$J:$J,
'New LF Efficacy'!$D:$D,$A138,
'New LF Efficacy'!$F:$F,"Albendazole &amp; DEC",
'New LF Efficacy'!$W:$W,"&lt;2016",
'New LF Efficacy'!$AA:$AA,""),
"")</f>
        <v/>
      </c>
      <c r="AQ138" s="582">
        <f t="shared" si="13"/>
        <v>0.5143541667</v>
      </c>
      <c r="AR138" s="571" t="str">
        <f>IFERROR(
AVERAGEIFS(
'New LF Efficacy'!$J:$J,
'New LF Efficacy'!$D:$D,$A138,
'New LF Efficacy'!$F:$F,"Albendazole &amp; Ivermectin", 
'New LF Efficacy'!$W:$W,"&lt;2016",
'New LF Efficacy'!$AA:$AA,""),"")</f>
        <v/>
      </c>
      <c r="AS138" s="582">
        <f t="shared" si="14"/>
        <v>0.37153125</v>
      </c>
      <c r="AT138" s="583" t="str">
        <f>IFERROR(AVERAGEIFS(
'Schist Efficacy'!$O:$O, 
'Schist Efficacy'!$C:$C,$A138, 
'Schist Efficacy'!$D:$D, "Praziquantel",
'Schist Efficacy'!$J:$J,"&lt;2016",
'Schist Efficacy'!$U:$U,""),
"")</f>
        <v/>
      </c>
      <c r="AU138" s="572">
        <f t="shared" si="15"/>
        <v>0.655</v>
      </c>
      <c r="AV138" s="131" t="str">
        <f>IFERROR(AVERAGEIFS(
'STH Efficacy'!$AX:$AX, 
'STH Efficacy'!$AL:$AL, $A138, 
'STH Efficacy'!$AM:$AM, "Albendazole",
'STH Efficacy'!$AS:$AS,"&lt;2016",
'STH Efficacy'!$BP:$BP,""),
"")</f>
        <v/>
      </c>
      <c r="AW138" s="132">
        <f t="shared" si="16"/>
        <v>0.4143846154</v>
      </c>
      <c r="AX138" s="131" t="str">
        <f>IFERROR(AVERAGEIFS(
'STH Efficacy'!$AX:$AX, 
'STH Efficacy'!$AL:$AL, $A138, 
'STH Efficacy'!$AM:$AM, "Mebendazole",
'STH Efficacy'!$AS:$AS,"&lt;2016",
'STH Efficacy'!$BP:$BP,""),
"")</f>
        <v/>
      </c>
      <c r="AY138" s="132">
        <f t="shared" si="17"/>
        <v>0.4691770833</v>
      </c>
      <c r="AZ138" s="131" t="str">
        <f>IFERROR(AVERAGEIFS(
'STH Efficacy'!$AX:$AX, 
'STH Efficacy'!$AL:$AL, $A138, 
'STH Efficacy'!$AM:$AM, "Albendazole &amp; Ivermectin",
'STH Efficacy'!$AS:$AS,"&lt;2016",
'STH Efficacy'!$BP:$BP,""),
"")</f>
        <v/>
      </c>
      <c r="BA138" s="303">
        <f t="shared" si="18"/>
        <v>0.597625</v>
      </c>
      <c r="BB138" s="584" t="str">
        <f>IFERROR(AVERAGEIFS(
'STH Efficacy'!$N:$N, 
'STH Efficacy'!$B:$B, $A138, 
'STH Efficacy'!$C:$C, "Albendazole",
'STH Efficacy'!$I:$I,"&lt;2016",
'STH Efficacy'!$AH:$AH,""),
"")</f>
        <v/>
      </c>
      <c r="BC138" s="579">
        <f t="shared" si="19"/>
        <v>0.7613712121</v>
      </c>
      <c r="BD138" s="584" t="str">
        <f>IFERROR(AVERAGEIFS(
'STH Efficacy'!$N:$N, 
'STH Efficacy'!$B:$B, $A138, 
'STH Efficacy'!$C:$C, "Mebendazole",
'STH Efficacy'!$I:$I,"&lt;2016",
'STH Efficacy'!$AH:$AH,""),
"")</f>
        <v/>
      </c>
      <c r="BE138" s="579">
        <f t="shared" si="20"/>
        <v>0.4362466667</v>
      </c>
      <c r="BF138" s="585" t="str">
        <f>IFERROR(AVERAGEIFS(
'STH Efficacy'!$CD:$CD, 
'STH Efficacy'!$BS:$BS, $A138, 
'STH Efficacy'!$BT:$BT, "Albendazole",
'STH Efficacy'!$BZ:$BZ,"&lt;2016",
'STH Efficacy'!$CU:$CU,""),
"")</f>
        <v/>
      </c>
      <c r="BG138" s="580">
        <f t="shared" si="21"/>
        <v>0.9216027778</v>
      </c>
      <c r="BH138" s="585" t="str">
        <f>IFERROR(AVERAGEIFS(
'STH Efficacy'!$CD:$CD, 
'STH Efficacy'!$BS:$BS, $A138, 
'STH Efficacy'!$BT:$BT, "Mebendazole",
'STH Efficacy'!$BZ:$BZ,"&lt;2016",
'STH Efficacy'!$CU:$CU,""),
"")</f>
        <v/>
      </c>
      <c r="BI138" s="580">
        <f t="shared" si="22"/>
        <v>0.8866041667</v>
      </c>
      <c r="BJ138" s="585" t="str">
        <f>IFERROR(AVERAGEIFS(
'STH Efficacy'!$CD:$CD, 
'STH Efficacy'!$BS:$BS, $A138, 
'STH Efficacy'!$BT:$BT, "Albendazole &amp; Ivermectin",
'STH Efficacy'!$BZ:$BZ,"&lt;2016",
'STH Efficacy'!$CU:$CU,""),
"")</f>
        <v/>
      </c>
      <c r="BK138" s="580">
        <f t="shared" si="23"/>
        <v>0.848</v>
      </c>
      <c r="BL138" s="575" t="str">
        <f>IFERROR(
  AVERAGEIFS(
    'NEW Onchocerciasis Efficacy'!$AO:$AO,
    'NEW Onchocerciasis Efficacy'!$C:$C,$A138,
    'NEW Onchocerciasis Efficacy'!$D:$D,"Ivermectin",
    'NEW Onchocerciasis Efficacy'!$AR:$AR,"&lt;2016",
    'NEW Onchocerciasis Efficacy'!$BG:$BG,"")
,"")</f>
        <v/>
      </c>
      <c r="BM138" s="586">
        <f t="shared" si="24"/>
        <v>0.7808368939</v>
      </c>
      <c r="BN138" s="587">
        <v>0.0</v>
      </c>
      <c r="BO138" s="588">
        <v>0.0</v>
      </c>
      <c r="BP138" s="589">
        <v>0.0</v>
      </c>
      <c r="BQ138" s="590">
        <f t="shared" si="25"/>
        <v>0</v>
      </c>
      <c r="BR138" s="560" t="str">
        <f t="shared" si="26"/>
        <v>0000</v>
      </c>
      <c r="BS138" s="560" t="str">
        <f t="shared" si="27"/>
        <v>no action required</v>
      </c>
      <c r="BT138" s="361" t="str">
        <f t="shared" si="44"/>
        <v/>
      </c>
      <c r="BU138" s="591" t="str">
        <f t="shared" si="29"/>
        <v/>
      </c>
      <c r="BV138" s="560" t="str">
        <f t="shared" si="30"/>
        <v>none</v>
      </c>
      <c r="BW138" s="150" t="str">
        <f t="shared" si="31"/>
        <v/>
      </c>
      <c r="BX138" s="150" t="str">
        <f t="shared" si="32"/>
        <v/>
      </c>
      <c r="BY138" s="151" t="str">
        <f t="shared" si="33"/>
        <v/>
      </c>
      <c r="BZ138" s="152" t="str">
        <f t="shared" si="34"/>
        <v/>
      </c>
      <c r="CA138" s="152" t="str">
        <f t="shared" si="35"/>
        <v/>
      </c>
      <c r="CB138" s="152" t="str">
        <f t="shared" si="36"/>
        <v/>
      </c>
      <c r="CC138" s="153" t="str">
        <f t="shared" si="37"/>
        <v/>
      </c>
      <c r="CD138" s="153" t="str">
        <f t="shared" si="38"/>
        <v/>
      </c>
      <c r="CE138" s="154" t="str">
        <f t="shared" si="39"/>
        <v/>
      </c>
      <c r="CF138" s="154" t="str">
        <f t="shared" si="40"/>
        <v/>
      </c>
      <c r="CG138" s="154" t="str">
        <f t="shared" si="41"/>
        <v/>
      </c>
      <c r="CH138" s="308" t="str">
        <f t="shared" si="42"/>
        <v/>
      </c>
    </row>
    <row r="139">
      <c r="A139" s="599" t="s">
        <v>228</v>
      </c>
      <c r="B139" s="560" t="s">
        <v>94</v>
      </c>
      <c r="C139" s="561">
        <v>273000.0</v>
      </c>
      <c r="D139" s="562"/>
      <c r="E139" s="610"/>
      <c r="F139" s="611"/>
      <c r="G139" s="611"/>
      <c r="H139" s="611"/>
      <c r="I139" s="566"/>
      <c r="J139" s="566"/>
      <c r="K139" s="566"/>
      <c r="L139" s="612"/>
      <c r="M139" s="612"/>
      <c r="N139" s="612"/>
      <c r="O139" s="308"/>
      <c r="P139" s="634"/>
      <c r="Q139" s="150" t="s">
        <v>395</v>
      </c>
      <c r="R139" s="150" t="s">
        <v>395</v>
      </c>
      <c r="S139" s="116" t="str">
        <f t="shared" si="6"/>
        <v> </v>
      </c>
      <c r="T139" s="151"/>
      <c r="U139" s="572">
        <f t="shared" si="7"/>
        <v>0.7834666667</v>
      </c>
      <c r="V139" s="598"/>
      <c r="W139" s="574">
        <f t="shared" si="8"/>
        <v>0.3593777778</v>
      </c>
      <c r="X139" s="598"/>
      <c r="Y139" s="574">
        <f t="shared" si="9"/>
        <v>0.5347375</v>
      </c>
      <c r="Z139" s="308"/>
      <c r="AA139" s="308"/>
      <c r="AB139" s="575" t="str">
        <f t="shared" si="10"/>
        <v/>
      </c>
      <c r="AC139" s="576">
        <f t="shared" si="11"/>
        <v>0.7192241206</v>
      </c>
      <c r="AD139" s="577">
        <v>0.0</v>
      </c>
      <c r="AE139" s="583"/>
      <c r="AF139" s="583"/>
      <c r="AG139" s="131"/>
      <c r="AH139" s="131"/>
      <c r="AI139" s="584"/>
      <c r="AJ139" s="584"/>
      <c r="AK139" s="585"/>
      <c r="AL139" s="585"/>
      <c r="AM139" s="575"/>
      <c r="AN139" s="571" t="str">
        <f>IFERROR(
  AVERAGEIFS(
    'New LF Efficacy'!$J:$J,
    'New LF Efficacy'!$D:$D, $A139,
    'New LF Efficacy'!$F:$F,"DEC", 
    'New LF Efficacy'!$W:$W,"&lt;2016",
    'New LF Efficacy'!$AA:$AA,""),
  ""
)</f>
        <v/>
      </c>
      <c r="AO139" s="582">
        <f t="shared" si="12"/>
        <v>0.38</v>
      </c>
      <c r="AP139" s="571" t="str">
        <f>IFERROR(
AVERAGEIFS(
'New LF Efficacy'!$J:$J,
'New LF Efficacy'!$D:$D,$A139,
'New LF Efficacy'!$F:$F,"Albendazole &amp; DEC",
'New LF Efficacy'!$W:$W,"&lt;2016",
'New LF Efficacy'!$AA:$AA,""),
"")</f>
        <v/>
      </c>
      <c r="AQ139" s="582">
        <f t="shared" si="13"/>
        <v>0.662</v>
      </c>
      <c r="AR139" s="571" t="str">
        <f>IFERROR(
AVERAGEIFS(
'New LF Efficacy'!$J:$J,
'New LF Efficacy'!$D:$D,$A139,
'New LF Efficacy'!$F:$F,"Albendazole &amp; Ivermectin", 
'New LF Efficacy'!$W:$W,"&lt;2016",
'New LF Efficacy'!$AA:$AA,""),"")</f>
        <v/>
      </c>
      <c r="AS139" s="582">
        <f t="shared" si="14"/>
        <v>0.37153125</v>
      </c>
      <c r="AT139" s="583" t="str">
        <f>IFERROR(AVERAGEIFS(
'Schist Efficacy'!$O:$O, 
'Schist Efficacy'!$C:$C,$A139, 
'Schist Efficacy'!$D:$D, "Praziquantel",
'Schist Efficacy'!$J:$J,"&lt;2016",
'Schist Efficacy'!$U:$U,""),
"")</f>
        <v/>
      </c>
      <c r="AU139" s="572">
        <f t="shared" si="15"/>
        <v>0.9475</v>
      </c>
      <c r="AV139" s="131" t="str">
        <f>IFERROR(AVERAGEIFS(
'STH Efficacy'!$AX:$AX, 
'STH Efficacy'!$AL:$AL, $A139, 
'STH Efficacy'!$AM:$AM, "Albendazole",
'STH Efficacy'!$AS:$AS,"&lt;2016",
'STH Efficacy'!$BP:$BP,""),
"")</f>
        <v/>
      </c>
      <c r="AW139" s="132">
        <f t="shared" si="16"/>
        <v>0.3571666667</v>
      </c>
      <c r="AX139" s="131" t="str">
        <f>IFERROR(AVERAGEIFS(
'STH Efficacy'!$AX:$AX, 
'STH Efficacy'!$AL:$AL, $A139, 
'STH Efficacy'!$AM:$AM, "Mebendazole",
'STH Efficacy'!$AS:$AS,"&lt;2016",
'STH Efficacy'!$BP:$BP,""),
"")</f>
        <v/>
      </c>
      <c r="AY139" s="132">
        <f t="shared" si="17"/>
        <v>0.4155</v>
      </c>
      <c r="AZ139" s="131" t="str">
        <f>IFERROR(AVERAGEIFS(
'STH Efficacy'!$AX:$AX, 
'STH Efficacy'!$AL:$AL, $A139, 
'STH Efficacy'!$AM:$AM, "Albendazole &amp; Ivermectin",
'STH Efficacy'!$AS:$AS,"&lt;2016",
'STH Efficacy'!$BP:$BP,""),
"")</f>
        <v/>
      </c>
      <c r="BA139" s="303">
        <f t="shared" si="18"/>
        <v>0.651</v>
      </c>
      <c r="BB139" s="584" t="str">
        <f>IFERROR(AVERAGEIFS(
'STH Efficacy'!$N:$N, 
'STH Efficacy'!$B:$B, $A139, 
'STH Efficacy'!$C:$C, "Albendazole",
'STH Efficacy'!$I:$I,"&lt;2016",
'STH Efficacy'!$AH:$AH,""),
"")</f>
        <v/>
      </c>
      <c r="BC139" s="579">
        <f t="shared" si="19"/>
        <v>0.5769166667</v>
      </c>
      <c r="BD139" s="584" t="str">
        <f>IFERROR(AVERAGEIFS(
'STH Efficacy'!$N:$N, 
'STH Efficacy'!$B:$B, $A139, 
'STH Efficacy'!$C:$C, "Mebendazole",
'STH Efficacy'!$I:$I,"&lt;2016",
'STH Efficacy'!$AH:$AH,""),
"")</f>
        <v/>
      </c>
      <c r="BE139" s="579">
        <f t="shared" si="20"/>
        <v>0.3145</v>
      </c>
      <c r="BF139" s="585" t="str">
        <f>IFERROR(AVERAGEIFS(
'STH Efficacy'!$CD:$CD, 
'STH Efficacy'!$BS:$BS, $A139, 
'STH Efficacy'!$BT:$BT, "Albendazole",
'STH Efficacy'!$BZ:$BZ,"&lt;2016",
'STH Efficacy'!$CU:$CU,""),
"")</f>
        <v/>
      </c>
      <c r="BG139" s="580">
        <f t="shared" si="21"/>
        <v>0.96925</v>
      </c>
      <c r="BH139" s="585" t="str">
        <f>IFERROR(AVERAGEIFS(
'STH Efficacy'!$CD:$CD, 
'STH Efficacy'!$BS:$BS, $A139, 
'STH Efficacy'!$BT:$BT, "Mebendazole",
'STH Efficacy'!$BZ:$BZ,"&lt;2016",
'STH Efficacy'!$CU:$CU,""),
"")</f>
        <v/>
      </c>
      <c r="BI139" s="580">
        <f t="shared" si="22"/>
        <v>0.9305</v>
      </c>
      <c r="BJ139" s="585" t="str">
        <f>IFERROR(AVERAGEIFS(
'STH Efficacy'!$CD:$CD, 
'STH Efficacy'!$BS:$BS, $A139, 
'STH Efficacy'!$BT:$BT, "Albendazole &amp; Ivermectin",
'STH Efficacy'!$BZ:$BZ,"&lt;2016",
'STH Efficacy'!$CU:$CU,""),
"")</f>
        <v/>
      </c>
      <c r="BK139" s="580">
        <f t="shared" si="23"/>
        <v>0.848</v>
      </c>
      <c r="BL139" s="575" t="str">
        <f>IFERROR(
  AVERAGEIFS(
    'NEW Onchocerciasis Efficacy'!$AO:$AO,
    'NEW Onchocerciasis Efficacy'!$C:$C,$A139,
    'NEW Onchocerciasis Efficacy'!$D:$D,"Ivermectin",
    'NEW Onchocerciasis Efficacy'!$AR:$AR,"&lt;2016",
    'NEW Onchocerciasis Efficacy'!$BG:$BG,"")
,"")</f>
        <v/>
      </c>
      <c r="BM139" s="586">
        <f t="shared" si="24"/>
        <v>0.7808368939</v>
      </c>
      <c r="BN139" s="587">
        <v>1.0</v>
      </c>
      <c r="BO139" s="588">
        <v>0.0</v>
      </c>
      <c r="BP139" s="589">
        <v>0.0</v>
      </c>
      <c r="BQ139" s="590">
        <f t="shared" si="25"/>
        <v>0</v>
      </c>
      <c r="BR139" s="560" t="str">
        <f t="shared" si="26"/>
        <v>1000</v>
      </c>
      <c r="BS139" s="560" t="str">
        <f t="shared" si="27"/>
        <v>MDA1/2</v>
      </c>
      <c r="BT139" s="606" t="str">
        <f t="shared" si="44"/>
        <v>IVM+ALB or DEC+ALB</v>
      </c>
      <c r="BU139" s="591" t="str">
        <f t="shared" si="29"/>
        <v/>
      </c>
      <c r="BV139" s="560" t="str">
        <f t="shared" si="30"/>
        <v>lf only</v>
      </c>
      <c r="BW139" s="150" t="str">
        <f t="shared" si="31"/>
        <v/>
      </c>
      <c r="BX139" s="150" t="str">
        <f t="shared" si="32"/>
        <v/>
      </c>
      <c r="BY139" s="151" t="str">
        <f t="shared" si="33"/>
        <v/>
      </c>
      <c r="BZ139" s="152" t="str">
        <f t="shared" si="34"/>
        <v/>
      </c>
      <c r="CA139" s="152" t="str">
        <f t="shared" si="35"/>
        <v/>
      </c>
      <c r="CB139" s="152" t="str">
        <f t="shared" si="36"/>
        <v/>
      </c>
      <c r="CC139" s="153" t="str">
        <f t="shared" si="37"/>
        <v/>
      </c>
      <c r="CD139" s="153" t="str">
        <f t="shared" si="38"/>
        <v/>
      </c>
      <c r="CE139" s="154" t="str">
        <f t="shared" si="39"/>
        <v/>
      </c>
      <c r="CF139" s="154" t="str">
        <f t="shared" si="40"/>
        <v/>
      </c>
      <c r="CG139" s="154" t="str">
        <f t="shared" si="41"/>
        <v/>
      </c>
      <c r="CH139" s="308" t="str">
        <f t="shared" si="42"/>
        <v/>
      </c>
    </row>
    <row r="140">
      <c r="A140" s="559" t="s">
        <v>229</v>
      </c>
      <c r="B140" s="560" t="s">
        <v>94</v>
      </c>
      <c r="C140" s="561">
        <v>4595700.0</v>
      </c>
      <c r="D140" s="562">
        <v>0.0</v>
      </c>
      <c r="E140" s="563">
        <v>0.0</v>
      </c>
      <c r="F140" s="564">
        <v>0.0</v>
      </c>
      <c r="G140" s="564">
        <v>0.0</v>
      </c>
      <c r="H140" s="564">
        <v>0.0</v>
      </c>
      <c r="I140" s="565">
        <v>0.0</v>
      </c>
      <c r="J140" s="566">
        <v>0.0</v>
      </c>
      <c r="K140" s="566">
        <v>0.0</v>
      </c>
      <c r="L140" s="567">
        <v>0.137329544</v>
      </c>
      <c r="M140" s="568">
        <v>0.122474731782795</v>
      </c>
      <c r="N140" s="568">
        <v>0.454028074950994</v>
      </c>
      <c r="O140" s="569">
        <v>0.0</v>
      </c>
      <c r="P140" s="570"/>
      <c r="Q140" s="150"/>
      <c r="R140" s="571"/>
      <c r="S140" s="116">
        <f t="shared" si="6"/>
        <v>0.5322777778</v>
      </c>
      <c r="T140" s="151"/>
      <c r="U140" s="572">
        <f t="shared" si="7"/>
        <v>0.7834666667</v>
      </c>
      <c r="V140" s="598"/>
      <c r="W140" s="574">
        <f t="shared" si="8"/>
        <v>0.3593777778</v>
      </c>
      <c r="X140" s="598"/>
      <c r="Y140" s="574">
        <f t="shared" si="9"/>
        <v>0.5347375</v>
      </c>
      <c r="Z140" s="308"/>
      <c r="AA140" s="308"/>
      <c r="AB140" s="575" t="str">
        <f t="shared" si="10"/>
        <v/>
      </c>
      <c r="AC140" s="576">
        <f t="shared" si="11"/>
        <v>0.7192241206</v>
      </c>
      <c r="AD140" s="577">
        <v>0.0</v>
      </c>
      <c r="AE140" s="572">
        <v>0.0</v>
      </c>
      <c r="AF140" s="578">
        <v>0.0</v>
      </c>
      <c r="AG140" s="133">
        <v>0.0</v>
      </c>
      <c r="AH140" s="133">
        <v>0.0</v>
      </c>
      <c r="AI140" s="623">
        <v>0.0</v>
      </c>
      <c r="AJ140" s="623">
        <v>0.0</v>
      </c>
      <c r="AK140" s="624">
        <v>0.0</v>
      </c>
      <c r="AL140" s="624">
        <v>0.0</v>
      </c>
      <c r="AM140" s="581">
        <v>0.0</v>
      </c>
      <c r="AN140" s="571" t="str">
        <f>IFERROR(
  AVERAGEIFS(
    'New LF Efficacy'!$J:$J,
    'New LF Efficacy'!$D:$D, $A140,
    'New LF Efficacy'!$F:$F,"DEC", 
    'New LF Efficacy'!$W:$W,"&lt;2016",
    'New LF Efficacy'!$AA:$AA,""),
  ""
)</f>
        <v/>
      </c>
      <c r="AO140" s="582">
        <f t="shared" si="12"/>
        <v>0.38</v>
      </c>
      <c r="AP140" s="571" t="str">
        <f>IFERROR(
AVERAGEIFS(
'New LF Efficacy'!$J:$J,
'New LF Efficacy'!$D:$D,$A140,
'New LF Efficacy'!$F:$F,"Albendazole &amp; DEC",
'New LF Efficacy'!$W:$W,"&lt;2016",
'New LF Efficacy'!$AA:$AA,""),
"")</f>
        <v/>
      </c>
      <c r="AQ140" s="582">
        <f t="shared" si="13"/>
        <v>0.662</v>
      </c>
      <c r="AR140" s="571" t="str">
        <f>IFERROR(
AVERAGEIFS(
'New LF Efficacy'!$J:$J,
'New LF Efficacy'!$D:$D,$A140,
'New LF Efficacy'!$F:$F,"Albendazole &amp; Ivermectin", 
'New LF Efficacy'!$W:$W,"&lt;2016",
'New LF Efficacy'!$AA:$AA,""),"")</f>
        <v/>
      </c>
      <c r="AS140" s="582">
        <f t="shared" si="14"/>
        <v>0.37153125</v>
      </c>
      <c r="AT140" s="583" t="str">
        <f>IFERROR(AVERAGEIFS(
'Schist Efficacy'!$O:$O, 
'Schist Efficacy'!$C:$C,$A140, 
'Schist Efficacy'!$D:$D, "Praziquantel",
'Schist Efficacy'!$J:$J,"&lt;2016",
'Schist Efficacy'!$U:$U,""),
"")</f>
        <v/>
      </c>
      <c r="AU140" s="572">
        <f t="shared" si="15"/>
        <v>0.9475</v>
      </c>
      <c r="AV140" s="131" t="str">
        <f>IFERROR(AVERAGEIFS(
'STH Efficacy'!$AX:$AX, 
'STH Efficacy'!$AL:$AL, $A140, 
'STH Efficacy'!$AM:$AM, "Albendazole",
'STH Efficacy'!$AS:$AS,"&lt;2016",
'STH Efficacy'!$BP:$BP,""),
"")</f>
        <v/>
      </c>
      <c r="AW140" s="132">
        <f t="shared" si="16"/>
        <v>0.3571666667</v>
      </c>
      <c r="AX140" s="131" t="str">
        <f>IFERROR(AVERAGEIFS(
'STH Efficacy'!$AX:$AX, 
'STH Efficacy'!$AL:$AL, $A140, 
'STH Efficacy'!$AM:$AM, "Mebendazole",
'STH Efficacy'!$AS:$AS,"&lt;2016",
'STH Efficacy'!$BP:$BP,""),
"")</f>
        <v/>
      </c>
      <c r="AY140" s="132">
        <f t="shared" si="17"/>
        <v>0.4155</v>
      </c>
      <c r="AZ140" s="131" t="str">
        <f>IFERROR(AVERAGEIFS(
'STH Efficacy'!$AX:$AX, 
'STH Efficacy'!$AL:$AL, $A140, 
'STH Efficacy'!$AM:$AM, "Albendazole &amp; Ivermectin",
'STH Efficacy'!$AS:$AS,"&lt;2016",
'STH Efficacy'!$BP:$BP,""),
"")</f>
        <v/>
      </c>
      <c r="BA140" s="303">
        <f t="shared" si="18"/>
        <v>0.651</v>
      </c>
      <c r="BB140" s="584" t="str">
        <f>IFERROR(AVERAGEIFS(
'STH Efficacy'!$N:$N, 
'STH Efficacy'!$B:$B, $A140, 
'STH Efficacy'!$C:$C, "Albendazole",
'STH Efficacy'!$I:$I,"&lt;2016",
'STH Efficacy'!$AH:$AH,""),
"")</f>
        <v/>
      </c>
      <c r="BC140" s="579">
        <f t="shared" si="19"/>
        <v>0.5769166667</v>
      </c>
      <c r="BD140" s="584" t="str">
        <f>IFERROR(AVERAGEIFS(
'STH Efficacy'!$N:$N, 
'STH Efficacy'!$B:$B, $A140, 
'STH Efficacy'!$C:$C, "Mebendazole",
'STH Efficacy'!$I:$I,"&lt;2016",
'STH Efficacy'!$AH:$AH,""),
"")</f>
        <v/>
      </c>
      <c r="BE140" s="579">
        <f t="shared" si="20"/>
        <v>0.3145</v>
      </c>
      <c r="BF140" s="585" t="str">
        <f>IFERROR(AVERAGEIFS(
'STH Efficacy'!$CD:$CD, 
'STH Efficacy'!$BS:$BS, $A140, 
'STH Efficacy'!$BT:$BT, "Albendazole",
'STH Efficacy'!$BZ:$BZ,"&lt;2016",
'STH Efficacy'!$CU:$CU,""),
"")</f>
        <v/>
      </c>
      <c r="BG140" s="580">
        <f t="shared" si="21"/>
        <v>0.96925</v>
      </c>
      <c r="BH140" s="585" t="str">
        <f>IFERROR(AVERAGEIFS(
'STH Efficacy'!$CD:$CD, 
'STH Efficacy'!$BS:$BS, $A140, 
'STH Efficacy'!$BT:$BT, "Mebendazole",
'STH Efficacy'!$BZ:$BZ,"&lt;2016",
'STH Efficacy'!$CU:$CU,""),
"")</f>
        <v/>
      </c>
      <c r="BI140" s="580">
        <f t="shared" si="22"/>
        <v>0.9305</v>
      </c>
      <c r="BJ140" s="585" t="str">
        <f>IFERROR(AVERAGEIFS(
'STH Efficacy'!$CD:$CD, 
'STH Efficacy'!$BS:$BS, $A140, 
'STH Efficacy'!$BT:$BT, "Albendazole &amp; Ivermectin",
'STH Efficacy'!$BZ:$BZ,"&lt;2016",
'STH Efficacy'!$CU:$CU,""),
"")</f>
        <v/>
      </c>
      <c r="BK140" s="580">
        <f t="shared" si="23"/>
        <v>0.848</v>
      </c>
      <c r="BL140" s="575" t="str">
        <f>IFERROR(
  AVERAGEIFS(
    'NEW Onchocerciasis Efficacy'!$AO:$AO,
    'NEW Onchocerciasis Efficacy'!$C:$C,$A140,
    'NEW Onchocerciasis Efficacy'!$D:$D,"Ivermectin",
    'NEW Onchocerciasis Efficacy'!$AR:$AR,"&lt;2016",
    'NEW Onchocerciasis Efficacy'!$BG:$BG,"")
,"")</f>
        <v/>
      </c>
      <c r="BM140" s="586">
        <f t="shared" si="24"/>
        <v>0.7808368939</v>
      </c>
      <c r="BN140" s="587">
        <v>0.0</v>
      </c>
      <c r="BO140" s="588">
        <v>0.0</v>
      </c>
      <c r="BP140" s="589">
        <v>0.0</v>
      </c>
      <c r="BQ140" s="590">
        <f t="shared" si="25"/>
        <v>0</v>
      </c>
      <c r="BR140" s="560" t="str">
        <f t="shared" si="26"/>
        <v>0000</v>
      </c>
      <c r="BS140" s="560" t="str">
        <f t="shared" si="27"/>
        <v>no action required</v>
      </c>
      <c r="BT140" s="361" t="str">
        <f t="shared" si="44"/>
        <v/>
      </c>
      <c r="BU140" s="591" t="str">
        <f t="shared" si="29"/>
        <v/>
      </c>
      <c r="BV140" s="560" t="str">
        <f t="shared" si="30"/>
        <v>none</v>
      </c>
      <c r="BW140" s="150" t="str">
        <f t="shared" si="31"/>
        <v/>
      </c>
      <c r="BX140" s="150" t="str">
        <f t="shared" si="32"/>
        <v/>
      </c>
      <c r="BY140" s="151" t="str">
        <f t="shared" si="33"/>
        <v/>
      </c>
      <c r="BZ140" s="152" t="str">
        <f t="shared" si="34"/>
        <v/>
      </c>
      <c r="CA140" s="152" t="str">
        <f t="shared" si="35"/>
        <v/>
      </c>
      <c r="CB140" s="152" t="str">
        <f t="shared" si="36"/>
        <v/>
      </c>
      <c r="CC140" s="153" t="str">
        <f t="shared" si="37"/>
        <v/>
      </c>
      <c r="CD140" s="153" t="str">
        <f t="shared" si="38"/>
        <v/>
      </c>
      <c r="CE140" s="154" t="str">
        <f t="shared" si="39"/>
        <v/>
      </c>
      <c r="CF140" s="154" t="str">
        <f t="shared" si="40"/>
        <v/>
      </c>
      <c r="CG140" s="154" t="str">
        <f t="shared" si="41"/>
        <v/>
      </c>
      <c r="CH140" s="308" t="str">
        <f t="shared" si="42"/>
        <v/>
      </c>
    </row>
    <row r="141">
      <c r="A141" s="559" t="s">
        <v>230</v>
      </c>
      <c r="B141" s="560" t="s">
        <v>98</v>
      </c>
      <c r="C141" s="561">
        <v>6082035.0</v>
      </c>
      <c r="D141" s="562">
        <v>0.0</v>
      </c>
      <c r="E141" s="563">
        <v>0.0</v>
      </c>
      <c r="F141" s="564">
        <v>5.548667429</v>
      </c>
      <c r="G141" s="564">
        <v>0.724843015</v>
      </c>
      <c r="H141" s="564">
        <v>103.5985563</v>
      </c>
      <c r="I141" s="565">
        <v>13.16927146</v>
      </c>
      <c r="J141" s="566">
        <v>62.1711903395219</v>
      </c>
      <c r="K141" s="566">
        <v>347.822692043903</v>
      </c>
      <c r="L141" s="567">
        <v>49.25022857</v>
      </c>
      <c r="M141" s="568">
        <v>16.0222461199918</v>
      </c>
      <c r="N141" s="568">
        <v>165.514007810107</v>
      </c>
      <c r="O141" s="569">
        <v>0.0</v>
      </c>
      <c r="P141" s="570"/>
      <c r="Q141" s="150"/>
      <c r="R141" s="571"/>
      <c r="S141" s="116">
        <f t="shared" si="6"/>
        <v>0.6451333333</v>
      </c>
      <c r="T141" s="151"/>
      <c r="U141" s="572">
        <f t="shared" si="7"/>
        <v>0.0025</v>
      </c>
      <c r="V141" s="573">
        <v>0.9693</v>
      </c>
      <c r="W141" s="574">
        <f t="shared" si="8"/>
        <v>0.9693</v>
      </c>
      <c r="X141" s="573">
        <v>0.9682</v>
      </c>
      <c r="Y141" s="574">
        <f t="shared" si="9"/>
        <v>0.9682</v>
      </c>
      <c r="Z141" s="308"/>
      <c r="AA141" s="308"/>
      <c r="AB141" s="575" t="str">
        <f t="shared" si="10"/>
        <v/>
      </c>
      <c r="AC141" s="576">
        <f t="shared" si="11"/>
        <v>0.7574216602</v>
      </c>
      <c r="AD141" s="577">
        <v>0.02563751295</v>
      </c>
      <c r="AE141" s="572">
        <v>0.0</v>
      </c>
      <c r="AF141" s="578">
        <v>0.0</v>
      </c>
      <c r="AG141" s="132">
        <v>0.02862681152</v>
      </c>
      <c r="AH141" s="132">
        <v>0.089471644</v>
      </c>
      <c r="AI141" s="579">
        <v>0.02511850939</v>
      </c>
      <c r="AJ141" s="579">
        <v>0.03021031532</v>
      </c>
      <c r="AK141" s="580">
        <v>0.09083300135</v>
      </c>
      <c r="AL141" s="580">
        <v>0.1036241702</v>
      </c>
      <c r="AM141" s="581">
        <v>0.0</v>
      </c>
      <c r="AN141" s="571" t="str">
        <f>IFERROR(
  AVERAGEIFS(
    'New LF Efficacy'!$J:$J,
    'New LF Efficacy'!$D:$D, $A141,
    'New LF Efficacy'!$F:$F,"DEC", 
    'New LF Efficacy'!$W:$W,"&lt;2016",
    'New LF Efficacy'!$AA:$AA,""),
  ""
)</f>
        <v/>
      </c>
      <c r="AO141" s="582">
        <f t="shared" si="12"/>
        <v>0.2589833333</v>
      </c>
      <c r="AP141" s="571" t="str">
        <f>IFERROR(
AVERAGEIFS(
'New LF Efficacy'!$J:$J,
'New LF Efficacy'!$D:$D,$A141,
'New LF Efficacy'!$F:$F,"Albendazole &amp; DEC",
'New LF Efficacy'!$W:$W,"&lt;2016",
'New LF Efficacy'!$AA:$AA,""),
"")</f>
        <v/>
      </c>
      <c r="AQ141" s="582">
        <f t="shared" si="13"/>
        <v>0.3465</v>
      </c>
      <c r="AR141" s="571" t="str">
        <f>IFERROR(
AVERAGEIFS(
'New LF Efficacy'!$J:$J,
'New LF Efficacy'!$D:$D,$A141,
'New LF Efficacy'!$F:$F,"Albendazole &amp; Ivermectin", 
'New LF Efficacy'!$W:$W,"&lt;2016",
'New LF Efficacy'!$AA:$AA,""),"")</f>
        <v/>
      </c>
      <c r="AS141" s="582">
        <f t="shared" si="14"/>
        <v>0.7575</v>
      </c>
      <c r="AT141" s="583" t="str">
        <f>IFERROR(AVERAGEIFS(
'Schist Efficacy'!$O:$O, 
'Schist Efficacy'!$C:$C,$A141, 
'Schist Efficacy'!$D:$D, "Praziquantel",
'Schist Efficacy'!$J:$J,"&lt;2016",
'Schist Efficacy'!$U:$U,""),
"")</f>
        <v/>
      </c>
      <c r="AU141" s="572">
        <f t="shared" si="15"/>
        <v>0.7914761905</v>
      </c>
      <c r="AV141" s="131" t="str">
        <f>IFERROR(AVERAGEIFS(
'STH Efficacy'!$AX:$AX, 
'STH Efficacy'!$AL:$AL, $A141, 
'STH Efficacy'!$AM:$AM, "Albendazole",
'STH Efficacy'!$AS:$AS,"&lt;2016",
'STH Efficacy'!$BP:$BP,""),
"")</f>
        <v/>
      </c>
      <c r="AW141" s="132">
        <f t="shared" si="16"/>
        <v>0.3945</v>
      </c>
      <c r="AX141" s="131" t="str">
        <f>IFERROR(AVERAGEIFS(
'STH Efficacy'!$AX:$AX, 
'STH Efficacy'!$AL:$AL, $A141, 
'STH Efficacy'!$AM:$AM, "Mebendazole",
'STH Efficacy'!$AS:$AS,"&lt;2016",
'STH Efficacy'!$BP:$BP,""),
"")</f>
        <v/>
      </c>
      <c r="AY141" s="132">
        <f t="shared" si="17"/>
        <v>0.6</v>
      </c>
      <c r="AZ141" s="131" t="str">
        <f>IFERROR(AVERAGEIFS(
'STH Efficacy'!$AX:$AX, 
'STH Efficacy'!$AL:$AL, $A141, 
'STH Efficacy'!$AM:$AM, "Albendazole &amp; Ivermectin",
'STH Efficacy'!$AS:$AS,"&lt;2016",
'STH Efficacy'!$BP:$BP,""),
"")</f>
        <v/>
      </c>
      <c r="BA141" s="303">
        <f t="shared" si="18"/>
        <v>0.796</v>
      </c>
      <c r="BB141" s="584" t="str">
        <f>IFERROR(AVERAGEIFS(
'STH Efficacy'!$N:$N, 
'STH Efficacy'!$B:$B, $A141, 
'STH Efficacy'!$C:$C, "Albendazole",
'STH Efficacy'!$I:$I,"&lt;2016",
'STH Efficacy'!$AH:$AH,""),
"")</f>
        <v/>
      </c>
      <c r="BC141" s="579">
        <f t="shared" si="19"/>
        <v>0.869</v>
      </c>
      <c r="BD141" s="584" t="str">
        <f>IFERROR(AVERAGEIFS(
'STH Efficacy'!$N:$N, 
'STH Efficacy'!$B:$B, $A141, 
'STH Efficacy'!$C:$C, "Mebendazole",
'STH Efficacy'!$I:$I,"&lt;2016",
'STH Efficacy'!$AH:$AH,""),
"")</f>
        <v/>
      </c>
      <c r="BE141" s="579">
        <f t="shared" si="20"/>
        <v>0.172</v>
      </c>
      <c r="BF141" s="585" t="str">
        <f>IFERROR(AVERAGEIFS(
'STH Efficacy'!$CD:$CD, 
'STH Efficacy'!$BS:$BS, $A141, 
'STH Efficacy'!$BT:$BT, "Albendazole",
'STH Efficacy'!$BZ:$BZ,"&lt;2016",
'STH Efficacy'!$CU:$CU,""),
"")</f>
        <v/>
      </c>
      <c r="BG141" s="580">
        <f t="shared" si="21"/>
        <v>0.9862</v>
      </c>
      <c r="BH141" s="585" t="str">
        <f>IFERROR(AVERAGEIFS(
'STH Efficacy'!$CD:$CD, 
'STH Efficacy'!$BS:$BS, $A141, 
'STH Efficacy'!$BT:$BT, "Mebendazole",
'STH Efficacy'!$BZ:$BZ,"&lt;2016",
'STH Efficacy'!$CU:$CU,""),
"")</f>
        <v/>
      </c>
      <c r="BI141" s="580">
        <f t="shared" si="22"/>
        <v>0.769</v>
      </c>
      <c r="BJ141" s="585" t="str">
        <f>IFERROR(AVERAGEIFS(
'STH Efficacy'!$CD:$CD, 
'STH Efficacy'!$BS:$BS, $A141, 
'STH Efficacy'!$BT:$BT, "Albendazole &amp; Ivermectin",
'STH Efficacy'!$BZ:$BZ,"&lt;2016",
'STH Efficacy'!$CU:$CU,""),
"")</f>
        <v/>
      </c>
      <c r="BK141" s="580">
        <f t="shared" si="23"/>
        <v>1</v>
      </c>
      <c r="BL141" s="575" t="str">
        <f>IFERROR(
  AVERAGEIFS(
    'NEW Onchocerciasis Efficacy'!$AO:$AO,
    'NEW Onchocerciasis Efficacy'!$C:$C,$A141,
    'NEW Onchocerciasis Efficacy'!$D:$D,"Ivermectin",
    'NEW Onchocerciasis Efficacy'!$AR:$AR,"&lt;2016",
    'NEW Onchocerciasis Efficacy'!$BG:$BG,"")
,"")</f>
        <v/>
      </c>
      <c r="BM141" s="586">
        <f t="shared" si="24"/>
        <v>0.3734</v>
      </c>
      <c r="BN141" s="587">
        <v>0.0</v>
      </c>
      <c r="BO141" s="588">
        <v>1.0</v>
      </c>
      <c r="BP141" s="589">
        <v>1.0</v>
      </c>
      <c r="BQ141" s="590">
        <f t="shared" si="25"/>
        <v>0</v>
      </c>
      <c r="BR141" s="560" t="str">
        <f t="shared" si="26"/>
        <v>0110</v>
      </c>
      <c r="BS141" s="560" t="str">
        <f t="shared" si="27"/>
        <v>MDA3+T2</v>
      </c>
      <c r="BT141" s="606" t="str">
        <f t="shared" si="44"/>
        <v>IVM</v>
      </c>
      <c r="BU141" s="560" t="str">
        <f t="shared" si="29"/>
        <v>PZQ</v>
      </c>
      <c r="BV141" s="560" t="str">
        <f t="shared" si="30"/>
        <v>onch+schist</v>
      </c>
      <c r="BW141" s="150" t="str">
        <f t="shared" si="31"/>
        <v/>
      </c>
      <c r="BX141" s="150" t="str">
        <f t="shared" si="32"/>
        <v/>
      </c>
      <c r="BY141" s="608">
        <f t="shared" si="33"/>
        <v>0</v>
      </c>
      <c r="BZ141" s="152" t="str">
        <f t="shared" si="34"/>
        <v/>
      </c>
      <c r="CA141" s="152" t="str">
        <f t="shared" si="35"/>
        <v/>
      </c>
      <c r="CB141" s="152" t="str">
        <f t="shared" si="36"/>
        <v/>
      </c>
      <c r="CC141" s="153" t="str">
        <f t="shared" si="37"/>
        <v/>
      </c>
      <c r="CD141" s="153" t="str">
        <f t="shared" si="38"/>
        <v/>
      </c>
      <c r="CE141" s="154" t="str">
        <f t="shared" si="39"/>
        <v/>
      </c>
      <c r="CF141" s="154" t="str">
        <f t="shared" si="40"/>
        <v/>
      </c>
      <c r="CG141" s="154" t="str">
        <f t="shared" si="41"/>
        <v/>
      </c>
      <c r="CH141" s="637">
        <f t="shared" si="42"/>
        <v>0</v>
      </c>
    </row>
    <row r="142">
      <c r="A142" s="559" t="s">
        <v>231</v>
      </c>
      <c r="B142" s="560" t="s">
        <v>92</v>
      </c>
      <c r="C142" s="561">
        <v>1.9896965E7</v>
      </c>
      <c r="D142" s="562">
        <v>15432.49263</v>
      </c>
      <c r="E142" s="563">
        <v>10064.0877726846</v>
      </c>
      <c r="F142" s="564">
        <v>0.144799486</v>
      </c>
      <c r="G142" s="564">
        <v>0.77595078</v>
      </c>
      <c r="H142" s="564">
        <v>1.638832921</v>
      </c>
      <c r="I142" s="565">
        <v>590.513654</v>
      </c>
      <c r="J142" s="566">
        <v>1577.42622536247</v>
      </c>
      <c r="K142" s="566">
        <v>4891.76593821574</v>
      </c>
      <c r="L142" s="567">
        <v>1670.280106</v>
      </c>
      <c r="M142" s="568">
        <v>114.095614470895</v>
      </c>
      <c r="N142" s="568">
        <v>1824.20059725694</v>
      </c>
      <c r="O142" s="569">
        <v>50.7</v>
      </c>
      <c r="P142" s="601">
        <v>536715.658032</v>
      </c>
      <c r="Q142" s="618">
        <v>7018837.0</v>
      </c>
      <c r="R142" s="603">
        <v>0.7163</v>
      </c>
      <c r="S142" s="116">
        <f t="shared" si="6"/>
        <v>0.7163</v>
      </c>
      <c r="T142" s="572">
        <v>0.9771</v>
      </c>
      <c r="U142" s="572">
        <f t="shared" si="7"/>
        <v>0.9771</v>
      </c>
      <c r="V142" s="573">
        <v>1.0</v>
      </c>
      <c r="W142" s="574">
        <f t="shared" si="8"/>
        <v>1</v>
      </c>
      <c r="X142" s="573">
        <v>0.8052</v>
      </c>
      <c r="Y142" s="574">
        <f t="shared" si="9"/>
        <v>0.8052</v>
      </c>
      <c r="Z142" s="625" t="s">
        <v>395</v>
      </c>
      <c r="AA142" s="625" t="s">
        <v>395</v>
      </c>
      <c r="AB142" s="575" t="str">
        <f t="shared" si="10"/>
        <v/>
      </c>
      <c r="AC142" s="576">
        <f t="shared" si="11"/>
        <v>0.6507101914</v>
      </c>
      <c r="AD142" s="577">
        <v>0.08655980377</v>
      </c>
      <c r="AE142" s="572">
        <v>0.01300074709</v>
      </c>
      <c r="AF142" s="578">
        <v>0.003277867046</v>
      </c>
      <c r="AG142" s="132">
        <v>0.02970596898</v>
      </c>
      <c r="AH142" s="132">
        <v>0.098166517</v>
      </c>
      <c r="AI142" s="579">
        <v>0.07443708693</v>
      </c>
      <c r="AJ142" s="579">
        <v>0.09509557074</v>
      </c>
      <c r="AK142" s="580">
        <v>0.1229617613</v>
      </c>
      <c r="AL142" s="580">
        <v>0.1498600449</v>
      </c>
      <c r="AM142" s="581">
        <v>1.30074886E-5</v>
      </c>
      <c r="AN142" s="571" t="str">
        <f>IFERROR(
  AVERAGEIFS(
    'New LF Efficacy'!$J:$J,
    'New LF Efficacy'!$D:$D, $A142,
    'New LF Efficacy'!$F:$F,"DEC", 
    'New LF Efficacy'!$W:$W,"&lt;2016",
    'New LF Efficacy'!$AA:$AA,""),
  ""
)</f>
        <v/>
      </c>
      <c r="AO142" s="582">
        <f t="shared" si="12"/>
        <v>0.31225</v>
      </c>
      <c r="AP142" s="571" t="str">
        <f>IFERROR(
AVERAGEIFS(
'New LF Efficacy'!$J:$J,
'New LF Efficacy'!$D:$D,$A142,
'New LF Efficacy'!$F:$F,"Albendazole &amp; DEC",
'New LF Efficacy'!$W:$W,"&lt;2016",
'New LF Efficacy'!$AA:$AA,""),
"")</f>
        <v/>
      </c>
      <c r="AQ142" s="582">
        <f t="shared" si="13"/>
        <v>0.4</v>
      </c>
      <c r="AR142" s="571" t="str">
        <f>IFERROR(
AVERAGEIFS(
'New LF Efficacy'!$J:$J,
'New LF Efficacy'!$D:$D,$A142,
'New LF Efficacy'!$F:$F,"Albendazole &amp; Ivermectin", 
'New LF Efficacy'!$W:$W,"&lt;2016",
'New LF Efficacy'!$AA:$AA,""),"")</f>
        <v/>
      </c>
      <c r="AS142" s="582">
        <f t="shared" si="14"/>
        <v>0.2943125</v>
      </c>
      <c r="AT142" s="583">
        <f>IFERROR(AVERAGEIFS(
'Schist Efficacy'!$O:$O, 
'Schist Efficacy'!$C:$C,$A142, 
'Schist Efficacy'!$D:$D, "Praziquantel",
'Schist Efficacy'!$J:$J,"&lt;2016",
'Schist Efficacy'!$U:$U,""),
"")</f>
        <v>0.949</v>
      </c>
      <c r="AU142" s="572">
        <f t="shared" si="15"/>
        <v>0.949</v>
      </c>
      <c r="AV142" s="131" t="str">
        <f>IFERROR(AVERAGEIFS(
'STH Efficacy'!$AX:$AX, 
'STH Efficacy'!$AL:$AL, $A142, 
'STH Efficacy'!$AM:$AM, "Albendazole",
'STH Efficacy'!$AS:$AS,"&lt;2016",
'STH Efficacy'!$BP:$BP,""),
"")</f>
        <v/>
      </c>
      <c r="AW142" s="132">
        <f t="shared" si="16"/>
        <v>0.3816333333</v>
      </c>
      <c r="AX142" s="131" t="str">
        <f>IFERROR(AVERAGEIFS(
'STH Efficacy'!$AX:$AX, 
'STH Efficacy'!$AL:$AL, $A142, 
'STH Efficacy'!$AM:$AM, "Mebendazole",
'STH Efficacy'!$AS:$AS,"&lt;2016",
'STH Efficacy'!$BP:$BP,""),
"")</f>
        <v/>
      </c>
      <c r="AY142" s="132">
        <f t="shared" si="17"/>
        <v>0.4859375</v>
      </c>
      <c r="AZ142" s="131" t="str">
        <f>IFERROR(AVERAGEIFS(
'STH Efficacy'!$AX:$AX, 
'STH Efficacy'!$AL:$AL, $A142, 
'STH Efficacy'!$AM:$AM, "Albendazole &amp; Ivermectin",
'STH Efficacy'!$AS:$AS,"&lt;2016",
'STH Efficacy'!$BP:$BP,""),
"")</f>
        <v/>
      </c>
      <c r="BA142" s="303">
        <f t="shared" si="18"/>
        <v>0.47175</v>
      </c>
      <c r="BB142" s="584" t="str">
        <f>IFERROR(AVERAGEIFS(
'STH Efficacy'!$N:$N, 
'STH Efficacy'!$B:$B, $A142, 
'STH Efficacy'!$C:$C, "Albendazole",
'STH Efficacy'!$I:$I,"&lt;2016",
'STH Efficacy'!$AH:$AH,""),
"")</f>
        <v/>
      </c>
      <c r="BC142" s="579">
        <f t="shared" si="19"/>
        <v>0.8699166667</v>
      </c>
      <c r="BD142" s="584" t="str">
        <f>IFERROR(AVERAGEIFS(
'STH Efficacy'!$N:$N, 
'STH Efficacy'!$B:$B, $A142, 
'STH Efficacy'!$C:$C, "Mebendazole",
'STH Efficacy'!$I:$I,"&lt;2016",
'STH Efficacy'!$AH:$AH,""),
"")</f>
        <v/>
      </c>
      <c r="BE142" s="579">
        <f t="shared" si="20"/>
        <v>0.7092416667</v>
      </c>
      <c r="BF142" s="585" t="str">
        <f>IFERROR(AVERAGEIFS(
'STH Efficacy'!$CD:$CD, 
'STH Efficacy'!$BS:$BS, $A142, 
'STH Efficacy'!$BT:$BT, "Albendazole",
'STH Efficacy'!$BZ:$BZ,"&lt;2016",
'STH Efficacy'!$CU:$CU,""),
"")</f>
        <v/>
      </c>
      <c r="BG142" s="580">
        <f t="shared" si="21"/>
        <v>0.9066666667</v>
      </c>
      <c r="BH142" s="585" t="str">
        <f>IFERROR(AVERAGEIFS(
'STH Efficacy'!$CD:$CD, 
'STH Efficacy'!$BS:$BS, $A142, 
'STH Efficacy'!$BT:$BT, "Mebendazole",
'STH Efficacy'!$BZ:$BZ,"&lt;2016",
'STH Efficacy'!$CU:$CU,""),
"")</f>
        <v/>
      </c>
      <c r="BI142" s="580">
        <f t="shared" si="22"/>
        <v>0.8483333333</v>
      </c>
      <c r="BJ142" s="585" t="str">
        <f>IFERROR(AVERAGEIFS(
'STH Efficacy'!$CD:$CD, 
'STH Efficacy'!$BS:$BS, $A142, 
'STH Efficacy'!$BT:$BT, "Albendazole &amp; Ivermectin",
'STH Efficacy'!$BZ:$BZ,"&lt;2016",
'STH Efficacy'!$CU:$CU,""),
"")</f>
        <v/>
      </c>
      <c r="BK142" s="580">
        <f t="shared" si="23"/>
        <v>0.696</v>
      </c>
      <c r="BL142" s="575" t="str">
        <f>IFERROR(
  AVERAGEIFS(
    'NEW Onchocerciasis Efficacy'!$AO:$AO,
    'NEW Onchocerciasis Efficacy'!$C:$C,$A142,
    'NEW Onchocerciasis Efficacy'!$D:$D,"Ivermectin",
    'NEW Onchocerciasis Efficacy'!$AR:$AR,"&lt;2016",
    'NEW Onchocerciasis Efficacy'!$BG:$BG,"")
,"")</f>
        <v/>
      </c>
      <c r="BM142" s="586">
        <f t="shared" si="24"/>
        <v>0.8390421645</v>
      </c>
      <c r="BN142" s="587">
        <v>1.0</v>
      </c>
      <c r="BO142" s="588">
        <v>1.0</v>
      </c>
      <c r="BP142" s="589">
        <v>1.0</v>
      </c>
      <c r="BQ142" s="590">
        <f t="shared" si="25"/>
        <v>0</v>
      </c>
      <c r="BR142" s="560" t="str">
        <f t="shared" si="26"/>
        <v>1110</v>
      </c>
      <c r="BS142" s="560" t="str">
        <f t="shared" si="27"/>
        <v>MDA1+T2</v>
      </c>
      <c r="BT142" s="606" t="str">
        <f t="shared" si="44"/>
        <v>IVM+ALB</v>
      </c>
      <c r="BU142" s="560" t="str">
        <f t="shared" si="29"/>
        <v>PZQ</v>
      </c>
      <c r="BV142" s="560" t="str">
        <f t="shared" si="30"/>
        <v>lf+onch+schist </v>
      </c>
      <c r="BW142" s="150" t="str">
        <f t="shared" si="31"/>
        <v/>
      </c>
      <c r="BX142" s="607">
        <f t="shared" si="32"/>
        <v>4122.507833</v>
      </c>
      <c r="BY142" s="608">
        <f t="shared" si="33"/>
        <v>128307.9347</v>
      </c>
      <c r="BZ142" s="152" t="str">
        <f t="shared" si="34"/>
        <v/>
      </c>
      <c r="CA142" s="152" t="str">
        <f t="shared" si="35"/>
        <v/>
      </c>
      <c r="CB142" s="152" t="str">
        <f t="shared" si="36"/>
        <v/>
      </c>
      <c r="CC142" s="153" t="str">
        <f t="shared" si="37"/>
        <v/>
      </c>
      <c r="CD142" s="153" t="str">
        <f t="shared" si="38"/>
        <v/>
      </c>
      <c r="CE142" s="154" t="str">
        <f t="shared" si="39"/>
        <v/>
      </c>
      <c r="CF142" s="154" t="str">
        <f t="shared" si="40"/>
        <v/>
      </c>
      <c r="CG142" s="154" t="str">
        <f t="shared" si="41"/>
        <v/>
      </c>
      <c r="CH142" s="637">
        <f t="shared" si="42"/>
        <v>2.03224795</v>
      </c>
    </row>
    <row r="143">
      <c r="A143" s="559" t="s">
        <v>232</v>
      </c>
      <c r="B143" s="560" t="s">
        <v>92</v>
      </c>
      <c r="C143" s="561">
        <v>1.81181744E8</v>
      </c>
      <c r="D143" s="562">
        <v>520929.4318</v>
      </c>
      <c r="E143" s="563">
        <v>238697.864660466</v>
      </c>
      <c r="F143" s="564">
        <v>335.7470646</v>
      </c>
      <c r="G143" s="564">
        <v>2499.156037</v>
      </c>
      <c r="H143" s="564">
        <v>12852.79985</v>
      </c>
      <c r="I143" s="565">
        <v>4189.968065</v>
      </c>
      <c r="J143" s="566">
        <v>14231.1559753395</v>
      </c>
      <c r="K143" s="566">
        <v>50734.660843194</v>
      </c>
      <c r="L143" s="567">
        <v>98191.28129</v>
      </c>
      <c r="M143" s="568">
        <v>30817.0550526916</v>
      </c>
      <c r="N143" s="568">
        <v>164693.793300064</v>
      </c>
      <c r="O143" s="569">
        <v>222961.0</v>
      </c>
      <c r="P143" s="601">
        <v>1.74178842565E7</v>
      </c>
      <c r="Q143" s="618">
        <v>7.9831356E7</v>
      </c>
      <c r="R143" s="603">
        <v>0.622</v>
      </c>
      <c r="S143" s="116">
        <f t="shared" si="6"/>
        <v>0.622</v>
      </c>
      <c r="T143" s="572">
        <v>0.5532</v>
      </c>
      <c r="U143" s="572">
        <f t="shared" si="7"/>
        <v>0.5532</v>
      </c>
      <c r="V143" s="573">
        <v>0.8007</v>
      </c>
      <c r="W143" s="574">
        <f t="shared" si="8"/>
        <v>0.8007</v>
      </c>
      <c r="X143" s="573">
        <v>0.6456</v>
      </c>
      <c r="Y143" s="574">
        <f t="shared" si="9"/>
        <v>0.6456</v>
      </c>
      <c r="Z143" s="604">
        <v>4.9900711E7</v>
      </c>
      <c r="AA143" s="604">
        <v>4.0013199E7</v>
      </c>
      <c r="AB143" s="576">
        <f t="shared" si="10"/>
        <v>0.8018562902</v>
      </c>
      <c r="AC143" s="576">
        <f t="shared" si="11"/>
        <v>0.8018562902</v>
      </c>
      <c r="AD143" s="571"/>
      <c r="AE143" s="572">
        <v>0.1321414485</v>
      </c>
      <c r="AF143" s="578">
        <v>0.03398396496</v>
      </c>
      <c r="AG143" s="132">
        <v>0.01622617061</v>
      </c>
      <c r="AH143" s="132">
        <v>0.052944356</v>
      </c>
      <c r="AI143" s="579">
        <v>0.04216615426</v>
      </c>
      <c r="AJ143" s="579">
        <v>0.05300351459</v>
      </c>
      <c r="AK143" s="580">
        <v>0.1918014734</v>
      </c>
      <c r="AL143" s="580">
        <v>0.229627202</v>
      </c>
      <c r="AM143" s="581">
        <v>0.01565944906</v>
      </c>
      <c r="AN143" s="571" t="str">
        <f>IFERROR(
  AVERAGEIFS(
    'New LF Efficacy'!$J:$J,
    'New LF Efficacy'!$D:$D, $A143,
    'New LF Efficacy'!$F:$F,"DEC", 
    'New LF Efficacy'!$W:$W,"&lt;2016",
    'New LF Efficacy'!$AA:$AA,""),
  ""
)</f>
        <v/>
      </c>
      <c r="AO143" s="582">
        <f t="shared" si="12"/>
        <v>0.31225</v>
      </c>
      <c r="AP143" s="571" t="str">
        <f>IFERROR(
AVERAGEIFS(
'New LF Efficacy'!$J:$J,
'New LF Efficacy'!$D:$D,$A143,
'New LF Efficacy'!$F:$F,"Albendazole &amp; DEC",
'New LF Efficacy'!$W:$W,"&lt;2016",
'New LF Efficacy'!$AA:$AA,""),
"")</f>
        <v/>
      </c>
      <c r="AQ143" s="582">
        <f t="shared" si="13"/>
        <v>0.4</v>
      </c>
      <c r="AR143" s="571" t="str">
        <f>IFERROR(
AVERAGEIFS(
'New LF Efficacy'!$J:$J,
'New LF Efficacy'!$D:$D,$A143,
'New LF Efficacy'!$F:$F,"Albendazole &amp; Ivermectin", 
'New LF Efficacy'!$W:$W,"&lt;2016",
'New LF Efficacy'!$AA:$AA,""),"")</f>
        <v/>
      </c>
      <c r="AS143" s="582">
        <f t="shared" si="14"/>
        <v>0.2943125</v>
      </c>
      <c r="AT143" s="583">
        <f>IFERROR(AVERAGEIFS(
'Schist Efficacy'!$O:$O, 
'Schist Efficacy'!$C:$C,$A143, 
'Schist Efficacy'!$D:$D, "Praziquantel",
'Schist Efficacy'!$J:$J,"&lt;2016",
'Schist Efficacy'!$U:$U,""),
"")</f>
        <v>0.778</v>
      </c>
      <c r="AU143" s="572">
        <f t="shared" si="15"/>
        <v>0.778</v>
      </c>
      <c r="AV143" s="131" t="str">
        <f>IFERROR(AVERAGEIFS(
'STH Efficacy'!$AX:$AX, 
'STH Efficacy'!$AL:$AL, $A143, 
'STH Efficacy'!$AM:$AM, "Albendazole",
'STH Efficacy'!$AS:$AS,"&lt;2016",
'STH Efficacy'!$BP:$BP,""),
"")</f>
        <v/>
      </c>
      <c r="AW143" s="132">
        <f t="shared" si="16"/>
        <v>0.3816333333</v>
      </c>
      <c r="AX143" s="131">
        <f>IFERROR(AVERAGEIFS(
'STH Efficacy'!$AX:$AX, 
'STH Efficacy'!$AL:$AL, $A143, 
'STH Efficacy'!$AM:$AM, "Mebendazole",
'STH Efficacy'!$AS:$AS,"&lt;2016",
'STH Efficacy'!$BP:$BP,""),
"")</f>
        <v>1</v>
      </c>
      <c r="AY143" s="132">
        <f t="shared" si="17"/>
        <v>1</v>
      </c>
      <c r="AZ143" s="131" t="str">
        <f>IFERROR(AVERAGEIFS(
'STH Efficacy'!$AX:$AX, 
'STH Efficacy'!$AL:$AL, $A143, 
'STH Efficacy'!$AM:$AM, "Albendazole &amp; Ivermectin",
'STH Efficacy'!$AS:$AS,"&lt;2016",
'STH Efficacy'!$BP:$BP,""),
"")</f>
        <v/>
      </c>
      <c r="BA143" s="303">
        <f t="shared" si="18"/>
        <v>0.47175</v>
      </c>
      <c r="BB143" s="584" t="str">
        <f>IFERROR(AVERAGEIFS(
'STH Efficacy'!$N:$N, 
'STH Efficacy'!$B:$B, $A143, 
'STH Efficacy'!$C:$C, "Albendazole",
'STH Efficacy'!$I:$I,"&lt;2016",
'STH Efficacy'!$AH:$AH,""),
"")</f>
        <v/>
      </c>
      <c r="BC143" s="579">
        <f t="shared" si="19"/>
        <v>0.8699166667</v>
      </c>
      <c r="BD143" s="584">
        <f>IFERROR(AVERAGEIFS(
'STH Efficacy'!$N:$N, 
'STH Efficacy'!$B:$B, $A143, 
'STH Efficacy'!$C:$C, "Mebendazole",
'STH Efficacy'!$I:$I,"&lt;2016",
'STH Efficacy'!$AH:$AH,""),
"")</f>
        <v>0.9048</v>
      </c>
      <c r="BE143" s="579">
        <f t="shared" si="20"/>
        <v>0.9048</v>
      </c>
      <c r="BF143" s="585" t="str">
        <f>IFERROR(AVERAGEIFS(
'STH Efficacy'!$CD:$CD, 
'STH Efficacy'!$BS:$BS, $A143, 
'STH Efficacy'!$BT:$BT, "Albendazole",
'STH Efficacy'!$BZ:$BZ,"&lt;2016",
'STH Efficacy'!$CU:$CU,""),
"")</f>
        <v/>
      </c>
      <c r="BG143" s="580">
        <f t="shared" si="21"/>
        <v>0.9066666667</v>
      </c>
      <c r="BH143" s="585">
        <f>IFERROR(AVERAGEIFS(
'STH Efficacy'!$CD:$CD, 
'STH Efficacy'!$BS:$BS, $A143, 
'STH Efficacy'!$BT:$BT, "Mebendazole",
'STH Efficacy'!$BZ:$BZ,"&lt;2016",
'STH Efficacy'!$CU:$CU,""),
"")</f>
        <v>1</v>
      </c>
      <c r="BI143" s="580">
        <f t="shared" si="22"/>
        <v>1</v>
      </c>
      <c r="BJ143" s="585" t="str">
        <f>IFERROR(AVERAGEIFS(
'STH Efficacy'!$CD:$CD, 
'STH Efficacy'!$BS:$BS, $A143, 
'STH Efficacy'!$BT:$BT, "Albendazole &amp; Ivermectin",
'STH Efficacy'!$BZ:$BZ,"&lt;2016",
'STH Efficacy'!$CU:$CU,""),
"")</f>
        <v/>
      </c>
      <c r="BK143" s="580">
        <f t="shared" si="23"/>
        <v>0.696</v>
      </c>
      <c r="BL143" s="575" t="str">
        <f>IFERROR(
  AVERAGEIFS(
    'NEW Onchocerciasis Efficacy'!$AO:$AO,
    'NEW Onchocerciasis Efficacy'!$C:$C,$A143,
    'NEW Onchocerciasis Efficacy'!$D:$D,"Ivermectin",
    'NEW Onchocerciasis Efficacy'!$AR:$AR,"&lt;2016",
    'NEW Onchocerciasis Efficacy'!$BG:$BG,"")
,"")</f>
        <v/>
      </c>
      <c r="BM143" s="586">
        <f t="shared" si="24"/>
        <v>0.8390421645</v>
      </c>
      <c r="BN143" s="587">
        <v>1.0</v>
      </c>
      <c r="BO143" s="588">
        <v>0.0</v>
      </c>
      <c r="BP143" s="589">
        <v>1.0</v>
      </c>
      <c r="BQ143" s="590">
        <f t="shared" si="25"/>
        <v>0</v>
      </c>
      <c r="BR143" s="560" t="str">
        <f t="shared" si="26"/>
        <v>1010</v>
      </c>
      <c r="BS143" s="560" t="str">
        <f t="shared" si="27"/>
        <v>MDA1/2+T2</v>
      </c>
      <c r="BT143" s="606" t="str">
        <f t="shared" si="44"/>
        <v>IVM+ALB or DEC +ALB</v>
      </c>
      <c r="BU143" s="560" t="str">
        <f t="shared" si="29"/>
        <v>PZQ</v>
      </c>
      <c r="BV143" s="560" t="str">
        <f t="shared" si="30"/>
        <v>lf+schist </v>
      </c>
      <c r="BW143" s="150" t="str">
        <f t="shared" si="31"/>
        <v/>
      </c>
      <c r="BX143" s="607">
        <f t="shared" si="32"/>
        <v>116731.775</v>
      </c>
      <c r="BY143" s="608">
        <f t="shared" si="33"/>
        <v>180356.7465</v>
      </c>
      <c r="BZ143" s="152" t="str">
        <f t="shared" si="34"/>
        <v/>
      </c>
      <c r="CA143" s="152" t="str">
        <f t="shared" si="35"/>
        <v/>
      </c>
      <c r="CB143" s="152" t="str">
        <f t="shared" si="36"/>
        <v/>
      </c>
      <c r="CC143" s="153" t="str">
        <f t="shared" si="37"/>
        <v/>
      </c>
      <c r="CD143" s="153" t="str">
        <f t="shared" si="38"/>
        <v/>
      </c>
      <c r="CE143" s="154" t="str">
        <f t="shared" si="39"/>
        <v/>
      </c>
      <c r="CF143" s="154" t="str">
        <f t="shared" si="40"/>
        <v/>
      </c>
      <c r="CG143" s="154" t="str">
        <f t="shared" si="41"/>
        <v/>
      </c>
      <c r="CH143" s="308" t="str">
        <f t="shared" si="42"/>
        <v/>
      </c>
    </row>
    <row r="144">
      <c r="A144" s="559" t="s">
        <v>233</v>
      </c>
      <c r="B144" s="560" t="s">
        <v>94</v>
      </c>
      <c r="C144" s="619"/>
      <c r="D144" s="562"/>
      <c r="E144" s="610"/>
      <c r="F144" s="611"/>
      <c r="G144" s="611"/>
      <c r="H144" s="611"/>
      <c r="I144" s="566"/>
      <c r="J144" s="566"/>
      <c r="K144" s="566"/>
      <c r="L144" s="612"/>
      <c r="M144" s="612"/>
      <c r="N144" s="612"/>
      <c r="O144" s="308"/>
      <c r="P144" s="150"/>
      <c r="Q144" s="150"/>
      <c r="R144" s="571"/>
      <c r="S144" s="116">
        <f t="shared" si="6"/>
        <v>0.5322777778</v>
      </c>
      <c r="T144" s="151"/>
      <c r="U144" s="572">
        <f t="shared" si="7"/>
        <v>0.7834666667</v>
      </c>
      <c r="V144" s="598"/>
      <c r="W144" s="574">
        <f t="shared" si="8"/>
        <v>0.3593777778</v>
      </c>
      <c r="X144" s="598"/>
      <c r="Y144" s="574">
        <f t="shared" si="9"/>
        <v>0.5347375</v>
      </c>
      <c r="Z144" s="308"/>
      <c r="AA144" s="308"/>
      <c r="AB144" s="575" t="str">
        <f t="shared" si="10"/>
        <v/>
      </c>
      <c r="AC144" s="576">
        <f t="shared" si="11"/>
        <v>0.7192241206</v>
      </c>
      <c r="AD144" s="571"/>
      <c r="AE144" s="583"/>
      <c r="AF144" s="583"/>
      <c r="AG144" s="131"/>
      <c r="AH144" s="131"/>
      <c r="AI144" s="584"/>
      <c r="AJ144" s="584"/>
      <c r="AK144" s="585"/>
      <c r="AL144" s="585"/>
      <c r="AM144" s="575"/>
      <c r="AN144" s="571" t="str">
        <f>IFERROR(
  AVERAGEIFS(
    'New LF Efficacy'!$J:$J,
    'New LF Efficacy'!$D:$D, $A144,
    'New LF Efficacy'!$F:$F,"DEC", 
    'New LF Efficacy'!$W:$W,"&lt;2016",
    'New LF Efficacy'!$AA:$AA,""),
  ""
)</f>
        <v/>
      </c>
      <c r="AO144" s="582">
        <f t="shared" si="12"/>
        <v>0.38</v>
      </c>
      <c r="AP144" s="571" t="str">
        <f>IFERROR(
AVERAGEIFS(
'New LF Efficacy'!$J:$J,
'New LF Efficacy'!$D:$D,$A144,
'New LF Efficacy'!$F:$F,"Albendazole &amp; DEC",
'New LF Efficacy'!$W:$W,"&lt;2016",
'New LF Efficacy'!$AA:$AA,""),
"")</f>
        <v/>
      </c>
      <c r="AQ144" s="582">
        <f t="shared" si="13"/>
        <v>0.662</v>
      </c>
      <c r="AR144" s="571" t="str">
        <f>IFERROR(
AVERAGEIFS(
'New LF Efficacy'!$J:$J,
'New LF Efficacy'!$D:$D,$A144,
'New LF Efficacy'!$F:$F,"Albendazole &amp; Ivermectin", 
'New LF Efficacy'!$W:$W,"&lt;2016",
'New LF Efficacy'!$AA:$AA,""),"")</f>
        <v/>
      </c>
      <c r="AS144" s="582">
        <f t="shared" si="14"/>
        <v>0.37153125</v>
      </c>
      <c r="AT144" s="583" t="str">
        <f>IFERROR(AVERAGEIFS(
'Schist Efficacy'!$O:$O, 
'Schist Efficacy'!$C:$C,$A144, 
'Schist Efficacy'!$D:$D, "Praziquantel",
'Schist Efficacy'!$J:$J,"&lt;2016",
'Schist Efficacy'!$U:$U,""),
"")</f>
        <v/>
      </c>
      <c r="AU144" s="572">
        <f t="shared" si="15"/>
        <v>0.9475</v>
      </c>
      <c r="AV144" s="131" t="str">
        <f>IFERROR(AVERAGEIFS(
'STH Efficacy'!$AX:$AX, 
'STH Efficacy'!$AL:$AL, $A144, 
'STH Efficacy'!$AM:$AM, "Albendazole",
'STH Efficacy'!$AS:$AS,"&lt;2016",
'STH Efficacy'!$BP:$BP,""),
"")</f>
        <v/>
      </c>
      <c r="AW144" s="132">
        <f t="shared" si="16"/>
        <v>0.3571666667</v>
      </c>
      <c r="AX144" s="131" t="str">
        <f>IFERROR(AVERAGEIFS(
'STH Efficacy'!$AX:$AX, 
'STH Efficacy'!$AL:$AL, $A144, 
'STH Efficacy'!$AM:$AM, "Mebendazole",
'STH Efficacy'!$AS:$AS,"&lt;2016",
'STH Efficacy'!$BP:$BP,""),
"")</f>
        <v/>
      </c>
      <c r="AY144" s="132">
        <f t="shared" si="17"/>
        <v>0.4155</v>
      </c>
      <c r="AZ144" s="131" t="str">
        <f>IFERROR(AVERAGEIFS(
'STH Efficacy'!$AX:$AX, 
'STH Efficacy'!$AL:$AL, $A144, 
'STH Efficacy'!$AM:$AM, "Albendazole &amp; Ivermectin",
'STH Efficacy'!$AS:$AS,"&lt;2016",
'STH Efficacy'!$BP:$BP,""),
"")</f>
        <v/>
      </c>
      <c r="BA144" s="303">
        <f t="shared" si="18"/>
        <v>0.651</v>
      </c>
      <c r="BB144" s="584" t="str">
        <f>IFERROR(AVERAGEIFS(
'STH Efficacy'!$N:$N, 
'STH Efficacy'!$B:$B, $A144, 
'STH Efficacy'!$C:$C, "Albendazole",
'STH Efficacy'!$I:$I,"&lt;2016",
'STH Efficacy'!$AH:$AH,""),
"")</f>
        <v/>
      </c>
      <c r="BC144" s="579">
        <f t="shared" si="19"/>
        <v>0.5769166667</v>
      </c>
      <c r="BD144" s="584" t="str">
        <f>IFERROR(AVERAGEIFS(
'STH Efficacy'!$N:$N, 
'STH Efficacy'!$B:$B, $A144, 
'STH Efficacy'!$C:$C, "Mebendazole",
'STH Efficacy'!$I:$I,"&lt;2016",
'STH Efficacy'!$AH:$AH,""),
"")</f>
        <v/>
      </c>
      <c r="BE144" s="579">
        <f t="shared" si="20"/>
        <v>0.3145</v>
      </c>
      <c r="BF144" s="585" t="str">
        <f>IFERROR(AVERAGEIFS(
'STH Efficacy'!$CD:$CD, 
'STH Efficacy'!$BS:$BS, $A144, 
'STH Efficacy'!$BT:$BT, "Albendazole",
'STH Efficacy'!$BZ:$BZ,"&lt;2016",
'STH Efficacy'!$CU:$CU,""),
"")</f>
        <v/>
      </c>
      <c r="BG144" s="580">
        <f t="shared" si="21"/>
        <v>0.96925</v>
      </c>
      <c r="BH144" s="585" t="str">
        <f>IFERROR(AVERAGEIFS(
'STH Efficacy'!$CD:$CD, 
'STH Efficacy'!$BS:$BS, $A144, 
'STH Efficacy'!$BT:$BT, "Mebendazole",
'STH Efficacy'!$BZ:$BZ,"&lt;2016",
'STH Efficacy'!$CU:$CU,""),
"")</f>
        <v/>
      </c>
      <c r="BI144" s="580">
        <f t="shared" si="22"/>
        <v>0.9305</v>
      </c>
      <c r="BJ144" s="585" t="str">
        <f>IFERROR(AVERAGEIFS(
'STH Efficacy'!$CD:$CD, 
'STH Efficacy'!$BS:$BS, $A144, 
'STH Efficacy'!$BT:$BT, "Albendazole &amp; Ivermectin",
'STH Efficacy'!$BZ:$BZ,"&lt;2016",
'STH Efficacy'!$CU:$CU,""),
"")</f>
        <v/>
      </c>
      <c r="BK144" s="580">
        <f t="shared" si="23"/>
        <v>0.848</v>
      </c>
      <c r="BL144" s="575" t="str">
        <f>IFERROR(
  AVERAGEIFS(
    'NEW Onchocerciasis Efficacy'!$AO:$AO,
    'NEW Onchocerciasis Efficacy'!$C:$C,$A144,
    'NEW Onchocerciasis Efficacy'!$D:$D,"Ivermectin",
    'NEW Onchocerciasis Efficacy'!$AR:$AR,"&lt;2016",
    'NEW Onchocerciasis Efficacy'!$BG:$BG,"")
,"")</f>
        <v/>
      </c>
      <c r="BM144" s="586">
        <f t="shared" si="24"/>
        <v>0.7808368939</v>
      </c>
      <c r="BN144" s="587">
        <v>0.0</v>
      </c>
      <c r="BO144" s="588">
        <v>0.0</v>
      </c>
      <c r="BP144" s="589">
        <v>0.0</v>
      </c>
      <c r="BQ144" s="590">
        <f t="shared" si="25"/>
        <v>0</v>
      </c>
      <c r="BR144" s="560" t="str">
        <f t="shared" si="26"/>
        <v>0000</v>
      </c>
      <c r="BS144" s="560" t="str">
        <f t="shared" si="27"/>
        <v>no action required</v>
      </c>
      <c r="BT144" s="361" t="str">
        <f t="shared" si="44"/>
        <v/>
      </c>
      <c r="BU144" s="591" t="str">
        <f t="shared" si="29"/>
        <v/>
      </c>
      <c r="BV144" s="560" t="str">
        <f t="shared" si="30"/>
        <v>none</v>
      </c>
      <c r="BW144" s="150" t="str">
        <f t="shared" si="31"/>
        <v/>
      </c>
      <c r="BX144" s="150" t="str">
        <f t="shared" si="32"/>
        <v/>
      </c>
      <c r="BY144" s="151" t="str">
        <f t="shared" si="33"/>
        <v/>
      </c>
      <c r="BZ144" s="152" t="str">
        <f t="shared" si="34"/>
        <v/>
      </c>
      <c r="CA144" s="152" t="str">
        <f t="shared" si="35"/>
        <v/>
      </c>
      <c r="CB144" s="152" t="str">
        <f t="shared" si="36"/>
        <v/>
      </c>
      <c r="CC144" s="153" t="str">
        <f t="shared" si="37"/>
        <v/>
      </c>
      <c r="CD144" s="153" t="str">
        <f t="shared" si="38"/>
        <v/>
      </c>
      <c r="CE144" s="154" t="str">
        <f t="shared" si="39"/>
        <v/>
      </c>
      <c r="CF144" s="154" t="str">
        <f t="shared" si="40"/>
        <v/>
      </c>
      <c r="CG144" s="154" t="str">
        <f t="shared" si="41"/>
        <v/>
      </c>
      <c r="CH144" s="308" t="str">
        <f t="shared" si="42"/>
        <v/>
      </c>
    </row>
    <row r="145">
      <c r="A145" s="599" t="s">
        <v>234</v>
      </c>
      <c r="B145" s="560" t="s">
        <v>94</v>
      </c>
      <c r="C145" s="561">
        <v>54816.0</v>
      </c>
      <c r="D145" s="562">
        <v>0.0</v>
      </c>
      <c r="E145" s="563">
        <v>0.0</v>
      </c>
      <c r="F145" s="564">
        <v>0.060752992</v>
      </c>
      <c r="G145" s="564">
        <v>0.871378469</v>
      </c>
      <c r="H145" s="564">
        <v>4.269277841</v>
      </c>
      <c r="I145" s="565">
        <v>0.045688346</v>
      </c>
      <c r="J145" s="566">
        <v>0.265044129410139</v>
      </c>
      <c r="K145" s="566">
        <v>2.26335545604441</v>
      </c>
      <c r="L145" s="567">
        <v>0.023938971</v>
      </c>
      <c r="M145" s="568">
        <v>0.0731051648426862</v>
      </c>
      <c r="N145" s="568">
        <v>0.323991414621932</v>
      </c>
      <c r="O145" s="569">
        <v>0.0</v>
      </c>
      <c r="P145" s="570"/>
      <c r="Q145" s="150"/>
      <c r="R145" s="571"/>
      <c r="S145" s="116">
        <f t="shared" si="6"/>
        <v>0.5322777778</v>
      </c>
      <c r="T145" s="151"/>
      <c r="U145" s="572">
        <f t="shared" si="7"/>
        <v>0.7834666667</v>
      </c>
      <c r="V145" s="598"/>
      <c r="W145" s="574">
        <f t="shared" si="8"/>
        <v>0.3593777778</v>
      </c>
      <c r="X145" s="598"/>
      <c r="Y145" s="574">
        <f t="shared" si="9"/>
        <v>0.5347375</v>
      </c>
      <c r="Z145" s="308"/>
      <c r="AA145" s="308"/>
      <c r="AB145" s="575" t="str">
        <f t="shared" si="10"/>
        <v/>
      </c>
      <c r="AC145" s="576">
        <f t="shared" si="11"/>
        <v>0.7192241206</v>
      </c>
      <c r="AD145" s="577">
        <v>0.0</v>
      </c>
      <c r="AE145" s="572">
        <v>0.0</v>
      </c>
      <c r="AF145" s="578">
        <v>0.0</v>
      </c>
      <c r="AG145" s="132">
        <v>0.0236561253</v>
      </c>
      <c r="AH145" s="132">
        <v>0.075568034</v>
      </c>
      <c r="AI145" s="579">
        <v>0.01132570496</v>
      </c>
      <c r="AJ145" s="579">
        <v>0.01374193396</v>
      </c>
      <c r="AK145" s="580">
        <v>0.01546898853</v>
      </c>
      <c r="AL145" s="580">
        <v>0.01772641306</v>
      </c>
      <c r="AM145" s="581">
        <v>0.0</v>
      </c>
      <c r="AN145" s="571" t="str">
        <f>IFERROR(
  AVERAGEIFS(
    'New LF Efficacy'!$J:$J,
    'New LF Efficacy'!$D:$D, $A145,
    'New LF Efficacy'!$F:$F,"DEC", 
    'New LF Efficacy'!$W:$W,"&lt;2016",
    'New LF Efficacy'!$AA:$AA,""),
  ""
)</f>
        <v/>
      </c>
      <c r="AO145" s="582">
        <f t="shared" si="12"/>
        <v>0.38</v>
      </c>
      <c r="AP145" s="571" t="str">
        <f>IFERROR(
AVERAGEIFS(
'New LF Efficacy'!$J:$J,
'New LF Efficacy'!$D:$D,$A145,
'New LF Efficacy'!$F:$F,"Albendazole &amp; DEC",
'New LF Efficacy'!$W:$W,"&lt;2016",
'New LF Efficacy'!$AA:$AA,""),
"")</f>
        <v/>
      </c>
      <c r="AQ145" s="582">
        <f t="shared" si="13"/>
        <v>0.662</v>
      </c>
      <c r="AR145" s="571" t="str">
        <f>IFERROR(
AVERAGEIFS(
'New LF Efficacy'!$J:$J,
'New LF Efficacy'!$D:$D,$A145,
'New LF Efficacy'!$F:$F,"Albendazole &amp; Ivermectin", 
'New LF Efficacy'!$W:$W,"&lt;2016",
'New LF Efficacy'!$AA:$AA,""),"")</f>
        <v/>
      </c>
      <c r="AS145" s="582">
        <f t="shared" si="14"/>
        <v>0.37153125</v>
      </c>
      <c r="AT145" s="583" t="str">
        <f>IFERROR(AVERAGEIFS(
'Schist Efficacy'!$O:$O, 
'Schist Efficacy'!$C:$C,$A145, 
'Schist Efficacy'!$D:$D, "Praziquantel",
'Schist Efficacy'!$J:$J,"&lt;2016",
'Schist Efficacy'!$U:$U,""),
"")</f>
        <v/>
      </c>
      <c r="AU145" s="572">
        <f t="shared" si="15"/>
        <v>0.9475</v>
      </c>
      <c r="AV145" s="131" t="str">
        <f>IFERROR(AVERAGEIFS(
'STH Efficacy'!$AX:$AX, 
'STH Efficacy'!$AL:$AL, $A145, 
'STH Efficacy'!$AM:$AM, "Albendazole",
'STH Efficacy'!$AS:$AS,"&lt;2016",
'STH Efficacy'!$BP:$BP,""),
"")</f>
        <v/>
      </c>
      <c r="AW145" s="132">
        <f t="shared" si="16"/>
        <v>0.3571666667</v>
      </c>
      <c r="AX145" s="131" t="str">
        <f>IFERROR(AVERAGEIFS(
'STH Efficacy'!$AX:$AX, 
'STH Efficacy'!$AL:$AL, $A145, 
'STH Efficacy'!$AM:$AM, "Mebendazole",
'STH Efficacy'!$AS:$AS,"&lt;2016",
'STH Efficacy'!$BP:$BP,""),
"")</f>
        <v/>
      </c>
      <c r="AY145" s="132">
        <f t="shared" si="17"/>
        <v>0.4155</v>
      </c>
      <c r="AZ145" s="131" t="str">
        <f>IFERROR(AVERAGEIFS(
'STH Efficacy'!$AX:$AX, 
'STH Efficacy'!$AL:$AL, $A145, 
'STH Efficacy'!$AM:$AM, "Albendazole &amp; Ivermectin",
'STH Efficacy'!$AS:$AS,"&lt;2016",
'STH Efficacy'!$BP:$BP,""),
"")</f>
        <v/>
      </c>
      <c r="BA145" s="303">
        <f t="shared" si="18"/>
        <v>0.651</v>
      </c>
      <c r="BB145" s="584" t="str">
        <f>IFERROR(AVERAGEIFS(
'STH Efficacy'!$N:$N, 
'STH Efficacy'!$B:$B, $A145, 
'STH Efficacy'!$C:$C, "Albendazole",
'STH Efficacy'!$I:$I,"&lt;2016",
'STH Efficacy'!$AH:$AH,""),
"")</f>
        <v/>
      </c>
      <c r="BC145" s="579">
        <f t="shared" si="19"/>
        <v>0.5769166667</v>
      </c>
      <c r="BD145" s="584" t="str">
        <f>IFERROR(AVERAGEIFS(
'STH Efficacy'!$N:$N, 
'STH Efficacy'!$B:$B, $A145, 
'STH Efficacy'!$C:$C, "Mebendazole",
'STH Efficacy'!$I:$I,"&lt;2016",
'STH Efficacy'!$AH:$AH,""),
"")</f>
        <v/>
      </c>
      <c r="BE145" s="579">
        <f t="shared" si="20"/>
        <v>0.3145</v>
      </c>
      <c r="BF145" s="585" t="str">
        <f>IFERROR(AVERAGEIFS(
'STH Efficacy'!$CD:$CD, 
'STH Efficacy'!$BS:$BS, $A145, 
'STH Efficacy'!$BT:$BT, "Albendazole",
'STH Efficacy'!$BZ:$BZ,"&lt;2016",
'STH Efficacy'!$CU:$CU,""),
"")</f>
        <v/>
      </c>
      <c r="BG145" s="580">
        <f t="shared" si="21"/>
        <v>0.96925</v>
      </c>
      <c r="BH145" s="585" t="str">
        <f>IFERROR(AVERAGEIFS(
'STH Efficacy'!$CD:$CD, 
'STH Efficacy'!$BS:$BS, $A145, 
'STH Efficacy'!$BT:$BT, "Mebendazole",
'STH Efficacy'!$BZ:$BZ,"&lt;2016",
'STH Efficacy'!$CU:$CU,""),
"")</f>
        <v/>
      </c>
      <c r="BI145" s="580">
        <f t="shared" si="22"/>
        <v>0.9305</v>
      </c>
      <c r="BJ145" s="585" t="str">
        <f>IFERROR(AVERAGEIFS(
'STH Efficacy'!$CD:$CD, 
'STH Efficacy'!$BS:$BS, $A145, 
'STH Efficacy'!$BT:$BT, "Albendazole &amp; Ivermectin",
'STH Efficacy'!$BZ:$BZ,"&lt;2016",
'STH Efficacy'!$CU:$CU,""),
"")</f>
        <v/>
      </c>
      <c r="BK145" s="580">
        <f t="shared" si="23"/>
        <v>0.848</v>
      </c>
      <c r="BL145" s="575" t="str">
        <f>IFERROR(
  AVERAGEIFS(
    'NEW Onchocerciasis Efficacy'!$AO:$AO,
    'NEW Onchocerciasis Efficacy'!$C:$C,$A145,
    'NEW Onchocerciasis Efficacy'!$D:$D,"Ivermectin",
    'NEW Onchocerciasis Efficacy'!$AR:$AR,"&lt;2016",
    'NEW Onchocerciasis Efficacy'!$BG:$BG,"")
,"")</f>
        <v/>
      </c>
      <c r="BM145" s="586">
        <f t="shared" si="24"/>
        <v>0.7808368939</v>
      </c>
      <c r="BN145" s="587">
        <v>0.0</v>
      </c>
      <c r="BO145" s="588">
        <v>0.0</v>
      </c>
      <c r="BP145" s="589">
        <v>0.0</v>
      </c>
      <c r="BQ145" s="590">
        <f t="shared" si="25"/>
        <v>0</v>
      </c>
      <c r="BR145" s="560" t="str">
        <f t="shared" si="26"/>
        <v>0000</v>
      </c>
      <c r="BS145" s="560" t="str">
        <f t="shared" si="27"/>
        <v>no action required</v>
      </c>
      <c r="BT145" s="361" t="str">
        <f t="shared" si="44"/>
        <v/>
      </c>
      <c r="BU145" s="591" t="str">
        <f t="shared" si="29"/>
        <v/>
      </c>
      <c r="BV145" s="560" t="str">
        <f t="shared" si="30"/>
        <v>none</v>
      </c>
      <c r="BW145" s="150" t="str">
        <f t="shared" si="31"/>
        <v/>
      </c>
      <c r="BX145" s="150" t="str">
        <f t="shared" si="32"/>
        <v/>
      </c>
      <c r="BY145" s="151" t="str">
        <f t="shared" si="33"/>
        <v/>
      </c>
      <c r="BZ145" s="152" t="str">
        <f t="shared" si="34"/>
        <v/>
      </c>
      <c r="CA145" s="152" t="str">
        <f t="shared" si="35"/>
        <v/>
      </c>
      <c r="CB145" s="152" t="str">
        <f t="shared" si="36"/>
        <v/>
      </c>
      <c r="CC145" s="153" t="str">
        <f t="shared" si="37"/>
        <v/>
      </c>
      <c r="CD145" s="153" t="str">
        <f t="shared" si="38"/>
        <v/>
      </c>
      <c r="CE145" s="154" t="str">
        <f t="shared" si="39"/>
        <v/>
      </c>
      <c r="CF145" s="154" t="str">
        <f t="shared" si="40"/>
        <v/>
      </c>
      <c r="CG145" s="154" t="str">
        <f t="shared" si="41"/>
        <v/>
      </c>
      <c r="CH145" s="308" t="str">
        <f t="shared" si="42"/>
        <v/>
      </c>
    </row>
    <row r="146">
      <c r="A146" s="559" t="s">
        <v>235</v>
      </c>
      <c r="B146" s="560" t="s">
        <v>90</v>
      </c>
      <c r="C146" s="561">
        <v>5188607.0</v>
      </c>
      <c r="D146" s="562">
        <v>0.0</v>
      </c>
      <c r="E146" s="563">
        <v>0.0</v>
      </c>
      <c r="F146" s="564">
        <v>0.0</v>
      </c>
      <c r="G146" s="564">
        <v>0.0</v>
      </c>
      <c r="H146" s="564">
        <v>0.0</v>
      </c>
      <c r="I146" s="565">
        <v>0.0</v>
      </c>
      <c r="J146" s="566">
        <v>0.0</v>
      </c>
      <c r="K146" s="566">
        <v>0.0</v>
      </c>
      <c r="L146" s="567">
        <v>0.008820169</v>
      </c>
      <c r="M146" s="568">
        <v>0.00503488986181278</v>
      </c>
      <c r="N146" s="568">
        <v>0.040439943117489</v>
      </c>
      <c r="O146" s="569">
        <v>0.0</v>
      </c>
      <c r="P146" s="570"/>
      <c r="Q146" s="150"/>
      <c r="R146" s="571"/>
      <c r="S146" s="116">
        <f t="shared" si="6"/>
        <v>0.6648642857</v>
      </c>
      <c r="T146" s="151"/>
      <c r="U146" s="572">
        <f t="shared" si="7"/>
        <v>0.53016</v>
      </c>
      <c r="V146" s="598"/>
      <c r="W146" s="574" t="b">
        <f t="shared" si="8"/>
        <v>0</v>
      </c>
      <c r="X146" s="598"/>
      <c r="Y146" s="574">
        <f t="shared" si="9"/>
        <v>0.631675</v>
      </c>
      <c r="Z146" s="308"/>
      <c r="AA146" s="308"/>
      <c r="AB146" s="575" t="str">
        <f t="shared" si="10"/>
        <v/>
      </c>
      <c r="AC146" s="576">
        <f t="shared" si="11"/>
        <v>0.7192241206</v>
      </c>
      <c r="AD146" s="577">
        <v>0.0</v>
      </c>
      <c r="AE146" s="572">
        <v>0.0</v>
      </c>
      <c r="AF146" s="578">
        <v>0.0</v>
      </c>
      <c r="AG146" s="133">
        <v>0.0</v>
      </c>
      <c r="AH146" s="133">
        <v>0.0</v>
      </c>
      <c r="AI146" s="623">
        <v>0.0</v>
      </c>
      <c r="AJ146" s="623">
        <v>0.0</v>
      </c>
      <c r="AK146" s="624">
        <v>0.0</v>
      </c>
      <c r="AL146" s="624">
        <v>0.0</v>
      </c>
      <c r="AM146" s="581">
        <v>0.0</v>
      </c>
      <c r="AN146" s="571" t="str">
        <f>IFERROR(
  AVERAGEIFS(
    'New LF Efficacy'!$J:$J,
    'New LF Efficacy'!$D:$D, $A146,
    'New LF Efficacy'!$F:$F,"DEC", 
    'New LF Efficacy'!$W:$W,"&lt;2016",
    'New LF Efficacy'!$AA:$AA,""),
  ""
)</f>
        <v/>
      </c>
      <c r="AO146" s="582">
        <f t="shared" si="12"/>
        <v>0.3573520833</v>
      </c>
      <c r="AP146" s="571" t="str">
        <f>IFERROR(
AVERAGEIFS(
'New LF Efficacy'!$J:$J,
'New LF Efficacy'!$D:$D,$A146,
'New LF Efficacy'!$F:$F,"Albendazole &amp; DEC",
'New LF Efficacy'!$W:$W,"&lt;2016",
'New LF Efficacy'!$AA:$AA,""),
"")</f>
        <v/>
      </c>
      <c r="AQ146" s="582">
        <f t="shared" si="13"/>
        <v>0.5143541667</v>
      </c>
      <c r="AR146" s="571" t="str">
        <f>IFERROR(
AVERAGEIFS(
'New LF Efficacy'!$J:$J,
'New LF Efficacy'!$D:$D,$A146,
'New LF Efficacy'!$F:$F,"Albendazole &amp; Ivermectin", 
'New LF Efficacy'!$W:$W,"&lt;2016",
'New LF Efficacy'!$AA:$AA,""),"")</f>
        <v/>
      </c>
      <c r="AS146" s="582">
        <f t="shared" si="14"/>
        <v>0.37153125</v>
      </c>
      <c r="AT146" s="583" t="str">
        <f>IFERROR(AVERAGEIFS(
'Schist Efficacy'!$O:$O, 
'Schist Efficacy'!$C:$C,$A146, 
'Schist Efficacy'!$D:$D, "Praziquantel",
'Schist Efficacy'!$J:$J,"&lt;2016",
'Schist Efficacy'!$U:$U,""),
"")</f>
        <v/>
      </c>
      <c r="AU146" s="572">
        <f t="shared" si="15"/>
        <v>0.655</v>
      </c>
      <c r="AV146" s="131" t="str">
        <f>IFERROR(AVERAGEIFS(
'STH Efficacy'!$AX:$AX, 
'STH Efficacy'!$AL:$AL, $A146, 
'STH Efficacy'!$AM:$AM, "Albendazole",
'STH Efficacy'!$AS:$AS,"&lt;2016",
'STH Efficacy'!$BP:$BP,""),
"")</f>
        <v/>
      </c>
      <c r="AW146" s="132">
        <f t="shared" si="16"/>
        <v>0.4143846154</v>
      </c>
      <c r="AX146" s="131" t="str">
        <f>IFERROR(AVERAGEIFS(
'STH Efficacy'!$AX:$AX, 
'STH Efficacy'!$AL:$AL, $A146, 
'STH Efficacy'!$AM:$AM, "Mebendazole",
'STH Efficacy'!$AS:$AS,"&lt;2016",
'STH Efficacy'!$BP:$BP,""),
"")</f>
        <v/>
      </c>
      <c r="AY146" s="132">
        <f t="shared" si="17"/>
        <v>0.4691770833</v>
      </c>
      <c r="AZ146" s="131" t="str">
        <f>IFERROR(AVERAGEIFS(
'STH Efficacy'!$AX:$AX, 
'STH Efficacy'!$AL:$AL, $A146, 
'STH Efficacy'!$AM:$AM, "Albendazole &amp; Ivermectin",
'STH Efficacy'!$AS:$AS,"&lt;2016",
'STH Efficacy'!$BP:$BP,""),
"")</f>
        <v/>
      </c>
      <c r="BA146" s="303">
        <f t="shared" si="18"/>
        <v>0.597625</v>
      </c>
      <c r="BB146" s="584" t="str">
        <f>IFERROR(AVERAGEIFS(
'STH Efficacy'!$N:$N, 
'STH Efficacy'!$B:$B, $A146, 
'STH Efficacy'!$C:$C, "Albendazole",
'STH Efficacy'!$I:$I,"&lt;2016",
'STH Efficacy'!$AH:$AH,""),
"")</f>
        <v/>
      </c>
      <c r="BC146" s="579">
        <f t="shared" si="19"/>
        <v>0.7613712121</v>
      </c>
      <c r="BD146" s="584" t="str">
        <f>IFERROR(AVERAGEIFS(
'STH Efficacy'!$N:$N, 
'STH Efficacy'!$B:$B, $A146, 
'STH Efficacy'!$C:$C, "Mebendazole",
'STH Efficacy'!$I:$I,"&lt;2016",
'STH Efficacy'!$AH:$AH,""),
"")</f>
        <v/>
      </c>
      <c r="BE146" s="579">
        <f t="shared" si="20"/>
        <v>0.4362466667</v>
      </c>
      <c r="BF146" s="585" t="str">
        <f>IFERROR(AVERAGEIFS(
'STH Efficacy'!$CD:$CD, 
'STH Efficacy'!$BS:$BS, $A146, 
'STH Efficacy'!$BT:$BT, "Albendazole",
'STH Efficacy'!$BZ:$BZ,"&lt;2016",
'STH Efficacy'!$CU:$CU,""),
"")</f>
        <v/>
      </c>
      <c r="BG146" s="580">
        <f t="shared" si="21"/>
        <v>0.9216027778</v>
      </c>
      <c r="BH146" s="585" t="str">
        <f>IFERROR(AVERAGEIFS(
'STH Efficacy'!$CD:$CD, 
'STH Efficacy'!$BS:$BS, $A146, 
'STH Efficacy'!$BT:$BT, "Mebendazole",
'STH Efficacy'!$BZ:$BZ,"&lt;2016",
'STH Efficacy'!$CU:$CU,""),
"")</f>
        <v/>
      </c>
      <c r="BI146" s="580">
        <f t="shared" si="22"/>
        <v>0.8866041667</v>
      </c>
      <c r="BJ146" s="585" t="str">
        <f>IFERROR(AVERAGEIFS(
'STH Efficacy'!$CD:$CD, 
'STH Efficacy'!$BS:$BS, $A146, 
'STH Efficacy'!$BT:$BT, "Albendazole &amp; Ivermectin",
'STH Efficacy'!$BZ:$BZ,"&lt;2016",
'STH Efficacy'!$CU:$CU,""),
"")</f>
        <v/>
      </c>
      <c r="BK146" s="580">
        <f t="shared" si="23"/>
        <v>0.848</v>
      </c>
      <c r="BL146" s="575" t="str">
        <f>IFERROR(
  AVERAGEIFS(
    'NEW Onchocerciasis Efficacy'!$AO:$AO,
    'NEW Onchocerciasis Efficacy'!$C:$C,$A146,
    'NEW Onchocerciasis Efficacy'!$D:$D,"Ivermectin",
    'NEW Onchocerciasis Efficacy'!$AR:$AR,"&lt;2016",
    'NEW Onchocerciasis Efficacy'!$BG:$BG,"")
,"")</f>
        <v/>
      </c>
      <c r="BM146" s="586">
        <f t="shared" si="24"/>
        <v>0.7808368939</v>
      </c>
      <c r="BN146" s="587">
        <v>0.0</v>
      </c>
      <c r="BO146" s="588">
        <v>0.0</v>
      </c>
      <c r="BP146" s="589">
        <v>0.0</v>
      </c>
      <c r="BQ146" s="590">
        <f t="shared" si="25"/>
        <v>0</v>
      </c>
      <c r="BR146" s="560" t="str">
        <f t="shared" si="26"/>
        <v>0000</v>
      </c>
      <c r="BS146" s="560" t="str">
        <f t="shared" si="27"/>
        <v>no action required</v>
      </c>
      <c r="BT146" s="361" t="str">
        <f t="shared" si="44"/>
        <v/>
      </c>
      <c r="BU146" s="591" t="str">
        <f t="shared" si="29"/>
        <v/>
      </c>
      <c r="BV146" s="560" t="str">
        <f t="shared" si="30"/>
        <v>none</v>
      </c>
      <c r="BW146" s="150" t="str">
        <f t="shared" si="31"/>
        <v/>
      </c>
      <c r="BX146" s="150" t="str">
        <f t="shared" si="32"/>
        <v/>
      </c>
      <c r="BY146" s="151" t="str">
        <f t="shared" si="33"/>
        <v/>
      </c>
      <c r="BZ146" s="152" t="str">
        <f t="shared" si="34"/>
        <v/>
      </c>
      <c r="CA146" s="152" t="str">
        <f t="shared" si="35"/>
        <v/>
      </c>
      <c r="CB146" s="152" t="str">
        <f t="shared" si="36"/>
        <v/>
      </c>
      <c r="CC146" s="153" t="str">
        <f t="shared" si="37"/>
        <v/>
      </c>
      <c r="CD146" s="153" t="str">
        <f t="shared" si="38"/>
        <v/>
      </c>
      <c r="CE146" s="154" t="str">
        <f t="shared" si="39"/>
        <v/>
      </c>
      <c r="CF146" s="154" t="str">
        <f t="shared" si="40"/>
        <v/>
      </c>
      <c r="CG146" s="154" t="str">
        <f t="shared" si="41"/>
        <v/>
      </c>
      <c r="CH146" s="308" t="str">
        <f t="shared" si="42"/>
        <v/>
      </c>
    </row>
    <row r="147">
      <c r="A147" s="559" t="s">
        <v>236</v>
      </c>
      <c r="B147" s="560" t="s">
        <v>88</v>
      </c>
      <c r="C147" s="561">
        <v>4199810.0</v>
      </c>
      <c r="D147" s="562">
        <v>0.0</v>
      </c>
      <c r="E147" s="563">
        <v>171.321734851537</v>
      </c>
      <c r="F147" s="564">
        <v>7.87E-6</v>
      </c>
      <c r="G147" s="564">
        <v>6.59E-5</v>
      </c>
      <c r="H147" s="564">
        <v>2.3306E-4</v>
      </c>
      <c r="I147" s="565">
        <v>2.604394005</v>
      </c>
      <c r="J147" s="566">
        <v>3.02887428205419</v>
      </c>
      <c r="K147" s="566">
        <v>26.0406989139544</v>
      </c>
      <c r="L147" s="567">
        <v>2.340538625</v>
      </c>
      <c r="M147" s="568">
        <v>0.954656091538045</v>
      </c>
      <c r="N147" s="568">
        <v>4.11129949902073</v>
      </c>
      <c r="O147" s="569">
        <v>0.0</v>
      </c>
      <c r="P147" s="570"/>
      <c r="Q147" s="150"/>
      <c r="R147" s="571"/>
      <c r="S147" s="116">
        <f t="shared" si="6"/>
        <v>0.1495</v>
      </c>
      <c r="T147" s="151"/>
      <c r="U147" s="572">
        <f t="shared" si="7"/>
        <v>0.65895</v>
      </c>
      <c r="V147" s="598"/>
      <c r="W147" s="574">
        <f t="shared" si="8"/>
        <v>0.97535</v>
      </c>
      <c r="X147" s="598"/>
      <c r="Y147" s="574">
        <f t="shared" si="9"/>
        <v>0.41448</v>
      </c>
      <c r="Z147" s="308"/>
      <c r="AA147" s="308"/>
      <c r="AB147" s="575" t="str">
        <f t="shared" si="10"/>
        <v/>
      </c>
      <c r="AC147" s="576">
        <f t="shared" si="11"/>
        <v>0.4586145155</v>
      </c>
      <c r="AD147" s="577">
        <v>0.0</v>
      </c>
      <c r="AE147" s="572">
        <v>0.005098775367</v>
      </c>
      <c r="AF147" s="578">
        <v>2.623483542E-4</v>
      </c>
      <c r="AG147" s="132">
        <v>0.008516831529</v>
      </c>
      <c r="AH147" s="132">
        <v>0.028240947</v>
      </c>
      <c r="AI147" s="579">
        <v>0.003592552425</v>
      </c>
      <c r="AJ147" s="579">
        <v>0.004593520071</v>
      </c>
      <c r="AK147" s="580">
        <v>0.01516721654</v>
      </c>
      <c r="AL147" s="580">
        <v>0.01851726934</v>
      </c>
      <c r="AM147" s="581">
        <v>0.0</v>
      </c>
      <c r="AN147" s="571" t="str">
        <f>IFERROR(
  AVERAGEIFS(
    'New LF Efficacy'!$J:$J,
    'New LF Efficacy'!$D:$D, $A147,
    'New LF Efficacy'!$F:$F,"DEC", 
    'New LF Efficacy'!$W:$W,"&lt;2016",
    'New LF Efficacy'!$AA:$AA,""),
  ""
)</f>
        <v/>
      </c>
      <c r="AO147" s="582">
        <f t="shared" si="12"/>
        <v>0.3573520833</v>
      </c>
      <c r="AP147" s="571" t="str">
        <f>IFERROR(
AVERAGEIFS(
'New LF Efficacy'!$J:$J,
'New LF Efficacy'!$D:$D,$A147,
'New LF Efficacy'!$F:$F,"Albendazole &amp; DEC",
'New LF Efficacy'!$W:$W,"&lt;2016",
'New LF Efficacy'!$AA:$AA,""),
"")</f>
        <v/>
      </c>
      <c r="AQ147" s="582">
        <f t="shared" si="13"/>
        <v>0.7935</v>
      </c>
      <c r="AR147" s="571" t="str">
        <f>IFERROR(
AVERAGEIFS(
'New LF Efficacy'!$J:$J,
'New LF Efficacy'!$D:$D,$A147,
'New LF Efficacy'!$F:$F,"Albendazole &amp; Ivermectin", 
'New LF Efficacy'!$W:$W,"&lt;2016",
'New LF Efficacy'!$AA:$AA,""),"")</f>
        <v/>
      </c>
      <c r="AS147" s="582">
        <f t="shared" si="14"/>
        <v>0.37153125</v>
      </c>
      <c r="AT147" s="583" t="str">
        <f>IFERROR(AVERAGEIFS(
'Schist Efficacy'!$O:$O, 
'Schist Efficacy'!$C:$C,$A147, 
'Schist Efficacy'!$D:$D, "Praziquantel",
'Schist Efficacy'!$J:$J,"&lt;2016",
'Schist Efficacy'!$U:$U,""),
"")</f>
        <v/>
      </c>
      <c r="AU147" s="572">
        <f t="shared" si="15"/>
        <v>0.7763141026</v>
      </c>
      <c r="AV147" s="131" t="str">
        <f>IFERROR(AVERAGEIFS(
'STH Efficacy'!$AX:$AX, 
'STH Efficacy'!$AL:$AL, $A147, 
'STH Efficacy'!$AM:$AM, "Albendazole",
'STH Efficacy'!$AS:$AS,"&lt;2016",
'STH Efficacy'!$BP:$BP,""),
"")</f>
        <v/>
      </c>
      <c r="AW147" s="132">
        <f t="shared" si="16"/>
        <v>0.4143846154</v>
      </c>
      <c r="AX147" s="131" t="str">
        <f>IFERROR(AVERAGEIFS(
'STH Efficacy'!$AX:$AX, 
'STH Efficacy'!$AL:$AL, $A147, 
'STH Efficacy'!$AM:$AM, "Mebendazole",
'STH Efficacy'!$AS:$AS,"&lt;2016",
'STH Efficacy'!$BP:$BP,""),
"")</f>
        <v/>
      </c>
      <c r="AY147" s="132">
        <f t="shared" si="17"/>
        <v>0.4691770833</v>
      </c>
      <c r="AZ147" s="131" t="str">
        <f>IFERROR(AVERAGEIFS(
'STH Efficacy'!$AX:$AX, 
'STH Efficacy'!$AL:$AL, $A147, 
'STH Efficacy'!$AM:$AM, "Albendazole &amp; Ivermectin",
'STH Efficacy'!$AS:$AS,"&lt;2016",
'STH Efficacy'!$BP:$BP,""),
"")</f>
        <v/>
      </c>
      <c r="BA147" s="303">
        <f t="shared" si="18"/>
        <v>0.597625</v>
      </c>
      <c r="BB147" s="584" t="str">
        <f>IFERROR(AVERAGEIFS(
'STH Efficacy'!$N:$N, 
'STH Efficacy'!$B:$B, $A147, 
'STH Efficacy'!$C:$C, "Albendazole",
'STH Efficacy'!$I:$I,"&lt;2016",
'STH Efficacy'!$AH:$AH,""),
"")</f>
        <v/>
      </c>
      <c r="BC147" s="579">
        <f t="shared" si="19"/>
        <v>0.7613712121</v>
      </c>
      <c r="BD147" s="584" t="str">
        <f>IFERROR(AVERAGEIFS(
'STH Efficacy'!$N:$N, 
'STH Efficacy'!$B:$B, $A147, 
'STH Efficacy'!$C:$C, "Mebendazole",
'STH Efficacy'!$I:$I,"&lt;2016",
'STH Efficacy'!$AH:$AH,""),
"")</f>
        <v/>
      </c>
      <c r="BE147" s="579">
        <f t="shared" si="20"/>
        <v>0.4362466667</v>
      </c>
      <c r="BF147" s="585" t="str">
        <f>IFERROR(AVERAGEIFS(
'STH Efficacy'!$CD:$CD, 
'STH Efficacy'!$BS:$BS, $A147, 
'STH Efficacy'!$BT:$BT, "Albendazole",
'STH Efficacy'!$BZ:$BZ,"&lt;2016",
'STH Efficacy'!$CU:$CU,""),
"")</f>
        <v/>
      </c>
      <c r="BG147" s="580">
        <f t="shared" si="21"/>
        <v>0.955</v>
      </c>
      <c r="BH147" s="585" t="str">
        <f>IFERROR(AVERAGEIFS(
'STH Efficacy'!$CD:$CD, 
'STH Efficacy'!$BS:$BS, $A147, 
'STH Efficacy'!$BT:$BT, "Mebendazole",
'STH Efficacy'!$BZ:$BZ,"&lt;2016",
'STH Efficacy'!$CU:$CU,""),
"")</f>
        <v/>
      </c>
      <c r="BI147" s="580">
        <f t="shared" si="22"/>
        <v>1</v>
      </c>
      <c r="BJ147" s="585" t="str">
        <f>IFERROR(AVERAGEIFS(
'STH Efficacy'!$CD:$CD, 
'STH Efficacy'!$BS:$BS, $A147, 
'STH Efficacy'!$BT:$BT, "Albendazole &amp; Ivermectin",
'STH Efficacy'!$BZ:$BZ,"&lt;2016",
'STH Efficacy'!$CU:$CU,""),
"")</f>
        <v/>
      </c>
      <c r="BK147" s="580">
        <f t="shared" si="23"/>
        <v>0.848</v>
      </c>
      <c r="BL147" s="575" t="str">
        <f>IFERROR(
  AVERAGEIFS(
    'NEW Onchocerciasis Efficacy'!$AO:$AO,
    'NEW Onchocerciasis Efficacy'!$C:$C,$A147,
    'NEW Onchocerciasis Efficacy'!$D:$D,"Ivermectin",
    'NEW Onchocerciasis Efficacy'!$AR:$AR,"&lt;2016",
    'NEW Onchocerciasis Efficacy'!$BG:$BG,"")
,"")</f>
        <v/>
      </c>
      <c r="BM147" s="586">
        <f t="shared" si="24"/>
        <v>0.7808368939</v>
      </c>
      <c r="BN147" s="587">
        <v>0.0</v>
      </c>
      <c r="BO147" s="588">
        <v>0.0</v>
      </c>
      <c r="BP147" s="589">
        <v>0.0</v>
      </c>
      <c r="BQ147" s="590">
        <f t="shared" si="25"/>
        <v>0</v>
      </c>
      <c r="BR147" s="560" t="str">
        <f t="shared" si="26"/>
        <v>0000</v>
      </c>
      <c r="BS147" s="560" t="str">
        <f t="shared" si="27"/>
        <v>no action required</v>
      </c>
      <c r="BT147" s="361" t="str">
        <f t="shared" si="44"/>
        <v/>
      </c>
      <c r="BU147" s="591" t="str">
        <f t="shared" si="29"/>
        <v/>
      </c>
      <c r="BV147" s="560" t="str">
        <f t="shared" si="30"/>
        <v>none</v>
      </c>
      <c r="BW147" s="150" t="str">
        <f t="shared" si="31"/>
        <v/>
      </c>
      <c r="BX147" s="150" t="str">
        <f t="shared" si="32"/>
        <v/>
      </c>
      <c r="BY147" s="151" t="str">
        <f t="shared" si="33"/>
        <v/>
      </c>
      <c r="BZ147" s="152" t="str">
        <f t="shared" si="34"/>
        <v/>
      </c>
      <c r="CA147" s="152" t="str">
        <f t="shared" si="35"/>
        <v/>
      </c>
      <c r="CB147" s="152" t="str">
        <f t="shared" si="36"/>
        <v/>
      </c>
      <c r="CC147" s="153" t="str">
        <f t="shared" si="37"/>
        <v/>
      </c>
      <c r="CD147" s="153" t="str">
        <f t="shared" si="38"/>
        <v/>
      </c>
      <c r="CE147" s="154" t="str">
        <f t="shared" si="39"/>
        <v/>
      </c>
      <c r="CF147" s="154" t="str">
        <f t="shared" si="40"/>
        <v/>
      </c>
      <c r="CG147" s="154" t="str">
        <f t="shared" si="41"/>
        <v/>
      </c>
      <c r="CH147" s="308" t="str">
        <f t="shared" si="42"/>
        <v/>
      </c>
    </row>
    <row r="148">
      <c r="A148" s="559" t="s">
        <v>237</v>
      </c>
      <c r="B148" s="560" t="s">
        <v>88</v>
      </c>
      <c r="C148" s="561">
        <v>1.89380513E8</v>
      </c>
      <c r="D148" s="562">
        <v>0.0</v>
      </c>
      <c r="E148" s="563">
        <v>0.0</v>
      </c>
      <c r="F148" s="564">
        <v>21.36318731</v>
      </c>
      <c r="G148" s="564">
        <v>142.3748195</v>
      </c>
      <c r="H148" s="564">
        <v>422.3049203</v>
      </c>
      <c r="I148" s="565">
        <v>920.6792317</v>
      </c>
      <c r="J148" s="566">
        <v>2703.53135540124</v>
      </c>
      <c r="K148" s="566">
        <v>11334.8175966245</v>
      </c>
      <c r="L148" s="567">
        <v>11431.99635</v>
      </c>
      <c r="M148" s="568">
        <v>32472.1666516511</v>
      </c>
      <c r="N148" s="568">
        <v>72806.1994553902</v>
      </c>
      <c r="O148" s="569">
        <v>0.0</v>
      </c>
      <c r="P148" s="570"/>
      <c r="Q148" s="150"/>
      <c r="R148" s="571"/>
      <c r="S148" s="116">
        <f t="shared" si="6"/>
        <v>0.1495</v>
      </c>
      <c r="T148" s="151"/>
      <c r="U148" s="572">
        <f t="shared" si="7"/>
        <v>0.65895</v>
      </c>
      <c r="V148" s="573">
        <v>0.9507</v>
      </c>
      <c r="W148" s="574">
        <f t="shared" si="8"/>
        <v>0.9507</v>
      </c>
      <c r="X148" s="598"/>
      <c r="Y148" s="574">
        <f t="shared" si="9"/>
        <v>0.41448</v>
      </c>
      <c r="Z148" s="308"/>
      <c r="AA148" s="308"/>
      <c r="AB148" s="575" t="str">
        <f t="shared" si="10"/>
        <v/>
      </c>
      <c r="AC148" s="576">
        <f t="shared" si="11"/>
        <v>0.4586145155</v>
      </c>
      <c r="AD148" s="577">
        <v>0.0</v>
      </c>
      <c r="AE148" s="572">
        <v>0.0</v>
      </c>
      <c r="AF148" s="578">
        <v>0.0</v>
      </c>
      <c r="AG148" s="132">
        <v>0.03473847659</v>
      </c>
      <c r="AH148" s="132">
        <v>0.117011659</v>
      </c>
      <c r="AI148" s="579">
        <v>0.0174121164</v>
      </c>
      <c r="AJ148" s="579">
        <v>0.02245057636</v>
      </c>
      <c r="AK148" s="580">
        <v>0.1585969075</v>
      </c>
      <c r="AL148" s="580">
        <v>0.1944323333</v>
      </c>
      <c r="AM148" s="581">
        <v>0.0</v>
      </c>
      <c r="AN148" s="571" t="str">
        <f>IFERROR(
  AVERAGEIFS(
    'New LF Efficacy'!$J:$J,
    'New LF Efficacy'!$D:$D, $A148,
    'New LF Efficacy'!$F:$F,"DEC", 
    'New LF Efficacy'!$W:$W,"&lt;2016",
    'New LF Efficacy'!$AA:$AA,""),
  ""
)</f>
        <v/>
      </c>
      <c r="AO148" s="582">
        <f t="shared" si="12"/>
        <v>0.3573520833</v>
      </c>
      <c r="AP148" s="571" t="str">
        <f>IFERROR(
AVERAGEIFS(
'New LF Efficacy'!$J:$J,
'New LF Efficacy'!$D:$D,$A148,
'New LF Efficacy'!$F:$F,"Albendazole &amp; DEC",
'New LF Efficacy'!$W:$W,"&lt;2016",
'New LF Efficacy'!$AA:$AA,""),
"")</f>
        <v/>
      </c>
      <c r="AQ148" s="582">
        <f t="shared" si="13"/>
        <v>0.7935</v>
      </c>
      <c r="AR148" s="571" t="str">
        <f>IFERROR(
AVERAGEIFS(
'New LF Efficacy'!$J:$J,
'New LF Efficacy'!$D:$D,$A148,
'New LF Efficacy'!$F:$F,"Albendazole &amp; Ivermectin", 
'New LF Efficacy'!$W:$W,"&lt;2016",
'New LF Efficacy'!$AA:$AA,""),"")</f>
        <v/>
      </c>
      <c r="AS148" s="582">
        <f t="shared" si="14"/>
        <v>0.37153125</v>
      </c>
      <c r="AT148" s="583" t="str">
        <f>IFERROR(AVERAGEIFS(
'Schist Efficacy'!$O:$O, 
'Schist Efficacy'!$C:$C,$A148, 
'Schist Efficacy'!$D:$D, "Praziquantel",
'Schist Efficacy'!$J:$J,"&lt;2016",
'Schist Efficacy'!$U:$U,""),
"")</f>
        <v/>
      </c>
      <c r="AU148" s="572">
        <f t="shared" si="15"/>
        <v>0.7763141026</v>
      </c>
      <c r="AV148" s="131" t="str">
        <f>IFERROR(AVERAGEIFS(
'STH Efficacy'!$AX:$AX, 
'STH Efficacy'!$AL:$AL, $A148, 
'STH Efficacy'!$AM:$AM, "Albendazole",
'STH Efficacy'!$AS:$AS,"&lt;2016",
'STH Efficacy'!$BP:$BP,""),
"")</f>
        <v/>
      </c>
      <c r="AW148" s="132">
        <f t="shared" si="16"/>
        <v>0.4143846154</v>
      </c>
      <c r="AX148" s="131" t="str">
        <f>IFERROR(AVERAGEIFS(
'STH Efficacy'!$AX:$AX, 
'STH Efficacy'!$AL:$AL, $A148, 
'STH Efficacy'!$AM:$AM, "Mebendazole",
'STH Efficacy'!$AS:$AS,"&lt;2016",
'STH Efficacy'!$BP:$BP,""),
"")</f>
        <v/>
      </c>
      <c r="AY148" s="132">
        <f t="shared" si="17"/>
        <v>0.4691770833</v>
      </c>
      <c r="AZ148" s="131" t="str">
        <f>IFERROR(AVERAGEIFS(
'STH Efficacy'!$AX:$AX, 
'STH Efficacy'!$AL:$AL, $A148, 
'STH Efficacy'!$AM:$AM, "Albendazole &amp; Ivermectin",
'STH Efficacy'!$AS:$AS,"&lt;2016",
'STH Efficacy'!$BP:$BP,""),
"")</f>
        <v/>
      </c>
      <c r="BA148" s="303">
        <f t="shared" si="18"/>
        <v>0.597625</v>
      </c>
      <c r="BB148" s="584" t="str">
        <f>IFERROR(AVERAGEIFS(
'STH Efficacy'!$N:$N, 
'STH Efficacy'!$B:$B, $A148, 
'STH Efficacy'!$C:$C, "Albendazole",
'STH Efficacy'!$I:$I,"&lt;2016",
'STH Efficacy'!$AH:$AH,""),
"")</f>
        <v/>
      </c>
      <c r="BC148" s="579">
        <f t="shared" si="19"/>
        <v>0.7613712121</v>
      </c>
      <c r="BD148" s="584" t="str">
        <f>IFERROR(AVERAGEIFS(
'STH Efficacy'!$N:$N, 
'STH Efficacy'!$B:$B, $A148, 
'STH Efficacy'!$C:$C, "Mebendazole",
'STH Efficacy'!$I:$I,"&lt;2016",
'STH Efficacy'!$AH:$AH,""),
"")</f>
        <v/>
      </c>
      <c r="BE148" s="579">
        <f t="shared" si="20"/>
        <v>0.4362466667</v>
      </c>
      <c r="BF148" s="585" t="str">
        <f>IFERROR(AVERAGEIFS(
'STH Efficacy'!$CD:$CD, 
'STH Efficacy'!$BS:$BS, $A148, 
'STH Efficacy'!$BT:$BT, "Albendazole",
'STH Efficacy'!$BZ:$BZ,"&lt;2016",
'STH Efficacy'!$CU:$CU,""),
"")</f>
        <v/>
      </c>
      <c r="BG148" s="580">
        <f t="shared" si="21"/>
        <v>0.955</v>
      </c>
      <c r="BH148" s="585">
        <f>IFERROR(AVERAGEIFS(
'STH Efficacy'!$CD:$CD, 
'STH Efficacy'!$BS:$BS, $A148, 
'STH Efficacy'!$BT:$BT, "Mebendazole",
'STH Efficacy'!$BZ:$BZ,"&lt;2016",
'STH Efficacy'!$CU:$CU,""),
"")</f>
        <v>1</v>
      </c>
      <c r="BI148" s="580">
        <f t="shared" si="22"/>
        <v>1</v>
      </c>
      <c r="BJ148" s="585" t="str">
        <f>IFERROR(AVERAGEIFS(
'STH Efficacy'!$CD:$CD, 
'STH Efficacy'!$BS:$BS, $A148, 
'STH Efficacy'!$BT:$BT, "Albendazole &amp; Ivermectin",
'STH Efficacy'!$BZ:$BZ,"&lt;2016",
'STH Efficacy'!$CU:$CU,""),
"")</f>
        <v/>
      </c>
      <c r="BK148" s="580">
        <f t="shared" si="23"/>
        <v>0.848</v>
      </c>
      <c r="BL148" s="575" t="str">
        <f>IFERROR(
  AVERAGEIFS(
    'NEW Onchocerciasis Efficacy'!$AO:$AO,
    'NEW Onchocerciasis Efficacy'!$C:$C,$A148,
    'NEW Onchocerciasis Efficacy'!$D:$D,"Ivermectin",
    'NEW Onchocerciasis Efficacy'!$AR:$AR,"&lt;2016",
    'NEW Onchocerciasis Efficacy'!$BG:$BG,"")
,"")</f>
        <v/>
      </c>
      <c r="BM148" s="586">
        <f t="shared" si="24"/>
        <v>0.7808368939</v>
      </c>
      <c r="BN148" s="587">
        <v>0.0</v>
      </c>
      <c r="BO148" s="588">
        <v>0.0</v>
      </c>
      <c r="BP148" s="589">
        <v>0.0</v>
      </c>
      <c r="BQ148" s="590">
        <f t="shared" si="25"/>
        <v>0</v>
      </c>
      <c r="BR148" s="560" t="str">
        <f t="shared" si="26"/>
        <v>0000</v>
      </c>
      <c r="BS148" s="560" t="str">
        <f t="shared" si="27"/>
        <v>no action required</v>
      </c>
      <c r="BT148" s="361" t="str">
        <f t="shared" si="44"/>
        <v/>
      </c>
      <c r="BU148" s="591" t="str">
        <f t="shared" si="29"/>
        <v/>
      </c>
      <c r="BV148" s="560" t="str">
        <f t="shared" si="30"/>
        <v>none</v>
      </c>
      <c r="BW148" s="150" t="str">
        <f t="shared" si="31"/>
        <v/>
      </c>
      <c r="BX148" s="150" t="str">
        <f t="shared" si="32"/>
        <v/>
      </c>
      <c r="BY148" s="151" t="str">
        <f t="shared" si="33"/>
        <v/>
      </c>
      <c r="BZ148" s="152" t="str">
        <f t="shared" si="34"/>
        <v/>
      </c>
      <c r="CA148" s="152" t="str">
        <f t="shared" si="35"/>
        <v/>
      </c>
      <c r="CB148" s="152" t="str">
        <f t="shared" si="36"/>
        <v/>
      </c>
      <c r="CC148" s="153" t="str">
        <f t="shared" si="37"/>
        <v/>
      </c>
      <c r="CD148" s="153" t="str">
        <f t="shared" si="38"/>
        <v/>
      </c>
      <c r="CE148" s="154" t="str">
        <f t="shared" si="39"/>
        <v/>
      </c>
      <c r="CF148" s="154" t="str">
        <f t="shared" si="40"/>
        <v/>
      </c>
      <c r="CG148" s="154" t="str">
        <f t="shared" si="41"/>
        <v/>
      </c>
      <c r="CH148" s="308" t="str">
        <f t="shared" si="42"/>
        <v/>
      </c>
    </row>
    <row r="149">
      <c r="A149" s="559" t="s">
        <v>238</v>
      </c>
      <c r="B149" s="560" t="s">
        <v>94</v>
      </c>
      <c r="C149" s="561">
        <v>21288.0</v>
      </c>
      <c r="D149" s="562"/>
      <c r="E149" s="610"/>
      <c r="F149" s="611"/>
      <c r="G149" s="611"/>
      <c r="H149" s="611"/>
      <c r="I149" s="566"/>
      <c r="J149" s="566"/>
      <c r="K149" s="566"/>
      <c r="L149" s="612"/>
      <c r="M149" s="612"/>
      <c r="N149" s="612"/>
      <c r="O149" s="308"/>
      <c r="P149" s="150"/>
      <c r="Q149" s="150" t="s">
        <v>395</v>
      </c>
      <c r="R149" s="150" t="s">
        <v>395</v>
      </c>
      <c r="S149" s="116" t="str">
        <f t="shared" si="6"/>
        <v> </v>
      </c>
      <c r="T149" s="151"/>
      <c r="U149" s="572">
        <f t="shared" si="7"/>
        <v>0.7834666667</v>
      </c>
      <c r="V149" s="598"/>
      <c r="W149" s="574">
        <f t="shared" si="8"/>
        <v>0.3593777778</v>
      </c>
      <c r="X149" s="598"/>
      <c r="Y149" s="574">
        <f t="shared" si="9"/>
        <v>0.5347375</v>
      </c>
      <c r="Z149" s="308"/>
      <c r="AA149" s="308"/>
      <c r="AB149" s="575" t="str">
        <f t="shared" si="10"/>
        <v/>
      </c>
      <c r="AC149" s="576">
        <f t="shared" si="11"/>
        <v>0.7192241206</v>
      </c>
      <c r="AD149" s="571"/>
      <c r="AE149" s="583"/>
      <c r="AF149" s="583"/>
      <c r="AG149" s="131"/>
      <c r="AH149" s="131"/>
      <c r="AI149" s="584"/>
      <c r="AJ149" s="584"/>
      <c r="AK149" s="585"/>
      <c r="AL149" s="585"/>
      <c r="AM149" s="575"/>
      <c r="AN149" s="571" t="str">
        <f>IFERROR(
  AVERAGEIFS(
    'New LF Efficacy'!$J:$J,
    'New LF Efficacy'!$D:$D, $A149,
    'New LF Efficacy'!$F:$F,"DEC", 
    'New LF Efficacy'!$W:$W,"&lt;2016",
    'New LF Efficacy'!$AA:$AA,""),
  ""
)</f>
        <v/>
      </c>
      <c r="AO149" s="582">
        <f t="shared" si="12"/>
        <v>0.38</v>
      </c>
      <c r="AP149" s="571" t="str">
        <f>IFERROR(
AVERAGEIFS(
'New LF Efficacy'!$J:$J,
'New LF Efficacy'!$D:$D,$A149,
'New LF Efficacy'!$F:$F,"Albendazole &amp; DEC",
'New LF Efficacy'!$W:$W,"&lt;2016",
'New LF Efficacy'!$AA:$AA,""),
"")</f>
        <v/>
      </c>
      <c r="AQ149" s="582">
        <f t="shared" si="13"/>
        <v>0.662</v>
      </c>
      <c r="AR149" s="571" t="str">
        <f>IFERROR(
AVERAGEIFS(
'New LF Efficacy'!$J:$J,
'New LF Efficacy'!$D:$D,$A149,
'New LF Efficacy'!$F:$F,"Albendazole &amp; Ivermectin", 
'New LF Efficacy'!$W:$W,"&lt;2016",
'New LF Efficacy'!$AA:$AA,""),"")</f>
        <v/>
      </c>
      <c r="AS149" s="582">
        <f t="shared" si="14"/>
        <v>0.37153125</v>
      </c>
      <c r="AT149" s="583" t="str">
        <f>IFERROR(AVERAGEIFS(
'Schist Efficacy'!$O:$O, 
'Schist Efficacy'!$C:$C,$A149, 
'Schist Efficacy'!$D:$D, "Praziquantel",
'Schist Efficacy'!$J:$J,"&lt;2016",
'Schist Efficacy'!$U:$U,""),
"")</f>
        <v/>
      </c>
      <c r="AU149" s="572">
        <f t="shared" si="15"/>
        <v>0.9475</v>
      </c>
      <c r="AV149" s="131" t="str">
        <f>IFERROR(AVERAGEIFS(
'STH Efficacy'!$AX:$AX, 
'STH Efficacy'!$AL:$AL, $A149, 
'STH Efficacy'!$AM:$AM, "Albendazole",
'STH Efficacy'!$AS:$AS,"&lt;2016",
'STH Efficacy'!$BP:$BP,""),
"")</f>
        <v/>
      </c>
      <c r="AW149" s="132">
        <f t="shared" si="16"/>
        <v>0.3571666667</v>
      </c>
      <c r="AX149" s="131" t="str">
        <f>IFERROR(AVERAGEIFS(
'STH Efficacy'!$AX:$AX, 
'STH Efficacy'!$AL:$AL, $A149, 
'STH Efficacy'!$AM:$AM, "Mebendazole",
'STH Efficacy'!$AS:$AS,"&lt;2016",
'STH Efficacy'!$BP:$BP,""),
"")</f>
        <v/>
      </c>
      <c r="AY149" s="132">
        <f t="shared" si="17"/>
        <v>0.4155</v>
      </c>
      <c r="AZ149" s="131" t="str">
        <f>IFERROR(AVERAGEIFS(
'STH Efficacy'!$AX:$AX, 
'STH Efficacy'!$AL:$AL, $A149, 
'STH Efficacy'!$AM:$AM, "Albendazole &amp; Ivermectin",
'STH Efficacy'!$AS:$AS,"&lt;2016",
'STH Efficacy'!$BP:$BP,""),
"")</f>
        <v/>
      </c>
      <c r="BA149" s="303">
        <f t="shared" si="18"/>
        <v>0.651</v>
      </c>
      <c r="BB149" s="584" t="str">
        <f>IFERROR(AVERAGEIFS(
'STH Efficacy'!$N:$N, 
'STH Efficacy'!$B:$B, $A149, 
'STH Efficacy'!$C:$C, "Albendazole",
'STH Efficacy'!$I:$I,"&lt;2016",
'STH Efficacy'!$AH:$AH,""),
"")</f>
        <v/>
      </c>
      <c r="BC149" s="579">
        <f t="shared" si="19"/>
        <v>0.5769166667</v>
      </c>
      <c r="BD149" s="584" t="str">
        <f>IFERROR(AVERAGEIFS(
'STH Efficacy'!$N:$N, 
'STH Efficacy'!$B:$B, $A149, 
'STH Efficacy'!$C:$C, "Mebendazole",
'STH Efficacy'!$I:$I,"&lt;2016",
'STH Efficacy'!$AH:$AH,""),
"")</f>
        <v/>
      </c>
      <c r="BE149" s="579">
        <f t="shared" si="20"/>
        <v>0.3145</v>
      </c>
      <c r="BF149" s="585" t="str">
        <f>IFERROR(AVERAGEIFS(
'STH Efficacy'!$CD:$CD, 
'STH Efficacy'!$BS:$BS, $A149, 
'STH Efficacy'!$BT:$BT, "Albendazole",
'STH Efficacy'!$BZ:$BZ,"&lt;2016",
'STH Efficacy'!$CU:$CU,""),
"")</f>
        <v/>
      </c>
      <c r="BG149" s="580">
        <f t="shared" si="21"/>
        <v>0.96925</v>
      </c>
      <c r="BH149" s="585" t="str">
        <f>IFERROR(AVERAGEIFS(
'STH Efficacy'!$CD:$CD, 
'STH Efficacy'!$BS:$BS, $A149, 
'STH Efficacy'!$BT:$BT, "Mebendazole",
'STH Efficacy'!$BZ:$BZ,"&lt;2016",
'STH Efficacy'!$CU:$CU,""),
"")</f>
        <v/>
      </c>
      <c r="BI149" s="580">
        <f t="shared" si="22"/>
        <v>0.9305</v>
      </c>
      <c r="BJ149" s="585" t="str">
        <f>IFERROR(AVERAGEIFS(
'STH Efficacy'!$CD:$CD, 
'STH Efficacy'!$BS:$BS, $A149, 
'STH Efficacy'!$BT:$BT, "Albendazole &amp; Ivermectin",
'STH Efficacy'!$BZ:$BZ,"&lt;2016",
'STH Efficacy'!$CU:$CU,""),
"")</f>
        <v/>
      </c>
      <c r="BK149" s="580">
        <f t="shared" si="23"/>
        <v>0.848</v>
      </c>
      <c r="BL149" s="575" t="str">
        <f>IFERROR(
  AVERAGEIFS(
    'NEW Onchocerciasis Efficacy'!$AO:$AO,
    'NEW Onchocerciasis Efficacy'!$C:$C,$A149,
    'NEW Onchocerciasis Efficacy'!$D:$D,"Ivermectin",
    'NEW Onchocerciasis Efficacy'!$AR:$AR,"&lt;2016",
    'NEW Onchocerciasis Efficacy'!$BG:$BG,"")
,"")</f>
        <v/>
      </c>
      <c r="BM149" s="586">
        <f t="shared" si="24"/>
        <v>0.7808368939</v>
      </c>
      <c r="BN149" s="587">
        <v>0.0</v>
      </c>
      <c r="BO149" s="588">
        <v>0.0</v>
      </c>
      <c r="BP149" s="589">
        <v>0.0</v>
      </c>
      <c r="BQ149" s="590">
        <f t="shared" si="25"/>
        <v>0</v>
      </c>
      <c r="BR149" s="560" t="str">
        <f t="shared" si="26"/>
        <v>0000</v>
      </c>
      <c r="BS149" s="560" t="str">
        <f t="shared" si="27"/>
        <v>no action required</v>
      </c>
      <c r="BT149" s="361" t="str">
        <f t="shared" si="44"/>
        <v/>
      </c>
      <c r="BU149" s="591" t="str">
        <f t="shared" si="29"/>
        <v/>
      </c>
      <c r="BV149" s="560" t="str">
        <f t="shared" si="30"/>
        <v>none</v>
      </c>
      <c r="BW149" s="150" t="str">
        <f t="shared" si="31"/>
        <v/>
      </c>
      <c r="BX149" s="150" t="str">
        <f t="shared" si="32"/>
        <v/>
      </c>
      <c r="BY149" s="151" t="str">
        <f t="shared" si="33"/>
        <v/>
      </c>
      <c r="BZ149" s="152" t="str">
        <f t="shared" si="34"/>
        <v/>
      </c>
      <c r="CA149" s="152" t="str">
        <f t="shared" si="35"/>
        <v/>
      </c>
      <c r="CB149" s="152" t="str">
        <f t="shared" si="36"/>
        <v/>
      </c>
      <c r="CC149" s="153" t="str">
        <f t="shared" si="37"/>
        <v/>
      </c>
      <c r="CD149" s="153" t="str">
        <f t="shared" si="38"/>
        <v/>
      </c>
      <c r="CE149" s="154" t="str">
        <f t="shared" si="39"/>
        <v/>
      </c>
      <c r="CF149" s="154" t="str">
        <f t="shared" si="40"/>
        <v/>
      </c>
      <c r="CG149" s="154" t="str">
        <f t="shared" si="41"/>
        <v/>
      </c>
      <c r="CH149" s="308" t="str">
        <f t="shared" si="42"/>
        <v/>
      </c>
    </row>
    <row r="150">
      <c r="A150" s="559" t="s">
        <v>239</v>
      </c>
      <c r="B150" s="560" t="s">
        <v>98</v>
      </c>
      <c r="C150" s="561">
        <v>3969249.0</v>
      </c>
      <c r="D150" s="562">
        <v>0.0</v>
      </c>
      <c r="E150" s="563">
        <v>0.0</v>
      </c>
      <c r="F150" s="564">
        <v>0.0</v>
      </c>
      <c r="G150" s="564">
        <v>0.0</v>
      </c>
      <c r="H150" s="564">
        <v>3.24E-7</v>
      </c>
      <c r="I150" s="565">
        <v>3.825577542</v>
      </c>
      <c r="J150" s="566">
        <v>11.1850764389778</v>
      </c>
      <c r="K150" s="566">
        <v>57.6775525488244</v>
      </c>
      <c r="L150" s="567">
        <v>23.32363752</v>
      </c>
      <c r="M150" s="568">
        <v>18.9486209906599</v>
      </c>
      <c r="N150" s="568">
        <v>82.0547397520048</v>
      </c>
      <c r="O150" s="569">
        <v>0.0</v>
      </c>
      <c r="P150" s="570"/>
      <c r="Q150" s="150"/>
      <c r="R150" s="571"/>
      <c r="S150" s="116">
        <f t="shared" si="6"/>
        <v>0.6451333333</v>
      </c>
      <c r="T150" s="151"/>
      <c r="U150" s="572">
        <f t="shared" si="7"/>
        <v>0.0025</v>
      </c>
      <c r="V150" s="598"/>
      <c r="W150" s="574">
        <f t="shared" si="8"/>
        <v>0.56882</v>
      </c>
      <c r="X150" s="598"/>
      <c r="Y150" s="574">
        <f t="shared" si="9"/>
        <v>0.5825818182</v>
      </c>
      <c r="Z150" s="308"/>
      <c r="AA150" s="308"/>
      <c r="AB150" s="575" t="str">
        <f t="shared" si="10"/>
        <v/>
      </c>
      <c r="AC150" s="576">
        <f t="shared" si="11"/>
        <v>0.7574216602</v>
      </c>
      <c r="AD150" s="577">
        <v>0.0</v>
      </c>
      <c r="AE150" s="572">
        <v>0.0</v>
      </c>
      <c r="AF150" s="578">
        <v>0.0</v>
      </c>
      <c r="AG150" s="132">
        <v>0.02025690303</v>
      </c>
      <c r="AH150" s="132">
        <v>0.063078368</v>
      </c>
      <c r="AI150" s="579">
        <v>0.01107017347</v>
      </c>
      <c r="AJ150" s="579">
        <v>0.01325479378</v>
      </c>
      <c r="AK150" s="580">
        <v>0.06626545249</v>
      </c>
      <c r="AL150" s="580">
        <v>0.07524115401</v>
      </c>
      <c r="AM150" s="581">
        <v>0.0</v>
      </c>
      <c r="AN150" s="571" t="str">
        <f>IFERROR(
  AVERAGEIFS(
    'New LF Efficacy'!$J:$J,
    'New LF Efficacy'!$D:$D, $A150,
    'New LF Efficacy'!$F:$F,"DEC", 
    'New LF Efficacy'!$W:$W,"&lt;2016",
    'New LF Efficacy'!$AA:$AA,""),
  ""
)</f>
        <v/>
      </c>
      <c r="AO150" s="582">
        <f t="shared" si="12"/>
        <v>0.2589833333</v>
      </c>
      <c r="AP150" s="571" t="str">
        <f>IFERROR(
AVERAGEIFS(
'New LF Efficacy'!$J:$J,
'New LF Efficacy'!$D:$D,$A150,
'New LF Efficacy'!$F:$F,"Albendazole &amp; DEC",
'New LF Efficacy'!$W:$W,"&lt;2016",
'New LF Efficacy'!$AA:$AA,""),
"")</f>
        <v/>
      </c>
      <c r="AQ150" s="582">
        <f t="shared" si="13"/>
        <v>0.3465</v>
      </c>
      <c r="AR150" s="571" t="str">
        <f>IFERROR(
AVERAGEIFS(
'New LF Efficacy'!$J:$J,
'New LF Efficacy'!$D:$D,$A150,
'New LF Efficacy'!$F:$F,"Albendazole &amp; Ivermectin", 
'New LF Efficacy'!$W:$W,"&lt;2016",
'New LF Efficacy'!$AA:$AA,""),"")</f>
        <v/>
      </c>
      <c r="AS150" s="582">
        <f t="shared" si="14"/>
        <v>0.7575</v>
      </c>
      <c r="AT150" s="583" t="str">
        <f>IFERROR(AVERAGEIFS(
'Schist Efficacy'!$O:$O, 
'Schist Efficacy'!$C:$C,$A150, 
'Schist Efficacy'!$D:$D, "Praziquantel",
'Schist Efficacy'!$J:$J,"&lt;2016",
'Schist Efficacy'!$U:$U,""),
"")</f>
        <v/>
      </c>
      <c r="AU150" s="572">
        <f t="shared" si="15"/>
        <v>0.7914761905</v>
      </c>
      <c r="AV150" s="131" t="str">
        <f>IFERROR(AVERAGEIFS(
'STH Efficacy'!$AX:$AX, 
'STH Efficacy'!$AL:$AL, $A150, 
'STH Efficacy'!$AM:$AM, "Albendazole",
'STH Efficacy'!$AS:$AS,"&lt;2016",
'STH Efficacy'!$BP:$BP,""),
"")</f>
        <v/>
      </c>
      <c r="AW150" s="132">
        <f t="shared" si="16"/>
        <v>0.3945</v>
      </c>
      <c r="AX150" s="131" t="str">
        <f>IFERROR(AVERAGEIFS(
'STH Efficacy'!$AX:$AX, 
'STH Efficacy'!$AL:$AL, $A150, 
'STH Efficacy'!$AM:$AM, "Mebendazole",
'STH Efficacy'!$AS:$AS,"&lt;2016",
'STH Efficacy'!$BP:$BP,""),
"")</f>
        <v/>
      </c>
      <c r="AY150" s="132">
        <f t="shared" si="17"/>
        <v>0.6</v>
      </c>
      <c r="AZ150" s="131" t="str">
        <f>IFERROR(AVERAGEIFS(
'STH Efficacy'!$AX:$AX, 
'STH Efficacy'!$AL:$AL, $A150, 
'STH Efficacy'!$AM:$AM, "Albendazole &amp; Ivermectin",
'STH Efficacy'!$AS:$AS,"&lt;2016",
'STH Efficacy'!$BP:$BP,""),
"")</f>
        <v/>
      </c>
      <c r="BA150" s="303">
        <f t="shared" si="18"/>
        <v>0.796</v>
      </c>
      <c r="BB150" s="584" t="str">
        <f>IFERROR(AVERAGEIFS(
'STH Efficacy'!$N:$N, 
'STH Efficacy'!$B:$B, $A150, 
'STH Efficacy'!$C:$C, "Albendazole",
'STH Efficacy'!$I:$I,"&lt;2016",
'STH Efficacy'!$AH:$AH,""),
"")</f>
        <v/>
      </c>
      <c r="BC150" s="579">
        <f t="shared" si="19"/>
        <v>0.869</v>
      </c>
      <c r="BD150" s="584" t="str">
        <f>IFERROR(AVERAGEIFS(
'STH Efficacy'!$N:$N, 
'STH Efficacy'!$B:$B, $A150, 
'STH Efficacy'!$C:$C, "Mebendazole",
'STH Efficacy'!$I:$I,"&lt;2016",
'STH Efficacy'!$AH:$AH,""),
"")</f>
        <v/>
      </c>
      <c r="BE150" s="579">
        <f t="shared" si="20"/>
        <v>0.172</v>
      </c>
      <c r="BF150" s="585" t="str">
        <f>IFERROR(AVERAGEIFS(
'STH Efficacy'!$CD:$CD, 
'STH Efficacy'!$BS:$BS, $A150, 
'STH Efficacy'!$BT:$BT, "Albendazole",
'STH Efficacy'!$BZ:$BZ,"&lt;2016",
'STH Efficacy'!$CU:$CU,""),
"")</f>
        <v/>
      </c>
      <c r="BG150" s="580">
        <f t="shared" si="21"/>
        <v>0.9862</v>
      </c>
      <c r="BH150" s="585" t="str">
        <f>IFERROR(AVERAGEIFS(
'STH Efficacy'!$CD:$CD, 
'STH Efficacy'!$BS:$BS, $A150, 
'STH Efficacy'!$BT:$BT, "Mebendazole",
'STH Efficacy'!$BZ:$BZ,"&lt;2016",
'STH Efficacy'!$CU:$CU,""),
"")</f>
        <v/>
      </c>
      <c r="BI150" s="580">
        <f t="shared" si="22"/>
        <v>0.769</v>
      </c>
      <c r="BJ150" s="585" t="str">
        <f>IFERROR(AVERAGEIFS(
'STH Efficacy'!$CD:$CD, 
'STH Efficacy'!$BS:$BS, $A150, 
'STH Efficacy'!$BT:$BT, "Albendazole &amp; Ivermectin",
'STH Efficacy'!$BZ:$BZ,"&lt;2016",
'STH Efficacy'!$CU:$CU,""),
"")</f>
        <v/>
      </c>
      <c r="BK150" s="580">
        <f t="shared" si="23"/>
        <v>1</v>
      </c>
      <c r="BL150" s="575" t="str">
        <f>IFERROR(
  AVERAGEIFS(
    'NEW Onchocerciasis Efficacy'!$AO:$AO,
    'NEW Onchocerciasis Efficacy'!$C:$C,$A150,
    'NEW Onchocerciasis Efficacy'!$D:$D,"Ivermectin",
    'NEW Onchocerciasis Efficacy'!$AR:$AR,"&lt;2016",
    'NEW Onchocerciasis Efficacy'!$BG:$BG,"")
,"")</f>
        <v/>
      </c>
      <c r="BM150" s="586">
        <f t="shared" si="24"/>
        <v>0.3734</v>
      </c>
      <c r="BN150" s="587">
        <v>0.0</v>
      </c>
      <c r="BO150" s="588">
        <v>0.0</v>
      </c>
      <c r="BP150" s="589">
        <v>0.0</v>
      </c>
      <c r="BQ150" s="590">
        <f t="shared" si="25"/>
        <v>0</v>
      </c>
      <c r="BR150" s="560" t="str">
        <f t="shared" si="26"/>
        <v>0000</v>
      </c>
      <c r="BS150" s="560" t="str">
        <f t="shared" si="27"/>
        <v>no action required</v>
      </c>
      <c r="BT150" s="361" t="str">
        <f t="shared" si="44"/>
        <v/>
      </c>
      <c r="BU150" s="591" t="str">
        <f t="shared" si="29"/>
        <v/>
      </c>
      <c r="BV150" s="560" t="str">
        <f t="shared" si="30"/>
        <v>none</v>
      </c>
      <c r="BW150" s="150" t="str">
        <f t="shared" si="31"/>
        <v/>
      </c>
      <c r="BX150" s="150" t="str">
        <f t="shared" si="32"/>
        <v/>
      </c>
      <c r="BY150" s="151" t="str">
        <f t="shared" si="33"/>
        <v/>
      </c>
      <c r="BZ150" s="152" t="str">
        <f t="shared" si="34"/>
        <v/>
      </c>
      <c r="CA150" s="152" t="str">
        <f t="shared" si="35"/>
        <v/>
      </c>
      <c r="CB150" s="152" t="str">
        <f t="shared" si="36"/>
        <v/>
      </c>
      <c r="CC150" s="153" t="str">
        <f t="shared" si="37"/>
        <v/>
      </c>
      <c r="CD150" s="153" t="str">
        <f t="shared" si="38"/>
        <v/>
      </c>
      <c r="CE150" s="154" t="str">
        <f t="shared" si="39"/>
        <v/>
      </c>
      <c r="CF150" s="154" t="str">
        <f t="shared" si="40"/>
        <v/>
      </c>
      <c r="CG150" s="154" t="str">
        <f t="shared" si="41"/>
        <v/>
      </c>
      <c r="CH150" s="308" t="str">
        <f t="shared" si="42"/>
        <v/>
      </c>
    </row>
    <row r="151">
      <c r="A151" s="559" t="s">
        <v>240</v>
      </c>
      <c r="B151" s="560" t="s">
        <v>94</v>
      </c>
      <c r="C151" s="561">
        <v>7919825.0</v>
      </c>
      <c r="D151" s="562">
        <v>17250.50785</v>
      </c>
      <c r="E151" s="563">
        <v>0.0</v>
      </c>
      <c r="F151" s="564">
        <v>0.0</v>
      </c>
      <c r="G151" s="564">
        <v>0.0</v>
      </c>
      <c r="H151" s="564">
        <v>3.12E-6</v>
      </c>
      <c r="I151" s="565">
        <v>537.9161457</v>
      </c>
      <c r="J151" s="566">
        <v>1739.6454893592</v>
      </c>
      <c r="K151" s="566">
        <v>9177.20940880883</v>
      </c>
      <c r="L151" s="567">
        <v>1268.230151</v>
      </c>
      <c r="M151" s="568">
        <v>709.405351950961</v>
      </c>
      <c r="N151" s="568">
        <v>2583.96013326755</v>
      </c>
      <c r="O151" s="569">
        <v>0.0</v>
      </c>
      <c r="P151" s="601">
        <v>912148.662517</v>
      </c>
      <c r="Q151" s="602">
        <v>0.0</v>
      </c>
      <c r="R151" s="602">
        <v>0.0</v>
      </c>
      <c r="S151" s="116">
        <f t="shared" si="6"/>
        <v>0</v>
      </c>
      <c r="T151" s="151"/>
      <c r="U151" s="572">
        <f t="shared" si="7"/>
        <v>0.7834666667</v>
      </c>
      <c r="V151" s="573">
        <v>0.0795</v>
      </c>
      <c r="W151" s="574">
        <f t="shared" si="8"/>
        <v>0.0795</v>
      </c>
      <c r="X151" s="613"/>
      <c r="Y151" s="574">
        <f t="shared" si="9"/>
        <v>0.5347375</v>
      </c>
      <c r="Z151" s="308"/>
      <c r="AA151" s="308"/>
      <c r="AB151" s="575" t="str">
        <f t="shared" si="10"/>
        <v/>
      </c>
      <c r="AC151" s="576">
        <f t="shared" si="11"/>
        <v>0.7192241206</v>
      </c>
      <c r="AD151" s="577">
        <v>0.1007708195</v>
      </c>
      <c r="AE151" s="572">
        <v>0.0</v>
      </c>
      <c r="AF151" s="578">
        <v>0.0</v>
      </c>
      <c r="AG151" s="133">
        <v>0.04355129558</v>
      </c>
      <c r="AH151" s="133">
        <v>0.144528816</v>
      </c>
      <c r="AI151" s="623">
        <v>0.1178541964</v>
      </c>
      <c r="AJ151" s="623">
        <v>0.1504994097</v>
      </c>
      <c r="AK151" s="624">
        <v>0.1236068278</v>
      </c>
      <c r="AL151" s="624">
        <v>0.1501278063</v>
      </c>
      <c r="AM151" s="581">
        <v>0.0</v>
      </c>
      <c r="AN151" s="571">
        <f>IFERROR(
  AVERAGEIFS(
    'New LF Efficacy'!$J:$J,
    'New LF Efficacy'!$D:$D, $A151,
    'New LF Efficacy'!$F:$F,"DEC", 
    'New LF Efficacy'!$W:$W,"&lt;2016",
    'New LF Efficacy'!$AA:$AA,""),
  ""
)</f>
        <v>0.5</v>
      </c>
      <c r="AO151" s="582">
        <f t="shared" si="12"/>
        <v>0.5</v>
      </c>
      <c r="AP151" s="571">
        <f>IFERROR(
AVERAGEIFS(
'New LF Efficacy'!$J:$J,
'New LF Efficacy'!$D:$D,$A151,
'New LF Efficacy'!$F:$F,"Albendazole &amp; DEC",
'New LF Efficacy'!$W:$W,"&lt;2016",
'New LF Efficacy'!$AA:$AA,""),
"")</f>
        <v>0.662</v>
      </c>
      <c r="AQ151" s="582">
        <f t="shared" si="13"/>
        <v>0.662</v>
      </c>
      <c r="AR151" s="571" t="str">
        <f>IFERROR(
AVERAGEIFS(
'New LF Efficacy'!$J:$J,
'New LF Efficacy'!$D:$D,$A151,
'New LF Efficacy'!$F:$F,"Albendazole &amp; Ivermectin", 
'New LF Efficacy'!$W:$W,"&lt;2016",
'New LF Efficacy'!$AA:$AA,""),"")</f>
        <v/>
      </c>
      <c r="AS151" s="582">
        <f t="shared" si="14"/>
        <v>0.37153125</v>
      </c>
      <c r="AT151" s="583" t="str">
        <f>IFERROR(AVERAGEIFS(
'Schist Efficacy'!$O:$O, 
'Schist Efficacy'!$C:$C,$A151, 
'Schist Efficacy'!$D:$D, "Praziquantel",
'Schist Efficacy'!$J:$J,"&lt;2016",
'Schist Efficacy'!$U:$U,""),
"")</f>
        <v/>
      </c>
      <c r="AU151" s="572">
        <f t="shared" si="15"/>
        <v>0.9475</v>
      </c>
      <c r="AV151" s="131" t="str">
        <f>IFERROR(AVERAGEIFS(
'STH Efficacy'!$AX:$AX, 
'STH Efficacy'!$AL:$AL, $A151, 
'STH Efficacy'!$AM:$AM, "Albendazole",
'STH Efficacy'!$AS:$AS,"&lt;2016",
'STH Efficacy'!$BP:$BP,""),
"")</f>
        <v/>
      </c>
      <c r="AW151" s="132">
        <f t="shared" si="16"/>
        <v>0.3571666667</v>
      </c>
      <c r="AX151" s="131" t="str">
        <f>IFERROR(AVERAGEIFS(
'STH Efficacy'!$AX:$AX, 
'STH Efficacy'!$AL:$AL, $A151, 
'STH Efficacy'!$AM:$AM, "Mebendazole",
'STH Efficacy'!$AS:$AS,"&lt;2016",
'STH Efficacy'!$BP:$BP,""),
"")</f>
        <v/>
      </c>
      <c r="AY151" s="132">
        <f t="shared" si="17"/>
        <v>0.4155</v>
      </c>
      <c r="AZ151" s="131" t="str">
        <f>IFERROR(AVERAGEIFS(
'STH Efficacy'!$AX:$AX, 
'STH Efficacy'!$AL:$AL, $A151, 
'STH Efficacy'!$AM:$AM, "Albendazole &amp; Ivermectin",
'STH Efficacy'!$AS:$AS,"&lt;2016",
'STH Efficacy'!$BP:$BP,""),
"")</f>
        <v/>
      </c>
      <c r="BA151" s="303">
        <f t="shared" si="18"/>
        <v>0.651</v>
      </c>
      <c r="BB151" s="584" t="str">
        <f>IFERROR(AVERAGEIFS(
'STH Efficacy'!$N:$N, 
'STH Efficacy'!$B:$B, $A151, 
'STH Efficacy'!$C:$C, "Albendazole",
'STH Efficacy'!$I:$I,"&lt;2016",
'STH Efficacy'!$AH:$AH,""),
"")</f>
        <v/>
      </c>
      <c r="BC151" s="579">
        <f t="shared" si="19"/>
        <v>0.5769166667</v>
      </c>
      <c r="BD151" s="584" t="str">
        <f>IFERROR(AVERAGEIFS(
'STH Efficacy'!$N:$N, 
'STH Efficacy'!$B:$B, $A151, 
'STH Efficacy'!$C:$C, "Mebendazole",
'STH Efficacy'!$I:$I,"&lt;2016",
'STH Efficacy'!$AH:$AH,""),
"")</f>
        <v/>
      </c>
      <c r="BE151" s="579">
        <f t="shared" si="20"/>
        <v>0.3145</v>
      </c>
      <c r="BF151" s="585" t="str">
        <f>IFERROR(AVERAGEIFS(
'STH Efficacy'!$CD:$CD, 
'STH Efficacy'!$BS:$BS, $A151, 
'STH Efficacy'!$BT:$BT, "Albendazole",
'STH Efficacy'!$BZ:$BZ,"&lt;2016",
'STH Efficacy'!$CU:$CU,""),
"")</f>
        <v/>
      </c>
      <c r="BG151" s="580">
        <f t="shared" si="21"/>
        <v>0.96925</v>
      </c>
      <c r="BH151" s="585" t="str">
        <f>IFERROR(AVERAGEIFS(
'STH Efficacy'!$CD:$CD, 
'STH Efficacy'!$BS:$BS, $A151, 
'STH Efficacy'!$BT:$BT, "Mebendazole",
'STH Efficacy'!$BZ:$BZ,"&lt;2016",
'STH Efficacy'!$CU:$CU,""),
"")</f>
        <v/>
      </c>
      <c r="BI151" s="580">
        <f t="shared" si="22"/>
        <v>0.9305</v>
      </c>
      <c r="BJ151" s="585" t="str">
        <f>IFERROR(AVERAGEIFS(
'STH Efficacy'!$CD:$CD, 
'STH Efficacy'!$BS:$BS, $A151, 
'STH Efficacy'!$BT:$BT, "Albendazole &amp; Ivermectin",
'STH Efficacy'!$BZ:$BZ,"&lt;2016",
'STH Efficacy'!$CU:$CU,""),
"")</f>
        <v/>
      </c>
      <c r="BK151" s="580">
        <f t="shared" si="23"/>
        <v>0.848</v>
      </c>
      <c r="BL151" s="575" t="str">
        <f>IFERROR(
  AVERAGEIFS(
    'NEW Onchocerciasis Efficacy'!$AO:$AO,
    'NEW Onchocerciasis Efficacy'!$C:$C,$A151,
    'NEW Onchocerciasis Efficacy'!$D:$D,"Ivermectin",
    'NEW Onchocerciasis Efficacy'!$AR:$AR,"&lt;2016",
    'NEW Onchocerciasis Efficacy'!$BG:$BG,"")
,"")</f>
        <v/>
      </c>
      <c r="BM151" s="586">
        <f t="shared" si="24"/>
        <v>0.7808368939</v>
      </c>
      <c r="BN151" s="587">
        <v>1.0</v>
      </c>
      <c r="BO151" s="588">
        <v>0.0</v>
      </c>
      <c r="BP151" s="589">
        <v>0.0</v>
      </c>
      <c r="BQ151" s="590">
        <f t="shared" si="25"/>
        <v>0</v>
      </c>
      <c r="BR151" s="560" t="str">
        <f t="shared" si="26"/>
        <v>1000</v>
      </c>
      <c r="BS151" s="560" t="str">
        <f t="shared" si="27"/>
        <v>MDA1/2</v>
      </c>
      <c r="BT151" s="606" t="str">
        <f t="shared" si="44"/>
        <v>IVM+ALB or DEC+ALB</v>
      </c>
      <c r="BU151" s="591" t="str">
        <f t="shared" si="29"/>
        <v/>
      </c>
      <c r="BV151" s="560" t="str">
        <f t="shared" si="30"/>
        <v>lf only</v>
      </c>
      <c r="BW151" s="607">
        <f t="shared" si="31"/>
        <v>0</v>
      </c>
      <c r="BX151" s="607">
        <f t="shared" si="32"/>
        <v>0</v>
      </c>
      <c r="BY151" s="151" t="str">
        <f t="shared" si="33"/>
        <v/>
      </c>
      <c r="BZ151" s="152" t="str">
        <f t="shared" si="34"/>
        <v/>
      </c>
      <c r="CA151" s="152" t="str">
        <f t="shared" si="35"/>
        <v/>
      </c>
      <c r="CB151" s="152" t="str">
        <f t="shared" si="36"/>
        <v/>
      </c>
      <c r="CC151" s="153" t="str">
        <f t="shared" si="37"/>
        <v/>
      </c>
      <c r="CD151" s="153" t="str">
        <f t="shared" si="38"/>
        <v/>
      </c>
      <c r="CE151" s="154" t="str">
        <f t="shared" si="39"/>
        <v/>
      </c>
      <c r="CF151" s="154" t="str">
        <f t="shared" si="40"/>
        <v/>
      </c>
      <c r="CG151" s="154" t="str">
        <f t="shared" si="41"/>
        <v/>
      </c>
      <c r="CH151" s="308" t="str">
        <f t="shared" si="42"/>
        <v/>
      </c>
    </row>
    <row r="152">
      <c r="A152" s="559" t="s">
        <v>241</v>
      </c>
      <c r="B152" s="560" t="s">
        <v>98</v>
      </c>
      <c r="C152" s="561">
        <v>6639119.0</v>
      </c>
      <c r="D152" s="562">
        <v>0.0</v>
      </c>
      <c r="E152" s="563">
        <v>0.0</v>
      </c>
      <c r="F152" s="564">
        <v>0.154503194</v>
      </c>
      <c r="G152" s="564">
        <v>1.126352391</v>
      </c>
      <c r="H152" s="564">
        <v>6.744514082</v>
      </c>
      <c r="I152" s="565">
        <v>7.951829643</v>
      </c>
      <c r="J152" s="566">
        <v>29.598197786211</v>
      </c>
      <c r="K152" s="566">
        <v>162.469776669048</v>
      </c>
      <c r="L152" s="567">
        <v>11.19730491</v>
      </c>
      <c r="M152" s="568">
        <v>23.599972337141</v>
      </c>
      <c r="N152" s="568">
        <v>82.8223208043406</v>
      </c>
      <c r="O152" s="569">
        <v>0.0</v>
      </c>
      <c r="P152" s="570"/>
      <c r="Q152" s="150"/>
      <c r="R152" s="571"/>
      <c r="S152" s="116">
        <f t="shared" si="6"/>
        <v>0.6451333333</v>
      </c>
      <c r="T152" s="151"/>
      <c r="U152" s="572">
        <f t="shared" si="7"/>
        <v>0.0025</v>
      </c>
      <c r="V152" s="598"/>
      <c r="W152" s="574">
        <f t="shared" si="8"/>
        <v>0.56882</v>
      </c>
      <c r="X152" s="573">
        <v>0.6369</v>
      </c>
      <c r="Y152" s="574">
        <f t="shared" si="9"/>
        <v>0.6369</v>
      </c>
      <c r="Z152" s="308"/>
      <c r="AA152" s="308"/>
      <c r="AB152" s="575" t="str">
        <f t="shared" si="10"/>
        <v/>
      </c>
      <c r="AC152" s="576">
        <f t="shared" si="11"/>
        <v>0.7574216602</v>
      </c>
      <c r="AD152" s="577">
        <v>0.0</v>
      </c>
      <c r="AE152" s="572">
        <v>0.0</v>
      </c>
      <c r="AF152" s="578">
        <v>0.0</v>
      </c>
      <c r="AG152" s="132">
        <v>0.01820424983</v>
      </c>
      <c r="AH152" s="132">
        <v>0.056766691</v>
      </c>
      <c r="AI152" s="579">
        <v>0.006772810406</v>
      </c>
      <c r="AJ152" s="579">
        <v>0.008110572062</v>
      </c>
      <c r="AK152" s="580">
        <v>0.04995320137</v>
      </c>
      <c r="AL152" s="580">
        <v>0.05687237608</v>
      </c>
      <c r="AM152" s="581">
        <v>0.0</v>
      </c>
      <c r="AN152" s="571" t="str">
        <f>IFERROR(
  AVERAGEIFS(
    'New LF Efficacy'!$J:$J,
    'New LF Efficacy'!$D:$D, $A152,
    'New LF Efficacy'!$F:$F,"DEC", 
    'New LF Efficacy'!$W:$W,"&lt;2016",
    'New LF Efficacy'!$AA:$AA,""),
  ""
)</f>
        <v/>
      </c>
      <c r="AO152" s="582">
        <f t="shared" si="12"/>
        <v>0.2589833333</v>
      </c>
      <c r="AP152" s="571" t="str">
        <f>IFERROR(
AVERAGEIFS(
'New LF Efficacy'!$J:$J,
'New LF Efficacy'!$D:$D,$A152,
'New LF Efficacy'!$F:$F,"Albendazole &amp; DEC",
'New LF Efficacy'!$W:$W,"&lt;2016",
'New LF Efficacy'!$AA:$AA,""),
"")</f>
        <v/>
      </c>
      <c r="AQ152" s="582">
        <f t="shared" si="13"/>
        <v>0.3465</v>
      </c>
      <c r="AR152" s="571" t="str">
        <f>IFERROR(
AVERAGEIFS(
'New LF Efficacy'!$J:$J,
'New LF Efficacy'!$D:$D,$A152,
'New LF Efficacy'!$F:$F,"Albendazole &amp; Ivermectin", 
'New LF Efficacy'!$W:$W,"&lt;2016",
'New LF Efficacy'!$AA:$AA,""),"")</f>
        <v/>
      </c>
      <c r="AS152" s="582">
        <f t="shared" si="14"/>
        <v>0.7575</v>
      </c>
      <c r="AT152" s="583" t="str">
        <f>IFERROR(AVERAGEIFS(
'Schist Efficacy'!$O:$O, 
'Schist Efficacy'!$C:$C,$A152, 
'Schist Efficacy'!$D:$D, "Praziquantel",
'Schist Efficacy'!$J:$J,"&lt;2016",
'Schist Efficacy'!$U:$U,""),
"")</f>
        <v/>
      </c>
      <c r="AU152" s="572">
        <f t="shared" si="15"/>
        <v>0.7914761905</v>
      </c>
      <c r="AV152" s="131" t="str">
        <f>IFERROR(AVERAGEIFS(
'STH Efficacy'!$AX:$AX, 
'STH Efficacy'!$AL:$AL, $A152, 
'STH Efficacy'!$AM:$AM, "Albendazole",
'STH Efficacy'!$AS:$AS,"&lt;2016",
'STH Efficacy'!$BP:$BP,""),
"")</f>
        <v/>
      </c>
      <c r="AW152" s="132">
        <f t="shared" si="16"/>
        <v>0.3945</v>
      </c>
      <c r="AX152" s="131" t="str">
        <f>IFERROR(AVERAGEIFS(
'STH Efficacy'!$AX:$AX, 
'STH Efficacy'!$AL:$AL, $A152, 
'STH Efficacy'!$AM:$AM, "Mebendazole",
'STH Efficacy'!$AS:$AS,"&lt;2016",
'STH Efficacy'!$BP:$BP,""),
"")</f>
        <v/>
      </c>
      <c r="AY152" s="132">
        <f t="shared" si="17"/>
        <v>0.6</v>
      </c>
      <c r="AZ152" s="131" t="str">
        <f>IFERROR(AVERAGEIFS(
'STH Efficacy'!$AX:$AX, 
'STH Efficacy'!$AL:$AL, $A152, 
'STH Efficacy'!$AM:$AM, "Albendazole &amp; Ivermectin",
'STH Efficacy'!$AS:$AS,"&lt;2016",
'STH Efficacy'!$BP:$BP,""),
"")</f>
        <v/>
      </c>
      <c r="BA152" s="303">
        <f t="shared" si="18"/>
        <v>0.796</v>
      </c>
      <c r="BB152" s="584" t="str">
        <f>IFERROR(AVERAGEIFS(
'STH Efficacy'!$N:$N, 
'STH Efficacy'!$B:$B, $A152, 
'STH Efficacy'!$C:$C, "Albendazole",
'STH Efficacy'!$I:$I,"&lt;2016",
'STH Efficacy'!$AH:$AH,""),
"")</f>
        <v/>
      </c>
      <c r="BC152" s="579">
        <f t="shared" si="19"/>
        <v>0.869</v>
      </c>
      <c r="BD152" s="584" t="str">
        <f>IFERROR(AVERAGEIFS(
'STH Efficacy'!$N:$N, 
'STH Efficacy'!$B:$B, $A152, 
'STH Efficacy'!$C:$C, "Mebendazole",
'STH Efficacy'!$I:$I,"&lt;2016",
'STH Efficacy'!$AH:$AH,""),
"")</f>
        <v/>
      </c>
      <c r="BE152" s="579">
        <f t="shared" si="20"/>
        <v>0.172</v>
      </c>
      <c r="BF152" s="585" t="str">
        <f>IFERROR(AVERAGEIFS(
'STH Efficacy'!$CD:$CD, 
'STH Efficacy'!$BS:$BS, $A152, 
'STH Efficacy'!$BT:$BT, "Albendazole",
'STH Efficacy'!$BZ:$BZ,"&lt;2016",
'STH Efficacy'!$CU:$CU,""),
"")</f>
        <v/>
      </c>
      <c r="BG152" s="580">
        <f t="shared" si="21"/>
        <v>0.9862</v>
      </c>
      <c r="BH152" s="585" t="str">
        <f>IFERROR(AVERAGEIFS(
'STH Efficacy'!$CD:$CD, 
'STH Efficacy'!$BS:$BS, $A152, 
'STH Efficacy'!$BT:$BT, "Mebendazole",
'STH Efficacy'!$BZ:$BZ,"&lt;2016",
'STH Efficacy'!$CU:$CU,""),
"")</f>
        <v/>
      </c>
      <c r="BI152" s="580">
        <f t="shared" si="22"/>
        <v>0.769</v>
      </c>
      <c r="BJ152" s="585" t="str">
        <f>IFERROR(AVERAGEIFS(
'STH Efficacy'!$CD:$CD, 
'STH Efficacy'!$BS:$BS, $A152, 
'STH Efficacy'!$BT:$BT, "Albendazole &amp; Ivermectin",
'STH Efficacy'!$BZ:$BZ,"&lt;2016",
'STH Efficacy'!$CU:$CU,""),
"")</f>
        <v/>
      </c>
      <c r="BK152" s="580">
        <f t="shared" si="23"/>
        <v>1</v>
      </c>
      <c r="BL152" s="575" t="str">
        <f>IFERROR(
  AVERAGEIFS(
    'NEW Onchocerciasis Efficacy'!$AO:$AO,
    'NEW Onchocerciasis Efficacy'!$C:$C,$A152,
    'NEW Onchocerciasis Efficacy'!$D:$D,"Ivermectin",
    'NEW Onchocerciasis Efficacy'!$AR:$AR,"&lt;2016",
    'NEW Onchocerciasis Efficacy'!$BG:$BG,"")
,"")</f>
        <v/>
      </c>
      <c r="BM152" s="586">
        <f t="shared" si="24"/>
        <v>0.3734</v>
      </c>
      <c r="BN152" s="587">
        <v>0.0</v>
      </c>
      <c r="BO152" s="588">
        <v>0.0</v>
      </c>
      <c r="BP152" s="589">
        <v>0.0</v>
      </c>
      <c r="BQ152" s="590">
        <f t="shared" si="25"/>
        <v>0</v>
      </c>
      <c r="BR152" s="560" t="str">
        <f t="shared" si="26"/>
        <v>0000</v>
      </c>
      <c r="BS152" s="560" t="str">
        <f t="shared" si="27"/>
        <v>no action required</v>
      </c>
      <c r="BT152" s="361" t="str">
        <f t="shared" si="44"/>
        <v/>
      </c>
      <c r="BU152" s="591" t="str">
        <f t="shared" si="29"/>
        <v/>
      </c>
      <c r="BV152" s="560" t="str">
        <f t="shared" si="30"/>
        <v>none</v>
      </c>
      <c r="BW152" s="150" t="str">
        <f t="shared" si="31"/>
        <v/>
      </c>
      <c r="BX152" s="150" t="str">
        <f t="shared" si="32"/>
        <v/>
      </c>
      <c r="BY152" s="151" t="str">
        <f t="shared" si="33"/>
        <v/>
      </c>
      <c r="BZ152" s="152" t="str">
        <f t="shared" si="34"/>
        <v/>
      </c>
      <c r="CA152" s="152" t="str">
        <f t="shared" si="35"/>
        <v/>
      </c>
      <c r="CB152" s="152" t="str">
        <f t="shared" si="36"/>
        <v/>
      </c>
      <c r="CC152" s="153" t="str">
        <f t="shared" si="37"/>
        <v/>
      </c>
      <c r="CD152" s="153" t="str">
        <f t="shared" si="38"/>
        <v/>
      </c>
      <c r="CE152" s="154" t="str">
        <f t="shared" si="39"/>
        <v/>
      </c>
      <c r="CF152" s="154" t="str">
        <f t="shared" si="40"/>
        <v/>
      </c>
      <c r="CG152" s="154" t="str">
        <f t="shared" si="41"/>
        <v/>
      </c>
      <c r="CH152" s="308" t="str">
        <f t="shared" si="42"/>
        <v/>
      </c>
    </row>
    <row r="153">
      <c r="A153" s="559" t="s">
        <v>242</v>
      </c>
      <c r="B153" s="560" t="s">
        <v>98</v>
      </c>
      <c r="C153" s="561">
        <v>3.1376671E7</v>
      </c>
      <c r="D153" s="562">
        <v>0.0</v>
      </c>
      <c r="E153" s="563">
        <v>0.0</v>
      </c>
      <c r="F153" s="564">
        <v>30.13008188</v>
      </c>
      <c r="G153" s="564">
        <v>115.6090081</v>
      </c>
      <c r="H153" s="564">
        <v>786.5711281</v>
      </c>
      <c r="I153" s="565">
        <v>52.07729263</v>
      </c>
      <c r="J153" s="566">
        <v>115.290769947203</v>
      </c>
      <c r="K153" s="566">
        <v>577.166523030065</v>
      </c>
      <c r="L153" s="567">
        <v>199.3271553</v>
      </c>
      <c r="M153" s="568">
        <v>171.805732920427</v>
      </c>
      <c r="N153" s="568">
        <v>788.916167585668</v>
      </c>
      <c r="O153" s="569">
        <v>0.0</v>
      </c>
      <c r="P153" s="570"/>
      <c r="Q153" s="150"/>
      <c r="R153" s="571"/>
      <c r="S153" s="116">
        <f t="shared" si="6"/>
        <v>0.6451333333</v>
      </c>
      <c r="T153" s="151"/>
      <c r="U153" s="572">
        <f t="shared" si="7"/>
        <v>0.0025</v>
      </c>
      <c r="V153" s="573">
        <v>1.0</v>
      </c>
      <c r="W153" s="574">
        <f t="shared" si="8"/>
        <v>1</v>
      </c>
      <c r="X153" s="598"/>
      <c r="Y153" s="574">
        <f t="shared" si="9"/>
        <v>0.5825818182</v>
      </c>
      <c r="Z153" s="308"/>
      <c r="AA153" s="308"/>
      <c r="AB153" s="575" t="str">
        <f t="shared" si="10"/>
        <v/>
      </c>
      <c r="AC153" s="576">
        <f t="shared" si="11"/>
        <v>0.7574216602</v>
      </c>
      <c r="AD153" s="577">
        <v>0.0</v>
      </c>
      <c r="AE153" s="572">
        <v>0.0</v>
      </c>
      <c r="AF153" s="578">
        <v>0.0</v>
      </c>
      <c r="AG153" s="132">
        <v>0.01739286297</v>
      </c>
      <c r="AH153" s="132">
        <v>0.055160335</v>
      </c>
      <c r="AI153" s="579">
        <v>0.008106814484</v>
      </c>
      <c r="AJ153" s="579">
        <v>0.009911157749</v>
      </c>
      <c r="AK153" s="580">
        <v>0.02595215244</v>
      </c>
      <c r="AL153" s="580">
        <v>0.03020674772</v>
      </c>
      <c r="AM153" s="581">
        <v>0.0</v>
      </c>
      <c r="AN153" s="571" t="str">
        <f>IFERROR(
  AVERAGEIFS(
    'New LF Efficacy'!$J:$J,
    'New LF Efficacy'!$D:$D, $A153,
    'New LF Efficacy'!$F:$F,"DEC", 
    'New LF Efficacy'!$W:$W,"&lt;2016",
    'New LF Efficacy'!$AA:$AA,""),
  ""
)</f>
        <v/>
      </c>
      <c r="AO153" s="582">
        <f t="shared" si="12"/>
        <v>0.2589833333</v>
      </c>
      <c r="AP153" s="571" t="str">
        <f>IFERROR(
AVERAGEIFS(
'New LF Efficacy'!$J:$J,
'New LF Efficacy'!$D:$D,$A153,
'New LF Efficacy'!$F:$F,"Albendazole &amp; DEC",
'New LF Efficacy'!$W:$W,"&lt;2016",
'New LF Efficacy'!$AA:$AA,""),
"")</f>
        <v/>
      </c>
      <c r="AQ153" s="582">
        <f t="shared" si="13"/>
        <v>0.3465</v>
      </c>
      <c r="AR153" s="571" t="str">
        <f>IFERROR(
AVERAGEIFS(
'New LF Efficacy'!$J:$J,
'New LF Efficacy'!$D:$D,$A153,
'New LF Efficacy'!$F:$F,"Albendazole &amp; Ivermectin", 
'New LF Efficacy'!$W:$W,"&lt;2016",
'New LF Efficacy'!$AA:$AA,""),"")</f>
        <v/>
      </c>
      <c r="AS153" s="582">
        <f t="shared" si="14"/>
        <v>0.7575</v>
      </c>
      <c r="AT153" s="583" t="str">
        <f>IFERROR(AVERAGEIFS(
'Schist Efficacy'!$O:$O, 
'Schist Efficacy'!$C:$C,$A153, 
'Schist Efficacy'!$D:$D, "Praziquantel",
'Schist Efficacy'!$J:$J,"&lt;2016",
'Schist Efficacy'!$U:$U,""),
"")</f>
        <v/>
      </c>
      <c r="AU153" s="572">
        <f t="shared" si="15"/>
        <v>0.7914761905</v>
      </c>
      <c r="AV153" s="131" t="str">
        <f>IFERROR(AVERAGEIFS(
'STH Efficacy'!$AX:$AX, 
'STH Efficacy'!$AL:$AL, $A153, 
'STH Efficacy'!$AM:$AM, "Albendazole",
'STH Efficacy'!$AS:$AS,"&lt;2016",
'STH Efficacy'!$BP:$BP,""),
"")</f>
        <v/>
      </c>
      <c r="AW153" s="132">
        <f t="shared" si="16"/>
        <v>0.3945</v>
      </c>
      <c r="AX153" s="131" t="str">
        <f>IFERROR(AVERAGEIFS(
'STH Efficacy'!$AX:$AX, 
'STH Efficacy'!$AL:$AL, $A153, 
'STH Efficacy'!$AM:$AM, "Mebendazole",
'STH Efficacy'!$AS:$AS,"&lt;2016",
'STH Efficacy'!$BP:$BP,""),
"")</f>
        <v/>
      </c>
      <c r="AY153" s="132">
        <f t="shared" si="17"/>
        <v>0.6</v>
      </c>
      <c r="AZ153" s="131" t="str">
        <f>IFERROR(AVERAGEIFS(
'STH Efficacy'!$AX:$AX, 
'STH Efficacy'!$AL:$AL, $A153, 
'STH Efficacy'!$AM:$AM, "Albendazole &amp; Ivermectin",
'STH Efficacy'!$AS:$AS,"&lt;2016",
'STH Efficacy'!$BP:$BP,""),
"")</f>
        <v/>
      </c>
      <c r="BA153" s="303">
        <f t="shared" si="18"/>
        <v>0.796</v>
      </c>
      <c r="BB153" s="584" t="str">
        <f>IFERROR(AVERAGEIFS(
'STH Efficacy'!$N:$N, 
'STH Efficacy'!$B:$B, $A153, 
'STH Efficacy'!$C:$C, "Albendazole",
'STH Efficacy'!$I:$I,"&lt;2016",
'STH Efficacy'!$AH:$AH,""),
"")</f>
        <v/>
      </c>
      <c r="BC153" s="579">
        <f t="shared" si="19"/>
        <v>0.869</v>
      </c>
      <c r="BD153" s="584" t="str">
        <f>IFERROR(AVERAGEIFS(
'STH Efficacy'!$N:$N, 
'STH Efficacy'!$B:$B, $A153, 
'STH Efficacy'!$C:$C, "Mebendazole",
'STH Efficacy'!$I:$I,"&lt;2016",
'STH Efficacy'!$AH:$AH,""),
"")</f>
        <v/>
      </c>
      <c r="BE153" s="579">
        <f t="shared" si="20"/>
        <v>0.172</v>
      </c>
      <c r="BF153" s="585">
        <f>IFERROR(AVERAGEIFS(
'STH Efficacy'!$CD:$CD, 
'STH Efficacy'!$BS:$BS, $A153, 
'STH Efficacy'!$BT:$BT, "Albendazole",
'STH Efficacy'!$BZ:$BZ,"&lt;2016",
'STH Efficacy'!$CU:$CU,""),
"")</f>
        <v>0.996</v>
      </c>
      <c r="BG153" s="580">
        <f t="shared" si="21"/>
        <v>0.996</v>
      </c>
      <c r="BH153" s="585" t="str">
        <f>IFERROR(AVERAGEIFS(
'STH Efficacy'!$CD:$CD, 
'STH Efficacy'!$BS:$BS, $A153, 
'STH Efficacy'!$BT:$BT, "Mebendazole",
'STH Efficacy'!$BZ:$BZ,"&lt;2016",
'STH Efficacy'!$CU:$CU,""),
"")</f>
        <v/>
      </c>
      <c r="BI153" s="580">
        <f t="shared" si="22"/>
        <v>0.769</v>
      </c>
      <c r="BJ153" s="585" t="str">
        <f>IFERROR(AVERAGEIFS(
'STH Efficacy'!$CD:$CD, 
'STH Efficacy'!$BS:$BS, $A153, 
'STH Efficacy'!$BT:$BT, "Albendazole &amp; Ivermectin",
'STH Efficacy'!$BZ:$BZ,"&lt;2016",
'STH Efficacy'!$CU:$CU,""),
"")</f>
        <v/>
      </c>
      <c r="BK153" s="580">
        <f t="shared" si="23"/>
        <v>1</v>
      </c>
      <c r="BL153" s="575" t="str">
        <f>IFERROR(
  AVERAGEIFS(
    'NEW Onchocerciasis Efficacy'!$AO:$AO,
    'NEW Onchocerciasis Efficacy'!$C:$C,$A153,
    'NEW Onchocerciasis Efficacy'!$D:$D,"Ivermectin",
    'NEW Onchocerciasis Efficacy'!$AR:$AR,"&lt;2016",
    'NEW Onchocerciasis Efficacy'!$BG:$BG,"")
,"")</f>
        <v/>
      </c>
      <c r="BM153" s="586">
        <f t="shared" si="24"/>
        <v>0.3734</v>
      </c>
      <c r="BN153" s="587">
        <v>0.0</v>
      </c>
      <c r="BO153" s="588">
        <v>1.0</v>
      </c>
      <c r="BP153" s="589">
        <v>0.0</v>
      </c>
      <c r="BQ153" s="590">
        <f t="shared" si="25"/>
        <v>0</v>
      </c>
      <c r="BR153" s="560" t="str">
        <f t="shared" si="26"/>
        <v>0100</v>
      </c>
      <c r="BS153" s="560" t="str">
        <f t="shared" si="27"/>
        <v>MDA3</v>
      </c>
      <c r="BT153" s="606" t="str">
        <f t="shared" si="44"/>
        <v>IVM</v>
      </c>
      <c r="BU153" s="591" t="str">
        <f t="shared" si="29"/>
        <v/>
      </c>
      <c r="BV153" s="560" t="str">
        <f t="shared" si="30"/>
        <v>onch only</v>
      </c>
      <c r="BW153" s="150" t="str">
        <f t="shared" si="31"/>
        <v/>
      </c>
      <c r="BX153" s="150" t="str">
        <f t="shared" si="32"/>
        <v/>
      </c>
      <c r="BY153" s="151" t="str">
        <f t="shared" si="33"/>
        <v/>
      </c>
      <c r="BZ153" s="152" t="str">
        <f t="shared" si="34"/>
        <v/>
      </c>
      <c r="CA153" s="152" t="str">
        <f t="shared" si="35"/>
        <v/>
      </c>
      <c r="CB153" s="152" t="str">
        <f t="shared" si="36"/>
        <v/>
      </c>
      <c r="CC153" s="153" t="str">
        <f t="shared" si="37"/>
        <v/>
      </c>
      <c r="CD153" s="153" t="str">
        <f t="shared" si="38"/>
        <v/>
      </c>
      <c r="CE153" s="154" t="str">
        <f t="shared" si="39"/>
        <v/>
      </c>
      <c r="CF153" s="154" t="str">
        <f t="shared" si="40"/>
        <v/>
      </c>
      <c r="CG153" s="154" t="str">
        <f t="shared" si="41"/>
        <v/>
      </c>
      <c r="CH153" s="637">
        <f t="shared" si="42"/>
        <v>0</v>
      </c>
    </row>
    <row r="154">
      <c r="A154" s="599" t="s">
        <v>243</v>
      </c>
      <c r="B154" s="560" t="s">
        <v>94</v>
      </c>
      <c r="C154" s="561">
        <v>1.01716359E8</v>
      </c>
      <c r="D154" s="562">
        <v>10908.14802</v>
      </c>
      <c r="E154" s="563">
        <v>13814.155597471</v>
      </c>
      <c r="F154" s="564">
        <v>872.6157995</v>
      </c>
      <c r="G154" s="564">
        <v>5942.902515</v>
      </c>
      <c r="H154" s="564">
        <v>33596.49334</v>
      </c>
      <c r="I154" s="565">
        <v>779.9312835</v>
      </c>
      <c r="J154" s="566">
        <v>2506.07801848169</v>
      </c>
      <c r="K154" s="566">
        <v>14618.8228254616</v>
      </c>
      <c r="L154" s="567">
        <v>4905.216919</v>
      </c>
      <c r="M154" s="568">
        <v>6303.23991677699</v>
      </c>
      <c r="N154" s="568">
        <v>23602.0930034461</v>
      </c>
      <c r="O154" s="569">
        <v>0.0</v>
      </c>
      <c r="P154" s="601">
        <v>232638.770934</v>
      </c>
      <c r="Q154" s="618">
        <v>5522452.0</v>
      </c>
      <c r="R154" s="603">
        <v>0.7888</v>
      </c>
      <c r="S154" s="116">
        <f t="shared" si="6"/>
        <v>0.7888</v>
      </c>
      <c r="T154" s="572">
        <v>0.6482</v>
      </c>
      <c r="U154" s="572">
        <f t="shared" si="7"/>
        <v>0.6482</v>
      </c>
      <c r="V154" s="573">
        <v>0.8077</v>
      </c>
      <c r="W154" s="574">
        <f t="shared" si="8"/>
        <v>0.8077</v>
      </c>
      <c r="X154" s="573">
        <v>0.7299</v>
      </c>
      <c r="Y154" s="574">
        <f t="shared" si="9"/>
        <v>0.7299</v>
      </c>
      <c r="Z154" s="308"/>
      <c r="AA154" s="308"/>
      <c r="AB154" s="575" t="str">
        <f t="shared" si="10"/>
        <v/>
      </c>
      <c r="AC154" s="576">
        <f t="shared" si="11"/>
        <v>0.7192241206</v>
      </c>
      <c r="AD154" s="577">
        <v>0.002323645807</v>
      </c>
      <c r="AE154" s="572">
        <v>0.005951767216</v>
      </c>
      <c r="AF154" s="578">
        <v>7.603731683E-4</v>
      </c>
      <c r="AG154" s="132">
        <v>0.07088650093</v>
      </c>
      <c r="AH154" s="132">
        <v>0.232030044</v>
      </c>
      <c r="AI154" s="579">
        <v>0.03179556718</v>
      </c>
      <c r="AJ154" s="579">
        <v>0.03999049456</v>
      </c>
      <c r="AK154" s="580">
        <v>0.1460796172</v>
      </c>
      <c r="AL154" s="580">
        <v>0.1744913439</v>
      </c>
      <c r="AM154" s="581">
        <v>0.0</v>
      </c>
      <c r="AN154" s="571" t="str">
        <f>IFERROR(
  AVERAGEIFS(
    'New LF Efficacy'!$J:$J,
    'New LF Efficacy'!$D:$D, $A154,
    'New LF Efficacy'!$F:$F,"DEC", 
    'New LF Efficacy'!$W:$W,"&lt;2016",
    'New LF Efficacy'!$AA:$AA,""),
  ""
)</f>
        <v/>
      </c>
      <c r="AO154" s="582">
        <f t="shared" si="12"/>
        <v>0.38</v>
      </c>
      <c r="AP154" s="571" t="str">
        <f>IFERROR(
AVERAGEIFS(
'New LF Efficacy'!$J:$J,
'New LF Efficacy'!$D:$D,$A154,
'New LF Efficacy'!$F:$F,"Albendazole &amp; DEC",
'New LF Efficacy'!$W:$W,"&lt;2016",
'New LF Efficacy'!$AA:$AA,""),
"")</f>
        <v/>
      </c>
      <c r="AQ154" s="582">
        <f t="shared" si="13"/>
        <v>0.662</v>
      </c>
      <c r="AR154" s="571" t="str">
        <f>IFERROR(
AVERAGEIFS(
'New LF Efficacy'!$J:$J,
'New LF Efficacy'!$D:$D,$A154,
'New LF Efficacy'!$F:$F,"Albendazole &amp; Ivermectin", 
'New LF Efficacy'!$W:$W,"&lt;2016",
'New LF Efficacy'!$AA:$AA,""),"")</f>
        <v/>
      </c>
      <c r="AS154" s="582">
        <f t="shared" si="14"/>
        <v>0.37153125</v>
      </c>
      <c r="AT154" s="583">
        <f>IFERROR(AVERAGEIFS(
'Schist Efficacy'!$O:$O, 
'Schist Efficacy'!$C:$C,$A154, 
'Schist Efficacy'!$D:$D, "Praziquantel",
'Schist Efficacy'!$J:$J,"&lt;2016",
'Schist Efficacy'!$U:$U,""),
"")</f>
        <v>0.945</v>
      </c>
      <c r="AU154" s="572">
        <f t="shared" si="15"/>
        <v>0.945</v>
      </c>
      <c r="AV154" s="131">
        <f>IFERROR(AVERAGEIFS(
'STH Efficacy'!$AX:$AX, 
'STH Efficacy'!$AL:$AL, $A154, 
'STH Efficacy'!$AM:$AM, "Albendazole",
'STH Efficacy'!$AS:$AS,"&lt;2016",
'STH Efficacy'!$BP:$BP,""),
"")</f>
        <v>0.315</v>
      </c>
      <c r="AW154" s="132">
        <f t="shared" si="16"/>
        <v>0.315</v>
      </c>
      <c r="AX154" s="131" t="str">
        <f>IFERROR(AVERAGEIFS(
'STH Efficacy'!$AX:$AX, 
'STH Efficacy'!$AL:$AL, $A154, 
'STH Efficacy'!$AM:$AM, "Mebendazole",
'STH Efficacy'!$AS:$AS,"&lt;2016",
'STH Efficacy'!$BP:$BP,""),
"")</f>
        <v/>
      </c>
      <c r="AY154" s="132">
        <f t="shared" si="17"/>
        <v>0.4155</v>
      </c>
      <c r="AZ154" s="131">
        <f>IFERROR(AVERAGEIFS(
'STH Efficacy'!$AX:$AX, 
'STH Efficacy'!$AL:$AL, $A154, 
'STH Efficacy'!$AM:$AM, "Albendazole &amp; Ivermectin",
'STH Efficacy'!$AS:$AS,"&lt;2016",
'STH Efficacy'!$BP:$BP,""),
"")</f>
        <v>0.651</v>
      </c>
      <c r="BA154" s="303">
        <f t="shared" si="18"/>
        <v>0.651</v>
      </c>
      <c r="BB154" s="584" t="str">
        <f>IFERROR(AVERAGEIFS(
'STH Efficacy'!$N:$N, 
'STH Efficacy'!$B:$B, $A154, 
'STH Efficacy'!$C:$C, "Albendazole",
'STH Efficacy'!$I:$I,"&lt;2016",
'STH Efficacy'!$AH:$AH,""),
"")</f>
        <v/>
      </c>
      <c r="BC154" s="579">
        <f t="shared" si="19"/>
        <v>0.5769166667</v>
      </c>
      <c r="BD154" s="584" t="str">
        <f>IFERROR(AVERAGEIFS(
'STH Efficacy'!$N:$N, 
'STH Efficacy'!$B:$B, $A154, 
'STH Efficacy'!$C:$C, "Mebendazole",
'STH Efficacy'!$I:$I,"&lt;2016",
'STH Efficacy'!$AH:$AH,""),
"")</f>
        <v/>
      </c>
      <c r="BE154" s="579">
        <f t="shared" si="20"/>
        <v>0.3145</v>
      </c>
      <c r="BF154" s="585" t="str">
        <f>IFERROR(AVERAGEIFS(
'STH Efficacy'!$CD:$CD, 
'STH Efficacy'!$BS:$BS, $A154, 
'STH Efficacy'!$BT:$BT, "Albendazole",
'STH Efficacy'!$BZ:$BZ,"&lt;2016",
'STH Efficacy'!$CU:$CU,""),
"")</f>
        <v/>
      </c>
      <c r="BG154" s="580">
        <f t="shared" si="21"/>
        <v>0.96925</v>
      </c>
      <c r="BH154" s="585" t="str">
        <f>IFERROR(AVERAGEIFS(
'STH Efficacy'!$CD:$CD, 
'STH Efficacy'!$BS:$BS, $A154, 
'STH Efficacy'!$BT:$BT, "Mebendazole",
'STH Efficacy'!$BZ:$BZ,"&lt;2016",
'STH Efficacy'!$CU:$CU,""),
"")</f>
        <v/>
      </c>
      <c r="BI154" s="580">
        <f t="shared" si="22"/>
        <v>0.9305</v>
      </c>
      <c r="BJ154" s="585" t="str">
        <f>IFERROR(AVERAGEIFS(
'STH Efficacy'!$CD:$CD, 
'STH Efficacy'!$BS:$BS, $A154, 
'STH Efficacy'!$BT:$BT, "Albendazole &amp; Ivermectin",
'STH Efficacy'!$BZ:$BZ,"&lt;2016",
'STH Efficacy'!$CU:$CU,""),
"")</f>
        <v/>
      </c>
      <c r="BK154" s="580">
        <f t="shared" si="23"/>
        <v>0.848</v>
      </c>
      <c r="BL154" s="575" t="str">
        <f>IFERROR(
  AVERAGEIFS(
    'NEW Onchocerciasis Efficacy'!$AO:$AO,
    'NEW Onchocerciasis Efficacy'!$C:$C,$A154,
    'NEW Onchocerciasis Efficacy'!$D:$D,"Ivermectin",
    'NEW Onchocerciasis Efficacy'!$AR:$AR,"&lt;2016",
    'NEW Onchocerciasis Efficacy'!$BG:$BG,"")
,"")</f>
        <v/>
      </c>
      <c r="BM154" s="586">
        <f t="shared" si="24"/>
        <v>0.7808368939</v>
      </c>
      <c r="BN154" s="587">
        <v>1.0</v>
      </c>
      <c r="BO154" s="588">
        <v>0.0</v>
      </c>
      <c r="BP154" s="589">
        <v>1.0</v>
      </c>
      <c r="BQ154" s="590">
        <f t="shared" si="25"/>
        <v>0</v>
      </c>
      <c r="BR154" s="560" t="str">
        <f t="shared" si="26"/>
        <v>1010</v>
      </c>
      <c r="BS154" s="560" t="str">
        <f t="shared" si="27"/>
        <v>MDA1/2+T2</v>
      </c>
      <c r="BT154" s="606" t="str">
        <f t="shared" si="44"/>
        <v>IVM+ALB or DEC +ALB</v>
      </c>
      <c r="BU154" s="560" t="str">
        <f t="shared" si="29"/>
        <v>PZQ</v>
      </c>
      <c r="BV154" s="560" t="str">
        <f t="shared" si="30"/>
        <v>lf+schist </v>
      </c>
      <c r="BW154" s="150" t="str">
        <f t="shared" si="31"/>
        <v/>
      </c>
      <c r="BX154" s="607">
        <f t="shared" si="32"/>
        <v>4522.026289</v>
      </c>
      <c r="BY154" s="608">
        <f t="shared" si="33"/>
        <v>21839.7867</v>
      </c>
      <c r="BZ154" s="152" t="str">
        <f t="shared" si="34"/>
        <v/>
      </c>
      <c r="CA154" s="152" t="str">
        <f t="shared" si="35"/>
        <v/>
      </c>
      <c r="CB154" s="152" t="str">
        <f t="shared" si="36"/>
        <v/>
      </c>
      <c r="CC154" s="153" t="str">
        <f t="shared" si="37"/>
        <v/>
      </c>
      <c r="CD154" s="153" t="str">
        <f t="shared" si="38"/>
        <v/>
      </c>
      <c r="CE154" s="154" t="str">
        <f t="shared" si="39"/>
        <v/>
      </c>
      <c r="CF154" s="154" t="str">
        <f t="shared" si="40"/>
        <v/>
      </c>
      <c r="CG154" s="154" t="str">
        <f t="shared" si="41"/>
        <v/>
      </c>
      <c r="CH154" s="308" t="str">
        <f t="shared" si="42"/>
        <v/>
      </c>
    </row>
    <row r="155">
      <c r="A155" s="599" t="s">
        <v>244</v>
      </c>
      <c r="B155" s="560" t="s">
        <v>90</v>
      </c>
      <c r="C155" s="561">
        <v>3.7986412E7</v>
      </c>
      <c r="D155" s="562">
        <v>0.0</v>
      </c>
      <c r="E155" s="563">
        <v>0.0</v>
      </c>
      <c r="F155" s="564">
        <v>0.0</v>
      </c>
      <c r="G155" s="564">
        <v>0.0</v>
      </c>
      <c r="H155" s="564">
        <v>0.0</v>
      </c>
      <c r="I155" s="565">
        <v>0.0</v>
      </c>
      <c r="J155" s="566">
        <v>0.0</v>
      </c>
      <c r="K155" s="566">
        <v>0.0</v>
      </c>
      <c r="L155" s="567">
        <v>0.273649906</v>
      </c>
      <c r="M155" s="568">
        <v>0.19827111818808</v>
      </c>
      <c r="N155" s="568">
        <v>1.43577536137982</v>
      </c>
      <c r="O155" s="569">
        <v>0.0</v>
      </c>
      <c r="P155" s="570"/>
      <c r="Q155" s="150"/>
      <c r="R155" s="571"/>
      <c r="S155" s="116">
        <f t="shared" si="6"/>
        <v>0.6648642857</v>
      </c>
      <c r="T155" s="151"/>
      <c r="U155" s="572">
        <f t="shared" si="7"/>
        <v>0.53016</v>
      </c>
      <c r="V155" s="598"/>
      <c r="W155" s="574" t="b">
        <f t="shared" si="8"/>
        <v>0</v>
      </c>
      <c r="X155" s="598"/>
      <c r="Y155" s="574">
        <f t="shared" si="9"/>
        <v>0.631675</v>
      </c>
      <c r="Z155" s="308"/>
      <c r="AA155" s="308"/>
      <c r="AB155" s="575" t="str">
        <f t="shared" si="10"/>
        <v/>
      </c>
      <c r="AC155" s="576">
        <f t="shared" si="11"/>
        <v>0.7192241206</v>
      </c>
      <c r="AD155" s="577">
        <v>0.0</v>
      </c>
      <c r="AE155" s="572">
        <v>0.0</v>
      </c>
      <c r="AF155" s="578">
        <v>0.0</v>
      </c>
      <c r="AG155" s="133">
        <v>0.0</v>
      </c>
      <c r="AH155" s="133">
        <v>0.0</v>
      </c>
      <c r="AI155" s="623">
        <v>0.0</v>
      </c>
      <c r="AJ155" s="623">
        <v>0.0</v>
      </c>
      <c r="AK155" s="624">
        <v>0.0</v>
      </c>
      <c r="AL155" s="624">
        <v>0.0</v>
      </c>
      <c r="AM155" s="581">
        <v>0.0</v>
      </c>
      <c r="AN155" s="571" t="str">
        <f>IFERROR(
  AVERAGEIFS(
    'New LF Efficacy'!$J:$J,
    'New LF Efficacy'!$D:$D, $A155,
    'New LF Efficacy'!$F:$F,"DEC", 
    'New LF Efficacy'!$W:$W,"&lt;2016",
    'New LF Efficacy'!$AA:$AA,""),
  ""
)</f>
        <v/>
      </c>
      <c r="AO155" s="582">
        <f t="shared" si="12"/>
        <v>0.3573520833</v>
      </c>
      <c r="AP155" s="571" t="str">
        <f>IFERROR(
AVERAGEIFS(
'New LF Efficacy'!$J:$J,
'New LF Efficacy'!$D:$D,$A155,
'New LF Efficacy'!$F:$F,"Albendazole &amp; DEC",
'New LF Efficacy'!$W:$W,"&lt;2016",
'New LF Efficacy'!$AA:$AA,""),
"")</f>
        <v/>
      </c>
      <c r="AQ155" s="582">
        <f t="shared" si="13"/>
        <v>0.5143541667</v>
      </c>
      <c r="AR155" s="571" t="str">
        <f>IFERROR(
AVERAGEIFS(
'New LF Efficacy'!$J:$J,
'New LF Efficacy'!$D:$D,$A155,
'New LF Efficacy'!$F:$F,"Albendazole &amp; Ivermectin", 
'New LF Efficacy'!$W:$W,"&lt;2016",
'New LF Efficacy'!$AA:$AA,""),"")</f>
        <v/>
      </c>
      <c r="AS155" s="582">
        <f t="shared" si="14"/>
        <v>0.37153125</v>
      </c>
      <c r="AT155" s="583" t="str">
        <f>IFERROR(AVERAGEIFS(
'Schist Efficacy'!$O:$O, 
'Schist Efficacy'!$C:$C,$A155, 
'Schist Efficacy'!$D:$D, "Praziquantel",
'Schist Efficacy'!$J:$J,"&lt;2016",
'Schist Efficacy'!$U:$U,""),
"")</f>
        <v/>
      </c>
      <c r="AU155" s="572">
        <f t="shared" si="15"/>
        <v>0.655</v>
      </c>
      <c r="AV155" s="131" t="str">
        <f>IFERROR(AVERAGEIFS(
'STH Efficacy'!$AX:$AX, 
'STH Efficacy'!$AL:$AL, $A155, 
'STH Efficacy'!$AM:$AM, "Albendazole",
'STH Efficacy'!$AS:$AS,"&lt;2016",
'STH Efficacy'!$BP:$BP,""),
"")</f>
        <v/>
      </c>
      <c r="AW155" s="132">
        <f t="shared" si="16"/>
        <v>0.4143846154</v>
      </c>
      <c r="AX155" s="131" t="str">
        <f>IFERROR(AVERAGEIFS(
'STH Efficacy'!$AX:$AX, 
'STH Efficacy'!$AL:$AL, $A155, 
'STH Efficacy'!$AM:$AM, "Mebendazole",
'STH Efficacy'!$AS:$AS,"&lt;2016",
'STH Efficacy'!$BP:$BP,""),
"")</f>
        <v/>
      </c>
      <c r="AY155" s="132">
        <f t="shared" si="17"/>
        <v>0.4691770833</v>
      </c>
      <c r="AZ155" s="131" t="str">
        <f>IFERROR(AVERAGEIFS(
'STH Efficacy'!$AX:$AX, 
'STH Efficacy'!$AL:$AL, $A155, 
'STH Efficacy'!$AM:$AM, "Albendazole &amp; Ivermectin",
'STH Efficacy'!$AS:$AS,"&lt;2016",
'STH Efficacy'!$BP:$BP,""),
"")</f>
        <v/>
      </c>
      <c r="BA155" s="303">
        <f t="shared" si="18"/>
        <v>0.597625</v>
      </c>
      <c r="BB155" s="584" t="str">
        <f>IFERROR(AVERAGEIFS(
'STH Efficacy'!$N:$N, 
'STH Efficacy'!$B:$B, $A155, 
'STH Efficacy'!$C:$C, "Albendazole",
'STH Efficacy'!$I:$I,"&lt;2016",
'STH Efficacy'!$AH:$AH,""),
"")</f>
        <v/>
      </c>
      <c r="BC155" s="579">
        <f t="shared" si="19"/>
        <v>0.7613712121</v>
      </c>
      <c r="BD155" s="584" t="str">
        <f>IFERROR(AVERAGEIFS(
'STH Efficacy'!$N:$N, 
'STH Efficacy'!$B:$B, $A155, 
'STH Efficacy'!$C:$C, "Mebendazole",
'STH Efficacy'!$I:$I,"&lt;2016",
'STH Efficacy'!$AH:$AH,""),
"")</f>
        <v/>
      </c>
      <c r="BE155" s="579">
        <f t="shared" si="20"/>
        <v>0.4362466667</v>
      </c>
      <c r="BF155" s="585" t="str">
        <f>IFERROR(AVERAGEIFS(
'STH Efficacy'!$CD:$CD, 
'STH Efficacy'!$BS:$BS, $A155, 
'STH Efficacy'!$BT:$BT, "Albendazole",
'STH Efficacy'!$BZ:$BZ,"&lt;2016",
'STH Efficacy'!$CU:$CU,""),
"")</f>
        <v/>
      </c>
      <c r="BG155" s="580">
        <f t="shared" si="21"/>
        <v>0.9216027778</v>
      </c>
      <c r="BH155" s="585" t="str">
        <f>IFERROR(AVERAGEIFS(
'STH Efficacy'!$CD:$CD, 
'STH Efficacy'!$BS:$BS, $A155, 
'STH Efficacy'!$BT:$BT, "Mebendazole",
'STH Efficacy'!$BZ:$BZ,"&lt;2016",
'STH Efficacy'!$CU:$CU,""),
"")</f>
        <v/>
      </c>
      <c r="BI155" s="580">
        <f t="shared" si="22"/>
        <v>0.8866041667</v>
      </c>
      <c r="BJ155" s="585" t="str">
        <f>IFERROR(AVERAGEIFS(
'STH Efficacy'!$CD:$CD, 
'STH Efficacy'!$BS:$BS, $A155, 
'STH Efficacy'!$BT:$BT, "Albendazole &amp; Ivermectin",
'STH Efficacy'!$BZ:$BZ,"&lt;2016",
'STH Efficacy'!$CU:$CU,""),
"")</f>
        <v/>
      </c>
      <c r="BK155" s="580">
        <f t="shared" si="23"/>
        <v>0.848</v>
      </c>
      <c r="BL155" s="575" t="str">
        <f>IFERROR(
  AVERAGEIFS(
    'NEW Onchocerciasis Efficacy'!$AO:$AO,
    'NEW Onchocerciasis Efficacy'!$C:$C,$A155,
    'NEW Onchocerciasis Efficacy'!$D:$D,"Ivermectin",
    'NEW Onchocerciasis Efficacy'!$AR:$AR,"&lt;2016",
    'NEW Onchocerciasis Efficacy'!$BG:$BG,"")
,"")</f>
        <v/>
      </c>
      <c r="BM155" s="586">
        <f t="shared" si="24"/>
        <v>0.7808368939</v>
      </c>
      <c r="BN155" s="587">
        <v>0.0</v>
      </c>
      <c r="BO155" s="588">
        <v>0.0</v>
      </c>
      <c r="BP155" s="589">
        <v>0.0</v>
      </c>
      <c r="BQ155" s="590">
        <f t="shared" si="25"/>
        <v>0</v>
      </c>
      <c r="BR155" s="560" t="str">
        <f t="shared" si="26"/>
        <v>0000</v>
      </c>
      <c r="BS155" s="560" t="str">
        <f t="shared" si="27"/>
        <v>no action required</v>
      </c>
      <c r="BT155" s="361" t="str">
        <f t="shared" si="44"/>
        <v/>
      </c>
      <c r="BU155" s="591" t="str">
        <f t="shared" si="29"/>
        <v/>
      </c>
      <c r="BV155" s="560" t="str">
        <f t="shared" si="30"/>
        <v>none</v>
      </c>
      <c r="BW155" s="150" t="str">
        <f t="shared" si="31"/>
        <v/>
      </c>
      <c r="BX155" s="150" t="str">
        <f t="shared" si="32"/>
        <v/>
      </c>
      <c r="BY155" s="151" t="str">
        <f t="shared" si="33"/>
        <v/>
      </c>
      <c r="BZ155" s="152" t="str">
        <f t="shared" si="34"/>
        <v/>
      </c>
      <c r="CA155" s="152" t="str">
        <f t="shared" si="35"/>
        <v/>
      </c>
      <c r="CB155" s="152" t="str">
        <f t="shared" si="36"/>
        <v/>
      </c>
      <c r="CC155" s="153" t="str">
        <f t="shared" si="37"/>
        <v/>
      </c>
      <c r="CD155" s="153" t="str">
        <f t="shared" si="38"/>
        <v/>
      </c>
      <c r="CE155" s="154" t="str">
        <f t="shared" si="39"/>
        <v/>
      </c>
      <c r="CF155" s="154" t="str">
        <f t="shared" si="40"/>
        <v/>
      </c>
      <c r="CG155" s="154" t="str">
        <f t="shared" si="41"/>
        <v/>
      </c>
      <c r="CH155" s="308" t="str">
        <f t="shared" si="42"/>
        <v/>
      </c>
    </row>
    <row r="156">
      <c r="A156" s="599" t="s">
        <v>245</v>
      </c>
      <c r="B156" s="560" t="s">
        <v>90</v>
      </c>
      <c r="C156" s="561">
        <v>1.0358076E7</v>
      </c>
      <c r="D156" s="562">
        <v>0.0</v>
      </c>
      <c r="E156" s="563">
        <v>0.0</v>
      </c>
      <c r="F156" s="564">
        <v>0.0</v>
      </c>
      <c r="G156" s="564">
        <v>0.0</v>
      </c>
      <c r="H156" s="564">
        <v>0.0</v>
      </c>
      <c r="I156" s="565">
        <v>0.0</v>
      </c>
      <c r="J156" s="566">
        <v>0.0</v>
      </c>
      <c r="K156" s="566">
        <v>0.0</v>
      </c>
      <c r="L156" s="567">
        <v>0.0</v>
      </c>
      <c r="M156" s="568">
        <v>0.0</v>
      </c>
      <c r="N156" s="568">
        <v>0.0</v>
      </c>
      <c r="O156" s="569">
        <v>0.0</v>
      </c>
      <c r="P156" s="570"/>
      <c r="Q156" s="150"/>
      <c r="R156" s="571"/>
      <c r="S156" s="116">
        <f t="shared" si="6"/>
        <v>0.6648642857</v>
      </c>
      <c r="T156" s="151"/>
      <c r="U156" s="572">
        <f t="shared" si="7"/>
        <v>0.53016</v>
      </c>
      <c r="V156" s="598"/>
      <c r="W156" s="574" t="b">
        <f t="shared" si="8"/>
        <v>0</v>
      </c>
      <c r="X156" s="598"/>
      <c r="Y156" s="574">
        <f t="shared" si="9"/>
        <v>0.631675</v>
      </c>
      <c r="Z156" s="308"/>
      <c r="AA156" s="308"/>
      <c r="AB156" s="575" t="str">
        <f t="shared" si="10"/>
        <v/>
      </c>
      <c r="AC156" s="576">
        <f t="shared" si="11"/>
        <v>0.7192241206</v>
      </c>
      <c r="AD156" s="577">
        <v>0.0</v>
      </c>
      <c r="AE156" s="572">
        <v>0.0</v>
      </c>
      <c r="AF156" s="578">
        <v>0.0</v>
      </c>
      <c r="AG156" s="133">
        <v>0.0</v>
      </c>
      <c r="AH156" s="133">
        <v>0.0</v>
      </c>
      <c r="AI156" s="623">
        <v>0.0</v>
      </c>
      <c r="AJ156" s="623">
        <v>0.0</v>
      </c>
      <c r="AK156" s="624">
        <v>0.0</v>
      </c>
      <c r="AL156" s="624">
        <v>0.0</v>
      </c>
      <c r="AM156" s="581">
        <v>0.0</v>
      </c>
      <c r="AN156" s="571" t="str">
        <f>IFERROR(
  AVERAGEIFS(
    'New LF Efficacy'!$J:$J,
    'New LF Efficacy'!$D:$D, $A156,
    'New LF Efficacy'!$F:$F,"DEC", 
    'New LF Efficacy'!$W:$W,"&lt;2016",
    'New LF Efficacy'!$AA:$AA,""),
  ""
)</f>
        <v/>
      </c>
      <c r="AO156" s="582">
        <f t="shared" si="12"/>
        <v>0.3573520833</v>
      </c>
      <c r="AP156" s="571" t="str">
        <f>IFERROR(
AVERAGEIFS(
'New LF Efficacy'!$J:$J,
'New LF Efficacy'!$D:$D,$A156,
'New LF Efficacy'!$F:$F,"Albendazole &amp; DEC",
'New LF Efficacy'!$W:$W,"&lt;2016",
'New LF Efficacy'!$AA:$AA,""),
"")</f>
        <v/>
      </c>
      <c r="AQ156" s="582">
        <f t="shared" si="13"/>
        <v>0.5143541667</v>
      </c>
      <c r="AR156" s="571" t="str">
        <f>IFERROR(
AVERAGEIFS(
'New LF Efficacy'!$J:$J,
'New LF Efficacy'!$D:$D,$A156,
'New LF Efficacy'!$F:$F,"Albendazole &amp; Ivermectin", 
'New LF Efficacy'!$W:$W,"&lt;2016",
'New LF Efficacy'!$AA:$AA,""),"")</f>
        <v/>
      </c>
      <c r="AS156" s="582">
        <f t="shared" si="14"/>
        <v>0.37153125</v>
      </c>
      <c r="AT156" s="583" t="str">
        <f>IFERROR(AVERAGEIFS(
'Schist Efficacy'!$O:$O, 
'Schist Efficacy'!$C:$C,$A156, 
'Schist Efficacy'!$D:$D, "Praziquantel",
'Schist Efficacy'!$J:$J,"&lt;2016",
'Schist Efficacy'!$U:$U,""),
"")</f>
        <v/>
      </c>
      <c r="AU156" s="572">
        <f t="shared" si="15"/>
        <v>0.655</v>
      </c>
      <c r="AV156" s="131" t="str">
        <f>IFERROR(AVERAGEIFS(
'STH Efficacy'!$AX:$AX, 
'STH Efficacy'!$AL:$AL, $A156, 
'STH Efficacy'!$AM:$AM, "Albendazole",
'STH Efficacy'!$AS:$AS,"&lt;2016",
'STH Efficacy'!$BP:$BP,""),
"")</f>
        <v/>
      </c>
      <c r="AW156" s="132">
        <f t="shared" si="16"/>
        <v>0.4143846154</v>
      </c>
      <c r="AX156" s="131" t="str">
        <f>IFERROR(AVERAGEIFS(
'STH Efficacy'!$AX:$AX, 
'STH Efficacy'!$AL:$AL, $A156, 
'STH Efficacy'!$AM:$AM, "Mebendazole",
'STH Efficacy'!$AS:$AS,"&lt;2016",
'STH Efficacy'!$BP:$BP,""),
"")</f>
        <v/>
      </c>
      <c r="AY156" s="132">
        <f t="shared" si="17"/>
        <v>0.4691770833</v>
      </c>
      <c r="AZ156" s="131" t="str">
        <f>IFERROR(AVERAGEIFS(
'STH Efficacy'!$AX:$AX, 
'STH Efficacy'!$AL:$AL, $A156, 
'STH Efficacy'!$AM:$AM, "Albendazole &amp; Ivermectin",
'STH Efficacy'!$AS:$AS,"&lt;2016",
'STH Efficacy'!$BP:$BP,""),
"")</f>
        <v/>
      </c>
      <c r="BA156" s="303">
        <f t="shared" si="18"/>
        <v>0.597625</v>
      </c>
      <c r="BB156" s="584" t="str">
        <f>IFERROR(AVERAGEIFS(
'STH Efficacy'!$N:$N, 
'STH Efficacy'!$B:$B, $A156, 
'STH Efficacy'!$C:$C, "Albendazole",
'STH Efficacy'!$I:$I,"&lt;2016",
'STH Efficacy'!$AH:$AH,""),
"")</f>
        <v/>
      </c>
      <c r="BC156" s="579">
        <f t="shared" si="19"/>
        <v>0.7613712121</v>
      </c>
      <c r="BD156" s="584" t="str">
        <f>IFERROR(AVERAGEIFS(
'STH Efficacy'!$N:$N, 
'STH Efficacy'!$B:$B, $A156, 
'STH Efficacy'!$C:$C, "Mebendazole",
'STH Efficacy'!$I:$I,"&lt;2016",
'STH Efficacy'!$AH:$AH,""),
"")</f>
        <v/>
      </c>
      <c r="BE156" s="579">
        <f t="shared" si="20"/>
        <v>0.4362466667</v>
      </c>
      <c r="BF156" s="585" t="str">
        <f>IFERROR(AVERAGEIFS(
'STH Efficacy'!$CD:$CD, 
'STH Efficacy'!$BS:$BS, $A156, 
'STH Efficacy'!$BT:$BT, "Albendazole",
'STH Efficacy'!$BZ:$BZ,"&lt;2016",
'STH Efficacy'!$CU:$CU,""),
"")</f>
        <v/>
      </c>
      <c r="BG156" s="580">
        <f t="shared" si="21"/>
        <v>0.9216027778</v>
      </c>
      <c r="BH156" s="585" t="str">
        <f>IFERROR(AVERAGEIFS(
'STH Efficacy'!$CD:$CD, 
'STH Efficacy'!$BS:$BS, $A156, 
'STH Efficacy'!$BT:$BT, "Mebendazole",
'STH Efficacy'!$BZ:$BZ,"&lt;2016",
'STH Efficacy'!$CU:$CU,""),
"")</f>
        <v/>
      </c>
      <c r="BI156" s="580">
        <f t="shared" si="22"/>
        <v>0.8866041667</v>
      </c>
      <c r="BJ156" s="585" t="str">
        <f>IFERROR(AVERAGEIFS(
'STH Efficacy'!$CD:$CD, 
'STH Efficacy'!$BS:$BS, $A156, 
'STH Efficacy'!$BT:$BT, "Albendazole &amp; Ivermectin",
'STH Efficacy'!$BZ:$BZ,"&lt;2016",
'STH Efficacy'!$CU:$CU,""),
"")</f>
        <v/>
      </c>
      <c r="BK156" s="580">
        <f t="shared" si="23"/>
        <v>0.848</v>
      </c>
      <c r="BL156" s="575" t="str">
        <f>IFERROR(
  AVERAGEIFS(
    'NEW Onchocerciasis Efficacy'!$AO:$AO,
    'NEW Onchocerciasis Efficacy'!$C:$C,$A156,
    'NEW Onchocerciasis Efficacy'!$D:$D,"Ivermectin",
    'NEW Onchocerciasis Efficacy'!$AR:$AR,"&lt;2016",
    'NEW Onchocerciasis Efficacy'!$BG:$BG,"")
,"")</f>
        <v/>
      </c>
      <c r="BM156" s="586">
        <f t="shared" si="24"/>
        <v>0.7808368939</v>
      </c>
      <c r="BN156" s="587">
        <v>0.0</v>
      </c>
      <c r="BO156" s="588">
        <v>0.0</v>
      </c>
      <c r="BP156" s="589">
        <v>0.0</v>
      </c>
      <c r="BQ156" s="590">
        <f t="shared" si="25"/>
        <v>0</v>
      </c>
      <c r="BR156" s="560" t="str">
        <f t="shared" si="26"/>
        <v>0000</v>
      </c>
      <c r="BS156" s="560" t="str">
        <f t="shared" si="27"/>
        <v>no action required</v>
      </c>
      <c r="BT156" s="361" t="str">
        <f t="shared" si="44"/>
        <v/>
      </c>
      <c r="BU156" s="591" t="str">
        <f t="shared" si="29"/>
        <v/>
      </c>
      <c r="BV156" s="560" t="str">
        <f t="shared" si="30"/>
        <v>none</v>
      </c>
      <c r="BW156" s="150" t="str">
        <f t="shared" si="31"/>
        <v/>
      </c>
      <c r="BX156" s="150" t="str">
        <f t="shared" si="32"/>
        <v/>
      </c>
      <c r="BY156" s="151" t="str">
        <f t="shared" si="33"/>
        <v/>
      </c>
      <c r="BZ156" s="152" t="str">
        <f t="shared" si="34"/>
        <v/>
      </c>
      <c r="CA156" s="152" t="str">
        <f t="shared" si="35"/>
        <v/>
      </c>
      <c r="CB156" s="152" t="str">
        <f t="shared" si="36"/>
        <v/>
      </c>
      <c r="CC156" s="153" t="str">
        <f t="shared" si="37"/>
        <v/>
      </c>
      <c r="CD156" s="153" t="str">
        <f t="shared" si="38"/>
        <v/>
      </c>
      <c r="CE156" s="154" t="str">
        <f t="shared" si="39"/>
        <v/>
      </c>
      <c r="CF156" s="154" t="str">
        <f t="shared" si="40"/>
        <v/>
      </c>
      <c r="CG156" s="154" t="str">
        <f t="shared" si="41"/>
        <v/>
      </c>
      <c r="CH156" s="308" t="str">
        <f t="shared" si="42"/>
        <v/>
      </c>
    </row>
    <row r="157">
      <c r="A157" s="599" t="s">
        <v>246</v>
      </c>
      <c r="B157" s="560" t="s">
        <v>98</v>
      </c>
      <c r="C157" s="561">
        <v>3473181.0</v>
      </c>
      <c r="D157" s="562">
        <v>0.0</v>
      </c>
      <c r="E157" s="563">
        <v>121.341053981053</v>
      </c>
      <c r="F157" s="564">
        <v>0.0</v>
      </c>
      <c r="G157" s="564">
        <v>0.0</v>
      </c>
      <c r="H157" s="564">
        <v>0.0</v>
      </c>
      <c r="I157" s="565">
        <v>0.0</v>
      </c>
      <c r="J157" s="566">
        <v>0.0</v>
      </c>
      <c r="K157" s="566">
        <v>0.0</v>
      </c>
      <c r="L157" s="567">
        <v>0.0</v>
      </c>
      <c r="M157" s="568">
        <v>0.0</v>
      </c>
      <c r="N157" s="568">
        <v>0.0</v>
      </c>
      <c r="O157" s="569">
        <v>0.0</v>
      </c>
      <c r="P157" s="570"/>
      <c r="Q157" s="150"/>
      <c r="R157" s="571"/>
      <c r="S157" s="116">
        <f t="shared" si="6"/>
        <v>0.6451333333</v>
      </c>
      <c r="T157" s="151"/>
      <c r="U157" s="572">
        <f t="shared" si="7"/>
        <v>0.0025</v>
      </c>
      <c r="V157" s="598"/>
      <c r="W157" s="574">
        <f t="shared" si="8"/>
        <v>0.56882</v>
      </c>
      <c r="X157" s="598"/>
      <c r="Y157" s="574">
        <f t="shared" si="9"/>
        <v>0.5825818182</v>
      </c>
      <c r="Z157" s="308"/>
      <c r="AA157" s="308"/>
      <c r="AB157" s="575" t="str">
        <f t="shared" si="10"/>
        <v/>
      </c>
      <c r="AC157" s="576">
        <f t="shared" si="11"/>
        <v>0.7574216602</v>
      </c>
      <c r="AD157" s="577">
        <v>0.0</v>
      </c>
      <c r="AE157" s="572">
        <v>0.00539109944</v>
      </c>
      <c r="AF157" s="578">
        <v>1.540252406E-4</v>
      </c>
      <c r="AG157" s="133">
        <v>0.0</v>
      </c>
      <c r="AH157" s="133">
        <v>0.0</v>
      </c>
      <c r="AI157" s="623">
        <v>0.0</v>
      </c>
      <c r="AJ157" s="623">
        <v>0.0</v>
      </c>
      <c r="AK157" s="624">
        <v>0.0</v>
      </c>
      <c r="AL157" s="624">
        <v>0.0</v>
      </c>
      <c r="AM157" s="581">
        <v>0.0</v>
      </c>
      <c r="AN157" s="571" t="str">
        <f>IFERROR(
  AVERAGEIFS(
    'New LF Efficacy'!$J:$J,
    'New LF Efficacy'!$D:$D, $A157,
    'New LF Efficacy'!$F:$F,"DEC", 
    'New LF Efficacy'!$W:$W,"&lt;2016",
    'New LF Efficacy'!$AA:$AA,""),
  ""
)</f>
        <v/>
      </c>
      <c r="AO157" s="582">
        <f t="shared" si="12"/>
        <v>0.2589833333</v>
      </c>
      <c r="AP157" s="571" t="str">
        <f>IFERROR(
AVERAGEIFS(
'New LF Efficacy'!$J:$J,
'New LF Efficacy'!$D:$D,$A157,
'New LF Efficacy'!$F:$F,"Albendazole &amp; DEC",
'New LF Efficacy'!$W:$W,"&lt;2016",
'New LF Efficacy'!$AA:$AA,""),
"")</f>
        <v/>
      </c>
      <c r="AQ157" s="582">
        <f t="shared" si="13"/>
        <v>0.3465</v>
      </c>
      <c r="AR157" s="571" t="str">
        <f>IFERROR(
AVERAGEIFS(
'New LF Efficacy'!$J:$J,
'New LF Efficacy'!$D:$D,$A157,
'New LF Efficacy'!$F:$F,"Albendazole &amp; Ivermectin", 
'New LF Efficacy'!$W:$W,"&lt;2016",
'New LF Efficacy'!$AA:$AA,""),"")</f>
        <v/>
      </c>
      <c r="AS157" s="582">
        <f t="shared" si="14"/>
        <v>0.7575</v>
      </c>
      <c r="AT157" s="583" t="str">
        <f>IFERROR(AVERAGEIFS(
'Schist Efficacy'!$O:$O, 
'Schist Efficacy'!$C:$C,$A157, 
'Schist Efficacy'!$D:$D, "Praziquantel",
'Schist Efficacy'!$J:$J,"&lt;2016",
'Schist Efficacy'!$U:$U,""),
"")</f>
        <v/>
      </c>
      <c r="AU157" s="572">
        <f t="shared" si="15"/>
        <v>0.7914761905</v>
      </c>
      <c r="AV157" s="131" t="str">
        <f>IFERROR(AVERAGEIFS(
'STH Efficacy'!$AX:$AX, 
'STH Efficacy'!$AL:$AL, $A157, 
'STH Efficacy'!$AM:$AM, "Albendazole",
'STH Efficacy'!$AS:$AS,"&lt;2016",
'STH Efficacy'!$BP:$BP,""),
"")</f>
        <v/>
      </c>
      <c r="AW157" s="132">
        <f t="shared" si="16"/>
        <v>0.3945</v>
      </c>
      <c r="AX157" s="131" t="str">
        <f>IFERROR(AVERAGEIFS(
'STH Efficacy'!$AX:$AX, 
'STH Efficacy'!$AL:$AL, $A157, 
'STH Efficacy'!$AM:$AM, "Mebendazole",
'STH Efficacy'!$AS:$AS,"&lt;2016",
'STH Efficacy'!$BP:$BP,""),
"")</f>
        <v/>
      </c>
      <c r="AY157" s="132">
        <f t="shared" si="17"/>
        <v>0.6</v>
      </c>
      <c r="AZ157" s="131" t="str">
        <f>IFERROR(AVERAGEIFS(
'STH Efficacy'!$AX:$AX, 
'STH Efficacy'!$AL:$AL, $A157, 
'STH Efficacy'!$AM:$AM, "Albendazole &amp; Ivermectin",
'STH Efficacy'!$AS:$AS,"&lt;2016",
'STH Efficacy'!$BP:$BP,""),
"")</f>
        <v/>
      </c>
      <c r="BA157" s="303">
        <f t="shared" si="18"/>
        <v>0.796</v>
      </c>
      <c r="BB157" s="584" t="str">
        <f>IFERROR(AVERAGEIFS(
'STH Efficacy'!$N:$N, 
'STH Efficacy'!$B:$B, $A157, 
'STH Efficacy'!$C:$C, "Albendazole",
'STH Efficacy'!$I:$I,"&lt;2016",
'STH Efficacy'!$AH:$AH,""),
"")</f>
        <v/>
      </c>
      <c r="BC157" s="579">
        <f t="shared" si="19"/>
        <v>0.869</v>
      </c>
      <c r="BD157" s="584" t="str">
        <f>IFERROR(AVERAGEIFS(
'STH Efficacy'!$N:$N, 
'STH Efficacy'!$B:$B, $A157, 
'STH Efficacy'!$C:$C, "Mebendazole",
'STH Efficacy'!$I:$I,"&lt;2016",
'STH Efficacy'!$AH:$AH,""),
"")</f>
        <v/>
      </c>
      <c r="BE157" s="579">
        <f t="shared" si="20"/>
        <v>0.172</v>
      </c>
      <c r="BF157" s="585" t="str">
        <f>IFERROR(AVERAGEIFS(
'STH Efficacy'!$CD:$CD, 
'STH Efficacy'!$BS:$BS, $A157, 
'STH Efficacy'!$BT:$BT, "Albendazole",
'STH Efficacy'!$BZ:$BZ,"&lt;2016",
'STH Efficacy'!$CU:$CU,""),
"")</f>
        <v/>
      </c>
      <c r="BG157" s="580">
        <f t="shared" si="21"/>
        <v>0.9862</v>
      </c>
      <c r="BH157" s="585" t="str">
        <f>IFERROR(AVERAGEIFS(
'STH Efficacy'!$CD:$CD, 
'STH Efficacy'!$BS:$BS, $A157, 
'STH Efficacy'!$BT:$BT, "Mebendazole",
'STH Efficacy'!$BZ:$BZ,"&lt;2016",
'STH Efficacy'!$CU:$CU,""),
"")</f>
        <v/>
      </c>
      <c r="BI157" s="580">
        <f t="shared" si="22"/>
        <v>0.769</v>
      </c>
      <c r="BJ157" s="585" t="str">
        <f>IFERROR(AVERAGEIFS(
'STH Efficacy'!$CD:$CD, 
'STH Efficacy'!$BS:$BS, $A157, 
'STH Efficacy'!$BT:$BT, "Albendazole &amp; Ivermectin",
'STH Efficacy'!$BZ:$BZ,"&lt;2016",
'STH Efficacy'!$CU:$CU,""),
"")</f>
        <v/>
      </c>
      <c r="BK157" s="580">
        <f t="shared" si="23"/>
        <v>1</v>
      </c>
      <c r="BL157" s="575" t="str">
        <f>IFERROR(
  AVERAGEIFS(
    'NEW Onchocerciasis Efficacy'!$AO:$AO,
    'NEW Onchocerciasis Efficacy'!$C:$C,$A157,
    'NEW Onchocerciasis Efficacy'!$D:$D,"Ivermectin",
    'NEW Onchocerciasis Efficacy'!$AR:$AR,"&lt;2016",
    'NEW Onchocerciasis Efficacy'!$BG:$BG,"")
,"")</f>
        <v/>
      </c>
      <c r="BM157" s="586">
        <f t="shared" si="24"/>
        <v>0.3734</v>
      </c>
      <c r="BN157" s="587">
        <v>0.0</v>
      </c>
      <c r="BO157" s="588">
        <v>0.0</v>
      </c>
      <c r="BP157" s="589">
        <v>0.0</v>
      </c>
      <c r="BQ157" s="590">
        <f t="shared" si="25"/>
        <v>0</v>
      </c>
      <c r="BR157" s="560" t="str">
        <f t="shared" si="26"/>
        <v>0000</v>
      </c>
      <c r="BS157" s="560" t="str">
        <f t="shared" si="27"/>
        <v>no action required</v>
      </c>
      <c r="BT157" s="361" t="str">
        <f t="shared" si="44"/>
        <v/>
      </c>
      <c r="BU157" s="591" t="str">
        <f t="shared" si="29"/>
        <v/>
      </c>
      <c r="BV157" s="560" t="str">
        <f t="shared" si="30"/>
        <v>none</v>
      </c>
      <c r="BW157" s="150" t="str">
        <f t="shared" si="31"/>
        <v/>
      </c>
      <c r="BX157" s="150" t="str">
        <f t="shared" si="32"/>
        <v/>
      </c>
      <c r="BY157" s="151" t="str">
        <f t="shared" si="33"/>
        <v/>
      </c>
      <c r="BZ157" s="152" t="str">
        <f t="shared" si="34"/>
        <v/>
      </c>
      <c r="CA157" s="152" t="str">
        <f t="shared" si="35"/>
        <v/>
      </c>
      <c r="CB157" s="152" t="str">
        <f t="shared" si="36"/>
        <v/>
      </c>
      <c r="CC157" s="153" t="str">
        <f t="shared" si="37"/>
        <v/>
      </c>
      <c r="CD157" s="153" t="str">
        <f t="shared" si="38"/>
        <v/>
      </c>
      <c r="CE157" s="154" t="str">
        <f t="shared" si="39"/>
        <v/>
      </c>
      <c r="CF157" s="154" t="str">
        <f t="shared" si="40"/>
        <v/>
      </c>
      <c r="CG157" s="154" t="str">
        <f t="shared" si="41"/>
        <v/>
      </c>
      <c r="CH157" s="308" t="str">
        <f t="shared" si="42"/>
        <v/>
      </c>
    </row>
    <row r="158">
      <c r="A158" s="599" t="s">
        <v>247</v>
      </c>
      <c r="B158" s="560" t="s">
        <v>88</v>
      </c>
      <c r="C158" s="561">
        <v>2481539.0</v>
      </c>
      <c r="D158" s="562">
        <v>0.0</v>
      </c>
      <c r="E158" s="563">
        <v>0.0</v>
      </c>
      <c r="F158" s="564">
        <v>0.0</v>
      </c>
      <c r="G158" s="564">
        <v>0.0</v>
      </c>
      <c r="H158" s="564">
        <v>1.33E-7</v>
      </c>
      <c r="I158" s="565">
        <v>0.303111839</v>
      </c>
      <c r="J158" s="566">
        <v>0.491131722588499</v>
      </c>
      <c r="K158" s="566">
        <v>12.6932257622925</v>
      </c>
      <c r="L158" s="567">
        <v>1.08E-14</v>
      </c>
      <c r="M158" s="568">
        <v>1.91832071823351E-16</v>
      </c>
      <c r="N158" s="568">
        <v>1.57318599052766E-5</v>
      </c>
      <c r="O158" s="569">
        <v>0.0</v>
      </c>
      <c r="P158" s="570"/>
      <c r="Q158" s="150"/>
      <c r="R158" s="571"/>
      <c r="S158" s="116">
        <f t="shared" si="6"/>
        <v>0.1495</v>
      </c>
      <c r="T158" s="151"/>
      <c r="U158" s="572">
        <f t="shared" si="7"/>
        <v>0.65895</v>
      </c>
      <c r="V158" s="598"/>
      <c r="W158" s="574">
        <f t="shared" si="8"/>
        <v>0.97535</v>
      </c>
      <c r="X158" s="598"/>
      <c r="Y158" s="574">
        <f t="shared" si="9"/>
        <v>0.41448</v>
      </c>
      <c r="Z158" s="308"/>
      <c r="AA158" s="308"/>
      <c r="AB158" s="575" t="str">
        <f t="shared" si="10"/>
        <v/>
      </c>
      <c r="AC158" s="576">
        <f t="shared" si="11"/>
        <v>0.4586145155</v>
      </c>
      <c r="AD158" s="577">
        <v>0.0</v>
      </c>
      <c r="AE158" s="572">
        <v>0.0</v>
      </c>
      <c r="AF158" s="578">
        <v>0.0</v>
      </c>
      <c r="AG158" s="133">
        <v>0.008784645704</v>
      </c>
      <c r="AH158" s="133">
        <v>0.028247449</v>
      </c>
      <c r="AI158" s="623">
        <v>0.002768220355</v>
      </c>
      <c r="AJ158" s="623">
        <v>0.00343050456</v>
      </c>
      <c r="AK158" s="624">
        <v>0.009265701907</v>
      </c>
      <c r="AL158" s="624">
        <v>0.01096747806</v>
      </c>
      <c r="AM158" s="581">
        <v>0.0</v>
      </c>
      <c r="AN158" s="571" t="str">
        <f>IFERROR(
  AVERAGEIFS(
    'New LF Efficacy'!$J:$J,
    'New LF Efficacy'!$D:$D, $A158,
    'New LF Efficacy'!$F:$F,"DEC", 
    'New LF Efficacy'!$W:$W,"&lt;2016",
    'New LF Efficacy'!$AA:$AA,""),
  ""
)</f>
        <v/>
      </c>
      <c r="AO158" s="582">
        <f t="shared" si="12"/>
        <v>0.3573520833</v>
      </c>
      <c r="AP158" s="571" t="str">
        <f>IFERROR(
AVERAGEIFS(
'New LF Efficacy'!$J:$J,
'New LF Efficacy'!$D:$D,$A158,
'New LF Efficacy'!$F:$F,"Albendazole &amp; DEC",
'New LF Efficacy'!$W:$W,"&lt;2016",
'New LF Efficacy'!$AA:$AA,""),
"")</f>
        <v/>
      </c>
      <c r="AQ158" s="582">
        <f t="shared" si="13"/>
        <v>0.7935</v>
      </c>
      <c r="AR158" s="571" t="str">
        <f>IFERROR(
AVERAGEIFS(
'New LF Efficacy'!$J:$J,
'New LF Efficacy'!$D:$D,$A158,
'New LF Efficacy'!$F:$F,"Albendazole &amp; Ivermectin", 
'New LF Efficacy'!$W:$W,"&lt;2016",
'New LF Efficacy'!$AA:$AA,""),"")</f>
        <v/>
      </c>
      <c r="AS158" s="582">
        <f t="shared" si="14"/>
        <v>0.37153125</v>
      </c>
      <c r="AT158" s="583" t="str">
        <f>IFERROR(AVERAGEIFS(
'Schist Efficacy'!$O:$O, 
'Schist Efficacy'!$C:$C,$A158, 
'Schist Efficacy'!$D:$D, "Praziquantel",
'Schist Efficacy'!$J:$J,"&lt;2016",
'Schist Efficacy'!$U:$U,""),
"")</f>
        <v/>
      </c>
      <c r="AU158" s="572">
        <f t="shared" si="15"/>
        <v>0.7763141026</v>
      </c>
      <c r="AV158" s="131" t="str">
        <f>IFERROR(AVERAGEIFS(
'STH Efficacy'!$AX:$AX, 
'STH Efficacy'!$AL:$AL, $A158, 
'STH Efficacy'!$AM:$AM, "Albendazole",
'STH Efficacy'!$AS:$AS,"&lt;2016",
'STH Efficacy'!$BP:$BP,""),
"")</f>
        <v/>
      </c>
      <c r="AW158" s="132">
        <f t="shared" si="16"/>
        <v>0.4143846154</v>
      </c>
      <c r="AX158" s="131" t="str">
        <f>IFERROR(AVERAGEIFS(
'STH Efficacy'!$AX:$AX, 
'STH Efficacy'!$AL:$AL, $A158, 
'STH Efficacy'!$AM:$AM, "Mebendazole",
'STH Efficacy'!$AS:$AS,"&lt;2016",
'STH Efficacy'!$BP:$BP,""),
"")</f>
        <v/>
      </c>
      <c r="AY158" s="132">
        <f t="shared" si="17"/>
        <v>0.4691770833</v>
      </c>
      <c r="AZ158" s="131" t="str">
        <f>IFERROR(AVERAGEIFS(
'STH Efficacy'!$AX:$AX, 
'STH Efficacy'!$AL:$AL, $A158, 
'STH Efficacy'!$AM:$AM, "Albendazole &amp; Ivermectin",
'STH Efficacy'!$AS:$AS,"&lt;2016",
'STH Efficacy'!$BP:$BP,""),
"")</f>
        <v/>
      </c>
      <c r="BA158" s="303">
        <f t="shared" si="18"/>
        <v>0.597625</v>
      </c>
      <c r="BB158" s="584" t="str">
        <f>IFERROR(AVERAGEIFS(
'STH Efficacy'!$N:$N, 
'STH Efficacy'!$B:$B, $A158, 
'STH Efficacy'!$C:$C, "Albendazole",
'STH Efficacy'!$I:$I,"&lt;2016",
'STH Efficacy'!$AH:$AH,""),
"")</f>
        <v/>
      </c>
      <c r="BC158" s="579">
        <f t="shared" si="19"/>
        <v>0.7613712121</v>
      </c>
      <c r="BD158" s="584" t="str">
        <f>IFERROR(AVERAGEIFS(
'STH Efficacy'!$N:$N, 
'STH Efficacy'!$B:$B, $A158, 
'STH Efficacy'!$C:$C, "Mebendazole",
'STH Efficacy'!$I:$I,"&lt;2016",
'STH Efficacy'!$AH:$AH,""),
"")</f>
        <v/>
      </c>
      <c r="BE158" s="579">
        <f t="shared" si="20"/>
        <v>0.4362466667</v>
      </c>
      <c r="BF158" s="585" t="str">
        <f>IFERROR(AVERAGEIFS(
'STH Efficacy'!$CD:$CD, 
'STH Efficacy'!$BS:$BS, $A158, 
'STH Efficacy'!$BT:$BT, "Albendazole",
'STH Efficacy'!$BZ:$BZ,"&lt;2016",
'STH Efficacy'!$CU:$CU,""),
"")</f>
        <v/>
      </c>
      <c r="BG158" s="580">
        <f t="shared" si="21"/>
        <v>0.955</v>
      </c>
      <c r="BH158" s="585" t="str">
        <f>IFERROR(AVERAGEIFS(
'STH Efficacy'!$CD:$CD, 
'STH Efficacy'!$BS:$BS, $A158, 
'STH Efficacy'!$BT:$BT, "Mebendazole",
'STH Efficacy'!$BZ:$BZ,"&lt;2016",
'STH Efficacy'!$CU:$CU,""),
"")</f>
        <v/>
      </c>
      <c r="BI158" s="580">
        <f t="shared" si="22"/>
        <v>1</v>
      </c>
      <c r="BJ158" s="585" t="str">
        <f>IFERROR(AVERAGEIFS(
'STH Efficacy'!$CD:$CD, 
'STH Efficacy'!$BS:$BS, $A158, 
'STH Efficacy'!$BT:$BT, "Albendazole &amp; Ivermectin",
'STH Efficacy'!$BZ:$BZ,"&lt;2016",
'STH Efficacy'!$CU:$CU,""),
"")</f>
        <v/>
      </c>
      <c r="BK158" s="580">
        <f t="shared" si="23"/>
        <v>0.848</v>
      </c>
      <c r="BL158" s="575" t="str">
        <f>IFERROR(
  AVERAGEIFS(
    'NEW Onchocerciasis Efficacy'!$AO:$AO,
    'NEW Onchocerciasis Efficacy'!$C:$C,$A158,
    'NEW Onchocerciasis Efficacy'!$D:$D,"Ivermectin",
    'NEW Onchocerciasis Efficacy'!$AR:$AR,"&lt;2016",
    'NEW Onchocerciasis Efficacy'!$BG:$BG,"")
,"")</f>
        <v/>
      </c>
      <c r="BM158" s="586">
        <f t="shared" si="24"/>
        <v>0.7808368939</v>
      </c>
      <c r="BN158" s="587">
        <v>0.0</v>
      </c>
      <c r="BO158" s="588">
        <v>0.0</v>
      </c>
      <c r="BP158" s="589">
        <v>0.0</v>
      </c>
      <c r="BQ158" s="590">
        <f t="shared" si="25"/>
        <v>0</v>
      </c>
      <c r="BR158" s="560" t="str">
        <f t="shared" si="26"/>
        <v>0000</v>
      </c>
      <c r="BS158" s="560" t="str">
        <f t="shared" si="27"/>
        <v>no action required</v>
      </c>
      <c r="BT158" s="361" t="str">
        <f t="shared" si="44"/>
        <v/>
      </c>
      <c r="BU158" s="591" t="str">
        <f t="shared" si="29"/>
        <v/>
      </c>
      <c r="BV158" s="560" t="str">
        <f t="shared" si="30"/>
        <v>none</v>
      </c>
      <c r="BW158" s="150" t="str">
        <f t="shared" si="31"/>
        <v/>
      </c>
      <c r="BX158" s="150" t="str">
        <f t="shared" si="32"/>
        <v/>
      </c>
      <c r="BY158" s="151" t="str">
        <f t="shared" si="33"/>
        <v/>
      </c>
      <c r="BZ158" s="152" t="str">
        <f t="shared" si="34"/>
        <v/>
      </c>
      <c r="CA158" s="152" t="str">
        <f t="shared" si="35"/>
        <v/>
      </c>
      <c r="CB158" s="152" t="str">
        <f t="shared" si="36"/>
        <v/>
      </c>
      <c r="CC158" s="153" t="str">
        <f t="shared" si="37"/>
        <v/>
      </c>
      <c r="CD158" s="153" t="str">
        <f t="shared" si="38"/>
        <v/>
      </c>
      <c r="CE158" s="154" t="str">
        <f t="shared" si="39"/>
        <v/>
      </c>
      <c r="CF158" s="154" t="str">
        <f t="shared" si="40"/>
        <v/>
      </c>
      <c r="CG158" s="154" t="str">
        <f t="shared" si="41"/>
        <v/>
      </c>
      <c r="CH158" s="308" t="str">
        <f t="shared" si="42"/>
        <v/>
      </c>
    </row>
    <row r="159">
      <c r="A159" s="599" t="s">
        <v>248</v>
      </c>
      <c r="B159" s="560" t="s">
        <v>94</v>
      </c>
      <c r="C159" s="561">
        <v>5.1014947E7</v>
      </c>
      <c r="D159" s="562">
        <v>0.0</v>
      </c>
      <c r="E159" s="563">
        <v>0.0</v>
      </c>
      <c r="F159" s="611"/>
      <c r="G159" s="611"/>
      <c r="H159" s="611"/>
      <c r="I159" s="565">
        <v>20.31602155</v>
      </c>
      <c r="J159" s="566">
        <v>33.4906390887312</v>
      </c>
      <c r="K159" s="566">
        <v>506.668998939444</v>
      </c>
      <c r="L159" s="567">
        <v>48.35463615</v>
      </c>
      <c r="M159" s="568">
        <v>1.38594741158491E-6</v>
      </c>
      <c r="N159" s="568">
        <v>1.12648819111456E-5</v>
      </c>
      <c r="O159" s="569">
        <v>0.0</v>
      </c>
      <c r="P159" s="150"/>
      <c r="Q159" s="150"/>
      <c r="R159" s="571"/>
      <c r="S159" s="116">
        <f t="shared" si="6"/>
        <v>0.5322777778</v>
      </c>
      <c r="T159" s="151"/>
      <c r="U159" s="572">
        <f t="shared" si="7"/>
        <v>0.7834666667</v>
      </c>
      <c r="V159" s="598"/>
      <c r="W159" s="574">
        <f t="shared" si="8"/>
        <v>0.3593777778</v>
      </c>
      <c r="X159" s="598"/>
      <c r="Y159" s="574">
        <f t="shared" si="9"/>
        <v>0.5347375</v>
      </c>
      <c r="Z159" s="308"/>
      <c r="AA159" s="308"/>
      <c r="AB159" s="575" t="str">
        <f t="shared" si="10"/>
        <v/>
      </c>
      <c r="AC159" s="576">
        <f t="shared" si="11"/>
        <v>0.7192241206</v>
      </c>
      <c r="AD159" s="571"/>
      <c r="AE159" s="572">
        <v>0.0</v>
      </c>
      <c r="AF159" s="583">
        <v>0.0</v>
      </c>
      <c r="AG159" s="133">
        <v>0.009524579161</v>
      </c>
      <c r="AH159" s="133">
        <v>0.159878861</v>
      </c>
      <c r="AI159" s="584"/>
      <c r="AJ159" s="584"/>
      <c r="AK159" s="585"/>
      <c r="AL159" s="585"/>
      <c r="AM159" s="581"/>
      <c r="AN159" s="571" t="str">
        <f>IFERROR(
  AVERAGEIFS(
    'New LF Efficacy'!$J:$J,
    'New LF Efficacy'!$D:$D, $A159,
    'New LF Efficacy'!$F:$F,"DEC", 
    'New LF Efficacy'!$W:$W,"&lt;2016",
    'New LF Efficacy'!$AA:$AA,""),
  ""
)</f>
        <v/>
      </c>
      <c r="AO159" s="582">
        <f t="shared" si="12"/>
        <v>0.38</v>
      </c>
      <c r="AP159" s="571" t="str">
        <f>IFERROR(
AVERAGEIFS(
'New LF Efficacy'!$J:$J,
'New LF Efficacy'!$D:$D,$A159,
'New LF Efficacy'!$F:$F,"Albendazole &amp; DEC",
'New LF Efficacy'!$W:$W,"&lt;2016",
'New LF Efficacy'!$AA:$AA,""),
"")</f>
        <v/>
      </c>
      <c r="AQ159" s="582">
        <f t="shared" si="13"/>
        <v>0.662</v>
      </c>
      <c r="AR159" s="571" t="str">
        <f>IFERROR(
AVERAGEIFS(
'New LF Efficacy'!$J:$J,
'New LF Efficacy'!$D:$D,$A159,
'New LF Efficacy'!$F:$F,"Albendazole &amp; Ivermectin", 
'New LF Efficacy'!$W:$W,"&lt;2016",
'New LF Efficacy'!$AA:$AA,""),"")</f>
        <v/>
      </c>
      <c r="AS159" s="582">
        <f t="shared" si="14"/>
        <v>0.37153125</v>
      </c>
      <c r="AT159" s="583" t="str">
        <f>IFERROR(AVERAGEIFS(
'Schist Efficacy'!$O:$O, 
'Schist Efficacy'!$C:$C,$A159, 
'Schist Efficacy'!$D:$D, "Praziquantel",
'Schist Efficacy'!$J:$J,"&lt;2016",
'Schist Efficacy'!$U:$U,""),
"")</f>
        <v/>
      </c>
      <c r="AU159" s="572">
        <f t="shared" si="15"/>
        <v>0.9475</v>
      </c>
      <c r="AV159" s="131" t="str">
        <f>IFERROR(AVERAGEIFS(
'STH Efficacy'!$AX:$AX, 
'STH Efficacy'!$AL:$AL, $A159, 
'STH Efficacy'!$AM:$AM, "Albendazole",
'STH Efficacy'!$AS:$AS,"&lt;2016",
'STH Efficacy'!$BP:$BP,""),
"")</f>
        <v/>
      </c>
      <c r="AW159" s="132">
        <f t="shared" si="16"/>
        <v>0.3571666667</v>
      </c>
      <c r="AX159" s="131" t="str">
        <f>IFERROR(AVERAGEIFS(
'STH Efficacy'!$AX:$AX, 
'STH Efficacy'!$AL:$AL, $A159, 
'STH Efficacy'!$AM:$AM, "Mebendazole",
'STH Efficacy'!$AS:$AS,"&lt;2016",
'STH Efficacy'!$BP:$BP,""),
"")</f>
        <v/>
      </c>
      <c r="AY159" s="132">
        <f t="shared" si="17"/>
        <v>0.4155</v>
      </c>
      <c r="AZ159" s="131" t="str">
        <f>IFERROR(AVERAGEIFS(
'STH Efficacy'!$AX:$AX, 
'STH Efficacy'!$AL:$AL, $A159, 
'STH Efficacy'!$AM:$AM, "Albendazole &amp; Ivermectin",
'STH Efficacy'!$AS:$AS,"&lt;2016",
'STH Efficacy'!$BP:$BP,""),
"")</f>
        <v/>
      </c>
      <c r="BA159" s="303">
        <f t="shared" si="18"/>
        <v>0.651</v>
      </c>
      <c r="BB159" s="584" t="str">
        <f>IFERROR(AVERAGEIFS(
'STH Efficacy'!$N:$N, 
'STH Efficacy'!$B:$B, $A159, 
'STH Efficacy'!$C:$C, "Albendazole",
'STH Efficacy'!$I:$I,"&lt;2016",
'STH Efficacy'!$AH:$AH,""),
"")</f>
        <v/>
      </c>
      <c r="BC159" s="579">
        <f t="shared" si="19"/>
        <v>0.5769166667</v>
      </c>
      <c r="BD159" s="584" t="str">
        <f>IFERROR(AVERAGEIFS(
'STH Efficacy'!$N:$N, 
'STH Efficacy'!$B:$B, $A159, 
'STH Efficacy'!$C:$C, "Mebendazole",
'STH Efficacy'!$I:$I,"&lt;2016",
'STH Efficacy'!$AH:$AH,""),
"")</f>
        <v/>
      </c>
      <c r="BE159" s="579">
        <f t="shared" si="20"/>
        <v>0.3145</v>
      </c>
      <c r="BF159" s="585" t="str">
        <f>IFERROR(AVERAGEIFS(
'STH Efficacy'!$CD:$CD, 
'STH Efficacy'!$BS:$BS, $A159, 
'STH Efficacy'!$BT:$BT, "Albendazole",
'STH Efficacy'!$BZ:$BZ,"&lt;2016",
'STH Efficacy'!$CU:$CU,""),
"")</f>
        <v/>
      </c>
      <c r="BG159" s="580">
        <f t="shared" si="21"/>
        <v>0.96925</v>
      </c>
      <c r="BH159" s="585" t="str">
        <f>IFERROR(AVERAGEIFS(
'STH Efficacy'!$CD:$CD, 
'STH Efficacy'!$BS:$BS, $A159, 
'STH Efficacy'!$BT:$BT, "Mebendazole",
'STH Efficacy'!$BZ:$BZ,"&lt;2016",
'STH Efficacy'!$CU:$CU,""),
"")</f>
        <v/>
      </c>
      <c r="BI159" s="580">
        <f t="shared" si="22"/>
        <v>0.9305</v>
      </c>
      <c r="BJ159" s="585" t="str">
        <f>IFERROR(AVERAGEIFS(
'STH Efficacy'!$CD:$CD, 
'STH Efficacy'!$BS:$BS, $A159, 
'STH Efficacy'!$BT:$BT, "Albendazole &amp; Ivermectin",
'STH Efficacy'!$BZ:$BZ,"&lt;2016",
'STH Efficacy'!$CU:$CU,""),
"")</f>
        <v/>
      </c>
      <c r="BK159" s="580">
        <f t="shared" si="23"/>
        <v>0.848</v>
      </c>
      <c r="BL159" s="575" t="str">
        <f>IFERROR(
  AVERAGEIFS(
    'NEW Onchocerciasis Efficacy'!$AO:$AO,
    'NEW Onchocerciasis Efficacy'!$C:$C,$A159,
    'NEW Onchocerciasis Efficacy'!$D:$D,"Ivermectin",
    'NEW Onchocerciasis Efficacy'!$AR:$AR,"&lt;2016",
    'NEW Onchocerciasis Efficacy'!$BG:$BG,"")
,"")</f>
        <v/>
      </c>
      <c r="BM159" s="586">
        <f t="shared" si="24"/>
        <v>0.7808368939</v>
      </c>
      <c r="BN159" s="587">
        <v>0.0</v>
      </c>
      <c r="BO159" s="588">
        <v>0.0</v>
      </c>
      <c r="BP159" s="589">
        <v>0.0</v>
      </c>
      <c r="BQ159" s="590">
        <f t="shared" si="25"/>
        <v>0</v>
      </c>
      <c r="BR159" s="560" t="str">
        <f t="shared" si="26"/>
        <v>0000</v>
      </c>
      <c r="BS159" s="560" t="str">
        <f t="shared" si="27"/>
        <v>no action required</v>
      </c>
      <c r="BT159" s="361" t="str">
        <f t="shared" si="44"/>
        <v/>
      </c>
      <c r="BU159" s="591" t="str">
        <f t="shared" si="29"/>
        <v/>
      </c>
      <c r="BV159" s="560" t="str">
        <f t="shared" si="30"/>
        <v>none</v>
      </c>
      <c r="BW159" s="150" t="str">
        <f t="shared" si="31"/>
        <v/>
      </c>
      <c r="BX159" s="150" t="str">
        <f t="shared" si="32"/>
        <v/>
      </c>
      <c r="BY159" s="151" t="str">
        <f t="shared" si="33"/>
        <v/>
      </c>
      <c r="BZ159" s="152" t="str">
        <f t="shared" si="34"/>
        <v/>
      </c>
      <c r="CA159" s="152" t="str">
        <f t="shared" si="35"/>
        <v/>
      </c>
      <c r="CB159" s="152" t="str">
        <f t="shared" si="36"/>
        <v/>
      </c>
      <c r="CC159" s="153" t="str">
        <f t="shared" si="37"/>
        <v/>
      </c>
      <c r="CD159" s="153" t="str">
        <f t="shared" si="38"/>
        <v/>
      </c>
      <c r="CE159" s="154" t="str">
        <f t="shared" si="39"/>
        <v/>
      </c>
      <c r="CF159" s="154" t="str">
        <f t="shared" si="40"/>
        <v/>
      </c>
      <c r="CG159" s="154" t="str">
        <f t="shared" si="41"/>
        <v/>
      </c>
      <c r="CH159" s="308" t="str">
        <f t="shared" si="42"/>
        <v/>
      </c>
    </row>
    <row r="160">
      <c r="A160" s="599" t="s">
        <v>249</v>
      </c>
      <c r="B160" s="560" t="s">
        <v>90</v>
      </c>
      <c r="C160" s="561">
        <v>3554108.0</v>
      </c>
      <c r="D160" s="562">
        <v>0.0</v>
      </c>
      <c r="E160" s="563">
        <v>0.0</v>
      </c>
      <c r="F160" s="611"/>
      <c r="G160" s="611"/>
      <c r="H160" s="611"/>
      <c r="I160" s="565">
        <v>0.0</v>
      </c>
      <c r="J160" s="566">
        <v>0.0</v>
      </c>
      <c r="K160" s="566">
        <v>0.0</v>
      </c>
      <c r="L160" s="567">
        <v>0.125294905</v>
      </c>
      <c r="M160" s="568">
        <v>0.0910171504008755</v>
      </c>
      <c r="N160" s="568">
        <v>0.412722063201058</v>
      </c>
      <c r="O160" s="569">
        <v>0.0</v>
      </c>
      <c r="P160" s="150"/>
      <c r="Q160" s="150"/>
      <c r="R160" s="571"/>
      <c r="S160" s="116">
        <f t="shared" si="6"/>
        <v>0.6648642857</v>
      </c>
      <c r="T160" s="151"/>
      <c r="U160" s="572">
        <f t="shared" si="7"/>
        <v>0.53016</v>
      </c>
      <c r="V160" s="598"/>
      <c r="W160" s="574" t="b">
        <f t="shared" si="8"/>
        <v>0</v>
      </c>
      <c r="X160" s="598"/>
      <c r="Y160" s="574">
        <f t="shared" si="9"/>
        <v>0.631675</v>
      </c>
      <c r="Z160" s="308"/>
      <c r="AA160" s="308"/>
      <c r="AB160" s="575" t="str">
        <f t="shared" si="10"/>
        <v/>
      </c>
      <c r="AC160" s="576">
        <f t="shared" si="11"/>
        <v>0.7192241206</v>
      </c>
      <c r="AD160" s="571"/>
      <c r="AE160" s="572">
        <v>0.0</v>
      </c>
      <c r="AF160" s="578">
        <v>0.0</v>
      </c>
      <c r="AG160" s="133">
        <v>0.0</v>
      </c>
      <c r="AH160" s="133">
        <v>0.0</v>
      </c>
      <c r="AI160" s="584"/>
      <c r="AJ160" s="584"/>
      <c r="AK160" s="585"/>
      <c r="AL160" s="585"/>
      <c r="AM160" s="581"/>
      <c r="AN160" s="571" t="str">
        <f>IFERROR(
  AVERAGEIFS(
    'New LF Efficacy'!$J:$J,
    'New LF Efficacy'!$D:$D, $A160,
    'New LF Efficacy'!$F:$F,"DEC", 
    'New LF Efficacy'!$W:$W,"&lt;2016",
    'New LF Efficacy'!$AA:$AA,""),
  ""
)</f>
        <v/>
      </c>
      <c r="AO160" s="582">
        <f t="shared" si="12"/>
        <v>0.3573520833</v>
      </c>
      <c r="AP160" s="571" t="str">
        <f>IFERROR(
AVERAGEIFS(
'New LF Efficacy'!$J:$J,
'New LF Efficacy'!$D:$D,$A160,
'New LF Efficacy'!$F:$F,"Albendazole &amp; DEC",
'New LF Efficacy'!$W:$W,"&lt;2016",
'New LF Efficacy'!$AA:$AA,""),
"")</f>
        <v/>
      </c>
      <c r="AQ160" s="582">
        <f t="shared" si="13"/>
        <v>0.5143541667</v>
      </c>
      <c r="AR160" s="571" t="str">
        <f>IFERROR(
AVERAGEIFS(
'New LF Efficacy'!$J:$J,
'New LF Efficacy'!$D:$D,$A160,
'New LF Efficacy'!$F:$F,"Albendazole &amp; Ivermectin", 
'New LF Efficacy'!$W:$W,"&lt;2016",
'New LF Efficacy'!$AA:$AA,""),"")</f>
        <v/>
      </c>
      <c r="AS160" s="582">
        <f t="shared" si="14"/>
        <v>0.37153125</v>
      </c>
      <c r="AT160" s="583" t="str">
        <f>IFERROR(AVERAGEIFS(
'Schist Efficacy'!$O:$O, 
'Schist Efficacy'!$C:$C,$A160, 
'Schist Efficacy'!$D:$D, "Praziquantel",
'Schist Efficacy'!$J:$J,"&lt;2016",
'Schist Efficacy'!$U:$U,""),
"")</f>
        <v/>
      </c>
      <c r="AU160" s="572">
        <f t="shared" si="15"/>
        <v>0.655</v>
      </c>
      <c r="AV160" s="131" t="str">
        <f>IFERROR(AVERAGEIFS(
'STH Efficacy'!$AX:$AX, 
'STH Efficacy'!$AL:$AL, $A160, 
'STH Efficacy'!$AM:$AM, "Albendazole",
'STH Efficacy'!$AS:$AS,"&lt;2016",
'STH Efficacy'!$BP:$BP,""),
"")</f>
        <v/>
      </c>
      <c r="AW160" s="132">
        <f t="shared" si="16"/>
        <v>0.4143846154</v>
      </c>
      <c r="AX160" s="131" t="str">
        <f>IFERROR(AVERAGEIFS(
'STH Efficacy'!$AX:$AX, 
'STH Efficacy'!$AL:$AL, $A160, 
'STH Efficacy'!$AM:$AM, "Mebendazole",
'STH Efficacy'!$AS:$AS,"&lt;2016",
'STH Efficacy'!$BP:$BP,""),
"")</f>
        <v/>
      </c>
      <c r="AY160" s="132">
        <f t="shared" si="17"/>
        <v>0.4691770833</v>
      </c>
      <c r="AZ160" s="131" t="str">
        <f>IFERROR(AVERAGEIFS(
'STH Efficacy'!$AX:$AX, 
'STH Efficacy'!$AL:$AL, $A160, 
'STH Efficacy'!$AM:$AM, "Albendazole &amp; Ivermectin",
'STH Efficacy'!$AS:$AS,"&lt;2016",
'STH Efficacy'!$BP:$BP,""),
"")</f>
        <v/>
      </c>
      <c r="BA160" s="303">
        <f t="shared" si="18"/>
        <v>0.597625</v>
      </c>
      <c r="BB160" s="584" t="str">
        <f>IFERROR(AVERAGEIFS(
'STH Efficacy'!$N:$N, 
'STH Efficacy'!$B:$B, $A160, 
'STH Efficacy'!$C:$C, "Albendazole",
'STH Efficacy'!$I:$I,"&lt;2016",
'STH Efficacy'!$AH:$AH,""),
"")</f>
        <v/>
      </c>
      <c r="BC160" s="579">
        <f t="shared" si="19"/>
        <v>0.7613712121</v>
      </c>
      <c r="BD160" s="584" t="str">
        <f>IFERROR(AVERAGEIFS(
'STH Efficacy'!$N:$N, 
'STH Efficacy'!$B:$B, $A160, 
'STH Efficacy'!$C:$C, "Mebendazole",
'STH Efficacy'!$I:$I,"&lt;2016",
'STH Efficacy'!$AH:$AH,""),
"")</f>
        <v/>
      </c>
      <c r="BE160" s="579">
        <f t="shared" si="20"/>
        <v>0.4362466667</v>
      </c>
      <c r="BF160" s="585" t="str">
        <f>IFERROR(AVERAGEIFS(
'STH Efficacy'!$CD:$CD, 
'STH Efficacy'!$BS:$BS, $A160, 
'STH Efficacy'!$BT:$BT, "Albendazole",
'STH Efficacy'!$BZ:$BZ,"&lt;2016",
'STH Efficacy'!$CU:$CU,""),
"")</f>
        <v/>
      </c>
      <c r="BG160" s="580">
        <f t="shared" si="21"/>
        <v>0.9216027778</v>
      </c>
      <c r="BH160" s="585" t="str">
        <f>IFERROR(AVERAGEIFS(
'STH Efficacy'!$CD:$CD, 
'STH Efficacy'!$BS:$BS, $A160, 
'STH Efficacy'!$BT:$BT, "Mebendazole",
'STH Efficacy'!$BZ:$BZ,"&lt;2016",
'STH Efficacy'!$CU:$CU,""),
"")</f>
        <v/>
      </c>
      <c r="BI160" s="580">
        <f t="shared" si="22"/>
        <v>0.8866041667</v>
      </c>
      <c r="BJ160" s="585" t="str">
        <f>IFERROR(AVERAGEIFS(
'STH Efficacy'!$CD:$CD, 
'STH Efficacy'!$BS:$BS, $A160, 
'STH Efficacy'!$BT:$BT, "Albendazole &amp; Ivermectin",
'STH Efficacy'!$BZ:$BZ,"&lt;2016",
'STH Efficacy'!$CU:$CU,""),
"")</f>
        <v/>
      </c>
      <c r="BK160" s="580">
        <f t="shared" si="23"/>
        <v>0.848</v>
      </c>
      <c r="BL160" s="575" t="str">
        <f>IFERROR(
  AVERAGEIFS(
    'NEW Onchocerciasis Efficacy'!$AO:$AO,
    'NEW Onchocerciasis Efficacy'!$C:$C,$A160,
    'NEW Onchocerciasis Efficacy'!$D:$D,"Ivermectin",
    'NEW Onchocerciasis Efficacy'!$AR:$AR,"&lt;2016",
    'NEW Onchocerciasis Efficacy'!$BG:$BG,"")
,"")</f>
        <v/>
      </c>
      <c r="BM160" s="586">
        <f t="shared" si="24"/>
        <v>0.7808368939</v>
      </c>
      <c r="BN160" s="587">
        <v>0.0</v>
      </c>
      <c r="BO160" s="588">
        <v>0.0</v>
      </c>
      <c r="BP160" s="589">
        <v>0.0</v>
      </c>
      <c r="BQ160" s="590">
        <f t="shared" si="25"/>
        <v>0</v>
      </c>
      <c r="BR160" s="560" t="str">
        <f t="shared" si="26"/>
        <v>0000</v>
      </c>
      <c r="BS160" s="560" t="str">
        <f t="shared" si="27"/>
        <v>no action required</v>
      </c>
      <c r="BT160" s="361" t="str">
        <f t="shared" si="44"/>
        <v/>
      </c>
      <c r="BU160" s="591" t="str">
        <f t="shared" si="29"/>
        <v/>
      </c>
      <c r="BV160" s="560" t="str">
        <f t="shared" si="30"/>
        <v>none</v>
      </c>
      <c r="BW160" s="150" t="str">
        <f t="shared" si="31"/>
        <v/>
      </c>
      <c r="BX160" s="150" t="str">
        <f t="shared" si="32"/>
        <v/>
      </c>
      <c r="BY160" s="151" t="str">
        <f t="shared" si="33"/>
        <v/>
      </c>
      <c r="BZ160" s="152" t="str">
        <f t="shared" si="34"/>
        <v/>
      </c>
      <c r="CA160" s="152" t="str">
        <f t="shared" si="35"/>
        <v/>
      </c>
      <c r="CB160" s="152" t="str">
        <f t="shared" si="36"/>
        <v/>
      </c>
      <c r="CC160" s="153" t="str">
        <f t="shared" si="37"/>
        <v/>
      </c>
      <c r="CD160" s="153" t="str">
        <f t="shared" si="38"/>
        <v/>
      </c>
      <c r="CE160" s="154" t="str">
        <f t="shared" si="39"/>
        <v/>
      </c>
      <c r="CF160" s="154" t="str">
        <f t="shared" si="40"/>
        <v/>
      </c>
      <c r="CG160" s="154" t="str">
        <f t="shared" si="41"/>
        <v/>
      </c>
      <c r="CH160" s="308" t="str">
        <f t="shared" si="42"/>
        <v/>
      </c>
    </row>
    <row r="161">
      <c r="A161" s="599" t="s">
        <v>250</v>
      </c>
      <c r="B161" s="560" t="s">
        <v>90</v>
      </c>
      <c r="C161" s="561">
        <v>1.9815481E7</v>
      </c>
      <c r="D161" s="562">
        <v>0.0</v>
      </c>
      <c r="E161" s="563">
        <v>0.0</v>
      </c>
      <c r="F161" s="564">
        <v>0.0</v>
      </c>
      <c r="G161" s="564">
        <v>0.0</v>
      </c>
      <c r="H161" s="564">
        <v>0.0</v>
      </c>
      <c r="I161" s="565">
        <v>0.0</v>
      </c>
      <c r="J161" s="566">
        <v>0.0</v>
      </c>
      <c r="K161" s="566">
        <v>0.0</v>
      </c>
      <c r="L161" s="567">
        <v>0.540948081</v>
      </c>
      <c r="M161" s="568">
        <v>0.337024298646777</v>
      </c>
      <c r="N161" s="568">
        <v>1.88075493622611</v>
      </c>
      <c r="O161" s="569">
        <v>0.0</v>
      </c>
      <c r="P161" s="570"/>
      <c r="Q161" s="150"/>
      <c r="R161" s="571"/>
      <c r="S161" s="116">
        <f t="shared" si="6"/>
        <v>0.6648642857</v>
      </c>
      <c r="T161" s="151"/>
      <c r="U161" s="572">
        <f t="shared" si="7"/>
        <v>0.53016</v>
      </c>
      <c r="V161" s="598"/>
      <c r="W161" s="574" t="b">
        <f t="shared" si="8"/>
        <v>0</v>
      </c>
      <c r="X161" s="598"/>
      <c r="Y161" s="574">
        <f t="shared" si="9"/>
        <v>0.631675</v>
      </c>
      <c r="Z161" s="308"/>
      <c r="AA161" s="308"/>
      <c r="AB161" s="575" t="str">
        <f t="shared" si="10"/>
        <v/>
      </c>
      <c r="AC161" s="576">
        <f t="shared" si="11"/>
        <v>0.7192241206</v>
      </c>
      <c r="AD161" s="577">
        <v>0.0</v>
      </c>
      <c r="AE161" s="572">
        <v>0.0</v>
      </c>
      <c r="AF161" s="578">
        <v>0.0</v>
      </c>
      <c r="AG161" s="133">
        <v>0.0</v>
      </c>
      <c r="AH161" s="133">
        <v>0.0</v>
      </c>
      <c r="AI161" s="623">
        <v>0.0</v>
      </c>
      <c r="AJ161" s="623">
        <v>0.0</v>
      </c>
      <c r="AK161" s="624">
        <v>0.0</v>
      </c>
      <c r="AL161" s="624">
        <v>0.0</v>
      </c>
      <c r="AM161" s="581">
        <v>0.0</v>
      </c>
      <c r="AN161" s="571" t="str">
        <f>IFERROR(
  AVERAGEIFS(
    'New LF Efficacy'!$J:$J,
    'New LF Efficacy'!$D:$D, $A161,
    'New LF Efficacy'!$F:$F,"DEC", 
    'New LF Efficacy'!$W:$W,"&lt;2016",
    'New LF Efficacy'!$AA:$AA,""),
  ""
)</f>
        <v/>
      </c>
      <c r="AO161" s="582">
        <f t="shared" si="12"/>
        <v>0.3573520833</v>
      </c>
      <c r="AP161" s="571" t="str">
        <f>IFERROR(
AVERAGEIFS(
'New LF Efficacy'!$J:$J,
'New LF Efficacy'!$D:$D,$A161,
'New LF Efficacy'!$F:$F,"Albendazole &amp; DEC",
'New LF Efficacy'!$W:$W,"&lt;2016",
'New LF Efficacy'!$AA:$AA,""),
"")</f>
        <v/>
      </c>
      <c r="AQ161" s="582">
        <f t="shared" si="13"/>
        <v>0.5143541667</v>
      </c>
      <c r="AR161" s="571" t="str">
        <f>IFERROR(
AVERAGEIFS(
'New LF Efficacy'!$J:$J,
'New LF Efficacy'!$D:$D,$A161,
'New LF Efficacy'!$F:$F,"Albendazole &amp; Ivermectin", 
'New LF Efficacy'!$W:$W,"&lt;2016",
'New LF Efficacy'!$AA:$AA,""),"")</f>
        <v/>
      </c>
      <c r="AS161" s="582">
        <f t="shared" si="14"/>
        <v>0.37153125</v>
      </c>
      <c r="AT161" s="583" t="str">
        <f>IFERROR(AVERAGEIFS(
'Schist Efficacy'!$O:$O, 
'Schist Efficacy'!$C:$C,$A161, 
'Schist Efficacy'!$D:$D, "Praziquantel",
'Schist Efficacy'!$J:$J,"&lt;2016",
'Schist Efficacy'!$U:$U,""),
"")</f>
        <v/>
      </c>
      <c r="AU161" s="572">
        <f t="shared" si="15"/>
        <v>0.655</v>
      </c>
      <c r="AV161" s="131" t="str">
        <f>IFERROR(AVERAGEIFS(
'STH Efficacy'!$AX:$AX, 
'STH Efficacy'!$AL:$AL, $A161, 
'STH Efficacy'!$AM:$AM, "Albendazole",
'STH Efficacy'!$AS:$AS,"&lt;2016",
'STH Efficacy'!$BP:$BP,""),
"")</f>
        <v/>
      </c>
      <c r="AW161" s="132">
        <f t="shared" si="16"/>
        <v>0.4143846154</v>
      </c>
      <c r="AX161" s="131" t="str">
        <f>IFERROR(AVERAGEIFS(
'STH Efficacy'!$AX:$AX, 
'STH Efficacy'!$AL:$AL, $A161, 
'STH Efficacy'!$AM:$AM, "Mebendazole",
'STH Efficacy'!$AS:$AS,"&lt;2016",
'STH Efficacy'!$BP:$BP,""),
"")</f>
        <v/>
      </c>
      <c r="AY161" s="132">
        <f t="shared" si="17"/>
        <v>0.4691770833</v>
      </c>
      <c r="AZ161" s="131" t="str">
        <f>IFERROR(AVERAGEIFS(
'STH Efficacy'!$AX:$AX, 
'STH Efficacy'!$AL:$AL, $A161, 
'STH Efficacy'!$AM:$AM, "Albendazole &amp; Ivermectin",
'STH Efficacy'!$AS:$AS,"&lt;2016",
'STH Efficacy'!$BP:$BP,""),
"")</f>
        <v/>
      </c>
      <c r="BA161" s="303">
        <f t="shared" si="18"/>
        <v>0.597625</v>
      </c>
      <c r="BB161" s="584" t="str">
        <f>IFERROR(AVERAGEIFS(
'STH Efficacy'!$N:$N, 
'STH Efficacy'!$B:$B, $A161, 
'STH Efficacy'!$C:$C, "Albendazole",
'STH Efficacy'!$I:$I,"&lt;2016",
'STH Efficacy'!$AH:$AH,""),
"")</f>
        <v/>
      </c>
      <c r="BC161" s="579">
        <f t="shared" si="19"/>
        <v>0.7613712121</v>
      </c>
      <c r="BD161" s="584" t="str">
        <f>IFERROR(AVERAGEIFS(
'STH Efficacy'!$N:$N, 
'STH Efficacy'!$B:$B, $A161, 
'STH Efficacy'!$C:$C, "Mebendazole",
'STH Efficacy'!$I:$I,"&lt;2016",
'STH Efficacy'!$AH:$AH,""),
"")</f>
        <v/>
      </c>
      <c r="BE161" s="579">
        <f t="shared" si="20"/>
        <v>0.4362466667</v>
      </c>
      <c r="BF161" s="585" t="str">
        <f>IFERROR(AVERAGEIFS(
'STH Efficacy'!$CD:$CD, 
'STH Efficacy'!$BS:$BS, $A161, 
'STH Efficacy'!$BT:$BT, "Albendazole",
'STH Efficacy'!$BZ:$BZ,"&lt;2016",
'STH Efficacy'!$CU:$CU,""),
"")</f>
        <v/>
      </c>
      <c r="BG161" s="580">
        <f t="shared" si="21"/>
        <v>0.9216027778</v>
      </c>
      <c r="BH161" s="585" t="str">
        <f>IFERROR(AVERAGEIFS(
'STH Efficacy'!$CD:$CD, 
'STH Efficacy'!$BS:$BS, $A161, 
'STH Efficacy'!$BT:$BT, "Mebendazole",
'STH Efficacy'!$BZ:$BZ,"&lt;2016",
'STH Efficacy'!$CU:$CU,""),
"")</f>
        <v/>
      </c>
      <c r="BI161" s="580">
        <f t="shared" si="22"/>
        <v>0.8866041667</v>
      </c>
      <c r="BJ161" s="585" t="str">
        <f>IFERROR(AVERAGEIFS(
'STH Efficacy'!$CD:$CD, 
'STH Efficacy'!$BS:$BS, $A161, 
'STH Efficacy'!$BT:$BT, "Albendazole &amp; Ivermectin",
'STH Efficacy'!$BZ:$BZ,"&lt;2016",
'STH Efficacy'!$CU:$CU,""),
"")</f>
        <v/>
      </c>
      <c r="BK161" s="580">
        <f t="shared" si="23"/>
        <v>0.848</v>
      </c>
      <c r="BL161" s="575" t="str">
        <f>IFERROR(
  AVERAGEIFS(
    'NEW Onchocerciasis Efficacy'!$AO:$AO,
    'NEW Onchocerciasis Efficacy'!$C:$C,$A161,
    'NEW Onchocerciasis Efficacy'!$D:$D,"Ivermectin",
    'NEW Onchocerciasis Efficacy'!$AR:$AR,"&lt;2016",
    'NEW Onchocerciasis Efficacy'!$BG:$BG,"")
,"")</f>
        <v/>
      </c>
      <c r="BM161" s="586">
        <f t="shared" si="24"/>
        <v>0.7808368939</v>
      </c>
      <c r="BN161" s="587">
        <v>0.0</v>
      </c>
      <c r="BO161" s="588">
        <v>0.0</v>
      </c>
      <c r="BP161" s="589">
        <v>0.0</v>
      </c>
      <c r="BQ161" s="590">
        <f t="shared" si="25"/>
        <v>0</v>
      </c>
      <c r="BR161" s="560" t="str">
        <f t="shared" si="26"/>
        <v>0000</v>
      </c>
      <c r="BS161" s="560" t="str">
        <f t="shared" si="27"/>
        <v>no action required</v>
      </c>
      <c r="BT161" s="361" t="str">
        <f t="shared" si="44"/>
        <v/>
      </c>
      <c r="BU161" s="591" t="str">
        <f t="shared" si="29"/>
        <v/>
      </c>
      <c r="BV161" s="560" t="str">
        <f t="shared" si="30"/>
        <v>none</v>
      </c>
      <c r="BW161" s="150" t="str">
        <f t="shared" si="31"/>
        <v/>
      </c>
      <c r="BX161" s="150" t="str">
        <f t="shared" si="32"/>
        <v/>
      </c>
      <c r="BY161" s="151" t="str">
        <f t="shared" si="33"/>
        <v/>
      </c>
      <c r="BZ161" s="152" t="str">
        <f t="shared" si="34"/>
        <v/>
      </c>
      <c r="CA161" s="152" t="str">
        <f t="shared" si="35"/>
        <v/>
      </c>
      <c r="CB161" s="152" t="str">
        <f t="shared" si="36"/>
        <v/>
      </c>
      <c r="CC161" s="153" t="str">
        <f t="shared" si="37"/>
        <v/>
      </c>
      <c r="CD161" s="153" t="str">
        <f t="shared" si="38"/>
        <v/>
      </c>
      <c r="CE161" s="154" t="str">
        <f t="shared" si="39"/>
        <v/>
      </c>
      <c r="CF161" s="154" t="str">
        <f t="shared" si="40"/>
        <v/>
      </c>
      <c r="CG161" s="154" t="str">
        <f t="shared" si="41"/>
        <v/>
      </c>
      <c r="CH161" s="308" t="str">
        <f t="shared" si="42"/>
        <v/>
      </c>
    </row>
    <row r="162">
      <c r="A162" s="599" t="s">
        <v>251</v>
      </c>
      <c r="B162" s="560" t="s">
        <v>90</v>
      </c>
      <c r="C162" s="561">
        <v>1.4409687E8</v>
      </c>
      <c r="D162" s="562">
        <v>0.0</v>
      </c>
      <c r="E162" s="563">
        <v>0.0</v>
      </c>
      <c r="F162" s="564">
        <v>0.0</v>
      </c>
      <c r="G162" s="564">
        <v>0.0</v>
      </c>
      <c r="H162" s="564">
        <v>0.0</v>
      </c>
      <c r="I162" s="565">
        <v>0.0</v>
      </c>
      <c r="J162" s="566">
        <v>0.0</v>
      </c>
      <c r="K162" s="566">
        <v>0.0</v>
      </c>
      <c r="L162" s="567">
        <v>2.569035361</v>
      </c>
      <c r="M162" s="568">
        <v>1.776042701894</v>
      </c>
      <c r="N162" s="568">
        <v>9.56745420337668</v>
      </c>
      <c r="O162" s="569">
        <v>0.0</v>
      </c>
      <c r="P162" s="570"/>
      <c r="Q162" s="150"/>
      <c r="R162" s="571"/>
      <c r="S162" s="116">
        <f t="shared" si="6"/>
        <v>0.6648642857</v>
      </c>
      <c r="T162" s="151"/>
      <c r="U162" s="572">
        <f t="shared" si="7"/>
        <v>0.53016</v>
      </c>
      <c r="V162" s="598"/>
      <c r="W162" s="574" t="b">
        <f t="shared" si="8"/>
        <v>0</v>
      </c>
      <c r="X162" s="598"/>
      <c r="Y162" s="574">
        <f t="shared" si="9"/>
        <v>0.631675</v>
      </c>
      <c r="Z162" s="308"/>
      <c r="AA162" s="308"/>
      <c r="AB162" s="575" t="str">
        <f t="shared" si="10"/>
        <v/>
      </c>
      <c r="AC162" s="576">
        <f t="shared" si="11"/>
        <v>0.7192241206</v>
      </c>
      <c r="AD162" s="577">
        <v>0.0</v>
      </c>
      <c r="AE162" s="572">
        <v>0.0</v>
      </c>
      <c r="AF162" s="578">
        <v>0.0</v>
      </c>
      <c r="AG162" s="132">
        <v>0.0</v>
      </c>
      <c r="AH162" s="132">
        <v>0.0</v>
      </c>
      <c r="AI162" s="579">
        <v>0.0</v>
      </c>
      <c r="AJ162" s="579">
        <v>0.0</v>
      </c>
      <c r="AK162" s="580">
        <v>0.0</v>
      </c>
      <c r="AL162" s="580">
        <v>0.0</v>
      </c>
      <c r="AM162" s="581">
        <v>0.0</v>
      </c>
      <c r="AN162" s="571" t="str">
        <f>IFERROR(
  AVERAGEIFS(
    'New LF Efficacy'!$J:$J,
    'New LF Efficacy'!$D:$D, $A162,
    'New LF Efficacy'!$F:$F,"DEC", 
    'New LF Efficacy'!$W:$W,"&lt;2016",
    'New LF Efficacy'!$AA:$AA,""),
  ""
)</f>
        <v/>
      </c>
      <c r="AO162" s="582">
        <f t="shared" si="12"/>
        <v>0.3573520833</v>
      </c>
      <c r="AP162" s="571" t="str">
        <f>IFERROR(
AVERAGEIFS(
'New LF Efficacy'!$J:$J,
'New LF Efficacy'!$D:$D,$A162,
'New LF Efficacy'!$F:$F,"Albendazole &amp; DEC",
'New LF Efficacy'!$W:$W,"&lt;2016",
'New LF Efficacy'!$AA:$AA,""),
"")</f>
        <v/>
      </c>
      <c r="AQ162" s="582">
        <f t="shared" si="13"/>
        <v>0.5143541667</v>
      </c>
      <c r="AR162" s="571" t="str">
        <f>IFERROR(
AVERAGEIFS(
'New LF Efficacy'!$J:$J,
'New LF Efficacy'!$D:$D,$A162,
'New LF Efficacy'!$F:$F,"Albendazole &amp; Ivermectin", 
'New LF Efficacy'!$W:$W,"&lt;2016",
'New LF Efficacy'!$AA:$AA,""),"")</f>
        <v/>
      </c>
      <c r="AS162" s="582">
        <f t="shared" si="14"/>
        <v>0.37153125</v>
      </c>
      <c r="AT162" s="583" t="str">
        <f>IFERROR(AVERAGEIFS(
'Schist Efficacy'!$O:$O, 
'Schist Efficacy'!$C:$C,$A162, 
'Schist Efficacy'!$D:$D, "Praziquantel",
'Schist Efficacy'!$J:$J,"&lt;2016",
'Schist Efficacy'!$U:$U,""),
"")</f>
        <v/>
      </c>
      <c r="AU162" s="572">
        <f t="shared" si="15"/>
        <v>0.655</v>
      </c>
      <c r="AV162" s="131" t="str">
        <f>IFERROR(AVERAGEIFS(
'STH Efficacy'!$AX:$AX, 
'STH Efficacy'!$AL:$AL, $A162, 
'STH Efficacy'!$AM:$AM, "Albendazole",
'STH Efficacy'!$AS:$AS,"&lt;2016",
'STH Efficacy'!$BP:$BP,""),
"")</f>
        <v/>
      </c>
      <c r="AW162" s="132">
        <f t="shared" si="16"/>
        <v>0.4143846154</v>
      </c>
      <c r="AX162" s="131" t="str">
        <f>IFERROR(AVERAGEIFS(
'STH Efficacy'!$AX:$AX, 
'STH Efficacy'!$AL:$AL, $A162, 
'STH Efficacy'!$AM:$AM, "Mebendazole",
'STH Efficacy'!$AS:$AS,"&lt;2016",
'STH Efficacy'!$BP:$BP,""),
"")</f>
        <v/>
      </c>
      <c r="AY162" s="132">
        <f t="shared" si="17"/>
        <v>0.4691770833</v>
      </c>
      <c r="AZ162" s="131" t="str">
        <f>IFERROR(AVERAGEIFS(
'STH Efficacy'!$AX:$AX, 
'STH Efficacy'!$AL:$AL, $A162, 
'STH Efficacy'!$AM:$AM, "Albendazole &amp; Ivermectin",
'STH Efficacy'!$AS:$AS,"&lt;2016",
'STH Efficacy'!$BP:$BP,""),
"")</f>
        <v/>
      </c>
      <c r="BA162" s="303">
        <f t="shared" si="18"/>
        <v>0.597625</v>
      </c>
      <c r="BB162" s="584" t="str">
        <f>IFERROR(AVERAGEIFS(
'STH Efficacy'!$N:$N, 
'STH Efficacy'!$B:$B, $A162, 
'STH Efficacy'!$C:$C, "Albendazole",
'STH Efficacy'!$I:$I,"&lt;2016",
'STH Efficacy'!$AH:$AH,""),
"")</f>
        <v/>
      </c>
      <c r="BC162" s="579">
        <f t="shared" si="19"/>
        <v>0.7613712121</v>
      </c>
      <c r="BD162" s="584" t="str">
        <f>IFERROR(AVERAGEIFS(
'STH Efficacy'!$N:$N, 
'STH Efficacy'!$B:$B, $A162, 
'STH Efficacy'!$C:$C, "Mebendazole",
'STH Efficacy'!$I:$I,"&lt;2016",
'STH Efficacy'!$AH:$AH,""),
"")</f>
        <v/>
      </c>
      <c r="BE162" s="579">
        <f t="shared" si="20"/>
        <v>0.4362466667</v>
      </c>
      <c r="BF162" s="585" t="str">
        <f>IFERROR(AVERAGEIFS(
'STH Efficacy'!$CD:$CD, 
'STH Efficacy'!$BS:$BS, $A162, 
'STH Efficacy'!$BT:$BT, "Albendazole",
'STH Efficacy'!$BZ:$BZ,"&lt;2016",
'STH Efficacy'!$CU:$CU,""),
"")</f>
        <v/>
      </c>
      <c r="BG162" s="580">
        <f t="shared" si="21"/>
        <v>0.9216027778</v>
      </c>
      <c r="BH162" s="585" t="str">
        <f>IFERROR(AVERAGEIFS(
'STH Efficacy'!$CD:$CD, 
'STH Efficacy'!$BS:$BS, $A162, 
'STH Efficacy'!$BT:$BT, "Mebendazole",
'STH Efficacy'!$BZ:$BZ,"&lt;2016",
'STH Efficacy'!$CU:$CU,""),
"")</f>
        <v/>
      </c>
      <c r="BI162" s="580">
        <f t="shared" si="22"/>
        <v>0.8866041667</v>
      </c>
      <c r="BJ162" s="585" t="str">
        <f>IFERROR(AVERAGEIFS(
'STH Efficacy'!$CD:$CD, 
'STH Efficacy'!$BS:$BS, $A162, 
'STH Efficacy'!$BT:$BT, "Albendazole &amp; Ivermectin",
'STH Efficacy'!$BZ:$BZ,"&lt;2016",
'STH Efficacy'!$CU:$CU,""),
"")</f>
        <v/>
      </c>
      <c r="BK162" s="580">
        <f t="shared" si="23"/>
        <v>0.848</v>
      </c>
      <c r="BL162" s="575" t="str">
        <f>IFERROR(
  AVERAGEIFS(
    'NEW Onchocerciasis Efficacy'!$AO:$AO,
    'NEW Onchocerciasis Efficacy'!$C:$C,$A162,
    'NEW Onchocerciasis Efficacy'!$D:$D,"Ivermectin",
    'NEW Onchocerciasis Efficacy'!$AR:$AR,"&lt;2016",
    'NEW Onchocerciasis Efficacy'!$BG:$BG,"")
,"")</f>
        <v/>
      </c>
      <c r="BM162" s="586">
        <f t="shared" si="24"/>
        <v>0.7808368939</v>
      </c>
      <c r="BN162" s="587">
        <v>0.0</v>
      </c>
      <c r="BO162" s="588">
        <v>1.0</v>
      </c>
      <c r="BP162" s="589">
        <v>1.0</v>
      </c>
      <c r="BQ162" s="590">
        <f t="shared" si="25"/>
        <v>0</v>
      </c>
      <c r="BR162" s="560" t="str">
        <f t="shared" si="26"/>
        <v>0110</v>
      </c>
      <c r="BS162" s="560" t="str">
        <f t="shared" si="27"/>
        <v>MDA3+T2</v>
      </c>
      <c r="BT162" s="606" t="str">
        <f t="shared" si="44"/>
        <v>IVM</v>
      </c>
      <c r="BU162" s="560" t="str">
        <f t="shared" si="29"/>
        <v>PZQ</v>
      </c>
      <c r="BV162" s="560" t="str">
        <f t="shared" si="30"/>
        <v>onch+schist</v>
      </c>
      <c r="BW162" s="150" t="str">
        <f t="shared" si="31"/>
        <v/>
      </c>
      <c r="BX162" s="150" t="str">
        <f t="shared" si="32"/>
        <v/>
      </c>
      <c r="BY162" s="608">
        <f t="shared" si="33"/>
        <v>0</v>
      </c>
      <c r="BZ162" s="152" t="str">
        <f t="shared" si="34"/>
        <v/>
      </c>
      <c r="CA162" s="152" t="str">
        <f t="shared" si="35"/>
        <v/>
      </c>
      <c r="CB162" s="152" t="str">
        <f t="shared" si="36"/>
        <v/>
      </c>
      <c r="CC162" s="153" t="str">
        <f t="shared" si="37"/>
        <v/>
      </c>
      <c r="CD162" s="153" t="str">
        <f t="shared" si="38"/>
        <v/>
      </c>
      <c r="CE162" s="154" t="str">
        <f t="shared" si="39"/>
        <v/>
      </c>
      <c r="CF162" s="154" t="str">
        <f t="shared" si="40"/>
        <v/>
      </c>
      <c r="CG162" s="154" t="str">
        <f t="shared" si="41"/>
        <v/>
      </c>
      <c r="CH162" s="637">
        <f t="shared" si="42"/>
        <v>0</v>
      </c>
    </row>
    <row r="163">
      <c r="A163" s="559" t="s">
        <v>252</v>
      </c>
      <c r="B163" s="560" t="s">
        <v>92</v>
      </c>
      <c r="C163" s="561">
        <v>1.1629553E7</v>
      </c>
      <c r="D163" s="562">
        <v>0.0</v>
      </c>
      <c r="E163" s="563">
        <v>7034.18660101284</v>
      </c>
      <c r="F163" s="564">
        <v>140.4025278</v>
      </c>
      <c r="G163" s="564">
        <v>1054.852271</v>
      </c>
      <c r="H163" s="564">
        <v>5931.722757</v>
      </c>
      <c r="I163" s="565">
        <v>607.9016587</v>
      </c>
      <c r="J163" s="566">
        <v>2082.40009580618</v>
      </c>
      <c r="K163" s="566">
        <v>9238.10541565751</v>
      </c>
      <c r="L163" s="567">
        <v>1207.110902</v>
      </c>
      <c r="M163" s="568">
        <v>1397.9503969853</v>
      </c>
      <c r="N163" s="568">
        <v>5616.09240806572</v>
      </c>
      <c r="O163" s="569">
        <v>0.0</v>
      </c>
      <c r="P163" s="570"/>
      <c r="Q163" s="150"/>
      <c r="R163" s="571"/>
      <c r="S163" s="116">
        <f t="shared" si="6"/>
        <v>0.6227928571</v>
      </c>
      <c r="T163" s="572">
        <v>0.4032</v>
      </c>
      <c r="U163" s="572">
        <f t="shared" si="7"/>
        <v>0.4032</v>
      </c>
      <c r="V163" s="573">
        <v>0.9855</v>
      </c>
      <c r="W163" s="574">
        <f t="shared" si="8"/>
        <v>0.9855</v>
      </c>
      <c r="X163" s="573">
        <v>0.9895</v>
      </c>
      <c r="Y163" s="574">
        <f t="shared" si="9"/>
        <v>0.9895</v>
      </c>
      <c r="Z163" s="625" t="s">
        <v>395</v>
      </c>
      <c r="AA163" s="625" t="s">
        <v>395</v>
      </c>
      <c r="AB163" s="575" t="str">
        <f t="shared" si="10"/>
        <v/>
      </c>
      <c r="AC163" s="576">
        <f t="shared" si="11"/>
        <v>0.6507101914</v>
      </c>
      <c r="AD163" s="577">
        <v>0.0</v>
      </c>
      <c r="AE163" s="572">
        <v>0.05537792182</v>
      </c>
      <c r="AF163" s="578">
        <v>0.0130680878</v>
      </c>
      <c r="AG163" s="133">
        <v>0.06737554808</v>
      </c>
      <c r="AH163" s="133">
        <v>0.218559963</v>
      </c>
      <c r="AI163" s="623">
        <v>0.1145749583</v>
      </c>
      <c r="AJ163" s="623">
        <v>0.1428747322</v>
      </c>
      <c r="AK163" s="624">
        <v>0.108028721</v>
      </c>
      <c r="AL163" s="624">
        <v>0.1282092495</v>
      </c>
      <c r="AM163" s="581">
        <v>0.0</v>
      </c>
      <c r="AN163" s="571" t="str">
        <f>IFERROR(
  AVERAGEIFS(
    'New LF Efficacy'!$J:$J,
    'New LF Efficacy'!$D:$D, $A163,
    'New LF Efficacy'!$F:$F,"DEC", 
    'New LF Efficacy'!$W:$W,"&lt;2016",
    'New LF Efficacy'!$AA:$AA,""),
  ""
)</f>
        <v/>
      </c>
      <c r="AO163" s="582">
        <f t="shared" si="12"/>
        <v>0.31225</v>
      </c>
      <c r="AP163" s="571" t="str">
        <f>IFERROR(
AVERAGEIFS(
'New LF Efficacy'!$J:$J,
'New LF Efficacy'!$D:$D,$A163,
'New LF Efficacy'!$F:$F,"Albendazole &amp; DEC",
'New LF Efficacy'!$W:$W,"&lt;2016",
'New LF Efficacy'!$AA:$AA,""),
"")</f>
        <v/>
      </c>
      <c r="AQ163" s="582">
        <f t="shared" si="13"/>
        <v>0.4</v>
      </c>
      <c r="AR163" s="571" t="str">
        <f>IFERROR(
AVERAGEIFS(
'New LF Efficacy'!$J:$J,
'New LF Efficacy'!$D:$D,$A163,
'New LF Efficacy'!$F:$F,"Albendazole &amp; Ivermectin", 
'New LF Efficacy'!$W:$W,"&lt;2016",
'New LF Efficacy'!$AA:$AA,""),"")</f>
        <v/>
      </c>
      <c r="AS163" s="582">
        <f t="shared" si="14"/>
        <v>0.2943125</v>
      </c>
      <c r="AT163" s="583" t="str">
        <f>IFERROR(AVERAGEIFS(
'Schist Efficacy'!$O:$O, 
'Schist Efficacy'!$C:$C,$A163, 
'Schist Efficacy'!$D:$D, "Praziquantel",
'Schist Efficacy'!$J:$J,"&lt;2016",
'Schist Efficacy'!$U:$U,""),
"")</f>
        <v/>
      </c>
      <c r="AU163" s="572">
        <f t="shared" si="15"/>
        <v>0.7206464759</v>
      </c>
      <c r="AV163" s="131" t="str">
        <f>IFERROR(AVERAGEIFS(
'STH Efficacy'!$AX:$AX, 
'STH Efficacy'!$AL:$AL, $A163, 
'STH Efficacy'!$AM:$AM, "Albendazole",
'STH Efficacy'!$AS:$AS,"&lt;2016",
'STH Efficacy'!$BP:$BP,""),
"")</f>
        <v/>
      </c>
      <c r="AW163" s="132">
        <f t="shared" si="16"/>
        <v>0.3816333333</v>
      </c>
      <c r="AX163" s="131">
        <f>IFERROR(AVERAGEIFS(
'STH Efficacy'!$AX:$AX, 
'STH Efficacy'!$AL:$AL, $A163, 
'STH Efficacy'!$AM:$AM, "Mebendazole",
'STH Efficacy'!$AS:$AS,"&lt;2016",
'STH Efficacy'!$BP:$BP,""),
"")</f>
        <v>0.339</v>
      </c>
      <c r="AY163" s="132">
        <f t="shared" si="17"/>
        <v>0.339</v>
      </c>
      <c r="AZ163" s="131" t="str">
        <f>IFERROR(AVERAGEIFS(
'STH Efficacy'!$AX:$AX, 
'STH Efficacy'!$AL:$AL, $A163, 
'STH Efficacy'!$AM:$AM, "Albendazole &amp; Ivermectin",
'STH Efficacy'!$AS:$AS,"&lt;2016",
'STH Efficacy'!$BP:$BP,""),
"")</f>
        <v/>
      </c>
      <c r="BA163" s="303">
        <f t="shared" si="18"/>
        <v>0.47175</v>
      </c>
      <c r="BB163" s="584" t="str">
        <f>IFERROR(AVERAGEIFS(
'STH Efficacy'!$N:$N, 
'STH Efficacy'!$B:$B, $A163, 
'STH Efficacy'!$C:$C, "Albendazole",
'STH Efficacy'!$I:$I,"&lt;2016",
'STH Efficacy'!$AH:$AH,""),
"")</f>
        <v/>
      </c>
      <c r="BC163" s="579">
        <f t="shared" si="19"/>
        <v>0.8699166667</v>
      </c>
      <c r="BD163" s="584" t="str">
        <f>IFERROR(AVERAGEIFS(
'STH Efficacy'!$N:$N, 
'STH Efficacy'!$B:$B, $A163, 
'STH Efficacy'!$C:$C, "Mebendazole",
'STH Efficacy'!$I:$I,"&lt;2016",
'STH Efficacy'!$AH:$AH,""),
"")</f>
        <v/>
      </c>
      <c r="BE163" s="579">
        <f t="shared" si="20"/>
        <v>0.7092416667</v>
      </c>
      <c r="BF163" s="585" t="str">
        <f>IFERROR(AVERAGEIFS(
'STH Efficacy'!$CD:$CD, 
'STH Efficacy'!$BS:$BS, $A163, 
'STH Efficacy'!$BT:$BT, "Albendazole",
'STH Efficacy'!$BZ:$BZ,"&lt;2016",
'STH Efficacy'!$CU:$CU,""),
"")</f>
        <v/>
      </c>
      <c r="BG163" s="580">
        <f t="shared" si="21"/>
        <v>0.9066666667</v>
      </c>
      <c r="BH163" s="585" t="str">
        <f>IFERROR(AVERAGEIFS(
'STH Efficacy'!$CD:$CD, 
'STH Efficacy'!$BS:$BS, $A163, 
'STH Efficacy'!$BT:$BT, "Mebendazole",
'STH Efficacy'!$BZ:$BZ,"&lt;2016",
'STH Efficacy'!$CU:$CU,""),
"")</f>
        <v/>
      </c>
      <c r="BI163" s="580">
        <f t="shared" si="22"/>
        <v>0.8483333333</v>
      </c>
      <c r="BJ163" s="585" t="str">
        <f>IFERROR(AVERAGEIFS(
'STH Efficacy'!$CD:$CD, 
'STH Efficacy'!$BS:$BS, $A163, 
'STH Efficacy'!$BT:$BT, "Albendazole &amp; Ivermectin",
'STH Efficacy'!$BZ:$BZ,"&lt;2016",
'STH Efficacy'!$CU:$CU,""),
"")</f>
        <v/>
      </c>
      <c r="BK163" s="580">
        <f t="shared" si="23"/>
        <v>0.696</v>
      </c>
      <c r="BL163" s="575" t="str">
        <f>IFERROR(
  AVERAGEIFS(
    'NEW Onchocerciasis Efficacy'!$AO:$AO,
    'NEW Onchocerciasis Efficacy'!$C:$C,$A163,
    'NEW Onchocerciasis Efficacy'!$D:$D,"Ivermectin",
    'NEW Onchocerciasis Efficacy'!$AR:$AR,"&lt;2016",
    'NEW Onchocerciasis Efficacy'!$BG:$BG,"")
,"")</f>
        <v/>
      </c>
      <c r="BM163" s="586">
        <f t="shared" si="24"/>
        <v>0.8390421645</v>
      </c>
      <c r="BN163" s="587">
        <v>0.0</v>
      </c>
      <c r="BO163" s="588">
        <v>0.0</v>
      </c>
      <c r="BP163" s="589">
        <v>1.0</v>
      </c>
      <c r="BQ163" s="590">
        <f t="shared" si="25"/>
        <v>0</v>
      </c>
      <c r="BR163" s="560" t="str">
        <f t="shared" si="26"/>
        <v>0010</v>
      </c>
      <c r="BS163" s="560" t="str">
        <f t="shared" si="27"/>
        <v>T2</v>
      </c>
      <c r="BT163" s="606" t="str">
        <f t="shared" si="44"/>
        <v>PZQ</v>
      </c>
      <c r="BU163" s="560" t="str">
        <f t="shared" si="29"/>
        <v>PZQ</v>
      </c>
      <c r="BV163" s="560" t="str">
        <f t="shared" si="30"/>
        <v>schist only</v>
      </c>
      <c r="BW163" s="150" t="str">
        <f t="shared" si="31"/>
        <v/>
      </c>
      <c r="BX163" s="150" t="str">
        <f t="shared" si="32"/>
        <v/>
      </c>
      <c r="BY163" s="608">
        <f t="shared" si="33"/>
        <v>2881.003967</v>
      </c>
      <c r="BZ163" s="152" t="str">
        <f t="shared" si="34"/>
        <v/>
      </c>
      <c r="CA163" s="152" t="str">
        <f t="shared" si="35"/>
        <v/>
      </c>
      <c r="CB163" s="152" t="str">
        <f t="shared" si="36"/>
        <v/>
      </c>
      <c r="CC163" s="153" t="str">
        <f t="shared" si="37"/>
        <v/>
      </c>
      <c r="CD163" s="153" t="str">
        <f t="shared" si="38"/>
        <v/>
      </c>
      <c r="CE163" s="154" t="str">
        <f t="shared" si="39"/>
        <v/>
      </c>
      <c r="CF163" s="154" t="str">
        <f t="shared" si="40"/>
        <v/>
      </c>
      <c r="CG163" s="154" t="str">
        <f t="shared" si="41"/>
        <v/>
      </c>
      <c r="CH163" s="308" t="str">
        <f t="shared" si="42"/>
        <v/>
      </c>
    </row>
    <row r="164">
      <c r="A164" s="559" t="s">
        <v>253</v>
      </c>
      <c r="B164" s="560" t="s">
        <v>98</v>
      </c>
      <c r="C164" s="561">
        <v>54288.0</v>
      </c>
      <c r="D164" s="562"/>
      <c r="E164" s="610"/>
      <c r="F164" s="611"/>
      <c r="G164" s="611"/>
      <c r="H164" s="611"/>
      <c r="I164" s="566"/>
      <c r="J164" s="566"/>
      <c r="K164" s="566"/>
      <c r="L164" s="612"/>
      <c r="M164" s="612"/>
      <c r="N164" s="612"/>
      <c r="O164" s="308"/>
      <c r="P164" s="150"/>
      <c r="Q164" s="150"/>
      <c r="R164" s="571"/>
      <c r="S164" s="116">
        <f t="shared" si="6"/>
        <v>0.6451333333</v>
      </c>
      <c r="T164" s="151"/>
      <c r="U164" s="572">
        <f t="shared" si="7"/>
        <v>0.0025</v>
      </c>
      <c r="V164" s="598"/>
      <c r="W164" s="574">
        <f t="shared" si="8"/>
        <v>0.56882</v>
      </c>
      <c r="X164" s="598"/>
      <c r="Y164" s="574">
        <f t="shared" si="9"/>
        <v>0.5825818182</v>
      </c>
      <c r="Z164" s="308"/>
      <c r="AA164" s="308"/>
      <c r="AB164" s="575" t="str">
        <f t="shared" si="10"/>
        <v/>
      </c>
      <c r="AC164" s="576">
        <f t="shared" si="11"/>
        <v>0.7574216602</v>
      </c>
      <c r="AD164" s="571"/>
      <c r="AE164" s="583"/>
      <c r="AF164" s="583"/>
      <c r="AG164" s="131"/>
      <c r="AH164" s="131"/>
      <c r="AI164" s="584"/>
      <c r="AJ164" s="584"/>
      <c r="AK164" s="585"/>
      <c r="AL164" s="585"/>
      <c r="AM164" s="575"/>
      <c r="AN164" s="571" t="str">
        <f>IFERROR(
  AVERAGEIFS(
    'New LF Efficacy'!$J:$J,
    'New LF Efficacy'!$D:$D, $A164,
    'New LF Efficacy'!$F:$F,"DEC", 
    'New LF Efficacy'!$W:$W,"&lt;2016",
    'New LF Efficacy'!$AA:$AA,""),
  ""
)</f>
        <v/>
      </c>
      <c r="AO164" s="582">
        <f t="shared" si="12"/>
        <v>0.2589833333</v>
      </c>
      <c r="AP164" s="571" t="str">
        <f>IFERROR(
AVERAGEIFS(
'New LF Efficacy'!$J:$J,
'New LF Efficacy'!$D:$D,$A164,
'New LF Efficacy'!$F:$F,"Albendazole &amp; DEC",
'New LF Efficacy'!$W:$W,"&lt;2016",
'New LF Efficacy'!$AA:$AA,""),
"")</f>
        <v/>
      </c>
      <c r="AQ164" s="582">
        <f t="shared" si="13"/>
        <v>0.3465</v>
      </c>
      <c r="AR164" s="571" t="str">
        <f>IFERROR(
AVERAGEIFS(
'New LF Efficacy'!$J:$J,
'New LF Efficacy'!$D:$D,$A164,
'New LF Efficacy'!$F:$F,"Albendazole &amp; Ivermectin", 
'New LF Efficacy'!$W:$W,"&lt;2016",
'New LF Efficacy'!$AA:$AA,""),"")</f>
        <v/>
      </c>
      <c r="AS164" s="582">
        <f t="shared" si="14"/>
        <v>0.7575</v>
      </c>
      <c r="AT164" s="583" t="str">
        <f>IFERROR(AVERAGEIFS(
'Schist Efficacy'!$O:$O, 
'Schist Efficacy'!$C:$C,$A164, 
'Schist Efficacy'!$D:$D, "Praziquantel",
'Schist Efficacy'!$J:$J,"&lt;2016",
'Schist Efficacy'!$U:$U,""),
"")</f>
        <v/>
      </c>
      <c r="AU164" s="572">
        <f t="shared" si="15"/>
        <v>0.7914761905</v>
      </c>
      <c r="AV164" s="131" t="str">
        <f>IFERROR(AVERAGEIFS(
'STH Efficacy'!$AX:$AX, 
'STH Efficacy'!$AL:$AL, $A164, 
'STH Efficacy'!$AM:$AM, "Albendazole",
'STH Efficacy'!$AS:$AS,"&lt;2016",
'STH Efficacy'!$BP:$BP,""),
"")</f>
        <v/>
      </c>
      <c r="AW164" s="132">
        <f t="shared" si="16"/>
        <v>0.3945</v>
      </c>
      <c r="AX164" s="131" t="str">
        <f>IFERROR(AVERAGEIFS(
'STH Efficacy'!$AX:$AX, 
'STH Efficacy'!$AL:$AL, $A164, 
'STH Efficacy'!$AM:$AM, "Mebendazole",
'STH Efficacy'!$AS:$AS,"&lt;2016",
'STH Efficacy'!$BP:$BP,""),
"")</f>
        <v/>
      </c>
      <c r="AY164" s="132">
        <f t="shared" si="17"/>
        <v>0.6</v>
      </c>
      <c r="AZ164" s="131" t="str">
        <f>IFERROR(AVERAGEIFS(
'STH Efficacy'!$AX:$AX, 
'STH Efficacy'!$AL:$AL, $A164, 
'STH Efficacy'!$AM:$AM, "Albendazole &amp; Ivermectin",
'STH Efficacy'!$AS:$AS,"&lt;2016",
'STH Efficacy'!$BP:$BP,""),
"")</f>
        <v/>
      </c>
      <c r="BA164" s="303">
        <f t="shared" si="18"/>
        <v>0.796</v>
      </c>
      <c r="BB164" s="584" t="str">
        <f>IFERROR(AVERAGEIFS(
'STH Efficacy'!$N:$N, 
'STH Efficacy'!$B:$B, $A164, 
'STH Efficacy'!$C:$C, "Albendazole",
'STH Efficacy'!$I:$I,"&lt;2016",
'STH Efficacy'!$AH:$AH,""),
"")</f>
        <v/>
      </c>
      <c r="BC164" s="579">
        <f t="shared" si="19"/>
        <v>0.869</v>
      </c>
      <c r="BD164" s="584" t="str">
        <f>IFERROR(AVERAGEIFS(
'STH Efficacy'!$N:$N, 
'STH Efficacy'!$B:$B, $A164, 
'STH Efficacy'!$C:$C, "Mebendazole",
'STH Efficacy'!$I:$I,"&lt;2016",
'STH Efficacy'!$AH:$AH,""),
"")</f>
        <v/>
      </c>
      <c r="BE164" s="579">
        <f t="shared" si="20"/>
        <v>0.172</v>
      </c>
      <c r="BF164" s="585" t="str">
        <f>IFERROR(AVERAGEIFS(
'STH Efficacy'!$CD:$CD, 
'STH Efficacy'!$BS:$BS, $A164, 
'STH Efficacy'!$BT:$BT, "Albendazole",
'STH Efficacy'!$BZ:$BZ,"&lt;2016",
'STH Efficacy'!$CU:$CU,""),
"")</f>
        <v/>
      </c>
      <c r="BG164" s="580">
        <f t="shared" si="21"/>
        <v>0.9862</v>
      </c>
      <c r="BH164" s="585" t="str">
        <f>IFERROR(AVERAGEIFS(
'STH Efficacy'!$CD:$CD, 
'STH Efficacy'!$BS:$BS, $A164, 
'STH Efficacy'!$BT:$BT, "Mebendazole",
'STH Efficacy'!$BZ:$BZ,"&lt;2016",
'STH Efficacy'!$CU:$CU,""),
"")</f>
        <v/>
      </c>
      <c r="BI164" s="580">
        <f t="shared" si="22"/>
        <v>0.769</v>
      </c>
      <c r="BJ164" s="585" t="str">
        <f>IFERROR(AVERAGEIFS(
'STH Efficacy'!$CD:$CD, 
'STH Efficacy'!$BS:$BS, $A164, 
'STH Efficacy'!$BT:$BT, "Albendazole &amp; Ivermectin",
'STH Efficacy'!$BZ:$BZ,"&lt;2016",
'STH Efficacy'!$CU:$CU,""),
"")</f>
        <v/>
      </c>
      <c r="BK164" s="580">
        <f t="shared" si="23"/>
        <v>1</v>
      </c>
      <c r="BL164" s="575" t="str">
        <f>IFERROR(
  AVERAGEIFS(
    'NEW Onchocerciasis Efficacy'!$AO:$AO,
    'NEW Onchocerciasis Efficacy'!$C:$C,$A164,
    'NEW Onchocerciasis Efficacy'!$D:$D,"Ivermectin",
    'NEW Onchocerciasis Efficacy'!$AR:$AR,"&lt;2016",
    'NEW Onchocerciasis Efficacy'!$BG:$BG,"")
,"")</f>
        <v/>
      </c>
      <c r="BM164" s="586">
        <f t="shared" si="24"/>
        <v>0.3734</v>
      </c>
      <c r="BN164" s="587">
        <v>0.0</v>
      </c>
      <c r="BO164" s="588">
        <v>0.0</v>
      </c>
      <c r="BP164" s="589">
        <v>0.0</v>
      </c>
      <c r="BQ164" s="590">
        <f t="shared" si="25"/>
        <v>0</v>
      </c>
      <c r="BR164" s="560" t="str">
        <f t="shared" si="26"/>
        <v>0000</v>
      </c>
      <c r="BS164" s="560" t="str">
        <f t="shared" si="27"/>
        <v>no action required</v>
      </c>
      <c r="BT164" s="361" t="str">
        <f t="shared" si="44"/>
        <v/>
      </c>
      <c r="BU164" s="591" t="str">
        <f t="shared" si="29"/>
        <v/>
      </c>
      <c r="BV164" s="560" t="str">
        <f t="shared" si="30"/>
        <v>none</v>
      </c>
      <c r="BW164" s="150" t="str">
        <f t="shared" si="31"/>
        <v/>
      </c>
      <c r="BX164" s="150" t="str">
        <f t="shared" si="32"/>
        <v/>
      </c>
      <c r="BY164" s="151" t="str">
        <f t="shared" si="33"/>
        <v/>
      </c>
      <c r="BZ164" s="152" t="str">
        <f t="shared" si="34"/>
        <v/>
      </c>
      <c r="CA164" s="152" t="str">
        <f t="shared" si="35"/>
        <v/>
      </c>
      <c r="CB164" s="152" t="str">
        <f t="shared" si="36"/>
        <v/>
      </c>
      <c r="CC164" s="153" t="str">
        <f t="shared" si="37"/>
        <v/>
      </c>
      <c r="CD164" s="153" t="str">
        <f t="shared" si="38"/>
        <v/>
      </c>
      <c r="CE164" s="154" t="str">
        <f t="shared" si="39"/>
        <v/>
      </c>
      <c r="CF164" s="154" t="str">
        <f t="shared" si="40"/>
        <v/>
      </c>
      <c r="CG164" s="154" t="str">
        <f t="shared" si="41"/>
        <v/>
      </c>
      <c r="CH164" s="308" t="str">
        <f t="shared" si="42"/>
        <v/>
      </c>
    </row>
    <row r="165">
      <c r="A165" s="559" t="s">
        <v>254</v>
      </c>
      <c r="B165" s="560" t="s">
        <v>98</v>
      </c>
      <c r="C165" s="561">
        <v>177206.0</v>
      </c>
      <c r="D165" s="562">
        <v>0.0</v>
      </c>
      <c r="E165" s="563">
        <v>5.31477108173807</v>
      </c>
      <c r="F165" s="564">
        <v>0.016788062</v>
      </c>
      <c r="G165" s="564">
        <v>0.141182081</v>
      </c>
      <c r="H165" s="564">
        <v>1.221082958</v>
      </c>
      <c r="I165" s="565">
        <v>0.116712638</v>
      </c>
      <c r="J165" s="566">
        <v>0.607167670506924</v>
      </c>
      <c r="K165" s="566">
        <v>5.37372334553095</v>
      </c>
      <c r="L165" s="567">
        <v>0.314123703</v>
      </c>
      <c r="M165" s="568">
        <v>0.693271959069233</v>
      </c>
      <c r="N165" s="568">
        <v>3.39429622384387</v>
      </c>
      <c r="O165" s="569">
        <v>0.0</v>
      </c>
      <c r="P165" s="570"/>
      <c r="Q165" s="150"/>
      <c r="R165" s="571"/>
      <c r="S165" s="116">
        <f t="shared" si="6"/>
        <v>0.6451333333</v>
      </c>
      <c r="T165" s="151"/>
      <c r="U165" s="572">
        <f t="shared" si="7"/>
        <v>0.0025</v>
      </c>
      <c r="V165" s="598"/>
      <c r="W165" s="574">
        <f t="shared" si="8"/>
        <v>0.56882</v>
      </c>
      <c r="X165" s="598"/>
      <c r="Y165" s="574">
        <f t="shared" si="9"/>
        <v>0.5825818182</v>
      </c>
      <c r="Z165" s="308"/>
      <c r="AA165" s="308"/>
      <c r="AB165" s="575" t="str">
        <f t="shared" si="10"/>
        <v/>
      </c>
      <c r="AC165" s="576">
        <f t="shared" si="11"/>
        <v>0.7574216602</v>
      </c>
      <c r="AD165" s="614">
        <v>0.0</v>
      </c>
      <c r="AE165" s="572">
        <v>0.0</v>
      </c>
      <c r="AF165" s="578">
        <v>0.0</v>
      </c>
      <c r="AG165" s="133">
        <v>0.01642543853</v>
      </c>
      <c r="AH165" s="133">
        <v>0.052120799</v>
      </c>
      <c r="AI165" s="623">
        <v>0.007896652051</v>
      </c>
      <c r="AJ165" s="623">
        <v>0.009560074855</v>
      </c>
      <c r="AK165" s="624">
        <v>0.03634426456</v>
      </c>
      <c r="AL165" s="624">
        <v>0.04165895974</v>
      </c>
      <c r="AM165" s="581">
        <v>0.0</v>
      </c>
      <c r="AN165" s="571" t="str">
        <f>IFERROR(
  AVERAGEIFS(
    'New LF Efficacy'!$J:$J,
    'New LF Efficacy'!$D:$D, $A165,
    'New LF Efficacy'!$F:$F,"DEC", 
    'New LF Efficacy'!$W:$W,"&lt;2016",
    'New LF Efficacy'!$AA:$AA,""),
  ""
)</f>
        <v/>
      </c>
      <c r="AO165" s="582">
        <f t="shared" si="12"/>
        <v>0.2589833333</v>
      </c>
      <c r="AP165" s="571" t="str">
        <f>IFERROR(
AVERAGEIFS(
'New LF Efficacy'!$J:$J,
'New LF Efficacy'!$D:$D,$A165,
'New LF Efficacy'!$F:$F,"Albendazole &amp; DEC",
'New LF Efficacy'!$W:$W,"&lt;2016",
'New LF Efficacy'!$AA:$AA,""),
"")</f>
        <v/>
      </c>
      <c r="AQ165" s="582">
        <f t="shared" si="13"/>
        <v>0.3465</v>
      </c>
      <c r="AR165" s="571" t="str">
        <f>IFERROR(
AVERAGEIFS(
'New LF Efficacy'!$J:$J,
'New LF Efficacy'!$D:$D,$A165,
'New LF Efficacy'!$F:$F,"Albendazole &amp; Ivermectin", 
'New LF Efficacy'!$W:$W,"&lt;2016",
'New LF Efficacy'!$AA:$AA,""),"")</f>
        <v/>
      </c>
      <c r="AS165" s="582">
        <f t="shared" si="14"/>
        <v>0.7575</v>
      </c>
      <c r="AT165" s="583" t="str">
        <f>IFERROR(AVERAGEIFS(
'Schist Efficacy'!$O:$O, 
'Schist Efficacy'!$C:$C,$A165, 
'Schist Efficacy'!$D:$D, "Praziquantel",
'Schist Efficacy'!$J:$J,"&lt;2016",
'Schist Efficacy'!$U:$U,""),
"")</f>
        <v/>
      </c>
      <c r="AU165" s="572">
        <f t="shared" si="15"/>
        <v>0.7914761905</v>
      </c>
      <c r="AV165" s="131" t="str">
        <f>IFERROR(AVERAGEIFS(
'STH Efficacy'!$AX:$AX, 
'STH Efficacy'!$AL:$AL, $A165, 
'STH Efficacy'!$AM:$AM, "Albendazole",
'STH Efficacy'!$AS:$AS,"&lt;2016",
'STH Efficacy'!$BP:$BP,""),
"")</f>
        <v/>
      </c>
      <c r="AW165" s="132">
        <f t="shared" si="16"/>
        <v>0.3945</v>
      </c>
      <c r="AX165" s="131" t="str">
        <f>IFERROR(AVERAGEIFS(
'STH Efficacy'!$AX:$AX, 
'STH Efficacy'!$AL:$AL, $A165, 
'STH Efficacy'!$AM:$AM, "Mebendazole",
'STH Efficacy'!$AS:$AS,"&lt;2016",
'STH Efficacy'!$BP:$BP,""),
"")</f>
        <v/>
      </c>
      <c r="AY165" s="132">
        <f t="shared" si="17"/>
        <v>0.6</v>
      </c>
      <c r="AZ165" s="131" t="str">
        <f>IFERROR(AVERAGEIFS(
'STH Efficacy'!$AX:$AX, 
'STH Efficacy'!$AL:$AL, $A165, 
'STH Efficacy'!$AM:$AM, "Albendazole &amp; Ivermectin",
'STH Efficacy'!$AS:$AS,"&lt;2016",
'STH Efficacy'!$BP:$BP,""),
"")</f>
        <v/>
      </c>
      <c r="BA165" s="303">
        <f t="shared" si="18"/>
        <v>0.796</v>
      </c>
      <c r="BB165" s="584" t="str">
        <f>IFERROR(AVERAGEIFS(
'STH Efficacy'!$N:$N, 
'STH Efficacy'!$B:$B, $A165, 
'STH Efficacy'!$C:$C, "Albendazole",
'STH Efficacy'!$I:$I,"&lt;2016",
'STH Efficacy'!$AH:$AH,""),
"")</f>
        <v/>
      </c>
      <c r="BC165" s="579">
        <f t="shared" si="19"/>
        <v>0.869</v>
      </c>
      <c r="BD165" s="584" t="str">
        <f>IFERROR(AVERAGEIFS(
'STH Efficacy'!$N:$N, 
'STH Efficacy'!$B:$B, $A165, 
'STH Efficacy'!$C:$C, "Mebendazole",
'STH Efficacy'!$I:$I,"&lt;2016",
'STH Efficacy'!$AH:$AH,""),
"")</f>
        <v/>
      </c>
      <c r="BE165" s="579">
        <f t="shared" si="20"/>
        <v>0.172</v>
      </c>
      <c r="BF165" s="585" t="str">
        <f>IFERROR(AVERAGEIFS(
'STH Efficacy'!$CD:$CD, 
'STH Efficacy'!$BS:$BS, $A165, 
'STH Efficacy'!$BT:$BT, "Albendazole",
'STH Efficacy'!$BZ:$BZ,"&lt;2016",
'STH Efficacy'!$CU:$CU,""),
"")</f>
        <v/>
      </c>
      <c r="BG165" s="580">
        <f t="shared" si="21"/>
        <v>0.9862</v>
      </c>
      <c r="BH165" s="585" t="str">
        <f>IFERROR(AVERAGEIFS(
'STH Efficacy'!$CD:$CD, 
'STH Efficacy'!$BS:$BS, $A165, 
'STH Efficacy'!$BT:$BT, "Mebendazole",
'STH Efficacy'!$BZ:$BZ,"&lt;2016",
'STH Efficacy'!$CU:$CU,""),
"")</f>
        <v/>
      </c>
      <c r="BI165" s="580">
        <f t="shared" si="22"/>
        <v>0.769</v>
      </c>
      <c r="BJ165" s="585" t="str">
        <f>IFERROR(AVERAGEIFS(
'STH Efficacy'!$CD:$CD, 
'STH Efficacy'!$BS:$BS, $A165, 
'STH Efficacy'!$BT:$BT, "Albendazole &amp; Ivermectin",
'STH Efficacy'!$BZ:$BZ,"&lt;2016",
'STH Efficacy'!$CU:$CU,""),
"")</f>
        <v/>
      </c>
      <c r="BK165" s="580">
        <f t="shared" si="23"/>
        <v>1</v>
      </c>
      <c r="BL165" s="575" t="str">
        <f>IFERROR(
  AVERAGEIFS(
    'NEW Onchocerciasis Efficacy'!$AO:$AO,
    'NEW Onchocerciasis Efficacy'!$C:$C,$A165,
    'NEW Onchocerciasis Efficacy'!$D:$D,"Ivermectin",
    'NEW Onchocerciasis Efficacy'!$AR:$AR,"&lt;2016",
    'NEW Onchocerciasis Efficacy'!$BG:$BG,"")
,"")</f>
        <v/>
      </c>
      <c r="BM165" s="586">
        <f t="shared" si="24"/>
        <v>0.3734</v>
      </c>
      <c r="BN165" s="587">
        <v>0.0</v>
      </c>
      <c r="BO165" s="588">
        <v>0.0</v>
      </c>
      <c r="BP165" s="589">
        <v>0.0</v>
      </c>
      <c r="BQ165" s="590">
        <f t="shared" si="25"/>
        <v>0</v>
      </c>
      <c r="BR165" s="560" t="str">
        <f t="shared" si="26"/>
        <v>0000</v>
      </c>
      <c r="BS165" s="560" t="str">
        <f t="shared" si="27"/>
        <v>no action required</v>
      </c>
      <c r="BT165" s="361" t="str">
        <f t="shared" si="44"/>
        <v/>
      </c>
      <c r="BU165" s="591" t="str">
        <f t="shared" si="29"/>
        <v/>
      </c>
      <c r="BV165" s="560" t="str">
        <f t="shared" si="30"/>
        <v>none</v>
      </c>
      <c r="BW165" s="150" t="str">
        <f t="shared" si="31"/>
        <v/>
      </c>
      <c r="BX165" s="150" t="str">
        <f t="shared" si="32"/>
        <v/>
      </c>
      <c r="BY165" s="151" t="str">
        <f t="shared" si="33"/>
        <v/>
      </c>
      <c r="BZ165" s="152" t="str">
        <f t="shared" si="34"/>
        <v/>
      </c>
      <c r="CA165" s="152" t="str">
        <f t="shared" si="35"/>
        <v/>
      </c>
      <c r="CB165" s="152" t="str">
        <f t="shared" si="36"/>
        <v/>
      </c>
      <c r="CC165" s="153" t="str">
        <f t="shared" si="37"/>
        <v/>
      </c>
      <c r="CD165" s="153" t="str">
        <f t="shared" si="38"/>
        <v/>
      </c>
      <c r="CE165" s="154" t="str">
        <f t="shared" si="39"/>
        <v/>
      </c>
      <c r="CF165" s="154" t="str">
        <f t="shared" si="40"/>
        <v/>
      </c>
      <c r="CG165" s="154" t="str">
        <f t="shared" si="41"/>
        <v/>
      </c>
      <c r="CH165" s="308" t="str">
        <f t="shared" si="42"/>
        <v/>
      </c>
    </row>
    <row r="166">
      <c r="A166" s="559" t="s">
        <v>255</v>
      </c>
      <c r="B166" s="560" t="s">
        <v>98</v>
      </c>
      <c r="C166" s="561">
        <v>109455.0</v>
      </c>
      <c r="D166" s="562">
        <v>0.0</v>
      </c>
      <c r="E166" s="563">
        <v>0.0</v>
      </c>
      <c r="F166" s="564">
        <v>5.78775E-4</v>
      </c>
      <c r="G166" s="564">
        <v>0.005593668</v>
      </c>
      <c r="H166" s="564">
        <v>0.045112488</v>
      </c>
      <c r="I166" s="565">
        <v>0.156095129</v>
      </c>
      <c r="J166" s="566">
        <v>0.741345330149699</v>
      </c>
      <c r="K166" s="566">
        <v>4.54712365768039</v>
      </c>
      <c r="L166" s="567">
        <v>0.1572491</v>
      </c>
      <c r="M166" s="568">
        <v>0.248583211178968</v>
      </c>
      <c r="N166" s="568">
        <v>0.990365913124658</v>
      </c>
      <c r="O166" s="569">
        <v>0.0</v>
      </c>
      <c r="P166" s="570"/>
      <c r="Q166" s="150"/>
      <c r="R166" s="571"/>
      <c r="S166" s="116">
        <f t="shared" si="6"/>
        <v>0.6451333333</v>
      </c>
      <c r="T166" s="151"/>
      <c r="U166" s="572">
        <f t="shared" si="7"/>
        <v>0.0025</v>
      </c>
      <c r="V166" s="598"/>
      <c r="W166" s="574">
        <f t="shared" si="8"/>
        <v>0.56882</v>
      </c>
      <c r="X166" s="598"/>
      <c r="Y166" s="574">
        <f t="shared" si="9"/>
        <v>0.5825818182</v>
      </c>
      <c r="Z166" s="308"/>
      <c r="AA166" s="308"/>
      <c r="AB166" s="575" t="str">
        <f t="shared" si="10"/>
        <v/>
      </c>
      <c r="AC166" s="576">
        <f t="shared" si="11"/>
        <v>0.7574216602</v>
      </c>
      <c r="AD166" s="614">
        <v>0.0</v>
      </c>
      <c r="AE166" s="572">
        <v>0.0</v>
      </c>
      <c r="AF166" s="578">
        <v>0.0</v>
      </c>
      <c r="AG166" s="132">
        <v>0.0178310638</v>
      </c>
      <c r="AH166" s="132">
        <v>0.057540794</v>
      </c>
      <c r="AI166" s="579">
        <v>0.009512870351</v>
      </c>
      <c r="AJ166" s="579">
        <v>0.01172893834</v>
      </c>
      <c r="AK166" s="580">
        <v>0.03292108266</v>
      </c>
      <c r="AL166" s="580">
        <v>0.03846806026</v>
      </c>
      <c r="AM166" s="581">
        <v>0.0</v>
      </c>
      <c r="AN166" s="571" t="str">
        <f>IFERROR(
  AVERAGEIFS(
    'New LF Efficacy'!$J:$J,
    'New LF Efficacy'!$D:$D, $A166,
    'New LF Efficacy'!$F:$F,"DEC", 
    'New LF Efficacy'!$W:$W,"&lt;2016",
    'New LF Efficacy'!$AA:$AA,""),
  ""
)</f>
        <v/>
      </c>
      <c r="AO166" s="582">
        <f t="shared" si="12"/>
        <v>0.2589833333</v>
      </c>
      <c r="AP166" s="571" t="str">
        <f>IFERROR(
AVERAGEIFS(
'New LF Efficacy'!$J:$J,
'New LF Efficacy'!$D:$D,$A166,
'New LF Efficacy'!$F:$F,"Albendazole &amp; DEC",
'New LF Efficacy'!$W:$W,"&lt;2016",
'New LF Efficacy'!$AA:$AA,""),
"")</f>
        <v/>
      </c>
      <c r="AQ166" s="582">
        <f t="shared" si="13"/>
        <v>0.3465</v>
      </c>
      <c r="AR166" s="571" t="str">
        <f>IFERROR(
AVERAGEIFS(
'New LF Efficacy'!$J:$J,
'New LF Efficacy'!$D:$D,$A166,
'New LF Efficacy'!$F:$F,"Albendazole &amp; Ivermectin", 
'New LF Efficacy'!$W:$W,"&lt;2016",
'New LF Efficacy'!$AA:$AA,""),"")</f>
        <v/>
      </c>
      <c r="AS166" s="582">
        <f t="shared" si="14"/>
        <v>0.7575</v>
      </c>
      <c r="AT166" s="583" t="str">
        <f>IFERROR(AVERAGEIFS(
'Schist Efficacy'!$O:$O, 
'Schist Efficacy'!$C:$C,$A166, 
'Schist Efficacy'!$D:$D, "Praziquantel",
'Schist Efficacy'!$J:$J,"&lt;2016",
'Schist Efficacy'!$U:$U,""),
"")</f>
        <v/>
      </c>
      <c r="AU166" s="572">
        <f t="shared" si="15"/>
        <v>0.7914761905</v>
      </c>
      <c r="AV166" s="131" t="str">
        <f>IFERROR(AVERAGEIFS(
'STH Efficacy'!$AX:$AX, 
'STH Efficacy'!$AL:$AL, $A166, 
'STH Efficacy'!$AM:$AM, "Albendazole",
'STH Efficacy'!$AS:$AS,"&lt;2016",
'STH Efficacy'!$BP:$BP,""),
"")</f>
        <v/>
      </c>
      <c r="AW166" s="132">
        <f t="shared" si="16"/>
        <v>0.3945</v>
      </c>
      <c r="AX166" s="131" t="str">
        <f>IFERROR(AVERAGEIFS(
'STH Efficacy'!$AX:$AX, 
'STH Efficacy'!$AL:$AL, $A166, 
'STH Efficacy'!$AM:$AM, "Mebendazole",
'STH Efficacy'!$AS:$AS,"&lt;2016",
'STH Efficacy'!$BP:$BP,""),
"")</f>
        <v/>
      </c>
      <c r="AY166" s="132">
        <f t="shared" si="17"/>
        <v>0.6</v>
      </c>
      <c r="AZ166" s="131" t="str">
        <f>IFERROR(AVERAGEIFS(
'STH Efficacy'!$AX:$AX, 
'STH Efficacy'!$AL:$AL, $A166, 
'STH Efficacy'!$AM:$AM, "Albendazole &amp; Ivermectin",
'STH Efficacy'!$AS:$AS,"&lt;2016",
'STH Efficacy'!$BP:$BP,""),
"")</f>
        <v/>
      </c>
      <c r="BA166" s="303">
        <f t="shared" si="18"/>
        <v>0.796</v>
      </c>
      <c r="BB166" s="584" t="str">
        <f>IFERROR(AVERAGEIFS(
'STH Efficacy'!$N:$N, 
'STH Efficacy'!$B:$B, $A166, 
'STH Efficacy'!$C:$C, "Albendazole",
'STH Efficacy'!$I:$I,"&lt;2016",
'STH Efficacy'!$AH:$AH,""),
"")</f>
        <v/>
      </c>
      <c r="BC166" s="579">
        <f t="shared" si="19"/>
        <v>0.869</v>
      </c>
      <c r="BD166" s="584" t="str">
        <f>IFERROR(AVERAGEIFS(
'STH Efficacy'!$N:$N, 
'STH Efficacy'!$B:$B, $A166, 
'STH Efficacy'!$C:$C, "Mebendazole",
'STH Efficacy'!$I:$I,"&lt;2016",
'STH Efficacy'!$AH:$AH,""),
"")</f>
        <v/>
      </c>
      <c r="BE166" s="579">
        <f t="shared" si="20"/>
        <v>0.172</v>
      </c>
      <c r="BF166" s="585" t="str">
        <f>IFERROR(AVERAGEIFS(
'STH Efficacy'!$CD:$CD, 
'STH Efficacy'!$BS:$BS, $A166, 
'STH Efficacy'!$BT:$BT, "Albendazole",
'STH Efficacy'!$BZ:$BZ,"&lt;2016",
'STH Efficacy'!$CU:$CU,""),
"")</f>
        <v/>
      </c>
      <c r="BG166" s="580">
        <f t="shared" si="21"/>
        <v>0.9862</v>
      </c>
      <c r="BH166" s="585" t="str">
        <f>IFERROR(AVERAGEIFS(
'STH Efficacy'!$CD:$CD, 
'STH Efficacy'!$BS:$BS, $A166, 
'STH Efficacy'!$BT:$BT, "Mebendazole",
'STH Efficacy'!$BZ:$BZ,"&lt;2016",
'STH Efficacy'!$CU:$CU,""),
"")</f>
        <v/>
      </c>
      <c r="BI166" s="580">
        <f t="shared" si="22"/>
        <v>0.769</v>
      </c>
      <c r="BJ166" s="585" t="str">
        <f>IFERROR(AVERAGEIFS(
'STH Efficacy'!$CD:$CD, 
'STH Efficacy'!$BS:$BS, $A166, 
'STH Efficacy'!$BT:$BT, "Albendazole &amp; Ivermectin",
'STH Efficacy'!$BZ:$BZ,"&lt;2016",
'STH Efficacy'!$CU:$CU,""),
"")</f>
        <v/>
      </c>
      <c r="BK166" s="580">
        <f t="shared" si="23"/>
        <v>1</v>
      </c>
      <c r="BL166" s="575" t="str">
        <f>IFERROR(
  AVERAGEIFS(
    'NEW Onchocerciasis Efficacy'!$AO:$AO,
    'NEW Onchocerciasis Efficacy'!$C:$C,$A166,
    'NEW Onchocerciasis Efficacy'!$D:$D,"Ivermectin",
    'NEW Onchocerciasis Efficacy'!$AR:$AR,"&lt;2016",
    'NEW Onchocerciasis Efficacy'!$BG:$BG,"")
,"")</f>
        <v/>
      </c>
      <c r="BM166" s="586">
        <f t="shared" si="24"/>
        <v>0.3734</v>
      </c>
      <c r="BN166" s="587">
        <v>0.0</v>
      </c>
      <c r="BO166" s="588">
        <v>0.0</v>
      </c>
      <c r="BP166" s="589">
        <v>0.0</v>
      </c>
      <c r="BQ166" s="590">
        <f t="shared" si="25"/>
        <v>0</v>
      </c>
      <c r="BR166" s="560" t="str">
        <f t="shared" si="26"/>
        <v>0000</v>
      </c>
      <c r="BS166" s="560" t="str">
        <f t="shared" si="27"/>
        <v>no action required</v>
      </c>
      <c r="BT166" s="361" t="str">
        <f t="shared" si="44"/>
        <v/>
      </c>
      <c r="BU166" s="591" t="str">
        <f t="shared" si="29"/>
        <v/>
      </c>
      <c r="BV166" s="560" t="str">
        <f t="shared" si="30"/>
        <v>none</v>
      </c>
      <c r="BW166" s="150" t="str">
        <f t="shared" si="31"/>
        <v/>
      </c>
      <c r="BX166" s="150" t="str">
        <f t="shared" si="32"/>
        <v/>
      </c>
      <c r="BY166" s="151" t="str">
        <f t="shared" si="33"/>
        <v/>
      </c>
      <c r="BZ166" s="152" t="str">
        <f t="shared" si="34"/>
        <v/>
      </c>
      <c r="CA166" s="152" t="str">
        <f t="shared" si="35"/>
        <v/>
      </c>
      <c r="CB166" s="152" t="str">
        <f t="shared" si="36"/>
        <v/>
      </c>
      <c r="CC166" s="153" t="str">
        <f t="shared" si="37"/>
        <v/>
      </c>
      <c r="CD166" s="153" t="str">
        <f t="shared" si="38"/>
        <v/>
      </c>
      <c r="CE166" s="154" t="str">
        <f t="shared" si="39"/>
        <v/>
      </c>
      <c r="CF166" s="154" t="str">
        <f t="shared" si="40"/>
        <v/>
      </c>
      <c r="CG166" s="154" t="str">
        <f t="shared" si="41"/>
        <v/>
      </c>
      <c r="CH166" s="308" t="str">
        <f t="shared" si="42"/>
        <v/>
      </c>
    </row>
    <row r="167">
      <c r="A167" s="559" t="s">
        <v>256</v>
      </c>
      <c r="B167" s="560" t="s">
        <v>94</v>
      </c>
      <c r="C167" s="641">
        <v>193759.0</v>
      </c>
      <c r="D167" s="562">
        <v>79.68588197</v>
      </c>
      <c r="E167" s="563">
        <v>0.0</v>
      </c>
      <c r="F167" s="564">
        <v>3.00277E-4</v>
      </c>
      <c r="G167" s="564">
        <v>0.002296546</v>
      </c>
      <c r="H167" s="564">
        <v>0.005556432</v>
      </c>
      <c r="I167" s="565">
        <v>0.475459906</v>
      </c>
      <c r="J167" s="566">
        <v>1.55058380640548</v>
      </c>
      <c r="K167" s="566">
        <v>6.15046629483841</v>
      </c>
      <c r="L167" s="567">
        <v>0.483983386</v>
      </c>
      <c r="M167" s="568">
        <v>0.198035580575688</v>
      </c>
      <c r="N167" s="568">
        <v>0.838387821092535</v>
      </c>
      <c r="O167" s="569">
        <v>0.0</v>
      </c>
      <c r="P167" s="601">
        <v>1797.91460583</v>
      </c>
      <c r="Q167" s="602">
        <v>0.0</v>
      </c>
      <c r="R167" s="602">
        <v>0.0</v>
      </c>
      <c r="S167" s="116">
        <f t="shared" si="6"/>
        <v>0</v>
      </c>
      <c r="T167" s="151"/>
      <c r="U167" s="572">
        <f t="shared" si="7"/>
        <v>0.7834666667</v>
      </c>
      <c r="V167" s="598"/>
      <c r="W167" s="574">
        <f t="shared" si="8"/>
        <v>0.3593777778</v>
      </c>
      <c r="X167" s="598"/>
      <c r="Y167" s="574">
        <f t="shared" si="9"/>
        <v>0.5347375</v>
      </c>
      <c r="Z167" s="308"/>
      <c r="AA167" s="308"/>
      <c r="AB167" s="575" t="str">
        <f t="shared" si="10"/>
        <v/>
      </c>
      <c r="AC167" s="576">
        <f t="shared" si="11"/>
        <v>0.7192241206</v>
      </c>
      <c r="AD167" s="577">
        <v>0.00938638507</v>
      </c>
      <c r="AE167" s="572">
        <v>0.0</v>
      </c>
      <c r="AF167" s="578">
        <v>0.0</v>
      </c>
      <c r="AG167" s="132">
        <v>0.0364815454</v>
      </c>
      <c r="AH167" s="132">
        <v>0.117683935</v>
      </c>
      <c r="AI167" s="579">
        <v>0.01209683968</v>
      </c>
      <c r="AJ167" s="579">
        <v>0.01497299415</v>
      </c>
      <c r="AK167" s="580">
        <v>0.08867397672</v>
      </c>
      <c r="AL167" s="580">
        <v>0.1042136504</v>
      </c>
      <c r="AM167" s="581">
        <v>0.0</v>
      </c>
      <c r="AN167" s="571" t="str">
        <f>IFERROR(
  AVERAGEIFS(
    'New LF Efficacy'!$J:$J,
    'New LF Efficacy'!$D:$D, $A167,
    'New LF Efficacy'!$F:$F,"DEC", 
    'New LF Efficacy'!$W:$W,"&lt;2016",
    'New LF Efficacy'!$AA:$AA,""),
  ""
)</f>
        <v/>
      </c>
      <c r="AO167" s="582">
        <f t="shared" si="12"/>
        <v>0.38</v>
      </c>
      <c r="AP167" s="571" t="str">
        <f>IFERROR(
AVERAGEIFS(
'New LF Efficacy'!$J:$J,
'New LF Efficacy'!$D:$D,$A167,
'New LF Efficacy'!$F:$F,"Albendazole &amp; DEC",
'New LF Efficacy'!$W:$W,"&lt;2016",
'New LF Efficacy'!$AA:$AA,""),
"")</f>
        <v/>
      </c>
      <c r="AQ167" s="582">
        <f t="shared" si="13"/>
        <v>0.662</v>
      </c>
      <c r="AR167" s="571" t="str">
        <f>IFERROR(
AVERAGEIFS(
'New LF Efficacy'!$J:$J,
'New LF Efficacy'!$D:$D,$A167,
'New LF Efficacy'!$F:$F,"Albendazole &amp; Ivermectin", 
'New LF Efficacy'!$W:$W,"&lt;2016",
'New LF Efficacy'!$AA:$AA,""),"")</f>
        <v/>
      </c>
      <c r="AS167" s="582">
        <f t="shared" si="14"/>
        <v>0.37153125</v>
      </c>
      <c r="AT167" s="583" t="str">
        <f>IFERROR(AVERAGEIFS(
'Schist Efficacy'!$O:$O, 
'Schist Efficacy'!$C:$C,$A167, 
'Schist Efficacy'!$D:$D, "Praziquantel",
'Schist Efficacy'!$J:$J,"&lt;2016",
'Schist Efficacy'!$U:$U,""),
"")</f>
        <v/>
      </c>
      <c r="AU167" s="572">
        <f t="shared" si="15"/>
        <v>0.9475</v>
      </c>
      <c r="AV167" s="131" t="str">
        <f>IFERROR(AVERAGEIFS(
'STH Efficacy'!$AX:$AX, 
'STH Efficacy'!$AL:$AL, $A167, 
'STH Efficacy'!$AM:$AM, "Albendazole",
'STH Efficacy'!$AS:$AS,"&lt;2016",
'STH Efficacy'!$BP:$BP,""),
"")</f>
        <v/>
      </c>
      <c r="AW167" s="132">
        <f t="shared" si="16"/>
        <v>0.3571666667</v>
      </c>
      <c r="AX167" s="131" t="str">
        <f>IFERROR(AVERAGEIFS(
'STH Efficacy'!$AX:$AX, 
'STH Efficacy'!$AL:$AL, $A167, 
'STH Efficacy'!$AM:$AM, "Mebendazole",
'STH Efficacy'!$AS:$AS,"&lt;2016",
'STH Efficacy'!$BP:$BP,""),
"")</f>
        <v/>
      </c>
      <c r="AY167" s="132">
        <f t="shared" si="17"/>
        <v>0.4155</v>
      </c>
      <c r="AZ167" s="131" t="str">
        <f>IFERROR(AVERAGEIFS(
'STH Efficacy'!$AX:$AX, 
'STH Efficacy'!$AL:$AL, $A167, 
'STH Efficacy'!$AM:$AM, "Albendazole &amp; Ivermectin",
'STH Efficacy'!$AS:$AS,"&lt;2016",
'STH Efficacy'!$BP:$BP,""),
"")</f>
        <v/>
      </c>
      <c r="BA167" s="303">
        <f t="shared" si="18"/>
        <v>0.651</v>
      </c>
      <c r="BB167" s="584" t="str">
        <f>IFERROR(AVERAGEIFS(
'STH Efficacy'!$N:$N, 
'STH Efficacy'!$B:$B, $A167, 
'STH Efficacy'!$C:$C, "Albendazole",
'STH Efficacy'!$I:$I,"&lt;2016",
'STH Efficacy'!$AH:$AH,""),
"")</f>
        <v/>
      </c>
      <c r="BC167" s="579">
        <f t="shared" si="19"/>
        <v>0.5769166667</v>
      </c>
      <c r="BD167" s="584" t="str">
        <f>IFERROR(AVERAGEIFS(
'STH Efficacy'!$N:$N, 
'STH Efficacy'!$B:$B, $A167, 
'STH Efficacy'!$C:$C, "Mebendazole",
'STH Efficacy'!$I:$I,"&lt;2016",
'STH Efficacy'!$AH:$AH,""),
"")</f>
        <v/>
      </c>
      <c r="BE167" s="579">
        <f t="shared" si="20"/>
        <v>0.3145</v>
      </c>
      <c r="BF167" s="585" t="str">
        <f>IFERROR(AVERAGEIFS(
'STH Efficacy'!$CD:$CD, 
'STH Efficacy'!$BS:$BS, $A167, 
'STH Efficacy'!$BT:$BT, "Albendazole",
'STH Efficacy'!$BZ:$BZ,"&lt;2016",
'STH Efficacy'!$CU:$CU,""),
"")</f>
        <v/>
      </c>
      <c r="BG167" s="580">
        <f t="shared" si="21"/>
        <v>0.96925</v>
      </c>
      <c r="BH167" s="585" t="str">
        <f>IFERROR(AVERAGEIFS(
'STH Efficacy'!$CD:$CD, 
'STH Efficacy'!$BS:$BS, $A167, 
'STH Efficacy'!$BT:$BT, "Mebendazole",
'STH Efficacy'!$BZ:$BZ,"&lt;2016",
'STH Efficacy'!$CU:$CU,""),
"")</f>
        <v/>
      </c>
      <c r="BI167" s="580">
        <f t="shared" si="22"/>
        <v>0.9305</v>
      </c>
      <c r="BJ167" s="585" t="str">
        <f>IFERROR(AVERAGEIFS(
'STH Efficacy'!$CD:$CD, 
'STH Efficacy'!$BS:$BS, $A167, 
'STH Efficacy'!$BT:$BT, "Albendazole &amp; Ivermectin",
'STH Efficacy'!$BZ:$BZ,"&lt;2016",
'STH Efficacy'!$CU:$CU,""),
"")</f>
        <v/>
      </c>
      <c r="BK167" s="580">
        <f t="shared" si="23"/>
        <v>0.848</v>
      </c>
      <c r="BL167" s="575" t="str">
        <f>IFERROR(
  AVERAGEIFS(
    'NEW Onchocerciasis Efficacy'!$AO:$AO,
    'NEW Onchocerciasis Efficacy'!$C:$C,$A167,
    'NEW Onchocerciasis Efficacy'!$D:$D,"Ivermectin",
    'NEW Onchocerciasis Efficacy'!$AR:$AR,"&lt;2016",
    'NEW Onchocerciasis Efficacy'!$BG:$BG,"")
,"")</f>
        <v/>
      </c>
      <c r="BM167" s="586">
        <f t="shared" si="24"/>
        <v>0.7808368939</v>
      </c>
      <c r="BN167" s="587">
        <v>1.0</v>
      </c>
      <c r="BO167" s="588">
        <v>0.0</v>
      </c>
      <c r="BP167" s="589">
        <v>0.0</v>
      </c>
      <c r="BQ167" s="590">
        <f t="shared" si="25"/>
        <v>0</v>
      </c>
      <c r="BR167" s="560" t="str">
        <f t="shared" si="26"/>
        <v>1000</v>
      </c>
      <c r="BS167" s="560" t="str">
        <f t="shared" si="27"/>
        <v>MDA1/2</v>
      </c>
      <c r="BT167" s="606" t="str">
        <f t="shared" si="44"/>
        <v>IVM+ALB or DEC+ALB</v>
      </c>
      <c r="BU167" s="591" t="str">
        <f t="shared" si="29"/>
        <v/>
      </c>
      <c r="BV167" s="560" t="str">
        <f t="shared" si="30"/>
        <v>lf only</v>
      </c>
      <c r="BW167" s="607">
        <f t="shared" si="31"/>
        <v>0</v>
      </c>
      <c r="BX167" s="607">
        <f t="shared" si="32"/>
        <v>0</v>
      </c>
      <c r="BY167" s="151" t="str">
        <f t="shared" si="33"/>
        <v/>
      </c>
      <c r="BZ167" s="152" t="str">
        <f t="shared" si="34"/>
        <v/>
      </c>
      <c r="CA167" s="152" t="str">
        <f t="shared" si="35"/>
        <v/>
      </c>
      <c r="CB167" s="152" t="str">
        <f t="shared" si="36"/>
        <v/>
      </c>
      <c r="CC167" s="153" t="str">
        <f t="shared" si="37"/>
        <v/>
      </c>
      <c r="CD167" s="153" t="str">
        <f t="shared" si="38"/>
        <v/>
      </c>
      <c r="CE167" s="154" t="str">
        <f t="shared" si="39"/>
        <v/>
      </c>
      <c r="CF167" s="154" t="str">
        <f t="shared" si="40"/>
        <v/>
      </c>
      <c r="CG167" s="154" t="str">
        <f t="shared" si="41"/>
        <v/>
      </c>
      <c r="CH167" s="308" t="str">
        <f t="shared" si="42"/>
        <v/>
      </c>
    </row>
    <row r="168">
      <c r="A168" s="559" t="s">
        <v>257</v>
      </c>
      <c r="B168" s="560" t="s">
        <v>90</v>
      </c>
      <c r="C168" s="641">
        <v>32960.0</v>
      </c>
      <c r="D168" s="562"/>
      <c r="E168" s="610"/>
      <c r="F168" s="611"/>
      <c r="G168" s="611"/>
      <c r="H168" s="611"/>
      <c r="I168" s="622"/>
      <c r="J168" s="622"/>
      <c r="K168" s="622"/>
      <c r="L168" s="612"/>
      <c r="M168" s="612"/>
      <c r="N168" s="612"/>
      <c r="O168" s="308"/>
      <c r="P168" s="150"/>
      <c r="Q168" s="150"/>
      <c r="R168" s="571"/>
      <c r="S168" s="116">
        <f t="shared" si="6"/>
        <v>0.6648642857</v>
      </c>
      <c r="T168" s="151"/>
      <c r="U168" s="572">
        <f t="shared" si="7"/>
        <v>0.53016</v>
      </c>
      <c r="V168" s="598"/>
      <c r="W168" s="574" t="b">
        <f t="shared" si="8"/>
        <v>0</v>
      </c>
      <c r="X168" s="598"/>
      <c r="Y168" s="574">
        <f t="shared" si="9"/>
        <v>0.631675</v>
      </c>
      <c r="Z168" s="308"/>
      <c r="AA168" s="308"/>
      <c r="AB168" s="575" t="str">
        <f t="shared" si="10"/>
        <v/>
      </c>
      <c r="AC168" s="576">
        <f t="shared" si="11"/>
        <v>0.7192241206</v>
      </c>
      <c r="AD168" s="571"/>
      <c r="AE168" s="583"/>
      <c r="AF168" s="583"/>
      <c r="AG168" s="131"/>
      <c r="AH168" s="131"/>
      <c r="AI168" s="584"/>
      <c r="AJ168" s="584"/>
      <c r="AK168" s="585"/>
      <c r="AL168" s="585"/>
      <c r="AM168" s="575"/>
      <c r="AN168" s="571" t="str">
        <f>IFERROR(
  AVERAGEIFS(
    'New LF Efficacy'!$J:$J,
    'New LF Efficacy'!$D:$D, $A168,
    'New LF Efficacy'!$F:$F,"DEC", 
    'New LF Efficacy'!$W:$W,"&lt;2016",
    'New LF Efficacy'!$AA:$AA,""),
  ""
)</f>
        <v/>
      </c>
      <c r="AO168" s="582">
        <f t="shared" si="12"/>
        <v>0.3573520833</v>
      </c>
      <c r="AP168" s="571" t="str">
        <f>IFERROR(
AVERAGEIFS(
'New LF Efficacy'!$J:$J,
'New LF Efficacy'!$D:$D,$A168,
'New LF Efficacy'!$F:$F,"Albendazole &amp; DEC",
'New LF Efficacy'!$W:$W,"&lt;2016",
'New LF Efficacy'!$AA:$AA,""),
"")</f>
        <v/>
      </c>
      <c r="AQ168" s="582">
        <f t="shared" si="13"/>
        <v>0.5143541667</v>
      </c>
      <c r="AR168" s="571" t="str">
        <f>IFERROR(
AVERAGEIFS(
'New LF Efficacy'!$J:$J,
'New LF Efficacy'!$D:$D,$A168,
'New LF Efficacy'!$F:$F,"Albendazole &amp; Ivermectin", 
'New LF Efficacy'!$W:$W,"&lt;2016",
'New LF Efficacy'!$AA:$AA,""),"")</f>
        <v/>
      </c>
      <c r="AS168" s="582">
        <f t="shared" si="14"/>
        <v>0.37153125</v>
      </c>
      <c r="AT168" s="583" t="str">
        <f>IFERROR(AVERAGEIFS(
'Schist Efficacy'!$O:$O, 
'Schist Efficacy'!$C:$C,$A168, 
'Schist Efficacy'!$D:$D, "Praziquantel",
'Schist Efficacy'!$J:$J,"&lt;2016",
'Schist Efficacy'!$U:$U,""),
"")</f>
        <v/>
      </c>
      <c r="AU168" s="572">
        <f t="shared" si="15"/>
        <v>0.655</v>
      </c>
      <c r="AV168" s="131" t="str">
        <f>IFERROR(AVERAGEIFS(
'STH Efficacy'!$AX:$AX, 
'STH Efficacy'!$AL:$AL, $A168, 
'STH Efficacy'!$AM:$AM, "Albendazole",
'STH Efficacy'!$AS:$AS,"&lt;2016",
'STH Efficacy'!$BP:$BP,""),
"")</f>
        <v/>
      </c>
      <c r="AW168" s="132">
        <f t="shared" si="16"/>
        <v>0.4143846154</v>
      </c>
      <c r="AX168" s="131" t="str">
        <f>IFERROR(AVERAGEIFS(
'STH Efficacy'!$AX:$AX, 
'STH Efficacy'!$AL:$AL, $A168, 
'STH Efficacy'!$AM:$AM, "Mebendazole",
'STH Efficacy'!$AS:$AS,"&lt;2016",
'STH Efficacy'!$BP:$BP,""),
"")</f>
        <v/>
      </c>
      <c r="AY168" s="132">
        <f t="shared" si="17"/>
        <v>0.4691770833</v>
      </c>
      <c r="AZ168" s="131" t="str">
        <f>IFERROR(AVERAGEIFS(
'STH Efficacy'!$AX:$AX, 
'STH Efficacy'!$AL:$AL, $A168, 
'STH Efficacy'!$AM:$AM, "Albendazole &amp; Ivermectin",
'STH Efficacy'!$AS:$AS,"&lt;2016",
'STH Efficacy'!$BP:$BP,""),
"")</f>
        <v/>
      </c>
      <c r="BA168" s="303">
        <f t="shared" si="18"/>
        <v>0.597625</v>
      </c>
      <c r="BB168" s="584" t="str">
        <f>IFERROR(AVERAGEIFS(
'STH Efficacy'!$N:$N, 
'STH Efficacy'!$B:$B, $A168, 
'STH Efficacy'!$C:$C, "Albendazole",
'STH Efficacy'!$I:$I,"&lt;2016",
'STH Efficacy'!$AH:$AH,""),
"")</f>
        <v/>
      </c>
      <c r="BC168" s="579">
        <f t="shared" si="19"/>
        <v>0.7613712121</v>
      </c>
      <c r="BD168" s="584" t="str">
        <f>IFERROR(AVERAGEIFS(
'STH Efficacy'!$N:$N, 
'STH Efficacy'!$B:$B, $A168, 
'STH Efficacy'!$C:$C, "Mebendazole",
'STH Efficacy'!$I:$I,"&lt;2016",
'STH Efficacy'!$AH:$AH,""),
"")</f>
        <v/>
      </c>
      <c r="BE168" s="579">
        <f t="shared" si="20"/>
        <v>0.4362466667</v>
      </c>
      <c r="BF168" s="585" t="str">
        <f>IFERROR(AVERAGEIFS(
'STH Efficacy'!$CD:$CD, 
'STH Efficacy'!$BS:$BS, $A168, 
'STH Efficacy'!$BT:$BT, "Albendazole",
'STH Efficacy'!$BZ:$BZ,"&lt;2016",
'STH Efficacy'!$CU:$CU,""),
"")</f>
        <v/>
      </c>
      <c r="BG168" s="580">
        <f t="shared" si="21"/>
        <v>0.9216027778</v>
      </c>
      <c r="BH168" s="585" t="str">
        <f>IFERROR(AVERAGEIFS(
'STH Efficacy'!$CD:$CD, 
'STH Efficacy'!$BS:$BS, $A168, 
'STH Efficacy'!$BT:$BT, "Mebendazole",
'STH Efficacy'!$BZ:$BZ,"&lt;2016",
'STH Efficacy'!$CU:$CU,""),
"")</f>
        <v/>
      </c>
      <c r="BI168" s="580">
        <f t="shared" si="22"/>
        <v>0.8866041667</v>
      </c>
      <c r="BJ168" s="585" t="str">
        <f>IFERROR(AVERAGEIFS(
'STH Efficacy'!$CD:$CD, 
'STH Efficacy'!$BS:$BS, $A168, 
'STH Efficacy'!$BT:$BT, "Albendazole &amp; Ivermectin",
'STH Efficacy'!$BZ:$BZ,"&lt;2016",
'STH Efficacy'!$CU:$CU,""),
"")</f>
        <v/>
      </c>
      <c r="BK168" s="580">
        <f t="shared" si="23"/>
        <v>0.848</v>
      </c>
      <c r="BL168" s="575" t="str">
        <f>IFERROR(
  AVERAGEIFS(
    'NEW Onchocerciasis Efficacy'!$AO:$AO,
    'NEW Onchocerciasis Efficacy'!$C:$C,$A168,
    'NEW Onchocerciasis Efficacy'!$D:$D,"Ivermectin",
    'NEW Onchocerciasis Efficacy'!$AR:$AR,"&lt;2016",
    'NEW Onchocerciasis Efficacy'!$BG:$BG,"")
,"")</f>
        <v/>
      </c>
      <c r="BM168" s="586">
        <f t="shared" si="24"/>
        <v>0.7808368939</v>
      </c>
      <c r="BN168" s="587">
        <v>0.0</v>
      </c>
      <c r="BO168" s="588">
        <v>1.0</v>
      </c>
      <c r="BP168" s="589">
        <v>0.0</v>
      </c>
      <c r="BQ168" s="590">
        <f t="shared" si="25"/>
        <v>0</v>
      </c>
      <c r="BR168" s="560" t="str">
        <f t="shared" si="26"/>
        <v>0100</v>
      </c>
      <c r="BS168" s="560" t="str">
        <f t="shared" si="27"/>
        <v>MDA3</v>
      </c>
      <c r="BT168" s="606" t="str">
        <f t="shared" si="44"/>
        <v>IVM</v>
      </c>
      <c r="BU168" s="591" t="str">
        <f t="shared" si="29"/>
        <v/>
      </c>
      <c r="BV168" s="560" t="str">
        <f t="shared" si="30"/>
        <v>onch only</v>
      </c>
      <c r="BW168" s="150" t="str">
        <f t="shared" si="31"/>
        <v/>
      </c>
      <c r="BX168" s="150" t="str">
        <f t="shared" si="32"/>
        <v/>
      </c>
      <c r="BY168" s="151" t="str">
        <f t="shared" si="33"/>
        <v/>
      </c>
      <c r="BZ168" s="152" t="str">
        <f t="shared" si="34"/>
        <v/>
      </c>
      <c r="CA168" s="152" t="str">
        <f t="shared" si="35"/>
        <v/>
      </c>
      <c r="CB168" s="152" t="str">
        <f t="shared" si="36"/>
        <v/>
      </c>
      <c r="CC168" s="153" t="str">
        <f t="shared" si="37"/>
        <v/>
      </c>
      <c r="CD168" s="153" t="str">
        <f t="shared" si="38"/>
        <v/>
      </c>
      <c r="CE168" s="154" t="str">
        <f t="shared" si="39"/>
        <v/>
      </c>
      <c r="CF168" s="154" t="str">
        <f t="shared" si="40"/>
        <v/>
      </c>
      <c r="CG168" s="154" t="str">
        <f t="shared" si="41"/>
        <v/>
      </c>
      <c r="CH168" s="637">
        <f t="shared" si="42"/>
        <v>0</v>
      </c>
    </row>
    <row r="169">
      <c r="A169" s="599" t="s">
        <v>258</v>
      </c>
      <c r="B169" s="560" t="s">
        <v>92</v>
      </c>
      <c r="C169" s="641">
        <v>195553.0</v>
      </c>
      <c r="D169" s="562">
        <v>525.4178296</v>
      </c>
      <c r="E169" s="563">
        <v>35.8803049773859</v>
      </c>
      <c r="F169" s="564">
        <v>0.120661947</v>
      </c>
      <c r="G169" s="564">
        <v>0.844298017</v>
      </c>
      <c r="H169" s="564">
        <v>4.061045106</v>
      </c>
      <c r="I169" s="565">
        <v>0.605547294</v>
      </c>
      <c r="J169" s="566">
        <v>2.07077032758607</v>
      </c>
      <c r="K169" s="566">
        <v>6.92609092586931</v>
      </c>
      <c r="L169" s="567">
        <v>5.283416637</v>
      </c>
      <c r="M169" s="568">
        <v>5.72508188325074</v>
      </c>
      <c r="N169" s="568">
        <v>17.7645302596231</v>
      </c>
      <c r="O169" s="569">
        <v>0.0</v>
      </c>
      <c r="P169" s="601">
        <v>8747.71969468</v>
      </c>
      <c r="Q169" s="150" t="s">
        <v>395</v>
      </c>
      <c r="R169" s="150" t="s">
        <v>395</v>
      </c>
      <c r="S169" s="116" t="str">
        <f t="shared" si="6"/>
        <v> </v>
      </c>
      <c r="T169" s="626" t="s">
        <v>395</v>
      </c>
      <c r="U169" s="572" t="str">
        <f t="shared" si="7"/>
        <v> </v>
      </c>
      <c r="V169" s="598"/>
      <c r="W169" s="574">
        <f t="shared" si="8"/>
        <v>0.7605133333</v>
      </c>
      <c r="X169" s="613"/>
      <c r="Y169" s="574">
        <f t="shared" si="9"/>
        <v>0.6822424242</v>
      </c>
      <c r="Z169" s="308"/>
      <c r="AA169" s="308"/>
      <c r="AB169" s="575" t="str">
        <f t="shared" si="10"/>
        <v/>
      </c>
      <c r="AC169" s="576">
        <f t="shared" si="11"/>
        <v>0.6507101914</v>
      </c>
      <c r="AD169" s="577">
        <v>0.04501579819</v>
      </c>
      <c r="AE169" s="572">
        <v>1.669661028E-4</v>
      </c>
      <c r="AF169" s="578">
        <v>3.31E-5</v>
      </c>
      <c r="AG169" s="133">
        <v>0.02200942975</v>
      </c>
      <c r="AH169" s="133">
        <v>0.070909457</v>
      </c>
      <c r="AI169" s="623">
        <v>0.007998420231</v>
      </c>
      <c r="AJ169" s="623">
        <v>0.009878823682</v>
      </c>
      <c r="AK169" s="624">
        <v>0.117574128</v>
      </c>
      <c r="AL169" s="624">
        <v>0.1379004924</v>
      </c>
      <c r="AM169" s="581">
        <v>0.0</v>
      </c>
      <c r="AN169" s="571" t="str">
        <f>IFERROR(
  AVERAGEIFS(
    'New LF Efficacy'!$J:$J,
    'New LF Efficacy'!$D:$D, $A169,
    'New LF Efficacy'!$F:$F,"DEC", 
    'New LF Efficacy'!$W:$W,"&lt;2016",
    'New LF Efficacy'!$AA:$AA,""),
  ""
)</f>
        <v/>
      </c>
      <c r="AO169" s="582">
        <f t="shared" si="12"/>
        <v>0.31225</v>
      </c>
      <c r="AP169" s="571" t="str">
        <f>IFERROR(
AVERAGEIFS(
'New LF Efficacy'!$J:$J,
'New LF Efficacy'!$D:$D,$A169,
'New LF Efficacy'!$F:$F,"Albendazole &amp; DEC",
'New LF Efficacy'!$W:$W,"&lt;2016",
'New LF Efficacy'!$AA:$AA,""),
"")</f>
        <v/>
      </c>
      <c r="AQ169" s="582">
        <f t="shared" si="13"/>
        <v>0.4</v>
      </c>
      <c r="AR169" s="571" t="str">
        <f>IFERROR(
AVERAGEIFS(
'New LF Efficacy'!$J:$J,
'New LF Efficacy'!$D:$D,$A169,
'New LF Efficacy'!$F:$F,"Albendazole &amp; Ivermectin", 
'New LF Efficacy'!$W:$W,"&lt;2016",
'New LF Efficacy'!$AA:$AA,""),"")</f>
        <v/>
      </c>
      <c r="AS169" s="582">
        <f t="shared" si="14"/>
        <v>0.2943125</v>
      </c>
      <c r="AT169" s="583" t="str">
        <f>IFERROR(AVERAGEIFS(
'Schist Efficacy'!$O:$O, 
'Schist Efficacy'!$C:$C,$A169, 
'Schist Efficacy'!$D:$D, "Praziquantel",
'Schist Efficacy'!$J:$J,"&lt;2016",
'Schist Efficacy'!$U:$U,""),
"")</f>
        <v/>
      </c>
      <c r="AU169" s="572">
        <f t="shared" si="15"/>
        <v>0.7206464759</v>
      </c>
      <c r="AV169" s="131" t="str">
        <f>IFERROR(AVERAGEIFS(
'STH Efficacy'!$AX:$AX, 
'STH Efficacy'!$AL:$AL, $A169, 
'STH Efficacy'!$AM:$AM, "Albendazole",
'STH Efficacy'!$AS:$AS,"&lt;2016",
'STH Efficacy'!$BP:$BP,""),
"")</f>
        <v/>
      </c>
      <c r="AW169" s="132">
        <f t="shared" si="16"/>
        <v>0.3816333333</v>
      </c>
      <c r="AX169" s="131" t="str">
        <f>IFERROR(AVERAGEIFS(
'STH Efficacy'!$AX:$AX, 
'STH Efficacy'!$AL:$AL, $A169, 
'STH Efficacy'!$AM:$AM, "Mebendazole",
'STH Efficacy'!$AS:$AS,"&lt;2016",
'STH Efficacy'!$BP:$BP,""),
"")</f>
        <v/>
      </c>
      <c r="AY169" s="132">
        <f t="shared" si="17"/>
        <v>0.4859375</v>
      </c>
      <c r="AZ169" s="131" t="str">
        <f>IFERROR(AVERAGEIFS(
'STH Efficacy'!$AX:$AX, 
'STH Efficacy'!$AL:$AL, $A169, 
'STH Efficacy'!$AM:$AM, "Albendazole &amp; Ivermectin",
'STH Efficacy'!$AS:$AS,"&lt;2016",
'STH Efficacy'!$BP:$BP,""),
"")</f>
        <v/>
      </c>
      <c r="BA169" s="303">
        <f t="shared" si="18"/>
        <v>0.47175</v>
      </c>
      <c r="BB169" s="584" t="str">
        <f>IFERROR(AVERAGEIFS(
'STH Efficacy'!$N:$N, 
'STH Efficacy'!$B:$B, $A169, 
'STH Efficacy'!$C:$C, "Albendazole",
'STH Efficacy'!$I:$I,"&lt;2016",
'STH Efficacy'!$AH:$AH,""),
"")</f>
        <v/>
      </c>
      <c r="BC169" s="579">
        <f t="shared" si="19"/>
        <v>0.8699166667</v>
      </c>
      <c r="BD169" s="584" t="str">
        <f>IFERROR(AVERAGEIFS(
'STH Efficacy'!$N:$N, 
'STH Efficacy'!$B:$B, $A169, 
'STH Efficacy'!$C:$C, "Mebendazole",
'STH Efficacy'!$I:$I,"&lt;2016",
'STH Efficacy'!$AH:$AH,""),
"")</f>
        <v/>
      </c>
      <c r="BE169" s="579">
        <f t="shared" si="20"/>
        <v>0.7092416667</v>
      </c>
      <c r="BF169" s="585" t="str">
        <f>IFERROR(AVERAGEIFS(
'STH Efficacy'!$CD:$CD, 
'STH Efficacy'!$BS:$BS, $A169, 
'STH Efficacy'!$BT:$BT, "Albendazole",
'STH Efficacy'!$BZ:$BZ,"&lt;2016",
'STH Efficacy'!$CU:$CU,""),
"")</f>
        <v/>
      </c>
      <c r="BG169" s="580">
        <f t="shared" si="21"/>
        <v>0.9066666667</v>
      </c>
      <c r="BH169" s="585" t="str">
        <f>IFERROR(AVERAGEIFS(
'STH Efficacy'!$CD:$CD, 
'STH Efficacy'!$BS:$BS, $A169, 
'STH Efficacy'!$BT:$BT, "Mebendazole",
'STH Efficacy'!$BZ:$BZ,"&lt;2016",
'STH Efficacy'!$CU:$CU,""),
"")</f>
        <v/>
      </c>
      <c r="BI169" s="580">
        <f t="shared" si="22"/>
        <v>0.8483333333</v>
      </c>
      <c r="BJ169" s="585" t="str">
        <f>IFERROR(AVERAGEIFS(
'STH Efficacy'!$CD:$CD, 
'STH Efficacy'!$BS:$BS, $A169, 
'STH Efficacy'!$BT:$BT, "Albendazole &amp; Ivermectin",
'STH Efficacy'!$BZ:$BZ,"&lt;2016",
'STH Efficacy'!$CU:$CU,""),
"")</f>
        <v/>
      </c>
      <c r="BK169" s="580">
        <f t="shared" si="23"/>
        <v>0.696</v>
      </c>
      <c r="BL169" s="575" t="str">
        <f>IFERROR(
  AVERAGEIFS(
    'NEW Onchocerciasis Efficacy'!$AO:$AO,
    'NEW Onchocerciasis Efficacy'!$C:$C,$A169,
    'NEW Onchocerciasis Efficacy'!$D:$D,"Ivermectin",
    'NEW Onchocerciasis Efficacy'!$AR:$AR,"&lt;2016",
    'NEW Onchocerciasis Efficacy'!$BG:$BG,"")
,"")</f>
        <v/>
      </c>
      <c r="BM169" s="586">
        <f t="shared" si="24"/>
        <v>0.8390421645</v>
      </c>
      <c r="BN169" s="587">
        <v>1.0</v>
      </c>
      <c r="BO169" s="588">
        <v>0.0</v>
      </c>
      <c r="BP169" s="589">
        <v>1.0</v>
      </c>
      <c r="BQ169" s="590">
        <f t="shared" si="25"/>
        <v>0</v>
      </c>
      <c r="BR169" s="560" t="str">
        <f t="shared" si="26"/>
        <v>1010</v>
      </c>
      <c r="BS169" s="560" t="str">
        <f t="shared" si="27"/>
        <v>MDA1/2+T2</v>
      </c>
      <c r="BT169" s="606" t="str">
        <f t="shared" si="44"/>
        <v>IVM+ALB or DEC +ALB</v>
      </c>
      <c r="BU169" s="560" t="str">
        <f t="shared" si="29"/>
        <v>PZQ</v>
      </c>
      <c r="BV169" s="560" t="str">
        <f t="shared" si="30"/>
        <v>lf+schist </v>
      </c>
      <c r="BW169" s="150" t="str">
        <f t="shared" si="31"/>
        <v/>
      </c>
      <c r="BX169" s="150" t="str">
        <f t="shared" si="32"/>
        <v/>
      </c>
      <c r="BY169" s="151" t="str">
        <f t="shared" si="33"/>
        <v/>
      </c>
      <c r="BZ169" s="152" t="str">
        <f t="shared" si="34"/>
        <v/>
      </c>
      <c r="CA169" s="152" t="str">
        <f t="shared" si="35"/>
        <v/>
      </c>
      <c r="CB169" s="152" t="str">
        <f t="shared" si="36"/>
        <v/>
      </c>
      <c r="CC169" s="153" t="str">
        <f t="shared" si="37"/>
        <v/>
      </c>
      <c r="CD169" s="153" t="str">
        <f t="shared" si="38"/>
        <v/>
      </c>
      <c r="CE169" s="154" t="str">
        <f t="shared" si="39"/>
        <v/>
      </c>
      <c r="CF169" s="154" t="str">
        <f t="shared" si="40"/>
        <v/>
      </c>
      <c r="CG169" s="154" t="str">
        <f t="shared" si="41"/>
        <v/>
      </c>
      <c r="CH169" s="308" t="str">
        <f t="shared" si="42"/>
        <v/>
      </c>
    </row>
    <row r="170">
      <c r="A170" s="559" t="s">
        <v>259</v>
      </c>
      <c r="B170" s="560" t="s">
        <v>88</v>
      </c>
      <c r="C170" s="641">
        <v>3.1557144E7</v>
      </c>
      <c r="D170" s="562">
        <v>0.0</v>
      </c>
      <c r="E170" s="563">
        <v>1451.61198717748</v>
      </c>
      <c r="F170" s="564">
        <v>0.002941277</v>
      </c>
      <c r="G170" s="564">
        <v>0.027394451</v>
      </c>
      <c r="H170" s="564">
        <v>0.275223928</v>
      </c>
      <c r="I170" s="565">
        <v>7.444961491</v>
      </c>
      <c r="J170" s="566">
        <v>30.0587259667627</v>
      </c>
      <c r="K170" s="566">
        <v>216.523056552211</v>
      </c>
      <c r="L170" s="567">
        <v>8.901418012</v>
      </c>
      <c r="M170" s="568">
        <v>7.45601894995837</v>
      </c>
      <c r="N170" s="568">
        <v>38.3924417617782</v>
      </c>
      <c r="O170" s="569">
        <v>0.0</v>
      </c>
      <c r="P170" s="570"/>
      <c r="Q170" s="150"/>
      <c r="R170" s="571"/>
      <c r="S170" s="116">
        <f t="shared" si="6"/>
        <v>0.1495</v>
      </c>
      <c r="T170" s="151"/>
      <c r="U170" s="572">
        <f t="shared" si="7"/>
        <v>0.65895</v>
      </c>
      <c r="V170" s="598"/>
      <c r="W170" s="574">
        <f t="shared" si="8"/>
        <v>0.97535</v>
      </c>
      <c r="X170" s="598"/>
      <c r="Y170" s="574">
        <f t="shared" si="9"/>
        <v>0.41448</v>
      </c>
      <c r="Z170" s="308"/>
      <c r="AA170" s="308"/>
      <c r="AB170" s="575" t="str">
        <f t="shared" si="10"/>
        <v/>
      </c>
      <c r="AC170" s="576">
        <f t="shared" si="11"/>
        <v>0.4586145155</v>
      </c>
      <c r="AD170" s="577">
        <v>0.0</v>
      </c>
      <c r="AE170" s="572">
        <v>0.006309283596</v>
      </c>
      <c r="AF170" s="578">
        <v>3.551144459E-4</v>
      </c>
      <c r="AG170" s="132">
        <v>0.008414961789</v>
      </c>
      <c r="AH170" s="132">
        <v>0.025945533</v>
      </c>
      <c r="AI170" s="579">
        <v>0.002752441812</v>
      </c>
      <c r="AJ170" s="579">
        <v>0.00324838534</v>
      </c>
      <c r="AK170" s="580">
        <v>0.008272650344</v>
      </c>
      <c r="AL170" s="580">
        <v>0.009257804853</v>
      </c>
      <c r="AM170" s="581">
        <v>0.0</v>
      </c>
      <c r="AN170" s="571" t="str">
        <f>IFERROR(
  AVERAGEIFS(
    'New LF Efficacy'!$J:$J,
    'New LF Efficacy'!$D:$D, $A170,
    'New LF Efficacy'!$F:$F,"DEC", 
    'New LF Efficacy'!$W:$W,"&lt;2016",
    'New LF Efficacy'!$AA:$AA,""),
  ""
)</f>
        <v/>
      </c>
      <c r="AO170" s="582">
        <f t="shared" si="12"/>
        <v>0.3573520833</v>
      </c>
      <c r="AP170" s="571" t="str">
        <f>IFERROR(
AVERAGEIFS(
'New LF Efficacy'!$J:$J,
'New LF Efficacy'!$D:$D,$A170,
'New LF Efficacy'!$F:$F,"Albendazole &amp; DEC",
'New LF Efficacy'!$W:$W,"&lt;2016",
'New LF Efficacy'!$AA:$AA,""),
"")</f>
        <v/>
      </c>
      <c r="AQ170" s="582">
        <f t="shared" si="13"/>
        <v>0.7935</v>
      </c>
      <c r="AR170" s="571" t="str">
        <f>IFERROR(
AVERAGEIFS(
'New LF Efficacy'!$J:$J,
'New LF Efficacy'!$D:$D,$A170,
'New LF Efficacy'!$F:$F,"Albendazole &amp; Ivermectin", 
'New LF Efficacy'!$W:$W,"&lt;2016",
'New LF Efficacy'!$AA:$AA,""),"")</f>
        <v/>
      </c>
      <c r="AS170" s="582">
        <f t="shared" si="14"/>
        <v>0.37153125</v>
      </c>
      <c r="AT170" s="583">
        <f>IFERROR(AVERAGEIFS(
'Schist Efficacy'!$O:$O, 
'Schist Efficacy'!$C:$C,$A170, 
'Schist Efficacy'!$D:$D, "Praziquantel",
'Schist Efficacy'!$J:$J,"&lt;2016",
'Schist Efficacy'!$U:$U,""),
"")</f>
        <v>0.96</v>
      </c>
      <c r="AU170" s="572">
        <f t="shared" si="15"/>
        <v>0.96</v>
      </c>
      <c r="AV170" s="131" t="str">
        <f>IFERROR(AVERAGEIFS(
'STH Efficacy'!$AX:$AX, 
'STH Efficacy'!$AL:$AL, $A170, 
'STH Efficacy'!$AM:$AM, "Albendazole",
'STH Efficacy'!$AS:$AS,"&lt;2016",
'STH Efficacy'!$BP:$BP,""),
"")</f>
        <v/>
      </c>
      <c r="AW170" s="132">
        <f t="shared" si="16"/>
        <v>0.4143846154</v>
      </c>
      <c r="AX170" s="131" t="str">
        <f>IFERROR(AVERAGEIFS(
'STH Efficacy'!$AX:$AX, 
'STH Efficacy'!$AL:$AL, $A170, 
'STH Efficacy'!$AM:$AM, "Mebendazole",
'STH Efficacy'!$AS:$AS,"&lt;2016",
'STH Efficacy'!$BP:$BP,""),
"")</f>
        <v/>
      </c>
      <c r="AY170" s="132">
        <f t="shared" si="17"/>
        <v>0.4691770833</v>
      </c>
      <c r="AZ170" s="131" t="str">
        <f>IFERROR(AVERAGEIFS(
'STH Efficacy'!$AX:$AX, 
'STH Efficacy'!$AL:$AL, $A170, 
'STH Efficacy'!$AM:$AM, "Albendazole &amp; Ivermectin",
'STH Efficacy'!$AS:$AS,"&lt;2016",
'STH Efficacy'!$BP:$BP,""),
"")</f>
        <v/>
      </c>
      <c r="BA170" s="303">
        <f t="shared" si="18"/>
        <v>0.597625</v>
      </c>
      <c r="BB170" s="584" t="str">
        <f>IFERROR(AVERAGEIFS(
'STH Efficacy'!$N:$N, 
'STH Efficacy'!$B:$B, $A170, 
'STH Efficacy'!$C:$C, "Albendazole",
'STH Efficacy'!$I:$I,"&lt;2016",
'STH Efficacy'!$AH:$AH,""),
"")</f>
        <v/>
      </c>
      <c r="BC170" s="579">
        <f t="shared" si="19"/>
        <v>0.7613712121</v>
      </c>
      <c r="BD170" s="584" t="str">
        <f>IFERROR(AVERAGEIFS(
'STH Efficacy'!$N:$N, 
'STH Efficacy'!$B:$B, $A170, 
'STH Efficacy'!$C:$C, "Mebendazole",
'STH Efficacy'!$I:$I,"&lt;2016",
'STH Efficacy'!$AH:$AH,""),
"")</f>
        <v/>
      </c>
      <c r="BE170" s="579">
        <f t="shared" si="20"/>
        <v>0.4362466667</v>
      </c>
      <c r="BF170" s="585" t="str">
        <f>IFERROR(AVERAGEIFS(
'STH Efficacy'!$CD:$CD, 
'STH Efficacy'!$BS:$BS, $A170, 
'STH Efficacy'!$BT:$BT, "Albendazole",
'STH Efficacy'!$BZ:$BZ,"&lt;2016",
'STH Efficacy'!$CU:$CU,""),
"")</f>
        <v/>
      </c>
      <c r="BG170" s="580">
        <f t="shared" si="21"/>
        <v>0.955</v>
      </c>
      <c r="BH170" s="585" t="str">
        <f>IFERROR(AVERAGEIFS(
'STH Efficacy'!$CD:$CD, 
'STH Efficacy'!$BS:$BS, $A170, 
'STH Efficacy'!$BT:$BT, "Mebendazole",
'STH Efficacy'!$BZ:$BZ,"&lt;2016",
'STH Efficacy'!$CU:$CU,""),
"")</f>
        <v/>
      </c>
      <c r="BI170" s="580">
        <f t="shared" si="22"/>
        <v>1</v>
      </c>
      <c r="BJ170" s="585" t="str">
        <f>IFERROR(AVERAGEIFS(
'STH Efficacy'!$CD:$CD, 
'STH Efficacy'!$BS:$BS, $A170, 
'STH Efficacy'!$BT:$BT, "Albendazole &amp; Ivermectin",
'STH Efficacy'!$BZ:$BZ,"&lt;2016",
'STH Efficacy'!$CU:$CU,""),
"")</f>
        <v/>
      </c>
      <c r="BK170" s="580">
        <f t="shared" si="23"/>
        <v>0.848</v>
      </c>
      <c r="BL170" s="575" t="str">
        <f>IFERROR(
  AVERAGEIFS(
    'NEW Onchocerciasis Efficacy'!$AO:$AO,
    'NEW Onchocerciasis Efficacy'!$C:$C,$A170,
    'NEW Onchocerciasis Efficacy'!$D:$D,"Ivermectin",
    'NEW Onchocerciasis Efficacy'!$AR:$AR,"&lt;2016",
    'NEW Onchocerciasis Efficacy'!$BG:$BG,"")
,"")</f>
        <v/>
      </c>
      <c r="BM170" s="586">
        <f t="shared" si="24"/>
        <v>0.7808368939</v>
      </c>
      <c r="BN170" s="587">
        <v>0.0</v>
      </c>
      <c r="BO170" s="588">
        <v>1.0</v>
      </c>
      <c r="BP170" s="589">
        <v>0.0</v>
      </c>
      <c r="BQ170" s="590">
        <f t="shared" si="25"/>
        <v>0</v>
      </c>
      <c r="BR170" s="560" t="str">
        <f t="shared" si="26"/>
        <v>0100</v>
      </c>
      <c r="BS170" s="560" t="str">
        <f t="shared" si="27"/>
        <v>MDA3</v>
      </c>
      <c r="BT170" s="606" t="str">
        <f t="shared" si="44"/>
        <v>IVM</v>
      </c>
      <c r="BU170" s="591" t="str">
        <f t="shared" si="29"/>
        <v/>
      </c>
      <c r="BV170" s="560" t="str">
        <f t="shared" si="30"/>
        <v>onch only</v>
      </c>
      <c r="BW170" s="150" t="str">
        <f t="shared" si="31"/>
        <v/>
      </c>
      <c r="BX170" s="150" t="str">
        <f t="shared" si="32"/>
        <v/>
      </c>
      <c r="BY170" s="151" t="str">
        <f t="shared" si="33"/>
        <v/>
      </c>
      <c r="BZ170" s="152" t="str">
        <f t="shared" si="34"/>
        <v/>
      </c>
      <c r="CA170" s="152" t="str">
        <f t="shared" si="35"/>
        <v/>
      </c>
      <c r="CB170" s="152" t="str">
        <f t="shared" si="36"/>
        <v/>
      </c>
      <c r="CC170" s="153" t="str">
        <f t="shared" si="37"/>
        <v/>
      </c>
      <c r="CD170" s="153" t="str">
        <f t="shared" si="38"/>
        <v/>
      </c>
      <c r="CE170" s="154" t="str">
        <f t="shared" si="39"/>
        <v/>
      </c>
      <c r="CF170" s="154" t="str">
        <f t="shared" si="40"/>
        <v/>
      </c>
      <c r="CG170" s="154" t="str">
        <f t="shared" si="41"/>
        <v/>
      </c>
      <c r="CH170" s="637">
        <f t="shared" si="42"/>
        <v>0</v>
      </c>
    </row>
    <row r="171">
      <c r="A171" s="559" t="s">
        <v>260</v>
      </c>
      <c r="B171" s="560" t="s">
        <v>92</v>
      </c>
      <c r="C171" s="641">
        <v>1.4976994E7</v>
      </c>
      <c r="D171" s="562">
        <v>13036.82019</v>
      </c>
      <c r="E171" s="563">
        <v>17841.847461548</v>
      </c>
      <c r="F171" s="564">
        <v>126.8594492</v>
      </c>
      <c r="G171" s="564">
        <v>786.2231494</v>
      </c>
      <c r="H171" s="564">
        <v>2296.614192</v>
      </c>
      <c r="I171" s="565">
        <v>341.4616669</v>
      </c>
      <c r="J171" s="566">
        <v>969.020596188093</v>
      </c>
      <c r="K171" s="566">
        <v>3546.59708940856</v>
      </c>
      <c r="L171" s="567">
        <v>2406.661458</v>
      </c>
      <c r="M171" s="568">
        <v>1753.01314040828</v>
      </c>
      <c r="N171" s="568">
        <v>5634.23655097292</v>
      </c>
      <c r="O171" s="569">
        <v>55.8</v>
      </c>
      <c r="P171" s="601">
        <v>316856.101596</v>
      </c>
      <c r="Q171" s="618">
        <v>6321027.0</v>
      </c>
      <c r="R171" s="603">
        <v>0.7179</v>
      </c>
      <c r="S171" s="116">
        <f t="shared" si="6"/>
        <v>0.7179</v>
      </c>
      <c r="T171" s="572">
        <v>0.4953</v>
      </c>
      <c r="U171" s="572">
        <f t="shared" si="7"/>
        <v>0.4953</v>
      </c>
      <c r="V171" s="573">
        <v>7.0E-4</v>
      </c>
      <c r="W171" s="574">
        <f t="shared" si="8"/>
        <v>0.0007</v>
      </c>
      <c r="X171" s="573">
        <v>0.9348</v>
      </c>
      <c r="Y171" s="574">
        <f t="shared" si="9"/>
        <v>0.9348</v>
      </c>
      <c r="Z171" s="604">
        <v>714920.0</v>
      </c>
      <c r="AA171" s="604">
        <v>438032.0</v>
      </c>
      <c r="AB171" s="576">
        <f t="shared" si="10"/>
        <v>0.6127007218</v>
      </c>
      <c r="AC171" s="576">
        <f t="shared" si="11"/>
        <v>0.6127007218</v>
      </c>
      <c r="AD171" s="577">
        <v>0.0220514858</v>
      </c>
      <c r="AE171" s="572">
        <v>0.1052540931</v>
      </c>
      <c r="AF171" s="578">
        <v>0.02518788139</v>
      </c>
      <c r="AG171" s="132">
        <v>0.07019967318</v>
      </c>
      <c r="AH171" s="132">
        <v>0.230248124</v>
      </c>
      <c r="AI171" s="579">
        <v>0.09144362199</v>
      </c>
      <c r="AJ171" s="579">
        <v>0.115435168</v>
      </c>
      <c r="AK171" s="580">
        <v>0.1396426929</v>
      </c>
      <c r="AL171" s="580">
        <v>0.167637784</v>
      </c>
      <c r="AM171" s="581">
        <v>2.494086719E-5</v>
      </c>
      <c r="AN171" s="571" t="str">
        <f>IFERROR(
  AVERAGEIFS(
    'New LF Efficacy'!$J:$J,
    'New LF Efficacy'!$D:$D, $A171,
    'New LF Efficacy'!$F:$F,"DEC", 
    'New LF Efficacy'!$W:$W,"&lt;2016",
    'New LF Efficacy'!$AA:$AA,""),
  ""
)</f>
        <v/>
      </c>
      <c r="AO171" s="582">
        <f t="shared" si="12"/>
        <v>0.31225</v>
      </c>
      <c r="AP171" s="571" t="str">
        <f>IFERROR(
AVERAGEIFS(
'New LF Efficacy'!$J:$J,
'New LF Efficacy'!$D:$D,$A171,
'New LF Efficacy'!$F:$F,"Albendazole &amp; DEC",
'New LF Efficacy'!$W:$W,"&lt;2016",
'New LF Efficacy'!$AA:$AA,""),
"")</f>
        <v/>
      </c>
      <c r="AQ171" s="582">
        <f t="shared" si="13"/>
        <v>0.4</v>
      </c>
      <c r="AR171" s="571" t="str">
        <f>IFERROR(
AVERAGEIFS(
'New LF Efficacy'!$J:$J,
'New LF Efficacy'!$D:$D,$A171,
'New LF Efficacy'!$F:$F,"Albendazole &amp; Ivermectin", 
'New LF Efficacy'!$W:$W,"&lt;2016",
'New LF Efficacy'!$AA:$AA,""),"")</f>
        <v/>
      </c>
      <c r="AS171" s="582">
        <f t="shared" si="14"/>
        <v>0.2943125</v>
      </c>
      <c r="AT171" s="583">
        <f>IFERROR(AVERAGEIFS(
'Schist Efficacy'!$O:$O, 
'Schist Efficacy'!$C:$C,$A171, 
'Schist Efficacy'!$D:$D, "Praziquantel",
'Schist Efficacy'!$J:$J,"&lt;2016",
'Schist Efficacy'!$U:$U,""),
"")</f>
        <v>0.7049090909</v>
      </c>
      <c r="AU171" s="572">
        <f t="shared" si="15"/>
        <v>0.7049090909</v>
      </c>
      <c r="AV171" s="131" t="str">
        <f>IFERROR(AVERAGEIFS(
'STH Efficacy'!$AX:$AX, 
'STH Efficacy'!$AL:$AL, $A171, 
'STH Efficacy'!$AM:$AM, "Albendazole",
'STH Efficacy'!$AS:$AS,"&lt;2016",
'STH Efficacy'!$BP:$BP,""),
"")</f>
        <v/>
      </c>
      <c r="AW171" s="132">
        <f t="shared" si="16"/>
        <v>0.3816333333</v>
      </c>
      <c r="AX171" s="131" t="str">
        <f>IFERROR(AVERAGEIFS(
'STH Efficacy'!$AX:$AX, 
'STH Efficacy'!$AL:$AL, $A171, 
'STH Efficacy'!$AM:$AM, "Mebendazole",
'STH Efficacy'!$AS:$AS,"&lt;2016",
'STH Efficacy'!$BP:$BP,""),
"")</f>
        <v/>
      </c>
      <c r="AY171" s="132">
        <f t="shared" si="17"/>
        <v>0.4859375</v>
      </c>
      <c r="AZ171" s="131" t="str">
        <f>IFERROR(AVERAGEIFS(
'STH Efficacy'!$AX:$AX, 
'STH Efficacy'!$AL:$AL, $A171, 
'STH Efficacy'!$AM:$AM, "Albendazole &amp; Ivermectin",
'STH Efficacy'!$AS:$AS,"&lt;2016",
'STH Efficacy'!$BP:$BP,""),
"")</f>
        <v/>
      </c>
      <c r="BA171" s="303">
        <f t="shared" si="18"/>
        <v>0.47175</v>
      </c>
      <c r="BB171" s="584" t="str">
        <f>IFERROR(AVERAGEIFS(
'STH Efficacy'!$N:$N, 
'STH Efficacy'!$B:$B, $A171, 
'STH Efficacy'!$C:$C, "Albendazole",
'STH Efficacy'!$I:$I,"&lt;2016",
'STH Efficacy'!$AH:$AH,""),
"")</f>
        <v/>
      </c>
      <c r="BC171" s="579">
        <f t="shared" si="19"/>
        <v>0.8699166667</v>
      </c>
      <c r="BD171" s="584" t="str">
        <f>IFERROR(AVERAGEIFS(
'STH Efficacy'!$N:$N, 
'STH Efficacy'!$B:$B, $A171, 
'STH Efficacy'!$C:$C, "Mebendazole",
'STH Efficacy'!$I:$I,"&lt;2016",
'STH Efficacy'!$AH:$AH,""),
"")</f>
        <v/>
      </c>
      <c r="BE171" s="579">
        <f t="shared" si="20"/>
        <v>0.7092416667</v>
      </c>
      <c r="BF171" s="585" t="str">
        <f>IFERROR(AVERAGEIFS(
'STH Efficacy'!$CD:$CD, 
'STH Efficacy'!$BS:$BS, $A171, 
'STH Efficacy'!$BT:$BT, "Albendazole",
'STH Efficacy'!$BZ:$BZ,"&lt;2016",
'STH Efficacy'!$CU:$CU,""),
"")</f>
        <v/>
      </c>
      <c r="BG171" s="580">
        <f t="shared" si="21"/>
        <v>0.9066666667</v>
      </c>
      <c r="BH171" s="585" t="str">
        <f>IFERROR(AVERAGEIFS(
'STH Efficacy'!$CD:$CD, 
'STH Efficacy'!$BS:$BS, $A171, 
'STH Efficacy'!$BT:$BT, "Mebendazole",
'STH Efficacy'!$BZ:$BZ,"&lt;2016",
'STH Efficacy'!$CU:$CU,""),
"")</f>
        <v/>
      </c>
      <c r="BI171" s="580">
        <f t="shared" si="22"/>
        <v>0.8483333333</v>
      </c>
      <c r="BJ171" s="585" t="str">
        <f>IFERROR(AVERAGEIFS(
'STH Efficacy'!$CD:$CD, 
'STH Efficacy'!$BS:$BS, $A171, 
'STH Efficacy'!$BT:$BT, "Albendazole &amp; Ivermectin",
'STH Efficacy'!$BZ:$BZ,"&lt;2016",
'STH Efficacy'!$CU:$CU,""),
"")</f>
        <v/>
      </c>
      <c r="BK171" s="580">
        <f t="shared" si="23"/>
        <v>0.696</v>
      </c>
      <c r="BL171" s="575">
        <f>IFERROR(
  AVERAGEIFS(
    'NEW Onchocerciasis Efficacy'!$AO:$AO,
    'NEW Onchocerciasis Efficacy'!$C:$C,$A171,
    'NEW Onchocerciasis Efficacy'!$D:$D,"Ivermectin",
    'NEW Onchocerciasis Efficacy'!$AR:$AR,"&lt;2016",
    'NEW Onchocerciasis Efficacy'!$BG:$BG,"")
,"")</f>
        <v>0.66494</v>
      </c>
      <c r="BM171" s="586">
        <f t="shared" si="24"/>
        <v>0.66494</v>
      </c>
      <c r="BN171" s="587">
        <v>1.0</v>
      </c>
      <c r="BO171" s="588">
        <v>0.0</v>
      </c>
      <c r="BP171" s="589">
        <v>1.0</v>
      </c>
      <c r="BQ171" s="590">
        <f t="shared" si="25"/>
        <v>0</v>
      </c>
      <c r="BR171" s="560" t="str">
        <f t="shared" si="26"/>
        <v>1010</v>
      </c>
      <c r="BS171" s="560" t="str">
        <f t="shared" si="27"/>
        <v>MDA1/2+T2</v>
      </c>
      <c r="BT171" s="606" t="str">
        <f t="shared" si="44"/>
        <v>IVM+ALB or DEC +ALB</v>
      </c>
      <c r="BU171" s="560" t="str">
        <f t="shared" si="29"/>
        <v>PZQ</v>
      </c>
      <c r="BV171" s="560" t="str">
        <f t="shared" si="30"/>
        <v>lf+schist </v>
      </c>
      <c r="BW171" s="150" t="str">
        <f t="shared" si="31"/>
        <v/>
      </c>
      <c r="BX171" s="607">
        <f t="shared" si="32"/>
        <v>3492.410671</v>
      </c>
      <c r="BY171" s="608">
        <f t="shared" si="33"/>
        <v>9570.941515</v>
      </c>
      <c r="BZ171" s="152" t="str">
        <f t="shared" si="34"/>
        <v/>
      </c>
      <c r="CA171" s="152" t="str">
        <f t="shared" si="35"/>
        <v/>
      </c>
      <c r="CB171" s="152" t="str">
        <f t="shared" si="36"/>
        <v/>
      </c>
      <c r="CC171" s="153" t="str">
        <f t="shared" si="37"/>
        <v/>
      </c>
      <c r="CD171" s="153" t="str">
        <f t="shared" si="38"/>
        <v/>
      </c>
      <c r="CE171" s="154" t="str">
        <f t="shared" si="39"/>
        <v/>
      </c>
      <c r="CF171" s="154" t="str">
        <f t="shared" si="40"/>
        <v/>
      </c>
      <c r="CG171" s="154" t="str">
        <f t="shared" si="41"/>
        <v/>
      </c>
      <c r="CH171" s="308" t="str">
        <f t="shared" si="42"/>
        <v/>
      </c>
    </row>
    <row r="172">
      <c r="A172" s="599" t="s">
        <v>261</v>
      </c>
      <c r="B172" s="560" t="s">
        <v>90</v>
      </c>
      <c r="C172" s="641">
        <v>7095383.0</v>
      </c>
      <c r="D172" s="562">
        <v>0.0</v>
      </c>
      <c r="E172" s="563">
        <v>0.0</v>
      </c>
      <c r="F172" s="564">
        <v>0.0</v>
      </c>
      <c r="G172" s="564">
        <v>0.0</v>
      </c>
      <c r="H172" s="564">
        <v>0.0</v>
      </c>
      <c r="I172" s="565">
        <v>0.0</v>
      </c>
      <c r="J172" s="566">
        <v>0.0</v>
      </c>
      <c r="K172" s="566">
        <v>0.0</v>
      </c>
      <c r="L172" s="567">
        <v>0.113213735</v>
      </c>
      <c r="M172" s="568">
        <v>0.0905427908544252</v>
      </c>
      <c r="N172" s="568">
        <v>0.742613188570484</v>
      </c>
      <c r="O172" s="569">
        <v>0.0</v>
      </c>
      <c r="P172" s="570"/>
      <c r="Q172" s="150"/>
      <c r="R172" s="571"/>
      <c r="S172" s="116">
        <f t="shared" si="6"/>
        <v>0.6648642857</v>
      </c>
      <c r="T172" s="151"/>
      <c r="U172" s="572">
        <f t="shared" si="7"/>
        <v>0.53016</v>
      </c>
      <c r="V172" s="598"/>
      <c r="W172" s="574" t="b">
        <f t="shared" si="8"/>
        <v>0</v>
      </c>
      <c r="X172" s="598"/>
      <c r="Y172" s="574">
        <f t="shared" si="9"/>
        <v>0.631675</v>
      </c>
      <c r="Z172" s="308"/>
      <c r="AA172" s="308"/>
      <c r="AB172" s="575" t="str">
        <f t="shared" si="10"/>
        <v/>
      </c>
      <c r="AC172" s="576">
        <f t="shared" si="11"/>
        <v>0.7192241206</v>
      </c>
      <c r="AD172" s="577">
        <v>0.0</v>
      </c>
      <c r="AE172" s="572">
        <v>0.0</v>
      </c>
      <c r="AF172" s="578">
        <v>0.0</v>
      </c>
      <c r="AG172" s="133">
        <v>0.0</v>
      </c>
      <c r="AH172" s="133">
        <v>0.0</v>
      </c>
      <c r="AI172" s="623">
        <v>0.0</v>
      </c>
      <c r="AJ172" s="623">
        <v>0.0</v>
      </c>
      <c r="AK172" s="624">
        <v>0.0</v>
      </c>
      <c r="AL172" s="624">
        <v>0.0</v>
      </c>
      <c r="AM172" s="581">
        <v>0.0</v>
      </c>
      <c r="AN172" s="571" t="str">
        <f>IFERROR(
  AVERAGEIFS(
    'New LF Efficacy'!$J:$J,
    'New LF Efficacy'!$D:$D, $A172,
    'New LF Efficacy'!$F:$F,"DEC", 
    'New LF Efficacy'!$W:$W,"&lt;2016",
    'New LF Efficacy'!$AA:$AA,""),
  ""
)</f>
        <v/>
      </c>
      <c r="AO172" s="582">
        <f t="shared" si="12"/>
        <v>0.3573520833</v>
      </c>
      <c r="AP172" s="571" t="str">
        <f>IFERROR(
AVERAGEIFS(
'New LF Efficacy'!$J:$J,
'New LF Efficacy'!$D:$D,$A172,
'New LF Efficacy'!$F:$F,"Albendazole &amp; DEC",
'New LF Efficacy'!$W:$W,"&lt;2016",
'New LF Efficacy'!$AA:$AA,""),
"")</f>
        <v/>
      </c>
      <c r="AQ172" s="582">
        <f t="shared" si="13"/>
        <v>0.5143541667</v>
      </c>
      <c r="AR172" s="571" t="str">
        <f>IFERROR(
AVERAGEIFS(
'New LF Efficacy'!$J:$J,
'New LF Efficacy'!$D:$D,$A172,
'New LF Efficacy'!$F:$F,"Albendazole &amp; Ivermectin", 
'New LF Efficacy'!$W:$W,"&lt;2016",
'New LF Efficacy'!$AA:$AA,""),"")</f>
        <v/>
      </c>
      <c r="AS172" s="582">
        <f t="shared" si="14"/>
        <v>0.37153125</v>
      </c>
      <c r="AT172" s="583" t="str">
        <f>IFERROR(AVERAGEIFS(
'Schist Efficacy'!$O:$O, 
'Schist Efficacy'!$C:$C,$A172, 
'Schist Efficacy'!$D:$D, "Praziquantel",
'Schist Efficacy'!$J:$J,"&lt;2016",
'Schist Efficacy'!$U:$U,""),
"")</f>
        <v/>
      </c>
      <c r="AU172" s="572">
        <f t="shared" si="15"/>
        <v>0.655</v>
      </c>
      <c r="AV172" s="131" t="str">
        <f>IFERROR(AVERAGEIFS(
'STH Efficacy'!$AX:$AX, 
'STH Efficacy'!$AL:$AL, $A172, 
'STH Efficacy'!$AM:$AM, "Albendazole",
'STH Efficacy'!$AS:$AS,"&lt;2016",
'STH Efficacy'!$BP:$BP,""),
"")</f>
        <v/>
      </c>
      <c r="AW172" s="132">
        <f t="shared" si="16"/>
        <v>0.4143846154</v>
      </c>
      <c r="AX172" s="131" t="str">
        <f>IFERROR(AVERAGEIFS(
'STH Efficacy'!$AX:$AX, 
'STH Efficacy'!$AL:$AL, $A172, 
'STH Efficacy'!$AM:$AM, "Mebendazole",
'STH Efficacy'!$AS:$AS,"&lt;2016",
'STH Efficacy'!$BP:$BP,""),
"")</f>
        <v/>
      </c>
      <c r="AY172" s="132">
        <f t="shared" si="17"/>
        <v>0.4691770833</v>
      </c>
      <c r="AZ172" s="131" t="str">
        <f>IFERROR(AVERAGEIFS(
'STH Efficacy'!$AX:$AX, 
'STH Efficacy'!$AL:$AL, $A172, 
'STH Efficacy'!$AM:$AM, "Albendazole &amp; Ivermectin",
'STH Efficacy'!$AS:$AS,"&lt;2016",
'STH Efficacy'!$BP:$BP,""),
"")</f>
        <v/>
      </c>
      <c r="BA172" s="303">
        <f t="shared" si="18"/>
        <v>0.597625</v>
      </c>
      <c r="BB172" s="584" t="str">
        <f>IFERROR(AVERAGEIFS(
'STH Efficacy'!$N:$N, 
'STH Efficacy'!$B:$B, $A172, 
'STH Efficacy'!$C:$C, "Albendazole",
'STH Efficacy'!$I:$I,"&lt;2016",
'STH Efficacy'!$AH:$AH,""),
"")</f>
        <v/>
      </c>
      <c r="BC172" s="579">
        <f t="shared" si="19"/>
        <v>0.7613712121</v>
      </c>
      <c r="BD172" s="584" t="str">
        <f>IFERROR(AVERAGEIFS(
'STH Efficacy'!$N:$N, 
'STH Efficacy'!$B:$B, $A172, 
'STH Efficacy'!$C:$C, "Mebendazole",
'STH Efficacy'!$I:$I,"&lt;2016",
'STH Efficacy'!$AH:$AH,""),
"")</f>
        <v/>
      </c>
      <c r="BE172" s="579">
        <f t="shared" si="20"/>
        <v>0.4362466667</v>
      </c>
      <c r="BF172" s="585" t="str">
        <f>IFERROR(AVERAGEIFS(
'STH Efficacy'!$CD:$CD, 
'STH Efficacy'!$BS:$BS, $A172, 
'STH Efficacy'!$BT:$BT, "Albendazole",
'STH Efficacy'!$BZ:$BZ,"&lt;2016",
'STH Efficacy'!$CU:$CU,""),
"")</f>
        <v/>
      </c>
      <c r="BG172" s="580">
        <f t="shared" si="21"/>
        <v>0.9216027778</v>
      </c>
      <c r="BH172" s="585" t="str">
        <f>IFERROR(AVERAGEIFS(
'STH Efficacy'!$CD:$CD, 
'STH Efficacy'!$BS:$BS, $A172, 
'STH Efficacy'!$BT:$BT, "Mebendazole",
'STH Efficacy'!$BZ:$BZ,"&lt;2016",
'STH Efficacy'!$CU:$CU,""),
"")</f>
        <v/>
      </c>
      <c r="BI172" s="580">
        <f t="shared" si="22"/>
        <v>0.8866041667</v>
      </c>
      <c r="BJ172" s="585" t="str">
        <f>IFERROR(AVERAGEIFS(
'STH Efficacy'!$CD:$CD, 
'STH Efficacy'!$BS:$BS, $A172, 
'STH Efficacy'!$BT:$BT, "Albendazole &amp; Ivermectin",
'STH Efficacy'!$BZ:$BZ,"&lt;2016",
'STH Efficacy'!$CU:$CU,""),
"")</f>
        <v/>
      </c>
      <c r="BK172" s="580">
        <f t="shared" si="23"/>
        <v>0.848</v>
      </c>
      <c r="BL172" s="575" t="str">
        <f>IFERROR(
  AVERAGEIFS(
    'NEW Onchocerciasis Efficacy'!$AO:$AO,
    'NEW Onchocerciasis Efficacy'!$C:$C,$A172,
    'NEW Onchocerciasis Efficacy'!$D:$D,"Ivermectin",
    'NEW Onchocerciasis Efficacy'!$AR:$AR,"&lt;2016",
    'NEW Onchocerciasis Efficacy'!$BG:$BG,"")
,"")</f>
        <v/>
      </c>
      <c r="BM172" s="586">
        <f t="shared" si="24"/>
        <v>0.7808368939</v>
      </c>
      <c r="BN172" s="587">
        <v>0.0</v>
      </c>
      <c r="BO172" s="588">
        <v>0.0</v>
      </c>
      <c r="BP172" s="589">
        <v>0.0</v>
      </c>
      <c r="BQ172" s="590">
        <f t="shared" si="25"/>
        <v>0</v>
      </c>
      <c r="BR172" s="560" t="str">
        <f t="shared" si="26"/>
        <v>0000</v>
      </c>
      <c r="BS172" s="560" t="str">
        <f t="shared" si="27"/>
        <v>no action required</v>
      </c>
      <c r="BT172" s="361" t="str">
        <f t="shared" si="44"/>
        <v/>
      </c>
      <c r="BU172" s="591" t="str">
        <f t="shared" si="29"/>
        <v/>
      </c>
      <c r="BV172" s="560" t="str">
        <f t="shared" si="30"/>
        <v>none</v>
      </c>
      <c r="BW172" s="150" t="str">
        <f t="shared" si="31"/>
        <v/>
      </c>
      <c r="BX172" s="150" t="str">
        <f t="shared" si="32"/>
        <v/>
      </c>
      <c r="BY172" s="151" t="str">
        <f t="shared" si="33"/>
        <v/>
      </c>
      <c r="BZ172" s="152" t="str">
        <f t="shared" si="34"/>
        <v/>
      </c>
      <c r="CA172" s="152" t="str">
        <f t="shared" si="35"/>
        <v/>
      </c>
      <c r="CB172" s="152" t="str">
        <f t="shared" si="36"/>
        <v/>
      </c>
      <c r="CC172" s="153" t="str">
        <f t="shared" si="37"/>
        <v/>
      </c>
      <c r="CD172" s="153" t="str">
        <f t="shared" si="38"/>
        <v/>
      </c>
      <c r="CE172" s="154" t="str">
        <f t="shared" si="39"/>
        <v/>
      </c>
      <c r="CF172" s="154" t="str">
        <f t="shared" si="40"/>
        <v/>
      </c>
      <c r="CG172" s="154" t="str">
        <f t="shared" si="41"/>
        <v/>
      </c>
      <c r="CH172" s="308" t="str">
        <f t="shared" si="42"/>
        <v/>
      </c>
    </row>
    <row r="173">
      <c r="A173" s="599" t="s">
        <v>262</v>
      </c>
      <c r="B173" s="560" t="s">
        <v>92</v>
      </c>
      <c r="C173" s="641">
        <v>93419.0</v>
      </c>
      <c r="D173" s="562">
        <v>0.0</v>
      </c>
      <c r="E173" s="563">
        <v>0.0</v>
      </c>
      <c r="F173" s="564">
        <v>0.0</v>
      </c>
      <c r="G173" s="564">
        <v>0.0</v>
      </c>
      <c r="H173" s="564">
        <v>1.87E-8</v>
      </c>
      <c r="I173" s="565">
        <v>0.008124885</v>
      </c>
      <c r="J173" s="566">
        <v>0.0910975518462156</v>
      </c>
      <c r="K173" s="566">
        <v>1.41468009574563</v>
      </c>
      <c r="L173" s="567">
        <v>0.041857553</v>
      </c>
      <c r="M173" s="568">
        <v>0.0279414231799973</v>
      </c>
      <c r="N173" s="568">
        <v>0.113064599612573</v>
      </c>
      <c r="O173" s="569">
        <v>0.0</v>
      </c>
      <c r="P173" s="570"/>
      <c r="Q173" s="150"/>
      <c r="R173" s="571"/>
      <c r="S173" s="116">
        <f t="shared" si="6"/>
        <v>0.6227928571</v>
      </c>
      <c r="T173" s="151"/>
      <c r="U173" s="572">
        <f t="shared" si="7"/>
        <v>0.5141</v>
      </c>
      <c r="V173" s="598"/>
      <c r="W173" s="574">
        <f t="shared" si="8"/>
        <v>0.7605133333</v>
      </c>
      <c r="X173" s="598"/>
      <c r="Y173" s="574">
        <f t="shared" si="9"/>
        <v>0.6822424242</v>
      </c>
      <c r="Z173" s="308"/>
      <c r="AA173" s="308"/>
      <c r="AB173" s="575" t="str">
        <f t="shared" si="10"/>
        <v/>
      </c>
      <c r="AC173" s="576">
        <f t="shared" si="11"/>
        <v>0.6507101914</v>
      </c>
      <c r="AD173" s="577">
        <v>0.0</v>
      </c>
      <c r="AE173" s="572">
        <v>0.0</v>
      </c>
      <c r="AF173" s="578">
        <v>0.0</v>
      </c>
      <c r="AG173" s="133">
        <v>0.04547342191</v>
      </c>
      <c r="AH173" s="133">
        <v>0.143282415</v>
      </c>
      <c r="AI173" s="623">
        <v>0.007539752681</v>
      </c>
      <c r="AJ173" s="623">
        <v>0.0091171771</v>
      </c>
      <c r="AK173" s="624">
        <v>0.05440873981</v>
      </c>
      <c r="AL173" s="624">
        <v>0.06246973815</v>
      </c>
      <c r="AM173" s="581">
        <v>0.0</v>
      </c>
      <c r="AN173" s="571" t="str">
        <f>IFERROR(
  AVERAGEIFS(
    'New LF Efficacy'!$J:$J,
    'New LF Efficacy'!$D:$D, $A173,
    'New LF Efficacy'!$F:$F,"DEC", 
    'New LF Efficacy'!$W:$W,"&lt;2016",
    'New LF Efficacy'!$AA:$AA,""),
  ""
)</f>
        <v/>
      </c>
      <c r="AO173" s="582">
        <f t="shared" si="12"/>
        <v>0.31225</v>
      </c>
      <c r="AP173" s="571" t="str">
        <f>IFERROR(
AVERAGEIFS(
'New LF Efficacy'!$J:$J,
'New LF Efficacy'!$D:$D,$A173,
'New LF Efficacy'!$F:$F,"Albendazole &amp; DEC",
'New LF Efficacy'!$W:$W,"&lt;2016",
'New LF Efficacy'!$AA:$AA,""),
"")</f>
        <v/>
      </c>
      <c r="AQ173" s="582">
        <f t="shared" si="13"/>
        <v>0.4</v>
      </c>
      <c r="AR173" s="571" t="str">
        <f>IFERROR(
AVERAGEIFS(
'New LF Efficacy'!$J:$J,
'New LF Efficacy'!$D:$D,$A173,
'New LF Efficacy'!$F:$F,"Albendazole &amp; Ivermectin", 
'New LF Efficacy'!$W:$W,"&lt;2016",
'New LF Efficacy'!$AA:$AA,""),"")</f>
        <v/>
      </c>
      <c r="AS173" s="582">
        <f t="shared" si="14"/>
        <v>0.2943125</v>
      </c>
      <c r="AT173" s="583" t="str">
        <f>IFERROR(AVERAGEIFS(
'Schist Efficacy'!$O:$O, 
'Schist Efficacy'!$C:$C,$A173, 
'Schist Efficacy'!$D:$D, "Praziquantel",
'Schist Efficacy'!$J:$J,"&lt;2016",
'Schist Efficacy'!$U:$U,""),
"")</f>
        <v/>
      </c>
      <c r="AU173" s="572">
        <f t="shared" si="15"/>
        <v>0.7206464759</v>
      </c>
      <c r="AV173" s="131" t="str">
        <f>IFERROR(AVERAGEIFS(
'STH Efficacy'!$AX:$AX, 
'STH Efficacy'!$AL:$AL, $A173, 
'STH Efficacy'!$AM:$AM, "Albendazole",
'STH Efficacy'!$AS:$AS,"&lt;2016",
'STH Efficacy'!$BP:$BP,""),
"")</f>
        <v/>
      </c>
      <c r="AW173" s="132">
        <f t="shared" si="16"/>
        <v>0.3816333333</v>
      </c>
      <c r="AX173" s="131" t="str">
        <f>IFERROR(AVERAGEIFS(
'STH Efficacy'!$AX:$AX, 
'STH Efficacy'!$AL:$AL, $A173, 
'STH Efficacy'!$AM:$AM, "Mebendazole",
'STH Efficacy'!$AS:$AS,"&lt;2016",
'STH Efficacy'!$BP:$BP,""),
"")</f>
        <v/>
      </c>
      <c r="AY173" s="132">
        <f t="shared" si="17"/>
        <v>0.4859375</v>
      </c>
      <c r="AZ173" s="131" t="str">
        <f>IFERROR(AVERAGEIFS(
'STH Efficacy'!$AX:$AX, 
'STH Efficacy'!$AL:$AL, $A173, 
'STH Efficacy'!$AM:$AM, "Albendazole &amp; Ivermectin",
'STH Efficacy'!$AS:$AS,"&lt;2016",
'STH Efficacy'!$BP:$BP,""),
"")</f>
        <v/>
      </c>
      <c r="BA173" s="303">
        <f t="shared" si="18"/>
        <v>0.47175</v>
      </c>
      <c r="BB173" s="584" t="str">
        <f>IFERROR(AVERAGEIFS(
'STH Efficacy'!$N:$N, 
'STH Efficacy'!$B:$B, $A173, 
'STH Efficacy'!$C:$C, "Albendazole",
'STH Efficacy'!$I:$I,"&lt;2016",
'STH Efficacy'!$AH:$AH,""),
"")</f>
        <v/>
      </c>
      <c r="BC173" s="579">
        <f t="shared" si="19"/>
        <v>0.8699166667</v>
      </c>
      <c r="BD173" s="584" t="str">
        <f>IFERROR(AVERAGEIFS(
'STH Efficacy'!$N:$N, 
'STH Efficacy'!$B:$B, $A173, 
'STH Efficacy'!$C:$C, "Mebendazole",
'STH Efficacy'!$I:$I,"&lt;2016",
'STH Efficacy'!$AH:$AH,""),
"")</f>
        <v/>
      </c>
      <c r="BE173" s="579">
        <f t="shared" si="20"/>
        <v>0.7092416667</v>
      </c>
      <c r="BF173" s="585" t="str">
        <f>IFERROR(AVERAGEIFS(
'STH Efficacy'!$CD:$CD, 
'STH Efficacy'!$BS:$BS, $A173, 
'STH Efficacy'!$BT:$BT, "Albendazole",
'STH Efficacy'!$BZ:$BZ,"&lt;2016",
'STH Efficacy'!$CU:$CU,""),
"")</f>
        <v/>
      </c>
      <c r="BG173" s="580">
        <f t="shared" si="21"/>
        <v>0.9066666667</v>
      </c>
      <c r="BH173" s="585" t="str">
        <f>IFERROR(AVERAGEIFS(
'STH Efficacy'!$CD:$CD, 
'STH Efficacy'!$BS:$BS, $A173, 
'STH Efficacy'!$BT:$BT, "Mebendazole",
'STH Efficacy'!$BZ:$BZ,"&lt;2016",
'STH Efficacy'!$CU:$CU,""),
"")</f>
        <v/>
      </c>
      <c r="BI173" s="580">
        <f t="shared" si="22"/>
        <v>0.8483333333</v>
      </c>
      <c r="BJ173" s="585" t="str">
        <f>IFERROR(AVERAGEIFS(
'STH Efficacy'!$CD:$CD, 
'STH Efficacy'!$BS:$BS, $A173, 
'STH Efficacy'!$BT:$BT, "Albendazole &amp; Ivermectin",
'STH Efficacy'!$BZ:$BZ,"&lt;2016",
'STH Efficacy'!$CU:$CU,""),
"")</f>
        <v/>
      </c>
      <c r="BK173" s="580">
        <f t="shared" si="23"/>
        <v>0.696</v>
      </c>
      <c r="BL173" s="575" t="str">
        <f>IFERROR(
  AVERAGEIFS(
    'NEW Onchocerciasis Efficacy'!$AO:$AO,
    'NEW Onchocerciasis Efficacy'!$C:$C,$A173,
    'NEW Onchocerciasis Efficacy'!$D:$D,"Ivermectin",
    'NEW Onchocerciasis Efficacy'!$AR:$AR,"&lt;2016",
    'NEW Onchocerciasis Efficacy'!$BG:$BG,"")
,"")</f>
        <v/>
      </c>
      <c r="BM173" s="586">
        <f t="shared" si="24"/>
        <v>0.8390421645</v>
      </c>
      <c r="BN173" s="587">
        <v>0.0</v>
      </c>
      <c r="BO173" s="588">
        <v>1.0</v>
      </c>
      <c r="BP173" s="589">
        <v>1.0</v>
      </c>
      <c r="BQ173" s="590">
        <f t="shared" si="25"/>
        <v>0</v>
      </c>
      <c r="BR173" s="560" t="str">
        <f t="shared" si="26"/>
        <v>0110</v>
      </c>
      <c r="BS173" s="560" t="str">
        <f t="shared" si="27"/>
        <v>MDA3+T2</v>
      </c>
      <c r="BT173" s="606" t="str">
        <f t="shared" si="44"/>
        <v>IVM</v>
      </c>
      <c r="BU173" s="560" t="str">
        <f t="shared" si="29"/>
        <v>PZQ</v>
      </c>
      <c r="BV173" s="560" t="str">
        <f t="shared" si="30"/>
        <v>onch+schist</v>
      </c>
      <c r="BW173" s="150" t="str">
        <f t="shared" si="31"/>
        <v/>
      </c>
      <c r="BX173" s="150" t="str">
        <f t="shared" si="32"/>
        <v/>
      </c>
      <c r="BY173" s="608">
        <f t="shared" si="33"/>
        <v>0</v>
      </c>
      <c r="BZ173" s="152" t="str">
        <f t="shared" si="34"/>
        <v/>
      </c>
      <c r="CA173" s="152" t="str">
        <f t="shared" si="35"/>
        <v/>
      </c>
      <c r="CB173" s="152" t="str">
        <f t="shared" si="36"/>
        <v/>
      </c>
      <c r="CC173" s="153" t="str">
        <f t="shared" si="37"/>
        <v/>
      </c>
      <c r="CD173" s="153" t="str">
        <f t="shared" si="38"/>
        <v/>
      </c>
      <c r="CE173" s="154" t="str">
        <f t="shared" si="39"/>
        <v/>
      </c>
      <c r="CF173" s="154" t="str">
        <f t="shared" si="40"/>
        <v/>
      </c>
      <c r="CG173" s="154" t="str">
        <f t="shared" si="41"/>
        <v/>
      </c>
      <c r="CH173" s="637">
        <f t="shared" si="42"/>
        <v>0</v>
      </c>
    </row>
    <row r="174">
      <c r="A174" s="559" t="s">
        <v>263</v>
      </c>
      <c r="B174" s="560" t="s">
        <v>92</v>
      </c>
      <c r="C174" s="641">
        <v>7237025.0</v>
      </c>
      <c r="D174" s="562">
        <v>10615.34651</v>
      </c>
      <c r="E174" s="563">
        <v>2261.63343939383</v>
      </c>
      <c r="F174" s="564">
        <v>1.668406656</v>
      </c>
      <c r="G174" s="564">
        <v>2.787492785</v>
      </c>
      <c r="H174" s="564">
        <v>44.21609257</v>
      </c>
      <c r="I174" s="565">
        <v>444.6318682</v>
      </c>
      <c r="J174" s="566">
        <v>1264.32033623044</v>
      </c>
      <c r="K174" s="566">
        <v>5349.41055978474</v>
      </c>
      <c r="L174" s="567">
        <v>1341.399504</v>
      </c>
      <c r="M174" s="568">
        <v>131.979621571129</v>
      </c>
      <c r="N174" s="568">
        <v>1716.34041756553</v>
      </c>
      <c r="O174" s="569">
        <v>29921.7</v>
      </c>
      <c r="P174" s="601" t="s">
        <v>408</v>
      </c>
      <c r="Q174" s="618">
        <v>3464408.0</v>
      </c>
      <c r="R174" s="603">
        <v>0.8078</v>
      </c>
      <c r="S174" s="116">
        <f t="shared" si="6"/>
        <v>0.8078</v>
      </c>
      <c r="T174" s="572">
        <v>0.9979</v>
      </c>
      <c r="U174" s="572">
        <f t="shared" si="7"/>
        <v>0.9979</v>
      </c>
      <c r="V174" s="573">
        <v>0.9012</v>
      </c>
      <c r="W174" s="574">
        <f t="shared" si="8"/>
        <v>0.9012</v>
      </c>
      <c r="X174" s="573">
        <v>0.7798</v>
      </c>
      <c r="Y174" s="574">
        <f t="shared" si="9"/>
        <v>0.7798</v>
      </c>
      <c r="Z174" s="604">
        <v>5944634.0</v>
      </c>
      <c r="AA174" s="604">
        <v>4662686.0</v>
      </c>
      <c r="AB174" s="576">
        <f t="shared" si="10"/>
        <v>0.7843520728</v>
      </c>
      <c r="AC174" s="576">
        <f t="shared" si="11"/>
        <v>0.7843520728</v>
      </c>
      <c r="AD174" s="577">
        <v>0.02200269805</v>
      </c>
      <c r="AE174" s="572">
        <v>0.006071082857</v>
      </c>
      <c r="AF174" s="578">
        <v>0.0014104782</v>
      </c>
      <c r="AG174" s="133">
        <v>0.02358849712</v>
      </c>
      <c r="AH174" s="133">
        <v>0.0784653</v>
      </c>
      <c r="AI174" s="623">
        <v>0.1161421649</v>
      </c>
      <c r="AJ174" s="623">
        <v>0.1484706201</v>
      </c>
      <c r="AK174" s="624">
        <v>0.07977199169</v>
      </c>
      <c r="AL174" s="624">
        <v>0.09701690125</v>
      </c>
      <c r="AM174" s="581">
        <v>0.05150193278</v>
      </c>
      <c r="AN174" s="571" t="str">
        <f>IFERROR(
  AVERAGEIFS(
    'New LF Efficacy'!$J:$J,
    'New LF Efficacy'!$D:$D, $A174,
    'New LF Efficacy'!$F:$F,"DEC", 
    'New LF Efficacy'!$W:$W,"&lt;2016",
    'New LF Efficacy'!$AA:$AA,""),
  ""
)</f>
        <v/>
      </c>
      <c r="AO174" s="582">
        <f t="shared" si="12"/>
        <v>0.31225</v>
      </c>
      <c r="AP174" s="571" t="str">
        <f>IFERROR(
AVERAGEIFS(
'New LF Efficacy'!$J:$J,
'New LF Efficacy'!$D:$D,$A174,
'New LF Efficacy'!$F:$F,"Albendazole &amp; DEC",
'New LF Efficacy'!$W:$W,"&lt;2016",
'New LF Efficacy'!$AA:$AA,""),
"")</f>
        <v/>
      </c>
      <c r="AQ174" s="582">
        <f t="shared" si="13"/>
        <v>0.4</v>
      </c>
      <c r="AR174" s="571" t="str">
        <f>IFERROR(
AVERAGEIFS(
'New LF Efficacy'!$J:$J,
'New LF Efficacy'!$D:$D,$A174,
'New LF Efficacy'!$F:$F,"Albendazole &amp; Ivermectin", 
'New LF Efficacy'!$W:$W,"&lt;2016",
'New LF Efficacy'!$AA:$AA,""),"")</f>
        <v/>
      </c>
      <c r="AS174" s="582">
        <f t="shared" si="14"/>
        <v>0.2943125</v>
      </c>
      <c r="AT174" s="583" t="str">
        <f>IFERROR(AVERAGEIFS(
'Schist Efficacy'!$O:$O, 
'Schist Efficacy'!$C:$C,$A174, 
'Schist Efficacy'!$D:$D, "Praziquantel",
'Schist Efficacy'!$J:$J,"&lt;2016",
'Schist Efficacy'!$U:$U,""),
"")</f>
        <v/>
      </c>
      <c r="AU174" s="572">
        <f t="shared" si="15"/>
        <v>0.7206464759</v>
      </c>
      <c r="AV174" s="131" t="str">
        <f>IFERROR(AVERAGEIFS(
'STH Efficacy'!$AX:$AX, 
'STH Efficacy'!$AL:$AL, $A174, 
'STH Efficacy'!$AM:$AM, "Albendazole",
'STH Efficacy'!$AS:$AS,"&lt;2016",
'STH Efficacy'!$BP:$BP,""),
"")</f>
        <v/>
      </c>
      <c r="AW174" s="132">
        <f t="shared" si="16"/>
        <v>0.3816333333</v>
      </c>
      <c r="AX174" s="131" t="str">
        <f>IFERROR(AVERAGEIFS(
'STH Efficacy'!$AX:$AX, 
'STH Efficacy'!$AL:$AL, $A174, 
'STH Efficacy'!$AM:$AM, "Mebendazole",
'STH Efficacy'!$AS:$AS,"&lt;2016",
'STH Efficacy'!$BP:$BP,""),
"")</f>
        <v/>
      </c>
      <c r="AY174" s="132">
        <f t="shared" si="17"/>
        <v>0.4859375</v>
      </c>
      <c r="AZ174" s="131" t="str">
        <f>IFERROR(AVERAGEIFS(
'STH Efficacy'!$AX:$AX, 
'STH Efficacy'!$AL:$AL, $A174, 
'STH Efficacy'!$AM:$AM, "Albendazole &amp; Ivermectin",
'STH Efficacy'!$AS:$AS,"&lt;2016",
'STH Efficacy'!$BP:$BP,""),
"")</f>
        <v/>
      </c>
      <c r="BA174" s="303">
        <f t="shared" si="18"/>
        <v>0.47175</v>
      </c>
      <c r="BB174" s="584" t="str">
        <f>IFERROR(AVERAGEIFS(
'STH Efficacy'!$N:$N, 
'STH Efficacy'!$B:$B, $A174, 
'STH Efficacy'!$C:$C, "Albendazole",
'STH Efficacy'!$I:$I,"&lt;2016",
'STH Efficacy'!$AH:$AH,""),
"")</f>
        <v/>
      </c>
      <c r="BC174" s="579">
        <f t="shared" si="19"/>
        <v>0.8699166667</v>
      </c>
      <c r="BD174" s="584" t="str">
        <f>IFERROR(AVERAGEIFS(
'STH Efficacy'!$N:$N, 
'STH Efficacy'!$B:$B, $A174, 
'STH Efficacy'!$C:$C, "Mebendazole",
'STH Efficacy'!$I:$I,"&lt;2016",
'STH Efficacy'!$AH:$AH,""),
"")</f>
        <v/>
      </c>
      <c r="BE174" s="579">
        <f t="shared" si="20"/>
        <v>0.7092416667</v>
      </c>
      <c r="BF174" s="585" t="str">
        <f>IFERROR(AVERAGEIFS(
'STH Efficacy'!$CD:$CD, 
'STH Efficacy'!$BS:$BS, $A174, 
'STH Efficacy'!$BT:$BT, "Albendazole",
'STH Efficacy'!$BZ:$BZ,"&lt;2016",
'STH Efficacy'!$CU:$CU,""),
"")</f>
        <v/>
      </c>
      <c r="BG174" s="580">
        <f t="shared" si="21"/>
        <v>0.9066666667</v>
      </c>
      <c r="BH174" s="585" t="str">
        <f>IFERROR(AVERAGEIFS(
'STH Efficacy'!$CD:$CD, 
'STH Efficacy'!$BS:$BS, $A174, 
'STH Efficacy'!$BT:$BT, "Mebendazole",
'STH Efficacy'!$BZ:$BZ,"&lt;2016",
'STH Efficacy'!$CU:$CU,""),
"")</f>
        <v/>
      </c>
      <c r="BI174" s="580">
        <f t="shared" si="22"/>
        <v>0.8483333333</v>
      </c>
      <c r="BJ174" s="585" t="str">
        <f>IFERROR(AVERAGEIFS(
'STH Efficacy'!$CD:$CD, 
'STH Efficacy'!$BS:$BS, $A174, 
'STH Efficacy'!$BT:$BT, "Albendazole &amp; Ivermectin",
'STH Efficacy'!$BZ:$BZ,"&lt;2016",
'STH Efficacy'!$CU:$CU,""),
"")</f>
        <v/>
      </c>
      <c r="BK174" s="580">
        <f t="shared" si="23"/>
        <v>0.696</v>
      </c>
      <c r="BL174" s="575">
        <f>IFERROR(
  AVERAGEIFS(
    'NEW Onchocerciasis Efficacy'!$AO:$AO,
    'NEW Onchocerciasis Efficacy'!$C:$C,$A174,
    'NEW Onchocerciasis Efficacy'!$D:$D,"Ivermectin",
    'NEW Onchocerciasis Efficacy'!$AR:$AR,"&lt;2016",
    'NEW Onchocerciasis Efficacy'!$BG:$BG,"")
,"")</f>
        <v>0.7535</v>
      </c>
      <c r="BM174" s="586">
        <f t="shared" si="24"/>
        <v>0.7535</v>
      </c>
      <c r="BN174" s="587">
        <v>1.0</v>
      </c>
      <c r="BO174" s="588">
        <v>0.0</v>
      </c>
      <c r="BP174" s="589">
        <v>1.0</v>
      </c>
      <c r="BQ174" s="590">
        <f t="shared" si="25"/>
        <v>0</v>
      </c>
      <c r="BR174" s="560" t="str">
        <f t="shared" si="26"/>
        <v>1010</v>
      </c>
      <c r="BS174" s="560" t="str">
        <f t="shared" si="27"/>
        <v>MDA1/2+T2</v>
      </c>
      <c r="BT174" s="606" t="str">
        <f t="shared" si="44"/>
        <v>IVM+ALB or DEC +ALB</v>
      </c>
      <c r="BU174" s="560" t="str">
        <f t="shared" si="29"/>
        <v>PZQ</v>
      </c>
      <c r="BV174" s="560" t="str">
        <f t="shared" si="30"/>
        <v>lf+schist </v>
      </c>
      <c r="BW174" s="150" t="str">
        <f t="shared" si="31"/>
        <v/>
      </c>
      <c r="BX174" s="607">
        <f t="shared" si="32"/>
        <v>3310.905713</v>
      </c>
      <c r="BY174" s="608">
        <f t="shared" si="33"/>
        <v>5790.698775</v>
      </c>
      <c r="BZ174" s="152" t="str">
        <f t="shared" si="34"/>
        <v/>
      </c>
      <c r="CA174" s="152" t="str">
        <f t="shared" si="35"/>
        <v/>
      </c>
      <c r="CB174" s="152" t="str">
        <f t="shared" si="36"/>
        <v/>
      </c>
      <c r="CC174" s="153" t="str">
        <f t="shared" si="37"/>
        <v/>
      </c>
      <c r="CD174" s="153" t="str">
        <f t="shared" si="38"/>
        <v/>
      </c>
      <c r="CE174" s="154" t="str">
        <f t="shared" si="39"/>
        <v/>
      </c>
      <c r="CF174" s="154" t="str">
        <f t="shared" si="40"/>
        <v/>
      </c>
      <c r="CG174" s="154" t="str">
        <f t="shared" si="41"/>
        <v/>
      </c>
      <c r="CH174" s="308" t="str">
        <f t="shared" si="42"/>
        <v/>
      </c>
    </row>
    <row r="175">
      <c r="A175" s="599" t="s">
        <v>264</v>
      </c>
      <c r="B175" s="560" t="s">
        <v>94</v>
      </c>
      <c r="C175" s="641">
        <v>5535002.0</v>
      </c>
      <c r="D175" s="562">
        <v>0.0</v>
      </c>
      <c r="E175" s="563">
        <v>0.0</v>
      </c>
      <c r="F175" s="564">
        <v>0.0</v>
      </c>
      <c r="G175" s="564">
        <v>0.0</v>
      </c>
      <c r="H175" s="564">
        <v>0.0</v>
      </c>
      <c r="I175" s="565">
        <v>0.0</v>
      </c>
      <c r="J175" s="566">
        <v>0.0</v>
      </c>
      <c r="K175" s="566">
        <v>0.0</v>
      </c>
      <c r="L175" s="567">
        <v>0.0</v>
      </c>
      <c r="M175" s="568">
        <v>0.0</v>
      </c>
      <c r="N175" s="568">
        <v>0.0</v>
      </c>
      <c r="O175" s="569">
        <v>0.0</v>
      </c>
      <c r="P175" s="570"/>
      <c r="Q175" s="150"/>
      <c r="R175" s="571"/>
      <c r="S175" s="116">
        <f t="shared" si="6"/>
        <v>0.5322777778</v>
      </c>
      <c r="T175" s="151"/>
      <c r="U175" s="572">
        <f t="shared" si="7"/>
        <v>0.7834666667</v>
      </c>
      <c r="V175" s="598"/>
      <c r="W175" s="574">
        <f t="shared" si="8"/>
        <v>0.3593777778</v>
      </c>
      <c r="X175" s="598"/>
      <c r="Y175" s="574">
        <f t="shared" si="9"/>
        <v>0.5347375</v>
      </c>
      <c r="Z175" s="308"/>
      <c r="AA175" s="308"/>
      <c r="AB175" s="575" t="str">
        <f t="shared" si="10"/>
        <v/>
      </c>
      <c r="AC175" s="576">
        <f t="shared" si="11"/>
        <v>0.7192241206</v>
      </c>
      <c r="AD175" s="577">
        <v>0.0</v>
      </c>
      <c r="AE175" s="572">
        <v>0.0</v>
      </c>
      <c r="AF175" s="578">
        <v>0.0</v>
      </c>
      <c r="AG175" s="132">
        <v>0.0</v>
      </c>
      <c r="AH175" s="132">
        <v>0.0</v>
      </c>
      <c r="AI175" s="579">
        <v>0.0</v>
      </c>
      <c r="AJ175" s="579">
        <v>0.0</v>
      </c>
      <c r="AK175" s="580">
        <v>0.0</v>
      </c>
      <c r="AL175" s="580">
        <v>0.0</v>
      </c>
      <c r="AM175" s="581">
        <v>0.0</v>
      </c>
      <c r="AN175" s="571" t="str">
        <f>IFERROR(
  AVERAGEIFS(
    'New LF Efficacy'!$J:$J,
    'New LF Efficacy'!$D:$D, $A175,
    'New LF Efficacy'!$F:$F,"DEC", 
    'New LF Efficacy'!$W:$W,"&lt;2016",
    'New LF Efficacy'!$AA:$AA,""),
  ""
)</f>
        <v/>
      </c>
      <c r="AO175" s="582">
        <f t="shared" si="12"/>
        <v>0.38</v>
      </c>
      <c r="AP175" s="571" t="str">
        <f>IFERROR(
AVERAGEIFS(
'New LF Efficacy'!$J:$J,
'New LF Efficacy'!$D:$D,$A175,
'New LF Efficacy'!$F:$F,"Albendazole &amp; DEC",
'New LF Efficacy'!$W:$W,"&lt;2016",
'New LF Efficacy'!$AA:$AA,""),
"")</f>
        <v/>
      </c>
      <c r="AQ175" s="582">
        <f t="shared" si="13"/>
        <v>0.662</v>
      </c>
      <c r="AR175" s="571" t="str">
        <f>IFERROR(
AVERAGEIFS(
'New LF Efficacy'!$J:$J,
'New LF Efficacy'!$D:$D,$A175,
'New LF Efficacy'!$F:$F,"Albendazole &amp; Ivermectin", 
'New LF Efficacy'!$W:$W,"&lt;2016",
'New LF Efficacy'!$AA:$AA,""),"")</f>
        <v/>
      </c>
      <c r="AS175" s="582">
        <f t="shared" si="14"/>
        <v>0.37153125</v>
      </c>
      <c r="AT175" s="583" t="str">
        <f>IFERROR(AVERAGEIFS(
'Schist Efficacy'!$O:$O, 
'Schist Efficacy'!$C:$C,$A175, 
'Schist Efficacy'!$D:$D, "Praziquantel",
'Schist Efficacy'!$J:$J,"&lt;2016",
'Schist Efficacy'!$U:$U,""),
"")</f>
        <v/>
      </c>
      <c r="AU175" s="572">
        <f t="shared" si="15"/>
        <v>0.9475</v>
      </c>
      <c r="AV175" s="131" t="str">
        <f>IFERROR(AVERAGEIFS(
'STH Efficacy'!$AX:$AX, 
'STH Efficacy'!$AL:$AL, $A175, 
'STH Efficacy'!$AM:$AM, "Albendazole",
'STH Efficacy'!$AS:$AS,"&lt;2016",
'STH Efficacy'!$BP:$BP,""),
"")</f>
        <v/>
      </c>
      <c r="AW175" s="132">
        <f t="shared" si="16"/>
        <v>0.3571666667</v>
      </c>
      <c r="AX175" s="131" t="str">
        <f>IFERROR(AVERAGEIFS(
'STH Efficacy'!$AX:$AX, 
'STH Efficacy'!$AL:$AL, $A175, 
'STH Efficacy'!$AM:$AM, "Mebendazole",
'STH Efficacy'!$AS:$AS,"&lt;2016",
'STH Efficacy'!$BP:$BP,""),
"")</f>
        <v/>
      </c>
      <c r="AY175" s="132">
        <f t="shared" si="17"/>
        <v>0.4155</v>
      </c>
      <c r="AZ175" s="131" t="str">
        <f>IFERROR(AVERAGEIFS(
'STH Efficacy'!$AX:$AX, 
'STH Efficacy'!$AL:$AL, $A175, 
'STH Efficacy'!$AM:$AM, "Albendazole &amp; Ivermectin",
'STH Efficacy'!$AS:$AS,"&lt;2016",
'STH Efficacy'!$BP:$BP,""),
"")</f>
        <v/>
      </c>
      <c r="BA175" s="303">
        <f t="shared" si="18"/>
        <v>0.651</v>
      </c>
      <c r="BB175" s="584" t="str">
        <f>IFERROR(AVERAGEIFS(
'STH Efficacy'!$N:$N, 
'STH Efficacy'!$B:$B, $A175, 
'STH Efficacy'!$C:$C, "Albendazole",
'STH Efficacy'!$I:$I,"&lt;2016",
'STH Efficacy'!$AH:$AH,""),
"")</f>
        <v/>
      </c>
      <c r="BC175" s="579">
        <f t="shared" si="19"/>
        <v>0.5769166667</v>
      </c>
      <c r="BD175" s="584" t="str">
        <f>IFERROR(AVERAGEIFS(
'STH Efficacy'!$N:$N, 
'STH Efficacy'!$B:$B, $A175, 
'STH Efficacy'!$C:$C, "Mebendazole",
'STH Efficacy'!$I:$I,"&lt;2016",
'STH Efficacy'!$AH:$AH,""),
"")</f>
        <v/>
      </c>
      <c r="BE175" s="579">
        <f t="shared" si="20"/>
        <v>0.3145</v>
      </c>
      <c r="BF175" s="585" t="str">
        <f>IFERROR(AVERAGEIFS(
'STH Efficacy'!$CD:$CD, 
'STH Efficacy'!$BS:$BS, $A175, 
'STH Efficacy'!$BT:$BT, "Albendazole",
'STH Efficacy'!$BZ:$BZ,"&lt;2016",
'STH Efficacy'!$CU:$CU,""),
"")</f>
        <v/>
      </c>
      <c r="BG175" s="580">
        <f t="shared" si="21"/>
        <v>0.96925</v>
      </c>
      <c r="BH175" s="585" t="str">
        <f>IFERROR(AVERAGEIFS(
'STH Efficacy'!$CD:$CD, 
'STH Efficacy'!$BS:$BS, $A175, 
'STH Efficacy'!$BT:$BT, "Mebendazole",
'STH Efficacy'!$BZ:$BZ,"&lt;2016",
'STH Efficacy'!$CU:$CU,""),
"")</f>
        <v/>
      </c>
      <c r="BI175" s="580">
        <f t="shared" si="22"/>
        <v>0.9305</v>
      </c>
      <c r="BJ175" s="585" t="str">
        <f>IFERROR(AVERAGEIFS(
'STH Efficacy'!$CD:$CD, 
'STH Efficacy'!$BS:$BS, $A175, 
'STH Efficacy'!$BT:$BT, "Albendazole &amp; Ivermectin",
'STH Efficacy'!$BZ:$BZ,"&lt;2016",
'STH Efficacy'!$CU:$CU,""),
"")</f>
        <v/>
      </c>
      <c r="BK175" s="580">
        <f t="shared" si="23"/>
        <v>0.848</v>
      </c>
      <c r="BL175" s="575" t="str">
        <f>IFERROR(
  AVERAGEIFS(
    'NEW Onchocerciasis Efficacy'!$AO:$AO,
    'NEW Onchocerciasis Efficacy'!$C:$C,$A175,
    'NEW Onchocerciasis Efficacy'!$D:$D,"Ivermectin",
    'NEW Onchocerciasis Efficacy'!$AR:$AR,"&lt;2016",
    'NEW Onchocerciasis Efficacy'!$BG:$BG,"")
,"")</f>
        <v/>
      </c>
      <c r="BM175" s="586">
        <f t="shared" si="24"/>
        <v>0.7808368939</v>
      </c>
      <c r="BN175" s="587">
        <v>0.0</v>
      </c>
      <c r="BO175" s="588">
        <v>0.0</v>
      </c>
      <c r="BP175" s="589">
        <v>0.0</v>
      </c>
      <c r="BQ175" s="590">
        <f t="shared" si="25"/>
        <v>0</v>
      </c>
      <c r="BR175" s="560" t="str">
        <f t="shared" si="26"/>
        <v>0000</v>
      </c>
      <c r="BS175" s="560" t="str">
        <f t="shared" si="27"/>
        <v>no action required</v>
      </c>
      <c r="BT175" s="361" t="str">
        <f t="shared" si="44"/>
        <v/>
      </c>
      <c r="BU175" s="591" t="str">
        <f t="shared" si="29"/>
        <v/>
      </c>
      <c r="BV175" s="560" t="str">
        <f t="shared" si="30"/>
        <v>none</v>
      </c>
      <c r="BW175" s="150" t="str">
        <f t="shared" si="31"/>
        <v/>
      </c>
      <c r="BX175" s="150" t="str">
        <f t="shared" si="32"/>
        <v/>
      </c>
      <c r="BY175" s="151" t="str">
        <f t="shared" si="33"/>
        <v/>
      </c>
      <c r="BZ175" s="152" t="str">
        <f t="shared" si="34"/>
        <v/>
      </c>
      <c r="CA175" s="152" t="str">
        <f t="shared" si="35"/>
        <v/>
      </c>
      <c r="CB175" s="152" t="str">
        <f t="shared" si="36"/>
        <v/>
      </c>
      <c r="CC175" s="153" t="str">
        <f t="shared" si="37"/>
        <v/>
      </c>
      <c r="CD175" s="153" t="str">
        <f t="shared" si="38"/>
        <v/>
      </c>
      <c r="CE175" s="154" t="str">
        <f t="shared" si="39"/>
        <v/>
      </c>
      <c r="CF175" s="154" t="str">
        <f t="shared" si="40"/>
        <v/>
      </c>
      <c r="CG175" s="154" t="str">
        <f t="shared" si="41"/>
        <v/>
      </c>
      <c r="CH175" s="308" t="str">
        <f t="shared" si="42"/>
        <v/>
      </c>
    </row>
    <row r="176">
      <c r="A176" s="599" t="s">
        <v>265</v>
      </c>
      <c r="B176" s="560" t="s">
        <v>98</v>
      </c>
      <c r="C176" s="641">
        <v>38824.0</v>
      </c>
      <c r="D176" s="562"/>
      <c r="E176" s="610"/>
      <c r="F176" s="611"/>
      <c r="G176" s="611"/>
      <c r="H176" s="611"/>
      <c r="I176" s="566"/>
      <c r="J176" s="566"/>
      <c r="K176" s="566"/>
      <c r="L176" s="612"/>
      <c r="M176" s="612"/>
      <c r="N176" s="612"/>
      <c r="O176" s="308"/>
      <c r="P176" s="150"/>
      <c r="Q176" s="150"/>
      <c r="R176" s="571"/>
      <c r="S176" s="116">
        <f t="shared" si="6"/>
        <v>0.6451333333</v>
      </c>
      <c r="T176" s="151"/>
      <c r="U176" s="572">
        <f t="shared" si="7"/>
        <v>0.0025</v>
      </c>
      <c r="V176" s="598"/>
      <c r="W176" s="574">
        <f t="shared" si="8"/>
        <v>0.56882</v>
      </c>
      <c r="X176" s="598"/>
      <c r="Y176" s="574">
        <f t="shared" si="9"/>
        <v>0.5825818182</v>
      </c>
      <c r="Z176" s="308"/>
      <c r="AA176" s="308"/>
      <c r="AB176" s="575" t="str">
        <f t="shared" si="10"/>
        <v/>
      </c>
      <c r="AC176" s="576">
        <f t="shared" si="11"/>
        <v>0.7574216602</v>
      </c>
      <c r="AD176" s="571"/>
      <c r="AE176" s="583"/>
      <c r="AF176" s="583"/>
      <c r="AG176" s="131"/>
      <c r="AH176" s="131"/>
      <c r="AI176" s="584"/>
      <c r="AJ176" s="584"/>
      <c r="AK176" s="585"/>
      <c r="AL176" s="585"/>
      <c r="AM176" s="575"/>
      <c r="AN176" s="571" t="str">
        <f>IFERROR(
  AVERAGEIFS(
    'New LF Efficacy'!$J:$J,
    'New LF Efficacy'!$D:$D, $A176,
    'New LF Efficacy'!$F:$F,"DEC", 
    'New LF Efficacy'!$W:$W,"&lt;2016",
    'New LF Efficacy'!$AA:$AA,""),
  ""
)</f>
        <v/>
      </c>
      <c r="AO176" s="582">
        <f t="shared" si="12"/>
        <v>0.2589833333</v>
      </c>
      <c r="AP176" s="571" t="str">
        <f>IFERROR(
AVERAGEIFS(
'New LF Efficacy'!$J:$J,
'New LF Efficacy'!$D:$D,$A176,
'New LF Efficacy'!$F:$F,"Albendazole &amp; DEC",
'New LF Efficacy'!$W:$W,"&lt;2016",
'New LF Efficacy'!$AA:$AA,""),
"")</f>
        <v/>
      </c>
      <c r="AQ176" s="582">
        <f t="shared" si="13"/>
        <v>0.3465</v>
      </c>
      <c r="AR176" s="571" t="str">
        <f>IFERROR(
AVERAGEIFS(
'New LF Efficacy'!$J:$J,
'New LF Efficacy'!$D:$D,$A176,
'New LF Efficacy'!$F:$F,"Albendazole &amp; Ivermectin", 
'New LF Efficacy'!$W:$W,"&lt;2016",
'New LF Efficacy'!$AA:$AA,""),"")</f>
        <v/>
      </c>
      <c r="AS176" s="582">
        <f t="shared" si="14"/>
        <v>0.7575</v>
      </c>
      <c r="AT176" s="583" t="str">
        <f>IFERROR(AVERAGEIFS(
'Schist Efficacy'!$O:$O, 
'Schist Efficacy'!$C:$C,$A176, 
'Schist Efficacy'!$D:$D, "Praziquantel",
'Schist Efficacy'!$J:$J,"&lt;2016",
'Schist Efficacy'!$U:$U,""),
"")</f>
        <v/>
      </c>
      <c r="AU176" s="572">
        <f t="shared" si="15"/>
        <v>0.7914761905</v>
      </c>
      <c r="AV176" s="131" t="str">
        <f>IFERROR(AVERAGEIFS(
'STH Efficacy'!$AX:$AX, 
'STH Efficacy'!$AL:$AL, $A176, 
'STH Efficacy'!$AM:$AM, "Albendazole",
'STH Efficacy'!$AS:$AS,"&lt;2016",
'STH Efficacy'!$BP:$BP,""),
"")</f>
        <v/>
      </c>
      <c r="AW176" s="132">
        <f t="shared" si="16"/>
        <v>0.3945</v>
      </c>
      <c r="AX176" s="131" t="str">
        <f>IFERROR(AVERAGEIFS(
'STH Efficacy'!$AX:$AX, 
'STH Efficacy'!$AL:$AL, $A176, 
'STH Efficacy'!$AM:$AM, "Mebendazole",
'STH Efficacy'!$AS:$AS,"&lt;2016",
'STH Efficacy'!$BP:$BP,""),
"")</f>
        <v/>
      </c>
      <c r="AY176" s="132">
        <f t="shared" si="17"/>
        <v>0.6</v>
      </c>
      <c r="AZ176" s="131" t="str">
        <f>IFERROR(AVERAGEIFS(
'STH Efficacy'!$AX:$AX, 
'STH Efficacy'!$AL:$AL, $A176, 
'STH Efficacy'!$AM:$AM, "Albendazole &amp; Ivermectin",
'STH Efficacy'!$AS:$AS,"&lt;2016",
'STH Efficacy'!$BP:$BP,""),
"")</f>
        <v/>
      </c>
      <c r="BA176" s="303">
        <f t="shared" si="18"/>
        <v>0.796</v>
      </c>
      <c r="BB176" s="584" t="str">
        <f>IFERROR(AVERAGEIFS(
'STH Efficacy'!$N:$N, 
'STH Efficacy'!$B:$B, $A176, 
'STH Efficacy'!$C:$C, "Albendazole",
'STH Efficacy'!$I:$I,"&lt;2016",
'STH Efficacy'!$AH:$AH,""),
"")</f>
        <v/>
      </c>
      <c r="BC176" s="579">
        <f t="shared" si="19"/>
        <v>0.869</v>
      </c>
      <c r="BD176" s="584" t="str">
        <f>IFERROR(AVERAGEIFS(
'STH Efficacy'!$N:$N, 
'STH Efficacy'!$B:$B, $A176, 
'STH Efficacy'!$C:$C, "Mebendazole",
'STH Efficacy'!$I:$I,"&lt;2016",
'STH Efficacy'!$AH:$AH,""),
"")</f>
        <v/>
      </c>
      <c r="BE176" s="579">
        <f t="shared" si="20"/>
        <v>0.172</v>
      </c>
      <c r="BF176" s="585" t="str">
        <f>IFERROR(AVERAGEIFS(
'STH Efficacy'!$CD:$CD, 
'STH Efficacy'!$BS:$BS, $A176, 
'STH Efficacy'!$BT:$BT, "Albendazole",
'STH Efficacy'!$BZ:$BZ,"&lt;2016",
'STH Efficacy'!$CU:$CU,""),
"")</f>
        <v/>
      </c>
      <c r="BG176" s="580">
        <f t="shared" si="21"/>
        <v>0.9862</v>
      </c>
      <c r="BH176" s="585" t="str">
        <f>IFERROR(AVERAGEIFS(
'STH Efficacy'!$CD:$CD, 
'STH Efficacy'!$BS:$BS, $A176, 
'STH Efficacy'!$BT:$BT, "Mebendazole",
'STH Efficacy'!$BZ:$BZ,"&lt;2016",
'STH Efficacy'!$CU:$CU,""),
"")</f>
        <v/>
      </c>
      <c r="BI176" s="580">
        <f t="shared" si="22"/>
        <v>0.769</v>
      </c>
      <c r="BJ176" s="585" t="str">
        <f>IFERROR(AVERAGEIFS(
'STH Efficacy'!$CD:$CD, 
'STH Efficacy'!$BS:$BS, $A176, 
'STH Efficacy'!$BT:$BT, "Albendazole &amp; Ivermectin",
'STH Efficacy'!$BZ:$BZ,"&lt;2016",
'STH Efficacy'!$CU:$CU,""),
"")</f>
        <v/>
      </c>
      <c r="BK176" s="580">
        <f t="shared" si="23"/>
        <v>1</v>
      </c>
      <c r="BL176" s="575" t="str">
        <f>IFERROR(
  AVERAGEIFS(
    'NEW Onchocerciasis Efficacy'!$AO:$AO,
    'NEW Onchocerciasis Efficacy'!$C:$C,$A176,
    'NEW Onchocerciasis Efficacy'!$D:$D,"Ivermectin",
    'NEW Onchocerciasis Efficacy'!$AR:$AR,"&lt;2016",
    'NEW Onchocerciasis Efficacy'!$BG:$BG,"")
,"")</f>
        <v/>
      </c>
      <c r="BM176" s="586">
        <f t="shared" si="24"/>
        <v>0.3734</v>
      </c>
      <c r="BN176" s="587">
        <v>0.0</v>
      </c>
      <c r="BO176" s="588">
        <v>0.0</v>
      </c>
      <c r="BP176" s="589">
        <v>0.0</v>
      </c>
      <c r="BQ176" s="590">
        <f t="shared" si="25"/>
        <v>0</v>
      </c>
      <c r="BR176" s="560" t="str">
        <f t="shared" si="26"/>
        <v>0000</v>
      </c>
      <c r="BS176" s="560" t="str">
        <f t="shared" si="27"/>
        <v>no action required</v>
      </c>
      <c r="BT176" s="361" t="str">
        <f t="shared" si="44"/>
        <v/>
      </c>
      <c r="BU176" s="591" t="str">
        <f t="shared" si="29"/>
        <v/>
      </c>
      <c r="BV176" s="560" t="str">
        <f t="shared" si="30"/>
        <v>none</v>
      </c>
      <c r="BW176" s="150" t="str">
        <f t="shared" si="31"/>
        <v/>
      </c>
      <c r="BX176" s="150" t="str">
        <f t="shared" si="32"/>
        <v/>
      </c>
      <c r="BY176" s="151" t="str">
        <f t="shared" si="33"/>
        <v/>
      </c>
      <c r="BZ176" s="152" t="str">
        <f t="shared" si="34"/>
        <v/>
      </c>
      <c r="CA176" s="152" t="str">
        <f t="shared" si="35"/>
        <v/>
      </c>
      <c r="CB176" s="152" t="str">
        <f t="shared" si="36"/>
        <v/>
      </c>
      <c r="CC176" s="153" t="str">
        <f t="shared" si="37"/>
        <v/>
      </c>
      <c r="CD176" s="153" t="str">
        <f t="shared" si="38"/>
        <v/>
      </c>
      <c r="CE176" s="154" t="str">
        <f t="shared" si="39"/>
        <v/>
      </c>
      <c r="CF176" s="154" t="str">
        <f t="shared" si="40"/>
        <v/>
      </c>
      <c r="CG176" s="154" t="str">
        <f t="shared" si="41"/>
        <v/>
      </c>
      <c r="CH176" s="308" t="str">
        <f t="shared" si="42"/>
        <v/>
      </c>
    </row>
    <row r="177">
      <c r="A177" s="599" t="s">
        <v>266</v>
      </c>
      <c r="B177" s="560" t="s">
        <v>90</v>
      </c>
      <c r="C177" s="635">
        <v>5423801.0</v>
      </c>
      <c r="D177" s="562">
        <v>0.0</v>
      </c>
      <c r="E177" s="563">
        <v>0.0</v>
      </c>
      <c r="F177" s="564">
        <v>0.0</v>
      </c>
      <c r="G177" s="564">
        <v>0.0</v>
      </c>
      <c r="H177" s="564">
        <v>0.0</v>
      </c>
      <c r="I177" s="565">
        <v>0.0</v>
      </c>
      <c r="J177" s="566">
        <v>0.0</v>
      </c>
      <c r="K177" s="566">
        <v>0.0</v>
      </c>
      <c r="L177" s="567">
        <v>0.101828343</v>
      </c>
      <c r="M177" s="568">
        <v>0.0542852917143726</v>
      </c>
      <c r="N177" s="568">
        <v>0.353609499682953</v>
      </c>
      <c r="O177" s="569">
        <v>0.0</v>
      </c>
      <c r="P177" s="570"/>
      <c r="Q177" s="150"/>
      <c r="R177" s="571"/>
      <c r="S177" s="116">
        <f t="shared" si="6"/>
        <v>0.6648642857</v>
      </c>
      <c r="T177" s="151"/>
      <c r="U177" s="572">
        <f t="shared" si="7"/>
        <v>0.53016</v>
      </c>
      <c r="V177" s="598"/>
      <c r="W177" s="574" t="b">
        <f t="shared" si="8"/>
        <v>0</v>
      </c>
      <c r="X177" s="598"/>
      <c r="Y177" s="574">
        <f t="shared" si="9"/>
        <v>0.631675</v>
      </c>
      <c r="Z177" s="308"/>
      <c r="AA177" s="308"/>
      <c r="AB177" s="575" t="str">
        <f t="shared" si="10"/>
        <v/>
      </c>
      <c r="AC177" s="576">
        <f t="shared" si="11"/>
        <v>0.7192241206</v>
      </c>
      <c r="AD177" s="577">
        <v>0.0</v>
      </c>
      <c r="AE177" s="572">
        <v>0.0</v>
      </c>
      <c r="AF177" s="578">
        <v>0.0</v>
      </c>
      <c r="AG177" s="133">
        <v>0.0</v>
      </c>
      <c r="AH177" s="133">
        <v>0.0</v>
      </c>
      <c r="AI177" s="623">
        <v>0.0</v>
      </c>
      <c r="AJ177" s="623">
        <v>0.0</v>
      </c>
      <c r="AK177" s="624">
        <v>0.0</v>
      </c>
      <c r="AL177" s="624">
        <v>0.0</v>
      </c>
      <c r="AM177" s="581">
        <v>0.0</v>
      </c>
      <c r="AN177" s="571" t="str">
        <f>IFERROR(
  AVERAGEIFS(
    'New LF Efficacy'!$J:$J,
    'New LF Efficacy'!$D:$D, $A177,
    'New LF Efficacy'!$F:$F,"DEC", 
    'New LF Efficacy'!$W:$W,"&lt;2016",
    'New LF Efficacy'!$AA:$AA,""),
  ""
)</f>
        <v/>
      </c>
      <c r="AO177" s="582">
        <f t="shared" si="12"/>
        <v>0.3573520833</v>
      </c>
      <c r="AP177" s="571" t="str">
        <f>IFERROR(
AVERAGEIFS(
'New LF Efficacy'!$J:$J,
'New LF Efficacy'!$D:$D,$A177,
'New LF Efficacy'!$F:$F,"Albendazole &amp; DEC",
'New LF Efficacy'!$W:$W,"&lt;2016",
'New LF Efficacy'!$AA:$AA,""),
"")</f>
        <v/>
      </c>
      <c r="AQ177" s="582">
        <f t="shared" si="13"/>
        <v>0.5143541667</v>
      </c>
      <c r="AR177" s="571" t="str">
        <f>IFERROR(
AVERAGEIFS(
'New LF Efficacy'!$J:$J,
'New LF Efficacy'!$D:$D,$A177,
'New LF Efficacy'!$F:$F,"Albendazole &amp; Ivermectin", 
'New LF Efficacy'!$W:$W,"&lt;2016",
'New LF Efficacy'!$AA:$AA,""),"")</f>
        <v/>
      </c>
      <c r="AS177" s="582">
        <f t="shared" si="14"/>
        <v>0.37153125</v>
      </c>
      <c r="AT177" s="583">
        <f>IFERROR(AVERAGEIFS(
'Schist Efficacy'!$O:$O, 
'Schist Efficacy'!$C:$C,$A177, 
'Schist Efficacy'!$D:$D, "Praziquantel",
'Schist Efficacy'!$J:$J,"&lt;2016",
'Schist Efficacy'!$U:$U,""),
"")</f>
        <v>0.655</v>
      </c>
      <c r="AU177" s="572">
        <f t="shared" si="15"/>
        <v>0.655</v>
      </c>
      <c r="AV177" s="131" t="str">
        <f>IFERROR(AVERAGEIFS(
'STH Efficacy'!$AX:$AX, 
'STH Efficacy'!$AL:$AL, $A177, 
'STH Efficacy'!$AM:$AM, "Albendazole",
'STH Efficacy'!$AS:$AS,"&lt;2016",
'STH Efficacy'!$BP:$BP,""),
"")</f>
        <v/>
      </c>
      <c r="AW177" s="132">
        <f t="shared" si="16"/>
        <v>0.4143846154</v>
      </c>
      <c r="AX177" s="131" t="str">
        <f>IFERROR(AVERAGEIFS(
'STH Efficacy'!$AX:$AX, 
'STH Efficacy'!$AL:$AL, $A177, 
'STH Efficacy'!$AM:$AM, "Mebendazole",
'STH Efficacy'!$AS:$AS,"&lt;2016",
'STH Efficacy'!$BP:$BP,""),
"")</f>
        <v/>
      </c>
      <c r="AY177" s="132">
        <f t="shared" si="17"/>
        <v>0.4691770833</v>
      </c>
      <c r="AZ177" s="131" t="str">
        <f>IFERROR(AVERAGEIFS(
'STH Efficacy'!$AX:$AX, 
'STH Efficacy'!$AL:$AL, $A177, 
'STH Efficacy'!$AM:$AM, "Albendazole &amp; Ivermectin",
'STH Efficacy'!$AS:$AS,"&lt;2016",
'STH Efficacy'!$BP:$BP,""),
"")</f>
        <v/>
      </c>
      <c r="BA177" s="303">
        <f t="shared" si="18"/>
        <v>0.597625</v>
      </c>
      <c r="BB177" s="584" t="str">
        <f>IFERROR(AVERAGEIFS(
'STH Efficacy'!$N:$N, 
'STH Efficacy'!$B:$B, $A177, 
'STH Efficacy'!$C:$C, "Albendazole",
'STH Efficacy'!$I:$I,"&lt;2016",
'STH Efficacy'!$AH:$AH,""),
"")</f>
        <v/>
      </c>
      <c r="BC177" s="579">
        <f t="shared" si="19"/>
        <v>0.7613712121</v>
      </c>
      <c r="BD177" s="584" t="str">
        <f>IFERROR(AVERAGEIFS(
'STH Efficacy'!$N:$N, 
'STH Efficacy'!$B:$B, $A177, 
'STH Efficacy'!$C:$C, "Mebendazole",
'STH Efficacy'!$I:$I,"&lt;2016",
'STH Efficacy'!$AH:$AH,""),
"")</f>
        <v/>
      </c>
      <c r="BE177" s="579">
        <f t="shared" si="20"/>
        <v>0.4362466667</v>
      </c>
      <c r="BF177" s="585" t="str">
        <f>IFERROR(AVERAGEIFS(
'STH Efficacy'!$CD:$CD, 
'STH Efficacy'!$BS:$BS, $A177, 
'STH Efficacy'!$BT:$BT, "Albendazole",
'STH Efficacy'!$BZ:$BZ,"&lt;2016",
'STH Efficacy'!$CU:$CU,""),
"")</f>
        <v/>
      </c>
      <c r="BG177" s="580">
        <f t="shared" si="21"/>
        <v>0.9216027778</v>
      </c>
      <c r="BH177" s="585" t="str">
        <f>IFERROR(AVERAGEIFS(
'STH Efficacy'!$CD:$CD, 
'STH Efficacy'!$BS:$BS, $A177, 
'STH Efficacy'!$BT:$BT, "Mebendazole",
'STH Efficacy'!$BZ:$BZ,"&lt;2016",
'STH Efficacy'!$CU:$CU,""),
"")</f>
        <v/>
      </c>
      <c r="BI177" s="580">
        <f t="shared" si="22"/>
        <v>0.8866041667</v>
      </c>
      <c r="BJ177" s="585" t="str">
        <f>IFERROR(AVERAGEIFS(
'STH Efficacy'!$CD:$CD, 
'STH Efficacy'!$BS:$BS, $A177, 
'STH Efficacy'!$BT:$BT, "Albendazole &amp; Ivermectin",
'STH Efficacy'!$BZ:$BZ,"&lt;2016",
'STH Efficacy'!$CU:$CU,""),
"")</f>
        <v/>
      </c>
      <c r="BK177" s="580">
        <f t="shared" si="23"/>
        <v>0.848</v>
      </c>
      <c r="BL177" s="575" t="str">
        <f>IFERROR(
  AVERAGEIFS(
    'NEW Onchocerciasis Efficacy'!$AO:$AO,
    'NEW Onchocerciasis Efficacy'!$C:$C,$A177,
    'NEW Onchocerciasis Efficacy'!$D:$D,"Ivermectin",
    'NEW Onchocerciasis Efficacy'!$AR:$AR,"&lt;2016",
    'NEW Onchocerciasis Efficacy'!$BG:$BG,"")
,"")</f>
        <v/>
      </c>
      <c r="BM177" s="586">
        <f t="shared" si="24"/>
        <v>0.7808368939</v>
      </c>
      <c r="BN177" s="587">
        <v>0.0</v>
      </c>
      <c r="BO177" s="588">
        <v>0.0</v>
      </c>
      <c r="BP177" s="589">
        <v>0.0</v>
      </c>
      <c r="BQ177" s="590">
        <f t="shared" si="25"/>
        <v>0</v>
      </c>
      <c r="BR177" s="560" t="str">
        <f t="shared" si="26"/>
        <v>0000</v>
      </c>
      <c r="BS177" s="560" t="str">
        <f t="shared" si="27"/>
        <v>no action required</v>
      </c>
      <c r="BT177" s="361" t="str">
        <f t="shared" si="44"/>
        <v/>
      </c>
      <c r="BU177" s="591" t="str">
        <f t="shared" si="29"/>
        <v/>
      </c>
      <c r="BV177" s="560" t="str">
        <f t="shared" si="30"/>
        <v>none</v>
      </c>
      <c r="BW177" s="150" t="str">
        <f t="shared" si="31"/>
        <v/>
      </c>
      <c r="BX177" s="150" t="str">
        <f t="shared" si="32"/>
        <v/>
      </c>
      <c r="BY177" s="151" t="str">
        <f t="shared" si="33"/>
        <v/>
      </c>
      <c r="BZ177" s="152" t="str">
        <f t="shared" si="34"/>
        <v/>
      </c>
      <c r="CA177" s="152" t="str">
        <f t="shared" si="35"/>
        <v/>
      </c>
      <c r="CB177" s="152" t="str">
        <f t="shared" si="36"/>
        <v/>
      </c>
      <c r="CC177" s="153" t="str">
        <f t="shared" si="37"/>
        <v/>
      </c>
      <c r="CD177" s="153" t="str">
        <f t="shared" si="38"/>
        <v/>
      </c>
      <c r="CE177" s="154" t="str">
        <f t="shared" si="39"/>
        <v/>
      </c>
      <c r="CF177" s="154" t="str">
        <f t="shared" si="40"/>
        <v/>
      </c>
      <c r="CG177" s="154" t="str">
        <f t="shared" si="41"/>
        <v/>
      </c>
      <c r="CH177" s="308" t="str">
        <f t="shared" si="42"/>
        <v/>
      </c>
    </row>
    <row r="178">
      <c r="A178" s="599" t="s">
        <v>267</v>
      </c>
      <c r="B178" s="560" t="s">
        <v>90</v>
      </c>
      <c r="C178" s="635">
        <v>2063531.0</v>
      </c>
      <c r="D178" s="562">
        <v>0.0</v>
      </c>
      <c r="E178" s="563">
        <v>0.0</v>
      </c>
      <c r="F178" s="564">
        <v>0.0</v>
      </c>
      <c r="G178" s="564">
        <v>0.0</v>
      </c>
      <c r="H178" s="564">
        <v>0.0</v>
      </c>
      <c r="I178" s="565">
        <v>0.0</v>
      </c>
      <c r="J178" s="566">
        <v>0.0</v>
      </c>
      <c r="K178" s="566">
        <v>0.0</v>
      </c>
      <c r="L178" s="567">
        <v>0.0</v>
      </c>
      <c r="M178" s="568">
        <v>0.0</v>
      </c>
      <c r="N178" s="568">
        <v>0.0</v>
      </c>
      <c r="O178" s="569">
        <v>0.0</v>
      </c>
      <c r="P178" s="570"/>
      <c r="Q178" s="150"/>
      <c r="R178" s="571"/>
      <c r="S178" s="116">
        <f t="shared" si="6"/>
        <v>0.6648642857</v>
      </c>
      <c r="T178" s="151"/>
      <c r="U178" s="572">
        <f t="shared" si="7"/>
        <v>0.53016</v>
      </c>
      <c r="V178" s="598"/>
      <c r="W178" s="574" t="b">
        <f t="shared" si="8"/>
        <v>0</v>
      </c>
      <c r="X178" s="598"/>
      <c r="Y178" s="574">
        <f t="shared" si="9"/>
        <v>0.631675</v>
      </c>
      <c r="Z178" s="308"/>
      <c r="AA178" s="308"/>
      <c r="AB178" s="575" t="str">
        <f t="shared" si="10"/>
        <v/>
      </c>
      <c r="AC178" s="576">
        <f t="shared" si="11"/>
        <v>0.7192241206</v>
      </c>
      <c r="AD178" s="577">
        <v>0.0</v>
      </c>
      <c r="AE178" s="572">
        <v>0.0</v>
      </c>
      <c r="AF178" s="578">
        <v>0.0</v>
      </c>
      <c r="AG178" s="132">
        <v>0.0</v>
      </c>
      <c r="AH178" s="132">
        <v>0.0</v>
      </c>
      <c r="AI178" s="579">
        <v>0.0</v>
      </c>
      <c r="AJ178" s="579">
        <v>0.0</v>
      </c>
      <c r="AK178" s="580">
        <v>0.0</v>
      </c>
      <c r="AL178" s="580">
        <v>0.0</v>
      </c>
      <c r="AM178" s="581">
        <v>0.0</v>
      </c>
      <c r="AN178" s="571" t="str">
        <f>IFERROR(
  AVERAGEIFS(
    'New LF Efficacy'!$J:$J,
    'New LF Efficacy'!$D:$D, $A178,
    'New LF Efficacy'!$F:$F,"DEC", 
    'New LF Efficacy'!$W:$W,"&lt;2016",
    'New LF Efficacy'!$AA:$AA,""),
  ""
)</f>
        <v/>
      </c>
      <c r="AO178" s="582">
        <f t="shared" si="12"/>
        <v>0.3573520833</v>
      </c>
      <c r="AP178" s="571" t="str">
        <f>IFERROR(
AVERAGEIFS(
'New LF Efficacy'!$J:$J,
'New LF Efficacy'!$D:$D,$A178,
'New LF Efficacy'!$F:$F,"Albendazole &amp; DEC",
'New LF Efficacy'!$W:$W,"&lt;2016",
'New LF Efficacy'!$AA:$AA,""),
"")</f>
        <v/>
      </c>
      <c r="AQ178" s="582">
        <f t="shared" si="13"/>
        <v>0.5143541667</v>
      </c>
      <c r="AR178" s="571" t="str">
        <f>IFERROR(
AVERAGEIFS(
'New LF Efficacy'!$J:$J,
'New LF Efficacy'!$D:$D,$A178,
'New LF Efficacy'!$F:$F,"Albendazole &amp; Ivermectin", 
'New LF Efficacy'!$W:$W,"&lt;2016",
'New LF Efficacy'!$AA:$AA,""),"")</f>
        <v/>
      </c>
      <c r="AS178" s="582">
        <f t="shared" si="14"/>
        <v>0.37153125</v>
      </c>
      <c r="AT178" s="583" t="str">
        <f>IFERROR(AVERAGEIFS(
'Schist Efficacy'!$O:$O, 
'Schist Efficacy'!$C:$C,$A178, 
'Schist Efficacy'!$D:$D, "Praziquantel",
'Schist Efficacy'!$J:$J,"&lt;2016",
'Schist Efficacy'!$U:$U,""),
"")</f>
        <v/>
      </c>
      <c r="AU178" s="572">
        <f t="shared" si="15"/>
        <v>0.655</v>
      </c>
      <c r="AV178" s="131" t="str">
        <f>IFERROR(AVERAGEIFS(
'STH Efficacy'!$AX:$AX, 
'STH Efficacy'!$AL:$AL, $A178, 
'STH Efficacy'!$AM:$AM, "Albendazole",
'STH Efficacy'!$AS:$AS,"&lt;2016",
'STH Efficacy'!$BP:$BP,""),
"")</f>
        <v/>
      </c>
      <c r="AW178" s="132">
        <f t="shared" si="16"/>
        <v>0.4143846154</v>
      </c>
      <c r="AX178" s="131" t="str">
        <f>IFERROR(AVERAGEIFS(
'STH Efficacy'!$AX:$AX, 
'STH Efficacy'!$AL:$AL, $A178, 
'STH Efficacy'!$AM:$AM, "Mebendazole",
'STH Efficacy'!$AS:$AS,"&lt;2016",
'STH Efficacy'!$BP:$BP,""),
"")</f>
        <v/>
      </c>
      <c r="AY178" s="132">
        <f t="shared" si="17"/>
        <v>0.4691770833</v>
      </c>
      <c r="AZ178" s="131" t="str">
        <f>IFERROR(AVERAGEIFS(
'STH Efficacy'!$AX:$AX, 
'STH Efficacy'!$AL:$AL, $A178, 
'STH Efficacy'!$AM:$AM, "Albendazole &amp; Ivermectin",
'STH Efficacy'!$AS:$AS,"&lt;2016",
'STH Efficacy'!$BP:$BP,""),
"")</f>
        <v/>
      </c>
      <c r="BA178" s="303">
        <f t="shared" si="18"/>
        <v>0.597625</v>
      </c>
      <c r="BB178" s="584" t="str">
        <f>IFERROR(AVERAGEIFS(
'STH Efficacy'!$N:$N, 
'STH Efficacy'!$B:$B, $A178, 
'STH Efficacy'!$C:$C, "Albendazole",
'STH Efficacy'!$I:$I,"&lt;2016",
'STH Efficacy'!$AH:$AH,""),
"")</f>
        <v/>
      </c>
      <c r="BC178" s="579">
        <f t="shared" si="19"/>
        <v>0.7613712121</v>
      </c>
      <c r="BD178" s="584" t="str">
        <f>IFERROR(AVERAGEIFS(
'STH Efficacy'!$N:$N, 
'STH Efficacy'!$B:$B, $A178, 
'STH Efficacy'!$C:$C, "Mebendazole",
'STH Efficacy'!$I:$I,"&lt;2016",
'STH Efficacy'!$AH:$AH,""),
"")</f>
        <v/>
      </c>
      <c r="BE178" s="579">
        <f t="shared" si="20"/>
        <v>0.4362466667</v>
      </c>
      <c r="BF178" s="585" t="str">
        <f>IFERROR(AVERAGEIFS(
'STH Efficacy'!$CD:$CD, 
'STH Efficacy'!$BS:$BS, $A178, 
'STH Efficacy'!$BT:$BT, "Albendazole",
'STH Efficacy'!$BZ:$BZ,"&lt;2016",
'STH Efficacy'!$CU:$CU,""),
"")</f>
        <v/>
      </c>
      <c r="BG178" s="580">
        <f t="shared" si="21"/>
        <v>0.9216027778</v>
      </c>
      <c r="BH178" s="585" t="str">
        <f>IFERROR(AVERAGEIFS(
'STH Efficacy'!$CD:$CD, 
'STH Efficacy'!$BS:$BS, $A178, 
'STH Efficacy'!$BT:$BT, "Mebendazole",
'STH Efficacy'!$BZ:$BZ,"&lt;2016",
'STH Efficacy'!$CU:$CU,""),
"")</f>
        <v/>
      </c>
      <c r="BI178" s="580">
        <f t="shared" si="22"/>
        <v>0.8866041667</v>
      </c>
      <c r="BJ178" s="585" t="str">
        <f>IFERROR(AVERAGEIFS(
'STH Efficacy'!$CD:$CD, 
'STH Efficacy'!$BS:$BS, $A178, 
'STH Efficacy'!$BT:$BT, "Albendazole &amp; Ivermectin",
'STH Efficacy'!$BZ:$BZ,"&lt;2016",
'STH Efficacy'!$CU:$CU,""),
"")</f>
        <v/>
      </c>
      <c r="BK178" s="580">
        <f t="shared" si="23"/>
        <v>0.848</v>
      </c>
      <c r="BL178" s="575" t="str">
        <f>IFERROR(
  AVERAGEIFS(
    'NEW Onchocerciasis Efficacy'!$AO:$AO,
    'NEW Onchocerciasis Efficacy'!$C:$C,$A178,
    'NEW Onchocerciasis Efficacy'!$D:$D,"Ivermectin",
    'NEW Onchocerciasis Efficacy'!$AR:$AR,"&lt;2016",
    'NEW Onchocerciasis Efficacy'!$BG:$BG,"")
,"")</f>
        <v/>
      </c>
      <c r="BM178" s="586">
        <f t="shared" si="24"/>
        <v>0.7808368939</v>
      </c>
      <c r="BN178" s="587">
        <v>0.0</v>
      </c>
      <c r="BO178" s="588">
        <v>0.0</v>
      </c>
      <c r="BP178" s="589">
        <v>0.0</v>
      </c>
      <c r="BQ178" s="590">
        <f t="shared" si="25"/>
        <v>0</v>
      </c>
      <c r="BR178" s="560" t="str">
        <f t="shared" si="26"/>
        <v>0000</v>
      </c>
      <c r="BS178" s="560" t="str">
        <f t="shared" si="27"/>
        <v>no action required</v>
      </c>
      <c r="BT178" s="361" t="str">
        <f t="shared" si="44"/>
        <v/>
      </c>
      <c r="BU178" s="591" t="str">
        <f t="shared" si="29"/>
        <v/>
      </c>
      <c r="BV178" s="560" t="str">
        <f t="shared" si="30"/>
        <v>none</v>
      </c>
      <c r="BW178" s="150" t="str">
        <f t="shared" si="31"/>
        <v/>
      </c>
      <c r="BX178" s="150" t="str">
        <f t="shared" si="32"/>
        <v/>
      </c>
      <c r="BY178" s="151" t="str">
        <f t="shared" si="33"/>
        <v/>
      </c>
      <c r="BZ178" s="152" t="str">
        <f t="shared" si="34"/>
        <v/>
      </c>
      <c r="CA178" s="152" t="str">
        <f t="shared" si="35"/>
        <v/>
      </c>
      <c r="CB178" s="152" t="str">
        <f t="shared" si="36"/>
        <v/>
      </c>
      <c r="CC178" s="153" t="str">
        <f t="shared" si="37"/>
        <v/>
      </c>
      <c r="CD178" s="153" t="str">
        <f t="shared" si="38"/>
        <v/>
      </c>
      <c r="CE178" s="154" t="str">
        <f t="shared" si="39"/>
        <v/>
      </c>
      <c r="CF178" s="154" t="str">
        <f t="shared" si="40"/>
        <v/>
      </c>
      <c r="CG178" s="154" t="str">
        <f t="shared" si="41"/>
        <v/>
      </c>
      <c r="CH178" s="308" t="str">
        <f t="shared" si="42"/>
        <v/>
      </c>
    </row>
    <row r="179">
      <c r="A179" s="559" t="s">
        <v>268</v>
      </c>
      <c r="B179" s="560" t="s">
        <v>94</v>
      </c>
      <c r="C179" s="635">
        <v>587482.0</v>
      </c>
      <c r="D179" s="562">
        <v>0.0</v>
      </c>
      <c r="E179" s="563">
        <v>0.0</v>
      </c>
      <c r="F179" s="564">
        <v>2.666137234</v>
      </c>
      <c r="G179" s="564">
        <v>15.1765882</v>
      </c>
      <c r="H179" s="564">
        <v>45.9213405</v>
      </c>
      <c r="I179" s="565">
        <v>25.05807535</v>
      </c>
      <c r="J179" s="566">
        <v>86.1215593038029</v>
      </c>
      <c r="K179" s="566">
        <v>359.48713292307</v>
      </c>
      <c r="L179" s="567">
        <v>3.381266459</v>
      </c>
      <c r="M179" s="568">
        <v>1.50821250183072</v>
      </c>
      <c r="N179" s="568">
        <v>5.82555464310327</v>
      </c>
      <c r="O179" s="569">
        <v>0.0</v>
      </c>
      <c r="P179" s="570"/>
      <c r="Q179" s="150"/>
      <c r="R179" s="571"/>
      <c r="S179" s="116">
        <f t="shared" si="6"/>
        <v>0.5322777778</v>
      </c>
      <c r="T179" s="151"/>
      <c r="U179" s="572">
        <f t="shared" si="7"/>
        <v>0.7834666667</v>
      </c>
      <c r="V179" s="573">
        <v>0.0155</v>
      </c>
      <c r="W179" s="574">
        <f t="shared" si="8"/>
        <v>0.0155</v>
      </c>
      <c r="X179" s="573">
        <v>0.0897</v>
      </c>
      <c r="Y179" s="574">
        <f t="shared" si="9"/>
        <v>0.0897</v>
      </c>
      <c r="Z179" s="308"/>
      <c r="AA179" s="308"/>
      <c r="AB179" s="575" t="str">
        <f t="shared" si="10"/>
        <v/>
      </c>
      <c r="AC179" s="576">
        <f t="shared" si="11"/>
        <v>0.7192241206</v>
      </c>
      <c r="AD179" s="577">
        <v>0.0</v>
      </c>
      <c r="AE179" s="572">
        <v>0.0</v>
      </c>
      <c r="AF179" s="578">
        <v>0.0</v>
      </c>
      <c r="AG179" s="132">
        <v>0.07816656565</v>
      </c>
      <c r="AH179" s="132">
        <v>0.256532057</v>
      </c>
      <c r="AI179" s="579">
        <v>0.09538378863</v>
      </c>
      <c r="AJ179" s="579">
        <v>0.1204155834</v>
      </c>
      <c r="AK179" s="580">
        <v>0.01341802434</v>
      </c>
      <c r="AL179" s="580">
        <v>0.01611737832</v>
      </c>
      <c r="AM179" s="581">
        <v>0.0</v>
      </c>
      <c r="AN179" s="571" t="str">
        <f>IFERROR(
  AVERAGEIFS(
    'New LF Efficacy'!$J:$J,
    'New LF Efficacy'!$D:$D, $A179,
    'New LF Efficacy'!$F:$F,"DEC", 
    'New LF Efficacy'!$W:$W,"&lt;2016",
    'New LF Efficacy'!$AA:$AA,""),
  ""
)</f>
        <v/>
      </c>
      <c r="AO179" s="582">
        <f t="shared" si="12"/>
        <v>0.38</v>
      </c>
      <c r="AP179" s="571" t="str">
        <f>IFERROR(
AVERAGEIFS(
'New LF Efficacy'!$J:$J,
'New LF Efficacy'!$D:$D,$A179,
'New LF Efficacy'!$F:$F,"Albendazole &amp; DEC",
'New LF Efficacy'!$W:$W,"&lt;2016",
'New LF Efficacy'!$AA:$AA,""),
"")</f>
        <v/>
      </c>
      <c r="AQ179" s="582">
        <f t="shared" si="13"/>
        <v>0.662</v>
      </c>
      <c r="AR179" s="571" t="str">
        <f>IFERROR(
AVERAGEIFS(
'New LF Efficacy'!$J:$J,
'New LF Efficacy'!$D:$D,$A179,
'New LF Efficacy'!$F:$F,"Albendazole &amp; Ivermectin", 
'New LF Efficacy'!$W:$W,"&lt;2016",
'New LF Efficacy'!$AA:$AA,""),"")</f>
        <v/>
      </c>
      <c r="AS179" s="582">
        <f t="shared" si="14"/>
        <v>0.37153125</v>
      </c>
      <c r="AT179" s="583" t="str">
        <f>IFERROR(AVERAGEIFS(
'Schist Efficacy'!$O:$O, 
'Schist Efficacy'!$C:$C,$A179, 
'Schist Efficacy'!$D:$D, "Praziquantel",
'Schist Efficacy'!$J:$J,"&lt;2016",
'Schist Efficacy'!$U:$U,""),
"")</f>
        <v/>
      </c>
      <c r="AU179" s="572">
        <f t="shared" si="15"/>
        <v>0.9475</v>
      </c>
      <c r="AV179" s="131" t="str">
        <f>IFERROR(AVERAGEIFS(
'STH Efficacy'!$AX:$AX, 
'STH Efficacy'!$AL:$AL, $A179, 
'STH Efficacy'!$AM:$AM, "Albendazole",
'STH Efficacy'!$AS:$AS,"&lt;2016",
'STH Efficacy'!$BP:$BP,""),
"")</f>
        <v/>
      </c>
      <c r="AW179" s="132">
        <f t="shared" si="16"/>
        <v>0.3571666667</v>
      </c>
      <c r="AX179" s="131" t="str">
        <f>IFERROR(AVERAGEIFS(
'STH Efficacy'!$AX:$AX, 
'STH Efficacy'!$AL:$AL, $A179, 
'STH Efficacy'!$AM:$AM, "Mebendazole",
'STH Efficacy'!$AS:$AS,"&lt;2016",
'STH Efficacy'!$BP:$BP,""),
"")</f>
        <v/>
      </c>
      <c r="AY179" s="132">
        <f t="shared" si="17"/>
        <v>0.4155</v>
      </c>
      <c r="AZ179" s="131" t="str">
        <f>IFERROR(AVERAGEIFS(
'STH Efficacy'!$AX:$AX, 
'STH Efficacy'!$AL:$AL, $A179, 
'STH Efficacy'!$AM:$AM, "Albendazole &amp; Ivermectin",
'STH Efficacy'!$AS:$AS,"&lt;2016",
'STH Efficacy'!$BP:$BP,""),
"")</f>
        <v/>
      </c>
      <c r="BA179" s="303">
        <f t="shared" si="18"/>
        <v>0.651</v>
      </c>
      <c r="BB179" s="584" t="str">
        <f>IFERROR(AVERAGEIFS(
'STH Efficacy'!$N:$N, 
'STH Efficacy'!$B:$B, $A179, 
'STH Efficacy'!$C:$C, "Albendazole",
'STH Efficacy'!$I:$I,"&lt;2016",
'STH Efficacy'!$AH:$AH,""),
"")</f>
        <v/>
      </c>
      <c r="BC179" s="579">
        <f t="shared" si="19"/>
        <v>0.5769166667</v>
      </c>
      <c r="BD179" s="584" t="str">
        <f>IFERROR(AVERAGEIFS(
'STH Efficacy'!$N:$N, 
'STH Efficacy'!$B:$B, $A179, 
'STH Efficacy'!$C:$C, "Mebendazole",
'STH Efficacy'!$I:$I,"&lt;2016",
'STH Efficacy'!$AH:$AH,""),
"")</f>
        <v/>
      </c>
      <c r="BE179" s="579">
        <f t="shared" si="20"/>
        <v>0.3145</v>
      </c>
      <c r="BF179" s="585" t="str">
        <f>IFERROR(AVERAGEIFS(
'STH Efficacy'!$CD:$CD, 
'STH Efficacy'!$BS:$BS, $A179, 
'STH Efficacy'!$BT:$BT, "Albendazole",
'STH Efficacy'!$BZ:$BZ,"&lt;2016",
'STH Efficacy'!$CU:$CU,""),
"")</f>
        <v/>
      </c>
      <c r="BG179" s="580">
        <f t="shared" si="21"/>
        <v>0.96925</v>
      </c>
      <c r="BH179" s="585" t="str">
        <f>IFERROR(AVERAGEIFS(
'STH Efficacy'!$CD:$CD, 
'STH Efficacy'!$BS:$BS, $A179, 
'STH Efficacy'!$BT:$BT, "Mebendazole",
'STH Efficacy'!$BZ:$BZ,"&lt;2016",
'STH Efficacy'!$CU:$CU,""),
"")</f>
        <v/>
      </c>
      <c r="BI179" s="580">
        <f t="shared" si="22"/>
        <v>0.9305</v>
      </c>
      <c r="BJ179" s="585" t="str">
        <f>IFERROR(AVERAGEIFS(
'STH Efficacy'!$CD:$CD, 
'STH Efficacy'!$BS:$BS, $A179, 
'STH Efficacy'!$BT:$BT, "Albendazole &amp; Ivermectin",
'STH Efficacy'!$BZ:$BZ,"&lt;2016",
'STH Efficacy'!$CU:$CU,""),
"")</f>
        <v/>
      </c>
      <c r="BK179" s="580">
        <f t="shared" si="23"/>
        <v>0.848</v>
      </c>
      <c r="BL179" s="575" t="str">
        <f>IFERROR(
  AVERAGEIFS(
    'NEW Onchocerciasis Efficacy'!$AO:$AO,
    'NEW Onchocerciasis Efficacy'!$C:$C,$A179,
    'NEW Onchocerciasis Efficacy'!$D:$D,"Ivermectin",
    'NEW Onchocerciasis Efficacy'!$AR:$AR,"&lt;2016",
    'NEW Onchocerciasis Efficacy'!$BG:$BG,"")
,"")</f>
        <v/>
      </c>
      <c r="BM179" s="586">
        <f t="shared" si="24"/>
        <v>0.7808368939</v>
      </c>
      <c r="BN179" s="587">
        <v>0.0</v>
      </c>
      <c r="BO179" s="588">
        <v>1.0</v>
      </c>
      <c r="BP179" s="589">
        <v>0.0</v>
      </c>
      <c r="BQ179" s="590">
        <f t="shared" si="25"/>
        <v>0</v>
      </c>
      <c r="BR179" s="560" t="str">
        <f t="shared" si="26"/>
        <v>0100</v>
      </c>
      <c r="BS179" s="560" t="str">
        <f t="shared" si="27"/>
        <v>MDA3</v>
      </c>
      <c r="BT179" s="606" t="str">
        <f t="shared" si="44"/>
        <v>IVM</v>
      </c>
      <c r="BU179" s="591" t="str">
        <f t="shared" si="29"/>
        <v/>
      </c>
      <c r="BV179" s="560" t="str">
        <f t="shared" si="30"/>
        <v>onch only</v>
      </c>
      <c r="BW179" s="150" t="str">
        <f t="shared" si="31"/>
        <v/>
      </c>
      <c r="BX179" s="150" t="str">
        <f t="shared" si="32"/>
        <v/>
      </c>
      <c r="BY179" s="151" t="str">
        <f t="shared" si="33"/>
        <v/>
      </c>
      <c r="BZ179" s="152" t="str">
        <f t="shared" si="34"/>
        <v/>
      </c>
      <c r="CA179" s="152" t="str">
        <f t="shared" si="35"/>
        <v/>
      </c>
      <c r="CB179" s="152" t="str">
        <f t="shared" si="36"/>
        <v/>
      </c>
      <c r="CC179" s="153" t="str">
        <f t="shared" si="37"/>
        <v/>
      </c>
      <c r="CD179" s="153" t="str">
        <f t="shared" si="38"/>
        <v/>
      </c>
      <c r="CE179" s="154" t="str">
        <f t="shared" si="39"/>
        <v/>
      </c>
      <c r="CF179" s="154" t="str">
        <f t="shared" si="40"/>
        <v/>
      </c>
      <c r="CG179" s="154" t="str">
        <f t="shared" si="41"/>
        <v/>
      </c>
      <c r="CH179" s="637">
        <f t="shared" si="42"/>
        <v>0</v>
      </c>
    </row>
    <row r="180">
      <c r="A180" s="559" t="s">
        <v>269</v>
      </c>
      <c r="B180" s="560" t="s">
        <v>88</v>
      </c>
      <c r="C180" s="635">
        <v>1.3908129E7</v>
      </c>
      <c r="D180" s="562">
        <v>0.0</v>
      </c>
      <c r="E180" s="563">
        <v>19002.3611897426</v>
      </c>
      <c r="F180" s="564">
        <v>160.4390413</v>
      </c>
      <c r="G180" s="564">
        <v>1207.563271</v>
      </c>
      <c r="H180" s="564">
        <v>3967.206281</v>
      </c>
      <c r="I180" s="565">
        <v>766.1521517</v>
      </c>
      <c r="J180" s="566">
        <v>2617.10237489708</v>
      </c>
      <c r="K180" s="566">
        <v>9755.95837275974</v>
      </c>
      <c r="L180" s="567">
        <v>2651.093494</v>
      </c>
      <c r="M180" s="568">
        <v>859.270956631366</v>
      </c>
      <c r="N180" s="568">
        <v>4294.80919365002</v>
      </c>
      <c r="O180" s="569">
        <v>0.0</v>
      </c>
      <c r="P180" s="570"/>
      <c r="Q180" s="150"/>
      <c r="R180" s="571"/>
      <c r="S180" s="116">
        <f t="shared" si="6"/>
        <v>0.1495</v>
      </c>
      <c r="T180" s="572">
        <v>0.3565</v>
      </c>
      <c r="U180" s="572">
        <f t="shared" si="7"/>
        <v>0.3565</v>
      </c>
      <c r="V180" s="598"/>
      <c r="W180" s="574">
        <f t="shared" si="8"/>
        <v>0.97535</v>
      </c>
      <c r="X180" s="573">
        <v>0.4892</v>
      </c>
      <c r="Y180" s="574">
        <f t="shared" si="9"/>
        <v>0.4892</v>
      </c>
      <c r="Z180" s="308"/>
      <c r="AA180" s="308"/>
      <c r="AB180" s="575" t="str">
        <f t="shared" si="10"/>
        <v/>
      </c>
      <c r="AC180" s="576">
        <f t="shared" si="11"/>
        <v>0.4586145155</v>
      </c>
      <c r="AD180" s="577">
        <v>0.0</v>
      </c>
      <c r="AE180" s="572">
        <v>0.08780453616</v>
      </c>
      <c r="AF180" s="578">
        <v>0.02132657802</v>
      </c>
      <c r="AG180" s="132">
        <v>0.03023494225</v>
      </c>
      <c r="AH180" s="132">
        <v>0.099811484</v>
      </c>
      <c r="AI180" s="579">
        <v>0.08262629984</v>
      </c>
      <c r="AJ180" s="579">
        <v>0.1049219503</v>
      </c>
      <c r="AK180" s="580">
        <v>0.1507916394</v>
      </c>
      <c r="AL180" s="580">
        <v>0.1821136289</v>
      </c>
      <c r="AM180" s="581">
        <v>0.0</v>
      </c>
      <c r="AN180" s="571" t="str">
        <f>IFERROR(
  AVERAGEIFS(
    'New LF Efficacy'!$J:$J,
    'New LF Efficacy'!$D:$D, $A180,
    'New LF Efficacy'!$F:$F,"DEC", 
    'New LF Efficacy'!$W:$W,"&lt;2016",
    'New LF Efficacy'!$AA:$AA,""),
  ""
)</f>
        <v/>
      </c>
      <c r="AO180" s="582">
        <f t="shared" si="12"/>
        <v>0.3573520833</v>
      </c>
      <c r="AP180" s="571" t="str">
        <f>IFERROR(
AVERAGEIFS(
'New LF Efficacy'!$J:$J,
'New LF Efficacy'!$D:$D,$A180,
'New LF Efficacy'!$F:$F,"Albendazole &amp; DEC",
'New LF Efficacy'!$W:$W,"&lt;2016",
'New LF Efficacy'!$AA:$AA,""),
"")</f>
        <v/>
      </c>
      <c r="AQ180" s="582">
        <f t="shared" si="13"/>
        <v>0.7935</v>
      </c>
      <c r="AR180" s="571" t="str">
        <f>IFERROR(
AVERAGEIFS(
'New LF Efficacy'!$J:$J,
'New LF Efficacy'!$D:$D,$A180,
'New LF Efficacy'!$F:$F,"Albendazole &amp; Ivermectin", 
'New LF Efficacy'!$W:$W,"&lt;2016",
'New LF Efficacy'!$AA:$AA,""),"")</f>
        <v/>
      </c>
      <c r="AS180" s="582">
        <f t="shared" si="14"/>
        <v>0.37153125</v>
      </c>
      <c r="AT180" s="583" t="str">
        <f>IFERROR(AVERAGEIFS(
'Schist Efficacy'!$O:$O, 
'Schist Efficacy'!$C:$C,$A180, 
'Schist Efficacy'!$D:$D, "Praziquantel",
'Schist Efficacy'!$J:$J,"&lt;2016",
'Schist Efficacy'!$U:$U,""),
"")</f>
        <v/>
      </c>
      <c r="AU180" s="572">
        <f t="shared" si="15"/>
        <v>0.7763141026</v>
      </c>
      <c r="AV180" s="131" t="str">
        <f>IFERROR(AVERAGEIFS(
'STH Efficacy'!$AX:$AX, 
'STH Efficacy'!$AL:$AL, $A180, 
'STH Efficacy'!$AM:$AM, "Albendazole",
'STH Efficacy'!$AS:$AS,"&lt;2016",
'STH Efficacy'!$BP:$BP,""),
"")</f>
        <v/>
      </c>
      <c r="AW180" s="132">
        <f t="shared" si="16"/>
        <v>0.4143846154</v>
      </c>
      <c r="AX180" s="131" t="str">
        <f>IFERROR(AVERAGEIFS(
'STH Efficacy'!$AX:$AX, 
'STH Efficacy'!$AL:$AL, $A180, 
'STH Efficacy'!$AM:$AM, "Mebendazole",
'STH Efficacy'!$AS:$AS,"&lt;2016",
'STH Efficacy'!$BP:$BP,""),
"")</f>
        <v/>
      </c>
      <c r="AY180" s="132">
        <f t="shared" si="17"/>
        <v>0.4691770833</v>
      </c>
      <c r="AZ180" s="131" t="str">
        <f>IFERROR(AVERAGEIFS(
'STH Efficacy'!$AX:$AX, 
'STH Efficacy'!$AL:$AL, $A180, 
'STH Efficacy'!$AM:$AM, "Albendazole &amp; Ivermectin",
'STH Efficacy'!$AS:$AS,"&lt;2016",
'STH Efficacy'!$BP:$BP,""),
"")</f>
        <v/>
      </c>
      <c r="BA180" s="303">
        <f t="shared" si="18"/>
        <v>0.597625</v>
      </c>
      <c r="BB180" s="584" t="str">
        <f>IFERROR(AVERAGEIFS(
'STH Efficacy'!$N:$N, 
'STH Efficacy'!$B:$B, $A180, 
'STH Efficacy'!$C:$C, "Albendazole",
'STH Efficacy'!$I:$I,"&lt;2016",
'STH Efficacy'!$AH:$AH,""),
"")</f>
        <v/>
      </c>
      <c r="BC180" s="579">
        <f t="shared" si="19"/>
        <v>0.7613712121</v>
      </c>
      <c r="BD180" s="584" t="str">
        <f>IFERROR(AVERAGEIFS(
'STH Efficacy'!$N:$N, 
'STH Efficacy'!$B:$B, $A180, 
'STH Efficacy'!$C:$C, "Mebendazole",
'STH Efficacy'!$I:$I,"&lt;2016",
'STH Efficacy'!$AH:$AH,""),
"")</f>
        <v/>
      </c>
      <c r="BE180" s="579">
        <f t="shared" si="20"/>
        <v>0.4362466667</v>
      </c>
      <c r="BF180" s="585" t="str">
        <f>IFERROR(AVERAGEIFS(
'STH Efficacy'!$CD:$CD, 
'STH Efficacy'!$BS:$BS, $A180, 
'STH Efficacy'!$BT:$BT, "Albendazole",
'STH Efficacy'!$BZ:$BZ,"&lt;2016",
'STH Efficacy'!$CU:$CU,""),
"")</f>
        <v/>
      </c>
      <c r="BG180" s="580">
        <f t="shared" si="21"/>
        <v>0.955</v>
      </c>
      <c r="BH180" s="585" t="str">
        <f>IFERROR(AVERAGEIFS(
'STH Efficacy'!$CD:$CD, 
'STH Efficacy'!$BS:$BS, $A180, 
'STH Efficacy'!$BT:$BT, "Mebendazole",
'STH Efficacy'!$BZ:$BZ,"&lt;2016",
'STH Efficacy'!$CU:$CU,""),
"")</f>
        <v/>
      </c>
      <c r="BI180" s="580">
        <f t="shared" si="22"/>
        <v>1</v>
      </c>
      <c r="BJ180" s="585" t="str">
        <f>IFERROR(AVERAGEIFS(
'STH Efficacy'!$CD:$CD, 
'STH Efficacy'!$BS:$BS, $A180, 
'STH Efficacy'!$BT:$BT, "Albendazole &amp; Ivermectin",
'STH Efficacy'!$BZ:$BZ,"&lt;2016",
'STH Efficacy'!$CU:$CU,""),
"")</f>
        <v/>
      </c>
      <c r="BK180" s="580">
        <f t="shared" si="23"/>
        <v>0.848</v>
      </c>
      <c r="BL180" s="575" t="str">
        <f>IFERROR(
  AVERAGEIFS(
    'NEW Onchocerciasis Efficacy'!$AO:$AO,
    'NEW Onchocerciasis Efficacy'!$C:$C,$A180,
    'NEW Onchocerciasis Efficacy'!$D:$D,"Ivermectin",
    'NEW Onchocerciasis Efficacy'!$AR:$AR,"&lt;2016",
    'NEW Onchocerciasis Efficacy'!$BG:$BG,"")
,"")</f>
        <v/>
      </c>
      <c r="BM180" s="586">
        <f t="shared" si="24"/>
        <v>0.7808368939</v>
      </c>
      <c r="BN180" s="587">
        <v>0.0</v>
      </c>
      <c r="BO180" s="588">
        <v>1.0</v>
      </c>
      <c r="BP180" s="589">
        <v>1.0</v>
      </c>
      <c r="BQ180" s="590">
        <f t="shared" si="25"/>
        <v>0</v>
      </c>
      <c r="BR180" s="560" t="str">
        <f t="shared" si="26"/>
        <v>0110</v>
      </c>
      <c r="BS180" s="560" t="str">
        <f t="shared" si="27"/>
        <v>MDA3+T2</v>
      </c>
      <c r="BT180" s="606" t="str">
        <f t="shared" si="44"/>
        <v>IVM</v>
      </c>
      <c r="BU180" s="560" t="str">
        <f t="shared" si="29"/>
        <v>PZQ</v>
      </c>
      <c r="BV180" s="560" t="str">
        <f t="shared" si="30"/>
        <v>onch+schist</v>
      </c>
      <c r="BW180" s="150" t="str">
        <f t="shared" si="31"/>
        <v/>
      </c>
      <c r="BX180" s="150" t="str">
        <f t="shared" si="32"/>
        <v/>
      </c>
      <c r="BY180" s="608">
        <f t="shared" si="33"/>
        <v>7271.428292</v>
      </c>
      <c r="BZ180" s="152" t="str">
        <f t="shared" si="34"/>
        <v/>
      </c>
      <c r="CA180" s="152" t="str">
        <f t="shared" si="35"/>
        <v/>
      </c>
      <c r="CB180" s="152" t="str">
        <f t="shared" si="36"/>
        <v/>
      </c>
      <c r="CC180" s="153" t="str">
        <f t="shared" si="37"/>
        <v/>
      </c>
      <c r="CD180" s="153" t="str">
        <f t="shared" si="38"/>
        <v/>
      </c>
      <c r="CE180" s="154" t="str">
        <f t="shared" si="39"/>
        <v/>
      </c>
      <c r="CF180" s="154" t="str">
        <f t="shared" si="40"/>
        <v/>
      </c>
      <c r="CG180" s="154" t="str">
        <f t="shared" si="41"/>
        <v/>
      </c>
      <c r="CH180" s="637">
        <f t="shared" si="42"/>
        <v>0</v>
      </c>
    </row>
    <row r="181">
      <c r="A181" s="599" t="s">
        <v>270</v>
      </c>
      <c r="B181" s="560" t="s">
        <v>92</v>
      </c>
      <c r="C181" s="635">
        <v>5.501197668E7</v>
      </c>
      <c r="D181" s="562">
        <v>0.0</v>
      </c>
      <c r="E181" s="563">
        <v>45942.8588731553</v>
      </c>
      <c r="F181" s="564">
        <v>27.97844449</v>
      </c>
      <c r="G181" s="564">
        <v>179.31862</v>
      </c>
      <c r="H181" s="564">
        <v>1194.33719</v>
      </c>
      <c r="I181" s="565">
        <v>451.8110308</v>
      </c>
      <c r="J181" s="566">
        <v>1858.41719216121</v>
      </c>
      <c r="K181" s="566">
        <v>10264.1557817958</v>
      </c>
      <c r="L181" s="567">
        <v>89.44354716</v>
      </c>
      <c r="M181" s="568">
        <v>47.6144688394946</v>
      </c>
      <c r="N181" s="568">
        <v>234.465412386502</v>
      </c>
      <c r="O181" s="569">
        <v>0.0</v>
      </c>
      <c r="P181" s="570"/>
      <c r="Q181" s="150"/>
      <c r="R181" s="571"/>
      <c r="S181" s="116">
        <f t="shared" si="6"/>
        <v>0.6227928571</v>
      </c>
      <c r="T181" s="620" t="s">
        <v>395</v>
      </c>
      <c r="U181" s="621" t="str">
        <f t="shared" si="7"/>
        <v> </v>
      </c>
      <c r="V181" s="573">
        <v>0.3924</v>
      </c>
      <c r="W181" s="574">
        <f t="shared" si="8"/>
        <v>0.3924</v>
      </c>
      <c r="X181" s="573">
        <v>0.4476</v>
      </c>
      <c r="Y181" s="574">
        <f t="shared" si="9"/>
        <v>0.4476</v>
      </c>
      <c r="Z181" s="308"/>
      <c r="AA181" s="308"/>
      <c r="AB181" s="575" t="str">
        <f t="shared" si="10"/>
        <v/>
      </c>
      <c r="AC181" s="576">
        <f t="shared" si="11"/>
        <v>0.6507101914</v>
      </c>
      <c r="AD181" s="577">
        <v>0.0</v>
      </c>
      <c r="AE181" s="572">
        <v>0.09941813525</v>
      </c>
      <c r="AF181" s="578">
        <v>0.01911461809</v>
      </c>
      <c r="AG181" s="133">
        <v>0.01326742627</v>
      </c>
      <c r="AH181" s="133">
        <v>0.042647521</v>
      </c>
      <c r="AI181" s="623">
        <v>0.03692660238</v>
      </c>
      <c r="AJ181" s="623">
        <v>0.04696901013</v>
      </c>
      <c r="AK181" s="624">
        <v>0.005546715351</v>
      </c>
      <c r="AL181" s="624">
        <v>0.00639176457</v>
      </c>
      <c r="AM181" s="581">
        <v>0.0</v>
      </c>
      <c r="AN181" s="571" t="str">
        <f>IFERROR(
  AVERAGEIFS(
    'New LF Efficacy'!$J:$J,
    'New LF Efficacy'!$D:$D, $A181,
    'New LF Efficacy'!$F:$F,"DEC", 
    'New LF Efficacy'!$W:$W,"&lt;2016",
    'New LF Efficacy'!$AA:$AA,""),
  ""
)</f>
        <v/>
      </c>
      <c r="AO181" s="582">
        <f t="shared" si="12"/>
        <v>0.31225</v>
      </c>
      <c r="AP181" s="571" t="str">
        <f>IFERROR(
AVERAGEIFS(
'New LF Efficacy'!$J:$J,
'New LF Efficacy'!$D:$D,$A181,
'New LF Efficacy'!$F:$F,"Albendazole &amp; DEC",
'New LF Efficacy'!$W:$W,"&lt;2016",
'New LF Efficacy'!$AA:$AA,""),
"")</f>
        <v/>
      </c>
      <c r="AQ181" s="582">
        <f t="shared" si="13"/>
        <v>0.4</v>
      </c>
      <c r="AR181" s="571" t="str">
        <f>IFERROR(
AVERAGEIFS(
'New LF Efficacy'!$J:$J,
'New LF Efficacy'!$D:$D,$A181,
'New LF Efficacy'!$F:$F,"Albendazole &amp; Ivermectin", 
'New LF Efficacy'!$W:$W,"&lt;2016",
'New LF Efficacy'!$AA:$AA,""),"")</f>
        <v/>
      </c>
      <c r="AS181" s="582">
        <f t="shared" si="14"/>
        <v>0.2943125</v>
      </c>
      <c r="AT181" s="583">
        <f>IFERROR(AVERAGEIFS(
'Schist Efficacy'!$O:$O, 
'Schist Efficacy'!$C:$C,$A181, 
'Schist Efficacy'!$D:$D, "Praziquantel",
'Schist Efficacy'!$J:$J,"&lt;2016",
'Schist Efficacy'!$U:$U,""),
"")</f>
        <v>0.579</v>
      </c>
      <c r="AU181" s="572">
        <f t="shared" si="15"/>
        <v>0.579</v>
      </c>
      <c r="AV181" s="131">
        <f>IFERROR(AVERAGEIFS(
'STH Efficacy'!$AX:$AX, 
'STH Efficacy'!$AL:$AL, $A181, 
'STH Efficacy'!$AM:$AM, "Albendazole",
'STH Efficacy'!$AS:$AS,"&lt;2016",
'STH Efficacy'!$BP:$BP,""),
"")</f>
        <v>0.4853333333</v>
      </c>
      <c r="AW181" s="132">
        <f t="shared" si="16"/>
        <v>0.4853333333</v>
      </c>
      <c r="AX181" s="131" t="str">
        <f>IFERROR(AVERAGEIFS(
'STH Efficacy'!$AX:$AX, 
'STH Efficacy'!$AL:$AL, $A181, 
'STH Efficacy'!$AM:$AM, "Mebendazole",
'STH Efficacy'!$AS:$AS,"&lt;2016",
'STH Efficacy'!$BP:$BP,""),
"")</f>
        <v/>
      </c>
      <c r="AY181" s="132">
        <f t="shared" si="17"/>
        <v>0.4859375</v>
      </c>
      <c r="AZ181" s="131" t="str">
        <f>IFERROR(AVERAGEIFS(
'STH Efficacy'!$AX:$AX, 
'STH Efficacy'!$AL:$AL, $A181, 
'STH Efficacy'!$AM:$AM, "Albendazole &amp; Ivermectin",
'STH Efficacy'!$AS:$AS,"&lt;2016",
'STH Efficacy'!$BP:$BP,""),
"")</f>
        <v/>
      </c>
      <c r="BA181" s="303">
        <f t="shared" si="18"/>
        <v>0.47175</v>
      </c>
      <c r="BB181" s="584" t="str">
        <f>IFERROR(AVERAGEIFS(
'STH Efficacy'!$N:$N, 
'STH Efficacy'!$B:$B, $A181, 
'STH Efficacy'!$C:$C, "Albendazole",
'STH Efficacy'!$I:$I,"&lt;2016",
'STH Efficacy'!$AH:$AH,""),
"")</f>
        <v/>
      </c>
      <c r="BC181" s="579">
        <f t="shared" si="19"/>
        <v>0.8699166667</v>
      </c>
      <c r="BD181" s="584" t="str">
        <f>IFERROR(AVERAGEIFS(
'STH Efficacy'!$N:$N, 
'STH Efficacy'!$B:$B, $A181, 
'STH Efficacy'!$C:$C, "Mebendazole",
'STH Efficacy'!$I:$I,"&lt;2016",
'STH Efficacy'!$AH:$AH,""),
"")</f>
        <v/>
      </c>
      <c r="BE181" s="579">
        <f t="shared" si="20"/>
        <v>0.7092416667</v>
      </c>
      <c r="BF181" s="585" t="str">
        <f>IFERROR(AVERAGEIFS(
'STH Efficacy'!$CD:$CD, 
'STH Efficacy'!$BS:$BS, $A181, 
'STH Efficacy'!$BT:$BT, "Albendazole",
'STH Efficacy'!$BZ:$BZ,"&lt;2016",
'STH Efficacy'!$CU:$CU,""),
"")</f>
        <v/>
      </c>
      <c r="BG181" s="580">
        <f t="shared" si="21"/>
        <v>0.9066666667</v>
      </c>
      <c r="BH181" s="585" t="str">
        <f>IFERROR(AVERAGEIFS(
'STH Efficacy'!$CD:$CD, 
'STH Efficacy'!$BS:$BS, $A181, 
'STH Efficacy'!$BT:$BT, "Mebendazole",
'STH Efficacy'!$BZ:$BZ,"&lt;2016",
'STH Efficacy'!$CU:$CU,""),
"")</f>
        <v/>
      </c>
      <c r="BI181" s="580">
        <f t="shared" si="22"/>
        <v>0.8483333333</v>
      </c>
      <c r="BJ181" s="585" t="str">
        <f>IFERROR(AVERAGEIFS(
'STH Efficacy'!$CD:$CD, 
'STH Efficacy'!$BS:$BS, $A181, 
'STH Efficacy'!$BT:$BT, "Albendazole &amp; Ivermectin",
'STH Efficacy'!$BZ:$BZ,"&lt;2016",
'STH Efficacy'!$CU:$CU,""),
"")</f>
        <v/>
      </c>
      <c r="BK181" s="580">
        <f t="shared" si="23"/>
        <v>0.696</v>
      </c>
      <c r="BL181" s="575" t="str">
        <f>IFERROR(
  AVERAGEIFS(
    'NEW Onchocerciasis Efficacy'!$AO:$AO,
    'NEW Onchocerciasis Efficacy'!$C:$C,$A181,
    'NEW Onchocerciasis Efficacy'!$D:$D,"Ivermectin",
    'NEW Onchocerciasis Efficacy'!$AR:$AR,"&lt;2016",
    'NEW Onchocerciasis Efficacy'!$BG:$BG,"")
,"")</f>
        <v/>
      </c>
      <c r="BM181" s="586">
        <f t="shared" si="24"/>
        <v>0.8390421645</v>
      </c>
      <c r="BN181" s="587">
        <v>0.0</v>
      </c>
      <c r="BO181" s="588">
        <v>0.0</v>
      </c>
      <c r="BP181" s="589">
        <v>1.0</v>
      </c>
      <c r="BQ181" s="590">
        <f t="shared" si="25"/>
        <v>0</v>
      </c>
      <c r="BR181" s="560" t="str">
        <f t="shared" si="26"/>
        <v>0010</v>
      </c>
      <c r="BS181" s="560" t="str">
        <f t="shared" si="27"/>
        <v>T2</v>
      </c>
      <c r="BT181" s="606" t="str">
        <f t="shared" si="44"/>
        <v>PZQ</v>
      </c>
      <c r="BU181" s="560" t="str">
        <f t="shared" si="29"/>
        <v>PZQ</v>
      </c>
      <c r="BV181" s="560" t="str">
        <f t="shared" si="30"/>
        <v>schist only</v>
      </c>
      <c r="BW181" s="150" t="str">
        <f t="shared" si="31"/>
        <v/>
      </c>
      <c r="BX181" s="150" t="str">
        <f t="shared" si="32"/>
        <v/>
      </c>
      <c r="BY181" s="151" t="str">
        <f t="shared" si="33"/>
        <v/>
      </c>
      <c r="BZ181" s="152" t="str">
        <f t="shared" si="34"/>
        <v/>
      </c>
      <c r="CA181" s="152" t="str">
        <f t="shared" si="35"/>
        <v/>
      </c>
      <c r="CB181" s="152" t="str">
        <f t="shared" si="36"/>
        <v/>
      </c>
      <c r="CC181" s="153" t="str">
        <f t="shared" si="37"/>
        <v/>
      </c>
      <c r="CD181" s="153" t="str">
        <f t="shared" si="38"/>
        <v/>
      </c>
      <c r="CE181" s="154" t="str">
        <f t="shared" si="39"/>
        <v/>
      </c>
      <c r="CF181" s="154" t="str">
        <f t="shared" si="40"/>
        <v/>
      </c>
      <c r="CG181" s="154" t="str">
        <f t="shared" si="41"/>
        <v/>
      </c>
      <c r="CH181" s="308" t="str">
        <f t="shared" si="42"/>
        <v/>
      </c>
    </row>
    <row r="182">
      <c r="A182" s="559" t="s">
        <v>271</v>
      </c>
      <c r="B182" s="560" t="s">
        <v>92</v>
      </c>
      <c r="C182" s="635">
        <v>1.1882136E7</v>
      </c>
      <c r="D182" s="562">
        <v>1818.262979</v>
      </c>
      <c r="E182" s="563">
        <v>9800.28930338062</v>
      </c>
      <c r="F182" s="564">
        <v>14.61087651</v>
      </c>
      <c r="G182" s="564">
        <v>86.35309704</v>
      </c>
      <c r="H182" s="564">
        <v>376.4317152</v>
      </c>
      <c r="I182" s="565">
        <v>946.2702277</v>
      </c>
      <c r="J182" s="566">
        <v>2115.08744353646</v>
      </c>
      <c r="K182" s="566">
        <v>8322.77588070316</v>
      </c>
      <c r="L182" s="567">
        <v>1790.647946</v>
      </c>
      <c r="M182" s="568">
        <v>245.379030365936</v>
      </c>
      <c r="N182" s="568">
        <v>2178.51300140117</v>
      </c>
      <c r="O182" s="569">
        <v>94793.8</v>
      </c>
      <c r="P182" s="601">
        <v>34637.2314867</v>
      </c>
      <c r="Q182" s="618">
        <v>364529.0</v>
      </c>
      <c r="R182" s="603">
        <v>0.0708</v>
      </c>
      <c r="S182" s="116">
        <f t="shared" si="6"/>
        <v>0.0708</v>
      </c>
      <c r="T182" s="620" t="s">
        <v>395</v>
      </c>
      <c r="U182" s="621" t="str">
        <f t="shared" si="7"/>
        <v> </v>
      </c>
      <c r="V182" s="598"/>
      <c r="W182" s="574">
        <f t="shared" si="8"/>
        <v>0.7605133333</v>
      </c>
      <c r="X182" s="598"/>
      <c r="Y182" s="574">
        <f t="shared" si="9"/>
        <v>0.6822424242</v>
      </c>
      <c r="Z182" s="642">
        <v>7532425.0</v>
      </c>
      <c r="AA182" s="643">
        <v>1096576.0</v>
      </c>
      <c r="AB182" s="576">
        <f t="shared" si="10"/>
        <v>0.1455807393</v>
      </c>
      <c r="AC182" s="576">
        <f t="shared" si="11"/>
        <v>0.1455807393</v>
      </c>
      <c r="AD182" s="577">
        <v>0.003574719613</v>
      </c>
      <c r="AE182" s="572">
        <v>0.0902810977</v>
      </c>
      <c r="AF182" s="578">
        <v>0.02246039176</v>
      </c>
      <c r="AG182" s="132">
        <v>0.01730617314</v>
      </c>
      <c r="AH182" s="132">
        <v>0.057439388</v>
      </c>
      <c r="AI182" s="579">
        <v>0.1454219236</v>
      </c>
      <c r="AJ182" s="579">
        <v>0.1859605306</v>
      </c>
      <c r="AK182" s="580">
        <v>0.02416069501</v>
      </c>
      <c r="AL182" s="580">
        <v>0.02941535302</v>
      </c>
      <c r="AM182" s="581">
        <v>0.1671938102</v>
      </c>
      <c r="AN182" s="571" t="str">
        <f>IFERROR(
  AVERAGEIFS(
    'New LF Efficacy'!$J:$J,
    'New LF Efficacy'!$D:$D, $A182,
    'New LF Efficacy'!$F:$F,"DEC", 
    'New LF Efficacy'!$W:$W,"&lt;2016",
    'New LF Efficacy'!$AA:$AA,""),
  ""
)</f>
        <v/>
      </c>
      <c r="AO182" s="582">
        <f t="shared" si="12"/>
        <v>0.31225</v>
      </c>
      <c r="AP182" s="571" t="str">
        <f>IFERROR(
AVERAGEIFS(
'New LF Efficacy'!$J:$J,
'New LF Efficacy'!$D:$D,$A182,
'New LF Efficacy'!$F:$F,"Albendazole &amp; DEC",
'New LF Efficacy'!$W:$W,"&lt;2016",
'New LF Efficacy'!$AA:$AA,""),
"")</f>
        <v/>
      </c>
      <c r="AQ182" s="582">
        <f t="shared" si="13"/>
        <v>0.4</v>
      </c>
      <c r="AR182" s="571" t="str">
        <f>IFERROR(
AVERAGEIFS(
'New LF Efficacy'!$J:$J,
'New LF Efficacy'!$D:$D,$A182,
'New LF Efficacy'!$F:$F,"Albendazole &amp; Ivermectin", 
'New LF Efficacy'!$W:$W,"&lt;2016",
'New LF Efficacy'!$AA:$AA,""),"")</f>
        <v/>
      </c>
      <c r="AS182" s="582">
        <f t="shared" si="14"/>
        <v>0.2943125</v>
      </c>
      <c r="AT182" s="583" t="str">
        <f>IFERROR(AVERAGEIFS(
'Schist Efficacy'!$O:$O, 
'Schist Efficacy'!$C:$C,$A182, 
'Schist Efficacy'!$D:$D, "Praziquantel",
'Schist Efficacy'!$J:$J,"&lt;2016",
'Schist Efficacy'!$U:$U,""),
"")</f>
        <v/>
      </c>
      <c r="AU182" s="572">
        <f t="shared" si="15"/>
        <v>0.7206464759</v>
      </c>
      <c r="AV182" s="131" t="str">
        <f>IFERROR(AVERAGEIFS(
'STH Efficacy'!$AX:$AX, 
'STH Efficacy'!$AL:$AL, $A182, 
'STH Efficacy'!$AM:$AM, "Albendazole",
'STH Efficacy'!$AS:$AS,"&lt;2016",
'STH Efficacy'!$BP:$BP,""),
"")</f>
        <v/>
      </c>
      <c r="AW182" s="132">
        <f t="shared" si="16"/>
        <v>0.3816333333</v>
      </c>
      <c r="AX182" s="131" t="str">
        <f>IFERROR(AVERAGEIFS(
'STH Efficacy'!$AX:$AX, 
'STH Efficacy'!$AL:$AL, $A182, 
'STH Efficacy'!$AM:$AM, "Mebendazole",
'STH Efficacy'!$AS:$AS,"&lt;2016",
'STH Efficacy'!$BP:$BP,""),
"")</f>
        <v/>
      </c>
      <c r="AY182" s="132">
        <f t="shared" si="17"/>
        <v>0.4859375</v>
      </c>
      <c r="AZ182" s="131" t="str">
        <f>IFERROR(AVERAGEIFS(
'STH Efficacy'!$AX:$AX, 
'STH Efficacy'!$AL:$AL, $A182, 
'STH Efficacy'!$AM:$AM, "Albendazole &amp; Ivermectin",
'STH Efficacy'!$AS:$AS,"&lt;2016",
'STH Efficacy'!$BP:$BP,""),
"")</f>
        <v/>
      </c>
      <c r="BA182" s="303">
        <f t="shared" si="18"/>
        <v>0.47175</v>
      </c>
      <c r="BB182" s="584" t="str">
        <f>IFERROR(AVERAGEIFS(
'STH Efficacy'!$N:$N, 
'STH Efficacy'!$B:$B, $A182, 
'STH Efficacy'!$C:$C, "Albendazole",
'STH Efficacy'!$I:$I,"&lt;2016",
'STH Efficacy'!$AH:$AH,""),
"")</f>
        <v/>
      </c>
      <c r="BC182" s="579">
        <f t="shared" si="19"/>
        <v>0.8699166667</v>
      </c>
      <c r="BD182" s="584" t="str">
        <f>IFERROR(AVERAGEIFS(
'STH Efficacy'!$N:$N, 
'STH Efficacy'!$B:$B, $A182, 
'STH Efficacy'!$C:$C, "Mebendazole",
'STH Efficacy'!$I:$I,"&lt;2016",
'STH Efficacy'!$AH:$AH,""),
"")</f>
        <v/>
      </c>
      <c r="BE182" s="579">
        <f t="shared" si="20"/>
        <v>0.7092416667</v>
      </c>
      <c r="BF182" s="585" t="str">
        <f>IFERROR(AVERAGEIFS(
'STH Efficacy'!$CD:$CD, 
'STH Efficacy'!$BS:$BS, $A182, 
'STH Efficacy'!$BT:$BT, "Albendazole",
'STH Efficacy'!$BZ:$BZ,"&lt;2016",
'STH Efficacy'!$CU:$CU,""),
"")</f>
        <v/>
      </c>
      <c r="BG182" s="580">
        <f t="shared" si="21"/>
        <v>0.9066666667</v>
      </c>
      <c r="BH182" s="585" t="str">
        <f>IFERROR(AVERAGEIFS(
'STH Efficacy'!$CD:$CD, 
'STH Efficacy'!$BS:$BS, $A182, 
'STH Efficacy'!$BT:$BT, "Mebendazole",
'STH Efficacy'!$BZ:$BZ,"&lt;2016",
'STH Efficacy'!$CU:$CU,""),
"")</f>
        <v/>
      </c>
      <c r="BI182" s="580">
        <f t="shared" si="22"/>
        <v>0.8483333333</v>
      </c>
      <c r="BJ182" s="585" t="str">
        <f>IFERROR(AVERAGEIFS(
'STH Efficacy'!$CD:$CD, 
'STH Efficacy'!$BS:$BS, $A182, 
'STH Efficacy'!$BT:$BT, "Albendazole &amp; Ivermectin",
'STH Efficacy'!$BZ:$BZ,"&lt;2016",
'STH Efficacy'!$CU:$CU,""),
"")</f>
        <v/>
      </c>
      <c r="BK182" s="580">
        <f t="shared" si="23"/>
        <v>0.696</v>
      </c>
      <c r="BL182" s="575" t="str">
        <f>IFERROR(
  AVERAGEIFS(
    'NEW Onchocerciasis Efficacy'!$AO:$AO,
    'NEW Onchocerciasis Efficacy'!$C:$C,$A182,
    'NEW Onchocerciasis Efficacy'!$D:$D,"Ivermectin",
    'NEW Onchocerciasis Efficacy'!$AR:$AR,"&lt;2016",
    'NEW Onchocerciasis Efficacy'!$BG:$BG,"")
,"")</f>
        <v/>
      </c>
      <c r="BM182" s="586">
        <f t="shared" si="24"/>
        <v>0.8390421645</v>
      </c>
      <c r="BN182" s="587">
        <v>1.0</v>
      </c>
      <c r="BO182" s="588">
        <v>0.0</v>
      </c>
      <c r="BP182" s="589">
        <v>1.0</v>
      </c>
      <c r="BQ182" s="590">
        <f t="shared" si="25"/>
        <v>0</v>
      </c>
      <c r="BR182" s="560" t="str">
        <f t="shared" si="26"/>
        <v>1010</v>
      </c>
      <c r="BS182" s="560" t="str">
        <f t="shared" si="27"/>
        <v>MDA1/2+T2</v>
      </c>
      <c r="BT182" s="606" t="str">
        <f t="shared" si="44"/>
        <v>IVM+ALB or DEC +ALB</v>
      </c>
      <c r="BU182" s="560" t="str">
        <f t="shared" si="29"/>
        <v>PZQ</v>
      </c>
      <c r="BV182" s="560" t="str">
        <f t="shared" si="30"/>
        <v>lf+schist </v>
      </c>
      <c r="BW182" s="150" t="str">
        <f t="shared" si="31"/>
        <v/>
      </c>
      <c r="BX182" s="607">
        <f t="shared" si="32"/>
        <v>38.69401642</v>
      </c>
      <c r="BY182" s="151" t="str">
        <f t="shared" si="33"/>
        <v/>
      </c>
      <c r="BZ182" s="152" t="str">
        <f t="shared" si="34"/>
        <v/>
      </c>
      <c r="CA182" s="152" t="str">
        <f t="shared" si="35"/>
        <v/>
      </c>
      <c r="CB182" s="152" t="str">
        <f t="shared" si="36"/>
        <v/>
      </c>
      <c r="CC182" s="153" t="str">
        <f t="shared" si="37"/>
        <v/>
      </c>
      <c r="CD182" s="153" t="str">
        <f t="shared" si="38"/>
        <v/>
      </c>
      <c r="CE182" s="154" t="str">
        <f t="shared" si="39"/>
        <v/>
      </c>
      <c r="CF182" s="154" t="str">
        <f t="shared" si="40"/>
        <v/>
      </c>
      <c r="CG182" s="154" t="str">
        <f t="shared" si="41"/>
        <v/>
      </c>
      <c r="CH182" s="308" t="str">
        <f t="shared" si="42"/>
        <v/>
      </c>
    </row>
    <row r="183">
      <c r="A183" s="599" t="s">
        <v>272</v>
      </c>
      <c r="B183" s="560" t="s">
        <v>90</v>
      </c>
      <c r="C183" s="635">
        <v>4.6447697E7</v>
      </c>
      <c r="D183" s="562">
        <v>0.0</v>
      </c>
      <c r="E183" s="563">
        <v>0.0</v>
      </c>
      <c r="F183" s="564">
        <v>0.0</v>
      </c>
      <c r="G183" s="564">
        <v>0.0</v>
      </c>
      <c r="H183" s="564">
        <v>0.0</v>
      </c>
      <c r="I183" s="565">
        <v>0.0</v>
      </c>
      <c r="J183" s="630">
        <v>0.0</v>
      </c>
      <c r="K183" s="630">
        <v>0.0</v>
      </c>
      <c r="L183" s="567">
        <v>0.0</v>
      </c>
      <c r="M183" s="568">
        <v>0.0</v>
      </c>
      <c r="N183" s="568">
        <v>0.0</v>
      </c>
      <c r="O183" s="569">
        <v>0.0</v>
      </c>
      <c r="P183" s="570"/>
      <c r="Q183" s="150"/>
      <c r="R183" s="571"/>
      <c r="S183" s="116">
        <f t="shared" si="6"/>
        <v>0.6648642857</v>
      </c>
      <c r="T183" s="151"/>
      <c r="U183" s="572">
        <f t="shared" si="7"/>
        <v>0.53016</v>
      </c>
      <c r="V183" s="598"/>
      <c r="W183" s="574" t="b">
        <f t="shared" si="8"/>
        <v>0</v>
      </c>
      <c r="X183" s="598"/>
      <c r="Y183" s="574">
        <f t="shared" si="9"/>
        <v>0.631675</v>
      </c>
      <c r="Z183" s="308"/>
      <c r="AA183" s="308"/>
      <c r="AB183" s="575" t="str">
        <f t="shared" si="10"/>
        <v/>
      </c>
      <c r="AC183" s="576">
        <f t="shared" si="11"/>
        <v>0.7192241206</v>
      </c>
      <c r="AD183" s="614">
        <v>0.0</v>
      </c>
      <c r="AE183" s="572">
        <v>0.0</v>
      </c>
      <c r="AF183" s="578">
        <v>0.0</v>
      </c>
      <c r="AG183" s="133">
        <v>0.0</v>
      </c>
      <c r="AH183" s="133">
        <v>0.0</v>
      </c>
      <c r="AI183" s="623">
        <v>0.0</v>
      </c>
      <c r="AJ183" s="623">
        <v>0.0</v>
      </c>
      <c r="AK183" s="624">
        <v>0.0</v>
      </c>
      <c r="AL183" s="624">
        <v>0.0</v>
      </c>
      <c r="AM183" s="581">
        <v>0.0</v>
      </c>
      <c r="AN183" s="571" t="str">
        <f>IFERROR(
  AVERAGEIFS(
    'New LF Efficacy'!$J:$J,
    'New LF Efficacy'!$D:$D, $A183,
    'New LF Efficacy'!$F:$F,"DEC", 
    'New LF Efficacy'!$W:$W,"&lt;2016",
    'New LF Efficacy'!$AA:$AA,""),
  ""
)</f>
        <v/>
      </c>
      <c r="AO183" s="582">
        <f t="shared" si="12"/>
        <v>0.3573520833</v>
      </c>
      <c r="AP183" s="571" t="str">
        <f>IFERROR(
AVERAGEIFS(
'New LF Efficacy'!$J:$J,
'New LF Efficacy'!$D:$D,$A183,
'New LF Efficacy'!$F:$F,"Albendazole &amp; DEC",
'New LF Efficacy'!$W:$W,"&lt;2016",
'New LF Efficacy'!$AA:$AA,""),
"")</f>
        <v/>
      </c>
      <c r="AQ183" s="582">
        <f t="shared" si="13"/>
        <v>0.5143541667</v>
      </c>
      <c r="AR183" s="571" t="str">
        <f>IFERROR(
AVERAGEIFS(
'New LF Efficacy'!$J:$J,
'New LF Efficacy'!$D:$D,$A183,
'New LF Efficacy'!$F:$F,"Albendazole &amp; Ivermectin", 
'New LF Efficacy'!$W:$W,"&lt;2016",
'New LF Efficacy'!$AA:$AA,""),"")</f>
        <v/>
      </c>
      <c r="AS183" s="582">
        <f t="shared" si="14"/>
        <v>0.37153125</v>
      </c>
      <c r="AT183" s="583" t="str">
        <f>IFERROR(AVERAGEIFS(
'Schist Efficacy'!$O:$O, 
'Schist Efficacy'!$C:$C,$A183, 
'Schist Efficacy'!$D:$D, "Praziquantel",
'Schist Efficacy'!$J:$J,"&lt;2016",
'Schist Efficacy'!$U:$U,""),
"")</f>
        <v/>
      </c>
      <c r="AU183" s="572">
        <f t="shared" si="15"/>
        <v>0.655</v>
      </c>
      <c r="AV183" s="131" t="str">
        <f>IFERROR(AVERAGEIFS(
'STH Efficacy'!$AX:$AX, 
'STH Efficacy'!$AL:$AL, $A183, 
'STH Efficacy'!$AM:$AM, "Albendazole",
'STH Efficacy'!$AS:$AS,"&lt;2016",
'STH Efficacy'!$BP:$BP,""),
"")</f>
        <v/>
      </c>
      <c r="AW183" s="132">
        <f t="shared" si="16"/>
        <v>0.4143846154</v>
      </c>
      <c r="AX183" s="131" t="str">
        <f>IFERROR(AVERAGEIFS(
'STH Efficacy'!$AX:$AX, 
'STH Efficacy'!$AL:$AL, $A183, 
'STH Efficacy'!$AM:$AM, "Mebendazole",
'STH Efficacy'!$AS:$AS,"&lt;2016",
'STH Efficacy'!$BP:$BP,""),
"")</f>
        <v/>
      </c>
      <c r="AY183" s="132">
        <f t="shared" si="17"/>
        <v>0.4691770833</v>
      </c>
      <c r="AZ183" s="131" t="str">
        <f>IFERROR(AVERAGEIFS(
'STH Efficacy'!$AX:$AX, 
'STH Efficacy'!$AL:$AL, $A183, 
'STH Efficacy'!$AM:$AM, "Albendazole &amp; Ivermectin",
'STH Efficacy'!$AS:$AS,"&lt;2016",
'STH Efficacy'!$BP:$BP,""),
"")</f>
        <v/>
      </c>
      <c r="BA183" s="303">
        <f t="shared" si="18"/>
        <v>0.597625</v>
      </c>
      <c r="BB183" s="584" t="str">
        <f>IFERROR(AVERAGEIFS(
'STH Efficacy'!$N:$N, 
'STH Efficacy'!$B:$B, $A183, 
'STH Efficacy'!$C:$C, "Albendazole",
'STH Efficacy'!$I:$I,"&lt;2016",
'STH Efficacy'!$AH:$AH,""),
"")</f>
        <v/>
      </c>
      <c r="BC183" s="579">
        <f t="shared" si="19"/>
        <v>0.7613712121</v>
      </c>
      <c r="BD183" s="584" t="str">
        <f>IFERROR(AVERAGEIFS(
'STH Efficacy'!$N:$N, 
'STH Efficacy'!$B:$B, $A183, 
'STH Efficacy'!$C:$C, "Mebendazole",
'STH Efficacy'!$I:$I,"&lt;2016",
'STH Efficacy'!$AH:$AH,""),
"")</f>
        <v/>
      </c>
      <c r="BE183" s="579">
        <f t="shared" si="20"/>
        <v>0.4362466667</v>
      </c>
      <c r="BF183" s="585" t="str">
        <f>IFERROR(AVERAGEIFS(
'STH Efficacy'!$CD:$CD, 
'STH Efficacy'!$BS:$BS, $A183, 
'STH Efficacy'!$BT:$BT, "Albendazole",
'STH Efficacy'!$BZ:$BZ,"&lt;2016",
'STH Efficacy'!$CU:$CU,""),
"")</f>
        <v/>
      </c>
      <c r="BG183" s="580">
        <f t="shared" si="21"/>
        <v>0.9216027778</v>
      </c>
      <c r="BH183" s="585" t="str">
        <f>IFERROR(AVERAGEIFS(
'STH Efficacy'!$CD:$CD, 
'STH Efficacy'!$BS:$BS, $A183, 
'STH Efficacy'!$BT:$BT, "Mebendazole",
'STH Efficacy'!$BZ:$BZ,"&lt;2016",
'STH Efficacy'!$CU:$CU,""),
"")</f>
        <v/>
      </c>
      <c r="BI183" s="580">
        <f t="shared" si="22"/>
        <v>0.8866041667</v>
      </c>
      <c r="BJ183" s="585" t="str">
        <f>IFERROR(AVERAGEIFS(
'STH Efficacy'!$CD:$CD, 
'STH Efficacy'!$BS:$BS, $A183, 
'STH Efficacy'!$BT:$BT, "Albendazole &amp; Ivermectin",
'STH Efficacy'!$BZ:$BZ,"&lt;2016",
'STH Efficacy'!$CU:$CU,""),
"")</f>
        <v/>
      </c>
      <c r="BK183" s="580">
        <f t="shared" si="23"/>
        <v>0.848</v>
      </c>
      <c r="BL183" s="575" t="str">
        <f>IFERROR(
  AVERAGEIFS(
    'NEW Onchocerciasis Efficacy'!$AO:$AO,
    'NEW Onchocerciasis Efficacy'!$C:$C,$A183,
    'NEW Onchocerciasis Efficacy'!$D:$D,"Ivermectin",
    'NEW Onchocerciasis Efficacy'!$AR:$AR,"&lt;2016",
    'NEW Onchocerciasis Efficacy'!$BG:$BG,"")
,"")</f>
        <v/>
      </c>
      <c r="BM183" s="586">
        <f t="shared" si="24"/>
        <v>0.7808368939</v>
      </c>
      <c r="BN183" s="587">
        <v>0.0</v>
      </c>
      <c r="BO183" s="588">
        <v>1.0</v>
      </c>
      <c r="BP183" s="589">
        <v>1.0</v>
      </c>
      <c r="BQ183" s="590">
        <f t="shared" si="25"/>
        <v>0</v>
      </c>
      <c r="BR183" s="560" t="str">
        <f t="shared" si="26"/>
        <v>0110</v>
      </c>
      <c r="BS183" s="560" t="str">
        <f t="shared" si="27"/>
        <v>MDA3+T2</v>
      </c>
      <c r="BT183" s="606" t="str">
        <f t="shared" si="44"/>
        <v>IVM</v>
      </c>
      <c r="BU183" s="560" t="str">
        <f t="shared" si="29"/>
        <v>PZQ</v>
      </c>
      <c r="BV183" s="560" t="str">
        <f t="shared" si="30"/>
        <v>onch+schist</v>
      </c>
      <c r="BW183" s="150" t="str">
        <f t="shared" si="31"/>
        <v/>
      </c>
      <c r="BX183" s="150" t="str">
        <f t="shared" si="32"/>
        <v/>
      </c>
      <c r="BY183" s="608">
        <f t="shared" si="33"/>
        <v>0</v>
      </c>
      <c r="BZ183" s="152" t="str">
        <f t="shared" si="34"/>
        <v/>
      </c>
      <c r="CA183" s="152" t="str">
        <f t="shared" si="35"/>
        <v/>
      </c>
      <c r="CB183" s="152" t="str">
        <f t="shared" si="36"/>
        <v/>
      </c>
      <c r="CC183" s="153" t="str">
        <f t="shared" si="37"/>
        <v/>
      </c>
      <c r="CD183" s="153" t="str">
        <f t="shared" si="38"/>
        <v/>
      </c>
      <c r="CE183" s="154" t="str">
        <f t="shared" si="39"/>
        <v/>
      </c>
      <c r="CF183" s="154" t="str">
        <f t="shared" si="40"/>
        <v/>
      </c>
      <c r="CG183" s="154" t="str">
        <f t="shared" si="41"/>
        <v/>
      </c>
      <c r="CH183" s="637">
        <f t="shared" si="42"/>
        <v>0</v>
      </c>
    </row>
    <row r="184">
      <c r="A184" s="559" t="s">
        <v>273</v>
      </c>
      <c r="B184" s="560" t="s">
        <v>109</v>
      </c>
      <c r="C184" s="635">
        <v>2.0966E7</v>
      </c>
      <c r="D184" s="562">
        <v>0.0</v>
      </c>
      <c r="E184" s="563">
        <v>0.0</v>
      </c>
      <c r="F184" s="564">
        <v>16.1012047</v>
      </c>
      <c r="G184" s="564">
        <v>119.1647222</v>
      </c>
      <c r="H184" s="564">
        <v>501.4891936</v>
      </c>
      <c r="I184" s="565">
        <v>37.56346714</v>
      </c>
      <c r="J184" s="566">
        <v>151.834374245923</v>
      </c>
      <c r="K184" s="566">
        <v>1106.28595952444</v>
      </c>
      <c r="L184" s="567">
        <v>44.85879394</v>
      </c>
      <c r="M184" s="568">
        <v>86.7613318306914</v>
      </c>
      <c r="N184" s="568">
        <v>284.12001682717</v>
      </c>
      <c r="O184" s="569">
        <v>0.0</v>
      </c>
      <c r="P184" s="570"/>
      <c r="Q184" s="150"/>
      <c r="R184" s="571"/>
      <c r="S184" s="116">
        <f t="shared" si="6"/>
        <v>0.72214</v>
      </c>
      <c r="T184" s="151"/>
      <c r="U184" s="572">
        <f t="shared" si="7"/>
        <v>0.2806</v>
      </c>
      <c r="V184" s="598"/>
      <c r="W184" s="574">
        <f t="shared" si="8"/>
        <v>0.9373142857</v>
      </c>
      <c r="X184" s="598"/>
      <c r="Y184" s="574">
        <f t="shared" si="9"/>
        <v>0.8943375</v>
      </c>
      <c r="Z184" s="308"/>
      <c r="AA184" s="308"/>
      <c r="AB184" s="575" t="str">
        <f t="shared" si="10"/>
        <v/>
      </c>
      <c r="AC184" s="576">
        <f t="shared" si="11"/>
        <v>0.7192241206</v>
      </c>
      <c r="AD184" s="614">
        <v>0.0</v>
      </c>
      <c r="AE184" s="572">
        <v>0.0</v>
      </c>
      <c r="AF184" s="578">
        <v>0.0</v>
      </c>
      <c r="AG184" s="132">
        <v>0.04956944223</v>
      </c>
      <c r="AH184" s="132">
        <v>0.15609827</v>
      </c>
      <c r="AI184" s="579">
        <v>0.0130596429</v>
      </c>
      <c r="AJ184" s="579">
        <v>0.01575972064</v>
      </c>
      <c r="AK184" s="580">
        <v>0.02761578483</v>
      </c>
      <c r="AL184" s="580">
        <v>0.03160358461</v>
      </c>
      <c r="AM184" s="581">
        <v>0.0</v>
      </c>
      <c r="AN184" s="571">
        <f>IFERROR(
  AVERAGEIFS(
    'New LF Efficacy'!$J:$J,
    'New LF Efficacy'!$D:$D, $A184,
    'New LF Efficacy'!$F:$F,"DEC", 
    'New LF Efficacy'!$W:$W,"&lt;2016",
    'New LF Efficacy'!$AA:$AA,""),
  ""
)</f>
        <v>0.58335</v>
      </c>
      <c r="AO184" s="582">
        <f t="shared" si="12"/>
        <v>0.58335</v>
      </c>
      <c r="AP184" s="571" t="str">
        <f>IFERROR(
AVERAGEIFS(
'New LF Efficacy'!$J:$J,
'New LF Efficacy'!$D:$D,$A184,
'New LF Efficacy'!$F:$F,"Albendazole &amp; DEC",
'New LF Efficacy'!$W:$W,"&lt;2016",
'New LF Efficacy'!$AA:$AA,""),
"")</f>
        <v/>
      </c>
      <c r="AQ184" s="582">
        <f t="shared" si="13"/>
        <v>0.5831666667</v>
      </c>
      <c r="AR184" s="571" t="str">
        <f>IFERROR(
AVERAGEIFS(
'New LF Efficacy'!$J:$J,
'New LF Efficacy'!$D:$D,$A184,
'New LF Efficacy'!$F:$F,"Albendazole &amp; Ivermectin", 
'New LF Efficacy'!$W:$W,"&lt;2016",
'New LF Efficacy'!$AA:$AA,""),"")</f>
        <v/>
      </c>
      <c r="AS184" s="582">
        <f t="shared" si="14"/>
        <v>0.14</v>
      </c>
      <c r="AT184" s="583" t="str">
        <f>IFERROR(AVERAGEIFS(
'Schist Efficacy'!$O:$O, 
'Schist Efficacy'!$C:$C,$A184, 
'Schist Efficacy'!$D:$D, "Praziquantel",
'Schist Efficacy'!$J:$J,"&lt;2016",
'Schist Efficacy'!$U:$U,""),
"")</f>
        <v/>
      </c>
      <c r="AU184" s="572">
        <f t="shared" si="15"/>
        <v>0.743990088</v>
      </c>
      <c r="AV184" s="131" t="str">
        <f>IFERROR(AVERAGEIFS(
'STH Efficacy'!$AX:$AX, 
'STH Efficacy'!$AL:$AL, $A184, 
'STH Efficacy'!$AM:$AM, "Albendazole",
'STH Efficacy'!$AS:$AS,"&lt;2016",
'STH Efficacy'!$BP:$BP,""),
"")</f>
        <v/>
      </c>
      <c r="AW184" s="132">
        <f t="shared" si="16"/>
        <v>0.5394444444</v>
      </c>
      <c r="AX184" s="131" t="str">
        <f>IFERROR(AVERAGEIFS(
'STH Efficacy'!$AX:$AX, 
'STH Efficacy'!$AL:$AL, $A184, 
'STH Efficacy'!$AM:$AM, "Mebendazole",
'STH Efficacy'!$AS:$AS,"&lt;2016",
'STH Efficacy'!$BP:$BP,""),
"")</f>
        <v/>
      </c>
      <c r="AY184" s="132">
        <f t="shared" si="17"/>
        <v>0.3786666667</v>
      </c>
      <c r="AZ184" s="131" t="str">
        <f>IFERROR(AVERAGEIFS(
'STH Efficacy'!$AX:$AX, 
'STH Efficacy'!$AL:$AL, $A184, 
'STH Efficacy'!$AM:$AM, "Albendazole &amp; Ivermectin",
'STH Efficacy'!$AS:$AS,"&lt;2016",
'STH Efficacy'!$BP:$BP,""),
"")</f>
        <v/>
      </c>
      <c r="BA184" s="303">
        <f t="shared" si="18"/>
        <v>0.597625</v>
      </c>
      <c r="BB184" s="584">
        <f>IFERROR(AVERAGEIFS(
'STH Efficacy'!$N:$N, 
'STH Efficacy'!$B:$B, $A184, 
'STH Efficacy'!$C:$C, "Albendazole",
'STH Efficacy'!$I:$I,"&lt;2016",
'STH Efficacy'!$AH:$AH,""),
"")</f>
        <v>0.779</v>
      </c>
      <c r="BC184" s="579">
        <f t="shared" si="19"/>
        <v>0.779</v>
      </c>
      <c r="BD184" s="584">
        <f>IFERROR(AVERAGEIFS(
'STH Efficacy'!$N:$N, 
'STH Efficacy'!$B:$B, $A184, 
'STH Efficacy'!$C:$C, "Mebendazole",
'STH Efficacy'!$I:$I,"&lt;2016",
'STH Efficacy'!$AH:$AH,""),
"")</f>
        <v>0.279</v>
      </c>
      <c r="BE184" s="579">
        <f t="shared" si="20"/>
        <v>0.279</v>
      </c>
      <c r="BF184" s="585" t="str">
        <f>IFERROR(AVERAGEIFS(
'STH Efficacy'!$CD:$CD, 
'STH Efficacy'!$BS:$BS, $A184, 
'STH Efficacy'!$BT:$BT, "Albendazole",
'STH Efficacy'!$BZ:$BZ,"&lt;2016",
'STH Efficacy'!$CU:$CU,""),
"")</f>
        <v/>
      </c>
      <c r="BG184" s="580">
        <f t="shared" si="21"/>
        <v>0.83</v>
      </c>
      <c r="BH184" s="585" t="str">
        <f>IFERROR(AVERAGEIFS(
'STH Efficacy'!$CD:$CD, 
'STH Efficacy'!$BS:$BS, $A184, 
'STH Efficacy'!$BT:$BT, "Mebendazole",
'STH Efficacy'!$BZ:$BZ,"&lt;2016",
'STH Efficacy'!$CU:$CU,""),
"")</f>
        <v/>
      </c>
      <c r="BI184" s="580">
        <f t="shared" si="22"/>
        <v>1</v>
      </c>
      <c r="BJ184" s="585" t="str">
        <f>IFERROR(AVERAGEIFS(
'STH Efficacy'!$CD:$CD, 
'STH Efficacy'!$BS:$BS, $A184, 
'STH Efficacy'!$BT:$BT, "Albendazole &amp; Ivermectin",
'STH Efficacy'!$BZ:$BZ,"&lt;2016",
'STH Efficacy'!$CU:$CU,""),
"")</f>
        <v/>
      </c>
      <c r="BK184" s="580">
        <f t="shared" si="23"/>
        <v>0.848</v>
      </c>
      <c r="BL184" s="575" t="str">
        <f>IFERROR(
  AVERAGEIFS(
    'NEW Onchocerciasis Efficacy'!$AO:$AO,
    'NEW Onchocerciasis Efficacy'!$C:$C,$A184,
    'NEW Onchocerciasis Efficacy'!$D:$D,"Ivermectin",
    'NEW Onchocerciasis Efficacy'!$AR:$AR,"&lt;2016",
    'NEW Onchocerciasis Efficacy'!$BG:$BG,"")
,"")</f>
        <v/>
      </c>
      <c r="BM184" s="586">
        <f t="shared" si="24"/>
        <v>0.7808368939</v>
      </c>
      <c r="BN184" s="587">
        <v>0.0</v>
      </c>
      <c r="BO184" s="588">
        <v>0.0</v>
      </c>
      <c r="BP184" s="589">
        <v>0.0</v>
      </c>
      <c r="BQ184" s="590">
        <f t="shared" si="25"/>
        <v>0</v>
      </c>
      <c r="BR184" s="560" t="str">
        <f t="shared" si="26"/>
        <v>0000</v>
      </c>
      <c r="BS184" s="560" t="str">
        <f t="shared" si="27"/>
        <v>no action required</v>
      </c>
      <c r="BT184" s="361" t="str">
        <f t="shared" si="44"/>
        <v/>
      </c>
      <c r="BU184" s="591" t="str">
        <f t="shared" si="29"/>
        <v/>
      </c>
      <c r="BV184" s="560" t="str">
        <f t="shared" si="30"/>
        <v>none</v>
      </c>
      <c r="BW184" s="150" t="str">
        <f t="shared" si="31"/>
        <v/>
      </c>
      <c r="BX184" s="150" t="str">
        <f t="shared" si="32"/>
        <v/>
      </c>
      <c r="BY184" s="151" t="str">
        <f t="shared" si="33"/>
        <v/>
      </c>
      <c r="BZ184" s="152" t="str">
        <f t="shared" si="34"/>
        <v/>
      </c>
      <c r="CA184" s="152" t="str">
        <f t="shared" si="35"/>
        <v/>
      </c>
      <c r="CB184" s="152" t="str">
        <f t="shared" si="36"/>
        <v/>
      </c>
      <c r="CC184" s="153" t="str">
        <f t="shared" si="37"/>
        <v/>
      </c>
      <c r="CD184" s="153" t="str">
        <f t="shared" si="38"/>
        <v/>
      </c>
      <c r="CE184" s="154" t="str">
        <f t="shared" si="39"/>
        <v/>
      </c>
      <c r="CF184" s="154" t="str">
        <f t="shared" si="40"/>
        <v/>
      </c>
      <c r="CG184" s="154" t="str">
        <f t="shared" si="41"/>
        <v/>
      </c>
      <c r="CH184" s="308" t="str">
        <f t="shared" si="42"/>
        <v/>
      </c>
    </row>
    <row r="185">
      <c r="A185" s="559" t="s">
        <v>274</v>
      </c>
      <c r="B185" s="560" t="s">
        <v>88</v>
      </c>
      <c r="C185" s="635">
        <v>3.8647803E7</v>
      </c>
      <c r="D185" s="562">
        <v>2212.779179</v>
      </c>
      <c r="E185" s="563">
        <v>5307.03403202865</v>
      </c>
      <c r="F185" s="564">
        <v>5.37E-5</v>
      </c>
      <c r="G185" s="564">
        <v>5.63104E-4</v>
      </c>
      <c r="H185" s="564">
        <v>0.003121615</v>
      </c>
      <c r="I185" s="565">
        <v>306.5460804</v>
      </c>
      <c r="J185" s="566">
        <v>970.581153313975</v>
      </c>
      <c r="K185" s="566">
        <v>3717.13480229958</v>
      </c>
      <c r="L185" s="567">
        <v>350.6756158</v>
      </c>
      <c r="M185" s="568">
        <v>91.8659550277825</v>
      </c>
      <c r="N185" s="568">
        <v>467.124492213618</v>
      </c>
      <c r="O185" s="569">
        <v>5223.5</v>
      </c>
      <c r="P185" s="601">
        <v>159961.567521</v>
      </c>
      <c r="Q185" s="618">
        <v>1455505.0</v>
      </c>
      <c r="R185" s="603">
        <v>0.1495</v>
      </c>
      <c r="S185" s="116">
        <f t="shared" si="6"/>
        <v>0.1495</v>
      </c>
      <c r="T185" s="572">
        <v>0.3235</v>
      </c>
      <c r="U185" s="572">
        <f t="shared" si="7"/>
        <v>0.3235</v>
      </c>
      <c r="V185" s="598"/>
      <c r="W185" s="574">
        <f t="shared" si="8"/>
        <v>0.97535</v>
      </c>
      <c r="X185" s="573">
        <v>0.0</v>
      </c>
      <c r="Y185" s="574">
        <f t="shared" si="9"/>
        <v>0</v>
      </c>
      <c r="Z185" s="604">
        <v>456851.0</v>
      </c>
      <c r="AA185" s="604">
        <v>419037.0</v>
      </c>
      <c r="AB185" s="576">
        <f t="shared" si="10"/>
        <v>0.9172290309</v>
      </c>
      <c r="AC185" s="576">
        <f t="shared" si="11"/>
        <v>0.9172290309</v>
      </c>
      <c r="AD185" s="577">
        <v>0.004118145573</v>
      </c>
      <c r="AE185" s="572">
        <v>0.0112083358</v>
      </c>
      <c r="AF185" s="578">
        <v>0.001578102398</v>
      </c>
      <c r="AG185" s="133">
        <v>0.01514961801</v>
      </c>
      <c r="AH185" s="133">
        <v>0.049323103</v>
      </c>
      <c r="AI185" s="623">
        <v>0.02668110215</v>
      </c>
      <c r="AJ185" s="623">
        <v>0.03346148558</v>
      </c>
      <c r="AK185" s="624">
        <v>0.02612571903</v>
      </c>
      <c r="AL185" s="624">
        <v>0.03115127303</v>
      </c>
      <c r="AM185" s="581">
        <v>0.00204917644</v>
      </c>
      <c r="AN185" s="571" t="str">
        <f>IFERROR(
  AVERAGEIFS(
    'New LF Efficacy'!$J:$J,
    'New LF Efficacy'!$D:$D, $A185,
    'New LF Efficacy'!$F:$F,"DEC", 
    'New LF Efficacy'!$W:$W,"&lt;2016",
    'New LF Efficacy'!$AA:$AA,""),
  ""
)</f>
        <v/>
      </c>
      <c r="AO185" s="582">
        <f t="shared" si="12"/>
        <v>0.3573520833</v>
      </c>
      <c r="AP185" s="571" t="str">
        <f>IFERROR(
AVERAGEIFS(
'New LF Efficacy'!$J:$J,
'New LF Efficacy'!$D:$D,$A185,
'New LF Efficacy'!$F:$F,"Albendazole &amp; DEC",
'New LF Efficacy'!$W:$W,"&lt;2016",
'New LF Efficacy'!$AA:$AA,""),
"")</f>
        <v/>
      </c>
      <c r="AQ185" s="582">
        <f t="shared" si="13"/>
        <v>0.7935</v>
      </c>
      <c r="AR185" s="571" t="str">
        <f>IFERROR(
AVERAGEIFS(
'New LF Efficacy'!$J:$J,
'New LF Efficacy'!$D:$D,$A185,
'New LF Efficacy'!$F:$F,"Albendazole &amp; Ivermectin", 
'New LF Efficacy'!$W:$W,"&lt;2016",
'New LF Efficacy'!$AA:$AA,""),"")</f>
        <v/>
      </c>
      <c r="AS185" s="582">
        <f t="shared" si="14"/>
        <v>0.37153125</v>
      </c>
      <c r="AT185" s="583">
        <f>IFERROR(AVERAGEIFS(
'Schist Efficacy'!$O:$O, 
'Schist Efficacy'!$C:$C,$A185, 
'Schist Efficacy'!$D:$D, "Praziquantel",
'Schist Efficacy'!$J:$J,"&lt;2016",
'Schist Efficacy'!$U:$U,""),
"")</f>
        <v>0.7706923077</v>
      </c>
      <c r="AU185" s="572">
        <f t="shared" si="15"/>
        <v>0.7706923077</v>
      </c>
      <c r="AV185" s="131" t="str">
        <f>IFERROR(AVERAGEIFS(
'STH Efficacy'!$AX:$AX, 
'STH Efficacy'!$AL:$AL, $A185, 
'STH Efficacy'!$AM:$AM, "Albendazole",
'STH Efficacy'!$AS:$AS,"&lt;2016",
'STH Efficacy'!$BP:$BP,""),
"")</f>
        <v/>
      </c>
      <c r="AW185" s="132">
        <f t="shared" si="16"/>
        <v>0.4143846154</v>
      </c>
      <c r="AX185" s="131" t="str">
        <f>IFERROR(AVERAGEIFS(
'STH Efficacy'!$AX:$AX, 
'STH Efficacy'!$AL:$AL, $A185, 
'STH Efficacy'!$AM:$AM, "Mebendazole",
'STH Efficacy'!$AS:$AS,"&lt;2016",
'STH Efficacy'!$BP:$BP,""),
"")</f>
        <v/>
      </c>
      <c r="AY185" s="132">
        <f t="shared" si="17"/>
        <v>0.4691770833</v>
      </c>
      <c r="AZ185" s="131" t="str">
        <f>IFERROR(AVERAGEIFS(
'STH Efficacy'!$AX:$AX, 
'STH Efficacy'!$AL:$AL, $A185, 
'STH Efficacy'!$AM:$AM, "Albendazole &amp; Ivermectin",
'STH Efficacy'!$AS:$AS,"&lt;2016",
'STH Efficacy'!$BP:$BP,""),
"")</f>
        <v/>
      </c>
      <c r="BA185" s="303">
        <f t="shared" si="18"/>
        <v>0.597625</v>
      </c>
      <c r="BB185" s="584" t="str">
        <f>IFERROR(AVERAGEIFS(
'STH Efficacy'!$N:$N, 
'STH Efficacy'!$B:$B, $A185, 
'STH Efficacy'!$C:$C, "Albendazole",
'STH Efficacy'!$I:$I,"&lt;2016",
'STH Efficacy'!$AH:$AH,""),
"")</f>
        <v/>
      </c>
      <c r="BC185" s="579">
        <f t="shared" si="19"/>
        <v>0.7613712121</v>
      </c>
      <c r="BD185" s="584" t="str">
        <f>IFERROR(AVERAGEIFS(
'STH Efficacy'!$N:$N, 
'STH Efficacy'!$B:$B, $A185, 
'STH Efficacy'!$C:$C, "Mebendazole",
'STH Efficacy'!$I:$I,"&lt;2016",
'STH Efficacy'!$AH:$AH,""),
"")</f>
        <v/>
      </c>
      <c r="BE185" s="579">
        <f t="shared" si="20"/>
        <v>0.4362466667</v>
      </c>
      <c r="BF185" s="585" t="str">
        <f>IFERROR(AVERAGEIFS(
'STH Efficacy'!$CD:$CD, 
'STH Efficacy'!$BS:$BS, $A185, 
'STH Efficacy'!$BT:$BT, "Albendazole",
'STH Efficacy'!$BZ:$BZ,"&lt;2016",
'STH Efficacy'!$CU:$CU,""),
"")</f>
        <v/>
      </c>
      <c r="BG185" s="580">
        <f t="shared" si="21"/>
        <v>0.955</v>
      </c>
      <c r="BH185" s="585" t="str">
        <f>IFERROR(AVERAGEIFS(
'STH Efficacy'!$CD:$CD, 
'STH Efficacy'!$BS:$BS, $A185, 
'STH Efficacy'!$BT:$BT, "Mebendazole",
'STH Efficacy'!$BZ:$BZ,"&lt;2016",
'STH Efficacy'!$CU:$CU,""),
"")</f>
        <v/>
      </c>
      <c r="BI185" s="580">
        <f t="shared" si="22"/>
        <v>1</v>
      </c>
      <c r="BJ185" s="585" t="str">
        <f>IFERROR(AVERAGEIFS(
'STH Efficacy'!$CD:$CD, 
'STH Efficacy'!$BS:$BS, $A185, 
'STH Efficacy'!$BT:$BT, "Albendazole &amp; Ivermectin",
'STH Efficacy'!$BZ:$BZ,"&lt;2016",
'STH Efficacy'!$CU:$CU,""),
"")</f>
        <v/>
      </c>
      <c r="BK185" s="580">
        <f t="shared" si="23"/>
        <v>0.848</v>
      </c>
      <c r="BL185" s="575" t="str">
        <f>IFERROR(
  AVERAGEIFS(
    'NEW Onchocerciasis Efficacy'!$AO:$AO,
    'NEW Onchocerciasis Efficacy'!$C:$C,$A185,
    'NEW Onchocerciasis Efficacy'!$D:$D,"Ivermectin",
    'NEW Onchocerciasis Efficacy'!$AR:$AR,"&lt;2016",
    'NEW Onchocerciasis Efficacy'!$BG:$BG,"")
,"")</f>
        <v/>
      </c>
      <c r="BM185" s="586">
        <f t="shared" si="24"/>
        <v>0.7808368939</v>
      </c>
      <c r="BN185" s="587">
        <v>1.0</v>
      </c>
      <c r="BO185" s="588">
        <v>1.0</v>
      </c>
      <c r="BP185" s="589">
        <v>1.0</v>
      </c>
      <c r="BQ185" s="590">
        <f t="shared" si="25"/>
        <v>0</v>
      </c>
      <c r="BR185" s="560" t="str">
        <f t="shared" si="26"/>
        <v>1110</v>
      </c>
      <c r="BS185" s="560" t="str">
        <f t="shared" si="27"/>
        <v>MDA1+T2</v>
      </c>
      <c r="BT185" s="606" t="str">
        <f t="shared" si="44"/>
        <v>IVM+ALB</v>
      </c>
      <c r="BU185" s="560" t="str">
        <f t="shared" si="29"/>
        <v>PZQ</v>
      </c>
      <c r="BV185" s="560" t="str">
        <f t="shared" si="30"/>
        <v>lf+onch+schist </v>
      </c>
      <c r="BW185" s="150" t="str">
        <f t="shared" si="31"/>
        <v/>
      </c>
      <c r="BX185" s="607">
        <f t="shared" si="32"/>
        <v>130.1346211</v>
      </c>
      <c r="BY185" s="608">
        <f t="shared" si="33"/>
        <v>1762.591761</v>
      </c>
      <c r="BZ185" s="152" t="str">
        <f t="shared" si="34"/>
        <v/>
      </c>
      <c r="CA185" s="152" t="str">
        <f t="shared" si="35"/>
        <v/>
      </c>
      <c r="CB185" s="152" t="str">
        <f t="shared" si="36"/>
        <v/>
      </c>
      <c r="CC185" s="153" t="str">
        <f t="shared" si="37"/>
        <v/>
      </c>
      <c r="CD185" s="153" t="str">
        <f t="shared" si="38"/>
        <v/>
      </c>
      <c r="CE185" s="154" t="str">
        <f t="shared" si="39"/>
        <v/>
      </c>
      <c r="CF185" s="154" t="str">
        <f t="shared" si="40"/>
        <v/>
      </c>
      <c r="CG185" s="154" t="str">
        <f t="shared" si="41"/>
        <v/>
      </c>
      <c r="CH185" s="637">
        <f t="shared" si="42"/>
        <v>439.4157928</v>
      </c>
    </row>
    <row r="186">
      <c r="A186" s="559" t="s">
        <v>275</v>
      </c>
      <c r="B186" s="560" t="s">
        <v>98</v>
      </c>
      <c r="C186" s="635">
        <v>553208.0</v>
      </c>
      <c r="D186" s="562">
        <v>0.0</v>
      </c>
      <c r="E186" s="563">
        <v>78.1040947227465</v>
      </c>
      <c r="F186" s="564">
        <v>3.8E-6</v>
      </c>
      <c r="G186" s="564">
        <v>4.57E-5</v>
      </c>
      <c r="H186" s="564">
        <v>3.82855E-4</v>
      </c>
      <c r="I186" s="565">
        <v>0.493185551</v>
      </c>
      <c r="J186" s="566">
        <v>2.68327098267516</v>
      </c>
      <c r="K186" s="566">
        <v>16.494455148038</v>
      </c>
      <c r="L186" s="567">
        <v>0.91856044</v>
      </c>
      <c r="M186" s="568">
        <v>0.455799365752078</v>
      </c>
      <c r="N186" s="568">
        <v>1.87065470153567</v>
      </c>
      <c r="O186" s="569">
        <v>0.0</v>
      </c>
      <c r="P186" s="570"/>
      <c r="Q186" s="150"/>
      <c r="R186" s="571"/>
      <c r="S186" s="116">
        <f t="shared" si="6"/>
        <v>0.6451333333</v>
      </c>
      <c r="T186" s="151"/>
      <c r="U186" s="572">
        <f t="shared" si="7"/>
        <v>0.0025</v>
      </c>
      <c r="V186" s="598"/>
      <c r="W186" s="574">
        <f t="shared" si="8"/>
        <v>0.56882</v>
      </c>
      <c r="X186" s="598"/>
      <c r="Y186" s="574">
        <f t="shared" si="9"/>
        <v>0.5825818182</v>
      </c>
      <c r="Z186" s="308"/>
      <c r="AA186" s="308"/>
      <c r="AB186" s="575" t="str">
        <f t="shared" si="10"/>
        <v/>
      </c>
      <c r="AC186" s="576">
        <f t="shared" si="11"/>
        <v>0.7574216602</v>
      </c>
      <c r="AD186" s="577">
        <v>0.0</v>
      </c>
      <c r="AE186" s="572">
        <v>0.005891125203</v>
      </c>
      <c r="AF186" s="578">
        <v>1.934155743E-4</v>
      </c>
      <c r="AG186" s="133">
        <v>0.01595049609</v>
      </c>
      <c r="AH186" s="133">
        <v>0.05297471</v>
      </c>
      <c r="AI186" s="623">
        <v>0.008231012549</v>
      </c>
      <c r="AJ186" s="623">
        <v>0.01046306525</v>
      </c>
      <c r="AK186" s="624">
        <v>0.03129232843</v>
      </c>
      <c r="AL186" s="624">
        <v>0.03774857592</v>
      </c>
      <c r="AM186" s="581">
        <v>0.0</v>
      </c>
      <c r="AN186" s="571" t="str">
        <f>IFERROR(
  AVERAGEIFS(
    'New LF Efficacy'!$J:$J,
    'New LF Efficacy'!$D:$D, $A186,
    'New LF Efficacy'!$F:$F,"DEC", 
    'New LF Efficacy'!$W:$W,"&lt;2016",
    'New LF Efficacy'!$AA:$AA,""),
  ""
)</f>
        <v/>
      </c>
      <c r="AO186" s="582">
        <f t="shared" si="12"/>
        <v>0.2589833333</v>
      </c>
      <c r="AP186" s="571" t="str">
        <f>IFERROR(
AVERAGEIFS(
'New LF Efficacy'!$J:$J,
'New LF Efficacy'!$D:$D,$A186,
'New LF Efficacy'!$F:$F,"Albendazole &amp; DEC",
'New LF Efficacy'!$W:$W,"&lt;2016",
'New LF Efficacy'!$AA:$AA,""),
"")</f>
        <v/>
      </c>
      <c r="AQ186" s="582">
        <f t="shared" si="13"/>
        <v>0.3465</v>
      </c>
      <c r="AR186" s="571" t="str">
        <f>IFERROR(
AVERAGEIFS(
'New LF Efficacy'!$J:$J,
'New LF Efficacy'!$D:$D,$A186,
'New LF Efficacy'!$F:$F,"Albendazole &amp; Ivermectin", 
'New LF Efficacy'!$W:$W,"&lt;2016",
'New LF Efficacy'!$AA:$AA,""),"")</f>
        <v/>
      </c>
      <c r="AS186" s="582">
        <f t="shared" si="14"/>
        <v>0.7575</v>
      </c>
      <c r="AT186" s="583" t="str">
        <f>IFERROR(AVERAGEIFS(
'Schist Efficacy'!$O:$O, 
'Schist Efficacy'!$C:$C,$A186, 
'Schist Efficacy'!$D:$D, "Praziquantel",
'Schist Efficacy'!$J:$J,"&lt;2016",
'Schist Efficacy'!$U:$U,""),
"")</f>
        <v/>
      </c>
      <c r="AU186" s="572">
        <f t="shared" si="15"/>
        <v>0.7914761905</v>
      </c>
      <c r="AV186" s="131" t="str">
        <f>IFERROR(AVERAGEIFS(
'STH Efficacy'!$AX:$AX, 
'STH Efficacy'!$AL:$AL, $A186, 
'STH Efficacy'!$AM:$AM, "Albendazole",
'STH Efficacy'!$AS:$AS,"&lt;2016",
'STH Efficacy'!$BP:$BP,""),
"")</f>
        <v/>
      </c>
      <c r="AW186" s="132">
        <f t="shared" si="16"/>
        <v>0.3945</v>
      </c>
      <c r="AX186" s="131" t="str">
        <f>IFERROR(AVERAGEIFS(
'STH Efficacy'!$AX:$AX, 
'STH Efficacy'!$AL:$AL, $A186, 
'STH Efficacy'!$AM:$AM, "Mebendazole",
'STH Efficacy'!$AS:$AS,"&lt;2016",
'STH Efficacy'!$BP:$BP,""),
"")</f>
        <v/>
      </c>
      <c r="AY186" s="132">
        <f t="shared" si="17"/>
        <v>0.6</v>
      </c>
      <c r="AZ186" s="131" t="str">
        <f>IFERROR(AVERAGEIFS(
'STH Efficacy'!$AX:$AX, 
'STH Efficacy'!$AL:$AL, $A186, 
'STH Efficacy'!$AM:$AM, "Albendazole &amp; Ivermectin",
'STH Efficacy'!$AS:$AS,"&lt;2016",
'STH Efficacy'!$BP:$BP,""),
"")</f>
        <v/>
      </c>
      <c r="BA186" s="303">
        <f t="shared" si="18"/>
        <v>0.796</v>
      </c>
      <c r="BB186" s="584" t="str">
        <f>IFERROR(AVERAGEIFS(
'STH Efficacy'!$N:$N, 
'STH Efficacy'!$B:$B, $A186, 
'STH Efficacy'!$C:$C, "Albendazole",
'STH Efficacy'!$I:$I,"&lt;2016",
'STH Efficacy'!$AH:$AH,""),
"")</f>
        <v/>
      </c>
      <c r="BC186" s="579">
        <f t="shared" si="19"/>
        <v>0.869</v>
      </c>
      <c r="BD186" s="584" t="str">
        <f>IFERROR(AVERAGEIFS(
'STH Efficacy'!$N:$N, 
'STH Efficacy'!$B:$B, $A186, 
'STH Efficacy'!$C:$C, "Mebendazole",
'STH Efficacy'!$I:$I,"&lt;2016",
'STH Efficacy'!$AH:$AH,""),
"")</f>
        <v/>
      </c>
      <c r="BE186" s="579">
        <f t="shared" si="20"/>
        <v>0.172</v>
      </c>
      <c r="BF186" s="585" t="str">
        <f>IFERROR(AVERAGEIFS(
'STH Efficacy'!$CD:$CD, 
'STH Efficacy'!$BS:$BS, $A186, 
'STH Efficacy'!$BT:$BT, "Albendazole",
'STH Efficacy'!$BZ:$BZ,"&lt;2016",
'STH Efficacy'!$CU:$CU,""),
"")</f>
        <v/>
      </c>
      <c r="BG186" s="580">
        <f t="shared" si="21"/>
        <v>0.9862</v>
      </c>
      <c r="BH186" s="585" t="str">
        <f>IFERROR(AVERAGEIFS(
'STH Efficacy'!$CD:$CD, 
'STH Efficacy'!$BS:$BS, $A186, 
'STH Efficacy'!$BT:$BT, "Mebendazole",
'STH Efficacy'!$BZ:$BZ,"&lt;2016",
'STH Efficacy'!$CU:$CU,""),
"")</f>
        <v/>
      </c>
      <c r="BI186" s="580">
        <f t="shared" si="22"/>
        <v>0.769</v>
      </c>
      <c r="BJ186" s="585" t="str">
        <f>IFERROR(AVERAGEIFS(
'STH Efficacy'!$CD:$CD, 
'STH Efficacy'!$BS:$BS, $A186, 
'STH Efficacy'!$BT:$BT, "Albendazole &amp; Ivermectin",
'STH Efficacy'!$BZ:$BZ,"&lt;2016",
'STH Efficacy'!$CU:$CU,""),
"")</f>
        <v/>
      </c>
      <c r="BK186" s="580">
        <f t="shared" si="23"/>
        <v>1</v>
      </c>
      <c r="BL186" s="575" t="str">
        <f>IFERROR(
  AVERAGEIFS(
    'NEW Onchocerciasis Efficacy'!$AO:$AO,
    'NEW Onchocerciasis Efficacy'!$C:$C,$A186,
    'NEW Onchocerciasis Efficacy'!$D:$D,"Ivermectin",
    'NEW Onchocerciasis Efficacy'!$AR:$AR,"&lt;2016",
    'NEW Onchocerciasis Efficacy'!$BG:$BG,"")
,"")</f>
        <v/>
      </c>
      <c r="BM186" s="586">
        <f t="shared" si="24"/>
        <v>0.3734</v>
      </c>
      <c r="BN186" s="587">
        <v>0.0</v>
      </c>
      <c r="BO186" s="588">
        <v>0.0</v>
      </c>
      <c r="BP186" s="589">
        <v>0.0</v>
      </c>
      <c r="BQ186" s="590">
        <f t="shared" si="25"/>
        <v>0</v>
      </c>
      <c r="BR186" s="560" t="str">
        <f t="shared" si="26"/>
        <v>0000</v>
      </c>
      <c r="BS186" s="560" t="str">
        <f t="shared" si="27"/>
        <v>no action required</v>
      </c>
      <c r="BT186" s="361" t="str">
        <f t="shared" si="44"/>
        <v/>
      </c>
      <c r="BU186" s="591" t="str">
        <f t="shared" si="29"/>
        <v/>
      </c>
      <c r="BV186" s="560" t="str">
        <f t="shared" si="30"/>
        <v>none</v>
      </c>
      <c r="BW186" s="150" t="str">
        <f t="shared" si="31"/>
        <v/>
      </c>
      <c r="BX186" s="150" t="str">
        <f t="shared" si="32"/>
        <v/>
      </c>
      <c r="BY186" s="151" t="str">
        <f t="shared" si="33"/>
        <v/>
      </c>
      <c r="BZ186" s="152" t="str">
        <f t="shared" si="34"/>
        <v/>
      </c>
      <c r="CA186" s="152" t="str">
        <f t="shared" si="35"/>
        <v/>
      </c>
      <c r="CB186" s="152" t="str">
        <f t="shared" si="36"/>
        <v/>
      </c>
      <c r="CC186" s="153" t="str">
        <f t="shared" si="37"/>
        <v/>
      </c>
      <c r="CD186" s="153" t="str">
        <f t="shared" si="38"/>
        <v/>
      </c>
      <c r="CE186" s="154" t="str">
        <f t="shared" si="39"/>
        <v/>
      </c>
      <c r="CF186" s="154" t="str">
        <f t="shared" si="40"/>
        <v/>
      </c>
      <c r="CG186" s="154" t="str">
        <f t="shared" si="41"/>
        <v/>
      </c>
      <c r="CH186" s="308" t="str">
        <f t="shared" si="42"/>
        <v/>
      </c>
    </row>
    <row r="187">
      <c r="A187" s="559" t="s">
        <v>276</v>
      </c>
      <c r="B187" s="560" t="s">
        <v>92</v>
      </c>
      <c r="C187" s="635">
        <v>1319011.0</v>
      </c>
      <c r="D187" s="562">
        <v>0.0</v>
      </c>
      <c r="E187" s="563">
        <v>271.193693329365</v>
      </c>
      <c r="F187" s="564">
        <v>0.221176331</v>
      </c>
      <c r="G187" s="564">
        <v>1.41377218</v>
      </c>
      <c r="H187" s="564">
        <v>7.557997613</v>
      </c>
      <c r="I187" s="565">
        <v>32.20700925</v>
      </c>
      <c r="J187" s="566">
        <v>133.552497123973</v>
      </c>
      <c r="K187" s="566">
        <v>697.785406641811</v>
      </c>
      <c r="L187" s="567">
        <v>3.230358313</v>
      </c>
      <c r="M187" s="568">
        <v>2.00070267245781</v>
      </c>
      <c r="N187" s="568">
        <v>6.8107224061095</v>
      </c>
      <c r="O187" s="569">
        <v>0.0</v>
      </c>
      <c r="P187" s="570"/>
      <c r="Q187" s="150"/>
      <c r="R187" s="571"/>
      <c r="S187" s="116">
        <f t="shared" si="6"/>
        <v>0.6227928571</v>
      </c>
      <c r="T187" s="620" t="s">
        <v>395</v>
      </c>
      <c r="U187" s="621" t="str">
        <f t="shared" si="7"/>
        <v> </v>
      </c>
      <c r="V187" s="598"/>
      <c r="W187" s="574">
        <f t="shared" si="8"/>
        <v>0.7605133333</v>
      </c>
      <c r="X187" s="598"/>
      <c r="Y187" s="574">
        <f t="shared" si="9"/>
        <v>0.6822424242</v>
      </c>
      <c r="Z187" s="308"/>
      <c r="AA187" s="308"/>
      <c r="AB187" s="575" t="str">
        <f t="shared" si="10"/>
        <v/>
      </c>
      <c r="AC187" s="576">
        <f t="shared" si="11"/>
        <v>0.6507101914</v>
      </c>
      <c r="AD187" s="577">
        <v>0.0</v>
      </c>
      <c r="AE187" s="572">
        <v>0.01027569388</v>
      </c>
      <c r="AF187" s="578">
        <v>9.107824339E-4</v>
      </c>
      <c r="AG187" s="132">
        <v>0.01506546387</v>
      </c>
      <c r="AH187" s="132">
        <v>0.048882651</v>
      </c>
      <c r="AI187" s="579">
        <v>0.07650484426</v>
      </c>
      <c r="AJ187" s="579">
        <v>0.09516235735</v>
      </c>
      <c r="AK187" s="580">
        <v>0.009036159152</v>
      </c>
      <c r="AL187" s="580">
        <v>0.01067611472</v>
      </c>
      <c r="AM187" s="581">
        <v>0.0</v>
      </c>
      <c r="AN187" s="571" t="str">
        <f>IFERROR(
  AVERAGEIFS(
    'New LF Efficacy'!$J:$J,
    'New LF Efficacy'!$D:$D, $A187,
    'New LF Efficacy'!$F:$F,"DEC", 
    'New LF Efficacy'!$W:$W,"&lt;2016",
    'New LF Efficacy'!$AA:$AA,""),
  ""
)</f>
        <v/>
      </c>
      <c r="AO187" s="582">
        <f t="shared" si="12"/>
        <v>0.31225</v>
      </c>
      <c r="AP187" s="571" t="str">
        <f>IFERROR(
AVERAGEIFS(
'New LF Efficacy'!$J:$J,
'New LF Efficacy'!$D:$D,$A187,
'New LF Efficacy'!$F:$F,"Albendazole &amp; DEC",
'New LF Efficacy'!$W:$W,"&lt;2016",
'New LF Efficacy'!$AA:$AA,""),
"")</f>
        <v/>
      </c>
      <c r="AQ187" s="582">
        <f t="shared" si="13"/>
        <v>0.4</v>
      </c>
      <c r="AR187" s="571" t="str">
        <f>IFERROR(
AVERAGEIFS(
'New LF Efficacy'!$J:$J,
'New LF Efficacy'!$D:$D,$A187,
'New LF Efficacy'!$F:$F,"Albendazole &amp; Ivermectin", 
'New LF Efficacy'!$W:$W,"&lt;2016",
'New LF Efficacy'!$AA:$AA,""),"")</f>
        <v/>
      </c>
      <c r="AS187" s="582">
        <f t="shared" si="14"/>
        <v>0.2943125</v>
      </c>
      <c r="AT187" s="583" t="str">
        <f>IFERROR(AVERAGEIFS(
'Schist Efficacy'!$O:$O, 
'Schist Efficacy'!$C:$C,$A187, 
'Schist Efficacy'!$D:$D, "Praziquantel",
'Schist Efficacy'!$J:$J,"&lt;2016",
'Schist Efficacy'!$U:$U,""),
"")</f>
        <v/>
      </c>
      <c r="AU187" s="572">
        <f t="shared" si="15"/>
        <v>0.7206464759</v>
      </c>
      <c r="AV187" s="131" t="str">
        <f>IFERROR(AVERAGEIFS(
'STH Efficacy'!$AX:$AX, 
'STH Efficacy'!$AL:$AL, $A187, 
'STH Efficacy'!$AM:$AM, "Albendazole",
'STH Efficacy'!$AS:$AS,"&lt;2016",
'STH Efficacy'!$BP:$BP,""),
"")</f>
        <v/>
      </c>
      <c r="AW187" s="132">
        <f t="shared" si="16"/>
        <v>0.3816333333</v>
      </c>
      <c r="AX187" s="131" t="str">
        <f>IFERROR(AVERAGEIFS(
'STH Efficacy'!$AX:$AX, 
'STH Efficacy'!$AL:$AL, $A187, 
'STH Efficacy'!$AM:$AM, "Mebendazole",
'STH Efficacy'!$AS:$AS,"&lt;2016",
'STH Efficacy'!$BP:$BP,""),
"")</f>
        <v/>
      </c>
      <c r="AY187" s="132">
        <f t="shared" si="17"/>
        <v>0.4859375</v>
      </c>
      <c r="AZ187" s="131" t="str">
        <f>IFERROR(AVERAGEIFS(
'STH Efficacy'!$AX:$AX, 
'STH Efficacy'!$AL:$AL, $A187, 
'STH Efficacy'!$AM:$AM, "Albendazole &amp; Ivermectin",
'STH Efficacy'!$AS:$AS,"&lt;2016",
'STH Efficacy'!$BP:$BP,""),
"")</f>
        <v/>
      </c>
      <c r="BA187" s="303">
        <f t="shared" si="18"/>
        <v>0.47175</v>
      </c>
      <c r="BB187" s="584" t="str">
        <f>IFERROR(AVERAGEIFS(
'STH Efficacy'!$N:$N, 
'STH Efficacy'!$B:$B, $A187, 
'STH Efficacy'!$C:$C, "Albendazole",
'STH Efficacy'!$I:$I,"&lt;2016",
'STH Efficacy'!$AH:$AH,""),
"")</f>
        <v/>
      </c>
      <c r="BC187" s="579">
        <f t="shared" si="19"/>
        <v>0.8699166667</v>
      </c>
      <c r="BD187" s="584" t="str">
        <f>IFERROR(AVERAGEIFS(
'STH Efficacy'!$N:$N, 
'STH Efficacy'!$B:$B, $A187, 
'STH Efficacy'!$C:$C, "Mebendazole",
'STH Efficacy'!$I:$I,"&lt;2016",
'STH Efficacy'!$AH:$AH,""),
"")</f>
        <v/>
      </c>
      <c r="BE187" s="579">
        <f t="shared" si="20"/>
        <v>0.7092416667</v>
      </c>
      <c r="BF187" s="585" t="str">
        <f>IFERROR(AVERAGEIFS(
'STH Efficacy'!$CD:$CD, 
'STH Efficacy'!$BS:$BS, $A187, 
'STH Efficacy'!$BT:$BT, "Albendazole",
'STH Efficacy'!$BZ:$BZ,"&lt;2016",
'STH Efficacy'!$CU:$CU,""),
"")</f>
        <v/>
      </c>
      <c r="BG187" s="580">
        <f t="shared" si="21"/>
        <v>0.9066666667</v>
      </c>
      <c r="BH187" s="585" t="str">
        <f>IFERROR(AVERAGEIFS(
'STH Efficacy'!$CD:$CD, 
'STH Efficacy'!$BS:$BS, $A187, 
'STH Efficacy'!$BT:$BT, "Mebendazole",
'STH Efficacy'!$BZ:$BZ,"&lt;2016",
'STH Efficacy'!$CU:$CU,""),
"")</f>
        <v/>
      </c>
      <c r="BI187" s="580">
        <f t="shared" si="22"/>
        <v>0.8483333333</v>
      </c>
      <c r="BJ187" s="585" t="str">
        <f>IFERROR(AVERAGEIFS(
'STH Efficacy'!$CD:$CD, 
'STH Efficacy'!$BS:$BS, $A187, 
'STH Efficacy'!$BT:$BT, "Albendazole &amp; Ivermectin",
'STH Efficacy'!$BZ:$BZ,"&lt;2016",
'STH Efficacy'!$CU:$CU,""),
"")</f>
        <v/>
      </c>
      <c r="BK187" s="580">
        <f t="shared" si="23"/>
        <v>0.696</v>
      </c>
      <c r="BL187" s="575" t="str">
        <f>IFERROR(
  AVERAGEIFS(
    'NEW Onchocerciasis Efficacy'!$AO:$AO,
    'NEW Onchocerciasis Efficacy'!$C:$C,$A187,
    'NEW Onchocerciasis Efficacy'!$D:$D,"Ivermectin",
    'NEW Onchocerciasis Efficacy'!$AR:$AR,"&lt;2016",
    'NEW Onchocerciasis Efficacy'!$BG:$BG,"")
,"")</f>
        <v/>
      </c>
      <c r="BM187" s="586">
        <f t="shared" si="24"/>
        <v>0.8390421645</v>
      </c>
      <c r="BN187" s="587">
        <v>0.0</v>
      </c>
      <c r="BO187" s="588">
        <v>0.0</v>
      </c>
      <c r="BP187" s="589">
        <v>1.0</v>
      </c>
      <c r="BQ187" s="590">
        <f t="shared" si="25"/>
        <v>0</v>
      </c>
      <c r="BR187" s="560" t="str">
        <f t="shared" si="26"/>
        <v>0010</v>
      </c>
      <c r="BS187" s="560" t="str">
        <f t="shared" si="27"/>
        <v>T2</v>
      </c>
      <c r="BT187" s="606" t="str">
        <f t="shared" si="44"/>
        <v>PZQ</v>
      </c>
      <c r="BU187" s="560" t="str">
        <f t="shared" si="29"/>
        <v>PZQ</v>
      </c>
      <c r="BV187" s="560" t="str">
        <f t="shared" si="30"/>
        <v>schist only</v>
      </c>
      <c r="BW187" s="150" t="str">
        <f t="shared" si="31"/>
        <v/>
      </c>
      <c r="BX187" s="150" t="str">
        <f t="shared" si="32"/>
        <v/>
      </c>
      <c r="BY187" s="151" t="str">
        <f t="shared" si="33"/>
        <v/>
      </c>
      <c r="BZ187" s="152" t="str">
        <f t="shared" si="34"/>
        <v/>
      </c>
      <c r="CA187" s="152" t="str">
        <f t="shared" si="35"/>
        <v/>
      </c>
      <c r="CB187" s="152" t="str">
        <f t="shared" si="36"/>
        <v/>
      </c>
      <c r="CC187" s="153" t="str">
        <f t="shared" si="37"/>
        <v/>
      </c>
      <c r="CD187" s="153" t="str">
        <f t="shared" si="38"/>
        <v/>
      </c>
      <c r="CE187" s="154" t="str">
        <f t="shared" si="39"/>
        <v/>
      </c>
      <c r="CF187" s="154" t="str">
        <f t="shared" si="40"/>
        <v/>
      </c>
      <c r="CG187" s="154" t="str">
        <f t="shared" si="41"/>
        <v/>
      </c>
      <c r="CH187" s="308" t="str">
        <f t="shared" si="42"/>
        <v/>
      </c>
    </row>
    <row r="188">
      <c r="A188" s="559" t="s">
        <v>277</v>
      </c>
      <c r="B188" s="560" t="s">
        <v>90</v>
      </c>
      <c r="C188" s="635">
        <v>9799186.0</v>
      </c>
      <c r="D188" s="562">
        <v>0.0</v>
      </c>
      <c r="E188" s="563">
        <v>0.0</v>
      </c>
      <c r="F188" s="564">
        <v>0.0</v>
      </c>
      <c r="G188" s="564">
        <v>0.0</v>
      </c>
      <c r="H188" s="564">
        <v>0.0</v>
      </c>
      <c r="I188" s="565">
        <v>0.0</v>
      </c>
      <c r="J188" s="566">
        <v>0.0</v>
      </c>
      <c r="K188" s="566">
        <v>0.0</v>
      </c>
      <c r="L188" s="567">
        <v>0.0</v>
      </c>
      <c r="M188" s="568">
        <v>0.0</v>
      </c>
      <c r="N188" s="568">
        <v>0.0</v>
      </c>
      <c r="O188" s="569">
        <v>0.0</v>
      </c>
      <c r="P188" s="570"/>
      <c r="Q188" s="150"/>
      <c r="R188" s="571"/>
      <c r="S188" s="116">
        <f t="shared" si="6"/>
        <v>0.6648642857</v>
      </c>
      <c r="T188" s="151"/>
      <c r="U188" s="572">
        <f t="shared" si="7"/>
        <v>0.53016</v>
      </c>
      <c r="V188" s="598"/>
      <c r="W188" s="574" t="b">
        <f t="shared" si="8"/>
        <v>0</v>
      </c>
      <c r="X188" s="598"/>
      <c r="Y188" s="574">
        <f t="shared" si="9"/>
        <v>0.631675</v>
      </c>
      <c r="Z188" s="308"/>
      <c r="AA188" s="308"/>
      <c r="AB188" s="575" t="str">
        <f t="shared" si="10"/>
        <v/>
      </c>
      <c r="AC188" s="576">
        <f t="shared" si="11"/>
        <v>0.7192241206</v>
      </c>
      <c r="AD188" s="577">
        <v>0.0</v>
      </c>
      <c r="AE188" s="572">
        <v>0.0</v>
      </c>
      <c r="AF188" s="578">
        <v>0.0</v>
      </c>
      <c r="AG188" s="133">
        <v>0.0</v>
      </c>
      <c r="AH188" s="133">
        <v>0.0</v>
      </c>
      <c r="AI188" s="623">
        <v>0.0</v>
      </c>
      <c r="AJ188" s="623">
        <v>0.0</v>
      </c>
      <c r="AK188" s="624">
        <v>0.0</v>
      </c>
      <c r="AL188" s="624">
        <v>0.0</v>
      </c>
      <c r="AM188" s="581">
        <v>0.0</v>
      </c>
      <c r="AN188" s="571" t="str">
        <f>IFERROR(
  AVERAGEIFS(
    'New LF Efficacy'!$J:$J,
    'New LF Efficacy'!$D:$D, $A188,
    'New LF Efficacy'!$F:$F,"DEC", 
    'New LF Efficacy'!$W:$W,"&lt;2016",
    'New LF Efficacy'!$AA:$AA,""),
  ""
)</f>
        <v/>
      </c>
      <c r="AO188" s="582">
        <f t="shared" si="12"/>
        <v>0.3573520833</v>
      </c>
      <c r="AP188" s="571" t="str">
        <f>IFERROR(
AVERAGEIFS(
'New LF Efficacy'!$J:$J,
'New LF Efficacy'!$D:$D,$A188,
'New LF Efficacy'!$F:$F,"Albendazole &amp; DEC",
'New LF Efficacy'!$W:$W,"&lt;2016",
'New LF Efficacy'!$AA:$AA,""),
"")</f>
        <v/>
      </c>
      <c r="AQ188" s="582">
        <f t="shared" si="13"/>
        <v>0.5143541667</v>
      </c>
      <c r="AR188" s="571" t="str">
        <f>IFERROR(
AVERAGEIFS(
'New LF Efficacy'!$J:$J,
'New LF Efficacy'!$D:$D,$A188,
'New LF Efficacy'!$F:$F,"Albendazole &amp; Ivermectin", 
'New LF Efficacy'!$W:$W,"&lt;2016",
'New LF Efficacy'!$AA:$AA,""),"")</f>
        <v/>
      </c>
      <c r="AS188" s="582">
        <f t="shared" si="14"/>
        <v>0.37153125</v>
      </c>
      <c r="AT188" s="583" t="str">
        <f>IFERROR(AVERAGEIFS(
'Schist Efficacy'!$O:$O, 
'Schist Efficacy'!$C:$C,$A188, 
'Schist Efficacy'!$D:$D, "Praziquantel",
'Schist Efficacy'!$J:$J,"&lt;2016",
'Schist Efficacy'!$U:$U,""),
"")</f>
        <v/>
      </c>
      <c r="AU188" s="572">
        <f t="shared" si="15"/>
        <v>0.655</v>
      </c>
      <c r="AV188" s="131" t="str">
        <f>IFERROR(AVERAGEIFS(
'STH Efficacy'!$AX:$AX, 
'STH Efficacy'!$AL:$AL, $A188, 
'STH Efficacy'!$AM:$AM, "Albendazole",
'STH Efficacy'!$AS:$AS,"&lt;2016",
'STH Efficacy'!$BP:$BP,""),
"")</f>
        <v/>
      </c>
      <c r="AW188" s="132">
        <f t="shared" si="16"/>
        <v>0.4143846154</v>
      </c>
      <c r="AX188" s="131" t="str">
        <f>IFERROR(AVERAGEIFS(
'STH Efficacy'!$AX:$AX, 
'STH Efficacy'!$AL:$AL, $A188, 
'STH Efficacy'!$AM:$AM, "Mebendazole",
'STH Efficacy'!$AS:$AS,"&lt;2016",
'STH Efficacy'!$BP:$BP,""),
"")</f>
        <v/>
      </c>
      <c r="AY188" s="132">
        <f t="shared" si="17"/>
        <v>0.4691770833</v>
      </c>
      <c r="AZ188" s="131" t="str">
        <f>IFERROR(AVERAGEIFS(
'STH Efficacy'!$AX:$AX, 
'STH Efficacy'!$AL:$AL, $A188, 
'STH Efficacy'!$AM:$AM, "Albendazole &amp; Ivermectin",
'STH Efficacy'!$AS:$AS,"&lt;2016",
'STH Efficacy'!$BP:$BP,""),
"")</f>
        <v/>
      </c>
      <c r="BA188" s="303">
        <f t="shared" si="18"/>
        <v>0.597625</v>
      </c>
      <c r="BB188" s="584" t="str">
        <f>IFERROR(AVERAGEIFS(
'STH Efficacy'!$N:$N, 
'STH Efficacy'!$B:$B, $A188, 
'STH Efficacy'!$C:$C, "Albendazole",
'STH Efficacy'!$I:$I,"&lt;2016",
'STH Efficacy'!$AH:$AH,""),
"")</f>
        <v/>
      </c>
      <c r="BC188" s="579">
        <f t="shared" si="19"/>
        <v>0.7613712121</v>
      </c>
      <c r="BD188" s="584" t="str">
        <f>IFERROR(AVERAGEIFS(
'STH Efficacy'!$N:$N, 
'STH Efficacy'!$B:$B, $A188, 
'STH Efficacy'!$C:$C, "Mebendazole",
'STH Efficacy'!$I:$I,"&lt;2016",
'STH Efficacy'!$AH:$AH,""),
"")</f>
        <v/>
      </c>
      <c r="BE188" s="579">
        <f t="shared" si="20"/>
        <v>0.4362466667</v>
      </c>
      <c r="BF188" s="585" t="str">
        <f>IFERROR(AVERAGEIFS(
'STH Efficacy'!$CD:$CD, 
'STH Efficacy'!$BS:$BS, $A188, 
'STH Efficacy'!$BT:$BT, "Albendazole",
'STH Efficacy'!$BZ:$BZ,"&lt;2016",
'STH Efficacy'!$CU:$CU,""),
"")</f>
        <v/>
      </c>
      <c r="BG188" s="580">
        <f t="shared" si="21"/>
        <v>0.9216027778</v>
      </c>
      <c r="BH188" s="585" t="str">
        <f>IFERROR(AVERAGEIFS(
'STH Efficacy'!$CD:$CD, 
'STH Efficacy'!$BS:$BS, $A188, 
'STH Efficacy'!$BT:$BT, "Mebendazole",
'STH Efficacy'!$BZ:$BZ,"&lt;2016",
'STH Efficacy'!$CU:$CU,""),
"")</f>
        <v/>
      </c>
      <c r="BI188" s="580">
        <f t="shared" si="22"/>
        <v>0.8866041667</v>
      </c>
      <c r="BJ188" s="585" t="str">
        <f>IFERROR(AVERAGEIFS(
'STH Efficacy'!$CD:$CD, 
'STH Efficacy'!$BS:$BS, $A188, 
'STH Efficacy'!$BT:$BT, "Albendazole &amp; Ivermectin",
'STH Efficacy'!$BZ:$BZ,"&lt;2016",
'STH Efficacy'!$CU:$CU,""),
"")</f>
        <v/>
      </c>
      <c r="BK188" s="580">
        <f t="shared" si="23"/>
        <v>0.848</v>
      </c>
      <c r="BL188" s="575" t="str">
        <f>IFERROR(
  AVERAGEIFS(
    'NEW Onchocerciasis Efficacy'!$AO:$AO,
    'NEW Onchocerciasis Efficacy'!$C:$C,$A188,
    'NEW Onchocerciasis Efficacy'!$D:$D,"Ivermectin",
    'NEW Onchocerciasis Efficacy'!$AR:$AR,"&lt;2016",
    'NEW Onchocerciasis Efficacy'!$BG:$BG,"")
,"")</f>
        <v/>
      </c>
      <c r="BM188" s="586">
        <f t="shared" si="24"/>
        <v>0.7808368939</v>
      </c>
      <c r="BN188" s="587">
        <v>0.0</v>
      </c>
      <c r="BO188" s="588">
        <v>0.0</v>
      </c>
      <c r="BP188" s="589">
        <v>0.0</v>
      </c>
      <c r="BQ188" s="590">
        <f t="shared" si="25"/>
        <v>0</v>
      </c>
      <c r="BR188" s="560" t="str">
        <f t="shared" si="26"/>
        <v>0000</v>
      </c>
      <c r="BS188" s="560" t="str">
        <f t="shared" si="27"/>
        <v>no action required</v>
      </c>
      <c r="BT188" s="361" t="str">
        <f t="shared" si="44"/>
        <v/>
      </c>
      <c r="BU188" s="591" t="str">
        <f t="shared" si="29"/>
        <v/>
      </c>
      <c r="BV188" s="560" t="str">
        <f t="shared" si="30"/>
        <v>none</v>
      </c>
      <c r="BW188" s="150" t="str">
        <f t="shared" si="31"/>
        <v/>
      </c>
      <c r="BX188" s="150" t="str">
        <f t="shared" si="32"/>
        <v/>
      </c>
      <c r="BY188" s="151" t="str">
        <f t="shared" si="33"/>
        <v/>
      </c>
      <c r="BZ188" s="152" t="str">
        <f t="shared" si="34"/>
        <v/>
      </c>
      <c r="CA188" s="152" t="str">
        <f t="shared" si="35"/>
        <v/>
      </c>
      <c r="CB188" s="152" t="str">
        <f t="shared" si="36"/>
        <v/>
      </c>
      <c r="CC188" s="153" t="str">
        <f t="shared" si="37"/>
        <v/>
      </c>
      <c r="CD188" s="153" t="str">
        <f t="shared" si="38"/>
        <v/>
      </c>
      <c r="CE188" s="154" t="str">
        <f t="shared" si="39"/>
        <v/>
      </c>
      <c r="CF188" s="154" t="str">
        <f t="shared" si="40"/>
        <v/>
      </c>
      <c r="CG188" s="154" t="str">
        <f t="shared" si="41"/>
        <v/>
      </c>
      <c r="CH188" s="308" t="str">
        <f t="shared" si="42"/>
        <v/>
      </c>
    </row>
    <row r="189">
      <c r="A189" s="559" t="s">
        <v>278</v>
      </c>
      <c r="B189" s="560" t="s">
        <v>90</v>
      </c>
      <c r="C189" s="635">
        <v>8282396.0</v>
      </c>
      <c r="D189" s="562">
        <v>0.0</v>
      </c>
      <c r="E189" s="563">
        <v>0.0</v>
      </c>
      <c r="F189" s="564">
        <v>0.0</v>
      </c>
      <c r="G189" s="564">
        <v>0.0</v>
      </c>
      <c r="H189" s="564">
        <v>0.0</v>
      </c>
      <c r="I189" s="565">
        <v>0.0</v>
      </c>
      <c r="J189" s="630">
        <v>0.0</v>
      </c>
      <c r="K189" s="630">
        <v>0.0</v>
      </c>
      <c r="L189" s="567">
        <v>0.0</v>
      </c>
      <c r="M189" s="568">
        <v>0.0</v>
      </c>
      <c r="N189" s="568">
        <v>0.0</v>
      </c>
      <c r="O189" s="569">
        <v>0.0</v>
      </c>
      <c r="P189" s="570"/>
      <c r="Q189" s="150"/>
      <c r="R189" s="571"/>
      <c r="S189" s="116">
        <f t="shared" si="6"/>
        <v>0.6648642857</v>
      </c>
      <c r="T189" s="151"/>
      <c r="U189" s="572">
        <f t="shared" si="7"/>
        <v>0.53016</v>
      </c>
      <c r="V189" s="598"/>
      <c r="W189" s="574" t="b">
        <f t="shared" si="8"/>
        <v>0</v>
      </c>
      <c r="X189" s="598"/>
      <c r="Y189" s="574">
        <f t="shared" si="9"/>
        <v>0.631675</v>
      </c>
      <c r="Z189" s="308"/>
      <c r="AA189" s="308"/>
      <c r="AB189" s="575" t="str">
        <f t="shared" si="10"/>
        <v/>
      </c>
      <c r="AC189" s="576">
        <f t="shared" si="11"/>
        <v>0.7192241206</v>
      </c>
      <c r="AD189" s="577">
        <v>0.0</v>
      </c>
      <c r="AE189" s="572">
        <v>0.0</v>
      </c>
      <c r="AF189" s="578">
        <v>0.0</v>
      </c>
      <c r="AG189" s="133">
        <v>0.0</v>
      </c>
      <c r="AH189" s="133">
        <v>0.0</v>
      </c>
      <c r="AI189" s="623">
        <v>0.0</v>
      </c>
      <c r="AJ189" s="623">
        <v>0.0</v>
      </c>
      <c r="AK189" s="624">
        <v>0.0</v>
      </c>
      <c r="AL189" s="624">
        <v>0.0</v>
      </c>
      <c r="AM189" s="581">
        <v>0.0</v>
      </c>
      <c r="AN189" s="571" t="str">
        <f>IFERROR(
  AVERAGEIFS(
    'New LF Efficacy'!$J:$J,
    'New LF Efficacy'!$D:$D, $A189,
    'New LF Efficacy'!$F:$F,"DEC", 
    'New LF Efficacy'!$W:$W,"&lt;2016",
    'New LF Efficacy'!$AA:$AA,""),
  ""
)</f>
        <v/>
      </c>
      <c r="AO189" s="582">
        <f t="shared" si="12"/>
        <v>0.3573520833</v>
      </c>
      <c r="AP189" s="571" t="str">
        <f>IFERROR(
AVERAGEIFS(
'New LF Efficacy'!$J:$J,
'New LF Efficacy'!$D:$D,$A189,
'New LF Efficacy'!$F:$F,"Albendazole &amp; DEC",
'New LF Efficacy'!$W:$W,"&lt;2016",
'New LF Efficacy'!$AA:$AA,""),
"")</f>
        <v/>
      </c>
      <c r="AQ189" s="582">
        <f t="shared" si="13"/>
        <v>0.5143541667</v>
      </c>
      <c r="AR189" s="571" t="str">
        <f>IFERROR(
AVERAGEIFS(
'New LF Efficacy'!$J:$J,
'New LF Efficacy'!$D:$D,$A189,
'New LF Efficacy'!$F:$F,"Albendazole &amp; Ivermectin", 
'New LF Efficacy'!$W:$W,"&lt;2016",
'New LF Efficacy'!$AA:$AA,""),"")</f>
        <v/>
      </c>
      <c r="AS189" s="582">
        <f t="shared" si="14"/>
        <v>0.37153125</v>
      </c>
      <c r="AT189" s="583" t="str">
        <f>IFERROR(AVERAGEIFS(
'Schist Efficacy'!$O:$O, 
'Schist Efficacy'!$C:$C,$A189, 
'Schist Efficacy'!$D:$D, "Praziquantel",
'Schist Efficacy'!$J:$J,"&lt;2016",
'Schist Efficacy'!$U:$U,""),
"")</f>
        <v/>
      </c>
      <c r="AU189" s="572">
        <f t="shared" si="15"/>
        <v>0.655</v>
      </c>
      <c r="AV189" s="131" t="str">
        <f>IFERROR(AVERAGEIFS(
'STH Efficacy'!$AX:$AX, 
'STH Efficacy'!$AL:$AL, $A189, 
'STH Efficacy'!$AM:$AM, "Albendazole",
'STH Efficacy'!$AS:$AS,"&lt;2016",
'STH Efficacy'!$BP:$BP,""),
"")</f>
        <v/>
      </c>
      <c r="AW189" s="132">
        <f t="shared" si="16"/>
        <v>0.4143846154</v>
      </c>
      <c r="AX189" s="131" t="str">
        <f>IFERROR(AVERAGEIFS(
'STH Efficacy'!$AX:$AX, 
'STH Efficacy'!$AL:$AL, $A189, 
'STH Efficacy'!$AM:$AM, "Mebendazole",
'STH Efficacy'!$AS:$AS,"&lt;2016",
'STH Efficacy'!$BP:$BP,""),
"")</f>
        <v/>
      </c>
      <c r="AY189" s="132">
        <f t="shared" si="17"/>
        <v>0.4691770833</v>
      </c>
      <c r="AZ189" s="131" t="str">
        <f>IFERROR(AVERAGEIFS(
'STH Efficacy'!$AX:$AX, 
'STH Efficacy'!$AL:$AL, $A189, 
'STH Efficacy'!$AM:$AM, "Albendazole &amp; Ivermectin",
'STH Efficacy'!$AS:$AS,"&lt;2016",
'STH Efficacy'!$BP:$BP,""),
"")</f>
        <v/>
      </c>
      <c r="BA189" s="303">
        <f t="shared" si="18"/>
        <v>0.597625</v>
      </c>
      <c r="BB189" s="584" t="str">
        <f>IFERROR(AVERAGEIFS(
'STH Efficacy'!$N:$N, 
'STH Efficacy'!$B:$B, $A189, 
'STH Efficacy'!$C:$C, "Albendazole",
'STH Efficacy'!$I:$I,"&lt;2016",
'STH Efficacy'!$AH:$AH,""),
"")</f>
        <v/>
      </c>
      <c r="BC189" s="579">
        <f t="shared" si="19"/>
        <v>0.7613712121</v>
      </c>
      <c r="BD189" s="584" t="str">
        <f>IFERROR(AVERAGEIFS(
'STH Efficacy'!$N:$N, 
'STH Efficacy'!$B:$B, $A189, 
'STH Efficacy'!$C:$C, "Mebendazole",
'STH Efficacy'!$I:$I,"&lt;2016",
'STH Efficacy'!$AH:$AH,""),
"")</f>
        <v/>
      </c>
      <c r="BE189" s="579">
        <f t="shared" si="20"/>
        <v>0.4362466667</v>
      </c>
      <c r="BF189" s="585" t="str">
        <f>IFERROR(AVERAGEIFS(
'STH Efficacy'!$CD:$CD, 
'STH Efficacy'!$BS:$BS, $A189, 
'STH Efficacy'!$BT:$BT, "Albendazole",
'STH Efficacy'!$BZ:$BZ,"&lt;2016",
'STH Efficacy'!$CU:$CU,""),
"")</f>
        <v/>
      </c>
      <c r="BG189" s="580">
        <f t="shared" si="21"/>
        <v>0.9216027778</v>
      </c>
      <c r="BH189" s="585" t="str">
        <f>IFERROR(AVERAGEIFS(
'STH Efficacy'!$CD:$CD, 
'STH Efficacy'!$BS:$BS, $A189, 
'STH Efficacy'!$BT:$BT, "Mebendazole",
'STH Efficacy'!$BZ:$BZ,"&lt;2016",
'STH Efficacy'!$CU:$CU,""),
"")</f>
        <v/>
      </c>
      <c r="BI189" s="580">
        <f t="shared" si="22"/>
        <v>0.8866041667</v>
      </c>
      <c r="BJ189" s="585" t="str">
        <f>IFERROR(AVERAGEIFS(
'STH Efficacy'!$CD:$CD, 
'STH Efficacy'!$BS:$BS, $A189, 
'STH Efficacy'!$BT:$BT, "Albendazole &amp; Ivermectin",
'STH Efficacy'!$BZ:$BZ,"&lt;2016",
'STH Efficacy'!$CU:$CU,""),
"")</f>
        <v/>
      </c>
      <c r="BK189" s="580">
        <f t="shared" si="23"/>
        <v>0.848</v>
      </c>
      <c r="BL189" s="575" t="str">
        <f>IFERROR(
  AVERAGEIFS(
    'NEW Onchocerciasis Efficacy'!$AO:$AO,
    'NEW Onchocerciasis Efficacy'!$C:$C,$A189,
    'NEW Onchocerciasis Efficacy'!$D:$D,"Ivermectin",
    'NEW Onchocerciasis Efficacy'!$AR:$AR,"&lt;2016",
    'NEW Onchocerciasis Efficacy'!$BG:$BG,"")
,"")</f>
        <v/>
      </c>
      <c r="BM189" s="586">
        <f t="shared" si="24"/>
        <v>0.7808368939</v>
      </c>
      <c r="BN189" s="587">
        <v>0.0</v>
      </c>
      <c r="BO189" s="588">
        <v>0.0</v>
      </c>
      <c r="BP189" s="589">
        <v>0.0</v>
      </c>
      <c r="BQ189" s="590">
        <f t="shared" si="25"/>
        <v>0</v>
      </c>
      <c r="BR189" s="560" t="str">
        <f t="shared" si="26"/>
        <v>0000</v>
      </c>
      <c r="BS189" s="560" t="str">
        <f t="shared" si="27"/>
        <v>no action required</v>
      </c>
      <c r="BT189" s="361" t="str">
        <f t="shared" si="44"/>
        <v/>
      </c>
      <c r="BU189" s="591" t="str">
        <f t="shared" si="29"/>
        <v/>
      </c>
      <c r="BV189" s="560" t="str">
        <f t="shared" si="30"/>
        <v>none</v>
      </c>
      <c r="BW189" s="150" t="str">
        <f t="shared" si="31"/>
        <v/>
      </c>
      <c r="BX189" s="150" t="str">
        <f t="shared" si="32"/>
        <v/>
      </c>
      <c r="BY189" s="151" t="str">
        <f t="shared" si="33"/>
        <v/>
      </c>
      <c r="BZ189" s="152" t="str">
        <f t="shared" si="34"/>
        <v/>
      </c>
      <c r="CA189" s="152" t="str">
        <f t="shared" si="35"/>
        <v/>
      </c>
      <c r="CB189" s="152" t="str">
        <f t="shared" si="36"/>
        <v/>
      </c>
      <c r="CC189" s="153" t="str">
        <f t="shared" si="37"/>
        <v/>
      </c>
      <c r="CD189" s="153" t="str">
        <f t="shared" si="38"/>
        <v/>
      </c>
      <c r="CE189" s="154" t="str">
        <f t="shared" si="39"/>
        <v/>
      </c>
      <c r="CF189" s="154" t="str">
        <f t="shared" si="40"/>
        <v/>
      </c>
      <c r="CG189" s="154" t="str">
        <f t="shared" si="41"/>
        <v/>
      </c>
      <c r="CH189" s="308" t="str">
        <f t="shared" si="42"/>
        <v/>
      </c>
    </row>
    <row r="190">
      <c r="A190" s="559" t="s">
        <v>279</v>
      </c>
      <c r="B190" s="560" t="s">
        <v>88</v>
      </c>
      <c r="C190" s="635">
        <v>1.8734987E7</v>
      </c>
      <c r="D190" s="562">
        <v>0.0</v>
      </c>
      <c r="E190" s="563">
        <v>804.954299811921</v>
      </c>
      <c r="F190" s="564">
        <v>0.162043475</v>
      </c>
      <c r="G190" s="564">
        <v>2.286815507</v>
      </c>
      <c r="H190" s="564">
        <v>10.98096293</v>
      </c>
      <c r="I190" s="565">
        <v>10.49552024</v>
      </c>
      <c r="J190" s="630">
        <v>47.8446339680365</v>
      </c>
      <c r="K190" s="630">
        <v>163.174259247475</v>
      </c>
      <c r="L190" s="567">
        <v>45.53441467</v>
      </c>
      <c r="M190" s="568">
        <v>150.456660055754</v>
      </c>
      <c r="N190" s="568">
        <v>437.380054362651</v>
      </c>
      <c r="O190" s="569">
        <v>0.0</v>
      </c>
      <c r="P190" s="570"/>
      <c r="Q190" s="150"/>
      <c r="R190" s="571"/>
      <c r="S190" s="116">
        <f t="shared" si="6"/>
        <v>0.1495</v>
      </c>
      <c r="T190" s="151"/>
      <c r="U190" s="572">
        <f t="shared" si="7"/>
        <v>0.65895</v>
      </c>
      <c r="V190" s="598"/>
      <c r="W190" s="574">
        <f t="shared" si="8"/>
        <v>0.97535</v>
      </c>
      <c r="X190" s="644">
        <v>0.7018</v>
      </c>
      <c r="Y190" s="574">
        <f t="shared" si="9"/>
        <v>0.7018</v>
      </c>
      <c r="Z190" s="308"/>
      <c r="AA190" s="308"/>
      <c r="AB190" s="575" t="str">
        <f t="shared" si="10"/>
        <v/>
      </c>
      <c r="AC190" s="576">
        <f t="shared" si="11"/>
        <v>0.4586145155</v>
      </c>
      <c r="AD190" s="577">
        <v>0.0</v>
      </c>
      <c r="AE190" s="572">
        <v>0.004442051113</v>
      </c>
      <c r="AF190" s="578">
        <v>3.097188091E-4</v>
      </c>
      <c r="AG190" s="133">
        <v>0.01264114459</v>
      </c>
      <c r="AH190" s="133">
        <v>0.041466367</v>
      </c>
      <c r="AI190" s="623">
        <v>0.002930271032</v>
      </c>
      <c r="AJ190" s="623">
        <v>0.003651115638</v>
      </c>
      <c r="AK190" s="624">
        <v>0.04227177415</v>
      </c>
      <c r="AL190" s="624">
        <v>0.04979028837</v>
      </c>
      <c r="AM190" s="581">
        <v>0.0</v>
      </c>
      <c r="AN190" s="571" t="str">
        <f>IFERROR(
  AVERAGEIFS(
    'New LF Efficacy'!$J:$J,
    'New LF Efficacy'!$D:$D, $A190,
    'New LF Efficacy'!$F:$F,"DEC", 
    'New LF Efficacy'!$W:$W,"&lt;2016",
    'New LF Efficacy'!$AA:$AA,""),
  ""
)</f>
        <v/>
      </c>
      <c r="AO190" s="582">
        <f t="shared" si="12"/>
        <v>0.3573520833</v>
      </c>
      <c r="AP190" s="571" t="str">
        <f>IFERROR(
AVERAGEIFS(
'New LF Efficacy'!$J:$J,
'New LF Efficacy'!$D:$D,$A190,
'New LF Efficacy'!$F:$F,"Albendazole &amp; DEC",
'New LF Efficacy'!$W:$W,"&lt;2016",
'New LF Efficacy'!$AA:$AA,""),
"")</f>
        <v/>
      </c>
      <c r="AQ190" s="582">
        <f t="shared" si="13"/>
        <v>0.7935</v>
      </c>
      <c r="AR190" s="571" t="str">
        <f>IFERROR(
AVERAGEIFS(
'New LF Efficacy'!$J:$J,
'New LF Efficacy'!$D:$D,$A190,
'New LF Efficacy'!$F:$F,"Albendazole &amp; Ivermectin", 
'New LF Efficacy'!$W:$W,"&lt;2016",
'New LF Efficacy'!$AA:$AA,""),"")</f>
        <v/>
      </c>
      <c r="AS190" s="582">
        <f t="shared" si="14"/>
        <v>0.37153125</v>
      </c>
      <c r="AT190" s="583" t="str">
        <f>IFERROR(AVERAGEIFS(
'Schist Efficacy'!$O:$O, 
'Schist Efficacy'!$C:$C,$A190, 
'Schist Efficacy'!$D:$D, "Praziquantel",
'Schist Efficacy'!$J:$J,"&lt;2016",
'Schist Efficacy'!$U:$U,""),
"")</f>
        <v/>
      </c>
      <c r="AU190" s="572">
        <f t="shared" si="15"/>
        <v>0.7763141026</v>
      </c>
      <c r="AV190" s="131" t="str">
        <f>IFERROR(AVERAGEIFS(
'STH Efficacy'!$AX:$AX, 
'STH Efficacy'!$AL:$AL, $A190, 
'STH Efficacy'!$AM:$AM, "Albendazole",
'STH Efficacy'!$AS:$AS,"&lt;2016",
'STH Efficacy'!$BP:$BP,""),
"")</f>
        <v/>
      </c>
      <c r="AW190" s="132">
        <f t="shared" si="16"/>
        <v>0.4143846154</v>
      </c>
      <c r="AX190" s="131" t="str">
        <f>IFERROR(AVERAGEIFS(
'STH Efficacy'!$AX:$AX, 
'STH Efficacy'!$AL:$AL, $A190, 
'STH Efficacy'!$AM:$AM, "Mebendazole",
'STH Efficacy'!$AS:$AS,"&lt;2016",
'STH Efficacy'!$BP:$BP,""),
"")</f>
        <v/>
      </c>
      <c r="AY190" s="132">
        <f t="shared" si="17"/>
        <v>0.4691770833</v>
      </c>
      <c r="AZ190" s="131" t="str">
        <f>IFERROR(AVERAGEIFS(
'STH Efficacy'!$AX:$AX, 
'STH Efficacy'!$AL:$AL, $A190, 
'STH Efficacy'!$AM:$AM, "Albendazole &amp; Ivermectin",
'STH Efficacy'!$AS:$AS,"&lt;2016",
'STH Efficacy'!$BP:$BP,""),
"")</f>
        <v/>
      </c>
      <c r="BA190" s="303">
        <f t="shared" si="18"/>
        <v>0.597625</v>
      </c>
      <c r="BB190" s="584" t="str">
        <f>IFERROR(AVERAGEIFS(
'STH Efficacy'!$N:$N, 
'STH Efficacy'!$B:$B, $A190, 
'STH Efficacy'!$C:$C, "Albendazole",
'STH Efficacy'!$I:$I,"&lt;2016",
'STH Efficacy'!$AH:$AH,""),
"")</f>
        <v/>
      </c>
      <c r="BC190" s="579">
        <f t="shared" si="19"/>
        <v>0.7613712121</v>
      </c>
      <c r="BD190" s="584" t="str">
        <f>IFERROR(AVERAGEIFS(
'STH Efficacy'!$N:$N, 
'STH Efficacy'!$B:$B, $A190, 
'STH Efficacy'!$C:$C, "Mebendazole",
'STH Efficacy'!$I:$I,"&lt;2016",
'STH Efficacy'!$AH:$AH,""),
"")</f>
        <v/>
      </c>
      <c r="BE190" s="579">
        <f t="shared" si="20"/>
        <v>0.4362466667</v>
      </c>
      <c r="BF190" s="585" t="str">
        <f>IFERROR(AVERAGEIFS(
'STH Efficacy'!$CD:$CD, 
'STH Efficacy'!$BS:$BS, $A190, 
'STH Efficacy'!$BT:$BT, "Albendazole",
'STH Efficacy'!$BZ:$BZ,"&lt;2016",
'STH Efficacy'!$CU:$CU,""),
"")</f>
        <v/>
      </c>
      <c r="BG190" s="580">
        <f t="shared" si="21"/>
        <v>0.955</v>
      </c>
      <c r="BH190" s="585" t="str">
        <f>IFERROR(AVERAGEIFS(
'STH Efficacy'!$CD:$CD, 
'STH Efficacy'!$BS:$BS, $A190, 
'STH Efficacy'!$BT:$BT, "Mebendazole",
'STH Efficacy'!$BZ:$BZ,"&lt;2016",
'STH Efficacy'!$CU:$CU,""),
"")</f>
        <v/>
      </c>
      <c r="BI190" s="580">
        <f t="shared" si="22"/>
        <v>1</v>
      </c>
      <c r="BJ190" s="585" t="str">
        <f>IFERROR(AVERAGEIFS(
'STH Efficacy'!$CD:$CD, 
'STH Efficacy'!$BS:$BS, $A190, 
'STH Efficacy'!$BT:$BT, "Albendazole &amp; Ivermectin",
'STH Efficacy'!$BZ:$BZ,"&lt;2016",
'STH Efficacy'!$CU:$CU,""),
"")</f>
        <v/>
      </c>
      <c r="BK190" s="580">
        <f t="shared" si="23"/>
        <v>0.848</v>
      </c>
      <c r="BL190" s="575" t="str">
        <f>IFERROR(
  AVERAGEIFS(
    'NEW Onchocerciasis Efficacy'!$AO:$AO,
    'NEW Onchocerciasis Efficacy'!$C:$C,$A190,
    'NEW Onchocerciasis Efficacy'!$D:$D,"Ivermectin",
    'NEW Onchocerciasis Efficacy'!$AR:$AR,"&lt;2016",
    'NEW Onchocerciasis Efficacy'!$BG:$BG,"")
,"")</f>
        <v/>
      </c>
      <c r="BM190" s="586">
        <f t="shared" si="24"/>
        <v>0.7808368939</v>
      </c>
      <c r="BN190" s="587">
        <v>0.0</v>
      </c>
      <c r="BO190" s="588">
        <v>0.0</v>
      </c>
      <c r="BP190" s="589">
        <v>0.0</v>
      </c>
      <c r="BQ190" s="590">
        <f t="shared" si="25"/>
        <v>0</v>
      </c>
      <c r="BR190" s="560" t="str">
        <f t="shared" si="26"/>
        <v>0000</v>
      </c>
      <c r="BS190" s="560" t="str">
        <f t="shared" si="27"/>
        <v>no action required</v>
      </c>
      <c r="BT190" s="361" t="str">
        <f t="shared" si="44"/>
        <v/>
      </c>
      <c r="BU190" s="591" t="str">
        <f t="shared" si="29"/>
        <v/>
      </c>
      <c r="BV190" s="560" t="str">
        <f t="shared" si="30"/>
        <v>none</v>
      </c>
      <c r="BW190" s="150" t="str">
        <f t="shared" si="31"/>
        <v/>
      </c>
      <c r="BX190" s="150" t="str">
        <f t="shared" si="32"/>
        <v/>
      </c>
      <c r="BY190" s="151" t="str">
        <f t="shared" si="33"/>
        <v/>
      </c>
      <c r="BZ190" s="152" t="str">
        <f t="shared" si="34"/>
        <v/>
      </c>
      <c r="CA190" s="152" t="str">
        <f t="shared" si="35"/>
        <v/>
      </c>
      <c r="CB190" s="152" t="str">
        <f t="shared" si="36"/>
        <v/>
      </c>
      <c r="CC190" s="153" t="str">
        <f t="shared" si="37"/>
        <v/>
      </c>
      <c r="CD190" s="153" t="str">
        <f t="shared" si="38"/>
        <v/>
      </c>
      <c r="CE190" s="154" t="str">
        <f t="shared" si="39"/>
        <v/>
      </c>
      <c r="CF190" s="154" t="str">
        <f t="shared" si="40"/>
        <v/>
      </c>
      <c r="CG190" s="154" t="str">
        <f t="shared" si="41"/>
        <v/>
      </c>
      <c r="CH190" s="308" t="str">
        <f t="shared" si="42"/>
        <v/>
      </c>
    </row>
    <row r="191">
      <c r="A191" s="559" t="s">
        <v>280</v>
      </c>
      <c r="B191" s="560" t="s">
        <v>90</v>
      </c>
      <c r="C191" s="635">
        <v>8548651.0</v>
      </c>
      <c r="D191" s="562">
        <v>0.0</v>
      </c>
      <c r="E191" s="563">
        <v>0.0</v>
      </c>
      <c r="F191" s="564">
        <v>9.55138E-4</v>
      </c>
      <c r="G191" s="564">
        <v>0.007585051</v>
      </c>
      <c r="H191" s="564">
        <v>0.018677529</v>
      </c>
      <c r="I191" s="565">
        <v>13.80466027</v>
      </c>
      <c r="J191" s="630">
        <v>32.122410702237</v>
      </c>
      <c r="K191" s="630">
        <v>161.006057328474</v>
      </c>
      <c r="L191" s="567">
        <v>51.27557889</v>
      </c>
      <c r="M191" s="568">
        <v>74.2909458089555</v>
      </c>
      <c r="N191" s="568">
        <v>203.086048025419</v>
      </c>
      <c r="O191" s="569">
        <v>0.0</v>
      </c>
      <c r="P191" s="570"/>
      <c r="Q191" s="150"/>
      <c r="R191" s="571"/>
      <c r="S191" s="116">
        <f t="shared" si="6"/>
        <v>0.6648642857</v>
      </c>
      <c r="T191" s="151"/>
      <c r="U191" s="572">
        <f t="shared" si="7"/>
        <v>0.53016</v>
      </c>
      <c r="V191" s="598"/>
      <c r="W191" s="574" t="b">
        <f t="shared" si="8"/>
        <v>0</v>
      </c>
      <c r="X191" s="573">
        <v>0.9988</v>
      </c>
      <c r="Y191" s="574">
        <f t="shared" si="9"/>
        <v>0.9988</v>
      </c>
      <c r="Z191" s="308"/>
      <c r="AA191" s="308"/>
      <c r="AB191" s="575" t="str">
        <f t="shared" si="10"/>
        <v/>
      </c>
      <c r="AC191" s="576">
        <f t="shared" si="11"/>
        <v>0.7192241206</v>
      </c>
      <c r="AD191" s="577">
        <v>0.0</v>
      </c>
      <c r="AE191" s="572">
        <v>0.0</v>
      </c>
      <c r="AF191" s="578">
        <v>0.0</v>
      </c>
      <c r="AG191" s="132">
        <v>0.0212755831</v>
      </c>
      <c r="AH191" s="132">
        <v>0.068984667</v>
      </c>
      <c r="AI191" s="579">
        <v>0.01156356444</v>
      </c>
      <c r="AJ191" s="579">
        <v>0.01444564662</v>
      </c>
      <c r="AK191" s="580">
        <v>0.1101059014</v>
      </c>
      <c r="AL191" s="580">
        <v>0.1311423961</v>
      </c>
      <c r="AM191" s="581">
        <v>0.0</v>
      </c>
      <c r="AN191" s="571" t="str">
        <f>IFERROR(
  AVERAGEIFS(
    'New LF Efficacy'!$J:$J,
    'New LF Efficacy'!$D:$D, $A191,
    'New LF Efficacy'!$F:$F,"DEC", 
    'New LF Efficacy'!$W:$W,"&lt;2016",
    'New LF Efficacy'!$AA:$AA,""),
  ""
)</f>
        <v/>
      </c>
      <c r="AO191" s="582">
        <f t="shared" si="12"/>
        <v>0.3573520833</v>
      </c>
      <c r="AP191" s="571" t="str">
        <f>IFERROR(
AVERAGEIFS(
'New LF Efficacy'!$J:$J,
'New LF Efficacy'!$D:$D,$A191,
'New LF Efficacy'!$F:$F,"Albendazole &amp; DEC",
'New LF Efficacy'!$W:$W,"&lt;2016",
'New LF Efficacy'!$AA:$AA,""),
"")</f>
        <v/>
      </c>
      <c r="AQ191" s="582">
        <f t="shared" si="13"/>
        <v>0.5143541667</v>
      </c>
      <c r="AR191" s="571" t="str">
        <f>IFERROR(
AVERAGEIFS(
'New LF Efficacy'!$J:$J,
'New LF Efficacy'!$D:$D,$A191,
'New LF Efficacy'!$F:$F,"Albendazole &amp; Ivermectin", 
'New LF Efficacy'!$W:$W,"&lt;2016",
'New LF Efficacy'!$AA:$AA,""),"")</f>
        <v/>
      </c>
      <c r="AS191" s="582">
        <f t="shared" si="14"/>
        <v>0.37153125</v>
      </c>
      <c r="AT191" s="583" t="str">
        <f>IFERROR(AVERAGEIFS(
'Schist Efficacy'!$O:$O, 
'Schist Efficacy'!$C:$C,$A191, 
'Schist Efficacy'!$D:$D, "Praziquantel",
'Schist Efficacy'!$J:$J,"&lt;2016",
'Schist Efficacy'!$U:$U,""),
"")</f>
        <v/>
      </c>
      <c r="AU191" s="572">
        <f t="shared" si="15"/>
        <v>0.655</v>
      </c>
      <c r="AV191" s="131" t="str">
        <f>IFERROR(AVERAGEIFS(
'STH Efficacy'!$AX:$AX, 
'STH Efficacy'!$AL:$AL, $A191, 
'STH Efficacy'!$AM:$AM, "Albendazole",
'STH Efficacy'!$AS:$AS,"&lt;2016",
'STH Efficacy'!$BP:$BP,""),
"")</f>
        <v/>
      </c>
      <c r="AW191" s="132">
        <f t="shared" si="16"/>
        <v>0.4143846154</v>
      </c>
      <c r="AX191" s="131" t="str">
        <f>IFERROR(AVERAGEIFS(
'STH Efficacy'!$AX:$AX, 
'STH Efficacy'!$AL:$AL, $A191, 
'STH Efficacy'!$AM:$AM, "Mebendazole",
'STH Efficacy'!$AS:$AS,"&lt;2016",
'STH Efficacy'!$BP:$BP,""),
"")</f>
        <v/>
      </c>
      <c r="AY191" s="132">
        <f t="shared" si="17"/>
        <v>0.4691770833</v>
      </c>
      <c r="AZ191" s="131" t="str">
        <f>IFERROR(AVERAGEIFS(
'STH Efficacy'!$AX:$AX, 
'STH Efficacy'!$AL:$AL, $A191, 
'STH Efficacy'!$AM:$AM, "Albendazole &amp; Ivermectin",
'STH Efficacy'!$AS:$AS,"&lt;2016",
'STH Efficacy'!$BP:$BP,""),
"")</f>
        <v/>
      </c>
      <c r="BA191" s="303">
        <f t="shared" si="18"/>
        <v>0.597625</v>
      </c>
      <c r="BB191" s="584" t="str">
        <f>IFERROR(AVERAGEIFS(
'STH Efficacy'!$N:$N, 
'STH Efficacy'!$B:$B, $A191, 
'STH Efficacy'!$C:$C, "Albendazole",
'STH Efficacy'!$I:$I,"&lt;2016",
'STH Efficacy'!$AH:$AH,""),
"")</f>
        <v/>
      </c>
      <c r="BC191" s="579">
        <f t="shared" si="19"/>
        <v>0.7613712121</v>
      </c>
      <c r="BD191" s="584" t="str">
        <f>IFERROR(AVERAGEIFS(
'STH Efficacy'!$N:$N, 
'STH Efficacy'!$B:$B, $A191, 
'STH Efficacy'!$C:$C, "Mebendazole",
'STH Efficacy'!$I:$I,"&lt;2016",
'STH Efficacy'!$AH:$AH,""),
"")</f>
        <v/>
      </c>
      <c r="BE191" s="579">
        <f t="shared" si="20"/>
        <v>0.4362466667</v>
      </c>
      <c r="BF191" s="585" t="str">
        <f>IFERROR(AVERAGEIFS(
'STH Efficacy'!$CD:$CD, 
'STH Efficacy'!$BS:$BS, $A191, 
'STH Efficacy'!$BT:$BT, "Albendazole",
'STH Efficacy'!$BZ:$BZ,"&lt;2016",
'STH Efficacy'!$CU:$CU,""),
"")</f>
        <v/>
      </c>
      <c r="BG191" s="580">
        <f t="shared" si="21"/>
        <v>0.9216027778</v>
      </c>
      <c r="BH191" s="585" t="str">
        <f>IFERROR(AVERAGEIFS(
'STH Efficacy'!$CD:$CD, 
'STH Efficacy'!$BS:$BS, $A191, 
'STH Efficacy'!$BT:$BT, "Mebendazole",
'STH Efficacy'!$BZ:$BZ,"&lt;2016",
'STH Efficacy'!$CU:$CU,""),
"")</f>
        <v/>
      </c>
      <c r="BI191" s="580">
        <f t="shared" si="22"/>
        <v>0.8866041667</v>
      </c>
      <c r="BJ191" s="585" t="str">
        <f>IFERROR(AVERAGEIFS(
'STH Efficacy'!$CD:$CD, 
'STH Efficacy'!$BS:$BS, $A191, 
'STH Efficacy'!$BT:$BT, "Albendazole &amp; Ivermectin",
'STH Efficacy'!$BZ:$BZ,"&lt;2016",
'STH Efficacy'!$CU:$CU,""),
"")</f>
        <v/>
      </c>
      <c r="BK191" s="580">
        <f t="shared" si="23"/>
        <v>0.848</v>
      </c>
      <c r="BL191" s="575" t="str">
        <f>IFERROR(
  AVERAGEIFS(
    'NEW Onchocerciasis Efficacy'!$AO:$AO,
    'NEW Onchocerciasis Efficacy'!$C:$C,$A191,
    'NEW Onchocerciasis Efficacy'!$D:$D,"Ivermectin",
    'NEW Onchocerciasis Efficacy'!$AR:$AR,"&lt;2016",
    'NEW Onchocerciasis Efficacy'!$BG:$BG,"")
,"")</f>
        <v/>
      </c>
      <c r="BM191" s="586">
        <f t="shared" si="24"/>
        <v>0.7808368939</v>
      </c>
      <c r="BN191" s="587">
        <v>0.0</v>
      </c>
      <c r="BO191" s="588">
        <v>0.0</v>
      </c>
      <c r="BP191" s="589">
        <v>0.0</v>
      </c>
      <c r="BQ191" s="590">
        <f t="shared" si="25"/>
        <v>0</v>
      </c>
      <c r="BR191" s="560" t="str">
        <f t="shared" si="26"/>
        <v>0000</v>
      </c>
      <c r="BS191" s="560" t="str">
        <f t="shared" si="27"/>
        <v>no action required</v>
      </c>
      <c r="BT191" s="361" t="str">
        <f t="shared" si="44"/>
        <v/>
      </c>
      <c r="BU191" s="591" t="str">
        <f t="shared" si="29"/>
        <v/>
      </c>
      <c r="BV191" s="560" t="str">
        <f t="shared" si="30"/>
        <v>none</v>
      </c>
      <c r="BW191" s="150" t="str">
        <f t="shared" si="31"/>
        <v/>
      </c>
      <c r="BX191" s="150" t="str">
        <f t="shared" si="32"/>
        <v/>
      </c>
      <c r="BY191" s="151" t="str">
        <f t="shared" si="33"/>
        <v/>
      </c>
      <c r="BZ191" s="152" t="str">
        <f t="shared" si="34"/>
        <v/>
      </c>
      <c r="CA191" s="152" t="str">
        <f t="shared" si="35"/>
        <v/>
      </c>
      <c r="CB191" s="152" t="str">
        <f t="shared" si="36"/>
        <v/>
      </c>
      <c r="CC191" s="153" t="str">
        <f t="shared" si="37"/>
        <v/>
      </c>
      <c r="CD191" s="153" t="str">
        <f t="shared" si="38"/>
        <v/>
      </c>
      <c r="CE191" s="154" t="str">
        <f t="shared" si="39"/>
        <v/>
      </c>
      <c r="CF191" s="154" t="str">
        <f t="shared" si="40"/>
        <v/>
      </c>
      <c r="CG191" s="154" t="str">
        <f t="shared" si="41"/>
        <v/>
      </c>
      <c r="CH191" s="308" t="str">
        <f t="shared" si="42"/>
        <v/>
      </c>
    </row>
    <row r="192">
      <c r="A192" s="599" t="s">
        <v>281</v>
      </c>
      <c r="B192" s="560" t="s">
        <v>92</v>
      </c>
      <c r="C192" s="635">
        <v>5.3879957E7</v>
      </c>
      <c r="D192" s="562">
        <v>30287.39937</v>
      </c>
      <c r="E192" s="563">
        <v>78415.5831492819</v>
      </c>
      <c r="F192" s="564">
        <v>137.2713629</v>
      </c>
      <c r="G192" s="564">
        <v>857.5784492</v>
      </c>
      <c r="H192" s="564">
        <v>3114.349852</v>
      </c>
      <c r="I192" s="565">
        <v>2699.346908</v>
      </c>
      <c r="J192" s="630">
        <v>8894.20796959141</v>
      </c>
      <c r="K192" s="630">
        <v>39248.0470850684</v>
      </c>
      <c r="L192" s="567">
        <v>8428.859773</v>
      </c>
      <c r="M192" s="568">
        <v>3385.25512649401</v>
      </c>
      <c r="N192" s="568">
        <v>15070.3238221833</v>
      </c>
      <c r="O192" s="569">
        <v>21709.2</v>
      </c>
      <c r="P192" s="601">
        <v>964521.855092</v>
      </c>
      <c r="Q192" s="618">
        <v>8375953.0</v>
      </c>
      <c r="R192" s="603">
        <v>0.8419</v>
      </c>
      <c r="S192" s="116">
        <f t="shared" si="6"/>
        <v>0.8419</v>
      </c>
      <c r="T192" s="572">
        <v>0.4326</v>
      </c>
      <c r="U192" s="572">
        <f t="shared" si="7"/>
        <v>0.4326</v>
      </c>
      <c r="V192" s="573">
        <v>1.0</v>
      </c>
      <c r="W192" s="574">
        <f t="shared" si="8"/>
        <v>1</v>
      </c>
      <c r="X192" s="573">
        <v>0.8996</v>
      </c>
      <c r="Y192" s="574">
        <f t="shared" si="9"/>
        <v>0.8996</v>
      </c>
      <c r="Z192" s="604">
        <v>6223741.0</v>
      </c>
      <c r="AA192" s="604">
        <v>5064777.0</v>
      </c>
      <c r="AB192" s="576">
        <f t="shared" si="10"/>
        <v>0.8137833821</v>
      </c>
      <c r="AC192" s="576">
        <f t="shared" si="11"/>
        <v>0.8137833821</v>
      </c>
      <c r="AD192" s="577">
        <v>0.01838760813</v>
      </c>
      <c r="AE192" s="572">
        <v>0.1442872228</v>
      </c>
      <c r="AF192" s="578">
        <v>0.03820468004</v>
      </c>
      <c r="AG192" s="133">
        <v>0.02520703308</v>
      </c>
      <c r="AH192" s="133">
        <v>0.081347874</v>
      </c>
      <c r="AI192" s="623">
        <v>0.09053570523</v>
      </c>
      <c r="AJ192" s="623">
        <v>0.112645786</v>
      </c>
      <c r="AK192" s="624">
        <v>0.1952529949</v>
      </c>
      <c r="AL192" s="624">
        <v>0.2313685079</v>
      </c>
      <c r="AM192" s="581">
        <v>0.005798997258</v>
      </c>
      <c r="AN192" s="571">
        <f>IFERROR(
  AVERAGEIFS(
    'New LF Efficacy'!$J:$J,
    'New LF Efficacy'!$D:$D, $A192,
    'New LF Efficacy'!$F:$F,"DEC", 
    'New LF Efficacy'!$W:$W,"&lt;2016",
    'New LF Efficacy'!$AA:$AA,""),
  ""
)</f>
        <v>0.106</v>
      </c>
      <c r="AO192" s="582">
        <f t="shared" si="12"/>
        <v>0.106</v>
      </c>
      <c r="AP192" s="571">
        <f>IFERROR(
AVERAGEIFS(
'New LF Efficacy'!$J:$J,
'New LF Efficacy'!$D:$D,$A192,
'New LF Efficacy'!$F:$F,"Albendazole &amp; DEC",
'New LF Efficacy'!$W:$W,"&lt;2016",
'New LF Efficacy'!$AA:$AA,""),
"")</f>
        <v>0.263</v>
      </c>
      <c r="AQ192" s="582">
        <f t="shared" si="13"/>
        <v>0.263</v>
      </c>
      <c r="AR192" s="571">
        <f>IFERROR(
AVERAGEIFS(
'New LF Efficacy'!$J:$J,
'New LF Efficacy'!$D:$D,$A192,
'New LF Efficacy'!$F:$F,"Albendazole &amp; Ivermectin", 
'New LF Efficacy'!$W:$W,"&lt;2016",
'New LF Efficacy'!$AA:$AA,""),"")</f>
        <v>0.194</v>
      </c>
      <c r="AS192" s="582">
        <f t="shared" si="14"/>
        <v>0.194</v>
      </c>
      <c r="AT192" s="583">
        <f>IFERROR(AVERAGEIFS(
'Schist Efficacy'!$O:$O, 
'Schist Efficacy'!$C:$C,$A192, 
'Schist Efficacy'!$D:$D, "Praziquantel",
'Schist Efficacy'!$J:$J,"&lt;2016",
'Schist Efficacy'!$U:$U,""),
"")</f>
        <v>0.883</v>
      </c>
      <c r="AU192" s="572">
        <f t="shared" si="15"/>
        <v>0.883</v>
      </c>
      <c r="AV192" s="131">
        <f>IFERROR(AVERAGEIFS(
'STH Efficacy'!$AX:$AX, 
'STH Efficacy'!$AL:$AL, $A192, 
'STH Efficacy'!$AM:$AM, "Albendazole",
'STH Efficacy'!$AS:$AS,"&lt;2016",
'STH Efficacy'!$BP:$BP,""),
"")</f>
        <v>0.2855</v>
      </c>
      <c r="AW192" s="132">
        <f t="shared" si="16"/>
        <v>0.2855</v>
      </c>
      <c r="AX192" s="131">
        <f>IFERROR(AVERAGEIFS(
'STH Efficacy'!$AX:$AX, 
'STH Efficacy'!$AL:$AL, $A192, 
'STH Efficacy'!$AM:$AM, "Mebendazole",
'STH Efficacy'!$AS:$AS,"&lt;2016",
'STH Efficacy'!$BP:$BP,""),
"")</f>
        <v>0.16775</v>
      </c>
      <c r="AY192" s="132">
        <f t="shared" si="17"/>
        <v>0.16775</v>
      </c>
      <c r="AZ192" s="131">
        <f>IFERROR(AVERAGEIFS(
'STH Efficacy'!$AX:$AX, 
'STH Efficacy'!$AL:$AL, $A192, 
'STH Efficacy'!$AM:$AM, "Albendazole &amp; Ivermectin",
'STH Efficacy'!$AS:$AS,"&lt;2016",
'STH Efficacy'!$BP:$BP,""),
"")</f>
        <v>0.2375</v>
      </c>
      <c r="BA192" s="303">
        <f t="shared" si="18"/>
        <v>0.2375</v>
      </c>
      <c r="BB192" s="584">
        <f>IFERROR(AVERAGEIFS(
'STH Efficacy'!$N:$N, 
'STH Efficacy'!$B:$B, $A192, 
'STH Efficacy'!$C:$C, "Albendazole",
'STH Efficacy'!$I:$I,"&lt;2016",
'STH Efficacy'!$AH:$AH,""),
"")</f>
        <v>0.922</v>
      </c>
      <c r="BC192" s="579">
        <f t="shared" si="19"/>
        <v>0.922</v>
      </c>
      <c r="BD192" s="584">
        <f>IFERROR(AVERAGEIFS(
'STH Efficacy'!$N:$N, 
'STH Efficacy'!$B:$B, $A192, 
'STH Efficacy'!$C:$C, "Mebendazole",
'STH Efficacy'!$I:$I,"&lt;2016",
'STH Efficacy'!$AH:$AH,""),
"")</f>
        <v>0.5786666667</v>
      </c>
      <c r="BE192" s="579">
        <f t="shared" si="20"/>
        <v>0.5786666667</v>
      </c>
      <c r="BF192" s="585">
        <f>IFERROR(AVERAGEIFS(
'STH Efficacy'!$CD:$CD, 
'STH Efficacy'!$BS:$BS, $A192, 
'STH Efficacy'!$BT:$BT, "Albendazole",
'STH Efficacy'!$BZ:$BZ,"&lt;2016",
'STH Efficacy'!$CU:$CU,""),
"")</f>
        <v>1</v>
      </c>
      <c r="BG192" s="580">
        <f t="shared" si="21"/>
        <v>1</v>
      </c>
      <c r="BH192" s="585">
        <f>IFERROR(AVERAGEIFS(
'STH Efficacy'!$CD:$CD, 
'STH Efficacy'!$BS:$BS, $A192, 
'STH Efficacy'!$BT:$BT, "Mebendazole",
'STH Efficacy'!$BZ:$BZ,"&lt;2016",
'STH Efficacy'!$CU:$CU,""),
"")</f>
        <v>0.605</v>
      </c>
      <c r="BI192" s="580">
        <f t="shared" si="22"/>
        <v>0.605</v>
      </c>
      <c r="BJ192" s="585">
        <f>IFERROR(AVERAGEIFS(
'STH Efficacy'!$CD:$CD, 
'STH Efficacy'!$BS:$BS, $A192, 
'STH Efficacy'!$BT:$BT, "Albendazole &amp; Ivermectin",
'STH Efficacy'!$BZ:$BZ,"&lt;2016",
'STH Efficacy'!$CU:$CU,""),
"")</f>
        <v>0.696</v>
      </c>
      <c r="BK192" s="580">
        <f t="shared" si="23"/>
        <v>0.696</v>
      </c>
      <c r="BL192" s="575" t="str">
        <f>IFERROR(
  AVERAGEIFS(
    'NEW Onchocerciasis Efficacy'!$AO:$AO,
    'NEW Onchocerciasis Efficacy'!$C:$C,$A192,
    'NEW Onchocerciasis Efficacy'!$D:$D,"Ivermectin",
    'NEW Onchocerciasis Efficacy'!$AR:$AR,"&lt;2016",
    'NEW Onchocerciasis Efficacy'!$BG:$BG,"")
,"")</f>
        <v/>
      </c>
      <c r="BM192" s="586">
        <f t="shared" si="24"/>
        <v>0.8390421645</v>
      </c>
      <c r="BN192" s="587">
        <v>1.0</v>
      </c>
      <c r="BO192" s="588">
        <v>0.0</v>
      </c>
      <c r="BP192" s="589">
        <v>1.0</v>
      </c>
      <c r="BQ192" s="590">
        <f t="shared" si="25"/>
        <v>0</v>
      </c>
      <c r="BR192" s="560" t="str">
        <f t="shared" si="26"/>
        <v>1010</v>
      </c>
      <c r="BS192" s="560" t="str">
        <f t="shared" si="27"/>
        <v>MDA1/2+T2</v>
      </c>
      <c r="BT192" s="606" t="str">
        <f t="shared" si="44"/>
        <v>IVM+ALB or DEC +ALB</v>
      </c>
      <c r="BU192" s="560" t="str">
        <f t="shared" si="29"/>
        <v>PZQ</v>
      </c>
      <c r="BV192" s="560" t="str">
        <f t="shared" si="30"/>
        <v>lf+schist </v>
      </c>
      <c r="BW192" s="150" t="str">
        <f t="shared" si="31"/>
        <v/>
      </c>
      <c r="BX192" s="607">
        <f t="shared" si="32"/>
        <v>5912.474762</v>
      </c>
      <c r="BY192" s="608">
        <f t="shared" si="33"/>
        <v>48467.55829</v>
      </c>
      <c r="BZ192" s="152" t="str">
        <f t="shared" si="34"/>
        <v/>
      </c>
      <c r="CA192" s="152" t="str">
        <f t="shared" si="35"/>
        <v/>
      </c>
      <c r="CB192" s="152" t="str">
        <f t="shared" si="36"/>
        <v/>
      </c>
      <c r="CC192" s="153" t="str">
        <f t="shared" si="37"/>
        <v/>
      </c>
      <c r="CD192" s="153" t="str">
        <f t="shared" si="38"/>
        <v/>
      </c>
      <c r="CE192" s="154" t="str">
        <f t="shared" si="39"/>
        <v/>
      </c>
      <c r="CF192" s="154" t="str">
        <f t="shared" si="40"/>
        <v/>
      </c>
      <c r="CG192" s="154" t="str">
        <f t="shared" si="41"/>
        <v/>
      </c>
      <c r="CH192" s="308" t="str">
        <f t="shared" si="42"/>
        <v/>
      </c>
    </row>
    <row r="193">
      <c r="A193" s="559" t="s">
        <v>282</v>
      </c>
      <c r="B193" s="560" t="s">
        <v>109</v>
      </c>
      <c r="C193" s="635">
        <v>6.86576E7</v>
      </c>
      <c r="D193" s="562">
        <v>0.0</v>
      </c>
      <c r="E193" s="563">
        <v>0.0</v>
      </c>
      <c r="F193" s="564">
        <v>2.145460091</v>
      </c>
      <c r="G193" s="564">
        <v>18.22920484</v>
      </c>
      <c r="H193" s="564">
        <v>180.3489554</v>
      </c>
      <c r="I193" s="565">
        <v>49.92412004</v>
      </c>
      <c r="J193" s="630">
        <v>184.850733173231</v>
      </c>
      <c r="K193" s="630">
        <v>2140.40538210761</v>
      </c>
      <c r="L193" s="567">
        <v>88.39801509</v>
      </c>
      <c r="M193" s="568">
        <v>179.433709789742</v>
      </c>
      <c r="N193" s="568">
        <v>806.581207654794</v>
      </c>
      <c r="O193" s="569">
        <v>0.0</v>
      </c>
      <c r="P193" s="632">
        <v>3453.1165</v>
      </c>
      <c r="Q193" s="150" t="s">
        <v>395</v>
      </c>
      <c r="R193" s="150" t="s">
        <v>395</v>
      </c>
      <c r="S193" s="116" t="str">
        <f t="shared" si="6"/>
        <v> </v>
      </c>
      <c r="T193" s="151"/>
      <c r="U193" s="572">
        <f t="shared" si="7"/>
        <v>0.2806</v>
      </c>
      <c r="V193" s="598"/>
      <c r="W193" s="574">
        <f t="shared" si="8"/>
        <v>0.9373142857</v>
      </c>
      <c r="X193" s="598"/>
      <c r="Y193" s="574">
        <f t="shared" si="9"/>
        <v>0.8943375</v>
      </c>
      <c r="Z193" s="308"/>
      <c r="AA193" s="308"/>
      <c r="AB193" s="575" t="str">
        <f t="shared" si="10"/>
        <v/>
      </c>
      <c r="AC193" s="576">
        <f t="shared" si="11"/>
        <v>0.7192241206</v>
      </c>
      <c r="AD193" s="577">
        <v>0.005017565677</v>
      </c>
      <c r="AE193" s="572">
        <v>0.0</v>
      </c>
      <c r="AF193" s="578">
        <v>0.0</v>
      </c>
      <c r="AG193" s="133">
        <v>0.0444751041</v>
      </c>
      <c r="AH193" s="133">
        <v>0.143702196</v>
      </c>
      <c r="AI193" s="623">
        <v>0.007308233282</v>
      </c>
      <c r="AJ193" s="623">
        <v>0.009011325726</v>
      </c>
      <c r="AK193" s="624">
        <v>0.07801455413</v>
      </c>
      <c r="AL193" s="624">
        <v>0.09101069007</v>
      </c>
      <c r="AM193" s="581">
        <v>0.0</v>
      </c>
      <c r="AN193" s="571" t="str">
        <f>IFERROR(
  AVERAGEIFS(
    'New LF Efficacy'!$J:$J,
    'New LF Efficacy'!$D:$D, $A193,
    'New LF Efficacy'!$F:$F,"DEC", 
    'New LF Efficacy'!$W:$W,"&lt;2016",
    'New LF Efficacy'!$AA:$AA,""),
  ""
)</f>
        <v/>
      </c>
      <c r="AO193" s="582">
        <f t="shared" si="12"/>
        <v>0.478175</v>
      </c>
      <c r="AP193" s="571" t="str">
        <f>IFERROR(
AVERAGEIFS(
'New LF Efficacy'!$J:$J,
'New LF Efficacy'!$D:$D,$A193,
'New LF Efficacy'!$F:$F,"Albendazole &amp; DEC",
'New LF Efficacy'!$W:$W,"&lt;2016",
'New LF Efficacy'!$AA:$AA,""),
"")</f>
        <v/>
      </c>
      <c r="AQ193" s="582">
        <f t="shared" si="13"/>
        <v>0.5831666667</v>
      </c>
      <c r="AR193" s="571" t="str">
        <f>IFERROR(
AVERAGEIFS(
'New LF Efficacy'!$J:$J,
'New LF Efficacy'!$D:$D,$A193,
'New LF Efficacy'!$F:$F,"Albendazole &amp; Ivermectin", 
'New LF Efficacy'!$W:$W,"&lt;2016",
'New LF Efficacy'!$AA:$AA,""),"")</f>
        <v/>
      </c>
      <c r="AS193" s="582">
        <f t="shared" si="14"/>
        <v>0.14</v>
      </c>
      <c r="AT193" s="583" t="str">
        <f>IFERROR(AVERAGEIFS(
'Schist Efficacy'!$O:$O, 
'Schist Efficacy'!$C:$C,$A193, 
'Schist Efficacy'!$D:$D, "Praziquantel",
'Schist Efficacy'!$J:$J,"&lt;2016",
'Schist Efficacy'!$U:$U,""),
"")</f>
        <v/>
      </c>
      <c r="AU193" s="572">
        <f t="shared" si="15"/>
        <v>0.743990088</v>
      </c>
      <c r="AV193" s="131">
        <f>IFERROR(AVERAGEIFS(
'STH Efficacy'!$AX:$AX, 
'STH Efficacy'!$AL:$AL, $A193, 
'STH Efficacy'!$AM:$AM, "Albendazole",
'STH Efficacy'!$AS:$AS,"&lt;2016",
'STH Efficacy'!$BP:$BP,""),
"")</f>
        <v>0.674</v>
      </c>
      <c r="AW193" s="132">
        <f t="shared" si="16"/>
        <v>0.674</v>
      </c>
      <c r="AX193" s="131">
        <f>IFERROR(AVERAGEIFS(
'STH Efficacy'!$AX:$AX, 
'STH Efficacy'!$AL:$AL, $A193, 
'STH Efficacy'!$AM:$AM, "Mebendazole",
'STH Efficacy'!$AS:$AS,"&lt;2016",
'STH Efficacy'!$BP:$BP,""),
"")</f>
        <v>0.3786666667</v>
      </c>
      <c r="AY193" s="132">
        <f t="shared" si="17"/>
        <v>0.3786666667</v>
      </c>
      <c r="AZ193" s="131" t="str">
        <f>IFERROR(AVERAGEIFS(
'STH Efficacy'!$AX:$AX, 
'STH Efficacy'!$AL:$AL, $A193, 
'STH Efficacy'!$AM:$AM, "Albendazole &amp; Ivermectin",
'STH Efficacy'!$AS:$AS,"&lt;2016",
'STH Efficacy'!$BP:$BP,""),
"")</f>
        <v/>
      </c>
      <c r="BA193" s="303">
        <f t="shared" si="18"/>
        <v>0.597625</v>
      </c>
      <c r="BB193" s="584">
        <f>IFERROR(AVERAGEIFS(
'STH Efficacy'!$N:$N, 
'STH Efficacy'!$B:$B, $A193, 
'STH Efficacy'!$C:$C, "Albendazole",
'STH Efficacy'!$I:$I,"&lt;2016",
'STH Efficacy'!$AH:$AH,""),
"")</f>
        <v>0.6476666667</v>
      </c>
      <c r="BC193" s="579">
        <f t="shared" si="19"/>
        <v>0.6476666667</v>
      </c>
      <c r="BD193" s="584">
        <f>IFERROR(AVERAGEIFS(
'STH Efficacy'!$N:$N, 
'STH Efficacy'!$B:$B, $A193, 
'STH Efficacy'!$C:$C, "Mebendazole",
'STH Efficacy'!$I:$I,"&lt;2016",
'STH Efficacy'!$AH:$AH,""),
"")</f>
        <v>0.131</v>
      </c>
      <c r="BE193" s="579">
        <f t="shared" si="20"/>
        <v>0.131</v>
      </c>
      <c r="BF193" s="585">
        <f>IFERROR(AVERAGEIFS(
'STH Efficacy'!$CD:$CD, 
'STH Efficacy'!$BS:$BS, $A193, 
'STH Efficacy'!$BT:$BT, "Albendazole",
'STH Efficacy'!$BZ:$BZ,"&lt;2016",
'STH Efficacy'!$CU:$CU,""),
"")</f>
        <v>1</v>
      </c>
      <c r="BG193" s="580">
        <f t="shared" si="21"/>
        <v>1</v>
      </c>
      <c r="BH193" s="585">
        <f>IFERROR(AVERAGEIFS(
'STH Efficacy'!$CD:$CD, 
'STH Efficacy'!$BS:$BS, $A193, 
'STH Efficacy'!$BT:$BT, "Mebendazole",
'STH Efficacy'!$BZ:$BZ,"&lt;2016",
'STH Efficacy'!$CU:$CU,""),
"")</f>
        <v>1</v>
      </c>
      <c r="BI193" s="580">
        <f t="shared" si="22"/>
        <v>1</v>
      </c>
      <c r="BJ193" s="585" t="str">
        <f>IFERROR(AVERAGEIFS(
'STH Efficacy'!$CD:$CD, 
'STH Efficacy'!$BS:$BS, $A193, 
'STH Efficacy'!$BT:$BT, "Albendazole &amp; Ivermectin",
'STH Efficacy'!$BZ:$BZ,"&lt;2016",
'STH Efficacy'!$CU:$CU,""),
"")</f>
        <v/>
      </c>
      <c r="BK193" s="580">
        <f t="shared" si="23"/>
        <v>0.848</v>
      </c>
      <c r="BL193" s="575" t="str">
        <f>IFERROR(
  AVERAGEIFS(
    'NEW Onchocerciasis Efficacy'!$AO:$AO,
    'NEW Onchocerciasis Efficacy'!$C:$C,$A193,
    'NEW Onchocerciasis Efficacy'!$D:$D,"Ivermectin",
    'NEW Onchocerciasis Efficacy'!$AR:$AR,"&lt;2016",
    'NEW Onchocerciasis Efficacy'!$BG:$BG,"")
,"")</f>
        <v/>
      </c>
      <c r="BM193" s="586">
        <f t="shared" si="24"/>
        <v>0.7808368939</v>
      </c>
      <c r="BN193" s="587">
        <v>0.0</v>
      </c>
      <c r="BO193" s="588">
        <v>1.0</v>
      </c>
      <c r="BP193" s="589">
        <v>1.0</v>
      </c>
      <c r="BQ193" s="590">
        <f t="shared" si="25"/>
        <v>0</v>
      </c>
      <c r="BR193" s="560" t="str">
        <f t="shared" si="26"/>
        <v>0110</v>
      </c>
      <c r="BS193" s="560" t="str">
        <f t="shared" si="27"/>
        <v>MDA3+T2</v>
      </c>
      <c r="BT193" s="606" t="str">
        <f t="shared" si="44"/>
        <v>IVM</v>
      </c>
      <c r="BU193" s="560" t="str">
        <f t="shared" si="29"/>
        <v>PZQ</v>
      </c>
      <c r="BV193" s="560" t="str">
        <f t="shared" si="30"/>
        <v>onch+schist</v>
      </c>
      <c r="BW193" s="150" t="str">
        <f t="shared" si="31"/>
        <v/>
      </c>
      <c r="BX193" s="150" t="str">
        <f t="shared" si="32"/>
        <v/>
      </c>
      <c r="BY193" s="608">
        <f t="shared" si="33"/>
        <v>0</v>
      </c>
      <c r="BZ193" s="152" t="str">
        <f t="shared" si="34"/>
        <v/>
      </c>
      <c r="CA193" s="152" t="str">
        <f t="shared" si="35"/>
        <v/>
      </c>
      <c r="CB193" s="152" t="str">
        <f t="shared" si="36"/>
        <v/>
      </c>
      <c r="CC193" s="153" t="str">
        <f t="shared" si="37"/>
        <v/>
      </c>
      <c r="CD193" s="153" t="str">
        <f t="shared" si="38"/>
        <v/>
      </c>
      <c r="CE193" s="154" t="str">
        <f t="shared" si="39"/>
        <v/>
      </c>
      <c r="CF193" s="154" t="str">
        <f t="shared" si="40"/>
        <v/>
      </c>
      <c r="CG193" s="154" t="str">
        <f t="shared" si="41"/>
        <v/>
      </c>
      <c r="CH193" s="637">
        <f t="shared" si="42"/>
        <v>0</v>
      </c>
    </row>
    <row r="194">
      <c r="A194" s="599" t="s">
        <v>283</v>
      </c>
      <c r="B194" s="560" t="s">
        <v>90</v>
      </c>
      <c r="C194" s="635">
        <v>2079308.0</v>
      </c>
      <c r="D194" s="562">
        <v>0.0</v>
      </c>
      <c r="E194" s="563">
        <v>0.0</v>
      </c>
      <c r="F194" s="564">
        <v>0.0</v>
      </c>
      <c r="G194" s="564">
        <v>0.0</v>
      </c>
      <c r="H194" s="564">
        <v>0.0</v>
      </c>
      <c r="I194" s="565">
        <v>0.0</v>
      </c>
      <c r="J194" s="630">
        <v>0.0</v>
      </c>
      <c r="K194" s="630">
        <v>0.0</v>
      </c>
      <c r="L194" s="567">
        <v>0.097734696</v>
      </c>
      <c r="M194" s="568">
        <v>0.0634362457626356</v>
      </c>
      <c r="N194" s="568">
        <v>0.296831565126493</v>
      </c>
      <c r="O194" s="308"/>
      <c r="P194" s="150"/>
      <c r="Q194" s="150"/>
      <c r="R194" s="571"/>
      <c r="S194" s="116">
        <f t="shared" si="6"/>
        <v>0.6648642857</v>
      </c>
      <c r="T194" s="151"/>
      <c r="U194" s="572">
        <f t="shared" si="7"/>
        <v>0.53016</v>
      </c>
      <c r="V194" s="598"/>
      <c r="W194" s="574" t="b">
        <f t="shared" si="8"/>
        <v>0</v>
      </c>
      <c r="X194" s="598"/>
      <c r="Y194" s="574">
        <f t="shared" si="9"/>
        <v>0.631675</v>
      </c>
      <c r="Z194" s="308"/>
      <c r="AA194" s="308"/>
      <c r="AB194" s="575" t="str">
        <f t="shared" si="10"/>
        <v/>
      </c>
      <c r="AC194" s="576">
        <f t="shared" si="11"/>
        <v>0.7192241206</v>
      </c>
      <c r="AD194" s="571"/>
      <c r="AE194" s="639">
        <v>0.0</v>
      </c>
      <c r="AF194" s="578">
        <v>0.0</v>
      </c>
      <c r="AG194" s="133">
        <v>0.0</v>
      </c>
      <c r="AH194" s="133">
        <v>0.0</v>
      </c>
      <c r="AI194" s="584"/>
      <c r="AJ194" s="584"/>
      <c r="AK194" s="585"/>
      <c r="AL194" s="585"/>
      <c r="AM194" s="581"/>
      <c r="AN194" s="571" t="str">
        <f>IFERROR(
  AVERAGEIFS(
    'New LF Efficacy'!$J:$J,
    'New LF Efficacy'!$D:$D, $A194,
    'New LF Efficacy'!$F:$F,"DEC", 
    'New LF Efficacy'!$W:$W,"&lt;2016",
    'New LF Efficacy'!$AA:$AA,""),
  ""
)</f>
        <v/>
      </c>
      <c r="AO194" s="582">
        <f t="shared" si="12"/>
        <v>0.3573520833</v>
      </c>
      <c r="AP194" s="571" t="str">
        <f>IFERROR(
AVERAGEIFS(
'New LF Efficacy'!$J:$J,
'New LF Efficacy'!$D:$D,$A194,
'New LF Efficacy'!$F:$F,"Albendazole &amp; DEC",
'New LF Efficacy'!$W:$W,"&lt;2016",
'New LF Efficacy'!$AA:$AA,""),
"")</f>
        <v/>
      </c>
      <c r="AQ194" s="582">
        <f t="shared" si="13"/>
        <v>0.5143541667</v>
      </c>
      <c r="AR194" s="571" t="str">
        <f>IFERROR(
AVERAGEIFS(
'New LF Efficacy'!$J:$J,
'New LF Efficacy'!$D:$D,$A194,
'New LF Efficacy'!$F:$F,"Albendazole &amp; Ivermectin", 
'New LF Efficacy'!$W:$W,"&lt;2016",
'New LF Efficacy'!$AA:$AA,""),"")</f>
        <v/>
      </c>
      <c r="AS194" s="582">
        <f t="shared" si="14"/>
        <v>0.37153125</v>
      </c>
      <c r="AT194" s="583" t="str">
        <f>IFERROR(AVERAGEIFS(
'Schist Efficacy'!$O:$O, 
'Schist Efficacy'!$C:$C,$A194, 
'Schist Efficacy'!$D:$D, "Praziquantel",
'Schist Efficacy'!$J:$J,"&lt;2016",
'Schist Efficacy'!$U:$U,""),
"")</f>
        <v/>
      </c>
      <c r="AU194" s="572">
        <f t="shared" si="15"/>
        <v>0.655</v>
      </c>
      <c r="AV194" s="131" t="str">
        <f>IFERROR(AVERAGEIFS(
'STH Efficacy'!$AX:$AX, 
'STH Efficacy'!$AL:$AL, $A194, 
'STH Efficacy'!$AM:$AM, "Albendazole",
'STH Efficacy'!$AS:$AS,"&lt;2016",
'STH Efficacy'!$BP:$BP,""),
"")</f>
        <v/>
      </c>
      <c r="AW194" s="132">
        <f t="shared" si="16"/>
        <v>0.4143846154</v>
      </c>
      <c r="AX194" s="131" t="str">
        <f>IFERROR(AVERAGEIFS(
'STH Efficacy'!$AX:$AX, 
'STH Efficacy'!$AL:$AL, $A194, 
'STH Efficacy'!$AM:$AM, "Mebendazole",
'STH Efficacy'!$AS:$AS,"&lt;2016",
'STH Efficacy'!$BP:$BP,""),
"")</f>
        <v/>
      </c>
      <c r="AY194" s="132">
        <f t="shared" si="17"/>
        <v>0.4691770833</v>
      </c>
      <c r="AZ194" s="131" t="str">
        <f>IFERROR(AVERAGEIFS(
'STH Efficacy'!$AX:$AX, 
'STH Efficacy'!$AL:$AL, $A194, 
'STH Efficacy'!$AM:$AM, "Albendazole &amp; Ivermectin",
'STH Efficacy'!$AS:$AS,"&lt;2016",
'STH Efficacy'!$BP:$BP,""),
"")</f>
        <v/>
      </c>
      <c r="BA194" s="303">
        <f t="shared" si="18"/>
        <v>0.597625</v>
      </c>
      <c r="BB194" s="584" t="str">
        <f>IFERROR(AVERAGEIFS(
'STH Efficacy'!$N:$N, 
'STH Efficacy'!$B:$B, $A194, 
'STH Efficacy'!$C:$C, "Albendazole",
'STH Efficacy'!$I:$I,"&lt;2016",
'STH Efficacy'!$AH:$AH,""),
"")</f>
        <v/>
      </c>
      <c r="BC194" s="579">
        <f t="shared" si="19"/>
        <v>0.7613712121</v>
      </c>
      <c r="BD194" s="584" t="str">
        <f>IFERROR(AVERAGEIFS(
'STH Efficacy'!$N:$N, 
'STH Efficacy'!$B:$B, $A194, 
'STH Efficacy'!$C:$C, "Mebendazole",
'STH Efficacy'!$I:$I,"&lt;2016",
'STH Efficacy'!$AH:$AH,""),
"")</f>
        <v/>
      </c>
      <c r="BE194" s="579">
        <f t="shared" si="20"/>
        <v>0.4362466667</v>
      </c>
      <c r="BF194" s="585" t="str">
        <f>IFERROR(AVERAGEIFS(
'STH Efficacy'!$CD:$CD, 
'STH Efficacy'!$BS:$BS, $A194, 
'STH Efficacy'!$BT:$BT, "Albendazole",
'STH Efficacy'!$BZ:$BZ,"&lt;2016",
'STH Efficacy'!$CU:$CU,""),
"")</f>
        <v/>
      </c>
      <c r="BG194" s="580">
        <f t="shared" si="21"/>
        <v>0.9216027778</v>
      </c>
      <c r="BH194" s="585" t="str">
        <f>IFERROR(AVERAGEIFS(
'STH Efficacy'!$CD:$CD, 
'STH Efficacy'!$BS:$BS, $A194, 
'STH Efficacy'!$BT:$BT, "Mebendazole",
'STH Efficacy'!$BZ:$BZ,"&lt;2016",
'STH Efficacy'!$CU:$CU,""),
"")</f>
        <v/>
      </c>
      <c r="BI194" s="580">
        <f t="shared" si="22"/>
        <v>0.8866041667</v>
      </c>
      <c r="BJ194" s="585" t="str">
        <f>IFERROR(AVERAGEIFS(
'STH Efficacy'!$CD:$CD, 
'STH Efficacy'!$BS:$BS, $A194, 
'STH Efficacy'!$BT:$BT, "Albendazole &amp; Ivermectin",
'STH Efficacy'!$BZ:$BZ,"&lt;2016",
'STH Efficacy'!$CU:$CU,""),
"")</f>
        <v/>
      </c>
      <c r="BK194" s="580">
        <f t="shared" si="23"/>
        <v>0.848</v>
      </c>
      <c r="BL194" s="575" t="str">
        <f>IFERROR(
  AVERAGEIFS(
    'NEW Onchocerciasis Efficacy'!$AO:$AO,
    'NEW Onchocerciasis Efficacy'!$C:$C,$A194,
    'NEW Onchocerciasis Efficacy'!$D:$D,"Ivermectin",
    'NEW Onchocerciasis Efficacy'!$AR:$AR,"&lt;2016",
    'NEW Onchocerciasis Efficacy'!$BG:$BG,"")
,"")</f>
        <v/>
      </c>
      <c r="BM194" s="586">
        <f t="shared" si="24"/>
        <v>0.7808368939</v>
      </c>
      <c r="BN194" s="587">
        <v>0.0</v>
      </c>
      <c r="BO194" s="588">
        <v>0.0</v>
      </c>
      <c r="BP194" s="589">
        <v>0.0</v>
      </c>
      <c r="BQ194" s="590">
        <f t="shared" si="25"/>
        <v>0</v>
      </c>
      <c r="BR194" s="560" t="str">
        <f t="shared" si="26"/>
        <v>0000</v>
      </c>
      <c r="BS194" s="560" t="str">
        <f t="shared" si="27"/>
        <v>no action required</v>
      </c>
      <c r="BT194" s="361" t="str">
        <f t="shared" si="44"/>
        <v/>
      </c>
      <c r="BU194" s="591" t="str">
        <f t="shared" si="29"/>
        <v/>
      </c>
      <c r="BV194" s="560" t="str">
        <f t="shared" si="30"/>
        <v>none</v>
      </c>
      <c r="BW194" s="150" t="str">
        <f t="shared" si="31"/>
        <v/>
      </c>
      <c r="BX194" s="150" t="str">
        <f t="shared" si="32"/>
        <v/>
      </c>
      <c r="BY194" s="151" t="str">
        <f t="shared" si="33"/>
        <v/>
      </c>
      <c r="BZ194" s="152" t="str">
        <f t="shared" si="34"/>
        <v/>
      </c>
      <c r="CA194" s="152" t="str">
        <f t="shared" si="35"/>
        <v/>
      </c>
      <c r="CB194" s="152" t="str">
        <f t="shared" si="36"/>
        <v/>
      </c>
      <c r="CC194" s="153" t="str">
        <f t="shared" si="37"/>
        <v/>
      </c>
      <c r="CD194" s="153" t="str">
        <f t="shared" si="38"/>
        <v/>
      </c>
      <c r="CE194" s="154" t="str">
        <f t="shared" si="39"/>
        <v/>
      </c>
      <c r="CF194" s="154" t="str">
        <f t="shared" si="40"/>
        <v/>
      </c>
      <c r="CG194" s="154" t="str">
        <f t="shared" si="41"/>
        <v/>
      </c>
      <c r="CH194" s="308" t="str">
        <f t="shared" si="42"/>
        <v/>
      </c>
    </row>
    <row r="195">
      <c r="A195" s="599" t="s">
        <v>284</v>
      </c>
      <c r="B195" s="560" t="s">
        <v>109</v>
      </c>
      <c r="C195" s="635">
        <v>1240977.0</v>
      </c>
      <c r="D195" s="562">
        <v>3854.438778</v>
      </c>
      <c r="E195" s="563">
        <v>0.0</v>
      </c>
      <c r="F195" s="564">
        <v>0.566605313</v>
      </c>
      <c r="G195" s="564">
        <v>4.013750707</v>
      </c>
      <c r="H195" s="564">
        <v>20.19715533</v>
      </c>
      <c r="I195" s="565">
        <v>14.01659045</v>
      </c>
      <c r="J195" s="630">
        <v>39.1658884934655</v>
      </c>
      <c r="K195" s="630">
        <v>165.774813037774</v>
      </c>
      <c r="L195" s="567">
        <v>32.46119425</v>
      </c>
      <c r="M195" s="568">
        <v>21.3215717070514</v>
      </c>
      <c r="N195" s="568">
        <v>77.0308381733649</v>
      </c>
      <c r="O195" s="569">
        <v>0.0</v>
      </c>
      <c r="P195" s="601">
        <v>134491.90408</v>
      </c>
      <c r="Q195" s="618">
        <v>993647.0</v>
      </c>
      <c r="R195" s="603">
        <v>0.7763</v>
      </c>
      <c r="S195" s="116">
        <f t="shared" si="6"/>
        <v>0.7763</v>
      </c>
      <c r="T195" s="151"/>
      <c r="U195" s="572">
        <f t="shared" si="7"/>
        <v>0.2806</v>
      </c>
      <c r="V195" s="573">
        <v>0.7763</v>
      </c>
      <c r="W195" s="574">
        <f t="shared" si="8"/>
        <v>0.7763</v>
      </c>
      <c r="X195" s="573">
        <v>0.7957</v>
      </c>
      <c r="Y195" s="574">
        <f t="shared" si="9"/>
        <v>0.7957</v>
      </c>
      <c r="Z195" s="308"/>
      <c r="AA195" s="308"/>
      <c r="AB195" s="575" t="str">
        <f t="shared" si="10"/>
        <v/>
      </c>
      <c r="AC195" s="576">
        <f t="shared" si="11"/>
        <v>0.7192241206</v>
      </c>
      <c r="AD195" s="577">
        <v>0.1073936009</v>
      </c>
      <c r="AE195" s="572">
        <v>0.0</v>
      </c>
      <c r="AF195" s="578">
        <v>0.0</v>
      </c>
      <c r="AG195" s="132">
        <v>0.05806553902</v>
      </c>
      <c r="AH195" s="132">
        <v>0.192806745</v>
      </c>
      <c r="AI195" s="579">
        <v>0.0399015509</v>
      </c>
      <c r="AJ195" s="579">
        <v>0.05071185082</v>
      </c>
      <c r="AK195" s="580">
        <v>0.1065176416</v>
      </c>
      <c r="AL195" s="580">
        <v>0.1283785243</v>
      </c>
      <c r="AM195" s="581">
        <v>0.0</v>
      </c>
      <c r="AN195" s="571" t="str">
        <f>IFERROR(
  AVERAGEIFS(
    'New LF Efficacy'!$J:$J,
    'New LF Efficacy'!$D:$D, $A195,
    'New LF Efficacy'!$F:$F,"DEC", 
    'New LF Efficacy'!$W:$W,"&lt;2016",
    'New LF Efficacy'!$AA:$AA,""),
  ""
)</f>
        <v/>
      </c>
      <c r="AO195" s="582">
        <f t="shared" si="12"/>
        <v>0.478175</v>
      </c>
      <c r="AP195" s="571" t="str">
        <f>IFERROR(
AVERAGEIFS(
'New LF Efficacy'!$J:$J,
'New LF Efficacy'!$D:$D,$A195,
'New LF Efficacy'!$F:$F,"Albendazole &amp; DEC",
'New LF Efficacy'!$W:$W,"&lt;2016",
'New LF Efficacy'!$AA:$AA,""),
"")</f>
        <v/>
      </c>
      <c r="AQ195" s="582">
        <f t="shared" si="13"/>
        <v>0.5831666667</v>
      </c>
      <c r="AR195" s="571" t="str">
        <f>IFERROR(
AVERAGEIFS(
'New LF Efficacy'!$J:$J,
'New LF Efficacy'!$D:$D,$A195,
'New LF Efficacy'!$F:$F,"Albendazole &amp; Ivermectin", 
'New LF Efficacy'!$W:$W,"&lt;2016",
'New LF Efficacy'!$AA:$AA,""),"")</f>
        <v/>
      </c>
      <c r="AS195" s="582">
        <f t="shared" si="14"/>
        <v>0.14</v>
      </c>
      <c r="AT195" s="583" t="str">
        <f>IFERROR(AVERAGEIFS(
'Schist Efficacy'!$O:$O, 
'Schist Efficacy'!$C:$C,$A195, 
'Schist Efficacy'!$D:$D, "Praziquantel",
'Schist Efficacy'!$J:$J,"&lt;2016",
'Schist Efficacy'!$U:$U,""),
"")</f>
        <v/>
      </c>
      <c r="AU195" s="572">
        <f t="shared" si="15"/>
        <v>0.743990088</v>
      </c>
      <c r="AV195" s="131" t="str">
        <f>IFERROR(AVERAGEIFS(
'STH Efficacy'!$AX:$AX, 
'STH Efficacy'!$AL:$AL, $A195, 
'STH Efficacy'!$AM:$AM, "Albendazole",
'STH Efficacy'!$AS:$AS,"&lt;2016",
'STH Efficacy'!$BP:$BP,""),
"")</f>
        <v/>
      </c>
      <c r="AW195" s="132">
        <f t="shared" si="16"/>
        <v>0.5394444444</v>
      </c>
      <c r="AX195" s="131" t="str">
        <f>IFERROR(AVERAGEIFS(
'STH Efficacy'!$AX:$AX, 
'STH Efficacy'!$AL:$AL, $A195, 
'STH Efficacy'!$AM:$AM, "Mebendazole",
'STH Efficacy'!$AS:$AS,"&lt;2016",
'STH Efficacy'!$BP:$BP,""),
"")</f>
        <v/>
      </c>
      <c r="AY195" s="132">
        <f t="shared" si="17"/>
        <v>0.3786666667</v>
      </c>
      <c r="AZ195" s="131" t="str">
        <f>IFERROR(AVERAGEIFS(
'STH Efficacy'!$AX:$AX, 
'STH Efficacy'!$AL:$AL, $A195, 
'STH Efficacy'!$AM:$AM, "Albendazole &amp; Ivermectin",
'STH Efficacy'!$AS:$AS,"&lt;2016",
'STH Efficacy'!$BP:$BP,""),
"")</f>
        <v/>
      </c>
      <c r="BA195" s="303">
        <f t="shared" si="18"/>
        <v>0.597625</v>
      </c>
      <c r="BB195" s="584" t="str">
        <f>IFERROR(AVERAGEIFS(
'STH Efficacy'!$N:$N, 
'STH Efficacy'!$B:$B, $A195, 
'STH Efficacy'!$C:$C, "Albendazole",
'STH Efficacy'!$I:$I,"&lt;2016",
'STH Efficacy'!$AH:$AH,""),
"")</f>
        <v/>
      </c>
      <c r="BC195" s="579">
        <f t="shared" si="19"/>
        <v>0.7133333333</v>
      </c>
      <c r="BD195" s="584" t="str">
        <f>IFERROR(AVERAGEIFS(
'STH Efficacy'!$N:$N, 
'STH Efficacy'!$B:$B, $A195, 
'STH Efficacy'!$C:$C, "Mebendazole",
'STH Efficacy'!$I:$I,"&lt;2016",
'STH Efficacy'!$AH:$AH,""),
"")</f>
        <v/>
      </c>
      <c r="BE195" s="579">
        <f t="shared" si="20"/>
        <v>0.205</v>
      </c>
      <c r="BF195" s="585" t="str">
        <f>IFERROR(AVERAGEIFS(
'STH Efficacy'!$CD:$CD, 
'STH Efficacy'!$BS:$BS, $A195, 
'STH Efficacy'!$BT:$BT, "Albendazole",
'STH Efficacy'!$BZ:$BZ,"&lt;2016",
'STH Efficacy'!$CU:$CU,""),
"")</f>
        <v/>
      </c>
      <c r="BG195" s="580">
        <f t="shared" si="21"/>
        <v>0.83</v>
      </c>
      <c r="BH195" s="585" t="str">
        <f>IFERROR(AVERAGEIFS(
'STH Efficacy'!$CD:$CD, 
'STH Efficacy'!$BS:$BS, $A195, 
'STH Efficacy'!$BT:$BT, "Mebendazole",
'STH Efficacy'!$BZ:$BZ,"&lt;2016",
'STH Efficacy'!$CU:$CU,""),
"")</f>
        <v/>
      </c>
      <c r="BI195" s="580">
        <f t="shared" si="22"/>
        <v>1</v>
      </c>
      <c r="BJ195" s="585" t="str">
        <f>IFERROR(AVERAGEIFS(
'STH Efficacy'!$CD:$CD, 
'STH Efficacy'!$BS:$BS, $A195, 
'STH Efficacy'!$BT:$BT, "Albendazole &amp; Ivermectin",
'STH Efficacy'!$BZ:$BZ,"&lt;2016",
'STH Efficacy'!$CU:$CU,""),
"")</f>
        <v/>
      </c>
      <c r="BK195" s="580">
        <f t="shared" si="23"/>
        <v>0.848</v>
      </c>
      <c r="BL195" s="575" t="str">
        <f>IFERROR(
  AVERAGEIFS(
    'NEW Onchocerciasis Efficacy'!$AO:$AO,
    'NEW Onchocerciasis Efficacy'!$C:$C,$A195,
    'NEW Onchocerciasis Efficacy'!$D:$D,"Ivermectin",
    'NEW Onchocerciasis Efficacy'!$AR:$AR,"&lt;2016",
    'NEW Onchocerciasis Efficacy'!$BG:$BG,"")
,"")</f>
        <v/>
      </c>
      <c r="BM195" s="586">
        <f t="shared" si="24"/>
        <v>0.7808368939</v>
      </c>
      <c r="BN195" s="587">
        <v>1.0</v>
      </c>
      <c r="BO195" s="588">
        <v>0.0</v>
      </c>
      <c r="BP195" s="589">
        <v>0.0</v>
      </c>
      <c r="BQ195" s="590">
        <f t="shared" si="25"/>
        <v>0</v>
      </c>
      <c r="BR195" s="560" t="str">
        <f t="shared" si="26"/>
        <v>1000</v>
      </c>
      <c r="BS195" s="560" t="str">
        <f t="shared" si="27"/>
        <v>MDA1/2</v>
      </c>
      <c r="BT195" s="606" t="str">
        <f t="shared" si="44"/>
        <v>IVM+ALB or DEC+ALB</v>
      </c>
      <c r="BU195" s="591" t="str">
        <f t="shared" si="29"/>
        <v/>
      </c>
      <c r="BV195" s="560" t="str">
        <f t="shared" si="30"/>
        <v>lf only</v>
      </c>
      <c r="BW195" s="607">
        <f t="shared" si="31"/>
        <v>3188.36277</v>
      </c>
      <c r="BX195" s="607">
        <f t="shared" si="32"/>
        <v>469.987272</v>
      </c>
      <c r="BY195" s="151" t="str">
        <f t="shared" si="33"/>
        <v/>
      </c>
      <c r="BZ195" s="152" t="str">
        <f t="shared" si="34"/>
        <v/>
      </c>
      <c r="CA195" s="152" t="str">
        <f t="shared" si="35"/>
        <v/>
      </c>
      <c r="CB195" s="152" t="str">
        <f t="shared" si="36"/>
        <v/>
      </c>
      <c r="CC195" s="153" t="str">
        <f t="shared" si="37"/>
        <v/>
      </c>
      <c r="CD195" s="153" t="str">
        <f t="shared" si="38"/>
        <v/>
      </c>
      <c r="CE195" s="154" t="str">
        <f t="shared" si="39"/>
        <v/>
      </c>
      <c r="CF195" s="154" t="str">
        <f t="shared" si="40"/>
        <v/>
      </c>
      <c r="CG195" s="154" t="str">
        <f t="shared" si="41"/>
        <v/>
      </c>
      <c r="CH195" s="308" t="str">
        <f t="shared" si="42"/>
        <v/>
      </c>
    </row>
    <row r="196">
      <c r="A196" s="559" t="s">
        <v>285</v>
      </c>
      <c r="B196" s="560" t="s">
        <v>92</v>
      </c>
      <c r="C196" s="635">
        <v>7416802.0</v>
      </c>
      <c r="D196" s="562">
        <v>652.3440023</v>
      </c>
      <c r="E196" s="563">
        <v>8101.14899125605</v>
      </c>
      <c r="F196" s="564">
        <v>0.070702554</v>
      </c>
      <c r="G196" s="564">
        <v>0.495174022</v>
      </c>
      <c r="H196" s="564">
        <v>1.23433706</v>
      </c>
      <c r="I196" s="565">
        <v>583.3482217</v>
      </c>
      <c r="J196" s="630">
        <v>2150.51713301922</v>
      </c>
      <c r="K196" s="630">
        <v>8351.71454284418</v>
      </c>
      <c r="L196" s="567">
        <v>178.4653568</v>
      </c>
      <c r="M196" s="568">
        <v>30.2125832508043</v>
      </c>
      <c r="N196" s="568">
        <v>223.649799916647</v>
      </c>
      <c r="O196" s="569">
        <v>266.5</v>
      </c>
      <c r="P196" s="632">
        <v>1168.5883</v>
      </c>
      <c r="Q196" s="150"/>
      <c r="R196" s="571"/>
      <c r="S196" s="116">
        <f t="shared" si="6"/>
        <v>0.6227928571</v>
      </c>
      <c r="T196" s="572">
        <v>0.6021</v>
      </c>
      <c r="U196" s="572">
        <f t="shared" si="7"/>
        <v>0.6021</v>
      </c>
      <c r="V196" s="573">
        <v>1.0</v>
      </c>
      <c r="W196" s="574">
        <f t="shared" si="8"/>
        <v>1</v>
      </c>
      <c r="X196" s="573">
        <v>0.9996</v>
      </c>
      <c r="Y196" s="574">
        <f t="shared" si="9"/>
        <v>0.9996</v>
      </c>
      <c r="Z196" s="604">
        <v>5092592.0</v>
      </c>
      <c r="AA196" s="604">
        <v>2535488.0</v>
      </c>
      <c r="AB196" s="576">
        <f t="shared" si="10"/>
        <v>0.4978777016</v>
      </c>
      <c r="AC196" s="576">
        <f t="shared" si="11"/>
        <v>0.4978777016</v>
      </c>
      <c r="AD196" s="577">
        <v>0.001568874641</v>
      </c>
      <c r="AE196" s="572">
        <v>0.06214339114</v>
      </c>
      <c r="AF196" s="578">
        <v>0.009846799754</v>
      </c>
      <c r="AG196" s="133">
        <v>0.02214936881</v>
      </c>
      <c r="AH196" s="133">
        <v>0.073544539</v>
      </c>
      <c r="AI196" s="623">
        <v>0.162046553</v>
      </c>
      <c r="AJ196" s="623">
        <v>0.207107177</v>
      </c>
      <c r="AK196" s="624">
        <v>0.06333123838</v>
      </c>
      <c r="AL196" s="624">
        <v>0.07699914774</v>
      </c>
      <c r="AM196" s="581">
        <v>4.359018937E-4</v>
      </c>
      <c r="AN196" s="571" t="str">
        <f>IFERROR(
  AVERAGEIFS(
    'New LF Efficacy'!$J:$J,
    'New LF Efficacy'!$D:$D, $A196,
    'New LF Efficacy'!$F:$F,"DEC", 
    'New LF Efficacy'!$W:$W,"&lt;2016",
    'New LF Efficacy'!$AA:$AA,""),
  ""
)</f>
        <v/>
      </c>
      <c r="AO196" s="582">
        <f t="shared" si="12"/>
        <v>0.31225</v>
      </c>
      <c r="AP196" s="571" t="str">
        <f>IFERROR(
AVERAGEIFS(
'New LF Efficacy'!$J:$J,
'New LF Efficacy'!$D:$D,$A196,
'New LF Efficacy'!$F:$F,"Albendazole &amp; DEC",
'New LF Efficacy'!$W:$W,"&lt;2016",
'New LF Efficacy'!$AA:$AA,""),
"")</f>
        <v/>
      </c>
      <c r="AQ196" s="582">
        <f t="shared" si="13"/>
        <v>0.4</v>
      </c>
      <c r="AR196" s="571" t="str">
        <f>IFERROR(
AVERAGEIFS(
'New LF Efficacy'!$J:$J,
'New LF Efficacy'!$D:$D,$A196,
'New LF Efficacy'!$F:$F,"Albendazole &amp; Ivermectin", 
'New LF Efficacy'!$W:$W,"&lt;2016",
'New LF Efficacy'!$AA:$AA,""),"")</f>
        <v/>
      </c>
      <c r="AS196" s="582">
        <f t="shared" si="14"/>
        <v>0.2943125</v>
      </c>
      <c r="AT196" s="583" t="str">
        <f>IFERROR(AVERAGEIFS(
'Schist Efficacy'!$O:$O, 
'Schist Efficacy'!$C:$C,$A196, 
'Schist Efficacy'!$D:$D, "Praziquantel",
'Schist Efficacy'!$J:$J,"&lt;2016",
'Schist Efficacy'!$U:$U,""),
"")</f>
        <v/>
      </c>
      <c r="AU196" s="572">
        <f t="shared" si="15"/>
        <v>0.7206464759</v>
      </c>
      <c r="AV196" s="131" t="str">
        <f>IFERROR(AVERAGEIFS(
'STH Efficacy'!$AX:$AX, 
'STH Efficacy'!$AL:$AL, $A196, 
'STH Efficacy'!$AM:$AM, "Albendazole",
'STH Efficacy'!$AS:$AS,"&lt;2016",
'STH Efficacy'!$BP:$BP,""),
"")</f>
        <v/>
      </c>
      <c r="AW196" s="132">
        <f t="shared" si="16"/>
        <v>0.3816333333</v>
      </c>
      <c r="AX196" s="131" t="str">
        <f>IFERROR(AVERAGEIFS(
'STH Efficacy'!$AX:$AX, 
'STH Efficacy'!$AL:$AL, $A196, 
'STH Efficacy'!$AM:$AM, "Mebendazole",
'STH Efficacy'!$AS:$AS,"&lt;2016",
'STH Efficacy'!$BP:$BP,""),
"")</f>
        <v/>
      </c>
      <c r="AY196" s="132">
        <f t="shared" si="17"/>
        <v>0.4859375</v>
      </c>
      <c r="AZ196" s="131" t="str">
        <f>IFERROR(AVERAGEIFS(
'STH Efficacy'!$AX:$AX, 
'STH Efficacy'!$AL:$AL, $A196, 
'STH Efficacy'!$AM:$AM, "Albendazole &amp; Ivermectin",
'STH Efficacy'!$AS:$AS,"&lt;2016",
'STH Efficacy'!$BP:$BP,""),
"")</f>
        <v/>
      </c>
      <c r="BA196" s="303">
        <f t="shared" si="18"/>
        <v>0.47175</v>
      </c>
      <c r="BB196" s="584" t="str">
        <f>IFERROR(AVERAGEIFS(
'STH Efficacy'!$N:$N, 
'STH Efficacy'!$B:$B, $A196, 
'STH Efficacy'!$C:$C, "Albendazole",
'STH Efficacy'!$I:$I,"&lt;2016",
'STH Efficacy'!$AH:$AH,""),
"")</f>
        <v/>
      </c>
      <c r="BC196" s="579">
        <f t="shared" si="19"/>
        <v>0.8699166667</v>
      </c>
      <c r="BD196" s="584" t="str">
        <f>IFERROR(AVERAGEIFS(
'STH Efficacy'!$N:$N, 
'STH Efficacy'!$B:$B, $A196, 
'STH Efficacy'!$C:$C, "Mebendazole",
'STH Efficacy'!$I:$I,"&lt;2016",
'STH Efficacy'!$AH:$AH,""),
"")</f>
        <v/>
      </c>
      <c r="BE196" s="579">
        <f t="shared" si="20"/>
        <v>0.7092416667</v>
      </c>
      <c r="BF196" s="585" t="str">
        <f>IFERROR(AVERAGEIFS(
'STH Efficacy'!$CD:$CD, 
'STH Efficacy'!$BS:$BS, $A196, 
'STH Efficacy'!$BT:$BT, "Albendazole",
'STH Efficacy'!$BZ:$BZ,"&lt;2016",
'STH Efficacy'!$CU:$CU,""),
"")</f>
        <v/>
      </c>
      <c r="BG196" s="580">
        <f t="shared" si="21"/>
        <v>0.9066666667</v>
      </c>
      <c r="BH196" s="585" t="str">
        <f>IFERROR(AVERAGEIFS(
'STH Efficacy'!$CD:$CD, 
'STH Efficacy'!$BS:$BS, $A196, 
'STH Efficacy'!$BT:$BT, "Mebendazole",
'STH Efficacy'!$BZ:$BZ,"&lt;2016",
'STH Efficacy'!$CU:$CU,""),
"")</f>
        <v/>
      </c>
      <c r="BI196" s="580">
        <f t="shared" si="22"/>
        <v>0.8483333333</v>
      </c>
      <c r="BJ196" s="585" t="str">
        <f>IFERROR(AVERAGEIFS(
'STH Efficacy'!$CD:$CD, 
'STH Efficacy'!$BS:$BS, $A196, 
'STH Efficacy'!$BT:$BT, "Albendazole &amp; Ivermectin",
'STH Efficacy'!$BZ:$BZ,"&lt;2016",
'STH Efficacy'!$CU:$CU,""),
"")</f>
        <v/>
      </c>
      <c r="BK196" s="580">
        <f t="shared" si="23"/>
        <v>0.696</v>
      </c>
      <c r="BL196" s="575">
        <f>IFERROR(
  AVERAGEIFS(
    'NEW Onchocerciasis Efficacy'!$AO:$AO,
    'NEW Onchocerciasis Efficacy'!$C:$C,$A196,
    'NEW Onchocerciasis Efficacy'!$D:$D,"Ivermectin",
    'NEW Onchocerciasis Efficacy'!$AR:$AR,"&lt;2016",
    'NEW Onchocerciasis Efficacy'!$BG:$BG,"")
,"")</f>
        <v>0.8831666667</v>
      </c>
      <c r="BM196" s="586">
        <f t="shared" si="24"/>
        <v>0.8831666667</v>
      </c>
      <c r="BN196" s="587">
        <v>0.0</v>
      </c>
      <c r="BO196" s="588">
        <v>0.0</v>
      </c>
      <c r="BP196" s="589">
        <v>1.0</v>
      </c>
      <c r="BQ196" s="590">
        <f t="shared" si="25"/>
        <v>0</v>
      </c>
      <c r="BR196" s="560" t="str">
        <f t="shared" si="26"/>
        <v>0010</v>
      </c>
      <c r="BS196" s="560" t="str">
        <f t="shared" si="27"/>
        <v>T2</v>
      </c>
      <c r="BT196" s="606" t="str">
        <f t="shared" si="44"/>
        <v>PZQ</v>
      </c>
      <c r="BU196" s="560" t="str">
        <f t="shared" si="29"/>
        <v>PZQ</v>
      </c>
      <c r="BV196" s="560" t="str">
        <f t="shared" si="30"/>
        <v>schist only</v>
      </c>
      <c r="BW196" s="150" t="str">
        <f t="shared" si="31"/>
        <v/>
      </c>
      <c r="BX196" s="150" t="str">
        <f t="shared" si="32"/>
        <v/>
      </c>
      <c r="BY196" s="608">
        <f t="shared" si="33"/>
        <v>6209.338169</v>
      </c>
      <c r="BZ196" s="152" t="str">
        <f t="shared" si="34"/>
        <v/>
      </c>
      <c r="CA196" s="152" t="str">
        <f t="shared" si="35"/>
        <v/>
      </c>
      <c r="CB196" s="152" t="str">
        <f t="shared" si="36"/>
        <v/>
      </c>
      <c r="CC196" s="153" t="str">
        <f t="shared" si="37"/>
        <v/>
      </c>
      <c r="CD196" s="153" t="str">
        <f t="shared" si="38"/>
        <v/>
      </c>
      <c r="CE196" s="154" t="str">
        <f t="shared" si="39"/>
        <v/>
      </c>
      <c r="CF196" s="154" t="str">
        <f t="shared" si="40"/>
        <v/>
      </c>
      <c r="CG196" s="154" t="str">
        <f t="shared" si="41"/>
        <v/>
      </c>
      <c r="CH196" s="308" t="str">
        <f t="shared" si="42"/>
        <v/>
      </c>
    </row>
    <row r="197">
      <c r="A197" s="599" t="s">
        <v>286</v>
      </c>
      <c r="B197" s="560" t="s">
        <v>94</v>
      </c>
      <c r="C197" s="361"/>
      <c r="D197" s="562"/>
      <c r="E197" s="610"/>
      <c r="F197" s="611"/>
      <c r="G197" s="611"/>
      <c r="H197" s="611"/>
      <c r="I197" s="622"/>
      <c r="J197" s="622"/>
      <c r="K197" s="622"/>
      <c r="L197" s="612"/>
      <c r="M197" s="612"/>
      <c r="N197" s="612"/>
      <c r="O197" s="308"/>
      <c r="P197" s="150"/>
      <c r="Q197" s="150"/>
      <c r="R197" s="571"/>
      <c r="S197" s="116">
        <f t="shared" si="6"/>
        <v>0.5322777778</v>
      </c>
      <c r="T197" s="151"/>
      <c r="U197" s="572">
        <f t="shared" si="7"/>
        <v>0.7834666667</v>
      </c>
      <c r="V197" s="598"/>
      <c r="W197" s="574">
        <f t="shared" si="8"/>
        <v>0.3593777778</v>
      </c>
      <c r="X197" s="598"/>
      <c r="Y197" s="574">
        <f t="shared" si="9"/>
        <v>0.5347375</v>
      </c>
      <c r="Z197" s="308"/>
      <c r="AA197" s="308"/>
      <c r="AB197" s="575" t="str">
        <f t="shared" si="10"/>
        <v/>
      </c>
      <c r="AC197" s="576">
        <f t="shared" si="11"/>
        <v>0.7192241206</v>
      </c>
      <c r="AD197" s="571"/>
      <c r="AE197" s="583"/>
      <c r="AF197" s="583"/>
      <c r="AG197" s="131"/>
      <c r="AH197" s="131"/>
      <c r="AI197" s="584"/>
      <c r="AJ197" s="584"/>
      <c r="AK197" s="585"/>
      <c r="AL197" s="585"/>
      <c r="AM197" s="575"/>
      <c r="AN197" s="571" t="str">
        <f>IFERROR(
  AVERAGEIFS(
    'New LF Efficacy'!$J:$J,
    'New LF Efficacy'!$D:$D, $A197,
    'New LF Efficacy'!$F:$F,"DEC", 
    'New LF Efficacy'!$W:$W,"&lt;2016",
    'New LF Efficacy'!$AA:$AA,""),
  ""
)</f>
        <v/>
      </c>
      <c r="AO197" s="582">
        <f t="shared" si="12"/>
        <v>0.38</v>
      </c>
      <c r="AP197" s="571" t="str">
        <f>IFERROR(
AVERAGEIFS(
'New LF Efficacy'!$J:$J,
'New LF Efficacy'!$D:$D,$A197,
'New LF Efficacy'!$F:$F,"Albendazole &amp; DEC",
'New LF Efficacy'!$W:$W,"&lt;2016",
'New LF Efficacy'!$AA:$AA,""),
"")</f>
        <v/>
      </c>
      <c r="AQ197" s="582">
        <f t="shared" si="13"/>
        <v>0.662</v>
      </c>
      <c r="AR197" s="571" t="str">
        <f>IFERROR(
AVERAGEIFS(
'New LF Efficacy'!$J:$J,
'New LF Efficacy'!$D:$D,$A197,
'New LF Efficacy'!$F:$F,"Albendazole &amp; Ivermectin", 
'New LF Efficacy'!$W:$W,"&lt;2016",
'New LF Efficacy'!$AA:$AA,""),"")</f>
        <v/>
      </c>
      <c r="AS197" s="582">
        <f t="shared" si="14"/>
        <v>0.37153125</v>
      </c>
      <c r="AT197" s="583" t="str">
        <f>IFERROR(AVERAGEIFS(
'Schist Efficacy'!$O:$O, 
'Schist Efficacy'!$C:$C,$A197, 
'Schist Efficacy'!$D:$D, "Praziquantel",
'Schist Efficacy'!$J:$J,"&lt;2016",
'Schist Efficacy'!$U:$U,""),
"")</f>
        <v/>
      </c>
      <c r="AU197" s="572">
        <f t="shared" si="15"/>
        <v>0.9475</v>
      </c>
      <c r="AV197" s="131" t="str">
        <f>IFERROR(AVERAGEIFS(
'STH Efficacy'!$AX:$AX, 
'STH Efficacy'!$AL:$AL, $A197, 
'STH Efficacy'!$AM:$AM, "Albendazole",
'STH Efficacy'!$AS:$AS,"&lt;2016",
'STH Efficacy'!$BP:$BP,""),
"")</f>
        <v/>
      </c>
      <c r="AW197" s="132">
        <f t="shared" si="16"/>
        <v>0.3571666667</v>
      </c>
      <c r="AX197" s="131" t="str">
        <f>IFERROR(AVERAGEIFS(
'STH Efficacy'!$AX:$AX, 
'STH Efficacy'!$AL:$AL, $A197, 
'STH Efficacy'!$AM:$AM, "Mebendazole",
'STH Efficacy'!$AS:$AS,"&lt;2016",
'STH Efficacy'!$BP:$BP,""),
"")</f>
        <v/>
      </c>
      <c r="AY197" s="132">
        <f t="shared" si="17"/>
        <v>0.4155</v>
      </c>
      <c r="AZ197" s="131" t="str">
        <f>IFERROR(AVERAGEIFS(
'STH Efficacy'!$AX:$AX, 
'STH Efficacy'!$AL:$AL, $A197, 
'STH Efficacy'!$AM:$AM, "Albendazole &amp; Ivermectin",
'STH Efficacy'!$AS:$AS,"&lt;2016",
'STH Efficacy'!$BP:$BP,""),
"")</f>
        <v/>
      </c>
      <c r="BA197" s="303">
        <f t="shared" si="18"/>
        <v>0.651</v>
      </c>
      <c r="BB197" s="584" t="str">
        <f>IFERROR(AVERAGEIFS(
'STH Efficacy'!$N:$N, 
'STH Efficacy'!$B:$B, $A197, 
'STH Efficacy'!$C:$C, "Albendazole",
'STH Efficacy'!$I:$I,"&lt;2016",
'STH Efficacy'!$AH:$AH,""),
"")</f>
        <v/>
      </c>
      <c r="BC197" s="579">
        <f t="shared" si="19"/>
        <v>0.5769166667</v>
      </c>
      <c r="BD197" s="584" t="str">
        <f>IFERROR(AVERAGEIFS(
'STH Efficacy'!$N:$N, 
'STH Efficacy'!$B:$B, $A197, 
'STH Efficacy'!$C:$C, "Mebendazole",
'STH Efficacy'!$I:$I,"&lt;2016",
'STH Efficacy'!$AH:$AH,""),
"")</f>
        <v/>
      </c>
      <c r="BE197" s="579">
        <f t="shared" si="20"/>
        <v>0.3145</v>
      </c>
      <c r="BF197" s="585" t="str">
        <f>IFERROR(AVERAGEIFS(
'STH Efficacy'!$CD:$CD, 
'STH Efficacy'!$BS:$BS, $A197, 
'STH Efficacy'!$BT:$BT, "Albendazole",
'STH Efficacy'!$BZ:$BZ,"&lt;2016",
'STH Efficacy'!$CU:$CU,""),
"")</f>
        <v/>
      </c>
      <c r="BG197" s="580">
        <f t="shared" si="21"/>
        <v>0.96925</v>
      </c>
      <c r="BH197" s="585" t="str">
        <f>IFERROR(AVERAGEIFS(
'STH Efficacy'!$CD:$CD, 
'STH Efficacy'!$BS:$BS, $A197, 
'STH Efficacy'!$BT:$BT, "Mebendazole",
'STH Efficacy'!$BZ:$BZ,"&lt;2016",
'STH Efficacy'!$CU:$CU,""),
"")</f>
        <v/>
      </c>
      <c r="BI197" s="580">
        <f t="shared" si="22"/>
        <v>0.9305</v>
      </c>
      <c r="BJ197" s="585" t="str">
        <f>IFERROR(AVERAGEIFS(
'STH Efficacy'!$CD:$CD, 
'STH Efficacy'!$BS:$BS, $A197, 
'STH Efficacy'!$BT:$BT, "Albendazole &amp; Ivermectin",
'STH Efficacy'!$BZ:$BZ,"&lt;2016",
'STH Efficacy'!$CU:$CU,""),
"")</f>
        <v/>
      </c>
      <c r="BK197" s="580">
        <f t="shared" si="23"/>
        <v>0.848</v>
      </c>
      <c r="BL197" s="575" t="str">
        <f>IFERROR(
  AVERAGEIFS(
    'NEW Onchocerciasis Efficacy'!$AO:$AO,
    'NEW Onchocerciasis Efficacy'!$C:$C,$A197,
    'NEW Onchocerciasis Efficacy'!$D:$D,"Ivermectin",
    'NEW Onchocerciasis Efficacy'!$AR:$AR,"&lt;2016",
    'NEW Onchocerciasis Efficacy'!$BG:$BG,"")
,"")</f>
        <v/>
      </c>
      <c r="BM197" s="586">
        <f t="shared" si="24"/>
        <v>0.7808368939</v>
      </c>
      <c r="BN197" s="587">
        <v>0.0</v>
      </c>
      <c r="BO197" s="588">
        <v>0.0</v>
      </c>
      <c r="BP197" s="589">
        <v>0.0</v>
      </c>
      <c r="BQ197" s="590">
        <f t="shared" si="25"/>
        <v>0</v>
      </c>
      <c r="BR197" s="560" t="str">
        <f t="shared" si="26"/>
        <v>0000</v>
      </c>
      <c r="BS197" s="560" t="str">
        <f t="shared" si="27"/>
        <v>no action required</v>
      </c>
      <c r="BT197" s="361" t="str">
        <f t="shared" si="44"/>
        <v/>
      </c>
      <c r="BU197" s="591" t="str">
        <f t="shared" si="29"/>
        <v/>
      </c>
      <c r="BV197" s="560" t="str">
        <f t="shared" si="30"/>
        <v>none</v>
      </c>
      <c r="BW197" s="150" t="str">
        <f t="shared" si="31"/>
        <v/>
      </c>
      <c r="BX197" s="150" t="str">
        <f t="shared" si="32"/>
        <v/>
      </c>
      <c r="BY197" s="151" t="str">
        <f t="shared" si="33"/>
        <v/>
      </c>
      <c r="BZ197" s="152" t="str">
        <f t="shared" si="34"/>
        <v/>
      </c>
      <c r="CA197" s="152" t="str">
        <f t="shared" si="35"/>
        <v/>
      </c>
      <c r="CB197" s="152" t="str">
        <f t="shared" si="36"/>
        <v/>
      </c>
      <c r="CC197" s="153" t="str">
        <f t="shared" si="37"/>
        <v/>
      </c>
      <c r="CD197" s="153" t="str">
        <f t="shared" si="38"/>
        <v/>
      </c>
      <c r="CE197" s="154" t="str">
        <f t="shared" si="39"/>
        <v/>
      </c>
      <c r="CF197" s="154" t="str">
        <f t="shared" si="40"/>
        <v/>
      </c>
      <c r="CG197" s="154" t="str">
        <f t="shared" si="41"/>
        <v/>
      </c>
      <c r="CH197" s="308" t="str">
        <f t="shared" si="42"/>
        <v/>
      </c>
    </row>
    <row r="198">
      <c r="A198" s="599" t="s">
        <v>287</v>
      </c>
      <c r="B198" s="560" t="s">
        <v>94</v>
      </c>
      <c r="C198" s="635">
        <v>106364.0</v>
      </c>
      <c r="D198" s="562">
        <v>10.8061493</v>
      </c>
      <c r="E198" s="563">
        <v>0.0</v>
      </c>
      <c r="F198" s="564">
        <v>0.002710392</v>
      </c>
      <c r="G198" s="564">
        <v>0.021406242</v>
      </c>
      <c r="H198" s="564">
        <v>0.060098034</v>
      </c>
      <c r="I198" s="565">
        <v>0.38054311</v>
      </c>
      <c r="J198" s="630">
        <v>1.51604850176827</v>
      </c>
      <c r="K198" s="630">
        <v>7.11203437308123</v>
      </c>
      <c r="L198" s="567">
        <v>0.154218845</v>
      </c>
      <c r="M198" s="568">
        <v>0.0604076865780672</v>
      </c>
      <c r="N198" s="568">
        <v>0.258804153637067</v>
      </c>
      <c r="O198" s="569">
        <v>0.0</v>
      </c>
      <c r="P198" s="600">
        <v>191.879225608</v>
      </c>
      <c r="Q198" s="150"/>
      <c r="R198" s="571"/>
      <c r="S198" s="116">
        <f t="shared" si="6"/>
        <v>0.5322777778</v>
      </c>
      <c r="T198" s="151"/>
      <c r="U198" s="572">
        <f t="shared" si="7"/>
        <v>0.7834666667</v>
      </c>
      <c r="V198" s="598"/>
      <c r="W198" s="574">
        <f t="shared" si="8"/>
        <v>0.3593777778</v>
      </c>
      <c r="X198" s="598"/>
      <c r="Y198" s="574">
        <f t="shared" si="9"/>
        <v>0.5347375</v>
      </c>
      <c r="Z198" s="308"/>
      <c r="AA198" s="308"/>
      <c r="AB198" s="575" t="str">
        <f t="shared" si="10"/>
        <v/>
      </c>
      <c r="AC198" s="576">
        <f t="shared" si="11"/>
        <v>0.7192241206</v>
      </c>
      <c r="AD198" s="577">
        <v>0.001939844938</v>
      </c>
      <c r="AE198" s="572">
        <v>0.0</v>
      </c>
      <c r="AF198" s="578">
        <v>0.0</v>
      </c>
      <c r="AG198" s="133">
        <v>0.01970656353</v>
      </c>
      <c r="AH198" s="133">
        <v>0.063504131</v>
      </c>
      <c r="AI198" s="623">
        <v>0.02193732522</v>
      </c>
      <c r="AJ198" s="623">
        <v>0.02705087655</v>
      </c>
      <c r="AK198" s="624">
        <v>0.0295782456</v>
      </c>
      <c r="AL198" s="624">
        <v>0.03465132467</v>
      </c>
      <c r="AM198" s="581">
        <v>0.0</v>
      </c>
      <c r="AN198" s="571" t="str">
        <f>IFERROR(
  AVERAGEIFS(
    'New LF Efficacy'!$J:$J,
    'New LF Efficacy'!$D:$D, $A198,
    'New LF Efficacy'!$F:$F,"DEC", 
    'New LF Efficacy'!$W:$W,"&lt;2016",
    'New LF Efficacy'!$AA:$AA,""),
  ""
)</f>
        <v/>
      </c>
      <c r="AO198" s="582">
        <f t="shared" si="12"/>
        <v>0.38</v>
      </c>
      <c r="AP198" s="571" t="str">
        <f>IFERROR(
AVERAGEIFS(
'New LF Efficacy'!$J:$J,
'New LF Efficacy'!$D:$D,$A198,
'New LF Efficacy'!$F:$F,"Albendazole &amp; DEC",
'New LF Efficacy'!$W:$W,"&lt;2016",
'New LF Efficacy'!$AA:$AA,""),
"")</f>
        <v/>
      </c>
      <c r="AQ198" s="582">
        <f t="shared" si="13"/>
        <v>0.662</v>
      </c>
      <c r="AR198" s="571" t="str">
        <f>IFERROR(
AVERAGEIFS(
'New LF Efficacy'!$J:$J,
'New LF Efficacy'!$D:$D,$A198,
'New LF Efficacy'!$F:$F,"Albendazole &amp; Ivermectin", 
'New LF Efficacy'!$W:$W,"&lt;2016",
'New LF Efficacy'!$AA:$AA,""),"")</f>
        <v/>
      </c>
      <c r="AS198" s="582">
        <f t="shared" si="14"/>
        <v>0.37153125</v>
      </c>
      <c r="AT198" s="583" t="str">
        <f>IFERROR(AVERAGEIFS(
'Schist Efficacy'!$O:$O, 
'Schist Efficacy'!$C:$C,$A198, 
'Schist Efficacy'!$D:$D, "Praziquantel",
'Schist Efficacy'!$J:$J,"&lt;2016",
'Schist Efficacy'!$U:$U,""),
"")</f>
        <v/>
      </c>
      <c r="AU198" s="572">
        <f t="shared" si="15"/>
        <v>0.9475</v>
      </c>
      <c r="AV198" s="131" t="str">
        <f>IFERROR(AVERAGEIFS(
'STH Efficacy'!$AX:$AX, 
'STH Efficacy'!$AL:$AL, $A198, 
'STH Efficacy'!$AM:$AM, "Albendazole",
'STH Efficacy'!$AS:$AS,"&lt;2016",
'STH Efficacy'!$BP:$BP,""),
"")</f>
        <v/>
      </c>
      <c r="AW198" s="132">
        <f t="shared" si="16"/>
        <v>0.3571666667</v>
      </c>
      <c r="AX198" s="131" t="str">
        <f>IFERROR(AVERAGEIFS(
'STH Efficacy'!$AX:$AX, 
'STH Efficacy'!$AL:$AL, $A198, 
'STH Efficacy'!$AM:$AM, "Mebendazole",
'STH Efficacy'!$AS:$AS,"&lt;2016",
'STH Efficacy'!$BP:$BP,""),
"")</f>
        <v/>
      </c>
      <c r="AY198" s="132">
        <f t="shared" si="17"/>
        <v>0.4155</v>
      </c>
      <c r="AZ198" s="131" t="str">
        <f>IFERROR(AVERAGEIFS(
'STH Efficacy'!$AX:$AX, 
'STH Efficacy'!$AL:$AL, $A198, 
'STH Efficacy'!$AM:$AM, "Albendazole &amp; Ivermectin",
'STH Efficacy'!$AS:$AS,"&lt;2016",
'STH Efficacy'!$BP:$BP,""),
"")</f>
        <v/>
      </c>
      <c r="BA198" s="303">
        <f t="shared" si="18"/>
        <v>0.651</v>
      </c>
      <c r="BB198" s="584" t="str">
        <f>IFERROR(AVERAGEIFS(
'STH Efficacy'!$N:$N, 
'STH Efficacy'!$B:$B, $A198, 
'STH Efficacy'!$C:$C, "Albendazole",
'STH Efficacy'!$I:$I,"&lt;2016",
'STH Efficacy'!$AH:$AH,""),
"")</f>
        <v/>
      </c>
      <c r="BC198" s="579">
        <f t="shared" si="19"/>
        <v>0.5769166667</v>
      </c>
      <c r="BD198" s="584" t="str">
        <f>IFERROR(AVERAGEIFS(
'STH Efficacy'!$N:$N, 
'STH Efficacy'!$B:$B, $A198, 
'STH Efficacy'!$C:$C, "Mebendazole",
'STH Efficacy'!$I:$I,"&lt;2016",
'STH Efficacy'!$AH:$AH,""),
"")</f>
        <v/>
      </c>
      <c r="BE198" s="579">
        <f t="shared" si="20"/>
        <v>0.3145</v>
      </c>
      <c r="BF198" s="585" t="str">
        <f>IFERROR(AVERAGEIFS(
'STH Efficacy'!$CD:$CD, 
'STH Efficacy'!$BS:$BS, $A198, 
'STH Efficacy'!$BT:$BT, "Albendazole",
'STH Efficacy'!$BZ:$BZ,"&lt;2016",
'STH Efficacy'!$CU:$CU,""),
"")</f>
        <v/>
      </c>
      <c r="BG198" s="580">
        <f t="shared" si="21"/>
        <v>0.96925</v>
      </c>
      <c r="BH198" s="585" t="str">
        <f>IFERROR(AVERAGEIFS(
'STH Efficacy'!$CD:$CD, 
'STH Efficacy'!$BS:$BS, $A198, 
'STH Efficacy'!$BT:$BT, "Mebendazole",
'STH Efficacy'!$BZ:$BZ,"&lt;2016",
'STH Efficacy'!$CU:$CU,""),
"")</f>
        <v/>
      </c>
      <c r="BI198" s="580">
        <f t="shared" si="22"/>
        <v>0.9305</v>
      </c>
      <c r="BJ198" s="585" t="str">
        <f>IFERROR(AVERAGEIFS(
'STH Efficacy'!$CD:$CD, 
'STH Efficacy'!$BS:$BS, $A198, 
'STH Efficacy'!$BT:$BT, "Albendazole &amp; Ivermectin",
'STH Efficacy'!$BZ:$BZ,"&lt;2016",
'STH Efficacy'!$CU:$CU,""),
"")</f>
        <v/>
      </c>
      <c r="BK198" s="580">
        <f t="shared" si="23"/>
        <v>0.848</v>
      </c>
      <c r="BL198" s="575" t="str">
        <f>IFERROR(
  AVERAGEIFS(
    'NEW Onchocerciasis Efficacy'!$AO:$AO,
    'NEW Onchocerciasis Efficacy'!$C:$C,$A198,
    'NEW Onchocerciasis Efficacy'!$D:$D,"Ivermectin",
    'NEW Onchocerciasis Efficacy'!$AR:$AR,"&lt;2016",
    'NEW Onchocerciasis Efficacy'!$BG:$BG,"")
,"")</f>
        <v/>
      </c>
      <c r="BM198" s="586">
        <f t="shared" si="24"/>
        <v>0.7808368939</v>
      </c>
      <c r="BN198" s="587">
        <v>0.0</v>
      </c>
      <c r="BO198" s="588">
        <v>0.0</v>
      </c>
      <c r="BP198" s="589">
        <v>0.0</v>
      </c>
      <c r="BQ198" s="590">
        <f t="shared" si="25"/>
        <v>0</v>
      </c>
      <c r="BR198" s="560" t="str">
        <f t="shared" si="26"/>
        <v>0000</v>
      </c>
      <c r="BS198" s="560" t="str">
        <f t="shared" si="27"/>
        <v>no action required</v>
      </c>
      <c r="BT198" s="361" t="str">
        <f t="shared" si="44"/>
        <v/>
      </c>
      <c r="BU198" s="591" t="str">
        <f t="shared" si="29"/>
        <v/>
      </c>
      <c r="BV198" s="560" t="str">
        <f t="shared" si="30"/>
        <v>none</v>
      </c>
      <c r="BW198" s="150" t="str">
        <f t="shared" si="31"/>
        <v/>
      </c>
      <c r="BX198" s="150" t="str">
        <f t="shared" si="32"/>
        <v/>
      </c>
      <c r="BY198" s="151" t="str">
        <f t="shared" si="33"/>
        <v/>
      </c>
      <c r="BZ198" s="152" t="str">
        <f t="shared" si="34"/>
        <v/>
      </c>
      <c r="CA198" s="152" t="str">
        <f t="shared" si="35"/>
        <v/>
      </c>
      <c r="CB198" s="152" t="str">
        <f t="shared" si="36"/>
        <v/>
      </c>
      <c r="CC198" s="153" t="str">
        <f t="shared" si="37"/>
        <v/>
      </c>
      <c r="CD198" s="153" t="str">
        <f t="shared" si="38"/>
        <v/>
      </c>
      <c r="CE198" s="154" t="str">
        <f t="shared" si="39"/>
        <v/>
      </c>
      <c r="CF198" s="154" t="str">
        <f t="shared" si="40"/>
        <v/>
      </c>
      <c r="CG198" s="154" t="str">
        <f t="shared" si="41"/>
        <v/>
      </c>
      <c r="CH198" s="308" t="str">
        <f t="shared" si="42"/>
        <v/>
      </c>
    </row>
    <row r="199">
      <c r="A199" s="599" t="s">
        <v>288</v>
      </c>
      <c r="B199" s="560" t="s">
        <v>98</v>
      </c>
      <c r="C199" s="635">
        <v>1360092.0</v>
      </c>
      <c r="D199" s="562">
        <v>0.0</v>
      </c>
      <c r="E199" s="563">
        <v>0.0</v>
      </c>
      <c r="F199" s="564">
        <v>0.00115233</v>
      </c>
      <c r="G199" s="564">
        <v>0.011059639</v>
      </c>
      <c r="H199" s="564">
        <v>0.104841414</v>
      </c>
      <c r="I199" s="565">
        <v>0.364836516</v>
      </c>
      <c r="J199" s="630">
        <v>2.44918017472868</v>
      </c>
      <c r="K199" s="630">
        <v>25.3932269088471</v>
      </c>
      <c r="L199" s="567">
        <v>1.478297725</v>
      </c>
      <c r="M199" s="568">
        <v>0.688267665728027</v>
      </c>
      <c r="N199" s="568">
        <v>3.19691391745799</v>
      </c>
      <c r="O199" s="569">
        <v>0.0</v>
      </c>
      <c r="P199" s="570"/>
      <c r="Q199" s="150"/>
      <c r="R199" s="571"/>
      <c r="S199" s="116">
        <f t="shared" si="6"/>
        <v>0.6451333333</v>
      </c>
      <c r="T199" s="151"/>
      <c r="U199" s="572">
        <f t="shared" si="7"/>
        <v>0.0025</v>
      </c>
      <c r="V199" s="598"/>
      <c r="W199" s="574">
        <f t="shared" si="8"/>
        <v>0.56882</v>
      </c>
      <c r="X199" s="598"/>
      <c r="Y199" s="574">
        <f t="shared" si="9"/>
        <v>0.5825818182</v>
      </c>
      <c r="Z199" s="308"/>
      <c r="AA199" s="308"/>
      <c r="AB199" s="575" t="str">
        <f t="shared" si="10"/>
        <v/>
      </c>
      <c r="AC199" s="576">
        <f t="shared" si="11"/>
        <v>0.7574216602</v>
      </c>
      <c r="AD199" s="577">
        <v>0.0</v>
      </c>
      <c r="AE199" s="572">
        <v>0.0</v>
      </c>
      <c r="AF199" s="578">
        <v>0.0</v>
      </c>
      <c r="AG199" s="133">
        <v>0.01551263245</v>
      </c>
      <c r="AH199" s="133">
        <v>0.047741007</v>
      </c>
      <c r="AI199" s="623">
        <v>0.007157358729</v>
      </c>
      <c r="AJ199" s="623">
        <v>0.00847688027</v>
      </c>
      <c r="AK199" s="624">
        <v>0.0250533525</v>
      </c>
      <c r="AL199" s="624">
        <v>0.0281931953</v>
      </c>
      <c r="AM199" s="581">
        <v>0.0</v>
      </c>
      <c r="AN199" s="571" t="str">
        <f>IFERROR(
  AVERAGEIFS(
    'New LF Efficacy'!$J:$J,
    'New LF Efficacy'!$D:$D, $A199,
    'New LF Efficacy'!$F:$F,"DEC", 
    'New LF Efficacy'!$W:$W,"&lt;2016",
    'New LF Efficacy'!$AA:$AA,""),
  ""
)</f>
        <v/>
      </c>
      <c r="AO199" s="582">
        <f t="shared" si="12"/>
        <v>0.2589833333</v>
      </c>
      <c r="AP199" s="571" t="str">
        <f>IFERROR(
AVERAGEIFS(
'New LF Efficacy'!$J:$J,
'New LF Efficacy'!$D:$D,$A199,
'New LF Efficacy'!$F:$F,"Albendazole &amp; DEC",
'New LF Efficacy'!$W:$W,"&lt;2016",
'New LF Efficacy'!$AA:$AA,""),
"")</f>
        <v/>
      </c>
      <c r="AQ199" s="582">
        <f t="shared" si="13"/>
        <v>0.3465</v>
      </c>
      <c r="AR199" s="571" t="str">
        <f>IFERROR(
AVERAGEIFS(
'New LF Efficacy'!$J:$J,
'New LF Efficacy'!$D:$D,$A199,
'New LF Efficacy'!$F:$F,"Albendazole &amp; Ivermectin", 
'New LF Efficacy'!$W:$W,"&lt;2016",
'New LF Efficacy'!$AA:$AA,""),"")</f>
        <v/>
      </c>
      <c r="AS199" s="582">
        <f t="shared" si="14"/>
        <v>0.7575</v>
      </c>
      <c r="AT199" s="583" t="str">
        <f>IFERROR(AVERAGEIFS(
'Schist Efficacy'!$O:$O, 
'Schist Efficacy'!$C:$C,$A199, 
'Schist Efficacy'!$D:$D, "Praziquantel",
'Schist Efficacy'!$J:$J,"&lt;2016",
'Schist Efficacy'!$U:$U,""),
"")</f>
        <v/>
      </c>
      <c r="AU199" s="572">
        <f t="shared" si="15"/>
        <v>0.7914761905</v>
      </c>
      <c r="AV199" s="131" t="str">
        <f>IFERROR(AVERAGEIFS(
'STH Efficacy'!$AX:$AX, 
'STH Efficacy'!$AL:$AL, $A199, 
'STH Efficacy'!$AM:$AM, "Albendazole",
'STH Efficacy'!$AS:$AS,"&lt;2016",
'STH Efficacy'!$BP:$BP,""),
"")</f>
        <v/>
      </c>
      <c r="AW199" s="132">
        <f t="shared" si="16"/>
        <v>0.3945</v>
      </c>
      <c r="AX199" s="131" t="str">
        <f>IFERROR(AVERAGEIFS(
'STH Efficacy'!$AX:$AX, 
'STH Efficacy'!$AL:$AL, $A199, 
'STH Efficacy'!$AM:$AM, "Mebendazole",
'STH Efficacy'!$AS:$AS,"&lt;2016",
'STH Efficacy'!$BP:$BP,""),
"")</f>
        <v/>
      </c>
      <c r="AY199" s="132">
        <f t="shared" si="17"/>
        <v>0.6</v>
      </c>
      <c r="AZ199" s="131" t="str">
        <f>IFERROR(AVERAGEIFS(
'STH Efficacy'!$AX:$AX, 
'STH Efficacy'!$AL:$AL, $A199, 
'STH Efficacy'!$AM:$AM, "Albendazole &amp; Ivermectin",
'STH Efficacy'!$AS:$AS,"&lt;2016",
'STH Efficacy'!$BP:$BP,""),
"")</f>
        <v/>
      </c>
      <c r="BA199" s="303">
        <f t="shared" si="18"/>
        <v>0.796</v>
      </c>
      <c r="BB199" s="584" t="str">
        <f>IFERROR(AVERAGEIFS(
'STH Efficacy'!$N:$N, 
'STH Efficacy'!$B:$B, $A199, 
'STH Efficacy'!$C:$C, "Albendazole",
'STH Efficacy'!$I:$I,"&lt;2016",
'STH Efficacy'!$AH:$AH,""),
"")</f>
        <v/>
      </c>
      <c r="BC199" s="579">
        <f t="shared" si="19"/>
        <v>0.869</v>
      </c>
      <c r="BD199" s="584" t="str">
        <f>IFERROR(AVERAGEIFS(
'STH Efficacy'!$N:$N, 
'STH Efficacy'!$B:$B, $A199, 
'STH Efficacy'!$C:$C, "Mebendazole",
'STH Efficacy'!$I:$I,"&lt;2016",
'STH Efficacy'!$AH:$AH,""),
"")</f>
        <v/>
      </c>
      <c r="BE199" s="579">
        <f t="shared" si="20"/>
        <v>0.172</v>
      </c>
      <c r="BF199" s="585" t="str">
        <f>IFERROR(AVERAGEIFS(
'STH Efficacy'!$CD:$CD, 
'STH Efficacy'!$BS:$BS, $A199, 
'STH Efficacy'!$BT:$BT, "Albendazole",
'STH Efficacy'!$BZ:$BZ,"&lt;2016",
'STH Efficacy'!$CU:$CU,""),
"")</f>
        <v/>
      </c>
      <c r="BG199" s="580">
        <f t="shared" si="21"/>
        <v>0.9862</v>
      </c>
      <c r="BH199" s="585" t="str">
        <f>IFERROR(AVERAGEIFS(
'STH Efficacy'!$CD:$CD, 
'STH Efficacy'!$BS:$BS, $A199, 
'STH Efficacy'!$BT:$BT, "Mebendazole",
'STH Efficacy'!$BZ:$BZ,"&lt;2016",
'STH Efficacy'!$CU:$CU,""),
"")</f>
        <v/>
      </c>
      <c r="BI199" s="580">
        <f t="shared" si="22"/>
        <v>0.769</v>
      </c>
      <c r="BJ199" s="585" t="str">
        <f>IFERROR(AVERAGEIFS(
'STH Efficacy'!$CD:$CD, 
'STH Efficacy'!$BS:$BS, $A199, 
'STH Efficacy'!$BT:$BT, "Albendazole &amp; Ivermectin",
'STH Efficacy'!$BZ:$BZ,"&lt;2016",
'STH Efficacy'!$CU:$CU,""),
"")</f>
        <v/>
      </c>
      <c r="BK199" s="580">
        <f t="shared" si="23"/>
        <v>1</v>
      </c>
      <c r="BL199" s="575" t="str">
        <f>IFERROR(
  AVERAGEIFS(
    'NEW Onchocerciasis Efficacy'!$AO:$AO,
    'NEW Onchocerciasis Efficacy'!$C:$C,$A199,
    'NEW Onchocerciasis Efficacy'!$D:$D,"Ivermectin",
    'NEW Onchocerciasis Efficacy'!$AR:$AR,"&lt;2016",
    'NEW Onchocerciasis Efficacy'!$BG:$BG,"")
,"")</f>
        <v/>
      </c>
      <c r="BM199" s="586">
        <f t="shared" si="24"/>
        <v>0.3734</v>
      </c>
      <c r="BN199" s="587">
        <v>0.0</v>
      </c>
      <c r="BO199" s="588">
        <v>0.0</v>
      </c>
      <c r="BP199" s="589">
        <v>0.0</v>
      </c>
      <c r="BQ199" s="590">
        <f t="shared" si="25"/>
        <v>0</v>
      </c>
      <c r="BR199" s="560" t="str">
        <f t="shared" si="26"/>
        <v>0000</v>
      </c>
      <c r="BS199" s="560" t="str">
        <f t="shared" si="27"/>
        <v>no action required</v>
      </c>
      <c r="BT199" s="361" t="str">
        <f t="shared" si="44"/>
        <v/>
      </c>
      <c r="BU199" s="591" t="str">
        <f t="shared" si="29"/>
        <v/>
      </c>
      <c r="BV199" s="560" t="str">
        <f t="shared" si="30"/>
        <v>none</v>
      </c>
      <c r="BW199" s="150" t="str">
        <f t="shared" si="31"/>
        <v/>
      </c>
      <c r="BX199" s="150" t="str">
        <f t="shared" si="32"/>
        <v/>
      </c>
      <c r="BY199" s="151" t="str">
        <f t="shared" si="33"/>
        <v/>
      </c>
      <c r="BZ199" s="152" t="str">
        <f t="shared" si="34"/>
        <v/>
      </c>
      <c r="CA199" s="152" t="str">
        <f t="shared" si="35"/>
        <v/>
      </c>
      <c r="CB199" s="152" t="str">
        <f t="shared" si="36"/>
        <v/>
      </c>
      <c r="CC199" s="153" t="str">
        <f t="shared" si="37"/>
        <v/>
      </c>
      <c r="CD199" s="153" t="str">
        <f t="shared" si="38"/>
        <v/>
      </c>
      <c r="CE199" s="154" t="str">
        <f t="shared" si="39"/>
        <v/>
      </c>
      <c r="CF199" s="154" t="str">
        <f t="shared" si="40"/>
        <v/>
      </c>
      <c r="CG199" s="154" t="str">
        <f t="shared" si="41"/>
        <v/>
      </c>
      <c r="CH199" s="308" t="str">
        <f t="shared" si="42"/>
        <v/>
      </c>
    </row>
    <row r="200">
      <c r="A200" s="599" t="s">
        <v>289</v>
      </c>
      <c r="B200" s="560" t="s">
        <v>88</v>
      </c>
      <c r="C200" s="635">
        <v>1.1273661E7</v>
      </c>
      <c r="D200" s="562">
        <v>0.0</v>
      </c>
      <c r="E200" s="563">
        <v>421.354556563019</v>
      </c>
      <c r="F200" s="564">
        <v>0.01284298</v>
      </c>
      <c r="G200" s="564">
        <v>0.110646904</v>
      </c>
      <c r="H200" s="564">
        <v>0.963811218</v>
      </c>
      <c r="I200" s="565">
        <v>1.434261443</v>
      </c>
      <c r="J200" s="630">
        <v>3.36591529557791</v>
      </c>
      <c r="K200" s="630">
        <v>56.7053728864462</v>
      </c>
      <c r="L200" s="567">
        <v>3.703616393</v>
      </c>
      <c r="M200" s="568">
        <v>5.62112155960768</v>
      </c>
      <c r="N200" s="568">
        <v>25.8222596601144</v>
      </c>
      <c r="O200" s="569">
        <v>0.0</v>
      </c>
      <c r="P200" s="570"/>
      <c r="Q200" s="150"/>
      <c r="R200" s="571"/>
      <c r="S200" s="116">
        <f t="shared" si="6"/>
        <v>0.1495</v>
      </c>
      <c r="T200" s="151"/>
      <c r="U200" s="572">
        <f t="shared" si="7"/>
        <v>0.65895</v>
      </c>
      <c r="V200" s="598"/>
      <c r="W200" s="574">
        <f t="shared" si="8"/>
        <v>0.97535</v>
      </c>
      <c r="X200" s="598"/>
      <c r="Y200" s="574">
        <f t="shared" si="9"/>
        <v>0.41448</v>
      </c>
      <c r="Z200" s="308"/>
      <c r="AA200" s="308"/>
      <c r="AB200" s="575" t="str">
        <f t="shared" si="10"/>
        <v/>
      </c>
      <c r="AC200" s="576">
        <f t="shared" si="11"/>
        <v>0.4586145155</v>
      </c>
      <c r="AD200" s="577">
        <v>0.0</v>
      </c>
      <c r="AE200" s="572">
        <v>0.004386288314</v>
      </c>
      <c r="AF200" s="578">
        <v>2.263819296E-4</v>
      </c>
      <c r="AG200" s="132">
        <v>0.01137809343</v>
      </c>
      <c r="AH200" s="132">
        <v>0.035911658</v>
      </c>
      <c r="AI200" s="579">
        <v>0.002909611027</v>
      </c>
      <c r="AJ200" s="579">
        <v>0.003526905395</v>
      </c>
      <c r="AK200" s="580">
        <v>0.02333648782</v>
      </c>
      <c r="AL200" s="580">
        <v>0.02689414328</v>
      </c>
      <c r="AM200" s="581">
        <v>0.0</v>
      </c>
      <c r="AN200" s="571" t="str">
        <f>IFERROR(
  AVERAGEIFS(
    'New LF Efficacy'!$J:$J,
    'New LF Efficacy'!$D:$D, $A200,
    'New LF Efficacy'!$F:$F,"DEC", 
    'New LF Efficacy'!$W:$W,"&lt;2016",
    'New LF Efficacy'!$AA:$AA,""),
  ""
)</f>
        <v/>
      </c>
      <c r="AO200" s="582">
        <f t="shared" si="12"/>
        <v>0.3573520833</v>
      </c>
      <c r="AP200" s="571" t="str">
        <f>IFERROR(
AVERAGEIFS(
'New LF Efficacy'!$J:$J,
'New LF Efficacy'!$D:$D,$A200,
'New LF Efficacy'!$F:$F,"Albendazole &amp; DEC",
'New LF Efficacy'!$W:$W,"&lt;2016",
'New LF Efficacy'!$AA:$AA,""),
"")</f>
        <v/>
      </c>
      <c r="AQ200" s="582">
        <f t="shared" si="13"/>
        <v>0.7935</v>
      </c>
      <c r="AR200" s="571" t="str">
        <f>IFERROR(
AVERAGEIFS(
'New LF Efficacy'!$J:$J,
'New LF Efficacy'!$D:$D,$A200,
'New LF Efficacy'!$F:$F,"Albendazole &amp; Ivermectin", 
'New LF Efficacy'!$W:$W,"&lt;2016",
'New LF Efficacy'!$AA:$AA,""),"")</f>
        <v/>
      </c>
      <c r="AS200" s="582">
        <f t="shared" si="14"/>
        <v>0.37153125</v>
      </c>
      <c r="AT200" s="583" t="str">
        <f>IFERROR(AVERAGEIFS(
'Schist Efficacy'!$O:$O, 
'Schist Efficacy'!$C:$C,$A200, 
'Schist Efficacy'!$D:$D, "Praziquantel",
'Schist Efficacy'!$J:$J,"&lt;2016",
'Schist Efficacy'!$U:$U,""),
"")</f>
        <v/>
      </c>
      <c r="AU200" s="572">
        <f t="shared" si="15"/>
        <v>0.7763141026</v>
      </c>
      <c r="AV200" s="131" t="str">
        <f>IFERROR(AVERAGEIFS(
'STH Efficacy'!$AX:$AX, 
'STH Efficacy'!$AL:$AL, $A200, 
'STH Efficacy'!$AM:$AM, "Albendazole",
'STH Efficacy'!$AS:$AS,"&lt;2016",
'STH Efficacy'!$BP:$BP,""),
"")</f>
        <v/>
      </c>
      <c r="AW200" s="132">
        <f t="shared" si="16"/>
        <v>0.4143846154</v>
      </c>
      <c r="AX200" s="131" t="str">
        <f>IFERROR(AVERAGEIFS(
'STH Efficacy'!$AX:$AX, 
'STH Efficacy'!$AL:$AL, $A200, 
'STH Efficacy'!$AM:$AM, "Mebendazole",
'STH Efficacy'!$AS:$AS,"&lt;2016",
'STH Efficacy'!$BP:$BP,""),
"")</f>
        <v/>
      </c>
      <c r="AY200" s="132">
        <f t="shared" si="17"/>
        <v>0.4691770833</v>
      </c>
      <c r="AZ200" s="131" t="str">
        <f>IFERROR(AVERAGEIFS(
'STH Efficacy'!$AX:$AX, 
'STH Efficacy'!$AL:$AL, $A200, 
'STH Efficacy'!$AM:$AM, "Albendazole &amp; Ivermectin",
'STH Efficacy'!$AS:$AS,"&lt;2016",
'STH Efficacy'!$BP:$BP,""),
"")</f>
        <v/>
      </c>
      <c r="BA200" s="303">
        <f t="shared" si="18"/>
        <v>0.597625</v>
      </c>
      <c r="BB200" s="584" t="str">
        <f>IFERROR(AVERAGEIFS(
'STH Efficacy'!$N:$N, 
'STH Efficacy'!$B:$B, $A200, 
'STH Efficacy'!$C:$C, "Albendazole",
'STH Efficacy'!$I:$I,"&lt;2016",
'STH Efficacy'!$AH:$AH,""),
"")</f>
        <v/>
      </c>
      <c r="BC200" s="579">
        <f t="shared" si="19"/>
        <v>0.7613712121</v>
      </c>
      <c r="BD200" s="584" t="str">
        <f>IFERROR(AVERAGEIFS(
'STH Efficacy'!$N:$N, 
'STH Efficacy'!$B:$B, $A200, 
'STH Efficacy'!$C:$C, "Mebendazole",
'STH Efficacy'!$I:$I,"&lt;2016",
'STH Efficacy'!$AH:$AH,""),
"")</f>
        <v/>
      </c>
      <c r="BE200" s="579">
        <f t="shared" si="20"/>
        <v>0.4362466667</v>
      </c>
      <c r="BF200" s="585" t="str">
        <f>IFERROR(AVERAGEIFS(
'STH Efficacy'!$CD:$CD, 
'STH Efficacy'!$BS:$BS, $A200, 
'STH Efficacy'!$BT:$BT, "Albendazole",
'STH Efficacy'!$BZ:$BZ,"&lt;2016",
'STH Efficacy'!$CU:$CU,""),
"")</f>
        <v/>
      </c>
      <c r="BG200" s="580">
        <f t="shared" si="21"/>
        <v>0.955</v>
      </c>
      <c r="BH200" s="585" t="str">
        <f>IFERROR(AVERAGEIFS(
'STH Efficacy'!$CD:$CD, 
'STH Efficacy'!$BS:$BS, $A200, 
'STH Efficacy'!$BT:$BT, "Mebendazole",
'STH Efficacy'!$BZ:$BZ,"&lt;2016",
'STH Efficacy'!$CU:$CU,""),
"")</f>
        <v/>
      </c>
      <c r="BI200" s="580">
        <f t="shared" si="22"/>
        <v>1</v>
      </c>
      <c r="BJ200" s="585" t="str">
        <f>IFERROR(AVERAGEIFS(
'STH Efficacy'!$CD:$CD, 
'STH Efficacy'!$BS:$BS, $A200, 
'STH Efficacy'!$BT:$BT, "Albendazole &amp; Ivermectin",
'STH Efficacy'!$BZ:$BZ,"&lt;2016",
'STH Efficacy'!$CU:$CU,""),
"")</f>
        <v/>
      </c>
      <c r="BK200" s="580">
        <f t="shared" si="23"/>
        <v>0.848</v>
      </c>
      <c r="BL200" s="575" t="str">
        <f>IFERROR(
  AVERAGEIFS(
    'NEW Onchocerciasis Efficacy'!$AO:$AO,
    'NEW Onchocerciasis Efficacy'!$C:$C,$A200,
    'NEW Onchocerciasis Efficacy'!$D:$D,"Ivermectin",
    'NEW Onchocerciasis Efficacy'!$AR:$AR,"&lt;2016",
    'NEW Onchocerciasis Efficacy'!$BG:$BG,"")
,"")</f>
        <v/>
      </c>
      <c r="BM200" s="586">
        <f t="shared" si="24"/>
        <v>0.7808368939</v>
      </c>
      <c r="BN200" s="587">
        <v>0.0</v>
      </c>
      <c r="BO200" s="588">
        <v>0.0</v>
      </c>
      <c r="BP200" s="589">
        <v>0.0</v>
      </c>
      <c r="BQ200" s="590">
        <f t="shared" si="25"/>
        <v>0</v>
      </c>
      <c r="BR200" s="560" t="str">
        <f t="shared" si="26"/>
        <v>0000</v>
      </c>
      <c r="BS200" s="560" t="str">
        <f t="shared" si="27"/>
        <v>no action required</v>
      </c>
      <c r="BT200" s="361" t="str">
        <f t="shared" si="44"/>
        <v/>
      </c>
      <c r="BU200" s="591" t="str">
        <f t="shared" si="29"/>
        <v/>
      </c>
      <c r="BV200" s="560" t="str">
        <f t="shared" si="30"/>
        <v>none</v>
      </c>
      <c r="BW200" s="150" t="str">
        <f t="shared" si="31"/>
        <v/>
      </c>
      <c r="BX200" s="150" t="str">
        <f t="shared" si="32"/>
        <v/>
      </c>
      <c r="BY200" s="151" t="str">
        <f t="shared" si="33"/>
        <v/>
      </c>
      <c r="BZ200" s="152" t="str">
        <f t="shared" si="34"/>
        <v/>
      </c>
      <c r="CA200" s="152" t="str">
        <f t="shared" si="35"/>
        <v/>
      </c>
      <c r="CB200" s="152" t="str">
        <f t="shared" si="36"/>
        <v/>
      </c>
      <c r="CC200" s="153" t="str">
        <f t="shared" si="37"/>
        <v/>
      </c>
      <c r="CD200" s="153" t="str">
        <f t="shared" si="38"/>
        <v/>
      </c>
      <c r="CE200" s="154" t="str">
        <f t="shared" si="39"/>
        <v/>
      </c>
      <c r="CF200" s="154" t="str">
        <f t="shared" si="40"/>
        <v/>
      </c>
      <c r="CG200" s="154" t="str">
        <f t="shared" si="41"/>
        <v/>
      </c>
      <c r="CH200" s="308" t="str">
        <f t="shared" si="42"/>
        <v/>
      </c>
    </row>
    <row r="201">
      <c r="A201" s="599" t="s">
        <v>290</v>
      </c>
      <c r="B201" s="560" t="s">
        <v>90</v>
      </c>
      <c r="C201" s="635">
        <v>7.8271472E7</v>
      </c>
      <c r="D201" s="562">
        <v>0.0</v>
      </c>
      <c r="E201" s="563">
        <v>291.177790117227</v>
      </c>
      <c r="F201" s="564">
        <v>0.905405872</v>
      </c>
      <c r="G201" s="564">
        <v>6.947332246</v>
      </c>
      <c r="H201" s="564">
        <v>49.96548145</v>
      </c>
      <c r="I201" s="565">
        <v>24.79602921</v>
      </c>
      <c r="J201" s="630">
        <v>77.7667184956562</v>
      </c>
      <c r="K201" s="630">
        <v>397.643508267243</v>
      </c>
      <c r="L201" s="567">
        <v>17.44493475</v>
      </c>
      <c r="M201" s="568">
        <v>18.8969406462012</v>
      </c>
      <c r="N201" s="568">
        <v>82.1809932672305</v>
      </c>
      <c r="O201" s="569">
        <v>0.0</v>
      </c>
      <c r="P201" s="570"/>
      <c r="Q201" s="150"/>
      <c r="R201" s="571"/>
      <c r="S201" s="116">
        <f t="shared" si="6"/>
        <v>0.6648642857</v>
      </c>
      <c r="T201" s="151"/>
      <c r="U201" s="572">
        <f t="shared" si="7"/>
        <v>0.53016</v>
      </c>
      <c r="V201" s="598"/>
      <c r="W201" s="574" t="b">
        <f t="shared" si="8"/>
        <v>0</v>
      </c>
      <c r="X201" s="598"/>
      <c r="Y201" s="574">
        <f t="shared" si="9"/>
        <v>0.631675</v>
      </c>
      <c r="Z201" s="308"/>
      <c r="AA201" s="308"/>
      <c r="AB201" s="575" t="str">
        <f t="shared" si="10"/>
        <v/>
      </c>
      <c r="AC201" s="576">
        <f t="shared" si="11"/>
        <v>0.7192241206</v>
      </c>
      <c r="AD201" s="577">
        <v>0.0</v>
      </c>
      <c r="AE201" s="572">
        <v>0.0</v>
      </c>
      <c r="AF201" s="578">
        <v>0.0</v>
      </c>
      <c r="AG201" s="132">
        <v>0.009642265656</v>
      </c>
      <c r="AH201" s="132">
        <v>0.030653239</v>
      </c>
      <c r="AI201" s="579">
        <v>0.003305056776</v>
      </c>
      <c r="AJ201" s="579">
        <v>0.004016605837</v>
      </c>
      <c r="AK201" s="580">
        <v>0.01580299808</v>
      </c>
      <c r="AL201" s="580">
        <v>0.01823695313</v>
      </c>
      <c r="AM201" s="581">
        <v>0.0</v>
      </c>
      <c r="AN201" s="571" t="str">
        <f>IFERROR(
  AVERAGEIFS(
    'New LF Efficacy'!$J:$J,
    'New LF Efficacy'!$D:$D, $A201,
    'New LF Efficacy'!$F:$F,"DEC", 
    'New LF Efficacy'!$W:$W,"&lt;2016",
    'New LF Efficacy'!$AA:$AA,""),
  ""
)</f>
        <v/>
      </c>
      <c r="AO201" s="582">
        <f t="shared" si="12"/>
        <v>0.3573520833</v>
      </c>
      <c r="AP201" s="571" t="str">
        <f>IFERROR(
AVERAGEIFS(
'New LF Efficacy'!$J:$J,
'New LF Efficacy'!$D:$D,$A201,
'New LF Efficacy'!$F:$F,"Albendazole &amp; DEC",
'New LF Efficacy'!$W:$W,"&lt;2016",
'New LF Efficacy'!$AA:$AA,""),
"")</f>
        <v/>
      </c>
      <c r="AQ201" s="582">
        <f t="shared" si="13"/>
        <v>0.5143541667</v>
      </c>
      <c r="AR201" s="571" t="str">
        <f>IFERROR(
AVERAGEIFS(
'New LF Efficacy'!$J:$J,
'New LF Efficacy'!$D:$D,$A201,
'New LF Efficacy'!$F:$F,"Albendazole &amp; Ivermectin", 
'New LF Efficacy'!$W:$W,"&lt;2016",
'New LF Efficacy'!$AA:$AA,""),"")</f>
        <v/>
      </c>
      <c r="AS201" s="582">
        <f t="shared" si="14"/>
        <v>0.37153125</v>
      </c>
      <c r="AT201" s="583" t="str">
        <f>IFERROR(AVERAGEIFS(
'Schist Efficacy'!$O:$O, 
'Schist Efficacy'!$C:$C,$A201, 
'Schist Efficacy'!$D:$D, "Praziquantel",
'Schist Efficacy'!$J:$J,"&lt;2016",
'Schist Efficacy'!$U:$U,""),
"")</f>
        <v/>
      </c>
      <c r="AU201" s="572">
        <f t="shared" si="15"/>
        <v>0.655</v>
      </c>
      <c r="AV201" s="131" t="str">
        <f>IFERROR(AVERAGEIFS(
'STH Efficacy'!$AX:$AX, 
'STH Efficacy'!$AL:$AL, $A201, 
'STH Efficacy'!$AM:$AM, "Albendazole",
'STH Efficacy'!$AS:$AS,"&lt;2016",
'STH Efficacy'!$BP:$BP,""),
"")</f>
        <v/>
      </c>
      <c r="AW201" s="132">
        <f t="shared" si="16"/>
        <v>0.4143846154</v>
      </c>
      <c r="AX201" s="131" t="str">
        <f>IFERROR(AVERAGEIFS(
'STH Efficacy'!$AX:$AX, 
'STH Efficacy'!$AL:$AL, $A201, 
'STH Efficacy'!$AM:$AM, "Mebendazole",
'STH Efficacy'!$AS:$AS,"&lt;2016",
'STH Efficacy'!$BP:$BP,""),
"")</f>
        <v/>
      </c>
      <c r="AY201" s="132">
        <f t="shared" si="17"/>
        <v>0.4691770833</v>
      </c>
      <c r="AZ201" s="131" t="str">
        <f>IFERROR(AVERAGEIFS(
'STH Efficacy'!$AX:$AX, 
'STH Efficacy'!$AL:$AL, $A201, 
'STH Efficacy'!$AM:$AM, "Albendazole &amp; Ivermectin",
'STH Efficacy'!$AS:$AS,"&lt;2016",
'STH Efficacy'!$BP:$BP,""),
"")</f>
        <v/>
      </c>
      <c r="BA201" s="303">
        <f t="shared" si="18"/>
        <v>0.597625</v>
      </c>
      <c r="BB201" s="584" t="str">
        <f>IFERROR(AVERAGEIFS(
'STH Efficacy'!$N:$N, 
'STH Efficacy'!$B:$B, $A201, 
'STH Efficacy'!$C:$C, "Albendazole",
'STH Efficacy'!$I:$I,"&lt;2016",
'STH Efficacy'!$AH:$AH,""),
"")</f>
        <v/>
      </c>
      <c r="BC201" s="579">
        <f t="shared" si="19"/>
        <v>0.7613712121</v>
      </c>
      <c r="BD201" s="584" t="str">
        <f>IFERROR(AVERAGEIFS(
'STH Efficacy'!$N:$N, 
'STH Efficacy'!$B:$B, $A201, 
'STH Efficacy'!$C:$C, "Mebendazole",
'STH Efficacy'!$I:$I,"&lt;2016",
'STH Efficacy'!$AH:$AH,""),
"")</f>
        <v/>
      </c>
      <c r="BE201" s="579">
        <f t="shared" si="20"/>
        <v>0.4362466667</v>
      </c>
      <c r="BF201" s="585" t="str">
        <f>IFERROR(AVERAGEIFS(
'STH Efficacy'!$CD:$CD, 
'STH Efficacy'!$BS:$BS, $A201, 
'STH Efficacy'!$BT:$BT, "Albendazole",
'STH Efficacy'!$BZ:$BZ,"&lt;2016",
'STH Efficacy'!$CU:$CU,""),
"")</f>
        <v/>
      </c>
      <c r="BG201" s="580">
        <f t="shared" si="21"/>
        <v>0.9216027778</v>
      </c>
      <c r="BH201" s="585" t="str">
        <f>IFERROR(AVERAGEIFS(
'STH Efficacy'!$CD:$CD, 
'STH Efficacy'!$BS:$BS, $A201, 
'STH Efficacy'!$BT:$BT, "Mebendazole",
'STH Efficacy'!$BZ:$BZ,"&lt;2016",
'STH Efficacy'!$CU:$CU,""),
"")</f>
        <v/>
      </c>
      <c r="BI201" s="580">
        <f t="shared" si="22"/>
        <v>0.8866041667</v>
      </c>
      <c r="BJ201" s="585" t="str">
        <f>IFERROR(AVERAGEIFS(
'STH Efficacy'!$CD:$CD, 
'STH Efficacy'!$BS:$BS, $A201, 
'STH Efficacy'!$BT:$BT, "Albendazole &amp; Ivermectin",
'STH Efficacy'!$BZ:$BZ,"&lt;2016",
'STH Efficacy'!$CU:$CU,""),
"")</f>
        <v/>
      </c>
      <c r="BK201" s="580">
        <f t="shared" si="23"/>
        <v>0.848</v>
      </c>
      <c r="BL201" s="575" t="str">
        <f>IFERROR(
  AVERAGEIFS(
    'NEW Onchocerciasis Efficacy'!$AO:$AO,
    'NEW Onchocerciasis Efficacy'!$C:$C,$A201,
    'NEW Onchocerciasis Efficacy'!$D:$D,"Ivermectin",
    'NEW Onchocerciasis Efficacy'!$AR:$AR,"&lt;2016",
    'NEW Onchocerciasis Efficacy'!$BG:$BG,"")
,"")</f>
        <v/>
      </c>
      <c r="BM201" s="586">
        <f t="shared" si="24"/>
        <v>0.7808368939</v>
      </c>
      <c r="BN201" s="587">
        <v>0.0</v>
      </c>
      <c r="BO201" s="588">
        <v>0.0</v>
      </c>
      <c r="BP201" s="589">
        <v>0.0</v>
      </c>
      <c r="BQ201" s="590">
        <f t="shared" si="25"/>
        <v>0</v>
      </c>
      <c r="BR201" s="560" t="str">
        <f t="shared" si="26"/>
        <v>0000</v>
      </c>
      <c r="BS201" s="560" t="str">
        <f t="shared" si="27"/>
        <v>no action required</v>
      </c>
      <c r="BT201" s="361" t="str">
        <f t="shared" si="44"/>
        <v/>
      </c>
      <c r="BU201" s="591" t="str">
        <f t="shared" si="29"/>
        <v/>
      </c>
      <c r="BV201" s="560" t="str">
        <f t="shared" si="30"/>
        <v>none</v>
      </c>
      <c r="BW201" s="150" t="str">
        <f t="shared" si="31"/>
        <v/>
      </c>
      <c r="BX201" s="150" t="str">
        <f t="shared" si="32"/>
        <v/>
      </c>
      <c r="BY201" s="151" t="str">
        <f t="shared" si="33"/>
        <v/>
      </c>
      <c r="BZ201" s="152" t="str">
        <f t="shared" si="34"/>
        <v/>
      </c>
      <c r="CA201" s="152" t="str">
        <f t="shared" si="35"/>
        <v/>
      </c>
      <c r="CB201" s="152" t="str">
        <f t="shared" si="36"/>
        <v/>
      </c>
      <c r="CC201" s="153" t="str">
        <f t="shared" si="37"/>
        <v/>
      </c>
      <c r="CD201" s="153" t="str">
        <f t="shared" si="38"/>
        <v/>
      </c>
      <c r="CE201" s="154" t="str">
        <f t="shared" si="39"/>
        <v/>
      </c>
      <c r="CF201" s="154" t="str">
        <f t="shared" si="40"/>
        <v/>
      </c>
      <c r="CG201" s="154" t="str">
        <f t="shared" si="41"/>
        <v/>
      </c>
      <c r="CH201" s="308" t="str">
        <f t="shared" si="42"/>
        <v/>
      </c>
    </row>
    <row r="202">
      <c r="A202" s="599" t="s">
        <v>291</v>
      </c>
      <c r="B202" s="560" t="s">
        <v>90</v>
      </c>
      <c r="C202" s="635">
        <v>5565284.0</v>
      </c>
      <c r="D202" s="562">
        <v>0.0</v>
      </c>
      <c r="E202" s="563">
        <v>0.0</v>
      </c>
      <c r="F202" s="564">
        <v>0.0</v>
      </c>
      <c r="G202" s="564">
        <v>0.0</v>
      </c>
      <c r="H202" s="564">
        <v>3.63E-7</v>
      </c>
      <c r="I202" s="565">
        <v>4.575616295</v>
      </c>
      <c r="J202" s="630">
        <v>16.5822910441881</v>
      </c>
      <c r="K202" s="630">
        <v>132.421177104749</v>
      </c>
      <c r="L202" s="567">
        <v>2.358732382</v>
      </c>
      <c r="M202" s="568">
        <v>0.725134807078186</v>
      </c>
      <c r="N202" s="568">
        <v>3.92485265863633</v>
      </c>
      <c r="O202" s="569">
        <v>0.0</v>
      </c>
      <c r="P202" s="570"/>
      <c r="Q202" s="150"/>
      <c r="R202" s="571"/>
      <c r="S202" s="116">
        <f t="shared" si="6"/>
        <v>0.6648642857</v>
      </c>
      <c r="T202" s="151"/>
      <c r="U202" s="572">
        <f t="shared" si="7"/>
        <v>0.53016</v>
      </c>
      <c r="V202" s="598"/>
      <c r="W202" s="574" t="b">
        <f t="shared" si="8"/>
        <v>0</v>
      </c>
      <c r="X202" s="598"/>
      <c r="Y202" s="574">
        <f t="shared" si="9"/>
        <v>0.631675</v>
      </c>
      <c r="Z202" s="308"/>
      <c r="AA202" s="308"/>
      <c r="AB202" s="575" t="str">
        <f t="shared" si="10"/>
        <v/>
      </c>
      <c r="AC202" s="576">
        <f t="shared" si="11"/>
        <v>0.7192241206</v>
      </c>
      <c r="AD202" s="577">
        <v>0.0</v>
      </c>
      <c r="AE202" s="572">
        <v>0.0</v>
      </c>
      <c r="AF202" s="578">
        <v>0.0</v>
      </c>
      <c r="AG202" s="133">
        <v>0.01380617124</v>
      </c>
      <c r="AH202" s="133">
        <v>0.043284757</v>
      </c>
      <c r="AI202" s="623">
        <v>0.01964431802</v>
      </c>
      <c r="AJ202" s="623">
        <v>0.02383919698</v>
      </c>
      <c r="AK202" s="624">
        <v>0.008103753298</v>
      </c>
      <c r="AL202" s="624">
        <v>0.009379679613</v>
      </c>
      <c r="AM202" s="581">
        <v>0.0</v>
      </c>
      <c r="AN202" s="571" t="str">
        <f>IFERROR(
  AVERAGEIFS(
    'New LF Efficacy'!$J:$J,
    'New LF Efficacy'!$D:$D, $A202,
    'New LF Efficacy'!$F:$F,"DEC", 
    'New LF Efficacy'!$W:$W,"&lt;2016",
    'New LF Efficacy'!$AA:$AA,""),
  ""
)</f>
        <v/>
      </c>
      <c r="AO202" s="582">
        <f t="shared" si="12"/>
        <v>0.3573520833</v>
      </c>
      <c r="AP202" s="571" t="str">
        <f>IFERROR(
AVERAGEIFS(
'New LF Efficacy'!$J:$J,
'New LF Efficacy'!$D:$D,$A202,
'New LF Efficacy'!$F:$F,"Albendazole &amp; DEC",
'New LF Efficacy'!$W:$W,"&lt;2016",
'New LF Efficacy'!$AA:$AA,""),
"")</f>
        <v/>
      </c>
      <c r="AQ202" s="582">
        <f t="shared" si="13"/>
        <v>0.5143541667</v>
      </c>
      <c r="AR202" s="571" t="str">
        <f>IFERROR(
AVERAGEIFS(
'New LF Efficacy'!$J:$J,
'New LF Efficacy'!$D:$D,$A202,
'New LF Efficacy'!$F:$F,"Albendazole &amp; Ivermectin", 
'New LF Efficacy'!$W:$W,"&lt;2016",
'New LF Efficacy'!$AA:$AA,""),"")</f>
        <v/>
      </c>
      <c r="AS202" s="582">
        <f t="shared" si="14"/>
        <v>0.37153125</v>
      </c>
      <c r="AT202" s="583" t="str">
        <f>IFERROR(AVERAGEIFS(
'Schist Efficacy'!$O:$O, 
'Schist Efficacy'!$C:$C,$A202, 
'Schist Efficacy'!$D:$D, "Praziquantel",
'Schist Efficacy'!$J:$J,"&lt;2016",
'Schist Efficacy'!$U:$U,""),
"")</f>
        <v/>
      </c>
      <c r="AU202" s="572">
        <f t="shared" si="15"/>
        <v>0.655</v>
      </c>
      <c r="AV202" s="131" t="str">
        <f>IFERROR(AVERAGEIFS(
'STH Efficacy'!$AX:$AX, 
'STH Efficacy'!$AL:$AL, $A202, 
'STH Efficacy'!$AM:$AM, "Albendazole",
'STH Efficacy'!$AS:$AS,"&lt;2016",
'STH Efficacy'!$BP:$BP,""),
"")</f>
        <v/>
      </c>
      <c r="AW202" s="132">
        <f t="shared" si="16"/>
        <v>0.4143846154</v>
      </c>
      <c r="AX202" s="131" t="str">
        <f>IFERROR(AVERAGEIFS(
'STH Efficacy'!$AX:$AX, 
'STH Efficacy'!$AL:$AL, $A202, 
'STH Efficacy'!$AM:$AM, "Mebendazole",
'STH Efficacy'!$AS:$AS,"&lt;2016",
'STH Efficacy'!$BP:$BP,""),
"")</f>
        <v/>
      </c>
      <c r="AY202" s="132">
        <f t="shared" si="17"/>
        <v>0.4691770833</v>
      </c>
      <c r="AZ202" s="131" t="str">
        <f>IFERROR(AVERAGEIFS(
'STH Efficacy'!$AX:$AX, 
'STH Efficacy'!$AL:$AL, $A202, 
'STH Efficacy'!$AM:$AM, "Albendazole &amp; Ivermectin",
'STH Efficacy'!$AS:$AS,"&lt;2016",
'STH Efficacy'!$BP:$BP,""),
"")</f>
        <v/>
      </c>
      <c r="BA202" s="303">
        <f t="shared" si="18"/>
        <v>0.597625</v>
      </c>
      <c r="BB202" s="584" t="str">
        <f>IFERROR(AVERAGEIFS(
'STH Efficacy'!$N:$N, 
'STH Efficacy'!$B:$B, $A202, 
'STH Efficacy'!$C:$C, "Albendazole",
'STH Efficacy'!$I:$I,"&lt;2016",
'STH Efficacy'!$AH:$AH,""),
"")</f>
        <v/>
      </c>
      <c r="BC202" s="579">
        <f t="shared" si="19"/>
        <v>0.7613712121</v>
      </c>
      <c r="BD202" s="584" t="str">
        <f>IFERROR(AVERAGEIFS(
'STH Efficacy'!$N:$N, 
'STH Efficacy'!$B:$B, $A202, 
'STH Efficacy'!$C:$C, "Mebendazole",
'STH Efficacy'!$I:$I,"&lt;2016",
'STH Efficacy'!$AH:$AH,""),
"")</f>
        <v/>
      </c>
      <c r="BE202" s="579">
        <f t="shared" si="20"/>
        <v>0.4362466667</v>
      </c>
      <c r="BF202" s="585" t="str">
        <f>IFERROR(AVERAGEIFS(
'STH Efficacy'!$CD:$CD, 
'STH Efficacy'!$BS:$BS, $A202, 
'STH Efficacy'!$BT:$BT, "Albendazole",
'STH Efficacy'!$BZ:$BZ,"&lt;2016",
'STH Efficacy'!$CU:$CU,""),
"")</f>
        <v/>
      </c>
      <c r="BG202" s="580">
        <f t="shared" si="21"/>
        <v>0.9216027778</v>
      </c>
      <c r="BH202" s="585" t="str">
        <f>IFERROR(AVERAGEIFS(
'STH Efficacy'!$CD:$CD, 
'STH Efficacy'!$BS:$BS, $A202, 
'STH Efficacy'!$BT:$BT, "Mebendazole",
'STH Efficacy'!$BZ:$BZ,"&lt;2016",
'STH Efficacy'!$CU:$CU,""),
"")</f>
        <v/>
      </c>
      <c r="BI202" s="580">
        <f t="shared" si="22"/>
        <v>0.8866041667</v>
      </c>
      <c r="BJ202" s="585" t="str">
        <f>IFERROR(AVERAGEIFS(
'STH Efficacy'!$CD:$CD, 
'STH Efficacy'!$BS:$BS, $A202, 
'STH Efficacy'!$BT:$BT, "Albendazole &amp; Ivermectin",
'STH Efficacy'!$BZ:$BZ,"&lt;2016",
'STH Efficacy'!$CU:$CU,""),
"")</f>
        <v/>
      </c>
      <c r="BK202" s="580">
        <f t="shared" si="23"/>
        <v>0.848</v>
      </c>
      <c r="BL202" s="575" t="str">
        <f>IFERROR(
  AVERAGEIFS(
    'NEW Onchocerciasis Efficacy'!$AO:$AO,
    'NEW Onchocerciasis Efficacy'!$C:$C,$A202,
    'NEW Onchocerciasis Efficacy'!$D:$D,"Ivermectin",
    'NEW Onchocerciasis Efficacy'!$AR:$AR,"&lt;2016",
    'NEW Onchocerciasis Efficacy'!$BG:$BG,"")
,"")</f>
        <v/>
      </c>
      <c r="BM202" s="586">
        <f t="shared" si="24"/>
        <v>0.7808368939</v>
      </c>
      <c r="BN202" s="587">
        <v>0.0</v>
      </c>
      <c r="BO202" s="588">
        <v>1.0</v>
      </c>
      <c r="BP202" s="589">
        <v>1.0</v>
      </c>
      <c r="BQ202" s="590">
        <f t="shared" si="25"/>
        <v>0</v>
      </c>
      <c r="BR202" s="560" t="str">
        <f t="shared" si="26"/>
        <v>0110</v>
      </c>
      <c r="BS202" s="560" t="str">
        <f t="shared" si="27"/>
        <v>MDA3+T2</v>
      </c>
      <c r="BT202" s="606" t="str">
        <f t="shared" si="44"/>
        <v>IVM</v>
      </c>
      <c r="BU202" s="560" t="str">
        <f t="shared" si="29"/>
        <v>PZQ</v>
      </c>
      <c r="BV202" s="560" t="str">
        <f t="shared" si="30"/>
        <v>onch+schist</v>
      </c>
      <c r="BW202" s="150" t="str">
        <f t="shared" si="31"/>
        <v/>
      </c>
      <c r="BX202" s="150" t="str">
        <f t="shared" si="32"/>
        <v/>
      </c>
      <c r="BY202" s="608">
        <f t="shared" si="33"/>
        <v>0</v>
      </c>
      <c r="BZ202" s="152" t="str">
        <f t="shared" si="34"/>
        <v/>
      </c>
      <c r="CA202" s="152" t="str">
        <f t="shared" si="35"/>
        <v/>
      </c>
      <c r="CB202" s="152" t="str">
        <f t="shared" si="36"/>
        <v/>
      </c>
      <c r="CC202" s="153" t="str">
        <f t="shared" si="37"/>
        <v/>
      </c>
      <c r="CD202" s="153" t="str">
        <f t="shared" si="38"/>
        <v/>
      </c>
      <c r="CE202" s="154" t="str">
        <f t="shared" si="39"/>
        <v/>
      </c>
      <c r="CF202" s="154" t="str">
        <f t="shared" si="40"/>
        <v/>
      </c>
      <c r="CG202" s="154" t="str">
        <f t="shared" si="41"/>
        <v/>
      </c>
      <c r="CH202" s="637">
        <f t="shared" si="42"/>
        <v>0</v>
      </c>
    </row>
    <row r="203">
      <c r="A203" s="599" t="s">
        <v>292</v>
      </c>
      <c r="B203" s="560" t="s">
        <v>98</v>
      </c>
      <c r="C203" s="635">
        <v>34339.0</v>
      </c>
      <c r="D203" s="562"/>
      <c r="E203" s="610"/>
      <c r="F203" s="611"/>
      <c r="G203" s="611"/>
      <c r="H203" s="611"/>
      <c r="I203" s="622"/>
      <c r="J203" s="622"/>
      <c r="K203" s="622"/>
      <c r="L203" s="612"/>
      <c r="M203" s="612"/>
      <c r="N203" s="612"/>
      <c r="O203" s="308"/>
      <c r="P203" s="150"/>
      <c r="Q203" s="150"/>
      <c r="R203" s="571"/>
      <c r="S203" s="116">
        <f t="shared" si="6"/>
        <v>0.6451333333</v>
      </c>
      <c r="T203" s="151"/>
      <c r="U203" s="572">
        <f t="shared" si="7"/>
        <v>0.0025</v>
      </c>
      <c r="V203" s="598"/>
      <c r="W203" s="574">
        <f t="shared" si="8"/>
        <v>0.56882</v>
      </c>
      <c r="X203" s="598"/>
      <c r="Y203" s="574">
        <f t="shared" si="9"/>
        <v>0.5825818182</v>
      </c>
      <c r="Z203" s="308"/>
      <c r="AA203" s="308"/>
      <c r="AB203" s="575" t="str">
        <f t="shared" si="10"/>
        <v/>
      </c>
      <c r="AC203" s="576">
        <f t="shared" si="11"/>
        <v>0.7574216602</v>
      </c>
      <c r="AD203" s="571"/>
      <c r="AE203" s="583"/>
      <c r="AF203" s="583"/>
      <c r="AG203" s="131"/>
      <c r="AH203" s="131"/>
      <c r="AI203" s="584"/>
      <c r="AJ203" s="584"/>
      <c r="AK203" s="585"/>
      <c r="AL203" s="585"/>
      <c r="AM203" s="575"/>
      <c r="AN203" s="571" t="str">
        <f>IFERROR(
  AVERAGEIFS(
    'New LF Efficacy'!$J:$J,
    'New LF Efficacy'!$D:$D, $A203,
    'New LF Efficacy'!$F:$F,"DEC", 
    'New LF Efficacy'!$W:$W,"&lt;2016",
    'New LF Efficacy'!$AA:$AA,""),
  ""
)</f>
        <v/>
      </c>
      <c r="AO203" s="582">
        <f t="shared" si="12"/>
        <v>0.2589833333</v>
      </c>
      <c r="AP203" s="571" t="str">
        <f>IFERROR(
AVERAGEIFS(
'New LF Efficacy'!$J:$J,
'New LF Efficacy'!$D:$D,$A203,
'New LF Efficacy'!$F:$F,"Albendazole &amp; DEC",
'New LF Efficacy'!$W:$W,"&lt;2016",
'New LF Efficacy'!$AA:$AA,""),
"")</f>
        <v/>
      </c>
      <c r="AQ203" s="582">
        <f t="shared" si="13"/>
        <v>0.3465</v>
      </c>
      <c r="AR203" s="571" t="str">
        <f>IFERROR(
AVERAGEIFS(
'New LF Efficacy'!$J:$J,
'New LF Efficacy'!$D:$D,$A203,
'New LF Efficacy'!$F:$F,"Albendazole &amp; Ivermectin", 
'New LF Efficacy'!$W:$W,"&lt;2016",
'New LF Efficacy'!$AA:$AA,""),"")</f>
        <v/>
      </c>
      <c r="AS203" s="582">
        <f t="shared" si="14"/>
        <v>0.7575</v>
      </c>
      <c r="AT203" s="583" t="str">
        <f>IFERROR(AVERAGEIFS(
'Schist Efficacy'!$O:$O, 
'Schist Efficacy'!$C:$C,$A203, 
'Schist Efficacy'!$D:$D, "Praziquantel",
'Schist Efficacy'!$J:$J,"&lt;2016",
'Schist Efficacy'!$U:$U,""),
"")</f>
        <v/>
      </c>
      <c r="AU203" s="572">
        <f t="shared" si="15"/>
        <v>0.7914761905</v>
      </c>
      <c r="AV203" s="131" t="str">
        <f>IFERROR(AVERAGEIFS(
'STH Efficacy'!$AX:$AX, 
'STH Efficacy'!$AL:$AL, $A203, 
'STH Efficacy'!$AM:$AM, "Albendazole",
'STH Efficacy'!$AS:$AS,"&lt;2016",
'STH Efficacy'!$BP:$BP,""),
"")</f>
        <v/>
      </c>
      <c r="AW203" s="132">
        <f t="shared" si="16"/>
        <v>0.3945</v>
      </c>
      <c r="AX203" s="131" t="str">
        <f>IFERROR(AVERAGEIFS(
'STH Efficacy'!$AX:$AX, 
'STH Efficacy'!$AL:$AL, $A203, 
'STH Efficacy'!$AM:$AM, "Mebendazole",
'STH Efficacy'!$AS:$AS,"&lt;2016",
'STH Efficacy'!$BP:$BP,""),
"")</f>
        <v/>
      </c>
      <c r="AY203" s="132">
        <f t="shared" si="17"/>
        <v>0.6</v>
      </c>
      <c r="AZ203" s="131" t="str">
        <f>IFERROR(AVERAGEIFS(
'STH Efficacy'!$AX:$AX, 
'STH Efficacy'!$AL:$AL, $A203, 
'STH Efficacy'!$AM:$AM, "Albendazole &amp; Ivermectin",
'STH Efficacy'!$AS:$AS,"&lt;2016",
'STH Efficacy'!$BP:$BP,""),
"")</f>
        <v/>
      </c>
      <c r="BA203" s="303">
        <f t="shared" si="18"/>
        <v>0.796</v>
      </c>
      <c r="BB203" s="584" t="str">
        <f>IFERROR(AVERAGEIFS(
'STH Efficacy'!$N:$N, 
'STH Efficacy'!$B:$B, $A203, 
'STH Efficacy'!$C:$C, "Albendazole",
'STH Efficacy'!$I:$I,"&lt;2016",
'STH Efficacy'!$AH:$AH,""),
"")</f>
        <v/>
      </c>
      <c r="BC203" s="579">
        <f t="shared" si="19"/>
        <v>0.869</v>
      </c>
      <c r="BD203" s="584" t="str">
        <f>IFERROR(AVERAGEIFS(
'STH Efficacy'!$N:$N, 
'STH Efficacy'!$B:$B, $A203, 
'STH Efficacy'!$C:$C, "Mebendazole",
'STH Efficacy'!$I:$I,"&lt;2016",
'STH Efficacy'!$AH:$AH,""),
"")</f>
        <v/>
      </c>
      <c r="BE203" s="579">
        <f t="shared" si="20"/>
        <v>0.172</v>
      </c>
      <c r="BF203" s="585" t="str">
        <f>IFERROR(AVERAGEIFS(
'STH Efficacy'!$CD:$CD, 
'STH Efficacy'!$BS:$BS, $A203, 
'STH Efficacy'!$BT:$BT, "Albendazole",
'STH Efficacy'!$BZ:$BZ,"&lt;2016",
'STH Efficacy'!$CU:$CU,""),
"")</f>
        <v/>
      </c>
      <c r="BG203" s="580">
        <f t="shared" si="21"/>
        <v>0.9862</v>
      </c>
      <c r="BH203" s="585" t="str">
        <f>IFERROR(AVERAGEIFS(
'STH Efficacy'!$CD:$CD, 
'STH Efficacy'!$BS:$BS, $A203, 
'STH Efficacy'!$BT:$BT, "Mebendazole",
'STH Efficacy'!$BZ:$BZ,"&lt;2016",
'STH Efficacy'!$CU:$CU,""),
"")</f>
        <v/>
      </c>
      <c r="BI203" s="580">
        <f t="shared" si="22"/>
        <v>0.769</v>
      </c>
      <c r="BJ203" s="585" t="str">
        <f>IFERROR(AVERAGEIFS(
'STH Efficacy'!$CD:$CD, 
'STH Efficacy'!$BS:$BS, $A203, 
'STH Efficacy'!$BT:$BT, "Albendazole &amp; Ivermectin",
'STH Efficacy'!$BZ:$BZ,"&lt;2016",
'STH Efficacy'!$CU:$CU,""),
"")</f>
        <v/>
      </c>
      <c r="BK203" s="580">
        <f t="shared" si="23"/>
        <v>1</v>
      </c>
      <c r="BL203" s="575" t="str">
        <f>IFERROR(
  AVERAGEIFS(
    'NEW Onchocerciasis Efficacy'!$AO:$AO,
    'NEW Onchocerciasis Efficacy'!$C:$C,$A203,
    'NEW Onchocerciasis Efficacy'!$D:$D,"Ivermectin",
    'NEW Onchocerciasis Efficacy'!$AR:$AR,"&lt;2016",
    'NEW Onchocerciasis Efficacy'!$BG:$BG,"")
,"")</f>
        <v/>
      </c>
      <c r="BM203" s="586">
        <f t="shared" si="24"/>
        <v>0.3734</v>
      </c>
      <c r="BN203" s="587">
        <v>0.0</v>
      </c>
      <c r="BO203" s="588">
        <v>0.0</v>
      </c>
      <c r="BP203" s="589">
        <v>0.0</v>
      </c>
      <c r="BQ203" s="590">
        <f t="shared" si="25"/>
        <v>0</v>
      </c>
      <c r="BR203" s="560" t="str">
        <f t="shared" si="26"/>
        <v>0000</v>
      </c>
      <c r="BS203" s="560" t="str">
        <f t="shared" si="27"/>
        <v>no action required</v>
      </c>
      <c r="BT203" s="361" t="str">
        <f t="shared" si="44"/>
        <v/>
      </c>
      <c r="BU203" s="591" t="str">
        <f t="shared" si="29"/>
        <v/>
      </c>
      <c r="BV203" s="560" t="str">
        <f t="shared" si="30"/>
        <v>none</v>
      </c>
      <c r="BW203" s="150" t="str">
        <f t="shared" si="31"/>
        <v/>
      </c>
      <c r="BX203" s="150" t="str">
        <f t="shared" si="32"/>
        <v/>
      </c>
      <c r="BY203" s="151" t="str">
        <f t="shared" si="33"/>
        <v/>
      </c>
      <c r="BZ203" s="152" t="str">
        <f t="shared" si="34"/>
        <v/>
      </c>
      <c r="CA203" s="152" t="str">
        <f t="shared" si="35"/>
        <v/>
      </c>
      <c r="CB203" s="152" t="str">
        <f t="shared" si="36"/>
        <v/>
      </c>
      <c r="CC203" s="153" t="str">
        <f t="shared" si="37"/>
        <v/>
      </c>
      <c r="CD203" s="153" t="str">
        <f t="shared" si="38"/>
        <v/>
      </c>
      <c r="CE203" s="154" t="str">
        <f t="shared" si="39"/>
        <v/>
      </c>
      <c r="CF203" s="154" t="str">
        <f t="shared" si="40"/>
        <v/>
      </c>
      <c r="CG203" s="154" t="str">
        <f t="shared" si="41"/>
        <v/>
      </c>
      <c r="CH203" s="308" t="str">
        <f t="shared" si="42"/>
        <v/>
      </c>
    </row>
    <row r="204">
      <c r="A204" s="599" t="s">
        <v>293</v>
      </c>
      <c r="B204" s="560" t="s">
        <v>94</v>
      </c>
      <c r="C204" s="635">
        <v>11001.0</v>
      </c>
      <c r="D204" s="562"/>
      <c r="E204" s="610"/>
      <c r="F204" s="611"/>
      <c r="G204" s="611"/>
      <c r="H204" s="611"/>
      <c r="I204" s="622"/>
      <c r="J204" s="622"/>
      <c r="K204" s="622"/>
      <c r="L204" s="612"/>
      <c r="M204" s="612"/>
      <c r="N204" s="612"/>
      <c r="O204" s="308"/>
      <c r="P204" s="634"/>
      <c r="Q204" s="602">
        <v>0.0</v>
      </c>
      <c r="R204" s="602">
        <v>0.0</v>
      </c>
      <c r="S204" s="116">
        <f t="shared" si="6"/>
        <v>0</v>
      </c>
      <c r="T204" s="151"/>
      <c r="U204" s="572">
        <f t="shared" si="7"/>
        <v>0.7834666667</v>
      </c>
      <c r="V204" s="613"/>
      <c r="W204" s="574">
        <f t="shared" si="8"/>
        <v>0.3593777778</v>
      </c>
      <c r="X204" s="613"/>
      <c r="Y204" s="574">
        <f t="shared" si="9"/>
        <v>0.5347375</v>
      </c>
      <c r="Z204" s="308"/>
      <c r="AA204" s="308"/>
      <c r="AB204" s="575" t="str">
        <f t="shared" si="10"/>
        <v/>
      </c>
      <c r="AC204" s="576">
        <f t="shared" si="11"/>
        <v>0.7192241206</v>
      </c>
      <c r="AD204" s="571"/>
      <c r="AE204" s="583"/>
      <c r="AF204" s="583"/>
      <c r="AG204" s="131"/>
      <c r="AH204" s="131"/>
      <c r="AI204" s="584"/>
      <c r="AJ204" s="584"/>
      <c r="AK204" s="585"/>
      <c r="AL204" s="585"/>
      <c r="AM204" s="575"/>
      <c r="AN204" s="571" t="str">
        <f>IFERROR(
  AVERAGEIFS(
    'New LF Efficacy'!$J:$J,
    'New LF Efficacy'!$D:$D, $A204,
    'New LF Efficacy'!$F:$F,"DEC", 
    'New LF Efficacy'!$W:$W,"&lt;2016",
    'New LF Efficacy'!$AA:$AA,""),
  ""
)</f>
        <v/>
      </c>
      <c r="AO204" s="582">
        <f t="shared" si="12"/>
        <v>0.38</v>
      </c>
      <c r="AP204" s="571" t="str">
        <f>IFERROR(
AVERAGEIFS(
'New LF Efficacy'!$J:$J,
'New LF Efficacy'!$D:$D,$A204,
'New LF Efficacy'!$F:$F,"Albendazole &amp; DEC",
'New LF Efficacy'!$W:$W,"&lt;2016",
'New LF Efficacy'!$AA:$AA,""),
"")</f>
        <v/>
      </c>
      <c r="AQ204" s="582">
        <f t="shared" si="13"/>
        <v>0.662</v>
      </c>
      <c r="AR204" s="571" t="str">
        <f>IFERROR(
AVERAGEIFS(
'New LF Efficacy'!$J:$J,
'New LF Efficacy'!$D:$D,$A204,
'New LF Efficacy'!$F:$F,"Albendazole &amp; Ivermectin", 
'New LF Efficacy'!$W:$W,"&lt;2016",
'New LF Efficacy'!$AA:$AA,""),"")</f>
        <v/>
      </c>
      <c r="AS204" s="582">
        <f t="shared" si="14"/>
        <v>0.37153125</v>
      </c>
      <c r="AT204" s="583" t="str">
        <f>IFERROR(AVERAGEIFS(
'Schist Efficacy'!$O:$O, 
'Schist Efficacy'!$C:$C,$A204, 
'Schist Efficacy'!$D:$D, "Praziquantel",
'Schist Efficacy'!$J:$J,"&lt;2016",
'Schist Efficacy'!$U:$U,""),
"")</f>
        <v/>
      </c>
      <c r="AU204" s="572">
        <f t="shared" si="15"/>
        <v>0.9475</v>
      </c>
      <c r="AV204" s="131" t="str">
        <f>IFERROR(AVERAGEIFS(
'STH Efficacy'!$AX:$AX, 
'STH Efficacy'!$AL:$AL, $A204, 
'STH Efficacy'!$AM:$AM, "Albendazole",
'STH Efficacy'!$AS:$AS,"&lt;2016",
'STH Efficacy'!$BP:$BP,""),
"")</f>
        <v/>
      </c>
      <c r="AW204" s="132">
        <f t="shared" si="16"/>
        <v>0.3571666667</v>
      </c>
      <c r="AX204" s="131" t="str">
        <f>IFERROR(AVERAGEIFS(
'STH Efficacy'!$AX:$AX, 
'STH Efficacy'!$AL:$AL, $A204, 
'STH Efficacy'!$AM:$AM, "Mebendazole",
'STH Efficacy'!$AS:$AS,"&lt;2016",
'STH Efficacy'!$BP:$BP,""),
"")</f>
        <v/>
      </c>
      <c r="AY204" s="132">
        <f t="shared" si="17"/>
        <v>0.4155</v>
      </c>
      <c r="AZ204" s="131" t="str">
        <f>IFERROR(AVERAGEIFS(
'STH Efficacy'!$AX:$AX, 
'STH Efficacy'!$AL:$AL, $A204, 
'STH Efficacy'!$AM:$AM, "Albendazole &amp; Ivermectin",
'STH Efficacy'!$AS:$AS,"&lt;2016",
'STH Efficacy'!$BP:$BP,""),
"")</f>
        <v/>
      </c>
      <c r="BA204" s="303">
        <f t="shared" si="18"/>
        <v>0.651</v>
      </c>
      <c r="BB204" s="584" t="str">
        <f>IFERROR(AVERAGEIFS(
'STH Efficacy'!$N:$N, 
'STH Efficacy'!$B:$B, $A204, 
'STH Efficacy'!$C:$C, "Albendazole",
'STH Efficacy'!$I:$I,"&lt;2016",
'STH Efficacy'!$AH:$AH,""),
"")</f>
        <v/>
      </c>
      <c r="BC204" s="579">
        <f t="shared" si="19"/>
        <v>0.5769166667</v>
      </c>
      <c r="BD204" s="584" t="str">
        <f>IFERROR(AVERAGEIFS(
'STH Efficacy'!$N:$N, 
'STH Efficacy'!$B:$B, $A204, 
'STH Efficacy'!$C:$C, "Mebendazole",
'STH Efficacy'!$I:$I,"&lt;2016",
'STH Efficacy'!$AH:$AH,""),
"")</f>
        <v/>
      </c>
      <c r="BE204" s="579">
        <f t="shared" si="20"/>
        <v>0.3145</v>
      </c>
      <c r="BF204" s="585" t="str">
        <f>IFERROR(AVERAGEIFS(
'STH Efficacy'!$CD:$CD, 
'STH Efficacy'!$BS:$BS, $A204, 
'STH Efficacy'!$BT:$BT, "Albendazole",
'STH Efficacy'!$BZ:$BZ,"&lt;2016",
'STH Efficacy'!$CU:$CU,""),
"")</f>
        <v/>
      </c>
      <c r="BG204" s="580">
        <f t="shared" si="21"/>
        <v>0.96925</v>
      </c>
      <c r="BH204" s="585" t="str">
        <f>IFERROR(AVERAGEIFS(
'STH Efficacy'!$CD:$CD, 
'STH Efficacy'!$BS:$BS, $A204, 
'STH Efficacy'!$BT:$BT, "Mebendazole",
'STH Efficacy'!$BZ:$BZ,"&lt;2016",
'STH Efficacy'!$CU:$CU,""),
"")</f>
        <v/>
      </c>
      <c r="BI204" s="580">
        <f t="shared" si="22"/>
        <v>0.9305</v>
      </c>
      <c r="BJ204" s="585" t="str">
        <f>IFERROR(AVERAGEIFS(
'STH Efficacy'!$CD:$CD, 
'STH Efficacy'!$BS:$BS, $A204, 
'STH Efficacy'!$BT:$BT, "Albendazole &amp; Ivermectin",
'STH Efficacy'!$BZ:$BZ,"&lt;2016",
'STH Efficacy'!$CU:$CU,""),
"")</f>
        <v/>
      </c>
      <c r="BK204" s="580">
        <f t="shared" si="23"/>
        <v>0.848</v>
      </c>
      <c r="BL204" s="575" t="str">
        <f>IFERROR(
  AVERAGEIFS(
    'NEW Onchocerciasis Efficacy'!$AO:$AO,
    'NEW Onchocerciasis Efficacy'!$C:$C,$A204,
    'NEW Onchocerciasis Efficacy'!$D:$D,"Ivermectin",
    'NEW Onchocerciasis Efficacy'!$AR:$AR,"&lt;2016",
    'NEW Onchocerciasis Efficacy'!$BG:$BG,"")
,"")</f>
        <v/>
      </c>
      <c r="BM204" s="586">
        <f t="shared" si="24"/>
        <v>0.7808368939</v>
      </c>
      <c r="BN204" s="587">
        <v>1.0</v>
      </c>
      <c r="BO204" s="588">
        <v>0.0</v>
      </c>
      <c r="BP204" s="589">
        <v>0.0</v>
      </c>
      <c r="BQ204" s="590">
        <f t="shared" si="25"/>
        <v>0</v>
      </c>
      <c r="BR204" s="560" t="str">
        <f t="shared" si="26"/>
        <v>1000</v>
      </c>
      <c r="BS204" s="560" t="str">
        <f t="shared" si="27"/>
        <v>MDA1/2</v>
      </c>
      <c r="BT204" s="606" t="str">
        <f t="shared" si="44"/>
        <v>IVM+ALB or DEC+ALB</v>
      </c>
      <c r="BU204" s="591" t="str">
        <f t="shared" si="29"/>
        <v/>
      </c>
      <c r="BV204" s="560" t="str">
        <f t="shared" si="30"/>
        <v>lf only</v>
      </c>
      <c r="BW204" s="607">
        <f t="shared" si="31"/>
        <v>0</v>
      </c>
      <c r="BX204" s="607">
        <f t="shared" si="32"/>
        <v>0</v>
      </c>
      <c r="BY204" s="151" t="str">
        <f t="shared" si="33"/>
        <v/>
      </c>
      <c r="BZ204" s="152" t="str">
        <f t="shared" si="34"/>
        <v/>
      </c>
      <c r="CA204" s="152" t="str">
        <f t="shared" si="35"/>
        <v/>
      </c>
      <c r="CB204" s="152" t="str">
        <f t="shared" si="36"/>
        <v/>
      </c>
      <c r="CC204" s="153" t="str">
        <f t="shared" si="37"/>
        <v/>
      </c>
      <c r="CD204" s="153" t="str">
        <f t="shared" si="38"/>
        <v/>
      </c>
      <c r="CE204" s="154" t="str">
        <f t="shared" si="39"/>
        <v/>
      </c>
      <c r="CF204" s="154" t="str">
        <f t="shared" si="40"/>
        <v/>
      </c>
      <c r="CG204" s="154" t="str">
        <f t="shared" si="41"/>
        <v/>
      </c>
      <c r="CH204" s="308" t="str">
        <f t="shared" si="42"/>
        <v/>
      </c>
    </row>
    <row r="205">
      <c r="A205" s="559" t="s">
        <v>294</v>
      </c>
      <c r="B205" s="560" t="s">
        <v>92</v>
      </c>
      <c r="C205" s="635">
        <v>4.014487E7</v>
      </c>
      <c r="D205" s="562">
        <v>10616.70623</v>
      </c>
      <c r="E205" s="563">
        <v>81302.8516316721</v>
      </c>
      <c r="F205" s="564">
        <v>72.74445883</v>
      </c>
      <c r="G205" s="564">
        <v>137.8823835</v>
      </c>
      <c r="H205" s="564">
        <v>1618.365881</v>
      </c>
      <c r="I205" s="565">
        <v>2071.36405</v>
      </c>
      <c r="J205" s="630">
        <v>5995.70055678617</v>
      </c>
      <c r="K205" s="630">
        <v>25790.9245254998</v>
      </c>
      <c r="L205" s="567">
        <v>2485.241578</v>
      </c>
      <c r="M205" s="568">
        <v>428.274021856558</v>
      </c>
      <c r="N205" s="568">
        <v>3768.71203023813</v>
      </c>
      <c r="O205" s="569">
        <v>26401.2</v>
      </c>
      <c r="P205" s="601">
        <v>289547.848548</v>
      </c>
      <c r="Q205" s="618">
        <v>1979667.0</v>
      </c>
      <c r="R205" s="603">
        <v>0.662</v>
      </c>
      <c r="S205" s="116">
        <f t="shared" si="6"/>
        <v>0.662</v>
      </c>
      <c r="T205" s="572">
        <v>0.5191</v>
      </c>
      <c r="U205" s="572">
        <f t="shared" si="7"/>
        <v>0.5191</v>
      </c>
      <c r="V205" s="573">
        <v>0.7727</v>
      </c>
      <c r="W205" s="574">
        <f t="shared" si="8"/>
        <v>0.7727</v>
      </c>
      <c r="X205" s="573">
        <v>0.3837</v>
      </c>
      <c r="Y205" s="574">
        <f t="shared" si="9"/>
        <v>0.3837</v>
      </c>
      <c r="Z205" s="604">
        <v>2669822.0</v>
      </c>
      <c r="AA205" s="604">
        <v>2233003.0</v>
      </c>
      <c r="AB205" s="576">
        <f t="shared" si="10"/>
        <v>0.8363864707</v>
      </c>
      <c r="AC205" s="576">
        <f t="shared" si="11"/>
        <v>0.8363864707</v>
      </c>
      <c r="AD205" s="577">
        <v>0.007599494361</v>
      </c>
      <c r="AE205" s="572">
        <v>0.2109526274</v>
      </c>
      <c r="AF205" s="578">
        <v>0.1084568395</v>
      </c>
      <c r="AG205" s="132">
        <v>0.03563006273</v>
      </c>
      <c r="AH205" s="132">
        <v>0.117332952</v>
      </c>
      <c r="AI205" s="579">
        <v>0.09857226771</v>
      </c>
      <c r="AJ205" s="579">
        <v>0.1248977904</v>
      </c>
      <c r="AK205" s="580">
        <v>0.04128485125</v>
      </c>
      <c r="AL205" s="580">
        <v>0.04977595832</v>
      </c>
      <c r="AM205" s="581">
        <v>0.009289531553</v>
      </c>
      <c r="AN205" s="571" t="str">
        <f>IFERROR(
  AVERAGEIFS(
    'New LF Efficacy'!$J:$J,
    'New LF Efficacy'!$D:$D, $A205,
    'New LF Efficacy'!$F:$F,"DEC", 
    'New LF Efficacy'!$W:$W,"&lt;2016",
    'New LF Efficacy'!$AA:$AA,""),
  ""
)</f>
        <v/>
      </c>
      <c r="AO205" s="582">
        <f t="shared" si="12"/>
        <v>0.31225</v>
      </c>
      <c r="AP205" s="571" t="str">
        <f>IFERROR(
AVERAGEIFS(
'New LF Efficacy'!$J:$J,
'New LF Efficacy'!$D:$D,$A205,
'New LF Efficacy'!$F:$F,"Albendazole &amp; DEC",
'New LF Efficacy'!$W:$W,"&lt;2016",
'New LF Efficacy'!$AA:$AA,""),
"")</f>
        <v/>
      </c>
      <c r="AQ205" s="582">
        <f t="shared" si="13"/>
        <v>0.4</v>
      </c>
      <c r="AR205" s="571" t="str">
        <f>IFERROR(
AVERAGEIFS(
'New LF Efficacy'!$J:$J,
'New LF Efficacy'!$D:$D,$A205,
'New LF Efficacy'!$F:$F,"Albendazole &amp; Ivermectin", 
'New LF Efficacy'!$W:$W,"&lt;2016",
'New LF Efficacy'!$AA:$AA,""),"")</f>
        <v/>
      </c>
      <c r="AS205" s="582">
        <f t="shared" si="14"/>
        <v>0.2943125</v>
      </c>
      <c r="AT205" s="583">
        <f>IFERROR(AVERAGEIFS(
'Schist Efficacy'!$O:$O, 
'Schist Efficacy'!$C:$C,$A205, 
'Schist Efficacy'!$D:$D, "Praziquantel",
'Schist Efficacy'!$J:$J,"&lt;2016",
'Schist Efficacy'!$U:$U,""),
"")</f>
        <v>0.73425</v>
      </c>
      <c r="AU205" s="572">
        <f t="shared" si="15"/>
        <v>0.73425</v>
      </c>
      <c r="AV205" s="131">
        <f>IFERROR(AVERAGEIFS(
'STH Efficacy'!$AX:$AX, 
'STH Efficacy'!$AL:$AL, $A205, 
'STH Efficacy'!$AM:$AM, "Albendazole",
'STH Efficacy'!$AS:$AS,"&lt;2016",
'STH Efficacy'!$BP:$BP,""),
"")</f>
        <v>0.333</v>
      </c>
      <c r="AW205" s="132">
        <f t="shared" si="16"/>
        <v>0.333</v>
      </c>
      <c r="AX205" s="131" t="str">
        <f>IFERROR(AVERAGEIFS(
'STH Efficacy'!$AX:$AX, 
'STH Efficacy'!$AL:$AL, $A205, 
'STH Efficacy'!$AM:$AM, "Mebendazole",
'STH Efficacy'!$AS:$AS,"&lt;2016",
'STH Efficacy'!$BP:$BP,""),
"")</f>
        <v/>
      </c>
      <c r="AY205" s="132">
        <f t="shared" si="17"/>
        <v>0.4859375</v>
      </c>
      <c r="AZ205" s="131">
        <f>IFERROR(AVERAGEIFS(
'STH Efficacy'!$AX:$AX, 
'STH Efficacy'!$AL:$AL, $A205, 
'STH Efficacy'!$AM:$AM, "Albendazole &amp; Ivermectin",
'STH Efficacy'!$AS:$AS,"&lt;2016",
'STH Efficacy'!$BP:$BP,""),
"")</f>
        <v>0.706</v>
      </c>
      <c r="BA205" s="303">
        <f t="shared" si="18"/>
        <v>0.706</v>
      </c>
      <c r="BB205" s="584" t="str">
        <f>IFERROR(AVERAGEIFS(
'STH Efficacy'!$N:$N, 
'STH Efficacy'!$B:$B, $A205, 
'STH Efficacy'!$C:$C, "Albendazole",
'STH Efficacy'!$I:$I,"&lt;2016",
'STH Efficacy'!$AH:$AH,""),
"")</f>
        <v/>
      </c>
      <c r="BC205" s="579">
        <f t="shared" si="19"/>
        <v>0.8699166667</v>
      </c>
      <c r="BD205" s="584" t="str">
        <f>IFERROR(AVERAGEIFS(
'STH Efficacy'!$N:$N, 
'STH Efficacy'!$B:$B, $A205, 
'STH Efficacy'!$C:$C, "Mebendazole",
'STH Efficacy'!$I:$I,"&lt;2016",
'STH Efficacy'!$AH:$AH,""),
"")</f>
        <v/>
      </c>
      <c r="BE205" s="579">
        <f t="shared" si="20"/>
        <v>0.7092416667</v>
      </c>
      <c r="BF205" s="585" t="str">
        <f>IFERROR(AVERAGEIFS(
'STH Efficacy'!$CD:$CD, 
'STH Efficacy'!$BS:$BS, $A205, 
'STH Efficacy'!$BT:$BT, "Albendazole",
'STH Efficacy'!$BZ:$BZ,"&lt;2016",
'STH Efficacy'!$CU:$CU,""),
"")</f>
        <v/>
      </c>
      <c r="BG205" s="580">
        <f t="shared" si="21"/>
        <v>0.9066666667</v>
      </c>
      <c r="BH205" s="585" t="str">
        <f>IFERROR(AVERAGEIFS(
'STH Efficacy'!$CD:$CD, 
'STH Efficacy'!$BS:$BS, $A205, 
'STH Efficacy'!$BT:$BT, "Mebendazole",
'STH Efficacy'!$BZ:$BZ,"&lt;2016",
'STH Efficacy'!$CU:$CU,""),
"")</f>
        <v/>
      </c>
      <c r="BI205" s="580">
        <f t="shared" si="22"/>
        <v>0.8483333333</v>
      </c>
      <c r="BJ205" s="585" t="str">
        <f>IFERROR(AVERAGEIFS(
'STH Efficacy'!$CD:$CD, 
'STH Efficacy'!$BS:$BS, $A205, 
'STH Efficacy'!$BT:$BT, "Albendazole &amp; Ivermectin",
'STH Efficacy'!$BZ:$BZ,"&lt;2016",
'STH Efficacy'!$CU:$CU,""),
"")</f>
        <v/>
      </c>
      <c r="BK205" s="580">
        <f t="shared" si="23"/>
        <v>0.696</v>
      </c>
      <c r="BL205" s="575" t="str">
        <f>IFERROR(
  AVERAGEIFS(
    'NEW Onchocerciasis Efficacy'!$AO:$AO,
    'NEW Onchocerciasis Efficacy'!$C:$C,$A205,
    'NEW Onchocerciasis Efficacy'!$D:$D,"Ivermectin",
    'NEW Onchocerciasis Efficacy'!$AR:$AR,"&lt;2016",
    'NEW Onchocerciasis Efficacy'!$BG:$BG,"")
,"")</f>
        <v/>
      </c>
      <c r="BM205" s="586">
        <f t="shared" si="24"/>
        <v>0.8390421645</v>
      </c>
      <c r="BN205" s="587">
        <v>1.0</v>
      </c>
      <c r="BO205" s="588">
        <v>0.0</v>
      </c>
      <c r="BP205" s="589">
        <v>1.0</v>
      </c>
      <c r="BQ205" s="590">
        <f t="shared" si="25"/>
        <v>0</v>
      </c>
      <c r="BR205" s="560" t="str">
        <f t="shared" si="26"/>
        <v>1010</v>
      </c>
      <c r="BS205" s="560" t="str">
        <f t="shared" si="27"/>
        <v>MDA1/2+T2</v>
      </c>
      <c r="BT205" s="606" t="str">
        <f t="shared" si="44"/>
        <v>IVM+ALB or DEC +ALB</v>
      </c>
      <c r="BU205" s="560" t="str">
        <f t="shared" si="29"/>
        <v>PZQ</v>
      </c>
      <c r="BV205" s="560" t="str">
        <f t="shared" si="30"/>
        <v>lf+schist </v>
      </c>
      <c r="BW205" s="150" t="str">
        <f t="shared" si="31"/>
        <v/>
      </c>
      <c r="BX205" s="607">
        <f t="shared" si="32"/>
        <v>2569.043997</v>
      </c>
      <c r="BY205" s="608">
        <f t="shared" si="33"/>
        <v>50074.28862</v>
      </c>
      <c r="BZ205" s="152" t="str">
        <f t="shared" si="34"/>
        <v/>
      </c>
      <c r="CA205" s="152" t="str">
        <f t="shared" si="35"/>
        <v/>
      </c>
      <c r="CB205" s="152" t="str">
        <f t="shared" si="36"/>
        <v/>
      </c>
      <c r="CC205" s="153" t="str">
        <f t="shared" si="37"/>
        <v/>
      </c>
      <c r="CD205" s="153" t="str">
        <f t="shared" si="38"/>
        <v/>
      </c>
      <c r="CE205" s="154" t="str">
        <f t="shared" si="39"/>
        <v/>
      </c>
      <c r="CF205" s="154" t="str">
        <f t="shared" si="40"/>
        <v/>
      </c>
      <c r="CG205" s="154" t="str">
        <f t="shared" si="41"/>
        <v/>
      </c>
      <c r="CH205" s="308" t="str">
        <f t="shared" si="42"/>
        <v/>
      </c>
    </row>
    <row r="206">
      <c r="A206" s="599" t="s">
        <v>295</v>
      </c>
      <c r="B206" s="560" t="s">
        <v>90</v>
      </c>
      <c r="C206" s="635">
        <v>4.5154029E7</v>
      </c>
      <c r="D206" s="562">
        <v>0.0</v>
      </c>
      <c r="E206" s="563">
        <v>0.0</v>
      </c>
      <c r="F206" s="564">
        <v>0.0</v>
      </c>
      <c r="G206" s="564">
        <v>0.0</v>
      </c>
      <c r="H206" s="564">
        <v>0.0</v>
      </c>
      <c r="I206" s="565">
        <v>0.0</v>
      </c>
      <c r="J206" s="630">
        <v>0.0</v>
      </c>
      <c r="K206" s="630">
        <v>0.0</v>
      </c>
      <c r="L206" s="567">
        <v>2.577498005</v>
      </c>
      <c r="M206" s="568">
        <v>1.6808800881584</v>
      </c>
      <c r="N206" s="568">
        <v>9.90863063395326</v>
      </c>
      <c r="O206" s="569">
        <v>0.0</v>
      </c>
      <c r="P206" s="570"/>
      <c r="Q206" s="150"/>
      <c r="R206" s="571"/>
      <c r="S206" s="116">
        <f t="shared" si="6"/>
        <v>0.6648642857</v>
      </c>
      <c r="T206" s="151"/>
      <c r="U206" s="572">
        <f t="shared" si="7"/>
        <v>0.53016</v>
      </c>
      <c r="V206" s="598"/>
      <c r="W206" s="574" t="b">
        <f t="shared" si="8"/>
        <v>0</v>
      </c>
      <c r="X206" s="598"/>
      <c r="Y206" s="574">
        <f t="shared" si="9"/>
        <v>0.631675</v>
      </c>
      <c r="Z206" s="308"/>
      <c r="AA206" s="308"/>
      <c r="AB206" s="575" t="str">
        <f t="shared" si="10"/>
        <v/>
      </c>
      <c r="AC206" s="576">
        <f t="shared" si="11"/>
        <v>0.7192241206</v>
      </c>
      <c r="AD206" s="577">
        <v>0.0</v>
      </c>
      <c r="AE206" s="572">
        <v>0.0</v>
      </c>
      <c r="AF206" s="578">
        <v>0.0</v>
      </c>
      <c r="AG206" s="133">
        <v>0.0</v>
      </c>
      <c r="AH206" s="133">
        <v>0.0</v>
      </c>
      <c r="AI206" s="623">
        <v>0.0</v>
      </c>
      <c r="AJ206" s="623">
        <v>0.0</v>
      </c>
      <c r="AK206" s="624">
        <v>0.0</v>
      </c>
      <c r="AL206" s="624">
        <v>0.0</v>
      </c>
      <c r="AM206" s="581">
        <v>0.0</v>
      </c>
      <c r="AN206" s="571" t="str">
        <f>IFERROR(
  AVERAGEIFS(
    'New LF Efficacy'!$J:$J,
    'New LF Efficacy'!$D:$D, $A206,
    'New LF Efficacy'!$F:$F,"DEC", 
    'New LF Efficacy'!$W:$W,"&lt;2016",
    'New LF Efficacy'!$AA:$AA,""),
  ""
)</f>
        <v/>
      </c>
      <c r="AO206" s="582">
        <f t="shared" si="12"/>
        <v>0.3573520833</v>
      </c>
      <c r="AP206" s="571" t="str">
        <f>IFERROR(
AVERAGEIFS(
'New LF Efficacy'!$J:$J,
'New LF Efficacy'!$D:$D,$A206,
'New LF Efficacy'!$F:$F,"Albendazole &amp; DEC",
'New LF Efficacy'!$W:$W,"&lt;2016",
'New LF Efficacy'!$AA:$AA,""),
"")</f>
        <v/>
      </c>
      <c r="AQ206" s="582">
        <f t="shared" si="13"/>
        <v>0.5143541667</v>
      </c>
      <c r="AR206" s="571" t="str">
        <f>IFERROR(
AVERAGEIFS(
'New LF Efficacy'!$J:$J,
'New LF Efficacy'!$D:$D,$A206,
'New LF Efficacy'!$F:$F,"Albendazole &amp; Ivermectin", 
'New LF Efficacy'!$W:$W,"&lt;2016",
'New LF Efficacy'!$AA:$AA,""),"")</f>
        <v/>
      </c>
      <c r="AS206" s="582">
        <f t="shared" si="14"/>
        <v>0.37153125</v>
      </c>
      <c r="AT206" s="583" t="str">
        <f>IFERROR(AVERAGEIFS(
'Schist Efficacy'!$O:$O, 
'Schist Efficacy'!$C:$C,$A206, 
'Schist Efficacy'!$D:$D, "Praziquantel",
'Schist Efficacy'!$J:$J,"&lt;2016",
'Schist Efficacy'!$U:$U,""),
"")</f>
        <v/>
      </c>
      <c r="AU206" s="572">
        <f t="shared" si="15"/>
        <v>0.655</v>
      </c>
      <c r="AV206" s="131" t="str">
        <f>IFERROR(AVERAGEIFS(
'STH Efficacy'!$AX:$AX, 
'STH Efficacy'!$AL:$AL, $A206, 
'STH Efficacy'!$AM:$AM, "Albendazole",
'STH Efficacy'!$AS:$AS,"&lt;2016",
'STH Efficacy'!$BP:$BP,""),
"")</f>
        <v/>
      </c>
      <c r="AW206" s="132">
        <f t="shared" si="16"/>
        <v>0.4143846154</v>
      </c>
      <c r="AX206" s="131" t="str">
        <f>IFERROR(AVERAGEIFS(
'STH Efficacy'!$AX:$AX, 
'STH Efficacy'!$AL:$AL, $A206, 
'STH Efficacy'!$AM:$AM, "Mebendazole",
'STH Efficacy'!$AS:$AS,"&lt;2016",
'STH Efficacy'!$BP:$BP,""),
"")</f>
        <v/>
      </c>
      <c r="AY206" s="132">
        <f t="shared" si="17"/>
        <v>0.4691770833</v>
      </c>
      <c r="AZ206" s="131" t="str">
        <f>IFERROR(AVERAGEIFS(
'STH Efficacy'!$AX:$AX, 
'STH Efficacy'!$AL:$AL, $A206, 
'STH Efficacy'!$AM:$AM, "Albendazole &amp; Ivermectin",
'STH Efficacy'!$AS:$AS,"&lt;2016",
'STH Efficacy'!$BP:$BP,""),
"")</f>
        <v/>
      </c>
      <c r="BA206" s="303">
        <f t="shared" si="18"/>
        <v>0.597625</v>
      </c>
      <c r="BB206" s="584" t="str">
        <f>IFERROR(AVERAGEIFS(
'STH Efficacy'!$N:$N, 
'STH Efficacy'!$B:$B, $A206, 
'STH Efficacy'!$C:$C, "Albendazole",
'STH Efficacy'!$I:$I,"&lt;2016",
'STH Efficacy'!$AH:$AH,""),
"")</f>
        <v/>
      </c>
      <c r="BC206" s="579">
        <f t="shared" si="19"/>
        <v>0.7613712121</v>
      </c>
      <c r="BD206" s="584" t="str">
        <f>IFERROR(AVERAGEIFS(
'STH Efficacy'!$N:$N, 
'STH Efficacy'!$B:$B, $A206, 
'STH Efficacy'!$C:$C, "Mebendazole",
'STH Efficacy'!$I:$I,"&lt;2016",
'STH Efficacy'!$AH:$AH,""),
"")</f>
        <v/>
      </c>
      <c r="BE206" s="579">
        <f t="shared" si="20"/>
        <v>0.4362466667</v>
      </c>
      <c r="BF206" s="585" t="str">
        <f>IFERROR(AVERAGEIFS(
'STH Efficacy'!$CD:$CD, 
'STH Efficacy'!$BS:$BS, $A206, 
'STH Efficacy'!$BT:$BT, "Albendazole",
'STH Efficacy'!$BZ:$BZ,"&lt;2016",
'STH Efficacy'!$CU:$CU,""),
"")</f>
        <v/>
      </c>
      <c r="BG206" s="580">
        <f t="shared" si="21"/>
        <v>0.9216027778</v>
      </c>
      <c r="BH206" s="585" t="str">
        <f>IFERROR(AVERAGEIFS(
'STH Efficacy'!$CD:$CD, 
'STH Efficacy'!$BS:$BS, $A206, 
'STH Efficacy'!$BT:$BT, "Mebendazole",
'STH Efficacy'!$BZ:$BZ,"&lt;2016",
'STH Efficacy'!$CU:$CU,""),
"")</f>
        <v/>
      </c>
      <c r="BI206" s="580">
        <f t="shared" si="22"/>
        <v>0.8866041667</v>
      </c>
      <c r="BJ206" s="585" t="str">
        <f>IFERROR(AVERAGEIFS(
'STH Efficacy'!$CD:$CD, 
'STH Efficacy'!$BS:$BS, $A206, 
'STH Efficacy'!$BT:$BT, "Albendazole &amp; Ivermectin",
'STH Efficacy'!$BZ:$BZ,"&lt;2016",
'STH Efficacy'!$CU:$CU,""),
"")</f>
        <v/>
      </c>
      <c r="BK206" s="580">
        <f t="shared" si="23"/>
        <v>0.848</v>
      </c>
      <c r="BL206" s="575" t="str">
        <f>IFERROR(
  AVERAGEIFS(
    'NEW Onchocerciasis Efficacy'!$AO:$AO,
    'NEW Onchocerciasis Efficacy'!$C:$C,$A206,
    'NEW Onchocerciasis Efficacy'!$D:$D,"Ivermectin",
    'NEW Onchocerciasis Efficacy'!$AR:$AR,"&lt;2016",
    'NEW Onchocerciasis Efficacy'!$BG:$BG,"")
,"")</f>
        <v/>
      </c>
      <c r="BM206" s="586">
        <f t="shared" si="24"/>
        <v>0.7808368939</v>
      </c>
      <c r="BN206" s="587">
        <v>0.0</v>
      </c>
      <c r="BO206" s="588">
        <v>1.0</v>
      </c>
      <c r="BP206" s="589">
        <v>1.0</v>
      </c>
      <c r="BQ206" s="590">
        <f t="shared" si="25"/>
        <v>0</v>
      </c>
      <c r="BR206" s="560" t="str">
        <f t="shared" si="26"/>
        <v>0110</v>
      </c>
      <c r="BS206" s="560" t="str">
        <f t="shared" si="27"/>
        <v>MDA3+T2</v>
      </c>
      <c r="BT206" s="606" t="str">
        <f t="shared" si="44"/>
        <v>IVM</v>
      </c>
      <c r="BU206" s="560" t="str">
        <f t="shared" si="29"/>
        <v>PZQ</v>
      </c>
      <c r="BV206" s="560" t="str">
        <f t="shared" si="30"/>
        <v>onch+schist</v>
      </c>
      <c r="BW206" s="150" t="str">
        <f t="shared" si="31"/>
        <v/>
      </c>
      <c r="BX206" s="150" t="str">
        <f t="shared" si="32"/>
        <v/>
      </c>
      <c r="BY206" s="608">
        <f t="shared" si="33"/>
        <v>0</v>
      </c>
      <c r="BZ206" s="152" t="str">
        <f t="shared" si="34"/>
        <v/>
      </c>
      <c r="CA206" s="152" t="str">
        <f t="shared" si="35"/>
        <v/>
      </c>
      <c r="CB206" s="152" t="str">
        <f t="shared" si="36"/>
        <v/>
      </c>
      <c r="CC206" s="153" t="str">
        <f t="shared" si="37"/>
        <v/>
      </c>
      <c r="CD206" s="153" t="str">
        <f t="shared" si="38"/>
        <v/>
      </c>
      <c r="CE206" s="154" t="str">
        <f t="shared" si="39"/>
        <v/>
      </c>
      <c r="CF206" s="154" t="str">
        <f t="shared" si="40"/>
        <v/>
      </c>
      <c r="CG206" s="154" t="str">
        <f t="shared" si="41"/>
        <v/>
      </c>
      <c r="CH206" s="637">
        <f t="shared" si="42"/>
        <v>0</v>
      </c>
    </row>
    <row r="207">
      <c r="A207" s="599" t="s">
        <v>296</v>
      </c>
      <c r="B207" s="560" t="s">
        <v>88</v>
      </c>
      <c r="C207" s="635">
        <v>9154302.0</v>
      </c>
      <c r="D207" s="562">
        <v>0.0</v>
      </c>
      <c r="E207" s="563">
        <v>0.0</v>
      </c>
      <c r="F207" s="564">
        <v>0.0</v>
      </c>
      <c r="G207" s="564">
        <v>0.0</v>
      </c>
      <c r="H207" s="564">
        <v>4.31E-7</v>
      </c>
      <c r="I207" s="565">
        <v>0.625913412</v>
      </c>
      <c r="J207" s="630">
        <v>2.42617524751349</v>
      </c>
      <c r="K207" s="630">
        <v>29.871849390055</v>
      </c>
      <c r="L207" s="567">
        <v>1.988977064</v>
      </c>
      <c r="M207" s="568">
        <v>0.960172376224614</v>
      </c>
      <c r="N207" s="568">
        <v>5.10808759547867</v>
      </c>
      <c r="O207" s="569">
        <v>0.0</v>
      </c>
      <c r="P207" s="570"/>
      <c r="Q207" s="150"/>
      <c r="R207" s="571"/>
      <c r="S207" s="116">
        <f t="shared" si="6"/>
        <v>0.1495</v>
      </c>
      <c r="T207" s="151"/>
      <c r="U207" s="572">
        <f t="shared" si="7"/>
        <v>0.65895</v>
      </c>
      <c r="V207" s="598"/>
      <c r="W207" s="574">
        <f t="shared" si="8"/>
        <v>0.97535</v>
      </c>
      <c r="X207" s="598"/>
      <c r="Y207" s="574">
        <f t="shared" si="9"/>
        <v>0.41448</v>
      </c>
      <c r="Z207" s="308"/>
      <c r="AA207" s="308"/>
      <c r="AB207" s="575" t="str">
        <f t="shared" si="10"/>
        <v/>
      </c>
      <c r="AC207" s="576">
        <f t="shared" si="11"/>
        <v>0.4586145155</v>
      </c>
      <c r="AD207" s="577">
        <v>0.0</v>
      </c>
      <c r="AE207" s="572">
        <v>0.0</v>
      </c>
      <c r="AF207" s="578">
        <v>0.0</v>
      </c>
      <c r="AG207" s="133">
        <v>0.007922181272</v>
      </c>
      <c r="AH207" s="133">
        <v>0.02537154</v>
      </c>
      <c r="AI207" s="623">
        <v>0.00272310511</v>
      </c>
      <c r="AJ207" s="623">
        <v>0.003379640516</v>
      </c>
      <c r="AK207" s="624">
        <v>0.00692637668</v>
      </c>
      <c r="AL207" s="624">
        <v>0.008229103994</v>
      </c>
      <c r="AM207" s="581">
        <v>0.0</v>
      </c>
      <c r="AN207" s="571" t="str">
        <f>IFERROR(
  AVERAGEIFS(
    'New LF Efficacy'!$J:$J,
    'New LF Efficacy'!$D:$D, $A207,
    'New LF Efficacy'!$F:$F,"DEC", 
    'New LF Efficacy'!$W:$W,"&lt;2016",
    'New LF Efficacy'!$AA:$AA,""),
  ""
)</f>
        <v/>
      </c>
      <c r="AO207" s="582">
        <f t="shared" si="12"/>
        <v>0.3573520833</v>
      </c>
      <c r="AP207" s="571" t="str">
        <f>IFERROR(
AVERAGEIFS(
'New LF Efficacy'!$J:$J,
'New LF Efficacy'!$D:$D,$A207,
'New LF Efficacy'!$F:$F,"Albendazole &amp; DEC",
'New LF Efficacy'!$W:$W,"&lt;2016",
'New LF Efficacy'!$AA:$AA,""),
"")</f>
        <v/>
      </c>
      <c r="AQ207" s="582">
        <f t="shared" si="13"/>
        <v>0.7935</v>
      </c>
      <c r="AR207" s="571" t="str">
        <f>IFERROR(
AVERAGEIFS(
'New LF Efficacy'!$J:$J,
'New LF Efficacy'!$D:$D,$A207,
'New LF Efficacy'!$F:$F,"Albendazole &amp; Ivermectin", 
'New LF Efficacy'!$W:$W,"&lt;2016",
'New LF Efficacy'!$AA:$AA,""),"")</f>
        <v/>
      </c>
      <c r="AS207" s="582">
        <f t="shared" si="14"/>
        <v>0.37153125</v>
      </c>
      <c r="AT207" s="583" t="str">
        <f>IFERROR(AVERAGEIFS(
'Schist Efficacy'!$O:$O, 
'Schist Efficacy'!$C:$C,$A207, 
'Schist Efficacy'!$D:$D, "Praziquantel",
'Schist Efficacy'!$J:$J,"&lt;2016",
'Schist Efficacy'!$U:$U,""),
"")</f>
        <v/>
      </c>
      <c r="AU207" s="572">
        <f t="shared" si="15"/>
        <v>0.7763141026</v>
      </c>
      <c r="AV207" s="131" t="str">
        <f>IFERROR(AVERAGEIFS(
'STH Efficacy'!$AX:$AX, 
'STH Efficacy'!$AL:$AL, $A207, 
'STH Efficacy'!$AM:$AM, "Albendazole",
'STH Efficacy'!$AS:$AS,"&lt;2016",
'STH Efficacy'!$BP:$BP,""),
"")</f>
        <v/>
      </c>
      <c r="AW207" s="132">
        <f t="shared" si="16"/>
        <v>0.4143846154</v>
      </c>
      <c r="AX207" s="131" t="str">
        <f>IFERROR(AVERAGEIFS(
'STH Efficacy'!$AX:$AX, 
'STH Efficacy'!$AL:$AL, $A207, 
'STH Efficacy'!$AM:$AM, "Mebendazole",
'STH Efficacy'!$AS:$AS,"&lt;2016",
'STH Efficacy'!$BP:$BP,""),
"")</f>
        <v/>
      </c>
      <c r="AY207" s="132">
        <f t="shared" si="17"/>
        <v>0.4691770833</v>
      </c>
      <c r="AZ207" s="131" t="str">
        <f>IFERROR(AVERAGEIFS(
'STH Efficacy'!$AX:$AX, 
'STH Efficacy'!$AL:$AL, $A207, 
'STH Efficacy'!$AM:$AM, "Albendazole &amp; Ivermectin",
'STH Efficacy'!$AS:$AS,"&lt;2016",
'STH Efficacy'!$BP:$BP,""),
"")</f>
        <v/>
      </c>
      <c r="BA207" s="303">
        <f t="shared" si="18"/>
        <v>0.597625</v>
      </c>
      <c r="BB207" s="584" t="str">
        <f>IFERROR(AVERAGEIFS(
'STH Efficacy'!$N:$N, 
'STH Efficacy'!$B:$B, $A207, 
'STH Efficacy'!$C:$C, "Albendazole",
'STH Efficacy'!$I:$I,"&lt;2016",
'STH Efficacy'!$AH:$AH,""),
"")</f>
        <v/>
      </c>
      <c r="BC207" s="579">
        <f t="shared" si="19"/>
        <v>0.7613712121</v>
      </c>
      <c r="BD207" s="584" t="str">
        <f>IFERROR(AVERAGEIFS(
'STH Efficacy'!$N:$N, 
'STH Efficacy'!$B:$B, $A207, 
'STH Efficacy'!$C:$C, "Mebendazole",
'STH Efficacy'!$I:$I,"&lt;2016",
'STH Efficacy'!$AH:$AH,""),
"")</f>
        <v/>
      </c>
      <c r="BE207" s="579">
        <f t="shared" si="20"/>
        <v>0.4362466667</v>
      </c>
      <c r="BF207" s="585" t="str">
        <f>IFERROR(AVERAGEIFS(
'STH Efficacy'!$CD:$CD, 
'STH Efficacy'!$BS:$BS, $A207, 
'STH Efficacy'!$BT:$BT, "Albendazole",
'STH Efficacy'!$BZ:$BZ,"&lt;2016",
'STH Efficacy'!$CU:$CU,""),
"")</f>
        <v/>
      </c>
      <c r="BG207" s="580">
        <f t="shared" si="21"/>
        <v>0.955</v>
      </c>
      <c r="BH207" s="585" t="str">
        <f>IFERROR(AVERAGEIFS(
'STH Efficacy'!$CD:$CD, 
'STH Efficacy'!$BS:$BS, $A207, 
'STH Efficacy'!$BT:$BT, "Mebendazole",
'STH Efficacy'!$BZ:$BZ,"&lt;2016",
'STH Efficacy'!$CU:$CU,""),
"")</f>
        <v/>
      </c>
      <c r="BI207" s="580">
        <f t="shared" si="22"/>
        <v>1</v>
      </c>
      <c r="BJ207" s="585" t="str">
        <f>IFERROR(AVERAGEIFS(
'STH Efficacy'!$CD:$CD, 
'STH Efficacy'!$BS:$BS, $A207, 
'STH Efficacy'!$BT:$BT, "Albendazole &amp; Ivermectin",
'STH Efficacy'!$BZ:$BZ,"&lt;2016",
'STH Efficacy'!$CU:$CU,""),
"")</f>
        <v/>
      </c>
      <c r="BK207" s="580">
        <f t="shared" si="23"/>
        <v>0.848</v>
      </c>
      <c r="BL207" s="575" t="str">
        <f>IFERROR(
  AVERAGEIFS(
    'NEW Onchocerciasis Efficacy'!$AO:$AO,
    'NEW Onchocerciasis Efficacy'!$C:$C,$A207,
    'NEW Onchocerciasis Efficacy'!$D:$D,"Ivermectin",
    'NEW Onchocerciasis Efficacy'!$AR:$AR,"&lt;2016",
    'NEW Onchocerciasis Efficacy'!$BG:$BG,"")
,"")</f>
        <v/>
      </c>
      <c r="BM207" s="586">
        <f t="shared" si="24"/>
        <v>0.7808368939</v>
      </c>
      <c r="BN207" s="587">
        <v>0.0</v>
      </c>
      <c r="BO207" s="588">
        <v>0.0</v>
      </c>
      <c r="BP207" s="589">
        <v>0.0</v>
      </c>
      <c r="BQ207" s="590">
        <f t="shared" si="25"/>
        <v>0</v>
      </c>
      <c r="BR207" s="560" t="str">
        <f t="shared" si="26"/>
        <v>0000</v>
      </c>
      <c r="BS207" s="560" t="str">
        <f t="shared" si="27"/>
        <v>no action required</v>
      </c>
      <c r="BT207" s="361" t="str">
        <f t="shared" si="44"/>
        <v/>
      </c>
      <c r="BU207" s="591" t="str">
        <f t="shared" si="29"/>
        <v/>
      </c>
      <c r="BV207" s="560" t="str">
        <f t="shared" si="30"/>
        <v>none</v>
      </c>
      <c r="BW207" s="150" t="str">
        <f t="shared" si="31"/>
        <v/>
      </c>
      <c r="BX207" s="150" t="str">
        <f t="shared" si="32"/>
        <v/>
      </c>
      <c r="BY207" s="151" t="str">
        <f t="shared" si="33"/>
        <v/>
      </c>
      <c r="BZ207" s="152" t="str">
        <f t="shared" si="34"/>
        <v/>
      </c>
      <c r="CA207" s="152" t="str">
        <f t="shared" si="35"/>
        <v/>
      </c>
      <c r="CB207" s="152" t="str">
        <f t="shared" si="36"/>
        <v/>
      </c>
      <c r="CC207" s="153" t="str">
        <f t="shared" si="37"/>
        <v/>
      </c>
      <c r="CD207" s="153" t="str">
        <f t="shared" si="38"/>
        <v/>
      </c>
      <c r="CE207" s="154" t="str">
        <f t="shared" si="39"/>
        <v/>
      </c>
      <c r="CF207" s="154" t="str">
        <f t="shared" si="40"/>
        <v/>
      </c>
      <c r="CG207" s="154" t="str">
        <f t="shared" si="41"/>
        <v/>
      </c>
      <c r="CH207" s="308" t="str">
        <f t="shared" si="42"/>
        <v/>
      </c>
    </row>
    <row r="208">
      <c r="A208" s="599" t="s">
        <v>297</v>
      </c>
      <c r="B208" s="560" t="s">
        <v>90</v>
      </c>
      <c r="C208" s="635">
        <v>6.5128861E7</v>
      </c>
      <c r="D208" s="562">
        <v>0.0</v>
      </c>
      <c r="E208" s="563">
        <v>0.0</v>
      </c>
      <c r="F208" s="564">
        <v>0.0</v>
      </c>
      <c r="G208" s="564">
        <v>0.0</v>
      </c>
      <c r="H208" s="564">
        <v>0.0</v>
      </c>
      <c r="I208" s="565">
        <v>0.0</v>
      </c>
      <c r="J208" s="630">
        <v>0.0</v>
      </c>
      <c r="K208" s="630">
        <v>0.0</v>
      </c>
      <c r="L208" s="567">
        <v>0.585719616</v>
      </c>
      <c r="M208" s="568">
        <v>0.287732893941823</v>
      </c>
      <c r="N208" s="568">
        <v>1.90205574329979</v>
      </c>
      <c r="O208" s="569">
        <v>0.0</v>
      </c>
      <c r="P208" s="570"/>
      <c r="Q208" s="150"/>
      <c r="R208" s="571"/>
      <c r="S208" s="116">
        <f t="shared" si="6"/>
        <v>0.6648642857</v>
      </c>
      <c r="T208" s="151"/>
      <c r="U208" s="572">
        <f t="shared" si="7"/>
        <v>0.53016</v>
      </c>
      <c r="V208" s="598"/>
      <c r="W208" s="574" t="b">
        <f t="shared" si="8"/>
        <v>0</v>
      </c>
      <c r="X208" s="598"/>
      <c r="Y208" s="574">
        <f t="shared" si="9"/>
        <v>0.631675</v>
      </c>
      <c r="Z208" s="308"/>
      <c r="AA208" s="308"/>
      <c r="AB208" s="575" t="str">
        <f t="shared" si="10"/>
        <v/>
      </c>
      <c r="AC208" s="576">
        <f t="shared" si="11"/>
        <v>0.7192241206</v>
      </c>
      <c r="AD208" s="577">
        <v>0.0</v>
      </c>
      <c r="AE208" s="639">
        <v>0.0</v>
      </c>
      <c r="AF208" s="583">
        <v>0.0</v>
      </c>
      <c r="AG208" s="133">
        <v>0.0</v>
      </c>
      <c r="AH208" s="133">
        <v>0.0</v>
      </c>
      <c r="AI208" s="623">
        <v>0.0</v>
      </c>
      <c r="AJ208" s="623">
        <v>0.0</v>
      </c>
      <c r="AK208" s="624">
        <v>0.0</v>
      </c>
      <c r="AL208" s="624">
        <v>0.0</v>
      </c>
      <c r="AM208" s="581">
        <v>0.0</v>
      </c>
      <c r="AN208" s="571" t="str">
        <f>IFERROR(
  AVERAGEIFS(
    'New LF Efficacy'!$J:$J,
    'New LF Efficacy'!$D:$D, $A208,
    'New LF Efficacy'!$F:$F,"DEC", 
    'New LF Efficacy'!$W:$W,"&lt;2016",
    'New LF Efficacy'!$AA:$AA,""),
  ""
)</f>
        <v/>
      </c>
      <c r="AO208" s="582">
        <f t="shared" si="12"/>
        <v>0.3573520833</v>
      </c>
      <c r="AP208" s="571" t="str">
        <f>IFERROR(
AVERAGEIFS(
'New LF Efficacy'!$J:$J,
'New LF Efficacy'!$D:$D,$A208,
'New LF Efficacy'!$F:$F,"Albendazole &amp; DEC",
'New LF Efficacy'!$W:$W,"&lt;2016",
'New LF Efficacy'!$AA:$AA,""),
"")</f>
        <v/>
      </c>
      <c r="AQ208" s="582">
        <f t="shared" si="13"/>
        <v>0.5143541667</v>
      </c>
      <c r="AR208" s="571" t="str">
        <f>IFERROR(
AVERAGEIFS(
'New LF Efficacy'!$J:$J,
'New LF Efficacy'!$D:$D,$A208,
'New LF Efficacy'!$F:$F,"Albendazole &amp; Ivermectin", 
'New LF Efficacy'!$W:$W,"&lt;2016",
'New LF Efficacy'!$AA:$AA,""),"")</f>
        <v/>
      </c>
      <c r="AS208" s="582">
        <f t="shared" si="14"/>
        <v>0.37153125</v>
      </c>
      <c r="AT208" s="583" t="str">
        <f>IFERROR(AVERAGEIFS(
'Schist Efficacy'!$O:$O, 
'Schist Efficacy'!$C:$C,$A208, 
'Schist Efficacy'!$D:$D, "Praziquantel",
'Schist Efficacy'!$J:$J,"&lt;2016",
'Schist Efficacy'!$U:$U,""),
"")</f>
        <v/>
      </c>
      <c r="AU208" s="572">
        <f t="shared" si="15"/>
        <v>0.655</v>
      </c>
      <c r="AV208" s="131" t="str">
        <f>IFERROR(AVERAGEIFS(
'STH Efficacy'!$AX:$AX, 
'STH Efficacy'!$AL:$AL, $A208, 
'STH Efficacy'!$AM:$AM, "Albendazole",
'STH Efficacy'!$AS:$AS,"&lt;2016",
'STH Efficacy'!$BP:$BP,""),
"")</f>
        <v/>
      </c>
      <c r="AW208" s="132">
        <f t="shared" si="16"/>
        <v>0.4143846154</v>
      </c>
      <c r="AX208" s="131" t="str">
        <f>IFERROR(AVERAGEIFS(
'STH Efficacy'!$AX:$AX, 
'STH Efficacy'!$AL:$AL, $A208, 
'STH Efficacy'!$AM:$AM, "Mebendazole",
'STH Efficacy'!$AS:$AS,"&lt;2016",
'STH Efficacy'!$BP:$BP,""),
"")</f>
        <v/>
      </c>
      <c r="AY208" s="132">
        <f t="shared" si="17"/>
        <v>0.4691770833</v>
      </c>
      <c r="AZ208" s="131" t="str">
        <f>IFERROR(AVERAGEIFS(
'STH Efficacy'!$AX:$AX, 
'STH Efficacy'!$AL:$AL, $A208, 
'STH Efficacy'!$AM:$AM, "Albendazole &amp; Ivermectin",
'STH Efficacy'!$AS:$AS,"&lt;2016",
'STH Efficacy'!$BP:$BP,""),
"")</f>
        <v/>
      </c>
      <c r="BA208" s="303">
        <f t="shared" si="18"/>
        <v>0.597625</v>
      </c>
      <c r="BB208" s="584" t="str">
        <f>IFERROR(AVERAGEIFS(
'STH Efficacy'!$N:$N, 
'STH Efficacy'!$B:$B, $A208, 
'STH Efficacy'!$C:$C, "Albendazole",
'STH Efficacy'!$I:$I,"&lt;2016",
'STH Efficacy'!$AH:$AH,""),
"")</f>
        <v/>
      </c>
      <c r="BC208" s="579">
        <f t="shared" si="19"/>
        <v>0.7613712121</v>
      </c>
      <c r="BD208" s="584" t="str">
        <f>IFERROR(AVERAGEIFS(
'STH Efficacy'!$N:$N, 
'STH Efficacy'!$B:$B, $A208, 
'STH Efficacy'!$C:$C, "Mebendazole",
'STH Efficacy'!$I:$I,"&lt;2016",
'STH Efficacy'!$AH:$AH,""),
"")</f>
        <v/>
      </c>
      <c r="BE208" s="579">
        <f t="shared" si="20"/>
        <v>0.4362466667</v>
      </c>
      <c r="BF208" s="585" t="str">
        <f>IFERROR(AVERAGEIFS(
'STH Efficacy'!$CD:$CD, 
'STH Efficacy'!$BS:$BS, $A208, 
'STH Efficacy'!$BT:$BT, "Albendazole",
'STH Efficacy'!$BZ:$BZ,"&lt;2016",
'STH Efficacy'!$CU:$CU,""),
"")</f>
        <v/>
      </c>
      <c r="BG208" s="580">
        <f t="shared" si="21"/>
        <v>0.9216027778</v>
      </c>
      <c r="BH208" s="585" t="str">
        <f>IFERROR(AVERAGEIFS(
'STH Efficacy'!$CD:$CD, 
'STH Efficacy'!$BS:$BS, $A208, 
'STH Efficacy'!$BT:$BT, "Mebendazole",
'STH Efficacy'!$BZ:$BZ,"&lt;2016",
'STH Efficacy'!$CU:$CU,""),
"")</f>
        <v/>
      </c>
      <c r="BI208" s="580">
        <f t="shared" si="22"/>
        <v>0.8866041667</v>
      </c>
      <c r="BJ208" s="585" t="str">
        <f>IFERROR(AVERAGEIFS(
'STH Efficacy'!$CD:$CD, 
'STH Efficacy'!$BS:$BS, $A208, 
'STH Efficacy'!$BT:$BT, "Albendazole &amp; Ivermectin",
'STH Efficacy'!$BZ:$BZ,"&lt;2016",
'STH Efficacy'!$CU:$CU,""),
"")</f>
        <v/>
      </c>
      <c r="BK208" s="580">
        <f t="shared" si="23"/>
        <v>0.848</v>
      </c>
      <c r="BL208" s="575" t="str">
        <f>IFERROR(
  AVERAGEIFS(
    'NEW Onchocerciasis Efficacy'!$AO:$AO,
    'NEW Onchocerciasis Efficacy'!$C:$C,$A208,
    'NEW Onchocerciasis Efficacy'!$D:$D,"Ivermectin",
    'NEW Onchocerciasis Efficacy'!$AR:$AR,"&lt;2016",
    'NEW Onchocerciasis Efficacy'!$BG:$BG,"")
,"")</f>
        <v/>
      </c>
      <c r="BM208" s="586">
        <f t="shared" si="24"/>
        <v>0.7808368939</v>
      </c>
      <c r="BN208" s="587">
        <v>0.0</v>
      </c>
      <c r="BO208" s="588">
        <v>0.0</v>
      </c>
      <c r="BP208" s="589">
        <v>0.0</v>
      </c>
      <c r="BQ208" s="590">
        <f t="shared" si="25"/>
        <v>0</v>
      </c>
      <c r="BR208" s="560" t="str">
        <f t="shared" si="26"/>
        <v>0000</v>
      </c>
      <c r="BS208" s="560" t="str">
        <f t="shared" si="27"/>
        <v>no action required</v>
      </c>
      <c r="BT208" s="361" t="str">
        <f t="shared" si="44"/>
        <v/>
      </c>
      <c r="BU208" s="591" t="str">
        <f t="shared" si="29"/>
        <v/>
      </c>
      <c r="BV208" s="560" t="str">
        <f t="shared" si="30"/>
        <v>none</v>
      </c>
      <c r="BW208" s="150" t="str">
        <f t="shared" si="31"/>
        <v/>
      </c>
      <c r="BX208" s="150" t="str">
        <f t="shared" si="32"/>
        <v/>
      </c>
      <c r="BY208" s="151" t="str">
        <f t="shared" si="33"/>
        <v/>
      </c>
      <c r="BZ208" s="152" t="str">
        <f t="shared" si="34"/>
        <v/>
      </c>
      <c r="CA208" s="152" t="str">
        <f t="shared" si="35"/>
        <v/>
      </c>
      <c r="CB208" s="152" t="str">
        <f t="shared" si="36"/>
        <v/>
      </c>
      <c r="CC208" s="153" t="str">
        <f t="shared" si="37"/>
        <v/>
      </c>
      <c r="CD208" s="153" t="str">
        <f t="shared" si="38"/>
        <v/>
      </c>
      <c r="CE208" s="154" t="str">
        <f t="shared" si="39"/>
        <v/>
      </c>
      <c r="CF208" s="154" t="str">
        <f t="shared" si="40"/>
        <v/>
      </c>
      <c r="CG208" s="154" t="str">
        <f t="shared" si="41"/>
        <v/>
      </c>
      <c r="CH208" s="308" t="str">
        <f t="shared" si="42"/>
        <v/>
      </c>
    </row>
    <row r="209">
      <c r="A209" s="599" t="s">
        <v>298</v>
      </c>
      <c r="B209" s="560" t="s">
        <v>98</v>
      </c>
      <c r="C209" s="635">
        <v>3.20896618E8</v>
      </c>
      <c r="D209" s="562">
        <v>0.0</v>
      </c>
      <c r="E209" s="563">
        <v>0.0</v>
      </c>
      <c r="F209" s="564">
        <v>0.0</v>
      </c>
      <c r="G209" s="564">
        <v>0.0</v>
      </c>
      <c r="H209" s="564">
        <v>0.0</v>
      </c>
      <c r="I209" s="565">
        <v>0.0</v>
      </c>
      <c r="J209" s="630">
        <v>0.0</v>
      </c>
      <c r="K209" s="630">
        <v>0.0</v>
      </c>
      <c r="L209" s="567">
        <v>0.0</v>
      </c>
      <c r="M209" s="568">
        <v>0.0</v>
      </c>
      <c r="N209" s="568">
        <v>0.0</v>
      </c>
      <c r="O209" s="569">
        <v>0.0</v>
      </c>
      <c r="P209" s="570"/>
      <c r="Q209" s="150"/>
      <c r="R209" s="571"/>
      <c r="S209" s="116">
        <f t="shared" si="6"/>
        <v>0.6451333333</v>
      </c>
      <c r="T209" s="151"/>
      <c r="U209" s="572">
        <f t="shared" si="7"/>
        <v>0.0025</v>
      </c>
      <c r="V209" s="598"/>
      <c r="W209" s="574">
        <f t="shared" si="8"/>
        <v>0.56882</v>
      </c>
      <c r="X209" s="598"/>
      <c r="Y209" s="574">
        <f t="shared" si="9"/>
        <v>0.5825818182</v>
      </c>
      <c r="Z209" s="308"/>
      <c r="AA209" s="308"/>
      <c r="AB209" s="575" t="str">
        <f t="shared" si="10"/>
        <v/>
      </c>
      <c r="AC209" s="576">
        <f t="shared" si="11"/>
        <v>0.7574216602</v>
      </c>
      <c r="AD209" s="577">
        <v>0.0</v>
      </c>
      <c r="AE209" s="572">
        <v>0.0</v>
      </c>
      <c r="AF209" s="578">
        <v>0.0</v>
      </c>
      <c r="AG209" s="133">
        <v>0.0</v>
      </c>
      <c r="AH209" s="133">
        <v>0.0</v>
      </c>
      <c r="AI209" s="623">
        <v>0.0</v>
      </c>
      <c r="AJ209" s="623">
        <v>0.0</v>
      </c>
      <c r="AK209" s="624">
        <v>0.0</v>
      </c>
      <c r="AL209" s="624">
        <v>0.0</v>
      </c>
      <c r="AM209" s="581">
        <v>0.0</v>
      </c>
      <c r="AN209" s="571" t="str">
        <f>IFERROR(
  AVERAGEIFS(
    'New LF Efficacy'!$J:$J,
    'New LF Efficacy'!$D:$D, $A209,
    'New LF Efficacy'!$F:$F,"DEC", 
    'New LF Efficacy'!$W:$W,"&lt;2016",
    'New LF Efficacy'!$AA:$AA,""),
  ""
)</f>
        <v/>
      </c>
      <c r="AO209" s="582">
        <f t="shared" si="12"/>
        <v>0.2589833333</v>
      </c>
      <c r="AP209" s="571" t="str">
        <f>IFERROR(
AVERAGEIFS(
'New LF Efficacy'!$J:$J,
'New LF Efficacy'!$D:$D,$A209,
'New LF Efficacy'!$F:$F,"Albendazole &amp; DEC",
'New LF Efficacy'!$W:$W,"&lt;2016",
'New LF Efficacy'!$AA:$AA,""),
"")</f>
        <v/>
      </c>
      <c r="AQ209" s="582">
        <f t="shared" si="13"/>
        <v>0.3465</v>
      </c>
      <c r="AR209" s="571" t="str">
        <f>IFERROR(
AVERAGEIFS(
'New LF Efficacy'!$J:$J,
'New LF Efficacy'!$D:$D,$A209,
'New LF Efficacy'!$F:$F,"Albendazole &amp; Ivermectin", 
'New LF Efficacy'!$W:$W,"&lt;2016",
'New LF Efficacy'!$AA:$AA,""),"")</f>
        <v/>
      </c>
      <c r="AS209" s="582">
        <f t="shared" si="14"/>
        <v>0.7575</v>
      </c>
      <c r="AT209" s="583" t="str">
        <f>IFERROR(AVERAGEIFS(
'Schist Efficacy'!$O:$O, 
'Schist Efficacy'!$C:$C,$A209, 
'Schist Efficacy'!$D:$D, "Praziquantel",
'Schist Efficacy'!$J:$J,"&lt;2016",
'Schist Efficacy'!$U:$U,""),
"")</f>
        <v/>
      </c>
      <c r="AU209" s="572">
        <f t="shared" si="15"/>
        <v>0.7914761905</v>
      </c>
      <c r="AV209" s="131" t="str">
        <f>IFERROR(AVERAGEIFS(
'STH Efficacy'!$AX:$AX, 
'STH Efficacy'!$AL:$AL, $A209, 
'STH Efficacy'!$AM:$AM, "Albendazole",
'STH Efficacy'!$AS:$AS,"&lt;2016",
'STH Efficacy'!$BP:$BP,""),
"")</f>
        <v/>
      </c>
      <c r="AW209" s="132">
        <f t="shared" si="16"/>
        <v>0.3945</v>
      </c>
      <c r="AX209" s="131" t="str">
        <f>IFERROR(AVERAGEIFS(
'STH Efficacy'!$AX:$AX, 
'STH Efficacy'!$AL:$AL, $A209, 
'STH Efficacy'!$AM:$AM, "Mebendazole",
'STH Efficacy'!$AS:$AS,"&lt;2016",
'STH Efficacy'!$BP:$BP,""),
"")</f>
        <v/>
      </c>
      <c r="AY209" s="132">
        <f t="shared" si="17"/>
        <v>0.6</v>
      </c>
      <c r="AZ209" s="131" t="str">
        <f>IFERROR(AVERAGEIFS(
'STH Efficacy'!$AX:$AX, 
'STH Efficacy'!$AL:$AL, $A209, 
'STH Efficacy'!$AM:$AM, "Albendazole &amp; Ivermectin",
'STH Efficacy'!$AS:$AS,"&lt;2016",
'STH Efficacy'!$BP:$BP,""),
"")</f>
        <v/>
      </c>
      <c r="BA209" s="303">
        <f t="shared" si="18"/>
        <v>0.796</v>
      </c>
      <c r="BB209" s="584" t="str">
        <f>IFERROR(AVERAGEIFS(
'STH Efficacy'!$N:$N, 
'STH Efficacy'!$B:$B, $A209, 
'STH Efficacy'!$C:$C, "Albendazole",
'STH Efficacy'!$I:$I,"&lt;2016",
'STH Efficacy'!$AH:$AH,""),
"")</f>
        <v/>
      </c>
      <c r="BC209" s="579">
        <f t="shared" si="19"/>
        <v>0.869</v>
      </c>
      <c r="BD209" s="584" t="str">
        <f>IFERROR(AVERAGEIFS(
'STH Efficacy'!$N:$N, 
'STH Efficacy'!$B:$B, $A209, 
'STH Efficacy'!$C:$C, "Mebendazole",
'STH Efficacy'!$I:$I,"&lt;2016",
'STH Efficacy'!$AH:$AH,""),
"")</f>
        <v/>
      </c>
      <c r="BE209" s="579">
        <f t="shared" si="20"/>
        <v>0.172</v>
      </c>
      <c r="BF209" s="585" t="str">
        <f>IFERROR(AVERAGEIFS(
'STH Efficacy'!$CD:$CD, 
'STH Efficacy'!$BS:$BS, $A209, 
'STH Efficacy'!$BT:$BT, "Albendazole",
'STH Efficacy'!$BZ:$BZ,"&lt;2016",
'STH Efficacy'!$CU:$CU,""),
"")</f>
        <v/>
      </c>
      <c r="BG209" s="580">
        <f t="shared" si="21"/>
        <v>0.9862</v>
      </c>
      <c r="BH209" s="585" t="str">
        <f>IFERROR(AVERAGEIFS(
'STH Efficacy'!$CD:$CD, 
'STH Efficacy'!$BS:$BS, $A209, 
'STH Efficacy'!$BT:$BT, "Mebendazole",
'STH Efficacy'!$BZ:$BZ,"&lt;2016",
'STH Efficacy'!$CU:$CU,""),
"")</f>
        <v/>
      </c>
      <c r="BI209" s="580">
        <f t="shared" si="22"/>
        <v>0.769</v>
      </c>
      <c r="BJ209" s="585" t="str">
        <f>IFERROR(AVERAGEIFS(
'STH Efficacy'!$CD:$CD, 
'STH Efficacy'!$BS:$BS, $A209, 
'STH Efficacy'!$BT:$BT, "Albendazole &amp; Ivermectin",
'STH Efficacy'!$BZ:$BZ,"&lt;2016",
'STH Efficacy'!$CU:$CU,""),
"")</f>
        <v/>
      </c>
      <c r="BK209" s="580">
        <f t="shared" si="23"/>
        <v>1</v>
      </c>
      <c r="BL209" s="575" t="str">
        <f>IFERROR(
  AVERAGEIFS(
    'NEW Onchocerciasis Efficacy'!$AO:$AO,
    'NEW Onchocerciasis Efficacy'!$C:$C,$A209,
    'NEW Onchocerciasis Efficacy'!$D:$D,"Ivermectin",
    'NEW Onchocerciasis Efficacy'!$AR:$AR,"&lt;2016",
    'NEW Onchocerciasis Efficacy'!$BG:$BG,"")
,"")</f>
        <v/>
      </c>
      <c r="BM209" s="586">
        <f t="shared" si="24"/>
        <v>0.3734</v>
      </c>
      <c r="BN209" s="587">
        <v>0.0</v>
      </c>
      <c r="BO209" s="588">
        <v>0.0</v>
      </c>
      <c r="BP209" s="589">
        <v>0.0</v>
      </c>
      <c r="BQ209" s="590">
        <f t="shared" si="25"/>
        <v>0</v>
      </c>
      <c r="BR209" s="560" t="str">
        <f t="shared" si="26"/>
        <v>0000</v>
      </c>
      <c r="BS209" s="560" t="str">
        <f t="shared" si="27"/>
        <v>no action required</v>
      </c>
      <c r="BT209" s="361" t="str">
        <f t="shared" si="44"/>
        <v/>
      </c>
      <c r="BU209" s="591" t="str">
        <f t="shared" si="29"/>
        <v/>
      </c>
      <c r="BV209" s="560" t="str">
        <f t="shared" si="30"/>
        <v>none</v>
      </c>
      <c r="BW209" s="150" t="str">
        <f t="shared" si="31"/>
        <v/>
      </c>
      <c r="BX209" s="150" t="str">
        <f t="shared" si="32"/>
        <v/>
      </c>
      <c r="BY209" s="151" t="str">
        <f t="shared" si="33"/>
        <v/>
      </c>
      <c r="BZ209" s="152" t="str">
        <f t="shared" si="34"/>
        <v/>
      </c>
      <c r="CA209" s="152" t="str">
        <f t="shared" si="35"/>
        <v/>
      </c>
      <c r="CB209" s="152" t="str">
        <f t="shared" si="36"/>
        <v/>
      </c>
      <c r="CC209" s="153" t="str">
        <f t="shared" si="37"/>
        <v/>
      </c>
      <c r="CD209" s="153" t="str">
        <f t="shared" si="38"/>
        <v/>
      </c>
      <c r="CE209" s="154" t="str">
        <f t="shared" si="39"/>
        <v/>
      </c>
      <c r="CF209" s="154" t="str">
        <f t="shared" si="40"/>
        <v/>
      </c>
      <c r="CG209" s="154" t="str">
        <f t="shared" si="41"/>
        <v/>
      </c>
      <c r="CH209" s="308" t="str">
        <f t="shared" si="42"/>
        <v/>
      </c>
    </row>
    <row r="210">
      <c r="A210" s="599" t="s">
        <v>299</v>
      </c>
      <c r="B210" s="560" t="s">
        <v>98</v>
      </c>
      <c r="C210" s="635">
        <v>3431552.0</v>
      </c>
      <c r="D210" s="562">
        <v>0.0</v>
      </c>
      <c r="E210" s="563">
        <v>0.0</v>
      </c>
      <c r="F210" s="564">
        <v>0.0</v>
      </c>
      <c r="G210" s="564">
        <v>0.0</v>
      </c>
      <c r="H210" s="564">
        <v>0.0</v>
      </c>
      <c r="I210" s="565">
        <v>0.0</v>
      </c>
      <c r="J210" s="630">
        <v>0.0</v>
      </c>
      <c r="K210" s="630">
        <v>0.0</v>
      </c>
      <c r="L210" s="567">
        <v>0.41508662</v>
      </c>
      <c r="M210" s="568">
        <v>0.21055967194224</v>
      </c>
      <c r="N210" s="568">
        <v>1.11035163578828</v>
      </c>
      <c r="O210" s="569">
        <v>0.0</v>
      </c>
      <c r="P210" s="570"/>
      <c r="Q210" s="150"/>
      <c r="R210" s="571"/>
      <c r="S210" s="116">
        <f t="shared" si="6"/>
        <v>0.6451333333</v>
      </c>
      <c r="T210" s="151"/>
      <c r="U210" s="572">
        <f t="shared" si="7"/>
        <v>0.0025</v>
      </c>
      <c r="V210" s="598"/>
      <c r="W210" s="574">
        <f t="shared" si="8"/>
        <v>0.56882</v>
      </c>
      <c r="X210" s="598"/>
      <c r="Y210" s="574">
        <f t="shared" si="9"/>
        <v>0.5825818182</v>
      </c>
      <c r="Z210" s="308"/>
      <c r="AA210" s="308"/>
      <c r="AB210" s="575" t="str">
        <f t="shared" si="10"/>
        <v/>
      </c>
      <c r="AC210" s="576">
        <f t="shared" si="11"/>
        <v>0.7574216602</v>
      </c>
      <c r="AD210" s="577">
        <v>0.0</v>
      </c>
      <c r="AE210" s="572">
        <v>0.0</v>
      </c>
      <c r="AF210" s="578">
        <v>0.0</v>
      </c>
      <c r="AG210" s="133">
        <v>0.0</v>
      </c>
      <c r="AH210" s="133">
        <v>0.0</v>
      </c>
      <c r="AI210" s="623">
        <v>0.0</v>
      </c>
      <c r="AJ210" s="623">
        <v>0.0</v>
      </c>
      <c r="AK210" s="624">
        <v>0.0</v>
      </c>
      <c r="AL210" s="624">
        <v>0.0</v>
      </c>
      <c r="AM210" s="581">
        <v>0.0</v>
      </c>
      <c r="AN210" s="571" t="str">
        <f>IFERROR(
  AVERAGEIFS(
    'New LF Efficacy'!$J:$J,
    'New LF Efficacy'!$D:$D, $A210,
    'New LF Efficacy'!$F:$F,"DEC", 
    'New LF Efficacy'!$W:$W,"&lt;2016",
    'New LF Efficacy'!$AA:$AA,""),
  ""
)</f>
        <v/>
      </c>
      <c r="AO210" s="582">
        <f t="shared" si="12"/>
        <v>0.2589833333</v>
      </c>
      <c r="AP210" s="571" t="str">
        <f>IFERROR(
AVERAGEIFS(
'New LF Efficacy'!$J:$J,
'New LF Efficacy'!$D:$D,$A210,
'New LF Efficacy'!$F:$F,"Albendazole &amp; DEC",
'New LF Efficacy'!$W:$W,"&lt;2016",
'New LF Efficacy'!$AA:$AA,""),
"")</f>
        <v/>
      </c>
      <c r="AQ210" s="582">
        <f t="shared" si="13"/>
        <v>0.3465</v>
      </c>
      <c r="AR210" s="571" t="str">
        <f>IFERROR(
AVERAGEIFS(
'New LF Efficacy'!$J:$J,
'New LF Efficacy'!$D:$D,$A210,
'New LF Efficacy'!$F:$F,"Albendazole &amp; Ivermectin", 
'New LF Efficacy'!$W:$W,"&lt;2016",
'New LF Efficacy'!$AA:$AA,""),"")</f>
        <v/>
      </c>
      <c r="AS210" s="582">
        <f t="shared" si="14"/>
        <v>0.7575</v>
      </c>
      <c r="AT210" s="583" t="str">
        <f>IFERROR(AVERAGEIFS(
'Schist Efficacy'!$O:$O, 
'Schist Efficacy'!$C:$C,$A210, 
'Schist Efficacy'!$D:$D, "Praziquantel",
'Schist Efficacy'!$J:$J,"&lt;2016",
'Schist Efficacy'!$U:$U,""),
"")</f>
        <v/>
      </c>
      <c r="AU210" s="572">
        <f t="shared" si="15"/>
        <v>0.7914761905</v>
      </c>
      <c r="AV210" s="131" t="str">
        <f>IFERROR(AVERAGEIFS(
'STH Efficacy'!$AX:$AX, 
'STH Efficacy'!$AL:$AL, $A210, 
'STH Efficacy'!$AM:$AM, "Albendazole",
'STH Efficacy'!$AS:$AS,"&lt;2016",
'STH Efficacy'!$BP:$BP,""),
"")</f>
        <v/>
      </c>
      <c r="AW210" s="132">
        <f t="shared" si="16"/>
        <v>0.3945</v>
      </c>
      <c r="AX210" s="131" t="str">
        <f>IFERROR(AVERAGEIFS(
'STH Efficacy'!$AX:$AX, 
'STH Efficacy'!$AL:$AL, $A210, 
'STH Efficacy'!$AM:$AM, "Mebendazole",
'STH Efficacy'!$AS:$AS,"&lt;2016",
'STH Efficacy'!$BP:$BP,""),
"")</f>
        <v/>
      </c>
      <c r="AY210" s="132">
        <f t="shared" si="17"/>
        <v>0.6</v>
      </c>
      <c r="AZ210" s="131" t="str">
        <f>IFERROR(AVERAGEIFS(
'STH Efficacy'!$AX:$AX, 
'STH Efficacy'!$AL:$AL, $A210, 
'STH Efficacy'!$AM:$AM, "Albendazole &amp; Ivermectin",
'STH Efficacy'!$AS:$AS,"&lt;2016",
'STH Efficacy'!$BP:$BP,""),
"")</f>
        <v/>
      </c>
      <c r="BA210" s="303">
        <f t="shared" si="18"/>
        <v>0.796</v>
      </c>
      <c r="BB210" s="584" t="str">
        <f>IFERROR(AVERAGEIFS(
'STH Efficacy'!$N:$N, 
'STH Efficacy'!$B:$B, $A210, 
'STH Efficacy'!$C:$C, "Albendazole",
'STH Efficacy'!$I:$I,"&lt;2016",
'STH Efficacy'!$AH:$AH,""),
"")</f>
        <v/>
      </c>
      <c r="BC210" s="579">
        <f t="shared" si="19"/>
        <v>0.869</v>
      </c>
      <c r="BD210" s="584" t="str">
        <f>IFERROR(AVERAGEIFS(
'STH Efficacy'!$N:$N, 
'STH Efficacy'!$B:$B, $A210, 
'STH Efficacy'!$C:$C, "Mebendazole",
'STH Efficacy'!$I:$I,"&lt;2016",
'STH Efficacy'!$AH:$AH,""),
"")</f>
        <v/>
      </c>
      <c r="BE210" s="579">
        <f t="shared" si="20"/>
        <v>0.172</v>
      </c>
      <c r="BF210" s="585" t="str">
        <f>IFERROR(AVERAGEIFS(
'STH Efficacy'!$CD:$CD, 
'STH Efficacy'!$BS:$BS, $A210, 
'STH Efficacy'!$BT:$BT, "Albendazole",
'STH Efficacy'!$BZ:$BZ,"&lt;2016",
'STH Efficacy'!$CU:$CU,""),
"")</f>
        <v/>
      </c>
      <c r="BG210" s="580">
        <f t="shared" si="21"/>
        <v>0.9862</v>
      </c>
      <c r="BH210" s="585" t="str">
        <f>IFERROR(AVERAGEIFS(
'STH Efficacy'!$CD:$CD, 
'STH Efficacy'!$BS:$BS, $A210, 
'STH Efficacy'!$BT:$BT, "Mebendazole",
'STH Efficacy'!$BZ:$BZ,"&lt;2016",
'STH Efficacy'!$CU:$CU,""),
"")</f>
        <v/>
      </c>
      <c r="BI210" s="580">
        <f t="shared" si="22"/>
        <v>0.769</v>
      </c>
      <c r="BJ210" s="585" t="str">
        <f>IFERROR(AVERAGEIFS(
'STH Efficacy'!$CD:$CD, 
'STH Efficacy'!$BS:$BS, $A210, 
'STH Efficacy'!$BT:$BT, "Albendazole &amp; Ivermectin",
'STH Efficacy'!$BZ:$BZ,"&lt;2016",
'STH Efficacy'!$CU:$CU,""),
"")</f>
        <v/>
      </c>
      <c r="BK210" s="580">
        <f t="shared" si="23"/>
        <v>1</v>
      </c>
      <c r="BL210" s="575" t="str">
        <f>IFERROR(
  AVERAGEIFS(
    'NEW Onchocerciasis Efficacy'!$AO:$AO,
    'NEW Onchocerciasis Efficacy'!$C:$C,$A210,
    'NEW Onchocerciasis Efficacy'!$D:$D,"Ivermectin",
    'NEW Onchocerciasis Efficacy'!$AR:$AR,"&lt;2016",
    'NEW Onchocerciasis Efficacy'!$BG:$BG,"")
,"")</f>
        <v/>
      </c>
      <c r="BM210" s="586">
        <f t="shared" si="24"/>
        <v>0.3734</v>
      </c>
      <c r="BN210" s="587">
        <v>0.0</v>
      </c>
      <c r="BO210" s="588">
        <v>0.0</v>
      </c>
      <c r="BP210" s="589">
        <v>0.0</v>
      </c>
      <c r="BQ210" s="590">
        <f t="shared" si="25"/>
        <v>0</v>
      </c>
      <c r="BR210" s="560" t="str">
        <f t="shared" si="26"/>
        <v>0000</v>
      </c>
      <c r="BS210" s="560" t="str">
        <f t="shared" si="27"/>
        <v>no action required</v>
      </c>
      <c r="BT210" s="361" t="str">
        <f t="shared" si="44"/>
        <v/>
      </c>
      <c r="BU210" s="591" t="str">
        <f t="shared" si="29"/>
        <v/>
      </c>
      <c r="BV210" s="560" t="str">
        <f t="shared" si="30"/>
        <v>none</v>
      </c>
      <c r="BW210" s="150" t="str">
        <f t="shared" si="31"/>
        <v/>
      </c>
      <c r="BX210" s="150" t="str">
        <f t="shared" si="32"/>
        <v/>
      </c>
      <c r="BY210" s="151" t="str">
        <f t="shared" si="33"/>
        <v/>
      </c>
      <c r="BZ210" s="152" t="str">
        <f t="shared" si="34"/>
        <v/>
      </c>
      <c r="CA210" s="152" t="str">
        <f t="shared" si="35"/>
        <v/>
      </c>
      <c r="CB210" s="152" t="str">
        <f t="shared" si="36"/>
        <v/>
      </c>
      <c r="CC210" s="153" t="str">
        <f t="shared" si="37"/>
        <v/>
      </c>
      <c r="CD210" s="153" t="str">
        <f t="shared" si="38"/>
        <v/>
      </c>
      <c r="CE210" s="154" t="str">
        <f t="shared" si="39"/>
        <v/>
      </c>
      <c r="CF210" s="154" t="str">
        <f t="shared" si="40"/>
        <v/>
      </c>
      <c r="CG210" s="154" t="str">
        <f t="shared" si="41"/>
        <v/>
      </c>
      <c r="CH210" s="308" t="str">
        <f t="shared" si="42"/>
        <v/>
      </c>
    </row>
    <row r="211">
      <c r="A211" s="599" t="s">
        <v>300</v>
      </c>
      <c r="B211" s="560" t="s">
        <v>98</v>
      </c>
      <c r="C211" s="635">
        <v>103574.0</v>
      </c>
      <c r="D211" s="562">
        <v>0.0</v>
      </c>
      <c r="E211" s="563">
        <v>0.0</v>
      </c>
      <c r="F211" s="564">
        <v>0.0</v>
      </c>
      <c r="G211" s="564">
        <v>0.0</v>
      </c>
      <c r="H211" s="564">
        <v>0.0</v>
      </c>
      <c r="I211" s="565">
        <v>0.0</v>
      </c>
      <c r="J211" s="630">
        <v>0.0</v>
      </c>
      <c r="K211" s="630">
        <v>0.0</v>
      </c>
      <c r="L211" s="567">
        <v>0.0</v>
      </c>
      <c r="M211" s="568">
        <v>0.0</v>
      </c>
      <c r="N211" s="568">
        <v>0.0</v>
      </c>
      <c r="O211" s="569">
        <v>0.0</v>
      </c>
      <c r="P211" s="150"/>
      <c r="Q211" s="150"/>
      <c r="R211" s="571"/>
      <c r="S211" s="116">
        <f t="shared" si="6"/>
        <v>0.6451333333</v>
      </c>
      <c r="T211" s="151"/>
      <c r="U211" s="572">
        <f t="shared" si="7"/>
        <v>0.0025</v>
      </c>
      <c r="V211" s="598"/>
      <c r="W211" s="574">
        <f t="shared" si="8"/>
        <v>0.56882</v>
      </c>
      <c r="X211" s="598"/>
      <c r="Y211" s="574">
        <f t="shared" si="9"/>
        <v>0.5825818182</v>
      </c>
      <c r="Z211" s="308"/>
      <c r="AA211" s="308"/>
      <c r="AB211" s="575" t="str">
        <f t="shared" si="10"/>
        <v/>
      </c>
      <c r="AC211" s="576">
        <f t="shared" si="11"/>
        <v>0.7574216602</v>
      </c>
      <c r="AD211" s="614">
        <v>0.0</v>
      </c>
      <c r="AE211" s="639">
        <v>0.0</v>
      </c>
      <c r="AF211" s="583">
        <v>0.0</v>
      </c>
      <c r="AG211" s="132">
        <v>0.0</v>
      </c>
      <c r="AH211" s="132">
        <v>0.0</v>
      </c>
      <c r="AI211" s="579"/>
      <c r="AJ211" s="579"/>
      <c r="AK211" s="580"/>
      <c r="AL211" s="580"/>
      <c r="AM211" s="581"/>
      <c r="AN211" s="571" t="str">
        <f>IFERROR(
  AVERAGEIFS(
    'New LF Efficacy'!$J:$J,
    'New LF Efficacy'!$D:$D, $A211,
    'New LF Efficacy'!$F:$F,"DEC", 
    'New LF Efficacy'!$W:$W,"&lt;2016",
    'New LF Efficacy'!$AA:$AA,""),
  ""
)</f>
        <v/>
      </c>
      <c r="AO211" s="582">
        <f t="shared" si="12"/>
        <v>0.2589833333</v>
      </c>
      <c r="AP211" s="571" t="str">
        <f>IFERROR(
AVERAGEIFS(
'New LF Efficacy'!$J:$J,
'New LF Efficacy'!$D:$D,$A211,
'New LF Efficacy'!$F:$F,"Albendazole &amp; DEC",
'New LF Efficacy'!$W:$W,"&lt;2016",
'New LF Efficacy'!$AA:$AA,""),
"")</f>
        <v/>
      </c>
      <c r="AQ211" s="582">
        <f t="shared" si="13"/>
        <v>0.3465</v>
      </c>
      <c r="AR211" s="571" t="str">
        <f>IFERROR(
AVERAGEIFS(
'New LF Efficacy'!$J:$J,
'New LF Efficacy'!$D:$D,$A211,
'New LF Efficacy'!$F:$F,"Albendazole &amp; Ivermectin", 
'New LF Efficacy'!$W:$W,"&lt;2016",
'New LF Efficacy'!$AA:$AA,""),"")</f>
        <v/>
      </c>
      <c r="AS211" s="582">
        <f t="shared" si="14"/>
        <v>0.7575</v>
      </c>
      <c r="AT211" s="583" t="str">
        <f>IFERROR(AVERAGEIFS(
'Schist Efficacy'!$O:$O, 
'Schist Efficacy'!$C:$C,$A211, 
'Schist Efficacy'!$D:$D, "Praziquantel",
'Schist Efficacy'!$J:$J,"&lt;2016",
'Schist Efficacy'!$U:$U,""),
"")</f>
        <v/>
      </c>
      <c r="AU211" s="572">
        <f t="shared" si="15"/>
        <v>0.7914761905</v>
      </c>
      <c r="AV211" s="131" t="str">
        <f>IFERROR(AVERAGEIFS(
'STH Efficacy'!$AX:$AX, 
'STH Efficacy'!$AL:$AL, $A211, 
'STH Efficacy'!$AM:$AM, "Albendazole",
'STH Efficacy'!$AS:$AS,"&lt;2016",
'STH Efficacy'!$BP:$BP,""),
"")</f>
        <v/>
      </c>
      <c r="AW211" s="132">
        <f t="shared" si="16"/>
        <v>0.3945</v>
      </c>
      <c r="AX211" s="131" t="str">
        <f>IFERROR(AVERAGEIFS(
'STH Efficacy'!$AX:$AX, 
'STH Efficacy'!$AL:$AL, $A211, 
'STH Efficacy'!$AM:$AM, "Mebendazole",
'STH Efficacy'!$AS:$AS,"&lt;2016",
'STH Efficacy'!$BP:$BP,""),
"")</f>
        <v/>
      </c>
      <c r="AY211" s="132">
        <f t="shared" si="17"/>
        <v>0.6</v>
      </c>
      <c r="AZ211" s="131" t="str">
        <f>IFERROR(AVERAGEIFS(
'STH Efficacy'!$AX:$AX, 
'STH Efficacy'!$AL:$AL, $A211, 
'STH Efficacy'!$AM:$AM, "Albendazole &amp; Ivermectin",
'STH Efficacy'!$AS:$AS,"&lt;2016",
'STH Efficacy'!$BP:$BP,""),
"")</f>
        <v/>
      </c>
      <c r="BA211" s="303">
        <f t="shared" si="18"/>
        <v>0.796</v>
      </c>
      <c r="BB211" s="584" t="str">
        <f>IFERROR(AVERAGEIFS(
'STH Efficacy'!$N:$N, 
'STH Efficacy'!$B:$B, $A211, 
'STH Efficacy'!$C:$C, "Albendazole",
'STH Efficacy'!$I:$I,"&lt;2016",
'STH Efficacy'!$AH:$AH,""),
"")</f>
        <v/>
      </c>
      <c r="BC211" s="579">
        <f t="shared" si="19"/>
        <v>0.869</v>
      </c>
      <c r="BD211" s="584" t="str">
        <f>IFERROR(AVERAGEIFS(
'STH Efficacy'!$N:$N, 
'STH Efficacy'!$B:$B, $A211, 
'STH Efficacy'!$C:$C, "Mebendazole",
'STH Efficacy'!$I:$I,"&lt;2016",
'STH Efficacy'!$AH:$AH,""),
"")</f>
        <v/>
      </c>
      <c r="BE211" s="579">
        <f t="shared" si="20"/>
        <v>0.172</v>
      </c>
      <c r="BF211" s="585" t="str">
        <f>IFERROR(AVERAGEIFS(
'STH Efficacy'!$CD:$CD, 
'STH Efficacy'!$BS:$BS, $A211, 
'STH Efficacy'!$BT:$BT, "Albendazole",
'STH Efficacy'!$BZ:$BZ,"&lt;2016",
'STH Efficacy'!$CU:$CU,""),
"")</f>
        <v/>
      </c>
      <c r="BG211" s="580">
        <f t="shared" si="21"/>
        <v>0.9862</v>
      </c>
      <c r="BH211" s="585" t="str">
        <f>IFERROR(AVERAGEIFS(
'STH Efficacy'!$CD:$CD, 
'STH Efficacy'!$BS:$BS, $A211, 
'STH Efficacy'!$BT:$BT, "Mebendazole",
'STH Efficacy'!$BZ:$BZ,"&lt;2016",
'STH Efficacy'!$CU:$CU,""),
"")</f>
        <v/>
      </c>
      <c r="BI211" s="580">
        <f t="shared" si="22"/>
        <v>0.769</v>
      </c>
      <c r="BJ211" s="585" t="str">
        <f>IFERROR(AVERAGEIFS(
'STH Efficacy'!$CD:$CD, 
'STH Efficacy'!$BS:$BS, $A211, 
'STH Efficacy'!$BT:$BT, "Albendazole &amp; Ivermectin",
'STH Efficacy'!$BZ:$BZ,"&lt;2016",
'STH Efficacy'!$CU:$CU,""),
"")</f>
        <v/>
      </c>
      <c r="BK211" s="580">
        <f t="shared" si="23"/>
        <v>1</v>
      </c>
      <c r="BL211" s="575" t="str">
        <f>IFERROR(
  AVERAGEIFS(
    'NEW Onchocerciasis Efficacy'!$AO:$AO,
    'NEW Onchocerciasis Efficacy'!$C:$C,$A211,
    'NEW Onchocerciasis Efficacy'!$D:$D,"Ivermectin",
    'NEW Onchocerciasis Efficacy'!$AR:$AR,"&lt;2016",
    'NEW Onchocerciasis Efficacy'!$BG:$BG,"")
,"")</f>
        <v/>
      </c>
      <c r="BM211" s="586">
        <f t="shared" si="24"/>
        <v>0.3734</v>
      </c>
      <c r="BN211" s="587">
        <v>0.0</v>
      </c>
      <c r="BO211" s="588">
        <v>0.0</v>
      </c>
      <c r="BP211" s="589">
        <v>0.0</v>
      </c>
      <c r="BQ211" s="590">
        <f t="shared" si="25"/>
        <v>0</v>
      </c>
      <c r="BR211" s="560" t="str">
        <f t="shared" si="26"/>
        <v>0000</v>
      </c>
      <c r="BS211" s="560" t="str">
        <f t="shared" si="27"/>
        <v>no action required</v>
      </c>
      <c r="BT211" s="361" t="str">
        <f t="shared" si="44"/>
        <v/>
      </c>
      <c r="BU211" s="591" t="str">
        <f t="shared" si="29"/>
        <v/>
      </c>
      <c r="BV211" s="560" t="str">
        <f t="shared" si="30"/>
        <v>none</v>
      </c>
      <c r="BW211" s="150" t="str">
        <f t="shared" si="31"/>
        <v/>
      </c>
      <c r="BX211" s="150" t="str">
        <f t="shared" si="32"/>
        <v/>
      </c>
      <c r="BY211" s="151" t="str">
        <f t="shared" si="33"/>
        <v/>
      </c>
      <c r="BZ211" s="152" t="str">
        <f t="shared" si="34"/>
        <v/>
      </c>
      <c r="CA211" s="152" t="str">
        <f t="shared" si="35"/>
        <v/>
      </c>
      <c r="CB211" s="152" t="str">
        <f t="shared" si="36"/>
        <v/>
      </c>
      <c r="CC211" s="153" t="str">
        <f t="shared" si="37"/>
        <v/>
      </c>
      <c r="CD211" s="153" t="str">
        <f t="shared" si="38"/>
        <v/>
      </c>
      <c r="CE211" s="154" t="str">
        <f t="shared" si="39"/>
        <v/>
      </c>
      <c r="CF211" s="154" t="str">
        <f t="shared" si="40"/>
        <v/>
      </c>
      <c r="CG211" s="154" t="str">
        <f t="shared" si="41"/>
        <v/>
      </c>
      <c r="CH211" s="308" t="str">
        <f t="shared" si="42"/>
        <v/>
      </c>
    </row>
    <row r="212">
      <c r="A212" s="599" t="s">
        <v>301</v>
      </c>
      <c r="B212" s="560" t="s">
        <v>90</v>
      </c>
      <c r="C212" s="635">
        <v>3.12989E7</v>
      </c>
      <c r="D212" s="562">
        <v>0.0</v>
      </c>
      <c r="E212" s="563">
        <v>0.0</v>
      </c>
      <c r="F212" s="564">
        <v>0.0</v>
      </c>
      <c r="G212" s="564">
        <v>0.0</v>
      </c>
      <c r="H212" s="564">
        <v>1.96E-6</v>
      </c>
      <c r="I212" s="565">
        <v>45.58961304</v>
      </c>
      <c r="J212" s="630">
        <v>102.909582020762</v>
      </c>
      <c r="K212" s="630">
        <v>508.495685556339</v>
      </c>
      <c r="L212" s="567">
        <v>6.319268435</v>
      </c>
      <c r="M212" s="568">
        <v>2.6894444010549</v>
      </c>
      <c r="N212" s="568">
        <v>10.6489305805813</v>
      </c>
      <c r="O212" s="569">
        <v>0.0</v>
      </c>
      <c r="P212" s="570"/>
      <c r="Q212" s="150"/>
      <c r="R212" s="571"/>
      <c r="S212" s="116">
        <f t="shared" si="6"/>
        <v>0.6648642857</v>
      </c>
      <c r="T212" s="151"/>
      <c r="U212" s="572">
        <f t="shared" si="7"/>
        <v>0.53016</v>
      </c>
      <c r="V212" s="598"/>
      <c r="W212" s="574" t="b">
        <f t="shared" si="8"/>
        <v>0</v>
      </c>
      <c r="X212" s="598"/>
      <c r="Y212" s="574">
        <f t="shared" si="9"/>
        <v>0.631675</v>
      </c>
      <c r="Z212" s="308"/>
      <c r="AA212" s="308"/>
      <c r="AB212" s="575" t="str">
        <f t="shared" si="10"/>
        <v/>
      </c>
      <c r="AC212" s="576">
        <f t="shared" si="11"/>
        <v>0.7192241206</v>
      </c>
      <c r="AD212" s="577">
        <v>0.0</v>
      </c>
      <c r="AE212" s="572">
        <v>0.0</v>
      </c>
      <c r="AF212" s="578">
        <v>0.0</v>
      </c>
      <c r="AG212" s="132">
        <v>0.0</v>
      </c>
      <c r="AH212" s="132">
        <v>0.054922678</v>
      </c>
      <c r="AI212" s="579">
        <v>0.0066228173</v>
      </c>
      <c r="AJ212" s="579">
        <v>0.008233998078</v>
      </c>
      <c r="AK212" s="580">
        <v>0.03163274461</v>
      </c>
      <c r="AL212" s="580">
        <v>0.03743359772</v>
      </c>
      <c r="AM212" s="581">
        <v>0.0</v>
      </c>
      <c r="AN212" s="571" t="str">
        <f>IFERROR(
  AVERAGEIFS(
    'New LF Efficacy'!$J:$J,
    'New LF Efficacy'!$D:$D, $A212,
    'New LF Efficacy'!$F:$F,"DEC", 
    'New LF Efficacy'!$W:$W,"&lt;2016",
    'New LF Efficacy'!$AA:$AA,""),
  ""
)</f>
        <v/>
      </c>
      <c r="AO212" s="582">
        <f t="shared" si="12"/>
        <v>0.3573520833</v>
      </c>
      <c r="AP212" s="571" t="str">
        <f>IFERROR(
AVERAGEIFS(
'New LF Efficacy'!$J:$J,
'New LF Efficacy'!$D:$D,$A212,
'New LF Efficacy'!$F:$F,"Albendazole &amp; DEC",
'New LF Efficacy'!$W:$W,"&lt;2016",
'New LF Efficacy'!$AA:$AA,""),
"")</f>
        <v/>
      </c>
      <c r="AQ212" s="582">
        <f t="shared" si="13"/>
        <v>0.5143541667</v>
      </c>
      <c r="AR212" s="571" t="str">
        <f>IFERROR(
AVERAGEIFS(
'New LF Efficacy'!$J:$J,
'New LF Efficacy'!$D:$D,$A212,
'New LF Efficacy'!$F:$F,"Albendazole &amp; Ivermectin", 
'New LF Efficacy'!$W:$W,"&lt;2016",
'New LF Efficacy'!$AA:$AA,""),"")</f>
        <v/>
      </c>
      <c r="AS212" s="582">
        <f t="shared" si="14"/>
        <v>0.37153125</v>
      </c>
      <c r="AT212" s="583" t="str">
        <f>IFERROR(AVERAGEIFS(
'Schist Efficacy'!$O:$O, 
'Schist Efficacy'!$C:$C,$A212, 
'Schist Efficacy'!$D:$D, "Praziquantel",
'Schist Efficacy'!$J:$J,"&lt;2016",
'Schist Efficacy'!$U:$U,""),
"")</f>
        <v/>
      </c>
      <c r="AU212" s="572">
        <f t="shared" si="15"/>
        <v>0.655</v>
      </c>
      <c r="AV212" s="131" t="str">
        <f>IFERROR(AVERAGEIFS(
'STH Efficacy'!$AX:$AX, 
'STH Efficacy'!$AL:$AL, $A212, 
'STH Efficacy'!$AM:$AM, "Albendazole",
'STH Efficacy'!$AS:$AS,"&lt;2016",
'STH Efficacy'!$BP:$BP,""),
"")</f>
        <v/>
      </c>
      <c r="AW212" s="132">
        <f t="shared" si="16"/>
        <v>0.4143846154</v>
      </c>
      <c r="AX212" s="131" t="str">
        <f>IFERROR(AVERAGEIFS(
'STH Efficacy'!$AX:$AX, 
'STH Efficacy'!$AL:$AL, $A212, 
'STH Efficacy'!$AM:$AM, "Mebendazole",
'STH Efficacy'!$AS:$AS,"&lt;2016",
'STH Efficacy'!$BP:$BP,""),
"")</f>
        <v/>
      </c>
      <c r="AY212" s="132">
        <f t="shared" si="17"/>
        <v>0.4691770833</v>
      </c>
      <c r="AZ212" s="131" t="str">
        <f>IFERROR(AVERAGEIFS(
'STH Efficacy'!$AX:$AX, 
'STH Efficacy'!$AL:$AL, $A212, 
'STH Efficacy'!$AM:$AM, "Albendazole &amp; Ivermectin",
'STH Efficacy'!$AS:$AS,"&lt;2016",
'STH Efficacy'!$BP:$BP,""),
"")</f>
        <v/>
      </c>
      <c r="BA212" s="303">
        <f t="shared" si="18"/>
        <v>0.597625</v>
      </c>
      <c r="BB212" s="584" t="str">
        <f>IFERROR(AVERAGEIFS(
'STH Efficacy'!$N:$N, 
'STH Efficacy'!$B:$B, $A212, 
'STH Efficacy'!$C:$C, "Albendazole",
'STH Efficacy'!$I:$I,"&lt;2016",
'STH Efficacy'!$AH:$AH,""),
"")</f>
        <v/>
      </c>
      <c r="BC212" s="579">
        <f t="shared" si="19"/>
        <v>0.7613712121</v>
      </c>
      <c r="BD212" s="584" t="str">
        <f>IFERROR(AVERAGEIFS(
'STH Efficacy'!$N:$N, 
'STH Efficacy'!$B:$B, $A212, 
'STH Efficacy'!$C:$C, "Mebendazole",
'STH Efficacy'!$I:$I,"&lt;2016",
'STH Efficacy'!$AH:$AH,""),
"")</f>
        <v/>
      </c>
      <c r="BE212" s="579">
        <f t="shared" si="20"/>
        <v>0.4362466667</v>
      </c>
      <c r="BF212" s="585" t="str">
        <f>IFERROR(AVERAGEIFS(
'STH Efficacy'!$CD:$CD, 
'STH Efficacy'!$BS:$BS, $A212, 
'STH Efficacy'!$BT:$BT, "Albendazole",
'STH Efficacy'!$BZ:$BZ,"&lt;2016",
'STH Efficacy'!$CU:$CU,""),
"")</f>
        <v/>
      </c>
      <c r="BG212" s="580">
        <f t="shared" si="21"/>
        <v>0.9216027778</v>
      </c>
      <c r="BH212" s="585" t="str">
        <f>IFERROR(AVERAGEIFS(
'STH Efficacy'!$CD:$CD, 
'STH Efficacy'!$BS:$BS, $A212, 
'STH Efficacy'!$BT:$BT, "Mebendazole",
'STH Efficacy'!$BZ:$BZ,"&lt;2016",
'STH Efficacy'!$CU:$CU,""),
"")</f>
        <v/>
      </c>
      <c r="BI212" s="580">
        <f t="shared" si="22"/>
        <v>0.8866041667</v>
      </c>
      <c r="BJ212" s="585" t="str">
        <f>IFERROR(AVERAGEIFS(
'STH Efficacy'!$CD:$CD, 
'STH Efficacy'!$BS:$BS, $A212, 
'STH Efficacy'!$BT:$BT, "Albendazole &amp; Ivermectin",
'STH Efficacy'!$BZ:$BZ,"&lt;2016",
'STH Efficacy'!$CU:$CU,""),
"")</f>
        <v/>
      </c>
      <c r="BK212" s="580">
        <f t="shared" si="23"/>
        <v>0.848</v>
      </c>
      <c r="BL212" s="575" t="str">
        <f>IFERROR(
  AVERAGEIFS(
    'NEW Onchocerciasis Efficacy'!$AO:$AO,
    'NEW Onchocerciasis Efficacy'!$C:$C,$A212,
    'NEW Onchocerciasis Efficacy'!$D:$D,"Ivermectin",
    'NEW Onchocerciasis Efficacy'!$AR:$AR,"&lt;2016",
    'NEW Onchocerciasis Efficacy'!$BG:$BG,"")
,"")</f>
        <v/>
      </c>
      <c r="BM212" s="586">
        <f t="shared" si="24"/>
        <v>0.7808368939</v>
      </c>
      <c r="BN212" s="587">
        <v>0.0</v>
      </c>
      <c r="BO212" s="588">
        <v>1.0</v>
      </c>
      <c r="BP212" s="589">
        <v>1.0</v>
      </c>
      <c r="BQ212" s="590">
        <f t="shared" si="25"/>
        <v>0</v>
      </c>
      <c r="BR212" s="560" t="str">
        <f t="shared" si="26"/>
        <v>0110</v>
      </c>
      <c r="BS212" s="560" t="str">
        <f t="shared" si="27"/>
        <v>MDA3+T2</v>
      </c>
      <c r="BT212" s="606" t="str">
        <f t="shared" si="44"/>
        <v>IVM</v>
      </c>
      <c r="BU212" s="560" t="str">
        <f t="shared" si="29"/>
        <v>PZQ</v>
      </c>
      <c r="BV212" s="560" t="str">
        <f t="shared" si="30"/>
        <v>onch+schist</v>
      </c>
      <c r="BW212" s="150" t="str">
        <f t="shared" si="31"/>
        <v/>
      </c>
      <c r="BX212" s="150" t="str">
        <f t="shared" si="32"/>
        <v/>
      </c>
      <c r="BY212" s="608">
        <f t="shared" si="33"/>
        <v>0</v>
      </c>
      <c r="BZ212" s="152" t="str">
        <f t="shared" si="34"/>
        <v/>
      </c>
      <c r="CA212" s="152" t="str">
        <f t="shared" si="35"/>
        <v/>
      </c>
      <c r="CB212" s="152" t="str">
        <f t="shared" si="36"/>
        <v/>
      </c>
      <c r="CC212" s="153" t="str">
        <f t="shared" si="37"/>
        <v/>
      </c>
      <c r="CD212" s="153" t="str">
        <f t="shared" si="38"/>
        <v/>
      </c>
      <c r="CE212" s="154" t="str">
        <f t="shared" si="39"/>
        <v/>
      </c>
      <c r="CF212" s="154" t="str">
        <f t="shared" si="40"/>
        <v/>
      </c>
      <c r="CG212" s="154" t="str">
        <f t="shared" si="41"/>
        <v/>
      </c>
      <c r="CH212" s="637">
        <f t="shared" si="42"/>
        <v>0</v>
      </c>
    </row>
    <row r="213">
      <c r="A213" s="559" t="s">
        <v>302</v>
      </c>
      <c r="B213" s="560" t="s">
        <v>94</v>
      </c>
      <c r="C213" s="635">
        <v>264603.0</v>
      </c>
      <c r="D213" s="562">
        <v>0.0</v>
      </c>
      <c r="E213" s="563">
        <v>0.0</v>
      </c>
      <c r="F213" s="564">
        <v>0.921960808</v>
      </c>
      <c r="G213" s="564">
        <v>5.488144915</v>
      </c>
      <c r="H213" s="564">
        <v>20.4467916</v>
      </c>
      <c r="I213" s="565">
        <v>5.842143837</v>
      </c>
      <c r="J213" s="630">
        <v>21.6401436414134</v>
      </c>
      <c r="K213" s="630">
        <v>91.8934138569792</v>
      </c>
      <c r="L213" s="567">
        <v>21.24799366</v>
      </c>
      <c r="M213" s="568">
        <v>32.5538007156553</v>
      </c>
      <c r="N213" s="568">
        <v>94.0409631280697</v>
      </c>
      <c r="O213" s="569">
        <v>0.0</v>
      </c>
      <c r="P213" s="570"/>
      <c r="Q213" s="150"/>
      <c r="R213" s="571"/>
      <c r="S213" s="116">
        <f t="shared" si="6"/>
        <v>0.5322777778</v>
      </c>
      <c r="T213" s="151"/>
      <c r="U213" s="572">
        <f t="shared" si="7"/>
        <v>0.7834666667</v>
      </c>
      <c r="V213" s="573">
        <v>0.2525</v>
      </c>
      <c r="W213" s="574">
        <f t="shared" si="8"/>
        <v>0.2525</v>
      </c>
      <c r="X213" s="573">
        <v>0.358</v>
      </c>
      <c r="Y213" s="574">
        <f t="shared" si="9"/>
        <v>0.358</v>
      </c>
      <c r="Z213" s="308"/>
      <c r="AA213" s="308"/>
      <c r="AB213" s="575" t="str">
        <f t="shared" si="10"/>
        <v/>
      </c>
      <c r="AC213" s="576">
        <f t="shared" si="11"/>
        <v>0.7192241206</v>
      </c>
      <c r="AD213" s="577">
        <v>0.0</v>
      </c>
      <c r="AE213" s="572">
        <v>0.0</v>
      </c>
      <c r="AF213" s="578">
        <v>0.0</v>
      </c>
      <c r="AG213" s="133">
        <v>0.07133029918</v>
      </c>
      <c r="AH213" s="133">
        <v>0.233966525</v>
      </c>
      <c r="AI213" s="623">
        <v>0.05387194808</v>
      </c>
      <c r="AJ213" s="623">
        <v>0.06811054442</v>
      </c>
      <c r="AK213" s="624">
        <v>0.2008504755</v>
      </c>
      <c r="AL213" s="624">
        <v>0.2418099485</v>
      </c>
      <c r="AM213" s="581">
        <v>0.0</v>
      </c>
      <c r="AN213" s="571" t="str">
        <f>IFERROR(
  AVERAGEIFS(
    'New LF Efficacy'!$J:$J,
    'New LF Efficacy'!$D:$D, $A213,
    'New LF Efficacy'!$F:$F,"DEC", 
    'New LF Efficacy'!$W:$W,"&lt;2016",
    'New LF Efficacy'!$AA:$AA,""),
  ""
)</f>
        <v/>
      </c>
      <c r="AO213" s="582">
        <f t="shared" si="12"/>
        <v>0.38</v>
      </c>
      <c r="AP213" s="571" t="str">
        <f>IFERROR(
AVERAGEIFS(
'New LF Efficacy'!$J:$J,
'New LF Efficacy'!$D:$D,$A213,
'New LF Efficacy'!$F:$F,"Albendazole &amp; DEC",
'New LF Efficacy'!$W:$W,"&lt;2016",
'New LF Efficacy'!$AA:$AA,""),
"")</f>
        <v/>
      </c>
      <c r="AQ213" s="582">
        <f t="shared" si="13"/>
        <v>0.662</v>
      </c>
      <c r="AR213" s="571" t="str">
        <f>IFERROR(
AVERAGEIFS(
'New LF Efficacy'!$J:$J,
'New LF Efficacy'!$D:$D,$A213,
'New LF Efficacy'!$F:$F,"Albendazole &amp; Ivermectin", 
'New LF Efficacy'!$W:$W,"&lt;2016",
'New LF Efficacy'!$AA:$AA,""),"")</f>
        <v/>
      </c>
      <c r="AS213" s="582">
        <f t="shared" si="14"/>
        <v>0.37153125</v>
      </c>
      <c r="AT213" s="583" t="str">
        <f>IFERROR(AVERAGEIFS(
'Schist Efficacy'!$O:$O, 
'Schist Efficacy'!$C:$C,$A213, 
'Schist Efficacy'!$D:$D, "Praziquantel",
'Schist Efficacy'!$J:$J,"&lt;2016",
'Schist Efficacy'!$U:$U,""),
"")</f>
        <v/>
      </c>
      <c r="AU213" s="572">
        <f t="shared" si="15"/>
        <v>0.9475</v>
      </c>
      <c r="AV213" s="131" t="str">
        <f>IFERROR(AVERAGEIFS(
'STH Efficacy'!$AX:$AX, 
'STH Efficacy'!$AL:$AL, $A213, 
'STH Efficacy'!$AM:$AM, "Albendazole",
'STH Efficacy'!$AS:$AS,"&lt;2016",
'STH Efficacy'!$BP:$BP,""),
"")</f>
        <v/>
      </c>
      <c r="AW213" s="132">
        <f t="shared" si="16"/>
        <v>0.3571666667</v>
      </c>
      <c r="AX213" s="131" t="str">
        <f>IFERROR(AVERAGEIFS(
'STH Efficacy'!$AX:$AX, 
'STH Efficacy'!$AL:$AL, $A213, 
'STH Efficacy'!$AM:$AM, "Mebendazole",
'STH Efficacy'!$AS:$AS,"&lt;2016",
'STH Efficacy'!$BP:$BP,""),
"")</f>
        <v/>
      </c>
      <c r="AY213" s="132">
        <f t="shared" si="17"/>
        <v>0.4155</v>
      </c>
      <c r="AZ213" s="131" t="str">
        <f>IFERROR(AVERAGEIFS(
'STH Efficacy'!$AX:$AX, 
'STH Efficacy'!$AL:$AL, $A213, 
'STH Efficacy'!$AM:$AM, "Albendazole &amp; Ivermectin",
'STH Efficacy'!$AS:$AS,"&lt;2016",
'STH Efficacy'!$BP:$BP,""),
"")</f>
        <v/>
      </c>
      <c r="BA213" s="303">
        <f t="shared" si="18"/>
        <v>0.651</v>
      </c>
      <c r="BB213" s="584" t="str">
        <f>IFERROR(AVERAGEIFS(
'STH Efficacy'!$N:$N, 
'STH Efficacy'!$B:$B, $A213, 
'STH Efficacy'!$C:$C, "Albendazole",
'STH Efficacy'!$I:$I,"&lt;2016",
'STH Efficacy'!$AH:$AH,""),
"")</f>
        <v/>
      </c>
      <c r="BC213" s="579">
        <f t="shared" si="19"/>
        <v>0.5769166667</v>
      </c>
      <c r="BD213" s="584" t="str">
        <f>IFERROR(AVERAGEIFS(
'STH Efficacy'!$N:$N, 
'STH Efficacy'!$B:$B, $A213, 
'STH Efficacy'!$C:$C, "Mebendazole",
'STH Efficacy'!$I:$I,"&lt;2016",
'STH Efficacy'!$AH:$AH,""),
"")</f>
        <v/>
      </c>
      <c r="BE213" s="579">
        <f t="shared" si="20"/>
        <v>0.3145</v>
      </c>
      <c r="BF213" s="585" t="str">
        <f>IFERROR(AVERAGEIFS(
'STH Efficacy'!$CD:$CD, 
'STH Efficacy'!$BS:$BS, $A213, 
'STH Efficacy'!$BT:$BT, "Albendazole",
'STH Efficacy'!$BZ:$BZ,"&lt;2016",
'STH Efficacy'!$CU:$CU,""),
"")</f>
        <v/>
      </c>
      <c r="BG213" s="580">
        <f t="shared" si="21"/>
        <v>0.96925</v>
      </c>
      <c r="BH213" s="585" t="str">
        <f>IFERROR(AVERAGEIFS(
'STH Efficacy'!$CD:$CD, 
'STH Efficacy'!$BS:$BS, $A213, 
'STH Efficacy'!$BT:$BT, "Mebendazole",
'STH Efficacy'!$BZ:$BZ,"&lt;2016",
'STH Efficacy'!$CU:$CU,""),
"")</f>
        <v/>
      </c>
      <c r="BI213" s="580">
        <f t="shared" si="22"/>
        <v>0.9305</v>
      </c>
      <c r="BJ213" s="585" t="str">
        <f>IFERROR(AVERAGEIFS(
'STH Efficacy'!$CD:$CD, 
'STH Efficacy'!$BS:$BS, $A213, 
'STH Efficacy'!$BT:$BT, "Albendazole &amp; Ivermectin",
'STH Efficacy'!$BZ:$BZ,"&lt;2016",
'STH Efficacy'!$CU:$CU,""),
"")</f>
        <v/>
      </c>
      <c r="BK213" s="580">
        <f t="shared" si="23"/>
        <v>0.848</v>
      </c>
      <c r="BL213" s="575" t="str">
        <f>IFERROR(
  AVERAGEIFS(
    'NEW Onchocerciasis Efficacy'!$AO:$AO,
    'NEW Onchocerciasis Efficacy'!$C:$C,$A213,
    'NEW Onchocerciasis Efficacy'!$D:$D,"Ivermectin",
    'NEW Onchocerciasis Efficacy'!$AR:$AR,"&lt;2016",
    'NEW Onchocerciasis Efficacy'!$BG:$BG,"")
,"")</f>
        <v/>
      </c>
      <c r="BM213" s="586">
        <f t="shared" si="24"/>
        <v>0.7808368939</v>
      </c>
      <c r="BN213" s="587">
        <v>0.0</v>
      </c>
      <c r="BO213" s="588">
        <v>0.0</v>
      </c>
      <c r="BP213" s="589">
        <v>0.0</v>
      </c>
      <c r="BQ213" s="590">
        <f t="shared" si="25"/>
        <v>0</v>
      </c>
      <c r="BR213" s="560" t="str">
        <f t="shared" si="26"/>
        <v>0000</v>
      </c>
      <c r="BS213" s="560" t="str">
        <f t="shared" si="27"/>
        <v>no action required</v>
      </c>
      <c r="BT213" s="361" t="str">
        <f t="shared" si="44"/>
        <v/>
      </c>
      <c r="BU213" s="591" t="str">
        <f t="shared" si="29"/>
        <v/>
      </c>
      <c r="BV213" s="560" t="str">
        <f t="shared" si="30"/>
        <v>none</v>
      </c>
      <c r="BW213" s="150" t="str">
        <f t="shared" si="31"/>
        <v/>
      </c>
      <c r="BX213" s="150" t="str">
        <f t="shared" si="32"/>
        <v/>
      </c>
      <c r="BY213" s="151" t="str">
        <f t="shared" si="33"/>
        <v/>
      </c>
      <c r="BZ213" s="152" t="str">
        <f t="shared" si="34"/>
        <v/>
      </c>
      <c r="CA213" s="152" t="str">
        <f t="shared" si="35"/>
        <v/>
      </c>
      <c r="CB213" s="152" t="str">
        <f t="shared" si="36"/>
        <v/>
      </c>
      <c r="CC213" s="153" t="str">
        <f t="shared" si="37"/>
        <v/>
      </c>
      <c r="CD213" s="153" t="str">
        <f t="shared" si="38"/>
        <v/>
      </c>
      <c r="CE213" s="154" t="str">
        <f t="shared" si="39"/>
        <v/>
      </c>
      <c r="CF213" s="154" t="str">
        <f t="shared" si="40"/>
        <v/>
      </c>
      <c r="CG213" s="154" t="str">
        <f t="shared" si="41"/>
        <v/>
      </c>
      <c r="CH213" s="308" t="str">
        <f t="shared" si="42"/>
        <v/>
      </c>
    </row>
    <row r="214">
      <c r="A214" s="599" t="s">
        <v>303</v>
      </c>
      <c r="B214" s="560" t="s">
        <v>98</v>
      </c>
      <c r="C214" s="635">
        <v>3.1155134E7</v>
      </c>
      <c r="D214" s="562">
        <v>0.0</v>
      </c>
      <c r="E214" s="563">
        <v>5180.59133013562</v>
      </c>
      <c r="F214" s="564">
        <v>236.3056591</v>
      </c>
      <c r="G214" s="564">
        <v>1333.455195</v>
      </c>
      <c r="H214" s="564">
        <v>9670.777589</v>
      </c>
      <c r="I214" s="565">
        <v>24.12769811</v>
      </c>
      <c r="J214" s="630">
        <v>108.38798244189</v>
      </c>
      <c r="K214" s="630">
        <v>762.694510785537</v>
      </c>
      <c r="L214" s="567">
        <v>958.7978158</v>
      </c>
      <c r="M214" s="568">
        <v>1600.94122397415</v>
      </c>
      <c r="N214" s="568">
        <v>7111.21897797086</v>
      </c>
      <c r="O214" s="569">
        <v>515.3</v>
      </c>
      <c r="P214" s="570"/>
      <c r="Q214" s="150"/>
      <c r="R214" s="571"/>
      <c r="S214" s="116">
        <f t="shared" si="6"/>
        <v>0.6451333333</v>
      </c>
      <c r="T214" s="620" t="s">
        <v>395</v>
      </c>
      <c r="U214" s="621" t="str">
        <f t="shared" si="7"/>
        <v> </v>
      </c>
      <c r="V214" s="598"/>
      <c r="W214" s="574">
        <f t="shared" si="8"/>
        <v>0.56882</v>
      </c>
      <c r="X214" s="598"/>
      <c r="Y214" s="574">
        <f t="shared" si="9"/>
        <v>0.5825818182</v>
      </c>
      <c r="Z214" s="604">
        <v>15086.0</v>
      </c>
      <c r="AA214" s="604">
        <v>11681.0</v>
      </c>
      <c r="AB214" s="576">
        <f t="shared" si="10"/>
        <v>0.7742940475</v>
      </c>
      <c r="AC214" s="576">
        <f t="shared" si="11"/>
        <v>0.7742940475</v>
      </c>
      <c r="AD214" s="577">
        <v>0.0</v>
      </c>
      <c r="AE214" s="572">
        <v>0.02312988341</v>
      </c>
      <c r="AF214" s="578">
        <v>3.478410938E-4</v>
      </c>
      <c r="AG214" s="133">
        <v>0.1231117991</v>
      </c>
      <c r="AH214" s="133">
        <v>0.386671205</v>
      </c>
      <c r="AI214" s="623">
        <v>0.007947976273</v>
      </c>
      <c r="AJ214" s="623">
        <v>0.009551117813</v>
      </c>
      <c r="AK214" s="624">
        <v>0.2318200615</v>
      </c>
      <c r="AL214" s="624">
        <v>0.2645349977</v>
      </c>
      <c r="AM214" s="581">
        <v>1.984438841E-4</v>
      </c>
      <c r="AN214" s="571" t="str">
        <f>IFERROR(
  AVERAGEIFS(
    'New LF Efficacy'!$J:$J,
    'New LF Efficacy'!$D:$D, $A214,
    'New LF Efficacy'!$F:$F,"DEC", 
    'New LF Efficacy'!$W:$W,"&lt;2016",
    'New LF Efficacy'!$AA:$AA,""),
  ""
)</f>
        <v/>
      </c>
      <c r="AO214" s="582">
        <f t="shared" si="12"/>
        <v>0.2589833333</v>
      </c>
      <c r="AP214" s="571" t="str">
        <f>IFERROR(
AVERAGEIFS(
'New LF Efficacy'!$J:$J,
'New LF Efficacy'!$D:$D,$A214,
'New LF Efficacy'!$F:$F,"Albendazole &amp; DEC",
'New LF Efficacy'!$W:$W,"&lt;2016",
'New LF Efficacy'!$AA:$AA,""),
"")</f>
        <v/>
      </c>
      <c r="AQ214" s="582">
        <f t="shared" si="13"/>
        <v>0.3465</v>
      </c>
      <c r="AR214" s="571" t="str">
        <f>IFERROR(
AVERAGEIFS(
'New LF Efficacy'!$J:$J,
'New LF Efficacy'!$D:$D,$A214,
'New LF Efficacy'!$F:$F,"Albendazole &amp; Ivermectin", 
'New LF Efficacy'!$W:$W,"&lt;2016",
'New LF Efficacy'!$AA:$AA,""),"")</f>
        <v/>
      </c>
      <c r="AS214" s="582">
        <f t="shared" si="14"/>
        <v>0.7575</v>
      </c>
      <c r="AT214" s="583" t="str">
        <f>IFERROR(AVERAGEIFS(
'Schist Efficacy'!$O:$O, 
'Schist Efficacy'!$C:$C,$A214, 
'Schist Efficacy'!$D:$D, "Praziquantel",
'Schist Efficacy'!$J:$J,"&lt;2016",
'Schist Efficacy'!$U:$U,""),
"")</f>
        <v/>
      </c>
      <c r="AU214" s="572">
        <f t="shared" si="15"/>
        <v>0.7914761905</v>
      </c>
      <c r="AV214" s="131" t="str">
        <f>IFERROR(AVERAGEIFS(
'STH Efficacy'!$AX:$AX, 
'STH Efficacy'!$AL:$AL, $A214, 
'STH Efficacy'!$AM:$AM, "Albendazole",
'STH Efficacy'!$AS:$AS,"&lt;2016",
'STH Efficacy'!$BP:$BP,""),
"")</f>
        <v/>
      </c>
      <c r="AW214" s="132">
        <f t="shared" si="16"/>
        <v>0.3945</v>
      </c>
      <c r="AX214" s="131" t="str">
        <f>IFERROR(AVERAGEIFS(
'STH Efficacy'!$AX:$AX, 
'STH Efficacy'!$AL:$AL, $A214, 
'STH Efficacy'!$AM:$AM, "Mebendazole",
'STH Efficacy'!$AS:$AS,"&lt;2016",
'STH Efficacy'!$BP:$BP,""),
"")</f>
        <v/>
      </c>
      <c r="AY214" s="132">
        <f t="shared" si="17"/>
        <v>0.6</v>
      </c>
      <c r="AZ214" s="131" t="str">
        <f>IFERROR(AVERAGEIFS(
'STH Efficacy'!$AX:$AX, 
'STH Efficacy'!$AL:$AL, $A214, 
'STH Efficacy'!$AM:$AM, "Albendazole &amp; Ivermectin",
'STH Efficacy'!$AS:$AS,"&lt;2016",
'STH Efficacy'!$BP:$BP,""),
"")</f>
        <v/>
      </c>
      <c r="BA214" s="303">
        <f t="shared" si="18"/>
        <v>0.796</v>
      </c>
      <c r="BB214" s="584" t="str">
        <f>IFERROR(AVERAGEIFS(
'STH Efficacy'!$N:$N, 
'STH Efficacy'!$B:$B, $A214, 
'STH Efficacy'!$C:$C, "Albendazole",
'STH Efficacy'!$I:$I,"&lt;2016",
'STH Efficacy'!$AH:$AH,""),
"")</f>
        <v/>
      </c>
      <c r="BC214" s="579">
        <f t="shared" si="19"/>
        <v>0.869</v>
      </c>
      <c r="BD214" s="584" t="str">
        <f>IFERROR(AVERAGEIFS(
'STH Efficacy'!$N:$N, 
'STH Efficacy'!$B:$B, $A214, 
'STH Efficacy'!$C:$C, "Mebendazole",
'STH Efficacy'!$I:$I,"&lt;2016",
'STH Efficacy'!$AH:$AH,""),
"")</f>
        <v/>
      </c>
      <c r="BE214" s="579">
        <f t="shared" si="20"/>
        <v>0.172</v>
      </c>
      <c r="BF214" s="585" t="str">
        <f>IFERROR(AVERAGEIFS(
'STH Efficacy'!$CD:$CD, 
'STH Efficacy'!$BS:$BS, $A214, 
'STH Efficacy'!$BT:$BT, "Albendazole",
'STH Efficacy'!$BZ:$BZ,"&lt;2016",
'STH Efficacy'!$CU:$CU,""),
"")</f>
        <v/>
      </c>
      <c r="BG214" s="580">
        <f t="shared" si="21"/>
        <v>0.9862</v>
      </c>
      <c r="BH214" s="585" t="str">
        <f>IFERROR(AVERAGEIFS(
'STH Efficacy'!$CD:$CD, 
'STH Efficacy'!$BS:$BS, $A214, 
'STH Efficacy'!$BT:$BT, "Mebendazole",
'STH Efficacy'!$BZ:$BZ,"&lt;2016",
'STH Efficacy'!$CU:$CU,""),
"")</f>
        <v/>
      </c>
      <c r="BI214" s="580">
        <f t="shared" si="22"/>
        <v>0.769</v>
      </c>
      <c r="BJ214" s="585" t="str">
        <f>IFERROR(AVERAGEIFS(
'STH Efficacy'!$CD:$CD, 
'STH Efficacy'!$BS:$BS, $A214, 
'STH Efficacy'!$BT:$BT, "Albendazole &amp; Ivermectin",
'STH Efficacy'!$BZ:$BZ,"&lt;2016",
'STH Efficacy'!$CU:$CU,""),
"")</f>
        <v/>
      </c>
      <c r="BK214" s="580">
        <f t="shared" si="23"/>
        <v>1</v>
      </c>
      <c r="BL214" s="575" t="str">
        <f>IFERROR(
  AVERAGEIFS(
    'NEW Onchocerciasis Efficacy'!$AO:$AO,
    'NEW Onchocerciasis Efficacy'!$C:$C,$A214,
    'NEW Onchocerciasis Efficacy'!$D:$D,"Ivermectin",
    'NEW Onchocerciasis Efficacy'!$AR:$AR,"&lt;2016",
    'NEW Onchocerciasis Efficacy'!$BG:$BG,"")
,"")</f>
        <v/>
      </c>
      <c r="BM214" s="586">
        <f t="shared" si="24"/>
        <v>0.3734</v>
      </c>
      <c r="BN214" s="587">
        <v>0.0</v>
      </c>
      <c r="BO214" s="588">
        <v>0.0</v>
      </c>
      <c r="BP214" s="589">
        <v>1.0</v>
      </c>
      <c r="BQ214" s="590">
        <f t="shared" si="25"/>
        <v>1</v>
      </c>
      <c r="BR214" s="560" t="str">
        <f t="shared" si="26"/>
        <v>0011</v>
      </c>
      <c r="BS214" s="560" t="str">
        <f t="shared" si="27"/>
        <v>T1</v>
      </c>
      <c r="BT214" s="606" t="str">
        <f t="shared" si="44"/>
        <v>ALB+PZQ or MBD+PZQ</v>
      </c>
      <c r="BU214" s="591" t="str">
        <f t="shared" si="29"/>
        <v/>
      </c>
      <c r="BV214" s="560" t="str">
        <f t="shared" si="30"/>
        <v>schist+sth</v>
      </c>
      <c r="BW214" s="150" t="str">
        <f t="shared" si="31"/>
        <v/>
      </c>
      <c r="BX214" s="150" t="str">
        <f t="shared" si="32"/>
        <v/>
      </c>
      <c r="BY214" s="151" t="str">
        <f t="shared" si="33"/>
        <v/>
      </c>
      <c r="BZ214" s="615">
        <f t="shared" si="34"/>
        <v>466.2880268</v>
      </c>
      <c r="CA214" s="615">
        <f t="shared" si="35"/>
        <v>839.0276863</v>
      </c>
      <c r="CB214" s="152" t="str">
        <f t="shared" si="36"/>
        <v/>
      </c>
      <c r="CC214" s="616">
        <f t="shared" si="37"/>
        <v>134.722248</v>
      </c>
      <c r="CD214" s="616">
        <f t="shared" si="38"/>
        <v>14.68700392</v>
      </c>
      <c r="CE214" s="617">
        <f t="shared" si="39"/>
        <v>3387.029984</v>
      </c>
      <c r="CF214" s="617">
        <f t="shared" si="40"/>
        <v>2044.840147</v>
      </c>
      <c r="CG214" s="154" t="str">
        <f t="shared" si="41"/>
        <v/>
      </c>
      <c r="CH214" s="308" t="str">
        <f t="shared" si="42"/>
        <v/>
      </c>
    </row>
    <row r="215">
      <c r="A215" s="559" t="s">
        <v>304</v>
      </c>
      <c r="B215" s="560" t="s">
        <v>94</v>
      </c>
      <c r="C215" s="635">
        <v>9.17133E7</v>
      </c>
      <c r="D215" s="562">
        <v>0.0</v>
      </c>
      <c r="E215" s="563">
        <v>0.0</v>
      </c>
      <c r="F215" s="564">
        <v>262.4794845</v>
      </c>
      <c r="G215" s="564">
        <v>44.89303398</v>
      </c>
      <c r="H215" s="564">
        <v>14823.45712</v>
      </c>
      <c r="I215" s="565">
        <v>163.5110964</v>
      </c>
      <c r="J215" s="630">
        <v>250.855240249488</v>
      </c>
      <c r="K215" s="630">
        <v>4311.56348128747</v>
      </c>
      <c r="L215" s="567">
        <v>2957.443538</v>
      </c>
      <c r="M215" s="568">
        <v>714.931823143305</v>
      </c>
      <c r="N215" s="568">
        <v>40067.0006126339</v>
      </c>
      <c r="O215" s="569">
        <v>0.0</v>
      </c>
      <c r="P215" s="600">
        <v>1795187.65294</v>
      </c>
      <c r="Q215" s="150" t="s">
        <v>395</v>
      </c>
      <c r="R215" s="150" t="s">
        <v>395</v>
      </c>
      <c r="S215" s="116" t="str">
        <f t="shared" si="6"/>
        <v> </v>
      </c>
      <c r="T215" s="151"/>
      <c r="U215" s="572">
        <f t="shared" si="7"/>
        <v>0.7834666667</v>
      </c>
      <c r="V215" s="573">
        <v>0.8086</v>
      </c>
      <c r="W215" s="574">
        <f t="shared" si="8"/>
        <v>0.8086</v>
      </c>
      <c r="X215" s="573">
        <v>0.9114</v>
      </c>
      <c r="Y215" s="574">
        <f t="shared" si="9"/>
        <v>0.9114</v>
      </c>
      <c r="Z215" s="308"/>
      <c r="AA215" s="308"/>
      <c r="AB215" s="575" t="str">
        <f t="shared" si="10"/>
        <v/>
      </c>
      <c r="AC215" s="576">
        <f t="shared" si="11"/>
        <v>0.7192241206</v>
      </c>
      <c r="AD215" s="577">
        <v>0.01923948237</v>
      </c>
      <c r="AE215" s="572">
        <v>0.0</v>
      </c>
      <c r="AF215" s="578">
        <v>0.0</v>
      </c>
      <c r="AG215" s="133">
        <v>0.0520708888</v>
      </c>
      <c r="AH215" s="133">
        <v>0.169327472</v>
      </c>
      <c r="AI215" s="623">
        <v>0.007982551408</v>
      </c>
      <c r="AJ215" s="623">
        <v>0.009976076056</v>
      </c>
      <c r="AK215" s="624">
        <v>0.1970342395</v>
      </c>
      <c r="AL215" s="624">
        <v>0.2341655932</v>
      </c>
      <c r="AM215" s="581">
        <v>0.0</v>
      </c>
      <c r="AN215" s="571" t="str">
        <f>IFERROR(
  AVERAGEIFS(
    'New LF Efficacy'!$J:$J,
    'New LF Efficacy'!$D:$D, $A215,
    'New LF Efficacy'!$F:$F,"DEC", 
    'New LF Efficacy'!$W:$W,"&lt;2016",
    'New LF Efficacy'!$AA:$AA,""),
  ""
)</f>
        <v/>
      </c>
      <c r="AO215" s="582">
        <f t="shared" si="12"/>
        <v>0.38</v>
      </c>
      <c r="AP215" s="571" t="str">
        <f>IFERROR(
AVERAGEIFS(
'New LF Efficacy'!$J:$J,
'New LF Efficacy'!$D:$D,$A215,
'New LF Efficacy'!$F:$F,"Albendazole &amp; DEC",
'New LF Efficacy'!$W:$W,"&lt;2016",
'New LF Efficacy'!$AA:$AA,""),
"")</f>
        <v/>
      </c>
      <c r="AQ215" s="582">
        <f t="shared" si="13"/>
        <v>0.662</v>
      </c>
      <c r="AR215" s="571" t="str">
        <f>IFERROR(
AVERAGEIFS(
'New LF Efficacy'!$J:$J,
'New LF Efficacy'!$D:$D,$A215,
'New LF Efficacy'!$F:$F,"Albendazole &amp; Ivermectin", 
'New LF Efficacy'!$W:$W,"&lt;2016",
'New LF Efficacy'!$AA:$AA,""),"")</f>
        <v/>
      </c>
      <c r="AS215" s="582">
        <f t="shared" si="14"/>
        <v>0.37153125</v>
      </c>
      <c r="AT215" s="583" t="str">
        <f>IFERROR(AVERAGEIFS(
'Schist Efficacy'!$O:$O, 
'Schist Efficacy'!$C:$C,$A215, 
'Schist Efficacy'!$D:$D, "Praziquantel",
'Schist Efficacy'!$J:$J,"&lt;2016",
'Schist Efficacy'!$U:$U,""),
"")</f>
        <v/>
      </c>
      <c r="AU215" s="572">
        <f t="shared" si="15"/>
        <v>0.9475</v>
      </c>
      <c r="AV215" s="131" t="str">
        <f>IFERROR(AVERAGEIFS(
'STH Efficacy'!$AX:$AX, 
'STH Efficacy'!$AL:$AL, $A215, 
'STH Efficacy'!$AM:$AM, "Albendazole",
'STH Efficacy'!$AS:$AS,"&lt;2016",
'STH Efficacy'!$BP:$BP,""),
"")</f>
        <v/>
      </c>
      <c r="AW215" s="132">
        <f t="shared" si="16"/>
        <v>0.3571666667</v>
      </c>
      <c r="AX215" s="131" t="str">
        <f>IFERROR(AVERAGEIFS(
'STH Efficacy'!$AX:$AX, 
'STH Efficacy'!$AL:$AL, $A215, 
'STH Efficacy'!$AM:$AM, "Mebendazole",
'STH Efficacy'!$AS:$AS,"&lt;2016",
'STH Efficacy'!$BP:$BP,""),
"")</f>
        <v/>
      </c>
      <c r="AY215" s="132">
        <f t="shared" si="17"/>
        <v>0.4155</v>
      </c>
      <c r="AZ215" s="131" t="str">
        <f>IFERROR(AVERAGEIFS(
'STH Efficacy'!$AX:$AX, 
'STH Efficacy'!$AL:$AL, $A215, 
'STH Efficacy'!$AM:$AM, "Albendazole &amp; Ivermectin",
'STH Efficacy'!$AS:$AS,"&lt;2016",
'STH Efficacy'!$BP:$BP,""),
"")</f>
        <v/>
      </c>
      <c r="BA215" s="303">
        <f t="shared" si="18"/>
        <v>0.651</v>
      </c>
      <c r="BB215" s="584">
        <f>IFERROR(AVERAGEIFS(
'STH Efficacy'!$N:$N, 
'STH Efficacy'!$B:$B, $A215, 
'STH Efficacy'!$C:$C, "Albendazole",
'STH Efficacy'!$I:$I,"&lt;2016",
'STH Efficacy'!$AH:$AH,""),
"")</f>
        <v>0.62</v>
      </c>
      <c r="BC215" s="579">
        <f t="shared" si="19"/>
        <v>0.62</v>
      </c>
      <c r="BD215" s="584">
        <f>IFERROR(AVERAGEIFS(
'STH Efficacy'!$N:$N, 
'STH Efficacy'!$B:$B, $A215, 
'STH Efficacy'!$C:$C, "Mebendazole",
'STH Efficacy'!$I:$I,"&lt;2016",
'STH Efficacy'!$AH:$AH,""),
"")</f>
        <v>0.32</v>
      </c>
      <c r="BE215" s="579">
        <f t="shared" si="20"/>
        <v>0.32</v>
      </c>
      <c r="BF215" s="585" t="str">
        <f>IFERROR(AVERAGEIFS(
'STH Efficacy'!$CD:$CD, 
'STH Efficacy'!$BS:$BS, $A215, 
'STH Efficacy'!$BT:$BT, "Albendazole",
'STH Efficacy'!$BZ:$BZ,"&lt;2016",
'STH Efficacy'!$CU:$CU,""),
"")</f>
        <v/>
      </c>
      <c r="BG215" s="580">
        <f t="shared" si="21"/>
        <v>0.96925</v>
      </c>
      <c r="BH215" s="585" t="str">
        <f>IFERROR(AVERAGEIFS(
'STH Efficacy'!$CD:$CD, 
'STH Efficacy'!$BS:$BS, $A215, 
'STH Efficacy'!$BT:$BT, "Mebendazole",
'STH Efficacy'!$BZ:$BZ,"&lt;2016",
'STH Efficacy'!$CU:$CU,""),
"")</f>
        <v/>
      </c>
      <c r="BI215" s="580">
        <f t="shared" si="22"/>
        <v>0.9305</v>
      </c>
      <c r="BJ215" s="585" t="str">
        <f>IFERROR(AVERAGEIFS(
'STH Efficacy'!$CD:$CD, 
'STH Efficacy'!$BS:$BS, $A215, 
'STH Efficacy'!$BT:$BT, "Albendazole &amp; Ivermectin",
'STH Efficacy'!$BZ:$BZ,"&lt;2016",
'STH Efficacy'!$CU:$CU,""),
"")</f>
        <v/>
      </c>
      <c r="BK215" s="580">
        <f t="shared" si="23"/>
        <v>0.848</v>
      </c>
      <c r="BL215" s="575" t="str">
        <f>IFERROR(
  AVERAGEIFS(
    'NEW Onchocerciasis Efficacy'!$AO:$AO,
    'NEW Onchocerciasis Efficacy'!$C:$C,$A215,
    'NEW Onchocerciasis Efficacy'!$D:$D,"Ivermectin",
    'NEW Onchocerciasis Efficacy'!$AR:$AR,"&lt;2016",
    'NEW Onchocerciasis Efficacy'!$BG:$BG,"")
,"")</f>
        <v/>
      </c>
      <c r="BM215" s="586">
        <f t="shared" si="24"/>
        <v>0.7808368939</v>
      </c>
      <c r="BN215" s="587">
        <v>0.0</v>
      </c>
      <c r="BO215" s="588">
        <v>0.0</v>
      </c>
      <c r="BP215" s="589">
        <v>0.0</v>
      </c>
      <c r="BQ215" s="590">
        <f t="shared" si="25"/>
        <v>0</v>
      </c>
      <c r="BR215" s="560" t="str">
        <f t="shared" si="26"/>
        <v>0000</v>
      </c>
      <c r="BS215" s="560" t="str">
        <f t="shared" si="27"/>
        <v>no action required</v>
      </c>
      <c r="BT215" s="361" t="str">
        <f t="shared" si="44"/>
        <v/>
      </c>
      <c r="BU215" s="591" t="str">
        <f t="shared" si="29"/>
        <v/>
      </c>
      <c r="BV215" s="560" t="str">
        <f t="shared" si="30"/>
        <v>none</v>
      </c>
      <c r="BW215" s="150" t="str">
        <f t="shared" si="31"/>
        <v/>
      </c>
      <c r="BX215" s="150" t="str">
        <f t="shared" si="32"/>
        <v/>
      </c>
      <c r="BY215" s="151" t="str">
        <f t="shared" si="33"/>
        <v/>
      </c>
      <c r="BZ215" s="152" t="str">
        <f t="shared" si="34"/>
        <v/>
      </c>
      <c r="CA215" s="152" t="str">
        <f t="shared" si="35"/>
        <v/>
      </c>
      <c r="CB215" s="152" t="str">
        <f t="shared" si="36"/>
        <v/>
      </c>
      <c r="CC215" s="153" t="str">
        <f t="shared" si="37"/>
        <v/>
      </c>
      <c r="CD215" s="153" t="str">
        <f t="shared" si="38"/>
        <v/>
      </c>
      <c r="CE215" s="154" t="str">
        <f t="shared" si="39"/>
        <v/>
      </c>
      <c r="CF215" s="154" t="str">
        <f t="shared" si="40"/>
        <v/>
      </c>
      <c r="CG215" s="154" t="str">
        <f t="shared" si="41"/>
        <v/>
      </c>
      <c r="CH215" s="308" t="str">
        <f t="shared" si="42"/>
        <v/>
      </c>
    </row>
    <row r="216">
      <c r="A216" s="599" t="s">
        <v>305</v>
      </c>
      <c r="B216" s="560" t="s">
        <v>94</v>
      </c>
      <c r="C216" s="361"/>
      <c r="D216" s="562"/>
      <c r="E216" s="610"/>
      <c r="F216" s="564">
        <v>0.753618158</v>
      </c>
      <c r="G216" s="564">
        <v>5.318762522</v>
      </c>
      <c r="H216" s="564">
        <v>25.93015447</v>
      </c>
      <c r="I216" s="622"/>
      <c r="J216" s="622"/>
      <c r="K216" s="622"/>
      <c r="L216" s="612"/>
      <c r="M216" s="612"/>
      <c r="N216" s="612"/>
      <c r="O216" s="308"/>
      <c r="P216" s="150"/>
      <c r="Q216" s="150" t="s">
        <v>395</v>
      </c>
      <c r="R216" s="150" t="s">
        <v>395</v>
      </c>
      <c r="S216" s="116" t="str">
        <f t="shared" si="6"/>
        <v> </v>
      </c>
      <c r="T216" s="151"/>
      <c r="U216" s="572">
        <f t="shared" si="7"/>
        <v>0.7834666667</v>
      </c>
      <c r="V216" s="598"/>
      <c r="W216" s="574">
        <f t="shared" si="8"/>
        <v>0.3593777778</v>
      </c>
      <c r="X216" s="598"/>
      <c r="Y216" s="574">
        <f t="shared" si="9"/>
        <v>0.5347375</v>
      </c>
      <c r="Z216" s="308"/>
      <c r="AA216" s="308"/>
      <c r="AB216" s="575" t="str">
        <f t="shared" si="10"/>
        <v/>
      </c>
      <c r="AC216" s="576">
        <f t="shared" si="11"/>
        <v>0.7192241206</v>
      </c>
      <c r="AD216" s="571"/>
      <c r="AE216" s="583"/>
      <c r="AF216" s="583"/>
      <c r="AG216" s="131"/>
      <c r="AH216" s="131"/>
      <c r="AI216" s="584"/>
      <c r="AJ216" s="584"/>
      <c r="AK216" s="585"/>
      <c r="AL216" s="585"/>
      <c r="AM216" s="575"/>
      <c r="AN216" s="571" t="str">
        <f>IFERROR(
  AVERAGEIFS(
    'New LF Efficacy'!$J:$J,
    'New LF Efficacy'!$D:$D, $A216,
    'New LF Efficacy'!$F:$F,"DEC", 
    'New LF Efficacy'!$W:$W,"&lt;2016",
    'New LF Efficacy'!$AA:$AA,""),
  ""
)</f>
        <v/>
      </c>
      <c r="AO216" s="582">
        <f t="shared" si="12"/>
        <v>0.38</v>
      </c>
      <c r="AP216" s="571" t="str">
        <f>IFERROR(
AVERAGEIFS(
'New LF Efficacy'!$J:$J,
'New LF Efficacy'!$D:$D,$A216,
'New LF Efficacy'!$F:$F,"Albendazole &amp; DEC",
'New LF Efficacy'!$W:$W,"&lt;2016",
'New LF Efficacy'!$AA:$AA,""),
"")</f>
        <v/>
      </c>
      <c r="AQ216" s="582">
        <f t="shared" si="13"/>
        <v>0.662</v>
      </c>
      <c r="AR216" s="571" t="str">
        <f>IFERROR(
AVERAGEIFS(
'New LF Efficacy'!$J:$J,
'New LF Efficacy'!$D:$D,$A216,
'New LF Efficacy'!$F:$F,"Albendazole &amp; Ivermectin", 
'New LF Efficacy'!$W:$W,"&lt;2016",
'New LF Efficacy'!$AA:$AA,""),"")</f>
        <v/>
      </c>
      <c r="AS216" s="582">
        <f t="shared" si="14"/>
        <v>0.37153125</v>
      </c>
      <c r="AT216" s="583" t="str">
        <f>IFERROR(AVERAGEIFS(
'Schist Efficacy'!$O:$O, 
'Schist Efficacy'!$C:$C,$A216, 
'Schist Efficacy'!$D:$D, "Praziquantel",
'Schist Efficacy'!$J:$J,"&lt;2016",
'Schist Efficacy'!$U:$U,""),
"")</f>
        <v/>
      </c>
      <c r="AU216" s="572">
        <f t="shared" si="15"/>
        <v>0.9475</v>
      </c>
      <c r="AV216" s="131" t="str">
        <f>IFERROR(AVERAGEIFS(
'STH Efficacy'!$AX:$AX, 
'STH Efficacy'!$AL:$AL, $A216, 
'STH Efficacy'!$AM:$AM, "Albendazole",
'STH Efficacy'!$AS:$AS,"&lt;2016",
'STH Efficacy'!$BP:$BP,""),
"")</f>
        <v/>
      </c>
      <c r="AW216" s="132">
        <f t="shared" si="16"/>
        <v>0.3571666667</v>
      </c>
      <c r="AX216" s="131" t="str">
        <f>IFERROR(AVERAGEIFS(
'STH Efficacy'!$AX:$AX, 
'STH Efficacy'!$AL:$AL, $A216, 
'STH Efficacy'!$AM:$AM, "Mebendazole",
'STH Efficacy'!$AS:$AS,"&lt;2016",
'STH Efficacy'!$BP:$BP,""),
"")</f>
        <v/>
      </c>
      <c r="AY216" s="132">
        <f t="shared" si="17"/>
        <v>0.4155</v>
      </c>
      <c r="AZ216" s="131" t="str">
        <f>IFERROR(AVERAGEIFS(
'STH Efficacy'!$AX:$AX, 
'STH Efficacy'!$AL:$AL, $A216, 
'STH Efficacy'!$AM:$AM, "Albendazole &amp; Ivermectin",
'STH Efficacy'!$AS:$AS,"&lt;2016",
'STH Efficacy'!$BP:$BP,""),
"")</f>
        <v/>
      </c>
      <c r="BA216" s="303">
        <f t="shared" si="18"/>
        <v>0.651</v>
      </c>
      <c r="BB216" s="584" t="str">
        <f>IFERROR(AVERAGEIFS(
'STH Efficacy'!$N:$N, 
'STH Efficacy'!$B:$B, $A216, 
'STH Efficacy'!$C:$C, "Albendazole",
'STH Efficacy'!$I:$I,"&lt;2016",
'STH Efficacy'!$AH:$AH,""),
"")</f>
        <v/>
      </c>
      <c r="BC216" s="579">
        <f t="shared" si="19"/>
        <v>0.5769166667</v>
      </c>
      <c r="BD216" s="584" t="str">
        <f>IFERROR(AVERAGEIFS(
'STH Efficacy'!$N:$N, 
'STH Efficacy'!$B:$B, $A216, 
'STH Efficacy'!$C:$C, "Mebendazole",
'STH Efficacy'!$I:$I,"&lt;2016",
'STH Efficacy'!$AH:$AH,""),
"")</f>
        <v/>
      </c>
      <c r="BE216" s="579">
        <f t="shared" si="20"/>
        <v>0.3145</v>
      </c>
      <c r="BF216" s="585" t="str">
        <f>IFERROR(AVERAGEIFS(
'STH Efficacy'!$CD:$CD, 
'STH Efficacy'!$BS:$BS, $A216, 
'STH Efficacy'!$BT:$BT, "Albendazole",
'STH Efficacy'!$BZ:$BZ,"&lt;2016",
'STH Efficacy'!$CU:$CU,""),
"")</f>
        <v/>
      </c>
      <c r="BG216" s="580">
        <f t="shared" si="21"/>
        <v>0.96925</v>
      </c>
      <c r="BH216" s="585" t="str">
        <f>IFERROR(AVERAGEIFS(
'STH Efficacy'!$CD:$CD, 
'STH Efficacy'!$BS:$BS, $A216, 
'STH Efficacy'!$BT:$BT, "Mebendazole",
'STH Efficacy'!$BZ:$BZ,"&lt;2016",
'STH Efficacy'!$CU:$CU,""),
"")</f>
        <v/>
      </c>
      <c r="BI216" s="580">
        <f t="shared" si="22"/>
        <v>0.9305</v>
      </c>
      <c r="BJ216" s="585" t="str">
        <f>IFERROR(AVERAGEIFS(
'STH Efficacy'!$CD:$CD, 
'STH Efficacy'!$BS:$BS, $A216, 
'STH Efficacy'!$BT:$BT, "Albendazole &amp; Ivermectin",
'STH Efficacy'!$BZ:$BZ,"&lt;2016",
'STH Efficacy'!$CU:$CU,""),
"")</f>
        <v/>
      </c>
      <c r="BK216" s="580">
        <f t="shared" si="23"/>
        <v>0.848</v>
      </c>
      <c r="BL216" s="575" t="str">
        <f>IFERROR(
  AVERAGEIFS(
    'NEW Onchocerciasis Efficacy'!$AO:$AO,
    'NEW Onchocerciasis Efficacy'!$C:$C,$A216,
    'NEW Onchocerciasis Efficacy'!$D:$D,"Ivermectin",
    'NEW Onchocerciasis Efficacy'!$AR:$AR,"&lt;2016",
    'NEW Onchocerciasis Efficacy'!$BG:$BG,"")
,"")</f>
        <v/>
      </c>
      <c r="BM216" s="586">
        <f t="shared" si="24"/>
        <v>0.7808368939</v>
      </c>
      <c r="BN216" s="587">
        <v>0.0</v>
      </c>
      <c r="BO216" s="588">
        <v>1.0</v>
      </c>
      <c r="BP216" s="589">
        <v>1.0</v>
      </c>
      <c r="BQ216" s="590">
        <f t="shared" si="25"/>
        <v>0</v>
      </c>
      <c r="BR216" s="560" t="str">
        <f t="shared" si="26"/>
        <v>0110</v>
      </c>
      <c r="BS216" s="560" t="str">
        <f t="shared" si="27"/>
        <v>MDA3+T2</v>
      </c>
      <c r="BT216" s="606" t="str">
        <f t="shared" si="44"/>
        <v>IVM</v>
      </c>
      <c r="BU216" s="560" t="str">
        <f t="shared" si="29"/>
        <v>PZQ</v>
      </c>
      <c r="BV216" s="560" t="str">
        <f t="shared" si="30"/>
        <v>onch+schist</v>
      </c>
      <c r="BW216" s="150" t="str">
        <f t="shared" si="31"/>
        <v/>
      </c>
      <c r="BX216" s="150" t="str">
        <f t="shared" si="32"/>
        <v/>
      </c>
      <c r="BY216" s="608">
        <f t="shared" si="33"/>
        <v>0</v>
      </c>
      <c r="BZ216" s="152" t="str">
        <f t="shared" si="34"/>
        <v/>
      </c>
      <c r="CA216" s="152" t="str">
        <f t="shared" si="35"/>
        <v/>
      </c>
      <c r="CB216" s="152" t="str">
        <f t="shared" si="36"/>
        <v/>
      </c>
      <c r="CC216" s="153" t="str">
        <f t="shared" si="37"/>
        <v/>
      </c>
      <c r="CD216" s="153" t="str">
        <f t="shared" si="38"/>
        <v/>
      </c>
      <c r="CE216" s="154" t="str">
        <f t="shared" si="39"/>
        <v/>
      </c>
      <c r="CF216" s="154" t="str">
        <f t="shared" si="40"/>
        <v/>
      </c>
      <c r="CG216" s="154" t="str">
        <f t="shared" si="41"/>
        <v/>
      </c>
      <c r="CH216" s="637">
        <f t="shared" si="42"/>
        <v>0</v>
      </c>
    </row>
    <row r="217">
      <c r="A217" s="599" t="s">
        <v>306</v>
      </c>
      <c r="B217" s="560" t="s">
        <v>88</v>
      </c>
      <c r="C217" s="635">
        <v>4422143.0</v>
      </c>
      <c r="D217" s="562">
        <v>0.0</v>
      </c>
      <c r="E217" s="563">
        <v>0.0</v>
      </c>
      <c r="F217" s="564">
        <v>0.030907186</v>
      </c>
      <c r="G217" s="564">
        <v>0.231802727</v>
      </c>
      <c r="H217" s="564">
        <v>1.089289404</v>
      </c>
      <c r="I217" s="565">
        <v>2.543700612</v>
      </c>
      <c r="J217" s="622"/>
      <c r="K217" s="622"/>
      <c r="L217" s="567">
        <v>18.95275093</v>
      </c>
      <c r="M217" s="568">
        <v>37.0754451696897</v>
      </c>
      <c r="N217" s="568">
        <v>89.1330946751311</v>
      </c>
      <c r="O217" s="308"/>
      <c r="P217" s="150"/>
      <c r="Q217" s="150"/>
      <c r="R217" s="571"/>
      <c r="S217" s="116">
        <f t="shared" si="6"/>
        <v>0.1495</v>
      </c>
      <c r="T217" s="151"/>
      <c r="U217" s="572">
        <f t="shared" si="7"/>
        <v>0.65895</v>
      </c>
      <c r="V217" s="598"/>
      <c r="W217" s="574">
        <f t="shared" si="8"/>
        <v>0.97535</v>
      </c>
      <c r="X217" s="598"/>
      <c r="Y217" s="574">
        <f t="shared" si="9"/>
        <v>0.41448</v>
      </c>
      <c r="Z217" s="308"/>
      <c r="AA217" s="308"/>
      <c r="AB217" s="575" t="str">
        <f t="shared" si="10"/>
        <v/>
      </c>
      <c r="AC217" s="576">
        <f t="shared" si="11"/>
        <v>0.4586145155</v>
      </c>
      <c r="AD217" s="614">
        <v>0.0</v>
      </c>
      <c r="AE217" s="639">
        <v>0.0</v>
      </c>
      <c r="AF217" s="583">
        <v>0.0</v>
      </c>
      <c r="AG217" s="133">
        <v>0.01515147301</v>
      </c>
      <c r="AH217" s="133">
        <v>0.047532192</v>
      </c>
      <c r="AI217" s="584"/>
      <c r="AJ217" s="584"/>
      <c r="AK217" s="585"/>
      <c r="AL217" s="585"/>
      <c r="AM217" s="575"/>
      <c r="AN217" s="571" t="str">
        <f>IFERROR(
  AVERAGEIFS(
    'New LF Efficacy'!$J:$J,
    'New LF Efficacy'!$D:$D, $A217,
    'New LF Efficacy'!$F:$F,"DEC", 
    'New LF Efficacy'!$W:$W,"&lt;2016",
    'New LF Efficacy'!$AA:$AA,""),
  ""
)</f>
        <v/>
      </c>
      <c r="AO217" s="582">
        <f t="shared" si="12"/>
        <v>0.3573520833</v>
      </c>
      <c r="AP217" s="571" t="str">
        <f>IFERROR(
AVERAGEIFS(
'New LF Efficacy'!$J:$J,
'New LF Efficacy'!$D:$D,$A217,
'New LF Efficacy'!$F:$F,"Albendazole &amp; DEC",
'New LF Efficacy'!$W:$W,"&lt;2016",
'New LF Efficacy'!$AA:$AA,""),
"")</f>
        <v/>
      </c>
      <c r="AQ217" s="582">
        <f t="shared" si="13"/>
        <v>0.7935</v>
      </c>
      <c r="AR217" s="571" t="str">
        <f>IFERROR(
AVERAGEIFS(
'New LF Efficacy'!$J:$J,
'New LF Efficacy'!$D:$D,$A217,
'New LF Efficacy'!$F:$F,"Albendazole &amp; Ivermectin", 
'New LF Efficacy'!$W:$W,"&lt;2016",
'New LF Efficacy'!$AA:$AA,""),"")</f>
        <v/>
      </c>
      <c r="AS217" s="582">
        <f t="shared" si="14"/>
        <v>0.37153125</v>
      </c>
      <c r="AT217" s="583" t="str">
        <f>IFERROR(AVERAGEIFS(
'Schist Efficacy'!$O:$O, 
'Schist Efficacy'!$C:$C,$A217, 
'Schist Efficacy'!$D:$D, "Praziquantel",
'Schist Efficacy'!$J:$J,"&lt;2016",
'Schist Efficacy'!$U:$U,""),
"")</f>
        <v/>
      </c>
      <c r="AU217" s="572">
        <f t="shared" si="15"/>
        <v>0.7763141026</v>
      </c>
      <c r="AV217" s="131" t="str">
        <f>IFERROR(AVERAGEIFS(
'STH Efficacy'!$AX:$AX, 
'STH Efficacy'!$AL:$AL, $A217, 
'STH Efficacy'!$AM:$AM, "Albendazole",
'STH Efficacy'!$AS:$AS,"&lt;2016",
'STH Efficacy'!$BP:$BP,""),
"")</f>
        <v/>
      </c>
      <c r="AW217" s="132">
        <f t="shared" si="16"/>
        <v>0.4143846154</v>
      </c>
      <c r="AX217" s="131" t="str">
        <f>IFERROR(AVERAGEIFS(
'STH Efficacy'!$AX:$AX, 
'STH Efficacy'!$AL:$AL, $A217, 
'STH Efficacy'!$AM:$AM, "Mebendazole",
'STH Efficacy'!$AS:$AS,"&lt;2016",
'STH Efficacy'!$BP:$BP,""),
"")</f>
        <v/>
      </c>
      <c r="AY217" s="132">
        <f t="shared" si="17"/>
        <v>0.4691770833</v>
      </c>
      <c r="AZ217" s="131" t="str">
        <f>IFERROR(AVERAGEIFS(
'STH Efficacy'!$AX:$AX, 
'STH Efficacy'!$AL:$AL, $A217, 
'STH Efficacy'!$AM:$AM, "Albendazole &amp; Ivermectin",
'STH Efficacy'!$AS:$AS,"&lt;2016",
'STH Efficacy'!$BP:$BP,""),
"")</f>
        <v/>
      </c>
      <c r="BA217" s="303">
        <f t="shared" si="18"/>
        <v>0.597625</v>
      </c>
      <c r="BB217" s="584" t="str">
        <f>IFERROR(AVERAGEIFS(
'STH Efficacy'!$N:$N, 
'STH Efficacy'!$B:$B, $A217, 
'STH Efficacy'!$C:$C, "Albendazole",
'STH Efficacy'!$I:$I,"&lt;2016",
'STH Efficacy'!$AH:$AH,""),
"")</f>
        <v/>
      </c>
      <c r="BC217" s="579">
        <f t="shared" si="19"/>
        <v>0.7613712121</v>
      </c>
      <c r="BD217" s="584" t="str">
        <f>IFERROR(AVERAGEIFS(
'STH Efficacy'!$N:$N, 
'STH Efficacy'!$B:$B, $A217, 
'STH Efficacy'!$C:$C, "Mebendazole",
'STH Efficacy'!$I:$I,"&lt;2016",
'STH Efficacy'!$AH:$AH,""),
"")</f>
        <v/>
      </c>
      <c r="BE217" s="579">
        <f t="shared" si="20"/>
        <v>0.4362466667</v>
      </c>
      <c r="BF217" s="585" t="str">
        <f>IFERROR(AVERAGEIFS(
'STH Efficacy'!$CD:$CD, 
'STH Efficacy'!$BS:$BS, $A217, 
'STH Efficacy'!$BT:$BT, "Albendazole",
'STH Efficacy'!$BZ:$BZ,"&lt;2016",
'STH Efficacy'!$CU:$CU,""),
"")</f>
        <v/>
      </c>
      <c r="BG217" s="580">
        <f t="shared" si="21"/>
        <v>0.955</v>
      </c>
      <c r="BH217" s="585" t="str">
        <f>IFERROR(AVERAGEIFS(
'STH Efficacy'!$CD:$CD, 
'STH Efficacy'!$BS:$BS, $A217, 
'STH Efficacy'!$BT:$BT, "Mebendazole",
'STH Efficacy'!$BZ:$BZ,"&lt;2016",
'STH Efficacy'!$CU:$CU,""),
"")</f>
        <v/>
      </c>
      <c r="BI217" s="580">
        <f t="shared" si="22"/>
        <v>1</v>
      </c>
      <c r="BJ217" s="585" t="str">
        <f>IFERROR(AVERAGEIFS(
'STH Efficacy'!$CD:$CD, 
'STH Efficacy'!$BS:$BS, $A217, 
'STH Efficacy'!$BT:$BT, "Albendazole &amp; Ivermectin",
'STH Efficacy'!$BZ:$BZ,"&lt;2016",
'STH Efficacy'!$CU:$CU,""),
"")</f>
        <v/>
      </c>
      <c r="BK217" s="580">
        <f t="shared" si="23"/>
        <v>0.848</v>
      </c>
      <c r="BL217" s="575" t="str">
        <f>IFERROR(
  AVERAGEIFS(
    'NEW Onchocerciasis Efficacy'!$AO:$AO,
    'NEW Onchocerciasis Efficacy'!$C:$C,$A217,
    'NEW Onchocerciasis Efficacy'!$D:$D,"Ivermectin",
    'NEW Onchocerciasis Efficacy'!$AR:$AR,"&lt;2016",
    'NEW Onchocerciasis Efficacy'!$BG:$BG,"")
,"")</f>
        <v/>
      </c>
      <c r="BM217" s="586">
        <f t="shared" si="24"/>
        <v>0.7808368939</v>
      </c>
      <c r="BN217" s="587">
        <v>0.0</v>
      </c>
      <c r="BO217" s="588">
        <v>1.0</v>
      </c>
      <c r="BP217" s="589">
        <v>0.0</v>
      </c>
      <c r="BQ217" s="590">
        <f t="shared" si="25"/>
        <v>0</v>
      </c>
      <c r="BR217" s="560" t="str">
        <f t="shared" si="26"/>
        <v>0100</v>
      </c>
      <c r="BS217" s="560" t="str">
        <f t="shared" si="27"/>
        <v>MDA3</v>
      </c>
      <c r="BT217" s="606" t="str">
        <f t="shared" si="44"/>
        <v>IVM</v>
      </c>
      <c r="BU217" s="591" t="str">
        <f t="shared" si="29"/>
        <v/>
      </c>
      <c r="BV217" s="560" t="str">
        <f t="shared" si="30"/>
        <v>onch only</v>
      </c>
      <c r="BW217" s="150" t="str">
        <f t="shared" si="31"/>
        <v/>
      </c>
      <c r="BX217" s="150" t="str">
        <f t="shared" si="32"/>
        <v/>
      </c>
      <c r="BY217" s="151" t="str">
        <f t="shared" si="33"/>
        <v/>
      </c>
      <c r="BZ217" s="152" t="str">
        <f t="shared" si="34"/>
        <v/>
      </c>
      <c r="CA217" s="152" t="str">
        <f t="shared" si="35"/>
        <v/>
      </c>
      <c r="CB217" s="152" t="str">
        <f t="shared" si="36"/>
        <v/>
      </c>
      <c r="CC217" s="153" t="str">
        <f t="shared" si="37"/>
        <v/>
      </c>
      <c r="CD217" s="153" t="str">
        <f t="shared" si="38"/>
        <v/>
      </c>
      <c r="CE217" s="154" t="str">
        <f t="shared" si="39"/>
        <v/>
      </c>
      <c r="CF217" s="154" t="str">
        <f t="shared" si="40"/>
        <v/>
      </c>
      <c r="CG217" s="154" t="str">
        <f t="shared" si="41"/>
        <v/>
      </c>
      <c r="CH217" s="637">
        <f t="shared" si="42"/>
        <v>0</v>
      </c>
    </row>
    <row r="218">
      <c r="A218" s="559" t="s">
        <v>307</v>
      </c>
      <c r="B218" s="560" t="s">
        <v>88</v>
      </c>
      <c r="C218" s="635">
        <v>2.6916207E7</v>
      </c>
      <c r="D218" s="562">
        <v>0.0</v>
      </c>
      <c r="E218" s="563">
        <v>9366.42751224638</v>
      </c>
      <c r="F218" s="564">
        <v>1.15E-5</v>
      </c>
      <c r="G218" s="564">
        <v>1.33827E-4</v>
      </c>
      <c r="H218" s="564">
        <v>6.49728E-4</v>
      </c>
      <c r="I218" s="565">
        <v>367.331511</v>
      </c>
      <c r="J218" s="630">
        <v>998.50766209613</v>
      </c>
      <c r="K218" s="630">
        <v>3416.23185309148</v>
      </c>
      <c r="L218" s="567">
        <v>756.6145573</v>
      </c>
      <c r="M218" s="568">
        <v>707.819204969216</v>
      </c>
      <c r="N218" s="568">
        <v>2203.18706759968</v>
      </c>
      <c r="O218" s="569">
        <v>9.7</v>
      </c>
      <c r="P218" s="632">
        <v>3164.4915</v>
      </c>
      <c r="Q218" s="150" t="s">
        <v>395</v>
      </c>
      <c r="R218" s="150" t="s">
        <v>395</v>
      </c>
      <c r="S218" s="116" t="str">
        <f t="shared" si="6"/>
        <v> </v>
      </c>
      <c r="T218" s="572">
        <v>1.0</v>
      </c>
      <c r="U218" s="572">
        <f t="shared" si="7"/>
        <v>1</v>
      </c>
      <c r="V218" s="598"/>
      <c r="W218" s="574">
        <f t="shared" si="8"/>
        <v>0.97535</v>
      </c>
      <c r="X218" s="573">
        <v>0.0849</v>
      </c>
      <c r="Y218" s="574">
        <f t="shared" si="9"/>
        <v>0.0849</v>
      </c>
      <c r="Z218" s="604">
        <v>628728.0</v>
      </c>
      <c r="AA218" s="308"/>
      <c r="AB218" s="576">
        <f t="shared" si="10"/>
        <v>0</v>
      </c>
      <c r="AC218" s="576">
        <f t="shared" si="11"/>
        <v>0.4586145155</v>
      </c>
      <c r="AD218" s="577">
        <v>0.001061859339</v>
      </c>
      <c r="AE218" s="572">
        <v>0.02564280005</v>
      </c>
      <c r="AF218" s="578">
        <v>0.003356226206</v>
      </c>
      <c r="AG218" s="133">
        <v>0.01618794221</v>
      </c>
      <c r="AH218" s="133">
        <v>0.054243477</v>
      </c>
      <c r="AI218" s="623">
        <v>0.03238356892</v>
      </c>
      <c r="AJ218" s="623">
        <v>0.04167745396</v>
      </c>
      <c r="AK218" s="624">
        <v>0.07212714964</v>
      </c>
      <c r="AL218" s="624">
        <v>0.08833186233</v>
      </c>
      <c r="AM218" s="581">
        <v>2.968620199E-5</v>
      </c>
      <c r="AN218" s="571" t="str">
        <f>IFERROR(
  AVERAGEIFS(
    'New LF Efficacy'!$J:$J,
    'New LF Efficacy'!$D:$D, $A218,
    'New LF Efficacy'!$F:$F,"DEC", 
    'New LF Efficacy'!$W:$W,"&lt;2016",
    'New LF Efficacy'!$AA:$AA,""),
  ""
)</f>
        <v/>
      </c>
      <c r="AO218" s="582">
        <f t="shared" si="12"/>
        <v>0.3573520833</v>
      </c>
      <c r="AP218" s="571" t="str">
        <f>IFERROR(
AVERAGEIFS(
'New LF Efficacy'!$J:$J,
'New LF Efficacy'!$D:$D,$A218,
'New LF Efficacy'!$F:$F,"Albendazole &amp; DEC",
'New LF Efficacy'!$W:$W,"&lt;2016",
'New LF Efficacy'!$AA:$AA,""),
"")</f>
        <v/>
      </c>
      <c r="AQ218" s="582">
        <f t="shared" si="13"/>
        <v>0.7935</v>
      </c>
      <c r="AR218" s="571" t="str">
        <f>IFERROR(
AVERAGEIFS(
'New LF Efficacy'!$J:$J,
'New LF Efficacy'!$D:$D,$A218,
'New LF Efficacy'!$F:$F,"Albendazole &amp; Ivermectin", 
'New LF Efficacy'!$W:$W,"&lt;2016",
'New LF Efficacy'!$AA:$AA,""),"")</f>
        <v/>
      </c>
      <c r="AS218" s="582">
        <f t="shared" si="14"/>
        <v>0.37153125</v>
      </c>
      <c r="AT218" s="583" t="str">
        <f>IFERROR(AVERAGEIFS(
'Schist Efficacy'!$O:$O, 
'Schist Efficacy'!$C:$C,$A218, 
'Schist Efficacy'!$D:$D, "Praziquantel",
'Schist Efficacy'!$J:$J,"&lt;2016",
'Schist Efficacy'!$U:$U,""),
"")</f>
        <v/>
      </c>
      <c r="AU218" s="572">
        <f t="shared" si="15"/>
        <v>0.7763141026</v>
      </c>
      <c r="AV218" s="131" t="str">
        <f>IFERROR(AVERAGEIFS(
'STH Efficacy'!$AX:$AX, 
'STH Efficacy'!$AL:$AL, $A218, 
'STH Efficacy'!$AM:$AM, "Albendazole",
'STH Efficacy'!$AS:$AS,"&lt;2016",
'STH Efficacy'!$BP:$BP,""),
"")</f>
        <v/>
      </c>
      <c r="AW218" s="132">
        <f t="shared" si="16"/>
        <v>0.4143846154</v>
      </c>
      <c r="AX218" s="131" t="str">
        <f>IFERROR(AVERAGEIFS(
'STH Efficacy'!$AX:$AX, 
'STH Efficacy'!$AL:$AL, $A218, 
'STH Efficacy'!$AM:$AM, "Mebendazole",
'STH Efficacy'!$AS:$AS,"&lt;2016",
'STH Efficacy'!$BP:$BP,""),
"")</f>
        <v/>
      </c>
      <c r="AY218" s="132">
        <f t="shared" si="17"/>
        <v>0.4691770833</v>
      </c>
      <c r="AZ218" s="131" t="str">
        <f>IFERROR(AVERAGEIFS(
'STH Efficacy'!$AX:$AX, 
'STH Efficacy'!$AL:$AL, $A218, 
'STH Efficacy'!$AM:$AM, "Albendazole &amp; Ivermectin",
'STH Efficacy'!$AS:$AS,"&lt;2016",
'STH Efficacy'!$BP:$BP,""),
"")</f>
        <v/>
      </c>
      <c r="BA218" s="303">
        <f t="shared" si="18"/>
        <v>0.597625</v>
      </c>
      <c r="BB218" s="584" t="str">
        <f>IFERROR(AVERAGEIFS(
'STH Efficacy'!$N:$N, 
'STH Efficacy'!$B:$B, $A218, 
'STH Efficacy'!$C:$C, "Albendazole",
'STH Efficacy'!$I:$I,"&lt;2016",
'STH Efficacy'!$AH:$AH,""),
"")</f>
        <v/>
      </c>
      <c r="BC218" s="579">
        <f t="shared" si="19"/>
        <v>0.7613712121</v>
      </c>
      <c r="BD218" s="584" t="str">
        <f>IFERROR(AVERAGEIFS(
'STH Efficacy'!$N:$N, 
'STH Efficacy'!$B:$B, $A218, 
'STH Efficacy'!$C:$C, "Mebendazole",
'STH Efficacy'!$I:$I,"&lt;2016",
'STH Efficacy'!$AH:$AH,""),
"")</f>
        <v/>
      </c>
      <c r="BE218" s="579">
        <f t="shared" si="20"/>
        <v>0.4362466667</v>
      </c>
      <c r="BF218" s="585" t="str">
        <f>IFERROR(AVERAGEIFS(
'STH Efficacy'!$CD:$CD, 
'STH Efficacy'!$BS:$BS, $A218, 
'STH Efficacy'!$BT:$BT, "Albendazole",
'STH Efficacy'!$BZ:$BZ,"&lt;2016",
'STH Efficacy'!$CU:$CU,""),
"")</f>
        <v/>
      </c>
      <c r="BG218" s="580">
        <f t="shared" si="21"/>
        <v>0.955</v>
      </c>
      <c r="BH218" s="585" t="str">
        <f>IFERROR(AVERAGEIFS(
'STH Efficacy'!$CD:$CD, 
'STH Efficacy'!$BS:$BS, $A218, 
'STH Efficacy'!$BT:$BT, "Mebendazole",
'STH Efficacy'!$BZ:$BZ,"&lt;2016",
'STH Efficacy'!$CU:$CU,""),
"")</f>
        <v/>
      </c>
      <c r="BI218" s="580">
        <f t="shared" si="22"/>
        <v>1</v>
      </c>
      <c r="BJ218" s="585" t="str">
        <f>IFERROR(AVERAGEIFS(
'STH Efficacy'!$CD:$CD, 
'STH Efficacy'!$BS:$BS, $A218, 
'STH Efficacy'!$BT:$BT, "Albendazole &amp; Ivermectin",
'STH Efficacy'!$BZ:$BZ,"&lt;2016",
'STH Efficacy'!$CU:$CU,""),
"")</f>
        <v/>
      </c>
      <c r="BK218" s="580">
        <f t="shared" si="23"/>
        <v>0.848</v>
      </c>
      <c r="BL218" s="575" t="str">
        <f>IFERROR(
  AVERAGEIFS(
    'NEW Onchocerciasis Efficacy'!$AO:$AO,
    'NEW Onchocerciasis Efficacy'!$C:$C,$A218,
    'NEW Onchocerciasis Efficacy'!$D:$D,"Ivermectin",
    'NEW Onchocerciasis Efficacy'!$AR:$AR,"&lt;2016",
    'NEW Onchocerciasis Efficacy'!$BG:$BG,"")
,"")</f>
        <v/>
      </c>
      <c r="BM218" s="586">
        <f t="shared" si="24"/>
        <v>0.7808368939</v>
      </c>
      <c r="BN218" s="587">
        <v>0.0</v>
      </c>
      <c r="BO218" s="588">
        <v>1.0</v>
      </c>
      <c r="BP218" s="589">
        <v>1.0</v>
      </c>
      <c r="BQ218" s="590">
        <f t="shared" si="25"/>
        <v>0</v>
      </c>
      <c r="BR218" s="560" t="str">
        <f t="shared" si="26"/>
        <v>0110</v>
      </c>
      <c r="BS218" s="560" t="str">
        <f t="shared" si="27"/>
        <v>MDA3+T2</v>
      </c>
      <c r="BT218" s="606" t="str">
        <f t="shared" si="44"/>
        <v>IVM</v>
      </c>
      <c r="BU218" s="560" t="str">
        <f t="shared" si="29"/>
        <v>PZQ</v>
      </c>
      <c r="BV218" s="560" t="str">
        <f t="shared" si="30"/>
        <v>onch+schist</v>
      </c>
      <c r="BW218" s="150" t="str">
        <f t="shared" si="31"/>
        <v/>
      </c>
      <c r="BX218" s="150" t="str">
        <f t="shared" si="32"/>
        <v/>
      </c>
      <c r="BY218" s="608">
        <f t="shared" si="33"/>
        <v>32506.69735</v>
      </c>
      <c r="BZ218" s="152" t="str">
        <f t="shared" si="34"/>
        <v/>
      </c>
      <c r="CA218" s="152" t="str">
        <f t="shared" si="35"/>
        <v/>
      </c>
      <c r="CB218" s="152" t="str">
        <f t="shared" si="36"/>
        <v/>
      </c>
      <c r="CC218" s="153" t="str">
        <f t="shared" si="37"/>
        <v/>
      </c>
      <c r="CD218" s="153" t="str">
        <f t="shared" si="38"/>
        <v/>
      </c>
      <c r="CE218" s="154" t="str">
        <f t="shared" si="39"/>
        <v/>
      </c>
      <c r="CF218" s="154" t="str">
        <f t="shared" si="40"/>
        <v/>
      </c>
      <c r="CG218" s="154" t="str">
        <f t="shared" si="41"/>
        <v/>
      </c>
      <c r="CH218" s="637">
        <f t="shared" si="42"/>
        <v>0.1803820614</v>
      </c>
    </row>
    <row r="219">
      <c r="A219" s="559" t="s">
        <v>308</v>
      </c>
      <c r="B219" s="560" t="s">
        <v>92</v>
      </c>
      <c r="C219" s="635">
        <v>1.6100587E7</v>
      </c>
      <c r="D219" s="562">
        <v>3337.875722</v>
      </c>
      <c r="E219" s="563">
        <v>19628.8898002847</v>
      </c>
      <c r="F219" s="152"/>
      <c r="G219" s="152"/>
      <c r="H219" s="645"/>
      <c r="I219" s="565">
        <v>729.488982</v>
      </c>
      <c r="J219" s="630">
        <v>2383.56479632405</v>
      </c>
      <c r="K219" s="630">
        <v>8907.78158856833</v>
      </c>
      <c r="L219" s="567">
        <v>247.7456181</v>
      </c>
      <c r="M219" s="568">
        <v>36.9838553009467</v>
      </c>
      <c r="N219" s="568">
        <v>303.049217182605</v>
      </c>
      <c r="O219" s="569">
        <v>0.0</v>
      </c>
      <c r="P219" s="601">
        <v>153981.254493</v>
      </c>
      <c r="Q219" s="618">
        <v>1.1398966E7</v>
      </c>
      <c r="R219" s="603">
        <v>0.9325</v>
      </c>
      <c r="S219" s="116">
        <f t="shared" si="6"/>
        <v>0.9325</v>
      </c>
      <c r="T219" s="572">
        <v>0.2981</v>
      </c>
      <c r="U219" s="572">
        <f t="shared" si="7"/>
        <v>0.2981</v>
      </c>
      <c r="V219" s="573">
        <v>0.577</v>
      </c>
      <c r="W219" s="574">
        <f t="shared" si="8"/>
        <v>0.577</v>
      </c>
      <c r="X219" s="573">
        <v>0.577</v>
      </c>
      <c r="Y219" s="574">
        <f t="shared" si="9"/>
        <v>0.577</v>
      </c>
      <c r="Z219" s="646">
        <v>0.0</v>
      </c>
      <c r="AA219" s="647">
        <v>0.0</v>
      </c>
      <c r="AB219" s="576">
        <v>0.0</v>
      </c>
      <c r="AC219" s="576">
        <f>IFERROR(IF(AB219&lt;&gt;"",AB219, IF(AVERAGEIFS($AB$4:$AB$220,$B$4:$B$220,$B219,$AB$4:$AB$220,"&lt;&gt;""")&gt;0,AVERAGEIFS($AB$4:$AB$220,$B$4:$B$220,$B219,$AB$4:$AB$220,"&lt;&gt;"""))),AC$3)</f>
        <v>0</v>
      </c>
      <c r="AD219" s="577">
        <v>0.009102261226</v>
      </c>
      <c r="AE219" s="572">
        <v>0.1161073487</v>
      </c>
      <c r="AF219" s="578">
        <v>0.02912520274</v>
      </c>
      <c r="AG219" s="133">
        <v>0.01614455044</v>
      </c>
      <c r="AH219" s="133">
        <v>0.053571071</v>
      </c>
      <c r="AI219" s="623">
        <v>0.08336695677</v>
      </c>
      <c r="AJ219" s="623">
        <v>0.1064528848</v>
      </c>
      <c r="AK219" s="624">
        <v>0.05435504442</v>
      </c>
      <c r="AL219" s="624">
        <v>0.06605799551</v>
      </c>
      <c r="AM219" s="581">
        <v>0.0</v>
      </c>
      <c r="AN219" s="571" t="str">
        <f>IFERROR(
  AVERAGEIFS(
    'New LF Efficacy'!$J:$J,
    'New LF Efficacy'!$D:$D, $A219,
    'New LF Efficacy'!$F:$F,"DEC", 
    'New LF Efficacy'!$W:$W,"&lt;2016",
    'New LF Efficacy'!$AA:$AA,""),
  ""
)</f>
        <v/>
      </c>
      <c r="AO219" s="582">
        <f t="shared" si="12"/>
        <v>0.31225</v>
      </c>
      <c r="AP219" s="571" t="str">
        <f>IFERROR(
AVERAGEIFS(
'New LF Efficacy'!$J:$J,
'New LF Efficacy'!$D:$D,$A219,
'New LF Efficacy'!$F:$F,"Albendazole &amp; DEC",
'New LF Efficacy'!$W:$W,"&lt;2016",
'New LF Efficacy'!$AA:$AA,""),
"")</f>
        <v/>
      </c>
      <c r="AQ219" s="582">
        <f t="shared" si="13"/>
        <v>0.4</v>
      </c>
      <c r="AR219" s="571" t="str">
        <f>IFERROR(
AVERAGEIFS(
'New LF Efficacy'!$J:$J,
'New LF Efficacy'!$D:$D,$A219,
'New LF Efficacy'!$F:$F,"Albendazole &amp; Ivermectin", 
'New LF Efficacy'!$W:$W,"&lt;2016",
'New LF Efficacy'!$AA:$AA,""),"")</f>
        <v/>
      </c>
      <c r="AS219" s="582">
        <f t="shared" si="14"/>
        <v>0.2943125</v>
      </c>
      <c r="AT219" s="583">
        <f>IFERROR(AVERAGEIFS(
'Schist Efficacy'!$O:$O, 
'Schist Efficacy'!$C:$C,$A219, 
'Schist Efficacy'!$D:$D, "Praziquantel",
'Schist Efficacy'!$J:$J,"&lt;2016",
'Schist Efficacy'!$U:$U,""),
"")</f>
        <v>0.57</v>
      </c>
      <c r="AU219" s="572">
        <f t="shared" si="15"/>
        <v>0.57</v>
      </c>
      <c r="AV219" s="131" t="str">
        <f>IFERROR(AVERAGEIFS(
'STH Efficacy'!$AX:$AX, 
'STH Efficacy'!$AL:$AL, $A219, 
'STH Efficacy'!$AM:$AM, "Albendazole",
'STH Efficacy'!$AS:$AS,"&lt;2016",
'STH Efficacy'!$BP:$BP,""),
"")</f>
        <v/>
      </c>
      <c r="AW219" s="132">
        <f t="shared" si="16"/>
        <v>0.3816333333</v>
      </c>
      <c r="AX219" s="131" t="str">
        <f>IFERROR(AVERAGEIFS(
'STH Efficacy'!$AX:$AX, 
'STH Efficacy'!$AL:$AL, $A219, 
'STH Efficacy'!$AM:$AM, "Mebendazole",
'STH Efficacy'!$AS:$AS,"&lt;2016",
'STH Efficacy'!$BP:$BP,""),
"")</f>
        <v/>
      </c>
      <c r="AY219" s="132">
        <f t="shared" si="17"/>
        <v>0.4859375</v>
      </c>
      <c r="AZ219" s="131" t="str">
        <f>IFERROR(AVERAGEIFS(
'STH Efficacy'!$AX:$AX, 
'STH Efficacy'!$AL:$AL, $A219, 
'STH Efficacy'!$AM:$AM, "Albendazole &amp; Ivermectin",
'STH Efficacy'!$AS:$AS,"&lt;2016",
'STH Efficacy'!$BP:$BP,""),
"")</f>
        <v/>
      </c>
      <c r="BA219" s="303">
        <f t="shared" si="18"/>
        <v>0.47175</v>
      </c>
      <c r="BB219" s="584" t="str">
        <f>IFERROR(AVERAGEIFS(
'STH Efficacy'!$N:$N, 
'STH Efficacy'!$B:$B, $A219, 
'STH Efficacy'!$C:$C, "Albendazole",
'STH Efficacy'!$I:$I,"&lt;2016",
'STH Efficacy'!$AH:$AH,""),
"")</f>
        <v/>
      </c>
      <c r="BC219" s="579">
        <f t="shared" si="19"/>
        <v>0.8699166667</v>
      </c>
      <c r="BD219" s="584" t="str">
        <f>IFERROR(AVERAGEIFS(
'STH Efficacy'!$N:$N, 
'STH Efficacy'!$B:$B, $A219, 
'STH Efficacy'!$C:$C, "Mebendazole",
'STH Efficacy'!$I:$I,"&lt;2016",
'STH Efficacy'!$AH:$AH,""),
"")</f>
        <v/>
      </c>
      <c r="BE219" s="579">
        <f t="shared" si="20"/>
        <v>0.7092416667</v>
      </c>
      <c r="BF219" s="585" t="str">
        <f>IFERROR(AVERAGEIFS(
'STH Efficacy'!$CD:$CD, 
'STH Efficacy'!$BS:$BS, $A219, 
'STH Efficacy'!$BT:$BT, "Albendazole",
'STH Efficacy'!$BZ:$BZ,"&lt;2016",
'STH Efficacy'!$CU:$CU,""),
"")</f>
        <v/>
      </c>
      <c r="BG219" s="580">
        <f t="shared" si="21"/>
        <v>0.9066666667</v>
      </c>
      <c r="BH219" s="585" t="str">
        <f>IFERROR(AVERAGEIFS(
'STH Efficacy'!$CD:$CD, 
'STH Efficacy'!$BS:$BS, $A219, 
'STH Efficacy'!$BT:$BT, "Mebendazole",
'STH Efficacy'!$BZ:$BZ,"&lt;2016",
'STH Efficacy'!$CU:$CU,""),
"")</f>
        <v/>
      </c>
      <c r="BI219" s="580">
        <f t="shared" si="22"/>
        <v>0.8483333333</v>
      </c>
      <c r="BJ219" s="585" t="str">
        <f>IFERROR(AVERAGEIFS(
'STH Efficacy'!$CD:$CD, 
'STH Efficacy'!$BS:$BS, $A219, 
'STH Efficacy'!$BT:$BT, "Albendazole &amp; Ivermectin",
'STH Efficacy'!$BZ:$BZ,"&lt;2016",
'STH Efficacy'!$CU:$CU,""),
"")</f>
        <v/>
      </c>
      <c r="BK219" s="580">
        <f t="shared" si="23"/>
        <v>0.696</v>
      </c>
      <c r="BL219" s="575" t="str">
        <f>IFERROR(
  AVERAGEIFS(
    'NEW Onchocerciasis Efficacy'!$AO:$AO,
    'NEW Onchocerciasis Efficacy'!$C:$C,$A219,
    'NEW Onchocerciasis Efficacy'!$D:$D,"Ivermectin",
    'NEW Onchocerciasis Efficacy'!$AR:$AR,"&lt;2016",
    'NEW Onchocerciasis Efficacy'!$BG:$BG,"")
,"")</f>
        <v/>
      </c>
      <c r="BM219" s="586">
        <f t="shared" si="24"/>
        <v>0.8390421645</v>
      </c>
      <c r="BN219" s="587">
        <v>1.0</v>
      </c>
      <c r="BO219" s="588">
        <v>1.0</v>
      </c>
      <c r="BP219" s="589">
        <v>1.0</v>
      </c>
      <c r="BQ219" s="590">
        <f t="shared" si="25"/>
        <v>0</v>
      </c>
      <c r="BR219" s="560" t="str">
        <f t="shared" si="26"/>
        <v>1110</v>
      </c>
      <c r="BS219" s="560" t="str">
        <f t="shared" si="27"/>
        <v>MDA1+T2</v>
      </c>
      <c r="BT219" s="606" t="str">
        <f t="shared" si="44"/>
        <v>IVM+ALB</v>
      </c>
      <c r="BU219" s="560" t="str">
        <f t="shared" si="29"/>
        <v>PZQ</v>
      </c>
      <c r="BV219" s="560" t="str">
        <f t="shared" si="30"/>
        <v>lf+onch+schist </v>
      </c>
      <c r="BW219" s="150" t="str">
        <f t="shared" si="31"/>
        <v/>
      </c>
      <c r="BX219" s="607">
        <f t="shared" si="32"/>
        <v>1262.577988</v>
      </c>
      <c r="BY219" s="608">
        <f t="shared" si="33"/>
        <v>4018.010329</v>
      </c>
      <c r="BZ219" s="152" t="str">
        <f t="shared" si="34"/>
        <v/>
      </c>
      <c r="CA219" s="152" t="str">
        <f t="shared" si="35"/>
        <v/>
      </c>
      <c r="CB219" s="152" t="str">
        <f t="shared" si="36"/>
        <v/>
      </c>
      <c r="CC219" s="153" t="str">
        <f t="shared" si="37"/>
        <v/>
      </c>
      <c r="CD219" s="153" t="str">
        <f t="shared" si="38"/>
        <v/>
      </c>
      <c r="CE219" s="154" t="str">
        <f t="shared" si="39"/>
        <v/>
      </c>
      <c r="CF219" s="154" t="str">
        <f t="shared" si="40"/>
        <v/>
      </c>
      <c r="CG219" s="154" t="str">
        <f t="shared" si="41"/>
        <v/>
      </c>
      <c r="CH219" s="637">
        <f t="shared" si="42"/>
        <v>0</v>
      </c>
    </row>
    <row r="220">
      <c r="A220" s="648" t="s">
        <v>309</v>
      </c>
      <c r="B220" s="649" t="s">
        <v>92</v>
      </c>
      <c r="C220" s="650">
        <v>1.5777451E7</v>
      </c>
      <c r="D220" s="562">
        <v>40.35116976</v>
      </c>
      <c r="E220" s="563">
        <v>9204.54644317856</v>
      </c>
      <c r="F220" s="651"/>
      <c r="G220" s="652"/>
      <c r="H220" s="652"/>
      <c r="I220" s="565">
        <v>379.7595481</v>
      </c>
      <c r="J220" s="630">
        <v>1509.80181260351</v>
      </c>
      <c r="K220" s="630">
        <v>7918.80279160268</v>
      </c>
      <c r="L220" s="567">
        <v>65.16381451</v>
      </c>
      <c r="M220" s="568">
        <v>23.0548908842488</v>
      </c>
      <c r="N220" s="568">
        <v>96.2184580104936</v>
      </c>
      <c r="O220" s="653">
        <v>0.0</v>
      </c>
      <c r="P220" s="601">
        <v>791.631044922</v>
      </c>
      <c r="Q220" s="618">
        <v>3709275.0</v>
      </c>
      <c r="R220" s="603">
        <v>0.4831</v>
      </c>
      <c r="S220" s="116">
        <f t="shared" si="6"/>
        <v>0.4831</v>
      </c>
      <c r="T220" s="654">
        <v>0.6452</v>
      </c>
      <c r="U220" s="654">
        <f t="shared" si="7"/>
        <v>0.6452</v>
      </c>
      <c r="V220" s="655">
        <v>0.2695</v>
      </c>
      <c r="W220" s="656">
        <f t="shared" si="8"/>
        <v>0.2695</v>
      </c>
      <c r="X220" s="655">
        <v>0.5853</v>
      </c>
      <c r="Y220" s="656">
        <f t="shared" si="9"/>
        <v>0.5853</v>
      </c>
      <c r="Z220" s="657">
        <v>0.0</v>
      </c>
      <c r="AA220" s="658">
        <v>0.0</v>
      </c>
      <c r="AB220" s="576">
        <v>0.0</v>
      </c>
      <c r="AC220" s="659">
        <f>IFERROR(IF(AB219&lt;&gt;"",AB219, IF(AVERAGEIFS($AB$4:$AB$220,$B$4:$B$220,$B219,$AB$4:$AB$220,"&lt;&gt;""")&gt;0,AVERAGEIFS($AB$4:$AB$220,$B$4:$B$220,$B219,$AB$4:$AB$220,"&lt;&gt;"""))),AC$3)</f>
        <v>0</v>
      </c>
      <c r="AD220" s="577">
        <v>5.62E-5</v>
      </c>
      <c r="AE220" s="654">
        <v>0.04236178515</v>
      </c>
      <c r="AF220" s="660">
        <v>0.009318841536</v>
      </c>
      <c r="AG220" s="661">
        <v>0.01458465897</v>
      </c>
      <c r="AH220" s="661">
        <v>0.047507842</v>
      </c>
      <c r="AI220" s="662">
        <v>0.05235980227</v>
      </c>
      <c r="AJ220" s="662">
        <v>0.06560382245</v>
      </c>
      <c r="AK220" s="663">
        <v>0.04638674608</v>
      </c>
      <c r="AL220" s="663">
        <v>0.05528164853</v>
      </c>
      <c r="AM220" s="664">
        <v>0.0</v>
      </c>
      <c r="AN220" s="571" t="str">
        <f>IFERROR(
  AVERAGEIFS(
    'New LF Efficacy'!$J:$J,
    'New LF Efficacy'!$D:$D, $A220,
    'New LF Efficacy'!$F:$F,"DEC", 
    'New LF Efficacy'!$W:$W,"&lt;2016",
    'New LF Efficacy'!$AA:$AA,""),
  ""
)</f>
        <v/>
      </c>
      <c r="AO220" s="582">
        <f t="shared" si="12"/>
        <v>0.31225</v>
      </c>
      <c r="AP220" s="571" t="str">
        <f>IFERROR(
AVERAGEIFS(
'New LF Efficacy'!$J:$J,
'New LF Efficacy'!$D:$D,$A220,
'New LF Efficacy'!$F:$F,"Albendazole &amp; DEC",
'New LF Efficacy'!$W:$W,"&lt;2016",
'New LF Efficacy'!$AA:$AA,""),
"")</f>
        <v/>
      </c>
      <c r="AQ220" s="582">
        <f t="shared" si="13"/>
        <v>0.4</v>
      </c>
      <c r="AR220" s="571" t="str">
        <f>IFERROR(
AVERAGEIFS(
'New LF Efficacy'!$J:$J,
'New LF Efficacy'!$D:$D,$A220,
'New LF Efficacy'!$F:$F,"Albendazole &amp; Ivermectin", 
'New LF Efficacy'!$W:$W,"&lt;2016",
'New LF Efficacy'!$AA:$AA,""),"")</f>
        <v/>
      </c>
      <c r="AS220" s="582">
        <f t="shared" si="14"/>
        <v>0.2943125</v>
      </c>
      <c r="AT220" s="583">
        <f>IFERROR(AVERAGEIFS(
'Schist Efficacy'!$O:$O, 
'Schist Efficacy'!$C:$C,$A220, 
'Schist Efficacy'!$D:$D, "Praziquantel",
'Schist Efficacy'!$J:$J,"&lt;2016",
'Schist Efficacy'!$U:$U,""),
"")</f>
        <v>0.4938333333</v>
      </c>
      <c r="AU220" s="572">
        <f t="shared" si="15"/>
        <v>0.4938333333</v>
      </c>
      <c r="AV220" s="131" t="str">
        <f>IFERROR(AVERAGEIFS(
'STH Efficacy'!$AX:$AX, 
'STH Efficacy'!$AL:$AL, $A220, 
'STH Efficacy'!$AM:$AM, "Albendazole",
'STH Efficacy'!$AS:$AS,"&lt;2016",
'STH Efficacy'!$BP:$BP,""),
"")</f>
        <v/>
      </c>
      <c r="AW220" s="132">
        <f t="shared" si="16"/>
        <v>0.3816333333</v>
      </c>
      <c r="AX220" s="131" t="str">
        <f>IFERROR(AVERAGEIFS(
'STH Efficacy'!$AX:$AX, 
'STH Efficacy'!$AL:$AL, $A220, 
'STH Efficacy'!$AM:$AM, "Mebendazole",
'STH Efficacy'!$AS:$AS,"&lt;2016",
'STH Efficacy'!$BP:$BP,""),
"")</f>
        <v/>
      </c>
      <c r="AY220" s="132">
        <f t="shared" si="17"/>
        <v>0.4859375</v>
      </c>
      <c r="AZ220" s="131" t="str">
        <f>IFERROR(AVERAGEIFS(
'STH Efficacy'!$AX:$AX, 
'STH Efficacy'!$AL:$AL, $A220, 
'STH Efficacy'!$AM:$AM, "Albendazole &amp; Ivermectin",
'STH Efficacy'!$AS:$AS,"&lt;2016",
'STH Efficacy'!$BP:$BP,""),
"")</f>
        <v/>
      </c>
      <c r="BA220" s="303">
        <f t="shared" si="18"/>
        <v>0.47175</v>
      </c>
      <c r="BB220" s="584" t="str">
        <f>IFERROR(AVERAGEIFS(
'STH Efficacy'!$N:$N, 
'STH Efficacy'!$B:$B, $A220, 
'STH Efficacy'!$C:$C, "Albendazole",
'STH Efficacy'!$I:$I,"&lt;2016",
'STH Efficacy'!$AH:$AH,""),
"")</f>
        <v/>
      </c>
      <c r="BC220" s="579">
        <f t="shared" si="19"/>
        <v>0.8699166667</v>
      </c>
      <c r="BD220" s="584" t="str">
        <f>IFERROR(AVERAGEIFS(
'STH Efficacy'!$N:$N, 
'STH Efficacy'!$B:$B, $A220, 
'STH Efficacy'!$C:$C, "Mebendazole",
'STH Efficacy'!$I:$I,"&lt;2016",
'STH Efficacy'!$AH:$AH,""),
"")</f>
        <v/>
      </c>
      <c r="BE220" s="579">
        <f t="shared" si="20"/>
        <v>0.7092416667</v>
      </c>
      <c r="BF220" s="585" t="str">
        <f>IFERROR(AVERAGEIFS(
'STH Efficacy'!$CD:$CD, 
'STH Efficacy'!$BS:$BS, $A220, 
'STH Efficacy'!$BT:$BT, "Albendazole",
'STH Efficacy'!$BZ:$BZ,"&lt;2016",
'STH Efficacy'!$CU:$CU,""),
"")</f>
        <v/>
      </c>
      <c r="BG220" s="580">
        <f t="shared" si="21"/>
        <v>0.9066666667</v>
      </c>
      <c r="BH220" s="585" t="str">
        <f>IFERROR(AVERAGEIFS(
'STH Efficacy'!$CD:$CD, 
'STH Efficacy'!$BS:$BS, $A220, 
'STH Efficacy'!$BT:$BT, "Mebendazole",
'STH Efficacy'!$BZ:$BZ,"&lt;2016",
'STH Efficacy'!$CU:$CU,""),
"")</f>
        <v/>
      </c>
      <c r="BI220" s="580">
        <f t="shared" si="22"/>
        <v>0.8483333333</v>
      </c>
      <c r="BJ220" s="585" t="str">
        <f>IFERROR(AVERAGEIFS(
'STH Efficacy'!$CD:$CD, 
'STH Efficacy'!$BS:$BS, $A220, 
'STH Efficacy'!$BT:$BT, "Albendazole &amp; Ivermectin",
'STH Efficacy'!$BZ:$BZ,"&lt;2016",
'STH Efficacy'!$CU:$CU,""),
"")</f>
        <v/>
      </c>
      <c r="BK220" s="580">
        <f t="shared" si="23"/>
        <v>0.696</v>
      </c>
      <c r="BL220" s="575" t="str">
        <f>IFERROR(
  AVERAGEIFS(
    'NEW Onchocerciasis Efficacy'!$AO:$AO,
    'NEW Onchocerciasis Efficacy'!$C:$C,$A220,
    'NEW Onchocerciasis Efficacy'!$D:$D,"Ivermectin",
    'NEW Onchocerciasis Efficacy'!$AR:$AR,"&lt;2016",
    'NEW Onchocerciasis Efficacy'!$BG:$BG,"")
,"")</f>
        <v/>
      </c>
      <c r="BM220" s="586">
        <f t="shared" si="24"/>
        <v>0.8390421645</v>
      </c>
      <c r="BN220" s="665">
        <v>1.0</v>
      </c>
      <c r="BO220" s="666">
        <v>1.0</v>
      </c>
      <c r="BP220" s="667">
        <v>1.0</v>
      </c>
      <c r="BQ220" s="590">
        <f t="shared" si="25"/>
        <v>0</v>
      </c>
      <c r="BR220" s="649" t="str">
        <f t="shared" si="26"/>
        <v>1110</v>
      </c>
      <c r="BS220" s="649" t="str">
        <f t="shared" si="27"/>
        <v>MDA1+T2</v>
      </c>
      <c r="BT220" s="668" t="str">
        <f t="shared" si="44"/>
        <v>IVM+ALB</v>
      </c>
      <c r="BU220" s="560" t="str">
        <f t="shared" si="29"/>
        <v>PZQ</v>
      </c>
      <c r="BV220" s="649" t="str">
        <f t="shared" si="30"/>
        <v>lf+onch+schist </v>
      </c>
      <c r="BW220" s="669" t="str">
        <f t="shared" si="31"/>
        <v/>
      </c>
      <c r="BX220" s="607">
        <f t="shared" si="32"/>
        <v>6.688163882</v>
      </c>
      <c r="BY220" s="608">
        <f t="shared" si="33"/>
        <v>4304.161699</v>
      </c>
      <c r="BZ220" s="152" t="str">
        <f t="shared" si="34"/>
        <v/>
      </c>
      <c r="CA220" s="152" t="str">
        <f t="shared" si="35"/>
        <v/>
      </c>
      <c r="CB220" s="152" t="str">
        <f t="shared" si="36"/>
        <v/>
      </c>
      <c r="CC220" s="153" t="str">
        <f t="shared" si="37"/>
        <v/>
      </c>
      <c r="CD220" s="153" t="str">
        <f t="shared" si="38"/>
        <v/>
      </c>
      <c r="CE220" s="154" t="str">
        <f t="shared" si="39"/>
        <v/>
      </c>
      <c r="CF220" s="154" t="str">
        <f t="shared" si="40"/>
        <v/>
      </c>
      <c r="CG220" s="154" t="str">
        <f t="shared" si="41"/>
        <v/>
      </c>
      <c r="CH220" s="637">
        <f t="shared" si="42"/>
        <v>0</v>
      </c>
    </row>
    <row r="221">
      <c r="A221" s="360"/>
      <c r="B221" s="360"/>
      <c r="C221" s="360"/>
      <c r="D221" s="360"/>
      <c r="E221" s="670">
        <f>sum(E4:E220)</f>
        <v>1425052.112</v>
      </c>
      <c r="F221" s="360"/>
      <c r="G221" s="360"/>
      <c r="H221" s="360"/>
      <c r="I221" s="360"/>
      <c r="J221" s="360"/>
      <c r="K221" s="360"/>
      <c r="L221" s="360"/>
      <c r="M221" s="360"/>
      <c r="N221" s="360"/>
      <c r="O221" s="360"/>
      <c r="P221" s="360"/>
      <c r="Q221" s="360"/>
      <c r="R221" s="671">
        <v>0.48313138</v>
      </c>
      <c r="S221" s="360"/>
      <c r="T221" s="360"/>
      <c r="U221" s="360"/>
      <c r="V221" s="672"/>
      <c r="W221" s="360"/>
      <c r="X221" s="360"/>
      <c r="Y221" s="360"/>
      <c r="Z221" s="360"/>
      <c r="AA221" s="360"/>
      <c r="AB221" s="360"/>
      <c r="AC221" s="360"/>
      <c r="AD221" s="673">
        <f t="shared" ref="AD221:AM221" si="45">average(AD4:AD220)</f>
        <v>0.008461589166</v>
      </c>
      <c r="AE221" s="673">
        <f t="shared" si="45"/>
        <v>0.02439823011</v>
      </c>
      <c r="AF221" s="673">
        <f t="shared" si="45"/>
        <v>0.004675174926</v>
      </c>
      <c r="AG221" s="673">
        <f t="shared" si="45"/>
        <v>0.01824369922</v>
      </c>
      <c r="AH221" s="673">
        <f t="shared" si="45"/>
        <v>0.05992057448</v>
      </c>
      <c r="AI221" s="673">
        <f t="shared" si="45"/>
        <v>0.02716625319</v>
      </c>
      <c r="AJ221" s="673">
        <f t="shared" si="45"/>
        <v>0.03422855854</v>
      </c>
      <c r="AK221" s="673">
        <f t="shared" si="45"/>
        <v>0.05130311511</v>
      </c>
      <c r="AL221" s="673">
        <f t="shared" si="45"/>
        <v>0.06087459468</v>
      </c>
      <c r="AM221" s="673">
        <f t="shared" si="45"/>
        <v>0.004302273721</v>
      </c>
      <c r="AN221" s="360"/>
      <c r="AO221" s="360"/>
      <c r="AP221" s="360"/>
      <c r="AQ221" s="360"/>
      <c r="AR221" s="360"/>
      <c r="AS221" s="360"/>
      <c r="AT221" s="360"/>
      <c r="AU221" s="360"/>
      <c r="AV221" s="360"/>
      <c r="AW221" s="360"/>
      <c r="AX221" s="360"/>
      <c r="AY221" s="360"/>
      <c r="AZ221" s="360"/>
      <c r="BA221" s="360"/>
      <c r="BB221" s="360"/>
      <c r="BC221" s="360"/>
      <c r="BD221" s="360"/>
      <c r="BE221" s="360"/>
      <c r="BF221" s="360"/>
      <c r="BG221" s="360"/>
      <c r="BH221" s="360"/>
      <c r="BI221" s="360"/>
      <c r="BJ221" s="360"/>
      <c r="BK221" s="360"/>
      <c r="BL221" s="360"/>
      <c r="BM221" s="360"/>
      <c r="BN221" s="360"/>
      <c r="BO221" s="360"/>
      <c r="BP221" s="360"/>
      <c r="BQ221" s="515"/>
      <c r="BR221" s="674" t="s">
        <v>311</v>
      </c>
      <c r="BS221" s="675" t="s">
        <v>312</v>
      </c>
      <c r="BT221" s="360"/>
      <c r="BU221" s="591" t="str">
        <f t="shared" si="29"/>
        <v/>
      </c>
      <c r="BV221" s="676" t="s">
        <v>88</v>
      </c>
      <c r="BW221" s="677">
        <f>SUMIF(B4:B220,"EMR",BW4:BW220)</f>
        <v>0</v>
      </c>
      <c r="BX221" s="677">
        <f>SUMIF(B4:B220,"EMR",BX4:BX220)</f>
        <v>130.1346211</v>
      </c>
      <c r="BY221" s="677">
        <f>SUMIF(B4:B220,"EMR",BY4:BY220)</f>
        <v>81722.92689</v>
      </c>
      <c r="BZ221" s="677">
        <f>SUMIF(B4:B220,"EMR",BZ4:BZ220)</f>
        <v>0</v>
      </c>
      <c r="CA221" s="677">
        <f>SUMIF(B4:B220,"EMR",CA4:CA220)</f>
        <v>0</v>
      </c>
      <c r="CB221" s="677">
        <f>SUMIF(B4:B220,"EMR",CB4:CB220)</f>
        <v>0</v>
      </c>
      <c r="CC221" s="677">
        <f>SUMIF(B4:B220,"EMR",CC4:CC220)</f>
        <v>0</v>
      </c>
      <c r="CD221" s="677">
        <f>SUMIF(B4:B220,"EMR",CD4:CD220)</f>
        <v>0</v>
      </c>
      <c r="CE221" s="677">
        <f>SUMIF(B4:B220,"EMR",CE4:CE220)</f>
        <v>0</v>
      </c>
      <c r="CF221" s="677">
        <f>SUMIF(B4:B220,"EMR",CF4:CF220)</f>
        <v>0</v>
      </c>
      <c r="CG221" s="677">
        <f>SUMIF(B4:B220,"EMR",CG4:CG220)</f>
        <v>0</v>
      </c>
      <c r="CH221" s="360"/>
    </row>
    <row r="222">
      <c r="A222" s="360"/>
      <c r="B222" s="360"/>
      <c r="C222" s="360"/>
      <c r="D222" s="360"/>
      <c r="E222" s="360"/>
      <c r="F222" s="360"/>
      <c r="G222" s="360"/>
      <c r="H222" s="360"/>
      <c r="I222" s="360"/>
      <c r="J222" s="360"/>
      <c r="K222" s="360"/>
      <c r="L222" s="360"/>
      <c r="M222" s="360"/>
      <c r="N222" s="360"/>
      <c r="O222" s="360"/>
      <c r="P222" s="360"/>
      <c r="Q222" s="360"/>
      <c r="R222" s="360"/>
      <c r="S222" s="360"/>
      <c r="T222" s="360"/>
      <c r="U222" s="360"/>
      <c r="V222" s="672"/>
      <c r="W222" s="360"/>
      <c r="X222" s="360"/>
      <c r="Y222" s="360"/>
      <c r="Z222" s="360"/>
      <c r="AA222" s="360"/>
      <c r="AB222" s="360"/>
      <c r="AC222" s="360"/>
      <c r="AD222" s="360"/>
      <c r="AE222" s="360"/>
      <c r="AF222" s="672"/>
      <c r="AG222" s="360"/>
      <c r="AH222" s="360"/>
      <c r="AI222" s="360"/>
      <c r="AJ222" s="672"/>
      <c r="AK222" s="360"/>
      <c r="AL222" s="672"/>
      <c r="AM222" s="360"/>
      <c r="AN222" s="360"/>
      <c r="AO222" s="360"/>
      <c r="AP222" s="360"/>
      <c r="AQ222" s="360"/>
      <c r="AR222" s="360"/>
      <c r="AS222" s="360"/>
      <c r="AT222" s="360"/>
      <c r="AU222" s="360"/>
      <c r="AV222" s="360"/>
      <c r="AW222" s="360"/>
      <c r="AX222" s="360"/>
      <c r="AY222" s="360"/>
      <c r="AZ222" s="360"/>
      <c r="BA222" s="360"/>
      <c r="BB222" s="360"/>
      <c r="BC222" s="360"/>
      <c r="BD222" s="360"/>
      <c r="BE222" s="360"/>
      <c r="BF222" s="360"/>
      <c r="BG222" s="360"/>
      <c r="BH222" s="360"/>
      <c r="BI222" s="360"/>
      <c r="BJ222" s="360"/>
      <c r="BK222" s="360"/>
      <c r="BL222" s="360"/>
      <c r="BM222" s="360"/>
      <c r="BN222" s="360"/>
      <c r="BO222" s="360"/>
      <c r="BP222" s="360"/>
      <c r="BQ222" s="515"/>
      <c r="BR222" s="674" t="s">
        <v>313</v>
      </c>
      <c r="BS222" s="675" t="s">
        <v>314</v>
      </c>
      <c r="BT222" s="360"/>
      <c r="BU222" s="360"/>
      <c r="BV222" s="676" t="s">
        <v>92</v>
      </c>
      <c r="BW222" s="677">
        <f>SUMIF(B4:B220,"AFR",BW4:BW220)</f>
        <v>347.7595615</v>
      </c>
      <c r="BX222" s="677">
        <f>SUMIF(B4:B220,"AFR",BX4:BX220)</f>
        <v>217084.7841</v>
      </c>
      <c r="BY222" s="678">
        <f>SUMIF(B4:B220,"AFR",BY4:BY220)</f>
        <v>882251.6658</v>
      </c>
      <c r="BZ222" s="677">
        <f>SUMIF(B4:B220,"AFR",BZ4:BZ220)</f>
        <v>1234.959779</v>
      </c>
      <c r="CA222" s="677">
        <f>SUMIF(B4:B220,"AFR",CA4:CA220)</f>
        <v>0</v>
      </c>
      <c r="CB222" s="677">
        <f>SUMIF(B4:B220,"AFR",CB4:CB220)</f>
        <v>1683.90426</v>
      </c>
      <c r="CC222" s="677">
        <f>SUMIF(B4:B220,"AFR",CC4:CC220)</f>
        <v>40697.15871</v>
      </c>
      <c r="CD222" s="677">
        <f>SUMIF(B4:B220,"AFR",CD4:CD220)</f>
        <v>0</v>
      </c>
      <c r="CE222" s="677">
        <f>SUMIF(B4:B220,"AFR",CE4:CE220)</f>
        <v>166308.763</v>
      </c>
      <c r="CF222" s="677">
        <f>SUMIF(B4:B220,"AFR",CF4:CF220)</f>
        <v>0</v>
      </c>
      <c r="CG222" s="677">
        <f>SUMIF(B4:B220,"AFR",CG4:CG220)</f>
        <v>62805.32454</v>
      </c>
      <c r="CH222" s="360"/>
    </row>
    <row r="223">
      <c r="A223" s="360"/>
      <c r="B223" s="676" t="s">
        <v>318</v>
      </c>
      <c r="C223" s="676" t="s">
        <v>374</v>
      </c>
      <c r="D223" s="676" t="s">
        <v>375</v>
      </c>
      <c r="E223" s="360"/>
      <c r="F223" s="676" t="s">
        <v>20</v>
      </c>
      <c r="G223" s="360"/>
      <c r="H223" s="360"/>
      <c r="I223" s="676" t="s">
        <v>18</v>
      </c>
      <c r="J223" s="360"/>
      <c r="K223" s="360"/>
      <c r="L223" s="676" t="s">
        <v>17</v>
      </c>
      <c r="M223" s="360"/>
      <c r="N223" s="360"/>
      <c r="O223" s="676" t="s">
        <v>16</v>
      </c>
      <c r="P223" s="360"/>
      <c r="Q223" s="360"/>
      <c r="R223" s="676" t="s">
        <v>15</v>
      </c>
      <c r="S223" s="360"/>
      <c r="T223" s="360"/>
      <c r="U223" s="676" t="s">
        <v>376</v>
      </c>
      <c r="V223" s="672"/>
      <c r="W223" s="360"/>
      <c r="X223" s="360"/>
      <c r="Y223" s="360"/>
      <c r="Z223" s="360"/>
      <c r="AA223" s="360"/>
      <c r="AB223" s="360"/>
      <c r="AC223" s="360"/>
      <c r="AD223" s="360"/>
      <c r="AE223" s="360"/>
      <c r="AF223" s="672"/>
      <c r="AG223" s="360"/>
      <c r="AH223" s="360"/>
      <c r="AI223" s="360"/>
      <c r="AJ223" s="672"/>
      <c r="AK223" s="360"/>
      <c r="AL223" s="672"/>
      <c r="AM223" s="360"/>
      <c r="AN223" s="360"/>
      <c r="AO223" s="360"/>
      <c r="AP223" s="360"/>
      <c r="AQ223" s="360"/>
      <c r="AR223" s="360"/>
      <c r="AS223" s="360"/>
      <c r="AT223" s="360"/>
      <c r="AU223" s="360"/>
      <c r="AV223" s="360"/>
      <c r="AW223" s="360"/>
      <c r="AX223" s="360"/>
      <c r="AY223" s="360"/>
      <c r="AZ223" s="360"/>
      <c r="BA223" s="360"/>
      <c r="BB223" s="360"/>
      <c r="BC223" s="360"/>
      <c r="BD223" s="360"/>
      <c r="BE223" s="360"/>
      <c r="BF223" s="360"/>
      <c r="BG223" s="360"/>
      <c r="BH223" s="360"/>
      <c r="BI223" s="360"/>
      <c r="BJ223" s="360"/>
      <c r="BK223" s="360"/>
      <c r="BL223" s="360"/>
      <c r="BM223" s="360"/>
      <c r="BN223" s="360"/>
      <c r="BO223" s="360"/>
      <c r="BP223" s="360"/>
      <c r="BQ223" s="515"/>
      <c r="BR223" s="674" t="s">
        <v>316</v>
      </c>
      <c r="BS223" s="679" t="s">
        <v>317</v>
      </c>
      <c r="BT223" s="360"/>
      <c r="BU223" s="360"/>
      <c r="BV223" s="676" t="s">
        <v>94</v>
      </c>
      <c r="BW223" s="677">
        <f>SUMIF(B4:B220,"WPR",BW4:BW220)</f>
        <v>420.5069723</v>
      </c>
      <c r="BX223" s="677">
        <f>SUMIF(B4:B220,"WPR",BX4:BX220)</f>
        <v>4726.07004</v>
      </c>
      <c r="BY223" s="678">
        <f>SUMIF(B4:B220,"WPR",BY4:BY220)</f>
        <v>48422.91479</v>
      </c>
      <c r="BZ223" s="677">
        <f>SUMIF(B4:B220,"WPR",BZ4:BZ220)</f>
        <v>0</v>
      </c>
      <c r="CA223" s="677">
        <f>SUMIF(B4:B220,"WPR",CA4:CA220)</f>
        <v>0</v>
      </c>
      <c r="CB223" s="677">
        <f>SUMIF(B4:B220,"WPR",CB4:CB220)</f>
        <v>0</v>
      </c>
      <c r="CC223" s="677">
        <f>SUMIF(B4:B220,"WPR",CC4:CC220)</f>
        <v>0</v>
      </c>
      <c r="CD223" s="677">
        <f>SUMIF(B4:B220,"WPR",CD4:CD220)</f>
        <v>0</v>
      </c>
      <c r="CE223" s="677">
        <f>SUMIF(B4:B220,"WPR",CE4:CE220)</f>
        <v>0</v>
      </c>
      <c r="CF223" s="677">
        <f>SUMIF(B4:B220,"WPR",CF4:CF220)</f>
        <v>0</v>
      </c>
      <c r="CG223" s="677">
        <f>SUMIF(B4:B220,"WPR",CG4:CG220)</f>
        <v>0</v>
      </c>
      <c r="CH223" s="360"/>
    </row>
    <row r="224">
      <c r="A224" s="360"/>
      <c r="B224" s="676" t="s">
        <v>323</v>
      </c>
      <c r="C224" s="676" t="s">
        <v>324</v>
      </c>
      <c r="D224" s="680">
        <f>(BX3+CB3+CG3)/2</f>
        <v>291695.2884</v>
      </c>
      <c r="E224" s="360"/>
      <c r="F224" s="676" t="s">
        <v>318</v>
      </c>
      <c r="G224" s="676" t="s">
        <v>374</v>
      </c>
      <c r="H224" s="676" t="s">
        <v>375</v>
      </c>
      <c r="I224" s="676" t="s">
        <v>318</v>
      </c>
      <c r="J224" s="676" t="s">
        <v>374</v>
      </c>
      <c r="K224" s="676" t="s">
        <v>375</v>
      </c>
      <c r="L224" s="676" t="s">
        <v>318</v>
      </c>
      <c r="M224" s="676" t="s">
        <v>374</v>
      </c>
      <c r="N224" s="676" t="s">
        <v>375</v>
      </c>
      <c r="O224" s="676" t="s">
        <v>318</v>
      </c>
      <c r="P224" s="676" t="s">
        <v>374</v>
      </c>
      <c r="Q224" s="676" t="s">
        <v>375</v>
      </c>
      <c r="R224" s="676" t="s">
        <v>318</v>
      </c>
      <c r="S224" s="676" t="s">
        <v>374</v>
      </c>
      <c r="T224" s="676" t="s">
        <v>375</v>
      </c>
      <c r="U224" s="676" t="s">
        <v>318</v>
      </c>
      <c r="V224" s="672" t="s">
        <v>374</v>
      </c>
      <c r="W224" s="676" t="s">
        <v>375</v>
      </c>
      <c r="X224" s="360"/>
      <c r="Y224" s="360"/>
      <c r="Z224" s="360"/>
      <c r="AA224" s="360"/>
      <c r="AB224" s="360"/>
      <c r="AC224" s="360"/>
      <c r="AD224" s="360"/>
      <c r="AE224" s="360"/>
      <c r="AF224" s="672"/>
      <c r="AG224" s="360"/>
      <c r="AH224" s="360"/>
      <c r="AI224" s="360"/>
      <c r="AJ224" s="672"/>
      <c r="AK224" s="360"/>
      <c r="AL224" s="672"/>
      <c r="AM224" s="360"/>
      <c r="AN224" s="360"/>
      <c r="AO224" s="360"/>
      <c r="AP224" s="360"/>
      <c r="AQ224" s="360"/>
      <c r="AR224" s="360"/>
      <c r="AS224" s="360"/>
      <c r="AT224" s="360"/>
      <c r="AU224" s="360"/>
      <c r="AV224" s="360"/>
      <c r="AW224" s="360"/>
      <c r="AX224" s="360"/>
      <c r="AY224" s="360"/>
      <c r="AZ224" s="360"/>
      <c r="BA224" s="360"/>
      <c r="BB224" s="360"/>
      <c r="BC224" s="360"/>
      <c r="BD224" s="360"/>
      <c r="BE224" s="360"/>
      <c r="BF224" s="360"/>
      <c r="BG224" s="360"/>
      <c r="BH224" s="360"/>
      <c r="BI224" s="360"/>
      <c r="BJ224" s="360"/>
      <c r="BK224" s="360"/>
      <c r="BL224" s="360"/>
      <c r="BM224" s="360"/>
      <c r="BN224" s="360"/>
      <c r="BO224" s="360"/>
      <c r="BP224" s="360"/>
      <c r="BQ224" s="515"/>
      <c r="BR224" s="674" t="s">
        <v>319</v>
      </c>
      <c r="BS224" s="675" t="s">
        <v>320</v>
      </c>
      <c r="BT224" s="360"/>
      <c r="BU224" s="360"/>
      <c r="BV224" s="676" t="s">
        <v>98</v>
      </c>
      <c r="BW224" s="677">
        <f>SUMIF(B4:B220,"AMR",BW4:BW220)</f>
        <v>2192.048916</v>
      </c>
      <c r="BX224" s="677">
        <f>SUMIF(B4:B220,"AMR",BX4:BX220)</f>
        <v>17836.04711</v>
      </c>
      <c r="BY224" s="681">
        <f>SUMIF(B4:B220,"AMR",BY4:BY220)</f>
        <v>156.7249528</v>
      </c>
      <c r="BZ224" s="677">
        <f>SUMIF(B4:B220,"AMR",BZ4:BZ220)</f>
        <v>466.2880268</v>
      </c>
      <c r="CA224" s="677">
        <f>SUMIF(B4:B220,"AMR",CA4:CA220)</f>
        <v>839.0276863</v>
      </c>
      <c r="CB224" s="677">
        <f>SUMIF(B4:B220,"AMR",CB4:CB220)</f>
        <v>0</v>
      </c>
      <c r="CC224" s="677">
        <f>SUMIF(B4:B220,"AMR",CC4:CC220)</f>
        <v>134.722248</v>
      </c>
      <c r="CD224" s="677">
        <f>SUMIF(B4:B220,"AMR",CD4:CD220)</f>
        <v>14.68700392</v>
      </c>
      <c r="CE224" s="677">
        <f>SUMIF(B4:B220,"AMR",CE4:CE220)</f>
        <v>3387.029984</v>
      </c>
      <c r="CF224" s="677">
        <f>SUMIF(B4:B220,"AMR",CF4:CF220)</f>
        <v>2044.840147</v>
      </c>
      <c r="CG224" s="677">
        <f>SUMIF(B4:B220,"AMR",CG4:CG220)</f>
        <v>0</v>
      </c>
      <c r="CH224" s="360"/>
    </row>
    <row r="225">
      <c r="A225" s="360"/>
      <c r="B225" s="676" t="s">
        <v>2</v>
      </c>
      <c r="C225" s="676" t="s">
        <v>66</v>
      </c>
      <c r="D225" s="680">
        <f>BY3</f>
        <v>1012603.39</v>
      </c>
      <c r="E225" s="360"/>
      <c r="F225" s="676" t="s">
        <v>4</v>
      </c>
      <c r="G225" s="676" t="s">
        <v>80</v>
      </c>
      <c r="H225" s="682">
        <f>($BW$3+$BX$3)/2</f>
        <v>151773.5881</v>
      </c>
      <c r="I225" s="676" t="s">
        <v>2</v>
      </c>
      <c r="J225" s="676" t="s">
        <v>66</v>
      </c>
      <c r="K225" s="680">
        <f>$BY$3</f>
        <v>1012603.39</v>
      </c>
      <c r="L225" s="676" t="s">
        <v>4</v>
      </c>
      <c r="M225" s="676" t="s">
        <v>80</v>
      </c>
      <c r="N225" s="680">
        <f>$BZ$3+$CB$3/2</f>
        <v>10188.78211</v>
      </c>
      <c r="O225" s="676" t="s">
        <v>4</v>
      </c>
      <c r="P225" s="676" t="s">
        <v>80</v>
      </c>
      <c r="Q225" s="671">
        <v>0.0</v>
      </c>
      <c r="R225" s="676" t="s">
        <v>4</v>
      </c>
      <c r="S225" s="676" t="s">
        <v>80</v>
      </c>
      <c r="T225" s="680">
        <f>$CE$3+$CG$3/2</f>
        <v>527541.0264</v>
      </c>
      <c r="U225" s="676" t="s">
        <v>323</v>
      </c>
      <c r="V225" s="672" t="s">
        <v>324</v>
      </c>
      <c r="W225" s="680">
        <f>$CH$3</f>
        <v>52587.21669</v>
      </c>
      <c r="X225" s="360"/>
      <c r="Y225" s="360"/>
      <c r="Z225" s="360"/>
      <c r="AA225" s="360"/>
      <c r="AB225" s="360"/>
      <c r="AC225" s="360"/>
      <c r="AD225" s="360"/>
      <c r="AE225" s="360"/>
      <c r="AF225" s="672"/>
      <c r="AG225" s="360"/>
      <c r="AH225" s="360"/>
      <c r="AI225" s="360"/>
      <c r="AJ225" s="672"/>
      <c r="AK225" s="360"/>
      <c r="AL225" s="672"/>
      <c r="AM225" s="360"/>
      <c r="AN225" s="360"/>
      <c r="AO225" s="360"/>
      <c r="AP225" s="360"/>
      <c r="AQ225" s="360"/>
      <c r="AR225" s="360"/>
      <c r="AS225" s="360"/>
      <c r="AT225" s="360"/>
      <c r="AU225" s="360"/>
      <c r="AV225" s="360"/>
      <c r="AW225" s="360"/>
      <c r="AX225" s="360"/>
      <c r="AY225" s="360"/>
      <c r="AZ225" s="360"/>
      <c r="BA225" s="360"/>
      <c r="BB225" s="360"/>
      <c r="BC225" s="360"/>
      <c r="BD225" s="360"/>
      <c r="BE225" s="360"/>
      <c r="BF225" s="360"/>
      <c r="BG225" s="360"/>
      <c r="BH225" s="360"/>
      <c r="BI225" s="360"/>
      <c r="BJ225" s="360"/>
      <c r="BK225" s="360"/>
      <c r="BL225" s="360"/>
      <c r="BM225" s="360"/>
      <c r="BN225" s="360"/>
      <c r="BO225" s="360"/>
      <c r="BP225" s="360"/>
      <c r="BQ225" s="515"/>
      <c r="BR225" s="674" t="s">
        <v>328</v>
      </c>
      <c r="BS225" s="675" t="s">
        <v>329</v>
      </c>
      <c r="BT225" s="360"/>
      <c r="BU225" s="360"/>
      <c r="BV225" s="676" t="s">
        <v>90</v>
      </c>
      <c r="BW225" s="677">
        <f>SUMIF(B4:B220,"EUR",BW4:BW220)</f>
        <v>0</v>
      </c>
      <c r="BX225" s="677">
        <f>SUMIF(B4:B220,"EUR",BX4:BX220)</f>
        <v>0</v>
      </c>
      <c r="BY225" s="681">
        <f>SUMIF(B4:B220,"EUR",BY4:BY220)</f>
        <v>0</v>
      </c>
      <c r="BZ225" s="677">
        <f>SUMIF(B4:B220,"EUR",BZ4:BZ220)</f>
        <v>0</v>
      </c>
      <c r="CA225" s="677">
        <f>SUMIF(B4:B220,"EUR",CA4:CA220)</f>
        <v>0</v>
      </c>
      <c r="CB225" s="677">
        <f>SUMIF(B4:B220,"EUR",CB4:CB220)</f>
        <v>0</v>
      </c>
      <c r="CC225" s="677">
        <f>SUMIF(B4:B220,"EUR",CC4:CC220)</f>
        <v>0</v>
      </c>
      <c r="CD225" s="677">
        <f>SUMIF(B4:B220,"EUR",CD4:CD220)</f>
        <v>0</v>
      </c>
      <c r="CE225" s="677">
        <f>SUMIF(B4:B220,"EUR",CE4:CE220)</f>
        <v>0</v>
      </c>
      <c r="CF225" s="677">
        <f>SUMIF(B4:B220,"EUR",CF4:CF220)</f>
        <v>0</v>
      </c>
      <c r="CG225" s="677">
        <f>SUMIF(B4:B220,"EUR",CG4:CG220)</f>
        <v>0</v>
      </c>
      <c r="CH225" s="360"/>
    </row>
    <row r="226">
      <c r="A226" s="360"/>
      <c r="B226" s="676" t="s">
        <v>321</v>
      </c>
      <c r="C226" s="676" t="s">
        <v>322</v>
      </c>
      <c r="D226" s="680">
        <f>BW3/2</f>
        <v>11873.0538</v>
      </c>
      <c r="E226" s="360"/>
      <c r="F226" s="676" t="s">
        <v>321</v>
      </c>
      <c r="G226" s="676" t="s">
        <v>322</v>
      </c>
      <c r="H226" s="682">
        <f>$BW$3/2</f>
        <v>11873.0538</v>
      </c>
      <c r="I226" s="360"/>
      <c r="J226" s="360"/>
      <c r="K226" s="360"/>
      <c r="L226" s="676" t="s">
        <v>323</v>
      </c>
      <c r="M226" s="676" t="s">
        <v>324</v>
      </c>
      <c r="N226" s="671">
        <f>$CB$3/2</f>
        <v>3782.742001</v>
      </c>
      <c r="O226" s="676" t="s">
        <v>5</v>
      </c>
      <c r="P226" s="676" t="s">
        <v>325</v>
      </c>
      <c r="Q226" s="671">
        <v>0.0</v>
      </c>
      <c r="R226" s="676" t="s">
        <v>323</v>
      </c>
      <c r="S226" s="676" t="s">
        <v>324</v>
      </c>
      <c r="T226" s="671">
        <f>$CG$3/2</f>
        <v>148012.0121</v>
      </c>
      <c r="U226" s="360"/>
      <c r="V226" s="672"/>
      <c r="W226" s="360"/>
      <c r="X226" s="360"/>
      <c r="Y226" s="360"/>
      <c r="Z226" s="360"/>
      <c r="AA226" s="360"/>
      <c r="AB226" s="360"/>
      <c r="AC226" s="360"/>
      <c r="AD226" s="360"/>
      <c r="AE226" s="360"/>
      <c r="AF226" s="672"/>
      <c r="AG226" s="360"/>
      <c r="AH226" s="360"/>
      <c r="AI226" s="360"/>
      <c r="AJ226" s="672"/>
      <c r="AK226" s="360"/>
      <c r="AL226" s="672"/>
      <c r="AM226" s="360"/>
      <c r="AN226" s="360"/>
      <c r="AO226" s="360"/>
      <c r="AP226" s="360"/>
      <c r="AQ226" s="360"/>
      <c r="AR226" s="360"/>
      <c r="AS226" s="360"/>
      <c r="AT226" s="360"/>
      <c r="AU226" s="360"/>
      <c r="AV226" s="360"/>
      <c r="AW226" s="360"/>
      <c r="AX226" s="360"/>
      <c r="AY226" s="360"/>
      <c r="AZ226" s="360"/>
      <c r="BA226" s="360"/>
      <c r="BB226" s="360"/>
      <c r="BC226" s="360"/>
      <c r="BD226" s="360"/>
      <c r="BE226" s="360"/>
      <c r="BF226" s="360"/>
      <c r="BG226" s="360"/>
      <c r="BH226" s="360"/>
      <c r="BI226" s="360"/>
      <c r="BJ226" s="360"/>
      <c r="BK226" s="360"/>
      <c r="BL226" s="360"/>
      <c r="BM226" s="360"/>
      <c r="BN226" s="360"/>
      <c r="BO226" s="360"/>
      <c r="BP226" s="360"/>
      <c r="BQ226" s="515"/>
      <c r="BR226" s="674" t="s">
        <v>326</v>
      </c>
      <c r="BS226" s="675" t="s">
        <v>327</v>
      </c>
      <c r="BT226" s="360"/>
      <c r="BU226" s="360"/>
      <c r="BV226" s="676" t="s">
        <v>109</v>
      </c>
      <c r="BW226" s="677">
        <f>SUMIF(B4:B220,"SEA",BW4:BW220)</f>
        <v>20785.79216</v>
      </c>
      <c r="BX226" s="677">
        <f>SUMIF(B4:B220,"SEA",BX4:BX220)</f>
        <v>40024.03269</v>
      </c>
      <c r="BY226" s="681">
        <f>SUMIF(B4:B220,"SEA",BY4:BY220)</f>
        <v>49.15781703</v>
      </c>
      <c r="BZ226" s="677">
        <f>SUMIF(B4:B220,"SEA",BZ4:BZ220)</f>
        <v>4704.792305</v>
      </c>
      <c r="CA226" s="677">
        <f>SUMIF(B4:B220,"SEA",CA4:CA220)</f>
        <v>0</v>
      </c>
      <c r="CB226" s="677">
        <f>SUMIF(B4:B220,"SEA",CB4:CB220)</f>
        <v>5881.579742</v>
      </c>
      <c r="CC226" s="677">
        <f>SUMIF(B4:B220,"SEA",CC4:CC220)</f>
        <v>6074.393156</v>
      </c>
      <c r="CD226" s="677">
        <f>SUMIF(B4:B220,"SEA",CD4:CD220)</f>
        <v>0</v>
      </c>
      <c r="CE226" s="677">
        <f>SUMIF(B4:B220,"SEA",CE4:CE220)</f>
        <v>209833.2213</v>
      </c>
      <c r="CF226" s="677">
        <f>SUMIF(B4:B220,"SEA",CF4:CF220)</f>
        <v>0</v>
      </c>
      <c r="CG226" s="677">
        <f>SUMIF(B4:B220,"SEA",CG4:CG220)</f>
        <v>233218.6997</v>
      </c>
      <c r="CH226" s="360"/>
    </row>
    <row r="227">
      <c r="A227" s="360"/>
      <c r="B227" s="676" t="s">
        <v>4</v>
      </c>
      <c r="C227" s="676" t="s">
        <v>80</v>
      </c>
      <c r="D227" s="680">
        <f>BW3/2+BX3/2+BZ3+CB3/2+CC3+CE3+CG3/2</f>
        <v>736409.6707</v>
      </c>
      <c r="E227" s="360"/>
      <c r="F227" s="676" t="s">
        <v>323</v>
      </c>
      <c r="G227" s="676" t="s">
        <v>324</v>
      </c>
      <c r="H227" s="682">
        <f>$BX$3/2</f>
        <v>139900.5343</v>
      </c>
      <c r="I227" s="360"/>
      <c r="J227" s="360"/>
      <c r="K227" s="360"/>
      <c r="L227" s="676" t="s">
        <v>5</v>
      </c>
      <c r="M227" s="676" t="s">
        <v>325</v>
      </c>
      <c r="N227" s="680">
        <f>$CA$3</f>
        <v>839.0276863</v>
      </c>
      <c r="O227" s="360"/>
      <c r="P227" s="360"/>
      <c r="Q227" s="360"/>
      <c r="R227" s="676" t="s">
        <v>5</v>
      </c>
      <c r="S227" s="676" t="s">
        <v>325</v>
      </c>
      <c r="T227" s="680">
        <f>$CF$3</f>
        <v>2044.840147</v>
      </c>
      <c r="U227" s="360"/>
      <c r="V227" s="672"/>
      <c r="W227" s="360"/>
      <c r="X227" s="360"/>
      <c r="Y227" s="360"/>
      <c r="Z227" s="360"/>
      <c r="AA227" s="360"/>
      <c r="AB227" s="360"/>
      <c r="AC227" s="360"/>
      <c r="AD227" s="360"/>
      <c r="AE227" s="360"/>
      <c r="AF227" s="672"/>
      <c r="AG227" s="360"/>
      <c r="AH227" s="360"/>
      <c r="AI227" s="360"/>
      <c r="AJ227" s="672"/>
      <c r="AK227" s="360"/>
      <c r="AL227" s="672"/>
      <c r="AM227" s="360"/>
      <c r="AN227" s="360"/>
      <c r="AO227" s="360"/>
      <c r="AP227" s="360"/>
      <c r="AQ227" s="360"/>
      <c r="AR227" s="360"/>
      <c r="AS227" s="360"/>
      <c r="AT227" s="360"/>
      <c r="AU227" s="360"/>
      <c r="AV227" s="360"/>
      <c r="AW227" s="360"/>
      <c r="AX227" s="360"/>
      <c r="AY227" s="360"/>
      <c r="AZ227" s="360"/>
      <c r="BA227" s="360"/>
      <c r="BB227" s="360"/>
      <c r="BC227" s="360"/>
      <c r="BD227" s="360"/>
      <c r="BE227" s="360"/>
      <c r="BF227" s="360"/>
      <c r="BG227" s="360"/>
      <c r="BH227" s="360"/>
      <c r="BI227" s="360"/>
      <c r="BJ227" s="360"/>
      <c r="BK227" s="360"/>
      <c r="BL227" s="360"/>
      <c r="BM227" s="360"/>
      <c r="BN227" s="360"/>
      <c r="BO227" s="360"/>
      <c r="BP227" s="360"/>
      <c r="BQ227" s="515"/>
      <c r="BR227" s="674" t="s">
        <v>330</v>
      </c>
      <c r="BS227" s="675" t="s">
        <v>331</v>
      </c>
      <c r="BT227" s="360"/>
      <c r="BU227" s="360"/>
      <c r="BV227" s="360"/>
      <c r="BW227" s="360"/>
      <c r="BX227" s="683"/>
      <c r="BY227" s="683"/>
      <c r="BZ227" s="683"/>
      <c r="CA227" s="360"/>
      <c r="CB227" s="360"/>
      <c r="CC227" s="360"/>
      <c r="CD227" s="360"/>
      <c r="CE227" s="360"/>
      <c r="CF227" s="360"/>
      <c r="CG227" s="360"/>
      <c r="CH227" s="360"/>
    </row>
    <row r="228">
      <c r="A228" s="360"/>
      <c r="B228" s="676" t="s">
        <v>5</v>
      </c>
      <c r="C228" s="676" t="s">
        <v>325</v>
      </c>
      <c r="D228" s="680">
        <f>CA3+CD3+CF3</f>
        <v>2898.554838</v>
      </c>
      <c r="E228" s="360"/>
      <c r="F228" s="360"/>
      <c r="G228" s="360"/>
      <c r="H228" s="360"/>
      <c r="I228" s="360"/>
      <c r="J228" s="360"/>
      <c r="K228" s="360"/>
      <c r="L228" s="360"/>
      <c r="M228" s="360"/>
      <c r="N228" s="360"/>
      <c r="O228" s="360"/>
      <c r="P228" s="360"/>
      <c r="Q228" s="360"/>
      <c r="R228" s="360"/>
      <c r="S228" s="360"/>
      <c r="T228" s="360"/>
      <c r="U228" s="360"/>
      <c r="V228" s="672"/>
      <c r="W228" s="360"/>
      <c r="X228" s="360"/>
      <c r="Y228" s="360"/>
      <c r="Z228" s="360"/>
      <c r="AA228" s="360"/>
      <c r="AB228" s="360"/>
      <c r="AC228" s="360"/>
      <c r="AD228" s="360"/>
      <c r="AE228" s="360"/>
      <c r="AF228" s="672"/>
      <c r="AG228" s="360"/>
      <c r="AH228" s="360"/>
      <c r="AI228" s="360"/>
      <c r="AJ228" s="672"/>
      <c r="AK228" s="360"/>
      <c r="AL228" s="672"/>
      <c r="AM228" s="360"/>
      <c r="AN228" s="360"/>
      <c r="AO228" s="360"/>
      <c r="AP228" s="360"/>
      <c r="AQ228" s="360"/>
      <c r="AR228" s="360"/>
      <c r="AS228" s="360"/>
      <c r="AT228" s="360"/>
      <c r="AU228" s="360"/>
      <c r="AV228" s="360"/>
      <c r="AW228" s="360"/>
      <c r="AX228" s="360"/>
      <c r="AY228" s="360"/>
      <c r="AZ228" s="360"/>
      <c r="BA228" s="360"/>
      <c r="BB228" s="360"/>
      <c r="BC228" s="360"/>
      <c r="BD228" s="360"/>
      <c r="BE228" s="360"/>
      <c r="BF228" s="360"/>
      <c r="BG228" s="360"/>
      <c r="BH228" s="360"/>
      <c r="BI228" s="360"/>
      <c r="BJ228" s="360"/>
      <c r="BK228" s="360"/>
      <c r="BL228" s="360"/>
      <c r="BM228" s="360"/>
      <c r="BN228" s="360"/>
      <c r="BO228" s="360"/>
      <c r="BP228" s="360"/>
      <c r="BQ228" s="515"/>
      <c r="BR228" s="674" t="s">
        <v>332</v>
      </c>
      <c r="BS228" s="675" t="s">
        <v>333</v>
      </c>
      <c r="BT228" s="360"/>
      <c r="BU228" s="360"/>
      <c r="BV228" s="360"/>
      <c r="BW228" s="360"/>
      <c r="BX228" s="683"/>
      <c r="BY228" s="683"/>
      <c r="BZ228" s="683"/>
      <c r="CA228" s="360"/>
      <c r="CB228" s="360"/>
      <c r="CC228" s="360"/>
      <c r="CD228" s="360"/>
      <c r="CE228" s="360"/>
      <c r="CF228" s="360"/>
      <c r="CG228" s="360"/>
      <c r="CH228" s="360"/>
    </row>
    <row r="229">
      <c r="A229" s="360"/>
      <c r="B229" s="360"/>
      <c r="C229" s="360"/>
      <c r="D229" s="360"/>
      <c r="E229" s="360"/>
      <c r="F229" s="360"/>
      <c r="G229" s="360"/>
      <c r="H229" s="360"/>
      <c r="I229" s="360"/>
      <c r="J229" s="360"/>
      <c r="K229" s="360"/>
      <c r="L229" s="360"/>
      <c r="M229" s="360"/>
      <c r="N229" s="360"/>
      <c r="O229" s="360"/>
      <c r="P229" s="360"/>
      <c r="Q229" s="360"/>
      <c r="R229" s="360"/>
      <c r="S229" s="360"/>
      <c r="T229" s="360"/>
      <c r="U229" s="360"/>
      <c r="V229" s="672"/>
      <c r="W229" s="360"/>
      <c r="X229" s="360"/>
      <c r="Y229" s="360"/>
      <c r="Z229" s="360"/>
      <c r="AA229" s="360"/>
      <c r="AB229" s="360"/>
      <c r="AC229" s="360"/>
      <c r="AD229" s="360"/>
      <c r="AE229" s="360"/>
      <c r="AF229" s="672"/>
      <c r="AG229" s="360"/>
      <c r="AH229" s="360"/>
      <c r="AI229" s="360"/>
      <c r="AJ229" s="672"/>
      <c r="AK229" s="360"/>
      <c r="AL229" s="672"/>
      <c r="AM229" s="360"/>
      <c r="AN229" s="360"/>
      <c r="AO229" s="360"/>
      <c r="AP229" s="360"/>
      <c r="AQ229" s="360"/>
      <c r="AR229" s="360"/>
      <c r="AS229" s="360"/>
      <c r="AT229" s="360"/>
      <c r="AU229" s="360"/>
      <c r="AV229" s="360"/>
      <c r="AW229" s="360"/>
      <c r="AX229" s="360"/>
      <c r="AY229" s="360"/>
      <c r="AZ229" s="360"/>
      <c r="BA229" s="360"/>
      <c r="BB229" s="360"/>
      <c r="BC229" s="360"/>
      <c r="BD229" s="360"/>
      <c r="BE229" s="360"/>
      <c r="BF229" s="360"/>
      <c r="BG229" s="360"/>
      <c r="BH229" s="360"/>
      <c r="BI229" s="360"/>
      <c r="BJ229" s="360"/>
      <c r="BK229" s="360"/>
      <c r="BL229" s="360"/>
      <c r="BM229" s="360"/>
      <c r="BN229" s="360"/>
      <c r="BO229" s="360"/>
      <c r="BP229" s="360"/>
      <c r="BQ229" s="515"/>
      <c r="BR229" s="674" t="s">
        <v>348</v>
      </c>
      <c r="BS229" s="675" t="s">
        <v>349</v>
      </c>
      <c r="BT229" s="360"/>
      <c r="BU229" s="360"/>
      <c r="BV229" s="360"/>
      <c r="BW229" s="360"/>
      <c r="BX229" s="683"/>
      <c r="BY229" s="683"/>
      <c r="BZ229" s="683"/>
      <c r="CA229" s="360"/>
      <c r="CB229" s="360"/>
      <c r="CC229" s="360"/>
      <c r="CD229" s="360"/>
      <c r="CE229" s="360"/>
      <c r="CF229" s="360"/>
      <c r="CG229" s="360"/>
      <c r="CH229" s="360"/>
    </row>
    <row r="230">
      <c r="A230" s="360"/>
      <c r="B230" s="360"/>
      <c r="C230" s="360"/>
      <c r="D230" s="360"/>
      <c r="E230" s="360"/>
      <c r="F230" s="360"/>
      <c r="G230" s="360"/>
      <c r="H230" s="360"/>
      <c r="I230" s="360"/>
      <c r="J230" s="360"/>
      <c r="K230" s="360"/>
      <c r="L230" s="360"/>
      <c r="M230" s="360"/>
      <c r="N230" s="360"/>
      <c r="O230" s="360"/>
      <c r="P230" s="360"/>
      <c r="Q230" s="360"/>
      <c r="R230" s="360"/>
      <c r="S230" s="360"/>
      <c r="T230" s="360"/>
      <c r="U230" s="360"/>
      <c r="V230" s="672"/>
      <c r="W230" s="360"/>
      <c r="X230" s="360"/>
      <c r="Y230" s="360"/>
      <c r="Z230" s="360"/>
      <c r="AA230" s="360"/>
      <c r="AB230" s="360"/>
      <c r="AC230" s="360"/>
      <c r="AD230" s="360"/>
      <c r="AE230" s="360"/>
      <c r="AF230" s="672"/>
      <c r="AG230" s="360"/>
      <c r="AH230" s="360"/>
      <c r="AI230" s="360"/>
      <c r="AJ230" s="672"/>
      <c r="AK230" s="360"/>
      <c r="AL230" s="672"/>
      <c r="AM230" s="360"/>
      <c r="AN230" s="360"/>
      <c r="AO230" s="360"/>
      <c r="AP230" s="360"/>
      <c r="AQ230" s="360"/>
      <c r="AR230" s="360"/>
      <c r="AS230" s="360"/>
      <c r="AT230" s="360"/>
      <c r="AU230" s="360"/>
      <c r="AV230" s="360"/>
      <c r="AW230" s="360"/>
      <c r="AX230" s="360"/>
      <c r="AY230" s="360"/>
      <c r="AZ230" s="360"/>
      <c r="BA230" s="360"/>
      <c r="BB230" s="360"/>
      <c r="BC230" s="360"/>
      <c r="BD230" s="360"/>
      <c r="BE230" s="360"/>
      <c r="BF230" s="360"/>
      <c r="BG230" s="360"/>
      <c r="BH230" s="360"/>
      <c r="BI230" s="360"/>
      <c r="BJ230" s="360"/>
      <c r="BK230" s="360"/>
      <c r="BL230" s="360"/>
      <c r="BM230" s="360"/>
      <c r="BN230" s="360"/>
      <c r="BO230" s="360"/>
      <c r="BP230" s="360"/>
      <c r="BQ230" s="515"/>
      <c r="BR230" s="674" t="s">
        <v>336</v>
      </c>
      <c r="BS230" s="675" t="s">
        <v>337</v>
      </c>
      <c r="BT230" s="360"/>
      <c r="BU230" s="360"/>
      <c r="BV230" s="360"/>
      <c r="BW230" s="684" t="s">
        <v>338</v>
      </c>
      <c r="BX230" s="684" t="s">
        <v>339</v>
      </c>
      <c r="BY230" s="684" t="s">
        <v>340</v>
      </c>
      <c r="BZ230" s="684" t="s">
        <v>341</v>
      </c>
      <c r="CA230" s="684" t="s">
        <v>342</v>
      </c>
      <c r="CB230" s="684" t="s">
        <v>343</v>
      </c>
      <c r="CC230" s="684" t="s">
        <v>377</v>
      </c>
      <c r="CD230" s="360"/>
      <c r="CE230" s="360"/>
      <c r="CF230" s="360"/>
      <c r="CG230" s="360"/>
      <c r="CH230" s="360"/>
    </row>
    <row r="231">
      <c r="A231" s="360"/>
      <c r="B231" s="360"/>
      <c r="C231" s="360"/>
      <c r="D231" s="360"/>
      <c r="E231" s="360"/>
      <c r="F231" s="360"/>
      <c r="G231" s="360"/>
      <c r="H231" s="360"/>
      <c r="I231" s="360"/>
      <c r="J231" s="360"/>
      <c r="K231" s="360"/>
      <c r="L231" s="360"/>
      <c r="M231" s="360"/>
      <c r="N231" s="360"/>
      <c r="O231" s="360"/>
      <c r="P231" s="360"/>
      <c r="Q231" s="360"/>
      <c r="R231" s="360"/>
      <c r="S231" s="360"/>
      <c r="T231" s="360"/>
      <c r="U231" s="360"/>
      <c r="V231" s="672"/>
      <c r="W231" s="360"/>
      <c r="X231" s="360"/>
      <c r="Y231" s="360"/>
      <c r="Z231" s="360"/>
      <c r="AA231" s="360"/>
      <c r="AB231" s="360"/>
      <c r="AC231" s="360"/>
      <c r="AD231" s="360"/>
      <c r="AE231" s="360"/>
      <c r="AF231" s="672"/>
      <c r="AG231" s="360"/>
      <c r="AH231" s="360"/>
      <c r="AI231" s="360"/>
      <c r="AJ231" s="672"/>
      <c r="AK231" s="360"/>
      <c r="AL231" s="672"/>
      <c r="AM231" s="360"/>
      <c r="AN231" s="360"/>
      <c r="AO231" s="360"/>
      <c r="AP231" s="360"/>
      <c r="AQ231" s="360"/>
      <c r="AR231" s="360"/>
      <c r="AS231" s="360"/>
      <c r="AT231" s="360"/>
      <c r="AU231" s="360"/>
      <c r="AV231" s="360"/>
      <c r="AW231" s="360"/>
      <c r="AX231" s="360"/>
      <c r="AY231" s="360"/>
      <c r="AZ231" s="360"/>
      <c r="BA231" s="360"/>
      <c r="BB231" s="360"/>
      <c r="BC231" s="360"/>
      <c r="BD231" s="360"/>
      <c r="BE231" s="360"/>
      <c r="BF231" s="360"/>
      <c r="BG231" s="360"/>
      <c r="BH231" s="360"/>
      <c r="BI231" s="360"/>
      <c r="BJ231" s="360"/>
      <c r="BK231" s="360"/>
      <c r="BL231" s="360"/>
      <c r="BM231" s="360"/>
      <c r="BN231" s="360"/>
      <c r="BO231" s="360"/>
      <c r="BP231" s="360"/>
      <c r="BQ231" s="515"/>
      <c r="BR231" s="674" t="s">
        <v>344</v>
      </c>
      <c r="BS231" s="675" t="s">
        <v>345</v>
      </c>
      <c r="BT231" s="360"/>
      <c r="BU231" s="360"/>
      <c r="BV231" s="360"/>
      <c r="BW231" s="684" t="s">
        <v>88</v>
      </c>
      <c r="BX231" s="685">
        <f t="shared" ref="BX231:BX236" si="46">BW221+BX221</f>
        <v>130.1346211</v>
      </c>
      <c r="BY231" s="685">
        <f t="shared" ref="BY231:BY236" si="47">BY221</f>
        <v>81722.92689</v>
      </c>
      <c r="BZ231" s="685">
        <f t="shared" ref="BZ231:BZ236" si="48">BZ221+CA221+CB221</f>
        <v>0</v>
      </c>
      <c r="CA231" s="685">
        <f t="shared" ref="CA231:CA236" si="49">CC221+CD221</f>
        <v>0</v>
      </c>
      <c r="CB231" s="685">
        <f t="shared" ref="CB231:CB236" si="50">CE221+CF221+CG221</f>
        <v>0</v>
      </c>
      <c r="CC231" s="241">
        <f>SUMIF(B4:B220,"EMR",CH4:CH220)</f>
        <v>439.5961749</v>
      </c>
      <c r="CD231" s="360"/>
      <c r="CE231" s="360"/>
      <c r="CF231" s="360"/>
      <c r="CG231" s="360"/>
      <c r="CH231" s="360"/>
    </row>
    <row r="232">
      <c r="A232" s="360"/>
      <c r="B232" s="360"/>
      <c r="C232" s="680">
        <f>sum(CH3)</f>
        <v>52587.21669</v>
      </c>
      <c r="D232" s="680">
        <f>sum(D224:D228)</f>
        <v>2055479.958</v>
      </c>
      <c r="E232" s="360"/>
      <c r="F232" s="360"/>
      <c r="G232" s="360"/>
      <c r="H232" s="360"/>
      <c r="I232" s="360"/>
      <c r="J232" s="360"/>
      <c r="K232" s="360"/>
      <c r="L232" s="360"/>
      <c r="M232" s="360"/>
      <c r="N232" s="360"/>
      <c r="O232" s="360"/>
      <c r="P232" s="360"/>
      <c r="Q232" s="360"/>
      <c r="R232" s="360"/>
      <c r="S232" s="360"/>
      <c r="T232" s="360"/>
      <c r="U232" s="360"/>
      <c r="V232" s="672"/>
      <c r="W232" s="360"/>
      <c r="X232" s="360"/>
      <c r="Y232" s="360"/>
      <c r="Z232" s="360"/>
      <c r="AA232" s="360"/>
      <c r="AB232" s="360"/>
      <c r="AC232" s="360"/>
      <c r="AD232" s="360"/>
      <c r="AE232" s="360"/>
      <c r="AF232" s="672"/>
      <c r="AG232" s="360"/>
      <c r="AH232" s="360"/>
      <c r="AI232" s="360"/>
      <c r="AJ232" s="672"/>
      <c r="AK232" s="360"/>
      <c r="AL232" s="672"/>
      <c r="AM232" s="360"/>
      <c r="AN232" s="360"/>
      <c r="AO232" s="360"/>
      <c r="AP232" s="360"/>
      <c r="AQ232" s="360"/>
      <c r="AR232" s="360"/>
      <c r="AS232" s="360"/>
      <c r="AT232" s="360"/>
      <c r="AU232" s="360"/>
      <c r="AV232" s="360"/>
      <c r="AW232" s="360"/>
      <c r="AX232" s="360"/>
      <c r="AY232" s="360"/>
      <c r="AZ232" s="360"/>
      <c r="BA232" s="360"/>
      <c r="BB232" s="360"/>
      <c r="BC232" s="360"/>
      <c r="BD232" s="360"/>
      <c r="BE232" s="360"/>
      <c r="BF232" s="360"/>
      <c r="BG232" s="360"/>
      <c r="BH232" s="360"/>
      <c r="BI232" s="360"/>
      <c r="BJ232" s="360"/>
      <c r="BK232" s="360"/>
      <c r="BL232" s="360"/>
      <c r="BM232" s="360"/>
      <c r="BN232" s="360"/>
      <c r="BO232" s="360"/>
      <c r="BP232" s="360"/>
      <c r="BQ232" s="515"/>
      <c r="BR232" s="674" t="s">
        <v>346</v>
      </c>
      <c r="BS232" s="675" t="s">
        <v>347</v>
      </c>
      <c r="BT232" s="360"/>
      <c r="BU232" s="360"/>
      <c r="BV232" s="360"/>
      <c r="BW232" s="684" t="s">
        <v>92</v>
      </c>
      <c r="BX232" s="685">
        <f t="shared" si="46"/>
        <v>217432.5437</v>
      </c>
      <c r="BY232" s="685">
        <f t="shared" si="47"/>
        <v>882251.6658</v>
      </c>
      <c r="BZ232" s="685">
        <f t="shared" si="48"/>
        <v>2918.864039</v>
      </c>
      <c r="CA232" s="685">
        <f t="shared" si="49"/>
        <v>40697.15871</v>
      </c>
      <c r="CB232" s="685">
        <f t="shared" si="50"/>
        <v>229114.0876</v>
      </c>
      <c r="CC232" s="686">
        <f>SUMIF(B4:B220,"AFR",CH4:CH220)</f>
        <v>52147.62052</v>
      </c>
      <c r="CD232" s="360"/>
      <c r="CE232" s="360"/>
      <c r="CF232" s="360"/>
      <c r="CG232" s="360"/>
      <c r="CH232" s="360"/>
    </row>
    <row r="233">
      <c r="A233" s="360"/>
      <c r="B233" s="360"/>
      <c r="C233" s="360"/>
      <c r="D233" s="673">
        <f>C232/D232</f>
        <v>0.02558391119</v>
      </c>
      <c r="E233" s="360"/>
      <c r="F233" s="360"/>
      <c r="G233" s="360"/>
      <c r="H233" s="360"/>
      <c r="I233" s="360"/>
      <c r="J233" s="360"/>
      <c r="K233" s="360"/>
      <c r="L233" s="360"/>
      <c r="M233" s="360"/>
      <c r="N233" s="360"/>
      <c r="O233" s="360"/>
      <c r="P233" s="360"/>
      <c r="Q233" s="360"/>
      <c r="R233" s="360"/>
      <c r="S233" s="360"/>
      <c r="T233" s="360"/>
      <c r="U233" s="360"/>
      <c r="V233" s="672"/>
      <c r="W233" s="360"/>
      <c r="X233" s="360"/>
      <c r="Y233" s="360"/>
      <c r="Z233" s="360"/>
      <c r="AA233" s="360"/>
      <c r="AB233" s="360"/>
      <c r="AC233" s="360"/>
      <c r="AD233" s="360"/>
      <c r="AE233" s="360"/>
      <c r="AF233" s="672"/>
      <c r="AG233" s="360"/>
      <c r="AH233" s="360"/>
      <c r="AI233" s="360"/>
      <c r="AJ233" s="672"/>
      <c r="AK233" s="360"/>
      <c r="AL233" s="672"/>
      <c r="AM233" s="360"/>
      <c r="AN233" s="360"/>
      <c r="AO233" s="360"/>
      <c r="AP233" s="360"/>
      <c r="AQ233" s="360"/>
      <c r="AR233" s="360"/>
      <c r="AS233" s="360"/>
      <c r="AT233" s="360"/>
      <c r="AU233" s="360"/>
      <c r="AV233" s="360"/>
      <c r="AW233" s="360"/>
      <c r="AX233" s="360"/>
      <c r="AY233" s="360"/>
      <c r="AZ233" s="360"/>
      <c r="BA233" s="360"/>
      <c r="BB233" s="360"/>
      <c r="BC233" s="360"/>
      <c r="BD233" s="360"/>
      <c r="BE233" s="360"/>
      <c r="BF233" s="360"/>
      <c r="BG233" s="360"/>
      <c r="BH233" s="360"/>
      <c r="BI233" s="360"/>
      <c r="BJ233" s="360"/>
      <c r="BK233" s="360"/>
      <c r="BL233" s="360"/>
      <c r="BM233" s="360"/>
      <c r="BN233" s="360"/>
      <c r="BO233" s="360"/>
      <c r="BP233" s="360"/>
      <c r="BQ233" s="515"/>
      <c r="BR233" s="674" t="s">
        <v>352</v>
      </c>
      <c r="BS233" s="675" t="s">
        <v>353</v>
      </c>
      <c r="BT233" s="360"/>
      <c r="BU233" s="360"/>
      <c r="BV233" s="360"/>
      <c r="BW233" s="684" t="s">
        <v>94</v>
      </c>
      <c r="BX233" s="685">
        <f t="shared" si="46"/>
        <v>5146.577012</v>
      </c>
      <c r="BY233" s="685">
        <f t="shared" si="47"/>
        <v>48422.91479</v>
      </c>
      <c r="BZ233" s="685">
        <f t="shared" si="48"/>
        <v>0</v>
      </c>
      <c r="CA233" s="685">
        <f t="shared" si="49"/>
        <v>0</v>
      </c>
      <c r="CB233" s="685">
        <f t="shared" si="50"/>
        <v>0</v>
      </c>
      <c r="CC233" s="686">
        <f>SUMIF(B4:B220,"WPR",CH4:CH220)</f>
        <v>0</v>
      </c>
      <c r="CD233" s="360"/>
      <c r="CE233" s="360"/>
      <c r="CF233" s="360"/>
      <c r="CG233" s="360"/>
      <c r="CH233" s="360"/>
    </row>
    <row r="234">
      <c r="A234" s="360"/>
      <c r="B234" s="360"/>
      <c r="C234" s="360"/>
      <c r="D234" s="360"/>
      <c r="E234" s="360"/>
      <c r="F234" s="360"/>
      <c r="G234" s="360"/>
      <c r="H234" s="360"/>
      <c r="I234" s="360"/>
      <c r="J234" s="360"/>
      <c r="K234" s="360"/>
      <c r="L234" s="360"/>
      <c r="M234" s="360"/>
      <c r="N234" s="360"/>
      <c r="O234" s="360"/>
      <c r="P234" s="360"/>
      <c r="Q234" s="360"/>
      <c r="R234" s="360"/>
      <c r="S234" s="360"/>
      <c r="T234" s="360"/>
      <c r="U234" s="360"/>
      <c r="V234" s="672"/>
      <c r="W234" s="360"/>
      <c r="X234" s="360"/>
      <c r="Y234" s="360"/>
      <c r="Z234" s="360"/>
      <c r="AA234" s="360"/>
      <c r="AB234" s="360"/>
      <c r="AC234" s="360"/>
      <c r="AD234" s="360"/>
      <c r="AE234" s="360"/>
      <c r="AF234" s="672"/>
      <c r="AG234" s="360"/>
      <c r="AH234" s="360"/>
      <c r="AI234" s="360"/>
      <c r="AJ234" s="672"/>
      <c r="AK234" s="360"/>
      <c r="AL234" s="672"/>
      <c r="AM234" s="360"/>
      <c r="AN234" s="360"/>
      <c r="AO234" s="360"/>
      <c r="AP234" s="360"/>
      <c r="AQ234" s="360"/>
      <c r="AR234" s="360"/>
      <c r="AS234" s="360"/>
      <c r="AT234" s="360"/>
      <c r="AU234" s="360"/>
      <c r="AV234" s="360"/>
      <c r="AW234" s="360"/>
      <c r="AX234" s="360"/>
      <c r="AY234" s="360"/>
      <c r="AZ234" s="360"/>
      <c r="BA234" s="360"/>
      <c r="BB234" s="360"/>
      <c r="BC234" s="360"/>
      <c r="BD234" s="360"/>
      <c r="BE234" s="360"/>
      <c r="BF234" s="360"/>
      <c r="BG234" s="360"/>
      <c r="BH234" s="360"/>
      <c r="BI234" s="360"/>
      <c r="BJ234" s="360"/>
      <c r="BK234" s="360"/>
      <c r="BL234" s="360"/>
      <c r="BM234" s="360"/>
      <c r="BN234" s="360"/>
      <c r="BO234" s="360"/>
      <c r="BP234" s="360"/>
      <c r="BQ234" s="515"/>
      <c r="BR234" s="674" t="s">
        <v>334</v>
      </c>
      <c r="BS234" s="675" t="s">
        <v>335</v>
      </c>
      <c r="BT234" s="360"/>
      <c r="BU234" s="360"/>
      <c r="BV234" s="360"/>
      <c r="BW234" s="684" t="s">
        <v>98</v>
      </c>
      <c r="BX234" s="685">
        <f t="shared" si="46"/>
        <v>20028.09603</v>
      </c>
      <c r="BY234" s="685">
        <f t="shared" si="47"/>
        <v>156.7249528</v>
      </c>
      <c r="BZ234" s="685">
        <f t="shared" si="48"/>
        <v>1305.315713</v>
      </c>
      <c r="CA234" s="685">
        <f t="shared" si="49"/>
        <v>149.4092519</v>
      </c>
      <c r="CB234" s="685">
        <f t="shared" si="50"/>
        <v>5431.870132</v>
      </c>
      <c r="CC234" s="686">
        <f>SUMIF(B4:B220,"AMR",CH4:CH220)</f>
        <v>0</v>
      </c>
      <c r="CD234" s="360"/>
      <c r="CE234" s="360"/>
      <c r="CF234" s="360"/>
      <c r="CG234" s="360"/>
      <c r="CH234" s="360"/>
    </row>
    <row r="235">
      <c r="A235" s="360"/>
      <c r="B235" s="360"/>
      <c r="C235" s="360"/>
      <c r="D235" s="360"/>
      <c r="E235" s="360"/>
      <c r="F235" s="360"/>
      <c r="G235" s="360"/>
      <c r="H235" s="360"/>
      <c r="I235" s="360"/>
      <c r="J235" s="360"/>
      <c r="K235" s="360"/>
      <c r="L235" s="360"/>
      <c r="M235" s="360"/>
      <c r="N235" s="360"/>
      <c r="O235" s="360"/>
      <c r="P235" s="360"/>
      <c r="Q235" s="360"/>
      <c r="R235" s="360"/>
      <c r="S235" s="360"/>
      <c r="T235" s="360"/>
      <c r="U235" s="360"/>
      <c r="V235" s="672"/>
      <c r="W235" s="360"/>
      <c r="X235" s="360"/>
      <c r="Y235" s="360"/>
      <c r="Z235" s="360"/>
      <c r="AA235" s="360"/>
      <c r="AB235" s="360"/>
      <c r="AC235" s="360"/>
      <c r="AD235" s="360"/>
      <c r="AE235" s="360"/>
      <c r="AF235" s="672"/>
      <c r="AG235" s="360"/>
      <c r="AH235" s="360"/>
      <c r="AI235" s="360"/>
      <c r="AJ235" s="672"/>
      <c r="AK235" s="360"/>
      <c r="AL235" s="672"/>
      <c r="AM235" s="360"/>
      <c r="AN235" s="360"/>
      <c r="AO235" s="360"/>
      <c r="AP235" s="360"/>
      <c r="AQ235" s="360"/>
      <c r="AR235" s="360"/>
      <c r="AS235" s="360"/>
      <c r="AT235" s="360"/>
      <c r="AU235" s="360"/>
      <c r="AV235" s="360"/>
      <c r="AW235" s="360"/>
      <c r="AX235" s="360"/>
      <c r="AY235" s="360"/>
      <c r="AZ235" s="360"/>
      <c r="BA235" s="360"/>
      <c r="BB235" s="360"/>
      <c r="BC235" s="360"/>
      <c r="BD235" s="360"/>
      <c r="BE235" s="360"/>
      <c r="BF235" s="360"/>
      <c r="BG235" s="360"/>
      <c r="BH235" s="360"/>
      <c r="BI235" s="360"/>
      <c r="BJ235" s="360"/>
      <c r="BK235" s="360"/>
      <c r="BL235" s="360"/>
      <c r="BM235" s="360"/>
      <c r="BN235" s="360"/>
      <c r="BO235" s="360"/>
      <c r="BP235" s="360"/>
      <c r="BQ235" s="515"/>
      <c r="BR235" s="674" t="s">
        <v>350</v>
      </c>
      <c r="BS235" s="675" t="s">
        <v>351</v>
      </c>
      <c r="BT235" s="360"/>
      <c r="BU235" s="360"/>
      <c r="BV235" s="360"/>
      <c r="BW235" s="684" t="s">
        <v>90</v>
      </c>
      <c r="BX235" s="685">
        <f t="shared" si="46"/>
        <v>0</v>
      </c>
      <c r="BY235" s="685">
        <f t="shared" si="47"/>
        <v>0</v>
      </c>
      <c r="BZ235" s="685">
        <f t="shared" si="48"/>
        <v>0</v>
      </c>
      <c r="CA235" s="685">
        <f t="shared" si="49"/>
        <v>0</v>
      </c>
      <c r="CB235" s="685">
        <f t="shared" si="50"/>
        <v>0</v>
      </c>
      <c r="CC235" s="686">
        <f>SUMIF(B4:B220,"EUR",CH4:CH220)</f>
        <v>0</v>
      </c>
      <c r="CD235" s="360"/>
      <c r="CE235" s="360"/>
      <c r="CF235" s="360"/>
      <c r="CG235" s="360"/>
      <c r="CH235" s="360"/>
    </row>
    <row r="236">
      <c r="A236" s="360"/>
      <c r="B236" s="360"/>
      <c r="C236" s="360"/>
      <c r="D236" s="360"/>
      <c r="E236" s="360"/>
      <c r="F236" s="360"/>
      <c r="G236" s="360"/>
      <c r="H236" s="360"/>
      <c r="I236" s="360"/>
      <c r="J236" s="360"/>
      <c r="K236" s="360"/>
      <c r="L236" s="360"/>
      <c r="M236" s="360"/>
      <c r="N236" s="360"/>
      <c r="O236" s="360"/>
      <c r="P236" s="360"/>
      <c r="Q236" s="360"/>
      <c r="R236" s="360"/>
      <c r="S236" s="360"/>
      <c r="T236" s="360"/>
      <c r="U236" s="360"/>
      <c r="V236" s="672"/>
      <c r="W236" s="360"/>
      <c r="X236" s="360"/>
      <c r="Y236" s="360"/>
      <c r="Z236" s="360"/>
      <c r="AA236" s="360"/>
      <c r="AB236" s="360"/>
      <c r="AC236" s="360"/>
      <c r="AD236" s="360"/>
      <c r="AE236" s="360"/>
      <c r="AF236" s="672"/>
      <c r="AG236" s="360"/>
      <c r="AH236" s="360"/>
      <c r="AI236" s="360"/>
      <c r="AJ236" s="672"/>
      <c r="AK236" s="360"/>
      <c r="AL236" s="672"/>
      <c r="AM236" s="360"/>
      <c r="AN236" s="360"/>
      <c r="AO236" s="360"/>
      <c r="AP236" s="360"/>
      <c r="AQ236" s="360"/>
      <c r="AR236" s="360"/>
      <c r="AS236" s="360"/>
      <c r="AT236" s="360"/>
      <c r="AU236" s="360"/>
      <c r="AV236" s="360"/>
      <c r="AW236" s="360"/>
      <c r="AX236" s="360"/>
      <c r="AY236" s="360"/>
      <c r="AZ236" s="360"/>
      <c r="BA236" s="360"/>
      <c r="BB236" s="360"/>
      <c r="BC236" s="360"/>
      <c r="BD236" s="360"/>
      <c r="BE236" s="360"/>
      <c r="BF236" s="360"/>
      <c r="BG236" s="360"/>
      <c r="BH236" s="360"/>
      <c r="BI236" s="360"/>
      <c r="BJ236" s="360"/>
      <c r="BK236" s="360"/>
      <c r="BL236" s="360"/>
      <c r="BM236" s="360"/>
      <c r="BN236" s="360"/>
      <c r="BO236" s="360"/>
      <c r="BP236" s="360"/>
      <c r="BQ236" s="515"/>
      <c r="BR236" s="675" t="s">
        <v>354</v>
      </c>
      <c r="BS236" s="675" t="s">
        <v>355</v>
      </c>
      <c r="BT236" s="360"/>
      <c r="BU236" s="360"/>
      <c r="BV236" s="360"/>
      <c r="BW236" s="684" t="s">
        <v>109</v>
      </c>
      <c r="BX236" s="685">
        <f t="shared" si="46"/>
        <v>60809.82485</v>
      </c>
      <c r="BY236" s="685">
        <f t="shared" si="47"/>
        <v>49.15781703</v>
      </c>
      <c r="BZ236" s="685">
        <f t="shared" si="48"/>
        <v>10586.37205</v>
      </c>
      <c r="CA236" s="685">
        <f t="shared" si="49"/>
        <v>6074.393156</v>
      </c>
      <c r="CB236" s="685">
        <f t="shared" si="50"/>
        <v>443051.921</v>
      </c>
      <c r="CC236" s="686">
        <f>SUMIF(B4:B220,"SEA",CH4:CH220)</f>
        <v>0</v>
      </c>
      <c r="CD236" s="360"/>
      <c r="CE236" s="360"/>
      <c r="CF236" s="360"/>
      <c r="CG236" s="360"/>
      <c r="CH236" s="360"/>
    </row>
    <row r="237">
      <c r="A237" s="360"/>
      <c r="B237" s="360"/>
      <c r="C237" s="360"/>
      <c r="D237" s="360"/>
      <c r="E237" s="360"/>
      <c r="F237" s="360"/>
      <c r="G237" s="360"/>
      <c r="H237" s="360"/>
      <c r="I237" s="360"/>
      <c r="J237" s="360"/>
      <c r="K237" s="360"/>
      <c r="L237" s="360"/>
      <c r="M237" s="360"/>
      <c r="N237" s="360"/>
      <c r="O237" s="360"/>
      <c r="P237" s="360"/>
      <c r="Q237" s="360"/>
      <c r="R237" s="360"/>
      <c r="S237" s="360"/>
      <c r="T237" s="360"/>
      <c r="U237" s="360"/>
      <c r="V237" s="672"/>
      <c r="W237" s="360"/>
      <c r="X237" s="360"/>
      <c r="Y237" s="360"/>
      <c r="Z237" s="360"/>
      <c r="AA237" s="360"/>
      <c r="AB237" s="360"/>
      <c r="AC237" s="360"/>
      <c r="AD237" s="360"/>
      <c r="AE237" s="360"/>
      <c r="AF237" s="360"/>
      <c r="AG237" s="360"/>
      <c r="AH237" s="360"/>
      <c r="AI237" s="360"/>
      <c r="AJ237" s="672"/>
      <c r="AK237" s="360"/>
      <c r="AL237" s="672"/>
      <c r="AM237" s="360"/>
      <c r="AN237" s="360"/>
      <c r="AO237" s="360"/>
      <c r="AP237" s="360"/>
      <c r="AQ237" s="360"/>
      <c r="AR237" s="360"/>
      <c r="AS237" s="360"/>
      <c r="AT237" s="360"/>
      <c r="AU237" s="360"/>
      <c r="AV237" s="360"/>
      <c r="AW237" s="360"/>
      <c r="AX237" s="360"/>
      <c r="AY237" s="360"/>
      <c r="AZ237" s="360"/>
      <c r="BA237" s="360"/>
      <c r="BB237" s="360"/>
      <c r="BC237" s="360"/>
      <c r="BD237" s="360"/>
      <c r="BE237" s="360"/>
      <c r="BF237" s="360"/>
      <c r="BG237" s="360"/>
      <c r="BH237" s="360"/>
      <c r="BI237" s="360"/>
      <c r="BJ237" s="360"/>
      <c r="BK237" s="360"/>
      <c r="BL237" s="360"/>
      <c r="BM237" s="360"/>
      <c r="BN237" s="360"/>
      <c r="BO237" s="360"/>
      <c r="BP237" s="360"/>
      <c r="BQ237" s="360"/>
      <c r="BR237" s="360"/>
      <c r="BS237" s="360"/>
      <c r="BT237" s="360"/>
      <c r="BU237" s="360"/>
      <c r="BV237" s="360"/>
      <c r="BW237" s="360"/>
      <c r="BX237" s="360"/>
      <c r="BY237" s="360"/>
      <c r="BZ237" s="360"/>
      <c r="CA237" s="360"/>
      <c r="CB237" s="360"/>
      <c r="CC237" s="360"/>
      <c r="CD237" s="360"/>
      <c r="CE237" s="360"/>
      <c r="CF237" s="360"/>
      <c r="CG237" s="360"/>
      <c r="CH237" s="360"/>
    </row>
    <row r="238">
      <c r="B238" s="687"/>
      <c r="C238" s="687"/>
      <c r="D238" s="688"/>
      <c r="E238" s="689"/>
      <c r="F238" s="690"/>
      <c r="G238" s="690"/>
      <c r="H238" s="690"/>
      <c r="I238" s="691"/>
      <c r="J238" s="691"/>
      <c r="K238" s="691"/>
      <c r="L238" s="692"/>
      <c r="M238" s="692"/>
      <c r="N238" s="692"/>
      <c r="O238" s="693"/>
      <c r="P238" s="688"/>
      <c r="Q238" s="688"/>
      <c r="R238" s="688"/>
      <c r="S238" s="688"/>
      <c r="T238" s="689"/>
      <c r="U238" s="689"/>
      <c r="V238" s="694"/>
      <c r="W238" s="694"/>
      <c r="X238" s="694"/>
      <c r="Y238" s="694"/>
      <c r="Z238" s="693"/>
      <c r="AA238" s="693"/>
      <c r="AB238" s="693"/>
      <c r="AC238" s="693"/>
      <c r="AD238" s="688"/>
      <c r="AE238" s="689"/>
      <c r="AF238" s="689"/>
      <c r="AG238" s="690"/>
      <c r="AH238" s="690"/>
      <c r="AI238" s="695"/>
      <c r="AJ238" s="695"/>
      <c r="AK238" s="692"/>
      <c r="AL238" s="692"/>
      <c r="AM238" s="693"/>
      <c r="AN238" s="688"/>
      <c r="AO238" s="688"/>
      <c r="AP238" s="688"/>
      <c r="AQ238" s="688"/>
      <c r="AR238" s="688"/>
      <c r="AS238" s="688"/>
      <c r="AT238" s="689"/>
      <c r="AU238" s="689"/>
      <c r="AV238" s="690"/>
      <c r="AW238" s="690"/>
      <c r="AX238" s="690"/>
      <c r="AY238" s="690"/>
      <c r="AZ238" s="690"/>
      <c r="BA238" s="690"/>
      <c r="BB238" s="695"/>
      <c r="BC238" s="695"/>
      <c r="BD238" s="695"/>
      <c r="BE238" s="695"/>
      <c r="BF238" s="692"/>
      <c r="BG238" s="692"/>
      <c r="BH238" s="692"/>
      <c r="BI238" s="692"/>
      <c r="BJ238" s="692"/>
      <c r="BK238" s="692"/>
      <c r="BL238" s="693"/>
      <c r="BM238" s="693"/>
      <c r="BN238" s="688"/>
      <c r="BO238" s="693"/>
      <c r="BP238" s="689"/>
      <c r="BQ238" s="694"/>
      <c r="BR238" s="687"/>
      <c r="BS238" s="687"/>
      <c r="BT238" s="687"/>
      <c r="BU238" s="687"/>
      <c r="BV238" s="687"/>
      <c r="BW238" s="688"/>
      <c r="BX238" s="688"/>
      <c r="BY238" s="689"/>
      <c r="BZ238" s="690"/>
      <c r="CA238" s="690"/>
      <c r="CB238" s="690"/>
      <c r="CC238" s="691"/>
      <c r="CD238" s="691"/>
      <c r="CE238" s="692"/>
      <c r="CF238" s="692"/>
      <c r="CG238" s="692"/>
      <c r="CH238" s="693"/>
    </row>
    <row r="239">
      <c r="B239" s="687"/>
      <c r="C239" s="687"/>
      <c r="D239" s="688"/>
      <c r="E239" s="689"/>
      <c r="F239" s="690"/>
      <c r="G239" s="690"/>
      <c r="H239" s="690"/>
      <c r="I239" s="691"/>
      <c r="J239" s="691"/>
      <c r="K239" s="691"/>
      <c r="L239" s="692"/>
      <c r="M239" s="692"/>
      <c r="N239" s="692"/>
      <c r="O239" s="693"/>
      <c r="P239" s="688"/>
      <c r="Q239" s="688"/>
      <c r="R239" s="688"/>
      <c r="S239" s="688"/>
      <c r="T239" s="689"/>
      <c r="U239" s="689"/>
      <c r="V239" s="694"/>
      <c r="W239" s="694"/>
      <c r="X239" s="694"/>
      <c r="Y239" s="694"/>
      <c r="Z239" s="693"/>
      <c r="AA239" s="693"/>
      <c r="AB239" s="693"/>
      <c r="AC239" s="693"/>
      <c r="AD239" s="688"/>
      <c r="AE239" s="689"/>
      <c r="AF239" s="689"/>
      <c r="AG239" s="690"/>
      <c r="AH239" s="690"/>
      <c r="AI239" s="695"/>
      <c r="AJ239" s="695"/>
      <c r="AK239" s="692"/>
      <c r="AL239" s="692"/>
      <c r="AM239" s="693"/>
      <c r="AN239" s="688"/>
      <c r="AO239" s="688"/>
      <c r="AP239" s="688"/>
      <c r="AQ239" s="688"/>
      <c r="AR239" s="688"/>
      <c r="AS239" s="688"/>
      <c r="AT239" s="689"/>
      <c r="AU239" s="689"/>
      <c r="AV239" s="690"/>
      <c r="AW239" s="690"/>
      <c r="AX239" s="690"/>
      <c r="AY239" s="690"/>
      <c r="AZ239" s="690"/>
      <c r="BA239" s="690"/>
      <c r="BB239" s="695"/>
      <c r="BC239" s="695"/>
      <c r="BD239" s="695"/>
      <c r="BE239" s="695"/>
      <c r="BF239" s="692"/>
      <c r="BG239" s="692"/>
      <c r="BH239" s="692"/>
      <c r="BI239" s="692"/>
      <c r="BJ239" s="692"/>
      <c r="BK239" s="692"/>
      <c r="BL239" s="693"/>
      <c r="BM239" s="693"/>
      <c r="BN239" s="688"/>
      <c r="BO239" s="693"/>
      <c r="BP239" s="689"/>
      <c r="BQ239" s="694"/>
      <c r="BR239" s="687"/>
      <c r="BS239" s="687"/>
      <c r="BT239" s="687"/>
      <c r="BU239" s="687"/>
      <c r="BV239" s="687"/>
      <c r="BW239" s="688"/>
      <c r="BX239" s="688"/>
      <c r="BY239" s="689"/>
      <c r="BZ239" s="690"/>
      <c r="CA239" s="690"/>
      <c r="CB239" s="690"/>
      <c r="CC239" s="691"/>
      <c r="CD239" s="691"/>
      <c r="CE239" s="692"/>
      <c r="CF239" s="692"/>
      <c r="CG239" s="692"/>
      <c r="CH239" s="693"/>
    </row>
    <row r="240">
      <c r="B240" s="687"/>
      <c r="C240" s="687"/>
      <c r="D240" s="688"/>
      <c r="E240" s="689"/>
      <c r="F240" s="690"/>
      <c r="G240" s="690"/>
      <c r="H240" s="690"/>
      <c r="I240" s="691"/>
      <c r="J240" s="691"/>
      <c r="K240" s="691"/>
      <c r="L240" s="692"/>
      <c r="M240" s="692"/>
      <c r="N240" s="692"/>
      <c r="O240" s="693"/>
      <c r="P240" s="688"/>
      <c r="Q240" s="688"/>
      <c r="R240" s="688"/>
      <c r="S240" s="688"/>
      <c r="T240" s="689"/>
      <c r="U240" s="689"/>
      <c r="V240" s="694"/>
      <c r="W240" s="694"/>
      <c r="X240" s="694"/>
      <c r="Y240" s="694"/>
      <c r="Z240" s="693"/>
      <c r="AA240" s="693"/>
      <c r="AB240" s="693"/>
      <c r="AC240" s="693"/>
      <c r="AD240" s="688"/>
      <c r="AE240" s="689"/>
      <c r="AF240" s="689"/>
      <c r="AG240" s="690"/>
      <c r="AH240" s="690"/>
      <c r="AI240" s="695"/>
      <c r="AJ240" s="695"/>
      <c r="AK240" s="692"/>
      <c r="AL240" s="692"/>
      <c r="AM240" s="693"/>
      <c r="AN240" s="688"/>
      <c r="AO240" s="688"/>
      <c r="AP240" s="688"/>
      <c r="AQ240" s="688"/>
      <c r="AR240" s="688"/>
      <c r="AS240" s="688"/>
      <c r="AT240" s="689"/>
      <c r="AU240" s="689"/>
      <c r="AV240" s="690"/>
      <c r="AW240" s="690"/>
      <c r="AX240" s="690"/>
      <c r="AY240" s="690"/>
      <c r="AZ240" s="690"/>
      <c r="BA240" s="690"/>
      <c r="BB240" s="695"/>
      <c r="BC240" s="695"/>
      <c r="BD240" s="695"/>
      <c r="BE240" s="695"/>
      <c r="BF240" s="692"/>
      <c r="BG240" s="692"/>
      <c r="BH240" s="692"/>
      <c r="BI240" s="692"/>
      <c r="BJ240" s="692"/>
      <c r="BK240" s="692"/>
      <c r="BL240" s="693"/>
      <c r="BM240" s="693"/>
      <c r="BN240" s="688"/>
      <c r="BO240" s="693"/>
      <c r="BP240" s="689"/>
      <c r="BQ240" s="694"/>
      <c r="BR240" s="687"/>
      <c r="BS240" s="687"/>
      <c r="BT240" s="687"/>
      <c r="BU240" s="687"/>
      <c r="BV240" s="687"/>
      <c r="BW240" s="688"/>
      <c r="BX240" s="688"/>
      <c r="BY240" s="689"/>
      <c r="BZ240" s="690"/>
      <c r="CA240" s="690"/>
      <c r="CB240" s="690"/>
      <c r="CC240" s="691"/>
      <c r="CD240" s="691"/>
      <c r="CE240" s="692"/>
      <c r="CF240" s="692"/>
      <c r="CG240" s="692"/>
      <c r="CH240" s="693"/>
    </row>
    <row r="241">
      <c r="B241" s="687"/>
      <c r="C241" s="687"/>
      <c r="D241" s="688"/>
      <c r="E241" s="689"/>
      <c r="F241" s="690"/>
      <c r="G241" s="690"/>
      <c r="H241" s="690"/>
      <c r="I241" s="691"/>
      <c r="J241" s="691"/>
      <c r="K241" s="691"/>
      <c r="L241" s="692"/>
      <c r="M241" s="692"/>
      <c r="N241" s="692"/>
      <c r="O241" s="693"/>
      <c r="P241" s="688"/>
      <c r="Q241" s="688"/>
      <c r="R241" s="688"/>
      <c r="S241" s="688"/>
      <c r="T241" s="689"/>
      <c r="U241" s="689"/>
      <c r="V241" s="694"/>
      <c r="W241" s="694"/>
      <c r="X241" s="694"/>
      <c r="Y241" s="694"/>
      <c r="Z241" s="693"/>
      <c r="AA241" s="693"/>
      <c r="AB241" s="693"/>
      <c r="AC241" s="693"/>
      <c r="AD241" s="688"/>
      <c r="AE241" s="689"/>
      <c r="AF241" s="689"/>
      <c r="AG241" s="690"/>
      <c r="AH241" s="690"/>
      <c r="AI241" s="695"/>
      <c r="AJ241" s="695"/>
      <c r="AK241" s="692"/>
      <c r="AL241" s="692"/>
      <c r="AM241" s="693"/>
      <c r="AN241" s="688"/>
      <c r="AO241" s="688"/>
      <c r="AP241" s="688"/>
      <c r="AQ241" s="688"/>
      <c r="AR241" s="688"/>
      <c r="AS241" s="688"/>
      <c r="AT241" s="689"/>
      <c r="AU241" s="689"/>
      <c r="AV241" s="690"/>
      <c r="AW241" s="690"/>
      <c r="AX241" s="690"/>
      <c r="AY241" s="690"/>
      <c r="AZ241" s="690"/>
      <c r="BA241" s="690"/>
      <c r="BB241" s="695"/>
      <c r="BC241" s="695"/>
      <c r="BD241" s="695"/>
      <c r="BE241" s="695"/>
      <c r="BF241" s="692"/>
      <c r="BG241" s="692"/>
      <c r="BH241" s="692"/>
      <c r="BI241" s="692"/>
      <c r="BJ241" s="692"/>
      <c r="BK241" s="692"/>
      <c r="BL241" s="693"/>
      <c r="BM241" s="693"/>
      <c r="BN241" s="688"/>
      <c r="BO241" s="693"/>
      <c r="BP241" s="689"/>
      <c r="BQ241" s="694"/>
      <c r="BR241" s="687"/>
      <c r="BS241" s="687"/>
      <c r="BT241" s="687"/>
      <c r="BU241" s="687"/>
      <c r="BV241" s="687"/>
      <c r="BW241" s="688"/>
      <c r="BX241" s="688"/>
      <c r="BY241" s="689"/>
      <c r="BZ241" s="690"/>
      <c r="CA241" s="690"/>
      <c r="CB241" s="690"/>
      <c r="CC241" s="691"/>
      <c r="CD241" s="691"/>
      <c r="CE241" s="692"/>
      <c r="CF241" s="692"/>
      <c r="CG241" s="692"/>
      <c r="CH241" s="693"/>
    </row>
    <row r="242">
      <c r="B242" s="687"/>
      <c r="C242" s="687"/>
      <c r="D242" s="688"/>
      <c r="E242" s="689"/>
      <c r="F242" s="690"/>
      <c r="G242" s="690"/>
      <c r="H242" s="690"/>
      <c r="I242" s="691"/>
      <c r="J242" s="691"/>
      <c r="K242" s="691"/>
      <c r="L242" s="692"/>
      <c r="M242" s="692"/>
      <c r="N242" s="692"/>
      <c r="O242" s="693"/>
      <c r="P242" s="688"/>
      <c r="Q242" s="688"/>
      <c r="R242" s="688"/>
      <c r="S242" s="688"/>
      <c r="T242" s="689"/>
      <c r="U242" s="689"/>
      <c r="V242" s="694"/>
      <c r="W242" s="694"/>
      <c r="X242" s="694"/>
      <c r="Y242" s="694"/>
      <c r="Z242" s="693"/>
      <c r="AA242" s="693"/>
      <c r="AB242" s="693"/>
      <c r="AC242" s="693"/>
      <c r="AD242" s="688"/>
      <c r="AE242" s="689"/>
      <c r="AF242" s="689"/>
      <c r="AG242" s="690"/>
      <c r="AH242" s="690"/>
      <c r="AI242" s="695"/>
      <c r="AJ242" s="695"/>
      <c r="AK242" s="692"/>
      <c r="AL242" s="692"/>
      <c r="AM242" s="693"/>
      <c r="AN242" s="688"/>
      <c r="AO242" s="688"/>
      <c r="AP242" s="688"/>
      <c r="AQ242" s="688"/>
      <c r="AR242" s="688"/>
      <c r="AS242" s="688"/>
      <c r="AT242" s="689"/>
      <c r="AU242" s="689"/>
      <c r="AV242" s="690"/>
      <c r="AW242" s="690"/>
      <c r="AX242" s="690"/>
      <c r="AY242" s="690"/>
      <c r="AZ242" s="690"/>
      <c r="BA242" s="690"/>
      <c r="BB242" s="695"/>
      <c r="BC242" s="695"/>
      <c r="BD242" s="695"/>
      <c r="BE242" s="695"/>
      <c r="BF242" s="692"/>
      <c r="BG242" s="692"/>
      <c r="BH242" s="692"/>
      <c r="BI242" s="692"/>
      <c r="BJ242" s="692"/>
      <c r="BK242" s="692"/>
      <c r="BL242" s="693"/>
      <c r="BM242" s="693"/>
      <c r="BN242" s="688"/>
      <c r="BO242" s="693"/>
      <c r="BP242" s="689"/>
      <c r="BQ242" s="694"/>
      <c r="BR242" s="687"/>
      <c r="BS242" s="687"/>
      <c r="BT242" s="687"/>
      <c r="BU242" s="687"/>
      <c r="BV242" s="687"/>
      <c r="BW242" s="688"/>
      <c r="BX242" s="688"/>
      <c r="BY242" s="689"/>
      <c r="BZ242" s="690"/>
      <c r="CA242" s="690"/>
      <c r="CB242" s="690"/>
      <c r="CC242" s="691"/>
      <c r="CD242" s="691"/>
      <c r="CE242" s="692"/>
      <c r="CF242" s="692"/>
      <c r="CG242" s="692"/>
      <c r="CH242" s="693"/>
    </row>
    <row r="243">
      <c r="B243" s="687"/>
      <c r="C243" s="687"/>
      <c r="D243" s="688"/>
      <c r="E243" s="689"/>
      <c r="F243" s="690"/>
      <c r="G243" s="690"/>
      <c r="H243" s="690"/>
      <c r="I243" s="691"/>
      <c r="J243" s="691"/>
      <c r="K243" s="691"/>
      <c r="L243" s="692"/>
      <c r="M243" s="692"/>
      <c r="N243" s="692"/>
      <c r="O243" s="693"/>
      <c r="P243" s="688"/>
      <c r="Q243" s="688"/>
      <c r="R243" s="688"/>
      <c r="S243" s="688"/>
      <c r="T243" s="689"/>
      <c r="U243" s="689"/>
      <c r="V243" s="694"/>
      <c r="W243" s="694"/>
      <c r="X243" s="694"/>
      <c r="Y243" s="694"/>
      <c r="Z243" s="693"/>
      <c r="AA243" s="693"/>
      <c r="AB243" s="693"/>
      <c r="AC243" s="693"/>
      <c r="AD243" s="688"/>
      <c r="AE243" s="689"/>
      <c r="AF243" s="689"/>
      <c r="AG243" s="690"/>
      <c r="AH243" s="690"/>
      <c r="AI243" s="695"/>
      <c r="AJ243" s="695"/>
      <c r="AK243" s="692"/>
      <c r="AL243" s="692"/>
      <c r="AM243" s="693"/>
      <c r="AN243" s="688"/>
      <c r="AO243" s="688"/>
      <c r="AP243" s="688"/>
      <c r="AQ243" s="688"/>
      <c r="AR243" s="688"/>
      <c r="AS243" s="688"/>
      <c r="AT243" s="689"/>
      <c r="AU243" s="689"/>
      <c r="AV243" s="690"/>
      <c r="AW243" s="690"/>
      <c r="AX243" s="690"/>
      <c r="AY243" s="690"/>
      <c r="AZ243" s="690"/>
      <c r="BA243" s="690"/>
      <c r="BB243" s="695"/>
      <c r="BC243" s="695"/>
      <c r="BD243" s="695"/>
      <c r="BE243" s="695"/>
      <c r="BF243" s="692"/>
      <c r="BG243" s="692"/>
      <c r="BH243" s="692"/>
      <c r="BI243" s="692"/>
      <c r="BJ243" s="692"/>
      <c r="BK243" s="692"/>
      <c r="BL243" s="693"/>
      <c r="BM243" s="693"/>
      <c r="BN243" s="688"/>
      <c r="BO243" s="693"/>
      <c r="BP243" s="689"/>
      <c r="BQ243" s="694"/>
      <c r="BR243" s="687"/>
      <c r="BS243" s="687"/>
      <c r="BT243" s="687"/>
      <c r="BU243" s="687"/>
      <c r="BV243" s="687"/>
      <c r="BW243" s="688"/>
      <c r="BX243" s="688"/>
      <c r="BY243" s="689"/>
      <c r="BZ243" s="690"/>
      <c r="CA243" s="690"/>
      <c r="CB243" s="690"/>
      <c r="CC243" s="691"/>
      <c r="CD243" s="691"/>
      <c r="CE243" s="692"/>
      <c r="CF243" s="692"/>
      <c r="CG243" s="692"/>
      <c r="CH243" s="693"/>
    </row>
    <row r="244">
      <c r="B244" s="687"/>
      <c r="C244" s="687"/>
      <c r="D244" s="688"/>
      <c r="E244" s="689"/>
      <c r="F244" s="690"/>
      <c r="G244" s="690"/>
      <c r="H244" s="690"/>
      <c r="I244" s="691"/>
      <c r="J244" s="691"/>
      <c r="K244" s="691"/>
      <c r="L244" s="692"/>
      <c r="M244" s="692"/>
      <c r="N244" s="692"/>
      <c r="O244" s="693"/>
      <c r="P244" s="688"/>
      <c r="Q244" s="688"/>
      <c r="R244" s="688"/>
      <c r="S244" s="688"/>
      <c r="T244" s="689"/>
      <c r="U244" s="689"/>
      <c r="V244" s="694"/>
      <c r="W244" s="694"/>
      <c r="X244" s="694"/>
      <c r="Y244" s="694"/>
      <c r="Z244" s="693"/>
      <c r="AA244" s="693"/>
      <c r="AB244" s="693"/>
      <c r="AC244" s="693"/>
      <c r="AD244" s="688"/>
      <c r="AE244" s="689"/>
      <c r="AF244" s="689"/>
      <c r="AG244" s="690"/>
      <c r="AH244" s="690"/>
      <c r="AI244" s="695"/>
      <c r="AJ244" s="695"/>
      <c r="AK244" s="692"/>
      <c r="AL244" s="692"/>
      <c r="AM244" s="693"/>
      <c r="AN244" s="688"/>
      <c r="AO244" s="688"/>
      <c r="AP244" s="688"/>
      <c r="AQ244" s="688"/>
      <c r="AR244" s="688"/>
      <c r="AS244" s="688"/>
      <c r="AT244" s="689"/>
      <c r="AU244" s="689"/>
      <c r="AV244" s="690"/>
      <c r="AW244" s="690"/>
      <c r="AX244" s="690"/>
      <c r="AY244" s="690"/>
      <c r="AZ244" s="690"/>
      <c r="BA244" s="690"/>
      <c r="BB244" s="695"/>
      <c r="BC244" s="695"/>
      <c r="BD244" s="695"/>
      <c r="BE244" s="695"/>
      <c r="BF244" s="692"/>
      <c r="BG244" s="692"/>
      <c r="BH244" s="692"/>
      <c r="BI244" s="692"/>
      <c r="BJ244" s="692"/>
      <c r="BK244" s="692"/>
      <c r="BL244" s="693"/>
      <c r="BM244" s="693"/>
      <c r="BN244" s="688"/>
      <c r="BO244" s="693"/>
      <c r="BP244" s="689"/>
      <c r="BQ244" s="694"/>
      <c r="BR244" s="687"/>
      <c r="BS244" s="687"/>
      <c r="BT244" s="687"/>
      <c r="BU244" s="687"/>
      <c r="BV244" s="687"/>
      <c r="BW244" s="688"/>
      <c r="BX244" s="688"/>
      <c r="BY244" s="689"/>
      <c r="BZ244" s="690"/>
      <c r="CA244" s="690"/>
      <c r="CB244" s="690"/>
      <c r="CC244" s="691"/>
      <c r="CD244" s="691"/>
      <c r="CE244" s="692"/>
      <c r="CF244" s="692"/>
      <c r="CG244" s="692"/>
      <c r="CH244" s="693"/>
    </row>
    <row r="245">
      <c r="B245" s="687"/>
      <c r="C245" s="687"/>
      <c r="D245" s="688"/>
      <c r="E245" s="689"/>
      <c r="F245" s="690"/>
      <c r="G245" s="690"/>
      <c r="H245" s="690"/>
      <c r="I245" s="691"/>
      <c r="J245" s="691"/>
      <c r="K245" s="691"/>
      <c r="L245" s="692"/>
      <c r="M245" s="692"/>
      <c r="N245" s="692"/>
      <c r="O245" s="693"/>
      <c r="P245" s="688"/>
      <c r="Q245" s="688"/>
      <c r="R245" s="688"/>
      <c r="S245" s="688"/>
      <c r="T245" s="689"/>
      <c r="U245" s="689"/>
      <c r="V245" s="694"/>
      <c r="W245" s="694"/>
      <c r="X245" s="694"/>
      <c r="Y245" s="694"/>
      <c r="Z245" s="693"/>
      <c r="AA245" s="693"/>
      <c r="AB245" s="693"/>
      <c r="AC245" s="693"/>
      <c r="AD245" s="688"/>
      <c r="AE245" s="689"/>
      <c r="AF245" s="689"/>
      <c r="AG245" s="690"/>
      <c r="AH245" s="690"/>
      <c r="AI245" s="695"/>
      <c r="AJ245" s="695"/>
      <c r="AK245" s="692"/>
      <c r="AL245" s="692"/>
      <c r="AM245" s="693"/>
      <c r="AN245" s="688"/>
      <c r="AO245" s="688"/>
      <c r="AP245" s="688"/>
      <c r="AQ245" s="688"/>
      <c r="AR245" s="688"/>
      <c r="AS245" s="688"/>
      <c r="AT245" s="689"/>
      <c r="AU245" s="689"/>
      <c r="AV245" s="690"/>
      <c r="AW245" s="690"/>
      <c r="AX245" s="690"/>
      <c r="AY245" s="690"/>
      <c r="AZ245" s="690"/>
      <c r="BA245" s="690"/>
      <c r="BB245" s="695"/>
      <c r="BC245" s="695"/>
      <c r="BD245" s="695"/>
      <c r="BE245" s="695"/>
      <c r="BF245" s="692"/>
      <c r="BG245" s="692"/>
      <c r="BH245" s="692"/>
      <c r="BI245" s="692"/>
      <c r="BJ245" s="692"/>
      <c r="BK245" s="692"/>
      <c r="BL245" s="693"/>
      <c r="BM245" s="693"/>
      <c r="BN245" s="688"/>
      <c r="BO245" s="693"/>
      <c r="BP245" s="689"/>
      <c r="BQ245" s="694"/>
      <c r="BR245" s="687"/>
      <c r="BS245" s="687"/>
      <c r="BT245" s="687"/>
      <c r="BU245" s="687"/>
      <c r="BV245" s="687"/>
      <c r="BW245" s="688"/>
      <c r="BX245" s="688"/>
      <c r="BY245" s="689"/>
      <c r="BZ245" s="690"/>
      <c r="CA245" s="690"/>
      <c r="CB245" s="690"/>
      <c r="CC245" s="691"/>
      <c r="CD245" s="691"/>
      <c r="CE245" s="692"/>
      <c r="CF245" s="692"/>
      <c r="CG245" s="692"/>
      <c r="CH245" s="693"/>
    </row>
    <row r="246">
      <c r="B246" s="687"/>
      <c r="C246" s="687"/>
      <c r="D246" s="688"/>
      <c r="E246" s="689"/>
      <c r="F246" s="690"/>
      <c r="G246" s="690"/>
      <c r="H246" s="690"/>
      <c r="I246" s="691"/>
      <c r="J246" s="691"/>
      <c r="K246" s="691"/>
      <c r="L246" s="692"/>
      <c r="M246" s="692"/>
      <c r="N246" s="692"/>
      <c r="O246" s="693"/>
      <c r="P246" s="688"/>
      <c r="Q246" s="688"/>
      <c r="R246" s="688"/>
      <c r="S246" s="688"/>
      <c r="T246" s="689"/>
      <c r="U246" s="689"/>
      <c r="V246" s="694"/>
      <c r="W246" s="694"/>
      <c r="X246" s="694"/>
      <c r="Y246" s="694"/>
      <c r="Z246" s="693"/>
      <c r="AA246" s="693"/>
      <c r="AB246" s="693"/>
      <c r="AC246" s="693"/>
      <c r="AD246" s="688"/>
      <c r="AE246" s="689"/>
      <c r="AF246" s="689"/>
      <c r="AG246" s="690"/>
      <c r="AH246" s="690"/>
      <c r="AI246" s="695"/>
      <c r="AJ246" s="695"/>
      <c r="AK246" s="692"/>
      <c r="AL246" s="692"/>
      <c r="AM246" s="693"/>
      <c r="AN246" s="688"/>
      <c r="AO246" s="688"/>
      <c r="AP246" s="688"/>
      <c r="AQ246" s="688"/>
      <c r="AR246" s="688"/>
      <c r="AS246" s="688"/>
      <c r="AT246" s="689"/>
      <c r="AU246" s="689"/>
      <c r="AV246" s="690"/>
      <c r="AW246" s="690"/>
      <c r="AX246" s="690"/>
      <c r="AY246" s="690"/>
      <c r="AZ246" s="690"/>
      <c r="BA246" s="690"/>
      <c r="BB246" s="695"/>
      <c r="BC246" s="695"/>
      <c r="BD246" s="695"/>
      <c r="BE246" s="695"/>
      <c r="BF246" s="692"/>
      <c r="BG246" s="692"/>
      <c r="BH246" s="692"/>
      <c r="BI246" s="692"/>
      <c r="BJ246" s="692"/>
      <c r="BK246" s="692"/>
      <c r="BL246" s="693"/>
      <c r="BM246" s="693"/>
      <c r="BN246" s="688"/>
      <c r="BO246" s="693"/>
      <c r="BP246" s="689"/>
      <c r="BQ246" s="694"/>
      <c r="BR246" s="687"/>
      <c r="BS246" s="687"/>
      <c r="BT246" s="687"/>
      <c r="BU246" s="687"/>
      <c r="BV246" s="687"/>
      <c r="BW246" s="688"/>
      <c r="BX246" s="688"/>
      <c r="BY246" s="689"/>
      <c r="BZ246" s="690"/>
      <c r="CA246" s="690"/>
      <c r="CB246" s="690"/>
      <c r="CC246" s="691"/>
      <c r="CD246" s="691"/>
      <c r="CE246" s="692"/>
      <c r="CF246" s="692"/>
      <c r="CG246" s="692"/>
      <c r="CH246" s="693"/>
    </row>
    <row r="247">
      <c r="B247" s="687"/>
      <c r="C247" s="687"/>
      <c r="D247" s="688"/>
      <c r="E247" s="689"/>
      <c r="F247" s="690"/>
      <c r="G247" s="690"/>
      <c r="H247" s="690"/>
      <c r="I247" s="691"/>
      <c r="J247" s="691"/>
      <c r="K247" s="691"/>
      <c r="L247" s="692"/>
      <c r="M247" s="692"/>
      <c r="N247" s="692"/>
      <c r="O247" s="693"/>
      <c r="P247" s="688"/>
      <c r="Q247" s="688"/>
      <c r="R247" s="688"/>
      <c r="S247" s="688"/>
      <c r="T247" s="689"/>
      <c r="U247" s="689"/>
      <c r="V247" s="694"/>
      <c r="W247" s="694"/>
      <c r="X247" s="694"/>
      <c r="Y247" s="694"/>
      <c r="Z247" s="693"/>
      <c r="AA247" s="693"/>
      <c r="AB247" s="693"/>
      <c r="AC247" s="693"/>
      <c r="AD247" s="688"/>
      <c r="AE247" s="689"/>
      <c r="AF247" s="689"/>
      <c r="AG247" s="690"/>
      <c r="AH247" s="690"/>
      <c r="AI247" s="695"/>
      <c r="AJ247" s="695"/>
      <c r="AK247" s="692"/>
      <c r="AL247" s="692"/>
      <c r="AM247" s="693"/>
      <c r="AN247" s="688"/>
      <c r="AO247" s="688"/>
      <c r="AP247" s="688"/>
      <c r="AQ247" s="688"/>
      <c r="AR247" s="688"/>
      <c r="AS247" s="688"/>
      <c r="AT247" s="689"/>
      <c r="AU247" s="689"/>
      <c r="AV247" s="690"/>
      <c r="AW247" s="690"/>
      <c r="AX247" s="690"/>
      <c r="AY247" s="690"/>
      <c r="AZ247" s="690"/>
      <c r="BA247" s="690"/>
      <c r="BB247" s="695"/>
      <c r="BC247" s="695"/>
      <c r="BD247" s="695"/>
      <c r="BE247" s="695"/>
      <c r="BF247" s="692"/>
      <c r="BG247" s="692"/>
      <c r="BH247" s="692"/>
      <c r="BI247" s="692"/>
      <c r="BJ247" s="692"/>
      <c r="BK247" s="692"/>
      <c r="BL247" s="693"/>
      <c r="BM247" s="693"/>
      <c r="BN247" s="688"/>
      <c r="BO247" s="693"/>
      <c r="BP247" s="689"/>
      <c r="BQ247" s="694"/>
      <c r="BR247" s="687"/>
      <c r="BS247" s="687"/>
      <c r="BT247" s="687"/>
      <c r="BU247" s="687"/>
      <c r="BV247" s="687"/>
      <c r="BW247" s="688"/>
      <c r="BX247" s="688"/>
      <c r="BY247" s="689"/>
      <c r="BZ247" s="690"/>
      <c r="CA247" s="690"/>
      <c r="CB247" s="690"/>
      <c r="CC247" s="691"/>
      <c r="CD247" s="691"/>
      <c r="CE247" s="692"/>
      <c r="CF247" s="692"/>
      <c r="CG247" s="692"/>
      <c r="CH247" s="693"/>
    </row>
    <row r="248">
      <c r="B248" s="687"/>
      <c r="C248" s="687"/>
      <c r="D248" s="688"/>
      <c r="E248" s="689"/>
      <c r="F248" s="690"/>
      <c r="G248" s="690"/>
      <c r="H248" s="690"/>
      <c r="I248" s="691"/>
      <c r="J248" s="691"/>
      <c r="K248" s="691"/>
      <c r="L248" s="692"/>
      <c r="M248" s="692"/>
      <c r="N248" s="692"/>
      <c r="O248" s="693"/>
      <c r="P248" s="688"/>
      <c r="Q248" s="688"/>
      <c r="R248" s="688"/>
      <c r="S248" s="688"/>
      <c r="T248" s="689"/>
      <c r="U248" s="689"/>
      <c r="V248" s="694"/>
      <c r="W248" s="694"/>
      <c r="X248" s="694"/>
      <c r="Y248" s="694"/>
      <c r="Z248" s="693"/>
      <c r="AA248" s="693"/>
      <c r="AB248" s="693"/>
      <c r="AC248" s="693"/>
      <c r="AD248" s="688"/>
      <c r="AE248" s="689"/>
      <c r="AF248" s="689"/>
      <c r="AG248" s="690"/>
      <c r="AH248" s="690"/>
      <c r="AI248" s="695"/>
      <c r="AJ248" s="695"/>
      <c r="AK248" s="692"/>
      <c r="AL248" s="692"/>
      <c r="AM248" s="693"/>
      <c r="AN248" s="688"/>
      <c r="AO248" s="688"/>
      <c r="AP248" s="688"/>
      <c r="AQ248" s="688"/>
      <c r="AR248" s="688"/>
      <c r="AS248" s="688"/>
      <c r="AT248" s="689"/>
      <c r="AU248" s="689"/>
      <c r="AV248" s="690"/>
      <c r="AW248" s="690"/>
      <c r="AX248" s="690"/>
      <c r="AY248" s="690"/>
      <c r="AZ248" s="690"/>
      <c r="BA248" s="690"/>
      <c r="BB248" s="695"/>
      <c r="BC248" s="695"/>
      <c r="BD248" s="695"/>
      <c r="BE248" s="695"/>
      <c r="BF248" s="692"/>
      <c r="BG248" s="692"/>
      <c r="BH248" s="692"/>
      <c r="BI248" s="692"/>
      <c r="BJ248" s="692"/>
      <c r="BK248" s="692"/>
      <c r="BL248" s="693"/>
      <c r="BM248" s="693"/>
      <c r="BN248" s="688"/>
      <c r="BO248" s="693"/>
      <c r="BP248" s="689"/>
      <c r="BQ248" s="694"/>
      <c r="BR248" s="687"/>
      <c r="BS248" s="687"/>
      <c r="BT248" s="687"/>
      <c r="BU248" s="687"/>
      <c r="BV248" s="687"/>
      <c r="BW248" s="688"/>
      <c r="BX248" s="688"/>
      <c r="BY248" s="689"/>
      <c r="BZ248" s="690"/>
      <c r="CA248" s="690"/>
      <c r="CB248" s="690"/>
      <c r="CC248" s="691"/>
      <c r="CD248" s="691"/>
      <c r="CE248" s="692"/>
      <c r="CF248" s="692"/>
      <c r="CG248" s="692"/>
      <c r="CH248" s="693"/>
    </row>
    <row r="249">
      <c r="B249" s="687"/>
      <c r="C249" s="687"/>
      <c r="D249" s="688"/>
      <c r="E249" s="689"/>
      <c r="F249" s="690"/>
      <c r="G249" s="690"/>
      <c r="H249" s="690"/>
      <c r="I249" s="691"/>
      <c r="J249" s="691"/>
      <c r="K249" s="691"/>
      <c r="L249" s="692"/>
      <c r="M249" s="692"/>
      <c r="N249" s="692"/>
      <c r="O249" s="693"/>
      <c r="P249" s="688"/>
      <c r="Q249" s="688"/>
      <c r="R249" s="688"/>
      <c r="S249" s="688"/>
      <c r="T249" s="689"/>
      <c r="U249" s="689"/>
      <c r="V249" s="694"/>
      <c r="W249" s="694"/>
      <c r="X249" s="694"/>
      <c r="Y249" s="694"/>
      <c r="Z249" s="693"/>
      <c r="AA249" s="693"/>
      <c r="AB249" s="693"/>
      <c r="AC249" s="693"/>
      <c r="AD249" s="688"/>
      <c r="AE249" s="689"/>
      <c r="AF249" s="689"/>
      <c r="AG249" s="690"/>
      <c r="AH249" s="690"/>
      <c r="AI249" s="695"/>
      <c r="AJ249" s="695"/>
      <c r="AK249" s="692"/>
      <c r="AL249" s="692"/>
      <c r="AM249" s="693"/>
      <c r="AN249" s="688"/>
      <c r="AO249" s="688"/>
      <c r="AP249" s="688"/>
      <c r="AQ249" s="688"/>
      <c r="AR249" s="688"/>
      <c r="AS249" s="688"/>
      <c r="AT249" s="689"/>
      <c r="AU249" s="689"/>
      <c r="AV249" s="690"/>
      <c r="AW249" s="690"/>
      <c r="AX249" s="690"/>
      <c r="AY249" s="690"/>
      <c r="AZ249" s="690"/>
      <c r="BA249" s="690"/>
      <c r="BB249" s="695"/>
      <c r="BC249" s="695"/>
      <c r="BD249" s="695"/>
      <c r="BE249" s="695"/>
      <c r="BF249" s="692"/>
      <c r="BG249" s="692"/>
      <c r="BH249" s="692"/>
      <c r="BI249" s="692"/>
      <c r="BJ249" s="692"/>
      <c r="BK249" s="692"/>
      <c r="BL249" s="693"/>
      <c r="BM249" s="693"/>
      <c r="BN249" s="688"/>
      <c r="BO249" s="693"/>
      <c r="BP249" s="689"/>
      <c r="BQ249" s="694"/>
      <c r="BR249" s="687"/>
      <c r="BS249" s="687"/>
      <c r="BT249" s="687"/>
      <c r="BU249" s="687"/>
      <c r="BV249" s="687"/>
      <c r="BW249" s="688"/>
      <c r="BX249" s="688"/>
      <c r="BY249" s="689"/>
      <c r="BZ249" s="690"/>
      <c r="CA249" s="690"/>
      <c r="CB249" s="690"/>
      <c r="CC249" s="691"/>
      <c r="CD249" s="691"/>
      <c r="CE249" s="692"/>
      <c r="CF249" s="692"/>
      <c r="CG249" s="692"/>
      <c r="CH249" s="693"/>
    </row>
    <row r="250">
      <c r="B250" s="687"/>
      <c r="C250" s="687"/>
      <c r="D250" s="688"/>
      <c r="E250" s="689"/>
      <c r="F250" s="690"/>
      <c r="G250" s="690"/>
      <c r="H250" s="690"/>
      <c r="I250" s="691"/>
      <c r="J250" s="691"/>
      <c r="K250" s="691"/>
      <c r="L250" s="692"/>
      <c r="M250" s="692"/>
      <c r="N250" s="692"/>
      <c r="O250" s="693"/>
      <c r="P250" s="688"/>
      <c r="Q250" s="688"/>
      <c r="R250" s="688"/>
      <c r="S250" s="688"/>
      <c r="T250" s="689"/>
      <c r="U250" s="689"/>
      <c r="V250" s="694"/>
      <c r="W250" s="694"/>
      <c r="X250" s="694"/>
      <c r="Y250" s="694"/>
      <c r="Z250" s="693"/>
      <c r="AA250" s="693"/>
      <c r="AB250" s="693"/>
      <c r="AC250" s="693"/>
      <c r="AD250" s="688"/>
      <c r="AE250" s="689"/>
      <c r="AF250" s="689"/>
      <c r="AG250" s="690"/>
      <c r="AH250" s="690"/>
      <c r="AI250" s="695"/>
      <c r="AJ250" s="695"/>
      <c r="AK250" s="692"/>
      <c r="AL250" s="692"/>
      <c r="AM250" s="693"/>
      <c r="AN250" s="688"/>
      <c r="AO250" s="688"/>
      <c r="AP250" s="688"/>
      <c r="AQ250" s="688"/>
      <c r="AR250" s="688"/>
      <c r="AS250" s="688"/>
      <c r="AT250" s="689"/>
      <c r="AU250" s="689"/>
      <c r="AV250" s="690"/>
      <c r="AW250" s="690"/>
      <c r="AX250" s="690"/>
      <c r="AY250" s="690"/>
      <c r="AZ250" s="690"/>
      <c r="BA250" s="690"/>
      <c r="BB250" s="695"/>
      <c r="BC250" s="695"/>
      <c r="BD250" s="695"/>
      <c r="BE250" s="695"/>
      <c r="BF250" s="692"/>
      <c r="BG250" s="692"/>
      <c r="BH250" s="692"/>
      <c r="BI250" s="692"/>
      <c r="BJ250" s="692"/>
      <c r="BK250" s="692"/>
      <c r="BL250" s="693"/>
      <c r="BM250" s="693"/>
      <c r="BN250" s="688"/>
      <c r="BO250" s="693"/>
      <c r="BP250" s="689"/>
      <c r="BQ250" s="694"/>
      <c r="BR250" s="687"/>
      <c r="BS250" s="687"/>
      <c r="BT250" s="687"/>
      <c r="BU250" s="687"/>
      <c r="BV250" s="687"/>
      <c r="BW250" s="688"/>
      <c r="BX250" s="688"/>
      <c r="BY250" s="689"/>
      <c r="BZ250" s="690"/>
      <c r="CA250" s="690"/>
      <c r="CB250" s="690"/>
      <c r="CC250" s="691"/>
      <c r="CD250" s="691"/>
      <c r="CE250" s="692"/>
      <c r="CF250" s="692"/>
      <c r="CG250" s="692"/>
      <c r="CH250" s="693"/>
    </row>
    <row r="251">
      <c r="B251" s="687"/>
      <c r="C251" s="687"/>
      <c r="D251" s="688"/>
      <c r="E251" s="689"/>
      <c r="F251" s="690"/>
      <c r="G251" s="690"/>
      <c r="H251" s="690"/>
      <c r="I251" s="691"/>
      <c r="J251" s="691"/>
      <c r="K251" s="691"/>
      <c r="L251" s="692"/>
      <c r="M251" s="692"/>
      <c r="N251" s="692"/>
      <c r="O251" s="693"/>
      <c r="P251" s="688"/>
      <c r="Q251" s="688"/>
      <c r="R251" s="688"/>
      <c r="S251" s="688"/>
      <c r="T251" s="689"/>
      <c r="U251" s="689"/>
      <c r="V251" s="694"/>
      <c r="W251" s="694"/>
      <c r="X251" s="694"/>
      <c r="Y251" s="694"/>
      <c r="Z251" s="693"/>
      <c r="AA251" s="693"/>
      <c r="AB251" s="693"/>
      <c r="AC251" s="693"/>
      <c r="AD251" s="688"/>
      <c r="AE251" s="689"/>
      <c r="AF251" s="689"/>
      <c r="AG251" s="690"/>
      <c r="AH251" s="690"/>
      <c r="AI251" s="695"/>
      <c r="AJ251" s="695"/>
      <c r="AK251" s="692"/>
      <c r="AL251" s="692"/>
      <c r="AM251" s="693"/>
      <c r="AN251" s="688"/>
      <c r="AO251" s="688"/>
      <c r="AP251" s="688"/>
      <c r="AQ251" s="688"/>
      <c r="AR251" s="688"/>
      <c r="AS251" s="688"/>
      <c r="AT251" s="689"/>
      <c r="AU251" s="689"/>
      <c r="AV251" s="690"/>
      <c r="AW251" s="690"/>
      <c r="AX251" s="690"/>
      <c r="AY251" s="690"/>
      <c r="AZ251" s="690"/>
      <c r="BA251" s="690"/>
      <c r="BB251" s="695"/>
      <c r="BC251" s="695"/>
      <c r="BD251" s="695"/>
      <c r="BE251" s="695"/>
      <c r="BF251" s="692"/>
      <c r="BG251" s="692"/>
      <c r="BH251" s="692"/>
      <c r="BI251" s="692"/>
      <c r="BJ251" s="692"/>
      <c r="BK251" s="692"/>
      <c r="BL251" s="693"/>
      <c r="BM251" s="693"/>
      <c r="BN251" s="688"/>
      <c r="BO251" s="693"/>
      <c r="BP251" s="689"/>
      <c r="BQ251" s="694"/>
      <c r="BR251" s="687"/>
      <c r="BS251" s="687"/>
      <c r="BT251" s="687"/>
      <c r="BU251" s="687"/>
      <c r="BV251" s="687"/>
      <c r="BW251" s="688"/>
      <c r="BX251" s="688"/>
      <c r="BY251" s="689"/>
      <c r="BZ251" s="690"/>
      <c r="CA251" s="690"/>
      <c r="CB251" s="690"/>
      <c r="CC251" s="691"/>
      <c r="CD251" s="691"/>
      <c r="CE251" s="692"/>
      <c r="CF251" s="692"/>
      <c r="CG251" s="692"/>
      <c r="CH251" s="693"/>
    </row>
    <row r="252">
      <c r="B252" s="687"/>
      <c r="C252" s="687"/>
      <c r="D252" s="688"/>
      <c r="E252" s="689"/>
      <c r="F252" s="690"/>
      <c r="G252" s="690"/>
      <c r="H252" s="690"/>
      <c r="I252" s="691"/>
      <c r="J252" s="691"/>
      <c r="K252" s="691"/>
      <c r="L252" s="692"/>
      <c r="M252" s="692"/>
      <c r="N252" s="692"/>
      <c r="O252" s="693"/>
      <c r="P252" s="688"/>
      <c r="Q252" s="688"/>
      <c r="R252" s="688"/>
      <c r="S252" s="688"/>
      <c r="T252" s="689"/>
      <c r="U252" s="689"/>
      <c r="V252" s="694"/>
      <c r="W252" s="694"/>
      <c r="X252" s="694"/>
      <c r="Y252" s="694"/>
      <c r="Z252" s="693"/>
      <c r="AA252" s="693"/>
      <c r="AB252" s="693"/>
      <c r="AC252" s="693"/>
      <c r="AD252" s="688"/>
      <c r="AE252" s="689"/>
      <c r="AF252" s="689"/>
      <c r="AG252" s="690"/>
      <c r="AH252" s="690"/>
      <c r="AI252" s="695"/>
      <c r="AJ252" s="695"/>
      <c r="AK252" s="692"/>
      <c r="AL252" s="692"/>
      <c r="AM252" s="693"/>
      <c r="AN252" s="688"/>
      <c r="AO252" s="688"/>
      <c r="AP252" s="688"/>
      <c r="AQ252" s="688"/>
      <c r="AR252" s="688"/>
      <c r="AS252" s="688"/>
      <c r="AT252" s="689"/>
      <c r="AU252" s="689"/>
      <c r="AV252" s="690"/>
      <c r="AW252" s="690"/>
      <c r="AX252" s="690"/>
      <c r="AY252" s="690"/>
      <c r="AZ252" s="690"/>
      <c r="BA252" s="690"/>
      <c r="BB252" s="695"/>
      <c r="BC252" s="695"/>
      <c r="BD252" s="695"/>
      <c r="BE252" s="695"/>
      <c r="BF252" s="692"/>
      <c r="BG252" s="692"/>
      <c r="BH252" s="692"/>
      <c r="BI252" s="692"/>
      <c r="BJ252" s="692"/>
      <c r="BK252" s="692"/>
      <c r="BL252" s="693"/>
      <c r="BM252" s="693"/>
      <c r="BN252" s="688"/>
      <c r="BO252" s="693"/>
      <c r="BP252" s="689"/>
      <c r="BQ252" s="694"/>
      <c r="BR252" s="687"/>
      <c r="BS252" s="687"/>
      <c r="BT252" s="687"/>
      <c r="BU252" s="687"/>
      <c r="BV252" s="687"/>
      <c r="BW252" s="688"/>
      <c r="BX252" s="688"/>
      <c r="BY252" s="689"/>
      <c r="BZ252" s="690"/>
      <c r="CA252" s="690"/>
      <c r="CB252" s="690"/>
      <c r="CC252" s="691"/>
      <c r="CD252" s="691"/>
      <c r="CE252" s="692"/>
      <c r="CF252" s="692"/>
      <c r="CG252" s="692"/>
      <c r="CH252" s="693"/>
    </row>
    <row r="253">
      <c r="B253" s="687"/>
      <c r="C253" s="687"/>
      <c r="D253" s="688"/>
      <c r="E253" s="689"/>
      <c r="F253" s="690"/>
      <c r="G253" s="690"/>
      <c r="H253" s="690"/>
      <c r="I253" s="691"/>
      <c r="J253" s="691"/>
      <c r="K253" s="691"/>
      <c r="L253" s="692"/>
      <c r="M253" s="692"/>
      <c r="N253" s="692"/>
      <c r="O253" s="693"/>
      <c r="P253" s="688"/>
      <c r="Q253" s="688"/>
      <c r="R253" s="688"/>
      <c r="S253" s="688"/>
      <c r="T253" s="689"/>
      <c r="U253" s="689"/>
      <c r="V253" s="694"/>
      <c r="W253" s="694"/>
      <c r="X253" s="694"/>
      <c r="Y253" s="694"/>
      <c r="Z253" s="693"/>
      <c r="AA253" s="693"/>
      <c r="AB253" s="693"/>
      <c r="AC253" s="693"/>
      <c r="AD253" s="688"/>
      <c r="AE253" s="689"/>
      <c r="AF253" s="689"/>
      <c r="AG253" s="690"/>
      <c r="AH253" s="690"/>
      <c r="AI253" s="695"/>
      <c r="AJ253" s="695"/>
      <c r="AK253" s="692"/>
      <c r="AL253" s="692"/>
      <c r="AM253" s="693"/>
      <c r="AN253" s="688"/>
      <c r="AO253" s="688"/>
      <c r="AP253" s="688"/>
      <c r="AQ253" s="688"/>
      <c r="AR253" s="688"/>
      <c r="AS253" s="688"/>
      <c r="AT253" s="689"/>
      <c r="AU253" s="689"/>
      <c r="AV253" s="690"/>
      <c r="AW253" s="690"/>
      <c r="AX253" s="690"/>
      <c r="AY253" s="690"/>
      <c r="AZ253" s="690"/>
      <c r="BA253" s="690"/>
      <c r="BB253" s="695"/>
      <c r="BC253" s="695"/>
      <c r="BD253" s="695"/>
      <c r="BE253" s="695"/>
      <c r="BF253" s="692"/>
      <c r="BG253" s="692"/>
      <c r="BH253" s="692"/>
      <c r="BI253" s="692"/>
      <c r="BJ253" s="692"/>
      <c r="BK253" s="692"/>
      <c r="BL253" s="693"/>
      <c r="BM253" s="693"/>
      <c r="BN253" s="688"/>
      <c r="BO253" s="693"/>
      <c r="BP253" s="689"/>
      <c r="BQ253" s="694"/>
      <c r="BR253" s="687"/>
      <c r="BS253" s="687"/>
      <c r="BT253" s="687"/>
      <c r="BU253" s="687"/>
      <c r="BV253" s="687"/>
      <c r="BW253" s="688"/>
      <c r="BX253" s="688"/>
      <c r="BY253" s="689"/>
      <c r="BZ253" s="690"/>
      <c r="CA253" s="690"/>
      <c r="CB253" s="690"/>
      <c r="CC253" s="691"/>
      <c r="CD253" s="691"/>
      <c r="CE253" s="692"/>
      <c r="CF253" s="692"/>
      <c r="CG253" s="692"/>
      <c r="CH253" s="693"/>
    </row>
    <row r="254">
      <c r="B254" s="687"/>
      <c r="C254" s="687"/>
      <c r="D254" s="688"/>
      <c r="E254" s="689"/>
      <c r="F254" s="690"/>
      <c r="G254" s="690"/>
      <c r="H254" s="690"/>
      <c r="I254" s="691"/>
      <c r="J254" s="691"/>
      <c r="K254" s="691"/>
      <c r="L254" s="692"/>
      <c r="M254" s="692"/>
      <c r="N254" s="692"/>
      <c r="O254" s="693"/>
      <c r="P254" s="688"/>
      <c r="Q254" s="688"/>
      <c r="R254" s="688"/>
      <c r="S254" s="688"/>
      <c r="T254" s="689"/>
      <c r="U254" s="689"/>
      <c r="V254" s="694"/>
      <c r="W254" s="694"/>
      <c r="X254" s="694"/>
      <c r="Y254" s="694"/>
      <c r="Z254" s="693"/>
      <c r="AA254" s="693"/>
      <c r="AB254" s="693"/>
      <c r="AC254" s="693"/>
      <c r="AD254" s="688"/>
      <c r="AE254" s="689"/>
      <c r="AF254" s="689"/>
      <c r="AG254" s="690"/>
      <c r="AH254" s="690"/>
      <c r="AI254" s="695"/>
      <c r="AJ254" s="695"/>
      <c r="AK254" s="692"/>
      <c r="AL254" s="692"/>
      <c r="AM254" s="693"/>
      <c r="AN254" s="688"/>
      <c r="AO254" s="688"/>
      <c r="AP254" s="688"/>
      <c r="AQ254" s="688"/>
      <c r="AR254" s="688"/>
      <c r="AS254" s="688"/>
      <c r="AT254" s="689"/>
      <c r="AU254" s="689"/>
      <c r="AV254" s="690"/>
      <c r="AW254" s="690"/>
      <c r="AX254" s="690"/>
      <c r="AY254" s="690"/>
      <c r="AZ254" s="690"/>
      <c r="BA254" s="690"/>
      <c r="BB254" s="695"/>
      <c r="BC254" s="695"/>
      <c r="BD254" s="695"/>
      <c r="BE254" s="695"/>
      <c r="BF254" s="692"/>
      <c r="BG254" s="692"/>
      <c r="BH254" s="692"/>
      <c r="BI254" s="692"/>
      <c r="BJ254" s="692"/>
      <c r="BK254" s="692"/>
      <c r="BL254" s="693"/>
      <c r="BM254" s="693"/>
      <c r="BN254" s="688"/>
      <c r="BO254" s="693"/>
      <c r="BP254" s="689"/>
      <c r="BQ254" s="694"/>
      <c r="BR254" s="687"/>
      <c r="BS254" s="687"/>
      <c r="BT254" s="687"/>
      <c r="BU254" s="687"/>
      <c r="BV254" s="687"/>
      <c r="BW254" s="688"/>
      <c r="BX254" s="688"/>
      <c r="BY254" s="689"/>
      <c r="BZ254" s="690"/>
      <c r="CA254" s="690"/>
      <c r="CB254" s="690"/>
      <c r="CC254" s="691"/>
      <c r="CD254" s="691"/>
      <c r="CE254" s="692"/>
      <c r="CF254" s="692"/>
      <c r="CG254" s="692"/>
      <c r="CH254" s="693"/>
    </row>
    <row r="255">
      <c r="B255" s="687"/>
      <c r="C255" s="687"/>
      <c r="D255" s="688"/>
      <c r="E255" s="689"/>
      <c r="F255" s="690"/>
      <c r="G255" s="690"/>
      <c r="H255" s="690"/>
      <c r="I255" s="691"/>
      <c r="J255" s="691"/>
      <c r="K255" s="691"/>
      <c r="L255" s="692"/>
      <c r="M255" s="692"/>
      <c r="N255" s="692"/>
      <c r="O255" s="693"/>
      <c r="P255" s="688"/>
      <c r="Q255" s="688"/>
      <c r="R255" s="688"/>
      <c r="S255" s="688"/>
      <c r="T255" s="689"/>
      <c r="U255" s="689"/>
      <c r="V255" s="694"/>
      <c r="W255" s="694"/>
      <c r="X255" s="694"/>
      <c r="Y255" s="694"/>
      <c r="Z255" s="693"/>
      <c r="AA255" s="693"/>
      <c r="AB255" s="693"/>
      <c r="AC255" s="693"/>
      <c r="AD255" s="688"/>
      <c r="AE255" s="689"/>
      <c r="AF255" s="689"/>
      <c r="AG255" s="690"/>
      <c r="AH255" s="690"/>
      <c r="AI255" s="695"/>
      <c r="AJ255" s="695"/>
      <c r="AK255" s="692"/>
      <c r="AL255" s="692"/>
      <c r="AM255" s="693"/>
      <c r="AN255" s="688"/>
      <c r="AO255" s="688"/>
      <c r="AP255" s="688"/>
      <c r="AQ255" s="688"/>
      <c r="AR255" s="688"/>
      <c r="AS255" s="688"/>
      <c r="AT255" s="689"/>
      <c r="AU255" s="689"/>
      <c r="AV255" s="690"/>
      <c r="AW255" s="690"/>
      <c r="AX255" s="690"/>
      <c r="AY255" s="690"/>
      <c r="AZ255" s="690"/>
      <c r="BA255" s="690"/>
      <c r="BB255" s="695"/>
      <c r="BC255" s="695"/>
      <c r="BD255" s="695"/>
      <c r="BE255" s="695"/>
      <c r="BF255" s="692"/>
      <c r="BG255" s="692"/>
      <c r="BH255" s="692"/>
      <c r="BI255" s="692"/>
      <c r="BJ255" s="692"/>
      <c r="BK255" s="692"/>
      <c r="BL255" s="693"/>
      <c r="BM255" s="693"/>
      <c r="BN255" s="688"/>
      <c r="BO255" s="693"/>
      <c r="BP255" s="689"/>
      <c r="BQ255" s="694"/>
      <c r="BR255" s="687"/>
      <c r="BS255" s="687"/>
      <c r="BT255" s="687"/>
      <c r="BU255" s="687"/>
      <c r="BV255" s="687"/>
      <c r="BW255" s="688"/>
      <c r="BX255" s="688"/>
      <c r="BY255" s="689"/>
      <c r="BZ255" s="690"/>
      <c r="CA255" s="690"/>
      <c r="CB255" s="690"/>
      <c r="CC255" s="691"/>
      <c r="CD255" s="691"/>
      <c r="CE255" s="692"/>
      <c r="CF255" s="692"/>
      <c r="CG255" s="692"/>
      <c r="CH255" s="693"/>
    </row>
    <row r="256">
      <c r="B256" s="687"/>
      <c r="C256" s="687"/>
      <c r="D256" s="688"/>
      <c r="E256" s="689"/>
      <c r="F256" s="690"/>
      <c r="G256" s="690"/>
      <c r="H256" s="690"/>
      <c r="I256" s="691"/>
      <c r="J256" s="691"/>
      <c r="K256" s="691"/>
      <c r="L256" s="692"/>
      <c r="M256" s="692"/>
      <c r="N256" s="692"/>
      <c r="O256" s="693"/>
      <c r="P256" s="688"/>
      <c r="Q256" s="688"/>
      <c r="R256" s="688"/>
      <c r="S256" s="688"/>
      <c r="T256" s="689"/>
      <c r="U256" s="689"/>
      <c r="V256" s="694"/>
      <c r="W256" s="694"/>
      <c r="X256" s="694"/>
      <c r="Y256" s="694"/>
      <c r="Z256" s="693"/>
      <c r="AA256" s="693"/>
      <c r="AB256" s="693"/>
      <c r="AC256" s="693"/>
      <c r="AD256" s="688"/>
      <c r="AE256" s="689"/>
      <c r="AF256" s="689"/>
      <c r="AG256" s="690"/>
      <c r="AH256" s="690"/>
      <c r="AI256" s="695"/>
      <c r="AJ256" s="695"/>
      <c r="AK256" s="692"/>
      <c r="AL256" s="692"/>
      <c r="AM256" s="693"/>
      <c r="AN256" s="688"/>
      <c r="AO256" s="688"/>
      <c r="AP256" s="688"/>
      <c r="AQ256" s="688"/>
      <c r="AR256" s="688"/>
      <c r="AS256" s="688"/>
      <c r="AT256" s="689"/>
      <c r="AU256" s="689"/>
      <c r="AV256" s="690"/>
      <c r="AW256" s="690"/>
      <c r="AX256" s="690"/>
      <c r="AY256" s="690"/>
      <c r="AZ256" s="690"/>
      <c r="BA256" s="690"/>
      <c r="BB256" s="695"/>
      <c r="BC256" s="695"/>
      <c r="BD256" s="695"/>
      <c r="BE256" s="695"/>
      <c r="BF256" s="692"/>
      <c r="BG256" s="692"/>
      <c r="BH256" s="692"/>
      <c r="BI256" s="692"/>
      <c r="BJ256" s="692"/>
      <c r="BK256" s="692"/>
      <c r="BL256" s="693"/>
      <c r="BM256" s="693"/>
      <c r="BN256" s="688"/>
      <c r="BO256" s="693"/>
      <c r="BP256" s="689"/>
      <c r="BQ256" s="694"/>
      <c r="BR256" s="687"/>
      <c r="BS256" s="687"/>
      <c r="BT256" s="687"/>
      <c r="BU256" s="687"/>
      <c r="BV256" s="687"/>
      <c r="BW256" s="688"/>
      <c r="BX256" s="688"/>
      <c r="BY256" s="689"/>
      <c r="BZ256" s="690"/>
      <c r="CA256" s="690"/>
      <c r="CB256" s="690"/>
      <c r="CC256" s="691"/>
      <c r="CD256" s="691"/>
      <c r="CE256" s="692"/>
      <c r="CF256" s="692"/>
      <c r="CG256" s="692"/>
      <c r="CH256" s="693"/>
    </row>
    <row r="257">
      <c r="B257" s="687"/>
      <c r="C257" s="687"/>
      <c r="D257" s="688"/>
      <c r="E257" s="689"/>
      <c r="F257" s="690"/>
      <c r="G257" s="690"/>
      <c r="H257" s="690"/>
      <c r="I257" s="691"/>
      <c r="J257" s="691"/>
      <c r="K257" s="691"/>
      <c r="L257" s="692"/>
      <c r="M257" s="692"/>
      <c r="N257" s="692"/>
      <c r="O257" s="693"/>
      <c r="P257" s="688"/>
      <c r="Q257" s="688"/>
      <c r="R257" s="688"/>
      <c r="S257" s="688"/>
      <c r="T257" s="689"/>
      <c r="U257" s="689"/>
      <c r="V257" s="694"/>
      <c r="W257" s="694"/>
      <c r="X257" s="694"/>
      <c r="Y257" s="694"/>
      <c r="Z257" s="693"/>
      <c r="AA257" s="693"/>
      <c r="AB257" s="693"/>
      <c r="AC257" s="693"/>
      <c r="AD257" s="688"/>
      <c r="AE257" s="689"/>
      <c r="AF257" s="689"/>
      <c r="AG257" s="690"/>
      <c r="AH257" s="690"/>
      <c r="AI257" s="695"/>
      <c r="AJ257" s="695"/>
      <c r="AK257" s="692"/>
      <c r="AL257" s="692"/>
      <c r="AM257" s="693"/>
      <c r="AN257" s="688"/>
      <c r="AO257" s="688"/>
      <c r="AP257" s="688"/>
      <c r="AQ257" s="688"/>
      <c r="AR257" s="688"/>
      <c r="AS257" s="688"/>
      <c r="AT257" s="689"/>
      <c r="AU257" s="689"/>
      <c r="AV257" s="690"/>
      <c r="AW257" s="690"/>
      <c r="AX257" s="690"/>
      <c r="AY257" s="690"/>
      <c r="AZ257" s="690"/>
      <c r="BA257" s="690"/>
      <c r="BB257" s="695"/>
      <c r="BC257" s="695"/>
      <c r="BD257" s="695"/>
      <c r="BE257" s="695"/>
      <c r="BF257" s="692"/>
      <c r="BG257" s="692"/>
      <c r="BH257" s="692"/>
      <c r="BI257" s="692"/>
      <c r="BJ257" s="692"/>
      <c r="BK257" s="692"/>
      <c r="BL257" s="693"/>
      <c r="BM257" s="693"/>
      <c r="BN257" s="688"/>
      <c r="BO257" s="693"/>
      <c r="BP257" s="689"/>
      <c r="BQ257" s="694"/>
      <c r="BR257" s="687"/>
      <c r="BS257" s="687"/>
      <c r="BT257" s="687"/>
      <c r="BU257" s="687"/>
      <c r="BV257" s="687"/>
      <c r="BW257" s="688"/>
      <c r="BX257" s="688"/>
      <c r="BY257" s="689"/>
      <c r="BZ257" s="690"/>
      <c r="CA257" s="690"/>
      <c r="CB257" s="690"/>
      <c r="CC257" s="691"/>
      <c r="CD257" s="691"/>
      <c r="CE257" s="692"/>
      <c r="CF257" s="692"/>
      <c r="CG257" s="692"/>
      <c r="CH257" s="693"/>
    </row>
    <row r="258">
      <c r="B258" s="687"/>
      <c r="C258" s="687"/>
      <c r="D258" s="688"/>
      <c r="E258" s="689"/>
      <c r="F258" s="690"/>
      <c r="G258" s="690"/>
      <c r="H258" s="690"/>
      <c r="I258" s="691"/>
      <c r="J258" s="691"/>
      <c r="K258" s="691"/>
      <c r="L258" s="692"/>
      <c r="M258" s="692"/>
      <c r="N258" s="692"/>
      <c r="O258" s="693"/>
      <c r="P258" s="688"/>
      <c r="Q258" s="688"/>
      <c r="R258" s="688"/>
      <c r="S258" s="688"/>
      <c r="T258" s="689"/>
      <c r="U258" s="689"/>
      <c r="V258" s="694"/>
      <c r="W258" s="694"/>
      <c r="X258" s="694"/>
      <c r="Y258" s="694"/>
      <c r="Z258" s="693"/>
      <c r="AA258" s="693"/>
      <c r="AB258" s="693"/>
      <c r="AC258" s="693"/>
      <c r="AD258" s="688"/>
      <c r="AE258" s="689"/>
      <c r="AF258" s="689"/>
      <c r="AG258" s="690"/>
      <c r="AH258" s="690"/>
      <c r="AI258" s="695"/>
      <c r="AJ258" s="695"/>
      <c r="AK258" s="692"/>
      <c r="AL258" s="692"/>
      <c r="AM258" s="693"/>
      <c r="AN258" s="688"/>
      <c r="AO258" s="688"/>
      <c r="AP258" s="688"/>
      <c r="AQ258" s="688"/>
      <c r="AR258" s="688"/>
      <c r="AS258" s="688"/>
      <c r="AT258" s="689"/>
      <c r="AU258" s="689"/>
      <c r="AV258" s="690"/>
      <c r="AW258" s="690"/>
      <c r="AX258" s="690"/>
      <c r="AY258" s="690"/>
      <c r="AZ258" s="690"/>
      <c r="BA258" s="690"/>
      <c r="BB258" s="695"/>
      <c r="BC258" s="695"/>
      <c r="BD258" s="695"/>
      <c r="BE258" s="695"/>
      <c r="BF258" s="692"/>
      <c r="BG258" s="692"/>
      <c r="BH258" s="692"/>
      <c r="BI258" s="692"/>
      <c r="BJ258" s="692"/>
      <c r="BK258" s="692"/>
      <c r="BL258" s="693"/>
      <c r="BM258" s="693"/>
      <c r="BN258" s="688"/>
      <c r="BO258" s="693"/>
      <c r="BP258" s="689"/>
      <c r="BQ258" s="694"/>
      <c r="BR258" s="687"/>
      <c r="BS258" s="687"/>
      <c r="BT258" s="687"/>
      <c r="BU258" s="687"/>
      <c r="BV258" s="687"/>
      <c r="BW258" s="688"/>
      <c r="BX258" s="688"/>
      <c r="BY258" s="689"/>
      <c r="BZ258" s="690"/>
      <c r="CA258" s="690"/>
      <c r="CB258" s="690"/>
      <c r="CC258" s="691"/>
      <c r="CD258" s="691"/>
      <c r="CE258" s="692"/>
      <c r="CF258" s="692"/>
      <c r="CG258" s="692"/>
      <c r="CH258" s="693"/>
    </row>
    <row r="259">
      <c r="B259" s="687"/>
      <c r="C259" s="687"/>
      <c r="D259" s="688"/>
      <c r="E259" s="689"/>
      <c r="F259" s="690"/>
      <c r="G259" s="690"/>
      <c r="H259" s="690"/>
      <c r="I259" s="691"/>
      <c r="J259" s="691"/>
      <c r="K259" s="691"/>
      <c r="L259" s="692"/>
      <c r="M259" s="692"/>
      <c r="N259" s="692"/>
      <c r="O259" s="693"/>
      <c r="P259" s="688"/>
      <c r="Q259" s="688"/>
      <c r="R259" s="688"/>
      <c r="S259" s="688"/>
      <c r="T259" s="689"/>
      <c r="U259" s="689"/>
      <c r="V259" s="694"/>
      <c r="W259" s="694"/>
      <c r="X259" s="694"/>
      <c r="Y259" s="694"/>
      <c r="Z259" s="693"/>
      <c r="AA259" s="693"/>
      <c r="AB259" s="693"/>
      <c r="AC259" s="693"/>
      <c r="AD259" s="688"/>
      <c r="AE259" s="689"/>
      <c r="AF259" s="689"/>
      <c r="AG259" s="690"/>
      <c r="AH259" s="690"/>
      <c r="AI259" s="695"/>
      <c r="AJ259" s="695"/>
      <c r="AK259" s="692"/>
      <c r="AL259" s="692"/>
      <c r="AM259" s="693"/>
      <c r="AN259" s="688"/>
      <c r="AO259" s="688"/>
      <c r="AP259" s="688"/>
      <c r="AQ259" s="688"/>
      <c r="AR259" s="688"/>
      <c r="AS259" s="688"/>
      <c r="AT259" s="689"/>
      <c r="AU259" s="689"/>
      <c r="AV259" s="690"/>
      <c r="AW259" s="690"/>
      <c r="AX259" s="690"/>
      <c r="AY259" s="690"/>
      <c r="AZ259" s="690"/>
      <c r="BA259" s="690"/>
      <c r="BB259" s="695"/>
      <c r="BC259" s="695"/>
      <c r="BD259" s="695"/>
      <c r="BE259" s="695"/>
      <c r="BF259" s="692"/>
      <c r="BG259" s="692"/>
      <c r="BH259" s="692"/>
      <c r="BI259" s="692"/>
      <c r="BJ259" s="692"/>
      <c r="BK259" s="692"/>
      <c r="BL259" s="693"/>
      <c r="BM259" s="693"/>
      <c r="BN259" s="688"/>
      <c r="BO259" s="693"/>
      <c r="BP259" s="689"/>
      <c r="BQ259" s="694"/>
      <c r="BR259" s="687"/>
      <c r="BS259" s="687"/>
      <c r="BT259" s="687"/>
      <c r="BU259" s="687"/>
      <c r="BV259" s="687"/>
      <c r="BW259" s="688"/>
      <c r="BX259" s="688"/>
      <c r="BY259" s="689"/>
      <c r="BZ259" s="690"/>
      <c r="CA259" s="690"/>
      <c r="CB259" s="690"/>
      <c r="CC259" s="691"/>
      <c r="CD259" s="691"/>
      <c r="CE259" s="692"/>
      <c r="CF259" s="692"/>
      <c r="CG259" s="692"/>
      <c r="CH259" s="693"/>
    </row>
    <row r="260">
      <c r="B260" s="687"/>
      <c r="C260" s="687"/>
      <c r="D260" s="688"/>
      <c r="E260" s="689"/>
      <c r="F260" s="690"/>
      <c r="G260" s="690"/>
      <c r="H260" s="690"/>
      <c r="I260" s="691"/>
      <c r="J260" s="691"/>
      <c r="K260" s="691"/>
      <c r="L260" s="692"/>
      <c r="M260" s="692"/>
      <c r="N260" s="692"/>
      <c r="O260" s="693"/>
      <c r="P260" s="688"/>
      <c r="Q260" s="688"/>
      <c r="R260" s="688"/>
      <c r="S260" s="688"/>
      <c r="T260" s="689"/>
      <c r="U260" s="689"/>
      <c r="V260" s="694"/>
      <c r="W260" s="694"/>
      <c r="X260" s="694"/>
      <c r="Y260" s="694"/>
      <c r="Z260" s="693"/>
      <c r="AA260" s="693"/>
      <c r="AB260" s="693"/>
      <c r="AC260" s="693"/>
      <c r="AD260" s="688"/>
      <c r="AE260" s="689"/>
      <c r="AF260" s="689"/>
      <c r="AG260" s="690"/>
      <c r="AH260" s="690"/>
      <c r="AI260" s="695"/>
      <c r="AJ260" s="695"/>
      <c r="AK260" s="692"/>
      <c r="AL260" s="692"/>
      <c r="AM260" s="693"/>
      <c r="AN260" s="688"/>
      <c r="AO260" s="688"/>
      <c r="AP260" s="688"/>
      <c r="AQ260" s="688"/>
      <c r="AR260" s="688"/>
      <c r="AS260" s="688"/>
      <c r="AT260" s="689"/>
      <c r="AU260" s="689"/>
      <c r="AV260" s="690"/>
      <c r="AW260" s="690"/>
      <c r="AX260" s="690"/>
      <c r="AY260" s="690"/>
      <c r="AZ260" s="690"/>
      <c r="BA260" s="690"/>
      <c r="BB260" s="695"/>
      <c r="BC260" s="695"/>
      <c r="BD260" s="695"/>
      <c r="BE260" s="695"/>
      <c r="BF260" s="692"/>
      <c r="BG260" s="692"/>
      <c r="BH260" s="692"/>
      <c r="BI260" s="692"/>
      <c r="BJ260" s="692"/>
      <c r="BK260" s="692"/>
      <c r="BL260" s="693"/>
      <c r="BM260" s="693"/>
      <c r="BN260" s="688"/>
      <c r="BO260" s="693"/>
      <c r="BP260" s="689"/>
      <c r="BQ260" s="694"/>
      <c r="BR260" s="687"/>
      <c r="BS260" s="687"/>
      <c r="BT260" s="687"/>
      <c r="BU260" s="687"/>
      <c r="BV260" s="687"/>
      <c r="BW260" s="688"/>
      <c r="BX260" s="688"/>
      <c r="BY260" s="689"/>
      <c r="BZ260" s="690"/>
      <c r="CA260" s="690"/>
      <c r="CB260" s="690"/>
      <c r="CC260" s="691"/>
      <c r="CD260" s="691"/>
      <c r="CE260" s="692"/>
      <c r="CF260" s="692"/>
      <c r="CG260" s="692"/>
      <c r="CH260" s="693"/>
    </row>
    <row r="261">
      <c r="B261" s="687"/>
      <c r="C261" s="687"/>
      <c r="D261" s="688"/>
      <c r="E261" s="689"/>
      <c r="F261" s="690"/>
      <c r="G261" s="690"/>
      <c r="H261" s="690"/>
      <c r="I261" s="691"/>
      <c r="J261" s="691"/>
      <c r="K261" s="691"/>
      <c r="L261" s="692"/>
      <c r="M261" s="692"/>
      <c r="N261" s="692"/>
      <c r="O261" s="693"/>
      <c r="P261" s="688"/>
      <c r="Q261" s="688"/>
      <c r="R261" s="688"/>
      <c r="S261" s="688"/>
      <c r="T261" s="689"/>
      <c r="U261" s="689"/>
      <c r="V261" s="694"/>
      <c r="W261" s="694"/>
      <c r="X261" s="694"/>
      <c r="Y261" s="694"/>
      <c r="Z261" s="693"/>
      <c r="AA261" s="693"/>
      <c r="AB261" s="693"/>
      <c r="AC261" s="693"/>
      <c r="AD261" s="688"/>
      <c r="AE261" s="689"/>
      <c r="AF261" s="689"/>
      <c r="AG261" s="690"/>
      <c r="AH261" s="690"/>
      <c r="AI261" s="695"/>
      <c r="AJ261" s="695"/>
      <c r="AK261" s="692"/>
      <c r="AL261" s="692"/>
      <c r="AM261" s="693"/>
      <c r="AN261" s="688"/>
      <c r="AO261" s="688"/>
      <c r="AP261" s="688"/>
      <c r="AQ261" s="688"/>
      <c r="AR261" s="688"/>
      <c r="AS261" s="688"/>
      <c r="AT261" s="689"/>
      <c r="AU261" s="689"/>
      <c r="AV261" s="690"/>
      <c r="AW261" s="690"/>
      <c r="AX261" s="690"/>
      <c r="AY261" s="690"/>
      <c r="AZ261" s="690"/>
      <c r="BA261" s="690"/>
      <c r="BB261" s="695"/>
      <c r="BC261" s="695"/>
      <c r="BD261" s="695"/>
      <c r="BE261" s="695"/>
      <c r="BF261" s="692"/>
      <c r="BG261" s="692"/>
      <c r="BH261" s="692"/>
      <c r="BI261" s="692"/>
      <c r="BJ261" s="692"/>
      <c r="BK261" s="692"/>
      <c r="BL261" s="693"/>
      <c r="BM261" s="693"/>
      <c r="BN261" s="688"/>
      <c r="BO261" s="693"/>
      <c r="BP261" s="689"/>
      <c r="BQ261" s="694"/>
      <c r="BR261" s="687"/>
      <c r="BS261" s="687"/>
      <c r="BT261" s="687"/>
      <c r="BU261" s="687"/>
      <c r="BV261" s="687"/>
      <c r="BW261" s="688"/>
      <c r="BX261" s="688"/>
      <c r="BY261" s="689"/>
      <c r="BZ261" s="690"/>
      <c r="CA261" s="690"/>
      <c r="CB261" s="690"/>
      <c r="CC261" s="691"/>
      <c r="CD261" s="691"/>
      <c r="CE261" s="692"/>
      <c r="CF261" s="692"/>
      <c r="CG261" s="692"/>
      <c r="CH261" s="693"/>
    </row>
    <row r="262">
      <c r="B262" s="687"/>
      <c r="C262" s="687"/>
      <c r="D262" s="688"/>
      <c r="E262" s="689"/>
      <c r="F262" s="690"/>
      <c r="G262" s="690"/>
      <c r="H262" s="690"/>
      <c r="I262" s="691"/>
      <c r="J262" s="691"/>
      <c r="K262" s="691"/>
      <c r="L262" s="692"/>
      <c r="M262" s="692"/>
      <c r="N262" s="692"/>
      <c r="O262" s="693"/>
      <c r="P262" s="688"/>
      <c r="Q262" s="688"/>
      <c r="R262" s="688"/>
      <c r="S262" s="688"/>
      <c r="T262" s="689"/>
      <c r="U262" s="689"/>
      <c r="V262" s="694"/>
      <c r="W262" s="694"/>
      <c r="X262" s="694"/>
      <c r="Y262" s="694"/>
      <c r="Z262" s="693"/>
      <c r="AA262" s="693"/>
      <c r="AB262" s="693"/>
      <c r="AC262" s="693"/>
      <c r="AD262" s="688"/>
      <c r="AE262" s="689"/>
      <c r="AF262" s="689"/>
      <c r="AG262" s="690"/>
      <c r="AH262" s="690"/>
      <c r="AI262" s="695"/>
      <c r="AJ262" s="695"/>
      <c r="AK262" s="692"/>
      <c r="AL262" s="692"/>
      <c r="AM262" s="693"/>
      <c r="AN262" s="688"/>
      <c r="AO262" s="688"/>
      <c r="AP262" s="688"/>
      <c r="AQ262" s="688"/>
      <c r="AR262" s="688"/>
      <c r="AS262" s="688"/>
      <c r="AT262" s="689"/>
      <c r="AU262" s="689"/>
      <c r="AV262" s="690"/>
      <c r="AW262" s="690"/>
      <c r="AX262" s="690"/>
      <c r="AY262" s="690"/>
      <c r="AZ262" s="690"/>
      <c r="BA262" s="690"/>
      <c r="BB262" s="695"/>
      <c r="BC262" s="695"/>
      <c r="BD262" s="695"/>
      <c r="BE262" s="695"/>
      <c r="BF262" s="692"/>
      <c r="BG262" s="692"/>
      <c r="BH262" s="692"/>
      <c r="BI262" s="692"/>
      <c r="BJ262" s="692"/>
      <c r="BK262" s="692"/>
      <c r="BL262" s="693"/>
      <c r="BM262" s="693"/>
      <c r="BN262" s="688"/>
      <c r="BO262" s="693"/>
      <c r="BP262" s="689"/>
      <c r="BQ262" s="694"/>
      <c r="BR262" s="687"/>
      <c r="BS262" s="687"/>
      <c r="BT262" s="687"/>
      <c r="BU262" s="687"/>
      <c r="BV262" s="687"/>
      <c r="BW262" s="688"/>
      <c r="BX262" s="688"/>
      <c r="BY262" s="689"/>
      <c r="BZ262" s="690"/>
      <c r="CA262" s="690"/>
      <c r="CB262" s="690"/>
      <c r="CC262" s="691"/>
      <c r="CD262" s="691"/>
      <c r="CE262" s="692"/>
      <c r="CF262" s="692"/>
      <c r="CG262" s="692"/>
      <c r="CH262" s="693"/>
    </row>
    <row r="263">
      <c r="B263" s="687"/>
      <c r="C263" s="687"/>
      <c r="D263" s="688"/>
      <c r="E263" s="689"/>
      <c r="F263" s="690"/>
      <c r="G263" s="690"/>
      <c r="H263" s="690"/>
      <c r="I263" s="691"/>
      <c r="J263" s="691"/>
      <c r="K263" s="691"/>
      <c r="L263" s="692"/>
      <c r="M263" s="692"/>
      <c r="N263" s="692"/>
      <c r="O263" s="693"/>
      <c r="P263" s="688"/>
      <c r="Q263" s="688"/>
      <c r="R263" s="688"/>
      <c r="S263" s="688"/>
      <c r="T263" s="689"/>
      <c r="U263" s="689"/>
      <c r="V263" s="694"/>
      <c r="W263" s="694"/>
      <c r="X263" s="694"/>
      <c r="Y263" s="694"/>
      <c r="Z263" s="693"/>
      <c r="AA263" s="693"/>
      <c r="AB263" s="693"/>
      <c r="AC263" s="693"/>
      <c r="AD263" s="688"/>
      <c r="AE263" s="689"/>
      <c r="AF263" s="689"/>
      <c r="AG263" s="690"/>
      <c r="AH263" s="690"/>
      <c r="AI263" s="695"/>
      <c r="AJ263" s="695"/>
      <c r="AK263" s="692"/>
      <c r="AL263" s="692"/>
      <c r="AM263" s="693"/>
      <c r="AN263" s="688"/>
      <c r="AO263" s="688"/>
      <c r="AP263" s="688"/>
      <c r="AQ263" s="688"/>
      <c r="AR263" s="688"/>
      <c r="AS263" s="688"/>
      <c r="AT263" s="689"/>
      <c r="AU263" s="689"/>
      <c r="AV263" s="690"/>
      <c r="AW263" s="690"/>
      <c r="AX263" s="690"/>
      <c r="AY263" s="690"/>
      <c r="AZ263" s="690"/>
      <c r="BA263" s="690"/>
      <c r="BB263" s="695"/>
      <c r="BC263" s="695"/>
      <c r="BD263" s="695"/>
      <c r="BE263" s="695"/>
      <c r="BF263" s="692"/>
      <c r="BG263" s="692"/>
      <c r="BH263" s="692"/>
      <c r="BI263" s="692"/>
      <c r="BJ263" s="692"/>
      <c r="BK263" s="692"/>
      <c r="BL263" s="693"/>
      <c r="BM263" s="693"/>
      <c r="BN263" s="688"/>
      <c r="BO263" s="693"/>
      <c r="BP263" s="689"/>
      <c r="BQ263" s="694"/>
      <c r="BR263" s="687"/>
      <c r="BS263" s="687"/>
      <c r="BT263" s="687"/>
      <c r="BU263" s="687"/>
      <c r="BV263" s="687"/>
      <c r="BW263" s="688"/>
      <c r="BX263" s="688"/>
      <c r="BY263" s="689"/>
      <c r="BZ263" s="690"/>
      <c r="CA263" s="690"/>
      <c r="CB263" s="690"/>
      <c r="CC263" s="691"/>
      <c r="CD263" s="691"/>
      <c r="CE263" s="692"/>
      <c r="CF263" s="692"/>
      <c r="CG263" s="692"/>
      <c r="CH263" s="693"/>
    </row>
    <row r="264">
      <c r="B264" s="687"/>
      <c r="C264" s="687"/>
      <c r="D264" s="688"/>
      <c r="E264" s="689"/>
      <c r="F264" s="690"/>
      <c r="G264" s="690"/>
      <c r="H264" s="690"/>
      <c r="I264" s="691"/>
      <c r="J264" s="691"/>
      <c r="K264" s="691"/>
      <c r="L264" s="692"/>
      <c r="M264" s="692"/>
      <c r="N264" s="692"/>
      <c r="O264" s="693"/>
      <c r="P264" s="688"/>
      <c r="Q264" s="688"/>
      <c r="R264" s="688"/>
      <c r="S264" s="688"/>
      <c r="T264" s="689"/>
      <c r="U264" s="689"/>
      <c r="V264" s="694"/>
      <c r="W264" s="694"/>
      <c r="X264" s="694"/>
      <c r="Y264" s="694"/>
      <c r="Z264" s="693"/>
      <c r="AA264" s="693"/>
      <c r="AB264" s="693"/>
      <c r="AC264" s="693"/>
      <c r="AD264" s="688"/>
      <c r="AE264" s="689"/>
      <c r="AF264" s="689"/>
      <c r="AG264" s="690"/>
      <c r="AH264" s="690"/>
      <c r="AI264" s="695"/>
      <c r="AJ264" s="695"/>
      <c r="AK264" s="692"/>
      <c r="AL264" s="692"/>
      <c r="AM264" s="693"/>
      <c r="AN264" s="688"/>
      <c r="AO264" s="688"/>
      <c r="AP264" s="688"/>
      <c r="AQ264" s="688"/>
      <c r="AR264" s="688"/>
      <c r="AS264" s="688"/>
      <c r="AT264" s="689"/>
      <c r="AU264" s="689"/>
      <c r="AV264" s="690"/>
      <c r="AW264" s="690"/>
      <c r="AX264" s="690"/>
      <c r="AY264" s="690"/>
      <c r="AZ264" s="690"/>
      <c r="BA264" s="690"/>
      <c r="BB264" s="695"/>
      <c r="BC264" s="695"/>
      <c r="BD264" s="695"/>
      <c r="BE264" s="695"/>
      <c r="BF264" s="692"/>
      <c r="BG264" s="692"/>
      <c r="BH264" s="692"/>
      <c r="BI264" s="692"/>
      <c r="BJ264" s="692"/>
      <c r="BK264" s="692"/>
      <c r="BL264" s="693"/>
      <c r="BM264" s="693"/>
      <c r="BN264" s="688"/>
      <c r="BO264" s="693"/>
      <c r="BP264" s="689"/>
      <c r="BQ264" s="694"/>
      <c r="BR264" s="687"/>
      <c r="BS264" s="687"/>
      <c r="BT264" s="687"/>
      <c r="BU264" s="687"/>
      <c r="BV264" s="687"/>
      <c r="BW264" s="688"/>
      <c r="BX264" s="688"/>
      <c r="BY264" s="689"/>
      <c r="BZ264" s="690"/>
      <c r="CA264" s="690"/>
      <c r="CB264" s="690"/>
      <c r="CC264" s="691"/>
      <c r="CD264" s="691"/>
      <c r="CE264" s="692"/>
      <c r="CF264" s="692"/>
      <c r="CG264" s="692"/>
      <c r="CH264" s="693"/>
    </row>
    <row r="265">
      <c r="B265" s="687"/>
      <c r="C265" s="687"/>
      <c r="D265" s="688"/>
      <c r="E265" s="689"/>
      <c r="F265" s="690"/>
      <c r="G265" s="690"/>
      <c r="H265" s="690"/>
      <c r="I265" s="691"/>
      <c r="J265" s="691"/>
      <c r="K265" s="691"/>
      <c r="L265" s="692"/>
      <c r="M265" s="692"/>
      <c r="N265" s="692"/>
      <c r="O265" s="693"/>
      <c r="P265" s="688"/>
      <c r="Q265" s="688"/>
      <c r="R265" s="688"/>
      <c r="S265" s="688"/>
      <c r="T265" s="689"/>
      <c r="U265" s="689"/>
      <c r="V265" s="694"/>
      <c r="W265" s="694"/>
      <c r="X265" s="694"/>
      <c r="Y265" s="694"/>
      <c r="Z265" s="693"/>
      <c r="AA265" s="693"/>
      <c r="AB265" s="693"/>
      <c r="AC265" s="693"/>
      <c r="AD265" s="688"/>
      <c r="AE265" s="689"/>
      <c r="AF265" s="689"/>
      <c r="AG265" s="690"/>
      <c r="AH265" s="690"/>
      <c r="AI265" s="695"/>
      <c r="AJ265" s="695"/>
      <c r="AK265" s="692"/>
      <c r="AL265" s="692"/>
      <c r="AM265" s="693"/>
      <c r="AN265" s="688"/>
      <c r="AO265" s="688"/>
      <c r="AP265" s="688"/>
      <c r="AQ265" s="688"/>
      <c r="AR265" s="688"/>
      <c r="AS265" s="688"/>
      <c r="AT265" s="689"/>
      <c r="AU265" s="689"/>
      <c r="AV265" s="690"/>
      <c r="AW265" s="690"/>
      <c r="AX265" s="690"/>
      <c r="AY265" s="690"/>
      <c r="AZ265" s="690"/>
      <c r="BA265" s="690"/>
      <c r="BB265" s="695"/>
      <c r="BC265" s="695"/>
      <c r="BD265" s="695"/>
      <c r="BE265" s="695"/>
      <c r="BF265" s="692"/>
      <c r="BG265" s="692"/>
      <c r="BH265" s="692"/>
      <c r="BI265" s="692"/>
      <c r="BJ265" s="692"/>
      <c r="BK265" s="692"/>
      <c r="BL265" s="693"/>
      <c r="BM265" s="693"/>
      <c r="BN265" s="688"/>
      <c r="BO265" s="693"/>
      <c r="BP265" s="689"/>
      <c r="BQ265" s="694"/>
      <c r="BR265" s="687"/>
      <c r="BS265" s="687"/>
      <c r="BT265" s="687"/>
      <c r="BU265" s="687"/>
      <c r="BV265" s="687"/>
      <c r="BW265" s="688"/>
      <c r="BX265" s="688"/>
      <c r="BY265" s="689"/>
      <c r="BZ265" s="690"/>
      <c r="CA265" s="690"/>
      <c r="CB265" s="690"/>
      <c r="CC265" s="691"/>
      <c r="CD265" s="691"/>
      <c r="CE265" s="692"/>
      <c r="CF265" s="692"/>
      <c r="CG265" s="692"/>
      <c r="CH265" s="693"/>
    </row>
    <row r="266">
      <c r="B266" s="687"/>
      <c r="C266" s="687"/>
      <c r="D266" s="688"/>
      <c r="E266" s="689"/>
      <c r="F266" s="690"/>
      <c r="G266" s="690"/>
      <c r="H266" s="690"/>
      <c r="I266" s="691"/>
      <c r="J266" s="691"/>
      <c r="K266" s="691"/>
      <c r="L266" s="692"/>
      <c r="M266" s="692"/>
      <c r="N266" s="692"/>
      <c r="O266" s="693"/>
      <c r="P266" s="688"/>
      <c r="Q266" s="688"/>
      <c r="R266" s="688"/>
      <c r="S266" s="688"/>
      <c r="T266" s="689"/>
      <c r="U266" s="689"/>
      <c r="V266" s="694"/>
      <c r="W266" s="694"/>
      <c r="X266" s="694"/>
      <c r="Y266" s="694"/>
      <c r="Z266" s="693"/>
      <c r="AA266" s="693"/>
      <c r="AB266" s="693"/>
      <c r="AC266" s="693"/>
      <c r="AD266" s="688"/>
      <c r="AE266" s="689"/>
      <c r="AF266" s="689"/>
      <c r="AG266" s="690"/>
      <c r="AH266" s="690"/>
      <c r="AI266" s="695"/>
      <c r="AJ266" s="695"/>
      <c r="AK266" s="692"/>
      <c r="AL266" s="692"/>
      <c r="AM266" s="693"/>
      <c r="AN266" s="688"/>
      <c r="AO266" s="688"/>
      <c r="AP266" s="688"/>
      <c r="AQ266" s="688"/>
      <c r="AR266" s="688"/>
      <c r="AS266" s="688"/>
      <c r="AT266" s="689"/>
      <c r="AU266" s="689"/>
      <c r="AV266" s="690"/>
      <c r="AW266" s="690"/>
      <c r="AX266" s="690"/>
      <c r="AY266" s="690"/>
      <c r="AZ266" s="690"/>
      <c r="BA266" s="690"/>
      <c r="BB266" s="695"/>
      <c r="BC266" s="695"/>
      <c r="BD266" s="695"/>
      <c r="BE266" s="695"/>
      <c r="BF266" s="692"/>
      <c r="BG266" s="692"/>
      <c r="BH266" s="692"/>
      <c r="BI266" s="692"/>
      <c r="BJ266" s="692"/>
      <c r="BK266" s="692"/>
      <c r="BL266" s="693"/>
      <c r="BM266" s="693"/>
      <c r="BN266" s="688"/>
      <c r="BO266" s="693"/>
      <c r="BP266" s="689"/>
      <c r="BQ266" s="694"/>
      <c r="BR266" s="687"/>
      <c r="BS266" s="687"/>
      <c r="BT266" s="687"/>
      <c r="BU266" s="687"/>
      <c r="BV266" s="687"/>
      <c r="BW266" s="688"/>
      <c r="BX266" s="688"/>
      <c r="BY266" s="689"/>
      <c r="BZ266" s="690"/>
      <c r="CA266" s="690"/>
      <c r="CB266" s="690"/>
      <c r="CC266" s="691"/>
      <c r="CD266" s="691"/>
      <c r="CE266" s="692"/>
      <c r="CF266" s="692"/>
      <c r="CG266" s="692"/>
      <c r="CH266" s="693"/>
    </row>
    <row r="267">
      <c r="B267" s="687"/>
      <c r="C267" s="687"/>
      <c r="D267" s="688"/>
      <c r="E267" s="689"/>
      <c r="F267" s="690"/>
      <c r="G267" s="690"/>
      <c r="H267" s="690"/>
      <c r="I267" s="691"/>
      <c r="J267" s="691"/>
      <c r="K267" s="691"/>
      <c r="L267" s="692"/>
      <c r="M267" s="692"/>
      <c r="N267" s="692"/>
      <c r="O267" s="693"/>
      <c r="P267" s="688"/>
      <c r="Q267" s="688"/>
      <c r="R267" s="688"/>
      <c r="S267" s="688"/>
      <c r="T267" s="689"/>
      <c r="U267" s="689"/>
      <c r="V267" s="694"/>
      <c r="W267" s="694"/>
      <c r="X267" s="694"/>
      <c r="Y267" s="694"/>
      <c r="Z267" s="693"/>
      <c r="AA267" s="693"/>
      <c r="AB267" s="693"/>
      <c r="AC267" s="693"/>
      <c r="AD267" s="688"/>
      <c r="AE267" s="689"/>
      <c r="AF267" s="689"/>
      <c r="AG267" s="690"/>
      <c r="AH267" s="690"/>
      <c r="AI267" s="695"/>
      <c r="AJ267" s="695"/>
      <c r="AK267" s="692"/>
      <c r="AL267" s="692"/>
      <c r="AM267" s="693"/>
      <c r="AN267" s="688"/>
      <c r="AO267" s="688"/>
      <c r="AP267" s="688"/>
      <c r="AQ267" s="688"/>
      <c r="AR267" s="688"/>
      <c r="AS267" s="688"/>
      <c r="AT267" s="689"/>
      <c r="AU267" s="689"/>
      <c r="AV267" s="690"/>
      <c r="AW267" s="690"/>
      <c r="AX267" s="690"/>
      <c r="AY267" s="690"/>
      <c r="AZ267" s="690"/>
      <c r="BA267" s="690"/>
      <c r="BB267" s="695"/>
      <c r="BC267" s="695"/>
      <c r="BD267" s="695"/>
      <c r="BE267" s="695"/>
      <c r="BF267" s="692"/>
      <c r="BG267" s="692"/>
      <c r="BH267" s="692"/>
      <c r="BI267" s="692"/>
      <c r="BJ267" s="692"/>
      <c r="BK267" s="692"/>
      <c r="BL267" s="693"/>
      <c r="BM267" s="693"/>
      <c r="BN267" s="688"/>
      <c r="BO267" s="693"/>
      <c r="BP267" s="689"/>
      <c r="BQ267" s="694"/>
      <c r="BR267" s="687"/>
      <c r="BS267" s="687"/>
      <c r="BT267" s="687"/>
      <c r="BU267" s="687"/>
      <c r="BV267" s="687"/>
      <c r="BW267" s="688"/>
      <c r="BX267" s="688"/>
      <c r="BY267" s="689"/>
      <c r="BZ267" s="690"/>
      <c r="CA267" s="690"/>
      <c r="CB267" s="690"/>
      <c r="CC267" s="691"/>
      <c r="CD267" s="691"/>
      <c r="CE267" s="692"/>
      <c r="CF267" s="692"/>
      <c r="CG267" s="692"/>
      <c r="CH267" s="693"/>
    </row>
    <row r="268">
      <c r="B268" s="687"/>
      <c r="C268" s="687"/>
      <c r="D268" s="688"/>
      <c r="E268" s="689"/>
      <c r="F268" s="690"/>
      <c r="G268" s="690"/>
      <c r="H268" s="690"/>
      <c r="I268" s="691"/>
      <c r="J268" s="691"/>
      <c r="K268" s="691"/>
      <c r="L268" s="692"/>
      <c r="M268" s="692"/>
      <c r="N268" s="692"/>
      <c r="O268" s="693"/>
      <c r="P268" s="688"/>
      <c r="Q268" s="688"/>
      <c r="R268" s="688"/>
      <c r="S268" s="688"/>
      <c r="T268" s="689"/>
      <c r="U268" s="689"/>
      <c r="V268" s="694"/>
      <c r="W268" s="694"/>
      <c r="X268" s="694"/>
      <c r="Y268" s="694"/>
      <c r="Z268" s="693"/>
      <c r="AA268" s="693"/>
      <c r="AB268" s="693"/>
      <c r="AC268" s="693"/>
      <c r="AD268" s="688"/>
      <c r="AE268" s="689"/>
      <c r="AF268" s="689"/>
      <c r="AG268" s="690"/>
      <c r="AH268" s="690"/>
      <c r="AI268" s="695"/>
      <c r="AJ268" s="695"/>
      <c r="AK268" s="692"/>
      <c r="AL268" s="692"/>
      <c r="AM268" s="693"/>
      <c r="AN268" s="688"/>
      <c r="AO268" s="688"/>
      <c r="AP268" s="688"/>
      <c r="AQ268" s="688"/>
      <c r="AR268" s="688"/>
      <c r="AS268" s="688"/>
      <c r="AT268" s="689"/>
      <c r="AU268" s="689"/>
      <c r="AV268" s="690"/>
      <c r="AW268" s="690"/>
      <c r="AX268" s="690"/>
      <c r="AY268" s="690"/>
      <c r="AZ268" s="690"/>
      <c r="BA268" s="690"/>
      <c r="BB268" s="695"/>
      <c r="BC268" s="695"/>
      <c r="BD268" s="695"/>
      <c r="BE268" s="695"/>
      <c r="BF268" s="692"/>
      <c r="BG268" s="692"/>
      <c r="BH268" s="692"/>
      <c r="BI268" s="692"/>
      <c r="BJ268" s="692"/>
      <c r="BK268" s="692"/>
      <c r="BL268" s="693"/>
      <c r="BM268" s="693"/>
      <c r="BN268" s="688"/>
      <c r="BO268" s="693"/>
      <c r="BP268" s="689"/>
      <c r="BQ268" s="694"/>
      <c r="BR268" s="687"/>
      <c r="BS268" s="687"/>
      <c r="BT268" s="687"/>
      <c r="BU268" s="687"/>
      <c r="BV268" s="687"/>
      <c r="BW268" s="688"/>
      <c r="BX268" s="688"/>
      <c r="BY268" s="689"/>
      <c r="BZ268" s="690"/>
      <c r="CA268" s="690"/>
      <c r="CB268" s="690"/>
      <c r="CC268" s="691"/>
      <c r="CD268" s="691"/>
      <c r="CE268" s="692"/>
      <c r="CF268" s="692"/>
      <c r="CG268" s="692"/>
      <c r="CH268" s="693"/>
    </row>
    <row r="269">
      <c r="B269" s="687"/>
      <c r="C269" s="687"/>
      <c r="D269" s="688"/>
      <c r="E269" s="689"/>
      <c r="F269" s="690"/>
      <c r="G269" s="690"/>
      <c r="H269" s="690"/>
      <c r="I269" s="691"/>
      <c r="J269" s="691"/>
      <c r="K269" s="691"/>
      <c r="L269" s="692"/>
      <c r="M269" s="692"/>
      <c r="N269" s="692"/>
      <c r="O269" s="693"/>
      <c r="P269" s="688"/>
      <c r="Q269" s="688"/>
      <c r="R269" s="688"/>
      <c r="S269" s="688"/>
      <c r="T269" s="689"/>
      <c r="U269" s="689"/>
      <c r="V269" s="694"/>
      <c r="W269" s="694"/>
      <c r="X269" s="694"/>
      <c r="Y269" s="694"/>
      <c r="Z269" s="693"/>
      <c r="AA269" s="693"/>
      <c r="AB269" s="693"/>
      <c r="AC269" s="693"/>
      <c r="AD269" s="688"/>
      <c r="AE269" s="689"/>
      <c r="AF269" s="689"/>
      <c r="AG269" s="690"/>
      <c r="AH269" s="690"/>
      <c r="AI269" s="695"/>
      <c r="AJ269" s="695"/>
      <c r="AK269" s="692"/>
      <c r="AL269" s="692"/>
      <c r="AM269" s="693"/>
      <c r="AN269" s="688"/>
      <c r="AO269" s="688"/>
      <c r="AP269" s="688"/>
      <c r="AQ269" s="688"/>
      <c r="AR269" s="688"/>
      <c r="AS269" s="688"/>
      <c r="AT269" s="689"/>
      <c r="AU269" s="689"/>
      <c r="AV269" s="690"/>
      <c r="AW269" s="690"/>
      <c r="AX269" s="690"/>
      <c r="AY269" s="690"/>
      <c r="AZ269" s="690"/>
      <c r="BA269" s="690"/>
      <c r="BB269" s="695"/>
      <c r="BC269" s="695"/>
      <c r="BD269" s="695"/>
      <c r="BE269" s="695"/>
      <c r="BF269" s="692"/>
      <c r="BG269" s="692"/>
      <c r="BH269" s="692"/>
      <c r="BI269" s="692"/>
      <c r="BJ269" s="692"/>
      <c r="BK269" s="692"/>
      <c r="BL269" s="693"/>
      <c r="BM269" s="693"/>
      <c r="BN269" s="688"/>
      <c r="BO269" s="693"/>
      <c r="BP269" s="689"/>
      <c r="BQ269" s="694"/>
      <c r="BR269" s="687"/>
      <c r="BS269" s="687"/>
      <c r="BT269" s="687"/>
      <c r="BU269" s="687"/>
      <c r="BV269" s="687"/>
      <c r="BW269" s="688"/>
      <c r="BX269" s="688"/>
      <c r="BY269" s="689"/>
      <c r="BZ269" s="690"/>
      <c r="CA269" s="690"/>
      <c r="CB269" s="690"/>
      <c r="CC269" s="691"/>
      <c r="CD269" s="691"/>
      <c r="CE269" s="692"/>
      <c r="CF269" s="692"/>
      <c r="CG269" s="692"/>
      <c r="CH269" s="693"/>
    </row>
    <row r="270">
      <c r="B270" s="687"/>
      <c r="C270" s="687"/>
      <c r="D270" s="688"/>
      <c r="E270" s="689"/>
      <c r="F270" s="690"/>
      <c r="G270" s="690"/>
      <c r="H270" s="690"/>
      <c r="I270" s="691"/>
      <c r="J270" s="691"/>
      <c r="K270" s="691"/>
      <c r="L270" s="692"/>
      <c r="M270" s="692"/>
      <c r="N270" s="692"/>
      <c r="O270" s="693"/>
      <c r="P270" s="688"/>
      <c r="Q270" s="688"/>
      <c r="R270" s="688"/>
      <c r="S270" s="688"/>
      <c r="T270" s="689"/>
      <c r="U270" s="689"/>
      <c r="V270" s="694"/>
      <c r="W270" s="694"/>
      <c r="X270" s="694"/>
      <c r="Y270" s="694"/>
      <c r="Z270" s="693"/>
      <c r="AA270" s="693"/>
      <c r="AB270" s="693"/>
      <c r="AC270" s="693"/>
      <c r="AD270" s="688"/>
      <c r="AE270" s="689"/>
      <c r="AF270" s="689"/>
      <c r="AG270" s="690"/>
      <c r="AH270" s="690"/>
      <c r="AI270" s="695"/>
      <c r="AJ270" s="695"/>
      <c r="AK270" s="692"/>
      <c r="AL270" s="692"/>
      <c r="AM270" s="693"/>
      <c r="AN270" s="688"/>
      <c r="AO270" s="688"/>
      <c r="AP270" s="688"/>
      <c r="AQ270" s="688"/>
      <c r="AR270" s="688"/>
      <c r="AS270" s="688"/>
      <c r="AT270" s="689"/>
      <c r="AU270" s="689"/>
      <c r="AV270" s="690"/>
      <c r="AW270" s="690"/>
      <c r="AX270" s="690"/>
      <c r="AY270" s="690"/>
      <c r="AZ270" s="690"/>
      <c r="BA270" s="690"/>
      <c r="BB270" s="695"/>
      <c r="BC270" s="695"/>
      <c r="BD270" s="695"/>
      <c r="BE270" s="695"/>
      <c r="BF270" s="692"/>
      <c r="BG270" s="692"/>
      <c r="BH270" s="692"/>
      <c r="BI270" s="692"/>
      <c r="BJ270" s="692"/>
      <c r="BK270" s="692"/>
      <c r="BL270" s="693"/>
      <c r="BM270" s="693"/>
      <c r="BN270" s="688"/>
      <c r="BO270" s="693"/>
      <c r="BP270" s="689"/>
      <c r="BQ270" s="694"/>
      <c r="BR270" s="687"/>
      <c r="BS270" s="687"/>
      <c r="BT270" s="687"/>
      <c r="BU270" s="687"/>
      <c r="BV270" s="687"/>
      <c r="BW270" s="688"/>
      <c r="BX270" s="688"/>
      <c r="BY270" s="689"/>
      <c r="BZ270" s="690"/>
      <c r="CA270" s="690"/>
      <c r="CB270" s="690"/>
      <c r="CC270" s="691"/>
      <c r="CD270" s="691"/>
      <c r="CE270" s="692"/>
      <c r="CF270" s="692"/>
      <c r="CG270" s="692"/>
      <c r="CH270" s="693"/>
    </row>
    <row r="271">
      <c r="B271" s="687"/>
      <c r="C271" s="687"/>
      <c r="D271" s="688"/>
      <c r="E271" s="689"/>
      <c r="F271" s="690"/>
      <c r="G271" s="690"/>
      <c r="H271" s="690"/>
      <c r="I271" s="691"/>
      <c r="J271" s="691"/>
      <c r="K271" s="691"/>
      <c r="L271" s="692"/>
      <c r="M271" s="692"/>
      <c r="N271" s="692"/>
      <c r="O271" s="693"/>
      <c r="P271" s="688"/>
      <c r="Q271" s="688"/>
      <c r="R271" s="688"/>
      <c r="S271" s="688"/>
      <c r="T271" s="689"/>
      <c r="U271" s="689"/>
      <c r="V271" s="694"/>
      <c r="W271" s="694"/>
      <c r="X271" s="694"/>
      <c r="Y271" s="694"/>
      <c r="Z271" s="693"/>
      <c r="AA271" s="693"/>
      <c r="AB271" s="693"/>
      <c r="AC271" s="693"/>
      <c r="AD271" s="688"/>
      <c r="AE271" s="689"/>
      <c r="AF271" s="689"/>
      <c r="AG271" s="690"/>
      <c r="AH271" s="690"/>
      <c r="AI271" s="695"/>
      <c r="AJ271" s="695"/>
      <c r="AK271" s="692"/>
      <c r="AL271" s="692"/>
      <c r="AM271" s="693"/>
      <c r="AN271" s="688"/>
      <c r="AO271" s="688"/>
      <c r="AP271" s="688"/>
      <c r="AQ271" s="688"/>
      <c r="AR271" s="688"/>
      <c r="AS271" s="688"/>
      <c r="AT271" s="689"/>
      <c r="AU271" s="689"/>
      <c r="AV271" s="690"/>
      <c r="AW271" s="690"/>
      <c r="AX271" s="690"/>
      <c r="AY271" s="690"/>
      <c r="AZ271" s="690"/>
      <c r="BA271" s="690"/>
      <c r="BB271" s="695"/>
      <c r="BC271" s="695"/>
      <c r="BD271" s="695"/>
      <c r="BE271" s="695"/>
      <c r="BF271" s="692"/>
      <c r="BG271" s="692"/>
      <c r="BH271" s="692"/>
      <c r="BI271" s="692"/>
      <c r="BJ271" s="692"/>
      <c r="BK271" s="692"/>
      <c r="BL271" s="693"/>
      <c r="BM271" s="693"/>
      <c r="BN271" s="688"/>
      <c r="BO271" s="693"/>
      <c r="BP271" s="689"/>
      <c r="BQ271" s="694"/>
      <c r="BR271" s="687"/>
      <c r="BS271" s="687"/>
      <c r="BT271" s="687"/>
      <c r="BU271" s="687"/>
      <c r="BV271" s="687"/>
      <c r="BW271" s="688"/>
      <c r="BX271" s="688"/>
      <c r="BY271" s="689"/>
      <c r="BZ271" s="690"/>
      <c r="CA271" s="690"/>
      <c r="CB271" s="690"/>
      <c r="CC271" s="691"/>
      <c r="CD271" s="691"/>
      <c r="CE271" s="692"/>
      <c r="CF271" s="692"/>
      <c r="CG271" s="692"/>
      <c r="CH271" s="693"/>
    </row>
    <row r="272">
      <c r="B272" s="687"/>
      <c r="C272" s="687"/>
      <c r="D272" s="688"/>
      <c r="E272" s="689"/>
      <c r="F272" s="690"/>
      <c r="G272" s="690"/>
      <c r="H272" s="690"/>
      <c r="I272" s="691"/>
      <c r="J272" s="691"/>
      <c r="K272" s="691"/>
      <c r="L272" s="692"/>
      <c r="M272" s="692"/>
      <c r="N272" s="692"/>
      <c r="O272" s="693"/>
      <c r="P272" s="688"/>
      <c r="Q272" s="688"/>
      <c r="R272" s="688"/>
      <c r="S272" s="688"/>
      <c r="T272" s="689"/>
      <c r="U272" s="689"/>
      <c r="V272" s="694"/>
      <c r="W272" s="694"/>
      <c r="X272" s="694"/>
      <c r="Y272" s="694"/>
      <c r="Z272" s="693"/>
      <c r="AA272" s="693"/>
      <c r="AB272" s="693"/>
      <c r="AC272" s="693"/>
      <c r="AD272" s="688"/>
      <c r="AE272" s="689"/>
      <c r="AF272" s="689"/>
      <c r="AG272" s="690"/>
      <c r="AH272" s="690"/>
      <c r="AI272" s="695"/>
      <c r="AJ272" s="695"/>
      <c r="AK272" s="692"/>
      <c r="AL272" s="692"/>
      <c r="AM272" s="693"/>
      <c r="AN272" s="688"/>
      <c r="AO272" s="688"/>
      <c r="AP272" s="688"/>
      <c r="AQ272" s="688"/>
      <c r="AR272" s="688"/>
      <c r="AS272" s="688"/>
      <c r="AT272" s="689"/>
      <c r="AU272" s="689"/>
      <c r="AV272" s="690"/>
      <c r="AW272" s="690"/>
      <c r="AX272" s="690"/>
      <c r="AY272" s="690"/>
      <c r="AZ272" s="690"/>
      <c r="BA272" s="690"/>
      <c r="BB272" s="695"/>
      <c r="BC272" s="695"/>
      <c r="BD272" s="695"/>
      <c r="BE272" s="695"/>
      <c r="BF272" s="692"/>
      <c r="BG272" s="692"/>
      <c r="BH272" s="692"/>
      <c r="BI272" s="692"/>
      <c r="BJ272" s="692"/>
      <c r="BK272" s="692"/>
      <c r="BL272" s="693"/>
      <c r="BM272" s="693"/>
      <c r="BN272" s="688"/>
      <c r="BO272" s="693"/>
      <c r="BP272" s="689"/>
      <c r="BQ272" s="694"/>
      <c r="BR272" s="687"/>
      <c r="BS272" s="687"/>
      <c r="BT272" s="687"/>
      <c r="BU272" s="687"/>
      <c r="BV272" s="687"/>
      <c r="BW272" s="688"/>
      <c r="BX272" s="688"/>
      <c r="BY272" s="689"/>
      <c r="BZ272" s="690"/>
      <c r="CA272" s="690"/>
      <c r="CB272" s="690"/>
      <c r="CC272" s="691"/>
      <c r="CD272" s="691"/>
      <c r="CE272" s="692"/>
      <c r="CF272" s="692"/>
      <c r="CG272" s="692"/>
      <c r="CH272" s="693"/>
    </row>
    <row r="273">
      <c r="B273" s="687"/>
      <c r="C273" s="687"/>
      <c r="D273" s="688"/>
      <c r="E273" s="689"/>
      <c r="F273" s="690"/>
      <c r="G273" s="690"/>
      <c r="H273" s="690"/>
      <c r="I273" s="691"/>
      <c r="J273" s="691"/>
      <c r="K273" s="691"/>
      <c r="L273" s="692"/>
      <c r="M273" s="692"/>
      <c r="N273" s="692"/>
      <c r="O273" s="693"/>
      <c r="P273" s="688"/>
      <c r="Q273" s="688"/>
      <c r="R273" s="688"/>
      <c r="S273" s="688"/>
      <c r="T273" s="689"/>
      <c r="U273" s="689"/>
      <c r="V273" s="694"/>
      <c r="W273" s="694"/>
      <c r="X273" s="694"/>
      <c r="Y273" s="694"/>
      <c r="Z273" s="693"/>
      <c r="AA273" s="693"/>
      <c r="AB273" s="693"/>
      <c r="AC273" s="693"/>
      <c r="AD273" s="688"/>
      <c r="AE273" s="689"/>
      <c r="AF273" s="689"/>
      <c r="AG273" s="690"/>
      <c r="AH273" s="690"/>
      <c r="AI273" s="695"/>
      <c r="AJ273" s="695"/>
      <c r="AK273" s="692"/>
      <c r="AL273" s="692"/>
      <c r="AM273" s="693"/>
      <c r="AN273" s="688"/>
      <c r="AO273" s="688"/>
      <c r="AP273" s="688"/>
      <c r="AQ273" s="688"/>
      <c r="AR273" s="688"/>
      <c r="AS273" s="688"/>
      <c r="AT273" s="689"/>
      <c r="AU273" s="689"/>
      <c r="AV273" s="690"/>
      <c r="AW273" s="690"/>
      <c r="AX273" s="690"/>
      <c r="AY273" s="690"/>
      <c r="AZ273" s="690"/>
      <c r="BA273" s="690"/>
      <c r="BB273" s="695"/>
      <c r="BC273" s="695"/>
      <c r="BD273" s="695"/>
      <c r="BE273" s="695"/>
      <c r="BF273" s="692"/>
      <c r="BG273" s="692"/>
      <c r="BH273" s="692"/>
      <c r="BI273" s="692"/>
      <c r="BJ273" s="692"/>
      <c r="BK273" s="692"/>
      <c r="BL273" s="693"/>
      <c r="BM273" s="693"/>
      <c r="BN273" s="688"/>
      <c r="BO273" s="693"/>
      <c r="BP273" s="689"/>
      <c r="BQ273" s="694"/>
      <c r="BR273" s="687"/>
      <c r="BS273" s="687"/>
      <c r="BT273" s="687"/>
      <c r="BU273" s="687"/>
      <c r="BV273" s="687"/>
      <c r="BW273" s="688"/>
      <c r="BX273" s="688"/>
      <c r="BY273" s="689"/>
      <c r="BZ273" s="690"/>
      <c r="CA273" s="690"/>
      <c r="CB273" s="690"/>
      <c r="CC273" s="691"/>
      <c r="CD273" s="691"/>
      <c r="CE273" s="692"/>
      <c r="CF273" s="692"/>
      <c r="CG273" s="692"/>
      <c r="CH273" s="693"/>
    </row>
    <row r="274">
      <c r="B274" s="687"/>
      <c r="C274" s="687"/>
      <c r="D274" s="688"/>
      <c r="E274" s="689"/>
      <c r="F274" s="690"/>
      <c r="G274" s="690"/>
      <c r="H274" s="690"/>
      <c r="I274" s="691"/>
      <c r="J274" s="691"/>
      <c r="K274" s="691"/>
      <c r="L274" s="692"/>
      <c r="M274" s="692"/>
      <c r="N274" s="692"/>
      <c r="O274" s="693"/>
      <c r="P274" s="688"/>
      <c r="Q274" s="688"/>
      <c r="R274" s="688"/>
      <c r="S274" s="688"/>
      <c r="T274" s="689"/>
      <c r="U274" s="689"/>
      <c r="V274" s="694"/>
      <c r="W274" s="694"/>
      <c r="X274" s="694"/>
      <c r="Y274" s="694"/>
      <c r="Z274" s="693"/>
      <c r="AA274" s="693"/>
      <c r="AB274" s="693"/>
      <c r="AC274" s="693"/>
      <c r="AD274" s="688"/>
      <c r="AE274" s="689"/>
      <c r="AF274" s="689"/>
      <c r="AG274" s="690"/>
      <c r="AH274" s="690"/>
      <c r="AI274" s="695"/>
      <c r="AJ274" s="695"/>
      <c r="AK274" s="692"/>
      <c r="AL274" s="692"/>
      <c r="AM274" s="693"/>
      <c r="AN274" s="688"/>
      <c r="AO274" s="688"/>
      <c r="AP274" s="688"/>
      <c r="AQ274" s="688"/>
      <c r="AR274" s="688"/>
      <c r="AS274" s="688"/>
      <c r="AT274" s="689"/>
      <c r="AU274" s="689"/>
      <c r="AV274" s="690"/>
      <c r="AW274" s="690"/>
      <c r="AX274" s="690"/>
      <c r="AY274" s="690"/>
      <c r="AZ274" s="690"/>
      <c r="BA274" s="690"/>
      <c r="BB274" s="695"/>
      <c r="BC274" s="695"/>
      <c r="BD274" s="695"/>
      <c r="BE274" s="695"/>
      <c r="BF274" s="692"/>
      <c r="BG274" s="692"/>
      <c r="BH274" s="692"/>
      <c r="BI274" s="692"/>
      <c r="BJ274" s="692"/>
      <c r="BK274" s="692"/>
      <c r="BL274" s="693"/>
      <c r="BM274" s="693"/>
      <c r="BN274" s="688"/>
      <c r="BO274" s="693"/>
      <c r="BP274" s="689"/>
      <c r="BQ274" s="694"/>
      <c r="BR274" s="687"/>
      <c r="BS274" s="687"/>
      <c r="BT274" s="687"/>
      <c r="BU274" s="687"/>
      <c r="BV274" s="687"/>
      <c r="BW274" s="688"/>
      <c r="BX274" s="688"/>
      <c r="BY274" s="689"/>
      <c r="BZ274" s="690"/>
      <c r="CA274" s="690"/>
      <c r="CB274" s="690"/>
      <c r="CC274" s="691"/>
      <c r="CD274" s="691"/>
      <c r="CE274" s="692"/>
      <c r="CF274" s="692"/>
      <c r="CG274" s="692"/>
      <c r="CH274" s="693"/>
    </row>
    <row r="275">
      <c r="B275" s="687"/>
      <c r="C275" s="687"/>
      <c r="D275" s="688"/>
      <c r="E275" s="689"/>
      <c r="F275" s="690"/>
      <c r="G275" s="690"/>
      <c r="H275" s="690"/>
      <c r="I275" s="691"/>
      <c r="J275" s="691"/>
      <c r="K275" s="691"/>
      <c r="L275" s="692"/>
      <c r="M275" s="692"/>
      <c r="N275" s="692"/>
      <c r="O275" s="693"/>
      <c r="P275" s="688"/>
      <c r="Q275" s="688"/>
      <c r="R275" s="688"/>
      <c r="S275" s="688"/>
      <c r="T275" s="689"/>
      <c r="U275" s="689"/>
      <c r="V275" s="694"/>
      <c r="W275" s="694"/>
      <c r="X275" s="694"/>
      <c r="Y275" s="694"/>
      <c r="Z275" s="693"/>
      <c r="AA275" s="693"/>
      <c r="AB275" s="693"/>
      <c r="AC275" s="693"/>
      <c r="AD275" s="688"/>
      <c r="AE275" s="689"/>
      <c r="AF275" s="689"/>
      <c r="AG275" s="690"/>
      <c r="AH275" s="690"/>
      <c r="AI275" s="695"/>
      <c r="AJ275" s="695"/>
      <c r="AK275" s="692"/>
      <c r="AL275" s="692"/>
      <c r="AM275" s="693"/>
      <c r="AN275" s="688"/>
      <c r="AO275" s="688"/>
      <c r="AP275" s="688"/>
      <c r="AQ275" s="688"/>
      <c r="AR275" s="688"/>
      <c r="AS275" s="688"/>
      <c r="AT275" s="689"/>
      <c r="AU275" s="689"/>
      <c r="AV275" s="690"/>
      <c r="AW275" s="690"/>
      <c r="AX275" s="690"/>
      <c r="AY275" s="690"/>
      <c r="AZ275" s="690"/>
      <c r="BA275" s="690"/>
      <c r="BB275" s="695"/>
      <c r="BC275" s="695"/>
      <c r="BD275" s="695"/>
      <c r="BE275" s="695"/>
      <c r="BF275" s="692"/>
      <c r="BG275" s="692"/>
      <c r="BH275" s="692"/>
      <c r="BI275" s="692"/>
      <c r="BJ275" s="692"/>
      <c r="BK275" s="692"/>
      <c r="BL275" s="693"/>
      <c r="BM275" s="693"/>
      <c r="BN275" s="688"/>
      <c r="BO275" s="693"/>
      <c r="BP275" s="689"/>
      <c r="BQ275" s="694"/>
      <c r="BR275" s="687"/>
      <c r="BS275" s="687"/>
      <c r="BT275" s="687"/>
      <c r="BU275" s="687"/>
      <c r="BV275" s="687"/>
      <c r="BW275" s="688"/>
      <c r="BX275" s="688"/>
      <c r="BY275" s="689"/>
      <c r="BZ275" s="690"/>
      <c r="CA275" s="690"/>
      <c r="CB275" s="690"/>
      <c r="CC275" s="691"/>
      <c r="CD275" s="691"/>
      <c r="CE275" s="692"/>
      <c r="CF275" s="692"/>
      <c r="CG275" s="692"/>
      <c r="CH275" s="693"/>
    </row>
    <row r="276">
      <c r="B276" s="687"/>
      <c r="C276" s="687"/>
      <c r="D276" s="688"/>
      <c r="E276" s="689"/>
      <c r="F276" s="690"/>
      <c r="G276" s="690"/>
      <c r="H276" s="690"/>
      <c r="I276" s="691"/>
      <c r="J276" s="691"/>
      <c r="K276" s="691"/>
      <c r="L276" s="692"/>
      <c r="M276" s="692"/>
      <c r="N276" s="692"/>
      <c r="O276" s="693"/>
      <c r="P276" s="688"/>
      <c r="Q276" s="688"/>
      <c r="R276" s="688"/>
      <c r="S276" s="688"/>
      <c r="T276" s="689"/>
      <c r="U276" s="689"/>
      <c r="V276" s="694"/>
      <c r="W276" s="694"/>
      <c r="X276" s="694"/>
      <c r="Y276" s="694"/>
      <c r="Z276" s="693"/>
      <c r="AA276" s="693"/>
      <c r="AB276" s="693"/>
      <c r="AC276" s="693"/>
      <c r="AD276" s="688"/>
      <c r="AE276" s="689"/>
      <c r="AF276" s="689"/>
      <c r="AG276" s="690"/>
      <c r="AH276" s="690"/>
      <c r="AI276" s="695"/>
      <c r="AJ276" s="695"/>
      <c r="AK276" s="692"/>
      <c r="AL276" s="692"/>
      <c r="AM276" s="693"/>
      <c r="AN276" s="688"/>
      <c r="AO276" s="688"/>
      <c r="AP276" s="688"/>
      <c r="AQ276" s="688"/>
      <c r="AR276" s="688"/>
      <c r="AS276" s="688"/>
      <c r="AT276" s="689"/>
      <c r="AU276" s="689"/>
      <c r="AV276" s="690"/>
      <c r="AW276" s="690"/>
      <c r="AX276" s="690"/>
      <c r="AY276" s="690"/>
      <c r="AZ276" s="690"/>
      <c r="BA276" s="690"/>
      <c r="BB276" s="695"/>
      <c r="BC276" s="695"/>
      <c r="BD276" s="695"/>
      <c r="BE276" s="695"/>
      <c r="BF276" s="692"/>
      <c r="BG276" s="692"/>
      <c r="BH276" s="692"/>
      <c r="BI276" s="692"/>
      <c r="BJ276" s="692"/>
      <c r="BK276" s="692"/>
      <c r="BL276" s="693"/>
      <c r="BM276" s="693"/>
      <c r="BN276" s="688"/>
      <c r="BO276" s="693"/>
      <c r="BP276" s="689"/>
      <c r="BQ276" s="694"/>
      <c r="BR276" s="687"/>
      <c r="BS276" s="687"/>
      <c r="BT276" s="687"/>
      <c r="BU276" s="687"/>
      <c r="BV276" s="687"/>
      <c r="BW276" s="688"/>
      <c r="BX276" s="688"/>
      <c r="BY276" s="689"/>
      <c r="BZ276" s="690"/>
      <c r="CA276" s="690"/>
      <c r="CB276" s="690"/>
      <c r="CC276" s="691"/>
      <c r="CD276" s="691"/>
      <c r="CE276" s="692"/>
      <c r="CF276" s="692"/>
      <c r="CG276" s="692"/>
      <c r="CH276" s="693"/>
    </row>
    <row r="277">
      <c r="B277" s="687"/>
      <c r="C277" s="687"/>
      <c r="D277" s="688"/>
      <c r="E277" s="689"/>
      <c r="F277" s="690"/>
      <c r="G277" s="690"/>
      <c r="H277" s="690"/>
      <c r="I277" s="691"/>
      <c r="J277" s="691"/>
      <c r="K277" s="691"/>
      <c r="L277" s="692"/>
      <c r="M277" s="692"/>
      <c r="N277" s="692"/>
      <c r="O277" s="693"/>
      <c r="P277" s="688"/>
      <c r="Q277" s="688"/>
      <c r="R277" s="688"/>
      <c r="S277" s="688"/>
      <c r="T277" s="689"/>
      <c r="U277" s="689"/>
      <c r="V277" s="694"/>
      <c r="W277" s="694"/>
      <c r="X277" s="694"/>
      <c r="Y277" s="694"/>
      <c r="Z277" s="693"/>
      <c r="AA277" s="693"/>
      <c r="AB277" s="693"/>
      <c r="AC277" s="693"/>
      <c r="AD277" s="688"/>
      <c r="AE277" s="689"/>
      <c r="AF277" s="689"/>
      <c r="AG277" s="690"/>
      <c r="AH277" s="690"/>
      <c r="AI277" s="695"/>
      <c r="AJ277" s="695"/>
      <c r="AK277" s="692"/>
      <c r="AL277" s="692"/>
      <c r="AM277" s="693"/>
      <c r="AN277" s="688"/>
      <c r="AO277" s="688"/>
      <c r="AP277" s="688"/>
      <c r="AQ277" s="688"/>
      <c r="AR277" s="688"/>
      <c r="AS277" s="688"/>
      <c r="AT277" s="689"/>
      <c r="AU277" s="689"/>
      <c r="AV277" s="690"/>
      <c r="AW277" s="690"/>
      <c r="AX277" s="690"/>
      <c r="AY277" s="690"/>
      <c r="AZ277" s="690"/>
      <c r="BA277" s="690"/>
      <c r="BB277" s="695"/>
      <c r="BC277" s="695"/>
      <c r="BD277" s="695"/>
      <c r="BE277" s="695"/>
      <c r="BF277" s="692"/>
      <c r="BG277" s="692"/>
      <c r="BH277" s="692"/>
      <c r="BI277" s="692"/>
      <c r="BJ277" s="692"/>
      <c r="BK277" s="692"/>
      <c r="BL277" s="693"/>
      <c r="BM277" s="693"/>
      <c r="BN277" s="688"/>
      <c r="BO277" s="693"/>
      <c r="BP277" s="689"/>
      <c r="BQ277" s="694"/>
      <c r="BR277" s="687"/>
      <c r="BS277" s="687"/>
      <c r="BT277" s="687"/>
      <c r="BU277" s="687"/>
      <c r="BV277" s="687"/>
      <c r="BW277" s="688"/>
      <c r="BX277" s="688"/>
      <c r="BY277" s="689"/>
      <c r="BZ277" s="690"/>
      <c r="CA277" s="690"/>
      <c r="CB277" s="690"/>
      <c r="CC277" s="691"/>
      <c r="CD277" s="691"/>
      <c r="CE277" s="692"/>
      <c r="CF277" s="692"/>
      <c r="CG277" s="692"/>
      <c r="CH277" s="693"/>
    </row>
    <row r="278">
      <c r="B278" s="687"/>
      <c r="C278" s="687"/>
      <c r="D278" s="688"/>
      <c r="E278" s="689"/>
      <c r="F278" s="690"/>
      <c r="G278" s="690"/>
      <c r="H278" s="690"/>
      <c r="I278" s="691"/>
      <c r="J278" s="691"/>
      <c r="K278" s="691"/>
      <c r="L278" s="692"/>
      <c r="M278" s="692"/>
      <c r="N278" s="692"/>
      <c r="O278" s="693"/>
      <c r="P278" s="688"/>
      <c r="Q278" s="688"/>
      <c r="R278" s="688"/>
      <c r="S278" s="688"/>
      <c r="T278" s="689"/>
      <c r="U278" s="689"/>
      <c r="V278" s="694"/>
      <c r="W278" s="694"/>
      <c r="X278" s="694"/>
      <c r="Y278" s="694"/>
      <c r="Z278" s="693"/>
      <c r="AA278" s="693"/>
      <c r="AB278" s="693"/>
      <c r="AC278" s="693"/>
      <c r="AD278" s="688"/>
      <c r="AE278" s="689"/>
      <c r="AF278" s="689"/>
      <c r="AG278" s="690"/>
      <c r="AH278" s="690"/>
      <c r="AI278" s="695"/>
      <c r="AJ278" s="695"/>
      <c r="AK278" s="692"/>
      <c r="AL278" s="692"/>
      <c r="AM278" s="693"/>
      <c r="AN278" s="688"/>
      <c r="AO278" s="688"/>
      <c r="AP278" s="688"/>
      <c r="AQ278" s="688"/>
      <c r="AR278" s="688"/>
      <c r="AS278" s="688"/>
      <c r="AT278" s="689"/>
      <c r="AU278" s="689"/>
      <c r="AV278" s="690"/>
      <c r="AW278" s="690"/>
      <c r="AX278" s="690"/>
      <c r="AY278" s="690"/>
      <c r="AZ278" s="690"/>
      <c r="BA278" s="690"/>
      <c r="BB278" s="695"/>
      <c r="BC278" s="695"/>
      <c r="BD278" s="695"/>
      <c r="BE278" s="695"/>
      <c r="BF278" s="692"/>
      <c r="BG278" s="692"/>
      <c r="BH278" s="692"/>
      <c r="BI278" s="692"/>
      <c r="BJ278" s="692"/>
      <c r="BK278" s="692"/>
      <c r="BL278" s="693"/>
      <c r="BM278" s="693"/>
      <c r="BN278" s="688"/>
      <c r="BO278" s="693"/>
      <c r="BP278" s="689"/>
      <c r="BQ278" s="694"/>
      <c r="BR278" s="687"/>
      <c r="BS278" s="687"/>
      <c r="BT278" s="687"/>
      <c r="BU278" s="687"/>
      <c r="BV278" s="687"/>
      <c r="BW278" s="688"/>
      <c r="BX278" s="688"/>
      <c r="BY278" s="689"/>
      <c r="BZ278" s="690"/>
      <c r="CA278" s="690"/>
      <c r="CB278" s="690"/>
      <c r="CC278" s="691"/>
      <c r="CD278" s="691"/>
      <c r="CE278" s="692"/>
      <c r="CF278" s="692"/>
      <c r="CG278" s="692"/>
      <c r="CH278" s="693"/>
    </row>
    <row r="279">
      <c r="B279" s="687"/>
      <c r="C279" s="687"/>
      <c r="D279" s="688"/>
      <c r="E279" s="689"/>
      <c r="F279" s="690"/>
      <c r="G279" s="690"/>
      <c r="H279" s="690"/>
      <c r="I279" s="691"/>
      <c r="J279" s="691"/>
      <c r="K279" s="691"/>
      <c r="L279" s="692"/>
      <c r="M279" s="692"/>
      <c r="N279" s="692"/>
      <c r="O279" s="693"/>
      <c r="P279" s="688"/>
      <c r="Q279" s="688"/>
      <c r="R279" s="688"/>
      <c r="S279" s="688"/>
      <c r="T279" s="689"/>
      <c r="U279" s="689"/>
      <c r="V279" s="694"/>
      <c r="W279" s="694"/>
      <c r="X279" s="694"/>
      <c r="Y279" s="694"/>
      <c r="Z279" s="693"/>
      <c r="AA279" s="693"/>
      <c r="AB279" s="693"/>
      <c r="AC279" s="693"/>
      <c r="AD279" s="688"/>
      <c r="AE279" s="689"/>
      <c r="AF279" s="689"/>
      <c r="AG279" s="690"/>
      <c r="AH279" s="690"/>
      <c r="AI279" s="695"/>
      <c r="AJ279" s="695"/>
      <c r="AK279" s="692"/>
      <c r="AL279" s="692"/>
      <c r="AM279" s="693"/>
      <c r="AN279" s="688"/>
      <c r="AO279" s="688"/>
      <c r="AP279" s="688"/>
      <c r="AQ279" s="688"/>
      <c r="AR279" s="688"/>
      <c r="AS279" s="688"/>
      <c r="AT279" s="689"/>
      <c r="AU279" s="689"/>
      <c r="AV279" s="690"/>
      <c r="AW279" s="690"/>
      <c r="AX279" s="690"/>
      <c r="AY279" s="690"/>
      <c r="AZ279" s="690"/>
      <c r="BA279" s="690"/>
      <c r="BB279" s="695"/>
      <c r="BC279" s="695"/>
      <c r="BD279" s="695"/>
      <c r="BE279" s="695"/>
      <c r="BF279" s="692"/>
      <c r="BG279" s="692"/>
      <c r="BH279" s="692"/>
      <c r="BI279" s="692"/>
      <c r="BJ279" s="692"/>
      <c r="BK279" s="692"/>
      <c r="BL279" s="693"/>
      <c r="BM279" s="693"/>
      <c r="BN279" s="688"/>
      <c r="BO279" s="693"/>
      <c r="BP279" s="689"/>
      <c r="BQ279" s="694"/>
      <c r="BR279" s="687"/>
      <c r="BS279" s="687"/>
      <c r="BT279" s="687"/>
      <c r="BU279" s="687"/>
      <c r="BV279" s="687"/>
      <c r="BW279" s="688"/>
      <c r="BX279" s="688"/>
      <c r="BY279" s="689"/>
      <c r="BZ279" s="690"/>
      <c r="CA279" s="690"/>
      <c r="CB279" s="690"/>
      <c r="CC279" s="691"/>
      <c r="CD279" s="691"/>
      <c r="CE279" s="692"/>
      <c r="CF279" s="692"/>
      <c r="CG279" s="692"/>
      <c r="CH279" s="693"/>
    </row>
    <row r="280">
      <c r="B280" s="687"/>
      <c r="C280" s="687"/>
      <c r="D280" s="688"/>
      <c r="E280" s="689"/>
      <c r="F280" s="690"/>
      <c r="G280" s="690"/>
      <c r="H280" s="690"/>
      <c r="I280" s="691"/>
      <c r="J280" s="691"/>
      <c r="K280" s="691"/>
      <c r="L280" s="692"/>
      <c r="M280" s="692"/>
      <c r="N280" s="692"/>
      <c r="O280" s="693"/>
      <c r="P280" s="688"/>
      <c r="Q280" s="688"/>
      <c r="R280" s="688"/>
      <c r="S280" s="688"/>
      <c r="T280" s="689"/>
      <c r="U280" s="689"/>
      <c r="V280" s="694"/>
      <c r="W280" s="694"/>
      <c r="X280" s="694"/>
      <c r="Y280" s="694"/>
      <c r="Z280" s="693"/>
      <c r="AA280" s="693"/>
      <c r="AB280" s="693"/>
      <c r="AC280" s="693"/>
      <c r="AD280" s="688"/>
      <c r="AE280" s="689"/>
      <c r="AF280" s="689"/>
      <c r="AG280" s="690"/>
      <c r="AH280" s="690"/>
      <c r="AI280" s="695"/>
      <c r="AJ280" s="695"/>
      <c r="AK280" s="692"/>
      <c r="AL280" s="692"/>
      <c r="AM280" s="693"/>
      <c r="AN280" s="688"/>
      <c r="AO280" s="688"/>
      <c r="AP280" s="688"/>
      <c r="AQ280" s="688"/>
      <c r="AR280" s="688"/>
      <c r="AS280" s="688"/>
      <c r="AT280" s="689"/>
      <c r="AU280" s="689"/>
      <c r="AV280" s="690"/>
      <c r="AW280" s="690"/>
      <c r="AX280" s="690"/>
      <c r="AY280" s="690"/>
      <c r="AZ280" s="690"/>
      <c r="BA280" s="690"/>
      <c r="BB280" s="695"/>
      <c r="BC280" s="695"/>
      <c r="BD280" s="695"/>
      <c r="BE280" s="695"/>
      <c r="BF280" s="692"/>
      <c r="BG280" s="692"/>
      <c r="BH280" s="692"/>
      <c r="BI280" s="692"/>
      <c r="BJ280" s="692"/>
      <c r="BK280" s="692"/>
      <c r="BL280" s="693"/>
      <c r="BM280" s="693"/>
      <c r="BN280" s="688"/>
      <c r="BO280" s="693"/>
      <c r="BP280" s="689"/>
      <c r="BQ280" s="694"/>
      <c r="BR280" s="687"/>
      <c r="BS280" s="687"/>
      <c r="BT280" s="687"/>
      <c r="BU280" s="687"/>
      <c r="BV280" s="687"/>
      <c r="BW280" s="688"/>
      <c r="BX280" s="688"/>
      <c r="BY280" s="689"/>
      <c r="BZ280" s="690"/>
      <c r="CA280" s="690"/>
      <c r="CB280" s="690"/>
      <c r="CC280" s="691"/>
      <c r="CD280" s="691"/>
      <c r="CE280" s="692"/>
      <c r="CF280" s="692"/>
      <c r="CG280" s="692"/>
      <c r="CH280" s="693"/>
    </row>
    <row r="281">
      <c r="B281" s="687"/>
      <c r="C281" s="687"/>
      <c r="D281" s="688"/>
      <c r="E281" s="689"/>
      <c r="F281" s="690"/>
      <c r="G281" s="690"/>
      <c r="H281" s="690"/>
      <c r="I281" s="691"/>
      <c r="J281" s="691"/>
      <c r="K281" s="691"/>
      <c r="L281" s="692"/>
      <c r="M281" s="692"/>
      <c r="N281" s="692"/>
      <c r="O281" s="693"/>
      <c r="P281" s="688"/>
      <c r="Q281" s="688"/>
      <c r="R281" s="688"/>
      <c r="S281" s="688"/>
      <c r="T281" s="689"/>
      <c r="U281" s="689"/>
      <c r="V281" s="694"/>
      <c r="W281" s="694"/>
      <c r="X281" s="694"/>
      <c r="Y281" s="694"/>
      <c r="Z281" s="693"/>
      <c r="AA281" s="693"/>
      <c r="AB281" s="693"/>
      <c r="AC281" s="693"/>
      <c r="AD281" s="688"/>
      <c r="AE281" s="689"/>
      <c r="AF281" s="689"/>
      <c r="AG281" s="690"/>
      <c r="AH281" s="690"/>
      <c r="AI281" s="695"/>
      <c r="AJ281" s="695"/>
      <c r="AK281" s="692"/>
      <c r="AL281" s="692"/>
      <c r="AM281" s="693"/>
      <c r="AN281" s="688"/>
      <c r="AO281" s="688"/>
      <c r="AP281" s="688"/>
      <c r="AQ281" s="688"/>
      <c r="AR281" s="688"/>
      <c r="AS281" s="688"/>
      <c r="AT281" s="689"/>
      <c r="AU281" s="689"/>
      <c r="AV281" s="690"/>
      <c r="AW281" s="690"/>
      <c r="AX281" s="690"/>
      <c r="AY281" s="690"/>
      <c r="AZ281" s="690"/>
      <c r="BA281" s="690"/>
      <c r="BB281" s="695"/>
      <c r="BC281" s="695"/>
      <c r="BD281" s="695"/>
      <c r="BE281" s="695"/>
      <c r="BF281" s="692"/>
      <c r="BG281" s="692"/>
      <c r="BH281" s="692"/>
      <c r="BI281" s="692"/>
      <c r="BJ281" s="692"/>
      <c r="BK281" s="692"/>
      <c r="BL281" s="693"/>
      <c r="BM281" s="693"/>
      <c r="BN281" s="688"/>
      <c r="BO281" s="693"/>
      <c r="BP281" s="689"/>
      <c r="BQ281" s="694"/>
      <c r="BR281" s="687"/>
      <c r="BS281" s="687"/>
      <c r="BT281" s="687"/>
      <c r="BU281" s="687"/>
      <c r="BV281" s="687"/>
      <c r="BW281" s="688"/>
      <c r="BX281" s="688"/>
      <c r="BY281" s="689"/>
      <c r="BZ281" s="690"/>
      <c r="CA281" s="690"/>
      <c r="CB281" s="690"/>
      <c r="CC281" s="691"/>
      <c r="CD281" s="691"/>
      <c r="CE281" s="692"/>
      <c r="CF281" s="692"/>
      <c r="CG281" s="692"/>
      <c r="CH281" s="693"/>
    </row>
    <row r="282">
      <c r="B282" s="687"/>
      <c r="C282" s="687"/>
      <c r="D282" s="688"/>
      <c r="E282" s="689"/>
      <c r="F282" s="690"/>
      <c r="G282" s="690"/>
      <c r="H282" s="690"/>
      <c r="I282" s="691"/>
      <c r="J282" s="691"/>
      <c r="K282" s="691"/>
      <c r="L282" s="692"/>
      <c r="M282" s="692"/>
      <c r="N282" s="692"/>
      <c r="O282" s="693"/>
      <c r="P282" s="688"/>
      <c r="Q282" s="688"/>
      <c r="R282" s="688"/>
      <c r="S282" s="688"/>
      <c r="T282" s="689"/>
      <c r="U282" s="689"/>
      <c r="V282" s="694"/>
      <c r="W282" s="694"/>
      <c r="X282" s="694"/>
      <c r="Y282" s="694"/>
      <c r="Z282" s="693"/>
      <c r="AA282" s="693"/>
      <c r="AB282" s="693"/>
      <c r="AC282" s="693"/>
      <c r="AD282" s="688"/>
      <c r="AE282" s="689"/>
      <c r="AF282" s="689"/>
      <c r="AG282" s="690"/>
      <c r="AH282" s="690"/>
      <c r="AI282" s="695"/>
      <c r="AJ282" s="695"/>
      <c r="AK282" s="692"/>
      <c r="AL282" s="692"/>
      <c r="AM282" s="693"/>
      <c r="AN282" s="688"/>
      <c r="AO282" s="688"/>
      <c r="AP282" s="688"/>
      <c r="AQ282" s="688"/>
      <c r="AR282" s="688"/>
      <c r="AS282" s="688"/>
      <c r="AT282" s="689"/>
      <c r="AU282" s="689"/>
      <c r="AV282" s="690"/>
      <c r="AW282" s="690"/>
      <c r="AX282" s="690"/>
      <c r="AY282" s="690"/>
      <c r="AZ282" s="690"/>
      <c r="BA282" s="690"/>
      <c r="BB282" s="695"/>
      <c r="BC282" s="695"/>
      <c r="BD282" s="695"/>
      <c r="BE282" s="695"/>
      <c r="BF282" s="692"/>
      <c r="BG282" s="692"/>
      <c r="BH282" s="692"/>
      <c r="BI282" s="692"/>
      <c r="BJ282" s="692"/>
      <c r="BK282" s="692"/>
      <c r="BL282" s="693"/>
      <c r="BM282" s="693"/>
      <c r="BN282" s="688"/>
      <c r="BO282" s="693"/>
      <c r="BP282" s="689"/>
      <c r="BQ282" s="694"/>
      <c r="BR282" s="687"/>
      <c r="BS282" s="687"/>
      <c r="BT282" s="687"/>
      <c r="BU282" s="687"/>
      <c r="BV282" s="687"/>
      <c r="BW282" s="688"/>
      <c r="BX282" s="688"/>
      <c r="BY282" s="689"/>
      <c r="BZ282" s="690"/>
      <c r="CA282" s="690"/>
      <c r="CB282" s="690"/>
      <c r="CC282" s="691"/>
      <c r="CD282" s="691"/>
      <c r="CE282" s="692"/>
      <c r="CF282" s="692"/>
      <c r="CG282" s="692"/>
      <c r="CH282" s="693"/>
    </row>
    <row r="283">
      <c r="B283" s="687"/>
      <c r="C283" s="687"/>
      <c r="D283" s="688"/>
      <c r="E283" s="689"/>
      <c r="F283" s="690"/>
      <c r="G283" s="690"/>
      <c r="H283" s="690"/>
      <c r="I283" s="691"/>
      <c r="J283" s="691"/>
      <c r="K283" s="691"/>
      <c r="L283" s="692"/>
      <c r="M283" s="692"/>
      <c r="N283" s="692"/>
      <c r="O283" s="693"/>
      <c r="P283" s="688"/>
      <c r="Q283" s="688"/>
      <c r="R283" s="688"/>
      <c r="S283" s="688"/>
      <c r="T283" s="689"/>
      <c r="U283" s="689"/>
      <c r="V283" s="694"/>
      <c r="W283" s="694"/>
      <c r="X283" s="694"/>
      <c r="Y283" s="694"/>
      <c r="Z283" s="693"/>
      <c r="AA283" s="693"/>
      <c r="AB283" s="693"/>
      <c r="AC283" s="693"/>
      <c r="AD283" s="688"/>
      <c r="AE283" s="689"/>
      <c r="AF283" s="689"/>
      <c r="AG283" s="690"/>
      <c r="AH283" s="690"/>
      <c r="AI283" s="695"/>
      <c r="AJ283" s="695"/>
      <c r="AK283" s="692"/>
      <c r="AL283" s="692"/>
      <c r="AM283" s="693"/>
      <c r="AN283" s="688"/>
      <c r="AO283" s="688"/>
      <c r="AP283" s="688"/>
      <c r="AQ283" s="688"/>
      <c r="AR283" s="688"/>
      <c r="AS283" s="688"/>
      <c r="AT283" s="689"/>
      <c r="AU283" s="689"/>
      <c r="AV283" s="690"/>
      <c r="AW283" s="690"/>
      <c r="AX283" s="690"/>
      <c r="AY283" s="690"/>
      <c r="AZ283" s="690"/>
      <c r="BA283" s="690"/>
      <c r="BB283" s="695"/>
      <c r="BC283" s="695"/>
      <c r="BD283" s="695"/>
      <c r="BE283" s="695"/>
      <c r="BF283" s="692"/>
      <c r="BG283" s="692"/>
      <c r="BH283" s="692"/>
      <c r="BI283" s="692"/>
      <c r="BJ283" s="692"/>
      <c r="BK283" s="692"/>
      <c r="BL283" s="693"/>
      <c r="BM283" s="693"/>
      <c r="BN283" s="688"/>
      <c r="BO283" s="693"/>
      <c r="BP283" s="689"/>
      <c r="BQ283" s="694"/>
      <c r="BR283" s="687"/>
      <c r="BS283" s="687"/>
      <c r="BT283" s="687"/>
      <c r="BU283" s="687"/>
      <c r="BV283" s="687"/>
      <c r="BW283" s="688"/>
      <c r="BX283" s="688"/>
      <c r="BY283" s="689"/>
      <c r="BZ283" s="690"/>
      <c r="CA283" s="690"/>
      <c r="CB283" s="690"/>
      <c r="CC283" s="691"/>
      <c r="CD283" s="691"/>
      <c r="CE283" s="692"/>
      <c r="CF283" s="692"/>
      <c r="CG283" s="692"/>
      <c r="CH283" s="693"/>
    </row>
    <row r="284">
      <c r="B284" s="687"/>
      <c r="C284" s="687"/>
      <c r="D284" s="688"/>
      <c r="E284" s="689"/>
      <c r="F284" s="690"/>
      <c r="G284" s="690"/>
      <c r="H284" s="690"/>
      <c r="I284" s="691"/>
      <c r="J284" s="691"/>
      <c r="K284" s="691"/>
      <c r="L284" s="692"/>
      <c r="M284" s="692"/>
      <c r="N284" s="692"/>
      <c r="O284" s="693"/>
      <c r="P284" s="688"/>
      <c r="Q284" s="688"/>
      <c r="R284" s="688"/>
      <c r="S284" s="688"/>
      <c r="T284" s="689"/>
      <c r="U284" s="689"/>
      <c r="V284" s="694"/>
      <c r="W284" s="694"/>
      <c r="X284" s="694"/>
      <c r="Y284" s="694"/>
      <c r="Z284" s="693"/>
      <c r="AA284" s="693"/>
      <c r="AB284" s="693"/>
      <c r="AC284" s="693"/>
      <c r="AD284" s="688"/>
      <c r="AE284" s="689"/>
      <c r="AF284" s="689"/>
      <c r="AG284" s="690"/>
      <c r="AH284" s="690"/>
      <c r="AI284" s="695"/>
      <c r="AJ284" s="695"/>
      <c r="AK284" s="692"/>
      <c r="AL284" s="692"/>
      <c r="AM284" s="693"/>
      <c r="AN284" s="688"/>
      <c r="AO284" s="688"/>
      <c r="AP284" s="688"/>
      <c r="AQ284" s="688"/>
      <c r="AR284" s="688"/>
      <c r="AS284" s="688"/>
      <c r="AT284" s="689"/>
      <c r="AU284" s="689"/>
      <c r="AV284" s="690"/>
      <c r="AW284" s="690"/>
      <c r="AX284" s="690"/>
      <c r="AY284" s="690"/>
      <c r="AZ284" s="690"/>
      <c r="BA284" s="690"/>
      <c r="BB284" s="695"/>
      <c r="BC284" s="695"/>
      <c r="BD284" s="695"/>
      <c r="BE284" s="695"/>
      <c r="BF284" s="692"/>
      <c r="BG284" s="692"/>
      <c r="BH284" s="692"/>
      <c r="BI284" s="692"/>
      <c r="BJ284" s="692"/>
      <c r="BK284" s="692"/>
      <c r="BL284" s="693"/>
      <c r="BM284" s="693"/>
      <c r="BN284" s="688"/>
      <c r="BO284" s="693"/>
      <c r="BP284" s="689"/>
      <c r="BQ284" s="694"/>
      <c r="BR284" s="687"/>
      <c r="BS284" s="687"/>
      <c r="BT284" s="687"/>
      <c r="BU284" s="687"/>
      <c r="BV284" s="687"/>
      <c r="BW284" s="688"/>
      <c r="BX284" s="688"/>
      <c r="BY284" s="689"/>
      <c r="BZ284" s="690"/>
      <c r="CA284" s="690"/>
      <c r="CB284" s="690"/>
      <c r="CC284" s="691"/>
      <c r="CD284" s="691"/>
      <c r="CE284" s="692"/>
      <c r="CF284" s="692"/>
      <c r="CG284" s="692"/>
      <c r="CH284" s="693"/>
    </row>
    <row r="285">
      <c r="B285" s="687"/>
      <c r="C285" s="687"/>
      <c r="D285" s="688"/>
      <c r="E285" s="689"/>
      <c r="F285" s="690"/>
      <c r="G285" s="690"/>
      <c r="H285" s="690"/>
      <c r="I285" s="691"/>
      <c r="J285" s="691"/>
      <c r="K285" s="691"/>
      <c r="L285" s="692"/>
      <c r="M285" s="692"/>
      <c r="N285" s="692"/>
      <c r="O285" s="693"/>
      <c r="P285" s="688"/>
      <c r="Q285" s="688"/>
      <c r="R285" s="688"/>
      <c r="S285" s="688"/>
      <c r="T285" s="689"/>
      <c r="U285" s="689"/>
      <c r="V285" s="694"/>
      <c r="W285" s="694"/>
      <c r="X285" s="694"/>
      <c r="Y285" s="694"/>
      <c r="Z285" s="693"/>
      <c r="AA285" s="693"/>
      <c r="AB285" s="693"/>
      <c r="AC285" s="693"/>
      <c r="AD285" s="688"/>
      <c r="AE285" s="689"/>
      <c r="AF285" s="689"/>
      <c r="AG285" s="690"/>
      <c r="AH285" s="690"/>
      <c r="AI285" s="695"/>
      <c r="AJ285" s="695"/>
      <c r="AK285" s="692"/>
      <c r="AL285" s="692"/>
      <c r="AM285" s="693"/>
      <c r="AN285" s="688"/>
      <c r="AO285" s="688"/>
      <c r="AP285" s="688"/>
      <c r="AQ285" s="688"/>
      <c r="AR285" s="688"/>
      <c r="AS285" s="688"/>
      <c r="AT285" s="689"/>
      <c r="AU285" s="689"/>
      <c r="AV285" s="690"/>
      <c r="AW285" s="690"/>
      <c r="AX285" s="690"/>
      <c r="AY285" s="690"/>
      <c r="AZ285" s="690"/>
      <c r="BA285" s="690"/>
      <c r="BB285" s="695"/>
      <c r="BC285" s="695"/>
      <c r="BD285" s="695"/>
      <c r="BE285" s="695"/>
      <c r="BF285" s="692"/>
      <c r="BG285" s="692"/>
      <c r="BH285" s="692"/>
      <c r="BI285" s="692"/>
      <c r="BJ285" s="692"/>
      <c r="BK285" s="692"/>
      <c r="BL285" s="693"/>
      <c r="BM285" s="693"/>
      <c r="BN285" s="688"/>
      <c r="BO285" s="693"/>
      <c r="BP285" s="689"/>
      <c r="BQ285" s="694"/>
      <c r="BR285" s="687"/>
      <c r="BS285" s="687"/>
      <c r="BT285" s="687"/>
      <c r="BU285" s="687"/>
      <c r="BV285" s="687"/>
      <c r="BW285" s="688"/>
      <c r="BX285" s="688"/>
      <c r="BY285" s="689"/>
      <c r="BZ285" s="690"/>
      <c r="CA285" s="690"/>
      <c r="CB285" s="690"/>
      <c r="CC285" s="691"/>
      <c r="CD285" s="691"/>
      <c r="CE285" s="692"/>
      <c r="CF285" s="692"/>
      <c r="CG285" s="692"/>
      <c r="CH285" s="693"/>
    </row>
    <row r="286">
      <c r="B286" s="687"/>
      <c r="C286" s="687"/>
      <c r="D286" s="688"/>
      <c r="E286" s="689"/>
      <c r="F286" s="690"/>
      <c r="G286" s="690"/>
      <c r="H286" s="690"/>
      <c r="I286" s="691"/>
      <c r="J286" s="691"/>
      <c r="K286" s="691"/>
      <c r="L286" s="692"/>
      <c r="M286" s="692"/>
      <c r="N286" s="692"/>
      <c r="O286" s="693"/>
      <c r="P286" s="688"/>
      <c r="Q286" s="688"/>
      <c r="R286" s="688"/>
      <c r="S286" s="688"/>
      <c r="T286" s="689"/>
      <c r="U286" s="689"/>
      <c r="V286" s="694"/>
      <c r="W286" s="694"/>
      <c r="X286" s="694"/>
      <c r="Y286" s="694"/>
      <c r="Z286" s="693"/>
      <c r="AA286" s="693"/>
      <c r="AB286" s="693"/>
      <c r="AC286" s="693"/>
      <c r="AD286" s="688"/>
      <c r="AE286" s="689"/>
      <c r="AF286" s="689"/>
      <c r="AG286" s="690"/>
      <c r="AH286" s="690"/>
      <c r="AI286" s="695"/>
      <c r="AJ286" s="695"/>
      <c r="AK286" s="692"/>
      <c r="AL286" s="692"/>
      <c r="AM286" s="693"/>
      <c r="AN286" s="688"/>
      <c r="AO286" s="688"/>
      <c r="AP286" s="688"/>
      <c r="AQ286" s="688"/>
      <c r="AR286" s="688"/>
      <c r="AS286" s="688"/>
      <c r="AT286" s="689"/>
      <c r="AU286" s="689"/>
      <c r="AV286" s="690"/>
      <c r="AW286" s="690"/>
      <c r="AX286" s="690"/>
      <c r="AY286" s="690"/>
      <c r="AZ286" s="690"/>
      <c r="BA286" s="690"/>
      <c r="BB286" s="695"/>
      <c r="BC286" s="695"/>
      <c r="BD286" s="695"/>
      <c r="BE286" s="695"/>
      <c r="BF286" s="692"/>
      <c r="BG286" s="692"/>
      <c r="BH286" s="692"/>
      <c r="BI286" s="692"/>
      <c r="BJ286" s="692"/>
      <c r="BK286" s="692"/>
      <c r="BL286" s="693"/>
      <c r="BM286" s="693"/>
      <c r="BN286" s="688"/>
      <c r="BO286" s="693"/>
      <c r="BP286" s="689"/>
      <c r="BQ286" s="694"/>
      <c r="BR286" s="687"/>
      <c r="BS286" s="687"/>
      <c r="BT286" s="687"/>
      <c r="BU286" s="687"/>
      <c r="BV286" s="687"/>
      <c r="BW286" s="688"/>
      <c r="BX286" s="688"/>
      <c r="BY286" s="689"/>
      <c r="BZ286" s="690"/>
      <c r="CA286" s="690"/>
      <c r="CB286" s="690"/>
      <c r="CC286" s="691"/>
      <c r="CD286" s="691"/>
      <c r="CE286" s="692"/>
      <c r="CF286" s="692"/>
      <c r="CG286" s="692"/>
      <c r="CH286" s="693"/>
    </row>
    <row r="287">
      <c r="B287" s="687"/>
      <c r="C287" s="687"/>
      <c r="D287" s="688"/>
      <c r="E287" s="689"/>
      <c r="F287" s="690"/>
      <c r="G287" s="690"/>
      <c r="H287" s="690"/>
      <c r="I287" s="691"/>
      <c r="J287" s="691"/>
      <c r="K287" s="691"/>
      <c r="L287" s="692"/>
      <c r="M287" s="692"/>
      <c r="N287" s="692"/>
      <c r="O287" s="693"/>
      <c r="P287" s="688"/>
      <c r="Q287" s="688"/>
      <c r="R287" s="688"/>
      <c r="S287" s="688"/>
      <c r="T287" s="689"/>
      <c r="U287" s="689"/>
      <c r="V287" s="694"/>
      <c r="W287" s="694"/>
      <c r="X287" s="694"/>
      <c r="Y287" s="694"/>
      <c r="Z287" s="693"/>
      <c r="AA287" s="693"/>
      <c r="AB287" s="693"/>
      <c r="AC287" s="693"/>
      <c r="AD287" s="688"/>
      <c r="AE287" s="689"/>
      <c r="AF287" s="689"/>
      <c r="AG287" s="690"/>
      <c r="AH287" s="690"/>
      <c r="AI287" s="695"/>
      <c r="AJ287" s="695"/>
      <c r="AK287" s="692"/>
      <c r="AL287" s="692"/>
      <c r="AM287" s="693"/>
      <c r="AN287" s="688"/>
      <c r="AO287" s="688"/>
      <c r="AP287" s="688"/>
      <c r="AQ287" s="688"/>
      <c r="AR287" s="688"/>
      <c r="AS287" s="688"/>
      <c r="AT287" s="689"/>
      <c r="AU287" s="689"/>
      <c r="AV287" s="690"/>
      <c r="AW287" s="690"/>
      <c r="AX287" s="690"/>
      <c r="AY287" s="690"/>
      <c r="AZ287" s="690"/>
      <c r="BA287" s="690"/>
      <c r="BB287" s="695"/>
      <c r="BC287" s="695"/>
      <c r="BD287" s="695"/>
      <c r="BE287" s="695"/>
      <c r="BF287" s="692"/>
      <c r="BG287" s="692"/>
      <c r="BH287" s="692"/>
      <c r="BI287" s="692"/>
      <c r="BJ287" s="692"/>
      <c r="BK287" s="692"/>
      <c r="BL287" s="693"/>
      <c r="BM287" s="693"/>
      <c r="BN287" s="688"/>
      <c r="BO287" s="693"/>
      <c r="BP287" s="689"/>
      <c r="BQ287" s="694"/>
      <c r="BR287" s="687"/>
      <c r="BS287" s="687"/>
      <c r="BT287" s="687"/>
      <c r="BU287" s="687"/>
      <c r="BV287" s="687"/>
      <c r="BW287" s="688"/>
      <c r="BX287" s="688"/>
      <c r="BY287" s="689"/>
      <c r="BZ287" s="690"/>
      <c r="CA287" s="690"/>
      <c r="CB287" s="690"/>
      <c r="CC287" s="691"/>
      <c r="CD287" s="691"/>
      <c r="CE287" s="692"/>
      <c r="CF287" s="692"/>
      <c r="CG287" s="692"/>
      <c r="CH287" s="693"/>
    </row>
    <row r="288">
      <c r="B288" s="687"/>
      <c r="C288" s="687"/>
      <c r="D288" s="688"/>
      <c r="E288" s="689"/>
      <c r="F288" s="690"/>
      <c r="G288" s="690"/>
      <c r="H288" s="690"/>
      <c r="I288" s="691"/>
      <c r="J288" s="691"/>
      <c r="K288" s="691"/>
      <c r="L288" s="692"/>
      <c r="M288" s="692"/>
      <c r="N288" s="692"/>
      <c r="O288" s="693"/>
      <c r="P288" s="688"/>
      <c r="Q288" s="688"/>
      <c r="R288" s="688"/>
      <c r="S288" s="688"/>
      <c r="T288" s="689"/>
      <c r="U288" s="689"/>
      <c r="V288" s="694"/>
      <c r="W288" s="694"/>
      <c r="X288" s="694"/>
      <c r="Y288" s="694"/>
      <c r="Z288" s="693"/>
      <c r="AA288" s="693"/>
      <c r="AB288" s="693"/>
      <c r="AC288" s="693"/>
      <c r="AD288" s="688"/>
      <c r="AE288" s="689"/>
      <c r="AF288" s="689"/>
      <c r="AG288" s="690"/>
      <c r="AH288" s="690"/>
      <c r="AI288" s="695"/>
      <c r="AJ288" s="695"/>
      <c r="AK288" s="692"/>
      <c r="AL288" s="692"/>
      <c r="AM288" s="693"/>
      <c r="AN288" s="688"/>
      <c r="AO288" s="688"/>
      <c r="AP288" s="688"/>
      <c r="AQ288" s="688"/>
      <c r="AR288" s="688"/>
      <c r="AS288" s="688"/>
      <c r="AT288" s="689"/>
      <c r="AU288" s="689"/>
      <c r="AV288" s="690"/>
      <c r="AW288" s="690"/>
      <c r="AX288" s="690"/>
      <c r="AY288" s="690"/>
      <c r="AZ288" s="690"/>
      <c r="BA288" s="690"/>
      <c r="BB288" s="695"/>
      <c r="BC288" s="695"/>
      <c r="BD288" s="695"/>
      <c r="BE288" s="695"/>
      <c r="BF288" s="692"/>
      <c r="BG288" s="692"/>
      <c r="BH288" s="692"/>
      <c r="BI288" s="692"/>
      <c r="BJ288" s="692"/>
      <c r="BK288" s="692"/>
      <c r="BL288" s="693"/>
      <c r="BM288" s="693"/>
      <c r="BN288" s="688"/>
      <c r="BO288" s="693"/>
      <c r="BP288" s="689"/>
      <c r="BQ288" s="694"/>
      <c r="BR288" s="687"/>
      <c r="BS288" s="687"/>
      <c r="BT288" s="687"/>
      <c r="BU288" s="687"/>
      <c r="BV288" s="687"/>
      <c r="BW288" s="688"/>
      <c r="BX288" s="688"/>
      <c r="BY288" s="689"/>
      <c r="BZ288" s="690"/>
      <c r="CA288" s="690"/>
      <c r="CB288" s="690"/>
      <c r="CC288" s="691"/>
      <c r="CD288" s="691"/>
      <c r="CE288" s="692"/>
      <c r="CF288" s="692"/>
      <c r="CG288" s="692"/>
      <c r="CH288" s="693"/>
    </row>
    <row r="289">
      <c r="B289" s="687"/>
      <c r="C289" s="687"/>
      <c r="D289" s="688"/>
      <c r="E289" s="689"/>
      <c r="F289" s="690"/>
      <c r="G289" s="690"/>
      <c r="H289" s="690"/>
      <c r="I289" s="691"/>
      <c r="J289" s="691"/>
      <c r="K289" s="691"/>
      <c r="L289" s="692"/>
      <c r="M289" s="692"/>
      <c r="N289" s="692"/>
      <c r="O289" s="693"/>
      <c r="P289" s="688"/>
      <c r="Q289" s="688"/>
      <c r="R289" s="688"/>
      <c r="S289" s="688"/>
      <c r="T289" s="689"/>
      <c r="U289" s="689"/>
      <c r="V289" s="694"/>
      <c r="W289" s="694"/>
      <c r="X289" s="694"/>
      <c r="Y289" s="694"/>
      <c r="Z289" s="693"/>
      <c r="AA289" s="693"/>
      <c r="AB289" s="693"/>
      <c r="AC289" s="693"/>
      <c r="AD289" s="688"/>
      <c r="AE289" s="689"/>
      <c r="AF289" s="689"/>
      <c r="AG289" s="690"/>
      <c r="AH289" s="690"/>
      <c r="AI289" s="695"/>
      <c r="AJ289" s="695"/>
      <c r="AK289" s="692"/>
      <c r="AL289" s="692"/>
      <c r="AM289" s="693"/>
      <c r="AN289" s="688"/>
      <c r="AO289" s="688"/>
      <c r="AP289" s="688"/>
      <c r="AQ289" s="688"/>
      <c r="AR289" s="688"/>
      <c r="AS289" s="688"/>
      <c r="AT289" s="689"/>
      <c r="AU289" s="689"/>
      <c r="AV289" s="690"/>
      <c r="AW289" s="690"/>
      <c r="AX289" s="690"/>
      <c r="AY289" s="690"/>
      <c r="AZ289" s="690"/>
      <c r="BA289" s="690"/>
      <c r="BB289" s="695"/>
      <c r="BC289" s="695"/>
      <c r="BD289" s="695"/>
      <c r="BE289" s="695"/>
      <c r="BF289" s="692"/>
      <c r="BG289" s="692"/>
      <c r="BH289" s="692"/>
      <c r="BI289" s="692"/>
      <c r="BJ289" s="692"/>
      <c r="BK289" s="692"/>
      <c r="BL289" s="693"/>
      <c r="BM289" s="693"/>
      <c r="BN289" s="688"/>
      <c r="BO289" s="693"/>
      <c r="BP289" s="689"/>
      <c r="BQ289" s="694"/>
      <c r="BR289" s="687"/>
      <c r="BS289" s="687"/>
      <c r="BT289" s="687"/>
      <c r="BU289" s="687"/>
      <c r="BV289" s="687"/>
      <c r="BW289" s="688"/>
      <c r="BX289" s="688"/>
      <c r="BY289" s="689"/>
      <c r="BZ289" s="690"/>
      <c r="CA289" s="690"/>
      <c r="CB289" s="690"/>
      <c r="CC289" s="691"/>
      <c r="CD289" s="691"/>
      <c r="CE289" s="692"/>
      <c r="CF289" s="692"/>
      <c r="CG289" s="692"/>
      <c r="CH289" s="693"/>
    </row>
    <row r="290">
      <c r="B290" s="687"/>
      <c r="C290" s="687"/>
      <c r="D290" s="688"/>
      <c r="E290" s="689"/>
      <c r="F290" s="690"/>
      <c r="G290" s="690"/>
      <c r="H290" s="690"/>
      <c r="I290" s="691"/>
      <c r="J290" s="691"/>
      <c r="K290" s="691"/>
      <c r="L290" s="692"/>
      <c r="M290" s="692"/>
      <c r="N290" s="692"/>
      <c r="O290" s="693"/>
      <c r="P290" s="688"/>
      <c r="Q290" s="688"/>
      <c r="R290" s="688"/>
      <c r="S290" s="688"/>
      <c r="T290" s="689"/>
      <c r="U290" s="689"/>
      <c r="V290" s="694"/>
      <c r="W290" s="694"/>
      <c r="X290" s="694"/>
      <c r="Y290" s="694"/>
      <c r="Z290" s="693"/>
      <c r="AA290" s="693"/>
      <c r="AB290" s="693"/>
      <c r="AC290" s="693"/>
      <c r="AD290" s="688"/>
      <c r="AE290" s="689"/>
      <c r="AF290" s="689"/>
      <c r="AG290" s="690"/>
      <c r="AH290" s="690"/>
      <c r="AI290" s="695"/>
      <c r="AJ290" s="695"/>
      <c r="AK290" s="692"/>
      <c r="AL290" s="692"/>
      <c r="AM290" s="693"/>
      <c r="AN290" s="688"/>
      <c r="AO290" s="688"/>
      <c r="AP290" s="688"/>
      <c r="AQ290" s="688"/>
      <c r="AR290" s="688"/>
      <c r="AS290" s="688"/>
      <c r="AT290" s="689"/>
      <c r="AU290" s="689"/>
      <c r="AV290" s="690"/>
      <c r="AW290" s="690"/>
      <c r="AX290" s="690"/>
      <c r="AY290" s="690"/>
      <c r="AZ290" s="690"/>
      <c r="BA290" s="690"/>
      <c r="BB290" s="695"/>
      <c r="BC290" s="695"/>
      <c r="BD290" s="695"/>
      <c r="BE290" s="695"/>
      <c r="BF290" s="692"/>
      <c r="BG290" s="692"/>
      <c r="BH290" s="692"/>
      <c r="BI290" s="692"/>
      <c r="BJ290" s="692"/>
      <c r="BK290" s="692"/>
      <c r="BL290" s="693"/>
      <c r="BM290" s="693"/>
      <c r="BN290" s="688"/>
      <c r="BO290" s="693"/>
      <c r="BP290" s="689"/>
      <c r="BQ290" s="694"/>
      <c r="BR290" s="687"/>
      <c r="BS290" s="687"/>
      <c r="BT290" s="687"/>
      <c r="BU290" s="687"/>
      <c r="BV290" s="687"/>
      <c r="BW290" s="688"/>
      <c r="BX290" s="688"/>
      <c r="BY290" s="689"/>
      <c r="BZ290" s="690"/>
      <c r="CA290" s="690"/>
      <c r="CB290" s="690"/>
      <c r="CC290" s="691"/>
      <c r="CD290" s="691"/>
      <c r="CE290" s="692"/>
      <c r="CF290" s="692"/>
      <c r="CG290" s="692"/>
      <c r="CH290" s="693"/>
    </row>
    <row r="291">
      <c r="B291" s="687"/>
      <c r="C291" s="687"/>
      <c r="D291" s="688"/>
      <c r="E291" s="689"/>
      <c r="F291" s="690"/>
      <c r="G291" s="690"/>
      <c r="H291" s="690"/>
      <c r="I291" s="691"/>
      <c r="J291" s="691"/>
      <c r="K291" s="691"/>
      <c r="L291" s="692"/>
      <c r="M291" s="692"/>
      <c r="N291" s="692"/>
      <c r="O291" s="693"/>
      <c r="P291" s="688"/>
      <c r="Q291" s="688"/>
      <c r="R291" s="688"/>
      <c r="S291" s="688"/>
      <c r="T291" s="689"/>
      <c r="U291" s="689"/>
      <c r="V291" s="694"/>
      <c r="W291" s="694"/>
      <c r="X291" s="694"/>
      <c r="Y291" s="694"/>
      <c r="Z291" s="693"/>
      <c r="AA291" s="693"/>
      <c r="AB291" s="693"/>
      <c r="AC291" s="693"/>
      <c r="AD291" s="688"/>
      <c r="AE291" s="689"/>
      <c r="AF291" s="689"/>
      <c r="AG291" s="690"/>
      <c r="AH291" s="690"/>
      <c r="AI291" s="695"/>
      <c r="AJ291" s="695"/>
      <c r="AK291" s="692"/>
      <c r="AL291" s="692"/>
      <c r="AM291" s="693"/>
      <c r="AN291" s="688"/>
      <c r="AO291" s="688"/>
      <c r="AP291" s="688"/>
      <c r="AQ291" s="688"/>
      <c r="AR291" s="688"/>
      <c r="AS291" s="688"/>
      <c r="AT291" s="689"/>
      <c r="AU291" s="689"/>
      <c r="AV291" s="690"/>
      <c r="AW291" s="690"/>
      <c r="AX291" s="690"/>
      <c r="AY291" s="690"/>
      <c r="AZ291" s="690"/>
      <c r="BA291" s="690"/>
      <c r="BB291" s="695"/>
      <c r="BC291" s="695"/>
      <c r="BD291" s="695"/>
      <c r="BE291" s="695"/>
      <c r="BF291" s="692"/>
      <c r="BG291" s="692"/>
      <c r="BH291" s="692"/>
      <c r="BI291" s="692"/>
      <c r="BJ291" s="692"/>
      <c r="BK291" s="692"/>
      <c r="BL291" s="693"/>
      <c r="BM291" s="693"/>
      <c r="BN291" s="688"/>
      <c r="BO291" s="693"/>
      <c r="BP291" s="689"/>
      <c r="BQ291" s="694"/>
      <c r="BR291" s="687"/>
      <c r="BS291" s="687"/>
      <c r="BT291" s="687"/>
      <c r="BU291" s="687"/>
      <c r="BV291" s="687"/>
      <c r="BW291" s="688"/>
      <c r="BX291" s="688"/>
      <c r="BY291" s="689"/>
      <c r="BZ291" s="690"/>
      <c r="CA291" s="690"/>
      <c r="CB291" s="690"/>
      <c r="CC291" s="691"/>
      <c r="CD291" s="691"/>
      <c r="CE291" s="692"/>
      <c r="CF291" s="692"/>
      <c r="CG291" s="692"/>
      <c r="CH291" s="693"/>
    </row>
    <row r="292">
      <c r="B292" s="687"/>
      <c r="C292" s="687"/>
      <c r="D292" s="688"/>
      <c r="E292" s="689"/>
      <c r="F292" s="690"/>
      <c r="G292" s="690"/>
      <c r="H292" s="690"/>
      <c r="I292" s="691"/>
      <c r="J292" s="691"/>
      <c r="K292" s="691"/>
      <c r="L292" s="692"/>
      <c r="M292" s="692"/>
      <c r="N292" s="692"/>
      <c r="O292" s="693"/>
      <c r="P292" s="688"/>
      <c r="Q292" s="688"/>
      <c r="R292" s="688"/>
      <c r="S292" s="688"/>
      <c r="T292" s="689"/>
      <c r="U292" s="689"/>
      <c r="V292" s="694"/>
      <c r="W292" s="694"/>
      <c r="X292" s="694"/>
      <c r="Y292" s="694"/>
      <c r="Z292" s="693"/>
      <c r="AA292" s="693"/>
      <c r="AB292" s="693"/>
      <c r="AC292" s="693"/>
      <c r="AD292" s="688"/>
      <c r="AE292" s="689"/>
      <c r="AF292" s="689"/>
      <c r="AG292" s="690"/>
      <c r="AH292" s="690"/>
      <c r="AI292" s="695"/>
      <c r="AJ292" s="695"/>
      <c r="AK292" s="692"/>
      <c r="AL292" s="692"/>
      <c r="AM292" s="693"/>
      <c r="AN292" s="688"/>
      <c r="AO292" s="688"/>
      <c r="AP292" s="688"/>
      <c r="AQ292" s="688"/>
      <c r="AR292" s="688"/>
      <c r="AS292" s="688"/>
      <c r="AT292" s="689"/>
      <c r="AU292" s="689"/>
      <c r="AV292" s="690"/>
      <c r="AW292" s="690"/>
      <c r="AX292" s="690"/>
      <c r="AY292" s="690"/>
      <c r="AZ292" s="690"/>
      <c r="BA292" s="690"/>
      <c r="BB292" s="695"/>
      <c r="BC292" s="695"/>
      <c r="BD292" s="695"/>
      <c r="BE292" s="695"/>
      <c r="BF292" s="692"/>
      <c r="BG292" s="692"/>
      <c r="BH292" s="692"/>
      <c r="BI292" s="692"/>
      <c r="BJ292" s="692"/>
      <c r="BK292" s="692"/>
      <c r="BL292" s="693"/>
      <c r="BM292" s="693"/>
      <c r="BN292" s="688"/>
      <c r="BO292" s="693"/>
      <c r="BP292" s="689"/>
      <c r="BQ292" s="694"/>
      <c r="BR292" s="687"/>
      <c r="BS292" s="687"/>
      <c r="BT292" s="687"/>
      <c r="BU292" s="687"/>
      <c r="BV292" s="687"/>
      <c r="BW292" s="688"/>
      <c r="BX292" s="688"/>
      <c r="BY292" s="689"/>
      <c r="BZ292" s="690"/>
      <c r="CA292" s="690"/>
      <c r="CB292" s="690"/>
      <c r="CC292" s="691"/>
      <c r="CD292" s="691"/>
      <c r="CE292" s="692"/>
      <c r="CF292" s="692"/>
      <c r="CG292" s="692"/>
      <c r="CH292" s="693"/>
    </row>
    <row r="293">
      <c r="B293" s="687"/>
      <c r="C293" s="687"/>
      <c r="D293" s="688"/>
      <c r="E293" s="689"/>
      <c r="F293" s="690"/>
      <c r="G293" s="690"/>
      <c r="H293" s="690"/>
      <c r="I293" s="691"/>
      <c r="J293" s="691"/>
      <c r="K293" s="691"/>
      <c r="L293" s="692"/>
      <c r="M293" s="692"/>
      <c r="N293" s="692"/>
      <c r="O293" s="693"/>
      <c r="P293" s="688"/>
      <c r="Q293" s="688"/>
      <c r="R293" s="688"/>
      <c r="S293" s="688"/>
      <c r="T293" s="689"/>
      <c r="U293" s="689"/>
      <c r="V293" s="694"/>
      <c r="W293" s="694"/>
      <c r="X293" s="694"/>
      <c r="Y293" s="694"/>
      <c r="Z293" s="693"/>
      <c r="AA293" s="693"/>
      <c r="AB293" s="693"/>
      <c r="AC293" s="693"/>
      <c r="AD293" s="688"/>
      <c r="AE293" s="689"/>
      <c r="AF293" s="689"/>
      <c r="AG293" s="690"/>
      <c r="AH293" s="690"/>
      <c r="AI293" s="695"/>
      <c r="AJ293" s="695"/>
      <c r="AK293" s="692"/>
      <c r="AL293" s="692"/>
      <c r="AM293" s="693"/>
      <c r="AN293" s="688"/>
      <c r="AO293" s="688"/>
      <c r="AP293" s="688"/>
      <c r="AQ293" s="688"/>
      <c r="AR293" s="688"/>
      <c r="AS293" s="688"/>
      <c r="AT293" s="689"/>
      <c r="AU293" s="689"/>
      <c r="AV293" s="690"/>
      <c r="AW293" s="690"/>
      <c r="AX293" s="690"/>
      <c r="AY293" s="690"/>
      <c r="AZ293" s="690"/>
      <c r="BA293" s="690"/>
      <c r="BB293" s="695"/>
      <c r="BC293" s="695"/>
      <c r="BD293" s="695"/>
      <c r="BE293" s="695"/>
      <c r="BF293" s="692"/>
      <c r="BG293" s="692"/>
      <c r="BH293" s="692"/>
      <c r="BI293" s="692"/>
      <c r="BJ293" s="692"/>
      <c r="BK293" s="692"/>
      <c r="BL293" s="693"/>
      <c r="BM293" s="693"/>
      <c r="BN293" s="688"/>
      <c r="BO293" s="693"/>
      <c r="BP293" s="689"/>
      <c r="BQ293" s="694"/>
      <c r="BR293" s="687"/>
      <c r="BS293" s="687"/>
      <c r="BT293" s="687"/>
      <c r="BU293" s="687"/>
      <c r="BV293" s="687"/>
      <c r="BW293" s="688"/>
      <c r="BX293" s="688"/>
      <c r="BY293" s="689"/>
      <c r="BZ293" s="690"/>
      <c r="CA293" s="690"/>
      <c r="CB293" s="690"/>
      <c r="CC293" s="691"/>
      <c r="CD293" s="691"/>
      <c r="CE293" s="692"/>
      <c r="CF293" s="692"/>
      <c r="CG293" s="692"/>
      <c r="CH293" s="693"/>
    </row>
    <row r="294">
      <c r="B294" s="687"/>
      <c r="C294" s="687"/>
      <c r="D294" s="688"/>
      <c r="E294" s="689"/>
      <c r="F294" s="690"/>
      <c r="G294" s="690"/>
      <c r="H294" s="690"/>
      <c r="I294" s="691"/>
      <c r="J294" s="691"/>
      <c r="K294" s="691"/>
      <c r="L294" s="692"/>
      <c r="M294" s="692"/>
      <c r="N294" s="692"/>
      <c r="O294" s="693"/>
      <c r="P294" s="688"/>
      <c r="Q294" s="688"/>
      <c r="R294" s="688"/>
      <c r="S294" s="688"/>
      <c r="T294" s="689"/>
      <c r="U294" s="689"/>
      <c r="V294" s="694"/>
      <c r="W294" s="694"/>
      <c r="X294" s="694"/>
      <c r="Y294" s="694"/>
      <c r="Z294" s="693"/>
      <c r="AA294" s="693"/>
      <c r="AB294" s="693"/>
      <c r="AC294" s="693"/>
      <c r="AD294" s="688"/>
      <c r="AE294" s="689"/>
      <c r="AF294" s="689"/>
      <c r="AG294" s="690"/>
      <c r="AH294" s="690"/>
      <c r="AI294" s="695"/>
      <c r="AJ294" s="695"/>
      <c r="AK294" s="692"/>
      <c r="AL294" s="692"/>
      <c r="AM294" s="693"/>
      <c r="AN294" s="688"/>
      <c r="AO294" s="688"/>
      <c r="AP294" s="688"/>
      <c r="AQ294" s="688"/>
      <c r="AR294" s="688"/>
      <c r="AS294" s="688"/>
      <c r="AT294" s="689"/>
      <c r="AU294" s="689"/>
      <c r="AV294" s="690"/>
      <c r="AW294" s="690"/>
      <c r="AX294" s="690"/>
      <c r="AY294" s="690"/>
      <c r="AZ294" s="690"/>
      <c r="BA294" s="690"/>
      <c r="BB294" s="695"/>
      <c r="BC294" s="695"/>
      <c r="BD294" s="695"/>
      <c r="BE294" s="695"/>
      <c r="BF294" s="692"/>
      <c r="BG294" s="692"/>
      <c r="BH294" s="692"/>
      <c r="BI294" s="692"/>
      <c r="BJ294" s="692"/>
      <c r="BK294" s="692"/>
      <c r="BL294" s="693"/>
      <c r="BM294" s="693"/>
      <c r="BN294" s="688"/>
      <c r="BO294" s="693"/>
      <c r="BP294" s="689"/>
      <c r="BQ294" s="694"/>
      <c r="BR294" s="687"/>
      <c r="BS294" s="687"/>
      <c r="BT294" s="687"/>
      <c r="BU294" s="687"/>
      <c r="BV294" s="687"/>
      <c r="BW294" s="688"/>
      <c r="BX294" s="688"/>
      <c r="BY294" s="689"/>
      <c r="BZ294" s="690"/>
      <c r="CA294" s="690"/>
      <c r="CB294" s="690"/>
      <c r="CC294" s="691"/>
      <c r="CD294" s="691"/>
      <c r="CE294" s="692"/>
      <c r="CF294" s="692"/>
      <c r="CG294" s="692"/>
      <c r="CH294" s="693"/>
    </row>
    <row r="295">
      <c r="B295" s="687"/>
      <c r="C295" s="687"/>
      <c r="D295" s="688"/>
      <c r="E295" s="689"/>
      <c r="F295" s="690"/>
      <c r="G295" s="690"/>
      <c r="H295" s="690"/>
      <c r="I295" s="691"/>
      <c r="J295" s="691"/>
      <c r="K295" s="691"/>
      <c r="L295" s="692"/>
      <c r="M295" s="692"/>
      <c r="N295" s="692"/>
      <c r="O295" s="693"/>
      <c r="P295" s="688"/>
      <c r="Q295" s="688"/>
      <c r="R295" s="688"/>
      <c r="S295" s="688"/>
      <c r="T295" s="689"/>
      <c r="U295" s="689"/>
      <c r="V295" s="694"/>
      <c r="W295" s="694"/>
      <c r="X295" s="694"/>
      <c r="Y295" s="694"/>
      <c r="Z295" s="693"/>
      <c r="AA295" s="693"/>
      <c r="AB295" s="693"/>
      <c r="AC295" s="693"/>
      <c r="AD295" s="688"/>
      <c r="AE295" s="689"/>
      <c r="AF295" s="689"/>
      <c r="AG295" s="690"/>
      <c r="AH295" s="690"/>
      <c r="AI295" s="695"/>
      <c r="AJ295" s="695"/>
      <c r="AK295" s="692"/>
      <c r="AL295" s="692"/>
      <c r="AM295" s="693"/>
      <c r="AN295" s="688"/>
      <c r="AO295" s="688"/>
      <c r="AP295" s="688"/>
      <c r="AQ295" s="688"/>
      <c r="AR295" s="688"/>
      <c r="AS295" s="688"/>
      <c r="AT295" s="689"/>
      <c r="AU295" s="689"/>
      <c r="AV295" s="690"/>
      <c r="AW295" s="690"/>
      <c r="AX295" s="690"/>
      <c r="AY295" s="690"/>
      <c r="AZ295" s="690"/>
      <c r="BA295" s="690"/>
      <c r="BB295" s="695"/>
      <c r="BC295" s="695"/>
      <c r="BD295" s="695"/>
      <c r="BE295" s="695"/>
      <c r="BF295" s="692"/>
      <c r="BG295" s="692"/>
      <c r="BH295" s="692"/>
      <c r="BI295" s="692"/>
      <c r="BJ295" s="692"/>
      <c r="BK295" s="692"/>
      <c r="BL295" s="693"/>
      <c r="BM295" s="693"/>
      <c r="BN295" s="688"/>
      <c r="BO295" s="693"/>
      <c r="BP295" s="689"/>
      <c r="BQ295" s="694"/>
      <c r="BR295" s="687"/>
      <c r="BS295" s="687"/>
      <c r="BT295" s="687"/>
      <c r="BU295" s="687"/>
      <c r="BV295" s="687"/>
      <c r="BW295" s="688"/>
      <c r="BX295" s="688"/>
      <c r="BY295" s="689"/>
      <c r="BZ295" s="690"/>
      <c r="CA295" s="690"/>
      <c r="CB295" s="690"/>
      <c r="CC295" s="691"/>
      <c r="CD295" s="691"/>
      <c r="CE295" s="692"/>
      <c r="CF295" s="692"/>
      <c r="CG295" s="692"/>
      <c r="CH295" s="693"/>
    </row>
    <row r="296">
      <c r="B296" s="687"/>
      <c r="C296" s="687"/>
      <c r="D296" s="688"/>
      <c r="E296" s="689"/>
      <c r="F296" s="690"/>
      <c r="G296" s="690"/>
      <c r="H296" s="690"/>
      <c r="I296" s="691"/>
      <c r="J296" s="691"/>
      <c r="K296" s="691"/>
      <c r="L296" s="692"/>
      <c r="M296" s="692"/>
      <c r="N296" s="692"/>
      <c r="O296" s="693"/>
      <c r="P296" s="688"/>
      <c r="Q296" s="688"/>
      <c r="R296" s="688"/>
      <c r="S296" s="688"/>
      <c r="T296" s="689"/>
      <c r="U296" s="689"/>
      <c r="V296" s="694"/>
      <c r="W296" s="694"/>
      <c r="X296" s="694"/>
      <c r="Y296" s="694"/>
      <c r="Z296" s="693"/>
      <c r="AA296" s="693"/>
      <c r="AB296" s="693"/>
      <c r="AC296" s="693"/>
      <c r="AD296" s="688"/>
      <c r="AE296" s="689"/>
      <c r="AF296" s="689"/>
      <c r="AG296" s="690"/>
      <c r="AH296" s="690"/>
      <c r="AI296" s="695"/>
      <c r="AJ296" s="695"/>
      <c r="AK296" s="692"/>
      <c r="AL296" s="692"/>
      <c r="AM296" s="693"/>
      <c r="AN296" s="688"/>
      <c r="AO296" s="688"/>
      <c r="AP296" s="688"/>
      <c r="AQ296" s="688"/>
      <c r="AR296" s="688"/>
      <c r="AS296" s="688"/>
      <c r="AT296" s="689"/>
      <c r="AU296" s="689"/>
      <c r="AV296" s="690"/>
      <c r="AW296" s="690"/>
      <c r="AX296" s="690"/>
      <c r="AY296" s="690"/>
      <c r="AZ296" s="690"/>
      <c r="BA296" s="690"/>
      <c r="BB296" s="695"/>
      <c r="BC296" s="695"/>
      <c r="BD296" s="695"/>
      <c r="BE296" s="695"/>
      <c r="BF296" s="692"/>
      <c r="BG296" s="692"/>
      <c r="BH296" s="692"/>
      <c r="BI296" s="692"/>
      <c r="BJ296" s="692"/>
      <c r="BK296" s="692"/>
      <c r="BL296" s="693"/>
      <c r="BM296" s="693"/>
      <c r="BN296" s="688"/>
      <c r="BO296" s="693"/>
      <c r="BP296" s="689"/>
      <c r="BQ296" s="694"/>
      <c r="BR296" s="687"/>
      <c r="BS296" s="687"/>
      <c r="BT296" s="687"/>
      <c r="BU296" s="687"/>
      <c r="BV296" s="687"/>
      <c r="BW296" s="688"/>
      <c r="BX296" s="688"/>
      <c r="BY296" s="689"/>
      <c r="BZ296" s="690"/>
      <c r="CA296" s="690"/>
      <c r="CB296" s="690"/>
      <c r="CC296" s="691"/>
      <c r="CD296" s="691"/>
      <c r="CE296" s="692"/>
      <c r="CF296" s="692"/>
      <c r="CG296" s="692"/>
      <c r="CH296" s="693"/>
    </row>
    <row r="297">
      <c r="B297" s="687"/>
      <c r="C297" s="687"/>
      <c r="D297" s="688"/>
      <c r="E297" s="689"/>
      <c r="F297" s="690"/>
      <c r="G297" s="690"/>
      <c r="H297" s="690"/>
      <c r="I297" s="691"/>
      <c r="J297" s="691"/>
      <c r="K297" s="691"/>
      <c r="L297" s="692"/>
      <c r="M297" s="692"/>
      <c r="N297" s="692"/>
      <c r="O297" s="693"/>
      <c r="P297" s="688"/>
      <c r="Q297" s="688"/>
      <c r="R297" s="688"/>
      <c r="S297" s="688"/>
      <c r="T297" s="689"/>
      <c r="U297" s="689"/>
      <c r="V297" s="694"/>
      <c r="W297" s="694"/>
      <c r="X297" s="694"/>
      <c r="Y297" s="694"/>
      <c r="Z297" s="693"/>
      <c r="AA297" s="693"/>
      <c r="AB297" s="693"/>
      <c r="AC297" s="693"/>
      <c r="AD297" s="688"/>
      <c r="AE297" s="689"/>
      <c r="AF297" s="689"/>
      <c r="AG297" s="690"/>
      <c r="AH297" s="690"/>
      <c r="AI297" s="695"/>
      <c r="AJ297" s="695"/>
      <c r="AK297" s="692"/>
      <c r="AL297" s="692"/>
      <c r="AM297" s="693"/>
      <c r="AN297" s="688"/>
      <c r="AO297" s="688"/>
      <c r="AP297" s="688"/>
      <c r="AQ297" s="688"/>
      <c r="AR297" s="688"/>
      <c r="AS297" s="688"/>
      <c r="AT297" s="689"/>
      <c r="AU297" s="689"/>
      <c r="AV297" s="690"/>
      <c r="AW297" s="690"/>
      <c r="AX297" s="690"/>
      <c r="AY297" s="690"/>
      <c r="AZ297" s="690"/>
      <c r="BA297" s="690"/>
      <c r="BB297" s="695"/>
      <c r="BC297" s="695"/>
      <c r="BD297" s="695"/>
      <c r="BE297" s="695"/>
      <c r="BF297" s="692"/>
      <c r="BG297" s="692"/>
      <c r="BH297" s="692"/>
      <c r="BI297" s="692"/>
      <c r="BJ297" s="692"/>
      <c r="BK297" s="692"/>
      <c r="BL297" s="693"/>
      <c r="BM297" s="693"/>
      <c r="BN297" s="688"/>
      <c r="BO297" s="693"/>
      <c r="BP297" s="689"/>
      <c r="BQ297" s="694"/>
      <c r="BR297" s="687"/>
      <c r="BS297" s="687"/>
      <c r="BT297" s="687"/>
      <c r="BU297" s="687"/>
      <c r="BV297" s="687"/>
      <c r="BW297" s="688"/>
      <c r="BX297" s="688"/>
      <c r="BY297" s="689"/>
      <c r="BZ297" s="690"/>
      <c r="CA297" s="690"/>
      <c r="CB297" s="690"/>
      <c r="CC297" s="691"/>
      <c r="CD297" s="691"/>
      <c r="CE297" s="692"/>
      <c r="CF297" s="692"/>
      <c r="CG297" s="692"/>
      <c r="CH297" s="693"/>
    </row>
    <row r="298">
      <c r="B298" s="687"/>
      <c r="C298" s="687"/>
      <c r="D298" s="688"/>
      <c r="E298" s="689"/>
      <c r="F298" s="690"/>
      <c r="G298" s="690"/>
      <c r="H298" s="690"/>
      <c r="I298" s="691"/>
      <c r="J298" s="691"/>
      <c r="K298" s="691"/>
      <c r="L298" s="692"/>
      <c r="M298" s="692"/>
      <c r="N298" s="692"/>
      <c r="O298" s="693"/>
      <c r="P298" s="688"/>
      <c r="Q298" s="688"/>
      <c r="R298" s="688"/>
      <c r="S298" s="688"/>
      <c r="T298" s="689"/>
      <c r="U298" s="689"/>
      <c r="V298" s="694"/>
      <c r="W298" s="694"/>
      <c r="X298" s="694"/>
      <c r="Y298" s="694"/>
      <c r="Z298" s="693"/>
      <c r="AA298" s="693"/>
      <c r="AB298" s="693"/>
      <c r="AC298" s="693"/>
      <c r="AD298" s="688"/>
      <c r="AE298" s="689"/>
      <c r="AF298" s="689"/>
      <c r="AG298" s="690"/>
      <c r="AH298" s="690"/>
      <c r="AI298" s="695"/>
      <c r="AJ298" s="695"/>
      <c r="AK298" s="692"/>
      <c r="AL298" s="692"/>
      <c r="AM298" s="693"/>
      <c r="AN298" s="688"/>
      <c r="AO298" s="688"/>
      <c r="AP298" s="688"/>
      <c r="AQ298" s="688"/>
      <c r="AR298" s="688"/>
      <c r="AS298" s="688"/>
      <c r="AT298" s="689"/>
      <c r="AU298" s="689"/>
      <c r="AV298" s="690"/>
      <c r="AW298" s="690"/>
      <c r="AX298" s="690"/>
      <c r="AY298" s="690"/>
      <c r="AZ298" s="690"/>
      <c r="BA298" s="690"/>
      <c r="BB298" s="695"/>
      <c r="BC298" s="695"/>
      <c r="BD298" s="695"/>
      <c r="BE298" s="695"/>
      <c r="BF298" s="692"/>
      <c r="BG298" s="692"/>
      <c r="BH298" s="692"/>
      <c r="BI298" s="692"/>
      <c r="BJ298" s="692"/>
      <c r="BK298" s="692"/>
      <c r="BL298" s="693"/>
      <c r="BM298" s="693"/>
      <c r="BN298" s="688"/>
      <c r="BO298" s="693"/>
      <c r="BP298" s="689"/>
      <c r="BQ298" s="694"/>
      <c r="BR298" s="687"/>
      <c r="BS298" s="687"/>
      <c r="BT298" s="687"/>
      <c r="BU298" s="687"/>
      <c r="BV298" s="687"/>
      <c r="BW298" s="688"/>
      <c r="BX298" s="688"/>
      <c r="BY298" s="689"/>
      <c r="BZ298" s="690"/>
      <c r="CA298" s="690"/>
      <c r="CB298" s="690"/>
      <c r="CC298" s="691"/>
      <c r="CD298" s="691"/>
      <c r="CE298" s="692"/>
      <c r="CF298" s="692"/>
      <c r="CG298" s="692"/>
      <c r="CH298" s="693"/>
    </row>
    <row r="299">
      <c r="B299" s="687"/>
      <c r="C299" s="687"/>
      <c r="D299" s="688"/>
      <c r="E299" s="689"/>
      <c r="F299" s="690"/>
      <c r="G299" s="690"/>
      <c r="H299" s="690"/>
      <c r="I299" s="691"/>
      <c r="J299" s="691"/>
      <c r="K299" s="691"/>
      <c r="L299" s="692"/>
      <c r="M299" s="692"/>
      <c r="N299" s="692"/>
      <c r="O299" s="693"/>
      <c r="P299" s="688"/>
      <c r="Q299" s="688"/>
      <c r="R299" s="688"/>
      <c r="S299" s="688"/>
      <c r="T299" s="689"/>
      <c r="U299" s="689"/>
      <c r="V299" s="694"/>
      <c r="W299" s="694"/>
      <c r="X299" s="694"/>
      <c r="Y299" s="694"/>
      <c r="Z299" s="693"/>
      <c r="AA299" s="693"/>
      <c r="AB299" s="693"/>
      <c r="AC299" s="693"/>
      <c r="AD299" s="688"/>
      <c r="AE299" s="689"/>
      <c r="AF299" s="689"/>
      <c r="AG299" s="690"/>
      <c r="AH299" s="690"/>
      <c r="AI299" s="695"/>
      <c r="AJ299" s="695"/>
      <c r="AK299" s="692"/>
      <c r="AL299" s="692"/>
      <c r="AM299" s="693"/>
      <c r="AN299" s="688"/>
      <c r="AO299" s="688"/>
      <c r="AP299" s="688"/>
      <c r="AQ299" s="688"/>
      <c r="AR299" s="688"/>
      <c r="AS299" s="688"/>
      <c r="AT299" s="689"/>
      <c r="AU299" s="689"/>
      <c r="AV299" s="690"/>
      <c r="AW299" s="690"/>
      <c r="AX299" s="690"/>
      <c r="AY299" s="690"/>
      <c r="AZ299" s="690"/>
      <c r="BA299" s="690"/>
      <c r="BB299" s="695"/>
      <c r="BC299" s="695"/>
      <c r="BD299" s="695"/>
      <c r="BE299" s="695"/>
      <c r="BF299" s="692"/>
      <c r="BG299" s="692"/>
      <c r="BH299" s="692"/>
      <c r="BI299" s="692"/>
      <c r="BJ299" s="692"/>
      <c r="BK299" s="692"/>
      <c r="BL299" s="693"/>
      <c r="BM299" s="693"/>
      <c r="BN299" s="688"/>
      <c r="BO299" s="693"/>
      <c r="BP299" s="689"/>
      <c r="BQ299" s="694"/>
      <c r="BR299" s="687"/>
      <c r="BS299" s="687"/>
      <c r="BT299" s="687"/>
      <c r="BU299" s="687"/>
      <c r="BV299" s="687"/>
      <c r="BW299" s="688"/>
      <c r="BX299" s="688"/>
      <c r="BY299" s="689"/>
      <c r="BZ299" s="690"/>
      <c r="CA299" s="690"/>
      <c r="CB299" s="690"/>
      <c r="CC299" s="691"/>
      <c r="CD299" s="691"/>
      <c r="CE299" s="692"/>
      <c r="CF299" s="692"/>
      <c r="CG299" s="692"/>
      <c r="CH299" s="693"/>
    </row>
    <row r="300">
      <c r="B300" s="687"/>
      <c r="C300" s="687"/>
      <c r="D300" s="688"/>
      <c r="E300" s="689"/>
      <c r="F300" s="690"/>
      <c r="G300" s="690"/>
      <c r="H300" s="690"/>
      <c r="I300" s="691"/>
      <c r="J300" s="691"/>
      <c r="K300" s="691"/>
      <c r="L300" s="692"/>
      <c r="M300" s="692"/>
      <c r="N300" s="692"/>
      <c r="O300" s="693"/>
      <c r="P300" s="688"/>
      <c r="Q300" s="688"/>
      <c r="R300" s="688"/>
      <c r="S300" s="688"/>
      <c r="T300" s="689"/>
      <c r="U300" s="689"/>
      <c r="V300" s="694"/>
      <c r="W300" s="694"/>
      <c r="X300" s="694"/>
      <c r="Y300" s="694"/>
      <c r="Z300" s="693"/>
      <c r="AA300" s="693"/>
      <c r="AB300" s="693"/>
      <c r="AC300" s="693"/>
      <c r="AD300" s="688"/>
      <c r="AE300" s="689"/>
      <c r="AF300" s="689"/>
      <c r="AG300" s="690"/>
      <c r="AH300" s="690"/>
      <c r="AI300" s="695"/>
      <c r="AJ300" s="695"/>
      <c r="AK300" s="692"/>
      <c r="AL300" s="692"/>
      <c r="AM300" s="693"/>
      <c r="AN300" s="688"/>
      <c r="AO300" s="688"/>
      <c r="AP300" s="688"/>
      <c r="AQ300" s="688"/>
      <c r="AR300" s="688"/>
      <c r="AS300" s="688"/>
      <c r="AT300" s="689"/>
      <c r="AU300" s="689"/>
      <c r="AV300" s="690"/>
      <c r="AW300" s="690"/>
      <c r="AX300" s="690"/>
      <c r="AY300" s="690"/>
      <c r="AZ300" s="690"/>
      <c r="BA300" s="690"/>
      <c r="BB300" s="695"/>
      <c r="BC300" s="695"/>
      <c r="BD300" s="695"/>
      <c r="BE300" s="695"/>
      <c r="BF300" s="692"/>
      <c r="BG300" s="692"/>
      <c r="BH300" s="692"/>
      <c r="BI300" s="692"/>
      <c r="BJ300" s="692"/>
      <c r="BK300" s="692"/>
      <c r="BL300" s="693"/>
      <c r="BM300" s="693"/>
      <c r="BN300" s="688"/>
      <c r="BO300" s="693"/>
      <c r="BP300" s="689"/>
      <c r="BQ300" s="694"/>
      <c r="BR300" s="687"/>
      <c r="BS300" s="687"/>
      <c r="BT300" s="687"/>
      <c r="BU300" s="687"/>
      <c r="BV300" s="687"/>
      <c r="BW300" s="688"/>
      <c r="BX300" s="688"/>
      <c r="BY300" s="689"/>
      <c r="BZ300" s="690"/>
      <c r="CA300" s="690"/>
      <c r="CB300" s="690"/>
      <c r="CC300" s="691"/>
      <c r="CD300" s="691"/>
      <c r="CE300" s="692"/>
      <c r="CF300" s="692"/>
      <c r="CG300" s="692"/>
      <c r="CH300" s="693"/>
    </row>
    <row r="301">
      <c r="B301" s="687"/>
      <c r="C301" s="687"/>
      <c r="D301" s="688"/>
      <c r="E301" s="689"/>
      <c r="F301" s="690"/>
      <c r="G301" s="690"/>
      <c r="H301" s="690"/>
      <c r="I301" s="691"/>
      <c r="J301" s="691"/>
      <c r="K301" s="691"/>
      <c r="L301" s="692"/>
      <c r="M301" s="692"/>
      <c r="N301" s="692"/>
      <c r="O301" s="693"/>
      <c r="P301" s="688"/>
      <c r="Q301" s="688"/>
      <c r="R301" s="688"/>
      <c r="S301" s="688"/>
      <c r="T301" s="689"/>
      <c r="U301" s="689"/>
      <c r="V301" s="694"/>
      <c r="W301" s="694"/>
      <c r="X301" s="694"/>
      <c r="Y301" s="694"/>
      <c r="Z301" s="693"/>
      <c r="AA301" s="693"/>
      <c r="AB301" s="693"/>
      <c r="AC301" s="693"/>
      <c r="AD301" s="688"/>
      <c r="AE301" s="689"/>
      <c r="AF301" s="689"/>
      <c r="AG301" s="690"/>
      <c r="AH301" s="690"/>
      <c r="AI301" s="695"/>
      <c r="AJ301" s="695"/>
      <c r="AK301" s="692"/>
      <c r="AL301" s="692"/>
      <c r="AM301" s="693"/>
      <c r="AN301" s="688"/>
      <c r="AO301" s="688"/>
      <c r="AP301" s="688"/>
      <c r="AQ301" s="688"/>
      <c r="AR301" s="688"/>
      <c r="AS301" s="688"/>
      <c r="AT301" s="689"/>
      <c r="AU301" s="689"/>
      <c r="AV301" s="690"/>
      <c r="AW301" s="690"/>
      <c r="AX301" s="690"/>
      <c r="AY301" s="690"/>
      <c r="AZ301" s="690"/>
      <c r="BA301" s="690"/>
      <c r="BB301" s="695"/>
      <c r="BC301" s="695"/>
      <c r="BD301" s="695"/>
      <c r="BE301" s="695"/>
      <c r="BF301" s="692"/>
      <c r="BG301" s="692"/>
      <c r="BH301" s="692"/>
      <c r="BI301" s="692"/>
      <c r="BJ301" s="692"/>
      <c r="BK301" s="692"/>
      <c r="BL301" s="693"/>
      <c r="BM301" s="693"/>
      <c r="BN301" s="688"/>
      <c r="BO301" s="693"/>
      <c r="BP301" s="689"/>
      <c r="BQ301" s="694"/>
      <c r="BR301" s="687"/>
      <c r="BS301" s="687"/>
      <c r="BT301" s="687"/>
      <c r="BU301" s="687"/>
      <c r="BV301" s="687"/>
      <c r="BW301" s="688"/>
      <c r="BX301" s="688"/>
      <c r="BY301" s="689"/>
      <c r="BZ301" s="690"/>
      <c r="CA301" s="690"/>
      <c r="CB301" s="690"/>
      <c r="CC301" s="691"/>
      <c r="CD301" s="691"/>
      <c r="CE301" s="692"/>
      <c r="CF301" s="692"/>
      <c r="CG301" s="692"/>
      <c r="CH301" s="693"/>
    </row>
    <row r="302">
      <c r="B302" s="687"/>
      <c r="C302" s="687"/>
      <c r="D302" s="688"/>
      <c r="E302" s="689"/>
      <c r="F302" s="690"/>
      <c r="G302" s="690"/>
      <c r="H302" s="690"/>
      <c r="I302" s="691"/>
      <c r="J302" s="691"/>
      <c r="K302" s="691"/>
      <c r="L302" s="692"/>
      <c r="M302" s="692"/>
      <c r="N302" s="692"/>
      <c r="O302" s="693"/>
      <c r="P302" s="688"/>
      <c r="Q302" s="688"/>
      <c r="R302" s="688"/>
      <c r="S302" s="688"/>
      <c r="T302" s="689"/>
      <c r="U302" s="689"/>
      <c r="V302" s="694"/>
      <c r="W302" s="694"/>
      <c r="X302" s="694"/>
      <c r="Y302" s="694"/>
      <c r="Z302" s="693"/>
      <c r="AA302" s="693"/>
      <c r="AB302" s="693"/>
      <c r="AC302" s="693"/>
      <c r="AD302" s="688"/>
      <c r="AE302" s="689"/>
      <c r="AF302" s="689"/>
      <c r="AG302" s="690"/>
      <c r="AH302" s="690"/>
      <c r="AI302" s="695"/>
      <c r="AJ302" s="695"/>
      <c r="AK302" s="692"/>
      <c r="AL302" s="692"/>
      <c r="AM302" s="693"/>
      <c r="AN302" s="688"/>
      <c r="AO302" s="688"/>
      <c r="AP302" s="688"/>
      <c r="AQ302" s="688"/>
      <c r="AR302" s="688"/>
      <c r="AS302" s="688"/>
      <c r="AT302" s="689"/>
      <c r="AU302" s="689"/>
      <c r="AV302" s="690"/>
      <c r="AW302" s="690"/>
      <c r="AX302" s="690"/>
      <c r="AY302" s="690"/>
      <c r="AZ302" s="690"/>
      <c r="BA302" s="690"/>
      <c r="BB302" s="695"/>
      <c r="BC302" s="695"/>
      <c r="BD302" s="695"/>
      <c r="BE302" s="695"/>
      <c r="BF302" s="692"/>
      <c r="BG302" s="692"/>
      <c r="BH302" s="692"/>
      <c r="BI302" s="692"/>
      <c r="BJ302" s="692"/>
      <c r="BK302" s="692"/>
      <c r="BL302" s="693"/>
      <c r="BM302" s="693"/>
      <c r="BN302" s="688"/>
      <c r="BO302" s="693"/>
      <c r="BP302" s="689"/>
      <c r="BQ302" s="694"/>
      <c r="BR302" s="687"/>
      <c r="BS302" s="687"/>
      <c r="BT302" s="687"/>
      <c r="BU302" s="687"/>
      <c r="BV302" s="687"/>
      <c r="BW302" s="688"/>
      <c r="BX302" s="688"/>
      <c r="BY302" s="689"/>
      <c r="BZ302" s="690"/>
      <c r="CA302" s="690"/>
      <c r="CB302" s="690"/>
      <c r="CC302" s="691"/>
      <c r="CD302" s="691"/>
      <c r="CE302" s="692"/>
      <c r="CF302" s="692"/>
      <c r="CG302" s="692"/>
      <c r="CH302" s="693"/>
    </row>
    <row r="303">
      <c r="B303" s="687"/>
      <c r="C303" s="687"/>
      <c r="D303" s="688"/>
      <c r="E303" s="689"/>
      <c r="F303" s="690"/>
      <c r="G303" s="690"/>
      <c r="H303" s="690"/>
      <c r="I303" s="691"/>
      <c r="J303" s="691"/>
      <c r="K303" s="691"/>
      <c r="L303" s="692"/>
      <c r="M303" s="692"/>
      <c r="N303" s="692"/>
      <c r="O303" s="693"/>
      <c r="P303" s="688"/>
      <c r="Q303" s="688"/>
      <c r="R303" s="688"/>
      <c r="S303" s="688"/>
      <c r="T303" s="689"/>
      <c r="U303" s="689"/>
      <c r="V303" s="694"/>
      <c r="W303" s="694"/>
      <c r="X303" s="694"/>
      <c r="Y303" s="694"/>
      <c r="Z303" s="693"/>
      <c r="AA303" s="693"/>
      <c r="AB303" s="693"/>
      <c r="AC303" s="693"/>
      <c r="AD303" s="688"/>
      <c r="AE303" s="689"/>
      <c r="AF303" s="689"/>
      <c r="AG303" s="690"/>
      <c r="AH303" s="690"/>
      <c r="AI303" s="695"/>
      <c r="AJ303" s="695"/>
      <c r="AK303" s="692"/>
      <c r="AL303" s="692"/>
      <c r="AM303" s="693"/>
      <c r="AN303" s="688"/>
      <c r="AO303" s="688"/>
      <c r="AP303" s="688"/>
      <c r="AQ303" s="688"/>
      <c r="AR303" s="688"/>
      <c r="AS303" s="688"/>
      <c r="AT303" s="689"/>
      <c r="AU303" s="689"/>
      <c r="AV303" s="690"/>
      <c r="AW303" s="690"/>
      <c r="AX303" s="690"/>
      <c r="AY303" s="690"/>
      <c r="AZ303" s="690"/>
      <c r="BA303" s="690"/>
      <c r="BB303" s="695"/>
      <c r="BC303" s="695"/>
      <c r="BD303" s="695"/>
      <c r="BE303" s="695"/>
      <c r="BF303" s="692"/>
      <c r="BG303" s="692"/>
      <c r="BH303" s="692"/>
      <c r="BI303" s="692"/>
      <c r="BJ303" s="692"/>
      <c r="BK303" s="692"/>
      <c r="BL303" s="693"/>
      <c r="BM303" s="693"/>
      <c r="BN303" s="688"/>
      <c r="BO303" s="693"/>
      <c r="BP303" s="689"/>
      <c r="BQ303" s="694"/>
      <c r="BR303" s="687"/>
      <c r="BS303" s="687"/>
      <c r="BT303" s="687"/>
      <c r="BU303" s="687"/>
      <c r="BV303" s="687"/>
      <c r="BW303" s="688"/>
      <c r="BX303" s="688"/>
      <c r="BY303" s="689"/>
      <c r="BZ303" s="690"/>
      <c r="CA303" s="690"/>
      <c r="CB303" s="690"/>
      <c r="CC303" s="691"/>
      <c r="CD303" s="691"/>
      <c r="CE303" s="692"/>
      <c r="CF303" s="692"/>
      <c r="CG303" s="692"/>
      <c r="CH303" s="693"/>
    </row>
    <row r="304">
      <c r="B304" s="687"/>
      <c r="C304" s="687"/>
      <c r="D304" s="688"/>
      <c r="E304" s="689"/>
      <c r="F304" s="690"/>
      <c r="G304" s="690"/>
      <c r="H304" s="690"/>
      <c r="I304" s="691"/>
      <c r="J304" s="691"/>
      <c r="K304" s="691"/>
      <c r="L304" s="692"/>
      <c r="M304" s="692"/>
      <c r="N304" s="692"/>
      <c r="O304" s="693"/>
      <c r="P304" s="688"/>
      <c r="Q304" s="688"/>
      <c r="R304" s="688"/>
      <c r="S304" s="688"/>
      <c r="T304" s="689"/>
      <c r="U304" s="689"/>
      <c r="V304" s="694"/>
      <c r="W304" s="694"/>
      <c r="X304" s="694"/>
      <c r="Y304" s="694"/>
      <c r="Z304" s="693"/>
      <c r="AA304" s="693"/>
      <c r="AB304" s="693"/>
      <c r="AC304" s="693"/>
      <c r="AD304" s="688"/>
      <c r="AE304" s="689"/>
      <c r="AF304" s="689"/>
      <c r="AG304" s="690"/>
      <c r="AH304" s="690"/>
      <c r="AI304" s="695"/>
      <c r="AJ304" s="695"/>
      <c r="AK304" s="692"/>
      <c r="AL304" s="692"/>
      <c r="AM304" s="693"/>
      <c r="AN304" s="688"/>
      <c r="AO304" s="688"/>
      <c r="AP304" s="688"/>
      <c r="AQ304" s="688"/>
      <c r="AR304" s="688"/>
      <c r="AS304" s="688"/>
      <c r="AT304" s="689"/>
      <c r="AU304" s="689"/>
      <c r="AV304" s="690"/>
      <c r="AW304" s="690"/>
      <c r="AX304" s="690"/>
      <c r="AY304" s="690"/>
      <c r="AZ304" s="690"/>
      <c r="BA304" s="690"/>
      <c r="BB304" s="695"/>
      <c r="BC304" s="695"/>
      <c r="BD304" s="695"/>
      <c r="BE304" s="695"/>
      <c r="BF304" s="692"/>
      <c r="BG304" s="692"/>
      <c r="BH304" s="692"/>
      <c r="BI304" s="692"/>
      <c r="BJ304" s="692"/>
      <c r="BK304" s="692"/>
      <c r="BL304" s="693"/>
      <c r="BM304" s="693"/>
      <c r="BN304" s="688"/>
      <c r="BO304" s="693"/>
      <c r="BP304" s="689"/>
      <c r="BQ304" s="694"/>
      <c r="BR304" s="687"/>
      <c r="BS304" s="687"/>
      <c r="BT304" s="687"/>
      <c r="BU304" s="687"/>
      <c r="BV304" s="687"/>
      <c r="BW304" s="688"/>
      <c r="BX304" s="688"/>
      <c r="BY304" s="689"/>
      <c r="BZ304" s="690"/>
      <c r="CA304" s="690"/>
      <c r="CB304" s="690"/>
      <c r="CC304" s="691"/>
      <c r="CD304" s="691"/>
      <c r="CE304" s="692"/>
      <c r="CF304" s="692"/>
      <c r="CG304" s="692"/>
      <c r="CH304" s="693"/>
    </row>
    <row r="305">
      <c r="B305" s="687"/>
      <c r="C305" s="687"/>
      <c r="D305" s="688"/>
      <c r="E305" s="689"/>
      <c r="F305" s="690"/>
      <c r="G305" s="690"/>
      <c r="H305" s="690"/>
      <c r="I305" s="691"/>
      <c r="J305" s="691"/>
      <c r="K305" s="691"/>
      <c r="L305" s="692"/>
      <c r="M305" s="692"/>
      <c r="N305" s="692"/>
      <c r="O305" s="693"/>
      <c r="P305" s="688"/>
      <c r="Q305" s="688"/>
      <c r="R305" s="688"/>
      <c r="S305" s="688"/>
      <c r="T305" s="689"/>
      <c r="U305" s="689"/>
      <c r="V305" s="694"/>
      <c r="W305" s="694"/>
      <c r="X305" s="694"/>
      <c r="Y305" s="694"/>
      <c r="Z305" s="693"/>
      <c r="AA305" s="693"/>
      <c r="AB305" s="693"/>
      <c r="AC305" s="693"/>
      <c r="AD305" s="688"/>
      <c r="AE305" s="689"/>
      <c r="AF305" s="689"/>
      <c r="AG305" s="690"/>
      <c r="AH305" s="690"/>
      <c r="AI305" s="695"/>
      <c r="AJ305" s="695"/>
      <c r="AK305" s="692"/>
      <c r="AL305" s="692"/>
      <c r="AM305" s="693"/>
      <c r="AN305" s="688"/>
      <c r="AO305" s="688"/>
      <c r="AP305" s="688"/>
      <c r="AQ305" s="688"/>
      <c r="AR305" s="688"/>
      <c r="AS305" s="688"/>
      <c r="AT305" s="689"/>
      <c r="AU305" s="689"/>
      <c r="AV305" s="690"/>
      <c r="AW305" s="690"/>
      <c r="AX305" s="690"/>
      <c r="AY305" s="690"/>
      <c r="AZ305" s="690"/>
      <c r="BA305" s="690"/>
      <c r="BB305" s="695"/>
      <c r="BC305" s="695"/>
      <c r="BD305" s="695"/>
      <c r="BE305" s="695"/>
      <c r="BF305" s="692"/>
      <c r="BG305" s="692"/>
      <c r="BH305" s="692"/>
      <c r="BI305" s="692"/>
      <c r="BJ305" s="692"/>
      <c r="BK305" s="692"/>
      <c r="BL305" s="693"/>
      <c r="BM305" s="693"/>
      <c r="BN305" s="688"/>
      <c r="BO305" s="693"/>
      <c r="BP305" s="689"/>
      <c r="BQ305" s="694"/>
      <c r="BR305" s="687"/>
      <c r="BS305" s="687"/>
      <c r="BT305" s="687"/>
      <c r="BU305" s="687"/>
      <c r="BV305" s="687"/>
      <c r="BW305" s="688"/>
      <c r="BX305" s="688"/>
      <c r="BY305" s="689"/>
      <c r="BZ305" s="690"/>
      <c r="CA305" s="690"/>
      <c r="CB305" s="690"/>
      <c r="CC305" s="691"/>
      <c r="CD305" s="691"/>
      <c r="CE305" s="692"/>
      <c r="CF305" s="692"/>
      <c r="CG305" s="692"/>
      <c r="CH305" s="693"/>
    </row>
    <row r="306">
      <c r="B306" s="687"/>
      <c r="C306" s="687"/>
      <c r="D306" s="688"/>
      <c r="E306" s="689"/>
      <c r="F306" s="690"/>
      <c r="G306" s="690"/>
      <c r="H306" s="690"/>
      <c r="I306" s="691"/>
      <c r="J306" s="691"/>
      <c r="K306" s="691"/>
      <c r="L306" s="692"/>
      <c r="M306" s="692"/>
      <c r="N306" s="692"/>
      <c r="O306" s="693"/>
      <c r="P306" s="688"/>
      <c r="Q306" s="688"/>
      <c r="R306" s="688"/>
      <c r="S306" s="688"/>
      <c r="T306" s="689"/>
      <c r="U306" s="689"/>
      <c r="V306" s="694"/>
      <c r="W306" s="694"/>
      <c r="X306" s="694"/>
      <c r="Y306" s="694"/>
      <c r="Z306" s="693"/>
      <c r="AA306" s="693"/>
      <c r="AB306" s="693"/>
      <c r="AC306" s="693"/>
      <c r="AD306" s="688"/>
      <c r="AE306" s="689"/>
      <c r="AF306" s="689"/>
      <c r="AG306" s="690"/>
      <c r="AH306" s="690"/>
      <c r="AI306" s="695"/>
      <c r="AJ306" s="695"/>
      <c r="AK306" s="692"/>
      <c r="AL306" s="692"/>
      <c r="AM306" s="693"/>
      <c r="AN306" s="688"/>
      <c r="AO306" s="688"/>
      <c r="AP306" s="688"/>
      <c r="AQ306" s="688"/>
      <c r="AR306" s="688"/>
      <c r="AS306" s="688"/>
      <c r="AT306" s="689"/>
      <c r="AU306" s="689"/>
      <c r="AV306" s="690"/>
      <c r="AW306" s="690"/>
      <c r="AX306" s="690"/>
      <c r="AY306" s="690"/>
      <c r="AZ306" s="690"/>
      <c r="BA306" s="690"/>
      <c r="BB306" s="695"/>
      <c r="BC306" s="695"/>
      <c r="BD306" s="695"/>
      <c r="BE306" s="695"/>
      <c r="BF306" s="692"/>
      <c r="BG306" s="692"/>
      <c r="BH306" s="692"/>
      <c r="BI306" s="692"/>
      <c r="BJ306" s="692"/>
      <c r="BK306" s="692"/>
      <c r="BL306" s="693"/>
      <c r="BM306" s="693"/>
      <c r="BN306" s="688"/>
      <c r="BO306" s="693"/>
      <c r="BP306" s="689"/>
      <c r="BQ306" s="694"/>
      <c r="BR306" s="687"/>
      <c r="BS306" s="687"/>
      <c r="BT306" s="687"/>
      <c r="BU306" s="687"/>
      <c r="BV306" s="687"/>
      <c r="BW306" s="688"/>
      <c r="BX306" s="688"/>
      <c r="BY306" s="689"/>
      <c r="BZ306" s="690"/>
      <c r="CA306" s="690"/>
      <c r="CB306" s="690"/>
      <c r="CC306" s="691"/>
      <c r="CD306" s="691"/>
      <c r="CE306" s="692"/>
      <c r="CF306" s="692"/>
      <c r="CG306" s="692"/>
      <c r="CH306" s="693"/>
    </row>
    <row r="307">
      <c r="B307" s="687"/>
      <c r="C307" s="687"/>
      <c r="D307" s="688"/>
      <c r="E307" s="689"/>
      <c r="F307" s="690"/>
      <c r="G307" s="690"/>
      <c r="H307" s="690"/>
      <c r="I307" s="691"/>
      <c r="J307" s="691"/>
      <c r="K307" s="691"/>
      <c r="L307" s="692"/>
      <c r="M307" s="692"/>
      <c r="N307" s="692"/>
      <c r="O307" s="693"/>
      <c r="P307" s="688"/>
      <c r="Q307" s="688"/>
      <c r="R307" s="688"/>
      <c r="S307" s="688"/>
      <c r="T307" s="689"/>
      <c r="U307" s="689"/>
      <c r="V307" s="694"/>
      <c r="W307" s="694"/>
      <c r="X307" s="694"/>
      <c r="Y307" s="694"/>
      <c r="Z307" s="693"/>
      <c r="AA307" s="693"/>
      <c r="AB307" s="693"/>
      <c r="AC307" s="693"/>
      <c r="AD307" s="688"/>
      <c r="AE307" s="689"/>
      <c r="AF307" s="689"/>
      <c r="AG307" s="690"/>
      <c r="AH307" s="690"/>
      <c r="AI307" s="695"/>
      <c r="AJ307" s="695"/>
      <c r="AK307" s="692"/>
      <c r="AL307" s="692"/>
      <c r="AM307" s="693"/>
      <c r="AN307" s="688"/>
      <c r="AO307" s="688"/>
      <c r="AP307" s="688"/>
      <c r="AQ307" s="688"/>
      <c r="AR307" s="688"/>
      <c r="AS307" s="688"/>
      <c r="AT307" s="689"/>
      <c r="AU307" s="689"/>
      <c r="AV307" s="690"/>
      <c r="AW307" s="690"/>
      <c r="AX307" s="690"/>
      <c r="AY307" s="690"/>
      <c r="AZ307" s="690"/>
      <c r="BA307" s="690"/>
      <c r="BB307" s="695"/>
      <c r="BC307" s="695"/>
      <c r="BD307" s="695"/>
      <c r="BE307" s="695"/>
      <c r="BF307" s="692"/>
      <c r="BG307" s="692"/>
      <c r="BH307" s="692"/>
      <c r="BI307" s="692"/>
      <c r="BJ307" s="692"/>
      <c r="BK307" s="692"/>
      <c r="BL307" s="693"/>
      <c r="BM307" s="693"/>
      <c r="BN307" s="688"/>
      <c r="BO307" s="693"/>
      <c r="BP307" s="689"/>
      <c r="BQ307" s="694"/>
      <c r="BR307" s="687"/>
      <c r="BS307" s="687"/>
      <c r="BT307" s="687"/>
      <c r="BU307" s="687"/>
      <c r="BV307" s="687"/>
      <c r="BW307" s="688"/>
      <c r="BX307" s="688"/>
      <c r="BY307" s="689"/>
      <c r="BZ307" s="690"/>
      <c r="CA307" s="690"/>
      <c r="CB307" s="690"/>
      <c r="CC307" s="691"/>
      <c r="CD307" s="691"/>
      <c r="CE307" s="692"/>
      <c r="CF307" s="692"/>
      <c r="CG307" s="692"/>
      <c r="CH307" s="693"/>
    </row>
    <row r="308">
      <c r="B308" s="687"/>
      <c r="C308" s="687"/>
      <c r="D308" s="688"/>
      <c r="E308" s="689"/>
      <c r="F308" s="690"/>
      <c r="G308" s="690"/>
      <c r="H308" s="690"/>
      <c r="I308" s="691"/>
      <c r="J308" s="691"/>
      <c r="K308" s="691"/>
      <c r="L308" s="692"/>
      <c r="M308" s="692"/>
      <c r="N308" s="692"/>
      <c r="O308" s="693"/>
      <c r="P308" s="688"/>
      <c r="Q308" s="688"/>
      <c r="R308" s="688"/>
      <c r="S308" s="688"/>
      <c r="T308" s="689"/>
      <c r="U308" s="689"/>
      <c r="V308" s="694"/>
      <c r="W308" s="694"/>
      <c r="X308" s="694"/>
      <c r="Y308" s="694"/>
      <c r="Z308" s="693"/>
      <c r="AA308" s="693"/>
      <c r="AB308" s="693"/>
      <c r="AC308" s="693"/>
      <c r="AD308" s="688"/>
      <c r="AE308" s="689"/>
      <c r="AF308" s="689"/>
      <c r="AG308" s="690"/>
      <c r="AH308" s="690"/>
      <c r="AI308" s="695"/>
      <c r="AJ308" s="695"/>
      <c r="AK308" s="692"/>
      <c r="AL308" s="692"/>
      <c r="AM308" s="693"/>
      <c r="AN308" s="688"/>
      <c r="AO308" s="688"/>
      <c r="AP308" s="688"/>
      <c r="AQ308" s="688"/>
      <c r="AR308" s="688"/>
      <c r="AS308" s="688"/>
      <c r="AT308" s="689"/>
      <c r="AU308" s="689"/>
      <c r="AV308" s="690"/>
      <c r="AW308" s="690"/>
      <c r="AX308" s="690"/>
      <c r="AY308" s="690"/>
      <c r="AZ308" s="690"/>
      <c r="BA308" s="690"/>
      <c r="BB308" s="695"/>
      <c r="BC308" s="695"/>
      <c r="BD308" s="695"/>
      <c r="BE308" s="695"/>
      <c r="BF308" s="692"/>
      <c r="BG308" s="692"/>
      <c r="BH308" s="692"/>
      <c r="BI308" s="692"/>
      <c r="BJ308" s="692"/>
      <c r="BK308" s="692"/>
      <c r="BL308" s="693"/>
      <c r="BM308" s="693"/>
      <c r="BN308" s="688"/>
      <c r="BO308" s="693"/>
      <c r="BP308" s="689"/>
      <c r="BQ308" s="694"/>
      <c r="BR308" s="687"/>
      <c r="BS308" s="687"/>
      <c r="BT308" s="687"/>
      <c r="BU308" s="687"/>
      <c r="BV308" s="687"/>
      <c r="BW308" s="688"/>
      <c r="BX308" s="688"/>
      <c r="BY308" s="689"/>
      <c r="BZ308" s="690"/>
      <c r="CA308" s="690"/>
      <c r="CB308" s="690"/>
      <c r="CC308" s="691"/>
      <c r="CD308" s="691"/>
      <c r="CE308" s="692"/>
      <c r="CF308" s="692"/>
      <c r="CG308" s="692"/>
      <c r="CH308" s="693"/>
    </row>
    <row r="309">
      <c r="B309" s="687"/>
      <c r="C309" s="687"/>
      <c r="D309" s="688"/>
      <c r="E309" s="689"/>
      <c r="F309" s="690"/>
      <c r="G309" s="690"/>
      <c r="H309" s="690"/>
      <c r="I309" s="691"/>
      <c r="J309" s="691"/>
      <c r="K309" s="691"/>
      <c r="L309" s="692"/>
      <c r="M309" s="692"/>
      <c r="N309" s="692"/>
      <c r="O309" s="693"/>
      <c r="P309" s="688"/>
      <c r="Q309" s="688"/>
      <c r="R309" s="688"/>
      <c r="S309" s="688"/>
      <c r="T309" s="689"/>
      <c r="U309" s="689"/>
      <c r="V309" s="694"/>
      <c r="W309" s="694"/>
      <c r="X309" s="694"/>
      <c r="Y309" s="694"/>
      <c r="Z309" s="693"/>
      <c r="AA309" s="693"/>
      <c r="AB309" s="693"/>
      <c r="AC309" s="693"/>
      <c r="AD309" s="688"/>
      <c r="AE309" s="689"/>
      <c r="AF309" s="689"/>
      <c r="AG309" s="690"/>
      <c r="AH309" s="690"/>
      <c r="AI309" s="695"/>
      <c r="AJ309" s="695"/>
      <c r="AK309" s="692"/>
      <c r="AL309" s="692"/>
      <c r="AM309" s="693"/>
      <c r="AN309" s="688"/>
      <c r="AO309" s="688"/>
      <c r="AP309" s="688"/>
      <c r="AQ309" s="688"/>
      <c r="AR309" s="688"/>
      <c r="AS309" s="688"/>
      <c r="AT309" s="689"/>
      <c r="AU309" s="689"/>
      <c r="AV309" s="690"/>
      <c r="AW309" s="690"/>
      <c r="AX309" s="690"/>
      <c r="AY309" s="690"/>
      <c r="AZ309" s="690"/>
      <c r="BA309" s="690"/>
      <c r="BB309" s="695"/>
      <c r="BC309" s="695"/>
      <c r="BD309" s="695"/>
      <c r="BE309" s="695"/>
      <c r="BF309" s="692"/>
      <c r="BG309" s="692"/>
      <c r="BH309" s="692"/>
      <c r="BI309" s="692"/>
      <c r="BJ309" s="692"/>
      <c r="BK309" s="692"/>
      <c r="BL309" s="693"/>
      <c r="BM309" s="693"/>
      <c r="BN309" s="688"/>
      <c r="BO309" s="693"/>
      <c r="BP309" s="689"/>
      <c r="BQ309" s="694"/>
      <c r="BR309" s="687"/>
      <c r="BS309" s="687"/>
      <c r="BT309" s="687"/>
      <c r="BU309" s="687"/>
      <c r="BV309" s="687"/>
      <c r="BW309" s="688"/>
      <c r="BX309" s="688"/>
      <c r="BY309" s="689"/>
      <c r="BZ309" s="690"/>
      <c r="CA309" s="690"/>
      <c r="CB309" s="690"/>
      <c r="CC309" s="691"/>
      <c r="CD309" s="691"/>
      <c r="CE309" s="692"/>
      <c r="CF309" s="692"/>
      <c r="CG309" s="692"/>
      <c r="CH309" s="693"/>
    </row>
    <row r="310">
      <c r="B310" s="687"/>
      <c r="C310" s="687"/>
      <c r="D310" s="688"/>
      <c r="E310" s="689"/>
      <c r="F310" s="690"/>
      <c r="G310" s="690"/>
      <c r="H310" s="690"/>
      <c r="I310" s="691"/>
      <c r="J310" s="691"/>
      <c r="K310" s="691"/>
      <c r="L310" s="692"/>
      <c r="M310" s="692"/>
      <c r="N310" s="692"/>
      <c r="O310" s="693"/>
      <c r="P310" s="688"/>
      <c r="Q310" s="688"/>
      <c r="R310" s="688"/>
      <c r="S310" s="688"/>
      <c r="T310" s="689"/>
      <c r="U310" s="689"/>
      <c r="V310" s="694"/>
      <c r="W310" s="694"/>
      <c r="X310" s="694"/>
      <c r="Y310" s="694"/>
      <c r="Z310" s="693"/>
      <c r="AA310" s="693"/>
      <c r="AB310" s="693"/>
      <c r="AC310" s="693"/>
      <c r="AD310" s="688"/>
      <c r="AE310" s="689"/>
      <c r="AF310" s="689"/>
      <c r="AG310" s="690"/>
      <c r="AH310" s="690"/>
      <c r="AI310" s="695"/>
      <c r="AJ310" s="695"/>
      <c r="AK310" s="692"/>
      <c r="AL310" s="692"/>
      <c r="AM310" s="693"/>
      <c r="AN310" s="688"/>
      <c r="AO310" s="688"/>
      <c r="AP310" s="688"/>
      <c r="AQ310" s="688"/>
      <c r="AR310" s="688"/>
      <c r="AS310" s="688"/>
      <c r="AT310" s="689"/>
      <c r="AU310" s="689"/>
      <c r="AV310" s="690"/>
      <c r="AW310" s="690"/>
      <c r="AX310" s="690"/>
      <c r="AY310" s="690"/>
      <c r="AZ310" s="690"/>
      <c r="BA310" s="690"/>
      <c r="BB310" s="695"/>
      <c r="BC310" s="695"/>
      <c r="BD310" s="695"/>
      <c r="BE310" s="695"/>
      <c r="BF310" s="692"/>
      <c r="BG310" s="692"/>
      <c r="BH310" s="692"/>
      <c r="BI310" s="692"/>
      <c r="BJ310" s="692"/>
      <c r="BK310" s="692"/>
      <c r="BL310" s="693"/>
      <c r="BM310" s="693"/>
      <c r="BN310" s="688"/>
      <c r="BO310" s="693"/>
      <c r="BP310" s="689"/>
      <c r="BQ310" s="694"/>
      <c r="BR310" s="687"/>
      <c r="BS310" s="687"/>
      <c r="BT310" s="687"/>
      <c r="BU310" s="687"/>
      <c r="BV310" s="687"/>
      <c r="BW310" s="688"/>
      <c r="BX310" s="688"/>
      <c r="BY310" s="689"/>
      <c r="BZ310" s="690"/>
      <c r="CA310" s="690"/>
      <c r="CB310" s="690"/>
      <c r="CC310" s="691"/>
      <c r="CD310" s="691"/>
      <c r="CE310" s="692"/>
      <c r="CF310" s="692"/>
      <c r="CG310" s="692"/>
      <c r="CH310" s="693"/>
    </row>
    <row r="311">
      <c r="B311" s="687"/>
      <c r="C311" s="687"/>
      <c r="D311" s="688"/>
      <c r="E311" s="689"/>
      <c r="F311" s="690"/>
      <c r="G311" s="690"/>
      <c r="H311" s="690"/>
      <c r="I311" s="691"/>
      <c r="J311" s="691"/>
      <c r="K311" s="691"/>
      <c r="L311" s="692"/>
      <c r="M311" s="692"/>
      <c r="N311" s="692"/>
      <c r="O311" s="693"/>
      <c r="P311" s="688"/>
      <c r="Q311" s="688"/>
      <c r="R311" s="688"/>
      <c r="S311" s="688"/>
      <c r="T311" s="689"/>
      <c r="U311" s="689"/>
      <c r="V311" s="694"/>
      <c r="W311" s="694"/>
      <c r="X311" s="694"/>
      <c r="Y311" s="694"/>
      <c r="Z311" s="693"/>
      <c r="AA311" s="693"/>
      <c r="AB311" s="693"/>
      <c r="AC311" s="693"/>
      <c r="AD311" s="688"/>
      <c r="AE311" s="689"/>
      <c r="AF311" s="689"/>
      <c r="AG311" s="690"/>
      <c r="AH311" s="690"/>
      <c r="AI311" s="695"/>
      <c r="AJ311" s="695"/>
      <c r="AK311" s="692"/>
      <c r="AL311" s="692"/>
      <c r="AM311" s="693"/>
      <c r="AN311" s="688"/>
      <c r="AO311" s="688"/>
      <c r="AP311" s="688"/>
      <c r="AQ311" s="688"/>
      <c r="AR311" s="688"/>
      <c r="AS311" s="688"/>
      <c r="AT311" s="689"/>
      <c r="AU311" s="689"/>
      <c r="AV311" s="690"/>
      <c r="AW311" s="690"/>
      <c r="AX311" s="690"/>
      <c r="AY311" s="690"/>
      <c r="AZ311" s="690"/>
      <c r="BA311" s="690"/>
      <c r="BB311" s="695"/>
      <c r="BC311" s="695"/>
      <c r="BD311" s="695"/>
      <c r="BE311" s="695"/>
      <c r="BF311" s="692"/>
      <c r="BG311" s="692"/>
      <c r="BH311" s="692"/>
      <c r="BI311" s="692"/>
      <c r="BJ311" s="692"/>
      <c r="BK311" s="692"/>
      <c r="BL311" s="693"/>
      <c r="BM311" s="693"/>
      <c r="BN311" s="688"/>
      <c r="BO311" s="693"/>
      <c r="BP311" s="689"/>
      <c r="BQ311" s="694"/>
      <c r="BR311" s="687"/>
      <c r="BS311" s="687"/>
      <c r="BT311" s="687"/>
      <c r="BU311" s="687"/>
      <c r="BV311" s="687"/>
      <c r="BW311" s="688"/>
      <c r="BX311" s="688"/>
      <c r="BY311" s="689"/>
      <c r="BZ311" s="690"/>
      <c r="CA311" s="690"/>
      <c r="CB311" s="690"/>
      <c r="CC311" s="691"/>
      <c r="CD311" s="691"/>
      <c r="CE311" s="692"/>
      <c r="CF311" s="692"/>
      <c r="CG311" s="692"/>
      <c r="CH311" s="693"/>
    </row>
    <row r="312">
      <c r="B312" s="687"/>
      <c r="C312" s="687"/>
      <c r="D312" s="688"/>
      <c r="E312" s="689"/>
      <c r="F312" s="690"/>
      <c r="G312" s="690"/>
      <c r="H312" s="690"/>
      <c r="I312" s="691"/>
      <c r="J312" s="691"/>
      <c r="K312" s="691"/>
      <c r="L312" s="692"/>
      <c r="M312" s="692"/>
      <c r="N312" s="692"/>
      <c r="O312" s="693"/>
      <c r="P312" s="688"/>
      <c r="Q312" s="688"/>
      <c r="R312" s="688"/>
      <c r="S312" s="688"/>
      <c r="T312" s="689"/>
      <c r="U312" s="689"/>
      <c r="V312" s="694"/>
      <c r="W312" s="694"/>
      <c r="X312" s="694"/>
      <c r="Y312" s="694"/>
      <c r="Z312" s="693"/>
      <c r="AA312" s="693"/>
      <c r="AB312" s="693"/>
      <c r="AC312" s="693"/>
      <c r="AD312" s="688"/>
      <c r="AE312" s="689"/>
      <c r="AF312" s="689"/>
      <c r="AG312" s="690"/>
      <c r="AH312" s="690"/>
      <c r="AI312" s="695"/>
      <c r="AJ312" s="695"/>
      <c r="AK312" s="692"/>
      <c r="AL312" s="692"/>
      <c r="AM312" s="693"/>
      <c r="AN312" s="688"/>
      <c r="AO312" s="688"/>
      <c r="AP312" s="688"/>
      <c r="AQ312" s="688"/>
      <c r="AR312" s="688"/>
      <c r="AS312" s="688"/>
      <c r="AT312" s="689"/>
      <c r="AU312" s="689"/>
      <c r="AV312" s="690"/>
      <c r="AW312" s="690"/>
      <c r="AX312" s="690"/>
      <c r="AY312" s="690"/>
      <c r="AZ312" s="690"/>
      <c r="BA312" s="690"/>
      <c r="BB312" s="695"/>
      <c r="BC312" s="695"/>
      <c r="BD312" s="695"/>
      <c r="BE312" s="695"/>
      <c r="BF312" s="692"/>
      <c r="BG312" s="692"/>
      <c r="BH312" s="692"/>
      <c r="BI312" s="692"/>
      <c r="BJ312" s="692"/>
      <c r="BK312" s="692"/>
      <c r="BL312" s="693"/>
      <c r="BM312" s="693"/>
      <c r="BN312" s="688"/>
      <c r="BO312" s="693"/>
      <c r="BP312" s="689"/>
      <c r="BQ312" s="694"/>
      <c r="BR312" s="687"/>
      <c r="BS312" s="687"/>
      <c r="BT312" s="687"/>
      <c r="BU312" s="687"/>
      <c r="BV312" s="687"/>
      <c r="BW312" s="688"/>
      <c r="BX312" s="688"/>
      <c r="BY312" s="689"/>
      <c r="BZ312" s="690"/>
      <c r="CA312" s="690"/>
      <c r="CB312" s="690"/>
      <c r="CC312" s="691"/>
      <c r="CD312" s="691"/>
      <c r="CE312" s="692"/>
      <c r="CF312" s="692"/>
      <c r="CG312" s="692"/>
      <c r="CH312" s="693"/>
    </row>
    <row r="313">
      <c r="B313" s="687"/>
      <c r="C313" s="687"/>
      <c r="D313" s="688"/>
      <c r="E313" s="689"/>
      <c r="F313" s="690"/>
      <c r="G313" s="690"/>
      <c r="H313" s="690"/>
      <c r="I313" s="691"/>
      <c r="J313" s="691"/>
      <c r="K313" s="691"/>
      <c r="L313" s="692"/>
      <c r="M313" s="692"/>
      <c r="N313" s="692"/>
      <c r="O313" s="693"/>
      <c r="P313" s="688"/>
      <c r="Q313" s="688"/>
      <c r="R313" s="688"/>
      <c r="S313" s="688"/>
      <c r="T313" s="689"/>
      <c r="U313" s="689"/>
      <c r="V313" s="694"/>
      <c r="W313" s="694"/>
      <c r="X313" s="694"/>
      <c r="Y313" s="694"/>
      <c r="Z313" s="693"/>
      <c r="AA313" s="693"/>
      <c r="AB313" s="693"/>
      <c r="AC313" s="693"/>
      <c r="AD313" s="688"/>
      <c r="AE313" s="689"/>
      <c r="AF313" s="689"/>
      <c r="AG313" s="690"/>
      <c r="AH313" s="690"/>
      <c r="AI313" s="695"/>
      <c r="AJ313" s="695"/>
      <c r="AK313" s="692"/>
      <c r="AL313" s="692"/>
      <c r="AM313" s="693"/>
      <c r="AN313" s="688"/>
      <c r="AO313" s="688"/>
      <c r="AP313" s="688"/>
      <c r="AQ313" s="688"/>
      <c r="AR313" s="688"/>
      <c r="AS313" s="688"/>
      <c r="AT313" s="689"/>
      <c r="AU313" s="689"/>
      <c r="AV313" s="690"/>
      <c r="AW313" s="690"/>
      <c r="AX313" s="690"/>
      <c r="AY313" s="690"/>
      <c r="AZ313" s="690"/>
      <c r="BA313" s="690"/>
      <c r="BB313" s="695"/>
      <c r="BC313" s="695"/>
      <c r="BD313" s="695"/>
      <c r="BE313" s="695"/>
      <c r="BF313" s="692"/>
      <c r="BG313" s="692"/>
      <c r="BH313" s="692"/>
      <c r="BI313" s="692"/>
      <c r="BJ313" s="692"/>
      <c r="BK313" s="692"/>
      <c r="BL313" s="693"/>
      <c r="BM313" s="693"/>
      <c r="BN313" s="688"/>
      <c r="BO313" s="693"/>
      <c r="BP313" s="689"/>
      <c r="BQ313" s="694"/>
      <c r="BR313" s="687"/>
      <c r="BS313" s="687"/>
      <c r="BT313" s="687"/>
      <c r="BU313" s="687"/>
      <c r="BV313" s="687"/>
      <c r="BW313" s="688"/>
      <c r="BX313" s="688"/>
      <c r="BY313" s="689"/>
      <c r="BZ313" s="690"/>
      <c r="CA313" s="690"/>
      <c r="CB313" s="690"/>
      <c r="CC313" s="691"/>
      <c r="CD313" s="691"/>
      <c r="CE313" s="692"/>
      <c r="CF313" s="692"/>
      <c r="CG313" s="692"/>
      <c r="CH313" s="693"/>
    </row>
    <row r="314">
      <c r="B314" s="687"/>
      <c r="C314" s="687"/>
      <c r="D314" s="688"/>
      <c r="E314" s="689"/>
      <c r="F314" s="690"/>
      <c r="G314" s="690"/>
      <c r="H314" s="690"/>
      <c r="I314" s="691"/>
      <c r="J314" s="691"/>
      <c r="K314" s="691"/>
      <c r="L314" s="692"/>
      <c r="M314" s="692"/>
      <c r="N314" s="692"/>
      <c r="O314" s="693"/>
      <c r="P314" s="688"/>
      <c r="Q314" s="688"/>
      <c r="R314" s="688"/>
      <c r="S314" s="688"/>
      <c r="T314" s="689"/>
      <c r="U314" s="689"/>
      <c r="V314" s="694"/>
      <c r="W314" s="694"/>
      <c r="X314" s="694"/>
      <c r="Y314" s="694"/>
      <c r="Z314" s="693"/>
      <c r="AA314" s="693"/>
      <c r="AB314" s="693"/>
      <c r="AC314" s="693"/>
      <c r="AD314" s="688"/>
      <c r="AE314" s="689"/>
      <c r="AF314" s="689"/>
      <c r="AG314" s="690"/>
      <c r="AH314" s="690"/>
      <c r="AI314" s="695"/>
      <c r="AJ314" s="695"/>
      <c r="AK314" s="692"/>
      <c r="AL314" s="692"/>
      <c r="AM314" s="693"/>
      <c r="AN314" s="688"/>
      <c r="AO314" s="688"/>
      <c r="AP314" s="688"/>
      <c r="AQ314" s="688"/>
      <c r="AR314" s="688"/>
      <c r="AS314" s="688"/>
      <c r="AT314" s="689"/>
      <c r="AU314" s="689"/>
      <c r="AV314" s="690"/>
      <c r="AW314" s="690"/>
      <c r="AX314" s="690"/>
      <c r="AY314" s="690"/>
      <c r="AZ314" s="690"/>
      <c r="BA314" s="690"/>
      <c r="BB314" s="695"/>
      <c r="BC314" s="695"/>
      <c r="BD314" s="695"/>
      <c r="BE314" s="695"/>
      <c r="BF314" s="692"/>
      <c r="BG314" s="692"/>
      <c r="BH314" s="692"/>
      <c r="BI314" s="692"/>
      <c r="BJ314" s="692"/>
      <c r="BK314" s="692"/>
      <c r="BL314" s="693"/>
      <c r="BM314" s="693"/>
      <c r="BN314" s="688"/>
      <c r="BO314" s="693"/>
      <c r="BP314" s="689"/>
      <c r="BQ314" s="694"/>
      <c r="BR314" s="687"/>
      <c r="BS314" s="687"/>
      <c r="BT314" s="687"/>
      <c r="BU314" s="687"/>
      <c r="BV314" s="687"/>
      <c r="BW314" s="688"/>
      <c r="BX314" s="688"/>
      <c r="BY314" s="689"/>
      <c r="BZ314" s="690"/>
      <c r="CA314" s="690"/>
      <c r="CB314" s="690"/>
      <c r="CC314" s="691"/>
      <c r="CD314" s="691"/>
      <c r="CE314" s="692"/>
      <c r="CF314" s="692"/>
      <c r="CG314" s="692"/>
      <c r="CH314" s="693"/>
    </row>
    <row r="315">
      <c r="B315" s="687"/>
      <c r="C315" s="687"/>
      <c r="D315" s="688"/>
      <c r="E315" s="689"/>
      <c r="F315" s="690"/>
      <c r="G315" s="690"/>
      <c r="H315" s="690"/>
      <c r="I315" s="691"/>
      <c r="J315" s="691"/>
      <c r="K315" s="691"/>
      <c r="L315" s="692"/>
      <c r="M315" s="692"/>
      <c r="N315" s="692"/>
      <c r="O315" s="693"/>
      <c r="P315" s="688"/>
      <c r="Q315" s="688"/>
      <c r="R315" s="688"/>
      <c r="S315" s="688"/>
      <c r="T315" s="689"/>
      <c r="U315" s="689"/>
      <c r="V315" s="694"/>
      <c r="W315" s="694"/>
      <c r="X315" s="694"/>
      <c r="Y315" s="694"/>
      <c r="Z315" s="693"/>
      <c r="AA315" s="693"/>
      <c r="AB315" s="693"/>
      <c r="AC315" s="693"/>
      <c r="AD315" s="688"/>
      <c r="AE315" s="689"/>
      <c r="AF315" s="689"/>
      <c r="AG315" s="690"/>
      <c r="AH315" s="690"/>
      <c r="AI315" s="695"/>
      <c r="AJ315" s="695"/>
      <c r="AK315" s="692"/>
      <c r="AL315" s="692"/>
      <c r="AM315" s="693"/>
      <c r="AN315" s="688"/>
      <c r="AO315" s="688"/>
      <c r="AP315" s="688"/>
      <c r="AQ315" s="688"/>
      <c r="AR315" s="688"/>
      <c r="AS315" s="688"/>
      <c r="AT315" s="689"/>
      <c r="AU315" s="689"/>
      <c r="AV315" s="690"/>
      <c r="AW315" s="690"/>
      <c r="AX315" s="690"/>
      <c r="AY315" s="690"/>
      <c r="AZ315" s="690"/>
      <c r="BA315" s="690"/>
      <c r="BB315" s="695"/>
      <c r="BC315" s="695"/>
      <c r="BD315" s="695"/>
      <c r="BE315" s="695"/>
      <c r="BF315" s="692"/>
      <c r="BG315" s="692"/>
      <c r="BH315" s="692"/>
      <c r="BI315" s="692"/>
      <c r="BJ315" s="692"/>
      <c r="BK315" s="692"/>
      <c r="BL315" s="693"/>
      <c r="BM315" s="693"/>
      <c r="BN315" s="688"/>
      <c r="BO315" s="693"/>
      <c r="BP315" s="689"/>
      <c r="BQ315" s="694"/>
      <c r="BR315" s="687"/>
      <c r="BS315" s="687"/>
      <c r="BT315" s="687"/>
      <c r="BU315" s="687"/>
      <c r="BV315" s="687"/>
      <c r="BW315" s="688"/>
      <c r="BX315" s="688"/>
      <c r="BY315" s="689"/>
      <c r="BZ315" s="690"/>
      <c r="CA315" s="690"/>
      <c r="CB315" s="690"/>
      <c r="CC315" s="691"/>
      <c r="CD315" s="691"/>
      <c r="CE315" s="692"/>
      <c r="CF315" s="692"/>
      <c r="CG315" s="692"/>
      <c r="CH315" s="693"/>
    </row>
    <row r="316">
      <c r="B316" s="687"/>
      <c r="C316" s="687"/>
      <c r="D316" s="688"/>
      <c r="E316" s="689"/>
      <c r="F316" s="690"/>
      <c r="G316" s="690"/>
      <c r="H316" s="690"/>
      <c r="I316" s="691"/>
      <c r="J316" s="691"/>
      <c r="K316" s="691"/>
      <c r="L316" s="692"/>
      <c r="M316" s="692"/>
      <c r="N316" s="692"/>
      <c r="O316" s="693"/>
      <c r="P316" s="688"/>
      <c r="Q316" s="688"/>
      <c r="R316" s="688"/>
      <c r="S316" s="688"/>
      <c r="T316" s="689"/>
      <c r="U316" s="689"/>
      <c r="V316" s="694"/>
      <c r="W316" s="694"/>
      <c r="X316" s="694"/>
      <c r="Y316" s="694"/>
      <c r="Z316" s="693"/>
      <c r="AA316" s="693"/>
      <c r="AB316" s="693"/>
      <c r="AC316" s="693"/>
      <c r="AD316" s="688"/>
      <c r="AE316" s="689"/>
      <c r="AF316" s="689"/>
      <c r="AG316" s="690"/>
      <c r="AH316" s="690"/>
      <c r="AI316" s="695"/>
      <c r="AJ316" s="695"/>
      <c r="AK316" s="692"/>
      <c r="AL316" s="692"/>
      <c r="AM316" s="693"/>
      <c r="AN316" s="688"/>
      <c r="AO316" s="688"/>
      <c r="AP316" s="688"/>
      <c r="AQ316" s="688"/>
      <c r="AR316" s="688"/>
      <c r="AS316" s="688"/>
      <c r="AT316" s="689"/>
      <c r="AU316" s="689"/>
      <c r="AV316" s="690"/>
      <c r="AW316" s="690"/>
      <c r="AX316" s="690"/>
      <c r="AY316" s="690"/>
      <c r="AZ316" s="690"/>
      <c r="BA316" s="690"/>
      <c r="BB316" s="695"/>
      <c r="BC316" s="695"/>
      <c r="BD316" s="695"/>
      <c r="BE316" s="695"/>
      <c r="BF316" s="692"/>
      <c r="BG316" s="692"/>
      <c r="BH316" s="692"/>
      <c r="BI316" s="692"/>
      <c r="BJ316" s="692"/>
      <c r="BK316" s="692"/>
      <c r="BL316" s="693"/>
      <c r="BM316" s="693"/>
      <c r="BN316" s="688"/>
      <c r="BO316" s="693"/>
      <c r="BP316" s="689"/>
      <c r="BQ316" s="694"/>
      <c r="BR316" s="687"/>
      <c r="BS316" s="687"/>
      <c r="BT316" s="687"/>
      <c r="BU316" s="687"/>
      <c r="BV316" s="687"/>
      <c r="BW316" s="688"/>
      <c r="BX316" s="688"/>
      <c r="BY316" s="689"/>
      <c r="BZ316" s="690"/>
      <c r="CA316" s="690"/>
      <c r="CB316" s="690"/>
      <c r="CC316" s="691"/>
      <c r="CD316" s="691"/>
      <c r="CE316" s="692"/>
      <c r="CF316" s="692"/>
      <c r="CG316" s="692"/>
      <c r="CH316" s="693"/>
    </row>
    <row r="317">
      <c r="B317" s="687"/>
      <c r="C317" s="687"/>
      <c r="D317" s="688"/>
      <c r="E317" s="689"/>
      <c r="F317" s="690"/>
      <c r="G317" s="690"/>
      <c r="H317" s="690"/>
      <c r="I317" s="691"/>
      <c r="J317" s="691"/>
      <c r="K317" s="691"/>
      <c r="L317" s="692"/>
      <c r="M317" s="692"/>
      <c r="N317" s="692"/>
      <c r="O317" s="693"/>
      <c r="P317" s="688"/>
      <c r="Q317" s="688"/>
      <c r="R317" s="688"/>
      <c r="S317" s="688"/>
      <c r="T317" s="689"/>
      <c r="U317" s="689"/>
      <c r="V317" s="694"/>
      <c r="W317" s="694"/>
      <c r="X317" s="694"/>
      <c r="Y317" s="694"/>
      <c r="Z317" s="693"/>
      <c r="AA317" s="693"/>
      <c r="AB317" s="693"/>
      <c r="AC317" s="693"/>
      <c r="AD317" s="688"/>
      <c r="AE317" s="689"/>
      <c r="AF317" s="689"/>
      <c r="AG317" s="690"/>
      <c r="AH317" s="690"/>
      <c r="AI317" s="695"/>
      <c r="AJ317" s="695"/>
      <c r="AK317" s="692"/>
      <c r="AL317" s="692"/>
      <c r="AM317" s="693"/>
      <c r="AN317" s="688"/>
      <c r="AO317" s="688"/>
      <c r="AP317" s="688"/>
      <c r="AQ317" s="688"/>
      <c r="AR317" s="688"/>
      <c r="AS317" s="688"/>
      <c r="AT317" s="689"/>
      <c r="AU317" s="689"/>
      <c r="AV317" s="690"/>
      <c r="AW317" s="690"/>
      <c r="AX317" s="690"/>
      <c r="AY317" s="690"/>
      <c r="AZ317" s="690"/>
      <c r="BA317" s="690"/>
      <c r="BB317" s="695"/>
      <c r="BC317" s="695"/>
      <c r="BD317" s="695"/>
      <c r="BE317" s="695"/>
      <c r="BF317" s="692"/>
      <c r="BG317" s="692"/>
      <c r="BH317" s="692"/>
      <c r="BI317" s="692"/>
      <c r="BJ317" s="692"/>
      <c r="BK317" s="692"/>
      <c r="BL317" s="693"/>
      <c r="BM317" s="693"/>
      <c r="BN317" s="688"/>
      <c r="BO317" s="693"/>
      <c r="BP317" s="689"/>
      <c r="BQ317" s="694"/>
      <c r="BR317" s="687"/>
      <c r="BS317" s="687"/>
      <c r="BT317" s="687"/>
      <c r="BU317" s="687"/>
      <c r="BV317" s="687"/>
      <c r="BW317" s="688"/>
      <c r="BX317" s="688"/>
      <c r="BY317" s="689"/>
      <c r="BZ317" s="690"/>
      <c r="CA317" s="690"/>
      <c r="CB317" s="690"/>
      <c r="CC317" s="691"/>
      <c r="CD317" s="691"/>
      <c r="CE317" s="692"/>
      <c r="CF317" s="692"/>
      <c r="CG317" s="692"/>
      <c r="CH317" s="693"/>
    </row>
    <row r="318">
      <c r="B318" s="687"/>
      <c r="C318" s="687"/>
      <c r="D318" s="688"/>
      <c r="E318" s="689"/>
      <c r="F318" s="690"/>
      <c r="G318" s="690"/>
      <c r="H318" s="690"/>
      <c r="I318" s="691"/>
      <c r="J318" s="691"/>
      <c r="K318" s="691"/>
      <c r="L318" s="692"/>
      <c r="M318" s="692"/>
      <c r="N318" s="692"/>
      <c r="O318" s="693"/>
      <c r="P318" s="688"/>
      <c r="Q318" s="688"/>
      <c r="R318" s="688"/>
      <c r="S318" s="688"/>
      <c r="T318" s="689"/>
      <c r="U318" s="689"/>
      <c r="V318" s="694"/>
      <c r="W318" s="694"/>
      <c r="X318" s="694"/>
      <c r="Y318" s="694"/>
      <c r="Z318" s="693"/>
      <c r="AA318" s="693"/>
      <c r="AB318" s="693"/>
      <c r="AC318" s="693"/>
      <c r="AD318" s="688"/>
      <c r="AE318" s="689"/>
      <c r="AF318" s="689"/>
      <c r="AG318" s="690"/>
      <c r="AH318" s="690"/>
      <c r="AI318" s="695"/>
      <c r="AJ318" s="695"/>
      <c r="AK318" s="692"/>
      <c r="AL318" s="692"/>
      <c r="AM318" s="693"/>
      <c r="AN318" s="688"/>
      <c r="AO318" s="688"/>
      <c r="AP318" s="688"/>
      <c r="AQ318" s="688"/>
      <c r="AR318" s="688"/>
      <c r="AS318" s="688"/>
      <c r="AT318" s="689"/>
      <c r="AU318" s="689"/>
      <c r="AV318" s="690"/>
      <c r="AW318" s="690"/>
      <c r="AX318" s="690"/>
      <c r="AY318" s="690"/>
      <c r="AZ318" s="690"/>
      <c r="BA318" s="690"/>
      <c r="BB318" s="695"/>
      <c r="BC318" s="695"/>
      <c r="BD318" s="695"/>
      <c r="BE318" s="695"/>
      <c r="BF318" s="692"/>
      <c r="BG318" s="692"/>
      <c r="BH318" s="692"/>
      <c r="BI318" s="692"/>
      <c r="BJ318" s="692"/>
      <c r="BK318" s="692"/>
      <c r="BL318" s="693"/>
      <c r="BM318" s="693"/>
      <c r="BN318" s="688"/>
      <c r="BO318" s="693"/>
      <c r="BP318" s="689"/>
      <c r="BQ318" s="694"/>
      <c r="BR318" s="687"/>
      <c r="BS318" s="687"/>
      <c r="BT318" s="687"/>
      <c r="BU318" s="687"/>
      <c r="BV318" s="687"/>
      <c r="BW318" s="688"/>
      <c r="BX318" s="688"/>
      <c r="BY318" s="689"/>
      <c r="BZ318" s="690"/>
      <c r="CA318" s="690"/>
      <c r="CB318" s="690"/>
      <c r="CC318" s="691"/>
      <c r="CD318" s="691"/>
      <c r="CE318" s="692"/>
      <c r="CF318" s="692"/>
      <c r="CG318" s="692"/>
      <c r="CH318" s="693"/>
    </row>
    <row r="319">
      <c r="B319" s="687"/>
      <c r="C319" s="687"/>
      <c r="D319" s="688"/>
      <c r="E319" s="689"/>
      <c r="F319" s="690"/>
      <c r="G319" s="690"/>
      <c r="H319" s="690"/>
      <c r="I319" s="691"/>
      <c r="J319" s="691"/>
      <c r="K319" s="691"/>
      <c r="L319" s="692"/>
      <c r="M319" s="692"/>
      <c r="N319" s="692"/>
      <c r="O319" s="693"/>
      <c r="P319" s="688"/>
      <c r="Q319" s="688"/>
      <c r="R319" s="688"/>
      <c r="S319" s="688"/>
      <c r="T319" s="689"/>
      <c r="U319" s="689"/>
      <c r="V319" s="694"/>
      <c r="W319" s="694"/>
      <c r="X319" s="694"/>
      <c r="Y319" s="694"/>
      <c r="Z319" s="693"/>
      <c r="AA319" s="693"/>
      <c r="AB319" s="693"/>
      <c r="AC319" s="693"/>
      <c r="AD319" s="688"/>
      <c r="AE319" s="689"/>
      <c r="AF319" s="689"/>
      <c r="AG319" s="690"/>
      <c r="AH319" s="690"/>
      <c r="AI319" s="695"/>
      <c r="AJ319" s="695"/>
      <c r="AK319" s="692"/>
      <c r="AL319" s="692"/>
      <c r="AM319" s="693"/>
      <c r="AN319" s="688"/>
      <c r="AO319" s="688"/>
      <c r="AP319" s="688"/>
      <c r="AQ319" s="688"/>
      <c r="AR319" s="688"/>
      <c r="AS319" s="688"/>
      <c r="AT319" s="689"/>
      <c r="AU319" s="689"/>
      <c r="AV319" s="690"/>
      <c r="AW319" s="690"/>
      <c r="AX319" s="690"/>
      <c r="AY319" s="690"/>
      <c r="AZ319" s="690"/>
      <c r="BA319" s="690"/>
      <c r="BB319" s="695"/>
      <c r="BC319" s="695"/>
      <c r="BD319" s="695"/>
      <c r="BE319" s="695"/>
      <c r="BF319" s="692"/>
      <c r="BG319" s="692"/>
      <c r="BH319" s="692"/>
      <c r="BI319" s="692"/>
      <c r="BJ319" s="692"/>
      <c r="BK319" s="692"/>
      <c r="BL319" s="693"/>
      <c r="BM319" s="693"/>
      <c r="BN319" s="688"/>
      <c r="BO319" s="693"/>
      <c r="BP319" s="689"/>
      <c r="BQ319" s="694"/>
      <c r="BR319" s="687"/>
      <c r="BS319" s="687"/>
      <c r="BT319" s="687"/>
      <c r="BU319" s="687"/>
      <c r="BV319" s="687"/>
      <c r="BW319" s="688"/>
      <c r="BX319" s="688"/>
      <c r="BY319" s="689"/>
      <c r="BZ319" s="690"/>
      <c r="CA319" s="690"/>
      <c r="CB319" s="690"/>
      <c r="CC319" s="691"/>
      <c r="CD319" s="691"/>
      <c r="CE319" s="692"/>
      <c r="CF319" s="692"/>
      <c r="CG319" s="692"/>
      <c r="CH319" s="693"/>
    </row>
    <row r="320">
      <c r="B320" s="687"/>
      <c r="C320" s="687"/>
      <c r="D320" s="688"/>
      <c r="E320" s="689"/>
      <c r="F320" s="690"/>
      <c r="G320" s="690"/>
      <c r="H320" s="690"/>
      <c r="I320" s="691"/>
      <c r="J320" s="691"/>
      <c r="K320" s="691"/>
      <c r="L320" s="692"/>
      <c r="M320" s="692"/>
      <c r="N320" s="692"/>
      <c r="O320" s="693"/>
      <c r="P320" s="688"/>
      <c r="Q320" s="688"/>
      <c r="R320" s="688"/>
      <c r="S320" s="688"/>
      <c r="T320" s="689"/>
      <c r="U320" s="689"/>
      <c r="V320" s="694"/>
      <c r="W320" s="694"/>
      <c r="X320" s="694"/>
      <c r="Y320" s="694"/>
      <c r="Z320" s="693"/>
      <c r="AA320" s="693"/>
      <c r="AB320" s="693"/>
      <c r="AC320" s="693"/>
      <c r="AD320" s="688"/>
      <c r="AE320" s="689"/>
      <c r="AF320" s="689"/>
      <c r="AG320" s="690"/>
      <c r="AH320" s="690"/>
      <c r="AI320" s="695"/>
      <c r="AJ320" s="695"/>
      <c r="AK320" s="692"/>
      <c r="AL320" s="692"/>
      <c r="AM320" s="693"/>
      <c r="AN320" s="688"/>
      <c r="AO320" s="688"/>
      <c r="AP320" s="688"/>
      <c r="AQ320" s="688"/>
      <c r="AR320" s="688"/>
      <c r="AS320" s="688"/>
      <c r="AT320" s="689"/>
      <c r="AU320" s="689"/>
      <c r="AV320" s="690"/>
      <c r="AW320" s="690"/>
      <c r="AX320" s="690"/>
      <c r="AY320" s="690"/>
      <c r="AZ320" s="690"/>
      <c r="BA320" s="690"/>
      <c r="BB320" s="695"/>
      <c r="BC320" s="695"/>
      <c r="BD320" s="695"/>
      <c r="BE320" s="695"/>
      <c r="BF320" s="692"/>
      <c r="BG320" s="692"/>
      <c r="BH320" s="692"/>
      <c r="BI320" s="692"/>
      <c r="BJ320" s="692"/>
      <c r="BK320" s="692"/>
      <c r="BL320" s="693"/>
      <c r="BM320" s="693"/>
      <c r="BN320" s="688"/>
      <c r="BO320" s="693"/>
      <c r="BP320" s="689"/>
      <c r="BQ320" s="694"/>
      <c r="BR320" s="687"/>
      <c r="BS320" s="687"/>
      <c r="BT320" s="687"/>
      <c r="BU320" s="687"/>
      <c r="BV320" s="687"/>
      <c r="BW320" s="688"/>
      <c r="BX320" s="688"/>
      <c r="BY320" s="689"/>
      <c r="BZ320" s="690"/>
      <c r="CA320" s="690"/>
      <c r="CB320" s="690"/>
      <c r="CC320" s="691"/>
      <c r="CD320" s="691"/>
      <c r="CE320" s="692"/>
      <c r="CF320" s="692"/>
      <c r="CG320" s="692"/>
      <c r="CH320" s="693"/>
    </row>
    <row r="321">
      <c r="B321" s="687"/>
      <c r="C321" s="687"/>
      <c r="D321" s="688"/>
      <c r="E321" s="689"/>
      <c r="F321" s="690"/>
      <c r="G321" s="690"/>
      <c r="H321" s="690"/>
      <c r="I321" s="691"/>
      <c r="J321" s="691"/>
      <c r="K321" s="691"/>
      <c r="L321" s="692"/>
      <c r="M321" s="692"/>
      <c r="N321" s="692"/>
      <c r="O321" s="693"/>
      <c r="P321" s="688"/>
      <c r="Q321" s="688"/>
      <c r="R321" s="688"/>
      <c r="S321" s="688"/>
      <c r="T321" s="689"/>
      <c r="U321" s="689"/>
      <c r="V321" s="694"/>
      <c r="W321" s="694"/>
      <c r="X321" s="694"/>
      <c r="Y321" s="694"/>
      <c r="Z321" s="693"/>
      <c r="AA321" s="693"/>
      <c r="AB321" s="693"/>
      <c r="AC321" s="693"/>
      <c r="AD321" s="688"/>
      <c r="AE321" s="689"/>
      <c r="AF321" s="689"/>
      <c r="AG321" s="690"/>
      <c r="AH321" s="690"/>
      <c r="AI321" s="695"/>
      <c r="AJ321" s="695"/>
      <c r="AK321" s="692"/>
      <c r="AL321" s="692"/>
      <c r="AM321" s="693"/>
      <c r="AN321" s="688"/>
      <c r="AO321" s="688"/>
      <c r="AP321" s="688"/>
      <c r="AQ321" s="688"/>
      <c r="AR321" s="688"/>
      <c r="AS321" s="688"/>
      <c r="AT321" s="689"/>
      <c r="AU321" s="689"/>
      <c r="AV321" s="690"/>
      <c r="AW321" s="690"/>
      <c r="AX321" s="690"/>
      <c r="AY321" s="690"/>
      <c r="AZ321" s="690"/>
      <c r="BA321" s="690"/>
      <c r="BB321" s="695"/>
      <c r="BC321" s="695"/>
      <c r="BD321" s="695"/>
      <c r="BE321" s="695"/>
      <c r="BF321" s="692"/>
      <c r="BG321" s="692"/>
      <c r="BH321" s="692"/>
      <c r="BI321" s="692"/>
      <c r="BJ321" s="692"/>
      <c r="BK321" s="692"/>
      <c r="BL321" s="693"/>
      <c r="BM321" s="693"/>
      <c r="BN321" s="688"/>
      <c r="BO321" s="693"/>
      <c r="BP321" s="689"/>
      <c r="BQ321" s="694"/>
      <c r="BR321" s="687"/>
      <c r="BS321" s="687"/>
      <c r="BT321" s="687"/>
      <c r="BU321" s="687"/>
      <c r="BV321" s="687"/>
      <c r="BW321" s="688"/>
      <c r="BX321" s="688"/>
      <c r="BY321" s="689"/>
      <c r="BZ321" s="690"/>
      <c r="CA321" s="690"/>
      <c r="CB321" s="690"/>
      <c r="CC321" s="691"/>
      <c r="CD321" s="691"/>
      <c r="CE321" s="692"/>
      <c r="CF321" s="692"/>
      <c r="CG321" s="692"/>
      <c r="CH321" s="693"/>
    </row>
    <row r="322">
      <c r="B322" s="687"/>
      <c r="C322" s="687"/>
      <c r="D322" s="688"/>
      <c r="E322" s="689"/>
      <c r="F322" s="690"/>
      <c r="G322" s="690"/>
      <c r="H322" s="690"/>
      <c r="I322" s="691"/>
      <c r="J322" s="691"/>
      <c r="K322" s="691"/>
      <c r="L322" s="692"/>
      <c r="M322" s="692"/>
      <c r="N322" s="692"/>
      <c r="O322" s="693"/>
      <c r="P322" s="688"/>
      <c r="Q322" s="688"/>
      <c r="R322" s="688"/>
      <c r="S322" s="688"/>
      <c r="T322" s="689"/>
      <c r="U322" s="689"/>
      <c r="V322" s="694"/>
      <c r="W322" s="694"/>
      <c r="X322" s="694"/>
      <c r="Y322" s="694"/>
      <c r="Z322" s="693"/>
      <c r="AA322" s="693"/>
      <c r="AB322" s="693"/>
      <c r="AC322" s="693"/>
      <c r="AD322" s="688"/>
      <c r="AE322" s="689"/>
      <c r="AF322" s="689"/>
      <c r="AG322" s="690"/>
      <c r="AH322" s="690"/>
      <c r="AI322" s="695"/>
      <c r="AJ322" s="695"/>
      <c r="AK322" s="692"/>
      <c r="AL322" s="692"/>
      <c r="AM322" s="693"/>
      <c r="AN322" s="688"/>
      <c r="AO322" s="688"/>
      <c r="AP322" s="688"/>
      <c r="AQ322" s="688"/>
      <c r="AR322" s="688"/>
      <c r="AS322" s="688"/>
      <c r="AT322" s="689"/>
      <c r="AU322" s="689"/>
      <c r="AV322" s="690"/>
      <c r="AW322" s="690"/>
      <c r="AX322" s="690"/>
      <c r="AY322" s="690"/>
      <c r="AZ322" s="690"/>
      <c r="BA322" s="690"/>
      <c r="BB322" s="695"/>
      <c r="BC322" s="695"/>
      <c r="BD322" s="695"/>
      <c r="BE322" s="695"/>
      <c r="BF322" s="692"/>
      <c r="BG322" s="692"/>
      <c r="BH322" s="692"/>
      <c r="BI322" s="692"/>
      <c r="BJ322" s="692"/>
      <c r="BK322" s="692"/>
      <c r="BL322" s="693"/>
      <c r="BM322" s="693"/>
      <c r="BN322" s="688"/>
      <c r="BO322" s="693"/>
      <c r="BP322" s="689"/>
      <c r="BQ322" s="694"/>
      <c r="BR322" s="687"/>
      <c r="BS322" s="687"/>
      <c r="BT322" s="687"/>
      <c r="BU322" s="687"/>
      <c r="BV322" s="687"/>
      <c r="BW322" s="688"/>
      <c r="BX322" s="688"/>
      <c r="BY322" s="689"/>
      <c r="BZ322" s="690"/>
      <c r="CA322" s="690"/>
      <c r="CB322" s="690"/>
      <c r="CC322" s="691"/>
      <c r="CD322" s="691"/>
      <c r="CE322" s="692"/>
      <c r="CF322" s="692"/>
      <c r="CG322" s="692"/>
      <c r="CH322" s="693"/>
    </row>
    <row r="323">
      <c r="B323" s="687"/>
      <c r="C323" s="687"/>
      <c r="D323" s="688"/>
      <c r="E323" s="689"/>
      <c r="F323" s="690"/>
      <c r="G323" s="690"/>
      <c r="H323" s="690"/>
      <c r="I323" s="691"/>
      <c r="J323" s="691"/>
      <c r="K323" s="691"/>
      <c r="L323" s="692"/>
      <c r="M323" s="692"/>
      <c r="N323" s="692"/>
      <c r="O323" s="693"/>
      <c r="P323" s="688"/>
      <c r="Q323" s="688"/>
      <c r="R323" s="688"/>
      <c r="S323" s="688"/>
      <c r="T323" s="689"/>
      <c r="U323" s="689"/>
      <c r="V323" s="694"/>
      <c r="W323" s="694"/>
      <c r="X323" s="694"/>
      <c r="Y323" s="694"/>
      <c r="Z323" s="693"/>
      <c r="AA323" s="693"/>
      <c r="AB323" s="693"/>
      <c r="AC323" s="693"/>
      <c r="AD323" s="688"/>
      <c r="AE323" s="689"/>
      <c r="AF323" s="689"/>
      <c r="AG323" s="690"/>
      <c r="AH323" s="690"/>
      <c r="AI323" s="695"/>
      <c r="AJ323" s="695"/>
      <c r="AK323" s="692"/>
      <c r="AL323" s="692"/>
      <c r="AM323" s="693"/>
      <c r="AN323" s="688"/>
      <c r="AO323" s="688"/>
      <c r="AP323" s="688"/>
      <c r="AQ323" s="688"/>
      <c r="AR323" s="688"/>
      <c r="AS323" s="688"/>
      <c r="AT323" s="689"/>
      <c r="AU323" s="689"/>
      <c r="AV323" s="690"/>
      <c r="AW323" s="690"/>
      <c r="AX323" s="690"/>
      <c r="AY323" s="690"/>
      <c r="AZ323" s="690"/>
      <c r="BA323" s="690"/>
      <c r="BB323" s="695"/>
      <c r="BC323" s="695"/>
      <c r="BD323" s="695"/>
      <c r="BE323" s="695"/>
      <c r="BF323" s="692"/>
      <c r="BG323" s="692"/>
      <c r="BH323" s="692"/>
      <c r="BI323" s="692"/>
      <c r="BJ323" s="692"/>
      <c r="BK323" s="692"/>
      <c r="BL323" s="693"/>
      <c r="BM323" s="693"/>
      <c r="BN323" s="688"/>
      <c r="BO323" s="693"/>
      <c r="BP323" s="689"/>
      <c r="BQ323" s="694"/>
      <c r="BR323" s="687"/>
      <c r="BS323" s="687"/>
      <c r="BT323" s="687"/>
      <c r="BU323" s="687"/>
      <c r="BV323" s="687"/>
      <c r="BW323" s="688"/>
      <c r="BX323" s="688"/>
      <c r="BY323" s="689"/>
      <c r="BZ323" s="690"/>
      <c r="CA323" s="690"/>
      <c r="CB323" s="690"/>
      <c r="CC323" s="691"/>
      <c r="CD323" s="691"/>
      <c r="CE323" s="692"/>
      <c r="CF323" s="692"/>
      <c r="CG323" s="692"/>
      <c r="CH323" s="693"/>
    </row>
    <row r="324">
      <c r="B324" s="687"/>
      <c r="C324" s="687"/>
      <c r="D324" s="688"/>
      <c r="E324" s="689"/>
      <c r="F324" s="690"/>
      <c r="G324" s="690"/>
      <c r="H324" s="690"/>
      <c r="I324" s="691"/>
      <c r="J324" s="691"/>
      <c r="K324" s="691"/>
      <c r="L324" s="692"/>
      <c r="M324" s="692"/>
      <c r="N324" s="692"/>
      <c r="O324" s="693"/>
      <c r="P324" s="688"/>
      <c r="Q324" s="688"/>
      <c r="R324" s="688"/>
      <c r="S324" s="688"/>
      <c r="T324" s="689"/>
      <c r="U324" s="689"/>
      <c r="V324" s="694"/>
      <c r="W324" s="694"/>
      <c r="X324" s="694"/>
      <c r="Y324" s="694"/>
      <c r="Z324" s="693"/>
      <c r="AA324" s="693"/>
      <c r="AB324" s="693"/>
      <c r="AC324" s="693"/>
      <c r="AD324" s="688"/>
      <c r="AE324" s="689"/>
      <c r="AF324" s="689"/>
      <c r="AG324" s="690"/>
      <c r="AH324" s="690"/>
      <c r="AI324" s="695"/>
      <c r="AJ324" s="695"/>
      <c r="AK324" s="692"/>
      <c r="AL324" s="692"/>
      <c r="AM324" s="693"/>
      <c r="AN324" s="688"/>
      <c r="AO324" s="688"/>
      <c r="AP324" s="688"/>
      <c r="AQ324" s="688"/>
      <c r="AR324" s="688"/>
      <c r="AS324" s="688"/>
      <c r="AT324" s="689"/>
      <c r="AU324" s="689"/>
      <c r="AV324" s="690"/>
      <c r="AW324" s="690"/>
      <c r="AX324" s="690"/>
      <c r="AY324" s="690"/>
      <c r="AZ324" s="690"/>
      <c r="BA324" s="690"/>
      <c r="BB324" s="695"/>
      <c r="BC324" s="695"/>
      <c r="BD324" s="695"/>
      <c r="BE324" s="695"/>
      <c r="BF324" s="692"/>
      <c r="BG324" s="692"/>
      <c r="BH324" s="692"/>
      <c r="BI324" s="692"/>
      <c r="BJ324" s="692"/>
      <c r="BK324" s="692"/>
      <c r="BL324" s="693"/>
      <c r="BM324" s="693"/>
      <c r="BN324" s="688"/>
      <c r="BO324" s="693"/>
      <c r="BP324" s="689"/>
      <c r="BQ324" s="694"/>
      <c r="BR324" s="687"/>
      <c r="BS324" s="687"/>
      <c r="BT324" s="687"/>
      <c r="BU324" s="687"/>
      <c r="BV324" s="687"/>
      <c r="BW324" s="688"/>
      <c r="BX324" s="688"/>
      <c r="BY324" s="689"/>
      <c r="BZ324" s="690"/>
      <c r="CA324" s="690"/>
      <c r="CB324" s="690"/>
      <c r="CC324" s="691"/>
      <c r="CD324" s="691"/>
      <c r="CE324" s="692"/>
      <c r="CF324" s="692"/>
      <c r="CG324" s="692"/>
      <c r="CH324" s="693"/>
    </row>
    <row r="325">
      <c r="B325" s="687"/>
      <c r="C325" s="687"/>
      <c r="D325" s="688"/>
      <c r="E325" s="689"/>
      <c r="F325" s="690"/>
      <c r="G325" s="690"/>
      <c r="H325" s="690"/>
      <c r="I325" s="691"/>
      <c r="J325" s="691"/>
      <c r="K325" s="691"/>
      <c r="L325" s="692"/>
      <c r="M325" s="692"/>
      <c r="N325" s="692"/>
      <c r="O325" s="693"/>
      <c r="P325" s="688"/>
      <c r="Q325" s="688"/>
      <c r="R325" s="688"/>
      <c r="S325" s="688"/>
      <c r="T325" s="689"/>
      <c r="U325" s="689"/>
      <c r="V325" s="694"/>
      <c r="W325" s="694"/>
      <c r="X325" s="694"/>
      <c r="Y325" s="694"/>
      <c r="Z325" s="693"/>
      <c r="AA325" s="693"/>
      <c r="AB325" s="693"/>
      <c r="AC325" s="693"/>
      <c r="AD325" s="688"/>
      <c r="AE325" s="689"/>
      <c r="AF325" s="689"/>
      <c r="AG325" s="690"/>
      <c r="AH325" s="690"/>
      <c r="AI325" s="695"/>
      <c r="AJ325" s="695"/>
      <c r="AK325" s="692"/>
      <c r="AL325" s="692"/>
      <c r="AM325" s="693"/>
      <c r="AN325" s="688"/>
      <c r="AO325" s="688"/>
      <c r="AP325" s="688"/>
      <c r="AQ325" s="688"/>
      <c r="AR325" s="688"/>
      <c r="AS325" s="688"/>
      <c r="AT325" s="689"/>
      <c r="AU325" s="689"/>
      <c r="AV325" s="690"/>
      <c r="AW325" s="690"/>
      <c r="AX325" s="690"/>
      <c r="AY325" s="690"/>
      <c r="AZ325" s="690"/>
      <c r="BA325" s="690"/>
      <c r="BB325" s="695"/>
      <c r="BC325" s="695"/>
      <c r="BD325" s="695"/>
      <c r="BE325" s="695"/>
      <c r="BF325" s="692"/>
      <c r="BG325" s="692"/>
      <c r="BH325" s="692"/>
      <c r="BI325" s="692"/>
      <c r="BJ325" s="692"/>
      <c r="BK325" s="692"/>
      <c r="BL325" s="693"/>
      <c r="BM325" s="693"/>
      <c r="BN325" s="688"/>
      <c r="BO325" s="693"/>
      <c r="BP325" s="689"/>
      <c r="BQ325" s="694"/>
      <c r="BR325" s="687"/>
      <c r="BS325" s="687"/>
      <c r="BT325" s="687"/>
      <c r="BU325" s="687"/>
      <c r="BV325" s="687"/>
      <c r="BW325" s="688"/>
      <c r="BX325" s="688"/>
      <c r="BY325" s="689"/>
      <c r="BZ325" s="690"/>
      <c r="CA325" s="690"/>
      <c r="CB325" s="690"/>
      <c r="CC325" s="691"/>
      <c r="CD325" s="691"/>
      <c r="CE325" s="692"/>
      <c r="CF325" s="692"/>
      <c r="CG325" s="692"/>
      <c r="CH325" s="693"/>
    </row>
    <row r="326">
      <c r="B326" s="687"/>
      <c r="C326" s="687"/>
      <c r="D326" s="688"/>
      <c r="E326" s="689"/>
      <c r="F326" s="690"/>
      <c r="G326" s="690"/>
      <c r="H326" s="690"/>
      <c r="I326" s="691"/>
      <c r="J326" s="691"/>
      <c r="K326" s="691"/>
      <c r="L326" s="692"/>
      <c r="M326" s="692"/>
      <c r="N326" s="692"/>
      <c r="O326" s="693"/>
      <c r="P326" s="688"/>
      <c r="Q326" s="688"/>
      <c r="R326" s="688"/>
      <c r="S326" s="688"/>
      <c r="T326" s="689"/>
      <c r="U326" s="689"/>
      <c r="V326" s="694"/>
      <c r="W326" s="694"/>
      <c r="X326" s="694"/>
      <c r="Y326" s="694"/>
      <c r="Z326" s="693"/>
      <c r="AA326" s="693"/>
      <c r="AB326" s="693"/>
      <c r="AC326" s="693"/>
      <c r="AD326" s="688"/>
      <c r="AE326" s="689"/>
      <c r="AF326" s="689"/>
      <c r="AG326" s="690"/>
      <c r="AH326" s="690"/>
      <c r="AI326" s="695"/>
      <c r="AJ326" s="695"/>
      <c r="AK326" s="692"/>
      <c r="AL326" s="692"/>
      <c r="AM326" s="693"/>
      <c r="AN326" s="688"/>
      <c r="AO326" s="688"/>
      <c r="AP326" s="688"/>
      <c r="AQ326" s="688"/>
      <c r="AR326" s="688"/>
      <c r="AS326" s="688"/>
      <c r="AT326" s="689"/>
      <c r="AU326" s="689"/>
      <c r="AV326" s="690"/>
      <c r="AW326" s="690"/>
      <c r="AX326" s="690"/>
      <c r="AY326" s="690"/>
      <c r="AZ326" s="690"/>
      <c r="BA326" s="690"/>
      <c r="BB326" s="695"/>
      <c r="BC326" s="695"/>
      <c r="BD326" s="695"/>
      <c r="BE326" s="695"/>
      <c r="BF326" s="692"/>
      <c r="BG326" s="692"/>
      <c r="BH326" s="692"/>
      <c r="BI326" s="692"/>
      <c r="BJ326" s="692"/>
      <c r="BK326" s="692"/>
      <c r="BL326" s="693"/>
      <c r="BM326" s="693"/>
      <c r="BN326" s="688"/>
      <c r="BO326" s="693"/>
      <c r="BP326" s="689"/>
      <c r="BQ326" s="694"/>
      <c r="BR326" s="687"/>
      <c r="BS326" s="687"/>
      <c r="BT326" s="687"/>
      <c r="BU326" s="687"/>
      <c r="BV326" s="687"/>
      <c r="BW326" s="688"/>
      <c r="BX326" s="688"/>
      <c r="BY326" s="689"/>
      <c r="BZ326" s="690"/>
      <c r="CA326" s="690"/>
      <c r="CB326" s="690"/>
      <c r="CC326" s="691"/>
      <c r="CD326" s="691"/>
      <c r="CE326" s="692"/>
      <c r="CF326" s="692"/>
      <c r="CG326" s="692"/>
      <c r="CH326" s="693"/>
    </row>
    <row r="327">
      <c r="B327" s="687"/>
      <c r="C327" s="687"/>
      <c r="D327" s="688"/>
      <c r="E327" s="689"/>
      <c r="F327" s="690"/>
      <c r="G327" s="690"/>
      <c r="H327" s="690"/>
      <c r="I327" s="691"/>
      <c r="J327" s="691"/>
      <c r="K327" s="691"/>
      <c r="L327" s="692"/>
      <c r="M327" s="692"/>
      <c r="N327" s="692"/>
      <c r="O327" s="693"/>
      <c r="P327" s="688"/>
      <c r="Q327" s="688"/>
      <c r="R327" s="688"/>
      <c r="S327" s="688"/>
      <c r="T327" s="689"/>
      <c r="U327" s="689"/>
      <c r="V327" s="694"/>
      <c r="W327" s="694"/>
      <c r="X327" s="694"/>
      <c r="Y327" s="694"/>
      <c r="Z327" s="693"/>
      <c r="AA327" s="693"/>
      <c r="AB327" s="693"/>
      <c r="AC327" s="693"/>
      <c r="AD327" s="688"/>
      <c r="AE327" s="689"/>
      <c r="AF327" s="689"/>
      <c r="AG327" s="690"/>
      <c r="AH327" s="690"/>
      <c r="AI327" s="695"/>
      <c r="AJ327" s="695"/>
      <c r="AK327" s="692"/>
      <c r="AL327" s="692"/>
      <c r="AM327" s="693"/>
      <c r="AN327" s="688"/>
      <c r="AO327" s="688"/>
      <c r="AP327" s="688"/>
      <c r="AQ327" s="688"/>
      <c r="AR327" s="688"/>
      <c r="AS327" s="688"/>
      <c r="AT327" s="689"/>
      <c r="AU327" s="689"/>
      <c r="AV327" s="690"/>
      <c r="AW327" s="690"/>
      <c r="AX327" s="690"/>
      <c r="AY327" s="690"/>
      <c r="AZ327" s="690"/>
      <c r="BA327" s="690"/>
      <c r="BB327" s="695"/>
      <c r="BC327" s="695"/>
      <c r="BD327" s="695"/>
      <c r="BE327" s="695"/>
      <c r="BF327" s="692"/>
      <c r="BG327" s="692"/>
      <c r="BH327" s="692"/>
      <c r="BI327" s="692"/>
      <c r="BJ327" s="692"/>
      <c r="BK327" s="692"/>
      <c r="BL327" s="693"/>
      <c r="BM327" s="693"/>
      <c r="BN327" s="688"/>
      <c r="BO327" s="693"/>
      <c r="BP327" s="689"/>
      <c r="BQ327" s="694"/>
      <c r="BR327" s="687"/>
      <c r="BS327" s="687"/>
      <c r="BT327" s="687"/>
      <c r="BU327" s="687"/>
      <c r="BV327" s="687"/>
      <c r="BW327" s="688"/>
      <c r="BX327" s="688"/>
      <c r="BY327" s="689"/>
      <c r="BZ327" s="690"/>
      <c r="CA327" s="690"/>
      <c r="CB327" s="690"/>
      <c r="CC327" s="691"/>
      <c r="CD327" s="691"/>
      <c r="CE327" s="692"/>
      <c r="CF327" s="692"/>
      <c r="CG327" s="692"/>
      <c r="CH327" s="693"/>
    </row>
    <row r="328">
      <c r="B328" s="687"/>
      <c r="C328" s="687"/>
      <c r="D328" s="688"/>
      <c r="E328" s="689"/>
      <c r="F328" s="690"/>
      <c r="G328" s="690"/>
      <c r="H328" s="690"/>
      <c r="I328" s="691"/>
      <c r="J328" s="691"/>
      <c r="K328" s="691"/>
      <c r="L328" s="692"/>
      <c r="M328" s="692"/>
      <c r="N328" s="692"/>
      <c r="O328" s="693"/>
      <c r="P328" s="688"/>
      <c r="Q328" s="688"/>
      <c r="R328" s="688"/>
      <c r="S328" s="688"/>
      <c r="T328" s="689"/>
      <c r="U328" s="689"/>
      <c r="V328" s="694"/>
      <c r="W328" s="694"/>
      <c r="X328" s="694"/>
      <c r="Y328" s="694"/>
      <c r="Z328" s="693"/>
      <c r="AA328" s="693"/>
      <c r="AB328" s="693"/>
      <c r="AC328" s="693"/>
      <c r="AD328" s="688"/>
      <c r="AE328" s="689"/>
      <c r="AF328" s="689"/>
      <c r="AG328" s="690"/>
      <c r="AH328" s="690"/>
      <c r="AI328" s="695"/>
      <c r="AJ328" s="695"/>
      <c r="AK328" s="692"/>
      <c r="AL328" s="692"/>
      <c r="AM328" s="693"/>
      <c r="AN328" s="688"/>
      <c r="AO328" s="688"/>
      <c r="AP328" s="688"/>
      <c r="AQ328" s="688"/>
      <c r="AR328" s="688"/>
      <c r="AS328" s="688"/>
      <c r="AT328" s="689"/>
      <c r="AU328" s="689"/>
      <c r="AV328" s="690"/>
      <c r="AW328" s="690"/>
      <c r="AX328" s="690"/>
      <c r="AY328" s="690"/>
      <c r="AZ328" s="690"/>
      <c r="BA328" s="690"/>
      <c r="BB328" s="695"/>
      <c r="BC328" s="695"/>
      <c r="BD328" s="695"/>
      <c r="BE328" s="695"/>
      <c r="BF328" s="692"/>
      <c r="BG328" s="692"/>
      <c r="BH328" s="692"/>
      <c r="BI328" s="692"/>
      <c r="BJ328" s="692"/>
      <c r="BK328" s="692"/>
      <c r="BL328" s="693"/>
      <c r="BM328" s="693"/>
      <c r="BN328" s="688"/>
      <c r="BO328" s="693"/>
      <c r="BP328" s="689"/>
      <c r="BQ328" s="694"/>
      <c r="BR328" s="687"/>
      <c r="BS328" s="687"/>
      <c r="BT328" s="687"/>
      <c r="BU328" s="687"/>
      <c r="BV328" s="687"/>
      <c r="BW328" s="688"/>
      <c r="BX328" s="688"/>
      <c r="BY328" s="689"/>
      <c r="BZ328" s="690"/>
      <c r="CA328" s="690"/>
      <c r="CB328" s="690"/>
      <c r="CC328" s="691"/>
      <c r="CD328" s="691"/>
      <c r="CE328" s="692"/>
      <c r="CF328" s="692"/>
      <c r="CG328" s="692"/>
      <c r="CH328" s="693"/>
    </row>
    <row r="329">
      <c r="B329" s="687"/>
      <c r="C329" s="687"/>
      <c r="D329" s="688"/>
      <c r="E329" s="689"/>
      <c r="F329" s="690"/>
      <c r="G329" s="690"/>
      <c r="H329" s="690"/>
      <c r="I329" s="691"/>
      <c r="J329" s="691"/>
      <c r="K329" s="691"/>
      <c r="L329" s="692"/>
      <c r="M329" s="692"/>
      <c r="N329" s="692"/>
      <c r="O329" s="693"/>
      <c r="P329" s="688"/>
      <c r="Q329" s="688"/>
      <c r="R329" s="688"/>
      <c r="S329" s="688"/>
      <c r="T329" s="689"/>
      <c r="U329" s="689"/>
      <c r="V329" s="694"/>
      <c r="W329" s="694"/>
      <c r="X329" s="694"/>
      <c r="Y329" s="694"/>
      <c r="Z329" s="693"/>
      <c r="AA329" s="693"/>
      <c r="AB329" s="693"/>
      <c r="AC329" s="693"/>
      <c r="AD329" s="688"/>
      <c r="AE329" s="689"/>
      <c r="AF329" s="689"/>
      <c r="AG329" s="690"/>
      <c r="AH329" s="690"/>
      <c r="AI329" s="695"/>
      <c r="AJ329" s="695"/>
      <c r="AK329" s="692"/>
      <c r="AL329" s="692"/>
      <c r="AM329" s="693"/>
      <c r="AN329" s="688"/>
      <c r="AO329" s="688"/>
      <c r="AP329" s="688"/>
      <c r="AQ329" s="688"/>
      <c r="AR329" s="688"/>
      <c r="AS329" s="688"/>
      <c r="AT329" s="689"/>
      <c r="AU329" s="689"/>
      <c r="AV329" s="690"/>
      <c r="AW329" s="690"/>
      <c r="AX329" s="690"/>
      <c r="AY329" s="690"/>
      <c r="AZ329" s="690"/>
      <c r="BA329" s="690"/>
      <c r="BB329" s="695"/>
      <c r="BC329" s="695"/>
      <c r="BD329" s="695"/>
      <c r="BE329" s="695"/>
      <c r="BF329" s="692"/>
      <c r="BG329" s="692"/>
      <c r="BH329" s="692"/>
      <c r="BI329" s="692"/>
      <c r="BJ329" s="692"/>
      <c r="BK329" s="692"/>
      <c r="BL329" s="693"/>
      <c r="BM329" s="693"/>
      <c r="BN329" s="688"/>
      <c r="BO329" s="693"/>
      <c r="BP329" s="689"/>
      <c r="BQ329" s="694"/>
      <c r="BR329" s="687"/>
      <c r="BS329" s="687"/>
      <c r="BT329" s="687"/>
      <c r="BU329" s="687"/>
      <c r="BV329" s="687"/>
      <c r="BW329" s="688"/>
      <c r="BX329" s="688"/>
      <c r="BY329" s="689"/>
      <c r="BZ329" s="690"/>
      <c r="CA329" s="690"/>
      <c r="CB329" s="690"/>
      <c r="CC329" s="691"/>
      <c r="CD329" s="691"/>
      <c r="CE329" s="692"/>
      <c r="CF329" s="692"/>
      <c r="CG329" s="692"/>
      <c r="CH329" s="693"/>
    </row>
    <row r="330">
      <c r="B330" s="687"/>
      <c r="C330" s="687"/>
      <c r="D330" s="688"/>
      <c r="E330" s="689"/>
      <c r="F330" s="690"/>
      <c r="G330" s="690"/>
      <c r="H330" s="690"/>
      <c r="I330" s="691"/>
      <c r="J330" s="691"/>
      <c r="K330" s="691"/>
      <c r="L330" s="692"/>
      <c r="M330" s="692"/>
      <c r="N330" s="692"/>
      <c r="O330" s="693"/>
      <c r="P330" s="688"/>
      <c r="Q330" s="688"/>
      <c r="R330" s="688"/>
      <c r="S330" s="688"/>
      <c r="T330" s="689"/>
      <c r="U330" s="689"/>
      <c r="V330" s="694"/>
      <c r="W330" s="694"/>
      <c r="X330" s="694"/>
      <c r="Y330" s="694"/>
      <c r="Z330" s="693"/>
      <c r="AA330" s="693"/>
      <c r="AB330" s="693"/>
      <c r="AC330" s="693"/>
      <c r="AD330" s="688"/>
      <c r="AE330" s="689"/>
      <c r="AF330" s="689"/>
      <c r="AG330" s="690"/>
      <c r="AH330" s="690"/>
      <c r="AI330" s="695"/>
      <c r="AJ330" s="695"/>
      <c r="AK330" s="692"/>
      <c r="AL330" s="692"/>
      <c r="AM330" s="693"/>
      <c r="AN330" s="688"/>
      <c r="AO330" s="688"/>
      <c r="AP330" s="688"/>
      <c r="AQ330" s="688"/>
      <c r="AR330" s="688"/>
      <c r="AS330" s="688"/>
      <c r="AT330" s="689"/>
      <c r="AU330" s="689"/>
      <c r="AV330" s="690"/>
      <c r="AW330" s="690"/>
      <c r="AX330" s="690"/>
      <c r="AY330" s="690"/>
      <c r="AZ330" s="690"/>
      <c r="BA330" s="690"/>
      <c r="BB330" s="695"/>
      <c r="BC330" s="695"/>
      <c r="BD330" s="695"/>
      <c r="BE330" s="695"/>
      <c r="BF330" s="692"/>
      <c r="BG330" s="692"/>
      <c r="BH330" s="692"/>
      <c r="BI330" s="692"/>
      <c r="BJ330" s="692"/>
      <c r="BK330" s="692"/>
      <c r="BL330" s="693"/>
      <c r="BM330" s="693"/>
      <c r="BN330" s="688"/>
      <c r="BO330" s="693"/>
      <c r="BP330" s="689"/>
      <c r="BQ330" s="694"/>
      <c r="BR330" s="687"/>
      <c r="BS330" s="687"/>
      <c r="BT330" s="687"/>
      <c r="BU330" s="687"/>
      <c r="BV330" s="687"/>
      <c r="BW330" s="688"/>
      <c r="BX330" s="688"/>
      <c r="BY330" s="689"/>
      <c r="BZ330" s="690"/>
      <c r="CA330" s="690"/>
      <c r="CB330" s="690"/>
      <c r="CC330" s="691"/>
      <c r="CD330" s="691"/>
      <c r="CE330" s="692"/>
      <c r="CF330" s="692"/>
      <c r="CG330" s="692"/>
      <c r="CH330" s="693"/>
    </row>
    <row r="331">
      <c r="B331" s="687"/>
      <c r="C331" s="687"/>
      <c r="D331" s="688"/>
      <c r="E331" s="689"/>
      <c r="F331" s="690"/>
      <c r="G331" s="690"/>
      <c r="H331" s="690"/>
      <c r="I331" s="691"/>
      <c r="J331" s="691"/>
      <c r="K331" s="691"/>
      <c r="L331" s="692"/>
      <c r="M331" s="692"/>
      <c r="N331" s="692"/>
      <c r="O331" s="693"/>
      <c r="P331" s="688"/>
      <c r="Q331" s="688"/>
      <c r="R331" s="688"/>
      <c r="S331" s="688"/>
      <c r="T331" s="689"/>
      <c r="U331" s="689"/>
      <c r="V331" s="694"/>
      <c r="W331" s="694"/>
      <c r="X331" s="694"/>
      <c r="Y331" s="694"/>
      <c r="Z331" s="693"/>
      <c r="AA331" s="693"/>
      <c r="AB331" s="693"/>
      <c r="AC331" s="693"/>
      <c r="AD331" s="688"/>
      <c r="AE331" s="689"/>
      <c r="AF331" s="689"/>
      <c r="AG331" s="690"/>
      <c r="AH331" s="690"/>
      <c r="AI331" s="695"/>
      <c r="AJ331" s="695"/>
      <c r="AK331" s="692"/>
      <c r="AL331" s="692"/>
      <c r="AM331" s="693"/>
      <c r="AN331" s="688"/>
      <c r="AO331" s="688"/>
      <c r="AP331" s="688"/>
      <c r="AQ331" s="688"/>
      <c r="AR331" s="688"/>
      <c r="AS331" s="688"/>
      <c r="AT331" s="689"/>
      <c r="AU331" s="689"/>
      <c r="AV331" s="690"/>
      <c r="AW331" s="690"/>
      <c r="AX331" s="690"/>
      <c r="AY331" s="690"/>
      <c r="AZ331" s="690"/>
      <c r="BA331" s="690"/>
      <c r="BB331" s="695"/>
      <c r="BC331" s="695"/>
      <c r="BD331" s="695"/>
      <c r="BE331" s="695"/>
      <c r="BF331" s="692"/>
      <c r="BG331" s="692"/>
      <c r="BH331" s="692"/>
      <c r="BI331" s="692"/>
      <c r="BJ331" s="692"/>
      <c r="BK331" s="692"/>
      <c r="BL331" s="693"/>
      <c r="BM331" s="693"/>
      <c r="BN331" s="688"/>
      <c r="BO331" s="693"/>
      <c r="BP331" s="689"/>
      <c r="BQ331" s="694"/>
      <c r="BR331" s="687"/>
      <c r="BS331" s="687"/>
      <c r="BT331" s="687"/>
      <c r="BU331" s="687"/>
      <c r="BV331" s="687"/>
      <c r="BW331" s="688"/>
      <c r="BX331" s="688"/>
      <c r="BY331" s="689"/>
      <c r="BZ331" s="690"/>
      <c r="CA331" s="690"/>
      <c r="CB331" s="690"/>
      <c r="CC331" s="691"/>
      <c r="CD331" s="691"/>
      <c r="CE331" s="692"/>
      <c r="CF331" s="692"/>
      <c r="CG331" s="692"/>
      <c r="CH331" s="693"/>
    </row>
    <row r="332">
      <c r="B332" s="687"/>
      <c r="C332" s="687"/>
      <c r="D332" s="688"/>
      <c r="E332" s="689"/>
      <c r="F332" s="690"/>
      <c r="G332" s="690"/>
      <c r="H332" s="690"/>
      <c r="I332" s="691"/>
      <c r="J332" s="691"/>
      <c r="K332" s="691"/>
      <c r="L332" s="692"/>
      <c r="M332" s="692"/>
      <c r="N332" s="692"/>
      <c r="O332" s="693"/>
      <c r="P332" s="688"/>
      <c r="Q332" s="688"/>
      <c r="R332" s="688"/>
      <c r="S332" s="688"/>
      <c r="T332" s="689"/>
      <c r="U332" s="689"/>
      <c r="V332" s="694"/>
      <c r="W332" s="694"/>
      <c r="X332" s="694"/>
      <c r="Y332" s="694"/>
      <c r="Z332" s="693"/>
      <c r="AA332" s="693"/>
      <c r="AB332" s="693"/>
      <c r="AC332" s="693"/>
      <c r="AD332" s="688"/>
      <c r="AE332" s="689"/>
      <c r="AF332" s="689"/>
      <c r="AG332" s="690"/>
      <c r="AH332" s="690"/>
      <c r="AI332" s="695"/>
      <c r="AJ332" s="695"/>
      <c r="AK332" s="692"/>
      <c r="AL332" s="692"/>
      <c r="AM332" s="693"/>
      <c r="AN332" s="688"/>
      <c r="AO332" s="688"/>
      <c r="AP332" s="688"/>
      <c r="AQ332" s="688"/>
      <c r="AR332" s="688"/>
      <c r="AS332" s="688"/>
      <c r="AT332" s="689"/>
      <c r="AU332" s="689"/>
      <c r="AV332" s="690"/>
      <c r="AW332" s="690"/>
      <c r="AX332" s="690"/>
      <c r="AY332" s="690"/>
      <c r="AZ332" s="690"/>
      <c r="BA332" s="690"/>
      <c r="BB332" s="695"/>
      <c r="BC332" s="695"/>
      <c r="BD332" s="695"/>
      <c r="BE332" s="695"/>
      <c r="BF332" s="692"/>
      <c r="BG332" s="692"/>
      <c r="BH332" s="692"/>
      <c r="BI332" s="692"/>
      <c r="BJ332" s="692"/>
      <c r="BK332" s="692"/>
      <c r="BL332" s="693"/>
      <c r="BM332" s="693"/>
      <c r="BN332" s="688"/>
      <c r="BO332" s="693"/>
      <c r="BP332" s="689"/>
      <c r="BQ332" s="694"/>
      <c r="BR332" s="687"/>
      <c r="BS332" s="687"/>
      <c r="BT332" s="687"/>
      <c r="BU332" s="687"/>
      <c r="BV332" s="687"/>
      <c r="BW332" s="688"/>
      <c r="BX332" s="688"/>
      <c r="BY332" s="689"/>
      <c r="BZ332" s="690"/>
      <c r="CA332" s="690"/>
      <c r="CB332" s="690"/>
      <c r="CC332" s="691"/>
      <c r="CD332" s="691"/>
      <c r="CE332" s="692"/>
      <c r="CF332" s="692"/>
      <c r="CG332" s="692"/>
      <c r="CH332" s="693"/>
    </row>
    <row r="333">
      <c r="B333" s="687"/>
      <c r="C333" s="687"/>
      <c r="D333" s="688"/>
      <c r="E333" s="689"/>
      <c r="F333" s="690"/>
      <c r="G333" s="690"/>
      <c r="H333" s="690"/>
      <c r="I333" s="691"/>
      <c r="J333" s="691"/>
      <c r="K333" s="691"/>
      <c r="L333" s="692"/>
      <c r="M333" s="692"/>
      <c r="N333" s="692"/>
      <c r="O333" s="693"/>
      <c r="P333" s="688"/>
      <c r="Q333" s="688"/>
      <c r="R333" s="688"/>
      <c r="S333" s="688"/>
      <c r="T333" s="689"/>
      <c r="U333" s="689"/>
      <c r="V333" s="694"/>
      <c r="W333" s="694"/>
      <c r="X333" s="694"/>
      <c r="Y333" s="694"/>
      <c r="Z333" s="693"/>
      <c r="AA333" s="693"/>
      <c r="AB333" s="693"/>
      <c r="AC333" s="693"/>
      <c r="AD333" s="688"/>
      <c r="AE333" s="689"/>
      <c r="AF333" s="689"/>
      <c r="AG333" s="690"/>
      <c r="AH333" s="690"/>
      <c r="AI333" s="695"/>
      <c r="AJ333" s="695"/>
      <c r="AK333" s="692"/>
      <c r="AL333" s="692"/>
      <c r="AM333" s="693"/>
      <c r="AN333" s="688"/>
      <c r="AO333" s="688"/>
      <c r="AP333" s="688"/>
      <c r="AQ333" s="688"/>
      <c r="AR333" s="688"/>
      <c r="AS333" s="688"/>
      <c r="AT333" s="689"/>
      <c r="AU333" s="689"/>
      <c r="AV333" s="690"/>
      <c r="AW333" s="690"/>
      <c r="AX333" s="690"/>
      <c r="AY333" s="690"/>
      <c r="AZ333" s="690"/>
      <c r="BA333" s="690"/>
      <c r="BB333" s="695"/>
      <c r="BC333" s="695"/>
      <c r="BD333" s="695"/>
      <c r="BE333" s="695"/>
      <c r="BF333" s="692"/>
      <c r="BG333" s="692"/>
      <c r="BH333" s="692"/>
      <c r="BI333" s="692"/>
      <c r="BJ333" s="692"/>
      <c r="BK333" s="692"/>
      <c r="BL333" s="693"/>
      <c r="BM333" s="693"/>
      <c r="BN333" s="688"/>
      <c r="BO333" s="693"/>
      <c r="BP333" s="689"/>
      <c r="BQ333" s="694"/>
      <c r="BR333" s="687"/>
      <c r="BS333" s="687"/>
      <c r="BT333" s="687"/>
      <c r="BU333" s="687"/>
      <c r="BV333" s="687"/>
      <c r="BW333" s="688"/>
      <c r="BX333" s="688"/>
      <c r="BY333" s="689"/>
      <c r="BZ333" s="690"/>
      <c r="CA333" s="690"/>
      <c r="CB333" s="690"/>
      <c r="CC333" s="691"/>
      <c r="CD333" s="691"/>
      <c r="CE333" s="692"/>
      <c r="CF333" s="692"/>
      <c r="CG333" s="692"/>
      <c r="CH333" s="693"/>
    </row>
    <row r="334">
      <c r="B334" s="687"/>
      <c r="C334" s="687"/>
      <c r="D334" s="688"/>
      <c r="E334" s="689"/>
      <c r="F334" s="690"/>
      <c r="G334" s="690"/>
      <c r="H334" s="690"/>
      <c r="I334" s="691"/>
      <c r="J334" s="691"/>
      <c r="K334" s="691"/>
      <c r="L334" s="692"/>
      <c r="M334" s="692"/>
      <c r="N334" s="692"/>
      <c r="O334" s="693"/>
      <c r="P334" s="688"/>
      <c r="Q334" s="688"/>
      <c r="R334" s="688"/>
      <c r="S334" s="688"/>
      <c r="T334" s="689"/>
      <c r="U334" s="689"/>
      <c r="V334" s="694"/>
      <c r="W334" s="694"/>
      <c r="X334" s="694"/>
      <c r="Y334" s="694"/>
      <c r="Z334" s="693"/>
      <c r="AA334" s="693"/>
      <c r="AB334" s="693"/>
      <c r="AC334" s="693"/>
      <c r="AD334" s="688"/>
      <c r="AE334" s="689"/>
      <c r="AF334" s="689"/>
      <c r="AG334" s="690"/>
      <c r="AH334" s="690"/>
      <c r="AI334" s="695"/>
      <c r="AJ334" s="695"/>
      <c r="AK334" s="692"/>
      <c r="AL334" s="692"/>
      <c r="AM334" s="693"/>
      <c r="AN334" s="688"/>
      <c r="AO334" s="688"/>
      <c r="AP334" s="688"/>
      <c r="AQ334" s="688"/>
      <c r="AR334" s="688"/>
      <c r="AS334" s="688"/>
      <c r="AT334" s="689"/>
      <c r="AU334" s="689"/>
      <c r="AV334" s="690"/>
      <c r="AW334" s="690"/>
      <c r="AX334" s="690"/>
      <c r="AY334" s="690"/>
      <c r="AZ334" s="690"/>
      <c r="BA334" s="690"/>
      <c r="BB334" s="695"/>
      <c r="BC334" s="695"/>
      <c r="BD334" s="695"/>
      <c r="BE334" s="695"/>
      <c r="BF334" s="692"/>
      <c r="BG334" s="692"/>
      <c r="BH334" s="692"/>
      <c r="BI334" s="692"/>
      <c r="BJ334" s="692"/>
      <c r="BK334" s="692"/>
      <c r="BL334" s="693"/>
      <c r="BM334" s="693"/>
      <c r="BN334" s="688"/>
      <c r="BO334" s="693"/>
      <c r="BP334" s="689"/>
      <c r="BQ334" s="694"/>
      <c r="BR334" s="687"/>
      <c r="BS334" s="687"/>
      <c r="BT334" s="687"/>
      <c r="BU334" s="687"/>
      <c r="BV334" s="687"/>
      <c r="BW334" s="688"/>
      <c r="BX334" s="688"/>
      <c r="BY334" s="689"/>
      <c r="BZ334" s="690"/>
      <c r="CA334" s="690"/>
      <c r="CB334" s="690"/>
      <c r="CC334" s="691"/>
      <c r="CD334" s="691"/>
      <c r="CE334" s="692"/>
      <c r="CF334" s="692"/>
      <c r="CG334" s="692"/>
      <c r="CH334" s="693"/>
    </row>
    <row r="335">
      <c r="B335" s="687"/>
      <c r="C335" s="687"/>
      <c r="D335" s="688"/>
      <c r="E335" s="689"/>
      <c r="F335" s="690"/>
      <c r="G335" s="690"/>
      <c r="H335" s="690"/>
      <c r="I335" s="691"/>
      <c r="J335" s="691"/>
      <c r="K335" s="691"/>
      <c r="L335" s="692"/>
      <c r="M335" s="692"/>
      <c r="N335" s="692"/>
      <c r="O335" s="693"/>
      <c r="P335" s="688"/>
      <c r="Q335" s="688"/>
      <c r="R335" s="688"/>
      <c r="S335" s="688"/>
      <c r="T335" s="689"/>
      <c r="U335" s="689"/>
      <c r="V335" s="694"/>
      <c r="W335" s="694"/>
      <c r="X335" s="694"/>
      <c r="Y335" s="694"/>
      <c r="Z335" s="693"/>
      <c r="AA335" s="693"/>
      <c r="AB335" s="693"/>
      <c r="AC335" s="693"/>
      <c r="AD335" s="688"/>
      <c r="AE335" s="689"/>
      <c r="AF335" s="689"/>
      <c r="AG335" s="690"/>
      <c r="AH335" s="690"/>
      <c r="AI335" s="695"/>
      <c r="AJ335" s="695"/>
      <c r="AK335" s="692"/>
      <c r="AL335" s="692"/>
      <c r="AM335" s="693"/>
      <c r="AN335" s="688"/>
      <c r="AO335" s="688"/>
      <c r="AP335" s="688"/>
      <c r="AQ335" s="688"/>
      <c r="AR335" s="688"/>
      <c r="AS335" s="688"/>
      <c r="AT335" s="689"/>
      <c r="AU335" s="689"/>
      <c r="AV335" s="690"/>
      <c r="AW335" s="690"/>
      <c r="AX335" s="690"/>
      <c r="AY335" s="690"/>
      <c r="AZ335" s="690"/>
      <c r="BA335" s="690"/>
      <c r="BB335" s="695"/>
      <c r="BC335" s="695"/>
      <c r="BD335" s="695"/>
      <c r="BE335" s="695"/>
      <c r="BF335" s="692"/>
      <c r="BG335" s="692"/>
      <c r="BH335" s="692"/>
      <c r="BI335" s="692"/>
      <c r="BJ335" s="692"/>
      <c r="BK335" s="692"/>
      <c r="BL335" s="693"/>
      <c r="BM335" s="693"/>
      <c r="BN335" s="688"/>
      <c r="BO335" s="693"/>
      <c r="BP335" s="689"/>
      <c r="BQ335" s="694"/>
      <c r="BR335" s="687"/>
      <c r="BS335" s="687"/>
      <c r="BT335" s="687"/>
      <c r="BU335" s="687"/>
      <c r="BV335" s="687"/>
      <c r="BW335" s="688"/>
      <c r="BX335" s="688"/>
      <c r="BY335" s="689"/>
      <c r="BZ335" s="690"/>
      <c r="CA335" s="690"/>
      <c r="CB335" s="690"/>
      <c r="CC335" s="691"/>
      <c r="CD335" s="691"/>
      <c r="CE335" s="692"/>
      <c r="CF335" s="692"/>
      <c r="CG335" s="692"/>
      <c r="CH335" s="693"/>
    </row>
    <row r="336">
      <c r="B336" s="687"/>
      <c r="C336" s="687"/>
      <c r="D336" s="688"/>
      <c r="E336" s="689"/>
      <c r="F336" s="690"/>
      <c r="G336" s="690"/>
      <c r="H336" s="690"/>
      <c r="I336" s="691"/>
      <c r="J336" s="691"/>
      <c r="K336" s="691"/>
      <c r="L336" s="692"/>
      <c r="M336" s="692"/>
      <c r="N336" s="692"/>
      <c r="O336" s="693"/>
      <c r="P336" s="688"/>
      <c r="Q336" s="688"/>
      <c r="R336" s="688"/>
      <c r="S336" s="688"/>
      <c r="T336" s="689"/>
      <c r="U336" s="689"/>
      <c r="V336" s="694"/>
      <c r="W336" s="694"/>
      <c r="X336" s="694"/>
      <c r="Y336" s="694"/>
      <c r="Z336" s="693"/>
      <c r="AA336" s="693"/>
      <c r="AB336" s="693"/>
      <c r="AC336" s="693"/>
      <c r="AD336" s="688"/>
      <c r="AE336" s="689"/>
      <c r="AF336" s="689"/>
      <c r="AG336" s="690"/>
      <c r="AH336" s="690"/>
      <c r="AI336" s="695"/>
      <c r="AJ336" s="695"/>
      <c r="AK336" s="692"/>
      <c r="AL336" s="692"/>
      <c r="AM336" s="693"/>
      <c r="AN336" s="688"/>
      <c r="AO336" s="688"/>
      <c r="AP336" s="688"/>
      <c r="AQ336" s="688"/>
      <c r="AR336" s="688"/>
      <c r="AS336" s="688"/>
      <c r="AT336" s="689"/>
      <c r="AU336" s="689"/>
      <c r="AV336" s="690"/>
      <c r="AW336" s="690"/>
      <c r="AX336" s="690"/>
      <c r="AY336" s="690"/>
      <c r="AZ336" s="690"/>
      <c r="BA336" s="690"/>
      <c r="BB336" s="695"/>
      <c r="BC336" s="695"/>
      <c r="BD336" s="695"/>
      <c r="BE336" s="695"/>
      <c r="BF336" s="692"/>
      <c r="BG336" s="692"/>
      <c r="BH336" s="692"/>
      <c r="BI336" s="692"/>
      <c r="BJ336" s="692"/>
      <c r="BK336" s="692"/>
      <c r="BL336" s="693"/>
      <c r="BM336" s="693"/>
      <c r="BN336" s="688"/>
      <c r="BO336" s="693"/>
      <c r="BP336" s="689"/>
      <c r="BQ336" s="694"/>
      <c r="BR336" s="687"/>
      <c r="BS336" s="687"/>
      <c r="BT336" s="687"/>
      <c r="BU336" s="687"/>
      <c r="BV336" s="687"/>
      <c r="BW336" s="688"/>
      <c r="BX336" s="688"/>
      <c r="BY336" s="689"/>
      <c r="BZ336" s="690"/>
      <c r="CA336" s="690"/>
      <c r="CB336" s="690"/>
      <c r="CC336" s="691"/>
      <c r="CD336" s="691"/>
      <c r="CE336" s="692"/>
      <c r="CF336" s="692"/>
      <c r="CG336" s="692"/>
      <c r="CH336" s="693"/>
    </row>
    <row r="337">
      <c r="B337" s="687"/>
      <c r="C337" s="687"/>
      <c r="D337" s="688"/>
      <c r="E337" s="689"/>
      <c r="F337" s="690"/>
      <c r="G337" s="690"/>
      <c r="H337" s="690"/>
      <c r="I337" s="691"/>
      <c r="J337" s="691"/>
      <c r="K337" s="691"/>
      <c r="L337" s="692"/>
      <c r="M337" s="692"/>
      <c r="N337" s="692"/>
      <c r="O337" s="693"/>
      <c r="P337" s="688"/>
      <c r="Q337" s="688"/>
      <c r="R337" s="688"/>
      <c r="S337" s="688"/>
      <c r="T337" s="689"/>
      <c r="U337" s="689"/>
      <c r="V337" s="694"/>
      <c r="W337" s="694"/>
      <c r="X337" s="694"/>
      <c r="Y337" s="694"/>
      <c r="Z337" s="693"/>
      <c r="AA337" s="693"/>
      <c r="AB337" s="693"/>
      <c r="AC337" s="693"/>
      <c r="AD337" s="688"/>
      <c r="AE337" s="689"/>
      <c r="AF337" s="689"/>
      <c r="AG337" s="690"/>
      <c r="AH337" s="690"/>
      <c r="AI337" s="695"/>
      <c r="AJ337" s="695"/>
      <c r="AK337" s="692"/>
      <c r="AL337" s="692"/>
      <c r="AM337" s="693"/>
      <c r="AN337" s="688"/>
      <c r="AO337" s="688"/>
      <c r="AP337" s="688"/>
      <c r="AQ337" s="688"/>
      <c r="AR337" s="688"/>
      <c r="AS337" s="688"/>
      <c r="AT337" s="689"/>
      <c r="AU337" s="689"/>
      <c r="AV337" s="690"/>
      <c r="AW337" s="690"/>
      <c r="AX337" s="690"/>
      <c r="AY337" s="690"/>
      <c r="AZ337" s="690"/>
      <c r="BA337" s="690"/>
      <c r="BB337" s="695"/>
      <c r="BC337" s="695"/>
      <c r="BD337" s="695"/>
      <c r="BE337" s="695"/>
      <c r="BF337" s="692"/>
      <c r="BG337" s="692"/>
      <c r="BH337" s="692"/>
      <c r="BI337" s="692"/>
      <c r="BJ337" s="692"/>
      <c r="BK337" s="692"/>
      <c r="BL337" s="693"/>
      <c r="BM337" s="693"/>
      <c r="BN337" s="688"/>
      <c r="BO337" s="693"/>
      <c r="BP337" s="689"/>
      <c r="BQ337" s="694"/>
      <c r="BR337" s="687"/>
      <c r="BS337" s="687"/>
      <c r="BT337" s="687"/>
      <c r="BU337" s="687"/>
      <c r="BV337" s="687"/>
      <c r="BW337" s="688"/>
      <c r="BX337" s="688"/>
      <c r="BY337" s="689"/>
      <c r="BZ337" s="690"/>
      <c r="CA337" s="690"/>
      <c r="CB337" s="690"/>
      <c r="CC337" s="691"/>
      <c r="CD337" s="691"/>
      <c r="CE337" s="692"/>
      <c r="CF337" s="692"/>
      <c r="CG337" s="692"/>
      <c r="CH337" s="693"/>
    </row>
    <row r="338">
      <c r="B338" s="687"/>
      <c r="C338" s="687"/>
      <c r="D338" s="688"/>
      <c r="E338" s="689"/>
      <c r="F338" s="690"/>
      <c r="G338" s="690"/>
      <c r="H338" s="690"/>
      <c r="I338" s="691"/>
      <c r="J338" s="691"/>
      <c r="K338" s="691"/>
      <c r="L338" s="692"/>
      <c r="M338" s="692"/>
      <c r="N338" s="692"/>
      <c r="O338" s="693"/>
      <c r="P338" s="688"/>
      <c r="Q338" s="688"/>
      <c r="R338" s="688"/>
      <c r="S338" s="688"/>
      <c r="T338" s="689"/>
      <c r="U338" s="689"/>
      <c r="V338" s="694"/>
      <c r="W338" s="694"/>
      <c r="X338" s="694"/>
      <c r="Y338" s="694"/>
      <c r="Z338" s="693"/>
      <c r="AA338" s="693"/>
      <c r="AB338" s="693"/>
      <c r="AC338" s="693"/>
      <c r="AD338" s="688"/>
      <c r="AE338" s="689"/>
      <c r="AF338" s="689"/>
      <c r="AG338" s="690"/>
      <c r="AH338" s="690"/>
      <c r="AI338" s="695"/>
      <c r="AJ338" s="695"/>
      <c r="AK338" s="692"/>
      <c r="AL338" s="692"/>
      <c r="AM338" s="693"/>
      <c r="AN338" s="688"/>
      <c r="AO338" s="688"/>
      <c r="AP338" s="688"/>
      <c r="AQ338" s="688"/>
      <c r="AR338" s="688"/>
      <c r="AS338" s="688"/>
      <c r="AT338" s="689"/>
      <c r="AU338" s="689"/>
      <c r="AV338" s="690"/>
      <c r="AW338" s="690"/>
      <c r="AX338" s="690"/>
      <c r="AY338" s="690"/>
      <c r="AZ338" s="690"/>
      <c r="BA338" s="690"/>
      <c r="BB338" s="695"/>
      <c r="BC338" s="695"/>
      <c r="BD338" s="695"/>
      <c r="BE338" s="695"/>
      <c r="BF338" s="692"/>
      <c r="BG338" s="692"/>
      <c r="BH338" s="692"/>
      <c r="BI338" s="692"/>
      <c r="BJ338" s="692"/>
      <c r="BK338" s="692"/>
      <c r="BL338" s="693"/>
      <c r="BM338" s="693"/>
      <c r="BN338" s="688"/>
      <c r="BO338" s="693"/>
      <c r="BP338" s="689"/>
      <c r="BQ338" s="694"/>
      <c r="BR338" s="687"/>
      <c r="BS338" s="687"/>
      <c r="BT338" s="687"/>
      <c r="BU338" s="687"/>
      <c r="BV338" s="687"/>
      <c r="BW338" s="688"/>
      <c r="BX338" s="688"/>
      <c r="BY338" s="689"/>
      <c r="BZ338" s="690"/>
      <c r="CA338" s="690"/>
      <c r="CB338" s="690"/>
      <c r="CC338" s="691"/>
      <c r="CD338" s="691"/>
      <c r="CE338" s="692"/>
      <c r="CF338" s="692"/>
      <c r="CG338" s="692"/>
      <c r="CH338" s="693"/>
    </row>
    <row r="339">
      <c r="B339" s="687"/>
      <c r="C339" s="687"/>
      <c r="D339" s="688"/>
      <c r="E339" s="689"/>
      <c r="F339" s="690"/>
      <c r="G339" s="690"/>
      <c r="H339" s="690"/>
      <c r="I339" s="691"/>
      <c r="J339" s="691"/>
      <c r="K339" s="691"/>
      <c r="L339" s="692"/>
      <c r="M339" s="692"/>
      <c r="N339" s="692"/>
      <c r="O339" s="693"/>
      <c r="P339" s="688"/>
      <c r="Q339" s="688"/>
      <c r="R339" s="688"/>
      <c r="S339" s="688"/>
      <c r="T339" s="689"/>
      <c r="U339" s="689"/>
      <c r="V339" s="694"/>
      <c r="W339" s="694"/>
      <c r="X339" s="694"/>
      <c r="Y339" s="694"/>
      <c r="Z339" s="693"/>
      <c r="AA339" s="693"/>
      <c r="AB339" s="693"/>
      <c r="AC339" s="693"/>
      <c r="AD339" s="688"/>
      <c r="AE339" s="689"/>
      <c r="AF339" s="689"/>
      <c r="AG339" s="690"/>
      <c r="AH339" s="690"/>
      <c r="AI339" s="695"/>
      <c r="AJ339" s="695"/>
      <c r="AK339" s="692"/>
      <c r="AL339" s="692"/>
      <c r="AM339" s="693"/>
      <c r="AN339" s="688"/>
      <c r="AO339" s="688"/>
      <c r="AP339" s="688"/>
      <c r="AQ339" s="688"/>
      <c r="AR339" s="688"/>
      <c r="AS339" s="688"/>
      <c r="AT339" s="689"/>
      <c r="AU339" s="689"/>
      <c r="AV339" s="690"/>
      <c r="AW339" s="690"/>
      <c r="AX339" s="690"/>
      <c r="AY339" s="690"/>
      <c r="AZ339" s="690"/>
      <c r="BA339" s="690"/>
      <c r="BB339" s="695"/>
      <c r="BC339" s="695"/>
      <c r="BD339" s="695"/>
      <c r="BE339" s="695"/>
      <c r="BF339" s="692"/>
      <c r="BG339" s="692"/>
      <c r="BH339" s="692"/>
      <c r="BI339" s="692"/>
      <c r="BJ339" s="692"/>
      <c r="BK339" s="692"/>
      <c r="BL339" s="693"/>
      <c r="BM339" s="693"/>
      <c r="BN339" s="688"/>
      <c r="BO339" s="693"/>
      <c r="BP339" s="689"/>
      <c r="BQ339" s="694"/>
      <c r="BR339" s="687"/>
      <c r="BS339" s="687"/>
      <c r="BT339" s="687"/>
      <c r="BU339" s="687"/>
      <c r="BV339" s="687"/>
      <c r="BW339" s="688"/>
      <c r="BX339" s="688"/>
      <c r="BY339" s="689"/>
      <c r="BZ339" s="690"/>
      <c r="CA339" s="690"/>
      <c r="CB339" s="690"/>
      <c r="CC339" s="691"/>
      <c r="CD339" s="691"/>
      <c r="CE339" s="692"/>
      <c r="CF339" s="692"/>
      <c r="CG339" s="692"/>
      <c r="CH339" s="693"/>
    </row>
    <row r="340">
      <c r="B340" s="687"/>
      <c r="C340" s="687"/>
      <c r="D340" s="688"/>
      <c r="E340" s="689"/>
      <c r="F340" s="690"/>
      <c r="G340" s="690"/>
      <c r="H340" s="690"/>
      <c r="I340" s="691"/>
      <c r="J340" s="691"/>
      <c r="K340" s="691"/>
      <c r="L340" s="692"/>
      <c r="M340" s="692"/>
      <c r="N340" s="692"/>
      <c r="O340" s="693"/>
      <c r="P340" s="688"/>
      <c r="Q340" s="688"/>
      <c r="R340" s="688"/>
      <c r="S340" s="688"/>
      <c r="T340" s="689"/>
      <c r="U340" s="689"/>
      <c r="V340" s="694"/>
      <c r="W340" s="694"/>
      <c r="X340" s="694"/>
      <c r="Y340" s="694"/>
      <c r="Z340" s="693"/>
      <c r="AA340" s="693"/>
      <c r="AB340" s="693"/>
      <c r="AC340" s="693"/>
      <c r="AD340" s="688"/>
      <c r="AE340" s="689"/>
      <c r="AF340" s="689"/>
      <c r="AG340" s="690"/>
      <c r="AH340" s="690"/>
      <c r="AI340" s="695"/>
      <c r="AJ340" s="695"/>
      <c r="AK340" s="692"/>
      <c r="AL340" s="692"/>
      <c r="AM340" s="693"/>
      <c r="AN340" s="688"/>
      <c r="AO340" s="688"/>
      <c r="AP340" s="688"/>
      <c r="AQ340" s="688"/>
      <c r="AR340" s="688"/>
      <c r="AS340" s="688"/>
      <c r="AT340" s="689"/>
      <c r="AU340" s="689"/>
      <c r="AV340" s="690"/>
      <c r="AW340" s="690"/>
      <c r="AX340" s="690"/>
      <c r="AY340" s="690"/>
      <c r="AZ340" s="690"/>
      <c r="BA340" s="690"/>
      <c r="BB340" s="695"/>
      <c r="BC340" s="695"/>
      <c r="BD340" s="695"/>
      <c r="BE340" s="695"/>
      <c r="BF340" s="692"/>
      <c r="BG340" s="692"/>
      <c r="BH340" s="692"/>
      <c r="BI340" s="692"/>
      <c r="BJ340" s="692"/>
      <c r="BK340" s="692"/>
      <c r="BL340" s="693"/>
      <c r="BM340" s="693"/>
      <c r="BN340" s="688"/>
      <c r="BO340" s="693"/>
      <c r="BP340" s="689"/>
      <c r="BQ340" s="694"/>
      <c r="BR340" s="687"/>
      <c r="BS340" s="687"/>
      <c r="BT340" s="687"/>
      <c r="BU340" s="687"/>
      <c r="BV340" s="687"/>
      <c r="BW340" s="688"/>
      <c r="BX340" s="688"/>
      <c r="BY340" s="689"/>
      <c r="BZ340" s="690"/>
      <c r="CA340" s="690"/>
      <c r="CB340" s="690"/>
      <c r="CC340" s="691"/>
      <c r="CD340" s="691"/>
      <c r="CE340" s="692"/>
      <c r="CF340" s="692"/>
      <c r="CG340" s="692"/>
      <c r="CH340" s="693"/>
    </row>
    <row r="341">
      <c r="B341" s="687"/>
      <c r="C341" s="687"/>
      <c r="D341" s="688"/>
      <c r="E341" s="689"/>
      <c r="F341" s="690"/>
      <c r="G341" s="690"/>
      <c r="H341" s="690"/>
      <c r="I341" s="691"/>
      <c r="J341" s="691"/>
      <c r="K341" s="691"/>
      <c r="L341" s="692"/>
      <c r="M341" s="692"/>
      <c r="N341" s="692"/>
      <c r="O341" s="693"/>
      <c r="P341" s="688"/>
      <c r="Q341" s="688"/>
      <c r="R341" s="688"/>
      <c r="S341" s="688"/>
      <c r="T341" s="689"/>
      <c r="U341" s="689"/>
      <c r="V341" s="694"/>
      <c r="W341" s="694"/>
      <c r="X341" s="694"/>
      <c r="Y341" s="694"/>
      <c r="Z341" s="693"/>
      <c r="AA341" s="693"/>
      <c r="AB341" s="693"/>
      <c r="AC341" s="693"/>
      <c r="AD341" s="688"/>
      <c r="AE341" s="689"/>
      <c r="AF341" s="689"/>
      <c r="AG341" s="690"/>
      <c r="AH341" s="690"/>
      <c r="AI341" s="695"/>
      <c r="AJ341" s="695"/>
      <c r="AK341" s="692"/>
      <c r="AL341" s="692"/>
      <c r="AM341" s="693"/>
      <c r="AN341" s="688"/>
      <c r="AO341" s="688"/>
      <c r="AP341" s="688"/>
      <c r="AQ341" s="688"/>
      <c r="AR341" s="688"/>
      <c r="AS341" s="688"/>
      <c r="AT341" s="689"/>
      <c r="AU341" s="689"/>
      <c r="AV341" s="690"/>
      <c r="AW341" s="690"/>
      <c r="AX341" s="690"/>
      <c r="AY341" s="690"/>
      <c r="AZ341" s="690"/>
      <c r="BA341" s="690"/>
      <c r="BB341" s="695"/>
      <c r="BC341" s="695"/>
      <c r="BD341" s="695"/>
      <c r="BE341" s="695"/>
      <c r="BF341" s="692"/>
      <c r="BG341" s="692"/>
      <c r="BH341" s="692"/>
      <c r="BI341" s="692"/>
      <c r="BJ341" s="692"/>
      <c r="BK341" s="692"/>
      <c r="BL341" s="693"/>
      <c r="BM341" s="693"/>
      <c r="BN341" s="688"/>
      <c r="BO341" s="693"/>
      <c r="BP341" s="689"/>
      <c r="BQ341" s="694"/>
      <c r="BR341" s="687"/>
      <c r="BS341" s="687"/>
      <c r="BT341" s="687"/>
      <c r="BU341" s="687"/>
      <c r="BV341" s="687"/>
      <c r="BW341" s="688"/>
      <c r="BX341" s="688"/>
      <c r="BY341" s="689"/>
      <c r="BZ341" s="690"/>
      <c r="CA341" s="690"/>
      <c r="CB341" s="690"/>
      <c r="CC341" s="691"/>
      <c r="CD341" s="691"/>
      <c r="CE341" s="692"/>
      <c r="CF341" s="692"/>
      <c r="CG341" s="692"/>
      <c r="CH341" s="693"/>
    </row>
    <row r="342">
      <c r="B342" s="687"/>
      <c r="C342" s="687"/>
      <c r="D342" s="688"/>
      <c r="E342" s="689"/>
      <c r="F342" s="690"/>
      <c r="G342" s="690"/>
      <c r="H342" s="690"/>
      <c r="I342" s="691"/>
      <c r="J342" s="691"/>
      <c r="K342" s="691"/>
      <c r="L342" s="692"/>
      <c r="M342" s="692"/>
      <c r="N342" s="692"/>
      <c r="O342" s="693"/>
      <c r="P342" s="688"/>
      <c r="Q342" s="688"/>
      <c r="R342" s="688"/>
      <c r="S342" s="688"/>
      <c r="T342" s="689"/>
      <c r="U342" s="689"/>
      <c r="V342" s="694"/>
      <c r="W342" s="694"/>
      <c r="X342" s="694"/>
      <c r="Y342" s="694"/>
      <c r="Z342" s="693"/>
      <c r="AA342" s="693"/>
      <c r="AB342" s="693"/>
      <c r="AC342" s="693"/>
      <c r="AD342" s="688"/>
      <c r="AE342" s="689"/>
      <c r="AF342" s="689"/>
      <c r="AG342" s="690"/>
      <c r="AH342" s="690"/>
      <c r="AI342" s="695"/>
      <c r="AJ342" s="695"/>
      <c r="AK342" s="692"/>
      <c r="AL342" s="692"/>
      <c r="AM342" s="693"/>
      <c r="AN342" s="688"/>
      <c r="AO342" s="688"/>
      <c r="AP342" s="688"/>
      <c r="AQ342" s="688"/>
      <c r="AR342" s="688"/>
      <c r="AS342" s="688"/>
      <c r="AT342" s="689"/>
      <c r="AU342" s="689"/>
      <c r="AV342" s="690"/>
      <c r="AW342" s="690"/>
      <c r="AX342" s="690"/>
      <c r="AY342" s="690"/>
      <c r="AZ342" s="690"/>
      <c r="BA342" s="690"/>
      <c r="BB342" s="695"/>
      <c r="BC342" s="695"/>
      <c r="BD342" s="695"/>
      <c r="BE342" s="695"/>
      <c r="BF342" s="692"/>
      <c r="BG342" s="692"/>
      <c r="BH342" s="692"/>
      <c r="BI342" s="692"/>
      <c r="BJ342" s="692"/>
      <c r="BK342" s="692"/>
      <c r="BL342" s="693"/>
      <c r="BM342" s="693"/>
      <c r="BN342" s="688"/>
      <c r="BO342" s="693"/>
      <c r="BP342" s="689"/>
      <c r="BQ342" s="694"/>
      <c r="BR342" s="687"/>
      <c r="BS342" s="687"/>
      <c r="BT342" s="687"/>
      <c r="BU342" s="687"/>
      <c r="BV342" s="687"/>
      <c r="BW342" s="688"/>
      <c r="BX342" s="688"/>
      <c r="BY342" s="689"/>
      <c r="BZ342" s="690"/>
      <c r="CA342" s="690"/>
      <c r="CB342" s="690"/>
      <c r="CC342" s="691"/>
      <c r="CD342" s="691"/>
      <c r="CE342" s="692"/>
      <c r="CF342" s="692"/>
      <c r="CG342" s="692"/>
      <c r="CH342" s="693"/>
    </row>
    <row r="343">
      <c r="B343" s="687"/>
      <c r="C343" s="687"/>
      <c r="D343" s="688"/>
      <c r="E343" s="689"/>
      <c r="F343" s="690"/>
      <c r="G343" s="690"/>
      <c r="H343" s="690"/>
      <c r="I343" s="691"/>
      <c r="J343" s="691"/>
      <c r="K343" s="691"/>
      <c r="L343" s="692"/>
      <c r="M343" s="692"/>
      <c r="N343" s="692"/>
      <c r="O343" s="693"/>
      <c r="P343" s="688"/>
      <c r="Q343" s="688"/>
      <c r="R343" s="688"/>
      <c r="S343" s="688"/>
      <c r="T343" s="689"/>
      <c r="U343" s="689"/>
      <c r="V343" s="694"/>
      <c r="W343" s="694"/>
      <c r="X343" s="694"/>
      <c r="Y343" s="694"/>
      <c r="Z343" s="693"/>
      <c r="AA343" s="693"/>
      <c r="AB343" s="693"/>
      <c r="AC343" s="693"/>
      <c r="AD343" s="688"/>
      <c r="AE343" s="689"/>
      <c r="AF343" s="689"/>
      <c r="AG343" s="690"/>
      <c r="AH343" s="690"/>
      <c r="AI343" s="695"/>
      <c r="AJ343" s="695"/>
      <c r="AK343" s="692"/>
      <c r="AL343" s="692"/>
      <c r="AM343" s="693"/>
      <c r="AN343" s="688"/>
      <c r="AO343" s="688"/>
      <c r="AP343" s="688"/>
      <c r="AQ343" s="688"/>
      <c r="AR343" s="688"/>
      <c r="AS343" s="688"/>
      <c r="AT343" s="689"/>
      <c r="AU343" s="689"/>
      <c r="AV343" s="690"/>
      <c r="AW343" s="690"/>
      <c r="AX343" s="690"/>
      <c r="AY343" s="690"/>
      <c r="AZ343" s="690"/>
      <c r="BA343" s="690"/>
      <c r="BB343" s="695"/>
      <c r="BC343" s="695"/>
      <c r="BD343" s="695"/>
      <c r="BE343" s="695"/>
      <c r="BF343" s="692"/>
      <c r="BG343" s="692"/>
      <c r="BH343" s="692"/>
      <c r="BI343" s="692"/>
      <c r="BJ343" s="692"/>
      <c r="BK343" s="692"/>
      <c r="BL343" s="693"/>
      <c r="BM343" s="693"/>
      <c r="BN343" s="688"/>
      <c r="BO343" s="693"/>
      <c r="BP343" s="689"/>
      <c r="BQ343" s="694"/>
      <c r="BR343" s="687"/>
      <c r="BS343" s="687"/>
      <c r="BT343" s="687"/>
      <c r="BU343" s="687"/>
      <c r="BV343" s="687"/>
      <c r="BW343" s="688"/>
      <c r="BX343" s="688"/>
      <c r="BY343" s="689"/>
      <c r="BZ343" s="690"/>
      <c r="CA343" s="690"/>
      <c r="CB343" s="690"/>
      <c r="CC343" s="691"/>
      <c r="CD343" s="691"/>
      <c r="CE343" s="692"/>
      <c r="CF343" s="692"/>
      <c r="CG343" s="692"/>
      <c r="CH343" s="693"/>
    </row>
    <row r="344">
      <c r="B344" s="687"/>
      <c r="C344" s="687"/>
      <c r="D344" s="688"/>
      <c r="E344" s="689"/>
      <c r="F344" s="690"/>
      <c r="G344" s="690"/>
      <c r="H344" s="690"/>
      <c r="I344" s="691"/>
      <c r="J344" s="691"/>
      <c r="K344" s="691"/>
      <c r="L344" s="692"/>
      <c r="M344" s="692"/>
      <c r="N344" s="692"/>
      <c r="O344" s="693"/>
      <c r="P344" s="688"/>
      <c r="Q344" s="688"/>
      <c r="R344" s="688"/>
      <c r="S344" s="688"/>
      <c r="T344" s="689"/>
      <c r="U344" s="689"/>
      <c r="V344" s="694"/>
      <c r="W344" s="694"/>
      <c r="X344" s="694"/>
      <c r="Y344" s="694"/>
      <c r="Z344" s="693"/>
      <c r="AA344" s="693"/>
      <c r="AB344" s="693"/>
      <c r="AC344" s="693"/>
      <c r="AD344" s="688"/>
      <c r="AE344" s="689"/>
      <c r="AF344" s="689"/>
      <c r="AG344" s="690"/>
      <c r="AH344" s="690"/>
      <c r="AI344" s="695"/>
      <c r="AJ344" s="695"/>
      <c r="AK344" s="692"/>
      <c r="AL344" s="692"/>
      <c r="AM344" s="693"/>
      <c r="AN344" s="688"/>
      <c r="AO344" s="688"/>
      <c r="AP344" s="688"/>
      <c r="AQ344" s="688"/>
      <c r="AR344" s="688"/>
      <c r="AS344" s="688"/>
      <c r="AT344" s="689"/>
      <c r="AU344" s="689"/>
      <c r="AV344" s="690"/>
      <c r="AW344" s="690"/>
      <c r="AX344" s="690"/>
      <c r="AY344" s="690"/>
      <c r="AZ344" s="690"/>
      <c r="BA344" s="690"/>
      <c r="BB344" s="695"/>
      <c r="BC344" s="695"/>
      <c r="BD344" s="695"/>
      <c r="BE344" s="695"/>
      <c r="BF344" s="692"/>
      <c r="BG344" s="692"/>
      <c r="BH344" s="692"/>
      <c r="BI344" s="692"/>
      <c r="BJ344" s="692"/>
      <c r="BK344" s="692"/>
      <c r="BL344" s="693"/>
      <c r="BM344" s="693"/>
      <c r="BN344" s="688"/>
      <c r="BO344" s="693"/>
      <c r="BP344" s="689"/>
      <c r="BQ344" s="694"/>
      <c r="BR344" s="687"/>
      <c r="BS344" s="687"/>
      <c r="BT344" s="687"/>
      <c r="BU344" s="687"/>
      <c r="BV344" s="687"/>
      <c r="BW344" s="688"/>
      <c r="BX344" s="688"/>
      <c r="BY344" s="689"/>
      <c r="BZ344" s="690"/>
      <c r="CA344" s="690"/>
      <c r="CB344" s="690"/>
      <c r="CC344" s="691"/>
      <c r="CD344" s="691"/>
      <c r="CE344" s="692"/>
      <c r="CF344" s="692"/>
      <c r="CG344" s="692"/>
      <c r="CH344" s="693"/>
    </row>
    <row r="345">
      <c r="B345" s="687"/>
      <c r="C345" s="687"/>
      <c r="D345" s="688"/>
      <c r="E345" s="689"/>
      <c r="F345" s="690"/>
      <c r="G345" s="690"/>
      <c r="H345" s="690"/>
      <c r="I345" s="691"/>
      <c r="J345" s="691"/>
      <c r="K345" s="691"/>
      <c r="L345" s="692"/>
      <c r="M345" s="692"/>
      <c r="N345" s="692"/>
      <c r="O345" s="693"/>
      <c r="P345" s="688"/>
      <c r="Q345" s="688"/>
      <c r="R345" s="688"/>
      <c r="S345" s="688"/>
      <c r="T345" s="689"/>
      <c r="U345" s="689"/>
      <c r="V345" s="694"/>
      <c r="W345" s="694"/>
      <c r="X345" s="694"/>
      <c r="Y345" s="694"/>
      <c r="Z345" s="693"/>
      <c r="AA345" s="693"/>
      <c r="AB345" s="693"/>
      <c r="AC345" s="693"/>
      <c r="AD345" s="688"/>
      <c r="AE345" s="689"/>
      <c r="AF345" s="689"/>
      <c r="AG345" s="690"/>
      <c r="AH345" s="690"/>
      <c r="AI345" s="695"/>
      <c r="AJ345" s="695"/>
      <c r="AK345" s="692"/>
      <c r="AL345" s="692"/>
      <c r="AM345" s="693"/>
      <c r="AN345" s="688"/>
      <c r="AO345" s="688"/>
      <c r="AP345" s="688"/>
      <c r="AQ345" s="688"/>
      <c r="AR345" s="688"/>
      <c r="AS345" s="688"/>
      <c r="AT345" s="689"/>
      <c r="AU345" s="689"/>
      <c r="AV345" s="690"/>
      <c r="AW345" s="690"/>
      <c r="AX345" s="690"/>
      <c r="AY345" s="690"/>
      <c r="AZ345" s="690"/>
      <c r="BA345" s="690"/>
      <c r="BB345" s="695"/>
      <c r="BC345" s="695"/>
      <c r="BD345" s="695"/>
      <c r="BE345" s="695"/>
      <c r="BF345" s="692"/>
      <c r="BG345" s="692"/>
      <c r="BH345" s="692"/>
      <c r="BI345" s="692"/>
      <c r="BJ345" s="692"/>
      <c r="BK345" s="692"/>
      <c r="BL345" s="693"/>
      <c r="BM345" s="693"/>
      <c r="BN345" s="688"/>
      <c r="BO345" s="693"/>
      <c r="BP345" s="689"/>
      <c r="BQ345" s="694"/>
      <c r="BR345" s="687"/>
      <c r="BS345" s="687"/>
      <c r="BT345" s="687"/>
      <c r="BU345" s="687"/>
      <c r="BV345" s="687"/>
      <c r="BW345" s="688"/>
      <c r="BX345" s="688"/>
      <c r="BY345" s="689"/>
      <c r="BZ345" s="690"/>
      <c r="CA345" s="690"/>
      <c r="CB345" s="690"/>
      <c r="CC345" s="691"/>
      <c r="CD345" s="691"/>
      <c r="CE345" s="692"/>
      <c r="CF345" s="692"/>
      <c r="CG345" s="692"/>
      <c r="CH345" s="693"/>
    </row>
    <row r="346">
      <c r="B346" s="687"/>
      <c r="C346" s="687"/>
      <c r="D346" s="688"/>
      <c r="E346" s="689"/>
      <c r="F346" s="690"/>
      <c r="G346" s="690"/>
      <c r="H346" s="690"/>
      <c r="I346" s="691"/>
      <c r="J346" s="691"/>
      <c r="K346" s="691"/>
      <c r="L346" s="692"/>
      <c r="M346" s="692"/>
      <c r="N346" s="692"/>
      <c r="O346" s="693"/>
      <c r="P346" s="688"/>
      <c r="Q346" s="688"/>
      <c r="R346" s="688"/>
      <c r="S346" s="688"/>
      <c r="T346" s="689"/>
      <c r="U346" s="689"/>
      <c r="V346" s="694"/>
      <c r="W346" s="694"/>
      <c r="X346" s="694"/>
      <c r="Y346" s="694"/>
      <c r="Z346" s="693"/>
      <c r="AA346" s="693"/>
      <c r="AB346" s="693"/>
      <c r="AC346" s="693"/>
      <c r="AD346" s="688"/>
      <c r="AE346" s="689"/>
      <c r="AF346" s="689"/>
      <c r="AG346" s="690"/>
      <c r="AH346" s="690"/>
      <c r="AI346" s="695"/>
      <c r="AJ346" s="695"/>
      <c r="AK346" s="692"/>
      <c r="AL346" s="692"/>
      <c r="AM346" s="693"/>
      <c r="AN346" s="688"/>
      <c r="AO346" s="688"/>
      <c r="AP346" s="688"/>
      <c r="AQ346" s="688"/>
      <c r="AR346" s="688"/>
      <c r="AS346" s="688"/>
      <c r="AT346" s="689"/>
      <c r="AU346" s="689"/>
      <c r="AV346" s="690"/>
      <c r="AW346" s="690"/>
      <c r="AX346" s="690"/>
      <c r="AY346" s="690"/>
      <c r="AZ346" s="690"/>
      <c r="BA346" s="690"/>
      <c r="BB346" s="695"/>
      <c r="BC346" s="695"/>
      <c r="BD346" s="695"/>
      <c r="BE346" s="695"/>
      <c r="BF346" s="692"/>
      <c r="BG346" s="692"/>
      <c r="BH346" s="692"/>
      <c r="BI346" s="692"/>
      <c r="BJ346" s="692"/>
      <c r="BK346" s="692"/>
      <c r="BL346" s="693"/>
      <c r="BM346" s="693"/>
      <c r="BN346" s="688"/>
      <c r="BO346" s="693"/>
      <c r="BP346" s="689"/>
      <c r="BQ346" s="694"/>
      <c r="BR346" s="687"/>
      <c r="BS346" s="687"/>
      <c r="BT346" s="687"/>
      <c r="BU346" s="687"/>
      <c r="BV346" s="687"/>
      <c r="BW346" s="688"/>
      <c r="BX346" s="688"/>
      <c r="BY346" s="689"/>
      <c r="BZ346" s="690"/>
      <c r="CA346" s="690"/>
      <c r="CB346" s="690"/>
      <c r="CC346" s="691"/>
      <c r="CD346" s="691"/>
      <c r="CE346" s="692"/>
      <c r="CF346" s="692"/>
      <c r="CG346" s="692"/>
      <c r="CH346" s="693"/>
    </row>
    <row r="347">
      <c r="B347" s="687"/>
      <c r="C347" s="687"/>
      <c r="D347" s="688"/>
      <c r="E347" s="689"/>
      <c r="F347" s="690"/>
      <c r="G347" s="690"/>
      <c r="H347" s="690"/>
      <c r="I347" s="691"/>
      <c r="J347" s="691"/>
      <c r="K347" s="691"/>
      <c r="L347" s="692"/>
      <c r="M347" s="692"/>
      <c r="N347" s="692"/>
      <c r="O347" s="693"/>
      <c r="P347" s="688"/>
      <c r="Q347" s="688"/>
      <c r="R347" s="688"/>
      <c r="S347" s="688"/>
      <c r="T347" s="689"/>
      <c r="U347" s="689"/>
      <c r="V347" s="694"/>
      <c r="W347" s="694"/>
      <c r="X347" s="694"/>
      <c r="Y347" s="694"/>
      <c r="Z347" s="693"/>
      <c r="AA347" s="693"/>
      <c r="AB347" s="693"/>
      <c r="AC347" s="693"/>
      <c r="AD347" s="688"/>
      <c r="AE347" s="689"/>
      <c r="AF347" s="689"/>
      <c r="AG347" s="690"/>
      <c r="AH347" s="690"/>
      <c r="AI347" s="695"/>
      <c r="AJ347" s="695"/>
      <c r="AK347" s="692"/>
      <c r="AL347" s="692"/>
      <c r="AM347" s="693"/>
      <c r="AN347" s="688"/>
      <c r="AO347" s="688"/>
      <c r="AP347" s="688"/>
      <c r="AQ347" s="688"/>
      <c r="AR347" s="688"/>
      <c r="AS347" s="688"/>
      <c r="AT347" s="689"/>
      <c r="AU347" s="689"/>
      <c r="AV347" s="690"/>
      <c r="AW347" s="690"/>
      <c r="AX347" s="690"/>
      <c r="AY347" s="690"/>
      <c r="AZ347" s="690"/>
      <c r="BA347" s="690"/>
      <c r="BB347" s="695"/>
      <c r="BC347" s="695"/>
      <c r="BD347" s="695"/>
      <c r="BE347" s="695"/>
      <c r="BF347" s="692"/>
      <c r="BG347" s="692"/>
      <c r="BH347" s="692"/>
      <c r="BI347" s="692"/>
      <c r="BJ347" s="692"/>
      <c r="BK347" s="692"/>
      <c r="BL347" s="693"/>
      <c r="BM347" s="693"/>
      <c r="BN347" s="688"/>
      <c r="BO347" s="693"/>
      <c r="BP347" s="689"/>
      <c r="BQ347" s="694"/>
      <c r="BR347" s="687"/>
      <c r="BS347" s="687"/>
      <c r="BT347" s="687"/>
      <c r="BU347" s="687"/>
      <c r="BV347" s="687"/>
      <c r="BW347" s="688"/>
      <c r="BX347" s="688"/>
      <c r="BY347" s="689"/>
      <c r="BZ347" s="690"/>
      <c r="CA347" s="690"/>
      <c r="CB347" s="690"/>
      <c r="CC347" s="691"/>
      <c r="CD347" s="691"/>
      <c r="CE347" s="692"/>
      <c r="CF347" s="692"/>
      <c r="CG347" s="692"/>
      <c r="CH347" s="693"/>
    </row>
    <row r="348">
      <c r="B348" s="687"/>
      <c r="C348" s="687"/>
      <c r="D348" s="688"/>
      <c r="E348" s="689"/>
      <c r="F348" s="690"/>
      <c r="G348" s="690"/>
      <c r="H348" s="690"/>
      <c r="I348" s="691"/>
      <c r="J348" s="691"/>
      <c r="K348" s="691"/>
      <c r="L348" s="692"/>
      <c r="M348" s="692"/>
      <c r="N348" s="692"/>
      <c r="O348" s="693"/>
      <c r="P348" s="688"/>
      <c r="Q348" s="688"/>
      <c r="R348" s="688"/>
      <c r="S348" s="688"/>
      <c r="T348" s="689"/>
      <c r="U348" s="689"/>
      <c r="V348" s="694"/>
      <c r="W348" s="694"/>
      <c r="X348" s="694"/>
      <c r="Y348" s="694"/>
      <c r="Z348" s="693"/>
      <c r="AA348" s="693"/>
      <c r="AB348" s="693"/>
      <c r="AC348" s="693"/>
      <c r="AD348" s="688"/>
      <c r="AE348" s="689"/>
      <c r="AF348" s="689"/>
      <c r="AG348" s="690"/>
      <c r="AH348" s="690"/>
      <c r="AI348" s="695"/>
      <c r="AJ348" s="695"/>
      <c r="AK348" s="692"/>
      <c r="AL348" s="692"/>
      <c r="AM348" s="693"/>
      <c r="AN348" s="688"/>
      <c r="AO348" s="688"/>
      <c r="AP348" s="688"/>
      <c r="AQ348" s="688"/>
      <c r="AR348" s="688"/>
      <c r="AS348" s="688"/>
      <c r="AT348" s="689"/>
      <c r="AU348" s="689"/>
      <c r="AV348" s="690"/>
      <c r="AW348" s="690"/>
      <c r="AX348" s="690"/>
      <c r="AY348" s="690"/>
      <c r="AZ348" s="690"/>
      <c r="BA348" s="690"/>
      <c r="BB348" s="695"/>
      <c r="BC348" s="695"/>
      <c r="BD348" s="695"/>
      <c r="BE348" s="695"/>
      <c r="BF348" s="692"/>
      <c r="BG348" s="692"/>
      <c r="BH348" s="692"/>
      <c r="BI348" s="692"/>
      <c r="BJ348" s="692"/>
      <c r="BK348" s="692"/>
      <c r="BL348" s="693"/>
      <c r="BM348" s="693"/>
      <c r="BN348" s="688"/>
      <c r="BO348" s="693"/>
      <c r="BP348" s="689"/>
      <c r="BQ348" s="694"/>
      <c r="BR348" s="687"/>
      <c r="BS348" s="687"/>
      <c r="BT348" s="687"/>
      <c r="BU348" s="687"/>
      <c r="BV348" s="687"/>
      <c r="BW348" s="688"/>
      <c r="BX348" s="688"/>
      <c r="BY348" s="689"/>
      <c r="BZ348" s="690"/>
      <c r="CA348" s="690"/>
      <c r="CB348" s="690"/>
      <c r="CC348" s="691"/>
      <c r="CD348" s="691"/>
      <c r="CE348" s="692"/>
      <c r="CF348" s="692"/>
      <c r="CG348" s="692"/>
      <c r="CH348" s="693"/>
    </row>
    <row r="349">
      <c r="B349" s="687"/>
      <c r="C349" s="687"/>
      <c r="D349" s="688"/>
      <c r="E349" s="689"/>
      <c r="F349" s="690"/>
      <c r="G349" s="690"/>
      <c r="H349" s="690"/>
      <c r="I349" s="691"/>
      <c r="J349" s="691"/>
      <c r="K349" s="691"/>
      <c r="L349" s="692"/>
      <c r="M349" s="692"/>
      <c r="N349" s="692"/>
      <c r="O349" s="693"/>
      <c r="P349" s="688"/>
      <c r="Q349" s="688"/>
      <c r="R349" s="688"/>
      <c r="S349" s="688"/>
      <c r="T349" s="689"/>
      <c r="U349" s="689"/>
      <c r="V349" s="694"/>
      <c r="W349" s="694"/>
      <c r="X349" s="694"/>
      <c r="Y349" s="694"/>
      <c r="Z349" s="693"/>
      <c r="AA349" s="693"/>
      <c r="AB349" s="693"/>
      <c r="AC349" s="693"/>
      <c r="AD349" s="688"/>
      <c r="AE349" s="689"/>
      <c r="AF349" s="689"/>
      <c r="AG349" s="690"/>
      <c r="AH349" s="690"/>
      <c r="AI349" s="695"/>
      <c r="AJ349" s="695"/>
      <c r="AK349" s="692"/>
      <c r="AL349" s="692"/>
      <c r="AM349" s="693"/>
      <c r="AN349" s="688"/>
      <c r="AO349" s="688"/>
      <c r="AP349" s="688"/>
      <c r="AQ349" s="688"/>
      <c r="AR349" s="688"/>
      <c r="AS349" s="688"/>
      <c r="AT349" s="689"/>
      <c r="AU349" s="689"/>
      <c r="AV349" s="690"/>
      <c r="AW349" s="690"/>
      <c r="AX349" s="690"/>
      <c r="AY349" s="690"/>
      <c r="AZ349" s="690"/>
      <c r="BA349" s="690"/>
      <c r="BB349" s="695"/>
      <c r="BC349" s="695"/>
      <c r="BD349" s="695"/>
      <c r="BE349" s="695"/>
      <c r="BF349" s="692"/>
      <c r="BG349" s="692"/>
      <c r="BH349" s="692"/>
      <c r="BI349" s="692"/>
      <c r="BJ349" s="692"/>
      <c r="BK349" s="692"/>
      <c r="BL349" s="693"/>
      <c r="BM349" s="693"/>
      <c r="BN349" s="688"/>
      <c r="BO349" s="693"/>
      <c r="BP349" s="689"/>
      <c r="BQ349" s="694"/>
      <c r="BR349" s="687"/>
      <c r="BS349" s="687"/>
      <c r="BT349" s="687"/>
      <c r="BU349" s="687"/>
      <c r="BV349" s="687"/>
      <c r="BW349" s="688"/>
      <c r="BX349" s="688"/>
      <c r="BY349" s="689"/>
      <c r="BZ349" s="690"/>
      <c r="CA349" s="690"/>
      <c r="CB349" s="690"/>
      <c r="CC349" s="691"/>
      <c r="CD349" s="691"/>
      <c r="CE349" s="692"/>
      <c r="CF349" s="692"/>
      <c r="CG349" s="692"/>
      <c r="CH349" s="693"/>
    </row>
    <row r="350">
      <c r="B350" s="687"/>
      <c r="C350" s="687"/>
      <c r="D350" s="688"/>
      <c r="E350" s="689"/>
      <c r="F350" s="690"/>
      <c r="G350" s="690"/>
      <c r="H350" s="690"/>
      <c r="I350" s="691"/>
      <c r="J350" s="691"/>
      <c r="K350" s="691"/>
      <c r="L350" s="692"/>
      <c r="M350" s="692"/>
      <c r="N350" s="692"/>
      <c r="O350" s="693"/>
      <c r="P350" s="688"/>
      <c r="Q350" s="688"/>
      <c r="R350" s="688"/>
      <c r="S350" s="688"/>
      <c r="T350" s="689"/>
      <c r="U350" s="689"/>
      <c r="V350" s="694"/>
      <c r="W350" s="694"/>
      <c r="X350" s="694"/>
      <c r="Y350" s="694"/>
      <c r="Z350" s="693"/>
      <c r="AA350" s="693"/>
      <c r="AB350" s="693"/>
      <c r="AC350" s="693"/>
      <c r="AD350" s="688"/>
      <c r="AE350" s="689"/>
      <c r="AF350" s="689"/>
      <c r="AG350" s="690"/>
      <c r="AH350" s="690"/>
      <c r="AI350" s="695"/>
      <c r="AJ350" s="695"/>
      <c r="AK350" s="692"/>
      <c r="AL350" s="692"/>
      <c r="AM350" s="693"/>
      <c r="AN350" s="688"/>
      <c r="AO350" s="688"/>
      <c r="AP350" s="688"/>
      <c r="AQ350" s="688"/>
      <c r="AR350" s="688"/>
      <c r="AS350" s="688"/>
      <c r="AT350" s="689"/>
      <c r="AU350" s="689"/>
      <c r="AV350" s="690"/>
      <c r="AW350" s="690"/>
      <c r="AX350" s="690"/>
      <c r="AY350" s="690"/>
      <c r="AZ350" s="690"/>
      <c r="BA350" s="690"/>
      <c r="BB350" s="695"/>
      <c r="BC350" s="695"/>
      <c r="BD350" s="695"/>
      <c r="BE350" s="695"/>
      <c r="BF350" s="692"/>
      <c r="BG350" s="692"/>
      <c r="BH350" s="692"/>
      <c r="BI350" s="692"/>
      <c r="BJ350" s="692"/>
      <c r="BK350" s="692"/>
      <c r="BL350" s="693"/>
      <c r="BM350" s="693"/>
      <c r="BN350" s="688"/>
      <c r="BO350" s="693"/>
      <c r="BP350" s="689"/>
      <c r="BQ350" s="694"/>
      <c r="BR350" s="687"/>
      <c r="BS350" s="687"/>
      <c r="BT350" s="687"/>
      <c r="BU350" s="687"/>
      <c r="BV350" s="687"/>
      <c r="BW350" s="688"/>
      <c r="BX350" s="688"/>
      <c r="BY350" s="689"/>
      <c r="BZ350" s="690"/>
      <c r="CA350" s="690"/>
      <c r="CB350" s="690"/>
      <c r="CC350" s="691"/>
      <c r="CD350" s="691"/>
      <c r="CE350" s="692"/>
      <c r="CF350" s="692"/>
      <c r="CG350" s="692"/>
      <c r="CH350" s="693"/>
    </row>
    <row r="351">
      <c r="B351" s="687"/>
      <c r="C351" s="687"/>
      <c r="D351" s="688"/>
      <c r="E351" s="689"/>
      <c r="F351" s="690"/>
      <c r="G351" s="690"/>
      <c r="H351" s="690"/>
      <c r="I351" s="691"/>
      <c r="J351" s="691"/>
      <c r="K351" s="691"/>
      <c r="L351" s="692"/>
      <c r="M351" s="692"/>
      <c r="N351" s="692"/>
      <c r="O351" s="693"/>
      <c r="P351" s="688"/>
      <c r="Q351" s="688"/>
      <c r="R351" s="688"/>
      <c r="S351" s="688"/>
      <c r="T351" s="689"/>
      <c r="U351" s="689"/>
      <c r="V351" s="694"/>
      <c r="W351" s="694"/>
      <c r="X351" s="694"/>
      <c r="Y351" s="694"/>
      <c r="Z351" s="693"/>
      <c r="AA351" s="693"/>
      <c r="AB351" s="693"/>
      <c r="AC351" s="693"/>
      <c r="AD351" s="688"/>
      <c r="AE351" s="689"/>
      <c r="AF351" s="689"/>
      <c r="AG351" s="690"/>
      <c r="AH351" s="690"/>
      <c r="AI351" s="695"/>
      <c r="AJ351" s="695"/>
      <c r="AK351" s="692"/>
      <c r="AL351" s="692"/>
      <c r="AM351" s="693"/>
      <c r="AN351" s="688"/>
      <c r="AO351" s="688"/>
      <c r="AP351" s="688"/>
      <c r="AQ351" s="688"/>
      <c r="AR351" s="688"/>
      <c r="AS351" s="688"/>
      <c r="AT351" s="689"/>
      <c r="AU351" s="689"/>
      <c r="AV351" s="690"/>
      <c r="AW351" s="690"/>
      <c r="AX351" s="690"/>
      <c r="AY351" s="690"/>
      <c r="AZ351" s="690"/>
      <c r="BA351" s="690"/>
      <c r="BB351" s="695"/>
      <c r="BC351" s="695"/>
      <c r="BD351" s="695"/>
      <c r="BE351" s="695"/>
      <c r="BF351" s="692"/>
      <c r="BG351" s="692"/>
      <c r="BH351" s="692"/>
      <c r="BI351" s="692"/>
      <c r="BJ351" s="692"/>
      <c r="BK351" s="692"/>
      <c r="BL351" s="693"/>
      <c r="BM351" s="693"/>
      <c r="BN351" s="688"/>
      <c r="BO351" s="693"/>
      <c r="BP351" s="689"/>
      <c r="BQ351" s="694"/>
      <c r="BR351" s="687"/>
      <c r="BS351" s="687"/>
      <c r="BT351" s="687"/>
      <c r="BU351" s="687"/>
      <c r="BV351" s="687"/>
      <c r="BW351" s="688"/>
      <c r="BX351" s="688"/>
      <c r="BY351" s="689"/>
      <c r="BZ351" s="690"/>
      <c r="CA351" s="690"/>
      <c r="CB351" s="690"/>
      <c r="CC351" s="691"/>
      <c r="CD351" s="691"/>
      <c r="CE351" s="692"/>
      <c r="CF351" s="692"/>
      <c r="CG351" s="692"/>
      <c r="CH351" s="693"/>
    </row>
    <row r="352">
      <c r="B352" s="687"/>
      <c r="C352" s="687"/>
      <c r="D352" s="688"/>
      <c r="E352" s="689"/>
      <c r="F352" s="690"/>
      <c r="G352" s="690"/>
      <c r="H352" s="690"/>
      <c r="I352" s="691"/>
      <c r="J352" s="691"/>
      <c r="K352" s="691"/>
      <c r="L352" s="692"/>
      <c r="M352" s="692"/>
      <c r="N352" s="692"/>
      <c r="O352" s="693"/>
      <c r="P352" s="688"/>
      <c r="Q352" s="688"/>
      <c r="R352" s="688"/>
      <c r="S352" s="688"/>
      <c r="T352" s="689"/>
      <c r="U352" s="689"/>
      <c r="V352" s="694"/>
      <c r="W352" s="694"/>
      <c r="X352" s="694"/>
      <c r="Y352" s="694"/>
      <c r="Z352" s="693"/>
      <c r="AA352" s="693"/>
      <c r="AB352" s="693"/>
      <c r="AC352" s="693"/>
      <c r="AD352" s="688"/>
      <c r="AE352" s="689"/>
      <c r="AF352" s="689"/>
      <c r="AG352" s="690"/>
      <c r="AH352" s="690"/>
      <c r="AI352" s="695"/>
      <c r="AJ352" s="695"/>
      <c r="AK352" s="692"/>
      <c r="AL352" s="692"/>
      <c r="AM352" s="693"/>
      <c r="AN352" s="688"/>
      <c r="AO352" s="688"/>
      <c r="AP352" s="688"/>
      <c r="AQ352" s="688"/>
      <c r="AR352" s="688"/>
      <c r="AS352" s="688"/>
      <c r="AT352" s="689"/>
      <c r="AU352" s="689"/>
      <c r="AV352" s="690"/>
      <c r="AW352" s="690"/>
      <c r="AX352" s="690"/>
      <c r="AY352" s="690"/>
      <c r="AZ352" s="690"/>
      <c r="BA352" s="690"/>
      <c r="BB352" s="695"/>
      <c r="BC352" s="695"/>
      <c r="BD352" s="695"/>
      <c r="BE352" s="695"/>
      <c r="BF352" s="692"/>
      <c r="BG352" s="692"/>
      <c r="BH352" s="692"/>
      <c r="BI352" s="692"/>
      <c r="BJ352" s="692"/>
      <c r="BK352" s="692"/>
      <c r="BL352" s="693"/>
      <c r="BM352" s="693"/>
      <c r="BN352" s="688"/>
      <c r="BO352" s="693"/>
      <c r="BP352" s="689"/>
      <c r="BQ352" s="694"/>
      <c r="BR352" s="687"/>
      <c r="BS352" s="687"/>
      <c r="BT352" s="687"/>
      <c r="BU352" s="687"/>
      <c r="BV352" s="687"/>
      <c r="BW352" s="688"/>
      <c r="BX352" s="688"/>
      <c r="BY352" s="689"/>
      <c r="BZ352" s="690"/>
      <c r="CA352" s="690"/>
      <c r="CB352" s="690"/>
      <c r="CC352" s="691"/>
      <c r="CD352" s="691"/>
      <c r="CE352" s="692"/>
      <c r="CF352" s="692"/>
      <c r="CG352" s="692"/>
      <c r="CH352" s="693"/>
    </row>
    <row r="353">
      <c r="B353" s="687"/>
      <c r="C353" s="687"/>
      <c r="D353" s="688"/>
      <c r="E353" s="689"/>
      <c r="F353" s="690"/>
      <c r="G353" s="690"/>
      <c r="H353" s="690"/>
      <c r="I353" s="691"/>
      <c r="J353" s="691"/>
      <c r="K353" s="691"/>
      <c r="L353" s="692"/>
      <c r="M353" s="692"/>
      <c r="N353" s="692"/>
      <c r="O353" s="693"/>
      <c r="P353" s="688"/>
      <c r="Q353" s="688"/>
      <c r="R353" s="688"/>
      <c r="S353" s="688"/>
      <c r="T353" s="689"/>
      <c r="U353" s="689"/>
      <c r="V353" s="694"/>
      <c r="W353" s="694"/>
      <c r="X353" s="694"/>
      <c r="Y353" s="694"/>
      <c r="Z353" s="693"/>
      <c r="AA353" s="693"/>
      <c r="AB353" s="693"/>
      <c r="AC353" s="693"/>
      <c r="AD353" s="688"/>
      <c r="AE353" s="689"/>
      <c r="AF353" s="689"/>
      <c r="AG353" s="690"/>
      <c r="AH353" s="690"/>
      <c r="AI353" s="695"/>
      <c r="AJ353" s="695"/>
      <c r="AK353" s="692"/>
      <c r="AL353" s="692"/>
      <c r="AM353" s="693"/>
      <c r="AN353" s="688"/>
      <c r="AO353" s="688"/>
      <c r="AP353" s="688"/>
      <c r="AQ353" s="688"/>
      <c r="AR353" s="688"/>
      <c r="AS353" s="688"/>
      <c r="AT353" s="689"/>
      <c r="AU353" s="689"/>
      <c r="AV353" s="690"/>
      <c r="AW353" s="690"/>
      <c r="AX353" s="690"/>
      <c r="AY353" s="690"/>
      <c r="AZ353" s="690"/>
      <c r="BA353" s="690"/>
      <c r="BB353" s="695"/>
      <c r="BC353" s="695"/>
      <c r="BD353" s="695"/>
      <c r="BE353" s="695"/>
      <c r="BF353" s="692"/>
      <c r="BG353" s="692"/>
      <c r="BH353" s="692"/>
      <c r="BI353" s="692"/>
      <c r="BJ353" s="692"/>
      <c r="BK353" s="692"/>
      <c r="BL353" s="693"/>
      <c r="BM353" s="693"/>
      <c r="BN353" s="688"/>
      <c r="BO353" s="693"/>
      <c r="BP353" s="689"/>
      <c r="BQ353" s="694"/>
      <c r="BR353" s="687"/>
      <c r="BS353" s="687"/>
      <c r="BT353" s="687"/>
      <c r="BU353" s="687"/>
      <c r="BV353" s="687"/>
      <c r="BW353" s="688"/>
      <c r="BX353" s="688"/>
      <c r="BY353" s="689"/>
      <c r="BZ353" s="690"/>
      <c r="CA353" s="690"/>
      <c r="CB353" s="690"/>
      <c r="CC353" s="691"/>
      <c r="CD353" s="691"/>
      <c r="CE353" s="692"/>
      <c r="CF353" s="692"/>
      <c r="CG353" s="692"/>
      <c r="CH353" s="693"/>
    </row>
    <row r="354">
      <c r="B354" s="687"/>
      <c r="C354" s="687"/>
      <c r="D354" s="688"/>
      <c r="E354" s="689"/>
      <c r="F354" s="690"/>
      <c r="G354" s="690"/>
      <c r="H354" s="690"/>
      <c r="I354" s="691"/>
      <c r="J354" s="691"/>
      <c r="K354" s="691"/>
      <c r="L354" s="692"/>
      <c r="M354" s="692"/>
      <c r="N354" s="692"/>
      <c r="O354" s="693"/>
      <c r="P354" s="688"/>
      <c r="Q354" s="688"/>
      <c r="R354" s="688"/>
      <c r="S354" s="688"/>
      <c r="T354" s="689"/>
      <c r="U354" s="689"/>
      <c r="V354" s="694"/>
      <c r="W354" s="694"/>
      <c r="X354" s="694"/>
      <c r="Y354" s="694"/>
      <c r="Z354" s="693"/>
      <c r="AA354" s="693"/>
      <c r="AB354" s="693"/>
      <c r="AC354" s="693"/>
      <c r="AD354" s="688"/>
      <c r="AE354" s="689"/>
      <c r="AF354" s="689"/>
      <c r="AG354" s="690"/>
      <c r="AH354" s="690"/>
      <c r="AI354" s="695"/>
      <c r="AJ354" s="695"/>
      <c r="AK354" s="692"/>
      <c r="AL354" s="692"/>
      <c r="AM354" s="693"/>
      <c r="AN354" s="688"/>
      <c r="AO354" s="688"/>
      <c r="AP354" s="688"/>
      <c r="AQ354" s="688"/>
      <c r="AR354" s="688"/>
      <c r="AS354" s="688"/>
      <c r="AT354" s="689"/>
      <c r="AU354" s="689"/>
      <c r="AV354" s="690"/>
      <c r="AW354" s="690"/>
      <c r="AX354" s="690"/>
      <c r="AY354" s="690"/>
      <c r="AZ354" s="690"/>
      <c r="BA354" s="690"/>
      <c r="BB354" s="695"/>
      <c r="BC354" s="695"/>
      <c r="BD354" s="695"/>
      <c r="BE354" s="695"/>
      <c r="BF354" s="692"/>
      <c r="BG354" s="692"/>
      <c r="BH354" s="692"/>
      <c r="BI354" s="692"/>
      <c r="BJ354" s="692"/>
      <c r="BK354" s="692"/>
      <c r="BL354" s="693"/>
      <c r="BM354" s="693"/>
      <c r="BN354" s="688"/>
      <c r="BO354" s="693"/>
      <c r="BP354" s="689"/>
      <c r="BQ354" s="694"/>
      <c r="BR354" s="687"/>
      <c r="BS354" s="687"/>
      <c r="BT354" s="687"/>
      <c r="BU354" s="687"/>
      <c r="BV354" s="687"/>
      <c r="BW354" s="688"/>
      <c r="BX354" s="688"/>
      <c r="BY354" s="689"/>
      <c r="BZ354" s="690"/>
      <c r="CA354" s="690"/>
      <c r="CB354" s="690"/>
      <c r="CC354" s="691"/>
      <c r="CD354" s="691"/>
      <c r="CE354" s="692"/>
      <c r="CF354" s="692"/>
      <c r="CG354" s="692"/>
      <c r="CH354" s="693"/>
    </row>
    <row r="355">
      <c r="B355" s="687"/>
      <c r="C355" s="687"/>
      <c r="D355" s="688"/>
      <c r="E355" s="689"/>
      <c r="F355" s="690"/>
      <c r="G355" s="690"/>
      <c r="H355" s="690"/>
      <c r="I355" s="691"/>
      <c r="J355" s="691"/>
      <c r="K355" s="691"/>
      <c r="L355" s="692"/>
      <c r="M355" s="692"/>
      <c r="N355" s="692"/>
      <c r="O355" s="693"/>
      <c r="P355" s="688"/>
      <c r="Q355" s="688"/>
      <c r="R355" s="688"/>
      <c r="S355" s="688"/>
      <c r="T355" s="689"/>
      <c r="U355" s="689"/>
      <c r="V355" s="694"/>
      <c r="W355" s="694"/>
      <c r="X355" s="694"/>
      <c r="Y355" s="694"/>
      <c r="Z355" s="693"/>
      <c r="AA355" s="693"/>
      <c r="AB355" s="693"/>
      <c r="AC355" s="693"/>
      <c r="AD355" s="688"/>
      <c r="AE355" s="689"/>
      <c r="AF355" s="689"/>
      <c r="AG355" s="690"/>
      <c r="AH355" s="690"/>
      <c r="AI355" s="695"/>
      <c r="AJ355" s="695"/>
      <c r="AK355" s="692"/>
      <c r="AL355" s="692"/>
      <c r="AM355" s="693"/>
      <c r="AN355" s="688"/>
      <c r="AO355" s="688"/>
      <c r="AP355" s="688"/>
      <c r="AQ355" s="688"/>
      <c r="AR355" s="688"/>
      <c r="AS355" s="688"/>
      <c r="AT355" s="689"/>
      <c r="AU355" s="689"/>
      <c r="AV355" s="690"/>
      <c r="AW355" s="690"/>
      <c r="AX355" s="690"/>
      <c r="AY355" s="690"/>
      <c r="AZ355" s="690"/>
      <c r="BA355" s="690"/>
      <c r="BB355" s="695"/>
      <c r="BC355" s="695"/>
      <c r="BD355" s="695"/>
      <c r="BE355" s="695"/>
      <c r="BF355" s="692"/>
      <c r="BG355" s="692"/>
      <c r="BH355" s="692"/>
      <c r="BI355" s="692"/>
      <c r="BJ355" s="692"/>
      <c r="BK355" s="692"/>
      <c r="BL355" s="693"/>
      <c r="BM355" s="693"/>
      <c r="BN355" s="688"/>
      <c r="BO355" s="693"/>
      <c r="BP355" s="689"/>
      <c r="BQ355" s="694"/>
      <c r="BR355" s="687"/>
      <c r="BS355" s="687"/>
      <c r="BT355" s="687"/>
      <c r="BU355" s="687"/>
      <c r="BV355" s="687"/>
      <c r="BW355" s="688"/>
      <c r="BX355" s="688"/>
      <c r="BY355" s="689"/>
      <c r="BZ355" s="690"/>
      <c r="CA355" s="690"/>
      <c r="CB355" s="690"/>
      <c r="CC355" s="691"/>
      <c r="CD355" s="691"/>
      <c r="CE355" s="692"/>
      <c r="CF355" s="692"/>
      <c r="CG355" s="692"/>
      <c r="CH355" s="693"/>
    </row>
    <row r="356">
      <c r="B356" s="687"/>
      <c r="C356" s="687"/>
      <c r="D356" s="688"/>
      <c r="E356" s="689"/>
      <c r="F356" s="690"/>
      <c r="G356" s="690"/>
      <c r="H356" s="690"/>
      <c r="I356" s="691"/>
      <c r="J356" s="691"/>
      <c r="K356" s="691"/>
      <c r="L356" s="692"/>
      <c r="M356" s="692"/>
      <c r="N356" s="692"/>
      <c r="O356" s="693"/>
      <c r="P356" s="688"/>
      <c r="Q356" s="688"/>
      <c r="R356" s="688"/>
      <c r="S356" s="688"/>
      <c r="T356" s="689"/>
      <c r="U356" s="689"/>
      <c r="V356" s="694"/>
      <c r="W356" s="694"/>
      <c r="X356" s="694"/>
      <c r="Y356" s="694"/>
      <c r="Z356" s="693"/>
      <c r="AA356" s="693"/>
      <c r="AB356" s="693"/>
      <c r="AC356" s="693"/>
      <c r="AD356" s="688"/>
      <c r="AE356" s="689"/>
      <c r="AF356" s="689"/>
      <c r="AG356" s="690"/>
      <c r="AH356" s="690"/>
      <c r="AI356" s="695"/>
      <c r="AJ356" s="695"/>
      <c r="AK356" s="692"/>
      <c r="AL356" s="692"/>
      <c r="AM356" s="693"/>
      <c r="AN356" s="688"/>
      <c r="AO356" s="688"/>
      <c r="AP356" s="688"/>
      <c r="AQ356" s="688"/>
      <c r="AR356" s="688"/>
      <c r="AS356" s="688"/>
      <c r="AT356" s="689"/>
      <c r="AU356" s="689"/>
      <c r="AV356" s="690"/>
      <c r="AW356" s="690"/>
      <c r="AX356" s="690"/>
      <c r="AY356" s="690"/>
      <c r="AZ356" s="690"/>
      <c r="BA356" s="690"/>
      <c r="BB356" s="695"/>
      <c r="BC356" s="695"/>
      <c r="BD356" s="695"/>
      <c r="BE356" s="695"/>
      <c r="BF356" s="692"/>
      <c r="BG356" s="692"/>
      <c r="BH356" s="692"/>
      <c r="BI356" s="692"/>
      <c r="BJ356" s="692"/>
      <c r="BK356" s="692"/>
      <c r="BL356" s="693"/>
      <c r="BM356" s="693"/>
      <c r="BN356" s="688"/>
      <c r="BO356" s="693"/>
      <c r="BP356" s="689"/>
      <c r="BQ356" s="694"/>
      <c r="BR356" s="687"/>
      <c r="BS356" s="687"/>
      <c r="BT356" s="687"/>
      <c r="BU356" s="687"/>
      <c r="BV356" s="687"/>
      <c r="BW356" s="688"/>
      <c r="BX356" s="688"/>
      <c r="BY356" s="689"/>
      <c r="BZ356" s="690"/>
      <c r="CA356" s="690"/>
      <c r="CB356" s="690"/>
      <c r="CC356" s="691"/>
      <c r="CD356" s="691"/>
      <c r="CE356" s="692"/>
      <c r="CF356" s="692"/>
      <c r="CG356" s="692"/>
      <c r="CH356" s="693"/>
    </row>
    <row r="357">
      <c r="B357" s="687"/>
      <c r="C357" s="687"/>
      <c r="D357" s="688"/>
      <c r="E357" s="689"/>
      <c r="F357" s="690"/>
      <c r="G357" s="690"/>
      <c r="H357" s="690"/>
      <c r="I357" s="691"/>
      <c r="J357" s="691"/>
      <c r="K357" s="691"/>
      <c r="L357" s="692"/>
      <c r="M357" s="692"/>
      <c r="N357" s="692"/>
      <c r="O357" s="693"/>
      <c r="P357" s="688"/>
      <c r="Q357" s="688"/>
      <c r="R357" s="688"/>
      <c r="S357" s="688"/>
      <c r="T357" s="689"/>
      <c r="U357" s="689"/>
      <c r="V357" s="694"/>
      <c r="W357" s="694"/>
      <c r="X357" s="694"/>
      <c r="Y357" s="694"/>
      <c r="Z357" s="693"/>
      <c r="AA357" s="693"/>
      <c r="AB357" s="693"/>
      <c r="AC357" s="693"/>
      <c r="AD357" s="688"/>
      <c r="AE357" s="689"/>
      <c r="AF357" s="689"/>
      <c r="AG357" s="690"/>
      <c r="AH357" s="690"/>
      <c r="AI357" s="695"/>
      <c r="AJ357" s="695"/>
      <c r="AK357" s="692"/>
      <c r="AL357" s="692"/>
      <c r="AM357" s="693"/>
      <c r="AN357" s="688"/>
      <c r="AO357" s="688"/>
      <c r="AP357" s="688"/>
      <c r="AQ357" s="688"/>
      <c r="AR357" s="688"/>
      <c r="AS357" s="688"/>
      <c r="AT357" s="689"/>
      <c r="AU357" s="689"/>
      <c r="AV357" s="690"/>
      <c r="AW357" s="690"/>
      <c r="AX357" s="690"/>
      <c r="AY357" s="690"/>
      <c r="AZ357" s="690"/>
      <c r="BA357" s="690"/>
      <c r="BB357" s="695"/>
      <c r="BC357" s="695"/>
      <c r="BD357" s="695"/>
      <c r="BE357" s="695"/>
      <c r="BF357" s="692"/>
      <c r="BG357" s="692"/>
      <c r="BH357" s="692"/>
      <c r="BI357" s="692"/>
      <c r="BJ357" s="692"/>
      <c r="BK357" s="692"/>
      <c r="BL357" s="693"/>
      <c r="BM357" s="693"/>
      <c r="BN357" s="688"/>
      <c r="BO357" s="693"/>
      <c r="BP357" s="689"/>
      <c r="BQ357" s="694"/>
      <c r="BR357" s="687"/>
      <c r="BS357" s="687"/>
      <c r="BT357" s="687"/>
      <c r="BU357" s="687"/>
      <c r="BV357" s="687"/>
      <c r="BW357" s="688"/>
      <c r="BX357" s="688"/>
      <c r="BY357" s="689"/>
      <c r="BZ357" s="690"/>
      <c r="CA357" s="690"/>
      <c r="CB357" s="690"/>
      <c r="CC357" s="691"/>
      <c r="CD357" s="691"/>
      <c r="CE357" s="692"/>
      <c r="CF357" s="692"/>
      <c r="CG357" s="692"/>
      <c r="CH357" s="693"/>
    </row>
    <row r="358">
      <c r="B358" s="687"/>
      <c r="C358" s="687"/>
      <c r="D358" s="688"/>
      <c r="E358" s="689"/>
      <c r="F358" s="690"/>
      <c r="G358" s="690"/>
      <c r="H358" s="690"/>
      <c r="I358" s="691"/>
      <c r="J358" s="691"/>
      <c r="K358" s="691"/>
      <c r="L358" s="692"/>
      <c r="M358" s="692"/>
      <c r="N358" s="692"/>
      <c r="O358" s="693"/>
      <c r="P358" s="688"/>
      <c r="Q358" s="688"/>
      <c r="R358" s="688"/>
      <c r="S358" s="688"/>
      <c r="T358" s="689"/>
      <c r="U358" s="689"/>
      <c r="V358" s="694"/>
      <c r="W358" s="694"/>
      <c r="X358" s="694"/>
      <c r="Y358" s="694"/>
      <c r="Z358" s="693"/>
      <c r="AA358" s="693"/>
      <c r="AB358" s="693"/>
      <c r="AC358" s="693"/>
      <c r="AD358" s="688"/>
      <c r="AE358" s="689"/>
      <c r="AF358" s="689"/>
      <c r="AG358" s="690"/>
      <c r="AH358" s="690"/>
      <c r="AI358" s="695"/>
      <c r="AJ358" s="695"/>
      <c r="AK358" s="692"/>
      <c r="AL358" s="692"/>
      <c r="AM358" s="693"/>
      <c r="AN358" s="688"/>
      <c r="AO358" s="688"/>
      <c r="AP358" s="688"/>
      <c r="AQ358" s="688"/>
      <c r="AR358" s="688"/>
      <c r="AS358" s="688"/>
      <c r="AT358" s="689"/>
      <c r="AU358" s="689"/>
      <c r="AV358" s="690"/>
      <c r="AW358" s="690"/>
      <c r="AX358" s="690"/>
      <c r="AY358" s="690"/>
      <c r="AZ358" s="690"/>
      <c r="BA358" s="690"/>
      <c r="BB358" s="695"/>
      <c r="BC358" s="695"/>
      <c r="BD358" s="695"/>
      <c r="BE358" s="695"/>
      <c r="BF358" s="692"/>
      <c r="BG358" s="692"/>
      <c r="BH358" s="692"/>
      <c r="BI358" s="692"/>
      <c r="BJ358" s="692"/>
      <c r="BK358" s="692"/>
      <c r="BL358" s="693"/>
      <c r="BM358" s="693"/>
      <c r="BN358" s="688"/>
      <c r="BO358" s="693"/>
      <c r="BP358" s="689"/>
      <c r="BQ358" s="694"/>
      <c r="BR358" s="687"/>
      <c r="BS358" s="687"/>
      <c r="BT358" s="687"/>
      <c r="BU358" s="687"/>
      <c r="BV358" s="687"/>
      <c r="BW358" s="688"/>
      <c r="BX358" s="688"/>
      <c r="BY358" s="689"/>
      <c r="BZ358" s="690"/>
      <c r="CA358" s="690"/>
      <c r="CB358" s="690"/>
      <c r="CC358" s="691"/>
      <c r="CD358" s="691"/>
      <c r="CE358" s="692"/>
      <c r="CF358" s="692"/>
      <c r="CG358" s="692"/>
      <c r="CH358" s="693"/>
    </row>
    <row r="359">
      <c r="B359" s="687"/>
      <c r="C359" s="687"/>
      <c r="D359" s="688"/>
      <c r="E359" s="689"/>
      <c r="F359" s="690"/>
      <c r="G359" s="690"/>
      <c r="H359" s="690"/>
      <c r="I359" s="691"/>
      <c r="J359" s="691"/>
      <c r="K359" s="691"/>
      <c r="L359" s="692"/>
      <c r="M359" s="692"/>
      <c r="N359" s="692"/>
      <c r="O359" s="693"/>
      <c r="P359" s="688"/>
      <c r="Q359" s="688"/>
      <c r="R359" s="688"/>
      <c r="S359" s="688"/>
      <c r="T359" s="689"/>
      <c r="U359" s="689"/>
      <c r="V359" s="694"/>
      <c r="W359" s="694"/>
      <c r="X359" s="694"/>
      <c r="Y359" s="694"/>
      <c r="Z359" s="693"/>
      <c r="AA359" s="693"/>
      <c r="AB359" s="693"/>
      <c r="AC359" s="693"/>
      <c r="AD359" s="688"/>
      <c r="AE359" s="689"/>
      <c r="AF359" s="689"/>
      <c r="AG359" s="690"/>
      <c r="AH359" s="690"/>
      <c r="AI359" s="695"/>
      <c r="AJ359" s="695"/>
      <c r="AK359" s="692"/>
      <c r="AL359" s="692"/>
      <c r="AM359" s="693"/>
      <c r="AN359" s="688"/>
      <c r="AO359" s="688"/>
      <c r="AP359" s="688"/>
      <c r="AQ359" s="688"/>
      <c r="AR359" s="688"/>
      <c r="AS359" s="688"/>
      <c r="AT359" s="689"/>
      <c r="AU359" s="689"/>
      <c r="AV359" s="690"/>
      <c r="AW359" s="690"/>
      <c r="AX359" s="690"/>
      <c r="AY359" s="690"/>
      <c r="AZ359" s="690"/>
      <c r="BA359" s="690"/>
      <c r="BB359" s="695"/>
      <c r="BC359" s="695"/>
      <c r="BD359" s="695"/>
      <c r="BE359" s="695"/>
      <c r="BF359" s="692"/>
      <c r="BG359" s="692"/>
      <c r="BH359" s="692"/>
      <c r="BI359" s="692"/>
      <c r="BJ359" s="692"/>
      <c r="BK359" s="692"/>
      <c r="BL359" s="693"/>
      <c r="BM359" s="693"/>
      <c r="BN359" s="688"/>
      <c r="BO359" s="693"/>
      <c r="BP359" s="689"/>
      <c r="BQ359" s="694"/>
      <c r="BR359" s="687"/>
      <c r="BS359" s="687"/>
      <c r="BT359" s="687"/>
      <c r="BU359" s="687"/>
      <c r="BV359" s="687"/>
      <c r="BW359" s="688"/>
      <c r="BX359" s="688"/>
      <c r="BY359" s="689"/>
      <c r="BZ359" s="690"/>
      <c r="CA359" s="690"/>
      <c r="CB359" s="690"/>
      <c r="CC359" s="691"/>
      <c r="CD359" s="691"/>
      <c r="CE359" s="692"/>
      <c r="CF359" s="692"/>
      <c r="CG359" s="692"/>
      <c r="CH359" s="693"/>
    </row>
    <row r="360">
      <c r="B360" s="687"/>
      <c r="C360" s="687"/>
      <c r="D360" s="688"/>
      <c r="E360" s="689"/>
      <c r="F360" s="690"/>
      <c r="G360" s="690"/>
      <c r="H360" s="690"/>
      <c r="I360" s="691"/>
      <c r="J360" s="691"/>
      <c r="K360" s="691"/>
      <c r="L360" s="692"/>
      <c r="M360" s="692"/>
      <c r="N360" s="692"/>
      <c r="O360" s="693"/>
      <c r="P360" s="688"/>
      <c r="Q360" s="688"/>
      <c r="R360" s="688"/>
      <c r="S360" s="688"/>
      <c r="T360" s="689"/>
      <c r="U360" s="689"/>
      <c r="V360" s="694"/>
      <c r="W360" s="694"/>
      <c r="X360" s="694"/>
      <c r="Y360" s="694"/>
      <c r="Z360" s="693"/>
      <c r="AA360" s="693"/>
      <c r="AB360" s="693"/>
      <c r="AC360" s="693"/>
      <c r="AD360" s="688"/>
      <c r="AE360" s="689"/>
      <c r="AF360" s="689"/>
      <c r="AG360" s="690"/>
      <c r="AH360" s="690"/>
      <c r="AI360" s="695"/>
      <c r="AJ360" s="695"/>
      <c r="AK360" s="692"/>
      <c r="AL360" s="692"/>
      <c r="AM360" s="693"/>
      <c r="AN360" s="688"/>
      <c r="AO360" s="688"/>
      <c r="AP360" s="688"/>
      <c r="AQ360" s="688"/>
      <c r="AR360" s="688"/>
      <c r="AS360" s="688"/>
      <c r="AT360" s="689"/>
      <c r="AU360" s="689"/>
      <c r="AV360" s="690"/>
      <c r="AW360" s="690"/>
      <c r="AX360" s="690"/>
      <c r="AY360" s="690"/>
      <c r="AZ360" s="690"/>
      <c r="BA360" s="690"/>
      <c r="BB360" s="695"/>
      <c r="BC360" s="695"/>
      <c r="BD360" s="695"/>
      <c r="BE360" s="695"/>
      <c r="BF360" s="692"/>
      <c r="BG360" s="692"/>
      <c r="BH360" s="692"/>
      <c r="BI360" s="692"/>
      <c r="BJ360" s="692"/>
      <c r="BK360" s="692"/>
      <c r="BL360" s="693"/>
      <c r="BM360" s="693"/>
      <c r="BN360" s="688"/>
      <c r="BO360" s="693"/>
      <c r="BP360" s="689"/>
      <c r="BQ360" s="694"/>
      <c r="BR360" s="687"/>
      <c r="BS360" s="687"/>
      <c r="BT360" s="687"/>
      <c r="BU360" s="687"/>
      <c r="BV360" s="687"/>
      <c r="BW360" s="688"/>
      <c r="BX360" s="688"/>
      <c r="BY360" s="689"/>
      <c r="BZ360" s="690"/>
      <c r="CA360" s="690"/>
      <c r="CB360" s="690"/>
      <c r="CC360" s="691"/>
      <c r="CD360" s="691"/>
      <c r="CE360" s="692"/>
      <c r="CF360" s="692"/>
      <c r="CG360" s="692"/>
      <c r="CH360" s="693"/>
    </row>
    <row r="361">
      <c r="B361" s="687"/>
      <c r="C361" s="687"/>
      <c r="D361" s="688"/>
      <c r="E361" s="689"/>
      <c r="F361" s="690"/>
      <c r="G361" s="690"/>
      <c r="H361" s="690"/>
      <c r="I361" s="691"/>
      <c r="J361" s="691"/>
      <c r="K361" s="691"/>
      <c r="L361" s="692"/>
      <c r="M361" s="692"/>
      <c r="N361" s="692"/>
      <c r="O361" s="693"/>
      <c r="P361" s="688"/>
      <c r="Q361" s="688"/>
      <c r="R361" s="688"/>
      <c r="S361" s="688"/>
      <c r="T361" s="689"/>
      <c r="U361" s="689"/>
      <c r="V361" s="694"/>
      <c r="W361" s="694"/>
      <c r="X361" s="694"/>
      <c r="Y361" s="694"/>
      <c r="Z361" s="693"/>
      <c r="AA361" s="693"/>
      <c r="AB361" s="693"/>
      <c r="AC361" s="693"/>
      <c r="AD361" s="688"/>
      <c r="AE361" s="689"/>
      <c r="AF361" s="689"/>
      <c r="AG361" s="690"/>
      <c r="AH361" s="690"/>
      <c r="AI361" s="695"/>
      <c r="AJ361" s="695"/>
      <c r="AK361" s="692"/>
      <c r="AL361" s="692"/>
      <c r="AM361" s="693"/>
      <c r="AN361" s="688"/>
      <c r="AO361" s="688"/>
      <c r="AP361" s="688"/>
      <c r="AQ361" s="688"/>
      <c r="AR361" s="688"/>
      <c r="AS361" s="688"/>
      <c r="AT361" s="689"/>
      <c r="AU361" s="689"/>
      <c r="AV361" s="690"/>
      <c r="AW361" s="690"/>
      <c r="AX361" s="690"/>
      <c r="AY361" s="690"/>
      <c r="AZ361" s="690"/>
      <c r="BA361" s="690"/>
      <c r="BB361" s="695"/>
      <c r="BC361" s="695"/>
      <c r="BD361" s="695"/>
      <c r="BE361" s="695"/>
      <c r="BF361" s="692"/>
      <c r="BG361" s="692"/>
      <c r="BH361" s="692"/>
      <c r="BI361" s="692"/>
      <c r="BJ361" s="692"/>
      <c r="BK361" s="692"/>
      <c r="BL361" s="693"/>
      <c r="BM361" s="693"/>
      <c r="BN361" s="688"/>
      <c r="BO361" s="693"/>
      <c r="BP361" s="689"/>
      <c r="BQ361" s="694"/>
      <c r="BR361" s="687"/>
      <c r="BS361" s="687"/>
      <c r="BT361" s="687"/>
      <c r="BU361" s="687"/>
      <c r="BV361" s="687"/>
      <c r="BW361" s="688"/>
      <c r="BX361" s="688"/>
      <c r="BY361" s="689"/>
      <c r="BZ361" s="690"/>
      <c r="CA361" s="690"/>
      <c r="CB361" s="690"/>
      <c r="CC361" s="691"/>
      <c r="CD361" s="691"/>
      <c r="CE361" s="692"/>
      <c r="CF361" s="692"/>
      <c r="CG361" s="692"/>
      <c r="CH361" s="693"/>
    </row>
    <row r="362">
      <c r="B362" s="687"/>
      <c r="C362" s="687"/>
      <c r="D362" s="688"/>
      <c r="E362" s="689"/>
      <c r="F362" s="690"/>
      <c r="G362" s="690"/>
      <c r="H362" s="690"/>
      <c r="I362" s="691"/>
      <c r="J362" s="691"/>
      <c r="K362" s="691"/>
      <c r="L362" s="692"/>
      <c r="M362" s="692"/>
      <c r="N362" s="692"/>
      <c r="O362" s="693"/>
      <c r="P362" s="688"/>
      <c r="Q362" s="688"/>
      <c r="R362" s="688"/>
      <c r="S362" s="688"/>
      <c r="T362" s="689"/>
      <c r="U362" s="689"/>
      <c r="V362" s="694"/>
      <c r="W362" s="694"/>
      <c r="X362" s="694"/>
      <c r="Y362" s="694"/>
      <c r="Z362" s="693"/>
      <c r="AA362" s="693"/>
      <c r="AB362" s="693"/>
      <c r="AC362" s="693"/>
      <c r="AD362" s="688"/>
      <c r="AE362" s="689"/>
      <c r="AF362" s="689"/>
      <c r="AG362" s="690"/>
      <c r="AH362" s="690"/>
      <c r="AI362" s="695"/>
      <c r="AJ362" s="695"/>
      <c r="AK362" s="692"/>
      <c r="AL362" s="692"/>
      <c r="AM362" s="693"/>
      <c r="AN362" s="688"/>
      <c r="AO362" s="688"/>
      <c r="AP362" s="688"/>
      <c r="AQ362" s="688"/>
      <c r="AR362" s="688"/>
      <c r="AS362" s="688"/>
      <c r="AT362" s="689"/>
      <c r="AU362" s="689"/>
      <c r="AV362" s="690"/>
      <c r="AW362" s="690"/>
      <c r="AX362" s="690"/>
      <c r="AY362" s="690"/>
      <c r="AZ362" s="690"/>
      <c r="BA362" s="690"/>
      <c r="BB362" s="695"/>
      <c r="BC362" s="695"/>
      <c r="BD362" s="695"/>
      <c r="BE362" s="695"/>
      <c r="BF362" s="692"/>
      <c r="BG362" s="692"/>
      <c r="BH362" s="692"/>
      <c r="BI362" s="692"/>
      <c r="BJ362" s="692"/>
      <c r="BK362" s="692"/>
      <c r="BL362" s="693"/>
      <c r="BM362" s="693"/>
      <c r="BN362" s="688"/>
      <c r="BO362" s="693"/>
      <c r="BP362" s="689"/>
      <c r="BQ362" s="694"/>
      <c r="BR362" s="687"/>
      <c r="BS362" s="687"/>
      <c r="BT362" s="687"/>
      <c r="BU362" s="687"/>
      <c r="BV362" s="687"/>
      <c r="BW362" s="688"/>
      <c r="BX362" s="688"/>
      <c r="BY362" s="689"/>
      <c r="BZ362" s="690"/>
      <c r="CA362" s="690"/>
      <c r="CB362" s="690"/>
      <c r="CC362" s="691"/>
      <c r="CD362" s="691"/>
      <c r="CE362" s="692"/>
      <c r="CF362" s="692"/>
      <c r="CG362" s="692"/>
      <c r="CH362" s="693"/>
    </row>
    <row r="363">
      <c r="B363" s="687"/>
      <c r="C363" s="687"/>
      <c r="D363" s="688"/>
      <c r="E363" s="689"/>
      <c r="F363" s="690"/>
      <c r="G363" s="690"/>
      <c r="H363" s="690"/>
      <c r="I363" s="691"/>
      <c r="J363" s="691"/>
      <c r="K363" s="691"/>
      <c r="L363" s="692"/>
      <c r="M363" s="692"/>
      <c r="N363" s="692"/>
      <c r="O363" s="693"/>
      <c r="P363" s="688"/>
      <c r="Q363" s="688"/>
      <c r="R363" s="688"/>
      <c r="S363" s="688"/>
      <c r="T363" s="689"/>
      <c r="U363" s="689"/>
      <c r="V363" s="694"/>
      <c r="W363" s="694"/>
      <c r="X363" s="694"/>
      <c r="Y363" s="694"/>
      <c r="Z363" s="693"/>
      <c r="AA363" s="693"/>
      <c r="AB363" s="693"/>
      <c r="AC363" s="693"/>
      <c r="AD363" s="688"/>
      <c r="AE363" s="689"/>
      <c r="AF363" s="689"/>
      <c r="AG363" s="690"/>
      <c r="AH363" s="690"/>
      <c r="AI363" s="695"/>
      <c r="AJ363" s="695"/>
      <c r="AK363" s="692"/>
      <c r="AL363" s="692"/>
      <c r="AM363" s="693"/>
      <c r="AN363" s="688"/>
      <c r="AO363" s="688"/>
      <c r="AP363" s="688"/>
      <c r="AQ363" s="688"/>
      <c r="AR363" s="688"/>
      <c r="AS363" s="688"/>
      <c r="AT363" s="689"/>
      <c r="AU363" s="689"/>
      <c r="AV363" s="690"/>
      <c r="AW363" s="690"/>
      <c r="AX363" s="690"/>
      <c r="AY363" s="690"/>
      <c r="AZ363" s="690"/>
      <c r="BA363" s="690"/>
      <c r="BB363" s="695"/>
      <c r="BC363" s="695"/>
      <c r="BD363" s="695"/>
      <c r="BE363" s="695"/>
      <c r="BF363" s="692"/>
      <c r="BG363" s="692"/>
      <c r="BH363" s="692"/>
      <c r="BI363" s="692"/>
      <c r="BJ363" s="692"/>
      <c r="BK363" s="692"/>
      <c r="BL363" s="693"/>
      <c r="BM363" s="693"/>
      <c r="BN363" s="688"/>
      <c r="BO363" s="693"/>
      <c r="BP363" s="689"/>
      <c r="BQ363" s="694"/>
      <c r="BR363" s="687"/>
      <c r="BS363" s="687"/>
      <c r="BT363" s="687"/>
      <c r="BU363" s="687"/>
      <c r="BV363" s="687"/>
      <c r="BW363" s="688"/>
      <c r="BX363" s="688"/>
      <c r="BY363" s="689"/>
      <c r="BZ363" s="690"/>
      <c r="CA363" s="690"/>
      <c r="CB363" s="690"/>
      <c r="CC363" s="691"/>
      <c r="CD363" s="691"/>
      <c r="CE363" s="692"/>
      <c r="CF363" s="692"/>
      <c r="CG363" s="692"/>
      <c r="CH363" s="693"/>
    </row>
    <row r="364">
      <c r="B364" s="687"/>
      <c r="C364" s="687"/>
      <c r="D364" s="688"/>
      <c r="E364" s="689"/>
      <c r="F364" s="690"/>
      <c r="G364" s="690"/>
      <c r="H364" s="690"/>
      <c r="I364" s="691"/>
      <c r="J364" s="691"/>
      <c r="K364" s="691"/>
      <c r="L364" s="692"/>
      <c r="M364" s="692"/>
      <c r="N364" s="692"/>
      <c r="O364" s="693"/>
      <c r="P364" s="688"/>
      <c r="Q364" s="688"/>
      <c r="R364" s="688"/>
      <c r="S364" s="688"/>
      <c r="T364" s="689"/>
      <c r="U364" s="689"/>
      <c r="V364" s="694"/>
      <c r="W364" s="694"/>
      <c r="X364" s="694"/>
      <c r="Y364" s="694"/>
      <c r="Z364" s="693"/>
      <c r="AA364" s="693"/>
      <c r="AB364" s="693"/>
      <c r="AC364" s="693"/>
      <c r="AD364" s="688"/>
      <c r="AE364" s="689"/>
      <c r="AF364" s="689"/>
      <c r="AG364" s="690"/>
      <c r="AH364" s="690"/>
      <c r="AI364" s="695"/>
      <c r="AJ364" s="695"/>
      <c r="AK364" s="692"/>
      <c r="AL364" s="692"/>
      <c r="AM364" s="693"/>
      <c r="AN364" s="688"/>
      <c r="AO364" s="688"/>
      <c r="AP364" s="688"/>
      <c r="AQ364" s="688"/>
      <c r="AR364" s="688"/>
      <c r="AS364" s="688"/>
      <c r="AT364" s="689"/>
      <c r="AU364" s="689"/>
      <c r="AV364" s="690"/>
      <c r="AW364" s="690"/>
      <c r="AX364" s="690"/>
      <c r="AY364" s="690"/>
      <c r="AZ364" s="690"/>
      <c r="BA364" s="690"/>
      <c r="BB364" s="695"/>
      <c r="BC364" s="695"/>
      <c r="BD364" s="695"/>
      <c r="BE364" s="695"/>
      <c r="BF364" s="692"/>
      <c r="BG364" s="692"/>
      <c r="BH364" s="692"/>
      <c r="BI364" s="692"/>
      <c r="BJ364" s="692"/>
      <c r="BK364" s="692"/>
      <c r="BL364" s="693"/>
      <c r="BM364" s="693"/>
      <c r="BN364" s="688"/>
      <c r="BO364" s="693"/>
      <c r="BP364" s="689"/>
      <c r="BQ364" s="694"/>
      <c r="BR364" s="687"/>
      <c r="BS364" s="687"/>
      <c r="BT364" s="687"/>
      <c r="BU364" s="687"/>
      <c r="BV364" s="687"/>
      <c r="BW364" s="688"/>
      <c r="BX364" s="688"/>
      <c r="BY364" s="689"/>
      <c r="BZ364" s="690"/>
      <c r="CA364" s="690"/>
      <c r="CB364" s="690"/>
      <c r="CC364" s="691"/>
      <c r="CD364" s="691"/>
      <c r="CE364" s="692"/>
      <c r="CF364" s="692"/>
      <c r="CG364" s="692"/>
      <c r="CH364" s="693"/>
    </row>
    <row r="365">
      <c r="B365" s="687"/>
      <c r="C365" s="687"/>
      <c r="D365" s="688"/>
      <c r="E365" s="689"/>
      <c r="F365" s="690"/>
      <c r="G365" s="690"/>
      <c r="H365" s="690"/>
      <c r="I365" s="691"/>
      <c r="J365" s="691"/>
      <c r="K365" s="691"/>
      <c r="L365" s="692"/>
      <c r="M365" s="692"/>
      <c r="N365" s="692"/>
      <c r="O365" s="693"/>
      <c r="P365" s="688"/>
      <c r="Q365" s="688"/>
      <c r="R365" s="688"/>
      <c r="S365" s="688"/>
      <c r="T365" s="689"/>
      <c r="U365" s="689"/>
      <c r="V365" s="694"/>
      <c r="W365" s="694"/>
      <c r="X365" s="694"/>
      <c r="Y365" s="694"/>
      <c r="Z365" s="693"/>
      <c r="AA365" s="693"/>
      <c r="AB365" s="693"/>
      <c r="AC365" s="693"/>
      <c r="AD365" s="688"/>
      <c r="AE365" s="689"/>
      <c r="AF365" s="689"/>
      <c r="AG365" s="690"/>
      <c r="AH365" s="690"/>
      <c r="AI365" s="695"/>
      <c r="AJ365" s="695"/>
      <c r="AK365" s="692"/>
      <c r="AL365" s="692"/>
      <c r="AM365" s="693"/>
      <c r="AN365" s="688"/>
      <c r="AO365" s="688"/>
      <c r="AP365" s="688"/>
      <c r="AQ365" s="688"/>
      <c r="AR365" s="688"/>
      <c r="AS365" s="688"/>
      <c r="AT365" s="689"/>
      <c r="AU365" s="689"/>
      <c r="AV365" s="690"/>
      <c r="AW365" s="690"/>
      <c r="AX365" s="690"/>
      <c r="AY365" s="690"/>
      <c r="AZ365" s="690"/>
      <c r="BA365" s="690"/>
      <c r="BB365" s="695"/>
      <c r="BC365" s="695"/>
      <c r="BD365" s="695"/>
      <c r="BE365" s="695"/>
      <c r="BF365" s="692"/>
      <c r="BG365" s="692"/>
      <c r="BH365" s="692"/>
      <c r="BI365" s="692"/>
      <c r="BJ365" s="692"/>
      <c r="BK365" s="692"/>
      <c r="BL365" s="693"/>
      <c r="BM365" s="693"/>
      <c r="BN365" s="688"/>
      <c r="BO365" s="693"/>
      <c r="BP365" s="689"/>
      <c r="BQ365" s="694"/>
      <c r="BR365" s="687"/>
      <c r="BS365" s="687"/>
      <c r="BT365" s="687"/>
      <c r="BU365" s="687"/>
      <c r="BV365" s="687"/>
      <c r="BW365" s="688"/>
      <c r="BX365" s="688"/>
      <c r="BY365" s="689"/>
      <c r="BZ365" s="690"/>
      <c r="CA365" s="690"/>
      <c r="CB365" s="690"/>
      <c r="CC365" s="691"/>
      <c r="CD365" s="691"/>
      <c r="CE365" s="692"/>
      <c r="CF365" s="692"/>
      <c r="CG365" s="692"/>
      <c r="CH365" s="693"/>
    </row>
    <row r="366">
      <c r="B366" s="687"/>
      <c r="C366" s="687"/>
      <c r="D366" s="688"/>
      <c r="E366" s="689"/>
      <c r="F366" s="690"/>
      <c r="G366" s="690"/>
      <c r="H366" s="690"/>
      <c r="I366" s="691"/>
      <c r="J366" s="691"/>
      <c r="K366" s="691"/>
      <c r="L366" s="692"/>
      <c r="M366" s="692"/>
      <c r="N366" s="692"/>
      <c r="O366" s="693"/>
      <c r="P366" s="688"/>
      <c r="Q366" s="688"/>
      <c r="R366" s="688"/>
      <c r="S366" s="688"/>
      <c r="T366" s="689"/>
      <c r="U366" s="689"/>
      <c r="V366" s="694"/>
      <c r="W366" s="694"/>
      <c r="X366" s="694"/>
      <c r="Y366" s="694"/>
      <c r="Z366" s="693"/>
      <c r="AA366" s="693"/>
      <c r="AB366" s="693"/>
      <c r="AC366" s="693"/>
      <c r="AD366" s="688"/>
      <c r="AE366" s="689"/>
      <c r="AF366" s="689"/>
      <c r="AG366" s="690"/>
      <c r="AH366" s="690"/>
      <c r="AI366" s="695"/>
      <c r="AJ366" s="695"/>
      <c r="AK366" s="692"/>
      <c r="AL366" s="692"/>
      <c r="AM366" s="693"/>
      <c r="AN366" s="688"/>
      <c r="AO366" s="688"/>
      <c r="AP366" s="688"/>
      <c r="AQ366" s="688"/>
      <c r="AR366" s="688"/>
      <c r="AS366" s="688"/>
      <c r="AT366" s="689"/>
      <c r="AU366" s="689"/>
      <c r="AV366" s="690"/>
      <c r="AW366" s="690"/>
      <c r="AX366" s="690"/>
      <c r="AY366" s="690"/>
      <c r="AZ366" s="690"/>
      <c r="BA366" s="690"/>
      <c r="BB366" s="695"/>
      <c r="BC366" s="695"/>
      <c r="BD366" s="695"/>
      <c r="BE366" s="695"/>
      <c r="BF366" s="692"/>
      <c r="BG366" s="692"/>
      <c r="BH366" s="692"/>
      <c r="BI366" s="692"/>
      <c r="BJ366" s="692"/>
      <c r="BK366" s="692"/>
      <c r="BL366" s="693"/>
      <c r="BM366" s="693"/>
      <c r="BN366" s="688"/>
      <c r="BO366" s="693"/>
      <c r="BP366" s="689"/>
      <c r="BQ366" s="694"/>
      <c r="BR366" s="687"/>
      <c r="BS366" s="687"/>
      <c r="BT366" s="687"/>
      <c r="BU366" s="687"/>
      <c r="BV366" s="687"/>
      <c r="BW366" s="688"/>
      <c r="BX366" s="688"/>
      <c r="BY366" s="689"/>
      <c r="BZ366" s="690"/>
      <c r="CA366" s="690"/>
      <c r="CB366" s="690"/>
      <c r="CC366" s="691"/>
      <c r="CD366" s="691"/>
      <c r="CE366" s="692"/>
      <c r="CF366" s="692"/>
      <c r="CG366" s="692"/>
      <c r="CH366" s="693"/>
    </row>
    <row r="367">
      <c r="B367" s="687"/>
      <c r="C367" s="687"/>
      <c r="D367" s="688"/>
      <c r="E367" s="689"/>
      <c r="F367" s="690"/>
      <c r="G367" s="690"/>
      <c r="H367" s="690"/>
      <c r="I367" s="691"/>
      <c r="J367" s="691"/>
      <c r="K367" s="691"/>
      <c r="L367" s="692"/>
      <c r="M367" s="692"/>
      <c r="N367" s="692"/>
      <c r="O367" s="693"/>
      <c r="P367" s="688"/>
      <c r="Q367" s="688"/>
      <c r="R367" s="688"/>
      <c r="S367" s="688"/>
      <c r="T367" s="689"/>
      <c r="U367" s="689"/>
      <c r="V367" s="694"/>
      <c r="W367" s="694"/>
      <c r="X367" s="694"/>
      <c r="Y367" s="694"/>
      <c r="Z367" s="693"/>
      <c r="AA367" s="693"/>
      <c r="AB367" s="693"/>
      <c r="AC367" s="693"/>
      <c r="AD367" s="688"/>
      <c r="AE367" s="689"/>
      <c r="AF367" s="689"/>
      <c r="AG367" s="690"/>
      <c r="AH367" s="690"/>
      <c r="AI367" s="695"/>
      <c r="AJ367" s="695"/>
      <c r="AK367" s="692"/>
      <c r="AL367" s="692"/>
      <c r="AM367" s="693"/>
      <c r="AN367" s="688"/>
      <c r="AO367" s="688"/>
      <c r="AP367" s="688"/>
      <c r="AQ367" s="688"/>
      <c r="AR367" s="688"/>
      <c r="AS367" s="688"/>
      <c r="AT367" s="689"/>
      <c r="AU367" s="689"/>
      <c r="AV367" s="690"/>
      <c r="AW367" s="690"/>
      <c r="AX367" s="690"/>
      <c r="AY367" s="690"/>
      <c r="AZ367" s="690"/>
      <c r="BA367" s="690"/>
      <c r="BB367" s="695"/>
      <c r="BC367" s="695"/>
      <c r="BD367" s="695"/>
      <c r="BE367" s="695"/>
      <c r="BF367" s="692"/>
      <c r="BG367" s="692"/>
      <c r="BH367" s="692"/>
      <c r="BI367" s="692"/>
      <c r="BJ367" s="692"/>
      <c r="BK367" s="692"/>
      <c r="BL367" s="693"/>
      <c r="BM367" s="693"/>
      <c r="BN367" s="688"/>
      <c r="BO367" s="693"/>
      <c r="BP367" s="689"/>
      <c r="BQ367" s="694"/>
      <c r="BR367" s="687"/>
      <c r="BS367" s="687"/>
      <c r="BT367" s="687"/>
      <c r="BU367" s="687"/>
      <c r="BV367" s="687"/>
      <c r="BW367" s="688"/>
      <c r="BX367" s="688"/>
      <c r="BY367" s="689"/>
      <c r="BZ367" s="690"/>
      <c r="CA367" s="690"/>
      <c r="CB367" s="690"/>
      <c r="CC367" s="691"/>
      <c r="CD367" s="691"/>
      <c r="CE367" s="692"/>
      <c r="CF367" s="692"/>
      <c r="CG367" s="692"/>
      <c r="CH367" s="693"/>
    </row>
    <row r="368">
      <c r="B368" s="687"/>
      <c r="C368" s="687"/>
      <c r="D368" s="688"/>
      <c r="E368" s="689"/>
      <c r="F368" s="690"/>
      <c r="G368" s="690"/>
      <c r="H368" s="690"/>
      <c r="I368" s="691"/>
      <c r="J368" s="691"/>
      <c r="K368" s="691"/>
      <c r="L368" s="692"/>
      <c r="M368" s="692"/>
      <c r="N368" s="692"/>
      <c r="O368" s="693"/>
      <c r="P368" s="688"/>
      <c r="Q368" s="688"/>
      <c r="R368" s="688"/>
      <c r="S368" s="688"/>
      <c r="T368" s="689"/>
      <c r="U368" s="689"/>
      <c r="V368" s="694"/>
      <c r="W368" s="694"/>
      <c r="X368" s="694"/>
      <c r="Y368" s="694"/>
      <c r="Z368" s="693"/>
      <c r="AA368" s="693"/>
      <c r="AB368" s="693"/>
      <c r="AC368" s="693"/>
      <c r="AD368" s="688"/>
      <c r="AE368" s="689"/>
      <c r="AF368" s="689"/>
      <c r="AG368" s="690"/>
      <c r="AH368" s="690"/>
      <c r="AI368" s="695"/>
      <c r="AJ368" s="695"/>
      <c r="AK368" s="692"/>
      <c r="AL368" s="692"/>
      <c r="AM368" s="693"/>
      <c r="AN368" s="688"/>
      <c r="AO368" s="688"/>
      <c r="AP368" s="688"/>
      <c r="AQ368" s="688"/>
      <c r="AR368" s="688"/>
      <c r="AS368" s="688"/>
      <c r="AT368" s="689"/>
      <c r="AU368" s="689"/>
      <c r="AV368" s="690"/>
      <c r="AW368" s="690"/>
      <c r="AX368" s="690"/>
      <c r="AY368" s="690"/>
      <c r="AZ368" s="690"/>
      <c r="BA368" s="690"/>
      <c r="BB368" s="695"/>
      <c r="BC368" s="695"/>
      <c r="BD368" s="695"/>
      <c r="BE368" s="695"/>
      <c r="BF368" s="692"/>
      <c r="BG368" s="692"/>
      <c r="BH368" s="692"/>
      <c r="BI368" s="692"/>
      <c r="BJ368" s="692"/>
      <c r="BK368" s="692"/>
      <c r="BL368" s="693"/>
      <c r="BM368" s="693"/>
      <c r="BN368" s="688"/>
      <c r="BO368" s="693"/>
      <c r="BP368" s="689"/>
      <c r="BQ368" s="694"/>
      <c r="BR368" s="687"/>
      <c r="BS368" s="687"/>
      <c r="BT368" s="687"/>
      <c r="BU368" s="687"/>
      <c r="BV368" s="687"/>
      <c r="BW368" s="688"/>
      <c r="BX368" s="688"/>
      <c r="BY368" s="689"/>
      <c r="BZ368" s="690"/>
      <c r="CA368" s="690"/>
      <c r="CB368" s="690"/>
      <c r="CC368" s="691"/>
      <c r="CD368" s="691"/>
      <c r="CE368" s="692"/>
      <c r="CF368" s="692"/>
      <c r="CG368" s="692"/>
      <c r="CH368" s="693"/>
    </row>
    <row r="369">
      <c r="B369" s="687"/>
      <c r="C369" s="687"/>
      <c r="D369" s="688"/>
      <c r="E369" s="689"/>
      <c r="F369" s="690"/>
      <c r="G369" s="690"/>
      <c r="H369" s="690"/>
      <c r="I369" s="691"/>
      <c r="J369" s="691"/>
      <c r="K369" s="691"/>
      <c r="L369" s="692"/>
      <c r="M369" s="692"/>
      <c r="N369" s="692"/>
      <c r="O369" s="693"/>
      <c r="P369" s="688"/>
      <c r="Q369" s="688"/>
      <c r="R369" s="688"/>
      <c r="S369" s="688"/>
      <c r="T369" s="689"/>
      <c r="U369" s="689"/>
      <c r="V369" s="694"/>
      <c r="W369" s="694"/>
      <c r="X369" s="694"/>
      <c r="Y369" s="694"/>
      <c r="Z369" s="693"/>
      <c r="AA369" s="693"/>
      <c r="AB369" s="693"/>
      <c r="AC369" s="693"/>
      <c r="AD369" s="688"/>
      <c r="AE369" s="689"/>
      <c r="AF369" s="689"/>
      <c r="AG369" s="690"/>
      <c r="AH369" s="690"/>
      <c r="AI369" s="695"/>
      <c r="AJ369" s="695"/>
      <c r="AK369" s="692"/>
      <c r="AL369" s="692"/>
      <c r="AM369" s="693"/>
      <c r="AN369" s="688"/>
      <c r="AO369" s="688"/>
      <c r="AP369" s="688"/>
      <c r="AQ369" s="688"/>
      <c r="AR369" s="688"/>
      <c r="AS369" s="688"/>
      <c r="AT369" s="689"/>
      <c r="AU369" s="689"/>
      <c r="AV369" s="690"/>
      <c r="AW369" s="690"/>
      <c r="AX369" s="690"/>
      <c r="AY369" s="690"/>
      <c r="AZ369" s="690"/>
      <c r="BA369" s="690"/>
      <c r="BB369" s="695"/>
      <c r="BC369" s="695"/>
      <c r="BD369" s="695"/>
      <c r="BE369" s="695"/>
      <c r="BF369" s="692"/>
      <c r="BG369" s="692"/>
      <c r="BH369" s="692"/>
      <c r="BI369" s="692"/>
      <c r="BJ369" s="692"/>
      <c r="BK369" s="692"/>
      <c r="BL369" s="693"/>
      <c r="BM369" s="693"/>
      <c r="BN369" s="688"/>
      <c r="BO369" s="693"/>
      <c r="BP369" s="689"/>
      <c r="BQ369" s="694"/>
      <c r="BR369" s="687"/>
      <c r="BS369" s="687"/>
      <c r="BT369" s="687"/>
      <c r="BU369" s="687"/>
      <c r="BV369" s="687"/>
      <c r="BW369" s="688"/>
      <c r="BX369" s="688"/>
      <c r="BY369" s="689"/>
      <c r="BZ369" s="690"/>
      <c r="CA369" s="690"/>
      <c r="CB369" s="690"/>
      <c r="CC369" s="691"/>
      <c r="CD369" s="691"/>
      <c r="CE369" s="692"/>
      <c r="CF369" s="692"/>
      <c r="CG369" s="692"/>
      <c r="CH369" s="693"/>
    </row>
    <row r="370">
      <c r="B370" s="687"/>
      <c r="C370" s="687"/>
      <c r="D370" s="688"/>
      <c r="E370" s="689"/>
      <c r="F370" s="690"/>
      <c r="G370" s="690"/>
      <c r="H370" s="690"/>
      <c r="I370" s="691"/>
      <c r="J370" s="691"/>
      <c r="K370" s="691"/>
      <c r="L370" s="692"/>
      <c r="M370" s="692"/>
      <c r="N370" s="692"/>
      <c r="O370" s="693"/>
      <c r="P370" s="688"/>
      <c r="Q370" s="688"/>
      <c r="R370" s="688"/>
      <c r="S370" s="688"/>
      <c r="T370" s="689"/>
      <c r="U370" s="689"/>
      <c r="V370" s="694"/>
      <c r="W370" s="694"/>
      <c r="X370" s="694"/>
      <c r="Y370" s="694"/>
      <c r="Z370" s="693"/>
      <c r="AA370" s="693"/>
      <c r="AB370" s="693"/>
      <c r="AC370" s="693"/>
      <c r="AD370" s="688"/>
      <c r="AE370" s="689"/>
      <c r="AF370" s="689"/>
      <c r="AG370" s="690"/>
      <c r="AH370" s="690"/>
      <c r="AI370" s="695"/>
      <c r="AJ370" s="695"/>
      <c r="AK370" s="692"/>
      <c r="AL370" s="692"/>
      <c r="AM370" s="693"/>
      <c r="AN370" s="688"/>
      <c r="AO370" s="688"/>
      <c r="AP370" s="688"/>
      <c r="AQ370" s="688"/>
      <c r="AR370" s="688"/>
      <c r="AS370" s="688"/>
      <c r="AT370" s="689"/>
      <c r="AU370" s="689"/>
      <c r="AV370" s="690"/>
      <c r="AW370" s="690"/>
      <c r="AX370" s="690"/>
      <c r="AY370" s="690"/>
      <c r="AZ370" s="690"/>
      <c r="BA370" s="690"/>
      <c r="BB370" s="695"/>
      <c r="BC370" s="695"/>
      <c r="BD370" s="695"/>
      <c r="BE370" s="695"/>
      <c r="BF370" s="692"/>
      <c r="BG370" s="692"/>
      <c r="BH370" s="692"/>
      <c r="BI370" s="692"/>
      <c r="BJ370" s="692"/>
      <c r="BK370" s="692"/>
      <c r="BL370" s="693"/>
      <c r="BM370" s="693"/>
      <c r="BN370" s="688"/>
      <c r="BO370" s="693"/>
      <c r="BP370" s="689"/>
      <c r="BQ370" s="694"/>
      <c r="BR370" s="687"/>
      <c r="BS370" s="687"/>
      <c r="BT370" s="687"/>
      <c r="BU370" s="687"/>
      <c r="BV370" s="687"/>
      <c r="BW370" s="688"/>
      <c r="BX370" s="688"/>
      <c r="BY370" s="689"/>
      <c r="BZ370" s="690"/>
      <c r="CA370" s="690"/>
      <c r="CB370" s="690"/>
      <c r="CC370" s="691"/>
      <c r="CD370" s="691"/>
      <c r="CE370" s="692"/>
      <c r="CF370" s="692"/>
      <c r="CG370" s="692"/>
      <c r="CH370" s="693"/>
    </row>
    <row r="371">
      <c r="B371" s="687"/>
      <c r="C371" s="687"/>
      <c r="D371" s="688"/>
      <c r="E371" s="689"/>
      <c r="F371" s="690"/>
      <c r="G371" s="690"/>
      <c r="H371" s="690"/>
      <c r="I371" s="691"/>
      <c r="J371" s="691"/>
      <c r="K371" s="691"/>
      <c r="L371" s="692"/>
      <c r="M371" s="692"/>
      <c r="N371" s="692"/>
      <c r="O371" s="693"/>
      <c r="P371" s="688"/>
      <c r="Q371" s="688"/>
      <c r="R371" s="688"/>
      <c r="S371" s="688"/>
      <c r="T371" s="689"/>
      <c r="U371" s="689"/>
      <c r="V371" s="694"/>
      <c r="W371" s="694"/>
      <c r="X371" s="694"/>
      <c r="Y371" s="694"/>
      <c r="Z371" s="693"/>
      <c r="AA371" s="693"/>
      <c r="AB371" s="693"/>
      <c r="AC371" s="693"/>
      <c r="AD371" s="688"/>
      <c r="AE371" s="689"/>
      <c r="AF371" s="689"/>
      <c r="AG371" s="690"/>
      <c r="AH371" s="690"/>
      <c r="AI371" s="695"/>
      <c r="AJ371" s="695"/>
      <c r="AK371" s="692"/>
      <c r="AL371" s="692"/>
      <c r="AM371" s="693"/>
      <c r="AN371" s="688"/>
      <c r="AO371" s="688"/>
      <c r="AP371" s="688"/>
      <c r="AQ371" s="688"/>
      <c r="AR371" s="688"/>
      <c r="AS371" s="688"/>
      <c r="AT371" s="689"/>
      <c r="AU371" s="689"/>
      <c r="AV371" s="690"/>
      <c r="AW371" s="690"/>
      <c r="AX371" s="690"/>
      <c r="AY371" s="690"/>
      <c r="AZ371" s="690"/>
      <c r="BA371" s="690"/>
      <c r="BB371" s="695"/>
      <c r="BC371" s="695"/>
      <c r="BD371" s="695"/>
      <c r="BE371" s="695"/>
      <c r="BF371" s="692"/>
      <c r="BG371" s="692"/>
      <c r="BH371" s="692"/>
      <c r="BI371" s="692"/>
      <c r="BJ371" s="692"/>
      <c r="BK371" s="692"/>
      <c r="BL371" s="693"/>
      <c r="BM371" s="693"/>
      <c r="BN371" s="688"/>
      <c r="BO371" s="693"/>
      <c r="BP371" s="689"/>
      <c r="BQ371" s="694"/>
      <c r="BR371" s="687"/>
      <c r="BS371" s="687"/>
      <c r="BT371" s="687"/>
      <c r="BU371" s="687"/>
      <c r="BV371" s="687"/>
      <c r="BW371" s="688"/>
      <c r="BX371" s="688"/>
      <c r="BY371" s="689"/>
      <c r="BZ371" s="690"/>
      <c r="CA371" s="690"/>
      <c r="CB371" s="690"/>
      <c r="CC371" s="691"/>
      <c r="CD371" s="691"/>
      <c r="CE371" s="692"/>
      <c r="CF371" s="692"/>
      <c r="CG371" s="692"/>
      <c r="CH371" s="693"/>
    </row>
    <row r="372">
      <c r="B372" s="687"/>
      <c r="C372" s="687"/>
      <c r="D372" s="688"/>
      <c r="E372" s="689"/>
      <c r="F372" s="690"/>
      <c r="G372" s="690"/>
      <c r="H372" s="690"/>
      <c r="I372" s="691"/>
      <c r="J372" s="691"/>
      <c r="K372" s="691"/>
      <c r="L372" s="692"/>
      <c r="M372" s="692"/>
      <c r="N372" s="692"/>
      <c r="O372" s="693"/>
      <c r="P372" s="688"/>
      <c r="Q372" s="688"/>
      <c r="R372" s="688"/>
      <c r="S372" s="688"/>
      <c r="T372" s="689"/>
      <c r="U372" s="689"/>
      <c r="V372" s="694"/>
      <c r="W372" s="694"/>
      <c r="X372" s="694"/>
      <c r="Y372" s="694"/>
      <c r="Z372" s="693"/>
      <c r="AA372" s="693"/>
      <c r="AB372" s="693"/>
      <c r="AC372" s="693"/>
      <c r="AD372" s="688"/>
      <c r="AE372" s="689"/>
      <c r="AF372" s="689"/>
      <c r="AG372" s="690"/>
      <c r="AH372" s="690"/>
      <c r="AI372" s="695"/>
      <c r="AJ372" s="695"/>
      <c r="AK372" s="692"/>
      <c r="AL372" s="692"/>
      <c r="AM372" s="693"/>
      <c r="AN372" s="688"/>
      <c r="AO372" s="688"/>
      <c r="AP372" s="688"/>
      <c r="AQ372" s="688"/>
      <c r="AR372" s="688"/>
      <c r="AS372" s="688"/>
      <c r="AT372" s="689"/>
      <c r="AU372" s="689"/>
      <c r="AV372" s="690"/>
      <c r="AW372" s="690"/>
      <c r="AX372" s="690"/>
      <c r="AY372" s="690"/>
      <c r="AZ372" s="690"/>
      <c r="BA372" s="690"/>
      <c r="BB372" s="695"/>
      <c r="BC372" s="695"/>
      <c r="BD372" s="695"/>
      <c r="BE372" s="695"/>
      <c r="BF372" s="692"/>
      <c r="BG372" s="692"/>
      <c r="BH372" s="692"/>
      <c r="BI372" s="692"/>
      <c r="BJ372" s="692"/>
      <c r="BK372" s="692"/>
      <c r="BL372" s="693"/>
      <c r="BM372" s="693"/>
      <c r="BN372" s="688"/>
      <c r="BO372" s="693"/>
      <c r="BP372" s="689"/>
      <c r="BQ372" s="694"/>
      <c r="BR372" s="687"/>
      <c r="BS372" s="687"/>
      <c r="BT372" s="687"/>
      <c r="BU372" s="687"/>
      <c r="BV372" s="687"/>
      <c r="BW372" s="688"/>
      <c r="BX372" s="688"/>
      <c r="BY372" s="689"/>
      <c r="BZ372" s="690"/>
      <c r="CA372" s="690"/>
      <c r="CB372" s="690"/>
      <c r="CC372" s="691"/>
      <c r="CD372" s="691"/>
      <c r="CE372" s="692"/>
      <c r="CF372" s="692"/>
      <c r="CG372" s="692"/>
      <c r="CH372" s="693"/>
    </row>
    <row r="373">
      <c r="B373" s="687"/>
      <c r="C373" s="687"/>
      <c r="D373" s="688"/>
      <c r="E373" s="689"/>
      <c r="F373" s="690"/>
      <c r="G373" s="690"/>
      <c r="H373" s="690"/>
      <c r="I373" s="691"/>
      <c r="J373" s="691"/>
      <c r="K373" s="691"/>
      <c r="L373" s="692"/>
      <c r="M373" s="692"/>
      <c r="N373" s="692"/>
      <c r="O373" s="693"/>
      <c r="P373" s="688"/>
      <c r="Q373" s="688"/>
      <c r="R373" s="688"/>
      <c r="S373" s="688"/>
      <c r="T373" s="689"/>
      <c r="U373" s="689"/>
      <c r="V373" s="694"/>
      <c r="W373" s="694"/>
      <c r="X373" s="694"/>
      <c r="Y373" s="694"/>
      <c r="Z373" s="693"/>
      <c r="AA373" s="693"/>
      <c r="AB373" s="693"/>
      <c r="AC373" s="693"/>
      <c r="AD373" s="688"/>
      <c r="AE373" s="689"/>
      <c r="AF373" s="689"/>
      <c r="AG373" s="690"/>
      <c r="AH373" s="690"/>
      <c r="AI373" s="695"/>
      <c r="AJ373" s="695"/>
      <c r="AK373" s="692"/>
      <c r="AL373" s="692"/>
      <c r="AM373" s="693"/>
      <c r="AN373" s="688"/>
      <c r="AO373" s="688"/>
      <c r="AP373" s="688"/>
      <c r="AQ373" s="688"/>
      <c r="AR373" s="688"/>
      <c r="AS373" s="688"/>
      <c r="AT373" s="689"/>
      <c r="AU373" s="689"/>
      <c r="AV373" s="690"/>
      <c r="AW373" s="690"/>
      <c r="AX373" s="690"/>
      <c r="AY373" s="690"/>
      <c r="AZ373" s="690"/>
      <c r="BA373" s="690"/>
      <c r="BB373" s="695"/>
      <c r="BC373" s="695"/>
      <c r="BD373" s="695"/>
      <c r="BE373" s="695"/>
      <c r="BF373" s="692"/>
      <c r="BG373" s="692"/>
      <c r="BH373" s="692"/>
      <c r="BI373" s="692"/>
      <c r="BJ373" s="692"/>
      <c r="BK373" s="692"/>
      <c r="BL373" s="693"/>
      <c r="BM373" s="693"/>
      <c r="BN373" s="688"/>
      <c r="BO373" s="693"/>
      <c r="BP373" s="689"/>
      <c r="BQ373" s="694"/>
      <c r="BR373" s="687"/>
      <c r="BS373" s="687"/>
      <c r="BT373" s="687"/>
      <c r="BU373" s="687"/>
      <c r="BV373" s="687"/>
      <c r="BW373" s="688"/>
      <c r="BX373" s="688"/>
      <c r="BY373" s="689"/>
      <c r="BZ373" s="690"/>
      <c r="CA373" s="690"/>
      <c r="CB373" s="690"/>
      <c r="CC373" s="691"/>
      <c r="CD373" s="691"/>
      <c r="CE373" s="692"/>
      <c r="CF373" s="692"/>
      <c r="CG373" s="692"/>
      <c r="CH373" s="693"/>
    </row>
    <row r="374">
      <c r="B374" s="687"/>
      <c r="C374" s="687"/>
      <c r="D374" s="688"/>
      <c r="E374" s="689"/>
      <c r="F374" s="690"/>
      <c r="G374" s="690"/>
      <c r="H374" s="690"/>
      <c r="I374" s="691"/>
      <c r="J374" s="691"/>
      <c r="K374" s="691"/>
      <c r="L374" s="692"/>
      <c r="M374" s="692"/>
      <c r="N374" s="692"/>
      <c r="O374" s="693"/>
      <c r="P374" s="688"/>
      <c r="Q374" s="688"/>
      <c r="R374" s="688"/>
      <c r="S374" s="688"/>
      <c r="T374" s="689"/>
      <c r="U374" s="689"/>
      <c r="V374" s="694"/>
      <c r="W374" s="694"/>
      <c r="X374" s="694"/>
      <c r="Y374" s="694"/>
      <c r="Z374" s="693"/>
      <c r="AA374" s="693"/>
      <c r="AB374" s="693"/>
      <c r="AC374" s="693"/>
      <c r="AD374" s="688"/>
      <c r="AE374" s="689"/>
      <c r="AF374" s="689"/>
      <c r="AG374" s="690"/>
      <c r="AH374" s="690"/>
      <c r="AI374" s="695"/>
      <c r="AJ374" s="695"/>
      <c r="AK374" s="692"/>
      <c r="AL374" s="692"/>
      <c r="AM374" s="693"/>
      <c r="AN374" s="688"/>
      <c r="AO374" s="688"/>
      <c r="AP374" s="688"/>
      <c r="AQ374" s="688"/>
      <c r="AR374" s="688"/>
      <c r="AS374" s="688"/>
      <c r="AT374" s="689"/>
      <c r="AU374" s="689"/>
      <c r="AV374" s="690"/>
      <c r="AW374" s="690"/>
      <c r="AX374" s="690"/>
      <c r="AY374" s="690"/>
      <c r="AZ374" s="690"/>
      <c r="BA374" s="690"/>
      <c r="BB374" s="695"/>
      <c r="BC374" s="695"/>
      <c r="BD374" s="695"/>
      <c r="BE374" s="695"/>
      <c r="BF374" s="692"/>
      <c r="BG374" s="692"/>
      <c r="BH374" s="692"/>
      <c r="BI374" s="692"/>
      <c r="BJ374" s="692"/>
      <c r="BK374" s="692"/>
      <c r="BL374" s="693"/>
      <c r="BM374" s="693"/>
      <c r="BN374" s="688"/>
      <c r="BO374" s="693"/>
      <c r="BP374" s="689"/>
      <c r="BQ374" s="694"/>
      <c r="BR374" s="687"/>
      <c r="BS374" s="687"/>
      <c r="BT374" s="687"/>
      <c r="BU374" s="687"/>
      <c r="BV374" s="687"/>
      <c r="BW374" s="688"/>
      <c r="BX374" s="688"/>
      <c r="BY374" s="689"/>
      <c r="BZ374" s="690"/>
      <c r="CA374" s="690"/>
      <c r="CB374" s="690"/>
      <c r="CC374" s="691"/>
      <c r="CD374" s="691"/>
      <c r="CE374" s="692"/>
      <c r="CF374" s="692"/>
      <c r="CG374" s="692"/>
      <c r="CH374" s="693"/>
    </row>
    <row r="375">
      <c r="B375" s="687"/>
      <c r="C375" s="687"/>
      <c r="D375" s="688"/>
      <c r="E375" s="689"/>
      <c r="F375" s="690"/>
      <c r="G375" s="690"/>
      <c r="H375" s="690"/>
      <c r="I375" s="691"/>
      <c r="J375" s="691"/>
      <c r="K375" s="691"/>
      <c r="L375" s="692"/>
      <c r="M375" s="692"/>
      <c r="N375" s="692"/>
      <c r="O375" s="693"/>
      <c r="P375" s="688"/>
      <c r="Q375" s="688"/>
      <c r="R375" s="688"/>
      <c r="S375" s="688"/>
      <c r="T375" s="689"/>
      <c r="U375" s="689"/>
      <c r="V375" s="694"/>
      <c r="W375" s="694"/>
      <c r="X375" s="694"/>
      <c r="Y375" s="694"/>
      <c r="Z375" s="693"/>
      <c r="AA375" s="693"/>
      <c r="AB375" s="693"/>
      <c r="AC375" s="693"/>
      <c r="AD375" s="688"/>
      <c r="AE375" s="689"/>
      <c r="AF375" s="689"/>
      <c r="AG375" s="690"/>
      <c r="AH375" s="690"/>
      <c r="AI375" s="695"/>
      <c r="AJ375" s="695"/>
      <c r="AK375" s="692"/>
      <c r="AL375" s="692"/>
      <c r="AM375" s="693"/>
      <c r="AN375" s="688"/>
      <c r="AO375" s="688"/>
      <c r="AP375" s="688"/>
      <c r="AQ375" s="688"/>
      <c r="AR375" s="688"/>
      <c r="AS375" s="688"/>
      <c r="AT375" s="689"/>
      <c r="AU375" s="689"/>
      <c r="AV375" s="690"/>
      <c r="AW375" s="690"/>
      <c r="AX375" s="690"/>
      <c r="AY375" s="690"/>
      <c r="AZ375" s="690"/>
      <c r="BA375" s="690"/>
      <c r="BB375" s="695"/>
      <c r="BC375" s="695"/>
      <c r="BD375" s="695"/>
      <c r="BE375" s="695"/>
      <c r="BF375" s="692"/>
      <c r="BG375" s="692"/>
      <c r="BH375" s="692"/>
      <c r="BI375" s="692"/>
      <c r="BJ375" s="692"/>
      <c r="BK375" s="692"/>
      <c r="BL375" s="693"/>
      <c r="BM375" s="693"/>
      <c r="BN375" s="688"/>
      <c r="BO375" s="693"/>
      <c r="BP375" s="689"/>
      <c r="BQ375" s="694"/>
      <c r="BR375" s="687"/>
      <c r="BS375" s="687"/>
      <c r="BT375" s="687"/>
      <c r="BU375" s="687"/>
      <c r="BV375" s="687"/>
      <c r="BW375" s="688"/>
      <c r="BX375" s="688"/>
      <c r="BY375" s="689"/>
      <c r="BZ375" s="690"/>
      <c r="CA375" s="690"/>
      <c r="CB375" s="690"/>
      <c r="CC375" s="691"/>
      <c r="CD375" s="691"/>
      <c r="CE375" s="692"/>
      <c r="CF375" s="692"/>
      <c r="CG375" s="692"/>
      <c r="CH375" s="693"/>
    </row>
    <row r="376">
      <c r="B376" s="687"/>
      <c r="C376" s="687"/>
      <c r="D376" s="688"/>
      <c r="E376" s="689"/>
      <c r="F376" s="690"/>
      <c r="G376" s="690"/>
      <c r="H376" s="690"/>
      <c r="I376" s="691"/>
      <c r="J376" s="691"/>
      <c r="K376" s="691"/>
      <c r="L376" s="692"/>
      <c r="M376" s="692"/>
      <c r="N376" s="692"/>
      <c r="O376" s="693"/>
      <c r="P376" s="688"/>
      <c r="Q376" s="688"/>
      <c r="R376" s="688"/>
      <c r="S376" s="688"/>
      <c r="T376" s="689"/>
      <c r="U376" s="689"/>
      <c r="V376" s="694"/>
      <c r="W376" s="694"/>
      <c r="X376" s="694"/>
      <c r="Y376" s="694"/>
      <c r="Z376" s="693"/>
      <c r="AA376" s="693"/>
      <c r="AB376" s="693"/>
      <c r="AC376" s="693"/>
      <c r="AD376" s="688"/>
      <c r="AE376" s="689"/>
      <c r="AF376" s="689"/>
      <c r="AG376" s="690"/>
      <c r="AH376" s="690"/>
      <c r="AI376" s="695"/>
      <c r="AJ376" s="695"/>
      <c r="AK376" s="692"/>
      <c r="AL376" s="692"/>
      <c r="AM376" s="693"/>
      <c r="AN376" s="688"/>
      <c r="AO376" s="688"/>
      <c r="AP376" s="688"/>
      <c r="AQ376" s="688"/>
      <c r="AR376" s="688"/>
      <c r="AS376" s="688"/>
      <c r="AT376" s="689"/>
      <c r="AU376" s="689"/>
      <c r="AV376" s="690"/>
      <c r="AW376" s="690"/>
      <c r="AX376" s="690"/>
      <c r="AY376" s="690"/>
      <c r="AZ376" s="690"/>
      <c r="BA376" s="690"/>
      <c r="BB376" s="695"/>
      <c r="BC376" s="695"/>
      <c r="BD376" s="695"/>
      <c r="BE376" s="695"/>
      <c r="BF376" s="692"/>
      <c r="BG376" s="692"/>
      <c r="BH376" s="692"/>
      <c r="BI376" s="692"/>
      <c r="BJ376" s="692"/>
      <c r="BK376" s="692"/>
      <c r="BL376" s="693"/>
      <c r="BM376" s="693"/>
      <c r="BN376" s="688"/>
      <c r="BO376" s="693"/>
      <c r="BP376" s="689"/>
      <c r="BQ376" s="694"/>
      <c r="BR376" s="687"/>
      <c r="BS376" s="687"/>
      <c r="BT376" s="687"/>
      <c r="BU376" s="687"/>
      <c r="BV376" s="687"/>
      <c r="BW376" s="688"/>
      <c r="BX376" s="688"/>
      <c r="BY376" s="689"/>
      <c r="BZ376" s="690"/>
      <c r="CA376" s="690"/>
      <c r="CB376" s="690"/>
      <c r="CC376" s="691"/>
      <c r="CD376" s="691"/>
      <c r="CE376" s="692"/>
      <c r="CF376" s="692"/>
      <c r="CG376" s="692"/>
      <c r="CH376" s="693"/>
    </row>
    <row r="377">
      <c r="B377" s="687"/>
      <c r="C377" s="687"/>
      <c r="D377" s="688"/>
      <c r="E377" s="689"/>
      <c r="F377" s="690"/>
      <c r="G377" s="690"/>
      <c r="H377" s="690"/>
      <c r="I377" s="691"/>
      <c r="J377" s="691"/>
      <c r="K377" s="691"/>
      <c r="L377" s="692"/>
      <c r="M377" s="692"/>
      <c r="N377" s="692"/>
      <c r="O377" s="693"/>
      <c r="P377" s="688"/>
      <c r="Q377" s="688"/>
      <c r="R377" s="688"/>
      <c r="S377" s="688"/>
      <c r="T377" s="689"/>
      <c r="U377" s="689"/>
      <c r="V377" s="694"/>
      <c r="W377" s="694"/>
      <c r="X377" s="694"/>
      <c r="Y377" s="694"/>
      <c r="Z377" s="693"/>
      <c r="AA377" s="693"/>
      <c r="AB377" s="693"/>
      <c r="AC377" s="693"/>
      <c r="AD377" s="688"/>
      <c r="AE377" s="689"/>
      <c r="AF377" s="689"/>
      <c r="AG377" s="690"/>
      <c r="AH377" s="690"/>
      <c r="AI377" s="695"/>
      <c r="AJ377" s="695"/>
      <c r="AK377" s="692"/>
      <c r="AL377" s="692"/>
      <c r="AM377" s="693"/>
      <c r="AN377" s="688"/>
      <c r="AO377" s="688"/>
      <c r="AP377" s="688"/>
      <c r="AQ377" s="688"/>
      <c r="AR377" s="688"/>
      <c r="AS377" s="688"/>
      <c r="AT377" s="689"/>
      <c r="AU377" s="689"/>
      <c r="AV377" s="690"/>
      <c r="AW377" s="690"/>
      <c r="AX377" s="690"/>
      <c r="AY377" s="690"/>
      <c r="AZ377" s="690"/>
      <c r="BA377" s="690"/>
      <c r="BB377" s="695"/>
      <c r="BC377" s="695"/>
      <c r="BD377" s="695"/>
      <c r="BE377" s="695"/>
      <c r="BF377" s="692"/>
      <c r="BG377" s="692"/>
      <c r="BH377" s="692"/>
      <c r="BI377" s="692"/>
      <c r="BJ377" s="692"/>
      <c r="BK377" s="692"/>
      <c r="BL377" s="693"/>
      <c r="BM377" s="693"/>
      <c r="BN377" s="688"/>
      <c r="BO377" s="693"/>
      <c r="BP377" s="689"/>
      <c r="BQ377" s="694"/>
      <c r="BR377" s="687"/>
      <c r="BS377" s="687"/>
      <c r="BT377" s="687"/>
      <c r="BU377" s="687"/>
      <c r="BV377" s="687"/>
      <c r="BW377" s="688"/>
      <c r="BX377" s="688"/>
      <c r="BY377" s="689"/>
      <c r="BZ377" s="690"/>
      <c r="CA377" s="690"/>
      <c r="CB377" s="690"/>
      <c r="CC377" s="691"/>
      <c r="CD377" s="691"/>
      <c r="CE377" s="692"/>
      <c r="CF377" s="692"/>
      <c r="CG377" s="692"/>
      <c r="CH377" s="693"/>
    </row>
    <row r="378">
      <c r="B378" s="687"/>
      <c r="C378" s="687"/>
      <c r="D378" s="688"/>
      <c r="E378" s="689"/>
      <c r="F378" s="690"/>
      <c r="G378" s="690"/>
      <c r="H378" s="690"/>
      <c r="I378" s="691"/>
      <c r="J378" s="691"/>
      <c r="K378" s="691"/>
      <c r="L378" s="692"/>
      <c r="M378" s="692"/>
      <c r="N378" s="692"/>
      <c r="O378" s="693"/>
      <c r="P378" s="688"/>
      <c r="Q378" s="688"/>
      <c r="R378" s="688"/>
      <c r="S378" s="688"/>
      <c r="T378" s="689"/>
      <c r="U378" s="689"/>
      <c r="V378" s="694"/>
      <c r="W378" s="694"/>
      <c r="X378" s="694"/>
      <c r="Y378" s="694"/>
      <c r="Z378" s="693"/>
      <c r="AA378" s="693"/>
      <c r="AB378" s="693"/>
      <c r="AC378" s="693"/>
      <c r="AD378" s="688"/>
      <c r="AE378" s="689"/>
      <c r="AF378" s="689"/>
      <c r="AG378" s="690"/>
      <c r="AH378" s="690"/>
      <c r="AI378" s="695"/>
      <c r="AJ378" s="695"/>
      <c r="AK378" s="692"/>
      <c r="AL378" s="692"/>
      <c r="AM378" s="693"/>
      <c r="AN378" s="688"/>
      <c r="AO378" s="688"/>
      <c r="AP378" s="688"/>
      <c r="AQ378" s="688"/>
      <c r="AR378" s="688"/>
      <c r="AS378" s="688"/>
      <c r="AT378" s="689"/>
      <c r="AU378" s="689"/>
      <c r="AV378" s="690"/>
      <c r="AW378" s="690"/>
      <c r="AX378" s="690"/>
      <c r="AY378" s="690"/>
      <c r="AZ378" s="690"/>
      <c r="BA378" s="690"/>
      <c r="BB378" s="695"/>
      <c r="BC378" s="695"/>
      <c r="BD378" s="695"/>
      <c r="BE378" s="695"/>
      <c r="BF378" s="692"/>
      <c r="BG378" s="692"/>
      <c r="BH378" s="692"/>
      <c r="BI378" s="692"/>
      <c r="BJ378" s="692"/>
      <c r="BK378" s="692"/>
      <c r="BL378" s="693"/>
      <c r="BM378" s="693"/>
      <c r="BN378" s="688"/>
      <c r="BO378" s="693"/>
      <c r="BP378" s="689"/>
      <c r="BQ378" s="694"/>
      <c r="BR378" s="687"/>
      <c r="BS378" s="687"/>
      <c r="BT378" s="687"/>
      <c r="BU378" s="687"/>
      <c r="BV378" s="687"/>
      <c r="BW378" s="688"/>
      <c r="BX378" s="688"/>
      <c r="BY378" s="689"/>
      <c r="BZ378" s="690"/>
      <c r="CA378" s="690"/>
      <c r="CB378" s="690"/>
      <c r="CC378" s="691"/>
      <c r="CD378" s="691"/>
      <c r="CE378" s="692"/>
      <c r="CF378" s="692"/>
      <c r="CG378" s="692"/>
      <c r="CH378" s="693"/>
    </row>
    <row r="379">
      <c r="B379" s="687"/>
      <c r="C379" s="687"/>
      <c r="D379" s="688"/>
      <c r="E379" s="689"/>
      <c r="F379" s="690"/>
      <c r="G379" s="690"/>
      <c r="H379" s="690"/>
      <c r="I379" s="691"/>
      <c r="J379" s="691"/>
      <c r="K379" s="691"/>
      <c r="L379" s="692"/>
      <c r="M379" s="692"/>
      <c r="N379" s="692"/>
      <c r="O379" s="693"/>
      <c r="P379" s="688"/>
      <c r="Q379" s="688"/>
      <c r="R379" s="688"/>
      <c r="S379" s="688"/>
      <c r="T379" s="689"/>
      <c r="U379" s="689"/>
      <c r="V379" s="694"/>
      <c r="W379" s="694"/>
      <c r="X379" s="694"/>
      <c r="Y379" s="694"/>
      <c r="Z379" s="693"/>
      <c r="AA379" s="693"/>
      <c r="AB379" s="693"/>
      <c r="AC379" s="693"/>
      <c r="AD379" s="688"/>
      <c r="AE379" s="689"/>
      <c r="AF379" s="689"/>
      <c r="AG379" s="690"/>
      <c r="AH379" s="690"/>
      <c r="AI379" s="695"/>
      <c r="AJ379" s="695"/>
      <c r="AK379" s="692"/>
      <c r="AL379" s="692"/>
      <c r="AM379" s="693"/>
      <c r="AN379" s="688"/>
      <c r="AO379" s="688"/>
      <c r="AP379" s="688"/>
      <c r="AQ379" s="688"/>
      <c r="AR379" s="688"/>
      <c r="AS379" s="688"/>
      <c r="AT379" s="689"/>
      <c r="AU379" s="689"/>
      <c r="AV379" s="690"/>
      <c r="AW379" s="690"/>
      <c r="AX379" s="690"/>
      <c r="AY379" s="690"/>
      <c r="AZ379" s="690"/>
      <c r="BA379" s="690"/>
      <c r="BB379" s="695"/>
      <c r="BC379" s="695"/>
      <c r="BD379" s="695"/>
      <c r="BE379" s="695"/>
      <c r="BF379" s="692"/>
      <c r="BG379" s="692"/>
      <c r="BH379" s="692"/>
      <c r="BI379" s="692"/>
      <c r="BJ379" s="692"/>
      <c r="BK379" s="692"/>
      <c r="BL379" s="693"/>
      <c r="BM379" s="693"/>
      <c r="BN379" s="688"/>
      <c r="BO379" s="693"/>
      <c r="BP379" s="689"/>
      <c r="BQ379" s="694"/>
      <c r="BR379" s="687"/>
      <c r="BS379" s="687"/>
      <c r="BT379" s="687"/>
      <c r="BU379" s="687"/>
      <c r="BV379" s="687"/>
      <c r="BW379" s="688"/>
      <c r="BX379" s="688"/>
      <c r="BY379" s="689"/>
      <c r="BZ379" s="690"/>
      <c r="CA379" s="690"/>
      <c r="CB379" s="690"/>
      <c r="CC379" s="691"/>
      <c r="CD379" s="691"/>
      <c r="CE379" s="692"/>
      <c r="CF379" s="692"/>
      <c r="CG379" s="692"/>
      <c r="CH379" s="693"/>
    </row>
    <row r="380">
      <c r="B380" s="687"/>
      <c r="C380" s="687"/>
      <c r="D380" s="688"/>
      <c r="E380" s="689"/>
      <c r="F380" s="690"/>
      <c r="G380" s="690"/>
      <c r="H380" s="690"/>
      <c r="I380" s="691"/>
      <c r="J380" s="691"/>
      <c r="K380" s="691"/>
      <c r="L380" s="692"/>
      <c r="M380" s="692"/>
      <c r="N380" s="692"/>
      <c r="O380" s="693"/>
      <c r="P380" s="688"/>
      <c r="Q380" s="688"/>
      <c r="R380" s="688"/>
      <c r="S380" s="688"/>
      <c r="T380" s="689"/>
      <c r="U380" s="689"/>
      <c r="V380" s="694"/>
      <c r="W380" s="694"/>
      <c r="X380" s="694"/>
      <c r="Y380" s="694"/>
      <c r="Z380" s="693"/>
      <c r="AA380" s="693"/>
      <c r="AB380" s="693"/>
      <c r="AC380" s="693"/>
      <c r="AD380" s="688"/>
      <c r="AE380" s="689"/>
      <c r="AF380" s="689"/>
      <c r="AG380" s="690"/>
      <c r="AH380" s="690"/>
      <c r="AI380" s="695"/>
      <c r="AJ380" s="695"/>
      <c r="AK380" s="692"/>
      <c r="AL380" s="692"/>
      <c r="AM380" s="693"/>
      <c r="AN380" s="688"/>
      <c r="AO380" s="688"/>
      <c r="AP380" s="688"/>
      <c r="AQ380" s="688"/>
      <c r="AR380" s="688"/>
      <c r="AS380" s="688"/>
      <c r="AT380" s="689"/>
      <c r="AU380" s="689"/>
      <c r="AV380" s="690"/>
      <c r="AW380" s="690"/>
      <c r="AX380" s="690"/>
      <c r="AY380" s="690"/>
      <c r="AZ380" s="690"/>
      <c r="BA380" s="690"/>
      <c r="BB380" s="695"/>
      <c r="BC380" s="695"/>
      <c r="BD380" s="695"/>
      <c r="BE380" s="695"/>
      <c r="BF380" s="692"/>
      <c r="BG380" s="692"/>
      <c r="BH380" s="692"/>
      <c r="BI380" s="692"/>
      <c r="BJ380" s="692"/>
      <c r="BK380" s="692"/>
      <c r="BL380" s="693"/>
      <c r="BM380" s="693"/>
      <c r="BN380" s="688"/>
      <c r="BO380" s="693"/>
      <c r="BP380" s="689"/>
      <c r="BQ380" s="694"/>
      <c r="BR380" s="687"/>
      <c r="BS380" s="687"/>
      <c r="BT380" s="687"/>
      <c r="BU380" s="687"/>
      <c r="BV380" s="687"/>
      <c r="BW380" s="688"/>
      <c r="BX380" s="688"/>
      <c r="BY380" s="689"/>
      <c r="BZ380" s="690"/>
      <c r="CA380" s="690"/>
      <c r="CB380" s="690"/>
      <c r="CC380" s="691"/>
      <c r="CD380" s="691"/>
      <c r="CE380" s="692"/>
      <c r="CF380" s="692"/>
      <c r="CG380" s="692"/>
      <c r="CH380" s="693"/>
    </row>
    <row r="381">
      <c r="B381" s="687"/>
      <c r="C381" s="687"/>
      <c r="D381" s="688"/>
      <c r="E381" s="689"/>
      <c r="F381" s="690"/>
      <c r="G381" s="690"/>
      <c r="H381" s="690"/>
      <c r="I381" s="691"/>
      <c r="J381" s="691"/>
      <c r="K381" s="691"/>
      <c r="L381" s="692"/>
      <c r="M381" s="692"/>
      <c r="N381" s="692"/>
      <c r="O381" s="693"/>
      <c r="P381" s="688"/>
      <c r="Q381" s="688"/>
      <c r="R381" s="688"/>
      <c r="S381" s="688"/>
      <c r="T381" s="689"/>
      <c r="U381" s="689"/>
      <c r="V381" s="694"/>
      <c r="W381" s="694"/>
      <c r="X381" s="694"/>
      <c r="Y381" s="694"/>
      <c r="Z381" s="693"/>
      <c r="AA381" s="693"/>
      <c r="AB381" s="693"/>
      <c r="AC381" s="693"/>
      <c r="AD381" s="688"/>
      <c r="AE381" s="689"/>
      <c r="AF381" s="689"/>
      <c r="AG381" s="690"/>
      <c r="AH381" s="690"/>
      <c r="AI381" s="695"/>
      <c r="AJ381" s="695"/>
      <c r="AK381" s="692"/>
      <c r="AL381" s="692"/>
      <c r="AM381" s="693"/>
      <c r="AN381" s="688"/>
      <c r="AO381" s="688"/>
      <c r="AP381" s="688"/>
      <c r="AQ381" s="688"/>
      <c r="AR381" s="688"/>
      <c r="AS381" s="688"/>
      <c r="AT381" s="689"/>
      <c r="AU381" s="689"/>
      <c r="AV381" s="690"/>
      <c r="AW381" s="690"/>
      <c r="AX381" s="690"/>
      <c r="AY381" s="690"/>
      <c r="AZ381" s="690"/>
      <c r="BA381" s="690"/>
      <c r="BB381" s="695"/>
      <c r="BC381" s="695"/>
      <c r="BD381" s="695"/>
      <c r="BE381" s="695"/>
      <c r="BF381" s="692"/>
      <c r="BG381" s="692"/>
      <c r="BH381" s="692"/>
      <c r="BI381" s="692"/>
      <c r="BJ381" s="692"/>
      <c r="BK381" s="692"/>
      <c r="BL381" s="693"/>
      <c r="BM381" s="693"/>
      <c r="BN381" s="688"/>
      <c r="BO381" s="693"/>
      <c r="BP381" s="689"/>
      <c r="BQ381" s="694"/>
      <c r="BR381" s="687"/>
      <c r="BS381" s="687"/>
      <c r="BT381" s="687"/>
      <c r="BU381" s="687"/>
      <c r="BV381" s="687"/>
      <c r="BW381" s="688"/>
      <c r="BX381" s="688"/>
      <c r="BY381" s="689"/>
      <c r="BZ381" s="690"/>
      <c r="CA381" s="690"/>
      <c r="CB381" s="690"/>
      <c r="CC381" s="691"/>
      <c r="CD381" s="691"/>
      <c r="CE381" s="692"/>
      <c r="CF381" s="692"/>
      <c r="CG381" s="692"/>
      <c r="CH381" s="693"/>
    </row>
    <row r="382">
      <c r="B382" s="687"/>
      <c r="C382" s="687"/>
      <c r="D382" s="688"/>
      <c r="E382" s="689"/>
      <c r="F382" s="690"/>
      <c r="G382" s="690"/>
      <c r="H382" s="690"/>
      <c r="I382" s="691"/>
      <c r="J382" s="691"/>
      <c r="K382" s="691"/>
      <c r="L382" s="692"/>
      <c r="M382" s="692"/>
      <c r="N382" s="692"/>
      <c r="O382" s="693"/>
      <c r="P382" s="688"/>
      <c r="Q382" s="688"/>
      <c r="R382" s="688"/>
      <c r="S382" s="688"/>
      <c r="T382" s="689"/>
      <c r="U382" s="689"/>
      <c r="V382" s="694"/>
      <c r="W382" s="694"/>
      <c r="X382" s="694"/>
      <c r="Y382" s="694"/>
      <c r="Z382" s="693"/>
      <c r="AA382" s="693"/>
      <c r="AB382" s="693"/>
      <c r="AC382" s="693"/>
      <c r="AD382" s="688"/>
      <c r="AE382" s="689"/>
      <c r="AF382" s="689"/>
      <c r="AG382" s="690"/>
      <c r="AH382" s="690"/>
      <c r="AI382" s="695"/>
      <c r="AJ382" s="695"/>
      <c r="AK382" s="692"/>
      <c r="AL382" s="692"/>
      <c r="AM382" s="693"/>
      <c r="AN382" s="688"/>
      <c r="AO382" s="688"/>
      <c r="AP382" s="688"/>
      <c r="AQ382" s="688"/>
      <c r="AR382" s="688"/>
      <c r="AS382" s="688"/>
      <c r="AT382" s="689"/>
      <c r="AU382" s="689"/>
      <c r="AV382" s="690"/>
      <c r="AW382" s="690"/>
      <c r="AX382" s="690"/>
      <c r="AY382" s="690"/>
      <c r="AZ382" s="690"/>
      <c r="BA382" s="690"/>
      <c r="BB382" s="695"/>
      <c r="BC382" s="695"/>
      <c r="BD382" s="695"/>
      <c r="BE382" s="695"/>
      <c r="BF382" s="692"/>
      <c r="BG382" s="692"/>
      <c r="BH382" s="692"/>
      <c r="BI382" s="692"/>
      <c r="BJ382" s="692"/>
      <c r="BK382" s="692"/>
      <c r="BL382" s="693"/>
      <c r="BM382" s="693"/>
      <c r="BN382" s="688"/>
      <c r="BO382" s="693"/>
      <c r="BP382" s="689"/>
      <c r="BQ382" s="694"/>
      <c r="BR382" s="687"/>
      <c r="BS382" s="687"/>
      <c r="BT382" s="687"/>
      <c r="BU382" s="687"/>
      <c r="BV382" s="687"/>
      <c r="BW382" s="688"/>
      <c r="BX382" s="688"/>
      <c r="BY382" s="689"/>
      <c r="BZ382" s="690"/>
      <c r="CA382" s="690"/>
      <c r="CB382" s="690"/>
      <c r="CC382" s="691"/>
      <c r="CD382" s="691"/>
      <c r="CE382" s="692"/>
      <c r="CF382" s="692"/>
      <c r="CG382" s="692"/>
      <c r="CH382" s="693"/>
    </row>
    <row r="383">
      <c r="B383" s="687"/>
      <c r="C383" s="687"/>
      <c r="D383" s="688"/>
      <c r="E383" s="689"/>
      <c r="F383" s="690"/>
      <c r="G383" s="690"/>
      <c r="H383" s="690"/>
      <c r="I383" s="691"/>
      <c r="J383" s="691"/>
      <c r="K383" s="691"/>
      <c r="L383" s="692"/>
      <c r="M383" s="692"/>
      <c r="N383" s="692"/>
      <c r="O383" s="693"/>
      <c r="P383" s="688"/>
      <c r="Q383" s="688"/>
      <c r="R383" s="688"/>
      <c r="S383" s="688"/>
      <c r="T383" s="689"/>
      <c r="U383" s="689"/>
      <c r="V383" s="694"/>
      <c r="W383" s="694"/>
      <c r="X383" s="694"/>
      <c r="Y383" s="694"/>
      <c r="Z383" s="693"/>
      <c r="AA383" s="693"/>
      <c r="AB383" s="693"/>
      <c r="AC383" s="693"/>
      <c r="AD383" s="688"/>
      <c r="AE383" s="689"/>
      <c r="AF383" s="689"/>
      <c r="AG383" s="690"/>
      <c r="AH383" s="690"/>
      <c r="AI383" s="695"/>
      <c r="AJ383" s="695"/>
      <c r="AK383" s="692"/>
      <c r="AL383" s="692"/>
      <c r="AM383" s="693"/>
      <c r="AN383" s="688"/>
      <c r="AO383" s="688"/>
      <c r="AP383" s="688"/>
      <c r="AQ383" s="688"/>
      <c r="AR383" s="688"/>
      <c r="AS383" s="688"/>
      <c r="AT383" s="689"/>
      <c r="AU383" s="689"/>
      <c r="AV383" s="690"/>
      <c r="AW383" s="690"/>
      <c r="AX383" s="690"/>
      <c r="AY383" s="690"/>
      <c r="AZ383" s="690"/>
      <c r="BA383" s="690"/>
      <c r="BB383" s="695"/>
      <c r="BC383" s="695"/>
      <c r="BD383" s="695"/>
      <c r="BE383" s="695"/>
      <c r="BF383" s="692"/>
      <c r="BG383" s="692"/>
      <c r="BH383" s="692"/>
      <c r="BI383" s="692"/>
      <c r="BJ383" s="692"/>
      <c r="BK383" s="692"/>
      <c r="BL383" s="693"/>
      <c r="BM383" s="693"/>
      <c r="BN383" s="688"/>
      <c r="BO383" s="693"/>
      <c r="BP383" s="689"/>
      <c r="BQ383" s="694"/>
      <c r="BR383" s="687"/>
      <c r="BS383" s="687"/>
      <c r="BT383" s="687"/>
      <c r="BU383" s="687"/>
      <c r="BV383" s="687"/>
      <c r="BW383" s="688"/>
      <c r="BX383" s="688"/>
      <c r="BY383" s="689"/>
      <c r="BZ383" s="690"/>
      <c r="CA383" s="690"/>
      <c r="CB383" s="690"/>
      <c r="CC383" s="691"/>
      <c r="CD383" s="691"/>
      <c r="CE383" s="692"/>
      <c r="CF383" s="692"/>
      <c r="CG383" s="692"/>
      <c r="CH383" s="693"/>
    </row>
    <row r="384">
      <c r="B384" s="687"/>
      <c r="C384" s="687"/>
      <c r="D384" s="688"/>
      <c r="E384" s="689"/>
      <c r="F384" s="690"/>
      <c r="G384" s="690"/>
      <c r="H384" s="690"/>
      <c r="I384" s="691"/>
      <c r="J384" s="691"/>
      <c r="K384" s="691"/>
      <c r="L384" s="692"/>
      <c r="M384" s="692"/>
      <c r="N384" s="692"/>
      <c r="O384" s="693"/>
      <c r="P384" s="688"/>
      <c r="Q384" s="688"/>
      <c r="R384" s="688"/>
      <c r="S384" s="688"/>
      <c r="T384" s="689"/>
      <c r="U384" s="689"/>
      <c r="V384" s="694"/>
      <c r="W384" s="694"/>
      <c r="X384" s="694"/>
      <c r="Y384" s="694"/>
      <c r="Z384" s="693"/>
      <c r="AA384" s="693"/>
      <c r="AB384" s="693"/>
      <c r="AC384" s="693"/>
      <c r="AD384" s="688"/>
      <c r="AE384" s="689"/>
      <c r="AF384" s="689"/>
      <c r="AG384" s="690"/>
      <c r="AH384" s="690"/>
      <c r="AI384" s="695"/>
      <c r="AJ384" s="695"/>
      <c r="AK384" s="692"/>
      <c r="AL384" s="692"/>
      <c r="AM384" s="693"/>
      <c r="AN384" s="688"/>
      <c r="AO384" s="688"/>
      <c r="AP384" s="688"/>
      <c r="AQ384" s="688"/>
      <c r="AR384" s="688"/>
      <c r="AS384" s="688"/>
      <c r="AT384" s="689"/>
      <c r="AU384" s="689"/>
      <c r="AV384" s="690"/>
      <c r="AW384" s="690"/>
      <c r="AX384" s="690"/>
      <c r="AY384" s="690"/>
      <c r="AZ384" s="690"/>
      <c r="BA384" s="690"/>
      <c r="BB384" s="695"/>
      <c r="BC384" s="695"/>
      <c r="BD384" s="695"/>
      <c r="BE384" s="695"/>
      <c r="BF384" s="692"/>
      <c r="BG384" s="692"/>
      <c r="BH384" s="692"/>
      <c r="BI384" s="692"/>
      <c r="BJ384" s="692"/>
      <c r="BK384" s="692"/>
      <c r="BL384" s="693"/>
      <c r="BM384" s="693"/>
      <c r="BN384" s="688"/>
      <c r="BO384" s="693"/>
      <c r="BP384" s="689"/>
      <c r="BQ384" s="694"/>
      <c r="BR384" s="687"/>
      <c r="BS384" s="687"/>
      <c r="BT384" s="687"/>
      <c r="BU384" s="687"/>
      <c r="BV384" s="687"/>
      <c r="BW384" s="688"/>
      <c r="BX384" s="688"/>
      <c r="BY384" s="689"/>
      <c r="BZ384" s="690"/>
      <c r="CA384" s="690"/>
      <c r="CB384" s="690"/>
      <c r="CC384" s="691"/>
      <c r="CD384" s="691"/>
      <c r="CE384" s="692"/>
      <c r="CF384" s="692"/>
      <c r="CG384" s="692"/>
      <c r="CH384" s="693"/>
    </row>
    <row r="385">
      <c r="B385" s="687"/>
      <c r="C385" s="687"/>
      <c r="D385" s="688"/>
      <c r="E385" s="689"/>
      <c r="F385" s="690"/>
      <c r="G385" s="690"/>
      <c r="H385" s="690"/>
      <c r="I385" s="691"/>
      <c r="J385" s="691"/>
      <c r="K385" s="691"/>
      <c r="L385" s="692"/>
      <c r="M385" s="692"/>
      <c r="N385" s="692"/>
      <c r="O385" s="693"/>
      <c r="P385" s="688"/>
      <c r="Q385" s="688"/>
      <c r="R385" s="688"/>
      <c r="S385" s="688"/>
      <c r="T385" s="689"/>
      <c r="U385" s="689"/>
      <c r="V385" s="694"/>
      <c r="W385" s="694"/>
      <c r="X385" s="694"/>
      <c r="Y385" s="694"/>
      <c r="Z385" s="693"/>
      <c r="AA385" s="693"/>
      <c r="AB385" s="693"/>
      <c r="AC385" s="693"/>
      <c r="AD385" s="688"/>
      <c r="AE385" s="689"/>
      <c r="AF385" s="689"/>
      <c r="AG385" s="690"/>
      <c r="AH385" s="690"/>
      <c r="AI385" s="695"/>
      <c r="AJ385" s="695"/>
      <c r="AK385" s="692"/>
      <c r="AL385" s="692"/>
      <c r="AM385" s="693"/>
      <c r="AN385" s="688"/>
      <c r="AO385" s="688"/>
      <c r="AP385" s="688"/>
      <c r="AQ385" s="688"/>
      <c r="AR385" s="688"/>
      <c r="AS385" s="688"/>
      <c r="AT385" s="689"/>
      <c r="AU385" s="689"/>
      <c r="AV385" s="690"/>
      <c r="AW385" s="690"/>
      <c r="AX385" s="690"/>
      <c r="AY385" s="690"/>
      <c r="AZ385" s="690"/>
      <c r="BA385" s="690"/>
      <c r="BB385" s="695"/>
      <c r="BC385" s="695"/>
      <c r="BD385" s="695"/>
      <c r="BE385" s="695"/>
      <c r="BF385" s="692"/>
      <c r="BG385" s="692"/>
      <c r="BH385" s="692"/>
      <c r="BI385" s="692"/>
      <c r="BJ385" s="692"/>
      <c r="BK385" s="692"/>
      <c r="BL385" s="693"/>
      <c r="BM385" s="693"/>
      <c r="BN385" s="688"/>
      <c r="BO385" s="693"/>
      <c r="BP385" s="689"/>
      <c r="BQ385" s="694"/>
      <c r="BR385" s="687"/>
      <c r="BS385" s="687"/>
      <c r="BT385" s="687"/>
      <c r="BU385" s="687"/>
      <c r="BV385" s="687"/>
      <c r="BW385" s="688"/>
      <c r="BX385" s="688"/>
      <c r="BY385" s="689"/>
      <c r="BZ385" s="690"/>
      <c r="CA385" s="690"/>
      <c r="CB385" s="690"/>
      <c r="CC385" s="691"/>
      <c r="CD385" s="691"/>
      <c r="CE385" s="692"/>
      <c r="CF385" s="692"/>
      <c r="CG385" s="692"/>
      <c r="CH385" s="693"/>
    </row>
    <row r="386">
      <c r="B386" s="687"/>
      <c r="C386" s="687"/>
      <c r="D386" s="688"/>
      <c r="E386" s="689"/>
      <c r="F386" s="690"/>
      <c r="G386" s="690"/>
      <c r="H386" s="690"/>
      <c r="I386" s="691"/>
      <c r="J386" s="691"/>
      <c r="K386" s="691"/>
      <c r="L386" s="692"/>
      <c r="M386" s="692"/>
      <c r="N386" s="692"/>
      <c r="O386" s="693"/>
      <c r="P386" s="688"/>
      <c r="Q386" s="688"/>
      <c r="R386" s="688"/>
      <c r="S386" s="688"/>
      <c r="T386" s="689"/>
      <c r="U386" s="689"/>
      <c r="V386" s="694"/>
      <c r="W386" s="694"/>
      <c r="X386" s="694"/>
      <c r="Y386" s="694"/>
      <c r="Z386" s="693"/>
      <c r="AA386" s="693"/>
      <c r="AB386" s="693"/>
      <c r="AC386" s="693"/>
      <c r="AD386" s="688"/>
      <c r="AE386" s="689"/>
      <c r="AF386" s="689"/>
      <c r="AG386" s="690"/>
      <c r="AH386" s="690"/>
      <c r="AI386" s="695"/>
      <c r="AJ386" s="695"/>
      <c r="AK386" s="692"/>
      <c r="AL386" s="692"/>
      <c r="AM386" s="693"/>
      <c r="AN386" s="688"/>
      <c r="AO386" s="688"/>
      <c r="AP386" s="688"/>
      <c r="AQ386" s="688"/>
      <c r="AR386" s="688"/>
      <c r="AS386" s="688"/>
      <c r="AT386" s="689"/>
      <c r="AU386" s="689"/>
      <c r="AV386" s="690"/>
      <c r="AW386" s="690"/>
      <c r="AX386" s="690"/>
      <c r="AY386" s="690"/>
      <c r="AZ386" s="690"/>
      <c r="BA386" s="690"/>
      <c r="BB386" s="695"/>
      <c r="BC386" s="695"/>
      <c r="BD386" s="695"/>
      <c r="BE386" s="695"/>
      <c r="BF386" s="692"/>
      <c r="BG386" s="692"/>
      <c r="BH386" s="692"/>
      <c r="BI386" s="692"/>
      <c r="BJ386" s="692"/>
      <c r="BK386" s="692"/>
      <c r="BL386" s="693"/>
      <c r="BM386" s="693"/>
      <c r="BN386" s="688"/>
      <c r="BO386" s="693"/>
      <c r="BP386" s="689"/>
      <c r="BQ386" s="694"/>
      <c r="BR386" s="687"/>
      <c r="BS386" s="687"/>
      <c r="BT386" s="687"/>
      <c r="BU386" s="687"/>
      <c r="BV386" s="687"/>
      <c r="BW386" s="688"/>
      <c r="BX386" s="688"/>
      <c r="BY386" s="689"/>
      <c r="BZ386" s="690"/>
      <c r="CA386" s="690"/>
      <c r="CB386" s="690"/>
      <c r="CC386" s="691"/>
      <c r="CD386" s="691"/>
      <c r="CE386" s="692"/>
      <c r="CF386" s="692"/>
      <c r="CG386" s="692"/>
      <c r="CH386" s="693"/>
    </row>
    <row r="387">
      <c r="B387" s="687"/>
      <c r="C387" s="687"/>
      <c r="D387" s="688"/>
      <c r="E387" s="689"/>
      <c r="F387" s="690"/>
      <c r="G387" s="690"/>
      <c r="H387" s="690"/>
      <c r="I387" s="691"/>
      <c r="J387" s="691"/>
      <c r="K387" s="691"/>
      <c r="L387" s="692"/>
      <c r="M387" s="692"/>
      <c r="N387" s="692"/>
      <c r="O387" s="693"/>
      <c r="P387" s="688"/>
      <c r="Q387" s="688"/>
      <c r="R387" s="688"/>
      <c r="S387" s="688"/>
      <c r="T387" s="689"/>
      <c r="U387" s="689"/>
      <c r="V387" s="694"/>
      <c r="W387" s="694"/>
      <c r="X387" s="694"/>
      <c r="Y387" s="694"/>
      <c r="Z387" s="693"/>
      <c r="AA387" s="693"/>
      <c r="AB387" s="693"/>
      <c r="AC387" s="693"/>
      <c r="AD387" s="688"/>
      <c r="AE387" s="689"/>
      <c r="AF387" s="689"/>
      <c r="AG387" s="690"/>
      <c r="AH387" s="690"/>
      <c r="AI387" s="695"/>
      <c r="AJ387" s="695"/>
      <c r="AK387" s="692"/>
      <c r="AL387" s="692"/>
      <c r="AM387" s="693"/>
      <c r="AN387" s="688"/>
      <c r="AO387" s="688"/>
      <c r="AP387" s="688"/>
      <c r="AQ387" s="688"/>
      <c r="AR387" s="688"/>
      <c r="AS387" s="688"/>
      <c r="AT387" s="689"/>
      <c r="AU387" s="689"/>
      <c r="AV387" s="690"/>
      <c r="AW387" s="690"/>
      <c r="AX387" s="690"/>
      <c r="AY387" s="690"/>
      <c r="AZ387" s="690"/>
      <c r="BA387" s="690"/>
      <c r="BB387" s="695"/>
      <c r="BC387" s="695"/>
      <c r="BD387" s="695"/>
      <c r="BE387" s="695"/>
      <c r="BF387" s="692"/>
      <c r="BG387" s="692"/>
      <c r="BH387" s="692"/>
      <c r="BI387" s="692"/>
      <c r="BJ387" s="692"/>
      <c r="BK387" s="692"/>
      <c r="BL387" s="693"/>
      <c r="BM387" s="693"/>
      <c r="BN387" s="688"/>
      <c r="BO387" s="693"/>
      <c r="BP387" s="689"/>
      <c r="BQ387" s="694"/>
      <c r="BR387" s="687"/>
      <c r="BS387" s="687"/>
      <c r="BT387" s="687"/>
      <c r="BU387" s="687"/>
      <c r="BV387" s="687"/>
      <c r="BW387" s="688"/>
      <c r="BX387" s="688"/>
      <c r="BY387" s="689"/>
      <c r="BZ387" s="690"/>
      <c r="CA387" s="690"/>
      <c r="CB387" s="690"/>
      <c r="CC387" s="691"/>
      <c r="CD387" s="691"/>
      <c r="CE387" s="692"/>
      <c r="CF387" s="692"/>
      <c r="CG387" s="692"/>
      <c r="CH387" s="693"/>
    </row>
    <row r="388">
      <c r="B388" s="687"/>
      <c r="C388" s="687"/>
      <c r="D388" s="688"/>
      <c r="E388" s="689"/>
      <c r="F388" s="690"/>
      <c r="G388" s="690"/>
      <c r="H388" s="690"/>
      <c r="I388" s="691"/>
      <c r="J388" s="691"/>
      <c r="K388" s="691"/>
      <c r="L388" s="692"/>
      <c r="M388" s="692"/>
      <c r="N388" s="692"/>
      <c r="O388" s="693"/>
      <c r="P388" s="688"/>
      <c r="Q388" s="688"/>
      <c r="R388" s="688"/>
      <c r="S388" s="688"/>
      <c r="T388" s="689"/>
      <c r="U388" s="689"/>
      <c r="V388" s="694"/>
      <c r="W388" s="694"/>
      <c r="X388" s="694"/>
      <c r="Y388" s="694"/>
      <c r="Z388" s="693"/>
      <c r="AA388" s="693"/>
      <c r="AB388" s="693"/>
      <c r="AC388" s="693"/>
      <c r="AD388" s="688"/>
      <c r="AE388" s="689"/>
      <c r="AF388" s="689"/>
      <c r="AG388" s="690"/>
      <c r="AH388" s="690"/>
      <c r="AI388" s="695"/>
      <c r="AJ388" s="695"/>
      <c r="AK388" s="692"/>
      <c r="AL388" s="692"/>
      <c r="AM388" s="693"/>
      <c r="AN388" s="688"/>
      <c r="AO388" s="688"/>
      <c r="AP388" s="688"/>
      <c r="AQ388" s="688"/>
      <c r="AR388" s="688"/>
      <c r="AS388" s="688"/>
      <c r="AT388" s="689"/>
      <c r="AU388" s="689"/>
      <c r="AV388" s="690"/>
      <c r="AW388" s="690"/>
      <c r="AX388" s="690"/>
      <c r="AY388" s="690"/>
      <c r="AZ388" s="690"/>
      <c r="BA388" s="690"/>
      <c r="BB388" s="695"/>
      <c r="BC388" s="695"/>
      <c r="BD388" s="695"/>
      <c r="BE388" s="695"/>
      <c r="BF388" s="692"/>
      <c r="BG388" s="692"/>
      <c r="BH388" s="692"/>
      <c r="BI388" s="692"/>
      <c r="BJ388" s="692"/>
      <c r="BK388" s="692"/>
      <c r="BL388" s="693"/>
      <c r="BM388" s="693"/>
      <c r="BN388" s="688"/>
      <c r="BO388" s="693"/>
      <c r="BP388" s="689"/>
      <c r="BQ388" s="694"/>
      <c r="BR388" s="687"/>
      <c r="BS388" s="687"/>
      <c r="BT388" s="687"/>
      <c r="BU388" s="687"/>
      <c r="BV388" s="687"/>
      <c r="BW388" s="688"/>
      <c r="BX388" s="688"/>
      <c r="BY388" s="689"/>
      <c r="BZ388" s="690"/>
      <c r="CA388" s="690"/>
      <c r="CB388" s="690"/>
      <c r="CC388" s="691"/>
      <c r="CD388" s="691"/>
      <c r="CE388" s="692"/>
      <c r="CF388" s="692"/>
      <c r="CG388" s="692"/>
      <c r="CH388" s="693"/>
    </row>
    <row r="389">
      <c r="B389" s="687"/>
      <c r="C389" s="687"/>
      <c r="D389" s="688"/>
      <c r="E389" s="689"/>
      <c r="F389" s="690"/>
      <c r="G389" s="690"/>
      <c r="H389" s="690"/>
      <c r="I389" s="691"/>
      <c r="J389" s="691"/>
      <c r="K389" s="691"/>
      <c r="L389" s="692"/>
      <c r="M389" s="692"/>
      <c r="N389" s="692"/>
      <c r="O389" s="693"/>
      <c r="P389" s="688"/>
      <c r="Q389" s="688"/>
      <c r="R389" s="688"/>
      <c r="S389" s="688"/>
      <c r="T389" s="689"/>
      <c r="U389" s="689"/>
      <c r="V389" s="694"/>
      <c r="W389" s="694"/>
      <c r="X389" s="694"/>
      <c r="Y389" s="694"/>
      <c r="Z389" s="693"/>
      <c r="AA389" s="693"/>
      <c r="AB389" s="693"/>
      <c r="AC389" s="693"/>
      <c r="AD389" s="688"/>
      <c r="AE389" s="689"/>
      <c r="AF389" s="689"/>
      <c r="AG389" s="690"/>
      <c r="AH389" s="690"/>
      <c r="AI389" s="695"/>
      <c r="AJ389" s="695"/>
      <c r="AK389" s="692"/>
      <c r="AL389" s="692"/>
      <c r="AM389" s="693"/>
      <c r="AN389" s="688"/>
      <c r="AO389" s="688"/>
      <c r="AP389" s="688"/>
      <c r="AQ389" s="688"/>
      <c r="AR389" s="688"/>
      <c r="AS389" s="688"/>
      <c r="AT389" s="689"/>
      <c r="AU389" s="689"/>
      <c r="AV389" s="690"/>
      <c r="AW389" s="690"/>
      <c r="AX389" s="690"/>
      <c r="AY389" s="690"/>
      <c r="AZ389" s="690"/>
      <c r="BA389" s="690"/>
      <c r="BB389" s="695"/>
      <c r="BC389" s="695"/>
      <c r="BD389" s="695"/>
      <c r="BE389" s="695"/>
      <c r="BF389" s="692"/>
      <c r="BG389" s="692"/>
      <c r="BH389" s="692"/>
      <c r="BI389" s="692"/>
      <c r="BJ389" s="692"/>
      <c r="BK389" s="692"/>
      <c r="BL389" s="693"/>
      <c r="BM389" s="693"/>
      <c r="BN389" s="688"/>
      <c r="BO389" s="693"/>
      <c r="BP389" s="689"/>
      <c r="BQ389" s="694"/>
      <c r="BR389" s="687"/>
      <c r="BS389" s="687"/>
      <c r="BT389" s="687"/>
      <c r="BU389" s="687"/>
      <c r="BV389" s="687"/>
      <c r="BW389" s="688"/>
      <c r="BX389" s="688"/>
      <c r="BY389" s="689"/>
      <c r="BZ389" s="690"/>
      <c r="CA389" s="690"/>
      <c r="CB389" s="690"/>
      <c r="CC389" s="691"/>
      <c r="CD389" s="691"/>
      <c r="CE389" s="692"/>
      <c r="CF389" s="692"/>
      <c r="CG389" s="692"/>
      <c r="CH389" s="693"/>
    </row>
    <row r="390">
      <c r="B390" s="687"/>
      <c r="C390" s="687"/>
      <c r="D390" s="688"/>
      <c r="E390" s="689"/>
      <c r="F390" s="690"/>
      <c r="G390" s="690"/>
      <c r="H390" s="690"/>
      <c r="I390" s="691"/>
      <c r="J390" s="691"/>
      <c r="K390" s="691"/>
      <c r="L390" s="692"/>
      <c r="M390" s="692"/>
      <c r="N390" s="692"/>
      <c r="O390" s="693"/>
      <c r="P390" s="688"/>
      <c r="Q390" s="688"/>
      <c r="R390" s="688"/>
      <c r="S390" s="688"/>
      <c r="T390" s="689"/>
      <c r="U390" s="689"/>
      <c r="V390" s="694"/>
      <c r="W390" s="694"/>
      <c r="X390" s="694"/>
      <c r="Y390" s="694"/>
      <c r="Z390" s="693"/>
      <c r="AA390" s="693"/>
      <c r="AB390" s="693"/>
      <c r="AC390" s="693"/>
      <c r="AD390" s="688"/>
      <c r="AE390" s="689"/>
      <c r="AF390" s="689"/>
      <c r="AG390" s="690"/>
      <c r="AH390" s="690"/>
      <c r="AI390" s="695"/>
      <c r="AJ390" s="695"/>
      <c r="AK390" s="692"/>
      <c r="AL390" s="692"/>
      <c r="AM390" s="693"/>
      <c r="AN390" s="688"/>
      <c r="AO390" s="688"/>
      <c r="AP390" s="688"/>
      <c r="AQ390" s="688"/>
      <c r="AR390" s="688"/>
      <c r="AS390" s="688"/>
      <c r="AT390" s="689"/>
      <c r="AU390" s="689"/>
      <c r="AV390" s="690"/>
      <c r="AW390" s="690"/>
      <c r="AX390" s="690"/>
      <c r="AY390" s="690"/>
      <c r="AZ390" s="690"/>
      <c r="BA390" s="690"/>
      <c r="BB390" s="695"/>
      <c r="BC390" s="695"/>
      <c r="BD390" s="695"/>
      <c r="BE390" s="695"/>
      <c r="BF390" s="692"/>
      <c r="BG390" s="692"/>
      <c r="BH390" s="692"/>
      <c r="BI390" s="692"/>
      <c r="BJ390" s="692"/>
      <c r="BK390" s="692"/>
      <c r="BL390" s="693"/>
      <c r="BM390" s="693"/>
      <c r="BN390" s="688"/>
      <c r="BO390" s="693"/>
      <c r="BP390" s="689"/>
      <c r="BQ390" s="694"/>
      <c r="BR390" s="687"/>
      <c r="BS390" s="687"/>
      <c r="BT390" s="687"/>
      <c r="BU390" s="687"/>
      <c r="BV390" s="687"/>
      <c r="BW390" s="688"/>
      <c r="BX390" s="688"/>
      <c r="BY390" s="689"/>
      <c r="BZ390" s="690"/>
      <c r="CA390" s="690"/>
      <c r="CB390" s="690"/>
      <c r="CC390" s="691"/>
      <c r="CD390" s="691"/>
      <c r="CE390" s="692"/>
      <c r="CF390" s="692"/>
      <c r="CG390" s="692"/>
      <c r="CH390" s="693"/>
    </row>
    <row r="391">
      <c r="B391" s="687"/>
      <c r="C391" s="687"/>
      <c r="D391" s="688"/>
      <c r="E391" s="689"/>
      <c r="F391" s="690"/>
      <c r="G391" s="690"/>
      <c r="H391" s="690"/>
      <c r="I391" s="691"/>
      <c r="J391" s="691"/>
      <c r="K391" s="691"/>
      <c r="L391" s="692"/>
      <c r="M391" s="692"/>
      <c r="N391" s="692"/>
      <c r="O391" s="693"/>
      <c r="P391" s="688"/>
      <c r="Q391" s="688"/>
      <c r="R391" s="688"/>
      <c r="S391" s="688"/>
      <c r="T391" s="689"/>
      <c r="U391" s="689"/>
      <c r="V391" s="694"/>
      <c r="W391" s="694"/>
      <c r="X391" s="694"/>
      <c r="Y391" s="694"/>
      <c r="Z391" s="693"/>
      <c r="AA391" s="693"/>
      <c r="AB391" s="693"/>
      <c r="AC391" s="693"/>
      <c r="AD391" s="688"/>
      <c r="AE391" s="689"/>
      <c r="AF391" s="689"/>
      <c r="AG391" s="690"/>
      <c r="AH391" s="690"/>
      <c r="AI391" s="695"/>
      <c r="AJ391" s="695"/>
      <c r="AK391" s="692"/>
      <c r="AL391" s="692"/>
      <c r="AM391" s="693"/>
      <c r="AN391" s="688"/>
      <c r="AO391" s="688"/>
      <c r="AP391" s="688"/>
      <c r="AQ391" s="688"/>
      <c r="AR391" s="688"/>
      <c r="AS391" s="688"/>
      <c r="AT391" s="689"/>
      <c r="AU391" s="689"/>
      <c r="AV391" s="690"/>
      <c r="AW391" s="690"/>
      <c r="AX391" s="690"/>
      <c r="AY391" s="690"/>
      <c r="AZ391" s="690"/>
      <c r="BA391" s="690"/>
      <c r="BB391" s="695"/>
      <c r="BC391" s="695"/>
      <c r="BD391" s="695"/>
      <c r="BE391" s="695"/>
      <c r="BF391" s="692"/>
      <c r="BG391" s="692"/>
      <c r="BH391" s="692"/>
      <c r="BI391" s="692"/>
      <c r="BJ391" s="692"/>
      <c r="BK391" s="692"/>
      <c r="BL391" s="693"/>
      <c r="BM391" s="693"/>
      <c r="BN391" s="688"/>
      <c r="BO391" s="693"/>
      <c r="BP391" s="689"/>
      <c r="BQ391" s="694"/>
      <c r="BR391" s="687"/>
      <c r="BS391" s="687"/>
      <c r="BT391" s="687"/>
      <c r="BU391" s="687"/>
      <c r="BV391" s="687"/>
      <c r="BW391" s="688"/>
      <c r="BX391" s="688"/>
      <c r="BY391" s="689"/>
      <c r="BZ391" s="690"/>
      <c r="CA391" s="690"/>
      <c r="CB391" s="690"/>
      <c r="CC391" s="691"/>
      <c r="CD391" s="691"/>
      <c r="CE391" s="692"/>
      <c r="CF391" s="692"/>
      <c r="CG391" s="692"/>
      <c r="CH391" s="693"/>
    </row>
    <row r="392">
      <c r="B392" s="687"/>
      <c r="C392" s="687"/>
      <c r="D392" s="688"/>
      <c r="E392" s="689"/>
      <c r="F392" s="690"/>
      <c r="G392" s="690"/>
      <c r="H392" s="690"/>
      <c r="I392" s="691"/>
      <c r="J392" s="691"/>
      <c r="K392" s="691"/>
      <c r="L392" s="692"/>
      <c r="M392" s="692"/>
      <c r="N392" s="692"/>
      <c r="O392" s="693"/>
      <c r="P392" s="688"/>
      <c r="Q392" s="688"/>
      <c r="R392" s="688"/>
      <c r="S392" s="688"/>
      <c r="T392" s="689"/>
      <c r="U392" s="689"/>
      <c r="V392" s="694"/>
      <c r="W392" s="694"/>
      <c r="X392" s="694"/>
      <c r="Y392" s="694"/>
      <c r="Z392" s="693"/>
      <c r="AA392" s="693"/>
      <c r="AB392" s="693"/>
      <c r="AC392" s="693"/>
      <c r="AD392" s="688"/>
      <c r="AE392" s="689"/>
      <c r="AF392" s="689"/>
      <c r="AG392" s="690"/>
      <c r="AH392" s="690"/>
      <c r="AI392" s="695"/>
      <c r="AJ392" s="695"/>
      <c r="AK392" s="692"/>
      <c r="AL392" s="692"/>
      <c r="AM392" s="693"/>
      <c r="AN392" s="688"/>
      <c r="AO392" s="688"/>
      <c r="AP392" s="688"/>
      <c r="AQ392" s="688"/>
      <c r="AR392" s="688"/>
      <c r="AS392" s="688"/>
      <c r="AT392" s="689"/>
      <c r="AU392" s="689"/>
      <c r="AV392" s="690"/>
      <c r="AW392" s="690"/>
      <c r="AX392" s="690"/>
      <c r="AY392" s="690"/>
      <c r="AZ392" s="690"/>
      <c r="BA392" s="690"/>
      <c r="BB392" s="695"/>
      <c r="BC392" s="695"/>
      <c r="BD392" s="695"/>
      <c r="BE392" s="695"/>
      <c r="BF392" s="692"/>
      <c r="BG392" s="692"/>
      <c r="BH392" s="692"/>
      <c r="BI392" s="692"/>
      <c r="BJ392" s="692"/>
      <c r="BK392" s="692"/>
      <c r="BL392" s="693"/>
      <c r="BM392" s="693"/>
      <c r="BN392" s="688"/>
      <c r="BO392" s="693"/>
      <c r="BP392" s="689"/>
      <c r="BQ392" s="694"/>
      <c r="BR392" s="687"/>
      <c r="BS392" s="687"/>
      <c r="BT392" s="687"/>
      <c r="BU392" s="687"/>
      <c r="BV392" s="687"/>
      <c r="BW392" s="688"/>
      <c r="BX392" s="688"/>
      <c r="BY392" s="689"/>
      <c r="BZ392" s="690"/>
      <c r="CA392" s="690"/>
      <c r="CB392" s="690"/>
      <c r="CC392" s="691"/>
      <c r="CD392" s="691"/>
      <c r="CE392" s="692"/>
      <c r="CF392" s="692"/>
      <c r="CG392" s="692"/>
      <c r="CH392" s="693"/>
    </row>
    <row r="393">
      <c r="B393" s="687"/>
      <c r="C393" s="687"/>
      <c r="D393" s="688"/>
      <c r="E393" s="689"/>
      <c r="F393" s="690"/>
      <c r="G393" s="690"/>
      <c r="H393" s="690"/>
      <c r="I393" s="691"/>
      <c r="J393" s="691"/>
      <c r="K393" s="691"/>
      <c r="L393" s="692"/>
      <c r="M393" s="692"/>
      <c r="N393" s="692"/>
      <c r="O393" s="693"/>
      <c r="P393" s="688"/>
      <c r="Q393" s="688"/>
      <c r="R393" s="688"/>
      <c r="S393" s="688"/>
      <c r="T393" s="689"/>
      <c r="U393" s="689"/>
      <c r="V393" s="694"/>
      <c r="W393" s="694"/>
      <c r="X393" s="694"/>
      <c r="Y393" s="694"/>
      <c r="Z393" s="693"/>
      <c r="AA393" s="693"/>
      <c r="AB393" s="693"/>
      <c r="AC393" s="693"/>
      <c r="AD393" s="688"/>
      <c r="AE393" s="689"/>
      <c r="AF393" s="689"/>
      <c r="AG393" s="690"/>
      <c r="AH393" s="690"/>
      <c r="AI393" s="695"/>
      <c r="AJ393" s="695"/>
      <c r="AK393" s="692"/>
      <c r="AL393" s="692"/>
      <c r="AM393" s="693"/>
      <c r="AN393" s="688"/>
      <c r="AO393" s="688"/>
      <c r="AP393" s="688"/>
      <c r="AQ393" s="688"/>
      <c r="AR393" s="688"/>
      <c r="AS393" s="688"/>
      <c r="AT393" s="689"/>
      <c r="AU393" s="689"/>
      <c r="AV393" s="690"/>
      <c r="AW393" s="690"/>
      <c r="AX393" s="690"/>
      <c r="AY393" s="690"/>
      <c r="AZ393" s="690"/>
      <c r="BA393" s="690"/>
      <c r="BB393" s="695"/>
      <c r="BC393" s="695"/>
      <c r="BD393" s="695"/>
      <c r="BE393" s="695"/>
      <c r="BF393" s="692"/>
      <c r="BG393" s="692"/>
      <c r="BH393" s="692"/>
      <c r="BI393" s="692"/>
      <c r="BJ393" s="692"/>
      <c r="BK393" s="692"/>
      <c r="BL393" s="693"/>
      <c r="BM393" s="693"/>
      <c r="BN393" s="688"/>
      <c r="BO393" s="693"/>
      <c r="BP393" s="689"/>
      <c r="BQ393" s="694"/>
      <c r="BR393" s="687"/>
      <c r="BS393" s="687"/>
      <c r="BT393" s="687"/>
      <c r="BU393" s="687"/>
      <c r="BV393" s="687"/>
      <c r="BW393" s="688"/>
      <c r="BX393" s="688"/>
      <c r="BY393" s="689"/>
      <c r="BZ393" s="690"/>
      <c r="CA393" s="690"/>
      <c r="CB393" s="690"/>
      <c r="CC393" s="691"/>
      <c r="CD393" s="691"/>
      <c r="CE393" s="692"/>
      <c r="CF393" s="692"/>
      <c r="CG393" s="692"/>
      <c r="CH393" s="693"/>
    </row>
    <row r="394">
      <c r="B394" s="687"/>
      <c r="C394" s="687"/>
      <c r="D394" s="688"/>
      <c r="E394" s="689"/>
      <c r="F394" s="690"/>
      <c r="G394" s="690"/>
      <c r="H394" s="690"/>
      <c r="I394" s="691"/>
      <c r="J394" s="691"/>
      <c r="K394" s="691"/>
      <c r="L394" s="692"/>
      <c r="M394" s="692"/>
      <c r="N394" s="692"/>
      <c r="O394" s="693"/>
      <c r="P394" s="688"/>
      <c r="Q394" s="688"/>
      <c r="R394" s="688"/>
      <c r="S394" s="688"/>
      <c r="T394" s="689"/>
      <c r="U394" s="689"/>
      <c r="V394" s="694"/>
      <c r="W394" s="694"/>
      <c r="X394" s="694"/>
      <c r="Y394" s="694"/>
      <c r="Z394" s="693"/>
      <c r="AA394" s="693"/>
      <c r="AB394" s="693"/>
      <c r="AC394" s="693"/>
      <c r="AD394" s="688"/>
      <c r="AE394" s="689"/>
      <c r="AF394" s="689"/>
      <c r="AG394" s="690"/>
      <c r="AH394" s="690"/>
      <c r="AI394" s="695"/>
      <c r="AJ394" s="695"/>
      <c r="AK394" s="692"/>
      <c r="AL394" s="692"/>
      <c r="AM394" s="693"/>
      <c r="AN394" s="688"/>
      <c r="AO394" s="688"/>
      <c r="AP394" s="688"/>
      <c r="AQ394" s="688"/>
      <c r="AR394" s="688"/>
      <c r="AS394" s="688"/>
      <c r="AT394" s="689"/>
      <c r="AU394" s="689"/>
      <c r="AV394" s="690"/>
      <c r="AW394" s="690"/>
      <c r="AX394" s="690"/>
      <c r="AY394" s="690"/>
      <c r="AZ394" s="690"/>
      <c r="BA394" s="690"/>
      <c r="BB394" s="695"/>
      <c r="BC394" s="695"/>
      <c r="BD394" s="695"/>
      <c r="BE394" s="695"/>
      <c r="BF394" s="692"/>
      <c r="BG394" s="692"/>
      <c r="BH394" s="692"/>
      <c r="BI394" s="692"/>
      <c r="BJ394" s="692"/>
      <c r="BK394" s="692"/>
      <c r="BL394" s="693"/>
      <c r="BM394" s="693"/>
      <c r="BN394" s="688"/>
      <c r="BO394" s="693"/>
      <c r="BP394" s="689"/>
      <c r="BQ394" s="694"/>
      <c r="BR394" s="687"/>
      <c r="BS394" s="687"/>
      <c r="BT394" s="687"/>
      <c r="BU394" s="687"/>
      <c r="BV394" s="687"/>
      <c r="BW394" s="688"/>
      <c r="BX394" s="688"/>
      <c r="BY394" s="689"/>
      <c r="BZ394" s="690"/>
      <c r="CA394" s="690"/>
      <c r="CB394" s="690"/>
      <c r="CC394" s="691"/>
      <c r="CD394" s="691"/>
      <c r="CE394" s="692"/>
      <c r="CF394" s="692"/>
      <c r="CG394" s="692"/>
      <c r="CH394" s="693"/>
    </row>
    <row r="395">
      <c r="B395" s="687"/>
      <c r="C395" s="687"/>
      <c r="D395" s="688"/>
      <c r="E395" s="689"/>
      <c r="F395" s="690"/>
      <c r="G395" s="690"/>
      <c r="H395" s="690"/>
      <c r="I395" s="691"/>
      <c r="J395" s="691"/>
      <c r="K395" s="691"/>
      <c r="L395" s="692"/>
      <c r="M395" s="692"/>
      <c r="N395" s="692"/>
      <c r="O395" s="693"/>
      <c r="P395" s="688"/>
      <c r="Q395" s="688"/>
      <c r="R395" s="688"/>
      <c r="S395" s="688"/>
      <c r="T395" s="689"/>
      <c r="U395" s="689"/>
      <c r="V395" s="694"/>
      <c r="W395" s="694"/>
      <c r="X395" s="694"/>
      <c r="Y395" s="694"/>
      <c r="Z395" s="693"/>
      <c r="AA395" s="693"/>
      <c r="AB395" s="693"/>
      <c r="AC395" s="693"/>
      <c r="AD395" s="688"/>
      <c r="AE395" s="689"/>
      <c r="AF395" s="689"/>
      <c r="AG395" s="690"/>
      <c r="AH395" s="690"/>
      <c r="AI395" s="695"/>
      <c r="AJ395" s="695"/>
      <c r="AK395" s="692"/>
      <c r="AL395" s="692"/>
      <c r="AM395" s="693"/>
      <c r="AN395" s="688"/>
      <c r="AO395" s="688"/>
      <c r="AP395" s="688"/>
      <c r="AQ395" s="688"/>
      <c r="AR395" s="688"/>
      <c r="AS395" s="688"/>
      <c r="AT395" s="689"/>
      <c r="AU395" s="689"/>
      <c r="AV395" s="690"/>
      <c r="AW395" s="690"/>
      <c r="AX395" s="690"/>
      <c r="AY395" s="690"/>
      <c r="AZ395" s="690"/>
      <c r="BA395" s="690"/>
      <c r="BB395" s="695"/>
      <c r="BC395" s="695"/>
      <c r="BD395" s="695"/>
      <c r="BE395" s="695"/>
      <c r="BF395" s="692"/>
      <c r="BG395" s="692"/>
      <c r="BH395" s="692"/>
      <c r="BI395" s="692"/>
      <c r="BJ395" s="692"/>
      <c r="BK395" s="692"/>
      <c r="BL395" s="693"/>
      <c r="BM395" s="693"/>
      <c r="BN395" s="688"/>
      <c r="BO395" s="693"/>
      <c r="BP395" s="689"/>
      <c r="BQ395" s="694"/>
      <c r="BR395" s="687"/>
      <c r="BS395" s="687"/>
      <c r="BT395" s="687"/>
      <c r="BU395" s="687"/>
      <c r="BV395" s="687"/>
      <c r="BW395" s="688"/>
      <c r="BX395" s="688"/>
      <c r="BY395" s="689"/>
      <c r="BZ395" s="690"/>
      <c r="CA395" s="690"/>
      <c r="CB395" s="690"/>
      <c r="CC395" s="691"/>
      <c r="CD395" s="691"/>
      <c r="CE395" s="692"/>
      <c r="CF395" s="692"/>
      <c r="CG395" s="692"/>
      <c r="CH395" s="693"/>
    </row>
    <row r="396">
      <c r="B396" s="687"/>
      <c r="C396" s="687"/>
      <c r="D396" s="688"/>
      <c r="E396" s="689"/>
      <c r="F396" s="690"/>
      <c r="G396" s="690"/>
      <c r="H396" s="690"/>
      <c r="I396" s="691"/>
      <c r="J396" s="691"/>
      <c r="K396" s="691"/>
      <c r="L396" s="692"/>
      <c r="M396" s="692"/>
      <c r="N396" s="692"/>
      <c r="O396" s="693"/>
      <c r="P396" s="688"/>
      <c r="Q396" s="688"/>
      <c r="R396" s="688"/>
      <c r="S396" s="688"/>
      <c r="T396" s="689"/>
      <c r="U396" s="689"/>
      <c r="V396" s="694"/>
      <c r="W396" s="694"/>
      <c r="X396" s="694"/>
      <c r="Y396" s="694"/>
      <c r="Z396" s="693"/>
      <c r="AA396" s="693"/>
      <c r="AB396" s="693"/>
      <c r="AC396" s="693"/>
      <c r="AD396" s="688"/>
      <c r="AE396" s="689"/>
      <c r="AF396" s="689"/>
      <c r="AG396" s="690"/>
      <c r="AH396" s="690"/>
      <c r="AI396" s="695"/>
      <c r="AJ396" s="695"/>
      <c r="AK396" s="692"/>
      <c r="AL396" s="692"/>
      <c r="AM396" s="693"/>
      <c r="AN396" s="688"/>
      <c r="AO396" s="688"/>
      <c r="AP396" s="688"/>
      <c r="AQ396" s="688"/>
      <c r="AR396" s="688"/>
      <c r="AS396" s="688"/>
      <c r="AT396" s="689"/>
      <c r="AU396" s="689"/>
      <c r="AV396" s="690"/>
      <c r="AW396" s="690"/>
      <c r="AX396" s="690"/>
      <c r="AY396" s="690"/>
      <c r="AZ396" s="690"/>
      <c r="BA396" s="690"/>
      <c r="BB396" s="695"/>
      <c r="BC396" s="695"/>
      <c r="BD396" s="695"/>
      <c r="BE396" s="695"/>
      <c r="BF396" s="692"/>
      <c r="BG396" s="692"/>
      <c r="BH396" s="692"/>
      <c r="BI396" s="692"/>
      <c r="BJ396" s="692"/>
      <c r="BK396" s="692"/>
      <c r="BL396" s="693"/>
      <c r="BM396" s="693"/>
      <c r="BN396" s="688"/>
      <c r="BO396" s="693"/>
      <c r="BP396" s="689"/>
      <c r="BQ396" s="694"/>
      <c r="BR396" s="687"/>
      <c r="BS396" s="687"/>
      <c r="BT396" s="687"/>
      <c r="BU396" s="687"/>
      <c r="BV396" s="687"/>
      <c r="BW396" s="688"/>
      <c r="BX396" s="688"/>
      <c r="BY396" s="689"/>
      <c r="BZ396" s="690"/>
      <c r="CA396" s="690"/>
      <c r="CB396" s="690"/>
      <c r="CC396" s="691"/>
      <c r="CD396" s="691"/>
      <c r="CE396" s="692"/>
      <c r="CF396" s="692"/>
      <c r="CG396" s="692"/>
      <c r="CH396" s="693"/>
    </row>
    <row r="397">
      <c r="B397" s="687"/>
      <c r="C397" s="687"/>
      <c r="D397" s="688"/>
      <c r="E397" s="689"/>
      <c r="F397" s="690"/>
      <c r="G397" s="690"/>
      <c r="H397" s="690"/>
      <c r="I397" s="691"/>
      <c r="J397" s="691"/>
      <c r="K397" s="691"/>
      <c r="L397" s="692"/>
      <c r="M397" s="692"/>
      <c r="N397" s="692"/>
      <c r="O397" s="693"/>
      <c r="P397" s="688"/>
      <c r="Q397" s="688"/>
      <c r="R397" s="688"/>
      <c r="S397" s="688"/>
      <c r="T397" s="689"/>
      <c r="U397" s="689"/>
      <c r="V397" s="694"/>
      <c r="W397" s="694"/>
      <c r="X397" s="694"/>
      <c r="Y397" s="694"/>
      <c r="Z397" s="693"/>
      <c r="AA397" s="693"/>
      <c r="AB397" s="693"/>
      <c r="AC397" s="693"/>
      <c r="AD397" s="688"/>
      <c r="AE397" s="689"/>
      <c r="AF397" s="689"/>
      <c r="AG397" s="690"/>
      <c r="AH397" s="690"/>
      <c r="AI397" s="695"/>
      <c r="AJ397" s="695"/>
      <c r="AK397" s="692"/>
      <c r="AL397" s="692"/>
      <c r="AM397" s="693"/>
      <c r="AN397" s="688"/>
      <c r="AO397" s="688"/>
      <c r="AP397" s="688"/>
      <c r="AQ397" s="688"/>
      <c r="AR397" s="688"/>
      <c r="AS397" s="688"/>
      <c r="AT397" s="689"/>
      <c r="AU397" s="689"/>
      <c r="AV397" s="690"/>
      <c r="AW397" s="690"/>
      <c r="AX397" s="690"/>
      <c r="AY397" s="690"/>
      <c r="AZ397" s="690"/>
      <c r="BA397" s="690"/>
      <c r="BB397" s="695"/>
      <c r="BC397" s="695"/>
      <c r="BD397" s="695"/>
      <c r="BE397" s="695"/>
      <c r="BF397" s="692"/>
      <c r="BG397" s="692"/>
      <c r="BH397" s="692"/>
      <c r="BI397" s="692"/>
      <c r="BJ397" s="692"/>
      <c r="BK397" s="692"/>
      <c r="BL397" s="693"/>
      <c r="BM397" s="693"/>
      <c r="BN397" s="688"/>
      <c r="BO397" s="693"/>
      <c r="BP397" s="689"/>
      <c r="BQ397" s="694"/>
      <c r="BR397" s="687"/>
      <c r="BS397" s="687"/>
      <c r="BT397" s="687"/>
      <c r="BU397" s="687"/>
      <c r="BV397" s="687"/>
      <c r="BW397" s="688"/>
      <c r="BX397" s="688"/>
      <c r="BY397" s="689"/>
      <c r="BZ397" s="690"/>
      <c r="CA397" s="690"/>
      <c r="CB397" s="690"/>
      <c r="CC397" s="691"/>
      <c r="CD397" s="691"/>
      <c r="CE397" s="692"/>
      <c r="CF397" s="692"/>
      <c r="CG397" s="692"/>
      <c r="CH397" s="693"/>
    </row>
    <row r="398">
      <c r="B398" s="687"/>
      <c r="C398" s="687"/>
      <c r="D398" s="688"/>
      <c r="E398" s="689"/>
      <c r="F398" s="690"/>
      <c r="G398" s="690"/>
      <c r="H398" s="690"/>
      <c r="I398" s="691"/>
      <c r="J398" s="691"/>
      <c r="K398" s="691"/>
      <c r="L398" s="692"/>
      <c r="M398" s="692"/>
      <c r="N398" s="692"/>
      <c r="O398" s="693"/>
      <c r="P398" s="688"/>
      <c r="Q398" s="688"/>
      <c r="R398" s="688"/>
      <c r="S398" s="688"/>
      <c r="T398" s="689"/>
      <c r="U398" s="689"/>
      <c r="V398" s="694"/>
      <c r="W398" s="694"/>
      <c r="X398" s="694"/>
      <c r="Y398" s="694"/>
      <c r="Z398" s="693"/>
      <c r="AA398" s="693"/>
      <c r="AB398" s="693"/>
      <c r="AC398" s="693"/>
      <c r="AD398" s="688"/>
      <c r="AE398" s="689"/>
      <c r="AF398" s="689"/>
      <c r="AG398" s="690"/>
      <c r="AH398" s="690"/>
      <c r="AI398" s="695"/>
      <c r="AJ398" s="695"/>
      <c r="AK398" s="692"/>
      <c r="AL398" s="692"/>
      <c r="AM398" s="693"/>
      <c r="AN398" s="688"/>
      <c r="AO398" s="688"/>
      <c r="AP398" s="688"/>
      <c r="AQ398" s="688"/>
      <c r="AR398" s="688"/>
      <c r="AS398" s="688"/>
      <c r="AT398" s="689"/>
      <c r="AU398" s="689"/>
      <c r="AV398" s="690"/>
      <c r="AW398" s="690"/>
      <c r="AX398" s="690"/>
      <c r="AY398" s="690"/>
      <c r="AZ398" s="690"/>
      <c r="BA398" s="690"/>
      <c r="BB398" s="695"/>
      <c r="BC398" s="695"/>
      <c r="BD398" s="695"/>
      <c r="BE398" s="695"/>
      <c r="BF398" s="692"/>
      <c r="BG398" s="692"/>
      <c r="BH398" s="692"/>
      <c r="BI398" s="692"/>
      <c r="BJ398" s="692"/>
      <c r="BK398" s="692"/>
      <c r="BL398" s="693"/>
      <c r="BM398" s="693"/>
      <c r="BN398" s="688"/>
      <c r="BO398" s="693"/>
      <c r="BP398" s="689"/>
      <c r="BQ398" s="694"/>
      <c r="BR398" s="687"/>
      <c r="BS398" s="687"/>
      <c r="BT398" s="687"/>
      <c r="BU398" s="687"/>
      <c r="BV398" s="687"/>
      <c r="BW398" s="688"/>
      <c r="BX398" s="688"/>
      <c r="BY398" s="689"/>
      <c r="BZ398" s="690"/>
      <c r="CA398" s="690"/>
      <c r="CB398" s="690"/>
      <c r="CC398" s="691"/>
      <c r="CD398" s="691"/>
      <c r="CE398" s="692"/>
      <c r="CF398" s="692"/>
      <c r="CG398" s="692"/>
      <c r="CH398" s="693"/>
    </row>
    <row r="399">
      <c r="B399" s="687"/>
      <c r="C399" s="687"/>
      <c r="D399" s="688"/>
      <c r="E399" s="689"/>
      <c r="F399" s="690"/>
      <c r="G399" s="690"/>
      <c r="H399" s="690"/>
      <c r="I399" s="691"/>
      <c r="J399" s="691"/>
      <c r="K399" s="691"/>
      <c r="L399" s="692"/>
      <c r="M399" s="692"/>
      <c r="N399" s="692"/>
      <c r="O399" s="693"/>
      <c r="P399" s="688"/>
      <c r="Q399" s="688"/>
      <c r="R399" s="688"/>
      <c r="S399" s="688"/>
      <c r="T399" s="689"/>
      <c r="U399" s="689"/>
      <c r="V399" s="694"/>
      <c r="W399" s="694"/>
      <c r="X399" s="694"/>
      <c r="Y399" s="694"/>
      <c r="Z399" s="693"/>
      <c r="AA399" s="693"/>
      <c r="AB399" s="693"/>
      <c r="AC399" s="693"/>
      <c r="AD399" s="688"/>
      <c r="AE399" s="689"/>
      <c r="AF399" s="689"/>
      <c r="AG399" s="690"/>
      <c r="AH399" s="690"/>
      <c r="AI399" s="695"/>
      <c r="AJ399" s="695"/>
      <c r="AK399" s="692"/>
      <c r="AL399" s="692"/>
      <c r="AM399" s="693"/>
      <c r="AN399" s="688"/>
      <c r="AO399" s="688"/>
      <c r="AP399" s="688"/>
      <c r="AQ399" s="688"/>
      <c r="AR399" s="688"/>
      <c r="AS399" s="688"/>
      <c r="AT399" s="689"/>
      <c r="AU399" s="689"/>
      <c r="AV399" s="690"/>
      <c r="AW399" s="690"/>
      <c r="AX399" s="690"/>
      <c r="AY399" s="690"/>
      <c r="AZ399" s="690"/>
      <c r="BA399" s="690"/>
      <c r="BB399" s="695"/>
      <c r="BC399" s="695"/>
      <c r="BD399" s="695"/>
      <c r="BE399" s="695"/>
      <c r="BF399" s="692"/>
      <c r="BG399" s="692"/>
      <c r="BH399" s="692"/>
      <c r="BI399" s="692"/>
      <c r="BJ399" s="692"/>
      <c r="BK399" s="692"/>
      <c r="BL399" s="693"/>
      <c r="BM399" s="693"/>
      <c r="BN399" s="688"/>
      <c r="BO399" s="693"/>
      <c r="BP399" s="689"/>
      <c r="BQ399" s="694"/>
      <c r="BR399" s="687"/>
      <c r="BS399" s="687"/>
      <c r="BT399" s="687"/>
      <c r="BU399" s="687"/>
      <c r="BV399" s="687"/>
      <c r="BW399" s="688"/>
      <c r="BX399" s="688"/>
      <c r="BY399" s="689"/>
      <c r="BZ399" s="690"/>
      <c r="CA399" s="690"/>
      <c r="CB399" s="690"/>
      <c r="CC399" s="691"/>
      <c r="CD399" s="691"/>
      <c r="CE399" s="692"/>
      <c r="CF399" s="692"/>
      <c r="CG399" s="692"/>
      <c r="CH399" s="693"/>
    </row>
    <row r="400">
      <c r="B400" s="687"/>
      <c r="C400" s="687"/>
      <c r="D400" s="688"/>
      <c r="E400" s="689"/>
      <c r="F400" s="690"/>
      <c r="G400" s="690"/>
      <c r="H400" s="690"/>
      <c r="I400" s="691"/>
      <c r="J400" s="691"/>
      <c r="K400" s="691"/>
      <c r="L400" s="692"/>
      <c r="M400" s="692"/>
      <c r="N400" s="692"/>
      <c r="O400" s="693"/>
      <c r="P400" s="688"/>
      <c r="Q400" s="688"/>
      <c r="R400" s="688"/>
      <c r="S400" s="688"/>
      <c r="T400" s="689"/>
      <c r="U400" s="689"/>
      <c r="V400" s="694"/>
      <c r="W400" s="694"/>
      <c r="X400" s="694"/>
      <c r="Y400" s="694"/>
      <c r="Z400" s="693"/>
      <c r="AA400" s="693"/>
      <c r="AB400" s="693"/>
      <c r="AC400" s="693"/>
      <c r="AD400" s="688"/>
      <c r="AE400" s="689"/>
      <c r="AF400" s="689"/>
      <c r="AG400" s="690"/>
      <c r="AH400" s="690"/>
      <c r="AI400" s="695"/>
      <c r="AJ400" s="695"/>
      <c r="AK400" s="692"/>
      <c r="AL400" s="692"/>
      <c r="AM400" s="693"/>
      <c r="AN400" s="688"/>
      <c r="AO400" s="688"/>
      <c r="AP400" s="688"/>
      <c r="AQ400" s="688"/>
      <c r="AR400" s="688"/>
      <c r="AS400" s="688"/>
      <c r="AT400" s="689"/>
      <c r="AU400" s="689"/>
      <c r="AV400" s="690"/>
      <c r="AW400" s="690"/>
      <c r="AX400" s="690"/>
      <c r="AY400" s="690"/>
      <c r="AZ400" s="690"/>
      <c r="BA400" s="690"/>
      <c r="BB400" s="695"/>
      <c r="BC400" s="695"/>
      <c r="BD400" s="695"/>
      <c r="BE400" s="695"/>
      <c r="BF400" s="692"/>
      <c r="BG400" s="692"/>
      <c r="BH400" s="692"/>
      <c r="BI400" s="692"/>
      <c r="BJ400" s="692"/>
      <c r="BK400" s="692"/>
      <c r="BL400" s="693"/>
      <c r="BM400" s="693"/>
      <c r="BN400" s="688"/>
      <c r="BO400" s="693"/>
      <c r="BP400" s="689"/>
      <c r="BQ400" s="694"/>
      <c r="BR400" s="687"/>
      <c r="BS400" s="687"/>
      <c r="BT400" s="687"/>
      <c r="BU400" s="687"/>
      <c r="BV400" s="687"/>
      <c r="BW400" s="688"/>
      <c r="BX400" s="688"/>
      <c r="BY400" s="689"/>
      <c r="BZ400" s="690"/>
      <c r="CA400" s="690"/>
      <c r="CB400" s="690"/>
      <c r="CC400" s="691"/>
      <c r="CD400" s="691"/>
      <c r="CE400" s="692"/>
      <c r="CF400" s="692"/>
      <c r="CG400" s="692"/>
      <c r="CH400" s="693"/>
    </row>
    <row r="401">
      <c r="B401" s="687"/>
      <c r="C401" s="687"/>
      <c r="D401" s="688"/>
      <c r="E401" s="689"/>
      <c r="F401" s="690"/>
      <c r="G401" s="690"/>
      <c r="H401" s="690"/>
      <c r="I401" s="691"/>
      <c r="J401" s="691"/>
      <c r="K401" s="691"/>
      <c r="L401" s="692"/>
      <c r="M401" s="692"/>
      <c r="N401" s="692"/>
      <c r="O401" s="693"/>
      <c r="P401" s="688"/>
      <c r="Q401" s="688"/>
      <c r="R401" s="688"/>
      <c r="S401" s="688"/>
      <c r="T401" s="689"/>
      <c r="U401" s="689"/>
      <c r="V401" s="694"/>
      <c r="W401" s="694"/>
      <c r="X401" s="694"/>
      <c r="Y401" s="694"/>
      <c r="Z401" s="693"/>
      <c r="AA401" s="693"/>
      <c r="AB401" s="693"/>
      <c r="AC401" s="693"/>
      <c r="AD401" s="688"/>
      <c r="AE401" s="689"/>
      <c r="AF401" s="689"/>
      <c r="AG401" s="690"/>
      <c r="AH401" s="690"/>
      <c r="AI401" s="695"/>
      <c r="AJ401" s="695"/>
      <c r="AK401" s="692"/>
      <c r="AL401" s="692"/>
      <c r="AM401" s="693"/>
      <c r="AN401" s="688"/>
      <c r="AO401" s="688"/>
      <c r="AP401" s="688"/>
      <c r="AQ401" s="688"/>
      <c r="AR401" s="688"/>
      <c r="AS401" s="688"/>
      <c r="AT401" s="689"/>
      <c r="AU401" s="689"/>
      <c r="AV401" s="690"/>
      <c r="AW401" s="690"/>
      <c r="AX401" s="690"/>
      <c r="AY401" s="690"/>
      <c r="AZ401" s="690"/>
      <c r="BA401" s="690"/>
      <c r="BB401" s="695"/>
      <c r="BC401" s="695"/>
      <c r="BD401" s="695"/>
      <c r="BE401" s="695"/>
      <c r="BF401" s="692"/>
      <c r="BG401" s="692"/>
      <c r="BH401" s="692"/>
      <c r="BI401" s="692"/>
      <c r="BJ401" s="692"/>
      <c r="BK401" s="692"/>
      <c r="BL401" s="693"/>
      <c r="BM401" s="693"/>
      <c r="BN401" s="688"/>
      <c r="BO401" s="693"/>
      <c r="BP401" s="689"/>
      <c r="BQ401" s="694"/>
      <c r="BR401" s="687"/>
      <c r="BS401" s="687"/>
      <c r="BT401" s="687"/>
      <c r="BU401" s="687"/>
      <c r="BV401" s="687"/>
      <c r="BW401" s="688"/>
      <c r="BX401" s="688"/>
      <c r="BY401" s="689"/>
      <c r="BZ401" s="690"/>
      <c r="CA401" s="690"/>
      <c r="CB401" s="690"/>
      <c r="CC401" s="691"/>
      <c r="CD401" s="691"/>
      <c r="CE401" s="692"/>
      <c r="CF401" s="692"/>
      <c r="CG401" s="692"/>
      <c r="CH401" s="693"/>
    </row>
    <row r="402">
      <c r="B402" s="687"/>
      <c r="C402" s="687"/>
      <c r="D402" s="688"/>
      <c r="E402" s="689"/>
      <c r="F402" s="690"/>
      <c r="G402" s="690"/>
      <c r="H402" s="690"/>
      <c r="I402" s="691"/>
      <c r="J402" s="691"/>
      <c r="K402" s="691"/>
      <c r="L402" s="692"/>
      <c r="M402" s="692"/>
      <c r="N402" s="692"/>
      <c r="O402" s="693"/>
      <c r="P402" s="688"/>
      <c r="Q402" s="688"/>
      <c r="R402" s="688"/>
      <c r="S402" s="688"/>
      <c r="T402" s="689"/>
      <c r="U402" s="689"/>
      <c r="V402" s="694"/>
      <c r="W402" s="694"/>
      <c r="X402" s="694"/>
      <c r="Y402" s="694"/>
      <c r="Z402" s="693"/>
      <c r="AA402" s="693"/>
      <c r="AB402" s="693"/>
      <c r="AC402" s="693"/>
      <c r="AD402" s="688"/>
      <c r="AE402" s="689"/>
      <c r="AF402" s="689"/>
      <c r="AG402" s="690"/>
      <c r="AH402" s="690"/>
      <c r="AI402" s="695"/>
      <c r="AJ402" s="695"/>
      <c r="AK402" s="692"/>
      <c r="AL402" s="692"/>
      <c r="AM402" s="693"/>
      <c r="AN402" s="688"/>
      <c r="AO402" s="688"/>
      <c r="AP402" s="688"/>
      <c r="AQ402" s="688"/>
      <c r="AR402" s="688"/>
      <c r="AS402" s="688"/>
      <c r="AT402" s="689"/>
      <c r="AU402" s="689"/>
      <c r="AV402" s="690"/>
      <c r="AW402" s="690"/>
      <c r="AX402" s="690"/>
      <c r="AY402" s="690"/>
      <c r="AZ402" s="690"/>
      <c r="BA402" s="690"/>
      <c r="BB402" s="695"/>
      <c r="BC402" s="695"/>
      <c r="BD402" s="695"/>
      <c r="BE402" s="695"/>
      <c r="BF402" s="692"/>
      <c r="BG402" s="692"/>
      <c r="BH402" s="692"/>
      <c r="BI402" s="692"/>
      <c r="BJ402" s="692"/>
      <c r="BK402" s="692"/>
      <c r="BL402" s="693"/>
      <c r="BM402" s="693"/>
      <c r="BN402" s="688"/>
      <c r="BO402" s="693"/>
      <c r="BP402" s="689"/>
      <c r="BQ402" s="694"/>
      <c r="BR402" s="687"/>
      <c r="BS402" s="687"/>
      <c r="BT402" s="687"/>
      <c r="BU402" s="687"/>
      <c r="BV402" s="687"/>
      <c r="BW402" s="688"/>
      <c r="BX402" s="688"/>
      <c r="BY402" s="689"/>
      <c r="BZ402" s="690"/>
      <c r="CA402" s="690"/>
      <c r="CB402" s="690"/>
      <c r="CC402" s="691"/>
      <c r="CD402" s="691"/>
      <c r="CE402" s="692"/>
      <c r="CF402" s="692"/>
      <c r="CG402" s="692"/>
      <c r="CH402" s="693"/>
    </row>
    <row r="403">
      <c r="B403" s="687"/>
      <c r="C403" s="687"/>
      <c r="D403" s="688"/>
      <c r="E403" s="689"/>
      <c r="F403" s="690"/>
      <c r="G403" s="690"/>
      <c r="H403" s="690"/>
      <c r="I403" s="691"/>
      <c r="J403" s="691"/>
      <c r="K403" s="691"/>
      <c r="L403" s="692"/>
      <c r="M403" s="692"/>
      <c r="N403" s="692"/>
      <c r="O403" s="693"/>
      <c r="P403" s="688"/>
      <c r="Q403" s="688"/>
      <c r="R403" s="688"/>
      <c r="S403" s="688"/>
      <c r="T403" s="689"/>
      <c r="U403" s="689"/>
      <c r="V403" s="694"/>
      <c r="W403" s="694"/>
      <c r="X403" s="694"/>
      <c r="Y403" s="694"/>
      <c r="Z403" s="693"/>
      <c r="AA403" s="693"/>
      <c r="AB403" s="693"/>
      <c r="AC403" s="693"/>
      <c r="AD403" s="688"/>
      <c r="AE403" s="689"/>
      <c r="AF403" s="689"/>
      <c r="AG403" s="690"/>
      <c r="AH403" s="690"/>
      <c r="AI403" s="695"/>
      <c r="AJ403" s="695"/>
      <c r="AK403" s="692"/>
      <c r="AL403" s="692"/>
      <c r="AM403" s="693"/>
      <c r="AN403" s="688"/>
      <c r="AO403" s="688"/>
      <c r="AP403" s="688"/>
      <c r="AQ403" s="688"/>
      <c r="AR403" s="688"/>
      <c r="AS403" s="688"/>
      <c r="AT403" s="689"/>
      <c r="AU403" s="689"/>
      <c r="AV403" s="690"/>
      <c r="AW403" s="690"/>
      <c r="AX403" s="690"/>
      <c r="AY403" s="690"/>
      <c r="AZ403" s="690"/>
      <c r="BA403" s="690"/>
      <c r="BB403" s="695"/>
      <c r="BC403" s="695"/>
      <c r="BD403" s="695"/>
      <c r="BE403" s="695"/>
      <c r="BF403" s="692"/>
      <c r="BG403" s="692"/>
      <c r="BH403" s="692"/>
      <c r="BI403" s="692"/>
      <c r="BJ403" s="692"/>
      <c r="BK403" s="692"/>
      <c r="BL403" s="693"/>
      <c r="BM403" s="693"/>
      <c r="BN403" s="688"/>
      <c r="BO403" s="693"/>
      <c r="BP403" s="689"/>
      <c r="BQ403" s="694"/>
      <c r="BR403" s="687"/>
      <c r="BS403" s="687"/>
      <c r="BT403" s="687"/>
      <c r="BU403" s="687"/>
      <c r="BV403" s="687"/>
      <c r="BW403" s="688"/>
      <c r="BX403" s="688"/>
      <c r="BY403" s="689"/>
      <c r="BZ403" s="690"/>
      <c r="CA403" s="690"/>
      <c r="CB403" s="690"/>
      <c r="CC403" s="691"/>
      <c r="CD403" s="691"/>
      <c r="CE403" s="692"/>
      <c r="CF403" s="692"/>
      <c r="CG403" s="692"/>
      <c r="CH403" s="693"/>
    </row>
    <row r="404">
      <c r="B404" s="687"/>
      <c r="C404" s="687"/>
      <c r="D404" s="688"/>
      <c r="E404" s="689"/>
      <c r="F404" s="690"/>
      <c r="G404" s="690"/>
      <c r="H404" s="690"/>
      <c r="I404" s="691"/>
      <c r="J404" s="691"/>
      <c r="K404" s="691"/>
      <c r="L404" s="692"/>
      <c r="M404" s="692"/>
      <c r="N404" s="692"/>
      <c r="O404" s="693"/>
      <c r="P404" s="688"/>
      <c r="Q404" s="688"/>
      <c r="R404" s="688"/>
      <c r="S404" s="688"/>
      <c r="T404" s="689"/>
      <c r="U404" s="689"/>
      <c r="V404" s="694"/>
      <c r="W404" s="694"/>
      <c r="X404" s="694"/>
      <c r="Y404" s="694"/>
      <c r="Z404" s="693"/>
      <c r="AA404" s="693"/>
      <c r="AB404" s="693"/>
      <c r="AC404" s="693"/>
      <c r="AD404" s="688"/>
      <c r="AE404" s="689"/>
      <c r="AF404" s="689"/>
      <c r="AG404" s="690"/>
      <c r="AH404" s="690"/>
      <c r="AI404" s="695"/>
      <c r="AJ404" s="695"/>
      <c r="AK404" s="692"/>
      <c r="AL404" s="692"/>
      <c r="AM404" s="693"/>
      <c r="AN404" s="688"/>
      <c r="AO404" s="688"/>
      <c r="AP404" s="688"/>
      <c r="AQ404" s="688"/>
      <c r="AR404" s="688"/>
      <c r="AS404" s="688"/>
      <c r="AT404" s="689"/>
      <c r="AU404" s="689"/>
      <c r="AV404" s="690"/>
      <c r="AW404" s="690"/>
      <c r="AX404" s="690"/>
      <c r="AY404" s="690"/>
      <c r="AZ404" s="690"/>
      <c r="BA404" s="690"/>
      <c r="BB404" s="695"/>
      <c r="BC404" s="695"/>
      <c r="BD404" s="695"/>
      <c r="BE404" s="695"/>
      <c r="BF404" s="692"/>
      <c r="BG404" s="692"/>
      <c r="BH404" s="692"/>
      <c r="BI404" s="692"/>
      <c r="BJ404" s="692"/>
      <c r="BK404" s="692"/>
      <c r="BL404" s="693"/>
      <c r="BM404" s="693"/>
      <c r="BN404" s="688"/>
      <c r="BO404" s="693"/>
      <c r="BP404" s="689"/>
      <c r="BQ404" s="694"/>
      <c r="BR404" s="687"/>
      <c r="BS404" s="687"/>
      <c r="BT404" s="687"/>
      <c r="BU404" s="687"/>
      <c r="BV404" s="687"/>
      <c r="BW404" s="688"/>
      <c r="BX404" s="688"/>
      <c r="BY404" s="689"/>
      <c r="BZ404" s="690"/>
      <c r="CA404" s="690"/>
      <c r="CB404" s="690"/>
      <c r="CC404" s="691"/>
      <c r="CD404" s="691"/>
      <c r="CE404" s="692"/>
      <c r="CF404" s="692"/>
      <c r="CG404" s="692"/>
      <c r="CH404" s="693"/>
    </row>
    <row r="405">
      <c r="B405" s="687"/>
      <c r="C405" s="687"/>
      <c r="D405" s="688"/>
      <c r="E405" s="689"/>
      <c r="F405" s="690"/>
      <c r="G405" s="690"/>
      <c r="H405" s="690"/>
      <c r="I405" s="691"/>
      <c r="J405" s="691"/>
      <c r="K405" s="691"/>
      <c r="L405" s="692"/>
      <c r="M405" s="692"/>
      <c r="N405" s="692"/>
      <c r="O405" s="693"/>
      <c r="P405" s="688"/>
      <c r="Q405" s="688"/>
      <c r="R405" s="688"/>
      <c r="S405" s="688"/>
      <c r="T405" s="689"/>
      <c r="U405" s="689"/>
      <c r="V405" s="694"/>
      <c r="W405" s="694"/>
      <c r="X405" s="694"/>
      <c r="Y405" s="694"/>
      <c r="Z405" s="693"/>
      <c r="AA405" s="693"/>
      <c r="AB405" s="693"/>
      <c r="AC405" s="693"/>
      <c r="AD405" s="688"/>
      <c r="AE405" s="689"/>
      <c r="AF405" s="689"/>
      <c r="AG405" s="690"/>
      <c r="AH405" s="690"/>
      <c r="AI405" s="695"/>
      <c r="AJ405" s="695"/>
      <c r="AK405" s="692"/>
      <c r="AL405" s="692"/>
      <c r="AM405" s="693"/>
      <c r="AN405" s="688"/>
      <c r="AO405" s="688"/>
      <c r="AP405" s="688"/>
      <c r="AQ405" s="688"/>
      <c r="AR405" s="688"/>
      <c r="AS405" s="688"/>
      <c r="AT405" s="689"/>
      <c r="AU405" s="689"/>
      <c r="AV405" s="690"/>
      <c r="AW405" s="690"/>
      <c r="AX405" s="690"/>
      <c r="AY405" s="690"/>
      <c r="AZ405" s="690"/>
      <c r="BA405" s="690"/>
      <c r="BB405" s="695"/>
      <c r="BC405" s="695"/>
      <c r="BD405" s="695"/>
      <c r="BE405" s="695"/>
      <c r="BF405" s="692"/>
      <c r="BG405" s="692"/>
      <c r="BH405" s="692"/>
      <c r="BI405" s="692"/>
      <c r="BJ405" s="692"/>
      <c r="BK405" s="692"/>
      <c r="BL405" s="693"/>
      <c r="BM405" s="693"/>
      <c r="BN405" s="688"/>
      <c r="BO405" s="693"/>
      <c r="BP405" s="689"/>
      <c r="BQ405" s="694"/>
      <c r="BR405" s="687"/>
      <c r="BS405" s="687"/>
      <c r="BT405" s="687"/>
      <c r="BU405" s="687"/>
      <c r="BV405" s="687"/>
      <c r="BW405" s="688"/>
      <c r="BX405" s="688"/>
      <c r="BY405" s="689"/>
      <c r="BZ405" s="690"/>
      <c r="CA405" s="690"/>
      <c r="CB405" s="690"/>
      <c r="CC405" s="691"/>
      <c r="CD405" s="691"/>
      <c r="CE405" s="692"/>
      <c r="CF405" s="692"/>
      <c r="CG405" s="692"/>
      <c r="CH405" s="693"/>
    </row>
    <row r="406">
      <c r="B406" s="687"/>
      <c r="C406" s="687"/>
      <c r="D406" s="688"/>
      <c r="E406" s="689"/>
      <c r="F406" s="690"/>
      <c r="G406" s="690"/>
      <c r="H406" s="690"/>
      <c r="I406" s="691"/>
      <c r="J406" s="691"/>
      <c r="K406" s="691"/>
      <c r="L406" s="692"/>
      <c r="M406" s="692"/>
      <c r="N406" s="692"/>
      <c r="O406" s="693"/>
      <c r="P406" s="688"/>
      <c r="Q406" s="688"/>
      <c r="R406" s="688"/>
      <c r="S406" s="688"/>
      <c r="T406" s="689"/>
      <c r="U406" s="689"/>
      <c r="V406" s="694"/>
      <c r="W406" s="694"/>
      <c r="X406" s="694"/>
      <c r="Y406" s="694"/>
      <c r="Z406" s="693"/>
      <c r="AA406" s="693"/>
      <c r="AB406" s="693"/>
      <c r="AC406" s="693"/>
      <c r="AD406" s="688"/>
      <c r="AE406" s="689"/>
      <c r="AF406" s="689"/>
      <c r="AG406" s="690"/>
      <c r="AH406" s="690"/>
      <c r="AI406" s="695"/>
      <c r="AJ406" s="695"/>
      <c r="AK406" s="692"/>
      <c r="AL406" s="692"/>
      <c r="AM406" s="693"/>
      <c r="AN406" s="688"/>
      <c r="AO406" s="688"/>
      <c r="AP406" s="688"/>
      <c r="AQ406" s="688"/>
      <c r="AR406" s="688"/>
      <c r="AS406" s="688"/>
      <c r="AT406" s="689"/>
      <c r="AU406" s="689"/>
      <c r="AV406" s="690"/>
      <c r="AW406" s="690"/>
      <c r="AX406" s="690"/>
      <c r="AY406" s="690"/>
      <c r="AZ406" s="690"/>
      <c r="BA406" s="690"/>
      <c r="BB406" s="695"/>
      <c r="BC406" s="695"/>
      <c r="BD406" s="695"/>
      <c r="BE406" s="695"/>
      <c r="BF406" s="692"/>
      <c r="BG406" s="692"/>
      <c r="BH406" s="692"/>
      <c r="BI406" s="692"/>
      <c r="BJ406" s="692"/>
      <c r="BK406" s="692"/>
      <c r="BL406" s="693"/>
      <c r="BM406" s="693"/>
      <c r="BN406" s="688"/>
      <c r="BO406" s="693"/>
      <c r="BP406" s="689"/>
      <c r="BQ406" s="694"/>
      <c r="BR406" s="687"/>
      <c r="BS406" s="687"/>
      <c r="BT406" s="687"/>
      <c r="BU406" s="687"/>
      <c r="BV406" s="687"/>
      <c r="BW406" s="688"/>
      <c r="BX406" s="688"/>
      <c r="BY406" s="689"/>
      <c r="BZ406" s="690"/>
      <c r="CA406" s="690"/>
      <c r="CB406" s="690"/>
      <c r="CC406" s="691"/>
      <c r="CD406" s="691"/>
      <c r="CE406" s="692"/>
      <c r="CF406" s="692"/>
      <c r="CG406" s="692"/>
      <c r="CH406" s="693"/>
    </row>
    <row r="407">
      <c r="B407" s="687"/>
      <c r="C407" s="687"/>
      <c r="D407" s="688"/>
      <c r="E407" s="689"/>
      <c r="F407" s="690"/>
      <c r="G407" s="690"/>
      <c r="H407" s="690"/>
      <c r="I407" s="691"/>
      <c r="J407" s="691"/>
      <c r="K407" s="691"/>
      <c r="L407" s="692"/>
      <c r="M407" s="692"/>
      <c r="N407" s="692"/>
      <c r="O407" s="693"/>
      <c r="P407" s="688"/>
      <c r="Q407" s="688"/>
      <c r="R407" s="688"/>
      <c r="S407" s="688"/>
      <c r="T407" s="689"/>
      <c r="U407" s="689"/>
      <c r="V407" s="694"/>
      <c r="W407" s="694"/>
      <c r="X407" s="694"/>
      <c r="Y407" s="694"/>
      <c r="Z407" s="693"/>
      <c r="AA407" s="693"/>
      <c r="AB407" s="693"/>
      <c r="AC407" s="693"/>
      <c r="AD407" s="688"/>
      <c r="AE407" s="689"/>
      <c r="AF407" s="689"/>
      <c r="AG407" s="690"/>
      <c r="AH407" s="690"/>
      <c r="AI407" s="695"/>
      <c r="AJ407" s="695"/>
      <c r="AK407" s="692"/>
      <c r="AL407" s="692"/>
      <c r="AM407" s="693"/>
      <c r="AN407" s="688"/>
      <c r="AO407" s="688"/>
      <c r="AP407" s="688"/>
      <c r="AQ407" s="688"/>
      <c r="AR407" s="688"/>
      <c r="AS407" s="688"/>
      <c r="AT407" s="689"/>
      <c r="AU407" s="689"/>
      <c r="AV407" s="690"/>
      <c r="AW407" s="690"/>
      <c r="AX407" s="690"/>
      <c r="AY407" s="690"/>
      <c r="AZ407" s="690"/>
      <c r="BA407" s="690"/>
      <c r="BB407" s="695"/>
      <c r="BC407" s="695"/>
      <c r="BD407" s="695"/>
      <c r="BE407" s="695"/>
      <c r="BF407" s="692"/>
      <c r="BG407" s="692"/>
      <c r="BH407" s="692"/>
      <c r="BI407" s="692"/>
      <c r="BJ407" s="692"/>
      <c r="BK407" s="692"/>
      <c r="BL407" s="693"/>
      <c r="BM407" s="693"/>
      <c r="BN407" s="688"/>
      <c r="BO407" s="693"/>
      <c r="BP407" s="689"/>
      <c r="BQ407" s="694"/>
      <c r="BR407" s="687"/>
      <c r="BS407" s="687"/>
      <c r="BT407" s="687"/>
      <c r="BU407" s="687"/>
      <c r="BV407" s="687"/>
      <c r="BW407" s="688"/>
      <c r="BX407" s="688"/>
      <c r="BY407" s="689"/>
      <c r="BZ407" s="690"/>
      <c r="CA407" s="690"/>
      <c r="CB407" s="690"/>
      <c r="CC407" s="691"/>
      <c r="CD407" s="691"/>
      <c r="CE407" s="692"/>
      <c r="CF407" s="692"/>
      <c r="CG407" s="692"/>
      <c r="CH407" s="693"/>
    </row>
    <row r="408">
      <c r="B408" s="687"/>
      <c r="C408" s="687"/>
      <c r="D408" s="688"/>
      <c r="E408" s="689"/>
      <c r="F408" s="690"/>
      <c r="G408" s="690"/>
      <c r="H408" s="690"/>
      <c r="I408" s="691"/>
      <c r="J408" s="691"/>
      <c r="K408" s="691"/>
      <c r="L408" s="692"/>
      <c r="M408" s="692"/>
      <c r="N408" s="692"/>
      <c r="O408" s="693"/>
      <c r="P408" s="688"/>
      <c r="Q408" s="688"/>
      <c r="R408" s="688"/>
      <c r="S408" s="688"/>
      <c r="T408" s="689"/>
      <c r="U408" s="689"/>
      <c r="V408" s="694"/>
      <c r="W408" s="694"/>
      <c r="X408" s="694"/>
      <c r="Y408" s="694"/>
      <c r="Z408" s="693"/>
      <c r="AA408" s="693"/>
      <c r="AB408" s="693"/>
      <c r="AC408" s="693"/>
      <c r="AD408" s="688"/>
      <c r="AE408" s="689"/>
      <c r="AF408" s="689"/>
      <c r="AG408" s="690"/>
      <c r="AH408" s="690"/>
      <c r="AI408" s="695"/>
      <c r="AJ408" s="695"/>
      <c r="AK408" s="692"/>
      <c r="AL408" s="692"/>
      <c r="AM408" s="693"/>
      <c r="AN408" s="688"/>
      <c r="AO408" s="688"/>
      <c r="AP408" s="688"/>
      <c r="AQ408" s="688"/>
      <c r="AR408" s="688"/>
      <c r="AS408" s="688"/>
      <c r="AT408" s="689"/>
      <c r="AU408" s="689"/>
      <c r="AV408" s="690"/>
      <c r="AW408" s="690"/>
      <c r="AX408" s="690"/>
      <c r="AY408" s="690"/>
      <c r="AZ408" s="690"/>
      <c r="BA408" s="690"/>
      <c r="BB408" s="695"/>
      <c r="BC408" s="695"/>
      <c r="BD408" s="695"/>
      <c r="BE408" s="695"/>
      <c r="BF408" s="692"/>
      <c r="BG408" s="692"/>
      <c r="BH408" s="692"/>
      <c r="BI408" s="692"/>
      <c r="BJ408" s="692"/>
      <c r="BK408" s="692"/>
      <c r="BL408" s="693"/>
      <c r="BM408" s="693"/>
      <c r="BN408" s="688"/>
      <c r="BO408" s="693"/>
      <c r="BP408" s="689"/>
      <c r="BQ408" s="694"/>
      <c r="BR408" s="687"/>
      <c r="BS408" s="687"/>
      <c r="BT408" s="687"/>
      <c r="BU408" s="687"/>
      <c r="BV408" s="687"/>
      <c r="BW408" s="688"/>
      <c r="BX408" s="688"/>
      <c r="BY408" s="689"/>
      <c r="BZ408" s="690"/>
      <c r="CA408" s="690"/>
      <c r="CB408" s="690"/>
      <c r="CC408" s="691"/>
      <c r="CD408" s="691"/>
      <c r="CE408" s="692"/>
      <c r="CF408" s="692"/>
      <c r="CG408" s="692"/>
      <c r="CH408" s="693"/>
    </row>
    <row r="409">
      <c r="B409" s="687"/>
      <c r="C409" s="687"/>
      <c r="D409" s="688"/>
      <c r="E409" s="689"/>
      <c r="F409" s="690"/>
      <c r="G409" s="690"/>
      <c r="H409" s="690"/>
      <c r="I409" s="691"/>
      <c r="J409" s="691"/>
      <c r="K409" s="691"/>
      <c r="L409" s="692"/>
      <c r="M409" s="692"/>
      <c r="N409" s="692"/>
      <c r="O409" s="693"/>
      <c r="P409" s="688"/>
      <c r="Q409" s="688"/>
      <c r="R409" s="688"/>
      <c r="S409" s="688"/>
      <c r="T409" s="689"/>
      <c r="U409" s="689"/>
      <c r="V409" s="694"/>
      <c r="W409" s="694"/>
      <c r="X409" s="694"/>
      <c r="Y409" s="694"/>
      <c r="Z409" s="693"/>
      <c r="AA409" s="693"/>
      <c r="AB409" s="693"/>
      <c r="AC409" s="693"/>
      <c r="AD409" s="688"/>
      <c r="AE409" s="689"/>
      <c r="AF409" s="689"/>
      <c r="AG409" s="690"/>
      <c r="AH409" s="690"/>
      <c r="AI409" s="695"/>
      <c r="AJ409" s="695"/>
      <c r="AK409" s="692"/>
      <c r="AL409" s="692"/>
      <c r="AM409" s="693"/>
      <c r="AN409" s="688"/>
      <c r="AO409" s="688"/>
      <c r="AP409" s="688"/>
      <c r="AQ409" s="688"/>
      <c r="AR409" s="688"/>
      <c r="AS409" s="688"/>
      <c r="AT409" s="689"/>
      <c r="AU409" s="689"/>
      <c r="AV409" s="690"/>
      <c r="AW409" s="690"/>
      <c r="AX409" s="690"/>
      <c r="AY409" s="690"/>
      <c r="AZ409" s="690"/>
      <c r="BA409" s="690"/>
      <c r="BB409" s="695"/>
      <c r="BC409" s="695"/>
      <c r="BD409" s="695"/>
      <c r="BE409" s="695"/>
      <c r="BF409" s="692"/>
      <c r="BG409" s="692"/>
      <c r="BH409" s="692"/>
      <c r="BI409" s="692"/>
      <c r="BJ409" s="692"/>
      <c r="BK409" s="692"/>
      <c r="BL409" s="693"/>
      <c r="BM409" s="693"/>
      <c r="BN409" s="688"/>
      <c r="BO409" s="693"/>
      <c r="BP409" s="689"/>
      <c r="BQ409" s="694"/>
      <c r="BR409" s="687"/>
      <c r="BS409" s="687"/>
      <c r="BT409" s="687"/>
      <c r="BU409" s="687"/>
      <c r="BV409" s="687"/>
      <c r="BW409" s="688"/>
      <c r="BX409" s="688"/>
      <c r="BY409" s="689"/>
      <c r="BZ409" s="690"/>
      <c r="CA409" s="690"/>
      <c r="CB409" s="690"/>
      <c r="CC409" s="691"/>
      <c r="CD409" s="691"/>
      <c r="CE409" s="692"/>
      <c r="CF409" s="692"/>
      <c r="CG409" s="692"/>
      <c r="CH409" s="693"/>
    </row>
    <row r="410">
      <c r="B410" s="687"/>
      <c r="C410" s="687"/>
      <c r="D410" s="688"/>
      <c r="E410" s="689"/>
      <c r="F410" s="690"/>
      <c r="G410" s="690"/>
      <c r="H410" s="690"/>
      <c r="I410" s="691"/>
      <c r="J410" s="691"/>
      <c r="K410" s="691"/>
      <c r="L410" s="692"/>
      <c r="M410" s="692"/>
      <c r="N410" s="692"/>
      <c r="O410" s="693"/>
      <c r="P410" s="688"/>
      <c r="Q410" s="688"/>
      <c r="R410" s="688"/>
      <c r="S410" s="688"/>
      <c r="T410" s="689"/>
      <c r="U410" s="689"/>
      <c r="V410" s="694"/>
      <c r="W410" s="694"/>
      <c r="X410" s="694"/>
      <c r="Y410" s="694"/>
      <c r="Z410" s="693"/>
      <c r="AA410" s="693"/>
      <c r="AB410" s="693"/>
      <c r="AC410" s="693"/>
      <c r="AD410" s="688"/>
      <c r="AE410" s="689"/>
      <c r="AF410" s="689"/>
      <c r="AG410" s="690"/>
      <c r="AH410" s="690"/>
      <c r="AI410" s="695"/>
      <c r="AJ410" s="695"/>
      <c r="AK410" s="692"/>
      <c r="AL410" s="692"/>
      <c r="AM410" s="693"/>
      <c r="AN410" s="688"/>
      <c r="AO410" s="688"/>
      <c r="AP410" s="688"/>
      <c r="AQ410" s="688"/>
      <c r="AR410" s="688"/>
      <c r="AS410" s="688"/>
      <c r="AT410" s="689"/>
      <c r="AU410" s="689"/>
      <c r="AV410" s="690"/>
      <c r="AW410" s="690"/>
      <c r="AX410" s="690"/>
      <c r="AY410" s="690"/>
      <c r="AZ410" s="690"/>
      <c r="BA410" s="690"/>
      <c r="BB410" s="695"/>
      <c r="BC410" s="695"/>
      <c r="BD410" s="695"/>
      <c r="BE410" s="695"/>
      <c r="BF410" s="692"/>
      <c r="BG410" s="692"/>
      <c r="BH410" s="692"/>
      <c r="BI410" s="692"/>
      <c r="BJ410" s="692"/>
      <c r="BK410" s="692"/>
      <c r="BL410" s="693"/>
      <c r="BM410" s="693"/>
      <c r="BN410" s="688"/>
      <c r="BO410" s="693"/>
      <c r="BP410" s="689"/>
      <c r="BQ410" s="694"/>
      <c r="BR410" s="687"/>
      <c r="BS410" s="687"/>
      <c r="BT410" s="687"/>
      <c r="BU410" s="687"/>
      <c r="BV410" s="687"/>
      <c r="BW410" s="688"/>
      <c r="BX410" s="688"/>
      <c r="BY410" s="689"/>
      <c r="BZ410" s="690"/>
      <c r="CA410" s="690"/>
      <c r="CB410" s="690"/>
      <c r="CC410" s="691"/>
      <c r="CD410" s="691"/>
      <c r="CE410" s="692"/>
      <c r="CF410" s="692"/>
      <c r="CG410" s="692"/>
      <c r="CH410" s="693"/>
    </row>
    <row r="411">
      <c r="B411" s="687"/>
      <c r="C411" s="687"/>
      <c r="D411" s="688"/>
      <c r="E411" s="689"/>
      <c r="F411" s="690"/>
      <c r="G411" s="690"/>
      <c r="H411" s="690"/>
      <c r="I411" s="691"/>
      <c r="J411" s="691"/>
      <c r="K411" s="691"/>
      <c r="L411" s="692"/>
      <c r="M411" s="692"/>
      <c r="N411" s="692"/>
      <c r="O411" s="693"/>
      <c r="P411" s="688"/>
      <c r="Q411" s="688"/>
      <c r="R411" s="688"/>
      <c r="S411" s="688"/>
      <c r="T411" s="689"/>
      <c r="U411" s="689"/>
      <c r="V411" s="694"/>
      <c r="W411" s="694"/>
      <c r="X411" s="694"/>
      <c r="Y411" s="694"/>
      <c r="Z411" s="693"/>
      <c r="AA411" s="693"/>
      <c r="AB411" s="693"/>
      <c r="AC411" s="693"/>
      <c r="AD411" s="688"/>
      <c r="AE411" s="689"/>
      <c r="AF411" s="689"/>
      <c r="AG411" s="690"/>
      <c r="AH411" s="690"/>
      <c r="AI411" s="695"/>
      <c r="AJ411" s="695"/>
      <c r="AK411" s="692"/>
      <c r="AL411" s="692"/>
      <c r="AM411" s="693"/>
      <c r="AN411" s="688"/>
      <c r="AO411" s="688"/>
      <c r="AP411" s="688"/>
      <c r="AQ411" s="688"/>
      <c r="AR411" s="688"/>
      <c r="AS411" s="688"/>
      <c r="AT411" s="689"/>
      <c r="AU411" s="689"/>
      <c r="AV411" s="690"/>
      <c r="AW411" s="690"/>
      <c r="AX411" s="690"/>
      <c r="AY411" s="690"/>
      <c r="AZ411" s="690"/>
      <c r="BA411" s="690"/>
      <c r="BB411" s="695"/>
      <c r="BC411" s="695"/>
      <c r="BD411" s="695"/>
      <c r="BE411" s="695"/>
      <c r="BF411" s="692"/>
      <c r="BG411" s="692"/>
      <c r="BH411" s="692"/>
      <c r="BI411" s="692"/>
      <c r="BJ411" s="692"/>
      <c r="BK411" s="692"/>
      <c r="BL411" s="693"/>
      <c r="BM411" s="693"/>
      <c r="BN411" s="688"/>
      <c r="BO411" s="693"/>
      <c r="BP411" s="689"/>
      <c r="BQ411" s="694"/>
      <c r="BR411" s="687"/>
      <c r="BS411" s="687"/>
      <c r="BT411" s="687"/>
      <c r="BU411" s="687"/>
      <c r="BV411" s="687"/>
      <c r="BW411" s="688"/>
      <c r="BX411" s="688"/>
      <c r="BY411" s="689"/>
      <c r="BZ411" s="690"/>
      <c r="CA411" s="690"/>
      <c r="CB411" s="690"/>
      <c r="CC411" s="691"/>
      <c r="CD411" s="691"/>
      <c r="CE411" s="692"/>
      <c r="CF411" s="692"/>
      <c r="CG411" s="692"/>
      <c r="CH411" s="693"/>
    </row>
    <row r="412">
      <c r="B412" s="687"/>
      <c r="C412" s="687"/>
      <c r="D412" s="688"/>
      <c r="E412" s="689"/>
      <c r="F412" s="690"/>
      <c r="G412" s="690"/>
      <c r="H412" s="690"/>
      <c r="I412" s="691"/>
      <c r="J412" s="691"/>
      <c r="K412" s="691"/>
      <c r="L412" s="692"/>
      <c r="M412" s="692"/>
      <c r="N412" s="692"/>
      <c r="O412" s="693"/>
      <c r="P412" s="688"/>
      <c r="Q412" s="688"/>
      <c r="R412" s="688"/>
      <c r="S412" s="688"/>
      <c r="T412" s="689"/>
      <c r="U412" s="689"/>
      <c r="V412" s="694"/>
      <c r="W412" s="694"/>
      <c r="X412" s="694"/>
      <c r="Y412" s="694"/>
      <c r="Z412" s="693"/>
      <c r="AA412" s="693"/>
      <c r="AB412" s="693"/>
      <c r="AC412" s="693"/>
      <c r="AD412" s="688"/>
      <c r="AE412" s="689"/>
      <c r="AF412" s="689"/>
      <c r="AG412" s="690"/>
      <c r="AH412" s="690"/>
      <c r="AI412" s="695"/>
      <c r="AJ412" s="695"/>
      <c r="AK412" s="692"/>
      <c r="AL412" s="692"/>
      <c r="AM412" s="693"/>
      <c r="AN412" s="688"/>
      <c r="AO412" s="688"/>
      <c r="AP412" s="688"/>
      <c r="AQ412" s="688"/>
      <c r="AR412" s="688"/>
      <c r="AS412" s="688"/>
      <c r="AT412" s="689"/>
      <c r="AU412" s="689"/>
      <c r="AV412" s="690"/>
      <c r="AW412" s="690"/>
      <c r="AX412" s="690"/>
      <c r="AY412" s="690"/>
      <c r="AZ412" s="690"/>
      <c r="BA412" s="690"/>
      <c r="BB412" s="695"/>
      <c r="BC412" s="695"/>
      <c r="BD412" s="695"/>
      <c r="BE412" s="695"/>
      <c r="BF412" s="692"/>
      <c r="BG412" s="692"/>
      <c r="BH412" s="692"/>
      <c r="BI412" s="692"/>
      <c r="BJ412" s="692"/>
      <c r="BK412" s="692"/>
      <c r="BL412" s="693"/>
      <c r="BM412" s="693"/>
      <c r="BN412" s="688"/>
      <c r="BO412" s="693"/>
      <c r="BP412" s="689"/>
      <c r="BQ412" s="694"/>
      <c r="BR412" s="687"/>
      <c r="BS412" s="687"/>
      <c r="BT412" s="687"/>
      <c r="BU412" s="687"/>
      <c r="BV412" s="687"/>
      <c r="BW412" s="688"/>
      <c r="BX412" s="688"/>
      <c r="BY412" s="689"/>
      <c r="BZ412" s="690"/>
      <c r="CA412" s="690"/>
      <c r="CB412" s="690"/>
      <c r="CC412" s="691"/>
      <c r="CD412" s="691"/>
      <c r="CE412" s="692"/>
      <c r="CF412" s="692"/>
      <c r="CG412" s="692"/>
      <c r="CH412" s="693"/>
    </row>
    <row r="413">
      <c r="B413" s="687"/>
      <c r="C413" s="687"/>
      <c r="D413" s="688"/>
      <c r="E413" s="689"/>
      <c r="F413" s="690"/>
      <c r="G413" s="690"/>
      <c r="H413" s="690"/>
      <c r="I413" s="691"/>
      <c r="J413" s="691"/>
      <c r="K413" s="691"/>
      <c r="L413" s="692"/>
      <c r="M413" s="692"/>
      <c r="N413" s="692"/>
      <c r="O413" s="693"/>
      <c r="P413" s="688"/>
      <c r="Q413" s="688"/>
      <c r="R413" s="688"/>
      <c r="S413" s="688"/>
      <c r="T413" s="689"/>
      <c r="U413" s="689"/>
      <c r="V413" s="694"/>
      <c r="W413" s="694"/>
      <c r="X413" s="694"/>
      <c r="Y413" s="694"/>
      <c r="Z413" s="693"/>
      <c r="AA413" s="693"/>
      <c r="AB413" s="693"/>
      <c r="AC413" s="693"/>
      <c r="AD413" s="688"/>
      <c r="AE413" s="689"/>
      <c r="AF413" s="689"/>
      <c r="AG413" s="690"/>
      <c r="AH413" s="690"/>
      <c r="AI413" s="695"/>
      <c r="AJ413" s="695"/>
      <c r="AK413" s="692"/>
      <c r="AL413" s="692"/>
      <c r="AM413" s="693"/>
      <c r="AN413" s="688"/>
      <c r="AO413" s="688"/>
      <c r="AP413" s="688"/>
      <c r="AQ413" s="688"/>
      <c r="AR413" s="688"/>
      <c r="AS413" s="688"/>
      <c r="AT413" s="689"/>
      <c r="AU413" s="689"/>
      <c r="AV413" s="690"/>
      <c r="AW413" s="690"/>
      <c r="AX413" s="690"/>
      <c r="AY413" s="690"/>
      <c r="AZ413" s="690"/>
      <c r="BA413" s="690"/>
      <c r="BB413" s="695"/>
      <c r="BC413" s="695"/>
      <c r="BD413" s="695"/>
      <c r="BE413" s="695"/>
      <c r="BF413" s="692"/>
      <c r="BG413" s="692"/>
      <c r="BH413" s="692"/>
      <c r="BI413" s="692"/>
      <c r="BJ413" s="692"/>
      <c r="BK413" s="692"/>
      <c r="BL413" s="693"/>
      <c r="BM413" s="693"/>
      <c r="BN413" s="688"/>
      <c r="BO413" s="693"/>
      <c r="BP413" s="689"/>
      <c r="BQ413" s="694"/>
      <c r="BR413" s="687"/>
      <c r="BS413" s="687"/>
      <c r="BT413" s="687"/>
      <c r="BU413" s="687"/>
      <c r="BV413" s="687"/>
      <c r="BW413" s="688"/>
      <c r="BX413" s="688"/>
      <c r="BY413" s="689"/>
      <c r="BZ413" s="690"/>
      <c r="CA413" s="690"/>
      <c r="CB413" s="690"/>
      <c r="CC413" s="691"/>
      <c r="CD413" s="691"/>
      <c r="CE413" s="692"/>
      <c r="CF413" s="692"/>
      <c r="CG413" s="692"/>
      <c r="CH413" s="693"/>
    </row>
    <row r="414">
      <c r="B414" s="687"/>
      <c r="C414" s="687"/>
      <c r="D414" s="688"/>
      <c r="E414" s="689"/>
      <c r="F414" s="690"/>
      <c r="G414" s="690"/>
      <c r="H414" s="690"/>
      <c r="I414" s="691"/>
      <c r="J414" s="691"/>
      <c r="K414" s="691"/>
      <c r="L414" s="692"/>
      <c r="M414" s="692"/>
      <c r="N414" s="692"/>
      <c r="O414" s="693"/>
      <c r="P414" s="688"/>
      <c r="Q414" s="688"/>
      <c r="R414" s="688"/>
      <c r="S414" s="688"/>
      <c r="T414" s="689"/>
      <c r="U414" s="689"/>
      <c r="V414" s="694"/>
      <c r="W414" s="694"/>
      <c r="X414" s="694"/>
      <c r="Y414" s="694"/>
      <c r="Z414" s="693"/>
      <c r="AA414" s="693"/>
      <c r="AB414" s="693"/>
      <c r="AC414" s="693"/>
      <c r="AD414" s="688"/>
      <c r="AE414" s="689"/>
      <c r="AF414" s="689"/>
      <c r="AG414" s="690"/>
      <c r="AH414" s="690"/>
      <c r="AI414" s="695"/>
      <c r="AJ414" s="695"/>
      <c r="AK414" s="692"/>
      <c r="AL414" s="692"/>
      <c r="AM414" s="693"/>
      <c r="AN414" s="688"/>
      <c r="AO414" s="688"/>
      <c r="AP414" s="688"/>
      <c r="AQ414" s="688"/>
      <c r="AR414" s="688"/>
      <c r="AS414" s="688"/>
      <c r="AT414" s="689"/>
      <c r="AU414" s="689"/>
      <c r="AV414" s="690"/>
      <c r="AW414" s="690"/>
      <c r="AX414" s="690"/>
      <c r="AY414" s="690"/>
      <c r="AZ414" s="690"/>
      <c r="BA414" s="690"/>
      <c r="BB414" s="695"/>
      <c r="BC414" s="695"/>
      <c r="BD414" s="695"/>
      <c r="BE414" s="695"/>
      <c r="BF414" s="692"/>
      <c r="BG414" s="692"/>
      <c r="BH414" s="692"/>
      <c r="BI414" s="692"/>
      <c r="BJ414" s="692"/>
      <c r="BK414" s="692"/>
      <c r="BL414" s="693"/>
      <c r="BM414" s="693"/>
      <c r="BN414" s="688"/>
      <c r="BO414" s="693"/>
      <c r="BP414" s="689"/>
      <c r="BQ414" s="694"/>
      <c r="BR414" s="687"/>
      <c r="BS414" s="687"/>
      <c r="BT414" s="687"/>
      <c r="BU414" s="687"/>
      <c r="BV414" s="687"/>
      <c r="BW414" s="688"/>
      <c r="BX414" s="688"/>
      <c r="BY414" s="689"/>
      <c r="BZ414" s="690"/>
      <c r="CA414" s="690"/>
      <c r="CB414" s="690"/>
      <c r="CC414" s="691"/>
      <c r="CD414" s="691"/>
      <c r="CE414" s="692"/>
      <c r="CF414" s="692"/>
      <c r="CG414" s="692"/>
      <c r="CH414" s="693"/>
    </row>
    <row r="415">
      <c r="B415" s="687"/>
      <c r="C415" s="687"/>
      <c r="D415" s="688"/>
      <c r="E415" s="689"/>
      <c r="F415" s="690"/>
      <c r="G415" s="690"/>
      <c r="H415" s="690"/>
      <c r="I415" s="691"/>
      <c r="J415" s="691"/>
      <c r="K415" s="691"/>
      <c r="L415" s="692"/>
      <c r="M415" s="692"/>
      <c r="N415" s="692"/>
      <c r="O415" s="693"/>
      <c r="P415" s="688"/>
      <c r="Q415" s="688"/>
      <c r="R415" s="688"/>
      <c r="S415" s="688"/>
      <c r="T415" s="689"/>
      <c r="U415" s="689"/>
      <c r="V415" s="694"/>
      <c r="W415" s="694"/>
      <c r="X415" s="694"/>
      <c r="Y415" s="694"/>
      <c r="Z415" s="693"/>
      <c r="AA415" s="693"/>
      <c r="AB415" s="693"/>
      <c r="AC415" s="693"/>
      <c r="AD415" s="688"/>
      <c r="AE415" s="689"/>
      <c r="AF415" s="689"/>
      <c r="AG415" s="690"/>
      <c r="AH415" s="690"/>
      <c r="AI415" s="695"/>
      <c r="AJ415" s="695"/>
      <c r="AK415" s="692"/>
      <c r="AL415" s="692"/>
      <c r="AM415" s="693"/>
      <c r="AN415" s="688"/>
      <c r="AO415" s="688"/>
      <c r="AP415" s="688"/>
      <c r="AQ415" s="688"/>
      <c r="AR415" s="688"/>
      <c r="AS415" s="688"/>
      <c r="AT415" s="689"/>
      <c r="AU415" s="689"/>
      <c r="AV415" s="690"/>
      <c r="AW415" s="690"/>
      <c r="AX415" s="690"/>
      <c r="AY415" s="690"/>
      <c r="AZ415" s="690"/>
      <c r="BA415" s="690"/>
      <c r="BB415" s="695"/>
      <c r="BC415" s="695"/>
      <c r="BD415" s="695"/>
      <c r="BE415" s="695"/>
      <c r="BF415" s="692"/>
      <c r="BG415" s="692"/>
      <c r="BH415" s="692"/>
      <c r="BI415" s="692"/>
      <c r="BJ415" s="692"/>
      <c r="BK415" s="692"/>
      <c r="BL415" s="693"/>
      <c r="BM415" s="693"/>
      <c r="BN415" s="688"/>
      <c r="BO415" s="693"/>
      <c r="BP415" s="689"/>
      <c r="BQ415" s="694"/>
      <c r="BR415" s="687"/>
      <c r="BS415" s="687"/>
      <c r="BT415" s="687"/>
      <c r="BU415" s="687"/>
      <c r="BV415" s="687"/>
      <c r="BW415" s="688"/>
      <c r="BX415" s="688"/>
      <c r="BY415" s="689"/>
      <c r="BZ415" s="690"/>
      <c r="CA415" s="690"/>
      <c r="CB415" s="690"/>
      <c r="CC415" s="691"/>
      <c r="CD415" s="691"/>
      <c r="CE415" s="692"/>
      <c r="CF415" s="692"/>
      <c r="CG415" s="692"/>
      <c r="CH415" s="693"/>
    </row>
    <row r="416">
      <c r="B416" s="687"/>
      <c r="C416" s="687"/>
      <c r="D416" s="688"/>
      <c r="E416" s="689"/>
      <c r="F416" s="690"/>
      <c r="G416" s="690"/>
      <c r="H416" s="690"/>
      <c r="I416" s="691"/>
      <c r="J416" s="691"/>
      <c r="K416" s="691"/>
      <c r="L416" s="692"/>
      <c r="M416" s="692"/>
      <c r="N416" s="692"/>
      <c r="O416" s="693"/>
      <c r="P416" s="688"/>
      <c r="Q416" s="688"/>
      <c r="R416" s="688"/>
      <c r="S416" s="688"/>
      <c r="T416" s="689"/>
      <c r="U416" s="689"/>
      <c r="V416" s="694"/>
      <c r="W416" s="694"/>
      <c r="X416" s="694"/>
      <c r="Y416" s="694"/>
      <c r="Z416" s="693"/>
      <c r="AA416" s="693"/>
      <c r="AB416" s="693"/>
      <c r="AC416" s="693"/>
      <c r="AD416" s="688"/>
      <c r="AE416" s="689"/>
      <c r="AF416" s="689"/>
      <c r="AG416" s="690"/>
      <c r="AH416" s="690"/>
      <c r="AI416" s="695"/>
      <c r="AJ416" s="695"/>
      <c r="AK416" s="692"/>
      <c r="AL416" s="692"/>
      <c r="AM416" s="693"/>
      <c r="AN416" s="688"/>
      <c r="AO416" s="688"/>
      <c r="AP416" s="688"/>
      <c r="AQ416" s="688"/>
      <c r="AR416" s="688"/>
      <c r="AS416" s="688"/>
      <c r="AT416" s="689"/>
      <c r="AU416" s="689"/>
      <c r="AV416" s="690"/>
      <c r="AW416" s="690"/>
      <c r="AX416" s="690"/>
      <c r="AY416" s="690"/>
      <c r="AZ416" s="690"/>
      <c r="BA416" s="690"/>
      <c r="BB416" s="695"/>
      <c r="BC416" s="695"/>
      <c r="BD416" s="695"/>
      <c r="BE416" s="695"/>
      <c r="BF416" s="692"/>
      <c r="BG416" s="692"/>
      <c r="BH416" s="692"/>
      <c r="BI416" s="692"/>
      <c r="BJ416" s="692"/>
      <c r="BK416" s="692"/>
      <c r="BL416" s="693"/>
      <c r="BM416" s="693"/>
      <c r="BN416" s="688"/>
      <c r="BO416" s="693"/>
      <c r="BP416" s="689"/>
      <c r="BQ416" s="694"/>
      <c r="BR416" s="687"/>
      <c r="BS416" s="687"/>
      <c r="BT416" s="687"/>
      <c r="BU416" s="687"/>
      <c r="BV416" s="687"/>
      <c r="BW416" s="688"/>
      <c r="BX416" s="688"/>
      <c r="BY416" s="689"/>
      <c r="BZ416" s="690"/>
      <c r="CA416" s="690"/>
      <c r="CB416" s="690"/>
      <c r="CC416" s="691"/>
      <c r="CD416" s="691"/>
      <c r="CE416" s="692"/>
      <c r="CF416" s="692"/>
      <c r="CG416" s="692"/>
      <c r="CH416" s="693"/>
    </row>
    <row r="417">
      <c r="B417" s="687"/>
      <c r="C417" s="687"/>
      <c r="D417" s="688"/>
      <c r="E417" s="689"/>
      <c r="F417" s="690"/>
      <c r="G417" s="690"/>
      <c r="H417" s="690"/>
      <c r="I417" s="691"/>
      <c r="J417" s="691"/>
      <c r="K417" s="691"/>
      <c r="L417" s="692"/>
      <c r="M417" s="692"/>
      <c r="N417" s="692"/>
      <c r="O417" s="693"/>
      <c r="P417" s="688"/>
      <c r="Q417" s="688"/>
      <c r="R417" s="688"/>
      <c r="S417" s="688"/>
      <c r="T417" s="689"/>
      <c r="U417" s="689"/>
      <c r="V417" s="694"/>
      <c r="W417" s="694"/>
      <c r="X417" s="694"/>
      <c r="Y417" s="694"/>
      <c r="Z417" s="693"/>
      <c r="AA417" s="693"/>
      <c r="AB417" s="693"/>
      <c r="AC417" s="693"/>
      <c r="AD417" s="688"/>
      <c r="AE417" s="689"/>
      <c r="AF417" s="689"/>
      <c r="AG417" s="690"/>
      <c r="AH417" s="690"/>
      <c r="AI417" s="695"/>
      <c r="AJ417" s="695"/>
      <c r="AK417" s="692"/>
      <c r="AL417" s="692"/>
      <c r="AM417" s="693"/>
      <c r="AN417" s="688"/>
      <c r="AO417" s="688"/>
      <c r="AP417" s="688"/>
      <c r="AQ417" s="688"/>
      <c r="AR417" s="688"/>
      <c r="AS417" s="688"/>
      <c r="AT417" s="689"/>
      <c r="AU417" s="689"/>
      <c r="AV417" s="690"/>
      <c r="AW417" s="690"/>
      <c r="AX417" s="690"/>
      <c r="AY417" s="690"/>
      <c r="AZ417" s="690"/>
      <c r="BA417" s="690"/>
      <c r="BB417" s="695"/>
      <c r="BC417" s="695"/>
      <c r="BD417" s="695"/>
      <c r="BE417" s="695"/>
      <c r="BF417" s="692"/>
      <c r="BG417" s="692"/>
      <c r="BH417" s="692"/>
      <c r="BI417" s="692"/>
      <c r="BJ417" s="692"/>
      <c r="BK417" s="692"/>
      <c r="BL417" s="693"/>
      <c r="BM417" s="693"/>
      <c r="BN417" s="688"/>
      <c r="BO417" s="693"/>
      <c r="BP417" s="689"/>
      <c r="BQ417" s="694"/>
      <c r="BR417" s="687"/>
      <c r="BS417" s="687"/>
      <c r="BT417" s="687"/>
      <c r="BU417" s="687"/>
      <c r="BV417" s="687"/>
      <c r="BW417" s="688"/>
      <c r="BX417" s="688"/>
      <c r="BY417" s="689"/>
      <c r="BZ417" s="690"/>
      <c r="CA417" s="690"/>
      <c r="CB417" s="690"/>
      <c r="CC417" s="691"/>
      <c r="CD417" s="691"/>
      <c r="CE417" s="692"/>
      <c r="CF417" s="692"/>
      <c r="CG417" s="692"/>
      <c r="CH417" s="693"/>
    </row>
    <row r="418">
      <c r="B418" s="687"/>
      <c r="C418" s="687"/>
      <c r="D418" s="688"/>
      <c r="E418" s="689"/>
      <c r="F418" s="690"/>
      <c r="G418" s="690"/>
      <c r="H418" s="690"/>
      <c r="I418" s="691"/>
      <c r="J418" s="691"/>
      <c r="K418" s="691"/>
      <c r="L418" s="692"/>
      <c r="M418" s="692"/>
      <c r="N418" s="692"/>
      <c r="O418" s="693"/>
      <c r="P418" s="688"/>
      <c r="Q418" s="688"/>
      <c r="R418" s="688"/>
      <c r="S418" s="688"/>
      <c r="T418" s="689"/>
      <c r="U418" s="689"/>
      <c r="V418" s="694"/>
      <c r="W418" s="694"/>
      <c r="X418" s="694"/>
      <c r="Y418" s="694"/>
      <c r="Z418" s="693"/>
      <c r="AA418" s="693"/>
      <c r="AB418" s="693"/>
      <c r="AC418" s="693"/>
      <c r="AD418" s="688"/>
      <c r="AE418" s="689"/>
      <c r="AF418" s="689"/>
      <c r="AG418" s="690"/>
      <c r="AH418" s="690"/>
      <c r="AI418" s="695"/>
      <c r="AJ418" s="695"/>
      <c r="AK418" s="692"/>
      <c r="AL418" s="692"/>
      <c r="AM418" s="693"/>
      <c r="AN418" s="688"/>
      <c r="AO418" s="688"/>
      <c r="AP418" s="688"/>
      <c r="AQ418" s="688"/>
      <c r="AR418" s="688"/>
      <c r="AS418" s="688"/>
      <c r="AT418" s="689"/>
      <c r="AU418" s="689"/>
      <c r="AV418" s="690"/>
      <c r="AW418" s="690"/>
      <c r="AX418" s="690"/>
      <c r="AY418" s="690"/>
      <c r="AZ418" s="690"/>
      <c r="BA418" s="690"/>
      <c r="BB418" s="695"/>
      <c r="BC418" s="695"/>
      <c r="BD418" s="695"/>
      <c r="BE418" s="695"/>
      <c r="BF418" s="692"/>
      <c r="BG418" s="692"/>
      <c r="BH418" s="692"/>
      <c r="BI418" s="692"/>
      <c r="BJ418" s="692"/>
      <c r="BK418" s="692"/>
      <c r="BL418" s="693"/>
      <c r="BM418" s="693"/>
      <c r="BN418" s="688"/>
      <c r="BO418" s="693"/>
      <c r="BP418" s="689"/>
      <c r="BQ418" s="694"/>
      <c r="BR418" s="687"/>
      <c r="BS418" s="687"/>
      <c r="BT418" s="687"/>
      <c r="BU418" s="687"/>
      <c r="BV418" s="687"/>
      <c r="BW418" s="688"/>
      <c r="BX418" s="688"/>
      <c r="BY418" s="689"/>
      <c r="BZ418" s="690"/>
      <c r="CA418" s="690"/>
      <c r="CB418" s="690"/>
      <c r="CC418" s="691"/>
      <c r="CD418" s="691"/>
      <c r="CE418" s="692"/>
      <c r="CF418" s="692"/>
      <c r="CG418" s="692"/>
      <c r="CH418" s="693"/>
    </row>
    <row r="419">
      <c r="B419" s="687"/>
      <c r="C419" s="687"/>
      <c r="D419" s="688"/>
      <c r="E419" s="689"/>
      <c r="F419" s="690"/>
      <c r="G419" s="690"/>
      <c r="H419" s="690"/>
      <c r="I419" s="691"/>
      <c r="J419" s="691"/>
      <c r="K419" s="691"/>
      <c r="L419" s="692"/>
      <c r="M419" s="692"/>
      <c r="N419" s="692"/>
      <c r="O419" s="693"/>
      <c r="P419" s="688"/>
      <c r="Q419" s="688"/>
      <c r="R419" s="688"/>
      <c r="S419" s="688"/>
      <c r="T419" s="689"/>
      <c r="U419" s="689"/>
      <c r="V419" s="694"/>
      <c r="W419" s="694"/>
      <c r="X419" s="694"/>
      <c r="Y419" s="694"/>
      <c r="Z419" s="693"/>
      <c r="AA419" s="693"/>
      <c r="AB419" s="693"/>
      <c r="AC419" s="693"/>
      <c r="AD419" s="688"/>
      <c r="AE419" s="689"/>
      <c r="AF419" s="689"/>
      <c r="AG419" s="690"/>
      <c r="AH419" s="690"/>
      <c r="AI419" s="695"/>
      <c r="AJ419" s="695"/>
      <c r="AK419" s="692"/>
      <c r="AL419" s="692"/>
      <c r="AM419" s="693"/>
      <c r="AN419" s="688"/>
      <c r="AO419" s="688"/>
      <c r="AP419" s="688"/>
      <c r="AQ419" s="688"/>
      <c r="AR419" s="688"/>
      <c r="AS419" s="688"/>
      <c r="AT419" s="689"/>
      <c r="AU419" s="689"/>
      <c r="AV419" s="690"/>
      <c r="AW419" s="690"/>
      <c r="AX419" s="690"/>
      <c r="AY419" s="690"/>
      <c r="AZ419" s="690"/>
      <c r="BA419" s="690"/>
      <c r="BB419" s="695"/>
      <c r="BC419" s="695"/>
      <c r="BD419" s="695"/>
      <c r="BE419" s="695"/>
      <c r="BF419" s="692"/>
      <c r="BG419" s="692"/>
      <c r="BH419" s="692"/>
      <c r="BI419" s="692"/>
      <c r="BJ419" s="692"/>
      <c r="BK419" s="692"/>
      <c r="BL419" s="693"/>
      <c r="BM419" s="693"/>
      <c r="BN419" s="688"/>
      <c r="BO419" s="693"/>
      <c r="BP419" s="689"/>
      <c r="BQ419" s="694"/>
      <c r="BR419" s="687"/>
      <c r="BS419" s="687"/>
      <c r="BT419" s="687"/>
      <c r="BU419" s="687"/>
      <c r="BV419" s="687"/>
      <c r="BW419" s="688"/>
      <c r="BX419" s="688"/>
      <c r="BY419" s="689"/>
      <c r="BZ419" s="690"/>
      <c r="CA419" s="690"/>
      <c r="CB419" s="690"/>
      <c r="CC419" s="691"/>
      <c r="CD419" s="691"/>
      <c r="CE419" s="692"/>
      <c r="CF419" s="692"/>
      <c r="CG419" s="692"/>
      <c r="CH419" s="693"/>
    </row>
    <row r="420">
      <c r="B420" s="687"/>
      <c r="C420" s="687"/>
      <c r="D420" s="688"/>
      <c r="E420" s="689"/>
      <c r="F420" s="690"/>
      <c r="G420" s="690"/>
      <c r="H420" s="690"/>
      <c r="I420" s="691"/>
      <c r="J420" s="691"/>
      <c r="K420" s="691"/>
      <c r="L420" s="692"/>
      <c r="M420" s="692"/>
      <c r="N420" s="692"/>
      <c r="O420" s="693"/>
      <c r="P420" s="688"/>
      <c r="Q420" s="688"/>
      <c r="R420" s="688"/>
      <c r="S420" s="688"/>
      <c r="T420" s="689"/>
      <c r="U420" s="689"/>
      <c r="V420" s="694"/>
      <c r="W420" s="694"/>
      <c r="X420" s="694"/>
      <c r="Y420" s="694"/>
      <c r="Z420" s="693"/>
      <c r="AA420" s="693"/>
      <c r="AB420" s="693"/>
      <c r="AC420" s="693"/>
      <c r="AD420" s="688"/>
      <c r="AE420" s="689"/>
      <c r="AF420" s="689"/>
      <c r="AG420" s="690"/>
      <c r="AH420" s="690"/>
      <c r="AI420" s="695"/>
      <c r="AJ420" s="695"/>
      <c r="AK420" s="692"/>
      <c r="AL420" s="692"/>
      <c r="AM420" s="693"/>
      <c r="AN420" s="688"/>
      <c r="AO420" s="688"/>
      <c r="AP420" s="688"/>
      <c r="AQ420" s="688"/>
      <c r="AR420" s="688"/>
      <c r="AS420" s="688"/>
      <c r="AT420" s="689"/>
      <c r="AU420" s="689"/>
      <c r="AV420" s="690"/>
      <c r="AW420" s="690"/>
      <c r="AX420" s="690"/>
      <c r="AY420" s="690"/>
      <c r="AZ420" s="690"/>
      <c r="BA420" s="690"/>
      <c r="BB420" s="695"/>
      <c r="BC420" s="695"/>
      <c r="BD420" s="695"/>
      <c r="BE420" s="695"/>
      <c r="BF420" s="692"/>
      <c r="BG420" s="692"/>
      <c r="BH420" s="692"/>
      <c r="BI420" s="692"/>
      <c r="BJ420" s="692"/>
      <c r="BK420" s="692"/>
      <c r="BL420" s="693"/>
      <c r="BM420" s="693"/>
      <c r="BN420" s="688"/>
      <c r="BO420" s="693"/>
      <c r="BP420" s="689"/>
      <c r="BQ420" s="694"/>
      <c r="BR420" s="687"/>
      <c r="BS420" s="687"/>
      <c r="BT420" s="687"/>
      <c r="BU420" s="687"/>
      <c r="BV420" s="687"/>
      <c r="BW420" s="688"/>
      <c r="BX420" s="688"/>
      <c r="BY420" s="689"/>
      <c r="BZ420" s="690"/>
      <c r="CA420" s="690"/>
      <c r="CB420" s="690"/>
      <c r="CC420" s="691"/>
      <c r="CD420" s="691"/>
      <c r="CE420" s="692"/>
      <c r="CF420" s="692"/>
      <c r="CG420" s="692"/>
      <c r="CH420" s="693"/>
    </row>
    <row r="421">
      <c r="B421" s="687"/>
      <c r="C421" s="687"/>
      <c r="D421" s="688"/>
      <c r="E421" s="689"/>
      <c r="F421" s="690"/>
      <c r="G421" s="690"/>
      <c r="H421" s="690"/>
      <c r="I421" s="691"/>
      <c r="J421" s="691"/>
      <c r="K421" s="691"/>
      <c r="L421" s="692"/>
      <c r="M421" s="692"/>
      <c r="N421" s="692"/>
      <c r="O421" s="693"/>
      <c r="P421" s="688"/>
      <c r="Q421" s="688"/>
      <c r="R421" s="688"/>
      <c r="S421" s="688"/>
      <c r="T421" s="689"/>
      <c r="U421" s="689"/>
      <c r="V421" s="694"/>
      <c r="W421" s="694"/>
      <c r="X421" s="694"/>
      <c r="Y421" s="694"/>
      <c r="Z421" s="693"/>
      <c r="AA421" s="693"/>
      <c r="AB421" s="693"/>
      <c r="AC421" s="693"/>
      <c r="AD421" s="688"/>
      <c r="AE421" s="689"/>
      <c r="AF421" s="689"/>
      <c r="AG421" s="690"/>
      <c r="AH421" s="690"/>
      <c r="AI421" s="695"/>
      <c r="AJ421" s="695"/>
      <c r="AK421" s="692"/>
      <c r="AL421" s="692"/>
      <c r="AM421" s="693"/>
      <c r="AN421" s="688"/>
      <c r="AO421" s="688"/>
      <c r="AP421" s="688"/>
      <c r="AQ421" s="688"/>
      <c r="AR421" s="688"/>
      <c r="AS421" s="688"/>
      <c r="AT421" s="689"/>
      <c r="AU421" s="689"/>
      <c r="AV421" s="690"/>
      <c r="AW421" s="690"/>
      <c r="AX421" s="690"/>
      <c r="AY421" s="690"/>
      <c r="AZ421" s="690"/>
      <c r="BA421" s="690"/>
      <c r="BB421" s="695"/>
      <c r="BC421" s="695"/>
      <c r="BD421" s="695"/>
      <c r="BE421" s="695"/>
      <c r="BF421" s="692"/>
      <c r="BG421" s="692"/>
      <c r="BH421" s="692"/>
      <c r="BI421" s="692"/>
      <c r="BJ421" s="692"/>
      <c r="BK421" s="692"/>
      <c r="BL421" s="693"/>
      <c r="BM421" s="693"/>
      <c r="BN421" s="688"/>
      <c r="BO421" s="693"/>
      <c r="BP421" s="689"/>
      <c r="BQ421" s="694"/>
      <c r="BR421" s="687"/>
      <c r="BS421" s="687"/>
      <c r="BT421" s="687"/>
      <c r="BU421" s="687"/>
      <c r="BV421" s="687"/>
      <c r="BW421" s="688"/>
      <c r="BX421" s="688"/>
      <c r="BY421" s="689"/>
      <c r="BZ421" s="690"/>
      <c r="CA421" s="690"/>
      <c r="CB421" s="690"/>
      <c r="CC421" s="691"/>
      <c r="CD421" s="691"/>
      <c r="CE421" s="692"/>
      <c r="CF421" s="692"/>
      <c r="CG421" s="692"/>
      <c r="CH421" s="693"/>
    </row>
    <row r="422">
      <c r="B422" s="687"/>
      <c r="C422" s="687"/>
      <c r="D422" s="688"/>
      <c r="E422" s="689"/>
      <c r="F422" s="690"/>
      <c r="G422" s="690"/>
      <c r="H422" s="690"/>
      <c r="I422" s="691"/>
      <c r="J422" s="691"/>
      <c r="K422" s="691"/>
      <c r="L422" s="692"/>
      <c r="M422" s="692"/>
      <c r="N422" s="692"/>
      <c r="O422" s="693"/>
      <c r="P422" s="688"/>
      <c r="Q422" s="688"/>
      <c r="R422" s="688"/>
      <c r="S422" s="688"/>
      <c r="T422" s="689"/>
      <c r="U422" s="689"/>
      <c r="V422" s="694"/>
      <c r="W422" s="694"/>
      <c r="X422" s="694"/>
      <c r="Y422" s="694"/>
      <c r="Z422" s="693"/>
      <c r="AA422" s="693"/>
      <c r="AB422" s="693"/>
      <c r="AC422" s="693"/>
      <c r="AD422" s="688"/>
      <c r="AE422" s="689"/>
      <c r="AF422" s="689"/>
      <c r="AG422" s="690"/>
      <c r="AH422" s="690"/>
      <c r="AI422" s="695"/>
      <c r="AJ422" s="695"/>
      <c r="AK422" s="692"/>
      <c r="AL422" s="692"/>
      <c r="AM422" s="693"/>
      <c r="AN422" s="688"/>
      <c r="AO422" s="688"/>
      <c r="AP422" s="688"/>
      <c r="AQ422" s="688"/>
      <c r="AR422" s="688"/>
      <c r="AS422" s="688"/>
      <c r="AT422" s="689"/>
      <c r="AU422" s="689"/>
      <c r="AV422" s="690"/>
      <c r="AW422" s="690"/>
      <c r="AX422" s="690"/>
      <c r="AY422" s="690"/>
      <c r="AZ422" s="690"/>
      <c r="BA422" s="690"/>
      <c r="BB422" s="695"/>
      <c r="BC422" s="695"/>
      <c r="BD422" s="695"/>
      <c r="BE422" s="695"/>
      <c r="BF422" s="692"/>
      <c r="BG422" s="692"/>
      <c r="BH422" s="692"/>
      <c r="BI422" s="692"/>
      <c r="BJ422" s="692"/>
      <c r="BK422" s="692"/>
      <c r="BL422" s="693"/>
      <c r="BM422" s="693"/>
      <c r="BN422" s="688"/>
      <c r="BO422" s="693"/>
      <c r="BP422" s="689"/>
      <c r="BQ422" s="694"/>
      <c r="BR422" s="687"/>
      <c r="BS422" s="687"/>
      <c r="BT422" s="687"/>
      <c r="BU422" s="687"/>
      <c r="BV422" s="687"/>
      <c r="BW422" s="688"/>
      <c r="BX422" s="688"/>
      <c r="BY422" s="689"/>
      <c r="BZ422" s="690"/>
      <c r="CA422" s="690"/>
      <c r="CB422" s="690"/>
      <c r="CC422" s="691"/>
      <c r="CD422" s="691"/>
      <c r="CE422" s="692"/>
      <c r="CF422" s="692"/>
      <c r="CG422" s="692"/>
      <c r="CH422" s="693"/>
    </row>
    <row r="423">
      <c r="B423" s="687"/>
      <c r="C423" s="687"/>
      <c r="D423" s="688"/>
      <c r="E423" s="689"/>
      <c r="F423" s="690"/>
      <c r="G423" s="690"/>
      <c r="H423" s="690"/>
      <c r="I423" s="691"/>
      <c r="J423" s="691"/>
      <c r="K423" s="691"/>
      <c r="L423" s="692"/>
      <c r="M423" s="692"/>
      <c r="N423" s="692"/>
      <c r="O423" s="693"/>
      <c r="P423" s="688"/>
      <c r="Q423" s="688"/>
      <c r="R423" s="688"/>
      <c r="S423" s="688"/>
      <c r="T423" s="689"/>
      <c r="U423" s="689"/>
      <c r="V423" s="694"/>
      <c r="W423" s="694"/>
      <c r="X423" s="694"/>
      <c r="Y423" s="694"/>
      <c r="Z423" s="693"/>
      <c r="AA423" s="693"/>
      <c r="AB423" s="693"/>
      <c r="AC423" s="693"/>
      <c r="AD423" s="688"/>
      <c r="AE423" s="689"/>
      <c r="AF423" s="689"/>
      <c r="AG423" s="690"/>
      <c r="AH423" s="690"/>
      <c r="AI423" s="695"/>
      <c r="AJ423" s="695"/>
      <c r="AK423" s="692"/>
      <c r="AL423" s="692"/>
      <c r="AM423" s="693"/>
      <c r="AN423" s="688"/>
      <c r="AO423" s="688"/>
      <c r="AP423" s="688"/>
      <c r="AQ423" s="688"/>
      <c r="AR423" s="688"/>
      <c r="AS423" s="688"/>
      <c r="AT423" s="689"/>
      <c r="AU423" s="689"/>
      <c r="AV423" s="690"/>
      <c r="AW423" s="690"/>
      <c r="AX423" s="690"/>
      <c r="AY423" s="690"/>
      <c r="AZ423" s="690"/>
      <c r="BA423" s="690"/>
      <c r="BB423" s="695"/>
      <c r="BC423" s="695"/>
      <c r="BD423" s="695"/>
      <c r="BE423" s="695"/>
      <c r="BF423" s="692"/>
      <c r="BG423" s="692"/>
      <c r="BH423" s="692"/>
      <c r="BI423" s="692"/>
      <c r="BJ423" s="692"/>
      <c r="BK423" s="692"/>
      <c r="BL423" s="693"/>
      <c r="BM423" s="693"/>
      <c r="BN423" s="688"/>
      <c r="BO423" s="693"/>
      <c r="BP423" s="689"/>
      <c r="BQ423" s="694"/>
      <c r="BR423" s="687"/>
      <c r="BS423" s="687"/>
      <c r="BT423" s="687"/>
      <c r="BU423" s="687"/>
      <c r="BV423" s="687"/>
      <c r="BW423" s="688"/>
      <c r="BX423" s="688"/>
      <c r="BY423" s="689"/>
      <c r="BZ423" s="690"/>
      <c r="CA423" s="690"/>
      <c r="CB423" s="690"/>
      <c r="CC423" s="691"/>
      <c r="CD423" s="691"/>
      <c r="CE423" s="692"/>
      <c r="CF423" s="692"/>
      <c r="CG423" s="692"/>
      <c r="CH423" s="693"/>
    </row>
    <row r="424">
      <c r="B424" s="687"/>
      <c r="C424" s="687"/>
      <c r="D424" s="688"/>
      <c r="E424" s="689"/>
      <c r="F424" s="690"/>
      <c r="G424" s="690"/>
      <c r="H424" s="690"/>
      <c r="I424" s="691"/>
      <c r="J424" s="691"/>
      <c r="K424" s="691"/>
      <c r="L424" s="692"/>
      <c r="M424" s="692"/>
      <c r="N424" s="692"/>
      <c r="O424" s="693"/>
      <c r="P424" s="688"/>
      <c r="Q424" s="688"/>
      <c r="R424" s="688"/>
      <c r="S424" s="688"/>
      <c r="T424" s="689"/>
      <c r="U424" s="689"/>
      <c r="V424" s="694"/>
      <c r="W424" s="694"/>
      <c r="X424" s="694"/>
      <c r="Y424" s="694"/>
      <c r="Z424" s="693"/>
      <c r="AA424" s="693"/>
      <c r="AB424" s="693"/>
      <c r="AC424" s="693"/>
      <c r="AD424" s="688"/>
      <c r="AE424" s="689"/>
      <c r="AF424" s="689"/>
      <c r="AG424" s="690"/>
      <c r="AH424" s="690"/>
      <c r="AI424" s="695"/>
      <c r="AJ424" s="695"/>
      <c r="AK424" s="692"/>
      <c r="AL424" s="692"/>
      <c r="AM424" s="693"/>
      <c r="AN424" s="688"/>
      <c r="AO424" s="688"/>
      <c r="AP424" s="688"/>
      <c r="AQ424" s="688"/>
      <c r="AR424" s="688"/>
      <c r="AS424" s="688"/>
      <c r="AT424" s="689"/>
      <c r="AU424" s="689"/>
      <c r="AV424" s="690"/>
      <c r="AW424" s="690"/>
      <c r="AX424" s="690"/>
      <c r="AY424" s="690"/>
      <c r="AZ424" s="690"/>
      <c r="BA424" s="690"/>
      <c r="BB424" s="695"/>
      <c r="BC424" s="695"/>
      <c r="BD424" s="695"/>
      <c r="BE424" s="695"/>
      <c r="BF424" s="692"/>
      <c r="BG424" s="692"/>
      <c r="BH424" s="692"/>
      <c r="BI424" s="692"/>
      <c r="BJ424" s="692"/>
      <c r="BK424" s="692"/>
      <c r="BL424" s="693"/>
      <c r="BM424" s="693"/>
      <c r="BN424" s="688"/>
      <c r="BO424" s="693"/>
      <c r="BP424" s="689"/>
      <c r="BQ424" s="694"/>
      <c r="BR424" s="687"/>
      <c r="BS424" s="687"/>
      <c r="BT424" s="687"/>
      <c r="BU424" s="687"/>
      <c r="BV424" s="687"/>
      <c r="BW424" s="688"/>
      <c r="BX424" s="688"/>
      <c r="BY424" s="689"/>
      <c r="BZ424" s="690"/>
      <c r="CA424" s="690"/>
      <c r="CB424" s="690"/>
      <c r="CC424" s="691"/>
      <c r="CD424" s="691"/>
      <c r="CE424" s="692"/>
      <c r="CF424" s="692"/>
      <c r="CG424" s="692"/>
      <c r="CH424" s="693"/>
    </row>
    <row r="425">
      <c r="B425" s="687"/>
      <c r="C425" s="687"/>
      <c r="D425" s="688"/>
      <c r="E425" s="689"/>
      <c r="F425" s="690"/>
      <c r="G425" s="690"/>
      <c r="H425" s="690"/>
      <c r="I425" s="691"/>
      <c r="J425" s="691"/>
      <c r="K425" s="691"/>
      <c r="L425" s="692"/>
      <c r="M425" s="692"/>
      <c r="N425" s="692"/>
      <c r="O425" s="693"/>
      <c r="P425" s="688"/>
      <c r="Q425" s="688"/>
      <c r="R425" s="688"/>
      <c r="S425" s="688"/>
      <c r="T425" s="689"/>
      <c r="U425" s="689"/>
      <c r="V425" s="694"/>
      <c r="W425" s="694"/>
      <c r="X425" s="694"/>
      <c r="Y425" s="694"/>
      <c r="Z425" s="693"/>
      <c r="AA425" s="693"/>
      <c r="AB425" s="693"/>
      <c r="AC425" s="693"/>
      <c r="AD425" s="688"/>
      <c r="AE425" s="689"/>
      <c r="AF425" s="689"/>
      <c r="AG425" s="690"/>
      <c r="AH425" s="690"/>
      <c r="AI425" s="695"/>
      <c r="AJ425" s="695"/>
      <c r="AK425" s="692"/>
      <c r="AL425" s="692"/>
      <c r="AM425" s="693"/>
      <c r="AN425" s="688"/>
      <c r="AO425" s="688"/>
      <c r="AP425" s="688"/>
      <c r="AQ425" s="688"/>
      <c r="AR425" s="688"/>
      <c r="AS425" s="688"/>
      <c r="AT425" s="689"/>
      <c r="AU425" s="689"/>
      <c r="AV425" s="690"/>
      <c r="AW425" s="690"/>
      <c r="AX425" s="690"/>
      <c r="AY425" s="690"/>
      <c r="AZ425" s="690"/>
      <c r="BA425" s="690"/>
      <c r="BB425" s="695"/>
      <c r="BC425" s="695"/>
      <c r="BD425" s="695"/>
      <c r="BE425" s="695"/>
      <c r="BF425" s="692"/>
      <c r="BG425" s="692"/>
      <c r="BH425" s="692"/>
      <c r="BI425" s="692"/>
      <c r="BJ425" s="692"/>
      <c r="BK425" s="692"/>
      <c r="BL425" s="693"/>
      <c r="BM425" s="693"/>
      <c r="BN425" s="688"/>
      <c r="BO425" s="693"/>
      <c r="BP425" s="689"/>
      <c r="BQ425" s="694"/>
      <c r="BR425" s="687"/>
      <c r="BS425" s="687"/>
      <c r="BT425" s="687"/>
      <c r="BU425" s="687"/>
      <c r="BV425" s="687"/>
      <c r="BW425" s="688"/>
      <c r="BX425" s="688"/>
      <c r="BY425" s="689"/>
      <c r="BZ425" s="690"/>
      <c r="CA425" s="690"/>
      <c r="CB425" s="690"/>
      <c r="CC425" s="691"/>
      <c r="CD425" s="691"/>
      <c r="CE425" s="692"/>
      <c r="CF425" s="692"/>
      <c r="CG425" s="692"/>
      <c r="CH425" s="693"/>
    </row>
    <row r="426">
      <c r="B426" s="687"/>
      <c r="C426" s="687"/>
      <c r="D426" s="688"/>
      <c r="E426" s="689"/>
      <c r="F426" s="690"/>
      <c r="G426" s="690"/>
      <c r="H426" s="690"/>
      <c r="I426" s="691"/>
      <c r="J426" s="691"/>
      <c r="K426" s="691"/>
      <c r="L426" s="692"/>
      <c r="M426" s="692"/>
      <c r="N426" s="692"/>
      <c r="O426" s="693"/>
      <c r="P426" s="688"/>
      <c r="Q426" s="688"/>
      <c r="R426" s="688"/>
      <c r="S426" s="688"/>
      <c r="T426" s="689"/>
      <c r="U426" s="689"/>
      <c r="V426" s="694"/>
      <c r="W426" s="694"/>
      <c r="X426" s="694"/>
      <c r="Y426" s="694"/>
      <c r="Z426" s="693"/>
      <c r="AA426" s="693"/>
      <c r="AB426" s="693"/>
      <c r="AC426" s="693"/>
      <c r="AD426" s="688"/>
      <c r="AE426" s="689"/>
      <c r="AF426" s="689"/>
      <c r="AG426" s="690"/>
      <c r="AH426" s="690"/>
      <c r="AI426" s="695"/>
      <c r="AJ426" s="695"/>
      <c r="AK426" s="692"/>
      <c r="AL426" s="692"/>
      <c r="AM426" s="693"/>
      <c r="AN426" s="688"/>
      <c r="AO426" s="688"/>
      <c r="AP426" s="688"/>
      <c r="AQ426" s="688"/>
      <c r="AR426" s="688"/>
      <c r="AS426" s="688"/>
      <c r="AT426" s="689"/>
      <c r="AU426" s="689"/>
      <c r="AV426" s="690"/>
      <c r="AW426" s="690"/>
      <c r="AX426" s="690"/>
      <c r="AY426" s="690"/>
      <c r="AZ426" s="690"/>
      <c r="BA426" s="690"/>
      <c r="BB426" s="695"/>
      <c r="BC426" s="695"/>
      <c r="BD426" s="695"/>
      <c r="BE426" s="695"/>
      <c r="BF426" s="692"/>
      <c r="BG426" s="692"/>
      <c r="BH426" s="692"/>
      <c r="BI426" s="692"/>
      <c r="BJ426" s="692"/>
      <c r="BK426" s="692"/>
      <c r="BL426" s="693"/>
      <c r="BM426" s="693"/>
      <c r="BN426" s="688"/>
      <c r="BO426" s="693"/>
      <c r="BP426" s="689"/>
      <c r="BQ426" s="694"/>
      <c r="BR426" s="687"/>
      <c r="BS426" s="687"/>
      <c r="BT426" s="687"/>
      <c r="BU426" s="687"/>
      <c r="BV426" s="687"/>
      <c r="BW426" s="688"/>
      <c r="BX426" s="688"/>
      <c r="BY426" s="689"/>
      <c r="BZ426" s="690"/>
      <c r="CA426" s="690"/>
      <c r="CB426" s="690"/>
      <c r="CC426" s="691"/>
      <c r="CD426" s="691"/>
      <c r="CE426" s="692"/>
      <c r="CF426" s="692"/>
      <c r="CG426" s="692"/>
      <c r="CH426" s="693"/>
    </row>
    <row r="427">
      <c r="B427" s="687"/>
      <c r="C427" s="687"/>
      <c r="D427" s="688"/>
      <c r="E427" s="689"/>
      <c r="F427" s="690"/>
      <c r="G427" s="690"/>
      <c r="H427" s="690"/>
      <c r="I427" s="691"/>
      <c r="J427" s="691"/>
      <c r="K427" s="691"/>
      <c r="L427" s="692"/>
      <c r="M427" s="692"/>
      <c r="N427" s="692"/>
      <c r="O427" s="693"/>
      <c r="P427" s="688"/>
      <c r="Q427" s="688"/>
      <c r="R427" s="688"/>
      <c r="S427" s="688"/>
      <c r="T427" s="689"/>
      <c r="U427" s="689"/>
      <c r="V427" s="694"/>
      <c r="W427" s="694"/>
      <c r="X427" s="694"/>
      <c r="Y427" s="694"/>
      <c r="Z427" s="693"/>
      <c r="AA427" s="693"/>
      <c r="AB427" s="693"/>
      <c r="AC427" s="693"/>
      <c r="AD427" s="688"/>
      <c r="AE427" s="689"/>
      <c r="AF427" s="689"/>
      <c r="AG427" s="690"/>
      <c r="AH427" s="690"/>
      <c r="AI427" s="695"/>
      <c r="AJ427" s="695"/>
      <c r="AK427" s="692"/>
      <c r="AL427" s="692"/>
      <c r="AM427" s="693"/>
      <c r="AN427" s="688"/>
      <c r="AO427" s="688"/>
      <c r="AP427" s="688"/>
      <c r="AQ427" s="688"/>
      <c r="AR427" s="688"/>
      <c r="AS427" s="688"/>
      <c r="AT427" s="689"/>
      <c r="AU427" s="689"/>
      <c r="AV427" s="690"/>
      <c r="AW427" s="690"/>
      <c r="AX427" s="690"/>
      <c r="AY427" s="690"/>
      <c r="AZ427" s="690"/>
      <c r="BA427" s="690"/>
      <c r="BB427" s="695"/>
      <c r="BC427" s="695"/>
      <c r="BD427" s="695"/>
      <c r="BE427" s="695"/>
      <c r="BF427" s="692"/>
      <c r="BG427" s="692"/>
      <c r="BH427" s="692"/>
      <c r="BI427" s="692"/>
      <c r="BJ427" s="692"/>
      <c r="BK427" s="692"/>
      <c r="BL427" s="693"/>
      <c r="BM427" s="693"/>
      <c r="BN427" s="688"/>
      <c r="BO427" s="693"/>
      <c r="BP427" s="689"/>
      <c r="BQ427" s="694"/>
      <c r="BR427" s="687"/>
      <c r="BS427" s="687"/>
      <c r="BT427" s="687"/>
      <c r="BU427" s="687"/>
      <c r="BV427" s="687"/>
      <c r="BW427" s="688"/>
      <c r="BX427" s="688"/>
      <c r="BY427" s="689"/>
      <c r="BZ427" s="690"/>
      <c r="CA427" s="690"/>
      <c r="CB427" s="690"/>
      <c r="CC427" s="691"/>
      <c r="CD427" s="691"/>
      <c r="CE427" s="692"/>
      <c r="CF427" s="692"/>
      <c r="CG427" s="692"/>
      <c r="CH427" s="693"/>
    </row>
    <row r="428">
      <c r="B428" s="687"/>
      <c r="C428" s="687"/>
      <c r="D428" s="688"/>
      <c r="E428" s="689"/>
      <c r="F428" s="690"/>
      <c r="G428" s="690"/>
      <c r="H428" s="690"/>
      <c r="I428" s="691"/>
      <c r="J428" s="691"/>
      <c r="K428" s="691"/>
      <c r="L428" s="692"/>
      <c r="M428" s="692"/>
      <c r="N428" s="692"/>
      <c r="O428" s="693"/>
      <c r="P428" s="688"/>
      <c r="Q428" s="688"/>
      <c r="R428" s="688"/>
      <c r="S428" s="688"/>
      <c r="T428" s="689"/>
      <c r="U428" s="689"/>
      <c r="V428" s="694"/>
      <c r="W428" s="694"/>
      <c r="X428" s="694"/>
      <c r="Y428" s="694"/>
      <c r="Z428" s="693"/>
      <c r="AA428" s="693"/>
      <c r="AB428" s="693"/>
      <c r="AC428" s="693"/>
      <c r="AD428" s="688"/>
      <c r="AE428" s="689"/>
      <c r="AF428" s="689"/>
      <c r="AG428" s="690"/>
      <c r="AH428" s="690"/>
      <c r="AI428" s="695"/>
      <c r="AJ428" s="695"/>
      <c r="AK428" s="692"/>
      <c r="AL428" s="692"/>
      <c r="AM428" s="693"/>
      <c r="AN428" s="688"/>
      <c r="AO428" s="688"/>
      <c r="AP428" s="688"/>
      <c r="AQ428" s="688"/>
      <c r="AR428" s="688"/>
      <c r="AS428" s="688"/>
      <c r="AT428" s="689"/>
      <c r="AU428" s="689"/>
      <c r="AV428" s="690"/>
      <c r="AW428" s="690"/>
      <c r="AX428" s="690"/>
      <c r="AY428" s="690"/>
      <c r="AZ428" s="690"/>
      <c r="BA428" s="690"/>
      <c r="BB428" s="695"/>
      <c r="BC428" s="695"/>
      <c r="BD428" s="695"/>
      <c r="BE428" s="695"/>
      <c r="BF428" s="692"/>
      <c r="BG428" s="692"/>
      <c r="BH428" s="692"/>
      <c r="BI428" s="692"/>
      <c r="BJ428" s="692"/>
      <c r="BK428" s="692"/>
      <c r="BL428" s="693"/>
      <c r="BM428" s="693"/>
      <c r="BN428" s="688"/>
      <c r="BO428" s="693"/>
      <c r="BP428" s="689"/>
      <c r="BQ428" s="694"/>
      <c r="BR428" s="687"/>
      <c r="BS428" s="687"/>
      <c r="BT428" s="687"/>
      <c r="BU428" s="687"/>
      <c r="BV428" s="687"/>
      <c r="BW428" s="688"/>
      <c r="BX428" s="688"/>
      <c r="BY428" s="689"/>
      <c r="BZ428" s="690"/>
      <c r="CA428" s="690"/>
      <c r="CB428" s="690"/>
      <c r="CC428" s="691"/>
      <c r="CD428" s="691"/>
      <c r="CE428" s="692"/>
      <c r="CF428" s="692"/>
      <c r="CG428" s="692"/>
      <c r="CH428" s="693"/>
    </row>
    <row r="429">
      <c r="B429" s="687"/>
      <c r="C429" s="687"/>
      <c r="D429" s="688"/>
      <c r="E429" s="689"/>
      <c r="F429" s="690"/>
      <c r="G429" s="690"/>
      <c r="H429" s="690"/>
      <c r="I429" s="691"/>
      <c r="J429" s="691"/>
      <c r="K429" s="691"/>
      <c r="L429" s="692"/>
      <c r="M429" s="692"/>
      <c r="N429" s="692"/>
      <c r="O429" s="693"/>
      <c r="P429" s="688"/>
      <c r="Q429" s="688"/>
      <c r="R429" s="688"/>
      <c r="S429" s="688"/>
      <c r="T429" s="689"/>
      <c r="U429" s="689"/>
      <c r="V429" s="694"/>
      <c r="W429" s="694"/>
      <c r="X429" s="694"/>
      <c r="Y429" s="694"/>
      <c r="Z429" s="693"/>
      <c r="AA429" s="693"/>
      <c r="AB429" s="693"/>
      <c r="AC429" s="693"/>
      <c r="AD429" s="688"/>
      <c r="AE429" s="689"/>
      <c r="AF429" s="689"/>
      <c r="AG429" s="690"/>
      <c r="AH429" s="690"/>
      <c r="AI429" s="695"/>
      <c r="AJ429" s="695"/>
      <c r="AK429" s="692"/>
      <c r="AL429" s="692"/>
      <c r="AM429" s="693"/>
      <c r="AN429" s="688"/>
      <c r="AO429" s="688"/>
      <c r="AP429" s="688"/>
      <c r="AQ429" s="688"/>
      <c r="AR429" s="688"/>
      <c r="AS429" s="688"/>
      <c r="AT429" s="689"/>
      <c r="AU429" s="689"/>
      <c r="AV429" s="690"/>
      <c r="AW429" s="690"/>
      <c r="AX429" s="690"/>
      <c r="AY429" s="690"/>
      <c r="AZ429" s="690"/>
      <c r="BA429" s="690"/>
      <c r="BB429" s="695"/>
      <c r="BC429" s="695"/>
      <c r="BD429" s="695"/>
      <c r="BE429" s="695"/>
      <c r="BF429" s="692"/>
      <c r="BG429" s="692"/>
      <c r="BH429" s="692"/>
      <c r="BI429" s="692"/>
      <c r="BJ429" s="692"/>
      <c r="BK429" s="692"/>
      <c r="BL429" s="693"/>
      <c r="BM429" s="693"/>
      <c r="BN429" s="688"/>
      <c r="BO429" s="693"/>
      <c r="BP429" s="689"/>
      <c r="BQ429" s="694"/>
      <c r="BR429" s="687"/>
      <c r="BS429" s="687"/>
      <c r="BT429" s="687"/>
      <c r="BU429" s="687"/>
      <c r="BV429" s="687"/>
      <c r="BW429" s="688"/>
      <c r="BX429" s="688"/>
      <c r="BY429" s="689"/>
      <c r="BZ429" s="690"/>
      <c r="CA429" s="690"/>
      <c r="CB429" s="690"/>
      <c r="CC429" s="691"/>
      <c r="CD429" s="691"/>
      <c r="CE429" s="692"/>
      <c r="CF429" s="692"/>
      <c r="CG429" s="692"/>
      <c r="CH429" s="693"/>
    </row>
    <row r="430">
      <c r="B430" s="687"/>
      <c r="C430" s="687"/>
      <c r="D430" s="688"/>
      <c r="E430" s="689"/>
      <c r="F430" s="690"/>
      <c r="G430" s="690"/>
      <c r="H430" s="690"/>
      <c r="I430" s="691"/>
      <c r="J430" s="691"/>
      <c r="K430" s="691"/>
      <c r="L430" s="692"/>
      <c r="M430" s="692"/>
      <c r="N430" s="692"/>
      <c r="O430" s="693"/>
      <c r="P430" s="688"/>
      <c r="Q430" s="688"/>
      <c r="R430" s="688"/>
      <c r="S430" s="688"/>
      <c r="T430" s="689"/>
      <c r="U430" s="689"/>
      <c r="V430" s="694"/>
      <c r="W430" s="694"/>
      <c r="X430" s="694"/>
      <c r="Y430" s="694"/>
      <c r="Z430" s="693"/>
      <c r="AA430" s="693"/>
      <c r="AB430" s="693"/>
      <c r="AC430" s="693"/>
      <c r="AD430" s="688"/>
      <c r="AE430" s="689"/>
      <c r="AF430" s="689"/>
      <c r="AG430" s="690"/>
      <c r="AH430" s="690"/>
      <c r="AI430" s="695"/>
      <c r="AJ430" s="695"/>
      <c r="AK430" s="692"/>
      <c r="AL430" s="692"/>
      <c r="AM430" s="693"/>
      <c r="AN430" s="688"/>
      <c r="AO430" s="688"/>
      <c r="AP430" s="688"/>
      <c r="AQ430" s="688"/>
      <c r="AR430" s="688"/>
      <c r="AS430" s="688"/>
      <c r="AT430" s="689"/>
      <c r="AU430" s="689"/>
      <c r="AV430" s="690"/>
      <c r="AW430" s="690"/>
      <c r="AX430" s="690"/>
      <c r="AY430" s="690"/>
      <c r="AZ430" s="690"/>
      <c r="BA430" s="690"/>
      <c r="BB430" s="695"/>
      <c r="BC430" s="695"/>
      <c r="BD430" s="695"/>
      <c r="BE430" s="695"/>
      <c r="BF430" s="692"/>
      <c r="BG430" s="692"/>
      <c r="BH430" s="692"/>
      <c r="BI430" s="692"/>
      <c r="BJ430" s="692"/>
      <c r="BK430" s="692"/>
      <c r="BL430" s="693"/>
      <c r="BM430" s="693"/>
      <c r="BN430" s="688"/>
      <c r="BO430" s="693"/>
      <c r="BP430" s="689"/>
      <c r="BQ430" s="694"/>
      <c r="BR430" s="687"/>
      <c r="BS430" s="687"/>
      <c r="BT430" s="687"/>
      <c r="BU430" s="687"/>
      <c r="BV430" s="687"/>
      <c r="BW430" s="688"/>
      <c r="BX430" s="688"/>
      <c r="BY430" s="689"/>
      <c r="BZ430" s="690"/>
      <c r="CA430" s="690"/>
      <c r="CB430" s="690"/>
      <c r="CC430" s="691"/>
      <c r="CD430" s="691"/>
      <c r="CE430" s="692"/>
      <c r="CF430" s="692"/>
      <c r="CG430" s="692"/>
      <c r="CH430" s="693"/>
    </row>
    <row r="431">
      <c r="B431" s="687"/>
      <c r="C431" s="687"/>
      <c r="D431" s="688"/>
      <c r="E431" s="689"/>
      <c r="F431" s="690"/>
      <c r="G431" s="690"/>
      <c r="H431" s="690"/>
      <c r="I431" s="691"/>
      <c r="J431" s="691"/>
      <c r="K431" s="691"/>
      <c r="L431" s="692"/>
      <c r="M431" s="692"/>
      <c r="N431" s="692"/>
      <c r="O431" s="693"/>
      <c r="P431" s="688"/>
      <c r="Q431" s="688"/>
      <c r="R431" s="688"/>
      <c r="S431" s="688"/>
      <c r="T431" s="689"/>
      <c r="U431" s="689"/>
      <c r="V431" s="694"/>
      <c r="W431" s="694"/>
      <c r="X431" s="694"/>
      <c r="Y431" s="694"/>
      <c r="Z431" s="693"/>
      <c r="AA431" s="693"/>
      <c r="AB431" s="693"/>
      <c r="AC431" s="693"/>
      <c r="AD431" s="688"/>
      <c r="AE431" s="689"/>
      <c r="AF431" s="689"/>
      <c r="AG431" s="690"/>
      <c r="AH431" s="690"/>
      <c r="AI431" s="695"/>
      <c r="AJ431" s="695"/>
      <c r="AK431" s="692"/>
      <c r="AL431" s="692"/>
      <c r="AM431" s="693"/>
      <c r="AN431" s="688"/>
      <c r="AO431" s="688"/>
      <c r="AP431" s="688"/>
      <c r="AQ431" s="688"/>
      <c r="AR431" s="688"/>
      <c r="AS431" s="688"/>
      <c r="AT431" s="689"/>
      <c r="AU431" s="689"/>
      <c r="AV431" s="690"/>
      <c r="AW431" s="690"/>
      <c r="AX431" s="690"/>
      <c r="AY431" s="690"/>
      <c r="AZ431" s="690"/>
      <c r="BA431" s="690"/>
      <c r="BB431" s="695"/>
      <c r="BC431" s="695"/>
      <c r="BD431" s="695"/>
      <c r="BE431" s="695"/>
      <c r="BF431" s="692"/>
      <c r="BG431" s="692"/>
      <c r="BH431" s="692"/>
      <c r="BI431" s="692"/>
      <c r="BJ431" s="692"/>
      <c r="BK431" s="692"/>
      <c r="BL431" s="693"/>
      <c r="BM431" s="693"/>
      <c r="BN431" s="688"/>
      <c r="BO431" s="693"/>
      <c r="BP431" s="689"/>
      <c r="BQ431" s="694"/>
      <c r="BR431" s="687"/>
      <c r="BS431" s="687"/>
      <c r="BT431" s="687"/>
      <c r="BU431" s="687"/>
      <c r="BV431" s="687"/>
      <c r="BW431" s="688"/>
      <c r="BX431" s="688"/>
      <c r="BY431" s="689"/>
      <c r="BZ431" s="690"/>
      <c r="CA431" s="690"/>
      <c r="CB431" s="690"/>
      <c r="CC431" s="691"/>
      <c r="CD431" s="691"/>
      <c r="CE431" s="692"/>
      <c r="CF431" s="692"/>
      <c r="CG431" s="692"/>
      <c r="CH431" s="693"/>
    </row>
    <row r="432">
      <c r="B432" s="687"/>
      <c r="C432" s="687"/>
      <c r="D432" s="688"/>
      <c r="E432" s="689"/>
      <c r="F432" s="690"/>
      <c r="G432" s="690"/>
      <c r="H432" s="690"/>
      <c r="I432" s="691"/>
      <c r="J432" s="691"/>
      <c r="K432" s="691"/>
      <c r="L432" s="692"/>
      <c r="M432" s="692"/>
      <c r="N432" s="692"/>
      <c r="O432" s="693"/>
      <c r="P432" s="688"/>
      <c r="Q432" s="688"/>
      <c r="R432" s="688"/>
      <c r="S432" s="688"/>
      <c r="T432" s="689"/>
      <c r="U432" s="689"/>
      <c r="V432" s="694"/>
      <c r="W432" s="694"/>
      <c r="X432" s="694"/>
      <c r="Y432" s="694"/>
      <c r="Z432" s="693"/>
      <c r="AA432" s="693"/>
      <c r="AB432" s="693"/>
      <c r="AC432" s="693"/>
      <c r="AD432" s="688"/>
      <c r="AE432" s="689"/>
      <c r="AF432" s="689"/>
      <c r="AG432" s="690"/>
      <c r="AH432" s="690"/>
      <c r="AI432" s="695"/>
      <c r="AJ432" s="695"/>
      <c r="AK432" s="692"/>
      <c r="AL432" s="692"/>
      <c r="AM432" s="693"/>
      <c r="AN432" s="688"/>
      <c r="AO432" s="688"/>
      <c r="AP432" s="688"/>
      <c r="AQ432" s="688"/>
      <c r="AR432" s="688"/>
      <c r="AS432" s="688"/>
      <c r="AT432" s="689"/>
      <c r="AU432" s="689"/>
      <c r="AV432" s="690"/>
      <c r="AW432" s="690"/>
      <c r="AX432" s="690"/>
      <c r="AY432" s="690"/>
      <c r="AZ432" s="690"/>
      <c r="BA432" s="690"/>
      <c r="BB432" s="695"/>
      <c r="BC432" s="695"/>
      <c r="BD432" s="695"/>
      <c r="BE432" s="695"/>
      <c r="BF432" s="692"/>
      <c r="BG432" s="692"/>
      <c r="BH432" s="692"/>
      <c r="BI432" s="692"/>
      <c r="BJ432" s="692"/>
      <c r="BK432" s="692"/>
      <c r="BL432" s="693"/>
      <c r="BM432" s="693"/>
      <c r="BN432" s="688"/>
      <c r="BO432" s="693"/>
      <c r="BP432" s="689"/>
      <c r="BQ432" s="694"/>
      <c r="BR432" s="687"/>
      <c r="BS432" s="687"/>
      <c r="BT432" s="687"/>
      <c r="BU432" s="687"/>
      <c r="BV432" s="687"/>
      <c r="BW432" s="688"/>
      <c r="BX432" s="688"/>
      <c r="BY432" s="689"/>
      <c r="BZ432" s="690"/>
      <c r="CA432" s="690"/>
      <c r="CB432" s="690"/>
      <c r="CC432" s="691"/>
      <c r="CD432" s="691"/>
      <c r="CE432" s="692"/>
      <c r="CF432" s="692"/>
      <c r="CG432" s="692"/>
      <c r="CH432" s="693"/>
    </row>
    <row r="433">
      <c r="B433" s="687"/>
      <c r="C433" s="687"/>
      <c r="D433" s="688"/>
      <c r="E433" s="689"/>
      <c r="F433" s="690"/>
      <c r="G433" s="690"/>
      <c r="H433" s="690"/>
      <c r="I433" s="691"/>
      <c r="J433" s="691"/>
      <c r="K433" s="691"/>
      <c r="L433" s="692"/>
      <c r="M433" s="692"/>
      <c r="N433" s="692"/>
      <c r="O433" s="693"/>
      <c r="P433" s="688"/>
      <c r="Q433" s="688"/>
      <c r="R433" s="688"/>
      <c r="S433" s="688"/>
      <c r="T433" s="689"/>
      <c r="U433" s="689"/>
      <c r="V433" s="694"/>
      <c r="W433" s="694"/>
      <c r="X433" s="694"/>
      <c r="Y433" s="694"/>
      <c r="Z433" s="693"/>
      <c r="AA433" s="693"/>
      <c r="AB433" s="693"/>
      <c r="AC433" s="693"/>
      <c r="AD433" s="688"/>
      <c r="AE433" s="689"/>
      <c r="AF433" s="689"/>
      <c r="AG433" s="690"/>
      <c r="AH433" s="690"/>
      <c r="AI433" s="695"/>
      <c r="AJ433" s="695"/>
      <c r="AK433" s="692"/>
      <c r="AL433" s="692"/>
      <c r="AM433" s="693"/>
      <c r="AN433" s="688"/>
      <c r="AO433" s="688"/>
      <c r="AP433" s="688"/>
      <c r="AQ433" s="688"/>
      <c r="AR433" s="688"/>
      <c r="AS433" s="688"/>
      <c r="AT433" s="689"/>
      <c r="AU433" s="689"/>
      <c r="AV433" s="690"/>
      <c r="AW433" s="690"/>
      <c r="AX433" s="690"/>
      <c r="AY433" s="690"/>
      <c r="AZ433" s="690"/>
      <c r="BA433" s="690"/>
      <c r="BB433" s="695"/>
      <c r="BC433" s="695"/>
      <c r="BD433" s="695"/>
      <c r="BE433" s="695"/>
      <c r="BF433" s="692"/>
      <c r="BG433" s="692"/>
      <c r="BH433" s="692"/>
      <c r="BI433" s="692"/>
      <c r="BJ433" s="692"/>
      <c r="BK433" s="692"/>
      <c r="BL433" s="693"/>
      <c r="BM433" s="693"/>
      <c r="BN433" s="688"/>
      <c r="BO433" s="693"/>
      <c r="BP433" s="689"/>
      <c r="BQ433" s="694"/>
      <c r="BR433" s="687"/>
      <c r="BS433" s="687"/>
      <c r="BT433" s="687"/>
      <c r="BU433" s="687"/>
      <c r="BV433" s="687"/>
      <c r="BW433" s="688"/>
      <c r="BX433" s="688"/>
      <c r="BY433" s="689"/>
      <c r="BZ433" s="690"/>
      <c r="CA433" s="690"/>
      <c r="CB433" s="690"/>
      <c r="CC433" s="691"/>
      <c r="CD433" s="691"/>
      <c r="CE433" s="692"/>
      <c r="CF433" s="692"/>
      <c r="CG433" s="692"/>
      <c r="CH433" s="693"/>
    </row>
    <row r="434">
      <c r="B434" s="687"/>
      <c r="C434" s="687"/>
      <c r="D434" s="688"/>
      <c r="E434" s="689"/>
      <c r="F434" s="690"/>
      <c r="G434" s="690"/>
      <c r="H434" s="690"/>
      <c r="I434" s="691"/>
      <c r="J434" s="691"/>
      <c r="K434" s="691"/>
      <c r="L434" s="692"/>
      <c r="M434" s="692"/>
      <c r="N434" s="692"/>
      <c r="O434" s="693"/>
      <c r="P434" s="688"/>
      <c r="Q434" s="688"/>
      <c r="R434" s="688"/>
      <c r="S434" s="688"/>
      <c r="T434" s="689"/>
      <c r="U434" s="689"/>
      <c r="V434" s="694"/>
      <c r="W434" s="694"/>
      <c r="X434" s="694"/>
      <c r="Y434" s="694"/>
      <c r="Z434" s="693"/>
      <c r="AA434" s="693"/>
      <c r="AB434" s="693"/>
      <c r="AC434" s="693"/>
      <c r="AD434" s="688"/>
      <c r="AE434" s="689"/>
      <c r="AF434" s="689"/>
      <c r="AG434" s="690"/>
      <c r="AH434" s="690"/>
      <c r="AI434" s="695"/>
      <c r="AJ434" s="695"/>
      <c r="AK434" s="692"/>
      <c r="AL434" s="692"/>
      <c r="AM434" s="693"/>
      <c r="AN434" s="688"/>
      <c r="AO434" s="688"/>
      <c r="AP434" s="688"/>
      <c r="AQ434" s="688"/>
      <c r="AR434" s="688"/>
      <c r="AS434" s="688"/>
      <c r="AT434" s="689"/>
      <c r="AU434" s="689"/>
      <c r="AV434" s="690"/>
      <c r="AW434" s="690"/>
      <c r="AX434" s="690"/>
      <c r="AY434" s="690"/>
      <c r="AZ434" s="690"/>
      <c r="BA434" s="690"/>
      <c r="BB434" s="695"/>
      <c r="BC434" s="695"/>
      <c r="BD434" s="695"/>
      <c r="BE434" s="695"/>
      <c r="BF434" s="692"/>
      <c r="BG434" s="692"/>
      <c r="BH434" s="692"/>
      <c r="BI434" s="692"/>
      <c r="BJ434" s="692"/>
      <c r="BK434" s="692"/>
      <c r="BL434" s="693"/>
      <c r="BM434" s="693"/>
      <c r="BN434" s="688"/>
      <c r="BO434" s="693"/>
      <c r="BP434" s="689"/>
      <c r="BQ434" s="694"/>
      <c r="BR434" s="687"/>
      <c r="BS434" s="687"/>
      <c r="BT434" s="687"/>
      <c r="BU434" s="687"/>
      <c r="BV434" s="687"/>
      <c r="BW434" s="688"/>
      <c r="BX434" s="688"/>
      <c r="BY434" s="689"/>
      <c r="BZ434" s="690"/>
      <c r="CA434" s="690"/>
      <c r="CB434" s="690"/>
      <c r="CC434" s="691"/>
      <c r="CD434" s="691"/>
      <c r="CE434" s="692"/>
      <c r="CF434" s="692"/>
      <c r="CG434" s="692"/>
      <c r="CH434" s="693"/>
    </row>
    <row r="435">
      <c r="B435" s="687"/>
      <c r="C435" s="687"/>
      <c r="D435" s="688"/>
      <c r="E435" s="689"/>
      <c r="F435" s="690"/>
      <c r="G435" s="690"/>
      <c r="H435" s="690"/>
      <c r="I435" s="691"/>
      <c r="J435" s="691"/>
      <c r="K435" s="691"/>
      <c r="L435" s="692"/>
      <c r="M435" s="692"/>
      <c r="N435" s="692"/>
      <c r="O435" s="693"/>
      <c r="P435" s="688"/>
      <c r="Q435" s="688"/>
      <c r="R435" s="688"/>
      <c r="S435" s="688"/>
      <c r="T435" s="689"/>
      <c r="U435" s="689"/>
      <c r="V435" s="694"/>
      <c r="W435" s="694"/>
      <c r="X435" s="694"/>
      <c r="Y435" s="694"/>
      <c r="Z435" s="693"/>
      <c r="AA435" s="693"/>
      <c r="AB435" s="693"/>
      <c r="AC435" s="693"/>
      <c r="AD435" s="688"/>
      <c r="AE435" s="689"/>
      <c r="AF435" s="689"/>
      <c r="AG435" s="690"/>
      <c r="AH435" s="690"/>
      <c r="AI435" s="695"/>
      <c r="AJ435" s="695"/>
      <c r="AK435" s="692"/>
      <c r="AL435" s="692"/>
      <c r="AM435" s="693"/>
      <c r="AN435" s="688"/>
      <c r="AO435" s="688"/>
      <c r="AP435" s="688"/>
      <c r="AQ435" s="688"/>
      <c r="AR435" s="688"/>
      <c r="AS435" s="688"/>
      <c r="AT435" s="689"/>
      <c r="AU435" s="689"/>
      <c r="AV435" s="690"/>
      <c r="AW435" s="690"/>
      <c r="AX435" s="690"/>
      <c r="AY435" s="690"/>
      <c r="AZ435" s="690"/>
      <c r="BA435" s="690"/>
      <c r="BB435" s="695"/>
      <c r="BC435" s="695"/>
      <c r="BD435" s="695"/>
      <c r="BE435" s="695"/>
      <c r="BF435" s="692"/>
      <c r="BG435" s="692"/>
      <c r="BH435" s="692"/>
      <c r="BI435" s="692"/>
      <c r="BJ435" s="692"/>
      <c r="BK435" s="692"/>
      <c r="BL435" s="693"/>
      <c r="BM435" s="693"/>
      <c r="BN435" s="688"/>
      <c r="BO435" s="693"/>
      <c r="BP435" s="689"/>
      <c r="BQ435" s="694"/>
      <c r="BR435" s="687"/>
      <c r="BS435" s="687"/>
      <c r="BT435" s="687"/>
      <c r="BU435" s="687"/>
      <c r="BV435" s="687"/>
      <c r="BW435" s="688"/>
      <c r="BX435" s="688"/>
      <c r="BY435" s="689"/>
      <c r="BZ435" s="690"/>
      <c r="CA435" s="690"/>
      <c r="CB435" s="690"/>
      <c r="CC435" s="691"/>
      <c r="CD435" s="691"/>
      <c r="CE435" s="692"/>
      <c r="CF435" s="692"/>
      <c r="CG435" s="692"/>
      <c r="CH435" s="693"/>
    </row>
    <row r="436">
      <c r="B436" s="687"/>
      <c r="C436" s="687"/>
      <c r="D436" s="688"/>
      <c r="E436" s="689"/>
      <c r="F436" s="690"/>
      <c r="G436" s="690"/>
      <c r="H436" s="690"/>
      <c r="I436" s="691"/>
      <c r="J436" s="691"/>
      <c r="K436" s="691"/>
      <c r="L436" s="692"/>
      <c r="M436" s="692"/>
      <c r="N436" s="692"/>
      <c r="O436" s="693"/>
      <c r="P436" s="688"/>
      <c r="Q436" s="688"/>
      <c r="R436" s="688"/>
      <c r="S436" s="688"/>
      <c r="T436" s="689"/>
      <c r="U436" s="689"/>
      <c r="V436" s="694"/>
      <c r="W436" s="694"/>
      <c r="X436" s="694"/>
      <c r="Y436" s="694"/>
      <c r="Z436" s="693"/>
      <c r="AA436" s="693"/>
      <c r="AB436" s="693"/>
      <c r="AC436" s="693"/>
      <c r="AD436" s="688"/>
      <c r="AE436" s="689"/>
      <c r="AF436" s="689"/>
      <c r="AG436" s="690"/>
      <c r="AH436" s="690"/>
      <c r="AI436" s="695"/>
      <c r="AJ436" s="695"/>
      <c r="AK436" s="692"/>
      <c r="AL436" s="692"/>
      <c r="AM436" s="693"/>
      <c r="AN436" s="688"/>
      <c r="AO436" s="688"/>
      <c r="AP436" s="688"/>
      <c r="AQ436" s="688"/>
      <c r="AR436" s="688"/>
      <c r="AS436" s="688"/>
      <c r="AT436" s="689"/>
      <c r="AU436" s="689"/>
      <c r="AV436" s="690"/>
      <c r="AW436" s="690"/>
      <c r="AX436" s="690"/>
      <c r="AY436" s="690"/>
      <c r="AZ436" s="690"/>
      <c r="BA436" s="690"/>
      <c r="BB436" s="695"/>
      <c r="BC436" s="695"/>
      <c r="BD436" s="695"/>
      <c r="BE436" s="695"/>
      <c r="BF436" s="692"/>
      <c r="BG436" s="692"/>
      <c r="BH436" s="692"/>
      <c r="BI436" s="692"/>
      <c r="BJ436" s="692"/>
      <c r="BK436" s="692"/>
      <c r="BL436" s="693"/>
      <c r="BM436" s="693"/>
      <c r="BN436" s="688"/>
      <c r="BO436" s="693"/>
      <c r="BP436" s="689"/>
      <c r="BQ436" s="694"/>
      <c r="BR436" s="687"/>
      <c r="BS436" s="687"/>
      <c r="BT436" s="687"/>
      <c r="BU436" s="687"/>
      <c r="BV436" s="687"/>
      <c r="BW436" s="688"/>
      <c r="BX436" s="688"/>
      <c r="BY436" s="689"/>
      <c r="BZ436" s="690"/>
      <c r="CA436" s="690"/>
      <c r="CB436" s="690"/>
      <c r="CC436" s="691"/>
      <c r="CD436" s="691"/>
      <c r="CE436" s="692"/>
      <c r="CF436" s="692"/>
      <c r="CG436" s="692"/>
      <c r="CH436" s="693"/>
    </row>
    <row r="437">
      <c r="B437" s="687"/>
      <c r="C437" s="687"/>
      <c r="D437" s="688"/>
      <c r="E437" s="689"/>
      <c r="F437" s="690"/>
      <c r="G437" s="690"/>
      <c r="H437" s="690"/>
      <c r="I437" s="691"/>
      <c r="J437" s="691"/>
      <c r="K437" s="691"/>
      <c r="L437" s="692"/>
      <c r="M437" s="692"/>
      <c r="N437" s="692"/>
      <c r="O437" s="693"/>
      <c r="P437" s="688"/>
      <c r="Q437" s="688"/>
      <c r="R437" s="688"/>
      <c r="S437" s="688"/>
      <c r="T437" s="689"/>
      <c r="U437" s="689"/>
      <c r="V437" s="694"/>
      <c r="W437" s="694"/>
      <c r="X437" s="694"/>
      <c r="Y437" s="694"/>
      <c r="Z437" s="693"/>
      <c r="AA437" s="693"/>
      <c r="AB437" s="693"/>
      <c r="AC437" s="693"/>
      <c r="AD437" s="688"/>
      <c r="AE437" s="689"/>
      <c r="AF437" s="689"/>
      <c r="AG437" s="690"/>
      <c r="AH437" s="690"/>
      <c r="AI437" s="695"/>
      <c r="AJ437" s="695"/>
      <c r="AK437" s="692"/>
      <c r="AL437" s="692"/>
      <c r="AM437" s="693"/>
      <c r="AN437" s="688"/>
      <c r="AO437" s="688"/>
      <c r="AP437" s="688"/>
      <c r="AQ437" s="688"/>
      <c r="AR437" s="688"/>
      <c r="AS437" s="688"/>
      <c r="AT437" s="689"/>
      <c r="AU437" s="689"/>
      <c r="AV437" s="690"/>
      <c r="AW437" s="690"/>
      <c r="AX437" s="690"/>
      <c r="AY437" s="690"/>
      <c r="AZ437" s="690"/>
      <c r="BA437" s="690"/>
      <c r="BB437" s="695"/>
      <c r="BC437" s="695"/>
      <c r="BD437" s="695"/>
      <c r="BE437" s="695"/>
      <c r="BF437" s="692"/>
      <c r="BG437" s="692"/>
      <c r="BH437" s="692"/>
      <c r="BI437" s="692"/>
      <c r="BJ437" s="692"/>
      <c r="BK437" s="692"/>
      <c r="BL437" s="693"/>
      <c r="BM437" s="693"/>
      <c r="BN437" s="688"/>
      <c r="BO437" s="693"/>
      <c r="BP437" s="689"/>
      <c r="BQ437" s="694"/>
      <c r="BR437" s="687"/>
      <c r="BS437" s="687"/>
      <c r="BT437" s="687"/>
      <c r="BU437" s="687"/>
      <c r="BV437" s="687"/>
      <c r="BW437" s="688"/>
      <c r="BX437" s="688"/>
      <c r="BY437" s="689"/>
      <c r="BZ437" s="690"/>
      <c r="CA437" s="690"/>
      <c r="CB437" s="690"/>
      <c r="CC437" s="691"/>
      <c r="CD437" s="691"/>
      <c r="CE437" s="692"/>
      <c r="CF437" s="692"/>
      <c r="CG437" s="692"/>
      <c r="CH437" s="693"/>
    </row>
    <row r="438">
      <c r="B438" s="687"/>
      <c r="C438" s="687"/>
      <c r="D438" s="688"/>
      <c r="E438" s="689"/>
      <c r="F438" s="690"/>
      <c r="G438" s="690"/>
      <c r="H438" s="690"/>
      <c r="I438" s="691"/>
      <c r="J438" s="691"/>
      <c r="K438" s="691"/>
      <c r="L438" s="692"/>
      <c r="M438" s="692"/>
      <c r="N438" s="692"/>
      <c r="O438" s="693"/>
      <c r="P438" s="688"/>
      <c r="Q438" s="688"/>
      <c r="R438" s="688"/>
      <c r="S438" s="688"/>
      <c r="T438" s="689"/>
      <c r="U438" s="689"/>
      <c r="V438" s="694"/>
      <c r="W438" s="694"/>
      <c r="X438" s="694"/>
      <c r="Y438" s="694"/>
      <c r="Z438" s="693"/>
      <c r="AA438" s="693"/>
      <c r="AB438" s="693"/>
      <c r="AC438" s="693"/>
      <c r="AD438" s="688"/>
      <c r="AE438" s="689"/>
      <c r="AF438" s="689"/>
      <c r="AG438" s="690"/>
      <c r="AH438" s="690"/>
      <c r="AI438" s="695"/>
      <c r="AJ438" s="695"/>
      <c r="AK438" s="692"/>
      <c r="AL438" s="692"/>
      <c r="AM438" s="693"/>
      <c r="AN438" s="688"/>
      <c r="AO438" s="688"/>
      <c r="AP438" s="688"/>
      <c r="AQ438" s="688"/>
      <c r="AR438" s="688"/>
      <c r="AS438" s="688"/>
      <c r="AT438" s="689"/>
      <c r="AU438" s="689"/>
      <c r="AV438" s="690"/>
      <c r="AW438" s="690"/>
      <c r="AX438" s="690"/>
      <c r="AY438" s="690"/>
      <c r="AZ438" s="690"/>
      <c r="BA438" s="690"/>
      <c r="BB438" s="695"/>
      <c r="BC438" s="695"/>
      <c r="BD438" s="695"/>
      <c r="BE438" s="695"/>
      <c r="BF438" s="692"/>
      <c r="BG438" s="692"/>
      <c r="BH438" s="692"/>
      <c r="BI438" s="692"/>
      <c r="BJ438" s="692"/>
      <c r="BK438" s="692"/>
      <c r="BL438" s="693"/>
      <c r="BM438" s="693"/>
      <c r="BN438" s="688"/>
      <c r="BO438" s="693"/>
      <c r="BP438" s="689"/>
      <c r="BQ438" s="694"/>
      <c r="BR438" s="687"/>
      <c r="BS438" s="687"/>
      <c r="BT438" s="687"/>
      <c r="BU438" s="687"/>
      <c r="BV438" s="687"/>
      <c r="BW438" s="688"/>
      <c r="BX438" s="688"/>
      <c r="BY438" s="689"/>
      <c r="BZ438" s="690"/>
      <c r="CA438" s="690"/>
      <c r="CB438" s="690"/>
      <c r="CC438" s="691"/>
      <c r="CD438" s="691"/>
      <c r="CE438" s="692"/>
      <c r="CF438" s="692"/>
      <c r="CG438" s="692"/>
      <c r="CH438" s="693"/>
    </row>
    <row r="439">
      <c r="B439" s="687"/>
      <c r="C439" s="687"/>
      <c r="D439" s="688"/>
      <c r="E439" s="689"/>
      <c r="F439" s="690"/>
      <c r="G439" s="690"/>
      <c r="H439" s="690"/>
      <c r="I439" s="691"/>
      <c r="J439" s="691"/>
      <c r="K439" s="691"/>
      <c r="L439" s="692"/>
      <c r="M439" s="692"/>
      <c r="N439" s="692"/>
      <c r="O439" s="693"/>
      <c r="P439" s="688"/>
      <c r="Q439" s="688"/>
      <c r="R439" s="688"/>
      <c r="S439" s="688"/>
      <c r="T439" s="689"/>
      <c r="U439" s="689"/>
      <c r="V439" s="694"/>
      <c r="W439" s="694"/>
      <c r="X439" s="694"/>
      <c r="Y439" s="694"/>
      <c r="Z439" s="693"/>
      <c r="AA439" s="693"/>
      <c r="AB439" s="693"/>
      <c r="AC439" s="693"/>
      <c r="AD439" s="688"/>
      <c r="AE439" s="689"/>
      <c r="AF439" s="689"/>
      <c r="AG439" s="690"/>
      <c r="AH439" s="690"/>
      <c r="AI439" s="695"/>
      <c r="AJ439" s="695"/>
      <c r="AK439" s="692"/>
      <c r="AL439" s="692"/>
      <c r="AM439" s="693"/>
      <c r="AN439" s="688"/>
      <c r="AO439" s="688"/>
      <c r="AP439" s="688"/>
      <c r="AQ439" s="688"/>
      <c r="AR439" s="688"/>
      <c r="AS439" s="688"/>
      <c r="AT439" s="689"/>
      <c r="AU439" s="689"/>
      <c r="AV439" s="690"/>
      <c r="AW439" s="690"/>
      <c r="AX439" s="690"/>
      <c r="AY439" s="690"/>
      <c r="AZ439" s="690"/>
      <c r="BA439" s="690"/>
      <c r="BB439" s="695"/>
      <c r="BC439" s="695"/>
      <c r="BD439" s="695"/>
      <c r="BE439" s="695"/>
      <c r="BF439" s="692"/>
      <c r="BG439" s="692"/>
      <c r="BH439" s="692"/>
      <c r="BI439" s="692"/>
      <c r="BJ439" s="692"/>
      <c r="BK439" s="692"/>
      <c r="BL439" s="693"/>
      <c r="BM439" s="693"/>
      <c r="BN439" s="688"/>
      <c r="BO439" s="693"/>
      <c r="BP439" s="689"/>
      <c r="BQ439" s="694"/>
      <c r="BR439" s="687"/>
      <c r="BS439" s="687"/>
      <c r="BT439" s="687"/>
      <c r="BU439" s="687"/>
      <c r="BV439" s="687"/>
      <c r="BW439" s="688"/>
      <c r="BX439" s="688"/>
      <c r="BY439" s="689"/>
      <c r="BZ439" s="690"/>
      <c r="CA439" s="690"/>
      <c r="CB439" s="690"/>
      <c r="CC439" s="691"/>
      <c r="CD439" s="691"/>
      <c r="CE439" s="692"/>
      <c r="CF439" s="692"/>
      <c r="CG439" s="692"/>
      <c r="CH439" s="693"/>
    </row>
    <row r="440">
      <c r="B440" s="687"/>
      <c r="C440" s="687"/>
      <c r="D440" s="688"/>
      <c r="E440" s="689"/>
      <c r="F440" s="690"/>
      <c r="G440" s="690"/>
      <c r="H440" s="690"/>
      <c r="I440" s="691"/>
      <c r="J440" s="691"/>
      <c r="K440" s="691"/>
      <c r="L440" s="692"/>
      <c r="M440" s="692"/>
      <c r="N440" s="692"/>
      <c r="O440" s="693"/>
      <c r="P440" s="688"/>
      <c r="Q440" s="688"/>
      <c r="R440" s="688"/>
      <c r="S440" s="688"/>
      <c r="T440" s="689"/>
      <c r="U440" s="689"/>
      <c r="V440" s="694"/>
      <c r="W440" s="694"/>
      <c r="X440" s="694"/>
      <c r="Y440" s="694"/>
      <c r="Z440" s="693"/>
      <c r="AA440" s="693"/>
      <c r="AB440" s="693"/>
      <c r="AC440" s="693"/>
      <c r="AD440" s="688"/>
      <c r="AE440" s="689"/>
      <c r="AF440" s="689"/>
      <c r="AG440" s="690"/>
      <c r="AH440" s="690"/>
      <c r="AI440" s="695"/>
      <c r="AJ440" s="695"/>
      <c r="AK440" s="692"/>
      <c r="AL440" s="692"/>
      <c r="AM440" s="693"/>
      <c r="AN440" s="688"/>
      <c r="AO440" s="688"/>
      <c r="AP440" s="688"/>
      <c r="AQ440" s="688"/>
      <c r="AR440" s="688"/>
      <c r="AS440" s="688"/>
      <c r="AT440" s="689"/>
      <c r="AU440" s="689"/>
      <c r="AV440" s="690"/>
      <c r="AW440" s="690"/>
      <c r="AX440" s="690"/>
      <c r="AY440" s="690"/>
      <c r="AZ440" s="690"/>
      <c r="BA440" s="690"/>
      <c r="BB440" s="695"/>
      <c r="BC440" s="695"/>
      <c r="BD440" s="695"/>
      <c r="BE440" s="695"/>
      <c r="BF440" s="692"/>
      <c r="BG440" s="692"/>
      <c r="BH440" s="692"/>
      <c r="BI440" s="692"/>
      <c r="BJ440" s="692"/>
      <c r="BK440" s="692"/>
      <c r="BL440" s="693"/>
      <c r="BM440" s="693"/>
      <c r="BN440" s="688"/>
      <c r="BO440" s="693"/>
      <c r="BP440" s="689"/>
      <c r="BQ440" s="694"/>
      <c r="BR440" s="687"/>
      <c r="BS440" s="687"/>
      <c r="BT440" s="687"/>
      <c r="BU440" s="687"/>
      <c r="BV440" s="687"/>
      <c r="BW440" s="688"/>
      <c r="BX440" s="688"/>
      <c r="BY440" s="689"/>
      <c r="BZ440" s="690"/>
      <c r="CA440" s="690"/>
      <c r="CB440" s="690"/>
      <c r="CC440" s="691"/>
      <c r="CD440" s="691"/>
      <c r="CE440" s="692"/>
      <c r="CF440" s="692"/>
      <c r="CG440" s="692"/>
      <c r="CH440" s="693"/>
    </row>
    <row r="441">
      <c r="B441" s="687"/>
      <c r="C441" s="687"/>
      <c r="D441" s="688"/>
      <c r="E441" s="689"/>
      <c r="F441" s="690"/>
      <c r="G441" s="690"/>
      <c r="H441" s="690"/>
      <c r="I441" s="691"/>
      <c r="J441" s="691"/>
      <c r="K441" s="691"/>
      <c r="L441" s="692"/>
      <c r="M441" s="692"/>
      <c r="N441" s="692"/>
      <c r="O441" s="693"/>
      <c r="P441" s="688"/>
      <c r="Q441" s="688"/>
      <c r="R441" s="688"/>
      <c r="S441" s="688"/>
      <c r="T441" s="689"/>
      <c r="U441" s="689"/>
      <c r="V441" s="694"/>
      <c r="W441" s="694"/>
      <c r="X441" s="694"/>
      <c r="Y441" s="694"/>
      <c r="Z441" s="693"/>
      <c r="AA441" s="693"/>
      <c r="AB441" s="693"/>
      <c r="AC441" s="693"/>
      <c r="AD441" s="688"/>
      <c r="AE441" s="689"/>
      <c r="AF441" s="689"/>
      <c r="AG441" s="690"/>
      <c r="AH441" s="690"/>
      <c r="AI441" s="695"/>
      <c r="AJ441" s="695"/>
      <c r="AK441" s="692"/>
      <c r="AL441" s="692"/>
      <c r="AM441" s="693"/>
      <c r="AN441" s="688"/>
      <c r="AO441" s="688"/>
      <c r="AP441" s="688"/>
      <c r="AQ441" s="688"/>
      <c r="AR441" s="688"/>
      <c r="AS441" s="688"/>
      <c r="AT441" s="689"/>
      <c r="AU441" s="689"/>
      <c r="AV441" s="690"/>
      <c r="AW441" s="690"/>
      <c r="AX441" s="690"/>
      <c r="AY441" s="690"/>
      <c r="AZ441" s="690"/>
      <c r="BA441" s="690"/>
      <c r="BB441" s="695"/>
      <c r="BC441" s="695"/>
      <c r="BD441" s="695"/>
      <c r="BE441" s="695"/>
      <c r="BF441" s="692"/>
      <c r="BG441" s="692"/>
      <c r="BH441" s="692"/>
      <c r="BI441" s="692"/>
      <c r="BJ441" s="692"/>
      <c r="BK441" s="692"/>
      <c r="BL441" s="693"/>
      <c r="BM441" s="693"/>
      <c r="BN441" s="688"/>
      <c r="BO441" s="693"/>
      <c r="BP441" s="689"/>
      <c r="BQ441" s="694"/>
      <c r="BR441" s="687"/>
      <c r="BS441" s="687"/>
      <c r="BT441" s="687"/>
      <c r="BU441" s="687"/>
      <c r="BV441" s="687"/>
      <c r="BW441" s="688"/>
      <c r="BX441" s="688"/>
      <c r="BY441" s="689"/>
      <c r="BZ441" s="690"/>
      <c r="CA441" s="690"/>
      <c r="CB441" s="690"/>
      <c r="CC441" s="691"/>
      <c r="CD441" s="691"/>
      <c r="CE441" s="692"/>
      <c r="CF441" s="692"/>
      <c r="CG441" s="692"/>
      <c r="CH441" s="693"/>
    </row>
    <row r="442">
      <c r="B442" s="687"/>
      <c r="C442" s="687"/>
      <c r="D442" s="688"/>
      <c r="E442" s="689"/>
      <c r="F442" s="690"/>
      <c r="G442" s="690"/>
      <c r="H442" s="690"/>
      <c r="I442" s="691"/>
      <c r="J442" s="691"/>
      <c r="K442" s="691"/>
      <c r="L442" s="692"/>
      <c r="M442" s="692"/>
      <c r="N442" s="692"/>
      <c r="O442" s="693"/>
      <c r="P442" s="688"/>
      <c r="Q442" s="688"/>
      <c r="R442" s="688"/>
      <c r="S442" s="688"/>
      <c r="T442" s="689"/>
      <c r="U442" s="689"/>
      <c r="V442" s="694"/>
      <c r="W442" s="694"/>
      <c r="X442" s="694"/>
      <c r="Y442" s="694"/>
      <c r="Z442" s="693"/>
      <c r="AA442" s="693"/>
      <c r="AB442" s="693"/>
      <c r="AC442" s="693"/>
      <c r="AD442" s="688"/>
      <c r="AE442" s="689"/>
      <c r="AF442" s="689"/>
      <c r="AG442" s="690"/>
      <c r="AH442" s="690"/>
      <c r="AI442" s="695"/>
      <c r="AJ442" s="695"/>
      <c r="AK442" s="692"/>
      <c r="AL442" s="692"/>
      <c r="AM442" s="693"/>
      <c r="AN442" s="688"/>
      <c r="AO442" s="688"/>
      <c r="AP442" s="688"/>
      <c r="AQ442" s="688"/>
      <c r="AR442" s="688"/>
      <c r="AS442" s="688"/>
      <c r="AT442" s="689"/>
      <c r="AU442" s="689"/>
      <c r="AV442" s="690"/>
      <c r="AW442" s="690"/>
      <c r="AX442" s="690"/>
      <c r="AY442" s="690"/>
      <c r="AZ442" s="690"/>
      <c r="BA442" s="690"/>
      <c r="BB442" s="695"/>
      <c r="BC442" s="695"/>
      <c r="BD442" s="695"/>
      <c r="BE442" s="695"/>
      <c r="BF442" s="692"/>
      <c r="BG442" s="692"/>
      <c r="BH442" s="692"/>
      <c r="BI442" s="692"/>
      <c r="BJ442" s="692"/>
      <c r="BK442" s="692"/>
      <c r="BL442" s="693"/>
      <c r="BM442" s="693"/>
      <c r="BN442" s="688"/>
      <c r="BO442" s="693"/>
      <c r="BP442" s="689"/>
      <c r="BQ442" s="694"/>
      <c r="BR442" s="687"/>
      <c r="BS442" s="687"/>
      <c r="BT442" s="687"/>
      <c r="BU442" s="687"/>
      <c r="BV442" s="687"/>
      <c r="BW442" s="688"/>
      <c r="BX442" s="688"/>
      <c r="BY442" s="689"/>
      <c r="BZ442" s="690"/>
      <c r="CA442" s="690"/>
      <c r="CB442" s="690"/>
      <c r="CC442" s="691"/>
      <c r="CD442" s="691"/>
      <c r="CE442" s="692"/>
      <c r="CF442" s="692"/>
      <c r="CG442" s="692"/>
      <c r="CH442" s="693"/>
    </row>
    <row r="443">
      <c r="B443" s="687"/>
      <c r="C443" s="687"/>
      <c r="D443" s="688"/>
      <c r="E443" s="689"/>
      <c r="F443" s="690"/>
      <c r="G443" s="690"/>
      <c r="H443" s="690"/>
      <c r="I443" s="691"/>
      <c r="J443" s="691"/>
      <c r="K443" s="691"/>
      <c r="L443" s="692"/>
      <c r="M443" s="692"/>
      <c r="N443" s="692"/>
      <c r="O443" s="693"/>
      <c r="P443" s="688"/>
      <c r="Q443" s="688"/>
      <c r="R443" s="688"/>
      <c r="S443" s="688"/>
      <c r="T443" s="689"/>
      <c r="U443" s="689"/>
      <c r="V443" s="694"/>
      <c r="W443" s="694"/>
      <c r="X443" s="694"/>
      <c r="Y443" s="694"/>
      <c r="Z443" s="693"/>
      <c r="AA443" s="693"/>
      <c r="AB443" s="693"/>
      <c r="AC443" s="693"/>
      <c r="AD443" s="688"/>
      <c r="AE443" s="689"/>
      <c r="AF443" s="689"/>
      <c r="AG443" s="690"/>
      <c r="AH443" s="690"/>
      <c r="AI443" s="695"/>
      <c r="AJ443" s="695"/>
      <c r="AK443" s="692"/>
      <c r="AL443" s="692"/>
      <c r="AM443" s="693"/>
      <c r="AN443" s="688"/>
      <c r="AO443" s="688"/>
      <c r="AP443" s="688"/>
      <c r="AQ443" s="688"/>
      <c r="AR443" s="688"/>
      <c r="AS443" s="688"/>
      <c r="AT443" s="689"/>
      <c r="AU443" s="689"/>
      <c r="AV443" s="690"/>
      <c r="AW443" s="690"/>
      <c r="AX443" s="690"/>
      <c r="AY443" s="690"/>
      <c r="AZ443" s="690"/>
      <c r="BA443" s="690"/>
      <c r="BB443" s="695"/>
      <c r="BC443" s="695"/>
      <c r="BD443" s="695"/>
      <c r="BE443" s="695"/>
      <c r="BF443" s="692"/>
      <c r="BG443" s="692"/>
      <c r="BH443" s="692"/>
      <c r="BI443" s="692"/>
      <c r="BJ443" s="692"/>
      <c r="BK443" s="692"/>
      <c r="BL443" s="693"/>
      <c r="BM443" s="693"/>
      <c r="BN443" s="688"/>
      <c r="BO443" s="693"/>
      <c r="BP443" s="689"/>
      <c r="BQ443" s="694"/>
      <c r="BR443" s="687"/>
      <c r="BS443" s="687"/>
      <c r="BT443" s="687"/>
      <c r="BU443" s="687"/>
      <c r="BV443" s="687"/>
      <c r="BW443" s="688"/>
      <c r="BX443" s="688"/>
      <c r="BY443" s="689"/>
      <c r="BZ443" s="690"/>
      <c r="CA443" s="690"/>
      <c r="CB443" s="690"/>
      <c r="CC443" s="691"/>
      <c r="CD443" s="691"/>
      <c r="CE443" s="692"/>
      <c r="CF443" s="692"/>
      <c r="CG443" s="692"/>
      <c r="CH443" s="693"/>
    </row>
    <row r="444">
      <c r="B444" s="687"/>
      <c r="C444" s="687"/>
      <c r="D444" s="688"/>
      <c r="E444" s="689"/>
      <c r="F444" s="690"/>
      <c r="G444" s="690"/>
      <c r="H444" s="690"/>
      <c r="I444" s="691"/>
      <c r="J444" s="691"/>
      <c r="K444" s="691"/>
      <c r="L444" s="692"/>
      <c r="M444" s="692"/>
      <c r="N444" s="692"/>
      <c r="O444" s="693"/>
      <c r="P444" s="688"/>
      <c r="Q444" s="688"/>
      <c r="R444" s="688"/>
      <c r="S444" s="688"/>
      <c r="T444" s="689"/>
      <c r="U444" s="689"/>
      <c r="V444" s="694"/>
      <c r="W444" s="694"/>
      <c r="X444" s="694"/>
      <c r="Y444" s="694"/>
      <c r="Z444" s="693"/>
      <c r="AA444" s="693"/>
      <c r="AB444" s="693"/>
      <c r="AC444" s="693"/>
      <c r="AD444" s="688"/>
      <c r="AE444" s="689"/>
      <c r="AF444" s="689"/>
      <c r="AG444" s="690"/>
      <c r="AH444" s="690"/>
      <c r="AI444" s="695"/>
      <c r="AJ444" s="695"/>
      <c r="AK444" s="692"/>
      <c r="AL444" s="692"/>
      <c r="AM444" s="693"/>
      <c r="AN444" s="688"/>
      <c r="AO444" s="688"/>
      <c r="AP444" s="688"/>
      <c r="AQ444" s="688"/>
      <c r="AR444" s="688"/>
      <c r="AS444" s="688"/>
      <c r="AT444" s="689"/>
      <c r="AU444" s="689"/>
      <c r="AV444" s="690"/>
      <c r="AW444" s="690"/>
      <c r="AX444" s="690"/>
      <c r="AY444" s="690"/>
      <c r="AZ444" s="690"/>
      <c r="BA444" s="690"/>
      <c r="BB444" s="695"/>
      <c r="BC444" s="695"/>
      <c r="BD444" s="695"/>
      <c r="BE444" s="695"/>
      <c r="BF444" s="692"/>
      <c r="BG444" s="692"/>
      <c r="BH444" s="692"/>
      <c r="BI444" s="692"/>
      <c r="BJ444" s="692"/>
      <c r="BK444" s="692"/>
      <c r="BL444" s="693"/>
      <c r="BM444" s="693"/>
      <c r="BN444" s="688"/>
      <c r="BO444" s="693"/>
      <c r="BP444" s="689"/>
      <c r="BQ444" s="694"/>
      <c r="BR444" s="687"/>
      <c r="BS444" s="687"/>
      <c r="BT444" s="687"/>
      <c r="BU444" s="687"/>
      <c r="BV444" s="687"/>
      <c r="BW444" s="688"/>
      <c r="BX444" s="688"/>
      <c r="BY444" s="689"/>
      <c r="BZ444" s="690"/>
      <c r="CA444" s="690"/>
      <c r="CB444" s="690"/>
      <c r="CC444" s="691"/>
      <c r="CD444" s="691"/>
      <c r="CE444" s="692"/>
      <c r="CF444" s="692"/>
      <c r="CG444" s="692"/>
      <c r="CH444" s="693"/>
    </row>
    <row r="445">
      <c r="B445" s="687"/>
      <c r="C445" s="687"/>
      <c r="D445" s="688"/>
      <c r="E445" s="689"/>
      <c r="F445" s="690"/>
      <c r="G445" s="690"/>
      <c r="H445" s="690"/>
      <c r="I445" s="691"/>
      <c r="J445" s="691"/>
      <c r="K445" s="691"/>
      <c r="L445" s="692"/>
      <c r="M445" s="692"/>
      <c r="N445" s="692"/>
      <c r="O445" s="693"/>
      <c r="P445" s="688"/>
      <c r="Q445" s="688"/>
      <c r="R445" s="688"/>
      <c r="S445" s="688"/>
      <c r="T445" s="689"/>
      <c r="U445" s="689"/>
      <c r="V445" s="694"/>
      <c r="W445" s="694"/>
      <c r="X445" s="694"/>
      <c r="Y445" s="694"/>
      <c r="Z445" s="693"/>
      <c r="AA445" s="693"/>
      <c r="AB445" s="693"/>
      <c r="AC445" s="693"/>
      <c r="AD445" s="688"/>
      <c r="AE445" s="689"/>
      <c r="AF445" s="689"/>
      <c r="AG445" s="690"/>
      <c r="AH445" s="690"/>
      <c r="AI445" s="695"/>
      <c r="AJ445" s="695"/>
      <c r="AK445" s="692"/>
      <c r="AL445" s="692"/>
      <c r="AM445" s="693"/>
      <c r="AN445" s="688"/>
      <c r="AO445" s="688"/>
      <c r="AP445" s="688"/>
      <c r="AQ445" s="688"/>
      <c r="AR445" s="688"/>
      <c r="AS445" s="688"/>
      <c r="AT445" s="689"/>
      <c r="AU445" s="689"/>
      <c r="AV445" s="690"/>
      <c r="AW445" s="690"/>
      <c r="AX445" s="690"/>
      <c r="AY445" s="690"/>
      <c r="AZ445" s="690"/>
      <c r="BA445" s="690"/>
      <c r="BB445" s="695"/>
      <c r="BC445" s="695"/>
      <c r="BD445" s="695"/>
      <c r="BE445" s="695"/>
      <c r="BF445" s="692"/>
      <c r="BG445" s="692"/>
      <c r="BH445" s="692"/>
      <c r="BI445" s="692"/>
      <c r="BJ445" s="692"/>
      <c r="BK445" s="692"/>
      <c r="BL445" s="693"/>
      <c r="BM445" s="693"/>
      <c r="BN445" s="688"/>
      <c r="BO445" s="693"/>
      <c r="BP445" s="689"/>
      <c r="BQ445" s="694"/>
      <c r="BR445" s="687"/>
      <c r="BS445" s="687"/>
      <c r="BT445" s="687"/>
      <c r="BU445" s="687"/>
      <c r="BV445" s="687"/>
      <c r="BW445" s="688"/>
      <c r="BX445" s="688"/>
      <c r="BY445" s="689"/>
      <c r="BZ445" s="690"/>
      <c r="CA445" s="690"/>
      <c r="CB445" s="690"/>
      <c r="CC445" s="691"/>
      <c r="CD445" s="691"/>
      <c r="CE445" s="692"/>
      <c r="CF445" s="692"/>
      <c r="CG445" s="692"/>
      <c r="CH445" s="693"/>
    </row>
    <row r="446">
      <c r="B446" s="687"/>
      <c r="C446" s="687"/>
      <c r="D446" s="688"/>
      <c r="E446" s="689"/>
      <c r="F446" s="690"/>
      <c r="G446" s="690"/>
      <c r="H446" s="690"/>
      <c r="I446" s="691"/>
      <c r="J446" s="691"/>
      <c r="K446" s="691"/>
      <c r="L446" s="692"/>
      <c r="M446" s="692"/>
      <c r="N446" s="692"/>
      <c r="O446" s="693"/>
      <c r="P446" s="688"/>
      <c r="Q446" s="688"/>
      <c r="R446" s="688"/>
      <c r="S446" s="688"/>
      <c r="T446" s="689"/>
      <c r="U446" s="689"/>
      <c r="V446" s="694"/>
      <c r="W446" s="694"/>
      <c r="X446" s="694"/>
      <c r="Y446" s="694"/>
      <c r="Z446" s="693"/>
      <c r="AA446" s="693"/>
      <c r="AB446" s="693"/>
      <c r="AC446" s="693"/>
      <c r="AD446" s="688"/>
      <c r="AE446" s="689"/>
      <c r="AF446" s="689"/>
      <c r="AG446" s="690"/>
      <c r="AH446" s="690"/>
      <c r="AI446" s="695"/>
      <c r="AJ446" s="695"/>
      <c r="AK446" s="692"/>
      <c r="AL446" s="692"/>
      <c r="AM446" s="693"/>
      <c r="AN446" s="688"/>
      <c r="AO446" s="688"/>
      <c r="AP446" s="688"/>
      <c r="AQ446" s="688"/>
      <c r="AR446" s="688"/>
      <c r="AS446" s="688"/>
      <c r="AT446" s="689"/>
      <c r="AU446" s="689"/>
      <c r="AV446" s="690"/>
      <c r="AW446" s="690"/>
      <c r="AX446" s="690"/>
      <c r="AY446" s="690"/>
      <c r="AZ446" s="690"/>
      <c r="BA446" s="690"/>
      <c r="BB446" s="695"/>
      <c r="BC446" s="695"/>
      <c r="BD446" s="695"/>
      <c r="BE446" s="695"/>
      <c r="BF446" s="692"/>
      <c r="BG446" s="692"/>
      <c r="BH446" s="692"/>
      <c r="BI446" s="692"/>
      <c r="BJ446" s="692"/>
      <c r="BK446" s="692"/>
      <c r="BL446" s="693"/>
      <c r="BM446" s="693"/>
      <c r="BN446" s="688"/>
      <c r="BO446" s="693"/>
      <c r="BP446" s="689"/>
      <c r="BQ446" s="694"/>
      <c r="BR446" s="687"/>
      <c r="BS446" s="687"/>
      <c r="BT446" s="687"/>
      <c r="BU446" s="687"/>
      <c r="BV446" s="687"/>
      <c r="BW446" s="688"/>
      <c r="BX446" s="688"/>
      <c r="BY446" s="689"/>
      <c r="BZ446" s="690"/>
      <c r="CA446" s="690"/>
      <c r="CB446" s="690"/>
      <c r="CC446" s="691"/>
      <c r="CD446" s="691"/>
      <c r="CE446" s="692"/>
      <c r="CF446" s="692"/>
      <c r="CG446" s="692"/>
      <c r="CH446" s="693"/>
    </row>
    <row r="447">
      <c r="B447" s="687"/>
      <c r="C447" s="687"/>
      <c r="D447" s="688"/>
      <c r="E447" s="689"/>
      <c r="F447" s="690"/>
      <c r="G447" s="690"/>
      <c r="H447" s="690"/>
      <c r="I447" s="691"/>
      <c r="J447" s="691"/>
      <c r="K447" s="691"/>
      <c r="L447" s="692"/>
      <c r="M447" s="692"/>
      <c r="N447" s="692"/>
      <c r="O447" s="693"/>
      <c r="P447" s="688"/>
      <c r="Q447" s="688"/>
      <c r="R447" s="688"/>
      <c r="S447" s="688"/>
      <c r="T447" s="689"/>
      <c r="U447" s="689"/>
      <c r="V447" s="694"/>
      <c r="W447" s="694"/>
      <c r="X447" s="694"/>
      <c r="Y447" s="694"/>
      <c r="Z447" s="693"/>
      <c r="AA447" s="693"/>
      <c r="AB447" s="693"/>
      <c r="AC447" s="693"/>
      <c r="AD447" s="688"/>
      <c r="AE447" s="689"/>
      <c r="AF447" s="689"/>
      <c r="AG447" s="690"/>
      <c r="AH447" s="690"/>
      <c r="AI447" s="695"/>
      <c r="AJ447" s="695"/>
      <c r="AK447" s="692"/>
      <c r="AL447" s="692"/>
      <c r="AM447" s="693"/>
      <c r="AN447" s="688"/>
      <c r="AO447" s="688"/>
      <c r="AP447" s="688"/>
      <c r="AQ447" s="688"/>
      <c r="AR447" s="688"/>
      <c r="AS447" s="688"/>
      <c r="AT447" s="689"/>
      <c r="AU447" s="689"/>
      <c r="AV447" s="690"/>
      <c r="AW447" s="690"/>
      <c r="AX447" s="690"/>
      <c r="AY447" s="690"/>
      <c r="AZ447" s="690"/>
      <c r="BA447" s="690"/>
      <c r="BB447" s="695"/>
      <c r="BC447" s="695"/>
      <c r="BD447" s="695"/>
      <c r="BE447" s="695"/>
      <c r="BF447" s="692"/>
      <c r="BG447" s="692"/>
      <c r="BH447" s="692"/>
      <c r="BI447" s="692"/>
      <c r="BJ447" s="692"/>
      <c r="BK447" s="692"/>
      <c r="BL447" s="693"/>
      <c r="BM447" s="693"/>
      <c r="BN447" s="688"/>
      <c r="BO447" s="693"/>
      <c r="BP447" s="689"/>
      <c r="BQ447" s="694"/>
      <c r="BR447" s="687"/>
      <c r="BS447" s="687"/>
      <c r="BT447" s="687"/>
      <c r="BU447" s="687"/>
      <c r="BV447" s="687"/>
      <c r="BW447" s="688"/>
      <c r="BX447" s="688"/>
      <c r="BY447" s="689"/>
      <c r="BZ447" s="690"/>
      <c r="CA447" s="690"/>
      <c r="CB447" s="690"/>
      <c r="CC447" s="691"/>
      <c r="CD447" s="691"/>
      <c r="CE447" s="692"/>
      <c r="CF447" s="692"/>
      <c r="CG447" s="692"/>
      <c r="CH447" s="693"/>
    </row>
    <row r="448">
      <c r="B448" s="687"/>
      <c r="C448" s="687"/>
      <c r="D448" s="688"/>
      <c r="E448" s="689"/>
      <c r="F448" s="690"/>
      <c r="G448" s="690"/>
      <c r="H448" s="690"/>
      <c r="I448" s="691"/>
      <c r="J448" s="691"/>
      <c r="K448" s="691"/>
      <c r="L448" s="692"/>
      <c r="M448" s="692"/>
      <c r="N448" s="692"/>
      <c r="O448" s="693"/>
      <c r="P448" s="688"/>
      <c r="Q448" s="688"/>
      <c r="R448" s="688"/>
      <c r="S448" s="688"/>
      <c r="T448" s="689"/>
      <c r="U448" s="689"/>
      <c r="V448" s="694"/>
      <c r="W448" s="694"/>
      <c r="X448" s="694"/>
      <c r="Y448" s="694"/>
      <c r="Z448" s="693"/>
      <c r="AA448" s="693"/>
      <c r="AB448" s="693"/>
      <c r="AC448" s="693"/>
      <c r="AD448" s="688"/>
      <c r="AE448" s="689"/>
      <c r="AF448" s="689"/>
      <c r="AG448" s="690"/>
      <c r="AH448" s="690"/>
      <c r="AI448" s="695"/>
      <c r="AJ448" s="695"/>
      <c r="AK448" s="692"/>
      <c r="AL448" s="692"/>
      <c r="AM448" s="693"/>
      <c r="AN448" s="688"/>
      <c r="AO448" s="688"/>
      <c r="AP448" s="688"/>
      <c r="AQ448" s="688"/>
      <c r="AR448" s="688"/>
      <c r="AS448" s="688"/>
      <c r="AT448" s="689"/>
      <c r="AU448" s="689"/>
      <c r="AV448" s="690"/>
      <c r="AW448" s="690"/>
      <c r="AX448" s="690"/>
      <c r="AY448" s="690"/>
      <c r="AZ448" s="690"/>
      <c r="BA448" s="690"/>
      <c r="BB448" s="695"/>
      <c r="BC448" s="695"/>
      <c r="BD448" s="695"/>
      <c r="BE448" s="695"/>
      <c r="BF448" s="692"/>
      <c r="BG448" s="692"/>
      <c r="BH448" s="692"/>
      <c r="BI448" s="692"/>
      <c r="BJ448" s="692"/>
      <c r="BK448" s="692"/>
      <c r="BL448" s="693"/>
      <c r="BM448" s="693"/>
      <c r="BN448" s="688"/>
      <c r="BO448" s="693"/>
      <c r="BP448" s="689"/>
      <c r="BQ448" s="694"/>
      <c r="BR448" s="687"/>
      <c r="BS448" s="687"/>
      <c r="BT448" s="687"/>
      <c r="BU448" s="687"/>
      <c r="BV448" s="687"/>
      <c r="BW448" s="688"/>
      <c r="BX448" s="688"/>
      <c r="BY448" s="689"/>
      <c r="BZ448" s="690"/>
      <c r="CA448" s="690"/>
      <c r="CB448" s="690"/>
      <c r="CC448" s="691"/>
      <c r="CD448" s="691"/>
      <c r="CE448" s="692"/>
      <c r="CF448" s="692"/>
      <c r="CG448" s="692"/>
      <c r="CH448" s="693"/>
    </row>
    <row r="449">
      <c r="B449" s="687"/>
      <c r="C449" s="687"/>
      <c r="D449" s="688"/>
      <c r="E449" s="689"/>
      <c r="F449" s="690"/>
      <c r="G449" s="690"/>
      <c r="H449" s="690"/>
      <c r="I449" s="691"/>
      <c r="J449" s="691"/>
      <c r="K449" s="691"/>
      <c r="L449" s="692"/>
      <c r="M449" s="692"/>
      <c r="N449" s="692"/>
      <c r="O449" s="693"/>
      <c r="P449" s="688"/>
      <c r="Q449" s="688"/>
      <c r="R449" s="688"/>
      <c r="S449" s="688"/>
      <c r="T449" s="689"/>
      <c r="U449" s="689"/>
      <c r="V449" s="694"/>
      <c r="W449" s="694"/>
      <c r="X449" s="694"/>
      <c r="Y449" s="694"/>
      <c r="Z449" s="693"/>
      <c r="AA449" s="693"/>
      <c r="AB449" s="693"/>
      <c r="AC449" s="693"/>
      <c r="AD449" s="688"/>
      <c r="AE449" s="689"/>
      <c r="AF449" s="689"/>
      <c r="AG449" s="690"/>
      <c r="AH449" s="690"/>
      <c r="AI449" s="695"/>
      <c r="AJ449" s="695"/>
      <c r="AK449" s="692"/>
      <c r="AL449" s="692"/>
      <c r="AM449" s="693"/>
      <c r="AN449" s="688"/>
      <c r="AO449" s="688"/>
      <c r="AP449" s="688"/>
      <c r="AQ449" s="688"/>
      <c r="AR449" s="688"/>
      <c r="AS449" s="688"/>
      <c r="AT449" s="689"/>
      <c r="AU449" s="689"/>
      <c r="AV449" s="690"/>
      <c r="AW449" s="690"/>
      <c r="AX449" s="690"/>
      <c r="AY449" s="690"/>
      <c r="AZ449" s="690"/>
      <c r="BA449" s="690"/>
      <c r="BB449" s="695"/>
      <c r="BC449" s="695"/>
      <c r="BD449" s="695"/>
      <c r="BE449" s="695"/>
      <c r="BF449" s="692"/>
      <c r="BG449" s="692"/>
      <c r="BH449" s="692"/>
      <c r="BI449" s="692"/>
      <c r="BJ449" s="692"/>
      <c r="BK449" s="692"/>
      <c r="BL449" s="693"/>
      <c r="BM449" s="693"/>
      <c r="BN449" s="688"/>
      <c r="BO449" s="693"/>
      <c r="BP449" s="689"/>
      <c r="BQ449" s="694"/>
      <c r="BR449" s="687"/>
      <c r="BS449" s="687"/>
      <c r="BT449" s="687"/>
      <c r="BU449" s="687"/>
      <c r="BV449" s="687"/>
      <c r="BW449" s="688"/>
      <c r="BX449" s="688"/>
      <c r="BY449" s="689"/>
      <c r="BZ449" s="690"/>
      <c r="CA449" s="690"/>
      <c r="CB449" s="690"/>
      <c r="CC449" s="691"/>
      <c r="CD449" s="691"/>
      <c r="CE449" s="692"/>
      <c r="CF449" s="692"/>
      <c r="CG449" s="692"/>
      <c r="CH449" s="693"/>
    </row>
    <row r="450">
      <c r="B450" s="687"/>
      <c r="C450" s="687"/>
      <c r="D450" s="688"/>
      <c r="E450" s="689"/>
      <c r="F450" s="690"/>
      <c r="G450" s="690"/>
      <c r="H450" s="690"/>
      <c r="I450" s="691"/>
      <c r="J450" s="691"/>
      <c r="K450" s="691"/>
      <c r="L450" s="692"/>
      <c r="M450" s="692"/>
      <c r="N450" s="692"/>
      <c r="O450" s="693"/>
      <c r="P450" s="688"/>
      <c r="Q450" s="688"/>
      <c r="R450" s="688"/>
      <c r="S450" s="688"/>
      <c r="T450" s="689"/>
      <c r="U450" s="689"/>
      <c r="V450" s="694"/>
      <c r="W450" s="694"/>
      <c r="X450" s="694"/>
      <c r="Y450" s="694"/>
      <c r="Z450" s="693"/>
      <c r="AA450" s="693"/>
      <c r="AB450" s="693"/>
      <c r="AC450" s="693"/>
      <c r="AD450" s="688"/>
      <c r="AE450" s="689"/>
      <c r="AF450" s="689"/>
      <c r="AG450" s="690"/>
      <c r="AH450" s="690"/>
      <c r="AI450" s="695"/>
      <c r="AJ450" s="695"/>
      <c r="AK450" s="692"/>
      <c r="AL450" s="692"/>
      <c r="AM450" s="693"/>
      <c r="AN450" s="688"/>
      <c r="AO450" s="688"/>
      <c r="AP450" s="688"/>
      <c r="AQ450" s="688"/>
      <c r="AR450" s="688"/>
      <c r="AS450" s="688"/>
      <c r="AT450" s="689"/>
      <c r="AU450" s="689"/>
      <c r="AV450" s="690"/>
      <c r="AW450" s="690"/>
      <c r="AX450" s="690"/>
      <c r="AY450" s="690"/>
      <c r="AZ450" s="690"/>
      <c r="BA450" s="690"/>
      <c r="BB450" s="695"/>
      <c r="BC450" s="695"/>
      <c r="BD450" s="695"/>
      <c r="BE450" s="695"/>
      <c r="BF450" s="692"/>
      <c r="BG450" s="692"/>
      <c r="BH450" s="692"/>
      <c r="BI450" s="692"/>
      <c r="BJ450" s="692"/>
      <c r="BK450" s="692"/>
      <c r="BL450" s="693"/>
      <c r="BM450" s="693"/>
      <c r="BN450" s="688"/>
      <c r="BO450" s="693"/>
      <c r="BP450" s="689"/>
      <c r="BQ450" s="694"/>
      <c r="BR450" s="687"/>
      <c r="BS450" s="687"/>
      <c r="BT450" s="687"/>
      <c r="BU450" s="687"/>
      <c r="BV450" s="687"/>
      <c r="BW450" s="688"/>
      <c r="BX450" s="688"/>
      <c r="BY450" s="689"/>
      <c r="BZ450" s="690"/>
      <c r="CA450" s="690"/>
      <c r="CB450" s="690"/>
      <c r="CC450" s="691"/>
      <c r="CD450" s="691"/>
      <c r="CE450" s="692"/>
      <c r="CF450" s="692"/>
      <c r="CG450" s="692"/>
      <c r="CH450" s="693"/>
    </row>
    <row r="451">
      <c r="B451" s="687"/>
      <c r="C451" s="687"/>
      <c r="D451" s="688"/>
      <c r="E451" s="689"/>
      <c r="F451" s="690"/>
      <c r="G451" s="690"/>
      <c r="H451" s="690"/>
      <c r="I451" s="691"/>
      <c r="J451" s="691"/>
      <c r="K451" s="691"/>
      <c r="L451" s="692"/>
      <c r="M451" s="692"/>
      <c r="N451" s="692"/>
      <c r="O451" s="693"/>
      <c r="P451" s="688"/>
      <c r="Q451" s="688"/>
      <c r="R451" s="688"/>
      <c r="S451" s="688"/>
      <c r="T451" s="689"/>
      <c r="U451" s="689"/>
      <c r="V451" s="694"/>
      <c r="W451" s="694"/>
      <c r="X451" s="694"/>
      <c r="Y451" s="694"/>
      <c r="Z451" s="693"/>
      <c r="AA451" s="693"/>
      <c r="AB451" s="693"/>
      <c r="AC451" s="693"/>
      <c r="AD451" s="688"/>
      <c r="AE451" s="689"/>
      <c r="AF451" s="689"/>
      <c r="AG451" s="690"/>
      <c r="AH451" s="690"/>
      <c r="AI451" s="695"/>
      <c r="AJ451" s="695"/>
      <c r="AK451" s="692"/>
      <c r="AL451" s="692"/>
      <c r="AM451" s="693"/>
      <c r="AN451" s="688"/>
      <c r="AO451" s="688"/>
      <c r="AP451" s="688"/>
      <c r="AQ451" s="688"/>
      <c r="AR451" s="688"/>
      <c r="AS451" s="688"/>
      <c r="AT451" s="689"/>
      <c r="AU451" s="689"/>
      <c r="AV451" s="690"/>
      <c r="AW451" s="690"/>
      <c r="AX451" s="690"/>
      <c r="AY451" s="690"/>
      <c r="AZ451" s="690"/>
      <c r="BA451" s="690"/>
      <c r="BB451" s="695"/>
      <c r="BC451" s="695"/>
      <c r="BD451" s="695"/>
      <c r="BE451" s="695"/>
      <c r="BF451" s="692"/>
      <c r="BG451" s="692"/>
      <c r="BH451" s="692"/>
      <c r="BI451" s="692"/>
      <c r="BJ451" s="692"/>
      <c r="BK451" s="692"/>
      <c r="BL451" s="693"/>
      <c r="BM451" s="693"/>
      <c r="BN451" s="688"/>
      <c r="BO451" s="693"/>
      <c r="BP451" s="689"/>
      <c r="BQ451" s="694"/>
      <c r="BR451" s="687"/>
      <c r="BS451" s="687"/>
      <c r="BT451" s="687"/>
      <c r="BU451" s="687"/>
      <c r="BV451" s="687"/>
      <c r="BW451" s="688"/>
      <c r="BX451" s="688"/>
      <c r="BY451" s="689"/>
      <c r="BZ451" s="690"/>
      <c r="CA451" s="690"/>
      <c r="CB451" s="690"/>
      <c r="CC451" s="691"/>
      <c r="CD451" s="691"/>
      <c r="CE451" s="692"/>
      <c r="CF451" s="692"/>
      <c r="CG451" s="692"/>
      <c r="CH451" s="693"/>
    </row>
    <row r="452">
      <c r="B452" s="687"/>
      <c r="C452" s="687"/>
      <c r="D452" s="688"/>
      <c r="E452" s="689"/>
      <c r="F452" s="690"/>
      <c r="G452" s="690"/>
      <c r="H452" s="690"/>
      <c r="I452" s="691"/>
      <c r="J452" s="691"/>
      <c r="K452" s="691"/>
      <c r="L452" s="692"/>
      <c r="M452" s="692"/>
      <c r="N452" s="692"/>
      <c r="O452" s="693"/>
      <c r="P452" s="688"/>
      <c r="Q452" s="688"/>
      <c r="R452" s="688"/>
      <c r="S452" s="688"/>
      <c r="T452" s="689"/>
      <c r="U452" s="689"/>
      <c r="V452" s="694"/>
      <c r="W452" s="694"/>
      <c r="X452" s="694"/>
      <c r="Y452" s="694"/>
      <c r="Z452" s="693"/>
      <c r="AA452" s="693"/>
      <c r="AB452" s="693"/>
      <c r="AC452" s="693"/>
      <c r="AD452" s="688"/>
      <c r="AE452" s="689"/>
      <c r="AF452" s="689"/>
      <c r="AG452" s="690"/>
      <c r="AH452" s="690"/>
      <c r="AI452" s="695"/>
      <c r="AJ452" s="695"/>
      <c r="AK452" s="692"/>
      <c r="AL452" s="692"/>
      <c r="AM452" s="693"/>
      <c r="AN452" s="688"/>
      <c r="AO452" s="688"/>
      <c r="AP452" s="688"/>
      <c r="AQ452" s="688"/>
      <c r="AR452" s="688"/>
      <c r="AS452" s="688"/>
      <c r="AT452" s="689"/>
      <c r="AU452" s="689"/>
      <c r="AV452" s="690"/>
      <c r="AW452" s="690"/>
      <c r="AX452" s="690"/>
      <c r="AY452" s="690"/>
      <c r="AZ452" s="690"/>
      <c r="BA452" s="690"/>
      <c r="BB452" s="695"/>
      <c r="BC452" s="695"/>
      <c r="BD452" s="695"/>
      <c r="BE452" s="695"/>
      <c r="BF452" s="692"/>
      <c r="BG452" s="692"/>
      <c r="BH452" s="692"/>
      <c r="BI452" s="692"/>
      <c r="BJ452" s="692"/>
      <c r="BK452" s="692"/>
      <c r="BL452" s="693"/>
      <c r="BM452" s="693"/>
      <c r="BN452" s="688"/>
      <c r="BO452" s="693"/>
      <c r="BP452" s="689"/>
      <c r="BQ452" s="694"/>
      <c r="BR452" s="687"/>
      <c r="BS452" s="687"/>
      <c r="BT452" s="687"/>
      <c r="BU452" s="687"/>
      <c r="BV452" s="687"/>
      <c r="BW452" s="688"/>
      <c r="BX452" s="688"/>
      <c r="BY452" s="689"/>
      <c r="BZ452" s="690"/>
      <c r="CA452" s="690"/>
      <c r="CB452" s="690"/>
      <c r="CC452" s="691"/>
      <c r="CD452" s="691"/>
      <c r="CE452" s="692"/>
      <c r="CF452" s="692"/>
      <c r="CG452" s="692"/>
      <c r="CH452" s="693"/>
    </row>
    <row r="453">
      <c r="B453" s="687"/>
      <c r="C453" s="687"/>
      <c r="D453" s="688"/>
      <c r="E453" s="689"/>
      <c r="F453" s="690"/>
      <c r="G453" s="690"/>
      <c r="H453" s="690"/>
      <c r="I453" s="691"/>
      <c r="J453" s="691"/>
      <c r="K453" s="691"/>
      <c r="L453" s="692"/>
      <c r="M453" s="692"/>
      <c r="N453" s="692"/>
      <c r="O453" s="693"/>
      <c r="P453" s="688"/>
      <c r="Q453" s="688"/>
      <c r="R453" s="688"/>
      <c r="S453" s="688"/>
      <c r="T453" s="689"/>
      <c r="U453" s="689"/>
      <c r="V453" s="694"/>
      <c r="W453" s="694"/>
      <c r="X453" s="694"/>
      <c r="Y453" s="694"/>
      <c r="Z453" s="693"/>
      <c r="AA453" s="693"/>
      <c r="AB453" s="693"/>
      <c r="AC453" s="693"/>
      <c r="AD453" s="688"/>
      <c r="AE453" s="689"/>
      <c r="AF453" s="689"/>
      <c r="AG453" s="690"/>
      <c r="AH453" s="690"/>
      <c r="AI453" s="695"/>
      <c r="AJ453" s="695"/>
      <c r="AK453" s="692"/>
      <c r="AL453" s="692"/>
      <c r="AM453" s="693"/>
      <c r="AN453" s="688"/>
      <c r="AO453" s="688"/>
      <c r="AP453" s="688"/>
      <c r="AQ453" s="688"/>
      <c r="AR453" s="688"/>
      <c r="AS453" s="688"/>
      <c r="AT453" s="689"/>
      <c r="AU453" s="689"/>
      <c r="AV453" s="690"/>
      <c r="AW453" s="690"/>
      <c r="AX453" s="690"/>
      <c r="AY453" s="690"/>
      <c r="AZ453" s="690"/>
      <c r="BA453" s="690"/>
      <c r="BB453" s="695"/>
      <c r="BC453" s="695"/>
      <c r="BD453" s="695"/>
      <c r="BE453" s="695"/>
      <c r="BF453" s="692"/>
      <c r="BG453" s="692"/>
      <c r="BH453" s="692"/>
      <c r="BI453" s="692"/>
      <c r="BJ453" s="692"/>
      <c r="BK453" s="692"/>
      <c r="BL453" s="693"/>
      <c r="BM453" s="693"/>
      <c r="BN453" s="688"/>
      <c r="BO453" s="693"/>
      <c r="BP453" s="689"/>
      <c r="BQ453" s="694"/>
      <c r="BR453" s="687"/>
      <c r="BS453" s="687"/>
      <c r="BT453" s="687"/>
      <c r="BU453" s="687"/>
      <c r="BV453" s="687"/>
      <c r="BW453" s="688"/>
      <c r="BX453" s="688"/>
      <c r="BY453" s="689"/>
      <c r="BZ453" s="690"/>
      <c r="CA453" s="690"/>
      <c r="CB453" s="690"/>
      <c r="CC453" s="691"/>
      <c r="CD453" s="691"/>
      <c r="CE453" s="692"/>
      <c r="CF453" s="692"/>
      <c r="CG453" s="692"/>
      <c r="CH453" s="693"/>
    </row>
    <row r="454">
      <c r="B454" s="687"/>
      <c r="C454" s="687"/>
      <c r="D454" s="688"/>
      <c r="E454" s="689"/>
      <c r="F454" s="690"/>
      <c r="G454" s="690"/>
      <c r="H454" s="690"/>
      <c r="I454" s="691"/>
      <c r="J454" s="691"/>
      <c r="K454" s="691"/>
      <c r="L454" s="692"/>
      <c r="M454" s="692"/>
      <c r="N454" s="692"/>
      <c r="O454" s="693"/>
      <c r="P454" s="688"/>
      <c r="Q454" s="688"/>
      <c r="R454" s="688"/>
      <c r="S454" s="688"/>
      <c r="T454" s="689"/>
      <c r="U454" s="689"/>
      <c r="V454" s="694"/>
      <c r="W454" s="694"/>
      <c r="X454" s="694"/>
      <c r="Y454" s="694"/>
      <c r="Z454" s="693"/>
      <c r="AA454" s="693"/>
      <c r="AB454" s="693"/>
      <c r="AC454" s="693"/>
      <c r="AD454" s="688"/>
      <c r="AE454" s="689"/>
      <c r="AF454" s="689"/>
      <c r="AG454" s="690"/>
      <c r="AH454" s="690"/>
      <c r="AI454" s="695"/>
      <c r="AJ454" s="695"/>
      <c r="AK454" s="692"/>
      <c r="AL454" s="692"/>
      <c r="AM454" s="693"/>
      <c r="AN454" s="688"/>
      <c r="AO454" s="688"/>
      <c r="AP454" s="688"/>
      <c r="AQ454" s="688"/>
      <c r="AR454" s="688"/>
      <c r="AS454" s="688"/>
      <c r="AT454" s="689"/>
      <c r="AU454" s="689"/>
      <c r="AV454" s="690"/>
      <c r="AW454" s="690"/>
      <c r="AX454" s="690"/>
      <c r="AY454" s="690"/>
      <c r="AZ454" s="690"/>
      <c r="BA454" s="690"/>
      <c r="BB454" s="695"/>
      <c r="BC454" s="695"/>
      <c r="BD454" s="695"/>
      <c r="BE454" s="695"/>
      <c r="BF454" s="692"/>
      <c r="BG454" s="692"/>
      <c r="BH454" s="692"/>
      <c r="BI454" s="692"/>
      <c r="BJ454" s="692"/>
      <c r="BK454" s="692"/>
      <c r="BL454" s="693"/>
      <c r="BM454" s="693"/>
      <c r="BN454" s="688"/>
      <c r="BO454" s="693"/>
      <c r="BP454" s="689"/>
      <c r="BQ454" s="694"/>
      <c r="BR454" s="687"/>
      <c r="BS454" s="687"/>
      <c r="BT454" s="687"/>
      <c r="BU454" s="687"/>
      <c r="BV454" s="687"/>
      <c r="BW454" s="688"/>
      <c r="BX454" s="688"/>
      <c r="BY454" s="689"/>
      <c r="BZ454" s="690"/>
      <c r="CA454" s="690"/>
      <c r="CB454" s="690"/>
      <c r="CC454" s="691"/>
      <c r="CD454" s="691"/>
      <c r="CE454" s="692"/>
      <c r="CF454" s="692"/>
      <c r="CG454" s="692"/>
      <c r="CH454" s="693"/>
    </row>
    <row r="455">
      <c r="B455" s="687"/>
      <c r="C455" s="687"/>
      <c r="D455" s="688"/>
      <c r="E455" s="689"/>
      <c r="F455" s="690"/>
      <c r="G455" s="690"/>
      <c r="H455" s="690"/>
      <c r="I455" s="691"/>
      <c r="J455" s="691"/>
      <c r="K455" s="691"/>
      <c r="L455" s="692"/>
      <c r="M455" s="692"/>
      <c r="N455" s="692"/>
      <c r="O455" s="693"/>
      <c r="P455" s="688"/>
      <c r="Q455" s="688"/>
      <c r="R455" s="688"/>
      <c r="S455" s="688"/>
      <c r="T455" s="689"/>
      <c r="U455" s="689"/>
      <c r="V455" s="694"/>
      <c r="W455" s="694"/>
      <c r="X455" s="694"/>
      <c r="Y455" s="694"/>
      <c r="Z455" s="693"/>
      <c r="AA455" s="693"/>
      <c r="AB455" s="693"/>
      <c r="AC455" s="693"/>
      <c r="AD455" s="688"/>
      <c r="AE455" s="689"/>
      <c r="AF455" s="689"/>
      <c r="AG455" s="690"/>
      <c r="AH455" s="690"/>
      <c r="AI455" s="695"/>
      <c r="AJ455" s="695"/>
      <c r="AK455" s="692"/>
      <c r="AL455" s="692"/>
      <c r="AM455" s="693"/>
      <c r="AN455" s="688"/>
      <c r="AO455" s="688"/>
      <c r="AP455" s="688"/>
      <c r="AQ455" s="688"/>
      <c r="AR455" s="688"/>
      <c r="AS455" s="688"/>
      <c r="AT455" s="689"/>
      <c r="AU455" s="689"/>
      <c r="AV455" s="690"/>
      <c r="AW455" s="690"/>
      <c r="AX455" s="690"/>
      <c r="AY455" s="690"/>
      <c r="AZ455" s="690"/>
      <c r="BA455" s="690"/>
      <c r="BB455" s="695"/>
      <c r="BC455" s="695"/>
      <c r="BD455" s="695"/>
      <c r="BE455" s="695"/>
      <c r="BF455" s="692"/>
      <c r="BG455" s="692"/>
      <c r="BH455" s="692"/>
      <c r="BI455" s="692"/>
      <c r="BJ455" s="692"/>
      <c r="BK455" s="692"/>
      <c r="BL455" s="693"/>
      <c r="BM455" s="693"/>
      <c r="BN455" s="688"/>
      <c r="BO455" s="693"/>
      <c r="BP455" s="689"/>
      <c r="BQ455" s="694"/>
      <c r="BR455" s="687"/>
      <c r="BS455" s="687"/>
      <c r="BT455" s="687"/>
      <c r="BU455" s="687"/>
      <c r="BV455" s="687"/>
      <c r="BW455" s="688"/>
      <c r="BX455" s="688"/>
      <c r="BY455" s="689"/>
      <c r="BZ455" s="690"/>
      <c r="CA455" s="690"/>
      <c r="CB455" s="690"/>
      <c r="CC455" s="691"/>
      <c r="CD455" s="691"/>
      <c r="CE455" s="692"/>
      <c r="CF455" s="692"/>
      <c r="CG455" s="692"/>
      <c r="CH455" s="693"/>
    </row>
    <row r="456">
      <c r="B456" s="687"/>
      <c r="C456" s="687"/>
      <c r="D456" s="688"/>
      <c r="E456" s="689"/>
      <c r="F456" s="690"/>
      <c r="G456" s="690"/>
      <c r="H456" s="690"/>
      <c r="I456" s="691"/>
      <c r="J456" s="691"/>
      <c r="K456" s="691"/>
      <c r="L456" s="692"/>
      <c r="M456" s="692"/>
      <c r="N456" s="692"/>
      <c r="O456" s="693"/>
      <c r="P456" s="688"/>
      <c r="Q456" s="688"/>
      <c r="R456" s="688"/>
      <c r="S456" s="688"/>
      <c r="T456" s="689"/>
      <c r="U456" s="689"/>
      <c r="V456" s="694"/>
      <c r="W456" s="694"/>
      <c r="X456" s="694"/>
      <c r="Y456" s="694"/>
      <c r="Z456" s="693"/>
      <c r="AA456" s="693"/>
      <c r="AB456" s="693"/>
      <c r="AC456" s="693"/>
      <c r="AD456" s="688"/>
      <c r="AE456" s="689"/>
      <c r="AF456" s="689"/>
      <c r="AG456" s="690"/>
      <c r="AH456" s="690"/>
      <c r="AI456" s="695"/>
      <c r="AJ456" s="695"/>
      <c r="AK456" s="692"/>
      <c r="AL456" s="692"/>
      <c r="AM456" s="693"/>
      <c r="AN456" s="688"/>
      <c r="AO456" s="688"/>
      <c r="AP456" s="688"/>
      <c r="AQ456" s="688"/>
      <c r="AR456" s="688"/>
      <c r="AS456" s="688"/>
      <c r="AT456" s="689"/>
      <c r="AU456" s="689"/>
      <c r="AV456" s="690"/>
      <c r="AW456" s="690"/>
      <c r="AX456" s="690"/>
      <c r="AY456" s="690"/>
      <c r="AZ456" s="690"/>
      <c r="BA456" s="690"/>
      <c r="BB456" s="695"/>
      <c r="BC456" s="695"/>
      <c r="BD456" s="695"/>
      <c r="BE456" s="695"/>
      <c r="BF456" s="692"/>
      <c r="BG456" s="692"/>
      <c r="BH456" s="692"/>
      <c r="BI456" s="692"/>
      <c r="BJ456" s="692"/>
      <c r="BK456" s="692"/>
      <c r="BL456" s="693"/>
      <c r="BM456" s="693"/>
      <c r="BN456" s="688"/>
      <c r="BO456" s="693"/>
      <c r="BP456" s="689"/>
      <c r="BQ456" s="694"/>
      <c r="BR456" s="687"/>
      <c r="BS456" s="687"/>
      <c r="BT456" s="687"/>
      <c r="BU456" s="687"/>
      <c r="BV456" s="687"/>
      <c r="BW456" s="688"/>
      <c r="BX456" s="688"/>
      <c r="BY456" s="689"/>
      <c r="BZ456" s="690"/>
      <c r="CA456" s="690"/>
      <c r="CB456" s="690"/>
      <c r="CC456" s="691"/>
      <c r="CD456" s="691"/>
      <c r="CE456" s="692"/>
      <c r="CF456" s="692"/>
      <c r="CG456" s="692"/>
      <c r="CH456" s="693"/>
    </row>
    <row r="457">
      <c r="B457" s="687"/>
      <c r="C457" s="687"/>
      <c r="D457" s="688"/>
      <c r="E457" s="689"/>
      <c r="F457" s="690"/>
      <c r="G457" s="690"/>
      <c r="H457" s="690"/>
      <c r="I457" s="691"/>
      <c r="J457" s="691"/>
      <c r="K457" s="691"/>
      <c r="L457" s="692"/>
      <c r="M457" s="692"/>
      <c r="N457" s="692"/>
      <c r="O457" s="693"/>
      <c r="P457" s="688"/>
      <c r="Q457" s="688"/>
      <c r="R457" s="688"/>
      <c r="S457" s="688"/>
      <c r="T457" s="689"/>
      <c r="U457" s="689"/>
      <c r="V457" s="694"/>
      <c r="W457" s="694"/>
      <c r="X457" s="694"/>
      <c r="Y457" s="694"/>
      <c r="Z457" s="693"/>
      <c r="AA457" s="693"/>
      <c r="AB457" s="693"/>
      <c r="AC457" s="693"/>
      <c r="AD457" s="688"/>
      <c r="AE457" s="689"/>
      <c r="AF457" s="689"/>
      <c r="AG457" s="690"/>
      <c r="AH457" s="690"/>
      <c r="AI457" s="695"/>
      <c r="AJ457" s="695"/>
      <c r="AK457" s="692"/>
      <c r="AL457" s="692"/>
      <c r="AM457" s="693"/>
      <c r="AN457" s="688"/>
      <c r="AO457" s="688"/>
      <c r="AP457" s="688"/>
      <c r="AQ457" s="688"/>
      <c r="AR457" s="688"/>
      <c r="AS457" s="688"/>
      <c r="AT457" s="689"/>
      <c r="AU457" s="689"/>
      <c r="AV457" s="690"/>
      <c r="AW457" s="690"/>
      <c r="AX457" s="690"/>
      <c r="AY457" s="690"/>
      <c r="AZ457" s="690"/>
      <c r="BA457" s="690"/>
      <c r="BB457" s="695"/>
      <c r="BC457" s="695"/>
      <c r="BD457" s="695"/>
      <c r="BE457" s="695"/>
      <c r="BF457" s="692"/>
      <c r="BG457" s="692"/>
      <c r="BH457" s="692"/>
      <c r="BI457" s="692"/>
      <c r="BJ457" s="692"/>
      <c r="BK457" s="692"/>
      <c r="BL457" s="693"/>
      <c r="BM457" s="693"/>
      <c r="BN457" s="688"/>
      <c r="BO457" s="693"/>
      <c r="BP457" s="689"/>
      <c r="BQ457" s="694"/>
      <c r="BR457" s="687"/>
      <c r="BS457" s="687"/>
      <c r="BT457" s="687"/>
      <c r="BU457" s="687"/>
      <c r="BV457" s="687"/>
      <c r="BW457" s="688"/>
      <c r="BX457" s="688"/>
      <c r="BY457" s="689"/>
      <c r="BZ457" s="690"/>
      <c r="CA457" s="690"/>
      <c r="CB457" s="690"/>
      <c r="CC457" s="691"/>
      <c r="CD457" s="691"/>
      <c r="CE457" s="692"/>
      <c r="CF457" s="692"/>
      <c r="CG457" s="692"/>
      <c r="CH457" s="693"/>
    </row>
    <row r="458">
      <c r="B458" s="687"/>
      <c r="C458" s="687"/>
      <c r="D458" s="688"/>
      <c r="E458" s="689"/>
      <c r="F458" s="690"/>
      <c r="G458" s="690"/>
      <c r="H458" s="690"/>
      <c r="I458" s="691"/>
      <c r="J458" s="691"/>
      <c r="K458" s="691"/>
      <c r="L458" s="692"/>
      <c r="M458" s="692"/>
      <c r="N458" s="692"/>
      <c r="O458" s="693"/>
      <c r="P458" s="688"/>
      <c r="Q458" s="688"/>
      <c r="R458" s="688"/>
      <c r="S458" s="688"/>
      <c r="T458" s="689"/>
      <c r="U458" s="689"/>
      <c r="V458" s="694"/>
      <c r="W458" s="694"/>
      <c r="X458" s="694"/>
      <c r="Y458" s="694"/>
      <c r="Z458" s="693"/>
      <c r="AA458" s="693"/>
      <c r="AB458" s="693"/>
      <c r="AC458" s="693"/>
      <c r="AD458" s="688"/>
      <c r="AE458" s="689"/>
      <c r="AF458" s="689"/>
      <c r="AG458" s="690"/>
      <c r="AH458" s="690"/>
      <c r="AI458" s="695"/>
      <c r="AJ458" s="695"/>
      <c r="AK458" s="692"/>
      <c r="AL458" s="692"/>
      <c r="AM458" s="693"/>
      <c r="AN458" s="688"/>
      <c r="AO458" s="688"/>
      <c r="AP458" s="688"/>
      <c r="AQ458" s="688"/>
      <c r="AR458" s="688"/>
      <c r="AS458" s="688"/>
      <c r="AT458" s="689"/>
      <c r="AU458" s="689"/>
      <c r="AV458" s="690"/>
      <c r="AW458" s="690"/>
      <c r="AX458" s="690"/>
      <c r="AY458" s="690"/>
      <c r="AZ458" s="690"/>
      <c r="BA458" s="690"/>
      <c r="BB458" s="695"/>
      <c r="BC458" s="695"/>
      <c r="BD458" s="695"/>
      <c r="BE458" s="695"/>
      <c r="BF458" s="692"/>
      <c r="BG458" s="692"/>
      <c r="BH458" s="692"/>
      <c r="BI458" s="692"/>
      <c r="BJ458" s="692"/>
      <c r="BK458" s="692"/>
      <c r="BL458" s="693"/>
      <c r="BM458" s="693"/>
      <c r="BN458" s="688"/>
      <c r="BO458" s="693"/>
      <c r="BP458" s="689"/>
      <c r="BQ458" s="694"/>
      <c r="BR458" s="687"/>
      <c r="BS458" s="687"/>
      <c r="BT458" s="687"/>
      <c r="BU458" s="687"/>
      <c r="BV458" s="687"/>
      <c r="BW458" s="688"/>
      <c r="BX458" s="688"/>
      <c r="BY458" s="689"/>
      <c r="BZ458" s="690"/>
      <c r="CA458" s="690"/>
      <c r="CB458" s="690"/>
      <c r="CC458" s="691"/>
      <c r="CD458" s="691"/>
      <c r="CE458" s="692"/>
      <c r="CF458" s="692"/>
      <c r="CG458" s="692"/>
      <c r="CH458" s="693"/>
    </row>
    <row r="459">
      <c r="B459" s="687"/>
      <c r="C459" s="687"/>
      <c r="D459" s="688"/>
      <c r="E459" s="689"/>
      <c r="F459" s="690"/>
      <c r="G459" s="690"/>
      <c r="H459" s="690"/>
      <c r="I459" s="691"/>
      <c r="J459" s="691"/>
      <c r="K459" s="691"/>
      <c r="L459" s="692"/>
      <c r="M459" s="692"/>
      <c r="N459" s="692"/>
      <c r="O459" s="693"/>
      <c r="P459" s="688"/>
      <c r="Q459" s="688"/>
      <c r="R459" s="688"/>
      <c r="S459" s="688"/>
      <c r="T459" s="689"/>
      <c r="U459" s="689"/>
      <c r="V459" s="694"/>
      <c r="W459" s="694"/>
      <c r="X459" s="694"/>
      <c r="Y459" s="694"/>
      <c r="Z459" s="693"/>
      <c r="AA459" s="693"/>
      <c r="AB459" s="693"/>
      <c r="AC459" s="693"/>
      <c r="AD459" s="688"/>
      <c r="AE459" s="689"/>
      <c r="AF459" s="689"/>
      <c r="AG459" s="690"/>
      <c r="AH459" s="690"/>
      <c r="AI459" s="695"/>
      <c r="AJ459" s="695"/>
      <c r="AK459" s="692"/>
      <c r="AL459" s="692"/>
      <c r="AM459" s="693"/>
      <c r="AN459" s="688"/>
      <c r="AO459" s="688"/>
      <c r="AP459" s="688"/>
      <c r="AQ459" s="688"/>
      <c r="AR459" s="688"/>
      <c r="AS459" s="688"/>
      <c r="AT459" s="689"/>
      <c r="AU459" s="689"/>
      <c r="AV459" s="690"/>
      <c r="AW459" s="690"/>
      <c r="AX459" s="690"/>
      <c r="AY459" s="690"/>
      <c r="AZ459" s="690"/>
      <c r="BA459" s="690"/>
      <c r="BB459" s="695"/>
      <c r="BC459" s="695"/>
      <c r="BD459" s="695"/>
      <c r="BE459" s="695"/>
      <c r="BF459" s="692"/>
      <c r="BG459" s="692"/>
      <c r="BH459" s="692"/>
      <c r="BI459" s="692"/>
      <c r="BJ459" s="692"/>
      <c r="BK459" s="692"/>
      <c r="BL459" s="693"/>
      <c r="BM459" s="693"/>
      <c r="BN459" s="688"/>
      <c r="BO459" s="693"/>
      <c r="BP459" s="689"/>
      <c r="BQ459" s="694"/>
      <c r="BR459" s="687"/>
      <c r="BS459" s="687"/>
      <c r="BT459" s="687"/>
      <c r="BU459" s="687"/>
      <c r="BV459" s="687"/>
      <c r="BW459" s="688"/>
      <c r="BX459" s="688"/>
      <c r="BY459" s="689"/>
      <c r="BZ459" s="690"/>
      <c r="CA459" s="690"/>
      <c r="CB459" s="690"/>
      <c r="CC459" s="691"/>
      <c r="CD459" s="691"/>
      <c r="CE459" s="692"/>
      <c r="CF459" s="692"/>
      <c r="CG459" s="692"/>
      <c r="CH459" s="693"/>
    </row>
    <row r="460">
      <c r="B460" s="687"/>
      <c r="C460" s="687"/>
      <c r="D460" s="688"/>
      <c r="E460" s="689"/>
      <c r="F460" s="690"/>
      <c r="G460" s="690"/>
      <c r="H460" s="690"/>
      <c r="I460" s="691"/>
      <c r="J460" s="691"/>
      <c r="K460" s="691"/>
      <c r="L460" s="692"/>
      <c r="M460" s="692"/>
      <c r="N460" s="692"/>
      <c r="O460" s="693"/>
      <c r="P460" s="688"/>
      <c r="Q460" s="688"/>
      <c r="R460" s="688"/>
      <c r="S460" s="688"/>
      <c r="T460" s="689"/>
      <c r="U460" s="689"/>
      <c r="V460" s="694"/>
      <c r="W460" s="694"/>
      <c r="X460" s="694"/>
      <c r="Y460" s="694"/>
      <c r="Z460" s="693"/>
      <c r="AA460" s="693"/>
      <c r="AB460" s="693"/>
      <c r="AC460" s="693"/>
      <c r="AD460" s="688"/>
      <c r="AE460" s="689"/>
      <c r="AF460" s="689"/>
      <c r="AG460" s="690"/>
      <c r="AH460" s="690"/>
      <c r="AI460" s="695"/>
      <c r="AJ460" s="695"/>
      <c r="AK460" s="692"/>
      <c r="AL460" s="692"/>
      <c r="AM460" s="693"/>
      <c r="AN460" s="688"/>
      <c r="AO460" s="688"/>
      <c r="AP460" s="688"/>
      <c r="AQ460" s="688"/>
      <c r="AR460" s="688"/>
      <c r="AS460" s="688"/>
      <c r="AT460" s="689"/>
      <c r="AU460" s="689"/>
      <c r="AV460" s="690"/>
      <c r="AW460" s="690"/>
      <c r="AX460" s="690"/>
      <c r="AY460" s="690"/>
      <c r="AZ460" s="690"/>
      <c r="BA460" s="690"/>
      <c r="BB460" s="695"/>
      <c r="BC460" s="695"/>
      <c r="BD460" s="695"/>
      <c r="BE460" s="695"/>
      <c r="BF460" s="692"/>
      <c r="BG460" s="692"/>
      <c r="BH460" s="692"/>
      <c r="BI460" s="692"/>
      <c r="BJ460" s="692"/>
      <c r="BK460" s="692"/>
      <c r="BL460" s="693"/>
      <c r="BM460" s="693"/>
      <c r="BN460" s="688"/>
      <c r="BO460" s="693"/>
      <c r="BP460" s="689"/>
      <c r="BQ460" s="694"/>
      <c r="BR460" s="687"/>
      <c r="BS460" s="687"/>
      <c r="BT460" s="687"/>
      <c r="BU460" s="687"/>
      <c r="BV460" s="687"/>
      <c r="BW460" s="688"/>
      <c r="BX460" s="688"/>
      <c r="BY460" s="689"/>
      <c r="BZ460" s="690"/>
      <c r="CA460" s="690"/>
      <c r="CB460" s="690"/>
      <c r="CC460" s="691"/>
      <c r="CD460" s="691"/>
      <c r="CE460" s="692"/>
      <c r="CF460" s="692"/>
      <c r="CG460" s="692"/>
      <c r="CH460" s="693"/>
    </row>
    <row r="461">
      <c r="B461" s="687"/>
      <c r="C461" s="687"/>
      <c r="D461" s="688"/>
      <c r="E461" s="689"/>
      <c r="F461" s="690"/>
      <c r="G461" s="690"/>
      <c r="H461" s="690"/>
      <c r="I461" s="691"/>
      <c r="J461" s="691"/>
      <c r="K461" s="691"/>
      <c r="L461" s="692"/>
      <c r="M461" s="692"/>
      <c r="N461" s="692"/>
      <c r="O461" s="693"/>
      <c r="P461" s="688"/>
      <c r="Q461" s="688"/>
      <c r="R461" s="688"/>
      <c r="S461" s="688"/>
      <c r="T461" s="689"/>
      <c r="U461" s="689"/>
      <c r="V461" s="694"/>
      <c r="W461" s="694"/>
      <c r="X461" s="694"/>
      <c r="Y461" s="694"/>
      <c r="Z461" s="693"/>
      <c r="AA461" s="693"/>
      <c r="AB461" s="693"/>
      <c r="AC461" s="693"/>
      <c r="AD461" s="688"/>
      <c r="AE461" s="689"/>
      <c r="AF461" s="689"/>
      <c r="AG461" s="690"/>
      <c r="AH461" s="690"/>
      <c r="AI461" s="695"/>
      <c r="AJ461" s="695"/>
      <c r="AK461" s="692"/>
      <c r="AL461" s="692"/>
      <c r="AM461" s="693"/>
      <c r="AN461" s="688"/>
      <c r="AO461" s="688"/>
      <c r="AP461" s="688"/>
      <c r="AQ461" s="688"/>
      <c r="AR461" s="688"/>
      <c r="AS461" s="688"/>
      <c r="AT461" s="689"/>
      <c r="AU461" s="689"/>
      <c r="AV461" s="690"/>
      <c r="AW461" s="690"/>
      <c r="AX461" s="690"/>
      <c r="AY461" s="690"/>
      <c r="AZ461" s="690"/>
      <c r="BA461" s="690"/>
      <c r="BB461" s="695"/>
      <c r="BC461" s="695"/>
      <c r="BD461" s="695"/>
      <c r="BE461" s="695"/>
      <c r="BF461" s="692"/>
      <c r="BG461" s="692"/>
      <c r="BH461" s="692"/>
      <c r="BI461" s="692"/>
      <c r="BJ461" s="692"/>
      <c r="BK461" s="692"/>
      <c r="BL461" s="693"/>
      <c r="BM461" s="693"/>
      <c r="BN461" s="688"/>
      <c r="BO461" s="693"/>
      <c r="BP461" s="689"/>
      <c r="BQ461" s="694"/>
      <c r="BR461" s="687"/>
      <c r="BS461" s="687"/>
      <c r="BT461" s="687"/>
      <c r="BU461" s="687"/>
      <c r="BV461" s="687"/>
      <c r="BW461" s="688"/>
      <c r="BX461" s="688"/>
      <c r="BY461" s="689"/>
      <c r="BZ461" s="690"/>
      <c r="CA461" s="690"/>
      <c r="CB461" s="690"/>
      <c r="CC461" s="691"/>
      <c r="CD461" s="691"/>
      <c r="CE461" s="692"/>
      <c r="CF461" s="692"/>
      <c r="CG461" s="692"/>
      <c r="CH461" s="693"/>
    </row>
    <row r="462">
      <c r="B462" s="687"/>
      <c r="C462" s="687"/>
      <c r="D462" s="688"/>
      <c r="E462" s="689"/>
      <c r="F462" s="690"/>
      <c r="G462" s="690"/>
      <c r="H462" s="690"/>
      <c r="I462" s="691"/>
      <c r="J462" s="691"/>
      <c r="K462" s="691"/>
      <c r="L462" s="692"/>
      <c r="M462" s="692"/>
      <c r="N462" s="692"/>
      <c r="O462" s="693"/>
      <c r="P462" s="688"/>
      <c r="Q462" s="688"/>
      <c r="R462" s="688"/>
      <c r="S462" s="688"/>
      <c r="T462" s="689"/>
      <c r="U462" s="689"/>
      <c r="V462" s="694"/>
      <c r="W462" s="694"/>
      <c r="X462" s="694"/>
      <c r="Y462" s="694"/>
      <c r="Z462" s="693"/>
      <c r="AA462" s="693"/>
      <c r="AB462" s="693"/>
      <c r="AC462" s="693"/>
      <c r="AD462" s="688"/>
      <c r="AE462" s="689"/>
      <c r="AF462" s="689"/>
      <c r="AG462" s="690"/>
      <c r="AH462" s="690"/>
      <c r="AI462" s="695"/>
      <c r="AJ462" s="695"/>
      <c r="AK462" s="692"/>
      <c r="AL462" s="692"/>
      <c r="AM462" s="693"/>
      <c r="AN462" s="688"/>
      <c r="AO462" s="688"/>
      <c r="AP462" s="688"/>
      <c r="AQ462" s="688"/>
      <c r="AR462" s="688"/>
      <c r="AS462" s="688"/>
      <c r="AT462" s="689"/>
      <c r="AU462" s="689"/>
      <c r="AV462" s="690"/>
      <c r="AW462" s="690"/>
      <c r="AX462" s="690"/>
      <c r="AY462" s="690"/>
      <c r="AZ462" s="690"/>
      <c r="BA462" s="690"/>
      <c r="BB462" s="695"/>
      <c r="BC462" s="695"/>
      <c r="BD462" s="695"/>
      <c r="BE462" s="695"/>
      <c r="BF462" s="692"/>
      <c r="BG462" s="692"/>
      <c r="BH462" s="692"/>
      <c r="BI462" s="692"/>
      <c r="BJ462" s="692"/>
      <c r="BK462" s="692"/>
      <c r="BL462" s="693"/>
      <c r="BM462" s="693"/>
      <c r="BN462" s="688"/>
      <c r="BO462" s="693"/>
      <c r="BP462" s="689"/>
      <c r="BQ462" s="694"/>
      <c r="BR462" s="687"/>
      <c r="BS462" s="687"/>
      <c r="BT462" s="687"/>
      <c r="BU462" s="687"/>
      <c r="BV462" s="687"/>
      <c r="BW462" s="688"/>
      <c r="BX462" s="688"/>
      <c r="BY462" s="689"/>
      <c r="BZ462" s="690"/>
      <c r="CA462" s="690"/>
      <c r="CB462" s="690"/>
      <c r="CC462" s="691"/>
      <c r="CD462" s="691"/>
      <c r="CE462" s="692"/>
      <c r="CF462" s="692"/>
      <c r="CG462" s="692"/>
      <c r="CH462" s="693"/>
    </row>
    <row r="463">
      <c r="B463" s="687"/>
      <c r="C463" s="687"/>
      <c r="D463" s="688"/>
      <c r="E463" s="689"/>
      <c r="F463" s="690"/>
      <c r="G463" s="690"/>
      <c r="H463" s="690"/>
      <c r="I463" s="691"/>
      <c r="J463" s="691"/>
      <c r="K463" s="691"/>
      <c r="L463" s="692"/>
      <c r="M463" s="692"/>
      <c r="N463" s="692"/>
      <c r="O463" s="693"/>
      <c r="P463" s="688"/>
      <c r="Q463" s="688"/>
      <c r="R463" s="688"/>
      <c r="S463" s="688"/>
      <c r="T463" s="689"/>
      <c r="U463" s="689"/>
      <c r="V463" s="694"/>
      <c r="W463" s="694"/>
      <c r="X463" s="694"/>
      <c r="Y463" s="694"/>
      <c r="Z463" s="693"/>
      <c r="AA463" s="693"/>
      <c r="AB463" s="693"/>
      <c r="AC463" s="693"/>
      <c r="AD463" s="688"/>
      <c r="AE463" s="689"/>
      <c r="AF463" s="689"/>
      <c r="AG463" s="690"/>
      <c r="AH463" s="690"/>
      <c r="AI463" s="695"/>
      <c r="AJ463" s="695"/>
      <c r="AK463" s="692"/>
      <c r="AL463" s="692"/>
      <c r="AM463" s="693"/>
      <c r="AN463" s="688"/>
      <c r="AO463" s="688"/>
      <c r="AP463" s="688"/>
      <c r="AQ463" s="688"/>
      <c r="AR463" s="688"/>
      <c r="AS463" s="688"/>
      <c r="AT463" s="689"/>
      <c r="AU463" s="689"/>
      <c r="AV463" s="690"/>
      <c r="AW463" s="690"/>
      <c r="AX463" s="690"/>
      <c r="AY463" s="690"/>
      <c r="AZ463" s="690"/>
      <c r="BA463" s="690"/>
      <c r="BB463" s="695"/>
      <c r="BC463" s="695"/>
      <c r="BD463" s="695"/>
      <c r="BE463" s="695"/>
      <c r="BF463" s="692"/>
      <c r="BG463" s="692"/>
      <c r="BH463" s="692"/>
      <c r="BI463" s="692"/>
      <c r="BJ463" s="692"/>
      <c r="BK463" s="692"/>
      <c r="BL463" s="693"/>
      <c r="BM463" s="693"/>
      <c r="BN463" s="688"/>
      <c r="BO463" s="693"/>
      <c r="BP463" s="689"/>
      <c r="BQ463" s="694"/>
      <c r="BR463" s="687"/>
      <c r="BS463" s="687"/>
      <c r="BT463" s="687"/>
      <c r="BU463" s="687"/>
      <c r="BV463" s="687"/>
      <c r="BW463" s="688"/>
      <c r="BX463" s="688"/>
      <c r="BY463" s="689"/>
      <c r="BZ463" s="690"/>
      <c r="CA463" s="690"/>
      <c r="CB463" s="690"/>
      <c r="CC463" s="691"/>
      <c r="CD463" s="691"/>
      <c r="CE463" s="692"/>
      <c r="CF463" s="692"/>
      <c r="CG463" s="692"/>
      <c r="CH463" s="693"/>
    </row>
    <row r="464">
      <c r="B464" s="687"/>
      <c r="C464" s="687"/>
      <c r="D464" s="688"/>
      <c r="E464" s="689"/>
      <c r="F464" s="690"/>
      <c r="G464" s="690"/>
      <c r="H464" s="690"/>
      <c r="I464" s="691"/>
      <c r="J464" s="691"/>
      <c r="K464" s="691"/>
      <c r="L464" s="692"/>
      <c r="M464" s="692"/>
      <c r="N464" s="692"/>
      <c r="O464" s="693"/>
      <c r="P464" s="688"/>
      <c r="Q464" s="688"/>
      <c r="R464" s="688"/>
      <c r="S464" s="688"/>
      <c r="T464" s="689"/>
      <c r="U464" s="689"/>
      <c r="V464" s="694"/>
      <c r="W464" s="694"/>
      <c r="X464" s="694"/>
      <c r="Y464" s="694"/>
      <c r="Z464" s="693"/>
      <c r="AA464" s="693"/>
      <c r="AB464" s="693"/>
      <c r="AC464" s="693"/>
      <c r="AD464" s="688"/>
      <c r="AE464" s="689"/>
      <c r="AF464" s="689"/>
      <c r="AG464" s="690"/>
      <c r="AH464" s="690"/>
      <c r="AI464" s="695"/>
      <c r="AJ464" s="695"/>
      <c r="AK464" s="692"/>
      <c r="AL464" s="692"/>
      <c r="AM464" s="693"/>
      <c r="AN464" s="688"/>
      <c r="AO464" s="688"/>
      <c r="AP464" s="688"/>
      <c r="AQ464" s="688"/>
      <c r="AR464" s="688"/>
      <c r="AS464" s="688"/>
      <c r="AT464" s="689"/>
      <c r="AU464" s="689"/>
      <c r="AV464" s="690"/>
      <c r="AW464" s="690"/>
      <c r="AX464" s="690"/>
      <c r="AY464" s="690"/>
      <c r="AZ464" s="690"/>
      <c r="BA464" s="690"/>
      <c r="BB464" s="695"/>
      <c r="BC464" s="695"/>
      <c r="BD464" s="695"/>
      <c r="BE464" s="695"/>
      <c r="BF464" s="692"/>
      <c r="BG464" s="692"/>
      <c r="BH464" s="692"/>
      <c r="BI464" s="692"/>
      <c r="BJ464" s="692"/>
      <c r="BK464" s="692"/>
      <c r="BL464" s="693"/>
      <c r="BM464" s="693"/>
      <c r="BN464" s="688"/>
      <c r="BO464" s="693"/>
      <c r="BP464" s="689"/>
      <c r="BQ464" s="694"/>
      <c r="BR464" s="687"/>
      <c r="BS464" s="687"/>
      <c r="BT464" s="687"/>
      <c r="BU464" s="687"/>
      <c r="BV464" s="687"/>
      <c r="BW464" s="688"/>
      <c r="BX464" s="688"/>
      <c r="BY464" s="689"/>
      <c r="BZ464" s="690"/>
      <c r="CA464" s="690"/>
      <c r="CB464" s="690"/>
      <c r="CC464" s="691"/>
      <c r="CD464" s="691"/>
      <c r="CE464" s="692"/>
      <c r="CF464" s="692"/>
      <c r="CG464" s="692"/>
      <c r="CH464" s="693"/>
    </row>
    <row r="465">
      <c r="B465" s="687"/>
      <c r="C465" s="687"/>
      <c r="D465" s="688"/>
      <c r="E465" s="689"/>
      <c r="F465" s="690"/>
      <c r="G465" s="690"/>
      <c r="H465" s="690"/>
      <c r="I465" s="691"/>
      <c r="J465" s="691"/>
      <c r="K465" s="691"/>
      <c r="L465" s="692"/>
      <c r="M465" s="692"/>
      <c r="N465" s="692"/>
      <c r="O465" s="693"/>
      <c r="P465" s="688"/>
      <c r="Q465" s="688"/>
      <c r="R465" s="688"/>
      <c r="S465" s="688"/>
      <c r="T465" s="689"/>
      <c r="U465" s="689"/>
      <c r="V465" s="694"/>
      <c r="W465" s="694"/>
      <c r="X465" s="694"/>
      <c r="Y465" s="694"/>
      <c r="Z465" s="693"/>
      <c r="AA465" s="693"/>
      <c r="AB465" s="693"/>
      <c r="AC465" s="693"/>
      <c r="AD465" s="688"/>
      <c r="AE465" s="689"/>
      <c r="AF465" s="689"/>
      <c r="AG465" s="690"/>
      <c r="AH465" s="690"/>
      <c r="AI465" s="695"/>
      <c r="AJ465" s="695"/>
      <c r="AK465" s="692"/>
      <c r="AL465" s="692"/>
      <c r="AM465" s="693"/>
      <c r="AN465" s="688"/>
      <c r="AO465" s="688"/>
      <c r="AP465" s="688"/>
      <c r="AQ465" s="688"/>
      <c r="AR465" s="688"/>
      <c r="AS465" s="688"/>
      <c r="AT465" s="689"/>
      <c r="AU465" s="689"/>
      <c r="AV465" s="690"/>
      <c r="AW465" s="690"/>
      <c r="AX465" s="690"/>
      <c r="AY465" s="690"/>
      <c r="AZ465" s="690"/>
      <c r="BA465" s="690"/>
      <c r="BB465" s="695"/>
      <c r="BC465" s="695"/>
      <c r="BD465" s="695"/>
      <c r="BE465" s="695"/>
      <c r="BF465" s="692"/>
      <c r="BG465" s="692"/>
      <c r="BH465" s="692"/>
      <c r="BI465" s="692"/>
      <c r="BJ465" s="692"/>
      <c r="BK465" s="692"/>
      <c r="BL465" s="693"/>
      <c r="BM465" s="693"/>
      <c r="BN465" s="688"/>
      <c r="BO465" s="693"/>
      <c r="BP465" s="689"/>
      <c r="BQ465" s="694"/>
      <c r="BR465" s="687"/>
      <c r="BS465" s="687"/>
      <c r="BT465" s="687"/>
      <c r="BU465" s="687"/>
      <c r="BV465" s="687"/>
      <c r="BW465" s="688"/>
      <c r="BX465" s="688"/>
      <c r="BY465" s="689"/>
      <c r="BZ465" s="690"/>
      <c r="CA465" s="690"/>
      <c r="CB465" s="690"/>
      <c r="CC465" s="691"/>
      <c r="CD465" s="691"/>
      <c r="CE465" s="692"/>
      <c r="CF465" s="692"/>
      <c r="CG465" s="692"/>
      <c r="CH465" s="693"/>
    </row>
    <row r="466">
      <c r="B466" s="687"/>
      <c r="C466" s="687"/>
      <c r="D466" s="688"/>
      <c r="E466" s="689"/>
      <c r="F466" s="690"/>
      <c r="G466" s="690"/>
      <c r="H466" s="690"/>
      <c r="I466" s="691"/>
      <c r="J466" s="691"/>
      <c r="K466" s="691"/>
      <c r="L466" s="692"/>
      <c r="M466" s="692"/>
      <c r="N466" s="692"/>
      <c r="O466" s="693"/>
      <c r="P466" s="688"/>
      <c r="Q466" s="688"/>
      <c r="R466" s="688"/>
      <c r="S466" s="688"/>
      <c r="T466" s="689"/>
      <c r="U466" s="689"/>
      <c r="V466" s="694"/>
      <c r="W466" s="694"/>
      <c r="X466" s="694"/>
      <c r="Y466" s="694"/>
      <c r="Z466" s="693"/>
      <c r="AA466" s="693"/>
      <c r="AB466" s="693"/>
      <c r="AC466" s="693"/>
      <c r="AD466" s="688"/>
      <c r="AE466" s="689"/>
      <c r="AF466" s="689"/>
      <c r="AG466" s="690"/>
      <c r="AH466" s="690"/>
      <c r="AI466" s="695"/>
      <c r="AJ466" s="695"/>
      <c r="AK466" s="692"/>
      <c r="AL466" s="692"/>
      <c r="AM466" s="693"/>
      <c r="AN466" s="688"/>
      <c r="AO466" s="688"/>
      <c r="AP466" s="688"/>
      <c r="AQ466" s="688"/>
      <c r="AR466" s="688"/>
      <c r="AS466" s="688"/>
      <c r="AT466" s="689"/>
      <c r="AU466" s="689"/>
      <c r="AV466" s="690"/>
      <c r="AW466" s="690"/>
      <c r="AX466" s="690"/>
      <c r="AY466" s="690"/>
      <c r="AZ466" s="690"/>
      <c r="BA466" s="690"/>
      <c r="BB466" s="695"/>
      <c r="BC466" s="695"/>
      <c r="BD466" s="695"/>
      <c r="BE466" s="695"/>
      <c r="BF466" s="692"/>
      <c r="BG466" s="692"/>
      <c r="BH466" s="692"/>
      <c r="BI466" s="692"/>
      <c r="BJ466" s="692"/>
      <c r="BK466" s="692"/>
      <c r="BL466" s="693"/>
      <c r="BM466" s="693"/>
      <c r="BN466" s="688"/>
      <c r="BO466" s="693"/>
      <c r="BP466" s="689"/>
      <c r="BQ466" s="694"/>
      <c r="BR466" s="687"/>
      <c r="BS466" s="687"/>
      <c r="BT466" s="687"/>
      <c r="BU466" s="687"/>
      <c r="BV466" s="687"/>
      <c r="BW466" s="688"/>
      <c r="BX466" s="688"/>
      <c r="BY466" s="689"/>
      <c r="BZ466" s="690"/>
      <c r="CA466" s="690"/>
      <c r="CB466" s="690"/>
      <c r="CC466" s="691"/>
      <c r="CD466" s="691"/>
      <c r="CE466" s="692"/>
      <c r="CF466" s="692"/>
      <c r="CG466" s="692"/>
      <c r="CH466" s="693"/>
    </row>
    <row r="467">
      <c r="B467" s="687"/>
      <c r="C467" s="687"/>
      <c r="D467" s="688"/>
      <c r="E467" s="689"/>
      <c r="F467" s="690"/>
      <c r="G467" s="690"/>
      <c r="H467" s="690"/>
      <c r="I467" s="691"/>
      <c r="J467" s="691"/>
      <c r="K467" s="691"/>
      <c r="L467" s="692"/>
      <c r="M467" s="692"/>
      <c r="N467" s="692"/>
      <c r="O467" s="693"/>
      <c r="P467" s="688"/>
      <c r="Q467" s="688"/>
      <c r="R467" s="688"/>
      <c r="S467" s="688"/>
      <c r="T467" s="689"/>
      <c r="U467" s="689"/>
      <c r="V467" s="694"/>
      <c r="W467" s="694"/>
      <c r="X467" s="694"/>
      <c r="Y467" s="694"/>
      <c r="Z467" s="693"/>
      <c r="AA467" s="693"/>
      <c r="AB467" s="693"/>
      <c r="AC467" s="693"/>
      <c r="AD467" s="688"/>
      <c r="AE467" s="689"/>
      <c r="AF467" s="689"/>
      <c r="AG467" s="690"/>
      <c r="AH467" s="690"/>
      <c r="AI467" s="695"/>
      <c r="AJ467" s="695"/>
      <c r="AK467" s="692"/>
      <c r="AL467" s="692"/>
      <c r="AM467" s="693"/>
      <c r="AN467" s="688"/>
      <c r="AO467" s="688"/>
      <c r="AP467" s="688"/>
      <c r="AQ467" s="688"/>
      <c r="AR467" s="688"/>
      <c r="AS467" s="688"/>
      <c r="AT467" s="689"/>
      <c r="AU467" s="689"/>
      <c r="AV467" s="690"/>
      <c r="AW467" s="690"/>
      <c r="AX467" s="690"/>
      <c r="AY467" s="690"/>
      <c r="AZ467" s="690"/>
      <c r="BA467" s="690"/>
      <c r="BB467" s="695"/>
      <c r="BC467" s="695"/>
      <c r="BD467" s="695"/>
      <c r="BE467" s="695"/>
      <c r="BF467" s="692"/>
      <c r="BG467" s="692"/>
      <c r="BH467" s="692"/>
      <c r="BI467" s="692"/>
      <c r="BJ467" s="692"/>
      <c r="BK467" s="692"/>
      <c r="BL467" s="693"/>
      <c r="BM467" s="693"/>
      <c r="BN467" s="688"/>
      <c r="BO467" s="693"/>
      <c r="BP467" s="689"/>
      <c r="BQ467" s="694"/>
      <c r="BR467" s="687"/>
      <c r="BS467" s="687"/>
      <c r="BT467" s="687"/>
      <c r="BU467" s="687"/>
      <c r="BV467" s="687"/>
      <c r="BW467" s="688"/>
      <c r="BX467" s="688"/>
      <c r="BY467" s="689"/>
      <c r="BZ467" s="690"/>
      <c r="CA467" s="690"/>
      <c r="CB467" s="690"/>
      <c r="CC467" s="691"/>
      <c r="CD467" s="691"/>
      <c r="CE467" s="692"/>
      <c r="CF467" s="692"/>
      <c r="CG467" s="692"/>
      <c r="CH467" s="693"/>
    </row>
    <row r="468">
      <c r="B468" s="687"/>
      <c r="C468" s="687"/>
      <c r="D468" s="688"/>
      <c r="E468" s="689"/>
      <c r="F468" s="690"/>
      <c r="G468" s="690"/>
      <c r="H468" s="690"/>
      <c r="I468" s="691"/>
      <c r="J468" s="691"/>
      <c r="K468" s="691"/>
      <c r="L468" s="692"/>
      <c r="M468" s="692"/>
      <c r="N468" s="692"/>
      <c r="O468" s="693"/>
      <c r="P468" s="688"/>
      <c r="Q468" s="688"/>
      <c r="R468" s="688"/>
      <c r="S468" s="688"/>
      <c r="T468" s="689"/>
      <c r="U468" s="689"/>
      <c r="V468" s="694"/>
      <c r="W468" s="694"/>
      <c r="X468" s="694"/>
      <c r="Y468" s="694"/>
      <c r="Z468" s="693"/>
      <c r="AA468" s="693"/>
      <c r="AB468" s="693"/>
      <c r="AC468" s="693"/>
      <c r="AD468" s="688"/>
      <c r="AE468" s="689"/>
      <c r="AF468" s="689"/>
      <c r="AG468" s="690"/>
      <c r="AH468" s="690"/>
      <c r="AI468" s="695"/>
      <c r="AJ468" s="695"/>
      <c r="AK468" s="692"/>
      <c r="AL468" s="692"/>
      <c r="AM468" s="693"/>
      <c r="AN468" s="688"/>
      <c r="AO468" s="688"/>
      <c r="AP468" s="688"/>
      <c r="AQ468" s="688"/>
      <c r="AR468" s="688"/>
      <c r="AS468" s="688"/>
      <c r="AT468" s="689"/>
      <c r="AU468" s="689"/>
      <c r="AV468" s="690"/>
      <c r="AW468" s="690"/>
      <c r="AX468" s="690"/>
      <c r="AY468" s="690"/>
      <c r="AZ468" s="690"/>
      <c r="BA468" s="690"/>
      <c r="BB468" s="695"/>
      <c r="BC468" s="695"/>
      <c r="BD468" s="695"/>
      <c r="BE468" s="695"/>
      <c r="BF468" s="692"/>
      <c r="BG468" s="692"/>
      <c r="BH468" s="692"/>
      <c r="BI468" s="692"/>
      <c r="BJ468" s="692"/>
      <c r="BK468" s="692"/>
      <c r="BL468" s="693"/>
      <c r="BM468" s="693"/>
      <c r="BN468" s="688"/>
      <c r="BO468" s="693"/>
      <c r="BP468" s="689"/>
      <c r="BQ468" s="694"/>
      <c r="BR468" s="687"/>
      <c r="BS468" s="687"/>
      <c r="BT468" s="687"/>
      <c r="BU468" s="687"/>
      <c r="BV468" s="687"/>
      <c r="BW468" s="688"/>
      <c r="BX468" s="688"/>
      <c r="BY468" s="689"/>
      <c r="BZ468" s="690"/>
      <c r="CA468" s="690"/>
      <c r="CB468" s="690"/>
      <c r="CC468" s="691"/>
      <c r="CD468" s="691"/>
      <c r="CE468" s="692"/>
      <c r="CF468" s="692"/>
      <c r="CG468" s="692"/>
      <c r="CH468" s="693"/>
    </row>
    <row r="469">
      <c r="B469" s="687"/>
      <c r="C469" s="687"/>
      <c r="D469" s="688"/>
      <c r="E469" s="689"/>
      <c r="F469" s="690"/>
      <c r="G469" s="690"/>
      <c r="H469" s="690"/>
      <c r="I469" s="691"/>
      <c r="J469" s="691"/>
      <c r="K469" s="691"/>
      <c r="L469" s="692"/>
      <c r="M469" s="692"/>
      <c r="N469" s="692"/>
      <c r="O469" s="693"/>
      <c r="P469" s="688"/>
      <c r="Q469" s="688"/>
      <c r="R469" s="688"/>
      <c r="S469" s="688"/>
      <c r="T469" s="689"/>
      <c r="U469" s="689"/>
      <c r="V469" s="694"/>
      <c r="W469" s="694"/>
      <c r="X469" s="694"/>
      <c r="Y469" s="694"/>
      <c r="Z469" s="693"/>
      <c r="AA469" s="693"/>
      <c r="AB469" s="693"/>
      <c r="AC469" s="693"/>
      <c r="AD469" s="688"/>
      <c r="AE469" s="689"/>
      <c r="AF469" s="689"/>
      <c r="AG469" s="690"/>
      <c r="AH469" s="690"/>
      <c r="AI469" s="695"/>
      <c r="AJ469" s="695"/>
      <c r="AK469" s="692"/>
      <c r="AL469" s="692"/>
      <c r="AM469" s="693"/>
      <c r="AN469" s="688"/>
      <c r="AO469" s="688"/>
      <c r="AP469" s="688"/>
      <c r="AQ469" s="688"/>
      <c r="AR469" s="688"/>
      <c r="AS469" s="688"/>
      <c r="AT469" s="689"/>
      <c r="AU469" s="689"/>
      <c r="AV469" s="690"/>
      <c r="AW469" s="690"/>
      <c r="AX469" s="690"/>
      <c r="AY469" s="690"/>
      <c r="AZ469" s="690"/>
      <c r="BA469" s="690"/>
      <c r="BB469" s="695"/>
      <c r="BC469" s="695"/>
      <c r="BD469" s="695"/>
      <c r="BE469" s="695"/>
      <c r="BF469" s="692"/>
      <c r="BG469" s="692"/>
      <c r="BH469" s="692"/>
      <c r="BI469" s="692"/>
      <c r="BJ469" s="692"/>
      <c r="BK469" s="692"/>
      <c r="BL469" s="693"/>
      <c r="BM469" s="693"/>
      <c r="BN469" s="688"/>
      <c r="BO469" s="693"/>
      <c r="BP469" s="689"/>
      <c r="BQ469" s="694"/>
      <c r="BR469" s="687"/>
      <c r="BS469" s="687"/>
      <c r="BT469" s="687"/>
      <c r="BU469" s="687"/>
      <c r="BV469" s="687"/>
      <c r="BW469" s="688"/>
      <c r="BX469" s="688"/>
      <c r="BY469" s="689"/>
      <c r="BZ469" s="690"/>
      <c r="CA469" s="690"/>
      <c r="CB469" s="690"/>
      <c r="CC469" s="691"/>
      <c r="CD469" s="691"/>
      <c r="CE469" s="692"/>
      <c r="CF469" s="692"/>
      <c r="CG469" s="692"/>
      <c r="CH469" s="693"/>
    </row>
    <row r="470">
      <c r="B470" s="687"/>
      <c r="C470" s="687"/>
      <c r="D470" s="688"/>
      <c r="E470" s="689"/>
      <c r="F470" s="690"/>
      <c r="G470" s="690"/>
      <c r="H470" s="690"/>
      <c r="I470" s="691"/>
      <c r="J470" s="691"/>
      <c r="K470" s="691"/>
      <c r="L470" s="692"/>
      <c r="M470" s="692"/>
      <c r="N470" s="692"/>
      <c r="O470" s="693"/>
      <c r="P470" s="688"/>
      <c r="Q470" s="688"/>
      <c r="R470" s="688"/>
      <c r="S470" s="688"/>
      <c r="T470" s="689"/>
      <c r="U470" s="689"/>
      <c r="V470" s="694"/>
      <c r="W470" s="694"/>
      <c r="X470" s="694"/>
      <c r="Y470" s="694"/>
      <c r="Z470" s="693"/>
      <c r="AA470" s="693"/>
      <c r="AB470" s="693"/>
      <c r="AC470" s="693"/>
      <c r="AD470" s="688"/>
      <c r="AE470" s="689"/>
      <c r="AF470" s="689"/>
      <c r="AG470" s="690"/>
      <c r="AH470" s="690"/>
      <c r="AI470" s="695"/>
      <c r="AJ470" s="695"/>
      <c r="AK470" s="692"/>
      <c r="AL470" s="692"/>
      <c r="AM470" s="693"/>
      <c r="AN470" s="688"/>
      <c r="AO470" s="688"/>
      <c r="AP470" s="688"/>
      <c r="AQ470" s="688"/>
      <c r="AR470" s="688"/>
      <c r="AS470" s="688"/>
      <c r="AT470" s="689"/>
      <c r="AU470" s="689"/>
      <c r="AV470" s="690"/>
      <c r="AW470" s="690"/>
      <c r="AX470" s="690"/>
      <c r="AY470" s="690"/>
      <c r="AZ470" s="690"/>
      <c r="BA470" s="690"/>
      <c r="BB470" s="695"/>
      <c r="BC470" s="695"/>
      <c r="BD470" s="695"/>
      <c r="BE470" s="695"/>
      <c r="BF470" s="692"/>
      <c r="BG470" s="692"/>
      <c r="BH470" s="692"/>
      <c r="BI470" s="692"/>
      <c r="BJ470" s="692"/>
      <c r="BK470" s="692"/>
      <c r="BL470" s="693"/>
      <c r="BM470" s="693"/>
      <c r="BN470" s="688"/>
      <c r="BO470" s="693"/>
      <c r="BP470" s="689"/>
      <c r="BQ470" s="694"/>
      <c r="BR470" s="687"/>
      <c r="BS470" s="687"/>
      <c r="BT470" s="687"/>
      <c r="BU470" s="687"/>
      <c r="BV470" s="687"/>
      <c r="BW470" s="688"/>
      <c r="BX470" s="688"/>
      <c r="BY470" s="689"/>
      <c r="BZ470" s="690"/>
      <c r="CA470" s="690"/>
      <c r="CB470" s="690"/>
      <c r="CC470" s="691"/>
      <c r="CD470" s="691"/>
      <c r="CE470" s="692"/>
      <c r="CF470" s="692"/>
      <c r="CG470" s="692"/>
      <c r="CH470" s="693"/>
    </row>
    <row r="471">
      <c r="B471" s="687"/>
      <c r="C471" s="687"/>
      <c r="D471" s="688"/>
      <c r="E471" s="689"/>
      <c r="F471" s="690"/>
      <c r="G471" s="690"/>
      <c r="H471" s="690"/>
      <c r="I471" s="691"/>
      <c r="J471" s="691"/>
      <c r="K471" s="691"/>
      <c r="L471" s="692"/>
      <c r="M471" s="692"/>
      <c r="N471" s="692"/>
      <c r="O471" s="693"/>
      <c r="P471" s="688"/>
      <c r="Q471" s="688"/>
      <c r="R471" s="688"/>
      <c r="S471" s="688"/>
      <c r="T471" s="689"/>
      <c r="U471" s="689"/>
      <c r="V471" s="694"/>
      <c r="W471" s="694"/>
      <c r="X471" s="694"/>
      <c r="Y471" s="694"/>
      <c r="Z471" s="693"/>
      <c r="AA471" s="693"/>
      <c r="AB471" s="693"/>
      <c r="AC471" s="693"/>
      <c r="AD471" s="688"/>
      <c r="AE471" s="689"/>
      <c r="AF471" s="689"/>
      <c r="AG471" s="690"/>
      <c r="AH471" s="690"/>
      <c r="AI471" s="695"/>
      <c r="AJ471" s="695"/>
      <c r="AK471" s="692"/>
      <c r="AL471" s="692"/>
      <c r="AM471" s="693"/>
      <c r="AN471" s="688"/>
      <c r="AO471" s="688"/>
      <c r="AP471" s="688"/>
      <c r="AQ471" s="688"/>
      <c r="AR471" s="688"/>
      <c r="AS471" s="688"/>
      <c r="AT471" s="689"/>
      <c r="AU471" s="689"/>
      <c r="AV471" s="690"/>
      <c r="AW471" s="690"/>
      <c r="AX471" s="690"/>
      <c r="AY471" s="690"/>
      <c r="AZ471" s="690"/>
      <c r="BA471" s="690"/>
      <c r="BB471" s="695"/>
      <c r="BC471" s="695"/>
      <c r="BD471" s="695"/>
      <c r="BE471" s="695"/>
      <c r="BF471" s="692"/>
      <c r="BG471" s="692"/>
      <c r="BH471" s="692"/>
      <c r="BI471" s="692"/>
      <c r="BJ471" s="692"/>
      <c r="BK471" s="692"/>
      <c r="BL471" s="693"/>
      <c r="BM471" s="693"/>
      <c r="BN471" s="688"/>
      <c r="BO471" s="693"/>
      <c r="BP471" s="689"/>
      <c r="BQ471" s="694"/>
      <c r="BR471" s="687"/>
      <c r="BS471" s="687"/>
      <c r="BT471" s="687"/>
      <c r="BU471" s="687"/>
      <c r="BV471" s="687"/>
      <c r="BW471" s="688"/>
      <c r="BX471" s="688"/>
      <c r="BY471" s="689"/>
      <c r="BZ471" s="690"/>
      <c r="CA471" s="690"/>
      <c r="CB471" s="690"/>
      <c r="CC471" s="691"/>
      <c r="CD471" s="691"/>
      <c r="CE471" s="692"/>
      <c r="CF471" s="692"/>
      <c r="CG471" s="692"/>
      <c r="CH471" s="693"/>
    </row>
    <row r="472">
      <c r="B472" s="687"/>
      <c r="C472" s="687"/>
      <c r="D472" s="688"/>
      <c r="E472" s="689"/>
      <c r="F472" s="690"/>
      <c r="G472" s="690"/>
      <c r="H472" s="690"/>
      <c r="I472" s="691"/>
      <c r="J472" s="691"/>
      <c r="K472" s="691"/>
      <c r="L472" s="692"/>
      <c r="M472" s="692"/>
      <c r="N472" s="692"/>
      <c r="O472" s="693"/>
      <c r="P472" s="688"/>
      <c r="Q472" s="688"/>
      <c r="R472" s="688"/>
      <c r="S472" s="688"/>
      <c r="T472" s="689"/>
      <c r="U472" s="689"/>
      <c r="V472" s="694"/>
      <c r="W472" s="694"/>
      <c r="X472" s="694"/>
      <c r="Y472" s="694"/>
      <c r="Z472" s="693"/>
      <c r="AA472" s="693"/>
      <c r="AB472" s="693"/>
      <c r="AC472" s="693"/>
      <c r="AD472" s="688"/>
      <c r="AE472" s="689"/>
      <c r="AF472" s="689"/>
      <c r="AG472" s="690"/>
      <c r="AH472" s="690"/>
      <c r="AI472" s="695"/>
      <c r="AJ472" s="695"/>
      <c r="AK472" s="692"/>
      <c r="AL472" s="692"/>
      <c r="AM472" s="693"/>
      <c r="AN472" s="688"/>
      <c r="AO472" s="688"/>
      <c r="AP472" s="688"/>
      <c r="AQ472" s="688"/>
      <c r="AR472" s="688"/>
      <c r="AS472" s="688"/>
      <c r="AT472" s="689"/>
      <c r="AU472" s="689"/>
      <c r="AV472" s="690"/>
      <c r="AW472" s="690"/>
      <c r="AX472" s="690"/>
      <c r="AY472" s="690"/>
      <c r="AZ472" s="690"/>
      <c r="BA472" s="690"/>
      <c r="BB472" s="695"/>
      <c r="BC472" s="695"/>
      <c r="BD472" s="695"/>
      <c r="BE472" s="695"/>
      <c r="BF472" s="692"/>
      <c r="BG472" s="692"/>
      <c r="BH472" s="692"/>
      <c r="BI472" s="692"/>
      <c r="BJ472" s="692"/>
      <c r="BK472" s="692"/>
      <c r="BL472" s="693"/>
      <c r="BM472" s="693"/>
      <c r="BN472" s="688"/>
      <c r="BO472" s="693"/>
      <c r="BP472" s="689"/>
      <c r="BQ472" s="694"/>
      <c r="BR472" s="687"/>
      <c r="BS472" s="687"/>
      <c r="BT472" s="687"/>
      <c r="BU472" s="687"/>
      <c r="BV472" s="687"/>
      <c r="BW472" s="688"/>
      <c r="BX472" s="688"/>
      <c r="BY472" s="689"/>
      <c r="BZ472" s="690"/>
      <c r="CA472" s="690"/>
      <c r="CB472" s="690"/>
      <c r="CC472" s="691"/>
      <c r="CD472" s="691"/>
      <c r="CE472" s="692"/>
      <c r="CF472" s="692"/>
      <c r="CG472" s="692"/>
      <c r="CH472" s="693"/>
    </row>
    <row r="473">
      <c r="B473" s="687"/>
      <c r="C473" s="687"/>
      <c r="D473" s="688"/>
      <c r="E473" s="689"/>
      <c r="F473" s="690"/>
      <c r="G473" s="690"/>
      <c r="H473" s="690"/>
      <c r="I473" s="691"/>
      <c r="J473" s="691"/>
      <c r="K473" s="691"/>
      <c r="L473" s="692"/>
      <c r="M473" s="692"/>
      <c r="N473" s="692"/>
      <c r="O473" s="693"/>
      <c r="P473" s="688"/>
      <c r="Q473" s="688"/>
      <c r="R473" s="688"/>
      <c r="S473" s="688"/>
      <c r="T473" s="689"/>
      <c r="U473" s="689"/>
      <c r="V473" s="694"/>
      <c r="W473" s="694"/>
      <c r="X473" s="694"/>
      <c r="Y473" s="694"/>
      <c r="Z473" s="693"/>
      <c r="AA473" s="693"/>
      <c r="AB473" s="693"/>
      <c r="AC473" s="693"/>
      <c r="AD473" s="688"/>
      <c r="AE473" s="689"/>
      <c r="AF473" s="689"/>
      <c r="AG473" s="690"/>
      <c r="AH473" s="690"/>
      <c r="AI473" s="695"/>
      <c r="AJ473" s="695"/>
      <c r="AK473" s="692"/>
      <c r="AL473" s="692"/>
      <c r="AM473" s="693"/>
      <c r="AN473" s="688"/>
      <c r="AO473" s="688"/>
      <c r="AP473" s="688"/>
      <c r="AQ473" s="688"/>
      <c r="AR473" s="688"/>
      <c r="AS473" s="688"/>
      <c r="AT473" s="689"/>
      <c r="AU473" s="689"/>
      <c r="AV473" s="690"/>
      <c r="AW473" s="690"/>
      <c r="AX473" s="690"/>
      <c r="AY473" s="690"/>
      <c r="AZ473" s="690"/>
      <c r="BA473" s="690"/>
      <c r="BB473" s="695"/>
      <c r="BC473" s="695"/>
      <c r="BD473" s="695"/>
      <c r="BE473" s="695"/>
      <c r="BF473" s="692"/>
      <c r="BG473" s="692"/>
      <c r="BH473" s="692"/>
      <c r="BI473" s="692"/>
      <c r="BJ473" s="692"/>
      <c r="BK473" s="692"/>
      <c r="BL473" s="693"/>
      <c r="BM473" s="693"/>
      <c r="BN473" s="688"/>
      <c r="BO473" s="693"/>
      <c r="BP473" s="689"/>
      <c r="BQ473" s="694"/>
      <c r="BR473" s="687"/>
      <c r="BS473" s="687"/>
      <c r="BT473" s="687"/>
      <c r="BU473" s="687"/>
      <c r="BV473" s="687"/>
      <c r="BW473" s="688"/>
      <c r="BX473" s="688"/>
      <c r="BY473" s="689"/>
      <c r="BZ473" s="690"/>
      <c r="CA473" s="690"/>
      <c r="CB473" s="690"/>
      <c r="CC473" s="691"/>
      <c r="CD473" s="691"/>
      <c r="CE473" s="692"/>
      <c r="CF473" s="692"/>
      <c r="CG473" s="692"/>
      <c r="CH473" s="693"/>
    </row>
    <row r="474">
      <c r="B474" s="687"/>
      <c r="C474" s="687"/>
      <c r="D474" s="688"/>
      <c r="E474" s="689"/>
      <c r="F474" s="690"/>
      <c r="G474" s="690"/>
      <c r="H474" s="690"/>
      <c r="I474" s="691"/>
      <c r="J474" s="691"/>
      <c r="K474" s="691"/>
      <c r="L474" s="692"/>
      <c r="M474" s="692"/>
      <c r="N474" s="692"/>
      <c r="O474" s="693"/>
      <c r="P474" s="688"/>
      <c r="Q474" s="688"/>
      <c r="R474" s="688"/>
      <c r="S474" s="688"/>
      <c r="T474" s="689"/>
      <c r="U474" s="689"/>
      <c r="V474" s="694"/>
      <c r="W474" s="694"/>
      <c r="X474" s="694"/>
      <c r="Y474" s="694"/>
      <c r="Z474" s="693"/>
      <c r="AA474" s="693"/>
      <c r="AB474" s="693"/>
      <c r="AC474" s="693"/>
      <c r="AD474" s="688"/>
      <c r="AE474" s="689"/>
      <c r="AF474" s="689"/>
      <c r="AG474" s="690"/>
      <c r="AH474" s="690"/>
      <c r="AI474" s="695"/>
      <c r="AJ474" s="695"/>
      <c r="AK474" s="692"/>
      <c r="AL474" s="692"/>
      <c r="AM474" s="693"/>
      <c r="AN474" s="688"/>
      <c r="AO474" s="688"/>
      <c r="AP474" s="688"/>
      <c r="AQ474" s="688"/>
      <c r="AR474" s="688"/>
      <c r="AS474" s="688"/>
      <c r="AT474" s="689"/>
      <c r="AU474" s="689"/>
      <c r="AV474" s="690"/>
      <c r="AW474" s="690"/>
      <c r="AX474" s="690"/>
      <c r="AY474" s="690"/>
      <c r="AZ474" s="690"/>
      <c r="BA474" s="690"/>
      <c r="BB474" s="695"/>
      <c r="BC474" s="695"/>
      <c r="BD474" s="695"/>
      <c r="BE474" s="695"/>
      <c r="BF474" s="692"/>
      <c r="BG474" s="692"/>
      <c r="BH474" s="692"/>
      <c r="BI474" s="692"/>
      <c r="BJ474" s="692"/>
      <c r="BK474" s="692"/>
      <c r="BL474" s="693"/>
      <c r="BM474" s="693"/>
      <c r="BN474" s="688"/>
      <c r="BO474" s="693"/>
      <c r="BP474" s="689"/>
      <c r="BQ474" s="694"/>
      <c r="BR474" s="687"/>
      <c r="BS474" s="687"/>
      <c r="BT474" s="687"/>
      <c r="BU474" s="687"/>
      <c r="BV474" s="687"/>
      <c r="BW474" s="688"/>
      <c r="BX474" s="688"/>
      <c r="BY474" s="689"/>
      <c r="BZ474" s="690"/>
      <c r="CA474" s="690"/>
      <c r="CB474" s="690"/>
      <c r="CC474" s="691"/>
      <c r="CD474" s="691"/>
      <c r="CE474" s="692"/>
      <c r="CF474" s="692"/>
      <c r="CG474" s="692"/>
      <c r="CH474" s="693"/>
    </row>
    <row r="475">
      <c r="B475" s="687"/>
      <c r="C475" s="687"/>
      <c r="D475" s="688"/>
      <c r="E475" s="689"/>
      <c r="F475" s="690"/>
      <c r="G475" s="690"/>
      <c r="H475" s="690"/>
      <c r="I475" s="691"/>
      <c r="J475" s="691"/>
      <c r="K475" s="691"/>
      <c r="L475" s="692"/>
      <c r="M475" s="692"/>
      <c r="N475" s="692"/>
      <c r="O475" s="693"/>
      <c r="P475" s="688"/>
      <c r="Q475" s="688"/>
      <c r="R475" s="688"/>
      <c r="S475" s="688"/>
      <c r="T475" s="689"/>
      <c r="U475" s="689"/>
      <c r="V475" s="694"/>
      <c r="W475" s="694"/>
      <c r="X475" s="694"/>
      <c r="Y475" s="694"/>
      <c r="Z475" s="693"/>
      <c r="AA475" s="693"/>
      <c r="AB475" s="693"/>
      <c r="AC475" s="693"/>
      <c r="AD475" s="688"/>
      <c r="AE475" s="689"/>
      <c r="AF475" s="689"/>
      <c r="AG475" s="690"/>
      <c r="AH475" s="690"/>
      <c r="AI475" s="695"/>
      <c r="AJ475" s="695"/>
      <c r="AK475" s="692"/>
      <c r="AL475" s="692"/>
      <c r="AM475" s="693"/>
      <c r="AN475" s="688"/>
      <c r="AO475" s="688"/>
      <c r="AP475" s="688"/>
      <c r="AQ475" s="688"/>
      <c r="AR475" s="688"/>
      <c r="AS475" s="688"/>
      <c r="AT475" s="689"/>
      <c r="AU475" s="689"/>
      <c r="AV475" s="690"/>
      <c r="AW475" s="690"/>
      <c r="AX475" s="690"/>
      <c r="AY475" s="690"/>
      <c r="AZ475" s="690"/>
      <c r="BA475" s="690"/>
      <c r="BB475" s="695"/>
      <c r="BC475" s="695"/>
      <c r="BD475" s="695"/>
      <c r="BE475" s="695"/>
      <c r="BF475" s="692"/>
      <c r="BG475" s="692"/>
      <c r="BH475" s="692"/>
      <c r="BI475" s="692"/>
      <c r="BJ475" s="692"/>
      <c r="BK475" s="692"/>
      <c r="BL475" s="693"/>
      <c r="BM475" s="693"/>
      <c r="BN475" s="688"/>
      <c r="BO475" s="693"/>
      <c r="BP475" s="689"/>
      <c r="BQ475" s="694"/>
      <c r="BR475" s="687"/>
      <c r="BS475" s="687"/>
      <c r="BT475" s="687"/>
      <c r="BU475" s="687"/>
      <c r="BV475" s="687"/>
      <c r="BW475" s="688"/>
      <c r="BX475" s="688"/>
      <c r="BY475" s="689"/>
      <c r="BZ475" s="690"/>
      <c r="CA475" s="690"/>
      <c r="CB475" s="690"/>
      <c r="CC475" s="691"/>
      <c r="CD475" s="691"/>
      <c r="CE475" s="692"/>
      <c r="CF475" s="692"/>
      <c r="CG475" s="692"/>
      <c r="CH475" s="693"/>
    </row>
    <row r="476">
      <c r="B476" s="687"/>
      <c r="C476" s="687"/>
      <c r="D476" s="688"/>
      <c r="E476" s="689"/>
      <c r="F476" s="690"/>
      <c r="G476" s="690"/>
      <c r="H476" s="690"/>
      <c r="I476" s="691"/>
      <c r="J476" s="691"/>
      <c r="K476" s="691"/>
      <c r="L476" s="692"/>
      <c r="M476" s="692"/>
      <c r="N476" s="692"/>
      <c r="O476" s="693"/>
      <c r="P476" s="688"/>
      <c r="Q476" s="688"/>
      <c r="R476" s="688"/>
      <c r="S476" s="688"/>
      <c r="T476" s="689"/>
      <c r="U476" s="689"/>
      <c r="V476" s="694"/>
      <c r="W476" s="694"/>
      <c r="X476" s="694"/>
      <c r="Y476" s="694"/>
      <c r="Z476" s="693"/>
      <c r="AA476" s="693"/>
      <c r="AB476" s="693"/>
      <c r="AC476" s="693"/>
      <c r="AD476" s="688"/>
      <c r="AE476" s="689"/>
      <c r="AF476" s="689"/>
      <c r="AG476" s="690"/>
      <c r="AH476" s="690"/>
      <c r="AI476" s="695"/>
      <c r="AJ476" s="695"/>
      <c r="AK476" s="692"/>
      <c r="AL476" s="692"/>
      <c r="AM476" s="693"/>
      <c r="AN476" s="688"/>
      <c r="AO476" s="688"/>
      <c r="AP476" s="688"/>
      <c r="AQ476" s="688"/>
      <c r="AR476" s="688"/>
      <c r="AS476" s="688"/>
      <c r="AT476" s="689"/>
      <c r="AU476" s="689"/>
      <c r="AV476" s="690"/>
      <c r="AW476" s="690"/>
      <c r="AX476" s="690"/>
      <c r="AY476" s="690"/>
      <c r="AZ476" s="690"/>
      <c r="BA476" s="690"/>
      <c r="BB476" s="695"/>
      <c r="BC476" s="695"/>
      <c r="BD476" s="695"/>
      <c r="BE476" s="695"/>
      <c r="BF476" s="692"/>
      <c r="BG476" s="692"/>
      <c r="BH476" s="692"/>
      <c r="BI476" s="692"/>
      <c r="BJ476" s="692"/>
      <c r="BK476" s="692"/>
      <c r="BL476" s="693"/>
      <c r="BM476" s="693"/>
      <c r="BN476" s="688"/>
      <c r="BO476" s="693"/>
      <c r="BP476" s="689"/>
      <c r="BQ476" s="694"/>
      <c r="BR476" s="687"/>
      <c r="BS476" s="687"/>
      <c r="BT476" s="687"/>
      <c r="BU476" s="687"/>
      <c r="BV476" s="687"/>
      <c r="BW476" s="688"/>
      <c r="BX476" s="688"/>
      <c r="BY476" s="689"/>
      <c r="BZ476" s="690"/>
      <c r="CA476" s="690"/>
      <c r="CB476" s="690"/>
      <c r="CC476" s="691"/>
      <c r="CD476" s="691"/>
      <c r="CE476" s="692"/>
      <c r="CF476" s="692"/>
      <c r="CG476" s="692"/>
      <c r="CH476" s="693"/>
    </row>
    <row r="477">
      <c r="B477" s="687"/>
      <c r="C477" s="687"/>
      <c r="D477" s="688"/>
      <c r="E477" s="689"/>
      <c r="F477" s="690"/>
      <c r="G477" s="690"/>
      <c r="H477" s="690"/>
      <c r="I477" s="691"/>
      <c r="J477" s="691"/>
      <c r="K477" s="691"/>
      <c r="L477" s="692"/>
      <c r="M477" s="692"/>
      <c r="N477" s="692"/>
      <c r="O477" s="693"/>
      <c r="P477" s="688"/>
      <c r="Q477" s="688"/>
      <c r="R477" s="688"/>
      <c r="S477" s="688"/>
      <c r="T477" s="689"/>
      <c r="U477" s="689"/>
      <c r="V477" s="694"/>
      <c r="W477" s="694"/>
      <c r="X477" s="694"/>
      <c r="Y477" s="694"/>
      <c r="Z477" s="693"/>
      <c r="AA477" s="693"/>
      <c r="AB477" s="693"/>
      <c r="AC477" s="693"/>
      <c r="AD477" s="688"/>
      <c r="AE477" s="689"/>
      <c r="AF477" s="689"/>
      <c r="AG477" s="690"/>
      <c r="AH477" s="690"/>
      <c r="AI477" s="695"/>
      <c r="AJ477" s="695"/>
      <c r="AK477" s="692"/>
      <c r="AL477" s="692"/>
      <c r="AM477" s="693"/>
      <c r="AN477" s="688"/>
      <c r="AO477" s="688"/>
      <c r="AP477" s="688"/>
      <c r="AQ477" s="688"/>
      <c r="AR477" s="688"/>
      <c r="AS477" s="688"/>
      <c r="AT477" s="689"/>
      <c r="AU477" s="689"/>
      <c r="AV477" s="690"/>
      <c r="AW477" s="690"/>
      <c r="AX477" s="690"/>
      <c r="AY477" s="690"/>
      <c r="AZ477" s="690"/>
      <c r="BA477" s="690"/>
      <c r="BB477" s="695"/>
      <c r="BC477" s="695"/>
      <c r="BD477" s="695"/>
      <c r="BE477" s="695"/>
      <c r="BF477" s="692"/>
      <c r="BG477" s="692"/>
      <c r="BH477" s="692"/>
      <c r="BI477" s="692"/>
      <c r="BJ477" s="692"/>
      <c r="BK477" s="692"/>
      <c r="BL477" s="693"/>
      <c r="BM477" s="693"/>
      <c r="BN477" s="688"/>
      <c r="BO477" s="693"/>
      <c r="BP477" s="689"/>
      <c r="BQ477" s="694"/>
      <c r="BR477" s="687"/>
      <c r="BS477" s="687"/>
      <c r="BT477" s="687"/>
      <c r="BU477" s="687"/>
      <c r="BV477" s="687"/>
      <c r="BW477" s="688"/>
      <c r="BX477" s="688"/>
      <c r="BY477" s="689"/>
      <c r="BZ477" s="690"/>
      <c r="CA477" s="690"/>
      <c r="CB477" s="690"/>
      <c r="CC477" s="691"/>
      <c r="CD477" s="691"/>
      <c r="CE477" s="692"/>
      <c r="CF477" s="692"/>
      <c r="CG477" s="692"/>
      <c r="CH477" s="693"/>
    </row>
    <row r="478">
      <c r="B478" s="687"/>
      <c r="C478" s="687"/>
      <c r="D478" s="688"/>
      <c r="E478" s="689"/>
      <c r="F478" s="690"/>
      <c r="G478" s="690"/>
      <c r="H478" s="690"/>
      <c r="I478" s="691"/>
      <c r="J478" s="691"/>
      <c r="K478" s="691"/>
      <c r="L478" s="692"/>
      <c r="M478" s="692"/>
      <c r="N478" s="692"/>
      <c r="O478" s="693"/>
      <c r="P478" s="688"/>
      <c r="Q478" s="688"/>
      <c r="R478" s="688"/>
      <c r="S478" s="688"/>
      <c r="T478" s="689"/>
      <c r="U478" s="689"/>
      <c r="V478" s="694"/>
      <c r="W478" s="694"/>
      <c r="X478" s="694"/>
      <c r="Y478" s="694"/>
      <c r="Z478" s="693"/>
      <c r="AA478" s="693"/>
      <c r="AB478" s="693"/>
      <c r="AC478" s="693"/>
      <c r="AD478" s="688"/>
      <c r="AE478" s="689"/>
      <c r="AF478" s="689"/>
      <c r="AG478" s="690"/>
      <c r="AH478" s="690"/>
      <c r="AI478" s="695"/>
      <c r="AJ478" s="695"/>
      <c r="AK478" s="692"/>
      <c r="AL478" s="692"/>
      <c r="AM478" s="693"/>
      <c r="AN478" s="688"/>
      <c r="AO478" s="688"/>
      <c r="AP478" s="688"/>
      <c r="AQ478" s="688"/>
      <c r="AR478" s="688"/>
      <c r="AS478" s="688"/>
      <c r="AT478" s="689"/>
      <c r="AU478" s="689"/>
      <c r="AV478" s="690"/>
      <c r="AW478" s="690"/>
      <c r="AX478" s="690"/>
      <c r="AY478" s="690"/>
      <c r="AZ478" s="690"/>
      <c r="BA478" s="690"/>
      <c r="BB478" s="695"/>
      <c r="BC478" s="695"/>
      <c r="BD478" s="695"/>
      <c r="BE478" s="695"/>
      <c r="BF478" s="692"/>
      <c r="BG478" s="692"/>
      <c r="BH478" s="692"/>
      <c r="BI478" s="692"/>
      <c r="BJ478" s="692"/>
      <c r="BK478" s="692"/>
      <c r="BL478" s="693"/>
      <c r="BM478" s="693"/>
      <c r="BN478" s="688"/>
      <c r="BO478" s="693"/>
      <c r="BP478" s="689"/>
      <c r="BQ478" s="694"/>
      <c r="BR478" s="687"/>
      <c r="BS478" s="687"/>
      <c r="BT478" s="687"/>
      <c r="BU478" s="687"/>
      <c r="BV478" s="687"/>
      <c r="BW478" s="688"/>
      <c r="BX478" s="688"/>
      <c r="BY478" s="689"/>
      <c r="BZ478" s="690"/>
      <c r="CA478" s="690"/>
      <c r="CB478" s="690"/>
      <c r="CC478" s="691"/>
      <c r="CD478" s="691"/>
      <c r="CE478" s="692"/>
      <c r="CF478" s="692"/>
      <c r="CG478" s="692"/>
      <c r="CH478" s="693"/>
    </row>
    <row r="479">
      <c r="B479" s="687"/>
      <c r="C479" s="687"/>
      <c r="D479" s="688"/>
      <c r="E479" s="689"/>
      <c r="F479" s="690"/>
      <c r="G479" s="690"/>
      <c r="H479" s="690"/>
      <c r="I479" s="691"/>
      <c r="J479" s="691"/>
      <c r="K479" s="691"/>
      <c r="L479" s="692"/>
      <c r="M479" s="692"/>
      <c r="N479" s="692"/>
      <c r="O479" s="693"/>
      <c r="P479" s="688"/>
      <c r="Q479" s="688"/>
      <c r="R479" s="688"/>
      <c r="S479" s="688"/>
      <c r="T479" s="689"/>
      <c r="U479" s="689"/>
      <c r="V479" s="694"/>
      <c r="W479" s="694"/>
      <c r="X479" s="694"/>
      <c r="Y479" s="694"/>
      <c r="Z479" s="693"/>
      <c r="AA479" s="693"/>
      <c r="AB479" s="693"/>
      <c r="AC479" s="693"/>
      <c r="AD479" s="688"/>
      <c r="AE479" s="689"/>
      <c r="AF479" s="689"/>
      <c r="AG479" s="690"/>
      <c r="AH479" s="690"/>
      <c r="AI479" s="695"/>
      <c r="AJ479" s="695"/>
      <c r="AK479" s="692"/>
      <c r="AL479" s="692"/>
      <c r="AM479" s="693"/>
      <c r="AN479" s="688"/>
      <c r="AO479" s="688"/>
      <c r="AP479" s="688"/>
      <c r="AQ479" s="688"/>
      <c r="AR479" s="688"/>
      <c r="AS479" s="688"/>
      <c r="AT479" s="689"/>
      <c r="AU479" s="689"/>
      <c r="AV479" s="690"/>
      <c r="AW479" s="690"/>
      <c r="AX479" s="690"/>
      <c r="AY479" s="690"/>
      <c r="AZ479" s="690"/>
      <c r="BA479" s="690"/>
      <c r="BB479" s="695"/>
      <c r="BC479" s="695"/>
      <c r="BD479" s="695"/>
      <c r="BE479" s="695"/>
      <c r="BF479" s="692"/>
      <c r="BG479" s="692"/>
      <c r="BH479" s="692"/>
      <c r="BI479" s="692"/>
      <c r="BJ479" s="692"/>
      <c r="BK479" s="692"/>
      <c r="BL479" s="693"/>
      <c r="BM479" s="693"/>
      <c r="BN479" s="688"/>
      <c r="BO479" s="693"/>
      <c r="BP479" s="689"/>
      <c r="BQ479" s="694"/>
      <c r="BR479" s="687"/>
      <c r="BS479" s="687"/>
      <c r="BT479" s="687"/>
      <c r="BU479" s="687"/>
      <c r="BV479" s="687"/>
      <c r="BW479" s="688"/>
      <c r="BX479" s="688"/>
      <c r="BY479" s="689"/>
      <c r="BZ479" s="690"/>
      <c r="CA479" s="690"/>
      <c r="CB479" s="690"/>
      <c r="CC479" s="691"/>
      <c r="CD479" s="691"/>
      <c r="CE479" s="692"/>
      <c r="CF479" s="692"/>
      <c r="CG479" s="692"/>
      <c r="CH479" s="693"/>
    </row>
    <row r="480">
      <c r="B480" s="687"/>
      <c r="C480" s="687"/>
      <c r="D480" s="688"/>
      <c r="E480" s="689"/>
      <c r="F480" s="690"/>
      <c r="G480" s="690"/>
      <c r="H480" s="690"/>
      <c r="I480" s="691"/>
      <c r="J480" s="691"/>
      <c r="K480" s="691"/>
      <c r="L480" s="692"/>
      <c r="M480" s="692"/>
      <c r="N480" s="692"/>
      <c r="O480" s="693"/>
      <c r="P480" s="688"/>
      <c r="Q480" s="688"/>
      <c r="R480" s="688"/>
      <c r="S480" s="688"/>
      <c r="T480" s="689"/>
      <c r="U480" s="689"/>
      <c r="V480" s="694"/>
      <c r="W480" s="694"/>
      <c r="X480" s="694"/>
      <c r="Y480" s="694"/>
      <c r="Z480" s="693"/>
      <c r="AA480" s="693"/>
      <c r="AB480" s="693"/>
      <c r="AC480" s="693"/>
      <c r="AD480" s="688"/>
      <c r="AE480" s="689"/>
      <c r="AF480" s="689"/>
      <c r="AG480" s="690"/>
      <c r="AH480" s="690"/>
      <c r="AI480" s="695"/>
      <c r="AJ480" s="695"/>
      <c r="AK480" s="692"/>
      <c r="AL480" s="692"/>
      <c r="AM480" s="693"/>
      <c r="AN480" s="688"/>
      <c r="AO480" s="688"/>
      <c r="AP480" s="688"/>
      <c r="AQ480" s="688"/>
      <c r="AR480" s="688"/>
      <c r="AS480" s="688"/>
      <c r="AT480" s="689"/>
      <c r="AU480" s="689"/>
      <c r="AV480" s="690"/>
      <c r="AW480" s="690"/>
      <c r="AX480" s="690"/>
      <c r="AY480" s="690"/>
      <c r="AZ480" s="690"/>
      <c r="BA480" s="690"/>
      <c r="BB480" s="695"/>
      <c r="BC480" s="695"/>
      <c r="BD480" s="695"/>
      <c r="BE480" s="695"/>
      <c r="BF480" s="692"/>
      <c r="BG480" s="692"/>
      <c r="BH480" s="692"/>
      <c r="BI480" s="692"/>
      <c r="BJ480" s="692"/>
      <c r="BK480" s="692"/>
      <c r="BL480" s="693"/>
      <c r="BM480" s="693"/>
      <c r="BN480" s="688"/>
      <c r="BO480" s="693"/>
      <c r="BP480" s="689"/>
      <c r="BQ480" s="694"/>
      <c r="BR480" s="687"/>
      <c r="BS480" s="687"/>
      <c r="BT480" s="687"/>
      <c r="BU480" s="687"/>
      <c r="BV480" s="687"/>
      <c r="BW480" s="688"/>
      <c r="BX480" s="688"/>
      <c r="BY480" s="689"/>
      <c r="BZ480" s="690"/>
      <c r="CA480" s="690"/>
      <c r="CB480" s="690"/>
      <c r="CC480" s="691"/>
      <c r="CD480" s="691"/>
      <c r="CE480" s="692"/>
      <c r="CF480" s="692"/>
      <c r="CG480" s="692"/>
      <c r="CH480" s="693"/>
    </row>
    <row r="481">
      <c r="B481" s="687"/>
      <c r="C481" s="687"/>
      <c r="D481" s="688"/>
      <c r="E481" s="689"/>
      <c r="F481" s="690"/>
      <c r="G481" s="690"/>
      <c r="H481" s="690"/>
      <c r="I481" s="691"/>
      <c r="J481" s="691"/>
      <c r="K481" s="691"/>
      <c r="L481" s="692"/>
      <c r="M481" s="692"/>
      <c r="N481" s="692"/>
      <c r="O481" s="693"/>
      <c r="P481" s="688"/>
      <c r="Q481" s="688"/>
      <c r="R481" s="688"/>
      <c r="S481" s="688"/>
      <c r="T481" s="689"/>
      <c r="U481" s="689"/>
      <c r="V481" s="694"/>
      <c r="W481" s="694"/>
      <c r="X481" s="694"/>
      <c r="Y481" s="694"/>
      <c r="Z481" s="693"/>
      <c r="AA481" s="693"/>
      <c r="AB481" s="693"/>
      <c r="AC481" s="693"/>
      <c r="AD481" s="688"/>
      <c r="AE481" s="689"/>
      <c r="AF481" s="689"/>
      <c r="AG481" s="690"/>
      <c r="AH481" s="690"/>
      <c r="AI481" s="695"/>
      <c r="AJ481" s="695"/>
      <c r="AK481" s="692"/>
      <c r="AL481" s="692"/>
      <c r="AM481" s="693"/>
      <c r="AN481" s="688"/>
      <c r="AO481" s="688"/>
      <c r="AP481" s="688"/>
      <c r="AQ481" s="688"/>
      <c r="AR481" s="688"/>
      <c r="AS481" s="688"/>
      <c r="AT481" s="689"/>
      <c r="AU481" s="689"/>
      <c r="AV481" s="690"/>
      <c r="AW481" s="690"/>
      <c r="AX481" s="690"/>
      <c r="AY481" s="690"/>
      <c r="AZ481" s="690"/>
      <c r="BA481" s="690"/>
      <c r="BB481" s="695"/>
      <c r="BC481" s="695"/>
      <c r="BD481" s="695"/>
      <c r="BE481" s="695"/>
      <c r="BF481" s="692"/>
      <c r="BG481" s="692"/>
      <c r="BH481" s="692"/>
      <c r="BI481" s="692"/>
      <c r="BJ481" s="692"/>
      <c r="BK481" s="692"/>
      <c r="BL481" s="693"/>
      <c r="BM481" s="693"/>
      <c r="BN481" s="688"/>
      <c r="BO481" s="693"/>
      <c r="BP481" s="689"/>
      <c r="BQ481" s="694"/>
      <c r="BR481" s="687"/>
      <c r="BS481" s="687"/>
      <c r="BT481" s="687"/>
      <c r="BU481" s="687"/>
      <c r="BV481" s="687"/>
      <c r="BW481" s="688"/>
      <c r="BX481" s="688"/>
      <c r="BY481" s="689"/>
      <c r="BZ481" s="690"/>
      <c r="CA481" s="690"/>
      <c r="CB481" s="690"/>
      <c r="CC481" s="691"/>
      <c r="CD481" s="691"/>
      <c r="CE481" s="692"/>
      <c r="CF481" s="692"/>
      <c r="CG481" s="692"/>
      <c r="CH481" s="693"/>
    </row>
    <row r="482">
      <c r="B482" s="687"/>
      <c r="C482" s="687"/>
      <c r="D482" s="688"/>
      <c r="E482" s="689"/>
      <c r="F482" s="690"/>
      <c r="G482" s="690"/>
      <c r="H482" s="690"/>
      <c r="I482" s="691"/>
      <c r="J482" s="691"/>
      <c r="K482" s="691"/>
      <c r="L482" s="692"/>
      <c r="M482" s="692"/>
      <c r="N482" s="692"/>
      <c r="O482" s="693"/>
      <c r="P482" s="688"/>
      <c r="Q482" s="688"/>
      <c r="R482" s="688"/>
      <c r="S482" s="688"/>
      <c r="T482" s="689"/>
      <c r="U482" s="689"/>
      <c r="V482" s="694"/>
      <c r="W482" s="694"/>
      <c r="X482" s="694"/>
      <c r="Y482" s="694"/>
      <c r="Z482" s="693"/>
      <c r="AA482" s="693"/>
      <c r="AB482" s="693"/>
      <c r="AC482" s="693"/>
      <c r="AD482" s="688"/>
      <c r="AE482" s="689"/>
      <c r="AF482" s="689"/>
      <c r="AG482" s="690"/>
      <c r="AH482" s="690"/>
      <c r="AI482" s="695"/>
      <c r="AJ482" s="695"/>
      <c r="AK482" s="692"/>
      <c r="AL482" s="692"/>
      <c r="AM482" s="693"/>
      <c r="AN482" s="688"/>
      <c r="AO482" s="688"/>
      <c r="AP482" s="688"/>
      <c r="AQ482" s="688"/>
      <c r="AR482" s="688"/>
      <c r="AS482" s="688"/>
      <c r="AT482" s="689"/>
      <c r="AU482" s="689"/>
      <c r="AV482" s="690"/>
      <c r="AW482" s="690"/>
      <c r="AX482" s="690"/>
      <c r="AY482" s="690"/>
      <c r="AZ482" s="690"/>
      <c r="BA482" s="690"/>
      <c r="BB482" s="695"/>
      <c r="BC482" s="695"/>
      <c r="BD482" s="695"/>
      <c r="BE482" s="695"/>
      <c r="BF482" s="692"/>
      <c r="BG482" s="692"/>
      <c r="BH482" s="692"/>
      <c r="BI482" s="692"/>
      <c r="BJ482" s="692"/>
      <c r="BK482" s="692"/>
      <c r="BL482" s="693"/>
      <c r="BM482" s="693"/>
      <c r="BN482" s="688"/>
      <c r="BO482" s="693"/>
      <c r="BP482" s="689"/>
      <c r="BQ482" s="694"/>
      <c r="BR482" s="687"/>
      <c r="BS482" s="687"/>
      <c r="BT482" s="687"/>
      <c r="BU482" s="687"/>
      <c r="BV482" s="687"/>
      <c r="BW482" s="688"/>
      <c r="BX482" s="688"/>
      <c r="BY482" s="689"/>
      <c r="BZ482" s="690"/>
      <c r="CA482" s="690"/>
      <c r="CB482" s="690"/>
      <c r="CC482" s="691"/>
      <c r="CD482" s="691"/>
      <c r="CE482" s="692"/>
      <c r="CF482" s="692"/>
      <c r="CG482" s="692"/>
      <c r="CH482" s="693"/>
    </row>
    <row r="483">
      <c r="B483" s="687"/>
      <c r="C483" s="687"/>
      <c r="D483" s="688"/>
      <c r="E483" s="689"/>
      <c r="F483" s="690"/>
      <c r="G483" s="690"/>
      <c r="H483" s="690"/>
      <c r="I483" s="691"/>
      <c r="J483" s="691"/>
      <c r="K483" s="691"/>
      <c r="L483" s="692"/>
      <c r="M483" s="692"/>
      <c r="N483" s="692"/>
      <c r="O483" s="693"/>
      <c r="P483" s="688"/>
      <c r="Q483" s="688"/>
      <c r="R483" s="688"/>
      <c r="S483" s="688"/>
      <c r="T483" s="689"/>
      <c r="U483" s="689"/>
      <c r="V483" s="694"/>
      <c r="W483" s="694"/>
      <c r="X483" s="694"/>
      <c r="Y483" s="694"/>
      <c r="Z483" s="693"/>
      <c r="AA483" s="693"/>
      <c r="AB483" s="693"/>
      <c r="AC483" s="693"/>
      <c r="AD483" s="688"/>
      <c r="AE483" s="689"/>
      <c r="AF483" s="689"/>
      <c r="AG483" s="690"/>
      <c r="AH483" s="690"/>
      <c r="AI483" s="695"/>
      <c r="AJ483" s="695"/>
      <c r="AK483" s="692"/>
      <c r="AL483" s="692"/>
      <c r="AM483" s="693"/>
      <c r="AN483" s="688"/>
      <c r="AO483" s="688"/>
      <c r="AP483" s="688"/>
      <c r="AQ483" s="688"/>
      <c r="AR483" s="688"/>
      <c r="AS483" s="688"/>
      <c r="AT483" s="689"/>
      <c r="AU483" s="689"/>
      <c r="AV483" s="690"/>
      <c r="AW483" s="690"/>
      <c r="AX483" s="690"/>
      <c r="AY483" s="690"/>
      <c r="AZ483" s="690"/>
      <c r="BA483" s="690"/>
      <c r="BB483" s="695"/>
      <c r="BC483" s="695"/>
      <c r="BD483" s="695"/>
      <c r="BE483" s="695"/>
      <c r="BF483" s="692"/>
      <c r="BG483" s="692"/>
      <c r="BH483" s="692"/>
      <c r="BI483" s="692"/>
      <c r="BJ483" s="692"/>
      <c r="BK483" s="692"/>
      <c r="BL483" s="693"/>
      <c r="BM483" s="693"/>
      <c r="BN483" s="688"/>
      <c r="BO483" s="693"/>
      <c r="BP483" s="689"/>
      <c r="BQ483" s="694"/>
      <c r="BR483" s="687"/>
      <c r="BS483" s="687"/>
      <c r="BT483" s="687"/>
      <c r="BU483" s="687"/>
      <c r="BV483" s="687"/>
      <c r="BW483" s="688"/>
      <c r="BX483" s="688"/>
      <c r="BY483" s="689"/>
      <c r="BZ483" s="690"/>
      <c r="CA483" s="690"/>
      <c r="CB483" s="690"/>
      <c r="CC483" s="691"/>
      <c r="CD483" s="691"/>
      <c r="CE483" s="692"/>
      <c r="CF483" s="692"/>
      <c r="CG483" s="692"/>
      <c r="CH483" s="693"/>
    </row>
    <row r="484">
      <c r="B484" s="687"/>
      <c r="C484" s="687"/>
      <c r="D484" s="688"/>
      <c r="E484" s="689"/>
      <c r="F484" s="690"/>
      <c r="G484" s="690"/>
      <c r="H484" s="690"/>
      <c r="I484" s="691"/>
      <c r="J484" s="691"/>
      <c r="K484" s="691"/>
      <c r="L484" s="692"/>
      <c r="M484" s="692"/>
      <c r="N484" s="692"/>
      <c r="O484" s="693"/>
      <c r="P484" s="688"/>
      <c r="Q484" s="688"/>
      <c r="R484" s="688"/>
      <c r="S484" s="688"/>
      <c r="T484" s="689"/>
      <c r="U484" s="689"/>
      <c r="V484" s="694"/>
      <c r="W484" s="694"/>
      <c r="X484" s="694"/>
      <c r="Y484" s="694"/>
      <c r="Z484" s="693"/>
      <c r="AA484" s="693"/>
      <c r="AB484" s="693"/>
      <c r="AC484" s="693"/>
      <c r="AD484" s="688"/>
      <c r="AE484" s="689"/>
      <c r="AF484" s="689"/>
      <c r="AG484" s="690"/>
      <c r="AH484" s="690"/>
      <c r="AI484" s="695"/>
      <c r="AJ484" s="695"/>
      <c r="AK484" s="692"/>
      <c r="AL484" s="692"/>
      <c r="AM484" s="693"/>
      <c r="AN484" s="688"/>
      <c r="AO484" s="688"/>
      <c r="AP484" s="688"/>
      <c r="AQ484" s="688"/>
      <c r="AR484" s="688"/>
      <c r="AS484" s="688"/>
      <c r="AT484" s="689"/>
      <c r="AU484" s="689"/>
      <c r="AV484" s="690"/>
      <c r="AW484" s="690"/>
      <c r="AX484" s="690"/>
      <c r="AY484" s="690"/>
      <c r="AZ484" s="690"/>
      <c r="BA484" s="690"/>
      <c r="BB484" s="695"/>
      <c r="BC484" s="695"/>
      <c r="BD484" s="695"/>
      <c r="BE484" s="695"/>
      <c r="BF484" s="692"/>
      <c r="BG484" s="692"/>
      <c r="BH484" s="692"/>
      <c r="BI484" s="692"/>
      <c r="BJ484" s="692"/>
      <c r="BK484" s="692"/>
      <c r="BL484" s="693"/>
      <c r="BM484" s="693"/>
      <c r="BN484" s="688"/>
      <c r="BO484" s="693"/>
      <c r="BP484" s="689"/>
      <c r="BQ484" s="694"/>
      <c r="BR484" s="687"/>
      <c r="BS484" s="687"/>
      <c r="BT484" s="687"/>
      <c r="BU484" s="687"/>
      <c r="BV484" s="687"/>
      <c r="BW484" s="688"/>
      <c r="BX484" s="688"/>
      <c r="BY484" s="689"/>
      <c r="BZ484" s="690"/>
      <c r="CA484" s="690"/>
      <c r="CB484" s="690"/>
      <c r="CC484" s="691"/>
      <c r="CD484" s="691"/>
      <c r="CE484" s="692"/>
      <c r="CF484" s="692"/>
      <c r="CG484" s="692"/>
      <c r="CH484" s="693"/>
    </row>
    <row r="485">
      <c r="B485" s="687"/>
      <c r="C485" s="687"/>
      <c r="D485" s="688"/>
      <c r="E485" s="689"/>
      <c r="F485" s="690"/>
      <c r="G485" s="690"/>
      <c r="H485" s="690"/>
      <c r="I485" s="691"/>
      <c r="J485" s="691"/>
      <c r="K485" s="691"/>
      <c r="L485" s="692"/>
      <c r="M485" s="692"/>
      <c r="N485" s="692"/>
      <c r="O485" s="693"/>
      <c r="P485" s="688"/>
      <c r="Q485" s="688"/>
      <c r="R485" s="688"/>
      <c r="S485" s="688"/>
      <c r="T485" s="689"/>
      <c r="U485" s="689"/>
      <c r="V485" s="694"/>
      <c r="W485" s="694"/>
      <c r="X485" s="694"/>
      <c r="Y485" s="694"/>
      <c r="Z485" s="693"/>
      <c r="AA485" s="693"/>
      <c r="AB485" s="693"/>
      <c r="AC485" s="693"/>
      <c r="AD485" s="688"/>
      <c r="AE485" s="689"/>
      <c r="AF485" s="689"/>
      <c r="AG485" s="690"/>
      <c r="AH485" s="690"/>
      <c r="AI485" s="695"/>
      <c r="AJ485" s="695"/>
      <c r="AK485" s="692"/>
      <c r="AL485" s="692"/>
      <c r="AM485" s="693"/>
      <c r="AN485" s="688"/>
      <c r="AO485" s="688"/>
      <c r="AP485" s="688"/>
      <c r="AQ485" s="688"/>
      <c r="AR485" s="688"/>
      <c r="AS485" s="688"/>
      <c r="AT485" s="689"/>
      <c r="AU485" s="689"/>
      <c r="AV485" s="690"/>
      <c r="AW485" s="690"/>
      <c r="AX485" s="690"/>
      <c r="AY485" s="690"/>
      <c r="AZ485" s="690"/>
      <c r="BA485" s="690"/>
      <c r="BB485" s="695"/>
      <c r="BC485" s="695"/>
      <c r="BD485" s="695"/>
      <c r="BE485" s="695"/>
      <c r="BF485" s="692"/>
      <c r="BG485" s="692"/>
      <c r="BH485" s="692"/>
      <c r="BI485" s="692"/>
      <c r="BJ485" s="692"/>
      <c r="BK485" s="692"/>
      <c r="BL485" s="693"/>
      <c r="BM485" s="693"/>
      <c r="BN485" s="688"/>
      <c r="BO485" s="693"/>
      <c r="BP485" s="689"/>
      <c r="BQ485" s="694"/>
      <c r="BR485" s="687"/>
      <c r="BS485" s="687"/>
      <c r="BT485" s="687"/>
      <c r="BU485" s="687"/>
      <c r="BV485" s="687"/>
      <c r="BW485" s="688"/>
      <c r="BX485" s="688"/>
      <c r="BY485" s="689"/>
      <c r="BZ485" s="690"/>
      <c r="CA485" s="690"/>
      <c r="CB485" s="690"/>
      <c r="CC485" s="691"/>
      <c r="CD485" s="691"/>
      <c r="CE485" s="692"/>
      <c r="CF485" s="692"/>
      <c r="CG485" s="692"/>
      <c r="CH485" s="693"/>
    </row>
    <row r="486">
      <c r="B486" s="687"/>
      <c r="C486" s="687"/>
      <c r="D486" s="688"/>
      <c r="E486" s="689"/>
      <c r="F486" s="690"/>
      <c r="G486" s="690"/>
      <c r="H486" s="690"/>
      <c r="I486" s="691"/>
      <c r="J486" s="691"/>
      <c r="K486" s="691"/>
      <c r="L486" s="692"/>
      <c r="M486" s="692"/>
      <c r="N486" s="692"/>
      <c r="O486" s="693"/>
      <c r="P486" s="688"/>
      <c r="Q486" s="688"/>
      <c r="R486" s="688"/>
      <c r="S486" s="688"/>
      <c r="T486" s="689"/>
      <c r="U486" s="689"/>
      <c r="V486" s="694"/>
      <c r="W486" s="694"/>
      <c r="X486" s="694"/>
      <c r="Y486" s="694"/>
      <c r="Z486" s="693"/>
      <c r="AA486" s="693"/>
      <c r="AB486" s="693"/>
      <c r="AC486" s="693"/>
      <c r="AD486" s="688"/>
      <c r="AE486" s="689"/>
      <c r="AF486" s="689"/>
      <c r="AG486" s="690"/>
      <c r="AH486" s="690"/>
      <c r="AI486" s="695"/>
      <c r="AJ486" s="695"/>
      <c r="AK486" s="692"/>
      <c r="AL486" s="692"/>
      <c r="AM486" s="693"/>
      <c r="AN486" s="688"/>
      <c r="AO486" s="688"/>
      <c r="AP486" s="688"/>
      <c r="AQ486" s="688"/>
      <c r="AR486" s="688"/>
      <c r="AS486" s="688"/>
      <c r="AT486" s="689"/>
      <c r="AU486" s="689"/>
      <c r="AV486" s="690"/>
      <c r="AW486" s="690"/>
      <c r="AX486" s="690"/>
      <c r="AY486" s="690"/>
      <c r="AZ486" s="690"/>
      <c r="BA486" s="690"/>
      <c r="BB486" s="695"/>
      <c r="BC486" s="695"/>
      <c r="BD486" s="695"/>
      <c r="BE486" s="695"/>
      <c r="BF486" s="692"/>
      <c r="BG486" s="692"/>
      <c r="BH486" s="692"/>
      <c r="BI486" s="692"/>
      <c r="BJ486" s="692"/>
      <c r="BK486" s="692"/>
      <c r="BL486" s="693"/>
      <c r="BM486" s="693"/>
      <c r="BN486" s="688"/>
      <c r="BO486" s="693"/>
      <c r="BP486" s="689"/>
      <c r="BQ486" s="694"/>
      <c r="BR486" s="687"/>
      <c r="BS486" s="687"/>
      <c r="BT486" s="687"/>
      <c r="BU486" s="687"/>
      <c r="BV486" s="687"/>
      <c r="BW486" s="688"/>
      <c r="BX486" s="688"/>
      <c r="BY486" s="689"/>
      <c r="BZ486" s="690"/>
      <c r="CA486" s="690"/>
      <c r="CB486" s="690"/>
      <c r="CC486" s="691"/>
      <c r="CD486" s="691"/>
      <c r="CE486" s="692"/>
      <c r="CF486" s="692"/>
      <c r="CG486" s="692"/>
      <c r="CH486" s="693"/>
    </row>
    <row r="487">
      <c r="B487" s="687"/>
      <c r="C487" s="687"/>
      <c r="D487" s="688"/>
      <c r="E487" s="689"/>
      <c r="F487" s="690"/>
      <c r="G487" s="690"/>
      <c r="H487" s="690"/>
      <c r="I487" s="691"/>
      <c r="J487" s="691"/>
      <c r="K487" s="691"/>
      <c r="L487" s="692"/>
      <c r="M487" s="692"/>
      <c r="N487" s="692"/>
      <c r="O487" s="693"/>
      <c r="P487" s="688"/>
      <c r="Q487" s="688"/>
      <c r="R487" s="688"/>
      <c r="S487" s="688"/>
      <c r="T487" s="689"/>
      <c r="U487" s="689"/>
      <c r="V487" s="694"/>
      <c r="W487" s="694"/>
      <c r="X487" s="694"/>
      <c r="Y487" s="694"/>
      <c r="Z487" s="693"/>
      <c r="AA487" s="693"/>
      <c r="AB487" s="693"/>
      <c r="AC487" s="693"/>
      <c r="AD487" s="688"/>
      <c r="AE487" s="689"/>
      <c r="AF487" s="689"/>
      <c r="AG487" s="690"/>
      <c r="AH487" s="690"/>
      <c r="AI487" s="695"/>
      <c r="AJ487" s="695"/>
      <c r="AK487" s="692"/>
      <c r="AL487" s="692"/>
      <c r="AM487" s="693"/>
      <c r="AN487" s="688"/>
      <c r="AO487" s="688"/>
      <c r="AP487" s="688"/>
      <c r="AQ487" s="688"/>
      <c r="AR487" s="688"/>
      <c r="AS487" s="688"/>
      <c r="AT487" s="689"/>
      <c r="AU487" s="689"/>
      <c r="AV487" s="690"/>
      <c r="AW487" s="690"/>
      <c r="AX487" s="690"/>
      <c r="AY487" s="690"/>
      <c r="AZ487" s="690"/>
      <c r="BA487" s="690"/>
      <c r="BB487" s="695"/>
      <c r="BC487" s="695"/>
      <c r="BD487" s="695"/>
      <c r="BE487" s="695"/>
      <c r="BF487" s="692"/>
      <c r="BG487" s="692"/>
      <c r="BH487" s="692"/>
      <c r="BI487" s="692"/>
      <c r="BJ487" s="692"/>
      <c r="BK487" s="692"/>
      <c r="BL487" s="693"/>
      <c r="BM487" s="693"/>
      <c r="BN487" s="688"/>
      <c r="BO487" s="693"/>
      <c r="BP487" s="689"/>
      <c r="BQ487" s="694"/>
      <c r="BR487" s="687"/>
      <c r="BS487" s="687"/>
      <c r="BT487" s="687"/>
      <c r="BU487" s="687"/>
      <c r="BV487" s="687"/>
      <c r="BW487" s="688"/>
      <c r="BX487" s="688"/>
      <c r="BY487" s="689"/>
      <c r="BZ487" s="690"/>
      <c r="CA487" s="690"/>
      <c r="CB487" s="690"/>
      <c r="CC487" s="691"/>
      <c r="CD487" s="691"/>
      <c r="CE487" s="692"/>
      <c r="CF487" s="692"/>
      <c r="CG487" s="692"/>
      <c r="CH487" s="693"/>
    </row>
    <row r="488">
      <c r="B488" s="687"/>
      <c r="C488" s="687"/>
      <c r="D488" s="688"/>
      <c r="E488" s="689"/>
      <c r="F488" s="690"/>
      <c r="G488" s="690"/>
      <c r="H488" s="690"/>
      <c r="I488" s="691"/>
      <c r="J488" s="691"/>
      <c r="K488" s="691"/>
      <c r="L488" s="692"/>
      <c r="M488" s="692"/>
      <c r="N488" s="692"/>
      <c r="O488" s="693"/>
      <c r="P488" s="688"/>
      <c r="Q488" s="688"/>
      <c r="R488" s="688"/>
      <c r="S488" s="688"/>
      <c r="T488" s="689"/>
      <c r="U488" s="689"/>
      <c r="V488" s="694"/>
      <c r="W488" s="694"/>
      <c r="X488" s="694"/>
      <c r="Y488" s="694"/>
      <c r="Z488" s="693"/>
      <c r="AA488" s="693"/>
      <c r="AB488" s="693"/>
      <c r="AC488" s="693"/>
      <c r="AD488" s="688"/>
      <c r="AE488" s="689"/>
      <c r="AF488" s="689"/>
      <c r="AG488" s="690"/>
      <c r="AH488" s="690"/>
      <c r="AI488" s="695"/>
      <c r="AJ488" s="695"/>
      <c r="AK488" s="692"/>
      <c r="AL488" s="692"/>
      <c r="AM488" s="693"/>
      <c r="AN488" s="688"/>
      <c r="AO488" s="688"/>
      <c r="AP488" s="688"/>
      <c r="AQ488" s="688"/>
      <c r="AR488" s="688"/>
      <c r="AS488" s="688"/>
      <c r="AT488" s="689"/>
      <c r="AU488" s="689"/>
      <c r="AV488" s="690"/>
      <c r="AW488" s="690"/>
      <c r="AX488" s="690"/>
      <c r="AY488" s="690"/>
      <c r="AZ488" s="690"/>
      <c r="BA488" s="690"/>
      <c r="BB488" s="695"/>
      <c r="BC488" s="695"/>
      <c r="BD488" s="695"/>
      <c r="BE488" s="695"/>
      <c r="BF488" s="692"/>
      <c r="BG488" s="692"/>
      <c r="BH488" s="692"/>
      <c r="BI488" s="692"/>
      <c r="BJ488" s="692"/>
      <c r="BK488" s="692"/>
      <c r="BL488" s="693"/>
      <c r="BM488" s="693"/>
      <c r="BN488" s="688"/>
      <c r="BO488" s="693"/>
      <c r="BP488" s="689"/>
      <c r="BQ488" s="694"/>
      <c r="BR488" s="687"/>
      <c r="BS488" s="687"/>
      <c r="BT488" s="687"/>
      <c r="BU488" s="687"/>
      <c r="BV488" s="687"/>
      <c r="BW488" s="688"/>
      <c r="BX488" s="688"/>
      <c r="BY488" s="689"/>
      <c r="BZ488" s="690"/>
      <c r="CA488" s="690"/>
      <c r="CB488" s="690"/>
      <c r="CC488" s="691"/>
      <c r="CD488" s="691"/>
      <c r="CE488" s="692"/>
      <c r="CF488" s="692"/>
      <c r="CG488" s="692"/>
      <c r="CH488" s="693"/>
    </row>
    <row r="489">
      <c r="B489" s="687"/>
      <c r="C489" s="687"/>
      <c r="D489" s="688"/>
      <c r="E489" s="689"/>
      <c r="F489" s="690"/>
      <c r="G489" s="690"/>
      <c r="H489" s="690"/>
      <c r="I489" s="691"/>
      <c r="J489" s="691"/>
      <c r="K489" s="691"/>
      <c r="L489" s="692"/>
      <c r="M489" s="692"/>
      <c r="N489" s="692"/>
      <c r="O489" s="693"/>
      <c r="P489" s="688"/>
      <c r="Q489" s="688"/>
      <c r="R489" s="688"/>
      <c r="S489" s="688"/>
      <c r="T489" s="689"/>
      <c r="U489" s="689"/>
      <c r="V489" s="694"/>
      <c r="W489" s="694"/>
      <c r="X489" s="694"/>
      <c r="Y489" s="694"/>
      <c r="Z489" s="693"/>
      <c r="AA489" s="693"/>
      <c r="AB489" s="693"/>
      <c r="AC489" s="693"/>
      <c r="AD489" s="688"/>
      <c r="AE489" s="689"/>
      <c r="AF489" s="689"/>
      <c r="AG489" s="690"/>
      <c r="AH489" s="690"/>
      <c r="AI489" s="695"/>
      <c r="AJ489" s="695"/>
      <c r="AK489" s="692"/>
      <c r="AL489" s="692"/>
      <c r="AM489" s="693"/>
      <c r="AN489" s="688"/>
      <c r="AO489" s="688"/>
      <c r="AP489" s="688"/>
      <c r="AQ489" s="688"/>
      <c r="AR489" s="688"/>
      <c r="AS489" s="688"/>
      <c r="AT489" s="689"/>
      <c r="AU489" s="689"/>
      <c r="AV489" s="690"/>
      <c r="AW489" s="690"/>
      <c r="AX489" s="690"/>
      <c r="AY489" s="690"/>
      <c r="AZ489" s="690"/>
      <c r="BA489" s="690"/>
      <c r="BB489" s="695"/>
      <c r="BC489" s="695"/>
      <c r="BD489" s="695"/>
      <c r="BE489" s="695"/>
      <c r="BF489" s="692"/>
      <c r="BG489" s="692"/>
      <c r="BH489" s="692"/>
      <c r="BI489" s="692"/>
      <c r="BJ489" s="692"/>
      <c r="BK489" s="692"/>
      <c r="BL489" s="693"/>
      <c r="BM489" s="693"/>
      <c r="BN489" s="688"/>
      <c r="BO489" s="693"/>
      <c r="BP489" s="689"/>
      <c r="BQ489" s="694"/>
      <c r="BR489" s="687"/>
      <c r="BS489" s="687"/>
      <c r="BT489" s="687"/>
      <c r="BU489" s="687"/>
      <c r="BV489" s="687"/>
      <c r="BW489" s="688"/>
      <c r="BX489" s="688"/>
      <c r="BY489" s="689"/>
      <c r="BZ489" s="690"/>
      <c r="CA489" s="690"/>
      <c r="CB489" s="690"/>
      <c r="CC489" s="691"/>
      <c r="CD489" s="691"/>
      <c r="CE489" s="692"/>
      <c r="CF489" s="692"/>
      <c r="CG489" s="692"/>
      <c r="CH489" s="693"/>
    </row>
    <row r="490">
      <c r="B490" s="687"/>
      <c r="C490" s="687"/>
      <c r="D490" s="688"/>
      <c r="E490" s="689"/>
      <c r="F490" s="690"/>
      <c r="G490" s="690"/>
      <c r="H490" s="690"/>
      <c r="I490" s="691"/>
      <c r="J490" s="691"/>
      <c r="K490" s="691"/>
      <c r="L490" s="692"/>
      <c r="M490" s="692"/>
      <c r="N490" s="692"/>
      <c r="O490" s="693"/>
      <c r="P490" s="688"/>
      <c r="Q490" s="688"/>
      <c r="R490" s="688"/>
      <c r="S490" s="688"/>
      <c r="T490" s="689"/>
      <c r="U490" s="689"/>
      <c r="V490" s="694"/>
      <c r="W490" s="694"/>
      <c r="X490" s="694"/>
      <c r="Y490" s="694"/>
      <c r="Z490" s="693"/>
      <c r="AA490" s="693"/>
      <c r="AB490" s="693"/>
      <c r="AC490" s="693"/>
      <c r="AD490" s="688"/>
      <c r="AE490" s="689"/>
      <c r="AF490" s="689"/>
      <c r="AG490" s="690"/>
      <c r="AH490" s="690"/>
      <c r="AI490" s="695"/>
      <c r="AJ490" s="695"/>
      <c r="AK490" s="692"/>
      <c r="AL490" s="692"/>
      <c r="AM490" s="693"/>
      <c r="AN490" s="688"/>
      <c r="AO490" s="688"/>
      <c r="AP490" s="688"/>
      <c r="AQ490" s="688"/>
      <c r="AR490" s="688"/>
      <c r="AS490" s="688"/>
      <c r="AT490" s="689"/>
      <c r="AU490" s="689"/>
      <c r="AV490" s="690"/>
      <c r="AW490" s="690"/>
      <c r="AX490" s="690"/>
      <c r="AY490" s="690"/>
      <c r="AZ490" s="690"/>
      <c r="BA490" s="690"/>
      <c r="BB490" s="695"/>
      <c r="BC490" s="695"/>
      <c r="BD490" s="695"/>
      <c r="BE490" s="695"/>
      <c r="BF490" s="692"/>
      <c r="BG490" s="692"/>
      <c r="BH490" s="692"/>
      <c r="BI490" s="692"/>
      <c r="BJ490" s="692"/>
      <c r="BK490" s="692"/>
      <c r="BL490" s="693"/>
      <c r="BM490" s="693"/>
      <c r="BN490" s="688"/>
      <c r="BO490" s="693"/>
      <c r="BP490" s="689"/>
      <c r="BQ490" s="694"/>
      <c r="BR490" s="687"/>
      <c r="BS490" s="687"/>
      <c r="BT490" s="687"/>
      <c r="BU490" s="687"/>
      <c r="BV490" s="687"/>
      <c r="BW490" s="688"/>
      <c r="BX490" s="688"/>
      <c r="BY490" s="689"/>
      <c r="BZ490" s="690"/>
      <c r="CA490" s="690"/>
      <c r="CB490" s="690"/>
      <c r="CC490" s="691"/>
      <c r="CD490" s="691"/>
      <c r="CE490" s="692"/>
      <c r="CF490" s="692"/>
      <c r="CG490" s="692"/>
      <c r="CH490" s="693"/>
    </row>
    <row r="491">
      <c r="B491" s="687"/>
      <c r="C491" s="687"/>
      <c r="D491" s="688"/>
      <c r="E491" s="689"/>
      <c r="F491" s="690"/>
      <c r="G491" s="690"/>
      <c r="H491" s="690"/>
      <c r="I491" s="691"/>
      <c r="J491" s="691"/>
      <c r="K491" s="691"/>
      <c r="L491" s="692"/>
      <c r="M491" s="692"/>
      <c r="N491" s="692"/>
      <c r="O491" s="693"/>
      <c r="P491" s="688"/>
      <c r="Q491" s="688"/>
      <c r="R491" s="688"/>
      <c r="S491" s="688"/>
      <c r="T491" s="689"/>
      <c r="U491" s="689"/>
      <c r="V491" s="694"/>
      <c r="W491" s="694"/>
      <c r="X491" s="694"/>
      <c r="Y491" s="694"/>
      <c r="Z491" s="693"/>
      <c r="AA491" s="693"/>
      <c r="AB491" s="693"/>
      <c r="AC491" s="693"/>
      <c r="AD491" s="688"/>
      <c r="AE491" s="689"/>
      <c r="AF491" s="689"/>
      <c r="AG491" s="690"/>
      <c r="AH491" s="690"/>
      <c r="AI491" s="695"/>
      <c r="AJ491" s="695"/>
      <c r="AK491" s="692"/>
      <c r="AL491" s="692"/>
      <c r="AM491" s="693"/>
      <c r="AN491" s="688"/>
      <c r="AO491" s="688"/>
      <c r="AP491" s="688"/>
      <c r="AQ491" s="688"/>
      <c r="AR491" s="688"/>
      <c r="AS491" s="688"/>
      <c r="AT491" s="689"/>
      <c r="AU491" s="689"/>
      <c r="AV491" s="690"/>
      <c r="AW491" s="690"/>
      <c r="AX491" s="690"/>
      <c r="AY491" s="690"/>
      <c r="AZ491" s="690"/>
      <c r="BA491" s="690"/>
      <c r="BB491" s="695"/>
      <c r="BC491" s="695"/>
      <c r="BD491" s="695"/>
      <c r="BE491" s="695"/>
      <c r="BF491" s="692"/>
      <c r="BG491" s="692"/>
      <c r="BH491" s="692"/>
      <c r="BI491" s="692"/>
      <c r="BJ491" s="692"/>
      <c r="BK491" s="692"/>
      <c r="BL491" s="693"/>
      <c r="BM491" s="693"/>
      <c r="BN491" s="688"/>
      <c r="BO491" s="693"/>
      <c r="BP491" s="689"/>
      <c r="BQ491" s="694"/>
      <c r="BR491" s="687"/>
      <c r="BS491" s="687"/>
      <c r="BT491" s="687"/>
      <c r="BU491" s="687"/>
      <c r="BV491" s="687"/>
      <c r="BW491" s="688"/>
      <c r="BX491" s="688"/>
      <c r="BY491" s="689"/>
      <c r="BZ491" s="690"/>
      <c r="CA491" s="690"/>
      <c r="CB491" s="690"/>
      <c r="CC491" s="691"/>
      <c r="CD491" s="691"/>
      <c r="CE491" s="692"/>
      <c r="CF491" s="692"/>
      <c r="CG491" s="692"/>
      <c r="CH491" s="693"/>
    </row>
    <row r="492">
      <c r="B492" s="687"/>
      <c r="C492" s="687"/>
      <c r="D492" s="688"/>
      <c r="E492" s="689"/>
      <c r="F492" s="690"/>
      <c r="G492" s="690"/>
      <c r="H492" s="690"/>
      <c r="I492" s="691"/>
      <c r="J492" s="691"/>
      <c r="K492" s="691"/>
      <c r="L492" s="692"/>
      <c r="M492" s="692"/>
      <c r="N492" s="692"/>
      <c r="O492" s="693"/>
      <c r="P492" s="688"/>
      <c r="Q492" s="688"/>
      <c r="R492" s="688"/>
      <c r="S492" s="688"/>
      <c r="T492" s="689"/>
      <c r="U492" s="689"/>
      <c r="V492" s="694"/>
      <c r="W492" s="694"/>
      <c r="X492" s="694"/>
      <c r="Y492" s="694"/>
      <c r="Z492" s="693"/>
      <c r="AA492" s="693"/>
      <c r="AB492" s="693"/>
      <c r="AC492" s="693"/>
      <c r="AD492" s="688"/>
      <c r="AE492" s="689"/>
      <c r="AF492" s="689"/>
      <c r="AG492" s="690"/>
      <c r="AH492" s="690"/>
      <c r="AI492" s="695"/>
      <c r="AJ492" s="695"/>
      <c r="AK492" s="692"/>
      <c r="AL492" s="692"/>
      <c r="AM492" s="693"/>
      <c r="AN492" s="688"/>
      <c r="AO492" s="688"/>
      <c r="AP492" s="688"/>
      <c r="AQ492" s="688"/>
      <c r="AR492" s="688"/>
      <c r="AS492" s="688"/>
      <c r="AT492" s="689"/>
      <c r="AU492" s="689"/>
      <c r="AV492" s="690"/>
      <c r="AW492" s="690"/>
      <c r="AX492" s="690"/>
      <c r="AY492" s="690"/>
      <c r="AZ492" s="690"/>
      <c r="BA492" s="690"/>
      <c r="BB492" s="695"/>
      <c r="BC492" s="695"/>
      <c r="BD492" s="695"/>
      <c r="BE492" s="695"/>
      <c r="BF492" s="692"/>
      <c r="BG492" s="692"/>
      <c r="BH492" s="692"/>
      <c r="BI492" s="692"/>
      <c r="BJ492" s="692"/>
      <c r="BK492" s="692"/>
      <c r="BL492" s="693"/>
      <c r="BM492" s="693"/>
      <c r="BN492" s="688"/>
      <c r="BO492" s="693"/>
      <c r="BP492" s="689"/>
      <c r="BQ492" s="694"/>
      <c r="BR492" s="687"/>
      <c r="BS492" s="687"/>
      <c r="BT492" s="687"/>
      <c r="BU492" s="687"/>
      <c r="BV492" s="687"/>
      <c r="BW492" s="688"/>
      <c r="BX492" s="688"/>
      <c r="BY492" s="689"/>
      <c r="BZ492" s="690"/>
      <c r="CA492" s="690"/>
      <c r="CB492" s="690"/>
      <c r="CC492" s="691"/>
      <c r="CD492" s="691"/>
      <c r="CE492" s="692"/>
      <c r="CF492" s="692"/>
      <c r="CG492" s="692"/>
      <c r="CH492" s="693"/>
    </row>
    <row r="493">
      <c r="B493" s="687"/>
      <c r="C493" s="687"/>
      <c r="D493" s="688"/>
      <c r="E493" s="689"/>
      <c r="F493" s="690"/>
      <c r="G493" s="690"/>
      <c r="H493" s="690"/>
      <c r="I493" s="691"/>
      <c r="J493" s="691"/>
      <c r="K493" s="691"/>
      <c r="L493" s="692"/>
      <c r="M493" s="692"/>
      <c r="N493" s="692"/>
      <c r="O493" s="693"/>
      <c r="P493" s="688"/>
      <c r="Q493" s="688"/>
      <c r="R493" s="688"/>
      <c r="S493" s="688"/>
      <c r="T493" s="689"/>
      <c r="U493" s="689"/>
      <c r="V493" s="694"/>
      <c r="W493" s="694"/>
      <c r="X493" s="694"/>
      <c r="Y493" s="694"/>
      <c r="Z493" s="693"/>
      <c r="AA493" s="693"/>
      <c r="AB493" s="693"/>
      <c r="AC493" s="693"/>
      <c r="AD493" s="688"/>
      <c r="AE493" s="689"/>
      <c r="AF493" s="689"/>
      <c r="AG493" s="690"/>
      <c r="AH493" s="690"/>
      <c r="AI493" s="695"/>
      <c r="AJ493" s="695"/>
      <c r="AK493" s="692"/>
      <c r="AL493" s="692"/>
      <c r="AM493" s="693"/>
      <c r="AN493" s="688"/>
      <c r="AO493" s="688"/>
      <c r="AP493" s="688"/>
      <c r="AQ493" s="688"/>
      <c r="AR493" s="688"/>
      <c r="AS493" s="688"/>
      <c r="AT493" s="689"/>
      <c r="AU493" s="689"/>
      <c r="AV493" s="690"/>
      <c r="AW493" s="690"/>
      <c r="AX493" s="690"/>
      <c r="AY493" s="690"/>
      <c r="AZ493" s="690"/>
      <c r="BA493" s="690"/>
      <c r="BB493" s="695"/>
      <c r="BC493" s="695"/>
      <c r="BD493" s="695"/>
      <c r="BE493" s="695"/>
      <c r="BF493" s="692"/>
      <c r="BG493" s="692"/>
      <c r="BH493" s="692"/>
      <c r="BI493" s="692"/>
      <c r="BJ493" s="692"/>
      <c r="BK493" s="692"/>
      <c r="BL493" s="693"/>
      <c r="BM493" s="693"/>
      <c r="BN493" s="688"/>
      <c r="BO493" s="693"/>
      <c r="BP493" s="689"/>
      <c r="BQ493" s="694"/>
      <c r="BR493" s="687"/>
      <c r="BS493" s="687"/>
      <c r="BT493" s="687"/>
      <c r="BU493" s="687"/>
      <c r="BV493" s="687"/>
      <c r="BW493" s="688"/>
      <c r="BX493" s="688"/>
      <c r="BY493" s="689"/>
      <c r="BZ493" s="690"/>
      <c r="CA493" s="690"/>
      <c r="CB493" s="690"/>
      <c r="CC493" s="691"/>
      <c r="CD493" s="691"/>
      <c r="CE493" s="692"/>
      <c r="CF493" s="692"/>
      <c r="CG493" s="692"/>
      <c r="CH493" s="693"/>
    </row>
    <row r="494">
      <c r="B494" s="687"/>
      <c r="C494" s="687"/>
      <c r="D494" s="688"/>
      <c r="E494" s="689"/>
      <c r="F494" s="690"/>
      <c r="G494" s="690"/>
      <c r="H494" s="690"/>
      <c r="I494" s="691"/>
      <c r="J494" s="691"/>
      <c r="K494" s="691"/>
      <c r="L494" s="692"/>
      <c r="M494" s="692"/>
      <c r="N494" s="692"/>
      <c r="O494" s="693"/>
      <c r="P494" s="688"/>
      <c r="Q494" s="688"/>
      <c r="R494" s="688"/>
      <c r="S494" s="688"/>
      <c r="T494" s="689"/>
      <c r="U494" s="689"/>
      <c r="V494" s="694"/>
      <c r="W494" s="694"/>
      <c r="X494" s="694"/>
      <c r="Y494" s="694"/>
      <c r="Z494" s="693"/>
      <c r="AA494" s="693"/>
      <c r="AB494" s="693"/>
      <c r="AC494" s="693"/>
      <c r="AD494" s="688"/>
      <c r="AE494" s="689"/>
      <c r="AF494" s="689"/>
      <c r="AG494" s="690"/>
      <c r="AH494" s="690"/>
      <c r="AI494" s="695"/>
      <c r="AJ494" s="695"/>
      <c r="AK494" s="692"/>
      <c r="AL494" s="692"/>
      <c r="AM494" s="693"/>
      <c r="AN494" s="688"/>
      <c r="AO494" s="688"/>
      <c r="AP494" s="688"/>
      <c r="AQ494" s="688"/>
      <c r="AR494" s="688"/>
      <c r="AS494" s="688"/>
      <c r="AT494" s="689"/>
      <c r="AU494" s="689"/>
      <c r="AV494" s="690"/>
      <c r="AW494" s="690"/>
      <c r="AX494" s="690"/>
      <c r="AY494" s="690"/>
      <c r="AZ494" s="690"/>
      <c r="BA494" s="690"/>
      <c r="BB494" s="695"/>
      <c r="BC494" s="695"/>
      <c r="BD494" s="695"/>
      <c r="BE494" s="695"/>
      <c r="BF494" s="692"/>
      <c r="BG494" s="692"/>
      <c r="BH494" s="692"/>
      <c r="BI494" s="692"/>
      <c r="BJ494" s="692"/>
      <c r="BK494" s="692"/>
      <c r="BL494" s="693"/>
      <c r="BM494" s="693"/>
      <c r="BN494" s="688"/>
      <c r="BO494" s="693"/>
      <c r="BP494" s="689"/>
      <c r="BQ494" s="694"/>
      <c r="BR494" s="687"/>
      <c r="BS494" s="687"/>
      <c r="BT494" s="687"/>
      <c r="BU494" s="687"/>
      <c r="BV494" s="687"/>
      <c r="BW494" s="688"/>
      <c r="BX494" s="688"/>
      <c r="BY494" s="689"/>
      <c r="BZ494" s="690"/>
      <c r="CA494" s="690"/>
      <c r="CB494" s="690"/>
      <c r="CC494" s="691"/>
      <c r="CD494" s="691"/>
      <c r="CE494" s="692"/>
      <c r="CF494" s="692"/>
      <c r="CG494" s="692"/>
      <c r="CH494" s="693"/>
    </row>
    <row r="495">
      <c r="B495" s="687"/>
      <c r="C495" s="687"/>
      <c r="D495" s="688"/>
      <c r="E495" s="689"/>
      <c r="F495" s="690"/>
      <c r="G495" s="690"/>
      <c r="H495" s="690"/>
      <c r="I495" s="691"/>
      <c r="J495" s="691"/>
      <c r="K495" s="691"/>
      <c r="L495" s="692"/>
      <c r="M495" s="692"/>
      <c r="N495" s="692"/>
      <c r="O495" s="693"/>
      <c r="P495" s="688"/>
      <c r="Q495" s="688"/>
      <c r="R495" s="688"/>
      <c r="S495" s="688"/>
      <c r="T495" s="689"/>
      <c r="U495" s="689"/>
      <c r="V495" s="694"/>
      <c r="W495" s="694"/>
      <c r="X495" s="694"/>
      <c r="Y495" s="694"/>
      <c r="Z495" s="693"/>
      <c r="AA495" s="693"/>
      <c r="AB495" s="693"/>
      <c r="AC495" s="693"/>
      <c r="AD495" s="688"/>
      <c r="AE495" s="689"/>
      <c r="AF495" s="689"/>
      <c r="AG495" s="690"/>
      <c r="AH495" s="690"/>
      <c r="AI495" s="695"/>
      <c r="AJ495" s="695"/>
      <c r="AK495" s="692"/>
      <c r="AL495" s="692"/>
      <c r="AM495" s="693"/>
      <c r="AN495" s="688"/>
      <c r="AO495" s="688"/>
      <c r="AP495" s="688"/>
      <c r="AQ495" s="688"/>
      <c r="AR495" s="688"/>
      <c r="AS495" s="688"/>
      <c r="AT495" s="689"/>
      <c r="AU495" s="689"/>
      <c r="AV495" s="690"/>
      <c r="AW495" s="690"/>
      <c r="AX495" s="690"/>
      <c r="AY495" s="690"/>
      <c r="AZ495" s="690"/>
      <c r="BA495" s="690"/>
      <c r="BB495" s="695"/>
      <c r="BC495" s="695"/>
      <c r="BD495" s="695"/>
      <c r="BE495" s="695"/>
      <c r="BF495" s="692"/>
      <c r="BG495" s="692"/>
      <c r="BH495" s="692"/>
      <c r="BI495" s="692"/>
      <c r="BJ495" s="692"/>
      <c r="BK495" s="692"/>
      <c r="BL495" s="693"/>
      <c r="BM495" s="693"/>
      <c r="BN495" s="688"/>
      <c r="BO495" s="693"/>
      <c r="BP495" s="689"/>
      <c r="BQ495" s="694"/>
      <c r="BR495" s="687"/>
      <c r="BS495" s="687"/>
      <c r="BT495" s="687"/>
      <c r="BU495" s="687"/>
      <c r="BV495" s="687"/>
      <c r="BW495" s="688"/>
      <c r="BX495" s="688"/>
      <c r="BY495" s="689"/>
      <c r="BZ495" s="690"/>
      <c r="CA495" s="690"/>
      <c r="CB495" s="690"/>
      <c r="CC495" s="691"/>
      <c r="CD495" s="691"/>
      <c r="CE495" s="692"/>
      <c r="CF495" s="692"/>
      <c r="CG495" s="692"/>
      <c r="CH495" s="693"/>
    </row>
    <row r="496">
      <c r="B496" s="687"/>
      <c r="C496" s="687"/>
      <c r="D496" s="688"/>
      <c r="E496" s="689"/>
      <c r="F496" s="690"/>
      <c r="G496" s="690"/>
      <c r="H496" s="690"/>
      <c r="I496" s="691"/>
      <c r="J496" s="691"/>
      <c r="K496" s="691"/>
      <c r="L496" s="692"/>
      <c r="M496" s="692"/>
      <c r="N496" s="692"/>
      <c r="O496" s="693"/>
      <c r="P496" s="688"/>
      <c r="Q496" s="688"/>
      <c r="R496" s="688"/>
      <c r="S496" s="688"/>
      <c r="T496" s="689"/>
      <c r="U496" s="689"/>
      <c r="V496" s="694"/>
      <c r="W496" s="694"/>
      <c r="X496" s="694"/>
      <c r="Y496" s="694"/>
      <c r="Z496" s="693"/>
      <c r="AA496" s="693"/>
      <c r="AB496" s="693"/>
      <c r="AC496" s="693"/>
      <c r="AD496" s="688"/>
      <c r="AE496" s="689"/>
      <c r="AF496" s="689"/>
      <c r="AG496" s="690"/>
      <c r="AH496" s="690"/>
      <c r="AI496" s="695"/>
      <c r="AJ496" s="695"/>
      <c r="AK496" s="692"/>
      <c r="AL496" s="692"/>
      <c r="AM496" s="693"/>
      <c r="AN496" s="688"/>
      <c r="AO496" s="688"/>
      <c r="AP496" s="688"/>
      <c r="AQ496" s="688"/>
      <c r="AR496" s="688"/>
      <c r="AS496" s="688"/>
      <c r="AT496" s="689"/>
      <c r="AU496" s="689"/>
      <c r="AV496" s="690"/>
      <c r="AW496" s="690"/>
      <c r="AX496" s="690"/>
      <c r="AY496" s="690"/>
      <c r="AZ496" s="690"/>
      <c r="BA496" s="690"/>
      <c r="BB496" s="695"/>
      <c r="BC496" s="695"/>
      <c r="BD496" s="695"/>
      <c r="BE496" s="695"/>
      <c r="BF496" s="692"/>
      <c r="BG496" s="692"/>
      <c r="BH496" s="692"/>
      <c r="BI496" s="692"/>
      <c r="BJ496" s="692"/>
      <c r="BK496" s="692"/>
      <c r="BL496" s="693"/>
      <c r="BM496" s="693"/>
      <c r="BN496" s="688"/>
      <c r="BO496" s="693"/>
      <c r="BP496" s="689"/>
      <c r="BQ496" s="694"/>
      <c r="BR496" s="687"/>
      <c r="BS496" s="687"/>
      <c r="BT496" s="687"/>
      <c r="BU496" s="687"/>
      <c r="BV496" s="687"/>
      <c r="BW496" s="688"/>
      <c r="BX496" s="688"/>
      <c r="BY496" s="689"/>
      <c r="BZ496" s="690"/>
      <c r="CA496" s="690"/>
      <c r="CB496" s="690"/>
      <c r="CC496" s="691"/>
      <c r="CD496" s="691"/>
      <c r="CE496" s="692"/>
      <c r="CF496" s="692"/>
      <c r="CG496" s="692"/>
      <c r="CH496" s="693"/>
    </row>
    <row r="497">
      <c r="B497" s="687"/>
      <c r="C497" s="687"/>
      <c r="D497" s="688"/>
      <c r="E497" s="689"/>
      <c r="F497" s="690"/>
      <c r="G497" s="690"/>
      <c r="H497" s="690"/>
      <c r="I497" s="691"/>
      <c r="J497" s="691"/>
      <c r="K497" s="691"/>
      <c r="L497" s="692"/>
      <c r="M497" s="692"/>
      <c r="N497" s="692"/>
      <c r="O497" s="693"/>
      <c r="P497" s="688"/>
      <c r="Q497" s="688"/>
      <c r="R497" s="688"/>
      <c r="S497" s="688"/>
      <c r="T497" s="689"/>
      <c r="U497" s="689"/>
      <c r="V497" s="694"/>
      <c r="W497" s="694"/>
      <c r="X497" s="694"/>
      <c r="Y497" s="694"/>
      <c r="Z497" s="693"/>
      <c r="AA497" s="693"/>
      <c r="AB497" s="693"/>
      <c r="AC497" s="693"/>
      <c r="AD497" s="688"/>
      <c r="AE497" s="689"/>
      <c r="AF497" s="689"/>
      <c r="AG497" s="690"/>
      <c r="AH497" s="690"/>
      <c r="AI497" s="695"/>
      <c r="AJ497" s="695"/>
      <c r="AK497" s="692"/>
      <c r="AL497" s="692"/>
      <c r="AM497" s="693"/>
      <c r="AN497" s="688"/>
      <c r="AO497" s="688"/>
      <c r="AP497" s="688"/>
      <c r="AQ497" s="688"/>
      <c r="AR497" s="688"/>
      <c r="AS497" s="688"/>
      <c r="AT497" s="689"/>
      <c r="AU497" s="689"/>
      <c r="AV497" s="690"/>
      <c r="AW497" s="690"/>
      <c r="AX497" s="690"/>
      <c r="AY497" s="690"/>
      <c r="AZ497" s="690"/>
      <c r="BA497" s="690"/>
      <c r="BB497" s="695"/>
      <c r="BC497" s="695"/>
      <c r="BD497" s="695"/>
      <c r="BE497" s="695"/>
      <c r="BF497" s="692"/>
      <c r="BG497" s="692"/>
      <c r="BH497" s="692"/>
      <c r="BI497" s="692"/>
      <c r="BJ497" s="692"/>
      <c r="BK497" s="692"/>
      <c r="BL497" s="693"/>
      <c r="BM497" s="693"/>
      <c r="BN497" s="688"/>
      <c r="BO497" s="693"/>
      <c r="BP497" s="689"/>
      <c r="BQ497" s="694"/>
      <c r="BR497" s="687"/>
      <c r="BS497" s="687"/>
      <c r="BT497" s="687"/>
      <c r="BU497" s="687"/>
      <c r="BV497" s="687"/>
      <c r="BW497" s="688"/>
      <c r="BX497" s="688"/>
      <c r="BY497" s="689"/>
      <c r="BZ497" s="690"/>
      <c r="CA497" s="690"/>
      <c r="CB497" s="690"/>
      <c r="CC497" s="691"/>
      <c r="CD497" s="691"/>
      <c r="CE497" s="692"/>
      <c r="CF497" s="692"/>
      <c r="CG497" s="692"/>
      <c r="CH497" s="693"/>
    </row>
    <row r="498">
      <c r="B498" s="687"/>
      <c r="C498" s="687"/>
      <c r="D498" s="688"/>
      <c r="E498" s="689"/>
      <c r="F498" s="690"/>
      <c r="G498" s="690"/>
      <c r="H498" s="690"/>
      <c r="I498" s="691"/>
      <c r="J498" s="691"/>
      <c r="K498" s="691"/>
      <c r="L498" s="692"/>
      <c r="M498" s="692"/>
      <c r="N498" s="692"/>
      <c r="O498" s="693"/>
      <c r="P498" s="688"/>
      <c r="Q498" s="688"/>
      <c r="R498" s="688"/>
      <c r="S498" s="688"/>
      <c r="T498" s="689"/>
      <c r="U498" s="689"/>
      <c r="V498" s="694"/>
      <c r="W498" s="694"/>
      <c r="X498" s="694"/>
      <c r="Y498" s="694"/>
      <c r="Z498" s="693"/>
      <c r="AA498" s="693"/>
      <c r="AB498" s="693"/>
      <c r="AC498" s="693"/>
      <c r="AD498" s="688"/>
      <c r="AE498" s="689"/>
      <c r="AF498" s="689"/>
      <c r="AG498" s="690"/>
      <c r="AH498" s="690"/>
      <c r="AI498" s="695"/>
      <c r="AJ498" s="695"/>
      <c r="AK498" s="692"/>
      <c r="AL498" s="692"/>
      <c r="AM498" s="693"/>
      <c r="AN498" s="688"/>
      <c r="AO498" s="688"/>
      <c r="AP498" s="688"/>
      <c r="AQ498" s="688"/>
      <c r="AR498" s="688"/>
      <c r="AS498" s="688"/>
      <c r="AT498" s="689"/>
      <c r="AU498" s="689"/>
      <c r="AV498" s="690"/>
      <c r="AW498" s="690"/>
      <c r="AX498" s="690"/>
      <c r="AY498" s="690"/>
      <c r="AZ498" s="690"/>
      <c r="BA498" s="690"/>
      <c r="BB498" s="695"/>
      <c r="BC498" s="695"/>
      <c r="BD498" s="695"/>
      <c r="BE498" s="695"/>
      <c r="BF498" s="692"/>
      <c r="BG498" s="692"/>
      <c r="BH498" s="692"/>
      <c r="BI498" s="692"/>
      <c r="BJ498" s="692"/>
      <c r="BK498" s="692"/>
      <c r="BL498" s="693"/>
      <c r="BM498" s="693"/>
      <c r="BN498" s="688"/>
      <c r="BO498" s="693"/>
      <c r="BP498" s="689"/>
      <c r="BQ498" s="694"/>
      <c r="BR498" s="687"/>
      <c r="BS498" s="687"/>
      <c r="BT498" s="687"/>
      <c r="BU498" s="687"/>
      <c r="BV498" s="687"/>
      <c r="BW498" s="688"/>
      <c r="BX498" s="688"/>
      <c r="BY498" s="689"/>
      <c r="BZ498" s="690"/>
      <c r="CA498" s="690"/>
      <c r="CB498" s="690"/>
      <c r="CC498" s="691"/>
      <c r="CD498" s="691"/>
      <c r="CE498" s="692"/>
      <c r="CF498" s="692"/>
      <c r="CG498" s="692"/>
      <c r="CH498" s="693"/>
    </row>
    <row r="499">
      <c r="B499" s="687"/>
      <c r="C499" s="687"/>
      <c r="D499" s="688"/>
      <c r="E499" s="689"/>
      <c r="F499" s="690"/>
      <c r="G499" s="690"/>
      <c r="H499" s="690"/>
      <c r="I499" s="691"/>
      <c r="J499" s="691"/>
      <c r="K499" s="691"/>
      <c r="L499" s="692"/>
      <c r="M499" s="692"/>
      <c r="N499" s="692"/>
      <c r="O499" s="693"/>
      <c r="P499" s="688"/>
      <c r="Q499" s="688"/>
      <c r="R499" s="688"/>
      <c r="S499" s="688"/>
      <c r="T499" s="689"/>
      <c r="U499" s="689"/>
      <c r="V499" s="694"/>
      <c r="W499" s="694"/>
      <c r="X499" s="694"/>
      <c r="Y499" s="694"/>
      <c r="Z499" s="693"/>
      <c r="AA499" s="693"/>
      <c r="AB499" s="693"/>
      <c r="AC499" s="693"/>
      <c r="AD499" s="688"/>
      <c r="AE499" s="689"/>
      <c r="AF499" s="689"/>
      <c r="AG499" s="690"/>
      <c r="AH499" s="690"/>
      <c r="AI499" s="695"/>
      <c r="AJ499" s="695"/>
      <c r="AK499" s="692"/>
      <c r="AL499" s="692"/>
      <c r="AM499" s="693"/>
      <c r="AN499" s="688"/>
      <c r="AO499" s="688"/>
      <c r="AP499" s="688"/>
      <c r="AQ499" s="688"/>
      <c r="AR499" s="688"/>
      <c r="AS499" s="688"/>
      <c r="AT499" s="689"/>
      <c r="AU499" s="689"/>
      <c r="AV499" s="690"/>
      <c r="AW499" s="690"/>
      <c r="AX499" s="690"/>
      <c r="AY499" s="690"/>
      <c r="AZ499" s="690"/>
      <c r="BA499" s="690"/>
      <c r="BB499" s="695"/>
      <c r="BC499" s="695"/>
      <c r="BD499" s="695"/>
      <c r="BE499" s="695"/>
      <c r="BF499" s="692"/>
      <c r="BG499" s="692"/>
      <c r="BH499" s="692"/>
      <c r="BI499" s="692"/>
      <c r="BJ499" s="692"/>
      <c r="BK499" s="692"/>
      <c r="BL499" s="693"/>
      <c r="BM499" s="693"/>
      <c r="BN499" s="688"/>
      <c r="BO499" s="693"/>
      <c r="BP499" s="689"/>
      <c r="BQ499" s="694"/>
      <c r="BR499" s="687"/>
      <c r="BS499" s="687"/>
      <c r="BT499" s="687"/>
      <c r="BU499" s="687"/>
      <c r="BV499" s="687"/>
      <c r="BW499" s="688"/>
      <c r="BX499" s="688"/>
      <c r="BY499" s="689"/>
      <c r="BZ499" s="690"/>
      <c r="CA499" s="690"/>
      <c r="CB499" s="690"/>
      <c r="CC499" s="691"/>
      <c r="CD499" s="691"/>
      <c r="CE499" s="692"/>
      <c r="CF499" s="692"/>
      <c r="CG499" s="692"/>
      <c r="CH499" s="693"/>
    </row>
    <row r="500">
      <c r="B500" s="687"/>
      <c r="C500" s="687"/>
      <c r="D500" s="688"/>
      <c r="E500" s="689"/>
      <c r="F500" s="690"/>
      <c r="G500" s="690"/>
      <c r="H500" s="690"/>
      <c r="I500" s="691"/>
      <c r="J500" s="691"/>
      <c r="K500" s="691"/>
      <c r="L500" s="692"/>
      <c r="M500" s="692"/>
      <c r="N500" s="692"/>
      <c r="O500" s="693"/>
      <c r="P500" s="688"/>
      <c r="Q500" s="688"/>
      <c r="R500" s="688"/>
      <c r="S500" s="688"/>
      <c r="T500" s="689"/>
      <c r="U500" s="689"/>
      <c r="V500" s="694"/>
      <c r="W500" s="694"/>
      <c r="X500" s="694"/>
      <c r="Y500" s="694"/>
      <c r="Z500" s="693"/>
      <c r="AA500" s="693"/>
      <c r="AB500" s="693"/>
      <c r="AC500" s="693"/>
      <c r="AD500" s="688"/>
      <c r="AE500" s="689"/>
      <c r="AF500" s="689"/>
      <c r="AG500" s="690"/>
      <c r="AH500" s="690"/>
      <c r="AI500" s="695"/>
      <c r="AJ500" s="695"/>
      <c r="AK500" s="692"/>
      <c r="AL500" s="692"/>
      <c r="AM500" s="693"/>
      <c r="AN500" s="688"/>
      <c r="AO500" s="688"/>
      <c r="AP500" s="688"/>
      <c r="AQ500" s="688"/>
      <c r="AR500" s="688"/>
      <c r="AS500" s="688"/>
      <c r="AT500" s="689"/>
      <c r="AU500" s="689"/>
      <c r="AV500" s="690"/>
      <c r="AW500" s="690"/>
      <c r="AX500" s="690"/>
      <c r="AY500" s="690"/>
      <c r="AZ500" s="690"/>
      <c r="BA500" s="690"/>
      <c r="BB500" s="695"/>
      <c r="BC500" s="695"/>
      <c r="BD500" s="695"/>
      <c r="BE500" s="695"/>
      <c r="BF500" s="692"/>
      <c r="BG500" s="692"/>
      <c r="BH500" s="692"/>
      <c r="BI500" s="692"/>
      <c r="BJ500" s="692"/>
      <c r="BK500" s="692"/>
      <c r="BL500" s="693"/>
      <c r="BM500" s="693"/>
      <c r="BN500" s="688"/>
      <c r="BO500" s="693"/>
      <c r="BP500" s="689"/>
      <c r="BQ500" s="694"/>
      <c r="BR500" s="687"/>
      <c r="BS500" s="687"/>
      <c r="BT500" s="687"/>
      <c r="BU500" s="687"/>
      <c r="BV500" s="687"/>
      <c r="BW500" s="688"/>
      <c r="BX500" s="688"/>
      <c r="BY500" s="689"/>
      <c r="BZ500" s="690"/>
      <c r="CA500" s="690"/>
      <c r="CB500" s="690"/>
      <c r="CC500" s="691"/>
      <c r="CD500" s="691"/>
      <c r="CE500" s="692"/>
      <c r="CF500" s="692"/>
      <c r="CG500" s="692"/>
      <c r="CH500" s="693"/>
    </row>
    <row r="501">
      <c r="B501" s="687"/>
      <c r="C501" s="687"/>
      <c r="D501" s="688"/>
      <c r="E501" s="689"/>
      <c r="F501" s="690"/>
      <c r="G501" s="690"/>
      <c r="H501" s="690"/>
      <c r="I501" s="691"/>
      <c r="J501" s="691"/>
      <c r="K501" s="691"/>
      <c r="L501" s="692"/>
      <c r="M501" s="692"/>
      <c r="N501" s="692"/>
      <c r="O501" s="693"/>
      <c r="P501" s="688"/>
      <c r="Q501" s="688"/>
      <c r="R501" s="688"/>
      <c r="S501" s="688"/>
      <c r="T501" s="689"/>
      <c r="U501" s="689"/>
      <c r="V501" s="694"/>
      <c r="W501" s="694"/>
      <c r="X501" s="694"/>
      <c r="Y501" s="694"/>
      <c r="Z501" s="693"/>
      <c r="AA501" s="693"/>
      <c r="AB501" s="693"/>
      <c r="AC501" s="693"/>
      <c r="AD501" s="688"/>
      <c r="AE501" s="689"/>
      <c r="AF501" s="689"/>
      <c r="AG501" s="690"/>
      <c r="AH501" s="690"/>
      <c r="AI501" s="695"/>
      <c r="AJ501" s="695"/>
      <c r="AK501" s="692"/>
      <c r="AL501" s="692"/>
      <c r="AM501" s="693"/>
      <c r="AN501" s="688"/>
      <c r="AO501" s="688"/>
      <c r="AP501" s="688"/>
      <c r="AQ501" s="688"/>
      <c r="AR501" s="688"/>
      <c r="AS501" s="688"/>
      <c r="AT501" s="689"/>
      <c r="AU501" s="689"/>
      <c r="AV501" s="690"/>
      <c r="AW501" s="690"/>
      <c r="AX501" s="690"/>
      <c r="AY501" s="690"/>
      <c r="AZ501" s="690"/>
      <c r="BA501" s="690"/>
      <c r="BB501" s="695"/>
      <c r="BC501" s="695"/>
      <c r="BD501" s="695"/>
      <c r="BE501" s="695"/>
      <c r="BF501" s="692"/>
      <c r="BG501" s="692"/>
      <c r="BH501" s="692"/>
      <c r="BI501" s="692"/>
      <c r="BJ501" s="692"/>
      <c r="BK501" s="692"/>
      <c r="BL501" s="693"/>
      <c r="BM501" s="693"/>
      <c r="BN501" s="688"/>
      <c r="BO501" s="693"/>
      <c r="BP501" s="689"/>
      <c r="BQ501" s="694"/>
      <c r="BR501" s="687"/>
      <c r="BS501" s="687"/>
      <c r="BT501" s="687"/>
      <c r="BU501" s="687"/>
      <c r="BV501" s="687"/>
      <c r="BW501" s="688"/>
      <c r="BX501" s="688"/>
      <c r="BY501" s="689"/>
      <c r="BZ501" s="690"/>
      <c r="CA501" s="690"/>
      <c r="CB501" s="690"/>
      <c r="CC501" s="691"/>
      <c r="CD501" s="691"/>
      <c r="CE501" s="692"/>
      <c r="CF501" s="692"/>
      <c r="CG501" s="692"/>
      <c r="CH501" s="693"/>
    </row>
    <row r="502">
      <c r="B502" s="687"/>
      <c r="C502" s="687"/>
      <c r="D502" s="688"/>
      <c r="E502" s="689"/>
      <c r="F502" s="690"/>
      <c r="G502" s="690"/>
      <c r="H502" s="690"/>
      <c r="I502" s="691"/>
      <c r="J502" s="691"/>
      <c r="K502" s="691"/>
      <c r="L502" s="692"/>
      <c r="M502" s="692"/>
      <c r="N502" s="692"/>
      <c r="O502" s="693"/>
      <c r="P502" s="688"/>
      <c r="Q502" s="688"/>
      <c r="R502" s="688"/>
      <c r="S502" s="688"/>
      <c r="T502" s="689"/>
      <c r="U502" s="689"/>
      <c r="V502" s="694"/>
      <c r="W502" s="694"/>
      <c r="X502" s="694"/>
      <c r="Y502" s="694"/>
      <c r="Z502" s="693"/>
      <c r="AA502" s="693"/>
      <c r="AB502" s="693"/>
      <c r="AC502" s="693"/>
      <c r="AD502" s="688"/>
      <c r="AE502" s="689"/>
      <c r="AF502" s="689"/>
      <c r="AG502" s="690"/>
      <c r="AH502" s="690"/>
      <c r="AI502" s="695"/>
      <c r="AJ502" s="695"/>
      <c r="AK502" s="692"/>
      <c r="AL502" s="692"/>
      <c r="AM502" s="693"/>
      <c r="AN502" s="688"/>
      <c r="AO502" s="688"/>
      <c r="AP502" s="688"/>
      <c r="AQ502" s="688"/>
      <c r="AR502" s="688"/>
      <c r="AS502" s="688"/>
      <c r="AT502" s="689"/>
      <c r="AU502" s="689"/>
      <c r="AV502" s="690"/>
      <c r="AW502" s="690"/>
      <c r="AX502" s="690"/>
      <c r="AY502" s="690"/>
      <c r="AZ502" s="690"/>
      <c r="BA502" s="690"/>
      <c r="BB502" s="695"/>
      <c r="BC502" s="695"/>
      <c r="BD502" s="695"/>
      <c r="BE502" s="695"/>
      <c r="BF502" s="692"/>
      <c r="BG502" s="692"/>
      <c r="BH502" s="692"/>
      <c r="BI502" s="692"/>
      <c r="BJ502" s="692"/>
      <c r="BK502" s="692"/>
      <c r="BL502" s="693"/>
      <c r="BM502" s="693"/>
      <c r="BN502" s="688"/>
      <c r="BO502" s="693"/>
      <c r="BP502" s="689"/>
      <c r="BQ502" s="694"/>
      <c r="BR502" s="687"/>
      <c r="BS502" s="687"/>
      <c r="BT502" s="687"/>
      <c r="BU502" s="687"/>
      <c r="BV502" s="687"/>
      <c r="BW502" s="688"/>
      <c r="BX502" s="688"/>
      <c r="BY502" s="689"/>
      <c r="BZ502" s="690"/>
      <c r="CA502" s="690"/>
      <c r="CB502" s="690"/>
      <c r="CC502" s="691"/>
      <c r="CD502" s="691"/>
      <c r="CE502" s="692"/>
      <c r="CF502" s="692"/>
      <c r="CG502" s="692"/>
      <c r="CH502" s="693"/>
    </row>
    <row r="503">
      <c r="B503" s="687"/>
      <c r="C503" s="687"/>
      <c r="D503" s="688"/>
      <c r="E503" s="689"/>
      <c r="F503" s="690"/>
      <c r="G503" s="690"/>
      <c r="H503" s="690"/>
      <c r="I503" s="691"/>
      <c r="J503" s="691"/>
      <c r="K503" s="691"/>
      <c r="L503" s="692"/>
      <c r="M503" s="692"/>
      <c r="N503" s="692"/>
      <c r="O503" s="693"/>
      <c r="P503" s="688"/>
      <c r="Q503" s="688"/>
      <c r="R503" s="688"/>
      <c r="S503" s="688"/>
      <c r="T503" s="689"/>
      <c r="U503" s="689"/>
      <c r="V503" s="694"/>
      <c r="W503" s="694"/>
      <c r="X503" s="694"/>
      <c r="Y503" s="694"/>
      <c r="Z503" s="693"/>
      <c r="AA503" s="693"/>
      <c r="AB503" s="693"/>
      <c r="AC503" s="693"/>
      <c r="AD503" s="688"/>
      <c r="AE503" s="689"/>
      <c r="AF503" s="689"/>
      <c r="AG503" s="690"/>
      <c r="AH503" s="690"/>
      <c r="AI503" s="695"/>
      <c r="AJ503" s="695"/>
      <c r="AK503" s="692"/>
      <c r="AL503" s="692"/>
      <c r="AM503" s="693"/>
      <c r="AN503" s="688"/>
      <c r="AO503" s="688"/>
      <c r="AP503" s="688"/>
      <c r="AQ503" s="688"/>
      <c r="AR503" s="688"/>
      <c r="AS503" s="688"/>
      <c r="AT503" s="689"/>
      <c r="AU503" s="689"/>
      <c r="AV503" s="690"/>
      <c r="AW503" s="690"/>
      <c r="AX503" s="690"/>
      <c r="AY503" s="690"/>
      <c r="AZ503" s="690"/>
      <c r="BA503" s="690"/>
      <c r="BB503" s="695"/>
      <c r="BC503" s="695"/>
      <c r="BD503" s="695"/>
      <c r="BE503" s="695"/>
      <c r="BF503" s="692"/>
      <c r="BG503" s="692"/>
      <c r="BH503" s="692"/>
      <c r="BI503" s="692"/>
      <c r="BJ503" s="692"/>
      <c r="BK503" s="692"/>
      <c r="BL503" s="693"/>
      <c r="BM503" s="693"/>
      <c r="BN503" s="688"/>
      <c r="BO503" s="693"/>
      <c r="BP503" s="689"/>
      <c r="BQ503" s="694"/>
      <c r="BR503" s="687"/>
      <c r="BS503" s="687"/>
      <c r="BT503" s="687"/>
      <c r="BU503" s="687"/>
      <c r="BV503" s="687"/>
      <c r="BW503" s="688"/>
      <c r="BX503" s="688"/>
      <c r="BY503" s="689"/>
      <c r="BZ503" s="690"/>
      <c r="CA503" s="690"/>
      <c r="CB503" s="690"/>
      <c r="CC503" s="691"/>
      <c r="CD503" s="691"/>
      <c r="CE503" s="692"/>
      <c r="CF503" s="692"/>
      <c r="CG503" s="692"/>
      <c r="CH503" s="693"/>
    </row>
    <row r="504">
      <c r="B504" s="687"/>
      <c r="C504" s="687"/>
      <c r="D504" s="688"/>
      <c r="E504" s="689"/>
      <c r="F504" s="690"/>
      <c r="G504" s="690"/>
      <c r="H504" s="690"/>
      <c r="I504" s="691"/>
      <c r="J504" s="691"/>
      <c r="K504" s="691"/>
      <c r="L504" s="692"/>
      <c r="M504" s="692"/>
      <c r="N504" s="692"/>
      <c r="O504" s="693"/>
      <c r="P504" s="688"/>
      <c r="Q504" s="688"/>
      <c r="R504" s="688"/>
      <c r="S504" s="688"/>
      <c r="T504" s="689"/>
      <c r="U504" s="689"/>
      <c r="V504" s="694"/>
      <c r="W504" s="694"/>
      <c r="X504" s="694"/>
      <c r="Y504" s="694"/>
      <c r="Z504" s="693"/>
      <c r="AA504" s="693"/>
      <c r="AB504" s="693"/>
      <c r="AC504" s="693"/>
      <c r="AD504" s="688"/>
      <c r="AE504" s="689"/>
      <c r="AF504" s="689"/>
      <c r="AG504" s="690"/>
      <c r="AH504" s="690"/>
      <c r="AI504" s="695"/>
      <c r="AJ504" s="695"/>
      <c r="AK504" s="692"/>
      <c r="AL504" s="692"/>
      <c r="AM504" s="693"/>
      <c r="AN504" s="688"/>
      <c r="AO504" s="688"/>
      <c r="AP504" s="688"/>
      <c r="AQ504" s="688"/>
      <c r="AR504" s="688"/>
      <c r="AS504" s="688"/>
      <c r="AT504" s="689"/>
      <c r="AU504" s="689"/>
      <c r="AV504" s="690"/>
      <c r="AW504" s="690"/>
      <c r="AX504" s="690"/>
      <c r="AY504" s="690"/>
      <c r="AZ504" s="690"/>
      <c r="BA504" s="690"/>
      <c r="BB504" s="695"/>
      <c r="BC504" s="695"/>
      <c r="BD504" s="695"/>
      <c r="BE504" s="695"/>
      <c r="BF504" s="692"/>
      <c r="BG504" s="692"/>
      <c r="BH504" s="692"/>
      <c r="BI504" s="692"/>
      <c r="BJ504" s="692"/>
      <c r="BK504" s="692"/>
      <c r="BL504" s="693"/>
      <c r="BM504" s="693"/>
      <c r="BN504" s="688"/>
      <c r="BO504" s="693"/>
      <c r="BP504" s="689"/>
      <c r="BQ504" s="694"/>
      <c r="BR504" s="687"/>
      <c r="BS504" s="687"/>
      <c r="BT504" s="687"/>
      <c r="BU504" s="687"/>
      <c r="BV504" s="687"/>
      <c r="BW504" s="688"/>
      <c r="BX504" s="688"/>
      <c r="BY504" s="689"/>
      <c r="BZ504" s="690"/>
      <c r="CA504" s="690"/>
      <c r="CB504" s="690"/>
      <c r="CC504" s="691"/>
      <c r="CD504" s="691"/>
      <c r="CE504" s="692"/>
      <c r="CF504" s="692"/>
      <c r="CG504" s="692"/>
      <c r="CH504" s="693"/>
    </row>
    <row r="505">
      <c r="B505" s="687"/>
      <c r="C505" s="687"/>
      <c r="D505" s="688"/>
      <c r="E505" s="689"/>
      <c r="F505" s="690"/>
      <c r="G505" s="690"/>
      <c r="H505" s="690"/>
      <c r="I505" s="691"/>
      <c r="J505" s="691"/>
      <c r="K505" s="691"/>
      <c r="L505" s="692"/>
      <c r="M505" s="692"/>
      <c r="N505" s="692"/>
      <c r="O505" s="693"/>
      <c r="P505" s="688"/>
      <c r="Q505" s="688"/>
      <c r="R505" s="688"/>
      <c r="S505" s="688"/>
      <c r="T505" s="689"/>
      <c r="U505" s="689"/>
      <c r="V505" s="694"/>
      <c r="W505" s="694"/>
      <c r="X505" s="694"/>
      <c r="Y505" s="694"/>
      <c r="Z505" s="693"/>
      <c r="AA505" s="693"/>
      <c r="AB505" s="693"/>
      <c r="AC505" s="693"/>
      <c r="AD505" s="688"/>
      <c r="AE505" s="689"/>
      <c r="AF505" s="689"/>
      <c r="AG505" s="690"/>
      <c r="AH505" s="690"/>
      <c r="AI505" s="695"/>
      <c r="AJ505" s="695"/>
      <c r="AK505" s="692"/>
      <c r="AL505" s="692"/>
      <c r="AM505" s="693"/>
      <c r="AN505" s="688"/>
      <c r="AO505" s="688"/>
      <c r="AP505" s="688"/>
      <c r="AQ505" s="688"/>
      <c r="AR505" s="688"/>
      <c r="AS505" s="688"/>
      <c r="AT505" s="689"/>
      <c r="AU505" s="689"/>
      <c r="AV505" s="690"/>
      <c r="AW505" s="690"/>
      <c r="AX505" s="690"/>
      <c r="AY505" s="690"/>
      <c r="AZ505" s="690"/>
      <c r="BA505" s="690"/>
      <c r="BB505" s="695"/>
      <c r="BC505" s="695"/>
      <c r="BD505" s="695"/>
      <c r="BE505" s="695"/>
      <c r="BF505" s="692"/>
      <c r="BG505" s="692"/>
      <c r="BH505" s="692"/>
      <c r="BI505" s="692"/>
      <c r="BJ505" s="692"/>
      <c r="BK505" s="692"/>
      <c r="BL505" s="693"/>
      <c r="BM505" s="693"/>
      <c r="BN505" s="688"/>
      <c r="BO505" s="693"/>
      <c r="BP505" s="689"/>
      <c r="BQ505" s="694"/>
      <c r="BR505" s="687"/>
      <c r="BS505" s="687"/>
      <c r="BT505" s="687"/>
      <c r="BU505" s="687"/>
      <c r="BV505" s="687"/>
      <c r="BW505" s="688"/>
      <c r="BX505" s="688"/>
      <c r="BY505" s="689"/>
      <c r="BZ505" s="690"/>
      <c r="CA505" s="690"/>
      <c r="CB505" s="690"/>
      <c r="CC505" s="691"/>
      <c r="CD505" s="691"/>
      <c r="CE505" s="692"/>
      <c r="CF505" s="692"/>
      <c r="CG505" s="692"/>
      <c r="CH505" s="693"/>
    </row>
    <row r="506">
      <c r="B506" s="687"/>
      <c r="C506" s="687"/>
      <c r="D506" s="688"/>
      <c r="E506" s="689"/>
      <c r="F506" s="690"/>
      <c r="G506" s="690"/>
      <c r="H506" s="690"/>
      <c r="I506" s="691"/>
      <c r="J506" s="691"/>
      <c r="K506" s="691"/>
      <c r="L506" s="692"/>
      <c r="M506" s="692"/>
      <c r="N506" s="692"/>
      <c r="O506" s="693"/>
      <c r="P506" s="688"/>
      <c r="Q506" s="688"/>
      <c r="R506" s="688"/>
      <c r="S506" s="688"/>
      <c r="T506" s="689"/>
      <c r="U506" s="689"/>
      <c r="V506" s="694"/>
      <c r="W506" s="694"/>
      <c r="X506" s="694"/>
      <c r="Y506" s="694"/>
      <c r="Z506" s="693"/>
      <c r="AA506" s="693"/>
      <c r="AB506" s="693"/>
      <c r="AC506" s="693"/>
      <c r="AD506" s="688"/>
      <c r="AE506" s="689"/>
      <c r="AF506" s="689"/>
      <c r="AG506" s="690"/>
      <c r="AH506" s="690"/>
      <c r="AI506" s="695"/>
      <c r="AJ506" s="695"/>
      <c r="AK506" s="692"/>
      <c r="AL506" s="692"/>
      <c r="AM506" s="693"/>
      <c r="AN506" s="688"/>
      <c r="AO506" s="688"/>
      <c r="AP506" s="688"/>
      <c r="AQ506" s="688"/>
      <c r="AR506" s="688"/>
      <c r="AS506" s="688"/>
      <c r="AT506" s="689"/>
      <c r="AU506" s="689"/>
      <c r="AV506" s="690"/>
      <c r="AW506" s="690"/>
      <c r="AX506" s="690"/>
      <c r="AY506" s="690"/>
      <c r="AZ506" s="690"/>
      <c r="BA506" s="690"/>
      <c r="BB506" s="695"/>
      <c r="BC506" s="695"/>
      <c r="BD506" s="695"/>
      <c r="BE506" s="695"/>
      <c r="BF506" s="692"/>
      <c r="BG506" s="692"/>
      <c r="BH506" s="692"/>
      <c r="BI506" s="692"/>
      <c r="BJ506" s="692"/>
      <c r="BK506" s="692"/>
      <c r="BL506" s="693"/>
      <c r="BM506" s="693"/>
      <c r="BN506" s="688"/>
      <c r="BO506" s="693"/>
      <c r="BP506" s="689"/>
      <c r="BQ506" s="694"/>
      <c r="BR506" s="687"/>
      <c r="BS506" s="687"/>
      <c r="BT506" s="687"/>
      <c r="BU506" s="687"/>
      <c r="BV506" s="687"/>
      <c r="BW506" s="688"/>
      <c r="BX506" s="688"/>
      <c r="BY506" s="689"/>
      <c r="BZ506" s="690"/>
      <c r="CA506" s="690"/>
      <c r="CB506" s="690"/>
      <c r="CC506" s="691"/>
      <c r="CD506" s="691"/>
      <c r="CE506" s="692"/>
      <c r="CF506" s="692"/>
      <c r="CG506" s="692"/>
      <c r="CH506" s="693"/>
    </row>
    <row r="507">
      <c r="B507" s="687"/>
      <c r="C507" s="687"/>
      <c r="D507" s="688"/>
      <c r="E507" s="689"/>
      <c r="F507" s="690"/>
      <c r="G507" s="690"/>
      <c r="H507" s="690"/>
      <c r="I507" s="691"/>
      <c r="J507" s="691"/>
      <c r="K507" s="691"/>
      <c r="L507" s="692"/>
      <c r="M507" s="692"/>
      <c r="N507" s="692"/>
      <c r="O507" s="693"/>
      <c r="P507" s="688"/>
      <c r="Q507" s="688"/>
      <c r="R507" s="688"/>
      <c r="S507" s="688"/>
      <c r="T507" s="689"/>
      <c r="U507" s="689"/>
      <c r="V507" s="694"/>
      <c r="W507" s="694"/>
      <c r="X507" s="694"/>
      <c r="Y507" s="694"/>
      <c r="Z507" s="693"/>
      <c r="AA507" s="693"/>
      <c r="AB507" s="693"/>
      <c r="AC507" s="693"/>
      <c r="AD507" s="688"/>
      <c r="AE507" s="689"/>
      <c r="AF507" s="689"/>
      <c r="AG507" s="690"/>
      <c r="AH507" s="690"/>
      <c r="AI507" s="695"/>
      <c r="AJ507" s="695"/>
      <c r="AK507" s="692"/>
      <c r="AL507" s="692"/>
      <c r="AM507" s="693"/>
      <c r="AN507" s="688"/>
      <c r="AO507" s="688"/>
      <c r="AP507" s="688"/>
      <c r="AQ507" s="688"/>
      <c r="AR507" s="688"/>
      <c r="AS507" s="688"/>
      <c r="AT507" s="689"/>
      <c r="AU507" s="689"/>
      <c r="AV507" s="690"/>
      <c r="AW507" s="690"/>
      <c r="AX507" s="690"/>
      <c r="AY507" s="690"/>
      <c r="AZ507" s="690"/>
      <c r="BA507" s="690"/>
      <c r="BB507" s="695"/>
      <c r="BC507" s="695"/>
      <c r="BD507" s="695"/>
      <c r="BE507" s="695"/>
      <c r="BF507" s="692"/>
      <c r="BG507" s="692"/>
      <c r="BH507" s="692"/>
      <c r="BI507" s="692"/>
      <c r="BJ507" s="692"/>
      <c r="BK507" s="692"/>
      <c r="BL507" s="693"/>
      <c r="BM507" s="693"/>
      <c r="BN507" s="688"/>
      <c r="BO507" s="693"/>
      <c r="BP507" s="689"/>
      <c r="BQ507" s="694"/>
      <c r="BR507" s="687"/>
      <c r="BS507" s="687"/>
      <c r="BT507" s="687"/>
      <c r="BU507" s="687"/>
      <c r="BV507" s="687"/>
      <c r="BW507" s="688"/>
      <c r="BX507" s="688"/>
      <c r="BY507" s="689"/>
      <c r="BZ507" s="690"/>
      <c r="CA507" s="690"/>
      <c r="CB507" s="690"/>
      <c r="CC507" s="691"/>
      <c r="CD507" s="691"/>
      <c r="CE507" s="692"/>
      <c r="CF507" s="692"/>
      <c r="CG507" s="692"/>
      <c r="CH507" s="693"/>
    </row>
    <row r="508">
      <c r="B508" s="687"/>
      <c r="C508" s="687"/>
      <c r="D508" s="688"/>
      <c r="E508" s="689"/>
      <c r="F508" s="690"/>
      <c r="G508" s="690"/>
      <c r="H508" s="690"/>
      <c r="I508" s="691"/>
      <c r="J508" s="691"/>
      <c r="K508" s="691"/>
      <c r="L508" s="692"/>
      <c r="M508" s="692"/>
      <c r="N508" s="692"/>
      <c r="O508" s="693"/>
      <c r="P508" s="688"/>
      <c r="Q508" s="688"/>
      <c r="R508" s="688"/>
      <c r="S508" s="688"/>
      <c r="T508" s="689"/>
      <c r="U508" s="689"/>
      <c r="V508" s="694"/>
      <c r="W508" s="694"/>
      <c r="X508" s="694"/>
      <c r="Y508" s="694"/>
      <c r="Z508" s="693"/>
      <c r="AA508" s="693"/>
      <c r="AB508" s="693"/>
      <c r="AC508" s="693"/>
      <c r="AD508" s="688"/>
      <c r="AE508" s="689"/>
      <c r="AF508" s="689"/>
      <c r="AG508" s="690"/>
      <c r="AH508" s="690"/>
      <c r="AI508" s="695"/>
      <c r="AJ508" s="695"/>
      <c r="AK508" s="692"/>
      <c r="AL508" s="692"/>
      <c r="AM508" s="693"/>
      <c r="AN508" s="688"/>
      <c r="AO508" s="688"/>
      <c r="AP508" s="688"/>
      <c r="AQ508" s="688"/>
      <c r="AR508" s="688"/>
      <c r="AS508" s="688"/>
      <c r="AT508" s="689"/>
      <c r="AU508" s="689"/>
      <c r="AV508" s="690"/>
      <c r="AW508" s="690"/>
      <c r="AX508" s="690"/>
      <c r="AY508" s="690"/>
      <c r="AZ508" s="690"/>
      <c r="BA508" s="690"/>
      <c r="BB508" s="695"/>
      <c r="BC508" s="695"/>
      <c r="BD508" s="695"/>
      <c r="BE508" s="695"/>
      <c r="BF508" s="692"/>
      <c r="BG508" s="692"/>
      <c r="BH508" s="692"/>
      <c r="BI508" s="692"/>
      <c r="BJ508" s="692"/>
      <c r="BK508" s="692"/>
      <c r="BL508" s="693"/>
      <c r="BM508" s="693"/>
      <c r="BN508" s="688"/>
      <c r="BO508" s="693"/>
      <c r="BP508" s="689"/>
      <c r="BQ508" s="694"/>
      <c r="BR508" s="687"/>
      <c r="BS508" s="687"/>
      <c r="BT508" s="687"/>
      <c r="BU508" s="687"/>
      <c r="BV508" s="687"/>
      <c r="BW508" s="688"/>
      <c r="BX508" s="688"/>
      <c r="BY508" s="689"/>
      <c r="BZ508" s="690"/>
      <c r="CA508" s="690"/>
      <c r="CB508" s="690"/>
      <c r="CC508" s="691"/>
      <c r="CD508" s="691"/>
      <c r="CE508" s="692"/>
      <c r="CF508" s="692"/>
      <c r="CG508" s="692"/>
      <c r="CH508" s="693"/>
    </row>
    <row r="509">
      <c r="B509" s="687"/>
      <c r="C509" s="687"/>
      <c r="D509" s="688"/>
      <c r="E509" s="689"/>
      <c r="F509" s="690"/>
      <c r="G509" s="690"/>
      <c r="H509" s="690"/>
      <c r="I509" s="691"/>
      <c r="J509" s="691"/>
      <c r="K509" s="691"/>
      <c r="L509" s="692"/>
      <c r="M509" s="692"/>
      <c r="N509" s="692"/>
      <c r="O509" s="693"/>
      <c r="P509" s="688"/>
      <c r="Q509" s="688"/>
      <c r="R509" s="688"/>
      <c r="S509" s="688"/>
      <c r="T509" s="689"/>
      <c r="U509" s="689"/>
      <c r="V509" s="694"/>
      <c r="W509" s="694"/>
      <c r="X509" s="694"/>
      <c r="Y509" s="694"/>
      <c r="Z509" s="693"/>
      <c r="AA509" s="693"/>
      <c r="AB509" s="693"/>
      <c r="AC509" s="693"/>
      <c r="AD509" s="688"/>
      <c r="AE509" s="689"/>
      <c r="AF509" s="689"/>
      <c r="AG509" s="690"/>
      <c r="AH509" s="690"/>
      <c r="AI509" s="695"/>
      <c r="AJ509" s="695"/>
      <c r="AK509" s="692"/>
      <c r="AL509" s="692"/>
      <c r="AM509" s="693"/>
      <c r="AN509" s="688"/>
      <c r="AO509" s="688"/>
      <c r="AP509" s="688"/>
      <c r="AQ509" s="688"/>
      <c r="AR509" s="688"/>
      <c r="AS509" s="688"/>
      <c r="AT509" s="689"/>
      <c r="AU509" s="689"/>
      <c r="AV509" s="690"/>
      <c r="AW509" s="690"/>
      <c r="AX509" s="690"/>
      <c r="AY509" s="690"/>
      <c r="AZ509" s="690"/>
      <c r="BA509" s="690"/>
      <c r="BB509" s="695"/>
      <c r="BC509" s="695"/>
      <c r="BD509" s="695"/>
      <c r="BE509" s="695"/>
      <c r="BF509" s="692"/>
      <c r="BG509" s="692"/>
      <c r="BH509" s="692"/>
      <c r="BI509" s="692"/>
      <c r="BJ509" s="692"/>
      <c r="BK509" s="692"/>
      <c r="BL509" s="693"/>
      <c r="BM509" s="693"/>
      <c r="BN509" s="688"/>
      <c r="BO509" s="693"/>
      <c r="BP509" s="689"/>
      <c r="BQ509" s="694"/>
      <c r="BR509" s="687"/>
      <c r="BS509" s="687"/>
      <c r="BT509" s="687"/>
      <c r="BU509" s="687"/>
      <c r="BV509" s="687"/>
      <c r="BW509" s="688"/>
      <c r="BX509" s="688"/>
      <c r="BY509" s="689"/>
      <c r="BZ509" s="690"/>
      <c r="CA509" s="690"/>
      <c r="CB509" s="690"/>
      <c r="CC509" s="691"/>
      <c r="CD509" s="691"/>
      <c r="CE509" s="692"/>
      <c r="CF509" s="692"/>
      <c r="CG509" s="692"/>
      <c r="CH509" s="693"/>
    </row>
    <row r="510">
      <c r="B510" s="687"/>
      <c r="C510" s="687"/>
      <c r="D510" s="688"/>
      <c r="E510" s="689"/>
      <c r="F510" s="690"/>
      <c r="G510" s="690"/>
      <c r="H510" s="690"/>
      <c r="I510" s="691"/>
      <c r="J510" s="691"/>
      <c r="K510" s="691"/>
      <c r="L510" s="692"/>
      <c r="M510" s="692"/>
      <c r="N510" s="692"/>
      <c r="O510" s="693"/>
      <c r="P510" s="688"/>
      <c r="Q510" s="688"/>
      <c r="R510" s="688"/>
      <c r="S510" s="688"/>
      <c r="T510" s="689"/>
      <c r="U510" s="689"/>
      <c r="V510" s="694"/>
      <c r="W510" s="694"/>
      <c r="X510" s="694"/>
      <c r="Y510" s="694"/>
      <c r="Z510" s="693"/>
      <c r="AA510" s="693"/>
      <c r="AB510" s="693"/>
      <c r="AC510" s="693"/>
      <c r="AD510" s="688"/>
      <c r="AE510" s="689"/>
      <c r="AF510" s="689"/>
      <c r="AG510" s="690"/>
      <c r="AH510" s="690"/>
      <c r="AI510" s="695"/>
      <c r="AJ510" s="695"/>
      <c r="AK510" s="692"/>
      <c r="AL510" s="692"/>
      <c r="AM510" s="693"/>
      <c r="AN510" s="688"/>
      <c r="AO510" s="688"/>
      <c r="AP510" s="688"/>
      <c r="AQ510" s="688"/>
      <c r="AR510" s="688"/>
      <c r="AS510" s="688"/>
      <c r="AT510" s="689"/>
      <c r="AU510" s="689"/>
      <c r="AV510" s="690"/>
      <c r="AW510" s="690"/>
      <c r="AX510" s="690"/>
      <c r="AY510" s="690"/>
      <c r="AZ510" s="690"/>
      <c r="BA510" s="690"/>
      <c r="BB510" s="695"/>
      <c r="BC510" s="695"/>
      <c r="BD510" s="695"/>
      <c r="BE510" s="695"/>
      <c r="BF510" s="692"/>
      <c r="BG510" s="692"/>
      <c r="BH510" s="692"/>
      <c r="BI510" s="692"/>
      <c r="BJ510" s="692"/>
      <c r="BK510" s="692"/>
      <c r="BL510" s="693"/>
      <c r="BM510" s="693"/>
      <c r="BN510" s="688"/>
      <c r="BO510" s="693"/>
      <c r="BP510" s="689"/>
      <c r="BQ510" s="694"/>
      <c r="BR510" s="687"/>
      <c r="BS510" s="687"/>
      <c r="BT510" s="687"/>
      <c r="BU510" s="687"/>
      <c r="BV510" s="687"/>
      <c r="BW510" s="688"/>
      <c r="BX510" s="688"/>
      <c r="BY510" s="689"/>
      <c r="BZ510" s="690"/>
      <c r="CA510" s="690"/>
      <c r="CB510" s="690"/>
      <c r="CC510" s="691"/>
      <c r="CD510" s="691"/>
      <c r="CE510" s="692"/>
      <c r="CF510" s="692"/>
      <c r="CG510" s="692"/>
      <c r="CH510" s="693"/>
    </row>
    <row r="511">
      <c r="B511" s="687"/>
      <c r="C511" s="687"/>
      <c r="D511" s="688"/>
      <c r="E511" s="689"/>
      <c r="F511" s="690"/>
      <c r="G511" s="690"/>
      <c r="H511" s="690"/>
      <c r="I511" s="691"/>
      <c r="J511" s="691"/>
      <c r="K511" s="691"/>
      <c r="L511" s="692"/>
      <c r="M511" s="692"/>
      <c r="N511" s="692"/>
      <c r="O511" s="693"/>
      <c r="P511" s="688"/>
      <c r="Q511" s="688"/>
      <c r="R511" s="688"/>
      <c r="S511" s="688"/>
      <c r="T511" s="689"/>
      <c r="U511" s="689"/>
      <c r="V511" s="694"/>
      <c r="W511" s="694"/>
      <c r="X511" s="694"/>
      <c r="Y511" s="694"/>
      <c r="Z511" s="693"/>
      <c r="AA511" s="693"/>
      <c r="AB511" s="693"/>
      <c r="AC511" s="693"/>
      <c r="AD511" s="688"/>
      <c r="AE511" s="689"/>
      <c r="AF511" s="689"/>
      <c r="AG511" s="690"/>
      <c r="AH511" s="690"/>
      <c r="AI511" s="695"/>
      <c r="AJ511" s="695"/>
      <c r="AK511" s="692"/>
      <c r="AL511" s="692"/>
      <c r="AM511" s="693"/>
      <c r="AN511" s="688"/>
      <c r="AO511" s="688"/>
      <c r="AP511" s="688"/>
      <c r="AQ511" s="688"/>
      <c r="AR511" s="688"/>
      <c r="AS511" s="688"/>
      <c r="AT511" s="689"/>
      <c r="AU511" s="689"/>
      <c r="AV511" s="690"/>
      <c r="AW511" s="690"/>
      <c r="AX511" s="690"/>
      <c r="AY511" s="690"/>
      <c r="AZ511" s="690"/>
      <c r="BA511" s="690"/>
      <c r="BB511" s="695"/>
      <c r="BC511" s="695"/>
      <c r="BD511" s="695"/>
      <c r="BE511" s="695"/>
      <c r="BF511" s="692"/>
      <c r="BG511" s="692"/>
      <c r="BH511" s="692"/>
      <c r="BI511" s="692"/>
      <c r="BJ511" s="692"/>
      <c r="BK511" s="692"/>
      <c r="BL511" s="693"/>
      <c r="BM511" s="693"/>
      <c r="BN511" s="688"/>
      <c r="BO511" s="693"/>
      <c r="BP511" s="689"/>
      <c r="BQ511" s="694"/>
      <c r="BR511" s="687"/>
      <c r="BS511" s="687"/>
      <c r="BT511" s="687"/>
      <c r="BU511" s="687"/>
      <c r="BV511" s="687"/>
      <c r="BW511" s="688"/>
      <c r="BX511" s="688"/>
      <c r="BY511" s="689"/>
      <c r="BZ511" s="690"/>
      <c r="CA511" s="690"/>
      <c r="CB511" s="690"/>
      <c r="CC511" s="691"/>
      <c r="CD511" s="691"/>
      <c r="CE511" s="692"/>
      <c r="CF511" s="692"/>
      <c r="CG511" s="692"/>
      <c r="CH511" s="693"/>
    </row>
    <row r="512">
      <c r="B512" s="687"/>
      <c r="C512" s="687"/>
      <c r="D512" s="688"/>
      <c r="E512" s="689"/>
      <c r="F512" s="690"/>
      <c r="G512" s="690"/>
      <c r="H512" s="690"/>
      <c r="I512" s="691"/>
      <c r="J512" s="691"/>
      <c r="K512" s="691"/>
      <c r="L512" s="692"/>
      <c r="M512" s="692"/>
      <c r="N512" s="692"/>
      <c r="O512" s="693"/>
      <c r="P512" s="688"/>
      <c r="Q512" s="688"/>
      <c r="R512" s="688"/>
      <c r="S512" s="688"/>
      <c r="T512" s="689"/>
      <c r="U512" s="689"/>
      <c r="V512" s="694"/>
      <c r="W512" s="694"/>
      <c r="X512" s="694"/>
      <c r="Y512" s="694"/>
      <c r="Z512" s="693"/>
      <c r="AA512" s="693"/>
      <c r="AB512" s="693"/>
      <c r="AC512" s="693"/>
      <c r="AD512" s="688"/>
      <c r="AE512" s="689"/>
      <c r="AF512" s="689"/>
      <c r="AG512" s="690"/>
      <c r="AH512" s="690"/>
      <c r="AI512" s="695"/>
      <c r="AJ512" s="695"/>
      <c r="AK512" s="692"/>
      <c r="AL512" s="692"/>
      <c r="AM512" s="693"/>
      <c r="AN512" s="688"/>
      <c r="AO512" s="688"/>
      <c r="AP512" s="688"/>
      <c r="AQ512" s="688"/>
      <c r="AR512" s="688"/>
      <c r="AS512" s="688"/>
      <c r="AT512" s="689"/>
      <c r="AU512" s="689"/>
      <c r="AV512" s="690"/>
      <c r="AW512" s="690"/>
      <c r="AX512" s="690"/>
      <c r="AY512" s="690"/>
      <c r="AZ512" s="690"/>
      <c r="BA512" s="690"/>
      <c r="BB512" s="695"/>
      <c r="BC512" s="695"/>
      <c r="BD512" s="695"/>
      <c r="BE512" s="695"/>
      <c r="BF512" s="692"/>
      <c r="BG512" s="692"/>
      <c r="BH512" s="692"/>
      <c r="BI512" s="692"/>
      <c r="BJ512" s="692"/>
      <c r="BK512" s="692"/>
      <c r="BL512" s="693"/>
      <c r="BM512" s="693"/>
      <c r="BN512" s="688"/>
      <c r="BO512" s="693"/>
      <c r="BP512" s="689"/>
      <c r="BQ512" s="694"/>
      <c r="BR512" s="687"/>
      <c r="BS512" s="687"/>
      <c r="BT512" s="687"/>
      <c r="BU512" s="687"/>
      <c r="BV512" s="687"/>
      <c r="BW512" s="688"/>
      <c r="BX512" s="688"/>
      <c r="BY512" s="689"/>
      <c r="BZ512" s="690"/>
      <c r="CA512" s="690"/>
      <c r="CB512" s="690"/>
      <c r="CC512" s="691"/>
      <c r="CD512" s="691"/>
      <c r="CE512" s="692"/>
      <c r="CF512" s="692"/>
      <c r="CG512" s="692"/>
      <c r="CH512" s="693"/>
    </row>
    <row r="513">
      <c r="B513" s="687"/>
      <c r="C513" s="687"/>
      <c r="D513" s="688"/>
      <c r="E513" s="689"/>
      <c r="F513" s="690"/>
      <c r="G513" s="690"/>
      <c r="H513" s="690"/>
      <c r="I513" s="691"/>
      <c r="J513" s="691"/>
      <c r="K513" s="691"/>
      <c r="L513" s="692"/>
      <c r="M513" s="692"/>
      <c r="N513" s="692"/>
      <c r="O513" s="693"/>
      <c r="P513" s="688"/>
      <c r="Q513" s="688"/>
      <c r="R513" s="688"/>
      <c r="S513" s="688"/>
      <c r="T513" s="689"/>
      <c r="U513" s="689"/>
      <c r="V513" s="694"/>
      <c r="W513" s="694"/>
      <c r="X513" s="694"/>
      <c r="Y513" s="694"/>
      <c r="Z513" s="693"/>
      <c r="AA513" s="693"/>
      <c r="AB513" s="693"/>
      <c r="AC513" s="693"/>
      <c r="AD513" s="688"/>
      <c r="AE513" s="689"/>
      <c r="AF513" s="689"/>
      <c r="AG513" s="690"/>
      <c r="AH513" s="690"/>
      <c r="AI513" s="695"/>
      <c r="AJ513" s="695"/>
      <c r="AK513" s="692"/>
      <c r="AL513" s="692"/>
      <c r="AM513" s="693"/>
      <c r="AN513" s="688"/>
      <c r="AO513" s="688"/>
      <c r="AP513" s="688"/>
      <c r="AQ513" s="688"/>
      <c r="AR513" s="688"/>
      <c r="AS513" s="688"/>
      <c r="AT513" s="689"/>
      <c r="AU513" s="689"/>
      <c r="AV513" s="690"/>
      <c r="AW513" s="690"/>
      <c r="AX513" s="690"/>
      <c r="AY513" s="690"/>
      <c r="AZ513" s="690"/>
      <c r="BA513" s="690"/>
      <c r="BB513" s="695"/>
      <c r="BC513" s="695"/>
      <c r="BD513" s="695"/>
      <c r="BE513" s="695"/>
      <c r="BF513" s="692"/>
      <c r="BG513" s="692"/>
      <c r="BH513" s="692"/>
      <c r="BI513" s="692"/>
      <c r="BJ513" s="692"/>
      <c r="BK513" s="692"/>
      <c r="BL513" s="693"/>
      <c r="BM513" s="693"/>
      <c r="BN513" s="688"/>
      <c r="BO513" s="693"/>
      <c r="BP513" s="689"/>
      <c r="BQ513" s="694"/>
      <c r="BR513" s="687"/>
      <c r="BS513" s="687"/>
      <c r="BT513" s="687"/>
      <c r="BU513" s="687"/>
      <c r="BV513" s="687"/>
      <c r="BW513" s="688"/>
      <c r="BX513" s="688"/>
      <c r="BY513" s="689"/>
      <c r="BZ513" s="690"/>
      <c r="CA513" s="690"/>
      <c r="CB513" s="690"/>
      <c r="CC513" s="691"/>
      <c r="CD513" s="691"/>
      <c r="CE513" s="692"/>
      <c r="CF513" s="692"/>
      <c r="CG513" s="692"/>
      <c r="CH513" s="693"/>
    </row>
    <row r="514">
      <c r="B514" s="687"/>
      <c r="C514" s="687"/>
      <c r="D514" s="688"/>
      <c r="E514" s="689"/>
      <c r="F514" s="690"/>
      <c r="G514" s="690"/>
      <c r="H514" s="690"/>
      <c r="I514" s="691"/>
      <c r="J514" s="691"/>
      <c r="K514" s="691"/>
      <c r="L514" s="692"/>
      <c r="M514" s="692"/>
      <c r="N514" s="692"/>
      <c r="O514" s="693"/>
      <c r="P514" s="688"/>
      <c r="Q514" s="688"/>
      <c r="R514" s="688"/>
      <c r="S514" s="688"/>
      <c r="T514" s="689"/>
      <c r="U514" s="689"/>
      <c r="V514" s="694"/>
      <c r="W514" s="694"/>
      <c r="X514" s="694"/>
      <c r="Y514" s="694"/>
      <c r="Z514" s="693"/>
      <c r="AA514" s="693"/>
      <c r="AB514" s="693"/>
      <c r="AC514" s="693"/>
      <c r="AD514" s="688"/>
      <c r="AE514" s="689"/>
      <c r="AF514" s="689"/>
      <c r="AG514" s="690"/>
      <c r="AH514" s="690"/>
      <c r="AI514" s="695"/>
      <c r="AJ514" s="695"/>
      <c r="AK514" s="692"/>
      <c r="AL514" s="692"/>
      <c r="AM514" s="693"/>
      <c r="AN514" s="688"/>
      <c r="AO514" s="688"/>
      <c r="AP514" s="688"/>
      <c r="AQ514" s="688"/>
      <c r="AR514" s="688"/>
      <c r="AS514" s="688"/>
      <c r="AT514" s="689"/>
      <c r="AU514" s="689"/>
      <c r="AV514" s="690"/>
      <c r="AW514" s="690"/>
      <c r="AX514" s="690"/>
      <c r="AY514" s="690"/>
      <c r="AZ514" s="690"/>
      <c r="BA514" s="690"/>
      <c r="BB514" s="695"/>
      <c r="BC514" s="695"/>
      <c r="BD514" s="695"/>
      <c r="BE514" s="695"/>
      <c r="BF514" s="692"/>
      <c r="BG514" s="692"/>
      <c r="BH514" s="692"/>
      <c r="BI514" s="692"/>
      <c r="BJ514" s="692"/>
      <c r="BK514" s="692"/>
      <c r="BL514" s="693"/>
      <c r="BM514" s="693"/>
      <c r="BN514" s="688"/>
      <c r="BO514" s="693"/>
      <c r="BP514" s="689"/>
      <c r="BQ514" s="694"/>
      <c r="BR514" s="687"/>
      <c r="BS514" s="687"/>
      <c r="BT514" s="687"/>
      <c r="BU514" s="687"/>
      <c r="BV514" s="687"/>
      <c r="BW514" s="688"/>
      <c r="BX514" s="688"/>
      <c r="BY514" s="689"/>
      <c r="BZ514" s="690"/>
      <c r="CA514" s="690"/>
      <c r="CB514" s="690"/>
      <c r="CC514" s="691"/>
      <c r="CD514" s="691"/>
      <c r="CE514" s="692"/>
      <c r="CF514" s="692"/>
      <c r="CG514" s="692"/>
      <c r="CH514" s="693"/>
    </row>
    <row r="515">
      <c r="B515" s="687"/>
      <c r="C515" s="687"/>
      <c r="D515" s="688"/>
      <c r="E515" s="689"/>
      <c r="F515" s="690"/>
      <c r="G515" s="690"/>
      <c r="H515" s="690"/>
      <c r="I515" s="691"/>
      <c r="J515" s="691"/>
      <c r="K515" s="691"/>
      <c r="L515" s="692"/>
      <c r="M515" s="692"/>
      <c r="N515" s="692"/>
      <c r="O515" s="693"/>
      <c r="P515" s="688"/>
      <c r="Q515" s="688"/>
      <c r="R515" s="688"/>
      <c r="S515" s="688"/>
      <c r="T515" s="689"/>
      <c r="U515" s="689"/>
      <c r="V515" s="694"/>
      <c r="W515" s="694"/>
      <c r="X515" s="694"/>
      <c r="Y515" s="694"/>
      <c r="Z515" s="693"/>
      <c r="AA515" s="693"/>
      <c r="AB515" s="693"/>
      <c r="AC515" s="693"/>
      <c r="AD515" s="688"/>
      <c r="AE515" s="689"/>
      <c r="AF515" s="689"/>
      <c r="AG515" s="690"/>
      <c r="AH515" s="690"/>
      <c r="AI515" s="695"/>
      <c r="AJ515" s="695"/>
      <c r="AK515" s="692"/>
      <c r="AL515" s="692"/>
      <c r="AM515" s="693"/>
      <c r="AN515" s="688"/>
      <c r="AO515" s="688"/>
      <c r="AP515" s="688"/>
      <c r="AQ515" s="688"/>
      <c r="AR515" s="688"/>
      <c r="AS515" s="688"/>
      <c r="AT515" s="689"/>
      <c r="AU515" s="689"/>
      <c r="AV515" s="690"/>
      <c r="AW515" s="690"/>
      <c r="AX515" s="690"/>
      <c r="AY515" s="690"/>
      <c r="AZ515" s="690"/>
      <c r="BA515" s="690"/>
      <c r="BB515" s="695"/>
      <c r="BC515" s="695"/>
      <c r="BD515" s="695"/>
      <c r="BE515" s="695"/>
      <c r="BF515" s="692"/>
      <c r="BG515" s="692"/>
      <c r="BH515" s="692"/>
      <c r="BI515" s="692"/>
      <c r="BJ515" s="692"/>
      <c r="BK515" s="692"/>
      <c r="BL515" s="693"/>
      <c r="BM515" s="693"/>
      <c r="BN515" s="688"/>
      <c r="BO515" s="693"/>
      <c r="BP515" s="689"/>
      <c r="BQ515" s="694"/>
      <c r="BR515" s="687"/>
      <c r="BS515" s="687"/>
      <c r="BT515" s="687"/>
      <c r="BU515" s="687"/>
      <c r="BV515" s="687"/>
      <c r="BW515" s="688"/>
      <c r="BX515" s="688"/>
      <c r="BY515" s="689"/>
      <c r="BZ515" s="690"/>
      <c r="CA515" s="690"/>
      <c r="CB515" s="690"/>
      <c r="CC515" s="691"/>
      <c r="CD515" s="691"/>
      <c r="CE515" s="692"/>
      <c r="CF515" s="692"/>
      <c r="CG515" s="692"/>
      <c r="CH515" s="693"/>
    </row>
    <row r="516">
      <c r="B516" s="687"/>
      <c r="C516" s="687"/>
      <c r="D516" s="688"/>
      <c r="E516" s="689"/>
      <c r="F516" s="690"/>
      <c r="G516" s="690"/>
      <c r="H516" s="690"/>
      <c r="I516" s="691"/>
      <c r="J516" s="691"/>
      <c r="K516" s="691"/>
      <c r="L516" s="692"/>
      <c r="M516" s="692"/>
      <c r="N516" s="692"/>
      <c r="O516" s="693"/>
      <c r="P516" s="688"/>
      <c r="Q516" s="688"/>
      <c r="R516" s="688"/>
      <c r="S516" s="688"/>
      <c r="T516" s="689"/>
      <c r="U516" s="689"/>
      <c r="V516" s="694"/>
      <c r="W516" s="694"/>
      <c r="X516" s="694"/>
      <c r="Y516" s="694"/>
      <c r="Z516" s="693"/>
      <c r="AA516" s="693"/>
      <c r="AB516" s="693"/>
      <c r="AC516" s="693"/>
      <c r="AD516" s="688"/>
      <c r="AE516" s="689"/>
      <c r="AF516" s="689"/>
      <c r="AG516" s="690"/>
      <c r="AH516" s="690"/>
      <c r="AI516" s="695"/>
      <c r="AJ516" s="695"/>
      <c r="AK516" s="692"/>
      <c r="AL516" s="692"/>
      <c r="AM516" s="693"/>
      <c r="AN516" s="688"/>
      <c r="AO516" s="688"/>
      <c r="AP516" s="688"/>
      <c r="AQ516" s="688"/>
      <c r="AR516" s="688"/>
      <c r="AS516" s="688"/>
      <c r="AT516" s="689"/>
      <c r="AU516" s="689"/>
      <c r="AV516" s="690"/>
      <c r="AW516" s="690"/>
      <c r="AX516" s="690"/>
      <c r="AY516" s="690"/>
      <c r="AZ516" s="690"/>
      <c r="BA516" s="690"/>
      <c r="BB516" s="695"/>
      <c r="BC516" s="695"/>
      <c r="BD516" s="695"/>
      <c r="BE516" s="695"/>
      <c r="BF516" s="692"/>
      <c r="BG516" s="692"/>
      <c r="BH516" s="692"/>
      <c r="BI516" s="692"/>
      <c r="BJ516" s="692"/>
      <c r="BK516" s="692"/>
      <c r="BL516" s="693"/>
      <c r="BM516" s="693"/>
      <c r="BN516" s="688"/>
      <c r="BO516" s="693"/>
      <c r="BP516" s="689"/>
      <c r="BQ516" s="694"/>
      <c r="BR516" s="687"/>
      <c r="BS516" s="687"/>
      <c r="BT516" s="687"/>
      <c r="BU516" s="687"/>
      <c r="BV516" s="687"/>
      <c r="BW516" s="688"/>
      <c r="BX516" s="688"/>
      <c r="BY516" s="689"/>
      <c r="BZ516" s="690"/>
      <c r="CA516" s="690"/>
      <c r="CB516" s="690"/>
      <c r="CC516" s="691"/>
      <c r="CD516" s="691"/>
      <c r="CE516" s="692"/>
      <c r="CF516" s="692"/>
      <c r="CG516" s="692"/>
      <c r="CH516" s="693"/>
    </row>
    <row r="517">
      <c r="B517" s="687"/>
      <c r="C517" s="687"/>
      <c r="D517" s="688"/>
      <c r="E517" s="689"/>
      <c r="F517" s="690"/>
      <c r="G517" s="690"/>
      <c r="H517" s="690"/>
      <c r="I517" s="691"/>
      <c r="J517" s="691"/>
      <c r="K517" s="691"/>
      <c r="L517" s="692"/>
      <c r="M517" s="692"/>
      <c r="N517" s="692"/>
      <c r="O517" s="693"/>
      <c r="P517" s="688"/>
      <c r="Q517" s="688"/>
      <c r="R517" s="688"/>
      <c r="S517" s="688"/>
      <c r="T517" s="689"/>
      <c r="U517" s="689"/>
      <c r="V517" s="694"/>
      <c r="W517" s="694"/>
      <c r="X517" s="694"/>
      <c r="Y517" s="694"/>
      <c r="Z517" s="693"/>
      <c r="AA517" s="693"/>
      <c r="AB517" s="693"/>
      <c r="AC517" s="693"/>
      <c r="AD517" s="688"/>
      <c r="AE517" s="689"/>
      <c r="AF517" s="689"/>
      <c r="AG517" s="690"/>
      <c r="AH517" s="690"/>
      <c r="AI517" s="695"/>
      <c r="AJ517" s="695"/>
      <c r="AK517" s="692"/>
      <c r="AL517" s="692"/>
      <c r="AM517" s="693"/>
      <c r="AN517" s="688"/>
      <c r="AO517" s="688"/>
      <c r="AP517" s="688"/>
      <c r="AQ517" s="688"/>
      <c r="AR517" s="688"/>
      <c r="AS517" s="688"/>
      <c r="AT517" s="689"/>
      <c r="AU517" s="689"/>
      <c r="AV517" s="690"/>
      <c r="AW517" s="690"/>
      <c r="AX517" s="690"/>
      <c r="AY517" s="690"/>
      <c r="AZ517" s="690"/>
      <c r="BA517" s="690"/>
      <c r="BB517" s="695"/>
      <c r="BC517" s="695"/>
      <c r="BD517" s="695"/>
      <c r="BE517" s="695"/>
      <c r="BF517" s="692"/>
      <c r="BG517" s="692"/>
      <c r="BH517" s="692"/>
      <c r="BI517" s="692"/>
      <c r="BJ517" s="692"/>
      <c r="BK517" s="692"/>
      <c r="BL517" s="693"/>
      <c r="BM517" s="693"/>
      <c r="BN517" s="688"/>
      <c r="BO517" s="693"/>
      <c r="BP517" s="689"/>
      <c r="BQ517" s="694"/>
      <c r="BR517" s="687"/>
      <c r="BS517" s="687"/>
      <c r="BT517" s="687"/>
      <c r="BU517" s="687"/>
      <c r="BV517" s="687"/>
      <c r="BW517" s="688"/>
      <c r="BX517" s="688"/>
      <c r="BY517" s="689"/>
      <c r="BZ517" s="690"/>
      <c r="CA517" s="690"/>
      <c r="CB517" s="690"/>
      <c r="CC517" s="691"/>
      <c r="CD517" s="691"/>
      <c r="CE517" s="692"/>
      <c r="CF517" s="692"/>
      <c r="CG517" s="692"/>
      <c r="CH517" s="693"/>
    </row>
    <row r="518">
      <c r="B518" s="687"/>
      <c r="C518" s="687"/>
      <c r="D518" s="688"/>
      <c r="E518" s="689"/>
      <c r="F518" s="690"/>
      <c r="G518" s="690"/>
      <c r="H518" s="690"/>
      <c r="I518" s="691"/>
      <c r="J518" s="691"/>
      <c r="K518" s="691"/>
      <c r="L518" s="692"/>
      <c r="M518" s="692"/>
      <c r="N518" s="692"/>
      <c r="O518" s="693"/>
      <c r="P518" s="688"/>
      <c r="Q518" s="688"/>
      <c r="R518" s="688"/>
      <c r="S518" s="688"/>
      <c r="T518" s="689"/>
      <c r="U518" s="689"/>
      <c r="V518" s="694"/>
      <c r="W518" s="694"/>
      <c r="X518" s="694"/>
      <c r="Y518" s="694"/>
      <c r="Z518" s="693"/>
      <c r="AA518" s="693"/>
      <c r="AB518" s="693"/>
      <c r="AC518" s="693"/>
      <c r="AD518" s="688"/>
      <c r="AE518" s="689"/>
      <c r="AF518" s="689"/>
      <c r="AG518" s="690"/>
      <c r="AH518" s="690"/>
      <c r="AI518" s="695"/>
      <c r="AJ518" s="695"/>
      <c r="AK518" s="692"/>
      <c r="AL518" s="692"/>
      <c r="AM518" s="693"/>
      <c r="AN518" s="688"/>
      <c r="AO518" s="688"/>
      <c r="AP518" s="688"/>
      <c r="AQ518" s="688"/>
      <c r="AR518" s="688"/>
      <c r="AS518" s="688"/>
      <c r="AT518" s="689"/>
      <c r="AU518" s="689"/>
      <c r="AV518" s="690"/>
      <c r="AW518" s="690"/>
      <c r="AX518" s="690"/>
      <c r="AY518" s="690"/>
      <c r="AZ518" s="690"/>
      <c r="BA518" s="690"/>
      <c r="BB518" s="695"/>
      <c r="BC518" s="695"/>
      <c r="BD518" s="695"/>
      <c r="BE518" s="695"/>
      <c r="BF518" s="692"/>
      <c r="BG518" s="692"/>
      <c r="BH518" s="692"/>
      <c r="BI518" s="692"/>
      <c r="BJ518" s="692"/>
      <c r="BK518" s="692"/>
      <c r="BL518" s="693"/>
      <c r="BM518" s="693"/>
      <c r="BN518" s="688"/>
      <c r="BO518" s="693"/>
      <c r="BP518" s="689"/>
      <c r="BQ518" s="694"/>
      <c r="BR518" s="687"/>
      <c r="BS518" s="687"/>
      <c r="BT518" s="687"/>
      <c r="BU518" s="687"/>
      <c r="BV518" s="687"/>
      <c r="BW518" s="688"/>
      <c r="BX518" s="688"/>
      <c r="BY518" s="689"/>
      <c r="BZ518" s="690"/>
      <c r="CA518" s="690"/>
      <c r="CB518" s="690"/>
      <c r="CC518" s="691"/>
      <c r="CD518" s="691"/>
      <c r="CE518" s="692"/>
      <c r="CF518" s="692"/>
      <c r="CG518" s="692"/>
      <c r="CH518" s="693"/>
    </row>
    <row r="519">
      <c r="B519" s="687"/>
      <c r="C519" s="687"/>
      <c r="D519" s="688"/>
      <c r="E519" s="689"/>
      <c r="F519" s="690"/>
      <c r="G519" s="690"/>
      <c r="H519" s="690"/>
      <c r="I519" s="691"/>
      <c r="J519" s="691"/>
      <c r="K519" s="691"/>
      <c r="L519" s="692"/>
      <c r="M519" s="692"/>
      <c r="N519" s="692"/>
      <c r="O519" s="693"/>
      <c r="P519" s="688"/>
      <c r="Q519" s="688"/>
      <c r="R519" s="688"/>
      <c r="S519" s="688"/>
      <c r="T519" s="689"/>
      <c r="U519" s="689"/>
      <c r="V519" s="694"/>
      <c r="W519" s="694"/>
      <c r="X519" s="694"/>
      <c r="Y519" s="694"/>
      <c r="Z519" s="693"/>
      <c r="AA519" s="693"/>
      <c r="AB519" s="693"/>
      <c r="AC519" s="693"/>
      <c r="AD519" s="688"/>
      <c r="AE519" s="689"/>
      <c r="AF519" s="689"/>
      <c r="AG519" s="690"/>
      <c r="AH519" s="690"/>
      <c r="AI519" s="695"/>
      <c r="AJ519" s="695"/>
      <c r="AK519" s="692"/>
      <c r="AL519" s="692"/>
      <c r="AM519" s="693"/>
      <c r="AN519" s="688"/>
      <c r="AO519" s="688"/>
      <c r="AP519" s="688"/>
      <c r="AQ519" s="688"/>
      <c r="AR519" s="688"/>
      <c r="AS519" s="688"/>
      <c r="AT519" s="689"/>
      <c r="AU519" s="689"/>
      <c r="AV519" s="690"/>
      <c r="AW519" s="690"/>
      <c r="AX519" s="690"/>
      <c r="AY519" s="690"/>
      <c r="AZ519" s="690"/>
      <c r="BA519" s="690"/>
      <c r="BB519" s="695"/>
      <c r="BC519" s="695"/>
      <c r="BD519" s="695"/>
      <c r="BE519" s="695"/>
      <c r="BF519" s="692"/>
      <c r="BG519" s="692"/>
      <c r="BH519" s="692"/>
      <c r="BI519" s="692"/>
      <c r="BJ519" s="692"/>
      <c r="BK519" s="692"/>
      <c r="BL519" s="693"/>
      <c r="BM519" s="693"/>
      <c r="BN519" s="688"/>
      <c r="BO519" s="693"/>
      <c r="BP519" s="689"/>
      <c r="BQ519" s="694"/>
      <c r="BR519" s="687"/>
      <c r="BS519" s="687"/>
      <c r="BT519" s="687"/>
      <c r="BU519" s="687"/>
      <c r="BV519" s="687"/>
      <c r="BW519" s="688"/>
      <c r="BX519" s="688"/>
      <c r="BY519" s="689"/>
      <c r="BZ519" s="690"/>
      <c r="CA519" s="690"/>
      <c r="CB519" s="690"/>
      <c r="CC519" s="691"/>
      <c r="CD519" s="691"/>
      <c r="CE519" s="692"/>
      <c r="CF519" s="692"/>
      <c r="CG519" s="692"/>
      <c r="CH519" s="693"/>
    </row>
    <row r="520">
      <c r="B520" s="687"/>
      <c r="C520" s="687"/>
      <c r="D520" s="688"/>
      <c r="E520" s="689"/>
      <c r="F520" s="690"/>
      <c r="G520" s="690"/>
      <c r="H520" s="690"/>
      <c r="I520" s="691"/>
      <c r="J520" s="691"/>
      <c r="K520" s="691"/>
      <c r="L520" s="692"/>
      <c r="M520" s="692"/>
      <c r="N520" s="692"/>
      <c r="O520" s="693"/>
      <c r="P520" s="688"/>
      <c r="Q520" s="688"/>
      <c r="R520" s="688"/>
      <c r="S520" s="688"/>
      <c r="T520" s="689"/>
      <c r="U520" s="689"/>
      <c r="V520" s="694"/>
      <c r="W520" s="694"/>
      <c r="X520" s="694"/>
      <c r="Y520" s="694"/>
      <c r="Z520" s="693"/>
      <c r="AA520" s="693"/>
      <c r="AB520" s="693"/>
      <c r="AC520" s="693"/>
      <c r="AD520" s="688"/>
      <c r="AE520" s="689"/>
      <c r="AF520" s="689"/>
      <c r="AG520" s="690"/>
      <c r="AH520" s="690"/>
      <c r="AI520" s="695"/>
      <c r="AJ520" s="695"/>
      <c r="AK520" s="692"/>
      <c r="AL520" s="692"/>
      <c r="AM520" s="693"/>
      <c r="AN520" s="688"/>
      <c r="AO520" s="688"/>
      <c r="AP520" s="688"/>
      <c r="AQ520" s="688"/>
      <c r="AR520" s="688"/>
      <c r="AS520" s="688"/>
      <c r="AT520" s="689"/>
      <c r="AU520" s="689"/>
      <c r="AV520" s="690"/>
      <c r="AW520" s="690"/>
      <c r="AX520" s="690"/>
      <c r="AY520" s="690"/>
      <c r="AZ520" s="690"/>
      <c r="BA520" s="690"/>
      <c r="BB520" s="695"/>
      <c r="BC520" s="695"/>
      <c r="BD520" s="695"/>
      <c r="BE520" s="695"/>
      <c r="BF520" s="692"/>
      <c r="BG520" s="692"/>
      <c r="BH520" s="692"/>
      <c r="BI520" s="692"/>
      <c r="BJ520" s="692"/>
      <c r="BK520" s="692"/>
      <c r="BL520" s="693"/>
      <c r="BM520" s="693"/>
      <c r="BN520" s="688"/>
      <c r="BO520" s="693"/>
      <c r="BP520" s="689"/>
      <c r="BQ520" s="694"/>
      <c r="BR520" s="687"/>
      <c r="BS520" s="687"/>
      <c r="BT520" s="687"/>
      <c r="BU520" s="687"/>
      <c r="BV520" s="687"/>
      <c r="BW520" s="688"/>
      <c r="BX520" s="688"/>
      <c r="BY520" s="689"/>
      <c r="BZ520" s="690"/>
      <c r="CA520" s="690"/>
      <c r="CB520" s="690"/>
      <c r="CC520" s="691"/>
      <c r="CD520" s="691"/>
      <c r="CE520" s="692"/>
      <c r="CF520" s="692"/>
      <c r="CG520" s="692"/>
      <c r="CH520" s="693"/>
    </row>
    <row r="521">
      <c r="B521" s="687"/>
      <c r="C521" s="687"/>
      <c r="D521" s="688"/>
      <c r="E521" s="689"/>
      <c r="F521" s="690"/>
      <c r="G521" s="690"/>
      <c r="H521" s="690"/>
      <c r="I521" s="691"/>
      <c r="J521" s="691"/>
      <c r="K521" s="691"/>
      <c r="L521" s="692"/>
      <c r="M521" s="692"/>
      <c r="N521" s="692"/>
      <c r="O521" s="693"/>
      <c r="P521" s="688"/>
      <c r="Q521" s="688"/>
      <c r="R521" s="688"/>
      <c r="S521" s="688"/>
      <c r="T521" s="689"/>
      <c r="U521" s="689"/>
      <c r="V521" s="694"/>
      <c r="W521" s="694"/>
      <c r="X521" s="694"/>
      <c r="Y521" s="694"/>
      <c r="Z521" s="693"/>
      <c r="AA521" s="693"/>
      <c r="AB521" s="693"/>
      <c r="AC521" s="693"/>
      <c r="AD521" s="688"/>
      <c r="AE521" s="689"/>
      <c r="AF521" s="689"/>
      <c r="AG521" s="690"/>
      <c r="AH521" s="690"/>
      <c r="AI521" s="695"/>
      <c r="AJ521" s="695"/>
      <c r="AK521" s="692"/>
      <c r="AL521" s="692"/>
      <c r="AM521" s="693"/>
      <c r="AN521" s="688"/>
      <c r="AO521" s="688"/>
      <c r="AP521" s="688"/>
      <c r="AQ521" s="688"/>
      <c r="AR521" s="688"/>
      <c r="AS521" s="688"/>
      <c r="AT521" s="689"/>
      <c r="AU521" s="689"/>
      <c r="AV521" s="690"/>
      <c r="AW521" s="690"/>
      <c r="AX521" s="690"/>
      <c r="AY521" s="690"/>
      <c r="AZ521" s="690"/>
      <c r="BA521" s="690"/>
      <c r="BB521" s="695"/>
      <c r="BC521" s="695"/>
      <c r="BD521" s="695"/>
      <c r="BE521" s="695"/>
      <c r="BF521" s="692"/>
      <c r="BG521" s="692"/>
      <c r="BH521" s="692"/>
      <c r="BI521" s="692"/>
      <c r="BJ521" s="692"/>
      <c r="BK521" s="692"/>
      <c r="BL521" s="693"/>
      <c r="BM521" s="693"/>
      <c r="BN521" s="688"/>
      <c r="BO521" s="693"/>
      <c r="BP521" s="689"/>
      <c r="BQ521" s="694"/>
      <c r="BR521" s="687"/>
      <c r="BS521" s="687"/>
      <c r="BT521" s="687"/>
      <c r="BU521" s="687"/>
      <c r="BV521" s="687"/>
      <c r="BW521" s="688"/>
      <c r="BX521" s="688"/>
      <c r="BY521" s="689"/>
      <c r="BZ521" s="690"/>
      <c r="CA521" s="690"/>
      <c r="CB521" s="690"/>
      <c r="CC521" s="691"/>
      <c r="CD521" s="691"/>
      <c r="CE521" s="692"/>
      <c r="CF521" s="692"/>
      <c r="CG521" s="692"/>
      <c r="CH521" s="693"/>
    </row>
    <row r="522">
      <c r="B522" s="687"/>
      <c r="C522" s="687"/>
      <c r="D522" s="688"/>
      <c r="E522" s="689"/>
      <c r="F522" s="690"/>
      <c r="G522" s="690"/>
      <c r="H522" s="690"/>
      <c r="I522" s="691"/>
      <c r="J522" s="691"/>
      <c r="K522" s="691"/>
      <c r="L522" s="692"/>
      <c r="M522" s="692"/>
      <c r="N522" s="692"/>
      <c r="O522" s="693"/>
      <c r="P522" s="688"/>
      <c r="Q522" s="688"/>
      <c r="R522" s="688"/>
      <c r="S522" s="688"/>
      <c r="T522" s="689"/>
      <c r="U522" s="689"/>
      <c r="V522" s="694"/>
      <c r="W522" s="694"/>
      <c r="X522" s="694"/>
      <c r="Y522" s="694"/>
      <c r="Z522" s="693"/>
      <c r="AA522" s="693"/>
      <c r="AB522" s="693"/>
      <c r="AC522" s="693"/>
      <c r="AD522" s="688"/>
      <c r="AE522" s="689"/>
      <c r="AF522" s="689"/>
      <c r="AG522" s="690"/>
      <c r="AH522" s="690"/>
      <c r="AI522" s="695"/>
      <c r="AJ522" s="695"/>
      <c r="AK522" s="692"/>
      <c r="AL522" s="692"/>
      <c r="AM522" s="693"/>
      <c r="AN522" s="688"/>
      <c r="AO522" s="688"/>
      <c r="AP522" s="688"/>
      <c r="AQ522" s="688"/>
      <c r="AR522" s="688"/>
      <c r="AS522" s="688"/>
      <c r="AT522" s="689"/>
      <c r="AU522" s="689"/>
      <c r="AV522" s="690"/>
      <c r="AW522" s="690"/>
      <c r="AX522" s="690"/>
      <c r="AY522" s="690"/>
      <c r="AZ522" s="690"/>
      <c r="BA522" s="690"/>
      <c r="BB522" s="695"/>
      <c r="BC522" s="695"/>
      <c r="BD522" s="695"/>
      <c r="BE522" s="695"/>
      <c r="BF522" s="692"/>
      <c r="BG522" s="692"/>
      <c r="BH522" s="692"/>
      <c r="BI522" s="692"/>
      <c r="BJ522" s="692"/>
      <c r="BK522" s="692"/>
      <c r="BL522" s="693"/>
      <c r="BM522" s="693"/>
      <c r="BN522" s="688"/>
      <c r="BO522" s="693"/>
      <c r="BP522" s="689"/>
      <c r="BQ522" s="694"/>
      <c r="BR522" s="687"/>
      <c r="BS522" s="687"/>
      <c r="BT522" s="687"/>
      <c r="BU522" s="687"/>
      <c r="BV522" s="687"/>
      <c r="BW522" s="688"/>
      <c r="BX522" s="688"/>
      <c r="BY522" s="689"/>
      <c r="BZ522" s="690"/>
      <c r="CA522" s="690"/>
      <c r="CB522" s="690"/>
      <c r="CC522" s="691"/>
      <c r="CD522" s="691"/>
      <c r="CE522" s="692"/>
      <c r="CF522" s="692"/>
      <c r="CG522" s="692"/>
      <c r="CH522" s="693"/>
    </row>
    <row r="523">
      <c r="B523" s="687"/>
      <c r="C523" s="687"/>
      <c r="D523" s="688"/>
      <c r="E523" s="689"/>
      <c r="F523" s="690"/>
      <c r="G523" s="690"/>
      <c r="H523" s="690"/>
      <c r="I523" s="691"/>
      <c r="J523" s="691"/>
      <c r="K523" s="691"/>
      <c r="L523" s="692"/>
      <c r="M523" s="692"/>
      <c r="N523" s="692"/>
      <c r="O523" s="693"/>
      <c r="P523" s="688"/>
      <c r="Q523" s="688"/>
      <c r="R523" s="688"/>
      <c r="S523" s="688"/>
      <c r="T523" s="689"/>
      <c r="U523" s="689"/>
      <c r="V523" s="694"/>
      <c r="W523" s="694"/>
      <c r="X523" s="694"/>
      <c r="Y523" s="694"/>
      <c r="Z523" s="693"/>
      <c r="AA523" s="693"/>
      <c r="AB523" s="693"/>
      <c r="AC523" s="693"/>
      <c r="AD523" s="688"/>
      <c r="AE523" s="689"/>
      <c r="AF523" s="689"/>
      <c r="AG523" s="690"/>
      <c r="AH523" s="690"/>
      <c r="AI523" s="695"/>
      <c r="AJ523" s="695"/>
      <c r="AK523" s="692"/>
      <c r="AL523" s="692"/>
      <c r="AM523" s="693"/>
      <c r="AN523" s="688"/>
      <c r="AO523" s="688"/>
      <c r="AP523" s="688"/>
      <c r="AQ523" s="688"/>
      <c r="AR523" s="688"/>
      <c r="AS523" s="688"/>
      <c r="AT523" s="689"/>
      <c r="AU523" s="689"/>
      <c r="AV523" s="690"/>
      <c r="AW523" s="690"/>
      <c r="AX523" s="690"/>
      <c r="AY523" s="690"/>
      <c r="AZ523" s="690"/>
      <c r="BA523" s="690"/>
      <c r="BB523" s="695"/>
      <c r="BC523" s="695"/>
      <c r="BD523" s="695"/>
      <c r="BE523" s="695"/>
      <c r="BF523" s="692"/>
      <c r="BG523" s="692"/>
      <c r="BH523" s="692"/>
      <c r="BI523" s="692"/>
      <c r="BJ523" s="692"/>
      <c r="BK523" s="692"/>
      <c r="BL523" s="693"/>
      <c r="BM523" s="693"/>
      <c r="BN523" s="688"/>
      <c r="BO523" s="693"/>
      <c r="BP523" s="689"/>
      <c r="BQ523" s="694"/>
      <c r="BR523" s="687"/>
      <c r="BS523" s="687"/>
      <c r="BT523" s="687"/>
      <c r="BU523" s="687"/>
      <c r="BV523" s="687"/>
      <c r="BW523" s="688"/>
      <c r="BX523" s="688"/>
      <c r="BY523" s="689"/>
      <c r="BZ523" s="690"/>
      <c r="CA523" s="690"/>
      <c r="CB523" s="690"/>
      <c r="CC523" s="691"/>
      <c r="CD523" s="691"/>
      <c r="CE523" s="692"/>
      <c r="CF523" s="692"/>
      <c r="CG523" s="692"/>
      <c r="CH523" s="693"/>
    </row>
    <row r="524">
      <c r="B524" s="687"/>
      <c r="C524" s="687"/>
      <c r="D524" s="688"/>
      <c r="E524" s="689"/>
      <c r="F524" s="690"/>
      <c r="G524" s="690"/>
      <c r="H524" s="690"/>
      <c r="I524" s="691"/>
      <c r="J524" s="691"/>
      <c r="K524" s="691"/>
      <c r="L524" s="692"/>
      <c r="M524" s="692"/>
      <c r="N524" s="692"/>
      <c r="O524" s="693"/>
      <c r="P524" s="688"/>
      <c r="Q524" s="688"/>
      <c r="R524" s="688"/>
      <c r="S524" s="688"/>
      <c r="T524" s="689"/>
      <c r="U524" s="689"/>
      <c r="V524" s="694"/>
      <c r="W524" s="694"/>
      <c r="X524" s="694"/>
      <c r="Y524" s="694"/>
      <c r="Z524" s="693"/>
      <c r="AA524" s="693"/>
      <c r="AB524" s="693"/>
      <c r="AC524" s="693"/>
      <c r="AD524" s="688"/>
      <c r="AE524" s="689"/>
      <c r="AF524" s="689"/>
      <c r="AG524" s="690"/>
      <c r="AH524" s="690"/>
      <c r="AI524" s="695"/>
      <c r="AJ524" s="695"/>
      <c r="AK524" s="692"/>
      <c r="AL524" s="692"/>
      <c r="AM524" s="693"/>
      <c r="AN524" s="688"/>
      <c r="AO524" s="688"/>
      <c r="AP524" s="688"/>
      <c r="AQ524" s="688"/>
      <c r="AR524" s="688"/>
      <c r="AS524" s="688"/>
      <c r="AT524" s="689"/>
      <c r="AU524" s="689"/>
      <c r="AV524" s="690"/>
      <c r="AW524" s="690"/>
      <c r="AX524" s="690"/>
      <c r="AY524" s="690"/>
      <c r="AZ524" s="690"/>
      <c r="BA524" s="690"/>
      <c r="BB524" s="695"/>
      <c r="BC524" s="695"/>
      <c r="BD524" s="695"/>
      <c r="BE524" s="695"/>
      <c r="BF524" s="692"/>
      <c r="BG524" s="692"/>
      <c r="BH524" s="692"/>
      <c r="BI524" s="692"/>
      <c r="BJ524" s="692"/>
      <c r="BK524" s="692"/>
      <c r="BL524" s="693"/>
      <c r="BM524" s="693"/>
      <c r="BN524" s="688"/>
      <c r="BO524" s="693"/>
      <c r="BP524" s="689"/>
      <c r="BQ524" s="694"/>
      <c r="BR524" s="687"/>
      <c r="BS524" s="687"/>
      <c r="BT524" s="687"/>
      <c r="BU524" s="687"/>
      <c r="BV524" s="687"/>
      <c r="BW524" s="688"/>
      <c r="BX524" s="688"/>
      <c r="BY524" s="689"/>
      <c r="BZ524" s="690"/>
      <c r="CA524" s="690"/>
      <c r="CB524" s="690"/>
      <c r="CC524" s="691"/>
      <c r="CD524" s="691"/>
      <c r="CE524" s="692"/>
      <c r="CF524" s="692"/>
      <c r="CG524" s="692"/>
      <c r="CH524" s="693"/>
    </row>
    <row r="525">
      <c r="B525" s="687"/>
      <c r="C525" s="687"/>
      <c r="D525" s="688"/>
      <c r="E525" s="689"/>
      <c r="F525" s="690"/>
      <c r="G525" s="690"/>
      <c r="H525" s="690"/>
      <c r="I525" s="691"/>
      <c r="J525" s="691"/>
      <c r="K525" s="691"/>
      <c r="L525" s="692"/>
      <c r="M525" s="692"/>
      <c r="N525" s="692"/>
      <c r="O525" s="693"/>
      <c r="P525" s="688"/>
      <c r="Q525" s="688"/>
      <c r="R525" s="688"/>
      <c r="S525" s="688"/>
      <c r="T525" s="689"/>
      <c r="U525" s="689"/>
      <c r="V525" s="694"/>
      <c r="W525" s="694"/>
      <c r="X525" s="694"/>
      <c r="Y525" s="694"/>
      <c r="Z525" s="693"/>
      <c r="AA525" s="693"/>
      <c r="AB525" s="693"/>
      <c r="AC525" s="693"/>
      <c r="AD525" s="688"/>
      <c r="AE525" s="689"/>
      <c r="AF525" s="689"/>
      <c r="AG525" s="690"/>
      <c r="AH525" s="690"/>
      <c r="AI525" s="695"/>
      <c r="AJ525" s="695"/>
      <c r="AK525" s="692"/>
      <c r="AL525" s="692"/>
      <c r="AM525" s="693"/>
      <c r="AN525" s="688"/>
      <c r="AO525" s="688"/>
      <c r="AP525" s="688"/>
      <c r="AQ525" s="688"/>
      <c r="AR525" s="688"/>
      <c r="AS525" s="688"/>
      <c r="AT525" s="689"/>
      <c r="AU525" s="689"/>
      <c r="AV525" s="690"/>
      <c r="AW525" s="690"/>
      <c r="AX525" s="690"/>
      <c r="AY525" s="690"/>
      <c r="AZ525" s="690"/>
      <c r="BA525" s="690"/>
      <c r="BB525" s="695"/>
      <c r="BC525" s="695"/>
      <c r="BD525" s="695"/>
      <c r="BE525" s="695"/>
      <c r="BF525" s="692"/>
      <c r="BG525" s="692"/>
      <c r="BH525" s="692"/>
      <c r="BI525" s="692"/>
      <c r="BJ525" s="692"/>
      <c r="BK525" s="692"/>
      <c r="BL525" s="693"/>
      <c r="BM525" s="693"/>
      <c r="BN525" s="688"/>
      <c r="BO525" s="693"/>
      <c r="BP525" s="689"/>
      <c r="BQ525" s="694"/>
      <c r="BR525" s="687"/>
      <c r="BS525" s="687"/>
      <c r="BT525" s="687"/>
      <c r="BU525" s="687"/>
      <c r="BV525" s="687"/>
      <c r="BW525" s="688"/>
      <c r="BX525" s="688"/>
      <c r="BY525" s="689"/>
      <c r="BZ525" s="690"/>
      <c r="CA525" s="690"/>
      <c r="CB525" s="690"/>
      <c r="CC525" s="691"/>
      <c r="CD525" s="691"/>
      <c r="CE525" s="692"/>
      <c r="CF525" s="692"/>
      <c r="CG525" s="692"/>
      <c r="CH525" s="693"/>
    </row>
    <row r="526">
      <c r="B526" s="687"/>
      <c r="C526" s="687"/>
      <c r="D526" s="688"/>
      <c r="E526" s="689"/>
      <c r="F526" s="690"/>
      <c r="G526" s="690"/>
      <c r="H526" s="690"/>
      <c r="I526" s="691"/>
      <c r="J526" s="691"/>
      <c r="K526" s="691"/>
      <c r="L526" s="692"/>
      <c r="M526" s="692"/>
      <c r="N526" s="692"/>
      <c r="O526" s="693"/>
      <c r="P526" s="688"/>
      <c r="Q526" s="688"/>
      <c r="R526" s="688"/>
      <c r="S526" s="688"/>
      <c r="T526" s="689"/>
      <c r="U526" s="689"/>
      <c r="V526" s="694"/>
      <c r="W526" s="694"/>
      <c r="X526" s="694"/>
      <c r="Y526" s="694"/>
      <c r="Z526" s="693"/>
      <c r="AA526" s="693"/>
      <c r="AB526" s="693"/>
      <c r="AC526" s="693"/>
      <c r="AD526" s="688"/>
      <c r="AE526" s="689"/>
      <c r="AF526" s="689"/>
      <c r="AG526" s="690"/>
      <c r="AH526" s="690"/>
      <c r="AI526" s="695"/>
      <c r="AJ526" s="695"/>
      <c r="AK526" s="692"/>
      <c r="AL526" s="692"/>
      <c r="AM526" s="693"/>
      <c r="AN526" s="688"/>
      <c r="AO526" s="688"/>
      <c r="AP526" s="688"/>
      <c r="AQ526" s="688"/>
      <c r="AR526" s="688"/>
      <c r="AS526" s="688"/>
      <c r="AT526" s="689"/>
      <c r="AU526" s="689"/>
      <c r="AV526" s="690"/>
      <c r="AW526" s="690"/>
      <c r="AX526" s="690"/>
      <c r="AY526" s="690"/>
      <c r="AZ526" s="690"/>
      <c r="BA526" s="690"/>
      <c r="BB526" s="695"/>
      <c r="BC526" s="695"/>
      <c r="BD526" s="695"/>
      <c r="BE526" s="695"/>
      <c r="BF526" s="692"/>
      <c r="BG526" s="692"/>
      <c r="BH526" s="692"/>
      <c r="BI526" s="692"/>
      <c r="BJ526" s="692"/>
      <c r="BK526" s="692"/>
      <c r="BL526" s="693"/>
      <c r="BM526" s="693"/>
      <c r="BN526" s="688"/>
      <c r="BO526" s="693"/>
      <c r="BP526" s="689"/>
      <c r="BQ526" s="694"/>
      <c r="BR526" s="687"/>
      <c r="BS526" s="687"/>
      <c r="BT526" s="687"/>
      <c r="BU526" s="687"/>
      <c r="BV526" s="687"/>
      <c r="BW526" s="688"/>
      <c r="BX526" s="688"/>
      <c r="BY526" s="689"/>
      <c r="BZ526" s="690"/>
      <c r="CA526" s="690"/>
      <c r="CB526" s="690"/>
      <c r="CC526" s="691"/>
      <c r="CD526" s="691"/>
      <c r="CE526" s="692"/>
      <c r="CF526" s="692"/>
      <c r="CG526" s="692"/>
      <c r="CH526" s="693"/>
    </row>
    <row r="527">
      <c r="B527" s="687"/>
      <c r="C527" s="687"/>
      <c r="D527" s="688"/>
      <c r="E527" s="689"/>
      <c r="F527" s="690"/>
      <c r="G527" s="690"/>
      <c r="H527" s="690"/>
      <c r="I527" s="691"/>
      <c r="J527" s="691"/>
      <c r="K527" s="691"/>
      <c r="L527" s="692"/>
      <c r="M527" s="692"/>
      <c r="N527" s="692"/>
      <c r="O527" s="693"/>
      <c r="P527" s="688"/>
      <c r="Q527" s="688"/>
      <c r="R527" s="688"/>
      <c r="S527" s="688"/>
      <c r="T527" s="689"/>
      <c r="U527" s="689"/>
      <c r="V527" s="694"/>
      <c r="W527" s="694"/>
      <c r="X527" s="694"/>
      <c r="Y527" s="694"/>
      <c r="Z527" s="693"/>
      <c r="AA527" s="693"/>
      <c r="AB527" s="693"/>
      <c r="AC527" s="693"/>
      <c r="AD527" s="688"/>
      <c r="AE527" s="689"/>
      <c r="AF527" s="689"/>
      <c r="AG527" s="690"/>
      <c r="AH527" s="690"/>
      <c r="AI527" s="695"/>
      <c r="AJ527" s="695"/>
      <c r="AK527" s="692"/>
      <c r="AL527" s="692"/>
      <c r="AM527" s="693"/>
      <c r="AN527" s="688"/>
      <c r="AO527" s="688"/>
      <c r="AP527" s="688"/>
      <c r="AQ527" s="688"/>
      <c r="AR527" s="688"/>
      <c r="AS527" s="688"/>
      <c r="AT527" s="689"/>
      <c r="AU527" s="689"/>
      <c r="AV527" s="690"/>
      <c r="AW527" s="690"/>
      <c r="AX527" s="690"/>
      <c r="AY527" s="690"/>
      <c r="AZ527" s="690"/>
      <c r="BA527" s="690"/>
      <c r="BB527" s="695"/>
      <c r="BC527" s="695"/>
      <c r="BD527" s="695"/>
      <c r="BE527" s="695"/>
      <c r="BF527" s="692"/>
      <c r="BG527" s="692"/>
      <c r="BH527" s="692"/>
      <c r="BI527" s="692"/>
      <c r="BJ527" s="692"/>
      <c r="BK527" s="692"/>
      <c r="BL527" s="693"/>
      <c r="BM527" s="693"/>
      <c r="BN527" s="688"/>
      <c r="BO527" s="693"/>
      <c r="BP527" s="689"/>
      <c r="BQ527" s="694"/>
      <c r="BR527" s="687"/>
      <c r="BS527" s="687"/>
      <c r="BT527" s="687"/>
      <c r="BU527" s="687"/>
      <c r="BV527" s="687"/>
      <c r="BW527" s="688"/>
      <c r="BX527" s="688"/>
      <c r="BY527" s="689"/>
      <c r="BZ527" s="690"/>
      <c r="CA527" s="690"/>
      <c r="CB527" s="690"/>
      <c r="CC527" s="691"/>
      <c r="CD527" s="691"/>
      <c r="CE527" s="692"/>
      <c r="CF527" s="692"/>
      <c r="CG527" s="692"/>
      <c r="CH527" s="693"/>
    </row>
    <row r="528">
      <c r="B528" s="687"/>
      <c r="C528" s="687"/>
      <c r="D528" s="688"/>
      <c r="E528" s="689"/>
      <c r="F528" s="690"/>
      <c r="G528" s="690"/>
      <c r="H528" s="690"/>
      <c r="I528" s="691"/>
      <c r="J528" s="691"/>
      <c r="K528" s="691"/>
      <c r="L528" s="692"/>
      <c r="M528" s="692"/>
      <c r="N528" s="692"/>
      <c r="O528" s="693"/>
      <c r="P528" s="688"/>
      <c r="Q528" s="688"/>
      <c r="R528" s="688"/>
      <c r="S528" s="688"/>
      <c r="T528" s="689"/>
      <c r="U528" s="689"/>
      <c r="V528" s="694"/>
      <c r="W528" s="694"/>
      <c r="X528" s="694"/>
      <c r="Y528" s="694"/>
      <c r="Z528" s="693"/>
      <c r="AA528" s="693"/>
      <c r="AB528" s="693"/>
      <c r="AC528" s="693"/>
      <c r="AD528" s="688"/>
      <c r="AE528" s="689"/>
      <c r="AF528" s="689"/>
      <c r="AG528" s="690"/>
      <c r="AH528" s="690"/>
      <c r="AI528" s="695"/>
      <c r="AJ528" s="695"/>
      <c r="AK528" s="692"/>
      <c r="AL528" s="692"/>
      <c r="AM528" s="693"/>
      <c r="AN528" s="688"/>
      <c r="AO528" s="688"/>
      <c r="AP528" s="688"/>
      <c r="AQ528" s="688"/>
      <c r="AR528" s="688"/>
      <c r="AS528" s="688"/>
      <c r="AT528" s="689"/>
      <c r="AU528" s="689"/>
      <c r="AV528" s="690"/>
      <c r="AW528" s="690"/>
      <c r="AX528" s="690"/>
      <c r="AY528" s="690"/>
      <c r="AZ528" s="690"/>
      <c r="BA528" s="690"/>
      <c r="BB528" s="695"/>
      <c r="BC528" s="695"/>
      <c r="BD528" s="695"/>
      <c r="BE528" s="695"/>
      <c r="BF528" s="692"/>
      <c r="BG528" s="692"/>
      <c r="BH528" s="692"/>
      <c r="BI528" s="692"/>
      <c r="BJ528" s="692"/>
      <c r="BK528" s="692"/>
      <c r="BL528" s="693"/>
      <c r="BM528" s="693"/>
      <c r="BN528" s="688"/>
      <c r="BO528" s="693"/>
      <c r="BP528" s="689"/>
      <c r="BQ528" s="694"/>
      <c r="BR528" s="687"/>
      <c r="BS528" s="687"/>
      <c r="BT528" s="687"/>
      <c r="BU528" s="687"/>
      <c r="BV528" s="687"/>
      <c r="BW528" s="688"/>
      <c r="BX528" s="688"/>
      <c r="BY528" s="689"/>
      <c r="BZ528" s="690"/>
      <c r="CA528" s="690"/>
      <c r="CB528" s="690"/>
      <c r="CC528" s="691"/>
      <c r="CD528" s="691"/>
      <c r="CE528" s="692"/>
      <c r="CF528" s="692"/>
      <c r="CG528" s="692"/>
      <c r="CH528" s="693"/>
    </row>
    <row r="529">
      <c r="B529" s="687"/>
      <c r="C529" s="687"/>
      <c r="D529" s="688"/>
      <c r="E529" s="689"/>
      <c r="F529" s="690"/>
      <c r="G529" s="690"/>
      <c r="H529" s="690"/>
      <c r="I529" s="691"/>
      <c r="J529" s="691"/>
      <c r="K529" s="691"/>
      <c r="L529" s="692"/>
      <c r="M529" s="692"/>
      <c r="N529" s="692"/>
      <c r="O529" s="693"/>
      <c r="P529" s="688"/>
      <c r="Q529" s="688"/>
      <c r="R529" s="688"/>
      <c r="S529" s="688"/>
      <c r="T529" s="689"/>
      <c r="U529" s="689"/>
      <c r="V529" s="694"/>
      <c r="W529" s="694"/>
      <c r="X529" s="694"/>
      <c r="Y529" s="694"/>
      <c r="Z529" s="693"/>
      <c r="AA529" s="693"/>
      <c r="AB529" s="693"/>
      <c r="AC529" s="693"/>
      <c r="AD529" s="688"/>
      <c r="AE529" s="689"/>
      <c r="AF529" s="689"/>
      <c r="AG529" s="690"/>
      <c r="AH529" s="690"/>
      <c r="AI529" s="695"/>
      <c r="AJ529" s="695"/>
      <c r="AK529" s="692"/>
      <c r="AL529" s="692"/>
      <c r="AM529" s="693"/>
      <c r="AN529" s="688"/>
      <c r="AO529" s="688"/>
      <c r="AP529" s="688"/>
      <c r="AQ529" s="688"/>
      <c r="AR529" s="688"/>
      <c r="AS529" s="688"/>
      <c r="AT529" s="689"/>
      <c r="AU529" s="689"/>
      <c r="AV529" s="690"/>
      <c r="AW529" s="690"/>
      <c r="AX529" s="690"/>
      <c r="AY529" s="690"/>
      <c r="AZ529" s="690"/>
      <c r="BA529" s="690"/>
      <c r="BB529" s="695"/>
      <c r="BC529" s="695"/>
      <c r="BD529" s="695"/>
      <c r="BE529" s="695"/>
      <c r="BF529" s="692"/>
      <c r="BG529" s="692"/>
      <c r="BH529" s="692"/>
      <c r="BI529" s="692"/>
      <c r="BJ529" s="692"/>
      <c r="BK529" s="692"/>
      <c r="BL529" s="693"/>
      <c r="BM529" s="693"/>
      <c r="BN529" s="688"/>
      <c r="BO529" s="693"/>
      <c r="BP529" s="689"/>
      <c r="BQ529" s="694"/>
      <c r="BR529" s="687"/>
      <c r="BS529" s="687"/>
      <c r="BT529" s="687"/>
      <c r="BU529" s="687"/>
      <c r="BV529" s="687"/>
      <c r="BW529" s="688"/>
      <c r="BX529" s="688"/>
      <c r="BY529" s="689"/>
      <c r="BZ529" s="690"/>
      <c r="CA529" s="690"/>
      <c r="CB529" s="690"/>
      <c r="CC529" s="691"/>
      <c r="CD529" s="691"/>
      <c r="CE529" s="692"/>
      <c r="CF529" s="692"/>
      <c r="CG529" s="692"/>
      <c r="CH529" s="693"/>
    </row>
    <row r="530">
      <c r="B530" s="687"/>
      <c r="C530" s="687"/>
      <c r="D530" s="688"/>
      <c r="E530" s="689"/>
      <c r="F530" s="690"/>
      <c r="G530" s="690"/>
      <c r="H530" s="690"/>
      <c r="I530" s="691"/>
      <c r="J530" s="691"/>
      <c r="K530" s="691"/>
      <c r="L530" s="692"/>
      <c r="M530" s="692"/>
      <c r="N530" s="692"/>
      <c r="O530" s="693"/>
      <c r="P530" s="688"/>
      <c r="Q530" s="688"/>
      <c r="R530" s="688"/>
      <c r="S530" s="688"/>
      <c r="T530" s="689"/>
      <c r="U530" s="689"/>
      <c r="V530" s="694"/>
      <c r="W530" s="694"/>
      <c r="X530" s="694"/>
      <c r="Y530" s="694"/>
      <c r="Z530" s="693"/>
      <c r="AA530" s="693"/>
      <c r="AB530" s="693"/>
      <c r="AC530" s="693"/>
      <c r="AD530" s="688"/>
      <c r="AE530" s="689"/>
      <c r="AF530" s="689"/>
      <c r="AG530" s="690"/>
      <c r="AH530" s="690"/>
      <c r="AI530" s="695"/>
      <c r="AJ530" s="695"/>
      <c r="AK530" s="692"/>
      <c r="AL530" s="692"/>
      <c r="AM530" s="693"/>
      <c r="AN530" s="688"/>
      <c r="AO530" s="688"/>
      <c r="AP530" s="688"/>
      <c r="AQ530" s="688"/>
      <c r="AR530" s="688"/>
      <c r="AS530" s="688"/>
      <c r="AT530" s="689"/>
      <c r="AU530" s="689"/>
      <c r="AV530" s="690"/>
      <c r="AW530" s="690"/>
      <c r="AX530" s="690"/>
      <c r="AY530" s="690"/>
      <c r="AZ530" s="690"/>
      <c r="BA530" s="690"/>
      <c r="BB530" s="695"/>
      <c r="BC530" s="695"/>
      <c r="BD530" s="695"/>
      <c r="BE530" s="695"/>
      <c r="BF530" s="692"/>
      <c r="BG530" s="692"/>
      <c r="BH530" s="692"/>
      <c r="BI530" s="692"/>
      <c r="BJ530" s="692"/>
      <c r="BK530" s="692"/>
      <c r="BL530" s="693"/>
      <c r="BM530" s="693"/>
      <c r="BN530" s="688"/>
      <c r="BO530" s="693"/>
      <c r="BP530" s="689"/>
      <c r="BQ530" s="694"/>
      <c r="BR530" s="687"/>
      <c r="BS530" s="687"/>
      <c r="BT530" s="687"/>
      <c r="BU530" s="687"/>
      <c r="BV530" s="687"/>
      <c r="BW530" s="688"/>
      <c r="BX530" s="688"/>
      <c r="BY530" s="689"/>
      <c r="BZ530" s="690"/>
      <c r="CA530" s="690"/>
      <c r="CB530" s="690"/>
      <c r="CC530" s="691"/>
      <c r="CD530" s="691"/>
      <c r="CE530" s="692"/>
      <c r="CF530" s="692"/>
      <c r="CG530" s="692"/>
      <c r="CH530" s="693"/>
    </row>
    <row r="531">
      <c r="B531" s="687"/>
      <c r="C531" s="687"/>
      <c r="D531" s="688"/>
      <c r="E531" s="689"/>
      <c r="F531" s="690"/>
      <c r="G531" s="690"/>
      <c r="H531" s="690"/>
      <c r="I531" s="691"/>
      <c r="J531" s="691"/>
      <c r="K531" s="691"/>
      <c r="L531" s="692"/>
      <c r="M531" s="692"/>
      <c r="N531" s="692"/>
      <c r="O531" s="693"/>
      <c r="P531" s="688"/>
      <c r="Q531" s="688"/>
      <c r="R531" s="688"/>
      <c r="S531" s="688"/>
      <c r="T531" s="689"/>
      <c r="U531" s="689"/>
      <c r="V531" s="694"/>
      <c r="W531" s="694"/>
      <c r="X531" s="694"/>
      <c r="Y531" s="694"/>
      <c r="Z531" s="693"/>
      <c r="AA531" s="693"/>
      <c r="AB531" s="693"/>
      <c r="AC531" s="693"/>
      <c r="AD531" s="688"/>
      <c r="AE531" s="689"/>
      <c r="AF531" s="689"/>
      <c r="AG531" s="690"/>
      <c r="AH531" s="690"/>
      <c r="AI531" s="695"/>
      <c r="AJ531" s="695"/>
      <c r="AK531" s="692"/>
      <c r="AL531" s="692"/>
      <c r="AM531" s="693"/>
      <c r="AN531" s="688"/>
      <c r="AO531" s="688"/>
      <c r="AP531" s="688"/>
      <c r="AQ531" s="688"/>
      <c r="AR531" s="688"/>
      <c r="AS531" s="688"/>
      <c r="AT531" s="689"/>
      <c r="AU531" s="689"/>
      <c r="AV531" s="690"/>
      <c r="AW531" s="690"/>
      <c r="AX531" s="690"/>
      <c r="AY531" s="690"/>
      <c r="AZ531" s="690"/>
      <c r="BA531" s="690"/>
      <c r="BB531" s="695"/>
      <c r="BC531" s="695"/>
      <c r="BD531" s="695"/>
      <c r="BE531" s="695"/>
      <c r="BF531" s="692"/>
      <c r="BG531" s="692"/>
      <c r="BH531" s="692"/>
      <c r="BI531" s="692"/>
      <c r="BJ531" s="692"/>
      <c r="BK531" s="692"/>
      <c r="BL531" s="693"/>
      <c r="BM531" s="693"/>
      <c r="BN531" s="688"/>
      <c r="BO531" s="693"/>
      <c r="BP531" s="689"/>
      <c r="BQ531" s="694"/>
      <c r="BR531" s="687"/>
      <c r="BS531" s="687"/>
      <c r="BT531" s="687"/>
      <c r="BU531" s="687"/>
      <c r="BV531" s="687"/>
      <c r="BW531" s="688"/>
      <c r="BX531" s="688"/>
      <c r="BY531" s="689"/>
      <c r="BZ531" s="690"/>
      <c r="CA531" s="690"/>
      <c r="CB531" s="690"/>
      <c r="CC531" s="691"/>
      <c r="CD531" s="691"/>
      <c r="CE531" s="692"/>
      <c r="CF531" s="692"/>
      <c r="CG531" s="692"/>
      <c r="CH531" s="693"/>
    </row>
    <row r="532">
      <c r="B532" s="687"/>
      <c r="C532" s="687"/>
      <c r="D532" s="688"/>
      <c r="E532" s="689"/>
      <c r="F532" s="690"/>
      <c r="G532" s="690"/>
      <c r="H532" s="690"/>
      <c r="I532" s="691"/>
      <c r="J532" s="691"/>
      <c r="K532" s="691"/>
      <c r="L532" s="692"/>
      <c r="M532" s="692"/>
      <c r="N532" s="692"/>
      <c r="O532" s="693"/>
      <c r="P532" s="688"/>
      <c r="Q532" s="688"/>
      <c r="R532" s="688"/>
      <c r="S532" s="688"/>
      <c r="T532" s="689"/>
      <c r="U532" s="689"/>
      <c r="V532" s="694"/>
      <c r="W532" s="694"/>
      <c r="X532" s="694"/>
      <c r="Y532" s="694"/>
      <c r="Z532" s="693"/>
      <c r="AA532" s="693"/>
      <c r="AB532" s="693"/>
      <c r="AC532" s="693"/>
      <c r="AD532" s="688"/>
      <c r="AE532" s="689"/>
      <c r="AF532" s="689"/>
      <c r="AG532" s="690"/>
      <c r="AH532" s="690"/>
      <c r="AI532" s="695"/>
      <c r="AJ532" s="695"/>
      <c r="AK532" s="692"/>
      <c r="AL532" s="692"/>
      <c r="AM532" s="693"/>
      <c r="AN532" s="688"/>
      <c r="AO532" s="688"/>
      <c r="AP532" s="688"/>
      <c r="AQ532" s="688"/>
      <c r="AR532" s="688"/>
      <c r="AS532" s="688"/>
      <c r="AT532" s="689"/>
      <c r="AU532" s="689"/>
      <c r="AV532" s="690"/>
      <c r="AW532" s="690"/>
      <c r="AX532" s="690"/>
      <c r="AY532" s="690"/>
      <c r="AZ532" s="690"/>
      <c r="BA532" s="690"/>
      <c r="BB532" s="695"/>
      <c r="BC532" s="695"/>
      <c r="BD532" s="695"/>
      <c r="BE532" s="695"/>
      <c r="BF532" s="692"/>
      <c r="BG532" s="692"/>
      <c r="BH532" s="692"/>
      <c r="BI532" s="692"/>
      <c r="BJ532" s="692"/>
      <c r="BK532" s="692"/>
      <c r="BL532" s="693"/>
      <c r="BM532" s="693"/>
      <c r="BN532" s="688"/>
      <c r="BO532" s="693"/>
      <c r="BP532" s="689"/>
      <c r="BQ532" s="694"/>
      <c r="BR532" s="687"/>
      <c r="BS532" s="687"/>
      <c r="BT532" s="687"/>
      <c r="BU532" s="687"/>
      <c r="BV532" s="687"/>
      <c r="BW532" s="688"/>
      <c r="BX532" s="688"/>
      <c r="BY532" s="689"/>
      <c r="BZ532" s="690"/>
      <c r="CA532" s="690"/>
      <c r="CB532" s="690"/>
      <c r="CC532" s="691"/>
      <c r="CD532" s="691"/>
      <c r="CE532" s="692"/>
      <c r="CF532" s="692"/>
      <c r="CG532" s="692"/>
      <c r="CH532" s="693"/>
    </row>
    <row r="533">
      <c r="B533" s="687"/>
      <c r="C533" s="687"/>
      <c r="D533" s="688"/>
      <c r="E533" s="689"/>
      <c r="F533" s="690"/>
      <c r="G533" s="690"/>
      <c r="H533" s="690"/>
      <c r="I533" s="691"/>
      <c r="J533" s="691"/>
      <c r="K533" s="691"/>
      <c r="L533" s="692"/>
      <c r="M533" s="692"/>
      <c r="N533" s="692"/>
      <c r="O533" s="693"/>
      <c r="P533" s="688"/>
      <c r="Q533" s="688"/>
      <c r="R533" s="688"/>
      <c r="S533" s="688"/>
      <c r="T533" s="689"/>
      <c r="U533" s="689"/>
      <c r="V533" s="694"/>
      <c r="W533" s="694"/>
      <c r="X533" s="694"/>
      <c r="Y533" s="694"/>
      <c r="Z533" s="693"/>
      <c r="AA533" s="693"/>
      <c r="AB533" s="693"/>
      <c r="AC533" s="693"/>
      <c r="AD533" s="688"/>
      <c r="AE533" s="689"/>
      <c r="AF533" s="689"/>
      <c r="AG533" s="690"/>
      <c r="AH533" s="690"/>
      <c r="AI533" s="695"/>
      <c r="AJ533" s="695"/>
      <c r="AK533" s="692"/>
      <c r="AL533" s="692"/>
      <c r="AM533" s="693"/>
      <c r="AN533" s="688"/>
      <c r="AO533" s="688"/>
      <c r="AP533" s="688"/>
      <c r="AQ533" s="688"/>
      <c r="AR533" s="688"/>
      <c r="AS533" s="688"/>
      <c r="AT533" s="689"/>
      <c r="AU533" s="689"/>
      <c r="AV533" s="690"/>
      <c r="AW533" s="690"/>
      <c r="AX533" s="690"/>
      <c r="AY533" s="690"/>
      <c r="AZ533" s="690"/>
      <c r="BA533" s="690"/>
      <c r="BB533" s="695"/>
      <c r="BC533" s="695"/>
      <c r="BD533" s="695"/>
      <c r="BE533" s="695"/>
      <c r="BF533" s="692"/>
      <c r="BG533" s="692"/>
      <c r="BH533" s="692"/>
      <c r="BI533" s="692"/>
      <c r="BJ533" s="692"/>
      <c r="BK533" s="692"/>
      <c r="BL533" s="693"/>
      <c r="BM533" s="693"/>
      <c r="BN533" s="688"/>
      <c r="BO533" s="693"/>
      <c r="BP533" s="689"/>
      <c r="BQ533" s="694"/>
      <c r="BR533" s="687"/>
      <c r="BS533" s="687"/>
      <c r="BT533" s="687"/>
      <c r="BU533" s="687"/>
      <c r="BV533" s="687"/>
      <c r="BW533" s="688"/>
      <c r="BX533" s="688"/>
      <c r="BY533" s="689"/>
      <c r="BZ533" s="690"/>
      <c r="CA533" s="690"/>
      <c r="CB533" s="690"/>
      <c r="CC533" s="691"/>
      <c r="CD533" s="691"/>
      <c r="CE533" s="692"/>
      <c r="CF533" s="692"/>
      <c r="CG533" s="692"/>
      <c r="CH533" s="693"/>
    </row>
    <row r="534">
      <c r="B534" s="687"/>
      <c r="C534" s="687"/>
      <c r="D534" s="688"/>
      <c r="E534" s="689"/>
      <c r="F534" s="690"/>
      <c r="G534" s="690"/>
      <c r="H534" s="690"/>
      <c r="I534" s="691"/>
      <c r="J534" s="691"/>
      <c r="K534" s="691"/>
      <c r="L534" s="692"/>
      <c r="M534" s="692"/>
      <c r="N534" s="692"/>
      <c r="O534" s="693"/>
      <c r="P534" s="688"/>
      <c r="Q534" s="688"/>
      <c r="R534" s="688"/>
      <c r="S534" s="688"/>
      <c r="T534" s="689"/>
      <c r="U534" s="689"/>
      <c r="V534" s="694"/>
      <c r="W534" s="694"/>
      <c r="X534" s="694"/>
      <c r="Y534" s="694"/>
      <c r="Z534" s="693"/>
      <c r="AA534" s="693"/>
      <c r="AB534" s="693"/>
      <c r="AC534" s="693"/>
      <c r="AD534" s="688"/>
      <c r="AE534" s="689"/>
      <c r="AF534" s="689"/>
      <c r="AG534" s="690"/>
      <c r="AH534" s="690"/>
      <c r="AI534" s="695"/>
      <c r="AJ534" s="695"/>
      <c r="AK534" s="692"/>
      <c r="AL534" s="692"/>
      <c r="AM534" s="693"/>
      <c r="AN534" s="688"/>
      <c r="AO534" s="688"/>
      <c r="AP534" s="688"/>
      <c r="AQ534" s="688"/>
      <c r="AR534" s="688"/>
      <c r="AS534" s="688"/>
      <c r="AT534" s="689"/>
      <c r="AU534" s="689"/>
      <c r="AV534" s="690"/>
      <c r="AW534" s="690"/>
      <c r="AX534" s="690"/>
      <c r="AY534" s="690"/>
      <c r="AZ534" s="690"/>
      <c r="BA534" s="690"/>
      <c r="BB534" s="695"/>
      <c r="BC534" s="695"/>
      <c r="BD534" s="695"/>
      <c r="BE534" s="695"/>
      <c r="BF534" s="692"/>
      <c r="BG534" s="692"/>
      <c r="BH534" s="692"/>
      <c r="BI534" s="692"/>
      <c r="BJ534" s="692"/>
      <c r="BK534" s="692"/>
      <c r="BL534" s="693"/>
      <c r="BM534" s="693"/>
      <c r="BN534" s="688"/>
      <c r="BO534" s="693"/>
      <c r="BP534" s="689"/>
      <c r="BQ534" s="694"/>
      <c r="BR534" s="687"/>
      <c r="BS534" s="687"/>
      <c r="BT534" s="687"/>
      <c r="BU534" s="687"/>
      <c r="BV534" s="687"/>
      <c r="BW534" s="688"/>
      <c r="BX534" s="688"/>
      <c r="BY534" s="689"/>
      <c r="BZ534" s="690"/>
      <c r="CA534" s="690"/>
      <c r="CB534" s="690"/>
      <c r="CC534" s="691"/>
      <c r="CD534" s="691"/>
      <c r="CE534" s="692"/>
      <c r="CF534" s="692"/>
      <c r="CG534" s="692"/>
      <c r="CH534" s="693"/>
    </row>
    <row r="535">
      <c r="B535" s="687"/>
      <c r="C535" s="687"/>
      <c r="D535" s="688"/>
      <c r="E535" s="689"/>
      <c r="F535" s="690"/>
      <c r="G535" s="690"/>
      <c r="H535" s="690"/>
      <c r="I535" s="691"/>
      <c r="J535" s="691"/>
      <c r="K535" s="691"/>
      <c r="L535" s="692"/>
      <c r="M535" s="692"/>
      <c r="N535" s="692"/>
      <c r="O535" s="693"/>
      <c r="P535" s="688"/>
      <c r="Q535" s="688"/>
      <c r="R535" s="688"/>
      <c r="S535" s="688"/>
      <c r="T535" s="689"/>
      <c r="U535" s="689"/>
      <c r="V535" s="694"/>
      <c r="W535" s="694"/>
      <c r="X535" s="694"/>
      <c r="Y535" s="694"/>
      <c r="Z535" s="693"/>
      <c r="AA535" s="693"/>
      <c r="AB535" s="693"/>
      <c r="AC535" s="693"/>
      <c r="AD535" s="688"/>
      <c r="AE535" s="689"/>
      <c r="AF535" s="689"/>
      <c r="AG535" s="690"/>
      <c r="AH535" s="690"/>
      <c r="AI535" s="695"/>
      <c r="AJ535" s="695"/>
      <c r="AK535" s="692"/>
      <c r="AL535" s="692"/>
      <c r="AM535" s="693"/>
      <c r="AN535" s="688"/>
      <c r="AO535" s="688"/>
      <c r="AP535" s="688"/>
      <c r="AQ535" s="688"/>
      <c r="AR535" s="688"/>
      <c r="AS535" s="688"/>
      <c r="AT535" s="689"/>
      <c r="AU535" s="689"/>
      <c r="AV535" s="690"/>
      <c r="AW535" s="690"/>
      <c r="AX535" s="690"/>
      <c r="AY535" s="690"/>
      <c r="AZ535" s="690"/>
      <c r="BA535" s="690"/>
      <c r="BB535" s="695"/>
      <c r="BC535" s="695"/>
      <c r="BD535" s="695"/>
      <c r="BE535" s="695"/>
      <c r="BF535" s="692"/>
      <c r="BG535" s="692"/>
      <c r="BH535" s="692"/>
      <c r="BI535" s="692"/>
      <c r="BJ535" s="692"/>
      <c r="BK535" s="692"/>
      <c r="BL535" s="693"/>
      <c r="BM535" s="693"/>
      <c r="BN535" s="688"/>
      <c r="BO535" s="693"/>
      <c r="BP535" s="689"/>
      <c r="BQ535" s="694"/>
      <c r="BR535" s="687"/>
      <c r="BS535" s="687"/>
      <c r="BT535" s="687"/>
      <c r="BU535" s="687"/>
      <c r="BV535" s="687"/>
      <c r="BW535" s="688"/>
      <c r="BX535" s="688"/>
      <c r="BY535" s="689"/>
      <c r="BZ535" s="690"/>
      <c r="CA535" s="690"/>
      <c r="CB535" s="690"/>
      <c r="CC535" s="691"/>
      <c r="CD535" s="691"/>
      <c r="CE535" s="692"/>
      <c r="CF535" s="692"/>
      <c r="CG535" s="692"/>
      <c r="CH535" s="693"/>
    </row>
    <row r="536">
      <c r="B536" s="687"/>
      <c r="C536" s="687"/>
      <c r="D536" s="688"/>
      <c r="E536" s="689"/>
      <c r="F536" s="690"/>
      <c r="G536" s="690"/>
      <c r="H536" s="690"/>
      <c r="I536" s="691"/>
      <c r="J536" s="691"/>
      <c r="K536" s="691"/>
      <c r="L536" s="692"/>
      <c r="M536" s="692"/>
      <c r="N536" s="692"/>
      <c r="O536" s="693"/>
      <c r="P536" s="688"/>
      <c r="Q536" s="688"/>
      <c r="R536" s="688"/>
      <c r="S536" s="688"/>
      <c r="T536" s="689"/>
      <c r="U536" s="689"/>
      <c r="V536" s="694"/>
      <c r="W536" s="694"/>
      <c r="X536" s="694"/>
      <c r="Y536" s="694"/>
      <c r="Z536" s="693"/>
      <c r="AA536" s="693"/>
      <c r="AB536" s="693"/>
      <c r="AC536" s="693"/>
      <c r="AD536" s="688"/>
      <c r="AE536" s="689"/>
      <c r="AF536" s="689"/>
      <c r="AG536" s="690"/>
      <c r="AH536" s="690"/>
      <c r="AI536" s="695"/>
      <c r="AJ536" s="695"/>
      <c r="AK536" s="692"/>
      <c r="AL536" s="692"/>
      <c r="AM536" s="693"/>
      <c r="AN536" s="688"/>
      <c r="AO536" s="688"/>
      <c r="AP536" s="688"/>
      <c r="AQ536" s="688"/>
      <c r="AR536" s="688"/>
      <c r="AS536" s="688"/>
      <c r="AT536" s="689"/>
      <c r="AU536" s="689"/>
      <c r="AV536" s="690"/>
      <c r="AW536" s="690"/>
      <c r="AX536" s="690"/>
      <c r="AY536" s="690"/>
      <c r="AZ536" s="690"/>
      <c r="BA536" s="690"/>
      <c r="BB536" s="695"/>
      <c r="BC536" s="695"/>
      <c r="BD536" s="695"/>
      <c r="BE536" s="695"/>
      <c r="BF536" s="692"/>
      <c r="BG536" s="692"/>
      <c r="BH536" s="692"/>
      <c r="BI536" s="692"/>
      <c r="BJ536" s="692"/>
      <c r="BK536" s="692"/>
      <c r="BL536" s="693"/>
      <c r="BM536" s="693"/>
      <c r="BN536" s="688"/>
      <c r="BO536" s="693"/>
      <c r="BP536" s="689"/>
      <c r="BQ536" s="694"/>
      <c r="BR536" s="687"/>
      <c r="BS536" s="687"/>
      <c r="BT536" s="687"/>
      <c r="BU536" s="687"/>
      <c r="BV536" s="687"/>
      <c r="BW536" s="688"/>
      <c r="BX536" s="688"/>
      <c r="BY536" s="689"/>
      <c r="BZ536" s="690"/>
      <c r="CA536" s="690"/>
      <c r="CB536" s="690"/>
      <c r="CC536" s="691"/>
      <c r="CD536" s="691"/>
      <c r="CE536" s="692"/>
      <c r="CF536" s="692"/>
      <c r="CG536" s="692"/>
      <c r="CH536" s="693"/>
    </row>
    <row r="537">
      <c r="B537" s="687"/>
      <c r="C537" s="687"/>
      <c r="D537" s="688"/>
      <c r="E537" s="689"/>
      <c r="F537" s="690"/>
      <c r="G537" s="690"/>
      <c r="H537" s="690"/>
      <c r="I537" s="691"/>
      <c r="J537" s="691"/>
      <c r="K537" s="691"/>
      <c r="L537" s="692"/>
      <c r="M537" s="692"/>
      <c r="N537" s="692"/>
      <c r="O537" s="693"/>
      <c r="P537" s="688"/>
      <c r="Q537" s="688"/>
      <c r="R537" s="688"/>
      <c r="S537" s="688"/>
      <c r="T537" s="689"/>
      <c r="U537" s="689"/>
      <c r="V537" s="694"/>
      <c r="W537" s="694"/>
      <c r="X537" s="694"/>
      <c r="Y537" s="694"/>
      <c r="Z537" s="693"/>
      <c r="AA537" s="693"/>
      <c r="AB537" s="693"/>
      <c r="AC537" s="693"/>
      <c r="AD537" s="688"/>
      <c r="AE537" s="689"/>
      <c r="AF537" s="689"/>
      <c r="AG537" s="690"/>
      <c r="AH537" s="690"/>
      <c r="AI537" s="695"/>
      <c r="AJ537" s="695"/>
      <c r="AK537" s="692"/>
      <c r="AL537" s="692"/>
      <c r="AM537" s="693"/>
      <c r="AN537" s="688"/>
      <c r="AO537" s="688"/>
      <c r="AP537" s="688"/>
      <c r="AQ537" s="688"/>
      <c r="AR537" s="688"/>
      <c r="AS537" s="688"/>
      <c r="AT537" s="689"/>
      <c r="AU537" s="689"/>
      <c r="AV537" s="690"/>
      <c r="AW537" s="690"/>
      <c r="AX537" s="690"/>
      <c r="AY537" s="690"/>
      <c r="AZ537" s="690"/>
      <c r="BA537" s="690"/>
      <c r="BB537" s="695"/>
      <c r="BC537" s="695"/>
      <c r="BD537" s="695"/>
      <c r="BE537" s="695"/>
      <c r="BF537" s="692"/>
      <c r="BG537" s="692"/>
      <c r="BH537" s="692"/>
      <c r="BI537" s="692"/>
      <c r="BJ537" s="692"/>
      <c r="BK537" s="692"/>
      <c r="BL537" s="693"/>
      <c r="BM537" s="693"/>
      <c r="BN537" s="688"/>
      <c r="BO537" s="693"/>
      <c r="BP537" s="689"/>
      <c r="BQ537" s="694"/>
      <c r="BR537" s="687"/>
      <c r="BS537" s="687"/>
      <c r="BT537" s="687"/>
      <c r="BU537" s="687"/>
      <c r="BV537" s="687"/>
      <c r="BW537" s="688"/>
      <c r="BX537" s="688"/>
      <c r="BY537" s="689"/>
      <c r="BZ537" s="690"/>
      <c r="CA537" s="690"/>
      <c r="CB537" s="690"/>
      <c r="CC537" s="691"/>
      <c r="CD537" s="691"/>
      <c r="CE537" s="692"/>
      <c r="CF537" s="692"/>
      <c r="CG537" s="692"/>
      <c r="CH537" s="693"/>
    </row>
    <row r="538">
      <c r="B538" s="687"/>
      <c r="C538" s="687"/>
      <c r="D538" s="688"/>
      <c r="E538" s="689"/>
      <c r="F538" s="690"/>
      <c r="G538" s="690"/>
      <c r="H538" s="690"/>
      <c r="I538" s="691"/>
      <c r="J538" s="691"/>
      <c r="K538" s="691"/>
      <c r="L538" s="692"/>
      <c r="M538" s="692"/>
      <c r="N538" s="692"/>
      <c r="O538" s="693"/>
      <c r="P538" s="688"/>
      <c r="Q538" s="688"/>
      <c r="R538" s="688"/>
      <c r="S538" s="688"/>
      <c r="T538" s="689"/>
      <c r="U538" s="689"/>
      <c r="V538" s="694"/>
      <c r="W538" s="694"/>
      <c r="X538" s="694"/>
      <c r="Y538" s="694"/>
      <c r="Z538" s="693"/>
      <c r="AA538" s="693"/>
      <c r="AB538" s="693"/>
      <c r="AC538" s="693"/>
      <c r="AD538" s="688"/>
      <c r="AE538" s="689"/>
      <c r="AF538" s="689"/>
      <c r="AG538" s="690"/>
      <c r="AH538" s="690"/>
      <c r="AI538" s="695"/>
      <c r="AJ538" s="695"/>
      <c r="AK538" s="692"/>
      <c r="AL538" s="692"/>
      <c r="AM538" s="693"/>
      <c r="AN538" s="688"/>
      <c r="AO538" s="688"/>
      <c r="AP538" s="688"/>
      <c r="AQ538" s="688"/>
      <c r="AR538" s="688"/>
      <c r="AS538" s="688"/>
      <c r="AT538" s="689"/>
      <c r="AU538" s="689"/>
      <c r="AV538" s="690"/>
      <c r="AW538" s="690"/>
      <c r="AX538" s="690"/>
      <c r="AY538" s="690"/>
      <c r="AZ538" s="690"/>
      <c r="BA538" s="690"/>
      <c r="BB538" s="695"/>
      <c r="BC538" s="695"/>
      <c r="BD538" s="695"/>
      <c r="BE538" s="695"/>
      <c r="BF538" s="692"/>
      <c r="BG538" s="692"/>
      <c r="BH538" s="692"/>
      <c r="BI538" s="692"/>
      <c r="BJ538" s="692"/>
      <c r="BK538" s="692"/>
      <c r="BL538" s="693"/>
      <c r="BM538" s="693"/>
      <c r="BN538" s="688"/>
      <c r="BO538" s="693"/>
      <c r="BP538" s="689"/>
      <c r="BQ538" s="694"/>
      <c r="BR538" s="687"/>
      <c r="BS538" s="687"/>
      <c r="BT538" s="687"/>
      <c r="BU538" s="687"/>
      <c r="BV538" s="687"/>
      <c r="BW538" s="688"/>
      <c r="BX538" s="688"/>
      <c r="BY538" s="689"/>
      <c r="BZ538" s="690"/>
      <c r="CA538" s="690"/>
      <c r="CB538" s="690"/>
      <c r="CC538" s="691"/>
      <c r="CD538" s="691"/>
      <c r="CE538" s="692"/>
      <c r="CF538" s="692"/>
      <c r="CG538" s="692"/>
      <c r="CH538" s="693"/>
    </row>
    <row r="539">
      <c r="B539" s="687"/>
      <c r="C539" s="687"/>
      <c r="D539" s="688"/>
      <c r="E539" s="689"/>
      <c r="F539" s="690"/>
      <c r="G539" s="690"/>
      <c r="H539" s="690"/>
      <c r="I539" s="691"/>
      <c r="J539" s="691"/>
      <c r="K539" s="691"/>
      <c r="L539" s="692"/>
      <c r="M539" s="692"/>
      <c r="N539" s="692"/>
      <c r="O539" s="693"/>
      <c r="P539" s="688"/>
      <c r="Q539" s="688"/>
      <c r="R539" s="688"/>
      <c r="S539" s="688"/>
      <c r="T539" s="689"/>
      <c r="U539" s="689"/>
      <c r="V539" s="694"/>
      <c r="W539" s="694"/>
      <c r="X539" s="694"/>
      <c r="Y539" s="694"/>
      <c r="Z539" s="693"/>
      <c r="AA539" s="693"/>
      <c r="AB539" s="693"/>
      <c r="AC539" s="693"/>
      <c r="AD539" s="688"/>
      <c r="AE539" s="689"/>
      <c r="AF539" s="689"/>
      <c r="AG539" s="690"/>
      <c r="AH539" s="690"/>
      <c r="AI539" s="695"/>
      <c r="AJ539" s="695"/>
      <c r="AK539" s="692"/>
      <c r="AL539" s="692"/>
      <c r="AM539" s="693"/>
      <c r="AN539" s="688"/>
      <c r="AO539" s="688"/>
      <c r="AP539" s="688"/>
      <c r="AQ539" s="688"/>
      <c r="AR539" s="688"/>
      <c r="AS539" s="688"/>
      <c r="AT539" s="689"/>
      <c r="AU539" s="689"/>
      <c r="AV539" s="690"/>
      <c r="AW539" s="690"/>
      <c r="AX539" s="690"/>
      <c r="AY539" s="690"/>
      <c r="AZ539" s="690"/>
      <c r="BA539" s="690"/>
      <c r="BB539" s="695"/>
      <c r="BC539" s="695"/>
      <c r="BD539" s="695"/>
      <c r="BE539" s="695"/>
      <c r="BF539" s="692"/>
      <c r="BG539" s="692"/>
      <c r="BH539" s="692"/>
      <c r="BI539" s="692"/>
      <c r="BJ539" s="692"/>
      <c r="BK539" s="692"/>
      <c r="BL539" s="693"/>
      <c r="BM539" s="693"/>
      <c r="BN539" s="688"/>
      <c r="BO539" s="693"/>
      <c r="BP539" s="689"/>
      <c r="BQ539" s="694"/>
      <c r="BR539" s="687"/>
      <c r="BS539" s="687"/>
      <c r="BT539" s="687"/>
      <c r="BU539" s="687"/>
      <c r="BV539" s="687"/>
      <c r="BW539" s="688"/>
      <c r="BX539" s="688"/>
      <c r="BY539" s="689"/>
      <c r="BZ539" s="690"/>
      <c r="CA539" s="690"/>
      <c r="CB539" s="690"/>
      <c r="CC539" s="691"/>
      <c r="CD539" s="691"/>
      <c r="CE539" s="692"/>
      <c r="CF539" s="692"/>
      <c r="CG539" s="692"/>
      <c r="CH539" s="693"/>
    </row>
    <row r="540">
      <c r="B540" s="687"/>
      <c r="C540" s="687"/>
      <c r="D540" s="688"/>
      <c r="E540" s="689"/>
      <c r="F540" s="690"/>
      <c r="G540" s="690"/>
      <c r="H540" s="690"/>
      <c r="I540" s="691"/>
      <c r="J540" s="691"/>
      <c r="K540" s="691"/>
      <c r="L540" s="692"/>
      <c r="M540" s="692"/>
      <c r="N540" s="692"/>
      <c r="O540" s="693"/>
      <c r="P540" s="688"/>
      <c r="Q540" s="688"/>
      <c r="R540" s="688"/>
      <c r="S540" s="688"/>
      <c r="T540" s="689"/>
      <c r="U540" s="689"/>
      <c r="V540" s="694"/>
      <c r="W540" s="694"/>
      <c r="X540" s="694"/>
      <c r="Y540" s="694"/>
      <c r="Z540" s="693"/>
      <c r="AA540" s="693"/>
      <c r="AB540" s="693"/>
      <c r="AC540" s="693"/>
      <c r="AD540" s="688"/>
      <c r="AE540" s="689"/>
      <c r="AF540" s="689"/>
      <c r="AG540" s="690"/>
      <c r="AH540" s="690"/>
      <c r="AI540" s="695"/>
      <c r="AJ540" s="695"/>
      <c r="AK540" s="692"/>
      <c r="AL540" s="692"/>
      <c r="AM540" s="693"/>
      <c r="AN540" s="688"/>
      <c r="AO540" s="688"/>
      <c r="AP540" s="688"/>
      <c r="AQ540" s="688"/>
      <c r="AR540" s="688"/>
      <c r="AS540" s="688"/>
      <c r="AT540" s="689"/>
      <c r="AU540" s="689"/>
      <c r="AV540" s="690"/>
      <c r="AW540" s="690"/>
      <c r="AX540" s="690"/>
      <c r="AY540" s="690"/>
      <c r="AZ540" s="690"/>
      <c r="BA540" s="690"/>
      <c r="BB540" s="695"/>
      <c r="BC540" s="695"/>
      <c r="BD540" s="695"/>
      <c r="BE540" s="695"/>
      <c r="BF540" s="692"/>
      <c r="BG540" s="692"/>
      <c r="BH540" s="692"/>
      <c r="BI540" s="692"/>
      <c r="BJ540" s="692"/>
      <c r="BK540" s="692"/>
      <c r="BL540" s="693"/>
      <c r="BM540" s="693"/>
      <c r="BN540" s="688"/>
      <c r="BO540" s="693"/>
      <c r="BP540" s="689"/>
      <c r="BQ540" s="694"/>
      <c r="BR540" s="687"/>
      <c r="BS540" s="687"/>
      <c r="BT540" s="687"/>
      <c r="BU540" s="687"/>
      <c r="BV540" s="687"/>
      <c r="BW540" s="688"/>
      <c r="BX540" s="688"/>
      <c r="BY540" s="689"/>
      <c r="BZ540" s="690"/>
      <c r="CA540" s="690"/>
      <c r="CB540" s="690"/>
      <c r="CC540" s="691"/>
      <c r="CD540" s="691"/>
      <c r="CE540" s="692"/>
      <c r="CF540" s="692"/>
      <c r="CG540" s="692"/>
      <c r="CH540" s="693"/>
    </row>
    <row r="541">
      <c r="B541" s="687"/>
      <c r="C541" s="687"/>
      <c r="D541" s="688"/>
      <c r="E541" s="689"/>
      <c r="F541" s="690"/>
      <c r="G541" s="690"/>
      <c r="H541" s="690"/>
      <c r="I541" s="691"/>
      <c r="J541" s="691"/>
      <c r="K541" s="691"/>
      <c r="L541" s="692"/>
      <c r="M541" s="692"/>
      <c r="N541" s="692"/>
      <c r="O541" s="693"/>
      <c r="P541" s="688"/>
      <c r="Q541" s="688"/>
      <c r="R541" s="688"/>
      <c r="S541" s="688"/>
      <c r="T541" s="689"/>
      <c r="U541" s="689"/>
      <c r="V541" s="694"/>
      <c r="W541" s="694"/>
      <c r="X541" s="694"/>
      <c r="Y541" s="694"/>
      <c r="Z541" s="693"/>
      <c r="AA541" s="693"/>
      <c r="AB541" s="693"/>
      <c r="AC541" s="693"/>
      <c r="AD541" s="688"/>
      <c r="AE541" s="689"/>
      <c r="AF541" s="689"/>
      <c r="AG541" s="690"/>
      <c r="AH541" s="690"/>
      <c r="AI541" s="695"/>
      <c r="AJ541" s="695"/>
      <c r="AK541" s="692"/>
      <c r="AL541" s="692"/>
      <c r="AM541" s="693"/>
      <c r="AN541" s="688"/>
      <c r="AO541" s="688"/>
      <c r="AP541" s="688"/>
      <c r="AQ541" s="688"/>
      <c r="AR541" s="688"/>
      <c r="AS541" s="688"/>
      <c r="AT541" s="689"/>
      <c r="AU541" s="689"/>
      <c r="AV541" s="690"/>
      <c r="AW541" s="690"/>
      <c r="AX541" s="690"/>
      <c r="AY541" s="690"/>
      <c r="AZ541" s="690"/>
      <c r="BA541" s="690"/>
      <c r="BB541" s="695"/>
      <c r="BC541" s="695"/>
      <c r="BD541" s="695"/>
      <c r="BE541" s="695"/>
      <c r="BF541" s="692"/>
      <c r="BG541" s="692"/>
      <c r="BH541" s="692"/>
      <c r="BI541" s="692"/>
      <c r="BJ541" s="692"/>
      <c r="BK541" s="692"/>
      <c r="BL541" s="693"/>
      <c r="BM541" s="693"/>
      <c r="BN541" s="688"/>
      <c r="BO541" s="693"/>
      <c r="BP541" s="689"/>
      <c r="BQ541" s="694"/>
      <c r="BR541" s="687"/>
      <c r="BS541" s="687"/>
      <c r="BT541" s="687"/>
      <c r="BU541" s="687"/>
      <c r="BV541" s="687"/>
      <c r="BW541" s="688"/>
      <c r="BX541" s="688"/>
      <c r="BY541" s="689"/>
      <c r="BZ541" s="690"/>
      <c r="CA541" s="690"/>
      <c r="CB541" s="690"/>
      <c r="CC541" s="691"/>
      <c r="CD541" s="691"/>
      <c r="CE541" s="692"/>
      <c r="CF541" s="692"/>
      <c r="CG541" s="692"/>
      <c r="CH541" s="693"/>
    </row>
    <row r="542">
      <c r="B542" s="687"/>
      <c r="C542" s="687"/>
      <c r="D542" s="688"/>
      <c r="E542" s="689"/>
      <c r="F542" s="690"/>
      <c r="G542" s="690"/>
      <c r="H542" s="690"/>
      <c r="I542" s="691"/>
      <c r="J542" s="691"/>
      <c r="K542" s="691"/>
      <c r="L542" s="692"/>
      <c r="M542" s="692"/>
      <c r="N542" s="692"/>
      <c r="O542" s="693"/>
      <c r="P542" s="688"/>
      <c r="Q542" s="688"/>
      <c r="R542" s="688"/>
      <c r="S542" s="688"/>
      <c r="T542" s="689"/>
      <c r="U542" s="689"/>
      <c r="V542" s="694"/>
      <c r="W542" s="694"/>
      <c r="X542" s="694"/>
      <c r="Y542" s="694"/>
      <c r="Z542" s="693"/>
      <c r="AA542" s="693"/>
      <c r="AB542" s="693"/>
      <c r="AC542" s="693"/>
      <c r="AD542" s="688"/>
      <c r="AE542" s="689"/>
      <c r="AF542" s="689"/>
      <c r="AG542" s="690"/>
      <c r="AH542" s="690"/>
      <c r="AI542" s="695"/>
      <c r="AJ542" s="695"/>
      <c r="AK542" s="692"/>
      <c r="AL542" s="692"/>
      <c r="AM542" s="693"/>
      <c r="AN542" s="688"/>
      <c r="AO542" s="688"/>
      <c r="AP542" s="688"/>
      <c r="AQ542" s="688"/>
      <c r="AR542" s="688"/>
      <c r="AS542" s="688"/>
      <c r="AT542" s="689"/>
      <c r="AU542" s="689"/>
      <c r="AV542" s="690"/>
      <c r="AW542" s="690"/>
      <c r="AX542" s="690"/>
      <c r="AY542" s="690"/>
      <c r="AZ542" s="690"/>
      <c r="BA542" s="690"/>
      <c r="BB542" s="695"/>
      <c r="BC542" s="695"/>
      <c r="BD542" s="695"/>
      <c r="BE542" s="695"/>
      <c r="BF542" s="692"/>
      <c r="BG542" s="692"/>
      <c r="BH542" s="692"/>
      <c r="BI542" s="692"/>
      <c r="BJ542" s="692"/>
      <c r="BK542" s="692"/>
      <c r="BL542" s="693"/>
      <c r="BM542" s="693"/>
      <c r="BN542" s="688"/>
      <c r="BO542" s="693"/>
      <c r="BP542" s="689"/>
      <c r="BQ542" s="694"/>
      <c r="BR542" s="687"/>
      <c r="BS542" s="687"/>
      <c r="BT542" s="687"/>
      <c r="BU542" s="687"/>
      <c r="BV542" s="687"/>
      <c r="BW542" s="688"/>
      <c r="BX542" s="688"/>
      <c r="BY542" s="689"/>
      <c r="BZ542" s="690"/>
      <c r="CA542" s="690"/>
      <c r="CB542" s="690"/>
      <c r="CC542" s="691"/>
      <c r="CD542" s="691"/>
      <c r="CE542" s="692"/>
      <c r="CF542" s="692"/>
      <c r="CG542" s="692"/>
      <c r="CH542" s="693"/>
    </row>
    <row r="543">
      <c r="B543" s="687"/>
      <c r="C543" s="687"/>
      <c r="D543" s="688"/>
      <c r="E543" s="689"/>
      <c r="F543" s="690"/>
      <c r="G543" s="690"/>
      <c r="H543" s="690"/>
      <c r="I543" s="691"/>
      <c r="J543" s="691"/>
      <c r="K543" s="691"/>
      <c r="L543" s="692"/>
      <c r="M543" s="692"/>
      <c r="N543" s="692"/>
      <c r="O543" s="693"/>
      <c r="P543" s="688"/>
      <c r="Q543" s="688"/>
      <c r="R543" s="688"/>
      <c r="S543" s="688"/>
      <c r="T543" s="689"/>
      <c r="U543" s="689"/>
      <c r="V543" s="694"/>
      <c r="W543" s="694"/>
      <c r="X543" s="694"/>
      <c r="Y543" s="694"/>
      <c r="Z543" s="693"/>
      <c r="AA543" s="693"/>
      <c r="AB543" s="693"/>
      <c r="AC543" s="693"/>
      <c r="AD543" s="688"/>
      <c r="AE543" s="689"/>
      <c r="AF543" s="689"/>
      <c r="AG543" s="690"/>
      <c r="AH543" s="690"/>
      <c r="AI543" s="695"/>
      <c r="AJ543" s="695"/>
      <c r="AK543" s="692"/>
      <c r="AL543" s="692"/>
      <c r="AM543" s="693"/>
      <c r="AN543" s="688"/>
      <c r="AO543" s="688"/>
      <c r="AP543" s="688"/>
      <c r="AQ543" s="688"/>
      <c r="AR543" s="688"/>
      <c r="AS543" s="688"/>
      <c r="AT543" s="689"/>
      <c r="AU543" s="689"/>
      <c r="AV543" s="690"/>
      <c r="AW543" s="690"/>
      <c r="AX543" s="690"/>
      <c r="AY543" s="690"/>
      <c r="AZ543" s="690"/>
      <c r="BA543" s="690"/>
      <c r="BB543" s="695"/>
      <c r="BC543" s="695"/>
      <c r="BD543" s="695"/>
      <c r="BE543" s="695"/>
      <c r="BF543" s="692"/>
      <c r="BG543" s="692"/>
      <c r="BH543" s="692"/>
      <c r="BI543" s="692"/>
      <c r="BJ543" s="692"/>
      <c r="BK543" s="692"/>
      <c r="BL543" s="693"/>
      <c r="BM543" s="693"/>
      <c r="BN543" s="688"/>
      <c r="BO543" s="693"/>
      <c r="BP543" s="689"/>
      <c r="BQ543" s="694"/>
      <c r="BR543" s="687"/>
      <c r="BS543" s="687"/>
      <c r="BT543" s="687"/>
      <c r="BU543" s="687"/>
      <c r="BV543" s="687"/>
      <c r="BW543" s="688"/>
      <c r="BX543" s="688"/>
      <c r="BY543" s="689"/>
      <c r="BZ543" s="690"/>
      <c r="CA543" s="690"/>
      <c r="CB543" s="690"/>
      <c r="CC543" s="691"/>
      <c r="CD543" s="691"/>
      <c r="CE543" s="692"/>
      <c r="CF543" s="692"/>
      <c r="CG543" s="692"/>
      <c r="CH543" s="693"/>
    </row>
    <row r="544">
      <c r="B544" s="687"/>
      <c r="C544" s="687"/>
      <c r="D544" s="688"/>
      <c r="E544" s="689"/>
      <c r="F544" s="690"/>
      <c r="G544" s="690"/>
      <c r="H544" s="690"/>
      <c r="I544" s="691"/>
      <c r="J544" s="691"/>
      <c r="K544" s="691"/>
      <c r="L544" s="692"/>
      <c r="M544" s="692"/>
      <c r="N544" s="692"/>
      <c r="O544" s="693"/>
      <c r="P544" s="688"/>
      <c r="Q544" s="688"/>
      <c r="R544" s="688"/>
      <c r="S544" s="688"/>
      <c r="T544" s="689"/>
      <c r="U544" s="689"/>
      <c r="V544" s="694"/>
      <c r="W544" s="694"/>
      <c r="X544" s="694"/>
      <c r="Y544" s="694"/>
      <c r="Z544" s="693"/>
      <c r="AA544" s="693"/>
      <c r="AB544" s="693"/>
      <c r="AC544" s="693"/>
      <c r="AD544" s="688"/>
      <c r="AE544" s="689"/>
      <c r="AF544" s="689"/>
      <c r="AG544" s="690"/>
      <c r="AH544" s="690"/>
      <c r="AI544" s="695"/>
      <c r="AJ544" s="695"/>
      <c r="AK544" s="692"/>
      <c r="AL544" s="692"/>
      <c r="AM544" s="693"/>
      <c r="AN544" s="688"/>
      <c r="AO544" s="688"/>
      <c r="AP544" s="688"/>
      <c r="AQ544" s="688"/>
      <c r="AR544" s="688"/>
      <c r="AS544" s="688"/>
      <c r="AT544" s="689"/>
      <c r="AU544" s="689"/>
      <c r="AV544" s="690"/>
      <c r="AW544" s="690"/>
      <c r="AX544" s="690"/>
      <c r="AY544" s="690"/>
      <c r="AZ544" s="690"/>
      <c r="BA544" s="690"/>
      <c r="BB544" s="695"/>
      <c r="BC544" s="695"/>
      <c r="BD544" s="695"/>
      <c r="BE544" s="695"/>
      <c r="BF544" s="692"/>
      <c r="BG544" s="692"/>
      <c r="BH544" s="692"/>
      <c r="BI544" s="692"/>
      <c r="BJ544" s="692"/>
      <c r="BK544" s="692"/>
      <c r="BL544" s="693"/>
      <c r="BM544" s="693"/>
      <c r="BN544" s="688"/>
      <c r="BO544" s="693"/>
      <c r="BP544" s="689"/>
      <c r="BQ544" s="694"/>
      <c r="BR544" s="687"/>
      <c r="BS544" s="687"/>
      <c r="BT544" s="687"/>
      <c r="BU544" s="687"/>
      <c r="BV544" s="687"/>
      <c r="BW544" s="688"/>
      <c r="BX544" s="688"/>
      <c r="BY544" s="689"/>
      <c r="BZ544" s="690"/>
      <c r="CA544" s="690"/>
      <c r="CB544" s="690"/>
      <c r="CC544" s="691"/>
      <c r="CD544" s="691"/>
      <c r="CE544" s="692"/>
      <c r="CF544" s="692"/>
      <c r="CG544" s="692"/>
      <c r="CH544" s="693"/>
    </row>
    <row r="545">
      <c r="B545" s="687"/>
      <c r="C545" s="687"/>
      <c r="D545" s="688"/>
      <c r="E545" s="689"/>
      <c r="F545" s="690"/>
      <c r="G545" s="690"/>
      <c r="H545" s="690"/>
      <c r="I545" s="691"/>
      <c r="J545" s="691"/>
      <c r="K545" s="691"/>
      <c r="L545" s="692"/>
      <c r="M545" s="692"/>
      <c r="N545" s="692"/>
      <c r="O545" s="693"/>
      <c r="P545" s="688"/>
      <c r="Q545" s="688"/>
      <c r="R545" s="688"/>
      <c r="S545" s="688"/>
      <c r="T545" s="689"/>
      <c r="U545" s="689"/>
      <c r="V545" s="694"/>
      <c r="W545" s="694"/>
      <c r="X545" s="694"/>
      <c r="Y545" s="694"/>
      <c r="Z545" s="693"/>
      <c r="AA545" s="693"/>
      <c r="AB545" s="693"/>
      <c r="AC545" s="693"/>
      <c r="AD545" s="688"/>
      <c r="AE545" s="689"/>
      <c r="AF545" s="689"/>
      <c r="AG545" s="690"/>
      <c r="AH545" s="690"/>
      <c r="AI545" s="695"/>
      <c r="AJ545" s="695"/>
      <c r="AK545" s="692"/>
      <c r="AL545" s="692"/>
      <c r="AM545" s="693"/>
      <c r="AN545" s="688"/>
      <c r="AO545" s="688"/>
      <c r="AP545" s="688"/>
      <c r="AQ545" s="688"/>
      <c r="AR545" s="688"/>
      <c r="AS545" s="688"/>
      <c r="AT545" s="689"/>
      <c r="AU545" s="689"/>
      <c r="AV545" s="690"/>
      <c r="AW545" s="690"/>
      <c r="AX545" s="690"/>
      <c r="AY545" s="690"/>
      <c r="AZ545" s="690"/>
      <c r="BA545" s="690"/>
      <c r="BB545" s="695"/>
      <c r="BC545" s="695"/>
      <c r="BD545" s="695"/>
      <c r="BE545" s="695"/>
      <c r="BF545" s="692"/>
      <c r="BG545" s="692"/>
      <c r="BH545" s="692"/>
      <c r="BI545" s="692"/>
      <c r="BJ545" s="692"/>
      <c r="BK545" s="692"/>
      <c r="BL545" s="693"/>
      <c r="BM545" s="693"/>
      <c r="BN545" s="688"/>
      <c r="BO545" s="693"/>
      <c r="BP545" s="689"/>
      <c r="BQ545" s="694"/>
      <c r="BR545" s="687"/>
      <c r="BS545" s="687"/>
      <c r="BT545" s="687"/>
      <c r="BU545" s="687"/>
      <c r="BV545" s="687"/>
      <c r="BW545" s="688"/>
      <c r="BX545" s="688"/>
      <c r="BY545" s="689"/>
      <c r="BZ545" s="690"/>
      <c r="CA545" s="690"/>
      <c r="CB545" s="690"/>
      <c r="CC545" s="691"/>
      <c r="CD545" s="691"/>
      <c r="CE545" s="692"/>
      <c r="CF545" s="692"/>
      <c r="CG545" s="692"/>
      <c r="CH545" s="693"/>
    </row>
    <row r="546">
      <c r="B546" s="687"/>
      <c r="C546" s="687"/>
      <c r="D546" s="688"/>
      <c r="E546" s="689"/>
      <c r="F546" s="690"/>
      <c r="G546" s="690"/>
      <c r="H546" s="690"/>
      <c r="I546" s="691"/>
      <c r="J546" s="691"/>
      <c r="K546" s="691"/>
      <c r="L546" s="692"/>
      <c r="M546" s="692"/>
      <c r="N546" s="692"/>
      <c r="O546" s="693"/>
      <c r="P546" s="688"/>
      <c r="Q546" s="688"/>
      <c r="R546" s="688"/>
      <c r="S546" s="688"/>
      <c r="T546" s="689"/>
      <c r="U546" s="689"/>
      <c r="V546" s="694"/>
      <c r="W546" s="694"/>
      <c r="X546" s="694"/>
      <c r="Y546" s="694"/>
      <c r="Z546" s="693"/>
      <c r="AA546" s="693"/>
      <c r="AB546" s="693"/>
      <c r="AC546" s="693"/>
      <c r="AD546" s="688"/>
      <c r="AE546" s="689"/>
      <c r="AF546" s="689"/>
      <c r="AG546" s="690"/>
      <c r="AH546" s="690"/>
      <c r="AI546" s="695"/>
      <c r="AJ546" s="695"/>
      <c r="AK546" s="692"/>
      <c r="AL546" s="692"/>
      <c r="AM546" s="693"/>
      <c r="AN546" s="688"/>
      <c r="AO546" s="688"/>
      <c r="AP546" s="688"/>
      <c r="AQ546" s="688"/>
      <c r="AR546" s="688"/>
      <c r="AS546" s="688"/>
      <c r="AT546" s="689"/>
      <c r="AU546" s="689"/>
      <c r="AV546" s="690"/>
      <c r="AW546" s="690"/>
      <c r="AX546" s="690"/>
      <c r="AY546" s="690"/>
      <c r="AZ546" s="690"/>
      <c r="BA546" s="690"/>
      <c r="BB546" s="695"/>
      <c r="BC546" s="695"/>
      <c r="BD546" s="695"/>
      <c r="BE546" s="695"/>
      <c r="BF546" s="692"/>
      <c r="BG546" s="692"/>
      <c r="BH546" s="692"/>
      <c r="BI546" s="692"/>
      <c r="BJ546" s="692"/>
      <c r="BK546" s="692"/>
      <c r="BL546" s="693"/>
      <c r="BM546" s="693"/>
      <c r="BN546" s="688"/>
      <c r="BO546" s="693"/>
      <c r="BP546" s="689"/>
      <c r="BQ546" s="694"/>
      <c r="BR546" s="687"/>
      <c r="BS546" s="687"/>
      <c r="BT546" s="687"/>
      <c r="BU546" s="687"/>
      <c r="BV546" s="687"/>
      <c r="BW546" s="688"/>
      <c r="BX546" s="688"/>
      <c r="BY546" s="689"/>
      <c r="BZ546" s="690"/>
      <c r="CA546" s="690"/>
      <c r="CB546" s="690"/>
      <c r="CC546" s="691"/>
      <c r="CD546" s="691"/>
      <c r="CE546" s="692"/>
      <c r="CF546" s="692"/>
      <c r="CG546" s="692"/>
      <c r="CH546" s="693"/>
    </row>
    <row r="547">
      <c r="B547" s="687"/>
      <c r="C547" s="687"/>
      <c r="D547" s="688"/>
      <c r="E547" s="689"/>
      <c r="F547" s="690"/>
      <c r="G547" s="690"/>
      <c r="H547" s="690"/>
      <c r="I547" s="691"/>
      <c r="J547" s="691"/>
      <c r="K547" s="691"/>
      <c r="L547" s="692"/>
      <c r="M547" s="692"/>
      <c r="N547" s="692"/>
      <c r="O547" s="693"/>
      <c r="P547" s="688"/>
      <c r="Q547" s="688"/>
      <c r="R547" s="688"/>
      <c r="S547" s="688"/>
      <c r="T547" s="689"/>
      <c r="U547" s="689"/>
      <c r="V547" s="694"/>
      <c r="W547" s="694"/>
      <c r="X547" s="694"/>
      <c r="Y547" s="694"/>
      <c r="Z547" s="693"/>
      <c r="AA547" s="693"/>
      <c r="AB547" s="693"/>
      <c r="AC547" s="693"/>
      <c r="AD547" s="688"/>
      <c r="AE547" s="689"/>
      <c r="AF547" s="689"/>
      <c r="AG547" s="690"/>
      <c r="AH547" s="690"/>
      <c r="AI547" s="695"/>
      <c r="AJ547" s="695"/>
      <c r="AK547" s="692"/>
      <c r="AL547" s="692"/>
      <c r="AM547" s="693"/>
      <c r="AN547" s="688"/>
      <c r="AO547" s="688"/>
      <c r="AP547" s="688"/>
      <c r="AQ547" s="688"/>
      <c r="AR547" s="688"/>
      <c r="AS547" s="688"/>
      <c r="AT547" s="689"/>
      <c r="AU547" s="689"/>
      <c r="AV547" s="690"/>
      <c r="AW547" s="690"/>
      <c r="AX547" s="690"/>
      <c r="AY547" s="690"/>
      <c r="AZ547" s="690"/>
      <c r="BA547" s="690"/>
      <c r="BB547" s="695"/>
      <c r="BC547" s="695"/>
      <c r="BD547" s="695"/>
      <c r="BE547" s="695"/>
      <c r="BF547" s="692"/>
      <c r="BG547" s="692"/>
      <c r="BH547" s="692"/>
      <c r="BI547" s="692"/>
      <c r="BJ547" s="692"/>
      <c r="BK547" s="692"/>
      <c r="BL547" s="693"/>
      <c r="BM547" s="693"/>
      <c r="BN547" s="688"/>
      <c r="BO547" s="693"/>
      <c r="BP547" s="689"/>
      <c r="BQ547" s="694"/>
      <c r="BR547" s="687"/>
      <c r="BS547" s="687"/>
      <c r="BT547" s="687"/>
      <c r="BU547" s="687"/>
      <c r="BV547" s="687"/>
      <c r="BW547" s="688"/>
      <c r="BX547" s="688"/>
      <c r="BY547" s="689"/>
      <c r="BZ547" s="690"/>
      <c r="CA547" s="690"/>
      <c r="CB547" s="690"/>
      <c r="CC547" s="691"/>
      <c r="CD547" s="691"/>
      <c r="CE547" s="692"/>
      <c r="CF547" s="692"/>
      <c r="CG547" s="692"/>
      <c r="CH547" s="693"/>
    </row>
    <row r="548">
      <c r="B548" s="687"/>
      <c r="C548" s="687"/>
      <c r="D548" s="688"/>
      <c r="E548" s="689"/>
      <c r="F548" s="690"/>
      <c r="G548" s="690"/>
      <c r="H548" s="690"/>
      <c r="I548" s="691"/>
      <c r="J548" s="691"/>
      <c r="K548" s="691"/>
      <c r="L548" s="692"/>
      <c r="M548" s="692"/>
      <c r="N548" s="692"/>
      <c r="O548" s="693"/>
      <c r="P548" s="688"/>
      <c r="Q548" s="688"/>
      <c r="R548" s="688"/>
      <c r="S548" s="688"/>
      <c r="T548" s="689"/>
      <c r="U548" s="689"/>
      <c r="V548" s="694"/>
      <c r="W548" s="694"/>
      <c r="X548" s="694"/>
      <c r="Y548" s="694"/>
      <c r="Z548" s="693"/>
      <c r="AA548" s="693"/>
      <c r="AB548" s="693"/>
      <c r="AC548" s="693"/>
      <c r="AD548" s="688"/>
      <c r="AE548" s="689"/>
      <c r="AF548" s="689"/>
      <c r="AG548" s="690"/>
      <c r="AH548" s="690"/>
      <c r="AI548" s="695"/>
      <c r="AJ548" s="695"/>
      <c r="AK548" s="692"/>
      <c r="AL548" s="692"/>
      <c r="AM548" s="693"/>
      <c r="AN548" s="688"/>
      <c r="AO548" s="688"/>
      <c r="AP548" s="688"/>
      <c r="AQ548" s="688"/>
      <c r="AR548" s="688"/>
      <c r="AS548" s="688"/>
      <c r="AT548" s="689"/>
      <c r="AU548" s="689"/>
      <c r="AV548" s="690"/>
      <c r="AW548" s="690"/>
      <c r="AX548" s="690"/>
      <c r="AY548" s="690"/>
      <c r="AZ548" s="690"/>
      <c r="BA548" s="690"/>
      <c r="BB548" s="695"/>
      <c r="BC548" s="695"/>
      <c r="BD548" s="695"/>
      <c r="BE548" s="695"/>
      <c r="BF548" s="692"/>
      <c r="BG548" s="692"/>
      <c r="BH548" s="692"/>
      <c r="BI548" s="692"/>
      <c r="BJ548" s="692"/>
      <c r="BK548" s="692"/>
      <c r="BL548" s="693"/>
      <c r="BM548" s="693"/>
      <c r="BN548" s="688"/>
      <c r="BO548" s="693"/>
      <c r="BP548" s="689"/>
      <c r="BQ548" s="694"/>
      <c r="BR548" s="687"/>
      <c r="BS548" s="687"/>
      <c r="BT548" s="687"/>
      <c r="BU548" s="687"/>
      <c r="BV548" s="687"/>
      <c r="BW548" s="688"/>
      <c r="BX548" s="688"/>
      <c r="BY548" s="689"/>
      <c r="BZ548" s="690"/>
      <c r="CA548" s="690"/>
      <c r="CB548" s="690"/>
      <c r="CC548" s="691"/>
      <c r="CD548" s="691"/>
      <c r="CE548" s="692"/>
      <c r="CF548" s="692"/>
      <c r="CG548" s="692"/>
      <c r="CH548" s="693"/>
    </row>
    <row r="549">
      <c r="B549" s="687"/>
      <c r="C549" s="687"/>
      <c r="D549" s="688"/>
      <c r="E549" s="689"/>
      <c r="F549" s="690"/>
      <c r="G549" s="690"/>
      <c r="H549" s="690"/>
      <c r="I549" s="691"/>
      <c r="J549" s="691"/>
      <c r="K549" s="691"/>
      <c r="L549" s="692"/>
      <c r="M549" s="692"/>
      <c r="N549" s="692"/>
      <c r="O549" s="693"/>
      <c r="P549" s="688"/>
      <c r="Q549" s="688"/>
      <c r="R549" s="688"/>
      <c r="S549" s="688"/>
      <c r="T549" s="689"/>
      <c r="U549" s="689"/>
      <c r="V549" s="694"/>
      <c r="W549" s="694"/>
      <c r="X549" s="694"/>
      <c r="Y549" s="694"/>
      <c r="Z549" s="693"/>
      <c r="AA549" s="693"/>
      <c r="AB549" s="693"/>
      <c r="AC549" s="693"/>
      <c r="AD549" s="688"/>
      <c r="AE549" s="689"/>
      <c r="AF549" s="689"/>
      <c r="AG549" s="690"/>
      <c r="AH549" s="690"/>
      <c r="AI549" s="695"/>
      <c r="AJ549" s="695"/>
      <c r="AK549" s="692"/>
      <c r="AL549" s="692"/>
      <c r="AM549" s="693"/>
      <c r="AN549" s="688"/>
      <c r="AO549" s="688"/>
      <c r="AP549" s="688"/>
      <c r="AQ549" s="688"/>
      <c r="AR549" s="688"/>
      <c r="AS549" s="688"/>
      <c r="AT549" s="689"/>
      <c r="AU549" s="689"/>
      <c r="AV549" s="690"/>
      <c r="AW549" s="690"/>
      <c r="AX549" s="690"/>
      <c r="AY549" s="690"/>
      <c r="AZ549" s="690"/>
      <c r="BA549" s="690"/>
      <c r="BB549" s="695"/>
      <c r="BC549" s="695"/>
      <c r="BD549" s="695"/>
      <c r="BE549" s="695"/>
      <c r="BF549" s="692"/>
      <c r="BG549" s="692"/>
      <c r="BH549" s="692"/>
      <c r="BI549" s="692"/>
      <c r="BJ549" s="692"/>
      <c r="BK549" s="692"/>
      <c r="BL549" s="693"/>
      <c r="BM549" s="693"/>
      <c r="BN549" s="688"/>
      <c r="BO549" s="693"/>
      <c r="BP549" s="689"/>
      <c r="BQ549" s="694"/>
      <c r="BR549" s="687"/>
      <c r="BS549" s="687"/>
      <c r="BT549" s="687"/>
      <c r="BU549" s="687"/>
      <c r="BV549" s="687"/>
      <c r="BW549" s="688"/>
      <c r="BX549" s="688"/>
      <c r="BY549" s="689"/>
      <c r="BZ549" s="690"/>
      <c r="CA549" s="690"/>
      <c r="CB549" s="690"/>
      <c r="CC549" s="691"/>
      <c r="CD549" s="691"/>
      <c r="CE549" s="692"/>
      <c r="CF549" s="692"/>
      <c r="CG549" s="692"/>
      <c r="CH549" s="693"/>
    </row>
    <row r="550">
      <c r="B550" s="687"/>
      <c r="C550" s="687"/>
      <c r="D550" s="688"/>
      <c r="E550" s="689"/>
      <c r="F550" s="690"/>
      <c r="G550" s="690"/>
      <c r="H550" s="690"/>
      <c r="I550" s="691"/>
      <c r="J550" s="691"/>
      <c r="K550" s="691"/>
      <c r="L550" s="692"/>
      <c r="M550" s="692"/>
      <c r="N550" s="692"/>
      <c r="O550" s="693"/>
      <c r="P550" s="688"/>
      <c r="Q550" s="688"/>
      <c r="R550" s="688"/>
      <c r="S550" s="688"/>
      <c r="T550" s="689"/>
      <c r="U550" s="689"/>
      <c r="V550" s="694"/>
      <c r="W550" s="694"/>
      <c r="X550" s="694"/>
      <c r="Y550" s="694"/>
      <c r="Z550" s="693"/>
      <c r="AA550" s="693"/>
      <c r="AB550" s="693"/>
      <c r="AC550" s="693"/>
      <c r="AD550" s="688"/>
      <c r="AE550" s="689"/>
      <c r="AF550" s="689"/>
      <c r="AG550" s="690"/>
      <c r="AH550" s="690"/>
      <c r="AI550" s="695"/>
      <c r="AJ550" s="695"/>
      <c r="AK550" s="692"/>
      <c r="AL550" s="692"/>
      <c r="AM550" s="693"/>
      <c r="AN550" s="688"/>
      <c r="AO550" s="688"/>
      <c r="AP550" s="688"/>
      <c r="AQ550" s="688"/>
      <c r="AR550" s="688"/>
      <c r="AS550" s="688"/>
      <c r="AT550" s="689"/>
      <c r="AU550" s="689"/>
      <c r="AV550" s="690"/>
      <c r="AW550" s="690"/>
      <c r="AX550" s="690"/>
      <c r="AY550" s="690"/>
      <c r="AZ550" s="690"/>
      <c r="BA550" s="690"/>
      <c r="BB550" s="695"/>
      <c r="BC550" s="695"/>
      <c r="BD550" s="695"/>
      <c r="BE550" s="695"/>
      <c r="BF550" s="692"/>
      <c r="BG550" s="692"/>
      <c r="BH550" s="692"/>
      <c r="BI550" s="692"/>
      <c r="BJ550" s="692"/>
      <c r="BK550" s="692"/>
      <c r="BL550" s="693"/>
      <c r="BM550" s="693"/>
      <c r="BN550" s="688"/>
      <c r="BO550" s="693"/>
      <c r="BP550" s="689"/>
      <c r="BQ550" s="694"/>
      <c r="BR550" s="687"/>
      <c r="BS550" s="687"/>
      <c r="BT550" s="687"/>
      <c r="BU550" s="687"/>
      <c r="BV550" s="687"/>
      <c r="BW550" s="688"/>
      <c r="BX550" s="688"/>
      <c r="BY550" s="689"/>
      <c r="BZ550" s="690"/>
      <c r="CA550" s="690"/>
      <c r="CB550" s="690"/>
      <c r="CC550" s="691"/>
      <c r="CD550" s="691"/>
      <c r="CE550" s="692"/>
      <c r="CF550" s="692"/>
      <c r="CG550" s="692"/>
      <c r="CH550" s="693"/>
    </row>
    <row r="551">
      <c r="B551" s="687"/>
      <c r="C551" s="687"/>
      <c r="D551" s="688"/>
      <c r="E551" s="689"/>
      <c r="F551" s="690"/>
      <c r="G551" s="690"/>
      <c r="H551" s="690"/>
      <c r="I551" s="691"/>
      <c r="J551" s="691"/>
      <c r="K551" s="691"/>
      <c r="L551" s="692"/>
      <c r="M551" s="692"/>
      <c r="N551" s="692"/>
      <c r="O551" s="693"/>
      <c r="P551" s="688"/>
      <c r="Q551" s="688"/>
      <c r="R551" s="688"/>
      <c r="S551" s="688"/>
      <c r="T551" s="689"/>
      <c r="U551" s="689"/>
      <c r="V551" s="694"/>
      <c r="W551" s="694"/>
      <c r="X551" s="694"/>
      <c r="Y551" s="694"/>
      <c r="Z551" s="693"/>
      <c r="AA551" s="693"/>
      <c r="AB551" s="693"/>
      <c r="AC551" s="693"/>
      <c r="AD551" s="688"/>
      <c r="AE551" s="689"/>
      <c r="AF551" s="689"/>
      <c r="AG551" s="690"/>
      <c r="AH551" s="690"/>
      <c r="AI551" s="695"/>
      <c r="AJ551" s="695"/>
      <c r="AK551" s="692"/>
      <c r="AL551" s="692"/>
      <c r="AM551" s="693"/>
      <c r="AN551" s="688"/>
      <c r="AO551" s="688"/>
      <c r="AP551" s="688"/>
      <c r="AQ551" s="688"/>
      <c r="AR551" s="688"/>
      <c r="AS551" s="688"/>
      <c r="AT551" s="689"/>
      <c r="AU551" s="689"/>
      <c r="AV551" s="690"/>
      <c r="AW551" s="690"/>
      <c r="AX551" s="690"/>
      <c r="AY551" s="690"/>
      <c r="AZ551" s="690"/>
      <c r="BA551" s="690"/>
      <c r="BB551" s="695"/>
      <c r="BC551" s="695"/>
      <c r="BD551" s="695"/>
      <c r="BE551" s="695"/>
      <c r="BF551" s="692"/>
      <c r="BG551" s="692"/>
      <c r="BH551" s="692"/>
      <c r="BI551" s="692"/>
      <c r="BJ551" s="692"/>
      <c r="BK551" s="692"/>
      <c r="BL551" s="693"/>
      <c r="BM551" s="693"/>
      <c r="BN551" s="688"/>
      <c r="BO551" s="693"/>
      <c r="BP551" s="689"/>
      <c r="BQ551" s="694"/>
      <c r="BR551" s="687"/>
      <c r="BS551" s="687"/>
      <c r="BT551" s="687"/>
      <c r="BU551" s="687"/>
      <c r="BV551" s="687"/>
      <c r="BW551" s="688"/>
      <c r="BX551" s="688"/>
      <c r="BY551" s="689"/>
      <c r="BZ551" s="690"/>
      <c r="CA551" s="690"/>
      <c r="CB551" s="690"/>
      <c r="CC551" s="691"/>
      <c r="CD551" s="691"/>
      <c r="CE551" s="692"/>
      <c r="CF551" s="692"/>
      <c r="CG551" s="692"/>
      <c r="CH551" s="693"/>
    </row>
    <row r="552">
      <c r="B552" s="687"/>
      <c r="C552" s="687"/>
      <c r="D552" s="688"/>
      <c r="E552" s="689"/>
      <c r="F552" s="690"/>
      <c r="G552" s="690"/>
      <c r="H552" s="690"/>
      <c r="I552" s="691"/>
      <c r="J552" s="691"/>
      <c r="K552" s="691"/>
      <c r="L552" s="692"/>
      <c r="M552" s="692"/>
      <c r="N552" s="692"/>
      <c r="O552" s="693"/>
      <c r="P552" s="688"/>
      <c r="Q552" s="688"/>
      <c r="R552" s="688"/>
      <c r="S552" s="688"/>
      <c r="T552" s="689"/>
      <c r="U552" s="689"/>
      <c r="V552" s="694"/>
      <c r="W552" s="694"/>
      <c r="X552" s="694"/>
      <c r="Y552" s="694"/>
      <c r="Z552" s="693"/>
      <c r="AA552" s="693"/>
      <c r="AB552" s="693"/>
      <c r="AC552" s="693"/>
      <c r="AD552" s="688"/>
      <c r="AE552" s="689"/>
      <c r="AF552" s="689"/>
      <c r="AG552" s="690"/>
      <c r="AH552" s="690"/>
      <c r="AI552" s="695"/>
      <c r="AJ552" s="695"/>
      <c r="AK552" s="692"/>
      <c r="AL552" s="692"/>
      <c r="AM552" s="693"/>
      <c r="AN552" s="688"/>
      <c r="AO552" s="688"/>
      <c r="AP552" s="688"/>
      <c r="AQ552" s="688"/>
      <c r="AR552" s="688"/>
      <c r="AS552" s="688"/>
      <c r="AT552" s="689"/>
      <c r="AU552" s="689"/>
      <c r="AV552" s="690"/>
      <c r="AW552" s="690"/>
      <c r="AX552" s="690"/>
      <c r="AY552" s="690"/>
      <c r="AZ552" s="690"/>
      <c r="BA552" s="690"/>
      <c r="BB552" s="695"/>
      <c r="BC552" s="695"/>
      <c r="BD552" s="695"/>
      <c r="BE552" s="695"/>
      <c r="BF552" s="692"/>
      <c r="BG552" s="692"/>
      <c r="BH552" s="692"/>
      <c r="BI552" s="692"/>
      <c r="BJ552" s="692"/>
      <c r="BK552" s="692"/>
      <c r="BL552" s="693"/>
      <c r="BM552" s="693"/>
      <c r="BN552" s="688"/>
      <c r="BO552" s="693"/>
      <c r="BP552" s="689"/>
      <c r="BQ552" s="694"/>
      <c r="BR552" s="687"/>
      <c r="BS552" s="687"/>
      <c r="BT552" s="687"/>
      <c r="BU552" s="687"/>
      <c r="BV552" s="687"/>
      <c r="BW552" s="688"/>
      <c r="BX552" s="688"/>
      <c r="BY552" s="689"/>
      <c r="BZ552" s="690"/>
      <c r="CA552" s="690"/>
      <c r="CB552" s="690"/>
      <c r="CC552" s="691"/>
      <c r="CD552" s="691"/>
      <c r="CE552" s="692"/>
      <c r="CF552" s="692"/>
      <c r="CG552" s="692"/>
      <c r="CH552" s="693"/>
    </row>
    <row r="553">
      <c r="B553" s="687"/>
      <c r="C553" s="687"/>
      <c r="D553" s="688"/>
      <c r="E553" s="689"/>
      <c r="F553" s="690"/>
      <c r="G553" s="690"/>
      <c r="H553" s="690"/>
      <c r="I553" s="691"/>
      <c r="J553" s="691"/>
      <c r="K553" s="691"/>
      <c r="L553" s="692"/>
      <c r="M553" s="692"/>
      <c r="N553" s="692"/>
      <c r="O553" s="693"/>
      <c r="P553" s="688"/>
      <c r="Q553" s="688"/>
      <c r="R553" s="688"/>
      <c r="S553" s="688"/>
      <c r="T553" s="689"/>
      <c r="U553" s="689"/>
      <c r="V553" s="694"/>
      <c r="W553" s="694"/>
      <c r="X553" s="694"/>
      <c r="Y553" s="694"/>
      <c r="Z553" s="693"/>
      <c r="AA553" s="693"/>
      <c r="AB553" s="693"/>
      <c r="AC553" s="693"/>
      <c r="AD553" s="688"/>
      <c r="AE553" s="689"/>
      <c r="AF553" s="689"/>
      <c r="AG553" s="690"/>
      <c r="AH553" s="690"/>
      <c r="AI553" s="695"/>
      <c r="AJ553" s="695"/>
      <c r="AK553" s="692"/>
      <c r="AL553" s="692"/>
      <c r="AM553" s="693"/>
      <c r="AN553" s="688"/>
      <c r="AO553" s="688"/>
      <c r="AP553" s="688"/>
      <c r="AQ553" s="688"/>
      <c r="AR553" s="688"/>
      <c r="AS553" s="688"/>
      <c r="AT553" s="689"/>
      <c r="AU553" s="689"/>
      <c r="AV553" s="690"/>
      <c r="AW553" s="690"/>
      <c r="AX553" s="690"/>
      <c r="AY553" s="690"/>
      <c r="AZ553" s="690"/>
      <c r="BA553" s="690"/>
      <c r="BB553" s="695"/>
      <c r="BC553" s="695"/>
      <c r="BD553" s="695"/>
      <c r="BE553" s="695"/>
      <c r="BF553" s="692"/>
      <c r="BG553" s="692"/>
      <c r="BH553" s="692"/>
      <c r="BI553" s="692"/>
      <c r="BJ553" s="692"/>
      <c r="BK553" s="692"/>
      <c r="BL553" s="693"/>
      <c r="BM553" s="693"/>
      <c r="BN553" s="688"/>
      <c r="BO553" s="693"/>
      <c r="BP553" s="689"/>
      <c r="BQ553" s="694"/>
      <c r="BR553" s="687"/>
      <c r="BS553" s="687"/>
      <c r="BT553" s="687"/>
      <c r="BU553" s="687"/>
      <c r="BV553" s="687"/>
      <c r="BW553" s="688"/>
      <c r="BX553" s="688"/>
      <c r="BY553" s="689"/>
      <c r="BZ553" s="690"/>
      <c r="CA553" s="690"/>
      <c r="CB553" s="690"/>
      <c r="CC553" s="691"/>
      <c r="CD553" s="691"/>
      <c r="CE553" s="692"/>
      <c r="CF553" s="692"/>
      <c r="CG553" s="692"/>
      <c r="CH553" s="693"/>
    </row>
    <row r="554">
      <c r="B554" s="687"/>
      <c r="C554" s="687"/>
      <c r="D554" s="688"/>
      <c r="E554" s="689"/>
      <c r="F554" s="690"/>
      <c r="G554" s="690"/>
      <c r="H554" s="690"/>
      <c r="I554" s="691"/>
      <c r="J554" s="691"/>
      <c r="K554" s="691"/>
      <c r="L554" s="692"/>
      <c r="M554" s="692"/>
      <c r="N554" s="692"/>
      <c r="O554" s="693"/>
      <c r="P554" s="688"/>
      <c r="Q554" s="688"/>
      <c r="R554" s="688"/>
      <c r="S554" s="688"/>
      <c r="T554" s="689"/>
      <c r="U554" s="689"/>
      <c r="V554" s="694"/>
      <c r="W554" s="694"/>
      <c r="X554" s="694"/>
      <c r="Y554" s="694"/>
      <c r="Z554" s="693"/>
      <c r="AA554" s="693"/>
      <c r="AB554" s="693"/>
      <c r="AC554" s="693"/>
      <c r="AD554" s="688"/>
      <c r="AE554" s="689"/>
      <c r="AF554" s="689"/>
      <c r="AG554" s="690"/>
      <c r="AH554" s="690"/>
      <c r="AI554" s="695"/>
      <c r="AJ554" s="695"/>
      <c r="AK554" s="692"/>
      <c r="AL554" s="692"/>
      <c r="AM554" s="693"/>
      <c r="AN554" s="688"/>
      <c r="AO554" s="688"/>
      <c r="AP554" s="688"/>
      <c r="AQ554" s="688"/>
      <c r="AR554" s="688"/>
      <c r="AS554" s="688"/>
      <c r="AT554" s="689"/>
      <c r="AU554" s="689"/>
      <c r="AV554" s="690"/>
      <c r="AW554" s="690"/>
      <c r="AX554" s="690"/>
      <c r="AY554" s="690"/>
      <c r="AZ554" s="690"/>
      <c r="BA554" s="690"/>
      <c r="BB554" s="695"/>
      <c r="BC554" s="695"/>
      <c r="BD554" s="695"/>
      <c r="BE554" s="695"/>
      <c r="BF554" s="692"/>
      <c r="BG554" s="692"/>
      <c r="BH554" s="692"/>
      <c r="BI554" s="692"/>
      <c r="BJ554" s="692"/>
      <c r="BK554" s="692"/>
      <c r="BL554" s="693"/>
      <c r="BM554" s="693"/>
      <c r="BN554" s="688"/>
      <c r="BO554" s="693"/>
      <c r="BP554" s="689"/>
      <c r="BQ554" s="694"/>
      <c r="BR554" s="687"/>
      <c r="BS554" s="687"/>
      <c r="BT554" s="687"/>
      <c r="BU554" s="687"/>
      <c r="BV554" s="687"/>
      <c r="BW554" s="688"/>
      <c r="BX554" s="688"/>
      <c r="BY554" s="689"/>
      <c r="BZ554" s="690"/>
      <c r="CA554" s="690"/>
      <c r="CB554" s="690"/>
      <c r="CC554" s="691"/>
      <c r="CD554" s="691"/>
      <c r="CE554" s="692"/>
      <c r="CF554" s="692"/>
      <c r="CG554" s="692"/>
      <c r="CH554" s="693"/>
    </row>
    <row r="555">
      <c r="B555" s="687"/>
      <c r="C555" s="687"/>
      <c r="D555" s="688"/>
      <c r="E555" s="689"/>
      <c r="F555" s="690"/>
      <c r="G555" s="690"/>
      <c r="H555" s="690"/>
      <c r="I555" s="691"/>
      <c r="J555" s="691"/>
      <c r="K555" s="691"/>
      <c r="L555" s="692"/>
      <c r="M555" s="692"/>
      <c r="N555" s="692"/>
      <c r="O555" s="693"/>
      <c r="P555" s="688"/>
      <c r="Q555" s="688"/>
      <c r="R555" s="688"/>
      <c r="S555" s="688"/>
      <c r="T555" s="689"/>
      <c r="U555" s="689"/>
      <c r="V555" s="694"/>
      <c r="W555" s="694"/>
      <c r="X555" s="694"/>
      <c r="Y555" s="694"/>
      <c r="Z555" s="693"/>
      <c r="AA555" s="693"/>
      <c r="AB555" s="693"/>
      <c r="AC555" s="693"/>
      <c r="AD555" s="688"/>
      <c r="AE555" s="689"/>
      <c r="AF555" s="689"/>
      <c r="AG555" s="690"/>
      <c r="AH555" s="690"/>
      <c r="AI555" s="695"/>
      <c r="AJ555" s="695"/>
      <c r="AK555" s="692"/>
      <c r="AL555" s="692"/>
      <c r="AM555" s="693"/>
      <c r="AN555" s="688"/>
      <c r="AO555" s="688"/>
      <c r="AP555" s="688"/>
      <c r="AQ555" s="688"/>
      <c r="AR555" s="688"/>
      <c r="AS555" s="688"/>
      <c r="AT555" s="689"/>
      <c r="AU555" s="689"/>
      <c r="AV555" s="690"/>
      <c r="AW555" s="690"/>
      <c r="AX555" s="690"/>
      <c r="AY555" s="690"/>
      <c r="AZ555" s="690"/>
      <c r="BA555" s="690"/>
      <c r="BB555" s="695"/>
      <c r="BC555" s="695"/>
      <c r="BD555" s="695"/>
      <c r="BE555" s="695"/>
      <c r="BF555" s="692"/>
      <c r="BG555" s="692"/>
      <c r="BH555" s="692"/>
      <c r="BI555" s="692"/>
      <c r="BJ555" s="692"/>
      <c r="BK555" s="692"/>
      <c r="BL555" s="693"/>
      <c r="BM555" s="693"/>
      <c r="BN555" s="688"/>
      <c r="BO555" s="693"/>
      <c r="BP555" s="689"/>
      <c r="BQ555" s="694"/>
      <c r="BR555" s="687"/>
      <c r="BS555" s="687"/>
      <c r="BT555" s="687"/>
      <c r="BU555" s="687"/>
      <c r="BV555" s="687"/>
      <c r="BW555" s="688"/>
      <c r="BX555" s="688"/>
      <c r="BY555" s="689"/>
      <c r="BZ555" s="690"/>
      <c r="CA555" s="690"/>
      <c r="CB555" s="690"/>
      <c r="CC555" s="691"/>
      <c r="CD555" s="691"/>
      <c r="CE555" s="692"/>
      <c r="CF555" s="692"/>
      <c r="CG555" s="692"/>
      <c r="CH555" s="693"/>
    </row>
    <row r="556">
      <c r="B556" s="687"/>
      <c r="C556" s="687"/>
      <c r="D556" s="688"/>
      <c r="E556" s="689"/>
      <c r="F556" s="690"/>
      <c r="G556" s="690"/>
      <c r="H556" s="690"/>
      <c r="I556" s="691"/>
      <c r="J556" s="691"/>
      <c r="K556" s="691"/>
      <c r="L556" s="692"/>
      <c r="M556" s="692"/>
      <c r="N556" s="692"/>
      <c r="O556" s="693"/>
      <c r="P556" s="688"/>
      <c r="Q556" s="688"/>
      <c r="R556" s="688"/>
      <c r="S556" s="688"/>
      <c r="T556" s="689"/>
      <c r="U556" s="689"/>
      <c r="V556" s="694"/>
      <c r="W556" s="694"/>
      <c r="X556" s="694"/>
      <c r="Y556" s="694"/>
      <c r="Z556" s="693"/>
      <c r="AA556" s="693"/>
      <c r="AB556" s="693"/>
      <c r="AC556" s="693"/>
      <c r="AD556" s="688"/>
      <c r="AE556" s="689"/>
      <c r="AF556" s="689"/>
      <c r="AG556" s="690"/>
      <c r="AH556" s="690"/>
      <c r="AI556" s="695"/>
      <c r="AJ556" s="695"/>
      <c r="AK556" s="692"/>
      <c r="AL556" s="692"/>
      <c r="AM556" s="693"/>
      <c r="AN556" s="688"/>
      <c r="AO556" s="688"/>
      <c r="AP556" s="688"/>
      <c r="AQ556" s="688"/>
      <c r="AR556" s="688"/>
      <c r="AS556" s="688"/>
      <c r="AT556" s="689"/>
      <c r="AU556" s="689"/>
      <c r="AV556" s="690"/>
      <c r="AW556" s="690"/>
      <c r="AX556" s="690"/>
      <c r="AY556" s="690"/>
      <c r="AZ556" s="690"/>
      <c r="BA556" s="690"/>
      <c r="BB556" s="695"/>
      <c r="BC556" s="695"/>
      <c r="BD556" s="695"/>
      <c r="BE556" s="695"/>
      <c r="BF556" s="692"/>
      <c r="BG556" s="692"/>
      <c r="BH556" s="692"/>
      <c r="BI556" s="692"/>
      <c r="BJ556" s="692"/>
      <c r="BK556" s="692"/>
      <c r="BL556" s="693"/>
      <c r="BM556" s="693"/>
      <c r="BN556" s="688"/>
      <c r="BO556" s="693"/>
      <c r="BP556" s="689"/>
      <c r="BQ556" s="694"/>
      <c r="BR556" s="687"/>
      <c r="BS556" s="687"/>
      <c r="BT556" s="687"/>
      <c r="BU556" s="687"/>
      <c r="BV556" s="687"/>
      <c r="BW556" s="688"/>
      <c r="BX556" s="688"/>
      <c r="BY556" s="689"/>
      <c r="BZ556" s="690"/>
      <c r="CA556" s="690"/>
      <c r="CB556" s="690"/>
      <c r="CC556" s="691"/>
      <c r="CD556" s="691"/>
      <c r="CE556" s="692"/>
      <c r="CF556" s="692"/>
      <c r="CG556" s="692"/>
      <c r="CH556" s="693"/>
    </row>
    <row r="557">
      <c r="B557" s="687"/>
      <c r="C557" s="687"/>
      <c r="D557" s="688"/>
      <c r="E557" s="689"/>
      <c r="F557" s="690"/>
      <c r="G557" s="690"/>
      <c r="H557" s="690"/>
      <c r="I557" s="691"/>
      <c r="J557" s="691"/>
      <c r="K557" s="691"/>
      <c r="L557" s="692"/>
      <c r="M557" s="692"/>
      <c r="N557" s="692"/>
      <c r="O557" s="693"/>
      <c r="P557" s="688"/>
      <c r="Q557" s="688"/>
      <c r="R557" s="688"/>
      <c r="S557" s="688"/>
      <c r="T557" s="689"/>
      <c r="U557" s="689"/>
      <c r="V557" s="694"/>
      <c r="W557" s="694"/>
      <c r="X557" s="694"/>
      <c r="Y557" s="694"/>
      <c r="Z557" s="693"/>
      <c r="AA557" s="693"/>
      <c r="AB557" s="693"/>
      <c r="AC557" s="693"/>
      <c r="AD557" s="688"/>
      <c r="AE557" s="689"/>
      <c r="AF557" s="689"/>
      <c r="AG557" s="690"/>
      <c r="AH557" s="690"/>
      <c r="AI557" s="695"/>
      <c r="AJ557" s="695"/>
      <c r="AK557" s="692"/>
      <c r="AL557" s="692"/>
      <c r="AM557" s="693"/>
      <c r="AN557" s="688"/>
      <c r="AO557" s="688"/>
      <c r="AP557" s="688"/>
      <c r="AQ557" s="688"/>
      <c r="AR557" s="688"/>
      <c r="AS557" s="688"/>
      <c r="AT557" s="689"/>
      <c r="AU557" s="689"/>
      <c r="AV557" s="690"/>
      <c r="AW557" s="690"/>
      <c r="AX557" s="690"/>
      <c r="AY557" s="690"/>
      <c r="AZ557" s="690"/>
      <c r="BA557" s="690"/>
      <c r="BB557" s="695"/>
      <c r="BC557" s="695"/>
      <c r="BD557" s="695"/>
      <c r="BE557" s="695"/>
      <c r="BF557" s="692"/>
      <c r="BG557" s="692"/>
      <c r="BH557" s="692"/>
      <c r="BI557" s="692"/>
      <c r="BJ557" s="692"/>
      <c r="BK557" s="692"/>
      <c r="BL557" s="693"/>
      <c r="BM557" s="693"/>
      <c r="BN557" s="688"/>
      <c r="BO557" s="693"/>
      <c r="BP557" s="689"/>
      <c r="BQ557" s="694"/>
      <c r="BR557" s="687"/>
      <c r="BS557" s="687"/>
      <c r="BT557" s="687"/>
      <c r="BU557" s="687"/>
      <c r="BV557" s="687"/>
      <c r="BW557" s="688"/>
      <c r="BX557" s="688"/>
      <c r="BY557" s="689"/>
      <c r="BZ557" s="690"/>
      <c r="CA557" s="690"/>
      <c r="CB557" s="690"/>
      <c r="CC557" s="691"/>
      <c r="CD557" s="691"/>
      <c r="CE557" s="692"/>
      <c r="CF557" s="692"/>
      <c r="CG557" s="692"/>
      <c r="CH557" s="693"/>
    </row>
    <row r="558">
      <c r="B558" s="687"/>
      <c r="C558" s="687"/>
      <c r="D558" s="688"/>
      <c r="E558" s="689"/>
      <c r="F558" s="690"/>
      <c r="G558" s="690"/>
      <c r="H558" s="690"/>
      <c r="I558" s="691"/>
      <c r="J558" s="691"/>
      <c r="K558" s="691"/>
      <c r="L558" s="692"/>
      <c r="M558" s="692"/>
      <c r="N558" s="692"/>
      <c r="O558" s="693"/>
      <c r="P558" s="688"/>
      <c r="Q558" s="688"/>
      <c r="R558" s="688"/>
      <c r="S558" s="688"/>
      <c r="T558" s="689"/>
      <c r="U558" s="689"/>
      <c r="V558" s="694"/>
      <c r="W558" s="694"/>
      <c r="X558" s="694"/>
      <c r="Y558" s="694"/>
      <c r="Z558" s="693"/>
      <c r="AA558" s="693"/>
      <c r="AB558" s="693"/>
      <c r="AC558" s="693"/>
      <c r="AD558" s="688"/>
      <c r="AE558" s="689"/>
      <c r="AF558" s="689"/>
      <c r="AG558" s="690"/>
      <c r="AH558" s="690"/>
      <c r="AI558" s="695"/>
      <c r="AJ558" s="695"/>
      <c r="AK558" s="692"/>
      <c r="AL558" s="692"/>
      <c r="AM558" s="693"/>
      <c r="AN558" s="688"/>
      <c r="AO558" s="688"/>
      <c r="AP558" s="688"/>
      <c r="AQ558" s="688"/>
      <c r="AR558" s="688"/>
      <c r="AS558" s="688"/>
      <c r="AT558" s="689"/>
      <c r="AU558" s="689"/>
      <c r="AV558" s="690"/>
      <c r="AW558" s="690"/>
      <c r="AX558" s="690"/>
      <c r="AY558" s="690"/>
      <c r="AZ558" s="690"/>
      <c r="BA558" s="690"/>
      <c r="BB558" s="695"/>
      <c r="BC558" s="695"/>
      <c r="BD558" s="695"/>
      <c r="BE558" s="695"/>
      <c r="BF558" s="692"/>
      <c r="BG558" s="692"/>
      <c r="BH558" s="692"/>
      <c r="BI558" s="692"/>
      <c r="BJ558" s="692"/>
      <c r="BK558" s="692"/>
      <c r="BL558" s="693"/>
      <c r="BM558" s="693"/>
      <c r="BN558" s="688"/>
      <c r="BO558" s="693"/>
      <c r="BP558" s="689"/>
      <c r="BQ558" s="694"/>
      <c r="BR558" s="687"/>
      <c r="BS558" s="687"/>
      <c r="BT558" s="687"/>
      <c r="BU558" s="687"/>
      <c r="BV558" s="687"/>
      <c r="BW558" s="688"/>
      <c r="BX558" s="688"/>
      <c r="BY558" s="689"/>
      <c r="BZ558" s="690"/>
      <c r="CA558" s="690"/>
      <c r="CB558" s="690"/>
      <c r="CC558" s="691"/>
      <c r="CD558" s="691"/>
      <c r="CE558" s="692"/>
      <c r="CF558" s="692"/>
      <c r="CG558" s="692"/>
      <c r="CH558" s="693"/>
    </row>
    <row r="559">
      <c r="B559" s="687"/>
      <c r="C559" s="687"/>
      <c r="D559" s="688"/>
      <c r="E559" s="689"/>
      <c r="F559" s="690"/>
      <c r="G559" s="690"/>
      <c r="H559" s="690"/>
      <c r="I559" s="691"/>
      <c r="J559" s="691"/>
      <c r="K559" s="691"/>
      <c r="L559" s="692"/>
      <c r="M559" s="692"/>
      <c r="N559" s="692"/>
      <c r="O559" s="693"/>
      <c r="P559" s="688"/>
      <c r="Q559" s="688"/>
      <c r="R559" s="688"/>
      <c r="S559" s="688"/>
      <c r="T559" s="689"/>
      <c r="U559" s="689"/>
      <c r="V559" s="694"/>
      <c r="W559" s="694"/>
      <c r="X559" s="694"/>
      <c r="Y559" s="694"/>
      <c r="Z559" s="693"/>
      <c r="AA559" s="693"/>
      <c r="AB559" s="693"/>
      <c r="AC559" s="693"/>
      <c r="AD559" s="688"/>
      <c r="AE559" s="689"/>
      <c r="AF559" s="689"/>
      <c r="AG559" s="690"/>
      <c r="AH559" s="690"/>
      <c r="AI559" s="695"/>
      <c r="AJ559" s="695"/>
      <c r="AK559" s="692"/>
      <c r="AL559" s="692"/>
      <c r="AM559" s="693"/>
      <c r="AN559" s="688"/>
      <c r="AO559" s="688"/>
      <c r="AP559" s="688"/>
      <c r="AQ559" s="688"/>
      <c r="AR559" s="688"/>
      <c r="AS559" s="688"/>
      <c r="AT559" s="689"/>
      <c r="AU559" s="689"/>
      <c r="AV559" s="690"/>
      <c r="AW559" s="690"/>
      <c r="AX559" s="690"/>
      <c r="AY559" s="690"/>
      <c r="AZ559" s="690"/>
      <c r="BA559" s="690"/>
      <c r="BB559" s="695"/>
      <c r="BC559" s="695"/>
      <c r="BD559" s="695"/>
      <c r="BE559" s="695"/>
      <c r="BF559" s="692"/>
      <c r="BG559" s="692"/>
      <c r="BH559" s="692"/>
      <c r="BI559" s="692"/>
      <c r="BJ559" s="692"/>
      <c r="BK559" s="692"/>
      <c r="BL559" s="693"/>
      <c r="BM559" s="693"/>
      <c r="BN559" s="688"/>
      <c r="BO559" s="693"/>
      <c r="BP559" s="689"/>
      <c r="BQ559" s="694"/>
      <c r="BR559" s="687"/>
      <c r="BS559" s="687"/>
      <c r="BT559" s="687"/>
      <c r="BU559" s="687"/>
      <c r="BV559" s="687"/>
      <c r="BW559" s="688"/>
      <c r="BX559" s="688"/>
      <c r="BY559" s="689"/>
      <c r="BZ559" s="690"/>
      <c r="CA559" s="690"/>
      <c r="CB559" s="690"/>
      <c r="CC559" s="691"/>
      <c r="CD559" s="691"/>
      <c r="CE559" s="692"/>
      <c r="CF559" s="692"/>
      <c r="CG559" s="692"/>
      <c r="CH559" s="693"/>
    </row>
    <row r="560">
      <c r="B560" s="687"/>
      <c r="C560" s="687"/>
      <c r="D560" s="688"/>
      <c r="E560" s="689"/>
      <c r="F560" s="690"/>
      <c r="G560" s="690"/>
      <c r="H560" s="690"/>
      <c r="I560" s="691"/>
      <c r="J560" s="691"/>
      <c r="K560" s="691"/>
      <c r="L560" s="692"/>
      <c r="M560" s="692"/>
      <c r="N560" s="692"/>
      <c r="O560" s="693"/>
      <c r="P560" s="688"/>
      <c r="Q560" s="688"/>
      <c r="R560" s="688"/>
      <c r="S560" s="688"/>
      <c r="T560" s="689"/>
      <c r="U560" s="689"/>
      <c r="V560" s="694"/>
      <c r="W560" s="694"/>
      <c r="X560" s="694"/>
      <c r="Y560" s="694"/>
      <c r="Z560" s="693"/>
      <c r="AA560" s="693"/>
      <c r="AB560" s="693"/>
      <c r="AC560" s="693"/>
      <c r="AD560" s="688"/>
      <c r="AE560" s="689"/>
      <c r="AF560" s="689"/>
      <c r="AG560" s="690"/>
      <c r="AH560" s="690"/>
      <c r="AI560" s="695"/>
      <c r="AJ560" s="695"/>
      <c r="AK560" s="692"/>
      <c r="AL560" s="692"/>
      <c r="AM560" s="693"/>
      <c r="AN560" s="688"/>
      <c r="AO560" s="688"/>
      <c r="AP560" s="688"/>
      <c r="AQ560" s="688"/>
      <c r="AR560" s="688"/>
      <c r="AS560" s="688"/>
      <c r="AT560" s="689"/>
      <c r="AU560" s="689"/>
      <c r="AV560" s="690"/>
      <c r="AW560" s="690"/>
      <c r="AX560" s="690"/>
      <c r="AY560" s="690"/>
      <c r="AZ560" s="690"/>
      <c r="BA560" s="690"/>
      <c r="BB560" s="695"/>
      <c r="BC560" s="695"/>
      <c r="BD560" s="695"/>
      <c r="BE560" s="695"/>
      <c r="BF560" s="692"/>
      <c r="BG560" s="692"/>
      <c r="BH560" s="692"/>
      <c r="BI560" s="692"/>
      <c r="BJ560" s="692"/>
      <c r="BK560" s="692"/>
      <c r="BL560" s="693"/>
      <c r="BM560" s="693"/>
      <c r="BN560" s="688"/>
      <c r="BO560" s="693"/>
      <c r="BP560" s="689"/>
      <c r="BQ560" s="694"/>
      <c r="BR560" s="687"/>
      <c r="BS560" s="687"/>
      <c r="BT560" s="687"/>
      <c r="BU560" s="687"/>
      <c r="BV560" s="687"/>
      <c r="BW560" s="688"/>
      <c r="BX560" s="688"/>
      <c r="BY560" s="689"/>
      <c r="BZ560" s="690"/>
      <c r="CA560" s="690"/>
      <c r="CB560" s="690"/>
      <c r="CC560" s="691"/>
      <c r="CD560" s="691"/>
      <c r="CE560" s="692"/>
      <c r="CF560" s="692"/>
      <c r="CG560" s="692"/>
      <c r="CH560" s="693"/>
    </row>
    <row r="561">
      <c r="B561" s="687"/>
      <c r="C561" s="687"/>
      <c r="D561" s="688"/>
      <c r="E561" s="689"/>
      <c r="F561" s="690"/>
      <c r="G561" s="690"/>
      <c r="H561" s="690"/>
      <c r="I561" s="691"/>
      <c r="J561" s="691"/>
      <c r="K561" s="691"/>
      <c r="L561" s="692"/>
      <c r="M561" s="692"/>
      <c r="N561" s="692"/>
      <c r="O561" s="693"/>
      <c r="P561" s="688"/>
      <c r="Q561" s="688"/>
      <c r="R561" s="688"/>
      <c r="S561" s="688"/>
      <c r="T561" s="689"/>
      <c r="U561" s="689"/>
      <c r="V561" s="694"/>
      <c r="W561" s="694"/>
      <c r="X561" s="694"/>
      <c r="Y561" s="694"/>
      <c r="Z561" s="693"/>
      <c r="AA561" s="693"/>
      <c r="AB561" s="693"/>
      <c r="AC561" s="693"/>
      <c r="AD561" s="688"/>
      <c r="AE561" s="689"/>
      <c r="AF561" s="689"/>
      <c r="AG561" s="690"/>
      <c r="AH561" s="690"/>
      <c r="AI561" s="695"/>
      <c r="AJ561" s="695"/>
      <c r="AK561" s="692"/>
      <c r="AL561" s="692"/>
      <c r="AM561" s="693"/>
      <c r="AN561" s="688"/>
      <c r="AO561" s="688"/>
      <c r="AP561" s="688"/>
      <c r="AQ561" s="688"/>
      <c r="AR561" s="688"/>
      <c r="AS561" s="688"/>
      <c r="AT561" s="689"/>
      <c r="AU561" s="689"/>
      <c r="AV561" s="690"/>
      <c r="AW561" s="690"/>
      <c r="AX561" s="690"/>
      <c r="AY561" s="690"/>
      <c r="AZ561" s="690"/>
      <c r="BA561" s="690"/>
      <c r="BB561" s="695"/>
      <c r="BC561" s="695"/>
      <c r="BD561" s="695"/>
      <c r="BE561" s="695"/>
      <c r="BF561" s="692"/>
      <c r="BG561" s="692"/>
      <c r="BH561" s="692"/>
      <c r="BI561" s="692"/>
      <c r="BJ561" s="692"/>
      <c r="BK561" s="692"/>
      <c r="BL561" s="693"/>
      <c r="BM561" s="693"/>
      <c r="BN561" s="688"/>
      <c r="BO561" s="693"/>
      <c r="BP561" s="689"/>
      <c r="BQ561" s="694"/>
      <c r="BR561" s="687"/>
      <c r="BS561" s="687"/>
      <c r="BT561" s="687"/>
      <c r="BU561" s="687"/>
      <c r="BV561" s="687"/>
      <c r="BW561" s="688"/>
      <c r="BX561" s="688"/>
      <c r="BY561" s="689"/>
      <c r="BZ561" s="690"/>
      <c r="CA561" s="690"/>
      <c r="CB561" s="690"/>
      <c r="CC561" s="691"/>
      <c r="CD561" s="691"/>
      <c r="CE561" s="692"/>
      <c r="CF561" s="692"/>
      <c r="CG561" s="692"/>
      <c r="CH561" s="693"/>
    </row>
    <row r="562">
      <c r="B562" s="687"/>
      <c r="C562" s="687"/>
      <c r="D562" s="688"/>
      <c r="E562" s="689"/>
      <c r="F562" s="690"/>
      <c r="G562" s="690"/>
      <c r="H562" s="690"/>
      <c r="I562" s="691"/>
      <c r="J562" s="691"/>
      <c r="K562" s="691"/>
      <c r="L562" s="692"/>
      <c r="M562" s="692"/>
      <c r="N562" s="692"/>
      <c r="O562" s="693"/>
      <c r="P562" s="688"/>
      <c r="Q562" s="688"/>
      <c r="R562" s="688"/>
      <c r="S562" s="688"/>
      <c r="T562" s="689"/>
      <c r="U562" s="689"/>
      <c r="V562" s="694"/>
      <c r="W562" s="694"/>
      <c r="X562" s="694"/>
      <c r="Y562" s="694"/>
      <c r="Z562" s="693"/>
      <c r="AA562" s="693"/>
      <c r="AB562" s="693"/>
      <c r="AC562" s="693"/>
      <c r="AD562" s="688"/>
      <c r="AE562" s="689"/>
      <c r="AF562" s="689"/>
      <c r="AG562" s="690"/>
      <c r="AH562" s="690"/>
      <c r="AI562" s="695"/>
      <c r="AJ562" s="695"/>
      <c r="AK562" s="692"/>
      <c r="AL562" s="692"/>
      <c r="AM562" s="693"/>
      <c r="AN562" s="688"/>
      <c r="AO562" s="688"/>
      <c r="AP562" s="688"/>
      <c r="AQ562" s="688"/>
      <c r="AR562" s="688"/>
      <c r="AS562" s="688"/>
      <c r="AT562" s="689"/>
      <c r="AU562" s="689"/>
      <c r="AV562" s="690"/>
      <c r="AW562" s="690"/>
      <c r="AX562" s="690"/>
      <c r="AY562" s="690"/>
      <c r="AZ562" s="690"/>
      <c r="BA562" s="690"/>
      <c r="BB562" s="695"/>
      <c r="BC562" s="695"/>
      <c r="BD562" s="695"/>
      <c r="BE562" s="695"/>
      <c r="BF562" s="692"/>
      <c r="BG562" s="692"/>
      <c r="BH562" s="692"/>
      <c r="BI562" s="692"/>
      <c r="BJ562" s="692"/>
      <c r="BK562" s="692"/>
      <c r="BL562" s="693"/>
      <c r="BM562" s="693"/>
      <c r="BN562" s="688"/>
      <c r="BO562" s="693"/>
      <c r="BP562" s="689"/>
      <c r="BQ562" s="694"/>
      <c r="BR562" s="687"/>
      <c r="BS562" s="687"/>
      <c r="BT562" s="687"/>
      <c r="BU562" s="687"/>
      <c r="BV562" s="687"/>
      <c r="BW562" s="688"/>
      <c r="BX562" s="688"/>
      <c r="BY562" s="689"/>
      <c r="BZ562" s="690"/>
      <c r="CA562" s="690"/>
      <c r="CB562" s="690"/>
      <c r="CC562" s="691"/>
      <c r="CD562" s="691"/>
      <c r="CE562" s="692"/>
      <c r="CF562" s="692"/>
      <c r="CG562" s="692"/>
      <c r="CH562" s="693"/>
    </row>
    <row r="563">
      <c r="B563" s="687"/>
      <c r="C563" s="687"/>
      <c r="D563" s="688"/>
      <c r="E563" s="689"/>
      <c r="F563" s="690"/>
      <c r="G563" s="690"/>
      <c r="H563" s="690"/>
      <c r="I563" s="691"/>
      <c r="J563" s="691"/>
      <c r="K563" s="691"/>
      <c r="L563" s="692"/>
      <c r="M563" s="692"/>
      <c r="N563" s="692"/>
      <c r="O563" s="693"/>
      <c r="P563" s="688"/>
      <c r="Q563" s="688"/>
      <c r="R563" s="688"/>
      <c r="S563" s="688"/>
      <c r="T563" s="689"/>
      <c r="U563" s="689"/>
      <c r="V563" s="694"/>
      <c r="W563" s="694"/>
      <c r="X563" s="694"/>
      <c r="Y563" s="694"/>
      <c r="Z563" s="693"/>
      <c r="AA563" s="693"/>
      <c r="AB563" s="693"/>
      <c r="AC563" s="693"/>
      <c r="AD563" s="688"/>
      <c r="AE563" s="689"/>
      <c r="AF563" s="689"/>
      <c r="AG563" s="690"/>
      <c r="AH563" s="690"/>
      <c r="AI563" s="695"/>
      <c r="AJ563" s="695"/>
      <c r="AK563" s="692"/>
      <c r="AL563" s="692"/>
      <c r="AM563" s="693"/>
      <c r="AN563" s="688"/>
      <c r="AO563" s="688"/>
      <c r="AP563" s="688"/>
      <c r="AQ563" s="688"/>
      <c r="AR563" s="688"/>
      <c r="AS563" s="688"/>
      <c r="AT563" s="689"/>
      <c r="AU563" s="689"/>
      <c r="AV563" s="690"/>
      <c r="AW563" s="690"/>
      <c r="AX563" s="690"/>
      <c r="AY563" s="690"/>
      <c r="AZ563" s="690"/>
      <c r="BA563" s="690"/>
      <c r="BB563" s="695"/>
      <c r="BC563" s="695"/>
      <c r="BD563" s="695"/>
      <c r="BE563" s="695"/>
      <c r="BF563" s="692"/>
      <c r="BG563" s="692"/>
      <c r="BH563" s="692"/>
      <c r="BI563" s="692"/>
      <c r="BJ563" s="692"/>
      <c r="BK563" s="692"/>
      <c r="BL563" s="693"/>
      <c r="BM563" s="693"/>
      <c r="BN563" s="688"/>
      <c r="BO563" s="693"/>
      <c r="BP563" s="689"/>
      <c r="BQ563" s="694"/>
      <c r="BR563" s="687"/>
      <c r="BS563" s="687"/>
      <c r="BT563" s="687"/>
      <c r="BU563" s="687"/>
      <c r="BV563" s="687"/>
      <c r="BW563" s="688"/>
      <c r="BX563" s="688"/>
      <c r="BY563" s="689"/>
      <c r="BZ563" s="690"/>
      <c r="CA563" s="690"/>
      <c r="CB563" s="690"/>
      <c r="CC563" s="691"/>
      <c r="CD563" s="691"/>
      <c r="CE563" s="692"/>
      <c r="CF563" s="692"/>
      <c r="CG563" s="692"/>
      <c r="CH563" s="693"/>
    </row>
    <row r="564">
      <c r="B564" s="687"/>
      <c r="C564" s="687"/>
      <c r="D564" s="688"/>
      <c r="E564" s="689"/>
      <c r="F564" s="690"/>
      <c r="G564" s="690"/>
      <c r="H564" s="690"/>
      <c r="I564" s="691"/>
      <c r="J564" s="691"/>
      <c r="K564" s="691"/>
      <c r="L564" s="692"/>
      <c r="M564" s="692"/>
      <c r="N564" s="692"/>
      <c r="O564" s="693"/>
      <c r="P564" s="688"/>
      <c r="Q564" s="688"/>
      <c r="R564" s="688"/>
      <c r="S564" s="688"/>
      <c r="T564" s="689"/>
      <c r="U564" s="689"/>
      <c r="V564" s="694"/>
      <c r="W564" s="694"/>
      <c r="X564" s="694"/>
      <c r="Y564" s="694"/>
      <c r="Z564" s="693"/>
      <c r="AA564" s="693"/>
      <c r="AB564" s="693"/>
      <c r="AC564" s="693"/>
      <c r="AD564" s="688"/>
      <c r="AE564" s="689"/>
      <c r="AF564" s="689"/>
      <c r="AG564" s="690"/>
      <c r="AH564" s="690"/>
      <c r="AI564" s="695"/>
      <c r="AJ564" s="695"/>
      <c r="AK564" s="692"/>
      <c r="AL564" s="692"/>
      <c r="AM564" s="693"/>
      <c r="AN564" s="688"/>
      <c r="AO564" s="688"/>
      <c r="AP564" s="688"/>
      <c r="AQ564" s="688"/>
      <c r="AR564" s="688"/>
      <c r="AS564" s="688"/>
      <c r="AT564" s="689"/>
      <c r="AU564" s="689"/>
      <c r="AV564" s="690"/>
      <c r="AW564" s="690"/>
      <c r="AX564" s="690"/>
      <c r="AY564" s="690"/>
      <c r="AZ564" s="690"/>
      <c r="BA564" s="690"/>
      <c r="BB564" s="695"/>
      <c r="BC564" s="695"/>
      <c r="BD564" s="695"/>
      <c r="BE564" s="695"/>
      <c r="BF564" s="692"/>
      <c r="BG564" s="692"/>
      <c r="BH564" s="692"/>
      <c r="BI564" s="692"/>
      <c r="BJ564" s="692"/>
      <c r="BK564" s="692"/>
      <c r="BL564" s="693"/>
      <c r="BM564" s="693"/>
      <c r="BN564" s="688"/>
      <c r="BO564" s="693"/>
      <c r="BP564" s="689"/>
      <c r="BQ564" s="694"/>
      <c r="BR564" s="687"/>
      <c r="BS564" s="687"/>
      <c r="BT564" s="687"/>
      <c r="BU564" s="687"/>
      <c r="BV564" s="687"/>
      <c r="BW564" s="688"/>
      <c r="BX564" s="688"/>
      <c r="BY564" s="689"/>
      <c r="BZ564" s="690"/>
      <c r="CA564" s="690"/>
      <c r="CB564" s="690"/>
      <c r="CC564" s="691"/>
      <c r="CD564" s="691"/>
      <c r="CE564" s="692"/>
      <c r="CF564" s="692"/>
      <c r="CG564" s="692"/>
      <c r="CH564" s="693"/>
    </row>
    <row r="565">
      <c r="B565" s="687"/>
      <c r="C565" s="687"/>
      <c r="D565" s="688"/>
      <c r="E565" s="689"/>
      <c r="F565" s="690"/>
      <c r="G565" s="690"/>
      <c r="H565" s="690"/>
      <c r="I565" s="691"/>
      <c r="J565" s="691"/>
      <c r="K565" s="691"/>
      <c r="L565" s="692"/>
      <c r="M565" s="692"/>
      <c r="N565" s="692"/>
      <c r="O565" s="693"/>
      <c r="P565" s="688"/>
      <c r="Q565" s="688"/>
      <c r="R565" s="688"/>
      <c r="S565" s="688"/>
      <c r="T565" s="689"/>
      <c r="U565" s="689"/>
      <c r="V565" s="694"/>
      <c r="W565" s="694"/>
      <c r="X565" s="694"/>
      <c r="Y565" s="694"/>
      <c r="Z565" s="693"/>
      <c r="AA565" s="693"/>
      <c r="AB565" s="693"/>
      <c r="AC565" s="693"/>
      <c r="AD565" s="688"/>
      <c r="AE565" s="689"/>
      <c r="AF565" s="689"/>
      <c r="AG565" s="690"/>
      <c r="AH565" s="690"/>
      <c r="AI565" s="695"/>
      <c r="AJ565" s="695"/>
      <c r="AK565" s="692"/>
      <c r="AL565" s="692"/>
      <c r="AM565" s="693"/>
      <c r="AN565" s="688"/>
      <c r="AO565" s="688"/>
      <c r="AP565" s="688"/>
      <c r="AQ565" s="688"/>
      <c r="AR565" s="688"/>
      <c r="AS565" s="688"/>
      <c r="AT565" s="689"/>
      <c r="AU565" s="689"/>
      <c r="AV565" s="690"/>
      <c r="AW565" s="690"/>
      <c r="AX565" s="690"/>
      <c r="AY565" s="690"/>
      <c r="AZ565" s="690"/>
      <c r="BA565" s="690"/>
      <c r="BB565" s="695"/>
      <c r="BC565" s="695"/>
      <c r="BD565" s="695"/>
      <c r="BE565" s="695"/>
      <c r="BF565" s="692"/>
      <c r="BG565" s="692"/>
      <c r="BH565" s="692"/>
      <c r="BI565" s="692"/>
      <c r="BJ565" s="692"/>
      <c r="BK565" s="692"/>
      <c r="BL565" s="693"/>
      <c r="BM565" s="693"/>
      <c r="BN565" s="688"/>
      <c r="BO565" s="693"/>
      <c r="BP565" s="689"/>
      <c r="BQ565" s="694"/>
      <c r="BR565" s="687"/>
      <c r="BS565" s="687"/>
      <c r="BT565" s="687"/>
      <c r="BU565" s="687"/>
      <c r="BV565" s="687"/>
      <c r="BW565" s="688"/>
      <c r="BX565" s="688"/>
      <c r="BY565" s="689"/>
      <c r="BZ565" s="690"/>
      <c r="CA565" s="690"/>
      <c r="CB565" s="690"/>
      <c r="CC565" s="691"/>
      <c r="CD565" s="691"/>
      <c r="CE565" s="692"/>
      <c r="CF565" s="692"/>
      <c r="CG565" s="692"/>
      <c r="CH565" s="693"/>
    </row>
    <row r="566">
      <c r="B566" s="687"/>
      <c r="C566" s="687"/>
      <c r="D566" s="688"/>
      <c r="E566" s="689"/>
      <c r="F566" s="690"/>
      <c r="G566" s="690"/>
      <c r="H566" s="690"/>
      <c r="I566" s="691"/>
      <c r="J566" s="691"/>
      <c r="K566" s="691"/>
      <c r="L566" s="692"/>
      <c r="M566" s="692"/>
      <c r="N566" s="692"/>
      <c r="O566" s="693"/>
      <c r="P566" s="688"/>
      <c r="Q566" s="688"/>
      <c r="R566" s="688"/>
      <c r="S566" s="688"/>
      <c r="T566" s="689"/>
      <c r="U566" s="689"/>
      <c r="V566" s="694"/>
      <c r="W566" s="694"/>
      <c r="X566" s="694"/>
      <c r="Y566" s="694"/>
      <c r="Z566" s="693"/>
      <c r="AA566" s="693"/>
      <c r="AB566" s="693"/>
      <c r="AC566" s="693"/>
      <c r="AD566" s="688"/>
      <c r="AE566" s="689"/>
      <c r="AF566" s="689"/>
      <c r="AG566" s="690"/>
      <c r="AH566" s="690"/>
      <c r="AI566" s="695"/>
      <c r="AJ566" s="695"/>
      <c r="AK566" s="692"/>
      <c r="AL566" s="692"/>
      <c r="AM566" s="693"/>
      <c r="AN566" s="688"/>
      <c r="AO566" s="688"/>
      <c r="AP566" s="688"/>
      <c r="AQ566" s="688"/>
      <c r="AR566" s="688"/>
      <c r="AS566" s="688"/>
      <c r="AT566" s="689"/>
      <c r="AU566" s="689"/>
      <c r="AV566" s="690"/>
      <c r="AW566" s="690"/>
      <c r="AX566" s="690"/>
      <c r="AY566" s="690"/>
      <c r="AZ566" s="690"/>
      <c r="BA566" s="690"/>
      <c r="BB566" s="695"/>
      <c r="BC566" s="695"/>
      <c r="BD566" s="695"/>
      <c r="BE566" s="695"/>
      <c r="BF566" s="692"/>
      <c r="BG566" s="692"/>
      <c r="BH566" s="692"/>
      <c r="BI566" s="692"/>
      <c r="BJ566" s="692"/>
      <c r="BK566" s="692"/>
      <c r="BL566" s="693"/>
      <c r="BM566" s="693"/>
      <c r="BN566" s="688"/>
      <c r="BO566" s="693"/>
      <c r="BP566" s="689"/>
      <c r="BQ566" s="694"/>
      <c r="BR566" s="687"/>
      <c r="BS566" s="687"/>
      <c r="BT566" s="687"/>
      <c r="BU566" s="687"/>
      <c r="BV566" s="687"/>
      <c r="BW566" s="688"/>
      <c r="BX566" s="688"/>
      <c r="BY566" s="689"/>
      <c r="BZ566" s="690"/>
      <c r="CA566" s="690"/>
      <c r="CB566" s="690"/>
      <c r="CC566" s="691"/>
      <c r="CD566" s="691"/>
      <c r="CE566" s="692"/>
      <c r="CF566" s="692"/>
      <c r="CG566" s="692"/>
      <c r="CH566" s="693"/>
    </row>
    <row r="567">
      <c r="B567" s="687"/>
      <c r="C567" s="687"/>
      <c r="D567" s="688"/>
      <c r="E567" s="689"/>
      <c r="F567" s="690"/>
      <c r="G567" s="690"/>
      <c r="H567" s="690"/>
      <c r="I567" s="691"/>
      <c r="J567" s="691"/>
      <c r="K567" s="691"/>
      <c r="L567" s="692"/>
      <c r="M567" s="692"/>
      <c r="N567" s="692"/>
      <c r="O567" s="693"/>
      <c r="P567" s="688"/>
      <c r="Q567" s="688"/>
      <c r="R567" s="688"/>
      <c r="S567" s="688"/>
      <c r="T567" s="689"/>
      <c r="U567" s="689"/>
      <c r="V567" s="694"/>
      <c r="W567" s="694"/>
      <c r="X567" s="694"/>
      <c r="Y567" s="694"/>
      <c r="Z567" s="693"/>
      <c r="AA567" s="693"/>
      <c r="AB567" s="693"/>
      <c r="AC567" s="693"/>
      <c r="AD567" s="688"/>
      <c r="AE567" s="689"/>
      <c r="AF567" s="689"/>
      <c r="AG567" s="690"/>
      <c r="AH567" s="690"/>
      <c r="AI567" s="695"/>
      <c r="AJ567" s="695"/>
      <c r="AK567" s="692"/>
      <c r="AL567" s="692"/>
      <c r="AM567" s="693"/>
      <c r="AN567" s="688"/>
      <c r="AO567" s="688"/>
      <c r="AP567" s="688"/>
      <c r="AQ567" s="688"/>
      <c r="AR567" s="688"/>
      <c r="AS567" s="688"/>
      <c r="AT567" s="689"/>
      <c r="AU567" s="689"/>
      <c r="AV567" s="690"/>
      <c r="AW567" s="690"/>
      <c r="AX567" s="690"/>
      <c r="AY567" s="690"/>
      <c r="AZ567" s="690"/>
      <c r="BA567" s="690"/>
      <c r="BB567" s="695"/>
      <c r="BC567" s="695"/>
      <c r="BD567" s="695"/>
      <c r="BE567" s="695"/>
      <c r="BF567" s="692"/>
      <c r="BG567" s="692"/>
      <c r="BH567" s="692"/>
      <c r="BI567" s="692"/>
      <c r="BJ567" s="692"/>
      <c r="BK567" s="692"/>
      <c r="BL567" s="693"/>
      <c r="BM567" s="693"/>
      <c r="BN567" s="688"/>
      <c r="BO567" s="693"/>
      <c r="BP567" s="689"/>
      <c r="BQ567" s="694"/>
      <c r="BR567" s="687"/>
      <c r="BS567" s="687"/>
      <c r="BT567" s="687"/>
      <c r="BU567" s="687"/>
      <c r="BV567" s="687"/>
      <c r="BW567" s="688"/>
      <c r="BX567" s="688"/>
      <c r="BY567" s="689"/>
      <c r="BZ567" s="690"/>
      <c r="CA567" s="690"/>
      <c r="CB567" s="690"/>
      <c r="CC567" s="691"/>
      <c r="CD567" s="691"/>
      <c r="CE567" s="692"/>
      <c r="CF567" s="692"/>
      <c r="CG567" s="692"/>
      <c r="CH567" s="693"/>
    </row>
    <row r="568">
      <c r="B568" s="687"/>
      <c r="C568" s="687"/>
      <c r="D568" s="688"/>
      <c r="E568" s="689"/>
      <c r="F568" s="690"/>
      <c r="G568" s="690"/>
      <c r="H568" s="690"/>
      <c r="I568" s="691"/>
      <c r="J568" s="691"/>
      <c r="K568" s="691"/>
      <c r="L568" s="692"/>
      <c r="M568" s="692"/>
      <c r="N568" s="692"/>
      <c r="O568" s="693"/>
      <c r="P568" s="688"/>
      <c r="Q568" s="688"/>
      <c r="R568" s="688"/>
      <c r="S568" s="688"/>
      <c r="T568" s="689"/>
      <c r="U568" s="689"/>
      <c r="V568" s="694"/>
      <c r="W568" s="694"/>
      <c r="X568" s="694"/>
      <c r="Y568" s="694"/>
      <c r="Z568" s="693"/>
      <c r="AA568" s="693"/>
      <c r="AB568" s="693"/>
      <c r="AC568" s="693"/>
      <c r="AD568" s="688"/>
      <c r="AE568" s="689"/>
      <c r="AF568" s="689"/>
      <c r="AG568" s="690"/>
      <c r="AH568" s="690"/>
      <c r="AI568" s="695"/>
      <c r="AJ568" s="695"/>
      <c r="AK568" s="692"/>
      <c r="AL568" s="692"/>
      <c r="AM568" s="693"/>
      <c r="AN568" s="688"/>
      <c r="AO568" s="688"/>
      <c r="AP568" s="688"/>
      <c r="AQ568" s="688"/>
      <c r="AR568" s="688"/>
      <c r="AS568" s="688"/>
      <c r="AT568" s="689"/>
      <c r="AU568" s="689"/>
      <c r="AV568" s="690"/>
      <c r="AW568" s="690"/>
      <c r="AX568" s="690"/>
      <c r="AY568" s="690"/>
      <c r="AZ568" s="690"/>
      <c r="BA568" s="690"/>
      <c r="BB568" s="695"/>
      <c r="BC568" s="695"/>
      <c r="BD568" s="695"/>
      <c r="BE568" s="695"/>
      <c r="BF568" s="692"/>
      <c r="BG568" s="692"/>
      <c r="BH568" s="692"/>
      <c r="BI568" s="692"/>
      <c r="BJ568" s="692"/>
      <c r="BK568" s="692"/>
      <c r="BL568" s="693"/>
      <c r="BM568" s="693"/>
      <c r="BN568" s="688"/>
      <c r="BO568" s="693"/>
      <c r="BP568" s="689"/>
      <c r="BQ568" s="694"/>
      <c r="BR568" s="687"/>
      <c r="BS568" s="687"/>
      <c r="BT568" s="687"/>
      <c r="BU568" s="687"/>
      <c r="BV568" s="687"/>
      <c r="BW568" s="688"/>
      <c r="BX568" s="688"/>
      <c r="BY568" s="689"/>
      <c r="BZ568" s="690"/>
      <c r="CA568" s="690"/>
      <c r="CB568" s="690"/>
      <c r="CC568" s="691"/>
      <c r="CD568" s="691"/>
      <c r="CE568" s="692"/>
      <c r="CF568" s="692"/>
      <c r="CG568" s="692"/>
      <c r="CH568" s="693"/>
    </row>
    <row r="569">
      <c r="B569" s="687"/>
      <c r="C569" s="687"/>
      <c r="D569" s="688"/>
      <c r="E569" s="689"/>
      <c r="F569" s="690"/>
      <c r="G569" s="690"/>
      <c r="H569" s="690"/>
      <c r="I569" s="691"/>
      <c r="J569" s="691"/>
      <c r="K569" s="691"/>
      <c r="L569" s="692"/>
      <c r="M569" s="692"/>
      <c r="N569" s="692"/>
      <c r="O569" s="693"/>
      <c r="P569" s="688"/>
      <c r="Q569" s="688"/>
      <c r="R569" s="688"/>
      <c r="S569" s="688"/>
      <c r="T569" s="689"/>
      <c r="U569" s="689"/>
      <c r="V569" s="694"/>
      <c r="W569" s="694"/>
      <c r="X569" s="694"/>
      <c r="Y569" s="694"/>
      <c r="Z569" s="693"/>
      <c r="AA569" s="693"/>
      <c r="AB569" s="693"/>
      <c r="AC569" s="693"/>
      <c r="AD569" s="688"/>
      <c r="AE569" s="689"/>
      <c r="AF569" s="689"/>
      <c r="AG569" s="690"/>
      <c r="AH569" s="690"/>
      <c r="AI569" s="695"/>
      <c r="AJ569" s="695"/>
      <c r="AK569" s="692"/>
      <c r="AL569" s="692"/>
      <c r="AM569" s="693"/>
      <c r="AN569" s="688"/>
      <c r="AO569" s="688"/>
      <c r="AP569" s="688"/>
      <c r="AQ569" s="688"/>
      <c r="AR569" s="688"/>
      <c r="AS569" s="688"/>
      <c r="AT569" s="689"/>
      <c r="AU569" s="689"/>
      <c r="AV569" s="690"/>
      <c r="AW569" s="690"/>
      <c r="AX569" s="690"/>
      <c r="AY569" s="690"/>
      <c r="AZ569" s="690"/>
      <c r="BA569" s="690"/>
      <c r="BB569" s="695"/>
      <c r="BC569" s="695"/>
      <c r="BD569" s="695"/>
      <c r="BE569" s="695"/>
      <c r="BF569" s="692"/>
      <c r="BG569" s="692"/>
      <c r="BH569" s="692"/>
      <c r="BI569" s="692"/>
      <c r="BJ569" s="692"/>
      <c r="BK569" s="692"/>
      <c r="BL569" s="693"/>
      <c r="BM569" s="693"/>
      <c r="BN569" s="688"/>
      <c r="BO569" s="693"/>
      <c r="BP569" s="689"/>
      <c r="BQ569" s="694"/>
      <c r="BR569" s="687"/>
      <c r="BS569" s="687"/>
      <c r="BT569" s="687"/>
      <c r="BU569" s="687"/>
      <c r="BV569" s="687"/>
      <c r="BW569" s="688"/>
      <c r="BX569" s="688"/>
      <c r="BY569" s="689"/>
      <c r="BZ569" s="690"/>
      <c r="CA569" s="690"/>
      <c r="CB569" s="690"/>
      <c r="CC569" s="691"/>
      <c r="CD569" s="691"/>
      <c r="CE569" s="692"/>
      <c r="CF569" s="692"/>
      <c r="CG569" s="692"/>
      <c r="CH569" s="693"/>
    </row>
    <row r="570">
      <c r="B570" s="687"/>
      <c r="C570" s="687"/>
      <c r="D570" s="688"/>
      <c r="E570" s="689"/>
      <c r="F570" s="690"/>
      <c r="G570" s="690"/>
      <c r="H570" s="690"/>
      <c r="I570" s="691"/>
      <c r="J570" s="691"/>
      <c r="K570" s="691"/>
      <c r="L570" s="692"/>
      <c r="M570" s="692"/>
      <c r="N570" s="692"/>
      <c r="O570" s="693"/>
      <c r="P570" s="688"/>
      <c r="Q570" s="688"/>
      <c r="R570" s="688"/>
      <c r="S570" s="688"/>
      <c r="T570" s="689"/>
      <c r="U570" s="689"/>
      <c r="V570" s="694"/>
      <c r="W570" s="694"/>
      <c r="X570" s="694"/>
      <c r="Y570" s="694"/>
      <c r="Z570" s="693"/>
      <c r="AA570" s="693"/>
      <c r="AB570" s="693"/>
      <c r="AC570" s="693"/>
      <c r="AD570" s="688"/>
      <c r="AE570" s="689"/>
      <c r="AF570" s="689"/>
      <c r="AG570" s="690"/>
      <c r="AH570" s="690"/>
      <c r="AI570" s="695"/>
      <c r="AJ570" s="695"/>
      <c r="AK570" s="692"/>
      <c r="AL570" s="692"/>
      <c r="AM570" s="693"/>
      <c r="AN570" s="688"/>
      <c r="AO570" s="688"/>
      <c r="AP570" s="688"/>
      <c r="AQ570" s="688"/>
      <c r="AR570" s="688"/>
      <c r="AS570" s="688"/>
      <c r="AT570" s="689"/>
      <c r="AU570" s="689"/>
      <c r="AV570" s="690"/>
      <c r="AW570" s="690"/>
      <c r="AX570" s="690"/>
      <c r="AY570" s="690"/>
      <c r="AZ570" s="690"/>
      <c r="BA570" s="690"/>
      <c r="BB570" s="695"/>
      <c r="BC570" s="695"/>
      <c r="BD570" s="695"/>
      <c r="BE570" s="695"/>
      <c r="BF570" s="692"/>
      <c r="BG570" s="692"/>
      <c r="BH570" s="692"/>
      <c r="BI570" s="692"/>
      <c r="BJ570" s="692"/>
      <c r="BK570" s="692"/>
      <c r="BL570" s="693"/>
      <c r="BM570" s="693"/>
      <c r="BN570" s="688"/>
      <c r="BO570" s="693"/>
      <c r="BP570" s="689"/>
      <c r="BQ570" s="694"/>
      <c r="BR570" s="687"/>
      <c r="BS570" s="687"/>
      <c r="BT570" s="687"/>
      <c r="BU570" s="687"/>
      <c r="BV570" s="687"/>
      <c r="BW570" s="688"/>
      <c r="BX570" s="688"/>
      <c r="BY570" s="689"/>
      <c r="BZ570" s="690"/>
      <c r="CA570" s="690"/>
      <c r="CB570" s="690"/>
      <c r="CC570" s="691"/>
      <c r="CD570" s="691"/>
      <c r="CE570" s="692"/>
      <c r="CF570" s="692"/>
      <c r="CG570" s="692"/>
      <c r="CH570" s="693"/>
    </row>
    <row r="571">
      <c r="B571" s="687"/>
      <c r="C571" s="687"/>
      <c r="D571" s="688"/>
      <c r="E571" s="689"/>
      <c r="F571" s="690"/>
      <c r="G571" s="690"/>
      <c r="H571" s="690"/>
      <c r="I571" s="691"/>
      <c r="J571" s="691"/>
      <c r="K571" s="691"/>
      <c r="L571" s="692"/>
      <c r="M571" s="692"/>
      <c r="N571" s="692"/>
      <c r="O571" s="693"/>
      <c r="P571" s="688"/>
      <c r="Q571" s="688"/>
      <c r="R571" s="688"/>
      <c r="S571" s="688"/>
      <c r="T571" s="689"/>
      <c r="U571" s="689"/>
      <c r="V571" s="694"/>
      <c r="W571" s="694"/>
      <c r="X571" s="694"/>
      <c r="Y571" s="694"/>
      <c r="Z571" s="693"/>
      <c r="AA571" s="693"/>
      <c r="AB571" s="693"/>
      <c r="AC571" s="693"/>
      <c r="AD571" s="688"/>
      <c r="AE571" s="689"/>
      <c r="AF571" s="689"/>
      <c r="AG571" s="690"/>
      <c r="AH571" s="690"/>
      <c r="AI571" s="695"/>
      <c r="AJ571" s="695"/>
      <c r="AK571" s="692"/>
      <c r="AL571" s="692"/>
      <c r="AM571" s="693"/>
      <c r="AN571" s="688"/>
      <c r="AO571" s="688"/>
      <c r="AP571" s="688"/>
      <c r="AQ571" s="688"/>
      <c r="AR571" s="688"/>
      <c r="AS571" s="688"/>
      <c r="AT571" s="689"/>
      <c r="AU571" s="689"/>
      <c r="AV571" s="690"/>
      <c r="AW571" s="690"/>
      <c r="AX571" s="690"/>
      <c r="AY571" s="690"/>
      <c r="AZ571" s="690"/>
      <c r="BA571" s="690"/>
      <c r="BB571" s="695"/>
      <c r="BC571" s="695"/>
      <c r="BD571" s="695"/>
      <c r="BE571" s="695"/>
      <c r="BF571" s="692"/>
      <c r="BG571" s="692"/>
      <c r="BH571" s="692"/>
      <c r="BI571" s="692"/>
      <c r="BJ571" s="692"/>
      <c r="BK571" s="692"/>
      <c r="BL571" s="693"/>
      <c r="BM571" s="693"/>
      <c r="BN571" s="688"/>
      <c r="BO571" s="693"/>
      <c r="BP571" s="689"/>
      <c r="BQ571" s="694"/>
      <c r="BR571" s="687"/>
      <c r="BS571" s="687"/>
      <c r="BT571" s="687"/>
      <c r="BU571" s="687"/>
      <c r="BV571" s="687"/>
      <c r="BW571" s="688"/>
      <c r="BX571" s="688"/>
      <c r="BY571" s="689"/>
      <c r="BZ571" s="690"/>
      <c r="CA571" s="690"/>
      <c r="CB571" s="690"/>
      <c r="CC571" s="691"/>
      <c r="CD571" s="691"/>
      <c r="CE571" s="692"/>
      <c r="CF571" s="692"/>
      <c r="CG571" s="692"/>
      <c r="CH571" s="693"/>
    </row>
    <row r="572">
      <c r="B572" s="687"/>
      <c r="C572" s="687"/>
      <c r="D572" s="688"/>
      <c r="E572" s="689"/>
      <c r="F572" s="690"/>
      <c r="G572" s="690"/>
      <c r="H572" s="690"/>
      <c r="I572" s="691"/>
      <c r="J572" s="691"/>
      <c r="K572" s="691"/>
      <c r="L572" s="692"/>
      <c r="M572" s="692"/>
      <c r="N572" s="692"/>
      <c r="O572" s="693"/>
      <c r="P572" s="688"/>
      <c r="Q572" s="688"/>
      <c r="R572" s="688"/>
      <c r="S572" s="688"/>
      <c r="T572" s="689"/>
      <c r="U572" s="689"/>
      <c r="V572" s="694"/>
      <c r="W572" s="694"/>
      <c r="X572" s="694"/>
      <c r="Y572" s="694"/>
      <c r="Z572" s="693"/>
      <c r="AA572" s="693"/>
      <c r="AB572" s="693"/>
      <c r="AC572" s="693"/>
      <c r="AD572" s="688"/>
      <c r="AE572" s="689"/>
      <c r="AF572" s="689"/>
      <c r="AG572" s="690"/>
      <c r="AH572" s="690"/>
      <c r="AI572" s="695"/>
      <c r="AJ572" s="695"/>
      <c r="AK572" s="692"/>
      <c r="AL572" s="692"/>
      <c r="AM572" s="693"/>
      <c r="AN572" s="688"/>
      <c r="AO572" s="688"/>
      <c r="AP572" s="688"/>
      <c r="AQ572" s="688"/>
      <c r="AR572" s="688"/>
      <c r="AS572" s="688"/>
      <c r="AT572" s="689"/>
      <c r="AU572" s="689"/>
      <c r="AV572" s="690"/>
      <c r="AW572" s="690"/>
      <c r="AX572" s="690"/>
      <c r="AY572" s="690"/>
      <c r="AZ572" s="690"/>
      <c r="BA572" s="690"/>
      <c r="BB572" s="695"/>
      <c r="BC572" s="695"/>
      <c r="BD572" s="695"/>
      <c r="BE572" s="695"/>
      <c r="BF572" s="692"/>
      <c r="BG572" s="692"/>
      <c r="BH572" s="692"/>
      <c r="BI572" s="692"/>
      <c r="BJ572" s="692"/>
      <c r="BK572" s="692"/>
      <c r="BL572" s="693"/>
      <c r="BM572" s="693"/>
      <c r="BN572" s="688"/>
      <c r="BO572" s="693"/>
      <c r="BP572" s="689"/>
      <c r="BQ572" s="694"/>
      <c r="BR572" s="687"/>
      <c r="BS572" s="687"/>
      <c r="BT572" s="687"/>
      <c r="BU572" s="687"/>
      <c r="BV572" s="687"/>
      <c r="BW572" s="688"/>
      <c r="BX572" s="688"/>
      <c r="BY572" s="689"/>
      <c r="BZ572" s="690"/>
      <c r="CA572" s="690"/>
      <c r="CB572" s="690"/>
      <c r="CC572" s="691"/>
      <c r="CD572" s="691"/>
      <c r="CE572" s="692"/>
      <c r="CF572" s="692"/>
      <c r="CG572" s="692"/>
      <c r="CH572" s="693"/>
    </row>
    <row r="573">
      <c r="B573" s="687"/>
      <c r="C573" s="687"/>
      <c r="D573" s="688"/>
      <c r="E573" s="689"/>
      <c r="F573" s="690"/>
      <c r="G573" s="690"/>
      <c r="H573" s="690"/>
      <c r="I573" s="691"/>
      <c r="J573" s="691"/>
      <c r="K573" s="691"/>
      <c r="L573" s="692"/>
      <c r="M573" s="692"/>
      <c r="N573" s="692"/>
      <c r="O573" s="693"/>
      <c r="P573" s="688"/>
      <c r="Q573" s="688"/>
      <c r="R573" s="688"/>
      <c r="S573" s="688"/>
      <c r="T573" s="689"/>
      <c r="U573" s="689"/>
      <c r="V573" s="694"/>
      <c r="W573" s="694"/>
      <c r="X573" s="694"/>
      <c r="Y573" s="694"/>
      <c r="Z573" s="693"/>
      <c r="AA573" s="693"/>
      <c r="AB573" s="693"/>
      <c r="AC573" s="693"/>
      <c r="AD573" s="688"/>
      <c r="AE573" s="689"/>
      <c r="AF573" s="689"/>
      <c r="AG573" s="690"/>
      <c r="AH573" s="690"/>
      <c r="AI573" s="695"/>
      <c r="AJ573" s="695"/>
      <c r="AK573" s="692"/>
      <c r="AL573" s="692"/>
      <c r="AM573" s="693"/>
      <c r="AN573" s="688"/>
      <c r="AO573" s="688"/>
      <c r="AP573" s="688"/>
      <c r="AQ573" s="688"/>
      <c r="AR573" s="688"/>
      <c r="AS573" s="688"/>
      <c r="AT573" s="689"/>
      <c r="AU573" s="689"/>
      <c r="AV573" s="690"/>
      <c r="AW573" s="690"/>
      <c r="AX573" s="690"/>
      <c r="AY573" s="690"/>
      <c r="AZ573" s="690"/>
      <c r="BA573" s="690"/>
      <c r="BB573" s="695"/>
      <c r="BC573" s="695"/>
      <c r="BD573" s="695"/>
      <c r="BE573" s="695"/>
      <c r="BF573" s="692"/>
      <c r="BG573" s="692"/>
      <c r="BH573" s="692"/>
      <c r="BI573" s="692"/>
      <c r="BJ573" s="692"/>
      <c r="BK573" s="692"/>
      <c r="BL573" s="693"/>
      <c r="BM573" s="693"/>
      <c r="BN573" s="688"/>
      <c r="BO573" s="693"/>
      <c r="BP573" s="689"/>
      <c r="BQ573" s="694"/>
      <c r="BR573" s="687"/>
      <c r="BS573" s="687"/>
      <c r="BT573" s="687"/>
      <c r="BU573" s="687"/>
      <c r="BV573" s="687"/>
      <c r="BW573" s="688"/>
      <c r="BX573" s="688"/>
      <c r="BY573" s="689"/>
      <c r="BZ573" s="690"/>
      <c r="CA573" s="690"/>
      <c r="CB573" s="690"/>
      <c r="CC573" s="691"/>
      <c r="CD573" s="691"/>
      <c r="CE573" s="692"/>
      <c r="CF573" s="692"/>
      <c r="CG573" s="692"/>
      <c r="CH573" s="693"/>
    </row>
    <row r="574">
      <c r="B574" s="687"/>
      <c r="C574" s="687"/>
      <c r="D574" s="688"/>
      <c r="E574" s="689"/>
      <c r="F574" s="690"/>
      <c r="G574" s="690"/>
      <c r="H574" s="690"/>
      <c r="I574" s="691"/>
      <c r="J574" s="691"/>
      <c r="K574" s="691"/>
      <c r="L574" s="692"/>
      <c r="M574" s="692"/>
      <c r="N574" s="692"/>
      <c r="O574" s="693"/>
      <c r="P574" s="688"/>
      <c r="Q574" s="688"/>
      <c r="R574" s="688"/>
      <c r="S574" s="688"/>
      <c r="T574" s="689"/>
      <c r="U574" s="689"/>
      <c r="V574" s="694"/>
      <c r="W574" s="694"/>
      <c r="X574" s="694"/>
      <c r="Y574" s="694"/>
      <c r="Z574" s="693"/>
      <c r="AA574" s="693"/>
      <c r="AB574" s="693"/>
      <c r="AC574" s="693"/>
      <c r="AD574" s="688"/>
      <c r="AE574" s="689"/>
      <c r="AF574" s="689"/>
      <c r="AG574" s="690"/>
      <c r="AH574" s="690"/>
      <c r="AI574" s="695"/>
      <c r="AJ574" s="695"/>
      <c r="AK574" s="692"/>
      <c r="AL574" s="692"/>
      <c r="AM574" s="693"/>
      <c r="AN574" s="688"/>
      <c r="AO574" s="688"/>
      <c r="AP574" s="688"/>
      <c r="AQ574" s="688"/>
      <c r="AR574" s="688"/>
      <c r="AS574" s="688"/>
      <c r="AT574" s="689"/>
      <c r="AU574" s="689"/>
      <c r="AV574" s="690"/>
      <c r="AW574" s="690"/>
      <c r="AX574" s="690"/>
      <c r="AY574" s="690"/>
      <c r="AZ574" s="690"/>
      <c r="BA574" s="690"/>
      <c r="BB574" s="695"/>
      <c r="BC574" s="695"/>
      <c r="BD574" s="695"/>
      <c r="BE574" s="695"/>
      <c r="BF574" s="692"/>
      <c r="BG574" s="692"/>
      <c r="BH574" s="692"/>
      <c r="BI574" s="692"/>
      <c r="BJ574" s="692"/>
      <c r="BK574" s="692"/>
      <c r="BL574" s="693"/>
      <c r="BM574" s="693"/>
      <c r="BN574" s="688"/>
      <c r="BO574" s="693"/>
      <c r="BP574" s="689"/>
      <c r="BQ574" s="694"/>
      <c r="BR574" s="687"/>
      <c r="BS574" s="687"/>
      <c r="BT574" s="687"/>
      <c r="BU574" s="687"/>
      <c r="BV574" s="687"/>
      <c r="BW574" s="688"/>
      <c r="BX574" s="688"/>
      <c r="BY574" s="689"/>
      <c r="BZ574" s="690"/>
      <c r="CA574" s="690"/>
      <c r="CB574" s="690"/>
      <c r="CC574" s="691"/>
      <c r="CD574" s="691"/>
      <c r="CE574" s="692"/>
      <c r="CF574" s="692"/>
      <c r="CG574" s="692"/>
      <c r="CH574" s="693"/>
    </row>
    <row r="575">
      <c r="B575" s="687"/>
      <c r="C575" s="687"/>
      <c r="D575" s="688"/>
      <c r="E575" s="689"/>
      <c r="F575" s="690"/>
      <c r="G575" s="690"/>
      <c r="H575" s="690"/>
      <c r="I575" s="691"/>
      <c r="J575" s="691"/>
      <c r="K575" s="691"/>
      <c r="L575" s="692"/>
      <c r="M575" s="692"/>
      <c r="N575" s="692"/>
      <c r="O575" s="693"/>
      <c r="P575" s="688"/>
      <c r="Q575" s="688"/>
      <c r="R575" s="688"/>
      <c r="S575" s="688"/>
      <c r="T575" s="689"/>
      <c r="U575" s="689"/>
      <c r="V575" s="694"/>
      <c r="W575" s="694"/>
      <c r="X575" s="694"/>
      <c r="Y575" s="694"/>
      <c r="Z575" s="693"/>
      <c r="AA575" s="693"/>
      <c r="AB575" s="693"/>
      <c r="AC575" s="693"/>
      <c r="AD575" s="688"/>
      <c r="AE575" s="689"/>
      <c r="AF575" s="689"/>
      <c r="AG575" s="690"/>
      <c r="AH575" s="690"/>
      <c r="AI575" s="695"/>
      <c r="AJ575" s="695"/>
      <c r="AK575" s="692"/>
      <c r="AL575" s="692"/>
      <c r="AM575" s="693"/>
      <c r="AN575" s="688"/>
      <c r="AO575" s="688"/>
      <c r="AP575" s="688"/>
      <c r="AQ575" s="688"/>
      <c r="AR575" s="688"/>
      <c r="AS575" s="688"/>
      <c r="AT575" s="689"/>
      <c r="AU575" s="689"/>
      <c r="AV575" s="690"/>
      <c r="AW575" s="690"/>
      <c r="AX575" s="690"/>
      <c r="AY575" s="690"/>
      <c r="AZ575" s="690"/>
      <c r="BA575" s="690"/>
      <c r="BB575" s="695"/>
      <c r="BC575" s="695"/>
      <c r="BD575" s="695"/>
      <c r="BE575" s="695"/>
      <c r="BF575" s="692"/>
      <c r="BG575" s="692"/>
      <c r="BH575" s="692"/>
      <c r="BI575" s="692"/>
      <c r="BJ575" s="692"/>
      <c r="BK575" s="692"/>
      <c r="BL575" s="693"/>
      <c r="BM575" s="693"/>
      <c r="BN575" s="688"/>
      <c r="BO575" s="693"/>
      <c r="BP575" s="689"/>
      <c r="BQ575" s="694"/>
      <c r="BR575" s="687"/>
      <c r="BS575" s="687"/>
      <c r="BT575" s="687"/>
      <c r="BU575" s="687"/>
      <c r="BV575" s="687"/>
      <c r="BW575" s="688"/>
      <c r="BX575" s="688"/>
      <c r="BY575" s="689"/>
      <c r="BZ575" s="690"/>
      <c r="CA575" s="690"/>
      <c r="CB575" s="690"/>
      <c r="CC575" s="691"/>
      <c r="CD575" s="691"/>
      <c r="CE575" s="692"/>
      <c r="CF575" s="692"/>
      <c r="CG575" s="692"/>
      <c r="CH575" s="693"/>
    </row>
    <row r="576">
      <c r="B576" s="687"/>
      <c r="C576" s="687"/>
      <c r="D576" s="688"/>
      <c r="E576" s="689"/>
      <c r="F576" s="690"/>
      <c r="G576" s="690"/>
      <c r="H576" s="690"/>
      <c r="I576" s="691"/>
      <c r="J576" s="691"/>
      <c r="K576" s="691"/>
      <c r="L576" s="692"/>
      <c r="M576" s="692"/>
      <c r="N576" s="692"/>
      <c r="O576" s="693"/>
      <c r="P576" s="688"/>
      <c r="Q576" s="688"/>
      <c r="R576" s="688"/>
      <c r="S576" s="688"/>
      <c r="T576" s="689"/>
      <c r="U576" s="689"/>
      <c r="V576" s="694"/>
      <c r="W576" s="694"/>
      <c r="X576" s="694"/>
      <c r="Y576" s="694"/>
      <c r="Z576" s="693"/>
      <c r="AA576" s="693"/>
      <c r="AB576" s="693"/>
      <c r="AC576" s="693"/>
      <c r="AD576" s="688"/>
      <c r="AE576" s="689"/>
      <c r="AF576" s="689"/>
      <c r="AG576" s="690"/>
      <c r="AH576" s="690"/>
      <c r="AI576" s="695"/>
      <c r="AJ576" s="695"/>
      <c r="AK576" s="692"/>
      <c r="AL576" s="692"/>
      <c r="AM576" s="693"/>
      <c r="AN576" s="688"/>
      <c r="AO576" s="688"/>
      <c r="AP576" s="688"/>
      <c r="AQ576" s="688"/>
      <c r="AR576" s="688"/>
      <c r="AS576" s="688"/>
      <c r="AT576" s="689"/>
      <c r="AU576" s="689"/>
      <c r="AV576" s="690"/>
      <c r="AW576" s="690"/>
      <c r="AX576" s="690"/>
      <c r="AY576" s="690"/>
      <c r="AZ576" s="690"/>
      <c r="BA576" s="690"/>
      <c r="BB576" s="695"/>
      <c r="BC576" s="695"/>
      <c r="BD576" s="695"/>
      <c r="BE576" s="695"/>
      <c r="BF576" s="692"/>
      <c r="BG576" s="692"/>
      <c r="BH576" s="692"/>
      <c r="BI576" s="692"/>
      <c r="BJ576" s="692"/>
      <c r="BK576" s="692"/>
      <c r="BL576" s="693"/>
      <c r="BM576" s="693"/>
      <c r="BN576" s="688"/>
      <c r="BO576" s="693"/>
      <c r="BP576" s="689"/>
      <c r="BQ576" s="694"/>
      <c r="BR576" s="687"/>
      <c r="BS576" s="687"/>
      <c r="BT576" s="687"/>
      <c r="BU576" s="687"/>
      <c r="BV576" s="687"/>
      <c r="BW576" s="688"/>
      <c r="BX576" s="688"/>
      <c r="BY576" s="689"/>
      <c r="BZ576" s="690"/>
      <c r="CA576" s="690"/>
      <c r="CB576" s="690"/>
      <c r="CC576" s="691"/>
      <c r="CD576" s="691"/>
      <c r="CE576" s="692"/>
      <c r="CF576" s="692"/>
      <c r="CG576" s="692"/>
      <c r="CH576" s="693"/>
    </row>
    <row r="577">
      <c r="B577" s="687"/>
      <c r="C577" s="687"/>
      <c r="D577" s="688"/>
      <c r="E577" s="689"/>
      <c r="F577" s="690"/>
      <c r="G577" s="690"/>
      <c r="H577" s="690"/>
      <c r="I577" s="691"/>
      <c r="J577" s="691"/>
      <c r="K577" s="691"/>
      <c r="L577" s="692"/>
      <c r="M577" s="692"/>
      <c r="N577" s="692"/>
      <c r="O577" s="693"/>
      <c r="P577" s="688"/>
      <c r="Q577" s="688"/>
      <c r="R577" s="688"/>
      <c r="S577" s="688"/>
      <c r="T577" s="689"/>
      <c r="U577" s="689"/>
      <c r="V577" s="694"/>
      <c r="W577" s="694"/>
      <c r="X577" s="694"/>
      <c r="Y577" s="694"/>
      <c r="Z577" s="693"/>
      <c r="AA577" s="693"/>
      <c r="AB577" s="693"/>
      <c r="AC577" s="693"/>
      <c r="AD577" s="688"/>
      <c r="AE577" s="689"/>
      <c r="AF577" s="689"/>
      <c r="AG577" s="690"/>
      <c r="AH577" s="690"/>
      <c r="AI577" s="695"/>
      <c r="AJ577" s="695"/>
      <c r="AK577" s="692"/>
      <c r="AL577" s="692"/>
      <c r="AM577" s="693"/>
      <c r="AN577" s="688"/>
      <c r="AO577" s="688"/>
      <c r="AP577" s="688"/>
      <c r="AQ577" s="688"/>
      <c r="AR577" s="688"/>
      <c r="AS577" s="688"/>
      <c r="AT577" s="689"/>
      <c r="AU577" s="689"/>
      <c r="AV577" s="690"/>
      <c r="AW577" s="690"/>
      <c r="AX577" s="690"/>
      <c r="AY577" s="690"/>
      <c r="AZ577" s="690"/>
      <c r="BA577" s="690"/>
      <c r="BB577" s="695"/>
      <c r="BC577" s="695"/>
      <c r="BD577" s="695"/>
      <c r="BE577" s="695"/>
      <c r="BF577" s="692"/>
      <c r="BG577" s="692"/>
      <c r="BH577" s="692"/>
      <c r="BI577" s="692"/>
      <c r="BJ577" s="692"/>
      <c r="BK577" s="692"/>
      <c r="BL577" s="693"/>
      <c r="BM577" s="693"/>
      <c r="BN577" s="688"/>
      <c r="BO577" s="693"/>
      <c r="BP577" s="689"/>
      <c r="BQ577" s="694"/>
      <c r="BR577" s="687"/>
      <c r="BS577" s="687"/>
      <c r="BT577" s="687"/>
      <c r="BU577" s="687"/>
      <c r="BV577" s="687"/>
      <c r="BW577" s="688"/>
      <c r="BX577" s="688"/>
      <c r="BY577" s="689"/>
      <c r="BZ577" s="690"/>
      <c r="CA577" s="690"/>
      <c r="CB577" s="690"/>
      <c r="CC577" s="691"/>
      <c r="CD577" s="691"/>
      <c r="CE577" s="692"/>
      <c r="CF577" s="692"/>
      <c r="CG577" s="692"/>
      <c r="CH577" s="693"/>
    </row>
    <row r="578">
      <c r="B578" s="687"/>
      <c r="C578" s="687"/>
      <c r="D578" s="688"/>
      <c r="E578" s="689"/>
      <c r="F578" s="690"/>
      <c r="G578" s="690"/>
      <c r="H578" s="690"/>
      <c r="I578" s="691"/>
      <c r="J578" s="691"/>
      <c r="K578" s="691"/>
      <c r="L578" s="692"/>
      <c r="M578" s="692"/>
      <c r="N578" s="692"/>
      <c r="O578" s="693"/>
      <c r="P578" s="688"/>
      <c r="Q578" s="688"/>
      <c r="R578" s="688"/>
      <c r="S578" s="688"/>
      <c r="T578" s="689"/>
      <c r="U578" s="689"/>
      <c r="V578" s="694"/>
      <c r="W578" s="694"/>
      <c r="X578" s="694"/>
      <c r="Y578" s="694"/>
      <c r="Z578" s="693"/>
      <c r="AA578" s="693"/>
      <c r="AB578" s="693"/>
      <c r="AC578" s="693"/>
      <c r="AD578" s="688"/>
      <c r="AE578" s="689"/>
      <c r="AF578" s="689"/>
      <c r="AG578" s="690"/>
      <c r="AH578" s="690"/>
      <c r="AI578" s="695"/>
      <c r="AJ578" s="695"/>
      <c r="AK578" s="692"/>
      <c r="AL578" s="692"/>
      <c r="AM578" s="693"/>
      <c r="AN578" s="688"/>
      <c r="AO578" s="688"/>
      <c r="AP578" s="688"/>
      <c r="AQ578" s="688"/>
      <c r="AR578" s="688"/>
      <c r="AS578" s="688"/>
      <c r="AT578" s="689"/>
      <c r="AU578" s="689"/>
      <c r="AV578" s="690"/>
      <c r="AW578" s="690"/>
      <c r="AX578" s="690"/>
      <c r="AY578" s="690"/>
      <c r="AZ578" s="690"/>
      <c r="BA578" s="690"/>
      <c r="BB578" s="695"/>
      <c r="BC578" s="695"/>
      <c r="BD578" s="695"/>
      <c r="BE578" s="695"/>
      <c r="BF578" s="692"/>
      <c r="BG578" s="692"/>
      <c r="BH578" s="692"/>
      <c r="BI578" s="692"/>
      <c r="BJ578" s="692"/>
      <c r="BK578" s="692"/>
      <c r="BL578" s="693"/>
      <c r="BM578" s="693"/>
      <c r="BN578" s="688"/>
      <c r="BO578" s="693"/>
      <c r="BP578" s="689"/>
      <c r="BQ578" s="694"/>
      <c r="BR578" s="687"/>
      <c r="BS578" s="687"/>
      <c r="BT578" s="687"/>
      <c r="BU578" s="687"/>
      <c r="BV578" s="687"/>
      <c r="BW578" s="688"/>
      <c r="BX578" s="688"/>
      <c r="BY578" s="689"/>
      <c r="BZ578" s="690"/>
      <c r="CA578" s="690"/>
      <c r="CB578" s="690"/>
      <c r="CC578" s="691"/>
      <c r="CD578" s="691"/>
      <c r="CE578" s="692"/>
      <c r="CF578" s="692"/>
      <c r="CG578" s="692"/>
      <c r="CH578" s="693"/>
    </row>
    <row r="579">
      <c r="B579" s="687"/>
      <c r="C579" s="687"/>
      <c r="D579" s="688"/>
      <c r="E579" s="689"/>
      <c r="F579" s="690"/>
      <c r="G579" s="690"/>
      <c r="H579" s="690"/>
      <c r="I579" s="691"/>
      <c r="J579" s="691"/>
      <c r="K579" s="691"/>
      <c r="L579" s="692"/>
      <c r="M579" s="692"/>
      <c r="N579" s="692"/>
      <c r="O579" s="693"/>
      <c r="P579" s="688"/>
      <c r="Q579" s="688"/>
      <c r="R579" s="688"/>
      <c r="S579" s="688"/>
      <c r="T579" s="689"/>
      <c r="U579" s="689"/>
      <c r="V579" s="694"/>
      <c r="W579" s="694"/>
      <c r="X579" s="694"/>
      <c r="Y579" s="694"/>
      <c r="Z579" s="693"/>
      <c r="AA579" s="693"/>
      <c r="AB579" s="693"/>
      <c r="AC579" s="693"/>
      <c r="AD579" s="688"/>
      <c r="AE579" s="689"/>
      <c r="AF579" s="689"/>
      <c r="AG579" s="690"/>
      <c r="AH579" s="690"/>
      <c r="AI579" s="695"/>
      <c r="AJ579" s="695"/>
      <c r="AK579" s="692"/>
      <c r="AL579" s="692"/>
      <c r="AM579" s="693"/>
      <c r="AN579" s="688"/>
      <c r="AO579" s="688"/>
      <c r="AP579" s="688"/>
      <c r="AQ579" s="688"/>
      <c r="AR579" s="688"/>
      <c r="AS579" s="688"/>
      <c r="AT579" s="689"/>
      <c r="AU579" s="689"/>
      <c r="AV579" s="690"/>
      <c r="AW579" s="690"/>
      <c r="AX579" s="690"/>
      <c r="AY579" s="690"/>
      <c r="AZ579" s="690"/>
      <c r="BA579" s="690"/>
      <c r="BB579" s="695"/>
      <c r="BC579" s="695"/>
      <c r="BD579" s="695"/>
      <c r="BE579" s="695"/>
      <c r="BF579" s="692"/>
      <c r="BG579" s="692"/>
      <c r="BH579" s="692"/>
      <c r="BI579" s="692"/>
      <c r="BJ579" s="692"/>
      <c r="BK579" s="692"/>
      <c r="BL579" s="693"/>
      <c r="BM579" s="693"/>
      <c r="BN579" s="688"/>
      <c r="BO579" s="693"/>
      <c r="BP579" s="689"/>
      <c r="BQ579" s="694"/>
      <c r="BR579" s="687"/>
      <c r="BS579" s="687"/>
      <c r="BT579" s="687"/>
      <c r="BU579" s="687"/>
      <c r="BV579" s="687"/>
      <c r="BW579" s="688"/>
      <c r="BX579" s="688"/>
      <c r="BY579" s="689"/>
      <c r="BZ579" s="690"/>
      <c r="CA579" s="690"/>
      <c r="CB579" s="690"/>
      <c r="CC579" s="691"/>
      <c r="CD579" s="691"/>
      <c r="CE579" s="692"/>
      <c r="CF579" s="692"/>
      <c r="CG579" s="692"/>
      <c r="CH579" s="693"/>
    </row>
    <row r="580">
      <c r="B580" s="687"/>
      <c r="C580" s="687"/>
      <c r="D580" s="688"/>
      <c r="E580" s="689"/>
      <c r="F580" s="690"/>
      <c r="G580" s="690"/>
      <c r="H580" s="690"/>
      <c r="I580" s="691"/>
      <c r="J580" s="691"/>
      <c r="K580" s="691"/>
      <c r="L580" s="692"/>
      <c r="M580" s="692"/>
      <c r="N580" s="692"/>
      <c r="O580" s="693"/>
      <c r="P580" s="688"/>
      <c r="Q580" s="688"/>
      <c r="R580" s="688"/>
      <c r="S580" s="688"/>
      <c r="T580" s="689"/>
      <c r="U580" s="689"/>
      <c r="V580" s="694"/>
      <c r="W580" s="694"/>
      <c r="X580" s="694"/>
      <c r="Y580" s="694"/>
      <c r="Z580" s="693"/>
      <c r="AA580" s="693"/>
      <c r="AB580" s="693"/>
      <c r="AC580" s="693"/>
      <c r="AD580" s="688"/>
      <c r="AE580" s="689"/>
      <c r="AF580" s="689"/>
      <c r="AG580" s="690"/>
      <c r="AH580" s="690"/>
      <c r="AI580" s="695"/>
      <c r="AJ580" s="695"/>
      <c r="AK580" s="692"/>
      <c r="AL580" s="692"/>
      <c r="AM580" s="693"/>
      <c r="AN580" s="688"/>
      <c r="AO580" s="688"/>
      <c r="AP580" s="688"/>
      <c r="AQ580" s="688"/>
      <c r="AR580" s="688"/>
      <c r="AS580" s="688"/>
      <c r="AT580" s="689"/>
      <c r="AU580" s="689"/>
      <c r="AV580" s="690"/>
      <c r="AW580" s="690"/>
      <c r="AX580" s="690"/>
      <c r="AY580" s="690"/>
      <c r="AZ580" s="690"/>
      <c r="BA580" s="690"/>
      <c r="BB580" s="695"/>
      <c r="BC580" s="695"/>
      <c r="BD580" s="695"/>
      <c r="BE580" s="695"/>
      <c r="BF580" s="692"/>
      <c r="BG580" s="692"/>
      <c r="BH580" s="692"/>
      <c r="BI580" s="692"/>
      <c r="BJ580" s="692"/>
      <c r="BK580" s="692"/>
      <c r="BL580" s="693"/>
      <c r="BM580" s="693"/>
      <c r="BN580" s="688"/>
      <c r="BO580" s="693"/>
      <c r="BP580" s="689"/>
      <c r="BQ580" s="694"/>
      <c r="BR580" s="687"/>
      <c r="BS580" s="687"/>
      <c r="BT580" s="687"/>
      <c r="BU580" s="687"/>
      <c r="BV580" s="687"/>
      <c r="BW580" s="688"/>
      <c r="BX580" s="688"/>
      <c r="BY580" s="689"/>
      <c r="BZ580" s="690"/>
      <c r="CA580" s="690"/>
      <c r="CB580" s="690"/>
      <c r="CC580" s="691"/>
      <c r="CD580" s="691"/>
      <c r="CE580" s="692"/>
      <c r="CF580" s="692"/>
      <c r="CG580" s="692"/>
      <c r="CH580" s="693"/>
    </row>
    <row r="581">
      <c r="B581" s="687"/>
      <c r="C581" s="687"/>
      <c r="D581" s="688"/>
      <c r="E581" s="689"/>
      <c r="F581" s="690"/>
      <c r="G581" s="690"/>
      <c r="H581" s="690"/>
      <c r="I581" s="691"/>
      <c r="J581" s="691"/>
      <c r="K581" s="691"/>
      <c r="L581" s="692"/>
      <c r="M581" s="692"/>
      <c r="N581" s="692"/>
      <c r="O581" s="693"/>
      <c r="P581" s="688"/>
      <c r="Q581" s="688"/>
      <c r="R581" s="688"/>
      <c r="S581" s="688"/>
      <c r="T581" s="689"/>
      <c r="U581" s="689"/>
      <c r="V581" s="694"/>
      <c r="W581" s="694"/>
      <c r="X581" s="694"/>
      <c r="Y581" s="694"/>
      <c r="Z581" s="693"/>
      <c r="AA581" s="693"/>
      <c r="AB581" s="693"/>
      <c r="AC581" s="693"/>
      <c r="AD581" s="688"/>
      <c r="AE581" s="689"/>
      <c r="AF581" s="689"/>
      <c r="AG581" s="690"/>
      <c r="AH581" s="690"/>
      <c r="AI581" s="695"/>
      <c r="AJ581" s="695"/>
      <c r="AK581" s="692"/>
      <c r="AL581" s="692"/>
      <c r="AM581" s="693"/>
      <c r="AN581" s="688"/>
      <c r="AO581" s="688"/>
      <c r="AP581" s="688"/>
      <c r="AQ581" s="688"/>
      <c r="AR581" s="688"/>
      <c r="AS581" s="688"/>
      <c r="AT581" s="689"/>
      <c r="AU581" s="689"/>
      <c r="AV581" s="690"/>
      <c r="AW581" s="690"/>
      <c r="AX581" s="690"/>
      <c r="AY581" s="690"/>
      <c r="AZ581" s="690"/>
      <c r="BA581" s="690"/>
      <c r="BB581" s="695"/>
      <c r="BC581" s="695"/>
      <c r="BD581" s="695"/>
      <c r="BE581" s="695"/>
      <c r="BF581" s="692"/>
      <c r="BG581" s="692"/>
      <c r="BH581" s="692"/>
      <c r="BI581" s="692"/>
      <c r="BJ581" s="692"/>
      <c r="BK581" s="692"/>
      <c r="BL581" s="693"/>
      <c r="BM581" s="693"/>
      <c r="BN581" s="688"/>
      <c r="BO581" s="693"/>
      <c r="BP581" s="689"/>
      <c r="BQ581" s="694"/>
      <c r="BR581" s="687"/>
      <c r="BS581" s="687"/>
      <c r="BT581" s="687"/>
      <c r="BU581" s="687"/>
      <c r="BV581" s="687"/>
      <c r="BW581" s="688"/>
      <c r="BX581" s="688"/>
      <c r="BY581" s="689"/>
      <c r="BZ581" s="690"/>
      <c r="CA581" s="690"/>
      <c r="CB581" s="690"/>
      <c r="CC581" s="691"/>
      <c r="CD581" s="691"/>
      <c r="CE581" s="692"/>
      <c r="CF581" s="692"/>
      <c r="CG581" s="692"/>
      <c r="CH581" s="693"/>
    </row>
    <row r="582">
      <c r="B582" s="687"/>
      <c r="C582" s="687"/>
      <c r="D582" s="688"/>
      <c r="E582" s="689"/>
      <c r="F582" s="690"/>
      <c r="G582" s="690"/>
      <c r="H582" s="690"/>
      <c r="I582" s="691"/>
      <c r="J582" s="691"/>
      <c r="K582" s="691"/>
      <c r="L582" s="692"/>
      <c r="M582" s="692"/>
      <c r="N582" s="692"/>
      <c r="O582" s="693"/>
      <c r="P582" s="688"/>
      <c r="Q582" s="688"/>
      <c r="R582" s="688"/>
      <c r="S582" s="688"/>
      <c r="T582" s="689"/>
      <c r="U582" s="689"/>
      <c r="V582" s="694"/>
      <c r="W582" s="694"/>
      <c r="X582" s="694"/>
      <c r="Y582" s="694"/>
      <c r="Z582" s="693"/>
      <c r="AA582" s="693"/>
      <c r="AB582" s="693"/>
      <c r="AC582" s="693"/>
      <c r="AD582" s="688"/>
      <c r="AE582" s="689"/>
      <c r="AF582" s="689"/>
      <c r="AG582" s="690"/>
      <c r="AH582" s="690"/>
      <c r="AI582" s="695"/>
      <c r="AJ582" s="695"/>
      <c r="AK582" s="692"/>
      <c r="AL582" s="692"/>
      <c r="AM582" s="693"/>
      <c r="AN582" s="688"/>
      <c r="AO582" s="688"/>
      <c r="AP582" s="688"/>
      <c r="AQ582" s="688"/>
      <c r="AR582" s="688"/>
      <c r="AS582" s="688"/>
      <c r="AT582" s="689"/>
      <c r="AU582" s="689"/>
      <c r="AV582" s="690"/>
      <c r="AW582" s="690"/>
      <c r="AX582" s="690"/>
      <c r="AY582" s="690"/>
      <c r="AZ582" s="690"/>
      <c r="BA582" s="690"/>
      <c r="BB582" s="695"/>
      <c r="BC582" s="695"/>
      <c r="BD582" s="695"/>
      <c r="BE582" s="695"/>
      <c r="BF582" s="692"/>
      <c r="BG582" s="692"/>
      <c r="BH582" s="692"/>
      <c r="BI582" s="692"/>
      <c r="BJ582" s="692"/>
      <c r="BK582" s="692"/>
      <c r="BL582" s="693"/>
      <c r="BM582" s="693"/>
      <c r="BN582" s="688"/>
      <c r="BO582" s="693"/>
      <c r="BP582" s="689"/>
      <c r="BQ582" s="694"/>
      <c r="BR582" s="687"/>
      <c r="BS582" s="687"/>
      <c r="BT582" s="687"/>
      <c r="BU582" s="687"/>
      <c r="BV582" s="687"/>
      <c r="BW582" s="688"/>
      <c r="BX582" s="688"/>
      <c r="BY582" s="689"/>
      <c r="BZ582" s="690"/>
      <c r="CA582" s="690"/>
      <c r="CB582" s="690"/>
      <c r="CC582" s="691"/>
      <c r="CD582" s="691"/>
      <c r="CE582" s="692"/>
      <c r="CF582" s="692"/>
      <c r="CG582" s="692"/>
      <c r="CH582" s="693"/>
    </row>
    <row r="583">
      <c r="B583" s="687"/>
      <c r="C583" s="687"/>
      <c r="D583" s="688"/>
      <c r="E583" s="689"/>
      <c r="F583" s="690"/>
      <c r="G583" s="690"/>
      <c r="H583" s="690"/>
      <c r="I583" s="691"/>
      <c r="J583" s="691"/>
      <c r="K583" s="691"/>
      <c r="L583" s="692"/>
      <c r="M583" s="692"/>
      <c r="N583" s="692"/>
      <c r="O583" s="693"/>
      <c r="P583" s="688"/>
      <c r="Q583" s="688"/>
      <c r="R583" s="688"/>
      <c r="S583" s="688"/>
      <c r="T583" s="689"/>
      <c r="U583" s="689"/>
      <c r="V583" s="694"/>
      <c r="W583" s="694"/>
      <c r="X583" s="694"/>
      <c r="Y583" s="694"/>
      <c r="Z583" s="693"/>
      <c r="AA583" s="693"/>
      <c r="AB583" s="693"/>
      <c r="AC583" s="693"/>
      <c r="AD583" s="688"/>
      <c r="AE583" s="689"/>
      <c r="AF583" s="689"/>
      <c r="AG583" s="690"/>
      <c r="AH583" s="690"/>
      <c r="AI583" s="695"/>
      <c r="AJ583" s="695"/>
      <c r="AK583" s="692"/>
      <c r="AL583" s="692"/>
      <c r="AM583" s="693"/>
      <c r="AN583" s="688"/>
      <c r="AO583" s="688"/>
      <c r="AP583" s="688"/>
      <c r="AQ583" s="688"/>
      <c r="AR583" s="688"/>
      <c r="AS583" s="688"/>
      <c r="AT583" s="689"/>
      <c r="AU583" s="689"/>
      <c r="AV583" s="690"/>
      <c r="AW583" s="690"/>
      <c r="AX583" s="690"/>
      <c r="AY583" s="690"/>
      <c r="AZ583" s="690"/>
      <c r="BA583" s="690"/>
      <c r="BB583" s="695"/>
      <c r="BC583" s="695"/>
      <c r="BD583" s="695"/>
      <c r="BE583" s="695"/>
      <c r="BF583" s="692"/>
      <c r="BG583" s="692"/>
      <c r="BH583" s="692"/>
      <c r="BI583" s="692"/>
      <c r="BJ583" s="692"/>
      <c r="BK583" s="692"/>
      <c r="BL583" s="693"/>
      <c r="BM583" s="693"/>
      <c r="BN583" s="688"/>
      <c r="BO583" s="693"/>
      <c r="BP583" s="689"/>
      <c r="BQ583" s="694"/>
      <c r="BR583" s="687"/>
      <c r="BS583" s="687"/>
      <c r="BT583" s="687"/>
      <c r="BU583" s="687"/>
      <c r="BV583" s="687"/>
      <c r="BW583" s="688"/>
      <c r="BX583" s="688"/>
      <c r="BY583" s="689"/>
      <c r="BZ583" s="690"/>
      <c r="CA583" s="690"/>
      <c r="CB583" s="690"/>
      <c r="CC583" s="691"/>
      <c r="CD583" s="691"/>
      <c r="CE583" s="692"/>
      <c r="CF583" s="692"/>
      <c r="CG583" s="692"/>
      <c r="CH583" s="693"/>
    </row>
    <row r="584">
      <c r="B584" s="687"/>
      <c r="C584" s="687"/>
      <c r="D584" s="688"/>
      <c r="E584" s="689"/>
      <c r="F584" s="690"/>
      <c r="G584" s="690"/>
      <c r="H584" s="690"/>
      <c r="I584" s="691"/>
      <c r="J584" s="691"/>
      <c r="K584" s="691"/>
      <c r="L584" s="692"/>
      <c r="M584" s="692"/>
      <c r="N584" s="692"/>
      <c r="O584" s="693"/>
      <c r="P584" s="688"/>
      <c r="Q584" s="688"/>
      <c r="R584" s="688"/>
      <c r="S584" s="688"/>
      <c r="T584" s="689"/>
      <c r="U584" s="689"/>
      <c r="V584" s="694"/>
      <c r="W584" s="694"/>
      <c r="X584" s="694"/>
      <c r="Y584" s="694"/>
      <c r="Z584" s="693"/>
      <c r="AA584" s="693"/>
      <c r="AB584" s="693"/>
      <c r="AC584" s="693"/>
      <c r="AD584" s="688"/>
      <c r="AE584" s="689"/>
      <c r="AF584" s="689"/>
      <c r="AG584" s="690"/>
      <c r="AH584" s="690"/>
      <c r="AI584" s="695"/>
      <c r="AJ584" s="695"/>
      <c r="AK584" s="692"/>
      <c r="AL584" s="692"/>
      <c r="AM584" s="693"/>
      <c r="AN584" s="688"/>
      <c r="AO584" s="688"/>
      <c r="AP584" s="688"/>
      <c r="AQ584" s="688"/>
      <c r="AR584" s="688"/>
      <c r="AS584" s="688"/>
      <c r="AT584" s="689"/>
      <c r="AU584" s="689"/>
      <c r="AV584" s="690"/>
      <c r="AW584" s="690"/>
      <c r="AX584" s="690"/>
      <c r="AY584" s="690"/>
      <c r="AZ584" s="690"/>
      <c r="BA584" s="690"/>
      <c r="BB584" s="695"/>
      <c r="BC584" s="695"/>
      <c r="BD584" s="695"/>
      <c r="BE584" s="695"/>
      <c r="BF584" s="692"/>
      <c r="BG584" s="692"/>
      <c r="BH584" s="692"/>
      <c r="BI584" s="692"/>
      <c r="BJ584" s="692"/>
      <c r="BK584" s="692"/>
      <c r="BL584" s="693"/>
      <c r="BM584" s="693"/>
      <c r="BN584" s="688"/>
      <c r="BO584" s="693"/>
      <c r="BP584" s="689"/>
      <c r="BQ584" s="694"/>
      <c r="BR584" s="687"/>
      <c r="BS584" s="687"/>
      <c r="BT584" s="687"/>
      <c r="BU584" s="687"/>
      <c r="BV584" s="687"/>
      <c r="BW584" s="688"/>
      <c r="BX584" s="688"/>
      <c r="BY584" s="689"/>
      <c r="BZ584" s="690"/>
      <c r="CA584" s="690"/>
      <c r="CB584" s="690"/>
      <c r="CC584" s="691"/>
      <c r="CD584" s="691"/>
      <c r="CE584" s="692"/>
      <c r="CF584" s="692"/>
      <c r="CG584" s="692"/>
      <c r="CH584" s="693"/>
    </row>
    <row r="585">
      <c r="B585" s="687"/>
      <c r="C585" s="687"/>
      <c r="D585" s="688"/>
      <c r="E585" s="689"/>
      <c r="F585" s="690"/>
      <c r="G585" s="690"/>
      <c r="H585" s="690"/>
      <c r="I585" s="691"/>
      <c r="J585" s="691"/>
      <c r="K585" s="691"/>
      <c r="L585" s="692"/>
      <c r="M585" s="692"/>
      <c r="N585" s="692"/>
      <c r="O585" s="693"/>
      <c r="P585" s="688"/>
      <c r="Q585" s="688"/>
      <c r="R585" s="688"/>
      <c r="S585" s="688"/>
      <c r="T585" s="689"/>
      <c r="U585" s="689"/>
      <c r="V585" s="694"/>
      <c r="W585" s="694"/>
      <c r="X585" s="694"/>
      <c r="Y585" s="694"/>
      <c r="Z585" s="693"/>
      <c r="AA585" s="693"/>
      <c r="AB585" s="693"/>
      <c r="AC585" s="693"/>
      <c r="AD585" s="688"/>
      <c r="AE585" s="689"/>
      <c r="AF585" s="689"/>
      <c r="AG585" s="690"/>
      <c r="AH585" s="690"/>
      <c r="AI585" s="695"/>
      <c r="AJ585" s="695"/>
      <c r="AK585" s="692"/>
      <c r="AL585" s="692"/>
      <c r="AM585" s="693"/>
      <c r="AN585" s="688"/>
      <c r="AO585" s="688"/>
      <c r="AP585" s="688"/>
      <c r="AQ585" s="688"/>
      <c r="AR585" s="688"/>
      <c r="AS585" s="688"/>
      <c r="AT585" s="689"/>
      <c r="AU585" s="689"/>
      <c r="AV585" s="690"/>
      <c r="AW585" s="690"/>
      <c r="AX585" s="690"/>
      <c r="AY585" s="690"/>
      <c r="AZ585" s="690"/>
      <c r="BA585" s="690"/>
      <c r="BB585" s="695"/>
      <c r="BC585" s="695"/>
      <c r="BD585" s="695"/>
      <c r="BE585" s="695"/>
      <c r="BF585" s="692"/>
      <c r="BG585" s="692"/>
      <c r="BH585" s="692"/>
      <c r="BI585" s="692"/>
      <c r="BJ585" s="692"/>
      <c r="BK585" s="692"/>
      <c r="BL585" s="693"/>
      <c r="BM585" s="693"/>
      <c r="BN585" s="688"/>
      <c r="BO585" s="693"/>
      <c r="BP585" s="689"/>
      <c r="BQ585" s="694"/>
      <c r="BR585" s="687"/>
      <c r="BS585" s="687"/>
      <c r="BT585" s="687"/>
      <c r="BU585" s="687"/>
      <c r="BV585" s="687"/>
      <c r="BW585" s="688"/>
      <c r="BX585" s="688"/>
      <c r="BY585" s="689"/>
      <c r="BZ585" s="690"/>
      <c r="CA585" s="690"/>
      <c r="CB585" s="690"/>
      <c r="CC585" s="691"/>
      <c r="CD585" s="691"/>
      <c r="CE585" s="692"/>
      <c r="CF585" s="692"/>
      <c r="CG585" s="692"/>
      <c r="CH585" s="693"/>
    </row>
    <row r="586">
      <c r="B586" s="687"/>
      <c r="C586" s="687"/>
      <c r="D586" s="688"/>
      <c r="E586" s="689"/>
      <c r="F586" s="690"/>
      <c r="G586" s="690"/>
      <c r="H586" s="690"/>
      <c r="I586" s="691"/>
      <c r="J586" s="691"/>
      <c r="K586" s="691"/>
      <c r="L586" s="692"/>
      <c r="M586" s="692"/>
      <c r="N586" s="692"/>
      <c r="O586" s="693"/>
      <c r="P586" s="688"/>
      <c r="Q586" s="688"/>
      <c r="R586" s="688"/>
      <c r="S586" s="688"/>
      <c r="T586" s="689"/>
      <c r="U586" s="689"/>
      <c r="V586" s="694"/>
      <c r="W586" s="694"/>
      <c r="X586" s="694"/>
      <c r="Y586" s="694"/>
      <c r="Z586" s="693"/>
      <c r="AA586" s="693"/>
      <c r="AB586" s="693"/>
      <c r="AC586" s="693"/>
      <c r="AD586" s="688"/>
      <c r="AE586" s="689"/>
      <c r="AF586" s="689"/>
      <c r="AG586" s="690"/>
      <c r="AH586" s="690"/>
      <c r="AI586" s="695"/>
      <c r="AJ586" s="695"/>
      <c r="AK586" s="692"/>
      <c r="AL586" s="692"/>
      <c r="AM586" s="693"/>
      <c r="AN586" s="688"/>
      <c r="AO586" s="688"/>
      <c r="AP586" s="688"/>
      <c r="AQ586" s="688"/>
      <c r="AR586" s="688"/>
      <c r="AS586" s="688"/>
      <c r="AT586" s="689"/>
      <c r="AU586" s="689"/>
      <c r="AV586" s="690"/>
      <c r="AW586" s="690"/>
      <c r="AX586" s="690"/>
      <c r="AY586" s="690"/>
      <c r="AZ586" s="690"/>
      <c r="BA586" s="690"/>
      <c r="BB586" s="695"/>
      <c r="BC586" s="695"/>
      <c r="BD586" s="695"/>
      <c r="BE586" s="695"/>
      <c r="BF586" s="692"/>
      <c r="BG586" s="692"/>
      <c r="BH586" s="692"/>
      <c r="BI586" s="692"/>
      <c r="BJ586" s="692"/>
      <c r="BK586" s="692"/>
      <c r="BL586" s="693"/>
      <c r="BM586" s="693"/>
      <c r="BN586" s="688"/>
      <c r="BO586" s="693"/>
      <c r="BP586" s="689"/>
      <c r="BQ586" s="694"/>
      <c r="BR586" s="687"/>
      <c r="BS586" s="687"/>
      <c r="BT586" s="687"/>
      <c r="BU586" s="687"/>
      <c r="BV586" s="687"/>
      <c r="BW586" s="688"/>
      <c r="BX586" s="688"/>
      <c r="BY586" s="689"/>
      <c r="BZ586" s="690"/>
      <c r="CA586" s="690"/>
      <c r="CB586" s="690"/>
      <c r="CC586" s="691"/>
      <c r="CD586" s="691"/>
      <c r="CE586" s="692"/>
      <c r="CF586" s="692"/>
      <c r="CG586" s="692"/>
      <c r="CH586" s="693"/>
    </row>
    <row r="587">
      <c r="B587" s="687"/>
      <c r="C587" s="687"/>
      <c r="D587" s="688"/>
      <c r="E587" s="689"/>
      <c r="F587" s="690"/>
      <c r="G587" s="690"/>
      <c r="H587" s="690"/>
      <c r="I587" s="691"/>
      <c r="J587" s="691"/>
      <c r="K587" s="691"/>
      <c r="L587" s="692"/>
      <c r="M587" s="692"/>
      <c r="N587" s="692"/>
      <c r="O587" s="693"/>
      <c r="P587" s="688"/>
      <c r="Q587" s="688"/>
      <c r="R587" s="688"/>
      <c r="S587" s="688"/>
      <c r="T587" s="689"/>
      <c r="U587" s="689"/>
      <c r="V587" s="694"/>
      <c r="W587" s="694"/>
      <c r="X587" s="694"/>
      <c r="Y587" s="694"/>
      <c r="Z587" s="693"/>
      <c r="AA587" s="693"/>
      <c r="AB587" s="693"/>
      <c r="AC587" s="693"/>
      <c r="AD587" s="688"/>
      <c r="AE587" s="689"/>
      <c r="AF587" s="689"/>
      <c r="AG587" s="690"/>
      <c r="AH587" s="690"/>
      <c r="AI587" s="695"/>
      <c r="AJ587" s="695"/>
      <c r="AK587" s="692"/>
      <c r="AL587" s="692"/>
      <c r="AM587" s="693"/>
      <c r="AN587" s="688"/>
      <c r="AO587" s="688"/>
      <c r="AP587" s="688"/>
      <c r="AQ587" s="688"/>
      <c r="AR587" s="688"/>
      <c r="AS587" s="688"/>
      <c r="AT587" s="689"/>
      <c r="AU587" s="689"/>
      <c r="AV587" s="690"/>
      <c r="AW587" s="690"/>
      <c r="AX587" s="690"/>
      <c r="AY587" s="690"/>
      <c r="AZ587" s="690"/>
      <c r="BA587" s="690"/>
      <c r="BB587" s="695"/>
      <c r="BC587" s="695"/>
      <c r="BD587" s="695"/>
      <c r="BE587" s="695"/>
      <c r="BF587" s="692"/>
      <c r="BG587" s="692"/>
      <c r="BH587" s="692"/>
      <c r="BI587" s="692"/>
      <c r="BJ587" s="692"/>
      <c r="BK587" s="692"/>
      <c r="BL587" s="693"/>
      <c r="BM587" s="693"/>
      <c r="BN587" s="688"/>
      <c r="BO587" s="693"/>
      <c r="BP587" s="689"/>
      <c r="BQ587" s="694"/>
      <c r="BR587" s="687"/>
      <c r="BS587" s="687"/>
      <c r="BT587" s="687"/>
      <c r="BU587" s="687"/>
      <c r="BV587" s="687"/>
      <c r="BW587" s="688"/>
      <c r="BX587" s="688"/>
      <c r="BY587" s="689"/>
      <c r="BZ587" s="690"/>
      <c r="CA587" s="690"/>
      <c r="CB587" s="690"/>
      <c r="CC587" s="691"/>
      <c r="CD587" s="691"/>
      <c r="CE587" s="692"/>
      <c r="CF587" s="692"/>
      <c r="CG587" s="692"/>
      <c r="CH587" s="693"/>
    </row>
    <row r="588">
      <c r="B588" s="687"/>
      <c r="C588" s="687"/>
      <c r="D588" s="688"/>
      <c r="E588" s="689"/>
      <c r="F588" s="690"/>
      <c r="G588" s="690"/>
      <c r="H588" s="690"/>
      <c r="I588" s="691"/>
      <c r="J588" s="691"/>
      <c r="K588" s="691"/>
      <c r="L588" s="692"/>
      <c r="M588" s="692"/>
      <c r="N588" s="692"/>
      <c r="O588" s="693"/>
      <c r="P588" s="688"/>
      <c r="Q588" s="688"/>
      <c r="R588" s="688"/>
      <c r="S588" s="688"/>
      <c r="T588" s="689"/>
      <c r="U588" s="689"/>
      <c r="V588" s="694"/>
      <c r="W588" s="694"/>
      <c r="X588" s="694"/>
      <c r="Y588" s="694"/>
      <c r="Z588" s="693"/>
      <c r="AA588" s="693"/>
      <c r="AB588" s="693"/>
      <c r="AC588" s="693"/>
      <c r="AD588" s="688"/>
      <c r="AE588" s="689"/>
      <c r="AF588" s="689"/>
      <c r="AG588" s="690"/>
      <c r="AH588" s="690"/>
      <c r="AI588" s="695"/>
      <c r="AJ588" s="695"/>
      <c r="AK588" s="692"/>
      <c r="AL588" s="692"/>
      <c r="AM588" s="693"/>
      <c r="AN588" s="688"/>
      <c r="AO588" s="688"/>
      <c r="AP588" s="688"/>
      <c r="AQ588" s="688"/>
      <c r="AR588" s="688"/>
      <c r="AS588" s="688"/>
      <c r="AT588" s="689"/>
      <c r="AU588" s="689"/>
      <c r="AV588" s="690"/>
      <c r="AW588" s="690"/>
      <c r="AX588" s="690"/>
      <c r="AY588" s="690"/>
      <c r="AZ588" s="690"/>
      <c r="BA588" s="690"/>
      <c r="BB588" s="695"/>
      <c r="BC588" s="695"/>
      <c r="BD588" s="695"/>
      <c r="BE588" s="695"/>
      <c r="BF588" s="692"/>
      <c r="BG588" s="692"/>
      <c r="BH588" s="692"/>
      <c r="BI588" s="692"/>
      <c r="BJ588" s="692"/>
      <c r="BK588" s="692"/>
      <c r="BL588" s="693"/>
      <c r="BM588" s="693"/>
      <c r="BN588" s="688"/>
      <c r="BO588" s="693"/>
      <c r="BP588" s="689"/>
      <c r="BQ588" s="694"/>
      <c r="BR588" s="687"/>
      <c r="BS588" s="687"/>
      <c r="BT588" s="687"/>
      <c r="BU588" s="687"/>
      <c r="BV588" s="687"/>
      <c r="BW588" s="688"/>
      <c r="BX588" s="688"/>
      <c r="BY588" s="689"/>
      <c r="BZ588" s="690"/>
      <c r="CA588" s="690"/>
      <c r="CB588" s="690"/>
      <c r="CC588" s="691"/>
      <c r="CD588" s="691"/>
      <c r="CE588" s="692"/>
      <c r="CF588" s="692"/>
      <c r="CG588" s="692"/>
      <c r="CH588" s="693"/>
    </row>
    <row r="589">
      <c r="B589" s="687"/>
      <c r="C589" s="687"/>
      <c r="D589" s="688"/>
      <c r="E589" s="689"/>
      <c r="F589" s="690"/>
      <c r="G589" s="690"/>
      <c r="H589" s="690"/>
      <c r="I589" s="691"/>
      <c r="J589" s="691"/>
      <c r="K589" s="691"/>
      <c r="L589" s="692"/>
      <c r="M589" s="692"/>
      <c r="N589" s="692"/>
      <c r="O589" s="693"/>
      <c r="P589" s="688"/>
      <c r="Q589" s="688"/>
      <c r="R589" s="688"/>
      <c r="S589" s="688"/>
      <c r="T589" s="689"/>
      <c r="U589" s="689"/>
      <c r="V589" s="694"/>
      <c r="W589" s="694"/>
      <c r="X589" s="694"/>
      <c r="Y589" s="694"/>
      <c r="Z589" s="693"/>
      <c r="AA589" s="693"/>
      <c r="AB589" s="693"/>
      <c r="AC589" s="693"/>
      <c r="AD589" s="688"/>
      <c r="AE589" s="689"/>
      <c r="AF589" s="689"/>
      <c r="AG589" s="690"/>
      <c r="AH589" s="690"/>
      <c r="AI589" s="695"/>
      <c r="AJ589" s="695"/>
      <c r="AK589" s="692"/>
      <c r="AL589" s="692"/>
      <c r="AM589" s="693"/>
      <c r="AN589" s="688"/>
      <c r="AO589" s="688"/>
      <c r="AP589" s="688"/>
      <c r="AQ589" s="688"/>
      <c r="AR589" s="688"/>
      <c r="AS589" s="688"/>
      <c r="AT589" s="689"/>
      <c r="AU589" s="689"/>
      <c r="AV589" s="690"/>
      <c r="AW589" s="690"/>
      <c r="AX589" s="690"/>
      <c r="AY589" s="690"/>
      <c r="AZ589" s="690"/>
      <c r="BA589" s="690"/>
      <c r="BB589" s="695"/>
      <c r="BC589" s="695"/>
      <c r="BD589" s="695"/>
      <c r="BE589" s="695"/>
      <c r="BF589" s="692"/>
      <c r="BG589" s="692"/>
      <c r="BH589" s="692"/>
      <c r="BI589" s="692"/>
      <c r="BJ589" s="692"/>
      <c r="BK589" s="692"/>
      <c r="BL589" s="693"/>
      <c r="BM589" s="693"/>
      <c r="BN589" s="688"/>
      <c r="BO589" s="693"/>
      <c r="BP589" s="689"/>
      <c r="BQ589" s="694"/>
      <c r="BR589" s="687"/>
      <c r="BS589" s="687"/>
      <c r="BT589" s="687"/>
      <c r="BU589" s="687"/>
      <c r="BV589" s="687"/>
      <c r="BW589" s="688"/>
      <c r="BX589" s="688"/>
      <c r="BY589" s="689"/>
      <c r="BZ589" s="690"/>
      <c r="CA589" s="690"/>
      <c r="CB589" s="690"/>
      <c r="CC589" s="691"/>
      <c r="CD589" s="691"/>
      <c r="CE589" s="692"/>
      <c r="CF589" s="692"/>
      <c r="CG589" s="692"/>
      <c r="CH589" s="693"/>
    </row>
    <row r="590">
      <c r="B590" s="687"/>
      <c r="C590" s="687"/>
      <c r="D590" s="688"/>
      <c r="E590" s="689"/>
      <c r="F590" s="690"/>
      <c r="G590" s="690"/>
      <c r="H590" s="690"/>
      <c r="I590" s="691"/>
      <c r="J590" s="691"/>
      <c r="K590" s="691"/>
      <c r="L590" s="692"/>
      <c r="M590" s="692"/>
      <c r="N590" s="692"/>
      <c r="O590" s="693"/>
      <c r="P590" s="688"/>
      <c r="Q590" s="688"/>
      <c r="R590" s="688"/>
      <c r="S590" s="688"/>
      <c r="T590" s="689"/>
      <c r="U590" s="689"/>
      <c r="V590" s="694"/>
      <c r="W590" s="694"/>
      <c r="X590" s="694"/>
      <c r="Y590" s="694"/>
      <c r="Z590" s="693"/>
      <c r="AA590" s="693"/>
      <c r="AB590" s="693"/>
      <c r="AC590" s="693"/>
      <c r="AD590" s="688"/>
      <c r="AE590" s="689"/>
      <c r="AF590" s="689"/>
      <c r="AG590" s="690"/>
      <c r="AH590" s="690"/>
      <c r="AI590" s="695"/>
      <c r="AJ590" s="695"/>
      <c r="AK590" s="692"/>
      <c r="AL590" s="692"/>
      <c r="AM590" s="693"/>
      <c r="AN590" s="688"/>
      <c r="AO590" s="688"/>
      <c r="AP590" s="688"/>
      <c r="AQ590" s="688"/>
      <c r="AR590" s="688"/>
      <c r="AS590" s="688"/>
      <c r="AT590" s="689"/>
      <c r="AU590" s="689"/>
      <c r="AV590" s="690"/>
      <c r="AW590" s="690"/>
      <c r="AX590" s="690"/>
      <c r="AY590" s="690"/>
      <c r="AZ590" s="690"/>
      <c r="BA590" s="690"/>
      <c r="BB590" s="695"/>
      <c r="BC590" s="695"/>
      <c r="BD590" s="695"/>
      <c r="BE590" s="695"/>
      <c r="BF590" s="692"/>
      <c r="BG590" s="692"/>
      <c r="BH590" s="692"/>
      <c r="BI590" s="692"/>
      <c r="BJ590" s="692"/>
      <c r="BK590" s="692"/>
      <c r="BL590" s="693"/>
      <c r="BM590" s="693"/>
      <c r="BN590" s="688"/>
      <c r="BO590" s="693"/>
      <c r="BP590" s="689"/>
      <c r="BQ590" s="694"/>
      <c r="BR590" s="687"/>
      <c r="BS590" s="687"/>
      <c r="BT590" s="687"/>
      <c r="BU590" s="687"/>
      <c r="BV590" s="687"/>
      <c r="BW590" s="688"/>
      <c r="BX590" s="688"/>
      <c r="BY590" s="689"/>
      <c r="BZ590" s="690"/>
      <c r="CA590" s="690"/>
      <c r="CB590" s="690"/>
      <c r="CC590" s="691"/>
      <c r="CD590" s="691"/>
      <c r="CE590" s="692"/>
      <c r="CF590" s="692"/>
      <c r="CG590" s="692"/>
      <c r="CH590" s="693"/>
    </row>
    <row r="591">
      <c r="B591" s="687"/>
      <c r="C591" s="687"/>
      <c r="D591" s="688"/>
      <c r="E591" s="689"/>
      <c r="F591" s="690"/>
      <c r="G591" s="690"/>
      <c r="H591" s="690"/>
      <c r="I591" s="691"/>
      <c r="J591" s="691"/>
      <c r="K591" s="691"/>
      <c r="L591" s="692"/>
      <c r="M591" s="692"/>
      <c r="N591" s="692"/>
      <c r="O591" s="693"/>
      <c r="P591" s="688"/>
      <c r="Q591" s="688"/>
      <c r="R591" s="688"/>
      <c r="S591" s="688"/>
      <c r="T591" s="689"/>
      <c r="U591" s="689"/>
      <c r="V591" s="694"/>
      <c r="W591" s="694"/>
      <c r="X591" s="694"/>
      <c r="Y591" s="694"/>
      <c r="Z591" s="693"/>
      <c r="AA591" s="693"/>
      <c r="AB591" s="693"/>
      <c r="AC591" s="693"/>
      <c r="AD591" s="688"/>
      <c r="AE591" s="689"/>
      <c r="AF591" s="689"/>
      <c r="AG591" s="690"/>
      <c r="AH591" s="690"/>
      <c r="AI591" s="695"/>
      <c r="AJ591" s="695"/>
      <c r="AK591" s="692"/>
      <c r="AL591" s="692"/>
      <c r="AM591" s="693"/>
      <c r="AN591" s="688"/>
      <c r="AO591" s="688"/>
      <c r="AP591" s="688"/>
      <c r="AQ591" s="688"/>
      <c r="AR591" s="688"/>
      <c r="AS591" s="688"/>
      <c r="AT591" s="689"/>
      <c r="AU591" s="689"/>
      <c r="AV591" s="690"/>
      <c r="AW591" s="690"/>
      <c r="AX591" s="690"/>
      <c r="AY591" s="690"/>
      <c r="AZ591" s="690"/>
      <c r="BA591" s="690"/>
      <c r="BB591" s="695"/>
      <c r="BC591" s="695"/>
      <c r="BD591" s="695"/>
      <c r="BE591" s="695"/>
      <c r="BF591" s="692"/>
      <c r="BG591" s="692"/>
      <c r="BH591" s="692"/>
      <c r="BI591" s="692"/>
      <c r="BJ591" s="692"/>
      <c r="BK591" s="692"/>
      <c r="BL591" s="693"/>
      <c r="BM591" s="693"/>
      <c r="BN591" s="688"/>
      <c r="BO591" s="693"/>
      <c r="BP591" s="689"/>
      <c r="BQ591" s="694"/>
      <c r="BR591" s="687"/>
      <c r="BS591" s="687"/>
      <c r="BT591" s="687"/>
      <c r="BU591" s="687"/>
      <c r="BV591" s="687"/>
      <c r="BW591" s="688"/>
      <c r="BX591" s="688"/>
      <c r="BY591" s="689"/>
      <c r="BZ591" s="690"/>
      <c r="CA591" s="690"/>
      <c r="CB591" s="690"/>
      <c r="CC591" s="691"/>
      <c r="CD591" s="691"/>
      <c r="CE591" s="692"/>
      <c r="CF591" s="692"/>
      <c r="CG591" s="692"/>
      <c r="CH591" s="693"/>
    </row>
    <row r="592">
      <c r="B592" s="687"/>
      <c r="C592" s="687"/>
      <c r="D592" s="688"/>
      <c r="E592" s="689"/>
      <c r="F592" s="690"/>
      <c r="G592" s="690"/>
      <c r="H592" s="690"/>
      <c r="I592" s="691"/>
      <c r="J592" s="691"/>
      <c r="K592" s="691"/>
      <c r="L592" s="692"/>
      <c r="M592" s="692"/>
      <c r="N592" s="692"/>
      <c r="O592" s="693"/>
      <c r="P592" s="688"/>
      <c r="Q592" s="688"/>
      <c r="R592" s="688"/>
      <c r="S592" s="688"/>
      <c r="T592" s="689"/>
      <c r="U592" s="689"/>
      <c r="V592" s="694"/>
      <c r="W592" s="694"/>
      <c r="X592" s="694"/>
      <c r="Y592" s="694"/>
      <c r="Z592" s="693"/>
      <c r="AA592" s="693"/>
      <c r="AB592" s="693"/>
      <c r="AC592" s="693"/>
      <c r="AD592" s="688"/>
      <c r="AE592" s="689"/>
      <c r="AF592" s="689"/>
      <c r="AG592" s="690"/>
      <c r="AH592" s="690"/>
      <c r="AI592" s="695"/>
      <c r="AJ592" s="695"/>
      <c r="AK592" s="692"/>
      <c r="AL592" s="692"/>
      <c r="AM592" s="693"/>
      <c r="AN592" s="688"/>
      <c r="AO592" s="688"/>
      <c r="AP592" s="688"/>
      <c r="AQ592" s="688"/>
      <c r="AR592" s="688"/>
      <c r="AS592" s="688"/>
      <c r="AT592" s="689"/>
      <c r="AU592" s="689"/>
      <c r="AV592" s="690"/>
      <c r="AW592" s="690"/>
      <c r="AX592" s="690"/>
      <c r="AY592" s="690"/>
      <c r="AZ592" s="690"/>
      <c r="BA592" s="690"/>
      <c r="BB592" s="695"/>
      <c r="BC592" s="695"/>
      <c r="BD592" s="695"/>
      <c r="BE592" s="695"/>
      <c r="BF592" s="692"/>
      <c r="BG592" s="692"/>
      <c r="BH592" s="692"/>
      <c r="BI592" s="692"/>
      <c r="BJ592" s="692"/>
      <c r="BK592" s="692"/>
      <c r="BL592" s="693"/>
      <c r="BM592" s="693"/>
      <c r="BN592" s="688"/>
      <c r="BO592" s="693"/>
      <c r="BP592" s="689"/>
      <c r="BQ592" s="694"/>
      <c r="BR592" s="687"/>
      <c r="BS592" s="687"/>
      <c r="BT592" s="687"/>
      <c r="BU592" s="687"/>
      <c r="BV592" s="687"/>
      <c r="BW592" s="688"/>
      <c r="BX592" s="688"/>
      <c r="BY592" s="689"/>
      <c r="BZ592" s="690"/>
      <c r="CA592" s="690"/>
      <c r="CB592" s="690"/>
      <c r="CC592" s="691"/>
      <c r="CD592" s="691"/>
      <c r="CE592" s="692"/>
      <c r="CF592" s="692"/>
      <c r="CG592" s="692"/>
      <c r="CH592" s="693"/>
    </row>
    <row r="593">
      <c r="B593" s="687"/>
      <c r="C593" s="687"/>
      <c r="D593" s="688"/>
      <c r="E593" s="689"/>
      <c r="F593" s="690"/>
      <c r="G593" s="690"/>
      <c r="H593" s="690"/>
      <c r="I593" s="691"/>
      <c r="J593" s="691"/>
      <c r="K593" s="691"/>
      <c r="L593" s="692"/>
      <c r="M593" s="692"/>
      <c r="N593" s="692"/>
      <c r="O593" s="693"/>
      <c r="P593" s="688"/>
      <c r="Q593" s="688"/>
      <c r="R593" s="688"/>
      <c r="S593" s="688"/>
      <c r="T593" s="689"/>
      <c r="U593" s="689"/>
      <c r="V593" s="694"/>
      <c r="W593" s="694"/>
      <c r="X593" s="694"/>
      <c r="Y593" s="694"/>
      <c r="Z593" s="693"/>
      <c r="AA593" s="693"/>
      <c r="AB593" s="693"/>
      <c r="AC593" s="693"/>
      <c r="AD593" s="688"/>
      <c r="AE593" s="689"/>
      <c r="AF593" s="689"/>
      <c r="AG593" s="690"/>
      <c r="AH593" s="690"/>
      <c r="AI593" s="695"/>
      <c r="AJ593" s="695"/>
      <c r="AK593" s="692"/>
      <c r="AL593" s="692"/>
      <c r="AM593" s="693"/>
      <c r="AN593" s="688"/>
      <c r="AO593" s="688"/>
      <c r="AP593" s="688"/>
      <c r="AQ593" s="688"/>
      <c r="AR593" s="688"/>
      <c r="AS593" s="688"/>
      <c r="AT593" s="689"/>
      <c r="AU593" s="689"/>
      <c r="AV593" s="690"/>
      <c r="AW593" s="690"/>
      <c r="AX593" s="690"/>
      <c r="AY593" s="690"/>
      <c r="AZ593" s="690"/>
      <c r="BA593" s="690"/>
      <c r="BB593" s="695"/>
      <c r="BC593" s="695"/>
      <c r="BD593" s="695"/>
      <c r="BE593" s="695"/>
      <c r="BF593" s="692"/>
      <c r="BG593" s="692"/>
      <c r="BH593" s="692"/>
      <c r="BI593" s="692"/>
      <c r="BJ593" s="692"/>
      <c r="BK593" s="692"/>
      <c r="BL593" s="693"/>
      <c r="BM593" s="693"/>
      <c r="BN593" s="688"/>
      <c r="BO593" s="693"/>
      <c r="BP593" s="689"/>
      <c r="BQ593" s="694"/>
      <c r="BR593" s="687"/>
      <c r="BS593" s="687"/>
      <c r="BT593" s="687"/>
      <c r="BU593" s="687"/>
      <c r="BV593" s="687"/>
      <c r="BW593" s="688"/>
      <c r="BX593" s="688"/>
      <c r="BY593" s="689"/>
      <c r="BZ593" s="690"/>
      <c r="CA593" s="690"/>
      <c r="CB593" s="690"/>
      <c r="CC593" s="691"/>
      <c r="CD593" s="691"/>
      <c r="CE593" s="692"/>
      <c r="CF593" s="692"/>
      <c r="CG593" s="692"/>
      <c r="CH593" s="693"/>
    </row>
    <row r="594">
      <c r="B594" s="687"/>
      <c r="C594" s="687"/>
      <c r="D594" s="688"/>
      <c r="E594" s="689"/>
      <c r="F594" s="690"/>
      <c r="G594" s="690"/>
      <c r="H594" s="690"/>
      <c r="I594" s="691"/>
      <c r="J594" s="691"/>
      <c r="K594" s="691"/>
      <c r="L594" s="692"/>
      <c r="M594" s="692"/>
      <c r="N594" s="692"/>
      <c r="O594" s="693"/>
      <c r="P594" s="688"/>
      <c r="Q594" s="688"/>
      <c r="R594" s="688"/>
      <c r="S594" s="688"/>
      <c r="T594" s="689"/>
      <c r="U594" s="689"/>
      <c r="V594" s="694"/>
      <c r="W594" s="694"/>
      <c r="X594" s="694"/>
      <c r="Y594" s="694"/>
      <c r="Z594" s="693"/>
      <c r="AA594" s="693"/>
      <c r="AB594" s="693"/>
      <c r="AC594" s="693"/>
      <c r="AD594" s="688"/>
      <c r="AE594" s="689"/>
      <c r="AF594" s="689"/>
      <c r="AG594" s="690"/>
      <c r="AH594" s="690"/>
      <c r="AI594" s="695"/>
      <c r="AJ594" s="695"/>
      <c r="AK594" s="692"/>
      <c r="AL594" s="692"/>
      <c r="AM594" s="693"/>
      <c r="AN594" s="688"/>
      <c r="AO594" s="688"/>
      <c r="AP594" s="688"/>
      <c r="AQ594" s="688"/>
      <c r="AR594" s="688"/>
      <c r="AS594" s="688"/>
      <c r="AT594" s="689"/>
      <c r="AU594" s="689"/>
      <c r="AV594" s="690"/>
      <c r="AW594" s="690"/>
      <c r="AX594" s="690"/>
      <c r="AY594" s="690"/>
      <c r="AZ594" s="690"/>
      <c r="BA594" s="690"/>
      <c r="BB594" s="695"/>
      <c r="BC594" s="695"/>
      <c r="BD594" s="695"/>
      <c r="BE594" s="695"/>
      <c r="BF594" s="692"/>
      <c r="BG594" s="692"/>
      <c r="BH594" s="692"/>
      <c r="BI594" s="692"/>
      <c r="BJ594" s="692"/>
      <c r="BK594" s="692"/>
      <c r="BL594" s="693"/>
      <c r="BM594" s="693"/>
      <c r="BN594" s="688"/>
      <c r="BO594" s="693"/>
      <c r="BP594" s="689"/>
      <c r="BQ594" s="694"/>
      <c r="BR594" s="687"/>
      <c r="BS594" s="687"/>
      <c r="BT594" s="687"/>
      <c r="BU594" s="687"/>
      <c r="BV594" s="687"/>
      <c r="BW594" s="688"/>
      <c r="BX594" s="688"/>
      <c r="BY594" s="689"/>
      <c r="BZ594" s="690"/>
      <c r="CA594" s="690"/>
      <c r="CB594" s="690"/>
      <c r="CC594" s="691"/>
      <c r="CD594" s="691"/>
      <c r="CE594" s="692"/>
      <c r="CF594" s="692"/>
      <c r="CG594" s="692"/>
      <c r="CH594" s="693"/>
    </row>
    <row r="595">
      <c r="B595" s="687"/>
      <c r="C595" s="687"/>
      <c r="D595" s="688"/>
      <c r="E595" s="689"/>
      <c r="F595" s="690"/>
      <c r="G595" s="690"/>
      <c r="H595" s="690"/>
      <c r="I595" s="691"/>
      <c r="J595" s="691"/>
      <c r="K595" s="691"/>
      <c r="L595" s="692"/>
      <c r="M595" s="692"/>
      <c r="N595" s="692"/>
      <c r="O595" s="693"/>
      <c r="P595" s="688"/>
      <c r="Q595" s="688"/>
      <c r="R595" s="688"/>
      <c r="S595" s="688"/>
      <c r="T595" s="689"/>
      <c r="U595" s="689"/>
      <c r="V595" s="694"/>
      <c r="W595" s="694"/>
      <c r="X595" s="694"/>
      <c r="Y595" s="694"/>
      <c r="Z595" s="693"/>
      <c r="AA595" s="693"/>
      <c r="AB595" s="693"/>
      <c r="AC595" s="693"/>
      <c r="AD595" s="688"/>
      <c r="AE595" s="689"/>
      <c r="AF595" s="689"/>
      <c r="AG595" s="690"/>
      <c r="AH595" s="690"/>
      <c r="AI595" s="695"/>
      <c r="AJ595" s="695"/>
      <c r="AK595" s="692"/>
      <c r="AL595" s="692"/>
      <c r="AM595" s="693"/>
      <c r="AN595" s="688"/>
      <c r="AO595" s="688"/>
      <c r="AP595" s="688"/>
      <c r="AQ595" s="688"/>
      <c r="AR595" s="688"/>
      <c r="AS595" s="688"/>
      <c r="AT595" s="689"/>
      <c r="AU595" s="689"/>
      <c r="AV595" s="690"/>
      <c r="AW595" s="690"/>
      <c r="AX595" s="690"/>
      <c r="AY595" s="690"/>
      <c r="AZ595" s="690"/>
      <c r="BA595" s="690"/>
      <c r="BB595" s="695"/>
      <c r="BC595" s="695"/>
      <c r="BD595" s="695"/>
      <c r="BE595" s="695"/>
      <c r="BF595" s="692"/>
      <c r="BG595" s="692"/>
      <c r="BH595" s="692"/>
      <c r="BI595" s="692"/>
      <c r="BJ595" s="692"/>
      <c r="BK595" s="692"/>
      <c r="BL595" s="693"/>
      <c r="BM595" s="693"/>
      <c r="BN595" s="688"/>
      <c r="BO595" s="693"/>
      <c r="BP595" s="689"/>
      <c r="BQ595" s="694"/>
      <c r="BR595" s="687"/>
      <c r="BS595" s="687"/>
      <c r="BT595" s="687"/>
      <c r="BU595" s="687"/>
      <c r="BV595" s="687"/>
      <c r="BW595" s="688"/>
      <c r="BX595" s="688"/>
      <c r="BY595" s="689"/>
      <c r="BZ595" s="690"/>
      <c r="CA595" s="690"/>
      <c r="CB595" s="690"/>
      <c r="CC595" s="691"/>
      <c r="CD595" s="691"/>
      <c r="CE595" s="692"/>
      <c r="CF595" s="692"/>
      <c r="CG595" s="692"/>
      <c r="CH595" s="693"/>
    </row>
    <row r="596">
      <c r="B596" s="687"/>
      <c r="C596" s="687"/>
      <c r="D596" s="688"/>
      <c r="E596" s="689"/>
      <c r="F596" s="690"/>
      <c r="G596" s="690"/>
      <c r="H596" s="690"/>
      <c r="I596" s="691"/>
      <c r="J596" s="691"/>
      <c r="K596" s="691"/>
      <c r="L596" s="692"/>
      <c r="M596" s="692"/>
      <c r="N596" s="692"/>
      <c r="O596" s="693"/>
      <c r="P596" s="688"/>
      <c r="Q596" s="688"/>
      <c r="R596" s="688"/>
      <c r="S596" s="688"/>
      <c r="T596" s="689"/>
      <c r="U596" s="689"/>
      <c r="V596" s="694"/>
      <c r="W596" s="694"/>
      <c r="X596" s="694"/>
      <c r="Y596" s="694"/>
      <c r="Z596" s="693"/>
      <c r="AA596" s="693"/>
      <c r="AB596" s="693"/>
      <c r="AC596" s="693"/>
      <c r="AD596" s="688"/>
      <c r="AE596" s="689"/>
      <c r="AF596" s="689"/>
      <c r="AG596" s="690"/>
      <c r="AH596" s="690"/>
      <c r="AI596" s="695"/>
      <c r="AJ596" s="695"/>
      <c r="AK596" s="692"/>
      <c r="AL596" s="692"/>
      <c r="AM596" s="693"/>
      <c r="AN596" s="688"/>
      <c r="AO596" s="688"/>
      <c r="AP596" s="688"/>
      <c r="AQ596" s="688"/>
      <c r="AR596" s="688"/>
      <c r="AS596" s="688"/>
      <c r="AT596" s="689"/>
      <c r="AU596" s="689"/>
      <c r="AV596" s="690"/>
      <c r="AW596" s="690"/>
      <c r="AX596" s="690"/>
      <c r="AY596" s="690"/>
      <c r="AZ596" s="690"/>
      <c r="BA596" s="690"/>
      <c r="BB596" s="695"/>
      <c r="BC596" s="695"/>
      <c r="BD596" s="695"/>
      <c r="BE596" s="695"/>
      <c r="BF596" s="692"/>
      <c r="BG596" s="692"/>
      <c r="BH596" s="692"/>
      <c r="BI596" s="692"/>
      <c r="BJ596" s="692"/>
      <c r="BK596" s="692"/>
      <c r="BL596" s="693"/>
      <c r="BM596" s="693"/>
      <c r="BN596" s="688"/>
      <c r="BO596" s="693"/>
      <c r="BP596" s="689"/>
      <c r="BQ596" s="694"/>
      <c r="BR596" s="687"/>
      <c r="BS596" s="687"/>
      <c r="BT596" s="687"/>
      <c r="BU596" s="687"/>
      <c r="BV596" s="687"/>
      <c r="BW596" s="688"/>
      <c r="BX596" s="688"/>
      <c r="BY596" s="689"/>
      <c r="BZ596" s="690"/>
      <c r="CA596" s="690"/>
      <c r="CB596" s="690"/>
      <c r="CC596" s="691"/>
      <c r="CD596" s="691"/>
      <c r="CE596" s="692"/>
      <c r="CF596" s="692"/>
      <c r="CG596" s="692"/>
      <c r="CH596" s="693"/>
    </row>
    <row r="597">
      <c r="B597" s="687"/>
      <c r="C597" s="687"/>
      <c r="D597" s="688"/>
      <c r="E597" s="689"/>
      <c r="F597" s="690"/>
      <c r="G597" s="690"/>
      <c r="H597" s="690"/>
      <c r="I597" s="691"/>
      <c r="J597" s="691"/>
      <c r="K597" s="691"/>
      <c r="L597" s="692"/>
      <c r="M597" s="692"/>
      <c r="N597" s="692"/>
      <c r="O597" s="693"/>
      <c r="P597" s="688"/>
      <c r="Q597" s="688"/>
      <c r="R597" s="688"/>
      <c r="S597" s="688"/>
      <c r="T597" s="689"/>
      <c r="U597" s="689"/>
      <c r="V597" s="694"/>
      <c r="W597" s="694"/>
      <c r="X597" s="694"/>
      <c r="Y597" s="694"/>
      <c r="Z597" s="693"/>
      <c r="AA597" s="693"/>
      <c r="AB597" s="693"/>
      <c r="AC597" s="693"/>
      <c r="AD597" s="688"/>
      <c r="AE597" s="689"/>
      <c r="AF597" s="689"/>
      <c r="AG597" s="690"/>
      <c r="AH597" s="690"/>
      <c r="AI597" s="695"/>
      <c r="AJ597" s="695"/>
      <c r="AK597" s="692"/>
      <c r="AL597" s="692"/>
      <c r="AM597" s="693"/>
      <c r="AN597" s="688"/>
      <c r="AO597" s="688"/>
      <c r="AP597" s="688"/>
      <c r="AQ597" s="688"/>
      <c r="AR597" s="688"/>
      <c r="AS597" s="688"/>
      <c r="AT597" s="689"/>
      <c r="AU597" s="689"/>
      <c r="AV597" s="690"/>
      <c r="AW597" s="690"/>
      <c r="AX597" s="690"/>
      <c r="AY597" s="690"/>
      <c r="AZ597" s="690"/>
      <c r="BA597" s="690"/>
      <c r="BB597" s="695"/>
      <c r="BC597" s="695"/>
      <c r="BD597" s="695"/>
      <c r="BE597" s="695"/>
      <c r="BF597" s="692"/>
      <c r="BG597" s="692"/>
      <c r="BH597" s="692"/>
      <c r="BI597" s="692"/>
      <c r="BJ597" s="692"/>
      <c r="BK597" s="692"/>
      <c r="BL597" s="693"/>
      <c r="BM597" s="693"/>
      <c r="BN597" s="688"/>
      <c r="BO597" s="693"/>
      <c r="BP597" s="689"/>
      <c r="BQ597" s="694"/>
      <c r="BR597" s="687"/>
      <c r="BS597" s="687"/>
      <c r="BT597" s="687"/>
      <c r="BU597" s="687"/>
      <c r="BV597" s="687"/>
      <c r="BW597" s="688"/>
      <c r="BX597" s="688"/>
      <c r="BY597" s="689"/>
      <c r="BZ597" s="690"/>
      <c r="CA597" s="690"/>
      <c r="CB597" s="690"/>
      <c r="CC597" s="691"/>
      <c r="CD597" s="691"/>
      <c r="CE597" s="692"/>
      <c r="CF597" s="692"/>
      <c r="CG597" s="692"/>
      <c r="CH597" s="693"/>
    </row>
    <row r="598">
      <c r="B598" s="687"/>
      <c r="C598" s="687"/>
      <c r="D598" s="688"/>
      <c r="E598" s="689"/>
      <c r="F598" s="690"/>
      <c r="G598" s="690"/>
      <c r="H598" s="690"/>
      <c r="I598" s="691"/>
      <c r="J598" s="691"/>
      <c r="K598" s="691"/>
      <c r="L598" s="692"/>
      <c r="M598" s="692"/>
      <c r="N598" s="692"/>
      <c r="O598" s="693"/>
      <c r="P598" s="688"/>
      <c r="Q598" s="688"/>
      <c r="R598" s="688"/>
      <c r="S598" s="688"/>
      <c r="T598" s="689"/>
      <c r="U598" s="689"/>
      <c r="V598" s="694"/>
      <c r="W598" s="694"/>
      <c r="X598" s="694"/>
      <c r="Y598" s="694"/>
      <c r="Z598" s="693"/>
      <c r="AA598" s="693"/>
      <c r="AB598" s="693"/>
      <c r="AC598" s="693"/>
      <c r="AD598" s="688"/>
      <c r="AE598" s="689"/>
      <c r="AF598" s="689"/>
      <c r="AG598" s="690"/>
      <c r="AH598" s="690"/>
      <c r="AI598" s="695"/>
      <c r="AJ598" s="695"/>
      <c r="AK598" s="692"/>
      <c r="AL598" s="692"/>
      <c r="AM598" s="693"/>
      <c r="AN598" s="688"/>
      <c r="AO598" s="688"/>
      <c r="AP598" s="688"/>
      <c r="AQ598" s="688"/>
      <c r="AR598" s="688"/>
      <c r="AS598" s="688"/>
      <c r="AT598" s="689"/>
      <c r="AU598" s="689"/>
      <c r="AV598" s="690"/>
      <c r="AW598" s="690"/>
      <c r="AX598" s="690"/>
      <c r="AY598" s="690"/>
      <c r="AZ598" s="690"/>
      <c r="BA598" s="690"/>
      <c r="BB598" s="695"/>
      <c r="BC598" s="695"/>
      <c r="BD598" s="695"/>
      <c r="BE598" s="695"/>
      <c r="BF598" s="692"/>
      <c r="BG598" s="692"/>
      <c r="BH598" s="692"/>
      <c r="BI598" s="692"/>
      <c r="BJ598" s="692"/>
      <c r="BK598" s="692"/>
      <c r="BL598" s="693"/>
      <c r="BM598" s="693"/>
      <c r="BN598" s="688"/>
      <c r="BO598" s="693"/>
      <c r="BP598" s="689"/>
      <c r="BQ598" s="694"/>
      <c r="BR598" s="687"/>
      <c r="BS598" s="687"/>
      <c r="BT598" s="687"/>
      <c r="BU598" s="687"/>
      <c r="BV598" s="687"/>
      <c r="BW598" s="688"/>
      <c r="BX598" s="688"/>
      <c r="BY598" s="689"/>
      <c r="BZ598" s="690"/>
      <c r="CA598" s="690"/>
      <c r="CB598" s="690"/>
      <c r="CC598" s="691"/>
      <c r="CD598" s="691"/>
      <c r="CE598" s="692"/>
      <c r="CF598" s="692"/>
      <c r="CG598" s="692"/>
      <c r="CH598" s="693"/>
    </row>
    <row r="599">
      <c r="B599" s="687"/>
      <c r="C599" s="687"/>
      <c r="D599" s="688"/>
      <c r="E599" s="689"/>
      <c r="F599" s="690"/>
      <c r="G599" s="690"/>
      <c r="H599" s="690"/>
      <c r="I599" s="691"/>
      <c r="J599" s="691"/>
      <c r="K599" s="691"/>
      <c r="L599" s="692"/>
      <c r="M599" s="692"/>
      <c r="N599" s="692"/>
      <c r="O599" s="693"/>
      <c r="P599" s="688"/>
      <c r="Q599" s="688"/>
      <c r="R599" s="688"/>
      <c r="S599" s="688"/>
      <c r="T599" s="689"/>
      <c r="U599" s="689"/>
      <c r="V599" s="694"/>
      <c r="W599" s="694"/>
      <c r="X599" s="694"/>
      <c r="Y599" s="694"/>
      <c r="Z599" s="693"/>
      <c r="AA599" s="693"/>
      <c r="AB599" s="693"/>
      <c r="AC599" s="693"/>
      <c r="AD599" s="688"/>
      <c r="AE599" s="689"/>
      <c r="AF599" s="689"/>
      <c r="AG599" s="690"/>
      <c r="AH599" s="690"/>
      <c r="AI599" s="695"/>
      <c r="AJ599" s="695"/>
      <c r="AK599" s="692"/>
      <c r="AL599" s="692"/>
      <c r="AM599" s="693"/>
      <c r="AN599" s="688"/>
      <c r="AO599" s="688"/>
      <c r="AP599" s="688"/>
      <c r="AQ599" s="688"/>
      <c r="AR599" s="688"/>
      <c r="AS599" s="688"/>
      <c r="AT599" s="689"/>
      <c r="AU599" s="689"/>
      <c r="AV599" s="690"/>
      <c r="AW599" s="690"/>
      <c r="AX599" s="690"/>
      <c r="AY599" s="690"/>
      <c r="AZ599" s="690"/>
      <c r="BA599" s="690"/>
      <c r="BB599" s="695"/>
      <c r="BC599" s="695"/>
      <c r="BD599" s="695"/>
      <c r="BE599" s="695"/>
      <c r="BF599" s="692"/>
      <c r="BG599" s="692"/>
      <c r="BH599" s="692"/>
      <c r="BI599" s="692"/>
      <c r="BJ599" s="692"/>
      <c r="BK599" s="692"/>
      <c r="BL599" s="693"/>
      <c r="BM599" s="693"/>
      <c r="BN599" s="688"/>
      <c r="BO599" s="693"/>
      <c r="BP599" s="689"/>
      <c r="BQ599" s="694"/>
      <c r="BR599" s="687"/>
      <c r="BS599" s="687"/>
      <c r="BT599" s="687"/>
      <c r="BU599" s="687"/>
      <c r="BV599" s="687"/>
      <c r="BW599" s="688"/>
      <c r="BX599" s="688"/>
      <c r="BY599" s="689"/>
      <c r="BZ599" s="690"/>
      <c r="CA599" s="690"/>
      <c r="CB599" s="690"/>
      <c r="CC599" s="691"/>
      <c r="CD599" s="691"/>
      <c r="CE599" s="692"/>
      <c r="CF599" s="692"/>
      <c r="CG599" s="692"/>
      <c r="CH599" s="693"/>
    </row>
    <row r="600">
      <c r="B600" s="687"/>
      <c r="C600" s="687"/>
      <c r="D600" s="688"/>
      <c r="E600" s="689"/>
      <c r="F600" s="690"/>
      <c r="G600" s="690"/>
      <c r="H600" s="690"/>
      <c r="I600" s="691"/>
      <c r="J600" s="691"/>
      <c r="K600" s="691"/>
      <c r="L600" s="692"/>
      <c r="M600" s="692"/>
      <c r="N600" s="692"/>
      <c r="O600" s="693"/>
      <c r="P600" s="688"/>
      <c r="Q600" s="688"/>
      <c r="R600" s="688"/>
      <c r="S600" s="688"/>
      <c r="T600" s="689"/>
      <c r="U600" s="689"/>
      <c r="V600" s="694"/>
      <c r="W600" s="694"/>
      <c r="X600" s="694"/>
      <c r="Y600" s="694"/>
      <c r="Z600" s="693"/>
      <c r="AA600" s="693"/>
      <c r="AB600" s="693"/>
      <c r="AC600" s="693"/>
      <c r="AD600" s="688"/>
      <c r="AE600" s="689"/>
      <c r="AF600" s="689"/>
      <c r="AG600" s="690"/>
      <c r="AH600" s="690"/>
      <c r="AI600" s="695"/>
      <c r="AJ600" s="695"/>
      <c r="AK600" s="692"/>
      <c r="AL600" s="692"/>
      <c r="AM600" s="693"/>
      <c r="AN600" s="688"/>
      <c r="AO600" s="688"/>
      <c r="AP600" s="688"/>
      <c r="AQ600" s="688"/>
      <c r="AR600" s="688"/>
      <c r="AS600" s="688"/>
      <c r="AT600" s="689"/>
      <c r="AU600" s="689"/>
      <c r="AV600" s="690"/>
      <c r="AW600" s="690"/>
      <c r="AX600" s="690"/>
      <c r="AY600" s="690"/>
      <c r="AZ600" s="690"/>
      <c r="BA600" s="690"/>
      <c r="BB600" s="695"/>
      <c r="BC600" s="695"/>
      <c r="BD600" s="695"/>
      <c r="BE600" s="695"/>
      <c r="BF600" s="692"/>
      <c r="BG600" s="692"/>
      <c r="BH600" s="692"/>
      <c r="BI600" s="692"/>
      <c r="BJ600" s="692"/>
      <c r="BK600" s="692"/>
      <c r="BL600" s="693"/>
      <c r="BM600" s="693"/>
      <c r="BN600" s="688"/>
      <c r="BO600" s="693"/>
      <c r="BP600" s="689"/>
      <c r="BQ600" s="694"/>
      <c r="BR600" s="687"/>
      <c r="BS600" s="687"/>
      <c r="BT600" s="687"/>
      <c r="BU600" s="687"/>
      <c r="BV600" s="687"/>
      <c r="BW600" s="688"/>
      <c r="BX600" s="688"/>
      <c r="BY600" s="689"/>
      <c r="BZ600" s="690"/>
      <c r="CA600" s="690"/>
      <c r="CB600" s="690"/>
      <c r="CC600" s="691"/>
      <c r="CD600" s="691"/>
      <c r="CE600" s="692"/>
      <c r="CF600" s="692"/>
      <c r="CG600" s="692"/>
      <c r="CH600" s="693"/>
    </row>
    <row r="601">
      <c r="B601" s="687"/>
      <c r="C601" s="687"/>
      <c r="D601" s="688"/>
      <c r="E601" s="689"/>
      <c r="F601" s="690"/>
      <c r="G601" s="690"/>
      <c r="H601" s="690"/>
      <c r="I601" s="691"/>
      <c r="J601" s="691"/>
      <c r="K601" s="691"/>
      <c r="L601" s="692"/>
      <c r="M601" s="692"/>
      <c r="N601" s="692"/>
      <c r="O601" s="693"/>
      <c r="P601" s="688"/>
      <c r="Q601" s="688"/>
      <c r="R601" s="688"/>
      <c r="S601" s="688"/>
      <c r="T601" s="689"/>
      <c r="U601" s="689"/>
      <c r="V601" s="694"/>
      <c r="W601" s="694"/>
      <c r="X601" s="694"/>
      <c r="Y601" s="694"/>
      <c r="Z601" s="693"/>
      <c r="AA601" s="693"/>
      <c r="AB601" s="693"/>
      <c r="AC601" s="693"/>
      <c r="AD601" s="688"/>
      <c r="AE601" s="689"/>
      <c r="AF601" s="689"/>
      <c r="AG601" s="690"/>
      <c r="AH601" s="690"/>
      <c r="AI601" s="695"/>
      <c r="AJ601" s="695"/>
      <c r="AK601" s="692"/>
      <c r="AL601" s="692"/>
      <c r="AM601" s="693"/>
      <c r="AN601" s="688"/>
      <c r="AO601" s="688"/>
      <c r="AP601" s="688"/>
      <c r="AQ601" s="688"/>
      <c r="AR601" s="688"/>
      <c r="AS601" s="688"/>
      <c r="AT601" s="689"/>
      <c r="AU601" s="689"/>
      <c r="AV601" s="690"/>
      <c r="AW601" s="690"/>
      <c r="AX601" s="690"/>
      <c r="AY601" s="690"/>
      <c r="AZ601" s="690"/>
      <c r="BA601" s="690"/>
      <c r="BB601" s="695"/>
      <c r="BC601" s="695"/>
      <c r="BD601" s="695"/>
      <c r="BE601" s="695"/>
      <c r="BF601" s="692"/>
      <c r="BG601" s="692"/>
      <c r="BH601" s="692"/>
      <c r="BI601" s="692"/>
      <c r="BJ601" s="692"/>
      <c r="BK601" s="692"/>
      <c r="BL601" s="693"/>
      <c r="BM601" s="693"/>
      <c r="BN601" s="688"/>
      <c r="BO601" s="693"/>
      <c r="BP601" s="689"/>
      <c r="BQ601" s="694"/>
      <c r="BR601" s="687"/>
      <c r="BS601" s="687"/>
      <c r="BT601" s="687"/>
      <c r="BU601" s="687"/>
      <c r="BV601" s="687"/>
      <c r="BW601" s="688"/>
      <c r="BX601" s="688"/>
      <c r="BY601" s="689"/>
      <c r="BZ601" s="690"/>
      <c r="CA601" s="690"/>
      <c r="CB601" s="690"/>
      <c r="CC601" s="691"/>
      <c r="CD601" s="691"/>
      <c r="CE601" s="692"/>
      <c r="CF601" s="692"/>
      <c r="CG601" s="692"/>
      <c r="CH601" s="693"/>
    </row>
    <row r="602">
      <c r="B602" s="687"/>
      <c r="C602" s="687"/>
      <c r="D602" s="688"/>
      <c r="E602" s="689"/>
      <c r="F602" s="690"/>
      <c r="G602" s="690"/>
      <c r="H602" s="690"/>
      <c r="I602" s="691"/>
      <c r="J602" s="691"/>
      <c r="K602" s="691"/>
      <c r="L602" s="692"/>
      <c r="M602" s="692"/>
      <c r="N602" s="692"/>
      <c r="O602" s="693"/>
      <c r="P602" s="688"/>
      <c r="Q602" s="688"/>
      <c r="R602" s="688"/>
      <c r="S602" s="688"/>
      <c r="T602" s="689"/>
      <c r="U602" s="689"/>
      <c r="V602" s="694"/>
      <c r="W602" s="694"/>
      <c r="X602" s="694"/>
      <c r="Y602" s="694"/>
      <c r="Z602" s="693"/>
      <c r="AA602" s="693"/>
      <c r="AB602" s="693"/>
      <c r="AC602" s="693"/>
      <c r="AD602" s="688"/>
      <c r="AE602" s="689"/>
      <c r="AF602" s="689"/>
      <c r="AG602" s="690"/>
      <c r="AH602" s="690"/>
      <c r="AI602" s="695"/>
      <c r="AJ602" s="695"/>
      <c r="AK602" s="692"/>
      <c r="AL602" s="692"/>
      <c r="AM602" s="693"/>
      <c r="AN602" s="688"/>
      <c r="AO602" s="688"/>
      <c r="AP602" s="688"/>
      <c r="AQ602" s="688"/>
      <c r="AR602" s="688"/>
      <c r="AS602" s="688"/>
      <c r="AT602" s="689"/>
      <c r="AU602" s="689"/>
      <c r="AV602" s="690"/>
      <c r="AW602" s="690"/>
      <c r="AX602" s="690"/>
      <c r="AY602" s="690"/>
      <c r="AZ602" s="690"/>
      <c r="BA602" s="690"/>
      <c r="BB602" s="695"/>
      <c r="BC602" s="695"/>
      <c r="BD602" s="695"/>
      <c r="BE602" s="695"/>
      <c r="BF602" s="692"/>
      <c r="BG602" s="692"/>
      <c r="BH602" s="692"/>
      <c r="BI602" s="692"/>
      <c r="BJ602" s="692"/>
      <c r="BK602" s="692"/>
      <c r="BL602" s="693"/>
      <c r="BM602" s="693"/>
      <c r="BN602" s="688"/>
      <c r="BO602" s="693"/>
      <c r="BP602" s="689"/>
      <c r="BQ602" s="694"/>
      <c r="BR602" s="687"/>
      <c r="BS602" s="687"/>
      <c r="BT602" s="687"/>
      <c r="BU602" s="687"/>
      <c r="BV602" s="687"/>
      <c r="BW602" s="688"/>
      <c r="BX602" s="688"/>
      <c r="BY602" s="689"/>
      <c r="BZ602" s="690"/>
      <c r="CA602" s="690"/>
      <c r="CB602" s="690"/>
      <c r="CC602" s="691"/>
      <c r="CD602" s="691"/>
      <c r="CE602" s="692"/>
      <c r="CF602" s="692"/>
      <c r="CG602" s="692"/>
      <c r="CH602" s="693"/>
    </row>
    <row r="603">
      <c r="B603" s="687"/>
      <c r="C603" s="687"/>
      <c r="D603" s="688"/>
      <c r="E603" s="689"/>
      <c r="F603" s="690"/>
      <c r="G603" s="690"/>
      <c r="H603" s="690"/>
      <c r="I603" s="691"/>
      <c r="J603" s="691"/>
      <c r="K603" s="691"/>
      <c r="L603" s="692"/>
      <c r="M603" s="692"/>
      <c r="N603" s="692"/>
      <c r="O603" s="693"/>
      <c r="P603" s="688"/>
      <c r="Q603" s="688"/>
      <c r="R603" s="688"/>
      <c r="S603" s="688"/>
      <c r="T603" s="689"/>
      <c r="U603" s="689"/>
      <c r="V603" s="694"/>
      <c r="W603" s="694"/>
      <c r="X603" s="694"/>
      <c r="Y603" s="694"/>
      <c r="Z603" s="693"/>
      <c r="AA603" s="693"/>
      <c r="AB603" s="693"/>
      <c r="AC603" s="693"/>
      <c r="AD603" s="688"/>
      <c r="AE603" s="689"/>
      <c r="AF603" s="689"/>
      <c r="AG603" s="690"/>
      <c r="AH603" s="690"/>
      <c r="AI603" s="695"/>
      <c r="AJ603" s="695"/>
      <c r="AK603" s="692"/>
      <c r="AL603" s="692"/>
      <c r="AM603" s="693"/>
      <c r="AN603" s="688"/>
      <c r="AO603" s="688"/>
      <c r="AP603" s="688"/>
      <c r="AQ603" s="688"/>
      <c r="AR603" s="688"/>
      <c r="AS603" s="688"/>
      <c r="AT603" s="689"/>
      <c r="AU603" s="689"/>
      <c r="AV603" s="690"/>
      <c r="AW603" s="690"/>
      <c r="AX603" s="690"/>
      <c r="AY603" s="690"/>
      <c r="AZ603" s="690"/>
      <c r="BA603" s="690"/>
      <c r="BB603" s="695"/>
      <c r="BC603" s="695"/>
      <c r="BD603" s="695"/>
      <c r="BE603" s="695"/>
      <c r="BF603" s="692"/>
      <c r="BG603" s="692"/>
      <c r="BH603" s="692"/>
      <c r="BI603" s="692"/>
      <c r="BJ603" s="692"/>
      <c r="BK603" s="692"/>
      <c r="BL603" s="693"/>
      <c r="BM603" s="693"/>
      <c r="BN603" s="688"/>
      <c r="BO603" s="693"/>
      <c r="BP603" s="689"/>
      <c r="BQ603" s="694"/>
      <c r="BR603" s="687"/>
      <c r="BS603" s="687"/>
      <c r="BT603" s="687"/>
      <c r="BU603" s="687"/>
      <c r="BV603" s="687"/>
      <c r="BW603" s="688"/>
      <c r="BX603" s="688"/>
      <c r="BY603" s="689"/>
      <c r="BZ603" s="690"/>
      <c r="CA603" s="690"/>
      <c r="CB603" s="690"/>
      <c r="CC603" s="691"/>
      <c r="CD603" s="691"/>
      <c r="CE603" s="692"/>
      <c r="CF603" s="692"/>
      <c r="CG603" s="692"/>
      <c r="CH603" s="693"/>
    </row>
    <row r="604">
      <c r="B604" s="687"/>
      <c r="C604" s="687"/>
      <c r="D604" s="688"/>
      <c r="E604" s="689"/>
      <c r="F604" s="690"/>
      <c r="G604" s="690"/>
      <c r="H604" s="690"/>
      <c r="I604" s="691"/>
      <c r="J604" s="691"/>
      <c r="K604" s="691"/>
      <c r="L604" s="692"/>
      <c r="M604" s="692"/>
      <c r="N604" s="692"/>
      <c r="O604" s="693"/>
      <c r="P604" s="688"/>
      <c r="Q604" s="688"/>
      <c r="R604" s="688"/>
      <c r="S604" s="688"/>
      <c r="T604" s="689"/>
      <c r="U604" s="689"/>
      <c r="V604" s="694"/>
      <c r="W604" s="694"/>
      <c r="X604" s="694"/>
      <c r="Y604" s="694"/>
      <c r="Z604" s="693"/>
      <c r="AA604" s="693"/>
      <c r="AB604" s="693"/>
      <c r="AC604" s="693"/>
      <c r="AD604" s="688"/>
      <c r="AE604" s="689"/>
      <c r="AF604" s="689"/>
      <c r="AG604" s="690"/>
      <c r="AH604" s="690"/>
      <c r="AI604" s="695"/>
      <c r="AJ604" s="695"/>
      <c r="AK604" s="692"/>
      <c r="AL604" s="692"/>
      <c r="AM604" s="693"/>
      <c r="AN604" s="688"/>
      <c r="AO604" s="688"/>
      <c r="AP604" s="688"/>
      <c r="AQ604" s="688"/>
      <c r="AR604" s="688"/>
      <c r="AS604" s="688"/>
      <c r="AT604" s="689"/>
      <c r="AU604" s="689"/>
      <c r="AV604" s="690"/>
      <c r="AW604" s="690"/>
      <c r="AX604" s="690"/>
      <c r="AY604" s="690"/>
      <c r="AZ604" s="690"/>
      <c r="BA604" s="690"/>
      <c r="BB604" s="695"/>
      <c r="BC604" s="695"/>
      <c r="BD604" s="695"/>
      <c r="BE604" s="695"/>
      <c r="BF604" s="692"/>
      <c r="BG604" s="692"/>
      <c r="BH604" s="692"/>
      <c r="BI604" s="692"/>
      <c r="BJ604" s="692"/>
      <c r="BK604" s="692"/>
      <c r="BL604" s="693"/>
      <c r="BM604" s="693"/>
      <c r="BN604" s="688"/>
      <c r="BO604" s="693"/>
      <c r="BP604" s="689"/>
      <c r="BQ604" s="694"/>
      <c r="BR604" s="687"/>
      <c r="BS604" s="687"/>
      <c r="BT604" s="687"/>
      <c r="BU604" s="687"/>
      <c r="BV604" s="687"/>
      <c r="BW604" s="688"/>
      <c r="BX604" s="688"/>
      <c r="BY604" s="689"/>
      <c r="BZ604" s="690"/>
      <c r="CA604" s="690"/>
      <c r="CB604" s="690"/>
      <c r="CC604" s="691"/>
      <c r="CD604" s="691"/>
      <c r="CE604" s="692"/>
      <c r="CF604" s="692"/>
      <c r="CG604" s="692"/>
      <c r="CH604" s="693"/>
    </row>
    <row r="605">
      <c r="B605" s="687"/>
      <c r="C605" s="687"/>
      <c r="D605" s="688"/>
      <c r="E605" s="689"/>
      <c r="F605" s="690"/>
      <c r="G605" s="690"/>
      <c r="H605" s="690"/>
      <c r="I605" s="691"/>
      <c r="J605" s="691"/>
      <c r="K605" s="691"/>
      <c r="L605" s="692"/>
      <c r="M605" s="692"/>
      <c r="N605" s="692"/>
      <c r="O605" s="693"/>
      <c r="P605" s="688"/>
      <c r="Q605" s="688"/>
      <c r="R605" s="688"/>
      <c r="S605" s="688"/>
      <c r="T605" s="689"/>
      <c r="U605" s="689"/>
      <c r="V605" s="694"/>
      <c r="W605" s="694"/>
      <c r="X605" s="694"/>
      <c r="Y605" s="694"/>
      <c r="Z605" s="693"/>
      <c r="AA605" s="693"/>
      <c r="AB605" s="693"/>
      <c r="AC605" s="693"/>
      <c r="AD605" s="688"/>
      <c r="AE605" s="689"/>
      <c r="AF605" s="689"/>
      <c r="AG605" s="690"/>
      <c r="AH605" s="690"/>
      <c r="AI605" s="695"/>
      <c r="AJ605" s="695"/>
      <c r="AK605" s="692"/>
      <c r="AL605" s="692"/>
      <c r="AM605" s="693"/>
      <c r="AN605" s="688"/>
      <c r="AO605" s="688"/>
      <c r="AP605" s="688"/>
      <c r="AQ605" s="688"/>
      <c r="AR605" s="688"/>
      <c r="AS605" s="688"/>
      <c r="AT605" s="689"/>
      <c r="AU605" s="689"/>
      <c r="AV605" s="690"/>
      <c r="AW605" s="690"/>
      <c r="AX605" s="690"/>
      <c r="AY605" s="690"/>
      <c r="AZ605" s="690"/>
      <c r="BA605" s="690"/>
      <c r="BB605" s="695"/>
      <c r="BC605" s="695"/>
      <c r="BD605" s="695"/>
      <c r="BE605" s="695"/>
      <c r="BF605" s="692"/>
      <c r="BG605" s="692"/>
      <c r="BH605" s="692"/>
      <c r="BI605" s="692"/>
      <c r="BJ605" s="692"/>
      <c r="BK605" s="692"/>
      <c r="BL605" s="693"/>
      <c r="BM605" s="693"/>
      <c r="BN605" s="688"/>
      <c r="BO605" s="693"/>
      <c r="BP605" s="689"/>
      <c r="BQ605" s="694"/>
      <c r="BR605" s="687"/>
      <c r="BS605" s="687"/>
      <c r="BT605" s="687"/>
      <c r="BU605" s="687"/>
      <c r="BV605" s="687"/>
      <c r="BW605" s="688"/>
      <c r="BX605" s="688"/>
      <c r="BY605" s="689"/>
      <c r="BZ605" s="690"/>
      <c r="CA605" s="690"/>
      <c r="CB605" s="690"/>
      <c r="CC605" s="691"/>
      <c r="CD605" s="691"/>
      <c r="CE605" s="692"/>
      <c r="CF605" s="692"/>
      <c r="CG605" s="692"/>
      <c r="CH605" s="693"/>
    </row>
    <row r="606">
      <c r="B606" s="687"/>
      <c r="C606" s="687"/>
      <c r="D606" s="688"/>
      <c r="E606" s="689"/>
      <c r="F606" s="690"/>
      <c r="G606" s="690"/>
      <c r="H606" s="690"/>
      <c r="I606" s="691"/>
      <c r="J606" s="691"/>
      <c r="K606" s="691"/>
      <c r="L606" s="692"/>
      <c r="M606" s="692"/>
      <c r="N606" s="692"/>
      <c r="O606" s="693"/>
      <c r="P606" s="688"/>
      <c r="Q606" s="688"/>
      <c r="R606" s="688"/>
      <c r="S606" s="688"/>
      <c r="T606" s="689"/>
      <c r="U606" s="689"/>
      <c r="V606" s="694"/>
      <c r="W606" s="694"/>
      <c r="X606" s="694"/>
      <c r="Y606" s="694"/>
      <c r="Z606" s="693"/>
      <c r="AA606" s="693"/>
      <c r="AB606" s="693"/>
      <c r="AC606" s="693"/>
      <c r="AD606" s="688"/>
      <c r="AE606" s="689"/>
      <c r="AF606" s="689"/>
      <c r="AG606" s="690"/>
      <c r="AH606" s="690"/>
      <c r="AI606" s="695"/>
      <c r="AJ606" s="695"/>
      <c r="AK606" s="692"/>
      <c r="AL606" s="692"/>
      <c r="AM606" s="693"/>
      <c r="AN606" s="688"/>
      <c r="AO606" s="688"/>
      <c r="AP606" s="688"/>
      <c r="AQ606" s="688"/>
      <c r="AR606" s="688"/>
      <c r="AS606" s="688"/>
      <c r="AT606" s="689"/>
      <c r="AU606" s="689"/>
      <c r="AV606" s="690"/>
      <c r="AW606" s="690"/>
      <c r="AX606" s="690"/>
      <c r="AY606" s="690"/>
      <c r="AZ606" s="690"/>
      <c r="BA606" s="690"/>
      <c r="BB606" s="695"/>
      <c r="BC606" s="695"/>
      <c r="BD606" s="695"/>
      <c r="BE606" s="695"/>
      <c r="BF606" s="692"/>
      <c r="BG606" s="692"/>
      <c r="BH606" s="692"/>
      <c r="BI606" s="692"/>
      <c r="BJ606" s="692"/>
      <c r="BK606" s="692"/>
      <c r="BL606" s="693"/>
      <c r="BM606" s="693"/>
      <c r="BN606" s="688"/>
      <c r="BO606" s="693"/>
      <c r="BP606" s="689"/>
      <c r="BQ606" s="694"/>
      <c r="BR606" s="687"/>
      <c r="BS606" s="687"/>
      <c r="BT606" s="687"/>
      <c r="BU606" s="687"/>
      <c r="BV606" s="687"/>
      <c r="BW606" s="688"/>
      <c r="BX606" s="688"/>
      <c r="BY606" s="689"/>
      <c r="BZ606" s="690"/>
      <c r="CA606" s="690"/>
      <c r="CB606" s="690"/>
      <c r="CC606" s="691"/>
      <c r="CD606" s="691"/>
      <c r="CE606" s="692"/>
      <c r="CF606" s="692"/>
      <c r="CG606" s="692"/>
      <c r="CH606" s="693"/>
    </row>
    <row r="607">
      <c r="B607" s="687"/>
      <c r="C607" s="687"/>
      <c r="D607" s="688"/>
      <c r="E607" s="689"/>
      <c r="F607" s="690"/>
      <c r="G607" s="690"/>
      <c r="H607" s="690"/>
      <c r="I607" s="691"/>
      <c r="J607" s="691"/>
      <c r="K607" s="691"/>
      <c r="L607" s="692"/>
      <c r="M607" s="692"/>
      <c r="N607" s="692"/>
      <c r="O607" s="693"/>
      <c r="P607" s="688"/>
      <c r="Q607" s="688"/>
      <c r="R607" s="688"/>
      <c r="S607" s="688"/>
      <c r="T607" s="689"/>
      <c r="U607" s="689"/>
      <c r="V607" s="694"/>
      <c r="W607" s="694"/>
      <c r="X607" s="694"/>
      <c r="Y607" s="694"/>
      <c r="Z607" s="693"/>
      <c r="AA607" s="693"/>
      <c r="AB607" s="693"/>
      <c r="AC607" s="693"/>
      <c r="AD607" s="688"/>
      <c r="AE607" s="689"/>
      <c r="AF607" s="689"/>
      <c r="AG607" s="690"/>
      <c r="AH607" s="690"/>
      <c r="AI607" s="695"/>
      <c r="AJ607" s="695"/>
      <c r="AK607" s="692"/>
      <c r="AL607" s="692"/>
      <c r="AM607" s="693"/>
      <c r="AN607" s="688"/>
      <c r="AO607" s="688"/>
      <c r="AP607" s="688"/>
      <c r="AQ607" s="688"/>
      <c r="AR607" s="688"/>
      <c r="AS607" s="688"/>
      <c r="AT607" s="689"/>
      <c r="AU607" s="689"/>
      <c r="AV607" s="690"/>
      <c r="AW607" s="690"/>
      <c r="AX607" s="690"/>
      <c r="AY607" s="690"/>
      <c r="AZ607" s="690"/>
      <c r="BA607" s="690"/>
      <c r="BB607" s="695"/>
      <c r="BC607" s="695"/>
      <c r="BD607" s="695"/>
      <c r="BE607" s="695"/>
      <c r="BF607" s="692"/>
      <c r="BG607" s="692"/>
      <c r="BH607" s="692"/>
      <c r="BI607" s="692"/>
      <c r="BJ607" s="692"/>
      <c r="BK607" s="692"/>
      <c r="BL607" s="693"/>
      <c r="BM607" s="693"/>
      <c r="BN607" s="688"/>
      <c r="BO607" s="693"/>
      <c r="BP607" s="689"/>
      <c r="BQ607" s="694"/>
      <c r="BR607" s="687"/>
      <c r="BS607" s="687"/>
      <c r="BT607" s="687"/>
      <c r="BU607" s="687"/>
      <c r="BV607" s="687"/>
      <c r="BW607" s="688"/>
      <c r="BX607" s="688"/>
      <c r="BY607" s="689"/>
      <c r="BZ607" s="690"/>
      <c r="CA607" s="690"/>
      <c r="CB607" s="690"/>
      <c r="CC607" s="691"/>
      <c r="CD607" s="691"/>
      <c r="CE607" s="692"/>
      <c r="CF607" s="692"/>
      <c r="CG607" s="692"/>
      <c r="CH607" s="693"/>
    </row>
    <row r="608">
      <c r="B608" s="687"/>
      <c r="C608" s="687"/>
      <c r="D608" s="688"/>
      <c r="E608" s="689"/>
      <c r="F608" s="690"/>
      <c r="G608" s="690"/>
      <c r="H608" s="690"/>
      <c r="I608" s="691"/>
      <c r="J608" s="691"/>
      <c r="K608" s="691"/>
      <c r="L608" s="692"/>
      <c r="M608" s="692"/>
      <c r="N608" s="692"/>
      <c r="O608" s="693"/>
      <c r="P608" s="688"/>
      <c r="Q608" s="688"/>
      <c r="R608" s="688"/>
      <c r="S608" s="688"/>
      <c r="T608" s="689"/>
      <c r="U608" s="689"/>
      <c r="V608" s="694"/>
      <c r="W608" s="694"/>
      <c r="X608" s="694"/>
      <c r="Y608" s="694"/>
      <c r="Z608" s="693"/>
      <c r="AA608" s="693"/>
      <c r="AB608" s="693"/>
      <c r="AC608" s="693"/>
      <c r="AD608" s="688"/>
      <c r="AE608" s="689"/>
      <c r="AF608" s="689"/>
      <c r="AG608" s="690"/>
      <c r="AH608" s="690"/>
      <c r="AI608" s="695"/>
      <c r="AJ608" s="695"/>
      <c r="AK608" s="692"/>
      <c r="AL608" s="692"/>
      <c r="AM608" s="693"/>
      <c r="AN608" s="688"/>
      <c r="AO608" s="688"/>
      <c r="AP608" s="688"/>
      <c r="AQ608" s="688"/>
      <c r="AR608" s="688"/>
      <c r="AS608" s="688"/>
      <c r="AT608" s="689"/>
      <c r="AU608" s="689"/>
      <c r="AV608" s="690"/>
      <c r="AW608" s="690"/>
      <c r="AX608" s="690"/>
      <c r="AY608" s="690"/>
      <c r="AZ608" s="690"/>
      <c r="BA608" s="690"/>
      <c r="BB608" s="695"/>
      <c r="BC608" s="695"/>
      <c r="BD608" s="695"/>
      <c r="BE608" s="695"/>
      <c r="BF608" s="692"/>
      <c r="BG608" s="692"/>
      <c r="BH608" s="692"/>
      <c r="BI608" s="692"/>
      <c r="BJ608" s="692"/>
      <c r="BK608" s="692"/>
      <c r="BL608" s="693"/>
      <c r="BM608" s="693"/>
      <c r="BN608" s="688"/>
      <c r="BO608" s="693"/>
      <c r="BP608" s="689"/>
      <c r="BQ608" s="694"/>
      <c r="BR608" s="687"/>
      <c r="BS608" s="687"/>
      <c r="BT608" s="687"/>
      <c r="BU608" s="687"/>
      <c r="BV608" s="687"/>
      <c r="BW608" s="688"/>
      <c r="BX608" s="688"/>
      <c r="BY608" s="689"/>
      <c r="BZ608" s="690"/>
      <c r="CA608" s="690"/>
      <c r="CB608" s="690"/>
      <c r="CC608" s="691"/>
      <c r="CD608" s="691"/>
      <c r="CE608" s="692"/>
      <c r="CF608" s="692"/>
      <c r="CG608" s="692"/>
      <c r="CH608" s="693"/>
    </row>
    <row r="609">
      <c r="B609" s="687"/>
      <c r="C609" s="687"/>
      <c r="D609" s="688"/>
      <c r="E609" s="689"/>
      <c r="F609" s="690"/>
      <c r="G609" s="690"/>
      <c r="H609" s="690"/>
      <c r="I609" s="691"/>
      <c r="J609" s="691"/>
      <c r="K609" s="691"/>
      <c r="L609" s="692"/>
      <c r="M609" s="692"/>
      <c r="N609" s="692"/>
      <c r="O609" s="693"/>
      <c r="P609" s="688"/>
      <c r="Q609" s="688"/>
      <c r="R609" s="688"/>
      <c r="S609" s="688"/>
      <c r="T609" s="689"/>
      <c r="U609" s="689"/>
      <c r="V609" s="694"/>
      <c r="W609" s="694"/>
      <c r="X609" s="694"/>
      <c r="Y609" s="694"/>
      <c r="Z609" s="693"/>
      <c r="AA609" s="693"/>
      <c r="AB609" s="693"/>
      <c r="AC609" s="693"/>
      <c r="AD609" s="688"/>
      <c r="AE609" s="689"/>
      <c r="AF609" s="689"/>
      <c r="AG609" s="690"/>
      <c r="AH609" s="690"/>
      <c r="AI609" s="695"/>
      <c r="AJ609" s="695"/>
      <c r="AK609" s="692"/>
      <c r="AL609" s="692"/>
      <c r="AM609" s="693"/>
      <c r="AN609" s="688"/>
      <c r="AO609" s="688"/>
      <c r="AP609" s="688"/>
      <c r="AQ609" s="688"/>
      <c r="AR609" s="688"/>
      <c r="AS609" s="688"/>
      <c r="AT609" s="689"/>
      <c r="AU609" s="689"/>
      <c r="AV609" s="690"/>
      <c r="AW609" s="690"/>
      <c r="AX609" s="690"/>
      <c r="AY609" s="690"/>
      <c r="AZ609" s="690"/>
      <c r="BA609" s="690"/>
      <c r="BB609" s="695"/>
      <c r="BC609" s="695"/>
      <c r="BD609" s="695"/>
      <c r="BE609" s="695"/>
      <c r="BF609" s="692"/>
      <c r="BG609" s="692"/>
      <c r="BH609" s="692"/>
      <c r="BI609" s="692"/>
      <c r="BJ609" s="692"/>
      <c r="BK609" s="692"/>
      <c r="BL609" s="693"/>
      <c r="BM609" s="693"/>
      <c r="BN609" s="688"/>
      <c r="BO609" s="693"/>
      <c r="BP609" s="689"/>
      <c r="BQ609" s="694"/>
      <c r="BR609" s="687"/>
      <c r="BS609" s="687"/>
      <c r="BT609" s="687"/>
      <c r="BU609" s="687"/>
      <c r="BV609" s="687"/>
      <c r="BW609" s="688"/>
      <c r="BX609" s="688"/>
      <c r="BY609" s="689"/>
      <c r="BZ609" s="690"/>
      <c r="CA609" s="690"/>
      <c r="CB609" s="690"/>
      <c r="CC609" s="691"/>
      <c r="CD609" s="691"/>
      <c r="CE609" s="692"/>
      <c r="CF609" s="692"/>
      <c r="CG609" s="692"/>
      <c r="CH609" s="693"/>
    </row>
    <row r="610">
      <c r="B610" s="687"/>
      <c r="C610" s="687"/>
      <c r="D610" s="688"/>
      <c r="E610" s="689"/>
      <c r="F610" s="690"/>
      <c r="G610" s="690"/>
      <c r="H610" s="690"/>
      <c r="I610" s="691"/>
      <c r="J610" s="691"/>
      <c r="K610" s="691"/>
      <c r="L610" s="692"/>
      <c r="M610" s="692"/>
      <c r="N610" s="692"/>
      <c r="O610" s="693"/>
      <c r="P610" s="688"/>
      <c r="Q610" s="688"/>
      <c r="R610" s="688"/>
      <c r="S610" s="688"/>
      <c r="T610" s="689"/>
      <c r="U610" s="689"/>
      <c r="V610" s="694"/>
      <c r="W610" s="694"/>
      <c r="X610" s="694"/>
      <c r="Y610" s="694"/>
      <c r="Z610" s="693"/>
      <c r="AA610" s="693"/>
      <c r="AB610" s="693"/>
      <c r="AC610" s="693"/>
      <c r="AD610" s="688"/>
      <c r="AE610" s="689"/>
      <c r="AF610" s="689"/>
      <c r="AG610" s="690"/>
      <c r="AH610" s="690"/>
      <c r="AI610" s="695"/>
      <c r="AJ610" s="695"/>
      <c r="AK610" s="692"/>
      <c r="AL610" s="692"/>
      <c r="AM610" s="693"/>
      <c r="AN610" s="688"/>
      <c r="AO610" s="688"/>
      <c r="AP610" s="688"/>
      <c r="AQ610" s="688"/>
      <c r="AR610" s="688"/>
      <c r="AS610" s="688"/>
      <c r="AT610" s="689"/>
      <c r="AU610" s="689"/>
      <c r="AV610" s="690"/>
      <c r="AW610" s="690"/>
      <c r="AX610" s="690"/>
      <c r="AY610" s="690"/>
      <c r="AZ610" s="690"/>
      <c r="BA610" s="690"/>
      <c r="BB610" s="695"/>
      <c r="BC610" s="695"/>
      <c r="BD610" s="695"/>
      <c r="BE610" s="695"/>
      <c r="BF610" s="692"/>
      <c r="BG610" s="692"/>
      <c r="BH610" s="692"/>
      <c r="BI610" s="692"/>
      <c r="BJ610" s="692"/>
      <c r="BK610" s="692"/>
      <c r="BL610" s="693"/>
      <c r="BM610" s="693"/>
      <c r="BN610" s="688"/>
      <c r="BO610" s="693"/>
      <c r="BP610" s="689"/>
      <c r="BQ610" s="694"/>
      <c r="BR610" s="687"/>
      <c r="BS610" s="687"/>
      <c r="BT610" s="687"/>
      <c r="BU610" s="687"/>
      <c r="BV610" s="687"/>
      <c r="BW610" s="688"/>
      <c r="BX610" s="688"/>
      <c r="BY610" s="689"/>
      <c r="BZ610" s="690"/>
      <c r="CA610" s="690"/>
      <c r="CB610" s="690"/>
      <c r="CC610" s="691"/>
      <c r="CD610" s="691"/>
      <c r="CE610" s="692"/>
      <c r="CF610" s="692"/>
      <c r="CG610" s="692"/>
      <c r="CH610" s="693"/>
    </row>
    <row r="611">
      <c r="B611" s="687"/>
      <c r="C611" s="687"/>
      <c r="D611" s="688"/>
      <c r="E611" s="689"/>
      <c r="F611" s="690"/>
      <c r="G611" s="690"/>
      <c r="H611" s="690"/>
      <c r="I611" s="691"/>
      <c r="J611" s="691"/>
      <c r="K611" s="691"/>
      <c r="L611" s="692"/>
      <c r="M611" s="692"/>
      <c r="N611" s="692"/>
      <c r="O611" s="693"/>
      <c r="P611" s="688"/>
      <c r="Q611" s="688"/>
      <c r="R611" s="688"/>
      <c r="S611" s="688"/>
      <c r="T611" s="689"/>
      <c r="U611" s="689"/>
      <c r="V611" s="694"/>
      <c r="W611" s="694"/>
      <c r="X611" s="694"/>
      <c r="Y611" s="694"/>
      <c r="Z611" s="693"/>
      <c r="AA611" s="693"/>
      <c r="AB611" s="693"/>
      <c r="AC611" s="693"/>
      <c r="AD611" s="688"/>
      <c r="AE611" s="689"/>
      <c r="AF611" s="689"/>
      <c r="AG611" s="690"/>
      <c r="AH611" s="690"/>
      <c r="AI611" s="695"/>
      <c r="AJ611" s="695"/>
      <c r="AK611" s="692"/>
      <c r="AL611" s="692"/>
      <c r="AM611" s="693"/>
      <c r="AN611" s="688"/>
      <c r="AO611" s="688"/>
      <c r="AP611" s="688"/>
      <c r="AQ611" s="688"/>
      <c r="AR611" s="688"/>
      <c r="AS611" s="688"/>
      <c r="AT611" s="689"/>
      <c r="AU611" s="689"/>
      <c r="AV611" s="690"/>
      <c r="AW611" s="690"/>
      <c r="AX611" s="690"/>
      <c r="AY611" s="690"/>
      <c r="AZ611" s="690"/>
      <c r="BA611" s="690"/>
      <c r="BB611" s="695"/>
      <c r="BC611" s="695"/>
      <c r="BD611" s="695"/>
      <c r="BE611" s="695"/>
      <c r="BF611" s="692"/>
      <c r="BG611" s="692"/>
      <c r="BH611" s="692"/>
      <c r="BI611" s="692"/>
      <c r="BJ611" s="692"/>
      <c r="BK611" s="692"/>
      <c r="BL611" s="693"/>
      <c r="BM611" s="693"/>
      <c r="BN611" s="688"/>
      <c r="BO611" s="693"/>
      <c r="BP611" s="689"/>
      <c r="BQ611" s="694"/>
      <c r="BR611" s="687"/>
      <c r="BS611" s="687"/>
      <c r="BT611" s="687"/>
      <c r="BU611" s="687"/>
      <c r="BV611" s="687"/>
      <c r="BW611" s="688"/>
      <c r="BX611" s="688"/>
      <c r="BY611" s="689"/>
      <c r="BZ611" s="690"/>
      <c r="CA611" s="690"/>
      <c r="CB611" s="690"/>
      <c r="CC611" s="691"/>
      <c r="CD611" s="691"/>
      <c r="CE611" s="692"/>
      <c r="CF611" s="692"/>
      <c r="CG611" s="692"/>
      <c r="CH611" s="693"/>
    </row>
    <row r="612">
      <c r="B612" s="687"/>
      <c r="C612" s="687"/>
      <c r="D612" s="688"/>
      <c r="E612" s="689"/>
      <c r="F612" s="690"/>
      <c r="G612" s="690"/>
      <c r="H612" s="690"/>
      <c r="I612" s="691"/>
      <c r="J612" s="691"/>
      <c r="K612" s="691"/>
      <c r="L612" s="692"/>
      <c r="M612" s="692"/>
      <c r="N612" s="692"/>
      <c r="O612" s="693"/>
      <c r="P612" s="688"/>
      <c r="Q612" s="688"/>
      <c r="R612" s="688"/>
      <c r="S612" s="688"/>
      <c r="T612" s="689"/>
      <c r="U612" s="689"/>
      <c r="V612" s="694"/>
      <c r="W612" s="694"/>
      <c r="X612" s="694"/>
      <c r="Y612" s="694"/>
      <c r="Z612" s="693"/>
      <c r="AA612" s="693"/>
      <c r="AB612" s="693"/>
      <c r="AC612" s="693"/>
      <c r="AD612" s="688"/>
      <c r="AE612" s="689"/>
      <c r="AF612" s="689"/>
      <c r="AG612" s="690"/>
      <c r="AH612" s="690"/>
      <c r="AI612" s="695"/>
      <c r="AJ612" s="695"/>
      <c r="AK612" s="692"/>
      <c r="AL612" s="692"/>
      <c r="AM612" s="693"/>
      <c r="AN612" s="688"/>
      <c r="AO612" s="688"/>
      <c r="AP612" s="688"/>
      <c r="AQ612" s="688"/>
      <c r="AR612" s="688"/>
      <c r="AS612" s="688"/>
      <c r="AT612" s="689"/>
      <c r="AU612" s="689"/>
      <c r="AV612" s="690"/>
      <c r="AW612" s="690"/>
      <c r="AX612" s="690"/>
      <c r="AY612" s="690"/>
      <c r="AZ612" s="690"/>
      <c r="BA612" s="690"/>
      <c r="BB612" s="695"/>
      <c r="BC612" s="695"/>
      <c r="BD612" s="695"/>
      <c r="BE612" s="695"/>
      <c r="BF612" s="692"/>
      <c r="BG612" s="692"/>
      <c r="BH612" s="692"/>
      <c r="BI612" s="692"/>
      <c r="BJ612" s="692"/>
      <c r="BK612" s="692"/>
      <c r="BL612" s="693"/>
      <c r="BM612" s="693"/>
      <c r="BN612" s="688"/>
      <c r="BO612" s="693"/>
      <c r="BP612" s="689"/>
      <c r="BQ612" s="694"/>
      <c r="BR612" s="687"/>
      <c r="BS612" s="687"/>
      <c r="BT612" s="687"/>
      <c r="BU612" s="687"/>
      <c r="BV612" s="687"/>
      <c r="BW612" s="688"/>
      <c r="BX612" s="688"/>
      <c r="BY612" s="689"/>
      <c r="BZ612" s="690"/>
      <c r="CA612" s="690"/>
      <c r="CB612" s="690"/>
      <c r="CC612" s="691"/>
      <c r="CD612" s="691"/>
      <c r="CE612" s="692"/>
      <c r="CF612" s="692"/>
      <c r="CG612" s="692"/>
      <c r="CH612" s="693"/>
    </row>
    <row r="613">
      <c r="B613" s="687"/>
      <c r="C613" s="687"/>
      <c r="D613" s="688"/>
      <c r="E613" s="689"/>
      <c r="F613" s="690"/>
      <c r="G613" s="690"/>
      <c r="H613" s="690"/>
      <c r="I613" s="691"/>
      <c r="J613" s="691"/>
      <c r="K613" s="691"/>
      <c r="L613" s="692"/>
      <c r="M613" s="692"/>
      <c r="N613" s="692"/>
      <c r="O613" s="693"/>
      <c r="P613" s="688"/>
      <c r="Q613" s="688"/>
      <c r="R613" s="688"/>
      <c r="S613" s="688"/>
      <c r="T613" s="689"/>
      <c r="U613" s="689"/>
      <c r="V613" s="694"/>
      <c r="W613" s="694"/>
      <c r="X613" s="694"/>
      <c r="Y613" s="694"/>
      <c r="Z613" s="693"/>
      <c r="AA613" s="693"/>
      <c r="AB613" s="693"/>
      <c r="AC613" s="693"/>
      <c r="AD613" s="688"/>
      <c r="AE613" s="689"/>
      <c r="AF613" s="689"/>
      <c r="AG613" s="690"/>
      <c r="AH613" s="690"/>
      <c r="AI613" s="695"/>
      <c r="AJ613" s="695"/>
      <c r="AK613" s="692"/>
      <c r="AL613" s="692"/>
      <c r="AM613" s="693"/>
      <c r="AN613" s="688"/>
      <c r="AO613" s="688"/>
      <c r="AP613" s="688"/>
      <c r="AQ613" s="688"/>
      <c r="AR613" s="688"/>
      <c r="AS613" s="688"/>
      <c r="AT613" s="689"/>
      <c r="AU613" s="689"/>
      <c r="AV613" s="690"/>
      <c r="AW613" s="690"/>
      <c r="AX613" s="690"/>
      <c r="AY613" s="690"/>
      <c r="AZ613" s="690"/>
      <c r="BA613" s="690"/>
      <c r="BB613" s="695"/>
      <c r="BC613" s="695"/>
      <c r="BD613" s="695"/>
      <c r="BE613" s="695"/>
      <c r="BF613" s="692"/>
      <c r="BG613" s="692"/>
      <c r="BH613" s="692"/>
      <c r="BI613" s="692"/>
      <c r="BJ613" s="692"/>
      <c r="BK613" s="692"/>
      <c r="BL613" s="693"/>
      <c r="BM613" s="693"/>
      <c r="BN613" s="688"/>
      <c r="BO613" s="693"/>
      <c r="BP613" s="689"/>
      <c r="BQ613" s="694"/>
      <c r="BR613" s="687"/>
      <c r="BS613" s="687"/>
      <c r="BT613" s="687"/>
      <c r="BU613" s="687"/>
      <c r="BV613" s="687"/>
      <c r="BW613" s="688"/>
      <c r="BX613" s="688"/>
      <c r="BY613" s="689"/>
      <c r="BZ613" s="690"/>
      <c r="CA613" s="690"/>
      <c r="CB613" s="690"/>
      <c r="CC613" s="691"/>
      <c r="CD613" s="691"/>
      <c r="CE613" s="692"/>
      <c r="CF613" s="692"/>
      <c r="CG613" s="692"/>
      <c r="CH613" s="693"/>
    </row>
    <row r="614">
      <c r="B614" s="687"/>
      <c r="C614" s="687"/>
      <c r="D614" s="688"/>
      <c r="E614" s="689"/>
      <c r="F614" s="690"/>
      <c r="G614" s="690"/>
      <c r="H614" s="690"/>
      <c r="I614" s="691"/>
      <c r="J614" s="691"/>
      <c r="K614" s="691"/>
      <c r="L614" s="692"/>
      <c r="M614" s="692"/>
      <c r="N614" s="692"/>
      <c r="O614" s="693"/>
      <c r="P614" s="688"/>
      <c r="Q614" s="688"/>
      <c r="R614" s="688"/>
      <c r="S614" s="688"/>
      <c r="T614" s="689"/>
      <c r="U614" s="689"/>
      <c r="V614" s="694"/>
      <c r="W614" s="694"/>
      <c r="X614" s="694"/>
      <c r="Y614" s="694"/>
      <c r="Z614" s="693"/>
      <c r="AA614" s="693"/>
      <c r="AB614" s="693"/>
      <c r="AC614" s="693"/>
      <c r="AD614" s="688"/>
      <c r="AE614" s="689"/>
      <c r="AF614" s="689"/>
      <c r="AG614" s="690"/>
      <c r="AH614" s="690"/>
      <c r="AI614" s="695"/>
      <c r="AJ614" s="695"/>
      <c r="AK614" s="692"/>
      <c r="AL614" s="692"/>
      <c r="AM614" s="693"/>
      <c r="AN614" s="688"/>
      <c r="AO614" s="688"/>
      <c r="AP614" s="688"/>
      <c r="AQ614" s="688"/>
      <c r="AR614" s="688"/>
      <c r="AS614" s="688"/>
      <c r="AT614" s="689"/>
      <c r="AU614" s="689"/>
      <c r="AV614" s="690"/>
      <c r="AW614" s="690"/>
      <c r="AX614" s="690"/>
      <c r="AY614" s="690"/>
      <c r="AZ614" s="690"/>
      <c r="BA614" s="690"/>
      <c r="BB614" s="695"/>
      <c r="BC614" s="695"/>
      <c r="BD614" s="695"/>
      <c r="BE614" s="695"/>
      <c r="BF614" s="692"/>
      <c r="BG614" s="692"/>
      <c r="BH614" s="692"/>
      <c r="BI614" s="692"/>
      <c r="BJ614" s="692"/>
      <c r="BK614" s="692"/>
      <c r="BL614" s="693"/>
      <c r="BM614" s="693"/>
      <c r="BN614" s="688"/>
      <c r="BO614" s="693"/>
      <c r="BP614" s="689"/>
      <c r="BQ614" s="694"/>
      <c r="BR614" s="687"/>
      <c r="BS614" s="687"/>
      <c r="BT614" s="687"/>
      <c r="BU614" s="687"/>
      <c r="BV614" s="687"/>
      <c r="BW614" s="688"/>
      <c r="BX614" s="688"/>
      <c r="BY614" s="689"/>
      <c r="BZ614" s="690"/>
      <c r="CA614" s="690"/>
      <c r="CB614" s="690"/>
      <c r="CC614" s="691"/>
      <c r="CD614" s="691"/>
      <c r="CE614" s="692"/>
      <c r="CF614" s="692"/>
      <c r="CG614" s="692"/>
      <c r="CH614" s="693"/>
    </row>
    <row r="615">
      <c r="B615" s="687"/>
      <c r="C615" s="687"/>
      <c r="D615" s="688"/>
      <c r="E615" s="689"/>
      <c r="F615" s="690"/>
      <c r="G615" s="690"/>
      <c r="H615" s="690"/>
      <c r="I615" s="691"/>
      <c r="J615" s="691"/>
      <c r="K615" s="691"/>
      <c r="L615" s="692"/>
      <c r="M615" s="692"/>
      <c r="N615" s="692"/>
      <c r="O615" s="693"/>
      <c r="P615" s="688"/>
      <c r="Q615" s="688"/>
      <c r="R615" s="688"/>
      <c r="S615" s="688"/>
      <c r="T615" s="689"/>
      <c r="U615" s="689"/>
      <c r="V615" s="694"/>
      <c r="W615" s="694"/>
      <c r="X615" s="694"/>
      <c r="Y615" s="694"/>
      <c r="Z615" s="693"/>
      <c r="AA615" s="693"/>
      <c r="AB615" s="693"/>
      <c r="AC615" s="693"/>
      <c r="AD615" s="688"/>
      <c r="AE615" s="689"/>
      <c r="AF615" s="689"/>
      <c r="AG615" s="690"/>
      <c r="AH615" s="690"/>
      <c r="AI615" s="695"/>
      <c r="AJ615" s="695"/>
      <c r="AK615" s="692"/>
      <c r="AL615" s="692"/>
      <c r="AM615" s="693"/>
      <c r="AN615" s="688"/>
      <c r="AO615" s="688"/>
      <c r="AP615" s="688"/>
      <c r="AQ615" s="688"/>
      <c r="AR615" s="688"/>
      <c r="AS615" s="688"/>
      <c r="AT615" s="689"/>
      <c r="AU615" s="689"/>
      <c r="AV615" s="690"/>
      <c r="AW615" s="690"/>
      <c r="AX615" s="690"/>
      <c r="AY615" s="690"/>
      <c r="AZ615" s="690"/>
      <c r="BA615" s="690"/>
      <c r="BB615" s="695"/>
      <c r="BC615" s="695"/>
      <c r="BD615" s="695"/>
      <c r="BE615" s="695"/>
      <c r="BF615" s="692"/>
      <c r="BG615" s="692"/>
      <c r="BH615" s="692"/>
      <c r="BI615" s="692"/>
      <c r="BJ615" s="692"/>
      <c r="BK615" s="692"/>
      <c r="BL615" s="693"/>
      <c r="BM615" s="693"/>
      <c r="BN615" s="688"/>
      <c r="BO615" s="693"/>
      <c r="BP615" s="689"/>
      <c r="BQ615" s="694"/>
      <c r="BR615" s="687"/>
      <c r="BS615" s="687"/>
      <c r="BT615" s="687"/>
      <c r="BU615" s="687"/>
      <c r="BV615" s="687"/>
      <c r="BW615" s="688"/>
      <c r="BX615" s="688"/>
      <c r="BY615" s="689"/>
      <c r="BZ615" s="690"/>
      <c r="CA615" s="690"/>
      <c r="CB615" s="690"/>
      <c r="CC615" s="691"/>
      <c r="CD615" s="691"/>
      <c r="CE615" s="692"/>
      <c r="CF615" s="692"/>
      <c r="CG615" s="692"/>
      <c r="CH615" s="693"/>
    </row>
    <row r="616">
      <c r="B616" s="687"/>
      <c r="C616" s="687"/>
      <c r="D616" s="688"/>
      <c r="E616" s="689"/>
      <c r="F616" s="690"/>
      <c r="G616" s="690"/>
      <c r="H616" s="690"/>
      <c r="I616" s="691"/>
      <c r="J616" s="691"/>
      <c r="K616" s="691"/>
      <c r="L616" s="692"/>
      <c r="M616" s="692"/>
      <c r="N616" s="692"/>
      <c r="O616" s="693"/>
      <c r="P616" s="688"/>
      <c r="Q616" s="688"/>
      <c r="R616" s="688"/>
      <c r="S616" s="688"/>
      <c r="T616" s="689"/>
      <c r="U616" s="689"/>
      <c r="V616" s="694"/>
      <c r="W616" s="694"/>
      <c r="X616" s="694"/>
      <c r="Y616" s="694"/>
      <c r="Z616" s="693"/>
      <c r="AA616" s="693"/>
      <c r="AB616" s="693"/>
      <c r="AC616" s="693"/>
      <c r="AD616" s="688"/>
      <c r="AE616" s="689"/>
      <c r="AF616" s="689"/>
      <c r="AG616" s="690"/>
      <c r="AH616" s="690"/>
      <c r="AI616" s="695"/>
      <c r="AJ616" s="695"/>
      <c r="AK616" s="692"/>
      <c r="AL616" s="692"/>
      <c r="AM616" s="693"/>
      <c r="AN616" s="688"/>
      <c r="AO616" s="688"/>
      <c r="AP616" s="688"/>
      <c r="AQ616" s="688"/>
      <c r="AR616" s="688"/>
      <c r="AS616" s="688"/>
      <c r="AT616" s="689"/>
      <c r="AU616" s="689"/>
      <c r="AV616" s="690"/>
      <c r="AW616" s="690"/>
      <c r="AX616" s="690"/>
      <c r="AY616" s="690"/>
      <c r="AZ616" s="690"/>
      <c r="BA616" s="690"/>
      <c r="BB616" s="695"/>
      <c r="BC616" s="695"/>
      <c r="BD616" s="695"/>
      <c r="BE616" s="695"/>
      <c r="BF616" s="692"/>
      <c r="BG616" s="692"/>
      <c r="BH616" s="692"/>
      <c r="BI616" s="692"/>
      <c r="BJ616" s="692"/>
      <c r="BK616" s="692"/>
      <c r="BL616" s="693"/>
      <c r="BM616" s="693"/>
      <c r="BN616" s="688"/>
      <c r="BO616" s="693"/>
      <c r="BP616" s="689"/>
      <c r="BQ616" s="694"/>
      <c r="BR616" s="687"/>
      <c r="BS616" s="687"/>
      <c r="BT616" s="687"/>
      <c r="BU616" s="687"/>
      <c r="BV616" s="687"/>
      <c r="BW616" s="688"/>
      <c r="BX616" s="688"/>
      <c r="BY616" s="689"/>
      <c r="BZ616" s="690"/>
      <c r="CA616" s="690"/>
      <c r="CB616" s="690"/>
      <c r="CC616" s="691"/>
      <c r="CD616" s="691"/>
      <c r="CE616" s="692"/>
      <c r="CF616" s="692"/>
      <c r="CG616" s="692"/>
      <c r="CH616" s="693"/>
    </row>
    <row r="617">
      <c r="B617" s="687"/>
      <c r="C617" s="687"/>
      <c r="D617" s="688"/>
      <c r="E617" s="689"/>
      <c r="F617" s="690"/>
      <c r="G617" s="690"/>
      <c r="H617" s="690"/>
      <c r="I617" s="691"/>
      <c r="J617" s="691"/>
      <c r="K617" s="691"/>
      <c r="L617" s="692"/>
      <c r="M617" s="692"/>
      <c r="N617" s="692"/>
      <c r="O617" s="693"/>
      <c r="P617" s="688"/>
      <c r="Q617" s="688"/>
      <c r="R617" s="688"/>
      <c r="S617" s="688"/>
      <c r="T617" s="689"/>
      <c r="U617" s="689"/>
      <c r="V617" s="694"/>
      <c r="W617" s="694"/>
      <c r="X617" s="694"/>
      <c r="Y617" s="694"/>
      <c r="Z617" s="693"/>
      <c r="AA617" s="693"/>
      <c r="AB617" s="693"/>
      <c r="AC617" s="693"/>
      <c r="AD617" s="688"/>
      <c r="AE617" s="689"/>
      <c r="AF617" s="689"/>
      <c r="AG617" s="690"/>
      <c r="AH617" s="690"/>
      <c r="AI617" s="695"/>
      <c r="AJ617" s="695"/>
      <c r="AK617" s="692"/>
      <c r="AL617" s="692"/>
      <c r="AM617" s="693"/>
      <c r="AN617" s="688"/>
      <c r="AO617" s="688"/>
      <c r="AP617" s="688"/>
      <c r="AQ617" s="688"/>
      <c r="AR617" s="688"/>
      <c r="AS617" s="688"/>
      <c r="AT617" s="689"/>
      <c r="AU617" s="689"/>
      <c r="AV617" s="690"/>
      <c r="AW617" s="690"/>
      <c r="AX617" s="690"/>
      <c r="AY617" s="690"/>
      <c r="AZ617" s="690"/>
      <c r="BA617" s="690"/>
      <c r="BB617" s="695"/>
      <c r="BC617" s="695"/>
      <c r="BD617" s="695"/>
      <c r="BE617" s="695"/>
      <c r="BF617" s="692"/>
      <c r="BG617" s="692"/>
      <c r="BH617" s="692"/>
      <c r="BI617" s="692"/>
      <c r="BJ617" s="692"/>
      <c r="BK617" s="692"/>
      <c r="BL617" s="693"/>
      <c r="BM617" s="693"/>
      <c r="BN617" s="688"/>
      <c r="BO617" s="693"/>
      <c r="BP617" s="689"/>
      <c r="BQ617" s="694"/>
      <c r="BR617" s="687"/>
      <c r="BS617" s="687"/>
      <c r="BT617" s="687"/>
      <c r="BU617" s="687"/>
      <c r="BV617" s="687"/>
      <c r="BW617" s="688"/>
      <c r="BX617" s="688"/>
      <c r="BY617" s="689"/>
      <c r="BZ617" s="690"/>
      <c r="CA617" s="690"/>
      <c r="CB617" s="690"/>
      <c r="CC617" s="691"/>
      <c r="CD617" s="691"/>
      <c r="CE617" s="692"/>
      <c r="CF617" s="692"/>
      <c r="CG617" s="692"/>
      <c r="CH617" s="693"/>
    </row>
    <row r="618">
      <c r="B618" s="687"/>
      <c r="C618" s="687"/>
      <c r="D618" s="688"/>
      <c r="E618" s="689"/>
      <c r="F618" s="690"/>
      <c r="G618" s="690"/>
      <c r="H618" s="690"/>
      <c r="I618" s="691"/>
      <c r="J618" s="691"/>
      <c r="K618" s="691"/>
      <c r="L618" s="692"/>
      <c r="M618" s="692"/>
      <c r="N618" s="692"/>
      <c r="O618" s="693"/>
      <c r="P618" s="688"/>
      <c r="Q618" s="688"/>
      <c r="R618" s="688"/>
      <c r="S618" s="688"/>
      <c r="T618" s="689"/>
      <c r="U618" s="689"/>
      <c r="V618" s="694"/>
      <c r="W618" s="694"/>
      <c r="X618" s="694"/>
      <c r="Y618" s="694"/>
      <c r="Z618" s="693"/>
      <c r="AA618" s="693"/>
      <c r="AB618" s="693"/>
      <c r="AC618" s="693"/>
      <c r="AD618" s="688"/>
      <c r="AE618" s="689"/>
      <c r="AF618" s="689"/>
      <c r="AG618" s="690"/>
      <c r="AH618" s="690"/>
      <c r="AI618" s="695"/>
      <c r="AJ618" s="695"/>
      <c r="AK618" s="692"/>
      <c r="AL618" s="692"/>
      <c r="AM618" s="693"/>
      <c r="AN618" s="688"/>
      <c r="AO618" s="688"/>
      <c r="AP618" s="688"/>
      <c r="AQ618" s="688"/>
      <c r="AR618" s="688"/>
      <c r="AS618" s="688"/>
      <c r="AT618" s="689"/>
      <c r="AU618" s="689"/>
      <c r="AV618" s="690"/>
      <c r="AW618" s="690"/>
      <c r="AX618" s="690"/>
      <c r="AY618" s="690"/>
      <c r="AZ618" s="690"/>
      <c r="BA618" s="690"/>
      <c r="BB618" s="695"/>
      <c r="BC618" s="695"/>
      <c r="BD618" s="695"/>
      <c r="BE618" s="695"/>
      <c r="BF618" s="692"/>
      <c r="BG618" s="692"/>
      <c r="BH618" s="692"/>
      <c r="BI618" s="692"/>
      <c r="BJ618" s="692"/>
      <c r="BK618" s="692"/>
      <c r="BL618" s="693"/>
      <c r="BM618" s="693"/>
      <c r="BN618" s="688"/>
      <c r="BO618" s="693"/>
      <c r="BP618" s="689"/>
      <c r="BQ618" s="694"/>
      <c r="BR618" s="687"/>
      <c r="BS618" s="687"/>
      <c r="BT618" s="687"/>
      <c r="BU618" s="687"/>
      <c r="BV618" s="687"/>
      <c r="BW618" s="688"/>
      <c r="BX618" s="688"/>
      <c r="BY618" s="689"/>
      <c r="BZ618" s="690"/>
      <c r="CA618" s="690"/>
      <c r="CB618" s="690"/>
      <c r="CC618" s="691"/>
      <c r="CD618" s="691"/>
      <c r="CE618" s="692"/>
      <c r="CF618" s="692"/>
      <c r="CG618" s="692"/>
      <c r="CH618" s="693"/>
    </row>
    <row r="619">
      <c r="B619" s="687"/>
      <c r="C619" s="687"/>
      <c r="D619" s="688"/>
      <c r="E619" s="689"/>
      <c r="F619" s="690"/>
      <c r="G619" s="690"/>
      <c r="H619" s="690"/>
      <c r="I619" s="691"/>
      <c r="J619" s="691"/>
      <c r="K619" s="691"/>
      <c r="L619" s="692"/>
      <c r="M619" s="692"/>
      <c r="N619" s="692"/>
      <c r="O619" s="693"/>
      <c r="P619" s="688"/>
      <c r="Q619" s="688"/>
      <c r="R619" s="688"/>
      <c r="S619" s="688"/>
      <c r="T619" s="689"/>
      <c r="U619" s="689"/>
      <c r="V619" s="694"/>
      <c r="W619" s="694"/>
      <c r="X619" s="694"/>
      <c r="Y619" s="694"/>
      <c r="Z619" s="693"/>
      <c r="AA619" s="693"/>
      <c r="AB619" s="693"/>
      <c r="AC619" s="693"/>
      <c r="AD619" s="688"/>
      <c r="AE619" s="689"/>
      <c r="AF619" s="689"/>
      <c r="AG619" s="690"/>
      <c r="AH619" s="690"/>
      <c r="AI619" s="695"/>
      <c r="AJ619" s="695"/>
      <c r="AK619" s="692"/>
      <c r="AL619" s="692"/>
      <c r="AM619" s="693"/>
      <c r="AN619" s="688"/>
      <c r="AO619" s="688"/>
      <c r="AP619" s="688"/>
      <c r="AQ619" s="688"/>
      <c r="AR619" s="688"/>
      <c r="AS619" s="688"/>
      <c r="AT619" s="689"/>
      <c r="AU619" s="689"/>
      <c r="AV619" s="690"/>
      <c r="AW619" s="690"/>
      <c r="AX619" s="690"/>
      <c r="AY619" s="690"/>
      <c r="AZ619" s="690"/>
      <c r="BA619" s="690"/>
      <c r="BB619" s="695"/>
      <c r="BC619" s="695"/>
      <c r="BD619" s="695"/>
      <c r="BE619" s="695"/>
      <c r="BF619" s="692"/>
      <c r="BG619" s="692"/>
      <c r="BH619" s="692"/>
      <c r="BI619" s="692"/>
      <c r="BJ619" s="692"/>
      <c r="BK619" s="692"/>
      <c r="BL619" s="693"/>
      <c r="BM619" s="693"/>
      <c r="BN619" s="688"/>
      <c r="BO619" s="693"/>
      <c r="BP619" s="689"/>
      <c r="BQ619" s="694"/>
      <c r="BR619" s="687"/>
      <c r="BS619" s="687"/>
      <c r="BT619" s="687"/>
      <c r="BU619" s="687"/>
      <c r="BV619" s="687"/>
      <c r="BW619" s="688"/>
      <c r="BX619" s="688"/>
      <c r="BY619" s="689"/>
      <c r="BZ619" s="690"/>
      <c r="CA619" s="690"/>
      <c r="CB619" s="690"/>
      <c r="CC619" s="691"/>
      <c r="CD619" s="691"/>
      <c r="CE619" s="692"/>
      <c r="CF619" s="692"/>
      <c r="CG619" s="692"/>
      <c r="CH619" s="693"/>
    </row>
    <row r="620">
      <c r="B620" s="687"/>
      <c r="C620" s="687"/>
      <c r="D620" s="688"/>
      <c r="E620" s="689"/>
      <c r="F620" s="690"/>
      <c r="G620" s="690"/>
      <c r="H620" s="690"/>
      <c r="I620" s="691"/>
      <c r="J620" s="691"/>
      <c r="K620" s="691"/>
      <c r="L620" s="692"/>
      <c r="M620" s="692"/>
      <c r="N620" s="692"/>
      <c r="O620" s="693"/>
      <c r="P620" s="688"/>
      <c r="Q620" s="688"/>
      <c r="R620" s="688"/>
      <c r="S620" s="688"/>
      <c r="T620" s="689"/>
      <c r="U620" s="689"/>
      <c r="V620" s="694"/>
      <c r="W620" s="694"/>
      <c r="X620" s="694"/>
      <c r="Y620" s="694"/>
      <c r="Z620" s="693"/>
      <c r="AA620" s="693"/>
      <c r="AB620" s="693"/>
      <c r="AC620" s="693"/>
      <c r="AD620" s="688"/>
      <c r="AE620" s="689"/>
      <c r="AF620" s="689"/>
      <c r="AG620" s="690"/>
      <c r="AH620" s="690"/>
      <c r="AI620" s="695"/>
      <c r="AJ620" s="695"/>
      <c r="AK620" s="692"/>
      <c r="AL620" s="692"/>
      <c r="AM620" s="693"/>
      <c r="AN620" s="688"/>
      <c r="AO620" s="688"/>
      <c r="AP620" s="688"/>
      <c r="AQ620" s="688"/>
      <c r="AR620" s="688"/>
      <c r="AS620" s="688"/>
      <c r="AT620" s="689"/>
      <c r="AU620" s="689"/>
      <c r="AV620" s="690"/>
      <c r="AW620" s="690"/>
      <c r="AX620" s="690"/>
      <c r="AY620" s="690"/>
      <c r="AZ620" s="690"/>
      <c r="BA620" s="690"/>
      <c r="BB620" s="695"/>
      <c r="BC620" s="695"/>
      <c r="BD620" s="695"/>
      <c r="BE620" s="695"/>
      <c r="BF620" s="692"/>
      <c r="BG620" s="692"/>
      <c r="BH620" s="692"/>
      <c r="BI620" s="692"/>
      <c r="BJ620" s="692"/>
      <c r="BK620" s="692"/>
      <c r="BL620" s="693"/>
      <c r="BM620" s="693"/>
      <c r="BN620" s="688"/>
      <c r="BO620" s="693"/>
      <c r="BP620" s="689"/>
      <c r="BQ620" s="694"/>
      <c r="BR620" s="687"/>
      <c r="BS620" s="687"/>
      <c r="BT620" s="687"/>
      <c r="BU620" s="687"/>
      <c r="BV620" s="687"/>
      <c r="BW620" s="688"/>
      <c r="BX620" s="688"/>
      <c r="BY620" s="689"/>
      <c r="BZ620" s="690"/>
      <c r="CA620" s="690"/>
      <c r="CB620" s="690"/>
      <c r="CC620" s="691"/>
      <c r="CD620" s="691"/>
      <c r="CE620" s="692"/>
      <c r="CF620" s="692"/>
      <c r="CG620" s="692"/>
      <c r="CH620" s="693"/>
    </row>
    <row r="621">
      <c r="B621" s="687"/>
      <c r="C621" s="687"/>
      <c r="D621" s="688"/>
      <c r="E621" s="689"/>
      <c r="F621" s="690"/>
      <c r="G621" s="690"/>
      <c r="H621" s="690"/>
      <c r="I621" s="691"/>
      <c r="J621" s="691"/>
      <c r="K621" s="691"/>
      <c r="L621" s="692"/>
      <c r="M621" s="692"/>
      <c r="N621" s="692"/>
      <c r="O621" s="693"/>
      <c r="P621" s="688"/>
      <c r="Q621" s="688"/>
      <c r="R621" s="688"/>
      <c r="S621" s="688"/>
      <c r="T621" s="689"/>
      <c r="U621" s="689"/>
      <c r="V621" s="694"/>
      <c r="W621" s="694"/>
      <c r="X621" s="694"/>
      <c r="Y621" s="694"/>
      <c r="Z621" s="693"/>
      <c r="AA621" s="693"/>
      <c r="AB621" s="693"/>
      <c r="AC621" s="693"/>
      <c r="AD621" s="688"/>
      <c r="AE621" s="689"/>
      <c r="AF621" s="689"/>
      <c r="AG621" s="690"/>
      <c r="AH621" s="690"/>
      <c r="AI621" s="695"/>
      <c r="AJ621" s="695"/>
      <c r="AK621" s="692"/>
      <c r="AL621" s="692"/>
      <c r="AM621" s="693"/>
      <c r="AN621" s="688"/>
      <c r="AO621" s="688"/>
      <c r="AP621" s="688"/>
      <c r="AQ621" s="688"/>
      <c r="AR621" s="688"/>
      <c r="AS621" s="688"/>
      <c r="AT621" s="689"/>
      <c r="AU621" s="689"/>
      <c r="AV621" s="690"/>
      <c r="AW621" s="690"/>
      <c r="AX621" s="690"/>
      <c r="AY621" s="690"/>
      <c r="AZ621" s="690"/>
      <c r="BA621" s="690"/>
      <c r="BB621" s="695"/>
      <c r="BC621" s="695"/>
      <c r="BD621" s="695"/>
      <c r="BE621" s="695"/>
      <c r="BF621" s="692"/>
      <c r="BG621" s="692"/>
      <c r="BH621" s="692"/>
      <c r="BI621" s="692"/>
      <c r="BJ621" s="692"/>
      <c r="BK621" s="692"/>
      <c r="BL621" s="693"/>
      <c r="BM621" s="693"/>
      <c r="BN621" s="688"/>
      <c r="BO621" s="693"/>
      <c r="BP621" s="689"/>
      <c r="BQ621" s="694"/>
      <c r="BR621" s="687"/>
      <c r="BS621" s="687"/>
      <c r="BT621" s="687"/>
      <c r="BU621" s="687"/>
      <c r="BV621" s="687"/>
      <c r="BW621" s="688"/>
      <c r="BX621" s="688"/>
      <c r="BY621" s="689"/>
      <c r="BZ621" s="690"/>
      <c r="CA621" s="690"/>
      <c r="CB621" s="690"/>
      <c r="CC621" s="691"/>
      <c r="CD621" s="691"/>
      <c r="CE621" s="692"/>
      <c r="CF621" s="692"/>
      <c r="CG621" s="692"/>
      <c r="CH621" s="693"/>
    </row>
    <row r="622">
      <c r="B622" s="687"/>
      <c r="C622" s="687"/>
      <c r="D622" s="688"/>
      <c r="E622" s="689"/>
      <c r="F622" s="690"/>
      <c r="G622" s="690"/>
      <c r="H622" s="690"/>
      <c r="I622" s="691"/>
      <c r="J622" s="691"/>
      <c r="K622" s="691"/>
      <c r="L622" s="692"/>
      <c r="M622" s="692"/>
      <c r="N622" s="692"/>
      <c r="O622" s="693"/>
      <c r="P622" s="688"/>
      <c r="Q622" s="688"/>
      <c r="R622" s="688"/>
      <c r="S622" s="688"/>
      <c r="T622" s="689"/>
      <c r="U622" s="689"/>
      <c r="V622" s="694"/>
      <c r="W622" s="694"/>
      <c r="X622" s="694"/>
      <c r="Y622" s="694"/>
      <c r="Z622" s="693"/>
      <c r="AA622" s="693"/>
      <c r="AB622" s="693"/>
      <c r="AC622" s="693"/>
      <c r="AD622" s="688"/>
      <c r="AE622" s="689"/>
      <c r="AF622" s="689"/>
      <c r="AG622" s="690"/>
      <c r="AH622" s="690"/>
      <c r="AI622" s="695"/>
      <c r="AJ622" s="695"/>
      <c r="AK622" s="692"/>
      <c r="AL622" s="692"/>
      <c r="AM622" s="693"/>
      <c r="AN622" s="688"/>
      <c r="AO622" s="688"/>
      <c r="AP622" s="688"/>
      <c r="AQ622" s="688"/>
      <c r="AR622" s="688"/>
      <c r="AS622" s="688"/>
      <c r="AT622" s="689"/>
      <c r="AU622" s="689"/>
      <c r="AV622" s="690"/>
      <c r="AW622" s="690"/>
      <c r="AX622" s="690"/>
      <c r="AY622" s="690"/>
      <c r="AZ622" s="690"/>
      <c r="BA622" s="690"/>
      <c r="BB622" s="695"/>
      <c r="BC622" s="695"/>
      <c r="BD622" s="695"/>
      <c r="BE622" s="695"/>
      <c r="BF622" s="692"/>
      <c r="BG622" s="692"/>
      <c r="BH622" s="692"/>
      <c r="BI622" s="692"/>
      <c r="BJ622" s="692"/>
      <c r="BK622" s="692"/>
      <c r="BL622" s="693"/>
      <c r="BM622" s="693"/>
      <c r="BN622" s="688"/>
      <c r="BO622" s="693"/>
      <c r="BP622" s="689"/>
      <c r="BQ622" s="694"/>
      <c r="BR622" s="687"/>
      <c r="BS622" s="687"/>
      <c r="BT622" s="687"/>
      <c r="BU622" s="687"/>
      <c r="BV622" s="687"/>
      <c r="BW622" s="688"/>
      <c r="BX622" s="688"/>
      <c r="BY622" s="689"/>
      <c r="BZ622" s="690"/>
      <c r="CA622" s="690"/>
      <c r="CB622" s="690"/>
      <c r="CC622" s="691"/>
      <c r="CD622" s="691"/>
      <c r="CE622" s="692"/>
      <c r="CF622" s="692"/>
      <c r="CG622" s="692"/>
      <c r="CH622" s="693"/>
    </row>
    <row r="623">
      <c r="B623" s="687"/>
      <c r="C623" s="687"/>
      <c r="D623" s="688"/>
      <c r="E623" s="689"/>
      <c r="F623" s="690"/>
      <c r="G623" s="690"/>
      <c r="H623" s="690"/>
      <c r="I623" s="691"/>
      <c r="J623" s="691"/>
      <c r="K623" s="691"/>
      <c r="L623" s="692"/>
      <c r="M623" s="692"/>
      <c r="N623" s="692"/>
      <c r="O623" s="693"/>
      <c r="P623" s="688"/>
      <c r="Q623" s="688"/>
      <c r="R623" s="688"/>
      <c r="S623" s="688"/>
      <c r="T623" s="689"/>
      <c r="U623" s="689"/>
      <c r="V623" s="694"/>
      <c r="W623" s="694"/>
      <c r="X623" s="694"/>
      <c r="Y623" s="694"/>
      <c r="Z623" s="693"/>
      <c r="AA623" s="693"/>
      <c r="AB623" s="693"/>
      <c r="AC623" s="693"/>
      <c r="AD623" s="688"/>
      <c r="AE623" s="689"/>
      <c r="AF623" s="689"/>
      <c r="AG623" s="690"/>
      <c r="AH623" s="690"/>
      <c r="AI623" s="695"/>
      <c r="AJ623" s="695"/>
      <c r="AK623" s="692"/>
      <c r="AL623" s="692"/>
      <c r="AM623" s="693"/>
      <c r="AN623" s="688"/>
      <c r="AO623" s="688"/>
      <c r="AP623" s="688"/>
      <c r="AQ623" s="688"/>
      <c r="AR623" s="688"/>
      <c r="AS623" s="688"/>
      <c r="AT623" s="689"/>
      <c r="AU623" s="689"/>
      <c r="AV623" s="690"/>
      <c r="AW623" s="690"/>
      <c r="AX623" s="690"/>
      <c r="AY623" s="690"/>
      <c r="AZ623" s="690"/>
      <c r="BA623" s="690"/>
      <c r="BB623" s="695"/>
      <c r="BC623" s="695"/>
      <c r="BD623" s="695"/>
      <c r="BE623" s="695"/>
      <c r="BF623" s="692"/>
      <c r="BG623" s="692"/>
      <c r="BH623" s="692"/>
      <c r="BI623" s="692"/>
      <c r="BJ623" s="692"/>
      <c r="BK623" s="692"/>
      <c r="BL623" s="693"/>
      <c r="BM623" s="693"/>
      <c r="BN623" s="688"/>
      <c r="BO623" s="693"/>
      <c r="BP623" s="689"/>
      <c r="BQ623" s="694"/>
      <c r="BR623" s="687"/>
      <c r="BS623" s="687"/>
      <c r="BT623" s="687"/>
      <c r="BU623" s="687"/>
      <c r="BV623" s="687"/>
      <c r="BW623" s="688"/>
      <c r="BX623" s="688"/>
      <c r="BY623" s="689"/>
      <c r="BZ623" s="690"/>
      <c r="CA623" s="690"/>
      <c r="CB623" s="690"/>
      <c r="CC623" s="691"/>
      <c r="CD623" s="691"/>
      <c r="CE623" s="692"/>
      <c r="CF623" s="692"/>
      <c r="CG623" s="692"/>
      <c r="CH623" s="693"/>
    </row>
    <row r="624">
      <c r="B624" s="687"/>
      <c r="C624" s="687"/>
      <c r="D624" s="688"/>
      <c r="E624" s="689"/>
      <c r="F624" s="690"/>
      <c r="G624" s="690"/>
      <c r="H624" s="690"/>
      <c r="I624" s="691"/>
      <c r="J624" s="691"/>
      <c r="K624" s="691"/>
      <c r="L624" s="692"/>
      <c r="M624" s="692"/>
      <c r="N624" s="692"/>
      <c r="O624" s="693"/>
      <c r="P624" s="688"/>
      <c r="Q624" s="688"/>
      <c r="R624" s="688"/>
      <c r="S624" s="688"/>
      <c r="T624" s="689"/>
      <c r="U624" s="689"/>
      <c r="V624" s="694"/>
      <c r="W624" s="694"/>
      <c r="X624" s="694"/>
      <c r="Y624" s="694"/>
      <c r="Z624" s="693"/>
      <c r="AA624" s="693"/>
      <c r="AB624" s="693"/>
      <c r="AC624" s="693"/>
      <c r="AD624" s="688"/>
      <c r="AE624" s="689"/>
      <c r="AF624" s="689"/>
      <c r="AG624" s="690"/>
      <c r="AH624" s="690"/>
      <c r="AI624" s="695"/>
      <c r="AJ624" s="695"/>
      <c r="AK624" s="692"/>
      <c r="AL624" s="692"/>
      <c r="AM624" s="693"/>
      <c r="AN624" s="688"/>
      <c r="AO624" s="688"/>
      <c r="AP624" s="688"/>
      <c r="AQ624" s="688"/>
      <c r="AR624" s="688"/>
      <c r="AS624" s="688"/>
      <c r="AT624" s="689"/>
      <c r="AU624" s="689"/>
      <c r="AV624" s="690"/>
      <c r="AW624" s="690"/>
      <c r="AX624" s="690"/>
      <c r="AY624" s="690"/>
      <c r="AZ624" s="690"/>
      <c r="BA624" s="690"/>
      <c r="BB624" s="695"/>
      <c r="BC624" s="695"/>
      <c r="BD624" s="695"/>
      <c r="BE624" s="695"/>
      <c r="BF624" s="692"/>
      <c r="BG624" s="692"/>
      <c r="BH624" s="692"/>
      <c r="BI624" s="692"/>
      <c r="BJ624" s="692"/>
      <c r="BK624" s="692"/>
      <c r="BL624" s="693"/>
      <c r="BM624" s="693"/>
      <c r="BN624" s="688"/>
      <c r="BO624" s="693"/>
      <c r="BP624" s="689"/>
      <c r="BQ624" s="694"/>
      <c r="BR624" s="687"/>
      <c r="BS624" s="687"/>
      <c r="BT624" s="687"/>
      <c r="BU624" s="687"/>
      <c r="BV624" s="687"/>
      <c r="BW624" s="688"/>
      <c r="BX624" s="688"/>
      <c r="BY624" s="689"/>
      <c r="BZ624" s="690"/>
      <c r="CA624" s="690"/>
      <c r="CB624" s="690"/>
      <c r="CC624" s="691"/>
      <c r="CD624" s="691"/>
      <c r="CE624" s="692"/>
      <c r="CF624" s="692"/>
      <c r="CG624" s="692"/>
      <c r="CH624" s="693"/>
    </row>
    <row r="625">
      <c r="B625" s="687"/>
      <c r="C625" s="687"/>
      <c r="D625" s="688"/>
      <c r="E625" s="689"/>
      <c r="F625" s="690"/>
      <c r="G625" s="690"/>
      <c r="H625" s="690"/>
      <c r="I625" s="691"/>
      <c r="J625" s="691"/>
      <c r="K625" s="691"/>
      <c r="L625" s="692"/>
      <c r="M625" s="692"/>
      <c r="N625" s="692"/>
      <c r="O625" s="693"/>
      <c r="P625" s="688"/>
      <c r="Q625" s="688"/>
      <c r="R625" s="688"/>
      <c r="S625" s="688"/>
      <c r="T625" s="689"/>
      <c r="U625" s="689"/>
      <c r="V625" s="694"/>
      <c r="W625" s="694"/>
      <c r="X625" s="694"/>
      <c r="Y625" s="694"/>
      <c r="Z625" s="693"/>
      <c r="AA625" s="693"/>
      <c r="AB625" s="693"/>
      <c r="AC625" s="693"/>
      <c r="AD625" s="688"/>
      <c r="AE625" s="689"/>
      <c r="AF625" s="689"/>
      <c r="AG625" s="690"/>
      <c r="AH625" s="690"/>
      <c r="AI625" s="695"/>
      <c r="AJ625" s="695"/>
      <c r="AK625" s="692"/>
      <c r="AL625" s="692"/>
      <c r="AM625" s="693"/>
      <c r="AN625" s="688"/>
      <c r="AO625" s="688"/>
      <c r="AP625" s="688"/>
      <c r="AQ625" s="688"/>
      <c r="AR625" s="688"/>
      <c r="AS625" s="688"/>
      <c r="AT625" s="689"/>
      <c r="AU625" s="689"/>
      <c r="AV625" s="690"/>
      <c r="AW625" s="690"/>
      <c r="AX625" s="690"/>
      <c r="AY625" s="690"/>
      <c r="AZ625" s="690"/>
      <c r="BA625" s="690"/>
      <c r="BB625" s="695"/>
      <c r="BC625" s="695"/>
      <c r="BD625" s="695"/>
      <c r="BE625" s="695"/>
      <c r="BF625" s="692"/>
      <c r="BG625" s="692"/>
      <c r="BH625" s="692"/>
      <c r="BI625" s="692"/>
      <c r="BJ625" s="692"/>
      <c r="BK625" s="692"/>
      <c r="BL625" s="693"/>
      <c r="BM625" s="693"/>
      <c r="BN625" s="688"/>
      <c r="BO625" s="693"/>
      <c r="BP625" s="689"/>
      <c r="BQ625" s="694"/>
      <c r="BR625" s="687"/>
      <c r="BS625" s="687"/>
      <c r="BT625" s="687"/>
      <c r="BU625" s="687"/>
      <c r="BV625" s="687"/>
      <c r="BW625" s="688"/>
      <c r="BX625" s="688"/>
      <c r="BY625" s="689"/>
      <c r="BZ625" s="690"/>
      <c r="CA625" s="690"/>
      <c r="CB625" s="690"/>
      <c r="CC625" s="691"/>
      <c r="CD625" s="691"/>
      <c r="CE625" s="692"/>
      <c r="CF625" s="692"/>
      <c r="CG625" s="692"/>
      <c r="CH625" s="693"/>
    </row>
    <row r="626">
      <c r="B626" s="687"/>
      <c r="C626" s="687"/>
      <c r="D626" s="688"/>
      <c r="E626" s="689"/>
      <c r="F626" s="690"/>
      <c r="G626" s="690"/>
      <c r="H626" s="690"/>
      <c r="I626" s="691"/>
      <c r="J626" s="691"/>
      <c r="K626" s="691"/>
      <c r="L626" s="692"/>
      <c r="M626" s="692"/>
      <c r="N626" s="692"/>
      <c r="O626" s="693"/>
      <c r="P626" s="688"/>
      <c r="Q626" s="688"/>
      <c r="R626" s="688"/>
      <c r="S626" s="688"/>
      <c r="T626" s="689"/>
      <c r="U626" s="689"/>
      <c r="V626" s="694"/>
      <c r="W626" s="694"/>
      <c r="X626" s="694"/>
      <c r="Y626" s="694"/>
      <c r="Z626" s="693"/>
      <c r="AA626" s="693"/>
      <c r="AB626" s="693"/>
      <c r="AC626" s="693"/>
      <c r="AD626" s="688"/>
      <c r="AE626" s="689"/>
      <c r="AF626" s="689"/>
      <c r="AG626" s="690"/>
      <c r="AH626" s="690"/>
      <c r="AI626" s="695"/>
      <c r="AJ626" s="695"/>
      <c r="AK626" s="692"/>
      <c r="AL626" s="692"/>
      <c r="AM626" s="693"/>
      <c r="AN626" s="688"/>
      <c r="AO626" s="688"/>
      <c r="AP626" s="688"/>
      <c r="AQ626" s="688"/>
      <c r="AR626" s="688"/>
      <c r="AS626" s="688"/>
      <c r="AT626" s="689"/>
      <c r="AU626" s="689"/>
      <c r="AV626" s="690"/>
      <c r="AW626" s="690"/>
      <c r="AX626" s="690"/>
      <c r="AY626" s="690"/>
      <c r="AZ626" s="690"/>
      <c r="BA626" s="690"/>
      <c r="BB626" s="695"/>
      <c r="BC626" s="695"/>
      <c r="BD626" s="695"/>
      <c r="BE626" s="695"/>
      <c r="BF626" s="692"/>
      <c r="BG626" s="692"/>
      <c r="BH626" s="692"/>
      <c r="BI626" s="692"/>
      <c r="BJ626" s="692"/>
      <c r="BK626" s="692"/>
      <c r="BL626" s="693"/>
      <c r="BM626" s="693"/>
      <c r="BN626" s="688"/>
      <c r="BO626" s="693"/>
      <c r="BP626" s="689"/>
      <c r="BQ626" s="694"/>
      <c r="BR626" s="687"/>
      <c r="BS626" s="687"/>
      <c r="BT626" s="687"/>
      <c r="BU626" s="687"/>
      <c r="BV626" s="687"/>
      <c r="BW626" s="688"/>
      <c r="BX626" s="688"/>
      <c r="BY626" s="689"/>
      <c r="BZ626" s="690"/>
      <c r="CA626" s="690"/>
      <c r="CB626" s="690"/>
      <c r="CC626" s="691"/>
      <c r="CD626" s="691"/>
      <c r="CE626" s="692"/>
      <c r="CF626" s="692"/>
      <c r="CG626" s="692"/>
      <c r="CH626" s="693"/>
    </row>
    <row r="627">
      <c r="B627" s="687"/>
      <c r="C627" s="687"/>
      <c r="D627" s="688"/>
      <c r="E627" s="689"/>
      <c r="F627" s="690"/>
      <c r="G627" s="690"/>
      <c r="H627" s="690"/>
      <c r="I627" s="691"/>
      <c r="J627" s="691"/>
      <c r="K627" s="691"/>
      <c r="L627" s="692"/>
      <c r="M627" s="692"/>
      <c r="N627" s="692"/>
      <c r="O627" s="693"/>
      <c r="P627" s="688"/>
      <c r="Q627" s="688"/>
      <c r="R627" s="688"/>
      <c r="S627" s="688"/>
      <c r="T627" s="689"/>
      <c r="U627" s="689"/>
      <c r="V627" s="694"/>
      <c r="W627" s="694"/>
      <c r="X627" s="694"/>
      <c r="Y627" s="694"/>
      <c r="Z627" s="693"/>
      <c r="AA627" s="693"/>
      <c r="AB627" s="693"/>
      <c r="AC627" s="693"/>
      <c r="AD627" s="688"/>
      <c r="AE627" s="689"/>
      <c r="AF627" s="689"/>
      <c r="AG627" s="690"/>
      <c r="AH627" s="690"/>
      <c r="AI627" s="695"/>
      <c r="AJ627" s="695"/>
      <c r="AK627" s="692"/>
      <c r="AL627" s="692"/>
      <c r="AM627" s="693"/>
      <c r="AN627" s="688"/>
      <c r="AO627" s="688"/>
      <c r="AP627" s="688"/>
      <c r="AQ627" s="688"/>
      <c r="AR627" s="688"/>
      <c r="AS627" s="688"/>
      <c r="AT627" s="689"/>
      <c r="AU627" s="689"/>
      <c r="AV627" s="690"/>
      <c r="AW627" s="690"/>
      <c r="AX627" s="690"/>
      <c r="AY627" s="690"/>
      <c r="AZ627" s="690"/>
      <c r="BA627" s="690"/>
      <c r="BB627" s="695"/>
      <c r="BC627" s="695"/>
      <c r="BD627" s="695"/>
      <c r="BE627" s="695"/>
      <c r="BF627" s="692"/>
      <c r="BG627" s="692"/>
      <c r="BH627" s="692"/>
      <c r="BI627" s="692"/>
      <c r="BJ627" s="692"/>
      <c r="BK627" s="692"/>
      <c r="BL627" s="693"/>
      <c r="BM627" s="693"/>
      <c r="BN627" s="688"/>
      <c r="BO627" s="693"/>
      <c r="BP627" s="689"/>
      <c r="BQ627" s="694"/>
      <c r="BR627" s="687"/>
      <c r="BS627" s="687"/>
      <c r="BT627" s="687"/>
      <c r="BU627" s="687"/>
      <c r="BV627" s="687"/>
      <c r="BW627" s="688"/>
      <c r="BX627" s="688"/>
      <c r="BY627" s="689"/>
      <c r="BZ627" s="690"/>
      <c r="CA627" s="690"/>
      <c r="CB627" s="690"/>
      <c r="CC627" s="691"/>
      <c r="CD627" s="691"/>
      <c r="CE627" s="692"/>
      <c r="CF627" s="692"/>
      <c r="CG627" s="692"/>
      <c r="CH627" s="693"/>
    </row>
    <row r="628">
      <c r="B628" s="687"/>
      <c r="C628" s="687"/>
      <c r="D628" s="688"/>
      <c r="E628" s="689"/>
      <c r="F628" s="690"/>
      <c r="G628" s="690"/>
      <c r="H628" s="690"/>
      <c r="I628" s="691"/>
      <c r="J628" s="691"/>
      <c r="K628" s="691"/>
      <c r="L628" s="692"/>
      <c r="M628" s="692"/>
      <c r="N628" s="692"/>
      <c r="O628" s="693"/>
      <c r="P628" s="688"/>
      <c r="Q628" s="688"/>
      <c r="R628" s="688"/>
      <c r="S628" s="688"/>
      <c r="T628" s="689"/>
      <c r="U628" s="689"/>
      <c r="V628" s="694"/>
      <c r="W628" s="694"/>
      <c r="X628" s="694"/>
      <c r="Y628" s="694"/>
      <c r="Z628" s="693"/>
      <c r="AA628" s="693"/>
      <c r="AB628" s="693"/>
      <c r="AC628" s="693"/>
      <c r="AD628" s="688"/>
      <c r="AE628" s="689"/>
      <c r="AF628" s="689"/>
      <c r="AG628" s="690"/>
      <c r="AH628" s="690"/>
      <c r="AI628" s="695"/>
      <c r="AJ628" s="695"/>
      <c r="AK628" s="692"/>
      <c r="AL628" s="692"/>
      <c r="AM628" s="693"/>
      <c r="AN628" s="688"/>
      <c r="AO628" s="688"/>
      <c r="AP628" s="688"/>
      <c r="AQ628" s="688"/>
      <c r="AR628" s="688"/>
      <c r="AS628" s="688"/>
      <c r="AT628" s="689"/>
      <c r="AU628" s="689"/>
      <c r="AV628" s="690"/>
      <c r="AW628" s="690"/>
      <c r="AX628" s="690"/>
      <c r="AY628" s="690"/>
      <c r="AZ628" s="690"/>
      <c r="BA628" s="690"/>
      <c r="BB628" s="695"/>
      <c r="BC628" s="695"/>
      <c r="BD628" s="695"/>
      <c r="BE628" s="695"/>
      <c r="BF628" s="692"/>
      <c r="BG628" s="692"/>
      <c r="BH628" s="692"/>
      <c r="BI628" s="692"/>
      <c r="BJ628" s="692"/>
      <c r="BK628" s="692"/>
      <c r="BL628" s="693"/>
      <c r="BM628" s="693"/>
      <c r="BN628" s="688"/>
      <c r="BO628" s="693"/>
      <c r="BP628" s="689"/>
      <c r="BQ628" s="694"/>
      <c r="BR628" s="687"/>
      <c r="BS628" s="687"/>
      <c r="BT628" s="687"/>
      <c r="BU628" s="687"/>
      <c r="BV628" s="687"/>
      <c r="BW628" s="688"/>
      <c r="BX628" s="688"/>
      <c r="BY628" s="689"/>
      <c r="BZ628" s="690"/>
      <c r="CA628" s="690"/>
      <c r="CB628" s="690"/>
      <c r="CC628" s="691"/>
      <c r="CD628" s="691"/>
      <c r="CE628" s="692"/>
      <c r="CF628" s="692"/>
      <c r="CG628" s="692"/>
      <c r="CH628" s="693"/>
    </row>
    <row r="629">
      <c r="B629" s="687"/>
      <c r="C629" s="687"/>
      <c r="D629" s="688"/>
      <c r="E629" s="689"/>
      <c r="F629" s="690"/>
      <c r="G629" s="690"/>
      <c r="H629" s="690"/>
      <c r="I629" s="691"/>
      <c r="J629" s="691"/>
      <c r="K629" s="691"/>
      <c r="L629" s="692"/>
      <c r="M629" s="692"/>
      <c r="N629" s="692"/>
      <c r="O629" s="693"/>
      <c r="P629" s="688"/>
      <c r="Q629" s="688"/>
      <c r="R629" s="688"/>
      <c r="S629" s="688"/>
      <c r="T629" s="689"/>
      <c r="U629" s="689"/>
      <c r="V629" s="694"/>
      <c r="W629" s="694"/>
      <c r="X629" s="694"/>
      <c r="Y629" s="694"/>
      <c r="Z629" s="693"/>
      <c r="AA629" s="693"/>
      <c r="AB629" s="693"/>
      <c r="AC629" s="693"/>
      <c r="AD629" s="688"/>
      <c r="AE629" s="689"/>
      <c r="AF629" s="689"/>
      <c r="AG629" s="690"/>
      <c r="AH629" s="690"/>
      <c r="AI629" s="695"/>
      <c r="AJ629" s="695"/>
      <c r="AK629" s="692"/>
      <c r="AL629" s="692"/>
      <c r="AM629" s="693"/>
      <c r="AN629" s="688"/>
      <c r="AO629" s="688"/>
      <c r="AP629" s="688"/>
      <c r="AQ629" s="688"/>
      <c r="AR629" s="688"/>
      <c r="AS629" s="688"/>
      <c r="AT629" s="689"/>
      <c r="AU629" s="689"/>
      <c r="AV629" s="690"/>
      <c r="AW629" s="690"/>
      <c r="AX629" s="690"/>
      <c r="AY629" s="690"/>
      <c r="AZ629" s="690"/>
      <c r="BA629" s="690"/>
      <c r="BB629" s="695"/>
      <c r="BC629" s="695"/>
      <c r="BD629" s="695"/>
      <c r="BE629" s="695"/>
      <c r="BF629" s="692"/>
      <c r="BG629" s="692"/>
      <c r="BH629" s="692"/>
      <c r="BI629" s="692"/>
      <c r="BJ629" s="692"/>
      <c r="BK629" s="692"/>
      <c r="BL629" s="693"/>
      <c r="BM629" s="693"/>
      <c r="BN629" s="688"/>
      <c r="BO629" s="693"/>
      <c r="BP629" s="689"/>
      <c r="BQ629" s="694"/>
      <c r="BR629" s="687"/>
      <c r="BS629" s="687"/>
      <c r="BT629" s="687"/>
      <c r="BU629" s="687"/>
      <c r="BV629" s="687"/>
      <c r="BW629" s="688"/>
      <c r="BX629" s="688"/>
      <c r="BY629" s="689"/>
      <c r="BZ629" s="690"/>
      <c r="CA629" s="690"/>
      <c r="CB629" s="690"/>
      <c r="CC629" s="691"/>
      <c r="CD629" s="691"/>
      <c r="CE629" s="692"/>
      <c r="CF629" s="692"/>
      <c r="CG629" s="692"/>
      <c r="CH629" s="693"/>
    </row>
    <row r="630">
      <c r="B630" s="687"/>
      <c r="C630" s="687"/>
      <c r="D630" s="688"/>
      <c r="E630" s="689"/>
      <c r="F630" s="690"/>
      <c r="G630" s="690"/>
      <c r="H630" s="690"/>
      <c r="I630" s="691"/>
      <c r="J630" s="691"/>
      <c r="K630" s="691"/>
      <c r="L630" s="692"/>
      <c r="M630" s="692"/>
      <c r="N630" s="692"/>
      <c r="O630" s="693"/>
      <c r="P630" s="688"/>
      <c r="Q630" s="688"/>
      <c r="R630" s="688"/>
      <c r="S630" s="688"/>
      <c r="T630" s="689"/>
      <c r="U630" s="689"/>
      <c r="V630" s="694"/>
      <c r="W630" s="694"/>
      <c r="X630" s="694"/>
      <c r="Y630" s="694"/>
      <c r="Z630" s="693"/>
      <c r="AA630" s="693"/>
      <c r="AB630" s="693"/>
      <c r="AC630" s="693"/>
      <c r="AD630" s="688"/>
      <c r="AE630" s="689"/>
      <c r="AF630" s="689"/>
      <c r="AG630" s="690"/>
      <c r="AH630" s="690"/>
      <c r="AI630" s="695"/>
      <c r="AJ630" s="695"/>
      <c r="AK630" s="692"/>
      <c r="AL630" s="692"/>
      <c r="AM630" s="693"/>
      <c r="AN630" s="688"/>
      <c r="AO630" s="688"/>
      <c r="AP630" s="688"/>
      <c r="AQ630" s="688"/>
      <c r="AR630" s="688"/>
      <c r="AS630" s="688"/>
      <c r="AT630" s="689"/>
      <c r="AU630" s="689"/>
      <c r="AV630" s="690"/>
      <c r="AW630" s="690"/>
      <c r="AX630" s="690"/>
      <c r="AY630" s="690"/>
      <c r="AZ630" s="690"/>
      <c r="BA630" s="690"/>
      <c r="BB630" s="695"/>
      <c r="BC630" s="695"/>
      <c r="BD630" s="695"/>
      <c r="BE630" s="695"/>
      <c r="BF630" s="692"/>
      <c r="BG630" s="692"/>
      <c r="BH630" s="692"/>
      <c r="BI630" s="692"/>
      <c r="BJ630" s="692"/>
      <c r="BK630" s="692"/>
      <c r="BL630" s="693"/>
      <c r="BM630" s="693"/>
      <c r="BN630" s="688"/>
      <c r="BO630" s="693"/>
      <c r="BP630" s="689"/>
      <c r="BQ630" s="694"/>
      <c r="BR630" s="687"/>
      <c r="BS630" s="687"/>
      <c r="BT630" s="687"/>
      <c r="BU630" s="687"/>
      <c r="BV630" s="687"/>
      <c r="BW630" s="688"/>
      <c r="BX630" s="688"/>
      <c r="BY630" s="689"/>
      <c r="BZ630" s="690"/>
      <c r="CA630" s="690"/>
      <c r="CB630" s="690"/>
      <c r="CC630" s="691"/>
      <c r="CD630" s="691"/>
      <c r="CE630" s="692"/>
      <c r="CF630" s="692"/>
      <c r="CG630" s="692"/>
      <c r="CH630" s="693"/>
    </row>
    <row r="631">
      <c r="B631" s="687"/>
      <c r="C631" s="687"/>
      <c r="D631" s="688"/>
      <c r="E631" s="689"/>
      <c r="F631" s="690"/>
      <c r="G631" s="690"/>
      <c r="H631" s="690"/>
      <c r="I631" s="691"/>
      <c r="J631" s="691"/>
      <c r="K631" s="691"/>
      <c r="L631" s="692"/>
      <c r="M631" s="692"/>
      <c r="N631" s="692"/>
      <c r="O631" s="693"/>
      <c r="P631" s="688"/>
      <c r="Q631" s="688"/>
      <c r="R631" s="688"/>
      <c r="S631" s="688"/>
      <c r="T631" s="689"/>
      <c r="U631" s="689"/>
      <c r="V631" s="694"/>
      <c r="W631" s="694"/>
      <c r="X631" s="694"/>
      <c r="Y631" s="694"/>
      <c r="Z631" s="693"/>
      <c r="AA631" s="693"/>
      <c r="AB631" s="693"/>
      <c r="AC631" s="693"/>
      <c r="AD631" s="688"/>
      <c r="AE631" s="689"/>
      <c r="AF631" s="689"/>
      <c r="AG631" s="690"/>
      <c r="AH631" s="690"/>
      <c r="AI631" s="695"/>
      <c r="AJ631" s="695"/>
      <c r="AK631" s="692"/>
      <c r="AL631" s="692"/>
      <c r="AM631" s="693"/>
      <c r="AN631" s="688"/>
      <c r="AO631" s="688"/>
      <c r="AP631" s="688"/>
      <c r="AQ631" s="688"/>
      <c r="AR631" s="688"/>
      <c r="AS631" s="688"/>
      <c r="AT631" s="689"/>
      <c r="AU631" s="689"/>
      <c r="AV631" s="690"/>
      <c r="AW631" s="690"/>
      <c r="AX631" s="690"/>
      <c r="AY631" s="690"/>
      <c r="AZ631" s="690"/>
      <c r="BA631" s="690"/>
      <c r="BB631" s="695"/>
      <c r="BC631" s="695"/>
      <c r="BD631" s="695"/>
      <c r="BE631" s="695"/>
      <c r="BF631" s="692"/>
      <c r="BG631" s="692"/>
      <c r="BH631" s="692"/>
      <c r="BI631" s="692"/>
      <c r="BJ631" s="692"/>
      <c r="BK631" s="692"/>
      <c r="BL631" s="693"/>
      <c r="BM631" s="693"/>
      <c r="BN631" s="688"/>
      <c r="BO631" s="693"/>
      <c r="BP631" s="689"/>
      <c r="BQ631" s="694"/>
      <c r="BR631" s="687"/>
      <c r="BS631" s="687"/>
      <c r="BT631" s="687"/>
      <c r="BU631" s="687"/>
      <c r="BV631" s="687"/>
      <c r="BW631" s="688"/>
      <c r="BX631" s="688"/>
      <c r="BY631" s="689"/>
      <c r="BZ631" s="690"/>
      <c r="CA631" s="690"/>
      <c r="CB631" s="690"/>
      <c r="CC631" s="691"/>
      <c r="CD631" s="691"/>
      <c r="CE631" s="692"/>
      <c r="CF631" s="692"/>
      <c r="CG631" s="692"/>
      <c r="CH631" s="693"/>
    </row>
    <row r="632">
      <c r="B632" s="687"/>
      <c r="C632" s="687"/>
      <c r="D632" s="688"/>
      <c r="E632" s="689"/>
      <c r="F632" s="690"/>
      <c r="G632" s="690"/>
      <c r="H632" s="690"/>
      <c r="I632" s="691"/>
      <c r="J632" s="691"/>
      <c r="K632" s="691"/>
      <c r="L632" s="692"/>
      <c r="M632" s="692"/>
      <c r="N632" s="692"/>
      <c r="O632" s="693"/>
      <c r="P632" s="688"/>
      <c r="Q632" s="688"/>
      <c r="R632" s="688"/>
      <c r="S632" s="688"/>
      <c r="T632" s="689"/>
      <c r="U632" s="689"/>
      <c r="V632" s="694"/>
      <c r="W632" s="694"/>
      <c r="X632" s="694"/>
      <c r="Y632" s="694"/>
      <c r="Z632" s="693"/>
      <c r="AA632" s="693"/>
      <c r="AB632" s="693"/>
      <c r="AC632" s="693"/>
      <c r="AD632" s="688"/>
      <c r="AE632" s="689"/>
      <c r="AF632" s="689"/>
      <c r="AG632" s="690"/>
      <c r="AH632" s="690"/>
      <c r="AI632" s="695"/>
      <c r="AJ632" s="695"/>
      <c r="AK632" s="692"/>
      <c r="AL632" s="692"/>
      <c r="AM632" s="693"/>
      <c r="AN632" s="688"/>
      <c r="AO632" s="688"/>
      <c r="AP632" s="688"/>
      <c r="AQ632" s="688"/>
      <c r="AR632" s="688"/>
      <c r="AS632" s="688"/>
      <c r="AT632" s="689"/>
      <c r="AU632" s="689"/>
      <c r="AV632" s="690"/>
      <c r="AW632" s="690"/>
      <c r="AX632" s="690"/>
      <c r="AY632" s="690"/>
      <c r="AZ632" s="690"/>
      <c r="BA632" s="690"/>
      <c r="BB632" s="695"/>
      <c r="BC632" s="695"/>
      <c r="BD632" s="695"/>
      <c r="BE632" s="695"/>
      <c r="BF632" s="692"/>
      <c r="BG632" s="692"/>
      <c r="BH632" s="692"/>
      <c r="BI632" s="692"/>
      <c r="BJ632" s="692"/>
      <c r="BK632" s="692"/>
      <c r="BL632" s="693"/>
      <c r="BM632" s="693"/>
      <c r="BN632" s="688"/>
      <c r="BO632" s="693"/>
      <c r="BP632" s="689"/>
      <c r="BQ632" s="694"/>
      <c r="BR632" s="687"/>
      <c r="BS632" s="687"/>
      <c r="BT632" s="687"/>
      <c r="BU632" s="687"/>
      <c r="BV632" s="687"/>
      <c r="BW632" s="688"/>
      <c r="BX632" s="688"/>
      <c r="BY632" s="689"/>
      <c r="BZ632" s="690"/>
      <c r="CA632" s="690"/>
      <c r="CB632" s="690"/>
      <c r="CC632" s="691"/>
      <c r="CD632" s="691"/>
      <c r="CE632" s="692"/>
      <c r="CF632" s="692"/>
      <c r="CG632" s="692"/>
      <c r="CH632" s="693"/>
    </row>
    <row r="633">
      <c r="B633" s="687"/>
      <c r="C633" s="687"/>
      <c r="D633" s="688"/>
      <c r="E633" s="689"/>
      <c r="F633" s="690"/>
      <c r="G633" s="690"/>
      <c r="H633" s="690"/>
      <c r="I633" s="691"/>
      <c r="J633" s="691"/>
      <c r="K633" s="691"/>
      <c r="L633" s="692"/>
      <c r="M633" s="692"/>
      <c r="N633" s="692"/>
      <c r="O633" s="693"/>
      <c r="P633" s="688"/>
      <c r="Q633" s="688"/>
      <c r="R633" s="688"/>
      <c r="S633" s="688"/>
      <c r="T633" s="689"/>
      <c r="U633" s="689"/>
      <c r="V633" s="694"/>
      <c r="W633" s="694"/>
      <c r="X633" s="694"/>
      <c r="Y633" s="694"/>
      <c r="Z633" s="693"/>
      <c r="AA633" s="693"/>
      <c r="AB633" s="693"/>
      <c r="AC633" s="693"/>
      <c r="AD633" s="688"/>
      <c r="AE633" s="689"/>
      <c r="AF633" s="689"/>
      <c r="AG633" s="690"/>
      <c r="AH633" s="690"/>
      <c r="AI633" s="695"/>
      <c r="AJ633" s="695"/>
      <c r="AK633" s="692"/>
      <c r="AL633" s="692"/>
      <c r="AM633" s="693"/>
      <c r="AN633" s="688"/>
      <c r="AO633" s="688"/>
      <c r="AP633" s="688"/>
      <c r="AQ633" s="688"/>
      <c r="AR633" s="688"/>
      <c r="AS633" s="688"/>
      <c r="AT633" s="689"/>
      <c r="AU633" s="689"/>
      <c r="AV633" s="690"/>
      <c r="AW633" s="690"/>
      <c r="AX633" s="690"/>
      <c r="AY633" s="690"/>
      <c r="AZ633" s="690"/>
      <c r="BA633" s="690"/>
      <c r="BB633" s="695"/>
      <c r="BC633" s="695"/>
      <c r="BD633" s="695"/>
      <c r="BE633" s="695"/>
      <c r="BF633" s="692"/>
      <c r="BG633" s="692"/>
      <c r="BH633" s="692"/>
      <c r="BI633" s="692"/>
      <c r="BJ633" s="692"/>
      <c r="BK633" s="692"/>
      <c r="BL633" s="693"/>
      <c r="BM633" s="693"/>
      <c r="BN633" s="688"/>
      <c r="BO633" s="693"/>
      <c r="BP633" s="689"/>
      <c r="BQ633" s="694"/>
      <c r="BR633" s="687"/>
      <c r="BS633" s="687"/>
      <c r="BT633" s="687"/>
      <c r="BU633" s="687"/>
      <c r="BV633" s="687"/>
      <c r="BW633" s="688"/>
      <c r="BX633" s="688"/>
      <c r="BY633" s="689"/>
      <c r="BZ633" s="690"/>
      <c r="CA633" s="690"/>
      <c r="CB633" s="690"/>
      <c r="CC633" s="691"/>
      <c r="CD633" s="691"/>
      <c r="CE633" s="692"/>
      <c r="CF633" s="692"/>
      <c r="CG633" s="692"/>
      <c r="CH633" s="693"/>
    </row>
    <row r="634">
      <c r="B634" s="687"/>
      <c r="C634" s="687"/>
      <c r="D634" s="688"/>
      <c r="E634" s="689"/>
      <c r="F634" s="690"/>
      <c r="G634" s="690"/>
      <c r="H634" s="690"/>
      <c r="I634" s="691"/>
      <c r="J634" s="691"/>
      <c r="K634" s="691"/>
      <c r="L634" s="692"/>
      <c r="M634" s="692"/>
      <c r="N634" s="692"/>
      <c r="O634" s="693"/>
      <c r="P634" s="688"/>
      <c r="Q634" s="688"/>
      <c r="R634" s="688"/>
      <c r="S634" s="688"/>
      <c r="T634" s="689"/>
      <c r="U634" s="689"/>
      <c r="V634" s="694"/>
      <c r="W634" s="694"/>
      <c r="X634" s="694"/>
      <c r="Y634" s="694"/>
      <c r="Z634" s="693"/>
      <c r="AA634" s="693"/>
      <c r="AB634" s="693"/>
      <c r="AC634" s="693"/>
      <c r="AD634" s="688"/>
      <c r="AE634" s="689"/>
      <c r="AF634" s="689"/>
      <c r="AG634" s="690"/>
      <c r="AH634" s="690"/>
      <c r="AI634" s="695"/>
      <c r="AJ634" s="695"/>
      <c r="AK634" s="692"/>
      <c r="AL634" s="692"/>
      <c r="AM634" s="693"/>
      <c r="AN634" s="688"/>
      <c r="AO634" s="688"/>
      <c r="AP634" s="688"/>
      <c r="AQ634" s="688"/>
      <c r="AR634" s="688"/>
      <c r="AS634" s="688"/>
      <c r="AT634" s="689"/>
      <c r="AU634" s="689"/>
      <c r="AV634" s="690"/>
      <c r="AW634" s="690"/>
      <c r="AX634" s="690"/>
      <c r="AY634" s="690"/>
      <c r="AZ634" s="690"/>
      <c r="BA634" s="690"/>
      <c r="BB634" s="695"/>
      <c r="BC634" s="695"/>
      <c r="BD634" s="695"/>
      <c r="BE634" s="695"/>
      <c r="BF634" s="692"/>
      <c r="BG634" s="692"/>
      <c r="BH634" s="692"/>
      <c r="BI634" s="692"/>
      <c r="BJ634" s="692"/>
      <c r="BK634" s="692"/>
      <c r="BL634" s="693"/>
      <c r="BM634" s="693"/>
      <c r="BN634" s="688"/>
      <c r="BO634" s="693"/>
      <c r="BP634" s="689"/>
      <c r="BQ634" s="694"/>
      <c r="BR634" s="687"/>
      <c r="BS634" s="687"/>
      <c r="BT634" s="687"/>
      <c r="BU634" s="687"/>
      <c r="BV634" s="687"/>
      <c r="BW634" s="688"/>
      <c r="BX634" s="688"/>
      <c r="BY634" s="689"/>
      <c r="BZ634" s="690"/>
      <c r="CA634" s="690"/>
      <c r="CB634" s="690"/>
      <c r="CC634" s="691"/>
      <c r="CD634" s="691"/>
      <c r="CE634" s="692"/>
      <c r="CF634" s="692"/>
      <c r="CG634" s="692"/>
      <c r="CH634" s="693"/>
    </row>
    <row r="635">
      <c r="B635" s="687"/>
      <c r="C635" s="687"/>
      <c r="D635" s="688"/>
      <c r="E635" s="689"/>
      <c r="F635" s="690"/>
      <c r="G635" s="690"/>
      <c r="H635" s="690"/>
      <c r="I635" s="691"/>
      <c r="J635" s="691"/>
      <c r="K635" s="691"/>
      <c r="L635" s="692"/>
      <c r="M635" s="692"/>
      <c r="N635" s="692"/>
      <c r="O635" s="693"/>
      <c r="P635" s="688"/>
      <c r="Q635" s="688"/>
      <c r="R635" s="688"/>
      <c r="S635" s="688"/>
      <c r="T635" s="689"/>
      <c r="U635" s="689"/>
      <c r="V635" s="694"/>
      <c r="W635" s="694"/>
      <c r="X635" s="694"/>
      <c r="Y635" s="694"/>
      <c r="Z635" s="693"/>
      <c r="AA635" s="693"/>
      <c r="AB635" s="693"/>
      <c r="AC635" s="693"/>
      <c r="AD635" s="688"/>
      <c r="AE635" s="689"/>
      <c r="AF635" s="689"/>
      <c r="AG635" s="690"/>
      <c r="AH635" s="690"/>
      <c r="AI635" s="695"/>
      <c r="AJ635" s="695"/>
      <c r="AK635" s="692"/>
      <c r="AL635" s="692"/>
      <c r="AM635" s="693"/>
      <c r="AN635" s="688"/>
      <c r="AO635" s="688"/>
      <c r="AP635" s="688"/>
      <c r="AQ635" s="688"/>
      <c r="AR635" s="688"/>
      <c r="AS635" s="688"/>
      <c r="AT635" s="689"/>
      <c r="AU635" s="689"/>
      <c r="AV635" s="690"/>
      <c r="AW635" s="690"/>
      <c r="AX635" s="690"/>
      <c r="AY635" s="690"/>
      <c r="AZ635" s="690"/>
      <c r="BA635" s="690"/>
      <c r="BB635" s="695"/>
      <c r="BC635" s="695"/>
      <c r="BD635" s="695"/>
      <c r="BE635" s="695"/>
      <c r="BF635" s="692"/>
      <c r="BG635" s="692"/>
      <c r="BH635" s="692"/>
      <c r="BI635" s="692"/>
      <c r="BJ635" s="692"/>
      <c r="BK635" s="692"/>
      <c r="BL635" s="693"/>
      <c r="BM635" s="693"/>
      <c r="BN635" s="688"/>
      <c r="BO635" s="693"/>
      <c r="BP635" s="689"/>
      <c r="BQ635" s="694"/>
      <c r="BR635" s="687"/>
      <c r="BS635" s="687"/>
      <c r="BT635" s="687"/>
      <c r="BU635" s="687"/>
      <c r="BV635" s="687"/>
      <c r="BW635" s="688"/>
      <c r="BX635" s="688"/>
      <c r="BY635" s="689"/>
      <c r="BZ635" s="690"/>
      <c r="CA635" s="690"/>
      <c r="CB635" s="690"/>
      <c r="CC635" s="691"/>
      <c r="CD635" s="691"/>
      <c r="CE635" s="692"/>
      <c r="CF635" s="692"/>
      <c r="CG635" s="692"/>
      <c r="CH635" s="693"/>
    </row>
    <row r="636">
      <c r="B636" s="687"/>
      <c r="C636" s="687"/>
      <c r="D636" s="688"/>
      <c r="E636" s="689"/>
      <c r="F636" s="690"/>
      <c r="G636" s="690"/>
      <c r="H636" s="690"/>
      <c r="I636" s="691"/>
      <c r="J636" s="691"/>
      <c r="K636" s="691"/>
      <c r="L636" s="692"/>
      <c r="M636" s="692"/>
      <c r="N636" s="692"/>
      <c r="O636" s="693"/>
      <c r="P636" s="688"/>
      <c r="Q636" s="688"/>
      <c r="R636" s="688"/>
      <c r="S636" s="688"/>
      <c r="T636" s="689"/>
      <c r="U636" s="689"/>
      <c r="V636" s="694"/>
      <c r="W636" s="694"/>
      <c r="X636" s="694"/>
      <c r="Y636" s="694"/>
      <c r="Z636" s="693"/>
      <c r="AA636" s="693"/>
      <c r="AB636" s="693"/>
      <c r="AC636" s="693"/>
      <c r="AD636" s="688"/>
      <c r="AE636" s="689"/>
      <c r="AF636" s="689"/>
      <c r="AG636" s="690"/>
      <c r="AH636" s="690"/>
      <c r="AI636" s="695"/>
      <c r="AJ636" s="695"/>
      <c r="AK636" s="692"/>
      <c r="AL636" s="692"/>
      <c r="AM636" s="693"/>
      <c r="AN636" s="688"/>
      <c r="AO636" s="688"/>
      <c r="AP636" s="688"/>
      <c r="AQ636" s="688"/>
      <c r="AR636" s="688"/>
      <c r="AS636" s="688"/>
      <c r="AT636" s="689"/>
      <c r="AU636" s="689"/>
      <c r="AV636" s="690"/>
      <c r="AW636" s="690"/>
      <c r="AX636" s="690"/>
      <c r="AY636" s="690"/>
      <c r="AZ636" s="690"/>
      <c r="BA636" s="690"/>
      <c r="BB636" s="695"/>
      <c r="BC636" s="695"/>
      <c r="BD636" s="695"/>
      <c r="BE636" s="695"/>
      <c r="BF636" s="692"/>
      <c r="BG636" s="692"/>
      <c r="BH636" s="692"/>
      <c r="BI636" s="692"/>
      <c r="BJ636" s="692"/>
      <c r="BK636" s="692"/>
      <c r="BL636" s="693"/>
      <c r="BM636" s="693"/>
      <c r="BN636" s="688"/>
      <c r="BO636" s="693"/>
      <c r="BP636" s="689"/>
      <c r="BQ636" s="694"/>
      <c r="BR636" s="687"/>
      <c r="BS636" s="687"/>
      <c r="BT636" s="687"/>
      <c r="BU636" s="687"/>
      <c r="BV636" s="687"/>
      <c r="BW636" s="688"/>
      <c r="BX636" s="688"/>
      <c r="BY636" s="689"/>
      <c r="BZ636" s="690"/>
      <c r="CA636" s="690"/>
      <c r="CB636" s="690"/>
      <c r="CC636" s="691"/>
      <c r="CD636" s="691"/>
      <c r="CE636" s="692"/>
      <c r="CF636" s="692"/>
      <c r="CG636" s="692"/>
      <c r="CH636" s="693"/>
    </row>
    <row r="637">
      <c r="B637" s="687"/>
      <c r="C637" s="687"/>
      <c r="D637" s="688"/>
      <c r="E637" s="689"/>
      <c r="F637" s="690"/>
      <c r="G637" s="690"/>
      <c r="H637" s="690"/>
      <c r="I637" s="691"/>
      <c r="J637" s="691"/>
      <c r="K637" s="691"/>
      <c r="L637" s="692"/>
      <c r="M637" s="692"/>
      <c r="N637" s="692"/>
      <c r="O637" s="693"/>
      <c r="P637" s="688"/>
      <c r="Q637" s="688"/>
      <c r="R637" s="688"/>
      <c r="S637" s="688"/>
      <c r="T637" s="689"/>
      <c r="U637" s="689"/>
      <c r="V637" s="694"/>
      <c r="W637" s="694"/>
      <c r="X637" s="694"/>
      <c r="Y637" s="694"/>
      <c r="Z637" s="693"/>
      <c r="AA637" s="693"/>
      <c r="AB637" s="693"/>
      <c r="AC637" s="693"/>
      <c r="AD637" s="688"/>
      <c r="AE637" s="689"/>
      <c r="AF637" s="689"/>
      <c r="AG637" s="690"/>
      <c r="AH637" s="690"/>
      <c r="AI637" s="695"/>
      <c r="AJ637" s="695"/>
      <c r="AK637" s="692"/>
      <c r="AL637" s="692"/>
      <c r="AM637" s="693"/>
      <c r="AN637" s="688"/>
      <c r="AO637" s="688"/>
      <c r="AP637" s="688"/>
      <c r="AQ637" s="688"/>
      <c r="AR637" s="688"/>
      <c r="AS637" s="688"/>
      <c r="AT637" s="689"/>
      <c r="AU637" s="689"/>
      <c r="AV637" s="690"/>
      <c r="AW637" s="690"/>
      <c r="AX637" s="690"/>
      <c r="AY637" s="690"/>
      <c r="AZ637" s="690"/>
      <c r="BA637" s="690"/>
      <c r="BB637" s="695"/>
      <c r="BC637" s="695"/>
      <c r="BD637" s="695"/>
      <c r="BE637" s="695"/>
      <c r="BF637" s="692"/>
      <c r="BG637" s="692"/>
      <c r="BH637" s="692"/>
      <c r="BI637" s="692"/>
      <c r="BJ637" s="692"/>
      <c r="BK637" s="692"/>
      <c r="BL637" s="693"/>
      <c r="BM637" s="693"/>
      <c r="BN637" s="688"/>
      <c r="BO637" s="693"/>
      <c r="BP637" s="689"/>
      <c r="BQ637" s="694"/>
      <c r="BR637" s="687"/>
      <c r="BS637" s="687"/>
      <c r="BT637" s="687"/>
      <c r="BU637" s="687"/>
      <c r="BV637" s="687"/>
      <c r="BW637" s="688"/>
      <c r="BX637" s="688"/>
      <c r="BY637" s="689"/>
      <c r="BZ637" s="690"/>
      <c r="CA637" s="690"/>
      <c r="CB637" s="690"/>
      <c r="CC637" s="691"/>
      <c r="CD637" s="691"/>
      <c r="CE637" s="692"/>
      <c r="CF637" s="692"/>
      <c r="CG637" s="692"/>
      <c r="CH637" s="693"/>
    </row>
    <row r="638">
      <c r="B638" s="687"/>
      <c r="C638" s="687"/>
      <c r="D638" s="688"/>
      <c r="E638" s="689"/>
      <c r="F638" s="690"/>
      <c r="G638" s="690"/>
      <c r="H638" s="690"/>
      <c r="I638" s="691"/>
      <c r="J638" s="691"/>
      <c r="K638" s="691"/>
      <c r="L638" s="692"/>
      <c r="M638" s="692"/>
      <c r="N638" s="692"/>
      <c r="O638" s="693"/>
      <c r="P638" s="688"/>
      <c r="Q638" s="688"/>
      <c r="R638" s="688"/>
      <c r="S638" s="688"/>
      <c r="T638" s="689"/>
      <c r="U638" s="689"/>
      <c r="V638" s="694"/>
      <c r="W638" s="694"/>
      <c r="X638" s="694"/>
      <c r="Y638" s="694"/>
      <c r="Z638" s="693"/>
      <c r="AA638" s="693"/>
      <c r="AB638" s="693"/>
      <c r="AC638" s="693"/>
      <c r="AD638" s="688"/>
      <c r="AE638" s="689"/>
      <c r="AF638" s="689"/>
      <c r="AG638" s="690"/>
      <c r="AH638" s="690"/>
      <c r="AI638" s="695"/>
      <c r="AJ638" s="695"/>
      <c r="AK638" s="692"/>
      <c r="AL638" s="692"/>
      <c r="AM638" s="693"/>
      <c r="AN638" s="688"/>
      <c r="AO638" s="688"/>
      <c r="AP638" s="688"/>
      <c r="AQ638" s="688"/>
      <c r="AR638" s="688"/>
      <c r="AS638" s="688"/>
      <c r="AT638" s="689"/>
      <c r="AU638" s="689"/>
      <c r="AV638" s="690"/>
      <c r="AW638" s="690"/>
      <c r="AX638" s="690"/>
      <c r="AY638" s="690"/>
      <c r="AZ638" s="690"/>
      <c r="BA638" s="690"/>
      <c r="BB638" s="695"/>
      <c r="BC638" s="695"/>
      <c r="BD638" s="695"/>
      <c r="BE638" s="695"/>
      <c r="BF638" s="692"/>
      <c r="BG638" s="692"/>
      <c r="BH638" s="692"/>
      <c r="BI638" s="692"/>
      <c r="BJ638" s="692"/>
      <c r="BK638" s="692"/>
      <c r="BL638" s="693"/>
      <c r="BM638" s="693"/>
      <c r="BN638" s="688"/>
      <c r="BO638" s="693"/>
      <c r="BP638" s="689"/>
      <c r="BQ638" s="694"/>
      <c r="BR638" s="687"/>
      <c r="BS638" s="687"/>
      <c r="BT638" s="687"/>
      <c r="BU638" s="687"/>
      <c r="BV638" s="687"/>
      <c r="BW638" s="688"/>
      <c r="BX638" s="688"/>
      <c r="BY638" s="689"/>
      <c r="BZ638" s="690"/>
      <c r="CA638" s="690"/>
      <c r="CB638" s="690"/>
      <c r="CC638" s="691"/>
      <c r="CD638" s="691"/>
      <c r="CE638" s="692"/>
      <c r="CF638" s="692"/>
      <c r="CG638" s="692"/>
      <c r="CH638" s="693"/>
    </row>
    <row r="639">
      <c r="B639" s="687"/>
      <c r="C639" s="687"/>
      <c r="D639" s="688"/>
      <c r="E639" s="689"/>
      <c r="F639" s="690"/>
      <c r="G639" s="690"/>
      <c r="H639" s="690"/>
      <c r="I639" s="691"/>
      <c r="J639" s="691"/>
      <c r="K639" s="691"/>
      <c r="L639" s="692"/>
      <c r="M639" s="692"/>
      <c r="N639" s="692"/>
      <c r="O639" s="693"/>
      <c r="P639" s="688"/>
      <c r="Q639" s="688"/>
      <c r="R639" s="688"/>
      <c r="S639" s="688"/>
      <c r="T639" s="689"/>
      <c r="U639" s="689"/>
      <c r="V639" s="694"/>
      <c r="W639" s="694"/>
      <c r="X639" s="694"/>
      <c r="Y639" s="694"/>
      <c r="Z639" s="693"/>
      <c r="AA639" s="693"/>
      <c r="AB639" s="693"/>
      <c r="AC639" s="693"/>
      <c r="AD639" s="688"/>
      <c r="AE639" s="689"/>
      <c r="AF639" s="689"/>
      <c r="AG639" s="690"/>
      <c r="AH639" s="690"/>
      <c r="AI639" s="695"/>
      <c r="AJ639" s="695"/>
      <c r="AK639" s="692"/>
      <c r="AL639" s="692"/>
      <c r="AM639" s="693"/>
      <c r="AN639" s="688"/>
      <c r="AO639" s="688"/>
      <c r="AP639" s="688"/>
      <c r="AQ639" s="688"/>
      <c r="AR639" s="688"/>
      <c r="AS639" s="688"/>
      <c r="AT639" s="689"/>
      <c r="AU639" s="689"/>
      <c r="AV639" s="690"/>
      <c r="AW639" s="690"/>
      <c r="AX639" s="690"/>
      <c r="AY639" s="690"/>
      <c r="AZ639" s="690"/>
      <c r="BA639" s="690"/>
      <c r="BB639" s="695"/>
      <c r="BC639" s="695"/>
      <c r="BD639" s="695"/>
      <c r="BE639" s="695"/>
      <c r="BF639" s="692"/>
      <c r="BG639" s="692"/>
      <c r="BH639" s="692"/>
      <c r="BI639" s="692"/>
      <c r="BJ639" s="692"/>
      <c r="BK639" s="692"/>
      <c r="BL639" s="693"/>
      <c r="BM639" s="693"/>
      <c r="BN639" s="688"/>
      <c r="BO639" s="693"/>
      <c r="BP639" s="689"/>
      <c r="BQ639" s="694"/>
      <c r="BR639" s="687"/>
      <c r="BS639" s="687"/>
      <c r="BT639" s="687"/>
      <c r="BU639" s="687"/>
      <c r="BV639" s="687"/>
      <c r="BW639" s="688"/>
      <c r="BX639" s="688"/>
      <c r="BY639" s="689"/>
      <c r="BZ639" s="690"/>
      <c r="CA639" s="690"/>
      <c r="CB639" s="690"/>
      <c r="CC639" s="691"/>
      <c r="CD639" s="691"/>
      <c r="CE639" s="692"/>
      <c r="CF639" s="692"/>
      <c r="CG639" s="692"/>
      <c r="CH639" s="693"/>
    </row>
    <row r="640">
      <c r="B640" s="687"/>
      <c r="C640" s="687"/>
      <c r="D640" s="688"/>
      <c r="E640" s="689"/>
      <c r="F640" s="690"/>
      <c r="G640" s="690"/>
      <c r="H640" s="690"/>
      <c r="I640" s="691"/>
      <c r="J640" s="691"/>
      <c r="K640" s="691"/>
      <c r="L640" s="692"/>
      <c r="M640" s="692"/>
      <c r="N640" s="692"/>
      <c r="O640" s="693"/>
      <c r="P640" s="688"/>
      <c r="Q640" s="688"/>
      <c r="R640" s="688"/>
      <c r="S640" s="688"/>
      <c r="T640" s="689"/>
      <c r="U640" s="689"/>
      <c r="V640" s="694"/>
      <c r="W640" s="694"/>
      <c r="X640" s="694"/>
      <c r="Y640" s="694"/>
      <c r="Z640" s="693"/>
      <c r="AA640" s="693"/>
      <c r="AB640" s="693"/>
      <c r="AC640" s="693"/>
      <c r="AD640" s="688"/>
      <c r="AE640" s="689"/>
      <c r="AF640" s="689"/>
      <c r="AG640" s="690"/>
      <c r="AH640" s="690"/>
      <c r="AI640" s="695"/>
      <c r="AJ640" s="695"/>
      <c r="AK640" s="692"/>
      <c r="AL640" s="692"/>
      <c r="AM640" s="693"/>
      <c r="AN640" s="688"/>
      <c r="AO640" s="688"/>
      <c r="AP640" s="688"/>
      <c r="AQ640" s="688"/>
      <c r="AR640" s="688"/>
      <c r="AS640" s="688"/>
      <c r="AT640" s="689"/>
      <c r="AU640" s="689"/>
      <c r="AV640" s="690"/>
      <c r="AW640" s="690"/>
      <c r="AX640" s="690"/>
      <c r="AY640" s="690"/>
      <c r="AZ640" s="690"/>
      <c r="BA640" s="690"/>
      <c r="BB640" s="695"/>
      <c r="BC640" s="695"/>
      <c r="BD640" s="695"/>
      <c r="BE640" s="695"/>
      <c r="BF640" s="692"/>
      <c r="BG640" s="692"/>
      <c r="BH640" s="692"/>
      <c r="BI640" s="692"/>
      <c r="BJ640" s="692"/>
      <c r="BK640" s="692"/>
      <c r="BL640" s="693"/>
      <c r="BM640" s="693"/>
      <c r="BN640" s="688"/>
      <c r="BO640" s="693"/>
      <c r="BP640" s="689"/>
      <c r="BQ640" s="694"/>
      <c r="BR640" s="687"/>
      <c r="BS640" s="687"/>
      <c r="BT640" s="687"/>
      <c r="BU640" s="687"/>
      <c r="BV640" s="687"/>
      <c r="BW640" s="688"/>
      <c r="BX640" s="688"/>
      <c r="BY640" s="689"/>
      <c r="BZ640" s="690"/>
      <c r="CA640" s="690"/>
      <c r="CB640" s="690"/>
      <c r="CC640" s="691"/>
      <c r="CD640" s="691"/>
      <c r="CE640" s="692"/>
      <c r="CF640" s="692"/>
      <c r="CG640" s="692"/>
      <c r="CH640" s="693"/>
    </row>
    <row r="641">
      <c r="B641" s="687"/>
      <c r="C641" s="687"/>
      <c r="D641" s="688"/>
      <c r="E641" s="689"/>
      <c r="F641" s="690"/>
      <c r="G641" s="690"/>
      <c r="H641" s="690"/>
      <c r="I641" s="691"/>
      <c r="J641" s="691"/>
      <c r="K641" s="691"/>
      <c r="L641" s="692"/>
      <c r="M641" s="692"/>
      <c r="N641" s="692"/>
      <c r="O641" s="693"/>
      <c r="P641" s="688"/>
      <c r="Q641" s="688"/>
      <c r="R641" s="688"/>
      <c r="S641" s="688"/>
      <c r="T641" s="689"/>
      <c r="U641" s="689"/>
      <c r="V641" s="694"/>
      <c r="W641" s="694"/>
      <c r="X641" s="694"/>
      <c r="Y641" s="694"/>
      <c r="Z641" s="693"/>
      <c r="AA641" s="693"/>
      <c r="AB641" s="693"/>
      <c r="AC641" s="693"/>
      <c r="AD641" s="688"/>
      <c r="AE641" s="689"/>
      <c r="AF641" s="689"/>
      <c r="AG641" s="690"/>
      <c r="AH641" s="690"/>
      <c r="AI641" s="695"/>
      <c r="AJ641" s="695"/>
      <c r="AK641" s="692"/>
      <c r="AL641" s="692"/>
      <c r="AM641" s="693"/>
      <c r="AN641" s="688"/>
      <c r="AO641" s="688"/>
      <c r="AP641" s="688"/>
      <c r="AQ641" s="688"/>
      <c r="AR641" s="688"/>
      <c r="AS641" s="688"/>
      <c r="AT641" s="689"/>
      <c r="AU641" s="689"/>
      <c r="AV641" s="690"/>
      <c r="AW641" s="690"/>
      <c r="AX641" s="690"/>
      <c r="AY641" s="690"/>
      <c r="AZ641" s="690"/>
      <c r="BA641" s="690"/>
      <c r="BB641" s="695"/>
      <c r="BC641" s="695"/>
      <c r="BD641" s="695"/>
      <c r="BE641" s="695"/>
      <c r="BF641" s="692"/>
      <c r="BG641" s="692"/>
      <c r="BH641" s="692"/>
      <c r="BI641" s="692"/>
      <c r="BJ641" s="692"/>
      <c r="BK641" s="692"/>
      <c r="BL641" s="693"/>
      <c r="BM641" s="693"/>
      <c r="BN641" s="688"/>
      <c r="BO641" s="693"/>
      <c r="BP641" s="689"/>
      <c r="BQ641" s="694"/>
      <c r="BR641" s="687"/>
      <c r="BS641" s="687"/>
      <c r="BT641" s="687"/>
      <c r="BU641" s="687"/>
      <c r="BV641" s="687"/>
      <c r="BW641" s="688"/>
      <c r="BX641" s="688"/>
      <c r="BY641" s="689"/>
      <c r="BZ641" s="690"/>
      <c r="CA641" s="690"/>
      <c r="CB641" s="690"/>
      <c r="CC641" s="691"/>
      <c r="CD641" s="691"/>
      <c r="CE641" s="692"/>
      <c r="CF641" s="692"/>
      <c r="CG641" s="692"/>
      <c r="CH641" s="693"/>
    </row>
    <row r="642">
      <c r="B642" s="687"/>
      <c r="C642" s="687"/>
      <c r="D642" s="688"/>
      <c r="E642" s="689"/>
      <c r="F642" s="690"/>
      <c r="G642" s="690"/>
      <c r="H642" s="690"/>
      <c r="I642" s="691"/>
      <c r="J642" s="691"/>
      <c r="K642" s="691"/>
      <c r="L642" s="692"/>
      <c r="M642" s="692"/>
      <c r="N642" s="692"/>
      <c r="O642" s="693"/>
      <c r="P642" s="688"/>
      <c r="Q642" s="688"/>
      <c r="R642" s="688"/>
      <c r="S642" s="688"/>
      <c r="T642" s="689"/>
      <c r="U642" s="689"/>
      <c r="V642" s="694"/>
      <c r="W642" s="694"/>
      <c r="X642" s="694"/>
      <c r="Y642" s="694"/>
      <c r="Z642" s="693"/>
      <c r="AA642" s="693"/>
      <c r="AB642" s="693"/>
      <c r="AC642" s="693"/>
      <c r="AD642" s="688"/>
      <c r="AE642" s="689"/>
      <c r="AF642" s="689"/>
      <c r="AG642" s="690"/>
      <c r="AH642" s="690"/>
      <c r="AI642" s="695"/>
      <c r="AJ642" s="695"/>
      <c r="AK642" s="692"/>
      <c r="AL642" s="692"/>
      <c r="AM642" s="693"/>
      <c r="AN642" s="688"/>
      <c r="AO642" s="688"/>
      <c r="AP642" s="688"/>
      <c r="AQ642" s="688"/>
      <c r="AR642" s="688"/>
      <c r="AS642" s="688"/>
      <c r="AT642" s="689"/>
      <c r="AU642" s="689"/>
      <c r="AV642" s="690"/>
      <c r="AW642" s="690"/>
      <c r="AX642" s="690"/>
      <c r="AY642" s="690"/>
      <c r="AZ642" s="690"/>
      <c r="BA642" s="690"/>
      <c r="BB642" s="695"/>
      <c r="BC642" s="695"/>
      <c r="BD642" s="695"/>
      <c r="BE642" s="695"/>
      <c r="BF642" s="692"/>
      <c r="BG642" s="692"/>
      <c r="BH642" s="692"/>
      <c r="BI642" s="692"/>
      <c r="BJ642" s="692"/>
      <c r="BK642" s="692"/>
      <c r="BL642" s="693"/>
      <c r="BM642" s="693"/>
      <c r="BN642" s="688"/>
      <c r="BO642" s="693"/>
      <c r="BP642" s="689"/>
      <c r="BQ642" s="694"/>
      <c r="BR642" s="687"/>
      <c r="BS642" s="687"/>
      <c r="BT642" s="687"/>
      <c r="BU642" s="687"/>
      <c r="BV642" s="687"/>
      <c r="BW642" s="688"/>
      <c r="BX642" s="688"/>
      <c r="BY642" s="689"/>
      <c r="BZ642" s="690"/>
      <c r="CA642" s="690"/>
      <c r="CB642" s="690"/>
      <c r="CC642" s="691"/>
      <c r="CD642" s="691"/>
      <c r="CE642" s="692"/>
      <c r="CF642" s="692"/>
      <c r="CG642" s="692"/>
      <c r="CH642" s="693"/>
    </row>
    <row r="643">
      <c r="B643" s="687"/>
      <c r="C643" s="687"/>
      <c r="D643" s="688"/>
      <c r="E643" s="689"/>
      <c r="F643" s="690"/>
      <c r="G643" s="690"/>
      <c r="H643" s="690"/>
      <c r="I643" s="691"/>
      <c r="J643" s="691"/>
      <c r="K643" s="691"/>
      <c r="L643" s="692"/>
      <c r="M643" s="692"/>
      <c r="N643" s="692"/>
      <c r="O643" s="693"/>
      <c r="P643" s="688"/>
      <c r="Q643" s="688"/>
      <c r="R643" s="688"/>
      <c r="S643" s="688"/>
      <c r="T643" s="689"/>
      <c r="U643" s="689"/>
      <c r="V643" s="694"/>
      <c r="W643" s="694"/>
      <c r="X643" s="694"/>
      <c r="Y643" s="694"/>
      <c r="Z643" s="693"/>
      <c r="AA643" s="693"/>
      <c r="AB643" s="693"/>
      <c r="AC643" s="693"/>
      <c r="AD643" s="688"/>
      <c r="AE643" s="689"/>
      <c r="AF643" s="689"/>
      <c r="AG643" s="690"/>
      <c r="AH643" s="690"/>
      <c r="AI643" s="695"/>
      <c r="AJ643" s="695"/>
      <c r="AK643" s="692"/>
      <c r="AL643" s="692"/>
      <c r="AM643" s="693"/>
      <c r="AN643" s="688"/>
      <c r="AO643" s="688"/>
      <c r="AP643" s="688"/>
      <c r="AQ643" s="688"/>
      <c r="AR643" s="688"/>
      <c r="AS643" s="688"/>
      <c r="AT643" s="689"/>
      <c r="AU643" s="689"/>
      <c r="AV643" s="690"/>
      <c r="AW643" s="690"/>
      <c r="AX643" s="690"/>
      <c r="AY643" s="690"/>
      <c r="AZ643" s="690"/>
      <c r="BA643" s="690"/>
      <c r="BB643" s="695"/>
      <c r="BC643" s="695"/>
      <c r="BD643" s="695"/>
      <c r="BE643" s="695"/>
      <c r="BF643" s="692"/>
      <c r="BG643" s="692"/>
      <c r="BH643" s="692"/>
      <c r="BI643" s="692"/>
      <c r="BJ643" s="692"/>
      <c r="BK643" s="692"/>
      <c r="BL643" s="693"/>
      <c r="BM643" s="693"/>
      <c r="BN643" s="688"/>
      <c r="BO643" s="693"/>
      <c r="BP643" s="689"/>
      <c r="BQ643" s="694"/>
      <c r="BR643" s="687"/>
      <c r="BS643" s="687"/>
      <c r="BT643" s="687"/>
      <c r="BU643" s="687"/>
      <c r="BV643" s="687"/>
      <c r="BW643" s="688"/>
      <c r="BX643" s="688"/>
      <c r="BY643" s="689"/>
      <c r="BZ643" s="690"/>
      <c r="CA643" s="690"/>
      <c r="CB643" s="690"/>
      <c r="CC643" s="691"/>
      <c r="CD643" s="691"/>
      <c r="CE643" s="692"/>
      <c r="CF643" s="692"/>
      <c r="CG643" s="692"/>
      <c r="CH643" s="693"/>
    </row>
    <row r="644">
      <c r="B644" s="687"/>
      <c r="C644" s="687"/>
      <c r="D644" s="688"/>
      <c r="E644" s="689"/>
      <c r="F644" s="690"/>
      <c r="G644" s="690"/>
      <c r="H644" s="690"/>
      <c r="I644" s="691"/>
      <c r="J644" s="691"/>
      <c r="K644" s="691"/>
      <c r="L644" s="692"/>
      <c r="M644" s="692"/>
      <c r="N644" s="692"/>
      <c r="O644" s="693"/>
      <c r="P644" s="688"/>
      <c r="Q644" s="688"/>
      <c r="R644" s="688"/>
      <c r="S644" s="688"/>
      <c r="T644" s="689"/>
      <c r="U644" s="689"/>
      <c r="V644" s="694"/>
      <c r="W644" s="694"/>
      <c r="X644" s="694"/>
      <c r="Y644" s="694"/>
      <c r="Z644" s="693"/>
      <c r="AA644" s="693"/>
      <c r="AB644" s="693"/>
      <c r="AC644" s="693"/>
      <c r="AD644" s="688"/>
      <c r="AE644" s="689"/>
      <c r="AF644" s="689"/>
      <c r="AG644" s="690"/>
      <c r="AH644" s="690"/>
      <c r="AI644" s="695"/>
      <c r="AJ644" s="695"/>
      <c r="AK644" s="692"/>
      <c r="AL644" s="692"/>
      <c r="AM644" s="693"/>
      <c r="AN644" s="688"/>
      <c r="AO644" s="688"/>
      <c r="AP644" s="688"/>
      <c r="AQ644" s="688"/>
      <c r="AR644" s="688"/>
      <c r="AS644" s="688"/>
      <c r="AT644" s="689"/>
      <c r="AU644" s="689"/>
      <c r="AV644" s="690"/>
      <c r="AW644" s="690"/>
      <c r="AX644" s="690"/>
      <c r="AY644" s="690"/>
      <c r="AZ644" s="690"/>
      <c r="BA644" s="690"/>
      <c r="BB644" s="695"/>
      <c r="BC644" s="695"/>
      <c r="BD644" s="695"/>
      <c r="BE644" s="695"/>
      <c r="BF644" s="692"/>
      <c r="BG644" s="692"/>
      <c r="BH644" s="692"/>
      <c r="BI644" s="692"/>
      <c r="BJ644" s="692"/>
      <c r="BK644" s="692"/>
      <c r="BL644" s="693"/>
      <c r="BM644" s="693"/>
      <c r="BN644" s="688"/>
      <c r="BO644" s="693"/>
      <c r="BP644" s="689"/>
      <c r="BQ644" s="694"/>
      <c r="BR644" s="687"/>
      <c r="BS644" s="687"/>
      <c r="BT644" s="687"/>
      <c r="BU644" s="687"/>
      <c r="BV644" s="687"/>
      <c r="BW644" s="688"/>
      <c r="BX644" s="688"/>
      <c r="BY644" s="689"/>
      <c r="BZ644" s="690"/>
      <c r="CA644" s="690"/>
      <c r="CB644" s="690"/>
      <c r="CC644" s="691"/>
      <c r="CD644" s="691"/>
      <c r="CE644" s="692"/>
      <c r="CF644" s="692"/>
      <c r="CG644" s="692"/>
      <c r="CH644" s="693"/>
    </row>
    <row r="645">
      <c r="B645" s="687"/>
      <c r="C645" s="687"/>
      <c r="D645" s="688"/>
      <c r="E645" s="689"/>
      <c r="F645" s="690"/>
      <c r="G645" s="690"/>
      <c r="H645" s="690"/>
      <c r="I645" s="691"/>
      <c r="J645" s="691"/>
      <c r="K645" s="691"/>
      <c r="L645" s="692"/>
      <c r="M645" s="692"/>
      <c r="N645" s="692"/>
      <c r="O645" s="693"/>
      <c r="P645" s="688"/>
      <c r="Q645" s="688"/>
      <c r="R645" s="688"/>
      <c r="S645" s="688"/>
      <c r="T645" s="689"/>
      <c r="U645" s="689"/>
      <c r="V645" s="694"/>
      <c r="W645" s="694"/>
      <c r="X645" s="694"/>
      <c r="Y645" s="694"/>
      <c r="Z645" s="693"/>
      <c r="AA645" s="693"/>
      <c r="AB645" s="693"/>
      <c r="AC645" s="693"/>
      <c r="AD645" s="688"/>
      <c r="AE645" s="689"/>
      <c r="AF645" s="689"/>
      <c r="AG645" s="690"/>
      <c r="AH645" s="690"/>
      <c r="AI645" s="695"/>
      <c r="AJ645" s="695"/>
      <c r="AK645" s="692"/>
      <c r="AL645" s="692"/>
      <c r="AM645" s="693"/>
      <c r="AN645" s="688"/>
      <c r="AO645" s="688"/>
      <c r="AP645" s="688"/>
      <c r="AQ645" s="688"/>
      <c r="AR645" s="688"/>
      <c r="AS645" s="688"/>
      <c r="AT645" s="689"/>
      <c r="AU645" s="689"/>
      <c r="AV645" s="690"/>
      <c r="AW645" s="690"/>
      <c r="AX645" s="690"/>
      <c r="AY645" s="690"/>
      <c r="AZ645" s="690"/>
      <c r="BA645" s="690"/>
      <c r="BB645" s="695"/>
      <c r="BC645" s="695"/>
      <c r="BD645" s="695"/>
      <c r="BE645" s="695"/>
      <c r="BF645" s="692"/>
      <c r="BG645" s="692"/>
      <c r="BH645" s="692"/>
      <c r="BI645" s="692"/>
      <c r="BJ645" s="692"/>
      <c r="BK645" s="692"/>
      <c r="BL645" s="693"/>
      <c r="BM645" s="693"/>
      <c r="BN645" s="688"/>
      <c r="BO645" s="693"/>
      <c r="BP645" s="689"/>
      <c r="BQ645" s="694"/>
      <c r="BR645" s="687"/>
      <c r="BS645" s="687"/>
      <c r="BT645" s="687"/>
      <c r="BU645" s="687"/>
      <c r="BV645" s="687"/>
      <c r="BW645" s="688"/>
      <c r="BX645" s="688"/>
      <c r="BY645" s="689"/>
      <c r="BZ645" s="690"/>
      <c r="CA645" s="690"/>
      <c r="CB645" s="690"/>
      <c r="CC645" s="691"/>
      <c r="CD645" s="691"/>
      <c r="CE645" s="692"/>
      <c r="CF645" s="692"/>
      <c r="CG645" s="692"/>
      <c r="CH645" s="693"/>
    </row>
    <row r="646">
      <c r="B646" s="687"/>
      <c r="C646" s="687"/>
      <c r="D646" s="688"/>
      <c r="E646" s="689"/>
      <c r="F646" s="690"/>
      <c r="G646" s="690"/>
      <c r="H646" s="690"/>
      <c r="I646" s="691"/>
      <c r="J646" s="691"/>
      <c r="K646" s="691"/>
      <c r="L646" s="692"/>
      <c r="M646" s="692"/>
      <c r="N646" s="692"/>
      <c r="O646" s="693"/>
      <c r="P646" s="688"/>
      <c r="Q646" s="688"/>
      <c r="R646" s="688"/>
      <c r="S646" s="688"/>
      <c r="T646" s="689"/>
      <c r="U646" s="689"/>
      <c r="V646" s="694"/>
      <c r="W646" s="694"/>
      <c r="X646" s="694"/>
      <c r="Y646" s="694"/>
      <c r="Z646" s="693"/>
      <c r="AA646" s="693"/>
      <c r="AB646" s="693"/>
      <c r="AC646" s="693"/>
      <c r="AD646" s="688"/>
      <c r="AE646" s="689"/>
      <c r="AF646" s="689"/>
      <c r="AG646" s="690"/>
      <c r="AH646" s="690"/>
      <c r="AI646" s="695"/>
      <c r="AJ646" s="695"/>
      <c r="AK646" s="692"/>
      <c r="AL646" s="692"/>
      <c r="AM646" s="693"/>
      <c r="AN646" s="688"/>
      <c r="AO646" s="688"/>
      <c r="AP646" s="688"/>
      <c r="AQ646" s="688"/>
      <c r="AR646" s="688"/>
      <c r="AS646" s="688"/>
      <c r="AT646" s="689"/>
      <c r="AU646" s="689"/>
      <c r="AV646" s="690"/>
      <c r="AW646" s="690"/>
      <c r="AX646" s="690"/>
      <c r="AY646" s="690"/>
      <c r="AZ646" s="690"/>
      <c r="BA646" s="690"/>
      <c r="BB646" s="695"/>
      <c r="BC646" s="695"/>
      <c r="BD646" s="695"/>
      <c r="BE646" s="695"/>
      <c r="BF646" s="692"/>
      <c r="BG646" s="692"/>
      <c r="BH646" s="692"/>
      <c r="BI646" s="692"/>
      <c r="BJ646" s="692"/>
      <c r="BK646" s="692"/>
      <c r="BL646" s="693"/>
      <c r="BM646" s="693"/>
      <c r="BN646" s="688"/>
      <c r="BO646" s="693"/>
      <c r="BP646" s="689"/>
      <c r="BQ646" s="694"/>
      <c r="BR646" s="687"/>
      <c r="BS646" s="687"/>
      <c r="BT646" s="687"/>
      <c r="BU646" s="687"/>
      <c r="BV646" s="687"/>
      <c r="BW646" s="688"/>
      <c r="BX646" s="688"/>
      <c r="BY646" s="689"/>
      <c r="BZ646" s="690"/>
      <c r="CA646" s="690"/>
      <c r="CB646" s="690"/>
      <c r="CC646" s="691"/>
      <c r="CD646" s="691"/>
      <c r="CE646" s="692"/>
      <c r="CF646" s="692"/>
      <c r="CG646" s="692"/>
      <c r="CH646" s="693"/>
    </row>
    <row r="647">
      <c r="B647" s="687"/>
      <c r="C647" s="687"/>
      <c r="D647" s="688"/>
      <c r="E647" s="689"/>
      <c r="F647" s="690"/>
      <c r="G647" s="690"/>
      <c r="H647" s="690"/>
      <c r="I647" s="691"/>
      <c r="J647" s="691"/>
      <c r="K647" s="691"/>
      <c r="L647" s="692"/>
      <c r="M647" s="692"/>
      <c r="N647" s="692"/>
      <c r="O647" s="693"/>
      <c r="P647" s="688"/>
      <c r="Q647" s="688"/>
      <c r="R647" s="688"/>
      <c r="S647" s="688"/>
      <c r="T647" s="689"/>
      <c r="U647" s="689"/>
      <c r="V647" s="694"/>
      <c r="W647" s="694"/>
      <c r="X647" s="694"/>
      <c r="Y647" s="694"/>
      <c r="Z647" s="693"/>
      <c r="AA647" s="693"/>
      <c r="AB647" s="693"/>
      <c r="AC647" s="693"/>
      <c r="AD647" s="688"/>
      <c r="AE647" s="689"/>
      <c r="AF647" s="689"/>
      <c r="AG647" s="690"/>
      <c r="AH647" s="690"/>
      <c r="AI647" s="695"/>
      <c r="AJ647" s="695"/>
      <c r="AK647" s="692"/>
      <c r="AL647" s="692"/>
      <c r="AM647" s="693"/>
      <c r="AN647" s="688"/>
      <c r="AO647" s="688"/>
      <c r="AP647" s="688"/>
      <c r="AQ647" s="688"/>
      <c r="AR647" s="688"/>
      <c r="AS647" s="688"/>
      <c r="AT647" s="689"/>
      <c r="AU647" s="689"/>
      <c r="AV647" s="690"/>
      <c r="AW647" s="690"/>
      <c r="AX647" s="690"/>
      <c r="AY647" s="690"/>
      <c r="AZ647" s="690"/>
      <c r="BA647" s="690"/>
      <c r="BB647" s="695"/>
      <c r="BC647" s="695"/>
      <c r="BD647" s="695"/>
      <c r="BE647" s="695"/>
      <c r="BF647" s="692"/>
      <c r="BG647" s="692"/>
      <c r="BH647" s="692"/>
      <c r="BI647" s="692"/>
      <c r="BJ647" s="692"/>
      <c r="BK647" s="692"/>
      <c r="BL647" s="693"/>
      <c r="BM647" s="693"/>
      <c r="BN647" s="688"/>
      <c r="BO647" s="693"/>
      <c r="BP647" s="689"/>
      <c r="BQ647" s="694"/>
      <c r="BR647" s="687"/>
      <c r="BS647" s="687"/>
      <c r="BT647" s="687"/>
      <c r="BU647" s="687"/>
      <c r="BV647" s="687"/>
      <c r="BW647" s="688"/>
      <c r="BX647" s="688"/>
      <c r="BY647" s="689"/>
      <c r="BZ647" s="690"/>
      <c r="CA647" s="690"/>
      <c r="CB647" s="690"/>
      <c r="CC647" s="691"/>
      <c r="CD647" s="691"/>
      <c r="CE647" s="692"/>
      <c r="CF647" s="692"/>
      <c r="CG647" s="692"/>
      <c r="CH647" s="693"/>
    </row>
    <row r="648">
      <c r="B648" s="687"/>
      <c r="C648" s="687"/>
      <c r="D648" s="688"/>
      <c r="E648" s="689"/>
      <c r="F648" s="690"/>
      <c r="G648" s="690"/>
      <c r="H648" s="690"/>
      <c r="I648" s="691"/>
      <c r="J648" s="691"/>
      <c r="K648" s="691"/>
      <c r="L648" s="692"/>
      <c r="M648" s="692"/>
      <c r="N648" s="692"/>
      <c r="O648" s="693"/>
      <c r="P648" s="688"/>
      <c r="Q648" s="688"/>
      <c r="R648" s="688"/>
      <c r="S648" s="688"/>
      <c r="T648" s="689"/>
      <c r="U648" s="689"/>
      <c r="V648" s="694"/>
      <c r="W648" s="694"/>
      <c r="X648" s="694"/>
      <c r="Y648" s="694"/>
      <c r="Z648" s="693"/>
      <c r="AA648" s="693"/>
      <c r="AB648" s="693"/>
      <c r="AC648" s="693"/>
      <c r="AD648" s="688"/>
      <c r="AE648" s="689"/>
      <c r="AF648" s="689"/>
      <c r="AG648" s="690"/>
      <c r="AH648" s="690"/>
      <c r="AI648" s="695"/>
      <c r="AJ648" s="695"/>
      <c r="AK648" s="692"/>
      <c r="AL648" s="692"/>
      <c r="AM648" s="693"/>
      <c r="AN648" s="688"/>
      <c r="AO648" s="688"/>
      <c r="AP648" s="688"/>
      <c r="AQ648" s="688"/>
      <c r="AR648" s="688"/>
      <c r="AS648" s="688"/>
      <c r="AT648" s="689"/>
      <c r="AU648" s="689"/>
      <c r="AV648" s="690"/>
      <c r="AW648" s="690"/>
      <c r="AX648" s="690"/>
      <c r="AY648" s="690"/>
      <c r="AZ648" s="690"/>
      <c r="BA648" s="690"/>
      <c r="BB648" s="695"/>
      <c r="BC648" s="695"/>
      <c r="BD648" s="695"/>
      <c r="BE648" s="695"/>
      <c r="BF648" s="692"/>
      <c r="BG648" s="692"/>
      <c r="BH648" s="692"/>
      <c r="BI648" s="692"/>
      <c r="BJ648" s="692"/>
      <c r="BK648" s="692"/>
      <c r="BL648" s="693"/>
      <c r="BM648" s="693"/>
      <c r="BN648" s="688"/>
      <c r="BO648" s="693"/>
      <c r="BP648" s="689"/>
      <c r="BQ648" s="694"/>
      <c r="BR648" s="687"/>
      <c r="BS648" s="687"/>
      <c r="BT648" s="687"/>
      <c r="BU648" s="687"/>
      <c r="BV648" s="687"/>
      <c r="BW648" s="688"/>
      <c r="BX648" s="688"/>
      <c r="BY648" s="689"/>
      <c r="BZ648" s="690"/>
      <c r="CA648" s="690"/>
      <c r="CB648" s="690"/>
      <c r="CC648" s="691"/>
      <c r="CD648" s="691"/>
      <c r="CE648" s="692"/>
      <c r="CF648" s="692"/>
      <c r="CG648" s="692"/>
      <c r="CH648" s="693"/>
    </row>
    <row r="649">
      <c r="B649" s="687"/>
      <c r="C649" s="687"/>
      <c r="D649" s="688"/>
      <c r="E649" s="689"/>
      <c r="F649" s="690"/>
      <c r="G649" s="690"/>
      <c r="H649" s="690"/>
      <c r="I649" s="691"/>
      <c r="J649" s="691"/>
      <c r="K649" s="691"/>
      <c r="L649" s="692"/>
      <c r="M649" s="692"/>
      <c r="N649" s="692"/>
      <c r="O649" s="693"/>
      <c r="P649" s="688"/>
      <c r="Q649" s="688"/>
      <c r="R649" s="688"/>
      <c r="S649" s="688"/>
      <c r="T649" s="689"/>
      <c r="U649" s="689"/>
      <c r="V649" s="694"/>
      <c r="W649" s="694"/>
      <c r="X649" s="694"/>
      <c r="Y649" s="694"/>
      <c r="Z649" s="693"/>
      <c r="AA649" s="693"/>
      <c r="AB649" s="693"/>
      <c r="AC649" s="693"/>
      <c r="AD649" s="688"/>
      <c r="AE649" s="689"/>
      <c r="AF649" s="689"/>
      <c r="AG649" s="690"/>
      <c r="AH649" s="690"/>
      <c r="AI649" s="695"/>
      <c r="AJ649" s="695"/>
      <c r="AK649" s="692"/>
      <c r="AL649" s="692"/>
      <c r="AM649" s="693"/>
      <c r="AN649" s="688"/>
      <c r="AO649" s="688"/>
      <c r="AP649" s="688"/>
      <c r="AQ649" s="688"/>
      <c r="AR649" s="688"/>
      <c r="AS649" s="688"/>
      <c r="AT649" s="689"/>
      <c r="AU649" s="689"/>
      <c r="AV649" s="690"/>
      <c r="AW649" s="690"/>
      <c r="AX649" s="690"/>
      <c r="AY649" s="690"/>
      <c r="AZ649" s="690"/>
      <c r="BA649" s="690"/>
      <c r="BB649" s="695"/>
      <c r="BC649" s="695"/>
      <c r="BD649" s="695"/>
      <c r="BE649" s="695"/>
      <c r="BF649" s="692"/>
      <c r="BG649" s="692"/>
      <c r="BH649" s="692"/>
      <c r="BI649" s="692"/>
      <c r="BJ649" s="692"/>
      <c r="BK649" s="692"/>
      <c r="BL649" s="693"/>
      <c r="BM649" s="693"/>
      <c r="BN649" s="688"/>
      <c r="BO649" s="693"/>
      <c r="BP649" s="689"/>
      <c r="BQ649" s="694"/>
      <c r="BR649" s="687"/>
      <c r="BS649" s="687"/>
      <c r="BT649" s="687"/>
      <c r="BU649" s="687"/>
      <c r="BV649" s="687"/>
      <c r="BW649" s="688"/>
      <c r="BX649" s="688"/>
      <c r="BY649" s="689"/>
      <c r="BZ649" s="690"/>
      <c r="CA649" s="690"/>
      <c r="CB649" s="690"/>
      <c r="CC649" s="691"/>
      <c r="CD649" s="691"/>
      <c r="CE649" s="692"/>
      <c r="CF649" s="692"/>
      <c r="CG649" s="692"/>
      <c r="CH649" s="693"/>
    </row>
    <row r="650">
      <c r="B650" s="687"/>
      <c r="C650" s="687"/>
      <c r="D650" s="688"/>
      <c r="E650" s="689"/>
      <c r="F650" s="690"/>
      <c r="G650" s="690"/>
      <c r="H650" s="690"/>
      <c r="I650" s="691"/>
      <c r="J650" s="691"/>
      <c r="K650" s="691"/>
      <c r="L650" s="692"/>
      <c r="M650" s="692"/>
      <c r="N650" s="692"/>
      <c r="O650" s="693"/>
      <c r="P650" s="688"/>
      <c r="Q650" s="688"/>
      <c r="R650" s="688"/>
      <c r="S650" s="688"/>
      <c r="T650" s="689"/>
      <c r="U650" s="689"/>
      <c r="V650" s="694"/>
      <c r="W650" s="694"/>
      <c r="X650" s="694"/>
      <c r="Y650" s="694"/>
      <c r="Z650" s="693"/>
      <c r="AA650" s="693"/>
      <c r="AB650" s="693"/>
      <c r="AC650" s="693"/>
      <c r="AD650" s="688"/>
      <c r="AE650" s="689"/>
      <c r="AF650" s="689"/>
      <c r="AG650" s="690"/>
      <c r="AH650" s="690"/>
      <c r="AI650" s="695"/>
      <c r="AJ650" s="695"/>
      <c r="AK650" s="692"/>
      <c r="AL650" s="692"/>
      <c r="AM650" s="693"/>
      <c r="AN650" s="688"/>
      <c r="AO650" s="688"/>
      <c r="AP650" s="688"/>
      <c r="AQ650" s="688"/>
      <c r="AR650" s="688"/>
      <c r="AS650" s="688"/>
      <c r="AT650" s="689"/>
      <c r="AU650" s="689"/>
      <c r="AV650" s="690"/>
      <c r="AW650" s="690"/>
      <c r="AX650" s="690"/>
      <c r="AY650" s="690"/>
      <c r="AZ650" s="690"/>
      <c r="BA650" s="690"/>
      <c r="BB650" s="695"/>
      <c r="BC650" s="695"/>
      <c r="BD650" s="695"/>
      <c r="BE650" s="695"/>
      <c r="BF650" s="692"/>
      <c r="BG650" s="692"/>
      <c r="BH650" s="692"/>
      <c r="BI650" s="692"/>
      <c r="BJ650" s="692"/>
      <c r="BK650" s="692"/>
      <c r="BL650" s="693"/>
      <c r="BM650" s="693"/>
      <c r="BN650" s="688"/>
      <c r="BO650" s="693"/>
      <c r="BP650" s="689"/>
      <c r="BQ650" s="694"/>
      <c r="BR650" s="687"/>
      <c r="BS650" s="687"/>
      <c r="BT650" s="687"/>
      <c r="BU650" s="687"/>
      <c r="BV650" s="687"/>
      <c r="BW650" s="688"/>
      <c r="BX650" s="688"/>
      <c r="BY650" s="689"/>
      <c r="BZ650" s="690"/>
      <c r="CA650" s="690"/>
      <c r="CB650" s="690"/>
      <c r="CC650" s="691"/>
      <c r="CD650" s="691"/>
      <c r="CE650" s="692"/>
      <c r="CF650" s="692"/>
      <c r="CG650" s="692"/>
      <c r="CH650" s="693"/>
    </row>
    <row r="651">
      <c r="B651" s="687"/>
      <c r="C651" s="687"/>
      <c r="D651" s="688"/>
      <c r="E651" s="689"/>
      <c r="F651" s="690"/>
      <c r="G651" s="690"/>
      <c r="H651" s="690"/>
      <c r="I651" s="691"/>
      <c r="J651" s="691"/>
      <c r="K651" s="691"/>
      <c r="L651" s="692"/>
      <c r="M651" s="692"/>
      <c r="N651" s="692"/>
      <c r="O651" s="693"/>
      <c r="P651" s="688"/>
      <c r="Q651" s="688"/>
      <c r="R651" s="688"/>
      <c r="S651" s="688"/>
      <c r="T651" s="689"/>
      <c r="U651" s="689"/>
      <c r="V651" s="694"/>
      <c r="W651" s="694"/>
      <c r="X651" s="694"/>
      <c r="Y651" s="694"/>
      <c r="Z651" s="693"/>
      <c r="AA651" s="693"/>
      <c r="AB651" s="693"/>
      <c r="AC651" s="693"/>
      <c r="AD651" s="688"/>
      <c r="AE651" s="689"/>
      <c r="AF651" s="689"/>
      <c r="AG651" s="690"/>
      <c r="AH651" s="690"/>
      <c r="AI651" s="695"/>
      <c r="AJ651" s="695"/>
      <c r="AK651" s="692"/>
      <c r="AL651" s="692"/>
      <c r="AM651" s="693"/>
      <c r="AN651" s="688"/>
      <c r="AO651" s="688"/>
      <c r="AP651" s="688"/>
      <c r="AQ651" s="688"/>
      <c r="AR651" s="688"/>
      <c r="AS651" s="688"/>
      <c r="AT651" s="689"/>
      <c r="AU651" s="689"/>
      <c r="AV651" s="690"/>
      <c r="AW651" s="690"/>
      <c r="AX651" s="690"/>
      <c r="AY651" s="690"/>
      <c r="AZ651" s="690"/>
      <c r="BA651" s="690"/>
      <c r="BB651" s="695"/>
      <c r="BC651" s="695"/>
      <c r="BD651" s="695"/>
      <c r="BE651" s="695"/>
      <c r="BF651" s="692"/>
      <c r="BG651" s="692"/>
      <c r="BH651" s="692"/>
      <c r="BI651" s="692"/>
      <c r="BJ651" s="692"/>
      <c r="BK651" s="692"/>
      <c r="BL651" s="693"/>
      <c r="BM651" s="693"/>
      <c r="BN651" s="688"/>
      <c r="BO651" s="693"/>
      <c r="BP651" s="689"/>
      <c r="BQ651" s="694"/>
      <c r="BR651" s="687"/>
      <c r="BS651" s="687"/>
      <c r="BT651" s="687"/>
      <c r="BU651" s="687"/>
      <c r="BV651" s="687"/>
      <c r="BW651" s="688"/>
      <c r="BX651" s="688"/>
      <c r="BY651" s="689"/>
      <c r="BZ651" s="690"/>
      <c r="CA651" s="690"/>
      <c r="CB651" s="690"/>
      <c r="CC651" s="691"/>
      <c r="CD651" s="691"/>
      <c r="CE651" s="692"/>
      <c r="CF651" s="692"/>
      <c r="CG651" s="692"/>
      <c r="CH651" s="693"/>
    </row>
    <row r="652">
      <c r="B652" s="687"/>
      <c r="C652" s="687"/>
      <c r="D652" s="688"/>
      <c r="E652" s="689"/>
      <c r="F652" s="690"/>
      <c r="G652" s="690"/>
      <c r="H652" s="690"/>
      <c r="I652" s="691"/>
      <c r="J652" s="691"/>
      <c r="K652" s="691"/>
      <c r="L652" s="692"/>
      <c r="M652" s="692"/>
      <c r="N652" s="692"/>
      <c r="O652" s="693"/>
      <c r="P652" s="688"/>
      <c r="Q652" s="688"/>
      <c r="R652" s="688"/>
      <c r="S652" s="688"/>
      <c r="T652" s="689"/>
      <c r="U652" s="689"/>
      <c r="V652" s="694"/>
      <c r="W652" s="694"/>
      <c r="X652" s="694"/>
      <c r="Y652" s="694"/>
      <c r="Z652" s="693"/>
      <c r="AA652" s="693"/>
      <c r="AB652" s="693"/>
      <c r="AC652" s="693"/>
      <c r="AD652" s="688"/>
      <c r="AE652" s="689"/>
      <c r="AF652" s="689"/>
      <c r="AG652" s="690"/>
      <c r="AH652" s="690"/>
      <c r="AI652" s="695"/>
      <c r="AJ652" s="695"/>
      <c r="AK652" s="692"/>
      <c r="AL652" s="692"/>
      <c r="AM652" s="693"/>
      <c r="AN652" s="688"/>
      <c r="AO652" s="688"/>
      <c r="AP652" s="688"/>
      <c r="AQ652" s="688"/>
      <c r="AR652" s="688"/>
      <c r="AS652" s="688"/>
      <c r="AT652" s="689"/>
      <c r="AU652" s="689"/>
      <c r="AV652" s="690"/>
      <c r="AW652" s="690"/>
      <c r="AX652" s="690"/>
      <c r="AY652" s="690"/>
      <c r="AZ652" s="690"/>
      <c r="BA652" s="690"/>
      <c r="BB652" s="695"/>
      <c r="BC652" s="695"/>
      <c r="BD652" s="695"/>
      <c r="BE652" s="695"/>
      <c r="BF652" s="692"/>
      <c r="BG652" s="692"/>
      <c r="BH652" s="692"/>
      <c r="BI652" s="692"/>
      <c r="BJ652" s="692"/>
      <c r="BK652" s="692"/>
      <c r="BL652" s="693"/>
      <c r="BM652" s="693"/>
      <c r="BN652" s="688"/>
      <c r="BO652" s="693"/>
      <c r="BP652" s="689"/>
      <c r="BQ652" s="694"/>
      <c r="BR652" s="687"/>
      <c r="BS652" s="687"/>
      <c r="BT652" s="687"/>
      <c r="BU652" s="687"/>
      <c r="BV652" s="687"/>
      <c r="BW652" s="688"/>
      <c r="BX652" s="688"/>
      <c r="BY652" s="689"/>
      <c r="BZ652" s="690"/>
      <c r="CA652" s="690"/>
      <c r="CB652" s="690"/>
      <c r="CC652" s="691"/>
      <c r="CD652" s="691"/>
      <c r="CE652" s="692"/>
      <c r="CF652" s="692"/>
      <c r="CG652" s="692"/>
      <c r="CH652" s="693"/>
    </row>
    <row r="653">
      <c r="B653" s="687"/>
      <c r="C653" s="687"/>
      <c r="D653" s="688"/>
      <c r="E653" s="689"/>
      <c r="F653" s="690"/>
      <c r="G653" s="690"/>
      <c r="H653" s="690"/>
      <c r="I653" s="691"/>
      <c r="J653" s="691"/>
      <c r="K653" s="691"/>
      <c r="L653" s="692"/>
      <c r="M653" s="692"/>
      <c r="N653" s="692"/>
      <c r="O653" s="693"/>
      <c r="P653" s="688"/>
      <c r="Q653" s="688"/>
      <c r="R653" s="688"/>
      <c r="S653" s="688"/>
      <c r="T653" s="689"/>
      <c r="U653" s="689"/>
      <c r="V653" s="694"/>
      <c r="W653" s="694"/>
      <c r="X653" s="694"/>
      <c r="Y653" s="694"/>
      <c r="Z653" s="693"/>
      <c r="AA653" s="693"/>
      <c r="AB653" s="693"/>
      <c r="AC653" s="693"/>
      <c r="AD653" s="688"/>
      <c r="AE653" s="689"/>
      <c r="AF653" s="689"/>
      <c r="AG653" s="690"/>
      <c r="AH653" s="690"/>
      <c r="AI653" s="695"/>
      <c r="AJ653" s="695"/>
      <c r="AK653" s="692"/>
      <c r="AL653" s="692"/>
      <c r="AM653" s="693"/>
      <c r="AN653" s="688"/>
      <c r="AO653" s="688"/>
      <c r="AP653" s="688"/>
      <c r="AQ653" s="688"/>
      <c r="AR653" s="688"/>
      <c r="AS653" s="688"/>
      <c r="AT653" s="689"/>
      <c r="AU653" s="689"/>
      <c r="AV653" s="690"/>
      <c r="AW653" s="690"/>
      <c r="AX653" s="690"/>
      <c r="AY653" s="690"/>
      <c r="AZ653" s="690"/>
      <c r="BA653" s="690"/>
      <c r="BB653" s="695"/>
      <c r="BC653" s="695"/>
      <c r="BD653" s="695"/>
      <c r="BE653" s="695"/>
      <c r="BF653" s="692"/>
      <c r="BG653" s="692"/>
      <c r="BH653" s="692"/>
      <c r="BI653" s="692"/>
      <c r="BJ653" s="692"/>
      <c r="BK653" s="692"/>
      <c r="BL653" s="693"/>
      <c r="BM653" s="693"/>
      <c r="BN653" s="688"/>
      <c r="BO653" s="693"/>
      <c r="BP653" s="689"/>
      <c r="BQ653" s="694"/>
      <c r="BR653" s="687"/>
      <c r="BS653" s="687"/>
      <c r="BT653" s="687"/>
      <c r="BU653" s="687"/>
      <c r="BV653" s="687"/>
      <c r="BW653" s="688"/>
      <c r="BX653" s="688"/>
      <c r="BY653" s="689"/>
      <c r="BZ653" s="690"/>
      <c r="CA653" s="690"/>
      <c r="CB653" s="690"/>
      <c r="CC653" s="691"/>
      <c r="CD653" s="691"/>
      <c r="CE653" s="692"/>
      <c r="CF653" s="692"/>
      <c r="CG653" s="692"/>
      <c r="CH653" s="693"/>
    </row>
    <row r="654">
      <c r="B654" s="687"/>
      <c r="C654" s="687"/>
      <c r="D654" s="688"/>
      <c r="E654" s="689"/>
      <c r="F654" s="690"/>
      <c r="G654" s="690"/>
      <c r="H654" s="690"/>
      <c r="I654" s="691"/>
      <c r="J654" s="691"/>
      <c r="K654" s="691"/>
      <c r="L654" s="692"/>
      <c r="M654" s="692"/>
      <c r="N654" s="692"/>
      <c r="O654" s="693"/>
      <c r="P654" s="688"/>
      <c r="Q654" s="688"/>
      <c r="R654" s="688"/>
      <c r="S654" s="688"/>
      <c r="T654" s="689"/>
      <c r="U654" s="689"/>
      <c r="V654" s="694"/>
      <c r="W654" s="694"/>
      <c r="X654" s="694"/>
      <c r="Y654" s="694"/>
      <c r="Z654" s="693"/>
      <c r="AA654" s="693"/>
      <c r="AB654" s="693"/>
      <c r="AC654" s="693"/>
      <c r="AD654" s="688"/>
      <c r="AE654" s="689"/>
      <c r="AF654" s="689"/>
      <c r="AG654" s="690"/>
      <c r="AH654" s="690"/>
      <c r="AI654" s="695"/>
      <c r="AJ654" s="695"/>
      <c r="AK654" s="692"/>
      <c r="AL654" s="692"/>
      <c r="AM654" s="693"/>
      <c r="AN654" s="688"/>
      <c r="AO654" s="688"/>
      <c r="AP654" s="688"/>
      <c r="AQ654" s="688"/>
      <c r="AR654" s="688"/>
      <c r="AS654" s="688"/>
      <c r="AT654" s="689"/>
      <c r="AU654" s="689"/>
      <c r="AV654" s="690"/>
      <c r="AW654" s="690"/>
      <c r="AX654" s="690"/>
      <c r="AY654" s="690"/>
      <c r="AZ654" s="690"/>
      <c r="BA654" s="690"/>
      <c r="BB654" s="695"/>
      <c r="BC654" s="695"/>
      <c r="BD654" s="695"/>
      <c r="BE654" s="695"/>
      <c r="BF654" s="692"/>
      <c r="BG654" s="692"/>
      <c r="BH654" s="692"/>
      <c r="BI654" s="692"/>
      <c r="BJ654" s="692"/>
      <c r="BK654" s="692"/>
      <c r="BL654" s="693"/>
      <c r="BM654" s="693"/>
      <c r="BN654" s="688"/>
      <c r="BO654" s="693"/>
      <c r="BP654" s="689"/>
      <c r="BQ654" s="694"/>
      <c r="BR654" s="687"/>
      <c r="BS654" s="687"/>
      <c r="BT654" s="687"/>
      <c r="BU654" s="687"/>
      <c r="BV654" s="687"/>
      <c r="BW654" s="688"/>
      <c r="BX654" s="688"/>
      <c r="BY654" s="689"/>
      <c r="BZ654" s="690"/>
      <c r="CA654" s="690"/>
      <c r="CB654" s="690"/>
      <c r="CC654" s="691"/>
      <c r="CD654" s="691"/>
      <c r="CE654" s="692"/>
      <c r="CF654" s="692"/>
      <c r="CG654" s="692"/>
      <c r="CH654" s="693"/>
    </row>
    <row r="655">
      <c r="B655" s="687"/>
      <c r="C655" s="687"/>
      <c r="D655" s="688"/>
      <c r="E655" s="689"/>
      <c r="F655" s="690"/>
      <c r="G655" s="690"/>
      <c r="H655" s="690"/>
      <c r="I655" s="691"/>
      <c r="J655" s="691"/>
      <c r="K655" s="691"/>
      <c r="L655" s="692"/>
      <c r="M655" s="692"/>
      <c r="N655" s="692"/>
      <c r="O655" s="693"/>
      <c r="P655" s="688"/>
      <c r="Q655" s="688"/>
      <c r="R655" s="688"/>
      <c r="S655" s="688"/>
      <c r="T655" s="689"/>
      <c r="U655" s="689"/>
      <c r="V655" s="694"/>
      <c r="W655" s="694"/>
      <c r="X655" s="694"/>
      <c r="Y655" s="694"/>
      <c r="Z655" s="693"/>
      <c r="AA655" s="693"/>
      <c r="AB655" s="693"/>
      <c r="AC655" s="693"/>
      <c r="AD655" s="688"/>
      <c r="AE655" s="689"/>
      <c r="AF655" s="689"/>
      <c r="AG655" s="690"/>
      <c r="AH655" s="690"/>
      <c r="AI655" s="695"/>
      <c r="AJ655" s="695"/>
      <c r="AK655" s="692"/>
      <c r="AL655" s="692"/>
      <c r="AM655" s="693"/>
      <c r="AN655" s="688"/>
      <c r="AO655" s="688"/>
      <c r="AP655" s="688"/>
      <c r="AQ655" s="688"/>
      <c r="AR655" s="688"/>
      <c r="AS655" s="688"/>
      <c r="AT655" s="689"/>
      <c r="AU655" s="689"/>
      <c r="AV655" s="690"/>
      <c r="AW655" s="690"/>
      <c r="AX655" s="690"/>
      <c r="AY655" s="690"/>
      <c r="AZ655" s="690"/>
      <c r="BA655" s="690"/>
      <c r="BB655" s="695"/>
      <c r="BC655" s="695"/>
      <c r="BD655" s="695"/>
      <c r="BE655" s="695"/>
      <c r="BF655" s="692"/>
      <c r="BG655" s="692"/>
      <c r="BH655" s="692"/>
      <c r="BI655" s="692"/>
      <c r="BJ655" s="692"/>
      <c r="BK655" s="692"/>
      <c r="BL655" s="693"/>
      <c r="BM655" s="693"/>
      <c r="BN655" s="688"/>
      <c r="BO655" s="693"/>
      <c r="BP655" s="689"/>
      <c r="BQ655" s="694"/>
      <c r="BR655" s="687"/>
      <c r="BS655" s="687"/>
      <c r="BT655" s="687"/>
      <c r="BU655" s="687"/>
      <c r="BV655" s="687"/>
      <c r="BW655" s="688"/>
      <c r="BX655" s="688"/>
      <c r="BY655" s="689"/>
      <c r="BZ655" s="690"/>
      <c r="CA655" s="690"/>
      <c r="CB655" s="690"/>
      <c r="CC655" s="691"/>
      <c r="CD655" s="691"/>
      <c r="CE655" s="692"/>
      <c r="CF655" s="692"/>
      <c r="CG655" s="692"/>
      <c r="CH655" s="693"/>
    </row>
    <row r="656">
      <c r="B656" s="687"/>
      <c r="C656" s="687"/>
      <c r="D656" s="688"/>
      <c r="E656" s="689"/>
      <c r="F656" s="690"/>
      <c r="G656" s="690"/>
      <c r="H656" s="690"/>
      <c r="I656" s="691"/>
      <c r="J656" s="691"/>
      <c r="K656" s="691"/>
      <c r="L656" s="692"/>
      <c r="M656" s="692"/>
      <c r="N656" s="692"/>
      <c r="O656" s="693"/>
      <c r="P656" s="688"/>
      <c r="Q656" s="688"/>
      <c r="R656" s="688"/>
      <c r="S656" s="688"/>
      <c r="T656" s="689"/>
      <c r="U656" s="689"/>
      <c r="V656" s="694"/>
      <c r="W656" s="694"/>
      <c r="X656" s="694"/>
      <c r="Y656" s="694"/>
      <c r="Z656" s="693"/>
      <c r="AA656" s="693"/>
      <c r="AB656" s="693"/>
      <c r="AC656" s="693"/>
      <c r="AD656" s="688"/>
      <c r="AE656" s="689"/>
      <c r="AF656" s="689"/>
      <c r="AG656" s="690"/>
      <c r="AH656" s="690"/>
      <c r="AI656" s="695"/>
      <c r="AJ656" s="695"/>
      <c r="AK656" s="692"/>
      <c r="AL656" s="692"/>
      <c r="AM656" s="693"/>
      <c r="AN656" s="688"/>
      <c r="AO656" s="688"/>
      <c r="AP656" s="688"/>
      <c r="AQ656" s="688"/>
      <c r="AR656" s="688"/>
      <c r="AS656" s="688"/>
      <c r="AT656" s="689"/>
      <c r="AU656" s="689"/>
      <c r="AV656" s="690"/>
      <c r="AW656" s="690"/>
      <c r="AX656" s="690"/>
      <c r="AY656" s="690"/>
      <c r="AZ656" s="690"/>
      <c r="BA656" s="690"/>
      <c r="BB656" s="695"/>
      <c r="BC656" s="695"/>
      <c r="BD656" s="695"/>
      <c r="BE656" s="695"/>
      <c r="BF656" s="692"/>
      <c r="BG656" s="692"/>
      <c r="BH656" s="692"/>
      <c r="BI656" s="692"/>
      <c r="BJ656" s="692"/>
      <c r="BK656" s="692"/>
      <c r="BL656" s="693"/>
      <c r="BM656" s="693"/>
      <c r="BN656" s="688"/>
      <c r="BO656" s="693"/>
      <c r="BP656" s="689"/>
      <c r="BQ656" s="694"/>
      <c r="BR656" s="687"/>
      <c r="BS656" s="687"/>
      <c r="BT656" s="687"/>
      <c r="BU656" s="687"/>
      <c r="BV656" s="687"/>
      <c r="BW656" s="688"/>
      <c r="BX656" s="688"/>
      <c r="BY656" s="689"/>
      <c r="BZ656" s="690"/>
      <c r="CA656" s="690"/>
      <c r="CB656" s="690"/>
      <c r="CC656" s="691"/>
      <c r="CD656" s="691"/>
      <c r="CE656" s="692"/>
      <c r="CF656" s="692"/>
      <c r="CG656" s="692"/>
      <c r="CH656" s="693"/>
    </row>
    <row r="657">
      <c r="B657" s="687"/>
      <c r="C657" s="687"/>
      <c r="D657" s="688"/>
      <c r="E657" s="689"/>
      <c r="F657" s="690"/>
      <c r="G657" s="690"/>
      <c r="H657" s="690"/>
      <c r="I657" s="691"/>
      <c r="J657" s="691"/>
      <c r="K657" s="691"/>
      <c r="L657" s="692"/>
      <c r="M657" s="692"/>
      <c r="N657" s="692"/>
      <c r="O657" s="693"/>
      <c r="P657" s="688"/>
      <c r="Q657" s="688"/>
      <c r="R657" s="688"/>
      <c r="S657" s="688"/>
      <c r="T657" s="689"/>
      <c r="U657" s="689"/>
      <c r="V657" s="694"/>
      <c r="W657" s="694"/>
      <c r="X657" s="694"/>
      <c r="Y657" s="694"/>
      <c r="Z657" s="693"/>
      <c r="AA657" s="693"/>
      <c r="AB657" s="693"/>
      <c r="AC657" s="693"/>
      <c r="AD657" s="688"/>
      <c r="AE657" s="689"/>
      <c r="AF657" s="689"/>
      <c r="AG657" s="690"/>
      <c r="AH657" s="690"/>
      <c r="AI657" s="695"/>
      <c r="AJ657" s="695"/>
      <c r="AK657" s="692"/>
      <c r="AL657" s="692"/>
      <c r="AM657" s="693"/>
      <c r="AN657" s="688"/>
      <c r="AO657" s="688"/>
      <c r="AP657" s="688"/>
      <c r="AQ657" s="688"/>
      <c r="AR657" s="688"/>
      <c r="AS657" s="688"/>
      <c r="AT657" s="689"/>
      <c r="AU657" s="689"/>
      <c r="AV657" s="690"/>
      <c r="AW657" s="690"/>
      <c r="AX657" s="690"/>
      <c r="AY657" s="690"/>
      <c r="AZ657" s="690"/>
      <c r="BA657" s="690"/>
      <c r="BB657" s="695"/>
      <c r="BC657" s="695"/>
      <c r="BD657" s="695"/>
      <c r="BE657" s="695"/>
      <c r="BF657" s="692"/>
      <c r="BG657" s="692"/>
      <c r="BH657" s="692"/>
      <c r="BI657" s="692"/>
      <c r="BJ657" s="692"/>
      <c r="BK657" s="692"/>
      <c r="BL657" s="693"/>
      <c r="BM657" s="693"/>
      <c r="BN657" s="688"/>
      <c r="BO657" s="693"/>
      <c r="BP657" s="689"/>
      <c r="BQ657" s="694"/>
      <c r="BR657" s="687"/>
      <c r="BS657" s="687"/>
      <c r="BT657" s="687"/>
      <c r="BU657" s="687"/>
      <c r="BV657" s="687"/>
      <c r="BW657" s="688"/>
      <c r="BX657" s="688"/>
      <c r="BY657" s="689"/>
      <c r="BZ657" s="690"/>
      <c r="CA657" s="690"/>
      <c r="CB657" s="690"/>
      <c r="CC657" s="691"/>
      <c r="CD657" s="691"/>
      <c r="CE657" s="692"/>
      <c r="CF657" s="692"/>
      <c r="CG657" s="692"/>
      <c r="CH657" s="693"/>
    </row>
    <row r="658">
      <c r="B658" s="687"/>
      <c r="C658" s="687"/>
      <c r="D658" s="688"/>
      <c r="E658" s="689"/>
      <c r="F658" s="690"/>
      <c r="G658" s="690"/>
      <c r="H658" s="690"/>
      <c r="I658" s="691"/>
      <c r="J658" s="691"/>
      <c r="K658" s="691"/>
      <c r="L658" s="692"/>
      <c r="M658" s="692"/>
      <c r="N658" s="692"/>
      <c r="O658" s="693"/>
      <c r="P658" s="688"/>
      <c r="Q658" s="688"/>
      <c r="R658" s="688"/>
      <c r="S658" s="688"/>
      <c r="T658" s="689"/>
      <c r="U658" s="689"/>
      <c r="V658" s="694"/>
      <c r="W658" s="694"/>
      <c r="X658" s="694"/>
      <c r="Y658" s="694"/>
      <c r="Z658" s="693"/>
      <c r="AA658" s="693"/>
      <c r="AB658" s="693"/>
      <c r="AC658" s="693"/>
      <c r="AD658" s="688"/>
      <c r="AE658" s="689"/>
      <c r="AF658" s="689"/>
      <c r="AG658" s="690"/>
      <c r="AH658" s="690"/>
      <c r="AI658" s="695"/>
      <c r="AJ658" s="695"/>
      <c r="AK658" s="692"/>
      <c r="AL658" s="692"/>
      <c r="AM658" s="693"/>
      <c r="AN658" s="688"/>
      <c r="AO658" s="688"/>
      <c r="AP658" s="688"/>
      <c r="AQ658" s="688"/>
      <c r="AR658" s="688"/>
      <c r="AS658" s="688"/>
      <c r="AT658" s="689"/>
      <c r="AU658" s="689"/>
      <c r="AV658" s="690"/>
      <c r="AW658" s="690"/>
      <c r="AX658" s="690"/>
      <c r="AY658" s="690"/>
      <c r="AZ658" s="690"/>
      <c r="BA658" s="690"/>
      <c r="BB658" s="695"/>
      <c r="BC658" s="695"/>
      <c r="BD658" s="695"/>
      <c r="BE658" s="695"/>
      <c r="BF658" s="692"/>
      <c r="BG658" s="692"/>
      <c r="BH658" s="692"/>
      <c r="BI658" s="692"/>
      <c r="BJ658" s="692"/>
      <c r="BK658" s="692"/>
      <c r="BL658" s="693"/>
      <c r="BM658" s="693"/>
      <c r="BN658" s="688"/>
      <c r="BO658" s="693"/>
      <c r="BP658" s="689"/>
      <c r="BQ658" s="694"/>
      <c r="BR658" s="687"/>
      <c r="BS658" s="687"/>
      <c r="BT658" s="687"/>
      <c r="BU658" s="687"/>
      <c r="BV658" s="687"/>
      <c r="BW658" s="688"/>
      <c r="BX658" s="688"/>
      <c r="BY658" s="689"/>
      <c r="BZ658" s="690"/>
      <c r="CA658" s="690"/>
      <c r="CB658" s="690"/>
      <c r="CC658" s="691"/>
      <c r="CD658" s="691"/>
      <c r="CE658" s="692"/>
      <c r="CF658" s="692"/>
      <c r="CG658" s="692"/>
      <c r="CH658" s="693"/>
    </row>
    <row r="659">
      <c r="B659" s="687"/>
      <c r="C659" s="687"/>
      <c r="D659" s="688"/>
      <c r="E659" s="689"/>
      <c r="F659" s="690"/>
      <c r="G659" s="690"/>
      <c r="H659" s="690"/>
      <c r="I659" s="691"/>
      <c r="J659" s="691"/>
      <c r="K659" s="691"/>
      <c r="L659" s="692"/>
      <c r="M659" s="692"/>
      <c r="N659" s="692"/>
      <c r="O659" s="693"/>
      <c r="P659" s="688"/>
      <c r="Q659" s="688"/>
      <c r="R659" s="688"/>
      <c r="S659" s="688"/>
      <c r="T659" s="689"/>
      <c r="U659" s="689"/>
      <c r="V659" s="694"/>
      <c r="W659" s="694"/>
      <c r="X659" s="694"/>
      <c r="Y659" s="694"/>
      <c r="Z659" s="693"/>
      <c r="AA659" s="693"/>
      <c r="AB659" s="693"/>
      <c r="AC659" s="693"/>
      <c r="AD659" s="688"/>
      <c r="AE659" s="689"/>
      <c r="AF659" s="689"/>
      <c r="AG659" s="690"/>
      <c r="AH659" s="690"/>
      <c r="AI659" s="695"/>
      <c r="AJ659" s="695"/>
      <c r="AK659" s="692"/>
      <c r="AL659" s="692"/>
      <c r="AM659" s="693"/>
      <c r="AN659" s="688"/>
      <c r="AO659" s="688"/>
      <c r="AP659" s="688"/>
      <c r="AQ659" s="688"/>
      <c r="AR659" s="688"/>
      <c r="AS659" s="688"/>
      <c r="AT659" s="689"/>
      <c r="AU659" s="689"/>
      <c r="AV659" s="690"/>
      <c r="AW659" s="690"/>
      <c r="AX659" s="690"/>
      <c r="AY659" s="690"/>
      <c r="AZ659" s="690"/>
      <c r="BA659" s="690"/>
      <c r="BB659" s="695"/>
      <c r="BC659" s="695"/>
      <c r="BD659" s="695"/>
      <c r="BE659" s="695"/>
      <c r="BF659" s="692"/>
      <c r="BG659" s="692"/>
      <c r="BH659" s="692"/>
      <c r="BI659" s="692"/>
      <c r="BJ659" s="692"/>
      <c r="BK659" s="692"/>
      <c r="BL659" s="693"/>
      <c r="BM659" s="693"/>
      <c r="BN659" s="688"/>
      <c r="BO659" s="693"/>
      <c r="BP659" s="689"/>
      <c r="BQ659" s="694"/>
      <c r="BR659" s="687"/>
      <c r="BS659" s="687"/>
      <c r="BT659" s="687"/>
      <c r="BU659" s="687"/>
      <c r="BV659" s="687"/>
      <c r="BW659" s="688"/>
      <c r="BX659" s="688"/>
      <c r="BY659" s="689"/>
      <c r="BZ659" s="690"/>
      <c r="CA659" s="690"/>
      <c r="CB659" s="690"/>
      <c r="CC659" s="691"/>
      <c r="CD659" s="691"/>
      <c r="CE659" s="692"/>
      <c r="CF659" s="692"/>
      <c r="CG659" s="692"/>
      <c r="CH659" s="693"/>
    </row>
    <row r="660">
      <c r="B660" s="687"/>
      <c r="C660" s="687"/>
      <c r="D660" s="688"/>
      <c r="E660" s="689"/>
      <c r="F660" s="690"/>
      <c r="G660" s="690"/>
      <c r="H660" s="690"/>
      <c r="I660" s="691"/>
      <c r="J660" s="691"/>
      <c r="K660" s="691"/>
      <c r="L660" s="692"/>
      <c r="M660" s="692"/>
      <c r="N660" s="692"/>
      <c r="O660" s="693"/>
      <c r="P660" s="688"/>
      <c r="Q660" s="688"/>
      <c r="R660" s="688"/>
      <c r="S660" s="688"/>
      <c r="T660" s="689"/>
      <c r="U660" s="689"/>
      <c r="V660" s="694"/>
      <c r="W660" s="694"/>
      <c r="X660" s="694"/>
      <c r="Y660" s="694"/>
      <c r="Z660" s="693"/>
      <c r="AA660" s="693"/>
      <c r="AB660" s="693"/>
      <c r="AC660" s="693"/>
      <c r="AD660" s="688"/>
      <c r="AE660" s="689"/>
      <c r="AF660" s="689"/>
      <c r="AG660" s="690"/>
      <c r="AH660" s="690"/>
      <c r="AI660" s="695"/>
      <c r="AJ660" s="695"/>
      <c r="AK660" s="692"/>
      <c r="AL660" s="692"/>
      <c r="AM660" s="693"/>
      <c r="AN660" s="688"/>
      <c r="AO660" s="688"/>
      <c r="AP660" s="688"/>
      <c r="AQ660" s="688"/>
      <c r="AR660" s="688"/>
      <c r="AS660" s="688"/>
      <c r="AT660" s="689"/>
      <c r="AU660" s="689"/>
      <c r="AV660" s="690"/>
      <c r="AW660" s="690"/>
      <c r="AX660" s="690"/>
      <c r="AY660" s="690"/>
      <c r="AZ660" s="690"/>
      <c r="BA660" s="690"/>
      <c r="BB660" s="695"/>
      <c r="BC660" s="695"/>
      <c r="BD660" s="695"/>
      <c r="BE660" s="695"/>
      <c r="BF660" s="692"/>
      <c r="BG660" s="692"/>
      <c r="BH660" s="692"/>
      <c r="BI660" s="692"/>
      <c r="BJ660" s="692"/>
      <c r="BK660" s="692"/>
      <c r="BL660" s="693"/>
      <c r="BM660" s="693"/>
      <c r="BN660" s="688"/>
      <c r="BO660" s="693"/>
      <c r="BP660" s="689"/>
      <c r="BQ660" s="694"/>
      <c r="BR660" s="687"/>
      <c r="BS660" s="687"/>
      <c r="BT660" s="687"/>
      <c r="BU660" s="687"/>
      <c r="BV660" s="687"/>
      <c r="BW660" s="688"/>
      <c r="BX660" s="688"/>
      <c r="BY660" s="689"/>
      <c r="BZ660" s="690"/>
      <c r="CA660" s="690"/>
      <c r="CB660" s="690"/>
      <c r="CC660" s="691"/>
      <c r="CD660" s="691"/>
      <c r="CE660" s="692"/>
      <c r="CF660" s="692"/>
      <c r="CG660" s="692"/>
      <c r="CH660" s="693"/>
    </row>
    <row r="661">
      <c r="B661" s="687"/>
      <c r="C661" s="687"/>
      <c r="D661" s="688"/>
      <c r="E661" s="689"/>
      <c r="F661" s="690"/>
      <c r="G661" s="690"/>
      <c r="H661" s="690"/>
      <c r="I661" s="691"/>
      <c r="J661" s="691"/>
      <c r="K661" s="691"/>
      <c r="L661" s="692"/>
      <c r="M661" s="692"/>
      <c r="N661" s="692"/>
      <c r="O661" s="693"/>
      <c r="P661" s="688"/>
      <c r="Q661" s="688"/>
      <c r="R661" s="688"/>
      <c r="S661" s="688"/>
      <c r="T661" s="689"/>
      <c r="U661" s="689"/>
      <c r="V661" s="694"/>
      <c r="W661" s="694"/>
      <c r="X661" s="694"/>
      <c r="Y661" s="694"/>
      <c r="Z661" s="693"/>
      <c r="AA661" s="693"/>
      <c r="AB661" s="693"/>
      <c r="AC661" s="693"/>
      <c r="AD661" s="688"/>
      <c r="AE661" s="689"/>
      <c r="AF661" s="689"/>
      <c r="AG661" s="690"/>
      <c r="AH661" s="690"/>
      <c r="AI661" s="695"/>
      <c r="AJ661" s="695"/>
      <c r="AK661" s="692"/>
      <c r="AL661" s="692"/>
      <c r="AM661" s="693"/>
      <c r="AN661" s="688"/>
      <c r="AO661" s="688"/>
      <c r="AP661" s="688"/>
      <c r="AQ661" s="688"/>
      <c r="AR661" s="688"/>
      <c r="AS661" s="688"/>
      <c r="AT661" s="689"/>
      <c r="AU661" s="689"/>
      <c r="AV661" s="690"/>
      <c r="AW661" s="690"/>
      <c r="AX661" s="690"/>
      <c r="AY661" s="690"/>
      <c r="AZ661" s="690"/>
      <c r="BA661" s="690"/>
      <c r="BB661" s="695"/>
      <c r="BC661" s="695"/>
      <c r="BD661" s="695"/>
      <c r="BE661" s="695"/>
      <c r="BF661" s="692"/>
      <c r="BG661" s="692"/>
      <c r="BH661" s="692"/>
      <c r="BI661" s="692"/>
      <c r="BJ661" s="692"/>
      <c r="BK661" s="692"/>
      <c r="BL661" s="693"/>
      <c r="BM661" s="693"/>
      <c r="BN661" s="688"/>
      <c r="BO661" s="693"/>
      <c r="BP661" s="689"/>
      <c r="BQ661" s="694"/>
      <c r="BR661" s="687"/>
      <c r="BS661" s="687"/>
      <c r="BT661" s="687"/>
      <c r="BU661" s="687"/>
      <c r="BV661" s="687"/>
      <c r="BW661" s="688"/>
      <c r="BX661" s="688"/>
      <c r="BY661" s="689"/>
      <c r="BZ661" s="690"/>
      <c r="CA661" s="690"/>
      <c r="CB661" s="690"/>
      <c r="CC661" s="691"/>
      <c r="CD661" s="691"/>
      <c r="CE661" s="692"/>
      <c r="CF661" s="692"/>
      <c r="CG661" s="692"/>
      <c r="CH661" s="693"/>
    </row>
    <row r="662">
      <c r="B662" s="687"/>
      <c r="C662" s="687"/>
      <c r="D662" s="688"/>
      <c r="E662" s="689"/>
      <c r="F662" s="690"/>
      <c r="G662" s="690"/>
      <c r="H662" s="690"/>
      <c r="I662" s="691"/>
      <c r="J662" s="691"/>
      <c r="K662" s="691"/>
      <c r="L662" s="692"/>
      <c r="M662" s="692"/>
      <c r="N662" s="692"/>
      <c r="O662" s="693"/>
      <c r="P662" s="688"/>
      <c r="Q662" s="688"/>
      <c r="R662" s="688"/>
      <c r="S662" s="688"/>
      <c r="T662" s="689"/>
      <c r="U662" s="689"/>
      <c r="V662" s="694"/>
      <c r="W662" s="694"/>
      <c r="X662" s="694"/>
      <c r="Y662" s="694"/>
      <c r="Z662" s="693"/>
      <c r="AA662" s="693"/>
      <c r="AB662" s="693"/>
      <c r="AC662" s="693"/>
      <c r="AD662" s="688"/>
      <c r="AE662" s="689"/>
      <c r="AF662" s="689"/>
      <c r="AG662" s="690"/>
      <c r="AH662" s="690"/>
      <c r="AI662" s="695"/>
      <c r="AJ662" s="695"/>
      <c r="AK662" s="692"/>
      <c r="AL662" s="692"/>
      <c r="AM662" s="693"/>
      <c r="AN662" s="688"/>
      <c r="AO662" s="688"/>
      <c r="AP662" s="688"/>
      <c r="AQ662" s="688"/>
      <c r="AR662" s="688"/>
      <c r="AS662" s="688"/>
      <c r="AT662" s="689"/>
      <c r="AU662" s="689"/>
      <c r="AV662" s="690"/>
      <c r="AW662" s="690"/>
      <c r="AX662" s="690"/>
      <c r="AY662" s="690"/>
      <c r="AZ662" s="690"/>
      <c r="BA662" s="690"/>
      <c r="BB662" s="695"/>
      <c r="BC662" s="695"/>
      <c r="BD662" s="695"/>
      <c r="BE662" s="695"/>
      <c r="BF662" s="692"/>
      <c r="BG662" s="692"/>
      <c r="BH662" s="692"/>
      <c r="BI662" s="692"/>
      <c r="BJ662" s="692"/>
      <c r="BK662" s="692"/>
      <c r="BL662" s="693"/>
      <c r="BM662" s="693"/>
      <c r="BN662" s="688"/>
      <c r="BO662" s="693"/>
      <c r="BP662" s="689"/>
      <c r="BQ662" s="694"/>
      <c r="BR662" s="687"/>
      <c r="BS662" s="687"/>
      <c r="BT662" s="687"/>
      <c r="BU662" s="687"/>
      <c r="BV662" s="687"/>
      <c r="BW662" s="688"/>
      <c r="BX662" s="688"/>
      <c r="BY662" s="689"/>
      <c r="BZ662" s="690"/>
      <c r="CA662" s="690"/>
      <c r="CB662" s="690"/>
      <c r="CC662" s="691"/>
      <c r="CD662" s="691"/>
      <c r="CE662" s="692"/>
      <c r="CF662" s="692"/>
      <c r="CG662" s="692"/>
      <c r="CH662" s="693"/>
    </row>
    <row r="663">
      <c r="B663" s="687"/>
      <c r="C663" s="687"/>
      <c r="D663" s="688"/>
      <c r="E663" s="689"/>
      <c r="F663" s="690"/>
      <c r="G663" s="690"/>
      <c r="H663" s="690"/>
      <c r="I663" s="691"/>
      <c r="J663" s="691"/>
      <c r="K663" s="691"/>
      <c r="L663" s="692"/>
      <c r="M663" s="692"/>
      <c r="N663" s="692"/>
      <c r="O663" s="693"/>
      <c r="P663" s="688"/>
      <c r="Q663" s="688"/>
      <c r="R663" s="688"/>
      <c r="S663" s="688"/>
      <c r="T663" s="689"/>
      <c r="U663" s="689"/>
      <c r="V663" s="694"/>
      <c r="W663" s="694"/>
      <c r="X663" s="694"/>
      <c r="Y663" s="694"/>
      <c r="Z663" s="693"/>
      <c r="AA663" s="693"/>
      <c r="AB663" s="693"/>
      <c r="AC663" s="693"/>
      <c r="AD663" s="688"/>
      <c r="AE663" s="689"/>
      <c r="AF663" s="689"/>
      <c r="AG663" s="690"/>
      <c r="AH663" s="690"/>
      <c r="AI663" s="695"/>
      <c r="AJ663" s="695"/>
      <c r="AK663" s="692"/>
      <c r="AL663" s="692"/>
      <c r="AM663" s="693"/>
      <c r="AN663" s="688"/>
      <c r="AO663" s="688"/>
      <c r="AP663" s="688"/>
      <c r="AQ663" s="688"/>
      <c r="AR663" s="688"/>
      <c r="AS663" s="688"/>
      <c r="AT663" s="689"/>
      <c r="AU663" s="689"/>
      <c r="AV663" s="690"/>
      <c r="AW663" s="690"/>
      <c r="AX663" s="690"/>
      <c r="AY663" s="690"/>
      <c r="AZ663" s="690"/>
      <c r="BA663" s="690"/>
      <c r="BB663" s="695"/>
      <c r="BC663" s="695"/>
      <c r="BD663" s="695"/>
      <c r="BE663" s="695"/>
      <c r="BF663" s="692"/>
      <c r="BG663" s="692"/>
      <c r="BH663" s="692"/>
      <c r="BI663" s="692"/>
      <c r="BJ663" s="692"/>
      <c r="BK663" s="692"/>
      <c r="BL663" s="693"/>
      <c r="BM663" s="693"/>
      <c r="BN663" s="688"/>
      <c r="BO663" s="693"/>
      <c r="BP663" s="689"/>
      <c r="BQ663" s="694"/>
      <c r="BR663" s="687"/>
      <c r="BS663" s="687"/>
      <c r="BT663" s="687"/>
      <c r="BU663" s="687"/>
      <c r="BV663" s="687"/>
      <c r="BW663" s="688"/>
      <c r="BX663" s="688"/>
      <c r="BY663" s="689"/>
      <c r="BZ663" s="690"/>
      <c r="CA663" s="690"/>
      <c r="CB663" s="690"/>
      <c r="CC663" s="691"/>
      <c r="CD663" s="691"/>
      <c r="CE663" s="692"/>
      <c r="CF663" s="692"/>
      <c r="CG663" s="692"/>
      <c r="CH663" s="693"/>
    </row>
    <row r="664">
      <c r="B664" s="687"/>
      <c r="C664" s="687"/>
      <c r="D664" s="688"/>
      <c r="E664" s="689"/>
      <c r="F664" s="690"/>
      <c r="G664" s="690"/>
      <c r="H664" s="690"/>
      <c r="I664" s="691"/>
      <c r="J664" s="691"/>
      <c r="K664" s="691"/>
      <c r="L664" s="692"/>
      <c r="M664" s="692"/>
      <c r="N664" s="692"/>
      <c r="O664" s="693"/>
      <c r="P664" s="688"/>
      <c r="Q664" s="688"/>
      <c r="R664" s="688"/>
      <c r="S664" s="688"/>
      <c r="T664" s="689"/>
      <c r="U664" s="689"/>
      <c r="V664" s="694"/>
      <c r="W664" s="694"/>
      <c r="X664" s="694"/>
      <c r="Y664" s="694"/>
      <c r="Z664" s="693"/>
      <c r="AA664" s="693"/>
      <c r="AB664" s="693"/>
      <c r="AC664" s="693"/>
      <c r="AD664" s="688"/>
      <c r="AE664" s="689"/>
      <c r="AF664" s="689"/>
      <c r="AG664" s="690"/>
      <c r="AH664" s="690"/>
      <c r="AI664" s="695"/>
      <c r="AJ664" s="695"/>
      <c r="AK664" s="692"/>
      <c r="AL664" s="692"/>
      <c r="AM664" s="693"/>
      <c r="AN664" s="688"/>
      <c r="AO664" s="688"/>
      <c r="AP664" s="688"/>
      <c r="AQ664" s="688"/>
      <c r="AR664" s="688"/>
      <c r="AS664" s="688"/>
      <c r="AT664" s="689"/>
      <c r="AU664" s="689"/>
      <c r="AV664" s="690"/>
      <c r="AW664" s="690"/>
      <c r="AX664" s="690"/>
      <c r="AY664" s="690"/>
      <c r="AZ664" s="690"/>
      <c r="BA664" s="690"/>
      <c r="BB664" s="695"/>
      <c r="BC664" s="695"/>
      <c r="BD664" s="695"/>
      <c r="BE664" s="695"/>
      <c r="BF664" s="692"/>
      <c r="BG664" s="692"/>
      <c r="BH664" s="692"/>
      <c r="BI664" s="692"/>
      <c r="BJ664" s="692"/>
      <c r="BK664" s="692"/>
      <c r="BL664" s="693"/>
      <c r="BM664" s="693"/>
      <c r="BN664" s="688"/>
      <c r="BO664" s="693"/>
      <c r="BP664" s="689"/>
      <c r="BQ664" s="694"/>
      <c r="BR664" s="687"/>
      <c r="BS664" s="687"/>
      <c r="BT664" s="687"/>
      <c r="BU664" s="687"/>
      <c r="BV664" s="687"/>
      <c r="BW664" s="688"/>
      <c r="BX664" s="688"/>
      <c r="BY664" s="689"/>
      <c r="BZ664" s="690"/>
      <c r="CA664" s="690"/>
      <c r="CB664" s="690"/>
      <c r="CC664" s="691"/>
      <c r="CD664" s="691"/>
      <c r="CE664" s="692"/>
      <c r="CF664" s="692"/>
      <c r="CG664" s="692"/>
      <c r="CH664" s="693"/>
    </row>
    <row r="665">
      <c r="B665" s="687"/>
      <c r="C665" s="687"/>
      <c r="D665" s="688"/>
      <c r="E665" s="689"/>
      <c r="F665" s="690"/>
      <c r="G665" s="690"/>
      <c r="H665" s="690"/>
      <c r="I665" s="691"/>
      <c r="J665" s="691"/>
      <c r="K665" s="691"/>
      <c r="L665" s="692"/>
      <c r="M665" s="692"/>
      <c r="N665" s="692"/>
      <c r="O665" s="693"/>
      <c r="P665" s="688"/>
      <c r="Q665" s="688"/>
      <c r="R665" s="688"/>
      <c r="S665" s="688"/>
      <c r="T665" s="689"/>
      <c r="U665" s="689"/>
      <c r="V665" s="694"/>
      <c r="W665" s="694"/>
      <c r="X665" s="694"/>
      <c r="Y665" s="694"/>
      <c r="Z665" s="693"/>
      <c r="AA665" s="693"/>
      <c r="AB665" s="693"/>
      <c r="AC665" s="693"/>
      <c r="AD665" s="688"/>
      <c r="AE665" s="689"/>
      <c r="AF665" s="689"/>
      <c r="AG665" s="690"/>
      <c r="AH665" s="690"/>
      <c r="AI665" s="695"/>
      <c r="AJ665" s="695"/>
      <c r="AK665" s="692"/>
      <c r="AL665" s="692"/>
      <c r="AM665" s="693"/>
      <c r="AN665" s="688"/>
      <c r="AO665" s="688"/>
      <c r="AP665" s="688"/>
      <c r="AQ665" s="688"/>
      <c r="AR665" s="688"/>
      <c r="AS665" s="688"/>
      <c r="AT665" s="689"/>
      <c r="AU665" s="689"/>
      <c r="AV665" s="690"/>
      <c r="AW665" s="690"/>
      <c r="AX665" s="690"/>
      <c r="AY665" s="690"/>
      <c r="AZ665" s="690"/>
      <c r="BA665" s="690"/>
      <c r="BB665" s="695"/>
      <c r="BC665" s="695"/>
      <c r="BD665" s="695"/>
      <c r="BE665" s="695"/>
      <c r="BF665" s="692"/>
      <c r="BG665" s="692"/>
      <c r="BH665" s="692"/>
      <c r="BI665" s="692"/>
      <c r="BJ665" s="692"/>
      <c r="BK665" s="692"/>
      <c r="BL665" s="693"/>
      <c r="BM665" s="693"/>
      <c r="BN665" s="688"/>
      <c r="BO665" s="693"/>
      <c r="BP665" s="689"/>
      <c r="BQ665" s="694"/>
      <c r="BR665" s="687"/>
      <c r="BS665" s="687"/>
      <c r="BT665" s="687"/>
      <c r="BU665" s="687"/>
      <c r="BV665" s="687"/>
      <c r="BW665" s="688"/>
      <c r="BX665" s="688"/>
      <c r="BY665" s="689"/>
      <c r="BZ665" s="690"/>
      <c r="CA665" s="690"/>
      <c r="CB665" s="690"/>
      <c r="CC665" s="691"/>
      <c r="CD665" s="691"/>
      <c r="CE665" s="692"/>
      <c r="CF665" s="692"/>
      <c r="CG665" s="692"/>
      <c r="CH665" s="693"/>
    </row>
    <row r="666">
      <c r="B666" s="687"/>
      <c r="C666" s="687"/>
      <c r="D666" s="688"/>
      <c r="E666" s="689"/>
      <c r="F666" s="690"/>
      <c r="G666" s="690"/>
      <c r="H666" s="690"/>
      <c r="I666" s="691"/>
      <c r="J666" s="691"/>
      <c r="K666" s="691"/>
      <c r="L666" s="692"/>
      <c r="M666" s="692"/>
      <c r="N666" s="692"/>
      <c r="O666" s="693"/>
      <c r="P666" s="688"/>
      <c r="Q666" s="688"/>
      <c r="R666" s="688"/>
      <c r="S666" s="688"/>
      <c r="T666" s="689"/>
      <c r="U666" s="689"/>
      <c r="V666" s="694"/>
      <c r="W666" s="694"/>
      <c r="X666" s="694"/>
      <c r="Y666" s="694"/>
      <c r="Z666" s="693"/>
      <c r="AA666" s="693"/>
      <c r="AB666" s="693"/>
      <c r="AC666" s="693"/>
      <c r="AD666" s="688"/>
      <c r="AE666" s="689"/>
      <c r="AF666" s="689"/>
      <c r="AG666" s="690"/>
      <c r="AH666" s="690"/>
      <c r="AI666" s="695"/>
      <c r="AJ666" s="695"/>
      <c r="AK666" s="692"/>
      <c r="AL666" s="692"/>
      <c r="AM666" s="693"/>
      <c r="AN666" s="688"/>
      <c r="AO666" s="688"/>
      <c r="AP666" s="688"/>
      <c r="AQ666" s="688"/>
      <c r="AR666" s="688"/>
      <c r="AS666" s="688"/>
      <c r="AT666" s="689"/>
      <c r="AU666" s="689"/>
      <c r="AV666" s="690"/>
      <c r="AW666" s="690"/>
      <c r="AX666" s="690"/>
      <c r="AY666" s="690"/>
      <c r="AZ666" s="690"/>
      <c r="BA666" s="690"/>
      <c r="BB666" s="695"/>
      <c r="BC666" s="695"/>
      <c r="BD666" s="695"/>
      <c r="BE666" s="695"/>
      <c r="BF666" s="692"/>
      <c r="BG666" s="692"/>
      <c r="BH666" s="692"/>
      <c r="BI666" s="692"/>
      <c r="BJ666" s="692"/>
      <c r="BK666" s="692"/>
      <c r="BL666" s="693"/>
      <c r="BM666" s="693"/>
      <c r="BN666" s="688"/>
      <c r="BO666" s="693"/>
      <c r="BP666" s="689"/>
      <c r="BQ666" s="694"/>
      <c r="BR666" s="687"/>
      <c r="BS666" s="687"/>
      <c r="BT666" s="687"/>
      <c r="BU666" s="687"/>
      <c r="BV666" s="687"/>
      <c r="BW666" s="688"/>
      <c r="BX666" s="688"/>
      <c r="BY666" s="689"/>
      <c r="BZ666" s="690"/>
      <c r="CA666" s="690"/>
      <c r="CB666" s="690"/>
      <c r="CC666" s="691"/>
      <c r="CD666" s="691"/>
      <c r="CE666" s="692"/>
      <c r="CF666" s="692"/>
      <c r="CG666" s="692"/>
      <c r="CH666" s="693"/>
    </row>
    <row r="667">
      <c r="B667" s="687"/>
      <c r="C667" s="687"/>
      <c r="D667" s="688"/>
      <c r="E667" s="689"/>
      <c r="F667" s="690"/>
      <c r="G667" s="690"/>
      <c r="H667" s="690"/>
      <c r="I667" s="691"/>
      <c r="J667" s="691"/>
      <c r="K667" s="691"/>
      <c r="L667" s="692"/>
      <c r="M667" s="692"/>
      <c r="N667" s="692"/>
      <c r="O667" s="693"/>
      <c r="P667" s="688"/>
      <c r="Q667" s="688"/>
      <c r="R667" s="688"/>
      <c r="S667" s="688"/>
      <c r="T667" s="689"/>
      <c r="U667" s="689"/>
      <c r="V667" s="694"/>
      <c r="W667" s="694"/>
      <c r="X667" s="694"/>
      <c r="Y667" s="694"/>
      <c r="Z667" s="693"/>
      <c r="AA667" s="693"/>
      <c r="AB667" s="693"/>
      <c r="AC667" s="693"/>
      <c r="AD667" s="688"/>
      <c r="AE667" s="689"/>
      <c r="AF667" s="689"/>
      <c r="AG667" s="690"/>
      <c r="AH667" s="690"/>
      <c r="AI667" s="695"/>
      <c r="AJ667" s="695"/>
      <c r="AK667" s="692"/>
      <c r="AL667" s="692"/>
      <c r="AM667" s="693"/>
      <c r="AN667" s="688"/>
      <c r="AO667" s="688"/>
      <c r="AP667" s="688"/>
      <c r="AQ667" s="688"/>
      <c r="AR667" s="688"/>
      <c r="AS667" s="688"/>
      <c r="AT667" s="689"/>
      <c r="AU667" s="689"/>
      <c r="AV667" s="690"/>
      <c r="AW667" s="690"/>
      <c r="AX667" s="690"/>
      <c r="AY667" s="690"/>
      <c r="AZ667" s="690"/>
      <c r="BA667" s="690"/>
      <c r="BB667" s="695"/>
      <c r="BC667" s="695"/>
      <c r="BD667" s="695"/>
      <c r="BE667" s="695"/>
      <c r="BF667" s="692"/>
      <c r="BG667" s="692"/>
      <c r="BH667" s="692"/>
      <c r="BI667" s="692"/>
      <c r="BJ667" s="692"/>
      <c r="BK667" s="692"/>
      <c r="BL667" s="693"/>
      <c r="BM667" s="693"/>
      <c r="BN667" s="688"/>
      <c r="BO667" s="693"/>
      <c r="BP667" s="689"/>
      <c r="BQ667" s="694"/>
      <c r="BR667" s="687"/>
      <c r="BS667" s="687"/>
      <c r="BT667" s="687"/>
      <c r="BU667" s="687"/>
      <c r="BV667" s="687"/>
      <c r="BW667" s="688"/>
      <c r="BX667" s="688"/>
      <c r="BY667" s="689"/>
      <c r="BZ667" s="690"/>
      <c r="CA667" s="690"/>
      <c r="CB667" s="690"/>
      <c r="CC667" s="691"/>
      <c r="CD667" s="691"/>
      <c r="CE667" s="692"/>
      <c r="CF667" s="692"/>
      <c r="CG667" s="692"/>
      <c r="CH667" s="693"/>
    </row>
    <row r="668">
      <c r="B668" s="687"/>
      <c r="C668" s="687"/>
      <c r="D668" s="688"/>
      <c r="E668" s="689"/>
      <c r="F668" s="690"/>
      <c r="G668" s="690"/>
      <c r="H668" s="690"/>
      <c r="I668" s="691"/>
      <c r="J668" s="691"/>
      <c r="K668" s="691"/>
      <c r="L668" s="692"/>
      <c r="M668" s="692"/>
      <c r="N668" s="692"/>
      <c r="O668" s="693"/>
      <c r="P668" s="688"/>
      <c r="Q668" s="688"/>
      <c r="R668" s="688"/>
      <c r="S668" s="688"/>
      <c r="T668" s="689"/>
      <c r="U668" s="689"/>
      <c r="V668" s="694"/>
      <c r="W668" s="694"/>
      <c r="X668" s="694"/>
      <c r="Y668" s="694"/>
      <c r="Z668" s="693"/>
      <c r="AA668" s="693"/>
      <c r="AB668" s="693"/>
      <c r="AC668" s="693"/>
      <c r="AD668" s="688"/>
      <c r="AE668" s="689"/>
      <c r="AF668" s="689"/>
      <c r="AG668" s="690"/>
      <c r="AH668" s="690"/>
      <c r="AI668" s="695"/>
      <c r="AJ668" s="695"/>
      <c r="AK668" s="692"/>
      <c r="AL668" s="692"/>
      <c r="AM668" s="693"/>
      <c r="AN668" s="688"/>
      <c r="AO668" s="688"/>
      <c r="AP668" s="688"/>
      <c r="AQ668" s="688"/>
      <c r="AR668" s="688"/>
      <c r="AS668" s="688"/>
      <c r="AT668" s="689"/>
      <c r="AU668" s="689"/>
      <c r="AV668" s="690"/>
      <c r="AW668" s="690"/>
      <c r="AX668" s="690"/>
      <c r="AY668" s="690"/>
      <c r="AZ668" s="690"/>
      <c r="BA668" s="690"/>
      <c r="BB668" s="695"/>
      <c r="BC668" s="695"/>
      <c r="BD668" s="695"/>
      <c r="BE668" s="695"/>
      <c r="BF668" s="692"/>
      <c r="BG668" s="692"/>
      <c r="BH668" s="692"/>
      <c r="BI668" s="692"/>
      <c r="BJ668" s="692"/>
      <c r="BK668" s="692"/>
      <c r="BL668" s="693"/>
      <c r="BM668" s="693"/>
      <c r="BN668" s="688"/>
      <c r="BO668" s="693"/>
      <c r="BP668" s="689"/>
      <c r="BQ668" s="694"/>
      <c r="BR668" s="687"/>
      <c r="BS668" s="687"/>
      <c r="BT668" s="687"/>
      <c r="BU668" s="687"/>
      <c r="BV668" s="687"/>
      <c r="BW668" s="688"/>
      <c r="BX668" s="688"/>
      <c r="BY668" s="689"/>
      <c r="BZ668" s="690"/>
      <c r="CA668" s="690"/>
      <c r="CB668" s="690"/>
      <c r="CC668" s="691"/>
      <c r="CD668" s="691"/>
      <c r="CE668" s="692"/>
      <c r="CF668" s="692"/>
      <c r="CG668" s="692"/>
      <c r="CH668" s="693"/>
    </row>
    <row r="669">
      <c r="B669" s="687"/>
      <c r="C669" s="687"/>
      <c r="D669" s="688"/>
      <c r="E669" s="689"/>
      <c r="F669" s="690"/>
      <c r="G669" s="690"/>
      <c r="H669" s="690"/>
      <c r="I669" s="691"/>
      <c r="J669" s="691"/>
      <c r="K669" s="691"/>
      <c r="L669" s="692"/>
      <c r="M669" s="692"/>
      <c r="N669" s="692"/>
      <c r="O669" s="693"/>
      <c r="P669" s="688"/>
      <c r="Q669" s="688"/>
      <c r="R669" s="688"/>
      <c r="S669" s="688"/>
      <c r="T669" s="689"/>
      <c r="U669" s="689"/>
      <c r="V669" s="694"/>
      <c r="W669" s="694"/>
      <c r="X669" s="694"/>
      <c r="Y669" s="694"/>
      <c r="Z669" s="693"/>
      <c r="AA669" s="693"/>
      <c r="AB669" s="693"/>
      <c r="AC669" s="693"/>
      <c r="AD669" s="688"/>
      <c r="AE669" s="689"/>
      <c r="AF669" s="689"/>
      <c r="AG669" s="690"/>
      <c r="AH669" s="690"/>
      <c r="AI669" s="695"/>
      <c r="AJ669" s="695"/>
      <c r="AK669" s="692"/>
      <c r="AL669" s="692"/>
      <c r="AM669" s="693"/>
      <c r="AN669" s="688"/>
      <c r="AO669" s="688"/>
      <c r="AP669" s="688"/>
      <c r="AQ669" s="688"/>
      <c r="AR669" s="688"/>
      <c r="AS669" s="688"/>
      <c r="AT669" s="689"/>
      <c r="AU669" s="689"/>
      <c r="AV669" s="690"/>
      <c r="AW669" s="690"/>
      <c r="AX669" s="690"/>
      <c r="AY669" s="690"/>
      <c r="AZ669" s="690"/>
      <c r="BA669" s="690"/>
      <c r="BB669" s="695"/>
      <c r="BC669" s="695"/>
      <c r="BD669" s="695"/>
      <c r="BE669" s="695"/>
      <c r="BF669" s="692"/>
      <c r="BG669" s="692"/>
      <c r="BH669" s="692"/>
      <c r="BI669" s="692"/>
      <c r="BJ669" s="692"/>
      <c r="BK669" s="692"/>
      <c r="BL669" s="693"/>
      <c r="BM669" s="693"/>
      <c r="BN669" s="688"/>
      <c r="BO669" s="693"/>
      <c r="BP669" s="689"/>
      <c r="BQ669" s="694"/>
      <c r="BR669" s="687"/>
      <c r="BS669" s="687"/>
      <c r="BT669" s="687"/>
      <c r="BU669" s="687"/>
      <c r="BV669" s="687"/>
      <c r="BW669" s="688"/>
      <c r="BX669" s="688"/>
      <c r="BY669" s="689"/>
      <c r="BZ669" s="690"/>
      <c r="CA669" s="690"/>
      <c r="CB669" s="690"/>
      <c r="CC669" s="691"/>
      <c r="CD669" s="691"/>
      <c r="CE669" s="692"/>
      <c r="CF669" s="692"/>
      <c r="CG669" s="692"/>
      <c r="CH669" s="693"/>
    </row>
    <row r="670">
      <c r="B670" s="687"/>
      <c r="C670" s="687"/>
      <c r="D670" s="688"/>
      <c r="E670" s="689"/>
      <c r="F670" s="690"/>
      <c r="G670" s="690"/>
      <c r="H670" s="690"/>
      <c r="I670" s="691"/>
      <c r="J670" s="691"/>
      <c r="K670" s="691"/>
      <c r="L670" s="692"/>
      <c r="M670" s="692"/>
      <c r="N670" s="692"/>
      <c r="O670" s="693"/>
      <c r="P670" s="688"/>
      <c r="Q670" s="688"/>
      <c r="R670" s="688"/>
      <c r="S670" s="688"/>
      <c r="T670" s="689"/>
      <c r="U670" s="689"/>
      <c r="V670" s="694"/>
      <c r="W670" s="694"/>
      <c r="X670" s="694"/>
      <c r="Y670" s="694"/>
      <c r="Z670" s="693"/>
      <c r="AA670" s="693"/>
      <c r="AB670" s="693"/>
      <c r="AC670" s="693"/>
      <c r="AD670" s="688"/>
      <c r="AE670" s="689"/>
      <c r="AF670" s="689"/>
      <c r="AG670" s="690"/>
      <c r="AH670" s="690"/>
      <c r="AI670" s="695"/>
      <c r="AJ670" s="695"/>
      <c r="AK670" s="692"/>
      <c r="AL670" s="692"/>
      <c r="AM670" s="693"/>
      <c r="AN670" s="688"/>
      <c r="AO670" s="688"/>
      <c r="AP670" s="688"/>
      <c r="AQ670" s="688"/>
      <c r="AR670" s="688"/>
      <c r="AS670" s="688"/>
      <c r="AT670" s="689"/>
      <c r="AU670" s="689"/>
      <c r="AV670" s="690"/>
      <c r="AW670" s="690"/>
      <c r="AX670" s="690"/>
      <c r="AY670" s="690"/>
      <c r="AZ670" s="690"/>
      <c r="BA670" s="690"/>
      <c r="BB670" s="695"/>
      <c r="BC670" s="695"/>
      <c r="BD670" s="695"/>
      <c r="BE670" s="695"/>
      <c r="BF670" s="692"/>
      <c r="BG670" s="692"/>
      <c r="BH670" s="692"/>
      <c r="BI670" s="692"/>
      <c r="BJ670" s="692"/>
      <c r="BK670" s="692"/>
      <c r="BL670" s="693"/>
      <c r="BM670" s="693"/>
      <c r="BN670" s="688"/>
      <c r="BO670" s="693"/>
      <c r="BP670" s="689"/>
      <c r="BQ670" s="694"/>
      <c r="BR670" s="687"/>
      <c r="BS670" s="687"/>
      <c r="BT670" s="687"/>
      <c r="BU670" s="687"/>
      <c r="BV670" s="687"/>
      <c r="BW670" s="688"/>
      <c r="BX670" s="688"/>
      <c r="BY670" s="689"/>
      <c r="BZ670" s="690"/>
      <c r="CA670" s="690"/>
      <c r="CB670" s="690"/>
      <c r="CC670" s="691"/>
      <c r="CD670" s="691"/>
      <c r="CE670" s="692"/>
      <c r="CF670" s="692"/>
      <c r="CG670" s="692"/>
      <c r="CH670" s="693"/>
    </row>
    <row r="671">
      <c r="B671" s="687"/>
      <c r="C671" s="687"/>
      <c r="D671" s="688"/>
      <c r="E671" s="689"/>
      <c r="F671" s="690"/>
      <c r="G671" s="690"/>
      <c r="H671" s="690"/>
      <c r="I671" s="691"/>
      <c r="J671" s="691"/>
      <c r="K671" s="691"/>
      <c r="L671" s="692"/>
      <c r="M671" s="692"/>
      <c r="N671" s="692"/>
      <c r="O671" s="693"/>
      <c r="P671" s="688"/>
      <c r="Q671" s="688"/>
      <c r="R671" s="688"/>
      <c r="S671" s="688"/>
      <c r="T671" s="689"/>
      <c r="U671" s="689"/>
      <c r="V671" s="694"/>
      <c r="W671" s="694"/>
      <c r="X671" s="694"/>
      <c r="Y671" s="694"/>
      <c r="Z671" s="693"/>
      <c r="AA671" s="693"/>
      <c r="AB671" s="693"/>
      <c r="AC671" s="693"/>
      <c r="AD671" s="688"/>
      <c r="AE671" s="689"/>
      <c r="AF671" s="689"/>
      <c r="AG671" s="690"/>
      <c r="AH671" s="690"/>
      <c r="AI671" s="695"/>
      <c r="AJ671" s="695"/>
      <c r="AK671" s="692"/>
      <c r="AL671" s="692"/>
      <c r="AM671" s="693"/>
      <c r="AN671" s="688"/>
      <c r="AO671" s="688"/>
      <c r="AP671" s="688"/>
      <c r="AQ671" s="688"/>
      <c r="AR671" s="688"/>
      <c r="AS671" s="688"/>
      <c r="AT671" s="689"/>
      <c r="AU671" s="689"/>
      <c r="AV671" s="690"/>
      <c r="AW671" s="690"/>
      <c r="AX671" s="690"/>
      <c r="AY671" s="690"/>
      <c r="AZ671" s="690"/>
      <c r="BA671" s="690"/>
      <c r="BB671" s="695"/>
      <c r="BC671" s="695"/>
      <c r="BD671" s="695"/>
      <c r="BE671" s="695"/>
      <c r="BF671" s="692"/>
      <c r="BG671" s="692"/>
      <c r="BH671" s="692"/>
      <c r="BI671" s="692"/>
      <c r="BJ671" s="692"/>
      <c r="BK671" s="692"/>
      <c r="BL671" s="693"/>
      <c r="BM671" s="693"/>
      <c r="BN671" s="688"/>
      <c r="BO671" s="693"/>
      <c r="BP671" s="689"/>
      <c r="BQ671" s="694"/>
      <c r="BR671" s="687"/>
      <c r="BS671" s="687"/>
      <c r="BT671" s="687"/>
      <c r="BU671" s="687"/>
      <c r="BV671" s="687"/>
      <c r="BW671" s="688"/>
      <c r="BX671" s="688"/>
      <c r="BY671" s="689"/>
      <c r="BZ671" s="690"/>
      <c r="CA671" s="690"/>
      <c r="CB671" s="690"/>
      <c r="CC671" s="691"/>
      <c r="CD671" s="691"/>
      <c r="CE671" s="692"/>
      <c r="CF671" s="692"/>
      <c r="CG671" s="692"/>
      <c r="CH671" s="693"/>
    </row>
    <row r="672">
      <c r="B672" s="687"/>
      <c r="C672" s="687"/>
      <c r="D672" s="688"/>
      <c r="E672" s="689"/>
      <c r="F672" s="690"/>
      <c r="G672" s="690"/>
      <c r="H672" s="690"/>
      <c r="I672" s="691"/>
      <c r="J672" s="691"/>
      <c r="K672" s="691"/>
      <c r="L672" s="692"/>
      <c r="M672" s="692"/>
      <c r="N672" s="692"/>
      <c r="O672" s="693"/>
      <c r="P672" s="688"/>
      <c r="Q672" s="688"/>
      <c r="R672" s="688"/>
      <c r="S672" s="688"/>
      <c r="T672" s="689"/>
      <c r="U672" s="689"/>
      <c r="V672" s="694"/>
      <c r="W672" s="694"/>
      <c r="X672" s="694"/>
      <c r="Y672" s="694"/>
      <c r="Z672" s="693"/>
      <c r="AA672" s="693"/>
      <c r="AB672" s="693"/>
      <c r="AC672" s="693"/>
      <c r="AD672" s="688"/>
      <c r="AE672" s="689"/>
      <c r="AF672" s="689"/>
      <c r="AG672" s="690"/>
      <c r="AH672" s="690"/>
      <c r="AI672" s="695"/>
      <c r="AJ672" s="695"/>
      <c r="AK672" s="692"/>
      <c r="AL672" s="692"/>
      <c r="AM672" s="693"/>
      <c r="AN672" s="688"/>
      <c r="AO672" s="688"/>
      <c r="AP672" s="688"/>
      <c r="AQ672" s="688"/>
      <c r="AR672" s="688"/>
      <c r="AS672" s="688"/>
      <c r="AT672" s="689"/>
      <c r="AU672" s="689"/>
      <c r="AV672" s="690"/>
      <c r="AW672" s="690"/>
      <c r="AX672" s="690"/>
      <c r="AY672" s="690"/>
      <c r="AZ672" s="690"/>
      <c r="BA672" s="690"/>
      <c r="BB672" s="695"/>
      <c r="BC672" s="695"/>
      <c r="BD672" s="695"/>
      <c r="BE672" s="695"/>
      <c r="BF672" s="692"/>
      <c r="BG672" s="692"/>
      <c r="BH672" s="692"/>
      <c r="BI672" s="692"/>
      <c r="BJ672" s="692"/>
      <c r="BK672" s="692"/>
      <c r="BL672" s="693"/>
      <c r="BM672" s="693"/>
      <c r="BN672" s="688"/>
      <c r="BO672" s="693"/>
      <c r="BP672" s="689"/>
      <c r="BQ672" s="694"/>
      <c r="BR672" s="687"/>
      <c r="BS672" s="687"/>
      <c r="BT672" s="687"/>
      <c r="BU672" s="687"/>
      <c r="BV672" s="687"/>
      <c r="BW672" s="688"/>
      <c r="BX672" s="688"/>
      <c r="BY672" s="689"/>
      <c r="BZ672" s="690"/>
      <c r="CA672" s="690"/>
      <c r="CB672" s="690"/>
      <c r="CC672" s="691"/>
      <c r="CD672" s="691"/>
      <c r="CE672" s="692"/>
      <c r="CF672" s="692"/>
      <c r="CG672" s="692"/>
      <c r="CH672" s="693"/>
    </row>
    <row r="673">
      <c r="B673" s="687"/>
      <c r="C673" s="687"/>
      <c r="D673" s="688"/>
      <c r="E673" s="689"/>
      <c r="F673" s="690"/>
      <c r="G673" s="690"/>
      <c r="H673" s="690"/>
      <c r="I673" s="691"/>
      <c r="J673" s="691"/>
      <c r="K673" s="691"/>
      <c r="L673" s="692"/>
      <c r="M673" s="692"/>
      <c r="N673" s="692"/>
      <c r="O673" s="693"/>
      <c r="P673" s="688"/>
      <c r="Q673" s="688"/>
      <c r="R673" s="688"/>
      <c r="S673" s="688"/>
      <c r="T673" s="689"/>
      <c r="U673" s="689"/>
      <c r="V673" s="694"/>
      <c r="W673" s="694"/>
      <c r="X673" s="694"/>
      <c r="Y673" s="694"/>
      <c r="Z673" s="693"/>
      <c r="AA673" s="693"/>
      <c r="AB673" s="693"/>
      <c r="AC673" s="693"/>
      <c r="AD673" s="688"/>
      <c r="AE673" s="689"/>
      <c r="AF673" s="689"/>
      <c r="AG673" s="690"/>
      <c r="AH673" s="690"/>
      <c r="AI673" s="695"/>
      <c r="AJ673" s="695"/>
      <c r="AK673" s="692"/>
      <c r="AL673" s="692"/>
      <c r="AM673" s="693"/>
      <c r="AN673" s="688"/>
      <c r="AO673" s="688"/>
      <c r="AP673" s="688"/>
      <c r="AQ673" s="688"/>
      <c r="AR673" s="688"/>
      <c r="AS673" s="688"/>
      <c r="AT673" s="689"/>
      <c r="AU673" s="689"/>
      <c r="AV673" s="690"/>
      <c r="AW673" s="690"/>
      <c r="AX673" s="690"/>
      <c r="AY673" s="690"/>
      <c r="AZ673" s="690"/>
      <c r="BA673" s="690"/>
      <c r="BB673" s="695"/>
      <c r="BC673" s="695"/>
      <c r="BD673" s="695"/>
      <c r="BE673" s="695"/>
      <c r="BF673" s="692"/>
      <c r="BG673" s="692"/>
      <c r="BH673" s="692"/>
      <c r="BI673" s="692"/>
      <c r="BJ673" s="692"/>
      <c r="BK673" s="692"/>
      <c r="BL673" s="693"/>
      <c r="BM673" s="693"/>
      <c r="BN673" s="688"/>
      <c r="BO673" s="693"/>
      <c r="BP673" s="689"/>
      <c r="BQ673" s="694"/>
      <c r="BR673" s="687"/>
      <c r="BS673" s="687"/>
      <c r="BT673" s="687"/>
      <c r="BU673" s="687"/>
      <c r="BV673" s="687"/>
      <c r="BW673" s="688"/>
      <c r="BX673" s="688"/>
      <c r="BY673" s="689"/>
      <c r="BZ673" s="690"/>
      <c r="CA673" s="690"/>
      <c r="CB673" s="690"/>
      <c r="CC673" s="691"/>
      <c r="CD673" s="691"/>
      <c r="CE673" s="692"/>
      <c r="CF673" s="692"/>
      <c r="CG673" s="692"/>
      <c r="CH673" s="693"/>
    </row>
    <row r="674">
      <c r="B674" s="687"/>
      <c r="C674" s="687"/>
      <c r="D674" s="688"/>
      <c r="E674" s="689"/>
      <c r="F674" s="690"/>
      <c r="G674" s="690"/>
      <c r="H674" s="690"/>
      <c r="I674" s="691"/>
      <c r="J674" s="691"/>
      <c r="K674" s="691"/>
      <c r="L674" s="692"/>
      <c r="M674" s="692"/>
      <c r="N674" s="692"/>
      <c r="O674" s="693"/>
      <c r="P674" s="688"/>
      <c r="Q674" s="688"/>
      <c r="R674" s="688"/>
      <c r="S674" s="688"/>
      <c r="T674" s="689"/>
      <c r="U674" s="689"/>
      <c r="V674" s="694"/>
      <c r="W674" s="694"/>
      <c r="X674" s="694"/>
      <c r="Y674" s="694"/>
      <c r="Z674" s="693"/>
      <c r="AA674" s="693"/>
      <c r="AB674" s="693"/>
      <c r="AC674" s="693"/>
      <c r="AD674" s="688"/>
      <c r="AE674" s="689"/>
      <c r="AF674" s="689"/>
      <c r="AG674" s="690"/>
      <c r="AH674" s="690"/>
      <c r="AI674" s="695"/>
      <c r="AJ674" s="695"/>
      <c r="AK674" s="692"/>
      <c r="AL674" s="692"/>
      <c r="AM674" s="693"/>
      <c r="AN674" s="688"/>
      <c r="AO674" s="688"/>
      <c r="AP674" s="688"/>
      <c r="AQ674" s="688"/>
      <c r="AR674" s="688"/>
      <c r="AS674" s="688"/>
      <c r="AT674" s="689"/>
      <c r="AU674" s="689"/>
      <c r="AV674" s="690"/>
      <c r="AW674" s="690"/>
      <c r="AX674" s="690"/>
      <c r="AY674" s="690"/>
      <c r="AZ674" s="690"/>
      <c r="BA674" s="690"/>
      <c r="BB674" s="695"/>
      <c r="BC674" s="695"/>
      <c r="BD674" s="695"/>
      <c r="BE674" s="695"/>
      <c r="BF674" s="692"/>
      <c r="BG674" s="692"/>
      <c r="BH674" s="692"/>
      <c r="BI674" s="692"/>
      <c r="BJ674" s="692"/>
      <c r="BK674" s="692"/>
      <c r="BL674" s="693"/>
      <c r="BM674" s="693"/>
      <c r="BN674" s="688"/>
      <c r="BO674" s="693"/>
      <c r="BP674" s="689"/>
      <c r="BQ674" s="694"/>
      <c r="BR674" s="687"/>
      <c r="BS674" s="687"/>
      <c r="BT674" s="687"/>
      <c r="BU674" s="687"/>
      <c r="BV674" s="687"/>
      <c r="BW674" s="688"/>
      <c r="BX674" s="688"/>
      <c r="BY674" s="689"/>
      <c r="BZ674" s="690"/>
      <c r="CA674" s="690"/>
      <c r="CB674" s="690"/>
      <c r="CC674" s="691"/>
      <c r="CD674" s="691"/>
      <c r="CE674" s="692"/>
      <c r="CF674" s="692"/>
      <c r="CG674" s="692"/>
      <c r="CH674" s="693"/>
    </row>
    <row r="675">
      <c r="B675" s="687"/>
      <c r="C675" s="687"/>
      <c r="D675" s="688"/>
      <c r="E675" s="689"/>
      <c r="F675" s="690"/>
      <c r="G675" s="690"/>
      <c r="H675" s="690"/>
      <c r="I675" s="691"/>
      <c r="J675" s="691"/>
      <c r="K675" s="691"/>
      <c r="L675" s="692"/>
      <c r="M675" s="692"/>
      <c r="N675" s="692"/>
      <c r="O675" s="693"/>
      <c r="P675" s="688"/>
      <c r="Q675" s="688"/>
      <c r="R675" s="688"/>
      <c r="S675" s="688"/>
      <c r="T675" s="689"/>
      <c r="U675" s="689"/>
      <c r="V675" s="694"/>
      <c r="W675" s="694"/>
      <c r="X675" s="694"/>
      <c r="Y675" s="694"/>
      <c r="Z675" s="693"/>
      <c r="AA675" s="693"/>
      <c r="AB675" s="693"/>
      <c r="AC675" s="693"/>
      <c r="AD675" s="688"/>
      <c r="AE675" s="689"/>
      <c r="AF675" s="689"/>
      <c r="AG675" s="690"/>
      <c r="AH675" s="690"/>
      <c r="AI675" s="695"/>
      <c r="AJ675" s="695"/>
      <c r="AK675" s="692"/>
      <c r="AL675" s="692"/>
      <c r="AM675" s="693"/>
      <c r="AN675" s="688"/>
      <c r="AO675" s="688"/>
      <c r="AP675" s="688"/>
      <c r="AQ675" s="688"/>
      <c r="AR675" s="688"/>
      <c r="AS675" s="688"/>
      <c r="AT675" s="689"/>
      <c r="AU675" s="689"/>
      <c r="AV675" s="690"/>
      <c r="AW675" s="690"/>
      <c r="AX675" s="690"/>
      <c r="AY675" s="690"/>
      <c r="AZ675" s="690"/>
      <c r="BA675" s="690"/>
      <c r="BB675" s="695"/>
      <c r="BC675" s="695"/>
      <c r="BD675" s="695"/>
      <c r="BE675" s="695"/>
      <c r="BF675" s="692"/>
      <c r="BG675" s="692"/>
      <c r="BH675" s="692"/>
      <c r="BI675" s="692"/>
      <c r="BJ675" s="692"/>
      <c r="BK675" s="692"/>
      <c r="BL675" s="693"/>
      <c r="BM675" s="693"/>
      <c r="BN675" s="688"/>
      <c r="BO675" s="693"/>
      <c r="BP675" s="689"/>
      <c r="BQ675" s="694"/>
      <c r="BR675" s="687"/>
      <c r="BS675" s="687"/>
      <c r="BT675" s="687"/>
      <c r="BU675" s="687"/>
      <c r="BV675" s="687"/>
      <c r="BW675" s="688"/>
      <c r="BX675" s="688"/>
      <c r="BY675" s="689"/>
      <c r="BZ675" s="690"/>
      <c r="CA675" s="690"/>
      <c r="CB675" s="690"/>
      <c r="CC675" s="691"/>
      <c r="CD675" s="691"/>
      <c r="CE675" s="692"/>
      <c r="CF675" s="692"/>
      <c r="CG675" s="692"/>
      <c r="CH675" s="693"/>
    </row>
    <row r="676">
      <c r="B676" s="687"/>
      <c r="C676" s="687"/>
      <c r="D676" s="688"/>
      <c r="E676" s="689"/>
      <c r="F676" s="690"/>
      <c r="G676" s="690"/>
      <c r="H676" s="690"/>
      <c r="I676" s="691"/>
      <c r="J676" s="691"/>
      <c r="K676" s="691"/>
      <c r="L676" s="692"/>
      <c r="M676" s="692"/>
      <c r="N676" s="692"/>
      <c r="O676" s="693"/>
      <c r="P676" s="688"/>
      <c r="Q676" s="688"/>
      <c r="R676" s="688"/>
      <c r="S676" s="688"/>
      <c r="T676" s="689"/>
      <c r="U676" s="689"/>
      <c r="V676" s="694"/>
      <c r="W676" s="694"/>
      <c r="X676" s="694"/>
      <c r="Y676" s="694"/>
      <c r="Z676" s="693"/>
      <c r="AA676" s="693"/>
      <c r="AB676" s="693"/>
      <c r="AC676" s="693"/>
      <c r="AD676" s="688"/>
      <c r="AE676" s="689"/>
      <c r="AF676" s="689"/>
      <c r="AG676" s="690"/>
      <c r="AH676" s="690"/>
      <c r="AI676" s="695"/>
      <c r="AJ676" s="695"/>
      <c r="AK676" s="692"/>
      <c r="AL676" s="692"/>
      <c r="AM676" s="693"/>
      <c r="AN676" s="688"/>
      <c r="AO676" s="688"/>
      <c r="AP676" s="688"/>
      <c r="AQ676" s="688"/>
      <c r="AR676" s="688"/>
      <c r="AS676" s="688"/>
      <c r="AT676" s="689"/>
      <c r="AU676" s="689"/>
      <c r="AV676" s="690"/>
      <c r="AW676" s="690"/>
      <c r="AX676" s="690"/>
      <c r="AY676" s="690"/>
      <c r="AZ676" s="690"/>
      <c r="BA676" s="690"/>
      <c r="BB676" s="695"/>
      <c r="BC676" s="695"/>
      <c r="BD676" s="695"/>
      <c r="BE676" s="695"/>
      <c r="BF676" s="692"/>
      <c r="BG676" s="692"/>
      <c r="BH676" s="692"/>
      <c r="BI676" s="692"/>
      <c r="BJ676" s="692"/>
      <c r="BK676" s="692"/>
      <c r="BL676" s="693"/>
      <c r="BM676" s="693"/>
      <c r="BN676" s="688"/>
      <c r="BO676" s="693"/>
      <c r="BP676" s="689"/>
      <c r="BQ676" s="694"/>
      <c r="BR676" s="687"/>
      <c r="BS676" s="687"/>
      <c r="BT676" s="687"/>
      <c r="BU676" s="687"/>
      <c r="BV676" s="687"/>
      <c r="BW676" s="688"/>
      <c r="BX676" s="688"/>
      <c r="BY676" s="689"/>
      <c r="BZ676" s="690"/>
      <c r="CA676" s="690"/>
      <c r="CB676" s="690"/>
      <c r="CC676" s="691"/>
      <c r="CD676" s="691"/>
      <c r="CE676" s="692"/>
      <c r="CF676" s="692"/>
      <c r="CG676" s="692"/>
      <c r="CH676" s="693"/>
    </row>
    <row r="677">
      <c r="B677" s="687"/>
      <c r="C677" s="687"/>
      <c r="D677" s="688"/>
      <c r="E677" s="689"/>
      <c r="F677" s="690"/>
      <c r="G677" s="690"/>
      <c r="H677" s="690"/>
      <c r="I677" s="691"/>
      <c r="J677" s="691"/>
      <c r="K677" s="691"/>
      <c r="L677" s="692"/>
      <c r="M677" s="692"/>
      <c r="N677" s="692"/>
      <c r="O677" s="693"/>
      <c r="P677" s="688"/>
      <c r="Q677" s="688"/>
      <c r="R677" s="688"/>
      <c r="S677" s="688"/>
      <c r="T677" s="689"/>
      <c r="U677" s="689"/>
      <c r="V677" s="694"/>
      <c r="W677" s="694"/>
      <c r="X677" s="694"/>
      <c r="Y677" s="694"/>
      <c r="Z677" s="693"/>
      <c r="AA677" s="693"/>
      <c r="AB677" s="693"/>
      <c r="AC677" s="693"/>
      <c r="AD677" s="688"/>
      <c r="AE677" s="689"/>
      <c r="AF677" s="689"/>
      <c r="AG677" s="690"/>
      <c r="AH677" s="690"/>
      <c r="AI677" s="695"/>
      <c r="AJ677" s="695"/>
      <c r="AK677" s="692"/>
      <c r="AL677" s="692"/>
      <c r="AM677" s="693"/>
      <c r="AN677" s="688"/>
      <c r="AO677" s="688"/>
      <c r="AP677" s="688"/>
      <c r="AQ677" s="688"/>
      <c r="AR677" s="688"/>
      <c r="AS677" s="688"/>
      <c r="AT677" s="689"/>
      <c r="AU677" s="689"/>
      <c r="AV677" s="690"/>
      <c r="AW677" s="690"/>
      <c r="AX677" s="690"/>
      <c r="AY677" s="690"/>
      <c r="AZ677" s="690"/>
      <c r="BA677" s="690"/>
      <c r="BB677" s="695"/>
      <c r="BC677" s="695"/>
      <c r="BD677" s="695"/>
      <c r="BE677" s="695"/>
      <c r="BF677" s="692"/>
      <c r="BG677" s="692"/>
      <c r="BH677" s="692"/>
      <c r="BI677" s="692"/>
      <c r="BJ677" s="692"/>
      <c r="BK677" s="692"/>
      <c r="BL677" s="693"/>
      <c r="BM677" s="693"/>
      <c r="BN677" s="688"/>
      <c r="BO677" s="693"/>
      <c r="BP677" s="689"/>
      <c r="BQ677" s="694"/>
      <c r="BR677" s="687"/>
      <c r="BS677" s="687"/>
      <c r="BT677" s="687"/>
      <c r="BU677" s="687"/>
      <c r="BV677" s="687"/>
      <c r="BW677" s="688"/>
      <c r="BX677" s="688"/>
      <c r="BY677" s="689"/>
      <c r="BZ677" s="690"/>
      <c r="CA677" s="690"/>
      <c r="CB677" s="690"/>
      <c r="CC677" s="691"/>
      <c r="CD677" s="691"/>
      <c r="CE677" s="692"/>
      <c r="CF677" s="692"/>
      <c r="CG677" s="692"/>
      <c r="CH677" s="693"/>
    </row>
    <row r="678">
      <c r="B678" s="687"/>
      <c r="C678" s="687"/>
      <c r="D678" s="688"/>
      <c r="E678" s="689"/>
      <c r="F678" s="690"/>
      <c r="G678" s="690"/>
      <c r="H678" s="690"/>
      <c r="I678" s="691"/>
      <c r="J678" s="691"/>
      <c r="K678" s="691"/>
      <c r="L678" s="692"/>
      <c r="M678" s="692"/>
      <c r="N678" s="692"/>
      <c r="O678" s="693"/>
      <c r="P678" s="688"/>
      <c r="Q678" s="688"/>
      <c r="R678" s="688"/>
      <c r="S678" s="688"/>
      <c r="T678" s="689"/>
      <c r="U678" s="689"/>
      <c r="V678" s="694"/>
      <c r="W678" s="694"/>
      <c r="X678" s="694"/>
      <c r="Y678" s="694"/>
      <c r="Z678" s="693"/>
      <c r="AA678" s="693"/>
      <c r="AB678" s="693"/>
      <c r="AC678" s="693"/>
      <c r="AD678" s="688"/>
      <c r="AE678" s="689"/>
      <c r="AF678" s="689"/>
      <c r="AG678" s="690"/>
      <c r="AH678" s="690"/>
      <c r="AI678" s="695"/>
      <c r="AJ678" s="695"/>
      <c r="AK678" s="692"/>
      <c r="AL678" s="692"/>
      <c r="AM678" s="693"/>
      <c r="AN678" s="688"/>
      <c r="AO678" s="688"/>
      <c r="AP678" s="688"/>
      <c r="AQ678" s="688"/>
      <c r="AR678" s="688"/>
      <c r="AS678" s="688"/>
      <c r="AT678" s="689"/>
      <c r="AU678" s="689"/>
      <c r="AV678" s="690"/>
      <c r="AW678" s="690"/>
      <c r="AX678" s="690"/>
      <c r="AY678" s="690"/>
      <c r="AZ678" s="690"/>
      <c r="BA678" s="690"/>
      <c r="BB678" s="695"/>
      <c r="BC678" s="695"/>
      <c r="BD678" s="695"/>
      <c r="BE678" s="695"/>
      <c r="BF678" s="692"/>
      <c r="BG678" s="692"/>
      <c r="BH678" s="692"/>
      <c r="BI678" s="692"/>
      <c r="BJ678" s="692"/>
      <c r="BK678" s="692"/>
      <c r="BL678" s="693"/>
      <c r="BM678" s="693"/>
      <c r="BN678" s="688"/>
      <c r="BO678" s="693"/>
      <c r="BP678" s="689"/>
      <c r="BQ678" s="694"/>
      <c r="BR678" s="687"/>
      <c r="BS678" s="687"/>
      <c r="BT678" s="687"/>
      <c r="BU678" s="687"/>
      <c r="BV678" s="687"/>
      <c r="BW678" s="688"/>
      <c r="BX678" s="688"/>
      <c r="BY678" s="689"/>
      <c r="BZ678" s="690"/>
      <c r="CA678" s="690"/>
      <c r="CB678" s="690"/>
      <c r="CC678" s="691"/>
      <c r="CD678" s="691"/>
      <c r="CE678" s="692"/>
      <c r="CF678" s="692"/>
      <c r="CG678" s="692"/>
      <c r="CH678" s="693"/>
    </row>
    <row r="679">
      <c r="B679" s="687"/>
      <c r="C679" s="687"/>
      <c r="D679" s="688"/>
      <c r="E679" s="689"/>
      <c r="F679" s="690"/>
      <c r="G679" s="690"/>
      <c r="H679" s="690"/>
      <c r="I679" s="691"/>
      <c r="J679" s="691"/>
      <c r="K679" s="691"/>
      <c r="L679" s="692"/>
      <c r="M679" s="692"/>
      <c r="N679" s="692"/>
      <c r="O679" s="693"/>
      <c r="P679" s="688"/>
      <c r="Q679" s="688"/>
      <c r="R679" s="688"/>
      <c r="S679" s="688"/>
      <c r="T679" s="689"/>
      <c r="U679" s="689"/>
      <c r="V679" s="694"/>
      <c r="W679" s="694"/>
      <c r="X679" s="694"/>
      <c r="Y679" s="694"/>
      <c r="Z679" s="693"/>
      <c r="AA679" s="693"/>
      <c r="AB679" s="693"/>
      <c r="AC679" s="693"/>
      <c r="AD679" s="688"/>
      <c r="AE679" s="689"/>
      <c r="AF679" s="689"/>
      <c r="AG679" s="690"/>
      <c r="AH679" s="690"/>
      <c r="AI679" s="695"/>
      <c r="AJ679" s="695"/>
      <c r="AK679" s="692"/>
      <c r="AL679" s="692"/>
      <c r="AM679" s="693"/>
      <c r="AN679" s="688"/>
      <c r="AO679" s="688"/>
      <c r="AP679" s="688"/>
      <c r="AQ679" s="688"/>
      <c r="AR679" s="688"/>
      <c r="AS679" s="688"/>
      <c r="AT679" s="689"/>
      <c r="AU679" s="689"/>
      <c r="AV679" s="690"/>
      <c r="AW679" s="690"/>
      <c r="AX679" s="690"/>
      <c r="AY679" s="690"/>
      <c r="AZ679" s="690"/>
      <c r="BA679" s="690"/>
      <c r="BB679" s="695"/>
      <c r="BC679" s="695"/>
      <c r="BD679" s="695"/>
      <c r="BE679" s="695"/>
      <c r="BF679" s="692"/>
      <c r="BG679" s="692"/>
      <c r="BH679" s="692"/>
      <c r="BI679" s="692"/>
      <c r="BJ679" s="692"/>
      <c r="BK679" s="692"/>
      <c r="BL679" s="693"/>
      <c r="BM679" s="693"/>
      <c r="BN679" s="688"/>
      <c r="BO679" s="693"/>
      <c r="BP679" s="689"/>
      <c r="BQ679" s="694"/>
      <c r="BR679" s="687"/>
      <c r="BS679" s="687"/>
      <c r="BT679" s="687"/>
      <c r="BU679" s="687"/>
      <c r="BV679" s="687"/>
      <c r="BW679" s="688"/>
      <c r="BX679" s="688"/>
      <c r="BY679" s="689"/>
      <c r="BZ679" s="690"/>
      <c r="CA679" s="690"/>
      <c r="CB679" s="690"/>
      <c r="CC679" s="691"/>
      <c r="CD679" s="691"/>
      <c r="CE679" s="692"/>
      <c r="CF679" s="692"/>
      <c r="CG679" s="692"/>
      <c r="CH679" s="693"/>
    </row>
    <row r="680">
      <c r="B680" s="687"/>
      <c r="C680" s="687"/>
      <c r="D680" s="688"/>
      <c r="E680" s="689"/>
      <c r="F680" s="690"/>
      <c r="G680" s="690"/>
      <c r="H680" s="690"/>
      <c r="I680" s="691"/>
      <c r="J680" s="691"/>
      <c r="K680" s="691"/>
      <c r="L680" s="692"/>
      <c r="M680" s="692"/>
      <c r="N680" s="692"/>
      <c r="O680" s="693"/>
      <c r="P680" s="688"/>
      <c r="Q680" s="688"/>
      <c r="R680" s="688"/>
      <c r="S680" s="688"/>
      <c r="T680" s="689"/>
      <c r="U680" s="689"/>
      <c r="V680" s="694"/>
      <c r="W680" s="694"/>
      <c r="X680" s="694"/>
      <c r="Y680" s="694"/>
      <c r="Z680" s="693"/>
      <c r="AA680" s="693"/>
      <c r="AB680" s="693"/>
      <c r="AC680" s="693"/>
      <c r="AD680" s="688"/>
      <c r="AE680" s="689"/>
      <c r="AF680" s="689"/>
      <c r="AG680" s="690"/>
      <c r="AH680" s="690"/>
      <c r="AI680" s="695"/>
      <c r="AJ680" s="695"/>
      <c r="AK680" s="692"/>
      <c r="AL680" s="692"/>
      <c r="AM680" s="693"/>
      <c r="AN680" s="688"/>
      <c r="AO680" s="688"/>
      <c r="AP680" s="688"/>
      <c r="AQ680" s="688"/>
      <c r="AR680" s="688"/>
      <c r="AS680" s="688"/>
      <c r="AT680" s="689"/>
      <c r="AU680" s="689"/>
      <c r="AV680" s="690"/>
      <c r="AW680" s="690"/>
      <c r="AX680" s="690"/>
      <c r="AY680" s="690"/>
      <c r="AZ680" s="690"/>
      <c r="BA680" s="690"/>
      <c r="BB680" s="695"/>
      <c r="BC680" s="695"/>
      <c r="BD680" s="695"/>
      <c r="BE680" s="695"/>
      <c r="BF680" s="692"/>
      <c r="BG680" s="692"/>
      <c r="BH680" s="692"/>
      <c r="BI680" s="692"/>
      <c r="BJ680" s="692"/>
      <c r="BK680" s="692"/>
      <c r="BL680" s="693"/>
      <c r="BM680" s="693"/>
      <c r="BN680" s="688"/>
      <c r="BO680" s="693"/>
      <c r="BP680" s="689"/>
      <c r="BQ680" s="694"/>
      <c r="BR680" s="687"/>
      <c r="BS680" s="687"/>
      <c r="BT680" s="687"/>
      <c r="BU680" s="687"/>
      <c r="BV680" s="687"/>
      <c r="BW680" s="688"/>
      <c r="BX680" s="688"/>
      <c r="BY680" s="689"/>
      <c r="BZ680" s="690"/>
      <c r="CA680" s="690"/>
      <c r="CB680" s="690"/>
      <c r="CC680" s="691"/>
      <c r="CD680" s="691"/>
      <c r="CE680" s="692"/>
      <c r="CF680" s="692"/>
      <c r="CG680" s="692"/>
      <c r="CH680" s="693"/>
    </row>
    <row r="681">
      <c r="B681" s="687"/>
      <c r="C681" s="687"/>
      <c r="D681" s="688"/>
      <c r="E681" s="689"/>
      <c r="F681" s="690"/>
      <c r="G681" s="690"/>
      <c r="H681" s="690"/>
      <c r="I681" s="691"/>
      <c r="J681" s="691"/>
      <c r="K681" s="691"/>
      <c r="L681" s="692"/>
      <c r="M681" s="692"/>
      <c r="N681" s="692"/>
      <c r="O681" s="693"/>
      <c r="P681" s="688"/>
      <c r="Q681" s="688"/>
      <c r="R681" s="688"/>
      <c r="S681" s="688"/>
      <c r="T681" s="689"/>
      <c r="U681" s="689"/>
      <c r="V681" s="694"/>
      <c r="W681" s="694"/>
      <c r="X681" s="694"/>
      <c r="Y681" s="694"/>
      <c r="Z681" s="693"/>
      <c r="AA681" s="693"/>
      <c r="AB681" s="693"/>
      <c r="AC681" s="693"/>
      <c r="AD681" s="688"/>
      <c r="AE681" s="689"/>
      <c r="AF681" s="689"/>
      <c r="AG681" s="690"/>
      <c r="AH681" s="690"/>
      <c r="AI681" s="695"/>
      <c r="AJ681" s="695"/>
      <c r="AK681" s="692"/>
      <c r="AL681" s="692"/>
      <c r="AM681" s="693"/>
      <c r="AN681" s="688"/>
      <c r="AO681" s="688"/>
      <c r="AP681" s="688"/>
      <c r="AQ681" s="688"/>
      <c r="AR681" s="688"/>
      <c r="AS681" s="688"/>
      <c r="AT681" s="689"/>
      <c r="AU681" s="689"/>
      <c r="AV681" s="690"/>
      <c r="AW681" s="690"/>
      <c r="AX681" s="690"/>
      <c r="AY681" s="690"/>
      <c r="AZ681" s="690"/>
      <c r="BA681" s="690"/>
      <c r="BB681" s="695"/>
      <c r="BC681" s="695"/>
      <c r="BD681" s="695"/>
      <c r="BE681" s="695"/>
      <c r="BF681" s="692"/>
      <c r="BG681" s="692"/>
      <c r="BH681" s="692"/>
      <c r="BI681" s="692"/>
      <c r="BJ681" s="692"/>
      <c r="BK681" s="692"/>
      <c r="BL681" s="693"/>
      <c r="BM681" s="693"/>
      <c r="BN681" s="688"/>
      <c r="BO681" s="693"/>
      <c r="BP681" s="689"/>
      <c r="BQ681" s="694"/>
      <c r="BR681" s="687"/>
      <c r="BS681" s="687"/>
      <c r="BT681" s="687"/>
      <c r="BU681" s="687"/>
      <c r="BV681" s="687"/>
      <c r="BW681" s="688"/>
      <c r="BX681" s="688"/>
      <c r="BY681" s="689"/>
      <c r="BZ681" s="690"/>
      <c r="CA681" s="690"/>
      <c r="CB681" s="690"/>
      <c r="CC681" s="691"/>
      <c r="CD681" s="691"/>
      <c r="CE681" s="692"/>
      <c r="CF681" s="692"/>
      <c r="CG681" s="692"/>
      <c r="CH681" s="693"/>
    </row>
    <row r="682">
      <c r="B682" s="687"/>
      <c r="C682" s="687"/>
      <c r="D682" s="688"/>
      <c r="E682" s="689"/>
      <c r="F682" s="690"/>
      <c r="G682" s="690"/>
      <c r="H682" s="690"/>
      <c r="I682" s="691"/>
      <c r="J682" s="691"/>
      <c r="K682" s="691"/>
      <c r="L682" s="692"/>
      <c r="M682" s="692"/>
      <c r="N682" s="692"/>
      <c r="O682" s="693"/>
      <c r="P682" s="688"/>
      <c r="Q682" s="688"/>
      <c r="R682" s="688"/>
      <c r="S682" s="688"/>
      <c r="T682" s="689"/>
      <c r="U682" s="689"/>
      <c r="V682" s="694"/>
      <c r="W682" s="694"/>
      <c r="X682" s="694"/>
      <c r="Y682" s="694"/>
      <c r="Z682" s="693"/>
      <c r="AA682" s="693"/>
      <c r="AB682" s="693"/>
      <c r="AC682" s="693"/>
      <c r="AD682" s="688"/>
      <c r="AE682" s="689"/>
      <c r="AF682" s="689"/>
      <c r="AG682" s="690"/>
      <c r="AH682" s="690"/>
      <c r="AI682" s="695"/>
      <c r="AJ682" s="695"/>
      <c r="AK682" s="692"/>
      <c r="AL682" s="692"/>
      <c r="AM682" s="693"/>
      <c r="AN682" s="688"/>
      <c r="AO682" s="688"/>
      <c r="AP682" s="688"/>
      <c r="AQ682" s="688"/>
      <c r="AR682" s="688"/>
      <c r="AS682" s="688"/>
      <c r="AT682" s="689"/>
      <c r="AU682" s="689"/>
      <c r="AV682" s="690"/>
      <c r="AW682" s="690"/>
      <c r="AX682" s="690"/>
      <c r="AY682" s="690"/>
      <c r="AZ682" s="690"/>
      <c r="BA682" s="690"/>
      <c r="BB682" s="695"/>
      <c r="BC682" s="695"/>
      <c r="BD682" s="695"/>
      <c r="BE682" s="695"/>
      <c r="BF682" s="692"/>
      <c r="BG682" s="692"/>
      <c r="BH682" s="692"/>
      <c r="BI682" s="692"/>
      <c r="BJ682" s="692"/>
      <c r="BK682" s="692"/>
      <c r="BL682" s="693"/>
      <c r="BM682" s="693"/>
      <c r="BN682" s="688"/>
      <c r="BO682" s="693"/>
      <c r="BP682" s="689"/>
      <c r="BQ682" s="694"/>
      <c r="BR682" s="687"/>
      <c r="BS682" s="687"/>
      <c r="BT682" s="687"/>
      <c r="BU682" s="687"/>
      <c r="BV682" s="687"/>
      <c r="BW682" s="688"/>
      <c r="BX682" s="688"/>
      <c r="BY682" s="689"/>
      <c r="BZ682" s="690"/>
      <c r="CA682" s="690"/>
      <c r="CB682" s="690"/>
      <c r="CC682" s="691"/>
      <c r="CD682" s="691"/>
      <c r="CE682" s="692"/>
      <c r="CF682" s="692"/>
      <c r="CG682" s="692"/>
      <c r="CH682" s="693"/>
    </row>
    <row r="683">
      <c r="B683" s="687"/>
      <c r="C683" s="687"/>
      <c r="D683" s="688"/>
      <c r="E683" s="689"/>
      <c r="F683" s="690"/>
      <c r="G683" s="690"/>
      <c r="H683" s="690"/>
      <c r="I683" s="691"/>
      <c r="J683" s="691"/>
      <c r="K683" s="691"/>
      <c r="L683" s="692"/>
      <c r="M683" s="692"/>
      <c r="N683" s="692"/>
      <c r="O683" s="693"/>
      <c r="P683" s="688"/>
      <c r="Q683" s="688"/>
      <c r="R683" s="688"/>
      <c r="S683" s="688"/>
      <c r="T683" s="689"/>
      <c r="U683" s="689"/>
      <c r="V683" s="694"/>
      <c r="W683" s="694"/>
      <c r="X683" s="694"/>
      <c r="Y683" s="694"/>
      <c r="Z683" s="693"/>
      <c r="AA683" s="693"/>
      <c r="AB683" s="693"/>
      <c r="AC683" s="693"/>
      <c r="AD683" s="688"/>
      <c r="AE683" s="689"/>
      <c r="AF683" s="689"/>
      <c r="AG683" s="690"/>
      <c r="AH683" s="690"/>
      <c r="AI683" s="695"/>
      <c r="AJ683" s="695"/>
      <c r="AK683" s="692"/>
      <c r="AL683" s="692"/>
      <c r="AM683" s="693"/>
      <c r="AN683" s="688"/>
      <c r="AO683" s="688"/>
      <c r="AP683" s="688"/>
      <c r="AQ683" s="688"/>
      <c r="AR683" s="688"/>
      <c r="AS683" s="688"/>
      <c r="AT683" s="689"/>
      <c r="AU683" s="689"/>
      <c r="AV683" s="690"/>
      <c r="AW683" s="690"/>
      <c r="AX683" s="690"/>
      <c r="AY683" s="690"/>
      <c r="AZ683" s="690"/>
      <c r="BA683" s="690"/>
      <c r="BB683" s="695"/>
      <c r="BC683" s="695"/>
      <c r="BD683" s="695"/>
      <c r="BE683" s="695"/>
      <c r="BF683" s="692"/>
      <c r="BG683" s="692"/>
      <c r="BH683" s="692"/>
      <c r="BI683" s="692"/>
      <c r="BJ683" s="692"/>
      <c r="BK683" s="692"/>
      <c r="BL683" s="693"/>
      <c r="BM683" s="693"/>
      <c r="BN683" s="688"/>
      <c r="BO683" s="693"/>
      <c r="BP683" s="689"/>
      <c r="BQ683" s="694"/>
      <c r="BR683" s="687"/>
      <c r="BS683" s="687"/>
      <c r="BT683" s="687"/>
      <c r="BU683" s="687"/>
      <c r="BV683" s="687"/>
      <c r="BW683" s="688"/>
      <c r="BX683" s="688"/>
      <c r="BY683" s="689"/>
      <c r="BZ683" s="690"/>
      <c r="CA683" s="690"/>
      <c r="CB683" s="690"/>
      <c r="CC683" s="691"/>
      <c r="CD683" s="691"/>
      <c r="CE683" s="692"/>
      <c r="CF683" s="692"/>
      <c r="CG683" s="692"/>
      <c r="CH683" s="693"/>
    </row>
    <row r="684">
      <c r="B684" s="687"/>
      <c r="C684" s="687"/>
      <c r="D684" s="688"/>
      <c r="E684" s="689"/>
      <c r="F684" s="690"/>
      <c r="G684" s="690"/>
      <c r="H684" s="690"/>
      <c r="I684" s="691"/>
      <c r="J684" s="691"/>
      <c r="K684" s="691"/>
      <c r="L684" s="692"/>
      <c r="M684" s="692"/>
      <c r="N684" s="692"/>
      <c r="O684" s="693"/>
      <c r="P684" s="688"/>
      <c r="Q684" s="688"/>
      <c r="R684" s="688"/>
      <c r="S684" s="688"/>
      <c r="T684" s="689"/>
      <c r="U684" s="689"/>
      <c r="V684" s="694"/>
      <c r="W684" s="694"/>
      <c r="X684" s="694"/>
      <c r="Y684" s="694"/>
      <c r="Z684" s="693"/>
      <c r="AA684" s="693"/>
      <c r="AB684" s="693"/>
      <c r="AC684" s="693"/>
      <c r="AD684" s="688"/>
      <c r="AE684" s="689"/>
      <c r="AF684" s="689"/>
      <c r="AG684" s="690"/>
      <c r="AH684" s="690"/>
      <c r="AI684" s="695"/>
      <c r="AJ684" s="695"/>
      <c r="AK684" s="692"/>
      <c r="AL684" s="692"/>
      <c r="AM684" s="693"/>
      <c r="AN684" s="688"/>
      <c r="AO684" s="688"/>
      <c r="AP684" s="688"/>
      <c r="AQ684" s="688"/>
      <c r="AR684" s="688"/>
      <c r="AS684" s="688"/>
      <c r="AT684" s="689"/>
      <c r="AU684" s="689"/>
      <c r="AV684" s="690"/>
      <c r="AW684" s="690"/>
      <c r="AX684" s="690"/>
      <c r="AY684" s="690"/>
      <c r="AZ684" s="690"/>
      <c r="BA684" s="690"/>
      <c r="BB684" s="695"/>
      <c r="BC684" s="695"/>
      <c r="BD684" s="695"/>
      <c r="BE684" s="695"/>
      <c r="BF684" s="692"/>
      <c r="BG684" s="692"/>
      <c r="BH684" s="692"/>
      <c r="BI684" s="692"/>
      <c r="BJ684" s="692"/>
      <c r="BK684" s="692"/>
      <c r="BL684" s="693"/>
      <c r="BM684" s="693"/>
      <c r="BN684" s="688"/>
      <c r="BO684" s="693"/>
      <c r="BP684" s="689"/>
      <c r="BQ684" s="694"/>
      <c r="BR684" s="687"/>
      <c r="BS684" s="687"/>
      <c r="BT684" s="687"/>
      <c r="BU684" s="687"/>
      <c r="BV684" s="687"/>
      <c r="BW684" s="688"/>
      <c r="BX684" s="688"/>
      <c r="BY684" s="689"/>
      <c r="BZ684" s="690"/>
      <c r="CA684" s="690"/>
      <c r="CB684" s="690"/>
      <c r="CC684" s="691"/>
      <c r="CD684" s="691"/>
      <c r="CE684" s="692"/>
      <c r="CF684" s="692"/>
      <c r="CG684" s="692"/>
      <c r="CH684" s="693"/>
    </row>
    <row r="685">
      <c r="B685" s="687"/>
      <c r="C685" s="687"/>
      <c r="D685" s="688"/>
      <c r="E685" s="689"/>
      <c r="F685" s="690"/>
      <c r="G685" s="690"/>
      <c r="H685" s="690"/>
      <c r="I685" s="691"/>
      <c r="J685" s="691"/>
      <c r="K685" s="691"/>
      <c r="L685" s="692"/>
      <c r="M685" s="692"/>
      <c r="N685" s="692"/>
      <c r="O685" s="693"/>
      <c r="P685" s="688"/>
      <c r="Q685" s="688"/>
      <c r="R685" s="688"/>
      <c r="S685" s="688"/>
      <c r="T685" s="689"/>
      <c r="U685" s="689"/>
      <c r="V685" s="694"/>
      <c r="W685" s="694"/>
      <c r="X685" s="694"/>
      <c r="Y685" s="694"/>
      <c r="Z685" s="693"/>
      <c r="AA685" s="693"/>
      <c r="AB685" s="693"/>
      <c r="AC685" s="693"/>
      <c r="AD685" s="688"/>
      <c r="AE685" s="689"/>
      <c r="AF685" s="689"/>
      <c r="AG685" s="690"/>
      <c r="AH685" s="690"/>
      <c r="AI685" s="695"/>
      <c r="AJ685" s="695"/>
      <c r="AK685" s="692"/>
      <c r="AL685" s="692"/>
      <c r="AM685" s="693"/>
      <c r="AN685" s="688"/>
      <c r="AO685" s="688"/>
      <c r="AP685" s="688"/>
      <c r="AQ685" s="688"/>
      <c r="AR685" s="688"/>
      <c r="AS685" s="688"/>
      <c r="AT685" s="689"/>
      <c r="AU685" s="689"/>
      <c r="AV685" s="690"/>
      <c r="AW685" s="690"/>
      <c r="AX685" s="690"/>
      <c r="AY685" s="690"/>
      <c r="AZ685" s="690"/>
      <c r="BA685" s="690"/>
      <c r="BB685" s="695"/>
      <c r="BC685" s="695"/>
      <c r="BD685" s="695"/>
      <c r="BE685" s="695"/>
      <c r="BF685" s="692"/>
      <c r="BG685" s="692"/>
      <c r="BH685" s="692"/>
      <c r="BI685" s="692"/>
      <c r="BJ685" s="692"/>
      <c r="BK685" s="692"/>
      <c r="BL685" s="693"/>
      <c r="BM685" s="693"/>
      <c r="BN685" s="688"/>
      <c r="BO685" s="693"/>
      <c r="BP685" s="689"/>
      <c r="BQ685" s="694"/>
      <c r="BR685" s="687"/>
      <c r="BS685" s="687"/>
      <c r="BT685" s="687"/>
      <c r="BU685" s="687"/>
      <c r="BV685" s="687"/>
      <c r="BW685" s="688"/>
      <c r="BX685" s="688"/>
      <c r="BY685" s="689"/>
      <c r="BZ685" s="690"/>
      <c r="CA685" s="690"/>
      <c r="CB685" s="690"/>
      <c r="CC685" s="691"/>
      <c r="CD685" s="691"/>
      <c r="CE685" s="692"/>
      <c r="CF685" s="692"/>
      <c r="CG685" s="692"/>
      <c r="CH685" s="693"/>
    </row>
    <row r="686">
      <c r="B686" s="687"/>
      <c r="C686" s="687"/>
      <c r="D686" s="688"/>
      <c r="E686" s="689"/>
      <c r="F686" s="690"/>
      <c r="G686" s="690"/>
      <c r="H686" s="690"/>
      <c r="I686" s="691"/>
      <c r="J686" s="691"/>
      <c r="K686" s="691"/>
      <c r="L686" s="692"/>
      <c r="M686" s="692"/>
      <c r="N686" s="692"/>
      <c r="O686" s="693"/>
      <c r="P686" s="688"/>
      <c r="Q686" s="688"/>
      <c r="R686" s="688"/>
      <c r="S686" s="688"/>
      <c r="T686" s="689"/>
      <c r="U686" s="689"/>
      <c r="V686" s="694"/>
      <c r="W686" s="694"/>
      <c r="X686" s="694"/>
      <c r="Y686" s="694"/>
      <c r="Z686" s="693"/>
      <c r="AA686" s="693"/>
      <c r="AB686" s="693"/>
      <c r="AC686" s="693"/>
      <c r="AD686" s="688"/>
      <c r="AE686" s="689"/>
      <c r="AF686" s="689"/>
      <c r="AG686" s="690"/>
      <c r="AH686" s="690"/>
      <c r="AI686" s="695"/>
      <c r="AJ686" s="695"/>
      <c r="AK686" s="692"/>
      <c r="AL686" s="692"/>
      <c r="AM686" s="693"/>
      <c r="AN686" s="688"/>
      <c r="AO686" s="688"/>
      <c r="AP686" s="688"/>
      <c r="AQ686" s="688"/>
      <c r="AR686" s="688"/>
      <c r="AS686" s="688"/>
      <c r="AT686" s="689"/>
      <c r="AU686" s="689"/>
      <c r="AV686" s="690"/>
      <c r="AW686" s="690"/>
      <c r="AX686" s="690"/>
      <c r="AY686" s="690"/>
      <c r="AZ686" s="690"/>
      <c r="BA686" s="690"/>
      <c r="BB686" s="695"/>
      <c r="BC686" s="695"/>
      <c r="BD686" s="695"/>
      <c r="BE686" s="695"/>
      <c r="BF686" s="692"/>
      <c r="BG686" s="692"/>
      <c r="BH686" s="692"/>
      <c r="BI686" s="692"/>
      <c r="BJ686" s="692"/>
      <c r="BK686" s="692"/>
      <c r="BL686" s="693"/>
      <c r="BM686" s="693"/>
      <c r="BN686" s="688"/>
      <c r="BO686" s="693"/>
      <c r="BP686" s="689"/>
      <c r="BQ686" s="694"/>
      <c r="BR686" s="687"/>
      <c r="BS686" s="687"/>
      <c r="BT686" s="687"/>
      <c r="BU686" s="687"/>
      <c r="BV686" s="687"/>
      <c r="BW686" s="688"/>
      <c r="BX686" s="688"/>
      <c r="BY686" s="689"/>
      <c r="BZ686" s="690"/>
      <c r="CA686" s="690"/>
      <c r="CB686" s="690"/>
      <c r="CC686" s="691"/>
      <c r="CD686" s="691"/>
      <c r="CE686" s="692"/>
      <c r="CF686" s="692"/>
      <c r="CG686" s="692"/>
      <c r="CH686" s="693"/>
    </row>
    <row r="687">
      <c r="B687" s="687"/>
      <c r="C687" s="687"/>
      <c r="D687" s="688"/>
      <c r="E687" s="689"/>
      <c r="F687" s="690"/>
      <c r="G687" s="690"/>
      <c r="H687" s="690"/>
      <c r="I687" s="691"/>
      <c r="J687" s="691"/>
      <c r="K687" s="691"/>
      <c r="L687" s="692"/>
      <c r="M687" s="692"/>
      <c r="N687" s="692"/>
      <c r="O687" s="693"/>
      <c r="P687" s="688"/>
      <c r="Q687" s="688"/>
      <c r="R687" s="688"/>
      <c r="S687" s="688"/>
      <c r="T687" s="689"/>
      <c r="U687" s="689"/>
      <c r="V687" s="694"/>
      <c r="W687" s="694"/>
      <c r="X687" s="694"/>
      <c r="Y687" s="694"/>
      <c r="Z687" s="693"/>
      <c r="AA687" s="693"/>
      <c r="AB687" s="693"/>
      <c r="AC687" s="693"/>
      <c r="AD687" s="688"/>
      <c r="AE687" s="689"/>
      <c r="AF687" s="689"/>
      <c r="AG687" s="690"/>
      <c r="AH687" s="690"/>
      <c r="AI687" s="695"/>
      <c r="AJ687" s="695"/>
      <c r="AK687" s="692"/>
      <c r="AL687" s="692"/>
      <c r="AM687" s="693"/>
      <c r="AN687" s="688"/>
      <c r="AO687" s="688"/>
      <c r="AP687" s="688"/>
      <c r="AQ687" s="688"/>
      <c r="AR687" s="688"/>
      <c r="AS687" s="688"/>
      <c r="AT687" s="689"/>
      <c r="AU687" s="689"/>
      <c r="AV687" s="690"/>
      <c r="AW687" s="690"/>
      <c r="AX687" s="690"/>
      <c r="AY687" s="690"/>
      <c r="AZ687" s="690"/>
      <c r="BA687" s="690"/>
      <c r="BB687" s="695"/>
      <c r="BC687" s="695"/>
      <c r="BD687" s="695"/>
      <c r="BE687" s="695"/>
      <c r="BF687" s="692"/>
      <c r="BG687" s="692"/>
      <c r="BH687" s="692"/>
      <c r="BI687" s="692"/>
      <c r="BJ687" s="692"/>
      <c r="BK687" s="692"/>
      <c r="BL687" s="693"/>
      <c r="BM687" s="693"/>
      <c r="BN687" s="688"/>
      <c r="BO687" s="693"/>
      <c r="BP687" s="689"/>
      <c r="BQ687" s="694"/>
      <c r="BR687" s="687"/>
      <c r="BS687" s="687"/>
      <c r="BT687" s="687"/>
      <c r="BU687" s="687"/>
      <c r="BV687" s="687"/>
      <c r="BW687" s="688"/>
      <c r="BX687" s="688"/>
      <c r="BY687" s="689"/>
      <c r="BZ687" s="690"/>
      <c r="CA687" s="690"/>
      <c r="CB687" s="690"/>
      <c r="CC687" s="691"/>
      <c r="CD687" s="691"/>
      <c r="CE687" s="692"/>
      <c r="CF687" s="692"/>
      <c r="CG687" s="692"/>
      <c r="CH687" s="693"/>
    </row>
    <row r="688">
      <c r="B688" s="687"/>
      <c r="C688" s="687"/>
      <c r="D688" s="688"/>
      <c r="E688" s="689"/>
      <c r="F688" s="690"/>
      <c r="G688" s="690"/>
      <c r="H688" s="690"/>
      <c r="I688" s="691"/>
      <c r="J688" s="691"/>
      <c r="K688" s="691"/>
      <c r="L688" s="692"/>
      <c r="M688" s="692"/>
      <c r="N688" s="692"/>
      <c r="O688" s="693"/>
      <c r="P688" s="688"/>
      <c r="Q688" s="688"/>
      <c r="R688" s="688"/>
      <c r="S688" s="688"/>
      <c r="T688" s="689"/>
      <c r="U688" s="689"/>
      <c r="V688" s="694"/>
      <c r="W688" s="694"/>
      <c r="X688" s="694"/>
      <c r="Y688" s="694"/>
      <c r="Z688" s="693"/>
      <c r="AA688" s="693"/>
      <c r="AB688" s="693"/>
      <c r="AC688" s="693"/>
      <c r="AD688" s="688"/>
      <c r="AE688" s="689"/>
      <c r="AF688" s="689"/>
      <c r="AG688" s="690"/>
      <c r="AH688" s="690"/>
      <c r="AI688" s="695"/>
      <c r="AJ688" s="695"/>
      <c r="AK688" s="692"/>
      <c r="AL688" s="692"/>
      <c r="AM688" s="693"/>
      <c r="AN688" s="688"/>
      <c r="AO688" s="688"/>
      <c r="AP688" s="688"/>
      <c r="AQ688" s="688"/>
      <c r="AR688" s="688"/>
      <c r="AS688" s="688"/>
      <c r="AT688" s="689"/>
      <c r="AU688" s="689"/>
      <c r="AV688" s="690"/>
      <c r="AW688" s="690"/>
      <c r="AX688" s="690"/>
      <c r="AY688" s="690"/>
      <c r="AZ688" s="690"/>
      <c r="BA688" s="690"/>
      <c r="BB688" s="695"/>
      <c r="BC688" s="695"/>
      <c r="BD688" s="695"/>
      <c r="BE688" s="695"/>
      <c r="BF688" s="692"/>
      <c r="BG688" s="692"/>
      <c r="BH688" s="692"/>
      <c r="BI688" s="692"/>
      <c r="BJ688" s="692"/>
      <c r="BK688" s="692"/>
      <c r="BL688" s="693"/>
      <c r="BM688" s="693"/>
      <c r="BN688" s="688"/>
      <c r="BO688" s="693"/>
      <c r="BP688" s="689"/>
      <c r="BQ688" s="694"/>
      <c r="BR688" s="687"/>
      <c r="BS688" s="687"/>
      <c r="BT688" s="687"/>
      <c r="BU688" s="687"/>
      <c r="BV688" s="687"/>
      <c r="BW688" s="688"/>
      <c r="BX688" s="688"/>
      <c r="BY688" s="689"/>
      <c r="BZ688" s="690"/>
      <c r="CA688" s="690"/>
      <c r="CB688" s="690"/>
      <c r="CC688" s="691"/>
      <c r="CD688" s="691"/>
      <c r="CE688" s="692"/>
      <c r="CF688" s="692"/>
      <c r="CG688" s="692"/>
      <c r="CH688" s="693"/>
    </row>
    <row r="689">
      <c r="B689" s="687"/>
      <c r="C689" s="687"/>
      <c r="D689" s="688"/>
      <c r="E689" s="689"/>
      <c r="F689" s="690"/>
      <c r="G689" s="690"/>
      <c r="H689" s="690"/>
      <c r="I689" s="691"/>
      <c r="J689" s="691"/>
      <c r="K689" s="691"/>
      <c r="L689" s="692"/>
      <c r="M689" s="692"/>
      <c r="N689" s="692"/>
      <c r="O689" s="693"/>
      <c r="P689" s="688"/>
      <c r="Q689" s="688"/>
      <c r="R689" s="688"/>
      <c r="S689" s="688"/>
      <c r="T689" s="689"/>
      <c r="U689" s="689"/>
      <c r="V689" s="694"/>
      <c r="W689" s="694"/>
      <c r="X689" s="694"/>
      <c r="Y689" s="694"/>
      <c r="Z689" s="693"/>
      <c r="AA689" s="693"/>
      <c r="AB689" s="693"/>
      <c r="AC689" s="693"/>
      <c r="AD689" s="688"/>
      <c r="AE689" s="689"/>
      <c r="AF689" s="689"/>
      <c r="AG689" s="690"/>
      <c r="AH689" s="690"/>
      <c r="AI689" s="695"/>
      <c r="AJ689" s="695"/>
      <c r="AK689" s="692"/>
      <c r="AL689" s="692"/>
      <c r="AM689" s="693"/>
      <c r="AN689" s="688"/>
      <c r="AO689" s="688"/>
      <c r="AP689" s="688"/>
      <c r="AQ689" s="688"/>
      <c r="AR689" s="688"/>
      <c r="AS689" s="688"/>
      <c r="AT689" s="689"/>
      <c r="AU689" s="689"/>
      <c r="AV689" s="690"/>
      <c r="AW689" s="690"/>
      <c r="AX689" s="690"/>
      <c r="AY689" s="690"/>
      <c r="AZ689" s="690"/>
      <c r="BA689" s="690"/>
      <c r="BB689" s="695"/>
      <c r="BC689" s="695"/>
      <c r="BD689" s="695"/>
      <c r="BE689" s="695"/>
      <c r="BF689" s="692"/>
      <c r="BG689" s="692"/>
      <c r="BH689" s="692"/>
      <c r="BI689" s="692"/>
      <c r="BJ689" s="692"/>
      <c r="BK689" s="692"/>
      <c r="BL689" s="693"/>
      <c r="BM689" s="693"/>
      <c r="BN689" s="688"/>
      <c r="BO689" s="693"/>
      <c r="BP689" s="689"/>
      <c r="BQ689" s="694"/>
      <c r="BR689" s="687"/>
      <c r="BS689" s="687"/>
      <c r="BT689" s="687"/>
      <c r="BU689" s="687"/>
      <c r="BV689" s="687"/>
      <c r="BW689" s="688"/>
      <c r="BX689" s="688"/>
      <c r="BY689" s="689"/>
      <c r="BZ689" s="690"/>
      <c r="CA689" s="690"/>
      <c r="CB689" s="690"/>
      <c r="CC689" s="691"/>
      <c r="CD689" s="691"/>
      <c r="CE689" s="692"/>
      <c r="CF689" s="692"/>
      <c r="CG689" s="692"/>
      <c r="CH689" s="693"/>
    </row>
    <row r="690">
      <c r="B690" s="687"/>
      <c r="C690" s="687"/>
      <c r="D690" s="688"/>
      <c r="E690" s="689"/>
      <c r="F690" s="690"/>
      <c r="G690" s="690"/>
      <c r="H690" s="690"/>
      <c r="I690" s="691"/>
      <c r="J690" s="691"/>
      <c r="K690" s="691"/>
      <c r="L690" s="692"/>
      <c r="M690" s="692"/>
      <c r="N690" s="692"/>
      <c r="O690" s="693"/>
      <c r="P690" s="688"/>
      <c r="Q690" s="688"/>
      <c r="R690" s="688"/>
      <c r="S690" s="688"/>
      <c r="T690" s="689"/>
      <c r="U690" s="689"/>
      <c r="V690" s="694"/>
      <c r="W690" s="694"/>
      <c r="X690" s="694"/>
      <c r="Y690" s="694"/>
      <c r="Z690" s="693"/>
      <c r="AA690" s="693"/>
      <c r="AB690" s="693"/>
      <c r="AC690" s="693"/>
      <c r="AD690" s="688"/>
      <c r="AE690" s="689"/>
      <c r="AF690" s="689"/>
      <c r="AG690" s="690"/>
      <c r="AH690" s="690"/>
      <c r="AI690" s="695"/>
      <c r="AJ690" s="695"/>
      <c r="AK690" s="692"/>
      <c r="AL690" s="692"/>
      <c r="AM690" s="693"/>
      <c r="AN690" s="688"/>
      <c r="AO690" s="688"/>
      <c r="AP690" s="688"/>
      <c r="AQ690" s="688"/>
      <c r="AR690" s="688"/>
      <c r="AS690" s="688"/>
      <c r="AT690" s="689"/>
      <c r="AU690" s="689"/>
      <c r="AV690" s="690"/>
      <c r="AW690" s="690"/>
      <c r="AX690" s="690"/>
      <c r="AY690" s="690"/>
      <c r="AZ690" s="690"/>
      <c r="BA690" s="690"/>
      <c r="BB690" s="695"/>
      <c r="BC690" s="695"/>
      <c r="BD690" s="695"/>
      <c r="BE690" s="695"/>
      <c r="BF690" s="692"/>
      <c r="BG690" s="692"/>
      <c r="BH690" s="692"/>
      <c r="BI690" s="692"/>
      <c r="BJ690" s="692"/>
      <c r="BK690" s="692"/>
      <c r="BL690" s="693"/>
      <c r="BM690" s="693"/>
      <c r="BN690" s="688"/>
      <c r="BO690" s="693"/>
      <c r="BP690" s="689"/>
      <c r="BQ690" s="694"/>
      <c r="BR690" s="687"/>
      <c r="BS690" s="687"/>
      <c r="BT690" s="687"/>
      <c r="BU690" s="687"/>
      <c r="BV690" s="687"/>
      <c r="BW690" s="688"/>
      <c r="BX690" s="688"/>
      <c r="BY690" s="689"/>
      <c r="BZ690" s="690"/>
      <c r="CA690" s="690"/>
      <c r="CB690" s="690"/>
      <c r="CC690" s="691"/>
      <c r="CD690" s="691"/>
      <c r="CE690" s="692"/>
      <c r="CF690" s="692"/>
      <c r="CG690" s="692"/>
      <c r="CH690" s="693"/>
    </row>
    <row r="691">
      <c r="B691" s="687"/>
      <c r="C691" s="687"/>
      <c r="D691" s="688"/>
      <c r="E691" s="689"/>
      <c r="F691" s="690"/>
      <c r="G691" s="690"/>
      <c r="H691" s="690"/>
      <c r="I691" s="691"/>
      <c r="J691" s="691"/>
      <c r="K691" s="691"/>
      <c r="L691" s="692"/>
      <c r="M691" s="692"/>
      <c r="N691" s="692"/>
      <c r="O691" s="693"/>
      <c r="P691" s="688"/>
      <c r="Q691" s="688"/>
      <c r="R691" s="688"/>
      <c r="S691" s="688"/>
      <c r="T691" s="689"/>
      <c r="U691" s="689"/>
      <c r="V691" s="694"/>
      <c r="W691" s="694"/>
      <c r="X691" s="694"/>
      <c r="Y691" s="694"/>
      <c r="Z691" s="693"/>
      <c r="AA691" s="693"/>
      <c r="AB691" s="693"/>
      <c r="AC691" s="693"/>
      <c r="AD691" s="688"/>
      <c r="AE691" s="689"/>
      <c r="AF691" s="689"/>
      <c r="AG691" s="690"/>
      <c r="AH691" s="690"/>
      <c r="AI691" s="695"/>
      <c r="AJ691" s="695"/>
      <c r="AK691" s="692"/>
      <c r="AL691" s="692"/>
      <c r="AM691" s="693"/>
      <c r="AN691" s="688"/>
      <c r="AO691" s="688"/>
      <c r="AP691" s="688"/>
      <c r="AQ691" s="688"/>
      <c r="AR691" s="688"/>
      <c r="AS691" s="688"/>
      <c r="AT691" s="689"/>
      <c r="AU691" s="689"/>
      <c r="AV691" s="690"/>
      <c r="AW691" s="690"/>
      <c r="AX691" s="690"/>
      <c r="AY691" s="690"/>
      <c r="AZ691" s="690"/>
      <c r="BA691" s="690"/>
      <c r="BB691" s="695"/>
      <c r="BC691" s="695"/>
      <c r="BD691" s="695"/>
      <c r="BE691" s="695"/>
      <c r="BF691" s="692"/>
      <c r="BG691" s="692"/>
      <c r="BH691" s="692"/>
      <c r="BI691" s="692"/>
      <c r="BJ691" s="692"/>
      <c r="BK691" s="692"/>
      <c r="BL691" s="693"/>
      <c r="BM691" s="693"/>
      <c r="BN691" s="688"/>
      <c r="BO691" s="693"/>
      <c r="BP691" s="689"/>
      <c r="BQ691" s="694"/>
      <c r="BR691" s="687"/>
      <c r="BS691" s="687"/>
      <c r="BT691" s="687"/>
      <c r="BU691" s="687"/>
      <c r="BV691" s="687"/>
      <c r="BW691" s="688"/>
      <c r="BX691" s="688"/>
      <c r="BY691" s="689"/>
      <c r="BZ691" s="690"/>
      <c r="CA691" s="690"/>
      <c r="CB691" s="690"/>
      <c r="CC691" s="691"/>
      <c r="CD691" s="691"/>
      <c r="CE691" s="692"/>
      <c r="CF691" s="692"/>
      <c r="CG691" s="692"/>
      <c r="CH691" s="693"/>
    </row>
    <row r="692">
      <c r="B692" s="687"/>
      <c r="C692" s="687"/>
      <c r="D692" s="688"/>
      <c r="E692" s="689"/>
      <c r="F692" s="690"/>
      <c r="G692" s="690"/>
      <c r="H692" s="690"/>
      <c r="I692" s="691"/>
      <c r="J692" s="691"/>
      <c r="K692" s="691"/>
      <c r="L692" s="692"/>
      <c r="M692" s="692"/>
      <c r="N692" s="692"/>
      <c r="O692" s="693"/>
      <c r="P692" s="688"/>
      <c r="Q692" s="688"/>
      <c r="R692" s="688"/>
      <c r="S692" s="688"/>
      <c r="T692" s="689"/>
      <c r="U692" s="689"/>
      <c r="V692" s="694"/>
      <c r="W692" s="694"/>
      <c r="X692" s="694"/>
      <c r="Y692" s="694"/>
      <c r="Z692" s="693"/>
      <c r="AA692" s="693"/>
      <c r="AB692" s="693"/>
      <c r="AC692" s="693"/>
      <c r="AD692" s="688"/>
      <c r="AE692" s="689"/>
      <c r="AF692" s="689"/>
      <c r="AG692" s="690"/>
      <c r="AH692" s="690"/>
      <c r="AI692" s="695"/>
      <c r="AJ692" s="695"/>
      <c r="AK692" s="692"/>
      <c r="AL692" s="692"/>
      <c r="AM692" s="693"/>
      <c r="AN692" s="688"/>
      <c r="AO692" s="688"/>
      <c r="AP692" s="688"/>
      <c r="AQ692" s="688"/>
      <c r="AR692" s="688"/>
      <c r="AS692" s="688"/>
      <c r="AT692" s="689"/>
      <c r="AU692" s="689"/>
      <c r="AV692" s="690"/>
      <c r="AW692" s="690"/>
      <c r="AX692" s="690"/>
      <c r="AY692" s="690"/>
      <c r="AZ692" s="690"/>
      <c r="BA692" s="690"/>
      <c r="BB692" s="695"/>
      <c r="BC692" s="695"/>
      <c r="BD692" s="695"/>
      <c r="BE692" s="695"/>
      <c r="BF692" s="692"/>
      <c r="BG692" s="692"/>
      <c r="BH692" s="692"/>
      <c r="BI692" s="692"/>
      <c r="BJ692" s="692"/>
      <c r="BK692" s="692"/>
      <c r="BL692" s="693"/>
      <c r="BM692" s="693"/>
      <c r="BN692" s="688"/>
      <c r="BO692" s="693"/>
      <c r="BP692" s="689"/>
      <c r="BQ692" s="694"/>
      <c r="BR692" s="687"/>
      <c r="BS692" s="687"/>
      <c r="BT692" s="687"/>
      <c r="BU692" s="687"/>
      <c r="BV692" s="687"/>
      <c r="BW692" s="688"/>
      <c r="BX692" s="688"/>
      <c r="BY692" s="689"/>
      <c r="BZ692" s="690"/>
      <c r="CA692" s="690"/>
      <c r="CB692" s="690"/>
      <c r="CC692" s="691"/>
      <c r="CD692" s="691"/>
      <c r="CE692" s="692"/>
      <c r="CF692" s="692"/>
      <c r="CG692" s="692"/>
      <c r="CH692" s="693"/>
    </row>
    <row r="693">
      <c r="B693" s="687"/>
      <c r="C693" s="687"/>
      <c r="D693" s="688"/>
      <c r="E693" s="689"/>
      <c r="F693" s="690"/>
      <c r="G693" s="690"/>
      <c r="H693" s="690"/>
      <c r="I693" s="691"/>
      <c r="J693" s="691"/>
      <c r="K693" s="691"/>
      <c r="L693" s="692"/>
      <c r="M693" s="692"/>
      <c r="N693" s="692"/>
      <c r="O693" s="693"/>
      <c r="P693" s="688"/>
      <c r="Q693" s="688"/>
      <c r="R693" s="688"/>
      <c r="S693" s="688"/>
      <c r="T693" s="689"/>
      <c r="U693" s="689"/>
      <c r="V693" s="694"/>
      <c r="W693" s="694"/>
      <c r="X693" s="694"/>
      <c r="Y693" s="694"/>
      <c r="Z693" s="693"/>
      <c r="AA693" s="693"/>
      <c r="AB693" s="693"/>
      <c r="AC693" s="693"/>
      <c r="AD693" s="688"/>
      <c r="AE693" s="689"/>
      <c r="AF693" s="689"/>
      <c r="AG693" s="690"/>
      <c r="AH693" s="690"/>
      <c r="AI693" s="695"/>
      <c r="AJ693" s="695"/>
      <c r="AK693" s="692"/>
      <c r="AL693" s="692"/>
      <c r="AM693" s="693"/>
      <c r="AN693" s="688"/>
      <c r="AO693" s="688"/>
      <c r="AP693" s="688"/>
      <c r="AQ693" s="688"/>
      <c r="AR693" s="688"/>
      <c r="AS693" s="688"/>
      <c r="AT693" s="689"/>
      <c r="AU693" s="689"/>
      <c r="AV693" s="690"/>
      <c r="AW693" s="690"/>
      <c r="AX693" s="690"/>
      <c r="AY693" s="690"/>
      <c r="AZ693" s="690"/>
      <c r="BA693" s="690"/>
      <c r="BB693" s="695"/>
      <c r="BC693" s="695"/>
      <c r="BD693" s="695"/>
      <c r="BE693" s="695"/>
      <c r="BF693" s="692"/>
      <c r="BG693" s="692"/>
      <c r="BH693" s="692"/>
      <c r="BI693" s="692"/>
      <c r="BJ693" s="692"/>
      <c r="BK693" s="692"/>
      <c r="BL693" s="693"/>
      <c r="BM693" s="693"/>
      <c r="BN693" s="688"/>
      <c r="BO693" s="693"/>
      <c r="BP693" s="689"/>
      <c r="BQ693" s="694"/>
      <c r="BR693" s="687"/>
      <c r="BS693" s="687"/>
      <c r="BT693" s="687"/>
      <c r="BU693" s="687"/>
      <c r="BV693" s="687"/>
      <c r="BW693" s="688"/>
      <c r="BX693" s="688"/>
      <c r="BY693" s="689"/>
      <c r="BZ693" s="690"/>
      <c r="CA693" s="690"/>
      <c r="CB693" s="690"/>
      <c r="CC693" s="691"/>
      <c r="CD693" s="691"/>
      <c r="CE693" s="692"/>
      <c r="CF693" s="692"/>
      <c r="CG693" s="692"/>
      <c r="CH693" s="693"/>
    </row>
    <row r="694">
      <c r="B694" s="687"/>
      <c r="C694" s="687"/>
      <c r="D694" s="688"/>
      <c r="E694" s="689"/>
      <c r="F694" s="690"/>
      <c r="G694" s="690"/>
      <c r="H694" s="690"/>
      <c r="I694" s="691"/>
      <c r="J694" s="691"/>
      <c r="K694" s="691"/>
      <c r="L694" s="692"/>
      <c r="M694" s="692"/>
      <c r="N694" s="692"/>
      <c r="O694" s="693"/>
      <c r="P694" s="688"/>
      <c r="Q694" s="688"/>
      <c r="R694" s="688"/>
      <c r="S694" s="688"/>
      <c r="T694" s="689"/>
      <c r="U694" s="689"/>
      <c r="V694" s="694"/>
      <c r="W694" s="694"/>
      <c r="X694" s="694"/>
      <c r="Y694" s="694"/>
      <c r="Z694" s="693"/>
      <c r="AA694" s="693"/>
      <c r="AB694" s="693"/>
      <c r="AC694" s="693"/>
      <c r="AD694" s="688"/>
      <c r="AE694" s="689"/>
      <c r="AF694" s="689"/>
      <c r="AG694" s="690"/>
      <c r="AH694" s="690"/>
      <c r="AI694" s="695"/>
      <c r="AJ694" s="695"/>
      <c r="AK694" s="692"/>
      <c r="AL694" s="692"/>
      <c r="AM694" s="693"/>
      <c r="AN694" s="688"/>
      <c r="AO694" s="688"/>
      <c r="AP694" s="688"/>
      <c r="AQ694" s="688"/>
      <c r="AR694" s="688"/>
      <c r="AS694" s="688"/>
      <c r="AT694" s="689"/>
      <c r="AU694" s="689"/>
      <c r="AV694" s="690"/>
      <c r="AW694" s="690"/>
      <c r="AX694" s="690"/>
      <c r="AY694" s="690"/>
      <c r="AZ694" s="690"/>
      <c r="BA694" s="690"/>
      <c r="BB694" s="695"/>
      <c r="BC694" s="695"/>
      <c r="BD694" s="695"/>
      <c r="BE694" s="695"/>
      <c r="BF694" s="692"/>
      <c r="BG694" s="692"/>
      <c r="BH694" s="692"/>
      <c r="BI694" s="692"/>
      <c r="BJ694" s="692"/>
      <c r="BK694" s="692"/>
      <c r="BL694" s="693"/>
      <c r="BM694" s="693"/>
      <c r="BN694" s="688"/>
      <c r="BO694" s="693"/>
      <c r="BP694" s="689"/>
      <c r="BQ694" s="694"/>
      <c r="BR694" s="687"/>
      <c r="BS694" s="687"/>
      <c r="BT694" s="687"/>
      <c r="BU694" s="687"/>
      <c r="BV694" s="687"/>
      <c r="BW694" s="688"/>
      <c r="BX694" s="688"/>
      <c r="BY694" s="689"/>
      <c r="BZ694" s="690"/>
      <c r="CA694" s="690"/>
      <c r="CB694" s="690"/>
      <c r="CC694" s="691"/>
      <c r="CD694" s="691"/>
      <c r="CE694" s="692"/>
      <c r="CF694" s="692"/>
      <c r="CG694" s="692"/>
      <c r="CH694" s="693"/>
    </row>
    <row r="695">
      <c r="B695" s="687"/>
      <c r="C695" s="687"/>
      <c r="D695" s="688"/>
      <c r="E695" s="689"/>
      <c r="F695" s="690"/>
      <c r="G695" s="690"/>
      <c r="H695" s="690"/>
      <c r="I695" s="691"/>
      <c r="J695" s="691"/>
      <c r="K695" s="691"/>
      <c r="L695" s="692"/>
      <c r="M695" s="692"/>
      <c r="N695" s="692"/>
      <c r="O695" s="693"/>
      <c r="P695" s="688"/>
      <c r="Q695" s="688"/>
      <c r="R695" s="688"/>
      <c r="S695" s="688"/>
      <c r="T695" s="689"/>
      <c r="U695" s="689"/>
      <c r="V695" s="694"/>
      <c r="W695" s="694"/>
      <c r="X695" s="694"/>
      <c r="Y695" s="694"/>
      <c r="Z695" s="693"/>
      <c r="AA695" s="693"/>
      <c r="AB695" s="693"/>
      <c r="AC695" s="693"/>
      <c r="AD695" s="688"/>
      <c r="AE695" s="689"/>
      <c r="AF695" s="689"/>
      <c r="AG695" s="690"/>
      <c r="AH695" s="690"/>
      <c r="AI695" s="695"/>
      <c r="AJ695" s="695"/>
      <c r="AK695" s="692"/>
      <c r="AL695" s="692"/>
      <c r="AM695" s="693"/>
      <c r="AN695" s="688"/>
      <c r="AO695" s="688"/>
      <c r="AP695" s="688"/>
      <c r="AQ695" s="688"/>
      <c r="AR695" s="688"/>
      <c r="AS695" s="688"/>
      <c r="AT695" s="689"/>
      <c r="AU695" s="689"/>
      <c r="AV695" s="690"/>
      <c r="AW695" s="690"/>
      <c r="AX695" s="690"/>
      <c r="AY695" s="690"/>
      <c r="AZ695" s="690"/>
      <c r="BA695" s="690"/>
      <c r="BB695" s="695"/>
      <c r="BC695" s="695"/>
      <c r="BD695" s="695"/>
      <c r="BE695" s="695"/>
      <c r="BF695" s="692"/>
      <c r="BG695" s="692"/>
      <c r="BH695" s="692"/>
      <c r="BI695" s="692"/>
      <c r="BJ695" s="692"/>
      <c r="BK695" s="692"/>
      <c r="BL695" s="693"/>
      <c r="BM695" s="693"/>
      <c r="BN695" s="688"/>
      <c r="BO695" s="693"/>
      <c r="BP695" s="689"/>
      <c r="BQ695" s="694"/>
      <c r="BR695" s="687"/>
      <c r="BS695" s="687"/>
      <c r="BT695" s="687"/>
      <c r="BU695" s="687"/>
      <c r="BV695" s="687"/>
      <c r="BW695" s="688"/>
      <c r="BX695" s="688"/>
      <c r="BY695" s="689"/>
      <c r="BZ695" s="690"/>
      <c r="CA695" s="690"/>
      <c r="CB695" s="690"/>
      <c r="CC695" s="691"/>
      <c r="CD695" s="691"/>
      <c r="CE695" s="692"/>
      <c r="CF695" s="692"/>
      <c r="CG695" s="692"/>
      <c r="CH695" s="693"/>
    </row>
    <row r="696">
      <c r="B696" s="687"/>
      <c r="C696" s="687"/>
      <c r="D696" s="688"/>
      <c r="E696" s="689"/>
      <c r="F696" s="690"/>
      <c r="G696" s="690"/>
      <c r="H696" s="690"/>
      <c r="I696" s="691"/>
      <c r="J696" s="691"/>
      <c r="K696" s="691"/>
      <c r="L696" s="692"/>
      <c r="M696" s="692"/>
      <c r="N696" s="692"/>
      <c r="O696" s="693"/>
      <c r="P696" s="688"/>
      <c r="Q696" s="688"/>
      <c r="R696" s="688"/>
      <c r="S696" s="688"/>
      <c r="T696" s="689"/>
      <c r="U696" s="689"/>
      <c r="V696" s="694"/>
      <c r="W696" s="694"/>
      <c r="X696" s="694"/>
      <c r="Y696" s="694"/>
      <c r="Z696" s="693"/>
      <c r="AA696" s="693"/>
      <c r="AB696" s="693"/>
      <c r="AC696" s="693"/>
      <c r="AD696" s="688"/>
      <c r="AE696" s="689"/>
      <c r="AF696" s="689"/>
      <c r="AG696" s="690"/>
      <c r="AH696" s="690"/>
      <c r="AI696" s="695"/>
      <c r="AJ696" s="695"/>
      <c r="AK696" s="692"/>
      <c r="AL696" s="692"/>
      <c r="AM696" s="693"/>
      <c r="AN696" s="688"/>
      <c r="AO696" s="688"/>
      <c r="AP696" s="688"/>
      <c r="AQ696" s="688"/>
      <c r="AR696" s="688"/>
      <c r="AS696" s="688"/>
      <c r="AT696" s="689"/>
      <c r="AU696" s="689"/>
      <c r="AV696" s="690"/>
      <c r="AW696" s="690"/>
      <c r="AX696" s="690"/>
      <c r="AY696" s="690"/>
      <c r="AZ696" s="690"/>
      <c r="BA696" s="690"/>
      <c r="BB696" s="695"/>
      <c r="BC696" s="695"/>
      <c r="BD696" s="695"/>
      <c r="BE696" s="695"/>
      <c r="BF696" s="692"/>
      <c r="BG696" s="692"/>
      <c r="BH696" s="692"/>
      <c r="BI696" s="692"/>
      <c r="BJ696" s="692"/>
      <c r="BK696" s="692"/>
      <c r="BL696" s="693"/>
      <c r="BM696" s="693"/>
      <c r="BN696" s="688"/>
      <c r="BO696" s="693"/>
      <c r="BP696" s="689"/>
      <c r="BQ696" s="694"/>
      <c r="BR696" s="687"/>
      <c r="BS696" s="687"/>
      <c r="BT696" s="687"/>
      <c r="BU696" s="687"/>
      <c r="BV696" s="687"/>
      <c r="BW696" s="688"/>
      <c r="BX696" s="688"/>
      <c r="BY696" s="689"/>
      <c r="BZ696" s="690"/>
      <c r="CA696" s="690"/>
      <c r="CB696" s="690"/>
      <c r="CC696" s="691"/>
      <c r="CD696" s="691"/>
      <c r="CE696" s="692"/>
      <c r="CF696" s="692"/>
      <c r="CG696" s="692"/>
      <c r="CH696" s="693"/>
    </row>
    <row r="697">
      <c r="B697" s="687"/>
      <c r="C697" s="687"/>
      <c r="D697" s="688"/>
      <c r="E697" s="689"/>
      <c r="F697" s="690"/>
      <c r="G697" s="690"/>
      <c r="H697" s="690"/>
      <c r="I697" s="691"/>
      <c r="J697" s="691"/>
      <c r="K697" s="691"/>
      <c r="L697" s="692"/>
      <c r="M697" s="692"/>
      <c r="N697" s="692"/>
      <c r="O697" s="693"/>
      <c r="P697" s="688"/>
      <c r="Q697" s="688"/>
      <c r="R697" s="688"/>
      <c r="S697" s="688"/>
      <c r="T697" s="689"/>
      <c r="U697" s="689"/>
      <c r="V697" s="694"/>
      <c r="W697" s="694"/>
      <c r="X697" s="694"/>
      <c r="Y697" s="694"/>
      <c r="Z697" s="693"/>
      <c r="AA697" s="693"/>
      <c r="AB697" s="693"/>
      <c r="AC697" s="693"/>
      <c r="AD697" s="688"/>
      <c r="AE697" s="689"/>
      <c r="AF697" s="689"/>
      <c r="AG697" s="690"/>
      <c r="AH697" s="690"/>
      <c r="AI697" s="695"/>
      <c r="AJ697" s="695"/>
      <c r="AK697" s="692"/>
      <c r="AL697" s="692"/>
      <c r="AM697" s="693"/>
      <c r="AN697" s="688"/>
      <c r="AO697" s="688"/>
      <c r="AP697" s="688"/>
      <c r="AQ697" s="688"/>
      <c r="AR697" s="688"/>
      <c r="AS697" s="688"/>
      <c r="AT697" s="689"/>
      <c r="AU697" s="689"/>
      <c r="AV697" s="690"/>
      <c r="AW697" s="690"/>
      <c r="AX697" s="690"/>
      <c r="AY697" s="690"/>
      <c r="AZ697" s="690"/>
      <c r="BA697" s="690"/>
      <c r="BB697" s="695"/>
      <c r="BC697" s="695"/>
      <c r="BD697" s="695"/>
      <c r="BE697" s="695"/>
      <c r="BF697" s="692"/>
      <c r="BG697" s="692"/>
      <c r="BH697" s="692"/>
      <c r="BI697" s="692"/>
      <c r="BJ697" s="692"/>
      <c r="BK697" s="692"/>
      <c r="BL697" s="693"/>
      <c r="BM697" s="693"/>
      <c r="BN697" s="688"/>
      <c r="BO697" s="693"/>
      <c r="BP697" s="689"/>
      <c r="BQ697" s="694"/>
      <c r="BR697" s="687"/>
      <c r="BS697" s="687"/>
      <c r="BT697" s="687"/>
      <c r="BU697" s="687"/>
      <c r="BV697" s="687"/>
      <c r="BW697" s="688"/>
      <c r="BX697" s="688"/>
      <c r="BY697" s="689"/>
      <c r="BZ697" s="690"/>
      <c r="CA697" s="690"/>
      <c r="CB697" s="690"/>
      <c r="CC697" s="691"/>
      <c r="CD697" s="691"/>
      <c r="CE697" s="692"/>
      <c r="CF697" s="692"/>
      <c r="CG697" s="692"/>
      <c r="CH697" s="693"/>
    </row>
    <row r="698">
      <c r="B698" s="687"/>
      <c r="C698" s="687"/>
      <c r="D698" s="688"/>
      <c r="E698" s="689"/>
      <c r="F698" s="690"/>
      <c r="G698" s="690"/>
      <c r="H698" s="690"/>
      <c r="I698" s="691"/>
      <c r="J698" s="691"/>
      <c r="K698" s="691"/>
      <c r="L698" s="692"/>
      <c r="M698" s="692"/>
      <c r="N698" s="692"/>
      <c r="O698" s="693"/>
      <c r="P698" s="688"/>
      <c r="Q698" s="688"/>
      <c r="R698" s="688"/>
      <c r="S698" s="688"/>
      <c r="T698" s="689"/>
      <c r="U698" s="689"/>
      <c r="V698" s="694"/>
      <c r="W698" s="694"/>
      <c r="X698" s="694"/>
      <c r="Y698" s="694"/>
      <c r="Z698" s="693"/>
      <c r="AA698" s="693"/>
      <c r="AB698" s="693"/>
      <c r="AC698" s="693"/>
      <c r="AD698" s="688"/>
      <c r="AE698" s="689"/>
      <c r="AF698" s="689"/>
      <c r="AG698" s="690"/>
      <c r="AH698" s="690"/>
      <c r="AI698" s="695"/>
      <c r="AJ698" s="695"/>
      <c r="AK698" s="692"/>
      <c r="AL698" s="692"/>
      <c r="AM698" s="693"/>
      <c r="AN698" s="688"/>
      <c r="AO698" s="688"/>
      <c r="AP698" s="688"/>
      <c r="AQ698" s="688"/>
      <c r="AR698" s="688"/>
      <c r="AS698" s="688"/>
      <c r="AT698" s="689"/>
      <c r="AU698" s="689"/>
      <c r="AV698" s="690"/>
      <c r="AW698" s="690"/>
      <c r="AX698" s="690"/>
      <c r="AY698" s="690"/>
      <c r="AZ698" s="690"/>
      <c r="BA698" s="690"/>
      <c r="BB698" s="695"/>
      <c r="BC698" s="695"/>
      <c r="BD698" s="695"/>
      <c r="BE698" s="695"/>
      <c r="BF698" s="692"/>
      <c r="BG698" s="692"/>
      <c r="BH698" s="692"/>
      <c r="BI698" s="692"/>
      <c r="BJ698" s="692"/>
      <c r="BK698" s="692"/>
      <c r="BL698" s="693"/>
      <c r="BM698" s="693"/>
      <c r="BN698" s="688"/>
      <c r="BO698" s="693"/>
      <c r="BP698" s="689"/>
      <c r="BQ698" s="694"/>
      <c r="BR698" s="687"/>
      <c r="BS698" s="687"/>
      <c r="BT698" s="687"/>
      <c r="BU698" s="687"/>
      <c r="BV698" s="687"/>
      <c r="BW698" s="688"/>
      <c r="BX698" s="688"/>
      <c r="BY698" s="689"/>
      <c r="BZ698" s="690"/>
      <c r="CA698" s="690"/>
      <c r="CB698" s="690"/>
      <c r="CC698" s="691"/>
      <c r="CD698" s="691"/>
      <c r="CE698" s="692"/>
      <c r="CF698" s="692"/>
      <c r="CG698" s="692"/>
      <c r="CH698" s="693"/>
    </row>
    <row r="699">
      <c r="B699" s="687"/>
      <c r="C699" s="687"/>
      <c r="D699" s="688"/>
      <c r="E699" s="689"/>
      <c r="F699" s="690"/>
      <c r="G699" s="690"/>
      <c r="H699" s="690"/>
      <c r="I699" s="691"/>
      <c r="J699" s="691"/>
      <c r="K699" s="691"/>
      <c r="L699" s="692"/>
      <c r="M699" s="692"/>
      <c r="N699" s="692"/>
      <c r="O699" s="693"/>
      <c r="P699" s="688"/>
      <c r="Q699" s="688"/>
      <c r="R699" s="688"/>
      <c r="S699" s="688"/>
      <c r="T699" s="689"/>
      <c r="U699" s="689"/>
      <c r="V699" s="694"/>
      <c r="W699" s="694"/>
      <c r="X699" s="694"/>
      <c r="Y699" s="694"/>
      <c r="Z699" s="693"/>
      <c r="AA699" s="693"/>
      <c r="AB699" s="693"/>
      <c r="AC699" s="693"/>
      <c r="AD699" s="688"/>
      <c r="AE699" s="689"/>
      <c r="AF699" s="689"/>
      <c r="AG699" s="690"/>
      <c r="AH699" s="690"/>
      <c r="AI699" s="695"/>
      <c r="AJ699" s="695"/>
      <c r="AK699" s="692"/>
      <c r="AL699" s="692"/>
      <c r="AM699" s="693"/>
      <c r="AN699" s="688"/>
      <c r="AO699" s="688"/>
      <c r="AP699" s="688"/>
      <c r="AQ699" s="688"/>
      <c r="AR699" s="688"/>
      <c r="AS699" s="688"/>
      <c r="AT699" s="689"/>
      <c r="AU699" s="689"/>
      <c r="AV699" s="690"/>
      <c r="AW699" s="690"/>
      <c r="AX699" s="690"/>
      <c r="AY699" s="690"/>
      <c r="AZ699" s="690"/>
      <c r="BA699" s="690"/>
      <c r="BB699" s="695"/>
      <c r="BC699" s="695"/>
      <c r="BD699" s="695"/>
      <c r="BE699" s="695"/>
      <c r="BF699" s="692"/>
      <c r="BG699" s="692"/>
      <c r="BH699" s="692"/>
      <c r="BI699" s="692"/>
      <c r="BJ699" s="692"/>
      <c r="BK699" s="692"/>
      <c r="BL699" s="693"/>
      <c r="BM699" s="693"/>
      <c r="BN699" s="688"/>
      <c r="BO699" s="693"/>
      <c r="BP699" s="689"/>
      <c r="BQ699" s="694"/>
      <c r="BR699" s="687"/>
      <c r="BS699" s="687"/>
      <c r="BT699" s="687"/>
      <c r="BU699" s="687"/>
      <c r="BV699" s="687"/>
      <c r="BW699" s="688"/>
      <c r="BX699" s="688"/>
      <c r="BY699" s="689"/>
      <c r="BZ699" s="690"/>
      <c r="CA699" s="690"/>
      <c r="CB699" s="690"/>
      <c r="CC699" s="691"/>
      <c r="CD699" s="691"/>
      <c r="CE699" s="692"/>
      <c r="CF699" s="692"/>
      <c r="CG699" s="692"/>
      <c r="CH699" s="693"/>
    </row>
    <row r="700">
      <c r="B700" s="687"/>
      <c r="C700" s="687"/>
      <c r="D700" s="688"/>
      <c r="E700" s="689"/>
      <c r="F700" s="690"/>
      <c r="G700" s="690"/>
      <c r="H700" s="690"/>
      <c r="I700" s="691"/>
      <c r="J700" s="691"/>
      <c r="K700" s="691"/>
      <c r="L700" s="692"/>
      <c r="M700" s="692"/>
      <c r="N700" s="692"/>
      <c r="O700" s="693"/>
      <c r="P700" s="688"/>
      <c r="Q700" s="688"/>
      <c r="R700" s="688"/>
      <c r="S700" s="688"/>
      <c r="T700" s="689"/>
      <c r="U700" s="689"/>
      <c r="V700" s="694"/>
      <c r="W700" s="694"/>
      <c r="X700" s="694"/>
      <c r="Y700" s="694"/>
      <c r="Z700" s="693"/>
      <c r="AA700" s="693"/>
      <c r="AB700" s="693"/>
      <c r="AC700" s="693"/>
      <c r="AD700" s="688"/>
      <c r="AE700" s="689"/>
      <c r="AF700" s="689"/>
      <c r="AG700" s="690"/>
      <c r="AH700" s="690"/>
      <c r="AI700" s="695"/>
      <c r="AJ700" s="695"/>
      <c r="AK700" s="692"/>
      <c r="AL700" s="692"/>
      <c r="AM700" s="693"/>
      <c r="AN700" s="688"/>
      <c r="AO700" s="688"/>
      <c r="AP700" s="688"/>
      <c r="AQ700" s="688"/>
      <c r="AR700" s="688"/>
      <c r="AS700" s="688"/>
      <c r="AT700" s="689"/>
      <c r="AU700" s="689"/>
      <c r="AV700" s="690"/>
      <c r="AW700" s="690"/>
      <c r="AX700" s="690"/>
      <c r="AY700" s="690"/>
      <c r="AZ700" s="690"/>
      <c r="BA700" s="690"/>
      <c r="BB700" s="695"/>
      <c r="BC700" s="695"/>
      <c r="BD700" s="695"/>
      <c r="BE700" s="695"/>
      <c r="BF700" s="692"/>
      <c r="BG700" s="692"/>
      <c r="BH700" s="692"/>
      <c r="BI700" s="692"/>
      <c r="BJ700" s="692"/>
      <c r="BK700" s="692"/>
      <c r="BL700" s="693"/>
      <c r="BM700" s="693"/>
      <c r="BN700" s="688"/>
      <c r="BO700" s="693"/>
      <c r="BP700" s="689"/>
      <c r="BQ700" s="694"/>
      <c r="BR700" s="687"/>
      <c r="BS700" s="687"/>
      <c r="BT700" s="687"/>
      <c r="BU700" s="687"/>
      <c r="BV700" s="687"/>
      <c r="BW700" s="688"/>
      <c r="BX700" s="688"/>
      <c r="BY700" s="689"/>
      <c r="BZ700" s="690"/>
      <c r="CA700" s="690"/>
      <c r="CB700" s="690"/>
      <c r="CC700" s="691"/>
      <c r="CD700" s="691"/>
      <c r="CE700" s="692"/>
      <c r="CF700" s="692"/>
      <c r="CG700" s="692"/>
      <c r="CH700" s="693"/>
    </row>
    <row r="701">
      <c r="B701" s="687"/>
      <c r="C701" s="687"/>
      <c r="D701" s="688"/>
      <c r="E701" s="689"/>
      <c r="F701" s="690"/>
      <c r="G701" s="690"/>
      <c r="H701" s="690"/>
      <c r="I701" s="691"/>
      <c r="J701" s="691"/>
      <c r="K701" s="691"/>
      <c r="L701" s="692"/>
      <c r="M701" s="692"/>
      <c r="N701" s="692"/>
      <c r="O701" s="693"/>
      <c r="P701" s="688"/>
      <c r="Q701" s="688"/>
      <c r="R701" s="688"/>
      <c r="S701" s="688"/>
      <c r="T701" s="689"/>
      <c r="U701" s="689"/>
      <c r="V701" s="694"/>
      <c r="W701" s="694"/>
      <c r="X701" s="694"/>
      <c r="Y701" s="694"/>
      <c r="Z701" s="693"/>
      <c r="AA701" s="693"/>
      <c r="AB701" s="693"/>
      <c r="AC701" s="693"/>
      <c r="AD701" s="688"/>
      <c r="AE701" s="689"/>
      <c r="AF701" s="689"/>
      <c r="AG701" s="690"/>
      <c r="AH701" s="690"/>
      <c r="AI701" s="695"/>
      <c r="AJ701" s="695"/>
      <c r="AK701" s="692"/>
      <c r="AL701" s="692"/>
      <c r="AM701" s="693"/>
      <c r="AN701" s="688"/>
      <c r="AO701" s="688"/>
      <c r="AP701" s="688"/>
      <c r="AQ701" s="688"/>
      <c r="AR701" s="688"/>
      <c r="AS701" s="688"/>
      <c r="AT701" s="689"/>
      <c r="AU701" s="689"/>
      <c r="AV701" s="690"/>
      <c r="AW701" s="690"/>
      <c r="AX701" s="690"/>
      <c r="AY701" s="690"/>
      <c r="AZ701" s="690"/>
      <c r="BA701" s="690"/>
      <c r="BB701" s="695"/>
      <c r="BC701" s="695"/>
      <c r="BD701" s="695"/>
      <c r="BE701" s="695"/>
      <c r="BF701" s="692"/>
      <c r="BG701" s="692"/>
      <c r="BH701" s="692"/>
      <c r="BI701" s="692"/>
      <c r="BJ701" s="692"/>
      <c r="BK701" s="692"/>
      <c r="BL701" s="693"/>
      <c r="BM701" s="693"/>
      <c r="BN701" s="688"/>
      <c r="BO701" s="693"/>
      <c r="BP701" s="689"/>
      <c r="BQ701" s="694"/>
      <c r="BR701" s="687"/>
      <c r="BS701" s="687"/>
      <c r="BT701" s="687"/>
      <c r="BU701" s="687"/>
      <c r="BV701" s="687"/>
      <c r="BW701" s="688"/>
      <c r="BX701" s="688"/>
      <c r="BY701" s="689"/>
      <c r="BZ701" s="690"/>
      <c r="CA701" s="690"/>
      <c r="CB701" s="690"/>
      <c r="CC701" s="691"/>
      <c r="CD701" s="691"/>
      <c r="CE701" s="692"/>
      <c r="CF701" s="692"/>
      <c r="CG701" s="692"/>
      <c r="CH701" s="693"/>
    </row>
    <row r="702">
      <c r="B702" s="687"/>
      <c r="C702" s="687"/>
      <c r="D702" s="688"/>
      <c r="E702" s="689"/>
      <c r="F702" s="690"/>
      <c r="G702" s="690"/>
      <c r="H702" s="690"/>
      <c r="I702" s="691"/>
      <c r="J702" s="691"/>
      <c r="K702" s="691"/>
      <c r="L702" s="692"/>
      <c r="M702" s="692"/>
      <c r="N702" s="692"/>
      <c r="O702" s="693"/>
      <c r="P702" s="688"/>
      <c r="Q702" s="688"/>
      <c r="R702" s="688"/>
      <c r="S702" s="688"/>
      <c r="T702" s="689"/>
      <c r="U702" s="689"/>
      <c r="V702" s="694"/>
      <c r="W702" s="694"/>
      <c r="X702" s="694"/>
      <c r="Y702" s="694"/>
      <c r="Z702" s="693"/>
      <c r="AA702" s="693"/>
      <c r="AB702" s="693"/>
      <c r="AC702" s="693"/>
      <c r="AD702" s="688"/>
      <c r="AE702" s="689"/>
      <c r="AF702" s="689"/>
      <c r="AG702" s="690"/>
      <c r="AH702" s="690"/>
      <c r="AI702" s="695"/>
      <c r="AJ702" s="695"/>
      <c r="AK702" s="692"/>
      <c r="AL702" s="692"/>
      <c r="AM702" s="693"/>
      <c r="AN702" s="688"/>
      <c r="AO702" s="688"/>
      <c r="AP702" s="688"/>
      <c r="AQ702" s="688"/>
      <c r="AR702" s="688"/>
      <c r="AS702" s="688"/>
      <c r="AT702" s="689"/>
      <c r="AU702" s="689"/>
      <c r="AV702" s="690"/>
      <c r="AW702" s="690"/>
      <c r="AX702" s="690"/>
      <c r="AY702" s="690"/>
      <c r="AZ702" s="690"/>
      <c r="BA702" s="690"/>
      <c r="BB702" s="695"/>
      <c r="BC702" s="695"/>
      <c r="BD702" s="695"/>
      <c r="BE702" s="695"/>
      <c r="BF702" s="692"/>
      <c r="BG702" s="692"/>
      <c r="BH702" s="692"/>
      <c r="BI702" s="692"/>
      <c r="BJ702" s="692"/>
      <c r="BK702" s="692"/>
      <c r="BL702" s="693"/>
      <c r="BM702" s="693"/>
      <c r="BN702" s="688"/>
      <c r="BO702" s="693"/>
      <c r="BP702" s="689"/>
      <c r="BQ702" s="694"/>
      <c r="BR702" s="687"/>
      <c r="BS702" s="687"/>
      <c r="BT702" s="687"/>
      <c r="BU702" s="687"/>
      <c r="BV702" s="687"/>
      <c r="BW702" s="688"/>
      <c r="BX702" s="688"/>
      <c r="BY702" s="689"/>
      <c r="BZ702" s="690"/>
      <c r="CA702" s="690"/>
      <c r="CB702" s="690"/>
      <c r="CC702" s="691"/>
      <c r="CD702" s="691"/>
      <c r="CE702" s="692"/>
      <c r="CF702" s="692"/>
      <c r="CG702" s="692"/>
      <c r="CH702" s="693"/>
    </row>
    <row r="703">
      <c r="B703" s="687"/>
      <c r="C703" s="687"/>
      <c r="D703" s="688"/>
      <c r="E703" s="689"/>
      <c r="F703" s="690"/>
      <c r="G703" s="690"/>
      <c r="H703" s="690"/>
      <c r="I703" s="691"/>
      <c r="J703" s="691"/>
      <c r="K703" s="691"/>
      <c r="L703" s="692"/>
      <c r="M703" s="692"/>
      <c r="N703" s="692"/>
      <c r="O703" s="693"/>
      <c r="P703" s="688"/>
      <c r="Q703" s="688"/>
      <c r="R703" s="688"/>
      <c r="S703" s="688"/>
      <c r="T703" s="689"/>
      <c r="U703" s="689"/>
      <c r="V703" s="694"/>
      <c r="W703" s="694"/>
      <c r="X703" s="694"/>
      <c r="Y703" s="694"/>
      <c r="Z703" s="693"/>
      <c r="AA703" s="693"/>
      <c r="AB703" s="693"/>
      <c r="AC703" s="693"/>
      <c r="AD703" s="688"/>
      <c r="AE703" s="689"/>
      <c r="AF703" s="689"/>
      <c r="AG703" s="690"/>
      <c r="AH703" s="690"/>
      <c r="AI703" s="695"/>
      <c r="AJ703" s="695"/>
      <c r="AK703" s="692"/>
      <c r="AL703" s="692"/>
      <c r="AM703" s="693"/>
      <c r="AN703" s="688"/>
      <c r="AO703" s="688"/>
      <c r="AP703" s="688"/>
      <c r="AQ703" s="688"/>
      <c r="AR703" s="688"/>
      <c r="AS703" s="688"/>
      <c r="AT703" s="689"/>
      <c r="AU703" s="689"/>
      <c r="AV703" s="690"/>
      <c r="AW703" s="690"/>
      <c r="AX703" s="690"/>
      <c r="AY703" s="690"/>
      <c r="AZ703" s="690"/>
      <c r="BA703" s="690"/>
      <c r="BB703" s="695"/>
      <c r="BC703" s="695"/>
      <c r="BD703" s="695"/>
      <c r="BE703" s="695"/>
      <c r="BF703" s="692"/>
      <c r="BG703" s="692"/>
      <c r="BH703" s="692"/>
      <c r="BI703" s="692"/>
      <c r="BJ703" s="692"/>
      <c r="BK703" s="692"/>
      <c r="BL703" s="693"/>
      <c r="BM703" s="693"/>
      <c r="BN703" s="688"/>
      <c r="BO703" s="693"/>
      <c r="BP703" s="689"/>
      <c r="BQ703" s="694"/>
      <c r="BR703" s="687"/>
      <c r="BS703" s="687"/>
      <c r="BT703" s="687"/>
      <c r="BU703" s="687"/>
      <c r="BV703" s="687"/>
      <c r="BW703" s="688"/>
      <c r="BX703" s="688"/>
      <c r="BY703" s="689"/>
      <c r="BZ703" s="690"/>
      <c r="CA703" s="690"/>
      <c r="CB703" s="690"/>
      <c r="CC703" s="691"/>
      <c r="CD703" s="691"/>
      <c r="CE703" s="692"/>
      <c r="CF703" s="692"/>
      <c r="CG703" s="692"/>
      <c r="CH703" s="693"/>
    </row>
    <row r="704">
      <c r="B704" s="687"/>
      <c r="C704" s="687"/>
      <c r="D704" s="688"/>
      <c r="E704" s="689"/>
      <c r="F704" s="690"/>
      <c r="G704" s="690"/>
      <c r="H704" s="690"/>
      <c r="I704" s="691"/>
      <c r="J704" s="691"/>
      <c r="K704" s="691"/>
      <c r="L704" s="692"/>
      <c r="M704" s="692"/>
      <c r="N704" s="692"/>
      <c r="O704" s="693"/>
      <c r="P704" s="688"/>
      <c r="Q704" s="688"/>
      <c r="R704" s="688"/>
      <c r="S704" s="688"/>
      <c r="T704" s="689"/>
      <c r="U704" s="689"/>
      <c r="V704" s="694"/>
      <c r="W704" s="694"/>
      <c r="X704" s="694"/>
      <c r="Y704" s="694"/>
      <c r="Z704" s="693"/>
      <c r="AA704" s="693"/>
      <c r="AB704" s="693"/>
      <c r="AC704" s="693"/>
      <c r="AD704" s="688"/>
      <c r="AE704" s="689"/>
      <c r="AF704" s="689"/>
      <c r="AG704" s="690"/>
      <c r="AH704" s="690"/>
      <c r="AI704" s="695"/>
      <c r="AJ704" s="695"/>
      <c r="AK704" s="692"/>
      <c r="AL704" s="692"/>
      <c r="AM704" s="693"/>
      <c r="AN704" s="688"/>
      <c r="AO704" s="688"/>
      <c r="AP704" s="688"/>
      <c r="AQ704" s="688"/>
      <c r="AR704" s="688"/>
      <c r="AS704" s="688"/>
      <c r="AT704" s="689"/>
      <c r="AU704" s="689"/>
      <c r="AV704" s="690"/>
      <c r="AW704" s="690"/>
      <c r="AX704" s="690"/>
      <c r="AY704" s="690"/>
      <c r="AZ704" s="690"/>
      <c r="BA704" s="690"/>
      <c r="BB704" s="695"/>
      <c r="BC704" s="695"/>
      <c r="BD704" s="695"/>
      <c r="BE704" s="695"/>
      <c r="BF704" s="692"/>
      <c r="BG704" s="692"/>
      <c r="BH704" s="692"/>
      <c r="BI704" s="692"/>
      <c r="BJ704" s="692"/>
      <c r="BK704" s="692"/>
      <c r="BL704" s="693"/>
      <c r="BM704" s="693"/>
      <c r="BN704" s="688"/>
      <c r="BO704" s="693"/>
      <c r="BP704" s="689"/>
      <c r="BQ704" s="694"/>
      <c r="BR704" s="687"/>
      <c r="BS704" s="687"/>
      <c r="BT704" s="687"/>
      <c r="BU704" s="687"/>
      <c r="BV704" s="687"/>
      <c r="BW704" s="688"/>
      <c r="BX704" s="688"/>
      <c r="BY704" s="689"/>
      <c r="BZ704" s="690"/>
      <c r="CA704" s="690"/>
      <c r="CB704" s="690"/>
      <c r="CC704" s="691"/>
      <c r="CD704" s="691"/>
      <c r="CE704" s="692"/>
      <c r="CF704" s="692"/>
      <c r="CG704" s="692"/>
      <c r="CH704" s="693"/>
    </row>
    <row r="705">
      <c r="B705" s="687"/>
      <c r="C705" s="687"/>
      <c r="D705" s="688"/>
      <c r="E705" s="689"/>
      <c r="F705" s="690"/>
      <c r="G705" s="690"/>
      <c r="H705" s="690"/>
      <c r="I705" s="691"/>
      <c r="J705" s="691"/>
      <c r="K705" s="691"/>
      <c r="L705" s="692"/>
      <c r="M705" s="692"/>
      <c r="N705" s="692"/>
      <c r="O705" s="693"/>
      <c r="P705" s="688"/>
      <c r="Q705" s="688"/>
      <c r="R705" s="688"/>
      <c r="S705" s="688"/>
      <c r="T705" s="689"/>
      <c r="U705" s="689"/>
      <c r="V705" s="694"/>
      <c r="W705" s="694"/>
      <c r="X705" s="694"/>
      <c r="Y705" s="694"/>
      <c r="Z705" s="693"/>
      <c r="AA705" s="693"/>
      <c r="AB705" s="693"/>
      <c r="AC705" s="693"/>
      <c r="AD705" s="688"/>
      <c r="AE705" s="689"/>
      <c r="AF705" s="689"/>
      <c r="AG705" s="690"/>
      <c r="AH705" s="690"/>
      <c r="AI705" s="695"/>
      <c r="AJ705" s="695"/>
      <c r="AK705" s="692"/>
      <c r="AL705" s="692"/>
      <c r="AM705" s="693"/>
      <c r="AN705" s="688"/>
      <c r="AO705" s="688"/>
      <c r="AP705" s="688"/>
      <c r="AQ705" s="688"/>
      <c r="AR705" s="688"/>
      <c r="AS705" s="688"/>
      <c r="AT705" s="689"/>
      <c r="AU705" s="689"/>
      <c r="AV705" s="690"/>
      <c r="AW705" s="690"/>
      <c r="AX705" s="690"/>
      <c r="AY705" s="690"/>
      <c r="AZ705" s="690"/>
      <c r="BA705" s="690"/>
      <c r="BB705" s="695"/>
      <c r="BC705" s="695"/>
      <c r="BD705" s="695"/>
      <c r="BE705" s="695"/>
      <c r="BF705" s="692"/>
      <c r="BG705" s="692"/>
      <c r="BH705" s="692"/>
      <c r="BI705" s="692"/>
      <c r="BJ705" s="692"/>
      <c r="BK705" s="692"/>
      <c r="BL705" s="693"/>
      <c r="BM705" s="693"/>
      <c r="BN705" s="688"/>
      <c r="BO705" s="693"/>
      <c r="BP705" s="689"/>
      <c r="BQ705" s="694"/>
      <c r="BR705" s="687"/>
      <c r="BS705" s="687"/>
      <c r="BT705" s="687"/>
      <c r="BU705" s="687"/>
      <c r="BV705" s="687"/>
      <c r="BW705" s="688"/>
      <c r="BX705" s="688"/>
      <c r="BY705" s="689"/>
      <c r="BZ705" s="690"/>
      <c r="CA705" s="690"/>
      <c r="CB705" s="690"/>
      <c r="CC705" s="691"/>
      <c r="CD705" s="691"/>
      <c r="CE705" s="692"/>
      <c r="CF705" s="692"/>
      <c r="CG705" s="692"/>
      <c r="CH705" s="693"/>
    </row>
    <row r="706">
      <c r="B706" s="687"/>
      <c r="C706" s="687"/>
      <c r="D706" s="688"/>
      <c r="E706" s="689"/>
      <c r="F706" s="690"/>
      <c r="G706" s="690"/>
      <c r="H706" s="690"/>
      <c r="I706" s="691"/>
      <c r="J706" s="691"/>
      <c r="K706" s="691"/>
      <c r="L706" s="692"/>
      <c r="M706" s="692"/>
      <c r="N706" s="692"/>
      <c r="O706" s="693"/>
      <c r="P706" s="688"/>
      <c r="Q706" s="688"/>
      <c r="R706" s="688"/>
      <c r="S706" s="688"/>
      <c r="T706" s="689"/>
      <c r="U706" s="689"/>
      <c r="V706" s="694"/>
      <c r="W706" s="694"/>
      <c r="X706" s="694"/>
      <c r="Y706" s="694"/>
      <c r="Z706" s="693"/>
      <c r="AA706" s="693"/>
      <c r="AB706" s="693"/>
      <c r="AC706" s="693"/>
      <c r="AD706" s="688"/>
      <c r="AE706" s="689"/>
      <c r="AF706" s="689"/>
      <c r="AG706" s="690"/>
      <c r="AH706" s="690"/>
      <c r="AI706" s="695"/>
      <c r="AJ706" s="695"/>
      <c r="AK706" s="692"/>
      <c r="AL706" s="692"/>
      <c r="AM706" s="693"/>
      <c r="AN706" s="688"/>
      <c r="AO706" s="688"/>
      <c r="AP706" s="688"/>
      <c r="AQ706" s="688"/>
      <c r="AR706" s="688"/>
      <c r="AS706" s="688"/>
      <c r="AT706" s="689"/>
      <c r="AU706" s="689"/>
      <c r="AV706" s="690"/>
      <c r="AW706" s="690"/>
      <c r="AX706" s="690"/>
      <c r="AY706" s="690"/>
      <c r="AZ706" s="690"/>
      <c r="BA706" s="690"/>
      <c r="BB706" s="695"/>
      <c r="BC706" s="695"/>
      <c r="BD706" s="695"/>
      <c r="BE706" s="695"/>
      <c r="BF706" s="692"/>
      <c r="BG706" s="692"/>
      <c r="BH706" s="692"/>
      <c r="BI706" s="692"/>
      <c r="BJ706" s="692"/>
      <c r="BK706" s="692"/>
      <c r="BL706" s="693"/>
      <c r="BM706" s="693"/>
      <c r="BN706" s="688"/>
      <c r="BO706" s="693"/>
      <c r="BP706" s="689"/>
      <c r="BQ706" s="694"/>
      <c r="BR706" s="687"/>
      <c r="BS706" s="687"/>
      <c r="BT706" s="687"/>
      <c r="BU706" s="687"/>
      <c r="BV706" s="687"/>
      <c r="BW706" s="688"/>
      <c r="BX706" s="688"/>
      <c r="BY706" s="689"/>
      <c r="BZ706" s="690"/>
      <c r="CA706" s="690"/>
      <c r="CB706" s="690"/>
      <c r="CC706" s="691"/>
      <c r="CD706" s="691"/>
      <c r="CE706" s="692"/>
      <c r="CF706" s="692"/>
      <c r="CG706" s="692"/>
      <c r="CH706" s="693"/>
    </row>
    <row r="707">
      <c r="B707" s="687"/>
      <c r="C707" s="687"/>
      <c r="D707" s="688"/>
      <c r="E707" s="689"/>
      <c r="F707" s="690"/>
      <c r="G707" s="690"/>
      <c r="H707" s="690"/>
      <c r="I707" s="691"/>
      <c r="J707" s="691"/>
      <c r="K707" s="691"/>
      <c r="L707" s="692"/>
      <c r="M707" s="692"/>
      <c r="N707" s="692"/>
      <c r="O707" s="693"/>
      <c r="P707" s="688"/>
      <c r="Q707" s="688"/>
      <c r="R707" s="688"/>
      <c r="S707" s="688"/>
      <c r="T707" s="689"/>
      <c r="U707" s="689"/>
      <c r="V707" s="694"/>
      <c r="W707" s="694"/>
      <c r="X707" s="694"/>
      <c r="Y707" s="694"/>
      <c r="Z707" s="693"/>
      <c r="AA707" s="693"/>
      <c r="AB707" s="693"/>
      <c r="AC707" s="693"/>
      <c r="AD707" s="688"/>
      <c r="AE707" s="689"/>
      <c r="AF707" s="689"/>
      <c r="AG707" s="690"/>
      <c r="AH707" s="690"/>
      <c r="AI707" s="695"/>
      <c r="AJ707" s="695"/>
      <c r="AK707" s="692"/>
      <c r="AL707" s="692"/>
      <c r="AM707" s="693"/>
      <c r="AN707" s="688"/>
      <c r="AO707" s="688"/>
      <c r="AP707" s="688"/>
      <c r="AQ707" s="688"/>
      <c r="AR707" s="688"/>
      <c r="AS707" s="688"/>
      <c r="AT707" s="689"/>
      <c r="AU707" s="689"/>
      <c r="AV707" s="690"/>
      <c r="AW707" s="690"/>
      <c r="AX707" s="690"/>
      <c r="AY707" s="690"/>
      <c r="AZ707" s="690"/>
      <c r="BA707" s="690"/>
      <c r="BB707" s="695"/>
      <c r="BC707" s="695"/>
      <c r="BD707" s="695"/>
      <c r="BE707" s="695"/>
      <c r="BF707" s="692"/>
      <c r="BG707" s="692"/>
      <c r="BH707" s="692"/>
      <c r="BI707" s="692"/>
      <c r="BJ707" s="692"/>
      <c r="BK707" s="692"/>
      <c r="BL707" s="693"/>
      <c r="BM707" s="693"/>
      <c r="BN707" s="688"/>
      <c r="BO707" s="693"/>
      <c r="BP707" s="689"/>
      <c r="BQ707" s="694"/>
      <c r="BR707" s="687"/>
      <c r="BS707" s="687"/>
      <c r="BT707" s="687"/>
      <c r="BU707" s="687"/>
      <c r="BV707" s="687"/>
      <c r="BW707" s="688"/>
      <c r="BX707" s="688"/>
      <c r="BY707" s="689"/>
      <c r="BZ707" s="690"/>
      <c r="CA707" s="690"/>
      <c r="CB707" s="690"/>
      <c r="CC707" s="691"/>
      <c r="CD707" s="691"/>
      <c r="CE707" s="692"/>
      <c r="CF707" s="692"/>
      <c r="CG707" s="692"/>
      <c r="CH707" s="693"/>
    </row>
    <row r="708">
      <c r="B708" s="687"/>
      <c r="C708" s="687"/>
      <c r="D708" s="688"/>
      <c r="E708" s="689"/>
      <c r="F708" s="690"/>
      <c r="G708" s="690"/>
      <c r="H708" s="690"/>
      <c r="I708" s="691"/>
      <c r="J708" s="691"/>
      <c r="K708" s="691"/>
      <c r="L708" s="692"/>
      <c r="M708" s="692"/>
      <c r="N708" s="692"/>
      <c r="O708" s="693"/>
      <c r="P708" s="688"/>
      <c r="Q708" s="688"/>
      <c r="R708" s="688"/>
      <c r="S708" s="688"/>
      <c r="T708" s="689"/>
      <c r="U708" s="689"/>
      <c r="V708" s="694"/>
      <c r="W708" s="694"/>
      <c r="X708" s="694"/>
      <c r="Y708" s="694"/>
      <c r="Z708" s="693"/>
      <c r="AA708" s="693"/>
      <c r="AB708" s="693"/>
      <c r="AC708" s="693"/>
      <c r="AD708" s="688"/>
      <c r="AE708" s="689"/>
      <c r="AF708" s="689"/>
      <c r="AG708" s="690"/>
      <c r="AH708" s="690"/>
      <c r="AI708" s="695"/>
      <c r="AJ708" s="695"/>
      <c r="AK708" s="692"/>
      <c r="AL708" s="692"/>
      <c r="AM708" s="693"/>
      <c r="AN708" s="688"/>
      <c r="AO708" s="688"/>
      <c r="AP708" s="688"/>
      <c r="AQ708" s="688"/>
      <c r="AR708" s="688"/>
      <c r="AS708" s="688"/>
      <c r="AT708" s="689"/>
      <c r="AU708" s="689"/>
      <c r="AV708" s="690"/>
      <c r="AW708" s="690"/>
      <c r="AX708" s="690"/>
      <c r="AY708" s="690"/>
      <c r="AZ708" s="690"/>
      <c r="BA708" s="690"/>
      <c r="BB708" s="695"/>
      <c r="BC708" s="695"/>
      <c r="BD708" s="695"/>
      <c r="BE708" s="695"/>
      <c r="BF708" s="692"/>
      <c r="BG708" s="692"/>
      <c r="BH708" s="692"/>
      <c r="BI708" s="692"/>
      <c r="BJ708" s="692"/>
      <c r="BK708" s="692"/>
      <c r="BL708" s="693"/>
      <c r="BM708" s="693"/>
      <c r="BN708" s="688"/>
      <c r="BO708" s="693"/>
      <c r="BP708" s="689"/>
      <c r="BQ708" s="694"/>
      <c r="BR708" s="687"/>
      <c r="BS708" s="687"/>
      <c r="BT708" s="687"/>
      <c r="BU708" s="687"/>
      <c r="BV708" s="687"/>
      <c r="BW708" s="688"/>
      <c r="BX708" s="688"/>
      <c r="BY708" s="689"/>
      <c r="BZ708" s="690"/>
      <c r="CA708" s="690"/>
      <c r="CB708" s="690"/>
      <c r="CC708" s="691"/>
      <c r="CD708" s="691"/>
      <c r="CE708" s="692"/>
      <c r="CF708" s="692"/>
      <c r="CG708" s="692"/>
      <c r="CH708" s="693"/>
    </row>
    <row r="709">
      <c r="B709" s="687"/>
      <c r="C709" s="687"/>
      <c r="D709" s="688"/>
      <c r="E709" s="689"/>
      <c r="F709" s="690"/>
      <c r="G709" s="690"/>
      <c r="H709" s="690"/>
      <c r="I709" s="691"/>
      <c r="J709" s="691"/>
      <c r="K709" s="691"/>
      <c r="L709" s="692"/>
      <c r="M709" s="692"/>
      <c r="N709" s="692"/>
      <c r="O709" s="693"/>
      <c r="P709" s="688"/>
      <c r="Q709" s="688"/>
      <c r="R709" s="688"/>
      <c r="S709" s="688"/>
      <c r="T709" s="689"/>
      <c r="U709" s="689"/>
      <c r="V709" s="694"/>
      <c r="W709" s="694"/>
      <c r="X709" s="694"/>
      <c r="Y709" s="694"/>
      <c r="Z709" s="693"/>
      <c r="AA709" s="693"/>
      <c r="AB709" s="693"/>
      <c r="AC709" s="693"/>
      <c r="AD709" s="688"/>
      <c r="AE709" s="689"/>
      <c r="AF709" s="689"/>
      <c r="AG709" s="690"/>
      <c r="AH709" s="690"/>
      <c r="AI709" s="695"/>
      <c r="AJ709" s="695"/>
      <c r="AK709" s="692"/>
      <c r="AL709" s="692"/>
      <c r="AM709" s="693"/>
      <c r="AN709" s="688"/>
      <c r="AO709" s="688"/>
      <c r="AP709" s="688"/>
      <c r="AQ709" s="688"/>
      <c r="AR709" s="688"/>
      <c r="AS709" s="688"/>
      <c r="AT709" s="689"/>
      <c r="AU709" s="689"/>
      <c r="AV709" s="690"/>
      <c r="AW709" s="690"/>
      <c r="AX709" s="690"/>
      <c r="AY709" s="690"/>
      <c r="AZ709" s="690"/>
      <c r="BA709" s="690"/>
      <c r="BB709" s="695"/>
      <c r="BC709" s="695"/>
      <c r="BD709" s="695"/>
      <c r="BE709" s="695"/>
      <c r="BF709" s="692"/>
      <c r="BG709" s="692"/>
      <c r="BH709" s="692"/>
      <c r="BI709" s="692"/>
      <c r="BJ709" s="692"/>
      <c r="BK709" s="692"/>
      <c r="BL709" s="693"/>
      <c r="BM709" s="693"/>
      <c r="BN709" s="688"/>
      <c r="BO709" s="693"/>
      <c r="BP709" s="689"/>
      <c r="BQ709" s="694"/>
      <c r="BR709" s="687"/>
      <c r="BS709" s="687"/>
      <c r="BT709" s="687"/>
      <c r="BU709" s="687"/>
      <c r="BV709" s="687"/>
      <c r="BW709" s="688"/>
      <c r="BX709" s="688"/>
      <c r="BY709" s="689"/>
      <c r="BZ709" s="690"/>
      <c r="CA709" s="690"/>
      <c r="CB709" s="690"/>
      <c r="CC709" s="691"/>
      <c r="CD709" s="691"/>
      <c r="CE709" s="692"/>
      <c r="CF709" s="692"/>
      <c r="CG709" s="692"/>
      <c r="CH709" s="693"/>
    </row>
    <row r="710">
      <c r="B710" s="687"/>
      <c r="C710" s="687"/>
      <c r="D710" s="688"/>
      <c r="E710" s="689"/>
      <c r="F710" s="690"/>
      <c r="G710" s="690"/>
      <c r="H710" s="690"/>
      <c r="I710" s="691"/>
      <c r="J710" s="691"/>
      <c r="K710" s="691"/>
      <c r="L710" s="692"/>
      <c r="M710" s="692"/>
      <c r="N710" s="692"/>
      <c r="O710" s="693"/>
      <c r="P710" s="688"/>
      <c r="Q710" s="688"/>
      <c r="R710" s="688"/>
      <c r="S710" s="688"/>
      <c r="T710" s="689"/>
      <c r="U710" s="689"/>
      <c r="V710" s="694"/>
      <c r="W710" s="694"/>
      <c r="X710" s="694"/>
      <c r="Y710" s="694"/>
      <c r="Z710" s="693"/>
      <c r="AA710" s="693"/>
      <c r="AB710" s="693"/>
      <c r="AC710" s="693"/>
      <c r="AD710" s="688"/>
      <c r="AE710" s="689"/>
      <c r="AF710" s="689"/>
      <c r="AG710" s="690"/>
      <c r="AH710" s="690"/>
      <c r="AI710" s="695"/>
      <c r="AJ710" s="695"/>
      <c r="AK710" s="692"/>
      <c r="AL710" s="692"/>
      <c r="AM710" s="693"/>
      <c r="AN710" s="688"/>
      <c r="AO710" s="688"/>
      <c r="AP710" s="688"/>
      <c r="AQ710" s="688"/>
      <c r="AR710" s="688"/>
      <c r="AS710" s="688"/>
      <c r="AT710" s="689"/>
      <c r="AU710" s="689"/>
      <c r="AV710" s="690"/>
      <c r="AW710" s="690"/>
      <c r="AX710" s="690"/>
      <c r="AY710" s="690"/>
      <c r="AZ710" s="690"/>
      <c r="BA710" s="690"/>
      <c r="BB710" s="695"/>
      <c r="BC710" s="695"/>
      <c r="BD710" s="695"/>
      <c r="BE710" s="695"/>
      <c r="BF710" s="692"/>
      <c r="BG710" s="692"/>
      <c r="BH710" s="692"/>
      <c r="BI710" s="692"/>
      <c r="BJ710" s="692"/>
      <c r="BK710" s="692"/>
      <c r="BL710" s="693"/>
      <c r="BM710" s="693"/>
      <c r="BN710" s="688"/>
      <c r="BO710" s="693"/>
      <c r="BP710" s="689"/>
      <c r="BQ710" s="694"/>
      <c r="BR710" s="687"/>
      <c r="BS710" s="687"/>
      <c r="BT710" s="687"/>
      <c r="BU710" s="687"/>
      <c r="BV710" s="687"/>
      <c r="BW710" s="688"/>
      <c r="BX710" s="688"/>
      <c r="BY710" s="689"/>
      <c r="BZ710" s="690"/>
      <c r="CA710" s="690"/>
      <c r="CB710" s="690"/>
      <c r="CC710" s="691"/>
      <c r="CD710" s="691"/>
      <c r="CE710" s="692"/>
      <c r="CF710" s="692"/>
      <c r="CG710" s="692"/>
      <c r="CH710" s="693"/>
    </row>
    <row r="711">
      <c r="B711" s="687"/>
      <c r="C711" s="687"/>
      <c r="D711" s="688"/>
      <c r="E711" s="689"/>
      <c r="F711" s="690"/>
      <c r="G711" s="690"/>
      <c r="H711" s="690"/>
      <c r="I711" s="691"/>
      <c r="J711" s="691"/>
      <c r="K711" s="691"/>
      <c r="L711" s="692"/>
      <c r="M711" s="692"/>
      <c r="N711" s="692"/>
      <c r="O711" s="693"/>
      <c r="P711" s="688"/>
      <c r="Q711" s="688"/>
      <c r="R711" s="688"/>
      <c r="S711" s="688"/>
      <c r="T711" s="689"/>
      <c r="U711" s="689"/>
      <c r="V711" s="694"/>
      <c r="W711" s="694"/>
      <c r="X711" s="694"/>
      <c r="Y711" s="694"/>
      <c r="Z711" s="693"/>
      <c r="AA711" s="693"/>
      <c r="AB711" s="693"/>
      <c r="AC711" s="693"/>
      <c r="AD711" s="688"/>
      <c r="AE711" s="689"/>
      <c r="AF711" s="689"/>
      <c r="AG711" s="690"/>
      <c r="AH711" s="690"/>
      <c r="AI711" s="695"/>
      <c r="AJ711" s="695"/>
      <c r="AK711" s="692"/>
      <c r="AL711" s="692"/>
      <c r="AM711" s="693"/>
      <c r="AN711" s="688"/>
      <c r="AO711" s="688"/>
      <c r="AP711" s="688"/>
      <c r="AQ711" s="688"/>
      <c r="AR711" s="688"/>
      <c r="AS711" s="688"/>
      <c r="AT711" s="689"/>
      <c r="AU711" s="689"/>
      <c r="AV711" s="690"/>
      <c r="AW711" s="690"/>
      <c r="AX711" s="690"/>
      <c r="AY711" s="690"/>
      <c r="AZ711" s="690"/>
      <c r="BA711" s="690"/>
      <c r="BB711" s="695"/>
      <c r="BC711" s="695"/>
      <c r="BD711" s="695"/>
      <c r="BE711" s="695"/>
      <c r="BF711" s="692"/>
      <c r="BG711" s="692"/>
      <c r="BH711" s="692"/>
      <c r="BI711" s="692"/>
      <c r="BJ711" s="692"/>
      <c r="BK711" s="692"/>
      <c r="BL711" s="693"/>
      <c r="BM711" s="693"/>
      <c r="BN711" s="688"/>
      <c r="BO711" s="693"/>
      <c r="BP711" s="689"/>
      <c r="BQ711" s="694"/>
      <c r="BR711" s="687"/>
      <c r="BS711" s="687"/>
      <c r="BT711" s="687"/>
      <c r="BU711" s="687"/>
      <c r="BV711" s="687"/>
      <c r="BW711" s="688"/>
      <c r="BX711" s="688"/>
      <c r="BY711" s="689"/>
      <c r="BZ711" s="690"/>
      <c r="CA711" s="690"/>
      <c r="CB711" s="690"/>
      <c r="CC711" s="691"/>
      <c r="CD711" s="691"/>
      <c r="CE711" s="692"/>
      <c r="CF711" s="692"/>
      <c r="CG711" s="692"/>
      <c r="CH711" s="693"/>
    </row>
    <row r="712">
      <c r="B712" s="687"/>
      <c r="C712" s="687"/>
      <c r="D712" s="688"/>
      <c r="E712" s="689"/>
      <c r="F712" s="690"/>
      <c r="G712" s="690"/>
      <c r="H712" s="690"/>
      <c r="I712" s="691"/>
      <c r="J712" s="691"/>
      <c r="K712" s="691"/>
      <c r="L712" s="692"/>
      <c r="M712" s="692"/>
      <c r="N712" s="692"/>
      <c r="O712" s="693"/>
      <c r="P712" s="688"/>
      <c r="Q712" s="688"/>
      <c r="R712" s="688"/>
      <c r="S712" s="688"/>
      <c r="T712" s="689"/>
      <c r="U712" s="689"/>
      <c r="V712" s="694"/>
      <c r="W712" s="694"/>
      <c r="X712" s="694"/>
      <c r="Y712" s="694"/>
      <c r="Z712" s="693"/>
      <c r="AA712" s="693"/>
      <c r="AB712" s="693"/>
      <c r="AC712" s="693"/>
      <c r="AD712" s="688"/>
      <c r="AE712" s="689"/>
      <c r="AF712" s="689"/>
      <c r="AG712" s="690"/>
      <c r="AH712" s="690"/>
      <c r="AI712" s="695"/>
      <c r="AJ712" s="695"/>
      <c r="AK712" s="692"/>
      <c r="AL712" s="692"/>
      <c r="AM712" s="693"/>
      <c r="AN712" s="688"/>
      <c r="AO712" s="688"/>
      <c r="AP712" s="688"/>
      <c r="AQ712" s="688"/>
      <c r="AR712" s="688"/>
      <c r="AS712" s="688"/>
      <c r="AT712" s="689"/>
      <c r="AU712" s="689"/>
      <c r="AV712" s="690"/>
      <c r="AW712" s="690"/>
      <c r="AX712" s="690"/>
      <c r="AY712" s="690"/>
      <c r="AZ712" s="690"/>
      <c r="BA712" s="690"/>
      <c r="BB712" s="695"/>
      <c r="BC712" s="695"/>
      <c r="BD712" s="695"/>
      <c r="BE712" s="695"/>
      <c r="BF712" s="692"/>
      <c r="BG712" s="692"/>
      <c r="BH712" s="692"/>
      <c r="BI712" s="692"/>
      <c r="BJ712" s="692"/>
      <c r="BK712" s="692"/>
      <c r="BL712" s="693"/>
      <c r="BM712" s="693"/>
      <c r="BN712" s="688"/>
      <c r="BO712" s="693"/>
      <c r="BP712" s="689"/>
      <c r="BQ712" s="694"/>
      <c r="BR712" s="687"/>
      <c r="BS712" s="687"/>
      <c r="BT712" s="687"/>
      <c r="BU712" s="687"/>
      <c r="BV712" s="687"/>
      <c r="BW712" s="688"/>
      <c r="BX712" s="688"/>
      <c r="BY712" s="689"/>
      <c r="BZ712" s="690"/>
      <c r="CA712" s="690"/>
      <c r="CB712" s="690"/>
      <c r="CC712" s="691"/>
      <c r="CD712" s="691"/>
      <c r="CE712" s="692"/>
      <c r="CF712" s="692"/>
      <c r="CG712" s="692"/>
      <c r="CH712" s="693"/>
    </row>
    <row r="713">
      <c r="B713" s="687"/>
      <c r="C713" s="687"/>
      <c r="D713" s="688"/>
      <c r="E713" s="689"/>
      <c r="F713" s="690"/>
      <c r="G713" s="690"/>
      <c r="H713" s="690"/>
      <c r="I713" s="691"/>
      <c r="J713" s="691"/>
      <c r="K713" s="691"/>
      <c r="L713" s="692"/>
      <c r="M713" s="692"/>
      <c r="N713" s="692"/>
      <c r="O713" s="693"/>
      <c r="P713" s="688"/>
      <c r="Q713" s="688"/>
      <c r="R713" s="688"/>
      <c r="S713" s="688"/>
      <c r="T713" s="689"/>
      <c r="U713" s="689"/>
      <c r="V713" s="694"/>
      <c r="W713" s="694"/>
      <c r="X713" s="694"/>
      <c r="Y713" s="694"/>
      <c r="Z713" s="693"/>
      <c r="AA713" s="693"/>
      <c r="AB713" s="693"/>
      <c r="AC713" s="693"/>
      <c r="AD713" s="688"/>
      <c r="AE713" s="689"/>
      <c r="AF713" s="689"/>
      <c r="AG713" s="690"/>
      <c r="AH713" s="690"/>
      <c r="AI713" s="695"/>
      <c r="AJ713" s="695"/>
      <c r="AK713" s="692"/>
      <c r="AL713" s="692"/>
      <c r="AM713" s="693"/>
      <c r="AN713" s="688"/>
      <c r="AO713" s="688"/>
      <c r="AP713" s="688"/>
      <c r="AQ713" s="688"/>
      <c r="AR713" s="688"/>
      <c r="AS713" s="688"/>
      <c r="AT713" s="689"/>
      <c r="AU713" s="689"/>
      <c r="AV713" s="690"/>
      <c r="AW713" s="690"/>
      <c r="AX713" s="690"/>
      <c r="AY713" s="690"/>
      <c r="AZ713" s="690"/>
      <c r="BA713" s="690"/>
      <c r="BB713" s="695"/>
      <c r="BC713" s="695"/>
      <c r="BD713" s="695"/>
      <c r="BE713" s="695"/>
      <c r="BF713" s="692"/>
      <c r="BG713" s="692"/>
      <c r="BH713" s="692"/>
      <c r="BI713" s="692"/>
      <c r="BJ713" s="692"/>
      <c r="BK713" s="692"/>
      <c r="BL713" s="693"/>
      <c r="BM713" s="693"/>
      <c r="BN713" s="688"/>
      <c r="BO713" s="693"/>
      <c r="BP713" s="689"/>
      <c r="BQ713" s="694"/>
      <c r="BR713" s="687"/>
      <c r="BS713" s="687"/>
      <c r="BT713" s="687"/>
      <c r="BU713" s="687"/>
      <c r="BV713" s="687"/>
      <c r="BW713" s="688"/>
      <c r="BX713" s="688"/>
      <c r="BY713" s="689"/>
      <c r="BZ713" s="690"/>
      <c r="CA713" s="690"/>
      <c r="CB713" s="690"/>
      <c r="CC713" s="691"/>
      <c r="CD713" s="691"/>
      <c r="CE713" s="692"/>
      <c r="CF713" s="692"/>
      <c r="CG713" s="692"/>
      <c r="CH713" s="693"/>
    </row>
    <row r="714">
      <c r="B714" s="687"/>
      <c r="C714" s="687"/>
      <c r="D714" s="688"/>
      <c r="E714" s="689"/>
      <c r="F714" s="690"/>
      <c r="G714" s="690"/>
      <c r="H714" s="690"/>
      <c r="I714" s="691"/>
      <c r="J714" s="691"/>
      <c r="K714" s="691"/>
      <c r="L714" s="692"/>
      <c r="M714" s="692"/>
      <c r="N714" s="692"/>
      <c r="O714" s="693"/>
      <c r="P714" s="688"/>
      <c r="Q714" s="688"/>
      <c r="R714" s="688"/>
      <c r="S714" s="688"/>
      <c r="T714" s="689"/>
      <c r="U714" s="689"/>
      <c r="V714" s="694"/>
      <c r="W714" s="694"/>
      <c r="X714" s="694"/>
      <c r="Y714" s="694"/>
      <c r="Z714" s="693"/>
      <c r="AA714" s="693"/>
      <c r="AB714" s="693"/>
      <c r="AC714" s="693"/>
      <c r="AD714" s="688"/>
      <c r="AE714" s="689"/>
      <c r="AF714" s="689"/>
      <c r="AG714" s="690"/>
      <c r="AH714" s="690"/>
      <c r="AI714" s="695"/>
      <c r="AJ714" s="695"/>
      <c r="AK714" s="692"/>
      <c r="AL714" s="692"/>
      <c r="AM714" s="693"/>
      <c r="AN714" s="688"/>
      <c r="AO714" s="688"/>
      <c r="AP714" s="688"/>
      <c r="AQ714" s="688"/>
      <c r="AR714" s="688"/>
      <c r="AS714" s="688"/>
      <c r="AT714" s="689"/>
      <c r="AU714" s="689"/>
      <c r="AV714" s="690"/>
      <c r="AW714" s="690"/>
      <c r="AX714" s="690"/>
      <c r="AY714" s="690"/>
      <c r="AZ714" s="690"/>
      <c r="BA714" s="690"/>
      <c r="BB714" s="695"/>
      <c r="BC714" s="695"/>
      <c r="BD714" s="695"/>
      <c r="BE714" s="695"/>
      <c r="BF714" s="692"/>
      <c r="BG714" s="692"/>
      <c r="BH714" s="692"/>
      <c r="BI714" s="692"/>
      <c r="BJ714" s="692"/>
      <c r="BK714" s="692"/>
      <c r="BL714" s="693"/>
      <c r="BM714" s="693"/>
      <c r="BN714" s="688"/>
      <c r="BO714" s="693"/>
      <c r="BP714" s="689"/>
      <c r="BQ714" s="694"/>
      <c r="BR714" s="687"/>
      <c r="BS714" s="687"/>
      <c r="BT714" s="687"/>
      <c r="BU714" s="687"/>
      <c r="BV714" s="687"/>
      <c r="BW714" s="688"/>
      <c r="BX714" s="688"/>
      <c r="BY714" s="689"/>
      <c r="BZ714" s="690"/>
      <c r="CA714" s="690"/>
      <c r="CB714" s="690"/>
      <c r="CC714" s="691"/>
      <c r="CD714" s="691"/>
      <c r="CE714" s="692"/>
      <c r="CF714" s="692"/>
      <c r="CG714" s="692"/>
      <c r="CH714" s="693"/>
    </row>
    <row r="715">
      <c r="B715" s="687"/>
      <c r="C715" s="687"/>
      <c r="D715" s="688"/>
      <c r="E715" s="689"/>
      <c r="F715" s="690"/>
      <c r="G715" s="690"/>
      <c r="H715" s="690"/>
      <c r="I715" s="691"/>
      <c r="J715" s="691"/>
      <c r="K715" s="691"/>
      <c r="L715" s="692"/>
      <c r="M715" s="692"/>
      <c r="N715" s="692"/>
      <c r="O715" s="693"/>
      <c r="P715" s="688"/>
      <c r="Q715" s="688"/>
      <c r="R715" s="688"/>
      <c r="S715" s="688"/>
      <c r="T715" s="689"/>
      <c r="U715" s="689"/>
      <c r="V715" s="694"/>
      <c r="W715" s="694"/>
      <c r="X715" s="694"/>
      <c r="Y715" s="694"/>
      <c r="Z715" s="693"/>
      <c r="AA715" s="693"/>
      <c r="AB715" s="693"/>
      <c r="AC715" s="693"/>
      <c r="AD715" s="688"/>
      <c r="AE715" s="689"/>
      <c r="AF715" s="689"/>
      <c r="AG715" s="690"/>
      <c r="AH715" s="690"/>
      <c r="AI715" s="695"/>
      <c r="AJ715" s="695"/>
      <c r="AK715" s="692"/>
      <c r="AL715" s="692"/>
      <c r="AM715" s="693"/>
      <c r="AN715" s="688"/>
      <c r="AO715" s="688"/>
      <c r="AP715" s="688"/>
      <c r="AQ715" s="688"/>
      <c r="AR715" s="688"/>
      <c r="AS715" s="688"/>
      <c r="AT715" s="689"/>
      <c r="AU715" s="689"/>
      <c r="AV715" s="690"/>
      <c r="AW715" s="690"/>
      <c r="AX715" s="690"/>
      <c r="AY715" s="690"/>
      <c r="AZ715" s="690"/>
      <c r="BA715" s="690"/>
      <c r="BB715" s="695"/>
      <c r="BC715" s="695"/>
      <c r="BD715" s="695"/>
      <c r="BE715" s="695"/>
      <c r="BF715" s="692"/>
      <c r="BG715" s="692"/>
      <c r="BH715" s="692"/>
      <c r="BI715" s="692"/>
      <c r="BJ715" s="692"/>
      <c r="BK715" s="692"/>
      <c r="BL715" s="693"/>
      <c r="BM715" s="693"/>
      <c r="BN715" s="688"/>
      <c r="BO715" s="693"/>
      <c r="BP715" s="689"/>
      <c r="BQ715" s="694"/>
      <c r="BR715" s="687"/>
      <c r="BS715" s="687"/>
      <c r="BT715" s="687"/>
      <c r="BU715" s="687"/>
      <c r="BV715" s="687"/>
      <c r="BW715" s="688"/>
      <c r="BX715" s="688"/>
      <c r="BY715" s="689"/>
      <c r="BZ715" s="690"/>
      <c r="CA715" s="690"/>
      <c r="CB715" s="690"/>
      <c r="CC715" s="691"/>
      <c r="CD715" s="691"/>
      <c r="CE715" s="692"/>
      <c r="CF715" s="692"/>
      <c r="CG715" s="692"/>
      <c r="CH715" s="693"/>
    </row>
    <row r="716">
      <c r="B716" s="687"/>
      <c r="C716" s="687"/>
      <c r="D716" s="688"/>
      <c r="E716" s="689"/>
      <c r="F716" s="690"/>
      <c r="G716" s="690"/>
      <c r="H716" s="690"/>
      <c r="I716" s="691"/>
      <c r="J716" s="691"/>
      <c r="K716" s="691"/>
      <c r="L716" s="692"/>
      <c r="M716" s="692"/>
      <c r="N716" s="692"/>
      <c r="O716" s="693"/>
      <c r="P716" s="688"/>
      <c r="Q716" s="688"/>
      <c r="R716" s="688"/>
      <c r="S716" s="688"/>
      <c r="T716" s="689"/>
      <c r="U716" s="689"/>
      <c r="V716" s="694"/>
      <c r="W716" s="694"/>
      <c r="X716" s="694"/>
      <c r="Y716" s="694"/>
      <c r="Z716" s="693"/>
      <c r="AA716" s="693"/>
      <c r="AB716" s="693"/>
      <c r="AC716" s="693"/>
      <c r="AD716" s="688"/>
      <c r="AE716" s="689"/>
      <c r="AF716" s="689"/>
      <c r="AG716" s="690"/>
      <c r="AH716" s="690"/>
      <c r="AI716" s="695"/>
      <c r="AJ716" s="695"/>
      <c r="AK716" s="692"/>
      <c r="AL716" s="692"/>
      <c r="AM716" s="693"/>
      <c r="AN716" s="688"/>
      <c r="AO716" s="688"/>
      <c r="AP716" s="688"/>
      <c r="AQ716" s="688"/>
      <c r="AR716" s="688"/>
      <c r="AS716" s="688"/>
      <c r="AT716" s="689"/>
      <c r="AU716" s="689"/>
      <c r="AV716" s="690"/>
      <c r="AW716" s="690"/>
      <c r="AX716" s="690"/>
      <c r="AY716" s="690"/>
      <c r="AZ716" s="690"/>
      <c r="BA716" s="690"/>
      <c r="BB716" s="695"/>
      <c r="BC716" s="695"/>
      <c r="BD716" s="695"/>
      <c r="BE716" s="695"/>
      <c r="BF716" s="692"/>
      <c r="BG716" s="692"/>
      <c r="BH716" s="692"/>
      <c r="BI716" s="692"/>
      <c r="BJ716" s="692"/>
      <c r="BK716" s="692"/>
      <c r="BL716" s="693"/>
      <c r="BM716" s="693"/>
      <c r="BN716" s="688"/>
      <c r="BO716" s="693"/>
      <c r="BP716" s="689"/>
      <c r="BQ716" s="694"/>
      <c r="BR716" s="687"/>
      <c r="BS716" s="687"/>
      <c r="BT716" s="687"/>
      <c r="BU716" s="687"/>
      <c r="BV716" s="687"/>
      <c r="BW716" s="688"/>
      <c r="BX716" s="688"/>
      <c r="BY716" s="689"/>
      <c r="BZ716" s="690"/>
      <c r="CA716" s="690"/>
      <c r="CB716" s="690"/>
      <c r="CC716" s="691"/>
      <c r="CD716" s="691"/>
      <c r="CE716" s="692"/>
      <c r="CF716" s="692"/>
      <c r="CG716" s="692"/>
      <c r="CH716" s="693"/>
    </row>
    <row r="717">
      <c r="B717" s="687"/>
      <c r="C717" s="687"/>
      <c r="D717" s="688"/>
      <c r="E717" s="689"/>
      <c r="F717" s="690"/>
      <c r="G717" s="690"/>
      <c r="H717" s="690"/>
      <c r="I717" s="691"/>
      <c r="J717" s="691"/>
      <c r="K717" s="691"/>
      <c r="L717" s="692"/>
      <c r="M717" s="692"/>
      <c r="N717" s="692"/>
      <c r="O717" s="693"/>
      <c r="P717" s="688"/>
      <c r="Q717" s="688"/>
      <c r="R717" s="688"/>
      <c r="S717" s="688"/>
      <c r="T717" s="689"/>
      <c r="U717" s="689"/>
      <c r="V717" s="694"/>
      <c r="W717" s="694"/>
      <c r="X717" s="694"/>
      <c r="Y717" s="694"/>
      <c r="Z717" s="693"/>
      <c r="AA717" s="693"/>
      <c r="AB717" s="693"/>
      <c r="AC717" s="693"/>
      <c r="AD717" s="688"/>
      <c r="AE717" s="689"/>
      <c r="AF717" s="689"/>
      <c r="AG717" s="690"/>
      <c r="AH717" s="690"/>
      <c r="AI717" s="695"/>
      <c r="AJ717" s="695"/>
      <c r="AK717" s="692"/>
      <c r="AL717" s="692"/>
      <c r="AM717" s="693"/>
      <c r="AN717" s="688"/>
      <c r="AO717" s="688"/>
      <c r="AP717" s="688"/>
      <c r="AQ717" s="688"/>
      <c r="AR717" s="688"/>
      <c r="AS717" s="688"/>
      <c r="AT717" s="689"/>
      <c r="AU717" s="689"/>
      <c r="AV717" s="690"/>
      <c r="AW717" s="690"/>
      <c r="AX717" s="690"/>
      <c r="AY717" s="690"/>
      <c r="AZ717" s="690"/>
      <c r="BA717" s="690"/>
      <c r="BB717" s="695"/>
      <c r="BC717" s="695"/>
      <c r="BD717" s="695"/>
      <c r="BE717" s="695"/>
      <c r="BF717" s="692"/>
      <c r="BG717" s="692"/>
      <c r="BH717" s="692"/>
      <c r="BI717" s="692"/>
      <c r="BJ717" s="692"/>
      <c r="BK717" s="692"/>
      <c r="BL717" s="693"/>
      <c r="BM717" s="693"/>
      <c r="BN717" s="688"/>
      <c r="BO717" s="693"/>
      <c r="BP717" s="689"/>
      <c r="BQ717" s="694"/>
      <c r="BR717" s="687"/>
      <c r="BS717" s="687"/>
      <c r="BT717" s="687"/>
      <c r="BU717" s="687"/>
      <c r="BV717" s="687"/>
      <c r="BW717" s="688"/>
      <c r="BX717" s="688"/>
      <c r="BY717" s="689"/>
      <c r="BZ717" s="690"/>
      <c r="CA717" s="690"/>
      <c r="CB717" s="690"/>
      <c r="CC717" s="691"/>
      <c r="CD717" s="691"/>
      <c r="CE717" s="692"/>
      <c r="CF717" s="692"/>
      <c r="CG717" s="692"/>
      <c r="CH717" s="693"/>
    </row>
    <row r="718">
      <c r="B718" s="687"/>
      <c r="C718" s="687"/>
      <c r="D718" s="688"/>
      <c r="E718" s="689"/>
      <c r="F718" s="690"/>
      <c r="G718" s="690"/>
      <c r="H718" s="690"/>
      <c r="I718" s="691"/>
      <c r="J718" s="691"/>
      <c r="K718" s="691"/>
      <c r="L718" s="692"/>
      <c r="M718" s="692"/>
      <c r="N718" s="692"/>
      <c r="O718" s="693"/>
      <c r="P718" s="688"/>
      <c r="Q718" s="688"/>
      <c r="R718" s="688"/>
      <c r="S718" s="688"/>
      <c r="T718" s="689"/>
      <c r="U718" s="689"/>
      <c r="V718" s="694"/>
      <c r="W718" s="694"/>
      <c r="X718" s="694"/>
      <c r="Y718" s="694"/>
      <c r="Z718" s="693"/>
      <c r="AA718" s="693"/>
      <c r="AB718" s="693"/>
      <c r="AC718" s="693"/>
      <c r="AD718" s="688"/>
      <c r="AE718" s="689"/>
      <c r="AF718" s="689"/>
      <c r="AG718" s="690"/>
      <c r="AH718" s="690"/>
      <c r="AI718" s="695"/>
      <c r="AJ718" s="695"/>
      <c r="AK718" s="692"/>
      <c r="AL718" s="692"/>
      <c r="AM718" s="693"/>
      <c r="AN718" s="688"/>
      <c r="AO718" s="688"/>
      <c r="AP718" s="688"/>
      <c r="AQ718" s="688"/>
      <c r="AR718" s="688"/>
      <c r="AS718" s="688"/>
      <c r="AT718" s="689"/>
      <c r="AU718" s="689"/>
      <c r="AV718" s="690"/>
      <c r="AW718" s="690"/>
      <c r="AX718" s="690"/>
      <c r="AY718" s="690"/>
      <c r="AZ718" s="690"/>
      <c r="BA718" s="690"/>
      <c r="BB718" s="695"/>
      <c r="BC718" s="695"/>
      <c r="BD718" s="695"/>
      <c r="BE718" s="695"/>
      <c r="BF718" s="692"/>
      <c r="BG718" s="692"/>
      <c r="BH718" s="692"/>
      <c r="BI718" s="692"/>
      <c r="BJ718" s="692"/>
      <c r="BK718" s="692"/>
      <c r="BL718" s="693"/>
      <c r="BM718" s="693"/>
      <c r="BN718" s="688"/>
      <c r="BO718" s="693"/>
      <c r="BP718" s="689"/>
      <c r="BQ718" s="694"/>
      <c r="BR718" s="687"/>
      <c r="BS718" s="687"/>
      <c r="BT718" s="687"/>
      <c r="BU718" s="687"/>
      <c r="BV718" s="687"/>
      <c r="BW718" s="688"/>
      <c r="BX718" s="688"/>
      <c r="BY718" s="689"/>
      <c r="BZ718" s="690"/>
      <c r="CA718" s="690"/>
      <c r="CB718" s="690"/>
      <c r="CC718" s="691"/>
      <c r="CD718" s="691"/>
      <c r="CE718" s="692"/>
      <c r="CF718" s="692"/>
      <c r="CG718" s="692"/>
      <c r="CH718" s="693"/>
    </row>
    <row r="719">
      <c r="B719" s="687"/>
      <c r="C719" s="687"/>
      <c r="D719" s="688"/>
      <c r="E719" s="689"/>
      <c r="F719" s="690"/>
      <c r="G719" s="690"/>
      <c r="H719" s="690"/>
      <c r="I719" s="691"/>
      <c r="J719" s="691"/>
      <c r="K719" s="691"/>
      <c r="L719" s="692"/>
      <c r="M719" s="692"/>
      <c r="N719" s="692"/>
      <c r="O719" s="693"/>
      <c r="P719" s="688"/>
      <c r="Q719" s="688"/>
      <c r="R719" s="688"/>
      <c r="S719" s="688"/>
      <c r="T719" s="689"/>
      <c r="U719" s="689"/>
      <c r="V719" s="694"/>
      <c r="W719" s="694"/>
      <c r="X719" s="694"/>
      <c r="Y719" s="694"/>
      <c r="Z719" s="693"/>
      <c r="AA719" s="693"/>
      <c r="AB719" s="693"/>
      <c r="AC719" s="693"/>
      <c r="AD719" s="688"/>
      <c r="AE719" s="689"/>
      <c r="AF719" s="689"/>
      <c r="AG719" s="690"/>
      <c r="AH719" s="690"/>
      <c r="AI719" s="695"/>
      <c r="AJ719" s="695"/>
      <c r="AK719" s="692"/>
      <c r="AL719" s="692"/>
      <c r="AM719" s="693"/>
      <c r="AN719" s="688"/>
      <c r="AO719" s="688"/>
      <c r="AP719" s="688"/>
      <c r="AQ719" s="688"/>
      <c r="AR719" s="688"/>
      <c r="AS719" s="688"/>
      <c r="AT719" s="689"/>
      <c r="AU719" s="689"/>
      <c r="AV719" s="690"/>
      <c r="AW719" s="690"/>
      <c r="AX719" s="690"/>
      <c r="AY719" s="690"/>
      <c r="AZ719" s="690"/>
      <c r="BA719" s="690"/>
      <c r="BB719" s="695"/>
      <c r="BC719" s="695"/>
      <c r="BD719" s="695"/>
      <c r="BE719" s="695"/>
      <c r="BF719" s="692"/>
      <c r="BG719" s="692"/>
      <c r="BH719" s="692"/>
      <c r="BI719" s="692"/>
      <c r="BJ719" s="692"/>
      <c r="BK719" s="692"/>
      <c r="BL719" s="693"/>
      <c r="BM719" s="693"/>
      <c r="BN719" s="688"/>
      <c r="BO719" s="693"/>
      <c r="BP719" s="689"/>
      <c r="BQ719" s="694"/>
      <c r="BR719" s="687"/>
      <c r="BS719" s="687"/>
      <c r="BT719" s="687"/>
      <c r="BU719" s="687"/>
      <c r="BV719" s="687"/>
      <c r="BW719" s="688"/>
      <c r="BX719" s="688"/>
      <c r="BY719" s="689"/>
      <c r="BZ719" s="690"/>
      <c r="CA719" s="690"/>
      <c r="CB719" s="690"/>
      <c r="CC719" s="691"/>
      <c r="CD719" s="691"/>
      <c r="CE719" s="692"/>
      <c r="CF719" s="692"/>
      <c r="CG719" s="692"/>
      <c r="CH719" s="693"/>
    </row>
    <row r="720">
      <c r="B720" s="687"/>
      <c r="C720" s="687"/>
      <c r="D720" s="688"/>
      <c r="E720" s="689"/>
      <c r="F720" s="690"/>
      <c r="G720" s="690"/>
      <c r="H720" s="690"/>
      <c r="I720" s="691"/>
      <c r="J720" s="691"/>
      <c r="K720" s="691"/>
      <c r="L720" s="692"/>
      <c r="M720" s="692"/>
      <c r="N720" s="692"/>
      <c r="O720" s="693"/>
      <c r="P720" s="688"/>
      <c r="Q720" s="688"/>
      <c r="R720" s="688"/>
      <c r="S720" s="688"/>
      <c r="T720" s="689"/>
      <c r="U720" s="689"/>
      <c r="V720" s="694"/>
      <c r="W720" s="694"/>
      <c r="X720" s="694"/>
      <c r="Y720" s="694"/>
      <c r="Z720" s="693"/>
      <c r="AA720" s="693"/>
      <c r="AB720" s="693"/>
      <c r="AC720" s="693"/>
      <c r="AD720" s="688"/>
      <c r="AE720" s="689"/>
      <c r="AF720" s="689"/>
      <c r="AG720" s="690"/>
      <c r="AH720" s="690"/>
      <c r="AI720" s="695"/>
      <c r="AJ720" s="695"/>
      <c r="AK720" s="692"/>
      <c r="AL720" s="692"/>
      <c r="AM720" s="693"/>
      <c r="AN720" s="688"/>
      <c r="AO720" s="688"/>
      <c r="AP720" s="688"/>
      <c r="AQ720" s="688"/>
      <c r="AR720" s="688"/>
      <c r="AS720" s="688"/>
      <c r="AT720" s="689"/>
      <c r="AU720" s="689"/>
      <c r="AV720" s="690"/>
      <c r="AW720" s="690"/>
      <c r="AX720" s="690"/>
      <c r="AY720" s="690"/>
      <c r="AZ720" s="690"/>
      <c r="BA720" s="690"/>
      <c r="BB720" s="695"/>
      <c r="BC720" s="695"/>
      <c r="BD720" s="695"/>
      <c r="BE720" s="695"/>
      <c r="BF720" s="692"/>
      <c r="BG720" s="692"/>
      <c r="BH720" s="692"/>
      <c r="BI720" s="692"/>
      <c r="BJ720" s="692"/>
      <c r="BK720" s="692"/>
      <c r="BL720" s="693"/>
      <c r="BM720" s="693"/>
      <c r="BN720" s="688"/>
      <c r="BO720" s="693"/>
      <c r="BP720" s="689"/>
      <c r="BQ720" s="694"/>
      <c r="BR720" s="687"/>
      <c r="BS720" s="687"/>
      <c r="BT720" s="687"/>
      <c r="BU720" s="687"/>
      <c r="BV720" s="687"/>
      <c r="BW720" s="688"/>
      <c r="BX720" s="688"/>
      <c r="BY720" s="689"/>
      <c r="BZ720" s="690"/>
      <c r="CA720" s="690"/>
      <c r="CB720" s="690"/>
      <c r="CC720" s="691"/>
      <c r="CD720" s="691"/>
      <c r="CE720" s="692"/>
      <c r="CF720" s="692"/>
      <c r="CG720" s="692"/>
      <c r="CH720" s="693"/>
    </row>
    <row r="721">
      <c r="B721" s="687"/>
      <c r="C721" s="687"/>
      <c r="D721" s="688"/>
      <c r="E721" s="689"/>
      <c r="F721" s="690"/>
      <c r="G721" s="690"/>
      <c r="H721" s="690"/>
      <c r="I721" s="691"/>
      <c r="J721" s="691"/>
      <c r="K721" s="691"/>
      <c r="L721" s="692"/>
      <c r="M721" s="692"/>
      <c r="N721" s="692"/>
      <c r="O721" s="693"/>
      <c r="P721" s="688"/>
      <c r="Q721" s="688"/>
      <c r="R721" s="688"/>
      <c r="S721" s="688"/>
      <c r="T721" s="689"/>
      <c r="U721" s="689"/>
      <c r="V721" s="694"/>
      <c r="W721" s="694"/>
      <c r="X721" s="694"/>
      <c r="Y721" s="694"/>
      <c r="Z721" s="693"/>
      <c r="AA721" s="693"/>
      <c r="AB721" s="693"/>
      <c r="AC721" s="693"/>
      <c r="AD721" s="688"/>
      <c r="AE721" s="689"/>
      <c r="AF721" s="689"/>
      <c r="AG721" s="690"/>
      <c r="AH721" s="690"/>
      <c r="AI721" s="695"/>
      <c r="AJ721" s="695"/>
      <c r="AK721" s="692"/>
      <c r="AL721" s="692"/>
      <c r="AM721" s="693"/>
      <c r="AN721" s="688"/>
      <c r="AO721" s="688"/>
      <c r="AP721" s="688"/>
      <c r="AQ721" s="688"/>
      <c r="AR721" s="688"/>
      <c r="AS721" s="688"/>
      <c r="AT721" s="689"/>
      <c r="AU721" s="689"/>
      <c r="AV721" s="690"/>
      <c r="AW721" s="690"/>
      <c r="AX721" s="690"/>
      <c r="AY721" s="690"/>
      <c r="AZ721" s="690"/>
      <c r="BA721" s="690"/>
      <c r="BB721" s="695"/>
      <c r="BC721" s="695"/>
      <c r="BD721" s="695"/>
      <c r="BE721" s="695"/>
      <c r="BF721" s="692"/>
      <c r="BG721" s="692"/>
      <c r="BH721" s="692"/>
      <c r="BI721" s="692"/>
      <c r="BJ721" s="692"/>
      <c r="BK721" s="692"/>
      <c r="BL721" s="693"/>
      <c r="BM721" s="693"/>
      <c r="BN721" s="688"/>
      <c r="BO721" s="693"/>
      <c r="BP721" s="689"/>
      <c r="BQ721" s="694"/>
      <c r="BR721" s="687"/>
      <c r="BS721" s="687"/>
      <c r="BT721" s="687"/>
      <c r="BU721" s="687"/>
      <c r="BV721" s="687"/>
      <c r="BW721" s="688"/>
      <c r="BX721" s="688"/>
      <c r="BY721" s="689"/>
      <c r="BZ721" s="690"/>
      <c r="CA721" s="690"/>
      <c r="CB721" s="690"/>
      <c r="CC721" s="691"/>
      <c r="CD721" s="691"/>
      <c r="CE721" s="692"/>
      <c r="CF721" s="692"/>
      <c r="CG721" s="692"/>
      <c r="CH721" s="693"/>
    </row>
    <row r="722">
      <c r="B722" s="687"/>
      <c r="C722" s="687"/>
      <c r="D722" s="688"/>
      <c r="E722" s="689"/>
      <c r="F722" s="690"/>
      <c r="G722" s="690"/>
      <c r="H722" s="690"/>
      <c r="I722" s="691"/>
      <c r="J722" s="691"/>
      <c r="K722" s="691"/>
      <c r="L722" s="692"/>
      <c r="M722" s="692"/>
      <c r="N722" s="692"/>
      <c r="O722" s="693"/>
      <c r="P722" s="688"/>
      <c r="Q722" s="688"/>
      <c r="R722" s="688"/>
      <c r="S722" s="688"/>
      <c r="T722" s="689"/>
      <c r="U722" s="689"/>
      <c r="V722" s="694"/>
      <c r="W722" s="694"/>
      <c r="X722" s="694"/>
      <c r="Y722" s="694"/>
      <c r="Z722" s="693"/>
      <c r="AA722" s="693"/>
      <c r="AB722" s="693"/>
      <c r="AC722" s="693"/>
      <c r="AD722" s="688"/>
      <c r="AE722" s="689"/>
      <c r="AF722" s="689"/>
      <c r="AG722" s="690"/>
      <c r="AH722" s="690"/>
      <c r="AI722" s="695"/>
      <c r="AJ722" s="695"/>
      <c r="AK722" s="692"/>
      <c r="AL722" s="692"/>
      <c r="AM722" s="693"/>
      <c r="AN722" s="688"/>
      <c r="AO722" s="688"/>
      <c r="AP722" s="688"/>
      <c r="AQ722" s="688"/>
      <c r="AR722" s="688"/>
      <c r="AS722" s="688"/>
      <c r="AT722" s="689"/>
      <c r="AU722" s="689"/>
      <c r="AV722" s="690"/>
      <c r="AW722" s="690"/>
      <c r="AX722" s="690"/>
      <c r="AY722" s="690"/>
      <c r="AZ722" s="690"/>
      <c r="BA722" s="690"/>
      <c r="BB722" s="695"/>
      <c r="BC722" s="695"/>
      <c r="BD722" s="695"/>
      <c r="BE722" s="695"/>
      <c r="BF722" s="692"/>
      <c r="BG722" s="692"/>
      <c r="BH722" s="692"/>
      <c r="BI722" s="692"/>
      <c r="BJ722" s="692"/>
      <c r="BK722" s="692"/>
      <c r="BL722" s="693"/>
      <c r="BM722" s="693"/>
      <c r="BN722" s="688"/>
      <c r="BO722" s="693"/>
      <c r="BP722" s="689"/>
      <c r="BQ722" s="694"/>
      <c r="BR722" s="687"/>
      <c r="BS722" s="687"/>
      <c r="BT722" s="687"/>
      <c r="BU722" s="687"/>
      <c r="BV722" s="687"/>
      <c r="BW722" s="688"/>
      <c r="BX722" s="688"/>
      <c r="BY722" s="689"/>
      <c r="BZ722" s="690"/>
      <c r="CA722" s="690"/>
      <c r="CB722" s="690"/>
      <c r="CC722" s="691"/>
      <c r="CD722" s="691"/>
      <c r="CE722" s="692"/>
      <c r="CF722" s="692"/>
      <c r="CG722" s="692"/>
      <c r="CH722" s="693"/>
    </row>
    <row r="723">
      <c r="B723" s="687"/>
      <c r="C723" s="687"/>
      <c r="D723" s="688"/>
      <c r="E723" s="689"/>
      <c r="F723" s="690"/>
      <c r="G723" s="690"/>
      <c r="H723" s="690"/>
      <c r="I723" s="691"/>
      <c r="J723" s="691"/>
      <c r="K723" s="691"/>
      <c r="L723" s="692"/>
      <c r="M723" s="692"/>
      <c r="N723" s="692"/>
      <c r="O723" s="693"/>
      <c r="P723" s="688"/>
      <c r="Q723" s="688"/>
      <c r="R723" s="688"/>
      <c r="S723" s="688"/>
      <c r="T723" s="689"/>
      <c r="U723" s="689"/>
      <c r="V723" s="694"/>
      <c r="W723" s="694"/>
      <c r="X723" s="694"/>
      <c r="Y723" s="694"/>
      <c r="Z723" s="693"/>
      <c r="AA723" s="693"/>
      <c r="AB723" s="693"/>
      <c r="AC723" s="693"/>
      <c r="AD723" s="688"/>
      <c r="AE723" s="689"/>
      <c r="AF723" s="689"/>
      <c r="AG723" s="690"/>
      <c r="AH723" s="690"/>
      <c r="AI723" s="695"/>
      <c r="AJ723" s="695"/>
      <c r="AK723" s="692"/>
      <c r="AL723" s="692"/>
      <c r="AM723" s="693"/>
      <c r="AN723" s="688"/>
      <c r="AO723" s="688"/>
      <c r="AP723" s="688"/>
      <c r="AQ723" s="688"/>
      <c r="AR723" s="688"/>
      <c r="AS723" s="688"/>
      <c r="AT723" s="689"/>
      <c r="AU723" s="689"/>
      <c r="AV723" s="690"/>
      <c r="AW723" s="690"/>
      <c r="AX723" s="690"/>
      <c r="AY723" s="690"/>
      <c r="AZ723" s="690"/>
      <c r="BA723" s="690"/>
      <c r="BB723" s="695"/>
      <c r="BC723" s="695"/>
      <c r="BD723" s="695"/>
      <c r="BE723" s="695"/>
      <c r="BF723" s="692"/>
      <c r="BG723" s="692"/>
      <c r="BH723" s="692"/>
      <c r="BI723" s="692"/>
      <c r="BJ723" s="692"/>
      <c r="BK723" s="692"/>
      <c r="BL723" s="693"/>
      <c r="BM723" s="693"/>
      <c r="BN723" s="688"/>
      <c r="BO723" s="693"/>
      <c r="BP723" s="689"/>
      <c r="BQ723" s="694"/>
      <c r="BR723" s="687"/>
      <c r="BS723" s="687"/>
      <c r="BT723" s="687"/>
      <c r="BU723" s="687"/>
      <c r="BV723" s="687"/>
      <c r="BW723" s="688"/>
      <c r="BX723" s="688"/>
      <c r="BY723" s="689"/>
      <c r="BZ723" s="690"/>
      <c r="CA723" s="690"/>
      <c r="CB723" s="690"/>
      <c r="CC723" s="691"/>
      <c r="CD723" s="691"/>
      <c r="CE723" s="692"/>
      <c r="CF723" s="692"/>
      <c r="CG723" s="692"/>
      <c r="CH723" s="693"/>
    </row>
    <row r="724">
      <c r="B724" s="687"/>
      <c r="C724" s="687"/>
      <c r="D724" s="688"/>
      <c r="E724" s="689"/>
      <c r="F724" s="690"/>
      <c r="G724" s="690"/>
      <c r="H724" s="690"/>
      <c r="I724" s="691"/>
      <c r="J724" s="691"/>
      <c r="K724" s="691"/>
      <c r="L724" s="692"/>
      <c r="M724" s="692"/>
      <c r="N724" s="692"/>
      <c r="O724" s="693"/>
      <c r="P724" s="688"/>
      <c r="Q724" s="688"/>
      <c r="R724" s="688"/>
      <c r="S724" s="688"/>
      <c r="T724" s="689"/>
      <c r="U724" s="689"/>
      <c r="V724" s="694"/>
      <c r="W724" s="694"/>
      <c r="X724" s="694"/>
      <c r="Y724" s="694"/>
      <c r="Z724" s="693"/>
      <c r="AA724" s="693"/>
      <c r="AB724" s="693"/>
      <c r="AC724" s="693"/>
      <c r="AD724" s="688"/>
      <c r="AE724" s="689"/>
      <c r="AF724" s="689"/>
      <c r="AG724" s="690"/>
      <c r="AH724" s="690"/>
      <c r="AI724" s="695"/>
      <c r="AJ724" s="695"/>
      <c r="AK724" s="692"/>
      <c r="AL724" s="692"/>
      <c r="AM724" s="693"/>
      <c r="AN724" s="688"/>
      <c r="AO724" s="688"/>
      <c r="AP724" s="688"/>
      <c r="AQ724" s="688"/>
      <c r="AR724" s="688"/>
      <c r="AS724" s="688"/>
      <c r="AT724" s="689"/>
      <c r="AU724" s="689"/>
      <c r="AV724" s="690"/>
      <c r="AW724" s="690"/>
      <c r="AX724" s="690"/>
      <c r="AY724" s="690"/>
      <c r="AZ724" s="690"/>
      <c r="BA724" s="690"/>
      <c r="BB724" s="695"/>
      <c r="BC724" s="695"/>
      <c r="BD724" s="695"/>
      <c r="BE724" s="695"/>
      <c r="BF724" s="692"/>
      <c r="BG724" s="692"/>
      <c r="BH724" s="692"/>
      <c r="BI724" s="692"/>
      <c r="BJ724" s="692"/>
      <c r="BK724" s="692"/>
      <c r="BL724" s="693"/>
      <c r="BM724" s="693"/>
      <c r="BN724" s="688"/>
      <c r="BO724" s="693"/>
      <c r="BP724" s="689"/>
      <c r="BQ724" s="694"/>
      <c r="BR724" s="687"/>
      <c r="BS724" s="687"/>
      <c r="BT724" s="687"/>
      <c r="BU724" s="687"/>
      <c r="BV724" s="687"/>
      <c r="BW724" s="688"/>
      <c r="BX724" s="688"/>
      <c r="BY724" s="689"/>
      <c r="BZ724" s="690"/>
      <c r="CA724" s="690"/>
      <c r="CB724" s="690"/>
      <c r="CC724" s="691"/>
      <c r="CD724" s="691"/>
      <c r="CE724" s="692"/>
      <c r="CF724" s="692"/>
      <c r="CG724" s="692"/>
      <c r="CH724" s="693"/>
    </row>
    <row r="725">
      <c r="B725" s="687"/>
      <c r="C725" s="687"/>
      <c r="D725" s="688"/>
      <c r="E725" s="689"/>
      <c r="F725" s="690"/>
      <c r="G725" s="690"/>
      <c r="H725" s="690"/>
      <c r="I725" s="691"/>
      <c r="J725" s="691"/>
      <c r="K725" s="691"/>
      <c r="L725" s="692"/>
      <c r="M725" s="692"/>
      <c r="N725" s="692"/>
      <c r="O725" s="693"/>
      <c r="P725" s="688"/>
      <c r="Q725" s="688"/>
      <c r="R725" s="688"/>
      <c r="S725" s="688"/>
      <c r="T725" s="689"/>
      <c r="U725" s="689"/>
      <c r="V725" s="694"/>
      <c r="W725" s="694"/>
      <c r="X725" s="694"/>
      <c r="Y725" s="694"/>
      <c r="Z725" s="693"/>
      <c r="AA725" s="693"/>
      <c r="AB725" s="693"/>
      <c r="AC725" s="693"/>
      <c r="AD725" s="688"/>
      <c r="AE725" s="689"/>
      <c r="AF725" s="689"/>
      <c r="AG725" s="690"/>
      <c r="AH725" s="690"/>
      <c r="AI725" s="695"/>
      <c r="AJ725" s="695"/>
      <c r="AK725" s="692"/>
      <c r="AL725" s="692"/>
      <c r="AM725" s="693"/>
      <c r="AN725" s="688"/>
      <c r="AO725" s="688"/>
      <c r="AP725" s="688"/>
      <c r="AQ725" s="688"/>
      <c r="AR725" s="688"/>
      <c r="AS725" s="688"/>
      <c r="AT725" s="689"/>
      <c r="AU725" s="689"/>
      <c r="AV725" s="690"/>
      <c r="AW725" s="690"/>
      <c r="AX725" s="690"/>
      <c r="AY725" s="690"/>
      <c r="AZ725" s="690"/>
      <c r="BA725" s="690"/>
      <c r="BB725" s="695"/>
      <c r="BC725" s="695"/>
      <c r="BD725" s="695"/>
      <c r="BE725" s="695"/>
      <c r="BF725" s="692"/>
      <c r="BG725" s="692"/>
      <c r="BH725" s="692"/>
      <c r="BI725" s="692"/>
      <c r="BJ725" s="692"/>
      <c r="BK725" s="692"/>
      <c r="BL725" s="693"/>
      <c r="BM725" s="693"/>
      <c r="BN725" s="688"/>
      <c r="BO725" s="693"/>
      <c r="BP725" s="689"/>
      <c r="BQ725" s="694"/>
      <c r="BR725" s="687"/>
      <c r="BS725" s="687"/>
      <c r="BT725" s="687"/>
      <c r="BU725" s="687"/>
      <c r="BV725" s="687"/>
      <c r="BW725" s="688"/>
      <c r="BX725" s="688"/>
      <c r="BY725" s="689"/>
      <c r="BZ725" s="690"/>
      <c r="CA725" s="690"/>
      <c r="CB725" s="690"/>
      <c r="CC725" s="691"/>
      <c r="CD725" s="691"/>
      <c r="CE725" s="692"/>
      <c r="CF725" s="692"/>
      <c r="CG725" s="692"/>
      <c r="CH725" s="693"/>
    </row>
    <row r="726">
      <c r="B726" s="687"/>
      <c r="C726" s="687"/>
      <c r="D726" s="688"/>
      <c r="E726" s="689"/>
      <c r="F726" s="690"/>
      <c r="G726" s="690"/>
      <c r="H726" s="690"/>
      <c r="I726" s="691"/>
      <c r="J726" s="691"/>
      <c r="K726" s="691"/>
      <c r="L726" s="692"/>
      <c r="M726" s="692"/>
      <c r="N726" s="692"/>
      <c r="O726" s="693"/>
      <c r="P726" s="688"/>
      <c r="Q726" s="688"/>
      <c r="R726" s="688"/>
      <c r="S726" s="688"/>
      <c r="T726" s="689"/>
      <c r="U726" s="689"/>
      <c r="V726" s="694"/>
      <c r="W726" s="694"/>
      <c r="X726" s="694"/>
      <c r="Y726" s="694"/>
      <c r="Z726" s="693"/>
      <c r="AA726" s="693"/>
      <c r="AB726" s="693"/>
      <c r="AC726" s="693"/>
      <c r="AD726" s="688"/>
      <c r="AE726" s="689"/>
      <c r="AF726" s="689"/>
      <c r="AG726" s="690"/>
      <c r="AH726" s="690"/>
      <c r="AI726" s="695"/>
      <c r="AJ726" s="695"/>
      <c r="AK726" s="692"/>
      <c r="AL726" s="692"/>
      <c r="AM726" s="693"/>
      <c r="AN726" s="688"/>
      <c r="AO726" s="688"/>
      <c r="AP726" s="688"/>
      <c r="AQ726" s="688"/>
      <c r="AR726" s="688"/>
      <c r="AS726" s="688"/>
      <c r="AT726" s="689"/>
      <c r="AU726" s="689"/>
      <c r="AV726" s="690"/>
      <c r="AW726" s="690"/>
      <c r="AX726" s="690"/>
      <c r="AY726" s="690"/>
      <c r="AZ726" s="690"/>
      <c r="BA726" s="690"/>
      <c r="BB726" s="695"/>
      <c r="BC726" s="695"/>
      <c r="BD726" s="695"/>
      <c r="BE726" s="695"/>
      <c r="BF726" s="692"/>
      <c r="BG726" s="692"/>
      <c r="BH726" s="692"/>
      <c r="BI726" s="692"/>
      <c r="BJ726" s="692"/>
      <c r="BK726" s="692"/>
      <c r="BL726" s="693"/>
      <c r="BM726" s="693"/>
      <c r="BN726" s="688"/>
      <c r="BO726" s="693"/>
      <c r="BP726" s="689"/>
      <c r="BQ726" s="694"/>
      <c r="BR726" s="687"/>
      <c r="BS726" s="687"/>
      <c r="BT726" s="687"/>
      <c r="BU726" s="687"/>
      <c r="BV726" s="687"/>
      <c r="BW726" s="688"/>
      <c r="BX726" s="688"/>
      <c r="BY726" s="689"/>
      <c r="BZ726" s="690"/>
      <c r="CA726" s="690"/>
      <c r="CB726" s="690"/>
      <c r="CC726" s="691"/>
      <c r="CD726" s="691"/>
      <c r="CE726" s="692"/>
      <c r="CF726" s="692"/>
      <c r="CG726" s="692"/>
      <c r="CH726" s="693"/>
    </row>
    <row r="727">
      <c r="B727" s="687"/>
      <c r="C727" s="687"/>
      <c r="D727" s="688"/>
      <c r="E727" s="689"/>
      <c r="F727" s="690"/>
      <c r="G727" s="690"/>
      <c r="H727" s="690"/>
      <c r="I727" s="691"/>
      <c r="J727" s="691"/>
      <c r="K727" s="691"/>
      <c r="L727" s="692"/>
      <c r="M727" s="692"/>
      <c r="N727" s="692"/>
      <c r="O727" s="693"/>
      <c r="P727" s="688"/>
      <c r="Q727" s="688"/>
      <c r="R727" s="688"/>
      <c r="S727" s="688"/>
      <c r="T727" s="689"/>
      <c r="U727" s="689"/>
      <c r="V727" s="694"/>
      <c r="W727" s="694"/>
      <c r="X727" s="694"/>
      <c r="Y727" s="694"/>
      <c r="Z727" s="693"/>
      <c r="AA727" s="693"/>
      <c r="AB727" s="693"/>
      <c r="AC727" s="693"/>
      <c r="AD727" s="688"/>
      <c r="AE727" s="689"/>
      <c r="AF727" s="689"/>
      <c r="AG727" s="690"/>
      <c r="AH727" s="690"/>
      <c r="AI727" s="695"/>
      <c r="AJ727" s="695"/>
      <c r="AK727" s="692"/>
      <c r="AL727" s="692"/>
      <c r="AM727" s="693"/>
      <c r="AN727" s="688"/>
      <c r="AO727" s="688"/>
      <c r="AP727" s="688"/>
      <c r="AQ727" s="688"/>
      <c r="AR727" s="688"/>
      <c r="AS727" s="688"/>
      <c r="AT727" s="689"/>
      <c r="AU727" s="689"/>
      <c r="AV727" s="690"/>
      <c r="AW727" s="690"/>
      <c r="AX727" s="690"/>
      <c r="AY727" s="690"/>
      <c r="AZ727" s="690"/>
      <c r="BA727" s="690"/>
      <c r="BB727" s="695"/>
      <c r="BC727" s="695"/>
      <c r="BD727" s="695"/>
      <c r="BE727" s="695"/>
      <c r="BF727" s="692"/>
      <c r="BG727" s="692"/>
      <c r="BH727" s="692"/>
      <c r="BI727" s="692"/>
      <c r="BJ727" s="692"/>
      <c r="BK727" s="692"/>
      <c r="BL727" s="693"/>
      <c r="BM727" s="693"/>
      <c r="BN727" s="688"/>
      <c r="BO727" s="693"/>
      <c r="BP727" s="689"/>
      <c r="BQ727" s="694"/>
      <c r="BR727" s="687"/>
      <c r="BS727" s="687"/>
      <c r="BT727" s="687"/>
      <c r="BU727" s="687"/>
      <c r="BV727" s="687"/>
      <c r="BW727" s="688"/>
      <c r="BX727" s="688"/>
      <c r="BY727" s="689"/>
      <c r="BZ727" s="690"/>
      <c r="CA727" s="690"/>
      <c r="CB727" s="690"/>
      <c r="CC727" s="691"/>
      <c r="CD727" s="691"/>
      <c r="CE727" s="692"/>
      <c r="CF727" s="692"/>
      <c r="CG727" s="692"/>
      <c r="CH727" s="693"/>
    </row>
    <row r="728">
      <c r="B728" s="687"/>
      <c r="C728" s="687"/>
      <c r="D728" s="688"/>
      <c r="E728" s="689"/>
      <c r="F728" s="690"/>
      <c r="G728" s="690"/>
      <c r="H728" s="690"/>
      <c r="I728" s="691"/>
      <c r="J728" s="691"/>
      <c r="K728" s="691"/>
      <c r="L728" s="692"/>
      <c r="M728" s="692"/>
      <c r="N728" s="692"/>
      <c r="O728" s="693"/>
      <c r="P728" s="688"/>
      <c r="Q728" s="688"/>
      <c r="R728" s="688"/>
      <c r="S728" s="688"/>
      <c r="T728" s="689"/>
      <c r="U728" s="689"/>
      <c r="V728" s="694"/>
      <c r="W728" s="694"/>
      <c r="X728" s="694"/>
      <c r="Y728" s="694"/>
      <c r="Z728" s="693"/>
      <c r="AA728" s="693"/>
      <c r="AB728" s="693"/>
      <c r="AC728" s="693"/>
      <c r="AD728" s="688"/>
      <c r="AE728" s="689"/>
      <c r="AF728" s="689"/>
      <c r="AG728" s="690"/>
      <c r="AH728" s="690"/>
      <c r="AI728" s="695"/>
      <c r="AJ728" s="695"/>
      <c r="AK728" s="692"/>
      <c r="AL728" s="692"/>
      <c r="AM728" s="693"/>
      <c r="AN728" s="688"/>
      <c r="AO728" s="688"/>
      <c r="AP728" s="688"/>
      <c r="AQ728" s="688"/>
      <c r="AR728" s="688"/>
      <c r="AS728" s="688"/>
      <c r="AT728" s="689"/>
      <c r="AU728" s="689"/>
      <c r="AV728" s="690"/>
      <c r="AW728" s="690"/>
      <c r="AX728" s="690"/>
      <c r="AY728" s="690"/>
      <c r="AZ728" s="690"/>
      <c r="BA728" s="690"/>
      <c r="BB728" s="695"/>
      <c r="BC728" s="695"/>
      <c r="BD728" s="695"/>
      <c r="BE728" s="695"/>
      <c r="BF728" s="692"/>
      <c r="BG728" s="692"/>
      <c r="BH728" s="692"/>
      <c r="BI728" s="692"/>
      <c r="BJ728" s="692"/>
      <c r="BK728" s="692"/>
      <c r="BL728" s="693"/>
      <c r="BM728" s="693"/>
      <c r="BN728" s="688"/>
      <c r="BO728" s="693"/>
      <c r="BP728" s="689"/>
      <c r="BQ728" s="694"/>
      <c r="BR728" s="687"/>
      <c r="BS728" s="687"/>
      <c r="BT728" s="687"/>
      <c r="BU728" s="687"/>
      <c r="BV728" s="687"/>
      <c r="BW728" s="688"/>
      <c r="BX728" s="688"/>
      <c r="BY728" s="689"/>
      <c r="BZ728" s="690"/>
      <c r="CA728" s="690"/>
      <c r="CB728" s="690"/>
      <c r="CC728" s="691"/>
      <c r="CD728" s="691"/>
      <c r="CE728" s="692"/>
      <c r="CF728" s="692"/>
      <c r="CG728" s="692"/>
      <c r="CH728" s="693"/>
    </row>
    <row r="729">
      <c r="B729" s="687"/>
      <c r="C729" s="687"/>
      <c r="D729" s="688"/>
      <c r="E729" s="689"/>
      <c r="F729" s="690"/>
      <c r="G729" s="690"/>
      <c r="H729" s="690"/>
      <c r="I729" s="691"/>
      <c r="J729" s="691"/>
      <c r="K729" s="691"/>
      <c r="L729" s="692"/>
      <c r="M729" s="692"/>
      <c r="N729" s="692"/>
      <c r="O729" s="693"/>
      <c r="P729" s="688"/>
      <c r="Q729" s="688"/>
      <c r="R729" s="688"/>
      <c r="S729" s="688"/>
      <c r="T729" s="689"/>
      <c r="U729" s="689"/>
      <c r="V729" s="694"/>
      <c r="W729" s="694"/>
      <c r="X729" s="694"/>
      <c r="Y729" s="694"/>
      <c r="Z729" s="693"/>
      <c r="AA729" s="693"/>
      <c r="AB729" s="693"/>
      <c r="AC729" s="693"/>
      <c r="AD729" s="688"/>
      <c r="AE729" s="689"/>
      <c r="AF729" s="689"/>
      <c r="AG729" s="690"/>
      <c r="AH729" s="690"/>
      <c r="AI729" s="695"/>
      <c r="AJ729" s="695"/>
      <c r="AK729" s="692"/>
      <c r="AL729" s="692"/>
      <c r="AM729" s="693"/>
      <c r="AN729" s="688"/>
      <c r="AO729" s="688"/>
      <c r="AP729" s="688"/>
      <c r="AQ729" s="688"/>
      <c r="AR729" s="688"/>
      <c r="AS729" s="688"/>
      <c r="AT729" s="689"/>
      <c r="AU729" s="689"/>
      <c r="AV729" s="690"/>
      <c r="AW729" s="690"/>
      <c r="AX729" s="690"/>
      <c r="AY729" s="690"/>
      <c r="AZ729" s="690"/>
      <c r="BA729" s="690"/>
      <c r="BB729" s="695"/>
      <c r="BC729" s="695"/>
      <c r="BD729" s="695"/>
      <c r="BE729" s="695"/>
      <c r="BF729" s="692"/>
      <c r="BG729" s="692"/>
      <c r="BH729" s="692"/>
      <c r="BI729" s="692"/>
      <c r="BJ729" s="692"/>
      <c r="BK729" s="692"/>
      <c r="BL729" s="693"/>
      <c r="BM729" s="693"/>
      <c r="BN729" s="688"/>
      <c r="BO729" s="693"/>
      <c r="BP729" s="689"/>
      <c r="BQ729" s="694"/>
      <c r="BR729" s="687"/>
      <c r="BS729" s="687"/>
      <c r="BT729" s="687"/>
      <c r="BU729" s="687"/>
      <c r="BV729" s="687"/>
      <c r="BW729" s="688"/>
      <c r="BX729" s="688"/>
      <c r="BY729" s="689"/>
      <c r="BZ729" s="690"/>
      <c r="CA729" s="690"/>
      <c r="CB729" s="690"/>
      <c r="CC729" s="691"/>
      <c r="CD729" s="691"/>
      <c r="CE729" s="692"/>
      <c r="CF729" s="692"/>
      <c r="CG729" s="692"/>
      <c r="CH729" s="693"/>
    </row>
    <row r="730">
      <c r="B730" s="687"/>
      <c r="C730" s="687"/>
      <c r="D730" s="688"/>
      <c r="E730" s="689"/>
      <c r="F730" s="690"/>
      <c r="G730" s="690"/>
      <c r="H730" s="690"/>
      <c r="I730" s="691"/>
      <c r="J730" s="691"/>
      <c r="K730" s="691"/>
      <c r="L730" s="692"/>
      <c r="M730" s="692"/>
      <c r="N730" s="692"/>
      <c r="O730" s="693"/>
      <c r="P730" s="688"/>
      <c r="Q730" s="688"/>
      <c r="R730" s="688"/>
      <c r="S730" s="688"/>
      <c r="T730" s="689"/>
      <c r="U730" s="689"/>
      <c r="V730" s="694"/>
      <c r="W730" s="694"/>
      <c r="X730" s="694"/>
      <c r="Y730" s="694"/>
      <c r="Z730" s="693"/>
      <c r="AA730" s="693"/>
      <c r="AB730" s="693"/>
      <c r="AC730" s="693"/>
      <c r="AD730" s="688"/>
      <c r="AE730" s="689"/>
      <c r="AF730" s="689"/>
      <c r="AG730" s="690"/>
      <c r="AH730" s="690"/>
      <c r="AI730" s="695"/>
      <c r="AJ730" s="695"/>
      <c r="AK730" s="692"/>
      <c r="AL730" s="692"/>
      <c r="AM730" s="693"/>
      <c r="AN730" s="688"/>
      <c r="AO730" s="688"/>
      <c r="AP730" s="688"/>
      <c r="AQ730" s="688"/>
      <c r="AR730" s="688"/>
      <c r="AS730" s="688"/>
      <c r="AT730" s="689"/>
      <c r="AU730" s="689"/>
      <c r="AV730" s="690"/>
      <c r="AW730" s="690"/>
      <c r="AX730" s="690"/>
      <c r="AY730" s="690"/>
      <c r="AZ730" s="690"/>
      <c r="BA730" s="690"/>
      <c r="BB730" s="695"/>
      <c r="BC730" s="695"/>
      <c r="BD730" s="695"/>
      <c r="BE730" s="695"/>
      <c r="BF730" s="692"/>
      <c r="BG730" s="692"/>
      <c r="BH730" s="692"/>
      <c r="BI730" s="692"/>
      <c r="BJ730" s="692"/>
      <c r="BK730" s="692"/>
      <c r="BL730" s="693"/>
      <c r="BM730" s="693"/>
      <c r="BN730" s="688"/>
      <c r="BO730" s="693"/>
      <c r="BP730" s="689"/>
      <c r="BQ730" s="694"/>
      <c r="BR730" s="687"/>
      <c r="BS730" s="687"/>
      <c r="BT730" s="687"/>
      <c r="BU730" s="687"/>
      <c r="BV730" s="687"/>
      <c r="BW730" s="688"/>
      <c r="BX730" s="688"/>
      <c r="BY730" s="689"/>
      <c r="BZ730" s="690"/>
      <c r="CA730" s="690"/>
      <c r="CB730" s="690"/>
      <c r="CC730" s="691"/>
      <c r="CD730" s="691"/>
      <c r="CE730" s="692"/>
      <c r="CF730" s="692"/>
      <c r="CG730" s="692"/>
      <c r="CH730" s="693"/>
    </row>
    <row r="731">
      <c r="B731" s="687"/>
      <c r="C731" s="687"/>
      <c r="D731" s="688"/>
      <c r="E731" s="689"/>
      <c r="F731" s="690"/>
      <c r="G731" s="690"/>
      <c r="H731" s="690"/>
      <c r="I731" s="691"/>
      <c r="J731" s="691"/>
      <c r="K731" s="691"/>
      <c r="L731" s="692"/>
      <c r="M731" s="692"/>
      <c r="N731" s="692"/>
      <c r="O731" s="693"/>
      <c r="P731" s="688"/>
      <c r="Q731" s="688"/>
      <c r="R731" s="688"/>
      <c r="S731" s="688"/>
      <c r="T731" s="689"/>
      <c r="U731" s="689"/>
      <c r="V731" s="694"/>
      <c r="W731" s="694"/>
      <c r="X731" s="694"/>
      <c r="Y731" s="694"/>
      <c r="Z731" s="693"/>
      <c r="AA731" s="693"/>
      <c r="AB731" s="693"/>
      <c r="AC731" s="693"/>
      <c r="AD731" s="688"/>
      <c r="AE731" s="689"/>
      <c r="AF731" s="689"/>
      <c r="AG731" s="690"/>
      <c r="AH731" s="690"/>
      <c r="AI731" s="695"/>
      <c r="AJ731" s="695"/>
      <c r="AK731" s="692"/>
      <c r="AL731" s="692"/>
      <c r="AM731" s="693"/>
      <c r="AN731" s="688"/>
      <c r="AO731" s="688"/>
      <c r="AP731" s="688"/>
      <c r="AQ731" s="688"/>
      <c r="AR731" s="688"/>
      <c r="AS731" s="688"/>
      <c r="AT731" s="689"/>
      <c r="AU731" s="689"/>
      <c r="AV731" s="690"/>
      <c r="AW731" s="690"/>
      <c r="AX731" s="690"/>
      <c r="AY731" s="690"/>
      <c r="AZ731" s="690"/>
      <c r="BA731" s="690"/>
      <c r="BB731" s="695"/>
      <c r="BC731" s="695"/>
      <c r="BD731" s="695"/>
      <c r="BE731" s="695"/>
      <c r="BF731" s="692"/>
      <c r="BG731" s="692"/>
      <c r="BH731" s="692"/>
      <c r="BI731" s="692"/>
      <c r="BJ731" s="692"/>
      <c r="BK731" s="692"/>
      <c r="BL731" s="693"/>
      <c r="BM731" s="693"/>
      <c r="BN731" s="688"/>
      <c r="BO731" s="693"/>
      <c r="BP731" s="689"/>
      <c r="BQ731" s="694"/>
      <c r="BR731" s="687"/>
      <c r="BS731" s="687"/>
      <c r="BT731" s="687"/>
      <c r="BU731" s="687"/>
      <c r="BV731" s="687"/>
      <c r="BW731" s="688"/>
      <c r="BX731" s="688"/>
      <c r="BY731" s="689"/>
      <c r="BZ731" s="690"/>
      <c r="CA731" s="690"/>
      <c r="CB731" s="690"/>
      <c r="CC731" s="691"/>
      <c r="CD731" s="691"/>
      <c r="CE731" s="692"/>
      <c r="CF731" s="692"/>
      <c r="CG731" s="692"/>
      <c r="CH731" s="693"/>
    </row>
    <row r="732">
      <c r="B732" s="687"/>
      <c r="C732" s="687"/>
      <c r="D732" s="688"/>
      <c r="E732" s="689"/>
      <c r="F732" s="690"/>
      <c r="G732" s="690"/>
      <c r="H732" s="690"/>
      <c r="I732" s="691"/>
      <c r="J732" s="691"/>
      <c r="K732" s="691"/>
      <c r="L732" s="692"/>
      <c r="M732" s="692"/>
      <c r="N732" s="692"/>
      <c r="O732" s="693"/>
      <c r="P732" s="688"/>
      <c r="Q732" s="688"/>
      <c r="R732" s="688"/>
      <c r="S732" s="688"/>
      <c r="T732" s="689"/>
      <c r="U732" s="689"/>
      <c r="V732" s="694"/>
      <c r="W732" s="694"/>
      <c r="X732" s="694"/>
      <c r="Y732" s="694"/>
      <c r="Z732" s="693"/>
      <c r="AA732" s="693"/>
      <c r="AB732" s="693"/>
      <c r="AC732" s="693"/>
      <c r="AD732" s="688"/>
      <c r="AE732" s="689"/>
      <c r="AF732" s="689"/>
      <c r="AG732" s="690"/>
      <c r="AH732" s="690"/>
      <c r="AI732" s="695"/>
      <c r="AJ732" s="695"/>
      <c r="AK732" s="692"/>
      <c r="AL732" s="692"/>
      <c r="AM732" s="693"/>
      <c r="AN732" s="688"/>
      <c r="AO732" s="688"/>
      <c r="AP732" s="688"/>
      <c r="AQ732" s="688"/>
      <c r="AR732" s="688"/>
      <c r="AS732" s="688"/>
      <c r="AT732" s="689"/>
      <c r="AU732" s="689"/>
      <c r="AV732" s="690"/>
      <c r="AW732" s="690"/>
      <c r="AX732" s="690"/>
      <c r="AY732" s="690"/>
      <c r="AZ732" s="690"/>
      <c r="BA732" s="690"/>
      <c r="BB732" s="695"/>
      <c r="BC732" s="695"/>
      <c r="BD732" s="695"/>
      <c r="BE732" s="695"/>
      <c r="BF732" s="692"/>
      <c r="BG732" s="692"/>
      <c r="BH732" s="692"/>
      <c r="BI732" s="692"/>
      <c r="BJ732" s="692"/>
      <c r="BK732" s="692"/>
      <c r="BL732" s="693"/>
      <c r="BM732" s="693"/>
      <c r="BN732" s="688"/>
      <c r="BO732" s="693"/>
      <c r="BP732" s="689"/>
      <c r="BQ732" s="694"/>
      <c r="BR732" s="687"/>
      <c r="BS732" s="687"/>
      <c r="BT732" s="687"/>
      <c r="BU732" s="687"/>
      <c r="BV732" s="687"/>
      <c r="BW732" s="688"/>
      <c r="BX732" s="688"/>
      <c r="BY732" s="689"/>
      <c r="BZ732" s="690"/>
      <c r="CA732" s="690"/>
      <c r="CB732" s="690"/>
      <c r="CC732" s="691"/>
      <c r="CD732" s="691"/>
      <c r="CE732" s="692"/>
      <c r="CF732" s="692"/>
      <c r="CG732" s="692"/>
      <c r="CH732" s="693"/>
    </row>
    <row r="733">
      <c r="B733" s="687"/>
      <c r="C733" s="687"/>
      <c r="D733" s="688"/>
      <c r="E733" s="689"/>
      <c r="F733" s="690"/>
      <c r="G733" s="690"/>
      <c r="H733" s="690"/>
      <c r="I733" s="691"/>
      <c r="J733" s="691"/>
      <c r="K733" s="691"/>
      <c r="L733" s="692"/>
      <c r="M733" s="692"/>
      <c r="N733" s="692"/>
      <c r="O733" s="693"/>
      <c r="P733" s="688"/>
      <c r="Q733" s="688"/>
      <c r="R733" s="688"/>
      <c r="S733" s="688"/>
      <c r="T733" s="689"/>
      <c r="U733" s="689"/>
      <c r="V733" s="694"/>
      <c r="W733" s="694"/>
      <c r="X733" s="694"/>
      <c r="Y733" s="694"/>
      <c r="Z733" s="693"/>
      <c r="AA733" s="693"/>
      <c r="AB733" s="693"/>
      <c r="AC733" s="693"/>
      <c r="AD733" s="688"/>
      <c r="AE733" s="689"/>
      <c r="AF733" s="689"/>
      <c r="AG733" s="690"/>
      <c r="AH733" s="690"/>
      <c r="AI733" s="695"/>
      <c r="AJ733" s="695"/>
      <c r="AK733" s="692"/>
      <c r="AL733" s="692"/>
      <c r="AM733" s="693"/>
      <c r="AN733" s="688"/>
      <c r="AO733" s="688"/>
      <c r="AP733" s="688"/>
      <c r="AQ733" s="688"/>
      <c r="AR733" s="688"/>
      <c r="AS733" s="688"/>
      <c r="AT733" s="689"/>
      <c r="AU733" s="689"/>
      <c r="AV733" s="690"/>
      <c r="AW733" s="690"/>
      <c r="AX733" s="690"/>
      <c r="AY733" s="690"/>
      <c r="AZ733" s="690"/>
      <c r="BA733" s="690"/>
      <c r="BB733" s="695"/>
      <c r="BC733" s="695"/>
      <c r="BD733" s="695"/>
      <c r="BE733" s="695"/>
      <c r="BF733" s="692"/>
      <c r="BG733" s="692"/>
      <c r="BH733" s="692"/>
      <c r="BI733" s="692"/>
      <c r="BJ733" s="692"/>
      <c r="BK733" s="692"/>
      <c r="BL733" s="693"/>
      <c r="BM733" s="693"/>
      <c r="BN733" s="688"/>
      <c r="BO733" s="693"/>
      <c r="BP733" s="689"/>
      <c r="BQ733" s="694"/>
      <c r="BR733" s="687"/>
      <c r="BS733" s="687"/>
      <c r="BT733" s="687"/>
      <c r="BU733" s="687"/>
      <c r="BV733" s="687"/>
      <c r="BW733" s="688"/>
      <c r="BX733" s="688"/>
      <c r="BY733" s="689"/>
      <c r="BZ733" s="690"/>
      <c r="CA733" s="690"/>
      <c r="CB733" s="690"/>
      <c r="CC733" s="691"/>
      <c r="CD733" s="691"/>
      <c r="CE733" s="692"/>
      <c r="CF733" s="692"/>
      <c r="CG733" s="692"/>
      <c r="CH733" s="693"/>
    </row>
    <row r="734">
      <c r="B734" s="687"/>
      <c r="C734" s="687"/>
      <c r="D734" s="688"/>
      <c r="E734" s="689"/>
      <c r="F734" s="690"/>
      <c r="G734" s="690"/>
      <c r="H734" s="690"/>
      <c r="I734" s="691"/>
      <c r="J734" s="691"/>
      <c r="K734" s="691"/>
      <c r="L734" s="692"/>
      <c r="M734" s="692"/>
      <c r="N734" s="692"/>
      <c r="O734" s="693"/>
      <c r="P734" s="688"/>
      <c r="Q734" s="688"/>
      <c r="R734" s="688"/>
      <c r="S734" s="688"/>
      <c r="T734" s="689"/>
      <c r="U734" s="689"/>
      <c r="V734" s="694"/>
      <c r="W734" s="694"/>
      <c r="X734" s="694"/>
      <c r="Y734" s="694"/>
      <c r="Z734" s="693"/>
      <c r="AA734" s="693"/>
      <c r="AB734" s="693"/>
      <c r="AC734" s="693"/>
      <c r="AD734" s="688"/>
      <c r="AE734" s="689"/>
      <c r="AF734" s="689"/>
      <c r="AG734" s="690"/>
      <c r="AH734" s="690"/>
      <c r="AI734" s="695"/>
      <c r="AJ734" s="695"/>
      <c r="AK734" s="692"/>
      <c r="AL734" s="692"/>
      <c r="AM734" s="693"/>
      <c r="AN734" s="688"/>
      <c r="AO734" s="688"/>
      <c r="AP734" s="688"/>
      <c r="AQ734" s="688"/>
      <c r="AR734" s="688"/>
      <c r="AS734" s="688"/>
      <c r="AT734" s="689"/>
      <c r="AU734" s="689"/>
      <c r="AV734" s="690"/>
      <c r="AW734" s="690"/>
      <c r="AX734" s="690"/>
      <c r="AY734" s="690"/>
      <c r="AZ734" s="690"/>
      <c r="BA734" s="690"/>
      <c r="BB734" s="695"/>
      <c r="BC734" s="695"/>
      <c r="BD734" s="695"/>
      <c r="BE734" s="695"/>
      <c r="BF734" s="692"/>
      <c r="BG734" s="692"/>
      <c r="BH734" s="692"/>
      <c r="BI734" s="692"/>
      <c r="BJ734" s="692"/>
      <c r="BK734" s="692"/>
      <c r="BL734" s="693"/>
      <c r="BM734" s="693"/>
      <c r="BN734" s="688"/>
      <c r="BO734" s="693"/>
      <c r="BP734" s="689"/>
      <c r="BQ734" s="694"/>
      <c r="BR734" s="687"/>
      <c r="BS734" s="687"/>
      <c r="BT734" s="687"/>
      <c r="BU734" s="687"/>
      <c r="BV734" s="687"/>
      <c r="BW734" s="688"/>
      <c r="BX734" s="688"/>
      <c r="BY734" s="689"/>
      <c r="BZ734" s="690"/>
      <c r="CA734" s="690"/>
      <c r="CB734" s="690"/>
      <c r="CC734" s="691"/>
      <c r="CD734" s="691"/>
      <c r="CE734" s="692"/>
      <c r="CF734" s="692"/>
      <c r="CG734" s="692"/>
      <c r="CH734" s="693"/>
    </row>
    <row r="735">
      <c r="B735" s="687"/>
      <c r="C735" s="687"/>
      <c r="D735" s="688"/>
      <c r="E735" s="689"/>
      <c r="F735" s="690"/>
      <c r="G735" s="690"/>
      <c r="H735" s="690"/>
      <c r="I735" s="691"/>
      <c r="J735" s="691"/>
      <c r="K735" s="691"/>
      <c r="L735" s="692"/>
      <c r="M735" s="692"/>
      <c r="N735" s="692"/>
      <c r="O735" s="693"/>
      <c r="P735" s="688"/>
      <c r="Q735" s="688"/>
      <c r="R735" s="688"/>
      <c r="S735" s="688"/>
      <c r="T735" s="689"/>
      <c r="U735" s="689"/>
      <c r="V735" s="694"/>
      <c r="W735" s="694"/>
      <c r="X735" s="694"/>
      <c r="Y735" s="694"/>
      <c r="Z735" s="693"/>
      <c r="AA735" s="693"/>
      <c r="AB735" s="693"/>
      <c r="AC735" s="693"/>
      <c r="AD735" s="688"/>
      <c r="AE735" s="689"/>
      <c r="AF735" s="689"/>
      <c r="AG735" s="690"/>
      <c r="AH735" s="690"/>
      <c r="AI735" s="695"/>
      <c r="AJ735" s="695"/>
      <c r="AK735" s="692"/>
      <c r="AL735" s="692"/>
      <c r="AM735" s="693"/>
      <c r="AN735" s="688"/>
      <c r="AO735" s="688"/>
      <c r="AP735" s="688"/>
      <c r="AQ735" s="688"/>
      <c r="AR735" s="688"/>
      <c r="AS735" s="688"/>
      <c r="AT735" s="689"/>
      <c r="AU735" s="689"/>
      <c r="AV735" s="690"/>
      <c r="AW735" s="690"/>
      <c r="AX735" s="690"/>
      <c r="AY735" s="690"/>
      <c r="AZ735" s="690"/>
      <c r="BA735" s="690"/>
      <c r="BB735" s="695"/>
      <c r="BC735" s="695"/>
      <c r="BD735" s="695"/>
      <c r="BE735" s="695"/>
      <c r="BF735" s="692"/>
      <c r="BG735" s="692"/>
      <c r="BH735" s="692"/>
      <c r="BI735" s="692"/>
      <c r="BJ735" s="692"/>
      <c r="BK735" s="692"/>
      <c r="BL735" s="693"/>
      <c r="BM735" s="693"/>
      <c r="BN735" s="688"/>
      <c r="BO735" s="693"/>
      <c r="BP735" s="689"/>
      <c r="BQ735" s="694"/>
      <c r="BR735" s="687"/>
      <c r="BS735" s="687"/>
      <c r="BT735" s="687"/>
      <c r="BU735" s="687"/>
      <c r="BV735" s="687"/>
      <c r="BW735" s="688"/>
      <c r="BX735" s="688"/>
      <c r="BY735" s="689"/>
      <c r="BZ735" s="690"/>
      <c r="CA735" s="690"/>
      <c r="CB735" s="690"/>
      <c r="CC735" s="691"/>
      <c r="CD735" s="691"/>
      <c r="CE735" s="692"/>
      <c r="CF735" s="692"/>
      <c r="CG735" s="692"/>
      <c r="CH735" s="693"/>
    </row>
    <row r="736">
      <c r="B736" s="687"/>
      <c r="C736" s="687"/>
      <c r="D736" s="688"/>
      <c r="E736" s="689"/>
      <c r="F736" s="690"/>
      <c r="G736" s="690"/>
      <c r="H736" s="690"/>
      <c r="I736" s="691"/>
      <c r="J736" s="691"/>
      <c r="K736" s="691"/>
      <c r="L736" s="692"/>
      <c r="M736" s="692"/>
      <c r="N736" s="692"/>
      <c r="O736" s="693"/>
      <c r="P736" s="688"/>
      <c r="Q736" s="688"/>
      <c r="R736" s="688"/>
      <c r="S736" s="688"/>
      <c r="T736" s="689"/>
      <c r="U736" s="689"/>
      <c r="V736" s="694"/>
      <c r="W736" s="694"/>
      <c r="X736" s="694"/>
      <c r="Y736" s="694"/>
      <c r="Z736" s="693"/>
      <c r="AA736" s="693"/>
      <c r="AB736" s="693"/>
      <c r="AC736" s="693"/>
      <c r="AD736" s="688"/>
      <c r="AE736" s="689"/>
      <c r="AF736" s="689"/>
      <c r="AG736" s="690"/>
      <c r="AH736" s="690"/>
      <c r="AI736" s="695"/>
      <c r="AJ736" s="695"/>
      <c r="AK736" s="692"/>
      <c r="AL736" s="692"/>
      <c r="AM736" s="693"/>
      <c r="AN736" s="688"/>
      <c r="AO736" s="688"/>
      <c r="AP736" s="688"/>
      <c r="AQ736" s="688"/>
      <c r="AR736" s="688"/>
      <c r="AS736" s="688"/>
      <c r="AT736" s="689"/>
      <c r="AU736" s="689"/>
      <c r="AV736" s="690"/>
      <c r="AW736" s="690"/>
      <c r="AX736" s="690"/>
      <c r="AY736" s="690"/>
      <c r="AZ736" s="690"/>
      <c r="BA736" s="690"/>
      <c r="BB736" s="695"/>
      <c r="BC736" s="695"/>
      <c r="BD736" s="695"/>
      <c r="BE736" s="695"/>
      <c r="BF736" s="692"/>
      <c r="BG736" s="692"/>
      <c r="BH736" s="692"/>
      <c r="BI736" s="692"/>
      <c r="BJ736" s="692"/>
      <c r="BK736" s="692"/>
      <c r="BL736" s="693"/>
      <c r="BM736" s="693"/>
      <c r="BN736" s="688"/>
      <c r="BO736" s="693"/>
      <c r="BP736" s="689"/>
      <c r="BQ736" s="694"/>
      <c r="BR736" s="687"/>
      <c r="BS736" s="687"/>
      <c r="BT736" s="687"/>
      <c r="BU736" s="687"/>
      <c r="BV736" s="687"/>
      <c r="BW736" s="688"/>
      <c r="BX736" s="688"/>
      <c r="BY736" s="689"/>
      <c r="BZ736" s="690"/>
      <c r="CA736" s="690"/>
      <c r="CB736" s="690"/>
      <c r="CC736" s="691"/>
      <c r="CD736" s="691"/>
      <c r="CE736" s="692"/>
      <c r="CF736" s="692"/>
      <c r="CG736" s="692"/>
      <c r="CH736" s="693"/>
    </row>
    <row r="737">
      <c r="B737" s="687"/>
      <c r="C737" s="687"/>
      <c r="D737" s="688"/>
      <c r="E737" s="689"/>
      <c r="F737" s="690"/>
      <c r="G737" s="690"/>
      <c r="H737" s="690"/>
      <c r="I737" s="691"/>
      <c r="J737" s="691"/>
      <c r="K737" s="691"/>
      <c r="L737" s="692"/>
      <c r="M737" s="692"/>
      <c r="N737" s="692"/>
      <c r="O737" s="693"/>
      <c r="P737" s="688"/>
      <c r="Q737" s="688"/>
      <c r="R737" s="688"/>
      <c r="S737" s="688"/>
      <c r="T737" s="689"/>
      <c r="U737" s="689"/>
      <c r="V737" s="694"/>
      <c r="W737" s="694"/>
      <c r="X737" s="694"/>
      <c r="Y737" s="694"/>
      <c r="Z737" s="693"/>
      <c r="AA737" s="693"/>
      <c r="AB737" s="693"/>
      <c r="AC737" s="693"/>
      <c r="AD737" s="688"/>
      <c r="AE737" s="689"/>
      <c r="AF737" s="689"/>
      <c r="AG737" s="690"/>
      <c r="AH737" s="690"/>
      <c r="AI737" s="695"/>
      <c r="AJ737" s="695"/>
      <c r="AK737" s="692"/>
      <c r="AL737" s="692"/>
      <c r="AM737" s="693"/>
      <c r="AN737" s="688"/>
      <c r="AO737" s="688"/>
      <c r="AP737" s="688"/>
      <c r="AQ737" s="688"/>
      <c r="AR737" s="688"/>
      <c r="AS737" s="688"/>
      <c r="AT737" s="689"/>
      <c r="AU737" s="689"/>
      <c r="AV737" s="690"/>
      <c r="AW737" s="690"/>
      <c r="AX737" s="690"/>
      <c r="AY737" s="690"/>
      <c r="AZ737" s="690"/>
      <c r="BA737" s="690"/>
      <c r="BB737" s="695"/>
      <c r="BC737" s="695"/>
      <c r="BD737" s="695"/>
      <c r="BE737" s="695"/>
      <c r="BF737" s="692"/>
      <c r="BG737" s="692"/>
      <c r="BH737" s="692"/>
      <c r="BI737" s="692"/>
      <c r="BJ737" s="692"/>
      <c r="BK737" s="692"/>
      <c r="BL737" s="693"/>
      <c r="BM737" s="693"/>
      <c r="BN737" s="688"/>
      <c r="BO737" s="693"/>
      <c r="BP737" s="689"/>
      <c r="BQ737" s="694"/>
      <c r="BR737" s="687"/>
      <c r="BS737" s="687"/>
      <c r="BT737" s="687"/>
      <c r="BU737" s="687"/>
      <c r="BV737" s="687"/>
      <c r="BW737" s="688"/>
      <c r="BX737" s="688"/>
      <c r="BY737" s="689"/>
      <c r="BZ737" s="690"/>
      <c r="CA737" s="690"/>
      <c r="CB737" s="690"/>
      <c r="CC737" s="691"/>
      <c r="CD737" s="691"/>
      <c r="CE737" s="692"/>
      <c r="CF737" s="692"/>
      <c r="CG737" s="692"/>
      <c r="CH737" s="693"/>
    </row>
    <row r="738">
      <c r="B738" s="687"/>
      <c r="C738" s="687"/>
      <c r="D738" s="688"/>
      <c r="E738" s="689"/>
      <c r="F738" s="690"/>
      <c r="G738" s="690"/>
      <c r="H738" s="690"/>
      <c r="I738" s="691"/>
      <c r="J738" s="691"/>
      <c r="K738" s="691"/>
      <c r="L738" s="692"/>
      <c r="M738" s="692"/>
      <c r="N738" s="692"/>
      <c r="O738" s="693"/>
      <c r="P738" s="688"/>
      <c r="Q738" s="688"/>
      <c r="R738" s="688"/>
      <c r="S738" s="688"/>
      <c r="T738" s="689"/>
      <c r="U738" s="689"/>
      <c r="V738" s="694"/>
      <c r="W738" s="694"/>
      <c r="X738" s="694"/>
      <c r="Y738" s="694"/>
      <c r="Z738" s="693"/>
      <c r="AA738" s="693"/>
      <c r="AB738" s="693"/>
      <c r="AC738" s="693"/>
      <c r="AD738" s="688"/>
      <c r="AE738" s="689"/>
      <c r="AF738" s="689"/>
      <c r="AG738" s="690"/>
      <c r="AH738" s="690"/>
      <c r="AI738" s="695"/>
      <c r="AJ738" s="695"/>
      <c r="AK738" s="692"/>
      <c r="AL738" s="692"/>
      <c r="AM738" s="693"/>
      <c r="AN738" s="688"/>
      <c r="AO738" s="688"/>
      <c r="AP738" s="688"/>
      <c r="AQ738" s="688"/>
      <c r="AR738" s="688"/>
      <c r="AS738" s="688"/>
      <c r="AT738" s="689"/>
      <c r="AU738" s="689"/>
      <c r="AV738" s="690"/>
      <c r="AW738" s="690"/>
      <c r="AX738" s="690"/>
      <c r="AY738" s="690"/>
      <c r="AZ738" s="690"/>
      <c r="BA738" s="690"/>
      <c r="BB738" s="695"/>
      <c r="BC738" s="695"/>
      <c r="BD738" s="695"/>
      <c r="BE738" s="695"/>
      <c r="BF738" s="692"/>
      <c r="BG738" s="692"/>
      <c r="BH738" s="692"/>
      <c r="BI738" s="692"/>
      <c r="BJ738" s="692"/>
      <c r="BK738" s="692"/>
      <c r="BL738" s="693"/>
      <c r="BM738" s="693"/>
      <c r="BN738" s="688"/>
      <c r="BO738" s="693"/>
      <c r="BP738" s="689"/>
      <c r="BQ738" s="694"/>
      <c r="BR738" s="687"/>
      <c r="BS738" s="687"/>
      <c r="BT738" s="687"/>
      <c r="BU738" s="687"/>
      <c r="BV738" s="687"/>
      <c r="BW738" s="688"/>
      <c r="BX738" s="688"/>
      <c r="BY738" s="689"/>
      <c r="BZ738" s="690"/>
      <c r="CA738" s="690"/>
      <c r="CB738" s="690"/>
      <c r="CC738" s="691"/>
      <c r="CD738" s="691"/>
      <c r="CE738" s="692"/>
      <c r="CF738" s="692"/>
      <c r="CG738" s="692"/>
      <c r="CH738" s="693"/>
    </row>
    <row r="739">
      <c r="B739" s="687"/>
      <c r="C739" s="687"/>
      <c r="D739" s="688"/>
      <c r="E739" s="689"/>
      <c r="F739" s="690"/>
      <c r="G739" s="690"/>
      <c r="H739" s="690"/>
      <c r="I739" s="691"/>
      <c r="J739" s="691"/>
      <c r="K739" s="691"/>
      <c r="L739" s="692"/>
      <c r="M739" s="692"/>
      <c r="N739" s="692"/>
      <c r="O739" s="693"/>
      <c r="P739" s="688"/>
      <c r="Q739" s="688"/>
      <c r="R739" s="688"/>
      <c r="S739" s="688"/>
      <c r="T739" s="689"/>
      <c r="U739" s="689"/>
      <c r="V739" s="694"/>
      <c r="W739" s="694"/>
      <c r="X739" s="694"/>
      <c r="Y739" s="694"/>
      <c r="Z739" s="693"/>
      <c r="AA739" s="693"/>
      <c r="AB739" s="693"/>
      <c r="AC739" s="693"/>
      <c r="AD739" s="688"/>
      <c r="AE739" s="689"/>
      <c r="AF739" s="689"/>
      <c r="AG739" s="690"/>
      <c r="AH739" s="690"/>
      <c r="AI739" s="695"/>
      <c r="AJ739" s="695"/>
      <c r="AK739" s="692"/>
      <c r="AL739" s="692"/>
      <c r="AM739" s="693"/>
      <c r="AN739" s="688"/>
      <c r="AO739" s="688"/>
      <c r="AP739" s="688"/>
      <c r="AQ739" s="688"/>
      <c r="AR739" s="688"/>
      <c r="AS739" s="688"/>
      <c r="AT739" s="689"/>
      <c r="AU739" s="689"/>
      <c r="AV739" s="690"/>
      <c r="AW739" s="690"/>
      <c r="AX739" s="690"/>
      <c r="AY739" s="690"/>
      <c r="AZ739" s="690"/>
      <c r="BA739" s="690"/>
      <c r="BB739" s="695"/>
      <c r="BC739" s="695"/>
      <c r="BD739" s="695"/>
      <c r="BE739" s="695"/>
      <c r="BF739" s="692"/>
      <c r="BG739" s="692"/>
      <c r="BH739" s="692"/>
      <c r="BI739" s="692"/>
      <c r="BJ739" s="692"/>
      <c r="BK739" s="692"/>
      <c r="BL739" s="693"/>
      <c r="BM739" s="693"/>
      <c r="BN739" s="688"/>
      <c r="BO739" s="693"/>
      <c r="BP739" s="689"/>
      <c r="BQ739" s="694"/>
      <c r="BR739" s="687"/>
      <c r="BS739" s="687"/>
      <c r="BT739" s="687"/>
      <c r="BU739" s="687"/>
      <c r="BV739" s="687"/>
      <c r="BW739" s="688"/>
      <c r="BX739" s="688"/>
      <c r="BY739" s="689"/>
      <c r="BZ739" s="690"/>
      <c r="CA739" s="690"/>
      <c r="CB739" s="690"/>
      <c r="CC739" s="691"/>
      <c r="CD739" s="691"/>
      <c r="CE739" s="692"/>
      <c r="CF739" s="692"/>
      <c r="CG739" s="692"/>
      <c r="CH739" s="693"/>
    </row>
    <row r="740">
      <c r="B740" s="687"/>
      <c r="C740" s="687"/>
      <c r="D740" s="688"/>
      <c r="E740" s="689"/>
      <c r="F740" s="690"/>
      <c r="G740" s="690"/>
      <c r="H740" s="690"/>
      <c r="I740" s="691"/>
      <c r="J740" s="691"/>
      <c r="K740" s="691"/>
      <c r="L740" s="692"/>
      <c r="M740" s="692"/>
      <c r="N740" s="692"/>
      <c r="O740" s="693"/>
      <c r="P740" s="688"/>
      <c r="Q740" s="688"/>
      <c r="R740" s="688"/>
      <c r="S740" s="688"/>
      <c r="T740" s="689"/>
      <c r="U740" s="689"/>
      <c r="V740" s="694"/>
      <c r="W740" s="694"/>
      <c r="X740" s="694"/>
      <c r="Y740" s="694"/>
      <c r="Z740" s="693"/>
      <c r="AA740" s="693"/>
      <c r="AB740" s="693"/>
      <c r="AC740" s="693"/>
      <c r="AD740" s="688"/>
      <c r="AE740" s="689"/>
      <c r="AF740" s="689"/>
      <c r="AG740" s="690"/>
      <c r="AH740" s="690"/>
      <c r="AI740" s="695"/>
      <c r="AJ740" s="695"/>
      <c r="AK740" s="692"/>
      <c r="AL740" s="692"/>
      <c r="AM740" s="693"/>
      <c r="AN740" s="688"/>
      <c r="AO740" s="688"/>
      <c r="AP740" s="688"/>
      <c r="AQ740" s="688"/>
      <c r="AR740" s="688"/>
      <c r="AS740" s="688"/>
      <c r="AT740" s="689"/>
      <c r="AU740" s="689"/>
      <c r="AV740" s="690"/>
      <c r="AW740" s="690"/>
      <c r="AX740" s="690"/>
      <c r="AY740" s="690"/>
      <c r="AZ740" s="690"/>
      <c r="BA740" s="690"/>
      <c r="BB740" s="695"/>
      <c r="BC740" s="695"/>
      <c r="BD740" s="695"/>
      <c r="BE740" s="695"/>
      <c r="BF740" s="692"/>
      <c r="BG740" s="692"/>
      <c r="BH740" s="692"/>
      <c r="BI740" s="692"/>
      <c r="BJ740" s="692"/>
      <c r="BK740" s="692"/>
      <c r="BL740" s="693"/>
      <c r="BM740" s="693"/>
      <c r="BN740" s="688"/>
      <c r="BO740" s="693"/>
      <c r="BP740" s="689"/>
      <c r="BQ740" s="694"/>
      <c r="BR740" s="687"/>
      <c r="BS740" s="687"/>
      <c r="BT740" s="687"/>
      <c r="BU740" s="687"/>
      <c r="BV740" s="687"/>
      <c r="BW740" s="688"/>
      <c r="BX740" s="688"/>
      <c r="BY740" s="689"/>
      <c r="BZ740" s="690"/>
      <c r="CA740" s="690"/>
      <c r="CB740" s="690"/>
      <c r="CC740" s="691"/>
      <c r="CD740" s="691"/>
      <c r="CE740" s="692"/>
      <c r="CF740" s="692"/>
      <c r="CG740" s="692"/>
      <c r="CH740" s="693"/>
    </row>
    <row r="741">
      <c r="B741" s="687"/>
      <c r="C741" s="687"/>
      <c r="D741" s="688"/>
      <c r="E741" s="689"/>
      <c r="F741" s="690"/>
      <c r="G741" s="690"/>
      <c r="H741" s="690"/>
      <c r="I741" s="691"/>
      <c r="J741" s="691"/>
      <c r="K741" s="691"/>
      <c r="L741" s="692"/>
      <c r="M741" s="692"/>
      <c r="N741" s="692"/>
      <c r="O741" s="693"/>
      <c r="P741" s="688"/>
      <c r="Q741" s="688"/>
      <c r="R741" s="688"/>
      <c r="S741" s="688"/>
      <c r="T741" s="689"/>
      <c r="U741" s="689"/>
      <c r="V741" s="694"/>
      <c r="W741" s="694"/>
      <c r="X741" s="694"/>
      <c r="Y741" s="694"/>
      <c r="Z741" s="693"/>
      <c r="AA741" s="693"/>
      <c r="AB741" s="693"/>
      <c r="AC741" s="693"/>
      <c r="AD741" s="688"/>
      <c r="AE741" s="689"/>
      <c r="AF741" s="689"/>
      <c r="AG741" s="690"/>
      <c r="AH741" s="690"/>
      <c r="AI741" s="695"/>
      <c r="AJ741" s="695"/>
      <c r="AK741" s="692"/>
      <c r="AL741" s="692"/>
      <c r="AM741" s="693"/>
      <c r="AN741" s="688"/>
      <c r="AO741" s="688"/>
      <c r="AP741" s="688"/>
      <c r="AQ741" s="688"/>
      <c r="AR741" s="688"/>
      <c r="AS741" s="688"/>
      <c r="AT741" s="689"/>
      <c r="AU741" s="689"/>
      <c r="AV741" s="690"/>
      <c r="AW741" s="690"/>
      <c r="AX741" s="690"/>
      <c r="AY741" s="690"/>
      <c r="AZ741" s="690"/>
      <c r="BA741" s="690"/>
      <c r="BB741" s="695"/>
      <c r="BC741" s="695"/>
      <c r="BD741" s="695"/>
      <c r="BE741" s="695"/>
      <c r="BF741" s="692"/>
      <c r="BG741" s="692"/>
      <c r="BH741" s="692"/>
      <c r="BI741" s="692"/>
      <c r="BJ741" s="692"/>
      <c r="BK741" s="692"/>
      <c r="BL741" s="693"/>
      <c r="BM741" s="693"/>
      <c r="BN741" s="688"/>
      <c r="BO741" s="693"/>
      <c r="BP741" s="689"/>
      <c r="BQ741" s="694"/>
      <c r="BR741" s="687"/>
      <c r="BS741" s="687"/>
      <c r="BT741" s="687"/>
      <c r="BU741" s="687"/>
      <c r="BV741" s="687"/>
      <c r="BW741" s="688"/>
      <c r="BX741" s="688"/>
      <c r="BY741" s="689"/>
      <c r="BZ741" s="690"/>
      <c r="CA741" s="690"/>
      <c r="CB741" s="690"/>
      <c r="CC741" s="691"/>
      <c r="CD741" s="691"/>
      <c r="CE741" s="692"/>
      <c r="CF741" s="692"/>
      <c r="CG741" s="692"/>
      <c r="CH741" s="693"/>
    </row>
    <row r="742">
      <c r="B742" s="687"/>
      <c r="C742" s="687"/>
      <c r="D742" s="688"/>
      <c r="E742" s="689"/>
      <c r="F742" s="690"/>
      <c r="G742" s="690"/>
      <c r="H742" s="690"/>
      <c r="I742" s="691"/>
      <c r="J742" s="691"/>
      <c r="K742" s="691"/>
      <c r="L742" s="692"/>
      <c r="M742" s="692"/>
      <c r="N742" s="692"/>
      <c r="O742" s="693"/>
      <c r="P742" s="688"/>
      <c r="Q742" s="688"/>
      <c r="R742" s="688"/>
      <c r="S742" s="688"/>
      <c r="T742" s="689"/>
      <c r="U742" s="689"/>
      <c r="V742" s="694"/>
      <c r="W742" s="694"/>
      <c r="X742" s="694"/>
      <c r="Y742" s="694"/>
      <c r="Z742" s="693"/>
      <c r="AA742" s="693"/>
      <c r="AB742" s="693"/>
      <c r="AC742" s="693"/>
      <c r="AD742" s="688"/>
      <c r="AE742" s="689"/>
      <c r="AF742" s="689"/>
      <c r="AG742" s="690"/>
      <c r="AH742" s="690"/>
      <c r="AI742" s="695"/>
      <c r="AJ742" s="695"/>
      <c r="AK742" s="692"/>
      <c r="AL742" s="692"/>
      <c r="AM742" s="693"/>
      <c r="AN742" s="688"/>
      <c r="AO742" s="688"/>
      <c r="AP742" s="688"/>
      <c r="AQ742" s="688"/>
      <c r="AR742" s="688"/>
      <c r="AS742" s="688"/>
      <c r="AT742" s="689"/>
      <c r="AU742" s="689"/>
      <c r="AV742" s="690"/>
      <c r="AW742" s="690"/>
      <c r="AX742" s="690"/>
      <c r="AY742" s="690"/>
      <c r="AZ742" s="690"/>
      <c r="BA742" s="690"/>
      <c r="BB742" s="695"/>
      <c r="BC742" s="695"/>
      <c r="BD742" s="695"/>
      <c r="BE742" s="695"/>
      <c r="BF742" s="692"/>
      <c r="BG742" s="692"/>
      <c r="BH742" s="692"/>
      <c r="BI742" s="692"/>
      <c r="BJ742" s="692"/>
      <c r="BK742" s="692"/>
      <c r="BL742" s="693"/>
      <c r="BM742" s="693"/>
      <c r="BN742" s="688"/>
      <c r="BO742" s="693"/>
      <c r="BP742" s="689"/>
      <c r="BQ742" s="694"/>
      <c r="BR742" s="687"/>
      <c r="BS742" s="687"/>
      <c r="BT742" s="687"/>
      <c r="BU742" s="687"/>
      <c r="BV742" s="687"/>
      <c r="BW742" s="688"/>
      <c r="BX742" s="688"/>
      <c r="BY742" s="689"/>
      <c r="BZ742" s="690"/>
      <c r="CA742" s="690"/>
      <c r="CB742" s="690"/>
      <c r="CC742" s="691"/>
      <c r="CD742" s="691"/>
      <c r="CE742" s="692"/>
      <c r="CF742" s="692"/>
      <c r="CG742" s="692"/>
      <c r="CH742" s="693"/>
    </row>
    <row r="743">
      <c r="B743" s="687"/>
      <c r="C743" s="687"/>
      <c r="D743" s="688"/>
      <c r="E743" s="689"/>
      <c r="F743" s="690"/>
      <c r="G743" s="690"/>
      <c r="H743" s="690"/>
      <c r="I743" s="691"/>
      <c r="J743" s="691"/>
      <c r="K743" s="691"/>
      <c r="L743" s="692"/>
      <c r="M743" s="692"/>
      <c r="N743" s="692"/>
      <c r="O743" s="693"/>
      <c r="P743" s="688"/>
      <c r="Q743" s="688"/>
      <c r="R743" s="688"/>
      <c r="S743" s="688"/>
      <c r="T743" s="689"/>
      <c r="U743" s="689"/>
      <c r="V743" s="694"/>
      <c r="W743" s="694"/>
      <c r="X743" s="694"/>
      <c r="Y743" s="694"/>
      <c r="Z743" s="693"/>
      <c r="AA743" s="693"/>
      <c r="AB743" s="693"/>
      <c r="AC743" s="693"/>
      <c r="AD743" s="688"/>
      <c r="AE743" s="689"/>
      <c r="AF743" s="689"/>
      <c r="AG743" s="690"/>
      <c r="AH743" s="690"/>
      <c r="AI743" s="695"/>
      <c r="AJ743" s="695"/>
      <c r="AK743" s="692"/>
      <c r="AL743" s="692"/>
      <c r="AM743" s="693"/>
      <c r="AN743" s="688"/>
      <c r="AO743" s="688"/>
      <c r="AP743" s="688"/>
      <c r="AQ743" s="688"/>
      <c r="AR743" s="688"/>
      <c r="AS743" s="688"/>
      <c r="AT743" s="689"/>
      <c r="AU743" s="689"/>
      <c r="AV743" s="690"/>
      <c r="AW743" s="690"/>
      <c r="AX743" s="690"/>
      <c r="AY743" s="690"/>
      <c r="AZ743" s="690"/>
      <c r="BA743" s="690"/>
      <c r="BB743" s="695"/>
      <c r="BC743" s="695"/>
      <c r="BD743" s="695"/>
      <c r="BE743" s="695"/>
      <c r="BF743" s="692"/>
      <c r="BG743" s="692"/>
      <c r="BH743" s="692"/>
      <c r="BI743" s="692"/>
      <c r="BJ743" s="692"/>
      <c r="BK743" s="692"/>
      <c r="BL743" s="693"/>
      <c r="BM743" s="693"/>
      <c r="BN743" s="688"/>
      <c r="BO743" s="693"/>
      <c r="BP743" s="689"/>
      <c r="BQ743" s="694"/>
      <c r="BR743" s="687"/>
      <c r="BS743" s="687"/>
      <c r="BT743" s="687"/>
      <c r="BU743" s="687"/>
      <c r="BV743" s="687"/>
      <c r="BW743" s="688"/>
      <c r="BX743" s="688"/>
      <c r="BY743" s="689"/>
      <c r="BZ743" s="690"/>
      <c r="CA743" s="690"/>
      <c r="CB743" s="690"/>
      <c r="CC743" s="691"/>
      <c r="CD743" s="691"/>
      <c r="CE743" s="692"/>
      <c r="CF743" s="692"/>
      <c r="CG743" s="692"/>
      <c r="CH743" s="693"/>
    </row>
    <row r="744">
      <c r="B744" s="687"/>
      <c r="C744" s="687"/>
      <c r="D744" s="688"/>
      <c r="E744" s="689"/>
      <c r="F744" s="690"/>
      <c r="G744" s="690"/>
      <c r="H744" s="690"/>
      <c r="I744" s="691"/>
      <c r="J744" s="691"/>
      <c r="K744" s="691"/>
      <c r="L744" s="692"/>
      <c r="M744" s="692"/>
      <c r="N744" s="692"/>
      <c r="O744" s="693"/>
      <c r="P744" s="688"/>
      <c r="Q744" s="688"/>
      <c r="R744" s="688"/>
      <c r="S744" s="688"/>
      <c r="T744" s="689"/>
      <c r="U744" s="689"/>
      <c r="V744" s="694"/>
      <c r="W744" s="694"/>
      <c r="X744" s="694"/>
      <c r="Y744" s="694"/>
      <c r="Z744" s="693"/>
      <c r="AA744" s="693"/>
      <c r="AB744" s="693"/>
      <c r="AC744" s="693"/>
      <c r="AD744" s="688"/>
      <c r="AE744" s="689"/>
      <c r="AF744" s="689"/>
      <c r="AG744" s="690"/>
      <c r="AH744" s="690"/>
      <c r="AI744" s="695"/>
      <c r="AJ744" s="695"/>
      <c r="AK744" s="692"/>
      <c r="AL744" s="692"/>
      <c r="AM744" s="693"/>
      <c r="AN744" s="688"/>
      <c r="AO744" s="688"/>
      <c r="AP744" s="688"/>
      <c r="AQ744" s="688"/>
      <c r="AR744" s="688"/>
      <c r="AS744" s="688"/>
      <c r="AT744" s="689"/>
      <c r="AU744" s="689"/>
      <c r="AV744" s="690"/>
      <c r="AW744" s="690"/>
      <c r="AX744" s="690"/>
      <c r="AY744" s="690"/>
      <c r="AZ744" s="690"/>
      <c r="BA744" s="690"/>
      <c r="BB744" s="695"/>
      <c r="BC744" s="695"/>
      <c r="BD744" s="695"/>
      <c r="BE744" s="695"/>
      <c r="BF744" s="692"/>
      <c r="BG744" s="692"/>
      <c r="BH744" s="692"/>
      <c r="BI744" s="692"/>
      <c r="BJ744" s="692"/>
      <c r="BK744" s="692"/>
      <c r="BL744" s="693"/>
      <c r="BM744" s="693"/>
      <c r="BN744" s="688"/>
      <c r="BO744" s="693"/>
      <c r="BP744" s="689"/>
      <c r="BQ744" s="694"/>
      <c r="BR744" s="687"/>
      <c r="BS744" s="687"/>
      <c r="BT744" s="687"/>
      <c r="BU744" s="687"/>
      <c r="BV744" s="687"/>
      <c r="BW744" s="688"/>
      <c r="BX744" s="688"/>
      <c r="BY744" s="689"/>
      <c r="BZ744" s="690"/>
      <c r="CA744" s="690"/>
      <c r="CB744" s="690"/>
      <c r="CC744" s="691"/>
      <c r="CD744" s="691"/>
      <c r="CE744" s="692"/>
      <c r="CF744" s="692"/>
      <c r="CG744" s="692"/>
      <c r="CH744" s="693"/>
    </row>
    <row r="745">
      <c r="B745" s="687"/>
      <c r="C745" s="687"/>
      <c r="D745" s="688"/>
      <c r="E745" s="689"/>
      <c r="F745" s="690"/>
      <c r="G745" s="690"/>
      <c r="H745" s="690"/>
      <c r="I745" s="691"/>
      <c r="J745" s="691"/>
      <c r="K745" s="691"/>
      <c r="L745" s="692"/>
      <c r="M745" s="692"/>
      <c r="N745" s="692"/>
      <c r="O745" s="693"/>
      <c r="P745" s="688"/>
      <c r="Q745" s="688"/>
      <c r="R745" s="688"/>
      <c r="S745" s="688"/>
      <c r="T745" s="689"/>
      <c r="U745" s="689"/>
      <c r="V745" s="694"/>
      <c r="W745" s="694"/>
      <c r="X745" s="694"/>
      <c r="Y745" s="694"/>
      <c r="Z745" s="693"/>
      <c r="AA745" s="693"/>
      <c r="AB745" s="693"/>
      <c r="AC745" s="693"/>
      <c r="AD745" s="688"/>
      <c r="AE745" s="689"/>
      <c r="AF745" s="689"/>
      <c r="AG745" s="690"/>
      <c r="AH745" s="690"/>
      <c r="AI745" s="695"/>
      <c r="AJ745" s="695"/>
      <c r="AK745" s="692"/>
      <c r="AL745" s="692"/>
      <c r="AM745" s="693"/>
      <c r="AN745" s="688"/>
      <c r="AO745" s="688"/>
      <c r="AP745" s="688"/>
      <c r="AQ745" s="688"/>
      <c r="AR745" s="688"/>
      <c r="AS745" s="688"/>
      <c r="AT745" s="689"/>
      <c r="AU745" s="689"/>
      <c r="AV745" s="690"/>
      <c r="AW745" s="690"/>
      <c r="AX745" s="690"/>
      <c r="AY745" s="690"/>
      <c r="AZ745" s="690"/>
      <c r="BA745" s="690"/>
      <c r="BB745" s="695"/>
      <c r="BC745" s="695"/>
      <c r="BD745" s="695"/>
      <c r="BE745" s="695"/>
      <c r="BF745" s="692"/>
      <c r="BG745" s="692"/>
      <c r="BH745" s="692"/>
      <c r="BI745" s="692"/>
      <c r="BJ745" s="692"/>
      <c r="BK745" s="692"/>
      <c r="BL745" s="693"/>
      <c r="BM745" s="693"/>
      <c r="BN745" s="688"/>
      <c r="BO745" s="693"/>
      <c r="BP745" s="689"/>
      <c r="BQ745" s="694"/>
      <c r="BR745" s="687"/>
      <c r="BS745" s="687"/>
      <c r="BT745" s="687"/>
      <c r="BU745" s="687"/>
      <c r="BV745" s="687"/>
      <c r="BW745" s="688"/>
      <c r="BX745" s="688"/>
      <c r="BY745" s="689"/>
      <c r="BZ745" s="690"/>
      <c r="CA745" s="690"/>
      <c r="CB745" s="690"/>
      <c r="CC745" s="691"/>
      <c r="CD745" s="691"/>
      <c r="CE745" s="692"/>
      <c r="CF745" s="692"/>
      <c r="CG745" s="692"/>
      <c r="CH745" s="693"/>
    </row>
    <row r="746">
      <c r="B746" s="687"/>
      <c r="C746" s="687"/>
      <c r="D746" s="688"/>
      <c r="E746" s="689"/>
      <c r="F746" s="690"/>
      <c r="G746" s="690"/>
      <c r="H746" s="690"/>
      <c r="I746" s="691"/>
      <c r="J746" s="691"/>
      <c r="K746" s="691"/>
      <c r="L746" s="692"/>
      <c r="M746" s="692"/>
      <c r="N746" s="692"/>
      <c r="O746" s="693"/>
      <c r="P746" s="688"/>
      <c r="Q746" s="688"/>
      <c r="R746" s="688"/>
      <c r="S746" s="688"/>
      <c r="T746" s="689"/>
      <c r="U746" s="689"/>
      <c r="V746" s="694"/>
      <c r="W746" s="694"/>
      <c r="X746" s="694"/>
      <c r="Y746" s="694"/>
      <c r="Z746" s="693"/>
      <c r="AA746" s="693"/>
      <c r="AB746" s="693"/>
      <c r="AC746" s="693"/>
      <c r="AD746" s="688"/>
      <c r="AE746" s="689"/>
      <c r="AF746" s="689"/>
      <c r="AG746" s="690"/>
      <c r="AH746" s="690"/>
      <c r="AI746" s="695"/>
      <c r="AJ746" s="695"/>
      <c r="AK746" s="692"/>
      <c r="AL746" s="692"/>
      <c r="AM746" s="693"/>
      <c r="AN746" s="688"/>
      <c r="AO746" s="688"/>
      <c r="AP746" s="688"/>
      <c r="AQ746" s="688"/>
      <c r="AR746" s="688"/>
      <c r="AS746" s="688"/>
      <c r="AT746" s="689"/>
      <c r="AU746" s="689"/>
      <c r="AV746" s="690"/>
      <c r="AW746" s="690"/>
      <c r="AX746" s="690"/>
      <c r="AY746" s="690"/>
      <c r="AZ746" s="690"/>
      <c r="BA746" s="690"/>
      <c r="BB746" s="695"/>
      <c r="BC746" s="695"/>
      <c r="BD746" s="695"/>
      <c r="BE746" s="695"/>
      <c r="BF746" s="692"/>
      <c r="BG746" s="692"/>
      <c r="BH746" s="692"/>
      <c r="BI746" s="692"/>
      <c r="BJ746" s="692"/>
      <c r="BK746" s="692"/>
      <c r="BL746" s="693"/>
      <c r="BM746" s="693"/>
      <c r="BN746" s="688"/>
      <c r="BO746" s="693"/>
      <c r="BP746" s="689"/>
      <c r="BQ746" s="694"/>
      <c r="BR746" s="687"/>
      <c r="BS746" s="687"/>
      <c r="BT746" s="687"/>
      <c r="BU746" s="687"/>
      <c r="BV746" s="687"/>
      <c r="BW746" s="688"/>
      <c r="BX746" s="688"/>
      <c r="BY746" s="689"/>
      <c r="BZ746" s="690"/>
      <c r="CA746" s="690"/>
      <c r="CB746" s="690"/>
      <c r="CC746" s="691"/>
      <c r="CD746" s="691"/>
      <c r="CE746" s="692"/>
      <c r="CF746" s="692"/>
      <c r="CG746" s="692"/>
      <c r="CH746" s="693"/>
    </row>
    <row r="747">
      <c r="B747" s="687"/>
      <c r="C747" s="687"/>
      <c r="D747" s="688"/>
      <c r="E747" s="689"/>
      <c r="F747" s="690"/>
      <c r="G747" s="690"/>
      <c r="H747" s="690"/>
      <c r="I747" s="691"/>
      <c r="J747" s="691"/>
      <c r="K747" s="691"/>
      <c r="L747" s="692"/>
      <c r="M747" s="692"/>
      <c r="N747" s="692"/>
      <c r="O747" s="693"/>
      <c r="P747" s="688"/>
      <c r="Q747" s="688"/>
      <c r="R747" s="688"/>
      <c r="S747" s="688"/>
      <c r="T747" s="689"/>
      <c r="U747" s="689"/>
      <c r="V747" s="694"/>
      <c r="W747" s="694"/>
      <c r="X747" s="694"/>
      <c r="Y747" s="694"/>
      <c r="Z747" s="693"/>
      <c r="AA747" s="693"/>
      <c r="AB747" s="693"/>
      <c r="AC747" s="693"/>
      <c r="AD747" s="688"/>
      <c r="AE747" s="689"/>
      <c r="AF747" s="689"/>
      <c r="AG747" s="690"/>
      <c r="AH747" s="690"/>
      <c r="AI747" s="695"/>
      <c r="AJ747" s="695"/>
      <c r="AK747" s="692"/>
      <c r="AL747" s="692"/>
      <c r="AM747" s="693"/>
      <c r="AN747" s="688"/>
      <c r="AO747" s="688"/>
      <c r="AP747" s="688"/>
      <c r="AQ747" s="688"/>
      <c r="AR747" s="688"/>
      <c r="AS747" s="688"/>
      <c r="AT747" s="689"/>
      <c r="AU747" s="689"/>
      <c r="AV747" s="690"/>
      <c r="AW747" s="690"/>
      <c r="AX747" s="690"/>
      <c r="AY747" s="690"/>
      <c r="AZ747" s="690"/>
      <c r="BA747" s="690"/>
      <c r="BB747" s="695"/>
      <c r="BC747" s="695"/>
      <c r="BD747" s="695"/>
      <c r="BE747" s="695"/>
      <c r="BF747" s="692"/>
      <c r="BG747" s="692"/>
      <c r="BH747" s="692"/>
      <c r="BI747" s="692"/>
      <c r="BJ747" s="692"/>
      <c r="BK747" s="692"/>
      <c r="BL747" s="693"/>
      <c r="BM747" s="693"/>
      <c r="BN747" s="688"/>
      <c r="BO747" s="693"/>
      <c r="BP747" s="689"/>
      <c r="BQ747" s="694"/>
      <c r="BR747" s="687"/>
      <c r="BS747" s="687"/>
      <c r="BT747" s="687"/>
      <c r="BU747" s="687"/>
      <c r="BV747" s="687"/>
      <c r="BW747" s="688"/>
      <c r="BX747" s="688"/>
      <c r="BY747" s="689"/>
      <c r="BZ747" s="690"/>
      <c r="CA747" s="690"/>
      <c r="CB747" s="690"/>
      <c r="CC747" s="691"/>
      <c r="CD747" s="691"/>
      <c r="CE747" s="692"/>
      <c r="CF747" s="692"/>
      <c r="CG747" s="692"/>
      <c r="CH747" s="693"/>
    </row>
    <row r="748">
      <c r="B748" s="687"/>
      <c r="C748" s="687"/>
      <c r="D748" s="688"/>
      <c r="E748" s="689"/>
      <c r="F748" s="690"/>
      <c r="G748" s="690"/>
      <c r="H748" s="690"/>
      <c r="I748" s="691"/>
      <c r="J748" s="691"/>
      <c r="K748" s="691"/>
      <c r="L748" s="692"/>
      <c r="M748" s="692"/>
      <c r="N748" s="692"/>
      <c r="O748" s="693"/>
      <c r="P748" s="688"/>
      <c r="Q748" s="688"/>
      <c r="R748" s="688"/>
      <c r="S748" s="688"/>
      <c r="T748" s="689"/>
      <c r="U748" s="689"/>
      <c r="V748" s="694"/>
      <c r="W748" s="694"/>
      <c r="X748" s="694"/>
      <c r="Y748" s="694"/>
      <c r="Z748" s="693"/>
      <c r="AA748" s="693"/>
      <c r="AB748" s="693"/>
      <c r="AC748" s="693"/>
      <c r="AD748" s="688"/>
      <c r="AE748" s="689"/>
      <c r="AF748" s="689"/>
      <c r="AG748" s="690"/>
      <c r="AH748" s="690"/>
      <c r="AI748" s="695"/>
      <c r="AJ748" s="695"/>
      <c r="AK748" s="692"/>
      <c r="AL748" s="692"/>
      <c r="AM748" s="693"/>
      <c r="AN748" s="688"/>
      <c r="AO748" s="688"/>
      <c r="AP748" s="688"/>
      <c r="AQ748" s="688"/>
      <c r="AR748" s="688"/>
      <c r="AS748" s="688"/>
      <c r="AT748" s="689"/>
      <c r="AU748" s="689"/>
      <c r="AV748" s="690"/>
      <c r="AW748" s="690"/>
      <c r="AX748" s="690"/>
      <c r="AY748" s="690"/>
      <c r="AZ748" s="690"/>
      <c r="BA748" s="690"/>
      <c r="BB748" s="695"/>
      <c r="BC748" s="695"/>
      <c r="BD748" s="695"/>
      <c r="BE748" s="695"/>
      <c r="BF748" s="692"/>
      <c r="BG748" s="692"/>
      <c r="BH748" s="692"/>
      <c r="BI748" s="692"/>
      <c r="BJ748" s="692"/>
      <c r="BK748" s="692"/>
      <c r="BL748" s="693"/>
      <c r="BM748" s="693"/>
      <c r="BN748" s="688"/>
      <c r="BO748" s="693"/>
      <c r="BP748" s="689"/>
      <c r="BQ748" s="694"/>
      <c r="BR748" s="687"/>
      <c r="BS748" s="687"/>
      <c r="BT748" s="687"/>
      <c r="BU748" s="687"/>
      <c r="BV748" s="687"/>
      <c r="BW748" s="688"/>
      <c r="BX748" s="688"/>
      <c r="BY748" s="689"/>
      <c r="BZ748" s="690"/>
      <c r="CA748" s="690"/>
      <c r="CB748" s="690"/>
      <c r="CC748" s="691"/>
      <c r="CD748" s="691"/>
      <c r="CE748" s="692"/>
      <c r="CF748" s="692"/>
      <c r="CG748" s="692"/>
      <c r="CH748" s="693"/>
    </row>
    <row r="749">
      <c r="B749" s="687"/>
      <c r="C749" s="687"/>
      <c r="D749" s="688"/>
      <c r="E749" s="689"/>
      <c r="F749" s="690"/>
      <c r="G749" s="690"/>
      <c r="H749" s="690"/>
      <c r="I749" s="691"/>
      <c r="J749" s="691"/>
      <c r="K749" s="691"/>
      <c r="L749" s="692"/>
      <c r="M749" s="692"/>
      <c r="N749" s="692"/>
      <c r="O749" s="693"/>
      <c r="P749" s="688"/>
      <c r="Q749" s="688"/>
      <c r="R749" s="688"/>
      <c r="S749" s="688"/>
      <c r="T749" s="689"/>
      <c r="U749" s="689"/>
      <c r="V749" s="694"/>
      <c r="W749" s="694"/>
      <c r="X749" s="694"/>
      <c r="Y749" s="694"/>
      <c r="Z749" s="693"/>
      <c r="AA749" s="693"/>
      <c r="AB749" s="693"/>
      <c r="AC749" s="693"/>
      <c r="AD749" s="688"/>
      <c r="AE749" s="689"/>
      <c r="AF749" s="689"/>
      <c r="AG749" s="690"/>
      <c r="AH749" s="690"/>
      <c r="AI749" s="695"/>
      <c r="AJ749" s="695"/>
      <c r="AK749" s="692"/>
      <c r="AL749" s="692"/>
      <c r="AM749" s="693"/>
      <c r="AN749" s="688"/>
      <c r="AO749" s="688"/>
      <c r="AP749" s="688"/>
      <c r="AQ749" s="688"/>
      <c r="AR749" s="688"/>
      <c r="AS749" s="688"/>
      <c r="AT749" s="689"/>
      <c r="AU749" s="689"/>
      <c r="AV749" s="690"/>
      <c r="AW749" s="690"/>
      <c r="AX749" s="690"/>
      <c r="AY749" s="690"/>
      <c r="AZ749" s="690"/>
      <c r="BA749" s="690"/>
      <c r="BB749" s="695"/>
      <c r="BC749" s="695"/>
      <c r="BD749" s="695"/>
      <c r="BE749" s="695"/>
      <c r="BF749" s="692"/>
      <c r="BG749" s="692"/>
      <c r="BH749" s="692"/>
      <c r="BI749" s="692"/>
      <c r="BJ749" s="692"/>
      <c r="BK749" s="692"/>
      <c r="BL749" s="693"/>
      <c r="BM749" s="693"/>
      <c r="BN749" s="688"/>
      <c r="BO749" s="693"/>
      <c r="BP749" s="689"/>
      <c r="BQ749" s="694"/>
      <c r="BR749" s="687"/>
      <c r="BS749" s="687"/>
      <c r="BT749" s="687"/>
      <c r="BU749" s="687"/>
      <c r="BV749" s="687"/>
      <c r="BW749" s="688"/>
      <c r="BX749" s="688"/>
      <c r="BY749" s="689"/>
      <c r="BZ749" s="690"/>
      <c r="CA749" s="690"/>
      <c r="CB749" s="690"/>
      <c r="CC749" s="691"/>
      <c r="CD749" s="691"/>
      <c r="CE749" s="692"/>
      <c r="CF749" s="692"/>
      <c r="CG749" s="692"/>
      <c r="CH749" s="693"/>
    </row>
    <row r="750">
      <c r="B750" s="687"/>
      <c r="C750" s="687"/>
      <c r="D750" s="688"/>
      <c r="E750" s="689"/>
      <c r="F750" s="690"/>
      <c r="G750" s="690"/>
      <c r="H750" s="690"/>
      <c r="I750" s="691"/>
      <c r="J750" s="691"/>
      <c r="K750" s="691"/>
      <c r="L750" s="692"/>
      <c r="M750" s="692"/>
      <c r="N750" s="692"/>
      <c r="O750" s="693"/>
      <c r="P750" s="688"/>
      <c r="Q750" s="688"/>
      <c r="R750" s="688"/>
      <c r="S750" s="688"/>
      <c r="T750" s="689"/>
      <c r="U750" s="689"/>
      <c r="V750" s="694"/>
      <c r="W750" s="694"/>
      <c r="X750" s="694"/>
      <c r="Y750" s="694"/>
      <c r="Z750" s="693"/>
      <c r="AA750" s="693"/>
      <c r="AB750" s="693"/>
      <c r="AC750" s="693"/>
      <c r="AD750" s="688"/>
      <c r="AE750" s="689"/>
      <c r="AF750" s="689"/>
      <c r="AG750" s="690"/>
      <c r="AH750" s="690"/>
      <c r="AI750" s="695"/>
      <c r="AJ750" s="695"/>
      <c r="AK750" s="692"/>
      <c r="AL750" s="692"/>
      <c r="AM750" s="693"/>
      <c r="AN750" s="688"/>
      <c r="AO750" s="688"/>
      <c r="AP750" s="688"/>
      <c r="AQ750" s="688"/>
      <c r="AR750" s="688"/>
      <c r="AS750" s="688"/>
      <c r="AT750" s="689"/>
      <c r="AU750" s="689"/>
      <c r="AV750" s="690"/>
      <c r="AW750" s="690"/>
      <c r="AX750" s="690"/>
      <c r="AY750" s="690"/>
      <c r="AZ750" s="690"/>
      <c r="BA750" s="690"/>
      <c r="BB750" s="695"/>
      <c r="BC750" s="695"/>
      <c r="BD750" s="695"/>
      <c r="BE750" s="695"/>
      <c r="BF750" s="692"/>
      <c r="BG750" s="692"/>
      <c r="BH750" s="692"/>
      <c r="BI750" s="692"/>
      <c r="BJ750" s="692"/>
      <c r="BK750" s="692"/>
      <c r="BL750" s="693"/>
      <c r="BM750" s="693"/>
      <c r="BN750" s="688"/>
      <c r="BO750" s="693"/>
      <c r="BP750" s="689"/>
      <c r="BQ750" s="694"/>
      <c r="BR750" s="687"/>
      <c r="BS750" s="687"/>
      <c r="BT750" s="687"/>
      <c r="BU750" s="687"/>
      <c r="BV750" s="687"/>
      <c r="BW750" s="688"/>
      <c r="BX750" s="688"/>
      <c r="BY750" s="689"/>
      <c r="BZ750" s="690"/>
      <c r="CA750" s="690"/>
      <c r="CB750" s="690"/>
      <c r="CC750" s="691"/>
      <c r="CD750" s="691"/>
      <c r="CE750" s="692"/>
      <c r="CF750" s="692"/>
      <c r="CG750" s="692"/>
      <c r="CH750" s="693"/>
    </row>
    <row r="751">
      <c r="B751" s="687"/>
      <c r="C751" s="687"/>
      <c r="D751" s="688"/>
      <c r="E751" s="689"/>
      <c r="F751" s="690"/>
      <c r="G751" s="690"/>
      <c r="H751" s="690"/>
      <c r="I751" s="691"/>
      <c r="J751" s="691"/>
      <c r="K751" s="691"/>
      <c r="L751" s="692"/>
      <c r="M751" s="692"/>
      <c r="N751" s="692"/>
      <c r="O751" s="693"/>
      <c r="P751" s="688"/>
      <c r="Q751" s="688"/>
      <c r="R751" s="688"/>
      <c r="S751" s="688"/>
      <c r="T751" s="689"/>
      <c r="U751" s="689"/>
      <c r="V751" s="694"/>
      <c r="W751" s="694"/>
      <c r="X751" s="694"/>
      <c r="Y751" s="694"/>
      <c r="Z751" s="693"/>
      <c r="AA751" s="693"/>
      <c r="AB751" s="693"/>
      <c r="AC751" s="693"/>
      <c r="AD751" s="688"/>
      <c r="AE751" s="689"/>
      <c r="AF751" s="689"/>
      <c r="AG751" s="690"/>
      <c r="AH751" s="690"/>
      <c r="AI751" s="695"/>
      <c r="AJ751" s="695"/>
      <c r="AK751" s="692"/>
      <c r="AL751" s="692"/>
      <c r="AM751" s="693"/>
      <c r="AN751" s="688"/>
      <c r="AO751" s="688"/>
      <c r="AP751" s="688"/>
      <c r="AQ751" s="688"/>
      <c r="AR751" s="688"/>
      <c r="AS751" s="688"/>
      <c r="AT751" s="689"/>
      <c r="AU751" s="689"/>
      <c r="AV751" s="690"/>
      <c r="AW751" s="690"/>
      <c r="AX751" s="690"/>
      <c r="AY751" s="690"/>
      <c r="AZ751" s="690"/>
      <c r="BA751" s="690"/>
      <c r="BB751" s="695"/>
      <c r="BC751" s="695"/>
      <c r="BD751" s="695"/>
      <c r="BE751" s="695"/>
      <c r="BF751" s="692"/>
      <c r="BG751" s="692"/>
      <c r="BH751" s="692"/>
      <c r="BI751" s="692"/>
      <c r="BJ751" s="692"/>
      <c r="BK751" s="692"/>
      <c r="BL751" s="693"/>
      <c r="BM751" s="693"/>
      <c r="BN751" s="688"/>
      <c r="BO751" s="693"/>
      <c r="BP751" s="689"/>
      <c r="BQ751" s="694"/>
      <c r="BR751" s="687"/>
      <c r="BS751" s="687"/>
      <c r="BT751" s="687"/>
      <c r="BU751" s="687"/>
      <c r="BV751" s="687"/>
      <c r="BW751" s="688"/>
      <c r="BX751" s="688"/>
      <c r="BY751" s="689"/>
      <c r="BZ751" s="690"/>
      <c r="CA751" s="690"/>
      <c r="CB751" s="690"/>
      <c r="CC751" s="691"/>
      <c r="CD751" s="691"/>
      <c r="CE751" s="692"/>
      <c r="CF751" s="692"/>
      <c r="CG751" s="692"/>
      <c r="CH751" s="693"/>
    </row>
    <row r="752">
      <c r="B752" s="687"/>
      <c r="C752" s="687"/>
      <c r="D752" s="688"/>
      <c r="E752" s="689"/>
      <c r="F752" s="690"/>
      <c r="G752" s="690"/>
      <c r="H752" s="690"/>
      <c r="I752" s="691"/>
      <c r="J752" s="691"/>
      <c r="K752" s="691"/>
      <c r="L752" s="692"/>
      <c r="M752" s="692"/>
      <c r="N752" s="692"/>
      <c r="O752" s="693"/>
      <c r="P752" s="688"/>
      <c r="Q752" s="688"/>
      <c r="R752" s="688"/>
      <c r="S752" s="688"/>
      <c r="T752" s="689"/>
      <c r="U752" s="689"/>
      <c r="V752" s="694"/>
      <c r="W752" s="694"/>
      <c r="X752" s="694"/>
      <c r="Y752" s="694"/>
      <c r="Z752" s="693"/>
      <c r="AA752" s="693"/>
      <c r="AB752" s="693"/>
      <c r="AC752" s="693"/>
      <c r="AD752" s="688"/>
      <c r="AE752" s="689"/>
      <c r="AF752" s="689"/>
      <c r="AG752" s="690"/>
      <c r="AH752" s="690"/>
      <c r="AI752" s="695"/>
      <c r="AJ752" s="695"/>
      <c r="AK752" s="692"/>
      <c r="AL752" s="692"/>
      <c r="AM752" s="693"/>
      <c r="AN752" s="688"/>
      <c r="AO752" s="688"/>
      <c r="AP752" s="688"/>
      <c r="AQ752" s="688"/>
      <c r="AR752" s="688"/>
      <c r="AS752" s="688"/>
      <c r="AT752" s="689"/>
      <c r="AU752" s="689"/>
      <c r="AV752" s="690"/>
      <c r="AW752" s="690"/>
      <c r="AX752" s="690"/>
      <c r="AY752" s="690"/>
      <c r="AZ752" s="690"/>
      <c r="BA752" s="690"/>
      <c r="BB752" s="695"/>
      <c r="BC752" s="695"/>
      <c r="BD752" s="695"/>
      <c r="BE752" s="695"/>
      <c r="BF752" s="692"/>
      <c r="BG752" s="692"/>
      <c r="BH752" s="692"/>
      <c r="BI752" s="692"/>
      <c r="BJ752" s="692"/>
      <c r="BK752" s="692"/>
      <c r="BL752" s="693"/>
      <c r="BM752" s="693"/>
      <c r="BN752" s="688"/>
      <c r="BO752" s="693"/>
      <c r="BP752" s="689"/>
      <c r="BQ752" s="694"/>
      <c r="BR752" s="687"/>
      <c r="BS752" s="687"/>
      <c r="BT752" s="687"/>
      <c r="BU752" s="687"/>
      <c r="BV752" s="687"/>
      <c r="BW752" s="688"/>
      <c r="BX752" s="688"/>
      <c r="BY752" s="689"/>
      <c r="BZ752" s="690"/>
      <c r="CA752" s="690"/>
      <c r="CB752" s="690"/>
      <c r="CC752" s="691"/>
      <c r="CD752" s="691"/>
      <c r="CE752" s="692"/>
      <c r="CF752" s="692"/>
      <c r="CG752" s="692"/>
      <c r="CH752" s="693"/>
    </row>
    <row r="753">
      <c r="B753" s="687"/>
      <c r="C753" s="687"/>
      <c r="D753" s="688"/>
      <c r="E753" s="689"/>
      <c r="F753" s="690"/>
      <c r="G753" s="690"/>
      <c r="H753" s="690"/>
      <c r="I753" s="691"/>
      <c r="J753" s="691"/>
      <c r="K753" s="691"/>
      <c r="L753" s="692"/>
      <c r="M753" s="692"/>
      <c r="N753" s="692"/>
      <c r="O753" s="693"/>
      <c r="P753" s="688"/>
      <c r="Q753" s="688"/>
      <c r="R753" s="688"/>
      <c r="S753" s="688"/>
      <c r="T753" s="689"/>
      <c r="U753" s="689"/>
      <c r="V753" s="694"/>
      <c r="W753" s="694"/>
      <c r="X753" s="694"/>
      <c r="Y753" s="694"/>
      <c r="Z753" s="693"/>
      <c r="AA753" s="693"/>
      <c r="AB753" s="693"/>
      <c r="AC753" s="693"/>
      <c r="AD753" s="688"/>
      <c r="AE753" s="689"/>
      <c r="AF753" s="689"/>
      <c r="AG753" s="690"/>
      <c r="AH753" s="690"/>
      <c r="AI753" s="695"/>
      <c r="AJ753" s="695"/>
      <c r="AK753" s="692"/>
      <c r="AL753" s="692"/>
      <c r="AM753" s="693"/>
      <c r="AN753" s="688"/>
      <c r="AO753" s="688"/>
      <c r="AP753" s="688"/>
      <c r="AQ753" s="688"/>
      <c r="AR753" s="688"/>
      <c r="AS753" s="688"/>
      <c r="AT753" s="689"/>
      <c r="AU753" s="689"/>
      <c r="AV753" s="690"/>
      <c r="AW753" s="690"/>
      <c r="AX753" s="690"/>
      <c r="AY753" s="690"/>
      <c r="AZ753" s="690"/>
      <c r="BA753" s="690"/>
      <c r="BB753" s="695"/>
      <c r="BC753" s="695"/>
      <c r="BD753" s="695"/>
      <c r="BE753" s="695"/>
      <c r="BF753" s="692"/>
      <c r="BG753" s="692"/>
      <c r="BH753" s="692"/>
      <c r="BI753" s="692"/>
      <c r="BJ753" s="692"/>
      <c r="BK753" s="692"/>
      <c r="BL753" s="693"/>
      <c r="BM753" s="693"/>
      <c r="BN753" s="688"/>
      <c r="BO753" s="693"/>
      <c r="BP753" s="689"/>
      <c r="BQ753" s="694"/>
      <c r="BR753" s="687"/>
      <c r="BS753" s="687"/>
      <c r="BT753" s="687"/>
      <c r="BU753" s="687"/>
      <c r="BV753" s="687"/>
      <c r="BW753" s="688"/>
      <c r="BX753" s="688"/>
      <c r="BY753" s="689"/>
      <c r="BZ753" s="690"/>
      <c r="CA753" s="690"/>
      <c r="CB753" s="690"/>
      <c r="CC753" s="691"/>
      <c r="CD753" s="691"/>
      <c r="CE753" s="692"/>
      <c r="CF753" s="692"/>
      <c r="CG753" s="692"/>
      <c r="CH753" s="693"/>
    </row>
    <row r="754">
      <c r="B754" s="687"/>
      <c r="C754" s="687"/>
      <c r="D754" s="688"/>
      <c r="E754" s="689"/>
      <c r="F754" s="690"/>
      <c r="G754" s="690"/>
      <c r="H754" s="690"/>
      <c r="I754" s="691"/>
      <c r="J754" s="691"/>
      <c r="K754" s="691"/>
      <c r="L754" s="692"/>
      <c r="M754" s="692"/>
      <c r="N754" s="692"/>
      <c r="O754" s="693"/>
      <c r="P754" s="688"/>
      <c r="Q754" s="688"/>
      <c r="R754" s="688"/>
      <c r="S754" s="688"/>
      <c r="T754" s="689"/>
      <c r="U754" s="689"/>
      <c r="V754" s="694"/>
      <c r="W754" s="694"/>
      <c r="X754" s="694"/>
      <c r="Y754" s="694"/>
      <c r="Z754" s="693"/>
      <c r="AA754" s="693"/>
      <c r="AB754" s="693"/>
      <c r="AC754" s="693"/>
      <c r="AD754" s="688"/>
      <c r="AE754" s="689"/>
      <c r="AF754" s="689"/>
      <c r="AG754" s="690"/>
      <c r="AH754" s="690"/>
      <c r="AI754" s="695"/>
      <c r="AJ754" s="695"/>
      <c r="AK754" s="692"/>
      <c r="AL754" s="692"/>
      <c r="AM754" s="693"/>
      <c r="AN754" s="688"/>
      <c r="AO754" s="688"/>
      <c r="AP754" s="688"/>
      <c r="AQ754" s="688"/>
      <c r="AR754" s="688"/>
      <c r="AS754" s="688"/>
      <c r="AT754" s="689"/>
      <c r="AU754" s="689"/>
      <c r="AV754" s="690"/>
      <c r="AW754" s="690"/>
      <c r="AX754" s="690"/>
      <c r="AY754" s="690"/>
      <c r="AZ754" s="690"/>
      <c r="BA754" s="690"/>
      <c r="BB754" s="695"/>
      <c r="BC754" s="695"/>
      <c r="BD754" s="695"/>
      <c r="BE754" s="695"/>
      <c r="BF754" s="692"/>
      <c r="BG754" s="692"/>
      <c r="BH754" s="692"/>
      <c r="BI754" s="692"/>
      <c r="BJ754" s="692"/>
      <c r="BK754" s="692"/>
      <c r="BL754" s="693"/>
      <c r="BM754" s="693"/>
      <c r="BN754" s="688"/>
      <c r="BO754" s="693"/>
      <c r="BP754" s="689"/>
      <c r="BQ754" s="694"/>
      <c r="BR754" s="687"/>
      <c r="BS754" s="687"/>
      <c r="BT754" s="687"/>
      <c r="BU754" s="687"/>
      <c r="BV754" s="687"/>
      <c r="BW754" s="688"/>
      <c r="BX754" s="688"/>
      <c r="BY754" s="689"/>
      <c r="BZ754" s="690"/>
      <c r="CA754" s="690"/>
      <c r="CB754" s="690"/>
      <c r="CC754" s="691"/>
      <c r="CD754" s="691"/>
      <c r="CE754" s="692"/>
      <c r="CF754" s="692"/>
      <c r="CG754" s="692"/>
      <c r="CH754" s="693"/>
    </row>
    <row r="755">
      <c r="B755" s="687"/>
      <c r="C755" s="687"/>
      <c r="D755" s="688"/>
      <c r="E755" s="689"/>
      <c r="F755" s="690"/>
      <c r="G755" s="690"/>
      <c r="H755" s="690"/>
      <c r="I755" s="691"/>
      <c r="J755" s="691"/>
      <c r="K755" s="691"/>
      <c r="L755" s="692"/>
      <c r="M755" s="692"/>
      <c r="N755" s="692"/>
      <c r="O755" s="693"/>
      <c r="P755" s="688"/>
      <c r="Q755" s="688"/>
      <c r="R755" s="688"/>
      <c r="S755" s="688"/>
      <c r="T755" s="689"/>
      <c r="U755" s="689"/>
      <c r="V755" s="694"/>
      <c r="W755" s="694"/>
      <c r="X755" s="694"/>
      <c r="Y755" s="694"/>
      <c r="Z755" s="693"/>
      <c r="AA755" s="693"/>
      <c r="AB755" s="693"/>
      <c r="AC755" s="693"/>
      <c r="AD755" s="688"/>
      <c r="AE755" s="689"/>
      <c r="AF755" s="689"/>
      <c r="AG755" s="690"/>
      <c r="AH755" s="690"/>
      <c r="AI755" s="695"/>
      <c r="AJ755" s="695"/>
      <c r="AK755" s="692"/>
      <c r="AL755" s="692"/>
      <c r="AM755" s="693"/>
      <c r="AN755" s="688"/>
      <c r="AO755" s="688"/>
      <c r="AP755" s="688"/>
      <c r="AQ755" s="688"/>
      <c r="AR755" s="688"/>
      <c r="AS755" s="688"/>
      <c r="AT755" s="689"/>
      <c r="AU755" s="689"/>
      <c r="AV755" s="690"/>
      <c r="AW755" s="690"/>
      <c r="AX755" s="690"/>
      <c r="AY755" s="690"/>
      <c r="AZ755" s="690"/>
      <c r="BA755" s="690"/>
      <c r="BB755" s="695"/>
      <c r="BC755" s="695"/>
      <c r="BD755" s="695"/>
      <c r="BE755" s="695"/>
      <c r="BF755" s="692"/>
      <c r="BG755" s="692"/>
      <c r="BH755" s="692"/>
      <c r="BI755" s="692"/>
      <c r="BJ755" s="692"/>
      <c r="BK755" s="692"/>
      <c r="BL755" s="693"/>
      <c r="BM755" s="693"/>
      <c r="BN755" s="688"/>
      <c r="BO755" s="693"/>
      <c r="BP755" s="689"/>
      <c r="BQ755" s="694"/>
      <c r="BR755" s="687"/>
      <c r="BS755" s="687"/>
      <c r="BT755" s="687"/>
      <c r="BU755" s="687"/>
      <c r="BV755" s="687"/>
      <c r="BW755" s="688"/>
      <c r="BX755" s="688"/>
      <c r="BY755" s="689"/>
      <c r="BZ755" s="690"/>
      <c r="CA755" s="690"/>
      <c r="CB755" s="690"/>
      <c r="CC755" s="691"/>
      <c r="CD755" s="691"/>
      <c r="CE755" s="692"/>
      <c r="CF755" s="692"/>
      <c r="CG755" s="692"/>
      <c r="CH755" s="693"/>
    </row>
    <row r="756">
      <c r="B756" s="687"/>
      <c r="C756" s="687"/>
      <c r="D756" s="688"/>
      <c r="E756" s="689"/>
      <c r="F756" s="690"/>
      <c r="G756" s="690"/>
      <c r="H756" s="690"/>
      <c r="I756" s="691"/>
      <c r="J756" s="691"/>
      <c r="K756" s="691"/>
      <c r="L756" s="692"/>
      <c r="M756" s="692"/>
      <c r="N756" s="692"/>
      <c r="O756" s="693"/>
      <c r="P756" s="688"/>
      <c r="Q756" s="688"/>
      <c r="R756" s="688"/>
      <c r="S756" s="688"/>
      <c r="T756" s="689"/>
      <c r="U756" s="689"/>
      <c r="V756" s="694"/>
      <c r="W756" s="694"/>
      <c r="X756" s="694"/>
      <c r="Y756" s="694"/>
      <c r="Z756" s="693"/>
      <c r="AA756" s="693"/>
      <c r="AB756" s="693"/>
      <c r="AC756" s="693"/>
      <c r="AD756" s="688"/>
      <c r="AE756" s="689"/>
      <c r="AF756" s="689"/>
      <c r="AG756" s="690"/>
      <c r="AH756" s="690"/>
      <c r="AI756" s="695"/>
      <c r="AJ756" s="695"/>
      <c r="AK756" s="692"/>
      <c r="AL756" s="692"/>
      <c r="AM756" s="693"/>
      <c r="AN756" s="688"/>
      <c r="AO756" s="688"/>
      <c r="AP756" s="688"/>
      <c r="AQ756" s="688"/>
      <c r="AR756" s="688"/>
      <c r="AS756" s="688"/>
      <c r="AT756" s="689"/>
      <c r="AU756" s="689"/>
      <c r="AV756" s="690"/>
      <c r="AW756" s="690"/>
      <c r="AX756" s="690"/>
      <c r="AY756" s="690"/>
      <c r="AZ756" s="690"/>
      <c r="BA756" s="690"/>
      <c r="BB756" s="695"/>
      <c r="BC756" s="695"/>
      <c r="BD756" s="695"/>
      <c r="BE756" s="695"/>
      <c r="BF756" s="692"/>
      <c r="BG756" s="692"/>
      <c r="BH756" s="692"/>
      <c r="BI756" s="692"/>
      <c r="BJ756" s="692"/>
      <c r="BK756" s="692"/>
      <c r="BL756" s="693"/>
      <c r="BM756" s="693"/>
      <c r="BN756" s="688"/>
      <c r="BO756" s="693"/>
      <c r="BP756" s="689"/>
      <c r="BQ756" s="694"/>
      <c r="BR756" s="687"/>
      <c r="BS756" s="687"/>
      <c r="BT756" s="687"/>
      <c r="BU756" s="687"/>
      <c r="BV756" s="687"/>
      <c r="BW756" s="688"/>
      <c r="BX756" s="688"/>
      <c r="BY756" s="689"/>
      <c r="BZ756" s="690"/>
      <c r="CA756" s="690"/>
      <c r="CB756" s="690"/>
      <c r="CC756" s="691"/>
      <c r="CD756" s="691"/>
      <c r="CE756" s="692"/>
      <c r="CF756" s="692"/>
      <c r="CG756" s="692"/>
      <c r="CH756" s="693"/>
    </row>
    <row r="757">
      <c r="B757" s="687"/>
      <c r="C757" s="687"/>
      <c r="D757" s="688"/>
      <c r="E757" s="689"/>
      <c r="F757" s="690"/>
      <c r="G757" s="690"/>
      <c r="H757" s="690"/>
      <c r="I757" s="691"/>
      <c r="J757" s="691"/>
      <c r="K757" s="691"/>
      <c r="L757" s="692"/>
      <c r="M757" s="692"/>
      <c r="N757" s="692"/>
      <c r="O757" s="693"/>
      <c r="P757" s="688"/>
      <c r="Q757" s="688"/>
      <c r="R757" s="688"/>
      <c r="S757" s="688"/>
      <c r="T757" s="689"/>
      <c r="U757" s="689"/>
      <c r="V757" s="694"/>
      <c r="W757" s="694"/>
      <c r="X757" s="694"/>
      <c r="Y757" s="694"/>
      <c r="Z757" s="693"/>
      <c r="AA757" s="693"/>
      <c r="AB757" s="693"/>
      <c r="AC757" s="693"/>
      <c r="AD757" s="688"/>
      <c r="AE757" s="689"/>
      <c r="AF757" s="689"/>
      <c r="AG757" s="690"/>
      <c r="AH757" s="690"/>
      <c r="AI757" s="695"/>
      <c r="AJ757" s="695"/>
      <c r="AK757" s="692"/>
      <c r="AL757" s="692"/>
      <c r="AM757" s="693"/>
      <c r="AN757" s="688"/>
      <c r="AO757" s="688"/>
      <c r="AP757" s="688"/>
      <c r="AQ757" s="688"/>
      <c r="AR757" s="688"/>
      <c r="AS757" s="688"/>
      <c r="AT757" s="689"/>
      <c r="AU757" s="689"/>
      <c r="AV757" s="690"/>
      <c r="AW757" s="690"/>
      <c r="AX757" s="690"/>
      <c r="AY757" s="690"/>
      <c r="AZ757" s="690"/>
      <c r="BA757" s="690"/>
      <c r="BB757" s="695"/>
      <c r="BC757" s="695"/>
      <c r="BD757" s="695"/>
      <c r="BE757" s="695"/>
      <c r="BF757" s="692"/>
      <c r="BG757" s="692"/>
      <c r="BH757" s="692"/>
      <c r="BI757" s="692"/>
      <c r="BJ757" s="692"/>
      <c r="BK757" s="692"/>
      <c r="BL757" s="693"/>
      <c r="BM757" s="693"/>
      <c r="BN757" s="688"/>
      <c r="BO757" s="693"/>
      <c r="BP757" s="689"/>
      <c r="BQ757" s="694"/>
      <c r="BR757" s="687"/>
      <c r="BS757" s="687"/>
      <c r="BT757" s="687"/>
      <c r="BU757" s="687"/>
      <c r="BV757" s="687"/>
      <c r="BW757" s="688"/>
      <c r="BX757" s="688"/>
      <c r="BY757" s="689"/>
      <c r="BZ757" s="690"/>
      <c r="CA757" s="690"/>
      <c r="CB757" s="690"/>
      <c r="CC757" s="691"/>
      <c r="CD757" s="691"/>
      <c r="CE757" s="692"/>
      <c r="CF757" s="692"/>
      <c r="CG757" s="692"/>
      <c r="CH757" s="693"/>
    </row>
    <row r="758">
      <c r="B758" s="687"/>
      <c r="C758" s="687"/>
      <c r="D758" s="688"/>
      <c r="E758" s="689"/>
      <c r="F758" s="690"/>
      <c r="G758" s="690"/>
      <c r="H758" s="690"/>
      <c r="I758" s="691"/>
      <c r="J758" s="691"/>
      <c r="K758" s="691"/>
      <c r="L758" s="692"/>
      <c r="M758" s="692"/>
      <c r="N758" s="692"/>
      <c r="O758" s="693"/>
      <c r="P758" s="688"/>
      <c r="Q758" s="688"/>
      <c r="R758" s="688"/>
      <c r="S758" s="688"/>
      <c r="T758" s="689"/>
      <c r="U758" s="689"/>
      <c r="V758" s="694"/>
      <c r="W758" s="694"/>
      <c r="X758" s="694"/>
      <c r="Y758" s="694"/>
      <c r="Z758" s="693"/>
      <c r="AA758" s="693"/>
      <c r="AB758" s="693"/>
      <c r="AC758" s="693"/>
      <c r="AD758" s="688"/>
      <c r="AE758" s="689"/>
      <c r="AF758" s="689"/>
      <c r="AG758" s="690"/>
      <c r="AH758" s="690"/>
      <c r="AI758" s="695"/>
      <c r="AJ758" s="695"/>
      <c r="AK758" s="692"/>
      <c r="AL758" s="692"/>
      <c r="AM758" s="693"/>
      <c r="AN758" s="688"/>
      <c r="AO758" s="688"/>
      <c r="AP758" s="688"/>
      <c r="AQ758" s="688"/>
      <c r="AR758" s="688"/>
      <c r="AS758" s="688"/>
      <c r="AT758" s="689"/>
      <c r="AU758" s="689"/>
      <c r="AV758" s="690"/>
      <c r="AW758" s="690"/>
      <c r="AX758" s="690"/>
      <c r="AY758" s="690"/>
      <c r="AZ758" s="690"/>
      <c r="BA758" s="690"/>
      <c r="BB758" s="695"/>
      <c r="BC758" s="695"/>
      <c r="BD758" s="695"/>
      <c r="BE758" s="695"/>
      <c r="BF758" s="692"/>
      <c r="BG758" s="692"/>
      <c r="BH758" s="692"/>
      <c r="BI758" s="692"/>
      <c r="BJ758" s="692"/>
      <c r="BK758" s="692"/>
      <c r="BL758" s="693"/>
      <c r="BM758" s="693"/>
      <c r="BN758" s="688"/>
      <c r="BO758" s="693"/>
      <c r="BP758" s="689"/>
      <c r="BQ758" s="694"/>
      <c r="BR758" s="687"/>
      <c r="BS758" s="687"/>
      <c r="BT758" s="687"/>
      <c r="BU758" s="687"/>
      <c r="BV758" s="687"/>
      <c r="BW758" s="688"/>
      <c r="BX758" s="688"/>
      <c r="BY758" s="689"/>
      <c r="BZ758" s="690"/>
      <c r="CA758" s="690"/>
      <c r="CB758" s="690"/>
      <c r="CC758" s="691"/>
      <c r="CD758" s="691"/>
      <c r="CE758" s="692"/>
      <c r="CF758" s="692"/>
      <c r="CG758" s="692"/>
      <c r="CH758" s="693"/>
    </row>
    <row r="759">
      <c r="B759" s="687"/>
      <c r="C759" s="687"/>
      <c r="D759" s="688"/>
      <c r="E759" s="689"/>
      <c r="F759" s="690"/>
      <c r="G759" s="690"/>
      <c r="H759" s="690"/>
      <c r="I759" s="691"/>
      <c r="J759" s="691"/>
      <c r="K759" s="691"/>
      <c r="L759" s="692"/>
      <c r="M759" s="692"/>
      <c r="N759" s="692"/>
      <c r="O759" s="693"/>
      <c r="P759" s="688"/>
      <c r="Q759" s="688"/>
      <c r="R759" s="688"/>
      <c r="S759" s="688"/>
      <c r="T759" s="689"/>
      <c r="U759" s="689"/>
      <c r="V759" s="694"/>
      <c r="W759" s="694"/>
      <c r="X759" s="694"/>
      <c r="Y759" s="694"/>
      <c r="Z759" s="693"/>
      <c r="AA759" s="693"/>
      <c r="AB759" s="693"/>
      <c r="AC759" s="693"/>
      <c r="AD759" s="688"/>
      <c r="AE759" s="689"/>
      <c r="AF759" s="689"/>
      <c r="AG759" s="690"/>
      <c r="AH759" s="690"/>
      <c r="AI759" s="695"/>
      <c r="AJ759" s="695"/>
      <c r="AK759" s="692"/>
      <c r="AL759" s="692"/>
      <c r="AM759" s="693"/>
      <c r="AN759" s="688"/>
      <c r="AO759" s="688"/>
      <c r="AP759" s="688"/>
      <c r="AQ759" s="688"/>
      <c r="AR759" s="688"/>
      <c r="AS759" s="688"/>
      <c r="AT759" s="689"/>
      <c r="AU759" s="689"/>
      <c r="AV759" s="690"/>
      <c r="AW759" s="690"/>
      <c r="AX759" s="690"/>
      <c r="AY759" s="690"/>
      <c r="AZ759" s="690"/>
      <c r="BA759" s="690"/>
      <c r="BB759" s="695"/>
      <c r="BC759" s="695"/>
      <c r="BD759" s="695"/>
      <c r="BE759" s="695"/>
      <c r="BF759" s="692"/>
      <c r="BG759" s="692"/>
      <c r="BH759" s="692"/>
      <c r="BI759" s="692"/>
      <c r="BJ759" s="692"/>
      <c r="BK759" s="692"/>
      <c r="BL759" s="693"/>
      <c r="BM759" s="693"/>
      <c r="BN759" s="688"/>
      <c r="BO759" s="693"/>
      <c r="BP759" s="689"/>
      <c r="BQ759" s="694"/>
      <c r="BR759" s="687"/>
      <c r="BS759" s="687"/>
      <c r="BT759" s="687"/>
      <c r="BU759" s="687"/>
      <c r="BV759" s="687"/>
      <c r="BW759" s="688"/>
      <c r="BX759" s="688"/>
      <c r="BY759" s="689"/>
      <c r="BZ759" s="690"/>
      <c r="CA759" s="690"/>
      <c r="CB759" s="690"/>
      <c r="CC759" s="691"/>
      <c r="CD759" s="691"/>
      <c r="CE759" s="692"/>
      <c r="CF759" s="692"/>
      <c r="CG759" s="692"/>
      <c r="CH759" s="693"/>
    </row>
    <row r="760">
      <c r="B760" s="687"/>
      <c r="C760" s="687"/>
      <c r="D760" s="688"/>
      <c r="E760" s="689"/>
      <c r="F760" s="690"/>
      <c r="G760" s="690"/>
      <c r="H760" s="690"/>
      <c r="I760" s="691"/>
      <c r="J760" s="691"/>
      <c r="K760" s="691"/>
      <c r="L760" s="692"/>
      <c r="M760" s="692"/>
      <c r="N760" s="692"/>
      <c r="O760" s="693"/>
      <c r="P760" s="688"/>
      <c r="Q760" s="688"/>
      <c r="R760" s="688"/>
      <c r="S760" s="688"/>
      <c r="T760" s="689"/>
      <c r="U760" s="689"/>
      <c r="V760" s="694"/>
      <c r="W760" s="694"/>
      <c r="X760" s="694"/>
      <c r="Y760" s="694"/>
      <c r="Z760" s="693"/>
      <c r="AA760" s="693"/>
      <c r="AB760" s="693"/>
      <c r="AC760" s="693"/>
      <c r="AD760" s="688"/>
      <c r="AE760" s="689"/>
      <c r="AF760" s="689"/>
      <c r="AG760" s="690"/>
      <c r="AH760" s="690"/>
      <c r="AI760" s="695"/>
      <c r="AJ760" s="695"/>
      <c r="AK760" s="692"/>
      <c r="AL760" s="692"/>
      <c r="AM760" s="693"/>
      <c r="AN760" s="688"/>
      <c r="AO760" s="688"/>
      <c r="AP760" s="688"/>
      <c r="AQ760" s="688"/>
      <c r="AR760" s="688"/>
      <c r="AS760" s="688"/>
      <c r="AT760" s="689"/>
      <c r="AU760" s="689"/>
      <c r="AV760" s="690"/>
      <c r="AW760" s="690"/>
      <c r="AX760" s="690"/>
      <c r="AY760" s="690"/>
      <c r="AZ760" s="690"/>
      <c r="BA760" s="690"/>
      <c r="BB760" s="695"/>
      <c r="BC760" s="695"/>
      <c r="BD760" s="695"/>
      <c r="BE760" s="695"/>
      <c r="BF760" s="692"/>
      <c r="BG760" s="692"/>
      <c r="BH760" s="692"/>
      <c r="BI760" s="692"/>
      <c r="BJ760" s="692"/>
      <c r="BK760" s="692"/>
      <c r="BL760" s="693"/>
      <c r="BM760" s="693"/>
      <c r="BN760" s="688"/>
      <c r="BO760" s="693"/>
      <c r="BP760" s="689"/>
      <c r="BQ760" s="694"/>
      <c r="BR760" s="687"/>
      <c r="BS760" s="687"/>
      <c r="BT760" s="687"/>
      <c r="BU760" s="687"/>
      <c r="BV760" s="687"/>
      <c r="BW760" s="688"/>
      <c r="BX760" s="688"/>
      <c r="BY760" s="689"/>
      <c r="BZ760" s="690"/>
      <c r="CA760" s="690"/>
      <c r="CB760" s="690"/>
      <c r="CC760" s="691"/>
      <c r="CD760" s="691"/>
      <c r="CE760" s="692"/>
      <c r="CF760" s="692"/>
      <c r="CG760" s="692"/>
      <c r="CH760" s="693"/>
    </row>
    <row r="761">
      <c r="B761" s="687"/>
      <c r="C761" s="687"/>
      <c r="D761" s="688"/>
      <c r="E761" s="689"/>
      <c r="F761" s="690"/>
      <c r="G761" s="690"/>
      <c r="H761" s="690"/>
      <c r="I761" s="691"/>
      <c r="J761" s="691"/>
      <c r="K761" s="691"/>
      <c r="L761" s="692"/>
      <c r="M761" s="692"/>
      <c r="N761" s="692"/>
      <c r="O761" s="693"/>
      <c r="P761" s="688"/>
      <c r="Q761" s="688"/>
      <c r="R761" s="688"/>
      <c r="S761" s="688"/>
      <c r="T761" s="689"/>
      <c r="U761" s="689"/>
      <c r="V761" s="694"/>
      <c r="W761" s="694"/>
      <c r="X761" s="694"/>
      <c r="Y761" s="694"/>
      <c r="Z761" s="693"/>
      <c r="AA761" s="693"/>
      <c r="AB761" s="693"/>
      <c r="AC761" s="693"/>
      <c r="AD761" s="688"/>
      <c r="AE761" s="689"/>
      <c r="AF761" s="689"/>
      <c r="AG761" s="690"/>
      <c r="AH761" s="690"/>
      <c r="AI761" s="695"/>
      <c r="AJ761" s="695"/>
      <c r="AK761" s="692"/>
      <c r="AL761" s="692"/>
      <c r="AM761" s="693"/>
      <c r="AN761" s="688"/>
      <c r="AO761" s="688"/>
      <c r="AP761" s="688"/>
      <c r="AQ761" s="688"/>
      <c r="AR761" s="688"/>
      <c r="AS761" s="688"/>
      <c r="AT761" s="689"/>
      <c r="AU761" s="689"/>
      <c r="AV761" s="690"/>
      <c r="AW761" s="690"/>
      <c r="AX761" s="690"/>
      <c r="AY761" s="690"/>
      <c r="AZ761" s="690"/>
      <c r="BA761" s="690"/>
      <c r="BB761" s="695"/>
      <c r="BC761" s="695"/>
      <c r="BD761" s="695"/>
      <c r="BE761" s="695"/>
      <c r="BF761" s="692"/>
      <c r="BG761" s="692"/>
      <c r="BH761" s="692"/>
      <c r="BI761" s="692"/>
      <c r="BJ761" s="692"/>
      <c r="BK761" s="692"/>
      <c r="BL761" s="693"/>
      <c r="BM761" s="693"/>
      <c r="BN761" s="688"/>
      <c r="BO761" s="693"/>
      <c r="BP761" s="689"/>
      <c r="BQ761" s="694"/>
      <c r="BR761" s="687"/>
      <c r="BS761" s="687"/>
      <c r="BT761" s="687"/>
      <c r="BU761" s="687"/>
      <c r="BV761" s="687"/>
      <c r="BW761" s="688"/>
      <c r="BX761" s="688"/>
      <c r="BY761" s="689"/>
      <c r="BZ761" s="690"/>
      <c r="CA761" s="690"/>
      <c r="CB761" s="690"/>
      <c r="CC761" s="691"/>
      <c r="CD761" s="691"/>
      <c r="CE761" s="692"/>
      <c r="CF761" s="692"/>
      <c r="CG761" s="692"/>
      <c r="CH761" s="693"/>
    </row>
    <row r="762">
      <c r="B762" s="687"/>
      <c r="C762" s="687"/>
      <c r="D762" s="688"/>
      <c r="E762" s="689"/>
      <c r="F762" s="690"/>
      <c r="G762" s="690"/>
      <c r="H762" s="690"/>
      <c r="I762" s="691"/>
      <c r="J762" s="691"/>
      <c r="K762" s="691"/>
      <c r="L762" s="692"/>
      <c r="M762" s="692"/>
      <c r="N762" s="692"/>
      <c r="O762" s="693"/>
      <c r="P762" s="688"/>
      <c r="Q762" s="688"/>
      <c r="R762" s="688"/>
      <c r="S762" s="688"/>
      <c r="T762" s="689"/>
      <c r="U762" s="689"/>
      <c r="V762" s="694"/>
      <c r="W762" s="694"/>
      <c r="X762" s="694"/>
      <c r="Y762" s="694"/>
      <c r="Z762" s="693"/>
      <c r="AA762" s="693"/>
      <c r="AB762" s="693"/>
      <c r="AC762" s="693"/>
      <c r="AD762" s="688"/>
      <c r="AE762" s="689"/>
      <c r="AF762" s="689"/>
      <c r="AG762" s="690"/>
      <c r="AH762" s="690"/>
      <c r="AI762" s="695"/>
      <c r="AJ762" s="695"/>
      <c r="AK762" s="692"/>
      <c r="AL762" s="692"/>
      <c r="AM762" s="693"/>
      <c r="AN762" s="688"/>
      <c r="AO762" s="688"/>
      <c r="AP762" s="688"/>
      <c r="AQ762" s="688"/>
      <c r="AR762" s="688"/>
      <c r="AS762" s="688"/>
      <c r="AT762" s="689"/>
      <c r="AU762" s="689"/>
      <c r="AV762" s="690"/>
      <c r="AW762" s="690"/>
      <c r="AX762" s="690"/>
      <c r="AY762" s="690"/>
      <c r="AZ762" s="690"/>
      <c r="BA762" s="690"/>
      <c r="BB762" s="695"/>
      <c r="BC762" s="695"/>
      <c r="BD762" s="695"/>
      <c r="BE762" s="695"/>
      <c r="BF762" s="692"/>
      <c r="BG762" s="692"/>
      <c r="BH762" s="692"/>
      <c r="BI762" s="692"/>
      <c r="BJ762" s="692"/>
      <c r="BK762" s="692"/>
      <c r="BL762" s="693"/>
      <c r="BM762" s="693"/>
      <c r="BN762" s="688"/>
      <c r="BO762" s="693"/>
      <c r="BP762" s="689"/>
      <c r="BQ762" s="694"/>
      <c r="BR762" s="687"/>
      <c r="BS762" s="687"/>
      <c r="BT762" s="687"/>
      <c r="BU762" s="687"/>
      <c r="BV762" s="687"/>
      <c r="BW762" s="688"/>
      <c r="BX762" s="688"/>
      <c r="BY762" s="689"/>
      <c r="BZ762" s="690"/>
      <c r="CA762" s="690"/>
      <c r="CB762" s="690"/>
      <c r="CC762" s="691"/>
      <c r="CD762" s="691"/>
      <c r="CE762" s="692"/>
      <c r="CF762" s="692"/>
      <c r="CG762" s="692"/>
      <c r="CH762" s="693"/>
    </row>
    <row r="763">
      <c r="B763" s="687"/>
      <c r="C763" s="687"/>
      <c r="D763" s="688"/>
      <c r="E763" s="689"/>
      <c r="F763" s="690"/>
      <c r="G763" s="690"/>
      <c r="H763" s="690"/>
      <c r="I763" s="691"/>
      <c r="J763" s="691"/>
      <c r="K763" s="691"/>
      <c r="L763" s="692"/>
      <c r="M763" s="692"/>
      <c r="N763" s="692"/>
      <c r="O763" s="693"/>
      <c r="P763" s="688"/>
      <c r="Q763" s="688"/>
      <c r="R763" s="688"/>
      <c r="S763" s="688"/>
      <c r="T763" s="689"/>
      <c r="U763" s="689"/>
      <c r="V763" s="694"/>
      <c r="W763" s="694"/>
      <c r="X763" s="694"/>
      <c r="Y763" s="694"/>
      <c r="Z763" s="693"/>
      <c r="AA763" s="693"/>
      <c r="AB763" s="693"/>
      <c r="AC763" s="693"/>
      <c r="AD763" s="688"/>
      <c r="AE763" s="689"/>
      <c r="AF763" s="689"/>
      <c r="AG763" s="690"/>
      <c r="AH763" s="690"/>
      <c r="AI763" s="695"/>
      <c r="AJ763" s="695"/>
      <c r="AK763" s="692"/>
      <c r="AL763" s="692"/>
      <c r="AM763" s="693"/>
      <c r="AN763" s="688"/>
      <c r="AO763" s="688"/>
      <c r="AP763" s="688"/>
      <c r="AQ763" s="688"/>
      <c r="AR763" s="688"/>
      <c r="AS763" s="688"/>
      <c r="AT763" s="689"/>
      <c r="AU763" s="689"/>
      <c r="AV763" s="690"/>
      <c r="AW763" s="690"/>
      <c r="AX763" s="690"/>
      <c r="AY763" s="690"/>
      <c r="AZ763" s="690"/>
      <c r="BA763" s="690"/>
      <c r="BB763" s="695"/>
      <c r="BC763" s="695"/>
      <c r="BD763" s="695"/>
      <c r="BE763" s="695"/>
      <c r="BF763" s="692"/>
      <c r="BG763" s="692"/>
      <c r="BH763" s="692"/>
      <c r="BI763" s="692"/>
      <c r="BJ763" s="692"/>
      <c r="BK763" s="692"/>
      <c r="BL763" s="693"/>
      <c r="BM763" s="693"/>
      <c r="BN763" s="688"/>
      <c r="BO763" s="693"/>
      <c r="BP763" s="689"/>
      <c r="BQ763" s="694"/>
      <c r="BR763" s="687"/>
      <c r="BS763" s="687"/>
      <c r="BT763" s="687"/>
      <c r="BU763" s="687"/>
      <c r="BV763" s="687"/>
      <c r="BW763" s="688"/>
      <c r="BX763" s="688"/>
      <c r="BY763" s="689"/>
      <c r="BZ763" s="690"/>
      <c r="CA763" s="690"/>
      <c r="CB763" s="690"/>
      <c r="CC763" s="691"/>
      <c r="CD763" s="691"/>
      <c r="CE763" s="692"/>
      <c r="CF763" s="692"/>
      <c r="CG763" s="692"/>
      <c r="CH763" s="693"/>
    </row>
    <row r="764">
      <c r="B764" s="687"/>
      <c r="C764" s="687"/>
      <c r="D764" s="688"/>
      <c r="E764" s="689"/>
      <c r="F764" s="690"/>
      <c r="G764" s="690"/>
      <c r="H764" s="690"/>
      <c r="I764" s="691"/>
      <c r="J764" s="691"/>
      <c r="K764" s="691"/>
      <c r="L764" s="692"/>
      <c r="M764" s="692"/>
      <c r="N764" s="692"/>
      <c r="O764" s="693"/>
      <c r="P764" s="688"/>
      <c r="Q764" s="688"/>
      <c r="R764" s="688"/>
      <c r="S764" s="688"/>
      <c r="T764" s="689"/>
      <c r="U764" s="689"/>
      <c r="V764" s="694"/>
      <c r="W764" s="694"/>
      <c r="X764" s="694"/>
      <c r="Y764" s="694"/>
      <c r="Z764" s="693"/>
      <c r="AA764" s="693"/>
      <c r="AB764" s="693"/>
      <c r="AC764" s="693"/>
      <c r="AD764" s="688"/>
      <c r="AE764" s="689"/>
      <c r="AF764" s="689"/>
      <c r="AG764" s="690"/>
      <c r="AH764" s="690"/>
      <c r="AI764" s="695"/>
      <c r="AJ764" s="695"/>
      <c r="AK764" s="692"/>
      <c r="AL764" s="692"/>
      <c r="AM764" s="693"/>
      <c r="AN764" s="688"/>
      <c r="AO764" s="688"/>
      <c r="AP764" s="688"/>
      <c r="AQ764" s="688"/>
      <c r="AR764" s="688"/>
      <c r="AS764" s="688"/>
      <c r="AT764" s="689"/>
      <c r="AU764" s="689"/>
      <c r="AV764" s="690"/>
      <c r="AW764" s="690"/>
      <c r="AX764" s="690"/>
      <c r="AY764" s="690"/>
      <c r="AZ764" s="690"/>
      <c r="BA764" s="690"/>
      <c r="BB764" s="695"/>
      <c r="BC764" s="695"/>
      <c r="BD764" s="695"/>
      <c r="BE764" s="695"/>
      <c r="BF764" s="692"/>
      <c r="BG764" s="692"/>
      <c r="BH764" s="692"/>
      <c r="BI764" s="692"/>
      <c r="BJ764" s="692"/>
      <c r="BK764" s="692"/>
      <c r="BL764" s="693"/>
      <c r="BM764" s="693"/>
      <c r="BN764" s="688"/>
      <c r="BO764" s="693"/>
      <c r="BP764" s="689"/>
      <c r="BQ764" s="694"/>
      <c r="BR764" s="687"/>
      <c r="BS764" s="687"/>
      <c r="BT764" s="687"/>
      <c r="BU764" s="687"/>
      <c r="BV764" s="687"/>
      <c r="BW764" s="688"/>
      <c r="BX764" s="688"/>
      <c r="BY764" s="689"/>
      <c r="BZ764" s="690"/>
      <c r="CA764" s="690"/>
      <c r="CB764" s="690"/>
      <c r="CC764" s="691"/>
      <c r="CD764" s="691"/>
      <c r="CE764" s="692"/>
      <c r="CF764" s="692"/>
      <c r="CG764" s="692"/>
      <c r="CH764" s="693"/>
    </row>
    <row r="765">
      <c r="B765" s="687"/>
      <c r="C765" s="687"/>
      <c r="D765" s="688"/>
      <c r="E765" s="689"/>
      <c r="F765" s="690"/>
      <c r="G765" s="690"/>
      <c r="H765" s="690"/>
      <c r="I765" s="691"/>
      <c r="J765" s="691"/>
      <c r="K765" s="691"/>
      <c r="L765" s="692"/>
      <c r="M765" s="692"/>
      <c r="N765" s="692"/>
      <c r="O765" s="693"/>
      <c r="P765" s="688"/>
      <c r="Q765" s="688"/>
      <c r="R765" s="688"/>
      <c r="S765" s="688"/>
      <c r="T765" s="689"/>
      <c r="U765" s="689"/>
      <c r="V765" s="694"/>
      <c r="W765" s="694"/>
      <c r="X765" s="694"/>
      <c r="Y765" s="694"/>
      <c r="Z765" s="693"/>
      <c r="AA765" s="693"/>
      <c r="AB765" s="693"/>
      <c r="AC765" s="693"/>
      <c r="AD765" s="688"/>
      <c r="AE765" s="689"/>
      <c r="AF765" s="689"/>
      <c r="AG765" s="690"/>
      <c r="AH765" s="690"/>
      <c r="AI765" s="695"/>
      <c r="AJ765" s="695"/>
      <c r="AK765" s="692"/>
      <c r="AL765" s="692"/>
      <c r="AM765" s="693"/>
      <c r="AN765" s="688"/>
      <c r="AO765" s="688"/>
      <c r="AP765" s="688"/>
      <c r="AQ765" s="688"/>
      <c r="AR765" s="688"/>
      <c r="AS765" s="688"/>
      <c r="AT765" s="689"/>
      <c r="AU765" s="689"/>
      <c r="AV765" s="690"/>
      <c r="AW765" s="690"/>
      <c r="AX765" s="690"/>
      <c r="AY765" s="690"/>
      <c r="AZ765" s="690"/>
      <c r="BA765" s="690"/>
      <c r="BB765" s="695"/>
      <c r="BC765" s="695"/>
      <c r="BD765" s="695"/>
      <c r="BE765" s="695"/>
      <c r="BF765" s="692"/>
      <c r="BG765" s="692"/>
      <c r="BH765" s="692"/>
      <c r="BI765" s="692"/>
      <c r="BJ765" s="692"/>
      <c r="BK765" s="692"/>
      <c r="BL765" s="693"/>
      <c r="BM765" s="693"/>
      <c r="BN765" s="688"/>
      <c r="BO765" s="693"/>
      <c r="BP765" s="689"/>
      <c r="BQ765" s="694"/>
      <c r="BR765" s="687"/>
      <c r="BS765" s="687"/>
      <c r="BT765" s="687"/>
      <c r="BU765" s="687"/>
      <c r="BV765" s="687"/>
      <c r="BW765" s="688"/>
      <c r="BX765" s="688"/>
      <c r="BY765" s="689"/>
      <c r="BZ765" s="690"/>
      <c r="CA765" s="690"/>
      <c r="CB765" s="690"/>
      <c r="CC765" s="691"/>
      <c r="CD765" s="691"/>
      <c r="CE765" s="692"/>
      <c r="CF765" s="692"/>
      <c r="CG765" s="692"/>
      <c r="CH765" s="693"/>
    </row>
    <row r="766">
      <c r="B766" s="687"/>
      <c r="C766" s="687"/>
      <c r="D766" s="688"/>
      <c r="E766" s="689"/>
      <c r="F766" s="690"/>
      <c r="G766" s="690"/>
      <c r="H766" s="690"/>
      <c r="I766" s="691"/>
      <c r="J766" s="691"/>
      <c r="K766" s="691"/>
      <c r="L766" s="692"/>
      <c r="M766" s="692"/>
      <c r="N766" s="692"/>
      <c r="O766" s="693"/>
      <c r="P766" s="688"/>
      <c r="Q766" s="688"/>
      <c r="R766" s="688"/>
      <c r="S766" s="688"/>
      <c r="T766" s="689"/>
      <c r="U766" s="689"/>
      <c r="V766" s="694"/>
      <c r="W766" s="694"/>
      <c r="X766" s="694"/>
      <c r="Y766" s="694"/>
      <c r="Z766" s="693"/>
      <c r="AA766" s="693"/>
      <c r="AB766" s="693"/>
      <c r="AC766" s="693"/>
      <c r="AD766" s="688"/>
      <c r="AE766" s="689"/>
      <c r="AF766" s="689"/>
      <c r="AG766" s="690"/>
      <c r="AH766" s="690"/>
      <c r="AI766" s="695"/>
      <c r="AJ766" s="695"/>
      <c r="AK766" s="692"/>
      <c r="AL766" s="692"/>
      <c r="AM766" s="693"/>
      <c r="AN766" s="688"/>
      <c r="AO766" s="688"/>
      <c r="AP766" s="688"/>
      <c r="AQ766" s="688"/>
      <c r="AR766" s="688"/>
      <c r="AS766" s="688"/>
      <c r="AT766" s="689"/>
      <c r="AU766" s="689"/>
      <c r="AV766" s="690"/>
      <c r="AW766" s="690"/>
      <c r="AX766" s="690"/>
      <c r="AY766" s="690"/>
      <c r="AZ766" s="690"/>
      <c r="BA766" s="690"/>
      <c r="BB766" s="695"/>
      <c r="BC766" s="695"/>
      <c r="BD766" s="695"/>
      <c r="BE766" s="695"/>
      <c r="BF766" s="692"/>
      <c r="BG766" s="692"/>
      <c r="BH766" s="692"/>
      <c r="BI766" s="692"/>
      <c r="BJ766" s="692"/>
      <c r="BK766" s="692"/>
      <c r="BL766" s="693"/>
      <c r="BM766" s="693"/>
      <c r="BN766" s="688"/>
      <c r="BO766" s="693"/>
      <c r="BP766" s="689"/>
      <c r="BQ766" s="694"/>
      <c r="BR766" s="687"/>
      <c r="BS766" s="687"/>
      <c r="BT766" s="687"/>
      <c r="BU766" s="687"/>
      <c r="BV766" s="687"/>
      <c r="BW766" s="688"/>
      <c r="BX766" s="688"/>
      <c r="BY766" s="689"/>
      <c r="BZ766" s="690"/>
      <c r="CA766" s="690"/>
      <c r="CB766" s="690"/>
      <c r="CC766" s="691"/>
      <c r="CD766" s="691"/>
      <c r="CE766" s="692"/>
      <c r="CF766" s="692"/>
      <c r="CG766" s="692"/>
      <c r="CH766" s="693"/>
    </row>
    <row r="767">
      <c r="B767" s="687"/>
      <c r="C767" s="687"/>
      <c r="D767" s="688"/>
      <c r="E767" s="689"/>
      <c r="F767" s="690"/>
      <c r="G767" s="690"/>
      <c r="H767" s="690"/>
      <c r="I767" s="691"/>
      <c r="J767" s="691"/>
      <c r="K767" s="691"/>
      <c r="L767" s="692"/>
      <c r="M767" s="692"/>
      <c r="N767" s="692"/>
      <c r="O767" s="693"/>
      <c r="P767" s="688"/>
      <c r="Q767" s="688"/>
      <c r="R767" s="688"/>
      <c r="S767" s="688"/>
      <c r="T767" s="689"/>
      <c r="U767" s="689"/>
      <c r="V767" s="694"/>
      <c r="W767" s="694"/>
      <c r="X767" s="694"/>
      <c r="Y767" s="694"/>
      <c r="Z767" s="693"/>
      <c r="AA767" s="693"/>
      <c r="AB767" s="693"/>
      <c r="AC767" s="693"/>
      <c r="AD767" s="688"/>
      <c r="AE767" s="689"/>
      <c r="AF767" s="689"/>
      <c r="AG767" s="690"/>
      <c r="AH767" s="690"/>
      <c r="AI767" s="695"/>
      <c r="AJ767" s="695"/>
      <c r="AK767" s="692"/>
      <c r="AL767" s="692"/>
      <c r="AM767" s="693"/>
      <c r="AN767" s="688"/>
      <c r="AO767" s="688"/>
      <c r="AP767" s="688"/>
      <c r="AQ767" s="688"/>
      <c r="AR767" s="688"/>
      <c r="AS767" s="688"/>
      <c r="AT767" s="689"/>
      <c r="AU767" s="689"/>
      <c r="AV767" s="690"/>
      <c r="AW767" s="690"/>
      <c r="AX767" s="690"/>
      <c r="AY767" s="690"/>
      <c r="AZ767" s="690"/>
      <c r="BA767" s="690"/>
      <c r="BB767" s="695"/>
      <c r="BC767" s="695"/>
      <c r="BD767" s="695"/>
      <c r="BE767" s="695"/>
      <c r="BF767" s="692"/>
      <c r="BG767" s="692"/>
      <c r="BH767" s="692"/>
      <c r="BI767" s="692"/>
      <c r="BJ767" s="692"/>
      <c r="BK767" s="692"/>
      <c r="BL767" s="693"/>
      <c r="BM767" s="693"/>
      <c r="BN767" s="688"/>
      <c r="BO767" s="693"/>
      <c r="BP767" s="689"/>
      <c r="BQ767" s="694"/>
      <c r="BR767" s="687"/>
      <c r="BS767" s="687"/>
      <c r="BT767" s="687"/>
      <c r="BU767" s="687"/>
      <c r="BV767" s="687"/>
      <c r="BW767" s="688"/>
      <c r="BX767" s="688"/>
      <c r="BY767" s="689"/>
      <c r="BZ767" s="690"/>
      <c r="CA767" s="690"/>
      <c r="CB767" s="690"/>
      <c r="CC767" s="691"/>
      <c r="CD767" s="691"/>
      <c r="CE767" s="692"/>
      <c r="CF767" s="692"/>
      <c r="CG767" s="692"/>
      <c r="CH767" s="693"/>
    </row>
    <row r="768">
      <c r="B768" s="687"/>
      <c r="C768" s="687"/>
      <c r="D768" s="688"/>
      <c r="E768" s="689"/>
      <c r="F768" s="690"/>
      <c r="G768" s="690"/>
      <c r="H768" s="690"/>
      <c r="I768" s="691"/>
      <c r="J768" s="691"/>
      <c r="K768" s="691"/>
      <c r="L768" s="692"/>
      <c r="M768" s="692"/>
      <c r="N768" s="692"/>
      <c r="O768" s="693"/>
      <c r="P768" s="688"/>
      <c r="Q768" s="688"/>
      <c r="R768" s="688"/>
      <c r="S768" s="688"/>
      <c r="T768" s="689"/>
      <c r="U768" s="689"/>
      <c r="V768" s="694"/>
      <c r="W768" s="694"/>
      <c r="X768" s="694"/>
      <c r="Y768" s="694"/>
      <c r="Z768" s="693"/>
      <c r="AA768" s="693"/>
      <c r="AB768" s="693"/>
      <c r="AC768" s="693"/>
      <c r="AD768" s="688"/>
      <c r="AE768" s="689"/>
      <c r="AF768" s="689"/>
      <c r="AG768" s="690"/>
      <c r="AH768" s="690"/>
      <c r="AI768" s="695"/>
      <c r="AJ768" s="695"/>
      <c r="AK768" s="692"/>
      <c r="AL768" s="692"/>
      <c r="AM768" s="693"/>
      <c r="AN768" s="688"/>
      <c r="AO768" s="688"/>
      <c r="AP768" s="688"/>
      <c r="AQ768" s="688"/>
      <c r="AR768" s="688"/>
      <c r="AS768" s="688"/>
      <c r="AT768" s="689"/>
      <c r="AU768" s="689"/>
      <c r="AV768" s="690"/>
      <c r="AW768" s="690"/>
      <c r="AX768" s="690"/>
      <c r="AY768" s="690"/>
      <c r="AZ768" s="690"/>
      <c r="BA768" s="690"/>
      <c r="BB768" s="695"/>
      <c r="BC768" s="695"/>
      <c r="BD768" s="695"/>
      <c r="BE768" s="695"/>
      <c r="BF768" s="692"/>
      <c r="BG768" s="692"/>
      <c r="BH768" s="692"/>
      <c r="BI768" s="692"/>
      <c r="BJ768" s="692"/>
      <c r="BK768" s="692"/>
      <c r="BL768" s="693"/>
      <c r="BM768" s="693"/>
      <c r="BN768" s="688"/>
      <c r="BO768" s="693"/>
      <c r="BP768" s="689"/>
      <c r="BQ768" s="694"/>
      <c r="BR768" s="687"/>
      <c r="BS768" s="687"/>
      <c r="BT768" s="687"/>
      <c r="BU768" s="687"/>
      <c r="BV768" s="687"/>
      <c r="BW768" s="688"/>
      <c r="BX768" s="688"/>
      <c r="BY768" s="689"/>
      <c r="BZ768" s="690"/>
      <c r="CA768" s="690"/>
      <c r="CB768" s="690"/>
      <c r="CC768" s="691"/>
      <c r="CD768" s="691"/>
      <c r="CE768" s="692"/>
      <c r="CF768" s="692"/>
      <c r="CG768" s="692"/>
      <c r="CH768" s="693"/>
    </row>
    <row r="769">
      <c r="B769" s="687"/>
      <c r="C769" s="687"/>
      <c r="D769" s="688"/>
      <c r="E769" s="689"/>
      <c r="F769" s="690"/>
      <c r="G769" s="690"/>
      <c r="H769" s="690"/>
      <c r="I769" s="691"/>
      <c r="J769" s="691"/>
      <c r="K769" s="691"/>
      <c r="L769" s="692"/>
      <c r="M769" s="692"/>
      <c r="N769" s="692"/>
      <c r="O769" s="693"/>
      <c r="P769" s="688"/>
      <c r="Q769" s="688"/>
      <c r="R769" s="688"/>
      <c r="S769" s="688"/>
      <c r="T769" s="689"/>
      <c r="U769" s="689"/>
      <c r="V769" s="694"/>
      <c r="W769" s="694"/>
      <c r="X769" s="694"/>
      <c r="Y769" s="694"/>
      <c r="Z769" s="693"/>
      <c r="AA769" s="693"/>
      <c r="AB769" s="693"/>
      <c r="AC769" s="693"/>
      <c r="AD769" s="688"/>
      <c r="AE769" s="689"/>
      <c r="AF769" s="689"/>
      <c r="AG769" s="690"/>
      <c r="AH769" s="690"/>
      <c r="AI769" s="695"/>
      <c r="AJ769" s="695"/>
      <c r="AK769" s="692"/>
      <c r="AL769" s="692"/>
      <c r="AM769" s="693"/>
      <c r="AN769" s="688"/>
      <c r="AO769" s="688"/>
      <c r="AP769" s="688"/>
      <c r="AQ769" s="688"/>
      <c r="AR769" s="688"/>
      <c r="AS769" s="688"/>
      <c r="AT769" s="689"/>
      <c r="AU769" s="689"/>
      <c r="AV769" s="690"/>
      <c r="AW769" s="690"/>
      <c r="AX769" s="690"/>
      <c r="AY769" s="690"/>
      <c r="AZ769" s="690"/>
      <c r="BA769" s="690"/>
      <c r="BB769" s="695"/>
      <c r="BC769" s="695"/>
      <c r="BD769" s="695"/>
      <c r="BE769" s="695"/>
      <c r="BF769" s="692"/>
      <c r="BG769" s="692"/>
      <c r="BH769" s="692"/>
      <c r="BI769" s="692"/>
      <c r="BJ769" s="692"/>
      <c r="BK769" s="692"/>
      <c r="BL769" s="693"/>
      <c r="BM769" s="693"/>
      <c r="BN769" s="688"/>
      <c r="BO769" s="693"/>
      <c r="BP769" s="689"/>
      <c r="BQ769" s="694"/>
      <c r="BR769" s="687"/>
      <c r="BS769" s="687"/>
      <c r="BT769" s="687"/>
      <c r="BU769" s="687"/>
      <c r="BV769" s="687"/>
      <c r="BW769" s="688"/>
      <c r="BX769" s="688"/>
      <c r="BY769" s="689"/>
      <c r="BZ769" s="690"/>
      <c r="CA769" s="690"/>
      <c r="CB769" s="690"/>
      <c r="CC769" s="691"/>
      <c r="CD769" s="691"/>
      <c r="CE769" s="692"/>
      <c r="CF769" s="692"/>
      <c r="CG769" s="692"/>
      <c r="CH769" s="693"/>
    </row>
    <row r="770">
      <c r="B770" s="687"/>
      <c r="C770" s="687"/>
      <c r="D770" s="688"/>
      <c r="E770" s="689"/>
      <c r="F770" s="690"/>
      <c r="G770" s="690"/>
      <c r="H770" s="690"/>
      <c r="I770" s="691"/>
      <c r="J770" s="691"/>
      <c r="K770" s="691"/>
      <c r="L770" s="692"/>
      <c r="M770" s="692"/>
      <c r="N770" s="692"/>
      <c r="O770" s="693"/>
      <c r="P770" s="688"/>
      <c r="Q770" s="688"/>
      <c r="R770" s="688"/>
      <c r="S770" s="688"/>
      <c r="T770" s="689"/>
      <c r="U770" s="689"/>
      <c r="V770" s="694"/>
      <c r="W770" s="694"/>
      <c r="X770" s="694"/>
      <c r="Y770" s="694"/>
      <c r="Z770" s="693"/>
      <c r="AA770" s="693"/>
      <c r="AB770" s="693"/>
      <c r="AC770" s="693"/>
      <c r="AD770" s="688"/>
      <c r="AE770" s="689"/>
      <c r="AF770" s="689"/>
      <c r="AG770" s="690"/>
      <c r="AH770" s="690"/>
      <c r="AI770" s="695"/>
      <c r="AJ770" s="695"/>
      <c r="AK770" s="692"/>
      <c r="AL770" s="692"/>
      <c r="AM770" s="693"/>
      <c r="AN770" s="688"/>
      <c r="AO770" s="688"/>
      <c r="AP770" s="688"/>
      <c r="AQ770" s="688"/>
      <c r="AR770" s="688"/>
      <c r="AS770" s="688"/>
      <c r="AT770" s="689"/>
      <c r="AU770" s="689"/>
      <c r="AV770" s="690"/>
      <c r="AW770" s="690"/>
      <c r="AX770" s="690"/>
      <c r="AY770" s="690"/>
      <c r="AZ770" s="690"/>
      <c r="BA770" s="690"/>
      <c r="BB770" s="695"/>
      <c r="BC770" s="695"/>
      <c r="BD770" s="695"/>
      <c r="BE770" s="695"/>
      <c r="BF770" s="692"/>
      <c r="BG770" s="692"/>
      <c r="BH770" s="692"/>
      <c r="BI770" s="692"/>
      <c r="BJ770" s="692"/>
      <c r="BK770" s="692"/>
      <c r="BL770" s="693"/>
      <c r="BM770" s="693"/>
      <c r="BN770" s="688"/>
      <c r="BO770" s="693"/>
      <c r="BP770" s="689"/>
      <c r="BQ770" s="694"/>
      <c r="BR770" s="687"/>
      <c r="BS770" s="687"/>
      <c r="BT770" s="687"/>
      <c r="BU770" s="687"/>
      <c r="BV770" s="687"/>
      <c r="BW770" s="688"/>
      <c r="BX770" s="688"/>
      <c r="BY770" s="689"/>
      <c r="BZ770" s="690"/>
      <c r="CA770" s="690"/>
      <c r="CB770" s="690"/>
      <c r="CC770" s="691"/>
      <c r="CD770" s="691"/>
      <c r="CE770" s="692"/>
      <c r="CF770" s="692"/>
      <c r="CG770" s="692"/>
      <c r="CH770" s="693"/>
    </row>
    <row r="771">
      <c r="B771" s="687"/>
      <c r="C771" s="687"/>
      <c r="D771" s="688"/>
      <c r="E771" s="689"/>
      <c r="F771" s="690"/>
      <c r="G771" s="690"/>
      <c r="H771" s="690"/>
      <c r="I771" s="691"/>
      <c r="J771" s="691"/>
      <c r="K771" s="691"/>
      <c r="L771" s="692"/>
      <c r="M771" s="692"/>
      <c r="N771" s="692"/>
      <c r="O771" s="693"/>
      <c r="P771" s="688"/>
      <c r="Q771" s="688"/>
      <c r="R771" s="688"/>
      <c r="S771" s="688"/>
      <c r="T771" s="689"/>
      <c r="U771" s="689"/>
      <c r="V771" s="694"/>
      <c r="W771" s="694"/>
      <c r="X771" s="694"/>
      <c r="Y771" s="694"/>
      <c r="Z771" s="693"/>
      <c r="AA771" s="693"/>
      <c r="AB771" s="693"/>
      <c r="AC771" s="693"/>
      <c r="AD771" s="688"/>
      <c r="AE771" s="689"/>
      <c r="AF771" s="689"/>
      <c r="AG771" s="690"/>
      <c r="AH771" s="690"/>
      <c r="AI771" s="695"/>
      <c r="AJ771" s="695"/>
      <c r="AK771" s="692"/>
      <c r="AL771" s="692"/>
      <c r="AM771" s="693"/>
      <c r="AN771" s="688"/>
      <c r="AO771" s="688"/>
      <c r="AP771" s="688"/>
      <c r="AQ771" s="688"/>
      <c r="AR771" s="688"/>
      <c r="AS771" s="688"/>
      <c r="AT771" s="689"/>
      <c r="AU771" s="689"/>
      <c r="AV771" s="690"/>
      <c r="AW771" s="690"/>
      <c r="AX771" s="690"/>
      <c r="AY771" s="690"/>
      <c r="AZ771" s="690"/>
      <c r="BA771" s="690"/>
      <c r="BB771" s="695"/>
      <c r="BC771" s="695"/>
      <c r="BD771" s="695"/>
      <c r="BE771" s="695"/>
      <c r="BF771" s="692"/>
      <c r="BG771" s="692"/>
      <c r="BH771" s="692"/>
      <c r="BI771" s="692"/>
      <c r="BJ771" s="692"/>
      <c r="BK771" s="692"/>
      <c r="BL771" s="693"/>
      <c r="BM771" s="693"/>
      <c r="BN771" s="688"/>
      <c r="BO771" s="693"/>
      <c r="BP771" s="689"/>
      <c r="BQ771" s="694"/>
      <c r="BR771" s="687"/>
      <c r="BS771" s="687"/>
      <c r="BT771" s="687"/>
      <c r="BU771" s="687"/>
      <c r="BV771" s="687"/>
      <c r="BW771" s="688"/>
      <c r="BX771" s="688"/>
      <c r="BY771" s="689"/>
      <c r="BZ771" s="690"/>
      <c r="CA771" s="690"/>
      <c r="CB771" s="690"/>
      <c r="CC771" s="691"/>
      <c r="CD771" s="691"/>
      <c r="CE771" s="692"/>
      <c r="CF771" s="692"/>
      <c r="CG771" s="692"/>
      <c r="CH771" s="693"/>
    </row>
    <row r="772">
      <c r="B772" s="687"/>
      <c r="C772" s="687"/>
      <c r="D772" s="688"/>
      <c r="E772" s="689"/>
      <c r="F772" s="690"/>
      <c r="G772" s="690"/>
      <c r="H772" s="690"/>
      <c r="I772" s="691"/>
      <c r="J772" s="691"/>
      <c r="K772" s="691"/>
      <c r="L772" s="692"/>
      <c r="M772" s="692"/>
      <c r="N772" s="692"/>
      <c r="O772" s="693"/>
      <c r="P772" s="688"/>
      <c r="Q772" s="688"/>
      <c r="R772" s="688"/>
      <c r="S772" s="688"/>
      <c r="T772" s="689"/>
      <c r="U772" s="689"/>
      <c r="V772" s="694"/>
      <c r="W772" s="694"/>
      <c r="X772" s="694"/>
      <c r="Y772" s="694"/>
      <c r="Z772" s="693"/>
      <c r="AA772" s="693"/>
      <c r="AB772" s="693"/>
      <c r="AC772" s="693"/>
      <c r="AD772" s="688"/>
      <c r="AE772" s="689"/>
      <c r="AF772" s="689"/>
      <c r="AG772" s="690"/>
      <c r="AH772" s="690"/>
      <c r="AI772" s="695"/>
      <c r="AJ772" s="695"/>
      <c r="AK772" s="692"/>
      <c r="AL772" s="692"/>
      <c r="AM772" s="693"/>
      <c r="AN772" s="688"/>
      <c r="AO772" s="688"/>
      <c r="AP772" s="688"/>
      <c r="AQ772" s="688"/>
      <c r="AR772" s="688"/>
      <c r="AS772" s="688"/>
      <c r="AT772" s="689"/>
      <c r="AU772" s="689"/>
      <c r="AV772" s="690"/>
      <c r="AW772" s="690"/>
      <c r="AX772" s="690"/>
      <c r="AY772" s="690"/>
      <c r="AZ772" s="690"/>
      <c r="BA772" s="690"/>
      <c r="BB772" s="695"/>
      <c r="BC772" s="695"/>
      <c r="BD772" s="695"/>
      <c r="BE772" s="695"/>
      <c r="BF772" s="692"/>
      <c r="BG772" s="692"/>
      <c r="BH772" s="692"/>
      <c r="BI772" s="692"/>
      <c r="BJ772" s="692"/>
      <c r="BK772" s="692"/>
      <c r="BL772" s="693"/>
      <c r="BM772" s="693"/>
      <c r="BN772" s="688"/>
      <c r="BO772" s="693"/>
      <c r="BP772" s="689"/>
      <c r="BQ772" s="694"/>
      <c r="BR772" s="687"/>
      <c r="BS772" s="687"/>
      <c r="BT772" s="687"/>
      <c r="BU772" s="687"/>
      <c r="BV772" s="687"/>
      <c r="BW772" s="688"/>
      <c r="BX772" s="688"/>
      <c r="BY772" s="689"/>
      <c r="BZ772" s="690"/>
      <c r="CA772" s="690"/>
      <c r="CB772" s="690"/>
      <c r="CC772" s="691"/>
      <c r="CD772" s="691"/>
      <c r="CE772" s="692"/>
      <c r="CF772" s="692"/>
      <c r="CG772" s="692"/>
      <c r="CH772" s="693"/>
    </row>
    <row r="773">
      <c r="B773" s="687"/>
      <c r="C773" s="687"/>
      <c r="D773" s="688"/>
      <c r="E773" s="689"/>
      <c r="F773" s="690"/>
      <c r="G773" s="690"/>
      <c r="H773" s="690"/>
      <c r="I773" s="691"/>
      <c r="J773" s="691"/>
      <c r="K773" s="691"/>
      <c r="L773" s="692"/>
      <c r="M773" s="692"/>
      <c r="N773" s="692"/>
      <c r="O773" s="693"/>
      <c r="P773" s="688"/>
      <c r="Q773" s="688"/>
      <c r="R773" s="688"/>
      <c r="S773" s="688"/>
      <c r="T773" s="689"/>
      <c r="U773" s="689"/>
      <c r="V773" s="694"/>
      <c r="W773" s="694"/>
      <c r="X773" s="694"/>
      <c r="Y773" s="694"/>
      <c r="Z773" s="693"/>
      <c r="AA773" s="693"/>
      <c r="AB773" s="693"/>
      <c r="AC773" s="693"/>
      <c r="AD773" s="688"/>
      <c r="AE773" s="689"/>
      <c r="AF773" s="689"/>
      <c r="AG773" s="690"/>
      <c r="AH773" s="690"/>
      <c r="AI773" s="695"/>
      <c r="AJ773" s="695"/>
      <c r="AK773" s="692"/>
      <c r="AL773" s="692"/>
      <c r="AM773" s="693"/>
      <c r="AN773" s="688"/>
      <c r="AO773" s="688"/>
      <c r="AP773" s="688"/>
      <c r="AQ773" s="688"/>
      <c r="AR773" s="688"/>
      <c r="AS773" s="688"/>
      <c r="AT773" s="689"/>
      <c r="AU773" s="689"/>
      <c r="AV773" s="690"/>
      <c r="AW773" s="690"/>
      <c r="AX773" s="690"/>
      <c r="AY773" s="690"/>
      <c r="AZ773" s="690"/>
      <c r="BA773" s="690"/>
      <c r="BB773" s="695"/>
      <c r="BC773" s="695"/>
      <c r="BD773" s="695"/>
      <c r="BE773" s="695"/>
      <c r="BF773" s="692"/>
      <c r="BG773" s="692"/>
      <c r="BH773" s="692"/>
      <c r="BI773" s="692"/>
      <c r="BJ773" s="692"/>
      <c r="BK773" s="692"/>
      <c r="BL773" s="693"/>
      <c r="BM773" s="693"/>
      <c r="BN773" s="688"/>
      <c r="BO773" s="693"/>
      <c r="BP773" s="689"/>
      <c r="BQ773" s="694"/>
      <c r="BR773" s="687"/>
      <c r="BS773" s="687"/>
      <c r="BT773" s="687"/>
      <c r="BU773" s="687"/>
      <c r="BV773" s="687"/>
      <c r="BW773" s="688"/>
      <c r="BX773" s="688"/>
      <c r="BY773" s="689"/>
      <c r="BZ773" s="690"/>
      <c r="CA773" s="690"/>
      <c r="CB773" s="690"/>
      <c r="CC773" s="691"/>
      <c r="CD773" s="691"/>
      <c r="CE773" s="692"/>
      <c r="CF773" s="692"/>
      <c r="CG773" s="692"/>
      <c r="CH773" s="693"/>
    </row>
    <row r="774">
      <c r="B774" s="687"/>
      <c r="C774" s="687"/>
      <c r="D774" s="688"/>
      <c r="E774" s="689"/>
      <c r="F774" s="690"/>
      <c r="G774" s="690"/>
      <c r="H774" s="690"/>
      <c r="I774" s="691"/>
      <c r="J774" s="691"/>
      <c r="K774" s="691"/>
      <c r="L774" s="692"/>
      <c r="M774" s="692"/>
      <c r="N774" s="692"/>
      <c r="O774" s="693"/>
      <c r="P774" s="688"/>
      <c r="Q774" s="688"/>
      <c r="R774" s="688"/>
      <c r="S774" s="688"/>
      <c r="T774" s="689"/>
      <c r="U774" s="689"/>
      <c r="V774" s="694"/>
      <c r="W774" s="694"/>
      <c r="X774" s="694"/>
      <c r="Y774" s="694"/>
      <c r="Z774" s="693"/>
      <c r="AA774" s="693"/>
      <c r="AB774" s="693"/>
      <c r="AC774" s="693"/>
      <c r="AD774" s="688"/>
      <c r="AE774" s="689"/>
      <c r="AF774" s="689"/>
      <c r="AG774" s="690"/>
      <c r="AH774" s="690"/>
      <c r="AI774" s="695"/>
      <c r="AJ774" s="695"/>
      <c r="AK774" s="692"/>
      <c r="AL774" s="692"/>
      <c r="AM774" s="693"/>
      <c r="AN774" s="688"/>
      <c r="AO774" s="688"/>
      <c r="AP774" s="688"/>
      <c r="AQ774" s="688"/>
      <c r="AR774" s="688"/>
      <c r="AS774" s="688"/>
      <c r="AT774" s="689"/>
      <c r="AU774" s="689"/>
      <c r="AV774" s="690"/>
      <c r="AW774" s="690"/>
      <c r="AX774" s="690"/>
      <c r="AY774" s="690"/>
      <c r="AZ774" s="690"/>
      <c r="BA774" s="690"/>
      <c r="BB774" s="695"/>
      <c r="BC774" s="695"/>
      <c r="BD774" s="695"/>
      <c r="BE774" s="695"/>
      <c r="BF774" s="692"/>
      <c r="BG774" s="692"/>
      <c r="BH774" s="692"/>
      <c r="BI774" s="692"/>
      <c r="BJ774" s="692"/>
      <c r="BK774" s="692"/>
      <c r="BL774" s="693"/>
      <c r="BM774" s="693"/>
      <c r="BN774" s="688"/>
      <c r="BO774" s="693"/>
      <c r="BP774" s="689"/>
      <c r="BQ774" s="694"/>
      <c r="BR774" s="687"/>
      <c r="BS774" s="687"/>
      <c r="BT774" s="687"/>
      <c r="BU774" s="687"/>
      <c r="BV774" s="687"/>
      <c r="BW774" s="688"/>
      <c r="BX774" s="688"/>
      <c r="BY774" s="689"/>
      <c r="BZ774" s="690"/>
      <c r="CA774" s="690"/>
      <c r="CB774" s="690"/>
      <c r="CC774" s="691"/>
      <c r="CD774" s="691"/>
      <c r="CE774" s="692"/>
      <c r="CF774" s="692"/>
      <c r="CG774" s="692"/>
      <c r="CH774" s="693"/>
    </row>
    <row r="775">
      <c r="B775" s="687"/>
      <c r="C775" s="687"/>
      <c r="D775" s="688"/>
      <c r="E775" s="689"/>
      <c r="F775" s="690"/>
      <c r="G775" s="690"/>
      <c r="H775" s="690"/>
      <c r="I775" s="691"/>
      <c r="J775" s="691"/>
      <c r="K775" s="691"/>
      <c r="L775" s="692"/>
      <c r="M775" s="692"/>
      <c r="N775" s="692"/>
      <c r="O775" s="693"/>
      <c r="P775" s="688"/>
      <c r="Q775" s="688"/>
      <c r="R775" s="688"/>
      <c r="S775" s="688"/>
      <c r="T775" s="689"/>
      <c r="U775" s="689"/>
      <c r="V775" s="694"/>
      <c r="W775" s="694"/>
      <c r="X775" s="694"/>
      <c r="Y775" s="694"/>
      <c r="Z775" s="693"/>
      <c r="AA775" s="693"/>
      <c r="AB775" s="693"/>
      <c r="AC775" s="693"/>
      <c r="AD775" s="688"/>
      <c r="AE775" s="689"/>
      <c r="AF775" s="689"/>
      <c r="AG775" s="690"/>
      <c r="AH775" s="690"/>
      <c r="AI775" s="695"/>
      <c r="AJ775" s="695"/>
      <c r="AK775" s="692"/>
      <c r="AL775" s="692"/>
      <c r="AM775" s="693"/>
      <c r="AN775" s="688"/>
      <c r="AO775" s="688"/>
      <c r="AP775" s="688"/>
      <c r="AQ775" s="688"/>
      <c r="AR775" s="688"/>
      <c r="AS775" s="688"/>
      <c r="AT775" s="689"/>
      <c r="AU775" s="689"/>
      <c r="AV775" s="690"/>
      <c r="AW775" s="690"/>
      <c r="AX775" s="690"/>
      <c r="AY775" s="690"/>
      <c r="AZ775" s="690"/>
      <c r="BA775" s="690"/>
      <c r="BB775" s="695"/>
      <c r="BC775" s="695"/>
      <c r="BD775" s="695"/>
      <c r="BE775" s="695"/>
      <c r="BF775" s="692"/>
      <c r="BG775" s="692"/>
      <c r="BH775" s="692"/>
      <c r="BI775" s="692"/>
      <c r="BJ775" s="692"/>
      <c r="BK775" s="692"/>
      <c r="BL775" s="693"/>
      <c r="BM775" s="693"/>
      <c r="BN775" s="688"/>
      <c r="BO775" s="693"/>
      <c r="BP775" s="689"/>
      <c r="BQ775" s="694"/>
      <c r="BR775" s="687"/>
      <c r="BS775" s="687"/>
      <c r="BT775" s="687"/>
      <c r="BU775" s="687"/>
      <c r="BV775" s="687"/>
      <c r="BW775" s="688"/>
      <c r="BX775" s="688"/>
      <c r="BY775" s="689"/>
      <c r="BZ775" s="690"/>
      <c r="CA775" s="690"/>
      <c r="CB775" s="690"/>
      <c r="CC775" s="691"/>
      <c r="CD775" s="691"/>
      <c r="CE775" s="692"/>
      <c r="CF775" s="692"/>
      <c r="CG775" s="692"/>
      <c r="CH775" s="693"/>
    </row>
    <row r="776">
      <c r="B776" s="687"/>
      <c r="C776" s="687"/>
      <c r="D776" s="688"/>
      <c r="E776" s="689"/>
      <c r="F776" s="690"/>
      <c r="G776" s="690"/>
      <c r="H776" s="690"/>
      <c r="I776" s="691"/>
      <c r="J776" s="691"/>
      <c r="K776" s="691"/>
      <c r="L776" s="692"/>
      <c r="M776" s="692"/>
      <c r="N776" s="692"/>
      <c r="O776" s="693"/>
      <c r="P776" s="688"/>
      <c r="Q776" s="688"/>
      <c r="R776" s="688"/>
      <c r="S776" s="688"/>
      <c r="T776" s="689"/>
      <c r="U776" s="689"/>
      <c r="V776" s="694"/>
      <c r="W776" s="694"/>
      <c r="X776" s="694"/>
      <c r="Y776" s="694"/>
      <c r="Z776" s="693"/>
      <c r="AA776" s="693"/>
      <c r="AB776" s="693"/>
      <c r="AC776" s="693"/>
      <c r="AD776" s="688"/>
      <c r="AE776" s="689"/>
      <c r="AF776" s="689"/>
      <c r="AG776" s="690"/>
      <c r="AH776" s="690"/>
      <c r="AI776" s="695"/>
      <c r="AJ776" s="695"/>
      <c r="AK776" s="692"/>
      <c r="AL776" s="692"/>
      <c r="AM776" s="693"/>
      <c r="AN776" s="688"/>
      <c r="AO776" s="688"/>
      <c r="AP776" s="688"/>
      <c r="AQ776" s="688"/>
      <c r="AR776" s="688"/>
      <c r="AS776" s="688"/>
      <c r="AT776" s="689"/>
      <c r="AU776" s="689"/>
      <c r="AV776" s="690"/>
      <c r="AW776" s="690"/>
      <c r="AX776" s="690"/>
      <c r="AY776" s="690"/>
      <c r="AZ776" s="690"/>
      <c r="BA776" s="690"/>
      <c r="BB776" s="695"/>
      <c r="BC776" s="695"/>
      <c r="BD776" s="695"/>
      <c r="BE776" s="695"/>
      <c r="BF776" s="692"/>
      <c r="BG776" s="692"/>
      <c r="BH776" s="692"/>
      <c r="BI776" s="692"/>
      <c r="BJ776" s="692"/>
      <c r="BK776" s="692"/>
      <c r="BL776" s="693"/>
      <c r="BM776" s="693"/>
      <c r="BN776" s="688"/>
      <c r="BO776" s="693"/>
      <c r="BP776" s="689"/>
      <c r="BQ776" s="694"/>
      <c r="BR776" s="687"/>
      <c r="BS776" s="687"/>
      <c r="BT776" s="687"/>
      <c r="BU776" s="687"/>
      <c r="BV776" s="687"/>
      <c r="BW776" s="688"/>
      <c r="BX776" s="688"/>
      <c r="BY776" s="689"/>
      <c r="BZ776" s="690"/>
      <c r="CA776" s="690"/>
      <c r="CB776" s="690"/>
      <c r="CC776" s="691"/>
      <c r="CD776" s="691"/>
      <c r="CE776" s="692"/>
      <c r="CF776" s="692"/>
      <c r="CG776" s="692"/>
      <c r="CH776" s="693"/>
    </row>
    <row r="777">
      <c r="B777" s="687"/>
      <c r="C777" s="687"/>
      <c r="D777" s="688"/>
      <c r="E777" s="689"/>
      <c r="F777" s="690"/>
      <c r="G777" s="690"/>
      <c r="H777" s="690"/>
      <c r="I777" s="691"/>
      <c r="J777" s="691"/>
      <c r="K777" s="691"/>
      <c r="L777" s="692"/>
      <c r="M777" s="692"/>
      <c r="N777" s="692"/>
      <c r="O777" s="693"/>
      <c r="P777" s="688"/>
      <c r="Q777" s="688"/>
      <c r="R777" s="688"/>
      <c r="S777" s="688"/>
      <c r="T777" s="689"/>
      <c r="U777" s="689"/>
      <c r="V777" s="694"/>
      <c r="W777" s="694"/>
      <c r="X777" s="694"/>
      <c r="Y777" s="694"/>
      <c r="Z777" s="693"/>
      <c r="AA777" s="693"/>
      <c r="AB777" s="693"/>
      <c r="AC777" s="693"/>
      <c r="AD777" s="688"/>
      <c r="AE777" s="689"/>
      <c r="AF777" s="689"/>
      <c r="AG777" s="690"/>
      <c r="AH777" s="690"/>
      <c r="AI777" s="695"/>
      <c r="AJ777" s="695"/>
      <c r="AK777" s="692"/>
      <c r="AL777" s="692"/>
      <c r="AM777" s="693"/>
      <c r="AN777" s="688"/>
      <c r="AO777" s="688"/>
      <c r="AP777" s="688"/>
      <c r="AQ777" s="688"/>
      <c r="AR777" s="688"/>
      <c r="AS777" s="688"/>
      <c r="AT777" s="689"/>
      <c r="AU777" s="689"/>
      <c r="AV777" s="690"/>
      <c r="AW777" s="690"/>
      <c r="AX777" s="690"/>
      <c r="AY777" s="690"/>
      <c r="AZ777" s="690"/>
      <c r="BA777" s="690"/>
      <c r="BB777" s="695"/>
      <c r="BC777" s="695"/>
      <c r="BD777" s="695"/>
      <c r="BE777" s="695"/>
      <c r="BF777" s="692"/>
      <c r="BG777" s="692"/>
      <c r="BH777" s="692"/>
      <c r="BI777" s="692"/>
      <c r="BJ777" s="692"/>
      <c r="BK777" s="692"/>
      <c r="BL777" s="693"/>
      <c r="BM777" s="693"/>
      <c r="BN777" s="688"/>
      <c r="BO777" s="693"/>
      <c r="BP777" s="689"/>
      <c r="BQ777" s="694"/>
      <c r="BR777" s="687"/>
      <c r="BS777" s="687"/>
      <c r="BT777" s="687"/>
      <c r="BU777" s="687"/>
      <c r="BV777" s="687"/>
      <c r="BW777" s="688"/>
      <c r="BX777" s="688"/>
      <c r="BY777" s="689"/>
      <c r="BZ777" s="690"/>
      <c r="CA777" s="690"/>
      <c r="CB777" s="690"/>
      <c r="CC777" s="691"/>
      <c r="CD777" s="691"/>
      <c r="CE777" s="692"/>
      <c r="CF777" s="692"/>
      <c r="CG777" s="692"/>
      <c r="CH777" s="693"/>
    </row>
    <row r="778">
      <c r="B778" s="687"/>
      <c r="C778" s="687"/>
      <c r="D778" s="688"/>
      <c r="E778" s="689"/>
      <c r="F778" s="690"/>
      <c r="G778" s="690"/>
      <c r="H778" s="690"/>
      <c r="I778" s="691"/>
      <c r="J778" s="691"/>
      <c r="K778" s="691"/>
      <c r="L778" s="692"/>
      <c r="M778" s="692"/>
      <c r="N778" s="692"/>
      <c r="O778" s="693"/>
      <c r="P778" s="688"/>
      <c r="Q778" s="688"/>
      <c r="R778" s="688"/>
      <c r="S778" s="688"/>
      <c r="T778" s="689"/>
      <c r="U778" s="689"/>
      <c r="V778" s="694"/>
      <c r="W778" s="694"/>
      <c r="X778" s="694"/>
      <c r="Y778" s="694"/>
      <c r="Z778" s="693"/>
      <c r="AA778" s="693"/>
      <c r="AB778" s="693"/>
      <c r="AC778" s="693"/>
      <c r="AD778" s="688"/>
      <c r="AE778" s="689"/>
      <c r="AF778" s="689"/>
      <c r="AG778" s="690"/>
      <c r="AH778" s="690"/>
      <c r="AI778" s="695"/>
      <c r="AJ778" s="695"/>
      <c r="AK778" s="692"/>
      <c r="AL778" s="692"/>
      <c r="AM778" s="693"/>
      <c r="AN778" s="688"/>
      <c r="AO778" s="688"/>
      <c r="AP778" s="688"/>
      <c r="AQ778" s="688"/>
      <c r="AR778" s="688"/>
      <c r="AS778" s="688"/>
      <c r="AT778" s="689"/>
      <c r="AU778" s="689"/>
      <c r="AV778" s="690"/>
      <c r="AW778" s="690"/>
      <c r="AX778" s="690"/>
      <c r="AY778" s="690"/>
      <c r="AZ778" s="690"/>
      <c r="BA778" s="690"/>
      <c r="BB778" s="695"/>
      <c r="BC778" s="695"/>
      <c r="BD778" s="695"/>
      <c r="BE778" s="695"/>
      <c r="BF778" s="692"/>
      <c r="BG778" s="692"/>
      <c r="BH778" s="692"/>
      <c r="BI778" s="692"/>
      <c r="BJ778" s="692"/>
      <c r="BK778" s="692"/>
      <c r="BL778" s="693"/>
      <c r="BM778" s="693"/>
      <c r="BN778" s="688"/>
      <c r="BO778" s="693"/>
      <c r="BP778" s="689"/>
      <c r="BQ778" s="694"/>
      <c r="BR778" s="687"/>
      <c r="BS778" s="687"/>
      <c r="BT778" s="687"/>
      <c r="BU778" s="687"/>
      <c r="BV778" s="687"/>
      <c r="BW778" s="688"/>
      <c r="BX778" s="688"/>
      <c r="BY778" s="689"/>
      <c r="BZ778" s="690"/>
      <c r="CA778" s="690"/>
      <c r="CB778" s="690"/>
      <c r="CC778" s="691"/>
      <c r="CD778" s="691"/>
      <c r="CE778" s="692"/>
      <c r="CF778" s="692"/>
      <c r="CG778" s="692"/>
      <c r="CH778" s="693"/>
    </row>
    <row r="779">
      <c r="B779" s="687"/>
      <c r="C779" s="687"/>
      <c r="D779" s="688"/>
      <c r="E779" s="689"/>
      <c r="F779" s="690"/>
      <c r="G779" s="690"/>
      <c r="H779" s="690"/>
      <c r="I779" s="691"/>
      <c r="J779" s="691"/>
      <c r="K779" s="691"/>
      <c r="L779" s="692"/>
      <c r="M779" s="692"/>
      <c r="N779" s="692"/>
      <c r="O779" s="693"/>
      <c r="P779" s="688"/>
      <c r="Q779" s="688"/>
      <c r="R779" s="688"/>
      <c r="S779" s="688"/>
      <c r="T779" s="689"/>
      <c r="U779" s="689"/>
      <c r="V779" s="694"/>
      <c r="W779" s="694"/>
      <c r="X779" s="694"/>
      <c r="Y779" s="694"/>
      <c r="Z779" s="693"/>
      <c r="AA779" s="693"/>
      <c r="AB779" s="693"/>
      <c r="AC779" s="693"/>
      <c r="AD779" s="688"/>
      <c r="AE779" s="689"/>
      <c r="AF779" s="689"/>
      <c r="AG779" s="690"/>
      <c r="AH779" s="690"/>
      <c r="AI779" s="695"/>
      <c r="AJ779" s="695"/>
      <c r="AK779" s="692"/>
      <c r="AL779" s="692"/>
      <c r="AM779" s="693"/>
      <c r="AN779" s="688"/>
      <c r="AO779" s="688"/>
      <c r="AP779" s="688"/>
      <c r="AQ779" s="688"/>
      <c r="AR779" s="688"/>
      <c r="AS779" s="688"/>
      <c r="AT779" s="689"/>
      <c r="AU779" s="689"/>
      <c r="AV779" s="690"/>
      <c r="AW779" s="690"/>
      <c r="AX779" s="690"/>
      <c r="AY779" s="690"/>
      <c r="AZ779" s="690"/>
      <c r="BA779" s="690"/>
      <c r="BB779" s="695"/>
      <c r="BC779" s="695"/>
      <c r="BD779" s="695"/>
      <c r="BE779" s="695"/>
      <c r="BF779" s="692"/>
      <c r="BG779" s="692"/>
      <c r="BH779" s="692"/>
      <c r="BI779" s="692"/>
      <c r="BJ779" s="692"/>
      <c r="BK779" s="692"/>
      <c r="BL779" s="693"/>
      <c r="BM779" s="693"/>
      <c r="BN779" s="688"/>
      <c r="BO779" s="693"/>
      <c r="BP779" s="689"/>
      <c r="BQ779" s="694"/>
      <c r="BR779" s="687"/>
      <c r="BS779" s="687"/>
      <c r="BT779" s="687"/>
      <c r="BU779" s="687"/>
      <c r="BV779" s="687"/>
      <c r="BW779" s="688"/>
      <c r="BX779" s="688"/>
      <c r="BY779" s="689"/>
      <c r="BZ779" s="690"/>
      <c r="CA779" s="690"/>
      <c r="CB779" s="690"/>
      <c r="CC779" s="691"/>
      <c r="CD779" s="691"/>
      <c r="CE779" s="692"/>
      <c r="CF779" s="692"/>
      <c r="CG779" s="692"/>
      <c r="CH779" s="693"/>
    </row>
    <row r="780">
      <c r="B780" s="687"/>
      <c r="C780" s="687"/>
      <c r="D780" s="688"/>
      <c r="E780" s="689"/>
      <c r="F780" s="690"/>
      <c r="G780" s="690"/>
      <c r="H780" s="690"/>
      <c r="I780" s="691"/>
      <c r="J780" s="691"/>
      <c r="K780" s="691"/>
      <c r="L780" s="692"/>
      <c r="M780" s="692"/>
      <c r="N780" s="692"/>
      <c r="O780" s="693"/>
      <c r="P780" s="688"/>
      <c r="Q780" s="688"/>
      <c r="R780" s="688"/>
      <c r="S780" s="688"/>
      <c r="T780" s="689"/>
      <c r="U780" s="689"/>
      <c r="V780" s="694"/>
      <c r="W780" s="694"/>
      <c r="X780" s="694"/>
      <c r="Y780" s="694"/>
      <c r="Z780" s="693"/>
      <c r="AA780" s="693"/>
      <c r="AB780" s="693"/>
      <c r="AC780" s="693"/>
      <c r="AD780" s="688"/>
      <c r="AE780" s="689"/>
      <c r="AF780" s="689"/>
      <c r="AG780" s="690"/>
      <c r="AH780" s="690"/>
      <c r="AI780" s="695"/>
      <c r="AJ780" s="695"/>
      <c r="AK780" s="692"/>
      <c r="AL780" s="692"/>
      <c r="AM780" s="693"/>
      <c r="AN780" s="688"/>
      <c r="AO780" s="688"/>
      <c r="AP780" s="688"/>
      <c r="AQ780" s="688"/>
      <c r="AR780" s="688"/>
      <c r="AS780" s="688"/>
      <c r="AT780" s="689"/>
      <c r="AU780" s="689"/>
      <c r="AV780" s="690"/>
      <c r="AW780" s="690"/>
      <c r="AX780" s="690"/>
      <c r="AY780" s="690"/>
      <c r="AZ780" s="690"/>
      <c r="BA780" s="690"/>
      <c r="BB780" s="695"/>
      <c r="BC780" s="695"/>
      <c r="BD780" s="695"/>
      <c r="BE780" s="695"/>
      <c r="BF780" s="692"/>
      <c r="BG780" s="692"/>
      <c r="BH780" s="692"/>
      <c r="BI780" s="692"/>
      <c r="BJ780" s="692"/>
      <c r="BK780" s="692"/>
      <c r="BL780" s="693"/>
      <c r="BM780" s="693"/>
      <c r="BN780" s="688"/>
      <c r="BO780" s="693"/>
      <c r="BP780" s="689"/>
      <c r="BQ780" s="694"/>
      <c r="BR780" s="687"/>
      <c r="BS780" s="687"/>
      <c r="BT780" s="687"/>
      <c r="BU780" s="687"/>
      <c r="BV780" s="687"/>
      <c r="BW780" s="688"/>
      <c r="BX780" s="688"/>
      <c r="BY780" s="689"/>
      <c r="BZ780" s="690"/>
      <c r="CA780" s="690"/>
      <c r="CB780" s="690"/>
      <c r="CC780" s="691"/>
      <c r="CD780" s="691"/>
      <c r="CE780" s="692"/>
      <c r="CF780" s="692"/>
      <c r="CG780" s="692"/>
      <c r="CH780" s="693"/>
    </row>
    <row r="781">
      <c r="B781" s="687"/>
      <c r="C781" s="687"/>
      <c r="D781" s="688"/>
      <c r="E781" s="689"/>
      <c r="F781" s="690"/>
      <c r="G781" s="690"/>
      <c r="H781" s="690"/>
      <c r="I781" s="691"/>
      <c r="J781" s="691"/>
      <c r="K781" s="691"/>
      <c r="L781" s="692"/>
      <c r="M781" s="692"/>
      <c r="N781" s="692"/>
      <c r="O781" s="693"/>
      <c r="P781" s="688"/>
      <c r="Q781" s="688"/>
      <c r="R781" s="688"/>
      <c r="S781" s="688"/>
      <c r="T781" s="689"/>
      <c r="U781" s="689"/>
      <c r="V781" s="694"/>
      <c r="W781" s="694"/>
      <c r="X781" s="694"/>
      <c r="Y781" s="694"/>
      <c r="Z781" s="693"/>
      <c r="AA781" s="693"/>
      <c r="AB781" s="693"/>
      <c r="AC781" s="693"/>
      <c r="AD781" s="688"/>
      <c r="AE781" s="689"/>
      <c r="AF781" s="689"/>
      <c r="AG781" s="690"/>
      <c r="AH781" s="690"/>
      <c r="AI781" s="695"/>
      <c r="AJ781" s="695"/>
      <c r="AK781" s="692"/>
      <c r="AL781" s="692"/>
      <c r="AM781" s="693"/>
      <c r="AN781" s="688"/>
      <c r="AO781" s="688"/>
      <c r="AP781" s="688"/>
      <c r="AQ781" s="688"/>
      <c r="AR781" s="688"/>
      <c r="AS781" s="688"/>
      <c r="AT781" s="689"/>
      <c r="AU781" s="689"/>
      <c r="AV781" s="690"/>
      <c r="AW781" s="690"/>
      <c r="AX781" s="690"/>
      <c r="AY781" s="690"/>
      <c r="AZ781" s="690"/>
      <c r="BA781" s="690"/>
      <c r="BB781" s="695"/>
      <c r="BC781" s="695"/>
      <c r="BD781" s="695"/>
      <c r="BE781" s="695"/>
      <c r="BF781" s="692"/>
      <c r="BG781" s="692"/>
      <c r="BH781" s="692"/>
      <c r="BI781" s="692"/>
      <c r="BJ781" s="692"/>
      <c r="BK781" s="692"/>
      <c r="BL781" s="693"/>
      <c r="BM781" s="693"/>
      <c r="BN781" s="688"/>
      <c r="BO781" s="693"/>
      <c r="BP781" s="689"/>
      <c r="BQ781" s="694"/>
      <c r="BR781" s="687"/>
      <c r="BS781" s="687"/>
      <c r="BT781" s="687"/>
      <c r="BU781" s="687"/>
      <c r="BV781" s="687"/>
      <c r="BW781" s="688"/>
      <c r="BX781" s="688"/>
      <c r="BY781" s="689"/>
      <c r="BZ781" s="690"/>
      <c r="CA781" s="690"/>
      <c r="CB781" s="690"/>
      <c r="CC781" s="691"/>
      <c r="CD781" s="691"/>
      <c r="CE781" s="692"/>
      <c r="CF781" s="692"/>
      <c r="CG781" s="692"/>
      <c r="CH781" s="693"/>
    </row>
    <row r="782">
      <c r="B782" s="687"/>
      <c r="C782" s="687"/>
      <c r="D782" s="688"/>
      <c r="E782" s="689"/>
      <c r="F782" s="690"/>
      <c r="G782" s="690"/>
      <c r="H782" s="690"/>
      <c r="I782" s="691"/>
      <c r="J782" s="691"/>
      <c r="K782" s="691"/>
      <c r="L782" s="692"/>
      <c r="M782" s="692"/>
      <c r="N782" s="692"/>
      <c r="O782" s="693"/>
      <c r="P782" s="688"/>
      <c r="Q782" s="688"/>
      <c r="R782" s="688"/>
      <c r="S782" s="688"/>
      <c r="T782" s="689"/>
      <c r="U782" s="689"/>
      <c r="V782" s="694"/>
      <c r="W782" s="694"/>
      <c r="X782" s="694"/>
      <c r="Y782" s="694"/>
      <c r="Z782" s="693"/>
      <c r="AA782" s="693"/>
      <c r="AB782" s="693"/>
      <c r="AC782" s="693"/>
      <c r="AD782" s="688"/>
      <c r="AE782" s="689"/>
      <c r="AF782" s="689"/>
      <c r="AG782" s="690"/>
      <c r="AH782" s="690"/>
      <c r="AI782" s="695"/>
      <c r="AJ782" s="695"/>
      <c r="AK782" s="692"/>
      <c r="AL782" s="692"/>
      <c r="AM782" s="693"/>
      <c r="AN782" s="688"/>
      <c r="AO782" s="688"/>
      <c r="AP782" s="688"/>
      <c r="AQ782" s="688"/>
      <c r="AR782" s="688"/>
      <c r="AS782" s="688"/>
      <c r="AT782" s="689"/>
      <c r="AU782" s="689"/>
      <c r="AV782" s="690"/>
      <c r="AW782" s="690"/>
      <c r="AX782" s="690"/>
      <c r="AY782" s="690"/>
      <c r="AZ782" s="690"/>
      <c r="BA782" s="690"/>
      <c r="BB782" s="695"/>
      <c r="BC782" s="695"/>
      <c r="BD782" s="695"/>
      <c r="BE782" s="695"/>
      <c r="BF782" s="692"/>
      <c r="BG782" s="692"/>
      <c r="BH782" s="692"/>
      <c r="BI782" s="692"/>
      <c r="BJ782" s="692"/>
      <c r="BK782" s="692"/>
      <c r="BL782" s="693"/>
      <c r="BM782" s="693"/>
      <c r="BN782" s="688"/>
      <c r="BO782" s="693"/>
      <c r="BP782" s="689"/>
      <c r="BQ782" s="694"/>
      <c r="BR782" s="687"/>
      <c r="BS782" s="687"/>
      <c r="BT782" s="687"/>
      <c r="BU782" s="687"/>
      <c r="BV782" s="687"/>
      <c r="BW782" s="688"/>
      <c r="BX782" s="688"/>
      <c r="BY782" s="689"/>
      <c r="BZ782" s="690"/>
      <c r="CA782" s="690"/>
      <c r="CB782" s="690"/>
      <c r="CC782" s="691"/>
      <c r="CD782" s="691"/>
      <c r="CE782" s="692"/>
      <c r="CF782" s="692"/>
      <c r="CG782" s="692"/>
      <c r="CH782" s="693"/>
    </row>
    <row r="783">
      <c r="B783" s="687"/>
      <c r="C783" s="687"/>
      <c r="D783" s="688"/>
      <c r="E783" s="689"/>
      <c r="F783" s="690"/>
      <c r="G783" s="690"/>
      <c r="H783" s="690"/>
      <c r="I783" s="691"/>
      <c r="J783" s="691"/>
      <c r="K783" s="691"/>
      <c r="L783" s="692"/>
      <c r="M783" s="692"/>
      <c r="N783" s="692"/>
      <c r="O783" s="693"/>
      <c r="P783" s="688"/>
      <c r="Q783" s="688"/>
      <c r="R783" s="688"/>
      <c r="S783" s="688"/>
      <c r="T783" s="689"/>
      <c r="U783" s="689"/>
      <c r="V783" s="694"/>
      <c r="W783" s="694"/>
      <c r="X783" s="694"/>
      <c r="Y783" s="694"/>
      <c r="Z783" s="693"/>
      <c r="AA783" s="693"/>
      <c r="AB783" s="693"/>
      <c r="AC783" s="693"/>
      <c r="AD783" s="688"/>
      <c r="AE783" s="689"/>
      <c r="AF783" s="689"/>
      <c r="AG783" s="690"/>
      <c r="AH783" s="690"/>
      <c r="AI783" s="695"/>
      <c r="AJ783" s="695"/>
      <c r="AK783" s="692"/>
      <c r="AL783" s="692"/>
      <c r="AM783" s="693"/>
      <c r="AN783" s="688"/>
      <c r="AO783" s="688"/>
      <c r="AP783" s="688"/>
      <c r="AQ783" s="688"/>
      <c r="AR783" s="688"/>
      <c r="AS783" s="688"/>
      <c r="AT783" s="689"/>
      <c r="AU783" s="689"/>
      <c r="AV783" s="690"/>
      <c r="AW783" s="690"/>
      <c r="AX783" s="690"/>
      <c r="AY783" s="690"/>
      <c r="AZ783" s="690"/>
      <c r="BA783" s="690"/>
      <c r="BB783" s="695"/>
      <c r="BC783" s="695"/>
      <c r="BD783" s="695"/>
      <c r="BE783" s="695"/>
      <c r="BF783" s="692"/>
      <c r="BG783" s="692"/>
      <c r="BH783" s="692"/>
      <c r="BI783" s="692"/>
      <c r="BJ783" s="692"/>
      <c r="BK783" s="692"/>
      <c r="BL783" s="693"/>
      <c r="BM783" s="693"/>
      <c r="BN783" s="688"/>
      <c r="BO783" s="693"/>
      <c r="BP783" s="689"/>
      <c r="BQ783" s="694"/>
      <c r="BR783" s="687"/>
      <c r="BS783" s="687"/>
      <c r="BT783" s="687"/>
      <c r="BU783" s="687"/>
      <c r="BV783" s="687"/>
      <c r="BW783" s="688"/>
      <c r="BX783" s="688"/>
      <c r="BY783" s="689"/>
      <c r="BZ783" s="690"/>
      <c r="CA783" s="690"/>
      <c r="CB783" s="690"/>
      <c r="CC783" s="691"/>
      <c r="CD783" s="691"/>
      <c r="CE783" s="692"/>
      <c r="CF783" s="692"/>
      <c r="CG783" s="692"/>
      <c r="CH783" s="693"/>
    </row>
    <row r="784">
      <c r="B784" s="687"/>
      <c r="C784" s="687"/>
      <c r="D784" s="688"/>
      <c r="E784" s="689"/>
      <c r="F784" s="690"/>
      <c r="G784" s="690"/>
      <c r="H784" s="690"/>
      <c r="I784" s="691"/>
      <c r="J784" s="691"/>
      <c r="K784" s="691"/>
      <c r="L784" s="692"/>
      <c r="M784" s="692"/>
      <c r="N784" s="692"/>
      <c r="O784" s="693"/>
      <c r="P784" s="688"/>
      <c r="Q784" s="688"/>
      <c r="R784" s="688"/>
      <c r="S784" s="688"/>
      <c r="T784" s="689"/>
      <c r="U784" s="689"/>
      <c r="V784" s="694"/>
      <c r="W784" s="694"/>
      <c r="X784" s="694"/>
      <c r="Y784" s="694"/>
      <c r="Z784" s="693"/>
      <c r="AA784" s="693"/>
      <c r="AB784" s="693"/>
      <c r="AC784" s="693"/>
      <c r="AD784" s="688"/>
      <c r="AE784" s="689"/>
      <c r="AF784" s="689"/>
      <c r="AG784" s="690"/>
      <c r="AH784" s="690"/>
      <c r="AI784" s="695"/>
      <c r="AJ784" s="695"/>
      <c r="AK784" s="692"/>
      <c r="AL784" s="692"/>
      <c r="AM784" s="693"/>
      <c r="AN784" s="688"/>
      <c r="AO784" s="688"/>
      <c r="AP784" s="688"/>
      <c r="AQ784" s="688"/>
      <c r="AR784" s="688"/>
      <c r="AS784" s="688"/>
      <c r="AT784" s="689"/>
      <c r="AU784" s="689"/>
      <c r="AV784" s="690"/>
      <c r="AW784" s="690"/>
      <c r="AX784" s="690"/>
      <c r="AY784" s="690"/>
      <c r="AZ784" s="690"/>
      <c r="BA784" s="690"/>
      <c r="BB784" s="695"/>
      <c r="BC784" s="695"/>
      <c r="BD784" s="695"/>
      <c r="BE784" s="695"/>
      <c r="BF784" s="692"/>
      <c r="BG784" s="692"/>
      <c r="BH784" s="692"/>
      <c r="BI784" s="692"/>
      <c r="BJ784" s="692"/>
      <c r="BK784" s="692"/>
      <c r="BL784" s="693"/>
      <c r="BM784" s="693"/>
      <c r="BN784" s="688"/>
      <c r="BO784" s="693"/>
      <c r="BP784" s="689"/>
      <c r="BQ784" s="694"/>
      <c r="BR784" s="687"/>
      <c r="BS784" s="687"/>
      <c r="BT784" s="687"/>
      <c r="BU784" s="687"/>
      <c r="BV784" s="687"/>
      <c r="BW784" s="688"/>
      <c r="BX784" s="688"/>
      <c r="BY784" s="689"/>
      <c r="BZ784" s="690"/>
      <c r="CA784" s="690"/>
      <c r="CB784" s="690"/>
      <c r="CC784" s="691"/>
      <c r="CD784" s="691"/>
      <c r="CE784" s="692"/>
      <c r="CF784" s="692"/>
      <c r="CG784" s="692"/>
      <c r="CH784" s="693"/>
    </row>
    <row r="785">
      <c r="B785" s="687"/>
      <c r="C785" s="687"/>
      <c r="D785" s="688"/>
      <c r="E785" s="689"/>
      <c r="F785" s="690"/>
      <c r="G785" s="690"/>
      <c r="H785" s="690"/>
      <c r="I785" s="691"/>
      <c r="J785" s="691"/>
      <c r="K785" s="691"/>
      <c r="L785" s="692"/>
      <c r="M785" s="692"/>
      <c r="N785" s="692"/>
      <c r="O785" s="693"/>
      <c r="P785" s="688"/>
      <c r="Q785" s="688"/>
      <c r="R785" s="688"/>
      <c r="S785" s="688"/>
      <c r="T785" s="689"/>
      <c r="U785" s="689"/>
      <c r="V785" s="694"/>
      <c r="W785" s="694"/>
      <c r="X785" s="694"/>
      <c r="Y785" s="694"/>
      <c r="Z785" s="693"/>
      <c r="AA785" s="693"/>
      <c r="AB785" s="693"/>
      <c r="AC785" s="693"/>
      <c r="AD785" s="688"/>
      <c r="AE785" s="689"/>
      <c r="AF785" s="689"/>
      <c r="AG785" s="690"/>
      <c r="AH785" s="690"/>
      <c r="AI785" s="695"/>
      <c r="AJ785" s="695"/>
      <c r="AK785" s="692"/>
      <c r="AL785" s="692"/>
      <c r="AM785" s="693"/>
      <c r="AN785" s="688"/>
      <c r="AO785" s="688"/>
      <c r="AP785" s="688"/>
      <c r="AQ785" s="688"/>
      <c r="AR785" s="688"/>
      <c r="AS785" s="688"/>
      <c r="AT785" s="689"/>
      <c r="AU785" s="689"/>
      <c r="AV785" s="690"/>
      <c r="AW785" s="690"/>
      <c r="AX785" s="690"/>
      <c r="AY785" s="690"/>
      <c r="AZ785" s="690"/>
      <c r="BA785" s="690"/>
      <c r="BB785" s="695"/>
      <c r="BC785" s="695"/>
      <c r="BD785" s="695"/>
      <c r="BE785" s="695"/>
      <c r="BF785" s="692"/>
      <c r="BG785" s="692"/>
      <c r="BH785" s="692"/>
      <c r="BI785" s="692"/>
      <c r="BJ785" s="692"/>
      <c r="BK785" s="692"/>
      <c r="BL785" s="693"/>
      <c r="BM785" s="693"/>
      <c r="BN785" s="688"/>
      <c r="BO785" s="693"/>
      <c r="BP785" s="689"/>
      <c r="BQ785" s="694"/>
      <c r="BR785" s="687"/>
      <c r="BS785" s="687"/>
      <c r="BT785" s="687"/>
      <c r="BU785" s="687"/>
      <c r="BV785" s="687"/>
      <c r="BW785" s="688"/>
      <c r="BX785" s="688"/>
      <c r="BY785" s="689"/>
      <c r="BZ785" s="690"/>
      <c r="CA785" s="690"/>
      <c r="CB785" s="690"/>
      <c r="CC785" s="691"/>
      <c r="CD785" s="691"/>
      <c r="CE785" s="692"/>
      <c r="CF785" s="692"/>
      <c r="CG785" s="692"/>
      <c r="CH785" s="693"/>
    </row>
    <row r="786">
      <c r="B786" s="687"/>
      <c r="C786" s="687"/>
      <c r="D786" s="688"/>
      <c r="E786" s="689"/>
      <c r="F786" s="690"/>
      <c r="G786" s="690"/>
      <c r="H786" s="690"/>
      <c r="I786" s="691"/>
      <c r="J786" s="691"/>
      <c r="K786" s="691"/>
      <c r="L786" s="692"/>
      <c r="M786" s="692"/>
      <c r="N786" s="692"/>
      <c r="O786" s="693"/>
      <c r="P786" s="688"/>
      <c r="Q786" s="688"/>
      <c r="R786" s="688"/>
      <c r="S786" s="688"/>
      <c r="T786" s="689"/>
      <c r="U786" s="689"/>
      <c r="V786" s="694"/>
      <c r="W786" s="694"/>
      <c r="X786" s="694"/>
      <c r="Y786" s="694"/>
      <c r="Z786" s="693"/>
      <c r="AA786" s="693"/>
      <c r="AB786" s="693"/>
      <c r="AC786" s="693"/>
      <c r="AD786" s="688"/>
      <c r="AE786" s="689"/>
      <c r="AF786" s="689"/>
      <c r="AG786" s="690"/>
      <c r="AH786" s="690"/>
      <c r="AI786" s="695"/>
      <c r="AJ786" s="695"/>
      <c r="AK786" s="692"/>
      <c r="AL786" s="692"/>
      <c r="AM786" s="693"/>
      <c r="AN786" s="688"/>
      <c r="AO786" s="688"/>
      <c r="AP786" s="688"/>
      <c r="AQ786" s="688"/>
      <c r="AR786" s="688"/>
      <c r="AS786" s="688"/>
      <c r="AT786" s="689"/>
      <c r="AU786" s="689"/>
      <c r="AV786" s="690"/>
      <c r="AW786" s="690"/>
      <c r="AX786" s="690"/>
      <c r="AY786" s="690"/>
      <c r="AZ786" s="690"/>
      <c r="BA786" s="690"/>
      <c r="BB786" s="695"/>
      <c r="BC786" s="695"/>
      <c r="BD786" s="695"/>
      <c r="BE786" s="695"/>
      <c r="BF786" s="692"/>
      <c r="BG786" s="692"/>
      <c r="BH786" s="692"/>
      <c r="BI786" s="692"/>
      <c r="BJ786" s="692"/>
      <c r="BK786" s="692"/>
      <c r="BL786" s="693"/>
      <c r="BM786" s="693"/>
      <c r="BN786" s="688"/>
      <c r="BO786" s="693"/>
      <c r="BP786" s="689"/>
      <c r="BQ786" s="694"/>
      <c r="BR786" s="687"/>
      <c r="BS786" s="687"/>
      <c r="BT786" s="687"/>
      <c r="BU786" s="687"/>
      <c r="BV786" s="687"/>
      <c r="BW786" s="688"/>
      <c r="BX786" s="688"/>
      <c r="BY786" s="689"/>
      <c r="BZ786" s="690"/>
      <c r="CA786" s="690"/>
      <c r="CB786" s="690"/>
      <c r="CC786" s="691"/>
      <c r="CD786" s="691"/>
      <c r="CE786" s="692"/>
      <c r="CF786" s="692"/>
      <c r="CG786" s="692"/>
      <c r="CH786" s="693"/>
    </row>
    <row r="787">
      <c r="B787" s="687"/>
      <c r="C787" s="687"/>
      <c r="D787" s="688"/>
      <c r="E787" s="689"/>
      <c r="F787" s="690"/>
      <c r="G787" s="690"/>
      <c r="H787" s="690"/>
      <c r="I787" s="691"/>
      <c r="J787" s="691"/>
      <c r="K787" s="691"/>
      <c r="L787" s="692"/>
      <c r="M787" s="692"/>
      <c r="N787" s="692"/>
      <c r="O787" s="693"/>
      <c r="P787" s="688"/>
      <c r="Q787" s="688"/>
      <c r="R787" s="688"/>
      <c r="S787" s="688"/>
      <c r="T787" s="689"/>
      <c r="U787" s="689"/>
      <c r="V787" s="694"/>
      <c r="W787" s="694"/>
      <c r="X787" s="694"/>
      <c r="Y787" s="694"/>
      <c r="Z787" s="693"/>
      <c r="AA787" s="693"/>
      <c r="AB787" s="693"/>
      <c r="AC787" s="693"/>
      <c r="AD787" s="688"/>
      <c r="AE787" s="689"/>
      <c r="AF787" s="689"/>
      <c r="AG787" s="690"/>
      <c r="AH787" s="690"/>
      <c r="AI787" s="695"/>
      <c r="AJ787" s="695"/>
      <c r="AK787" s="692"/>
      <c r="AL787" s="692"/>
      <c r="AM787" s="693"/>
      <c r="AN787" s="688"/>
      <c r="AO787" s="688"/>
      <c r="AP787" s="688"/>
      <c r="AQ787" s="688"/>
      <c r="AR787" s="688"/>
      <c r="AS787" s="688"/>
      <c r="AT787" s="689"/>
      <c r="AU787" s="689"/>
      <c r="AV787" s="690"/>
      <c r="AW787" s="690"/>
      <c r="AX787" s="690"/>
      <c r="AY787" s="690"/>
      <c r="AZ787" s="690"/>
      <c r="BA787" s="690"/>
      <c r="BB787" s="695"/>
      <c r="BC787" s="695"/>
      <c r="BD787" s="695"/>
      <c r="BE787" s="695"/>
      <c r="BF787" s="692"/>
      <c r="BG787" s="692"/>
      <c r="BH787" s="692"/>
      <c r="BI787" s="692"/>
      <c r="BJ787" s="692"/>
      <c r="BK787" s="692"/>
      <c r="BL787" s="693"/>
      <c r="BM787" s="693"/>
      <c r="BN787" s="688"/>
      <c r="BO787" s="693"/>
      <c r="BP787" s="689"/>
      <c r="BQ787" s="694"/>
      <c r="BR787" s="687"/>
      <c r="BS787" s="687"/>
      <c r="BT787" s="687"/>
      <c r="BU787" s="687"/>
      <c r="BV787" s="687"/>
      <c r="BW787" s="688"/>
      <c r="BX787" s="688"/>
      <c r="BY787" s="689"/>
      <c r="BZ787" s="690"/>
      <c r="CA787" s="690"/>
      <c r="CB787" s="690"/>
      <c r="CC787" s="691"/>
      <c r="CD787" s="691"/>
      <c r="CE787" s="692"/>
      <c r="CF787" s="692"/>
      <c r="CG787" s="692"/>
      <c r="CH787" s="693"/>
    </row>
    <row r="788">
      <c r="B788" s="687"/>
      <c r="C788" s="687"/>
      <c r="D788" s="688"/>
      <c r="E788" s="689"/>
      <c r="F788" s="690"/>
      <c r="G788" s="690"/>
      <c r="H788" s="690"/>
      <c r="I788" s="691"/>
      <c r="J788" s="691"/>
      <c r="K788" s="691"/>
      <c r="L788" s="692"/>
      <c r="M788" s="692"/>
      <c r="N788" s="692"/>
      <c r="O788" s="693"/>
      <c r="P788" s="688"/>
      <c r="Q788" s="688"/>
      <c r="R788" s="688"/>
      <c r="S788" s="688"/>
      <c r="T788" s="689"/>
      <c r="U788" s="689"/>
      <c r="V788" s="694"/>
      <c r="W788" s="694"/>
      <c r="X788" s="694"/>
      <c r="Y788" s="694"/>
      <c r="Z788" s="693"/>
      <c r="AA788" s="693"/>
      <c r="AB788" s="693"/>
      <c r="AC788" s="693"/>
      <c r="AD788" s="688"/>
      <c r="AE788" s="689"/>
      <c r="AF788" s="689"/>
      <c r="AG788" s="690"/>
      <c r="AH788" s="690"/>
      <c r="AI788" s="695"/>
      <c r="AJ788" s="695"/>
      <c r="AK788" s="692"/>
      <c r="AL788" s="692"/>
      <c r="AM788" s="693"/>
      <c r="AN788" s="688"/>
      <c r="AO788" s="688"/>
      <c r="AP788" s="688"/>
      <c r="AQ788" s="688"/>
      <c r="AR788" s="688"/>
      <c r="AS788" s="688"/>
      <c r="AT788" s="689"/>
      <c r="AU788" s="689"/>
      <c r="AV788" s="690"/>
      <c r="AW788" s="690"/>
      <c r="AX788" s="690"/>
      <c r="AY788" s="690"/>
      <c r="AZ788" s="690"/>
      <c r="BA788" s="690"/>
      <c r="BB788" s="695"/>
      <c r="BC788" s="695"/>
      <c r="BD788" s="695"/>
      <c r="BE788" s="695"/>
      <c r="BF788" s="692"/>
      <c r="BG788" s="692"/>
      <c r="BH788" s="692"/>
      <c r="BI788" s="692"/>
      <c r="BJ788" s="692"/>
      <c r="BK788" s="692"/>
      <c r="BL788" s="693"/>
      <c r="BM788" s="693"/>
      <c r="BN788" s="688"/>
      <c r="BO788" s="693"/>
      <c r="BP788" s="689"/>
      <c r="BQ788" s="694"/>
      <c r="BR788" s="687"/>
      <c r="BS788" s="687"/>
      <c r="BT788" s="687"/>
      <c r="BU788" s="687"/>
      <c r="BV788" s="687"/>
      <c r="BW788" s="688"/>
      <c r="BX788" s="688"/>
      <c r="BY788" s="689"/>
      <c r="BZ788" s="690"/>
      <c r="CA788" s="690"/>
      <c r="CB788" s="690"/>
      <c r="CC788" s="691"/>
      <c r="CD788" s="691"/>
      <c r="CE788" s="692"/>
      <c r="CF788" s="692"/>
      <c r="CG788" s="692"/>
      <c r="CH788" s="693"/>
    </row>
    <row r="789">
      <c r="B789" s="687"/>
      <c r="C789" s="687"/>
      <c r="D789" s="688"/>
      <c r="E789" s="689"/>
      <c r="F789" s="690"/>
      <c r="G789" s="690"/>
      <c r="H789" s="690"/>
      <c r="I789" s="691"/>
      <c r="J789" s="691"/>
      <c r="K789" s="691"/>
      <c r="L789" s="692"/>
      <c r="M789" s="692"/>
      <c r="N789" s="692"/>
      <c r="O789" s="693"/>
      <c r="P789" s="688"/>
      <c r="Q789" s="688"/>
      <c r="R789" s="688"/>
      <c r="S789" s="688"/>
      <c r="T789" s="689"/>
      <c r="U789" s="689"/>
      <c r="V789" s="694"/>
      <c r="W789" s="694"/>
      <c r="X789" s="694"/>
      <c r="Y789" s="694"/>
      <c r="Z789" s="693"/>
      <c r="AA789" s="693"/>
      <c r="AB789" s="693"/>
      <c r="AC789" s="693"/>
      <c r="AD789" s="688"/>
      <c r="AE789" s="689"/>
      <c r="AF789" s="689"/>
      <c r="AG789" s="690"/>
      <c r="AH789" s="690"/>
      <c r="AI789" s="695"/>
      <c r="AJ789" s="695"/>
      <c r="AK789" s="692"/>
      <c r="AL789" s="692"/>
      <c r="AM789" s="693"/>
      <c r="AN789" s="688"/>
      <c r="AO789" s="688"/>
      <c r="AP789" s="688"/>
      <c r="AQ789" s="688"/>
      <c r="AR789" s="688"/>
      <c r="AS789" s="688"/>
      <c r="AT789" s="689"/>
      <c r="AU789" s="689"/>
      <c r="AV789" s="690"/>
      <c r="AW789" s="690"/>
      <c r="AX789" s="690"/>
      <c r="AY789" s="690"/>
      <c r="AZ789" s="690"/>
      <c r="BA789" s="690"/>
      <c r="BB789" s="695"/>
      <c r="BC789" s="695"/>
      <c r="BD789" s="695"/>
      <c r="BE789" s="695"/>
      <c r="BF789" s="692"/>
      <c r="BG789" s="692"/>
      <c r="BH789" s="692"/>
      <c r="BI789" s="692"/>
      <c r="BJ789" s="692"/>
      <c r="BK789" s="692"/>
      <c r="BL789" s="693"/>
      <c r="BM789" s="693"/>
      <c r="BN789" s="688"/>
      <c r="BO789" s="693"/>
      <c r="BP789" s="689"/>
      <c r="BQ789" s="694"/>
      <c r="BR789" s="687"/>
      <c r="BS789" s="687"/>
      <c r="BT789" s="687"/>
      <c r="BU789" s="687"/>
      <c r="BV789" s="687"/>
      <c r="BW789" s="688"/>
      <c r="BX789" s="688"/>
      <c r="BY789" s="689"/>
      <c r="BZ789" s="690"/>
      <c r="CA789" s="690"/>
      <c r="CB789" s="690"/>
      <c r="CC789" s="691"/>
      <c r="CD789" s="691"/>
      <c r="CE789" s="692"/>
      <c r="CF789" s="692"/>
      <c r="CG789" s="692"/>
      <c r="CH789" s="693"/>
    </row>
    <row r="790">
      <c r="B790" s="687"/>
      <c r="C790" s="687"/>
      <c r="D790" s="688"/>
      <c r="E790" s="689"/>
      <c r="F790" s="690"/>
      <c r="G790" s="690"/>
      <c r="H790" s="690"/>
      <c r="I790" s="691"/>
      <c r="J790" s="691"/>
      <c r="K790" s="691"/>
      <c r="L790" s="692"/>
      <c r="M790" s="692"/>
      <c r="N790" s="692"/>
      <c r="O790" s="693"/>
      <c r="P790" s="688"/>
      <c r="Q790" s="688"/>
      <c r="R790" s="688"/>
      <c r="S790" s="688"/>
      <c r="T790" s="689"/>
      <c r="U790" s="689"/>
      <c r="V790" s="694"/>
      <c r="W790" s="694"/>
      <c r="X790" s="694"/>
      <c r="Y790" s="694"/>
      <c r="Z790" s="693"/>
      <c r="AA790" s="693"/>
      <c r="AB790" s="693"/>
      <c r="AC790" s="693"/>
      <c r="AD790" s="688"/>
      <c r="AE790" s="689"/>
      <c r="AF790" s="689"/>
      <c r="AG790" s="690"/>
      <c r="AH790" s="690"/>
      <c r="AI790" s="695"/>
      <c r="AJ790" s="695"/>
      <c r="AK790" s="692"/>
      <c r="AL790" s="692"/>
      <c r="AM790" s="693"/>
      <c r="AN790" s="688"/>
      <c r="AO790" s="688"/>
      <c r="AP790" s="688"/>
      <c r="AQ790" s="688"/>
      <c r="AR790" s="688"/>
      <c r="AS790" s="688"/>
      <c r="AT790" s="689"/>
      <c r="AU790" s="689"/>
      <c r="AV790" s="690"/>
      <c r="AW790" s="690"/>
      <c r="AX790" s="690"/>
      <c r="AY790" s="690"/>
      <c r="AZ790" s="690"/>
      <c r="BA790" s="690"/>
      <c r="BB790" s="695"/>
      <c r="BC790" s="695"/>
      <c r="BD790" s="695"/>
      <c r="BE790" s="695"/>
      <c r="BF790" s="692"/>
      <c r="BG790" s="692"/>
      <c r="BH790" s="692"/>
      <c r="BI790" s="692"/>
      <c r="BJ790" s="692"/>
      <c r="BK790" s="692"/>
      <c r="BL790" s="693"/>
      <c r="BM790" s="693"/>
      <c r="BN790" s="688"/>
      <c r="BO790" s="693"/>
      <c r="BP790" s="689"/>
      <c r="BQ790" s="694"/>
      <c r="BR790" s="687"/>
      <c r="BS790" s="687"/>
      <c r="BT790" s="687"/>
      <c r="BU790" s="687"/>
      <c r="BV790" s="687"/>
      <c r="BW790" s="688"/>
      <c r="BX790" s="688"/>
      <c r="BY790" s="689"/>
      <c r="BZ790" s="690"/>
      <c r="CA790" s="690"/>
      <c r="CB790" s="690"/>
      <c r="CC790" s="691"/>
      <c r="CD790" s="691"/>
      <c r="CE790" s="692"/>
      <c r="CF790" s="692"/>
      <c r="CG790" s="692"/>
      <c r="CH790" s="693"/>
    </row>
    <row r="791">
      <c r="B791" s="687"/>
      <c r="C791" s="687"/>
      <c r="D791" s="688"/>
      <c r="E791" s="689"/>
      <c r="F791" s="690"/>
      <c r="G791" s="690"/>
      <c r="H791" s="690"/>
      <c r="I791" s="691"/>
      <c r="J791" s="691"/>
      <c r="K791" s="691"/>
      <c r="L791" s="692"/>
      <c r="M791" s="692"/>
      <c r="N791" s="692"/>
      <c r="O791" s="693"/>
      <c r="P791" s="688"/>
      <c r="Q791" s="688"/>
      <c r="R791" s="688"/>
      <c r="S791" s="688"/>
      <c r="T791" s="689"/>
      <c r="U791" s="689"/>
      <c r="V791" s="694"/>
      <c r="W791" s="694"/>
      <c r="X791" s="694"/>
      <c r="Y791" s="694"/>
      <c r="Z791" s="693"/>
      <c r="AA791" s="693"/>
      <c r="AB791" s="693"/>
      <c r="AC791" s="693"/>
      <c r="AD791" s="688"/>
      <c r="AE791" s="689"/>
      <c r="AF791" s="689"/>
      <c r="AG791" s="690"/>
      <c r="AH791" s="690"/>
      <c r="AI791" s="695"/>
      <c r="AJ791" s="695"/>
      <c r="AK791" s="692"/>
      <c r="AL791" s="692"/>
      <c r="AM791" s="693"/>
      <c r="AN791" s="688"/>
      <c r="AO791" s="688"/>
      <c r="AP791" s="688"/>
      <c r="AQ791" s="688"/>
      <c r="AR791" s="688"/>
      <c r="AS791" s="688"/>
      <c r="AT791" s="689"/>
      <c r="AU791" s="689"/>
      <c r="AV791" s="690"/>
      <c r="AW791" s="690"/>
      <c r="AX791" s="690"/>
      <c r="AY791" s="690"/>
      <c r="AZ791" s="690"/>
      <c r="BA791" s="690"/>
      <c r="BB791" s="695"/>
      <c r="BC791" s="695"/>
      <c r="BD791" s="695"/>
      <c r="BE791" s="695"/>
      <c r="BF791" s="692"/>
      <c r="BG791" s="692"/>
      <c r="BH791" s="692"/>
      <c r="BI791" s="692"/>
      <c r="BJ791" s="692"/>
      <c r="BK791" s="692"/>
      <c r="BL791" s="693"/>
      <c r="BM791" s="693"/>
      <c r="BN791" s="688"/>
      <c r="BO791" s="693"/>
      <c r="BP791" s="689"/>
      <c r="BQ791" s="694"/>
      <c r="BR791" s="687"/>
      <c r="BS791" s="687"/>
      <c r="BT791" s="687"/>
      <c r="BU791" s="687"/>
      <c r="BV791" s="687"/>
      <c r="BW791" s="688"/>
      <c r="BX791" s="688"/>
      <c r="BY791" s="689"/>
      <c r="BZ791" s="690"/>
      <c r="CA791" s="690"/>
      <c r="CB791" s="690"/>
      <c r="CC791" s="691"/>
      <c r="CD791" s="691"/>
      <c r="CE791" s="692"/>
      <c r="CF791" s="692"/>
      <c r="CG791" s="692"/>
      <c r="CH791" s="693"/>
    </row>
    <row r="792">
      <c r="B792" s="687"/>
      <c r="C792" s="687"/>
      <c r="D792" s="688"/>
      <c r="E792" s="689"/>
      <c r="F792" s="690"/>
      <c r="G792" s="690"/>
      <c r="H792" s="690"/>
      <c r="I792" s="691"/>
      <c r="J792" s="691"/>
      <c r="K792" s="691"/>
      <c r="L792" s="692"/>
      <c r="M792" s="692"/>
      <c r="N792" s="692"/>
      <c r="O792" s="693"/>
      <c r="P792" s="688"/>
      <c r="Q792" s="688"/>
      <c r="R792" s="688"/>
      <c r="S792" s="688"/>
      <c r="T792" s="689"/>
      <c r="U792" s="689"/>
      <c r="V792" s="694"/>
      <c r="W792" s="694"/>
      <c r="X792" s="694"/>
      <c r="Y792" s="694"/>
      <c r="Z792" s="693"/>
      <c r="AA792" s="693"/>
      <c r="AB792" s="693"/>
      <c r="AC792" s="693"/>
      <c r="AD792" s="688"/>
      <c r="AE792" s="689"/>
      <c r="AF792" s="689"/>
      <c r="AG792" s="690"/>
      <c r="AH792" s="690"/>
      <c r="AI792" s="695"/>
      <c r="AJ792" s="695"/>
      <c r="AK792" s="692"/>
      <c r="AL792" s="692"/>
      <c r="AM792" s="693"/>
      <c r="AN792" s="688"/>
      <c r="AO792" s="688"/>
      <c r="AP792" s="688"/>
      <c r="AQ792" s="688"/>
      <c r="AR792" s="688"/>
      <c r="AS792" s="688"/>
      <c r="AT792" s="689"/>
      <c r="AU792" s="689"/>
      <c r="AV792" s="690"/>
      <c r="AW792" s="690"/>
      <c r="AX792" s="690"/>
      <c r="AY792" s="690"/>
      <c r="AZ792" s="690"/>
      <c r="BA792" s="690"/>
      <c r="BB792" s="695"/>
      <c r="BC792" s="695"/>
      <c r="BD792" s="695"/>
      <c r="BE792" s="695"/>
      <c r="BF792" s="692"/>
      <c r="BG792" s="692"/>
      <c r="BH792" s="692"/>
      <c r="BI792" s="692"/>
      <c r="BJ792" s="692"/>
      <c r="BK792" s="692"/>
      <c r="BL792" s="693"/>
      <c r="BM792" s="693"/>
      <c r="BN792" s="688"/>
      <c r="BO792" s="693"/>
      <c r="BP792" s="689"/>
      <c r="BQ792" s="694"/>
      <c r="BR792" s="687"/>
      <c r="BS792" s="687"/>
      <c r="BT792" s="687"/>
      <c r="BU792" s="687"/>
      <c r="BV792" s="687"/>
      <c r="BW792" s="688"/>
      <c r="BX792" s="688"/>
      <c r="BY792" s="689"/>
      <c r="BZ792" s="690"/>
      <c r="CA792" s="690"/>
      <c r="CB792" s="690"/>
      <c r="CC792" s="691"/>
      <c r="CD792" s="691"/>
      <c r="CE792" s="692"/>
      <c r="CF792" s="692"/>
      <c r="CG792" s="692"/>
      <c r="CH792" s="693"/>
    </row>
    <row r="793">
      <c r="B793" s="687"/>
      <c r="C793" s="687"/>
      <c r="D793" s="688"/>
      <c r="E793" s="689"/>
      <c r="F793" s="690"/>
      <c r="G793" s="690"/>
      <c r="H793" s="690"/>
      <c r="I793" s="691"/>
      <c r="J793" s="691"/>
      <c r="K793" s="691"/>
      <c r="L793" s="692"/>
      <c r="M793" s="692"/>
      <c r="N793" s="692"/>
      <c r="O793" s="693"/>
      <c r="P793" s="688"/>
      <c r="Q793" s="688"/>
      <c r="R793" s="688"/>
      <c r="S793" s="688"/>
      <c r="T793" s="689"/>
      <c r="U793" s="689"/>
      <c r="V793" s="694"/>
      <c r="W793" s="694"/>
      <c r="X793" s="694"/>
      <c r="Y793" s="694"/>
      <c r="Z793" s="693"/>
      <c r="AA793" s="693"/>
      <c r="AB793" s="693"/>
      <c r="AC793" s="693"/>
      <c r="AD793" s="688"/>
      <c r="AE793" s="689"/>
      <c r="AF793" s="689"/>
      <c r="AG793" s="690"/>
      <c r="AH793" s="690"/>
      <c r="AI793" s="695"/>
      <c r="AJ793" s="695"/>
      <c r="AK793" s="692"/>
      <c r="AL793" s="692"/>
      <c r="AM793" s="693"/>
      <c r="AN793" s="688"/>
      <c r="AO793" s="688"/>
      <c r="AP793" s="688"/>
      <c r="AQ793" s="688"/>
      <c r="AR793" s="688"/>
      <c r="AS793" s="688"/>
      <c r="AT793" s="689"/>
      <c r="AU793" s="689"/>
      <c r="AV793" s="690"/>
      <c r="AW793" s="690"/>
      <c r="AX793" s="690"/>
      <c r="AY793" s="690"/>
      <c r="AZ793" s="690"/>
      <c r="BA793" s="690"/>
      <c r="BB793" s="695"/>
      <c r="BC793" s="695"/>
      <c r="BD793" s="695"/>
      <c r="BE793" s="695"/>
      <c r="BF793" s="692"/>
      <c r="BG793" s="692"/>
      <c r="BH793" s="692"/>
      <c r="BI793" s="692"/>
      <c r="BJ793" s="692"/>
      <c r="BK793" s="692"/>
      <c r="BL793" s="693"/>
      <c r="BM793" s="693"/>
      <c r="BN793" s="688"/>
      <c r="BO793" s="693"/>
      <c r="BP793" s="689"/>
      <c r="BQ793" s="694"/>
      <c r="BR793" s="687"/>
      <c r="BS793" s="687"/>
      <c r="BT793" s="687"/>
      <c r="BU793" s="687"/>
      <c r="BV793" s="687"/>
      <c r="BW793" s="688"/>
      <c r="BX793" s="688"/>
      <c r="BY793" s="689"/>
      <c r="BZ793" s="690"/>
      <c r="CA793" s="690"/>
      <c r="CB793" s="690"/>
      <c r="CC793" s="691"/>
      <c r="CD793" s="691"/>
      <c r="CE793" s="692"/>
      <c r="CF793" s="692"/>
      <c r="CG793" s="692"/>
      <c r="CH793" s="693"/>
    </row>
    <row r="794">
      <c r="B794" s="687"/>
      <c r="C794" s="687"/>
      <c r="D794" s="688"/>
      <c r="E794" s="689"/>
      <c r="F794" s="690"/>
      <c r="G794" s="690"/>
      <c r="H794" s="690"/>
      <c r="I794" s="691"/>
      <c r="J794" s="691"/>
      <c r="K794" s="691"/>
      <c r="L794" s="692"/>
      <c r="M794" s="692"/>
      <c r="N794" s="692"/>
      <c r="O794" s="693"/>
      <c r="P794" s="688"/>
      <c r="Q794" s="688"/>
      <c r="R794" s="688"/>
      <c r="S794" s="688"/>
      <c r="T794" s="689"/>
      <c r="U794" s="689"/>
      <c r="V794" s="694"/>
      <c r="W794" s="694"/>
      <c r="X794" s="694"/>
      <c r="Y794" s="694"/>
      <c r="Z794" s="693"/>
      <c r="AA794" s="693"/>
      <c r="AB794" s="693"/>
      <c r="AC794" s="693"/>
      <c r="AD794" s="688"/>
      <c r="AE794" s="689"/>
      <c r="AF794" s="689"/>
      <c r="AG794" s="690"/>
      <c r="AH794" s="690"/>
      <c r="AI794" s="695"/>
      <c r="AJ794" s="695"/>
      <c r="AK794" s="692"/>
      <c r="AL794" s="692"/>
      <c r="AM794" s="693"/>
      <c r="AN794" s="688"/>
      <c r="AO794" s="688"/>
      <c r="AP794" s="688"/>
      <c r="AQ794" s="688"/>
      <c r="AR794" s="688"/>
      <c r="AS794" s="688"/>
      <c r="AT794" s="689"/>
      <c r="AU794" s="689"/>
      <c r="AV794" s="690"/>
      <c r="AW794" s="690"/>
      <c r="AX794" s="690"/>
      <c r="AY794" s="690"/>
      <c r="AZ794" s="690"/>
      <c r="BA794" s="690"/>
      <c r="BB794" s="695"/>
      <c r="BC794" s="695"/>
      <c r="BD794" s="695"/>
      <c r="BE794" s="695"/>
      <c r="BF794" s="692"/>
      <c r="BG794" s="692"/>
      <c r="BH794" s="692"/>
      <c r="BI794" s="692"/>
      <c r="BJ794" s="692"/>
      <c r="BK794" s="692"/>
      <c r="BL794" s="693"/>
      <c r="BM794" s="693"/>
      <c r="BN794" s="688"/>
      <c r="BO794" s="693"/>
      <c r="BP794" s="689"/>
      <c r="BQ794" s="694"/>
      <c r="BR794" s="687"/>
      <c r="BS794" s="687"/>
      <c r="BT794" s="687"/>
      <c r="BU794" s="687"/>
      <c r="BV794" s="687"/>
      <c r="BW794" s="688"/>
      <c r="BX794" s="688"/>
      <c r="BY794" s="689"/>
      <c r="BZ794" s="690"/>
      <c r="CA794" s="690"/>
      <c r="CB794" s="690"/>
      <c r="CC794" s="691"/>
      <c r="CD794" s="691"/>
      <c r="CE794" s="692"/>
      <c r="CF794" s="692"/>
      <c r="CG794" s="692"/>
      <c r="CH794" s="693"/>
    </row>
    <row r="795">
      <c r="B795" s="687"/>
      <c r="C795" s="687"/>
      <c r="D795" s="688"/>
      <c r="E795" s="689"/>
      <c r="F795" s="690"/>
      <c r="G795" s="690"/>
      <c r="H795" s="690"/>
      <c r="I795" s="691"/>
      <c r="J795" s="691"/>
      <c r="K795" s="691"/>
      <c r="L795" s="692"/>
      <c r="M795" s="692"/>
      <c r="N795" s="692"/>
      <c r="O795" s="693"/>
      <c r="P795" s="688"/>
      <c r="Q795" s="688"/>
      <c r="R795" s="688"/>
      <c r="S795" s="688"/>
      <c r="T795" s="689"/>
      <c r="U795" s="689"/>
      <c r="V795" s="694"/>
      <c r="W795" s="694"/>
      <c r="X795" s="694"/>
      <c r="Y795" s="694"/>
      <c r="Z795" s="693"/>
      <c r="AA795" s="693"/>
      <c r="AB795" s="693"/>
      <c r="AC795" s="693"/>
      <c r="AD795" s="688"/>
      <c r="AE795" s="689"/>
      <c r="AF795" s="689"/>
      <c r="AG795" s="690"/>
      <c r="AH795" s="690"/>
      <c r="AI795" s="695"/>
      <c r="AJ795" s="695"/>
      <c r="AK795" s="692"/>
      <c r="AL795" s="692"/>
      <c r="AM795" s="693"/>
      <c r="AN795" s="688"/>
      <c r="AO795" s="688"/>
      <c r="AP795" s="688"/>
      <c r="AQ795" s="688"/>
      <c r="AR795" s="688"/>
      <c r="AS795" s="688"/>
      <c r="AT795" s="689"/>
      <c r="AU795" s="689"/>
      <c r="AV795" s="690"/>
      <c r="AW795" s="690"/>
      <c r="AX795" s="690"/>
      <c r="AY795" s="690"/>
      <c r="AZ795" s="690"/>
      <c r="BA795" s="690"/>
      <c r="BB795" s="695"/>
      <c r="BC795" s="695"/>
      <c r="BD795" s="695"/>
      <c r="BE795" s="695"/>
      <c r="BF795" s="692"/>
      <c r="BG795" s="692"/>
      <c r="BH795" s="692"/>
      <c r="BI795" s="692"/>
      <c r="BJ795" s="692"/>
      <c r="BK795" s="692"/>
      <c r="BL795" s="693"/>
      <c r="BM795" s="693"/>
      <c r="BN795" s="688"/>
      <c r="BO795" s="693"/>
      <c r="BP795" s="689"/>
      <c r="BQ795" s="694"/>
      <c r="BR795" s="687"/>
      <c r="BS795" s="687"/>
      <c r="BT795" s="687"/>
      <c r="BU795" s="687"/>
      <c r="BV795" s="687"/>
      <c r="BW795" s="688"/>
      <c r="BX795" s="688"/>
      <c r="BY795" s="689"/>
      <c r="BZ795" s="690"/>
      <c r="CA795" s="690"/>
      <c r="CB795" s="690"/>
      <c r="CC795" s="691"/>
      <c r="CD795" s="691"/>
      <c r="CE795" s="692"/>
      <c r="CF795" s="692"/>
      <c r="CG795" s="692"/>
      <c r="CH795" s="693"/>
    </row>
    <row r="796">
      <c r="B796" s="687"/>
      <c r="C796" s="687"/>
      <c r="D796" s="688"/>
      <c r="E796" s="689"/>
      <c r="F796" s="690"/>
      <c r="G796" s="690"/>
      <c r="H796" s="690"/>
      <c r="I796" s="691"/>
      <c r="J796" s="691"/>
      <c r="K796" s="691"/>
      <c r="L796" s="692"/>
      <c r="M796" s="692"/>
      <c r="N796" s="692"/>
      <c r="O796" s="693"/>
      <c r="P796" s="688"/>
      <c r="Q796" s="688"/>
      <c r="R796" s="688"/>
      <c r="S796" s="688"/>
      <c r="T796" s="689"/>
      <c r="U796" s="689"/>
      <c r="V796" s="694"/>
      <c r="W796" s="694"/>
      <c r="X796" s="694"/>
      <c r="Y796" s="694"/>
      <c r="Z796" s="693"/>
      <c r="AA796" s="693"/>
      <c r="AB796" s="693"/>
      <c r="AC796" s="693"/>
      <c r="AD796" s="688"/>
      <c r="AE796" s="689"/>
      <c r="AF796" s="689"/>
      <c r="AG796" s="690"/>
      <c r="AH796" s="690"/>
      <c r="AI796" s="695"/>
      <c r="AJ796" s="695"/>
      <c r="AK796" s="692"/>
      <c r="AL796" s="692"/>
      <c r="AM796" s="693"/>
      <c r="AN796" s="688"/>
      <c r="AO796" s="688"/>
      <c r="AP796" s="688"/>
      <c r="AQ796" s="688"/>
      <c r="AR796" s="688"/>
      <c r="AS796" s="688"/>
      <c r="AT796" s="689"/>
      <c r="AU796" s="689"/>
      <c r="AV796" s="690"/>
      <c r="AW796" s="690"/>
      <c r="AX796" s="690"/>
      <c r="AY796" s="690"/>
      <c r="AZ796" s="690"/>
      <c r="BA796" s="690"/>
      <c r="BB796" s="695"/>
      <c r="BC796" s="695"/>
      <c r="BD796" s="695"/>
      <c r="BE796" s="695"/>
      <c r="BF796" s="692"/>
      <c r="BG796" s="692"/>
      <c r="BH796" s="692"/>
      <c r="BI796" s="692"/>
      <c r="BJ796" s="692"/>
      <c r="BK796" s="692"/>
      <c r="BL796" s="693"/>
      <c r="BM796" s="693"/>
      <c r="BN796" s="688"/>
      <c r="BO796" s="693"/>
      <c r="BP796" s="689"/>
      <c r="BQ796" s="694"/>
      <c r="BR796" s="687"/>
      <c r="BS796" s="687"/>
      <c r="BT796" s="687"/>
      <c r="BU796" s="687"/>
      <c r="BV796" s="687"/>
      <c r="BW796" s="688"/>
      <c r="BX796" s="688"/>
      <c r="BY796" s="689"/>
      <c r="BZ796" s="690"/>
      <c r="CA796" s="690"/>
      <c r="CB796" s="690"/>
      <c r="CC796" s="691"/>
      <c r="CD796" s="691"/>
      <c r="CE796" s="692"/>
      <c r="CF796" s="692"/>
      <c r="CG796" s="692"/>
      <c r="CH796" s="693"/>
    </row>
    <row r="797">
      <c r="B797" s="687"/>
      <c r="C797" s="687"/>
      <c r="D797" s="688"/>
      <c r="E797" s="689"/>
      <c r="F797" s="690"/>
      <c r="G797" s="690"/>
      <c r="H797" s="690"/>
      <c r="I797" s="691"/>
      <c r="J797" s="691"/>
      <c r="K797" s="691"/>
      <c r="L797" s="692"/>
      <c r="M797" s="692"/>
      <c r="N797" s="692"/>
      <c r="O797" s="693"/>
      <c r="P797" s="688"/>
      <c r="Q797" s="688"/>
      <c r="R797" s="688"/>
      <c r="S797" s="688"/>
      <c r="T797" s="689"/>
      <c r="U797" s="689"/>
      <c r="V797" s="694"/>
      <c r="W797" s="694"/>
      <c r="X797" s="694"/>
      <c r="Y797" s="694"/>
      <c r="Z797" s="693"/>
      <c r="AA797" s="693"/>
      <c r="AB797" s="693"/>
      <c r="AC797" s="693"/>
      <c r="AD797" s="688"/>
      <c r="AE797" s="689"/>
      <c r="AF797" s="689"/>
      <c r="AG797" s="690"/>
      <c r="AH797" s="690"/>
      <c r="AI797" s="695"/>
      <c r="AJ797" s="695"/>
      <c r="AK797" s="692"/>
      <c r="AL797" s="692"/>
      <c r="AM797" s="693"/>
      <c r="AN797" s="688"/>
      <c r="AO797" s="688"/>
      <c r="AP797" s="688"/>
      <c r="AQ797" s="688"/>
      <c r="AR797" s="688"/>
      <c r="AS797" s="688"/>
      <c r="AT797" s="689"/>
      <c r="AU797" s="689"/>
      <c r="AV797" s="690"/>
      <c r="AW797" s="690"/>
      <c r="AX797" s="690"/>
      <c r="AY797" s="690"/>
      <c r="AZ797" s="690"/>
      <c r="BA797" s="690"/>
      <c r="BB797" s="695"/>
      <c r="BC797" s="695"/>
      <c r="BD797" s="695"/>
      <c r="BE797" s="695"/>
      <c r="BF797" s="692"/>
      <c r="BG797" s="692"/>
      <c r="BH797" s="692"/>
      <c r="BI797" s="692"/>
      <c r="BJ797" s="692"/>
      <c r="BK797" s="692"/>
      <c r="BL797" s="693"/>
      <c r="BM797" s="693"/>
      <c r="BN797" s="688"/>
      <c r="BO797" s="693"/>
      <c r="BP797" s="689"/>
      <c r="BQ797" s="694"/>
      <c r="BR797" s="687"/>
      <c r="BS797" s="687"/>
      <c r="BT797" s="687"/>
      <c r="BU797" s="687"/>
      <c r="BV797" s="687"/>
      <c r="BW797" s="688"/>
      <c r="BX797" s="688"/>
      <c r="BY797" s="689"/>
      <c r="BZ797" s="690"/>
      <c r="CA797" s="690"/>
      <c r="CB797" s="690"/>
      <c r="CC797" s="691"/>
      <c r="CD797" s="691"/>
      <c r="CE797" s="692"/>
      <c r="CF797" s="692"/>
      <c r="CG797" s="692"/>
      <c r="CH797" s="693"/>
    </row>
    <row r="798">
      <c r="B798" s="687"/>
      <c r="C798" s="687"/>
      <c r="D798" s="688"/>
      <c r="E798" s="689"/>
      <c r="F798" s="690"/>
      <c r="G798" s="690"/>
      <c r="H798" s="690"/>
      <c r="I798" s="691"/>
      <c r="J798" s="691"/>
      <c r="K798" s="691"/>
      <c r="L798" s="692"/>
      <c r="M798" s="692"/>
      <c r="N798" s="692"/>
      <c r="O798" s="693"/>
      <c r="P798" s="688"/>
      <c r="Q798" s="688"/>
      <c r="R798" s="688"/>
      <c r="S798" s="688"/>
      <c r="T798" s="689"/>
      <c r="U798" s="689"/>
      <c r="V798" s="694"/>
      <c r="W798" s="694"/>
      <c r="X798" s="694"/>
      <c r="Y798" s="694"/>
      <c r="Z798" s="693"/>
      <c r="AA798" s="693"/>
      <c r="AB798" s="693"/>
      <c r="AC798" s="693"/>
      <c r="AD798" s="688"/>
      <c r="AE798" s="689"/>
      <c r="AF798" s="689"/>
      <c r="AG798" s="690"/>
      <c r="AH798" s="690"/>
      <c r="AI798" s="695"/>
      <c r="AJ798" s="695"/>
      <c r="AK798" s="692"/>
      <c r="AL798" s="692"/>
      <c r="AM798" s="693"/>
      <c r="AN798" s="688"/>
      <c r="AO798" s="688"/>
      <c r="AP798" s="688"/>
      <c r="AQ798" s="688"/>
      <c r="AR798" s="688"/>
      <c r="AS798" s="688"/>
      <c r="AT798" s="689"/>
      <c r="AU798" s="689"/>
      <c r="AV798" s="690"/>
      <c r="AW798" s="690"/>
      <c r="AX798" s="690"/>
      <c r="AY798" s="690"/>
      <c r="AZ798" s="690"/>
      <c r="BA798" s="690"/>
      <c r="BB798" s="695"/>
      <c r="BC798" s="695"/>
      <c r="BD798" s="695"/>
      <c r="BE798" s="695"/>
      <c r="BF798" s="692"/>
      <c r="BG798" s="692"/>
      <c r="BH798" s="692"/>
      <c r="BI798" s="692"/>
      <c r="BJ798" s="692"/>
      <c r="BK798" s="692"/>
      <c r="BL798" s="693"/>
      <c r="BM798" s="693"/>
      <c r="BN798" s="688"/>
      <c r="BO798" s="693"/>
      <c r="BP798" s="689"/>
      <c r="BQ798" s="694"/>
      <c r="BR798" s="687"/>
      <c r="BS798" s="687"/>
      <c r="BT798" s="687"/>
      <c r="BU798" s="687"/>
      <c r="BV798" s="687"/>
      <c r="BW798" s="688"/>
      <c r="BX798" s="688"/>
      <c r="BY798" s="689"/>
      <c r="BZ798" s="690"/>
      <c r="CA798" s="690"/>
      <c r="CB798" s="690"/>
      <c r="CC798" s="691"/>
      <c r="CD798" s="691"/>
      <c r="CE798" s="692"/>
      <c r="CF798" s="692"/>
      <c r="CG798" s="692"/>
      <c r="CH798" s="693"/>
    </row>
    <row r="799">
      <c r="B799" s="687"/>
      <c r="C799" s="687"/>
      <c r="D799" s="688"/>
      <c r="E799" s="689"/>
      <c r="F799" s="690"/>
      <c r="G799" s="690"/>
      <c r="H799" s="690"/>
      <c r="I799" s="691"/>
      <c r="J799" s="691"/>
      <c r="K799" s="691"/>
      <c r="L799" s="692"/>
      <c r="M799" s="692"/>
      <c r="N799" s="692"/>
      <c r="O799" s="693"/>
      <c r="P799" s="688"/>
      <c r="Q799" s="688"/>
      <c r="R799" s="688"/>
      <c r="S799" s="688"/>
      <c r="T799" s="689"/>
      <c r="U799" s="689"/>
      <c r="V799" s="694"/>
      <c r="W799" s="694"/>
      <c r="X799" s="694"/>
      <c r="Y799" s="694"/>
      <c r="Z799" s="693"/>
      <c r="AA799" s="693"/>
      <c r="AB799" s="693"/>
      <c r="AC799" s="693"/>
      <c r="AD799" s="688"/>
      <c r="AE799" s="689"/>
      <c r="AF799" s="689"/>
      <c r="AG799" s="690"/>
      <c r="AH799" s="690"/>
      <c r="AI799" s="695"/>
      <c r="AJ799" s="695"/>
      <c r="AK799" s="692"/>
      <c r="AL799" s="692"/>
      <c r="AM799" s="693"/>
      <c r="AN799" s="688"/>
      <c r="AO799" s="688"/>
      <c r="AP799" s="688"/>
      <c r="AQ799" s="688"/>
      <c r="AR799" s="688"/>
      <c r="AS799" s="688"/>
      <c r="AT799" s="689"/>
      <c r="AU799" s="689"/>
      <c r="AV799" s="690"/>
      <c r="AW799" s="690"/>
      <c r="AX799" s="690"/>
      <c r="AY799" s="690"/>
      <c r="AZ799" s="690"/>
      <c r="BA799" s="690"/>
      <c r="BB799" s="695"/>
      <c r="BC799" s="695"/>
      <c r="BD799" s="695"/>
      <c r="BE799" s="695"/>
      <c r="BF799" s="692"/>
      <c r="BG799" s="692"/>
      <c r="BH799" s="692"/>
      <c r="BI799" s="692"/>
      <c r="BJ799" s="692"/>
      <c r="BK799" s="692"/>
      <c r="BL799" s="693"/>
      <c r="BM799" s="693"/>
      <c r="BN799" s="688"/>
      <c r="BO799" s="693"/>
      <c r="BP799" s="689"/>
      <c r="BQ799" s="694"/>
      <c r="BR799" s="687"/>
      <c r="BS799" s="687"/>
      <c r="BT799" s="687"/>
      <c r="BU799" s="687"/>
      <c r="BV799" s="687"/>
      <c r="BW799" s="688"/>
      <c r="BX799" s="688"/>
      <c r="BY799" s="689"/>
      <c r="BZ799" s="690"/>
      <c r="CA799" s="690"/>
      <c r="CB799" s="690"/>
      <c r="CC799" s="691"/>
      <c r="CD799" s="691"/>
      <c r="CE799" s="692"/>
      <c r="CF799" s="692"/>
      <c r="CG799" s="692"/>
      <c r="CH799" s="693"/>
    </row>
    <row r="800">
      <c r="B800" s="687"/>
      <c r="C800" s="687"/>
      <c r="D800" s="688"/>
      <c r="E800" s="689"/>
      <c r="F800" s="690"/>
      <c r="G800" s="690"/>
      <c r="H800" s="690"/>
      <c r="I800" s="691"/>
      <c r="J800" s="691"/>
      <c r="K800" s="691"/>
      <c r="L800" s="692"/>
      <c r="M800" s="692"/>
      <c r="N800" s="692"/>
      <c r="O800" s="693"/>
      <c r="P800" s="688"/>
      <c r="Q800" s="688"/>
      <c r="R800" s="688"/>
      <c r="S800" s="688"/>
      <c r="T800" s="689"/>
      <c r="U800" s="689"/>
      <c r="V800" s="694"/>
      <c r="W800" s="694"/>
      <c r="X800" s="694"/>
      <c r="Y800" s="694"/>
      <c r="Z800" s="693"/>
      <c r="AA800" s="693"/>
      <c r="AB800" s="693"/>
      <c r="AC800" s="693"/>
      <c r="AD800" s="688"/>
      <c r="AE800" s="689"/>
      <c r="AF800" s="689"/>
      <c r="AG800" s="690"/>
      <c r="AH800" s="690"/>
      <c r="AI800" s="695"/>
      <c r="AJ800" s="695"/>
      <c r="AK800" s="692"/>
      <c r="AL800" s="692"/>
      <c r="AM800" s="693"/>
      <c r="AN800" s="688"/>
      <c r="AO800" s="688"/>
      <c r="AP800" s="688"/>
      <c r="AQ800" s="688"/>
      <c r="AR800" s="688"/>
      <c r="AS800" s="688"/>
      <c r="AT800" s="689"/>
      <c r="AU800" s="689"/>
      <c r="AV800" s="690"/>
      <c r="AW800" s="690"/>
      <c r="AX800" s="690"/>
      <c r="AY800" s="690"/>
      <c r="AZ800" s="690"/>
      <c r="BA800" s="690"/>
      <c r="BB800" s="695"/>
      <c r="BC800" s="695"/>
      <c r="BD800" s="695"/>
      <c r="BE800" s="695"/>
      <c r="BF800" s="692"/>
      <c r="BG800" s="692"/>
      <c r="BH800" s="692"/>
      <c r="BI800" s="692"/>
      <c r="BJ800" s="692"/>
      <c r="BK800" s="692"/>
      <c r="BL800" s="693"/>
      <c r="BM800" s="693"/>
      <c r="BN800" s="688"/>
      <c r="BO800" s="693"/>
      <c r="BP800" s="689"/>
      <c r="BQ800" s="694"/>
      <c r="BR800" s="687"/>
      <c r="BS800" s="687"/>
      <c r="BT800" s="687"/>
      <c r="BU800" s="687"/>
      <c r="BV800" s="687"/>
      <c r="BW800" s="688"/>
      <c r="BX800" s="688"/>
      <c r="BY800" s="689"/>
      <c r="BZ800" s="690"/>
      <c r="CA800" s="690"/>
      <c r="CB800" s="690"/>
      <c r="CC800" s="691"/>
      <c r="CD800" s="691"/>
      <c r="CE800" s="692"/>
      <c r="CF800" s="692"/>
      <c r="CG800" s="692"/>
      <c r="CH800" s="693"/>
    </row>
    <row r="801">
      <c r="B801" s="687"/>
      <c r="C801" s="687"/>
      <c r="D801" s="688"/>
      <c r="E801" s="689"/>
      <c r="F801" s="690"/>
      <c r="G801" s="690"/>
      <c r="H801" s="690"/>
      <c r="I801" s="691"/>
      <c r="J801" s="691"/>
      <c r="K801" s="691"/>
      <c r="L801" s="692"/>
      <c r="M801" s="692"/>
      <c r="N801" s="692"/>
      <c r="O801" s="693"/>
      <c r="P801" s="688"/>
      <c r="Q801" s="688"/>
      <c r="R801" s="688"/>
      <c r="S801" s="688"/>
      <c r="T801" s="689"/>
      <c r="U801" s="689"/>
      <c r="V801" s="694"/>
      <c r="W801" s="694"/>
      <c r="X801" s="694"/>
      <c r="Y801" s="694"/>
      <c r="Z801" s="693"/>
      <c r="AA801" s="693"/>
      <c r="AB801" s="693"/>
      <c r="AC801" s="693"/>
      <c r="AD801" s="688"/>
      <c r="AE801" s="689"/>
      <c r="AF801" s="689"/>
      <c r="AG801" s="690"/>
      <c r="AH801" s="690"/>
      <c r="AI801" s="695"/>
      <c r="AJ801" s="695"/>
      <c r="AK801" s="692"/>
      <c r="AL801" s="692"/>
      <c r="AM801" s="693"/>
      <c r="AN801" s="688"/>
      <c r="AO801" s="688"/>
      <c r="AP801" s="688"/>
      <c r="AQ801" s="688"/>
      <c r="AR801" s="688"/>
      <c r="AS801" s="688"/>
      <c r="AT801" s="689"/>
      <c r="AU801" s="689"/>
      <c r="AV801" s="690"/>
      <c r="AW801" s="690"/>
      <c r="AX801" s="690"/>
      <c r="AY801" s="690"/>
      <c r="AZ801" s="690"/>
      <c r="BA801" s="690"/>
      <c r="BB801" s="695"/>
      <c r="BC801" s="695"/>
      <c r="BD801" s="695"/>
      <c r="BE801" s="695"/>
      <c r="BF801" s="692"/>
      <c r="BG801" s="692"/>
      <c r="BH801" s="692"/>
      <c r="BI801" s="692"/>
      <c r="BJ801" s="692"/>
      <c r="BK801" s="692"/>
      <c r="BL801" s="693"/>
      <c r="BM801" s="693"/>
      <c r="BN801" s="688"/>
      <c r="BO801" s="693"/>
      <c r="BP801" s="689"/>
      <c r="BQ801" s="694"/>
      <c r="BR801" s="687"/>
      <c r="BS801" s="687"/>
      <c r="BT801" s="687"/>
      <c r="BU801" s="687"/>
      <c r="BV801" s="687"/>
      <c r="BW801" s="688"/>
      <c r="BX801" s="688"/>
      <c r="BY801" s="689"/>
      <c r="BZ801" s="690"/>
      <c r="CA801" s="690"/>
      <c r="CB801" s="690"/>
      <c r="CC801" s="691"/>
      <c r="CD801" s="691"/>
      <c r="CE801" s="692"/>
      <c r="CF801" s="692"/>
      <c r="CG801" s="692"/>
      <c r="CH801" s="693"/>
    </row>
    <row r="802">
      <c r="B802" s="687"/>
      <c r="C802" s="687"/>
      <c r="D802" s="688"/>
      <c r="E802" s="689"/>
      <c r="F802" s="690"/>
      <c r="G802" s="690"/>
      <c r="H802" s="690"/>
      <c r="I802" s="691"/>
      <c r="J802" s="691"/>
      <c r="K802" s="691"/>
      <c r="L802" s="692"/>
      <c r="M802" s="692"/>
      <c r="N802" s="692"/>
      <c r="O802" s="693"/>
      <c r="P802" s="688"/>
      <c r="Q802" s="688"/>
      <c r="R802" s="688"/>
      <c r="S802" s="688"/>
      <c r="T802" s="689"/>
      <c r="U802" s="689"/>
      <c r="V802" s="694"/>
      <c r="W802" s="694"/>
      <c r="X802" s="694"/>
      <c r="Y802" s="694"/>
      <c r="Z802" s="693"/>
      <c r="AA802" s="693"/>
      <c r="AB802" s="693"/>
      <c r="AC802" s="693"/>
      <c r="AD802" s="688"/>
      <c r="AE802" s="689"/>
      <c r="AF802" s="689"/>
      <c r="AG802" s="690"/>
      <c r="AH802" s="690"/>
      <c r="AI802" s="695"/>
      <c r="AJ802" s="695"/>
      <c r="AK802" s="692"/>
      <c r="AL802" s="692"/>
      <c r="AM802" s="693"/>
      <c r="AN802" s="688"/>
      <c r="AO802" s="688"/>
      <c r="AP802" s="688"/>
      <c r="AQ802" s="688"/>
      <c r="AR802" s="688"/>
      <c r="AS802" s="688"/>
      <c r="AT802" s="689"/>
      <c r="AU802" s="689"/>
      <c r="AV802" s="690"/>
      <c r="AW802" s="690"/>
      <c r="AX802" s="690"/>
      <c r="AY802" s="690"/>
      <c r="AZ802" s="690"/>
      <c r="BA802" s="690"/>
      <c r="BB802" s="695"/>
      <c r="BC802" s="695"/>
      <c r="BD802" s="695"/>
      <c r="BE802" s="695"/>
      <c r="BF802" s="692"/>
      <c r="BG802" s="692"/>
      <c r="BH802" s="692"/>
      <c r="BI802" s="692"/>
      <c r="BJ802" s="692"/>
      <c r="BK802" s="692"/>
      <c r="BL802" s="693"/>
      <c r="BM802" s="693"/>
      <c r="BN802" s="688"/>
      <c r="BO802" s="693"/>
      <c r="BP802" s="689"/>
      <c r="BQ802" s="694"/>
      <c r="BR802" s="687"/>
      <c r="BS802" s="687"/>
      <c r="BT802" s="687"/>
      <c r="BU802" s="687"/>
      <c r="BV802" s="687"/>
      <c r="BW802" s="688"/>
      <c r="BX802" s="688"/>
      <c r="BY802" s="689"/>
      <c r="BZ802" s="690"/>
      <c r="CA802" s="690"/>
      <c r="CB802" s="690"/>
      <c r="CC802" s="691"/>
      <c r="CD802" s="691"/>
      <c r="CE802" s="692"/>
      <c r="CF802" s="692"/>
      <c r="CG802" s="692"/>
      <c r="CH802" s="693"/>
    </row>
    <row r="803">
      <c r="B803" s="687"/>
      <c r="C803" s="687"/>
      <c r="D803" s="688"/>
      <c r="E803" s="689"/>
      <c r="F803" s="690"/>
      <c r="G803" s="690"/>
      <c r="H803" s="690"/>
      <c r="I803" s="691"/>
      <c r="J803" s="691"/>
      <c r="K803" s="691"/>
      <c r="L803" s="692"/>
      <c r="M803" s="692"/>
      <c r="N803" s="692"/>
      <c r="O803" s="693"/>
      <c r="P803" s="688"/>
      <c r="Q803" s="688"/>
      <c r="R803" s="688"/>
      <c r="S803" s="688"/>
      <c r="T803" s="689"/>
      <c r="U803" s="689"/>
      <c r="V803" s="694"/>
      <c r="W803" s="694"/>
      <c r="X803" s="694"/>
      <c r="Y803" s="694"/>
      <c r="Z803" s="693"/>
      <c r="AA803" s="693"/>
      <c r="AB803" s="693"/>
      <c r="AC803" s="693"/>
      <c r="AD803" s="688"/>
      <c r="AE803" s="689"/>
      <c r="AF803" s="689"/>
      <c r="AG803" s="690"/>
      <c r="AH803" s="690"/>
      <c r="AI803" s="695"/>
      <c r="AJ803" s="695"/>
      <c r="AK803" s="692"/>
      <c r="AL803" s="692"/>
      <c r="AM803" s="693"/>
      <c r="AN803" s="688"/>
      <c r="AO803" s="688"/>
      <c r="AP803" s="688"/>
      <c r="AQ803" s="688"/>
      <c r="AR803" s="688"/>
      <c r="AS803" s="688"/>
      <c r="AT803" s="689"/>
      <c r="AU803" s="689"/>
      <c r="AV803" s="690"/>
      <c r="AW803" s="690"/>
      <c r="AX803" s="690"/>
      <c r="AY803" s="690"/>
      <c r="AZ803" s="690"/>
      <c r="BA803" s="690"/>
      <c r="BB803" s="695"/>
      <c r="BC803" s="695"/>
      <c r="BD803" s="695"/>
      <c r="BE803" s="695"/>
      <c r="BF803" s="692"/>
      <c r="BG803" s="692"/>
      <c r="BH803" s="692"/>
      <c r="BI803" s="692"/>
      <c r="BJ803" s="692"/>
      <c r="BK803" s="692"/>
      <c r="BL803" s="693"/>
      <c r="BM803" s="693"/>
      <c r="BN803" s="688"/>
      <c r="BO803" s="693"/>
      <c r="BP803" s="689"/>
      <c r="BQ803" s="694"/>
      <c r="BR803" s="687"/>
      <c r="BS803" s="687"/>
      <c r="BT803" s="687"/>
      <c r="BU803" s="687"/>
      <c r="BV803" s="687"/>
      <c r="BW803" s="688"/>
      <c r="BX803" s="688"/>
      <c r="BY803" s="689"/>
      <c r="BZ803" s="690"/>
      <c r="CA803" s="690"/>
      <c r="CB803" s="690"/>
      <c r="CC803" s="691"/>
      <c r="CD803" s="691"/>
      <c r="CE803" s="692"/>
      <c r="CF803" s="692"/>
      <c r="CG803" s="692"/>
      <c r="CH803" s="693"/>
    </row>
    <row r="804">
      <c r="B804" s="687"/>
      <c r="C804" s="687"/>
      <c r="D804" s="688"/>
      <c r="E804" s="689"/>
      <c r="F804" s="690"/>
      <c r="G804" s="690"/>
      <c r="H804" s="690"/>
      <c r="I804" s="691"/>
      <c r="J804" s="691"/>
      <c r="K804" s="691"/>
      <c r="L804" s="692"/>
      <c r="M804" s="692"/>
      <c r="N804" s="692"/>
      <c r="O804" s="693"/>
      <c r="P804" s="688"/>
      <c r="Q804" s="688"/>
      <c r="R804" s="688"/>
      <c r="S804" s="688"/>
      <c r="T804" s="689"/>
      <c r="U804" s="689"/>
      <c r="V804" s="694"/>
      <c r="W804" s="694"/>
      <c r="X804" s="694"/>
      <c r="Y804" s="694"/>
      <c r="Z804" s="693"/>
      <c r="AA804" s="693"/>
      <c r="AB804" s="693"/>
      <c r="AC804" s="693"/>
      <c r="AD804" s="688"/>
      <c r="AE804" s="689"/>
      <c r="AF804" s="689"/>
      <c r="AG804" s="690"/>
      <c r="AH804" s="690"/>
      <c r="AI804" s="695"/>
      <c r="AJ804" s="695"/>
      <c r="AK804" s="692"/>
      <c r="AL804" s="692"/>
      <c r="AM804" s="693"/>
      <c r="AN804" s="688"/>
      <c r="AO804" s="688"/>
      <c r="AP804" s="688"/>
      <c r="AQ804" s="688"/>
      <c r="AR804" s="688"/>
      <c r="AS804" s="688"/>
      <c r="AT804" s="689"/>
      <c r="AU804" s="689"/>
      <c r="AV804" s="690"/>
      <c r="AW804" s="690"/>
      <c r="AX804" s="690"/>
      <c r="AY804" s="690"/>
      <c r="AZ804" s="690"/>
      <c r="BA804" s="690"/>
      <c r="BB804" s="695"/>
      <c r="BC804" s="695"/>
      <c r="BD804" s="695"/>
      <c r="BE804" s="695"/>
      <c r="BF804" s="692"/>
      <c r="BG804" s="692"/>
      <c r="BH804" s="692"/>
      <c r="BI804" s="692"/>
      <c r="BJ804" s="692"/>
      <c r="BK804" s="692"/>
      <c r="BL804" s="693"/>
      <c r="BM804" s="693"/>
      <c r="BN804" s="688"/>
      <c r="BO804" s="693"/>
      <c r="BP804" s="689"/>
      <c r="BQ804" s="694"/>
      <c r="BR804" s="687"/>
      <c r="BS804" s="687"/>
      <c r="BT804" s="687"/>
      <c r="BU804" s="687"/>
      <c r="BV804" s="687"/>
      <c r="BW804" s="688"/>
      <c r="BX804" s="688"/>
      <c r="BY804" s="689"/>
      <c r="BZ804" s="690"/>
      <c r="CA804" s="690"/>
      <c r="CB804" s="690"/>
      <c r="CC804" s="691"/>
      <c r="CD804" s="691"/>
      <c r="CE804" s="692"/>
      <c r="CF804" s="692"/>
      <c r="CG804" s="692"/>
      <c r="CH804" s="693"/>
    </row>
    <row r="805">
      <c r="B805" s="687"/>
      <c r="C805" s="687"/>
      <c r="D805" s="688"/>
      <c r="E805" s="689"/>
      <c r="F805" s="690"/>
      <c r="G805" s="690"/>
      <c r="H805" s="690"/>
      <c r="I805" s="691"/>
      <c r="J805" s="691"/>
      <c r="K805" s="691"/>
      <c r="L805" s="692"/>
      <c r="M805" s="692"/>
      <c r="N805" s="692"/>
      <c r="O805" s="693"/>
      <c r="P805" s="688"/>
      <c r="Q805" s="688"/>
      <c r="R805" s="688"/>
      <c r="S805" s="688"/>
      <c r="T805" s="689"/>
      <c r="U805" s="689"/>
      <c r="V805" s="694"/>
      <c r="W805" s="694"/>
      <c r="X805" s="694"/>
      <c r="Y805" s="694"/>
      <c r="Z805" s="693"/>
      <c r="AA805" s="693"/>
      <c r="AB805" s="693"/>
      <c r="AC805" s="693"/>
      <c r="AD805" s="688"/>
      <c r="AE805" s="689"/>
      <c r="AF805" s="689"/>
      <c r="AG805" s="690"/>
      <c r="AH805" s="690"/>
      <c r="AI805" s="695"/>
      <c r="AJ805" s="695"/>
      <c r="AK805" s="692"/>
      <c r="AL805" s="692"/>
      <c r="AM805" s="693"/>
      <c r="AN805" s="688"/>
      <c r="AO805" s="688"/>
      <c r="AP805" s="688"/>
      <c r="AQ805" s="688"/>
      <c r="AR805" s="688"/>
      <c r="AS805" s="688"/>
      <c r="AT805" s="689"/>
      <c r="AU805" s="689"/>
      <c r="AV805" s="690"/>
      <c r="AW805" s="690"/>
      <c r="AX805" s="690"/>
      <c r="AY805" s="690"/>
      <c r="AZ805" s="690"/>
      <c r="BA805" s="690"/>
      <c r="BB805" s="695"/>
      <c r="BC805" s="695"/>
      <c r="BD805" s="695"/>
      <c r="BE805" s="695"/>
      <c r="BF805" s="692"/>
      <c r="BG805" s="692"/>
      <c r="BH805" s="692"/>
      <c r="BI805" s="692"/>
      <c r="BJ805" s="692"/>
      <c r="BK805" s="692"/>
      <c r="BL805" s="693"/>
      <c r="BM805" s="693"/>
      <c r="BN805" s="688"/>
      <c r="BO805" s="693"/>
      <c r="BP805" s="689"/>
      <c r="BQ805" s="694"/>
      <c r="BR805" s="687"/>
      <c r="BS805" s="687"/>
      <c r="BT805" s="687"/>
      <c r="BU805" s="687"/>
      <c r="BV805" s="687"/>
      <c r="BW805" s="688"/>
      <c r="BX805" s="688"/>
      <c r="BY805" s="689"/>
      <c r="BZ805" s="690"/>
      <c r="CA805" s="690"/>
      <c r="CB805" s="690"/>
      <c r="CC805" s="691"/>
      <c r="CD805" s="691"/>
      <c r="CE805" s="692"/>
      <c r="CF805" s="692"/>
      <c r="CG805" s="692"/>
      <c r="CH805" s="693"/>
    </row>
    <row r="806">
      <c r="B806" s="687"/>
      <c r="C806" s="687"/>
      <c r="D806" s="688"/>
      <c r="E806" s="689"/>
      <c r="F806" s="690"/>
      <c r="G806" s="690"/>
      <c r="H806" s="690"/>
      <c r="I806" s="691"/>
      <c r="J806" s="691"/>
      <c r="K806" s="691"/>
      <c r="L806" s="692"/>
      <c r="M806" s="692"/>
      <c r="N806" s="692"/>
      <c r="O806" s="693"/>
      <c r="P806" s="688"/>
      <c r="Q806" s="688"/>
      <c r="R806" s="688"/>
      <c r="S806" s="688"/>
      <c r="T806" s="689"/>
      <c r="U806" s="689"/>
      <c r="V806" s="694"/>
      <c r="W806" s="694"/>
      <c r="X806" s="694"/>
      <c r="Y806" s="694"/>
      <c r="Z806" s="693"/>
      <c r="AA806" s="693"/>
      <c r="AB806" s="693"/>
      <c r="AC806" s="693"/>
      <c r="AD806" s="688"/>
      <c r="AE806" s="689"/>
      <c r="AF806" s="689"/>
      <c r="AG806" s="690"/>
      <c r="AH806" s="690"/>
      <c r="AI806" s="695"/>
      <c r="AJ806" s="695"/>
      <c r="AK806" s="692"/>
      <c r="AL806" s="692"/>
      <c r="AM806" s="693"/>
      <c r="AN806" s="688"/>
      <c r="AO806" s="688"/>
      <c r="AP806" s="688"/>
      <c r="AQ806" s="688"/>
      <c r="AR806" s="688"/>
      <c r="AS806" s="688"/>
      <c r="AT806" s="689"/>
      <c r="AU806" s="689"/>
      <c r="AV806" s="690"/>
      <c r="AW806" s="690"/>
      <c r="AX806" s="690"/>
      <c r="AY806" s="690"/>
      <c r="AZ806" s="690"/>
      <c r="BA806" s="690"/>
      <c r="BB806" s="695"/>
      <c r="BC806" s="695"/>
      <c r="BD806" s="695"/>
      <c r="BE806" s="695"/>
      <c r="BF806" s="692"/>
      <c r="BG806" s="692"/>
      <c r="BH806" s="692"/>
      <c r="BI806" s="692"/>
      <c r="BJ806" s="692"/>
      <c r="BK806" s="692"/>
      <c r="BL806" s="693"/>
      <c r="BM806" s="693"/>
      <c r="BN806" s="688"/>
      <c r="BO806" s="693"/>
      <c r="BP806" s="689"/>
      <c r="BQ806" s="694"/>
      <c r="BR806" s="687"/>
      <c r="BS806" s="687"/>
      <c r="BT806" s="687"/>
      <c r="BU806" s="687"/>
      <c r="BV806" s="687"/>
      <c r="BW806" s="688"/>
      <c r="BX806" s="688"/>
      <c r="BY806" s="689"/>
      <c r="BZ806" s="690"/>
      <c r="CA806" s="690"/>
      <c r="CB806" s="690"/>
      <c r="CC806" s="691"/>
      <c r="CD806" s="691"/>
      <c r="CE806" s="692"/>
      <c r="CF806" s="692"/>
      <c r="CG806" s="692"/>
      <c r="CH806" s="693"/>
    </row>
    <row r="807">
      <c r="B807" s="687"/>
      <c r="C807" s="687"/>
      <c r="D807" s="688"/>
      <c r="E807" s="689"/>
      <c r="F807" s="690"/>
      <c r="G807" s="690"/>
      <c r="H807" s="690"/>
      <c r="I807" s="691"/>
      <c r="J807" s="691"/>
      <c r="K807" s="691"/>
      <c r="L807" s="692"/>
      <c r="M807" s="692"/>
      <c r="N807" s="692"/>
      <c r="O807" s="693"/>
      <c r="P807" s="688"/>
      <c r="Q807" s="688"/>
      <c r="R807" s="688"/>
      <c r="S807" s="688"/>
      <c r="T807" s="689"/>
      <c r="U807" s="689"/>
      <c r="V807" s="694"/>
      <c r="W807" s="694"/>
      <c r="X807" s="694"/>
      <c r="Y807" s="694"/>
      <c r="Z807" s="693"/>
      <c r="AA807" s="693"/>
      <c r="AB807" s="693"/>
      <c r="AC807" s="693"/>
      <c r="AD807" s="688"/>
      <c r="AE807" s="689"/>
      <c r="AF807" s="689"/>
      <c r="AG807" s="690"/>
      <c r="AH807" s="690"/>
      <c r="AI807" s="695"/>
      <c r="AJ807" s="695"/>
      <c r="AK807" s="692"/>
      <c r="AL807" s="692"/>
      <c r="AM807" s="693"/>
      <c r="AN807" s="688"/>
      <c r="AO807" s="688"/>
      <c r="AP807" s="688"/>
      <c r="AQ807" s="688"/>
      <c r="AR807" s="688"/>
      <c r="AS807" s="688"/>
      <c r="AT807" s="689"/>
      <c r="AU807" s="689"/>
      <c r="AV807" s="690"/>
      <c r="AW807" s="690"/>
      <c r="AX807" s="690"/>
      <c r="AY807" s="690"/>
      <c r="AZ807" s="690"/>
      <c r="BA807" s="690"/>
      <c r="BB807" s="695"/>
      <c r="BC807" s="695"/>
      <c r="BD807" s="695"/>
      <c r="BE807" s="695"/>
      <c r="BF807" s="692"/>
      <c r="BG807" s="692"/>
      <c r="BH807" s="692"/>
      <c r="BI807" s="692"/>
      <c r="BJ807" s="692"/>
      <c r="BK807" s="692"/>
      <c r="BL807" s="693"/>
      <c r="BM807" s="693"/>
      <c r="BN807" s="688"/>
      <c r="BO807" s="693"/>
      <c r="BP807" s="689"/>
      <c r="BQ807" s="694"/>
      <c r="BR807" s="687"/>
      <c r="BS807" s="687"/>
      <c r="BT807" s="687"/>
      <c r="BU807" s="687"/>
      <c r="BV807" s="687"/>
      <c r="BW807" s="688"/>
      <c r="BX807" s="688"/>
      <c r="BY807" s="689"/>
      <c r="BZ807" s="690"/>
      <c r="CA807" s="690"/>
      <c r="CB807" s="690"/>
      <c r="CC807" s="691"/>
      <c r="CD807" s="691"/>
      <c r="CE807" s="692"/>
      <c r="CF807" s="692"/>
      <c r="CG807" s="692"/>
      <c r="CH807" s="693"/>
    </row>
    <row r="808">
      <c r="B808" s="687"/>
      <c r="C808" s="687"/>
      <c r="D808" s="688"/>
      <c r="E808" s="689"/>
      <c r="F808" s="690"/>
      <c r="G808" s="690"/>
      <c r="H808" s="690"/>
      <c r="I808" s="691"/>
      <c r="J808" s="691"/>
      <c r="K808" s="691"/>
      <c r="L808" s="692"/>
      <c r="M808" s="692"/>
      <c r="N808" s="692"/>
      <c r="O808" s="693"/>
      <c r="P808" s="688"/>
      <c r="Q808" s="688"/>
      <c r="R808" s="688"/>
      <c r="S808" s="688"/>
      <c r="T808" s="689"/>
      <c r="U808" s="689"/>
      <c r="V808" s="694"/>
      <c r="W808" s="694"/>
      <c r="X808" s="694"/>
      <c r="Y808" s="694"/>
      <c r="Z808" s="693"/>
      <c r="AA808" s="693"/>
      <c r="AB808" s="693"/>
      <c r="AC808" s="693"/>
      <c r="AD808" s="688"/>
      <c r="AE808" s="689"/>
      <c r="AF808" s="689"/>
      <c r="AG808" s="690"/>
      <c r="AH808" s="690"/>
      <c r="AI808" s="695"/>
      <c r="AJ808" s="695"/>
      <c r="AK808" s="692"/>
      <c r="AL808" s="692"/>
      <c r="AM808" s="693"/>
      <c r="AN808" s="688"/>
      <c r="AO808" s="688"/>
      <c r="AP808" s="688"/>
      <c r="AQ808" s="688"/>
      <c r="AR808" s="688"/>
      <c r="AS808" s="688"/>
      <c r="AT808" s="689"/>
      <c r="AU808" s="689"/>
      <c r="AV808" s="690"/>
      <c r="AW808" s="690"/>
      <c r="AX808" s="690"/>
      <c r="AY808" s="690"/>
      <c r="AZ808" s="690"/>
      <c r="BA808" s="690"/>
      <c r="BB808" s="695"/>
      <c r="BC808" s="695"/>
      <c r="BD808" s="695"/>
      <c r="BE808" s="695"/>
      <c r="BF808" s="692"/>
      <c r="BG808" s="692"/>
      <c r="BH808" s="692"/>
      <c r="BI808" s="692"/>
      <c r="BJ808" s="692"/>
      <c r="BK808" s="692"/>
      <c r="BL808" s="693"/>
      <c r="BM808" s="693"/>
      <c r="BN808" s="688"/>
      <c r="BO808" s="693"/>
      <c r="BP808" s="689"/>
      <c r="BQ808" s="694"/>
      <c r="BR808" s="687"/>
      <c r="BS808" s="687"/>
      <c r="BT808" s="687"/>
      <c r="BU808" s="687"/>
      <c r="BV808" s="687"/>
      <c r="BW808" s="688"/>
      <c r="BX808" s="688"/>
      <c r="BY808" s="689"/>
      <c r="BZ808" s="690"/>
      <c r="CA808" s="690"/>
      <c r="CB808" s="690"/>
      <c r="CC808" s="691"/>
      <c r="CD808" s="691"/>
      <c r="CE808" s="692"/>
      <c r="CF808" s="692"/>
      <c r="CG808" s="692"/>
      <c r="CH808" s="693"/>
    </row>
    <row r="809">
      <c r="B809" s="687"/>
      <c r="C809" s="687"/>
      <c r="D809" s="688"/>
      <c r="E809" s="689"/>
      <c r="F809" s="690"/>
      <c r="G809" s="690"/>
      <c r="H809" s="690"/>
      <c r="I809" s="691"/>
      <c r="J809" s="691"/>
      <c r="K809" s="691"/>
      <c r="L809" s="692"/>
      <c r="M809" s="692"/>
      <c r="N809" s="692"/>
      <c r="O809" s="693"/>
      <c r="P809" s="688"/>
      <c r="Q809" s="688"/>
      <c r="R809" s="688"/>
      <c r="S809" s="688"/>
      <c r="T809" s="689"/>
      <c r="U809" s="689"/>
      <c r="V809" s="694"/>
      <c r="W809" s="694"/>
      <c r="X809" s="694"/>
      <c r="Y809" s="694"/>
      <c r="Z809" s="693"/>
      <c r="AA809" s="693"/>
      <c r="AB809" s="693"/>
      <c r="AC809" s="693"/>
      <c r="AD809" s="688"/>
      <c r="AE809" s="689"/>
      <c r="AF809" s="689"/>
      <c r="AG809" s="690"/>
      <c r="AH809" s="690"/>
      <c r="AI809" s="695"/>
      <c r="AJ809" s="695"/>
      <c r="AK809" s="692"/>
      <c r="AL809" s="692"/>
      <c r="AM809" s="693"/>
      <c r="AN809" s="688"/>
      <c r="AO809" s="688"/>
      <c r="AP809" s="688"/>
      <c r="AQ809" s="688"/>
      <c r="AR809" s="688"/>
      <c r="AS809" s="688"/>
      <c r="AT809" s="689"/>
      <c r="AU809" s="689"/>
      <c r="AV809" s="690"/>
      <c r="AW809" s="690"/>
      <c r="AX809" s="690"/>
      <c r="AY809" s="690"/>
      <c r="AZ809" s="690"/>
      <c r="BA809" s="690"/>
      <c r="BB809" s="695"/>
      <c r="BC809" s="695"/>
      <c r="BD809" s="695"/>
      <c r="BE809" s="695"/>
      <c r="BF809" s="692"/>
      <c r="BG809" s="692"/>
      <c r="BH809" s="692"/>
      <c r="BI809" s="692"/>
      <c r="BJ809" s="692"/>
      <c r="BK809" s="692"/>
      <c r="BL809" s="693"/>
      <c r="BM809" s="693"/>
      <c r="BN809" s="688"/>
      <c r="BO809" s="693"/>
      <c r="BP809" s="689"/>
      <c r="BQ809" s="694"/>
      <c r="BR809" s="687"/>
      <c r="BS809" s="687"/>
      <c r="BT809" s="687"/>
      <c r="BU809" s="687"/>
      <c r="BV809" s="687"/>
      <c r="BW809" s="688"/>
      <c r="BX809" s="688"/>
      <c r="BY809" s="689"/>
      <c r="BZ809" s="690"/>
      <c r="CA809" s="690"/>
      <c r="CB809" s="690"/>
      <c r="CC809" s="691"/>
      <c r="CD809" s="691"/>
      <c r="CE809" s="692"/>
      <c r="CF809" s="692"/>
      <c r="CG809" s="692"/>
      <c r="CH809" s="693"/>
    </row>
    <row r="810">
      <c r="B810" s="687"/>
      <c r="C810" s="687"/>
      <c r="D810" s="688"/>
      <c r="E810" s="689"/>
      <c r="F810" s="690"/>
      <c r="G810" s="690"/>
      <c r="H810" s="690"/>
      <c r="I810" s="691"/>
      <c r="J810" s="691"/>
      <c r="K810" s="691"/>
      <c r="L810" s="692"/>
      <c r="M810" s="692"/>
      <c r="N810" s="692"/>
      <c r="O810" s="693"/>
      <c r="P810" s="688"/>
      <c r="Q810" s="688"/>
      <c r="R810" s="688"/>
      <c r="S810" s="688"/>
      <c r="T810" s="689"/>
      <c r="U810" s="689"/>
      <c r="V810" s="694"/>
      <c r="W810" s="694"/>
      <c r="X810" s="694"/>
      <c r="Y810" s="694"/>
      <c r="Z810" s="693"/>
      <c r="AA810" s="693"/>
      <c r="AB810" s="693"/>
      <c r="AC810" s="693"/>
      <c r="AD810" s="688"/>
      <c r="AE810" s="689"/>
      <c r="AF810" s="689"/>
      <c r="AG810" s="690"/>
      <c r="AH810" s="690"/>
      <c r="AI810" s="695"/>
      <c r="AJ810" s="695"/>
      <c r="AK810" s="692"/>
      <c r="AL810" s="692"/>
      <c r="AM810" s="693"/>
      <c r="AN810" s="688"/>
      <c r="AO810" s="688"/>
      <c r="AP810" s="688"/>
      <c r="AQ810" s="688"/>
      <c r="AR810" s="688"/>
      <c r="AS810" s="688"/>
      <c r="AT810" s="689"/>
      <c r="AU810" s="689"/>
      <c r="AV810" s="690"/>
      <c r="AW810" s="690"/>
      <c r="AX810" s="690"/>
      <c r="AY810" s="690"/>
      <c r="AZ810" s="690"/>
      <c r="BA810" s="690"/>
      <c r="BB810" s="695"/>
      <c r="BC810" s="695"/>
      <c r="BD810" s="695"/>
      <c r="BE810" s="695"/>
      <c r="BF810" s="692"/>
      <c r="BG810" s="692"/>
      <c r="BH810" s="692"/>
      <c r="BI810" s="692"/>
      <c r="BJ810" s="692"/>
      <c r="BK810" s="692"/>
      <c r="BL810" s="693"/>
      <c r="BM810" s="693"/>
      <c r="BN810" s="688"/>
      <c r="BO810" s="693"/>
      <c r="BP810" s="689"/>
      <c r="BQ810" s="694"/>
      <c r="BR810" s="687"/>
      <c r="BS810" s="687"/>
      <c r="BT810" s="687"/>
      <c r="BU810" s="687"/>
      <c r="BV810" s="687"/>
      <c r="BW810" s="688"/>
      <c r="BX810" s="688"/>
      <c r="BY810" s="689"/>
      <c r="BZ810" s="690"/>
      <c r="CA810" s="690"/>
      <c r="CB810" s="690"/>
      <c r="CC810" s="691"/>
      <c r="CD810" s="691"/>
      <c r="CE810" s="692"/>
      <c r="CF810" s="692"/>
      <c r="CG810" s="692"/>
      <c r="CH810" s="693"/>
    </row>
    <row r="811">
      <c r="B811" s="687"/>
      <c r="C811" s="687"/>
      <c r="D811" s="688"/>
      <c r="E811" s="689"/>
      <c r="F811" s="690"/>
      <c r="G811" s="690"/>
      <c r="H811" s="690"/>
      <c r="I811" s="691"/>
      <c r="J811" s="691"/>
      <c r="K811" s="691"/>
      <c r="L811" s="692"/>
      <c r="M811" s="692"/>
      <c r="N811" s="692"/>
      <c r="O811" s="693"/>
      <c r="P811" s="688"/>
      <c r="Q811" s="688"/>
      <c r="R811" s="688"/>
      <c r="S811" s="688"/>
      <c r="T811" s="689"/>
      <c r="U811" s="689"/>
      <c r="V811" s="694"/>
      <c r="W811" s="694"/>
      <c r="X811" s="694"/>
      <c r="Y811" s="694"/>
      <c r="Z811" s="693"/>
      <c r="AA811" s="693"/>
      <c r="AB811" s="693"/>
      <c r="AC811" s="693"/>
      <c r="AD811" s="688"/>
      <c r="AE811" s="689"/>
      <c r="AF811" s="689"/>
      <c r="AG811" s="690"/>
      <c r="AH811" s="690"/>
      <c r="AI811" s="695"/>
      <c r="AJ811" s="695"/>
      <c r="AK811" s="692"/>
      <c r="AL811" s="692"/>
      <c r="AM811" s="693"/>
      <c r="AN811" s="688"/>
      <c r="AO811" s="688"/>
      <c r="AP811" s="688"/>
      <c r="AQ811" s="688"/>
      <c r="AR811" s="688"/>
      <c r="AS811" s="688"/>
      <c r="AT811" s="689"/>
      <c r="AU811" s="689"/>
      <c r="AV811" s="690"/>
      <c r="AW811" s="690"/>
      <c r="AX811" s="690"/>
      <c r="AY811" s="690"/>
      <c r="AZ811" s="690"/>
      <c r="BA811" s="690"/>
      <c r="BB811" s="695"/>
      <c r="BC811" s="695"/>
      <c r="BD811" s="695"/>
      <c r="BE811" s="695"/>
      <c r="BF811" s="692"/>
      <c r="BG811" s="692"/>
      <c r="BH811" s="692"/>
      <c r="BI811" s="692"/>
      <c r="BJ811" s="692"/>
      <c r="BK811" s="692"/>
      <c r="BL811" s="693"/>
      <c r="BM811" s="693"/>
      <c r="BN811" s="688"/>
      <c r="BO811" s="693"/>
      <c r="BP811" s="689"/>
      <c r="BQ811" s="694"/>
      <c r="BR811" s="687"/>
      <c r="BS811" s="687"/>
      <c r="BT811" s="687"/>
      <c r="BU811" s="687"/>
      <c r="BV811" s="687"/>
      <c r="BW811" s="688"/>
      <c r="BX811" s="688"/>
      <c r="BY811" s="689"/>
      <c r="BZ811" s="690"/>
      <c r="CA811" s="690"/>
      <c r="CB811" s="690"/>
      <c r="CC811" s="691"/>
      <c r="CD811" s="691"/>
      <c r="CE811" s="692"/>
      <c r="CF811" s="692"/>
      <c r="CG811" s="692"/>
      <c r="CH811" s="693"/>
    </row>
    <row r="812">
      <c r="B812" s="687"/>
      <c r="C812" s="687"/>
      <c r="D812" s="688"/>
      <c r="E812" s="689"/>
      <c r="F812" s="690"/>
      <c r="G812" s="690"/>
      <c r="H812" s="690"/>
      <c r="I812" s="691"/>
      <c r="J812" s="691"/>
      <c r="K812" s="691"/>
      <c r="L812" s="692"/>
      <c r="M812" s="692"/>
      <c r="N812" s="692"/>
      <c r="O812" s="693"/>
      <c r="P812" s="688"/>
      <c r="Q812" s="688"/>
      <c r="R812" s="688"/>
      <c r="S812" s="688"/>
      <c r="T812" s="689"/>
      <c r="U812" s="689"/>
      <c r="V812" s="694"/>
      <c r="W812" s="694"/>
      <c r="X812" s="694"/>
      <c r="Y812" s="694"/>
      <c r="Z812" s="693"/>
      <c r="AA812" s="693"/>
      <c r="AB812" s="693"/>
      <c r="AC812" s="693"/>
      <c r="AD812" s="688"/>
      <c r="AE812" s="689"/>
      <c r="AF812" s="689"/>
      <c r="AG812" s="690"/>
      <c r="AH812" s="690"/>
      <c r="AI812" s="695"/>
      <c r="AJ812" s="695"/>
      <c r="AK812" s="692"/>
      <c r="AL812" s="692"/>
      <c r="AM812" s="693"/>
      <c r="AN812" s="688"/>
      <c r="AO812" s="688"/>
      <c r="AP812" s="688"/>
      <c r="AQ812" s="688"/>
      <c r="AR812" s="688"/>
      <c r="AS812" s="688"/>
      <c r="AT812" s="689"/>
      <c r="AU812" s="689"/>
      <c r="AV812" s="690"/>
      <c r="AW812" s="690"/>
      <c r="AX812" s="690"/>
      <c r="AY812" s="690"/>
      <c r="AZ812" s="690"/>
      <c r="BA812" s="690"/>
      <c r="BB812" s="695"/>
      <c r="BC812" s="695"/>
      <c r="BD812" s="695"/>
      <c r="BE812" s="695"/>
      <c r="BF812" s="692"/>
      <c r="BG812" s="692"/>
      <c r="BH812" s="692"/>
      <c r="BI812" s="692"/>
      <c r="BJ812" s="692"/>
      <c r="BK812" s="692"/>
      <c r="BL812" s="693"/>
      <c r="BM812" s="693"/>
      <c r="BN812" s="688"/>
      <c r="BO812" s="693"/>
      <c r="BP812" s="689"/>
      <c r="BQ812" s="694"/>
      <c r="BR812" s="687"/>
      <c r="BS812" s="687"/>
      <c r="BT812" s="687"/>
      <c r="BU812" s="687"/>
      <c r="BV812" s="687"/>
      <c r="BW812" s="688"/>
      <c r="BX812" s="688"/>
      <c r="BY812" s="689"/>
      <c r="BZ812" s="690"/>
      <c r="CA812" s="690"/>
      <c r="CB812" s="690"/>
      <c r="CC812" s="691"/>
      <c r="CD812" s="691"/>
      <c r="CE812" s="692"/>
      <c r="CF812" s="692"/>
      <c r="CG812" s="692"/>
      <c r="CH812" s="693"/>
    </row>
    <row r="813">
      <c r="B813" s="687"/>
      <c r="C813" s="687"/>
      <c r="D813" s="688"/>
      <c r="E813" s="689"/>
      <c r="F813" s="690"/>
      <c r="G813" s="690"/>
      <c r="H813" s="690"/>
      <c r="I813" s="691"/>
      <c r="J813" s="691"/>
      <c r="K813" s="691"/>
      <c r="L813" s="692"/>
      <c r="M813" s="692"/>
      <c r="N813" s="692"/>
      <c r="O813" s="693"/>
      <c r="P813" s="688"/>
      <c r="Q813" s="688"/>
      <c r="R813" s="688"/>
      <c r="S813" s="688"/>
      <c r="T813" s="689"/>
      <c r="U813" s="689"/>
      <c r="V813" s="694"/>
      <c r="W813" s="694"/>
      <c r="X813" s="694"/>
      <c r="Y813" s="694"/>
      <c r="Z813" s="693"/>
      <c r="AA813" s="693"/>
      <c r="AB813" s="693"/>
      <c r="AC813" s="693"/>
      <c r="AD813" s="688"/>
      <c r="AE813" s="689"/>
      <c r="AF813" s="689"/>
      <c r="AG813" s="690"/>
      <c r="AH813" s="690"/>
      <c r="AI813" s="695"/>
      <c r="AJ813" s="695"/>
      <c r="AK813" s="692"/>
      <c r="AL813" s="692"/>
      <c r="AM813" s="693"/>
      <c r="AN813" s="688"/>
      <c r="AO813" s="688"/>
      <c r="AP813" s="688"/>
      <c r="AQ813" s="688"/>
      <c r="AR813" s="688"/>
      <c r="AS813" s="688"/>
      <c r="AT813" s="689"/>
      <c r="AU813" s="689"/>
      <c r="AV813" s="690"/>
      <c r="AW813" s="690"/>
      <c r="AX813" s="690"/>
      <c r="AY813" s="690"/>
      <c r="AZ813" s="690"/>
      <c r="BA813" s="690"/>
      <c r="BB813" s="695"/>
      <c r="BC813" s="695"/>
      <c r="BD813" s="695"/>
      <c r="BE813" s="695"/>
      <c r="BF813" s="692"/>
      <c r="BG813" s="692"/>
      <c r="BH813" s="692"/>
      <c r="BI813" s="692"/>
      <c r="BJ813" s="692"/>
      <c r="BK813" s="692"/>
      <c r="BL813" s="693"/>
      <c r="BM813" s="693"/>
      <c r="BN813" s="688"/>
      <c r="BO813" s="693"/>
      <c r="BP813" s="689"/>
      <c r="BQ813" s="694"/>
      <c r="BR813" s="687"/>
      <c r="BS813" s="687"/>
      <c r="BT813" s="687"/>
      <c r="BU813" s="687"/>
      <c r="BV813" s="687"/>
      <c r="BW813" s="688"/>
      <c r="BX813" s="688"/>
      <c r="BY813" s="689"/>
      <c r="BZ813" s="690"/>
      <c r="CA813" s="690"/>
      <c r="CB813" s="690"/>
      <c r="CC813" s="691"/>
      <c r="CD813" s="691"/>
      <c r="CE813" s="692"/>
      <c r="CF813" s="692"/>
      <c r="CG813" s="692"/>
      <c r="CH813" s="693"/>
    </row>
    <row r="814">
      <c r="B814" s="687"/>
      <c r="C814" s="687"/>
      <c r="D814" s="688"/>
      <c r="E814" s="689"/>
      <c r="F814" s="690"/>
      <c r="G814" s="690"/>
      <c r="H814" s="690"/>
      <c r="I814" s="691"/>
      <c r="J814" s="691"/>
      <c r="K814" s="691"/>
      <c r="L814" s="692"/>
      <c r="M814" s="692"/>
      <c r="N814" s="692"/>
      <c r="O814" s="693"/>
      <c r="P814" s="688"/>
      <c r="Q814" s="688"/>
      <c r="R814" s="688"/>
      <c r="S814" s="688"/>
      <c r="T814" s="689"/>
      <c r="U814" s="689"/>
      <c r="V814" s="694"/>
      <c r="W814" s="694"/>
      <c r="X814" s="694"/>
      <c r="Y814" s="694"/>
      <c r="Z814" s="693"/>
      <c r="AA814" s="693"/>
      <c r="AB814" s="693"/>
      <c r="AC814" s="693"/>
      <c r="AD814" s="688"/>
      <c r="AE814" s="689"/>
      <c r="AF814" s="689"/>
      <c r="AG814" s="690"/>
      <c r="AH814" s="690"/>
      <c r="AI814" s="695"/>
      <c r="AJ814" s="695"/>
      <c r="AK814" s="692"/>
      <c r="AL814" s="692"/>
      <c r="AM814" s="693"/>
      <c r="AN814" s="688"/>
      <c r="AO814" s="688"/>
      <c r="AP814" s="688"/>
      <c r="AQ814" s="688"/>
      <c r="AR814" s="688"/>
      <c r="AS814" s="688"/>
      <c r="AT814" s="689"/>
      <c r="AU814" s="689"/>
      <c r="AV814" s="690"/>
      <c r="AW814" s="690"/>
      <c r="AX814" s="690"/>
      <c r="AY814" s="690"/>
      <c r="AZ814" s="690"/>
      <c r="BA814" s="690"/>
      <c r="BB814" s="695"/>
      <c r="BC814" s="695"/>
      <c r="BD814" s="695"/>
      <c r="BE814" s="695"/>
      <c r="BF814" s="692"/>
      <c r="BG814" s="692"/>
      <c r="BH814" s="692"/>
      <c r="BI814" s="692"/>
      <c r="BJ814" s="692"/>
      <c r="BK814" s="692"/>
      <c r="BL814" s="693"/>
      <c r="BM814" s="693"/>
      <c r="BN814" s="688"/>
      <c r="BO814" s="693"/>
      <c r="BP814" s="689"/>
      <c r="BQ814" s="694"/>
      <c r="BR814" s="687"/>
      <c r="BS814" s="687"/>
      <c r="BT814" s="687"/>
      <c r="BU814" s="687"/>
      <c r="BV814" s="687"/>
      <c r="BW814" s="688"/>
      <c r="BX814" s="688"/>
      <c r="BY814" s="689"/>
      <c r="BZ814" s="690"/>
      <c r="CA814" s="690"/>
      <c r="CB814" s="690"/>
      <c r="CC814" s="691"/>
      <c r="CD814" s="691"/>
      <c r="CE814" s="692"/>
      <c r="CF814" s="692"/>
      <c r="CG814" s="692"/>
      <c r="CH814" s="693"/>
    </row>
    <row r="815">
      <c r="B815" s="687"/>
      <c r="C815" s="687"/>
      <c r="D815" s="688"/>
      <c r="E815" s="689"/>
      <c r="F815" s="690"/>
      <c r="G815" s="690"/>
      <c r="H815" s="690"/>
      <c r="I815" s="691"/>
      <c r="J815" s="691"/>
      <c r="K815" s="691"/>
      <c r="L815" s="692"/>
      <c r="M815" s="692"/>
      <c r="N815" s="692"/>
      <c r="O815" s="693"/>
      <c r="P815" s="688"/>
      <c r="Q815" s="688"/>
      <c r="R815" s="688"/>
      <c r="S815" s="688"/>
      <c r="T815" s="689"/>
      <c r="U815" s="689"/>
      <c r="V815" s="694"/>
      <c r="W815" s="694"/>
      <c r="X815" s="694"/>
      <c r="Y815" s="694"/>
      <c r="Z815" s="693"/>
      <c r="AA815" s="693"/>
      <c r="AB815" s="693"/>
      <c r="AC815" s="693"/>
      <c r="AD815" s="688"/>
      <c r="AE815" s="689"/>
      <c r="AF815" s="689"/>
      <c r="AG815" s="690"/>
      <c r="AH815" s="690"/>
      <c r="AI815" s="695"/>
      <c r="AJ815" s="695"/>
      <c r="AK815" s="692"/>
      <c r="AL815" s="692"/>
      <c r="AM815" s="693"/>
      <c r="AN815" s="688"/>
      <c r="AO815" s="688"/>
      <c r="AP815" s="688"/>
      <c r="AQ815" s="688"/>
      <c r="AR815" s="688"/>
      <c r="AS815" s="688"/>
      <c r="AT815" s="689"/>
      <c r="AU815" s="689"/>
      <c r="AV815" s="690"/>
      <c r="AW815" s="690"/>
      <c r="AX815" s="690"/>
      <c r="AY815" s="690"/>
      <c r="AZ815" s="690"/>
      <c r="BA815" s="690"/>
      <c r="BB815" s="695"/>
      <c r="BC815" s="695"/>
      <c r="BD815" s="695"/>
      <c r="BE815" s="695"/>
      <c r="BF815" s="692"/>
      <c r="BG815" s="692"/>
      <c r="BH815" s="692"/>
      <c r="BI815" s="692"/>
      <c r="BJ815" s="692"/>
      <c r="BK815" s="692"/>
      <c r="BL815" s="693"/>
      <c r="BM815" s="693"/>
      <c r="BN815" s="688"/>
      <c r="BO815" s="693"/>
      <c r="BP815" s="689"/>
      <c r="BQ815" s="694"/>
      <c r="BR815" s="687"/>
      <c r="BS815" s="687"/>
      <c r="BT815" s="687"/>
      <c r="BU815" s="687"/>
      <c r="BV815" s="687"/>
      <c r="BW815" s="688"/>
      <c r="BX815" s="688"/>
      <c r="BY815" s="689"/>
      <c r="BZ815" s="690"/>
      <c r="CA815" s="690"/>
      <c r="CB815" s="690"/>
      <c r="CC815" s="691"/>
      <c r="CD815" s="691"/>
      <c r="CE815" s="692"/>
      <c r="CF815" s="692"/>
      <c r="CG815" s="692"/>
      <c r="CH815" s="693"/>
    </row>
    <row r="816">
      <c r="B816" s="687"/>
      <c r="C816" s="687"/>
      <c r="D816" s="688"/>
      <c r="E816" s="689"/>
      <c r="F816" s="690"/>
      <c r="G816" s="690"/>
      <c r="H816" s="690"/>
      <c r="I816" s="691"/>
      <c r="J816" s="691"/>
      <c r="K816" s="691"/>
      <c r="L816" s="692"/>
      <c r="M816" s="692"/>
      <c r="N816" s="692"/>
      <c r="O816" s="693"/>
      <c r="P816" s="688"/>
      <c r="Q816" s="688"/>
      <c r="R816" s="688"/>
      <c r="S816" s="688"/>
      <c r="T816" s="689"/>
      <c r="U816" s="689"/>
      <c r="V816" s="694"/>
      <c r="W816" s="694"/>
      <c r="X816" s="694"/>
      <c r="Y816" s="694"/>
      <c r="Z816" s="693"/>
      <c r="AA816" s="693"/>
      <c r="AB816" s="693"/>
      <c r="AC816" s="693"/>
      <c r="AD816" s="688"/>
      <c r="AE816" s="689"/>
      <c r="AF816" s="689"/>
      <c r="AG816" s="690"/>
      <c r="AH816" s="690"/>
      <c r="AI816" s="695"/>
      <c r="AJ816" s="695"/>
      <c r="AK816" s="692"/>
      <c r="AL816" s="692"/>
      <c r="AM816" s="693"/>
      <c r="AN816" s="688"/>
      <c r="AO816" s="688"/>
      <c r="AP816" s="688"/>
      <c r="AQ816" s="688"/>
      <c r="AR816" s="688"/>
      <c r="AS816" s="688"/>
      <c r="AT816" s="689"/>
      <c r="AU816" s="689"/>
      <c r="AV816" s="690"/>
      <c r="AW816" s="690"/>
      <c r="AX816" s="690"/>
      <c r="AY816" s="690"/>
      <c r="AZ816" s="690"/>
      <c r="BA816" s="690"/>
      <c r="BB816" s="695"/>
      <c r="BC816" s="695"/>
      <c r="BD816" s="695"/>
      <c r="BE816" s="695"/>
      <c r="BF816" s="692"/>
      <c r="BG816" s="692"/>
      <c r="BH816" s="692"/>
      <c r="BI816" s="692"/>
      <c r="BJ816" s="692"/>
      <c r="BK816" s="692"/>
      <c r="BL816" s="693"/>
      <c r="BM816" s="693"/>
      <c r="BN816" s="688"/>
      <c r="BO816" s="693"/>
      <c r="BP816" s="689"/>
      <c r="BQ816" s="694"/>
      <c r="BR816" s="687"/>
      <c r="BS816" s="687"/>
      <c r="BT816" s="687"/>
      <c r="BU816" s="687"/>
      <c r="BV816" s="687"/>
      <c r="BW816" s="688"/>
      <c r="BX816" s="688"/>
      <c r="BY816" s="689"/>
      <c r="BZ816" s="690"/>
      <c r="CA816" s="690"/>
      <c r="CB816" s="690"/>
      <c r="CC816" s="691"/>
      <c r="CD816" s="691"/>
      <c r="CE816" s="692"/>
      <c r="CF816" s="692"/>
      <c r="CG816" s="692"/>
      <c r="CH816" s="693"/>
    </row>
    <row r="817">
      <c r="B817" s="687"/>
      <c r="C817" s="687"/>
      <c r="D817" s="688"/>
      <c r="E817" s="689"/>
      <c r="F817" s="690"/>
      <c r="G817" s="690"/>
      <c r="H817" s="690"/>
      <c r="I817" s="691"/>
      <c r="J817" s="691"/>
      <c r="K817" s="691"/>
      <c r="L817" s="692"/>
      <c r="M817" s="692"/>
      <c r="N817" s="692"/>
      <c r="O817" s="693"/>
      <c r="P817" s="688"/>
      <c r="Q817" s="688"/>
      <c r="R817" s="688"/>
      <c r="S817" s="688"/>
      <c r="T817" s="689"/>
      <c r="U817" s="689"/>
      <c r="V817" s="694"/>
      <c r="W817" s="694"/>
      <c r="X817" s="694"/>
      <c r="Y817" s="694"/>
      <c r="Z817" s="693"/>
      <c r="AA817" s="693"/>
      <c r="AB817" s="693"/>
      <c r="AC817" s="693"/>
      <c r="AD817" s="688"/>
      <c r="AE817" s="689"/>
      <c r="AF817" s="689"/>
      <c r="AG817" s="690"/>
      <c r="AH817" s="690"/>
      <c r="AI817" s="695"/>
      <c r="AJ817" s="695"/>
      <c r="AK817" s="692"/>
      <c r="AL817" s="692"/>
      <c r="AM817" s="693"/>
      <c r="AN817" s="688"/>
      <c r="AO817" s="688"/>
      <c r="AP817" s="688"/>
      <c r="AQ817" s="688"/>
      <c r="AR817" s="688"/>
      <c r="AS817" s="688"/>
      <c r="AT817" s="689"/>
      <c r="AU817" s="689"/>
      <c r="AV817" s="690"/>
      <c r="AW817" s="690"/>
      <c r="AX817" s="690"/>
      <c r="AY817" s="690"/>
      <c r="AZ817" s="690"/>
      <c r="BA817" s="690"/>
      <c r="BB817" s="695"/>
      <c r="BC817" s="695"/>
      <c r="BD817" s="695"/>
      <c r="BE817" s="695"/>
      <c r="BF817" s="692"/>
      <c r="BG817" s="692"/>
      <c r="BH817" s="692"/>
      <c r="BI817" s="692"/>
      <c r="BJ817" s="692"/>
      <c r="BK817" s="692"/>
      <c r="BL817" s="693"/>
      <c r="BM817" s="693"/>
      <c r="BN817" s="688"/>
      <c r="BO817" s="693"/>
      <c r="BP817" s="689"/>
      <c r="BQ817" s="694"/>
      <c r="BR817" s="687"/>
      <c r="BS817" s="687"/>
      <c r="BT817" s="687"/>
      <c r="BU817" s="687"/>
      <c r="BV817" s="687"/>
      <c r="BW817" s="688"/>
      <c r="BX817" s="688"/>
      <c r="BY817" s="689"/>
      <c r="BZ817" s="690"/>
      <c r="CA817" s="690"/>
      <c r="CB817" s="690"/>
      <c r="CC817" s="691"/>
      <c r="CD817" s="691"/>
      <c r="CE817" s="692"/>
      <c r="CF817" s="692"/>
      <c r="CG817" s="692"/>
      <c r="CH817" s="693"/>
    </row>
    <row r="818">
      <c r="B818" s="687"/>
      <c r="C818" s="687"/>
      <c r="D818" s="688"/>
      <c r="E818" s="689"/>
      <c r="F818" s="690"/>
      <c r="G818" s="690"/>
      <c r="H818" s="690"/>
      <c r="I818" s="691"/>
      <c r="J818" s="691"/>
      <c r="K818" s="691"/>
      <c r="L818" s="692"/>
      <c r="M818" s="692"/>
      <c r="N818" s="692"/>
      <c r="O818" s="693"/>
      <c r="P818" s="688"/>
      <c r="Q818" s="688"/>
      <c r="R818" s="688"/>
      <c r="S818" s="688"/>
      <c r="T818" s="689"/>
      <c r="U818" s="689"/>
      <c r="V818" s="694"/>
      <c r="W818" s="694"/>
      <c r="X818" s="694"/>
      <c r="Y818" s="694"/>
      <c r="Z818" s="693"/>
      <c r="AA818" s="693"/>
      <c r="AB818" s="693"/>
      <c r="AC818" s="693"/>
      <c r="AD818" s="688"/>
      <c r="AE818" s="689"/>
      <c r="AF818" s="689"/>
      <c r="AG818" s="690"/>
      <c r="AH818" s="690"/>
      <c r="AI818" s="695"/>
      <c r="AJ818" s="695"/>
      <c r="AK818" s="692"/>
      <c r="AL818" s="692"/>
      <c r="AM818" s="693"/>
      <c r="AN818" s="688"/>
      <c r="AO818" s="688"/>
      <c r="AP818" s="688"/>
      <c r="AQ818" s="688"/>
      <c r="AR818" s="688"/>
      <c r="AS818" s="688"/>
      <c r="AT818" s="689"/>
      <c r="AU818" s="689"/>
      <c r="AV818" s="690"/>
      <c r="AW818" s="690"/>
      <c r="AX818" s="690"/>
      <c r="AY818" s="690"/>
      <c r="AZ818" s="690"/>
      <c r="BA818" s="690"/>
      <c r="BB818" s="695"/>
      <c r="BC818" s="695"/>
      <c r="BD818" s="695"/>
      <c r="BE818" s="695"/>
      <c r="BF818" s="692"/>
      <c r="BG818" s="692"/>
      <c r="BH818" s="692"/>
      <c r="BI818" s="692"/>
      <c r="BJ818" s="692"/>
      <c r="BK818" s="692"/>
      <c r="BL818" s="693"/>
      <c r="BM818" s="693"/>
      <c r="BN818" s="688"/>
      <c r="BO818" s="693"/>
      <c r="BP818" s="689"/>
      <c r="BQ818" s="694"/>
      <c r="BR818" s="687"/>
      <c r="BS818" s="687"/>
      <c r="BT818" s="687"/>
      <c r="BU818" s="687"/>
      <c r="BV818" s="687"/>
      <c r="BW818" s="688"/>
      <c r="BX818" s="688"/>
      <c r="BY818" s="689"/>
      <c r="BZ818" s="690"/>
      <c r="CA818" s="690"/>
      <c r="CB818" s="690"/>
      <c r="CC818" s="691"/>
      <c r="CD818" s="691"/>
      <c r="CE818" s="692"/>
      <c r="CF818" s="692"/>
      <c r="CG818" s="692"/>
      <c r="CH818" s="693"/>
    </row>
    <row r="819">
      <c r="B819" s="687"/>
      <c r="C819" s="687"/>
      <c r="D819" s="688"/>
      <c r="E819" s="689"/>
      <c r="F819" s="690"/>
      <c r="G819" s="690"/>
      <c r="H819" s="690"/>
      <c r="I819" s="691"/>
      <c r="J819" s="691"/>
      <c r="K819" s="691"/>
      <c r="L819" s="692"/>
      <c r="M819" s="692"/>
      <c r="N819" s="692"/>
      <c r="O819" s="693"/>
      <c r="P819" s="688"/>
      <c r="Q819" s="688"/>
      <c r="R819" s="688"/>
      <c r="S819" s="688"/>
      <c r="T819" s="689"/>
      <c r="U819" s="689"/>
      <c r="V819" s="694"/>
      <c r="W819" s="694"/>
      <c r="X819" s="694"/>
      <c r="Y819" s="694"/>
      <c r="Z819" s="693"/>
      <c r="AA819" s="693"/>
      <c r="AB819" s="693"/>
      <c r="AC819" s="693"/>
      <c r="AD819" s="688"/>
      <c r="AE819" s="689"/>
      <c r="AF819" s="689"/>
      <c r="AG819" s="690"/>
      <c r="AH819" s="690"/>
      <c r="AI819" s="695"/>
      <c r="AJ819" s="695"/>
      <c r="AK819" s="692"/>
      <c r="AL819" s="692"/>
      <c r="AM819" s="693"/>
      <c r="AN819" s="688"/>
      <c r="AO819" s="688"/>
      <c r="AP819" s="688"/>
      <c r="AQ819" s="688"/>
      <c r="AR819" s="688"/>
      <c r="AS819" s="688"/>
      <c r="AT819" s="689"/>
      <c r="AU819" s="689"/>
      <c r="AV819" s="690"/>
      <c r="AW819" s="690"/>
      <c r="AX819" s="690"/>
      <c r="AY819" s="690"/>
      <c r="AZ819" s="690"/>
      <c r="BA819" s="690"/>
      <c r="BB819" s="695"/>
      <c r="BC819" s="695"/>
      <c r="BD819" s="695"/>
      <c r="BE819" s="695"/>
      <c r="BF819" s="692"/>
      <c r="BG819" s="692"/>
      <c r="BH819" s="692"/>
      <c r="BI819" s="692"/>
      <c r="BJ819" s="692"/>
      <c r="BK819" s="692"/>
      <c r="BL819" s="693"/>
      <c r="BM819" s="693"/>
      <c r="BN819" s="688"/>
      <c r="BO819" s="693"/>
      <c r="BP819" s="689"/>
      <c r="BQ819" s="694"/>
      <c r="BR819" s="687"/>
      <c r="BS819" s="687"/>
      <c r="BT819" s="687"/>
      <c r="BU819" s="687"/>
      <c r="BV819" s="687"/>
      <c r="BW819" s="688"/>
      <c r="BX819" s="688"/>
      <c r="BY819" s="689"/>
      <c r="BZ819" s="690"/>
      <c r="CA819" s="690"/>
      <c r="CB819" s="690"/>
      <c r="CC819" s="691"/>
      <c r="CD819" s="691"/>
      <c r="CE819" s="692"/>
      <c r="CF819" s="692"/>
      <c r="CG819" s="692"/>
      <c r="CH819" s="693"/>
    </row>
    <row r="820">
      <c r="B820" s="687"/>
      <c r="C820" s="687"/>
      <c r="D820" s="688"/>
      <c r="E820" s="689"/>
      <c r="F820" s="690"/>
      <c r="G820" s="690"/>
      <c r="H820" s="690"/>
      <c r="I820" s="691"/>
      <c r="J820" s="691"/>
      <c r="K820" s="691"/>
      <c r="L820" s="692"/>
      <c r="M820" s="692"/>
      <c r="N820" s="692"/>
      <c r="O820" s="693"/>
      <c r="P820" s="688"/>
      <c r="Q820" s="688"/>
      <c r="R820" s="688"/>
      <c r="S820" s="688"/>
      <c r="T820" s="689"/>
      <c r="U820" s="689"/>
      <c r="V820" s="694"/>
      <c r="W820" s="694"/>
      <c r="X820" s="694"/>
      <c r="Y820" s="694"/>
      <c r="Z820" s="693"/>
      <c r="AA820" s="693"/>
      <c r="AB820" s="693"/>
      <c r="AC820" s="693"/>
      <c r="AD820" s="688"/>
      <c r="AE820" s="689"/>
      <c r="AF820" s="689"/>
      <c r="AG820" s="690"/>
      <c r="AH820" s="690"/>
      <c r="AI820" s="695"/>
      <c r="AJ820" s="695"/>
      <c r="AK820" s="692"/>
      <c r="AL820" s="692"/>
      <c r="AM820" s="693"/>
      <c r="AN820" s="688"/>
      <c r="AO820" s="688"/>
      <c r="AP820" s="688"/>
      <c r="AQ820" s="688"/>
      <c r="AR820" s="688"/>
      <c r="AS820" s="688"/>
      <c r="AT820" s="689"/>
      <c r="AU820" s="689"/>
      <c r="AV820" s="690"/>
      <c r="AW820" s="690"/>
      <c r="AX820" s="690"/>
      <c r="AY820" s="690"/>
      <c r="AZ820" s="690"/>
      <c r="BA820" s="690"/>
      <c r="BB820" s="695"/>
      <c r="BC820" s="695"/>
      <c r="BD820" s="695"/>
      <c r="BE820" s="695"/>
      <c r="BF820" s="692"/>
      <c r="BG820" s="692"/>
      <c r="BH820" s="692"/>
      <c r="BI820" s="692"/>
      <c r="BJ820" s="692"/>
      <c r="BK820" s="692"/>
      <c r="BL820" s="693"/>
      <c r="BM820" s="693"/>
      <c r="BN820" s="688"/>
      <c r="BO820" s="693"/>
      <c r="BP820" s="689"/>
      <c r="BQ820" s="694"/>
      <c r="BR820" s="687"/>
      <c r="BS820" s="687"/>
      <c r="BT820" s="687"/>
      <c r="BU820" s="687"/>
      <c r="BV820" s="687"/>
      <c r="BW820" s="688"/>
      <c r="BX820" s="688"/>
      <c r="BY820" s="689"/>
      <c r="BZ820" s="690"/>
      <c r="CA820" s="690"/>
      <c r="CB820" s="690"/>
      <c r="CC820" s="691"/>
      <c r="CD820" s="691"/>
      <c r="CE820" s="692"/>
      <c r="CF820" s="692"/>
      <c r="CG820" s="692"/>
      <c r="CH820" s="693"/>
    </row>
    <row r="821">
      <c r="B821" s="687"/>
      <c r="C821" s="687"/>
      <c r="D821" s="688"/>
      <c r="E821" s="689"/>
      <c r="F821" s="690"/>
      <c r="G821" s="690"/>
      <c r="H821" s="690"/>
      <c r="I821" s="691"/>
      <c r="J821" s="691"/>
      <c r="K821" s="691"/>
      <c r="L821" s="692"/>
      <c r="M821" s="692"/>
      <c r="N821" s="692"/>
      <c r="O821" s="693"/>
      <c r="P821" s="688"/>
      <c r="Q821" s="688"/>
      <c r="R821" s="688"/>
      <c r="S821" s="688"/>
      <c r="T821" s="689"/>
      <c r="U821" s="689"/>
      <c r="V821" s="694"/>
      <c r="W821" s="694"/>
      <c r="X821" s="694"/>
      <c r="Y821" s="694"/>
      <c r="Z821" s="693"/>
      <c r="AA821" s="693"/>
      <c r="AB821" s="693"/>
      <c r="AC821" s="693"/>
      <c r="AD821" s="688"/>
      <c r="AE821" s="689"/>
      <c r="AF821" s="689"/>
      <c r="AG821" s="690"/>
      <c r="AH821" s="690"/>
      <c r="AI821" s="695"/>
      <c r="AJ821" s="695"/>
      <c r="AK821" s="692"/>
      <c r="AL821" s="692"/>
      <c r="AM821" s="693"/>
      <c r="AN821" s="688"/>
      <c r="AO821" s="688"/>
      <c r="AP821" s="688"/>
      <c r="AQ821" s="688"/>
      <c r="AR821" s="688"/>
      <c r="AS821" s="688"/>
      <c r="AT821" s="689"/>
      <c r="AU821" s="689"/>
      <c r="AV821" s="690"/>
      <c r="AW821" s="690"/>
      <c r="AX821" s="690"/>
      <c r="AY821" s="690"/>
      <c r="AZ821" s="690"/>
      <c r="BA821" s="690"/>
      <c r="BB821" s="695"/>
      <c r="BC821" s="695"/>
      <c r="BD821" s="695"/>
      <c r="BE821" s="695"/>
      <c r="BF821" s="692"/>
      <c r="BG821" s="692"/>
      <c r="BH821" s="692"/>
      <c r="BI821" s="692"/>
      <c r="BJ821" s="692"/>
      <c r="BK821" s="692"/>
      <c r="BL821" s="693"/>
      <c r="BM821" s="693"/>
      <c r="BN821" s="688"/>
      <c r="BO821" s="693"/>
      <c r="BP821" s="689"/>
      <c r="BQ821" s="694"/>
      <c r="BR821" s="687"/>
      <c r="BS821" s="687"/>
      <c r="BT821" s="687"/>
      <c r="BU821" s="687"/>
      <c r="BV821" s="687"/>
      <c r="BW821" s="688"/>
      <c r="BX821" s="688"/>
      <c r="BY821" s="689"/>
      <c r="BZ821" s="690"/>
      <c r="CA821" s="690"/>
      <c r="CB821" s="690"/>
      <c r="CC821" s="691"/>
      <c r="CD821" s="691"/>
      <c r="CE821" s="692"/>
      <c r="CF821" s="692"/>
      <c r="CG821" s="692"/>
      <c r="CH821" s="693"/>
    </row>
    <row r="822">
      <c r="B822" s="687"/>
      <c r="C822" s="687"/>
      <c r="D822" s="688"/>
      <c r="E822" s="689"/>
      <c r="F822" s="690"/>
      <c r="G822" s="690"/>
      <c r="H822" s="690"/>
      <c r="I822" s="691"/>
      <c r="J822" s="691"/>
      <c r="K822" s="691"/>
      <c r="L822" s="692"/>
      <c r="M822" s="692"/>
      <c r="N822" s="692"/>
      <c r="O822" s="693"/>
      <c r="P822" s="688"/>
      <c r="Q822" s="688"/>
      <c r="R822" s="688"/>
      <c r="S822" s="688"/>
      <c r="T822" s="689"/>
      <c r="U822" s="689"/>
      <c r="V822" s="694"/>
      <c r="W822" s="694"/>
      <c r="X822" s="694"/>
      <c r="Y822" s="694"/>
      <c r="Z822" s="693"/>
      <c r="AA822" s="693"/>
      <c r="AB822" s="693"/>
      <c r="AC822" s="693"/>
      <c r="AD822" s="688"/>
      <c r="AE822" s="689"/>
      <c r="AF822" s="689"/>
      <c r="AG822" s="690"/>
      <c r="AH822" s="690"/>
      <c r="AI822" s="695"/>
      <c r="AJ822" s="695"/>
      <c r="AK822" s="692"/>
      <c r="AL822" s="692"/>
      <c r="AM822" s="693"/>
      <c r="AN822" s="688"/>
      <c r="AO822" s="688"/>
      <c r="AP822" s="688"/>
      <c r="AQ822" s="688"/>
      <c r="AR822" s="688"/>
      <c r="AS822" s="688"/>
      <c r="AT822" s="689"/>
      <c r="AU822" s="689"/>
      <c r="AV822" s="690"/>
      <c r="AW822" s="690"/>
      <c r="AX822" s="690"/>
      <c r="AY822" s="690"/>
      <c r="AZ822" s="690"/>
      <c r="BA822" s="690"/>
      <c r="BB822" s="695"/>
      <c r="BC822" s="695"/>
      <c r="BD822" s="695"/>
      <c r="BE822" s="695"/>
      <c r="BF822" s="692"/>
      <c r="BG822" s="692"/>
      <c r="BH822" s="692"/>
      <c r="BI822" s="692"/>
      <c r="BJ822" s="692"/>
      <c r="BK822" s="692"/>
      <c r="BL822" s="693"/>
      <c r="BM822" s="693"/>
      <c r="BN822" s="688"/>
      <c r="BO822" s="693"/>
      <c r="BP822" s="689"/>
      <c r="BQ822" s="694"/>
      <c r="BR822" s="687"/>
      <c r="BS822" s="687"/>
      <c r="BT822" s="687"/>
      <c r="BU822" s="687"/>
      <c r="BV822" s="687"/>
      <c r="BW822" s="688"/>
      <c r="BX822" s="688"/>
      <c r="BY822" s="689"/>
      <c r="BZ822" s="690"/>
      <c r="CA822" s="690"/>
      <c r="CB822" s="690"/>
      <c r="CC822" s="691"/>
      <c r="CD822" s="691"/>
      <c r="CE822" s="692"/>
      <c r="CF822" s="692"/>
      <c r="CG822" s="692"/>
      <c r="CH822" s="693"/>
    </row>
    <row r="823">
      <c r="B823" s="687"/>
      <c r="C823" s="687"/>
      <c r="D823" s="688"/>
      <c r="E823" s="689"/>
      <c r="F823" s="690"/>
      <c r="G823" s="690"/>
      <c r="H823" s="690"/>
      <c r="I823" s="691"/>
      <c r="J823" s="691"/>
      <c r="K823" s="691"/>
      <c r="L823" s="692"/>
      <c r="M823" s="692"/>
      <c r="N823" s="692"/>
      <c r="O823" s="693"/>
      <c r="P823" s="688"/>
      <c r="Q823" s="688"/>
      <c r="R823" s="688"/>
      <c r="S823" s="688"/>
      <c r="T823" s="689"/>
      <c r="U823" s="689"/>
      <c r="V823" s="694"/>
      <c r="W823" s="694"/>
      <c r="X823" s="694"/>
      <c r="Y823" s="694"/>
      <c r="Z823" s="693"/>
      <c r="AA823" s="693"/>
      <c r="AB823" s="693"/>
      <c r="AC823" s="693"/>
      <c r="AD823" s="688"/>
      <c r="AE823" s="689"/>
      <c r="AF823" s="689"/>
      <c r="AG823" s="690"/>
      <c r="AH823" s="690"/>
      <c r="AI823" s="695"/>
      <c r="AJ823" s="695"/>
      <c r="AK823" s="692"/>
      <c r="AL823" s="692"/>
      <c r="AM823" s="693"/>
      <c r="AN823" s="688"/>
      <c r="AO823" s="688"/>
      <c r="AP823" s="688"/>
      <c r="AQ823" s="688"/>
      <c r="AR823" s="688"/>
      <c r="AS823" s="688"/>
      <c r="AT823" s="689"/>
      <c r="AU823" s="689"/>
      <c r="AV823" s="690"/>
      <c r="AW823" s="690"/>
      <c r="AX823" s="690"/>
      <c r="AY823" s="690"/>
      <c r="AZ823" s="690"/>
      <c r="BA823" s="690"/>
      <c r="BB823" s="695"/>
      <c r="BC823" s="695"/>
      <c r="BD823" s="695"/>
      <c r="BE823" s="695"/>
      <c r="BF823" s="692"/>
      <c r="BG823" s="692"/>
      <c r="BH823" s="692"/>
      <c r="BI823" s="692"/>
      <c r="BJ823" s="692"/>
      <c r="BK823" s="692"/>
      <c r="BL823" s="693"/>
      <c r="BM823" s="693"/>
      <c r="BN823" s="688"/>
      <c r="BO823" s="693"/>
      <c r="BP823" s="689"/>
      <c r="BQ823" s="694"/>
      <c r="BR823" s="687"/>
      <c r="BS823" s="687"/>
      <c r="BT823" s="687"/>
      <c r="BU823" s="687"/>
      <c r="BV823" s="687"/>
      <c r="BW823" s="688"/>
      <c r="BX823" s="688"/>
      <c r="BY823" s="689"/>
      <c r="BZ823" s="690"/>
      <c r="CA823" s="690"/>
      <c r="CB823" s="690"/>
      <c r="CC823" s="691"/>
      <c r="CD823" s="691"/>
      <c r="CE823" s="692"/>
      <c r="CF823" s="692"/>
      <c r="CG823" s="692"/>
      <c r="CH823" s="693"/>
    </row>
    <row r="824">
      <c r="B824" s="687"/>
      <c r="C824" s="687"/>
      <c r="D824" s="688"/>
      <c r="E824" s="689"/>
      <c r="F824" s="690"/>
      <c r="G824" s="690"/>
      <c r="H824" s="690"/>
      <c r="I824" s="691"/>
      <c r="J824" s="691"/>
      <c r="K824" s="691"/>
      <c r="L824" s="692"/>
      <c r="M824" s="692"/>
      <c r="N824" s="692"/>
      <c r="O824" s="693"/>
      <c r="P824" s="688"/>
      <c r="Q824" s="688"/>
      <c r="R824" s="688"/>
      <c r="S824" s="688"/>
      <c r="T824" s="689"/>
      <c r="U824" s="689"/>
      <c r="V824" s="694"/>
      <c r="W824" s="694"/>
      <c r="X824" s="694"/>
      <c r="Y824" s="694"/>
      <c r="Z824" s="693"/>
      <c r="AA824" s="693"/>
      <c r="AB824" s="693"/>
      <c r="AC824" s="693"/>
      <c r="AD824" s="688"/>
      <c r="AE824" s="689"/>
      <c r="AF824" s="689"/>
      <c r="AG824" s="690"/>
      <c r="AH824" s="690"/>
      <c r="AI824" s="695"/>
      <c r="AJ824" s="695"/>
      <c r="AK824" s="692"/>
      <c r="AL824" s="692"/>
      <c r="AM824" s="693"/>
      <c r="AN824" s="688"/>
      <c r="AO824" s="688"/>
      <c r="AP824" s="688"/>
      <c r="AQ824" s="688"/>
      <c r="AR824" s="688"/>
      <c r="AS824" s="688"/>
      <c r="AT824" s="689"/>
      <c r="AU824" s="689"/>
      <c r="AV824" s="690"/>
      <c r="AW824" s="690"/>
      <c r="AX824" s="690"/>
      <c r="AY824" s="690"/>
      <c r="AZ824" s="690"/>
      <c r="BA824" s="690"/>
      <c r="BB824" s="695"/>
      <c r="BC824" s="695"/>
      <c r="BD824" s="695"/>
      <c r="BE824" s="695"/>
      <c r="BF824" s="692"/>
      <c r="BG824" s="692"/>
      <c r="BH824" s="692"/>
      <c r="BI824" s="692"/>
      <c r="BJ824" s="692"/>
      <c r="BK824" s="692"/>
      <c r="BL824" s="693"/>
      <c r="BM824" s="693"/>
      <c r="BN824" s="688"/>
      <c r="BO824" s="693"/>
      <c r="BP824" s="689"/>
      <c r="BQ824" s="694"/>
      <c r="BR824" s="687"/>
      <c r="BS824" s="687"/>
      <c r="BT824" s="687"/>
      <c r="BU824" s="687"/>
      <c r="BV824" s="687"/>
      <c r="BW824" s="688"/>
      <c r="BX824" s="688"/>
      <c r="BY824" s="689"/>
      <c r="BZ824" s="690"/>
      <c r="CA824" s="690"/>
      <c r="CB824" s="690"/>
      <c r="CC824" s="691"/>
      <c r="CD824" s="691"/>
      <c r="CE824" s="692"/>
      <c r="CF824" s="692"/>
      <c r="CG824" s="692"/>
      <c r="CH824" s="693"/>
    </row>
    <row r="825">
      <c r="B825" s="687"/>
      <c r="C825" s="687"/>
      <c r="D825" s="688"/>
      <c r="E825" s="689"/>
      <c r="F825" s="690"/>
      <c r="G825" s="690"/>
      <c r="H825" s="690"/>
      <c r="I825" s="691"/>
      <c r="J825" s="691"/>
      <c r="K825" s="691"/>
      <c r="L825" s="692"/>
      <c r="M825" s="692"/>
      <c r="N825" s="692"/>
      <c r="O825" s="693"/>
      <c r="P825" s="688"/>
      <c r="Q825" s="688"/>
      <c r="R825" s="688"/>
      <c r="S825" s="688"/>
      <c r="T825" s="689"/>
      <c r="U825" s="689"/>
      <c r="V825" s="694"/>
      <c r="W825" s="694"/>
      <c r="X825" s="694"/>
      <c r="Y825" s="694"/>
      <c r="Z825" s="693"/>
      <c r="AA825" s="693"/>
      <c r="AB825" s="693"/>
      <c r="AC825" s="693"/>
      <c r="AD825" s="688"/>
      <c r="AE825" s="689"/>
      <c r="AF825" s="689"/>
      <c r="AG825" s="690"/>
      <c r="AH825" s="690"/>
      <c r="AI825" s="695"/>
      <c r="AJ825" s="695"/>
      <c r="AK825" s="692"/>
      <c r="AL825" s="692"/>
      <c r="AM825" s="693"/>
      <c r="AN825" s="688"/>
      <c r="AO825" s="688"/>
      <c r="AP825" s="688"/>
      <c r="AQ825" s="688"/>
      <c r="AR825" s="688"/>
      <c r="AS825" s="688"/>
      <c r="AT825" s="689"/>
      <c r="AU825" s="689"/>
      <c r="AV825" s="690"/>
      <c r="AW825" s="690"/>
      <c r="AX825" s="690"/>
      <c r="AY825" s="690"/>
      <c r="AZ825" s="690"/>
      <c r="BA825" s="690"/>
      <c r="BB825" s="695"/>
      <c r="BC825" s="695"/>
      <c r="BD825" s="695"/>
      <c r="BE825" s="695"/>
      <c r="BF825" s="692"/>
      <c r="BG825" s="692"/>
      <c r="BH825" s="692"/>
      <c r="BI825" s="692"/>
      <c r="BJ825" s="692"/>
      <c r="BK825" s="692"/>
      <c r="BL825" s="693"/>
      <c r="BM825" s="693"/>
      <c r="BN825" s="688"/>
      <c r="BO825" s="693"/>
      <c r="BP825" s="689"/>
      <c r="BQ825" s="694"/>
      <c r="BR825" s="687"/>
      <c r="BS825" s="687"/>
      <c r="BT825" s="687"/>
      <c r="BU825" s="687"/>
      <c r="BV825" s="687"/>
      <c r="BW825" s="688"/>
      <c r="BX825" s="688"/>
      <c r="BY825" s="689"/>
      <c r="BZ825" s="690"/>
      <c r="CA825" s="690"/>
      <c r="CB825" s="690"/>
      <c r="CC825" s="691"/>
      <c r="CD825" s="691"/>
      <c r="CE825" s="692"/>
      <c r="CF825" s="692"/>
      <c r="CG825" s="692"/>
      <c r="CH825" s="693"/>
    </row>
    <row r="826">
      <c r="B826" s="687"/>
      <c r="C826" s="687"/>
      <c r="D826" s="688"/>
      <c r="E826" s="689"/>
      <c r="F826" s="690"/>
      <c r="G826" s="690"/>
      <c r="H826" s="690"/>
      <c r="I826" s="691"/>
      <c r="J826" s="691"/>
      <c r="K826" s="691"/>
      <c r="L826" s="692"/>
      <c r="M826" s="692"/>
      <c r="N826" s="692"/>
      <c r="O826" s="693"/>
      <c r="P826" s="688"/>
      <c r="Q826" s="688"/>
      <c r="R826" s="688"/>
      <c r="S826" s="688"/>
      <c r="T826" s="689"/>
      <c r="U826" s="689"/>
      <c r="V826" s="694"/>
      <c r="W826" s="694"/>
      <c r="X826" s="694"/>
      <c r="Y826" s="694"/>
      <c r="Z826" s="693"/>
      <c r="AA826" s="693"/>
      <c r="AB826" s="693"/>
      <c r="AC826" s="693"/>
      <c r="AD826" s="688"/>
      <c r="AE826" s="689"/>
      <c r="AF826" s="689"/>
      <c r="AG826" s="690"/>
      <c r="AH826" s="690"/>
      <c r="AI826" s="695"/>
      <c r="AJ826" s="695"/>
      <c r="AK826" s="692"/>
      <c r="AL826" s="692"/>
      <c r="AM826" s="693"/>
      <c r="AN826" s="688"/>
      <c r="AO826" s="688"/>
      <c r="AP826" s="688"/>
      <c r="AQ826" s="688"/>
      <c r="AR826" s="688"/>
      <c r="AS826" s="688"/>
      <c r="AT826" s="689"/>
      <c r="AU826" s="689"/>
      <c r="AV826" s="690"/>
      <c r="AW826" s="690"/>
      <c r="AX826" s="690"/>
      <c r="AY826" s="690"/>
      <c r="AZ826" s="690"/>
      <c r="BA826" s="690"/>
      <c r="BB826" s="695"/>
      <c r="BC826" s="695"/>
      <c r="BD826" s="695"/>
      <c r="BE826" s="695"/>
      <c r="BF826" s="692"/>
      <c r="BG826" s="692"/>
      <c r="BH826" s="692"/>
      <c r="BI826" s="692"/>
      <c r="BJ826" s="692"/>
      <c r="BK826" s="692"/>
      <c r="BL826" s="693"/>
      <c r="BM826" s="693"/>
      <c r="BN826" s="688"/>
      <c r="BO826" s="693"/>
      <c r="BP826" s="689"/>
      <c r="BQ826" s="694"/>
      <c r="BR826" s="687"/>
      <c r="BS826" s="687"/>
      <c r="BT826" s="687"/>
      <c r="BU826" s="687"/>
      <c r="BV826" s="687"/>
      <c r="BW826" s="688"/>
      <c r="BX826" s="688"/>
      <c r="BY826" s="689"/>
      <c r="BZ826" s="690"/>
      <c r="CA826" s="690"/>
      <c r="CB826" s="690"/>
      <c r="CC826" s="691"/>
      <c r="CD826" s="691"/>
      <c r="CE826" s="692"/>
      <c r="CF826" s="692"/>
      <c r="CG826" s="692"/>
      <c r="CH826" s="693"/>
    </row>
    <row r="827">
      <c r="B827" s="687"/>
      <c r="C827" s="687"/>
      <c r="D827" s="688"/>
      <c r="E827" s="689"/>
      <c r="F827" s="690"/>
      <c r="G827" s="690"/>
      <c r="H827" s="690"/>
      <c r="I827" s="691"/>
      <c r="J827" s="691"/>
      <c r="K827" s="691"/>
      <c r="L827" s="692"/>
      <c r="M827" s="692"/>
      <c r="N827" s="692"/>
      <c r="O827" s="693"/>
      <c r="P827" s="688"/>
      <c r="Q827" s="688"/>
      <c r="R827" s="688"/>
      <c r="S827" s="688"/>
      <c r="T827" s="689"/>
      <c r="U827" s="689"/>
      <c r="V827" s="694"/>
      <c r="W827" s="694"/>
      <c r="X827" s="694"/>
      <c r="Y827" s="694"/>
      <c r="Z827" s="693"/>
      <c r="AA827" s="693"/>
      <c r="AB827" s="693"/>
      <c r="AC827" s="693"/>
      <c r="AD827" s="688"/>
      <c r="AE827" s="689"/>
      <c r="AF827" s="689"/>
      <c r="AG827" s="690"/>
      <c r="AH827" s="690"/>
      <c r="AI827" s="695"/>
      <c r="AJ827" s="695"/>
      <c r="AK827" s="692"/>
      <c r="AL827" s="692"/>
      <c r="AM827" s="693"/>
      <c r="AN827" s="688"/>
      <c r="AO827" s="688"/>
      <c r="AP827" s="688"/>
      <c r="AQ827" s="688"/>
      <c r="AR827" s="688"/>
      <c r="AS827" s="688"/>
      <c r="AT827" s="689"/>
      <c r="AU827" s="689"/>
      <c r="AV827" s="690"/>
      <c r="AW827" s="690"/>
      <c r="AX827" s="690"/>
      <c r="AY827" s="690"/>
      <c r="AZ827" s="690"/>
      <c r="BA827" s="690"/>
      <c r="BB827" s="695"/>
      <c r="BC827" s="695"/>
      <c r="BD827" s="695"/>
      <c r="BE827" s="695"/>
      <c r="BF827" s="692"/>
      <c r="BG827" s="692"/>
      <c r="BH827" s="692"/>
      <c r="BI827" s="692"/>
      <c r="BJ827" s="692"/>
      <c r="BK827" s="692"/>
      <c r="BL827" s="693"/>
      <c r="BM827" s="693"/>
      <c r="BN827" s="688"/>
      <c r="BO827" s="693"/>
      <c r="BP827" s="689"/>
      <c r="BQ827" s="694"/>
      <c r="BR827" s="687"/>
      <c r="BS827" s="687"/>
      <c r="BT827" s="687"/>
      <c r="BU827" s="687"/>
      <c r="BV827" s="687"/>
      <c r="BW827" s="688"/>
      <c r="BX827" s="688"/>
      <c r="BY827" s="689"/>
      <c r="BZ827" s="690"/>
      <c r="CA827" s="690"/>
      <c r="CB827" s="690"/>
      <c r="CC827" s="691"/>
      <c r="CD827" s="691"/>
      <c r="CE827" s="692"/>
      <c r="CF827" s="692"/>
      <c r="CG827" s="692"/>
      <c r="CH827" s="693"/>
    </row>
    <row r="828">
      <c r="B828" s="687"/>
      <c r="C828" s="687"/>
      <c r="D828" s="688"/>
      <c r="E828" s="689"/>
      <c r="F828" s="690"/>
      <c r="G828" s="690"/>
      <c r="H828" s="690"/>
      <c r="I828" s="691"/>
      <c r="J828" s="691"/>
      <c r="K828" s="691"/>
      <c r="L828" s="692"/>
      <c r="M828" s="692"/>
      <c r="N828" s="692"/>
      <c r="O828" s="693"/>
      <c r="P828" s="688"/>
      <c r="Q828" s="688"/>
      <c r="R828" s="688"/>
      <c r="S828" s="688"/>
      <c r="T828" s="689"/>
      <c r="U828" s="689"/>
      <c r="V828" s="694"/>
      <c r="W828" s="694"/>
      <c r="X828" s="694"/>
      <c r="Y828" s="694"/>
      <c r="Z828" s="693"/>
      <c r="AA828" s="693"/>
      <c r="AB828" s="693"/>
      <c r="AC828" s="693"/>
      <c r="AD828" s="688"/>
      <c r="AE828" s="689"/>
      <c r="AF828" s="689"/>
      <c r="AG828" s="690"/>
      <c r="AH828" s="690"/>
      <c r="AI828" s="695"/>
      <c r="AJ828" s="695"/>
      <c r="AK828" s="692"/>
      <c r="AL828" s="692"/>
      <c r="AM828" s="693"/>
      <c r="AN828" s="688"/>
      <c r="AO828" s="688"/>
      <c r="AP828" s="688"/>
      <c r="AQ828" s="688"/>
      <c r="AR828" s="688"/>
      <c r="AS828" s="688"/>
      <c r="AT828" s="689"/>
      <c r="AU828" s="689"/>
      <c r="AV828" s="690"/>
      <c r="AW828" s="690"/>
      <c r="AX828" s="690"/>
      <c r="AY828" s="690"/>
      <c r="AZ828" s="690"/>
      <c r="BA828" s="690"/>
      <c r="BB828" s="695"/>
      <c r="BC828" s="695"/>
      <c r="BD828" s="695"/>
      <c r="BE828" s="695"/>
      <c r="BF828" s="692"/>
      <c r="BG828" s="692"/>
      <c r="BH828" s="692"/>
      <c r="BI828" s="692"/>
      <c r="BJ828" s="692"/>
      <c r="BK828" s="692"/>
      <c r="BL828" s="693"/>
      <c r="BM828" s="693"/>
      <c r="BN828" s="688"/>
      <c r="BO828" s="693"/>
      <c r="BP828" s="689"/>
      <c r="BQ828" s="694"/>
      <c r="BR828" s="687"/>
      <c r="BS828" s="687"/>
      <c r="BT828" s="687"/>
      <c r="BU828" s="687"/>
      <c r="BV828" s="687"/>
      <c r="BW828" s="688"/>
      <c r="BX828" s="688"/>
      <c r="BY828" s="689"/>
      <c r="BZ828" s="690"/>
      <c r="CA828" s="690"/>
      <c r="CB828" s="690"/>
      <c r="CC828" s="691"/>
      <c r="CD828" s="691"/>
      <c r="CE828" s="692"/>
      <c r="CF828" s="692"/>
      <c r="CG828" s="692"/>
      <c r="CH828" s="693"/>
    </row>
    <row r="829">
      <c r="B829" s="687"/>
      <c r="C829" s="687"/>
      <c r="D829" s="688"/>
      <c r="E829" s="689"/>
      <c r="F829" s="690"/>
      <c r="G829" s="690"/>
      <c r="H829" s="690"/>
      <c r="I829" s="691"/>
      <c r="J829" s="691"/>
      <c r="K829" s="691"/>
      <c r="L829" s="692"/>
      <c r="M829" s="692"/>
      <c r="N829" s="692"/>
      <c r="O829" s="693"/>
      <c r="P829" s="688"/>
      <c r="Q829" s="688"/>
      <c r="R829" s="688"/>
      <c r="S829" s="688"/>
      <c r="T829" s="689"/>
      <c r="U829" s="689"/>
      <c r="V829" s="694"/>
      <c r="W829" s="694"/>
      <c r="X829" s="694"/>
      <c r="Y829" s="694"/>
      <c r="Z829" s="693"/>
      <c r="AA829" s="693"/>
      <c r="AB829" s="693"/>
      <c r="AC829" s="693"/>
      <c r="AD829" s="688"/>
      <c r="AE829" s="689"/>
      <c r="AF829" s="689"/>
      <c r="AG829" s="690"/>
      <c r="AH829" s="690"/>
      <c r="AI829" s="695"/>
      <c r="AJ829" s="695"/>
      <c r="AK829" s="692"/>
      <c r="AL829" s="692"/>
      <c r="AM829" s="693"/>
      <c r="AN829" s="688"/>
      <c r="AO829" s="688"/>
      <c r="AP829" s="688"/>
      <c r="AQ829" s="688"/>
      <c r="AR829" s="688"/>
      <c r="AS829" s="688"/>
      <c r="AT829" s="689"/>
      <c r="AU829" s="689"/>
      <c r="AV829" s="690"/>
      <c r="AW829" s="690"/>
      <c r="AX829" s="690"/>
      <c r="AY829" s="690"/>
      <c r="AZ829" s="690"/>
      <c r="BA829" s="690"/>
      <c r="BB829" s="695"/>
      <c r="BC829" s="695"/>
      <c r="BD829" s="695"/>
      <c r="BE829" s="695"/>
      <c r="BF829" s="692"/>
      <c r="BG829" s="692"/>
      <c r="BH829" s="692"/>
      <c r="BI829" s="692"/>
      <c r="BJ829" s="692"/>
      <c r="BK829" s="692"/>
      <c r="BL829" s="693"/>
      <c r="BM829" s="693"/>
      <c r="BN829" s="688"/>
      <c r="BO829" s="693"/>
      <c r="BP829" s="689"/>
      <c r="BQ829" s="694"/>
      <c r="BR829" s="687"/>
      <c r="BS829" s="687"/>
      <c r="BT829" s="687"/>
      <c r="BU829" s="687"/>
      <c r="BV829" s="687"/>
      <c r="BW829" s="688"/>
      <c r="BX829" s="688"/>
      <c r="BY829" s="689"/>
      <c r="BZ829" s="690"/>
      <c r="CA829" s="690"/>
      <c r="CB829" s="690"/>
      <c r="CC829" s="691"/>
      <c r="CD829" s="691"/>
      <c r="CE829" s="692"/>
      <c r="CF829" s="692"/>
      <c r="CG829" s="692"/>
      <c r="CH829" s="693"/>
    </row>
    <row r="830">
      <c r="B830" s="687"/>
      <c r="C830" s="687"/>
      <c r="D830" s="688"/>
      <c r="E830" s="689"/>
      <c r="F830" s="690"/>
      <c r="G830" s="690"/>
      <c r="H830" s="690"/>
      <c r="I830" s="691"/>
      <c r="J830" s="691"/>
      <c r="K830" s="691"/>
      <c r="L830" s="692"/>
      <c r="M830" s="692"/>
      <c r="N830" s="692"/>
      <c r="O830" s="693"/>
      <c r="P830" s="688"/>
      <c r="Q830" s="688"/>
      <c r="R830" s="688"/>
      <c r="S830" s="688"/>
      <c r="T830" s="689"/>
      <c r="U830" s="689"/>
      <c r="V830" s="694"/>
      <c r="W830" s="694"/>
      <c r="X830" s="694"/>
      <c r="Y830" s="694"/>
      <c r="Z830" s="693"/>
      <c r="AA830" s="693"/>
      <c r="AB830" s="693"/>
      <c r="AC830" s="693"/>
      <c r="AD830" s="688"/>
      <c r="AE830" s="689"/>
      <c r="AF830" s="689"/>
      <c r="AG830" s="690"/>
      <c r="AH830" s="690"/>
      <c r="AI830" s="695"/>
      <c r="AJ830" s="695"/>
      <c r="AK830" s="692"/>
      <c r="AL830" s="692"/>
      <c r="AM830" s="693"/>
      <c r="AN830" s="688"/>
      <c r="AO830" s="688"/>
      <c r="AP830" s="688"/>
      <c r="AQ830" s="688"/>
      <c r="AR830" s="688"/>
      <c r="AS830" s="688"/>
      <c r="AT830" s="689"/>
      <c r="AU830" s="689"/>
      <c r="AV830" s="690"/>
      <c r="AW830" s="690"/>
      <c r="AX830" s="690"/>
      <c r="AY830" s="690"/>
      <c r="AZ830" s="690"/>
      <c r="BA830" s="690"/>
      <c r="BB830" s="695"/>
      <c r="BC830" s="695"/>
      <c r="BD830" s="695"/>
      <c r="BE830" s="695"/>
      <c r="BF830" s="692"/>
      <c r="BG830" s="692"/>
      <c r="BH830" s="692"/>
      <c r="BI830" s="692"/>
      <c r="BJ830" s="692"/>
      <c r="BK830" s="692"/>
      <c r="BL830" s="693"/>
      <c r="BM830" s="693"/>
      <c r="BN830" s="688"/>
      <c r="BO830" s="693"/>
      <c r="BP830" s="689"/>
      <c r="BQ830" s="694"/>
      <c r="BR830" s="687"/>
      <c r="BS830" s="687"/>
      <c r="BT830" s="687"/>
      <c r="BU830" s="687"/>
      <c r="BV830" s="687"/>
      <c r="BW830" s="688"/>
      <c r="BX830" s="688"/>
      <c r="BY830" s="689"/>
      <c r="BZ830" s="690"/>
      <c r="CA830" s="690"/>
      <c r="CB830" s="690"/>
      <c r="CC830" s="691"/>
      <c r="CD830" s="691"/>
      <c r="CE830" s="692"/>
      <c r="CF830" s="692"/>
      <c r="CG830" s="692"/>
      <c r="CH830" s="693"/>
    </row>
    <row r="831">
      <c r="B831" s="687"/>
      <c r="C831" s="687"/>
      <c r="D831" s="688"/>
      <c r="E831" s="689"/>
      <c r="F831" s="690"/>
      <c r="G831" s="690"/>
      <c r="H831" s="690"/>
      <c r="I831" s="691"/>
      <c r="J831" s="691"/>
      <c r="K831" s="691"/>
      <c r="L831" s="692"/>
      <c r="M831" s="692"/>
      <c r="N831" s="692"/>
      <c r="O831" s="693"/>
      <c r="P831" s="688"/>
      <c r="Q831" s="688"/>
      <c r="R831" s="688"/>
      <c r="S831" s="688"/>
      <c r="T831" s="689"/>
      <c r="U831" s="689"/>
      <c r="V831" s="694"/>
      <c r="W831" s="694"/>
      <c r="X831" s="694"/>
      <c r="Y831" s="694"/>
      <c r="Z831" s="693"/>
      <c r="AA831" s="693"/>
      <c r="AB831" s="693"/>
      <c r="AC831" s="693"/>
      <c r="AD831" s="688"/>
      <c r="AE831" s="689"/>
      <c r="AF831" s="689"/>
      <c r="AG831" s="690"/>
      <c r="AH831" s="690"/>
      <c r="AI831" s="695"/>
      <c r="AJ831" s="695"/>
      <c r="AK831" s="692"/>
      <c r="AL831" s="692"/>
      <c r="AM831" s="693"/>
      <c r="AN831" s="688"/>
      <c r="AO831" s="688"/>
      <c r="AP831" s="688"/>
      <c r="AQ831" s="688"/>
      <c r="AR831" s="688"/>
      <c r="AS831" s="688"/>
      <c r="AT831" s="689"/>
      <c r="AU831" s="689"/>
      <c r="AV831" s="690"/>
      <c r="AW831" s="690"/>
      <c r="AX831" s="690"/>
      <c r="AY831" s="690"/>
      <c r="AZ831" s="690"/>
      <c r="BA831" s="690"/>
      <c r="BB831" s="695"/>
      <c r="BC831" s="695"/>
      <c r="BD831" s="695"/>
      <c r="BE831" s="695"/>
      <c r="BF831" s="692"/>
      <c r="BG831" s="692"/>
      <c r="BH831" s="692"/>
      <c r="BI831" s="692"/>
      <c r="BJ831" s="692"/>
      <c r="BK831" s="692"/>
      <c r="BL831" s="693"/>
      <c r="BM831" s="693"/>
      <c r="BN831" s="688"/>
      <c r="BO831" s="693"/>
      <c r="BP831" s="689"/>
      <c r="BQ831" s="694"/>
      <c r="BR831" s="687"/>
      <c r="BS831" s="687"/>
      <c r="BT831" s="687"/>
      <c r="BU831" s="687"/>
      <c r="BV831" s="687"/>
      <c r="BW831" s="688"/>
      <c r="BX831" s="688"/>
      <c r="BY831" s="689"/>
      <c r="BZ831" s="690"/>
      <c r="CA831" s="690"/>
      <c r="CB831" s="690"/>
      <c r="CC831" s="691"/>
      <c r="CD831" s="691"/>
      <c r="CE831" s="692"/>
      <c r="CF831" s="692"/>
      <c r="CG831" s="692"/>
      <c r="CH831" s="693"/>
    </row>
    <row r="832">
      <c r="B832" s="687"/>
      <c r="C832" s="687"/>
      <c r="D832" s="688"/>
      <c r="E832" s="689"/>
      <c r="F832" s="690"/>
      <c r="G832" s="690"/>
      <c r="H832" s="690"/>
      <c r="I832" s="691"/>
      <c r="J832" s="691"/>
      <c r="K832" s="691"/>
      <c r="L832" s="692"/>
      <c r="M832" s="692"/>
      <c r="N832" s="692"/>
      <c r="O832" s="693"/>
      <c r="P832" s="688"/>
      <c r="Q832" s="688"/>
      <c r="R832" s="688"/>
      <c r="S832" s="688"/>
      <c r="T832" s="689"/>
      <c r="U832" s="689"/>
      <c r="V832" s="694"/>
      <c r="W832" s="694"/>
      <c r="X832" s="694"/>
      <c r="Y832" s="694"/>
      <c r="Z832" s="693"/>
      <c r="AA832" s="693"/>
      <c r="AB832" s="693"/>
      <c r="AC832" s="693"/>
      <c r="AD832" s="688"/>
      <c r="AE832" s="689"/>
      <c r="AF832" s="689"/>
      <c r="AG832" s="690"/>
      <c r="AH832" s="690"/>
      <c r="AI832" s="695"/>
      <c r="AJ832" s="695"/>
      <c r="AK832" s="692"/>
      <c r="AL832" s="692"/>
      <c r="AM832" s="693"/>
      <c r="AN832" s="688"/>
      <c r="AO832" s="688"/>
      <c r="AP832" s="688"/>
      <c r="AQ832" s="688"/>
      <c r="AR832" s="688"/>
      <c r="AS832" s="688"/>
      <c r="AT832" s="689"/>
      <c r="AU832" s="689"/>
      <c r="AV832" s="690"/>
      <c r="AW832" s="690"/>
      <c r="AX832" s="690"/>
      <c r="AY832" s="690"/>
      <c r="AZ832" s="690"/>
      <c r="BA832" s="690"/>
      <c r="BB832" s="695"/>
      <c r="BC832" s="695"/>
      <c r="BD832" s="695"/>
      <c r="BE832" s="695"/>
      <c r="BF832" s="692"/>
      <c r="BG832" s="692"/>
      <c r="BH832" s="692"/>
      <c r="BI832" s="692"/>
      <c r="BJ832" s="692"/>
      <c r="BK832" s="692"/>
      <c r="BL832" s="693"/>
      <c r="BM832" s="693"/>
      <c r="BN832" s="688"/>
      <c r="BO832" s="693"/>
      <c r="BP832" s="689"/>
      <c r="BQ832" s="694"/>
      <c r="BR832" s="687"/>
      <c r="BS832" s="687"/>
      <c r="BT832" s="687"/>
      <c r="BU832" s="687"/>
      <c r="BV832" s="687"/>
      <c r="BW832" s="688"/>
      <c r="BX832" s="688"/>
      <c r="BY832" s="689"/>
      <c r="BZ832" s="690"/>
      <c r="CA832" s="690"/>
      <c r="CB832" s="690"/>
      <c r="CC832" s="691"/>
      <c r="CD832" s="691"/>
      <c r="CE832" s="692"/>
      <c r="CF832" s="692"/>
      <c r="CG832" s="692"/>
      <c r="CH832" s="693"/>
    </row>
    <row r="833">
      <c r="B833" s="687"/>
      <c r="C833" s="687"/>
      <c r="D833" s="688"/>
      <c r="E833" s="689"/>
      <c r="F833" s="690"/>
      <c r="G833" s="690"/>
      <c r="H833" s="690"/>
      <c r="I833" s="691"/>
      <c r="J833" s="691"/>
      <c r="K833" s="691"/>
      <c r="L833" s="692"/>
      <c r="M833" s="692"/>
      <c r="N833" s="692"/>
      <c r="O833" s="693"/>
      <c r="P833" s="688"/>
      <c r="Q833" s="688"/>
      <c r="R833" s="688"/>
      <c r="S833" s="688"/>
      <c r="T833" s="689"/>
      <c r="U833" s="689"/>
      <c r="V833" s="694"/>
      <c r="W833" s="694"/>
      <c r="X833" s="694"/>
      <c r="Y833" s="694"/>
      <c r="Z833" s="693"/>
      <c r="AA833" s="693"/>
      <c r="AB833" s="693"/>
      <c r="AC833" s="693"/>
      <c r="AD833" s="688"/>
      <c r="AE833" s="689"/>
      <c r="AF833" s="689"/>
      <c r="AG833" s="690"/>
      <c r="AH833" s="690"/>
      <c r="AI833" s="695"/>
      <c r="AJ833" s="695"/>
      <c r="AK833" s="692"/>
      <c r="AL833" s="692"/>
      <c r="AM833" s="693"/>
      <c r="AN833" s="688"/>
      <c r="AO833" s="688"/>
      <c r="AP833" s="688"/>
      <c r="AQ833" s="688"/>
      <c r="AR833" s="688"/>
      <c r="AS833" s="688"/>
      <c r="AT833" s="689"/>
      <c r="AU833" s="689"/>
      <c r="AV833" s="690"/>
      <c r="AW833" s="690"/>
      <c r="AX833" s="690"/>
      <c r="AY833" s="690"/>
      <c r="AZ833" s="690"/>
      <c r="BA833" s="690"/>
      <c r="BB833" s="695"/>
      <c r="BC833" s="695"/>
      <c r="BD833" s="695"/>
      <c r="BE833" s="695"/>
      <c r="BF833" s="692"/>
      <c r="BG833" s="692"/>
      <c r="BH833" s="692"/>
      <c r="BI833" s="692"/>
      <c r="BJ833" s="692"/>
      <c r="BK833" s="692"/>
      <c r="BL833" s="693"/>
      <c r="BM833" s="693"/>
      <c r="BN833" s="688"/>
      <c r="BO833" s="693"/>
      <c r="BP833" s="689"/>
      <c r="BQ833" s="694"/>
      <c r="BR833" s="687"/>
      <c r="BS833" s="687"/>
      <c r="BT833" s="687"/>
      <c r="BU833" s="687"/>
      <c r="BV833" s="687"/>
      <c r="BW833" s="688"/>
      <c r="BX833" s="688"/>
      <c r="BY833" s="689"/>
      <c r="BZ833" s="690"/>
      <c r="CA833" s="690"/>
      <c r="CB833" s="690"/>
      <c r="CC833" s="691"/>
      <c r="CD833" s="691"/>
      <c r="CE833" s="692"/>
      <c r="CF833" s="692"/>
      <c r="CG833" s="692"/>
      <c r="CH833" s="693"/>
    </row>
    <row r="834">
      <c r="B834" s="687"/>
      <c r="C834" s="687"/>
      <c r="D834" s="688"/>
      <c r="E834" s="689"/>
      <c r="F834" s="690"/>
      <c r="G834" s="690"/>
      <c r="H834" s="690"/>
      <c r="I834" s="691"/>
      <c r="J834" s="691"/>
      <c r="K834" s="691"/>
      <c r="L834" s="692"/>
      <c r="M834" s="692"/>
      <c r="N834" s="692"/>
      <c r="O834" s="693"/>
      <c r="P834" s="688"/>
      <c r="Q834" s="688"/>
      <c r="R834" s="688"/>
      <c r="S834" s="688"/>
      <c r="T834" s="689"/>
      <c r="U834" s="689"/>
      <c r="V834" s="694"/>
      <c r="W834" s="694"/>
      <c r="X834" s="694"/>
      <c r="Y834" s="694"/>
      <c r="Z834" s="693"/>
      <c r="AA834" s="693"/>
      <c r="AB834" s="693"/>
      <c r="AC834" s="693"/>
      <c r="AD834" s="688"/>
      <c r="AE834" s="689"/>
      <c r="AF834" s="689"/>
      <c r="AG834" s="690"/>
      <c r="AH834" s="690"/>
      <c r="AI834" s="695"/>
      <c r="AJ834" s="695"/>
      <c r="AK834" s="692"/>
      <c r="AL834" s="692"/>
      <c r="AM834" s="693"/>
      <c r="AN834" s="688"/>
      <c r="AO834" s="688"/>
      <c r="AP834" s="688"/>
      <c r="AQ834" s="688"/>
      <c r="AR834" s="688"/>
      <c r="AS834" s="688"/>
      <c r="AT834" s="689"/>
      <c r="AU834" s="689"/>
      <c r="AV834" s="690"/>
      <c r="AW834" s="690"/>
      <c r="AX834" s="690"/>
      <c r="AY834" s="690"/>
      <c r="AZ834" s="690"/>
      <c r="BA834" s="690"/>
      <c r="BB834" s="695"/>
      <c r="BC834" s="695"/>
      <c r="BD834" s="695"/>
      <c r="BE834" s="695"/>
      <c r="BF834" s="692"/>
      <c r="BG834" s="692"/>
      <c r="BH834" s="692"/>
      <c r="BI834" s="692"/>
      <c r="BJ834" s="692"/>
      <c r="BK834" s="692"/>
      <c r="BL834" s="693"/>
      <c r="BM834" s="693"/>
      <c r="BN834" s="688"/>
      <c r="BO834" s="693"/>
      <c r="BP834" s="689"/>
      <c r="BQ834" s="694"/>
      <c r="BR834" s="687"/>
      <c r="BS834" s="687"/>
      <c r="BT834" s="687"/>
      <c r="BU834" s="687"/>
      <c r="BV834" s="687"/>
      <c r="BW834" s="688"/>
      <c r="BX834" s="688"/>
      <c r="BY834" s="689"/>
      <c r="BZ834" s="690"/>
      <c r="CA834" s="690"/>
      <c r="CB834" s="690"/>
      <c r="CC834" s="691"/>
      <c r="CD834" s="691"/>
      <c r="CE834" s="692"/>
      <c r="CF834" s="692"/>
      <c r="CG834" s="692"/>
      <c r="CH834" s="693"/>
    </row>
    <row r="835">
      <c r="B835" s="687"/>
      <c r="C835" s="687"/>
      <c r="D835" s="688"/>
      <c r="E835" s="689"/>
      <c r="F835" s="690"/>
      <c r="G835" s="690"/>
      <c r="H835" s="690"/>
      <c r="I835" s="691"/>
      <c r="J835" s="691"/>
      <c r="K835" s="691"/>
      <c r="L835" s="692"/>
      <c r="M835" s="692"/>
      <c r="N835" s="692"/>
      <c r="O835" s="693"/>
      <c r="P835" s="688"/>
      <c r="Q835" s="688"/>
      <c r="R835" s="688"/>
      <c r="S835" s="688"/>
      <c r="T835" s="689"/>
      <c r="U835" s="689"/>
      <c r="V835" s="694"/>
      <c r="W835" s="694"/>
      <c r="X835" s="694"/>
      <c r="Y835" s="694"/>
      <c r="Z835" s="693"/>
      <c r="AA835" s="693"/>
      <c r="AB835" s="693"/>
      <c r="AC835" s="693"/>
      <c r="AD835" s="688"/>
      <c r="AE835" s="689"/>
      <c r="AF835" s="689"/>
      <c r="AG835" s="690"/>
      <c r="AH835" s="690"/>
      <c r="AI835" s="695"/>
      <c r="AJ835" s="695"/>
      <c r="AK835" s="692"/>
      <c r="AL835" s="692"/>
      <c r="AM835" s="693"/>
      <c r="AN835" s="688"/>
      <c r="AO835" s="688"/>
      <c r="AP835" s="688"/>
      <c r="AQ835" s="688"/>
      <c r="AR835" s="688"/>
      <c r="AS835" s="688"/>
      <c r="AT835" s="689"/>
      <c r="AU835" s="689"/>
      <c r="AV835" s="690"/>
      <c r="AW835" s="690"/>
      <c r="AX835" s="690"/>
      <c r="AY835" s="690"/>
      <c r="AZ835" s="690"/>
      <c r="BA835" s="690"/>
      <c r="BB835" s="695"/>
      <c r="BC835" s="695"/>
      <c r="BD835" s="695"/>
      <c r="BE835" s="695"/>
      <c r="BF835" s="692"/>
      <c r="BG835" s="692"/>
      <c r="BH835" s="692"/>
      <c r="BI835" s="692"/>
      <c r="BJ835" s="692"/>
      <c r="BK835" s="692"/>
      <c r="BL835" s="693"/>
      <c r="BM835" s="693"/>
      <c r="BN835" s="688"/>
      <c r="BO835" s="693"/>
      <c r="BP835" s="689"/>
      <c r="BQ835" s="694"/>
      <c r="BR835" s="687"/>
      <c r="BS835" s="687"/>
      <c r="BT835" s="687"/>
      <c r="BU835" s="687"/>
      <c r="BV835" s="687"/>
      <c r="BW835" s="688"/>
      <c r="BX835" s="688"/>
      <c r="BY835" s="689"/>
      <c r="BZ835" s="690"/>
      <c r="CA835" s="690"/>
      <c r="CB835" s="690"/>
      <c r="CC835" s="691"/>
      <c r="CD835" s="691"/>
      <c r="CE835" s="692"/>
      <c r="CF835" s="692"/>
      <c r="CG835" s="692"/>
      <c r="CH835" s="693"/>
    </row>
    <row r="836">
      <c r="B836" s="687"/>
      <c r="C836" s="687"/>
      <c r="D836" s="688"/>
      <c r="E836" s="689"/>
      <c r="F836" s="690"/>
      <c r="G836" s="690"/>
      <c r="H836" s="690"/>
      <c r="I836" s="691"/>
      <c r="J836" s="691"/>
      <c r="K836" s="691"/>
      <c r="L836" s="692"/>
      <c r="M836" s="692"/>
      <c r="N836" s="692"/>
      <c r="O836" s="693"/>
      <c r="P836" s="688"/>
      <c r="Q836" s="688"/>
      <c r="R836" s="688"/>
      <c r="S836" s="688"/>
      <c r="T836" s="689"/>
      <c r="U836" s="689"/>
      <c r="V836" s="694"/>
      <c r="W836" s="694"/>
      <c r="X836" s="694"/>
      <c r="Y836" s="694"/>
      <c r="Z836" s="693"/>
      <c r="AA836" s="693"/>
      <c r="AB836" s="693"/>
      <c r="AC836" s="693"/>
      <c r="AD836" s="688"/>
      <c r="AE836" s="689"/>
      <c r="AF836" s="689"/>
      <c r="AG836" s="690"/>
      <c r="AH836" s="690"/>
      <c r="AI836" s="695"/>
      <c r="AJ836" s="695"/>
      <c r="AK836" s="692"/>
      <c r="AL836" s="692"/>
      <c r="AM836" s="693"/>
      <c r="AN836" s="688"/>
      <c r="AO836" s="688"/>
      <c r="AP836" s="688"/>
      <c r="AQ836" s="688"/>
      <c r="AR836" s="688"/>
      <c r="AS836" s="688"/>
      <c r="AT836" s="689"/>
      <c r="AU836" s="689"/>
      <c r="AV836" s="690"/>
      <c r="AW836" s="690"/>
      <c r="AX836" s="690"/>
      <c r="AY836" s="690"/>
      <c r="AZ836" s="690"/>
      <c r="BA836" s="690"/>
      <c r="BB836" s="695"/>
      <c r="BC836" s="695"/>
      <c r="BD836" s="695"/>
      <c r="BE836" s="695"/>
      <c r="BF836" s="692"/>
      <c r="BG836" s="692"/>
      <c r="BH836" s="692"/>
      <c r="BI836" s="692"/>
      <c r="BJ836" s="692"/>
      <c r="BK836" s="692"/>
      <c r="BL836" s="693"/>
      <c r="BM836" s="693"/>
      <c r="BN836" s="688"/>
      <c r="BO836" s="693"/>
      <c r="BP836" s="689"/>
      <c r="BQ836" s="694"/>
      <c r="BR836" s="687"/>
      <c r="BS836" s="687"/>
      <c r="BT836" s="687"/>
      <c r="BU836" s="687"/>
      <c r="BV836" s="687"/>
      <c r="BW836" s="688"/>
      <c r="BX836" s="688"/>
      <c r="BY836" s="689"/>
      <c r="BZ836" s="690"/>
      <c r="CA836" s="690"/>
      <c r="CB836" s="690"/>
      <c r="CC836" s="691"/>
      <c r="CD836" s="691"/>
      <c r="CE836" s="692"/>
      <c r="CF836" s="692"/>
      <c r="CG836" s="692"/>
      <c r="CH836" s="693"/>
    </row>
    <row r="837">
      <c r="B837" s="687"/>
      <c r="C837" s="687"/>
      <c r="D837" s="688"/>
      <c r="E837" s="689"/>
      <c r="F837" s="690"/>
      <c r="G837" s="690"/>
      <c r="H837" s="690"/>
      <c r="I837" s="691"/>
      <c r="J837" s="691"/>
      <c r="K837" s="691"/>
      <c r="L837" s="692"/>
      <c r="M837" s="692"/>
      <c r="N837" s="692"/>
      <c r="O837" s="693"/>
      <c r="P837" s="688"/>
      <c r="Q837" s="688"/>
      <c r="R837" s="688"/>
      <c r="S837" s="688"/>
      <c r="T837" s="689"/>
      <c r="U837" s="689"/>
      <c r="V837" s="694"/>
      <c r="W837" s="694"/>
      <c r="X837" s="694"/>
      <c r="Y837" s="694"/>
      <c r="Z837" s="693"/>
      <c r="AA837" s="693"/>
      <c r="AB837" s="693"/>
      <c r="AC837" s="693"/>
      <c r="AD837" s="688"/>
      <c r="AE837" s="689"/>
      <c r="AF837" s="689"/>
      <c r="AG837" s="690"/>
      <c r="AH837" s="690"/>
      <c r="AI837" s="695"/>
      <c r="AJ837" s="695"/>
      <c r="AK837" s="692"/>
      <c r="AL837" s="692"/>
      <c r="AM837" s="693"/>
      <c r="AN837" s="688"/>
      <c r="AO837" s="688"/>
      <c r="AP837" s="688"/>
      <c r="AQ837" s="688"/>
      <c r="AR837" s="688"/>
      <c r="AS837" s="688"/>
      <c r="AT837" s="689"/>
      <c r="AU837" s="689"/>
      <c r="AV837" s="690"/>
      <c r="AW837" s="690"/>
      <c r="AX837" s="690"/>
      <c r="AY837" s="690"/>
      <c r="AZ837" s="690"/>
      <c r="BA837" s="690"/>
      <c r="BB837" s="695"/>
      <c r="BC837" s="695"/>
      <c r="BD837" s="695"/>
      <c r="BE837" s="695"/>
      <c r="BF837" s="692"/>
      <c r="BG837" s="692"/>
      <c r="BH837" s="692"/>
      <c r="BI837" s="692"/>
      <c r="BJ837" s="692"/>
      <c r="BK837" s="692"/>
      <c r="BL837" s="693"/>
      <c r="BM837" s="693"/>
      <c r="BN837" s="688"/>
      <c r="BO837" s="693"/>
      <c r="BP837" s="689"/>
      <c r="BQ837" s="694"/>
      <c r="BR837" s="687"/>
      <c r="BS837" s="687"/>
      <c r="BT837" s="687"/>
      <c r="BU837" s="687"/>
      <c r="BV837" s="687"/>
      <c r="BW837" s="688"/>
      <c r="BX837" s="688"/>
      <c r="BY837" s="689"/>
      <c r="BZ837" s="690"/>
      <c r="CA837" s="690"/>
      <c r="CB837" s="690"/>
      <c r="CC837" s="691"/>
      <c r="CD837" s="691"/>
      <c r="CE837" s="692"/>
      <c r="CF837" s="692"/>
      <c r="CG837" s="692"/>
      <c r="CH837" s="693"/>
    </row>
    <row r="838">
      <c r="B838" s="687"/>
      <c r="C838" s="687"/>
      <c r="D838" s="688"/>
      <c r="E838" s="689"/>
      <c r="F838" s="690"/>
      <c r="G838" s="690"/>
      <c r="H838" s="690"/>
      <c r="I838" s="691"/>
      <c r="J838" s="691"/>
      <c r="K838" s="691"/>
      <c r="L838" s="692"/>
      <c r="M838" s="692"/>
      <c r="N838" s="692"/>
      <c r="O838" s="693"/>
      <c r="P838" s="688"/>
      <c r="Q838" s="688"/>
      <c r="R838" s="688"/>
      <c r="S838" s="688"/>
      <c r="T838" s="689"/>
      <c r="U838" s="689"/>
      <c r="V838" s="694"/>
      <c r="W838" s="694"/>
      <c r="X838" s="694"/>
      <c r="Y838" s="694"/>
      <c r="Z838" s="693"/>
      <c r="AA838" s="693"/>
      <c r="AB838" s="693"/>
      <c r="AC838" s="693"/>
      <c r="AD838" s="688"/>
      <c r="AE838" s="689"/>
      <c r="AF838" s="689"/>
      <c r="AG838" s="690"/>
      <c r="AH838" s="690"/>
      <c r="AI838" s="695"/>
      <c r="AJ838" s="695"/>
      <c r="AK838" s="692"/>
      <c r="AL838" s="692"/>
      <c r="AM838" s="693"/>
      <c r="AN838" s="688"/>
      <c r="AO838" s="688"/>
      <c r="AP838" s="688"/>
      <c r="AQ838" s="688"/>
      <c r="AR838" s="688"/>
      <c r="AS838" s="688"/>
      <c r="AT838" s="689"/>
      <c r="AU838" s="689"/>
      <c r="AV838" s="690"/>
      <c r="AW838" s="690"/>
      <c r="AX838" s="690"/>
      <c r="AY838" s="690"/>
      <c r="AZ838" s="690"/>
      <c r="BA838" s="690"/>
      <c r="BB838" s="695"/>
      <c r="BC838" s="695"/>
      <c r="BD838" s="695"/>
      <c r="BE838" s="695"/>
      <c r="BF838" s="692"/>
      <c r="BG838" s="692"/>
      <c r="BH838" s="692"/>
      <c r="BI838" s="692"/>
      <c r="BJ838" s="692"/>
      <c r="BK838" s="692"/>
      <c r="BL838" s="693"/>
      <c r="BM838" s="693"/>
      <c r="BN838" s="688"/>
      <c r="BO838" s="693"/>
      <c r="BP838" s="689"/>
      <c r="BQ838" s="694"/>
      <c r="BR838" s="687"/>
      <c r="BS838" s="687"/>
      <c r="BT838" s="687"/>
      <c r="BU838" s="687"/>
      <c r="BV838" s="687"/>
      <c r="BW838" s="688"/>
      <c r="BX838" s="688"/>
      <c r="BY838" s="689"/>
      <c r="BZ838" s="690"/>
      <c r="CA838" s="690"/>
      <c r="CB838" s="690"/>
      <c r="CC838" s="691"/>
      <c r="CD838" s="691"/>
      <c r="CE838" s="692"/>
      <c r="CF838" s="692"/>
      <c r="CG838" s="692"/>
      <c r="CH838" s="693"/>
    </row>
    <row r="839">
      <c r="B839" s="687"/>
      <c r="C839" s="687"/>
      <c r="D839" s="688"/>
      <c r="E839" s="689"/>
      <c r="F839" s="690"/>
      <c r="G839" s="690"/>
      <c r="H839" s="690"/>
      <c r="I839" s="691"/>
      <c r="J839" s="691"/>
      <c r="K839" s="691"/>
      <c r="L839" s="692"/>
      <c r="M839" s="692"/>
      <c r="N839" s="692"/>
      <c r="O839" s="693"/>
      <c r="P839" s="688"/>
      <c r="Q839" s="688"/>
      <c r="R839" s="688"/>
      <c r="S839" s="688"/>
      <c r="T839" s="689"/>
      <c r="U839" s="689"/>
      <c r="V839" s="694"/>
      <c r="W839" s="694"/>
      <c r="X839" s="694"/>
      <c r="Y839" s="694"/>
      <c r="Z839" s="693"/>
      <c r="AA839" s="693"/>
      <c r="AB839" s="693"/>
      <c r="AC839" s="693"/>
      <c r="AD839" s="688"/>
      <c r="AE839" s="689"/>
      <c r="AF839" s="689"/>
      <c r="AG839" s="690"/>
      <c r="AH839" s="690"/>
      <c r="AI839" s="695"/>
      <c r="AJ839" s="695"/>
      <c r="AK839" s="692"/>
      <c r="AL839" s="692"/>
      <c r="AM839" s="693"/>
      <c r="AN839" s="688"/>
      <c r="AO839" s="688"/>
      <c r="AP839" s="688"/>
      <c r="AQ839" s="688"/>
      <c r="AR839" s="688"/>
      <c r="AS839" s="688"/>
      <c r="AT839" s="689"/>
      <c r="AU839" s="689"/>
      <c r="AV839" s="690"/>
      <c r="AW839" s="690"/>
      <c r="AX839" s="690"/>
      <c r="AY839" s="690"/>
      <c r="AZ839" s="690"/>
      <c r="BA839" s="690"/>
      <c r="BB839" s="695"/>
      <c r="BC839" s="695"/>
      <c r="BD839" s="695"/>
      <c r="BE839" s="695"/>
      <c r="BF839" s="692"/>
      <c r="BG839" s="692"/>
      <c r="BH839" s="692"/>
      <c r="BI839" s="692"/>
      <c r="BJ839" s="692"/>
      <c r="BK839" s="692"/>
      <c r="BL839" s="693"/>
      <c r="BM839" s="693"/>
      <c r="BN839" s="688"/>
      <c r="BO839" s="693"/>
      <c r="BP839" s="689"/>
      <c r="BQ839" s="694"/>
      <c r="BR839" s="687"/>
      <c r="BS839" s="687"/>
      <c r="BT839" s="687"/>
      <c r="BU839" s="687"/>
      <c r="BV839" s="687"/>
      <c r="BW839" s="688"/>
      <c r="BX839" s="688"/>
      <c r="BY839" s="689"/>
      <c r="BZ839" s="690"/>
      <c r="CA839" s="690"/>
      <c r="CB839" s="690"/>
      <c r="CC839" s="691"/>
      <c r="CD839" s="691"/>
      <c r="CE839" s="692"/>
      <c r="CF839" s="692"/>
      <c r="CG839" s="692"/>
      <c r="CH839" s="693"/>
    </row>
    <row r="840">
      <c r="B840" s="687"/>
      <c r="C840" s="687"/>
      <c r="D840" s="688"/>
      <c r="E840" s="689"/>
      <c r="F840" s="690"/>
      <c r="G840" s="690"/>
      <c r="H840" s="690"/>
      <c r="I840" s="691"/>
      <c r="J840" s="691"/>
      <c r="K840" s="691"/>
      <c r="L840" s="692"/>
      <c r="M840" s="692"/>
      <c r="N840" s="692"/>
      <c r="O840" s="693"/>
      <c r="P840" s="688"/>
      <c r="Q840" s="688"/>
      <c r="R840" s="688"/>
      <c r="S840" s="688"/>
      <c r="T840" s="689"/>
      <c r="U840" s="689"/>
      <c r="V840" s="694"/>
      <c r="W840" s="694"/>
      <c r="X840" s="694"/>
      <c r="Y840" s="694"/>
      <c r="Z840" s="693"/>
      <c r="AA840" s="693"/>
      <c r="AB840" s="693"/>
      <c r="AC840" s="693"/>
      <c r="AD840" s="688"/>
      <c r="AE840" s="689"/>
      <c r="AF840" s="689"/>
      <c r="AG840" s="690"/>
      <c r="AH840" s="690"/>
      <c r="AI840" s="695"/>
      <c r="AJ840" s="695"/>
      <c r="AK840" s="692"/>
      <c r="AL840" s="692"/>
      <c r="AM840" s="693"/>
      <c r="AN840" s="688"/>
      <c r="AO840" s="688"/>
      <c r="AP840" s="688"/>
      <c r="AQ840" s="688"/>
      <c r="AR840" s="688"/>
      <c r="AS840" s="688"/>
      <c r="AT840" s="689"/>
      <c r="AU840" s="689"/>
      <c r="AV840" s="690"/>
      <c r="AW840" s="690"/>
      <c r="AX840" s="690"/>
      <c r="AY840" s="690"/>
      <c r="AZ840" s="690"/>
      <c r="BA840" s="690"/>
      <c r="BB840" s="695"/>
      <c r="BC840" s="695"/>
      <c r="BD840" s="695"/>
      <c r="BE840" s="695"/>
      <c r="BF840" s="692"/>
      <c r="BG840" s="692"/>
      <c r="BH840" s="692"/>
      <c r="BI840" s="692"/>
      <c r="BJ840" s="692"/>
      <c r="BK840" s="692"/>
      <c r="BL840" s="693"/>
      <c r="BM840" s="693"/>
      <c r="BN840" s="688"/>
      <c r="BO840" s="693"/>
      <c r="BP840" s="689"/>
      <c r="BQ840" s="694"/>
      <c r="BR840" s="687"/>
      <c r="BS840" s="687"/>
      <c r="BT840" s="687"/>
      <c r="BU840" s="687"/>
      <c r="BV840" s="687"/>
      <c r="BW840" s="688"/>
      <c r="BX840" s="688"/>
      <c r="BY840" s="689"/>
      <c r="BZ840" s="690"/>
      <c r="CA840" s="690"/>
      <c r="CB840" s="690"/>
      <c r="CC840" s="691"/>
      <c r="CD840" s="691"/>
      <c r="CE840" s="692"/>
      <c r="CF840" s="692"/>
      <c r="CG840" s="692"/>
      <c r="CH840" s="693"/>
    </row>
    <row r="841">
      <c r="B841" s="687"/>
      <c r="C841" s="687"/>
      <c r="D841" s="688"/>
      <c r="E841" s="689"/>
      <c r="F841" s="690"/>
      <c r="G841" s="690"/>
      <c r="H841" s="690"/>
      <c r="I841" s="691"/>
      <c r="J841" s="691"/>
      <c r="K841" s="691"/>
      <c r="L841" s="692"/>
      <c r="M841" s="692"/>
      <c r="N841" s="692"/>
      <c r="O841" s="693"/>
      <c r="P841" s="688"/>
      <c r="Q841" s="688"/>
      <c r="R841" s="688"/>
      <c r="S841" s="688"/>
      <c r="T841" s="689"/>
      <c r="U841" s="689"/>
      <c r="V841" s="694"/>
      <c r="W841" s="694"/>
      <c r="X841" s="694"/>
      <c r="Y841" s="694"/>
      <c r="Z841" s="693"/>
      <c r="AA841" s="693"/>
      <c r="AB841" s="693"/>
      <c r="AC841" s="693"/>
      <c r="AD841" s="688"/>
      <c r="AE841" s="689"/>
      <c r="AF841" s="689"/>
      <c r="AG841" s="690"/>
      <c r="AH841" s="690"/>
      <c r="AI841" s="695"/>
      <c r="AJ841" s="695"/>
      <c r="AK841" s="692"/>
      <c r="AL841" s="692"/>
      <c r="AM841" s="693"/>
      <c r="AN841" s="688"/>
      <c r="AO841" s="688"/>
      <c r="AP841" s="688"/>
      <c r="AQ841" s="688"/>
      <c r="AR841" s="688"/>
      <c r="AS841" s="688"/>
      <c r="AT841" s="689"/>
      <c r="AU841" s="689"/>
      <c r="AV841" s="690"/>
      <c r="AW841" s="690"/>
      <c r="AX841" s="690"/>
      <c r="AY841" s="690"/>
      <c r="AZ841" s="690"/>
      <c r="BA841" s="690"/>
      <c r="BB841" s="695"/>
      <c r="BC841" s="695"/>
      <c r="BD841" s="695"/>
      <c r="BE841" s="695"/>
      <c r="BF841" s="692"/>
      <c r="BG841" s="692"/>
      <c r="BH841" s="692"/>
      <c r="BI841" s="692"/>
      <c r="BJ841" s="692"/>
      <c r="BK841" s="692"/>
      <c r="BL841" s="693"/>
      <c r="BM841" s="693"/>
      <c r="BN841" s="688"/>
      <c r="BO841" s="693"/>
      <c r="BP841" s="689"/>
      <c r="BQ841" s="694"/>
      <c r="BR841" s="687"/>
      <c r="BS841" s="687"/>
      <c r="BT841" s="687"/>
      <c r="BU841" s="687"/>
      <c r="BV841" s="687"/>
      <c r="BW841" s="688"/>
      <c r="BX841" s="688"/>
      <c r="BY841" s="689"/>
      <c r="BZ841" s="690"/>
      <c r="CA841" s="690"/>
      <c r="CB841" s="690"/>
      <c r="CC841" s="691"/>
      <c r="CD841" s="691"/>
      <c r="CE841" s="692"/>
      <c r="CF841" s="692"/>
      <c r="CG841" s="692"/>
      <c r="CH841" s="693"/>
    </row>
    <row r="842">
      <c r="B842" s="687"/>
      <c r="C842" s="687"/>
      <c r="D842" s="688"/>
      <c r="E842" s="689"/>
      <c r="F842" s="690"/>
      <c r="G842" s="690"/>
      <c r="H842" s="690"/>
      <c r="I842" s="691"/>
      <c r="J842" s="691"/>
      <c r="K842" s="691"/>
      <c r="L842" s="692"/>
      <c r="M842" s="692"/>
      <c r="N842" s="692"/>
      <c r="O842" s="693"/>
      <c r="P842" s="688"/>
      <c r="Q842" s="688"/>
      <c r="R842" s="688"/>
      <c r="S842" s="688"/>
      <c r="T842" s="689"/>
      <c r="U842" s="689"/>
      <c r="V842" s="694"/>
      <c r="W842" s="694"/>
      <c r="X842" s="694"/>
      <c r="Y842" s="694"/>
      <c r="Z842" s="693"/>
      <c r="AA842" s="693"/>
      <c r="AB842" s="693"/>
      <c r="AC842" s="693"/>
      <c r="AD842" s="688"/>
      <c r="AE842" s="689"/>
      <c r="AF842" s="689"/>
      <c r="AG842" s="690"/>
      <c r="AH842" s="690"/>
      <c r="AI842" s="695"/>
      <c r="AJ842" s="695"/>
      <c r="AK842" s="692"/>
      <c r="AL842" s="692"/>
      <c r="AM842" s="693"/>
      <c r="AN842" s="688"/>
      <c r="AO842" s="688"/>
      <c r="AP842" s="688"/>
      <c r="AQ842" s="688"/>
      <c r="AR842" s="688"/>
      <c r="AS842" s="688"/>
      <c r="AT842" s="689"/>
      <c r="AU842" s="689"/>
      <c r="AV842" s="690"/>
      <c r="AW842" s="690"/>
      <c r="AX842" s="690"/>
      <c r="AY842" s="690"/>
      <c r="AZ842" s="690"/>
      <c r="BA842" s="690"/>
      <c r="BB842" s="695"/>
      <c r="BC842" s="695"/>
      <c r="BD842" s="695"/>
      <c r="BE842" s="695"/>
      <c r="BF842" s="692"/>
      <c r="BG842" s="692"/>
      <c r="BH842" s="692"/>
      <c r="BI842" s="692"/>
      <c r="BJ842" s="692"/>
      <c r="BK842" s="692"/>
      <c r="BL842" s="693"/>
      <c r="BM842" s="693"/>
      <c r="BN842" s="688"/>
      <c r="BO842" s="693"/>
      <c r="BP842" s="689"/>
      <c r="BQ842" s="694"/>
      <c r="BR842" s="687"/>
      <c r="BS842" s="687"/>
      <c r="BT842" s="687"/>
      <c r="BU842" s="687"/>
      <c r="BV842" s="687"/>
      <c r="BW842" s="688"/>
      <c r="BX842" s="688"/>
      <c r="BY842" s="689"/>
      <c r="BZ842" s="690"/>
      <c r="CA842" s="690"/>
      <c r="CB842" s="690"/>
      <c r="CC842" s="691"/>
      <c r="CD842" s="691"/>
      <c r="CE842" s="692"/>
      <c r="CF842" s="692"/>
      <c r="CG842" s="692"/>
      <c r="CH842" s="693"/>
    </row>
    <row r="843">
      <c r="B843" s="687"/>
      <c r="C843" s="687"/>
      <c r="D843" s="688"/>
      <c r="E843" s="689"/>
      <c r="F843" s="690"/>
      <c r="G843" s="690"/>
      <c r="H843" s="690"/>
      <c r="I843" s="691"/>
      <c r="J843" s="691"/>
      <c r="K843" s="691"/>
      <c r="L843" s="692"/>
      <c r="M843" s="692"/>
      <c r="N843" s="692"/>
      <c r="O843" s="693"/>
      <c r="P843" s="688"/>
      <c r="Q843" s="688"/>
      <c r="R843" s="688"/>
      <c r="S843" s="688"/>
      <c r="T843" s="689"/>
      <c r="U843" s="689"/>
      <c r="V843" s="694"/>
      <c r="W843" s="694"/>
      <c r="X843" s="694"/>
      <c r="Y843" s="694"/>
      <c r="Z843" s="693"/>
      <c r="AA843" s="693"/>
      <c r="AB843" s="693"/>
      <c r="AC843" s="693"/>
      <c r="AD843" s="688"/>
      <c r="AE843" s="689"/>
      <c r="AF843" s="689"/>
      <c r="AG843" s="690"/>
      <c r="AH843" s="690"/>
      <c r="AI843" s="695"/>
      <c r="AJ843" s="695"/>
      <c r="AK843" s="692"/>
      <c r="AL843" s="692"/>
      <c r="AM843" s="693"/>
      <c r="AN843" s="688"/>
      <c r="AO843" s="688"/>
      <c r="AP843" s="688"/>
      <c r="AQ843" s="688"/>
      <c r="AR843" s="688"/>
      <c r="AS843" s="688"/>
      <c r="AT843" s="689"/>
      <c r="AU843" s="689"/>
      <c r="AV843" s="690"/>
      <c r="AW843" s="690"/>
      <c r="AX843" s="690"/>
      <c r="AY843" s="690"/>
      <c r="AZ843" s="690"/>
      <c r="BA843" s="690"/>
      <c r="BB843" s="695"/>
      <c r="BC843" s="695"/>
      <c r="BD843" s="695"/>
      <c r="BE843" s="695"/>
      <c r="BF843" s="692"/>
      <c r="BG843" s="692"/>
      <c r="BH843" s="692"/>
      <c r="BI843" s="692"/>
      <c r="BJ843" s="692"/>
      <c r="BK843" s="692"/>
      <c r="BL843" s="693"/>
      <c r="BM843" s="693"/>
      <c r="BN843" s="688"/>
      <c r="BO843" s="693"/>
      <c r="BP843" s="689"/>
      <c r="BQ843" s="694"/>
      <c r="BR843" s="687"/>
      <c r="BS843" s="687"/>
      <c r="BT843" s="687"/>
      <c r="BU843" s="687"/>
      <c r="BV843" s="687"/>
      <c r="BW843" s="688"/>
      <c r="BX843" s="688"/>
      <c r="BY843" s="689"/>
      <c r="BZ843" s="690"/>
      <c r="CA843" s="690"/>
      <c r="CB843" s="690"/>
      <c r="CC843" s="691"/>
      <c r="CD843" s="691"/>
      <c r="CE843" s="692"/>
      <c r="CF843" s="692"/>
      <c r="CG843" s="692"/>
      <c r="CH843" s="693"/>
    </row>
    <row r="844">
      <c r="B844" s="687"/>
      <c r="C844" s="687"/>
      <c r="D844" s="688"/>
      <c r="E844" s="689"/>
      <c r="F844" s="690"/>
      <c r="G844" s="690"/>
      <c r="H844" s="690"/>
      <c r="I844" s="691"/>
      <c r="J844" s="691"/>
      <c r="K844" s="691"/>
      <c r="L844" s="692"/>
      <c r="M844" s="692"/>
      <c r="N844" s="692"/>
      <c r="O844" s="693"/>
      <c r="P844" s="688"/>
      <c r="Q844" s="688"/>
      <c r="R844" s="688"/>
      <c r="S844" s="688"/>
      <c r="T844" s="689"/>
      <c r="U844" s="689"/>
      <c r="V844" s="694"/>
      <c r="W844" s="694"/>
      <c r="X844" s="694"/>
      <c r="Y844" s="694"/>
      <c r="Z844" s="693"/>
      <c r="AA844" s="693"/>
      <c r="AB844" s="693"/>
      <c r="AC844" s="693"/>
      <c r="AD844" s="688"/>
      <c r="AE844" s="689"/>
      <c r="AF844" s="689"/>
      <c r="AG844" s="690"/>
      <c r="AH844" s="690"/>
      <c r="AI844" s="695"/>
      <c r="AJ844" s="695"/>
      <c r="AK844" s="692"/>
      <c r="AL844" s="692"/>
      <c r="AM844" s="693"/>
      <c r="AN844" s="688"/>
      <c r="AO844" s="688"/>
      <c r="AP844" s="688"/>
      <c r="AQ844" s="688"/>
      <c r="AR844" s="688"/>
      <c r="AS844" s="688"/>
      <c r="AT844" s="689"/>
      <c r="AU844" s="689"/>
      <c r="AV844" s="690"/>
      <c r="AW844" s="690"/>
      <c r="AX844" s="690"/>
      <c r="AY844" s="690"/>
      <c r="AZ844" s="690"/>
      <c r="BA844" s="690"/>
      <c r="BB844" s="695"/>
      <c r="BC844" s="695"/>
      <c r="BD844" s="695"/>
      <c r="BE844" s="695"/>
      <c r="BF844" s="692"/>
      <c r="BG844" s="692"/>
      <c r="BH844" s="692"/>
      <c r="BI844" s="692"/>
      <c r="BJ844" s="692"/>
      <c r="BK844" s="692"/>
      <c r="BL844" s="693"/>
      <c r="BM844" s="693"/>
      <c r="BN844" s="688"/>
      <c r="BO844" s="693"/>
      <c r="BP844" s="689"/>
      <c r="BQ844" s="694"/>
      <c r="BR844" s="687"/>
      <c r="BS844" s="687"/>
      <c r="BT844" s="687"/>
      <c r="BU844" s="687"/>
      <c r="BV844" s="687"/>
      <c r="BW844" s="688"/>
      <c r="BX844" s="688"/>
      <c r="BY844" s="689"/>
      <c r="BZ844" s="690"/>
      <c r="CA844" s="690"/>
      <c r="CB844" s="690"/>
      <c r="CC844" s="691"/>
      <c r="CD844" s="691"/>
      <c r="CE844" s="692"/>
      <c r="CF844" s="692"/>
      <c r="CG844" s="692"/>
      <c r="CH844" s="693"/>
    </row>
    <row r="845">
      <c r="B845" s="687"/>
      <c r="C845" s="687"/>
      <c r="D845" s="688"/>
      <c r="E845" s="689"/>
      <c r="F845" s="690"/>
      <c r="G845" s="690"/>
      <c r="H845" s="690"/>
      <c r="I845" s="691"/>
      <c r="J845" s="691"/>
      <c r="K845" s="691"/>
      <c r="L845" s="692"/>
      <c r="M845" s="692"/>
      <c r="N845" s="692"/>
      <c r="O845" s="693"/>
      <c r="P845" s="688"/>
      <c r="Q845" s="688"/>
      <c r="R845" s="688"/>
      <c r="S845" s="688"/>
      <c r="T845" s="689"/>
      <c r="U845" s="689"/>
      <c r="V845" s="694"/>
      <c r="W845" s="694"/>
      <c r="X845" s="694"/>
      <c r="Y845" s="694"/>
      <c r="Z845" s="693"/>
      <c r="AA845" s="693"/>
      <c r="AB845" s="693"/>
      <c r="AC845" s="693"/>
      <c r="AD845" s="688"/>
      <c r="AE845" s="689"/>
      <c r="AF845" s="689"/>
      <c r="AG845" s="690"/>
      <c r="AH845" s="690"/>
      <c r="AI845" s="695"/>
      <c r="AJ845" s="695"/>
      <c r="AK845" s="692"/>
      <c r="AL845" s="692"/>
      <c r="AM845" s="693"/>
      <c r="AN845" s="688"/>
      <c r="AO845" s="688"/>
      <c r="AP845" s="688"/>
      <c r="AQ845" s="688"/>
      <c r="AR845" s="688"/>
      <c r="AS845" s="688"/>
      <c r="AT845" s="689"/>
      <c r="AU845" s="689"/>
      <c r="AV845" s="690"/>
      <c r="AW845" s="690"/>
      <c r="AX845" s="690"/>
      <c r="AY845" s="690"/>
      <c r="AZ845" s="690"/>
      <c r="BA845" s="690"/>
      <c r="BB845" s="695"/>
      <c r="BC845" s="695"/>
      <c r="BD845" s="695"/>
      <c r="BE845" s="695"/>
      <c r="BF845" s="692"/>
      <c r="BG845" s="692"/>
      <c r="BH845" s="692"/>
      <c r="BI845" s="692"/>
      <c r="BJ845" s="692"/>
      <c r="BK845" s="692"/>
      <c r="BL845" s="693"/>
      <c r="BM845" s="693"/>
      <c r="BN845" s="688"/>
      <c r="BO845" s="693"/>
      <c r="BP845" s="689"/>
      <c r="BQ845" s="694"/>
      <c r="BR845" s="687"/>
      <c r="BS845" s="687"/>
      <c r="BT845" s="687"/>
      <c r="BU845" s="687"/>
      <c r="BV845" s="687"/>
      <c r="BW845" s="688"/>
      <c r="BX845" s="688"/>
      <c r="BY845" s="689"/>
      <c r="BZ845" s="690"/>
      <c r="CA845" s="690"/>
      <c r="CB845" s="690"/>
      <c r="CC845" s="691"/>
      <c r="CD845" s="691"/>
      <c r="CE845" s="692"/>
      <c r="CF845" s="692"/>
      <c r="CG845" s="692"/>
      <c r="CH845" s="693"/>
    </row>
    <row r="846">
      <c r="B846" s="687"/>
      <c r="C846" s="687"/>
      <c r="D846" s="688"/>
      <c r="E846" s="689"/>
      <c r="F846" s="690"/>
      <c r="G846" s="690"/>
      <c r="H846" s="690"/>
      <c r="I846" s="691"/>
      <c r="J846" s="691"/>
      <c r="K846" s="691"/>
      <c r="L846" s="692"/>
      <c r="M846" s="692"/>
      <c r="N846" s="692"/>
      <c r="O846" s="693"/>
      <c r="P846" s="688"/>
      <c r="Q846" s="688"/>
      <c r="R846" s="688"/>
      <c r="S846" s="688"/>
      <c r="T846" s="689"/>
      <c r="U846" s="689"/>
      <c r="V846" s="694"/>
      <c r="W846" s="694"/>
      <c r="X846" s="694"/>
      <c r="Y846" s="694"/>
      <c r="Z846" s="693"/>
      <c r="AA846" s="693"/>
      <c r="AB846" s="693"/>
      <c r="AC846" s="693"/>
      <c r="AD846" s="688"/>
      <c r="AE846" s="689"/>
      <c r="AF846" s="689"/>
      <c r="AG846" s="690"/>
      <c r="AH846" s="690"/>
      <c r="AI846" s="695"/>
      <c r="AJ846" s="695"/>
      <c r="AK846" s="692"/>
      <c r="AL846" s="692"/>
      <c r="AM846" s="693"/>
      <c r="AN846" s="688"/>
      <c r="AO846" s="688"/>
      <c r="AP846" s="688"/>
      <c r="AQ846" s="688"/>
      <c r="AR846" s="688"/>
      <c r="AS846" s="688"/>
      <c r="AT846" s="689"/>
      <c r="AU846" s="689"/>
      <c r="AV846" s="690"/>
      <c r="AW846" s="690"/>
      <c r="AX846" s="690"/>
      <c r="AY846" s="690"/>
      <c r="AZ846" s="690"/>
      <c r="BA846" s="690"/>
      <c r="BB846" s="695"/>
      <c r="BC846" s="695"/>
      <c r="BD846" s="695"/>
      <c r="BE846" s="695"/>
      <c r="BF846" s="692"/>
      <c r="BG846" s="692"/>
      <c r="BH846" s="692"/>
      <c r="BI846" s="692"/>
      <c r="BJ846" s="692"/>
      <c r="BK846" s="692"/>
      <c r="BL846" s="693"/>
      <c r="BM846" s="693"/>
      <c r="BN846" s="688"/>
      <c r="BO846" s="693"/>
      <c r="BP846" s="689"/>
      <c r="BQ846" s="694"/>
      <c r="BR846" s="687"/>
      <c r="BS846" s="687"/>
      <c r="BT846" s="687"/>
      <c r="BU846" s="687"/>
      <c r="BV846" s="687"/>
      <c r="BW846" s="688"/>
      <c r="BX846" s="688"/>
      <c r="BY846" s="689"/>
      <c r="BZ846" s="690"/>
      <c r="CA846" s="690"/>
      <c r="CB846" s="690"/>
      <c r="CC846" s="691"/>
      <c r="CD846" s="691"/>
      <c r="CE846" s="692"/>
      <c r="CF846" s="692"/>
      <c r="CG846" s="692"/>
      <c r="CH846" s="693"/>
    </row>
    <row r="847">
      <c r="B847" s="687"/>
      <c r="C847" s="687"/>
      <c r="D847" s="688"/>
      <c r="E847" s="689"/>
      <c r="F847" s="690"/>
      <c r="G847" s="690"/>
      <c r="H847" s="690"/>
      <c r="I847" s="691"/>
      <c r="J847" s="691"/>
      <c r="K847" s="691"/>
      <c r="L847" s="692"/>
      <c r="M847" s="692"/>
      <c r="N847" s="692"/>
      <c r="O847" s="693"/>
      <c r="P847" s="688"/>
      <c r="Q847" s="688"/>
      <c r="R847" s="688"/>
      <c r="S847" s="688"/>
      <c r="T847" s="689"/>
      <c r="U847" s="689"/>
      <c r="V847" s="694"/>
      <c r="W847" s="694"/>
      <c r="X847" s="694"/>
      <c r="Y847" s="694"/>
      <c r="Z847" s="693"/>
      <c r="AA847" s="693"/>
      <c r="AB847" s="693"/>
      <c r="AC847" s="693"/>
      <c r="AD847" s="688"/>
      <c r="AE847" s="689"/>
      <c r="AF847" s="689"/>
      <c r="AG847" s="690"/>
      <c r="AH847" s="690"/>
      <c r="AI847" s="695"/>
      <c r="AJ847" s="695"/>
      <c r="AK847" s="692"/>
      <c r="AL847" s="692"/>
      <c r="AM847" s="693"/>
      <c r="AN847" s="688"/>
      <c r="AO847" s="688"/>
      <c r="AP847" s="688"/>
      <c r="AQ847" s="688"/>
      <c r="AR847" s="688"/>
      <c r="AS847" s="688"/>
      <c r="AT847" s="689"/>
      <c r="AU847" s="689"/>
      <c r="AV847" s="690"/>
      <c r="AW847" s="690"/>
      <c r="AX847" s="690"/>
      <c r="AY847" s="690"/>
      <c r="AZ847" s="690"/>
      <c r="BA847" s="690"/>
      <c r="BB847" s="695"/>
      <c r="BC847" s="695"/>
      <c r="BD847" s="695"/>
      <c r="BE847" s="695"/>
      <c r="BF847" s="692"/>
      <c r="BG847" s="692"/>
      <c r="BH847" s="692"/>
      <c r="BI847" s="692"/>
      <c r="BJ847" s="692"/>
      <c r="BK847" s="692"/>
      <c r="BL847" s="693"/>
      <c r="BM847" s="693"/>
      <c r="BN847" s="688"/>
      <c r="BO847" s="693"/>
      <c r="BP847" s="689"/>
      <c r="BQ847" s="694"/>
      <c r="BR847" s="687"/>
      <c r="BS847" s="687"/>
      <c r="BT847" s="687"/>
      <c r="BU847" s="687"/>
      <c r="BV847" s="687"/>
      <c r="BW847" s="688"/>
      <c r="BX847" s="688"/>
      <c r="BY847" s="689"/>
      <c r="BZ847" s="690"/>
      <c r="CA847" s="690"/>
      <c r="CB847" s="690"/>
      <c r="CC847" s="691"/>
      <c r="CD847" s="691"/>
      <c r="CE847" s="692"/>
      <c r="CF847" s="692"/>
      <c r="CG847" s="692"/>
      <c r="CH847" s="693"/>
    </row>
    <row r="848">
      <c r="B848" s="687"/>
      <c r="C848" s="687"/>
      <c r="D848" s="688"/>
      <c r="E848" s="689"/>
      <c r="F848" s="690"/>
      <c r="G848" s="690"/>
      <c r="H848" s="690"/>
      <c r="I848" s="691"/>
      <c r="J848" s="691"/>
      <c r="K848" s="691"/>
      <c r="L848" s="692"/>
      <c r="M848" s="692"/>
      <c r="N848" s="692"/>
      <c r="O848" s="693"/>
      <c r="P848" s="688"/>
      <c r="Q848" s="688"/>
      <c r="R848" s="688"/>
      <c r="S848" s="688"/>
      <c r="T848" s="689"/>
      <c r="U848" s="689"/>
      <c r="V848" s="694"/>
      <c r="W848" s="694"/>
      <c r="X848" s="694"/>
      <c r="Y848" s="694"/>
      <c r="Z848" s="693"/>
      <c r="AA848" s="693"/>
      <c r="AB848" s="693"/>
      <c r="AC848" s="693"/>
      <c r="AD848" s="688"/>
      <c r="AE848" s="689"/>
      <c r="AF848" s="689"/>
      <c r="AG848" s="690"/>
      <c r="AH848" s="690"/>
      <c r="AI848" s="695"/>
      <c r="AJ848" s="695"/>
      <c r="AK848" s="692"/>
      <c r="AL848" s="692"/>
      <c r="AM848" s="693"/>
      <c r="AN848" s="688"/>
      <c r="AO848" s="688"/>
      <c r="AP848" s="688"/>
      <c r="AQ848" s="688"/>
      <c r="AR848" s="688"/>
      <c r="AS848" s="688"/>
      <c r="AT848" s="689"/>
      <c r="AU848" s="689"/>
      <c r="AV848" s="690"/>
      <c r="AW848" s="690"/>
      <c r="AX848" s="690"/>
      <c r="AY848" s="690"/>
      <c r="AZ848" s="690"/>
      <c r="BA848" s="690"/>
      <c r="BB848" s="695"/>
      <c r="BC848" s="695"/>
      <c r="BD848" s="695"/>
      <c r="BE848" s="695"/>
      <c r="BF848" s="692"/>
      <c r="BG848" s="692"/>
      <c r="BH848" s="692"/>
      <c r="BI848" s="692"/>
      <c r="BJ848" s="692"/>
      <c r="BK848" s="692"/>
      <c r="BL848" s="693"/>
      <c r="BM848" s="693"/>
      <c r="BN848" s="688"/>
      <c r="BO848" s="693"/>
      <c r="BP848" s="689"/>
      <c r="BQ848" s="694"/>
      <c r="BR848" s="687"/>
      <c r="BS848" s="687"/>
      <c r="BT848" s="687"/>
      <c r="BU848" s="687"/>
      <c r="BV848" s="687"/>
      <c r="BW848" s="688"/>
      <c r="BX848" s="688"/>
      <c r="BY848" s="689"/>
      <c r="BZ848" s="690"/>
      <c r="CA848" s="690"/>
      <c r="CB848" s="690"/>
      <c r="CC848" s="691"/>
      <c r="CD848" s="691"/>
      <c r="CE848" s="692"/>
      <c r="CF848" s="692"/>
      <c r="CG848" s="692"/>
      <c r="CH848" s="693"/>
    </row>
    <row r="849">
      <c r="B849" s="687"/>
      <c r="C849" s="687"/>
      <c r="D849" s="688"/>
      <c r="E849" s="689"/>
      <c r="F849" s="690"/>
      <c r="G849" s="690"/>
      <c r="H849" s="690"/>
      <c r="I849" s="691"/>
      <c r="J849" s="691"/>
      <c r="K849" s="691"/>
      <c r="L849" s="692"/>
      <c r="M849" s="692"/>
      <c r="N849" s="692"/>
      <c r="O849" s="693"/>
      <c r="P849" s="688"/>
      <c r="Q849" s="688"/>
      <c r="R849" s="688"/>
      <c r="S849" s="688"/>
      <c r="T849" s="689"/>
      <c r="U849" s="689"/>
      <c r="V849" s="694"/>
      <c r="W849" s="694"/>
      <c r="X849" s="694"/>
      <c r="Y849" s="694"/>
      <c r="Z849" s="693"/>
      <c r="AA849" s="693"/>
      <c r="AB849" s="693"/>
      <c r="AC849" s="693"/>
      <c r="AD849" s="688"/>
      <c r="AE849" s="689"/>
      <c r="AF849" s="689"/>
      <c r="AG849" s="690"/>
      <c r="AH849" s="690"/>
      <c r="AI849" s="695"/>
      <c r="AJ849" s="695"/>
      <c r="AK849" s="692"/>
      <c r="AL849" s="692"/>
      <c r="AM849" s="693"/>
      <c r="AN849" s="688"/>
      <c r="AO849" s="688"/>
      <c r="AP849" s="688"/>
      <c r="AQ849" s="688"/>
      <c r="AR849" s="688"/>
      <c r="AS849" s="688"/>
      <c r="AT849" s="689"/>
      <c r="AU849" s="689"/>
      <c r="AV849" s="690"/>
      <c r="AW849" s="690"/>
      <c r="AX849" s="690"/>
      <c r="AY849" s="690"/>
      <c r="AZ849" s="690"/>
      <c r="BA849" s="690"/>
      <c r="BB849" s="695"/>
      <c r="BC849" s="695"/>
      <c r="BD849" s="695"/>
      <c r="BE849" s="695"/>
      <c r="BF849" s="692"/>
      <c r="BG849" s="692"/>
      <c r="BH849" s="692"/>
      <c r="BI849" s="692"/>
      <c r="BJ849" s="692"/>
      <c r="BK849" s="692"/>
      <c r="BL849" s="693"/>
      <c r="BM849" s="693"/>
      <c r="BN849" s="688"/>
      <c r="BO849" s="693"/>
      <c r="BP849" s="689"/>
      <c r="BQ849" s="694"/>
      <c r="BR849" s="687"/>
      <c r="BS849" s="687"/>
      <c r="BT849" s="687"/>
      <c r="BU849" s="687"/>
      <c r="BV849" s="687"/>
      <c r="BW849" s="688"/>
      <c r="BX849" s="688"/>
      <c r="BY849" s="689"/>
      <c r="BZ849" s="690"/>
      <c r="CA849" s="690"/>
      <c r="CB849" s="690"/>
      <c r="CC849" s="691"/>
      <c r="CD849" s="691"/>
      <c r="CE849" s="692"/>
      <c r="CF849" s="692"/>
      <c r="CG849" s="692"/>
      <c r="CH849" s="693"/>
    </row>
    <row r="850">
      <c r="B850" s="687"/>
      <c r="C850" s="687"/>
      <c r="D850" s="688"/>
      <c r="E850" s="689"/>
      <c r="F850" s="690"/>
      <c r="G850" s="690"/>
      <c r="H850" s="690"/>
      <c r="I850" s="691"/>
      <c r="J850" s="691"/>
      <c r="K850" s="691"/>
      <c r="L850" s="692"/>
      <c r="M850" s="692"/>
      <c r="N850" s="692"/>
      <c r="O850" s="693"/>
      <c r="P850" s="688"/>
      <c r="Q850" s="688"/>
      <c r="R850" s="688"/>
      <c r="S850" s="688"/>
      <c r="T850" s="689"/>
      <c r="U850" s="689"/>
      <c r="V850" s="694"/>
      <c r="W850" s="694"/>
      <c r="X850" s="694"/>
      <c r="Y850" s="694"/>
      <c r="Z850" s="693"/>
      <c r="AA850" s="693"/>
      <c r="AB850" s="693"/>
      <c r="AC850" s="693"/>
      <c r="AD850" s="688"/>
      <c r="AE850" s="689"/>
      <c r="AF850" s="689"/>
      <c r="AG850" s="690"/>
      <c r="AH850" s="690"/>
      <c r="AI850" s="695"/>
      <c r="AJ850" s="695"/>
      <c r="AK850" s="692"/>
      <c r="AL850" s="692"/>
      <c r="AM850" s="693"/>
      <c r="AN850" s="688"/>
      <c r="AO850" s="688"/>
      <c r="AP850" s="688"/>
      <c r="AQ850" s="688"/>
      <c r="AR850" s="688"/>
      <c r="AS850" s="688"/>
      <c r="AT850" s="689"/>
      <c r="AU850" s="689"/>
      <c r="AV850" s="690"/>
      <c r="AW850" s="690"/>
      <c r="AX850" s="690"/>
      <c r="AY850" s="690"/>
      <c r="AZ850" s="690"/>
      <c r="BA850" s="690"/>
      <c r="BB850" s="695"/>
      <c r="BC850" s="695"/>
      <c r="BD850" s="695"/>
      <c r="BE850" s="695"/>
      <c r="BF850" s="692"/>
      <c r="BG850" s="692"/>
      <c r="BH850" s="692"/>
      <c r="BI850" s="692"/>
      <c r="BJ850" s="692"/>
      <c r="BK850" s="692"/>
      <c r="BL850" s="693"/>
      <c r="BM850" s="693"/>
      <c r="BN850" s="688"/>
      <c r="BO850" s="693"/>
      <c r="BP850" s="689"/>
      <c r="BQ850" s="694"/>
      <c r="BR850" s="687"/>
      <c r="BS850" s="687"/>
      <c r="BT850" s="687"/>
      <c r="BU850" s="687"/>
      <c r="BV850" s="687"/>
      <c r="BW850" s="688"/>
      <c r="BX850" s="688"/>
      <c r="BY850" s="689"/>
      <c r="BZ850" s="690"/>
      <c r="CA850" s="690"/>
      <c r="CB850" s="690"/>
      <c r="CC850" s="691"/>
      <c r="CD850" s="691"/>
      <c r="CE850" s="692"/>
      <c r="CF850" s="692"/>
      <c r="CG850" s="692"/>
      <c r="CH850" s="693"/>
    </row>
    <row r="851">
      <c r="B851" s="687"/>
      <c r="C851" s="687"/>
      <c r="D851" s="688"/>
      <c r="E851" s="689"/>
      <c r="F851" s="690"/>
      <c r="G851" s="690"/>
      <c r="H851" s="690"/>
      <c r="I851" s="691"/>
      <c r="J851" s="691"/>
      <c r="K851" s="691"/>
      <c r="L851" s="692"/>
      <c r="M851" s="692"/>
      <c r="N851" s="692"/>
      <c r="O851" s="693"/>
      <c r="P851" s="688"/>
      <c r="Q851" s="688"/>
      <c r="R851" s="688"/>
      <c r="S851" s="688"/>
      <c r="T851" s="689"/>
      <c r="U851" s="689"/>
      <c r="V851" s="694"/>
      <c r="W851" s="694"/>
      <c r="X851" s="694"/>
      <c r="Y851" s="694"/>
      <c r="Z851" s="693"/>
      <c r="AA851" s="693"/>
      <c r="AB851" s="693"/>
      <c r="AC851" s="693"/>
      <c r="AD851" s="688"/>
      <c r="AE851" s="689"/>
      <c r="AF851" s="689"/>
      <c r="AG851" s="690"/>
      <c r="AH851" s="690"/>
      <c r="AI851" s="695"/>
      <c r="AJ851" s="695"/>
      <c r="AK851" s="692"/>
      <c r="AL851" s="692"/>
      <c r="AM851" s="693"/>
      <c r="AN851" s="688"/>
      <c r="AO851" s="688"/>
      <c r="AP851" s="688"/>
      <c r="AQ851" s="688"/>
      <c r="AR851" s="688"/>
      <c r="AS851" s="688"/>
      <c r="AT851" s="689"/>
      <c r="AU851" s="689"/>
      <c r="AV851" s="690"/>
      <c r="AW851" s="690"/>
      <c r="AX851" s="690"/>
      <c r="AY851" s="690"/>
      <c r="AZ851" s="690"/>
      <c r="BA851" s="690"/>
      <c r="BB851" s="695"/>
      <c r="BC851" s="695"/>
      <c r="BD851" s="695"/>
      <c r="BE851" s="695"/>
      <c r="BF851" s="692"/>
      <c r="BG851" s="692"/>
      <c r="BH851" s="692"/>
      <c r="BI851" s="692"/>
      <c r="BJ851" s="692"/>
      <c r="BK851" s="692"/>
      <c r="BL851" s="693"/>
      <c r="BM851" s="693"/>
      <c r="BN851" s="688"/>
      <c r="BO851" s="693"/>
      <c r="BP851" s="689"/>
      <c r="BQ851" s="694"/>
      <c r="BR851" s="687"/>
      <c r="BS851" s="687"/>
      <c r="BT851" s="687"/>
      <c r="BU851" s="687"/>
      <c r="BV851" s="687"/>
      <c r="BW851" s="688"/>
      <c r="BX851" s="688"/>
      <c r="BY851" s="689"/>
      <c r="BZ851" s="690"/>
      <c r="CA851" s="690"/>
      <c r="CB851" s="690"/>
      <c r="CC851" s="691"/>
      <c r="CD851" s="691"/>
      <c r="CE851" s="692"/>
      <c r="CF851" s="692"/>
      <c r="CG851" s="692"/>
      <c r="CH851" s="693"/>
    </row>
    <row r="852">
      <c r="B852" s="687"/>
      <c r="C852" s="687"/>
      <c r="D852" s="688"/>
      <c r="E852" s="689"/>
      <c r="F852" s="690"/>
      <c r="G852" s="690"/>
      <c r="H852" s="690"/>
      <c r="I852" s="691"/>
      <c r="J852" s="691"/>
      <c r="K852" s="691"/>
      <c r="L852" s="692"/>
      <c r="M852" s="692"/>
      <c r="N852" s="692"/>
      <c r="O852" s="693"/>
      <c r="P852" s="688"/>
      <c r="Q852" s="688"/>
      <c r="R852" s="688"/>
      <c r="S852" s="688"/>
      <c r="T852" s="689"/>
      <c r="U852" s="689"/>
      <c r="V852" s="694"/>
      <c r="W852" s="694"/>
      <c r="X852" s="694"/>
      <c r="Y852" s="694"/>
      <c r="Z852" s="693"/>
      <c r="AA852" s="693"/>
      <c r="AB852" s="693"/>
      <c r="AC852" s="693"/>
      <c r="AD852" s="688"/>
      <c r="AE852" s="689"/>
      <c r="AF852" s="689"/>
      <c r="AG852" s="690"/>
      <c r="AH852" s="690"/>
      <c r="AI852" s="695"/>
      <c r="AJ852" s="695"/>
      <c r="AK852" s="692"/>
      <c r="AL852" s="692"/>
      <c r="AM852" s="693"/>
      <c r="AN852" s="688"/>
      <c r="AO852" s="688"/>
      <c r="AP852" s="688"/>
      <c r="AQ852" s="688"/>
      <c r="AR852" s="688"/>
      <c r="AS852" s="688"/>
      <c r="AT852" s="689"/>
      <c r="AU852" s="689"/>
      <c r="AV852" s="690"/>
      <c r="AW852" s="690"/>
      <c r="AX852" s="690"/>
      <c r="AY852" s="690"/>
      <c r="AZ852" s="690"/>
      <c r="BA852" s="690"/>
      <c r="BB852" s="695"/>
      <c r="BC852" s="695"/>
      <c r="BD852" s="695"/>
      <c r="BE852" s="695"/>
      <c r="BF852" s="692"/>
      <c r="BG852" s="692"/>
      <c r="BH852" s="692"/>
      <c r="BI852" s="692"/>
      <c r="BJ852" s="692"/>
      <c r="BK852" s="692"/>
      <c r="BL852" s="693"/>
      <c r="BM852" s="693"/>
      <c r="BN852" s="688"/>
      <c r="BO852" s="693"/>
      <c r="BP852" s="689"/>
      <c r="BQ852" s="694"/>
      <c r="BR852" s="687"/>
      <c r="BS852" s="687"/>
      <c r="BT852" s="687"/>
      <c r="BU852" s="687"/>
      <c r="BV852" s="687"/>
      <c r="BW852" s="688"/>
      <c r="BX852" s="688"/>
      <c r="BY852" s="689"/>
      <c r="BZ852" s="690"/>
      <c r="CA852" s="690"/>
      <c r="CB852" s="690"/>
      <c r="CC852" s="691"/>
      <c r="CD852" s="691"/>
      <c r="CE852" s="692"/>
      <c r="CF852" s="692"/>
      <c r="CG852" s="692"/>
      <c r="CH852" s="693"/>
    </row>
    <row r="853">
      <c r="B853" s="687"/>
      <c r="C853" s="687"/>
      <c r="D853" s="688"/>
      <c r="E853" s="689"/>
      <c r="F853" s="690"/>
      <c r="G853" s="690"/>
      <c r="H853" s="690"/>
      <c r="I853" s="691"/>
      <c r="J853" s="691"/>
      <c r="K853" s="691"/>
      <c r="L853" s="692"/>
      <c r="M853" s="692"/>
      <c r="N853" s="692"/>
      <c r="O853" s="693"/>
      <c r="P853" s="688"/>
      <c r="Q853" s="688"/>
      <c r="R853" s="688"/>
      <c r="S853" s="688"/>
      <c r="T853" s="689"/>
      <c r="U853" s="689"/>
      <c r="V853" s="694"/>
      <c r="W853" s="694"/>
      <c r="X853" s="694"/>
      <c r="Y853" s="694"/>
      <c r="Z853" s="693"/>
      <c r="AA853" s="693"/>
      <c r="AB853" s="693"/>
      <c r="AC853" s="693"/>
      <c r="AD853" s="688"/>
      <c r="AE853" s="689"/>
      <c r="AF853" s="689"/>
      <c r="AG853" s="690"/>
      <c r="AH853" s="690"/>
      <c r="AI853" s="695"/>
      <c r="AJ853" s="695"/>
      <c r="AK853" s="692"/>
      <c r="AL853" s="692"/>
      <c r="AM853" s="693"/>
      <c r="AN853" s="688"/>
      <c r="AO853" s="688"/>
      <c r="AP853" s="688"/>
      <c r="AQ853" s="688"/>
      <c r="AR853" s="688"/>
      <c r="AS853" s="688"/>
      <c r="AT853" s="689"/>
      <c r="AU853" s="689"/>
      <c r="AV853" s="690"/>
      <c r="AW853" s="690"/>
      <c r="AX853" s="690"/>
      <c r="AY853" s="690"/>
      <c r="AZ853" s="690"/>
      <c r="BA853" s="690"/>
      <c r="BB853" s="695"/>
      <c r="BC853" s="695"/>
      <c r="BD853" s="695"/>
      <c r="BE853" s="695"/>
      <c r="BF853" s="692"/>
      <c r="BG853" s="692"/>
      <c r="BH853" s="692"/>
      <c r="BI853" s="692"/>
      <c r="BJ853" s="692"/>
      <c r="BK853" s="692"/>
      <c r="BL853" s="693"/>
      <c r="BM853" s="693"/>
      <c r="BN853" s="688"/>
      <c r="BO853" s="693"/>
      <c r="BP853" s="689"/>
      <c r="BQ853" s="694"/>
      <c r="BR853" s="687"/>
      <c r="BS853" s="687"/>
      <c r="BT853" s="687"/>
      <c r="BU853" s="687"/>
      <c r="BV853" s="687"/>
      <c r="BW853" s="688"/>
      <c r="BX853" s="688"/>
      <c r="BY853" s="689"/>
      <c r="BZ853" s="690"/>
      <c r="CA853" s="690"/>
      <c r="CB853" s="690"/>
      <c r="CC853" s="691"/>
      <c r="CD853" s="691"/>
      <c r="CE853" s="692"/>
      <c r="CF853" s="692"/>
      <c r="CG853" s="692"/>
      <c r="CH853" s="693"/>
    </row>
    <row r="854">
      <c r="B854" s="687"/>
      <c r="C854" s="687"/>
      <c r="D854" s="688"/>
      <c r="E854" s="689"/>
      <c r="F854" s="690"/>
      <c r="G854" s="690"/>
      <c r="H854" s="690"/>
      <c r="I854" s="691"/>
      <c r="J854" s="691"/>
      <c r="K854" s="691"/>
      <c r="L854" s="692"/>
      <c r="M854" s="692"/>
      <c r="N854" s="692"/>
      <c r="O854" s="693"/>
      <c r="P854" s="688"/>
      <c r="Q854" s="688"/>
      <c r="R854" s="688"/>
      <c r="S854" s="688"/>
      <c r="T854" s="689"/>
      <c r="U854" s="689"/>
      <c r="V854" s="694"/>
      <c r="W854" s="694"/>
      <c r="X854" s="694"/>
      <c r="Y854" s="694"/>
      <c r="Z854" s="693"/>
      <c r="AA854" s="693"/>
      <c r="AB854" s="693"/>
      <c r="AC854" s="693"/>
      <c r="AD854" s="688"/>
      <c r="AE854" s="689"/>
      <c r="AF854" s="689"/>
      <c r="AG854" s="690"/>
      <c r="AH854" s="690"/>
      <c r="AI854" s="695"/>
      <c r="AJ854" s="695"/>
      <c r="AK854" s="692"/>
      <c r="AL854" s="692"/>
      <c r="AM854" s="693"/>
      <c r="AN854" s="688"/>
      <c r="AO854" s="688"/>
      <c r="AP854" s="688"/>
      <c r="AQ854" s="688"/>
      <c r="AR854" s="688"/>
      <c r="AS854" s="688"/>
      <c r="AT854" s="689"/>
      <c r="AU854" s="689"/>
      <c r="AV854" s="690"/>
      <c r="AW854" s="690"/>
      <c r="AX854" s="690"/>
      <c r="AY854" s="690"/>
      <c r="AZ854" s="690"/>
      <c r="BA854" s="690"/>
      <c r="BB854" s="695"/>
      <c r="BC854" s="695"/>
      <c r="BD854" s="695"/>
      <c r="BE854" s="695"/>
      <c r="BF854" s="692"/>
      <c r="BG854" s="692"/>
      <c r="BH854" s="692"/>
      <c r="BI854" s="692"/>
      <c r="BJ854" s="692"/>
      <c r="BK854" s="692"/>
      <c r="BL854" s="693"/>
      <c r="BM854" s="693"/>
      <c r="BN854" s="688"/>
      <c r="BO854" s="693"/>
      <c r="BP854" s="689"/>
      <c r="BQ854" s="694"/>
      <c r="BR854" s="687"/>
      <c r="BS854" s="687"/>
      <c r="BT854" s="687"/>
      <c r="BU854" s="687"/>
      <c r="BV854" s="687"/>
      <c r="BW854" s="688"/>
      <c r="BX854" s="688"/>
      <c r="BY854" s="689"/>
      <c r="BZ854" s="690"/>
      <c r="CA854" s="690"/>
      <c r="CB854" s="690"/>
      <c r="CC854" s="691"/>
      <c r="CD854" s="691"/>
      <c r="CE854" s="692"/>
      <c r="CF854" s="692"/>
      <c r="CG854" s="692"/>
      <c r="CH854" s="693"/>
    </row>
    <row r="855">
      <c r="B855" s="687"/>
      <c r="C855" s="687"/>
      <c r="D855" s="688"/>
      <c r="E855" s="689"/>
      <c r="F855" s="690"/>
      <c r="G855" s="690"/>
      <c r="H855" s="690"/>
      <c r="I855" s="691"/>
      <c r="J855" s="691"/>
      <c r="K855" s="691"/>
      <c r="L855" s="692"/>
      <c r="M855" s="692"/>
      <c r="N855" s="692"/>
      <c r="O855" s="693"/>
      <c r="P855" s="688"/>
      <c r="Q855" s="688"/>
      <c r="R855" s="688"/>
      <c r="S855" s="688"/>
      <c r="T855" s="689"/>
      <c r="U855" s="689"/>
      <c r="V855" s="694"/>
      <c r="W855" s="694"/>
      <c r="X855" s="694"/>
      <c r="Y855" s="694"/>
      <c r="Z855" s="693"/>
      <c r="AA855" s="693"/>
      <c r="AB855" s="693"/>
      <c r="AC855" s="693"/>
      <c r="AD855" s="688"/>
      <c r="AE855" s="689"/>
      <c r="AF855" s="689"/>
      <c r="AG855" s="690"/>
      <c r="AH855" s="690"/>
      <c r="AI855" s="695"/>
      <c r="AJ855" s="695"/>
      <c r="AK855" s="692"/>
      <c r="AL855" s="692"/>
      <c r="AM855" s="693"/>
      <c r="AN855" s="688"/>
      <c r="AO855" s="688"/>
      <c r="AP855" s="688"/>
      <c r="AQ855" s="688"/>
      <c r="AR855" s="688"/>
      <c r="AS855" s="688"/>
      <c r="AT855" s="689"/>
      <c r="AU855" s="689"/>
      <c r="AV855" s="690"/>
      <c r="AW855" s="690"/>
      <c r="AX855" s="690"/>
      <c r="AY855" s="690"/>
      <c r="AZ855" s="690"/>
      <c r="BA855" s="690"/>
      <c r="BB855" s="695"/>
      <c r="BC855" s="695"/>
      <c r="BD855" s="695"/>
      <c r="BE855" s="695"/>
      <c r="BF855" s="692"/>
      <c r="BG855" s="692"/>
      <c r="BH855" s="692"/>
      <c r="BI855" s="692"/>
      <c r="BJ855" s="692"/>
      <c r="BK855" s="692"/>
      <c r="BL855" s="693"/>
      <c r="BM855" s="693"/>
      <c r="BN855" s="688"/>
      <c r="BO855" s="693"/>
      <c r="BP855" s="689"/>
      <c r="BQ855" s="694"/>
      <c r="BR855" s="687"/>
      <c r="BS855" s="687"/>
      <c r="BT855" s="687"/>
      <c r="BU855" s="687"/>
      <c r="BV855" s="687"/>
      <c r="BW855" s="688"/>
      <c r="BX855" s="688"/>
      <c r="BY855" s="689"/>
      <c r="BZ855" s="690"/>
      <c r="CA855" s="690"/>
      <c r="CB855" s="690"/>
      <c r="CC855" s="691"/>
      <c r="CD855" s="691"/>
      <c r="CE855" s="692"/>
      <c r="CF855" s="692"/>
      <c r="CG855" s="692"/>
      <c r="CH855" s="693"/>
    </row>
    <row r="856">
      <c r="B856" s="687"/>
      <c r="C856" s="687"/>
      <c r="D856" s="688"/>
      <c r="E856" s="689"/>
      <c r="F856" s="690"/>
      <c r="G856" s="690"/>
      <c r="H856" s="690"/>
      <c r="I856" s="691"/>
      <c r="J856" s="691"/>
      <c r="K856" s="691"/>
      <c r="L856" s="692"/>
      <c r="M856" s="692"/>
      <c r="N856" s="692"/>
      <c r="O856" s="693"/>
      <c r="P856" s="688"/>
      <c r="Q856" s="688"/>
      <c r="R856" s="688"/>
      <c r="S856" s="688"/>
      <c r="T856" s="689"/>
      <c r="U856" s="689"/>
      <c r="V856" s="694"/>
      <c r="W856" s="694"/>
      <c r="X856" s="694"/>
      <c r="Y856" s="694"/>
      <c r="Z856" s="693"/>
      <c r="AA856" s="693"/>
      <c r="AB856" s="693"/>
      <c r="AC856" s="693"/>
      <c r="AD856" s="688"/>
      <c r="AE856" s="689"/>
      <c r="AF856" s="689"/>
      <c r="AG856" s="690"/>
      <c r="AH856" s="690"/>
      <c r="AI856" s="695"/>
      <c r="AJ856" s="695"/>
      <c r="AK856" s="692"/>
      <c r="AL856" s="692"/>
      <c r="AM856" s="693"/>
      <c r="AN856" s="688"/>
      <c r="AO856" s="688"/>
      <c r="AP856" s="688"/>
      <c r="AQ856" s="688"/>
      <c r="AR856" s="688"/>
      <c r="AS856" s="688"/>
      <c r="AT856" s="689"/>
      <c r="AU856" s="689"/>
      <c r="AV856" s="690"/>
      <c r="AW856" s="690"/>
      <c r="AX856" s="690"/>
      <c r="AY856" s="690"/>
      <c r="AZ856" s="690"/>
      <c r="BA856" s="690"/>
      <c r="BB856" s="695"/>
      <c r="BC856" s="695"/>
      <c r="BD856" s="695"/>
      <c r="BE856" s="695"/>
      <c r="BF856" s="692"/>
      <c r="BG856" s="692"/>
      <c r="BH856" s="692"/>
      <c r="BI856" s="692"/>
      <c r="BJ856" s="692"/>
      <c r="BK856" s="692"/>
      <c r="BL856" s="693"/>
      <c r="BM856" s="693"/>
      <c r="BN856" s="688"/>
      <c r="BO856" s="693"/>
      <c r="BP856" s="689"/>
      <c r="BQ856" s="694"/>
      <c r="BR856" s="687"/>
      <c r="BS856" s="687"/>
      <c r="BT856" s="687"/>
      <c r="BU856" s="687"/>
      <c r="BV856" s="687"/>
      <c r="BW856" s="688"/>
      <c r="BX856" s="688"/>
      <c r="BY856" s="689"/>
      <c r="BZ856" s="690"/>
      <c r="CA856" s="690"/>
      <c r="CB856" s="690"/>
      <c r="CC856" s="691"/>
      <c r="CD856" s="691"/>
      <c r="CE856" s="692"/>
      <c r="CF856" s="692"/>
      <c r="CG856" s="692"/>
      <c r="CH856" s="693"/>
    </row>
    <row r="857">
      <c r="B857" s="687"/>
      <c r="C857" s="687"/>
      <c r="D857" s="688"/>
      <c r="E857" s="689"/>
      <c r="F857" s="690"/>
      <c r="G857" s="690"/>
      <c r="H857" s="690"/>
      <c r="I857" s="691"/>
      <c r="J857" s="691"/>
      <c r="K857" s="691"/>
      <c r="L857" s="692"/>
      <c r="M857" s="692"/>
      <c r="N857" s="692"/>
      <c r="O857" s="693"/>
      <c r="P857" s="688"/>
      <c r="Q857" s="688"/>
      <c r="R857" s="688"/>
      <c r="S857" s="688"/>
      <c r="T857" s="689"/>
      <c r="U857" s="689"/>
      <c r="V857" s="694"/>
      <c r="W857" s="694"/>
      <c r="X857" s="694"/>
      <c r="Y857" s="694"/>
      <c r="Z857" s="693"/>
      <c r="AA857" s="693"/>
      <c r="AB857" s="693"/>
      <c r="AC857" s="693"/>
      <c r="AD857" s="688"/>
      <c r="AE857" s="689"/>
      <c r="AF857" s="689"/>
      <c r="AG857" s="690"/>
      <c r="AH857" s="690"/>
      <c r="AI857" s="695"/>
      <c r="AJ857" s="695"/>
      <c r="AK857" s="692"/>
      <c r="AL857" s="692"/>
      <c r="AM857" s="693"/>
      <c r="AN857" s="688"/>
      <c r="AO857" s="688"/>
      <c r="AP857" s="688"/>
      <c r="AQ857" s="688"/>
      <c r="AR857" s="688"/>
      <c r="AS857" s="688"/>
      <c r="AT857" s="689"/>
      <c r="AU857" s="689"/>
      <c r="AV857" s="690"/>
      <c r="AW857" s="690"/>
      <c r="AX857" s="690"/>
      <c r="AY857" s="690"/>
      <c r="AZ857" s="690"/>
      <c r="BA857" s="690"/>
      <c r="BB857" s="695"/>
      <c r="BC857" s="695"/>
      <c r="BD857" s="695"/>
      <c r="BE857" s="695"/>
      <c r="BF857" s="692"/>
      <c r="BG857" s="692"/>
      <c r="BH857" s="692"/>
      <c r="BI857" s="692"/>
      <c r="BJ857" s="692"/>
      <c r="BK857" s="692"/>
      <c r="BL857" s="693"/>
      <c r="BM857" s="693"/>
      <c r="BN857" s="688"/>
      <c r="BO857" s="693"/>
      <c r="BP857" s="689"/>
      <c r="BQ857" s="694"/>
      <c r="BR857" s="687"/>
      <c r="BS857" s="687"/>
      <c r="BT857" s="687"/>
      <c r="BU857" s="687"/>
      <c r="BV857" s="687"/>
      <c r="BW857" s="688"/>
      <c r="BX857" s="688"/>
      <c r="BY857" s="689"/>
      <c r="BZ857" s="690"/>
      <c r="CA857" s="690"/>
      <c r="CB857" s="690"/>
      <c r="CC857" s="691"/>
      <c r="CD857" s="691"/>
      <c r="CE857" s="692"/>
      <c r="CF857" s="692"/>
      <c r="CG857" s="692"/>
      <c r="CH857" s="693"/>
    </row>
    <row r="858">
      <c r="B858" s="687"/>
      <c r="C858" s="687"/>
      <c r="D858" s="688"/>
      <c r="E858" s="689"/>
      <c r="F858" s="690"/>
      <c r="G858" s="690"/>
      <c r="H858" s="690"/>
      <c r="I858" s="691"/>
      <c r="J858" s="691"/>
      <c r="K858" s="691"/>
      <c r="L858" s="692"/>
      <c r="M858" s="692"/>
      <c r="N858" s="692"/>
      <c r="O858" s="693"/>
      <c r="P858" s="688"/>
      <c r="Q858" s="688"/>
      <c r="R858" s="688"/>
      <c r="S858" s="688"/>
      <c r="T858" s="689"/>
      <c r="U858" s="689"/>
      <c r="V858" s="694"/>
      <c r="W858" s="694"/>
      <c r="X858" s="694"/>
      <c r="Y858" s="694"/>
      <c r="Z858" s="693"/>
      <c r="AA858" s="693"/>
      <c r="AB858" s="693"/>
      <c r="AC858" s="693"/>
      <c r="AD858" s="688"/>
      <c r="AE858" s="689"/>
      <c r="AF858" s="689"/>
      <c r="AG858" s="690"/>
      <c r="AH858" s="690"/>
      <c r="AI858" s="695"/>
      <c r="AJ858" s="695"/>
      <c r="AK858" s="692"/>
      <c r="AL858" s="692"/>
      <c r="AM858" s="693"/>
      <c r="AN858" s="688"/>
      <c r="AO858" s="688"/>
      <c r="AP858" s="688"/>
      <c r="AQ858" s="688"/>
      <c r="AR858" s="688"/>
      <c r="AS858" s="688"/>
      <c r="AT858" s="689"/>
      <c r="AU858" s="689"/>
      <c r="AV858" s="690"/>
      <c r="AW858" s="690"/>
      <c r="AX858" s="690"/>
      <c r="AY858" s="690"/>
      <c r="AZ858" s="690"/>
      <c r="BA858" s="690"/>
      <c r="BB858" s="695"/>
      <c r="BC858" s="695"/>
      <c r="BD858" s="695"/>
      <c r="BE858" s="695"/>
      <c r="BF858" s="692"/>
      <c r="BG858" s="692"/>
      <c r="BH858" s="692"/>
      <c r="BI858" s="692"/>
      <c r="BJ858" s="692"/>
      <c r="BK858" s="692"/>
      <c r="BL858" s="693"/>
      <c r="BM858" s="693"/>
      <c r="BN858" s="688"/>
      <c r="BO858" s="693"/>
      <c r="BP858" s="689"/>
      <c r="BQ858" s="694"/>
      <c r="BR858" s="687"/>
      <c r="BS858" s="687"/>
      <c r="BT858" s="687"/>
      <c r="BU858" s="687"/>
      <c r="BV858" s="687"/>
      <c r="BW858" s="688"/>
      <c r="BX858" s="688"/>
      <c r="BY858" s="689"/>
      <c r="BZ858" s="690"/>
      <c r="CA858" s="690"/>
      <c r="CB858" s="690"/>
      <c r="CC858" s="691"/>
      <c r="CD858" s="691"/>
      <c r="CE858" s="692"/>
      <c r="CF858" s="692"/>
      <c r="CG858" s="692"/>
      <c r="CH858" s="693"/>
    </row>
    <row r="859">
      <c r="B859" s="687"/>
      <c r="C859" s="687"/>
      <c r="D859" s="688"/>
      <c r="E859" s="689"/>
      <c r="F859" s="690"/>
      <c r="G859" s="690"/>
      <c r="H859" s="690"/>
      <c r="I859" s="691"/>
      <c r="J859" s="691"/>
      <c r="K859" s="691"/>
      <c r="L859" s="692"/>
      <c r="M859" s="692"/>
      <c r="N859" s="692"/>
      <c r="O859" s="693"/>
      <c r="P859" s="688"/>
      <c r="Q859" s="688"/>
      <c r="R859" s="688"/>
      <c r="S859" s="688"/>
      <c r="T859" s="689"/>
      <c r="U859" s="689"/>
      <c r="V859" s="694"/>
      <c r="W859" s="694"/>
      <c r="X859" s="694"/>
      <c r="Y859" s="694"/>
      <c r="Z859" s="693"/>
      <c r="AA859" s="693"/>
      <c r="AB859" s="693"/>
      <c r="AC859" s="693"/>
      <c r="AD859" s="688"/>
      <c r="AE859" s="689"/>
      <c r="AF859" s="689"/>
      <c r="AG859" s="690"/>
      <c r="AH859" s="690"/>
      <c r="AI859" s="695"/>
      <c r="AJ859" s="695"/>
      <c r="AK859" s="692"/>
      <c r="AL859" s="692"/>
      <c r="AM859" s="693"/>
      <c r="AN859" s="688"/>
      <c r="AO859" s="688"/>
      <c r="AP859" s="688"/>
      <c r="AQ859" s="688"/>
      <c r="AR859" s="688"/>
      <c r="AS859" s="688"/>
      <c r="AT859" s="689"/>
      <c r="AU859" s="689"/>
      <c r="AV859" s="690"/>
      <c r="AW859" s="690"/>
      <c r="AX859" s="690"/>
      <c r="AY859" s="690"/>
      <c r="AZ859" s="690"/>
      <c r="BA859" s="690"/>
      <c r="BB859" s="695"/>
      <c r="BC859" s="695"/>
      <c r="BD859" s="695"/>
      <c r="BE859" s="695"/>
      <c r="BF859" s="692"/>
      <c r="BG859" s="692"/>
      <c r="BH859" s="692"/>
      <c r="BI859" s="692"/>
      <c r="BJ859" s="692"/>
      <c r="BK859" s="692"/>
      <c r="BL859" s="693"/>
      <c r="BM859" s="693"/>
      <c r="BN859" s="688"/>
      <c r="BO859" s="693"/>
      <c r="BP859" s="689"/>
      <c r="BQ859" s="694"/>
      <c r="BR859" s="687"/>
      <c r="BS859" s="687"/>
      <c r="BT859" s="687"/>
      <c r="BU859" s="687"/>
      <c r="BV859" s="687"/>
      <c r="BW859" s="688"/>
      <c r="BX859" s="688"/>
      <c r="BY859" s="689"/>
      <c r="BZ859" s="690"/>
      <c r="CA859" s="690"/>
      <c r="CB859" s="690"/>
      <c r="CC859" s="691"/>
      <c r="CD859" s="691"/>
      <c r="CE859" s="692"/>
      <c r="CF859" s="692"/>
      <c r="CG859" s="692"/>
      <c r="CH859" s="693"/>
    </row>
    <row r="860">
      <c r="B860" s="687"/>
      <c r="C860" s="687"/>
      <c r="D860" s="688"/>
      <c r="E860" s="689"/>
      <c r="F860" s="690"/>
      <c r="G860" s="690"/>
      <c r="H860" s="690"/>
      <c r="I860" s="691"/>
      <c r="J860" s="691"/>
      <c r="K860" s="691"/>
      <c r="L860" s="692"/>
      <c r="M860" s="692"/>
      <c r="N860" s="692"/>
      <c r="O860" s="693"/>
      <c r="P860" s="688"/>
      <c r="Q860" s="688"/>
      <c r="R860" s="688"/>
      <c r="S860" s="688"/>
      <c r="T860" s="689"/>
      <c r="U860" s="689"/>
      <c r="V860" s="694"/>
      <c r="W860" s="694"/>
      <c r="X860" s="694"/>
      <c r="Y860" s="694"/>
      <c r="Z860" s="693"/>
      <c r="AA860" s="693"/>
      <c r="AB860" s="693"/>
      <c r="AC860" s="693"/>
      <c r="AD860" s="688"/>
      <c r="AE860" s="689"/>
      <c r="AF860" s="689"/>
      <c r="AG860" s="690"/>
      <c r="AH860" s="690"/>
      <c r="AI860" s="695"/>
      <c r="AJ860" s="695"/>
      <c r="AK860" s="692"/>
      <c r="AL860" s="692"/>
      <c r="AM860" s="693"/>
      <c r="AN860" s="688"/>
      <c r="AO860" s="688"/>
      <c r="AP860" s="688"/>
      <c r="AQ860" s="688"/>
      <c r="AR860" s="688"/>
      <c r="AS860" s="688"/>
      <c r="AT860" s="689"/>
      <c r="AU860" s="689"/>
      <c r="AV860" s="690"/>
      <c r="AW860" s="690"/>
      <c r="AX860" s="690"/>
      <c r="AY860" s="690"/>
      <c r="AZ860" s="690"/>
      <c r="BA860" s="690"/>
      <c r="BB860" s="695"/>
      <c r="BC860" s="695"/>
      <c r="BD860" s="695"/>
      <c r="BE860" s="695"/>
      <c r="BF860" s="692"/>
      <c r="BG860" s="692"/>
      <c r="BH860" s="692"/>
      <c r="BI860" s="692"/>
      <c r="BJ860" s="692"/>
      <c r="BK860" s="692"/>
      <c r="BL860" s="693"/>
      <c r="BM860" s="693"/>
      <c r="BN860" s="688"/>
      <c r="BO860" s="693"/>
      <c r="BP860" s="689"/>
      <c r="BQ860" s="694"/>
      <c r="BR860" s="687"/>
      <c r="BS860" s="687"/>
      <c r="BT860" s="687"/>
      <c r="BU860" s="687"/>
      <c r="BV860" s="687"/>
      <c r="BW860" s="688"/>
      <c r="BX860" s="688"/>
      <c r="BY860" s="689"/>
      <c r="BZ860" s="690"/>
      <c r="CA860" s="690"/>
      <c r="CB860" s="690"/>
      <c r="CC860" s="691"/>
      <c r="CD860" s="691"/>
      <c r="CE860" s="692"/>
      <c r="CF860" s="692"/>
      <c r="CG860" s="692"/>
      <c r="CH860" s="693"/>
    </row>
    <row r="861">
      <c r="B861" s="687"/>
      <c r="C861" s="687"/>
      <c r="D861" s="688"/>
      <c r="E861" s="689"/>
      <c r="F861" s="690"/>
      <c r="G861" s="690"/>
      <c r="H861" s="690"/>
      <c r="I861" s="691"/>
      <c r="J861" s="691"/>
      <c r="K861" s="691"/>
      <c r="L861" s="692"/>
      <c r="M861" s="692"/>
      <c r="N861" s="692"/>
      <c r="O861" s="693"/>
      <c r="P861" s="688"/>
      <c r="Q861" s="688"/>
      <c r="R861" s="688"/>
      <c r="S861" s="688"/>
      <c r="T861" s="689"/>
      <c r="U861" s="689"/>
      <c r="V861" s="694"/>
      <c r="W861" s="694"/>
      <c r="X861" s="694"/>
      <c r="Y861" s="694"/>
      <c r="Z861" s="693"/>
      <c r="AA861" s="693"/>
      <c r="AB861" s="693"/>
      <c r="AC861" s="693"/>
      <c r="AD861" s="688"/>
      <c r="AE861" s="689"/>
      <c r="AF861" s="689"/>
      <c r="AG861" s="690"/>
      <c r="AH861" s="690"/>
      <c r="AI861" s="695"/>
      <c r="AJ861" s="695"/>
      <c r="AK861" s="692"/>
      <c r="AL861" s="692"/>
      <c r="AM861" s="693"/>
      <c r="AN861" s="688"/>
      <c r="AO861" s="688"/>
      <c r="AP861" s="688"/>
      <c r="AQ861" s="688"/>
      <c r="AR861" s="688"/>
      <c r="AS861" s="688"/>
      <c r="AT861" s="689"/>
      <c r="AU861" s="689"/>
      <c r="AV861" s="690"/>
      <c r="AW861" s="690"/>
      <c r="AX861" s="690"/>
      <c r="AY861" s="690"/>
      <c r="AZ861" s="690"/>
      <c r="BA861" s="690"/>
      <c r="BB861" s="695"/>
      <c r="BC861" s="695"/>
      <c r="BD861" s="695"/>
      <c r="BE861" s="695"/>
      <c r="BF861" s="692"/>
      <c r="BG861" s="692"/>
      <c r="BH861" s="692"/>
      <c r="BI861" s="692"/>
      <c r="BJ861" s="692"/>
      <c r="BK861" s="692"/>
      <c r="BL861" s="693"/>
      <c r="BM861" s="693"/>
      <c r="BN861" s="688"/>
      <c r="BO861" s="693"/>
      <c r="BP861" s="689"/>
      <c r="BQ861" s="694"/>
      <c r="BR861" s="687"/>
      <c r="BS861" s="687"/>
      <c r="BT861" s="687"/>
      <c r="BU861" s="687"/>
      <c r="BV861" s="687"/>
      <c r="BW861" s="688"/>
      <c r="BX861" s="688"/>
      <c r="BY861" s="689"/>
      <c r="BZ861" s="690"/>
      <c r="CA861" s="690"/>
      <c r="CB861" s="690"/>
      <c r="CC861" s="691"/>
      <c r="CD861" s="691"/>
      <c r="CE861" s="692"/>
      <c r="CF861" s="692"/>
      <c r="CG861" s="692"/>
      <c r="CH861" s="693"/>
    </row>
    <row r="862">
      <c r="B862" s="687"/>
      <c r="C862" s="687"/>
      <c r="D862" s="688"/>
      <c r="E862" s="689"/>
      <c r="F862" s="690"/>
      <c r="G862" s="690"/>
      <c r="H862" s="690"/>
      <c r="I862" s="691"/>
      <c r="J862" s="691"/>
      <c r="K862" s="691"/>
      <c r="L862" s="692"/>
      <c r="M862" s="692"/>
      <c r="N862" s="692"/>
      <c r="O862" s="693"/>
      <c r="P862" s="688"/>
      <c r="Q862" s="688"/>
      <c r="R862" s="688"/>
      <c r="S862" s="688"/>
      <c r="T862" s="689"/>
      <c r="U862" s="689"/>
      <c r="V862" s="694"/>
      <c r="W862" s="694"/>
      <c r="X862" s="694"/>
      <c r="Y862" s="694"/>
      <c r="Z862" s="693"/>
      <c r="AA862" s="693"/>
      <c r="AB862" s="693"/>
      <c r="AC862" s="693"/>
      <c r="AD862" s="688"/>
      <c r="AE862" s="689"/>
      <c r="AF862" s="689"/>
      <c r="AG862" s="690"/>
      <c r="AH862" s="690"/>
      <c r="AI862" s="695"/>
      <c r="AJ862" s="695"/>
      <c r="AK862" s="692"/>
      <c r="AL862" s="692"/>
      <c r="AM862" s="693"/>
      <c r="AN862" s="688"/>
      <c r="AO862" s="688"/>
      <c r="AP862" s="688"/>
      <c r="AQ862" s="688"/>
      <c r="AR862" s="688"/>
      <c r="AS862" s="688"/>
      <c r="AT862" s="689"/>
      <c r="AU862" s="689"/>
      <c r="AV862" s="690"/>
      <c r="AW862" s="690"/>
      <c r="AX862" s="690"/>
      <c r="AY862" s="690"/>
      <c r="AZ862" s="690"/>
      <c r="BA862" s="690"/>
      <c r="BB862" s="695"/>
      <c r="BC862" s="695"/>
      <c r="BD862" s="695"/>
      <c r="BE862" s="695"/>
      <c r="BF862" s="692"/>
      <c r="BG862" s="692"/>
      <c r="BH862" s="692"/>
      <c r="BI862" s="692"/>
      <c r="BJ862" s="692"/>
      <c r="BK862" s="692"/>
      <c r="BL862" s="693"/>
      <c r="BM862" s="693"/>
      <c r="BN862" s="688"/>
      <c r="BO862" s="693"/>
      <c r="BP862" s="689"/>
      <c r="BQ862" s="694"/>
      <c r="BR862" s="687"/>
      <c r="BS862" s="687"/>
      <c r="BT862" s="687"/>
      <c r="BU862" s="687"/>
      <c r="BV862" s="687"/>
      <c r="BW862" s="688"/>
      <c r="BX862" s="688"/>
      <c r="BY862" s="689"/>
      <c r="BZ862" s="690"/>
      <c r="CA862" s="690"/>
      <c r="CB862" s="690"/>
      <c r="CC862" s="691"/>
      <c r="CD862" s="691"/>
      <c r="CE862" s="692"/>
      <c r="CF862" s="692"/>
      <c r="CG862" s="692"/>
      <c r="CH862" s="693"/>
    </row>
    <row r="863">
      <c r="B863" s="687"/>
      <c r="C863" s="687"/>
      <c r="D863" s="688"/>
      <c r="E863" s="689"/>
      <c r="F863" s="690"/>
      <c r="G863" s="690"/>
      <c r="H863" s="690"/>
      <c r="I863" s="691"/>
      <c r="J863" s="691"/>
      <c r="K863" s="691"/>
      <c r="L863" s="692"/>
      <c r="M863" s="692"/>
      <c r="N863" s="692"/>
      <c r="O863" s="693"/>
      <c r="P863" s="688"/>
      <c r="Q863" s="688"/>
      <c r="R863" s="688"/>
      <c r="S863" s="688"/>
      <c r="T863" s="689"/>
      <c r="U863" s="689"/>
      <c r="V863" s="694"/>
      <c r="W863" s="694"/>
      <c r="X863" s="694"/>
      <c r="Y863" s="694"/>
      <c r="Z863" s="693"/>
      <c r="AA863" s="693"/>
      <c r="AB863" s="693"/>
      <c r="AC863" s="693"/>
      <c r="AD863" s="688"/>
      <c r="AE863" s="689"/>
      <c r="AF863" s="689"/>
      <c r="AG863" s="690"/>
      <c r="AH863" s="690"/>
      <c r="AI863" s="695"/>
      <c r="AJ863" s="695"/>
      <c r="AK863" s="692"/>
      <c r="AL863" s="692"/>
      <c r="AM863" s="693"/>
      <c r="AN863" s="688"/>
      <c r="AO863" s="688"/>
      <c r="AP863" s="688"/>
      <c r="AQ863" s="688"/>
      <c r="AR863" s="688"/>
      <c r="AS863" s="688"/>
      <c r="AT863" s="689"/>
      <c r="AU863" s="689"/>
      <c r="AV863" s="690"/>
      <c r="AW863" s="690"/>
      <c r="AX863" s="690"/>
      <c r="AY863" s="690"/>
      <c r="AZ863" s="690"/>
      <c r="BA863" s="690"/>
      <c r="BB863" s="695"/>
      <c r="BC863" s="695"/>
      <c r="BD863" s="695"/>
      <c r="BE863" s="695"/>
      <c r="BF863" s="692"/>
      <c r="BG863" s="692"/>
      <c r="BH863" s="692"/>
      <c r="BI863" s="692"/>
      <c r="BJ863" s="692"/>
      <c r="BK863" s="692"/>
      <c r="BL863" s="693"/>
      <c r="BM863" s="693"/>
      <c r="BN863" s="688"/>
      <c r="BO863" s="693"/>
      <c r="BP863" s="689"/>
      <c r="BQ863" s="694"/>
      <c r="BR863" s="687"/>
      <c r="BS863" s="687"/>
      <c r="BT863" s="687"/>
      <c r="BU863" s="687"/>
      <c r="BV863" s="687"/>
      <c r="BW863" s="688"/>
      <c r="BX863" s="688"/>
      <c r="BY863" s="689"/>
      <c r="BZ863" s="690"/>
      <c r="CA863" s="690"/>
      <c r="CB863" s="690"/>
      <c r="CC863" s="691"/>
      <c r="CD863" s="691"/>
      <c r="CE863" s="692"/>
      <c r="CF863" s="692"/>
      <c r="CG863" s="692"/>
      <c r="CH863" s="693"/>
    </row>
    <row r="864">
      <c r="B864" s="687"/>
      <c r="C864" s="687"/>
      <c r="D864" s="688"/>
      <c r="E864" s="689"/>
      <c r="F864" s="690"/>
      <c r="G864" s="690"/>
      <c r="H864" s="690"/>
      <c r="I864" s="691"/>
      <c r="J864" s="691"/>
      <c r="K864" s="691"/>
      <c r="L864" s="692"/>
      <c r="M864" s="692"/>
      <c r="N864" s="692"/>
      <c r="O864" s="693"/>
      <c r="P864" s="688"/>
      <c r="Q864" s="688"/>
      <c r="R864" s="688"/>
      <c r="S864" s="688"/>
      <c r="T864" s="689"/>
      <c r="U864" s="689"/>
      <c r="V864" s="694"/>
      <c r="W864" s="694"/>
      <c r="X864" s="694"/>
      <c r="Y864" s="694"/>
      <c r="Z864" s="693"/>
      <c r="AA864" s="693"/>
      <c r="AB864" s="693"/>
      <c r="AC864" s="693"/>
      <c r="AD864" s="688"/>
      <c r="AE864" s="689"/>
      <c r="AF864" s="689"/>
      <c r="AG864" s="690"/>
      <c r="AH864" s="690"/>
      <c r="AI864" s="695"/>
      <c r="AJ864" s="695"/>
      <c r="AK864" s="692"/>
      <c r="AL864" s="692"/>
      <c r="AM864" s="693"/>
      <c r="AN864" s="688"/>
      <c r="AO864" s="688"/>
      <c r="AP864" s="688"/>
      <c r="AQ864" s="688"/>
      <c r="AR864" s="688"/>
      <c r="AS864" s="688"/>
      <c r="AT864" s="689"/>
      <c r="AU864" s="689"/>
      <c r="AV864" s="690"/>
      <c r="AW864" s="690"/>
      <c r="AX864" s="690"/>
      <c r="AY864" s="690"/>
      <c r="AZ864" s="690"/>
      <c r="BA864" s="690"/>
      <c r="BB864" s="695"/>
      <c r="BC864" s="695"/>
      <c r="BD864" s="695"/>
      <c r="BE864" s="695"/>
      <c r="BF864" s="692"/>
      <c r="BG864" s="692"/>
      <c r="BH864" s="692"/>
      <c r="BI864" s="692"/>
      <c r="BJ864" s="692"/>
      <c r="BK864" s="692"/>
      <c r="BL864" s="693"/>
      <c r="BM864" s="693"/>
      <c r="BN864" s="688"/>
      <c r="BO864" s="693"/>
      <c r="BP864" s="689"/>
      <c r="BQ864" s="694"/>
      <c r="BR864" s="687"/>
      <c r="BS864" s="687"/>
      <c r="BT864" s="687"/>
      <c r="BU864" s="687"/>
      <c r="BV864" s="687"/>
      <c r="BW864" s="688"/>
      <c r="BX864" s="688"/>
      <c r="BY864" s="689"/>
      <c r="BZ864" s="690"/>
      <c r="CA864" s="690"/>
      <c r="CB864" s="690"/>
      <c r="CC864" s="691"/>
      <c r="CD864" s="691"/>
      <c r="CE864" s="692"/>
      <c r="CF864" s="692"/>
      <c r="CG864" s="692"/>
      <c r="CH864" s="693"/>
    </row>
    <row r="865">
      <c r="B865" s="687"/>
      <c r="C865" s="687"/>
      <c r="D865" s="688"/>
      <c r="E865" s="689"/>
      <c r="F865" s="690"/>
      <c r="G865" s="690"/>
      <c r="H865" s="690"/>
      <c r="I865" s="691"/>
      <c r="J865" s="691"/>
      <c r="K865" s="691"/>
      <c r="L865" s="692"/>
      <c r="M865" s="692"/>
      <c r="N865" s="692"/>
      <c r="O865" s="693"/>
      <c r="P865" s="688"/>
      <c r="Q865" s="688"/>
      <c r="R865" s="688"/>
      <c r="S865" s="688"/>
      <c r="T865" s="689"/>
      <c r="U865" s="689"/>
      <c r="V865" s="694"/>
      <c r="W865" s="694"/>
      <c r="X865" s="694"/>
      <c r="Y865" s="694"/>
      <c r="Z865" s="693"/>
      <c r="AA865" s="693"/>
      <c r="AB865" s="693"/>
      <c r="AC865" s="693"/>
      <c r="AD865" s="688"/>
      <c r="AE865" s="689"/>
      <c r="AF865" s="689"/>
      <c r="AG865" s="690"/>
      <c r="AH865" s="690"/>
      <c r="AI865" s="695"/>
      <c r="AJ865" s="695"/>
      <c r="AK865" s="692"/>
      <c r="AL865" s="692"/>
      <c r="AM865" s="693"/>
      <c r="AN865" s="688"/>
      <c r="AO865" s="688"/>
      <c r="AP865" s="688"/>
      <c r="AQ865" s="688"/>
      <c r="AR865" s="688"/>
      <c r="AS865" s="688"/>
      <c r="AT865" s="689"/>
      <c r="AU865" s="689"/>
      <c r="AV865" s="690"/>
      <c r="AW865" s="690"/>
      <c r="AX865" s="690"/>
      <c r="AY865" s="690"/>
      <c r="AZ865" s="690"/>
      <c r="BA865" s="690"/>
      <c r="BB865" s="695"/>
      <c r="BC865" s="695"/>
      <c r="BD865" s="695"/>
      <c r="BE865" s="695"/>
      <c r="BF865" s="692"/>
      <c r="BG865" s="692"/>
      <c r="BH865" s="692"/>
      <c r="BI865" s="692"/>
      <c r="BJ865" s="692"/>
      <c r="BK865" s="692"/>
      <c r="BL865" s="693"/>
      <c r="BM865" s="693"/>
      <c r="BN865" s="688"/>
      <c r="BO865" s="693"/>
      <c r="BP865" s="689"/>
      <c r="BQ865" s="694"/>
      <c r="BR865" s="687"/>
      <c r="BS865" s="687"/>
      <c r="BT865" s="687"/>
      <c r="BU865" s="687"/>
      <c r="BV865" s="687"/>
      <c r="BW865" s="688"/>
      <c r="BX865" s="688"/>
      <c r="BY865" s="689"/>
      <c r="BZ865" s="690"/>
      <c r="CA865" s="690"/>
      <c r="CB865" s="690"/>
      <c r="CC865" s="691"/>
      <c r="CD865" s="691"/>
      <c r="CE865" s="692"/>
      <c r="CF865" s="692"/>
      <c r="CG865" s="692"/>
      <c r="CH865" s="693"/>
    </row>
    <row r="866">
      <c r="B866" s="687"/>
      <c r="C866" s="687"/>
      <c r="D866" s="688"/>
      <c r="E866" s="689"/>
      <c r="F866" s="690"/>
      <c r="G866" s="690"/>
      <c r="H866" s="690"/>
      <c r="I866" s="691"/>
      <c r="J866" s="691"/>
      <c r="K866" s="691"/>
      <c r="L866" s="692"/>
      <c r="M866" s="692"/>
      <c r="N866" s="692"/>
      <c r="O866" s="693"/>
      <c r="P866" s="688"/>
      <c r="Q866" s="688"/>
      <c r="R866" s="688"/>
      <c r="S866" s="688"/>
      <c r="T866" s="689"/>
      <c r="U866" s="689"/>
      <c r="V866" s="694"/>
      <c r="W866" s="694"/>
      <c r="X866" s="694"/>
      <c r="Y866" s="694"/>
      <c r="Z866" s="693"/>
      <c r="AA866" s="693"/>
      <c r="AB866" s="693"/>
      <c r="AC866" s="693"/>
      <c r="AD866" s="688"/>
      <c r="AE866" s="689"/>
      <c r="AF866" s="689"/>
      <c r="AG866" s="690"/>
      <c r="AH866" s="690"/>
      <c r="AI866" s="695"/>
      <c r="AJ866" s="695"/>
      <c r="AK866" s="692"/>
      <c r="AL866" s="692"/>
      <c r="AM866" s="693"/>
      <c r="AN866" s="688"/>
      <c r="AO866" s="688"/>
      <c r="AP866" s="688"/>
      <c r="AQ866" s="688"/>
      <c r="AR866" s="688"/>
      <c r="AS866" s="688"/>
      <c r="AT866" s="689"/>
      <c r="AU866" s="689"/>
      <c r="AV866" s="690"/>
      <c r="AW866" s="690"/>
      <c r="AX866" s="690"/>
      <c r="AY866" s="690"/>
      <c r="AZ866" s="690"/>
      <c r="BA866" s="690"/>
      <c r="BB866" s="695"/>
      <c r="BC866" s="695"/>
      <c r="BD866" s="695"/>
      <c r="BE866" s="695"/>
      <c r="BF866" s="692"/>
      <c r="BG866" s="692"/>
      <c r="BH866" s="692"/>
      <c r="BI866" s="692"/>
      <c r="BJ866" s="692"/>
      <c r="BK866" s="692"/>
      <c r="BL866" s="693"/>
      <c r="BM866" s="693"/>
      <c r="BN866" s="688"/>
      <c r="BO866" s="693"/>
      <c r="BP866" s="689"/>
      <c r="BQ866" s="694"/>
      <c r="BR866" s="687"/>
      <c r="BS866" s="687"/>
      <c r="BT866" s="687"/>
      <c r="BU866" s="687"/>
      <c r="BV866" s="687"/>
      <c r="BW866" s="688"/>
      <c r="BX866" s="688"/>
      <c r="BY866" s="689"/>
      <c r="BZ866" s="690"/>
      <c r="CA866" s="690"/>
      <c r="CB866" s="690"/>
      <c r="CC866" s="691"/>
      <c r="CD866" s="691"/>
      <c r="CE866" s="692"/>
      <c r="CF866" s="692"/>
      <c r="CG866" s="692"/>
      <c r="CH866" s="693"/>
    </row>
    <row r="867">
      <c r="B867" s="687"/>
      <c r="C867" s="687"/>
      <c r="D867" s="688"/>
      <c r="E867" s="689"/>
      <c r="F867" s="690"/>
      <c r="G867" s="690"/>
      <c r="H867" s="690"/>
      <c r="I867" s="691"/>
      <c r="J867" s="691"/>
      <c r="K867" s="691"/>
      <c r="L867" s="692"/>
      <c r="M867" s="692"/>
      <c r="N867" s="692"/>
      <c r="O867" s="693"/>
      <c r="P867" s="688"/>
      <c r="Q867" s="688"/>
      <c r="R867" s="688"/>
      <c r="S867" s="688"/>
      <c r="T867" s="689"/>
      <c r="U867" s="689"/>
      <c r="V867" s="694"/>
      <c r="W867" s="694"/>
      <c r="X867" s="694"/>
      <c r="Y867" s="694"/>
      <c r="Z867" s="693"/>
      <c r="AA867" s="693"/>
      <c r="AB867" s="693"/>
      <c r="AC867" s="693"/>
      <c r="AD867" s="688"/>
      <c r="AE867" s="689"/>
      <c r="AF867" s="689"/>
      <c r="AG867" s="690"/>
      <c r="AH867" s="690"/>
      <c r="AI867" s="695"/>
      <c r="AJ867" s="695"/>
      <c r="AK867" s="692"/>
      <c r="AL867" s="692"/>
      <c r="AM867" s="693"/>
      <c r="AN867" s="688"/>
      <c r="AO867" s="688"/>
      <c r="AP867" s="688"/>
      <c r="AQ867" s="688"/>
      <c r="AR867" s="688"/>
      <c r="AS867" s="688"/>
      <c r="AT867" s="689"/>
      <c r="AU867" s="689"/>
      <c r="AV867" s="690"/>
      <c r="AW867" s="690"/>
      <c r="AX867" s="690"/>
      <c r="AY867" s="690"/>
      <c r="AZ867" s="690"/>
      <c r="BA867" s="690"/>
      <c r="BB867" s="695"/>
      <c r="BC867" s="695"/>
      <c r="BD867" s="695"/>
      <c r="BE867" s="695"/>
      <c r="BF867" s="692"/>
      <c r="BG867" s="692"/>
      <c r="BH867" s="692"/>
      <c r="BI867" s="692"/>
      <c r="BJ867" s="692"/>
      <c r="BK867" s="692"/>
      <c r="BL867" s="693"/>
      <c r="BM867" s="693"/>
      <c r="BN867" s="688"/>
      <c r="BO867" s="693"/>
      <c r="BP867" s="689"/>
      <c r="BQ867" s="694"/>
      <c r="BR867" s="687"/>
      <c r="BS867" s="687"/>
      <c r="BT867" s="687"/>
      <c r="BU867" s="687"/>
      <c r="BV867" s="687"/>
      <c r="BW867" s="688"/>
      <c r="BX867" s="688"/>
      <c r="BY867" s="689"/>
      <c r="BZ867" s="690"/>
      <c r="CA867" s="690"/>
      <c r="CB867" s="690"/>
      <c r="CC867" s="691"/>
      <c r="CD867" s="691"/>
      <c r="CE867" s="692"/>
      <c r="CF867" s="692"/>
      <c r="CG867" s="692"/>
      <c r="CH867" s="693"/>
    </row>
    <row r="868">
      <c r="B868" s="687"/>
      <c r="C868" s="687"/>
      <c r="D868" s="688"/>
      <c r="E868" s="689"/>
      <c r="F868" s="690"/>
      <c r="G868" s="690"/>
      <c r="H868" s="690"/>
      <c r="I868" s="691"/>
      <c r="J868" s="691"/>
      <c r="K868" s="691"/>
      <c r="L868" s="692"/>
      <c r="M868" s="692"/>
      <c r="N868" s="692"/>
      <c r="O868" s="693"/>
      <c r="P868" s="688"/>
      <c r="Q868" s="688"/>
      <c r="R868" s="688"/>
      <c r="S868" s="688"/>
      <c r="T868" s="689"/>
      <c r="U868" s="689"/>
      <c r="V868" s="694"/>
      <c r="W868" s="694"/>
      <c r="X868" s="694"/>
      <c r="Y868" s="694"/>
      <c r="Z868" s="693"/>
      <c r="AA868" s="693"/>
      <c r="AB868" s="693"/>
      <c r="AC868" s="693"/>
      <c r="AD868" s="688"/>
      <c r="AE868" s="689"/>
      <c r="AF868" s="689"/>
      <c r="AG868" s="690"/>
      <c r="AH868" s="690"/>
      <c r="AI868" s="695"/>
      <c r="AJ868" s="695"/>
      <c r="AK868" s="692"/>
      <c r="AL868" s="692"/>
      <c r="AM868" s="693"/>
      <c r="AN868" s="688"/>
      <c r="AO868" s="688"/>
      <c r="AP868" s="688"/>
      <c r="AQ868" s="688"/>
      <c r="AR868" s="688"/>
      <c r="AS868" s="688"/>
      <c r="AT868" s="689"/>
      <c r="AU868" s="689"/>
      <c r="AV868" s="690"/>
      <c r="AW868" s="690"/>
      <c r="AX868" s="690"/>
      <c r="AY868" s="690"/>
      <c r="AZ868" s="690"/>
      <c r="BA868" s="690"/>
      <c r="BB868" s="695"/>
      <c r="BC868" s="695"/>
      <c r="BD868" s="695"/>
      <c r="BE868" s="695"/>
      <c r="BF868" s="692"/>
      <c r="BG868" s="692"/>
      <c r="BH868" s="692"/>
      <c r="BI868" s="692"/>
      <c r="BJ868" s="692"/>
      <c r="BK868" s="692"/>
      <c r="BL868" s="693"/>
      <c r="BM868" s="693"/>
      <c r="BN868" s="688"/>
      <c r="BO868" s="693"/>
      <c r="BP868" s="689"/>
      <c r="BQ868" s="694"/>
      <c r="BR868" s="687"/>
      <c r="BS868" s="687"/>
      <c r="BT868" s="687"/>
      <c r="BU868" s="687"/>
      <c r="BV868" s="687"/>
      <c r="BW868" s="688"/>
      <c r="BX868" s="688"/>
      <c r="BY868" s="689"/>
      <c r="BZ868" s="690"/>
      <c r="CA868" s="690"/>
      <c r="CB868" s="690"/>
      <c r="CC868" s="691"/>
      <c r="CD868" s="691"/>
      <c r="CE868" s="692"/>
      <c r="CF868" s="692"/>
      <c r="CG868" s="692"/>
      <c r="CH868" s="693"/>
    </row>
    <row r="869">
      <c r="B869" s="687"/>
      <c r="C869" s="687"/>
      <c r="D869" s="688"/>
      <c r="E869" s="689"/>
      <c r="F869" s="690"/>
      <c r="G869" s="690"/>
      <c r="H869" s="690"/>
      <c r="I869" s="691"/>
      <c r="J869" s="691"/>
      <c r="K869" s="691"/>
      <c r="L869" s="692"/>
      <c r="M869" s="692"/>
      <c r="N869" s="692"/>
      <c r="O869" s="693"/>
      <c r="P869" s="688"/>
      <c r="Q869" s="688"/>
      <c r="R869" s="688"/>
      <c r="S869" s="688"/>
      <c r="T869" s="689"/>
      <c r="U869" s="689"/>
      <c r="V869" s="694"/>
      <c r="W869" s="694"/>
      <c r="X869" s="694"/>
      <c r="Y869" s="694"/>
      <c r="Z869" s="693"/>
      <c r="AA869" s="693"/>
      <c r="AB869" s="693"/>
      <c r="AC869" s="693"/>
      <c r="AD869" s="688"/>
      <c r="AE869" s="689"/>
      <c r="AF869" s="689"/>
      <c r="AG869" s="690"/>
      <c r="AH869" s="690"/>
      <c r="AI869" s="695"/>
      <c r="AJ869" s="695"/>
      <c r="AK869" s="692"/>
      <c r="AL869" s="692"/>
      <c r="AM869" s="693"/>
      <c r="AN869" s="688"/>
      <c r="AO869" s="688"/>
      <c r="AP869" s="688"/>
      <c r="AQ869" s="688"/>
      <c r="AR869" s="688"/>
      <c r="AS869" s="688"/>
      <c r="AT869" s="689"/>
      <c r="AU869" s="689"/>
      <c r="AV869" s="690"/>
      <c r="AW869" s="690"/>
      <c r="AX869" s="690"/>
      <c r="AY869" s="690"/>
      <c r="AZ869" s="690"/>
      <c r="BA869" s="690"/>
      <c r="BB869" s="695"/>
      <c r="BC869" s="695"/>
      <c r="BD869" s="695"/>
      <c r="BE869" s="695"/>
      <c r="BF869" s="692"/>
      <c r="BG869" s="692"/>
      <c r="BH869" s="692"/>
      <c r="BI869" s="692"/>
      <c r="BJ869" s="692"/>
      <c r="BK869" s="692"/>
      <c r="BL869" s="693"/>
      <c r="BM869" s="693"/>
      <c r="BN869" s="688"/>
      <c r="BO869" s="693"/>
      <c r="BP869" s="689"/>
      <c r="BQ869" s="694"/>
      <c r="BR869" s="687"/>
      <c r="BS869" s="687"/>
      <c r="BT869" s="687"/>
      <c r="BU869" s="687"/>
      <c r="BV869" s="687"/>
      <c r="BW869" s="688"/>
      <c r="BX869" s="688"/>
      <c r="BY869" s="689"/>
      <c r="BZ869" s="690"/>
      <c r="CA869" s="690"/>
      <c r="CB869" s="690"/>
      <c r="CC869" s="691"/>
      <c r="CD869" s="691"/>
      <c r="CE869" s="692"/>
      <c r="CF869" s="692"/>
      <c r="CG869" s="692"/>
      <c r="CH869" s="693"/>
    </row>
    <row r="870">
      <c r="B870" s="687"/>
      <c r="C870" s="687"/>
      <c r="D870" s="688"/>
      <c r="E870" s="689"/>
      <c r="F870" s="690"/>
      <c r="G870" s="690"/>
      <c r="H870" s="690"/>
      <c r="I870" s="691"/>
      <c r="J870" s="691"/>
      <c r="K870" s="691"/>
      <c r="L870" s="692"/>
      <c r="M870" s="692"/>
      <c r="N870" s="692"/>
      <c r="O870" s="693"/>
      <c r="P870" s="688"/>
      <c r="Q870" s="688"/>
      <c r="R870" s="688"/>
      <c r="S870" s="688"/>
      <c r="T870" s="689"/>
      <c r="U870" s="689"/>
      <c r="V870" s="694"/>
      <c r="W870" s="694"/>
      <c r="X870" s="694"/>
      <c r="Y870" s="694"/>
      <c r="Z870" s="693"/>
      <c r="AA870" s="693"/>
      <c r="AB870" s="693"/>
      <c r="AC870" s="693"/>
      <c r="AD870" s="688"/>
      <c r="AE870" s="689"/>
      <c r="AF870" s="689"/>
      <c r="AG870" s="690"/>
      <c r="AH870" s="690"/>
      <c r="AI870" s="695"/>
      <c r="AJ870" s="695"/>
      <c r="AK870" s="692"/>
      <c r="AL870" s="692"/>
      <c r="AM870" s="693"/>
      <c r="AN870" s="688"/>
      <c r="AO870" s="688"/>
      <c r="AP870" s="688"/>
      <c r="AQ870" s="688"/>
      <c r="AR870" s="688"/>
      <c r="AS870" s="688"/>
      <c r="AT870" s="689"/>
      <c r="AU870" s="689"/>
      <c r="AV870" s="690"/>
      <c r="AW870" s="690"/>
      <c r="AX870" s="690"/>
      <c r="AY870" s="690"/>
      <c r="AZ870" s="690"/>
      <c r="BA870" s="690"/>
      <c r="BB870" s="695"/>
      <c r="BC870" s="695"/>
      <c r="BD870" s="695"/>
      <c r="BE870" s="695"/>
      <c r="BF870" s="692"/>
      <c r="BG870" s="692"/>
      <c r="BH870" s="692"/>
      <c r="BI870" s="692"/>
      <c r="BJ870" s="692"/>
      <c r="BK870" s="692"/>
      <c r="BL870" s="693"/>
      <c r="BM870" s="693"/>
      <c r="BN870" s="688"/>
      <c r="BO870" s="693"/>
      <c r="BP870" s="689"/>
      <c r="BQ870" s="694"/>
      <c r="BR870" s="687"/>
      <c r="BS870" s="687"/>
      <c r="BT870" s="687"/>
      <c r="BU870" s="687"/>
      <c r="BV870" s="687"/>
      <c r="BW870" s="688"/>
      <c r="BX870" s="688"/>
      <c r="BY870" s="689"/>
      <c r="BZ870" s="690"/>
      <c r="CA870" s="690"/>
      <c r="CB870" s="690"/>
      <c r="CC870" s="691"/>
      <c r="CD870" s="691"/>
      <c r="CE870" s="692"/>
      <c r="CF870" s="692"/>
      <c r="CG870" s="692"/>
      <c r="CH870" s="693"/>
    </row>
    <row r="871">
      <c r="B871" s="687"/>
      <c r="C871" s="687"/>
      <c r="D871" s="688"/>
      <c r="E871" s="689"/>
      <c r="F871" s="690"/>
      <c r="G871" s="690"/>
      <c r="H871" s="690"/>
      <c r="I871" s="691"/>
      <c r="J871" s="691"/>
      <c r="K871" s="691"/>
      <c r="L871" s="692"/>
      <c r="M871" s="692"/>
      <c r="N871" s="692"/>
      <c r="O871" s="693"/>
      <c r="P871" s="688"/>
      <c r="Q871" s="688"/>
      <c r="R871" s="688"/>
      <c r="S871" s="688"/>
      <c r="T871" s="689"/>
      <c r="U871" s="689"/>
      <c r="V871" s="694"/>
      <c r="W871" s="694"/>
      <c r="X871" s="694"/>
      <c r="Y871" s="694"/>
      <c r="Z871" s="693"/>
      <c r="AA871" s="693"/>
      <c r="AB871" s="693"/>
      <c r="AC871" s="693"/>
      <c r="AD871" s="688"/>
      <c r="AE871" s="689"/>
      <c r="AF871" s="689"/>
      <c r="AG871" s="690"/>
      <c r="AH871" s="690"/>
      <c r="AI871" s="695"/>
      <c r="AJ871" s="695"/>
      <c r="AK871" s="692"/>
      <c r="AL871" s="692"/>
      <c r="AM871" s="693"/>
      <c r="AN871" s="688"/>
      <c r="AO871" s="688"/>
      <c r="AP871" s="688"/>
      <c r="AQ871" s="688"/>
      <c r="AR871" s="688"/>
      <c r="AS871" s="688"/>
      <c r="AT871" s="689"/>
      <c r="AU871" s="689"/>
      <c r="AV871" s="690"/>
      <c r="AW871" s="690"/>
      <c r="AX871" s="690"/>
      <c r="AY871" s="690"/>
      <c r="AZ871" s="690"/>
      <c r="BA871" s="690"/>
      <c r="BB871" s="695"/>
      <c r="BC871" s="695"/>
      <c r="BD871" s="695"/>
      <c r="BE871" s="695"/>
      <c r="BF871" s="692"/>
      <c r="BG871" s="692"/>
      <c r="BH871" s="692"/>
      <c r="BI871" s="692"/>
      <c r="BJ871" s="692"/>
      <c r="BK871" s="692"/>
      <c r="BL871" s="693"/>
      <c r="BM871" s="693"/>
      <c r="BN871" s="688"/>
      <c r="BO871" s="693"/>
      <c r="BP871" s="689"/>
      <c r="BQ871" s="694"/>
      <c r="BR871" s="687"/>
      <c r="BS871" s="687"/>
      <c r="BT871" s="687"/>
      <c r="BU871" s="687"/>
      <c r="BV871" s="687"/>
      <c r="BW871" s="688"/>
      <c r="BX871" s="688"/>
      <c r="BY871" s="689"/>
      <c r="BZ871" s="690"/>
      <c r="CA871" s="690"/>
      <c r="CB871" s="690"/>
      <c r="CC871" s="691"/>
      <c r="CD871" s="691"/>
      <c r="CE871" s="692"/>
      <c r="CF871" s="692"/>
      <c r="CG871" s="692"/>
      <c r="CH871" s="693"/>
    </row>
    <row r="872">
      <c r="B872" s="687"/>
      <c r="C872" s="687"/>
      <c r="D872" s="688"/>
      <c r="E872" s="689"/>
      <c r="F872" s="690"/>
      <c r="G872" s="690"/>
      <c r="H872" s="690"/>
      <c r="I872" s="691"/>
      <c r="J872" s="691"/>
      <c r="K872" s="691"/>
      <c r="L872" s="692"/>
      <c r="M872" s="692"/>
      <c r="N872" s="692"/>
      <c r="O872" s="693"/>
      <c r="P872" s="688"/>
      <c r="Q872" s="688"/>
      <c r="R872" s="688"/>
      <c r="S872" s="688"/>
      <c r="T872" s="689"/>
      <c r="U872" s="689"/>
      <c r="V872" s="694"/>
      <c r="W872" s="694"/>
      <c r="X872" s="694"/>
      <c r="Y872" s="694"/>
      <c r="Z872" s="693"/>
      <c r="AA872" s="693"/>
      <c r="AB872" s="693"/>
      <c r="AC872" s="693"/>
      <c r="AD872" s="688"/>
      <c r="AE872" s="689"/>
      <c r="AF872" s="689"/>
      <c r="AG872" s="690"/>
      <c r="AH872" s="690"/>
      <c r="AI872" s="695"/>
      <c r="AJ872" s="695"/>
      <c r="AK872" s="692"/>
      <c r="AL872" s="692"/>
      <c r="AM872" s="693"/>
      <c r="AN872" s="688"/>
      <c r="AO872" s="688"/>
      <c r="AP872" s="688"/>
      <c r="AQ872" s="688"/>
      <c r="AR872" s="688"/>
      <c r="AS872" s="688"/>
      <c r="AT872" s="689"/>
      <c r="AU872" s="689"/>
      <c r="AV872" s="690"/>
      <c r="AW872" s="690"/>
      <c r="AX872" s="690"/>
      <c r="AY872" s="690"/>
      <c r="AZ872" s="690"/>
      <c r="BA872" s="690"/>
      <c r="BB872" s="695"/>
      <c r="BC872" s="695"/>
      <c r="BD872" s="695"/>
      <c r="BE872" s="695"/>
      <c r="BF872" s="692"/>
      <c r="BG872" s="692"/>
      <c r="BH872" s="692"/>
      <c r="BI872" s="692"/>
      <c r="BJ872" s="692"/>
      <c r="BK872" s="692"/>
      <c r="BL872" s="693"/>
      <c r="BM872" s="693"/>
      <c r="BN872" s="688"/>
      <c r="BO872" s="693"/>
      <c r="BP872" s="689"/>
      <c r="BQ872" s="694"/>
      <c r="BR872" s="687"/>
      <c r="BS872" s="687"/>
      <c r="BT872" s="687"/>
      <c r="BU872" s="687"/>
      <c r="BV872" s="687"/>
      <c r="BW872" s="688"/>
      <c r="BX872" s="688"/>
      <c r="BY872" s="689"/>
      <c r="BZ872" s="690"/>
      <c r="CA872" s="690"/>
      <c r="CB872" s="690"/>
      <c r="CC872" s="691"/>
      <c r="CD872" s="691"/>
      <c r="CE872" s="692"/>
      <c r="CF872" s="692"/>
      <c r="CG872" s="692"/>
      <c r="CH872" s="693"/>
    </row>
    <row r="873">
      <c r="B873" s="687"/>
      <c r="C873" s="687"/>
      <c r="D873" s="688"/>
      <c r="E873" s="689"/>
      <c r="F873" s="690"/>
      <c r="G873" s="690"/>
      <c r="H873" s="690"/>
      <c r="I873" s="691"/>
      <c r="J873" s="691"/>
      <c r="K873" s="691"/>
      <c r="L873" s="692"/>
      <c r="M873" s="692"/>
      <c r="N873" s="692"/>
      <c r="O873" s="693"/>
      <c r="P873" s="688"/>
      <c r="Q873" s="688"/>
      <c r="R873" s="688"/>
      <c r="S873" s="688"/>
      <c r="T873" s="689"/>
      <c r="U873" s="689"/>
      <c r="V873" s="694"/>
      <c r="W873" s="694"/>
      <c r="X873" s="694"/>
      <c r="Y873" s="694"/>
      <c r="Z873" s="693"/>
      <c r="AA873" s="693"/>
      <c r="AB873" s="693"/>
      <c r="AC873" s="693"/>
      <c r="AD873" s="688"/>
      <c r="AE873" s="689"/>
      <c r="AF873" s="689"/>
      <c r="AG873" s="690"/>
      <c r="AH873" s="690"/>
      <c r="AI873" s="695"/>
      <c r="AJ873" s="695"/>
      <c r="AK873" s="692"/>
      <c r="AL873" s="692"/>
      <c r="AM873" s="693"/>
      <c r="AN873" s="688"/>
      <c r="AO873" s="688"/>
      <c r="AP873" s="688"/>
      <c r="AQ873" s="688"/>
      <c r="AR873" s="688"/>
      <c r="AS873" s="688"/>
      <c r="AT873" s="689"/>
      <c r="AU873" s="689"/>
      <c r="AV873" s="690"/>
      <c r="AW873" s="690"/>
      <c r="AX873" s="690"/>
      <c r="AY873" s="690"/>
      <c r="AZ873" s="690"/>
      <c r="BA873" s="690"/>
      <c r="BB873" s="695"/>
      <c r="BC873" s="695"/>
      <c r="BD873" s="695"/>
      <c r="BE873" s="695"/>
      <c r="BF873" s="692"/>
      <c r="BG873" s="692"/>
      <c r="BH873" s="692"/>
      <c r="BI873" s="692"/>
      <c r="BJ873" s="692"/>
      <c r="BK873" s="692"/>
      <c r="BL873" s="693"/>
      <c r="BM873" s="693"/>
      <c r="BN873" s="688"/>
      <c r="BO873" s="693"/>
      <c r="BP873" s="689"/>
      <c r="BQ873" s="694"/>
      <c r="BR873" s="687"/>
      <c r="BS873" s="687"/>
      <c r="BT873" s="687"/>
      <c r="BU873" s="687"/>
      <c r="BV873" s="687"/>
      <c r="BW873" s="688"/>
      <c r="BX873" s="688"/>
      <c r="BY873" s="689"/>
      <c r="BZ873" s="690"/>
      <c r="CA873" s="690"/>
      <c r="CB873" s="690"/>
      <c r="CC873" s="691"/>
      <c r="CD873" s="691"/>
      <c r="CE873" s="692"/>
      <c r="CF873" s="692"/>
      <c r="CG873" s="692"/>
      <c r="CH873" s="693"/>
    </row>
    <row r="874">
      <c r="B874" s="687"/>
      <c r="C874" s="687"/>
      <c r="D874" s="688"/>
      <c r="E874" s="689"/>
      <c r="F874" s="690"/>
      <c r="G874" s="690"/>
      <c r="H874" s="690"/>
      <c r="I874" s="691"/>
      <c r="J874" s="691"/>
      <c r="K874" s="691"/>
      <c r="L874" s="692"/>
      <c r="M874" s="692"/>
      <c r="N874" s="692"/>
      <c r="O874" s="693"/>
      <c r="P874" s="688"/>
      <c r="Q874" s="688"/>
      <c r="R874" s="688"/>
      <c r="S874" s="688"/>
      <c r="T874" s="689"/>
      <c r="U874" s="689"/>
      <c r="V874" s="694"/>
      <c r="W874" s="694"/>
      <c r="X874" s="694"/>
      <c r="Y874" s="694"/>
      <c r="Z874" s="693"/>
      <c r="AA874" s="693"/>
      <c r="AB874" s="693"/>
      <c r="AC874" s="693"/>
      <c r="AD874" s="688"/>
      <c r="AE874" s="689"/>
      <c r="AF874" s="689"/>
      <c r="AG874" s="690"/>
      <c r="AH874" s="690"/>
      <c r="AI874" s="695"/>
      <c r="AJ874" s="695"/>
      <c r="AK874" s="692"/>
      <c r="AL874" s="692"/>
      <c r="AM874" s="693"/>
      <c r="AN874" s="688"/>
      <c r="AO874" s="688"/>
      <c r="AP874" s="688"/>
      <c r="AQ874" s="688"/>
      <c r="AR874" s="688"/>
      <c r="AS874" s="688"/>
      <c r="AT874" s="689"/>
      <c r="AU874" s="689"/>
      <c r="AV874" s="690"/>
      <c r="AW874" s="690"/>
      <c r="AX874" s="690"/>
      <c r="AY874" s="690"/>
      <c r="AZ874" s="690"/>
      <c r="BA874" s="690"/>
      <c r="BB874" s="695"/>
      <c r="BC874" s="695"/>
      <c r="BD874" s="695"/>
      <c r="BE874" s="695"/>
      <c r="BF874" s="692"/>
      <c r="BG874" s="692"/>
      <c r="BH874" s="692"/>
      <c r="BI874" s="692"/>
      <c r="BJ874" s="692"/>
      <c r="BK874" s="692"/>
      <c r="BL874" s="693"/>
      <c r="BM874" s="693"/>
      <c r="BN874" s="688"/>
      <c r="BO874" s="693"/>
      <c r="BP874" s="689"/>
      <c r="BQ874" s="694"/>
      <c r="BR874" s="687"/>
      <c r="BS874" s="687"/>
      <c r="BT874" s="687"/>
      <c r="BU874" s="687"/>
      <c r="BV874" s="687"/>
      <c r="BW874" s="688"/>
      <c r="BX874" s="688"/>
      <c r="BY874" s="689"/>
      <c r="BZ874" s="690"/>
      <c r="CA874" s="690"/>
      <c r="CB874" s="690"/>
      <c r="CC874" s="691"/>
      <c r="CD874" s="691"/>
      <c r="CE874" s="692"/>
      <c r="CF874" s="692"/>
      <c r="CG874" s="692"/>
      <c r="CH874" s="693"/>
    </row>
    <row r="875">
      <c r="B875" s="687"/>
      <c r="C875" s="687"/>
      <c r="D875" s="688"/>
      <c r="E875" s="689"/>
      <c r="F875" s="690"/>
      <c r="G875" s="690"/>
      <c r="H875" s="690"/>
      <c r="I875" s="691"/>
      <c r="J875" s="691"/>
      <c r="K875" s="691"/>
      <c r="L875" s="692"/>
      <c r="M875" s="692"/>
      <c r="N875" s="692"/>
      <c r="O875" s="693"/>
      <c r="P875" s="688"/>
      <c r="Q875" s="688"/>
      <c r="R875" s="688"/>
      <c r="S875" s="688"/>
      <c r="T875" s="689"/>
      <c r="U875" s="689"/>
      <c r="V875" s="694"/>
      <c r="W875" s="694"/>
      <c r="X875" s="694"/>
      <c r="Y875" s="694"/>
      <c r="Z875" s="693"/>
      <c r="AA875" s="693"/>
      <c r="AB875" s="693"/>
      <c r="AC875" s="693"/>
      <c r="AD875" s="688"/>
      <c r="AE875" s="689"/>
      <c r="AF875" s="689"/>
      <c r="AG875" s="690"/>
      <c r="AH875" s="690"/>
      <c r="AI875" s="695"/>
      <c r="AJ875" s="695"/>
      <c r="AK875" s="692"/>
      <c r="AL875" s="692"/>
      <c r="AM875" s="693"/>
      <c r="AN875" s="688"/>
      <c r="AO875" s="688"/>
      <c r="AP875" s="688"/>
      <c r="AQ875" s="688"/>
      <c r="AR875" s="688"/>
      <c r="AS875" s="688"/>
      <c r="AT875" s="689"/>
      <c r="AU875" s="689"/>
      <c r="AV875" s="690"/>
      <c r="AW875" s="690"/>
      <c r="AX875" s="690"/>
      <c r="AY875" s="690"/>
      <c r="AZ875" s="690"/>
      <c r="BA875" s="690"/>
      <c r="BB875" s="695"/>
      <c r="BC875" s="695"/>
      <c r="BD875" s="695"/>
      <c r="BE875" s="695"/>
      <c r="BF875" s="692"/>
      <c r="BG875" s="692"/>
      <c r="BH875" s="692"/>
      <c r="BI875" s="692"/>
      <c r="BJ875" s="692"/>
      <c r="BK875" s="692"/>
      <c r="BL875" s="693"/>
      <c r="BM875" s="693"/>
      <c r="BN875" s="688"/>
      <c r="BO875" s="693"/>
      <c r="BP875" s="689"/>
      <c r="BQ875" s="694"/>
      <c r="BR875" s="687"/>
      <c r="BS875" s="687"/>
      <c r="BT875" s="687"/>
      <c r="BU875" s="687"/>
      <c r="BV875" s="687"/>
      <c r="BW875" s="688"/>
      <c r="BX875" s="688"/>
      <c r="BY875" s="689"/>
      <c r="BZ875" s="690"/>
      <c r="CA875" s="690"/>
      <c r="CB875" s="690"/>
      <c r="CC875" s="691"/>
      <c r="CD875" s="691"/>
      <c r="CE875" s="692"/>
      <c r="CF875" s="692"/>
      <c r="CG875" s="692"/>
      <c r="CH875" s="693"/>
    </row>
    <row r="876">
      <c r="B876" s="687"/>
      <c r="C876" s="687"/>
      <c r="D876" s="688"/>
      <c r="E876" s="689"/>
      <c r="F876" s="690"/>
      <c r="G876" s="690"/>
      <c r="H876" s="690"/>
      <c r="I876" s="691"/>
      <c r="J876" s="691"/>
      <c r="K876" s="691"/>
      <c r="L876" s="692"/>
      <c r="M876" s="692"/>
      <c r="N876" s="692"/>
      <c r="O876" s="693"/>
      <c r="P876" s="688"/>
      <c r="Q876" s="688"/>
      <c r="R876" s="688"/>
      <c r="S876" s="688"/>
      <c r="T876" s="689"/>
      <c r="U876" s="689"/>
      <c r="V876" s="694"/>
      <c r="W876" s="694"/>
      <c r="X876" s="694"/>
      <c r="Y876" s="694"/>
      <c r="Z876" s="693"/>
      <c r="AA876" s="693"/>
      <c r="AB876" s="693"/>
      <c r="AC876" s="693"/>
      <c r="AD876" s="688"/>
      <c r="AE876" s="689"/>
      <c r="AF876" s="689"/>
      <c r="AG876" s="690"/>
      <c r="AH876" s="690"/>
      <c r="AI876" s="695"/>
      <c r="AJ876" s="695"/>
      <c r="AK876" s="692"/>
      <c r="AL876" s="692"/>
      <c r="AM876" s="693"/>
      <c r="AN876" s="688"/>
      <c r="AO876" s="688"/>
      <c r="AP876" s="688"/>
      <c r="AQ876" s="688"/>
      <c r="AR876" s="688"/>
      <c r="AS876" s="688"/>
      <c r="AT876" s="689"/>
      <c r="AU876" s="689"/>
      <c r="AV876" s="690"/>
      <c r="AW876" s="690"/>
      <c r="AX876" s="690"/>
      <c r="AY876" s="690"/>
      <c r="AZ876" s="690"/>
      <c r="BA876" s="690"/>
      <c r="BB876" s="695"/>
      <c r="BC876" s="695"/>
      <c r="BD876" s="695"/>
      <c r="BE876" s="695"/>
      <c r="BF876" s="692"/>
      <c r="BG876" s="692"/>
      <c r="BH876" s="692"/>
      <c r="BI876" s="692"/>
      <c r="BJ876" s="692"/>
      <c r="BK876" s="692"/>
      <c r="BL876" s="693"/>
      <c r="BM876" s="693"/>
      <c r="BN876" s="688"/>
      <c r="BO876" s="693"/>
      <c r="BP876" s="689"/>
      <c r="BQ876" s="694"/>
      <c r="BR876" s="687"/>
      <c r="BS876" s="687"/>
      <c r="BT876" s="687"/>
      <c r="BU876" s="687"/>
      <c r="BV876" s="687"/>
      <c r="BW876" s="688"/>
      <c r="BX876" s="688"/>
      <c r="BY876" s="689"/>
      <c r="BZ876" s="690"/>
      <c r="CA876" s="690"/>
      <c r="CB876" s="690"/>
      <c r="CC876" s="691"/>
      <c r="CD876" s="691"/>
      <c r="CE876" s="692"/>
      <c r="CF876" s="692"/>
      <c r="CG876" s="692"/>
      <c r="CH876" s="693"/>
    </row>
    <row r="877">
      <c r="B877" s="687"/>
      <c r="C877" s="687"/>
      <c r="D877" s="688"/>
      <c r="E877" s="689"/>
      <c r="F877" s="690"/>
      <c r="G877" s="690"/>
      <c r="H877" s="690"/>
      <c r="I877" s="691"/>
      <c r="J877" s="691"/>
      <c r="K877" s="691"/>
      <c r="L877" s="692"/>
      <c r="M877" s="692"/>
      <c r="N877" s="692"/>
      <c r="O877" s="693"/>
      <c r="P877" s="688"/>
      <c r="Q877" s="688"/>
      <c r="R877" s="688"/>
      <c r="S877" s="688"/>
      <c r="T877" s="689"/>
      <c r="U877" s="689"/>
      <c r="V877" s="694"/>
      <c r="W877" s="694"/>
      <c r="X877" s="694"/>
      <c r="Y877" s="694"/>
      <c r="Z877" s="693"/>
      <c r="AA877" s="693"/>
      <c r="AB877" s="693"/>
      <c r="AC877" s="693"/>
      <c r="AD877" s="688"/>
      <c r="AE877" s="689"/>
      <c r="AF877" s="689"/>
      <c r="AG877" s="690"/>
      <c r="AH877" s="690"/>
      <c r="AI877" s="695"/>
      <c r="AJ877" s="695"/>
      <c r="AK877" s="692"/>
      <c r="AL877" s="692"/>
      <c r="AM877" s="693"/>
      <c r="AN877" s="688"/>
      <c r="AO877" s="688"/>
      <c r="AP877" s="688"/>
      <c r="AQ877" s="688"/>
      <c r="AR877" s="688"/>
      <c r="AS877" s="688"/>
      <c r="AT877" s="689"/>
      <c r="AU877" s="689"/>
      <c r="AV877" s="690"/>
      <c r="AW877" s="690"/>
      <c r="AX877" s="690"/>
      <c r="AY877" s="690"/>
      <c r="AZ877" s="690"/>
      <c r="BA877" s="690"/>
      <c r="BB877" s="695"/>
      <c r="BC877" s="695"/>
      <c r="BD877" s="695"/>
      <c r="BE877" s="695"/>
      <c r="BF877" s="692"/>
      <c r="BG877" s="692"/>
      <c r="BH877" s="692"/>
      <c r="BI877" s="692"/>
      <c r="BJ877" s="692"/>
      <c r="BK877" s="692"/>
      <c r="BL877" s="693"/>
      <c r="BM877" s="693"/>
      <c r="BN877" s="688"/>
      <c r="BO877" s="693"/>
      <c r="BP877" s="689"/>
      <c r="BQ877" s="694"/>
      <c r="BR877" s="687"/>
      <c r="BS877" s="687"/>
      <c r="BT877" s="687"/>
      <c r="BU877" s="687"/>
      <c r="BV877" s="687"/>
      <c r="BW877" s="688"/>
      <c r="BX877" s="688"/>
      <c r="BY877" s="689"/>
      <c r="BZ877" s="690"/>
      <c r="CA877" s="690"/>
      <c r="CB877" s="690"/>
      <c r="CC877" s="691"/>
      <c r="CD877" s="691"/>
      <c r="CE877" s="692"/>
      <c r="CF877" s="692"/>
      <c r="CG877" s="692"/>
      <c r="CH877" s="693"/>
    </row>
    <row r="878">
      <c r="B878" s="687"/>
      <c r="C878" s="687"/>
      <c r="D878" s="688"/>
      <c r="E878" s="689"/>
      <c r="F878" s="690"/>
      <c r="G878" s="690"/>
      <c r="H878" s="690"/>
      <c r="I878" s="691"/>
      <c r="J878" s="691"/>
      <c r="K878" s="691"/>
      <c r="L878" s="692"/>
      <c r="M878" s="692"/>
      <c r="N878" s="692"/>
      <c r="O878" s="693"/>
      <c r="P878" s="688"/>
      <c r="Q878" s="688"/>
      <c r="R878" s="688"/>
      <c r="S878" s="688"/>
      <c r="T878" s="689"/>
      <c r="U878" s="689"/>
      <c r="V878" s="694"/>
      <c r="W878" s="694"/>
      <c r="X878" s="694"/>
      <c r="Y878" s="694"/>
      <c r="Z878" s="693"/>
      <c r="AA878" s="693"/>
      <c r="AB878" s="693"/>
      <c r="AC878" s="693"/>
      <c r="AD878" s="688"/>
      <c r="AE878" s="689"/>
      <c r="AF878" s="689"/>
      <c r="AG878" s="690"/>
      <c r="AH878" s="690"/>
      <c r="AI878" s="695"/>
      <c r="AJ878" s="695"/>
      <c r="AK878" s="692"/>
      <c r="AL878" s="692"/>
      <c r="AM878" s="693"/>
      <c r="AN878" s="688"/>
      <c r="AO878" s="688"/>
      <c r="AP878" s="688"/>
      <c r="AQ878" s="688"/>
      <c r="AR878" s="688"/>
      <c r="AS878" s="688"/>
      <c r="AT878" s="689"/>
      <c r="AU878" s="689"/>
      <c r="AV878" s="690"/>
      <c r="AW878" s="690"/>
      <c r="AX878" s="690"/>
      <c r="AY878" s="690"/>
      <c r="AZ878" s="690"/>
      <c r="BA878" s="690"/>
      <c r="BB878" s="695"/>
      <c r="BC878" s="695"/>
      <c r="BD878" s="695"/>
      <c r="BE878" s="695"/>
      <c r="BF878" s="692"/>
      <c r="BG878" s="692"/>
      <c r="BH878" s="692"/>
      <c r="BI878" s="692"/>
      <c r="BJ878" s="692"/>
      <c r="BK878" s="692"/>
      <c r="BL878" s="693"/>
      <c r="BM878" s="693"/>
      <c r="BN878" s="688"/>
      <c r="BO878" s="693"/>
      <c r="BP878" s="689"/>
      <c r="BQ878" s="694"/>
      <c r="BR878" s="687"/>
      <c r="BS878" s="687"/>
      <c r="BT878" s="687"/>
      <c r="BU878" s="687"/>
      <c r="BV878" s="687"/>
      <c r="BW878" s="688"/>
      <c r="BX878" s="688"/>
      <c r="BY878" s="689"/>
      <c r="BZ878" s="690"/>
      <c r="CA878" s="690"/>
      <c r="CB878" s="690"/>
      <c r="CC878" s="691"/>
      <c r="CD878" s="691"/>
      <c r="CE878" s="692"/>
      <c r="CF878" s="692"/>
      <c r="CG878" s="692"/>
      <c r="CH878" s="693"/>
    </row>
    <row r="879">
      <c r="B879" s="687"/>
      <c r="C879" s="687"/>
      <c r="D879" s="688"/>
      <c r="E879" s="689"/>
      <c r="F879" s="690"/>
      <c r="G879" s="690"/>
      <c r="H879" s="690"/>
      <c r="I879" s="691"/>
      <c r="J879" s="691"/>
      <c r="K879" s="691"/>
      <c r="L879" s="692"/>
      <c r="M879" s="692"/>
      <c r="N879" s="692"/>
      <c r="O879" s="693"/>
      <c r="P879" s="688"/>
      <c r="Q879" s="688"/>
      <c r="R879" s="688"/>
      <c r="S879" s="688"/>
      <c r="T879" s="689"/>
      <c r="U879" s="689"/>
      <c r="V879" s="694"/>
      <c r="W879" s="694"/>
      <c r="X879" s="694"/>
      <c r="Y879" s="694"/>
      <c r="Z879" s="693"/>
      <c r="AA879" s="693"/>
      <c r="AB879" s="693"/>
      <c r="AC879" s="693"/>
      <c r="AD879" s="688"/>
      <c r="AE879" s="689"/>
      <c r="AF879" s="689"/>
      <c r="AG879" s="690"/>
      <c r="AH879" s="690"/>
      <c r="AI879" s="695"/>
      <c r="AJ879" s="695"/>
      <c r="AK879" s="692"/>
      <c r="AL879" s="692"/>
      <c r="AM879" s="693"/>
      <c r="AN879" s="688"/>
      <c r="AO879" s="688"/>
      <c r="AP879" s="688"/>
      <c r="AQ879" s="688"/>
      <c r="AR879" s="688"/>
      <c r="AS879" s="688"/>
      <c r="AT879" s="689"/>
      <c r="AU879" s="689"/>
      <c r="AV879" s="690"/>
      <c r="AW879" s="690"/>
      <c r="AX879" s="690"/>
      <c r="AY879" s="690"/>
      <c r="AZ879" s="690"/>
      <c r="BA879" s="690"/>
      <c r="BB879" s="695"/>
      <c r="BC879" s="695"/>
      <c r="BD879" s="695"/>
      <c r="BE879" s="695"/>
      <c r="BF879" s="692"/>
      <c r="BG879" s="692"/>
      <c r="BH879" s="692"/>
      <c r="BI879" s="692"/>
      <c r="BJ879" s="692"/>
      <c r="BK879" s="692"/>
      <c r="BL879" s="693"/>
      <c r="BM879" s="693"/>
      <c r="BN879" s="688"/>
      <c r="BO879" s="693"/>
      <c r="BP879" s="689"/>
      <c r="BQ879" s="694"/>
      <c r="BR879" s="687"/>
      <c r="BS879" s="687"/>
      <c r="BT879" s="687"/>
      <c r="BU879" s="687"/>
      <c r="BV879" s="687"/>
      <c r="BW879" s="688"/>
      <c r="BX879" s="688"/>
      <c r="BY879" s="689"/>
      <c r="BZ879" s="690"/>
      <c r="CA879" s="690"/>
      <c r="CB879" s="690"/>
      <c r="CC879" s="691"/>
      <c r="CD879" s="691"/>
      <c r="CE879" s="692"/>
      <c r="CF879" s="692"/>
      <c r="CG879" s="692"/>
      <c r="CH879" s="693"/>
    </row>
    <row r="880">
      <c r="B880" s="687"/>
      <c r="C880" s="687"/>
      <c r="D880" s="688"/>
      <c r="E880" s="689"/>
      <c r="F880" s="690"/>
      <c r="G880" s="690"/>
      <c r="H880" s="690"/>
      <c r="I880" s="691"/>
      <c r="J880" s="691"/>
      <c r="K880" s="691"/>
      <c r="L880" s="692"/>
      <c r="M880" s="692"/>
      <c r="N880" s="692"/>
      <c r="O880" s="693"/>
      <c r="P880" s="688"/>
      <c r="Q880" s="688"/>
      <c r="R880" s="688"/>
      <c r="S880" s="688"/>
      <c r="T880" s="689"/>
      <c r="U880" s="689"/>
      <c r="V880" s="694"/>
      <c r="W880" s="694"/>
      <c r="X880" s="694"/>
      <c r="Y880" s="694"/>
      <c r="Z880" s="693"/>
      <c r="AA880" s="693"/>
      <c r="AB880" s="693"/>
      <c r="AC880" s="693"/>
      <c r="AD880" s="688"/>
      <c r="AE880" s="689"/>
      <c r="AF880" s="689"/>
      <c r="AG880" s="690"/>
      <c r="AH880" s="690"/>
      <c r="AI880" s="695"/>
      <c r="AJ880" s="695"/>
      <c r="AK880" s="692"/>
      <c r="AL880" s="692"/>
      <c r="AM880" s="693"/>
      <c r="AN880" s="688"/>
      <c r="AO880" s="688"/>
      <c r="AP880" s="688"/>
      <c r="AQ880" s="688"/>
      <c r="AR880" s="688"/>
      <c r="AS880" s="688"/>
      <c r="AT880" s="689"/>
      <c r="AU880" s="689"/>
      <c r="AV880" s="690"/>
      <c r="AW880" s="690"/>
      <c r="AX880" s="690"/>
      <c r="AY880" s="690"/>
      <c r="AZ880" s="690"/>
      <c r="BA880" s="690"/>
      <c r="BB880" s="695"/>
      <c r="BC880" s="695"/>
      <c r="BD880" s="695"/>
      <c r="BE880" s="695"/>
      <c r="BF880" s="692"/>
      <c r="BG880" s="692"/>
      <c r="BH880" s="692"/>
      <c r="BI880" s="692"/>
      <c r="BJ880" s="692"/>
      <c r="BK880" s="692"/>
      <c r="BL880" s="693"/>
      <c r="BM880" s="693"/>
      <c r="BN880" s="688"/>
      <c r="BO880" s="693"/>
      <c r="BP880" s="689"/>
      <c r="BQ880" s="694"/>
      <c r="BR880" s="687"/>
      <c r="BS880" s="687"/>
      <c r="BT880" s="687"/>
      <c r="BU880" s="687"/>
      <c r="BV880" s="687"/>
      <c r="BW880" s="688"/>
      <c r="BX880" s="688"/>
      <c r="BY880" s="689"/>
      <c r="BZ880" s="690"/>
      <c r="CA880" s="690"/>
      <c r="CB880" s="690"/>
      <c r="CC880" s="691"/>
      <c r="CD880" s="691"/>
      <c r="CE880" s="692"/>
      <c r="CF880" s="692"/>
      <c r="CG880" s="692"/>
      <c r="CH880" s="693"/>
    </row>
    <row r="881">
      <c r="B881" s="687"/>
      <c r="C881" s="687"/>
      <c r="D881" s="688"/>
      <c r="E881" s="689"/>
      <c r="F881" s="690"/>
      <c r="G881" s="690"/>
      <c r="H881" s="690"/>
      <c r="I881" s="691"/>
      <c r="J881" s="691"/>
      <c r="K881" s="691"/>
      <c r="L881" s="692"/>
      <c r="M881" s="692"/>
      <c r="N881" s="692"/>
      <c r="O881" s="693"/>
      <c r="P881" s="688"/>
      <c r="Q881" s="688"/>
      <c r="R881" s="688"/>
      <c r="S881" s="688"/>
      <c r="T881" s="689"/>
      <c r="U881" s="689"/>
      <c r="V881" s="694"/>
      <c r="W881" s="694"/>
      <c r="X881" s="694"/>
      <c r="Y881" s="694"/>
      <c r="Z881" s="693"/>
      <c r="AA881" s="693"/>
      <c r="AB881" s="693"/>
      <c r="AC881" s="693"/>
      <c r="AD881" s="688"/>
      <c r="AE881" s="689"/>
      <c r="AF881" s="689"/>
      <c r="AG881" s="690"/>
      <c r="AH881" s="690"/>
      <c r="AI881" s="695"/>
      <c r="AJ881" s="695"/>
      <c r="AK881" s="692"/>
      <c r="AL881" s="692"/>
      <c r="AM881" s="693"/>
      <c r="AN881" s="688"/>
      <c r="AO881" s="688"/>
      <c r="AP881" s="688"/>
      <c r="AQ881" s="688"/>
      <c r="AR881" s="688"/>
      <c r="AS881" s="688"/>
      <c r="AT881" s="689"/>
      <c r="AU881" s="689"/>
      <c r="AV881" s="690"/>
      <c r="AW881" s="690"/>
      <c r="AX881" s="690"/>
      <c r="AY881" s="690"/>
      <c r="AZ881" s="690"/>
      <c r="BA881" s="690"/>
      <c r="BB881" s="695"/>
      <c r="BC881" s="695"/>
      <c r="BD881" s="695"/>
      <c r="BE881" s="695"/>
      <c r="BF881" s="692"/>
      <c r="BG881" s="692"/>
      <c r="BH881" s="692"/>
      <c r="BI881" s="692"/>
      <c r="BJ881" s="692"/>
      <c r="BK881" s="692"/>
      <c r="BL881" s="693"/>
      <c r="BM881" s="693"/>
      <c r="BN881" s="688"/>
      <c r="BO881" s="693"/>
      <c r="BP881" s="689"/>
      <c r="BQ881" s="694"/>
      <c r="BR881" s="687"/>
      <c r="BS881" s="687"/>
      <c r="BT881" s="687"/>
      <c r="BU881" s="687"/>
      <c r="BV881" s="687"/>
      <c r="BW881" s="688"/>
      <c r="BX881" s="688"/>
      <c r="BY881" s="689"/>
      <c r="BZ881" s="690"/>
      <c r="CA881" s="690"/>
      <c r="CB881" s="690"/>
      <c r="CC881" s="691"/>
      <c r="CD881" s="691"/>
      <c r="CE881" s="692"/>
      <c r="CF881" s="692"/>
      <c r="CG881" s="692"/>
      <c r="CH881" s="693"/>
    </row>
    <row r="882">
      <c r="B882" s="687"/>
      <c r="C882" s="687"/>
      <c r="D882" s="688"/>
      <c r="E882" s="689"/>
      <c r="F882" s="690"/>
      <c r="G882" s="690"/>
      <c r="H882" s="690"/>
      <c r="I882" s="691"/>
      <c r="J882" s="691"/>
      <c r="K882" s="691"/>
      <c r="L882" s="692"/>
      <c r="M882" s="692"/>
      <c r="N882" s="692"/>
      <c r="O882" s="693"/>
      <c r="P882" s="688"/>
      <c r="Q882" s="688"/>
      <c r="R882" s="688"/>
      <c r="S882" s="688"/>
      <c r="T882" s="689"/>
      <c r="U882" s="689"/>
      <c r="V882" s="694"/>
      <c r="W882" s="694"/>
      <c r="X882" s="694"/>
      <c r="Y882" s="694"/>
      <c r="Z882" s="693"/>
      <c r="AA882" s="693"/>
      <c r="AB882" s="693"/>
      <c r="AC882" s="693"/>
      <c r="AD882" s="688"/>
      <c r="AE882" s="689"/>
      <c r="AF882" s="689"/>
      <c r="AG882" s="690"/>
      <c r="AH882" s="690"/>
      <c r="AI882" s="695"/>
      <c r="AJ882" s="695"/>
      <c r="AK882" s="692"/>
      <c r="AL882" s="692"/>
      <c r="AM882" s="693"/>
      <c r="AN882" s="688"/>
      <c r="AO882" s="688"/>
      <c r="AP882" s="688"/>
      <c r="AQ882" s="688"/>
      <c r="AR882" s="688"/>
      <c r="AS882" s="688"/>
      <c r="AT882" s="689"/>
      <c r="AU882" s="689"/>
      <c r="AV882" s="690"/>
      <c r="AW882" s="690"/>
      <c r="AX882" s="690"/>
      <c r="AY882" s="690"/>
      <c r="AZ882" s="690"/>
      <c r="BA882" s="690"/>
      <c r="BB882" s="695"/>
      <c r="BC882" s="695"/>
      <c r="BD882" s="695"/>
      <c r="BE882" s="695"/>
      <c r="BF882" s="692"/>
      <c r="BG882" s="692"/>
      <c r="BH882" s="692"/>
      <c r="BI882" s="692"/>
      <c r="BJ882" s="692"/>
      <c r="BK882" s="692"/>
      <c r="BL882" s="693"/>
      <c r="BM882" s="693"/>
      <c r="BN882" s="688"/>
      <c r="BO882" s="693"/>
      <c r="BP882" s="689"/>
      <c r="BQ882" s="694"/>
      <c r="BR882" s="687"/>
      <c r="BS882" s="687"/>
      <c r="BT882" s="687"/>
      <c r="BU882" s="687"/>
      <c r="BV882" s="687"/>
      <c r="BW882" s="688"/>
      <c r="BX882" s="688"/>
      <c r="BY882" s="689"/>
      <c r="BZ882" s="690"/>
      <c r="CA882" s="690"/>
      <c r="CB882" s="690"/>
      <c r="CC882" s="691"/>
      <c r="CD882" s="691"/>
      <c r="CE882" s="692"/>
      <c r="CF882" s="692"/>
      <c r="CG882" s="692"/>
      <c r="CH882" s="693"/>
    </row>
    <row r="883">
      <c r="B883" s="687"/>
      <c r="C883" s="687"/>
      <c r="D883" s="688"/>
      <c r="E883" s="689"/>
      <c r="F883" s="690"/>
      <c r="G883" s="690"/>
      <c r="H883" s="690"/>
      <c r="I883" s="691"/>
      <c r="J883" s="691"/>
      <c r="K883" s="691"/>
      <c r="L883" s="692"/>
      <c r="M883" s="692"/>
      <c r="N883" s="692"/>
      <c r="O883" s="693"/>
      <c r="P883" s="688"/>
      <c r="Q883" s="688"/>
      <c r="R883" s="688"/>
      <c r="S883" s="688"/>
      <c r="T883" s="689"/>
      <c r="U883" s="689"/>
      <c r="V883" s="694"/>
      <c r="W883" s="694"/>
      <c r="X883" s="694"/>
      <c r="Y883" s="694"/>
      <c r="Z883" s="693"/>
      <c r="AA883" s="693"/>
      <c r="AB883" s="693"/>
      <c r="AC883" s="693"/>
      <c r="AD883" s="688"/>
      <c r="AE883" s="689"/>
      <c r="AF883" s="689"/>
      <c r="AG883" s="690"/>
      <c r="AH883" s="690"/>
      <c r="AI883" s="695"/>
      <c r="AJ883" s="695"/>
      <c r="AK883" s="692"/>
      <c r="AL883" s="692"/>
      <c r="AM883" s="693"/>
      <c r="AN883" s="688"/>
      <c r="AO883" s="688"/>
      <c r="AP883" s="688"/>
      <c r="AQ883" s="688"/>
      <c r="AR883" s="688"/>
      <c r="AS883" s="688"/>
      <c r="AT883" s="689"/>
      <c r="AU883" s="689"/>
      <c r="AV883" s="690"/>
      <c r="AW883" s="690"/>
      <c r="AX883" s="690"/>
      <c r="AY883" s="690"/>
      <c r="AZ883" s="690"/>
      <c r="BA883" s="690"/>
      <c r="BB883" s="695"/>
      <c r="BC883" s="695"/>
      <c r="BD883" s="695"/>
      <c r="BE883" s="695"/>
      <c r="BF883" s="692"/>
      <c r="BG883" s="692"/>
      <c r="BH883" s="692"/>
      <c r="BI883" s="692"/>
      <c r="BJ883" s="692"/>
      <c r="BK883" s="692"/>
      <c r="BL883" s="693"/>
      <c r="BM883" s="693"/>
      <c r="BN883" s="688"/>
      <c r="BO883" s="693"/>
      <c r="BP883" s="689"/>
      <c r="BQ883" s="694"/>
      <c r="BR883" s="687"/>
      <c r="BS883" s="687"/>
      <c r="BT883" s="687"/>
      <c r="BU883" s="687"/>
      <c r="BV883" s="687"/>
      <c r="BW883" s="688"/>
      <c r="BX883" s="688"/>
      <c r="BY883" s="689"/>
      <c r="BZ883" s="690"/>
      <c r="CA883" s="690"/>
      <c r="CB883" s="690"/>
      <c r="CC883" s="691"/>
      <c r="CD883" s="691"/>
      <c r="CE883" s="692"/>
      <c r="CF883" s="692"/>
      <c r="CG883" s="692"/>
      <c r="CH883" s="693"/>
    </row>
    <row r="884">
      <c r="B884" s="687"/>
      <c r="C884" s="687"/>
      <c r="D884" s="688"/>
      <c r="E884" s="689"/>
      <c r="F884" s="690"/>
      <c r="G884" s="690"/>
      <c r="H884" s="690"/>
      <c r="I884" s="691"/>
      <c r="J884" s="691"/>
      <c r="K884" s="691"/>
      <c r="L884" s="692"/>
      <c r="M884" s="692"/>
      <c r="N884" s="692"/>
      <c r="O884" s="693"/>
      <c r="P884" s="688"/>
      <c r="Q884" s="688"/>
      <c r="R884" s="688"/>
      <c r="S884" s="688"/>
      <c r="T884" s="689"/>
      <c r="U884" s="689"/>
      <c r="V884" s="694"/>
      <c r="W884" s="694"/>
      <c r="X884" s="694"/>
      <c r="Y884" s="694"/>
      <c r="Z884" s="693"/>
      <c r="AA884" s="693"/>
      <c r="AB884" s="693"/>
      <c r="AC884" s="693"/>
      <c r="AD884" s="688"/>
      <c r="AE884" s="689"/>
      <c r="AF884" s="689"/>
      <c r="AG884" s="690"/>
      <c r="AH884" s="690"/>
      <c r="AI884" s="695"/>
      <c r="AJ884" s="695"/>
      <c r="AK884" s="692"/>
      <c r="AL884" s="692"/>
      <c r="AM884" s="693"/>
      <c r="AN884" s="688"/>
      <c r="AO884" s="688"/>
      <c r="AP884" s="688"/>
      <c r="AQ884" s="688"/>
      <c r="AR884" s="688"/>
      <c r="AS884" s="688"/>
      <c r="AT884" s="689"/>
      <c r="AU884" s="689"/>
      <c r="AV884" s="690"/>
      <c r="AW884" s="690"/>
      <c r="AX884" s="690"/>
      <c r="AY884" s="690"/>
      <c r="AZ884" s="690"/>
      <c r="BA884" s="690"/>
      <c r="BB884" s="695"/>
      <c r="BC884" s="695"/>
      <c r="BD884" s="695"/>
      <c r="BE884" s="695"/>
      <c r="BF884" s="692"/>
      <c r="BG884" s="692"/>
      <c r="BH884" s="692"/>
      <c r="BI884" s="692"/>
      <c r="BJ884" s="692"/>
      <c r="BK884" s="692"/>
      <c r="BL884" s="693"/>
      <c r="BM884" s="693"/>
      <c r="BN884" s="688"/>
      <c r="BO884" s="693"/>
      <c r="BP884" s="689"/>
      <c r="BQ884" s="694"/>
      <c r="BR884" s="687"/>
      <c r="BS884" s="687"/>
      <c r="BT884" s="687"/>
      <c r="BU884" s="687"/>
      <c r="BV884" s="687"/>
      <c r="BW884" s="688"/>
      <c r="BX884" s="688"/>
      <c r="BY884" s="689"/>
      <c r="BZ884" s="690"/>
      <c r="CA884" s="690"/>
      <c r="CB884" s="690"/>
      <c r="CC884" s="691"/>
      <c r="CD884" s="691"/>
      <c r="CE884" s="692"/>
      <c r="CF884" s="692"/>
      <c r="CG884" s="692"/>
      <c r="CH884" s="693"/>
    </row>
    <row r="885">
      <c r="B885" s="687"/>
      <c r="C885" s="687"/>
      <c r="D885" s="688"/>
      <c r="E885" s="689"/>
      <c r="F885" s="690"/>
      <c r="G885" s="690"/>
      <c r="H885" s="690"/>
      <c r="I885" s="691"/>
      <c r="J885" s="691"/>
      <c r="K885" s="691"/>
      <c r="L885" s="692"/>
      <c r="M885" s="692"/>
      <c r="N885" s="692"/>
      <c r="O885" s="693"/>
      <c r="P885" s="688"/>
      <c r="Q885" s="688"/>
      <c r="R885" s="688"/>
      <c r="S885" s="688"/>
      <c r="T885" s="689"/>
      <c r="U885" s="689"/>
      <c r="V885" s="694"/>
      <c r="W885" s="694"/>
      <c r="X885" s="694"/>
      <c r="Y885" s="694"/>
      <c r="Z885" s="693"/>
      <c r="AA885" s="693"/>
      <c r="AB885" s="693"/>
      <c r="AC885" s="693"/>
      <c r="AD885" s="688"/>
      <c r="AE885" s="689"/>
      <c r="AF885" s="689"/>
      <c r="AG885" s="690"/>
      <c r="AH885" s="690"/>
      <c r="AI885" s="695"/>
      <c r="AJ885" s="695"/>
      <c r="AK885" s="692"/>
      <c r="AL885" s="692"/>
      <c r="AM885" s="693"/>
      <c r="AN885" s="688"/>
      <c r="AO885" s="688"/>
      <c r="AP885" s="688"/>
      <c r="AQ885" s="688"/>
      <c r="AR885" s="688"/>
      <c r="AS885" s="688"/>
      <c r="AT885" s="689"/>
      <c r="AU885" s="689"/>
      <c r="AV885" s="690"/>
      <c r="AW885" s="690"/>
      <c r="AX885" s="690"/>
      <c r="AY885" s="690"/>
      <c r="AZ885" s="690"/>
      <c r="BA885" s="690"/>
      <c r="BB885" s="695"/>
      <c r="BC885" s="695"/>
      <c r="BD885" s="695"/>
      <c r="BE885" s="695"/>
      <c r="BF885" s="692"/>
      <c r="BG885" s="692"/>
      <c r="BH885" s="692"/>
      <c r="BI885" s="692"/>
      <c r="BJ885" s="692"/>
      <c r="BK885" s="692"/>
      <c r="BL885" s="693"/>
      <c r="BM885" s="693"/>
      <c r="BN885" s="688"/>
      <c r="BO885" s="693"/>
      <c r="BP885" s="689"/>
      <c r="BQ885" s="694"/>
      <c r="BR885" s="687"/>
      <c r="BS885" s="687"/>
      <c r="BT885" s="687"/>
      <c r="BU885" s="687"/>
      <c r="BV885" s="687"/>
      <c r="BW885" s="688"/>
      <c r="BX885" s="688"/>
      <c r="BY885" s="689"/>
      <c r="BZ885" s="690"/>
      <c r="CA885" s="690"/>
      <c r="CB885" s="690"/>
      <c r="CC885" s="691"/>
      <c r="CD885" s="691"/>
      <c r="CE885" s="692"/>
      <c r="CF885" s="692"/>
      <c r="CG885" s="692"/>
      <c r="CH885" s="693"/>
    </row>
    <row r="886">
      <c r="B886" s="687"/>
      <c r="C886" s="687"/>
      <c r="D886" s="688"/>
      <c r="E886" s="689"/>
      <c r="F886" s="690"/>
      <c r="G886" s="690"/>
      <c r="H886" s="690"/>
      <c r="I886" s="691"/>
      <c r="J886" s="691"/>
      <c r="K886" s="691"/>
      <c r="L886" s="692"/>
      <c r="M886" s="692"/>
      <c r="N886" s="692"/>
      <c r="O886" s="693"/>
      <c r="P886" s="688"/>
      <c r="Q886" s="688"/>
      <c r="R886" s="688"/>
      <c r="S886" s="688"/>
      <c r="T886" s="689"/>
      <c r="U886" s="689"/>
      <c r="V886" s="694"/>
      <c r="W886" s="694"/>
      <c r="X886" s="694"/>
      <c r="Y886" s="694"/>
      <c r="Z886" s="693"/>
      <c r="AA886" s="693"/>
      <c r="AB886" s="693"/>
      <c r="AC886" s="693"/>
      <c r="AD886" s="688"/>
      <c r="AE886" s="689"/>
      <c r="AF886" s="689"/>
      <c r="AG886" s="690"/>
      <c r="AH886" s="690"/>
      <c r="AI886" s="695"/>
      <c r="AJ886" s="695"/>
      <c r="AK886" s="692"/>
      <c r="AL886" s="692"/>
      <c r="AM886" s="693"/>
      <c r="AN886" s="688"/>
      <c r="AO886" s="688"/>
      <c r="AP886" s="688"/>
      <c r="AQ886" s="688"/>
      <c r="AR886" s="688"/>
      <c r="AS886" s="688"/>
      <c r="AT886" s="689"/>
      <c r="AU886" s="689"/>
      <c r="AV886" s="690"/>
      <c r="AW886" s="690"/>
      <c r="AX886" s="690"/>
      <c r="AY886" s="690"/>
      <c r="AZ886" s="690"/>
      <c r="BA886" s="690"/>
      <c r="BB886" s="695"/>
      <c r="BC886" s="695"/>
      <c r="BD886" s="695"/>
      <c r="BE886" s="695"/>
      <c r="BF886" s="692"/>
      <c r="BG886" s="692"/>
      <c r="BH886" s="692"/>
      <c r="BI886" s="692"/>
      <c r="BJ886" s="692"/>
      <c r="BK886" s="692"/>
      <c r="BL886" s="693"/>
      <c r="BM886" s="693"/>
      <c r="BN886" s="688"/>
      <c r="BO886" s="693"/>
      <c r="BP886" s="689"/>
      <c r="BQ886" s="694"/>
      <c r="BR886" s="687"/>
      <c r="BS886" s="687"/>
      <c r="BT886" s="687"/>
      <c r="BU886" s="687"/>
      <c r="BV886" s="687"/>
      <c r="BW886" s="688"/>
      <c r="BX886" s="688"/>
      <c r="BY886" s="689"/>
      <c r="BZ886" s="690"/>
      <c r="CA886" s="690"/>
      <c r="CB886" s="690"/>
      <c r="CC886" s="691"/>
      <c r="CD886" s="691"/>
      <c r="CE886" s="692"/>
      <c r="CF886" s="692"/>
      <c r="CG886" s="692"/>
      <c r="CH886" s="693"/>
    </row>
    <row r="887">
      <c r="B887" s="687"/>
      <c r="C887" s="687"/>
      <c r="D887" s="688"/>
      <c r="E887" s="689"/>
      <c r="F887" s="690"/>
      <c r="G887" s="690"/>
      <c r="H887" s="690"/>
      <c r="I887" s="691"/>
      <c r="J887" s="691"/>
      <c r="K887" s="691"/>
      <c r="L887" s="692"/>
      <c r="M887" s="692"/>
      <c r="N887" s="692"/>
      <c r="O887" s="693"/>
      <c r="P887" s="688"/>
      <c r="Q887" s="688"/>
      <c r="R887" s="688"/>
      <c r="S887" s="688"/>
      <c r="T887" s="689"/>
      <c r="U887" s="689"/>
      <c r="V887" s="694"/>
      <c r="W887" s="694"/>
      <c r="X887" s="694"/>
      <c r="Y887" s="694"/>
      <c r="Z887" s="693"/>
      <c r="AA887" s="693"/>
      <c r="AB887" s="693"/>
      <c r="AC887" s="693"/>
      <c r="AD887" s="688"/>
      <c r="AE887" s="689"/>
      <c r="AF887" s="689"/>
      <c r="AG887" s="690"/>
      <c r="AH887" s="690"/>
      <c r="AI887" s="695"/>
      <c r="AJ887" s="695"/>
      <c r="AK887" s="692"/>
      <c r="AL887" s="692"/>
      <c r="AM887" s="693"/>
      <c r="AN887" s="688"/>
      <c r="AO887" s="688"/>
      <c r="AP887" s="688"/>
      <c r="AQ887" s="688"/>
      <c r="AR887" s="688"/>
      <c r="AS887" s="688"/>
      <c r="AT887" s="689"/>
      <c r="AU887" s="689"/>
      <c r="AV887" s="690"/>
      <c r="AW887" s="690"/>
      <c r="AX887" s="690"/>
      <c r="AY887" s="690"/>
      <c r="AZ887" s="690"/>
      <c r="BA887" s="690"/>
      <c r="BB887" s="695"/>
      <c r="BC887" s="695"/>
      <c r="BD887" s="695"/>
      <c r="BE887" s="695"/>
      <c r="BF887" s="692"/>
      <c r="BG887" s="692"/>
      <c r="BH887" s="692"/>
      <c r="BI887" s="692"/>
      <c r="BJ887" s="692"/>
      <c r="BK887" s="692"/>
      <c r="BL887" s="693"/>
      <c r="BM887" s="693"/>
      <c r="BN887" s="688"/>
      <c r="BO887" s="693"/>
      <c r="BP887" s="689"/>
      <c r="BQ887" s="694"/>
      <c r="BR887" s="687"/>
      <c r="BS887" s="687"/>
      <c r="BT887" s="687"/>
      <c r="BU887" s="687"/>
      <c r="BV887" s="687"/>
      <c r="BW887" s="688"/>
      <c r="BX887" s="688"/>
      <c r="BY887" s="689"/>
      <c r="BZ887" s="690"/>
      <c r="CA887" s="690"/>
      <c r="CB887" s="690"/>
      <c r="CC887" s="691"/>
      <c r="CD887" s="691"/>
      <c r="CE887" s="692"/>
      <c r="CF887" s="692"/>
      <c r="CG887" s="692"/>
      <c r="CH887" s="693"/>
    </row>
    <row r="888">
      <c r="B888" s="687"/>
      <c r="C888" s="687"/>
      <c r="D888" s="688"/>
      <c r="E888" s="689"/>
      <c r="F888" s="690"/>
      <c r="G888" s="690"/>
      <c r="H888" s="690"/>
      <c r="I888" s="691"/>
      <c r="J888" s="691"/>
      <c r="K888" s="691"/>
      <c r="L888" s="692"/>
      <c r="M888" s="692"/>
      <c r="N888" s="692"/>
      <c r="O888" s="693"/>
      <c r="P888" s="688"/>
      <c r="Q888" s="688"/>
      <c r="R888" s="688"/>
      <c r="S888" s="688"/>
      <c r="T888" s="689"/>
      <c r="U888" s="689"/>
      <c r="V888" s="694"/>
      <c r="W888" s="694"/>
      <c r="X888" s="694"/>
      <c r="Y888" s="694"/>
      <c r="Z888" s="693"/>
      <c r="AA888" s="693"/>
      <c r="AB888" s="693"/>
      <c r="AC888" s="693"/>
      <c r="AD888" s="688"/>
      <c r="AE888" s="689"/>
      <c r="AF888" s="689"/>
      <c r="AG888" s="690"/>
      <c r="AH888" s="690"/>
      <c r="AI888" s="695"/>
      <c r="AJ888" s="695"/>
      <c r="AK888" s="692"/>
      <c r="AL888" s="692"/>
      <c r="AM888" s="693"/>
      <c r="AN888" s="688"/>
      <c r="AO888" s="688"/>
      <c r="AP888" s="688"/>
      <c r="AQ888" s="688"/>
      <c r="AR888" s="688"/>
      <c r="AS888" s="688"/>
      <c r="AT888" s="689"/>
      <c r="AU888" s="689"/>
      <c r="AV888" s="690"/>
      <c r="AW888" s="690"/>
      <c r="AX888" s="690"/>
      <c r="AY888" s="690"/>
      <c r="AZ888" s="690"/>
      <c r="BA888" s="690"/>
      <c r="BB888" s="695"/>
      <c r="BC888" s="695"/>
      <c r="BD888" s="695"/>
      <c r="BE888" s="695"/>
      <c r="BF888" s="692"/>
      <c r="BG888" s="692"/>
      <c r="BH888" s="692"/>
      <c r="BI888" s="692"/>
      <c r="BJ888" s="692"/>
      <c r="BK888" s="692"/>
      <c r="BL888" s="693"/>
      <c r="BM888" s="693"/>
      <c r="BN888" s="688"/>
      <c r="BO888" s="693"/>
      <c r="BP888" s="689"/>
      <c r="BQ888" s="694"/>
      <c r="BR888" s="687"/>
      <c r="BS888" s="687"/>
      <c r="BT888" s="687"/>
      <c r="BU888" s="687"/>
      <c r="BV888" s="687"/>
      <c r="BW888" s="688"/>
      <c r="BX888" s="688"/>
      <c r="BY888" s="689"/>
      <c r="BZ888" s="690"/>
      <c r="CA888" s="690"/>
      <c r="CB888" s="690"/>
      <c r="CC888" s="691"/>
      <c r="CD888" s="691"/>
      <c r="CE888" s="692"/>
      <c r="CF888" s="692"/>
      <c r="CG888" s="692"/>
      <c r="CH888" s="693"/>
    </row>
    <row r="889">
      <c r="B889" s="687"/>
      <c r="C889" s="687"/>
      <c r="D889" s="688"/>
      <c r="E889" s="689"/>
      <c r="F889" s="690"/>
      <c r="G889" s="690"/>
      <c r="H889" s="690"/>
      <c r="I889" s="691"/>
      <c r="J889" s="691"/>
      <c r="K889" s="691"/>
      <c r="L889" s="692"/>
      <c r="M889" s="692"/>
      <c r="N889" s="692"/>
      <c r="O889" s="693"/>
      <c r="P889" s="688"/>
      <c r="Q889" s="688"/>
      <c r="R889" s="688"/>
      <c r="S889" s="688"/>
      <c r="T889" s="689"/>
      <c r="U889" s="689"/>
      <c r="V889" s="694"/>
      <c r="W889" s="694"/>
      <c r="X889" s="694"/>
      <c r="Y889" s="694"/>
      <c r="Z889" s="693"/>
      <c r="AA889" s="693"/>
      <c r="AB889" s="693"/>
      <c r="AC889" s="693"/>
      <c r="AD889" s="688"/>
      <c r="AE889" s="689"/>
      <c r="AF889" s="689"/>
      <c r="AG889" s="690"/>
      <c r="AH889" s="690"/>
      <c r="AI889" s="695"/>
      <c r="AJ889" s="695"/>
      <c r="AK889" s="692"/>
      <c r="AL889" s="692"/>
      <c r="AM889" s="693"/>
      <c r="AN889" s="688"/>
      <c r="AO889" s="688"/>
      <c r="AP889" s="688"/>
      <c r="AQ889" s="688"/>
      <c r="AR889" s="688"/>
      <c r="AS889" s="688"/>
      <c r="AT889" s="689"/>
      <c r="AU889" s="689"/>
      <c r="AV889" s="690"/>
      <c r="AW889" s="690"/>
      <c r="AX889" s="690"/>
      <c r="AY889" s="690"/>
      <c r="AZ889" s="690"/>
      <c r="BA889" s="690"/>
      <c r="BB889" s="695"/>
      <c r="BC889" s="695"/>
      <c r="BD889" s="695"/>
      <c r="BE889" s="695"/>
      <c r="BF889" s="692"/>
      <c r="BG889" s="692"/>
      <c r="BH889" s="692"/>
      <c r="BI889" s="692"/>
      <c r="BJ889" s="692"/>
      <c r="BK889" s="692"/>
      <c r="BL889" s="693"/>
      <c r="BM889" s="693"/>
      <c r="BN889" s="688"/>
      <c r="BO889" s="693"/>
      <c r="BP889" s="689"/>
      <c r="BQ889" s="694"/>
      <c r="BR889" s="687"/>
      <c r="BS889" s="687"/>
      <c r="BT889" s="687"/>
      <c r="BU889" s="687"/>
      <c r="BV889" s="687"/>
      <c r="BW889" s="688"/>
      <c r="BX889" s="688"/>
      <c r="BY889" s="689"/>
      <c r="BZ889" s="690"/>
      <c r="CA889" s="690"/>
      <c r="CB889" s="690"/>
      <c r="CC889" s="691"/>
      <c r="CD889" s="691"/>
      <c r="CE889" s="692"/>
      <c r="CF889" s="692"/>
      <c r="CG889" s="692"/>
      <c r="CH889" s="693"/>
    </row>
    <row r="890">
      <c r="B890" s="687"/>
      <c r="C890" s="687"/>
      <c r="D890" s="688"/>
      <c r="E890" s="689"/>
      <c r="F890" s="690"/>
      <c r="G890" s="690"/>
      <c r="H890" s="690"/>
      <c r="I890" s="691"/>
      <c r="J890" s="691"/>
      <c r="K890" s="691"/>
      <c r="L890" s="692"/>
      <c r="M890" s="692"/>
      <c r="N890" s="692"/>
      <c r="O890" s="693"/>
      <c r="P890" s="688"/>
      <c r="Q890" s="688"/>
      <c r="R890" s="688"/>
      <c r="S890" s="688"/>
      <c r="T890" s="689"/>
      <c r="U890" s="689"/>
      <c r="V890" s="694"/>
      <c r="W890" s="694"/>
      <c r="X890" s="694"/>
      <c r="Y890" s="694"/>
      <c r="Z890" s="693"/>
      <c r="AA890" s="693"/>
      <c r="AB890" s="693"/>
      <c r="AC890" s="693"/>
      <c r="AD890" s="688"/>
      <c r="AE890" s="689"/>
      <c r="AF890" s="689"/>
      <c r="AG890" s="690"/>
      <c r="AH890" s="690"/>
      <c r="AI890" s="695"/>
      <c r="AJ890" s="695"/>
      <c r="AK890" s="692"/>
      <c r="AL890" s="692"/>
      <c r="AM890" s="693"/>
      <c r="AN890" s="688"/>
      <c r="AO890" s="688"/>
      <c r="AP890" s="688"/>
      <c r="AQ890" s="688"/>
      <c r="AR890" s="688"/>
      <c r="AS890" s="688"/>
      <c r="AT890" s="689"/>
      <c r="AU890" s="689"/>
      <c r="AV890" s="690"/>
      <c r="AW890" s="690"/>
      <c r="AX890" s="690"/>
      <c r="AY890" s="690"/>
      <c r="AZ890" s="690"/>
      <c r="BA890" s="690"/>
      <c r="BB890" s="695"/>
      <c r="BC890" s="695"/>
      <c r="BD890" s="695"/>
      <c r="BE890" s="695"/>
      <c r="BF890" s="692"/>
      <c r="BG890" s="692"/>
      <c r="BH890" s="692"/>
      <c r="BI890" s="692"/>
      <c r="BJ890" s="692"/>
      <c r="BK890" s="692"/>
      <c r="BL890" s="693"/>
      <c r="BM890" s="693"/>
      <c r="BN890" s="688"/>
      <c r="BO890" s="693"/>
      <c r="BP890" s="689"/>
      <c r="BQ890" s="694"/>
      <c r="BR890" s="687"/>
      <c r="BS890" s="687"/>
      <c r="BT890" s="687"/>
      <c r="BU890" s="687"/>
      <c r="BV890" s="687"/>
      <c r="BW890" s="688"/>
      <c r="BX890" s="688"/>
      <c r="BY890" s="689"/>
      <c r="BZ890" s="690"/>
      <c r="CA890" s="690"/>
      <c r="CB890" s="690"/>
      <c r="CC890" s="691"/>
      <c r="CD890" s="691"/>
      <c r="CE890" s="692"/>
      <c r="CF890" s="692"/>
      <c r="CG890" s="692"/>
      <c r="CH890" s="693"/>
    </row>
    <row r="891">
      <c r="B891" s="687"/>
      <c r="C891" s="687"/>
      <c r="D891" s="688"/>
      <c r="E891" s="689"/>
      <c r="F891" s="690"/>
      <c r="G891" s="690"/>
      <c r="H891" s="690"/>
      <c r="I891" s="691"/>
      <c r="J891" s="691"/>
      <c r="K891" s="691"/>
      <c r="L891" s="692"/>
      <c r="M891" s="692"/>
      <c r="N891" s="692"/>
      <c r="O891" s="693"/>
      <c r="P891" s="688"/>
      <c r="Q891" s="688"/>
      <c r="R891" s="688"/>
      <c r="S891" s="688"/>
      <c r="T891" s="689"/>
      <c r="U891" s="689"/>
      <c r="V891" s="694"/>
      <c r="W891" s="694"/>
      <c r="X891" s="694"/>
      <c r="Y891" s="694"/>
      <c r="Z891" s="693"/>
      <c r="AA891" s="693"/>
      <c r="AB891" s="693"/>
      <c r="AC891" s="693"/>
      <c r="AD891" s="688"/>
      <c r="AE891" s="689"/>
      <c r="AF891" s="689"/>
      <c r="AG891" s="690"/>
      <c r="AH891" s="690"/>
      <c r="AI891" s="695"/>
      <c r="AJ891" s="695"/>
      <c r="AK891" s="692"/>
      <c r="AL891" s="692"/>
      <c r="AM891" s="693"/>
      <c r="AN891" s="688"/>
      <c r="AO891" s="688"/>
      <c r="AP891" s="688"/>
      <c r="AQ891" s="688"/>
      <c r="AR891" s="688"/>
      <c r="AS891" s="688"/>
      <c r="AT891" s="689"/>
      <c r="AU891" s="689"/>
      <c r="AV891" s="690"/>
      <c r="AW891" s="690"/>
      <c r="AX891" s="690"/>
      <c r="AY891" s="690"/>
      <c r="AZ891" s="690"/>
      <c r="BA891" s="690"/>
      <c r="BB891" s="695"/>
      <c r="BC891" s="695"/>
      <c r="BD891" s="695"/>
      <c r="BE891" s="695"/>
      <c r="BF891" s="692"/>
      <c r="BG891" s="692"/>
      <c r="BH891" s="692"/>
      <c r="BI891" s="692"/>
      <c r="BJ891" s="692"/>
      <c r="BK891" s="692"/>
      <c r="BL891" s="693"/>
      <c r="BM891" s="693"/>
      <c r="BN891" s="688"/>
      <c r="BO891" s="693"/>
      <c r="BP891" s="689"/>
      <c r="BQ891" s="694"/>
      <c r="BR891" s="687"/>
      <c r="BS891" s="687"/>
      <c r="BT891" s="687"/>
      <c r="BU891" s="687"/>
      <c r="BV891" s="687"/>
      <c r="BW891" s="688"/>
      <c r="BX891" s="688"/>
      <c r="BY891" s="689"/>
      <c r="BZ891" s="690"/>
      <c r="CA891" s="690"/>
      <c r="CB891" s="690"/>
      <c r="CC891" s="691"/>
      <c r="CD891" s="691"/>
      <c r="CE891" s="692"/>
      <c r="CF891" s="692"/>
      <c r="CG891" s="692"/>
      <c r="CH891" s="693"/>
    </row>
    <row r="892">
      <c r="B892" s="687"/>
      <c r="C892" s="687"/>
      <c r="D892" s="688"/>
      <c r="E892" s="689"/>
      <c r="F892" s="690"/>
      <c r="G892" s="690"/>
      <c r="H892" s="690"/>
      <c r="I892" s="691"/>
      <c r="J892" s="691"/>
      <c r="K892" s="691"/>
      <c r="L892" s="692"/>
      <c r="M892" s="692"/>
      <c r="N892" s="692"/>
      <c r="O892" s="693"/>
      <c r="P892" s="688"/>
      <c r="Q892" s="688"/>
      <c r="R892" s="688"/>
      <c r="S892" s="688"/>
      <c r="T892" s="689"/>
      <c r="U892" s="689"/>
      <c r="V892" s="694"/>
      <c r="W892" s="694"/>
      <c r="X892" s="694"/>
      <c r="Y892" s="694"/>
      <c r="Z892" s="693"/>
      <c r="AA892" s="693"/>
      <c r="AB892" s="693"/>
      <c r="AC892" s="693"/>
      <c r="AD892" s="688"/>
      <c r="AE892" s="689"/>
      <c r="AF892" s="689"/>
      <c r="AG892" s="690"/>
      <c r="AH892" s="690"/>
      <c r="AI892" s="695"/>
      <c r="AJ892" s="695"/>
      <c r="AK892" s="692"/>
      <c r="AL892" s="692"/>
      <c r="AM892" s="693"/>
      <c r="AN892" s="688"/>
      <c r="AO892" s="688"/>
      <c r="AP892" s="688"/>
      <c r="AQ892" s="688"/>
      <c r="AR892" s="688"/>
      <c r="AS892" s="688"/>
      <c r="AT892" s="689"/>
      <c r="AU892" s="689"/>
      <c r="AV892" s="690"/>
      <c r="AW892" s="690"/>
      <c r="AX892" s="690"/>
      <c r="AY892" s="690"/>
      <c r="AZ892" s="690"/>
      <c r="BA892" s="690"/>
      <c r="BB892" s="695"/>
      <c r="BC892" s="695"/>
      <c r="BD892" s="695"/>
      <c r="BE892" s="695"/>
      <c r="BF892" s="692"/>
      <c r="BG892" s="692"/>
      <c r="BH892" s="692"/>
      <c r="BI892" s="692"/>
      <c r="BJ892" s="692"/>
      <c r="BK892" s="692"/>
      <c r="BL892" s="693"/>
      <c r="BM892" s="693"/>
      <c r="BN892" s="688"/>
      <c r="BO892" s="693"/>
      <c r="BP892" s="689"/>
      <c r="BQ892" s="694"/>
      <c r="BR892" s="687"/>
      <c r="BS892" s="687"/>
      <c r="BT892" s="687"/>
      <c r="BU892" s="687"/>
      <c r="BV892" s="687"/>
      <c r="BW892" s="688"/>
      <c r="BX892" s="688"/>
      <c r="BY892" s="689"/>
      <c r="BZ892" s="690"/>
      <c r="CA892" s="690"/>
      <c r="CB892" s="690"/>
      <c r="CC892" s="691"/>
      <c r="CD892" s="691"/>
      <c r="CE892" s="692"/>
      <c r="CF892" s="692"/>
      <c r="CG892" s="692"/>
      <c r="CH892" s="693"/>
    </row>
    <row r="893">
      <c r="B893" s="687"/>
      <c r="C893" s="687"/>
      <c r="D893" s="688"/>
      <c r="E893" s="689"/>
      <c r="F893" s="690"/>
      <c r="G893" s="690"/>
      <c r="H893" s="690"/>
      <c r="I893" s="691"/>
      <c r="J893" s="691"/>
      <c r="K893" s="691"/>
      <c r="L893" s="692"/>
      <c r="M893" s="692"/>
      <c r="N893" s="692"/>
      <c r="O893" s="693"/>
      <c r="P893" s="688"/>
      <c r="Q893" s="688"/>
      <c r="R893" s="688"/>
      <c r="S893" s="688"/>
      <c r="T893" s="689"/>
      <c r="U893" s="689"/>
      <c r="V893" s="694"/>
      <c r="W893" s="694"/>
      <c r="X893" s="694"/>
      <c r="Y893" s="694"/>
      <c r="Z893" s="693"/>
      <c r="AA893" s="693"/>
      <c r="AB893" s="693"/>
      <c r="AC893" s="693"/>
      <c r="AD893" s="688"/>
      <c r="AE893" s="689"/>
      <c r="AF893" s="689"/>
      <c r="AG893" s="690"/>
      <c r="AH893" s="690"/>
      <c r="AI893" s="695"/>
      <c r="AJ893" s="695"/>
      <c r="AK893" s="692"/>
      <c r="AL893" s="692"/>
      <c r="AM893" s="693"/>
      <c r="AN893" s="688"/>
      <c r="AO893" s="688"/>
      <c r="AP893" s="688"/>
      <c r="AQ893" s="688"/>
      <c r="AR893" s="688"/>
      <c r="AS893" s="688"/>
      <c r="AT893" s="689"/>
      <c r="AU893" s="689"/>
      <c r="AV893" s="690"/>
      <c r="AW893" s="690"/>
      <c r="AX893" s="690"/>
      <c r="AY893" s="690"/>
      <c r="AZ893" s="690"/>
      <c r="BA893" s="690"/>
      <c r="BB893" s="695"/>
      <c r="BC893" s="695"/>
      <c r="BD893" s="695"/>
      <c r="BE893" s="695"/>
      <c r="BF893" s="692"/>
      <c r="BG893" s="692"/>
      <c r="BH893" s="692"/>
      <c r="BI893" s="692"/>
      <c r="BJ893" s="692"/>
      <c r="BK893" s="692"/>
      <c r="BL893" s="693"/>
      <c r="BM893" s="693"/>
      <c r="BN893" s="688"/>
      <c r="BO893" s="693"/>
      <c r="BP893" s="689"/>
      <c r="BQ893" s="694"/>
      <c r="BR893" s="687"/>
      <c r="BS893" s="687"/>
      <c r="BT893" s="687"/>
      <c r="BU893" s="687"/>
      <c r="BV893" s="687"/>
      <c r="BW893" s="688"/>
      <c r="BX893" s="688"/>
      <c r="BY893" s="689"/>
      <c r="BZ893" s="690"/>
      <c r="CA893" s="690"/>
      <c r="CB893" s="690"/>
      <c r="CC893" s="691"/>
      <c r="CD893" s="691"/>
      <c r="CE893" s="692"/>
      <c r="CF893" s="692"/>
      <c r="CG893" s="692"/>
      <c r="CH893" s="693"/>
    </row>
    <row r="894">
      <c r="B894" s="687"/>
      <c r="C894" s="687"/>
      <c r="D894" s="688"/>
      <c r="E894" s="689"/>
      <c r="F894" s="690"/>
      <c r="G894" s="690"/>
      <c r="H894" s="690"/>
      <c r="I894" s="691"/>
      <c r="J894" s="691"/>
      <c r="K894" s="691"/>
      <c r="L894" s="692"/>
      <c r="M894" s="692"/>
      <c r="N894" s="692"/>
      <c r="O894" s="693"/>
      <c r="P894" s="688"/>
      <c r="Q894" s="688"/>
      <c r="R894" s="688"/>
      <c r="S894" s="688"/>
      <c r="T894" s="689"/>
      <c r="U894" s="689"/>
      <c r="V894" s="694"/>
      <c r="W894" s="694"/>
      <c r="X894" s="694"/>
      <c r="Y894" s="694"/>
      <c r="Z894" s="693"/>
      <c r="AA894" s="693"/>
      <c r="AB894" s="693"/>
      <c r="AC894" s="693"/>
      <c r="AD894" s="688"/>
      <c r="AE894" s="689"/>
      <c r="AF894" s="689"/>
      <c r="AG894" s="690"/>
      <c r="AH894" s="690"/>
      <c r="AI894" s="695"/>
      <c r="AJ894" s="695"/>
      <c r="AK894" s="692"/>
      <c r="AL894" s="692"/>
      <c r="AM894" s="693"/>
      <c r="AN894" s="688"/>
      <c r="AO894" s="688"/>
      <c r="AP894" s="688"/>
      <c r="AQ894" s="688"/>
      <c r="AR894" s="688"/>
      <c r="AS894" s="688"/>
      <c r="AT894" s="689"/>
      <c r="AU894" s="689"/>
      <c r="AV894" s="690"/>
      <c r="AW894" s="690"/>
      <c r="AX894" s="690"/>
      <c r="AY894" s="690"/>
      <c r="AZ894" s="690"/>
      <c r="BA894" s="690"/>
      <c r="BB894" s="695"/>
      <c r="BC894" s="695"/>
      <c r="BD894" s="695"/>
      <c r="BE894" s="695"/>
      <c r="BF894" s="692"/>
      <c r="BG894" s="692"/>
      <c r="BH894" s="692"/>
      <c r="BI894" s="692"/>
      <c r="BJ894" s="692"/>
      <c r="BK894" s="692"/>
      <c r="BL894" s="693"/>
      <c r="BM894" s="693"/>
      <c r="BN894" s="688"/>
      <c r="BO894" s="693"/>
      <c r="BP894" s="689"/>
      <c r="BQ894" s="694"/>
      <c r="BR894" s="687"/>
      <c r="BS894" s="687"/>
      <c r="BT894" s="687"/>
      <c r="BU894" s="687"/>
      <c r="BV894" s="687"/>
      <c r="BW894" s="688"/>
      <c r="BX894" s="688"/>
      <c r="BY894" s="689"/>
      <c r="BZ894" s="690"/>
      <c r="CA894" s="690"/>
      <c r="CB894" s="690"/>
      <c r="CC894" s="691"/>
      <c r="CD894" s="691"/>
      <c r="CE894" s="692"/>
      <c r="CF894" s="692"/>
      <c r="CG894" s="692"/>
      <c r="CH894" s="693"/>
    </row>
    <row r="895">
      <c r="B895" s="687"/>
      <c r="C895" s="687"/>
      <c r="D895" s="688"/>
      <c r="E895" s="689"/>
      <c r="F895" s="690"/>
      <c r="G895" s="690"/>
      <c r="H895" s="690"/>
      <c r="I895" s="691"/>
      <c r="J895" s="691"/>
      <c r="K895" s="691"/>
      <c r="L895" s="692"/>
      <c r="M895" s="692"/>
      <c r="N895" s="692"/>
      <c r="O895" s="693"/>
      <c r="P895" s="688"/>
      <c r="Q895" s="688"/>
      <c r="R895" s="688"/>
      <c r="S895" s="688"/>
      <c r="T895" s="689"/>
      <c r="U895" s="689"/>
      <c r="V895" s="694"/>
      <c r="W895" s="694"/>
      <c r="X895" s="694"/>
      <c r="Y895" s="694"/>
      <c r="Z895" s="693"/>
      <c r="AA895" s="693"/>
      <c r="AB895" s="693"/>
      <c r="AC895" s="693"/>
      <c r="AD895" s="688"/>
      <c r="AE895" s="689"/>
      <c r="AF895" s="689"/>
      <c r="AG895" s="690"/>
      <c r="AH895" s="690"/>
      <c r="AI895" s="695"/>
      <c r="AJ895" s="695"/>
      <c r="AK895" s="692"/>
      <c r="AL895" s="692"/>
      <c r="AM895" s="693"/>
      <c r="AN895" s="688"/>
      <c r="AO895" s="688"/>
      <c r="AP895" s="688"/>
      <c r="AQ895" s="688"/>
      <c r="AR895" s="688"/>
      <c r="AS895" s="688"/>
      <c r="AT895" s="689"/>
      <c r="AU895" s="689"/>
      <c r="AV895" s="690"/>
      <c r="AW895" s="690"/>
      <c r="AX895" s="690"/>
      <c r="AY895" s="690"/>
      <c r="AZ895" s="690"/>
      <c r="BA895" s="690"/>
      <c r="BB895" s="695"/>
      <c r="BC895" s="695"/>
      <c r="BD895" s="695"/>
      <c r="BE895" s="695"/>
      <c r="BF895" s="692"/>
      <c r="BG895" s="692"/>
      <c r="BH895" s="692"/>
      <c r="BI895" s="692"/>
      <c r="BJ895" s="692"/>
      <c r="BK895" s="692"/>
      <c r="BL895" s="693"/>
      <c r="BM895" s="693"/>
      <c r="BN895" s="688"/>
      <c r="BO895" s="693"/>
      <c r="BP895" s="689"/>
      <c r="BQ895" s="694"/>
      <c r="BR895" s="687"/>
      <c r="BS895" s="687"/>
      <c r="BT895" s="687"/>
      <c r="BU895" s="687"/>
      <c r="BV895" s="687"/>
      <c r="BW895" s="688"/>
      <c r="BX895" s="688"/>
      <c r="BY895" s="689"/>
      <c r="BZ895" s="690"/>
      <c r="CA895" s="690"/>
      <c r="CB895" s="690"/>
      <c r="CC895" s="691"/>
      <c r="CD895" s="691"/>
      <c r="CE895" s="692"/>
      <c r="CF895" s="692"/>
      <c r="CG895" s="692"/>
      <c r="CH895" s="693"/>
    </row>
    <row r="896">
      <c r="B896" s="687"/>
      <c r="C896" s="687"/>
      <c r="D896" s="688"/>
      <c r="E896" s="689"/>
      <c r="F896" s="690"/>
      <c r="G896" s="690"/>
      <c r="H896" s="690"/>
      <c r="I896" s="691"/>
      <c r="J896" s="691"/>
      <c r="K896" s="691"/>
      <c r="L896" s="692"/>
      <c r="M896" s="692"/>
      <c r="N896" s="692"/>
      <c r="O896" s="693"/>
      <c r="P896" s="688"/>
      <c r="Q896" s="688"/>
      <c r="R896" s="688"/>
      <c r="S896" s="688"/>
      <c r="T896" s="689"/>
      <c r="U896" s="689"/>
      <c r="V896" s="694"/>
      <c r="W896" s="694"/>
      <c r="X896" s="694"/>
      <c r="Y896" s="694"/>
      <c r="Z896" s="693"/>
      <c r="AA896" s="693"/>
      <c r="AB896" s="693"/>
      <c r="AC896" s="693"/>
      <c r="AD896" s="688"/>
      <c r="AE896" s="689"/>
      <c r="AF896" s="689"/>
      <c r="AG896" s="690"/>
      <c r="AH896" s="690"/>
      <c r="AI896" s="695"/>
      <c r="AJ896" s="695"/>
      <c r="AK896" s="692"/>
      <c r="AL896" s="692"/>
      <c r="AM896" s="693"/>
      <c r="AN896" s="688"/>
      <c r="AO896" s="688"/>
      <c r="AP896" s="688"/>
      <c r="AQ896" s="688"/>
      <c r="AR896" s="688"/>
      <c r="AS896" s="688"/>
      <c r="AT896" s="689"/>
      <c r="AU896" s="689"/>
      <c r="AV896" s="690"/>
      <c r="AW896" s="690"/>
      <c r="AX896" s="690"/>
      <c r="AY896" s="690"/>
      <c r="AZ896" s="690"/>
      <c r="BA896" s="690"/>
      <c r="BB896" s="695"/>
      <c r="BC896" s="695"/>
      <c r="BD896" s="695"/>
      <c r="BE896" s="695"/>
      <c r="BF896" s="692"/>
      <c r="BG896" s="692"/>
      <c r="BH896" s="692"/>
      <c r="BI896" s="692"/>
      <c r="BJ896" s="692"/>
      <c r="BK896" s="692"/>
      <c r="BL896" s="693"/>
      <c r="BM896" s="693"/>
      <c r="BN896" s="688"/>
      <c r="BO896" s="693"/>
      <c r="BP896" s="689"/>
      <c r="BQ896" s="694"/>
      <c r="BR896" s="687"/>
      <c r="BS896" s="687"/>
      <c r="BT896" s="687"/>
      <c r="BU896" s="687"/>
      <c r="BV896" s="687"/>
      <c r="BW896" s="688"/>
      <c r="BX896" s="688"/>
      <c r="BY896" s="689"/>
      <c r="BZ896" s="690"/>
      <c r="CA896" s="690"/>
      <c r="CB896" s="690"/>
      <c r="CC896" s="691"/>
      <c r="CD896" s="691"/>
      <c r="CE896" s="692"/>
      <c r="CF896" s="692"/>
      <c r="CG896" s="692"/>
      <c r="CH896" s="693"/>
    </row>
    <row r="897">
      <c r="B897" s="687"/>
      <c r="C897" s="687"/>
      <c r="D897" s="688"/>
      <c r="E897" s="689"/>
      <c r="F897" s="690"/>
      <c r="G897" s="690"/>
      <c r="H897" s="690"/>
      <c r="I897" s="691"/>
      <c r="J897" s="691"/>
      <c r="K897" s="691"/>
      <c r="L897" s="692"/>
      <c r="M897" s="692"/>
      <c r="N897" s="692"/>
      <c r="O897" s="693"/>
      <c r="P897" s="688"/>
      <c r="Q897" s="688"/>
      <c r="R897" s="688"/>
      <c r="S897" s="688"/>
      <c r="T897" s="689"/>
      <c r="U897" s="689"/>
      <c r="V897" s="694"/>
      <c r="W897" s="694"/>
      <c r="X897" s="694"/>
      <c r="Y897" s="694"/>
      <c r="Z897" s="693"/>
      <c r="AA897" s="693"/>
      <c r="AB897" s="693"/>
      <c r="AC897" s="693"/>
      <c r="AD897" s="688"/>
      <c r="AE897" s="689"/>
      <c r="AF897" s="689"/>
      <c r="AG897" s="690"/>
      <c r="AH897" s="690"/>
      <c r="AI897" s="695"/>
      <c r="AJ897" s="695"/>
      <c r="AK897" s="692"/>
      <c r="AL897" s="692"/>
      <c r="AM897" s="693"/>
      <c r="AN897" s="688"/>
      <c r="AO897" s="688"/>
      <c r="AP897" s="688"/>
      <c r="AQ897" s="688"/>
      <c r="AR897" s="688"/>
      <c r="AS897" s="688"/>
      <c r="AT897" s="689"/>
      <c r="AU897" s="689"/>
      <c r="AV897" s="690"/>
      <c r="AW897" s="690"/>
      <c r="AX897" s="690"/>
      <c r="AY897" s="690"/>
      <c r="AZ897" s="690"/>
      <c r="BA897" s="690"/>
      <c r="BB897" s="695"/>
      <c r="BC897" s="695"/>
      <c r="BD897" s="695"/>
      <c r="BE897" s="695"/>
      <c r="BF897" s="692"/>
      <c r="BG897" s="692"/>
      <c r="BH897" s="692"/>
      <c r="BI897" s="692"/>
      <c r="BJ897" s="692"/>
      <c r="BK897" s="692"/>
      <c r="BL897" s="693"/>
      <c r="BM897" s="693"/>
      <c r="BN897" s="688"/>
      <c r="BO897" s="693"/>
      <c r="BP897" s="689"/>
      <c r="BQ897" s="694"/>
      <c r="BR897" s="687"/>
      <c r="BS897" s="687"/>
      <c r="BT897" s="687"/>
      <c r="BU897" s="687"/>
      <c r="BV897" s="687"/>
      <c r="BW897" s="688"/>
      <c r="BX897" s="688"/>
      <c r="BY897" s="689"/>
      <c r="BZ897" s="690"/>
      <c r="CA897" s="690"/>
      <c r="CB897" s="690"/>
      <c r="CC897" s="691"/>
      <c r="CD897" s="691"/>
      <c r="CE897" s="692"/>
      <c r="CF897" s="692"/>
      <c r="CG897" s="692"/>
      <c r="CH897" s="693"/>
    </row>
    <row r="898">
      <c r="B898" s="687"/>
      <c r="C898" s="687"/>
      <c r="D898" s="688"/>
      <c r="E898" s="689"/>
      <c r="F898" s="690"/>
      <c r="G898" s="690"/>
      <c r="H898" s="690"/>
      <c r="I898" s="691"/>
      <c r="J898" s="691"/>
      <c r="K898" s="691"/>
      <c r="L898" s="692"/>
      <c r="M898" s="692"/>
      <c r="N898" s="692"/>
      <c r="O898" s="693"/>
      <c r="P898" s="688"/>
      <c r="Q898" s="688"/>
      <c r="R898" s="688"/>
      <c r="S898" s="688"/>
      <c r="T898" s="689"/>
      <c r="U898" s="689"/>
      <c r="V898" s="694"/>
      <c r="W898" s="694"/>
      <c r="X898" s="694"/>
      <c r="Y898" s="694"/>
      <c r="Z898" s="693"/>
      <c r="AA898" s="693"/>
      <c r="AB898" s="693"/>
      <c r="AC898" s="693"/>
      <c r="AD898" s="688"/>
      <c r="AE898" s="689"/>
      <c r="AF898" s="689"/>
      <c r="AG898" s="690"/>
      <c r="AH898" s="690"/>
      <c r="AI898" s="695"/>
      <c r="AJ898" s="695"/>
      <c r="AK898" s="692"/>
      <c r="AL898" s="692"/>
      <c r="AM898" s="693"/>
      <c r="AN898" s="688"/>
      <c r="AO898" s="688"/>
      <c r="AP898" s="688"/>
      <c r="AQ898" s="688"/>
      <c r="AR898" s="688"/>
      <c r="AS898" s="688"/>
      <c r="AT898" s="689"/>
      <c r="AU898" s="689"/>
      <c r="AV898" s="690"/>
      <c r="AW898" s="690"/>
      <c r="AX898" s="690"/>
      <c r="AY898" s="690"/>
      <c r="AZ898" s="690"/>
      <c r="BA898" s="690"/>
      <c r="BB898" s="695"/>
      <c r="BC898" s="695"/>
      <c r="BD898" s="695"/>
      <c r="BE898" s="695"/>
      <c r="BF898" s="692"/>
      <c r="BG898" s="692"/>
      <c r="BH898" s="692"/>
      <c r="BI898" s="692"/>
      <c r="BJ898" s="692"/>
      <c r="BK898" s="692"/>
      <c r="BL898" s="693"/>
      <c r="BM898" s="693"/>
      <c r="BN898" s="688"/>
      <c r="BO898" s="693"/>
      <c r="BP898" s="689"/>
      <c r="BQ898" s="694"/>
      <c r="BR898" s="687"/>
      <c r="BS898" s="687"/>
      <c r="BT898" s="687"/>
      <c r="BU898" s="687"/>
      <c r="BV898" s="687"/>
      <c r="BW898" s="688"/>
      <c r="BX898" s="688"/>
      <c r="BY898" s="689"/>
      <c r="BZ898" s="690"/>
      <c r="CA898" s="690"/>
      <c r="CB898" s="690"/>
      <c r="CC898" s="691"/>
      <c r="CD898" s="691"/>
      <c r="CE898" s="692"/>
      <c r="CF898" s="692"/>
      <c r="CG898" s="692"/>
      <c r="CH898" s="693"/>
    </row>
    <row r="899">
      <c r="B899" s="687"/>
      <c r="C899" s="687"/>
      <c r="D899" s="688"/>
      <c r="E899" s="689"/>
      <c r="F899" s="690"/>
      <c r="G899" s="690"/>
      <c r="H899" s="690"/>
      <c r="I899" s="691"/>
      <c r="J899" s="691"/>
      <c r="K899" s="691"/>
      <c r="L899" s="692"/>
      <c r="M899" s="692"/>
      <c r="N899" s="692"/>
      <c r="O899" s="693"/>
      <c r="P899" s="688"/>
      <c r="Q899" s="688"/>
      <c r="R899" s="688"/>
      <c r="S899" s="688"/>
      <c r="T899" s="689"/>
      <c r="U899" s="689"/>
      <c r="V899" s="694"/>
      <c r="W899" s="694"/>
      <c r="X899" s="694"/>
      <c r="Y899" s="694"/>
      <c r="Z899" s="693"/>
      <c r="AA899" s="693"/>
      <c r="AB899" s="693"/>
      <c r="AC899" s="693"/>
      <c r="AD899" s="688"/>
      <c r="AE899" s="689"/>
      <c r="AF899" s="689"/>
      <c r="AG899" s="690"/>
      <c r="AH899" s="690"/>
      <c r="AI899" s="695"/>
      <c r="AJ899" s="695"/>
      <c r="AK899" s="692"/>
      <c r="AL899" s="692"/>
      <c r="AM899" s="693"/>
      <c r="AN899" s="688"/>
      <c r="AO899" s="688"/>
      <c r="AP899" s="688"/>
      <c r="AQ899" s="688"/>
      <c r="AR899" s="688"/>
      <c r="AS899" s="688"/>
      <c r="AT899" s="689"/>
      <c r="AU899" s="689"/>
      <c r="AV899" s="690"/>
      <c r="AW899" s="690"/>
      <c r="AX899" s="690"/>
      <c r="AY899" s="690"/>
      <c r="AZ899" s="690"/>
      <c r="BA899" s="690"/>
      <c r="BB899" s="695"/>
      <c r="BC899" s="695"/>
      <c r="BD899" s="695"/>
      <c r="BE899" s="695"/>
      <c r="BF899" s="692"/>
      <c r="BG899" s="692"/>
      <c r="BH899" s="692"/>
      <c r="BI899" s="692"/>
      <c r="BJ899" s="692"/>
      <c r="BK899" s="692"/>
      <c r="BL899" s="693"/>
      <c r="BM899" s="693"/>
      <c r="BN899" s="688"/>
      <c r="BO899" s="693"/>
      <c r="BP899" s="689"/>
      <c r="BQ899" s="694"/>
      <c r="BR899" s="687"/>
      <c r="BS899" s="687"/>
      <c r="BT899" s="687"/>
      <c r="BU899" s="687"/>
      <c r="BV899" s="687"/>
      <c r="BW899" s="688"/>
      <c r="BX899" s="688"/>
      <c r="BY899" s="689"/>
      <c r="BZ899" s="690"/>
      <c r="CA899" s="690"/>
      <c r="CB899" s="690"/>
      <c r="CC899" s="691"/>
      <c r="CD899" s="691"/>
      <c r="CE899" s="692"/>
      <c r="CF899" s="692"/>
      <c r="CG899" s="692"/>
      <c r="CH899" s="693"/>
    </row>
    <row r="900">
      <c r="B900" s="687"/>
      <c r="C900" s="687"/>
      <c r="D900" s="688"/>
      <c r="E900" s="689"/>
      <c r="F900" s="690"/>
      <c r="G900" s="690"/>
      <c r="H900" s="690"/>
      <c r="I900" s="691"/>
      <c r="J900" s="691"/>
      <c r="K900" s="691"/>
      <c r="L900" s="692"/>
      <c r="M900" s="692"/>
      <c r="N900" s="692"/>
      <c r="O900" s="693"/>
      <c r="P900" s="688"/>
      <c r="Q900" s="688"/>
      <c r="R900" s="688"/>
      <c r="S900" s="688"/>
      <c r="T900" s="689"/>
      <c r="U900" s="689"/>
      <c r="V900" s="694"/>
      <c r="W900" s="694"/>
      <c r="X900" s="694"/>
      <c r="Y900" s="694"/>
      <c r="Z900" s="693"/>
      <c r="AA900" s="693"/>
      <c r="AB900" s="693"/>
      <c r="AC900" s="693"/>
      <c r="AD900" s="688"/>
      <c r="AE900" s="689"/>
      <c r="AF900" s="689"/>
      <c r="AG900" s="690"/>
      <c r="AH900" s="690"/>
      <c r="AI900" s="695"/>
      <c r="AJ900" s="695"/>
      <c r="AK900" s="692"/>
      <c r="AL900" s="692"/>
      <c r="AM900" s="693"/>
      <c r="AN900" s="688"/>
      <c r="AO900" s="688"/>
      <c r="AP900" s="688"/>
      <c r="AQ900" s="688"/>
      <c r="AR900" s="688"/>
      <c r="AS900" s="688"/>
      <c r="AT900" s="689"/>
      <c r="AU900" s="689"/>
      <c r="AV900" s="690"/>
      <c r="AW900" s="690"/>
      <c r="AX900" s="690"/>
      <c r="AY900" s="690"/>
      <c r="AZ900" s="690"/>
      <c r="BA900" s="690"/>
      <c r="BB900" s="695"/>
      <c r="BC900" s="695"/>
      <c r="BD900" s="695"/>
      <c r="BE900" s="695"/>
      <c r="BF900" s="692"/>
      <c r="BG900" s="692"/>
      <c r="BH900" s="692"/>
      <c r="BI900" s="692"/>
      <c r="BJ900" s="692"/>
      <c r="BK900" s="692"/>
      <c r="BL900" s="693"/>
      <c r="BM900" s="693"/>
      <c r="BN900" s="688"/>
      <c r="BO900" s="693"/>
      <c r="BP900" s="689"/>
      <c r="BQ900" s="694"/>
      <c r="BR900" s="687"/>
      <c r="BS900" s="687"/>
      <c r="BT900" s="687"/>
      <c r="BU900" s="687"/>
      <c r="BV900" s="687"/>
      <c r="BW900" s="688"/>
      <c r="BX900" s="688"/>
      <c r="BY900" s="689"/>
      <c r="BZ900" s="690"/>
      <c r="CA900" s="690"/>
      <c r="CB900" s="690"/>
      <c r="CC900" s="691"/>
      <c r="CD900" s="691"/>
      <c r="CE900" s="692"/>
      <c r="CF900" s="692"/>
      <c r="CG900" s="692"/>
      <c r="CH900" s="693"/>
    </row>
    <row r="901">
      <c r="B901" s="687"/>
      <c r="C901" s="687"/>
      <c r="D901" s="688"/>
      <c r="E901" s="689"/>
      <c r="F901" s="690"/>
      <c r="G901" s="690"/>
      <c r="H901" s="690"/>
      <c r="I901" s="691"/>
      <c r="J901" s="691"/>
      <c r="K901" s="691"/>
      <c r="L901" s="692"/>
      <c r="M901" s="692"/>
      <c r="N901" s="692"/>
      <c r="O901" s="693"/>
      <c r="P901" s="688"/>
      <c r="Q901" s="688"/>
      <c r="R901" s="688"/>
      <c r="S901" s="688"/>
      <c r="T901" s="689"/>
      <c r="U901" s="689"/>
      <c r="V901" s="694"/>
      <c r="W901" s="694"/>
      <c r="X901" s="694"/>
      <c r="Y901" s="694"/>
      <c r="Z901" s="693"/>
      <c r="AA901" s="693"/>
      <c r="AB901" s="693"/>
      <c r="AC901" s="693"/>
      <c r="AD901" s="688"/>
      <c r="AE901" s="689"/>
      <c r="AF901" s="689"/>
      <c r="AG901" s="690"/>
      <c r="AH901" s="690"/>
      <c r="AI901" s="695"/>
      <c r="AJ901" s="695"/>
      <c r="AK901" s="692"/>
      <c r="AL901" s="692"/>
      <c r="AM901" s="693"/>
      <c r="AN901" s="688"/>
      <c r="AO901" s="688"/>
      <c r="AP901" s="688"/>
      <c r="AQ901" s="688"/>
      <c r="AR901" s="688"/>
      <c r="AS901" s="688"/>
      <c r="AT901" s="689"/>
      <c r="AU901" s="689"/>
      <c r="AV901" s="690"/>
      <c r="AW901" s="690"/>
      <c r="AX901" s="690"/>
      <c r="AY901" s="690"/>
      <c r="AZ901" s="690"/>
      <c r="BA901" s="690"/>
      <c r="BB901" s="695"/>
      <c r="BC901" s="695"/>
      <c r="BD901" s="695"/>
      <c r="BE901" s="695"/>
      <c r="BF901" s="692"/>
      <c r="BG901" s="692"/>
      <c r="BH901" s="692"/>
      <c r="BI901" s="692"/>
      <c r="BJ901" s="692"/>
      <c r="BK901" s="692"/>
      <c r="BL901" s="693"/>
      <c r="BM901" s="693"/>
      <c r="BN901" s="688"/>
      <c r="BO901" s="693"/>
      <c r="BP901" s="689"/>
      <c r="BQ901" s="694"/>
      <c r="BR901" s="687"/>
      <c r="BS901" s="687"/>
      <c r="BT901" s="687"/>
      <c r="BU901" s="687"/>
      <c r="BV901" s="687"/>
      <c r="BW901" s="688"/>
      <c r="BX901" s="688"/>
      <c r="BY901" s="689"/>
      <c r="BZ901" s="690"/>
      <c r="CA901" s="690"/>
      <c r="CB901" s="690"/>
      <c r="CC901" s="691"/>
      <c r="CD901" s="691"/>
      <c r="CE901" s="692"/>
      <c r="CF901" s="692"/>
      <c r="CG901" s="692"/>
      <c r="CH901" s="693"/>
    </row>
    <row r="902">
      <c r="B902" s="687"/>
      <c r="C902" s="687"/>
      <c r="D902" s="688"/>
      <c r="E902" s="689"/>
      <c r="F902" s="690"/>
      <c r="G902" s="690"/>
      <c r="H902" s="690"/>
      <c r="I902" s="691"/>
      <c r="J902" s="691"/>
      <c r="K902" s="691"/>
      <c r="L902" s="692"/>
      <c r="M902" s="692"/>
      <c r="N902" s="692"/>
      <c r="O902" s="693"/>
      <c r="P902" s="688"/>
      <c r="Q902" s="688"/>
      <c r="R902" s="688"/>
      <c r="S902" s="688"/>
      <c r="T902" s="689"/>
      <c r="U902" s="689"/>
      <c r="V902" s="694"/>
      <c r="W902" s="694"/>
      <c r="X902" s="694"/>
      <c r="Y902" s="694"/>
      <c r="Z902" s="693"/>
      <c r="AA902" s="693"/>
      <c r="AB902" s="693"/>
      <c r="AC902" s="693"/>
      <c r="AD902" s="688"/>
      <c r="AE902" s="689"/>
      <c r="AF902" s="689"/>
      <c r="AG902" s="690"/>
      <c r="AH902" s="690"/>
      <c r="AI902" s="695"/>
      <c r="AJ902" s="695"/>
      <c r="AK902" s="692"/>
      <c r="AL902" s="692"/>
      <c r="AM902" s="693"/>
      <c r="AN902" s="688"/>
      <c r="AO902" s="688"/>
      <c r="AP902" s="688"/>
      <c r="AQ902" s="688"/>
      <c r="AR902" s="688"/>
      <c r="AS902" s="688"/>
      <c r="AT902" s="689"/>
      <c r="AU902" s="689"/>
      <c r="AV902" s="690"/>
      <c r="AW902" s="690"/>
      <c r="AX902" s="690"/>
      <c r="AY902" s="690"/>
      <c r="AZ902" s="690"/>
      <c r="BA902" s="690"/>
      <c r="BB902" s="695"/>
      <c r="BC902" s="695"/>
      <c r="BD902" s="695"/>
      <c r="BE902" s="695"/>
      <c r="BF902" s="692"/>
      <c r="BG902" s="692"/>
      <c r="BH902" s="692"/>
      <c r="BI902" s="692"/>
      <c r="BJ902" s="692"/>
      <c r="BK902" s="692"/>
      <c r="BL902" s="693"/>
      <c r="BM902" s="693"/>
      <c r="BN902" s="688"/>
      <c r="BO902" s="693"/>
      <c r="BP902" s="689"/>
      <c r="BQ902" s="694"/>
      <c r="BR902" s="687"/>
      <c r="BS902" s="687"/>
      <c r="BT902" s="687"/>
      <c r="BU902" s="687"/>
      <c r="BV902" s="687"/>
      <c r="BW902" s="688"/>
      <c r="BX902" s="688"/>
      <c r="BY902" s="689"/>
      <c r="BZ902" s="690"/>
      <c r="CA902" s="690"/>
      <c r="CB902" s="690"/>
      <c r="CC902" s="691"/>
      <c r="CD902" s="691"/>
      <c r="CE902" s="692"/>
      <c r="CF902" s="692"/>
      <c r="CG902" s="692"/>
      <c r="CH902" s="693"/>
    </row>
    <row r="903">
      <c r="B903" s="687"/>
      <c r="C903" s="687"/>
      <c r="D903" s="688"/>
      <c r="E903" s="689"/>
      <c r="F903" s="690"/>
      <c r="G903" s="690"/>
      <c r="H903" s="690"/>
      <c r="I903" s="691"/>
      <c r="J903" s="691"/>
      <c r="K903" s="691"/>
      <c r="L903" s="692"/>
      <c r="M903" s="692"/>
      <c r="N903" s="692"/>
      <c r="O903" s="693"/>
      <c r="P903" s="688"/>
      <c r="Q903" s="688"/>
      <c r="R903" s="688"/>
      <c r="S903" s="688"/>
      <c r="T903" s="689"/>
      <c r="U903" s="689"/>
      <c r="V903" s="694"/>
      <c r="W903" s="694"/>
      <c r="X903" s="694"/>
      <c r="Y903" s="694"/>
      <c r="Z903" s="693"/>
      <c r="AA903" s="693"/>
      <c r="AB903" s="693"/>
      <c r="AC903" s="693"/>
      <c r="AD903" s="688"/>
      <c r="AE903" s="689"/>
      <c r="AF903" s="689"/>
      <c r="AG903" s="690"/>
      <c r="AH903" s="690"/>
      <c r="AI903" s="695"/>
      <c r="AJ903" s="695"/>
      <c r="AK903" s="692"/>
      <c r="AL903" s="692"/>
      <c r="AM903" s="693"/>
      <c r="AN903" s="688"/>
      <c r="AO903" s="688"/>
      <c r="AP903" s="688"/>
      <c r="AQ903" s="688"/>
      <c r="AR903" s="688"/>
      <c r="AS903" s="688"/>
      <c r="AT903" s="689"/>
      <c r="AU903" s="689"/>
      <c r="AV903" s="690"/>
      <c r="AW903" s="690"/>
      <c r="AX903" s="690"/>
      <c r="AY903" s="690"/>
      <c r="AZ903" s="690"/>
      <c r="BA903" s="690"/>
      <c r="BB903" s="695"/>
      <c r="BC903" s="695"/>
      <c r="BD903" s="695"/>
      <c r="BE903" s="695"/>
      <c r="BF903" s="692"/>
      <c r="BG903" s="692"/>
      <c r="BH903" s="692"/>
      <c r="BI903" s="692"/>
      <c r="BJ903" s="692"/>
      <c r="BK903" s="692"/>
      <c r="BL903" s="693"/>
      <c r="BM903" s="693"/>
      <c r="BN903" s="688"/>
      <c r="BO903" s="693"/>
      <c r="BP903" s="689"/>
      <c r="BQ903" s="694"/>
      <c r="BR903" s="687"/>
      <c r="BS903" s="687"/>
      <c r="BT903" s="687"/>
      <c r="BU903" s="687"/>
      <c r="BV903" s="687"/>
      <c r="BW903" s="688"/>
      <c r="BX903" s="688"/>
      <c r="BY903" s="689"/>
      <c r="BZ903" s="690"/>
      <c r="CA903" s="690"/>
      <c r="CB903" s="690"/>
      <c r="CC903" s="691"/>
      <c r="CD903" s="691"/>
      <c r="CE903" s="692"/>
      <c r="CF903" s="692"/>
      <c r="CG903" s="692"/>
      <c r="CH903" s="693"/>
    </row>
    <row r="904">
      <c r="B904" s="687"/>
      <c r="C904" s="687"/>
      <c r="D904" s="688"/>
      <c r="E904" s="689"/>
      <c r="F904" s="690"/>
      <c r="G904" s="690"/>
      <c r="H904" s="690"/>
      <c r="I904" s="691"/>
      <c r="J904" s="691"/>
      <c r="K904" s="691"/>
      <c r="L904" s="692"/>
      <c r="M904" s="692"/>
      <c r="N904" s="692"/>
      <c r="O904" s="693"/>
      <c r="P904" s="688"/>
      <c r="Q904" s="688"/>
      <c r="R904" s="688"/>
      <c r="S904" s="688"/>
      <c r="T904" s="689"/>
      <c r="U904" s="689"/>
      <c r="V904" s="694"/>
      <c r="W904" s="694"/>
      <c r="X904" s="694"/>
      <c r="Y904" s="694"/>
      <c r="Z904" s="693"/>
      <c r="AA904" s="693"/>
      <c r="AB904" s="693"/>
      <c r="AC904" s="693"/>
      <c r="AD904" s="688"/>
      <c r="AE904" s="689"/>
      <c r="AF904" s="689"/>
      <c r="AG904" s="690"/>
      <c r="AH904" s="690"/>
      <c r="AI904" s="695"/>
      <c r="AJ904" s="695"/>
      <c r="AK904" s="692"/>
      <c r="AL904" s="692"/>
      <c r="AM904" s="693"/>
      <c r="AN904" s="688"/>
      <c r="AO904" s="688"/>
      <c r="AP904" s="688"/>
      <c r="AQ904" s="688"/>
      <c r="AR904" s="688"/>
      <c r="AS904" s="688"/>
      <c r="AT904" s="689"/>
      <c r="AU904" s="689"/>
      <c r="AV904" s="690"/>
      <c r="AW904" s="690"/>
      <c r="AX904" s="690"/>
      <c r="AY904" s="690"/>
      <c r="AZ904" s="690"/>
      <c r="BA904" s="690"/>
      <c r="BB904" s="695"/>
      <c r="BC904" s="695"/>
      <c r="BD904" s="695"/>
      <c r="BE904" s="695"/>
      <c r="BF904" s="692"/>
      <c r="BG904" s="692"/>
      <c r="BH904" s="692"/>
      <c r="BI904" s="692"/>
      <c r="BJ904" s="692"/>
      <c r="BK904" s="692"/>
      <c r="BL904" s="693"/>
      <c r="BM904" s="693"/>
      <c r="BN904" s="688"/>
      <c r="BO904" s="693"/>
      <c r="BP904" s="689"/>
      <c r="BQ904" s="694"/>
      <c r="BR904" s="687"/>
      <c r="BS904" s="687"/>
      <c r="BT904" s="687"/>
      <c r="BU904" s="687"/>
      <c r="BV904" s="687"/>
      <c r="BW904" s="688"/>
      <c r="BX904" s="688"/>
      <c r="BY904" s="689"/>
      <c r="BZ904" s="690"/>
      <c r="CA904" s="690"/>
      <c r="CB904" s="690"/>
      <c r="CC904" s="691"/>
      <c r="CD904" s="691"/>
      <c r="CE904" s="692"/>
      <c r="CF904" s="692"/>
      <c r="CG904" s="692"/>
      <c r="CH904" s="693"/>
    </row>
    <row r="905">
      <c r="B905" s="687"/>
      <c r="C905" s="687"/>
      <c r="D905" s="688"/>
      <c r="E905" s="689"/>
      <c r="F905" s="690"/>
      <c r="G905" s="690"/>
      <c r="H905" s="690"/>
      <c r="I905" s="691"/>
      <c r="J905" s="691"/>
      <c r="K905" s="691"/>
      <c r="L905" s="692"/>
      <c r="M905" s="692"/>
      <c r="N905" s="692"/>
      <c r="O905" s="693"/>
      <c r="P905" s="688"/>
      <c r="Q905" s="688"/>
      <c r="R905" s="688"/>
      <c r="S905" s="688"/>
      <c r="T905" s="689"/>
      <c r="U905" s="689"/>
      <c r="V905" s="694"/>
      <c r="W905" s="694"/>
      <c r="X905" s="694"/>
      <c r="Y905" s="694"/>
      <c r="Z905" s="693"/>
      <c r="AA905" s="693"/>
      <c r="AB905" s="693"/>
      <c r="AC905" s="693"/>
      <c r="AD905" s="688"/>
      <c r="AE905" s="689"/>
      <c r="AF905" s="689"/>
      <c r="AG905" s="690"/>
      <c r="AH905" s="690"/>
      <c r="AI905" s="695"/>
      <c r="AJ905" s="695"/>
      <c r="AK905" s="692"/>
      <c r="AL905" s="692"/>
      <c r="AM905" s="693"/>
      <c r="AN905" s="688"/>
      <c r="AO905" s="688"/>
      <c r="AP905" s="688"/>
      <c r="AQ905" s="688"/>
      <c r="AR905" s="688"/>
      <c r="AS905" s="688"/>
      <c r="AT905" s="689"/>
      <c r="AU905" s="689"/>
      <c r="AV905" s="690"/>
      <c r="AW905" s="690"/>
      <c r="AX905" s="690"/>
      <c r="AY905" s="690"/>
      <c r="AZ905" s="690"/>
      <c r="BA905" s="690"/>
      <c r="BB905" s="695"/>
      <c r="BC905" s="695"/>
      <c r="BD905" s="695"/>
      <c r="BE905" s="695"/>
      <c r="BF905" s="692"/>
      <c r="BG905" s="692"/>
      <c r="BH905" s="692"/>
      <c r="BI905" s="692"/>
      <c r="BJ905" s="692"/>
      <c r="BK905" s="692"/>
      <c r="BL905" s="693"/>
      <c r="BM905" s="693"/>
      <c r="BN905" s="688"/>
      <c r="BO905" s="693"/>
      <c r="BP905" s="689"/>
      <c r="BQ905" s="694"/>
      <c r="BR905" s="687"/>
      <c r="BS905" s="687"/>
      <c r="BT905" s="687"/>
      <c r="BU905" s="687"/>
      <c r="BV905" s="687"/>
      <c r="BW905" s="688"/>
      <c r="BX905" s="688"/>
      <c r="BY905" s="689"/>
      <c r="BZ905" s="690"/>
      <c r="CA905" s="690"/>
      <c r="CB905" s="690"/>
      <c r="CC905" s="691"/>
      <c r="CD905" s="691"/>
      <c r="CE905" s="692"/>
      <c r="CF905" s="692"/>
      <c r="CG905" s="692"/>
      <c r="CH905" s="693"/>
    </row>
    <row r="906">
      <c r="B906" s="687"/>
      <c r="C906" s="687"/>
      <c r="D906" s="688"/>
      <c r="E906" s="689"/>
      <c r="F906" s="690"/>
      <c r="G906" s="690"/>
      <c r="H906" s="690"/>
      <c r="I906" s="691"/>
      <c r="J906" s="691"/>
      <c r="K906" s="691"/>
      <c r="L906" s="692"/>
      <c r="M906" s="692"/>
      <c r="N906" s="692"/>
      <c r="O906" s="693"/>
      <c r="P906" s="688"/>
      <c r="Q906" s="688"/>
      <c r="R906" s="688"/>
      <c r="S906" s="688"/>
      <c r="T906" s="689"/>
      <c r="U906" s="689"/>
      <c r="V906" s="694"/>
      <c r="W906" s="694"/>
      <c r="X906" s="694"/>
      <c r="Y906" s="694"/>
      <c r="Z906" s="693"/>
      <c r="AA906" s="693"/>
      <c r="AB906" s="693"/>
      <c r="AC906" s="693"/>
      <c r="AD906" s="688"/>
      <c r="AE906" s="689"/>
      <c r="AF906" s="689"/>
      <c r="AG906" s="690"/>
      <c r="AH906" s="690"/>
      <c r="AI906" s="695"/>
      <c r="AJ906" s="695"/>
      <c r="AK906" s="692"/>
      <c r="AL906" s="692"/>
      <c r="AM906" s="693"/>
      <c r="AN906" s="688"/>
      <c r="AO906" s="688"/>
      <c r="AP906" s="688"/>
      <c r="AQ906" s="688"/>
      <c r="AR906" s="688"/>
      <c r="AS906" s="688"/>
      <c r="AT906" s="689"/>
      <c r="AU906" s="689"/>
      <c r="AV906" s="690"/>
      <c r="AW906" s="690"/>
      <c r="AX906" s="690"/>
      <c r="AY906" s="690"/>
      <c r="AZ906" s="690"/>
      <c r="BA906" s="690"/>
      <c r="BB906" s="695"/>
      <c r="BC906" s="695"/>
      <c r="BD906" s="695"/>
      <c r="BE906" s="695"/>
      <c r="BF906" s="692"/>
      <c r="BG906" s="692"/>
      <c r="BH906" s="692"/>
      <c r="BI906" s="692"/>
      <c r="BJ906" s="692"/>
      <c r="BK906" s="692"/>
      <c r="BL906" s="693"/>
      <c r="BM906" s="693"/>
      <c r="BN906" s="688"/>
      <c r="BO906" s="693"/>
      <c r="BP906" s="689"/>
      <c r="BQ906" s="694"/>
      <c r="BR906" s="687"/>
      <c r="BS906" s="687"/>
      <c r="BT906" s="687"/>
      <c r="BU906" s="687"/>
      <c r="BV906" s="687"/>
      <c r="BW906" s="688"/>
      <c r="BX906" s="688"/>
      <c r="BY906" s="689"/>
      <c r="BZ906" s="690"/>
      <c r="CA906" s="690"/>
      <c r="CB906" s="690"/>
      <c r="CC906" s="691"/>
      <c r="CD906" s="691"/>
      <c r="CE906" s="692"/>
      <c r="CF906" s="692"/>
      <c r="CG906" s="692"/>
      <c r="CH906" s="693"/>
    </row>
    <row r="907">
      <c r="B907" s="687"/>
      <c r="C907" s="687"/>
      <c r="D907" s="688"/>
      <c r="E907" s="689"/>
      <c r="F907" s="690"/>
      <c r="G907" s="690"/>
      <c r="H907" s="690"/>
      <c r="I907" s="691"/>
      <c r="J907" s="691"/>
      <c r="K907" s="691"/>
      <c r="L907" s="692"/>
      <c r="M907" s="692"/>
      <c r="N907" s="692"/>
      <c r="O907" s="693"/>
      <c r="P907" s="688"/>
      <c r="Q907" s="688"/>
      <c r="R907" s="688"/>
      <c r="S907" s="688"/>
      <c r="T907" s="689"/>
      <c r="U907" s="689"/>
      <c r="V907" s="694"/>
      <c r="W907" s="694"/>
      <c r="X907" s="694"/>
      <c r="Y907" s="694"/>
      <c r="Z907" s="693"/>
      <c r="AA907" s="693"/>
      <c r="AB907" s="693"/>
      <c r="AC907" s="693"/>
      <c r="AD907" s="688"/>
      <c r="AE907" s="689"/>
      <c r="AF907" s="689"/>
      <c r="AG907" s="690"/>
      <c r="AH907" s="690"/>
      <c r="AI907" s="695"/>
      <c r="AJ907" s="695"/>
      <c r="AK907" s="692"/>
      <c r="AL907" s="692"/>
      <c r="AM907" s="693"/>
      <c r="AN907" s="688"/>
      <c r="AO907" s="688"/>
      <c r="AP907" s="688"/>
      <c r="AQ907" s="688"/>
      <c r="AR907" s="688"/>
      <c r="AS907" s="688"/>
      <c r="AT907" s="689"/>
      <c r="AU907" s="689"/>
      <c r="AV907" s="690"/>
      <c r="AW907" s="690"/>
      <c r="AX907" s="690"/>
      <c r="AY907" s="690"/>
      <c r="AZ907" s="690"/>
      <c r="BA907" s="690"/>
      <c r="BB907" s="695"/>
      <c r="BC907" s="695"/>
      <c r="BD907" s="695"/>
      <c r="BE907" s="695"/>
      <c r="BF907" s="692"/>
      <c r="BG907" s="692"/>
      <c r="BH907" s="692"/>
      <c r="BI907" s="692"/>
      <c r="BJ907" s="692"/>
      <c r="BK907" s="692"/>
      <c r="BL907" s="693"/>
      <c r="BM907" s="693"/>
      <c r="BN907" s="688"/>
      <c r="BO907" s="693"/>
      <c r="BP907" s="689"/>
      <c r="BQ907" s="694"/>
      <c r="BR907" s="687"/>
      <c r="BS907" s="687"/>
      <c r="BT907" s="687"/>
      <c r="BU907" s="687"/>
      <c r="BV907" s="687"/>
      <c r="BW907" s="688"/>
      <c r="BX907" s="688"/>
      <c r="BY907" s="689"/>
      <c r="BZ907" s="690"/>
      <c r="CA907" s="690"/>
      <c r="CB907" s="690"/>
      <c r="CC907" s="691"/>
      <c r="CD907" s="691"/>
      <c r="CE907" s="692"/>
      <c r="CF907" s="692"/>
      <c r="CG907" s="692"/>
      <c r="CH907" s="693"/>
    </row>
    <row r="908">
      <c r="B908" s="687"/>
      <c r="C908" s="687"/>
      <c r="D908" s="688"/>
      <c r="E908" s="689"/>
      <c r="F908" s="690"/>
      <c r="G908" s="690"/>
      <c r="H908" s="690"/>
      <c r="I908" s="691"/>
      <c r="J908" s="691"/>
      <c r="K908" s="691"/>
      <c r="L908" s="692"/>
      <c r="M908" s="692"/>
      <c r="N908" s="692"/>
      <c r="O908" s="693"/>
      <c r="P908" s="688"/>
      <c r="Q908" s="688"/>
      <c r="R908" s="688"/>
      <c r="S908" s="688"/>
      <c r="T908" s="689"/>
      <c r="U908" s="689"/>
      <c r="V908" s="694"/>
      <c r="W908" s="694"/>
      <c r="X908" s="694"/>
      <c r="Y908" s="694"/>
      <c r="Z908" s="693"/>
      <c r="AA908" s="693"/>
      <c r="AB908" s="693"/>
      <c r="AC908" s="693"/>
      <c r="AD908" s="688"/>
      <c r="AE908" s="689"/>
      <c r="AF908" s="689"/>
      <c r="AG908" s="690"/>
      <c r="AH908" s="690"/>
      <c r="AI908" s="695"/>
      <c r="AJ908" s="695"/>
      <c r="AK908" s="692"/>
      <c r="AL908" s="692"/>
      <c r="AM908" s="693"/>
      <c r="AN908" s="688"/>
      <c r="AO908" s="688"/>
      <c r="AP908" s="688"/>
      <c r="AQ908" s="688"/>
      <c r="AR908" s="688"/>
      <c r="AS908" s="688"/>
      <c r="AT908" s="689"/>
      <c r="AU908" s="689"/>
      <c r="AV908" s="690"/>
      <c r="AW908" s="690"/>
      <c r="AX908" s="690"/>
      <c r="AY908" s="690"/>
      <c r="AZ908" s="690"/>
      <c r="BA908" s="690"/>
      <c r="BB908" s="695"/>
      <c r="BC908" s="695"/>
      <c r="BD908" s="695"/>
      <c r="BE908" s="695"/>
      <c r="BF908" s="692"/>
      <c r="BG908" s="692"/>
      <c r="BH908" s="692"/>
      <c r="BI908" s="692"/>
      <c r="BJ908" s="692"/>
      <c r="BK908" s="692"/>
      <c r="BL908" s="693"/>
      <c r="BM908" s="693"/>
      <c r="BN908" s="688"/>
      <c r="BO908" s="693"/>
      <c r="BP908" s="689"/>
      <c r="BQ908" s="694"/>
      <c r="BR908" s="687"/>
      <c r="BS908" s="687"/>
      <c r="BT908" s="687"/>
      <c r="BU908" s="687"/>
      <c r="BV908" s="687"/>
      <c r="BW908" s="688"/>
      <c r="BX908" s="688"/>
      <c r="BY908" s="689"/>
      <c r="BZ908" s="690"/>
      <c r="CA908" s="690"/>
      <c r="CB908" s="690"/>
      <c r="CC908" s="691"/>
      <c r="CD908" s="691"/>
      <c r="CE908" s="692"/>
      <c r="CF908" s="692"/>
      <c r="CG908" s="692"/>
      <c r="CH908" s="693"/>
    </row>
    <row r="909">
      <c r="B909" s="687"/>
      <c r="C909" s="687"/>
      <c r="D909" s="688"/>
      <c r="E909" s="689"/>
      <c r="F909" s="690"/>
      <c r="G909" s="690"/>
      <c r="H909" s="690"/>
      <c r="I909" s="691"/>
      <c r="J909" s="691"/>
      <c r="K909" s="691"/>
      <c r="L909" s="692"/>
      <c r="M909" s="692"/>
      <c r="N909" s="692"/>
      <c r="O909" s="693"/>
      <c r="P909" s="688"/>
      <c r="Q909" s="688"/>
      <c r="R909" s="688"/>
      <c r="S909" s="688"/>
      <c r="T909" s="689"/>
      <c r="U909" s="689"/>
      <c r="V909" s="694"/>
      <c r="W909" s="694"/>
      <c r="X909" s="694"/>
      <c r="Y909" s="694"/>
      <c r="Z909" s="693"/>
      <c r="AA909" s="693"/>
      <c r="AB909" s="693"/>
      <c r="AC909" s="693"/>
      <c r="AD909" s="688"/>
      <c r="AE909" s="689"/>
      <c r="AF909" s="689"/>
      <c r="AG909" s="690"/>
      <c r="AH909" s="690"/>
      <c r="AI909" s="695"/>
      <c r="AJ909" s="695"/>
      <c r="AK909" s="692"/>
      <c r="AL909" s="692"/>
      <c r="AM909" s="693"/>
      <c r="AN909" s="688"/>
      <c r="AO909" s="688"/>
      <c r="AP909" s="688"/>
      <c r="AQ909" s="688"/>
      <c r="AR909" s="688"/>
      <c r="AS909" s="688"/>
      <c r="AT909" s="689"/>
      <c r="AU909" s="689"/>
      <c r="AV909" s="690"/>
      <c r="AW909" s="690"/>
      <c r="AX909" s="690"/>
      <c r="AY909" s="690"/>
      <c r="AZ909" s="690"/>
      <c r="BA909" s="690"/>
      <c r="BB909" s="695"/>
      <c r="BC909" s="695"/>
      <c r="BD909" s="695"/>
      <c r="BE909" s="695"/>
      <c r="BF909" s="692"/>
      <c r="BG909" s="692"/>
      <c r="BH909" s="692"/>
      <c r="BI909" s="692"/>
      <c r="BJ909" s="692"/>
      <c r="BK909" s="692"/>
      <c r="BL909" s="693"/>
      <c r="BM909" s="693"/>
      <c r="BN909" s="688"/>
      <c r="BO909" s="693"/>
      <c r="BP909" s="689"/>
      <c r="BQ909" s="694"/>
      <c r="BR909" s="687"/>
      <c r="BS909" s="687"/>
      <c r="BT909" s="687"/>
      <c r="BU909" s="687"/>
      <c r="BV909" s="687"/>
      <c r="BW909" s="688"/>
      <c r="BX909" s="688"/>
      <c r="BY909" s="689"/>
      <c r="BZ909" s="690"/>
      <c r="CA909" s="690"/>
      <c r="CB909" s="690"/>
      <c r="CC909" s="691"/>
      <c r="CD909" s="691"/>
      <c r="CE909" s="692"/>
      <c r="CF909" s="692"/>
      <c r="CG909" s="692"/>
      <c r="CH909" s="693"/>
    </row>
    <row r="910">
      <c r="B910" s="687"/>
      <c r="C910" s="687"/>
      <c r="D910" s="688"/>
      <c r="E910" s="689"/>
      <c r="F910" s="690"/>
      <c r="G910" s="690"/>
      <c r="H910" s="690"/>
      <c r="I910" s="691"/>
      <c r="J910" s="691"/>
      <c r="K910" s="691"/>
      <c r="L910" s="692"/>
      <c r="M910" s="692"/>
      <c r="N910" s="692"/>
      <c r="O910" s="693"/>
      <c r="P910" s="688"/>
      <c r="Q910" s="688"/>
      <c r="R910" s="688"/>
      <c r="S910" s="688"/>
      <c r="T910" s="689"/>
      <c r="U910" s="689"/>
      <c r="V910" s="694"/>
      <c r="W910" s="694"/>
      <c r="X910" s="694"/>
      <c r="Y910" s="694"/>
      <c r="Z910" s="693"/>
      <c r="AA910" s="693"/>
      <c r="AB910" s="693"/>
      <c r="AC910" s="693"/>
      <c r="AD910" s="688"/>
      <c r="AE910" s="689"/>
      <c r="AF910" s="689"/>
      <c r="AG910" s="690"/>
      <c r="AH910" s="690"/>
      <c r="AI910" s="695"/>
      <c r="AJ910" s="695"/>
      <c r="AK910" s="692"/>
      <c r="AL910" s="692"/>
      <c r="AM910" s="693"/>
      <c r="AN910" s="688"/>
      <c r="AO910" s="688"/>
      <c r="AP910" s="688"/>
      <c r="AQ910" s="688"/>
      <c r="AR910" s="688"/>
      <c r="AS910" s="688"/>
      <c r="AT910" s="689"/>
      <c r="AU910" s="689"/>
      <c r="AV910" s="690"/>
      <c r="AW910" s="690"/>
      <c r="AX910" s="690"/>
      <c r="AY910" s="690"/>
      <c r="AZ910" s="690"/>
      <c r="BA910" s="690"/>
      <c r="BB910" s="695"/>
      <c r="BC910" s="695"/>
      <c r="BD910" s="695"/>
      <c r="BE910" s="695"/>
      <c r="BF910" s="692"/>
      <c r="BG910" s="692"/>
      <c r="BH910" s="692"/>
      <c r="BI910" s="692"/>
      <c r="BJ910" s="692"/>
      <c r="BK910" s="692"/>
      <c r="BL910" s="693"/>
      <c r="BM910" s="693"/>
      <c r="BN910" s="688"/>
      <c r="BO910" s="693"/>
      <c r="BP910" s="689"/>
      <c r="BQ910" s="694"/>
      <c r="BR910" s="687"/>
      <c r="BS910" s="687"/>
      <c r="BT910" s="687"/>
      <c r="BU910" s="687"/>
      <c r="BV910" s="687"/>
      <c r="BW910" s="688"/>
      <c r="BX910" s="688"/>
      <c r="BY910" s="689"/>
      <c r="BZ910" s="690"/>
      <c r="CA910" s="690"/>
      <c r="CB910" s="690"/>
      <c r="CC910" s="691"/>
      <c r="CD910" s="691"/>
      <c r="CE910" s="692"/>
      <c r="CF910" s="692"/>
      <c r="CG910" s="692"/>
      <c r="CH910" s="693"/>
    </row>
    <row r="911">
      <c r="B911" s="687"/>
      <c r="C911" s="687"/>
      <c r="D911" s="688"/>
      <c r="E911" s="689"/>
      <c r="F911" s="690"/>
      <c r="G911" s="690"/>
      <c r="H911" s="690"/>
      <c r="I911" s="691"/>
      <c r="J911" s="691"/>
      <c r="K911" s="691"/>
      <c r="L911" s="692"/>
      <c r="M911" s="692"/>
      <c r="N911" s="692"/>
      <c r="O911" s="693"/>
      <c r="P911" s="688"/>
      <c r="Q911" s="688"/>
      <c r="R911" s="688"/>
      <c r="S911" s="688"/>
      <c r="T911" s="689"/>
      <c r="U911" s="689"/>
      <c r="V911" s="694"/>
      <c r="W911" s="694"/>
      <c r="X911" s="694"/>
      <c r="Y911" s="694"/>
      <c r="Z911" s="693"/>
      <c r="AA911" s="693"/>
      <c r="AB911" s="693"/>
      <c r="AC911" s="693"/>
      <c r="AD911" s="688"/>
      <c r="AE911" s="689"/>
      <c r="AF911" s="689"/>
      <c r="AG911" s="690"/>
      <c r="AH911" s="690"/>
      <c r="AI911" s="695"/>
      <c r="AJ911" s="695"/>
      <c r="AK911" s="692"/>
      <c r="AL911" s="692"/>
      <c r="AM911" s="693"/>
      <c r="AN911" s="688"/>
      <c r="AO911" s="688"/>
      <c r="AP911" s="688"/>
      <c r="AQ911" s="688"/>
      <c r="AR911" s="688"/>
      <c r="AS911" s="688"/>
      <c r="AT911" s="689"/>
      <c r="AU911" s="689"/>
      <c r="AV911" s="690"/>
      <c r="AW911" s="690"/>
      <c r="AX911" s="690"/>
      <c r="AY911" s="690"/>
      <c r="AZ911" s="690"/>
      <c r="BA911" s="690"/>
      <c r="BB911" s="695"/>
      <c r="BC911" s="695"/>
      <c r="BD911" s="695"/>
      <c r="BE911" s="695"/>
      <c r="BF911" s="692"/>
      <c r="BG911" s="692"/>
      <c r="BH911" s="692"/>
      <c r="BI911" s="692"/>
      <c r="BJ911" s="692"/>
      <c r="BK911" s="692"/>
      <c r="BL911" s="693"/>
      <c r="BM911" s="693"/>
      <c r="BN911" s="688"/>
      <c r="BO911" s="693"/>
      <c r="BP911" s="689"/>
      <c r="BQ911" s="694"/>
      <c r="BR911" s="687"/>
      <c r="BS911" s="687"/>
      <c r="BT911" s="687"/>
      <c r="BU911" s="687"/>
      <c r="BV911" s="687"/>
      <c r="BW911" s="688"/>
      <c r="BX911" s="688"/>
      <c r="BY911" s="689"/>
      <c r="BZ911" s="690"/>
      <c r="CA911" s="690"/>
      <c r="CB911" s="690"/>
      <c r="CC911" s="691"/>
      <c r="CD911" s="691"/>
      <c r="CE911" s="692"/>
      <c r="CF911" s="692"/>
      <c r="CG911" s="692"/>
      <c r="CH911" s="693"/>
    </row>
    <row r="912">
      <c r="B912" s="687"/>
      <c r="C912" s="687"/>
      <c r="D912" s="688"/>
      <c r="E912" s="689"/>
      <c r="F912" s="690"/>
      <c r="G912" s="690"/>
      <c r="H912" s="690"/>
      <c r="I912" s="691"/>
      <c r="J912" s="691"/>
      <c r="K912" s="691"/>
      <c r="L912" s="692"/>
      <c r="M912" s="692"/>
      <c r="N912" s="692"/>
      <c r="O912" s="693"/>
      <c r="P912" s="688"/>
      <c r="Q912" s="688"/>
      <c r="R912" s="688"/>
      <c r="S912" s="688"/>
      <c r="T912" s="689"/>
      <c r="U912" s="689"/>
      <c r="V912" s="694"/>
      <c r="W912" s="694"/>
      <c r="X912" s="694"/>
      <c r="Y912" s="694"/>
      <c r="Z912" s="693"/>
      <c r="AA912" s="693"/>
      <c r="AB912" s="693"/>
      <c r="AC912" s="693"/>
      <c r="AD912" s="688"/>
      <c r="AE912" s="689"/>
      <c r="AF912" s="689"/>
      <c r="AG912" s="690"/>
      <c r="AH912" s="690"/>
      <c r="AI912" s="695"/>
      <c r="AJ912" s="695"/>
      <c r="AK912" s="692"/>
      <c r="AL912" s="692"/>
      <c r="AM912" s="693"/>
      <c r="AN912" s="688"/>
      <c r="AO912" s="688"/>
      <c r="AP912" s="688"/>
      <c r="AQ912" s="688"/>
      <c r="AR912" s="688"/>
      <c r="AS912" s="688"/>
      <c r="AT912" s="689"/>
      <c r="AU912" s="689"/>
      <c r="AV912" s="690"/>
      <c r="AW912" s="690"/>
      <c r="AX912" s="690"/>
      <c r="AY912" s="690"/>
      <c r="AZ912" s="690"/>
      <c r="BA912" s="690"/>
      <c r="BB912" s="695"/>
      <c r="BC912" s="695"/>
      <c r="BD912" s="695"/>
      <c r="BE912" s="695"/>
      <c r="BF912" s="692"/>
      <c r="BG912" s="692"/>
      <c r="BH912" s="692"/>
      <c r="BI912" s="692"/>
      <c r="BJ912" s="692"/>
      <c r="BK912" s="692"/>
      <c r="BL912" s="693"/>
      <c r="BM912" s="693"/>
      <c r="BN912" s="688"/>
      <c r="BO912" s="693"/>
      <c r="BP912" s="689"/>
      <c r="BQ912" s="694"/>
      <c r="BR912" s="687"/>
      <c r="BS912" s="687"/>
      <c r="BT912" s="687"/>
      <c r="BU912" s="687"/>
      <c r="BV912" s="687"/>
      <c r="BW912" s="688"/>
      <c r="BX912" s="688"/>
      <c r="BY912" s="689"/>
      <c r="BZ912" s="690"/>
      <c r="CA912" s="690"/>
      <c r="CB912" s="690"/>
      <c r="CC912" s="691"/>
      <c r="CD912" s="691"/>
      <c r="CE912" s="692"/>
      <c r="CF912" s="692"/>
      <c r="CG912" s="692"/>
      <c r="CH912" s="693"/>
    </row>
    <row r="913">
      <c r="B913" s="687"/>
      <c r="C913" s="687"/>
      <c r="D913" s="688"/>
      <c r="E913" s="689"/>
      <c r="F913" s="690"/>
      <c r="G913" s="690"/>
      <c r="H913" s="690"/>
      <c r="I913" s="691"/>
      <c r="J913" s="691"/>
      <c r="K913" s="691"/>
      <c r="L913" s="692"/>
      <c r="M913" s="692"/>
      <c r="N913" s="692"/>
      <c r="O913" s="693"/>
      <c r="P913" s="688"/>
      <c r="Q913" s="688"/>
      <c r="R913" s="688"/>
      <c r="S913" s="688"/>
      <c r="T913" s="689"/>
      <c r="U913" s="689"/>
      <c r="V913" s="694"/>
      <c r="W913" s="694"/>
      <c r="X913" s="694"/>
      <c r="Y913" s="694"/>
      <c r="Z913" s="693"/>
      <c r="AA913" s="693"/>
      <c r="AB913" s="693"/>
      <c r="AC913" s="693"/>
      <c r="AD913" s="688"/>
      <c r="AE913" s="689"/>
      <c r="AF913" s="689"/>
      <c r="AG913" s="690"/>
      <c r="AH913" s="690"/>
      <c r="AI913" s="695"/>
      <c r="AJ913" s="695"/>
      <c r="AK913" s="692"/>
      <c r="AL913" s="692"/>
      <c r="AM913" s="693"/>
      <c r="AN913" s="688"/>
      <c r="AO913" s="688"/>
      <c r="AP913" s="688"/>
      <c r="AQ913" s="688"/>
      <c r="AR913" s="688"/>
      <c r="AS913" s="688"/>
      <c r="AT913" s="689"/>
      <c r="AU913" s="689"/>
      <c r="AV913" s="690"/>
      <c r="AW913" s="690"/>
      <c r="AX913" s="690"/>
      <c r="AY913" s="690"/>
      <c r="AZ913" s="690"/>
      <c r="BA913" s="690"/>
      <c r="BB913" s="695"/>
      <c r="BC913" s="695"/>
      <c r="BD913" s="695"/>
      <c r="BE913" s="695"/>
      <c r="BF913" s="692"/>
      <c r="BG913" s="692"/>
      <c r="BH913" s="692"/>
      <c r="BI913" s="692"/>
      <c r="BJ913" s="692"/>
      <c r="BK913" s="692"/>
      <c r="BL913" s="693"/>
      <c r="BM913" s="693"/>
      <c r="BN913" s="688"/>
      <c r="BO913" s="693"/>
      <c r="BP913" s="689"/>
      <c r="BQ913" s="694"/>
      <c r="BR913" s="687"/>
      <c r="BS913" s="687"/>
      <c r="BT913" s="687"/>
      <c r="BU913" s="687"/>
      <c r="BV913" s="687"/>
      <c r="BW913" s="688"/>
      <c r="BX913" s="688"/>
      <c r="BY913" s="689"/>
      <c r="BZ913" s="690"/>
      <c r="CA913" s="690"/>
      <c r="CB913" s="690"/>
      <c r="CC913" s="691"/>
      <c r="CD913" s="691"/>
      <c r="CE913" s="692"/>
      <c r="CF913" s="692"/>
      <c r="CG913" s="692"/>
      <c r="CH913" s="693"/>
    </row>
    <row r="914">
      <c r="B914" s="687"/>
      <c r="C914" s="687"/>
      <c r="D914" s="688"/>
      <c r="E914" s="689"/>
      <c r="F914" s="690"/>
      <c r="G914" s="690"/>
      <c r="H914" s="690"/>
      <c r="I914" s="691"/>
      <c r="J914" s="691"/>
      <c r="K914" s="691"/>
      <c r="L914" s="692"/>
      <c r="M914" s="692"/>
      <c r="N914" s="692"/>
      <c r="O914" s="693"/>
      <c r="P914" s="688"/>
      <c r="Q914" s="688"/>
      <c r="R914" s="688"/>
      <c r="S914" s="688"/>
      <c r="T914" s="689"/>
      <c r="U914" s="689"/>
      <c r="V914" s="694"/>
      <c r="W914" s="694"/>
      <c r="X914" s="694"/>
      <c r="Y914" s="694"/>
      <c r="Z914" s="693"/>
      <c r="AA914" s="693"/>
      <c r="AB914" s="693"/>
      <c r="AC914" s="693"/>
      <c r="AD914" s="688"/>
      <c r="AE914" s="689"/>
      <c r="AF914" s="689"/>
      <c r="AG914" s="690"/>
      <c r="AH914" s="690"/>
      <c r="AI914" s="695"/>
      <c r="AJ914" s="695"/>
      <c r="AK914" s="692"/>
      <c r="AL914" s="692"/>
      <c r="AM914" s="693"/>
      <c r="AN914" s="688"/>
      <c r="AO914" s="688"/>
      <c r="AP914" s="688"/>
      <c r="AQ914" s="688"/>
      <c r="AR914" s="688"/>
      <c r="AS914" s="688"/>
      <c r="AT914" s="689"/>
      <c r="AU914" s="689"/>
      <c r="AV914" s="690"/>
      <c r="AW914" s="690"/>
      <c r="AX914" s="690"/>
      <c r="AY914" s="690"/>
      <c r="AZ914" s="690"/>
      <c r="BA914" s="690"/>
      <c r="BB914" s="695"/>
      <c r="BC914" s="695"/>
      <c r="BD914" s="695"/>
      <c r="BE914" s="695"/>
      <c r="BF914" s="692"/>
      <c r="BG914" s="692"/>
      <c r="BH914" s="692"/>
      <c r="BI914" s="692"/>
      <c r="BJ914" s="692"/>
      <c r="BK914" s="692"/>
      <c r="BL914" s="693"/>
      <c r="BM914" s="693"/>
      <c r="BN914" s="688"/>
      <c r="BO914" s="693"/>
      <c r="BP914" s="689"/>
      <c r="BQ914" s="694"/>
      <c r="BR914" s="687"/>
      <c r="BS914" s="687"/>
      <c r="BT914" s="687"/>
      <c r="BU914" s="687"/>
      <c r="BV914" s="687"/>
      <c r="BW914" s="688"/>
      <c r="BX914" s="688"/>
      <c r="BY914" s="689"/>
      <c r="BZ914" s="690"/>
      <c r="CA914" s="690"/>
      <c r="CB914" s="690"/>
      <c r="CC914" s="691"/>
      <c r="CD914" s="691"/>
      <c r="CE914" s="692"/>
      <c r="CF914" s="692"/>
      <c r="CG914" s="692"/>
      <c r="CH914" s="693"/>
    </row>
    <row r="915">
      <c r="B915" s="687"/>
      <c r="C915" s="687"/>
      <c r="D915" s="688"/>
      <c r="E915" s="689"/>
      <c r="F915" s="690"/>
      <c r="G915" s="690"/>
      <c r="H915" s="690"/>
      <c r="I915" s="691"/>
      <c r="J915" s="691"/>
      <c r="K915" s="691"/>
      <c r="L915" s="692"/>
      <c r="M915" s="692"/>
      <c r="N915" s="692"/>
      <c r="O915" s="693"/>
      <c r="P915" s="688"/>
      <c r="Q915" s="688"/>
      <c r="R915" s="688"/>
      <c r="S915" s="688"/>
      <c r="T915" s="689"/>
      <c r="U915" s="689"/>
      <c r="V915" s="694"/>
      <c r="W915" s="694"/>
      <c r="X915" s="694"/>
      <c r="Y915" s="694"/>
      <c r="Z915" s="693"/>
      <c r="AA915" s="693"/>
      <c r="AB915" s="693"/>
      <c r="AC915" s="693"/>
      <c r="AD915" s="688"/>
      <c r="AE915" s="689"/>
      <c r="AF915" s="689"/>
      <c r="AG915" s="690"/>
      <c r="AH915" s="690"/>
      <c r="AI915" s="695"/>
      <c r="AJ915" s="695"/>
      <c r="AK915" s="692"/>
      <c r="AL915" s="692"/>
      <c r="AM915" s="693"/>
      <c r="AN915" s="688"/>
      <c r="AO915" s="688"/>
      <c r="AP915" s="688"/>
      <c r="AQ915" s="688"/>
      <c r="AR915" s="688"/>
      <c r="AS915" s="688"/>
      <c r="AT915" s="689"/>
      <c r="AU915" s="689"/>
      <c r="AV915" s="690"/>
      <c r="AW915" s="690"/>
      <c r="AX915" s="690"/>
      <c r="AY915" s="690"/>
      <c r="AZ915" s="690"/>
      <c r="BA915" s="690"/>
      <c r="BB915" s="695"/>
      <c r="BC915" s="695"/>
      <c r="BD915" s="695"/>
      <c r="BE915" s="695"/>
      <c r="BF915" s="692"/>
      <c r="BG915" s="692"/>
      <c r="BH915" s="692"/>
      <c r="BI915" s="692"/>
      <c r="BJ915" s="692"/>
      <c r="BK915" s="692"/>
      <c r="BL915" s="693"/>
      <c r="BM915" s="693"/>
      <c r="BN915" s="688"/>
      <c r="BO915" s="693"/>
      <c r="BP915" s="689"/>
      <c r="BQ915" s="694"/>
      <c r="BR915" s="687"/>
      <c r="BS915" s="687"/>
      <c r="BT915" s="687"/>
      <c r="BU915" s="687"/>
      <c r="BV915" s="687"/>
      <c r="BW915" s="688"/>
      <c r="BX915" s="688"/>
      <c r="BY915" s="689"/>
      <c r="BZ915" s="690"/>
      <c r="CA915" s="690"/>
      <c r="CB915" s="690"/>
      <c r="CC915" s="691"/>
      <c r="CD915" s="691"/>
      <c r="CE915" s="692"/>
      <c r="CF915" s="692"/>
      <c r="CG915" s="692"/>
      <c r="CH915" s="693"/>
    </row>
    <row r="916">
      <c r="B916" s="687"/>
      <c r="C916" s="687"/>
      <c r="D916" s="688"/>
      <c r="E916" s="689"/>
      <c r="F916" s="690"/>
      <c r="G916" s="690"/>
      <c r="H916" s="690"/>
      <c r="I916" s="691"/>
      <c r="J916" s="691"/>
      <c r="K916" s="691"/>
      <c r="L916" s="692"/>
      <c r="M916" s="692"/>
      <c r="N916" s="692"/>
      <c r="O916" s="693"/>
      <c r="P916" s="688"/>
      <c r="Q916" s="688"/>
      <c r="R916" s="688"/>
      <c r="S916" s="688"/>
      <c r="T916" s="689"/>
      <c r="U916" s="689"/>
      <c r="V916" s="694"/>
      <c r="W916" s="694"/>
      <c r="X916" s="694"/>
      <c r="Y916" s="694"/>
      <c r="Z916" s="693"/>
      <c r="AA916" s="693"/>
      <c r="AB916" s="693"/>
      <c r="AC916" s="693"/>
      <c r="AD916" s="688"/>
      <c r="AE916" s="689"/>
      <c r="AF916" s="689"/>
      <c r="AG916" s="690"/>
      <c r="AH916" s="690"/>
      <c r="AI916" s="695"/>
      <c r="AJ916" s="695"/>
      <c r="AK916" s="692"/>
      <c r="AL916" s="692"/>
      <c r="AM916" s="693"/>
      <c r="AN916" s="688"/>
      <c r="AO916" s="688"/>
      <c r="AP916" s="688"/>
      <c r="AQ916" s="688"/>
      <c r="AR916" s="688"/>
      <c r="AS916" s="688"/>
      <c r="AT916" s="689"/>
      <c r="AU916" s="689"/>
      <c r="AV916" s="690"/>
      <c r="AW916" s="690"/>
      <c r="AX916" s="690"/>
      <c r="AY916" s="690"/>
      <c r="AZ916" s="690"/>
      <c r="BA916" s="690"/>
      <c r="BB916" s="695"/>
      <c r="BC916" s="695"/>
      <c r="BD916" s="695"/>
      <c r="BE916" s="695"/>
      <c r="BF916" s="692"/>
      <c r="BG916" s="692"/>
      <c r="BH916" s="692"/>
      <c r="BI916" s="692"/>
      <c r="BJ916" s="692"/>
      <c r="BK916" s="692"/>
      <c r="BL916" s="693"/>
      <c r="BM916" s="693"/>
      <c r="BN916" s="688"/>
      <c r="BO916" s="693"/>
      <c r="BP916" s="689"/>
      <c r="BQ916" s="694"/>
      <c r="BR916" s="687"/>
      <c r="BS916" s="687"/>
      <c r="BT916" s="687"/>
      <c r="BU916" s="687"/>
      <c r="BV916" s="687"/>
      <c r="BW916" s="688"/>
      <c r="BX916" s="688"/>
      <c r="BY916" s="689"/>
      <c r="BZ916" s="690"/>
      <c r="CA916" s="690"/>
      <c r="CB916" s="690"/>
      <c r="CC916" s="691"/>
      <c r="CD916" s="691"/>
      <c r="CE916" s="692"/>
      <c r="CF916" s="692"/>
      <c r="CG916" s="692"/>
      <c r="CH916" s="693"/>
    </row>
    <row r="917">
      <c r="B917" s="687"/>
      <c r="C917" s="687"/>
      <c r="D917" s="688"/>
      <c r="E917" s="689"/>
      <c r="F917" s="690"/>
      <c r="G917" s="690"/>
      <c r="H917" s="690"/>
      <c r="I917" s="691"/>
      <c r="J917" s="691"/>
      <c r="K917" s="691"/>
      <c r="L917" s="692"/>
      <c r="M917" s="692"/>
      <c r="N917" s="692"/>
      <c r="O917" s="693"/>
      <c r="P917" s="688"/>
      <c r="Q917" s="688"/>
      <c r="R917" s="688"/>
      <c r="S917" s="688"/>
      <c r="T917" s="689"/>
      <c r="U917" s="689"/>
      <c r="V917" s="694"/>
      <c r="W917" s="694"/>
      <c r="X917" s="694"/>
      <c r="Y917" s="694"/>
      <c r="Z917" s="693"/>
      <c r="AA917" s="693"/>
      <c r="AB917" s="693"/>
      <c r="AC917" s="693"/>
      <c r="AD917" s="688"/>
      <c r="AE917" s="689"/>
      <c r="AF917" s="689"/>
      <c r="AG917" s="690"/>
      <c r="AH917" s="690"/>
      <c r="AI917" s="695"/>
      <c r="AJ917" s="695"/>
      <c r="AK917" s="692"/>
      <c r="AL917" s="692"/>
      <c r="AM917" s="693"/>
      <c r="AN917" s="688"/>
      <c r="AO917" s="688"/>
      <c r="AP917" s="688"/>
      <c r="AQ917" s="688"/>
      <c r="AR917" s="688"/>
      <c r="AS917" s="688"/>
      <c r="AT917" s="689"/>
      <c r="AU917" s="689"/>
      <c r="AV917" s="690"/>
      <c r="AW917" s="690"/>
      <c r="AX917" s="690"/>
      <c r="AY917" s="690"/>
      <c r="AZ917" s="690"/>
      <c r="BA917" s="690"/>
      <c r="BB917" s="695"/>
      <c r="BC917" s="695"/>
      <c r="BD917" s="695"/>
      <c r="BE917" s="695"/>
      <c r="BF917" s="692"/>
      <c r="BG917" s="692"/>
      <c r="BH917" s="692"/>
      <c r="BI917" s="692"/>
      <c r="BJ917" s="692"/>
      <c r="BK917" s="692"/>
      <c r="BL917" s="693"/>
      <c r="BM917" s="693"/>
      <c r="BN917" s="688"/>
      <c r="BO917" s="693"/>
      <c r="BP917" s="689"/>
      <c r="BQ917" s="694"/>
      <c r="BR917" s="687"/>
      <c r="BS917" s="687"/>
      <c r="BT917" s="687"/>
      <c r="BU917" s="687"/>
      <c r="BV917" s="687"/>
      <c r="BW917" s="688"/>
      <c r="BX917" s="688"/>
      <c r="BY917" s="689"/>
      <c r="BZ917" s="690"/>
      <c r="CA917" s="690"/>
      <c r="CB917" s="690"/>
      <c r="CC917" s="691"/>
      <c r="CD917" s="691"/>
      <c r="CE917" s="692"/>
      <c r="CF917" s="692"/>
      <c r="CG917" s="692"/>
      <c r="CH917" s="693"/>
    </row>
    <row r="918">
      <c r="B918" s="687"/>
      <c r="C918" s="687"/>
      <c r="D918" s="688"/>
      <c r="E918" s="689"/>
      <c r="F918" s="690"/>
      <c r="G918" s="690"/>
      <c r="H918" s="690"/>
      <c r="I918" s="691"/>
      <c r="J918" s="691"/>
      <c r="K918" s="691"/>
      <c r="L918" s="692"/>
      <c r="M918" s="692"/>
      <c r="N918" s="692"/>
      <c r="O918" s="693"/>
      <c r="P918" s="688"/>
      <c r="Q918" s="688"/>
      <c r="R918" s="688"/>
      <c r="S918" s="688"/>
      <c r="T918" s="689"/>
      <c r="U918" s="689"/>
      <c r="V918" s="694"/>
      <c r="W918" s="694"/>
      <c r="X918" s="694"/>
      <c r="Y918" s="694"/>
      <c r="Z918" s="693"/>
      <c r="AA918" s="693"/>
      <c r="AB918" s="693"/>
      <c r="AC918" s="693"/>
      <c r="AD918" s="688"/>
      <c r="AE918" s="689"/>
      <c r="AF918" s="689"/>
      <c r="AG918" s="690"/>
      <c r="AH918" s="690"/>
      <c r="AI918" s="695"/>
      <c r="AJ918" s="695"/>
      <c r="AK918" s="692"/>
      <c r="AL918" s="692"/>
      <c r="AM918" s="693"/>
      <c r="AN918" s="688"/>
      <c r="AO918" s="688"/>
      <c r="AP918" s="688"/>
      <c r="AQ918" s="688"/>
      <c r="AR918" s="688"/>
      <c r="AS918" s="688"/>
      <c r="AT918" s="689"/>
      <c r="AU918" s="689"/>
      <c r="AV918" s="690"/>
      <c r="AW918" s="690"/>
      <c r="AX918" s="690"/>
      <c r="AY918" s="690"/>
      <c r="AZ918" s="690"/>
      <c r="BA918" s="690"/>
      <c r="BB918" s="695"/>
      <c r="BC918" s="695"/>
      <c r="BD918" s="695"/>
      <c r="BE918" s="695"/>
      <c r="BF918" s="692"/>
      <c r="BG918" s="692"/>
      <c r="BH918" s="692"/>
      <c r="BI918" s="692"/>
      <c r="BJ918" s="692"/>
      <c r="BK918" s="692"/>
      <c r="BL918" s="693"/>
      <c r="BM918" s="693"/>
      <c r="BN918" s="688"/>
      <c r="BO918" s="693"/>
      <c r="BP918" s="689"/>
      <c r="BQ918" s="694"/>
      <c r="BR918" s="687"/>
      <c r="BS918" s="687"/>
      <c r="BT918" s="687"/>
      <c r="BU918" s="687"/>
      <c r="BV918" s="687"/>
      <c r="BW918" s="688"/>
      <c r="BX918" s="688"/>
      <c r="BY918" s="689"/>
      <c r="BZ918" s="690"/>
      <c r="CA918" s="690"/>
      <c r="CB918" s="690"/>
      <c r="CC918" s="691"/>
      <c r="CD918" s="691"/>
      <c r="CE918" s="692"/>
      <c r="CF918" s="692"/>
      <c r="CG918" s="692"/>
      <c r="CH918" s="693"/>
    </row>
    <row r="919">
      <c r="B919" s="687"/>
      <c r="C919" s="687"/>
      <c r="D919" s="688"/>
      <c r="E919" s="689"/>
      <c r="F919" s="690"/>
      <c r="G919" s="690"/>
      <c r="H919" s="690"/>
      <c r="I919" s="691"/>
      <c r="J919" s="691"/>
      <c r="K919" s="691"/>
      <c r="L919" s="692"/>
      <c r="M919" s="692"/>
      <c r="N919" s="692"/>
      <c r="O919" s="693"/>
      <c r="P919" s="688"/>
      <c r="Q919" s="688"/>
      <c r="R919" s="688"/>
      <c r="S919" s="688"/>
      <c r="T919" s="689"/>
      <c r="U919" s="689"/>
      <c r="V919" s="694"/>
      <c r="W919" s="694"/>
      <c r="X919" s="694"/>
      <c r="Y919" s="694"/>
      <c r="Z919" s="693"/>
      <c r="AA919" s="693"/>
      <c r="AB919" s="693"/>
      <c r="AC919" s="693"/>
      <c r="AD919" s="688"/>
      <c r="AE919" s="689"/>
      <c r="AF919" s="689"/>
      <c r="AG919" s="690"/>
      <c r="AH919" s="690"/>
      <c r="AI919" s="695"/>
      <c r="AJ919" s="695"/>
      <c r="AK919" s="692"/>
      <c r="AL919" s="692"/>
      <c r="AM919" s="693"/>
      <c r="AN919" s="688"/>
      <c r="AO919" s="688"/>
      <c r="AP919" s="688"/>
      <c r="AQ919" s="688"/>
      <c r="AR919" s="688"/>
      <c r="AS919" s="688"/>
      <c r="AT919" s="689"/>
      <c r="AU919" s="689"/>
      <c r="AV919" s="690"/>
      <c r="AW919" s="690"/>
      <c r="AX919" s="690"/>
      <c r="AY919" s="690"/>
      <c r="AZ919" s="690"/>
      <c r="BA919" s="690"/>
      <c r="BB919" s="695"/>
      <c r="BC919" s="695"/>
      <c r="BD919" s="695"/>
      <c r="BE919" s="695"/>
      <c r="BF919" s="692"/>
      <c r="BG919" s="692"/>
      <c r="BH919" s="692"/>
      <c r="BI919" s="692"/>
      <c r="BJ919" s="692"/>
      <c r="BK919" s="692"/>
      <c r="BL919" s="693"/>
      <c r="BM919" s="693"/>
      <c r="BN919" s="688"/>
      <c r="BO919" s="693"/>
      <c r="BP919" s="689"/>
      <c r="BQ919" s="694"/>
      <c r="BR919" s="687"/>
      <c r="BS919" s="687"/>
      <c r="BT919" s="687"/>
      <c r="BU919" s="687"/>
      <c r="BV919" s="687"/>
      <c r="BW919" s="688"/>
      <c r="BX919" s="688"/>
      <c r="BY919" s="689"/>
      <c r="BZ919" s="690"/>
      <c r="CA919" s="690"/>
      <c r="CB919" s="690"/>
      <c r="CC919" s="691"/>
      <c r="CD919" s="691"/>
      <c r="CE919" s="692"/>
      <c r="CF919" s="692"/>
      <c r="CG919" s="692"/>
      <c r="CH919" s="693"/>
    </row>
    <row r="920">
      <c r="B920" s="687"/>
      <c r="C920" s="687"/>
      <c r="D920" s="688"/>
      <c r="E920" s="689"/>
      <c r="F920" s="690"/>
      <c r="G920" s="690"/>
      <c r="H920" s="690"/>
      <c r="I920" s="691"/>
      <c r="J920" s="691"/>
      <c r="K920" s="691"/>
      <c r="L920" s="692"/>
      <c r="M920" s="692"/>
      <c r="N920" s="692"/>
      <c r="O920" s="693"/>
      <c r="P920" s="688"/>
      <c r="Q920" s="688"/>
      <c r="R920" s="688"/>
      <c r="S920" s="688"/>
      <c r="T920" s="689"/>
      <c r="U920" s="689"/>
      <c r="V920" s="694"/>
      <c r="W920" s="694"/>
      <c r="X920" s="694"/>
      <c r="Y920" s="694"/>
      <c r="Z920" s="693"/>
      <c r="AA920" s="693"/>
      <c r="AB920" s="693"/>
      <c r="AC920" s="693"/>
      <c r="AD920" s="688"/>
      <c r="AE920" s="689"/>
      <c r="AF920" s="689"/>
      <c r="AG920" s="690"/>
      <c r="AH920" s="690"/>
      <c r="AI920" s="695"/>
      <c r="AJ920" s="695"/>
      <c r="AK920" s="692"/>
      <c r="AL920" s="692"/>
      <c r="AM920" s="693"/>
      <c r="AN920" s="688"/>
      <c r="AO920" s="688"/>
      <c r="AP920" s="688"/>
      <c r="AQ920" s="688"/>
      <c r="AR920" s="688"/>
      <c r="AS920" s="688"/>
      <c r="AT920" s="689"/>
      <c r="AU920" s="689"/>
      <c r="AV920" s="690"/>
      <c r="AW920" s="690"/>
      <c r="AX920" s="690"/>
      <c r="AY920" s="690"/>
      <c r="AZ920" s="690"/>
      <c r="BA920" s="690"/>
      <c r="BB920" s="695"/>
      <c r="BC920" s="695"/>
      <c r="BD920" s="695"/>
      <c r="BE920" s="695"/>
      <c r="BF920" s="692"/>
      <c r="BG920" s="692"/>
      <c r="BH920" s="692"/>
      <c r="BI920" s="692"/>
      <c r="BJ920" s="692"/>
      <c r="BK920" s="692"/>
      <c r="BL920" s="693"/>
      <c r="BM920" s="693"/>
      <c r="BN920" s="688"/>
      <c r="BO920" s="693"/>
      <c r="BP920" s="689"/>
      <c r="BQ920" s="694"/>
      <c r="BR920" s="687"/>
      <c r="BS920" s="687"/>
      <c r="BT920" s="687"/>
      <c r="BU920" s="687"/>
      <c r="BV920" s="687"/>
      <c r="BW920" s="688"/>
      <c r="BX920" s="688"/>
      <c r="BY920" s="689"/>
      <c r="BZ920" s="690"/>
      <c r="CA920" s="690"/>
      <c r="CB920" s="690"/>
      <c r="CC920" s="691"/>
      <c r="CD920" s="691"/>
      <c r="CE920" s="692"/>
      <c r="CF920" s="692"/>
      <c r="CG920" s="692"/>
      <c r="CH920" s="693"/>
    </row>
    <row r="921">
      <c r="B921" s="687"/>
      <c r="C921" s="687"/>
      <c r="D921" s="688"/>
      <c r="E921" s="689"/>
      <c r="F921" s="690"/>
      <c r="G921" s="690"/>
      <c r="H921" s="690"/>
      <c r="I921" s="691"/>
      <c r="J921" s="691"/>
      <c r="K921" s="691"/>
      <c r="L921" s="692"/>
      <c r="M921" s="692"/>
      <c r="N921" s="692"/>
      <c r="O921" s="693"/>
      <c r="P921" s="688"/>
      <c r="Q921" s="688"/>
      <c r="R921" s="688"/>
      <c r="S921" s="688"/>
      <c r="T921" s="689"/>
      <c r="U921" s="689"/>
      <c r="V921" s="694"/>
      <c r="W921" s="694"/>
      <c r="X921" s="694"/>
      <c r="Y921" s="694"/>
      <c r="Z921" s="693"/>
      <c r="AA921" s="693"/>
      <c r="AB921" s="693"/>
      <c r="AC921" s="693"/>
      <c r="AD921" s="688"/>
      <c r="AE921" s="689"/>
      <c r="AF921" s="689"/>
      <c r="AG921" s="690"/>
      <c r="AH921" s="690"/>
      <c r="AI921" s="695"/>
      <c r="AJ921" s="695"/>
      <c r="AK921" s="692"/>
      <c r="AL921" s="692"/>
      <c r="AM921" s="693"/>
      <c r="AN921" s="688"/>
      <c r="AO921" s="688"/>
      <c r="AP921" s="688"/>
      <c r="AQ921" s="688"/>
      <c r="AR921" s="688"/>
      <c r="AS921" s="688"/>
      <c r="AT921" s="689"/>
      <c r="AU921" s="689"/>
      <c r="AV921" s="690"/>
      <c r="AW921" s="690"/>
      <c r="AX921" s="690"/>
      <c r="AY921" s="690"/>
      <c r="AZ921" s="690"/>
      <c r="BA921" s="690"/>
      <c r="BB921" s="695"/>
      <c r="BC921" s="695"/>
      <c r="BD921" s="695"/>
      <c r="BE921" s="695"/>
      <c r="BF921" s="692"/>
      <c r="BG921" s="692"/>
      <c r="BH921" s="692"/>
      <c r="BI921" s="692"/>
      <c r="BJ921" s="692"/>
      <c r="BK921" s="692"/>
      <c r="BL921" s="693"/>
      <c r="BM921" s="693"/>
      <c r="BN921" s="688"/>
      <c r="BO921" s="693"/>
      <c r="BP921" s="689"/>
      <c r="BQ921" s="694"/>
      <c r="BR921" s="687"/>
      <c r="BS921" s="687"/>
      <c r="BT921" s="687"/>
      <c r="BU921" s="687"/>
      <c r="BV921" s="687"/>
      <c r="BW921" s="688"/>
      <c r="BX921" s="688"/>
      <c r="BY921" s="689"/>
      <c r="BZ921" s="690"/>
      <c r="CA921" s="690"/>
      <c r="CB921" s="690"/>
      <c r="CC921" s="691"/>
      <c r="CD921" s="691"/>
      <c r="CE921" s="692"/>
      <c r="CF921" s="692"/>
      <c r="CG921" s="692"/>
      <c r="CH921" s="693"/>
    </row>
    <row r="922">
      <c r="B922" s="687"/>
      <c r="C922" s="687"/>
      <c r="D922" s="688"/>
      <c r="E922" s="689"/>
      <c r="F922" s="690"/>
      <c r="G922" s="690"/>
      <c r="H922" s="690"/>
      <c r="I922" s="691"/>
      <c r="J922" s="691"/>
      <c r="K922" s="691"/>
      <c r="L922" s="692"/>
      <c r="M922" s="692"/>
      <c r="N922" s="692"/>
      <c r="O922" s="693"/>
      <c r="P922" s="688"/>
      <c r="Q922" s="688"/>
      <c r="R922" s="688"/>
      <c r="S922" s="688"/>
      <c r="T922" s="689"/>
      <c r="U922" s="689"/>
      <c r="V922" s="694"/>
      <c r="W922" s="694"/>
      <c r="X922" s="694"/>
      <c r="Y922" s="694"/>
      <c r="Z922" s="693"/>
      <c r="AA922" s="693"/>
      <c r="AB922" s="693"/>
      <c r="AC922" s="693"/>
      <c r="AD922" s="688"/>
      <c r="AE922" s="689"/>
      <c r="AF922" s="689"/>
      <c r="AG922" s="690"/>
      <c r="AH922" s="690"/>
      <c r="AI922" s="695"/>
      <c r="AJ922" s="695"/>
      <c r="AK922" s="692"/>
      <c r="AL922" s="692"/>
      <c r="AM922" s="693"/>
      <c r="AN922" s="688"/>
      <c r="AO922" s="688"/>
      <c r="AP922" s="688"/>
      <c r="AQ922" s="688"/>
      <c r="AR922" s="688"/>
      <c r="AS922" s="688"/>
      <c r="AT922" s="689"/>
      <c r="AU922" s="689"/>
      <c r="AV922" s="690"/>
      <c r="AW922" s="690"/>
      <c r="AX922" s="690"/>
      <c r="AY922" s="690"/>
      <c r="AZ922" s="690"/>
      <c r="BA922" s="690"/>
      <c r="BB922" s="695"/>
      <c r="BC922" s="695"/>
      <c r="BD922" s="695"/>
      <c r="BE922" s="695"/>
      <c r="BF922" s="692"/>
      <c r="BG922" s="692"/>
      <c r="BH922" s="692"/>
      <c r="BI922" s="692"/>
      <c r="BJ922" s="692"/>
      <c r="BK922" s="692"/>
      <c r="BL922" s="693"/>
      <c r="BM922" s="693"/>
      <c r="BN922" s="688"/>
      <c r="BO922" s="693"/>
      <c r="BP922" s="689"/>
      <c r="BQ922" s="694"/>
      <c r="BR922" s="687"/>
      <c r="BS922" s="687"/>
      <c r="BT922" s="687"/>
      <c r="BU922" s="687"/>
      <c r="BV922" s="687"/>
      <c r="BW922" s="688"/>
      <c r="BX922" s="688"/>
      <c r="BY922" s="689"/>
      <c r="BZ922" s="690"/>
      <c r="CA922" s="690"/>
      <c r="CB922" s="690"/>
      <c r="CC922" s="691"/>
      <c r="CD922" s="691"/>
      <c r="CE922" s="692"/>
      <c r="CF922" s="692"/>
      <c r="CG922" s="692"/>
      <c r="CH922" s="693"/>
    </row>
    <row r="923">
      <c r="B923" s="687"/>
      <c r="C923" s="687"/>
      <c r="D923" s="688"/>
      <c r="E923" s="689"/>
      <c r="F923" s="690"/>
      <c r="G923" s="690"/>
      <c r="H923" s="690"/>
      <c r="I923" s="691"/>
      <c r="J923" s="691"/>
      <c r="K923" s="691"/>
      <c r="L923" s="692"/>
      <c r="M923" s="692"/>
      <c r="N923" s="692"/>
      <c r="O923" s="693"/>
      <c r="P923" s="688"/>
      <c r="Q923" s="688"/>
      <c r="R923" s="688"/>
      <c r="S923" s="688"/>
      <c r="T923" s="689"/>
      <c r="U923" s="689"/>
      <c r="V923" s="694"/>
      <c r="W923" s="694"/>
      <c r="X923" s="694"/>
      <c r="Y923" s="694"/>
      <c r="Z923" s="693"/>
      <c r="AA923" s="693"/>
      <c r="AB923" s="693"/>
      <c r="AC923" s="693"/>
      <c r="AD923" s="688"/>
      <c r="AE923" s="689"/>
      <c r="AF923" s="689"/>
      <c r="AG923" s="690"/>
      <c r="AH923" s="690"/>
      <c r="AI923" s="695"/>
      <c r="AJ923" s="695"/>
      <c r="AK923" s="692"/>
      <c r="AL923" s="692"/>
      <c r="AM923" s="693"/>
      <c r="AN923" s="688"/>
      <c r="AO923" s="688"/>
      <c r="AP923" s="688"/>
      <c r="AQ923" s="688"/>
      <c r="AR923" s="688"/>
      <c r="AS923" s="688"/>
      <c r="AT923" s="689"/>
      <c r="AU923" s="689"/>
      <c r="AV923" s="690"/>
      <c r="AW923" s="690"/>
      <c r="AX923" s="690"/>
      <c r="AY923" s="690"/>
      <c r="AZ923" s="690"/>
      <c r="BA923" s="690"/>
      <c r="BB923" s="695"/>
      <c r="BC923" s="695"/>
      <c r="BD923" s="695"/>
      <c r="BE923" s="695"/>
      <c r="BF923" s="692"/>
      <c r="BG923" s="692"/>
      <c r="BH923" s="692"/>
      <c r="BI923" s="692"/>
      <c r="BJ923" s="692"/>
      <c r="BK923" s="692"/>
      <c r="BL923" s="693"/>
      <c r="BM923" s="693"/>
      <c r="BN923" s="688"/>
      <c r="BO923" s="693"/>
      <c r="BP923" s="689"/>
      <c r="BQ923" s="694"/>
      <c r="BR923" s="687"/>
      <c r="BS923" s="687"/>
      <c r="BT923" s="687"/>
      <c r="BU923" s="687"/>
      <c r="BV923" s="687"/>
      <c r="BW923" s="688"/>
      <c r="BX923" s="688"/>
      <c r="BY923" s="689"/>
      <c r="BZ923" s="690"/>
      <c r="CA923" s="690"/>
      <c r="CB923" s="690"/>
      <c r="CC923" s="691"/>
      <c r="CD923" s="691"/>
      <c r="CE923" s="692"/>
      <c r="CF923" s="692"/>
      <c r="CG923" s="692"/>
      <c r="CH923" s="693"/>
    </row>
    <row r="924">
      <c r="B924" s="687"/>
      <c r="C924" s="687"/>
      <c r="D924" s="688"/>
      <c r="E924" s="689"/>
      <c r="F924" s="690"/>
      <c r="G924" s="690"/>
      <c r="H924" s="690"/>
      <c r="I924" s="691"/>
      <c r="J924" s="691"/>
      <c r="K924" s="691"/>
      <c r="L924" s="692"/>
      <c r="M924" s="692"/>
      <c r="N924" s="692"/>
      <c r="O924" s="693"/>
      <c r="P924" s="688"/>
      <c r="Q924" s="688"/>
      <c r="R924" s="688"/>
      <c r="S924" s="688"/>
      <c r="T924" s="689"/>
      <c r="U924" s="689"/>
      <c r="V924" s="694"/>
      <c r="W924" s="694"/>
      <c r="X924" s="694"/>
      <c r="Y924" s="694"/>
      <c r="Z924" s="693"/>
      <c r="AA924" s="693"/>
      <c r="AB924" s="693"/>
      <c r="AC924" s="693"/>
      <c r="AD924" s="688"/>
      <c r="AE924" s="689"/>
      <c r="AF924" s="689"/>
      <c r="AG924" s="690"/>
      <c r="AH924" s="690"/>
      <c r="AI924" s="695"/>
      <c r="AJ924" s="695"/>
      <c r="AK924" s="692"/>
      <c r="AL924" s="692"/>
      <c r="AM924" s="693"/>
      <c r="AN924" s="688"/>
      <c r="AO924" s="688"/>
      <c r="AP924" s="688"/>
      <c r="AQ924" s="688"/>
      <c r="AR924" s="688"/>
      <c r="AS924" s="688"/>
      <c r="AT924" s="689"/>
      <c r="AU924" s="689"/>
      <c r="AV924" s="690"/>
      <c r="AW924" s="690"/>
      <c r="AX924" s="690"/>
      <c r="AY924" s="690"/>
      <c r="AZ924" s="690"/>
      <c r="BA924" s="690"/>
      <c r="BB924" s="695"/>
      <c r="BC924" s="695"/>
      <c r="BD924" s="695"/>
      <c r="BE924" s="695"/>
      <c r="BF924" s="692"/>
      <c r="BG924" s="692"/>
      <c r="BH924" s="692"/>
      <c r="BI924" s="692"/>
      <c r="BJ924" s="692"/>
      <c r="BK924" s="692"/>
      <c r="BL924" s="693"/>
      <c r="BM924" s="693"/>
      <c r="BN924" s="688"/>
      <c r="BO924" s="693"/>
      <c r="BP924" s="689"/>
      <c r="BQ924" s="694"/>
      <c r="BR924" s="687"/>
      <c r="BS924" s="687"/>
      <c r="BT924" s="687"/>
      <c r="BU924" s="687"/>
      <c r="BV924" s="687"/>
      <c r="BW924" s="688"/>
      <c r="BX924" s="688"/>
      <c r="BY924" s="689"/>
      <c r="BZ924" s="690"/>
      <c r="CA924" s="690"/>
      <c r="CB924" s="690"/>
      <c r="CC924" s="691"/>
      <c r="CD924" s="691"/>
      <c r="CE924" s="692"/>
      <c r="CF924" s="692"/>
      <c r="CG924" s="692"/>
      <c r="CH924" s="693"/>
    </row>
    <row r="925">
      <c r="B925" s="687"/>
      <c r="C925" s="687"/>
      <c r="D925" s="688"/>
      <c r="E925" s="689"/>
      <c r="F925" s="690"/>
      <c r="G925" s="690"/>
      <c r="H925" s="690"/>
      <c r="I925" s="691"/>
      <c r="J925" s="691"/>
      <c r="K925" s="691"/>
      <c r="L925" s="692"/>
      <c r="M925" s="692"/>
      <c r="N925" s="692"/>
      <c r="O925" s="693"/>
      <c r="P925" s="688"/>
      <c r="Q925" s="688"/>
      <c r="R925" s="688"/>
      <c r="S925" s="688"/>
      <c r="T925" s="689"/>
      <c r="U925" s="689"/>
      <c r="V925" s="694"/>
      <c r="W925" s="694"/>
      <c r="X925" s="694"/>
      <c r="Y925" s="694"/>
      <c r="Z925" s="693"/>
      <c r="AA925" s="693"/>
      <c r="AB925" s="693"/>
      <c r="AC925" s="693"/>
      <c r="AD925" s="688"/>
      <c r="AE925" s="689"/>
      <c r="AF925" s="689"/>
      <c r="AG925" s="690"/>
      <c r="AH925" s="690"/>
      <c r="AI925" s="695"/>
      <c r="AJ925" s="695"/>
      <c r="AK925" s="692"/>
      <c r="AL925" s="692"/>
      <c r="AM925" s="693"/>
      <c r="AN925" s="688"/>
      <c r="AO925" s="688"/>
      <c r="AP925" s="688"/>
      <c r="AQ925" s="688"/>
      <c r="AR925" s="688"/>
      <c r="AS925" s="688"/>
      <c r="AT925" s="689"/>
      <c r="AU925" s="689"/>
      <c r="AV925" s="690"/>
      <c r="AW925" s="690"/>
      <c r="AX925" s="690"/>
      <c r="AY925" s="690"/>
      <c r="AZ925" s="690"/>
      <c r="BA925" s="690"/>
      <c r="BB925" s="695"/>
      <c r="BC925" s="695"/>
      <c r="BD925" s="695"/>
      <c r="BE925" s="695"/>
      <c r="BF925" s="692"/>
      <c r="BG925" s="692"/>
      <c r="BH925" s="692"/>
      <c r="BI925" s="692"/>
      <c r="BJ925" s="692"/>
      <c r="BK925" s="692"/>
      <c r="BL925" s="693"/>
      <c r="BM925" s="693"/>
      <c r="BN925" s="688"/>
      <c r="BO925" s="693"/>
      <c r="BP925" s="689"/>
      <c r="BQ925" s="694"/>
      <c r="BR925" s="687"/>
      <c r="BS925" s="687"/>
      <c r="BT925" s="687"/>
      <c r="BU925" s="687"/>
      <c r="BV925" s="687"/>
      <c r="BW925" s="688"/>
      <c r="BX925" s="688"/>
      <c r="BY925" s="689"/>
      <c r="BZ925" s="690"/>
      <c r="CA925" s="690"/>
      <c r="CB925" s="690"/>
      <c r="CC925" s="691"/>
      <c r="CD925" s="691"/>
      <c r="CE925" s="692"/>
      <c r="CF925" s="692"/>
      <c r="CG925" s="692"/>
      <c r="CH925" s="693"/>
    </row>
    <row r="926">
      <c r="B926" s="687"/>
      <c r="C926" s="687"/>
      <c r="D926" s="688"/>
      <c r="E926" s="689"/>
      <c r="F926" s="690"/>
      <c r="G926" s="690"/>
      <c r="H926" s="690"/>
      <c r="I926" s="691"/>
      <c r="J926" s="691"/>
      <c r="K926" s="691"/>
      <c r="L926" s="692"/>
      <c r="M926" s="692"/>
      <c r="N926" s="692"/>
      <c r="O926" s="693"/>
      <c r="P926" s="688"/>
      <c r="Q926" s="688"/>
      <c r="R926" s="688"/>
      <c r="S926" s="688"/>
      <c r="T926" s="689"/>
      <c r="U926" s="689"/>
      <c r="V926" s="694"/>
      <c r="W926" s="694"/>
      <c r="X926" s="694"/>
      <c r="Y926" s="694"/>
      <c r="Z926" s="693"/>
      <c r="AA926" s="693"/>
      <c r="AB926" s="693"/>
      <c r="AC926" s="693"/>
      <c r="AD926" s="688"/>
      <c r="AE926" s="689"/>
      <c r="AF926" s="689"/>
      <c r="AG926" s="690"/>
      <c r="AH926" s="690"/>
      <c r="AI926" s="695"/>
      <c r="AJ926" s="695"/>
      <c r="AK926" s="692"/>
      <c r="AL926" s="692"/>
      <c r="AM926" s="693"/>
      <c r="AN926" s="688"/>
      <c r="AO926" s="688"/>
      <c r="AP926" s="688"/>
      <c r="AQ926" s="688"/>
      <c r="AR926" s="688"/>
      <c r="AS926" s="688"/>
      <c r="AT926" s="689"/>
      <c r="AU926" s="689"/>
      <c r="AV926" s="690"/>
      <c r="AW926" s="690"/>
      <c r="AX926" s="690"/>
      <c r="AY926" s="690"/>
      <c r="AZ926" s="690"/>
      <c r="BA926" s="690"/>
      <c r="BB926" s="695"/>
      <c r="BC926" s="695"/>
      <c r="BD926" s="695"/>
      <c r="BE926" s="695"/>
      <c r="BF926" s="692"/>
      <c r="BG926" s="692"/>
      <c r="BH926" s="692"/>
      <c r="BI926" s="692"/>
      <c r="BJ926" s="692"/>
      <c r="BK926" s="692"/>
      <c r="BL926" s="693"/>
      <c r="BM926" s="693"/>
      <c r="BN926" s="688"/>
      <c r="BO926" s="693"/>
      <c r="BP926" s="689"/>
      <c r="BQ926" s="694"/>
      <c r="BR926" s="687"/>
      <c r="BS926" s="687"/>
      <c r="BT926" s="687"/>
      <c r="BU926" s="687"/>
      <c r="BV926" s="687"/>
      <c r="BW926" s="688"/>
      <c r="BX926" s="688"/>
      <c r="BY926" s="689"/>
      <c r="BZ926" s="690"/>
      <c r="CA926" s="690"/>
      <c r="CB926" s="690"/>
      <c r="CC926" s="691"/>
      <c r="CD926" s="691"/>
      <c r="CE926" s="692"/>
      <c r="CF926" s="692"/>
      <c r="CG926" s="692"/>
      <c r="CH926" s="693"/>
    </row>
    <row r="927">
      <c r="B927" s="687"/>
      <c r="C927" s="687"/>
      <c r="D927" s="688"/>
      <c r="E927" s="689"/>
      <c r="F927" s="690"/>
      <c r="G927" s="690"/>
      <c r="H927" s="690"/>
      <c r="I927" s="691"/>
      <c r="J927" s="691"/>
      <c r="K927" s="691"/>
      <c r="L927" s="692"/>
      <c r="M927" s="692"/>
      <c r="N927" s="692"/>
      <c r="O927" s="693"/>
      <c r="P927" s="688"/>
      <c r="Q927" s="688"/>
      <c r="R927" s="688"/>
      <c r="S927" s="688"/>
      <c r="T927" s="689"/>
      <c r="U927" s="689"/>
      <c r="V927" s="694"/>
      <c r="W927" s="694"/>
      <c r="X927" s="694"/>
      <c r="Y927" s="694"/>
      <c r="Z927" s="693"/>
      <c r="AA927" s="693"/>
      <c r="AB927" s="693"/>
      <c r="AC927" s="693"/>
      <c r="AD927" s="688"/>
      <c r="AE927" s="689"/>
      <c r="AF927" s="689"/>
      <c r="AG927" s="690"/>
      <c r="AH927" s="690"/>
      <c r="AI927" s="695"/>
      <c r="AJ927" s="695"/>
      <c r="AK927" s="692"/>
      <c r="AL927" s="692"/>
      <c r="AM927" s="693"/>
      <c r="AN927" s="688"/>
      <c r="AO927" s="688"/>
      <c r="AP927" s="688"/>
      <c r="AQ927" s="688"/>
      <c r="AR927" s="688"/>
      <c r="AS927" s="688"/>
      <c r="AT927" s="689"/>
      <c r="AU927" s="689"/>
      <c r="AV927" s="690"/>
      <c r="AW927" s="690"/>
      <c r="AX927" s="690"/>
      <c r="AY927" s="690"/>
      <c r="AZ927" s="690"/>
      <c r="BA927" s="690"/>
      <c r="BB927" s="695"/>
      <c r="BC927" s="695"/>
      <c r="BD927" s="695"/>
      <c r="BE927" s="695"/>
      <c r="BF927" s="692"/>
      <c r="BG927" s="692"/>
      <c r="BH927" s="692"/>
      <c r="BI927" s="692"/>
      <c r="BJ927" s="692"/>
      <c r="BK927" s="692"/>
      <c r="BL927" s="693"/>
      <c r="BM927" s="693"/>
      <c r="BN927" s="688"/>
      <c r="BO927" s="693"/>
      <c r="BP927" s="689"/>
      <c r="BQ927" s="694"/>
      <c r="BR927" s="687"/>
      <c r="BS927" s="687"/>
      <c r="BT927" s="687"/>
      <c r="BU927" s="687"/>
      <c r="BV927" s="687"/>
      <c r="BW927" s="688"/>
      <c r="BX927" s="688"/>
      <c r="BY927" s="689"/>
      <c r="BZ927" s="690"/>
      <c r="CA927" s="690"/>
      <c r="CB927" s="690"/>
      <c r="CC927" s="691"/>
      <c r="CD927" s="691"/>
      <c r="CE927" s="692"/>
      <c r="CF927" s="692"/>
      <c r="CG927" s="692"/>
      <c r="CH927" s="693"/>
    </row>
    <row r="928">
      <c r="B928" s="687"/>
      <c r="C928" s="687"/>
      <c r="D928" s="688"/>
      <c r="E928" s="689"/>
      <c r="F928" s="690"/>
      <c r="G928" s="690"/>
      <c r="H928" s="690"/>
      <c r="I928" s="691"/>
      <c r="J928" s="691"/>
      <c r="K928" s="691"/>
      <c r="L928" s="692"/>
      <c r="M928" s="692"/>
      <c r="N928" s="692"/>
      <c r="O928" s="693"/>
      <c r="P928" s="688"/>
      <c r="Q928" s="688"/>
      <c r="R928" s="688"/>
      <c r="S928" s="688"/>
      <c r="T928" s="689"/>
      <c r="U928" s="689"/>
      <c r="V928" s="694"/>
      <c r="W928" s="694"/>
      <c r="X928" s="694"/>
      <c r="Y928" s="694"/>
      <c r="Z928" s="693"/>
      <c r="AA928" s="693"/>
      <c r="AB928" s="693"/>
      <c r="AC928" s="693"/>
      <c r="AD928" s="688"/>
      <c r="AE928" s="689"/>
      <c r="AF928" s="689"/>
      <c r="AG928" s="690"/>
      <c r="AH928" s="690"/>
      <c r="AI928" s="695"/>
      <c r="AJ928" s="695"/>
      <c r="AK928" s="692"/>
      <c r="AL928" s="692"/>
      <c r="AM928" s="693"/>
      <c r="AN928" s="688"/>
      <c r="AO928" s="688"/>
      <c r="AP928" s="688"/>
      <c r="AQ928" s="688"/>
      <c r="AR928" s="688"/>
      <c r="AS928" s="688"/>
      <c r="AT928" s="689"/>
      <c r="AU928" s="689"/>
      <c r="AV928" s="690"/>
      <c r="AW928" s="690"/>
      <c r="AX928" s="690"/>
      <c r="AY928" s="690"/>
      <c r="AZ928" s="690"/>
      <c r="BA928" s="690"/>
      <c r="BB928" s="695"/>
      <c r="BC928" s="695"/>
      <c r="BD928" s="695"/>
      <c r="BE928" s="695"/>
      <c r="BF928" s="692"/>
      <c r="BG928" s="692"/>
      <c r="BH928" s="692"/>
      <c r="BI928" s="692"/>
      <c r="BJ928" s="692"/>
      <c r="BK928" s="692"/>
      <c r="BL928" s="693"/>
      <c r="BM928" s="693"/>
      <c r="BN928" s="688"/>
      <c r="BO928" s="693"/>
      <c r="BP928" s="689"/>
      <c r="BQ928" s="694"/>
      <c r="BR928" s="687"/>
      <c r="BS928" s="687"/>
      <c r="BT928" s="687"/>
      <c r="BU928" s="687"/>
      <c r="BV928" s="687"/>
      <c r="BW928" s="688"/>
      <c r="BX928" s="688"/>
      <c r="BY928" s="689"/>
      <c r="BZ928" s="690"/>
      <c r="CA928" s="690"/>
      <c r="CB928" s="690"/>
      <c r="CC928" s="691"/>
      <c r="CD928" s="691"/>
      <c r="CE928" s="692"/>
      <c r="CF928" s="692"/>
      <c r="CG928" s="692"/>
      <c r="CH928" s="693"/>
    </row>
    <row r="929">
      <c r="B929" s="687"/>
      <c r="C929" s="687"/>
      <c r="D929" s="688"/>
      <c r="E929" s="689"/>
      <c r="F929" s="690"/>
      <c r="G929" s="690"/>
      <c r="H929" s="690"/>
      <c r="I929" s="691"/>
      <c r="J929" s="691"/>
      <c r="K929" s="691"/>
      <c r="L929" s="692"/>
      <c r="M929" s="692"/>
      <c r="N929" s="692"/>
      <c r="O929" s="693"/>
      <c r="P929" s="688"/>
      <c r="Q929" s="688"/>
      <c r="R929" s="688"/>
      <c r="S929" s="688"/>
      <c r="T929" s="689"/>
      <c r="U929" s="689"/>
      <c r="V929" s="694"/>
      <c r="W929" s="694"/>
      <c r="X929" s="694"/>
      <c r="Y929" s="694"/>
      <c r="Z929" s="693"/>
      <c r="AA929" s="693"/>
      <c r="AB929" s="693"/>
      <c r="AC929" s="693"/>
      <c r="AD929" s="688"/>
      <c r="AE929" s="689"/>
      <c r="AF929" s="689"/>
      <c r="AG929" s="690"/>
      <c r="AH929" s="690"/>
      <c r="AI929" s="695"/>
      <c r="AJ929" s="695"/>
      <c r="AK929" s="692"/>
      <c r="AL929" s="692"/>
      <c r="AM929" s="693"/>
      <c r="AN929" s="688"/>
      <c r="AO929" s="688"/>
      <c r="AP929" s="688"/>
      <c r="AQ929" s="688"/>
      <c r="AR929" s="688"/>
      <c r="AS929" s="688"/>
      <c r="AT929" s="689"/>
      <c r="AU929" s="689"/>
      <c r="AV929" s="690"/>
      <c r="AW929" s="690"/>
      <c r="AX929" s="690"/>
      <c r="AY929" s="690"/>
      <c r="AZ929" s="690"/>
      <c r="BA929" s="690"/>
      <c r="BB929" s="695"/>
      <c r="BC929" s="695"/>
      <c r="BD929" s="695"/>
      <c r="BE929" s="695"/>
      <c r="BF929" s="692"/>
      <c r="BG929" s="692"/>
      <c r="BH929" s="692"/>
      <c r="BI929" s="692"/>
      <c r="BJ929" s="692"/>
      <c r="BK929" s="692"/>
      <c r="BL929" s="693"/>
      <c r="BM929" s="693"/>
      <c r="BN929" s="688"/>
      <c r="BO929" s="693"/>
      <c r="BP929" s="689"/>
      <c r="BQ929" s="694"/>
      <c r="BR929" s="687"/>
      <c r="BS929" s="687"/>
      <c r="BT929" s="687"/>
      <c r="BU929" s="687"/>
      <c r="BV929" s="687"/>
      <c r="BW929" s="688"/>
      <c r="BX929" s="688"/>
      <c r="BY929" s="689"/>
      <c r="BZ929" s="690"/>
      <c r="CA929" s="690"/>
      <c r="CB929" s="690"/>
      <c r="CC929" s="691"/>
      <c r="CD929" s="691"/>
      <c r="CE929" s="692"/>
      <c r="CF929" s="692"/>
      <c r="CG929" s="692"/>
      <c r="CH929" s="693"/>
    </row>
    <row r="930">
      <c r="B930" s="687"/>
      <c r="C930" s="687"/>
      <c r="D930" s="688"/>
      <c r="E930" s="689"/>
      <c r="F930" s="690"/>
      <c r="G930" s="690"/>
      <c r="H930" s="690"/>
      <c r="I930" s="691"/>
      <c r="J930" s="691"/>
      <c r="K930" s="691"/>
      <c r="L930" s="692"/>
      <c r="M930" s="692"/>
      <c r="N930" s="692"/>
      <c r="O930" s="693"/>
      <c r="P930" s="688"/>
      <c r="Q930" s="688"/>
      <c r="R930" s="688"/>
      <c r="S930" s="688"/>
      <c r="T930" s="689"/>
      <c r="U930" s="689"/>
      <c r="V930" s="694"/>
      <c r="W930" s="694"/>
      <c r="X930" s="694"/>
      <c r="Y930" s="694"/>
      <c r="Z930" s="693"/>
      <c r="AA930" s="693"/>
      <c r="AB930" s="693"/>
      <c r="AC930" s="693"/>
      <c r="AD930" s="688"/>
      <c r="AE930" s="689"/>
      <c r="AF930" s="689"/>
      <c r="AG930" s="690"/>
      <c r="AH930" s="690"/>
      <c r="AI930" s="695"/>
      <c r="AJ930" s="695"/>
      <c r="AK930" s="692"/>
      <c r="AL930" s="692"/>
      <c r="AM930" s="693"/>
      <c r="AN930" s="688"/>
      <c r="AO930" s="688"/>
      <c r="AP930" s="688"/>
      <c r="AQ930" s="688"/>
      <c r="AR930" s="688"/>
      <c r="AS930" s="688"/>
      <c r="AT930" s="689"/>
      <c r="AU930" s="689"/>
      <c r="AV930" s="690"/>
      <c r="AW930" s="690"/>
      <c r="AX930" s="690"/>
      <c r="AY930" s="690"/>
      <c r="AZ930" s="690"/>
      <c r="BA930" s="690"/>
      <c r="BB930" s="695"/>
      <c r="BC930" s="695"/>
      <c r="BD930" s="695"/>
      <c r="BE930" s="695"/>
      <c r="BF930" s="692"/>
      <c r="BG930" s="692"/>
      <c r="BH930" s="692"/>
      <c r="BI930" s="692"/>
      <c r="BJ930" s="692"/>
      <c r="BK930" s="692"/>
      <c r="BL930" s="693"/>
      <c r="BM930" s="693"/>
      <c r="BN930" s="688"/>
      <c r="BO930" s="693"/>
      <c r="BP930" s="689"/>
      <c r="BQ930" s="694"/>
      <c r="BR930" s="687"/>
      <c r="BS930" s="687"/>
      <c r="BT930" s="687"/>
      <c r="BU930" s="687"/>
      <c r="BV930" s="687"/>
      <c r="BW930" s="688"/>
      <c r="BX930" s="688"/>
      <c r="BY930" s="689"/>
      <c r="BZ930" s="690"/>
      <c r="CA930" s="690"/>
      <c r="CB930" s="690"/>
      <c r="CC930" s="691"/>
      <c r="CD930" s="691"/>
      <c r="CE930" s="692"/>
      <c r="CF930" s="692"/>
      <c r="CG930" s="692"/>
      <c r="CH930" s="693"/>
    </row>
    <row r="931">
      <c r="B931" s="687"/>
      <c r="C931" s="687"/>
      <c r="D931" s="688"/>
      <c r="E931" s="689"/>
      <c r="F931" s="690"/>
      <c r="G931" s="690"/>
      <c r="H931" s="690"/>
      <c r="I931" s="691"/>
      <c r="J931" s="691"/>
      <c r="K931" s="691"/>
      <c r="L931" s="692"/>
      <c r="M931" s="692"/>
      <c r="N931" s="692"/>
      <c r="O931" s="693"/>
      <c r="P931" s="688"/>
      <c r="Q931" s="688"/>
      <c r="R931" s="688"/>
      <c r="S931" s="688"/>
      <c r="T931" s="689"/>
      <c r="U931" s="689"/>
      <c r="V931" s="694"/>
      <c r="W931" s="694"/>
      <c r="X931" s="694"/>
      <c r="Y931" s="694"/>
      <c r="Z931" s="693"/>
      <c r="AA931" s="693"/>
      <c r="AB931" s="693"/>
      <c r="AC931" s="693"/>
      <c r="AD931" s="688"/>
      <c r="AE931" s="689"/>
      <c r="AF931" s="689"/>
      <c r="AG931" s="690"/>
      <c r="AH931" s="690"/>
      <c r="AI931" s="695"/>
      <c r="AJ931" s="695"/>
      <c r="AK931" s="692"/>
      <c r="AL931" s="692"/>
      <c r="AM931" s="693"/>
      <c r="AN931" s="688"/>
      <c r="AO931" s="688"/>
      <c r="AP931" s="688"/>
      <c r="AQ931" s="688"/>
      <c r="AR931" s="688"/>
      <c r="AS931" s="688"/>
      <c r="AT931" s="689"/>
      <c r="AU931" s="689"/>
      <c r="AV931" s="690"/>
      <c r="AW931" s="690"/>
      <c r="AX931" s="690"/>
      <c r="AY931" s="690"/>
      <c r="AZ931" s="690"/>
      <c r="BA931" s="690"/>
      <c r="BB931" s="695"/>
      <c r="BC931" s="695"/>
      <c r="BD931" s="695"/>
      <c r="BE931" s="695"/>
      <c r="BF931" s="692"/>
      <c r="BG931" s="692"/>
      <c r="BH931" s="692"/>
      <c r="BI931" s="692"/>
      <c r="BJ931" s="692"/>
      <c r="BK931" s="692"/>
      <c r="BL931" s="693"/>
      <c r="BM931" s="693"/>
      <c r="BN931" s="688"/>
      <c r="BO931" s="693"/>
      <c r="BP931" s="689"/>
      <c r="BQ931" s="694"/>
      <c r="BR931" s="687"/>
      <c r="BS931" s="687"/>
      <c r="BT931" s="687"/>
      <c r="BU931" s="687"/>
      <c r="BV931" s="687"/>
      <c r="BW931" s="688"/>
      <c r="BX931" s="688"/>
      <c r="BY931" s="689"/>
      <c r="BZ931" s="690"/>
      <c r="CA931" s="690"/>
      <c r="CB931" s="690"/>
      <c r="CC931" s="691"/>
      <c r="CD931" s="691"/>
      <c r="CE931" s="692"/>
      <c r="CF931" s="692"/>
      <c r="CG931" s="692"/>
      <c r="CH931" s="693"/>
    </row>
    <row r="932">
      <c r="B932" s="687"/>
      <c r="C932" s="687"/>
      <c r="D932" s="688"/>
      <c r="E932" s="689"/>
      <c r="F932" s="690"/>
      <c r="G932" s="690"/>
      <c r="H932" s="690"/>
      <c r="I932" s="691"/>
      <c r="J932" s="691"/>
      <c r="K932" s="691"/>
      <c r="L932" s="692"/>
      <c r="M932" s="692"/>
      <c r="N932" s="692"/>
      <c r="O932" s="693"/>
      <c r="P932" s="688"/>
      <c r="Q932" s="688"/>
      <c r="R932" s="688"/>
      <c r="S932" s="688"/>
      <c r="T932" s="689"/>
      <c r="U932" s="689"/>
      <c r="V932" s="694"/>
      <c r="W932" s="694"/>
      <c r="X932" s="694"/>
      <c r="Y932" s="694"/>
      <c r="Z932" s="693"/>
      <c r="AA932" s="693"/>
      <c r="AB932" s="693"/>
      <c r="AC932" s="693"/>
      <c r="AD932" s="688"/>
      <c r="AE932" s="689"/>
      <c r="AF932" s="689"/>
      <c r="AG932" s="690"/>
      <c r="AH932" s="690"/>
      <c r="AI932" s="695"/>
      <c r="AJ932" s="695"/>
      <c r="AK932" s="692"/>
      <c r="AL932" s="692"/>
      <c r="AM932" s="693"/>
      <c r="AN932" s="688"/>
      <c r="AO932" s="688"/>
      <c r="AP932" s="688"/>
      <c r="AQ932" s="688"/>
      <c r="AR932" s="688"/>
      <c r="AS932" s="688"/>
      <c r="AT932" s="689"/>
      <c r="AU932" s="689"/>
      <c r="AV932" s="690"/>
      <c r="AW932" s="690"/>
      <c r="AX932" s="690"/>
      <c r="AY932" s="690"/>
      <c r="AZ932" s="690"/>
      <c r="BA932" s="690"/>
      <c r="BB932" s="695"/>
      <c r="BC932" s="695"/>
      <c r="BD932" s="695"/>
      <c r="BE932" s="695"/>
      <c r="BF932" s="692"/>
      <c r="BG932" s="692"/>
      <c r="BH932" s="692"/>
      <c r="BI932" s="692"/>
      <c r="BJ932" s="692"/>
      <c r="BK932" s="692"/>
      <c r="BL932" s="693"/>
      <c r="BM932" s="693"/>
      <c r="BN932" s="688"/>
      <c r="BO932" s="693"/>
      <c r="BP932" s="689"/>
      <c r="BQ932" s="694"/>
      <c r="BR932" s="687"/>
      <c r="BS932" s="687"/>
      <c r="BT932" s="687"/>
      <c r="BU932" s="687"/>
      <c r="BV932" s="687"/>
      <c r="BW932" s="688"/>
      <c r="BX932" s="688"/>
      <c r="BY932" s="689"/>
      <c r="BZ932" s="690"/>
      <c r="CA932" s="690"/>
      <c r="CB932" s="690"/>
      <c r="CC932" s="691"/>
      <c r="CD932" s="691"/>
      <c r="CE932" s="692"/>
      <c r="CF932" s="692"/>
      <c r="CG932" s="692"/>
      <c r="CH932" s="693"/>
    </row>
    <row r="933">
      <c r="B933" s="687"/>
      <c r="C933" s="687"/>
      <c r="D933" s="688"/>
      <c r="E933" s="689"/>
      <c r="F933" s="690"/>
      <c r="G933" s="690"/>
      <c r="H933" s="690"/>
      <c r="I933" s="691"/>
      <c r="J933" s="691"/>
      <c r="K933" s="691"/>
      <c r="L933" s="692"/>
      <c r="M933" s="692"/>
      <c r="N933" s="692"/>
      <c r="O933" s="693"/>
      <c r="P933" s="688"/>
      <c r="Q933" s="688"/>
      <c r="R933" s="688"/>
      <c r="S933" s="688"/>
      <c r="T933" s="689"/>
      <c r="U933" s="689"/>
      <c r="V933" s="694"/>
      <c r="W933" s="694"/>
      <c r="X933" s="694"/>
      <c r="Y933" s="694"/>
      <c r="Z933" s="693"/>
      <c r="AA933" s="693"/>
      <c r="AB933" s="693"/>
      <c r="AC933" s="693"/>
      <c r="AD933" s="688"/>
      <c r="AE933" s="689"/>
      <c r="AF933" s="689"/>
      <c r="AG933" s="690"/>
      <c r="AH933" s="690"/>
      <c r="AI933" s="695"/>
      <c r="AJ933" s="695"/>
      <c r="AK933" s="692"/>
      <c r="AL933" s="692"/>
      <c r="AM933" s="693"/>
      <c r="AN933" s="688"/>
      <c r="AO933" s="688"/>
      <c r="AP933" s="688"/>
      <c r="AQ933" s="688"/>
      <c r="AR933" s="688"/>
      <c r="AS933" s="688"/>
      <c r="AT933" s="689"/>
      <c r="AU933" s="689"/>
      <c r="AV933" s="690"/>
      <c r="AW933" s="690"/>
      <c r="AX933" s="690"/>
      <c r="AY933" s="690"/>
      <c r="AZ933" s="690"/>
      <c r="BA933" s="690"/>
      <c r="BB933" s="695"/>
      <c r="BC933" s="695"/>
      <c r="BD933" s="695"/>
      <c r="BE933" s="695"/>
      <c r="BF933" s="692"/>
      <c r="BG933" s="692"/>
      <c r="BH933" s="692"/>
      <c r="BI933" s="692"/>
      <c r="BJ933" s="692"/>
      <c r="BK933" s="692"/>
      <c r="BL933" s="693"/>
      <c r="BM933" s="693"/>
      <c r="BN933" s="688"/>
      <c r="BO933" s="693"/>
      <c r="BP933" s="689"/>
      <c r="BQ933" s="694"/>
      <c r="BR933" s="687"/>
      <c r="BS933" s="687"/>
      <c r="BT933" s="687"/>
      <c r="BU933" s="687"/>
      <c r="BV933" s="687"/>
      <c r="BW933" s="688"/>
      <c r="BX933" s="688"/>
      <c r="BY933" s="689"/>
      <c r="BZ933" s="690"/>
      <c r="CA933" s="690"/>
      <c r="CB933" s="690"/>
      <c r="CC933" s="691"/>
      <c r="CD933" s="691"/>
      <c r="CE933" s="692"/>
      <c r="CF933" s="692"/>
      <c r="CG933" s="692"/>
      <c r="CH933" s="693"/>
    </row>
    <row r="934">
      <c r="B934" s="687"/>
      <c r="C934" s="687"/>
      <c r="D934" s="688"/>
      <c r="E934" s="689"/>
      <c r="F934" s="690"/>
      <c r="G934" s="690"/>
      <c r="H934" s="690"/>
      <c r="I934" s="691"/>
      <c r="J934" s="691"/>
      <c r="K934" s="691"/>
      <c r="L934" s="692"/>
      <c r="M934" s="692"/>
      <c r="N934" s="692"/>
      <c r="O934" s="693"/>
      <c r="P934" s="688"/>
      <c r="Q934" s="688"/>
      <c r="R934" s="688"/>
      <c r="S934" s="688"/>
      <c r="T934" s="689"/>
      <c r="U934" s="689"/>
      <c r="V934" s="694"/>
      <c r="W934" s="694"/>
      <c r="X934" s="694"/>
      <c r="Y934" s="694"/>
      <c r="Z934" s="693"/>
      <c r="AA934" s="693"/>
      <c r="AB934" s="693"/>
      <c r="AC934" s="693"/>
      <c r="AD934" s="688"/>
      <c r="AE934" s="689"/>
      <c r="AF934" s="689"/>
      <c r="AG934" s="690"/>
      <c r="AH934" s="690"/>
      <c r="AI934" s="695"/>
      <c r="AJ934" s="695"/>
      <c r="AK934" s="692"/>
      <c r="AL934" s="692"/>
      <c r="AM934" s="693"/>
      <c r="AN934" s="688"/>
      <c r="AO934" s="688"/>
      <c r="AP934" s="688"/>
      <c r="AQ934" s="688"/>
      <c r="AR934" s="688"/>
      <c r="AS934" s="688"/>
      <c r="AT934" s="689"/>
      <c r="AU934" s="689"/>
      <c r="AV934" s="690"/>
      <c r="AW934" s="690"/>
      <c r="AX934" s="690"/>
      <c r="AY934" s="690"/>
      <c r="AZ934" s="690"/>
      <c r="BA934" s="690"/>
      <c r="BB934" s="695"/>
      <c r="BC934" s="695"/>
      <c r="BD934" s="695"/>
      <c r="BE934" s="695"/>
      <c r="BF934" s="692"/>
      <c r="BG934" s="692"/>
      <c r="BH934" s="692"/>
      <c r="BI934" s="692"/>
      <c r="BJ934" s="692"/>
      <c r="BK934" s="692"/>
      <c r="BL934" s="693"/>
      <c r="BM934" s="693"/>
      <c r="BN934" s="688"/>
      <c r="BO934" s="693"/>
      <c r="BP934" s="689"/>
      <c r="BQ934" s="694"/>
      <c r="BR934" s="687"/>
      <c r="BS934" s="687"/>
      <c r="BT934" s="687"/>
      <c r="BU934" s="687"/>
      <c r="BV934" s="687"/>
      <c r="BW934" s="688"/>
      <c r="BX934" s="688"/>
      <c r="BY934" s="689"/>
      <c r="BZ934" s="690"/>
      <c r="CA934" s="690"/>
      <c r="CB934" s="690"/>
      <c r="CC934" s="691"/>
      <c r="CD934" s="691"/>
      <c r="CE934" s="692"/>
      <c r="CF934" s="692"/>
      <c r="CG934" s="692"/>
      <c r="CH934" s="693"/>
    </row>
    <row r="935">
      <c r="B935" s="687"/>
      <c r="C935" s="687"/>
      <c r="D935" s="688"/>
      <c r="E935" s="689"/>
      <c r="F935" s="690"/>
      <c r="G935" s="690"/>
      <c r="H935" s="690"/>
      <c r="I935" s="691"/>
      <c r="J935" s="691"/>
      <c r="K935" s="691"/>
      <c r="L935" s="692"/>
      <c r="M935" s="692"/>
      <c r="N935" s="692"/>
      <c r="O935" s="693"/>
      <c r="P935" s="688"/>
      <c r="Q935" s="688"/>
      <c r="R935" s="688"/>
      <c r="S935" s="688"/>
      <c r="T935" s="689"/>
      <c r="U935" s="689"/>
      <c r="V935" s="694"/>
      <c r="W935" s="694"/>
      <c r="X935" s="694"/>
      <c r="Y935" s="694"/>
      <c r="Z935" s="693"/>
      <c r="AA935" s="693"/>
      <c r="AB935" s="693"/>
      <c r="AC935" s="693"/>
      <c r="AD935" s="688"/>
      <c r="AE935" s="689"/>
      <c r="AF935" s="689"/>
      <c r="AG935" s="690"/>
      <c r="AH935" s="690"/>
      <c r="AI935" s="695"/>
      <c r="AJ935" s="695"/>
      <c r="AK935" s="692"/>
      <c r="AL935" s="692"/>
      <c r="AM935" s="693"/>
      <c r="AN935" s="688"/>
      <c r="AO935" s="688"/>
      <c r="AP935" s="688"/>
      <c r="AQ935" s="688"/>
      <c r="AR935" s="688"/>
      <c r="AS935" s="688"/>
      <c r="AT935" s="689"/>
      <c r="AU935" s="689"/>
      <c r="AV935" s="690"/>
      <c r="AW935" s="690"/>
      <c r="AX935" s="690"/>
      <c r="AY935" s="690"/>
      <c r="AZ935" s="690"/>
      <c r="BA935" s="690"/>
      <c r="BB935" s="695"/>
      <c r="BC935" s="695"/>
      <c r="BD935" s="695"/>
      <c r="BE935" s="695"/>
      <c r="BF935" s="692"/>
      <c r="BG935" s="692"/>
      <c r="BH935" s="692"/>
      <c r="BI935" s="692"/>
      <c r="BJ935" s="692"/>
      <c r="BK935" s="692"/>
      <c r="BL935" s="693"/>
      <c r="BM935" s="693"/>
      <c r="BN935" s="688"/>
      <c r="BO935" s="693"/>
      <c r="BP935" s="689"/>
      <c r="BQ935" s="694"/>
      <c r="BR935" s="687"/>
      <c r="BS935" s="687"/>
      <c r="BT935" s="687"/>
      <c r="BU935" s="687"/>
      <c r="BV935" s="687"/>
      <c r="BW935" s="688"/>
      <c r="BX935" s="688"/>
      <c r="BY935" s="689"/>
      <c r="BZ935" s="690"/>
      <c r="CA935" s="690"/>
      <c r="CB935" s="690"/>
      <c r="CC935" s="691"/>
      <c r="CD935" s="691"/>
      <c r="CE935" s="692"/>
      <c r="CF935" s="692"/>
      <c r="CG935" s="692"/>
      <c r="CH935" s="693"/>
    </row>
    <row r="936">
      <c r="B936" s="687"/>
      <c r="C936" s="687"/>
      <c r="D936" s="688"/>
      <c r="E936" s="689"/>
      <c r="F936" s="690"/>
      <c r="G936" s="690"/>
      <c r="H936" s="690"/>
      <c r="I936" s="691"/>
      <c r="J936" s="691"/>
      <c r="K936" s="691"/>
      <c r="L936" s="692"/>
      <c r="M936" s="692"/>
      <c r="N936" s="692"/>
      <c r="O936" s="693"/>
      <c r="P936" s="688"/>
      <c r="Q936" s="688"/>
      <c r="R936" s="688"/>
      <c r="S936" s="688"/>
      <c r="T936" s="689"/>
      <c r="U936" s="689"/>
      <c r="V936" s="694"/>
      <c r="W936" s="694"/>
      <c r="X936" s="694"/>
      <c r="Y936" s="694"/>
      <c r="Z936" s="693"/>
      <c r="AA936" s="693"/>
      <c r="AB936" s="693"/>
      <c r="AC936" s="693"/>
      <c r="AD936" s="688"/>
      <c r="AE936" s="689"/>
      <c r="AF936" s="689"/>
      <c r="AG936" s="690"/>
      <c r="AH936" s="690"/>
      <c r="AI936" s="695"/>
      <c r="AJ936" s="695"/>
      <c r="AK936" s="692"/>
      <c r="AL936" s="692"/>
      <c r="AM936" s="693"/>
      <c r="AN936" s="688"/>
      <c r="AO936" s="688"/>
      <c r="AP936" s="688"/>
      <c r="AQ936" s="688"/>
      <c r="AR936" s="688"/>
      <c r="AS936" s="688"/>
      <c r="AT936" s="689"/>
      <c r="AU936" s="689"/>
      <c r="AV936" s="690"/>
      <c r="AW936" s="690"/>
      <c r="AX936" s="690"/>
      <c r="AY936" s="690"/>
      <c r="AZ936" s="690"/>
      <c r="BA936" s="690"/>
      <c r="BB936" s="695"/>
      <c r="BC936" s="695"/>
      <c r="BD936" s="695"/>
      <c r="BE936" s="695"/>
      <c r="BF936" s="692"/>
      <c r="BG936" s="692"/>
      <c r="BH936" s="692"/>
      <c r="BI936" s="692"/>
      <c r="BJ936" s="692"/>
      <c r="BK936" s="692"/>
      <c r="BL936" s="693"/>
      <c r="BM936" s="693"/>
      <c r="BN936" s="688"/>
      <c r="BO936" s="693"/>
      <c r="BP936" s="689"/>
      <c r="BQ936" s="694"/>
      <c r="BR936" s="687"/>
      <c r="BS936" s="687"/>
      <c r="BT936" s="687"/>
      <c r="BU936" s="687"/>
      <c r="BV936" s="687"/>
      <c r="BW936" s="688"/>
      <c r="BX936" s="688"/>
      <c r="BY936" s="689"/>
      <c r="BZ936" s="690"/>
      <c r="CA936" s="690"/>
      <c r="CB936" s="690"/>
      <c r="CC936" s="691"/>
      <c r="CD936" s="691"/>
      <c r="CE936" s="692"/>
      <c r="CF936" s="692"/>
      <c r="CG936" s="692"/>
      <c r="CH936" s="693"/>
    </row>
    <row r="937">
      <c r="B937" s="687"/>
      <c r="C937" s="687"/>
      <c r="D937" s="688"/>
      <c r="E937" s="689"/>
      <c r="F937" s="690"/>
      <c r="G937" s="690"/>
      <c r="H937" s="690"/>
      <c r="I937" s="691"/>
      <c r="J937" s="691"/>
      <c r="K937" s="691"/>
      <c r="L937" s="692"/>
      <c r="M937" s="692"/>
      <c r="N937" s="692"/>
      <c r="O937" s="693"/>
      <c r="P937" s="688"/>
      <c r="Q937" s="688"/>
      <c r="R937" s="688"/>
      <c r="S937" s="688"/>
      <c r="T937" s="689"/>
      <c r="U937" s="689"/>
      <c r="V937" s="694"/>
      <c r="W937" s="694"/>
      <c r="X937" s="694"/>
      <c r="Y937" s="694"/>
      <c r="Z937" s="693"/>
      <c r="AA937" s="693"/>
      <c r="AB937" s="693"/>
      <c r="AC937" s="693"/>
      <c r="AD937" s="688"/>
      <c r="AE937" s="689"/>
      <c r="AF937" s="689"/>
      <c r="AG937" s="690"/>
      <c r="AH937" s="690"/>
      <c r="AI937" s="695"/>
      <c r="AJ937" s="695"/>
      <c r="AK937" s="692"/>
      <c r="AL937" s="692"/>
      <c r="AM937" s="693"/>
      <c r="AN937" s="688"/>
      <c r="AO937" s="688"/>
      <c r="AP937" s="688"/>
      <c r="AQ937" s="688"/>
      <c r="AR937" s="688"/>
      <c r="AS937" s="688"/>
      <c r="AT937" s="689"/>
      <c r="AU937" s="689"/>
      <c r="AV937" s="690"/>
      <c r="AW937" s="690"/>
      <c r="AX937" s="690"/>
      <c r="AY937" s="690"/>
      <c r="AZ937" s="690"/>
      <c r="BA937" s="690"/>
      <c r="BB937" s="695"/>
      <c r="BC937" s="695"/>
      <c r="BD937" s="695"/>
      <c r="BE937" s="695"/>
      <c r="BF937" s="692"/>
      <c r="BG937" s="692"/>
      <c r="BH937" s="692"/>
      <c r="BI937" s="692"/>
      <c r="BJ937" s="692"/>
      <c r="BK937" s="692"/>
      <c r="BL937" s="693"/>
      <c r="BM937" s="693"/>
      <c r="BN937" s="688"/>
      <c r="BO937" s="693"/>
      <c r="BP937" s="689"/>
      <c r="BQ937" s="694"/>
      <c r="BR937" s="687"/>
      <c r="BS937" s="687"/>
      <c r="BT937" s="687"/>
      <c r="BU937" s="687"/>
      <c r="BV937" s="687"/>
      <c r="BW937" s="688"/>
      <c r="BX937" s="688"/>
      <c r="BY937" s="689"/>
      <c r="BZ937" s="690"/>
      <c r="CA937" s="690"/>
      <c r="CB937" s="690"/>
      <c r="CC937" s="691"/>
      <c r="CD937" s="691"/>
      <c r="CE937" s="692"/>
      <c r="CF937" s="692"/>
      <c r="CG937" s="692"/>
      <c r="CH937" s="693"/>
    </row>
    <row r="938">
      <c r="B938" s="687"/>
      <c r="C938" s="687"/>
      <c r="D938" s="688"/>
      <c r="E938" s="689"/>
      <c r="F938" s="690"/>
      <c r="G938" s="690"/>
      <c r="H938" s="690"/>
      <c r="I938" s="691"/>
      <c r="J938" s="691"/>
      <c r="K938" s="691"/>
      <c r="L938" s="692"/>
      <c r="M938" s="692"/>
      <c r="N938" s="692"/>
      <c r="O938" s="693"/>
      <c r="P938" s="688"/>
      <c r="Q938" s="688"/>
      <c r="R938" s="688"/>
      <c r="S938" s="688"/>
      <c r="T938" s="689"/>
      <c r="U938" s="689"/>
      <c r="V938" s="694"/>
      <c r="W938" s="694"/>
      <c r="X938" s="694"/>
      <c r="Y938" s="694"/>
      <c r="Z938" s="693"/>
      <c r="AA938" s="693"/>
      <c r="AB938" s="693"/>
      <c r="AC938" s="693"/>
      <c r="AD938" s="688"/>
      <c r="AE938" s="689"/>
      <c r="AF938" s="689"/>
      <c r="AG938" s="690"/>
      <c r="AH938" s="690"/>
      <c r="AI938" s="695"/>
      <c r="AJ938" s="695"/>
      <c r="AK938" s="692"/>
      <c r="AL938" s="692"/>
      <c r="AM938" s="693"/>
      <c r="AN938" s="688"/>
      <c r="AO938" s="688"/>
      <c r="AP938" s="688"/>
      <c r="AQ938" s="688"/>
      <c r="AR938" s="688"/>
      <c r="AS938" s="688"/>
      <c r="AT938" s="689"/>
      <c r="AU938" s="689"/>
      <c r="AV938" s="690"/>
      <c r="AW938" s="690"/>
      <c r="AX938" s="690"/>
      <c r="AY938" s="690"/>
      <c r="AZ938" s="690"/>
      <c r="BA938" s="690"/>
      <c r="BB938" s="695"/>
      <c r="BC938" s="695"/>
      <c r="BD938" s="695"/>
      <c r="BE938" s="695"/>
      <c r="BF938" s="692"/>
      <c r="BG938" s="692"/>
      <c r="BH938" s="692"/>
      <c r="BI938" s="692"/>
      <c r="BJ938" s="692"/>
      <c r="BK938" s="692"/>
      <c r="BL938" s="693"/>
      <c r="BM938" s="693"/>
      <c r="BN938" s="688"/>
      <c r="BO938" s="693"/>
      <c r="BP938" s="689"/>
      <c r="BQ938" s="694"/>
      <c r="BR938" s="687"/>
      <c r="BS938" s="687"/>
      <c r="BT938" s="687"/>
      <c r="BU938" s="687"/>
      <c r="BV938" s="687"/>
      <c r="BW938" s="688"/>
      <c r="BX938" s="688"/>
      <c r="BY938" s="689"/>
      <c r="BZ938" s="690"/>
      <c r="CA938" s="690"/>
      <c r="CB938" s="690"/>
      <c r="CC938" s="691"/>
      <c r="CD938" s="691"/>
      <c r="CE938" s="692"/>
      <c r="CF938" s="692"/>
      <c r="CG938" s="692"/>
      <c r="CH938" s="693"/>
    </row>
    <row r="939">
      <c r="B939" s="687"/>
      <c r="C939" s="687"/>
      <c r="D939" s="688"/>
      <c r="E939" s="689"/>
      <c r="F939" s="690"/>
      <c r="G939" s="690"/>
      <c r="H939" s="690"/>
      <c r="I939" s="691"/>
      <c r="J939" s="691"/>
      <c r="K939" s="691"/>
      <c r="L939" s="692"/>
      <c r="M939" s="692"/>
      <c r="N939" s="692"/>
      <c r="O939" s="693"/>
      <c r="P939" s="688"/>
      <c r="Q939" s="688"/>
      <c r="R939" s="688"/>
      <c r="S939" s="688"/>
      <c r="T939" s="689"/>
      <c r="U939" s="689"/>
      <c r="V939" s="694"/>
      <c r="W939" s="694"/>
      <c r="X939" s="694"/>
      <c r="Y939" s="694"/>
      <c r="Z939" s="693"/>
      <c r="AA939" s="693"/>
      <c r="AB939" s="693"/>
      <c r="AC939" s="693"/>
      <c r="AD939" s="688"/>
      <c r="AE939" s="689"/>
      <c r="AF939" s="689"/>
      <c r="AG939" s="690"/>
      <c r="AH939" s="690"/>
      <c r="AI939" s="695"/>
      <c r="AJ939" s="695"/>
      <c r="AK939" s="692"/>
      <c r="AL939" s="692"/>
      <c r="AM939" s="693"/>
      <c r="AN939" s="688"/>
      <c r="AO939" s="688"/>
      <c r="AP939" s="688"/>
      <c r="AQ939" s="688"/>
      <c r="AR939" s="688"/>
      <c r="AS939" s="688"/>
      <c r="AT939" s="689"/>
      <c r="AU939" s="689"/>
      <c r="AV939" s="690"/>
      <c r="AW939" s="690"/>
      <c r="AX939" s="690"/>
      <c r="AY939" s="690"/>
      <c r="AZ939" s="690"/>
      <c r="BA939" s="690"/>
      <c r="BB939" s="695"/>
      <c r="BC939" s="695"/>
      <c r="BD939" s="695"/>
      <c r="BE939" s="695"/>
      <c r="BF939" s="692"/>
      <c r="BG939" s="692"/>
      <c r="BH939" s="692"/>
      <c r="BI939" s="692"/>
      <c r="BJ939" s="692"/>
      <c r="BK939" s="692"/>
      <c r="BL939" s="693"/>
      <c r="BM939" s="693"/>
      <c r="BN939" s="688"/>
      <c r="BO939" s="693"/>
      <c r="BP939" s="689"/>
      <c r="BQ939" s="694"/>
      <c r="BR939" s="687"/>
      <c r="BS939" s="687"/>
      <c r="BT939" s="687"/>
      <c r="BU939" s="687"/>
      <c r="BV939" s="687"/>
      <c r="BW939" s="688"/>
      <c r="BX939" s="688"/>
      <c r="BY939" s="689"/>
      <c r="BZ939" s="690"/>
      <c r="CA939" s="690"/>
      <c r="CB939" s="690"/>
      <c r="CC939" s="691"/>
      <c r="CD939" s="691"/>
      <c r="CE939" s="692"/>
      <c r="CF939" s="692"/>
      <c r="CG939" s="692"/>
      <c r="CH939" s="693"/>
    </row>
    <row r="940">
      <c r="B940" s="687"/>
      <c r="C940" s="687"/>
      <c r="D940" s="688"/>
      <c r="E940" s="689"/>
      <c r="F940" s="690"/>
      <c r="G940" s="690"/>
      <c r="H940" s="690"/>
      <c r="I940" s="691"/>
      <c r="J940" s="691"/>
      <c r="K940" s="691"/>
      <c r="L940" s="692"/>
      <c r="M940" s="692"/>
      <c r="N940" s="692"/>
      <c r="O940" s="693"/>
      <c r="P940" s="688"/>
      <c r="Q940" s="688"/>
      <c r="R940" s="688"/>
      <c r="S940" s="688"/>
      <c r="T940" s="689"/>
      <c r="U940" s="689"/>
      <c r="V940" s="694"/>
      <c r="W940" s="694"/>
      <c r="X940" s="694"/>
      <c r="Y940" s="694"/>
      <c r="Z940" s="693"/>
      <c r="AA940" s="693"/>
      <c r="AB940" s="693"/>
      <c r="AC940" s="693"/>
      <c r="AD940" s="688"/>
      <c r="AE940" s="689"/>
      <c r="AF940" s="689"/>
      <c r="AG940" s="690"/>
      <c r="AH940" s="690"/>
      <c r="AI940" s="695"/>
      <c r="AJ940" s="695"/>
      <c r="AK940" s="692"/>
      <c r="AL940" s="692"/>
      <c r="AM940" s="693"/>
      <c r="AN940" s="688"/>
      <c r="AO940" s="688"/>
      <c r="AP940" s="688"/>
      <c r="AQ940" s="688"/>
      <c r="AR940" s="688"/>
      <c r="AS940" s="688"/>
      <c r="AT940" s="689"/>
      <c r="AU940" s="689"/>
      <c r="AV940" s="690"/>
      <c r="AW940" s="690"/>
      <c r="AX940" s="690"/>
      <c r="AY940" s="690"/>
      <c r="AZ940" s="690"/>
      <c r="BA940" s="690"/>
      <c r="BB940" s="695"/>
      <c r="BC940" s="695"/>
      <c r="BD940" s="695"/>
      <c r="BE940" s="695"/>
      <c r="BF940" s="692"/>
      <c r="BG940" s="692"/>
      <c r="BH940" s="692"/>
      <c r="BI940" s="692"/>
      <c r="BJ940" s="692"/>
      <c r="BK940" s="692"/>
      <c r="BL940" s="693"/>
      <c r="BM940" s="693"/>
      <c r="BN940" s="688"/>
      <c r="BO940" s="693"/>
      <c r="BP940" s="689"/>
      <c r="BQ940" s="694"/>
      <c r="BR940" s="687"/>
      <c r="BS940" s="687"/>
      <c r="BT940" s="687"/>
      <c r="BU940" s="687"/>
      <c r="BV940" s="687"/>
      <c r="BW940" s="688"/>
      <c r="BX940" s="688"/>
      <c r="BY940" s="689"/>
      <c r="BZ940" s="690"/>
      <c r="CA940" s="690"/>
      <c r="CB940" s="690"/>
      <c r="CC940" s="691"/>
      <c r="CD940" s="691"/>
      <c r="CE940" s="692"/>
      <c r="CF940" s="692"/>
      <c r="CG940" s="692"/>
      <c r="CH940" s="693"/>
    </row>
    <row r="941">
      <c r="B941" s="687"/>
      <c r="C941" s="687"/>
      <c r="D941" s="688"/>
      <c r="E941" s="689"/>
      <c r="F941" s="690"/>
      <c r="G941" s="690"/>
      <c r="H941" s="690"/>
      <c r="I941" s="691"/>
      <c r="J941" s="691"/>
      <c r="K941" s="691"/>
      <c r="L941" s="692"/>
      <c r="M941" s="692"/>
      <c r="N941" s="692"/>
      <c r="O941" s="693"/>
      <c r="P941" s="688"/>
      <c r="Q941" s="688"/>
      <c r="R941" s="688"/>
      <c r="S941" s="688"/>
      <c r="T941" s="689"/>
      <c r="U941" s="689"/>
      <c r="V941" s="694"/>
      <c r="W941" s="694"/>
      <c r="X941" s="694"/>
      <c r="Y941" s="694"/>
      <c r="Z941" s="693"/>
      <c r="AA941" s="693"/>
      <c r="AB941" s="693"/>
      <c r="AC941" s="693"/>
      <c r="AD941" s="688"/>
      <c r="AE941" s="689"/>
      <c r="AF941" s="689"/>
      <c r="AG941" s="690"/>
      <c r="AH941" s="690"/>
      <c r="AI941" s="695"/>
      <c r="AJ941" s="695"/>
      <c r="AK941" s="692"/>
      <c r="AL941" s="692"/>
      <c r="AM941" s="693"/>
      <c r="AN941" s="688"/>
      <c r="AO941" s="688"/>
      <c r="AP941" s="688"/>
      <c r="AQ941" s="688"/>
      <c r="AR941" s="688"/>
      <c r="AS941" s="688"/>
      <c r="AT941" s="689"/>
      <c r="AU941" s="689"/>
      <c r="AV941" s="690"/>
      <c r="AW941" s="690"/>
      <c r="AX941" s="690"/>
      <c r="AY941" s="690"/>
      <c r="AZ941" s="690"/>
      <c r="BA941" s="690"/>
      <c r="BB941" s="695"/>
      <c r="BC941" s="695"/>
      <c r="BD941" s="695"/>
      <c r="BE941" s="695"/>
      <c r="BF941" s="692"/>
      <c r="BG941" s="692"/>
      <c r="BH941" s="692"/>
      <c r="BI941" s="692"/>
      <c r="BJ941" s="692"/>
      <c r="BK941" s="692"/>
      <c r="BL941" s="693"/>
      <c r="BM941" s="693"/>
      <c r="BN941" s="688"/>
      <c r="BO941" s="693"/>
      <c r="BP941" s="689"/>
      <c r="BQ941" s="694"/>
      <c r="BR941" s="687"/>
      <c r="BS941" s="687"/>
      <c r="BT941" s="687"/>
      <c r="BU941" s="687"/>
      <c r="BV941" s="687"/>
      <c r="BW941" s="688"/>
      <c r="BX941" s="688"/>
      <c r="BY941" s="689"/>
      <c r="BZ941" s="690"/>
      <c r="CA941" s="690"/>
      <c r="CB941" s="690"/>
      <c r="CC941" s="691"/>
      <c r="CD941" s="691"/>
      <c r="CE941" s="692"/>
      <c r="CF941" s="692"/>
      <c r="CG941" s="692"/>
      <c r="CH941" s="693"/>
    </row>
    <row r="942">
      <c r="B942" s="687"/>
      <c r="C942" s="687"/>
      <c r="D942" s="688"/>
      <c r="E942" s="689"/>
      <c r="F942" s="690"/>
      <c r="G942" s="690"/>
      <c r="H942" s="690"/>
      <c r="I942" s="691"/>
      <c r="J942" s="691"/>
      <c r="K942" s="691"/>
      <c r="L942" s="692"/>
      <c r="M942" s="692"/>
      <c r="N942" s="692"/>
      <c r="O942" s="693"/>
      <c r="P942" s="688"/>
      <c r="Q942" s="688"/>
      <c r="R942" s="688"/>
      <c r="S942" s="688"/>
      <c r="T942" s="689"/>
      <c r="U942" s="689"/>
      <c r="V942" s="694"/>
      <c r="W942" s="694"/>
      <c r="X942" s="694"/>
      <c r="Y942" s="694"/>
      <c r="Z942" s="693"/>
      <c r="AA942" s="693"/>
      <c r="AB942" s="693"/>
      <c r="AC942" s="693"/>
      <c r="AD942" s="688"/>
      <c r="AE942" s="689"/>
      <c r="AF942" s="689"/>
      <c r="AG942" s="690"/>
      <c r="AH942" s="690"/>
      <c r="AI942" s="695"/>
      <c r="AJ942" s="695"/>
      <c r="AK942" s="692"/>
      <c r="AL942" s="692"/>
      <c r="AM942" s="693"/>
      <c r="AN942" s="688"/>
      <c r="AO942" s="688"/>
      <c r="AP942" s="688"/>
      <c r="AQ942" s="688"/>
      <c r="AR942" s="688"/>
      <c r="AS942" s="688"/>
      <c r="AT942" s="689"/>
      <c r="AU942" s="689"/>
      <c r="AV942" s="690"/>
      <c r="AW942" s="690"/>
      <c r="AX942" s="690"/>
      <c r="AY942" s="690"/>
      <c r="AZ942" s="690"/>
      <c r="BA942" s="690"/>
      <c r="BB942" s="695"/>
      <c r="BC942" s="695"/>
      <c r="BD942" s="695"/>
      <c r="BE942" s="695"/>
      <c r="BF942" s="692"/>
      <c r="BG942" s="692"/>
      <c r="BH942" s="692"/>
      <c r="BI942" s="692"/>
      <c r="BJ942" s="692"/>
      <c r="BK942" s="692"/>
      <c r="BL942" s="693"/>
      <c r="BM942" s="693"/>
      <c r="BN942" s="688"/>
      <c r="BO942" s="693"/>
      <c r="BP942" s="689"/>
      <c r="BQ942" s="694"/>
      <c r="BR942" s="687"/>
      <c r="BS942" s="687"/>
      <c r="BT942" s="687"/>
      <c r="BU942" s="687"/>
      <c r="BV942" s="687"/>
      <c r="BW942" s="688"/>
      <c r="BX942" s="688"/>
      <c r="BY942" s="689"/>
      <c r="BZ942" s="690"/>
      <c r="CA942" s="690"/>
      <c r="CB942" s="690"/>
      <c r="CC942" s="691"/>
      <c r="CD942" s="691"/>
      <c r="CE942" s="692"/>
      <c r="CF942" s="692"/>
      <c r="CG942" s="692"/>
      <c r="CH942" s="693"/>
    </row>
    <row r="943">
      <c r="B943" s="687"/>
      <c r="C943" s="687"/>
      <c r="D943" s="688"/>
      <c r="E943" s="689"/>
      <c r="F943" s="690"/>
      <c r="G943" s="690"/>
      <c r="H943" s="690"/>
      <c r="I943" s="691"/>
      <c r="J943" s="691"/>
      <c r="K943" s="691"/>
      <c r="L943" s="692"/>
      <c r="M943" s="692"/>
      <c r="N943" s="692"/>
      <c r="O943" s="693"/>
      <c r="P943" s="688"/>
      <c r="Q943" s="688"/>
      <c r="R943" s="688"/>
      <c r="S943" s="688"/>
      <c r="T943" s="689"/>
      <c r="U943" s="689"/>
      <c r="V943" s="694"/>
      <c r="W943" s="694"/>
      <c r="X943" s="694"/>
      <c r="Y943" s="694"/>
      <c r="Z943" s="693"/>
      <c r="AA943" s="693"/>
      <c r="AB943" s="693"/>
      <c r="AC943" s="693"/>
      <c r="AD943" s="688"/>
      <c r="AE943" s="689"/>
      <c r="AF943" s="689"/>
      <c r="AG943" s="690"/>
      <c r="AH943" s="690"/>
      <c r="AI943" s="695"/>
      <c r="AJ943" s="695"/>
      <c r="AK943" s="692"/>
      <c r="AL943" s="692"/>
      <c r="AM943" s="693"/>
      <c r="AN943" s="688"/>
      <c r="AO943" s="688"/>
      <c r="AP943" s="688"/>
      <c r="AQ943" s="688"/>
      <c r="AR943" s="688"/>
      <c r="AS943" s="688"/>
      <c r="AT943" s="689"/>
      <c r="AU943" s="689"/>
      <c r="AV943" s="690"/>
      <c r="AW943" s="690"/>
      <c r="AX943" s="690"/>
      <c r="AY943" s="690"/>
      <c r="AZ943" s="690"/>
      <c r="BA943" s="690"/>
      <c r="BB943" s="695"/>
      <c r="BC943" s="695"/>
      <c r="BD943" s="695"/>
      <c r="BE943" s="695"/>
      <c r="BF943" s="692"/>
      <c r="BG943" s="692"/>
      <c r="BH943" s="692"/>
      <c r="BI943" s="692"/>
      <c r="BJ943" s="692"/>
      <c r="BK943" s="692"/>
      <c r="BL943" s="693"/>
      <c r="BM943" s="693"/>
      <c r="BN943" s="688"/>
      <c r="BO943" s="693"/>
      <c r="BP943" s="689"/>
      <c r="BQ943" s="694"/>
      <c r="BR943" s="687"/>
      <c r="BS943" s="687"/>
      <c r="BT943" s="687"/>
      <c r="BU943" s="687"/>
      <c r="BV943" s="687"/>
      <c r="BW943" s="688"/>
      <c r="BX943" s="688"/>
      <c r="BY943" s="689"/>
      <c r="BZ943" s="690"/>
      <c r="CA943" s="690"/>
      <c r="CB943" s="690"/>
      <c r="CC943" s="691"/>
      <c r="CD943" s="691"/>
      <c r="CE943" s="692"/>
      <c r="CF943" s="692"/>
      <c r="CG943" s="692"/>
      <c r="CH943" s="693"/>
    </row>
    <row r="944">
      <c r="B944" s="687"/>
      <c r="C944" s="687"/>
      <c r="D944" s="688"/>
      <c r="E944" s="689"/>
      <c r="F944" s="690"/>
      <c r="G944" s="690"/>
      <c r="H944" s="690"/>
      <c r="I944" s="691"/>
      <c r="J944" s="691"/>
      <c r="K944" s="691"/>
      <c r="L944" s="692"/>
      <c r="M944" s="692"/>
      <c r="N944" s="692"/>
      <c r="O944" s="693"/>
      <c r="P944" s="688"/>
      <c r="Q944" s="688"/>
      <c r="R944" s="688"/>
      <c r="S944" s="688"/>
      <c r="T944" s="689"/>
      <c r="U944" s="689"/>
      <c r="V944" s="694"/>
      <c r="W944" s="694"/>
      <c r="X944" s="694"/>
      <c r="Y944" s="694"/>
      <c r="Z944" s="693"/>
      <c r="AA944" s="693"/>
      <c r="AB944" s="693"/>
      <c r="AC944" s="693"/>
      <c r="AD944" s="688"/>
      <c r="AE944" s="689"/>
      <c r="AF944" s="689"/>
      <c r="AG944" s="690"/>
      <c r="AH944" s="690"/>
      <c r="AI944" s="695"/>
      <c r="AJ944" s="695"/>
      <c r="AK944" s="692"/>
      <c r="AL944" s="692"/>
      <c r="AM944" s="693"/>
      <c r="AN944" s="688"/>
      <c r="AO944" s="688"/>
      <c r="AP944" s="688"/>
      <c r="AQ944" s="688"/>
      <c r="AR944" s="688"/>
      <c r="AS944" s="688"/>
      <c r="AT944" s="689"/>
      <c r="AU944" s="689"/>
      <c r="AV944" s="690"/>
      <c r="AW944" s="690"/>
      <c r="AX944" s="690"/>
      <c r="AY944" s="690"/>
      <c r="AZ944" s="690"/>
      <c r="BA944" s="690"/>
      <c r="BB944" s="695"/>
      <c r="BC944" s="695"/>
      <c r="BD944" s="695"/>
      <c r="BE944" s="695"/>
      <c r="BF944" s="692"/>
      <c r="BG944" s="692"/>
      <c r="BH944" s="692"/>
      <c r="BI944" s="692"/>
      <c r="BJ944" s="692"/>
      <c r="BK944" s="692"/>
      <c r="BL944" s="693"/>
      <c r="BM944" s="693"/>
      <c r="BN944" s="688"/>
      <c r="BO944" s="693"/>
      <c r="BP944" s="689"/>
      <c r="BQ944" s="694"/>
      <c r="BR944" s="687"/>
      <c r="BS944" s="687"/>
      <c r="BT944" s="687"/>
      <c r="BU944" s="687"/>
      <c r="BV944" s="687"/>
      <c r="BW944" s="688"/>
      <c r="BX944" s="688"/>
      <c r="BY944" s="689"/>
      <c r="BZ944" s="690"/>
      <c r="CA944" s="690"/>
      <c r="CB944" s="690"/>
      <c r="CC944" s="691"/>
      <c r="CD944" s="691"/>
      <c r="CE944" s="692"/>
      <c r="CF944" s="692"/>
      <c r="CG944" s="692"/>
      <c r="CH944" s="693"/>
    </row>
    <row r="945">
      <c r="B945" s="687"/>
      <c r="C945" s="687"/>
      <c r="D945" s="688"/>
      <c r="E945" s="689"/>
      <c r="F945" s="690"/>
      <c r="G945" s="690"/>
      <c r="H945" s="690"/>
      <c r="I945" s="691"/>
      <c r="J945" s="691"/>
      <c r="K945" s="691"/>
      <c r="L945" s="692"/>
      <c r="M945" s="692"/>
      <c r="N945" s="692"/>
      <c r="O945" s="693"/>
      <c r="P945" s="688"/>
      <c r="Q945" s="688"/>
      <c r="R945" s="688"/>
      <c r="S945" s="688"/>
      <c r="T945" s="689"/>
      <c r="U945" s="689"/>
      <c r="V945" s="694"/>
      <c r="W945" s="694"/>
      <c r="X945" s="694"/>
      <c r="Y945" s="694"/>
      <c r="Z945" s="693"/>
      <c r="AA945" s="693"/>
      <c r="AB945" s="693"/>
      <c r="AC945" s="693"/>
      <c r="AD945" s="688"/>
      <c r="AE945" s="689"/>
      <c r="AF945" s="689"/>
      <c r="AG945" s="690"/>
      <c r="AH945" s="690"/>
      <c r="AI945" s="695"/>
      <c r="AJ945" s="695"/>
      <c r="AK945" s="692"/>
      <c r="AL945" s="692"/>
      <c r="AM945" s="693"/>
      <c r="AN945" s="688"/>
      <c r="AO945" s="688"/>
      <c r="AP945" s="688"/>
      <c r="AQ945" s="688"/>
      <c r="AR945" s="688"/>
      <c r="AS945" s="688"/>
      <c r="AT945" s="689"/>
      <c r="AU945" s="689"/>
      <c r="AV945" s="690"/>
      <c r="AW945" s="690"/>
      <c r="AX945" s="690"/>
      <c r="AY945" s="690"/>
      <c r="AZ945" s="690"/>
      <c r="BA945" s="690"/>
      <c r="BB945" s="695"/>
      <c r="BC945" s="695"/>
      <c r="BD945" s="695"/>
      <c r="BE945" s="695"/>
      <c r="BF945" s="692"/>
      <c r="BG945" s="692"/>
      <c r="BH945" s="692"/>
      <c r="BI945" s="692"/>
      <c r="BJ945" s="692"/>
      <c r="BK945" s="692"/>
      <c r="BL945" s="693"/>
      <c r="BM945" s="693"/>
      <c r="BN945" s="688"/>
      <c r="BO945" s="693"/>
      <c r="BP945" s="689"/>
      <c r="BQ945" s="694"/>
      <c r="BR945" s="687"/>
      <c r="BS945" s="687"/>
      <c r="BT945" s="687"/>
      <c r="BU945" s="687"/>
      <c r="BV945" s="687"/>
      <c r="BW945" s="688"/>
      <c r="BX945" s="688"/>
      <c r="BY945" s="689"/>
      <c r="BZ945" s="690"/>
      <c r="CA945" s="690"/>
      <c r="CB945" s="690"/>
      <c r="CC945" s="691"/>
      <c r="CD945" s="691"/>
      <c r="CE945" s="692"/>
      <c r="CF945" s="692"/>
      <c r="CG945" s="692"/>
      <c r="CH945" s="693"/>
    </row>
    <row r="946">
      <c r="B946" s="687"/>
      <c r="C946" s="687"/>
      <c r="D946" s="688"/>
      <c r="E946" s="689"/>
      <c r="F946" s="690"/>
      <c r="G946" s="690"/>
      <c r="H946" s="690"/>
      <c r="I946" s="691"/>
      <c r="J946" s="691"/>
      <c r="K946" s="691"/>
      <c r="L946" s="692"/>
      <c r="M946" s="692"/>
      <c r="N946" s="692"/>
      <c r="O946" s="693"/>
      <c r="P946" s="688"/>
      <c r="Q946" s="688"/>
      <c r="R946" s="688"/>
      <c r="S946" s="688"/>
      <c r="T946" s="689"/>
      <c r="U946" s="689"/>
      <c r="V946" s="694"/>
      <c r="W946" s="694"/>
      <c r="X946" s="694"/>
      <c r="Y946" s="694"/>
      <c r="Z946" s="693"/>
      <c r="AA946" s="693"/>
      <c r="AB946" s="693"/>
      <c r="AC946" s="693"/>
      <c r="AD946" s="688"/>
      <c r="AE946" s="689"/>
      <c r="AF946" s="689"/>
      <c r="AG946" s="690"/>
      <c r="AH946" s="690"/>
      <c r="AI946" s="695"/>
      <c r="AJ946" s="695"/>
      <c r="AK946" s="692"/>
      <c r="AL946" s="692"/>
      <c r="AM946" s="693"/>
      <c r="AN946" s="688"/>
      <c r="AO946" s="688"/>
      <c r="AP946" s="688"/>
      <c r="AQ946" s="688"/>
      <c r="AR946" s="688"/>
      <c r="AS946" s="688"/>
      <c r="AT946" s="689"/>
      <c r="AU946" s="689"/>
      <c r="AV946" s="690"/>
      <c r="AW946" s="690"/>
      <c r="AX946" s="690"/>
      <c r="AY946" s="690"/>
      <c r="AZ946" s="690"/>
      <c r="BA946" s="690"/>
      <c r="BB946" s="695"/>
      <c r="BC946" s="695"/>
      <c r="BD946" s="695"/>
      <c r="BE946" s="695"/>
      <c r="BF946" s="692"/>
      <c r="BG946" s="692"/>
      <c r="BH946" s="692"/>
      <c r="BI946" s="692"/>
      <c r="BJ946" s="692"/>
      <c r="BK946" s="692"/>
      <c r="BL946" s="693"/>
      <c r="BM946" s="693"/>
      <c r="BN946" s="688"/>
      <c r="BO946" s="693"/>
      <c r="BP946" s="689"/>
      <c r="BQ946" s="694"/>
      <c r="BR946" s="687"/>
      <c r="BS946" s="687"/>
      <c r="BT946" s="687"/>
      <c r="BU946" s="687"/>
      <c r="BV946" s="687"/>
      <c r="BW946" s="688"/>
      <c r="BX946" s="688"/>
      <c r="BY946" s="689"/>
      <c r="BZ946" s="690"/>
      <c r="CA946" s="690"/>
      <c r="CB946" s="690"/>
      <c r="CC946" s="691"/>
      <c r="CD946" s="691"/>
      <c r="CE946" s="692"/>
      <c r="CF946" s="692"/>
      <c r="CG946" s="692"/>
      <c r="CH946" s="693"/>
    </row>
    <row r="947">
      <c r="B947" s="687"/>
      <c r="C947" s="687"/>
      <c r="D947" s="688"/>
      <c r="E947" s="689"/>
      <c r="F947" s="690"/>
      <c r="G947" s="690"/>
      <c r="H947" s="690"/>
      <c r="I947" s="691"/>
      <c r="J947" s="691"/>
      <c r="K947" s="691"/>
      <c r="L947" s="692"/>
      <c r="M947" s="692"/>
      <c r="N947" s="692"/>
      <c r="O947" s="693"/>
      <c r="P947" s="688"/>
      <c r="Q947" s="688"/>
      <c r="R947" s="688"/>
      <c r="S947" s="688"/>
      <c r="T947" s="689"/>
      <c r="U947" s="689"/>
      <c r="V947" s="694"/>
      <c r="W947" s="694"/>
      <c r="X947" s="694"/>
      <c r="Y947" s="694"/>
      <c r="Z947" s="693"/>
      <c r="AA947" s="693"/>
      <c r="AB947" s="693"/>
      <c r="AC947" s="693"/>
      <c r="AD947" s="688"/>
      <c r="AE947" s="689"/>
      <c r="AF947" s="689"/>
      <c r="AG947" s="690"/>
      <c r="AH947" s="690"/>
      <c r="AI947" s="695"/>
      <c r="AJ947" s="695"/>
      <c r="AK947" s="692"/>
      <c r="AL947" s="692"/>
      <c r="AM947" s="693"/>
      <c r="AN947" s="688"/>
      <c r="AO947" s="688"/>
      <c r="AP947" s="688"/>
      <c r="AQ947" s="688"/>
      <c r="AR947" s="688"/>
      <c r="AS947" s="688"/>
      <c r="AT947" s="689"/>
      <c r="AU947" s="689"/>
      <c r="AV947" s="690"/>
      <c r="AW947" s="690"/>
      <c r="AX947" s="690"/>
      <c r="AY947" s="690"/>
      <c r="AZ947" s="690"/>
      <c r="BA947" s="690"/>
      <c r="BB947" s="695"/>
      <c r="BC947" s="695"/>
      <c r="BD947" s="695"/>
      <c r="BE947" s="695"/>
      <c r="BF947" s="692"/>
      <c r="BG947" s="692"/>
      <c r="BH947" s="692"/>
      <c r="BI947" s="692"/>
      <c r="BJ947" s="692"/>
      <c r="BK947" s="692"/>
      <c r="BL947" s="693"/>
      <c r="BM947" s="693"/>
      <c r="BN947" s="688"/>
      <c r="BO947" s="693"/>
      <c r="BP947" s="689"/>
      <c r="BQ947" s="694"/>
      <c r="BR947" s="687"/>
      <c r="BS947" s="687"/>
      <c r="BT947" s="687"/>
      <c r="BU947" s="687"/>
      <c r="BV947" s="687"/>
      <c r="BW947" s="688"/>
      <c r="BX947" s="688"/>
      <c r="BY947" s="689"/>
      <c r="BZ947" s="690"/>
      <c r="CA947" s="690"/>
      <c r="CB947" s="690"/>
      <c r="CC947" s="691"/>
      <c r="CD947" s="691"/>
      <c r="CE947" s="692"/>
      <c r="CF947" s="692"/>
      <c r="CG947" s="692"/>
      <c r="CH947" s="693"/>
    </row>
    <row r="948">
      <c r="B948" s="687"/>
      <c r="C948" s="687"/>
      <c r="D948" s="688"/>
      <c r="E948" s="689"/>
      <c r="F948" s="690"/>
      <c r="G948" s="690"/>
      <c r="H948" s="690"/>
      <c r="I948" s="691"/>
      <c r="J948" s="691"/>
      <c r="K948" s="691"/>
      <c r="L948" s="692"/>
      <c r="M948" s="692"/>
      <c r="N948" s="692"/>
      <c r="O948" s="693"/>
      <c r="P948" s="688"/>
      <c r="Q948" s="688"/>
      <c r="R948" s="688"/>
      <c r="S948" s="688"/>
      <c r="T948" s="689"/>
      <c r="U948" s="689"/>
      <c r="V948" s="694"/>
      <c r="W948" s="694"/>
      <c r="X948" s="694"/>
      <c r="Y948" s="694"/>
      <c r="Z948" s="693"/>
      <c r="AA948" s="693"/>
      <c r="AB948" s="693"/>
      <c r="AC948" s="693"/>
      <c r="AD948" s="688"/>
      <c r="AE948" s="689"/>
      <c r="AF948" s="689"/>
      <c r="AG948" s="690"/>
      <c r="AH948" s="690"/>
      <c r="AI948" s="695"/>
      <c r="AJ948" s="695"/>
      <c r="AK948" s="692"/>
      <c r="AL948" s="692"/>
      <c r="AM948" s="693"/>
      <c r="AN948" s="688"/>
      <c r="AO948" s="688"/>
      <c r="AP948" s="688"/>
      <c r="AQ948" s="688"/>
      <c r="AR948" s="688"/>
      <c r="AS948" s="688"/>
      <c r="AT948" s="689"/>
      <c r="AU948" s="689"/>
      <c r="AV948" s="690"/>
      <c r="AW948" s="690"/>
      <c r="AX948" s="690"/>
      <c r="AY948" s="690"/>
      <c r="AZ948" s="690"/>
      <c r="BA948" s="690"/>
      <c r="BB948" s="695"/>
      <c r="BC948" s="695"/>
      <c r="BD948" s="695"/>
      <c r="BE948" s="695"/>
      <c r="BF948" s="692"/>
      <c r="BG948" s="692"/>
      <c r="BH948" s="692"/>
      <c r="BI948" s="692"/>
      <c r="BJ948" s="692"/>
      <c r="BK948" s="692"/>
      <c r="BL948" s="693"/>
      <c r="BM948" s="693"/>
      <c r="BN948" s="688"/>
      <c r="BO948" s="693"/>
      <c r="BP948" s="689"/>
      <c r="BQ948" s="694"/>
      <c r="BR948" s="687"/>
      <c r="BS948" s="687"/>
      <c r="BT948" s="687"/>
      <c r="BU948" s="687"/>
      <c r="BV948" s="687"/>
      <c r="BW948" s="688"/>
      <c r="BX948" s="688"/>
      <c r="BY948" s="689"/>
      <c r="BZ948" s="690"/>
      <c r="CA948" s="690"/>
      <c r="CB948" s="690"/>
      <c r="CC948" s="691"/>
      <c r="CD948" s="691"/>
      <c r="CE948" s="692"/>
      <c r="CF948" s="692"/>
      <c r="CG948" s="692"/>
      <c r="CH948" s="693"/>
    </row>
    <row r="949">
      <c r="B949" s="687"/>
      <c r="C949" s="687"/>
      <c r="D949" s="688"/>
      <c r="E949" s="689"/>
      <c r="F949" s="690"/>
      <c r="G949" s="690"/>
      <c r="H949" s="690"/>
      <c r="I949" s="691"/>
      <c r="J949" s="691"/>
      <c r="K949" s="691"/>
      <c r="L949" s="692"/>
      <c r="M949" s="692"/>
      <c r="N949" s="692"/>
      <c r="O949" s="693"/>
      <c r="P949" s="688"/>
      <c r="Q949" s="688"/>
      <c r="R949" s="688"/>
      <c r="S949" s="688"/>
      <c r="T949" s="689"/>
      <c r="U949" s="689"/>
      <c r="V949" s="694"/>
      <c r="W949" s="694"/>
      <c r="X949" s="694"/>
      <c r="Y949" s="694"/>
      <c r="Z949" s="693"/>
      <c r="AA949" s="693"/>
      <c r="AB949" s="693"/>
      <c r="AC949" s="693"/>
      <c r="AD949" s="688"/>
      <c r="AE949" s="689"/>
      <c r="AF949" s="689"/>
      <c r="AG949" s="690"/>
      <c r="AH949" s="690"/>
      <c r="AI949" s="695"/>
      <c r="AJ949" s="695"/>
      <c r="AK949" s="692"/>
      <c r="AL949" s="692"/>
      <c r="AM949" s="693"/>
      <c r="AN949" s="688"/>
      <c r="AO949" s="688"/>
      <c r="AP949" s="688"/>
      <c r="AQ949" s="688"/>
      <c r="AR949" s="688"/>
      <c r="AS949" s="688"/>
      <c r="AT949" s="689"/>
      <c r="AU949" s="689"/>
      <c r="AV949" s="690"/>
      <c r="AW949" s="690"/>
      <c r="AX949" s="690"/>
      <c r="AY949" s="690"/>
      <c r="AZ949" s="690"/>
      <c r="BA949" s="690"/>
      <c r="BB949" s="695"/>
      <c r="BC949" s="695"/>
      <c r="BD949" s="695"/>
      <c r="BE949" s="695"/>
      <c r="BF949" s="692"/>
      <c r="BG949" s="692"/>
      <c r="BH949" s="692"/>
      <c r="BI949" s="692"/>
      <c r="BJ949" s="692"/>
      <c r="BK949" s="692"/>
      <c r="BL949" s="693"/>
      <c r="BM949" s="693"/>
      <c r="BN949" s="688"/>
      <c r="BO949" s="693"/>
      <c r="BP949" s="689"/>
      <c r="BQ949" s="694"/>
      <c r="BR949" s="687"/>
      <c r="BS949" s="687"/>
      <c r="BT949" s="687"/>
      <c r="BU949" s="687"/>
      <c r="BV949" s="687"/>
      <c r="BW949" s="688"/>
      <c r="BX949" s="688"/>
      <c r="BY949" s="689"/>
      <c r="BZ949" s="690"/>
      <c r="CA949" s="690"/>
      <c r="CB949" s="690"/>
      <c r="CC949" s="691"/>
      <c r="CD949" s="691"/>
      <c r="CE949" s="692"/>
      <c r="CF949" s="692"/>
      <c r="CG949" s="692"/>
      <c r="CH949" s="693"/>
    </row>
    <row r="950">
      <c r="B950" s="687"/>
      <c r="C950" s="687"/>
      <c r="D950" s="688"/>
      <c r="E950" s="689"/>
      <c r="F950" s="690"/>
      <c r="G950" s="690"/>
      <c r="H950" s="690"/>
      <c r="I950" s="691"/>
      <c r="J950" s="691"/>
      <c r="K950" s="691"/>
      <c r="L950" s="692"/>
      <c r="M950" s="692"/>
      <c r="N950" s="692"/>
      <c r="O950" s="693"/>
      <c r="P950" s="688"/>
      <c r="Q950" s="688"/>
      <c r="R950" s="688"/>
      <c r="S950" s="688"/>
      <c r="T950" s="689"/>
      <c r="U950" s="689"/>
      <c r="V950" s="694"/>
      <c r="W950" s="694"/>
      <c r="X950" s="694"/>
      <c r="Y950" s="694"/>
      <c r="Z950" s="693"/>
      <c r="AA950" s="693"/>
      <c r="AB950" s="693"/>
      <c r="AC950" s="693"/>
      <c r="AD950" s="688"/>
      <c r="AE950" s="689"/>
      <c r="AF950" s="689"/>
      <c r="AG950" s="690"/>
      <c r="AH950" s="690"/>
      <c r="AI950" s="695"/>
      <c r="AJ950" s="695"/>
      <c r="AK950" s="692"/>
      <c r="AL950" s="692"/>
      <c r="AM950" s="693"/>
      <c r="AN950" s="688"/>
      <c r="AO950" s="688"/>
      <c r="AP950" s="688"/>
      <c r="AQ950" s="688"/>
      <c r="AR950" s="688"/>
      <c r="AS950" s="688"/>
      <c r="AT950" s="689"/>
      <c r="AU950" s="689"/>
      <c r="AV950" s="690"/>
      <c r="AW950" s="690"/>
      <c r="AX950" s="690"/>
      <c r="AY950" s="690"/>
      <c r="AZ950" s="690"/>
      <c r="BA950" s="690"/>
      <c r="BB950" s="695"/>
      <c r="BC950" s="695"/>
      <c r="BD950" s="695"/>
      <c r="BE950" s="695"/>
      <c r="BF950" s="692"/>
      <c r="BG950" s="692"/>
      <c r="BH950" s="692"/>
      <c r="BI950" s="692"/>
      <c r="BJ950" s="692"/>
      <c r="BK950" s="692"/>
      <c r="BL950" s="693"/>
      <c r="BM950" s="693"/>
      <c r="BN950" s="688"/>
      <c r="BO950" s="693"/>
      <c r="BP950" s="689"/>
      <c r="BQ950" s="694"/>
      <c r="BR950" s="687"/>
      <c r="BS950" s="687"/>
      <c r="BT950" s="687"/>
      <c r="BU950" s="687"/>
      <c r="BV950" s="687"/>
      <c r="BW950" s="688"/>
      <c r="BX950" s="688"/>
      <c r="BY950" s="689"/>
      <c r="BZ950" s="690"/>
      <c r="CA950" s="690"/>
      <c r="CB950" s="690"/>
      <c r="CC950" s="691"/>
      <c r="CD950" s="691"/>
      <c r="CE950" s="692"/>
      <c r="CF950" s="692"/>
      <c r="CG950" s="692"/>
      <c r="CH950" s="693"/>
    </row>
    <row r="951">
      <c r="B951" s="687"/>
      <c r="C951" s="687"/>
      <c r="D951" s="688"/>
      <c r="E951" s="689"/>
      <c r="F951" s="690"/>
      <c r="G951" s="690"/>
      <c r="H951" s="690"/>
      <c r="I951" s="691"/>
      <c r="J951" s="691"/>
      <c r="K951" s="691"/>
      <c r="L951" s="692"/>
      <c r="M951" s="692"/>
      <c r="N951" s="692"/>
      <c r="O951" s="693"/>
      <c r="P951" s="688"/>
      <c r="Q951" s="688"/>
      <c r="R951" s="688"/>
      <c r="S951" s="688"/>
      <c r="T951" s="689"/>
      <c r="U951" s="689"/>
      <c r="V951" s="694"/>
      <c r="W951" s="694"/>
      <c r="X951" s="694"/>
      <c r="Y951" s="694"/>
      <c r="Z951" s="693"/>
      <c r="AA951" s="693"/>
      <c r="AB951" s="693"/>
      <c r="AC951" s="693"/>
      <c r="AD951" s="688"/>
      <c r="AE951" s="689"/>
      <c r="AF951" s="689"/>
      <c r="AG951" s="690"/>
      <c r="AH951" s="690"/>
      <c r="AI951" s="695"/>
      <c r="AJ951" s="695"/>
      <c r="AK951" s="692"/>
      <c r="AL951" s="692"/>
      <c r="AM951" s="693"/>
      <c r="AN951" s="688"/>
      <c r="AO951" s="688"/>
      <c r="AP951" s="688"/>
      <c r="AQ951" s="688"/>
      <c r="AR951" s="688"/>
      <c r="AS951" s="688"/>
      <c r="AT951" s="689"/>
      <c r="AU951" s="689"/>
      <c r="AV951" s="690"/>
      <c r="AW951" s="690"/>
      <c r="AX951" s="690"/>
      <c r="AY951" s="690"/>
      <c r="AZ951" s="690"/>
      <c r="BA951" s="690"/>
      <c r="BB951" s="695"/>
      <c r="BC951" s="695"/>
      <c r="BD951" s="695"/>
      <c r="BE951" s="695"/>
      <c r="BF951" s="692"/>
      <c r="BG951" s="692"/>
      <c r="BH951" s="692"/>
      <c r="BI951" s="692"/>
      <c r="BJ951" s="692"/>
      <c r="BK951" s="692"/>
      <c r="BL951" s="693"/>
      <c r="BM951" s="693"/>
      <c r="BN951" s="688"/>
      <c r="BO951" s="693"/>
      <c r="BP951" s="689"/>
      <c r="BQ951" s="694"/>
      <c r="BR951" s="687"/>
      <c r="BS951" s="687"/>
      <c r="BT951" s="687"/>
      <c r="BU951" s="687"/>
      <c r="BV951" s="687"/>
      <c r="BW951" s="688"/>
      <c r="BX951" s="688"/>
      <c r="BY951" s="689"/>
      <c r="BZ951" s="690"/>
      <c r="CA951" s="690"/>
      <c r="CB951" s="690"/>
      <c r="CC951" s="691"/>
      <c r="CD951" s="691"/>
      <c r="CE951" s="692"/>
      <c r="CF951" s="692"/>
      <c r="CG951" s="692"/>
      <c r="CH951" s="693"/>
    </row>
    <row r="952">
      <c r="B952" s="687"/>
      <c r="C952" s="687"/>
      <c r="D952" s="688"/>
      <c r="E952" s="689"/>
      <c r="F952" s="690"/>
      <c r="G952" s="690"/>
      <c r="H952" s="690"/>
      <c r="I952" s="691"/>
      <c r="J952" s="691"/>
      <c r="K952" s="691"/>
      <c r="L952" s="692"/>
      <c r="M952" s="692"/>
      <c r="N952" s="692"/>
      <c r="O952" s="693"/>
      <c r="P952" s="688"/>
      <c r="Q952" s="688"/>
      <c r="R952" s="688"/>
      <c r="S952" s="688"/>
      <c r="T952" s="689"/>
      <c r="U952" s="689"/>
      <c r="V952" s="694"/>
      <c r="W952" s="694"/>
      <c r="X952" s="694"/>
      <c r="Y952" s="694"/>
      <c r="Z952" s="693"/>
      <c r="AA952" s="693"/>
      <c r="AB952" s="693"/>
      <c r="AC952" s="693"/>
      <c r="AD952" s="688"/>
      <c r="AE952" s="689"/>
      <c r="AF952" s="689"/>
      <c r="AG952" s="690"/>
      <c r="AH952" s="690"/>
      <c r="AI952" s="695"/>
      <c r="AJ952" s="695"/>
      <c r="AK952" s="692"/>
      <c r="AL952" s="692"/>
      <c r="AM952" s="693"/>
      <c r="AN952" s="688"/>
      <c r="AO952" s="688"/>
      <c r="AP952" s="688"/>
      <c r="AQ952" s="688"/>
      <c r="AR952" s="688"/>
      <c r="AS952" s="688"/>
      <c r="AT952" s="689"/>
      <c r="AU952" s="689"/>
      <c r="AV952" s="690"/>
      <c r="AW952" s="690"/>
      <c r="AX952" s="690"/>
      <c r="AY952" s="690"/>
      <c r="AZ952" s="690"/>
      <c r="BA952" s="690"/>
      <c r="BB952" s="695"/>
      <c r="BC952" s="695"/>
      <c r="BD952" s="695"/>
      <c r="BE952" s="695"/>
      <c r="BF952" s="692"/>
      <c r="BG952" s="692"/>
      <c r="BH952" s="692"/>
      <c r="BI952" s="692"/>
      <c r="BJ952" s="692"/>
      <c r="BK952" s="692"/>
      <c r="BL952" s="693"/>
      <c r="BM952" s="693"/>
      <c r="BN952" s="688"/>
      <c r="BO952" s="693"/>
      <c r="BP952" s="689"/>
      <c r="BQ952" s="694"/>
      <c r="BR952" s="687"/>
      <c r="BS952" s="687"/>
      <c r="BT952" s="687"/>
      <c r="BU952" s="687"/>
      <c r="BV952" s="687"/>
      <c r="BW952" s="688"/>
      <c r="BX952" s="688"/>
      <c r="BY952" s="689"/>
      <c r="BZ952" s="690"/>
      <c r="CA952" s="690"/>
      <c r="CB952" s="690"/>
      <c r="CC952" s="691"/>
      <c r="CD952" s="691"/>
      <c r="CE952" s="692"/>
      <c r="CF952" s="692"/>
      <c r="CG952" s="692"/>
      <c r="CH952" s="693"/>
    </row>
    <row r="953">
      <c r="B953" s="687"/>
      <c r="C953" s="687"/>
      <c r="D953" s="688"/>
      <c r="E953" s="689"/>
      <c r="F953" s="690"/>
      <c r="G953" s="690"/>
      <c r="H953" s="690"/>
      <c r="I953" s="691"/>
      <c r="J953" s="691"/>
      <c r="K953" s="691"/>
      <c r="L953" s="692"/>
      <c r="M953" s="692"/>
      <c r="N953" s="692"/>
      <c r="O953" s="693"/>
      <c r="P953" s="688"/>
      <c r="Q953" s="688"/>
      <c r="R953" s="688"/>
      <c r="S953" s="688"/>
      <c r="T953" s="689"/>
      <c r="U953" s="689"/>
      <c r="V953" s="694"/>
      <c r="W953" s="694"/>
      <c r="X953" s="694"/>
      <c r="Y953" s="694"/>
      <c r="Z953" s="693"/>
      <c r="AA953" s="693"/>
      <c r="AB953" s="693"/>
      <c r="AC953" s="693"/>
      <c r="AD953" s="688"/>
      <c r="AE953" s="689"/>
      <c r="AF953" s="689"/>
      <c r="AG953" s="690"/>
      <c r="AH953" s="690"/>
      <c r="AI953" s="695"/>
      <c r="AJ953" s="695"/>
      <c r="AK953" s="692"/>
      <c r="AL953" s="692"/>
      <c r="AM953" s="693"/>
      <c r="AN953" s="688"/>
      <c r="AO953" s="688"/>
      <c r="AP953" s="688"/>
      <c r="AQ953" s="688"/>
      <c r="AR953" s="688"/>
      <c r="AS953" s="688"/>
      <c r="AT953" s="689"/>
      <c r="AU953" s="689"/>
      <c r="AV953" s="690"/>
      <c r="AW953" s="690"/>
      <c r="AX953" s="690"/>
      <c r="AY953" s="690"/>
      <c r="AZ953" s="690"/>
      <c r="BA953" s="690"/>
      <c r="BB953" s="695"/>
      <c r="BC953" s="695"/>
      <c r="BD953" s="695"/>
      <c r="BE953" s="695"/>
      <c r="BF953" s="692"/>
      <c r="BG953" s="692"/>
      <c r="BH953" s="692"/>
      <c r="BI953" s="692"/>
      <c r="BJ953" s="692"/>
      <c r="BK953" s="692"/>
      <c r="BL953" s="693"/>
      <c r="BM953" s="693"/>
      <c r="BN953" s="688"/>
      <c r="BO953" s="693"/>
      <c r="BP953" s="689"/>
      <c r="BQ953" s="694"/>
      <c r="BR953" s="687"/>
      <c r="BS953" s="687"/>
      <c r="BT953" s="687"/>
      <c r="BU953" s="687"/>
      <c r="BV953" s="687"/>
      <c r="BW953" s="688"/>
      <c r="BX953" s="688"/>
      <c r="BY953" s="689"/>
      <c r="BZ953" s="690"/>
      <c r="CA953" s="690"/>
      <c r="CB953" s="690"/>
      <c r="CC953" s="691"/>
      <c r="CD953" s="691"/>
      <c r="CE953" s="692"/>
      <c r="CF953" s="692"/>
      <c r="CG953" s="692"/>
      <c r="CH953" s="693"/>
    </row>
    <row r="954">
      <c r="B954" s="687"/>
      <c r="C954" s="687"/>
      <c r="D954" s="688"/>
      <c r="E954" s="689"/>
      <c r="F954" s="690"/>
      <c r="G954" s="690"/>
      <c r="H954" s="690"/>
      <c r="I954" s="691"/>
      <c r="J954" s="691"/>
      <c r="K954" s="691"/>
      <c r="L954" s="692"/>
      <c r="M954" s="692"/>
      <c r="N954" s="692"/>
      <c r="O954" s="693"/>
      <c r="P954" s="688"/>
      <c r="Q954" s="688"/>
      <c r="R954" s="688"/>
      <c r="S954" s="688"/>
      <c r="T954" s="689"/>
      <c r="U954" s="689"/>
      <c r="V954" s="694"/>
      <c r="W954" s="694"/>
      <c r="X954" s="694"/>
      <c r="Y954" s="694"/>
      <c r="Z954" s="693"/>
      <c r="AA954" s="693"/>
      <c r="AB954" s="693"/>
      <c r="AC954" s="693"/>
      <c r="AD954" s="688"/>
      <c r="AE954" s="689"/>
      <c r="AF954" s="689"/>
      <c r="AG954" s="690"/>
      <c r="AH954" s="690"/>
      <c r="AI954" s="695"/>
      <c r="AJ954" s="695"/>
      <c r="AK954" s="692"/>
      <c r="AL954" s="692"/>
      <c r="AM954" s="693"/>
      <c r="AN954" s="688"/>
      <c r="AO954" s="688"/>
      <c r="AP954" s="688"/>
      <c r="AQ954" s="688"/>
      <c r="AR954" s="688"/>
      <c r="AS954" s="688"/>
      <c r="AT954" s="689"/>
      <c r="AU954" s="689"/>
      <c r="AV954" s="690"/>
      <c r="AW954" s="690"/>
      <c r="AX954" s="690"/>
      <c r="AY954" s="690"/>
      <c r="AZ954" s="690"/>
      <c r="BA954" s="690"/>
      <c r="BB954" s="695"/>
      <c r="BC954" s="695"/>
      <c r="BD954" s="695"/>
      <c r="BE954" s="695"/>
      <c r="BF954" s="692"/>
      <c r="BG954" s="692"/>
      <c r="BH954" s="692"/>
      <c r="BI954" s="692"/>
      <c r="BJ954" s="692"/>
      <c r="BK954" s="692"/>
      <c r="BL954" s="693"/>
      <c r="BM954" s="693"/>
      <c r="BN954" s="688"/>
      <c r="BO954" s="693"/>
      <c r="BP954" s="689"/>
      <c r="BQ954" s="694"/>
      <c r="BR954" s="687"/>
      <c r="BS954" s="687"/>
      <c r="BT954" s="687"/>
      <c r="BU954" s="687"/>
      <c r="BV954" s="687"/>
      <c r="BW954" s="688"/>
      <c r="BX954" s="688"/>
      <c r="BY954" s="689"/>
      <c r="BZ954" s="690"/>
      <c r="CA954" s="690"/>
      <c r="CB954" s="690"/>
      <c r="CC954" s="691"/>
      <c r="CD954" s="691"/>
      <c r="CE954" s="692"/>
      <c r="CF954" s="692"/>
      <c r="CG954" s="692"/>
      <c r="CH954" s="693"/>
    </row>
    <row r="955">
      <c r="B955" s="687"/>
      <c r="C955" s="687"/>
      <c r="D955" s="688"/>
      <c r="E955" s="689"/>
      <c r="F955" s="690"/>
      <c r="G955" s="690"/>
      <c r="H955" s="690"/>
      <c r="I955" s="691"/>
      <c r="J955" s="691"/>
      <c r="K955" s="691"/>
      <c r="L955" s="692"/>
      <c r="M955" s="692"/>
      <c r="N955" s="692"/>
      <c r="O955" s="693"/>
      <c r="P955" s="688"/>
      <c r="Q955" s="688"/>
      <c r="R955" s="688"/>
      <c r="S955" s="688"/>
      <c r="T955" s="689"/>
      <c r="U955" s="689"/>
      <c r="V955" s="694"/>
      <c r="W955" s="694"/>
      <c r="X955" s="694"/>
      <c r="Y955" s="694"/>
      <c r="Z955" s="693"/>
      <c r="AA955" s="693"/>
      <c r="AB955" s="693"/>
      <c r="AC955" s="693"/>
      <c r="AD955" s="688"/>
      <c r="AE955" s="689"/>
      <c r="AF955" s="689"/>
      <c r="AG955" s="690"/>
      <c r="AH955" s="690"/>
      <c r="AI955" s="695"/>
      <c r="AJ955" s="695"/>
      <c r="AK955" s="692"/>
      <c r="AL955" s="692"/>
      <c r="AM955" s="693"/>
      <c r="AN955" s="688"/>
      <c r="AO955" s="688"/>
      <c r="AP955" s="688"/>
      <c r="AQ955" s="688"/>
      <c r="AR955" s="688"/>
      <c r="AS955" s="688"/>
      <c r="AT955" s="689"/>
      <c r="AU955" s="689"/>
      <c r="AV955" s="690"/>
      <c r="AW955" s="690"/>
      <c r="AX955" s="690"/>
      <c r="AY955" s="690"/>
      <c r="AZ955" s="690"/>
      <c r="BA955" s="690"/>
      <c r="BB955" s="695"/>
      <c r="BC955" s="695"/>
      <c r="BD955" s="695"/>
      <c r="BE955" s="695"/>
      <c r="BF955" s="692"/>
      <c r="BG955" s="692"/>
      <c r="BH955" s="692"/>
      <c r="BI955" s="692"/>
      <c r="BJ955" s="692"/>
      <c r="BK955" s="692"/>
      <c r="BL955" s="693"/>
      <c r="BM955" s="693"/>
      <c r="BN955" s="688"/>
      <c r="BO955" s="693"/>
      <c r="BP955" s="689"/>
      <c r="BQ955" s="694"/>
      <c r="BR955" s="687"/>
      <c r="BS955" s="687"/>
      <c r="BT955" s="687"/>
      <c r="BU955" s="687"/>
      <c r="BV955" s="687"/>
      <c r="BW955" s="688"/>
      <c r="BX955" s="688"/>
      <c r="BY955" s="689"/>
      <c r="BZ955" s="690"/>
      <c r="CA955" s="690"/>
      <c r="CB955" s="690"/>
      <c r="CC955" s="691"/>
      <c r="CD955" s="691"/>
      <c r="CE955" s="692"/>
      <c r="CF955" s="692"/>
      <c r="CG955" s="692"/>
      <c r="CH955" s="693"/>
    </row>
    <row r="956">
      <c r="B956" s="687"/>
      <c r="C956" s="687"/>
      <c r="D956" s="688"/>
      <c r="E956" s="689"/>
      <c r="F956" s="690"/>
      <c r="G956" s="690"/>
      <c r="H956" s="690"/>
      <c r="I956" s="691"/>
      <c r="J956" s="691"/>
      <c r="K956" s="691"/>
      <c r="L956" s="692"/>
      <c r="M956" s="692"/>
      <c r="N956" s="692"/>
      <c r="O956" s="693"/>
      <c r="P956" s="688"/>
      <c r="Q956" s="688"/>
      <c r="R956" s="688"/>
      <c r="S956" s="688"/>
      <c r="T956" s="689"/>
      <c r="U956" s="689"/>
      <c r="V956" s="694"/>
      <c r="W956" s="694"/>
      <c r="X956" s="694"/>
      <c r="Y956" s="694"/>
      <c r="Z956" s="693"/>
      <c r="AA956" s="693"/>
      <c r="AB956" s="693"/>
      <c r="AC956" s="693"/>
      <c r="AD956" s="688"/>
      <c r="AE956" s="689"/>
      <c r="AF956" s="689"/>
      <c r="AG956" s="690"/>
      <c r="AH956" s="690"/>
      <c r="AI956" s="695"/>
      <c r="AJ956" s="695"/>
      <c r="AK956" s="692"/>
      <c r="AL956" s="692"/>
      <c r="AM956" s="693"/>
      <c r="AN956" s="688"/>
      <c r="AO956" s="688"/>
      <c r="AP956" s="688"/>
      <c r="AQ956" s="688"/>
      <c r="AR956" s="688"/>
      <c r="AS956" s="688"/>
      <c r="AT956" s="689"/>
      <c r="AU956" s="689"/>
      <c r="AV956" s="690"/>
      <c r="AW956" s="690"/>
      <c r="AX956" s="690"/>
      <c r="AY956" s="690"/>
      <c r="AZ956" s="690"/>
      <c r="BA956" s="690"/>
      <c r="BB956" s="695"/>
      <c r="BC956" s="695"/>
      <c r="BD956" s="695"/>
      <c r="BE956" s="695"/>
      <c r="BF956" s="692"/>
      <c r="BG956" s="692"/>
      <c r="BH956" s="692"/>
      <c r="BI956" s="692"/>
      <c r="BJ956" s="692"/>
      <c r="BK956" s="692"/>
      <c r="BL956" s="693"/>
      <c r="BM956" s="693"/>
      <c r="BN956" s="688"/>
      <c r="BO956" s="693"/>
      <c r="BP956" s="689"/>
      <c r="BQ956" s="694"/>
      <c r="BR956" s="687"/>
      <c r="BS956" s="687"/>
      <c r="BT956" s="687"/>
      <c r="BU956" s="687"/>
      <c r="BV956" s="687"/>
      <c r="BW956" s="688"/>
      <c r="BX956" s="688"/>
      <c r="BY956" s="689"/>
      <c r="BZ956" s="690"/>
      <c r="CA956" s="690"/>
      <c r="CB956" s="690"/>
      <c r="CC956" s="691"/>
      <c r="CD956" s="691"/>
      <c r="CE956" s="692"/>
      <c r="CF956" s="692"/>
      <c r="CG956" s="692"/>
      <c r="CH956" s="693"/>
    </row>
    <row r="957">
      <c r="B957" s="687"/>
      <c r="C957" s="687"/>
      <c r="D957" s="688"/>
      <c r="E957" s="689"/>
      <c r="F957" s="690"/>
      <c r="G957" s="690"/>
      <c r="H957" s="690"/>
      <c r="I957" s="691"/>
      <c r="J957" s="691"/>
      <c r="K957" s="691"/>
      <c r="L957" s="692"/>
      <c r="M957" s="692"/>
      <c r="N957" s="692"/>
      <c r="O957" s="693"/>
      <c r="P957" s="688"/>
      <c r="Q957" s="688"/>
      <c r="R957" s="688"/>
      <c r="S957" s="688"/>
      <c r="T957" s="689"/>
      <c r="U957" s="689"/>
      <c r="V957" s="694"/>
      <c r="W957" s="694"/>
      <c r="X957" s="694"/>
      <c r="Y957" s="694"/>
      <c r="Z957" s="693"/>
      <c r="AA957" s="693"/>
      <c r="AB957" s="693"/>
      <c r="AC957" s="693"/>
      <c r="AD957" s="688"/>
      <c r="AE957" s="689"/>
      <c r="AF957" s="689"/>
      <c r="AG957" s="690"/>
      <c r="AH957" s="690"/>
      <c r="AI957" s="695"/>
      <c r="AJ957" s="695"/>
      <c r="AK957" s="692"/>
      <c r="AL957" s="692"/>
      <c r="AM957" s="693"/>
      <c r="AN957" s="688"/>
      <c r="AO957" s="688"/>
      <c r="AP957" s="688"/>
      <c r="AQ957" s="688"/>
      <c r="AR957" s="688"/>
      <c r="AS957" s="688"/>
      <c r="AT957" s="689"/>
      <c r="AU957" s="689"/>
      <c r="AV957" s="690"/>
      <c r="AW957" s="690"/>
      <c r="AX957" s="690"/>
      <c r="AY957" s="690"/>
      <c r="AZ957" s="690"/>
      <c r="BA957" s="690"/>
      <c r="BB957" s="695"/>
      <c r="BC957" s="695"/>
      <c r="BD957" s="695"/>
      <c r="BE957" s="695"/>
      <c r="BF957" s="692"/>
      <c r="BG957" s="692"/>
      <c r="BH957" s="692"/>
      <c r="BI957" s="692"/>
      <c r="BJ957" s="692"/>
      <c r="BK957" s="692"/>
      <c r="BL957" s="693"/>
      <c r="BM957" s="693"/>
      <c r="BN957" s="688"/>
      <c r="BO957" s="693"/>
      <c r="BP957" s="689"/>
      <c r="BQ957" s="694"/>
      <c r="BR957" s="687"/>
      <c r="BS957" s="687"/>
      <c r="BT957" s="687"/>
      <c r="BU957" s="687"/>
      <c r="BV957" s="687"/>
      <c r="BW957" s="688"/>
      <c r="BX957" s="688"/>
      <c r="BY957" s="689"/>
      <c r="BZ957" s="690"/>
      <c r="CA957" s="690"/>
      <c r="CB957" s="690"/>
      <c r="CC957" s="691"/>
      <c r="CD957" s="691"/>
      <c r="CE957" s="692"/>
      <c r="CF957" s="692"/>
      <c r="CG957" s="692"/>
      <c r="CH957" s="693"/>
    </row>
    <row r="958">
      <c r="B958" s="687"/>
      <c r="C958" s="687"/>
      <c r="D958" s="688"/>
      <c r="E958" s="689"/>
      <c r="F958" s="690"/>
      <c r="G958" s="690"/>
      <c r="H958" s="690"/>
      <c r="I958" s="691"/>
      <c r="J958" s="691"/>
      <c r="K958" s="691"/>
      <c r="L958" s="692"/>
      <c r="M958" s="692"/>
      <c r="N958" s="692"/>
      <c r="O958" s="693"/>
      <c r="P958" s="688"/>
      <c r="Q958" s="688"/>
      <c r="R958" s="688"/>
      <c r="S958" s="688"/>
      <c r="T958" s="689"/>
      <c r="U958" s="689"/>
      <c r="V958" s="694"/>
      <c r="W958" s="694"/>
      <c r="X958" s="694"/>
      <c r="Y958" s="694"/>
      <c r="Z958" s="693"/>
      <c r="AA958" s="693"/>
      <c r="AB958" s="693"/>
      <c r="AC958" s="693"/>
      <c r="AD958" s="688"/>
      <c r="AE958" s="689"/>
      <c r="AF958" s="689"/>
      <c r="AG958" s="690"/>
      <c r="AH958" s="690"/>
      <c r="AI958" s="695"/>
      <c r="AJ958" s="695"/>
      <c r="AK958" s="692"/>
      <c r="AL958" s="692"/>
      <c r="AM958" s="693"/>
      <c r="AN958" s="688"/>
      <c r="AO958" s="688"/>
      <c r="AP958" s="688"/>
      <c r="AQ958" s="688"/>
      <c r="AR958" s="688"/>
      <c r="AS958" s="688"/>
      <c r="AT958" s="689"/>
      <c r="AU958" s="689"/>
      <c r="AV958" s="690"/>
      <c r="AW958" s="690"/>
      <c r="AX958" s="690"/>
      <c r="AY958" s="690"/>
      <c r="AZ958" s="690"/>
      <c r="BA958" s="690"/>
      <c r="BB958" s="695"/>
      <c r="BC958" s="695"/>
      <c r="BD958" s="695"/>
      <c r="BE958" s="695"/>
      <c r="BF958" s="692"/>
      <c r="BG958" s="692"/>
      <c r="BH958" s="692"/>
      <c r="BI958" s="692"/>
      <c r="BJ958" s="692"/>
      <c r="BK958" s="692"/>
      <c r="BL958" s="693"/>
      <c r="BM958" s="693"/>
      <c r="BN958" s="688"/>
      <c r="BO958" s="693"/>
      <c r="BP958" s="689"/>
      <c r="BQ958" s="694"/>
      <c r="BR958" s="687"/>
      <c r="BS958" s="687"/>
      <c r="BT958" s="687"/>
      <c r="BU958" s="687"/>
      <c r="BV958" s="687"/>
      <c r="BW958" s="688"/>
      <c r="BX958" s="688"/>
      <c r="BY958" s="689"/>
      <c r="BZ958" s="690"/>
      <c r="CA958" s="690"/>
      <c r="CB958" s="690"/>
      <c r="CC958" s="691"/>
      <c r="CD958" s="691"/>
      <c r="CE958" s="692"/>
      <c r="CF958" s="692"/>
      <c r="CG958" s="692"/>
      <c r="CH958" s="693"/>
    </row>
    <row r="959">
      <c r="B959" s="687"/>
      <c r="C959" s="687"/>
      <c r="D959" s="688"/>
      <c r="E959" s="689"/>
      <c r="F959" s="690"/>
      <c r="G959" s="690"/>
      <c r="H959" s="690"/>
      <c r="I959" s="691"/>
      <c r="J959" s="691"/>
      <c r="K959" s="691"/>
      <c r="L959" s="692"/>
      <c r="M959" s="692"/>
      <c r="N959" s="692"/>
      <c r="O959" s="693"/>
      <c r="P959" s="688"/>
      <c r="Q959" s="688"/>
      <c r="R959" s="688"/>
      <c r="S959" s="688"/>
      <c r="T959" s="689"/>
      <c r="U959" s="689"/>
      <c r="V959" s="694"/>
      <c r="W959" s="694"/>
      <c r="X959" s="694"/>
      <c r="Y959" s="694"/>
      <c r="Z959" s="693"/>
      <c r="AA959" s="693"/>
      <c r="AB959" s="693"/>
      <c r="AC959" s="693"/>
      <c r="AD959" s="688"/>
      <c r="AE959" s="689"/>
      <c r="AF959" s="689"/>
      <c r="AG959" s="690"/>
      <c r="AH959" s="690"/>
      <c r="AI959" s="695"/>
      <c r="AJ959" s="695"/>
      <c r="AK959" s="692"/>
      <c r="AL959" s="692"/>
      <c r="AM959" s="693"/>
      <c r="AN959" s="688"/>
      <c r="AO959" s="688"/>
      <c r="AP959" s="688"/>
      <c r="AQ959" s="688"/>
      <c r="AR959" s="688"/>
      <c r="AS959" s="688"/>
      <c r="AT959" s="689"/>
      <c r="AU959" s="689"/>
      <c r="AV959" s="690"/>
      <c r="AW959" s="690"/>
      <c r="AX959" s="690"/>
      <c r="AY959" s="690"/>
      <c r="AZ959" s="690"/>
      <c r="BA959" s="690"/>
      <c r="BB959" s="695"/>
      <c r="BC959" s="695"/>
      <c r="BD959" s="695"/>
      <c r="BE959" s="695"/>
      <c r="BF959" s="692"/>
      <c r="BG959" s="692"/>
      <c r="BH959" s="692"/>
      <c r="BI959" s="692"/>
      <c r="BJ959" s="692"/>
      <c r="BK959" s="692"/>
      <c r="BL959" s="693"/>
      <c r="BM959" s="693"/>
      <c r="BN959" s="688"/>
      <c r="BO959" s="693"/>
      <c r="BP959" s="689"/>
      <c r="BQ959" s="694"/>
      <c r="BR959" s="687"/>
      <c r="BS959" s="687"/>
      <c r="BT959" s="687"/>
      <c r="BU959" s="687"/>
      <c r="BV959" s="687"/>
      <c r="BW959" s="688"/>
      <c r="BX959" s="688"/>
      <c r="BY959" s="689"/>
      <c r="BZ959" s="690"/>
      <c r="CA959" s="690"/>
      <c r="CB959" s="690"/>
      <c r="CC959" s="691"/>
      <c r="CD959" s="691"/>
      <c r="CE959" s="692"/>
      <c r="CF959" s="692"/>
      <c r="CG959" s="692"/>
      <c r="CH959" s="693"/>
    </row>
    <row r="960">
      <c r="B960" s="687"/>
      <c r="C960" s="687"/>
      <c r="D960" s="688"/>
      <c r="E960" s="689"/>
      <c r="F960" s="690"/>
      <c r="G960" s="690"/>
      <c r="H960" s="690"/>
      <c r="I960" s="691"/>
      <c r="J960" s="691"/>
      <c r="K960" s="691"/>
      <c r="L960" s="692"/>
      <c r="M960" s="692"/>
      <c r="N960" s="692"/>
      <c r="O960" s="693"/>
      <c r="P960" s="688"/>
      <c r="Q960" s="688"/>
      <c r="R960" s="688"/>
      <c r="S960" s="688"/>
      <c r="T960" s="689"/>
      <c r="U960" s="689"/>
      <c r="V960" s="694"/>
      <c r="W960" s="694"/>
      <c r="X960" s="694"/>
      <c r="Y960" s="694"/>
      <c r="Z960" s="693"/>
      <c r="AA960" s="693"/>
      <c r="AB960" s="693"/>
      <c r="AC960" s="693"/>
      <c r="AD960" s="688"/>
      <c r="AE960" s="689"/>
      <c r="AF960" s="689"/>
      <c r="AG960" s="690"/>
      <c r="AH960" s="690"/>
      <c r="AI960" s="695"/>
      <c r="AJ960" s="695"/>
      <c r="AK960" s="692"/>
      <c r="AL960" s="692"/>
      <c r="AM960" s="693"/>
      <c r="AN960" s="688"/>
      <c r="AO960" s="688"/>
      <c r="AP960" s="688"/>
      <c r="AQ960" s="688"/>
      <c r="AR960" s="688"/>
      <c r="AS960" s="688"/>
      <c r="AT960" s="689"/>
      <c r="AU960" s="689"/>
      <c r="AV960" s="690"/>
      <c r="AW960" s="690"/>
      <c r="AX960" s="690"/>
      <c r="AY960" s="690"/>
      <c r="AZ960" s="690"/>
      <c r="BA960" s="690"/>
      <c r="BB960" s="695"/>
      <c r="BC960" s="695"/>
      <c r="BD960" s="695"/>
      <c r="BE960" s="695"/>
      <c r="BF960" s="692"/>
      <c r="BG960" s="692"/>
      <c r="BH960" s="692"/>
      <c r="BI960" s="692"/>
      <c r="BJ960" s="692"/>
      <c r="BK960" s="692"/>
      <c r="BL960" s="693"/>
      <c r="BM960" s="693"/>
      <c r="BN960" s="688"/>
      <c r="BO960" s="693"/>
      <c r="BP960" s="689"/>
      <c r="BQ960" s="694"/>
      <c r="BR960" s="687"/>
      <c r="BS960" s="687"/>
      <c r="BT960" s="687"/>
      <c r="BU960" s="687"/>
      <c r="BV960" s="687"/>
      <c r="BW960" s="688"/>
      <c r="BX960" s="688"/>
      <c r="BY960" s="689"/>
      <c r="BZ960" s="690"/>
      <c r="CA960" s="690"/>
      <c r="CB960" s="690"/>
      <c r="CC960" s="691"/>
      <c r="CD960" s="691"/>
      <c r="CE960" s="692"/>
      <c r="CF960" s="692"/>
      <c r="CG960" s="692"/>
      <c r="CH960" s="693"/>
    </row>
    <row r="961">
      <c r="B961" s="687"/>
      <c r="C961" s="687"/>
      <c r="D961" s="688"/>
      <c r="E961" s="689"/>
      <c r="F961" s="690"/>
      <c r="G961" s="690"/>
      <c r="H961" s="690"/>
      <c r="I961" s="691"/>
      <c r="J961" s="691"/>
      <c r="K961" s="691"/>
      <c r="L961" s="692"/>
      <c r="M961" s="692"/>
      <c r="N961" s="692"/>
      <c r="O961" s="693"/>
      <c r="P961" s="688"/>
      <c r="Q961" s="688"/>
      <c r="R961" s="688"/>
      <c r="S961" s="688"/>
      <c r="T961" s="689"/>
      <c r="U961" s="689"/>
      <c r="V961" s="694"/>
      <c r="W961" s="694"/>
      <c r="X961" s="694"/>
      <c r="Y961" s="694"/>
      <c r="Z961" s="693"/>
      <c r="AA961" s="693"/>
      <c r="AB961" s="693"/>
      <c r="AC961" s="693"/>
      <c r="AD961" s="688"/>
      <c r="AE961" s="689"/>
      <c r="AF961" s="689"/>
      <c r="AG961" s="690"/>
      <c r="AH961" s="690"/>
      <c r="AI961" s="695"/>
      <c r="AJ961" s="695"/>
      <c r="AK961" s="692"/>
      <c r="AL961" s="692"/>
      <c r="AM961" s="693"/>
      <c r="AN961" s="688"/>
      <c r="AO961" s="688"/>
      <c r="AP961" s="688"/>
      <c r="AQ961" s="688"/>
      <c r="AR961" s="688"/>
      <c r="AS961" s="688"/>
      <c r="AT961" s="689"/>
      <c r="AU961" s="689"/>
      <c r="AV961" s="690"/>
      <c r="AW961" s="690"/>
      <c r="AX961" s="690"/>
      <c r="AY961" s="690"/>
      <c r="AZ961" s="690"/>
      <c r="BA961" s="690"/>
      <c r="BB961" s="695"/>
      <c r="BC961" s="695"/>
      <c r="BD961" s="695"/>
      <c r="BE961" s="695"/>
      <c r="BF961" s="692"/>
      <c r="BG961" s="692"/>
      <c r="BH961" s="692"/>
      <c r="BI961" s="692"/>
      <c r="BJ961" s="692"/>
      <c r="BK961" s="692"/>
      <c r="BL961" s="693"/>
      <c r="BM961" s="693"/>
      <c r="BN961" s="688"/>
      <c r="BO961" s="693"/>
      <c r="BP961" s="689"/>
      <c r="BQ961" s="694"/>
      <c r="BR961" s="687"/>
      <c r="BS961" s="687"/>
      <c r="BT961" s="687"/>
      <c r="BU961" s="687"/>
      <c r="BV961" s="687"/>
      <c r="BW961" s="688"/>
      <c r="BX961" s="688"/>
      <c r="BY961" s="689"/>
      <c r="BZ961" s="690"/>
      <c r="CA961" s="690"/>
      <c r="CB961" s="690"/>
      <c r="CC961" s="691"/>
      <c r="CD961" s="691"/>
      <c r="CE961" s="692"/>
      <c r="CF961" s="692"/>
      <c r="CG961" s="692"/>
      <c r="CH961" s="693"/>
    </row>
    <row r="962">
      <c r="B962" s="687"/>
      <c r="C962" s="687"/>
      <c r="D962" s="688"/>
      <c r="E962" s="689"/>
      <c r="F962" s="690"/>
      <c r="G962" s="690"/>
      <c r="H962" s="690"/>
      <c r="I962" s="691"/>
      <c r="J962" s="691"/>
      <c r="K962" s="691"/>
      <c r="L962" s="692"/>
      <c r="M962" s="692"/>
      <c r="N962" s="692"/>
      <c r="O962" s="693"/>
      <c r="P962" s="688"/>
      <c r="Q962" s="688"/>
      <c r="R962" s="688"/>
      <c r="S962" s="688"/>
      <c r="T962" s="689"/>
      <c r="U962" s="689"/>
      <c r="V962" s="694"/>
      <c r="W962" s="694"/>
      <c r="X962" s="694"/>
      <c r="Y962" s="694"/>
      <c r="Z962" s="693"/>
      <c r="AA962" s="693"/>
      <c r="AB962" s="693"/>
      <c r="AC962" s="693"/>
      <c r="AD962" s="688"/>
      <c r="AE962" s="689"/>
      <c r="AF962" s="689"/>
      <c r="AG962" s="690"/>
      <c r="AH962" s="690"/>
      <c r="AI962" s="695"/>
      <c r="AJ962" s="695"/>
      <c r="AK962" s="692"/>
      <c r="AL962" s="692"/>
      <c r="AM962" s="693"/>
      <c r="AN962" s="688"/>
      <c r="AO962" s="688"/>
      <c r="AP962" s="688"/>
      <c r="AQ962" s="688"/>
      <c r="AR962" s="688"/>
      <c r="AS962" s="688"/>
      <c r="AT962" s="689"/>
      <c r="AU962" s="689"/>
      <c r="AV962" s="690"/>
      <c r="AW962" s="690"/>
      <c r="AX962" s="690"/>
      <c r="AY962" s="690"/>
      <c r="AZ962" s="690"/>
      <c r="BA962" s="690"/>
      <c r="BB962" s="695"/>
      <c r="BC962" s="695"/>
      <c r="BD962" s="695"/>
      <c r="BE962" s="695"/>
      <c r="BF962" s="692"/>
      <c r="BG962" s="692"/>
      <c r="BH962" s="692"/>
      <c r="BI962" s="692"/>
      <c r="BJ962" s="692"/>
      <c r="BK962" s="692"/>
      <c r="BL962" s="693"/>
      <c r="BM962" s="693"/>
      <c r="BN962" s="688"/>
      <c r="BO962" s="693"/>
      <c r="BP962" s="689"/>
      <c r="BQ962" s="694"/>
      <c r="BR962" s="687"/>
      <c r="BS962" s="687"/>
      <c r="BT962" s="687"/>
      <c r="BU962" s="687"/>
      <c r="BV962" s="687"/>
      <c r="BW962" s="688"/>
      <c r="BX962" s="688"/>
      <c r="BY962" s="689"/>
      <c r="BZ962" s="690"/>
      <c r="CA962" s="690"/>
      <c r="CB962" s="690"/>
      <c r="CC962" s="691"/>
      <c r="CD962" s="691"/>
      <c r="CE962" s="692"/>
      <c r="CF962" s="692"/>
      <c r="CG962" s="692"/>
      <c r="CH962" s="693"/>
    </row>
    <row r="963">
      <c r="B963" s="687"/>
      <c r="C963" s="687"/>
      <c r="D963" s="688"/>
      <c r="E963" s="689"/>
      <c r="F963" s="690"/>
      <c r="G963" s="690"/>
      <c r="H963" s="690"/>
      <c r="I963" s="691"/>
      <c r="J963" s="691"/>
      <c r="K963" s="691"/>
      <c r="L963" s="692"/>
      <c r="M963" s="692"/>
      <c r="N963" s="692"/>
      <c r="O963" s="693"/>
      <c r="P963" s="688"/>
      <c r="Q963" s="688"/>
      <c r="R963" s="688"/>
      <c r="S963" s="688"/>
      <c r="T963" s="689"/>
      <c r="U963" s="689"/>
      <c r="V963" s="694"/>
      <c r="W963" s="694"/>
      <c r="X963" s="694"/>
      <c r="Y963" s="694"/>
      <c r="Z963" s="693"/>
      <c r="AA963" s="693"/>
      <c r="AB963" s="693"/>
      <c r="AC963" s="693"/>
      <c r="AD963" s="688"/>
      <c r="AE963" s="689"/>
      <c r="AF963" s="689"/>
      <c r="AG963" s="690"/>
      <c r="AH963" s="690"/>
      <c r="AI963" s="695"/>
      <c r="AJ963" s="695"/>
      <c r="AK963" s="692"/>
      <c r="AL963" s="692"/>
      <c r="AM963" s="693"/>
      <c r="AN963" s="688"/>
      <c r="AO963" s="688"/>
      <c r="AP963" s="688"/>
      <c r="AQ963" s="688"/>
      <c r="AR963" s="688"/>
      <c r="AS963" s="688"/>
      <c r="AT963" s="689"/>
      <c r="AU963" s="689"/>
      <c r="AV963" s="690"/>
      <c r="AW963" s="690"/>
      <c r="AX963" s="690"/>
      <c r="AY963" s="690"/>
      <c r="AZ963" s="690"/>
      <c r="BA963" s="690"/>
      <c r="BB963" s="695"/>
      <c r="BC963" s="695"/>
      <c r="BD963" s="695"/>
      <c r="BE963" s="695"/>
      <c r="BF963" s="692"/>
      <c r="BG963" s="692"/>
      <c r="BH963" s="692"/>
      <c r="BI963" s="692"/>
      <c r="BJ963" s="692"/>
      <c r="BK963" s="692"/>
      <c r="BL963" s="693"/>
      <c r="BM963" s="693"/>
      <c r="BN963" s="688"/>
      <c r="BO963" s="693"/>
      <c r="BP963" s="689"/>
      <c r="BQ963" s="694"/>
      <c r="BR963" s="687"/>
      <c r="BS963" s="687"/>
      <c r="BT963" s="687"/>
      <c r="BU963" s="687"/>
      <c r="BV963" s="687"/>
      <c r="BW963" s="688"/>
      <c r="BX963" s="688"/>
      <c r="BY963" s="689"/>
      <c r="BZ963" s="690"/>
      <c r="CA963" s="690"/>
      <c r="CB963" s="690"/>
      <c r="CC963" s="691"/>
      <c r="CD963" s="691"/>
      <c r="CE963" s="692"/>
      <c r="CF963" s="692"/>
      <c r="CG963" s="692"/>
      <c r="CH963" s="693"/>
    </row>
    <row r="964">
      <c r="B964" s="687"/>
      <c r="C964" s="687"/>
      <c r="D964" s="688"/>
      <c r="E964" s="689"/>
      <c r="F964" s="690"/>
      <c r="G964" s="690"/>
      <c r="H964" s="690"/>
      <c r="I964" s="691"/>
      <c r="J964" s="691"/>
      <c r="K964" s="691"/>
      <c r="L964" s="692"/>
      <c r="M964" s="692"/>
      <c r="N964" s="692"/>
      <c r="O964" s="693"/>
      <c r="P964" s="688"/>
      <c r="Q964" s="688"/>
      <c r="R964" s="688"/>
      <c r="S964" s="688"/>
      <c r="T964" s="689"/>
      <c r="U964" s="689"/>
      <c r="V964" s="694"/>
      <c r="W964" s="694"/>
      <c r="X964" s="694"/>
      <c r="Y964" s="694"/>
      <c r="Z964" s="693"/>
      <c r="AA964" s="693"/>
      <c r="AB964" s="693"/>
      <c r="AC964" s="693"/>
      <c r="AD964" s="688"/>
      <c r="AE964" s="689"/>
      <c r="AF964" s="689"/>
      <c r="AG964" s="690"/>
      <c r="AH964" s="690"/>
      <c r="AI964" s="695"/>
      <c r="AJ964" s="695"/>
      <c r="AK964" s="692"/>
      <c r="AL964" s="692"/>
      <c r="AM964" s="693"/>
      <c r="AN964" s="688"/>
      <c r="AO964" s="688"/>
      <c r="AP964" s="688"/>
      <c r="AQ964" s="688"/>
      <c r="AR964" s="688"/>
      <c r="AS964" s="688"/>
      <c r="AT964" s="689"/>
      <c r="AU964" s="689"/>
      <c r="AV964" s="690"/>
      <c r="AW964" s="690"/>
      <c r="AX964" s="690"/>
      <c r="AY964" s="690"/>
      <c r="AZ964" s="690"/>
      <c r="BA964" s="690"/>
      <c r="BB964" s="695"/>
      <c r="BC964" s="695"/>
      <c r="BD964" s="695"/>
      <c r="BE964" s="695"/>
      <c r="BF964" s="692"/>
      <c r="BG964" s="692"/>
      <c r="BH964" s="692"/>
      <c r="BI964" s="692"/>
      <c r="BJ964" s="692"/>
      <c r="BK964" s="692"/>
      <c r="BL964" s="693"/>
      <c r="BM964" s="693"/>
      <c r="BN964" s="688"/>
      <c r="BO964" s="693"/>
      <c r="BP964" s="689"/>
      <c r="BQ964" s="694"/>
      <c r="BR964" s="687"/>
      <c r="BS964" s="687"/>
      <c r="BT964" s="687"/>
      <c r="BU964" s="687"/>
      <c r="BV964" s="687"/>
      <c r="BW964" s="688"/>
      <c r="BX964" s="688"/>
      <c r="BY964" s="689"/>
      <c r="BZ964" s="690"/>
      <c r="CA964" s="690"/>
      <c r="CB964" s="690"/>
      <c r="CC964" s="691"/>
      <c r="CD964" s="691"/>
      <c r="CE964" s="692"/>
      <c r="CF964" s="692"/>
      <c r="CG964" s="692"/>
      <c r="CH964" s="693"/>
    </row>
    <row r="965">
      <c r="B965" s="687"/>
      <c r="C965" s="687"/>
      <c r="D965" s="688"/>
      <c r="E965" s="689"/>
      <c r="F965" s="690"/>
      <c r="G965" s="690"/>
      <c r="H965" s="690"/>
      <c r="I965" s="691"/>
      <c r="J965" s="691"/>
      <c r="K965" s="691"/>
      <c r="L965" s="692"/>
      <c r="M965" s="692"/>
      <c r="N965" s="692"/>
      <c r="O965" s="693"/>
      <c r="P965" s="688"/>
      <c r="Q965" s="688"/>
      <c r="R965" s="688"/>
      <c r="S965" s="688"/>
      <c r="T965" s="689"/>
      <c r="U965" s="689"/>
      <c r="V965" s="694"/>
      <c r="W965" s="694"/>
      <c r="X965" s="694"/>
      <c r="Y965" s="694"/>
      <c r="Z965" s="693"/>
      <c r="AA965" s="693"/>
      <c r="AB965" s="693"/>
      <c r="AC965" s="693"/>
      <c r="AD965" s="688"/>
      <c r="AE965" s="689"/>
      <c r="AF965" s="689"/>
      <c r="AG965" s="690"/>
      <c r="AH965" s="690"/>
      <c r="AI965" s="695"/>
      <c r="AJ965" s="695"/>
      <c r="AK965" s="692"/>
      <c r="AL965" s="692"/>
      <c r="AM965" s="693"/>
      <c r="AN965" s="688"/>
      <c r="AO965" s="688"/>
      <c r="AP965" s="688"/>
      <c r="AQ965" s="688"/>
      <c r="AR965" s="688"/>
      <c r="AS965" s="688"/>
      <c r="AT965" s="689"/>
      <c r="AU965" s="689"/>
      <c r="AV965" s="690"/>
      <c r="AW965" s="690"/>
      <c r="AX965" s="690"/>
      <c r="AY965" s="690"/>
      <c r="AZ965" s="690"/>
      <c r="BA965" s="690"/>
      <c r="BB965" s="695"/>
      <c r="BC965" s="695"/>
      <c r="BD965" s="695"/>
      <c r="BE965" s="695"/>
      <c r="BF965" s="692"/>
      <c r="BG965" s="692"/>
      <c r="BH965" s="692"/>
      <c r="BI965" s="692"/>
      <c r="BJ965" s="692"/>
      <c r="BK965" s="692"/>
      <c r="BL965" s="693"/>
      <c r="BM965" s="693"/>
      <c r="BN965" s="688"/>
      <c r="BO965" s="693"/>
      <c r="BP965" s="689"/>
      <c r="BQ965" s="694"/>
      <c r="BR965" s="687"/>
      <c r="BS965" s="687"/>
      <c r="BT965" s="687"/>
      <c r="BU965" s="687"/>
      <c r="BV965" s="687"/>
      <c r="BW965" s="688"/>
      <c r="BX965" s="688"/>
      <c r="BY965" s="689"/>
      <c r="BZ965" s="690"/>
      <c r="CA965" s="690"/>
      <c r="CB965" s="690"/>
      <c r="CC965" s="691"/>
      <c r="CD965" s="691"/>
      <c r="CE965" s="692"/>
      <c r="CF965" s="692"/>
      <c r="CG965" s="692"/>
      <c r="CH965" s="693"/>
    </row>
    <row r="966">
      <c r="B966" s="687"/>
      <c r="C966" s="687"/>
      <c r="D966" s="688"/>
      <c r="E966" s="689"/>
      <c r="F966" s="690"/>
      <c r="G966" s="690"/>
      <c r="H966" s="690"/>
      <c r="I966" s="691"/>
      <c r="J966" s="691"/>
      <c r="K966" s="691"/>
      <c r="L966" s="692"/>
      <c r="M966" s="692"/>
      <c r="N966" s="692"/>
      <c r="O966" s="693"/>
      <c r="P966" s="688"/>
      <c r="Q966" s="688"/>
      <c r="R966" s="688"/>
      <c r="S966" s="688"/>
      <c r="T966" s="689"/>
      <c r="U966" s="689"/>
      <c r="V966" s="694"/>
      <c r="W966" s="694"/>
      <c r="X966" s="694"/>
      <c r="Y966" s="694"/>
      <c r="Z966" s="693"/>
      <c r="AA966" s="693"/>
      <c r="AB966" s="693"/>
      <c r="AC966" s="693"/>
      <c r="AD966" s="688"/>
      <c r="AE966" s="689"/>
      <c r="AF966" s="689"/>
      <c r="AG966" s="690"/>
      <c r="AH966" s="690"/>
      <c r="AI966" s="695"/>
      <c r="AJ966" s="695"/>
      <c r="AK966" s="692"/>
      <c r="AL966" s="692"/>
      <c r="AM966" s="693"/>
      <c r="AN966" s="688"/>
      <c r="AO966" s="688"/>
      <c r="AP966" s="688"/>
      <c r="AQ966" s="688"/>
      <c r="AR966" s="688"/>
      <c r="AS966" s="688"/>
      <c r="AT966" s="689"/>
      <c r="AU966" s="689"/>
      <c r="AV966" s="690"/>
      <c r="AW966" s="690"/>
      <c r="AX966" s="690"/>
      <c r="AY966" s="690"/>
      <c r="AZ966" s="690"/>
      <c r="BA966" s="690"/>
      <c r="BB966" s="695"/>
      <c r="BC966" s="695"/>
      <c r="BD966" s="695"/>
      <c r="BE966" s="695"/>
      <c r="BF966" s="692"/>
      <c r="BG966" s="692"/>
      <c r="BH966" s="692"/>
      <c r="BI966" s="692"/>
      <c r="BJ966" s="692"/>
      <c r="BK966" s="692"/>
      <c r="BL966" s="693"/>
      <c r="BM966" s="693"/>
      <c r="BN966" s="688"/>
      <c r="BO966" s="693"/>
      <c r="BP966" s="689"/>
      <c r="BQ966" s="694"/>
      <c r="BR966" s="687"/>
      <c r="BS966" s="687"/>
      <c r="BT966" s="687"/>
      <c r="BU966" s="687"/>
      <c r="BV966" s="687"/>
      <c r="BW966" s="688"/>
      <c r="BX966" s="688"/>
      <c r="BY966" s="689"/>
      <c r="BZ966" s="690"/>
      <c r="CA966" s="690"/>
      <c r="CB966" s="690"/>
      <c r="CC966" s="691"/>
      <c r="CD966" s="691"/>
      <c r="CE966" s="692"/>
      <c r="CF966" s="692"/>
      <c r="CG966" s="692"/>
      <c r="CH966" s="693"/>
    </row>
    <row r="967">
      <c r="B967" s="687"/>
      <c r="C967" s="687"/>
      <c r="D967" s="688"/>
      <c r="E967" s="689"/>
      <c r="F967" s="690"/>
      <c r="G967" s="690"/>
      <c r="H967" s="690"/>
      <c r="I967" s="691"/>
      <c r="J967" s="691"/>
      <c r="K967" s="691"/>
      <c r="L967" s="692"/>
      <c r="M967" s="692"/>
      <c r="N967" s="692"/>
      <c r="O967" s="693"/>
      <c r="P967" s="688"/>
      <c r="Q967" s="688"/>
      <c r="R967" s="688"/>
      <c r="S967" s="688"/>
      <c r="T967" s="689"/>
      <c r="U967" s="689"/>
      <c r="V967" s="694"/>
      <c r="W967" s="694"/>
      <c r="X967" s="694"/>
      <c r="Y967" s="694"/>
      <c r="Z967" s="693"/>
      <c r="AA967" s="693"/>
      <c r="AB967" s="693"/>
      <c r="AC967" s="693"/>
      <c r="AD967" s="688"/>
      <c r="AE967" s="689"/>
      <c r="AF967" s="689"/>
      <c r="AG967" s="690"/>
      <c r="AH967" s="690"/>
      <c r="AI967" s="695"/>
      <c r="AJ967" s="695"/>
      <c r="AK967" s="692"/>
      <c r="AL967" s="692"/>
      <c r="AM967" s="693"/>
      <c r="AN967" s="688"/>
      <c r="AO967" s="688"/>
      <c r="AP967" s="688"/>
      <c r="AQ967" s="688"/>
      <c r="AR967" s="688"/>
      <c r="AS967" s="688"/>
      <c r="AT967" s="689"/>
      <c r="AU967" s="689"/>
      <c r="AV967" s="690"/>
      <c r="AW967" s="690"/>
      <c r="AX967" s="690"/>
      <c r="AY967" s="690"/>
      <c r="AZ967" s="690"/>
      <c r="BA967" s="690"/>
      <c r="BB967" s="695"/>
      <c r="BC967" s="695"/>
      <c r="BD967" s="695"/>
      <c r="BE967" s="695"/>
      <c r="BF967" s="692"/>
      <c r="BG967" s="692"/>
      <c r="BH967" s="692"/>
      <c r="BI967" s="692"/>
      <c r="BJ967" s="692"/>
      <c r="BK967" s="692"/>
      <c r="BL967" s="693"/>
      <c r="BM967" s="693"/>
      <c r="BN967" s="688"/>
      <c r="BO967" s="693"/>
      <c r="BP967" s="689"/>
      <c r="BQ967" s="694"/>
      <c r="BR967" s="687"/>
      <c r="BS967" s="687"/>
      <c r="BT967" s="687"/>
      <c r="BU967" s="687"/>
      <c r="BV967" s="687"/>
      <c r="BW967" s="688"/>
      <c r="BX967" s="688"/>
      <c r="BY967" s="689"/>
      <c r="BZ967" s="690"/>
      <c r="CA967" s="690"/>
      <c r="CB967" s="690"/>
      <c r="CC967" s="691"/>
      <c r="CD967" s="691"/>
      <c r="CE967" s="692"/>
      <c r="CF967" s="692"/>
      <c r="CG967" s="692"/>
      <c r="CH967" s="693"/>
    </row>
    <row r="968">
      <c r="B968" s="687"/>
      <c r="C968" s="687"/>
      <c r="D968" s="688"/>
      <c r="E968" s="689"/>
      <c r="F968" s="690"/>
      <c r="G968" s="690"/>
      <c r="H968" s="690"/>
      <c r="I968" s="691"/>
      <c r="J968" s="691"/>
      <c r="K968" s="691"/>
      <c r="L968" s="692"/>
      <c r="M968" s="692"/>
      <c r="N968" s="692"/>
      <c r="O968" s="693"/>
      <c r="P968" s="688"/>
      <c r="Q968" s="688"/>
      <c r="R968" s="688"/>
      <c r="S968" s="688"/>
      <c r="T968" s="689"/>
      <c r="U968" s="689"/>
      <c r="V968" s="694"/>
      <c r="W968" s="694"/>
      <c r="X968" s="694"/>
      <c r="Y968" s="694"/>
      <c r="Z968" s="693"/>
      <c r="AA968" s="693"/>
      <c r="AB968" s="693"/>
      <c r="AC968" s="693"/>
      <c r="AD968" s="688"/>
      <c r="AE968" s="689"/>
      <c r="AF968" s="689"/>
      <c r="AG968" s="690"/>
      <c r="AH968" s="690"/>
      <c r="AI968" s="695"/>
      <c r="AJ968" s="695"/>
      <c r="AK968" s="692"/>
      <c r="AL968" s="692"/>
      <c r="AM968" s="693"/>
      <c r="AN968" s="688"/>
      <c r="AO968" s="688"/>
      <c r="AP968" s="688"/>
      <c r="AQ968" s="688"/>
      <c r="AR968" s="688"/>
      <c r="AS968" s="688"/>
      <c r="AT968" s="689"/>
      <c r="AU968" s="689"/>
      <c r="AV968" s="690"/>
      <c r="AW968" s="690"/>
      <c r="AX968" s="690"/>
      <c r="AY968" s="690"/>
      <c r="AZ968" s="690"/>
      <c r="BA968" s="690"/>
      <c r="BB968" s="695"/>
      <c r="BC968" s="695"/>
      <c r="BD968" s="695"/>
      <c r="BE968" s="695"/>
      <c r="BF968" s="692"/>
      <c r="BG968" s="692"/>
      <c r="BH968" s="692"/>
      <c r="BI968" s="692"/>
      <c r="BJ968" s="692"/>
      <c r="BK968" s="692"/>
      <c r="BL968" s="693"/>
      <c r="BM968" s="693"/>
      <c r="BN968" s="688"/>
      <c r="BO968" s="693"/>
      <c r="BP968" s="689"/>
      <c r="BQ968" s="694"/>
      <c r="BR968" s="687"/>
      <c r="BS968" s="687"/>
      <c r="BT968" s="687"/>
      <c r="BU968" s="687"/>
      <c r="BV968" s="687"/>
      <c r="BW968" s="688"/>
      <c r="BX968" s="688"/>
      <c r="BY968" s="689"/>
      <c r="BZ968" s="690"/>
      <c r="CA968" s="690"/>
      <c r="CB968" s="690"/>
      <c r="CC968" s="691"/>
      <c r="CD968" s="691"/>
      <c r="CE968" s="692"/>
      <c r="CF968" s="692"/>
      <c r="CG968" s="692"/>
      <c r="CH968" s="693"/>
    </row>
    <row r="969">
      <c r="B969" s="687"/>
      <c r="C969" s="687"/>
      <c r="D969" s="688"/>
      <c r="E969" s="689"/>
      <c r="F969" s="690"/>
      <c r="G969" s="690"/>
      <c r="H969" s="690"/>
      <c r="I969" s="691"/>
      <c r="J969" s="691"/>
      <c r="K969" s="691"/>
      <c r="L969" s="692"/>
      <c r="M969" s="692"/>
      <c r="N969" s="692"/>
      <c r="O969" s="693"/>
      <c r="P969" s="688"/>
      <c r="Q969" s="688"/>
      <c r="R969" s="688"/>
      <c r="S969" s="688"/>
      <c r="T969" s="689"/>
      <c r="U969" s="689"/>
      <c r="V969" s="694"/>
      <c r="W969" s="694"/>
      <c r="X969" s="694"/>
      <c r="Y969" s="694"/>
      <c r="Z969" s="693"/>
      <c r="AA969" s="693"/>
      <c r="AB969" s="693"/>
      <c r="AC969" s="693"/>
      <c r="AD969" s="688"/>
      <c r="AE969" s="689"/>
      <c r="AF969" s="689"/>
      <c r="AG969" s="690"/>
      <c r="AH969" s="690"/>
      <c r="AI969" s="695"/>
      <c r="AJ969" s="695"/>
      <c r="AK969" s="692"/>
      <c r="AL969" s="692"/>
      <c r="AM969" s="693"/>
      <c r="AN969" s="688"/>
      <c r="AO969" s="688"/>
      <c r="AP969" s="688"/>
      <c r="AQ969" s="688"/>
      <c r="AR969" s="688"/>
      <c r="AS969" s="688"/>
      <c r="AT969" s="689"/>
      <c r="AU969" s="689"/>
      <c r="AV969" s="690"/>
      <c r="AW969" s="690"/>
      <c r="AX969" s="690"/>
      <c r="AY969" s="690"/>
      <c r="AZ969" s="690"/>
      <c r="BA969" s="690"/>
      <c r="BB969" s="695"/>
      <c r="BC969" s="695"/>
      <c r="BD969" s="695"/>
      <c r="BE969" s="695"/>
      <c r="BF969" s="692"/>
      <c r="BG969" s="692"/>
      <c r="BH969" s="692"/>
      <c r="BI969" s="692"/>
      <c r="BJ969" s="692"/>
      <c r="BK969" s="692"/>
      <c r="BL969" s="693"/>
      <c r="BM969" s="693"/>
      <c r="BN969" s="688"/>
      <c r="BO969" s="693"/>
      <c r="BP969" s="689"/>
      <c r="BQ969" s="694"/>
      <c r="BR969" s="687"/>
      <c r="BS969" s="687"/>
      <c r="BT969" s="687"/>
      <c r="BU969" s="687"/>
      <c r="BV969" s="687"/>
      <c r="BW969" s="688"/>
      <c r="BX969" s="688"/>
      <c r="BY969" s="689"/>
      <c r="BZ969" s="690"/>
      <c r="CA969" s="690"/>
      <c r="CB969" s="690"/>
      <c r="CC969" s="691"/>
      <c r="CD969" s="691"/>
      <c r="CE969" s="692"/>
      <c r="CF969" s="692"/>
      <c r="CG969" s="692"/>
      <c r="CH969" s="693"/>
    </row>
    <row r="970">
      <c r="B970" s="687"/>
      <c r="C970" s="687"/>
      <c r="D970" s="688"/>
      <c r="E970" s="689"/>
      <c r="F970" s="690"/>
      <c r="G970" s="690"/>
      <c r="H970" s="690"/>
      <c r="I970" s="691"/>
      <c r="J970" s="691"/>
      <c r="K970" s="691"/>
      <c r="L970" s="692"/>
      <c r="M970" s="692"/>
      <c r="N970" s="692"/>
      <c r="O970" s="693"/>
      <c r="P970" s="688"/>
      <c r="Q970" s="688"/>
      <c r="R970" s="688"/>
      <c r="S970" s="688"/>
      <c r="T970" s="689"/>
      <c r="U970" s="689"/>
      <c r="V970" s="694"/>
      <c r="W970" s="694"/>
      <c r="X970" s="694"/>
      <c r="Y970" s="694"/>
      <c r="Z970" s="693"/>
      <c r="AA970" s="693"/>
      <c r="AB970" s="693"/>
      <c r="AC970" s="693"/>
      <c r="AD970" s="688"/>
      <c r="AE970" s="689"/>
      <c r="AF970" s="689"/>
      <c r="AG970" s="690"/>
      <c r="AH970" s="690"/>
      <c r="AI970" s="695"/>
      <c r="AJ970" s="695"/>
      <c r="AK970" s="692"/>
      <c r="AL970" s="692"/>
      <c r="AM970" s="693"/>
      <c r="AN970" s="688"/>
      <c r="AO970" s="688"/>
      <c r="AP970" s="688"/>
      <c r="AQ970" s="688"/>
      <c r="AR970" s="688"/>
      <c r="AS970" s="688"/>
      <c r="AT970" s="689"/>
      <c r="AU970" s="689"/>
      <c r="AV970" s="690"/>
      <c r="AW970" s="690"/>
      <c r="AX970" s="690"/>
      <c r="AY970" s="690"/>
      <c r="AZ970" s="690"/>
      <c r="BA970" s="690"/>
      <c r="BB970" s="695"/>
      <c r="BC970" s="695"/>
      <c r="BD970" s="695"/>
      <c r="BE970" s="695"/>
      <c r="BF970" s="692"/>
      <c r="BG970" s="692"/>
      <c r="BH970" s="692"/>
      <c r="BI970" s="692"/>
      <c r="BJ970" s="692"/>
      <c r="BK970" s="692"/>
      <c r="BL970" s="693"/>
      <c r="BM970" s="693"/>
      <c r="BN970" s="688"/>
      <c r="BO970" s="693"/>
      <c r="BP970" s="689"/>
      <c r="BQ970" s="694"/>
      <c r="BR970" s="687"/>
      <c r="BS970" s="687"/>
      <c r="BT970" s="687"/>
      <c r="BU970" s="687"/>
      <c r="BV970" s="687"/>
      <c r="BW970" s="688"/>
      <c r="BX970" s="688"/>
      <c r="BY970" s="689"/>
      <c r="BZ970" s="690"/>
      <c r="CA970" s="690"/>
      <c r="CB970" s="690"/>
      <c r="CC970" s="691"/>
      <c r="CD970" s="691"/>
      <c r="CE970" s="692"/>
      <c r="CF970" s="692"/>
      <c r="CG970" s="692"/>
      <c r="CH970" s="693"/>
    </row>
    <row r="971">
      <c r="B971" s="687"/>
      <c r="C971" s="687"/>
      <c r="D971" s="688"/>
      <c r="E971" s="689"/>
      <c r="F971" s="690"/>
      <c r="G971" s="690"/>
      <c r="H971" s="690"/>
      <c r="I971" s="691"/>
      <c r="J971" s="691"/>
      <c r="K971" s="691"/>
      <c r="L971" s="692"/>
      <c r="M971" s="692"/>
      <c r="N971" s="692"/>
      <c r="O971" s="693"/>
      <c r="P971" s="688"/>
      <c r="Q971" s="688"/>
      <c r="R971" s="688"/>
      <c r="S971" s="688"/>
      <c r="T971" s="689"/>
      <c r="U971" s="689"/>
      <c r="V971" s="694"/>
      <c r="W971" s="694"/>
      <c r="X971" s="694"/>
      <c r="Y971" s="694"/>
      <c r="Z971" s="693"/>
      <c r="AA971" s="693"/>
      <c r="AB971" s="693"/>
      <c r="AC971" s="693"/>
      <c r="AD971" s="688"/>
      <c r="AE971" s="689"/>
      <c r="AF971" s="689"/>
      <c r="AG971" s="690"/>
      <c r="AH971" s="690"/>
      <c r="AI971" s="695"/>
      <c r="AJ971" s="695"/>
      <c r="AK971" s="692"/>
      <c r="AL971" s="692"/>
      <c r="AM971" s="693"/>
      <c r="AN971" s="688"/>
      <c r="AO971" s="688"/>
      <c r="AP971" s="688"/>
      <c r="AQ971" s="688"/>
      <c r="AR971" s="688"/>
      <c r="AS971" s="688"/>
      <c r="AT971" s="689"/>
      <c r="AU971" s="689"/>
      <c r="AV971" s="690"/>
      <c r="AW971" s="690"/>
      <c r="AX971" s="690"/>
      <c r="AY971" s="690"/>
      <c r="AZ971" s="690"/>
      <c r="BA971" s="690"/>
      <c r="BB971" s="695"/>
      <c r="BC971" s="695"/>
      <c r="BD971" s="695"/>
      <c r="BE971" s="695"/>
      <c r="BF971" s="692"/>
      <c r="BG971" s="692"/>
      <c r="BH971" s="692"/>
      <c r="BI971" s="692"/>
      <c r="BJ971" s="692"/>
      <c r="BK971" s="692"/>
      <c r="BL971" s="693"/>
      <c r="BM971" s="693"/>
      <c r="BN971" s="688"/>
      <c r="BO971" s="693"/>
      <c r="BP971" s="689"/>
      <c r="BQ971" s="694"/>
      <c r="BR971" s="687"/>
      <c r="BS971" s="687"/>
      <c r="BT971" s="687"/>
      <c r="BU971" s="687"/>
      <c r="BV971" s="687"/>
      <c r="BW971" s="688"/>
      <c r="BX971" s="688"/>
      <c r="BY971" s="689"/>
      <c r="BZ971" s="690"/>
      <c r="CA971" s="690"/>
      <c r="CB971" s="690"/>
      <c r="CC971" s="691"/>
      <c r="CD971" s="691"/>
      <c r="CE971" s="692"/>
      <c r="CF971" s="692"/>
      <c r="CG971" s="692"/>
      <c r="CH971" s="693"/>
    </row>
    <row r="972">
      <c r="B972" s="687"/>
      <c r="C972" s="687"/>
      <c r="D972" s="688"/>
      <c r="E972" s="689"/>
      <c r="F972" s="690"/>
      <c r="G972" s="690"/>
      <c r="H972" s="690"/>
      <c r="I972" s="691"/>
      <c r="J972" s="691"/>
      <c r="K972" s="691"/>
      <c r="L972" s="692"/>
      <c r="M972" s="692"/>
      <c r="N972" s="692"/>
      <c r="O972" s="693"/>
      <c r="P972" s="688"/>
      <c r="Q972" s="688"/>
      <c r="R972" s="688"/>
      <c r="S972" s="688"/>
      <c r="T972" s="689"/>
      <c r="U972" s="689"/>
      <c r="V972" s="694"/>
      <c r="W972" s="694"/>
      <c r="X972" s="694"/>
      <c r="Y972" s="694"/>
      <c r="Z972" s="693"/>
      <c r="AA972" s="693"/>
      <c r="AB972" s="693"/>
      <c r="AC972" s="693"/>
      <c r="AD972" s="688"/>
      <c r="AE972" s="689"/>
      <c r="AF972" s="689"/>
      <c r="AG972" s="690"/>
      <c r="AH972" s="690"/>
      <c r="AI972" s="695"/>
      <c r="AJ972" s="695"/>
      <c r="AK972" s="692"/>
      <c r="AL972" s="692"/>
      <c r="AM972" s="693"/>
      <c r="AN972" s="688"/>
      <c r="AO972" s="688"/>
      <c r="AP972" s="688"/>
      <c r="AQ972" s="688"/>
      <c r="AR972" s="688"/>
      <c r="AS972" s="688"/>
      <c r="AT972" s="689"/>
      <c r="AU972" s="689"/>
      <c r="AV972" s="690"/>
      <c r="AW972" s="690"/>
      <c r="AX972" s="690"/>
      <c r="AY972" s="690"/>
      <c r="AZ972" s="690"/>
      <c r="BA972" s="690"/>
      <c r="BB972" s="695"/>
      <c r="BC972" s="695"/>
      <c r="BD972" s="695"/>
      <c r="BE972" s="695"/>
      <c r="BF972" s="692"/>
      <c r="BG972" s="692"/>
      <c r="BH972" s="692"/>
      <c r="BI972" s="692"/>
      <c r="BJ972" s="692"/>
      <c r="BK972" s="692"/>
      <c r="BL972" s="693"/>
      <c r="BM972" s="693"/>
      <c r="BN972" s="688"/>
      <c r="BO972" s="693"/>
      <c r="BP972" s="689"/>
      <c r="BQ972" s="694"/>
      <c r="BR972" s="687"/>
      <c r="BS972" s="687"/>
      <c r="BT972" s="687"/>
      <c r="BU972" s="687"/>
      <c r="BV972" s="687"/>
      <c r="BW972" s="688"/>
      <c r="BX972" s="688"/>
      <c r="BY972" s="689"/>
      <c r="BZ972" s="690"/>
      <c r="CA972" s="690"/>
      <c r="CB972" s="690"/>
      <c r="CC972" s="691"/>
      <c r="CD972" s="691"/>
      <c r="CE972" s="692"/>
      <c r="CF972" s="692"/>
      <c r="CG972" s="692"/>
      <c r="CH972" s="693"/>
    </row>
    <row r="973">
      <c r="B973" s="687"/>
      <c r="C973" s="687"/>
      <c r="D973" s="688"/>
      <c r="E973" s="689"/>
      <c r="F973" s="690"/>
      <c r="G973" s="690"/>
      <c r="H973" s="690"/>
      <c r="I973" s="691"/>
      <c r="J973" s="691"/>
      <c r="K973" s="691"/>
      <c r="L973" s="692"/>
      <c r="M973" s="692"/>
      <c r="N973" s="692"/>
      <c r="O973" s="693"/>
      <c r="P973" s="688"/>
      <c r="Q973" s="688"/>
      <c r="R973" s="688"/>
      <c r="S973" s="688"/>
      <c r="T973" s="689"/>
      <c r="U973" s="689"/>
      <c r="V973" s="694"/>
      <c r="W973" s="694"/>
      <c r="X973" s="694"/>
      <c r="Y973" s="694"/>
      <c r="Z973" s="693"/>
      <c r="AA973" s="693"/>
      <c r="AB973" s="693"/>
      <c r="AC973" s="693"/>
      <c r="AD973" s="688"/>
      <c r="AE973" s="689"/>
      <c r="AF973" s="689"/>
      <c r="AG973" s="690"/>
      <c r="AH973" s="690"/>
      <c r="AI973" s="695"/>
      <c r="AJ973" s="695"/>
      <c r="AK973" s="692"/>
      <c r="AL973" s="692"/>
      <c r="AM973" s="693"/>
      <c r="AN973" s="688"/>
      <c r="AO973" s="688"/>
      <c r="AP973" s="688"/>
      <c r="AQ973" s="688"/>
      <c r="AR973" s="688"/>
      <c r="AS973" s="688"/>
      <c r="AT973" s="689"/>
      <c r="AU973" s="689"/>
      <c r="AV973" s="690"/>
      <c r="AW973" s="690"/>
      <c r="AX973" s="690"/>
      <c r="AY973" s="690"/>
      <c r="AZ973" s="690"/>
      <c r="BA973" s="690"/>
      <c r="BB973" s="695"/>
      <c r="BC973" s="695"/>
      <c r="BD973" s="695"/>
      <c r="BE973" s="695"/>
      <c r="BF973" s="692"/>
      <c r="BG973" s="692"/>
      <c r="BH973" s="692"/>
      <c r="BI973" s="692"/>
      <c r="BJ973" s="692"/>
      <c r="BK973" s="692"/>
      <c r="BL973" s="693"/>
      <c r="BM973" s="693"/>
      <c r="BN973" s="688"/>
      <c r="BO973" s="693"/>
      <c r="BP973" s="689"/>
      <c r="BQ973" s="694"/>
      <c r="BR973" s="687"/>
      <c r="BS973" s="687"/>
      <c r="BT973" s="687"/>
      <c r="BU973" s="687"/>
      <c r="BV973" s="687"/>
      <c r="BW973" s="688"/>
      <c r="BX973" s="688"/>
      <c r="BY973" s="689"/>
      <c r="BZ973" s="690"/>
      <c r="CA973" s="690"/>
      <c r="CB973" s="690"/>
      <c r="CC973" s="691"/>
      <c r="CD973" s="691"/>
      <c r="CE973" s="692"/>
      <c r="CF973" s="692"/>
      <c r="CG973" s="692"/>
      <c r="CH973" s="693"/>
    </row>
    <row r="974">
      <c r="B974" s="687"/>
      <c r="C974" s="687"/>
      <c r="D974" s="688"/>
      <c r="E974" s="689"/>
      <c r="F974" s="690"/>
      <c r="G974" s="690"/>
      <c r="H974" s="690"/>
      <c r="I974" s="691"/>
      <c r="J974" s="691"/>
      <c r="K974" s="691"/>
      <c r="L974" s="692"/>
      <c r="M974" s="692"/>
      <c r="N974" s="692"/>
      <c r="O974" s="693"/>
      <c r="P974" s="688"/>
      <c r="Q974" s="688"/>
      <c r="R974" s="688"/>
      <c r="S974" s="688"/>
      <c r="T974" s="689"/>
      <c r="U974" s="689"/>
      <c r="V974" s="694"/>
      <c r="W974" s="694"/>
      <c r="X974" s="694"/>
      <c r="Y974" s="694"/>
      <c r="Z974" s="693"/>
      <c r="AA974" s="693"/>
      <c r="AB974" s="693"/>
      <c r="AC974" s="693"/>
      <c r="AD974" s="688"/>
      <c r="AE974" s="689"/>
      <c r="AF974" s="689"/>
      <c r="AG974" s="690"/>
      <c r="AH974" s="690"/>
      <c r="AI974" s="695"/>
      <c r="AJ974" s="695"/>
      <c r="AK974" s="692"/>
      <c r="AL974" s="692"/>
      <c r="AM974" s="693"/>
      <c r="AN974" s="688"/>
      <c r="AO974" s="688"/>
      <c r="AP974" s="688"/>
      <c r="AQ974" s="688"/>
      <c r="AR974" s="688"/>
      <c r="AS974" s="688"/>
      <c r="AT974" s="689"/>
      <c r="AU974" s="689"/>
      <c r="AV974" s="690"/>
      <c r="AW974" s="690"/>
      <c r="AX974" s="690"/>
      <c r="AY974" s="690"/>
      <c r="AZ974" s="690"/>
      <c r="BA974" s="690"/>
      <c r="BB974" s="695"/>
      <c r="BC974" s="695"/>
      <c r="BD974" s="695"/>
      <c r="BE974" s="695"/>
      <c r="BF974" s="692"/>
      <c r="BG974" s="692"/>
      <c r="BH974" s="692"/>
      <c r="BI974" s="692"/>
      <c r="BJ974" s="692"/>
      <c r="BK974" s="692"/>
      <c r="BL974" s="693"/>
      <c r="BM974" s="693"/>
      <c r="BN974" s="688"/>
      <c r="BO974" s="693"/>
      <c r="BP974" s="689"/>
      <c r="BQ974" s="694"/>
      <c r="BR974" s="687"/>
      <c r="BS974" s="687"/>
      <c r="BT974" s="687"/>
      <c r="BU974" s="687"/>
      <c r="BV974" s="687"/>
      <c r="BW974" s="688"/>
      <c r="BX974" s="688"/>
      <c r="BY974" s="689"/>
      <c r="BZ974" s="690"/>
      <c r="CA974" s="690"/>
      <c r="CB974" s="690"/>
      <c r="CC974" s="691"/>
      <c r="CD974" s="691"/>
      <c r="CE974" s="692"/>
      <c r="CF974" s="692"/>
      <c r="CG974" s="692"/>
      <c r="CH974" s="693"/>
    </row>
    <row r="975">
      <c r="B975" s="687"/>
      <c r="C975" s="687"/>
      <c r="D975" s="688"/>
      <c r="E975" s="689"/>
      <c r="F975" s="690"/>
      <c r="G975" s="690"/>
      <c r="H975" s="690"/>
      <c r="I975" s="691"/>
      <c r="J975" s="691"/>
      <c r="K975" s="691"/>
      <c r="L975" s="692"/>
      <c r="M975" s="692"/>
      <c r="N975" s="692"/>
      <c r="O975" s="693"/>
      <c r="P975" s="688"/>
      <c r="Q975" s="688"/>
      <c r="R975" s="688"/>
      <c r="S975" s="688"/>
      <c r="T975" s="689"/>
      <c r="U975" s="689"/>
      <c r="V975" s="694"/>
      <c r="W975" s="694"/>
      <c r="X975" s="694"/>
      <c r="Y975" s="694"/>
      <c r="Z975" s="693"/>
      <c r="AA975" s="693"/>
      <c r="AB975" s="693"/>
      <c r="AC975" s="693"/>
      <c r="AD975" s="688"/>
      <c r="AE975" s="689"/>
      <c r="AF975" s="689"/>
      <c r="AG975" s="690"/>
      <c r="AH975" s="690"/>
      <c r="AI975" s="695"/>
      <c r="AJ975" s="695"/>
      <c r="AK975" s="692"/>
      <c r="AL975" s="692"/>
      <c r="AM975" s="693"/>
      <c r="AN975" s="688"/>
      <c r="AO975" s="688"/>
      <c r="AP975" s="688"/>
      <c r="AQ975" s="688"/>
      <c r="AR975" s="688"/>
      <c r="AS975" s="688"/>
      <c r="AT975" s="689"/>
      <c r="AU975" s="689"/>
      <c r="AV975" s="690"/>
      <c r="AW975" s="690"/>
      <c r="AX975" s="690"/>
      <c r="AY975" s="690"/>
      <c r="AZ975" s="690"/>
      <c r="BA975" s="690"/>
      <c r="BB975" s="695"/>
      <c r="BC975" s="695"/>
      <c r="BD975" s="695"/>
      <c r="BE975" s="695"/>
      <c r="BF975" s="692"/>
      <c r="BG975" s="692"/>
      <c r="BH975" s="692"/>
      <c r="BI975" s="692"/>
      <c r="BJ975" s="692"/>
      <c r="BK975" s="692"/>
      <c r="BL975" s="693"/>
      <c r="BM975" s="693"/>
      <c r="BN975" s="688"/>
      <c r="BO975" s="693"/>
      <c r="BP975" s="689"/>
      <c r="BQ975" s="694"/>
      <c r="BR975" s="687"/>
      <c r="BS975" s="687"/>
      <c r="BT975" s="687"/>
      <c r="BU975" s="687"/>
      <c r="BV975" s="687"/>
      <c r="BW975" s="688"/>
      <c r="BX975" s="688"/>
      <c r="BY975" s="689"/>
      <c r="BZ975" s="690"/>
      <c r="CA975" s="690"/>
      <c r="CB975" s="690"/>
      <c r="CC975" s="691"/>
      <c r="CD975" s="691"/>
      <c r="CE975" s="692"/>
      <c r="CF975" s="692"/>
      <c r="CG975" s="692"/>
      <c r="CH975" s="693"/>
    </row>
    <row r="976">
      <c r="B976" s="687"/>
      <c r="C976" s="687"/>
      <c r="D976" s="688"/>
      <c r="E976" s="689"/>
      <c r="F976" s="690"/>
      <c r="G976" s="690"/>
      <c r="H976" s="690"/>
      <c r="I976" s="691"/>
      <c r="J976" s="691"/>
      <c r="K976" s="691"/>
      <c r="L976" s="692"/>
      <c r="M976" s="692"/>
      <c r="N976" s="692"/>
      <c r="O976" s="693"/>
      <c r="P976" s="688"/>
      <c r="Q976" s="688"/>
      <c r="R976" s="688"/>
      <c r="S976" s="688"/>
      <c r="T976" s="689"/>
      <c r="U976" s="689"/>
      <c r="V976" s="694"/>
      <c r="W976" s="694"/>
      <c r="X976" s="694"/>
      <c r="Y976" s="694"/>
      <c r="Z976" s="693"/>
      <c r="AA976" s="693"/>
      <c r="AB976" s="693"/>
      <c r="AC976" s="693"/>
      <c r="AD976" s="688"/>
      <c r="AE976" s="689"/>
      <c r="AF976" s="689"/>
      <c r="AG976" s="690"/>
      <c r="AH976" s="690"/>
      <c r="AI976" s="695"/>
      <c r="AJ976" s="695"/>
      <c r="AK976" s="692"/>
      <c r="AL976" s="692"/>
      <c r="AM976" s="693"/>
      <c r="AN976" s="688"/>
      <c r="AO976" s="688"/>
      <c r="AP976" s="688"/>
      <c r="AQ976" s="688"/>
      <c r="AR976" s="688"/>
      <c r="AS976" s="688"/>
      <c r="AT976" s="689"/>
      <c r="AU976" s="689"/>
      <c r="AV976" s="690"/>
      <c r="AW976" s="690"/>
      <c r="AX976" s="690"/>
      <c r="AY976" s="690"/>
      <c r="AZ976" s="690"/>
      <c r="BA976" s="690"/>
      <c r="BB976" s="695"/>
      <c r="BC976" s="695"/>
      <c r="BD976" s="695"/>
      <c r="BE976" s="695"/>
      <c r="BF976" s="692"/>
      <c r="BG976" s="692"/>
      <c r="BH976" s="692"/>
      <c r="BI976" s="692"/>
      <c r="BJ976" s="692"/>
      <c r="BK976" s="692"/>
      <c r="BL976" s="693"/>
      <c r="BM976" s="693"/>
      <c r="BN976" s="688"/>
      <c r="BO976" s="693"/>
      <c r="BP976" s="689"/>
      <c r="BQ976" s="694"/>
      <c r="BR976" s="687"/>
      <c r="BS976" s="687"/>
      <c r="BT976" s="687"/>
      <c r="BU976" s="687"/>
      <c r="BV976" s="687"/>
      <c r="BW976" s="688"/>
      <c r="BX976" s="688"/>
      <c r="BY976" s="689"/>
      <c r="BZ976" s="690"/>
      <c r="CA976" s="690"/>
      <c r="CB976" s="690"/>
      <c r="CC976" s="691"/>
      <c r="CD976" s="691"/>
      <c r="CE976" s="692"/>
      <c r="CF976" s="692"/>
      <c r="CG976" s="692"/>
      <c r="CH976" s="693"/>
    </row>
    <row r="977">
      <c r="B977" s="687"/>
      <c r="C977" s="687"/>
      <c r="D977" s="688"/>
      <c r="E977" s="689"/>
      <c r="F977" s="690"/>
      <c r="G977" s="690"/>
      <c r="H977" s="690"/>
      <c r="I977" s="691"/>
      <c r="J977" s="691"/>
      <c r="K977" s="691"/>
      <c r="L977" s="692"/>
      <c r="M977" s="692"/>
      <c r="N977" s="692"/>
      <c r="O977" s="693"/>
      <c r="P977" s="688"/>
      <c r="Q977" s="688"/>
      <c r="R977" s="688"/>
      <c r="S977" s="688"/>
      <c r="T977" s="689"/>
      <c r="U977" s="689"/>
      <c r="V977" s="694"/>
      <c r="W977" s="694"/>
      <c r="X977" s="694"/>
      <c r="Y977" s="694"/>
      <c r="Z977" s="693"/>
      <c r="AA977" s="693"/>
      <c r="AB977" s="693"/>
      <c r="AC977" s="693"/>
      <c r="AD977" s="688"/>
      <c r="AE977" s="689"/>
      <c r="AF977" s="689"/>
      <c r="AG977" s="690"/>
      <c r="AH977" s="690"/>
      <c r="AI977" s="695"/>
      <c r="AJ977" s="695"/>
      <c r="AK977" s="692"/>
      <c r="AL977" s="692"/>
      <c r="AM977" s="693"/>
      <c r="AN977" s="688"/>
      <c r="AO977" s="688"/>
      <c r="AP977" s="688"/>
      <c r="AQ977" s="688"/>
      <c r="AR977" s="688"/>
      <c r="AS977" s="688"/>
      <c r="AT977" s="689"/>
      <c r="AU977" s="689"/>
      <c r="AV977" s="690"/>
      <c r="AW977" s="690"/>
      <c r="AX977" s="690"/>
      <c r="AY977" s="690"/>
      <c r="AZ977" s="690"/>
      <c r="BA977" s="690"/>
      <c r="BB977" s="695"/>
      <c r="BC977" s="695"/>
      <c r="BD977" s="695"/>
      <c r="BE977" s="695"/>
      <c r="BF977" s="692"/>
      <c r="BG977" s="692"/>
      <c r="BH977" s="692"/>
      <c r="BI977" s="692"/>
      <c r="BJ977" s="692"/>
      <c r="BK977" s="692"/>
      <c r="BL977" s="693"/>
      <c r="BM977" s="693"/>
      <c r="BN977" s="688"/>
      <c r="BO977" s="693"/>
      <c r="BP977" s="689"/>
      <c r="BQ977" s="694"/>
      <c r="BR977" s="687"/>
      <c r="BS977" s="687"/>
      <c r="BT977" s="687"/>
      <c r="BU977" s="687"/>
      <c r="BV977" s="687"/>
      <c r="BW977" s="688"/>
      <c r="BX977" s="688"/>
      <c r="BY977" s="689"/>
      <c r="BZ977" s="690"/>
      <c r="CA977" s="690"/>
      <c r="CB977" s="690"/>
      <c r="CC977" s="691"/>
      <c r="CD977" s="691"/>
      <c r="CE977" s="692"/>
      <c r="CF977" s="692"/>
      <c r="CG977" s="692"/>
      <c r="CH977" s="693"/>
    </row>
    <row r="978">
      <c r="B978" s="687"/>
      <c r="C978" s="687"/>
      <c r="D978" s="688"/>
      <c r="E978" s="689"/>
      <c r="F978" s="690"/>
      <c r="G978" s="690"/>
      <c r="H978" s="690"/>
      <c r="I978" s="691"/>
      <c r="J978" s="691"/>
      <c r="K978" s="691"/>
      <c r="L978" s="692"/>
      <c r="M978" s="692"/>
      <c r="N978" s="692"/>
      <c r="O978" s="693"/>
      <c r="P978" s="688"/>
      <c r="Q978" s="688"/>
      <c r="R978" s="688"/>
      <c r="S978" s="688"/>
      <c r="T978" s="689"/>
      <c r="U978" s="689"/>
      <c r="V978" s="694"/>
      <c r="W978" s="694"/>
      <c r="X978" s="694"/>
      <c r="Y978" s="694"/>
      <c r="Z978" s="693"/>
      <c r="AA978" s="693"/>
      <c r="AB978" s="693"/>
      <c r="AC978" s="693"/>
      <c r="AD978" s="688"/>
      <c r="AE978" s="689"/>
      <c r="AF978" s="689"/>
      <c r="AG978" s="690"/>
      <c r="AH978" s="690"/>
      <c r="AI978" s="695"/>
      <c r="AJ978" s="695"/>
      <c r="AK978" s="692"/>
      <c r="AL978" s="692"/>
      <c r="AM978" s="693"/>
      <c r="AN978" s="688"/>
      <c r="AO978" s="688"/>
      <c r="AP978" s="688"/>
      <c r="AQ978" s="688"/>
      <c r="AR978" s="688"/>
      <c r="AS978" s="688"/>
      <c r="AT978" s="689"/>
      <c r="AU978" s="689"/>
      <c r="AV978" s="690"/>
      <c r="AW978" s="690"/>
      <c r="AX978" s="690"/>
      <c r="AY978" s="690"/>
      <c r="AZ978" s="690"/>
      <c r="BA978" s="690"/>
      <c r="BB978" s="695"/>
      <c r="BC978" s="695"/>
      <c r="BD978" s="695"/>
      <c r="BE978" s="695"/>
      <c r="BF978" s="692"/>
      <c r="BG978" s="692"/>
      <c r="BH978" s="692"/>
      <c r="BI978" s="692"/>
      <c r="BJ978" s="692"/>
      <c r="BK978" s="692"/>
      <c r="BL978" s="693"/>
      <c r="BM978" s="693"/>
      <c r="BN978" s="688"/>
      <c r="BO978" s="693"/>
      <c r="BP978" s="689"/>
      <c r="BQ978" s="694"/>
      <c r="BR978" s="687"/>
      <c r="BS978" s="687"/>
      <c r="BT978" s="687"/>
      <c r="BU978" s="687"/>
      <c r="BV978" s="687"/>
      <c r="BW978" s="688"/>
      <c r="BX978" s="688"/>
      <c r="BY978" s="689"/>
      <c r="BZ978" s="690"/>
      <c r="CA978" s="690"/>
      <c r="CB978" s="690"/>
      <c r="CC978" s="691"/>
      <c r="CD978" s="691"/>
      <c r="CE978" s="692"/>
      <c r="CF978" s="692"/>
      <c r="CG978" s="692"/>
      <c r="CH978" s="693"/>
    </row>
    <row r="979">
      <c r="B979" s="687"/>
      <c r="C979" s="687"/>
      <c r="D979" s="688"/>
      <c r="E979" s="689"/>
      <c r="F979" s="690"/>
      <c r="G979" s="690"/>
      <c r="H979" s="690"/>
      <c r="I979" s="691"/>
      <c r="J979" s="691"/>
      <c r="K979" s="691"/>
      <c r="L979" s="692"/>
      <c r="M979" s="692"/>
      <c r="N979" s="692"/>
      <c r="O979" s="693"/>
      <c r="P979" s="688"/>
      <c r="Q979" s="688"/>
      <c r="R979" s="688"/>
      <c r="S979" s="688"/>
      <c r="T979" s="689"/>
      <c r="U979" s="689"/>
      <c r="V979" s="694"/>
      <c r="W979" s="694"/>
      <c r="X979" s="694"/>
      <c r="Y979" s="694"/>
      <c r="Z979" s="693"/>
      <c r="AA979" s="693"/>
      <c r="AB979" s="693"/>
      <c r="AC979" s="693"/>
      <c r="AD979" s="688"/>
      <c r="AE979" s="689"/>
      <c r="AF979" s="689"/>
      <c r="AG979" s="690"/>
      <c r="AH979" s="690"/>
      <c r="AI979" s="695"/>
      <c r="AJ979" s="695"/>
      <c r="AK979" s="692"/>
      <c r="AL979" s="692"/>
      <c r="AM979" s="693"/>
      <c r="AN979" s="688"/>
      <c r="AO979" s="688"/>
      <c r="AP979" s="688"/>
      <c r="AQ979" s="688"/>
      <c r="AR979" s="688"/>
      <c r="AS979" s="688"/>
      <c r="AT979" s="689"/>
      <c r="AU979" s="689"/>
      <c r="AV979" s="690"/>
      <c r="AW979" s="690"/>
      <c r="AX979" s="690"/>
      <c r="AY979" s="690"/>
      <c r="AZ979" s="690"/>
      <c r="BA979" s="690"/>
      <c r="BB979" s="695"/>
      <c r="BC979" s="695"/>
      <c r="BD979" s="695"/>
      <c r="BE979" s="695"/>
      <c r="BF979" s="692"/>
      <c r="BG979" s="692"/>
      <c r="BH979" s="692"/>
      <c r="BI979" s="692"/>
      <c r="BJ979" s="692"/>
      <c r="BK979" s="692"/>
      <c r="BL979" s="693"/>
      <c r="BM979" s="693"/>
      <c r="BN979" s="688"/>
      <c r="BO979" s="693"/>
      <c r="BP979" s="689"/>
      <c r="BQ979" s="694"/>
      <c r="BR979" s="687"/>
      <c r="BS979" s="687"/>
      <c r="BT979" s="687"/>
      <c r="BU979" s="687"/>
      <c r="BV979" s="687"/>
      <c r="BW979" s="688"/>
      <c r="BX979" s="688"/>
      <c r="BY979" s="689"/>
      <c r="BZ979" s="690"/>
      <c r="CA979" s="690"/>
      <c r="CB979" s="690"/>
      <c r="CC979" s="691"/>
      <c r="CD979" s="691"/>
      <c r="CE979" s="692"/>
      <c r="CF979" s="692"/>
      <c r="CG979" s="692"/>
      <c r="CH979" s="693"/>
    </row>
    <row r="980">
      <c r="B980" s="687"/>
      <c r="C980" s="687"/>
      <c r="D980" s="688"/>
      <c r="E980" s="689"/>
      <c r="F980" s="690"/>
      <c r="G980" s="690"/>
      <c r="H980" s="690"/>
      <c r="I980" s="691"/>
      <c r="J980" s="691"/>
      <c r="K980" s="691"/>
      <c r="L980" s="692"/>
      <c r="M980" s="692"/>
      <c r="N980" s="692"/>
      <c r="O980" s="693"/>
      <c r="P980" s="688"/>
      <c r="Q980" s="688"/>
      <c r="R980" s="688"/>
      <c r="S980" s="688"/>
      <c r="T980" s="689"/>
      <c r="U980" s="689"/>
      <c r="V980" s="694"/>
      <c r="W980" s="694"/>
      <c r="X980" s="694"/>
      <c r="Y980" s="694"/>
      <c r="Z980" s="693"/>
      <c r="AA980" s="693"/>
      <c r="AB980" s="693"/>
      <c r="AC980" s="693"/>
      <c r="AD980" s="688"/>
      <c r="AE980" s="689"/>
      <c r="AF980" s="689"/>
      <c r="AG980" s="690"/>
      <c r="AH980" s="690"/>
      <c r="AI980" s="695"/>
      <c r="AJ980" s="695"/>
      <c r="AK980" s="692"/>
      <c r="AL980" s="692"/>
      <c r="AM980" s="693"/>
      <c r="AN980" s="688"/>
      <c r="AO980" s="688"/>
      <c r="AP980" s="688"/>
      <c r="AQ980" s="688"/>
      <c r="AR980" s="688"/>
      <c r="AS980" s="688"/>
      <c r="AT980" s="689"/>
      <c r="AU980" s="689"/>
      <c r="AV980" s="690"/>
      <c r="AW980" s="690"/>
      <c r="AX980" s="690"/>
      <c r="AY980" s="690"/>
      <c r="AZ980" s="690"/>
      <c r="BA980" s="690"/>
      <c r="BB980" s="695"/>
      <c r="BC980" s="695"/>
      <c r="BD980" s="695"/>
      <c r="BE980" s="695"/>
      <c r="BF980" s="692"/>
      <c r="BG980" s="692"/>
      <c r="BH980" s="692"/>
      <c r="BI980" s="692"/>
      <c r="BJ980" s="692"/>
      <c r="BK980" s="692"/>
      <c r="BL980" s="693"/>
      <c r="BM980" s="693"/>
      <c r="BN980" s="688"/>
      <c r="BO980" s="693"/>
      <c r="BP980" s="689"/>
      <c r="BQ980" s="694"/>
      <c r="BR980" s="687"/>
      <c r="BS980" s="687"/>
      <c r="BT980" s="687"/>
      <c r="BU980" s="687"/>
      <c r="BV980" s="687"/>
      <c r="BW980" s="688"/>
      <c r="BX980" s="688"/>
      <c r="BY980" s="689"/>
      <c r="BZ980" s="690"/>
      <c r="CA980" s="690"/>
      <c r="CB980" s="690"/>
      <c r="CC980" s="691"/>
      <c r="CD980" s="691"/>
      <c r="CE980" s="692"/>
      <c r="CF980" s="692"/>
      <c r="CG980" s="692"/>
      <c r="CH980" s="693"/>
    </row>
    <row r="981">
      <c r="B981" s="687"/>
      <c r="C981" s="687"/>
      <c r="D981" s="688"/>
      <c r="E981" s="689"/>
      <c r="F981" s="690"/>
      <c r="G981" s="690"/>
      <c r="H981" s="690"/>
      <c r="I981" s="691"/>
      <c r="J981" s="691"/>
      <c r="K981" s="691"/>
      <c r="L981" s="692"/>
      <c r="M981" s="692"/>
      <c r="N981" s="692"/>
      <c r="O981" s="693"/>
      <c r="P981" s="688"/>
      <c r="Q981" s="688"/>
      <c r="R981" s="688"/>
      <c r="S981" s="688"/>
      <c r="T981" s="689"/>
      <c r="U981" s="689"/>
      <c r="V981" s="694"/>
      <c r="W981" s="694"/>
      <c r="X981" s="694"/>
      <c r="Y981" s="694"/>
      <c r="Z981" s="693"/>
      <c r="AA981" s="693"/>
      <c r="AB981" s="693"/>
      <c r="AC981" s="693"/>
      <c r="AD981" s="688"/>
      <c r="AE981" s="689"/>
      <c r="AF981" s="689"/>
      <c r="AG981" s="690"/>
      <c r="AH981" s="690"/>
      <c r="AI981" s="695"/>
      <c r="AJ981" s="695"/>
      <c r="AK981" s="692"/>
      <c r="AL981" s="692"/>
      <c r="AM981" s="693"/>
      <c r="AN981" s="688"/>
      <c r="AO981" s="688"/>
      <c r="AP981" s="688"/>
      <c r="AQ981" s="688"/>
      <c r="AR981" s="688"/>
      <c r="AS981" s="688"/>
      <c r="AT981" s="689"/>
      <c r="AU981" s="689"/>
      <c r="AV981" s="690"/>
      <c r="AW981" s="690"/>
      <c r="AX981" s="690"/>
      <c r="AY981" s="690"/>
      <c r="AZ981" s="690"/>
      <c r="BA981" s="690"/>
      <c r="BB981" s="695"/>
      <c r="BC981" s="695"/>
      <c r="BD981" s="695"/>
      <c r="BE981" s="695"/>
      <c r="BF981" s="692"/>
      <c r="BG981" s="692"/>
      <c r="BH981" s="692"/>
      <c r="BI981" s="692"/>
      <c r="BJ981" s="692"/>
      <c r="BK981" s="692"/>
      <c r="BL981" s="693"/>
      <c r="BM981" s="693"/>
      <c r="BN981" s="688"/>
      <c r="BO981" s="693"/>
      <c r="BP981" s="689"/>
      <c r="BQ981" s="694"/>
      <c r="BR981" s="687"/>
      <c r="BS981" s="687"/>
      <c r="BT981" s="687"/>
      <c r="BU981" s="687"/>
      <c r="BV981" s="687"/>
      <c r="BW981" s="688"/>
      <c r="BX981" s="688"/>
      <c r="BY981" s="689"/>
      <c r="BZ981" s="690"/>
      <c r="CA981" s="690"/>
      <c r="CB981" s="690"/>
      <c r="CC981" s="691"/>
      <c r="CD981" s="691"/>
      <c r="CE981" s="692"/>
      <c r="CF981" s="692"/>
      <c r="CG981" s="692"/>
      <c r="CH981" s="693"/>
    </row>
    <row r="982">
      <c r="B982" s="687"/>
      <c r="C982" s="687"/>
      <c r="D982" s="688"/>
      <c r="E982" s="689"/>
      <c r="F982" s="690"/>
      <c r="G982" s="690"/>
      <c r="H982" s="690"/>
      <c r="I982" s="691"/>
      <c r="J982" s="691"/>
      <c r="K982" s="691"/>
      <c r="L982" s="692"/>
      <c r="M982" s="692"/>
      <c r="N982" s="692"/>
      <c r="O982" s="693"/>
      <c r="P982" s="688"/>
      <c r="Q982" s="688"/>
      <c r="R982" s="688"/>
      <c r="S982" s="688"/>
      <c r="T982" s="689"/>
      <c r="U982" s="689"/>
      <c r="V982" s="694"/>
      <c r="W982" s="694"/>
      <c r="X982" s="694"/>
      <c r="Y982" s="694"/>
      <c r="Z982" s="693"/>
      <c r="AA982" s="693"/>
      <c r="AB982" s="693"/>
      <c r="AC982" s="693"/>
      <c r="AD982" s="688"/>
      <c r="AE982" s="689"/>
      <c r="AF982" s="689"/>
      <c r="AG982" s="690"/>
      <c r="AH982" s="690"/>
      <c r="AI982" s="695"/>
      <c r="AJ982" s="695"/>
      <c r="AK982" s="692"/>
      <c r="AL982" s="692"/>
      <c r="AM982" s="693"/>
      <c r="AN982" s="688"/>
      <c r="AO982" s="688"/>
      <c r="AP982" s="688"/>
      <c r="AQ982" s="688"/>
      <c r="AR982" s="688"/>
      <c r="AS982" s="688"/>
      <c r="AT982" s="689"/>
      <c r="AU982" s="689"/>
      <c r="AV982" s="690"/>
      <c r="AW982" s="690"/>
      <c r="AX982" s="690"/>
      <c r="AY982" s="690"/>
      <c r="AZ982" s="690"/>
      <c r="BA982" s="690"/>
      <c r="BB982" s="695"/>
      <c r="BC982" s="695"/>
      <c r="BD982" s="695"/>
      <c r="BE982" s="695"/>
      <c r="BF982" s="692"/>
      <c r="BG982" s="692"/>
      <c r="BH982" s="692"/>
      <c r="BI982" s="692"/>
      <c r="BJ982" s="692"/>
      <c r="BK982" s="692"/>
      <c r="BL982" s="693"/>
      <c r="BM982" s="693"/>
      <c r="BN982" s="688"/>
      <c r="BO982" s="693"/>
      <c r="BP982" s="689"/>
      <c r="BQ982" s="694"/>
      <c r="BR982" s="687"/>
      <c r="BS982" s="687"/>
      <c r="BT982" s="687"/>
      <c r="BU982" s="687"/>
      <c r="BV982" s="687"/>
      <c r="BW982" s="688"/>
      <c r="BX982" s="688"/>
      <c r="BY982" s="689"/>
      <c r="BZ982" s="690"/>
      <c r="CA982" s="690"/>
      <c r="CB982" s="690"/>
      <c r="CC982" s="691"/>
      <c r="CD982" s="691"/>
      <c r="CE982" s="692"/>
      <c r="CF982" s="692"/>
      <c r="CG982" s="692"/>
      <c r="CH982" s="693"/>
    </row>
    <row r="983">
      <c r="B983" s="687"/>
      <c r="C983" s="687"/>
      <c r="D983" s="688"/>
      <c r="E983" s="689"/>
      <c r="F983" s="690"/>
      <c r="G983" s="690"/>
      <c r="H983" s="690"/>
      <c r="I983" s="691"/>
      <c r="J983" s="691"/>
      <c r="K983" s="691"/>
      <c r="L983" s="692"/>
      <c r="M983" s="692"/>
      <c r="N983" s="692"/>
      <c r="O983" s="693"/>
      <c r="P983" s="688"/>
      <c r="Q983" s="688"/>
      <c r="R983" s="688"/>
      <c r="S983" s="688"/>
      <c r="T983" s="689"/>
      <c r="U983" s="689"/>
      <c r="V983" s="694"/>
      <c r="W983" s="694"/>
      <c r="X983" s="694"/>
      <c r="Y983" s="694"/>
      <c r="Z983" s="693"/>
      <c r="AA983" s="693"/>
      <c r="AB983" s="693"/>
      <c r="AC983" s="693"/>
      <c r="AD983" s="688"/>
      <c r="AE983" s="689"/>
      <c r="AF983" s="689"/>
      <c r="AG983" s="690"/>
      <c r="AH983" s="690"/>
      <c r="AI983" s="695"/>
      <c r="AJ983" s="695"/>
      <c r="AK983" s="692"/>
      <c r="AL983" s="692"/>
      <c r="AM983" s="693"/>
      <c r="AN983" s="688"/>
      <c r="AO983" s="688"/>
      <c r="AP983" s="688"/>
      <c r="AQ983" s="688"/>
      <c r="AR983" s="688"/>
      <c r="AS983" s="688"/>
      <c r="AT983" s="689"/>
      <c r="AU983" s="689"/>
      <c r="AV983" s="690"/>
      <c r="AW983" s="690"/>
      <c r="AX983" s="690"/>
      <c r="AY983" s="690"/>
      <c r="AZ983" s="690"/>
      <c r="BA983" s="690"/>
      <c r="BB983" s="695"/>
      <c r="BC983" s="695"/>
      <c r="BD983" s="695"/>
      <c r="BE983" s="695"/>
      <c r="BF983" s="692"/>
      <c r="BG983" s="692"/>
      <c r="BH983" s="692"/>
      <c r="BI983" s="692"/>
      <c r="BJ983" s="692"/>
      <c r="BK983" s="692"/>
      <c r="BL983" s="693"/>
      <c r="BM983" s="693"/>
      <c r="BN983" s="688"/>
      <c r="BO983" s="693"/>
      <c r="BP983" s="689"/>
      <c r="BQ983" s="694"/>
      <c r="BR983" s="687"/>
      <c r="BS983" s="687"/>
      <c r="BT983" s="687"/>
      <c r="BU983" s="687"/>
      <c r="BV983" s="687"/>
      <c r="BW983" s="688"/>
      <c r="BX983" s="688"/>
      <c r="BY983" s="689"/>
      <c r="BZ983" s="690"/>
      <c r="CA983" s="690"/>
      <c r="CB983" s="690"/>
      <c r="CC983" s="691"/>
      <c r="CD983" s="691"/>
      <c r="CE983" s="692"/>
      <c r="CF983" s="692"/>
      <c r="CG983" s="692"/>
      <c r="CH983" s="693"/>
    </row>
    <row r="984">
      <c r="B984" s="687"/>
      <c r="C984" s="687"/>
      <c r="D984" s="688"/>
      <c r="E984" s="689"/>
      <c r="F984" s="690"/>
      <c r="G984" s="690"/>
      <c r="H984" s="690"/>
      <c r="I984" s="691"/>
      <c r="J984" s="691"/>
      <c r="K984" s="691"/>
      <c r="L984" s="692"/>
      <c r="M984" s="692"/>
      <c r="N984" s="692"/>
      <c r="O984" s="693"/>
      <c r="P984" s="688"/>
      <c r="Q984" s="688"/>
      <c r="R984" s="688"/>
      <c r="S984" s="688"/>
      <c r="T984" s="689"/>
      <c r="U984" s="689"/>
      <c r="V984" s="694"/>
      <c r="W984" s="694"/>
      <c r="X984" s="694"/>
      <c r="Y984" s="694"/>
      <c r="Z984" s="693"/>
      <c r="AA984" s="693"/>
      <c r="AB984" s="693"/>
      <c r="AC984" s="693"/>
      <c r="AD984" s="688"/>
      <c r="AE984" s="689"/>
      <c r="AF984" s="689"/>
      <c r="AG984" s="690"/>
      <c r="AH984" s="690"/>
      <c r="AI984" s="695"/>
      <c r="AJ984" s="695"/>
      <c r="AK984" s="692"/>
      <c r="AL984" s="692"/>
      <c r="AM984" s="693"/>
      <c r="AN984" s="688"/>
      <c r="AO984" s="688"/>
      <c r="AP984" s="688"/>
      <c r="AQ984" s="688"/>
      <c r="AR984" s="688"/>
      <c r="AS984" s="688"/>
      <c r="AT984" s="689"/>
      <c r="AU984" s="689"/>
      <c r="AV984" s="690"/>
      <c r="AW984" s="690"/>
      <c r="AX984" s="690"/>
      <c r="AY984" s="690"/>
      <c r="AZ984" s="690"/>
      <c r="BA984" s="690"/>
      <c r="BB984" s="695"/>
      <c r="BC984" s="695"/>
      <c r="BD984" s="695"/>
      <c r="BE984" s="695"/>
      <c r="BF984" s="692"/>
      <c r="BG984" s="692"/>
      <c r="BH984" s="692"/>
      <c r="BI984" s="692"/>
      <c r="BJ984" s="692"/>
      <c r="BK984" s="692"/>
      <c r="BL984" s="693"/>
      <c r="BM984" s="693"/>
      <c r="BN984" s="688"/>
      <c r="BO984" s="693"/>
      <c r="BP984" s="689"/>
      <c r="BQ984" s="694"/>
      <c r="BR984" s="687"/>
      <c r="BS984" s="687"/>
      <c r="BT984" s="687"/>
      <c r="BU984" s="687"/>
      <c r="BV984" s="687"/>
      <c r="BW984" s="688"/>
      <c r="BX984" s="688"/>
      <c r="BY984" s="689"/>
      <c r="BZ984" s="690"/>
      <c r="CA984" s="690"/>
      <c r="CB984" s="690"/>
      <c r="CC984" s="691"/>
      <c r="CD984" s="691"/>
      <c r="CE984" s="692"/>
      <c r="CF984" s="692"/>
      <c r="CG984" s="692"/>
      <c r="CH984" s="693"/>
    </row>
    <row r="985">
      <c r="B985" s="687"/>
      <c r="C985" s="687"/>
      <c r="D985" s="688"/>
      <c r="E985" s="689"/>
      <c r="F985" s="690"/>
      <c r="G985" s="690"/>
      <c r="H985" s="690"/>
      <c r="I985" s="691"/>
      <c r="J985" s="691"/>
      <c r="K985" s="691"/>
      <c r="L985" s="692"/>
      <c r="M985" s="692"/>
      <c r="N985" s="692"/>
      <c r="O985" s="693"/>
      <c r="P985" s="688"/>
      <c r="Q985" s="688"/>
      <c r="R985" s="688"/>
      <c r="S985" s="688"/>
      <c r="T985" s="689"/>
      <c r="U985" s="689"/>
      <c r="V985" s="694"/>
      <c r="W985" s="694"/>
      <c r="X985" s="694"/>
      <c r="Y985" s="694"/>
      <c r="Z985" s="693"/>
      <c r="AA985" s="693"/>
      <c r="AB985" s="693"/>
      <c r="AC985" s="693"/>
      <c r="AD985" s="688"/>
      <c r="AE985" s="689"/>
      <c r="AF985" s="689"/>
      <c r="AG985" s="690"/>
      <c r="AH985" s="690"/>
      <c r="AI985" s="695"/>
      <c r="AJ985" s="695"/>
      <c r="AK985" s="692"/>
      <c r="AL985" s="692"/>
      <c r="AM985" s="693"/>
      <c r="AN985" s="688"/>
      <c r="AO985" s="688"/>
      <c r="AP985" s="688"/>
      <c r="AQ985" s="688"/>
      <c r="AR985" s="688"/>
      <c r="AS985" s="688"/>
      <c r="AT985" s="689"/>
      <c r="AU985" s="689"/>
      <c r="AV985" s="690"/>
      <c r="AW985" s="690"/>
      <c r="AX985" s="690"/>
      <c r="AY985" s="690"/>
      <c r="AZ985" s="690"/>
      <c r="BA985" s="690"/>
      <c r="BB985" s="695"/>
      <c r="BC985" s="695"/>
      <c r="BD985" s="695"/>
      <c r="BE985" s="695"/>
      <c r="BF985" s="692"/>
      <c r="BG985" s="692"/>
      <c r="BH985" s="692"/>
      <c r="BI985" s="692"/>
      <c r="BJ985" s="692"/>
      <c r="BK985" s="692"/>
      <c r="BL985" s="693"/>
      <c r="BM985" s="693"/>
      <c r="BN985" s="688"/>
      <c r="BO985" s="693"/>
      <c r="BP985" s="689"/>
      <c r="BQ985" s="694"/>
      <c r="BR985" s="687"/>
      <c r="BS985" s="687"/>
      <c r="BT985" s="687"/>
      <c r="BU985" s="687"/>
      <c r="BV985" s="687"/>
      <c r="BW985" s="688"/>
      <c r="BX985" s="688"/>
      <c r="BY985" s="689"/>
      <c r="BZ985" s="690"/>
      <c r="CA985" s="690"/>
      <c r="CB985" s="690"/>
      <c r="CC985" s="691"/>
      <c r="CD985" s="691"/>
      <c r="CE985" s="692"/>
      <c r="CF985" s="692"/>
      <c r="CG985" s="692"/>
      <c r="CH985" s="693"/>
    </row>
    <row r="986">
      <c r="B986" s="687"/>
      <c r="C986" s="687"/>
      <c r="D986" s="688"/>
      <c r="E986" s="689"/>
      <c r="F986" s="690"/>
      <c r="G986" s="690"/>
      <c r="H986" s="690"/>
      <c r="I986" s="691"/>
      <c r="J986" s="691"/>
      <c r="K986" s="691"/>
      <c r="L986" s="692"/>
      <c r="M986" s="692"/>
      <c r="N986" s="692"/>
      <c r="O986" s="693"/>
      <c r="P986" s="688"/>
      <c r="Q986" s="688"/>
      <c r="R986" s="688"/>
      <c r="S986" s="688"/>
      <c r="T986" s="689"/>
      <c r="U986" s="689"/>
      <c r="V986" s="694"/>
      <c r="W986" s="694"/>
      <c r="X986" s="694"/>
      <c r="Y986" s="694"/>
      <c r="Z986" s="693"/>
      <c r="AA986" s="693"/>
      <c r="AB986" s="693"/>
      <c r="AC986" s="693"/>
      <c r="AD986" s="688"/>
      <c r="AE986" s="689"/>
      <c r="AF986" s="689"/>
      <c r="AG986" s="690"/>
      <c r="AH986" s="690"/>
      <c r="AI986" s="695"/>
      <c r="AJ986" s="695"/>
      <c r="AK986" s="692"/>
      <c r="AL986" s="692"/>
      <c r="AM986" s="693"/>
      <c r="AN986" s="688"/>
      <c r="AO986" s="688"/>
      <c r="AP986" s="688"/>
      <c r="AQ986" s="688"/>
      <c r="AR986" s="688"/>
      <c r="AS986" s="688"/>
      <c r="AT986" s="689"/>
      <c r="AU986" s="689"/>
      <c r="AV986" s="690"/>
      <c r="AW986" s="690"/>
      <c r="AX986" s="690"/>
      <c r="AY986" s="690"/>
      <c r="AZ986" s="690"/>
      <c r="BA986" s="690"/>
      <c r="BB986" s="695"/>
      <c r="BC986" s="695"/>
      <c r="BD986" s="695"/>
      <c r="BE986" s="695"/>
      <c r="BF986" s="692"/>
      <c r="BG986" s="692"/>
      <c r="BH986" s="692"/>
      <c r="BI986" s="692"/>
      <c r="BJ986" s="692"/>
      <c r="BK986" s="692"/>
      <c r="BL986" s="693"/>
      <c r="BM986" s="693"/>
      <c r="BN986" s="688"/>
      <c r="BO986" s="693"/>
      <c r="BP986" s="689"/>
      <c r="BQ986" s="694"/>
      <c r="BR986" s="687"/>
      <c r="BS986" s="687"/>
      <c r="BT986" s="687"/>
      <c r="BU986" s="687"/>
      <c r="BV986" s="687"/>
      <c r="BW986" s="688"/>
      <c r="BX986" s="688"/>
      <c r="BY986" s="689"/>
      <c r="BZ986" s="690"/>
      <c r="CA986" s="690"/>
      <c r="CB986" s="690"/>
      <c r="CC986" s="691"/>
      <c r="CD986" s="691"/>
      <c r="CE986" s="692"/>
      <c r="CF986" s="692"/>
      <c r="CG986" s="692"/>
      <c r="CH986" s="693"/>
    </row>
    <row r="987">
      <c r="B987" s="687"/>
      <c r="C987" s="687"/>
      <c r="D987" s="688"/>
      <c r="E987" s="689"/>
      <c r="F987" s="690"/>
      <c r="G987" s="690"/>
      <c r="H987" s="690"/>
      <c r="I987" s="691"/>
      <c r="J987" s="691"/>
      <c r="K987" s="691"/>
      <c r="L987" s="692"/>
      <c r="M987" s="692"/>
      <c r="N987" s="692"/>
      <c r="O987" s="693"/>
      <c r="P987" s="688"/>
      <c r="Q987" s="688"/>
      <c r="R987" s="688"/>
      <c r="S987" s="688"/>
      <c r="T987" s="689"/>
      <c r="U987" s="689"/>
      <c r="V987" s="694"/>
      <c r="W987" s="694"/>
      <c r="X987" s="694"/>
      <c r="Y987" s="694"/>
      <c r="Z987" s="693"/>
      <c r="AA987" s="693"/>
      <c r="AB987" s="693"/>
      <c r="AC987" s="693"/>
      <c r="AD987" s="688"/>
      <c r="AE987" s="689"/>
      <c r="AF987" s="689"/>
      <c r="AG987" s="690"/>
      <c r="AH987" s="690"/>
      <c r="AI987" s="695"/>
      <c r="AJ987" s="695"/>
      <c r="AK987" s="692"/>
      <c r="AL987" s="692"/>
      <c r="AM987" s="693"/>
      <c r="AN987" s="688"/>
      <c r="AO987" s="688"/>
      <c r="AP987" s="688"/>
      <c r="AQ987" s="688"/>
      <c r="AR987" s="688"/>
      <c r="AS987" s="688"/>
      <c r="AT987" s="689"/>
      <c r="AU987" s="689"/>
      <c r="AV987" s="690"/>
      <c r="AW987" s="690"/>
      <c r="AX987" s="690"/>
      <c r="AY987" s="690"/>
      <c r="AZ987" s="690"/>
      <c r="BA987" s="690"/>
      <c r="BB987" s="695"/>
      <c r="BC987" s="695"/>
      <c r="BD987" s="695"/>
      <c r="BE987" s="695"/>
      <c r="BF987" s="692"/>
      <c r="BG987" s="692"/>
      <c r="BH987" s="692"/>
      <c r="BI987" s="692"/>
      <c r="BJ987" s="692"/>
      <c r="BK987" s="692"/>
      <c r="BL987" s="693"/>
      <c r="BM987" s="693"/>
      <c r="BN987" s="688"/>
      <c r="BO987" s="693"/>
      <c r="BP987" s="689"/>
      <c r="BQ987" s="694"/>
      <c r="BR987" s="687"/>
      <c r="BS987" s="687"/>
      <c r="BT987" s="687"/>
      <c r="BU987" s="687"/>
      <c r="BV987" s="687"/>
      <c r="BW987" s="688"/>
      <c r="BX987" s="688"/>
      <c r="BY987" s="689"/>
      <c r="BZ987" s="690"/>
      <c r="CA987" s="690"/>
      <c r="CB987" s="690"/>
      <c r="CC987" s="691"/>
      <c r="CD987" s="691"/>
      <c r="CE987" s="692"/>
      <c r="CF987" s="692"/>
      <c r="CG987" s="692"/>
      <c r="CH987" s="693"/>
    </row>
    <row r="988">
      <c r="B988" s="687"/>
      <c r="C988" s="687"/>
      <c r="D988" s="688"/>
      <c r="E988" s="689"/>
      <c r="F988" s="690"/>
      <c r="G988" s="690"/>
      <c r="H988" s="690"/>
      <c r="I988" s="691"/>
      <c r="J988" s="691"/>
      <c r="K988" s="691"/>
      <c r="L988" s="692"/>
      <c r="M988" s="692"/>
      <c r="N988" s="692"/>
      <c r="O988" s="693"/>
      <c r="P988" s="688"/>
      <c r="Q988" s="688"/>
      <c r="R988" s="688"/>
      <c r="S988" s="688"/>
      <c r="T988" s="689"/>
      <c r="U988" s="689"/>
      <c r="V988" s="694"/>
      <c r="W988" s="694"/>
      <c r="X988" s="694"/>
      <c r="Y988" s="694"/>
      <c r="Z988" s="693"/>
      <c r="AA988" s="693"/>
      <c r="AB988" s="693"/>
      <c r="AC988" s="693"/>
      <c r="AD988" s="688"/>
      <c r="AE988" s="689"/>
      <c r="AF988" s="689"/>
      <c r="AG988" s="690"/>
      <c r="AH988" s="690"/>
      <c r="AI988" s="695"/>
      <c r="AJ988" s="695"/>
      <c r="AK988" s="692"/>
      <c r="AL988" s="692"/>
      <c r="AM988" s="693"/>
      <c r="AN988" s="688"/>
      <c r="AO988" s="688"/>
      <c r="AP988" s="688"/>
      <c r="AQ988" s="688"/>
      <c r="AR988" s="688"/>
      <c r="AS988" s="688"/>
      <c r="AT988" s="689"/>
      <c r="AU988" s="689"/>
      <c r="AV988" s="690"/>
      <c r="AW988" s="690"/>
      <c r="AX988" s="690"/>
      <c r="AY988" s="690"/>
      <c r="AZ988" s="690"/>
      <c r="BA988" s="690"/>
      <c r="BB988" s="695"/>
      <c r="BC988" s="695"/>
      <c r="BD988" s="695"/>
      <c r="BE988" s="695"/>
      <c r="BF988" s="692"/>
      <c r="BG988" s="692"/>
      <c r="BH988" s="692"/>
      <c r="BI988" s="692"/>
      <c r="BJ988" s="692"/>
      <c r="BK988" s="692"/>
      <c r="BL988" s="693"/>
      <c r="BM988" s="693"/>
      <c r="BN988" s="688"/>
      <c r="BO988" s="693"/>
      <c r="BP988" s="689"/>
      <c r="BQ988" s="694"/>
      <c r="BR988" s="687"/>
      <c r="BS988" s="687"/>
      <c r="BT988" s="687"/>
      <c r="BU988" s="687"/>
      <c r="BV988" s="687"/>
      <c r="BW988" s="688"/>
      <c r="BX988" s="688"/>
      <c r="BY988" s="689"/>
      <c r="BZ988" s="690"/>
      <c r="CA988" s="690"/>
      <c r="CB988" s="690"/>
      <c r="CC988" s="691"/>
      <c r="CD988" s="691"/>
      <c r="CE988" s="692"/>
      <c r="CF988" s="692"/>
      <c r="CG988" s="692"/>
      <c r="CH988" s="693"/>
    </row>
    <row r="989">
      <c r="B989" s="687"/>
      <c r="C989" s="687"/>
      <c r="D989" s="688"/>
      <c r="E989" s="689"/>
      <c r="F989" s="690"/>
      <c r="G989" s="690"/>
      <c r="H989" s="690"/>
      <c r="I989" s="691"/>
      <c r="J989" s="691"/>
      <c r="K989" s="691"/>
      <c r="L989" s="692"/>
      <c r="M989" s="692"/>
      <c r="N989" s="692"/>
      <c r="O989" s="693"/>
      <c r="P989" s="688"/>
      <c r="Q989" s="688"/>
      <c r="R989" s="688"/>
      <c r="S989" s="688"/>
      <c r="T989" s="689"/>
      <c r="U989" s="689"/>
      <c r="V989" s="694"/>
      <c r="W989" s="694"/>
      <c r="X989" s="694"/>
      <c r="Y989" s="694"/>
      <c r="Z989" s="693"/>
      <c r="AA989" s="693"/>
      <c r="AB989" s="693"/>
      <c r="AC989" s="693"/>
      <c r="AD989" s="688"/>
      <c r="AE989" s="689"/>
      <c r="AF989" s="689"/>
      <c r="AG989" s="690"/>
      <c r="AH989" s="690"/>
      <c r="AI989" s="695"/>
      <c r="AJ989" s="695"/>
      <c r="AK989" s="692"/>
      <c r="AL989" s="692"/>
      <c r="AM989" s="693"/>
      <c r="AN989" s="688"/>
      <c r="AO989" s="688"/>
      <c r="AP989" s="688"/>
      <c r="AQ989" s="688"/>
      <c r="AR989" s="688"/>
      <c r="AS989" s="688"/>
      <c r="AT989" s="689"/>
      <c r="AU989" s="689"/>
      <c r="AV989" s="690"/>
      <c r="AW989" s="690"/>
      <c r="AX989" s="690"/>
      <c r="AY989" s="690"/>
      <c r="AZ989" s="690"/>
      <c r="BA989" s="690"/>
      <c r="BB989" s="695"/>
      <c r="BC989" s="695"/>
      <c r="BD989" s="695"/>
      <c r="BE989" s="695"/>
      <c r="BF989" s="692"/>
      <c r="BG989" s="692"/>
      <c r="BH989" s="692"/>
      <c r="BI989" s="692"/>
      <c r="BJ989" s="692"/>
      <c r="BK989" s="692"/>
      <c r="BL989" s="693"/>
      <c r="BM989" s="693"/>
      <c r="BN989" s="688"/>
      <c r="BO989" s="693"/>
      <c r="BP989" s="689"/>
      <c r="BQ989" s="694"/>
      <c r="BR989" s="687"/>
      <c r="BS989" s="687"/>
      <c r="BT989" s="687"/>
      <c r="BU989" s="687"/>
      <c r="BV989" s="687"/>
      <c r="BW989" s="688"/>
      <c r="BX989" s="688"/>
      <c r="BY989" s="689"/>
      <c r="BZ989" s="690"/>
      <c r="CA989" s="690"/>
      <c r="CB989" s="690"/>
      <c r="CC989" s="691"/>
      <c r="CD989" s="691"/>
      <c r="CE989" s="692"/>
      <c r="CF989" s="692"/>
      <c r="CG989" s="692"/>
      <c r="CH989" s="693"/>
    </row>
    <row r="990">
      <c r="B990" s="687"/>
      <c r="C990" s="687"/>
      <c r="D990" s="688"/>
      <c r="E990" s="689"/>
      <c r="F990" s="690"/>
      <c r="G990" s="690"/>
      <c r="H990" s="690"/>
      <c r="I990" s="691"/>
      <c r="J990" s="691"/>
      <c r="K990" s="691"/>
      <c r="L990" s="692"/>
      <c r="M990" s="692"/>
      <c r="N990" s="692"/>
      <c r="O990" s="693"/>
      <c r="P990" s="688"/>
      <c r="Q990" s="688"/>
      <c r="R990" s="688"/>
      <c r="S990" s="688"/>
      <c r="T990" s="689"/>
      <c r="U990" s="689"/>
      <c r="V990" s="694"/>
      <c r="W990" s="694"/>
      <c r="X990" s="694"/>
      <c r="Y990" s="694"/>
      <c r="Z990" s="693"/>
      <c r="AA990" s="693"/>
      <c r="AB990" s="693"/>
      <c r="AC990" s="693"/>
      <c r="AD990" s="688"/>
      <c r="AE990" s="689"/>
      <c r="AF990" s="689"/>
      <c r="AG990" s="690"/>
      <c r="AH990" s="690"/>
      <c r="AI990" s="695"/>
      <c r="AJ990" s="695"/>
      <c r="AK990" s="692"/>
      <c r="AL990" s="692"/>
      <c r="AM990" s="693"/>
      <c r="AN990" s="688"/>
      <c r="AO990" s="688"/>
      <c r="AP990" s="688"/>
      <c r="AQ990" s="688"/>
      <c r="AR990" s="688"/>
      <c r="AS990" s="688"/>
      <c r="AT990" s="689"/>
      <c r="AU990" s="689"/>
      <c r="AV990" s="690"/>
      <c r="AW990" s="690"/>
      <c r="AX990" s="690"/>
      <c r="AY990" s="690"/>
      <c r="AZ990" s="690"/>
      <c r="BA990" s="690"/>
      <c r="BB990" s="695"/>
      <c r="BC990" s="695"/>
      <c r="BD990" s="695"/>
      <c r="BE990" s="695"/>
      <c r="BF990" s="692"/>
      <c r="BG990" s="692"/>
      <c r="BH990" s="692"/>
      <c r="BI990" s="692"/>
      <c r="BJ990" s="692"/>
      <c r="BK990" s="692"/>
      <c r="BL990" s="693"/>
      <c r="BM990" s="693"/>
      <c r="BN990" s="688"/>
      <c r="BO990" s="693"/>
      <c r="BP990" s="689"/>
      <c r="BQ990" s="694"/>
      <c r="BR990" s="687"/>
      <c r="BS990" s="687"/>
      <c r="BT990" s="687"/>
      <c r="BU990" s="687"/>
      <c r="BV990" s="687"/>
      <c r="BW990" s="688"/>
      <c r="BX990" s="688"/>
      <c r="BY990" s="689"/>
      <c r="BZ990" s="690"/>
      <c r="CA990" s="690"/>
      <c r="CB990" s="690"/>
      <c r="CC990" s="691"/>
      <c r="CD990" s="691"/>
      <c r="CE990" s="692"/>
      <c r="CF990" s="692"/>
      <c r="CG990" s="692"/>
      <c r="CH990" s="693"/>
    </row>
    <row r="991">
      <c r="B991" s="687"/>
      <c r="C991" s="687"/>
      <c r="D991" s="688"/>
      <c r="E991" s="689"/>
      <c r="F991" s="690"/>
      <c r="G991" s="690"/>
      <c r="H991" s="690"/>
      <c r="I991" s="691"/>
      <c r="J991" s="691"/>
      <c r="K991" s="691"/>
      <c r="L991" s="692"/>
      <c r="M991" s="692"/>
      <c r="N991" s="692"/>
      <c r="O991" s="693"/>
      <c r="P991" s="688"/>
      <c r="Q991" s="688"/>
      <c r="R991" s="688"/>
      <c r="S991" s="688"/>
      <c r="T991" s="689"/>
      <c r="U991" s="689"/>
      <c r="V991" s="694"/>
      <c r="W991" s="694"/>
      <c r="X991" s="694"/>
      <c r="Y991" s="694"/>
      <c r="Z991" s="693"/>
      <c r="AA991" s="693"/>
      <c r="AB991" s="693"/>
      <c r="AC991" s="693"/>
      <c r="AD991" s="688"/>
      <c r="AE991" s="689"/>
      <c r="AF991" s="689"/>
      <c r="AG991" s="690"/>
      <c r="AH991" s="690"/>
      <c r="AI991" s="695"/>
      <c r="AJ991" s="695"/>
      <c r="AK991" s="692"/>
      <c r="AL991" s="692"/>
      <c r="AM991" s="693"/>
      <c r="AN991" s="688"/>
      <c r="AO991" s="688"/>
      <c r="AP991" s="688"/>
      <c r="AQ991" s="688"/>
      <c r="AR991" s="688"/>
      <c r="AS991" s="688"/>
      <c r="AT991" s="689"/>
      <c r="AU991" s="689"/>
      <c r="AV991" s="690"/>
      <c r="AW991" s="690"/>
      <c r="AX991" s="690"/>
      <c r="AY991" s="690"/>
      <c r="AZ991" s="690"/>
      <c r="BA991" s="690"/>
      <c r="BB991" s="695"/>
      <c r="BC991" s="695"/>
      <c r="BD991" s="695"/>
      <c r="BE991" s="695"/>
      <c r="BF991" s="692"/>
      <c r="BG991" s="692"/>
      <c r="BH991" s="692"/>
      <c r="BI991" s="692"/>
      <c r="BJ991" s="692"/>
      <c r="BK991" s="692"/>
      <c r="BL991" s="693"/>
      <c r="BM991" s="693"/>
      <c r="BN991" s="688"/>
      <c r="BO991" s="693"/>
      <c r="BP991" s="689"/>
      <c r="BQ991" s="694"/>
      <c r="BR991" s="687"/>
      <c r="BS991" s="687"/>
      <c r="BT991" s="687"/>
      <c r="BU991" s="687"/>
      <c r="BV991" s="687"/>
      <c r="BW991" s="688"/>
      <c r="BX991" s="688"/>
      <c r="BY991" s="689"/>
      <c r="BZ991" s="690"/>
      <c r="CA991" s="690"/>
      <c r="CB991" s="690"/>
      <c r="CC991" s="691"/>
      <c r="CD991" s="691"/>
      <c r="CE991" s="692"/>
      <c r="CF991" s="692"/>
      <c r="CG991" s="692"/>
      <c r="CH991" s="693"/>
    </row>
    <row r="992">
      <c r="B992" s="687"/>
      <c r="C992" s="687"/>
      <c r="D992" s="688"/>
      <c r="E992" s="689"/>
      <c r="F992" s="690"/>
      <c r="G992" s="690"/>
      <c r="H992" s="690"/>
      <c r="I992" s="691"/>
      <c r="J992" s="691"/>
      <c r="K992" s="691"/>
      <c r="L992" s="692"/>
      <c r="M992" s="692"/>
      <c r="N992" s="692"/>
      <c r="O992" s="693"/>
      <c r="P992" s="688"/>
      <c r="Q992" s="688"/>
      <c r="R992" s="688"/>
      <c r="S992" s="688"/>
      <c r="T992" s="689"/>
      <c r="U992" s="689"/>
      <c r="V992" s="694"/>
      <c r="W992" s="694"/>
      <c r="X992" s="694"/>
      <c r="Y992" s="694"/>
      <c r="Z992" s="693"/>
      <c r="AA992" s="693"/>
      <c r="AB992" s="693"/>
      <c r="AC992" s="693"/>
      <c r="AD992" s="688"/>
      <c r="AE992" s="689"/>
      <c r="AF992" s="689"/>
      <c r="AG992" s="690"/>
      <c r="AH992" s="690"/>
      <c r="AI992" s="695"/>
      <c r="AJ992" s="695"/>
      <c r="AK992" s="692"/>
      <c r="AL992" s="692"/>
      <c r="AM992" s="693"/>
      <c r="AN992" s="688"/>
      <c r="AO992" s="688"/>
      <c r="AP992" s="688"/>
      <c r="AQ992" s="688"/>
      <c r="AR992" s="688"/>
      <c r="AS992" s="688"/>
      <c r="AT992" s="689"/>
      <c r="AU992" s="689"/>
      <c r="AV992" s="690"/>
      <c r="AW992" s="690"/>
      <c r="AX992" s="690"/>
      <c r="AY992" s="690"/>
      <c r="AZ992" s="690"/>
      <c r="BA992" s="690"/>
      <c r="BB992" s="695"/>
      <c r="BC992" s="695"/>
      <c r="BD992" s="695"/>
      <c r="BE992" s="695"/>
      <c r="BF992" s="692"/>
      <c r="BG992" s="692"/>
      <c r="BH992" s="692"/>
      <c r="BI992" s="692"/>
      <c r="BJ992" s="692"/>
      <c r="BK992" s="692"/>
      <c r="BL992" s="693"/>
      <c r="BM992" s="693"/>
      <c r="BN992" s="688"/>
      <c r="BO992" s="693"/>
      <c r="BP992" s="689"/>
      <c r="BQ992" s="694"/>
      <c r="BR992" s="687"/>
      <c r="BS992" s="687"/>
      <c r="BT992" s="687"/>
      <c r="BU992" s="687"/>
      <c r="BV992" s="687"/>
      <c r="BW992" s="688"/>
      <c r="BX992" s="688"/>
      <c r="BY992" s="689"/>
      <c r="BZ992" s="690"/>
      <c r="CA992" s="690"/>
      <c r="CB992" s="690"/>
      <c r="CC992" s="691"/>
      <c r="CD992" s="691"/>
      <c r="CE992" s="692"/>
      <c r="CF992" s="692"/>
      <c r="CG992" s="692"/>
      <c r="CH992" s="693"/>
    </row>
    <row r="993">
      <c r="B993" s="687"/>
      <c r="C993" s="687"/>
      <c r="D993" s="688"/>
      <c r="E993" s="689"/>
      <c r="F993" s="690"/>
      <c r="G993" s="690"/>
      <c r="H993" s="690"/>
      <c r="I993" s="691"/>
      <c r="J993" s="691"/>
      <c r="K993" s="691"/>
      <c r="L993" s="692"/>
      <c r="M993" s="692"/>
      <c r="N993" s="692"/>
      <c r="O993" s="693"/>
      <c r="P993" s="688"/>
      <c r="Q993" s="688"/>
      <c r="R993" s="688"/>
      <c r="S993" s="688"/>
      <c r="T993" s="689"/>
      <c r="U993" s="689"/>
      <c r="V993" s="694"/>
      <c r="W993" s="694"/>
      <c r="X993" s="694"/>
      <c r="Y993" s="694"/>
      <c r="Z993" s="693"/>
      <c r="AA993" s="693"/>
      <c r="AB993" s="693"/>
      <c r="AC993" s="693"/>
      <c r="AD993" s="688"/>
      <c r="AE993" s="689"/>
      <c r="AF993" s="689"/>
      <c r="AG993" s="690"/>
      <c r="AH993" s="690"/>
      <c r="AI993" s="695"/>
      <c r="AJ993" s="695"/>
      <c r="AK993" s="692"/>
      <c r="AL993" s="692"/>
      <c r="AM993" s="693"/>
      <c r="AN993" s="688"/>
      <c r="AO993" s="688"/>
      <c r="AP993" s="688"/>
      <c r="AQ993" s="688"/>
      <c r="AR993" s="688"/>
      <c r="AS993" s="688"/>
      <c r="AT993" s="689"/>
      <c r="AU993" s="689"/>
      <c r="AV993" s="690"/>
      <c r="AW993" s="690"/>
      <c r="AX993" s="690"/>
      <c r="AY993" s="690"/>
      <c r="AZ993" s="690"/>
      <c r="BA993" s="690"/>
      <c r="BB993" s="695"/>
      <c r="BC993" s="695"/>
      <c r="BD993" s="695"/>
      <c r="BE993" s="695"/>
      <c r="BF993" s="692"/>
      <c r="BG993" s="692"/>
      <c r="BH993" s="692"/>
      <c r="BI993" s="692"/>
      <c r="BJ993" s="692"/>
      <c r="BK993" s="692"/>
      <c r="BL993" s="693"/>
      <c r="BM993" s="693"/>
      <c r="BN993" s="688"/>
      <c r="BO993" s="693"/>
      <c r="BP993" s="689"/>
      <c r="BQ993" s="694"/>
      <c r="BR993" s="687"/>
      <c r="BS993" s="687"/>
      <c r="BT993" s="687"/>
      <c r="BU993" s="687"/>
      <c r="BV993" s="687"/>
      <c r="BW993" s="688"/>
      <c r="BX993" s="688"/>
      <c r="BY993" s="689"/>
      <c r="BZ993" s="690"/>
      <c r="CA993" s="690"/>
      <c r="CB993" s="690"/>
      <c r="CC993" s="691"/>
      <c r="CD993" s="691"/>
      <c r="CE993" s="692"/>
      <c r="CF993" s="692"/>
      <c r="CG993" s="692"/>
      <c r="CH993" s="693"/>
    </row>
    <row r="994">
      <c r="B994" s="687"/>
      <c r="C994" s="687"/>
      <c r="D994" s="688"/>
      <c r="E994" s="689"/>
      <c r="F994" s="690"/>
      <c r="G994" s="690"/>
      <c r="H994" s="690"/>
      <c r="I994" s="691"/>
      <c r="J994" s="691"/>
      <c r="K994" s="691"/>
      <c r="L994" s="692"/>
      <c r="M994" s="692"/>
      <c r="N994" s="692"/>
      <c r="O994" s="693"/>
      <c r="P994" s="688"/>
      <c r="Q994" s="688"/>
      <c r="R994" s="688"/>
      <c r="S994" s="688"/>
      <c r="T994" s="689"/>
      <c r="U994" s="689"/>
      <c r="V994" s="694"/>
      <c r="W994" s="694"/>
      <c r="X994" s="694"/>
      <c r="Y994" s="694"/>
      <c r="Z994" s="693"/>
      <c r="AA994" s="693"/>
      <c r="AB994" s="693"/>
      <c r="AC994" s="693"/>
      <c r="AD994" s="688"/>
      <c r="AE994" s="689"/>
      <c r="AF994" s="689"/>
      <c r="AG994" s="690"/>
      <c r="AH994" s="690"/>
      <c r="AI994" s="695"/>
      <c r="AJ994" s="695"/>
      <c r="AK994" s="692"/>
      <c r="AL994" s="692"/>
      <c r="AM994" s="693"/>
      <c r="AN994" s="688"/>
      <c r="AO994" s="688"/>
      <c r="AP994" s="688"/>
      <c r="AQ994" s="688"/>
      <c r="AR994" s="688"/>
      <c r="AS994" s="688"/>
      <c r="AT994" s="689"/>
      <c r="AU994" s="689"/>
      <c r="AV994" s="690"/>
      <c r="AW994" s="690"/>
      <c r="AX994" s="690"/>
      <c r="AY994" s="690"/>
      <c r="AZ994" s="690"/>
      <c r="BA994" s="690"/>
      <c r="BB994" s="695"/>
      <c r="BC994" s="695"/>
      <c r="BD994" s="695"/>
      <c r="BE994" s="695"/>
      <c r="BF994" s="692"/>
      <c r="BG994" s="692"/>
      <c r="BH994" s="692"/>
      <c r="BI994" s="692"/>
      <c r="BJ994" s="692"/>
      <c r="BK994" s="692"/>
      <c r="BL994" s="693"/>
      <c r="BM994" s="693"/>
      <c r="BN994" s="688"/>
      <c r="BO994" s="693"/>
      <c r="BP994" s="689"/>
      <c r="BQ994" s="694"/>
      <c r="BR994" s="687"/>
      <c r="BS994" s="687"/>
      <c r="BT994" s="687"/>
      <c r="BU994" s="687"/>
      <c r="BV994" s="687"/>
      <c r="BW994" s="688"/>
      <c r="BX994" s="688"/>
      <c r="BY994" s="689"/>
      <c r="BZ994" s="690"/>
      <c r="CA994" s="690"/>
      <c r="CB994" s="690"/>
      <c r="CC994" s="691"/>
      <c r="CD994" s="691"/>
      <c r="CE994" s="692"/>
      <c r="CF994" s="692"/>
      <c r="CG994" s="692"/>
      <c r="CH994" s="693"/>
    </row>
    <row r="995">
      <c r="B995" s="687"/>
      <c r="C995" s="687"/>
      <c r="D995" s="688"/>
      <c r="E995" s="689"/>
      <c r="F995" s="690"/>
      <c r="G995" s="690"/>
      <c r="H995" s="690"/>
      <c r="I995" s="691"/>
      <c r="J995" s="691"/>
      <c r="K995" s="691"/>
      <c r="L995" s="692"/>
      <c r="M995" s="692"/>
      <c r="N995" s="692"/>
      <c r="O995" s="693"/>
      <c r="P995" s="688"/>
      <c r="Q995" s="688"/>
      <c r="R995" s="688"/>
      <c r="S995" s="688"/>
      <c r="T995" s="689"/>
      <c r="U995" s="689"/>
      <c r="V995" s="694"/>
      <c r="W995" s="694"/>
      <c r="X995" s="694"/>
      <c r="Y995" s="694"/>
      <c r="Z995" s="693"/>
      <c r="AA995" s="693"/>
      <c r="AB995" s="693"/>
      <c r="AC995" s="693"/>
      <c r="AD995" s="688"/>
      <c r="AE995" s="689"/>
      <c r="AF995" s="689"/>
      <c r="AG995" s="690"/>
      <c r="AH995" s="690"/>
      <c r="AI995" s="695"/>
      <c r="AJ995" s="695"/>
      <c r="AK995" s="692"/>
      <c r="AL995" s="692"/>
      <c r="AM995" s="693"/>
      <c r="AN995" s="688"/>
      <c r="AO995" s="688"/>
      <c r="AP995" s="688"/>
      <c r="AQ995" s="688"/>
      <c r="AR995" s="688"/>
      <c r="AS995" s="688"/>
      <c r="AT995" s="689"/>
      <c r="AU995" s="689"/>
      <c r="AV995" s="690"/>
      <c r="AW995" s="690"/>
      <c r="AX995" s="690"/>
      <c r="AY995" s="690"/>
      <c r="AZ995" s="690"/>
      <c r="BA995" s="690"/>
      <c r="BB995" s="695"/>
      <c r="BC995" s="695"/>
      <c r="BD995" s="695"/>
      <c r="BE995" s="695"/>
      <c r="BF995" s="692"/>
      <c r="BG995" s="692"/>
      <c r="BH995" s="692"/>
      <c r="BI995" s="692"/>
      <c r="BJ995" s="692"/>
      <c r="BK995" s="692"/>
      <c r="BL995" s="693"/>
      <c r="BM995" s="693"/>
      <c r="BN995" s="688"/>
      <c r="BO995" s="693"/>
      <c r="BP995" s="689"/>
      <c r="BQ995" s="694"/>
      <c r="BR995" s="687"/>
      <c r="BS995" s="687"/>
      <c r="BT995" s="687"/>
      <c r="BU995" s="687"/>
      <c r="BV995" s="687"/>
      <c r="BW995" s="688"/>
      <c r="BX995" s="688"/>
      <c r="BY995" s="689"/>
      <c r="BZ995" s="690"/>
      <c r="CA995" s="690"/>
      <c r="CB995" s="690"/>
      <c r="CC995" s="691"/>
      <c r="CD995" s="691"/>
      <c r="CE995" s="692"/>
      <c r="CF995" s="692"/>
      <c r="CG995" s="692"/>
      <c r="CH995" s="693"/>
    </row>
    <row r="996">
      <c r="B996" s="687"/>
      <c r="C996" s="687"/>
      <c r="D996" s="688"/>
      <c r="E996" s="689"/>
      <c r="F996" s="690"/>
      <c r="G996" s="690"/>
      <c r="H996" s="690"/>
      <c r="I996" s="691"/>
      <c r="J996" s="691"/>
      <c r="K996" s="691"/>
      <c r="L996" s="692"/>
      <c r="M996" s="692"/>
      <c r="N996" s="692"/>
      <c r="O996" s="693"/>
      <c r="P996" s="688"/>
      <c r="Q996" s="688"/>
      <c r="R996" s="688"/>
      <c r="S996" s="688"/>
      <c r="T996" s="689"/>
      <c r="U996" s="689"/>
      <c r="V996" s="694"/>
      <c r="W996" s="694"/>
      <c r="X996" s="694"/>
      <c r="Y996" s="694"/>
      <c r="Z996" s="693"/>
      <c r="AA996" s="693"/>
      <c r="AB996" s="693"/>
      <c r="AC996" s="693"/>
      <c r="AD996" s="688"/>
      <c r="AE996" s="689"/>
      <c r="AF996" s="689"/>
      <c r="AG996" s="690"/>
      <c r="AH996" s="690"/>
      <c r="AI996" s="695"/>
      <c r="AJ996" s="695"/>
      <c r="AK996" s="692"/>
      <c r="AL996" s="692"/>
      <c r="AM996" s="693"/>
      <c r="AN996" s="688"/>
      <c r="AO996" s="688"/>
      <c r="AP996" s="688"/>
      <c r="AQ996" s="688"/>
      <c r="AR996" s="688"/>
      <c r="AS996" s="688"/>
      <c r="AT996" s="689"/>
      <c r="AU996" s="689"/>
      <c r="AV996" s="690"/>
      <c r="AW996" s="690"/>
      <c r="AX996" s="690"/>
      <c r="AY996" s="690"/>
      <c r="AZ996" s="690"/>
      <c r="BA996" s="690"/>
      <c r="BB996" s="695"/>
      <c r="BC996" s="695"/>
      <c r="BD996" s="695"/>
      <c r="BE996" s="695"/>
      <c r="BF996" s="692"/>
      <c r="BG996" s="692"/>
      <c r="BH996" s="692"/>
      <c r="BI996" s="692"/>
      <c r="BJ996" s="692"/>
      <c r="BK996" s="692"/>
      <c r="BL996" s="693"/>
      <c r="BM996" s="693"/>
      <c r="BN996" s="688"/>
      <c r="BO996" s="693"/>
      <c r="BP996" s="689"/>
      <c r="BQ996" s="694"/>
      <c r="BR996" s="687"/>
      <c r="BS996" s="687"/>
      <c r="BT996" s="687"/>
      <c r="BU996" s="687"/>
      <c r="BV996" s="687"/>
      <c r="BW996" s="688"/>
      <c r="BX996" s="688"/>
      <c r="BY996" s="689"/>
      <c r="BZ996" s="690"/>
      <c r="CA996" s="690"/>
      <c r="CB996" s="690"/>
      <c r="CC996" s="691"/>
      <c r="CD996" s="691"/>
      <c r="CE996" s="692"/>
      <c r="CF996" s="692"/>
      <c r="CG996" s="692"/>
      <c r="CH996" s="693"/>
    </row>
    <row r="997">
      <c r="B997" s="687"/>
      <c r="C997" s="687"/>
      <c r="D997" s="688"/>
      <c r="E997" s="689"/>
      <c r="F997" s="690"/>
      <c r="G997" s="690"/>
      <c r="H997" s="690"/>
      <c r="I997" s="691"/>
      <c r="J997" s="691"/>
      <c r="K997" s="691"/>
      <c r="L997" s="692"/>
      <c r="M997" s="692"/>
      <c r="N997" s="692"/>
      <c r="O997" s="693"/>
      <c r="P997" s="688"/>
      <c r="Q997" s="688"/>
      <c r="R997" s="688"/>
      <c r="S997" s="688"/>
      <c r="T997" s="689"/>
      <c r="U997" s="689"/>
      <c r="V997" s="694"/>
      <c r="W997" s="694"/>
      <c r="X997" s="694"/>
      <c r="Y997" s="694"/>
      <c r="Z997" s="693"/>
      <c r="AA997" s="693"/>
      <c r="AB997" s="693"/>
      <c r="AC997" s="693"/>
      <c r="AD997" s="688"/>
      <c r="AE997" s="689"/>
      <c r="AF997" s="689"/>
      <c r="AG997" s="690"/>
      <c r="AH997" s="690"/>
      <c r="AI997" s="695"/>
      <c r="AJ997" s="695"/>
      <c r="AK997" s="692"/>
      <c r="AL997" s="692"/>
      <c r="AM997" s="693"/>
      <c r="AN997" s="688"/>
      <c r="AO997" s="688"/>
      <c r="AP997" s="688"/>
      <c r="AQ997" s="688"/>
      <c r="AR997" s="688"/>
      <c r="AS997" s="688"/>
      <c r="AT997" s="689"/>
      <c r="AU997" s="689"/>
      <c r="AV997" s="690"/>
      <c r="AW997" s="690"/>
      <c r="AX997" s="690"/>
      <c r="AY997" s="690"/>
      <c r="AZ997" s="690"/>
      <c r="BA997" s="690"/>
      <c r="BB997" s="695"/>
      <c r="BC997" s="695"/>
      <c r="BD997" s="695"/>
      <c r="BE997" s="695"/>
      <c r="BF997" s="692"/>
      <c r="BG997" s="692"/>
      <c r="BH997" s="692"/>
      <c r="BI997" s="692"/>
      <c r="BJ997" s="692"/>
      <c r="BK997" s="692"/>
      <c r="BL997" s="693"/>
      <c r="BM997" s="693"/>
      <c r="BN997" s="688"/>
      <c r="BO997" s="693"/>
      <c r="BP997" s="689"/>
      <c r="BQ997" s="694"/>
      <c r="BR997" s="687"/>
      <c r="BS997" s="687"/>
      <c r="BT997" s="687"/>
      <c r="BU997" s="687"/>
      <c r="BV997" s="687"/>
      <c r="BW997" s="688"/>
      <c r="BX997" s="688"/>
      <c r="BY997" s="689"/>
      <c r="BZ997" s="690"/>
      <c r="CA997" s="690"/>
      <c r="CB997" s="690"/>
      <c r="CC997" s="691"/>
      <c r="CD997" s="691"/>
      <c r="CE997" s="692"/>
      <c r="CF997" s="692"/>
      <c r="CG997" s="692"/>
      <c r="CH997" s="693"/>
    </row>
    <row r="998">
      <c r="B998" s="687"/>
      <c r="C998" s="687"/>
      <c r="D998" s="688"/>
      <c r="E998" s="689"/>
      <c r="F998" s="690"/>
      <c r="G998" s="690"/>
      <c r="H998" s="690"/>
      <c r="I998" s="691"/>
      <c r="J998" s="691"/>
      <c r="K998" s="691"/>
      <c r="L998" s="692"/>
      <c r="M998" s="692"/>
      <c r="N998" s="692"/>
      <c r="O998" s="693"/>
      <c r="P998" s="688"/>
      <c r="Q998" s="688"/>
      <c r="R998" s="688"/>
      <c r="S998" s="688"/>
      <c r="T998" s="689"/>
      <c r="U998" s="689"/>
      <c r="V998" s="694"/>
      <c r="W998" s="694"/>
      <c r="X998" s="694"/>
      <c r="Y998" s="694"/>
      <c r="Z998" s="693"/>
      <c r="AA998" s="693"/>
      <c r="AB998" s="693"/>
      <c r="AC998" s="693"/>
      <c r="AD998" s="688"/>
      <c r="AE998" s="689"/>
      <c r="AF998" s="689"/>
      <c r="AG998" s="690"/>
      <c r="AH998" s="690"/>
      <c r="AI998" s="695"/>
      <c r="AJ998" s="695"/>
      <c r="AK998" s="692"/>
      <c r="AL998" s="692"/>
      <c r="AM998" s="693"/>
      <c r="AN998" s="688"/>
      <c r="AO998" s="688"/>
      <c r="AP998" s="688"/>
      <c r="AQ998" s="688"/>
      <c r="AR998" s="688"/>
      <c r="AS998" s="688"/>
      <c r="AT998" s="689"/>
      <c r="AU998" s="689"/>
      <c r="AV998" s="690"/>
      <c r="AW998" s="690"/>
      <c r="AX998" s="690"/>
      <c r="AY998" s="690"/>
      <c r="AZ998" s="690"/>
      <c r="BA998" s="690"/>
      <c r="BB998" s="695"/>
      <c r="BC998" s="695"/>
      <c r="BD998" s="695"/>
      <c r="BE998" s="695"/>
      <c r="BF998" s="692"/>
      <c r="BG998" s="692"/>
      <c r="BH998" s="692"/>
      <c r="BI998" s="692"/>
      <c r="BJ998" s="692"/>
      <c r="BK998" s="692"/>
      <c r="BL998" s="693"/>
      <c r="BM998" s="693"/>
      <c r="BN998" s="688"/>
      <c r="BO998" s="693"/>
      <c r="BP998" s="689"/>
      <c r="BQ998" s="694"/>
      <c r="BR998" s="687"/>
      <c r="BS998" s="687"/>
      <c r="BT998" s="687"/>
      <c r="BU998" s="687"/>
      <c r="BV998" s="687"/>
      <c r="BW998" s="688"/>
      <c r="BX998" s="688"/>
      <c r="BY998" s="689"/>
      <c r="BZ998" s="690"/>
      <c r="CA998" s="690"/>
      <c r="CB998" s="690"/>
      <c r="CC998" s="691"/>
      <c r="CD998" s="691"/>
      <c r="CE998" s="692"/>
      <c r="CF998" s="692"/>
      <c r="CG998" s="692"/>
      <c r="CH998" s="693"/>
    </row>
    <row r="999">
      <c r="B999" s="687"/>
      <c r="C999" s="687"/>
      <c r="D999" s="688"/>
      <c r="E999" s="689"/>
      <c r="F999" s="690"/>
      <c r="G999" s="690"/>
      <c r="H999" s="690"/>
      <c r="I999" s="691"/>
      <c r="J999" s="691"/>
      <c r="K999" s="691"/>
      <c r="L999" s="692"/>
      <c r="M999" s="692"/>
      <c r="N999" s="692"/>
      <c r="O999" s="693"/>
      <c r="P999" s="688"/>
      <c r="Q999" s="688"/>
      <c r="R999" s="688"/>
      <c r="S999" s="688"/>
      <c r="T999" s="689"/>
      <c r="U999" s="689"/>
      <c r="V999" s="694"/>
      <c r="W999" s="694"/>
      <c r="X999" s="694"/>
      <c r="Y999" s="694"/>
      <c r="Z999" s="693"/>
      <c r="AA999" s="693"/>
      <c r="AB999" s="693"/>
      <c r="AC999" s="693"/>
      <c r="AD999" s="688"/>
      <c r="AE999" s="689"/>
      <c r="AF999" s="689"/>
      <c r="AG999" s="690"/>
      <c r="AH999" s="690"/>
      <c r="AI999" s="695"/>
      <c r="AJ999" s="695"/>
      <c r="AK999" s="692"/>
      <c r="AL999" s="692"/>
      <c r="AM999" s="693"/>
      <c r="AN999" s="688"/>
      <c r="AO999" s="688"/>
      <c r="AP999" s="688"/>
      <c r="AQ999" s="688"/>
      <c r="AR999" s="688"/>
      <c r="AS999" s="688"/>
      <c r="AT999" s="689"/>
      <c r="AU999" s="689"/>
      <c r="AV999" s="690"/>
      <c r="AW999" s="690"/>
      <c r="AX999" s="690"/>
      <c r="AY999" s="690"/>
      <c r="AZ999" s="690"/>
      <c r="BA999" s="690"/>
      <c r="BB999" s="695"/>
      <c r="BC999" s="695"/>
      <c r="BD999" s="695"/>
      <c r="BE999" s="695"/>
      <c r="BF999" s="692"/>
      <c r="BG999" s="692"/>
      <c r="BH999" s="692"/>
      <c r="BI999" s="692"/>
      <c r="BJ999" s="692"/>
      <c r="BK999" s="692"/>
      <c r="BL999" s="693"/>
      <c r="BM999" s="693"/>
      <c r="BN999" s="688"/>
      <c r="BO999" s="693"/>
      <c r="BP999" s="689"/>
      <c r="BQ999" s="694"/>
      <c r="BR999" s="687"/>
      <c r="BS999" s="687"/>
      <c r="BT999" s="687"/>
      <c r="BU999" s="687"/>
      <c r="BV999" s="687"/>
      <c r="BW999" s="688"/>
      <c r="BX999" s="688"/>
      <c r="BY999" s="689"/>
      <c r="BZ999" s="690"/>
      <c r="CA999" s="690"/>
      <c r="CB999" s="690"/>
      <c r="CC999" s="691"/>
      <c r="CD999" s="691"/>
      <c r="CE999" s="692"/>
      <c r="CF999" s="692"/>
      <c r="CG999" s="692"/>
      <c r="CH999" s="693"/>
    </row>
    <row r="1000">
      <c r="B1000" s="687"/>
      <c r="C1000" s="687"/>
      <c r="D1000" s="688"/>
      <c r="E1000" s="689"/>
      <c r="F1000" s="690"/>
      <c r="G1000" s="690"/>
      <c r="H1000" s="690"/>
      <c r="I1000" s="691"/>
      <c r="J1000" s="691"/>
      <c r="K1000" s="691"/>
      <c r="L1000" s="692"/>
      <c r="M1000" s="692"/>
      <c r="N1000" s="692"/>
      <c r="O1000" s="693"/>
      <c r="P1000" s="688"/>
      <c r="Q1000" s="688"/>
      <c r="R1000" s="688"/>
      <c r="S1000" s="688"/>
      <c r="T1000" s="689"/>
      <c r="U1000" s="689"/>
      <c r="V1000" s="694"/>
      <c r="W1000" s="694"/>
      <c r="X1000" s="694"/>
      <c r="Y1000" s="694"/>
      <c r="Z1000" s="693"/>
      <c r="AA1000" s="693"/>
      <c r="AB1000" s="693"/>
      <c r="AC1000" s="693"/>
      <c r="AD1000" s="688"/>
      <c r="AE1000" s="689"/>
      <c r="AF1000" s="689"/>
      <c r="AG1000" s="690"/>
      <c r="AH1000" s="690"/>
      <c r="AI1000" s="695"/>
      <c r="AJ1000" s="695"/>
      <c r="AK1000" s="692"/>
      <c r="AL1000" s="692"/>
      <c r="AM1000" s="693"/>
      <c r="AN1000" s="688"/>
      <c r="AO1000" s="688"/>
      <c r="AP1000" s="688"/>
      <c r="AQ1000" s="688"/>
      <c r="AR1000" s="688"/>
      <c r="AS1000" s="688"/>
      <c r="AT1000" s="689"/>
      <c r="AU1000" s="689"/>
      <c r="AV1000" s="690"/>
      <c r="AW1000" s="690"/>
      <c r="AX1000" s="690"/>
      <c r="AY1000" s="690"/>
      <c r="AZ1000" s="690"/>
      <c r="BA1000" s="690"/>
      <c r="BB1000" s="695"/>
      <c r="BC1000" s="695"/>
      <c r="BD1000" s="695"/>
      <c r="BE1000" s="695"/>
      <c r="BF1000" s="692"/>
      <c r="BG1000" s="692"/>
      <c r="BH1000" s="692"/>
      <c r="BI1000" s="692"/>
      <c r="BJ1000" s="692"/>
      <c r="BK1000" s="692"/>
      <c r="BL1000" s="693"/>
      <c r="BM1000" s="693"/>
      <c r="BN1000" s="688"/>
      <c r="BO1000" s="693"/>
      <c r="BP1000" s="689"/>
      <c r="BQ1000" s="694"/>
      <c r="BR1000" s="687"/>
      <c r="BS1000" s="687"/>
      <c r="BT1000" s="687"/>
      <c r="BU1000" s="687"/>
      <c r="BV1000" s="687"/>
      <c r="BW1000" s="688"/>
      <c r="BX1000" s="688"/>
      <c r="BY1000" s="689"/>
      <c r="BZ1000" s="690"/>
      <c r="CA1000" s="690"/>
      <c r="CB1000" s="690"/>
      <c r="CC1000" s="691"/>
      <c r="CD1000" s="691"/>
      <c r="CE1000" s="692"/>
      <c r="CF1000" s="692"/>
      <c r="CG1000" s="692"/>
      <c r="CH1000" s="693"/>
    </row>
  </sheetData>
  <mergeCells count="19">
    <mergeCell ref="F1:H1"/>
    <mergeCell ref="I1:K1"/>
    <mergeCell ref="L1:N1"/>
    <mergeCell ref="P1:S1"/>
    <mergeCell ref="T1:U1"/>
    <mergeCell ref="V1:Y1"/>
    <mergeCell ref="Z1:AC1"/>
    <mergeCell ref="BN1:BV1"/>
    <mergeCell ref="BW1:BX1"/>
    <mergeCell ref="BZ1:CB1"/>
    <mergeCell ref="CC1:CD1"/>
    <mergeCell ref="CE1:CG1"/>
    <mergeCell ref="AD1:AM1"/>
    <mergeCell ref="AN1:AS1"/>
    <mergeCell ref="AT1:AU1"/>
    <mergeCell ref="AV1:BA1"/>
    <mergeCell ref="BB1:BE1"/>
    <mergeCell ref="BF1:BK1"/>
    <mergeCell ref="BL1:BM1"/>
  </mergeCells>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4" max="4" width="19.25"/>
  </cols>
  <sheetData>
    <row r="1">
      <c r="A1" s="696" t="str">
        <f>IFERROR(__xludf.DUMMYFUNCTION("IMPORTRANGE(""https://docs.google.com/spreadsheets/d/1Y3WN3FCvkhPxNz-x9K21_-tv2FZILeMzWwvuzc944Yk/edit#gid=0"",""Sheet1!A1:BG400"")"),"")</f>
        <v/>
      </c>
      <c r="B1" s="697"/>
      <c r="C1" s="697" t="str">
        <f>IFERROR(__xludf.DUMMYFUNCTION("""COMPUTED_VALUE"""),"Country")</f>
        <v>Country</v>
      </c>
      <c r="D1" s="697" t="str">
        <f>IFERROR(__xludf.DUMMYFUNCTION("""COMPUTED_VALUE"""),"Drug")</f>
        <v>Drug</v>
      </c>
      <c r="E1" s="697" t="str">
        <f>IFERROR(__xludf.DUMMYFUNCTION("""COMPUTED_VALUE"""),"Dosage Form")</f>
        <v>Dosage Form</v>
      </c>
      <c r="F1" s="697" t="str">
        <f>IFERROR(__xludf.DUMMYFUNCTION("""COMPUTED_VALUE"""),"Dosage Schedule")</f>
        <v>Dosage Schedule</v>
      </c>
      <c r="G1" s="697" t="str">
        <f>IFERROR(__xludf.DUMMYFUNCTION("""COMPUTED_VALUE"""),"Total Dose")</f>
        <v>Total Dose</v>
      </c>
      <c r="H1" s="697" t="str">
        <f>IFERROR(__xludf.DUMMYFUNCTION("""COMPUTED_VALUE"""),"1 day")</f>
        <v>1 day</v>
      </c>
      <c r="I1" s="697" t="str">
        <f>IFERROR(__xludf.DUMMYFUNCTION("""COMPUTED_VALUE"""),"2 days")</f>
        <v>2 days</v>
      </c>
      <c r="J1" s="697" t="str">
        <f>IFERROR(__xludf.DUMMYFUNCTION("""COMPUTED_VALUE"""),"3 days")</f>
        <v>3 days</v>
      </c>
      <c r="K1" s="697" t="str">
        <f>IFERROR(__xludf.DUMMYFUNCTION("""COMPUTED_VALUE"""),"4 days")</f>
        <v>4 days</v>
      </c>
      <c r="L1" s="697" t="str">
        <f>IFERROR(__xludf.DUMMYFUNCTION("""COMPUTED_VALUE""")," 7 Days ")</f>
        <v> 7 Days </v>
      </c>
      <c r="M1" s="697" t="str">
        <f>IFERROR(__xludf.DUMMYFUNCTION("""COMPUTED_VALUE"""),"9 days ")</f>
        <v>9 days </v>
      </c>
      <c r="N1" s="697" t="str">
        <f>IFERROR(__xludf.DUMMYFUNCTION("""COMPUTED_VALUE"""),"14 Days")</f>
        <v>14 Days</v>
      </c>
      <c r="O1" s="697" t="str">
        <f>IFERROR(__xludf.DUMMYFUNCTION("""COMPUTED_VALUE"""),"1 month ")</f>
        <v>1 month </v>
      </c>
      <c r="P1" s="697" t="str">
        <f>IFERROR(__xludf.DUMMYFUNCTION("""COMPUTED_VALUE"""),"2 months")</f>
        <v>2 months</v>
      </c>
      <c r="Q1" s="697" t="str">
        <f>IFERROR(__xludf.DUMMYFUNCTION("""COMPUTED_VALUE"""),"3 months ")</f>
        <v>3 months </v>
      </c>
      <c r="R1" s="697" t="str">
        <f>IFERROR(__xludf.DUMMYFUNCTION("""COMPUTED_VALUE"""),"4 months")</f>
        <v>4 months</v>
      </c>
      <c r="S1" s="697" t="str">
        <f>IFERROR(__xludf.DUMMYFUNCTION("""COMPUTED_VALUE"""),"6 months ")</f>
        <v>6 months </v>
      </c>
      <c r="T1" s="697" t="str">
        <f>IFERROR(__xludf.DUMMYFUNCTION("""COMPUTED_VALUE"""),"8 months")</f>
        <v>8 months</v>
      </c>
      <c r="U1" s="697" t="str">
        <f>IFERROR(__xludf.DUMMYFUNCTION("""COMPUTED_VALUE"""),"9 months")</f>
        <v>9 months</v>
      </c>
      <c r="V1" s="697" t="str">
        <f>IFERROR(__xludf.DUMMYFUNCTION("""COMPUTED_VALUE"""),"11 months")</f>
        <v>11 months</v>
      </c>
      <c r="W1" s="697" t="str">
        <f>IFERROR(__xludf.DUMMYFUNCTION("""COMPUTED_VALUE"""),"12 months")</f>
        <v>12 months</v>
      </c>
      <c r="X1" s="697" t="str">
        <f>IFERROR(__xludf.DUMMYFUNCTION("""COMPUTED_VALUE"""),"18 months")</f>
        <v>18 months</v>
      </c>
      <c r="Y1" s="697" t="str">
        <f>IFERROR(__xludf.DUMMYFUNCTION("""COMPUTED_VALUE"""),"21 months")</f>
        <v>21 months</v>
      </c>
      <c r="Z1" s="697" t="str">
        <f>IFERROR(__xludf.DUMMYFUNCTION("""COMPUTED_VALUE"""),"24 months")</f>
        <v>24 months</v>
      </c>
      <c r="AA1" s="697" t="str">
        <f>IFERROR(__xludf.DUMMYFUNCTION("""COMPUTED_VALUE"""),"25 months")</f>
        <v>25 months</v>
      </c>
      <c r="AB1" s="697" t="str">
        <f>IFERROR(__xludf.DUMMYFUNCTION("""COMPUTED_VALUE"""),"3 years")</f>
        <v>3 years</v>
      </c>
      <c r="AC1" s="697" t="str">
        <f>IFERROR(__xludf.DUMMYFUNCTION("""COMPUTED_VALUE"""),"4 years ")</f>
        <v>4 years </v>
      </c>
      <c r="AD1" s="697" t="str">
        <f>IFERROR(__xludf.DUMMYFUNCTION("""COMPUTED_VALUE"""),"5 years")</f>
        <v>5 years</v>
      </c>
      <c r="AE1" s="697" t="str">
        <f>IFERROR(__xludf.DUMMYFUNCTION("""COMPUTED_VALUE"""),"Egg Reduction Rate")</f>
        <v>Egg Reduction Rate</v>
      </c>
      <c r="AF1" s="697" t="str">
        <f>IFERROR(__xludf.DUMMYFUNCTION("""COMPUTED_VALUE"""),"1 month")</f>
        <v>1 month</v>
      </c>
      <c r="AG1" s="697" t="str">
        <f>IFERROR(__xludf.DUMMYFUNCTION("""COMPUTED_VALUE"""),"2 months")</f>
        <v>2 months</v>
      </c>
      <c r="AH1" s="697" t="str">
        <f>IFERROR(__xludf.DUMMYFUNCTION("""COMPUTED_VALUE"""),"6 months")</f>
        <v>6 months</v>
      </c>
      <c r="AI1" s="697" t="str">
        <f>IFERROR(__xludf.DUMMYFUNCTION("""COMPUTED_VALUE"""),"8 months")</f>
        <v>8 months</v>
      </c>
      <c r="AJ1" s="697" t="str">
        <f>IFERROR(__xludf.DUMMYFUNCTION("""COMPUTED_VALUE"""),"10 months")</f>
        <v>10 months</v>
      </c>
      <c r="AK1" s="697" t="str">
        <f>IFERROR(__xludf.DUMMYFUNCTION("""COMPUTED_VALUE"""),"Nodulectomy")</f>
        <v>Nodulectomy</v>
      </c>
      <c r="AL1" s="697" t="str">
        <f>IFERROR(__xludf.DUMMYFUNCTION("""COMPUTED_VALUE"""),"1 month")</f>
        <v>1 month</v>
      </c>
      <c r="AM1" s="697" t="str">
        <f>IFERROR(__xludf.DUMMYFUNCTION("""COMPUTED_VALUE"""),"6 months")</f>
        <v>6 months</v>
      </c>
      <c r="AN1" s="697" t="str">
        <f>IFERROR(__xludf.DUMMYFUNCTION("""COMPUTED_VALUE"""),"Cure rate")</f>
        <v>Cure rate</v>
      </c>
      <c r="AO1" s="698" t="str">
        <f>IFERROR(__xludf.DUMMYFUNCTION("""COMPUTED_VALUE"""),"Cleaned CR")</f>
        <v>Cleaned CR</v>
      </c>
      <c r="AP1" s="697" t="str">
        <f>IFERROR(__xludf.DUMMYFUNCTION("""COMPUTED_VALUE"""),"Endpoint ")</f>
        <v>Endpoint </v>
      </c>
      <c r="AQ1" s="697" t="str">
        <f>IFERROR(__xludf.DUMMYFUNCTION("""COMPUTED_VALUE"""),"Study Area")</f>
        <v>Study Area</v>
      </c>
      <c r="AR1" s="697" t="str">
        <f>IFERROR(__xludf.DUMMYFUNCTION("""COMPUTED_VALUE"""),"Year")</f>
        <v>Year</v>
      </c>
      <c r="AS1" s="697" t="str">
        <f>IFERROR(__xludf.DUMMYFUNCTION("""COMPUTED_VALUE"""),"Sample Size")</f>
        <v>Sample Size</v>
      </c>
      <c r="AT1" s="697" t="str">
        <f>IFERROR(__xludf.DUMMYFUNCTION("""COMPUTED_VALUE"""),"Duration of Study")</f>
        <v>Duration of Study</v>
      </c>
      <c r="AU1" s="697" t="str">
        <f>IFERROR(__xludf.DUMMYFUNCTION("""COMPUTED_VALUE"""),"References")</f>
        <v>References</v>
      </c>
      <c r="AV1" s="697" t="str">
        <f>IFERROR(__xludf.DUMMYFUNCTION("""COMPUTED_VALUE"""),"Sex")</f>
        <v>Sex</v>
      </c>
      <c r="AW1" s="697" t="str">
        <f>IFERROR(__xludf.DUMMYFUNCTION("""COMPUTED_VALUE"""),"Age")</f>
        <v>Age</v>
      </c>
      <c r="AX1" s="697" t="str">
        <f>IFERROR(__xludf.DUMMYFUNCTION("""COMPUTED_VALUE"""),"Inclusion criteria")</f>
        <v>Inclusion criteria</v>
      </c>
      <c r="AY1" s="697" t="str">
        <f>IFERROR(__xludf.DUMMYFUNCTION("""COMPUTED_VALUE"""),"Blind/Double Blind")</f>
        <v>Blind/Double Blind</v>
      </c>
      <c r="AZ1" s="697" t="str">
        <f>IFERROR(__xludf.DUMMYFUNCTION("""COMPUTED_VALUE"""),"Randomized?")</f>
        <v>Randomized?</v>
      </c>
      <c r="BA1" s="697" t="str">
        <f>IFERROR(__xludf.DUMMYFUNCTION("""COMPUTED_VALUE"""),"Endpoints (primary, secondary)")</f>
        <v>Endpoints (primary, secondary)</v>
      </c>
      <c r="BB1" s="697" t="str">
        <f>IFERROR(__xludf.DUMMYFUNCTION("""COMPUTED_VALUE"""),"Other")</f>
        <v>Other</v>
      </c>
      <c r="BC1" s="697" t="str">
        <f>IFERROR(__xludf.DUMMYFUNCTION("""COMPUTED_VALUE"""),"Efficacy/conclusion")</f>
        <v>Efficacy/conclusion</v>
      </c>
      <c r="BD1" s="697"/>
      <c r="BE1" s="697" t="str">
        <f>IFERROR(__xludf.DUMMYFUNCTION("""COMPUTED_VALUE"""),"Notes")</f>
        <v>Notes</v>
      </c>
      <c r="BF1" s="697" t="str">
        <f>IFERROR(__xludf.DUMMYFUNCTION("""COMPUTED_VALUE"""),"Any Missing Data?")</f>
        <v>Any Missing Data?</v>
      </c>
      <c r="BG1" s="697" t="str">
        <f>IFERROR(__xludf.DUMMYFUNCTION("""COMPUTED_VALUE"""),"x=exclusion")</f>
        <v>x=exclusion</v>
      </c>
    </row>
    <row r="2" hidden="1">
      <c r="A2" s="697"/>
      <c r="B2" s="697" t="str">
        <f>IFERROR(__xludf.DUMMYFUNCTION("""COMPUTED_VALUE"""),"Banilc, D. et al.")</f>
        <v>Banilc, D. et al.</v>
      </c>
      <c r="C2" s="697" t="str">
        <f>IFERROR(__xludf.DUMMYFUNCTION("""COMPUTED_VALUE"""),"Brazil")</f>
        <v>Brazil</v>
      </c>
      <c r="D2" s="697" t="str">
        <f>IFERROR(__xludf.DUMMYFUNCTION("""COMPUTED_VALUE"""),"Ivermectin")</f>
        <v>Ivermectin</v>
      </c>
      <c r="E2" s="697" t="str">
        <f>IFERROR(__xludf.DUMMYFUNCTION("""COMPUTED_VALUE"""),"150-200ug/kg")</f>
        <v>150-200ug/kg</v>
      </c>
      <c r="F2" s="697">
        <f>IFERROR(__xludf.DUMMYFUNCTION("""COMPUTED_VALUE"""),6.0)</f>
        <v>6</v>
      </c>
      <c r="G2" s="697" t="str">
        <f>IFERROR(__xludf.DUMMYFUNCTION("""COMPUTED_VALUE"""),"1200ug/kg")</f>
        <v>1200ug/kg</v>
      </c>
      <c r="H2" s="697"/>
      <c r="I2" s="697"/>
      <c r="J2" s="697"/>
      <c r="K2" s="697"/>
      <c r="L2" s="697"/>
      <c r="M2" s="697"/>
      <c r="N2" s="697"/>
      <c r="O2" s="697"/>
      <c r="P2" s="697"/>
      <c r="Q2" s="697"/>
      <c r="R2" s="697"/>
      <c r="S2" s="698">
        <f>IFERROR(__xludf.DUMMYFUNCTION("""COMPUTED_VALUE"""),0.239)</f>
        <v>0.239</v>
      </c>
      <c r="T2" s="697"/>
      <c r="U2" s="697"/>
      <c r="V2" s="697"/>
      <c r="W2" s="697"/>
      <c r="X2" s="698">
        <f>IFERROR(__xludf.DUMMYFUNCTION("""COMPUTED_VALUE"""),0.399)</f>
        <v>0.399</v>
      </c>
      <c r="Y2" s="697"/>
      <c r="Z2" s="698">
        <f>IFERROR(__xludf.DUMMYFUNCTION("""COMPUTED_VALUE"""),0.504)</f>
        <v>0.504</v>
      </c>
      <c r="AA2" s="697"/>
      <c r="AB2" s="698">
        <f>IFERROR(__xludf.DUMMYFUNCTION("""COMPUTED_VALUE"""),0.547)</f>
        <v>0.547</v>
      </c>
      <c r="AC2" s="697"/>
      <c r="AD2" s="697"/>
      <c r="AE2" s="697" t="str">
        <f>IFERROR(__xludf.DUMMYFUNCTION("""COMPUTED_VALUE"""),"n/a")</f>
        <v>n/a</v>
      </c>
      <c r="AF2" s="697"/>
      <c r="AG2" s="697"/>
      <c r="AH2" s="697"/>
      <c r="AI2" s="697"/>
      <c r="AJ2" s="697"/>
      <c r="AK2" s="697"/>
      <c r="AL2" s="697"/>
      <c r="AM2" s="697"/>
      <c r="AN2" s="698">
        <f>IFERROR(__xludf.DUMMYFUNCTION("""COMPUTED_VALUE"""),0.239)</f>
        <v>0.239</v>
      </c>
      <c r="AO2" s="698">
        <f>IFERROR(__xludf.DUMMYFUNCTION("""COMPUTED_VALUE"""),0.239)</f>
        <v>0.239</v>
      </c>
      <c r="AP2" s="697" t="str">
        <f>IFERROR(__xludf.DUMMYFUNCTION("""COMPUTED_VALUE"""),"Mf reduction")</f>
        <v>Mf reduction</v>
      </c>
      <c r="AQ2" s="697" t="str">
        <f>IFERROR(__xludf.DUMMYFUNCTION("""COMPUTED_VALUE"""),"Roraima State")</f>
        <v>Roraima State</v>
      </c>
      <c r="AR2" s="697">
        <f>IFERROR(__xludf.DUMMYFUNCTION("""COMPUTED_VALUE"""),2004.0)</f>
        <v>2004</v>
      </c>
      <c r="AS2" s="697">
        <f>IFERROR(__xludf.DUMMYFUNCTION("""COMPUTED_VALUE"""),113.0)</f>
        <v>113</v>
      </c>
      <c r="AT2" s="697" t="str">
        <f>IFERROR(__xludf.DUMMYFUNCTION("""COMPUTED_VALUE"""),"3 years")</f>
        <v>3 years</v>
      </c>
      <c r="AU2" s="699" t="str">
        <f>IFERROR(__xludf.DUMMYFUNCTION("""COMPUTED_VALUE"""),"Dalma M. Banic, Regina H.S. Calvão-Brito, Verônica Marchon-Silva, Joana C. Schuertez, Luís Renerys de Lima Pinheiro, Marilene da Costa Alves, Antônio Têva, Marilza Maia-Herzog, Impact of 3 years ivermectin treatment on onchocerciasis in Yanomami communiti"&amp;"es in the Brazilian Amazon, Acta Tropica, Volume 112, Issue 2, November 2009, Pages 125-130, ISSN 0001-706X")</f>
        <v>Dalma M. Banic, Regina H.S. Calvão-Brito, Verônica Marchon-Silva, Joana C. Schuertez, Luís Renerys de Lima Pinheiro, Marilene da Costa Alves, Antônio Têva, Marilza Maia-Herzog, Impact of 3 years ivermectin treatment on onchocerciasis in Yanomami communities in the Brazilian Amazon, Acta Tropica, Volume 112, Issue 2, November 2009, Pages 125-130, ISSN 0001-706X</v>
      </c>
      <c r="AV2" s="697" t="str">
        <f>IFERROR(__xludf.DUMMYFUNCTION("""COMPUTED_VALUE"""),"58 F, 55 M")</f>
        <v>58 F, 55 M</v>
      </c>
      <c r="AW2" s="697" t="str">
        <f>IFERROR(__xludf.DUMMYFUNCTION("""COMPUTED_VALUE"""),"5-60; 20 and older mf data")</f>
        <v>5-60; 20 and older mf data</v>
      </c>
      <c r="AX2" s="697" t="str">
        <f>IFERROR(__xludf.DUMMYFUNCTION("""COMPUTED_VALUE"""),"Inclusion Criteria: Individuals previously chosen for ivermectin treatment by national onchocerciasis control programs (National Foundation of Health, FUNASA); Exclusion criteria: Based upon usual exclusion criteria for ivermectin treatment: patients youn"&amp;"ger than 5 or weighed less than 15 kg, pregnant women, nursing mothers, history of neurological disorders")</f>
        <v>Inclusion Criteria: Individuals previously chosen for ivermectin treatment by national onchocerciasis control programs (National Foundation of Health, FUNASA); Exclusion criteria: Based upon usual exclusion criteria for ivermectin treatment: patients younger than 5 or weighed less than 15 kg, pregnant women, nursing mothers, history of neurological disorders</v>
      </c>
      <c r="AY2" s="697" t="str">
        <f>IFERROR(__xludf.DUMMYFUNCTION("""COMPUTED_VALUE"""),"No")</f>
        <v>No</v>
      </c>
      <c r="AZ2" s="697" t="str">
        <f>IFERROR(__xludf.DUMMYFUNCTION("""COMPUTED_VALUE"""),"No")</f>
        <v>No</v>
      </c>
      <c r="BA2" s="697"/>
      <c r="BB2" s="697"/>
      <c r="BC2" s="697"/>
      <c r="BD2" s="697"/>
      <c r="BE2" s="697"/>
      <c r="BF2" s="697"/>
      <c r="BG2" s="697" t="str">
        <f>IFERROR(__xludf.DUMMYFUNCTION("""COMPUTED_VALUE"""),"x")</f>
        <v>x</v>
      </c>
    </row>
    <row r="3" hidden="1">
      <c r="A3" s="697"/>
      <c r="B3" s="697" t="str">
        <f>IFERROR(__xludf.DUMMYFUNCTION("""COMPUTED_VALUE"""),"Pion, Sebastien et al.")</f>
        <v>Pion, Sebastien et al.</v>
      </c>
      <c r="C3" s="697" t="str">
        <f>IFERROR(__xludf.DUMMYFUNCTION("""COMPUTED_VALUE"""),"Cameroon")</f>
        <v>Cameroon</v>
      </c>
      <c r="D3" s="697" t="str">
        <f>IFERROR(__xludf.DUMMYFUNCTION("""COMPUTED_VALUE"""),"Ivermectin")</f>
        <v>Ivermectin</v>
      </c>
      <c r="E3" s="697" t="str">
        <f>IFERROR(__xludf.DUMMYFUNCTION("""COMPUTED_VALUE"""),"3000-12000ug")</f>
        <v>3000-12000ug</v>
      </c>
      <c r="F3" s="697">
        <f>IFERROR(__xludf.DUMMYFUNCTION("""COMPUTED_VALUE"""),1.0)</f>
        <v>1</v>
      </c>
      <c r="G3" s="697" t="str">
        <f>IFERROR(__xludf.DUMMYFUNCTION("""COMPUTED_VALUE"""),"
3000-12000ug")</f>
        <v>
3000-12000ug</v>
      </c>
      <c r="H3" s="697"/>
      <c r="I3" s="697"/>
      <c r="J3" s="697"/>
      <c r="K3" s="697"/>
      <c r="L3" s="697"/>
      <c r="M3" s="697"/>
      <c r="N3" s="697"/>
      <c r="O3" s="697"/>
      <c r="P3" s="697"/>
      <c r="Q3" s="697"/>
      <c r="R3" s="697"/>
      <c r="S3" s="698">
        <f>IFERROR(__xludf.DUMMYFUNCTION("""COMPUTED_VALUE"""),0.852)</f>
        <v>0.852</v>
      </c>
      <c r="T3" s="697"/>
      <c r="U3" s="697"/>
      <c r="V3" s="697"/>
      <c r="W3" s="697"/>
      <c r="X3" s="697"/>
      <c r="Y3" s="697"/>
      <c r="Z3" s="697"/>
      <c r="AA3" s="697"/>
      <c r="AB3" s="697"/>
      <c r="AC3" s="697"/>
      <c r="AD3" s="697"/>
      <c r="AE3" s="697"/>
      <c r="AF3" s="697"/>
      <c r="AG3" s="697"/>
      <c r="AH3" s="697"/>
      <c r="AI3" s="697"/>
      <c r="AJ3" s="697"/>
      <c r="AK3" s="697"/>
      <c r="AL3" s="697"/>
      <c r="AM3" s="697"/>
      <c r="AN3" s="698">
        <f>IFERROR(__xludf.DUMMYFUNCTION("""COMPUTED_VALUE"""),0.852)</f>
        <v>0.852</v>
      </c>
      <c r="AO3" s="698">
        <f>IFERROR(__xludf.DUMMYFUNCTION("""COMPUTED_VALUE"""),0.852)</f>
        <v>0.852</v>
      </c>
      <c r="AP3" s="697" t="str">
        <f>IFERROR(__xludf.DUMMYFUNCTION("""COMPUTED_VALUE"""),"Mf reduction")</f>
        <v>Mf reduction</v>
      </c>
      <c r="AQ3" s="697" t="str">
        <f>IFERROR(__xludf.DUMMYFUNCTION("""COMPUTED_VALUE"""),"Vina valley ")</f>
        <v>Vina valley </v>
      </c>
      <c r="AR3" s="697">
        <f>IFERROR(__xludf.DUMMYFUNCTION("""COMPUTED_VALUE"""),1989.0)</f>
        <v>1989</v>
      </c>
      <c r="AS3" s="697" t="str">
        <f>IFERROR(__xludf.DUMMYFUNCTION("""COMPUTED_VALUE"""),"965 individuals from Vina valley")</f>
        <v>965 individuals from Vina valley</v>
      </c>
      <c r="AT3" s="697" t="str">
        <f>IFERROR(__xludf.DUMMYFUNCTION("""COMPUTED_VALUE"""),"3 years ")</f>
        <v>3 years </v>
      </c>
      <c r="AU3" s="699" t="str">
        <f>IFERROR(__xludf.DUMMYFUNCTION("""COMPUTED_VALUE"""),"Pion,S.D.,Grout,L.,Kamgno,J.,Nana-Djeunga,H.,Boussinesq,M.,2011.IndividualhostfactorsassociatedwithOnchocercavolvulusmicrofilarialdensities15,80and180daysafterafirstdoseofivermectin.ActaTrop.   The diagnostics and control of neglected tropical helminth di"&amp;"seases Foreword. Available from: https://www.researchgate.net/publication/51059361_The_diagnostics_and_control_of_neglected_tropical_helminth_diseases_Foreword [accessed Feb 29, 2016].")</f>
        <v>Pion,S.D.,Grout,L.,Kamgno,J.,Nana-Djeunga,H.,Boussinesq,M.,2011.IndividualhostfactorsassociatedwithOnchocercavolvulusmicrofilarialdensities15,80and180daysafterafirstdoseofivermectin.ActaTrop.   The diagnostics and control of neglected tropical helminth diseases Foreword. Available from: https://www.researchgate.net/publication/51059361_The_diagnostics_and_control_of_neglected_tropical_helminth_diseases_Foreword [accessed Feb 29, 2016].</v>
      </c>
      <c r="AV3" s="697" t="str">
        <f>IFERROR(__xludf.DUMMYFUNCTION("""COMPUTED_VALUE"""),"M, F")</f>
        <v>M, F</v>
      </c>
      <c r="AW3" s="697" t="str">
        <f>IFERROR(__xludf.DUMMYFUNCTION("""COMPUTED_VALUE"""),"&gt;4 in Vina Valley")</f>
        <v>&gt;4 in Vina Valley</v>
      </c>
      <c r="AX3" s="697" t="str">
        <f>IFERROR(__xludf.DUMMYFUNCTION("""COMPUTED_VALUE"""),"Exclusion criteria (Vina Valley): Patients younger than 5 or weighed less than 15 kg, pregnant women, nursing mothers, those with serious illness; Exclusion criteria (Nkam Valley): Those who had been previously treated with ivermectin")</f>
        <v>Exclusion criteria (Vina Valley): Patients younger than 5 or weighed less than 15 kg, pregnant women, nursing mothers, those with serious illness; Exclusion criteria (Nkam Valley): Those who had been previously treated with ivermectin</v>
      </c>
      <c r="AY3" s="697" t="str">
        <f>IFERROR(__xludf.DUMMYFUNCTION("""COMPUTED_VALUE"""),"No")</f>
        <v>No</v>
      </c>
      <c r="AZ3" s="697" t="str">
        <f>IFERROR(__xludf.DUMMYFUNCTION("""COMPUTED_VALUE"""),"No")</f>
        <v>No</v>
      </c>
      <c r="BA3" s="697"/>
      <c r="BB3" s="697"/>
      <c r="BC3" s="697"/>
      <c r="BD3" s="697"/>
      <c r="BE3" s="697"/>
      <c r="BF3" s="697"/>
      <c r="BG3" s="697" t="str">
        <f>IFERROR(__xludf.DUMMYFUNCTION("""COMPUTED_VALUE"""),"x")</f>
        <v>x</v>
      </c>
    </row>
    <row r="4" hidden="1">
      <c r="A4" s="697"/>
      <c r="B4" s="697" t="str">
        <f>IFERROR(__xludf.DUMMYFUNCTION("""COMPUTED_VALUE"""),"Pion, Sebastien et al.")</f>
        <v>Pion, Sebastien et al.</v>
      </c>
      <c r="C4" s="697" t="str">
        <f>IFERROR(__xludf.DUMMYFUNCTION("""COMPUTED_VALUE"""),"Cameroon")</f>
        <v>Cameroon</v>
      </c>
      <c r="D4" s="697" t="str">
        <f>IFERROR(__xludf.DUMMYFUNCTION("""COMPUTED_VALUE"""),"Ivermectin")</f>
        <v>Ivermectin</v>
      </c>
      <c r="E4" s="697" t="str">
        <f>IFERROR(__xludf.DUMMYFUNCTION("""COMPUTED_VALUE"""),"12000ug")</f>
        <v>12000ug</v>
      </c>
      <c r="F4" s="697">
        <f>IFERROR(__xludf.DUMMYFUNCTION("""COMPUTED_VALUE"""),1.0)</f>
        <v>1</v>
      </c>
      <c r="G4" s="697" t="str">
        <f>IFERROR(__xludf.DUMMYFUNCTION("""COMPUTED_VALUE"""),"12000ug")</f>
        <v>12000ug</v>
      </c>
      <c r="H4" s="697"/>
      <c r="I4" s="697"/>
      <c r="J4" s="697"/>
      <c r="K4" s="697"/>
      <c r="L4" s="697"/>
      <c r="M4" s="697"/>
      <c r="N4" s="698">
        <f>IFERROR(__xludf.DUMMYFUNCTION("""COMPUTED_VALUE"""),0.977)</f>
        <v>0.977</v>
      </c>
      <c r="O4" s="697"/>
      <c r="P4" s="697"/>
      <c r="Q4" s="698">
        <f>IFERROR(__xludf.DUMMYFUNCTION("""COMPUTED_VALUE"""),0.979)</f>
        <v>0.979</v>
      </c>
      <c r="R4" s="697"/>
      <c r="S4" s="698">
        <f>IFERROR(__xludf.DUMMYFUNCTION("""COMPUTED_VALUE"""),0.837)</f>
        <v>0.837</v>
      </c>
      <c r="T4" s="697"/>
      <c r="U4" s="697"/>
      <c r="V4" s="697"/>
      <c r="W4" s="697"/>
      <c r="X4" s="697"/>
      <c r="Y4" s="697"/>
      <c r="Z4" s="697"/>
      <c r="AA4" s="697"/>
      <c r="AB4" s="697"/>
      <c r="AC4" s="697"/>
      <c r="AD4" s="697"/>
      <c r="AE4" s="697"/>
      <c r="AF4" s="697"/>
      <c r="AG4" s="697"/>
      <c r="AH4" s="697"/>
      <c r="AI4" s="697"/>
      <c r="AJ4" s="697"/>
      <c r="AK4" s="697"/>
      <c r="AL4" s="697"/>
      <c r="AM4" s="697"/>
      <c r="AN4" s="698">
        <f>IFERROR(__xludf.DUMMYFUNCTION("""COMPUTED_VALUE"""),0.837)</f>
        <v>0.837</v>
      </c>
      <c r="AO4" s="698">
        <f>IFERROR(__xludf.DUMMYFUNCTION("""COMPUTED_VALUE"""),0.837)</f>
        <v>0.837</v>
      </c>
      <c r="AP4" s="697"/>
      <c r="AQ4" s="697" t="str">
        <f>IFERROR(__xludf.DUMMYFUNCTION("""COMPUTED_VALUE"""),"Nkam valley")</f>
        <v>Nkam valley</v>
      </c>
      <c r="AR4" s="697">
        <f>IFERROR(__xludf.DUMMYFUNCTION("""COMPUTED_VALUE"""),2008.0)</f>
        <v>2008</v>
      </c>
      <c r="AS4" s="697"/>
      <c r="AT4" s="697" t="str">
        <f>IFERROR(__xludf.DUMMYFUNCTION("""COMPUTED_VALUE"""),"1 year")</f>
        <v>1 year</v>
      </c>
      <c r="AU4" s="697"/>
      <c r="AV4" s="697" t="str">
        <f>IFERROR(__xludf.DUMMYFUNCTION("""COMPUTED_VALUE"""),"M")</f>
        <v>M</v>
      </c>
      <c r="AW4" s="697" t="str">
        <f>IFERROR(__xludf.DUMMYFUNCTION("""COMPUTED_VALUE"""),"&gt;25 in Nkam Valley")</f>
        <v>&gt;25 in Nkam Valley</v>
      </c>
      <c r="AX4" s="697" t="str">
        <f>IFERROR(__xludf.DUMMYFUNCTION("""COMPUTED_VALUE"""),"individuals who had received the drug were excluded from the
analyses.")</f>
        <v>individuals who had received the drug were excluded from the
analyses.</v>
      </c>
      <c r="AY4" s="697" t="str">
        <f>IFERROR(__xludf.DUMMYFUNCTION("""COMPUTED_VALUE"""),"No")</f>
        <v>No</v>
      </c>
      <c r="AZ4" s="697" t="str">
        <f>IFERROR(__xludf.DUMMYFUNCTION("""COMPUTED_VALUE"""),"No")</f>
        <v>No</v>
      </c>
      <c r="BA4" s="697"/>
      <c r="BB4" s="697"/>
      <c r="BC4" s="697"/>
      <c r="BD4" s="697"/>
      <c r="BE4" s="697"/>
      <c r="BF4" s="697"/>
      <c r="BG4" s="697" t="str">
        <f>IFERROR(__xludf.DUMMYFUNCTION("""COMPUTED_VALUE"""),"x")</f>
        <v>x</v>
      </c>
    </row>
    <row r="5" hidden="1">
      <c r="A5" s="697"/>
      <c r="B5" s="697" t="str">
        <f>IFERROR(__xludf.DUMMYFUNCTION("""COMPUTED_VALUE"""),"Boussinesq, M. et al.")</f>
        <v>Boussinesq, M. et al.</v>
      </c>
      <c r="C5" s="697" t="str">
        <f>IFERROR(__xludf.DUMMYFUNCTION("""COMPUTED_VALUE"""),"Cameroon")</f>
        <v>Cameroon</v>
      </c>
      <c r="D5" s="697" t="str">
        <f>IFERROR(__xludf.DUMMYFUNCTION("""COMPUTED_VALUE"""),"Ivermectin")</f>
        <v>Ivermectin</v>
      </c>
      <c r="E5" s="697" t="str">
        <f>IFERROR(__xludf.DUMMYFUNCTION("""COMPUTED_VALUE"""),"150ug/kg")</f>
        <v>150ug/kg</v>
      </c>
      <c r="F5" s="697">
        <f>IFERROR(__xludf.DUMMYFUNCTION("""COMPUTED_VALUE"""),6.0)</f>
        <v>6</v>
      </c>
      <c r="G5" s="697" t="str">
        <f>IFERROR(__xludf.DUMMYFUNCTION("""COMPUTED_VALUE"""),"900ug/kg")</f>
        <v>900ug/kg</v>
      </c>
      <c r="H5" s="697"/>
      <c r="I5" s="697"/>
      <c r="J5" s="697"/>
      <c r="K5" s="697"/>
      <c r="L5" s="697"/>
      <c r="M5" s="697"/>
      <c r="N5" s="697"/>
      <c r="O5" s="697"/>
      <c r="P5" s="697"/>
      <c r="Q5" s="697"/>
      <c r="R5" s="697"/>
      <c r="S5" s="697"/>
      <c r="T5" s="697"/>
      <c r="U5" s="697"/>
      <c r="V5" s="697"/>
      <c r="W5" s="697"/>
      <c r="X5" s="697"/>
      <c r="Y5" s="697"/>
      <c r="Z5" s="697"/>
      <c r="AA5" s="697"/>
      <c r="AB5" s="697"/>
      <c r="AC5" s="700">
        <f>IFERROR(__xludf.DUMMYFUNCTION("""COMPUTED_VALUE"""),0.77)</f>
        <v>0.77</v>
      </c>
      <c r="AD5" s="697"/>
      <c r="AE5" s="697"/>
      <c r="AF5" s="697"/>
      <c r="AG5" s="697"/>
      <c r="AH5" s="697"/>
      <c r="AI5" s="697"/>
      <c r="AJ5" s="697"/>
      <c r="AK5" s="697"/>
      <c r="AL5" s="697"/>
      <c r="AM5" s="697"/>
      <c r="AN5" s="700">
        <f>IFERROR(__xludf.DUMMYFUNCTION("""COMPUTED_VALUE"""),0.77)</f>
        <v>0.77</v>
      </c>
      <c r="AO5" s="698">
        <f>IFERROR(__xludf.DUMMYFUNCTION("""COMPUTED_VALUE"""),0.77)</f>
        <v>0.77</v>
      </c>
      <c r="AP5" s="697" t="str">
        <f>IFERROR(__xludf.DUMMYFUNCTION("""COMPUTED_VALUE"""),"Mf reduction")</f>
        <v>Mf reduction</v>
      </c>
      <c r="AQ5" s="697" t="str">
        <f>IFERROR(__xludf.DUMMYFUNCTION("""COMPUTED_VALUE"""),"North Cameroon (Vina Valley)")</f>
        <v>North Cameroon (Vina Valley)</v>
      </c>
      <c r="AR5" s="697">
        <f>IFERROR(__xludf.DUMMYFUNCTION("""COMPUTED_VALUE"""),1992.0)</f>
        <v>1992</v>
      </c>
      <c r="AS5" s="697">
        <f>IFERROR(__xludf.DUMMYFUNCTION("""COMPUTED_VALUE"""),192.0)</f>
        <v>192</v>
      </c>
      <c r="AT5" s="697" t="str">
        <f>IFERROR(__xludf.DUMMYFUNCTION("""COMPUTED_VALUE"""),"3 years")</f>
        <v>3 years</v>
      </c>
      <c r="AU5" s="699" t="str">
        <f>IFERROR(__xludf.DUMMYFUNCTION("""COMPUTED_VALUE"""),"Boussinesq, M., JP Chippaux, and JC Ernould. ""Parasitological Efficacy of Repeated Treatments with Ivermectin in an Onchocerciasis Focus in North Cameroon."" Bull Soc Pathol Exot 86.2 (1993): 112-15. Web. 3 May 2015.")</f>
        <v>Boussinesq, M., JP Chippaux, and JC Ernould. "Parasitological Efficacy of Repeated Treatments with Ivermectin in an Onchocerciasis Focus in North Cameroon." Bull Soc Pathol Exot 86.2 (1993): 112-15. Web. 3 May 2015.</v>
      </c>
      <c r="AV5" s="697"/>
      <c r="AW5" s="697" t="str">
        <f>IFERROR(__xludf.DUMMYFUNCTION("""COMPUTED_VALUE"""),"&gt;4")</f>
        <v>&gt;4</v>
      </c>
      <c r="AX5" s="697" t="str">
        <f>IFERROR(__xludf.DUMMYFUNCTION("""COMPUTED_VALUE"""),"Inclusion Criteria: Individuals were chosen due to background information giving evidence of epidemicity levels; Exclusion Criteria: Children less than 5 years of age, weight less than 15 kg, pregnancy, first month of lactation, jaundice, central nervous "&amp;"system disease, severe clinical illness")</f>
        <v>Inclusion Criteria: Individuals were chosen due to background information giving evidence of epidemicity levels; Exclusion Criteria: Children less than 5 years of age, weight less than 15 kg, pregnancy, first month of lactation, jaundice, central nervous system disease, severe clinical illness</v>
      </c>
      <c r="AY5" s="697" t="str">
        <f>IFERROR(__xludf.DUMMYFUNCTION("""COMPUTED_VALUE"""),"No")</f>
        <v>No</v>
      </c>
      <c r="AZ5" s="697" t="str">
        <f>IFERROR(__xludf.DUMMYFUNCTION("""COMPUTED_VALUE"""),"No")</f>
        <v>No</v>
      </c>
      <c r="BA5" s="697"/>
      <c r="BB5" s="697"/>
      <c r="BC5" s="697"/>
      <c r="BD5" s="697"/>
      <c r="BE5" s="697"/>
      <c r="BF5" s="697"/>
      <c r="BG5" s="697" t="str">
        <f>IFERROR(__xludf.DUMMYFUNCTION("""COMPUTED_VALUE"""),"x")</f>
        <v>x</v>
      </c>
    </row>
    <row r="6">
      <c r="A6" s="697"/>
      <c r="B6" s="697" t="str">
        <f>IFERROR(__xludf.DUMMYFUNCTION("""COMPUTED_VALUE"""),"Turner et al. ")</f>
        <v>Turner et al. </v>
      </c>
      <c r="C6" s="697" t="str">
        <f>IFERROR(__xludf.DUMMYFUNCTION("""COMPUTED_VALUE"""),"Cameroon")</f>
        <v>Cameroon</v>
      </c>
      <c r="D6" s="697" t="str">
        <f>IFERROR(__xludf.DUMMYFUNCTION("""COMPUTED_VALUE"""),"Doxycycline &amp; Ivermectin")</f>
        <v>Doxycycline &amp; Ivermectin</v>
      </c>
      <c r="E6" s="697" t="str">
        <f>IFERROR(__xludf.DUMMYFUNCTION("""COMPUTED_VALUE"""),"200 mg; 150 ug/kg")</f>
        <v>200 mg; 150 ug/kg</v>
      </c>
      <c r="F6" s="697" t="str">
        <f>IFERROR(__xludf.DUMMYFUNCTION("""COMPUTED_VALUE"""),"42; 1")</f>
        <v>42; 1</v>
      </c>
      <c r="G6" s="697" t="str">
        <f>IFERROR(__xludf.DUMMYFUNCTION("""COMPUTED_VALUE"""),"8400 mg; 150 ug/kg")</f>
        <v>8400 mg; 150 ug/kg</v>
      </c>
      <c r="H6" s="697"/>
      <c r="I6" s="697"/>
      <c r="J6" s="697"/>
      <c r="K6" s="697"/>
      <c r="L6" s="697"/>
      <c r="M6" s="697"/>
      <c r="N6" s="697"/>
      <c r="O6" s="697"/>
      <c r="P6" s="697"/>
      <c r="Q6" s="697"/>
      <c r="R6" s="698">
        <f>IFERROR(__xludf.DUMMYFUNCTION("""COMPUTED_VALUE"""),0.13)</f>
        <v>0.13</v>
      </c>
      <c r="S6" s="697"/>
      <c r="T6" s="697"/>
      <c r="U6" s="697"/>
      <c r="V6" s="697"/>
      <c r="W6" s="698">
        <f>IFERROR(__xludf.DUMMYFUNCTION("""COMPUTED_VALUE"""),0.761)</f>
        <v>0.761</v>
      </c>
      <c r="X6" s="697"/>
      <c r="Y6" s="698">
        <f>IFERROR(__xludf.DUMMYFUNCTION("""COMPUTED_VALUE"""),0.891)</f>
        <v>0.891</v>
      </c>
      <c r="Z6" s="697"/>
      <c r="AA6" s="697"/>
      <c r="AB6" s="697"/>
      <c r="AC6" s="697"/>
      <c r="AD6" s="697"/>
      <c r="AE6" s="697"/>
      <c r="AF6" s="697"/>
      <c r="AG6" s="697"/>
      <c r="AH6" s="697"/>
      <c r="AI6" s="697"/>
      <c r="AJ6" s="697"/>
      <c r="AK6" s="697"/>
      <c r="AL6" s="697"/>
      <c r="AM6" s="697"/>
      <c r="AN6" s="698">
        <f>IFERROR(__xludf.DUMMYFUNCTION("""COMPUTED_VALUE"""),0.13)</f>
        <v>0.13</v>
      </c>
      <c r="AO6" s="698">
        <f>IFERROR(__xludf.DUMMYFUNCTION("""COMPUTED_VALUE"""),0.13)</f>
        <v>0.13</v>
      </c>
      <c r="AP6" s="697" t="str">
        <f>IFERROR(__xludf.DUMMYFUNCTION("""COMPUTED_VALUE"""),"Mf reduction; Nodulectomy: dead worms")</f>
        <v>Mf reduction; Nodulectomy: dead worms</v>
      </c>
      <c r="AQ6" s="701" t="str">
        <f>IFERROR(__xludf.DUMMYFUNCTION("""COMPUTED_VALUE"""),"Bifang, Ebendi, Eka, Ngalla, Dinku, Olurunti in the North West Province of Cameroon")</f>
        <v>Bifang, Ebendi, Eka, Ngalla, Dinku, Olurunti in the North West Province of Cameroon</v>
      </c>
      <c r="AR6" s="697">
        <f>IFERROR(__xludf.DUMMYFUNCTION("""COMPUTED_VALUE"""),2005.0)</f>
        <v>2005</v>
      </c>
      <c r="AS6" s="697" t="str">
        <f>IFERROR(__xludf.DUMMYFUNCTION("""COMPUTED_VALUE"""),"104/172")</f>
        <v>104/172</v>
      </c>
      <c r="AT6" s="697" t="str">
        <f>IFERROR(__xludf.DUMMYFUNCTION("""COMPUTED_VALUE"""),"21 months")</f>
        <v>21 months</v>
      </c>
      <c r="AU6" s="697"/>
      <c r="AV6" s="697" t="str">
        <f>IFERROR(__xludf.DUMMYFUNCTION("""COMPUTED_VALUE"""),"M, F")</f>
        <v>M, F</v>
      </c>
      <c r="AW6" s="697"/>
      <c r="AX6" s="697" t="str">
        <f>IFERROR(__xludf.DUMMYFUNCTION("""COMPUTED_VALUE"""),"Exclusion Criteria: O. volvulus microfilarial load &lt;10 mf/mg, L. loa microfilial load &gt;8000 mf/mL, gepatic and renal enzymes outside of normal range, creatinine, as well as pregnancy, lactation, intolerance to ivermectin, alcohol or drug abuse, or anti-fi"&amp;"larial therapy within the last 12 months ")</f>
        <v>Exclusion Criteria: O. volvulus microfilarial load &lt;10 mf/mg, L. loa microfilial load &gt;8000 mf/mL, gepatic and renal enzymes outside of normal range, creatinine, as well as pregnancy, lactation, intolerance to ivermectin, alcohol or drug abuse, or anti-filarial therapy within the last 12 months </v>
      </c>
      <c r="AY6" s="697" t="str">
        <f>IFERROR(__xludf.DUMMYFUNCTION("""COMPUTED_VALUE"""),"Yes")</f>
        <v>Yes</v>
      </c>
      <c r="AZ6" s="697" t="str">
        <f>IFERROR(__xludf.DUMMYFUNCTION("""COMPUTED_VALUE"""),"Yes")</f>
        <v>Yes</v>
      </c>
      <c r="BA6" s="697"/>
      <c r="BB6" s="697"/>
      <c r="BC6" s="697" t="str">
        <f>IFERROR(__xludf.DUMMYFUNCTION("""COMPUTED_VALUE"""),"A six-week course of doxycycline delivers macrofilaricidal and sterilizing activities, which is not dependent upon co-administration of ivermectin. Doxycycline is well tolerated in patients co-infected with moderate intensities of L. loa microfilariae.")</f>
        <v>A six-week course of doxycycline delivers macrofilaricidal and sterilizing activities, which is not dependent upon co-administration of ivermectin. Doxycycline is well tolerated in patients co-infected with moderate intensities of L. loa microfilariae.</v>
      </c>
      <c r="BD6" s="697" t="str">
        <f>IFERROR(__xludf.DUMMYFUNCTION("""COMPUTED_VALUE"""),"In total, 68 patients were lost to follow-up")</f>
        <v>In total, 68 patients were lost to follow-up</v>
      </c>
      <c r="BE6" s="697"/>
      <c r="BF6" s="697"/>
      <c r="BG6" s="697"/>
    </row>
    <row r="7">
      <c r="A7" s="697"/>
      <c r="B7" s="697" t="str">
        <f>IFERROR(__xludf.DUMMYFUNCTION("""COMPUTED_VALUE"""),"Turner et al. ")</f>
        <v>Turner et al. </v>
      </c>
      <c r="C7" s="697" t="str">
        <f>IFERROR(__xludf.DUMMYFUNCTION("""COMPUTED_VALUE"""),"Cameroon")</f>
        <v>Cameroon</v>
      </c>
      <c r="D7" s="697" t="str">
        <f>IFERROR(__xludf.DUMMYFUNCTION("""COMPUTED_VALUE"""),"Doxycycline")</f>
        <v>Doxycycline</v>
      </c>
      <c r="E7" s="697" t="str">
        <f>IFERROR(__xludf.DUMMYFUNCTION("""COMPUTED_VALUE"""),"200mg")</f>
        <v>200mg</v>
      </c>
      <c r="F7" s="697">
        <f>IFERROR(__xludf.DUMMYFUNCTION("""COMPUTED_VALUE"""),42.0)</f>
        <v>42</v>
      </c>
      <c r="G7" s="697" t="str">
        <f>IFERROR(__xludf.DUMMYFUNCTION("""COMPUTED_VALUE"""),"8400 mg")</f>
        <v>8400 mg</v>
      </c>
      <c r="H7" s="697"/>
      <c r="I7" s="697"/>
      <c r="J7" s="697"/>
      <c r="K7" s="697"/>
      <c r="L7" s="697"/>
      <c r="M7" s="697"/>
      <c r="N7" s="697"/>
      <c r="O7" s="697"/>
      <c r="P7" s="697"/>
      <c r="Q7" s="697"/>
      <c r="R7" s="698">
        <f>IFERROR(__xludf.DUMMYFUNCTION("""COMPUTED_VALUE"""),0.238)</f>
        <v>0.238</v>
      </c>
      <c r="S7" s="697"/>
      <c r="T7" s="697"/>
      <c r="U7" s="697"/>
      <c r="V7" s="697"/>
      <c r="W7" s="698">
        <f>IFERROR(__xludf.DUMMYFUNCTION("""COMPUTED_VALUE"""),0.381)</f>
        <v>0.381</v>
      </c>
      <c r="X7" s="697"/>
      <c r="Y7" s="698">
        <f>IFERROR(__xludf.DUMMYFUNCTION("""COMPUTED_VALUE"""),0.667)</f>
        <v>0.667</v>
      </c>
      <c r="Z7" s="697"/>
      <c r="AA7" s="697"/>
      <c r="AB7" s="697"/>
      <c r="AC7" s="697"/>
      <c r="AD7" s="697"/>
      <c r="AE7" s="697"/>
      <c r="AF7" s="697"/>
      <c r="AG7" s="697"/>
      <c r="AH7" s="697"/>
      <c r="AI7" s="697"/>
      <c r="AJ7" s="697"/>
      <c r="AK7" s="697"/>
      <c r="AL7" s="697"/>
      <c r="AM7" s="697"/>
      <c r="AN7" s="698">
        <f>IFERROR(__xludf.DUMMYFUNCTION("""COMPUTED_VALUE"""),0.238)</f>
        <v>0.238</v>
      </c>
      <c r="AO7" s="698">
        <f>IFERROR(__xludf.DUMMYFUNCTION("""COMPUTED_VALUE"""),0.238)</f>
        <v>0.238</v>
      </c>
      <c r="AP7" s="697" t="str">
        <f>IFERROR(__xludf.DUMMYFUNCTION("""COMPUTED_VALUE"""),"Mf reduction; Nodulectomy: dead worms")</f>
        <v>Mf reduction; Nodulectomy: dead worms</v>
      </c>
      <c r="AQ7" s="697" t="str">
        <f>IFERROR(__xludf.DUMMYFUNCTION("""COMPUTED_VALUE"""),"Bifang, Ebendi, Eka, Ngalla, Dinku, Olurunti in the North West Province of Cameroon")</f>
        <v>Bifang, Ebendi, Eka, Ngalla, Dinku, Olurunti in the North West Province of Cameroon</v>
      </c>
      <c r="AR7" s="697">
        <f>IFERROR(__xludf.DUMMYFUNCTION("""COMPUTED_VALUE"""),2005.0)</f>
        <v>2005</v>
      </c>
      <c r="AS7" s="697" t="str">
        <f>IFERROR(__xludf.DUMMYFUNCTION("""COMPUTED_VALUE"""),"104/172")</f>
        <v>104/172</v>
      </c>
      <c r="AT7" s="697" t="str">
        <f>IFERROR(__xludf.DUMMYFUNCTION("""COMPUTED_VALUE"""),"21 months")</f>
        <v>21 months</v>
      </c>
      <c r="AU7" s="699" t="str">
        <f>IFERROR(__xludf.DUMMYFUNCTION("""COMPUTED_VALUE"""),"Turner JD, Tendongfor N, Esum M, Johnston KL, Langley RS, Ford L, et al. Macrofilaricidal activity after doxycycline only treatment of Onchocerca volvulus in an area of Loa loa Co-Endemicity: a randomized controlled trial. PLoS Negl Trop Dis. 2010;4(4):e6"&amp;"60. doi: 10.1371/journal.pntd.0000660.")</f>
        <v>Turner JD, Tendongfor N, Esum M, Johnston KL, Langley RS, Ford L, et al. Macrofilaricidal activity after doxycycline only treatment of Onchocerca volvulus in an area of Loa loa Co-Endemicity: a randomized controlled trial. PLoS Negl Trop Dis. 2010;4(4):e660. doi: 10.1371/journal.pntd.0000660.</v>
      </c>
      <c r="AV7" s="697" t="str">
        <f>IFERROR(__xludf.DUMMYFUNCTION("""COMPUTED_VALUE"""),"M, F")</f>
        <v>M, F</v>
      </c>
      <c r="AW7" s="697"/>
      <c r="AX7" s="697" t="str">
        <f>IFERROR(__xludf.DUMMYFUNCTION("""COMPUTED_VALUE"""),"Exclusion Criteria: O. volvulus microfilarial load &lt;10 mf/mg, L. loa microfilial load &gt;8000 mf/mL, gepatic and renal enzymes outside of normal range, creatinine, as well as pregnancy, lactation, intolerance to ivermectin, alcohol or drug abuse, or anti-fi"&amp;"larial therapy within the last 12 months ")</f>
        <v>Exclusion Criteria: O. volvulus microfilarial load &lt;10 mf/mg, L. loa microfilial load &gt;8000 mf/mL, gepatic and renal enzymes outside of normal range, creatinine, as well as pregnancy, lactation, intolerance to ivermectin, alcohol or drug abuse, or anti-filarial therapy within the last 12 months </v>
      </c>
      <c r="AY7" s="697" t="str">
        <f>IFERROR(__xludf.DUMMYFUNCTION("""COMPUTED_VALUE"""),"Yes")</f>
        <v>Yes</v>
      </c>
      <c r="AZ7" s="697" t="str">
        <f>IFERROR(__xludf.DUMMYFUNCTION("""COMPUTED_VALUE"""),"Yes")</f>
        <v>Yes</v>
      </c>
      <c r="BA7" s="697"/>
      <c r="BB7" s="697"/>
      <c r="BC7" s="697" t="str">
        <f>IFERROR(__xludf.DUMMYFUNCTION("""COMPUTED_VALUE"""),"A six-week course of doxycycline delivers macrofilaricidal and sterilizing activities, which is not dependent upon co-administration of ivermectin. Doxycycline is well tolerated in patients co-infected with moderate intensities of L. loa microfilariae.")</f>
        <v>A six-week course of doxycycline delivers macrofilaricidal and sterilizing activities, which is not dependent upon co-administration of ivermectin. Doxycycline is well tolerated in patients co-infected with moderate intensities of L. loa microfilariae.</v>
      </c>
      <c r="BD7" s="697" t="str">
        <f>IFERROR(__xludf.DUMMYFUNCTION("""COMPUTED_VALUE"""),"In total, 68 patients were lost to follow-up")</f>
        <v>In total, 68 patients were lost to follow-up</v>
      </c>
      <c r="BE7" s="697" t="str">
        <f>IFERROR(__xludf.DUMMYFUNCTION("""COMPUTED_VALUE"""),"Nodulectomy: dead female worms 65.0%(13/20)")</f>
        <v>Nodulectomy: dead female worms 65.0%(13/20)</v>
      </c>
      <c r="BF7" s="697"/>
      <c r="BG7" s="697"/>
    </row>
    <row r="8" hidden="1">
      <c r="A8" s="697"/>
      <c r="B8" s="697" t="str">
        <f>IFERROR(__xludf.DUMMYFUNCTION("""COMPUTED_VALUE"""),"Turner et al. ")</f>
        <v>Turner et al. </v>
      </c>
      <c r="C8" s="697" t="str">
        <f>IFERROR(__xludf.DUMMYFUNCTION("""COMPUTED_VALUE"""),"Cameroon")</f>
        <v>Cameroon</v>
      </c>
      <c r="D8" s="697" t="str">
        <f>IFERROR(__xludf.DUMMYFUNCTION("""COMPUTED_VALUE"""),"Ivermectin")</f>
        <v>Ivermectin</v>
      </c>
      <c r="E8" s="697" t="str">
        <f>IFERROR(__xludf.DUMMYFUNCTION("""COMPUTED_VALUE"""),"150 ug/kg")</f>
        <v>150 ug/kg</v>
      </c>
      <c r="F8" s="697">
        <f>IFERROR(__xludf.DUMMYFUNCTION("""COMPUTED_VALUE"""),1.0)</f>
        <v>1</v>
      </c>
      <c r="G8" s="697" t="str">
        <f>IFERROR(__xludf.DUMMYFUNCTION("""COMPUTED_VALUE"""),"150 ug/kg")</f>
        <v>150 ug/kg</v>
      </c>
      <c r="H8" s="697"/>
      <c r="I8" s="697"/>
      <c r="J8" s="697"/>
      <c r="K8" s="697"/>
      <c r="L8" s="697"/>
      <c r="M8" s="697"/>
      <c r="N8" s="697"/>
      <c r="O8" s="697"/>
      <c r="P8" s="697"/>
      <c r="Q8" s="697"/>
      <c r="R8" s="698">
        <f>IFERROR(__xludf.DUMMYFUNCTION("""COMPUTED_VALUE"""),0.189)</f>
        <v>0.189</v>
      </c>
      <c r="S8" s="697"/>
      <c r="T8" s="697"/>
      <c r="U8" s="697"/>
      <c r="V8" s="697"/>
      <c r="W8" s="698">
        <f>IFERROR(__xludf.DUMMYFUNCTION("""COMPUTED_VALUE"""),0.216)</f>
        <v>0.216</v>
      </c>
      <c r="X8" s="697"/>
      <c r="Y8" s="698">
        <f>IFERROR(__xludf.DUMMYFUNCTION("""COMPUTED_VALUE"""),0.216)</f>
        <v>0.216</v>
      </c>
      <c r="Z8" s="697"/>
      <c r="AA8" s="697"/>
      <c r="AB8" s="697"/>
      <c r="AC8" s="697"/>
      <c r="AD8" s="697"/>
      <c r="AE8" s="697"/>
      <c r="AF8" s="697"/>
      <c r="AG8" s="697"/>
      <c r="AH8" s="697"/>
      <c r="AI8" s="697"/>
      <c r="AJ8" s="697"/>
      <c r="AK8" s="697"/>
      <c r="AL8" s="697"/>
      <c r="AM8" s="697"/>
      <c r="AN8" s="698">
        <f>IFERROR(__xludf.DUMMYFUNCTION("""COMPUTED_VALUE"""),0.189)</f>
        <v>0.189</v>
      </c>
      <c r="AO8" s="698">
        <f>IFERROR(__xludf.DUMMYFUNCTION("""COMPUTED_VALUE"""),0.189)</f>
        <v>0.189</v>
      </c>
      <c r="AP8" s="697" t="str">
        <f>IFERROR(__xludf.DUMMYFUNCTION("""COMPUTED_VALUE"""),"Mf reduction; Nodulectomy: dead worms")</f>
        <v>Mf reduction; Nodulectomy: dead worms</v>
      </c>
      <c r="AQ8" s="697" t="str">
        <f>IFERROR(__xludf.DUMMYFUNCTION("""COMPUTED_VALUE"""),"Bifang, Ebendi, Eka, Ngalla, Dinku, Olurunti in the North West Province of Cameroon")</f>
        <v>Bifang, Ebendi, Eka, Ngalla, Dinku, Olurunti in the North West Province of Cameroon</v>
      </c>
      <c r="AR8" s="697">
        <f>IFERROR(__xludf.DUMMYFUNCTION("""COMPUTED_VALUE"""),2005.0)</f>
        <v>2005</v>
      </c>
      <c r="AS8" s="697" t="str">
        <f>IFERROR(__xludf.DUMMYFUNCTION("""COMPUTED_VALUE"""),"104/172")</f>
        <v>104/172</v>
      </c>
      <c r="AT8" s="697" t="str">
        <f>IFERROR(__xludf.DUMMYFUNCTION("""COMPUTED_VALUE"""),"21 months")</f>
        <v>21 months</v>
      </c>
      <c r="AU8" s="699" t="str">
        <f>IFERROR(__xludf.DUMMYFUNCTION("""COMPUTED_VALUE"""),"Turner JD, Tendongfor N, Esum M, Johnston KL, Langley RS, Ford L, et al. Macrofilaricidal activity after doxycycline only treatment of Onchocerca volvulus in an area of Loa loa Co-Endemicity: a randomized controlled trial. PLoS Negl Trop Dis. 2010;4(4):e6"&amp;"60. doi: 10.1371/journal.pntd.0000660.")</f>
        <v>Turner JD, Tendongfor N, Esum M, Johnston KL, Langley RS, Ford L, et al. Macrofilaricidal activity after doxycycline only treatment of Onchocerca volvulus in an area of Loa loa Co-Endemicity: a randomized controlled trial. PLoS Negl Trop Dis. 2010;4(4):e660. doi: 10.1371/journal.pntd.0000660.</v>
      </c>
      <c r="AV8" s="697" t="str">
        <f>IFERROR(__xludf.DUMMYFUNCTION("""COMPUTED_VALUE"""),"M, F")</f>
        <v>M, F</v>
      </c>
      <c r="AW8" s="697"/>
      <c r="AX8" s="697" t="str">
        <f>IFERROR(__xludf.DUMMYFUNCTION("""COMPUTED_VALUE"""),"Exclusion Criteria: O. volvulus microfilarial load &lt;10 mf/mg, L. loa microfilial load &gt;8000 mf/mL, gepatic and renal enzymes outside of normal range, creatinine, as well as pregnancy, lactation, intolerance to ivermectin, alcohol or drug abuse, or anti-fi"&amp;"larial therapy within the last 12 months ")</f>
        <v>Exclusion Criteria: O. volvulus microfilarial load &lt;10 mf/mg, L. loa microfilial load &gt;8000 mf/mL, gepatic and renal enzymes outside of normal range, creatinine, as well as pregnancy, lactation, intolerance to ivermectin, alcohol or drug abuse, or anti-filarial therapy within the last 12 months </v>
      </c>
      <c r="AY8" s="697" t="str">
        <f>IFERROR(__xludf.DUMMYFUNCTION("""COMPUTED_VALUE"""),"Yes")</f>
        <v>Yes</v>
      </c>
      <c r="AZ8" s="697" t="str">
        <f>IFERROR(__xludf.DUMMYFUNCTION("""COMPUTED_VALUE"""),"Yes")</f>
        <v>Yes</v>
      </c>
      <c r="BA8" s="697"/>
      <c r="BB8" s="697"/>
      <c r="BC8" s="697" t="str">
        <f>IFERROR(__xludf.DUMMYFUNCTION("""COMPUTED_VALUE"""),"A six-week course of doxycycline delivers macrofilaricidal and sterilizing activities, which is not dependent upon co-administration of ivermectin. Doxycycline is well tolerated in patients co-infected with moderate intensities of L. loa microfilariae.")</f>
        <v>A six-week course of doxycycline delivers macrofilaricidal and sterilizing activities, which is not dependent upon co-administration of ivermectin. Doxycycline is well tolerated in patients co-infected with moderate intensities of L. loa microfilariae.</v>
      </c>
      <c r="BD8" s="697" t="str">
        <f>IFERROR(__xludf.DUMMYFUNCTION("""COMPUTED_VALUE"""),"In total, 68 patients were lost to follow-up")</f>
        <v>In total, 68 patients were lost to follow-up</v>
      </c>
      <c r="BE8" s="697" t="str">
        <f>IFERROR(__xludf.DUMMYFUNCTION("""COMPUTED_VALUE"""),"Nodulectomy: dead female worms 16.7%(9/54)")</f>
        <v>Nodulectomy: dead female worms 16.7%(9/54)</v>
      </c>
      <c r="BF8" s="697"/>
      <c r="BG8" s="697" t="str">
        <f>IFERROR(__xludf.DUMMYFUNCTION("""COMPUTED_VALUE"""),"x")</f>
        <v>x</v>
      </c>
    </row>
    <row r="9" hidden="1">
      <c r="A9" s="697"/>
      <c r="B9" s="697" t="str">
        <f>IFERROR(__xludf.DUMMYFUNCTION("""COMPUTED_VALUE"""),"Tamarozzi et al.")</f>
        <v>Tamarozzi et al.</v>
      </c>
      <c r="C9" s="697" t="str">
        <f>IFERROR(__xludf.DUMMYFUNCTION("""COMPUTED_VALUE"""),"Cameroon")</f>
        <v>Cameroon</v>
      </c>
      <c r="D9" s="697" t="str">
        <f>IFERROR(__xludf.DUMMYFUNCTION("""COMPUTED_VALUE"""),"Doxycycline &amp; Ivermectin")</f>
        <v>Doxycycline &amp; Ivermectin</v>
      </c>
      <c r="E9" s="697" t="str">
        <f>IFERROR(__xludf.DUMMYFUNCTION("""COMPUTED_VALUE"""),"200mg; 150ug/kg")</f>
        <v>200mg; 150ug/kg</v>
      </c>
      <c r="F9" s="697" t="str">
        <f>IFERROR(__xludf.DUMMYFUNCTION("""COMPUTED_VALUE"""),"42;1")</f>
        <v>42;1</v>
      </c>
      <c r="G9" s="697" t="str">
        <f>IFERROR(__xludf.DUMMYFUNCTION("""COMPUTED_VALUE"""),"8400 mg;150 ug/kg")</f>
        <v>8400 mg;150 ug/kg</v>
      </c>
      <c r="H9" s="697"/>
      <c r="I9" s="697"/>
      <c r="J9" s="697"/>
      <c r="K9" s="697"/>
      <c r="L9" s="697"/>
      <c r="M9" s="697"/>
      <c r="N9" s="697"/>
      <c r="O9" s="697"/>
      <c r="P9" s="697"/>
      <c r="Q9" s="697"/>
      <c r="R9" s="697"/>
      <c r="S9" s="697"/>
      <c r="T9" s="697"/>
      <c r="U9" s="697"/>
      <c r="V9" s="697"/>
      <c r="W9" s="697"/>
      <c r="X9" s="697"/>
      <c r="Y9" s="697"/>
      <c r="Z9" s="697"/>
      <c r="AA9" s="697"/>
      <c r="AB9" s="697"/>
      <c r="AC9" s="700">
        <f>IFERROR(__xludf.DUMMYFUNCTION("""COMPUTED_VALUE"""),1.0)</f>
        <v>1</v>
      </c>
      <c r="AD9" s="697"/>
      <c r="AE9" s="700">
        <f>IFERROR(__xludf.DUMMYFUNCTION("""COMPUTED_VALUE"""),0.83)</f>
        <v>0.83</v>
      </c>
      <c r="AF9" s="697"/>
      <c r="AG9" s="697"/>
      <c r="AH9" s="697"/>
      <c r="AI9" s="697"/>
      <c r="AJ9" s="697"/>
      <c r="AK9" s="697"/>
      <c r="AL9" s="697"/>
      <c r="AM9" s="697"/>
      <c r="AN9" s="700">
        <f>IFERROR(__xludf.DUMMYFUNCTION("""COMPUTED_VALUE"""),1.0)</f>
        <v>1</v>
      </c>
      <c r="AO9" s="698">
        <f>IFERROR(__xludf.DUMMYFUNCTION("""COMPUTED_VALUE"""),1.0)</f>
        <v>1</v>
      </c>
      <c r="AP9" s="697" t="str">
        <f>IFERROR(__xludf.DUMMYFUNCTION("""COMPUTED_VALUE"""),"Mf reduction")</f>
        <v>Mf reduction</v>
      </c>
      <c r="AQ9" s="697" t="str">
        <f>IFERROR(__xludf.DUMMYFUNCTION("""COMPUTED_VALUE"""),"Matouke, Mombo and Kotto")</f>
        <v>Matouke, Mombo and Kotto</v>
      </c>
      <c r="AR9" s="697">
        <f>IFERROR(__xludf.DUMMYFUNCTION("""COMPUTED_VALUE"""),2008.0)</f>
        <v>2008</v>
      </c>
      <c r="AS9" s="697" t="str">
        <f>IFERROR(__xludf.DUMMYFUNCTION("""COMPUTED_VALUE"""),"375/507 ")</f>
        <v>375/507 </v>
      </c>
      <c r="AT9" s="697" t="str">
        <f>IFERROR(__xludf.DUMMYFUNCTION("""COMPUTED_VALUE"""),"6 weeks")</f>
        <v>6 weeks</v>
      </c>
      <c r="AU9" s="699" t="str">
        <f>IFERROR(__xludf.DUMMYFUNCTION("""COMPUTED_VALUE"""),"Tamarozzi F, Tendongfor N, Enyong PA, Esum M, Faragher B, Wanji S, Taylor MJ. Long term impact of large scale community-directed delivery of doxycycline for the treatment of onchocerciasis. Parasit Vectors. 2012 Mar 20;5:53. doi: 10.1186/1756-3305-5-53")</f>
        <v>Tamarozzi F, Tendongfor N, Enyong PA, Esum M, Faragher B, Wanji S, Taylor MJ. Long term impact of large scale community-directed delivery of doxycycline for the treatment of onchocerciasis. Parasit Vectors. 2012 Mar 20;5:53. doi: 10.1186/1756-3305-5-53</v>
      </c>
      <c r="AV9" s="697" t="str">
        <f>IFERROR(__xludf.DUMMYFUNCTION("""COMPUTED_VALUE"""),"260 M, 247 F")</f>
        <v>260 M, 247 F</v>
      </c>
      <c r="AW9" s="697" t="str">
        <f>IFERROR(__xludf.DUMMYFUNCTION("""COMPUTED_VALUE"""),"Mean Age + Range: 43.16 (19-81)")</f>
        <v>Mean Age + Range: 43.16 (19-81)</v>
      </c>
      <c r="AX9" s="697" t="str">
        <f>IFERROR(__xludf.DUMMYFUNCTION("""COMPUTED_VALUE"""),"Those who completed the 6 week course of doxycycline MDA in 2007 and 2008, plus one or two annuall treatments of ivermectin MDA, and those who received ivermectin MDA alone.")</f>
        <v>Those who completed the 6 week course of doxycycline MDA in 2007 and 2008, plus one or two annuall treatments of ivermectin MDA, and those who received ivermectin MDA alone.</v>
      </c>
      <c r="AY9" s="697" t="str">
        <f>IFERROR(__xludf.DUMMYFUNCTION("""COMPUTED_VALUE"""),"Yes")</f>
        <v>Yes</v>
      </c>
      <c r="AZ9" s="697" t="str">
        <f>IFERROR(__xludf.DUMMYFUNCTION("""COMPUTED_VALUE"""),"Yes")</f>
        <v>Yes</v>
      </c>
      <c r="BA9" s="697" t="str">
        <f>IFERROR(__xludf.DUMMYFUNCTION("""COMPUTED_VALUE"""),"Microfilarial prevalence (primary) and load in the two treatment groups.")</f>
        <v>Microfilarial prevalence (primary) and load in the two treatment groups.</v>
      </c>
      <c r="BB9" s="697"/>
      <c r="BC9" s="697" t="str">
        <f>IFERROR(__xludf.DUMMYFUNCTION("""COMPUTED_VALUE"""),"The delivery of doxycycline with a community-directed approach is not only feasible, but also effective in reducing microfilariadermia prevalence and load in long-term efficacy.")</f>
        <v>The delivery of doxycycline with a community-directed approach is not only feasible, but also effective in reducing microfilariadermia prevalence and load in long-term efficacy.</v>
      </c>
      <c r="BD9" s="697"/>
      <c r="BE9" s="697"/>
      <c r="BF9" s="697"/>
      <c r="BG9" s="697" t="str">
        <f>IFERROR(__xludf.DUMMYFUNCTION("""COMPUTED_VALUE"""),"x")</f>
        <v>x</v>
      </c>
    </row>
    <row r="10" hidden="1">
      <c r="A10" s="697"/>
      <c r="B10" s="697" t="str">
        <f>IFERROR(__xludf.DUMMYFUNCTION("""COMPUTED_VALUE"""),"Tamarozzi et al.")</f>
        <v>Tamarozzi et al.</v>
      </c>
      <c r="C10" s="697" t="str">
        <f>IFERROR(__xludf.DUMMYFUNCTION("""COMPUTED_VALUE"""),"Cameroon")</f>
        <v>Cameroon</v>
      </c>
      <c r="D10" s="697" t="str">
        <f>IFERROR(__xludf.DUMMYFUNCTION("""COMPUTED_VALUE"""),"Ivermectin")</f>
        <v>Ivermectin</v>
      </c>
      <c r="E10" s="697" t="str">
        <f>IFERROR(__xludf.DUMMYFUNCTION("""COMPUTED_VALUE"""),"150ug/kg")</f>
        <v>150ug/kg</v>
      </c>
      <c r="F10" s="697">
        <f>IFERROR(__xludf.DUMMYFUNCTION("""COMPUTED_VALUE"""),1.0)</f>
        <v>1</v>
      </c>
      <c r="G10" s="697" t="str">
        <f>IFERROR(__xludf.DUMMYFUNCTION("""COMPUTED_VALUE"""),"150 ug/kg")</f>
        <v>150 ug/kg</v>
      </c>
      <c r="H10" s="697"/>
      <c r="I10" s="697"/>
      <c r="J10" s="697"/>
      <c r="K10" s="697"/>
      <c r="L10" s="697"/>
      <c r="M10" s="697"/>
      <c r="N10" s="697"/>
      <c r="O10" s="697"/>
      <c r="P10" s="697"/>
      <c r="Q10" s="697"/>
      <c r="R10" s="697"/>
      <c r="S10" s="697"/>
      <c r="T10" s="697"/>
      <c r="U10" s="697"/>
      <c r="V10" s="697"/>
      <c r="W10" s="697"/>
      <c r="X10" s="697"/>
      <c r="Y10" s="697"/>
      <c r="Z10" s="697"/>
      <c r="AA10" s="697"/>
      <c r="AB10" s="697"/>
      <c r="AC10" s="700">
        <f>IFERROR(__xludf.DUMMYFUNCTION("""COMPUTED_VALUE"""),1.0)</f>
        <v>1</v>
      </c>
      <c r="AD10" s="697"/>
      <c r="AE10" s="700">
        <f>IFERROR(__xludf.DUMMYFUNCTION("""COMPUTED_VALUE"""),0.73)</f>
        <v>0.73</v>
      </c>
      <c r="AF10" s="697"/>
      <c r="AG10" s="697"/>
      <c r="AH10" s="697"/>
      <c r="AI10" s="697"/>
      <c r="AJ10" s="697"/>
      <c r="AK10" s="697"/>
      <c r="AL10" s="697"/>
      <c r="AM10" s="697"/>
      <c r="AN10" s="700">
        <f>IFERROR(__xludf.DUMMYFUNCTION("""COMPUTED_VALUE"""),1.0)</f>
        <v>1</v>
      </c>
      <c r="AO10" s="698">
        <f>IFERROR(__xludf.DUMMYFUNCTION("""COMPUTED_VALUE"""),1.0)</f>
        <v>1</v>
      </c>
      <c r="AP10" s="697" t="str">
        <f>IFERROR(__xludf.DUMMYFUNCTION("""COMPUTED_VALUE"""),"Mf reduction")</f>
        <v>Mf reduction</v>
      </c>
      <c r="AQ10" s="697" t="str">
        <f>IFERROR(__xludf.DUMMYFUNCTION("""COMPUTED_VALUE"""),"Matouke, Mombo and Kotto")</f>
        <v>Matouke, Mombo and Kotto</v>
      </c>
      <c r="AR10" s="697">
        <f>IFERROR(__xludf.DUMMYFUNCTION("""COMPUTED_VALUE"""),2008.0)</f>
        <v>2008</v>
      </c>
      <c r="AS10" s="697" t="str">
        <f>IFERROR(__xludf.DUMMYFUNCTION("""COMPUTED_VALUE"""),"132/507")</f>
        <v>132/507</v>
      </c>
      <c r="AT10" s="697" t="str">
        <f>IFERROR(__xludf.DUMMYFUNCTION("""COMPUTED_VALUE"""),"6 weeks")</f>
        <v>6 weeks</v>
      </c>
      <c r="AU10" s="699" t="str">
        <f>IFERROR(__xludf.DUMMYFUNCTION("""COMPUTED_VALUE"""),"Tamarozzi F, Tendongfor N, Enyong PA, Esum M, Faragher B, Wanji S, Taylor MJ. Long term impact of large scale community-directed delivery of doxycycline for the treatment of onchocerciasis. Parasit Vectors. 2012 Mar 20;5:53. doi: 10.1186/1756-3305-5-53")</f>
        <v>Tamarozzi F, Tendongfor N, Enyong PA, Esum M, Faragher B, Wanji S, Taylor MJ. Long term impact of large scale community-directed delivery of doxycycline for the treatment of onchocerciasis. Parasit Vectors. 2012 Mar 20;5:53. doi: 10.1186/1756-3305-5-53</v>
      </c>
      <c r="AV10" s="697" t="str">
        <f>IFERROR(__xludf.DUMMYFUNCTION("""COMPUTED_VALUE"""),"261 M, 247 F")</f>
        <v>261 M, 247 F</v>
      </c>
      <c r="AW10" s="697" t="str">
        <f>IFERROR(__xludf.DUMMYFUNCTION("""COMPUTED_VALUE"""),"Mean Age + Range: 36.86(19-71)")</f>
        <v>Mean Age + Range: 36.86(19-71)</v>
      </c>
      <c r="AX10" s="697"/>
      <c r="AY10" s="697" t="str">
        <f>IFERROR(__xludf.DUMMYFUNCTION("""COMPUTED_VALUE"""),"Yes")</f>
        <v>Yes</v>
      </c>
      <c r="AZ10" s="697" t="str">
        <f>IFERROR(__xludf.DUMMYFUNCTION("""COMPUTED_VALUE"""),"Yes")</f>
        <v>Yes</v>
      </c>
      <c r="BA10" s="697"/>
      <c r="BB10" s="697"/>
      <c r="BC10" s="697" t="str">
        <f>IFERROR(__xludf.DUMMYFUNCTION("""COMPUTED_VALUE"""),"The delivery of doxycycline with a community-directed approach is not only feasible, but also effective in reducing microfilariadermia prevalence and load in long-term efficacy.")</f>
        <v>The delivery of doxycycline with a community-directed approach is not only feasible, but also effective in reducing microfilariadermia prevalence and load in long-term efficacy.</v>
      </c>
      <c r="BD10" s="697"/>
      <c r="BE10" s="697"/>
      <c r="BF10" s="697"/>
      <c r="BG10" s="697" t="str">
        <f>IFERROR(__xludf.DUMMYFUNCTION("""COMPUTED_VALUE"""),"x")</f>
        <v>x</v>
      </c>
    </row>
    <row r="11" hidden="1">
      <c r="A11" s="697"/>
      <c r="B11" s="697" t="str">
        <f>IFERROR(__xludf.DUMMYFUNCTION("""COMPUTED_VALUE"""),"Hoerauf et al.")</f>
        <v>Hoerauf et al.</v>
      </c>
      <c r="C11" s="697" t="str">
        <f>IFERROR(__xludf.DUMMYFUNCTION("""COMPUTED_VALUE"""),"Ghana")</f>
        <v>Ghana</v>
      </c>
      <c r="D11" s="697" t="str">
        <f>IFERROR(__xludf.DUMMYFUNCTION("""COMPUTED_VALUE"""),"Placebo, untreated")</f>
        <v>Placebo, untreated</v>
      </c>
      <c r="E11" s="697"/>
      <c r="F11" s="697"/>
      <c r="G11" s="697"/>
      <c r="H11" s="697"/>
      <c r="I11" s="697"/>
      <c r="J11" s="697"/>
      <c r="K11" s="697"/>
      <c r="L11" s="697"/>
      <c r="M11" s="697"/>
      <c r="N11" s="697"/>
      <c r="O11" s="697"/>
      <c r="P11" s="697"/>
      <c r="Q11" s="697"/>
      <c r="R11" s="697"/>
      <c r="S11" s="697"/>
      <c r="T11" s="697"/>
      <c r="U11" s="697"/>
      <c r="V11" s="697"/>
      <c r="W11" s="697"/>
      <c r="X11" s="697"/>
      <c r="Y11" s="697"/>
      <c r="Z11" s="700">
        <f>IFERROR(__xludf.DUMMYFUNCTION("""COMPUTED_VALUE"""),0.0)</f>
        <v>0</v>
      </c>
      <c r="AA11" s="697"/>
      <c r="AB11" s="697"/>
      <c r="AC11" s="697"/>
      <c r="AD11" s="697"/>
      <c r="AE11" s="697"/>
      <c r="AF11" s="697"/>
      <c r="AG11" s="697"/>
      <c r="AH11" s="697"/>
      <c r="AI11" s="697"/>
      <c r="AJ11" s="697"/>
      <c r="AK11" s="697"/>
      <c r="AL11" s="697"/>
      <c r="AM11" s="697"/>
      <c r="AN11" s="700">
        <f>IFERROR(__xludf.DUMMYFUNCTION("""COMPUTED_VALUE"""),0.0)</f>
        <v>0</v>
      </c>
      <c r="AO11" s="698">
        <f>IFERROR(__xludf.DUMMYFUNCTION("""COMPUTED_VALUE"""),0.0)</f>
        <v>0</v>
      </c>
      <c r="AP11" s="697" t="str">
        <f>IFERROR(__xludf.DUMMYFUNCTION("""COMPUTED_VALUE"""),"Mf reduction")</f>
        <v>Mf reduction</v>
      </c>
      <c r="AQ11" s="697" t="str">
        <f>IFERROR(__xludf.DUMMYFUNCTION("""COMPUTED_VALUE"""),"Assin district, Central Region of Ghana.")</f>
        <v>Assin district, Central Region of Ghana.</v>
      </c>
      <c r="AR11" s="697">
        <f>IFERROR(__xludf.DUMMYFUNCTION("""COMPUTED_VALUE"""),2006.0)</f>
        <v>2006</v>
      </c>
      <c r="AS11" s="697">
        <f>IFERROR(__xludf.DUMMYFUNCTION("""COMPUTED_VALUE"""),10.0)</f>
        <v>10</v>
      </c>
      <c r="AT11" s="697" t="str">
        <f>IFERROR(__xludf.DUMMYFUNCTION("""COMPUTED_VALUE"""),"27 months")</f>
        <v>27 months</v>
      </c>
      <c r="AU11" s="699" t="str">
        <f>IFERROR(__xludf.DUMMYFUNCTION("""COMPUTED_VALUE"""),"Hoerauf, A.; Specht, S.; Marfo-Debrekyei, Y.; Büttner, M; Debrah, Y.A.; Mand, S.; Batsa, L.; Brattig, N.; Konadu, P.; Bandi, C.; Fimmers, R.; Adjei, O.; Büttner, D.W. (2009) Efficacy of 5-week doxycycline treatment on adult Onchocerca volvulus. Parasitol "&amp;"Res 104: 437-447. doi: 10.1007/s00436-008-1217-8.")</f>
        <v>Hoerauf, A.; Specht, S.; Marfo-Debrekyei, Y.; Büttner, M; Debrah, Y.A.; Mand, S.; Batsa, L.; Brattig, N.; Konadu, P.; Bandi, C.; Fimmers, R.; Adjei, O.; Büttner, D.W. (2009) Efficacy of 5-week doxycycline treatment on adult Onchocerca volvulus. Parasitol Res 104: 437-447. doi: 10.1007/s00436-008-1217-8.</v>
      </c>
      <c r="AV11" s="697" t="str">
        <f>IFERROR(__xludf.DUMMYFUNCTION("""COMPUTED_VALUE"""),"5 M 5 F")</f>
        <v>5 M 5 F</v>
      </c>
      <c r="AW11" s="697" t="str">
        <f>IFERROR(__xludf.DUMMYFUNCTION("""COMPUTED_VALUE"""),"Mean Age + Range: 34(18-53)")</f>
        <v>Mean Age + Range: 34(18-53)</v>
      </c>
      <c r="AX11" s="697" t="str">
        <f>IFERROR(__xludf.DUMMYFUNCTION("""COMPUTED_VALUE"""),"Exclusion criteria encompassed a history of intolerance to doxycycline and of alcohol or drug abuse. Other exclusion criteria were assessed by dipstick chemistry; pregnancy (in case of wrong oral declaration of being post-menopausal), hepatic and renal en"&amp;"zymes above normal values (γ-GT [0–28 IU/L], ALT [0–45 IU/L], and creatinine [53–126 μmol/L]).")</f>
        <v>Exclusion criteria encompassed a history of intolerance to doxycycline and of alcohol or drug abuse. Other exclusion criteria were assessed by dipstick chemistry; pregnancy (in case of wrong oral declaration of being post-menopausal), hepatic and renal enzymes above normal values (γ-GT [0–28 IU/L], ALT [0–45 IU/L], and creatinine [53–126 μmol/L]).</v>
      </c>
      <c r="AY11" s="697" t="str">
        <f>IFERROR(__xludf.DUMMYFUNCTION("""COMPUTED_VALUE"""),"No")</f>
        <v>No</v>
      </c>
      <c r="AZ11" s="697" t="str">
        <f>IFERROR(__xludf.DUMMYFUNCTION("""COMPUTED_VALUE"""),"Yes")</f>
        <v>Yes</v>
      </c>
      <c r="BA11" s="697"/>
      <c r="BB11" s="697"/>
      <c r="BC11" s="697" t="str">
        <f>IFERROR(__xludf.DUMMYFUNCTION("""COMPUTED_VALUE"""),"Ivermectin remains the drug of choice for the areas which are currently covered by the African Programme for Onchocerciasis Control, because doxycycline would have to be frequently re-administered to people that have already beentreated in order to cure n"&amp;"ew infection.")</f>
        <v>Ivermectin remains the drug of choice for the areas which are currently covered by the African Programme for Onchocerciasis Control, because doxycycline would have to be frequently re-administered to people that have already beentreated in order to cure new infection.</v>
      </c>
      <c r="BD11" s="697" t="str">
        <f>IFERROR(__xludf.DUMMYFUNCTION("""COMPUTED_VALUE"""),"2 patiens out of the enrolled 24 were excluded because they were absent too often during treatment.")</f>
        <v>2 patiens out of the enrolled 24 were excluded because they were absent too often during treatment.</v>
      </c>
      <c r="BE11" s="697"/>
      <c r="BF11" s="697"/>
      <c r="BG11" s="697" t="str">
        <f>IFERROR(__xludf.DUMMYFUNCTION("""COMPUTED_VALUE"""),"x")</f>
        <v>x</v>
      </c>
    </row>
    <row r="12" hidden="1">
      <c r="A12" s="697"/>
      <c r="B12" s="697" t="str">
        <f>IFERROR(__xludf.DUMMYFUNCTION("""COMPUTED_VALUE"""),"Hoerauf et al.")</f>
        <v>Hoerauf et al.</v>
      </c>
      <c r="C12" s="697" t="str">
        <f>IFERROR(__xludf.DUMMYFUNCTION("""COMPUTED_VALUE"""),"Ghana")</f>
        <v>Ghana</v>
      </c>
      <c r="D12" s="697" t="str">
        <f>IFERROR(__xludf.DUMMYFUNCTION("""COMPUTED_VALUE"""),"Doxycycline")</f>
        <v>Doxycycline</v>
      </c>
      <c r="E12" s="697" t="str">
        <f>IFERROR(__xludf.DUMMYFUNCTION("""COMPUTED_VALUE"""),"100mg")</f>
        <v>100mg</v>
      </c>
      <c r="F12" s="697">
        <f>IFERROR(__xludf.DUMMYFUNCTION("""COMPUTED_VALUE"""),35.0)</f>
        <v>35</v>
      </c>
      <c r="G12" s="697" t="str">
        <f>IFERROR(__xludf.DUMMYFUNCTION("""COMPUTED_VALUE"""),"3500mg")</f>
        <v>3500mg</v>
      </c>
      <c r="H12" s="697"/>
      <c r="I12" s="697"/>
      <c r="J12" s="697"/>
      <c r="K12" s="697"/>
      <c r="L12" s="697"/>
      <c r="M12" s="697"/>
      <c r="N12" s="697"/>
      <c r="O12" s="697"/>
      <c r="P12" s="697"/>
      <c r="Q12" s="697"/>
      <c r="R12" s="697"/>
      <c r="S12" s="697"/>
      <c r="T12" s="697"/>
      <c r="U12" s="697"/>
      <c r="V12" s="697"/>
      <c r="W12" s="697"/>
      <c r="X12" s="697"/>
      <c r="Y12" s="697"/>
      <c r="Z12" s="698">
        <f>IFERROR(__xludf.DUMMYFUNCTION("""COMPUTED_VALUE"""),0.933)</f>
        <v>0.933</v>
      </c>
      <c r="AA12" s="697"/>
      <c r="AB12" s="697"/>
      <c r="AC12" s="697"/>
      <c r="AD12" s="697"/>
      <c r="AE12" s="697"/>
      <c r="AF12" s="697"/>
      <c r="AG12" s="697"/>
      <c r="AH12" s="697"/>
      <c r="AI12" s="697"/>
      <c r="AJ12" s="697"/>
      <c r="AK12" s="697"/>
      <c r="AL12" s="697"/>
      <c r="AM12" s="697"/>
      <c r="AN12" s="698">
        <f>IFERROR(__xludf.DUMMYFUNCTION("""COMPUTED_VALUE"""),0.933)</f>
        <v>0.933</v>
      </c>
      <c r="AO12" s="698">
        <f>IFERROR(__xludf.DUMMYFUNCTION("""COMPUTED_VALUE"""),0.933)</f>
        <v>0.933</v>
      </c>
      <c r="AP12" s="697" t="str">
        <f>IFERROR(__xludf.DUMMYFUNCTION("""COMPUTED_VALUE"""),"Mf reduction")</f>
        <v>Mf reduction</v>
      </c>
      <c r="AQ12" s="697" t="str">
        <f>IFERROR(__xludf.DUMMYFUNCTION("""COMPUTED_VALUE"""),"Assin district, Central Region of Ghana.")</f>
        <v>Assin district, Central Region of Ghana.</v>
      </c>
      <c r="AR12" s="697">
        <f>IFERROR(__xludf.DUMMYFUNCTION("""COMPUTED_VALUE"""),2006.0)</f>
        <v>2006</v>
      </c>
      <c r="AS12" s="697">
        <f>IFERROR(__xludf.DUMMYFUNCTION("""COMPUTED_VALUE"""),17.0)</f>
        <v>17</v>
      </c>
      <c r="AT12" s="697" t="str">
        <f>IFERROR(__xludf.DUMMYFUNCTION("""COMPUTED_VALUE"""),"27 months")</f>
        <v>27 months</v>
      </c>
      <c r="AU12" s="699" t="str">
        <f>IFERROR(__xludf.DUMMYFUNCTION("""COMPUTED_VALUE"""),"Hoerauf, A.; Specht, S.; Marfo-Debrekyei, Y.; Büttner, M; Debrah, Y.A.; Mand, S.; Batsa, L.; Brattig, N.; Konadu, P.; Bandi, C.; Fimmers, R.; Adjei, O.; Büttner, D.W. (2009) Efficacy of 5-week doxycycline treatment on adult Onchocerca volvulus. Parasitol "&amp;"Res 104: 437-447. doi: 10.1007/s00436-008-1217-8.")</f>
        <v>Hoerauf, A.; Specht, S.; Marfo-Debrekyei, Y.; Büttner, M; Debrah, Y.A.; Mand, S.; Batsa, L.; Brattig, N.; Konadu, P.; Bandi, C.; Fimmers, R.; Adjei, O.; Büttner, D.W. (2009) Efficacy of 5-week doxycycline treatment on adult Onchocerca volvulus. Parasitol Res 104: 437-447. doi: 10.1007/s00436-008-1217-8.</v>
      </c>
      <c r="AV12" s="697" t="str">
        <f>IFERROR(__xludf.DUMMYFUNCTION("""COMPUTED_VALUE"""),"11 M 6 F")</f>
        <v>11 M 6 F</v>
      </c>
      <c r="AW12" s="697" t="str">
        <f>IFERROR(__xludf.DUMMYFUNCTION("""COMPUTED_VALUE"""),"Mean Age + Range 35(25-49)")</f>
        <v>Mean Age + Range 35(25-49)</v>
      </c>
      <c r="AX12" s="697"/>
      <c r="AY12" s="697" t="str">
        <f>IFERROR(__xludf.DUMMYFUNCTION("""COMPUTED_VALUE"""),"No")</f>
        <v>No</v>
      </c>
      <c r="AZ12" s="697" t="str">
        <f>IFERROR(__xludf.DUMMYFUNCTION("""COMPUTED_VALUE"""),"Yes")</f>
        <v>Yes</v>
      </c>
      <c r="BA12" s="697"/>
      <c r="BB12" s="697"/>
      <c r="BC12" s="697" t="str">
        <f>IFERROR(__xludf.DUMMYFUNCTION("""COMPUTED_VALUE"""),"Ivermectin remains the drug of choice for the areas which are currently covered by the African Programme for Onchocerciasis Control, because doxycycline would have to be frequently re-administered to people that have already beentreated in order to cure n"&amp;"ew infection.")</f>
        <v>Ivermectin remains the drug of choice for the areas which are currently covered by the African Programme for Onchocerciasis Control, because doxycycline would have to be frequently re-administered to people that have already beentreated in order to cure new infection.</v>
      </c>
      <c r="BD12" s="697" t="str">
        <f>IFERROR(__xludf.DUMMYFUNCTION("""COMPUTED_VALUE"""),"2 patiens out of the enrolled 24 were excluded because they were absent too often during treatment.")</f>
        <v>2 patiens out of the enrolled 24 were excluded because they were absent too often during treatment.</v>
      </c>
      <c r="BE12" s="697"/>
      <c r="BF12" s="697"/>
      <c r="BG12" s="697" t="str">
        <f>IFERROR(__xludf.DUMMYFUNCTION("""COMPUTED_VALUE"""),"x")</f>
        <v>x</v>
      </c>
    </row>
    <row r="13">
      <c r="A13" s="697"/>
      <c r="B13" s="697" t="str">
        <f>IFERROR(__xludf.DUMMYFUNCTION("""COMPUTED_VALUE"""),"Specht et al. ")</f>
        <v>Specht et al. </v>
      </c>
      <c r="C13" s="697" t="str">
        <f>IFERROR(__xludf.DUMMYFUNCTION("""COMPUTED_VALUE"""),"Ghana")</f>
        <v>Ghana</v>
      </c>
      <c r="D13" s="697" t="str">
        <f>IFERROR(__xludf.DUMMYFUNCTION("""COMPUTED_VALUE"""),"Placebo, untreated")</f>
        <v>Placebo, untreated</v>
      </c>
      <c r="E13" s="697"/>
      <c r="F13" s="697"/>
      <c r="G13" s="697"/>
      <c r="H13" s="697"/>
      <c r="I13" s="697"/>
      <c r="J13" s="697"/>
      <c r="K13" s="697"/>
      <c r="L13" s="697"/>
      <c r="M13" s="697"/>
      <c r="N13" s="697"/>
      <c r="O13" s="697"/>
      <c r="P13" s="697"/>
      <c r="Q13" s="697"/>
      <c r="R13" s="697"/>
      <c r="S13" s="697"/>
      <c r="T13" s="697"/>
      <c r="U13" s="697"/>
      <c r="V13" s="697"/>
      <c r="W13" s="697"/>
      <c r="X13" s="697"/>
      <c r="Y13" s="697"/>
      <c r="Z13" s="697"/>
      <c r="AA13" s="697"/>
      <c r="AB13" s="697"/>
      <c r="AC13" s="697"/>
      <c r="AD13" s="697"/>
      <c r="AE13" s="697" t="str">
        <f>IFERROR(__xludf.DUMMYFUNCTION("""COMPUTED_VALUE"""),"n/a")</f>
        <v>n/a</v>
      </c>
      <c r="AF13" s="697"/>
      <c r="AG13" s="697"/>
      <c r="AH13" s="697"/>
      <c r="AI13" s="697"/>
      <c r="AJ13" s="697"/>
      <c r="AK13" s="697" t="str">
        <f>IFERROR(__xludf.DUMMYFUNCTION("""COMPUTED_VALUE"""),"Nodulectomy: Living females 89/109 82%; Living males 39/41 95%")</f>
        <v>Nodulectomy: Living females 89/109 82%; Living males 39/41 95%</v>
      </c>
      <c r="AL13" s="697"/>
      <c r="AM13" s="697"/>
      <c r="AN13" s="697">
        <f>IFERROR(__xludf.DUMMYFUNCTION("""COMPUTED_VALUE"""),0.0)</f>
        <v>0</v>
      </c>
      <c r="AO13" s="698">
        <f>IFERROR(__xludf.DUMMYFUNCTION("""COMPUTED_VALUE"""),0.0)</f>
        <v>0</v>
      </c>
      <c r="AP13" s="697" t="str">
        <f>IFERROR(__xludf.DUMMYFUNCTION("""COMPUTED_VALUE""")," Nodulectomy: dead worms")</f>
        <v> Nodulectomy: dead worms</v>
      </c>
      <c r="AQ13" s="697" t="str">
        <f>IFERROR(__xludf.DUMMYFUNCTION("""COMPUTED_VALUE"""),"Upper Denkyira district in the Central Region of Ghana")</f>
        <v>Upper Denkyira district in the Central Region of Ghana</v>
      </c>
      <c r="AR13" s="697">
        <f>IFERROR(__xludf.DUMMYFUNCTION("""COMPUTED_VALUE"""),2002.0)</f>
        <v>2002</v>
      </c>
      <c r="AS13" s="697">
        <f>IFERROR(__xludf.DUMMYFUNCTION("""COMPUTED_VALUE"""),9.0)</f>
        <v>9</v>
      </c>
      <c r="AT13" s="697" t="str">
        <f>IFERROR(__xludf.DUMMYFUNCTION("""COMPUTED_VALUE"""),"18 months")</f>
        <v>18 months</v>
      </c>
      <c r="AU13" s="699" t="str">
        <f>IFERROR(__xludf.DUMMYFUNCTION("""COMPUTED_VALUE"""),"Specht, S. et al. (2008). Efficacy of 2- and 4- week of Rifampicin treatment on the Wolbachia of Onchocerca volvulus")</f>
        <v>Specht, S. et al. (2008). Efficacy of 2- and 4- week of Rifampicin treatment on the Wolbachia of Onchocerca volvulus</v>
      </c>
      <c r="AV13" s="697" t="str">
        <f>IFERROR(__xludf.DUMMYFUNCTION("""COMPUTED_VALUE"""),"5 M/4 F")</f>
        <v>5 M/4 F</v>
      </c>
      <c r="AW13" s="697" t="str">
        <f>IFERROR(__xludf.DUMMYFUNCTION("""COMPUTED_VALUE"""),"Mean Age + Range: 40(25-50)")</f>
        <v>Mean Age + Range: 40(25-50)</v>
      </c>
      <c r="AX13" s="697" t="str">
        <f>IFERROR(__xludf.DUMMYFUNCTION("""COMPUTED_VALUE"""),"Individuals eligible for treatment were adult men and for untreated controls men and women, all aged 18–60 years. Participants with a body weight of at least 40 kg, in good health without any clinical condition requiring chronic medication, had to be nodu"&amp;"le (onchocercoma) carriers.")</f>
        <v>Individuals eligible for treatment were adult men and for untreated controls men and women, all aged 18–60 years. Participants with a body weight of at least 40 kg, in good health without any clinical condition requiring chronic medication, had to be nodule (onchocercoma) carriers.</v>
      </c>
      <c r="AY13" s="697" t="str">
        <f>IFERROR(__xludf.DUMMYFUNCTION("""COMPUTED_VALUE"""),"No")</f>
        <v>No</v>
      </c>
      <c r="AZ13" s="697" t="str">
        <f>IFERROR(__xludf.DUMMYFUNCTION("""COMPUTED_VALUE"""),"No")</f>
        <v>No</v>
      </c>
      <c r="BA13" s="697"/>
      <c r="BB13" s="697"/>
      <c r="BC13" s="697" t="str">
        <f>IFERROR(__xludf.DUMMYFUNCTION("""COMPUTED_VALUE"""),"The results from this preliminary study suggest that rifampicin does have the potential to be further developed as anti-filarial drug.")</f>
        <v>The results from this preliminary study suggest that rifampicin does have the potential to be further developed as anti-filarial drug.</v>
      </c>
      <c r="BD13" s="697" t="str">
        <f>IFERROR(__xludf.DUMMYFUNCTION("""COMPUTED_VALUE"""),"One patient dropped out after 7 days of treatment, one patient of the 4-week group showed increased liver enzymes after 2 weeks of treatment, so treatment was therefore stopped.")</f>
        <v>One patient dropped out after 7 days of treatment, one patient of the 4-week group showed increased liver enzymes after 2 weeks of treatment, so treatment was therefore stopped.</v>
      </c>
      <c r="BE13" s="697"/>
      <c r="BF13" s="697"/>
      <c r="BG13" s="697"/>
    </row>
    <row r="14">
      <c r="A14" s="697"/>
      <c r="B14" s="697" t="str">
        <f>IFERROR(__xludf.DUMMYFUNCTION("""COMPUTED_VALUE"""),"Specht et al. ")</f>
        <v>Specht et al. </v>
      </c>
      <c r="C14" s="697" t="str">
        <f>IFERROR(__xludf.DUMMYFUNCTION("""COMPUTED_VALUE"""),"Ghana")</f>
        <v>Ghana</v>
      </c>
      <c r="D14" s="697" t="str">
        <f>IFERROR(__xludf.DUMMYFUNCTION("""COMPUTED_VALUE"""),"Rifampicin")</f>
        <v>Rifampicin</v>
      </c>
      <c r="E14" s="697" t="str">
        <f>IFERROR(__xludf.DUMMYFUNCTION("""COMPUTED_VALUE"""),"10mg/kg")</f>
        <v>10mg/kg</v>
      </c>
      <c r="F14" s="697">
        <f>IFERROR(__xludf.DUMMYFUNCTION("""COMPUTED_VALUE"""),14.0)</f>
        <v>14</v>
      </c>
      <c r="G14" s="697" t="str">
        <f>IFERROR(__xludf.DUMMYFUNCTION("""COMPUTED_VALUE"""),"1400mg/kg")</f>
        <v>1400mg/kg</v>
      </c>
      <c r="H14" s="697"/>
      <c r="I14" s="697"/>
      <c r="J14" s="697"/>
      <c r="K14" s="697"/>
      <c r="L14" s="697"/>
      <c r="M14" s="697"/>
      <c r="N14" s="697"/>
      <c r="O14" s="700">
        <f>IFERROR(__xludf.DUMMYFUNCTION("""COMPUTED_VALUE"""),1.0)</f>
        <v>1</v>
      </c>
      <c r="P14" s="697"/>
      <c r="Q14" s="697"/>
      <c r="R14" s="697"/>
      <c r="S14" s="697"/>
      <c r="T14" s="697"/>
      <c r="U14" s="697"/>
      <c r="V14" s="697"/>
      <c r="W14" s="697"/>
      <c r="X14" s="700">
        <f>IFERROR(__xludf.DUMMYFUNCTION("""COMPUTED_VALUE"""),0.78)</f>
        <v>0.78</v>
      </c>
      <c r="Y14" s="697"/>
      <c r="Z14" s="697"/>
      <c r="AA14" s="697"/>
      <c r="AB14" s="697"/>
      <c r="AC14" s="697"/>
      <c r="AD14" s="697"/>
      <c r="AE14" s="697" t="str">
        <f>IFERROR(__xludf.DUMMYFUNCTION("""COMPUTED_VALUE"""),"n/a")</f>
        <v>n/a</v>
      </c>
      <c r="AF14" s="697"/>
      <c r="AG14" s="697"/>
      <c r="AH14" s="697"/>
      <c r="AI14" s="697"/>
      <c r="AJ14" s="697"/>
      <c r="AK14" s="697"/>
      <c r="AL14" s="697"/>
      <c r="AM14" s="697"/>
      <c r="AN14" s="700">
        <f>IFERROR(__xludf.DUMMYFUNCTION("""COMPUTED_VALUE"""),1.0)</f>
        <v>1</v>
      </c>
      <c r="AO14" s="698">
        <f>IFERROR(__xludf.DUMMYFUNCTION("""COMPUTED_VALUE"""),1.0)</f>
        <v>1</v>
      </c>
      <c r="AP14" s="697" t="str">
        <f>IFERROR(__xludf.DUMMYFUNCTION("""COMPUTED_VALUE""")," Nodulectomy: dead worms")</f>
        <v> Nodulectomy: dead worms</v>
      </c>
      <c r="AQ14" s="697" t="str">
        <f>IFERROR(__xludf.DUMMYFUNCTION("""COMPUTED_VALUE"""),"Upper Denkyira district in the Central Region of Ghana")</f>
        <v>Upper Denkyira district in the Central Region of Ghana</v>
      </c>
      <c r="AR14" s="697">
        <f>IFERROR(__xludf.DUMMYFUNCTION("""COMPUTED_VALUE"""),2002.0)</f>
        <v>2002</v>
      </c>
      <c r="AS14" s="697">
        <f>IFERROR(__xludf.DUMMYFUNCTION("""COMPUTED_VALUE"""),10.0)</f>
        <v>10</v>
      </c>
      <c r="AT14" s="697" t="str">
        <f>IFERROR(__xludf.DUMMYFUNCTION("""COMPUTED_VALUE"""),"18 months")</f>
        <v>18 months</v>
      </c>
      <c r="AU14" s="699" t="str">
        <f>IFERROR(__xludf.DUMMYFUNCTION("""COMPUTED_VALUE"""),"Specht, S. et al. (2008). Efficacy of 2- and 4- week of Rifampicin treatment on the Wolbachia of Onchocerca volvulus")</f>
        <v>Specht, S. et al. (2008). Efficacy of 2- and 4- week of Rifampicin treatment on the Wolbachia of Onchocerca volvulus</v>
      </c>
      <c r="AV14" s="697" t="str">
        <f>IFERROR(__xludf.DUMMYFUNCTION("""COMPUTED_VALUE"""),"10 M/0 F")</f>
        <v>10 M/0 F</v>
      </c>
      <c r="AW14" s="697" t="str">
        <f>IFERROR(__xludf.DUMMYFUNCTION("""COMPUTED_VALUE"""),"Mean Age + Range: 39(23-48)")</f>
        <v>Mean Age + Range: 39(23-48)</v>
      </c>
      <c r="AX14" s="697"/>
      <c r="AY14" s="697" t="str">
        <f>IFERROR(__xludf.DUMMYFUNCTION("""COMPUTED_VALUE"""),"No")</f>
        <v>No</v>
      </c>
      <c r="AZ14" s="697" t="str">
        <f>IFERROR(__xludf.DUMMYFUNCTION("""COMPUTED_VALUE"""),"No")</f>
        <v>No</v>
      </c>
      <c r="BA14" s="697"/>
      <c r="BB14" s="697"/>
      <c r="BC14" s="697" t="str">
        <f>IFERROR(__xludf.DUMMYFUNCTION("""COMPUTED_VALUE"""),"The results from this preliminary study suggest that rifampicin does have the potential to be further developed as anti-filarial drug.")</f>
        <v>The results from this preliminary study suggest that rifampicin does have the potential to be further developed as anti-filarial drug.</v>
      </c>
      <c r="BD14" s="697"/>
      <c r="BE14" s="697"/>
      <c r="BF14" s="697"/>
      <c r="BG14" s="697"/>
    </row>
    <row r="15">
      <c r="A15" s="697"/>
      <c r="B15" s="697" t="str">
        <f>IFERROR(__xludf.DUMMYFUNCTION("""COMPUTED_VALUE"""),"Specht et al. ")</f>
        <v>Specht et al. </v>
      </c>
      <c r="C15" s="697" t="str">
        <f>IFERROR(__xludf.DUMMYFUNCTION("""COMPUTED_VALUE"""),"Ghana")</f>
        <v>Ghana</v>
      </c>
      <c r="D15" s="697" t="str">
        <f>IFERROR(__xludf.DUMMYFUNCTION("""COMPUTED_VALUE"""),"Rifampicin")</f>
        <v>Rifampicin</v>
      </c>
      <c r="E15" s="697" t="str">
        <f>IFERROR(__xludf.DUMMYFUNCTION("""COMPUTED_VALUE"""),"10mg/kg")</f>
        <v>10mg/kg</v>
      </c>
      <c r="F15" s="697">
        <f>IFERROR(__xludf.DUMMYFUNCTION("""COMPUTED_VALUE"""),28.0)</f>
        <v>28</v>
      </c>
      <c r="G15" s="697" t="str">
        <f>IFERROR(__xludf.DUMMYFUNCTION("""COMPUTED_VALUE"""),"2800mg/kg")</f>
        <v>2800mg/kg</v>
      </c>
      <c r="H15" s="697"/>
      <c r="I15" s="697"/>
      <c r="J15" s="697"/>
      <c r="K15" s="697"/>
      <c r="L15" s="697"/>
      <c r="M15" s="697"/>
      <c r="N15" s="697"/>
      <c r="O15" s="697"/>
      <c r="P15" s="697"/>
      <c r="Q15" s="697"/>
      <c r="R15" s="697"/>
      <c r="S15" s="697"/>
      <c r="T15" s="697"/>
      <c r="U15" s="697"/>
      <c r="V15" s="697"/>
      <c r="W15" s="697"/>
      <c r="X15" s="697"/>
      <c r="Y15" s="697"/>
      <c r="Z15" s="697"/>
      <c r="AA15" s="697"/>
      <c r="AB15" s="697"/>
      <c r="AC15" s="697"/>
      <c r="AD15" s="697"/>
      <c r="AE15" s="697" t="str">
        <f>IFERROR(__xludf.DUMMYFUNCTION("""COMPUTED_VALUE"""),"n/a")</f>
        <v>n/a</v>
      </c>
      <c r="AF15" s="697"/>
      <c r="AG15" s="697"/>
      <c r="AH15" s="697"/>
      <c r="AI15" s="697"/>
      <c r="AJ15" s="697"/>
      <c r="AK15" s="697" t="str">
        <f>IFERROR(__xludf.DUMMYFUNCTION("""COMPUTED_VALUE"""),"Nodulectomy: Living females 96/113 85%; 11/16 69%")</f>
        <v>Nodulectomy: Living females 96/113 85%; 11/16 69%</v>
      </c>
      <c r="AL15" s="697"/>
      <c r="AM15" s="697"/>
      <c r="AN15" s="697">
        <f>IFERROR(__xludf.DUMMYFUNCTION("""COMPUTED_VALUE"""),0.0)</f>
        <v>0</v>
      </c>
      <c r="AO15" s="698">
        <f>IFERROR(__xludf.DUMMYFUNCTION("""COMPUTED_VALUE"""),0.0)</f>
        <v>0</v>
      </c>
      <c r="AP15" s="697" t="str">
        <f>IFERROR(__xludf.DUMMYFUNCTION("""COMPUTED_VALUE""")," Nodulectomy: dead worms")</f>
        <v> Nodulectomy: dead worms</v>
      </c>
      <c r="AQ15" s="697" t="str">
        <f>IFERROR(__xludf.DUMMYFUNCTION("""COMPUTED_VALUE"""),"Upper Denkyira district in the Central Region of Ghana")</f>
        <v>Upper Denkyira district in the Central Region of Ghana</v>
      </c>
      <c r="AR15" s="697">
        <f>IFERROR(__xludf.DUMMYFUNCTION("""COMPUTED_VALUE"""),2002.0)</f>
        <v>2002</v>
      </c>
      <c r="AS15" s="697">
        <f>IFERROR(__xludf.DUMMYFUNCTION("""COMPUTED_VALUE"""),7.0)</f>
        <v>7</v>
      </c>
      <c r="AT15" s="697" t="str">
        <f>IFERROR(__xludf.DUMMYFUNCTION("""COMPUTED_VALUE"""),"18 months")</f>
        <v>18 months</v>
      </c>
      <c r="AU15" s="699" t="str">
        <f>IFERROR(__xludf.DUMMYFUNCTION("""COMPUTED_VALUE"""),"Specht, S. et al. (2008). Efficacy of 2- and 4- week of Rifampicin treatment on the Wolbachia of Onchocerca volvulus")</f>
        <v>Specht, S. et al. (2008). Efficacy of 2- and 4- week of Rifampicin treatment on the Wolbachia of Onchocerca volvulus</v>
      </c>
      <c r="AV15" s="697" t="str">
        <f>IFERROR(__xludf.DUMMYFUNCTION("""COMPUTED_VALUE"""),"7 M/0 F")</f>
        <v>7 M/0 F</v>
      </c>
      <c r="AW15" s="697" t="str">
        <f>IFERROR(__xludf.DUMMYFUNCTION("""COMPUTED_VALUE"""),"Mean Age + Range 36(21-58)")</f>
        <v>Mean Age + Range 36(21-58)</v>
      </c>
      <c r="AX15" s="697"/>
      <c r="AY15" s="697" t="str">
        <f>IFERROR(__xludf.DUMMYFUNCTION("""COMPUTED_VALUE"""),"No")</f>
        <v>No</v>
      </c>
      <c r="AZ15" s="697" t="str">
        <f>IFERROR(__xludf.DUMMYFUNCTION("""COMPUTED_VALUE"""),"No")</f>
        <v>No</v>
      </c>
      <c r="BA15" s="697"/>
      <c r="BB15" s="697"/>
      <c r="BC15" s="697" t="str">
        <f>IFERROR(__xludf.DUMMYFUNCTION("""COMPUTED_VALUE"""),"The results from this preliminary study suggest that rifampicin does have the potential to be further developed as anti-filarial drug.")</f>
        <v>The results from this preliminary study suggest that rifampicin does have the potential to be further developed as anti-filarial drug.</v>
      </c>
      <c r="BD15" s="697"/>
      <c r="BE15" s="697"/>
      <c r="BF15" s="697"/>
      <c r="BG15" s="697"/>
    </row>
    <row r="16">
      <c r="A16" s="697"/>
      <c r="B16" s="697" t="str">
        <f>IFERROR(__xludf.DUMMYFUNCTION("""COMPUTED_VALUE"""),"Hoerauf et al.")</f>
        <v>Hoerauf et al.</v>
      </c>
      <c r="C16" s="697" t="str">
        <f>IFERROR(__xludf.DUMMYFUNCTION("""COMPUTED_VALUE"""),"Ghana")</f>
        <v>Ghana</v>
      </c>
      <c r="D16" s="697" t="str">
        <f>IFERROR(__xludf.DUMMYFUNCTION("""COMPUTED_VALUE"""),"Doxycycline &amp; Ivermectin")</f>
        <v>Doxycycline &amp; Ivermectin</v>
      </c>
      <c r="E16" s="697" t="str">
        <f>IFERROR(__xludf.DUMMYFUNCTION("""COMPUTED_VALUE"""),"100mg; 150ug/kg")</f>
        <v>100mg; 150ug/kg</v>
      </c>
      <c r="F16" s="697" t="str">
        <f>IFERROR(__xludf.DUMMYFUNCTION("""COMPUTED_VALUE"""),"42; 1")</f>
        <v>42; 1</v>
      </c>
      <c r="G16" s="697" t="str">
        <f>IFERROR(__xludf.DUMMYFUNCTION("""COMPUTED_VALUE"""),"4200mg; 150ug/kg")</f>
        <v>4200mg; 150ug/kg</v>
      </c>
      <c r="H16" s="697"/>
      <c r="I16" s="697"/>
      <c r="J16" s="697"/>
      <c r="K16" s="697"/>
      <c r="L16" s="697"/>
      <c r="M16" s="697"/>
      <c r="N16" s="697"/>
      <c r="O16" s="697"/>
      <c r="P16" s="697"/>
      <c r="Q16" s="697"/>
      <c r="R16" s="697"/>
      <c r="S16" s="700">
        <f>IFERROR(__xludf.DUMMYFUNCTION("""COMPUTED_VALUE"""),0.8)</f>
        <v>0.8</v>
      </c>
      <c r="T16" s="697"/>
      <c r="U16" s="697"/>
      <c r="V16" s="700">
        <f>IFERROR(__xludf.DUMMYFUNCTION("""COMPUTED_VALUE"""),0.81)</f>
        <v>0.81</v>
      </c>
      <c r="W16" s="697"/>
      <c r="X16" s="700">
        <f>IFERROR(__xludf.DUMMYFUNCTION("""COMPUTED_VALUE"""),0.69)</f>
        <v>0.69</v>
      </c>
      <c r="Y16" s="697"/>
      <c r="Z16" s="697"/>
      <c r="AA16" s="697"/>
      <c r="AB16" s="697"/>
      <c r="AC16" s="697"/>
      <c r="AD16" s="697"/>
      <c r="AE16" s="697" t="str">
        <f>IFERROR(__xludf.DUMMYFUNCTION("""COMPUTED_VALUE"""),"n/a")</f>
        <v>n/a</v>
      </c>
      <c r="AF16" s="697"/>
      <c r="AG16" s="697"/>
      <c r="AH16" s="697"/>
      <c r="AI16" s="697"/>
      <c r="AJ16" s="697"/>
      <c r="AK16" s="697"/>
      <c r="AL16" s="697"/>
      <c r="AM16" s="697"/>
      <c r="AN16" s="700">
        <f>IFERROR(__xludf.DUMMYFUNCTION("""COMPUTED_VALUE"""),0.8)</f>
        <v>0.8</v>
      </c>
      <c r="AO16" s="698">
        <f>IFERROR(__xludf.DUMMYFUNCTION("""COMPUTED_VALUE"""),0.8)</f>
        <v>0.8</v>
      </c>
      <c r="AP16" s="697" t="str">
        <f>IFERROR(__xludf.DUMMYFUNCTION("""COMPUTED_VALUE""")," Nodulectomy: dead worms")</f>
        <v> Nodulectomy: dead worms</v>
      </c>
      <c r="AQ16" s="697" t="str">
        <f>IFERROR(__xludf.DUMMYFUNCTION("""COMPUTED_VALUE"""),"Upper Denkyira district of the Central Region of Ghana")</f>
        <v>Upper Denkyira district of the Central Region of Ghana</v>
      </c>
      <c r="AR16" s="697">
        <f>IFERROR(__xludf.DUMMYFUNCTION("""COMPUTED_VALUE"""),2001.0)</f>
        <v>2001</v>
      </c>
      <c r="AS16" s="697" t="str">
        <f>IFERROR(__xludf.DUMMYFUNCTION("""COMPUTED_VALUE"""),"16; 13; 4")</f>
        <v>16; 13; 4</v>
      </c>
      <c r="AT16" s="697" t="str">
        <f>IFERROR(__xludf.DUMMYFUNCTION("""COMPUTED_VALUE"""),"18 months")</f>
        <v>18 months</v>
      </c>
      <c r="AU16" s="699" t="str">
        <f>IFERROR(__xludf.DUMMYFUNCTION("""COMPUTED_VALUE"""),"Hoeraauf, A.; Mand, S.; Volkmann, L.; Büttner, M.; Marfo-Debrekyei, Y.; Taylor, M.; Adjei, O.; Büttner, D.W. (2003) Doxycycline in the treatment of human onchocerciasis kinetics of Wolbachia endobacteria reduction and of inhibition of embryogenesis in fem"&amp;"ale Onchocerca worms. Microbes and Infection 5: 261-273.")</f>
        <v>Hoeraauf, A.; Mand, S.; Volkmann, L.; Büttner, M.; Marfo-Debrekyei, Y.; Taylor, M.; Adjei, O.; Büttner, D.W. (2003) Doxycycline in the treatment of human onchocerciasis kinetics of Wolbachia endobacteria reduction and of inhibition of embryogenesis in female Onchocerca worms. Microbes and Infection 5: 261-273.</v>
      </c>
      <c r="AV16" s="697"/>
      <c r="AW16" s="697"/>
      <c r="AX16" s="697"/>
      <c r="AY16" s="697" t="str">
        <f>IFERROR(__xludf.DUMMYFUNCTION("""COMPUTED_VALUE"""),"No")</f>
        <v>No</v>
      </c>
      <c r="AZ16" s="697" t="str">
        <f>IFERROR(__xludf.DUMMYFUNCTION("""COMPUTED_VALUE"""),"No")</f>
        <v>No</v>
      </c>
      <c r="BA16" s="697"/>
      <c r="BB16" s="697"/>
      <c r="BC16" s="697" t="str">
        <f>IFERROR(__xludf.DUMMYFUNCTION("""COMPUTED_VALUE"""),"Due to its long-lasting inhibition of embryogenesis, doxycycline presents an additional strategy for the treatment of onchocerciasis and control of Onchocerca microfilariae transmission. ")</f>
        <v>Due to its long-lasting inhibition of embryogenesis, doxycycline presents an additional strategy for the treatment of onchocerciasis and control of Onchocerca microfilariae transmission. </v>
      </c>
      <c r="BD16" s="697" t="str">
        <f>IFERROR(__xludf.DUMMYFUNCTION("""COMPUTED_VALUE"""),"In accordance with the exclusion criteria, six people with elevated values of liver enzymes and two people whose participation was irregular were excluded. ")</f>
        <v>In accordance with the exclusion criteria, six people with elevated values of liver enzymes and two people whose participation was irregular were excluded. </v>
      </c>
      <c r="BE16" s="697"/>
      <c r="BF16" s="697"/>
      <c r="BG16" s="697"/>
    </row>
    <row r="17">
      <c r="A17" s="697"/>
      <c r="B17" s="697" t="str">
        <f>IFERROR(__xludf.DUMMYFUNCTION("""COMPUTED_VALUE"""),"Awadzi et al")</f>
        <v>Awadzi et al</v>
      </c>
      <c r="C17" s="697" t="str">
        <f>IFERROR(__xludf.DUMMYFUNCTION("""COMPUTED_VALUE"""),"Ghana")</f>
        <v>Ghana</v>
      </c>
      <c r="D17" s="697" t="str">
        <f>IFERROR(__xludf.DUMMYFUNCTION("""COMPUTED_VALUE"""),"Ivermectin")</f>
        <v>Ivermectin</v>
      </c>
      <c r="E17" s="697" t="str">
        <f>IFERROR(__xludf.DUMMYFUNCTION("""COMPUTED_VALUE"""),"150ug/kg")</f>
        <v>150ug/kg</v>
      </c>
      <c r="F17" s="697">
        <f>IFERROR(__xludf.DUMMYFUNCTION("""COMPUTED_VALUE"""),1.0)</f>
        <v>1</v>
      </c>
      <c r="G17" s="697" t="str">
        <f>IFERROR(__xludf.DUMMYFUNCTION("""COMPUTED_VALUE"""),"150 ug/kg")</f>
        <v>150 ug/kg</v>
      </c>
      <c r="H17" s="697"/>
      <c r="I17" s="697"/>
      <c r="J17" s="697"/>
      <c r="K17" s="697"/>
      <c r="L17" s="697"/>
      <c r="M17" s="697"/>
      <c r="N17" s="697"/>
      <c r="O17" s="697"/>
      <c r="P17" s="697"/>
      <c r="Q17" s="697"/>
      <c r="R17" s="697"/>
      <c r="S17" s="697"/>
      <c r="T17" s="697"/>
      <c r="U17" s="697"/>
      <c r="V17" s="697"/>
      <c r="W17" s="700">
        <f>IFERROR(__xludf.DUMMYFUNCTION("""COMPUTED_VALUE"""),0.88)</f>
        <v>0.88</v>
      </c>
      <c r="X17" s="697"/>
      <c r="Y17" s="697"/>
      <c r="Z17" s="697"/>
      <c r="AA17" s="697"/>
      <c r="AB17" s="697"/>
      <c r="AC17" s="697"/>
      <c r="AD17" s="697"/>
      <c r="AE17" s="697" t="str">
        <f>IFERROR(__xludf.DUMMYFUNCTION("""COMPUTED_VALUE"""),"n/a")</f>
        <v>n/a</v>
      </c>
      <c r="AF17" s="697"/>
      <c r="AG17" s="697"/>
      <c r="AH17" s="697"/>
      <c r="AI17" s="697"/>
      <c r="AJ17" s="697"/>
      <c r="AK17" s="697"/>
      <c r="AL17" s="697"/>
      <c r="AM17" s="697"/>
      <c r="AN17" s="700">
        <f>IFERROR(__xludf.DUMMYFUNCTION("""COMPUTED_VALUE"""),0.88)</f>
        <v>0.88</v>
      </c>
      <c r="AO17" s="698">
        <f>IFERROR(__xludf.DUMMYFUNCTION("""COMPUTED_VALUE"""),0.88)</f>
        <v>0.88</v>
      </c>
      <c r="AP17" s="697" t="str">
        <f>IFERROR(__xludf.DUMMYFUNCTION("""COMPUTED_VALUE"""),"Mf reduction")</f>
        <v>Mf reduction</v>
      </c>
      <c r="AQ17" s="697" t="str">
        <f>IFERROR(__xludf.DUMMYFUNCTION("""COMPUTED_VALUE"""),"South-eastern Ghana")</f>
        <v>South-eastern Ghana</v>
      </c>
      <c r="AR17" s="697">
        <f>IFERROR(__xludf.DUMMYFUNCTION("""COMPUTED_VALUE"""),2008.0)</f>
        <v>2008</v>
      </c>
      <c r="AS17" s="697">
        <f>IFERROR(__xludf.DUMMYFUNCTION("""COMPUTED_VALUE"""),45.0)</f>
        <v>45</v>
      </c>
      <c r="AT17" s="697" t="str">
        <f>IFERROR(__xludf.DUMMYFUNCTION("""COMPUTED_VALUE"""),"18 months")</f>
        <v>18 months</v>
      </c>
      <c r="AU17" s="697"/>
      <c r="AV17" s="697" t="str">
        <f>IFERROR(__xludf.DUMMYFUNCTION("""COMPUTED_VALUE"""),"131 M/ 41 F")</f>
        <v>131 M/ 41 F</v>
      </c>
      <c r="AW17" s="697"/>
      <c r="AX17" s="697" t="str">
        <f>IFERROR(__xludf.DUMMYFUNCTION("""COMPUTED_VALUE"""),"""individuals meeting the intensity of infection criteria described above but otherwise regarded as healthy based on physical examination, electrocardiography, medical and medication history, serum biochemistry, haematology and semiquantitative urinalysis"&amp;"""; In the first cohort, participants had a skin mf density &lt;10 mf/mg skin and no ocular involvement (subsequently referred to as ‘mildly infected’). In the second cohort, participants had a skin mf density of 10 mf/mg to 20 mf/mg skin and the sum of micr"&amp;"ofilariae in both anterior chambers of the eye had to be &lt;10 (subsequently referred to as ‘moderately infected’). Participants of the third cohort had skin mf density &gt;20 mf/mg skin without or with any level of ocular involvement (subsequently referred to"&amp;" as ‘severely infected’)")</f>
        <v>"individuals meeting the intensity of infection criteria described above but otherwise regarded as healthy based on physical examination, electrocardiography, medical and medication history, serum biochemistry, haematology and semiquantitative urinalysis"; In the first cohort, participants had a skin mf density &lt;10 mf/mg skin and no ocular involvement (subsequently referred to as ‘mildly infected’). In the second cohort, participants had a skin mf density of 10 mf/mg to 20 mf/mg skin and the sum of microfilariae in both anterior chambers of the eye had to be &lt;10 (subsequently referred to as ‘moderately infected’). Participants of the third cohort had skin mf density &gt;20 mf/mg skin without or with any level of ocular involvement (subsequently referred to as ‘severely infected’)</v>
      </c>
      <c r="AY17" s="697" t="str">
        <f>IFERROR(__xludf.DUMMYFUNCTION("""COMPUTED_VALUE"""),"Yes")</f>
        <v>Yes</v>
      </c>
      <c r="AZ17" s="697" t="str">
        <f>IFERROR(__xludf.DUMMYFUNCTION("""COMPUTED_VALUE"""),"Yes")</f>
        <v>Yes</v>
      </c>
      <c r="BA17" s="697"/>
      <c r="BB17" s="697"/>
      <c r="BC17" s="697" t="str">
        <f>IFERROR(__xludf.DUMMYFUNCTION("""COMPUTED_VALUE"""),"8 mg moxidectin is safe enough to initiate the Phase 3 study which compares 8 mg moxidectin to ivermectin. The investigators agreed based on their blinded assessment that the safety profile in the study was not different from what they had seen in previou"&amp;"s studies with ivermectin using similarly close monitoring of participants for Mazzotti reactions.")</f>
        <v>8 mg moxidectin is safe enough to initiate the Phase 3 study which compares 8 mg moxidectin to ivermectin. The investigators agreed based on their blinded assessment that the safety profile in the study was not different from what they had seen in previous studies with ivermectin using similarly close monitoring of participants for Mazzotti reactions.</v>
      </c>
      <c r="BD17" s="697" t="str">
        <f>IFERROR(__xludf.DUMMYFUNCTION("""COMPUTED_VALUE"""),"6 dropped from study - 1 dead from snake bite, 1 withdrew, 4 lost in follow-up")</f>
        <v>6 dropped from study - 1 dead from snake bite, 1 withdrew, 4 lost in follow-up</v>
      </c>
      <c r="BE17" s="697" t="str">
        <f>IFERROR(__xludf.DUMMYFUNCTION("""COMPUTED_VALUE"""),"94.8% experienced Mazzotti Reactions")</f>
        <v>94.8% experienced Mazzotti Reactions</v>
      </c>
      <c r="BF17" s="697"/>
      <c r="BG17" s="697"/>
    </row>
    <row r="18">
      <c r="A18" s="697"/>
      <c r="B18" s="697" t="str">
        <f>IFERROR(__xludf.DUMMYFUNCTION("""COMPUTED_VALUE"""),"Awadzi et al")</f>
        <v>Awadzi et al</v>
      </c>
      <c r="C18" s="697" t="str">
        <f>IFERROR(__xludf.DUMMYFUNCTION("""COMPUTED_VALUE"""),"Ghana")</f>
        <v>Ghana</v>
      </c>
      <c r="D18" s="697" t="str">
        <f>IFERROR(__xludf.DUMMYFUNCTION("""COMPUTED_VALUE"""),"Moxiedectin")</f>
        <v>Moxiedectin</v>
      </c>
      <c r="E18" s="697" t="str">
        <f>IFERROR(__xludf.DUMMYFUNCTION("""COMPUTED_VALUE"""),"2mg/kg")</f>
        <v>2mg/kg</v>
      </c>
      <c r="F18" s="697">
        <f>IFERROR(__xludf.DUMMYFUNCTION("""COMPUTED_VALUE"""),1.0)</f>
        <v>1</v>
      </c>
      <c r="G18" s="697" t="str">
        <f>IFERROR(__xludf.DUMMYFUNCTION("""COMPUTED_VALUE"""),"2 mg/kg")</f>
        <v>2 mg/kg</v>
      </c>
      <c r="H18" s="697"/>
      <c r="I18" s="697"/>
      <c r="J18" s="697"/>
      <c r="K18" s="697"/>
      <c r="L18" s="697"/>
      <c r="M18" s="697"/>
      <c r="N18" s="697"/>
      <c r="O18" s="697"/>
      <c r="P18" s="697"/>
      <c r="Q18" s="697"/>
      <c r="R18" s="697"/>
      <c r="S18" s="697"/>
      <c r="T18" s="697"/>
      <c r="U18" s="697"/>
      <c r="V18" s="697"/>
      <c r="W18" s="700">
        <f>IFERROR(__xludf.DUMMYFUNCTION("""COMPUTED_VALUE"""),0.97)</f>
        <v>0.97</v>
      </c>
      <c r="X18" s="697"/>
      <c r="Y18" s="697"/>
      <c r="Z18" s="697"/>
      <c r="AA18" s="697"/>
      <c r="AB18" s="697"/>
      <c r="AC18" s="697"/>
      <c r="AD18" s="697"/>
      <c r="AE18" s="697" t="str">
        <f>IFERROR(__xludf.DUMMYFUNCTION("""COMPUTED_VALUE"""),"n/a")</f>
        <v>n/a</v>
      </c>
      <c r="AF18" s="697"/>
      <c r="AG18" s="697"/>
      <c r="AH18" s="697"/>
      <c r="AI18" s="697"/>
      <c r="AJ18" s="697"/>
      <c r="AK18" s="697"/>
      <c r="AL18" s="697"/>
      <c r="AM18" s="697"/>
      <c r="AN18" s="700">
        <f>IFERROR(__xludf.DUMMYFUNCTION("""COMPUTED_VALUE"""),0.97)</f>
        <v>0.97</v>
      </c>
      <c r="AO18" s="698">
        <f>IFERROR(__xludf.DUMMYFUNCTION("""COMPUTED_VALUE"""),0.97)</f>
        <v>0.97</v>
      </c>
      <c r="AP18" s="697" t="str">
        <f>IFERROR(__xludf.DUMMYFUNCTION("""COMPUTED_VALUE"""),"Mf reduction")</f>
        <v>Mf reduction</v>
      </c>
      <c r="AQ18" s="697" t="str">
        <f>IFERROR(__xludf.DUMMYFUNCTION("""COMPUTED_VALUE"""),"South-eastern Ghana")</f>
        <v>South-eastern Ghana</v>
      </c>
      <c r="AR18" s="697">
        <f>IFERROR(__xludf.DUMMYFUNCTION("""COMPUTED_VALUE"""),2008.0)</f>
        <v>2008</v>
      </c>
      <c r="AS18" s="697">
        <f>IFERROR(__xludf.DUMMYFUNCTION("""COMPUTED_VALUE"""),44.0)</f>
        <v>44</v>
      </c>
      <c r="AT18" s="697" t="str">
        <f>IFERROR(__xludf.DUMMYFUNCTION("""COMPUTED_VALUE"""),"18 months")</f>
        <v>18 months</v>
      </c>
      <c r="AU18" s="699" t="str">
        <f>IFERROR(__xludf.DUMMYFUNCTION("""COMPUTED_VALUE"""),"Awadzi K, Opoku NO, Attah SK, Lazdins-Helds J, Kuesel AC. A randomized, single-ascending-dose, ivermectin-controlled, double-blind study of moxidectin in Onchocerca volvulus infection. PLoS Negl Trop Dis. 2014 Jun 26;8(6):e2953. doi: 10.1371/journal.pntd."&amp;"0002953. eCollection 2014 Jun. ")</f>
        <v>Awadzi K, Opoku NO, Attah SK, Lazdins-Helds J, Kuesel AC. A randomized, single-ascending-dose, ivermectin-controlled, double-blind study of moxidectin in Onchocerca volvulus infection. PLoS Negl Trop Dis. 2014 Jun 26;8(6):e2953. doi: 10.1371/journal.pntd.0002953. eCollection 2014 Jun. </v>
      </c>
      <c r="AV18" s="697"/>
      <c r="AW18" s="697"/>
      <c r="AX18" s="697"/>
      <c r="AY18" s="697" t="str">
        <f>IFERROR(__xludf.DUMMYFUNCTION("""COMPUTED_VALUE"""),"Yes")</f>
        <v>Yes</v>
      </c>
      <c r="AZ18" s="697" t="str">
        <f>IFERROR(__xludf.DUMMYFUNCTION("""COMPUTED_VALUE"""),"Yes")</f>
        <v>Yes</v>
      </c>
      <c r="BA18" s="697"/>
      <c r="BB18" s="697"/>
      <c r="BC18" s="697" t="str">
        <f>IFERROR(__xludf.DUMMYFUNCTION("""COMPUTED_VALUE"""),"9 mg moxidectin is safe enough to initiate the Phase 3 study which compares 8 mg moxidectin to ivermectin. The investigators agreed based on their blinded assessment that the safety profile in the study was not different from what they had seen in previou"&amp;"s studies with ivermectin using similarly close monitoring of participants for Mazzotti reactions.")</f>
        <v>9 mg moxidectin is safe enough to initiate the Phase 3 study which compares 8 mg moxidectin to ivermectin. The investigators agreed based on their blinded assessment that the safety profile in the study was not different from what they had seen in previous studies with ivermectin using similarly close monitoring of participants for Mazzotti reactions.</v>
      </c>
      <c r="BD18" s="697" t="str">
        <f>IFERROR(__xludf.DUMMYFUNCTION("""COMPUTED_VALUE"""),"6 dropped from study - 1 dead from snake bite, 1 withdrew, 4 lost in follow-up")</f>
        <v>6 dropped from study - 1 dead from snake bite, 1 withdrew, 4 lost in follow-up</v>
      </c>
      <c r="BE18" s="697"/>
      <c r="BF18" s="697"/>
      <c r="BG18" s="697"/>
    </row>
    <row r="19">
      <c r="A19" s="697"/>
      <c r="B19" s="697" t="str">
        <f>IFERROR(__xludf.DUMMYFUNCTION("""COMPUTED_VALUE"""),"Awadzi et al")</f>
        <v>Awadzi et al</v>
      </c>
      <c r="C19" s="697" t="str">
        <f>IFERROR(__xludf.DUMMYFUNCTION("""COMPUTED_VALUE"""),"Ghana")</f>
        <v>Ghana</v>
      </c>
      <c r="D19" s="697" t="str">
        <f>IFERROR(__xludf.DUMMYFUNCTION("""COMPUTED_VALUE"""),"Moxiedectin")</f>
        <v>Moxiedectin</v>
      </c>
      <c r="E19" s="697" t="str">
        <f>IFERROR(__xludf.DUMMYFUNCTION("""COMPUTED_VALUE"""),"4mg/kg")</f>
        <v>4mg/kg</v>
      </c>
      <c r="F19" s="697">
        <f>IFERROR(__xludf.DUMMYFUNCTION("""COMPUTED_VALUE"""),1.0)</f>
        <v>1</v>
      </c>
      <c r="G19" s="697" t="str">
        <f>IFERROR(__xludf.DUMMYFUNCTION("""COMPUTED_VALUE"""),"4 mg/kg")</f>
        <v>4 mg/kg</v>
      </c>
      <c r="H19" s="697"/>
      <c r="I19" s="697"/>
      <c r="J19" s="697"/>
      <c r="K19" s="697"/>
      <c r="L19" s="697"/>
      <c r="M19" s="697"/>
      <c r="N19" s="697"/>
      <c r="O19" s="697"/>
      <c r="P19" s="697"/>
      <c r="Q19" s="697"/>
      <c r="R19" s="697"/>
      <c r="S19" s="697"/>
      <c r="T19" s="697"/>
      <c r="U19" s="697"/>
      <c r="V19" s="697"/>
      <c r="W19" s="700">
        <f>IFERROR(__xludf.DUMMYFUNCTION("""COMPUTED_VALUE"""),0.98)</f>
        <v>0.98</v>
      </c>
      <c r="X19" s="697"/>
      <c r="Y19" s="697"/>
      <c r="Z19" s="697"/>
      <c r="AA19" s="697"/>
      <c r="AB19" s="697"/>
      <c r="AC19" s="697"/>
      <c r="AD19" s="697"/>
      <c r="AE19" s="697" t="str">
        <f>IFERROR(__xludf.DUMMYFUNCTION("""COMPUTED_VALUE"""),"n/a")</f>
        <v>n/a</v>
      </c>
      <c r="AF19" s="697"/>
      <c r="AG19" s="697"/>
      <c r="AH19" s="697"/>
      <c r="AI19" s="697"/>
      <c r="AJ19" s="697"/>
      <c r="AK19" s="697"/>
      <c r="AL19" s="697"/>
      <c r="AM19" s="697"/>
      <c r="AN19" s="700">
        <f>IFERROR(__xludf.DUMMYFUNCTION("""COMPUTED_VALUE"""),0.98)</f>
        <v>0.98</v>
      </c>
      <c r="AO19" s="698">
        <f>IFERROR(__xludf.DUMMYFUNCTION("""COMPUTED_VALUE"""),0.98)</f>
        <v>0.98</v>
      </c>
      <c r="AP19" s="697" t="str">
        <f>IFERROR(__xludf.DUMMYFUNCTION("""COMPUTED_VALUE"""),"Mf reduction")</f>
        <v>Mf reduction</v>
      </c>
      <c r="AQ19" s="697" t="str">
        <f>IFERROR(__xludf.DUMMYFUNCTION("""COMPUTED_VALUE"""),"South-eastern Ghana")</f>
        <v>South-eastern Ghana</v>
      </c>
      <c r="AR19" s="697">
        <f>IFERROR(__xludf.DUMMYFUNCTION("""COMPUTED_VALUE"""),2008.0)</f>
        <v>2008</v>
      </c>
      <c r="AS19" s="697">
        <f>IFERROR(__xludf.DUMMYFUNCTION("""COMPUTED_VALUE"""),45.0)</f>
        <v>45</v>
      </c>
      <c r="AT19" s="697" t="str">
        <f>IFERROR(__xludf.DUMMYFUNCTION("""COMPUTED_VALUE"""),"18 months")</f>
        <v>18 months</v>
      </c>
      <c r="AU19" s="699" t="str">
        <f>IFERROR(__xludf.DUMMYFUNCTION("""COMPUTED_VALUE"""),"Awadzi K, Opoku NO, Attah SK, Lazdins-Helds J, Kuesel AC. A randomized, single-ascending-dose, ivermectin-controlled, double-blind study of moxidectin in Onchocerca volvulus infection. PLoS Negl Trop Dis. 2014 Jun 26;8(6):e2953. doi: 10.1371/journal.pntd."&amp;"0002953. eCollection 2014 Jun. ")</f>
        <v>Awadzi K, Opoku NO, Attah SK, Lazdins-Helds J, Kuesel AC. A randomized, single-ascending-dose, ivermectin-controlled, double-blind study of moxidectin in Onchocerca volvulus infection. PLoS Negl Trop Dis. 2014 Jun 26;8(6):e2953. doi: 10.1371/journal.pntd.0002953. eCollection 2014 Jun. </v>
      </c>
      <c r="AV19" s="697"/>
      <c r="AW19" s="697"/>
      <c r="AX19" s="697"/>
      <c r="AY19" s="697" t="str">
        <f>IFERROR(__xludf.DUMMYFUNCTION("""COMPUTED_VALUE"""),"Yes")</f>
        <v>Yes</v>
      </c>
      <c r="AZ19" s="697" t="str">
        <f>IFERROR(__xludf.DUMMYFUNCTION("""COMPUTED_VALUE"""),"Yes")</f>
        <v>Yes</v>
      </c>
      <c r="BA19" s="697"/>
      <c r="BB19" s="697"/>
      <c r="BC19" s="697" t="str">
        <f>IFERROR(__xludf.DUMMYFUNCTION("""COMPUTED_VALUE"""),"10 mg moxidectin is safe enough to initiate the Phase 3 study which compares 8 mg moxidectin to ivermectin. The investigators agreed based on their blinded assessment that the safety profile in the study was not different from what they had seen in previo"&amp;"us studies with ivermectin using similarly close monitoring of participants for Mazzotti reactions.")</f>
        <v>10 mg moxidectin is safe enough to initiate the Phase 3 study which compares 8 mg moxidectin to ivermectin. The investigators agreed based on their blinded assessment that the safety profile in the study was not different from what they had seen in previous studies with ivermectin using similarly close monitoring of participants for Mazzotti reactions.</v>
      </c>
      <c r="BD19" s="697" t="str">
        <f>IFERROR(__xludf.DUMMYFUNCTION("""COMPUTED_VALUE"""),"6 dropped from study - 1 dead from snake bite, 1 withdrew, 4 lost in follow-up")</f>
        <v>6 dropped from study - 1 dead from snake bite, 1 withdrew, 4 lost in follow-up</v>
      </c>
      <c r="BE19" s="697"/>
      <c r="BF19" s="697"/>
      <c r="BG19" s="697"/>
    </row>
    <row r="20">
      <c r="A20" s="697"/>
      <c r="B20" s="697" t="str">
        <f>IFERROR(__xludf.DUMMYFUNCTION("""COMPUTED_VALUE"""),"Awadzi et al")</f>
        <v>Awadzi et al</v>
      </c>
      <c r="C20" s="697" t="str">
        <f>IFERROR(__xludf.DUMMYFUNCTION("""COMPUTED_VALUE"""),"Ghana")</f>
        <v>Ghana</v>
      </c>
      <c r="D20" s="697" t="str">
        <f>IFERROR(__xludf.DUMMYFUNCTION("""COMPUTED_VALUE"""),"Moxiedectin")</f>
        <v>Moxiedectin</v>
      </c>
      <c r="E20" s="697" t="str">
        <f>IFERROR(__xludf.DUMMYFUNCTION("""COMPUTED_VALUE"""),"8m/kg")</f>
        <v>8m/kg</v>
      </c>
      <c r="F20" s="697">
        <f>IFERROR(__xludf.DUMMYFUNCTION("""COMPUTED_VALUE"""),1.0)</f>
        <v>1</v>
      </c>
      <c r="G20" s="697" t="str">
        <f>IFERROR(__xludf.DUMMYFUNCTION("""COMPUTED_VALUE"""),"8 mg/kg")</f>
        <v>8 mg/kg</v>
      </c>
      <c r="H20" s="697"/>
      <c r="I20" s="697"/>
      <c r="J20" s="697"/>
      <c r="K20" s="697"/>
      <c r="L20" s="697"/>
      <c r="M20" s="697"/>
      <c r="N20" s="697"/>
      <c r="O20" s="697"/>
      <c r="P20" s="697"/>
      <c r="Q20" s="697"/>
      <c r="R20" s="697"/>
      <c r="S20" s="697"/>
      <c r="T20" s="697"/>
      <c r="U20" s="697"/>
      <c r="V20" s="697"/>
      <c r="W20" s="700">
        <f>IFERROR(__xludf.DUMMYFUNCTION("""COMPUTED_VALUE"""),0.98)</f>
        <v>0.98</v>
      </c>
      <c r="X20" s="697"/>
      <c r="Y20" s="697"/>
      <c r="Z20" s="697"/>
      <c r="AA20" s="697"/>
      <c r="AB20" s="697"/>
      <c r="AC20" s="697"/>
      <c r="AD20" s="697"/>
      <c r="AE20" s="697" t="str">
        <f>IFERROR(__xludf.DUMMYFUNCTION("""COMPUTED_VALUE"""),"n/a")</f>
        <v>n/a</v>
      </c>
      <c r="AF20" s="697"/>
      <c r="AG20" s="697"/>
      <c r="AH20" s="697"/>
      <c r="AI20" s="697"/>
      <c r="AJ20" s="697"/>
      <c r="AK20" s="697"/>
      <c r="AL20" s="697"/>
      <c r="AM20" s="697"/>
      <c r="AN20" s="700">
        <f>IFERROR(__xludf.DUMMYFUNCTION("""COMPUTED_VALUE"""),0.98)</f>
        <v>0.98</v>
      </c>
      <c r="AO20" s="698">
        <f>IFERROR(__xludf.DUMMYFUNCTION("""COMPUTED_VALUE"""),0.98)</f>
        <v>0.98</v>
      </c>
      <c r="AP20" s="697" t="str">
        <f>IFERROR(__xludf.DUMMYFUNCTION("""COMPUTED_VALUE"""),"Mf reduction")</f>
        <v>Mf reduction</v>
      </c>
      <c r="AQ20" s="697" t="str">
        <f>IFERROR(__xludf.DUMMYFUNCTION("""COMPUTED_VALUE"""),"South-eastern Ghana")</f>
        <v>South-eastern Ghana</v>
      </c>
      <c r="AR20" s="697">
        <f>IFERROR(__xludf.DUMMYFUNCTION("""COMPUTED_VALUE"""),2008.0)</f>
        <v>2008</v>
      </c>
      <c r="AS20" s="697">
        <f>IFERROR(__xludf.DUMMYFUNCTION("""COMPUTED_VALUE"""),38.0)</f>
        <v>38</v>
      </c>
      <c r="AT20" s="697" t="str">
        <f>IFERROR(__xludf.DUMMYFUNCTION("""COMPUTED_VALUE"""),"18 months")</f>
        <v>18 months</v>
      </c>
      <c r="AU20" s="699" t="str">
        <f>IFERROR(__xludf.DUMMYFUNCTION("""COMPUTED_VALUE"""),"Awadzi K, Opoku NO, Attah SK, Lazdins-Helds J, Kuesel AC. A randomized, single-ascending-dose, ivermectin-controlled, double-blind study of moxidectin in Onchocerca volvulus infection. PLoS Negl Trop Dis. 2014 Jun 26;8(6):e2953. doi: 10.1371/journal.pntd."&amp;"0002953. eCollection 2014 Jun. ")</f>
        <v>Awadzi K, Opoku NO, Attah SK, Lazdins-Helds J, Kuesel AC. A randomized, single-ascending-dose, ivermectin-controlled, double-blind study of moxidectin in Onchocerca volvulus infection. PLoS Negl Trop Dis. 2014 Jun 26;8(6):e2953. doi: 10.1371/journal.pntd.0002953. eCollection 2014 Jun. </v>
      </c>
      <c r="AV20" s="697"/>
      <c r="AW20" s="697"/>
      <c r="AX20" s="697"/>
      <c r="AY20" s="697" t="str">
        <f>IFERROR(__xludf.DUMMYFUNCTION("""COMPUTED_VALUE"""),"Yes")</f>
        <v>Yes</v>
      </c>
      <c r="AZ20" s="697" t="str">
        <f>IFERROR(__xludf.DUMMYFUNCTION("""COMPUTED_VALUE"""),"Yes")</f>
        <v>Yes</v>
      </c>
      <c r="BA20" s="697"/>
      <c r="BB20" s="697"/>
      <c r="BC20" s="697" t="str">
        <f>IFERROR(__xludf.DUMMYFUNCTION("""COMPUTED_VALUE"""),"11 mg moxidectin is safe enough to initiate the Phase 3 study which compares 8 mg moxidectin to ivermectin. The investigators agreed based on their blinded assessment that the safety profile in the study was not different from what they had seen in previo"&amp;"us studies with ivermectin using similarly close monitoring of participants for Mazzotti reactions.")</f>
        <v>11 mg moxidectin is safe enough to initiate the Phase 3 study which compares 8 mg moxidectin to ivermectin. The investigators agreed based on their blinded assessment that the safety profile in the study was not different from what they had seen in previous studies with ivermectin using similarly close monitoring of participants for Mazzotti reactions.</v>
      </c>
      <c r="BD20" s="697" t="str">
        <f>IFERROR(__xludf.DUMMYFUNCTION("""COMPUTED_VALUE"""),"6 dropped from study - 1 dead from snake bite, 1 withdrew, 4 lost in follow-up")</f>
        <v>6 dropped from study - 1 dead from snake bite, 1 withdrew, 4 lost in follow-up</v>
      </c>
      <c r="BE20" s="697"/>
      <c r="BF20" s="697"/>
      <c r="BG20" s="697"/>
    </row>
    <row r="21">
      <c r="A21" s="697"/>
      <c r="B21" s="697" t="str">
        <f>IFERROR(__xludf.DUMMYFUNCTION("""COMPUTED_VALUE"""),"Steel et al")</f>
        <v>Steel et al</v>
      </c>
      <c r="C21" s="697" t="str">
        <f>IFERROR(__xludf.DUMMYFUNCTION("""COMPUTED_VALUE"""),"Guatemala")</f>
        <v>Guatemala</v>
      </c>
      <c r="D21" s="697" t="str">
        <f>IFERROR(__xludf.DUMMYFUNCTION("""COMPUTED_VALUE"""),"Ivermectin")</f>
        <v>Ivermectin</v>
      </c>
      <c r="E21" s="697" t="str">
        <f>IFERROR(__xludf.DUMMYFUNCTION("""COMPUTED_VALUE"""),"150ug/kg")</f>
        <v>150ug/kg</v>
      </c>
      <c r="F21" s="697">
        <f>IFERROR(__xludf.DUMMYFUNCTION("""COMPUTED_VALUE"""),4.0)</f>
        <v>4</v>
      </c>
      <c r="G21" s="697" t="str">
        <f>IFERROR(__xludf.DUMMYFUNCTION("""COMPUTED_VALUE"""),"600ug/kg")</f>
        <v>600ug/kg</v>
      </c>
      <c r="H21" s="697"/>
      <c r="I21" s="697"/>
      <c r="J21" s="697"/>
      <c r="K21" s="697"/>
      <c r="L21" s="697"/>
      <c r="M21" s="697"/>
      <c r="N21" s="697"/>
      <c r="O21" s="697"/>
      <c r="P21" s="697"/>
      <c r="Q21" s="697"/>
      <c r="R21" s="697"/>
      <c r="S21" s="700">
        <f>IFERROR(__xludf.DUMMYFUNCTION("""COMPUTED_VALUE"""),0.9)</f>
        <v>0.9</v>
      </c>
      <c r="T21" s="697"/>
      <c r="U21" s="697"/>
      <c r="V21" s="697"/>
      <c r="W21" s="697"/>
      <c r="X21" s="700">
        <f>IFERROR(__xludf.DUMMYFUNCTION("""COMPUTED_VALUE"""),0.95)</f>
        <v>0.95</v>
      </c>
      <c r="Y21" s="697"/>
      <c r="Z21" s="697"/>
      <c r="AA21" s="697"/>
      <c r="AB21" s="697"/>
      <c r="AC21" s="697"/>
      <c r="AD21" s="697"/>
      <c r="AE21" s="697"/>
      <c r="AF21" s="697"/>
      <c r="AG21" s="697"/>
      <c r="AH21" s="697"/>
      <c r="AI21" s="697"/>
      <c r="AJ21" s="697"/>
      <c r="AK21" s="697"/>
      <c r="AL21" s="697"/>
      <c r="AM21" s="697"/>
      <c r="AN21" s="700">
        <f>IFERROR(__xludf.DUMMYFUNCTION("""COMPUTED_VALUE"""),0.9)</f>
        <v>0.9</v>
      </c>
      <c r="AO21" s="698">
        <f>IFERROR(__xludf.DUMMYFUNCTION("""COMPUTED_VALUE"""),0.9)</f>
        <v>0.9</v>
      </c>
      <c r="AP21" s="697" t="str">
        <f>IFERROR(__xludf.DUMMYFUNCTION("""COMPUTED_VALUE"""),"Mf reduction")</f>
        <v>Mf reduction</v>
      </c>
      <c r="AQ21" s="697" t="str">
        <f>IFERROR(__xludf.DUMMYFUNCTION("""COMPUTED_VALUE"""),"Suchitepequez Department of Guatemala")</f>
        <v>Suchitepequez Department of Guatemala</v>
      </c>
      <c r="AR21" s="697">
        <f>IFERROR(__xludf.DUMMYFUNCTION("""COMPUTED_VALUE"""),1991.0)</f>
        <v>1991</v>
      </c>
      <c r="AS21" s="697" t="str">
        <f>IFERROR(__xludf.DUMMYFUNCTION("""COMPUTED_VALUE"""),"32 (27 afflicted, 5 normal)")</f>
        <v>32 (27 afflicted, 5 normal)</v>
      </c>
      <c r="AT21" s="697" t="str">
        <f>IFERROR(__xludf.DUMMYFUNCTION("""COMPUTED_VALUE"""),"2 years")</f>
        <v>2 years</v>
      </c>
      <c r="AU21" s="699" t="str">
        <f>IFERROR(__xludf.DUMMYFUNCTION("""COMPUTED_VALUE"""),"Steel, Cathy, Aracely Lujan-Trangay, Carlos Gonzalez-Peralta, Guillermo Zea-Flores, and Thomas B. Nutman. 1991. “Immunologic Responses to Repeated Ivermectin Treatment in Patients with Onchocerciasis”. The Journal of Infectious Diseases 164 (3). Oxford Un"&amp;"iversity Press: 581–87.")</f>
        <v>Steel, Cathy, Aracely Lujan-Trangay, Carlos Gonzalez-Peralta, Guillermo Zea-Flores, and Thomas B. Nutman. 1991. “Immunologic Responses to Repeated Ivermectin Treatment in Patients with Onchocerciasis”. The Journal of Infectious Diseases 164 (3). Oxford University Press: 581–87.</v>
      </c>
      <c r="AV21" s="697" t="str">
        <f>IFERROR(__xludf.DUMMYFUNCTION("""COMPUTED_VALUE"""),"27 M")</f>
        <v>27 M</v>
      </c>
      <c r="AW21" s="697" t="str">
        <f>IFERROR(__xludf.DUMMYFUNCTION("""COMPUTED_VALUE"""),"15-60(median-32)")</f>
        <v>15-60(median-32)</v>
      </c>
      <c r="AX21" s="697"/>
      <c r="AY21" s="697" t="str">
        <f>IFERROR(__xludf.DUMMYFUNCTION("""COMPUTED_VALUE"""),"No")</f>
        <v>No</v>
      </c>
      <c r="AZ21" s="697" t="str">
        <f>IFERROR(__xludf.DUMMYFUNCTION("""COMPUTED_VALUE"""),"No")</f>
        <v>No</v>
      </c>
      <c r="BA21" s="697"/>
      <c r="BB21" s="697"/>
      <c r="BC21" s="697" t="str">
        <f>IFERROR(__xludf.DUMMYFUNCTION("""COMPUTED_VALUE"""),"Minimal criteria established")</f>
        <v>Minimal criteria established</v>
      </c>
      <c r="BD21" s="697" t="str">
        <f>IFERROR(__xludf.DUMMYFUNCTION("""COMPUTED_VALUE"""),"Lost: 3 at six months, 7 at 12 months, 12 total at 18 months. Attributed to migration from area or illnesses.")</f>
        <v>Lost: 3 at six months, 7 at 12 months, 12 total at 18 months. Attributed to migration from area or illnesses.</v>
      </c>
      <c r="BE21" s="697"/>
      <c r="BF21" s="697"/>
      <c r="BG21" s="697"/>
    </row>
    <row r="22" hidden="1">
      <c r="A22" s="697"/>
      <c r="B22" s="697" t="str">
        <f>IFERROR(__xludf.DUMMYFUNCTION("""COMPUTED_VALUE"""),"Pacqué et al")</f>
        <v>Pacqué et al</v>
      </c>
      <c r="C22" s="697" t="str">
        <f>IFERROR(__xludf.DUMMYFUNCTION("""COMPUTED_VALUE"""),"Liberia")</f>
        <v>Liberia</v>
      </c>
      <c r="D22" s="697" t="str">
        <f>IFERROR(__xludf.DUMMYFUNCTION("""COMPUTED_VALUE"""),"Ivermectin")</f>
        <v>Ivermectin</v>
      </c>
      <c r="E22" s="697" t="str">
        <f>IFERROR(__xludf.DUMMYFUNCTION("""COMPUTED_VALUE"""),"150ug/kg")</f>
        <v>150ug/kg</v>
      </c>
      <c r="F22" s="697">
        <f>IFERROR(__xludf.DUMMYFUNCTION("""COMPUTED_VALUE"""),3.0)</f>
        <v>3</v>
      </c>
      <c r="G22" s="697" t="str">
        <f>IFERROR(__xludf.DUMMYFUNCTION("""COMPUTED_VALUE"""),"450ug/kg")</f>
        <v>450ug/kg</v>
      </c>
      <c r="H22" s="697"/>
      <c r="I22" s="697"/>
      <c r="J22" s="697"/>
      <c r="K22" s="697"/>
      <c r="L22" s="697"/>
      <c r="M22" s="697"/>
      <c r="N22" s="697"/>
      <c r="O22" s="697"/>
      <c r="P22" s="697"/>
      <c r="Q22" s="697"/>
      <c r="R22" s="697"/>
      <c r="S22" s="697"/>
      <c r="T22" s="697"/>
      <c r="U22" s="697"/>
      <c r="V22" s="697"/>
      <c r="W22" s="700">
        <f>IFERROR(__xludf.DUMMYFUNCTION("""COMPUTED_VALUE"""),0.75)</f>
        <v>0.75</v>
      </c>
      <c r="X22" s="697"/>
      <c r="Y22" s="697"/>
      <c r="Z22" s="700">
        <f>IFERROR(__xludf.DUMMYFUNCTION("""COMPUTED_VALUE"""),0.84)</f>
        <v>0.84</v>
      </c>
      <c r="AA22" s="697"/>
      <c r="AB22" s="697"/>
      <c r="AC22" s="697"/>
      <c r="AD22" s="697"/>
      <c r="AE22" s="697" t="str">
        <f>IFERROR(__xludf.DUMMYFUNCTION("""COMPUTED_VALUE"""),"n/a")</f>
        <v>n/a</v>
      </c>
      <c r="AF22" s="697"/>
      <c r="AG22" s="697"/>
      <c r="AH22" s="697"/>
      <c r="AI22" s="697"/>
      <c r="AJ22" s="697"/>
      <c r="AK22" s="697"/>
      <c r="AL22" s="697"/>
      <c r="AM22" s="697"/>
      <c r="AN22" s="700">
        <f>IFERROR(__xludf.DUMMYFUNCTION("""COMPUTED_VALUE"""),0.75)</f>
        <v>0.75</v>
      </c>
      <c r="AO22" s="698">
        <f>IFERROR(__xludf.DUMMYFUNCTION("""COMPUTED_VALUE"""),0.75)</f>
        <v>0.75</v>
      </c>
      <c r="AP22" s="697" t="str">
        <f>IFERROR(__xludf.DUMMYFUNCTION("""COMPUTED_VALUE"""),"Mf reduction")</f>
        <v>Mf reduction</v>
      </c>
      <c r="AQ22" s="697" t="str">
        <f>IFERROR(__xludf.DUMMYFUNCTION("""COMPUTED_VALUE"""),"Liberian Agricultural Company rubber plantation, Grand Bassa County")</f>
        <v>Liberian Agricultural Company rubber plantation, Grand Bassa County</v>
      </c>
      <c r="AR22" s="697">
        <f>IFERROR(__xludf.DUMMYFUNCTION("""COMPUTED_VALUE"""),1989.0)</f>
        <v>1989</v>
      </c>
      <c r="AS22" s="697" t="str">
        <f>IFERROR(__xludf.DUMMYFUNCTION("""COMPUTED_VALUE"""),"1987: 7699 treated, 1988: 8062 treated, 1989: 10018 treated")</f>
        <v>1987: 7699 treated, 1988: 8062 treated, 1989: 10018 treated</v>
      </c>
      <c r="AT22" s="697" t="str">
        <f>IFERROR(__xludf.DUMMYFUNCTION("""COMPUTED_VALUE"""),"2 years")</f>
        <v>2 years</v>
      </c>
      <c r="AU22" s="699" t="str">
        <f>IFERROR(__xludf.DUMMYFUNCTION("""COMPUTED_VALUE"""),"Pacqué, Michel, Beatriz Muňoz, Bruce M. Greene, and Hugh R. Taylor. 1991. “Community-based Treatment of Onchocerciasis with Ivermectin: Safety, Efficacy, and Acceptability of Yearly Treatment”. The Journal of Infectious Diseases 163 (2). Oxford University"&amp;" Press: 381–85.")</f>
        <v>Pacqué, Michel, Beatriz Muňoz, Bruce M. Greene, and Hugh R. Taylor. 1991. “Community-based Treatment of Onchocerciasis with Ivermectin: Safety, Efficacy, and Acceptability of Yearly Treatment”. The Journal of Infectious Diseases 163 (2). Oxford University Press: 381–85.</v>
      </c>
      <c r="AV22" s="697"/>
      <c r="AW22" s="697" t="str">
        <f>IFERROR(__xludf.DUMMYFUNCTION("""COMPUTED_VALUE"""),"&gt;5 years of age")</f>
        <v>&gt;5 years of age</v>
      </c>
      <c r="AX22" s="697" t="str">
        <f>IFERROR(__xludf.DUMMYFUNCTION("""COMPUTED_VALUE"""),"EXCLUSIONS: pregnant women (as determined by interview and examination), women breastfeeding a child &lt;3 months of age, people with illnesses or a history of neurologic disorders, and children aged 5-11 years in 1987 or 5-12 years in 1988 whose skin snips "&amp;"were found not to have microfiliae")</f>
        <v>EXCLUSIONS: pregnant women (as determined by interview and examination), women breastfeeding a child &lt;3 months of age, people with illnesses or a history of neurologic disorders, and children aged 5-11 years in 1987 or 5-12 years in 1988 whose skin snips were found not to have microfiliae</v>
      </c>
      <c r="AY22" s="697" t="str">
        <f>IFERROR(__xludf.DUMMYFUNCTION("""COMPUTED_VALUE"""),"No")</f>
        <v>No</v>
      </c>
      <c r="AZ22" s="697" t="str">
        <f>IFERROR(__xludf.DUMMYFUNCTION("""COMPUTED_VALUE"""),"No")</f>
        <v>No</v>
      </c>
      <c r="BA22" s="697"/>
      <c r="BB22" s="697"/>
      <c r="BC22" s="697" t="str">
        <f>IFERROR(__xludf.DUMMYFUNCTION("""COMPUTED_VALUE"""),"Minimal criteria established")</f>
        <v>Minimal criteria established</v>
      </c>
      <c r="BD22" s="697" t="str">
        <f>IFERROR(__xludf.DUMMYFUNCTION("""COMPUTED_VALUE"""),"Many lost/gained to to plantation turnover; 6659 present for all three administrations")</f>
        <v>Many lost/gained to to plantation turnover; 6659 present for all three administrations</v>
      </c>
      <c r="BE22" s="697"/>
      <c r="BF22" s="697"/>
      <c r="BG22" s="697" t="str">
        <f>IFERROR(__xludf.DUMMYFUNCTION("""COMPUTED_VALUE"""),"x")</f>
        <v>x</v>
      </c>
    </row>
    <row r="23">
      <c r="A23" s="697"/>
      <c r="B23" s="697" t="str">
        <f>IFERROR(__xludf.DUMMYFUNCTION("""COMPUTED_VALUE"""),"White et al")</f>
        <v>White et al</v>
      </c>
      <c r="C23" s="697" t="str">
        <f>IFERROR(__xludf.DUMMYFUNCTION("""COMPUTED_VALUE"""),"Liberia")</f>
        <v>Liberia</v>
      </c>
      <c r="D23" s="697" t="str">
        <f>IFERROR(__xludf.DUMMYFUNCTION("""COMPUTED_VALUE"""),"Placebo")</f>
        <v>Placebo</v>
      </c>
      <c r="E23" s="697"/>
      <c r="F23" s="697">
        <f>IFERROR(__xludf.DUMMYFUNCTION("""COMPUTED_VALUE"""),1.0)</f>
        <v>1</v>
      </c>
      <c r="G23" s="697" t="str">
        <f>IFERROR(__xludf.DUMMYFUNCTION("""COMPUTED_VALUE"""),"placebo")</f>
        <v>placebo</v>
      </c>
      <c r="H23" s="697"/>
      <c r="I23" s="697"/>
      <c r="J23" s="698">
        <f>IFERROR(__xludf.DUMMYFUNCTION("""COMPUTED_VALUE"""),0.1428)</f>
        <v>0.1428</v>
      </c>
      <c r="K23" s="697"/>
      <c r="L23" s="697"/>
      <c r="M23" s="697"/>
      <c r="N23" s="697"/>
      <c r="O23" s="697"/>
      <c r="P23" s="697"/>
      <c r="Q23" s="698">
        <f>IFERROR(__xludf.DUMMYFUNCTION("""COMPUTED_VALUE"""),0.2238)</f>
        <v>0.2238</v>
      </c>
      <c r="R23" s="697"/>
      <c r="S23" s="698">
        <f>IFERROR(__xludf.DUMMYFUNCTION("""COMPUTED_VALUE"""),0.2857)</f>
        <v>0.2857</v>
      </c>
      <c r="T23" s="697"/>
      <c r="U23" s="697"/>
      <c r="V23" s="697"/>
      <c r="W23" s="698">
        <f>IFERROR(__xludf.DUMMYFUNCTION("""COMPUTED_VALUE"""),0.319)</f>
        <v>0.319</v>
      </c>
      <c r="X23" s="697"/>
      <c r="Y23" s="697"/>
      <c r="Z23" s="697"/>
      <c r="AA23" s="697"/>
      <c r="AB23" s="697"/>
      <c r="AC23" s="697"/>
      <c r="AD23" s="697"/>
      <c r="AE23" s="697"/>
      <c r="AF23" s="697"/>
      <c r="AG23" s="697"/>
      <c r="AH23" s="697"/>
      <c r="AI23" s="697"/>
      <c r="AJ23" s="697"/>
      <c r="AK23" s="697"/>
      <c r="AL23" s="697"/>
      <c r="AM23" s="697"/>
      <c r="AN23" s="698">
        <f>IFERROR(__xludf.DUMMYFUNCTION("""COMPUTED_VALUE"""),0.2857)</f>
        <v>0.2857</v>
      </c>
      <c r="AO23" s="698">
        <f>IFERROR(__xludf.DUMMYFUNCTION("""COMPUTED_VALUE"""),0.2857)</f>
        <v>0.2857</v>
      </c>
      <c r="AP23" s="697" t="str">
        <f>IFERROR(__xludf.DUMMYFUNCTION("""COMPUTED_VALUE"""),"Mf reduction")</f>
        <v>Mf reduction</v>
      </c>
      <c r="AQ23" s="697" t="str">
        <f>IFERROR(__xludf.DUMMYFUNCTION("""COMPUTED_VALUE"""),"Liberian Agricultural Company employees in Grand Bassa County Liberia, West Africa")</f>
        <v>Liberian Agricultural Company employees in Grand Bassa County Liberia, West Africa</v>
      </c>
      <c r="AR23" s="697">
        <f>IFERROR(__xludf.DUMMYFUNCTION("""COMPUTED_VALUE"""),1987.0)</f>
        <v>1987</v>
      </c>
      <c r="AS23" s="697">
        <f>IFERROR(__xludf.DUMMYFUNCTION("""COMPUTED_VALUE"""),49.0)</f>
        <v>49</v>
      </c>
      <c r="AT23" s="697" t="str">
        <f>IFERROR(__xludf.DUMMYFUNCTION("""COMPUTED_VALUE"""),"1 year")</f>
        <v>1 year</v>
      </c>
      <c r="AU23" s="699" t="str">
        <f>IFERROR(__xludf.DUMMYFUNCTION("""COMPUTED_VALUE"""),"White, A. T., H. S. Newland, H. R. Taylor, K. D. Erttmann, E. Keyvan-Larijani, A. Nara, M. A. Aziz, S. A. D'Anna, P. N. Williams, and B. M. Greene. 1987. “Controlled Trial and Dose-finding Study of Ivermectin for Treatment of Onchocerciasis”. The Journal "&amp;"of Infectious Diseases 156 (3). Oxford University Press: 463–70.")</f>
        <v>White, A. T., H. S. Newland, H. R. Taylor, K. D. Erttmann, E. Keyvan-Larijani, A. Nara, M. A. Aziz, S. A. D'Anna, P. N. Williams, and B. M. Greene. 1987. “Controlled Trial and Dose-finding Study of Ivermectin for Treatment of Onchocerciasis”. The Journal of Infectious Diseases 156 (3). Oxford University Press: 463–70.</v>
      </c>
      <c r="AV23" s="697" t="str">
        <f>IFERROR(__xludf.DUMMYFUNCTION("""COMPUTED_VALUE"""),"MF")</f>
        <v>MF</v>
      </c>
      <c r="AW23" s="697" t="str">
        <f>IFERROR(__xludf.DUMMYFUNCTION("""COMPUTED_VALUE"""),"29.3 ± 13.6 years")</f>
        <v>29.3 ± 13.6 years</v>
      </c>
      <c r="AX23" s="697" t="str">
        <f>IFERROR(__xludf.DUMMYFUNCTION("""COMPUTED_VALUE"""),"Individuals screened with the highest skin microfilial count were chosen. Pregnant or lactating women, children less than 12 years of age, persons in poor general physical condition, and those who had received antifilarial drugs within the preceding 12 mo"&amp;"nths were excluded.")</f>
        <v>Individuals screened with the highest skin microfilial count were chosen. Pregnant or lactating women, children less than 12 years of age, persons in poor general physical condition, and those who had received antifilarial drugs within the preceding 12 months were excluded.</v>
      </c>
      <c r="AY23" s="697" t="str">
        <f>IFERROR(__xludf.DUMMYFUNCTION("""COMPUTED_VALUE"""),"No")</f>
        <v>No</v>
      </c>
      <c r="AZ23" s="697" t="str">
        <f>IFERROR(__xludf.DUMMYFUNCTION("""COMPUTED_VALUE"""),"Yes")</f>
        <v>Yes</v>
      </c>
      <c r="BA23" s="697"/>
      <c r="BB23" s="697"/>
      <c r="BC23" s="697" t="str">
        <f>IFERROR(__xludf.DUMMYFUNCTION("""COMPUTED_VALUE"""),"150 mcg/kg is the optimal dosage of ivermectin")</f>
        <v>150 mcg/kg is the optimal dosage of ivermectin</v>
      </c>
      <c r="BD23" s="697"/>
      <c r="BE23" s="697"/>
      <c r="BF23" s="697"/>
      <c r="BG23" s="697"/>
    </row>
    <row r="24">
      <c r="A24" s="697"/>
      <c r="B24" s="697" t="str">
        <f>IFERROR(__xludf.DUMMYFUNCTION("""COMPUTED_VALUE"""),"White et al")</f>
        <v>White et al</v>
      </c>
      <c r="C24" s="697" t="str">
        <f>IFERROR(__xludf.DUMMYFUNCTION("""COMPUTED_VALUE"""),"Liberia")</f>
        <v>Liberia</v>
      </c>
      <c r="D24" s="697" t="str">
        <f>IFERROR(__xludf.DUMMYFUNCTION("""COMPUTED_VALUE"""),"Ivermectin")</f>
        <v>Ivermectin</v>
      </c>
      <c r="E24" s="697" t="str">
        <f>IFERROR(__xludf.DUMMYFUNCTION("""COMPUTED_VALUE"""),"100ug/kg")</f>
        <v>100ug/kg</v>
      </c>
      <c r="F24" s="697">
        <f>IFERROR(__xludf.DUMMYFUNCTION("""COMPUTED_VALUE"""),1.0)</f>
        <v>1</v>
      </c>
      <c r="G24" s="697" t="str">
        <f>IFERROR(__xludf.DUMMYFUNCTION("""COMPUTED_VALUE"""),"100ug/kg")</f>
        <v>100ug/kg</v>
      </c>
      <c r="H24" s="697"/>
      <c r="I24" s="697"/>
      <c r="J24" s="698">
        <f>IFERROR(__xludf.DUMMYFUNCTION("""COMPUTED_VALUE"""),0.581)</f>
        <v>0.581</v>
      </c>
      <c r="K24" s="697"/>
      <c r="L24" s="697"/>
      <c r="M24" s="697"/>
      <c r="N24" s="697"/>
      <c r="O24" s="697"/>
      <c r="P24" s="697"/>
      <c r="Q24" s="698">
        <f>IFERROR(__xludf.DUMMYFUNCTION("""COMPUTED_VALUE"""),0.9441)</f>
        <v>0.9441</v>
      </c>
      <c r="R24" s="697"/>
      <c r="S24" s="698">
        <f>IFERROR(__xludf.DUMMYFUNCTION("""COMPUTED_VALUE"""),0.8882)</f>
        <v>0.8882</v>
      </c>
      <c r="T24" s="697"/>
      <c r="U24" s="697"/>
      <c r="V24" s="697"/>
      <c r="W24" s="698">
        <f>IFERROR(__xludf.DUMMYFUNCTION("""COMPUTED_VALUE"""),0.838)</f>
        <v>0.838</v>
      </c>
      <c r="X24" s="697"/>
      <c r="Y24" s="697"/>
      <c r="Z24" s="697"/>
      <c r="AA24" s="697"/>
      <c r="AB24" s="697"/>
      <c r="AC24" s="697"/>
      <c r="AD24" s="697"/>
      <c r="AE24" s="697"/>
      <c r="AF24" s="697"/>
      <c r="AG24" s="697"/>
      <c r="AH24" s="697"/>
      <c r="AI24" s="697"/>
      <c r="AJ24" s="697"/>
      <c r="AK24" s="697"/>
      <c r="AL24" s="697"/>
      <c r="AM24" s="697"/>
      <c r="AN24" s="698">
        <f>IFERROR(__xludf.DUMMYFUNCTION("""COMPUTED_VALUE"""),0.8882)</f>
        <v>0.8882</v>
      </c>
      <c r="AO24" s="698">
        <f>IFERROR(__xludf.DUMMYFUNCTION("""COMPUTED_VALUE"""),0.8882)</f>
        <v>0.8882</v>
      </c>
      <c r="AP24" s="697" t="str">
        <f>IFERROR(__xludf.DUMMYFUNCTION("""COMPUTED_VALUE"""),"Mf reduction")</f>
        <v>Mf reduction</v>
      </c>
      <c r="AQ24" s="697" t="str">
        <f>IFERROR(__xludf.DUMMYFUNCTION("""COMPUTED_VALUE"""),"Liberian Agricultural Company employees in Grand Bassa County Liberia, West Africa")</f>
        <v>Liberian Agricultural Company employees in Grand Bassa County Liberia, West Africa</v>
      </c>
      <c r="AR24" s="697">
        <f>IFERROR(__xludf.DUMMYFUNCTION("""COMPUTED_VALUE"""),1987.0)</f>
        <v>1987</v>
      </c>
      <c r="AS24" s="697">
        <f>IFERROR(__xludf.DUMMYFUNCTION("""COMPUTED_VALUE"""),52.0)</f>
        <v>52</v>
      </c>
      <c r="AT24" s="697" t="str">
        <f>IFERROR(__xludf.DUMMYFUNCTION("""COMPUTED_VALUE"""),"1 year")</f>
        <v>1 year</v>
      </c>
      <c r="AU24" s="699" t="str">
        <f>IFERROR(__xludf.DUMMYFUNCTION("""COMPUTED_VALUE"""),"White, A. T., H. S. Newland, H. R. Taylor, K. D. Erttmann, E. Keyvan-Larijani, A. Nara, M. A. Aziz, S. A. D'Anna, P. N. Williams, and B. M. Greene. 1987. “Controlled Trial and Dose-finding Study of Ivermectin for Treatment of Onchocerciasis”. The Journal "&amp;"of Infectious Diseases 156 (3). Oxford University Press: 463–70.")</f>
        <v>White, A. T., H. S. Newland, H. R. Taylor, K. D. Erttmann, E. Keyvan-Larijani, A. Nara, M. A. Aziz, S. A. D'Anna, P. N. Williams, and B. M. Greene. 1987. “Controlled Trial and Dose-finding Study of Ivermectin for Treatment of Onchocerciasis”. The Journal of Infectious Diseases 156 (3). Oxford University Press: 463–70.</v>
      </c>
      <c r="AV24" s="697"/>
      <c r="AW24" s="697" t="str">
        <f>IFERROR(__xludf.DUMMYFUNCTION("""COMPUTED_VALUE"""),"29.3 ± 10.7 years")</f>
        <v>29.3 ± 10.7 years</v>
      </c>
      <c r="AX24" s="697"/>
      <c r="AY24" s="697" t="str">
        <f>IFERROR(__xludf.DUMMYFUNCTION("""COMPUTED_VALUE"""),"No")</f>
        <v>No</v>
      </c>
      <c r="AZ24" s="697" t="str">
        <f>IFERROR(__xludf.DUMMYFUNCTION("""COMPUTED_VALUE"""),"Yes")</f>
        <v>Yes</v>
      </c>
      <c r="BA24" s="697"/>
      <c r="BB24" s="697"/>
      <c r="BC24" s="697" t="str">
        <f>IFERROR(__xludf.DUMMYFUNCTION("""COMPUTED_VALUE"""),"151 mcg/kg is the optimal dosage of ivermectin")</f>
        <v>151 mcg/kg is the optimal dosage of ivermectin</v>
      </c>
      <c r="BD24" s="697"/>
      <c r="BE24" s="697"/>
      <c r="BF24" s="697"/>
      <c r="BG24" s="697"/>
    </row>
    <row r="25">
      <c r="A25" s="697"/>
      <c r="B25" s="697" t="str">
        <f>IFERROR(__xludf.DUMMYFUNCTION("""COMPUTED_VALUE"""),"White et al")</f>
        <v>White et al</v>
      </c>
      <c r="C25" s="697" t="str">
        <f>IFERROR(__xludf.DUMMYFUNCTION("""COMPUTED_VALUE"""),"Liberia")</f>
        <v>Liberia</v>
      </c>
      <c r="D25" s="697" t="str">
        <f>IFERROR(__xludf.DUMMYFUNCTION("""COMPUTED_VALUE"""),"Ivermectin")</f>
        <v>Ivermectin</v>
      </c>
      <c r="E25" s="697" t="str">
        <f>IFERROR(__xludf.DUMMYFUNCTION("""COMPUTED_VALUE"""),"150ug/kg")</f>
        <v>150ug/kg</v>
      </c>
      <c r="F25" s="697">
        <f>IFERROR(__xludf.DUMMYFUNCTION("""COMPUTED_VALUE"""),1.0)</f>
        <v>1</v>
      </c>
      <c r="G25" s="697" t="str">
        <f>IFERROR(__xludf.DUMMYFUNCTION("""COMPUTED_VALUE"""),"150ug/kg")</f>
        <v>150ug/kg</v>
      </c>
      <c r="H25" s="697"/>
      <c r="I25" s="697"/>
      <c r="J25" s="697" t="str">
        <f>IFERROR(__xludf.DUMMYFUNCTION("""COMPUTED_VALUE"""),"71.22%%")</f>
        <v>71.22%%</v>
      </c>
      <c r="K25" s="697"/>
      <c r="L25" s="697"/>
      <c r="M25" s="697"/>
      <c r="N25" s="697"/>
      <c r="O25" s="697"/>
      <c r="P25" s="697"/>
      <c r="Q25" s="698">
        <f>IFERROR(__xludf.DUMMYFUNCTION("""COMPUTED_VALUE"""),0.9764)</f>
        <v>0.9764</v>
      </c>
      <c r="R25" s="697"/>
      <c r="S25" s="698">
        <f>IFERROR(__xludf.DUMMYFUNCTION("""COMPUTED_VALUE"""),0.9057)</f>
        <v>0.9057</v>
      </c>
      <c r="T25" s="697"/>
      <c r="U25" s="697"/>
      <c r="V25" s="697"/>
      <c r="W25" s="698">
        <f>IFERROR(__xludf.DUMMYFUNCTION("""COMPUTED_VALUE"""),0.8113)</f>
        <v>0.8113</v>
      </c>
      <c r="X25" s="697"/>
      <c r="Y25" s="697"/>
      <c r="Z25" s="697"/>
      <c r="AA25" s="697"/>
      <c r="AB25" s="697"/>
      <c r="AC25" s="697"/>
      <c r="AD25" s="697"/>
      <c r="AE25" s="697"/>
      <c r="AF25" s="697"/>
      <c r="AG25" s="697"/>
      <c r="AH25" s="697"/>
      <c r="AI25" s="697"/>
      <c r="AJ25" s="697"/>
      <c r="AK25" s="697"/>
      <c r="AL25" s="697"/>
      <c r="AM25" s="697"/>
      <c r="AN25" s="698">
        <f>IFERROR(__xludf.DUMMYFUNCTION("""COMPUTED_VALUE"""),0.9057)</f>
        <v>0.9057</v>
      </c>
      <c r="AO25" s="698">
        <f>IFERROR(__xludf.DUMMYFUNCTION("""COMPUTED_VALUE"""),0.9057)</f>
        <v>0.9057</v>
      </c>
      <c r="AP25" s="697" t="str">
        <f>IFERROR(__xludf.DUMMYFUNCTION("""COMPUTED_VALUE"""),"Mf reduction")</f>
        <v>Mf reduction</v>
      </c>
      <c r="AQ25" s="697" t="str">
        <f>IFERROR(__xludf.DUMMYFUNCTION("""COMPUTED_VALUE"""),"Liberian Agricultural Company employees in Grand Bassa County Liberia, West Africa")</f>
        <v>Liberian Agricultural Company employees in Grand Bassa County Liberia, West Africa</v>
      </c>
      <c r="AR25" s="697">
        <f>IFERROR(__xludf.DUMMYFUNCTION("""COMPUTED_VALUE"""),1987.0)</f>
        <v>1987</v>
      </c>
      <c r="AS25" s="697">
        <f>IFERROR(__xludf.DUMMYFUNCTION("""COMPUTED_VALUE"""),51.0)</f>
        <v>51</v>
      </c>
      <c r="AT25" s="697" t="str">
        <f>IFERROR(__xludf.DUMMYFUNCTION("""COMPUTED_VALUE"""),"1year")</f>
        <v>1year</v>
      </c>
      <c r="AU25" s="699" t="str">
        <f>IFERROR(__xludf.DUMMYFUNCTION("""COMPUTED_VALUE"""),"White, A. T., H. S. Newland, H. R. Taylor, K. D. Erttmann, E. Keyvan-Larijani, A. Nara, M. A. Aziz, S. A. D'Anna, P. N. Williams, and B. M. Greene. 1987. “Controlled Trial and Dose-finding Study of Ivermectin for Treatment of Onchocerciasis”. The Journal "&amp;"of Infectious Diseases 156 (3). Oxford University Press: 463–70.")</f>
        <v>White, A. T., H. S. Newland, H. R. Taylor, K. D. Erttmann, E. Keyvan-Larijani, A. Nara, M. A. Aziz, S. A. D'Anna, P. N. Williams, and B. M. Greene. 1987. “Controlled Trial and Dose-finding Study of Ivermectin for Treatment of Onchocerciasis”. The Journal of Infectious Diseases 156 (3). Oxford University Press: 463–70.</v>
      </c>
      <c r="AV25" s="697"/>
      <c r="AW25" s="697" t="str">
        <f>IFERROR(__xludf.DUMMYFUNCTION("""COMPUTED_VALUE"""),"30.3 ± 11.6 years")</f>
        <v>30.3 ± 11.6 years</v>
      </c>
      <c r="AX25" s="697"/>
      <c r="AY25" s="697" t="str">
        <f>IFERROR(__xludf.DUMMYFUNCTION("""COMPUTED_VALUE"""),"No")</f>
        <v>No</v>
      </c>
      <c r="AZ25" s="697" t="str">
        <f>IFERROR(__xludf.DUMMYFUNCTION("""COMPUTED_VALUE"""),"Yes")</f>
        <v>Yes</v>
      </c>
      <c r="BA25" s="697"/>
      <c r="BB25" s="697"/>
      <c r="BC25" s="697" t="str">
        <f>IFERROR(__xludf.DUMMYFUNCTION("""COMPUTED_VALUE"""),"152 mcg/kg is the optimal dosage of ivermectin")</f>
        <v>152 mcg/kg is the optimal dosage of ivermectin</v>
      </c>
      <c r="BD25" s="697"/>
      <c r="BE25" s="697"/>
      <c r="BF25" s="697"/>
      <c r="BG25" s="697"/>
    </row>
    <row r="26">
      <c r="A26" s="697"/>
      <c r="B26" s="697" t="str">
        <f>IFERROR(__xludf.DUMMYFUNCTION("""COMPUTED_VALUE"""),"White et al")</f>
        <v>White et al</v>
      </c>
      <c r="C26" s="697" t="str">
        <f>IFERROR(__xludf.DUMMYFUNCTION("""COMPUTED_VALUE"""),"Liberia")</f>
        <v>Liberia</v>
      </c>
      <c r="D26" s="697" t="str">
        <f>IFERROR(__xludf.DUMMYFUNCTION("""COMPUTED_VALUE"""),"Ivermectin")</f>
        <v>Ivermectin</v>
      </c>
      <c r="E26" s="697" t="str">
        <f>IFERROR(__xludf.DUMMYFUNCTION("""COMPUTED_VALUE"""),"200ug/kg")</f>
        <v>200ug/kg</v>
      </c>
      <c r="F26" s="697">
        <f>IFERROR(__xludf.DUMMYFUNCTION("""COMPUTED_VALUE"""),1.0)</f>
        <v>1</v>
      </c>
      <c r="G26" s="697" t="str">
        <f>IFERROR(__xludf.DUMMYFUNCTION("""COMPUTED_VALUE"""),"200ug/kg")</f>
        <v>200ug/kg</v>
      </c>
      <c r="H26" s="697"/>
      <c r="I26" s="697"/>
      <c r="J26" s="698">
        <f>IFERROR(__xludf.DUMMYFUNCTION("""COMPUTED_VALUE"""),0.7837)</f>
        <v>0.7837</v>
      </c>
      <c r="K26" s="697"/>
      <c r="L26" s="697"/>
      <c r="M26" s="697"/>
      <c r="N26" s="697"/>
      <c r="O26" s="697"/>
      <c r="P26" s="697"/>
      <c r="Q26" s="698">
        <f>IFERROR(__xludf.DUMMYFUNCTION("""COMPUTED_VALUE"""),0.9519)</f>
        <v>0.9519</v>
      </c>
      <c r="R26" s="697"/>
      <c r="S26" s="698">
        <f>IFERROR(__xludf.DUMMYFUNCTION("""COMPUTED_VALUE"""),0.9038)</f>
        <v>0.9038</v>
      </c>
      <c r="T26" s="697"/>
      <c r="U26" s="697"/>
      <c r="V26" s="697"/>
      <c r="W26" s="698">
        <f>IFERROR(__xludf.DUMMYFUNCTION("""COMPUTED_VALUE"""),0.851)</f>
        <v>0.851</v>
      </c>
      <c r="X26" s="697"/>
      <c r="Y26" s="697"/>
      <c r="Z26" s="697"/>
      <c r="AA26" s="697"/>
      <c r="AB26" s="697"/>
      <c r="AC26" s="697"/>
      <c r="AD26" s="697"/>
      <c r="AE26" s="697"/>
      <c r="AF26" s="697"/>
      <c r="AG26" s="697"/>
      <c r="AH26" s="697"/>
      <c r="AI26" s="697"/>
      <c r="AJ26" s="697"/>
      <c r="AK26" s="697"/>
      <c r="AL26" s="697"/>
      <c r="AM26" s="697"/>
      <c r="AN26" s="698">
        <f>IFERROR(__xludf.DUMMYFUNCTION("""COMPUTED_VALUE"""),0.9038)</f>
        <v>0.9038</v>
      </c>
      <c r="AO26" s="698">
        <f>IFERROR(__xludf.DUMMYFUNCTION("""COMPUTED_VALUE"""),0.9038)</f>
        <v>0.9038</v>
      </c>
      <c r="AP26" s="697" t="str">
        <f>IFERROR(__xludf.DUMMYFUNCTION("""COMPUTED_VALUE"""),"Mf reduction")</f>
        <v>Mf reduction</v>
      </c>
      <c r="AQ26" s="697" t="str">
        <f>IFERROR(__xludf.DUMMYFUNCTION("""COMPUTED_VALUE"""),"Liberian Agricultural Company employees in Grand Bassa County Liberia, West Africa")</f>
        <v>Liberian Agricultural Company employees in Grand Bassa County Liberia, West Africa</v>
      </c>
      <c r="AR26" s="697">
        <f>IFERROR(__xludf.DUMMYFUNCTION("""COMPUTED_VALUE"""),1987.0)</f>
        <v>1987</v>
      </c>
      <c r="AS26" s="697">
        <f>IFERROR(__xludf.DUMMYFUNCTION("""COMPUTED_VALUE"""),48.0)</f>
        <v>48</v>
      </c>
      <c r="AT26" s="697" t="str">
        <f>IFERROR(__xludf.DUMMYFUNCTION("""COMPUTED_VALUE"""),"1 year")</f>
        <v>1 year</v>
      </c>
      <c r="AU26" s="699" t="str">
        <f>IFERROR(__xludf.DUMMYFUNCTION("""COMPUTED_VALUE"""),"White, A. T., H. S. Newland, H. R. Taylor, K. D. Erttmann, E. Keyvan-Larijani, A. Nara, M. A. Aziz, S. A. D'Anna, P. N. Williams, and B. M. Greene. 1987. “Controlled Trial and Dose-finding Study of Ivermectin for Treatment of Onchocerciasis”. The Journal "&amp;"of Infectious Diseases 156 (3). Oxford University Press: 463–70.")</f>
        <v>White, A. T., H. S. Newland, H. R. Taylor, K. D. Erttmann, E. Keyvan-Larijani, A. Nara, M. A. Aziz, S. A. D'Anna, P. N. Williams, and B. M. Greene. 1987. “Controlled Trial and Dose-finding Study of Ivermectin for Treatment of Onchocerciasis”. The Journal of Infectious Diseases 156 (3). Oxford University Press: 463–70.</v>
      </c>
      <c r="AV26" s="697"/>
      <c r="AW26" s="697" t="str">
        <f>IFERROR(__xludf.DUMMYFUNCTION("""COMPUTED_VALUE"""),"30.5 ± 12.3 years")</f>
        <v>30.5 ± 12.3 years</v>
      </c>
      <c r="AX26" s="697"/>
      <c r="AY26" s="697" t="str">
        <f>IFERROR(__xludf.DUMMYFUNCTION("""COMPUTED_VALUE"""),"No")</f>
        <v>No</v>
      </c>
      <c r="AZ26" s="697" t="str">
        <f>IFERROR(__xludf.DUMMYFUNCTION("""COMPUTED_VALUE"""),"Yes")</f>
        <v>Yes</v>
      </c>
      <c r="BA26" s="697"/>
      <c r="BB26" s="697"/>
      <c r="BC26" s="697" t="str">
        <f>IFERROR(__xludf.DUMMYFUNCTION("""COMPUTED_VALUE"""),"153 mcg/kg is the optimal dosage of ivermectin")</f>
        <v>153 mcg/kg is the optimal dosage of ivermectin</v>
      </c>
      <c r="BD26" s="697"/>
      <c r="BE26" s="697"/>
      <c r="BF26" s="697"/>
      <c r="BG26" s="697"/>
    </row>
    <row r="27" hidden="1">
      <c r="A27" s="697"/>
      <c r="B27" s="697" t="str">
        <f>IFERROR(__xludf.DUMMYFUNCTION("""COMPUTED_VALUE"""),"Oyibo et al")</f>
        <v>Oyibo et al</v>
      </c>
      <c r="C27" s="697" t="str">
        <f>IFERROR(__xludf.DUMMYFUNCTION("""COMPUTED_VALUE"""),"Nigeria")</f>
        <v>Nigeria</v>
      </c>
      <c r="D27" s="697" t="str">
        <f>IFERROR(__xludf.DUMMYFUNCTION("""COMPUTED_VALUE"""),"Ivermectin")</f>
        <v>Ivermectin</v>
      </c>
      <c r="E27" s="697" t="str">
        <f>IFERROR(__xludf.DUMMYFUNCTION("""COMPUTED_VALUE"""),"150ug/kg")</f>
        <v>150ug/kg</v>
      </c>
      <c r="F27" s="697">
        <f>IFERROR(__xludf.DUMMYFUNCTION("""COMPUTED_VALUE"""),5.0)</f>
        <v>5</v>
      </c>
      <c r="G27" s="697" t="str">
        <f>IFERROR(__xludf.DUMMYFUNCTION("""COMPUTED_VALUE"""),"750ug/kg")</f>
        <v>750ug/kg</v>
      </c>
      <c r="H27" s="697"/>
      <c r="I27" s="697"/>
      <c r="J27" s="697"/>
      <c r="K27" s="697"/>
      <c r="L27" s="697"/>
      <c r="M27" s="697"/>
      <c r="N27" s="697"/>
      <c r="O27" s="697"/>
      <c r="P27" s="697"/>
      <c r="Q27" s="697"/>
      <c r="R27" s="697"/>
      <c r="S27" s="697"/>
      <c r="T27" s="697"/>
      <c r="U27" s="697"/>
      <c r="V27" s="697"/>
      <c r="W27" s="697"/>
      <c r="X27" s="697"/>
      <c r="Y27" s="697"/>
      <c r="Z27" s="697"/>
      <c r="AA27" s="697"/>
      <c r="AB27" s="697"/>
      <c r="AC27" s="698">
        <f>IFERROR(__xludf.DUMMYFUNCTION("""COMPUTED_VALUE"""),0.1592)</f>
        <v>0.1592</v>
      </c>
      <c r="AD27" s="698">
        <f>IFERROR(__xludf.DUMMYFUNCTION("""COMPUTED_VALUE"""),0.1908)</f>
        <v>0.1908</v>
      </c>
      <c r="AE27" s="697"/>
      <c r="AF27" s="697"/>
      <c r="AG27" s="697"/>
      <c r="AH27" s="697"/>
      <c r="AI27" s="697"/>
      <c r="AJ27" s="697"/>
      <c r="AK27" s="697"/>
      <c r="AL27" s="697"/>
      <c r="AM27" s="697"/>
      <c r="AN27" s="698">
        <f>IFERROR(__xludf.DUMMYFUNCTION("""COMPUTED_VALUE"""),0.1592)</f>
        <v>0.1592</v>
      </c>
      <c r="AO27" s="698">
        <f>IFERROR(__xludf.DUMMYFUNCTION("""COMPUTED_VALUE"""),0.1592)</f>
        <v>0.1592</v>
      </c>
      <c r="AP27" s="697" t="str">
        <f>IFERROR(__xludf.DUMMYFUNCTION("""COMPUTED_VALUE"""),"Mf reduction")</f>
        <v>Mf reduction</v>
      </c>
      <c r="AQ27" s="697" t="str">
        <f>IFERROR(__xludf.DUMMYFUNCTION("""COMPUTED_VALUE"""),"10 villages in Kwara State")</f>
        <v>10 villages in Kwara State</v>
      </c>
      <c r="AR27" s="697">
        <f>IFERROR(__xludf.DUMMYFUNCTION("""COMPUTED_VALUE"""),1997.0)</f>
        <v>1997</v>
      </c>
      <c r="AS27" s="697" t="str">
        <f>IFERROR(__xludf.DUMMYFUNCTION("""COMPUTED_VALUE"""),"330 subjects")</f>
        <v>330 subjects</v>
      </c>
      <c r="AT27" s="697" t="str">
        <f>IFERROR(__xludf.DUMMYFUNCTION("""COMPUTED_VALUE"""),"5 years 11 months")</f>
        <v>5 years 11 months</v>
      </c>
      <c r="AU27" s="699" t="str">
        <f>IFERROR(__xludf.DUMMYFUNCTION("""COMPUTED_VALUE"""),"Oyibo WA, Fagbenro-Beyioku AF.  Effect of repeated community-based ivermectin treatment on the intensity of onchocerciasis in Nigeria. Rural and Remote Health (Internet) 2003; 3: 211.")</f>
        <v>Oyibo WA, Fagbenro-Beyioku AF.  Effect of repeated community-based ivermectin treatment on the intensity of onchocerciasis in Nigeria. Rural and Remote Health (Internet) 2003; 3: 211.</v>
      </c>
      <c r="AV27" s="697" t="str">
        <f>IFERROR(__xludf.DUMMYFUNCTION("""COMPUTED_VALUE"""),"330 men")</f>
        <v>330 men</v>
      </c>
      <c r="AW27" s="697" t="str">
        <f>IFERROR(__xludf.DUMMYFUNCTION("""COMPUTED_VALUE"""),"&gt;5 years")</f>
        <v>&gt;5 years</v>
      </c>
      <c r="AX27" s="697"/>
      <c r="AY27" s="697" t="str">
        <f>IFERROR(__xludf.DUMMYFUNCTION("""COMPUTED_VALUE"""),"No")</f>
        <v>No</v>
      </c>
      <c r="AZ27" s="697" t="str">
        <f>IFERROR(__xludf.DUMMYFUNCTION("""COMPUTED_VALUE"""),"No")</f>
        <v>No</v>
      </c>
      <c r="BA27" s="697"/>
      <c r="BB27" s="697"/>
      <c r="BC27" s="697" t="str">
        <f>IFERROR(__xludf.DUMMYFUNCTION("""COMPUTED_VALUE"""),"Needs to be a flexible approach to distribution")</f>
        <v>Needs to be a flexible approach to distribution</v>
      </c>
      <c r="BD27" s="697"/>
      <c r="BE27" s="697"/>
      <c r="BF27" s="697"/>
      <c r="BG27" s="697" t="str">
        <f>IFERROR(__xludf.DUMMYFUNCTION("""COMPUTED_VALUE"""),"x")</f>
        <v>x</v>
      </c>
    </row>
    <row r="28">
      <c r="A28" s="697"/>
      <c r="B28" s="697" t="str">
        <f>IFERROR(__xludf.DUMMYFUNCTION("""COMPUTED_VALUE"""),"Klager et al.")</f>
        <v>Klager et al.</v>
      </c>
      <c r="C28" s="697" t="str">
        <f>IFERROR(__xludf.DUMMYFUNCTION("""COMPUTED_VALUE"""),"Sierra Leone")</f>
        <v>Sierra Leone</v>
      </c>
      <c r="D28" s="697" t="str">
        <f>IFERROR(__xludf.DUMMYFUNCTION("""COMPUTED_VALUE"""),"Ivermectin")</f>
        <v>Ivermectin</v>
      </c>
      <c r="E28" s="697"/>
      <c r="F28" s="697">
        <f>IFERROR(__xludf.DUMMYFUNCTION("""COMPUTED_VALUE"""),4.0)</f>
        <v>4</v>
      </c>
      <c r="G28" s="697"/>
      <c r="H28" s="697"/>
      <c r="I28" s="697"/>
      <c r="J28" s="697"/>
      <c r="K28" s="697"/>
      <c r="L28" s="697"/>
      <c r="M28" s="697"/>
      <c r="N28" s="697"/>
      <c r="O28" s="697"/>
      <c r="P28" s="697"/>
      <c r="Q28" s="697"/>
      <c r="R28" s="697"/>
      <c r="S28" s="697"/>
      <c r="T28" s="697"/>
      <c r="U28" s="698">
        <f>IFERROR(__xludf.DUMMYFUNCTION("""COMPUTED_VALUE"""),0.816)</f>
        <v>0.816</v>
      </c>
      <c r="V28" s="697"/>
      <c r="W28" s="697"/>
      <c r="X28" s="697"/>
      <c r="Y28" s="697"/>
      <c r="Z28" s="697"/>
      <c r="AA28" s="697"/>
      <c r="AB28" s="697"/>
      <c r="AC28" s="697"/>
      <c r="AD28" s="697"/>
      <c r="AE28" s="697" t="str">
        <f>IFERROR(__xludf.DUMMYFUNCTION("""COMPUTED_VALUE"""),"n/a")</f>
        <v>n/a</v>
      </c>
      <c r="AF28" s="697"/>
      <c r="AG28" s="697"/>
      <c r="AH28" s="697"/>
      <c r="AI28" s="697"/>
      <c r="AJ28" s="697"/>
      <c r="AK28" s="697"/>
      <c r="AL28" s="697"/>
      <c r="AM28" s="700">
        <f>IFERROR(__xludf.DUMMYFUNCTION("""COMPUTED_VALUE"""),0.9)</f>
        <v>0.9</v>
      </c>
      <c r="AN28" s="698">
        <f>IFERROR(__xludf.DUMMYFUNCTION("""COMPUTED_VALUE"""),0.816)</f>
        <v>0.816</v>
      </c>
      <c r="AO28" s="698">
        <f>IFERROR(__xludf.DUMMYFUNCTION("""COMPUTED_VALUE"""),0.816)</f>
        <v>0.816</v>
      </c>
      <c r="AP28" s="697" t="str">
        <f>IFERROR(__xludf.DUMMYFUNCTION("""COMPUTED_VALUE"""),"Mf reduction; Nodulectomy:worm reproductivity")</f>
        <v>Mf reduction; Nodulectomy:worm reproductivity</v>
      </c>
      <c r="AQ28" s="697" t="str">
        <f>IFERROR(__xludf.DUMMYFUNCTION("""COMPUTED_VALUE""")," ")</f>
        <v> </v>
      </c>
      <c r="AR28" s="697">
        <f>IFERROR(__xludf.DUMMYFUNCTION("""COMPUTED_VALUE"""),1994.0)</f>
        <v>1994</v>
      </c>
      <c r="AS28" s="697">
        <f>IFERROR(__xludf.DUMMYFUNCTION("""COMPUTED_VALUE"""),77.0)</f>
        <v>77</v>
      </c>
      <c r="AT28" s="697" t="str">
        <f>IFERROR(__xludf.DUMMYFUNCTION("""COMPUTED_VALUE"""),"6 years")</f>
        <v>6 years</v>
      </c>
      <c r="AU28" s="699" t="str">
        <f>IFERROR(__xludf.DUMMYFUNCTION("""COMPUTED_VALUE"""),"Klager, S.L.; Whitworth, J.A.G.; Downhad, M.D.; Viability and fertility of adult Onchocerca volvulus after 6 years of treatment with ivermectin; DOI: 10.1111/j.1365-3156.1996.tb00083 http://www.researchgate.net/profile/Sabine_Klaeger/publication/14296526_"&amp;"Viability_and_fertility_of_adult_Onchocerca_volvulus_after_6_years_of_treatment_with_ivermectin/links/542fe44c0cf277d58e924d97.pdf")</f>
        <v>Klager, S.L.; Whitworth, J.A.G.; Downhad, M.D.; Viability and fertility of adult Onchocerca volvulus after 6 years of treatment with ivermectin; DOI: 10.1111/j.1365-3156.1996.tb00083 http://www.researchgate.net/profile/Sabine_Klaeger/publication/14296526_Viability_and_fertility_of_adult_Onchocerca_volvulus_after_6_years_of_treatment_with_ivermectin/links/542fe44c0cf277d58e924d97.pdf</v>
      </c>
      <c r="AV28" s="697"/>
      <c r="AW28" s="697"/>
      <c r="AX28" s="697" t="str">
        <f>IFERROR(__xludf.DUMMYFUNCTION("""COMPUTED_VALUE"""),"Only specified ""volunteers""")</f>
        <v>Only specified "volunteers"</v>
      </c>
      <c r="AY28" s="697" t="str">
        <f>IFERROR(__xludf.DUMMYFUNCTION("""COMPUTED_VALUE"""),"No")</f>
        <v>No</v>
      </c>
      <c r="AZ28" s="697" t="str">
        <f>IFERROR(__xludf.DUMMYFUNCTION("""COMPUTED_VALUE"""),"Yes")</f>
        <v>Yes</v>
      </c>
      <c r="BA28" s="697"/>
      <c r="BB28" s="697"/>
      <c r="BC28" s="697" t="str">
        <f>IFERROR(__xludf.DUMMYFUNCTION("""COMPUTED_VALUE"""),"Needs to be a flexible approach to distribution")</f>
        <v>Needs to be a flexible approach to distribution</v>
      </c>
      <c r="BD28" s="697"/>
      <c r="BE28" s="697"/>
      <c r="BF28" s="697"/>
      <c r="BG28" s="697"/>
    </row>
    <row r="29">
      <c r="A29" s="697"/>
      <c r="B29" s="697" t="str">
        <f>IFERROR(__xludf.DUMMYFUNCTION("""COMPUTED_VALUE"""),"Klager et al.")</f>
        <v>Klager et al.</v>
      </c>
      <c r="C29" s="697" t="str">
        <f>IFERROR(__xludf.DUMMYFUNCTION("""COMPUTED_VALUE"""),"Sierra Leone")</f>
        <v>Sierra Leone</v>
      </c>
      <c r="D29" s="697" t="str">
        <f>IFERROR(__xludf.DUMMYFUNCTION("""COMPUTED_VALUE"""),"Ivermectin")</f>
        <v>Ivermectin</v>
      </c>
      <c r="E29" s="697"/>
      <c r="F29" s="697">
        <f>IFERROR(__xludf.DUMMYFUNCTION("""COMPUTED_VALUE"""),10.0)</f>
        <v>10</v>
      </c>
      <c r="G29" s="697"/>
      <c r="H29" s="697"/>
      <c r="I29" s="697"/>
      <c r="J29" s="697"/>
      <c r="K29" s="697"/>
      <c r="L29" s="697"/>
      <c r="M29" s="697"/>
      <c r="N29" s="697"/>
      <c r="O29" s="697"/>
      <c r="P29" s="697"/>
      <c r="Q29" s="697"/>
      <c r="R29" s="697"/>
      <c r="S29" s="697"/>
      <c r="T29" s="697"/>
      <c r="U29" s="698">
        <f>IFERROR(__xludf.DUMMYFUNCTION("""COMPUTED_VALUE"""),0.836)</f>
        <v>0.836</v>
      </c>
      <c r="V29" s="697"/>
      <c r="W29" s="697"/>
      <c r="X29" s="697"/>
      <c r="Y29" s="697"/>
      <c r="Z29" s="697"/>
      <c r="AA29" s="697"/>
      <c r="AB29" s="697"/>
      <c r="AC29" s="697"/>
      <c r="AD29" s="697"/>
      <c r="AE29" s="697"/>
      <c r="AF29" s="697"/>
      <c r="AG29" s="697"/>
      <c r="AH29" s="697"/>
      <c r="AI29" s="697"/>
      <c r="AJ29" s="697"/>
      <c r="AK29" s="697"/>
      <c r="AL29" s="697"/>
      <c r="AM29" s="700">
        <f>IFERROR(__xludf.DUMMYFUNCTION("""COMPUTED_VALUE"""),0.92)</f>
        <v>0.92</v>
      </c>
      <c r="AN29" s="698">
        <f>IFERROR(__xludf.DUMMYFUNCTION("""COMPUTED_VALUE"""),0.836)</f>
        <v>0.836</v>
      </c>
      <c r="AO29" s="698">
        <f>IFERROR(__xludf.DUMMYFUNCTION("""COMPUTED_VALUE"""),0.836)</f>
        <v>0.836</v>
      </c>
      <c r="AP29" s="697" t="str">
        <f>IFERROR(__xludf.DUMMYFUNCTION("""COMPUTED_VALUE"""),"Mf reduction; Nodulectomy:worm reproductivity")</f>
        <v>Mf reduction; Nodulectomy:worm reproductivity</v>
      </c>
      <c r="AQ29" s="697"/>
      <c r="AR29" s="697">
        <f>IFERROR(__xludf.DUMMYFUNCTION("""COMPUTED_VALUE"""),1994.0)</f>
        <v>1994</v>
      </c>
      <c r="AS29" s="697"/>
      <c r="AT29" s="697" t="str">
        <f>IFERROR(__xludf.DUMMYFUNCTION("""COMPUTED_VALUE"""),"6 years")</f>
        <v>6 years</v>
      </c>
      <c r="AU29" s="699" t="str">
        <f>IFERROR(__xludf.DUMMYFUNCTION("""COMPUTED_VALUE"""),"Klager, S.L.; Whitworth, J.A.G.; Downhad, M.D.; Viability and fertility of adult Onchocerca volvulus after 6 years of treatment with ivermectin; DOI: 10.1111/j.1365-3156.1996.tb00083 http://www.researchgate.net/profile/Sabine_Klaeger/publication/14296526_"&amp;"Viability_and_fertility_of_adult_Onchocerca_volvulus_after_6_years_of_treatment_with_ivermectin/links/542fe44c0cf277d58e924d97.pdf")</f>
        <v>Klager, S.L.; Whitworth, J.A.G.; Downhad, M.D.; Viability and fertility of adult Onchocerca volvulus after 6 years of treatment with ivermectin; DOI: 10.1111/j.1365-3156.1996.tb00083 http://www.researchgate.net/profile/Sabine_Klaeger/publication/14296526_Viability_and_fertility_of_adult_Onchocerca_volvulus_after_6_years_of_treatment_with_ivermectin/links/542fe44c0cf277d58e924d97.pdf</v>
      </c>
      <c r="AV29" s="697"/>
      <c r="AW29" s="697"/>
      <c r="AX29" s="697"/>
      <c r="AY29" s="697" t="str">
        <f>IFERROR(__xludf.DUMMYFUNCTION("""COMPUTED_VALUE"""),"No")</f>
        <v>No</v>
      </c>
      <c r="AZ29" s="697" t="str">
        <f>IFERROR(__xludf.DUMMYFUNCTION("""COMPUTED_VALUE"""),"Yes")</f>
        <v>Yes</v>
      </c>
      <c r="BA29" s="697"/>
      <c r="BB29" s="697"/>
      <c r="BC29" s="697" t="str">
        <f>IFERROR(__xludf.DUMMYFUNCTION("""COMPUTED_VALUE"""),"Needs to be a flexible approach to distribution")</f>
        <v>Needs to be a flexible approach to distribution</v>
      </c>
      <c r="BD29" s="697"/>
      <c r="BE29" s="697"/>
      <c r="BF29" s="697"/>
      <c r="BG29" s="697"/>
    </row>
    <row r="30">
      <c r="A30" s="697"/>
      <c r="B30" s="697" t="str">
        <f>IFERROR(__xludf.DUMMYFUNCTION("""COMPUTED_VALUE"""),"Debrah et al.")</f>
        <v>Debrah et al.</v>
      </c>
      <c r="C30" s="697" t="str">
        <f>IFERROR(__xludf.DUMMYFUNCTION("""COMPUTED_VALUE"""),"Ghana")</f>
        <v>Ghana</v>
      </c>
      <c r="D30" s="697" t="str">
        <f>IFERROR(__xludf.DUMMYFUNCTION("""COMPUTED_VALUE"""),"Doxycycline (2 week)")</f>
        <v>Doxycycline (2 week)</v>
      </c>
      <c r="E30" s="697" t="str">
        <f>IFERROR(__xludf.DUMMYFUNCTION("""COMPUTED_VALUE"""),"200mg")</f>
        <v>200mg</v>
      </c>
      <c r="F30" s="697">
        <f>IFERROR(__xludf.DUMMYFUNCTION("""COMPUTED_VALUE"""),14.0)</f>
        <v>14</v>
      </c>
      <c r="G30" s="697" t="str">
        <f>IFERROR(__xludf.DUMMYFUNCTION("""COMPUTED_VALUE"""),"2800mg")</f>
        <v>2800mg</v>
      </c>
      <c r="H30" s="697"/>
      <c r="I30" s="697"/>
      <c r="J30" s="697"/>
      <c r="K30" s="697"/>
      <c r="L30" s="697"/>
      <c r="M30" s="697"/>
      <c r="N30" s="697"/>
      <c r="O30" s="697"/>
      <c r="P30" s="697"/>
      <c r="Q30" s="697"/>
      <c r="R30" s="697"/>
      <c r="S30" s="697"/>
      <c r="T30" s="697"/>
      <c r="U30" s="697"/>
      <c r="V30" s="697"/>
      <c r="W30" s="697"/>
      <c r="X30" s="698">
        <f>IFERROR(__xludf.DUMMYFUNCTION("""COMPUTED_VALUE"""),0.648)</f>
        <v>0.648</v>
      </c>
      <c r="Y30" s="697"/>
      <c r="Z30" s="697"/>
      <c r="AA30" s="697"/>
      <c r="AB30" s="697"/>
      <c r="AC30" s="697"/>
      <c r="AD30" s="697"/>
      <c r="AE30" s="697"/>
      <c r="AF30" s="697"/>
      <c r="AG30" s="697"/>
      <c r="AH30" s="697"/>
      <c r="AI30" s="697"/>
      <c r="AJ30" s="697"/>
      <c r="AK30" s="697"/>
      <c r="AL30" s="697"/>
      <c r="AM30" s="697"/>
      <c r="AN30" s="698">
        <f>IFERROR(__xludf.DUMMYFUNCTION("""COMPUTED_VALUE"""),0.648)</f>
        <v>0.648</v>
      </c>
      <c r="AO30" s="698">
        <f>IFERROR(__xludf.DUMMYFUNCTION("""COMPUTED_VALUE"""),0.648)</f>
        <v>0.648</v>
      </c>
      <c r="AP30" s="697" t="str">
        <f>IFERROR(__xludf.DUMMYFUNCTION("""COMPUTED_VALUE"""),"Mf reduction")</f>
        <v>Mf reduction</v>
      </c>
      <c r="AQ30" s="697" t="str">
        <f>IFERROR(__xludf.DUMMYFUNCTION("""COMPUTED_VALUE"""),"Akropong, Buabinso, and Denkyira Fosu")</f>
        <v>Akropong, Buabinso, and Denkyira Fosu</v>
      </c>
      <c r="AR30" s="697">
        <f>IFERROR(__xludf.DUMMYFUNCTION("""COMPUTED_VALUE"""),2002.0)</f>
        <v>2002</v>
      </c>
      <c r="AS30" s="697" t="str">
        <f>IFERROR(__xludf.DUMMYFUNCTION("""COMPUTED_VALUE"""),"8/60")</f>
        <v>8/60</v>
      </c>
      <c r="AT30" s="697" t="str">
        <f>IFERROR(__xludf.DUMMYFUNCTION("""COMPUTED_VALUE"""),"2 years")</f>
        <v>2 years</v>
      </c>
      <c r="AU30" s="699" t="str">
        <f>IFERROR(__xludf.DUMMYFUNCTION("""COMPUTED_VALUE"""),"Debrah, Alexander Yaw; Mandi, Sabine; Marfo-Debrekyei, Yeboah;Larbi, John; Adjei, Ohene; Heorauf, Achim (2006) Assessment of microfilarial loads in the skin of onchocerciasis patients after treatment with different regimens of doxycycline plus ivermectin."&amp;" doi:10.1186/1475-2883-5-1 http://www.filariajournal.com/content/5/1/1")</f>
        <v>Debrah, Alexander Yaw; Mandi, Sabine; Marfo-Debrekyei, Yeboah;Larbi, John; Adjei, Ohene; Heorauf, Achim (2006) Assessment of microfilarial loads in the skin of onchocerciasis patients after treatment with different regimens of doxycycline plus ivermectin. doi:10.1186/1475-2883-5-1 http://www.filariajournal.com/content/5/1/1</v>
      </c>
      <c r="AV30" s="697" t="str">
        <f>IFERROR(__xludf.DUMMYFUNCTION("""COMPUTED_VALUE"""),"M")</f>
        <v>M</v>
      </c>
      <c r="AW30" s="697"/>
      <c r="AX30" s="697" t="str">
        <f>IFERROR(__xludf.DUMMYFUNCTION("""COMPUTED_VALUE"""),"Inclusion criteria included volunteer onchocerciasis patients aged 18–50 years, who were in good general health conditions, and had a mf density of 5 mf or more per skin snip. Exclusion criteria for the study included abnormal hepatic and renal profiles ("&amp;"alkaline phosphatase &gt;200 U/l, glutamate pyruvate transaminase &gt;50 U/l, gamma glutamyl transpeptidase &gt;28 U/l and creatinine &gt;1.2 mg/100 μl) (measured by stick-chemistry) (Reflotron®, Roche Diagnotics, Mannheim, Germany), regular intake of other drugs, kn"&amp;"own mental illness, or other acute or chronic diseases. Women were not selected for doxycycline treatment but were included as control patients and offered ivermectin treatment and nodulectomy.")</f>
        <v>Inclusion criteria included volunteer onchocerciasis patients aged 18–50 years, who were in good general health conditions, and had a mf density of 5 mf or more per skin snip. Exclusion criteria for the study included abnormal hepatic and renal profiles (alkaline phosphatase &gt;200 U/l, glutamate pyruvate transaminase &gt;50 U/l, gamma glutamyl transpeptidase &gt;28 U/l and creatinine &gt;1.2 mg/100 μl) (measured by stick-chemistry) (Reflotron®, Roche Diagnotics, Mannheim, Germany), regular intake of other drugs, known mental illness, or other acute or chronic diseases. Women were not selected for doxycycline treatment but were included as control patients and offered ivermectin treatment and nodulectomy.</v>
      </c>
      <c r="AY30" s="697" t="str">
        <f>IFERROR(__xludf.DUMMYFUNCTION("""COMPUTED_VALUE"""),"No")</f>
        <v>No</v>
      </c>
      <c r="AZ30" s="697" t="str">
        <f>IFERROR(__xludf.DUMMYFUNCTION("""COMPUTED_VALUE"""),"No")</f>
        <v>No</v>
      </c>
      <c r="BA30" s="697"/>
      <c r="BB30" s="697"/>
      <c r="BC30" s="697" t="str">
        <f>IFERROR(__xludf.DUMMYFUNCTION("""COMPUTED_VALUE"""),"For doxycycline treatments, skin mf loads declined in all treatment regiments. In doxycycline plus ivermectin, skin mf counts fell to zeroafter 2 months of drug administration. In conclusion, a 6 week treatment regimen is effective, but too long for effic"&amp;"ient mass treatment. The 2 week regimen was ineffective. However, the 4 week regiment yielded results similar to 6 weeks, but in a shorter time frame. ")</f>
        <v>For doxycycline treatments, skin mf loads declined in all treatment regiments. In doxycycline plus ivermectin, skin mf counts fell to zeroafter 2 months of drug administration. In conclusion, a 6 week treatment regimen is effective, but too long for efficient mass treatment. The 2 week regimen was ineffective. However, the 4 week regiment yielded results similar to 6 weeks, but in a shorter time frame. </v>
      </c>
      <c r="BD30" s="697"/>
      <c r="BE30" s="697"/>
      <c r="BF30" s="697"/>
      <c r="BG30" s="697"/>
    </row>
    <row r="31">
      <c r="A31" s="697"/>
      <c r="B31" s="697" t="str">
        <f>IFERROR(__xludf.DUMMYFUNCTION("""COMPUTED_VALUE"""),"Debrah et al.")</f>
        <v>Debrah et al.</v>
      </c>
      <c r="C31" s="697" t="str">
        <f>IFERROR(__xludf.DUMMYFUNCTION("""COMPUTED_VALUE"""),"Ghana")</f>
        <v>Ghana</v>
      </c>
      <c r="D31" s="697" t="str">
        <f>IFERROR(__xludf.DUMMYFUNCTION("""COMPUTED_VALUE"""),"Doxycycline (4 week)")</f>
        <v>Doxycycline (4 week)</v>
      </c>
      <c r="E31" s="697" t="str">
        <f>IFERROR(__xludf.DUMMYFUNCTION("""COMPUTED_VALUE"""),"200mg")</f>
        <v>200mg</v>
      </c>
      <c r="F31" s="697">
        <f>IFERROR(__xludf.DUMMYFUNCTION("""COMPUTED_VALUE"""),28.0)</f>
        <v>28</v>
      </c>
      <c r="G31" s="697" t="str">
        <f>IFERROR(__xludf.DUMMYFUNCTION("""COMPUTED_VALUE"""),"5600mg")</f>
        <v>5600mg</v>
      </c>
      <c r="H31" s="697"/>
      <c r="I31" s="697"/>
      <c r="J31" s="697"/>
      <c r="K31" s="697"/>
      <c r="L31" s="697"/>
      <c r="M31" s="697"/>
      <c r="N31" s="697"/>
      <c r="O31" s="697"/>
      <c r="P31" s="697"/>
      <c r="Q31" s="697"/>
      <c r="R31" s="697"/>
      <c r="S31" s="697"/>
      <c r="T31" s="697"/>
      <c r="U31" s="697"/>
      <c r="V31" s="697"/>
      <c r="W31" s="697"/>
      <c r="X31" s="698">
        <f>IFERROR(__xludf.DUMMYFUNCTION("""COMPUTED_VALUE"""),0.935)</f>
        <v>0.935</v>
      </c>
      <c r="Y31" s="697"/>
      <c r="Z31" s="697"/>
      <c r="AA31" s="697"/>
      <c r="AB31" s="697"/>
      <c r="AC31" s="697"/>
      <c r="AD31" s="697"/>
      <c r="AE31" s="697"/>
      <c r="AF31" s="697"/>
      <c r="AG31" s="697"/>
      <c r="AH31" s="697"/>
      <c r="AI31" s="697"/>
      <c r="AJ31" s="697"/>
      <c r="AK31" s="697"/>
      <c r="AL31" s="697"/>
      <c r="AM31" s="697"/>
      <c r="AN31" s="698">
        <f>IFERROR(__xludf.DUMMYFUNCTION("""COMPUTED_VALUE"""),0.935)</f>
        <v>0.935</v>
      </c>
      <c r="AO31" s="698">
        <f>IFERROR(__xludf.DUMMYFUNCTION("""COMPUTED_VALUE"""),0.935)</f>
        <v>0.935</v>
      </c>
      <c r="AP31" s="697" t="str">
        <f>IFERROR(__xludf.DUMMYFUNCTION("""COMPUTED_VALUE"""),"Mf reduction")</f>
        <v>Mf reduction</v>
      </c>
      <c r="AQ31" s="697" t="str">
        <f>IFERROR(__xludf.DUMMYFUNCTION("""COMPUTED_VALUE"""),"Akropong, Buabinso, and Denkyira Fosu")</f>
        <v>Akropong, Buabinso, and Denkyira Fosu</v>
      </c>
      <c r="AR31" s="697">
        <f>IFERROR(__xludf.DUMMYFUNCTION("""COMPUTED_VALUE"""),2002.0)</f>
        <v>2002</v>
      </c>
      <c r="AS31" s="697" t="str">
        <f>IFERROR(__xludf.DUMMYFUNCTION("""COMPUTED_VALUE"""),"13/60")</f>
        <v>13/60</v>
      </c>
      <c r="AT31" s="697" t="str">
        <f>IFERROR(__xludf.DUMMYFUNCTION("""COMPUTED_VALUE"""),"2 years")</f>
        <v>2 years</v>
      </c>
      <c r="AU31" s="699" t="str">
        <f>IFERROR(__xludf.DUMMYFUNCTION("""COMPUTED_VALUE"""),"Debrah, Alexander Yaw; Mandi, Sabine; Marfo-Debrekyei, Yeboah;Larbi, John; Adjei, Ohene; Heorauf, Achim (2006) Assessment of microfilarial loads in the skin of onchocerciasis patients after treatment with different regimens of doxycycline plus ivermectin."&amp;" doi:10.1186/1475-2883-5-1 http://www.filariajournal.com/content/5/1/1")</f>
        <v>Debrah, Alexander Yaw; Mandi, Sabine; Marfo-Debrekyei, Yeboah;Larbi, John; Adjei, Ohene; Heorauf, Achim (2006) Assessment of microfilarial loads in the skin of onchocerciasis patients after treatment with different regimens of doxycycline plus ivermectin. doi:10.1186/1475-2883-5-1 http://www.filariajournal.com/content/5/1/1</v>
      </c>
      <c r="AV31" s="697" t="str">
        <f>IFERROR(__xludf.DUMMYFUNCTION("""COMPUTED_VALUE"""),"M")</f>
        <v>M</v>
      </c>
      <c r="AW31" s="697"/>
      <c r="AX31" s="697"/>
      <c r="AY31" s="697" t="str">
        <f>IFERROR(__xludf.DUMMYFUNCTION("""COMPUTED_VALUE"""),"No")</f>
        <v>No</v>
      </c>
      <c r="AZ31" s="697" t="str">
        <f>IFERROR(__xludf.DUMMYFUNCTION("""COMPUTED_VALUE"""),"No")</f>
        <v>No</v>
      </c>
      <c r="BA31" s="697"/>
      <c r="BB31" s="697"/>
      <c r="BC31" s="697" t="str">
        <f>IFERROR(__xludf.DUMMYFUNCTION("""COMPUTED_VALUE"""),"For doxycycline treatments, skin mf loads declined in all treatment regiments. In doxycycline plus ivermectin, skin mf counts fell to zeroafter 2 months of drug administration. In conclusion, a 6 week treatment regimen is effective, but too long for effic"&amp;"ient mass treatment. The 2 week regimen was ineffective. However, the 4 week regiment yielded results similar to 6 weeks, but in a shorter time frame. ")</f>
        <v>For doxycycline treatments, skin mf loads declined in all treatment regiments. In doxycycline plus ivermectin, skin mf counts fell to zeroafter 2 months of drug administration. In conclusion, a 6 week treatment regimen is effective, but too long for efficient mass treatment. The 2 week regimen was ineffective. However, the 4 week regiment yielded results similar to 6 weeks, but in a shorter time frame. </v>
      </c>
      <c r="BD31" s="697"/>
      <c r="BE31" s="697"/>
      <c r="BF31" s="697"/>
      <c r="BG31" s="697"/>
    </row>
    <row r="32">
      <c r="A32" s="697"/>
      <c r="B32" s="697" t="str">
        <f>IFERROR(__xludf.DUMMYFUNCTION("""COMPUTED_VALUE"""),"Debrah et al.")</f>
        <v>Debrah et al.</v>
      </c>
      <c r="C32" s="697" t="str">
        <f>IFERROR(__xludf.DUMMYFUNCTION("""COMPUTED_VALUE"""),"Ghana")</f>
        <v>Ghana</v>
      </c>
      <c r="D32" s="697" t="str">
        <f>IFERROR(__xludf.DUMMYFUNCTION("""COMPUTED_VALUE"""),"Doxycycline (6 week)")</f>
        <v>Doxycycline (6 week)</v>
      </c>
      <c r="E32" s="697" t="str">
        <f>IFERROR(__xludf.DUMMYFUNCTION("""COMPUTED_VALUE"""),"200mg")</f>
        <v>200mg</v>
      </c>
      <c r="F32" s="697">
        <f>IFERROR(__xludf.DUMMYFUNCTION("""COMPUTED_VALUE"""),42.0)</f>
        <v>42</v>
      </c>
      <c r="G32" s="697" t="str">
        <f>IFERROR(__xludf.DUMMYFUNCTION("""COMPUTED_VALUE"""),"8400mg")</f>
        <v>8400mg</v>
      </c>
      <c r="H32" s="697"/>
      <c r="I32" s="697"/>
      <c r="J32" s="697"/>
      <c r="K32" s="697"/>
      <c r="L32" s="697"/>
      <c r="M32" s="697"/>
      <c r="N32" s="697"/>
      <c r="O32" s="697"/>
      <c r="P32" s="697"/>
      <c r="Q32" s="697"/>
      <c r="R32" s="697"/>
      <c r="S32" s="697"/>
      <c r="T32" s="697"/>
      <c r="U32" s="697"/>
      <c r="V32" s="697"/>
      <c r="W32" s="697"/>
      <c r="X32" s="698">
        <f>IFERROR(__xludf.DUMMYFUNCTION("""COMPUTED_VALUE"""),0.993)</f>
        <v>0.993</v>
      </c>
      <c r="Y32" s="697"/>
      <c r="Z32" s="697"/>
      <c r="AA32" s="697"/>
      <c r="AB32" s="697"/>
      <c r="AC32" s="697"/>
      <c r="AD32" s="697"/>
      <c r="AE32" s="697"/>
      <c r="AF32" s="697"/>
      <c r="AG32" s="697"/>
      <c r="AH32" s="697"/>
      <c r="AI32" s="697"/>
      <c r="AJ32" s="697"/>
      <c r="AK32" s="697"/>
      <c r="AL32" s="697"/>
      <c r="AM32" s="697"/>
      <c r="AN32" s="698">
        <f>IFERROR(__xludf.DUMMYFUNCTION("""COMPUTED_VALUE"""),0.993)</f>
        <v>0.993</v>
      </c>
      <c r="AO32" s="698">
        <f>IFERROR(__xludf.DUMMYFUNCTION("""COMPUTED_VALUE"""),0.993)</f>
        <v>0.993</v>
      </c>
      <c r="AP32" s="697" t="str">
        <f>IFERROR(__xludf.DUMMYFUNCTION("""COMPUTED_VALUE"""),"Mf reduction")</f>
        <v>Mf reduction</v>
      </c>
      <c r="AQ32" s="697" t="str">
        <f>IFERROR(__xludf.DUMMYFUNCTION("""COMPUTED_VALUE"""),"Akropong, Buabinso, and Denkyira Fosu")</f>
        <v>Akropong, Buabinso, and Denkyira Fosu</v>
      </c>
      <c r="AR32" s="697">
        <f>IFERROR(__xludf.DUMMYFUNCTION("""COMPUTED_VALUE"""),2002.0)</f>
        <v>2002</v>
      </c>
      <c r="AS32" s="697" t="str">
        <f>IFERROR(__xludf.DUMMYFUNCTION("""COMPUTED_VALUE"""),"3/60")</f>
        <v>3/60</v>
      </c>
      <c r="AT32" s="697" t="str">
        <f>IFERROR(__xludf.DUMMYFUNCTION("""COMPUTED_VALUE"""),"2 years")</f>
        <v>2 years</v>
      </c>
      <c r="AU32" s="699" t="str">
        <f>IFERROR(__xludf.DUMMYFUNCTION("""COMPUTED_VALUE"""),"Debrah, Alexander Yaw; Mandi, Sabine; Marfo-Debrekyei, Yeboah;Larbi, John; Adjei, Ohene; Heorauf, Achim (2006) Assessment of microfilarial loads in the skin of onchocerciasis patients after treatment with different regimens of doxycycline plus ivermectin."&amp;" doi:10.1186/1475-2883-5-1 http://www.filariajournal.com/content/5/1/1")</f>
        <v>Debrah, Alexander Yaw; Mandi, Sabine; Marfo-Debrekyei, Yeboah;Larbi, John; Adjei, Ohene; Heorauf, Achim (2006) Assessment of microfilarial loads in the skin of onchocerciasis patients after treatment with different regimens of doxycycline plus ivermectin. doi:10.1186/1475-2883-5-1 http://www.filariajournal.com/content/5/1/1</v>
      </c>
      <c r="AV32" s="697" t="str">
        <f>IFERROR(__xludf.DUMMYFUNCTION("""COMPUTED_VALUE"""),"M")</f>
        <v>M</v>
      </c>
      <c r="AW32" s="697"/>
      <c r="AX32" s="697"/>
      <c r="AY32" s="697" t="str">
        <f>IFERROR(__xludf.DUMMYFUNCTION("""COMPUTED_VALUE"""),"No")</f>
        <v>No</v>
      </c>
      <c r="AZ32" s="697" t="str">
        <f>IFERROR(__xludf.DUMMYFUNCTION("""COMPUTED_VALUE"""),"No")</f>
        <v>No</v>
      </c>
      <c r="BA32" s="697"/>
      <c r="BB32" s="697"/>
      <c r="BC32" s="697" t="str">
        <f>IFERROR(__xludf.DUMMYFUNCTION("""COMPUTED_VALUE"""),"For doxycycline treatments, skin mf loads declined in all treatment regiments. In doxycycline plus ivermectin, skin mf counts fell to zeroafter 2 months of drug administration. In conclusion, a 6 week treatment regimen is effective, but too long for effic"&amp;"ient mass treatment. The 2 week regimen was ineffective. However, the 4 week regiment yielded results similar to 6 weeks, but in a shorter time frame. ")</f>
        <v>For doxycycline treatments, skin mf loads declined in all treatment regiments. In doxycycline plus ivermectin, skin mf counts fell to zeroafter 2 months of drug administration. In conclusion, a 6 week treatment regimen is effective, but too long for efficient mass treatment. The 2 week regimen was ineffective. However, the 4 week regiment yielded results similar to 6 weeks, but in a shorter time frame. </v>
      </c>
      <c r="BD32" s="697"/>
      <c r="BE32" s="697"/>
      <c r="BF32" s="697"/>
      <c r="BG32" s="697"/>
    </row>
    <row r="33">
      <c r="A33" s="697"/>
      <c r="B33" s="697" t="str">
        <f>IFERROR(__xludf.DUMMYFUNCTION("""COMPUTED_VALUE"""),"Debrah et al.")</f>
        <v>Debrah et al.</v>
      </c>
      <c r="C33" s="697" t="str">
        <f>IFERROR(__xludf.DUMMYFUNCTION("""COMPUTED_VALUE"""),"Ghana")</f>
        <v>Ghana</v>
      </c>
      <c r="D33" s="697" t="str">
        <f>IFERROR(__xludf.DUMMYFUNCTION("""COMPUTED_VALUE"""),"Ivermectin")</f>
        <v>Ivermectin</v>
      </c>
      <c r="E33" s="697" t="str">
        <f>IFERROR(__xludf.DUMMYFUNCTION("""COMPUTED_VALUE"""),"150ug/kg")</f>
        <v>150ug/kg</v>
      </c>
      <c r="F33" s="697">
        <f>IFERROR(__xludf.DUMMYFUNCTION("""COMPUTED_VALUE"""),1.0)</f>
        <v>1</v>
      </c>
      <c r="G33" s="697" t="str">
        <f>IFERROR(__xludf.DUMMYFUNCTION("""COMPUTED_VALUE"""),"150ug/kg")</f>
        <v>150ug/kg</v>
      </c>
      <c r="H33" s="697"/>
      <c r="I33" s="697"/>
      <c r="J33" s="697"/>
      <c r="K33" s="697"/>
      <c r="L33" s="697"/>
      <c r="M33" s="697"/>
      <c r="N33" s="697"/>
      <c r="O33" s="700">
        <f>IFERROR(__xludf.DUMMYFUNCTION("""COMPUTED_VALUE"""),1.0)</f>
        <v>1</v>
      </c>
      <c r="P33" s="697"/>
      <c r="Q33" s="697"/>
      <c r="R33" s="697"/>
      <c r="S33" s="697"/>
      <c r="T33" s="697"/>
      <c r="U33" s="697"/>
      <c r="V33" s="697"/>
      <c r="W33" s="698">
        <f>IFERROR(__xludf.DUMMYFUNCTION("""COMPUTED_VALUE"""),0.8947)</f>
        <v>0.8947</v>
      </c>
      <c r="X33" s="697"/>
      <c r="Y33" s="697"/>
      <c r="Z33" s="697"/>
      <c r="AA33" s="697"/>
      <c r="AB33" s="697"/>
      <c r="AC33" s="697"/>
      <c r="AD33" s="697"/>
      <c r="AE33" s="697"/>
      <c r="AF33" s="697"/>
      <c r="AG33" s="697"/>
      <c r="AH33" s="697"/>
      <c r="AI33" s="697"/>
      <c r="AJ33" s="697"/>
      <c r="AK33" s="697"/>
      <c r="AL33" s="697"/>
      <c r="AM33" s="697"/>
      <c r="AN33" s="700">
        <f>IFERROR(__xludf.DUMMYFUNCTION("""COMPUTED_VALUE"""),1.0)</f>
        <v>1</v>
      </c>
      <c r="AO33" s="698">
        <f>IFERROR(__xludf.DUMMYFUNCTION("""COMPUTED_VALUE"""),1.0)</f>
        <v>1</v>
      </c>
      <c r="AP33" s="697" t="str">
        <f>IFERROR(__xludf.DUMMYFUNCTION("""COMPUTED_VALUE"""),"Mf reduction")</f>
        <v>Mf reduction</v>
      </c>
      <c r="AQ33" s="697" t="str">
        <f>IFERROR(__xludf.DUMMYFUNCTION("""COMPUTED_VALUE"""),"Akropong, Buabinso, and Denkyira Fosu")</f>
        <v>Akropong, Buabinso, and Denkyira Fosu</v>
      </c>
      <c r="AR33" s="697">
        <f>IFERROR(__xludf.DUMMYFUNCTION("""COMPUTED_VALUE"""),2002.0)</f>
        <v>2002</v>
      </c>
      <c r="AS33" s="697" t="str">
        <f>IFERROR(__xludf.DUMMYFUNCTION("""COMPUTED_VALUE"""),"11/60")</f>
        <v>11/60</v>
      </c>
      <c r="AT33" s="697" t="str">
        <f>IFERROR(__xludf.DUMMYFUNCTION("""COMPUTED_VALUE"""),"2 years")</f>
        <v>2 years</v>
      </c>
      <c r="AU33" s="699" t="str">
        <f>IFERROR(__xludf.DUMMYFUNCTION("""COMPUTED_VALUE"""),"Debrah, Alexander Yaw; Mandi, Sabine; Marfo-Debrekyei, Yeboah;Larbi, John; Adjei, Ohene; Heorauf, Achim (2006) Assessment of microfilarial loads in the skin of onchocerciasis patients after treatment with different regimens of doxycycline plus ivermectin."&amp;" doi:10.1186/1475-2883-5-1 http://www.filariajournal.com/content/5/1/1")</f>
        <v>Debrah, Alexander Yaw; Mandi, Sabine; Marfo-Debrekyei, Yeboah;Larbi, John; Adjei, Ohene; Heorauf, Achim (2006) Assessment of microfilarial loads in the skin of onchocerciasis patients after treatment with different regimens of doxycycline plus ivermectin. doi:10.1186/1475-2883-5-1 http://www.filariajournal.com/content/5/1/1</v>
      </c>
      <c r="AV33" s="697" t="str">
        <f>IFERROR(__xludf.DUMMYFUNCTION("""COMPUTED_VALUE"""),"FM")</f>
        <v>FM</v>
      </c>
      <c r="AW33" s="697"/>
      <c r="AX33" s="697"/>
      <c r="AY33" s="697" t="str">
        <f>IFERROR(__xludf.DUMMYFUNCTION("""COMPUTED_VALUE"""),"No")</f>
        <v>No</v>
      </c>
      <c r="AZ33" s="697" t="str">
        <f>IFERROR(__xludf.DUMMYFUNCTION("""COMPUTED_VALUE"""),"No")</f>
        <v>No</v>
      </c>
      <c r="BA33" s="697"/>
      <c r="BB33" s="697"/>
      <c r="BC33" s="697" t="str">
        <f>IFERROR(__xludf.DUMMYFUNCTION("""COMPUTED_VALUE"""),"For doxycycline treatments, skin mf loads declined in all treatment regiments. In doxycycline plus ivermectin, skin mf counts fell to zeroafter 2 months of drug administration. In conclusion, a 6 week treatment regimen is effective, but too long for effic"&amp;"ient mass treatment. The 2 week regimen was ineffective. However, the 4 week regiment yielded results similar to 6 weeks, but in a shorter time frame. ")</f>
        <v>For doxycycline treatments, skin mf loads declined in all treatment regiments. In doxycycline plus ivermectin, skin mf counts fell to zeroafter 2 months of drug administration. In conclusion, a 6 week treatment regimen is effective, but too long for efficient mass treatment. The 2 week regimen was ineffective. However, the 4 week regiment yielded results similar to 6 weeks, but in a shorter time frame. </v>
      </c>
      <c r="BD33" s="697"/>
      <c r="BE33" s="697"/>
      <c r="BF33" s="697"/>
      <c r="BG33" s="697"/>
    </row>
    <row r="34">
      <c r="A34" s="697"/>
      <c r="B34" s="697" t="str">
        <f>IFERROR(__xludf.DUMMYFUNCTION("""COMPUTED_VALUE"""),"Debrah et al.")</f>
        <v>Debrah et al.</v>
      </c>
      <c r="C34" s="697" t="str">
        <f>IFERROR(__xludf.DUMMYFUNCTION("""COMPUTED_VALUE"""),"Ghana")</f>
        <v>Ghana</v>
      </c>
      <c r="D34" s="697" t="str">
        <f>IFERROR(__xludf.DUMMYFUNCTION("""COMPUTED_VALUE"""),"Doxycycline &amp; Ivermectin (4 weeks)")</f>
        <v>Doxycycline &amp; Ivermectin (4 weeks)</v>
      </c>
      <c r="E34" s="697" t="str">
        <f>IFERROR(__xludf.DUMMYFUNCTION("""COMPUTED_VALUE"""),"200mg; 150ug/kg")</f>
        <v>200mg; 150ug/kg</v>
      </c>
      <c r="F34" s="697" t="str">
        <f>IFERROR(__xludf.DUMMYFUNCTION("""COMPUTED_VALUE"""),"28; 1")</f>
        <v>28; 1</v>
      </c>
      <c r="G34" s="697" t="str">
        <f>IFERROR(__xludf.DUMMYFUNCTION("""COMPUTED_VALUE"""),"5600mg; 150 ug/kg ")</f>
        <v>5600mg; 150 ug/kg </v>
      </c>
      <c r="H34" s="697"/>
      <c r="I34" s="697"/>
      <c r="J34" s="697"/>
      <c r="K34" s="697"/>
      <c r="L34" s="697"/>
      <c r="M34" s="697"/>
      <c r="N34" s="697"/>
      <c r="O34" s="697"/>
      <c r="P34" s="697"/>
      <c r="Q34" s="697"/>
      <c r="R34" s="697"/>
      <c r="S34" s="697"/>
      <c r="T34" s="697"/>
      <c r="U34" s="697"/>
      <c r="V34" s="697"/>
      <c r="W34" s="698">
        <f>IFERROR(__xludf.DUMMYFUNCTION("""COMPUTED_VALUE"""),0.9974)</f>
        <v>0.9974</v>
      </c>
      <c r="X34" s="697"/>
      <c r="Y34" s="697"/>
      <c r="Z34" s="697"/>
      <c r="AA34" s="697"/>
      <c r="AB34" s="697"/>
      <c r="AC34" s="697"/>
      <c r="AD34" s="697"/>
      <c r="AE34" s="697"/>
      <c r="AF34" s="697"/>
      <c r="AG34" s="697"/>
      <c r="AH34" s="697"/>
      <c r="AI34" s="697"/>
      <c r="AJ34" s="697"/>
      <c r="AK34" s="697"/>
      <c r="AL34" s="697"/>
      <c r="AM34" s="697"/>
      <c r="AN34" s="698">
        <f>IFERROR(__xludf.DUMMYFUNCTION("""COMPUTED_VALUE"""),0.9974)</f>
        <v>0.9974</v>
      </c>
      <c r="AO34" s="698">
        <f>IFERROR(__xludf.DUMMYFUNCTION("""COMPUTED_VALUE"""),0.9974)</f>
        <v>0.9974</v>
      </c>
      <c r="AP34" s="697" t="str">
        <f>IFERROR(__xludf.DUMMYFUNCTION("""COMPUTED_VALUE"""),"Mf reduction")</f>
        <v>Mf reduction</v>
      </c>
      <c r="AQ34" s="697" t="str">
        <f>IFERROR(__xludf.DUMMYFUNCTION("""COMPUTED_VALUE"""),"Akropong, Buabinso, and Denkyira Fosu")</f>
        <v>Akropong, Buabinso, and Denkyira Fosu</v>
      </c>
      <c r="AR34" s="697">
        <f>IFERROR(__xludf.DUMMYFUNCTION("""COMPUTED_VALUE"""),2002.0)</f>
        <v>2002</v>
      </c>
      <c r="AS34" s="697" t="str">
        <f>IFERROR(__xludf.DUMMYFUNCTION("""COMPUTED_VALUE"""),"7/60")</f>
        <v>7/60</v>
      </c>
      <c r="AT34" s="697" t="str">
        <f>IFERROR(__xludf.DUMMYFUNCTION("""COMPUTED_VALUE"""),"2 years")</f>
        <v>2 years</v>
      </c>
      <c r="AU34" s="699" t="str">
        <f>IFERROR(__xludf.DUMMYFUNCTION("""COMPUTED_VALUE"""),"Debrah, Alexander Yaw; Mandi, Sabine; Marfo-Debrekyei, Yeboah;Larbi, John; Adjei, Ohene; Heorauf, Achim (2006) Assessment of microfilarial loads in the skin of onchocerciasis patients after treatment with different regimens of doxycycline plus ivermectin."&amp;" doi:10.1186/1475-2883-5-1 http://www.filariajournal.com/content/5/1/1")</f>
        <v>Debrah, Alexander Yaw; Mandi, Sabine; Marfo-Debrekyei, Yeboah;Larbi, John; Adjei, Ohene; Heorauf, Achim (2006) Assessment of microfilarial loads in the skin of onchocerciasis patients after treatment with different regimens of doxycycline plus ivermectin. doi:10.1186/1475-2883-5-1 http://www.filariajournal.com/content/5/1/1</v>
      </c>
      <c r="AV34" s="697" t="str">
        <f>IFERROR(__xludf.DUMMYFUNCTION("""COMPUTED_VALUE"""),"FM")</f>
        <v>FM</v>
      </c>
      <c r="AW34" s="697"/>
      <c r="AX34" s="697"/>
      <c r="AY34" s="697" t="str">
        <f>IFERROR(__xludf.DUMMYFUNCTION("""COMPUTED_VALUE"""),"No")</f>
        <v>No</v>
      </c>
      <c r="AZ34" s="697" t="str">
        <f>IFERROR(__xludf.DUMMYFUNCTION("""COMPUTED_VALUE"""),"No")</f>
        <v>No</v>
      </c>
      <c r="BA34" s="697"/>
      <c r="BB34" s="697"/>
      <c r="BC34" s="697" t="str">
        <f>IFERROR(__xludf.DUMMYFUNCTION("""COMPUTED_VALUE"""),"For doxycycline treatments, skin mf loads declined in all treatment regiments. In doxycycline plus ivermectin, skin mf counts fell to zeroafter 2 months of drug administration. In conclusion, a 6 week treatment regimen is effective, but too long for effic"&amp;"ient mass treatment. The 2 week regimen was ineffective. However, the 4 week regiment yielded results similar to 6 weeks, but in a shorter time frame. ")</f>
        <v>For doxycycline treatments, skin mf loads declined in all treatment regiments. In doxycycline plus ivermectin, skin mf counts fell to zeroafter 2 months of drug administration. In conclusion, a 6 week treatment regimen is effective, but too long for efficient mass treatment. The 2 week regimen was ineffective. However, the 4 week regiment yielded results similar to 6 weeks, but in a shorter time frame. </v>
      </c>
      <c r="BD34" s="697"/>
      <c r="BE34" s="697"/>
      <c r="BF34" s="697"/>
      <c r="BG34" s="697"/>
    </row>
    <row r="35">
      <c r="A35" s="697"/>
      <c r="B35" s="697" t="str">
        <f>IFERROR(__xludf.DUMMYFUNCTION("""COMPUTED_VALUE"""),"Debrah et al.")</f>
        <v>Debrah et al.</v>
      </c>
      <c r="C35" s="697" t="str">
        <f>IFERROR(__xludf.DUMMYFUNCTION("""COMPUTED_VALUE"""),"Ghana")</f>
        <v>Ghana</v>
      </c>
      <c r="D35" s="697" t="str">
        <f>IFERROR(__xludf.DUMMYFUNCTION("""COMPUTED_VALUE"""),"Doxycycline &amp; Ivermectin (6 weeks)")</f>
        <v>Doxycycline &amp; Ivermectin (6 weeks)</v>
      </c>
      <c r="E35" s="697" t="str">
        <f>IFERROR(__xludf.DUMMYFUNCTION("""COMPUTED_VALUE"""),"200mg; 150 ug/kg")</f>
        <v>200mg; 150 ug/kg</v>
      </c>
      <c r="F35" s="697" t="str">
        <f>IFERROR(__xludf.DUMMYFUNCTION("""COMPUTED_VALUE"""),"42; 1")</f>
        <v>42; 1</v>
      </c>
      <c r="G35" s="697" t="str">
        <f>IFERROR(__xludf.DUMMYFUNCTION("""COMPUTED_VALUE"""),"8400mg; 150 ug/kg ")</f>
        <v>8400mg; 150 ug/kg </v>
      </c>
      <c r="H35" s="697"/>
      <c r="I35" s="697"/>
      <c r="J35" s="697"/>
      <c r="K35" s="697"/>
      <c r="L35" s="697"/>
      <c r="M35" s="697"/>
      <c r="N35" s="697"/>
      <c r="O35" s="697"/>
      <c r="P35" s="697"/>
      <c r="Q35" s="697"/>
      <c r="R35" s="697"/>
      <c r="S35" s="697"/>
      <c r="T35" s="697"/>
      <c r="U35" s="697"/>
      <c r="V35" s="697"/>
      <c r="W35" s="700">
        <f>IFERROR(__xludf.DUMMYFUNCTION("""COMPUTED_VALUE"""),1.0)</f>
        <v>1</v>
      </c>
      <c r="X35" s="697"/>
      <c r="Y35" s="697"/>
      <c r="Z35" s="697"/>
      <c r="AA35" s="697"/>
      <c r="AB35" s="697"/>
      <c r="AC35" s="697"/>
      <c r="AD35" s="697"/>
      <c r="AE35" s="697"/>
      <c r="AF35" s="697"/>
      <c r="AG35" s="697"/>
      <c r="AH35" s="697"/>
      <c r="AI35" s="697"/>
      <c r="AJ35" s="697"/>
      <c r="AK35" s="697"/>
      <c r="AL35" s="697"/>
      <c r="AM35" s="697"/>
      <c r="AN35" s="700">
        <f>IFERROR(__xludf.DUMMYFUNCTION("""COMPUTED_VALUE"""),1.0)</f>
        <v>1</v>
      </c>
      <c r="AO35" s="698">
        <f>IFERROR(__xludf.DUMMYFUNCTION("""COMPUTED_VALUE"""),1.0)</f>
        <v>1</v>
      </c>
      <c r="AP35" s="697" t="str">
        <f>IFERROR(__xludf.DUMMYFUNCTION("""COMPUTED_VALUE"""),"Mf reduction")</f>
        <v>Mf reduction</v>
      </c>
      <c r="AQ35" s="697" t="str">
        <f>IFERROR(__xludf.DUMMYFUNCTION("""COMPUTED_VALUE"""),"Akropong, Buabinso, and Denkyira Fosu")</f>
        <v>Akropong, Buabinso, and Denkyira Fosu</v>
      </c>
      <c r="AR35" s="697">
        <f>IFERROR(__xludf.DUMMYFUNCTION("""COMPUTED_VALUE"""),2002.0)</f>
        <v>2002</v>
      </c>
      <c r="AS35" s="697" t="str">
        <f>IFERROR(__xludf.DUMMYFUNCTION("""COMPUTED_VALUE"""),"4/60")</f>
        <v>4/60</v>
      </c>
      <c r="AT35" s="697" t="str">
        <f>IFERROR(__xludf.DUMMYFUNCTION("""COMPUTED_VALUE"""),"2 years")</f>
        <v>2 years</v>
      </c>
      <c r="AU35" s="699" t="str">
        <f>IFERROR(__xludf.DUMMYFUNCTION("""COMPUTED_VALUE"""),"Debrah, Alexander Yaw; Mandi, Sabine; Marfo-Debrekyei, Yeboah;Larbi, John; Adjei, Ohene; Heorauf, Achim (2006) Assessment of microfilarial loads in the skin of onchocerciasis patients after treatment with different regimens of doxycycline plus ivermectin."&amp;" doi:10.1186/1475-2883-5-1 http://www.filariajournal.com/content/5/1/1")</f>
        <v>Debrah, Alexander Yaw; Mandi, Sabine; Marfo-Debrekyei, Yeboah;Larbi, John; Adjei, Ohene; Heorauf, Achim (2006) Assessment of microfilarial loads in the skin of onchocerciasis patients after treatment with different regimens of doxycycline plus ivermectin. doi:10.1186/1475-2883-5-1 http://www.filariajournal.com/content/5/1/1</v>
      </c>
      <c r="AV35" s="697" t="str">
        <f>IFERROR(__xludf.DUMMYFUNCTION("""COMPUTED_VALUE"""),"FM")</f>
        <v>FM</v>
      </c>
      <c r="AW35" s="697"/>
      <c r="AX35" s="697"/>
      <c r="AY35" s="697" t="str">
        <f>IFERROR(__xludf.DUMMYFUNCTION("""COMPUTED_VALUE"""),"No")</f>
        <v>No</v>
      </c>
      <c r="AZ35" s="697" t="str">
        <f>IFERROR(__xludf.DUMMYFUNCTION("""COMPUTED_VALUE"""),"No")</f>
        <v>No</v>
      </c>
      <c r="BA35" s="697"/>
      <c r="BB35" s="697"/>
      <c r="BC35" s="697" t="str">
        <f>IFERROR(__xludf.DUMMYFUNCTION("""COMPUTED_VALUE"""),"For doxycycline treatments, skin mf loads declined in all treatment regiments. In doxycycline plus ivermectin, skin mf counts fell to zeroafter 2 months of drug administration. In conclusion, a 6 week treatment regimen is effective, but too long for effic"&amp;"ient mass treatment. The 2 week regimen was ineffective. However, the 4 week regiment yielded results similar to 6 weeks, but in a shorter time frame. ")</f>
        <v>For doxycycline treatments, skin mf loads declined in all treatment regiments. In doxycycline plus ivermectin, skin mf counts fell to zeroafter 2 months of drug administration. In conclusion, a 6 week treatment regimen is effective, but too long for efficient mass treatment. The 2 week regimen was ineffective. However, the 4 week regiment yielded results similar to 6 weeks, but in a shorter time frame. </v>
      </c>
      <c r="BD35" s="697"/>
      <c r="BE35" s="697"/>
      <c r="BF35" s="697"/>
      <c r="BG35" s="697"/>
    </row>
    <row r="36">
      <c r="A36" s="697"/>
      <c r="B36" s="697" t="str">
        <f>IFERROR(__xludf.DUMMYFUNCTION("""COMPUTED_VALUE"""),"Debrah et al.")</f>
        <v>Debrah et al.</v>
      </c>
      <c r="C36" s="697" t="str">
        <f>IFERROR(__xludf.DUMMYFUNCTION("""COMPUTED_VALUE"""),"Ghana")</f>
        <v>Ghana</v>
      </c>
      <c r="D36" s="697" t="str">
        <f>IFERROR(__xludf.DUMMYFUNCTION("""COMPUTED_VALUE"""),"Control")</f>
        <v>Control</v>
      </c>
      <c r="E36" s="697"/>
      <c r="F36" s="697"/>
      <c r="G36" s="697"/>
      <c r="H36" s="697"/>
      <c r="I36" s="697"/>
      <c r="J36" s="697"/>
      <c r="K36" s="697"/>
      <c r="L36" s="697"/>
      <c r="M36" s="697"/>
      <c r="N36" s="697"/>
      <c r="O36" s="697"/>
      <c r="P36" s="697"/>
      <c r="Q36" s="697"/>
      <c r="R36" s="697"/>
      <c r="S36" s="697"/>
      <c r="T36" s="697"/>
      <c r="U36" s="697"/>
      <c r="V36" s="697"/>
      <c r="W36" s="697"/>
      <c r="X36" s="698">
        <f>IFERROR(__xludf.DUMMYFUNCTION("""COMPUTED_VALUE"""),0.754)</f>
        <v>0.754</v>
      </c>
      <c r="Y36" s="697"/>
      <c r="Z36" s="697"/>
      <c r="AA36" s="697"/>
      <c r="AB36" s="697"/>
      <c r="AC36" s="697"/>
      <c r="AD36" s="697"/>
      <c r="AE36" s="697"/>
      <c r="AF36" s="697"/>
      <c r="AG36" s="697"/>
      <c r="AH36" s="697"/>
      <c r="AI36" s="697"/>
      <c r="AJ36" s="697"/>
      <c r="AK36" s="697"/>
      <c r="AL36" s="697"/>
      <c r="AM36" s="697"/>
      <c r="AN36" s="698">
        <f>IFERROR(__xludf.DUMMYFUNCTION("""COMPUTED_VALUE"""),0.754)</f>
        <v>0.754</v>
      </c>
      <c r="AO36" s="698">
        <f>IFERROR(__xludf.DUMMYFUNCTION("""COMPUTED_VALUE"""),0.754)</f>
        <v>0.754</v>
      </c>
      <c r="AP36" s="697" t="str">
        <f>IFERROR(__xludf.DUMMYFUNCTION("""COMPUTED_VALUE"""),"Mf reduction")</f>
        <v>Mf reduction</v>
      </c>
      <c r="AQ36" s="697" t="str">
        <f>IFERROR(__xludf.DUMMYFUNCTION("""COMPUTED_VALUE"""),"Akropong, Buabinso, and Denkyira Fosu")</f>
        <v>Akropong, Buabinso, and Denkyira Fosu</v>
      </c>
      <c r="AR36" s="697">
        <f>IFERROR(__xludf.DUMMYFUNCTION("""COMPUTED_VALUE"""),2002.0)</f>
        <v>2002</v>
      </c>
      <c r="AS36" s="697" t="str">
        <f>IFERROR(__xludf.DUMMYFUNCTION("""COMPUTED_VALUE"""),"14/60")</f>
        <v>14/60</v>
      </c>
      <c r="AT36" s="697" t="str">
        <f>IFERROR(__xludf.DUMMYFUNCTION("""COMPUTED_VALUE"""),"2 years")</f>
        <v>2 years</v>
      </c>
      <c r="AU36" s="699" t="str">
        <f>IFERROR(__xludf.DUMMYFUNCTION("""COMPUTED_VALUE"""),"Debrah, Alexander Yaw; Mandi, Sabine; Marfo-Debrekyei, Yeboah;Larbi, John; Adjei, Ohene; Heorauf, Achim (2006) Assessment of microfilarial loads in the skin of onchocerciasis patients after treatment with different regimens of doxycycline plus ivermectin."&amp;" doi:10.1186/1475-2883-5-1 http://www.filariajournal.com/content/5/1/1")</f>
        <v>Debrah, Alexander Yaw; Mandi, Sabine; Marfo-Debrekyei, Yeboah;Larbi, John; Adjei, Ohene; Heorauf, Achim (2006) Assessment of microfilarial loads in the skin of onchocerciasis patients after treatment with different regimens of doxycycline plus ivermectin. doi:10.1186/1475-2883-5-1 http://www.filariajournal.com/content/5/1/1</v>
      </c>
      <c r="AV36" s="697"/>
      <c r="AW36" s="697"/>
      <c r="AX36" s="697"/>
      <c r="AY36" s="697" t="str">
        <f>IFERROR(__xludf.DUMMYFUNCTION("""COMPUTED_VALUE"""),"No")</f>
        <v>No</v>
      </c>
      <c r="AZ36" s="697" t="str">
        <f>IFERROR(__xludf.DUMMYFUNCTION("""COMPUTED_VALUE"""),"No")</f>
        <v>No</v>
      </c>
      <c r="BA36" s="697"/>
      <c r="BB36" s="697"/>
      <c r="BC36" s="697" t="str">
        <f>IFERROR(__xludf.DUMMYFUNCTION("""COMPUTED_VALUE"""),"For doxycycline treatments, skin mf loads declined in all treatment regiments. In doxycycline plus ivermectin, skin mf counts fell to zeroafter 2 months of drug administration. In conclusion, a 6 week treatment regimen is effective, but too long for effic"&amp;"ient mass treatment. The 2 week regimen was ineffective. However, the 4 week regiment yielded results similar to 6 weeks, but in a shorter time frame. ")</f>
        <v>For doxycycline treatments, skin mf loads declined in all treatment regiments. In doxycycline plus ivermectin, skin mf counts fell to zeroafter 2 months of drug administration. In conclusion, a 6 week treatment regimen is effective, but too long for efficient mass treatment. The 2 week regimen was ineffective. However, the 4 week regiment yielded results similar to 6 weeks, but in a shorter time frame. </v>
      </c>
      <c r="BD36" s="697"/>
      <c r="BE36" s="697"/>
      <c r="BF36" s="697"/>
      <c r="BG36" s="697"/>
    </row>
    <row r="37" hidden="1">
      <c r="A37" s="697"/>
      <c r="B37" s="697" t="str">
        <f>IFERROR(__xludf.DUMMYFUNCTION("""COMPUTED_VALUE"""),"Walker et al.")</f>
        <v>Walker et al.</v>
      </c>
      <c r="C37" s="697"/>
      <c r="D37" s="697" t="str">
        <f>IFERROR(__xludf.DUMMYFUNCTION("""COMPUTED_VALUE"""),"Doxycycline (4 week)")</f>
        <v>Doxycycline (4 week)</v>
      </c>
      <c r="E37" s="697" t="str">
        <f>IFERROR(__xludf.DUMMYFUNCTION("""COMPUTED_VALUE"""),"200mg")</f>
        <v>200mg</v>
      </c>
      <c r="F37" s="697">
        <f>IFERROR(__xludf.DUMMYFUNCTION("""COMPUTED_VALUE"""),28.0)</f>
        <v>28</v>
      </c>
      <c r="G37" s="697" t="str">
        <f>IFERROR(__xludf.DUMMYFUNCTION("""COMPUTED_VALUE"""),"5600 mg")</f>
        <v>5600 mg</v>
      </c>
      <c r="H37" s="697"/>
      <c r="I37" s="697"/>
      <c r="J37" s="697"/>
      <c r="K37" s="697"/>
      <c r="L37" s="700">
        <f>IFERROR(__xludf.DUMMYFUNCTION("""COMPUTED_VALUE"""),0.93)</f>
        <v>0.93</v>
      </c>
      <c r="M37" s="697"/>
      <c r="N37" s="697"/>
      <c r="O37" s="697"/>
      <c r="P37" s="697"/>
      <c r="Q37" s="697"/>
      <c r="R37" s="697"/>
      <c r="S37" s="697"/>
      <c r="T37" s="697"/>
      <c r="U37" s="697"/>
      <c r="V37" s="697"/>
      <c r="W37" s="697"/>
      <c r="X37" s="697"/>
      <c r="Y37" s="697"/>
      <c r="Z37" s="697"/>
      <c r="AA37" s="697"/>
      <c r="AB37" s="697"/>
      <c r="AC37" s="697"/>
      <c r="AD37" s="697"/>
      <c r="AE37" s="697" t="str">
        <f>IFERROR(__xludf.DUMMYFUNCTION("""COMPUTED_VALUE"""),"n/a")</f>
        <v>n/a</v>
      </c>
      <c r="AF37" s="697"/>
      <c r="AG37" s="697"/>
      <c r="AH37" s="697"/>
      <c r="AI37" s="697"/>
      <c r="AJ37" s="697"/>
      <c r="AK37" s="697"/>
      <c r="AL37" s="697"/>
      <c r="AM37" s="697"/>
      <c r="AN37" s="700">
        <f>IFERROR(__xludf.DUMMYFUNCTION("""COMPUTED_VALUE"""),0.93)</f>
        <v>0.93</v>
      </c>
      <c r="AO37" s="698">
        <f>IFERROR(__xludf.DUMMYFUNCTION("""COMPUTED_VALUE"""),0.93)</f>
        <v>0.93</v>
      </c>
      <c r="AP37" s="697" t="str">
        <f>IFERROR(__xludf.DUMMYFUNCTION("""COMPUTED_VALUE"""),"Nodulectomy Mf reduction")</f>
        <v>Nodulectomy Mf reduction</v>
      </c>
      <c r="AQ37" s="697"/>
      <c r="AR37" s="697">
        <f>IFERROR(__xludf.DUMMYFUNCTION("""COMPUTED_VALUE"""),2015.0)</f>
        <v>2015</v>
      </c>
      <c r="AS37" s="697">
        <f>IFERROR(__xludf.DUMMYFUNCTION("""COMPUTED_VALUE"""),14.0)</f>
        <v>14</v>
      </c>
      <c r="AT37" s="697" t="str">
        <f>IFERROR(__xludf.DUMMYFUNCTION("""COMPUTED_VALUE"""),"9.5 Months")</f>
        <v>9.5 Months</v>
      </c>
      <c r="AU37" s="699" t="str">
        <f>IFERROR(__xludf.DUMMYFUNCTION("""COMPUTED_VALUE"""),"Walker, Martin;Specht, Sabine; Churcher, Thomas S.; Heorauf, Achim; Taylor, Mark J.; Basanex, Maria-Gloria (2014) Therapeutic Efficacy and Macrofilaricidal Activity of Doxycycline for the Treatment of River Blindness. doi: 10.1093/cid/ciu1152 http://cid.o"&amp;"xfordjournals.org/content/60/8/1199.full.pdf+html ")</f>
        <v>Walker, Martin;Specht, Sabine; Churcher, Thomas S.; Heorauf, Achim; Taylor, Mark J.; Basanex, Maria-Gloria (2014) Therapeutic Efficacy and Macrofilaricidal Activity of Doxycycline for the Treatment of River Blindness. doi: 10.1093/cid/ciu1152 http://cid.oxfordjournals.org/content/60/8/1199.full.pdf+html </v>
      </c>
      <c r="AV37" s="697"/>
      <c r="AW37" s="697"/>
      <c r="AX37" s="697"/>
      <c r="AY37" s="697" t="str">
        <f>IFERROR(__xludf.DUMMYFUNCTION("""COMPUTED_VALUE"""),"No")</f>
        <v>No</v>
      </c>
      <c r="AZ37" s="697" t="str">
        <f>IFERROR(__xludf.DUMMYFUNCTION("""COMPUTED_VALUE"""),"Yes")</f>
        <v>Yes</v>
      </c>
      <c r="BA37" s="697"/>
      <c r="BB37" s="697"/>
      <c r="BC37" s="697"/>
      <c r="BD37" s="697"/>
      <c r="BE37" s="697"/>
      <c r="BF37" s="697"/>
      <c r="BG37" s="697" t="str">
        <f>IFERROR(__xludf.DUMMYFUNCTION("""COMPUTED_VALUE"""),"x")</f>
        <v>x</v>
      </c>
    </row>
    <row r="38" hidden="1">
      <c r="A38" s="697"/>
      <c r="B38" s="697" t="str">
        <f>IFERROR(__xludf.DUMMYFUNCTION("""COMPUTED_VALUE"""),"Walker et al.")</f>
        <v>Walker et al.</v>
      </c>
      <c r="C38" s="697"/>
      <c r="D38" s="697" t="str">
        <f>IFERROR(__xludf.DUMMYFUNCTION("""COMPUTED_VALUE"""),"Doxycycline (5 week)")</f>
        <v>Doxycycline (5 week)</v>
      </c>
      <c r="E38" s="697" t="str">
        <f>IFERROR(__xludf.DUMMYFUNCTION("""COMPUTED_VALUE"""),"100mg")</f>
        <v>100mg</v>
      </c>
      <c r="F38" s="697">
        <f>IFERROR(__xludf.DUMMYFUNCTION("""COMPUTED_VALUE"""),35.0)</f>
        <v>35</v>
      </c>
      <c r="G38" s="697" t="str">
        <f>IFERROR(__xludf.DUMMYFUNCTION("""COMPUTED_VALUE"""),"3500 mg")</f>
        <v>3500 mg</v>
      </c>
      <c r="H38" s="697"/>
      <c r="I38" s="697"/>
      <c r="J38" s="697"/>
      <c r="K38" s="697"/>
      <c r="L38" s="700">
        <f>IFERROR(__xludf.DUMMYFUNCTION("""COMPUTED_VALUE"""),0.93)</f>
        <v>0.93</v>
      </c>
      <c r="M38" s="697"/>
      <c r="N38" s="697"/>
      <c r="O38" s="697"/>
      <c r="P38" s="697"/>
      <c r="Q38" s="697"/>
      <c r="R38" s="697"/>
      <c r="S38" s="697"/>
      <c r="T38" s="697"/>
      <c r="U38" s="697"/>
      <c r="V38" s="697"/>
      <c r="W38" s="697"/>
      <c r="X38" s="697"/>
      <c r="Y38" s="697"/>
      <c r="Z38" s="697"/>
      <c r="AA38" s="697"/>
      <c r="AB38" s="697"/>
      <c r="AC38" s="697"/>
      <c r="AD38" s="697"/>
      <c r="AE38" s="697" t="str">
        <f>IFERROR(__xludf.DUMMYFUNCTION("""COMPUTED_VALUE"""),"n/a")</f>
        <v>n/a</v>
      </c>
      <c r="AF38" s="697"/>
      <c r="AG38" s="697"/>
      <c r="AH38" s="697"/>
      <c r="AI38" s="697"/>
      <c r="AJ38" s="697"/>
      <c r="AK38" s="697"/>
      <c r="AL38" s="697"/>
      <c r="AM38" s="697"/>
      <c r="AN38" s="700">
        <f>IFERROR(__xludf.DUMMYFUNCTION("""COMPUTED_VALUE"""),0.93)</f>
        <v>0.93</v>
      </c>
      <c r="AO38" s="698">
        <f>IFERROR(__xludf.DUMMYFUNCTION("""COMPUTED_VALUE"""),0.93)</f>
        <v>0.93</v>
      </c>
      <c r="AP38" s="697" t="str">
        <f>IFERROR(__xludf.DUMMYFUNCTION("""COMPUTED_VALUE"""),"Nodulectomy Mf reduction")</f>
        <v>Nodulectomy Mf reduction</v>
      </c>
      <c r="AQ38" s="697"/>
      <c r="AR38" s="697">
        <f>IFERROR(__xludf.DUMMYFUNCTION("""COMPUTED_VALUE"""),2015.0)</f>
        <v>2015</v>
      </c>
      <c r="AS38" s="697">
        <f>IFERROR(__xludf.DUMMYFUNCTION("""COMPUTED_VALUE"""),20.0)</f>
        <v>20</v>
      </c>
      <c r="AT38" s="697" t="str">
        <f>IFERROR(__xludf.DUMMYFUNCTION("""COMPUTED_VALUE"""),"9.5 months")</f>
        <v>9.5 months</v>
      </c>
      <c r="AU38" s="699" t="str">
        <f>IFERROR(__xludf.DUMMYFUNCTION("""COMPUTED_VALUE"""),"Walker, Martin;Specht, Sabine; Churcher, Thomas S.; Heorauf, Achim; Taylor, Mark J.; Basanex, Maria-Gloria (2014) Therapeutic Efficacy and Macrofilaricidal Activity of Doxycycline for the Treatment of River Blindness. doi: 10.1093/cid/ciu1152 http://cid.o"&amp;"xfordjournals.org/content/60/8/1199.full.pdf+html ")</f>
        <v>Walker, Martin;Specht, Sabine; Churcher, Thomas S.; Heorauf, Achim; Taylor, Mark J.; Basanex, Maria-Gloria (2014) Therapeutic Efficacy and Macrofilaricidal Activity of Doxycycline for the Treatment of River Blindness. doi: 10.1093/cid/ciu1152 http://cid.oxfordjournals.org/content/60/8/1199.full.pdf+html </v>
      </c>
      <c r="AV38" s="697"/>
      <c r="AW38" s="697"/>
      <c r="AX38" s="697"/>
      <c r="AY38" s="697" t="str">
        <f>IFERROR(__xludf.DUMMYFUNCTION("""COMPUTED_VALUE"""),"No")</f>
        <v>No</v>
      </c>
      <c r="AZ38" s="697" t="str">
        <f>IFERROR(__xludf.DUMMYFUNCTION("""COMPUTED_VALUE"""),"Yes")</f>
        <v>Yes</v>
      </c>
      <c r="BA38" s="697"/>
      <c r="BB38" s="697"/>
      <c r="BC38" s="697"/>
      <c r="BD38" s="697"/>
      <c r="BE38" s="697"/>
      <c r="BF38" s="697"/>
      <c r="BG38" s="697" t="str">
        <f>IFERROR(__xludf.DUMMYFUNCTION("""COMPUTED_VALUE"""),"x")</f>
        <v>x</v>
      </c>
    </row>
    <row r="39" hidden="1">
      <c r="A39" s="697"/>
      <c r="B39" s="697" t="str">
        <f>IFERROR(__xludf.DUMMYFUNCTION("""COMPUTED_VALUE"""),"Walker et al.")</f>
        <v>Walker et al.</v>
      </c>
      <c r="C39" s="697"/>
      <c r="D39" s="697" t="str">
        <f>IFERROR(__xludf.DUMMYFUNCTION("""COMPUTED_VALUE"""),"Doxycycline (6 week)")</f>
        <v>Doxycycline (6 week)</v>
      </c>
      <c r="E39" s="697" t="str">
        <f>IFERROR(__xludf.DUMMYFUNCTION("""COMPUTED_VALUE"""),"100mg")</f>
        <v>100mg</v>
      </c>
      <c r="F39" s="697">
        <f>IFERROR(__xludf.DUMMYFUNCTION("""COMPUTED_VALUE"""),42.0)</f>
        <v>42</v>
      </c>
      <c r="G39" s="697" t="str">
        <f>IFERROR(__xludf.DUMMYFUNCTION("""COMPUTED_VALUE"""),"4200 mg")</f>
        <v>4200 mg</v>
      </c>
      <c r="H39" s="697"/>
      <c r="I39" s="697"/>
      <c r="J39" s="697"/>
      <c r="K39" s="697"/>
      <c r="L39" s="700">
        <f>IFERROR(__xludf.DUMMYFUNCTION("""COMPUTED_VALUE"""),0.93)</f>
        <v>0.93</v>
      </c>
      <c r="M39" s="697"/>
      <c r="N39" s="697"/>
      <c r="O39" s="697"/>
      <c r="P39" s="697"/>
      <c r="Q39" s="697"/>
      <c r="R39" s="697"/>
      <c r="S39" s="697"/>
      <c r="T39" s="697"/>
      <c r="U39" s="697"/>
      <c r="V39" s="697"/>
      <c r="W39" s="697"/>
      <c r="X39" s="697"/>
      <c r="Y39" s="697"/>
      <c r="Z39" s="697"/>
      <c r="AA39" s="697"/>
      <c r="AB39" s="697"/>
      <c r="AC39" s="697"/>
      <c r="AD39" s="697"/>
      <c r="AE39" s="697" t="str">
        <f>IFERROR(__xludf.DUMMYFUNCTION("""COMPUTED_VALUE"""),"n/a")</f>
        <v>n/a</v>
      </c>
      <c r="AF39" s="697"/>
      <c r="AG39" s="697"/>
      <c r="AH39" s="697"/>
      <c r="AI39" s="697"/>
      <c r="AJ39" s="697"/>
      <c r="AK39" s="697"/>
      <c r="AL39" s="697"/>
      <c r="AM39" s="697"/>
      <c r="AN39" s="700">
        <f>IFERROR(__xludf.DUMMYFUNCTION("""COMPUTED_VALUE"""),0.93)</f>
        <v>0.93</v>
      </c>
      <c r="AO39" s="698">
        <f>IFERROR(__xludf.DUMMYFUNCTION("""COMPUTED_VALUE"""),0.93)</f>
        <v>0.93</v>
      </c>
      <c r="AP39" s="697" t="str">
        <f>IFERROR(__xludf.DUMMYFUNCTION("""COMPUTED_VALUE"""),"Nodulectomy Mf reduction")</f>
        <v>Nodulectomy Mf reduction</v>
      </c>
      <c r="AQ39" s="697"/>
      <c r="AR39" s="697">
        <f>IFERROR(__xludf.DUMMYFUNCTION("""COMPUTED_VALUE"""),2015.0)</f>
        <v>2015</v>
      </c>
      <c r="AS39" s="697">
        <f>IFERROR(__xludf.DUMMYFUNCTION("""COMPUTED_VALUE"""),62.0)</f>
        <v>62</v>
      </c>
      <c r="AT39" s="697" t="str">
        <f>IFERROR(__xludf.DUMMYFUNCTION("""COMPUTED_VALUE"""),"9.5 months")</f>
        <v>9.5 months</v>
      </c>
      <c r="AU39" s="699" t="str">
        <f>IFERROR(__xludf.DUMMYFUNCTION("""COMPUTED_VALUE"""),"Walker, Martin;Specht, Sabine; Churcher, Thomas S.; Heorauf, Achim; Taylor, Mark J.; Basanex, Maria-Gloria (2014) Therapeutic Efficacy and Macrofilaricidal Activity of Doxycycline for the Treatment of River Blindness. doi: 10.1093/cid/ciu1152 http://cid.o"&amp;"xfordjournals.org/content/60/8/1199.full.pdf+html ")</f>
        <v>Walker, Martin;Specht, Sabine; Churcher, Thomas S.; Heorauf, Achim; Taylor, Mark J.; Basanex, Maria-Gloria (2014) Therapeutic Efficacy and Macrofilaricidal Activity of Doxycycline for the Treatment of River Blindness. doi: 10.1093/cid/ciu1152 http://cid.oxfordjournals.org/content/60/8/1199.full.pdf+html </v>
      </c>
      <c r="AV39" s="697"/>
      <c r="AW39" s="697"/>
      <c r="AX39" s="697"/>
      <c r="AY39" s="697" t="str">
        <f>IFERROR(__xludf.DUMMYFUNCTION("""COMPUTED_VALUE"""),"No")</f>
        <v>No</v>
      </c>
      <c r="AZ39" s="697" t="str">
        <f>IFERROR(__xludf.DUMMYFUNCTION("""COMPUTED_VALUE"""),"Yes")</f>
        <v>Yes</v>
      </c>
      <c r="BA39" s="697"/>
      <c r="BB39" s="697"/>
      <c r="BC39" s="697"/>
      <c r="BD39" s="697"/>
      <c r="BE39" s="697"/>
      <c r="BF39" s="697"/>
      <c r="BG39" s="697" t="str">
        <f>IFERROR(__xludf.DUMMYFUNCTION("""COMPUTED_VALUE"""),"x")</f>
        <v>x</v>
      </c>
    </row>
    <row r="40" hidden="1">
      <c r="A40" s="697"/>
      <c r="B40" s="697" t="str">
        <f>IFERROR(__xludf.DUMMYFUNCTION("""COMPUTED_VALUE"""),"Walker et al.")</f>
        <v>Walker et al.</v>
      </c>
      <c r="C40" s="697"/>
      <c r="D40" s="697" t="str">
        <f>IFERROR(__xludf.DUMMYFUNCTION("""COMPUTED_VALUE"""),"Doxycycline (6 week)")</f>
        <v>Doxycycline (6 week)</v>
      </c>
      <c r="E40" s="697" t="str">
        <f>IFERROR(__xludf.DUMMYFUNCTION("""COMPUTED_VALUE"""),"200mg")</f>
        <v>200mg</v>
      </c>
      <c r="F40" s="697">
        <f>IFERROR(__xludf.DUMMYFUNCTION("""COMPUTED_VALUE"""),42.0)</f>
        <v>42</v>
      </c>
      <c r="G40" s="697" t="str">
        <f>IFERROR(__xludf.DUMMYFUNCTION("""COMPUTED_VALUE"""),"8400 mg")</f>
        <v>8400 mg</v>
      </c>
      <c r="H40" s="697"/>
      <c r="I40" s="697"/>
      <c r="J40" s="697"/>
      <c r="K40" s="697"/>
      <c r="L40" s="700">
        <f>IFERROR(__xludf.DUMMYFUNCTION("""COMPUTED_VALUE"""),0.91)</f>
        <v>0.91</v>
      </c>
      <c r="M40" s="697"/>
      <c r="N40" s="697"/>
      <c r="O40" s="697"/>
      <c r="P40" s="697"/>
      <c r="Q40" s="697"/>
      <c r="R40" s="697"/>
      <c r="S40" s="697"/>
      <c r="T40" s="697"/>
      <c r="U40" s="697"/>
      <c r="V40" s="697"/>
      <c r="W40" s="697"/>
      <c r="X40" s="697"/>
      <c r="Y40" s="697"/>
      <c r="Z40" s="697"/>
      <c r="AA40" s="697"/>
      <c r="AB40" s="697"/>
      <c r="AC40" s="697"/>
      <c r="AD40" s="697"/>
      <c r="AE40" s="697" t="str">
        <f>IFERROR(__xludf.DUMMYFUNCTION("""COMPUTED_VALUE"""),"n/a")</f>
        <v>n/a</v>
      </c>
      <c r="AF40" s="697"/>
      <c r="AG40" s="697"/>
      <c r="AH40" s="697"/>
      <c r="AI40" s="697"/>
      <c r="AJ40" s="697"/>
      <c r="AK40" s="697"/>
      <c r="AL40" s="697"/>
      <c r="AM40" s="697"/>
      <c r="AN40" s="700">
        <f>IFERROR(__xludf.DUMMYFUNCTION("""COMPUTED_VALUE"""),0.91)</f>
        <v>0.91</v>
      </c>
      <c r="AO40" s="698">
        <f>IFERROR(__xludf.DUMMYFUNCTION("""COMPUTED_VALUE"""),0.91)</f>
        <v>0.91</v>
      </c>
      <c r="AP40" s="697" t="str">
        <f>IFERROR(__xludf.DUMMYFUNCTION("""COMPUTED_VALUE"""),"Nodulectomy Mf reduction")</f>
        <v>Nodulectomy Mf reduction</v>
      </c>
      <c r="AQ40" s="697"/>
      <c r="AR40" s="697">
        <f>IFERROR(__xludf.DUMMYFUNCTION("""COMPUTED_VALUE"""),2015.0)</f>
        <v>2015</v>
      </c>
      <c r="AS40" s="697">
        <f>IFERROR(__xludf.DUMMYFUNCTION("""COMPUTED_VALUE"""),18.0)</f>
        <v>18</v>
      </c>
      <c r="AT40" s="697" t="str">
        <f>IFERROR(__xludf.DUMMYFUNCTION("""COMPUTED_VALUE"""),"9.5 months")</f>
        <v>9.5 months</v>
      </c>
      <c r="AU40" s="699" t="str">
        <f>IFERROR(__xludf.DUMMYFUNCTION("""COMPUTED_VALUE"""),"Walker, Martin;Specht, Sabine; Churcher, Thomas S.; Heorauf, Achim; Taylor, Mark J.; Basanex, Maria-Gloria (2014) Therapeutic Efficacy and Macrofilaricidal Activity of Doxycycline for the Treatment of River Blindness. doi: 10.1093/cid/ciu1152 http://cid.o"&amp;"xfordjournals.org/content/60/8/1199.full.pdf+html ")</f>
        <v>Walker, Martin;Specht, Sabine; Churcher, Thomas S.; Heorauf, Achim; Taylor, Mark J.; Basanex, Maria-Gloria (2014) Therapeutic Efficacy and Macrofilaricidal Activity of Doxycycline for the Treatment of River Blindness. doi: 10.1093/cid/ciu1152 http://cid.oxfordjournals.org/content/60/8/1199.full.pdf+html </v>
      </c>
      <c r="AV40" s="697"/>
      <c r="AW40" s="697"/>
      <c r="AX40" s="697"/>
      <c r="AY40" s="697" t="str">
        <f>IFERROR(__xludf.DUMMYFUNCTION("""COMPUTED_VALUE"""),"No")</f>
        <v>No</v>
      </c>
      <c r="AZ40" s="697" t="str">
        <f>IFERROR(__xludf.DUMMYFUNCTION("""COMPUTED_VALUE"""),"Yes")</f>
        <v>Yes</v>
      </c>
      <c r="BA40" s="697"/>
      <c r="BB40" s="697"/>
      <c r="BC40" s="697"/>
      <c r="BD40" s="697"/>
      <c r="BE40" s="697"/>
      <c r="BF40" s="697"/>
      <c r="BG40" s="697" t="str">
        <f>IFERROR(__xludf.DUMMYFUNCTION("""COMPUTED_VALUE"""),"x")</f>
        <v>x</v>
      </c>
    </row>
    <row r="41" hidden="1">
      <c r="A41" s="697"/>
      <c r="B41" s="697" t="str">
        <f>IFERROR(__xludf.DUMMYFUNCTION("""COMPUTED_VALUE"""),"Plaiser et al.")</f>
        <v>Plaiser et al.</v>
      </c>
      <c r="C41" s="697" t="str">
        <f>IFERROR(__xludf.DUMMYFUNCTION("""COMPUTED_VALUE"""),"Ghana")</f>
        <v>Ghana</v>
      </c>
      <c r="D41" s="697" t="str">
        <f>IFERROR(__xludf.DUMMYFUNCTION("""COMPUTED_VALUE"""),"Ivermectin")</f>
        <v>Ivermectin</v>
      </c>
      <c r="E41" s="697" t="str">
        <f>IFERROR(__xludf.DUMMYFUNCTION("""COMPUTED_VALUE"""),"130ug/kg-200ug/kg")</f>
        <v>130ug/kg-200ug/kg</v>
      </c>
      <c r="F41" s="697">
        <f>IFERROR(__xludf.DUMMYFUNCTION("""COMPUTED_VALUE"""),5.0)</f>
        <v>5</v>
      </c>
      <c r="G41" s="697" t="str">
        <f>IFERROR(__xludf.DUMMYFUNCTION("""COMPUTED_VALUE"""),"650 ug/kg-1000ug/kg")</f>
        <v>650 ug/kg-1000ug/kg</v>
      </c>
      <c r="H41" s="697"/>
      <c r="I41" s="697"/>
      <c r="J41" s="697"/>
      <c r="K41" s="697"/>
      <c r="L41" s="697"/>
      <c r="M41" s="697"/>
      <c r="N41" s="697"/>
      <c r="O41" s="697"/>
      <c r="P41" s="697"/>
      <c r="Q41" s="697"/>
      <c r="R41" s="697"/>
      <c r="S41" s="697"/>
      <c r="T41" s="697"/>
      <c r="U41" s="697"/>
      <c r="V41" s="697"/>
      <c r="W41" s="700">
        <f>IFERROR(__xludf.DUMMYFUNCTION("""COMPUTED_VALUE"""),0.32)</f>
        <v>0.32</v>
      </c>
      <c r="X41" s="697"/>
      <c r="Y41" s="697"/>
      <c r="Z41" s="697"/>
      <c r="AA41" s="697"/>
      <c r="AB41" s="697"/>
      <c r="AC41" s="697"/>
      <c r="AD41" s="697"/>
      <c r="AE41" s="697" t="str">
        <f>IFERROR(__xludf.DUMMYFUNCTION("""COMPUTED_VALUE"""),"n/a")</f>
        <v>n/a</v>
      </c>
      <c r="AF41" s="697"/>
      <c r="AG41" s="697"/>
      <c r="AH41" s="697"/>
      <c r="AI41" s="697"/>
      <c r="AJ41" s="697"/>
      <c r="AK41" s="697"/>
      <c r="AL41" s="697"/>
      <c r="AM41" s="697"/>
      <c r="AN41" s="700">
        <f>IFERROR(__xludf.DUMMYFUNCTION("""COMPUTED_VALUE"""),0.32)</f>
        <v>0.32</v>
      </c>
      <c r="AO41" s="698">
        <f>IFERROR(__xludf.DUMMYFUNCTION("""COMPUTED_VALUE"""),0.32)</f>
        <v>0.32</v>
      </c>
      <c r="AP41" s="697" t="str">
        <f>IFERROR(__xludf.DUMMYFUNCTION("""COMPUTED_VALUE"""),"Mf reduction")</f>
        <v>Mf reduction</v>
      </c>
      <c r="AQ41" s="697" t="str">
        <f>IFERROR(__xludf.DUMMYFUNCTION("""COMPUTED_VALUE"""),"Asubende, Ghana")</f>
        <v>Asubende, Ghana</v>
      </c>
      <c r="AR41" s="697">
        <f>IFERROR(__xludf.DUMMYFUNCTION("""COMPUTED_VALUE"""),1991.0)</f>
        <v>1991</v>
      </c>
      <c r="AS41" s="697" t="str">
        <f>IFERROR(__xludf.DUMMYFUNCTION("""COMPUTED_VALUE"""),"78; 36")</f>
        <v>78; 36</v>
      </c>
      <c r="AT41" s="697" t="str">
        <f>IFERROR(__xludf.DUMMYFUNCTION("""COMPUTED_VALUE"""),"2 years")</f>
        <v>2 years</v>
      </c>
      <c r="AU41" s="699" t="str">
        <f>IFERROR(__xludf.DUMMYFUNCTION("""COMPUTED_VALUE"""),"Plaisier, A.P.; Alley, E.S.; Boatin, B.A.; Van Oortmarssen, G.J.; Remme, H.; de Vlas, S.J.; Bonneux, L.; Habbema, D.F. (1995) Irreversible Effects of Ivermectin on Adult Parasites in Onchocerciasis Patients in the Onchocerciasis Control Programme in West "&amp;"Africa. The Journal of Infectious Diseases 172(1): 204-210.")</f>
        <v>Plaisier, A.P.; Alley, E.S.; Boatin, B.A.; Van Oortmarssen, G.J.; Remme, H.; de Vlas, S.J.; Bonneux, L.; Habbema, D.F. (1995) Irreversible Effects of Ivermectin on Adult Parasites in Onchocerciasis Patients in the Onchocerciasis Control Programme in West Africa. The Journal of Infectious Diseases 172(1): 204-210.</v>
      </c>
      <c r="AV41" s="697"/>
      <c r="AW41" s="697" t="str">
        <f>IFERROR(__xludf.DUMMYFUNCTION("""COMPUTED_VALUE"""),"Adults only")</f>
        <v>Adults only</v>
      </c>
      <c r="AX41" s="697"/>
      <c r="AY41" s="697" t="str">
        <f>IFERROR(__xludf.DUMMYFUNCTION("""COMPUTED_VALUE"""),"No")</f>
        <v>No</v>
      </c>
      <c r="AZ41" s="697" t="str">
        <f>IFERROR(__xludf.DUMMYFUNCTION("""COMPUTED_VALUE"""),"Yes")</f>
        <v>Yes</v>
      </c>
      <c r="BA41" s="697"/>
      <c r="BB41" s="697"/>
      <c r="BC41" s="697" t="str">
        <f>IFERROR(__xludf.DUMMYFUNCTION("""COMPUTED_VALUE"""),"Our analysis of the results of five consecutive annual treatments provides strong evidence that apart from killing Mf, ivermectin reduces the viability of adult female parasites.")</f>
        <v>Our analysis of the results of five consecutive annual treatments provides strong evidence that apart from killing Mf, ivermectin reduces the viability of adult female parasites.</v>
      </c>
      <c r="BD41" s="697"/>
      <c r="BE41" s="697"/>
      <c r="BF41" s="697"/>
      <c r="BG41" s="697" t="str">
        <f>IFERROR(__xludf.DUMMYFUNCTION("""COMPUTED_VALUE"""),"x")</f>
        <v>x</v>
      </c>
    </row>
    <row r="42" hidden="1">
      <c r="A42" s="697"/>
      <c r="B42" s="697" t="str">
        <f>IFERROR(__xludf.DUMMYFUNCTION("""COMPUTED_VALUE"""),"Perez et al")</f>
        <v>Perez et al</v>
      </c>
      <c r="C42" s="697" t="str">
        <f>IFERROR(__xludf.DUMMYFUNCTION("""COMPUTED_VALUE"""),"Mexico")</f>
        <v>Mexico</v>
      </c>
      <c r="D42" s="697" t="str">
        <f>IFERROR(__xludf.DUMMYFUNCTION("""COMPUTED_VALUE"""),"Ivermectin")</f>
        <v>Ivermectin</v>
      </c>
      <c r="E42" s="697" t="str">
        <f>IFERROR(__xludf.DUMMYFUNCTION("""COMPUTED_VALUE"""),"150ug/kg-220ug/kg")</f>
        <v>150ug/kg-220ug/kg</v>
      </c>
      <c r="F42" s="697">
        <f>IFERROR(__xludf.DUMMYFUNCTION("""COMPUTED_VALUE"""),5.0)</f>
        <v>5</v>
      </c>
      <c r="G42" s="697" t="str">
        <f>IFERROR(__xludf.DUMMYFUNCTION("""COMPUTED_VALUE"""),"750ug/kg - 1100ug/kg")</f>
        <v>750ug/kg - 1100ug/kg</v>
      </c>
      <c r="H42" s="697"/>
      <c r="I42" s="697"/>
      <c r="J42" s="697"/>
      <c r="K42" s="697"/>
      <c r="L42" s="697"/>
      <c r="M42" s="697"/>
      <c r="N42" s="697"/>
      <c r="O42" s="697"/>
      <c r="P42" s="697"/>
      <c r="Q42" s="697"/>
      <c r="R42" s="697"/>
      <c r="S42" s="700">
        <f>IFERROR(__xludf.DUMMYFUNCTION("""COMPUTED_VALUE"""),0.52)</f>
        <v>0.52</v>
      </c>
      <c r="T42" s="697"/>
      <c r="U42" s="697"/>
      <c r="V42" s="697"/>
      <c r="W42" s="697"/>
      <c r="X42" s="697"/>
      <c r="Y42" s="697"/>
      <c r="Z42" s="700">
        <f>IFERROR(__xludf.DUMMYFUNCTION("""COMPUTED_VALUE"""),0.89)</f>
        <v>0.89</v>
      </c>
      <c r="AA42" s="697"/>
      <c r="AB42" s="697"/>
      <c r="AC42" s="697"/>
      <c r="AD42" s="697"/>
      <c r="AE42" s="697"/>
      <c r="AF42" s="697"/>
      <c r="AG42" s="697"/>
      <c r="AH42" s="697"/>
      <c r="AI42" s="697"/>
      <c r="AJ42" s="697"/>
      <c r="AK42" s="697"/>
      <c r="AL42" s="697"/>
      <c r="AM42" s="697"/>
      <c r="AN42" s="700">
        <f>IFERROR(__xludf.DUMMYFUNCTION("""COMPUTED_VALUE"""),0.52)</f>
        <v>0.52</v>
      </c>
      <c r="AO42" s="698">
        <f>IFERROR(__xludf.DUMMYFUNCTION("""COMPUTED_VALUE"""),0.52)</f>
        <v>0.52</v>
      </c>
      <c r="AP42" s="697" t="str">
        <f>IFERROR(__xludf.DUMMYFUNCTION("""COMPUTED_VALUE"""),"Mf reduction")</f>
        <v>Mf reduction</v>
      </c>
      <c r="AQ42" s="697" t="str">
        <f>IFERROR(__xludf.DUMMYFUNCTION("""COMPUTED_VALUE"""),"Los Golondrinas, Southern Chiapas")</f>
        <v>Los Golondrinas, Southern Chiapas</v>
      </c>
      <c r="AR42" s="697">
        <f>IFERROR(__xludf.DUMMYFUNCTION("""COMPUTED_VALUE"""),1993.0)</f>
        <v>1993</v>
      </c>
      <c r="AS42" s="697" t="str">
        <f>IFERROR(__xludf.DUMMYFUNCTION("""COMPUTED_VALUE"""),"279/325")</f>
        <v>279/325</v>
      </c>
      <c r="AT42" s="697" t="str">
        <f>IFERROR(__xludf.DUMMYFUNCTION("""COMPUTED_VALUE"""),"2 years")</f>
        <v>2 years</v>
      </c>
      <c r="AU42" s="699" t="str">
        <f>IFERROR(__xludf.DUMMYFUNCTION("""COMPUTED_VALUE"""),"Rodriguez-Perez, MA, MH Rodriguez, and HM Margeli-Perez. """"Effect of Semiannual Treatments of Ivermectin on the Prevalence and Intensity of Onchocerca Volvulus Skin Infection, Ocular Lesions, and Infectivity of Simulium Ochraceum Populations in Southern"&amp;" Mexico."""" American Journal of Tropical Medicine and Hygiene 52.5 (1995): 429-434. Web. 5 May 2015.")</f>
        <v>Rodriguez-Perez, MA, MH Rodriguez, and HM Margeli-Perez. ""Effect of Semiannual Treatments of Ivermectin on the Prevalence and Intensity of Onchocerca Volvulus Skin Infection, Ocular Lesions, and Infectivity of Simulium Ochraceum Populations in Southern Mexico."" American Journal of Tropical Medicine and Hygiene 52.5 (1995): 429-434. Web. 5 May 2015.</v>
      </c>
      <c r="AV42" s="697" t="str">
        <f>IFERROR(__xludf.DUMMYFUNCTION("""COMPUTED_VALUE"""),"M,F")</f>
        <v>M,F</v>
      </c>
      <c r="AW42" s="697" t="str">
        <f>IFERROR(__xludf.DUMMYFUNCTION("""COMPUTED_VALUE"""),"&gt;6")</f>
        <v>&gt;6</v>
      </c>
      <c r="AX42" s="697" t="str">
        <f>IFERROR(__xludf.DUMMYFUNCTION("""COMPUTED_VALUE"""),"Exclusions: Pregnancy, breast-feeding, history or symptom of neurological disorder")</f>
        <v>Exclusions: Pregnancy, breast-feeding, history or symptom of neurological disorder</v>
      </c>
      <c r="AY42" s="697" t="str">
        <f>IFERROR(__xludf.DUMMYFUNCTION("""COMPUTED_VALUE"""),"No")</f>
        <v>No</v>
      </c>
      <c r="AZ42" s="697" t="str">
        <f>IFERROR(__xludf.DUMMYFUNCTION("""COMPUTED_VALUE"""),"No")</f>
        <v>No</v>
      </c>
      <c r="BA42" s="697"/>
      <c r="BB42" s="697"/>
      <c r="BC42" s="697" t="str">
        <f>IFERROR(__xludf.DUMMYFUNCTION("""COMPUTED_VALUE"""),"Ivermectin mass treatment had a significant impact on the xCMPL and the prevalence of detectable 0. volvulus infections in the human population of Las Golondrinas.")</f>
        <v>Ivermectin mass treatment had a significant impact on the xCMPL and the prevalence of detectable 0. volvulus infections in the human population of Las Golondrinas.</v>
      </c>
      <c r="BD42" s="697" t="str">
        <f>IFERROR(__xludf.DUMMYFUNCTION("""COMPUTED_VALUE"""),"41 emigrated, 54 immigrated, 4 deaths")</f>
        <v>41 emigrated, 54 immigrated, 4 deaths</v>
      </c>
      <c r="BE42" s="697"/>
      <c r="BF42" s="697"/>
      <c r="BG42" s="697" t="str">
        <f>IFERROR(__xludf.DUMMYFUNCTION("""COMPUTED_VALUE"""),"x")</f>
        <v>x</v>
      </c>
    </row>
    <row r="43">
      <c r="A43" s="697"/>
      <c r="B43" s="697" t="str">
        <f>IFERROR(__xludf.DUMMYFUNCTION("""COMPUTED_VALUE"""),"Aziz et al")</f>
        <v>Aziz et al</v>
      </c>
      <c r="C43" s="697" t="str">
        <f>IFERROR(__xludf.DUMMYFUNCTION("""COMPUTED_VALUE"""),"Senegal")</f>
        <v>Senegal</v>
      </c>
      <c r="D43" s="697" t="str">
        <f>IFERROR(__xludf.DUMMYFUNCTION("""COMPUTED_VALUE"""),"Ivermectin")</f>
        <v>Ivermectin</v>
      </c>
      <c r="E43" s="697" t="str">
        <f>IFERROR(__xludf.DUMMYFUNCTION("""COMPUTED_VALUE"""),"5ug/kg")</f>
        <v>5ug/kg</v>
      </c>
      <c r="F43" s="697">
        <f>IFERROR(__xludf.DUMMYFUNCTION("""COMPUTED_VALUE"""),1.0)</f>
        <v>1</v>
      </c>
      <c r="G43" s="697" t="str">
        <f>IFERROR(__xludf.DUMMYFUNCTION("""COMPUTED_VALUE"""),"5 ug/kg ")</f>
        <v>5 ug/kg </v>
      </c>
      <c r="H43" s="697"/>
      <c r="I43" s="697" t="str">
        <f>IFERROR(__xludf.DUMMYFUNCTION("""COMPUTED_VALUE"""),"Increase of 37.14%")</f>
        <v>Increase of 37.14%</v>
      </c>
      <c r="J43" s="697"/>
      <c r="K43" s="697"/>
      <c r="L43" s="697"/>
      <c r="M43" s="697"/>
      <c r="N43" s="697" t="str">
        <f>IFERROR(__xludf.DUMMYFUNCTION("""COMPUTED_VALUE"""),"Increase of 57.14%")</f>
        <v>Increase of 57.14%</v>
      </c>
      <c r="O43" s="698">
        <f>IFERROR(__xludf.DUMMYFUNCTION("""COMPUTED_VALUE"""),0.4286)</f>
        <v>0.4286</v>
      </c>
      <c r="P43" s="697"/>
      <c r="Q43" s="697" t="str">
        <f>IFERROR(__xludf.DUMMYFUNCTION("""COMPUTED_VALUE"""),"Increase of 22.85%")</f>
        <v>Increase of 22.85%</v>
      </c>
      <c r="R43" s="697"/>
      <c r="S43" s="697"/>
      <c r="T43" s="697"/>
      <c r="U43" s="697"/>
      <c r="V43" s="697"/>
      <c r="W43" s="697"/>
      <c r="X43" s="697"/>
      <c r="Y43" s="697"/>
      <c r="Z43" s="697"/>
      <c r="AA43" s="697"/>
      <c r="AB43" s="697"/>
      <c r="AC43" s="697"/>
      <c r="AD43" s="697"/>
      <c r="AE43" s="697"/>
      <c r="AF43" s="697"/>
      <c r="AG43" s="697"/>
      <c r="AH43" s="697"/>
      <c r="AI43" s="697"/>
      <c r="AJ43" s="697"/>
      <c r="AK43" s="697"/>
      <c r="AL43" s="697"/>
      <c r="AM43" s="697"/>
      <c r="AN43" s="697" t="str">
        <f>IFERROR(__xludf.DUMMYFUNCTION("""COMPUTED_VALUE"""),"Increase of 22.85%")</f>
        <v>Increase of 22.85%</v>
      </c>
      <c r="AO43" s="698">
        <f>IFERROR(__xludf.DUMMYFUNCTION("""COMPUTED_VALUE"""),0.2285)</f>
        <v>0.2285</v>
      </c>
      <c r="AP43" s="697" t="str">
        <f>IFERROR(__xludf.DUMMYFUNCTION("""COMPUTED_VALUE"""),"Mf reduction")</f>
        <v>Mf reduction</v>
      </c>
      <c r="AQ43" s="697" t="str">
        <f>IFERROR(__xludf.DUMMYFUNCTION("""COMPUTED_VALUE"""),"University of Dakar Hospital, Senegal")</f>
        <v>University of Dakar Hospital, Senegal</v>
      </c>
      <c r="AR43" s="697">
        <f>IFERROR(__xludf.DUMMYFUNCTION("""COMPUTED_VALUE"""),1982.0)</f>
        <v>1982</v>
      </c>
      <c r="AS43" s="697">
        <f>IFERROR(__xludf.DUMMYFUNCTION("""COMPUTED_VALUE"""),8.0)</f>
        <v>8</v>
      </c>
      <c r="AT43" s="697" t="str">
        <f>IFERROR(__xludf.DUMMYFUNCTION("""COMPUTED_VALUE"""),"42 days")</f>
        <v>42 days</v>
      </c>
      <c r="AU43" s="699" t="str">
        <f>IFERROR(__xludf.DUMMYFUNCTION("""COMPUTED_VALUE"""),"Aziz, M. (1982). Efficacy and tolerance of ivermectin in human onchocerciasis. The Lancet, 320(8291), 171-173."")")</f>
        <v>Aziz, M. (1982). Efficacy and tolerance of ivermectin in human onchocerciasis. The Lancet, 320(8291), 171-173.")</v>
      </c>
      <c r="AV43" s="697" t="str">
        <f>IFERROR(__xludf.DUMMYFUNCTION("""COMPUTED_VALUE"""),"M")</f>
        <v>M</v>
      </c>
      <c r="AW43" s="697" t="str">
        <f>IFERROR(__xludf.DUMMYFUNCTION("""COMPUTED_VALUE"""),"20 - 40")</f>
        <v>20 - 40</v>
      </c>
      <c r="AX43" s="697"/>
      <c r="AY43" s="697" t="str">
        <f>IFERROR(__xludf.DUMMYFUNCTION("""COMPUTED_VALUE"""),"No")</f>
        <v>No</v>
      </c>
      <c r="AZ43" s="697" t="str">
        <f>IFERROR(__xludf.DUMMYFUNCTION("""COMPUTED_VALUE"""),"Yes")</f>
        <v>Yes</v>
      </c>
      <c r="BA43" s="697"/>
      <c r="BB43" s="697"/>
      <c r="BC43" s="697" t="str">
        <f>IFERROR(__xludf.DUMMYFUNCTION("""COMPUTED_VALUE"""),"This is a very old, very limited study with very little likely value to the project. Demonstrates that ivermectin has use in combating onchocerciasis.")</f>
        <v>This is a very old, very limited study with very little likely value to the project. Demonstrates that ivermectin has use in combating onchocerciasis.</v>
      </c>
      <c r="BD43" s="697"/>
      <c r="BE43" s="697"/>
      <c r="BF43" s="697"/>
      <c r="BG43" s="697"/>
    </row>
    <row r="44">
      <c r="A44" s="697"/>
      <c r="B44" s="697" t="str">
        <f>IFERROR(__xludf.DUMMYFUNCTION("""COMPUTED_VALUE"""),"Aziz et al")</f>
        <v>Aziz et al</v>
      </c>
      <c r="C44" s="697" t="str">
        <f>IFERROR(__xludf.DUMMYFUNCTION("""COMPUTED_VALUE"""),"Senegal")</f>
        <v>Senegal</v>
      </c>
      <c r="D44" s="697" t="str">
        <f>IFERROR(__xludf.DUMMYFUNCTION("""COMPUTED_VALUE"""),"Ivermectin")</f>
        <v>Ivermectin</v>
      </c>
      <c r="E44" s="697" t="str">
        <f>IFERROR(__xludf.DUMMYFUNCTION("""COMPUTED_VALUE"""),"10ug/kg")</f>
        <v>10ug/kg</v>
      </c>
      <c r="F44" s="697">
        <f>IFERROR(__xludf.DUMMYFUNCTION("""COMPUTED_VALUE"""),1.0)</f>
        <v>1</v>
      </c>
      <c r="G44" s="697" t="str">
        <f>IFERROR(__xludf.DUMMYFUNCTION("""COMPUTED_VALUE"""),"10 ug/kg Ivermectin")</f>
        <v>10 ug/kg Ivermectin</v>
      </c>
      <c r="H44" s="697"/>
      <c r="I44" s="697" t="str">
        <f>IFERROR(__xludf.DUMMYFUNCTION("""COMPUTED_VALUE"""),"Increase of 58.1%")</f>
        <v>Increase of 58.1%</v>
      </c>
      <c r="J44" s="697"/>
      <c r="K44" s="697"/>
      <c r="L44" s="697"/>
      <c r="M44" s="697"/>
      <c r="N44" s="697" t="str">
        <f>IFERROR(__xludf.DUMMYFUNCTION("""COMPUTED_VALUE"""),"Increase of 38.1%")</f>
        <v>Increase of 38.1%</v>
      </c>
      <c r="O44" s="698">
        <f>IFERROR(__xludf.DUMMYFUNCTION("""COMPUTED_VALUE"""),0.3047)</f>
        <v>0.3047</v>
      </c>
      <c r="P44" s="697"/>
      <c r="Q44" s="697" t="str">
        <f>IFERROR(__xludf.DUMMYFUNCTION("""COMPUTED_VALUE"""),"Increase of 28.57%")</f>
        <v>Increase of 28.57%</v>
      </c>
      <c r="R44" s="697"/>
      <c r="S44" s="697"/>
      <c r="T44" s="697"/>
      <c r="U44" s="697"/>
      <c r="V44" s="697"/>
      <c r="W44" s="697"/>
      <c r="X44" s="697"/>
      <c r="Y44" s="697"/>
      <c r="Z44" s="697"/>
      <c r="AA44" s="697"/>
      <c r="AB44" s="697"/>
      <c r="AC44" s="697"/>
      <c r="AD44" s="697"/>
      <c r="AE44" s="697"/>
      <c r="AF44" s="697"/>
      <c r="AG44" s="697"/>
      <c r="AH44" s="697"/>
      <c r="AI44" s="697"/>
      <c r="AJ44" s="697"/>
      <c r="AK44" s="697"/>
      <c r="AL44" s="697"/>
      <c r="AM44" s="697"/>
      <c r="AN44" s="697" t="str">
        <f>IFERROR(__xludf.DUMMYFUNCTION("""COMPUTED_VALUE"""),"Increase of 28.57%")</f>
        <v>Increase of 28.57%</v>
      </c>
      <c r="AO44" s="698">
        <f>IFERROR(__xludf.DUMMYFUNCTION("""COMPUTED_VALUE"""),0.2857)</f>
        <v>0.2857</v>
      </c>
      <c r="AP44" s="697" t="str">
        <f>IFERROR(__xludf.DUMMYFUNCTION("""COMPUTED_VALUE"""),"Mf reduction")</f>
        <v>Mf reduction</v>
      </c>
      <c r="AQ44" s="697" t="str">
        <f>IFERROR(__xludf.DUMMYFUNCTION("""COMPUTED_VALUE"""),"University of Dakar Hospital, Senegal")</f>
        <v>University of Dakar Hospital, Senegal</v>
      </c>
      <c r="AR44" s="697">
        <f>IFERROR(__xludf.DUMMYFUNCTION("""COMPUTED_VALUE"""),1982.0)</f>
        <v>1982</v>
      </c>
      <c r="AS44" s="697">
        <f>IFERROR(__xludf.DUMMYFUNCTION("""COMPUTED_VALUE"""),8.0)</f>
        <v>8</v>
      </c>
      <c r="AT44" s="697" t="str">
        <f>IFERROR(__xludf.DUMMYFUNCTION("""COMPUTED_VALUE"""),"42 days")</f>
        <v>42 days</v>
      </c>
      <c r="AU44" s="699" t="str">
        <f>IFERROR(__xludf.DUMMYFUNCTION("""COMPUTED_VALUE"""),"Aziz, M. (1982). Efficacy and tolerance of ivermectin in human onchocerciasis. The Lancet, 320(8291), 171-173."")")</f>
        <v>Aziz, M. (1982). Efficacy and tolerance of ivermectin in human onchocerciasis. The Lancet, 320(8291), 171-173.")</v>
      </c>
      <c r="AV44" s="697"/>
      <c r="AW44" s="697"/>
      <c r="AX44" s="697"/>
      <c r="AY44" s="697" t="str">
        <f>IFERROR(__xludf.DUMMYFUNCTION("""COMPUTED_VALUE"""),"No")</f>
        <v>No</v>
      </c>
      <c r="AZ44" s="697" t="str">
        <f>IFERROR(__xludf.DUMMYFUNCTION("""COMPUTED_VALUE"""),"Yes")</f>
        <v>Yes</v>
      </c>
      <c r="BA44" s="697"/>
      <c r="BB44" s="697"/>
      <c r="BC44" s="697" t="str">
        <f>IFERROR(__xludf.DUMMYFUNCTION("""COMPUTED_VALUE"""),"This is a very old, very limited study with very little likely value to the project. Demonstrates that ivermectin has use in combating onchocerciasis.")</f>
        <v>This is a very old, very limited study with very little likely value to the project. Demonstrates that ivermectin has use in combating onchocerciasis.</v>
      </c>
      <c r="BD44" s="697"/>
      <c r="BE44" s="697"/>
      <c r="BF44" s="697"/>
      <c r="BG44" s="697"/>
    </row>
    <row r="45">
      <c r="A45" s="697"/>
      <c r="B45" s="697" t="str">
        <f>IFERROR(__xludf.DUMMYFUNCTION("""COMPUTED_VALUE"""),"Aziz et al")</f>
        <v>Aziz et al</v>
      </c>
      <c r="C45" s="697" t="str">
        <f>IFERROR(__xludf.DUMMYFUNCTION("""COMPUTED_VALUE"""),"Senegal")</f>
        <v>Senegal</v>
      </c>
      <c r="D45" s="697" t="str">
        <f>IFERROR(__xludf.DUMMYFUNCTION("""COMPUTED_VALUE"""),"Ivermectin")</f>
        <v>Ivermectin</v>
      </c>
      <c r="E45" s="697" t="str">
        <f>IFERROR(__xludf.DUMMYFUNCTION("""COMPUTED_VALUE"""),"20ug/kg")</f>
        <v>20ug/kg</v>
      </c>
      <c r="F45" s="697">
        <f>IFERROR(__xludf.DUMMYFUNCTION("""COMPUTED_VALUE"""),1.0)</f>
        <v>1</v>
      </c>
      <c r="G45" s="697" t="str">
        <f>IFERROR(__xludf.DUMMYFUNCTION("""COMPUTED_VALUE"""),"30 ug/kg ")</f>
        <v>30 ug/kg </v>
      </c>
      <c r="H45" s="697"/>
      <c r="I45" s="698">
        <f>IFERROR(__xludf.DUMMYFUNCTION("""COMPUTED_VALUE"""),0.952)</f>
        <v>0.952</v>
      </c>
      <c r="J45" s="697"/>
      <c r="K45" s="697"/>
      <c r="L45" s="697"/>
      <c r="M45" s="697"/>
      <c r="N45" s="698">
        <f>IFERROR(__xludf.DUMMYFUNCTION("""COMPUTED_VALUE"""),0.792)</f>
        <v>0.792</v>
      </c>
      <c r="O45" s="698">
        <f>IFERROR(__xludf.DUMMYFUNCTION("""COMPUTED_VALUE"""),0.776)</f>
        <v>0.776</v>
      </c>
      <c r="P45" s="697"/>
      <c r="Q45" s="700">
        <f>IFERROR(__xludf.DUMMYFUNCTION("""COMPUTED_VALUE"""),0.88)</f>
        <v>0.88</v>
      </c>
      <c r="R45" s="697"/>
      <c r="S45" s="697"/>
      <c r="T45" s="697"/>
      <c r="U45" s="697"/>
      <c r="V45" s="697"/>
      <c r="W45" s="697"/>
      <c r="X45" s="697"/>
      <c r="Y45" s="697"/>
      <c r="Z45" s="697"/>
      <c r="AA45" s="697"/>
      <c r="AB45" s="697"/>
      <c r="AC45" s="697"/>
      <c r="AD45" s="697"/>
      <c r="AE45" s="697"/>
      <c r="AF45" s="697"/>
      <c r="AG45" s="697"/>
      <c r="AH45" s="697"/>
      <c r="AI45" s="697"/>
      <c r="AJ45" s="697"/>
      <c r="AK45" s="697"/>
      <c r="AL45" s="697"/>
      <c r="AM45" s="697"/>
      <c r="AN45" s="700">
        <f>IFERROR(__xludf.DUMMYFUNCTION("""COMPUTED_VALUE"""),0.88)</f>
        <v>0.88</v>
      </c>
      <c r="AO45" s="698">
        <f>IFERROR(__xludf.DUMMYFUNCTION("""COMPUTED_VALUE"""),0.88)</f>
        <v>0.88</v>
      </c>
      <c r="AP45" s="697" t="str">
        <f>IFERROR(__xludf.DUMMYFUNCTION("""COMPUTED_VALUE"""),"Mf reduction")</f>
        <v>Mf reduction</v>
      </c>
      <c r="AQ45" s="697" t="str">
        <f>IFERROR(__xludf.DUMMYFUNCTION("""COMPUTED_VALUE"""),"University of Dakar Hospital, Senegal")</f>
        <v>University of Dakar Hospital, Senegal</v>
      </c>
      <c r="AR45" s="697">
        <f>IFERROR(__xludf.DUMMYFUNCTION("""COMPUTED_VALUE"""),1982.0)</f>
        <v>1982</v>
      </c>
      <c r="AS45" s="697">
        <f>IFERROR(__xludf.DUMMYFUNCTION("""COMPUTED_VALUE"""),8.0)</f>
        <v>8</v>
      </c>
      <c r="AT45" s="697" t="str">
        <f>IFERROR(__xludf.DUMMYFUNCTION("""COMPUTED_VALUE"""),"42 days")</f>
        <v>42 days</v>
      </c>
      <c r="AU45" s="699" t="str">
        <f>IFERROR(__xludf.DUMMYFUNCTION("""COMPUTED_VALUE"""),"Aziz, M. (1982). Efficacy and tolerance of ivermectin in human onchocerciasis. The Lancet, 320(8291), 171-173."")")</f>
        <v>Aziz, M. (1982). Efficacy and tolerance of ivermectin in human onchocerciasis. The Lancet, 320(8291), 171-173.")</v>
      </c>
      <c r="AV45" s="697"/>
      <c r="AW45" s="697"/>
      <c r="AX45" s="697"/>
      <c r="AY45" s="697" t="str">
        <f>IFERROR(__xludf.DUMMYFUNCTION("""COMPUTED_VALUE"""),"No")</f>
        <v>No</v>
      </c>
      <c r="AZ45" s="697" t="str">
        <f>IFERROR(__xludf.DUMMYFUNCTION("""COMPUTED_VALUE"""),"Yes")</f>
        <v>Yes</v>
      </c>
      <c r="BA45" s="697"/>
      <c r="BB45" s="697"/>
      <c r="BC45" s="697" t="str">
        <f>IFERROR(__xludf.DUMMYFUNCTION("""COMPUTED_VALUE"""),"This is a very old, very limited study with very little likely value to the project. Demonstrates that ivermectin has use in combating onchocerciasis.")</f>
        <v>This is a very old, very limited study with very little likely value to the project. Demonstrates that ivermectin has use in combating onchocerciasis.</v>
      </c>
      <c r="BD45" s="697"/>
      <c r="BE45" s="697"/>
      <c r="BF45" s="697"/>
      <c r="BG45" s="697"/>
    </row>
    <row r="46">
      <c r="A46" s="697"/>
      <c r="B46" s="697" t="str">
        <f>IFERROR(__xludf.DUMMYFUNCTION("""COMPUTED_VALUE"""),"Aziz et al")</f>
        <v>Aziz et al</v>
      </c>
      <c r="C46" s="697" t="str">
        <f>IFERROR(__xludf.DUMMYFUNCTION("""COMPUTED_VALUE"""),"Senegal")</f>
        <v>Senegal</v>
      </c>
      <c r="D46" s="697" t="str">
        <f>IFERROR(__xludf.DUMMYFUNCTION("""COMPUTED_VALUE"""),"Ivermectin")</f>
        <v>Ivermectin</v>
      </c>
      <c r="E46" s="697" t="str">
        <f>IFERROR(__xludf.DUMMYFUNCTION("""COMPUTED_VALUE"""),"50ug/kg")</f>
        <v>50ug/kg</v>
      </c>
      <c r="F46" s="697">
        <f>IFERROR(__xludf.DUMMYFUNCTION("""COMPUTED_VALUE"""),1.0)</f>
        <v>1</v>
      </c>
      <c r="G46" s="697" t="str">
        <f>IFERROR(__xludf.DUMMYFUNCTION("""COMPUTED_VALUE"""),"50 ug/kg ")</f>
        <v>50 ug/kg </v>
      </c>
      <c r="H46" s="697"/>
      <c r="I46" s="697"/>
      <c r="J46" s="697"/>
      <c r="K46" s="697"/>
      <c r="L46" s="697"/>
      <c r="M46" s="697"/>
      <c r="N46" s="697"/>
      <c r="O46" s="698">
        <f>IFERROR(__xludf.DUMMYFUNCTION("""COMPUTED_VALUE"""),0.8684)</f>
        <v>0.8684</v>
      </c>
      <c r="P46" s="697"/>
      <c r="Q46" s="698">
        <f>IFERROR(__xludf.DUMMYFUNCTION("""COMPUTED_VALUE"""),0.9605)</f>
        <v>0.9605</v>
      </c>
      <c r="R46" s="697"/>
      <c r="S46" s="697"/>
      <c r="T46" s="697"/>
      <c r="U46" s="697"/>
      <c r="V46" s="697"/>
      <c r="W46" s="697"/>
      <c r="X46" s="697"/>
      <c r="Y46" s="697"/>
      <c r="Z46" s="697"/>
      <c r="AA46" s="697"/>
      <c r="AB46" s="697"/>
      <c r="AC46" s="697"/>
      <c r="AD46" s="697"/>
      <c r="AE46" s="697"/>
      <c r="AF46" s="697"/>
      <c r="AG46" s="697"/>
      <c r="AH46" s="697"/>
      <c r="AI46" s="697"/>
      <c r="AJ46" s="697"/>
      <c r="AK46" s="697"/>
      <c r="AL46" s="697"/>
      <c r="AM46" s="697"/>
      <c r="AN46" s="698">
        <f>IFERROR(__xludf.DUMMYFUNCTION("""COMPUTED_VALUE"""),0.9605)</f>
        <v>0.9605</v>
      </c>
      <c r="AO46" s="698">
        <f>IFERROR(__xludf.DUMMYFUNCTION("""COMPUTED_VALUE"""),0.9605)</f>
        <v>0.9605</v>
      </c>
      <c r="AP46" s="697" t="str">
        <f>IFERROR(__xludf.DUMMYFUNCTION("""COMPUTED_VALUE"""),"Mf reduction")</f>
        <v>Mf reduction</v>
      </c>
      <c r="AQ46" s="697" t="str">
        <f>IFERROR(__xludf.DUMMYFUNCTION("""COMPUTED_VALUE"""),"University of Dakar Hospital, Senegal")</f>
        <v>University of Dakar Hospital, Senegal</v>
      </c>
      <c r="AR46" s="697">
        <f>IFERROR(__xludf.DUMMYFUNCTION("""COMPUTED_VALUE"""),1982.0)</f>
        <v>1982</v>
      </c>
      <c r="AS46" s="697">
        <f>IFERROR(__xludf.DUMMYFUNCTION("""COMPUTED_VALUE"""),8.0)</f>
        <v>8</v>
      </c>
      <c r="AT46" s="697" t="str">
        <f>IFERROR(__xludf.DUMMYFUNCTION("""COMPUTED_VALUE"""),"42 days")</f>
        <v>42 days</v>
      </c>
      <c r="AU46" s="699" t="str">
        <f>IFERROR(__xludf.DUMMYFUNCTION("""COMPUTED_VALUE"""),"Aziz, M. (1982). Efficacy and tolerance of ivermectin in human onchocerciasis. The Lancet, 320(8291), 171-173."")")</f>
        <v>Aziz, M. (1982). Efficacy and tolerance of ivermectin in human onchocerciasis. The Lancet, 320(8291), 171-173.")</v>
      </c>
      <c r="AV46" s="697"/>
      <c r="AW46" s="697"/>
      <c r="AX46" s="697"/>
      <c r="AY46" s="697" t="str">
        <f>IFERROR(__xludf.DUMMYFUNCTION("""COMPUTED_VALUE"""),"No")</f>
        <v>No</v>
      </c>
      <c r="AZ46" s="697" t="str">
        <f>IFERROR(__xludf.DUMMYFUNCTION("""COMPUTED_VALUE"""),"Yes")</f>
        <v>Yes</v>
      </c>
      <c r="BA46" s="697"/>
      <c r="BB46" s="697"/>
      <c r="BC46" s="697" t="str">
        <f>IFERROR(__xludf.DUMMYFUNCTION("""COMPUTED_VALUE"""),"This is a very old, very limited study with very little likely value to the project. Demonstrates that ivermectin has use in combating onchocerciasis.")</f>
        <v>This is a very old, very limited study with very little likely value to the project. Demonstrates that ivermectin has use in combating onchocerciasis.</v>
      </c>
      <c r="BD46" s="697"/>
      <c r="BE46" s="697"/>
      <c r="BF46" s="697"/>
      <c r="BG46" s="697"/>
    </row>
    <row r="47">
      <c r="A47" s="697"/>
      <c r="B47" s="697" t="str">
        <f>IFERROR(__xludf.DUMMYFUNCTION("""COMPUTED_VALUE"""),"Fendt et al")</f>
        <v>Fendt et al</v>
      </c>
      <c r="C47" s="697" t="str">
        <f>IFERROR(__xludf.DUMMYFUNCTION("""COMPUTED_VALUE"""),"Togo")</f>
        <v>Togo</v>
      </c>
      <c r="D47" s="697" t="str">
        <f>IFERROR(__xludf.DUMMYFUNCTION("""COMPUTED_VALUE"""),"Placebo")</f>
        <v>Placebo</v>
      </c>
      <c r="E47" s="697"/>
      <c r="F47" s="697"/>
      <c r="G47" s="697"/>
      <c r="H47" s="697"/>
      <c r="I47" s="697"/>
      <c r="J47" s="700">
        <f>IFERROR(__xludf.DUMMYFUNCTION("""COMPUTED_VALUE"""),0.003)</f>
        <v>0.003</v>
      </c>
      <c r="K47" s="697"/>
      <c r="L47" s="697"/>
      <c r="M47" s="697"/>
      <c r="N47" s="697"/>
      <c r="O47" s="697"/>
      <c r="P47" s="697"/>
      <c r="Q47" s="697"/>
      <c r="R47" s="697"/>
      <c r="S47" s="697"/>
      <c r="T47" s="697"/>
      <c r="U47" s="697"/>
      <c r="V47" s="697"/>
      <c r="W47" s="698">
        <f>IFERROR(__xludf.DUMMYFUNCTION("""COMPUTED_VALUE"""),0.362)</f>
        <v>0.362</v>
      </c>
      <c r="X47" s="697"/>
      <c r="Y47" s="697"/>
      <c r="Z47" s="697"/>
      <c r="AA47" s="697"/>
      <c r="AB47" s="697"/>
      <c r="AC47" s="697"/>
      <c r="AD47" s="697"/>
      <c r="AE47" s="697" t="str">
        <f>IFERROR(__xludf.DUMMYFUNCTION("""COMPUTED_VALUE"""),"n/a")</f>
        <v>n/a</v>
      </c>
      <c r="AF47" s="697"/>
      <c r="AG47" s="697"/>
      <c r="AH47" s="697"/>
      <c r="AI47" s="697"/>
      <c r="AJ47" s="697"/>
      <c r="AK47" s="697"/>
      <c r="AL47" s="697"/>
      <c r="AM47" s="697"/>
      <c r="AN47" s="698">
        <f>IFERROR(__xludf.DUMMYFUNCTION("""COMPUTED_VALUE"""),0.362)</f>
        <v>0.362</v>
      </c>
      <c r="AO47" s="698">
        <f>IFERROR(__xludf.DUMMYFUNCTION("""COMPUTED_VALUE"""),0.362)</f>
        <v>0.362</v>
      </c>
      <c r="AP47" s="697" t="str">
        <f>IFERROR(__xludf.DUMMYFUNCTION("""COMPUTED_VALUE"""),"Mf reduction")</f>
        <v>Mf reduction</v>
      </c>
      <c r="AQ47" s="697" t="str">
        <f>IFERROR(__xludf.DUMMYFUNCTION("""COMPUTED_VALUE"""),"Kara region")</f>
        <v>Kara region</v>
      </c>
      <c r="AR47" s="697">
        <f>IFERROR(__xludf.DUMMYFUNCTION("""COMPUTED_VALUE"""),2005.0)</f>
        <v>2005</v>
      </c>
      <c r="AS47" s="697">
        <f>IFERROR(__xludf.DUMMYFUNCTION("""COMPUTED_VALUE"""),37.0)</f>
        <v>37</v>
      </c>
      <c r="AT47" s="697" t="str">
        <f>IFERROR(__xludf.DUMMYFUNCTION("""COMPUTED_VALUE"""),"1 year")</f>
        <v>1 year</v>
      </c>
      <c r="AU47" s="699" t="str">
        <f>IFERROR(__xludf.DUMMYFUNCTION("""COMPUTED_VALUE""")," Fendt J, Hamm DM, Banla M, Schulz-Key H, Wolf H, et al. (2005) Chemokines in onchocerciasis patients after a single dose of ivermectin. Clin Exp Immunol 142: 318–326")</f>
        <v> Fendt J, Hamm DM, Banla M, Schulz-Key H, Wolf H, et al. (2005) Chemokines in onchocerciasis patients after a single dose of ivermectin. Clin Exp Immunol 142: 318–326</v>
      </c>
      <c r="AV47" s="697" t="str">
        <f>IFERROR(__xludf.DUMMYFUNCTION("""COMPUTED_VALUE"""),"32M/5F")</f>
        <v>32M/5F</v>
      </c>
      <c r="AW47" s="697" t="str">
        <f>IFERROR(__xludf.DUMMYFUNCTION("""COMPUTED_VALUE"""),"Median age: 33; 15-60")</f>
        <v>Median age: 33; 15-60</v>
      </c>
      <c r="AX47" s="697" t="str">
        <f>IFERROR(__xludf.DUMMYFUNCTION("""COMPUTED_VALUE"""),"Inclusions: weighed over 30kg, without history of multiple allergies or drug intolerance Exclusions: pregnant, infected with Loa loa or Wucheria bancrofti, central nervous diseases, or meningitis. ")</f>
        <v>Inclusions: weighed over 30kg, without history of multiple allergies or drug intolerance Exclusions: pregnant, infected with Loa loa or Wucheria bancrofti, central nervous diseases, or meningitis. </v>
      </c>
      <c r="AY47" s="697" t="str">
        <f>IFERROR(__xludf.DUMMYFUNCTION("""COMPUTED_VALUE"""),"Yes")</f>
        <v>Yes</v>
      </c>
      <c r="AZ47" s="697" t="str">
        <f>IFERROR(__xludf.DUMMYFUNCTION("""COMPUTED_VALUE"""),"No")</f>
        <v>No</v>
      </c>
      <c r="BA47" s="697"/>
      <c r="BB47" s="697"/>
      <c r="BC47" s="697" t="str">
        <f>IFERROR(__xludf.DUMMYFUNCTION("""COMPUTED_VALUE"""),"Ivermectin treatment causes MF to dissapear from the skin within 2-3 days, but why this happens is still incompletely understood. ")</f>
        <v>Ivermectin treatment causes MF to dissapear from the skin within 2-3 days, but why this happens is still incompletely understood. </v>
      </c>
      <c r="BD47" s="697"/>
      <c r="BE47" s="697"/>
      <c r="BF47" s="697"/>
      <c r="BG47" s="697"/>
    </row>
    <row r="48">
      <c r="A48" s="697"/>
      <c r="B48" s="697" t="str">
        <f>IFERROR(__xludf.DUMMYFUNCTION("""COMPUTED_VALUE"""),"Fendt et al")</f>
        <v>Fendt et al</v>
      </c>
      <c r="C48" s="697" t="str">
        <f>IFERROR(__xludf.DUMMYFUNCTION("""COMPUTED_VALUE"""),"Togo")</f>
        <v>Togo</v>
      </c>
      <c r="D48" s="697" t="str">
        <f>IFERROR(__xludf.DUMMYFUNCTION("""COMPUTED_VALUE"""),"Ivermectin")</f>
        <v>Ivermectin</v>
      </c>
      <c r="E48" s="697" t="str">
        <f>IFERROR(__xludf.DUMMYFUNCTION("""COMPUTED_VALUE"""),"100ug/kg")</f>
        <v>100ug/kg</v>
      </c>
      <c r="F48" s="697">
        <f>IFERROR(__xludf.DUMMYFUNCTION("""COMPUTED_VALUE"""),1.0)</f>
        <v>1</v>
      </c>
      <c r="G48" s="697" t="str">
        <f>IFERROR(__xludf.DUMMYFUNCTION("""COMPUTED_VALUE"""),"100 ug/kg")</f>
        <v>100 ug/kg</v>
      </c>
      <c r="H48" s="697"/>
      <c r="I48" s="697"/>
      <c r="J48" s="700">
        <f>IFERROR(__xludf.DUMMYFUNCTION("""COMPUTED_VALUE"""),0.752)</f>
        <v>0.752</v>
      </c>
      <c r="K48" s="697"/>
      <c r="L48" s="697"/>
      <c r="M48" s="697"/>
      <c r="N48" s="697"/>
      <c r="O48" s="697"/>
      <c r="P48" s="697"/>
      <c r="Q48" s="700">
        <f>IFERROR(__xludf.DUMMYFUNCTION("""COMPUTED_VALUE"""),0.97)</f>
        <v>0.97</v>
      </c>
      <c r="R48" s="697"/>
      <c r="S48" s="700">
        <f>IFERROR(__xludf.DUMMYFUNCTION("""COMPUTED_VALUE"""),0.97)</f>
        <v>0.97</v>
      </c>
      <c r="T48" s="697"/>
      <c r="U48" s="697"/>
      <c r="V48" s="697"/>
      <c r="W48" s="700">
        <f>IFERROR(__xludf.DUMMYFUNCTION("""COMPUTED_VALUE"""),0.9)</f>
        <v>0.9</v>
      </c>
      <c r="X48" s="697"/>
      <c r="Y48" s="697"/>
      <c r="Z48" s="697"/>
      <c r="AA48" s="697"/>
      <c r="AB48" s="697"/>
      <c r="AC48" s="697"/>
      <c r="AD48" s="697"/>
      <c r="AE48" s="697" t="str">
        <f>IFERROR(__xludf.DUMMYFUNCTION("""COMPUTED_VALUE"""),"n/a")</f>
        <v>n/a</v>
      </c>
      <c r="AF48" s="697"/>
      <c r="AG48" s="697"/>
      <c r="AH48" s="697"/>
      <c r="AI48" s="697"/>
      <c r="AJ48" s="697"/>
      <c r="AK48" s="697"/>
      <c r="AL48" s="697"/>
      <c r="AM48" s="697"/>
      <c r="AN48" s="700">
        <f>IFERROR(__xludf.DUMMYFUNCTION("""COMPUTED_VALUE"""),0.97)</f>
        <v>0.97</v>
      </c>
      <c r="AO48" s="698">
        <f>IFERROR(__xludf.DUMMYFUNCTION("""COMPUTED_VALUE"""),0.97)</f>
        <v>0.97</v>
      </c>
      <c r="AP48" s="697" t="str">
        <f>IFERROR(__xludf.DUMMYFUNCTION("""COMPUTED_VALUE"""),"Mf reduction")</f>
        <v>Mf reduction</v>
      </c>
      <c r="AQ48" s="697" t="str">
        <f>IFERROR(__xludf.DUMMYFUNCTION("""COMPUTED_VALUE"""),"Kara Region")</f>
        <v>Kara Region</v>
      </c>
      <c r="AR48" s="697">
        <f>IFERROR(__xludf.DUMMYFUNCTION("""COMPUTED_VALUE"""),2005.0)</f>
        <v>2005</v>
      </c>
      <c r="AS48" s="697">
        <f>IFERROR(__xludf.DUMMYFUNCTION("""COMPUTED_VALUE"""),13.0)</f>
        <v>13</v>
      </c>
      <c r="AT48" s="697" t="str">
        <f>IFERROR(__xludf.DUMMYFUNCTION("""COMPUTED_VALUE"""),"1 year")</f>
        <v>1 year</v>
      </c>
      <c r="AU48" s="699" t="str">
        <f>IFERROR(__xludf.DUMMYFUNCTION("""COMPUTED_VALUE""")," Fendt J, Hamm DM, Banla M, Schulz-Key H, Wolf H, et al. (2005) Chemokines in onchocerciasis patients after a single dose of ivermectin. Clin Exp Immunol 142: 318–326")</f>
        <v> Fendt J, Hamm DM, Banla M, Schulz-Key H, Wolf H, et al. (2005) Chemokines in onchocerciasis patients after a single dose of ivermectin. Clin Exp Immunol 142: 318–326</v>
      </c>
      <c r="AV48" s="697" t="str">
        <f>IFERROR(__xludf.DUMMYFUNCTION("""COMPUTED_VALUE"""),"12M/1F")</f>
        <v>12M/1F</v>
      </c>
      <c r="AW48" s="697" t="str">
        <f>IFERROR(__xludf.DUMMYFUNCTION("""COMPUTED_VALUE"""),"Median age: 30; 12-46")</f>
        <v>Median age: 30; 12-46</v>
      </c>
      <c r="AX48" s="697"/>
      <c r="AY48" s="697" t="str">
        <f>IFERROR(__xludf.DUMMYFUNCTION("""COMPUTED_VALUE"""),"Yes")</f>
        <v>Yes</v>
      </c>
      <c r="AZ48" s="697" t="str">
        <f>IFERROR(__xludf.DUMMYFUNCTION("""COMPUTED_VALUE"""),"No")</f>
        <v>No</v>
      </c>
      <c r="BA48" s="697"/>
      <c r="BB48" s="697"/>
      <c r="BC48" s="697" t="str">
        <f>IFERROR(__xludf.DUMMYFUNCTION("""COMPUTED_VALUE"""),"Ivermectin treatment causes MF to dissapear from the skin within 2-3 days, but why this happens is still incompletely understood. ")</f>
        <v>Ivermectin treatment causes MF to dissapear from the skin within 2-3 days, but why this happens is still incompletely understood. </v>
      </c>
      <c r="BD48" s="697"/>
      <c r="BE48" s="697"/>
      <c r="BF48" s="697"/>
      <c r="BG48" s="697"/>
    </row>
    <row r="49">
      <c r="A49" s="697"/>
      <c r="B49" s="697" t="str">
        <f>IFERROR(__xludf.DUMMYFUNCTION("""COMPUTED_VALUE"""),"Fendt et al")</f>
        <v>Fendt et al</v>
      </c>
      <c r="C49" s="697" t="str">
        <f>IFERROR(__xludf.DUMMYFUNCTION("""COMPUTED_VALUE"""),"Togo")</f>
        <v>Togo</v>
      </c>
      <c r="D49" s="697" t="str">
        <f>IFERROR(__xludf.DUMMYFUNCTION("""COMPUTED_VALUE"""),"Ivermectin")</f>
        <v>Ivermectin</v>
      </c>
      <c r="E49" s="697" t="str">
        <f>IFERROR(__xludf.DUMMYFUNCTION("""COMPUTED_VALUE"""),"150ug/kg")</f>
        <v>150ug/kg</v>
      </c>
      <c r="F49" s="697">
        <f>IFERROR(__xludf.DUMMYFUNCTION("""COMPUTED_VALUE"""),1.0)</f>
        <v>1</v>
      </c>
      <c r="G49" s="697" t="str">
        <f>IFERROR(__xludf.DUMMYFUNCTION("""COMPUTED_VALUE"""),"150ug/kg")</f>
        <v>150ug/kg</v>
      </c>
      <c r="H49" s="697"/>
      <c r="I49" s="697"/>
      <c r="J49" s="700">
        <f>IFERROR(__xludf.DUMMYFUNCTION("""COMPUTED_VALUE"""),0.83)</f>
        <v>0.83</v>
      </c>
      <c r="K49" s="697"/>
      <c r="L49" s="697"/>
      <c r="M49" s="697"/>
      <c r="N49" s="697"/>
      <c r="O49" s="697"/>
      <c r="P49" s="697"/>
      <c r="Q49" s="700">
        <f>IFERROR(__xludf.DUMMYFUNCTION("""COMPUTED_VALUE"""),0.97)</f>
        <v>0.97</v>
      </c>
      <c r="R49" s="697"/>
      <c r="S49" s="700">
        <f>IFERROR(__xludf.DUMMYFUNCTION("""COMPUTED_VALUE"""),0.97)</f>
        <v>0.97</v>
      </c>
      <c r="T49" s="697"/>
      <c r="U49" s="697"/>
      <c r="V49" s="697"/>
      <c r="W49" s="700">
        <f>IFERROR(__xludf.DUMMYFUNCTION("""COMPUTED_VALUE"""),0.9)</f>
        <v>0.9</v>
      </c>
      <c r="X49" s="697"/>
      <c r="Y49" s="697"/>
      <c r="Z49" s="697"/>
      <c r="AA49" s="697"/>
      <c r="AB49" s="697"/>
      <c r="AC49" s="697"/>
      <c r="AD49" s="697"/>
      <c r="AE49" s="697" t="str">
        <f>IFERROR(__xludf.DUMMYFUNCTION("""COMPUTED_VALUE"""),"n/a")</f>
        <v>n/a</v>
      </c>
      <c r="AF49" s="697"/>
      <c r="AG49" s="697"/>
      <c r="AH49" s="697"/>
      <c r="AI49" s="697"/>
      <c r="AJ49" s="697"/>
      <c r="AK49" s="697"/>
      <c r="AL49" s="697"/>
      <c r="AM49" s="697"/>
      <c r="AN49" s="700">
        <f>IFERROR(__xludf.DUMMYFUNCTION("""COMPUTED_VALUE"""),0.97)</f>
        <v>0.97</v>
      </c>
      <c r="AO49" s="698">
        <f>IFERROR(__xludf.DUMMYFUNCTION("""COMPUTED_VALUE"""),0.97)</f>
        <v>0.97</v>
      </c>
      <c r="AP49" s="697" t="str">
        <f>IFERROR(__xludf.DUMMYFUNCTION("""COMPUTED_VALUE"""),"Mf reduction")</f>
        <v>Mf reduction</v>
      </c>
      <c r="AQ49" s="697" t="str">
        <f>IFERROR(__xludf.DUMMYFUNCTION("""COMPUTED_VALUE"""),"Kara Region")</f>
        <v>Kara Region</v>
      </c>
      <c r="AR49" s="697">
        <f>IFERROR(__xludf.DUMMYFUNCTION("""COMPUTED_VALUE"""),2005.0)</f>
        <v>2005</v>
      </c>
      <c r="AS49" s="697">
        <f>IFERROR(__xludf.DUMMYFUNCTION("""COMPUTED_VALUE"""),8.0)</f>
        <v>8</v>
      </c>
      <c r="AT49" s="697" t="str">
        <f>IFERROR(__xludf.DUMMYFUNCTION("""COMPUTED_VALUE"""),"1 year")</f>
        <v>1 year</v>
      </c>
      <c r="AU49" s="699" t="str">
        <f>IFERROR(__xludf.DUMMYFUNCTION("""COMPUTED_VALUE""")," Fendt J, Hamm DM, Banla M, Schulz-Key H, Wolf H, et al. (2005) Chemokines in onchocerciasis patients after a single dose of ivermectin. Clin Exp Immunol 142: 318–326")</f>
        <v> Fendt J, Hamm DM, Banla M, Schulz-Key H, Wolf H, et al. (2005) Chemokines in onchocerciasis patients after a single dose of ivermectin. Clin Exp Immunol 142: 318–326</v>
      </c>
      <c r="AV49" s="697" t="str">
        <f>IFERROR(__xludf.DUMMYFUNCTION("""COMPUTED_VALUE"""),"8M/0F")</f>
        <v>8M/0F</v>
      </c>
      <c r="AW49" s="697" t="str">
        <f>IFERROR(__xludf.DUMMYFUNCTION("""COMPUTED_VALUE"""),"Median age: 20; 15-37")</f>
        <v>Median age: 20; 15-37</v>
      </c>
      <c r="AX49" s="697"/>
      <c r="AY49" s="697" t="str">
        <f>IFERROR(__xludf.DUMMYFUNCTION("""COMPUTED_VALUE"""),"Yes")</f>
        <v>Yes</v>
      </c>
      <c r="AZ49" s="697" t="str">
        <f>IFERROR(__xludf.DUMMYFUNCTION("""COMPUTED_VALUE"""),"No")</f>
        <v>No</v>
      </c>
      <c r="BA49" s="697"/>
      <c r="BB49" s="697"/>
      <c r="BC49" s="697" t="str">
        <f>IFERROR(__xludf.DUMMYFUNCTION("""COMPUTED_VALUE"""),"Ivermectin treatment causes MF to dissapear from the skin within 2-3 days, but why this happens is still incompletely understood. ")</f>
        <v>Ivermectin treatment causes MF to dissapear from the skin within 2-3 days, but why this happens is still incompletely understood. </v>
      </c>
      <c r="BD49" s="697"/>
      <c r="BE49" s="697"/>
      <c r="BF49" s="697"/>
      <c r="BG49" s="697"/>
    </row>
    <row r="50">
      <c r="A50" s="697"/>
      <c r="B50" s="697" t="str">
        <f>IFERROR(__xludf.DUMMYFUNCTION("""COMPUTED_VALUE"""),"Fendt et al")</f>
        <v>Fendt et al</v>
      </c>
      <c r="C50" s="697" t="str">
        <f>IFERROR(__xludf.DUMMYFUNCTION("""COMPUTED_VALUE"""),"Togo")</f>
        <v>Togo</v>
      </c>
      <c r="D50" s="697" t="str">
        <f>IFERROR(__xludf.DUMMYFUNCTION("""COMPUTED_VALUE"""),"Ivermectin")</f>
        <v>Ivermectin</v>
      </c>
      <c r="E50" s="697" t="str">
        <f>IFERROR(__xludf.DUMMYFUNCTION("""COMPUTED_VALUE"""),"200ug/kg")</f>
        <v>200ug/kg</v>
      </c>
      <c r="F50" s="697">
        <f>IFERROR(__xludf.DUMMYFUNCTION("""COMPUTED_VALUE"""),1.0)</f>
        <v>1</v>
      </c>
      <c r="G50" s="697" t="str">
        <f>IFERROR(__xludf.DUMMYFUNCTION("""COMPUTED_VALUE"""),"200ug/kg")</f>
        <v>200ug/kg</v>
      </c>
      <c r="H50" s="697"/>
      <c r="I50" s="697"/>
      <c r="J50" s="700">
        <f>IFERROR(__xludf.DUMMYFUNCTION("""COMPUTED_VALUE"""),0.894)</f>
        <v>0.894</v>
      </c>
      <c r="K50" s="697"/>
      <c r="L50" s="697"/>
      <c r="M50" s="697"/>
      <c r="N50" s="697"/>
      <c r="O50" s="697"/>
      <c r="P50" s="697"/>
      <c r="Q50" s="700">
        <f>IFERROR(__xludf.DUMMYFUNCTION("""COMPUTED_VALUE"""),0.97)</f>
        <v>0.97</v>
      </c>
      <c r="R50" s="697"/>
      <c r="S50" s="700">
        <f>IFERROR(__xludf.DUMMYFUNCTION("""COMPUTED_VALUE"""),0.97)</f>
        <v>0.97</v>
      </c>
      <c r="T50" s="697"/>
      <c r="U50" s="697"/>
      <c r="V50" s="697"/>
      <c r="W50" s="700">
        <f>IFERROR(__xludf.DUMMYFUNCTION("""COMPUTED_VALUE"""),0.9)</f>
        <v>0.9</v>
      </c>
      <c r="X50" s="697"/>
      <c r="Y50" s="697"/>
      <c r="Z50" s="697"/>
      <c r="AA50" s="697"/>
      <c r="AB50" s="697"/>
      <c r="AC50" s="697"/>
      <c r="AD50" s="697"/>
      <c r="AE50" s="697" t="str">
        <f>IFERROR(__xludf.DUMMYFUNCTION("""COMPUTED_VALUE"""),"n/a")</f>
        <v>n/a</v>
      </c>
      <c r="AF50" s="697"/>
      <c r="AG50" s="697"/>
      <c r="AH50" s="697"/>
      <c r="AI50" s="697"/>
      <c r="AJ50" s="697"/>
      <c r="AK50" s="697"/>
      <c r="AL50" s="697"/>
      <c r="AM50" s="697"/>
      <c r="AN50" s="700">
        <f>IFERROR(__xludf.DUMMYFUNCTION("""COMPUTED_VALUE"""),0.97)</f>
        <v>0.97</v>
      </c>
      <c r="AO50" s="698">
        <f>IFERROR(__xludf.DUMMYFUNCTION("""COMPUTED_VALUE"""),0.97)</f>
        <v>0.97</v>
      </c>
      <c r="AP50" s="697" t="str">
        <f>IFERROR(__xludf.DUMMYFUNCTION("""COMPUTED_VALUE"""),"Mf reduction")</f>
        <v>Mf reduction</v>
      </c>
      <c r="AQ50" s="697" t="str">
        <f>IFERROR(__xludf.DUMMYFUNCTION("""COMPUTED_VALUE"""),"Kara Region")</f>
        <v>Kara Region</v>
      </c>
      <c r="AR50" s="697">
        <f>IFERROR(__xludf.DUMMYFUNCTION("""COMPUTED_VALUE"""),2005.0)</f>
        <v>2005</v>
      </c>
      <c r="AS50" s="697">
        <f>IFERROR(__xludf.DUMMYFUNCTION("""COMPUTED_VALUE"""),24.0)</f>
        <v>24</v>
      </c>
      <c r="AT50" s="697" t="str">
        <f>IFERROR(__xludf.DUMMYFUNCTION("""COMPUTED_VALUE"""),"1 year")</f>
        <v>1 year</v>
      </c>
      <c r="AU50" s="699" t="str">
        <f>IFERROR(__xludf.DUMMYFUNCTION("""COMPUTED_VALUE""")," Fendt J, Hamm DM, Banla M, Schulz-Key H, Wolf H, et al. (2005) Chemokines in onchocerciasis patients after a single dose of ivermectin. Clin Exp Immunol 142: 318–326")</f>
        <v> Fendt J, Hamm DM, Banla M, Schulz-Key H, Wolf H, et al. (2005) Chemokines in onchocerciasis patients after a single dose of ivermectin. Clin Exp Immunol 142: 318–326</v>
      </c>
      <c r="AV50" s="697" t="str">
        <f>IFERROR(__xludf.DUMMYFUNCTION("""COMPUTED_VALUE"""),"21M/3F")</f>
        <v>21M/3F</v>
      </c>
      <c r="AW50" s="697" t="str">
        <f>IFERROR(__xludf.DUMMYFUNCTION("""COMPUTED_VALUE"""),"Median age: 38; 12-52")</f>
        <v>Median age: 38; 12-52</v>
      </c>
      <c r="AX50" s="697"/>
      <c r="AY50" s="697" t="str">
        <f>IFERROR(__xludf.DUMMYFUNCTION("""COMPUTED_VALUE"""),"Yes")</f>
        <v>Yes</v>
      </c>
      <c r="AZ50" s="697" t="str">
        <f>IFERROR(__xludf.DUMMYFUNCTION("""COMPUTED_VALUE"""),"No")</f>
        <v>No</v>
      </c>
      <c r="BA50" s="697"/>
      <c r="BB50" s="697"/>
      <c r="BC50" s="697" t="str">
        <f>IFERROR(__xludf.DUMMYFUNCTION("""COMPUTED_VALUE"""),"Ivermectin treatment causes MF to dissapear from the skin within 2-3 days, but why this happens is still incompletely understood. ")</f>
        <v>Ivermectin treatment causes MF to dissapear from the skin within 2-3 days, but why this happens is still incompletely understood. </v>
      </c>
      <c r="BD50" s="697"/>
      <c r="BE50" s="697"/>
      <c r="BF50" s="697"/>
      <c r="BG50" s="697"/>
    </row>
    <row r="51" hidden="1">
      <c r="A51" s="697"/>
      <c r="B51" s="697" t="str">
        <f>IFERROR(__xludf.DUMMYFUNCTION("""COMPUTED_VALUE"""),"Ndyomugyenyi et al")</f>
        <v>Ndyomugyenyi et al</v>
      </c>
      <c r="C51" s="697" t="str">
        <f>IFERROR(__xludf.DUMMYFUNCTION("""COMPUTED_VALUE"""),"Uganda")</f>
        <v>Uganda</v>
      </c>
      <c r="D51" s="697" t="str">
        <f>IFERROR(__xludf.DUMMYFUNCTION("""COMPUTED_VALUE"""),"Ivermectin &amp; Simulium neavei elimination")</f>
        <v>Ivermectin &amp; Simulium neavei elimination</v>
      </c>
      <c r="E51" s="697" t="str">
        <f>IFERROR(__xludf.DUMMYFUNCTION("""COMPUTED_VALUE"""),"150ug/kg")</f>
        <v>150ug/kg</v>
      </c>
      <c r="F51" s="697">
        <f>IFERROR(__xludf.DUMMYFUNCTION("""COMPUTED_VALUE"""),1.0)</f>
        <v>1</v>
      </c>
      <c r="G51" s="697" t="str">
        <f>IFERROR(__xludf.DUMMYFUNCTION("""COMPUTED_VALUE"""),"150 ug/kg ")</f>
        <v>150 ug/kg </v>
      </c>
      <c r="H51" s="697"/>
      <c r="I51" s="697"/>
      <c r="J51" s="697"/>
      <c r="K51" s="697"/>
      <c r="L51" s="697"/>
      <c r="M51" s="697"/>
      <c r="N51" s="697"/>
      <c r="O51" s="697"/>
      <c r="P51" s="697"/>
      <c r="Q51" s="697"/>
      <c r="R51" s="697"/>
      <c r="S51" s="697"/>
      <c r="T51" s="697"/>
      <c r="U51" s="697"/>
      <c r="V51" s="697"/>
      <c r="W51" s="697"/>
      <c r="X51" s="697"/>
      <c r="Y51" s="697"/>
      <c r="Z51" s="697"/>
      <c r="AA51" s="697"/>
      <c r="AB51" s="697"/>
      <c r="AC51" s="697"/>
      <c r="AD51" s="698">
        <f>IFERROR(__xludf.DUMMYFUNCTION("""COMPUTED_VALUE"""),0.9162)</f>
        <v>0.9162</v>
      </c>
      <c r="AE51" s="697" t="str">
        <f>IFERROR(__xludf.DUMMYFUNCTION("""COMPUTED_VALUE"""),"n/a")</f>
        <v>n/a</v>
      </c>
      <c r="AF51" s="697"/>
      <c r="AG51" s="697"/>
      <c r="AH51" s="697"/>
      <c r="AI51" s="697"/>
      <c r="AJ51" s="697"/>
      <c r="AK51" s="697"/>
      <c r="AL51" s="697"/>
      <c r="AM51" s="697"/>
      <c r="AN51" s="698">
        <f>IFERROR(__xludf.DUMMYFUNCTION("""COMPUTED_VALUE"""),0.9162)</f>
        <v>0.9162</v>
      </c>
      <c r="AO51" s="698">
        <f>IFERROR(__xludf.DUMMYFUNCTION("""COMPUTED_VALUE"""),0.9162)</f>
        <v>0.9162</v>
      </c>
      <c r="AP51" s="697" t="str">
        <f>IFERROR(__xludf.DUMMYFUNCTION("""COMPUTED_VALUE"""),"Nodulectomy: mf reduction")</f>
        <v>Nodulectomy: mf reduction</v>
      </c>
      <c r="AQ51" s="697" t="str">
        <f>IFERROR(__xludf.DUMMYFUNCTION("""COMPUTED_VALUE"""),"Kyenjojo district")</f>
        <v>Kyenjojo district</v>
      </c>
      <c r="AR51" s="697">
        <f>IFERROR(__xludf.DUMMYFUNCTION("""COMPUTED_VALUE"""),2002.0)</f>
        <v>2002</v>
      </c>
      <c r="AS51" s="697" t="str">
        <f>IFERROR(__xludf.DUMMYFUNCTION("""COMPUTED_VALUE"""),"546 examined at start, 307 at end")</f>
        <v>546 examined at start, 307 at end</v>
      </c>
      <c r="AT51" s="697" t="str">
        <f>IFERROR(__xludf.DUMMYFUNCTION("""COMPUTED_VALUE"""),"11 years")</f>
        <v>11 years</v>
      </c>
      <c r="AU51" s="699" t="str">
        <f>IFERROR(__xludf.DUMMYFUNCTION("""COMPUTED_VALUE"""),"Ndyomugyenyi, R. (2004). ""The impact of ivermectin treatment alone and when in parallel with Simulium neavei elimination on onchocerciasis in Uganda."" Journal of Tropical Medicine and International Health 9(8): 882-6.")</f>
        <v>Ndyomugyenyi, R. (2004). "The impact of ivermectin treatment alone and when in parallel with Simulium neavei elimination on onchocerciasis in Uganda." Journal of Tropical Medicine and International Health 9(8): 882-6.</v>
      </c>
      <c r="AV51" s="697" t="str">
        <f>IFERROR(__xludf.DUMMYFUNCTION("""COMPUTED_VALUE"""),"m/f")</f>
        <v>m/f</v>
      </c>
      <c r="AW51" s="697" t="str">
        <f>IFERROR(__xludf.DUMMYFUNCTION("""COMPUTED_VALUE"""),"Age 3-87, but only 19 year olds studied")</f>
        <v>Age 3-87, but only 19 year olds studied</v>
      </c>
      <c r="AX51" s="697" t="str">
        <f>IFERROR(__xludf.DUMMYFUNCTION("""COMPUTED_VALUE"""),"Inclision: 19+, ")</f>
        <v>Inclision: 19+, </v>
      </c>
      <c r="AY51" s="697" t="str">
        <f>IFERROR(__xludf.DUMMYFUNCTION("""COMPUTED_VALUE"""),"No")</f>
        <v>No</v>
      </c>
      <c r="AZ51" s="697" t="str">
        <f>IFERROR(__xludf.DUMMYFUNCTION("""COMPUTED_VALUE"""),"No")</f>
        <v>No</v>
      </c>
      <c r="BA51" s="697"/>
      <c r="BB51" s="697"/>
      <c r="BC51" s="697" t="str">
        <f>IFERROR(__xludf.DUMMYFUNCTION("""COMPUTED_VALUE"""),"Ivermectin treatment in parallel with S. Neavei elimination significantly reduces onchocercal dermatitis, more than Ivermectin treatment alone. ")</f>
        <v>Ivermectin treatment in parallel with S. Neavei elimination significantly reduces onchocercal dermatitis, more than Ivermectin treatment alone. </v>
      </c>
      <c r="BD51" s="697"/>
      <c r="BE51" s="697"/>
      <c r="BF51" s="697"/>
      <c r="BG51" s="697" t="str">
        <f>IFERROR(__xludf.DUMMYFUNCTION("""COMPUTED_VALUE"""),"x")</f>
        <v>x</v>
      </c>
    </row>
    <row r="52" hidden="1">
      <c r="A52" s="697"/>
      <c r="B52" s="697" t="str">
        <f>IFERROR(__xludf.DUMMYFUNCTION("""COMPUTED_VALUE"""),"Ndyomugyenyi et al")</f>
        <v>Ndyomugyenyi et al</v>
      </c>
      <c r="C52" s="697" t="str">
        <f>IFERROR(__xludf.DUMMYFUNCTION("""COMPUTED_VALUE"""),"Uganda")</f>
        <v>Uganda</v>
      </c>
      <c r="D52" s="697" t="str">
        <f>IFERROR(__xludf.DUMMYFUNCTION("""COMPUTED_VALUE"""),"Ivermectin")</f>
        <v>Ivermectin</v>
      </c>
      <c r="E52" s="697" t="str">
        <f>IFERROR(__xludf.DUMMYFUNCTION("""COMPUTED_VALUE"""),"150ug/kg")</f>
        <v>150ug/kg</v>
      </c>
      <c r="F52" s="697">
        <f>IFERROR(__xludf.DUMMYFUNCTION("""COMPUTED_VALUE"""),1.0)</f>
        <v>1</v>
      </c>
      <c r="G52" s="697" t="str">
        <f>IFERROR(__xludf.DUMMYFUNCTION("""COMPUTED_VALUE"""),"150 ug/kg ")</f>
        <v>150 ug/kg </v>
      </c>
      <c r="H52" s="697"/>
      <c r="I52" s="697"/>
      <c r="J52" s="697"/>
      <c r="K52" s="697"/>
      <c r="L52" s="697"/>
      <c r="M52" s="697"/>
      <c r="N52" s="697"/>
      <c r="O52" s="697"/>
      <c r="P52" s="697"/>
      <c r="Q52" s="697"/>
      <c r="R52" s="697"/>
      <c r="S52" s="697"/>
      <c r="T52" s="697"/>
      <c r="U52" s="697"/>
      <c r="V52" s="697"/>
      <c r="W52" s="697"/>
      <c r="X52" s="697"/>
      <c r="Y52" s="697"/>
      <c r="Z52" s="697"/>
      <c r="AA52" s="697"/>
      <c r="AB52" s="697"/>
      <c r="AC52" s="697"/>
      <c r="AD52" s="698">
        <f>IFERROR(__xludf.DUMMYFUNCTION("""COMPUTED_VALUE"""),0.6589)</f>
        <v>0.6589</v>
      </c>
      <c r="AE52" s="697" t="str">
        <f>IFERROR(__xludf.DUMMYFUNCTION("""COMPUTED_VALUE"""),"n/a")</f>
        <v>n/a</v>
      </c>
      <c r="AF52" s="697"/>
      <c r="AG52" s="697"/>
      <c r="AH52" s="697"/>
      <c r="AI52" s="697"/>
      <c r="AJ52" s="697"/>
      <c r="AK52" s="697"/>
      <c r="AL52" s="697"/>
      <c r="AM52" s="697"/>
      <c r="AN52" s="698">
        <f>IFERROR(__xludf.DUMMYFUNCTION("""COMPUTED_VALUE"""),0.6589)</f>
        <v>0.6589</v>
      </c>
      <c r="AO52" s="698">
        <f>IFERROR(__xludf.DUMMYFUNCTION("""COMPUTED_VALUE"""),0.6589)</f>
        <v>0.6589</v>
      </c>
      <c r="AP52" s="697" t="str">
        <f>IFERROR(__xludf.DUMMYFUNCTION("""COMPUTED_VALUE"""),"Nodulectomy: mf reduction")</f>
        <v>Nodulectomy: mf reduction</v>
      </c>
      <c r="AQ52" s="697" t="str">
        <f>IFERROR(__xludf.DUMMYFUNCTION("""COMPUTED_VALUE"""),"Kyenjojo district")</f>
        <v>Kyenjojo district</v>
      </c>
      <c r="AR52" s="697">
        <f>IFERROR(__xludf.DUMMYFUNCTION("""COMPUTED_VALUE"""),2003.0)</f>
        <v>2003</v>
      </c>
      <c r="AS52" s="697" t="str">
        <f>IFERROR(__xludf.DUMMYFUNCTION("""COMPUTED_VALUE"""),"114 examined at start, 169 at end")</f>
        <v>114 examined at start, 169 at end</v>
      </c>
      <c r="AT52" s="697" t="str">
        <f>IFERROR(__xludf.DUMMYFUNCTION("""COMPUTED_VALUE"""),"12 years
")</f>
        <v>12 years
</v>
      </c>
      <c r="AU52" s="699" t="str">
        <f>IFERROR(__xludf.DUMMYFUNCTION("""COMPUTED_VALUE"""),"Ndyomugyenyi, R. (2004). ""The impact of ivermectin treatment alone and when in parallel with Simulium neavei elimination on onchocerciasis in Uganda."" Journal of Tropical Medicine and International Health 9(8): 882-6.")</f>
        <v>Ndyomugyenyi, R. (2004). "The impact of ivermectin treatment alone and when in parallel with Simulium neavei elimination on onchocerciasis in Uganda." Journal of Tropical Medicine and International Health 9(8): 882-6.</v>
      </c>
      <c r="AV52" s="697"/>
      <c r="AW52" s="697" t="str">
        <f>IFERROR(__xludf.DUMMYFUNCTION("""COMPUTED_VALUE"""),"Age 5-85. but only 19 year olds studied")</f>
        <v>Age 5-85. but only 19 year olds studied</v>
      </c>
      <c r="AX52" s="697"/>
      <c r="AY52" s="697" t="str">
        <f>IFERROR(__xludf.DUMMYFUNCTION("""COMPUTED_VALUE"""),"No")</f>
        <v>No</v>
      </c>
      <c r="AZ52" s="697" t="str">
        <f>IFERROR(__xludf.DUMMYFUNCTION("""COMPUTED_VALUE"""),"No")</f>
        <v>No</v>
      </c>
      <c r="BA52" s="697"/>
      <c r="BB52" s="697"/>
      <c r="BC52" s="697" t="str">
        <f>IFERROR(__xludf.DUMMYFUNCTION("""COMPUTED_VALUE"""),"Ivermectin treatment in parallel with S. Neavei elimination significantly reduces onchocercal dermatitis, more than Ivermectin treatment alone. ")</f>
        <v>Ivermectin treatment in parallel with S. Neavei elimination significantly reduces onchocercal dermatitis, more than Ivermectin treatment alone. </v>
      </c>
      <c r="BD52" s="697"/>
      <c r="BE52" s="697"/>
      <c r="BF52" s="697"/>
      <c r="BG52" s="697" t="str">
        <f>IFERROR(__xludf.DUMMYFUNCTION("""COMPUTED_VALUE"""),"x")</f>
        <v>x</v>
      </c>
    </row>
    <row r="53">
      <c r="A53" s="697"/>
      <c r="B53" s="697" t="str">
        <f>IFERROR(__xludf.DUMMYFUNCTION("""COMPUTED_VALUE"""),"Awadzi et al")</f>
        <v>Awadzi et al</v>
      </c>
      <c r="C53" s="697" t="str">
        <f>IFERROR(__xludf.DUMMYFUNCTION("""COMPUTED_VALUE"""),"Ghana")</f>
        <v>Ghana</v>
      </c>
      <c r="D53" s="697" t="str">
        <f>IFERROR(__xludf.DUMMYFUNCTION("""COMPUTED_VALUE"""),"Ivermectin &amp; Amocarzine")</f>
        <v>Ivermectin &amp; Amocarzine</v>
      </c>
      <c r="E53" s="697" t="str">
        <f>IFERROR(__xludf.DUMMYFUNCTION("""COMPUTED_VALUE"""),"150ug/kg; 3mg/kg")</f>
        <v>150ug/kg; 3mg/kg</v>
      </c>
      <c r="F53" s="697" t="str">
        <f>IFERROR(__xludf.DUMMYFUNCTION("""COMPUTED_VALUE"""),"1; 6")</f>
        <v>1; 6</v>
      </c>
      <c r="G53" s="697" t="str">
        <f>IFERROR(__xludf.DUMMYFUNCTION("""COMPUTED_VALUE"""),"150ug/kg; 18mg/kg")</f>
        <v>150ug/kg; 18mg/kg</v>
      </c>
      <c r="H53" s="697"/>
      <c r="I53" s="697"/>
      <c r="J53" s="697"/>
      <c r="K53" s="697"/>
      <c r="L53" s="698">
        <f>IFERROR(__xludf.DUMMYFUNCTION("""COMPUTED_VALUE"""),0.925)</f>
        <v>0.925</v>
      </c>
      <c r="M53" s="697"/>
      <c r="N53" s="697" t="str">
        <f>IFERROR(__xludf.DUMMYFUNCTION("""COMPUTED_VALUE"""),"92.5%%")</f>
        <v>92.5%%</v>
      </c>
      <c r="O53" s="697" t="str">
        <f>IFERROR(__xludf.DUMMYFUNCTION("""COMPUTED_VALUE"""),"99.4%%")</f>
        <v>99.4%%</v>
      </c>
      <c r="P53" s="697"/>
      <c r="Q53" s="697"/>
      <c r="R53" s="698">
        <f>IFERROR(__xludf.DUMMYFUNCTION("""COMPUTED_VALUE"""),0.983)</f>
        <v>0.983</v>
      </c>
      <c r="S53" s="697"/>
      <c r="T53" s="697"/>
      <c r="U53" s="697"/>
      <c r="V53" s="697"/>
      <c r="W53" s="697"/>
      <c r="X53" s="697"/>
      <c r="Y53" s="697"/>
      <c r="Z53" s="697"/>
      <c r="AA53" s="697"/>
      <c r="AB53" s="697"/>
      <c r="AC53" s="697"/>
      <c r="AD53" s="697"/>
      <c r="AE53" s="697"/>
      <c r="AF53" s="697"/>
      <c r="AG53" s="697"/>
      <c r="AH53" s="697"/>
      <c r="AI53" s="697"/>
      <c r="AJ53" s="697"/>
      <c r="AK53" s="697"/>
      <c r="AL53" s="697"/>
      <c r="AM53" s="697"/>
      <c r="AN53" s="698">
        <f>IFERROR(__xludf.DUMMYFUNCTION("""COMPUTED_VALUE"""),0.983)</f>
        <v>0.983</v>
      </c>
      <c r="AO53" s="698">
        <f>IFERROR(__xludf.DUMMYFUNCTION("""COMPUTED_VALUE"""),0.983)</f>
        <v>0.983</v>
      </c>
      <c r="AP53" s="697" t="str">
        <f>IFERROR(__xludf.DUMMYFUNCTION("""COMPUTED_VALUE"""),"Mf reduction")</f>
        <v>Mf reduction</v>
      </c>
      <c r="AQ53" s="697" t="str">
        <f>IFERROR(__xludf.DUMMYFUNCTION("""COMPUTED_VALUE"""),"Communities in the forest region of southern Ghana")</f>
        <v>Communities in the forest region of southern Ghana</v>
      </c>
      <c r="AR53" s="697">
        <f>IFERROR(__xludf.DUMMYFUNCTION("""COMPUTED_VALUE"""),1997.0)</f>
        <v>1997</v>
      </c>
      <c r="AS53" s="697">
        <f>IFERROR(__xludf.DUMMYFUNCTION("""COMPUTED_VALUE"""),34.0)</f>
        <v>34</v>
      </c>
      <c r="AT53" s="697" t="str">
        <f>IFERROR(__xludf.DUMMYFUNCTION("""COMPUTED_VALUE"""),"120 days")</f>
        <v>120 days</v>
      </c>
      <c r="AU53" s="699" t="str">
        <f>IFERROR(__xludf.DUMMYFUNCTION("""COMPUTED_VALUE"""),"Awadzi, K.; Opoku, N.O.; Attah, S.K.; Addy E.T. (1997) The safety and efficacy of amocarzine in African onchocerciasis and the influence of ivermectin on the clinical and parasitological response to treatment. Annals of Tropical Medicine &amp; Parasitology 91"&amp;"(3): 281-296.")</f>
        <v>Awadzi, K.; Opoku, N.O.; Attah, S.K.; Addy E.T. (1997) The safety and efficacy of amocarzine in African onchocerciasis and the influence of ivermectin on the clinical and parasitological response to treatment. Annals of Tropical Medicine &amp; Parasitology 91(3): 281-296.</v>
      </c>
      <c r="AV53" s="697" t="str">
        <f>IFERROR(__xludf.DUMMYFUNCTION("""COMPUTED_VALUE"""),"M")</f>
        <v>M</v>
      </c>
      <c r="AW53" s="697" t="str">
        <f>IFERROR(__xludf.DUMMYFUNCTION("""COMPUTED_VALUE"""),"Mean Age: 34; 18-56")</f>
        <v>Mean Age: 34; 18-56</v>
      </c>
      <c r="AX53" s="697" t="str">
        <f>IFERROR(__xludf.DUMMYFUNCTION("""COMPUTED_VALUE"""),"Volunteers with a history of central nervous system (CNS) disease or of antifilarial therapy within the previous 2 years were excluded. Other exclusion critereia were severe ocular onchocerciasis, a haemoglobin level &lt; 11 g/dl and abnormal results for lab"&amp;"oratory screening tests.")</f>
        <v>Volunteers with a history of central nervous system (CNS) disease or of antifilarial therapy within the previous 2 years were excluded. Other exclusion critereia were severe ocular onchocerciasis, a haemoglobin level &lt; 11 g/dl and abnormal results for laboratory screening tests.</v>
      </c>
      <c r="AY53" s="697" t="str">
        <f>IFERROR(__xludf.DUMMYFUNCTION("""COMPUTED_VALUE"""),"Yes")</f>
        <v>Yes</v>
      </c>
      <c r="AZ53" s="697" t="str">
        <f>IFERROR(__xludf.DUMMYFUNCTION("""COMPUTED_VALUE"""),"Yes")</f>
        <v>Yes</v>
      </c>
      <c r="BA53" s="697"/>
      <c r="BB53" s="697"/>
      <c r="BC53" s="697" t="str">
        <f>IFERROR(__xludf.DUMMYFUNCTION("""COMPUTED_VALUE"""),"Amocarzine is a less effective microfilaricide than ivermectin.")</f>
        <v>Amocarzine is a less effective microfilaricide than ivermectin.</v>
      </c>
      <c r="BD53" s="697" t="str">
        <f>IFERROR(__xludf.DUMMYFUNCTION("""COMPUTED_VALUE"""),"One patient did not attend on day 120 and was excluded from the study.")</f>
        <v>One patient did not attend on day 120 and was excluded from the study.</v>
      </c>
      <c r="BE53" s="697"/>
      <c r="BF53" s="697"/>
      <c r="BG53" s="697"/>
    </row>
    <row r="54">
      <c r="A54" s="697"/>
      <c r="B54" s="697" t="str">
        <f>IFERROR(__xludf.DUMMYFUNCTION("""COMPUTED_VALUE"""),"Awadzi et al")</f>
        <v>Awadzi et al</v>
      </c>
      <c r="C54" s="697" t="str">
        <f>IFERROR(__xludf.DUMMYFUNCTION("""COMPUTED_VALUE"""),"Ghana")</f>
        <v>Ghana</v>
      </c>
      <c r="D54" s="697" t="str">
        <f>IFERROR(__xludf.DUMMYFUNCTION("""COMPUTED_VALUE"""),"Ivermectin")</f>
        <v>Ivermectin</v>
      </c>
      <c r="E54" s="697" t="str">
        <f>IFERROR(__xludf.DUMMYFUNCTION("""COMPUTED_VALUE"""),"150ug/kg")</f>
        <v>150ug/kg</v>
      </c>
      <c r="F54" s="697">
        <f>IFERROR(__xludf.DUMMYFUNCTION("""COMPUTED_VALUE"""),1.0)</f>
        <v>1</v>
      </c>
      <c r="G54" s="697" t="str">
        <f>IFERROR(__xludf.DUMMYFUNCTION("""COMPUTED_VALUE"""),"150ug/kg")</f>
        <v>150ug/kg</v>
      </c>
      <c r="H54" s="697"/>
      <c r="I54" s="697"/>
      <c r="J54" s="697"/>
      <c r="K54" s="697"/>
      <c r="L54" s="698">
        <f>IFERROR(__xludf.DUMMYFUNCTION("""COMPUTED_VALUE"""),0.945)</f>
        <v>0.945</v>
      </c>
      <c r="M54" s="697"/>
      <c r="N54" s="698">
        <f>IFERROR(__xludf.DUMMYFUNCTION("""COMPUTED_VALUE"""),0.982)</f>
        <v>0.982</v>
      </c>
      <c r="O54" s="698">
        <f>IFERROR(__xludf.DUMMYFUNCTION("""COMPUTED_VALUE"""),0.995)</f>
        <v>0.995</v>
      </c>
      <c r="P54" s="697"/>
      <c r="Q54" s="697"/>
      <c r="R54" s="698">
        <f>IFERROR(__xludf.DUMMYFUNCTION("""COMPUTED_VALUE"""),0.982)</f>
        <v>0.982</v>
      </c>
      <c r="S54" s="697"/>
      <c r="T54" s="697"/>
      <c r="U54" s="697"/>
      <c r="V54" s="697"/>
      <c r="W54" s="697"/>
      <c r="X54" s="697"/>
      <c r="Y54" s="697"/>
      <c r="Z54" s="697"/>
      <c r="AA54" s="697"/>
      <c r="AB54" s="697"/>
      <c r="AC54" s="697"/>
      <c r="AD54" s="697"/>
      <c r="AE54" s="697"/>
      <c r="AF54" s="697"/>
      <c r="AG54" s="697"/>
      <c r="AH54" s="697"/>
      <c r="AI54" s="697"/>
      <c r="AJ54" s="697"/>
      <c r="AK54" s="697"/>
      <c r="AL54" s="697"/>
      <c r="AM54" s="697"/>
      <c r="AN54" s="698">
        <f>IFERROR(__xludf.DUMMYFUNCTION("""COMPUTED_VALUE"""),0.982)</f>
        <v>0.982</v>
      </c>
      <c r="AO54" s="698">
        <f>IFERROR(__xludf.DUMMYFUNCTION("""COMPUTED_VALUE"""),0.982)</f>
        <v>0.982</v>
      </c>
      <c r="AP54" s="697" t="str">
        <f>IFERROR(__xludf.DUMMYFUNCTION("""COMPUTED_VALUE"""),"Mf reduction")</f>
        <v>Mf reduction</v>
      </c>
      <c r="AQ54" s="697" t="str">
        <f>IFERROR(__xludf.DUMMYFUNCTION("""COMPUTED_VALUE"""),"Communities in the forest region of southern Ghana")</f>
        <v>Communities in the forest region of southern Ghana</v>
      </c>
      <c r="AR54" s="697">
        <f>IFERROR(__xludf.DUMMYFUNCTION("""COMPUTED_VALUE"""),1997.0)</f>
        <v>1997</v>
      </c>
      <c r="AS54" s="697">
        <f>IFERROR(__xludf.DUMMYFUNCTION("""COMPUTED_VALUE"""),32.0)</f>
        <v>32</v>
      </c>
      <c r="AT54" s="697" t="str">
        <f>IFERROR(__xludf.DUMMYFUNCTION("""COMPUTED_VALUE"""),"120 days")</f>
        <v>120 days</v>
      </c>
      <c r="AU54" s="699" t="str">
        <f>IFERROR(__xludf.DUMMYFUNCTION("""COMPUTED_VALUE"""),"Awadzi, K.; Opoku, N.O.; Attah, S.K.; Addy E.T. (1997) The safety and efficacy of amocarzine in African onchocerciasis and the influence of ivermectin on the clinical and parasitological response to treatment. Annals of Tropical Medicine &amp; Parasitology 91"&amp;"(3): 281-296.")</f>
        <v>Awadzi, K.; Opoku, N.O.; Attah, S.K.; Addy E.T. (1997) The safety and efficacy of amocarzine in African onchocerciasis and the influence of ivermectin on the clinical and parasitological response to treatment. Annals of Tropical Medicine &amp; Parasitology 91(3): 281-296.</v>
      </c>
      <c r="AV54" s="697" t="str">
        <f>IFERROR(__xludf.DUMMYFUNCTION("""COMPUTED_VALUE"""),"M")</f>
        <v>M</v>
      </c>
      <c r="AW54" s="697" t="str">
        <f>IFERROR(__xludf.DUMMYFUNCTION("""COMPUTED_VALUE"""),"Mean Age: 36; 18-56")</f>
        <v>Mean Age: 36; 18-56</v>
      </c>
      <c r="AX54" s="697"/>
      <c r="AY54" s="697" t="str">
        <f>IFERROR(__xludf.DUMMYFUNCTION("""COMPUTED_VALUE"""),"Yes")</f>
        <v>Yes</v>
      </c>
      <c r="AZ54" s="697" t="str">
        <f>IFERROR(__xludf.DUMMYFUNCTION("""COMPUTED_VALUE"""),"Yes")</f>
        <v>Yes</v>
      </c>
      <c r="BA54" s="697"/>
      <c r="BB54" s="697"/>
      <c r="BC54" s="697" t="str">
        <f>IFERROR(__xludf.DUMMYFUNCTION("""COMPUTED_VALUE"""),"Amocarzine is a less effective microfilaricide than ivermectin.")</f>
        <v>Amocarzine is a less effective microfilaricide than ivermectin.</v>
      </c>
      <c r="BD54" s="697" t="str">
        <f>IFERROR(__xludf.DUMMYFUNCTION("""COMPUTED_VALUE"""),"One patient did not attend on day 120 and was excluded from the study.")</f>
        <v>One patient did not attend on day 120 and was excluded from the study.</v>
      </c>
      <c r="BE54" s="697"/>
      <c r="BF54" s="697"/>
      <c r="BG54" s="697"/>
    </row>
    <row r="55">
      <c r="A55" s="697"/>
      <c r="B55" s="697" t="str">
        <f>IFERROR(__xludf.DUMMYFUNCTION("""COMPUTED_VALUE"""),"Awadzi et al")</f>
        <v>Awadzi et al</v>
      </c>
      <c r="C55" s="697" t="str">
        <f>IFERROR(__xludf.DUMMYFUNCTION("""COMPUTED_VALUE"""),"Ghana")</f>
        <v>Ghana</v>
      </c>
      <c r="D55" s="697" t="str">
        <f>IFERROR(__xludf.DUMMYFUNCTION("""COMPUTED_VALUE"""),"Amocarzine")</f>
        <v>Amocarzine</v>
      </c>
      <c r="E55" s="697" t="str">
        <f>IFERROR(__xludf.DUMMYFUNCTION("""COMPUTED_VALUE"""),"3mg/kg")</f>
        <v>3mg/kg</v>
      </c>
      <c r="F55" s="697">
        <f>IFERROR(__xludf.DUMMYFUNCTION("""COMPUTED_VALUE"""),6.0)</f>
        <v>6</v>
      </c>
      <c r="G55" s="697" t="str">
        <f>IFERROR(__xludf.DUMMYFUNCTION("""COMPUTED_VALUE"""),"18mg/kg")</f>
        <v>18mg/kg</v>
      </c>
      <c r="H55" s="697"/>
      <c r="I55" s="697"/>
      <c r="J55" s="697"/>
      <c r="K55" s="697"/>
      <c r="L55" s="697" t="str">
        <f>IFERROR(__xludf.DUMMYFUNCTION("""COMPUTED_VALUE"""),"Increase of 5.5%")</f>
        <v>Increase of 5.5%</v>
      </c>
      <c r="M55" s="697"/>
      <c r="N55" s="700">
        <f>IFERROR(__xludf.DUMMYFUNCTION("""COMPUTED_VALUE"""),0.86)</f>
        <v>0.86</v>
      </c>
      <c r="O55" s="698">
        <f>IFERROR(__xludf.DUMMYFUNCTION("""COMPUTED_VALUE"""),0.832)</f>
        <v>0.832</v>
      </c>
      <c r="P55" s="697"/>
      <c r="Q55" s="697"/>
      <c r="R55" s="698">
        <f>IFERROR(__xludf.DUMMYFUNCTION("""COMPUTED_VALUE"""),0.573)</f>
        <v>0.573</v>
      </c>
      <c r="S55" s="697"/>
      <c r="T55" s="697"/>
      <c r="U55" s="697"/>
      <c r="V55" s="697"/>
      <c r="W55" s="697"/>
      <c r="X55" s="697"/>
      <c r="Y55" s="697"/>
      <c r="Z55" s="697"/>
      <c r="AA55" s="697"/>
      <c r="AB55" s="697"/>
      <c r="AC55" s="697"/>
      <c r="AD55" s="697"/>
      <c r="AE55" s="697"/>
      <c r="AF55" s="697"/>
      <c r="AG55" s="697"/>
      <c r="AH55" s="697"/>
      <c r="AI55" s="697"/>
      <c r="AJ55" s="697"/>
      <c r="AK55" s="697"/>
      <c r="AL55" s="697"/>
      <c r="AM55" s="697"/>
      <c r="AN55" s="698">
        <f>IFERROR(__xludf.DUMMYFUNCTION("""COMPUTED_VALUE"""),0.573)</f>
        <v>0.573</v>
      </c>
      <c r="AO55" s="698">
        <f>IFERROR(__xludf.DUMMYFUNCTION("""COMPUTED_VALUE"""),0.573)</f>
        <v>0.573</v>
      </c>
      <c r="AP55" s="697" t="str">
        <f>IFERROR(__xludf.DUMMYFUNCTION("""COMPUTED_VALUE"""),"Mf reduction")</f>
        <v>Mf reduction</v>
      </c>
      <c r="AQ55" s="697" t="str">
        <f>IFERROR(__xludf.DUMMYFUNCTION("""COMPUTED_VALUE"""),"Communities in the forest region of southern Ghana")</f>
        <v>Communities in the forest region of southern Ghana</v>
      </c>
      <c r="AR55" s="697">
        <f>IFERROR(__xludf.DUMMYFUNCTION("""COMPUTED_VALUE"""),1997.0)</f>
        <v>1997</v>
      </c>
      <c r="AS55" s="697">
        <f>IFERROR(__xludf.DUMMYFUNCTION("""COMPUTED_VALUE"""),33.0)</f>
        <v>33</v>
      </c>
      <c r="AT55" s="697" t="str">
        <f>IFERROR(__xludf.DUMMYFUNCTION("""COMPUTED_VALUE"""),"120 days")</f>
        <v>120 days</v>
      </c>
      <c r="AU55" s="699" t="str">
        <f>IFERROR(__xludf.DUMMYFUNCTION("""COMPUTED_VALUE"""),"Awadzi, K.; Opoku, N.O.; Attah, S.K.; Addy E.T. (1997) The safety and efficacy of amocarzine in African onchocerciasis and the influence of ivermectin on the clinical and parasitological response to treatment. Annals of Tropical Medicine &amp; Parasitology 91"&amp;"(3): 281-296.")</f>
        <v>Awadzi, K.; Opoku, N.O.; Attah, S.K.; Addy E.T. (1997) The safety and efficacy of amocarzine in African onchocerciasis and the influence of ivermectin on the clinical and parasitological response to treatment. Annals of Tropical Medicine &amp; Parasitology 91(3): 281-296.</v>
      </c>
      <c r="AV55" s="697" t="str">
        <f>IFERROR(__xludf.DUMMYFUNCTION("""COMPUTED_VALUE"""),"M")</f>
        <v>M</v>
      </c>
      <c r="AW55" s="697" t="str">
        <f>IFERROR(__xludf.DUMMYFUNCTION("""COMPUTED_VALUE"""),"Mean Age: 35; 18-56")</f>
        <v>Mean Age: 35; 18-56</v>
      </c>
      <c r="AX55" s="697"/>
      <c r="AY55" s="697" t="str">
        <f>IFERROR(__xludf.DUMMYFUNCTION("""COMPUTED_VALUE"""),"Yes")</f>
        <v>Yes</v>
      </c>
      <c r="AZ55" s="697" t="str">
        <f>IFERROR(__xludf.DUMMYFUNCTION("""COMPUTED_VALUE"""),"Yes")</f>
        <v>Yes</v>
      </c>
      <c r="BA55" s="697"/>
      <c r="BB55" s="697"/>
      <c r="BC55" s="697" t="str">
        <f>IFERROR(__xludf.DUMMYFUNCTION("""COMPUTED_VALUE"""),"Amocarzine is a less effective microfilaricide than ivermectin.")</f>
        <v>Amocarzine is a less effective microfilaricide than ivermectin.</v>
      </c>
      <c r="BD55" s="697" t="str">
        <f>IFERROR(__xludf.DUMMYFUNCTION("""COMPUTED_VALUE"""),"One patient did not attend on day 120 and was excluded from the study.")</f>
        <v>One patient did not attend on day 120 and was excluded from the study.</v>
      </c>
      <c r="BE55" s="697"/>
      <c r="BF55" s="697"/>
      <c r="BG55" s="697"/>
    </row>
    <row r="56">
      <c r="A56" s="697"/>
      <c r="B56" s="697" t="str">
        <f>IFERROR(__xludf.DUMMYFUNCTION("""COMPUTED_VALUE"""),"Awadzi et al")</f>
        <v>Awadzi et al</v>
      </c>
      <c r="C56" s="697" t="str">
        <f>IFERROR(__xludf.DUMMYFUNCTION("""COMPUTED_VALUE"""),"Ghana")</f>
        <v>Ghana</v>
      </c>
      <c r="D56" s="697" t="str">
        <f>IFERROR(__xludf.DUMMYFUNCTION("""COMPUTED_VALUE"""),"Ivermectin")</f>
        <v>Ivermectin</v>
      </c>
      <c r="E56" s="697" t="str">
        <f>IFERROR(__xludf.DUMMYFUNCTION("""COMPUTED_VALUE"""),"200ug/kg")</f>
        <v>200ug/kg</v>
      </c>
      <c r="F56" s="697">
        <f>IFERROR(__xludf.DUMMYFUNCTION("""COMPUTED_VALUE"""),1.0)</f>
        <v>1</v>
      </c>
      <c r="G56" s="697" t="str">
        <f>IFERROR(__xludf.DUMMYFUNCTION("""COMPUTED_VALUE"""),"200 ug/kg")</f>
        <v>200 ug/kg</v>
      </c>
      <c r="H56" s="697"/>
      <c r="I56" s="697"/>
      <c r="J56" s="697"/>
      <c r="K56" s="697"/>
      <c r="L56" s="697"/>
      <c r="M56" s="697"/>
      <c r="N56" s="697"/>
      <c r="O56" s="697"/>
      <c r="P56" s="697"/>
      <c r="Q56" s="697"/>
      <c r="R56" s="697"/>
      <c r="S56" s="698">
        <f>IFERROR(__xludf.DUMMYFUNCTION("""COMPUTED_VALUE"""),0.1071)</f>
        <v>0.1071</v>
      </c>
      <c r="T56" s="697"/>
      <c r="U56" s="697"/>
      <c r="V56" s="697"/>
      <c r="W56" s="698">
        <f>IFERROR(__xludf.DUMMYFUNCTION("""COMPUTED_VALUE"""),0.934)</f>
        <v>0.934</v>
      </c>
      <c r="X56" s="697"/>
      <c r="Y56" s="697"/>
      <c r="Z56" s="697"/>
      <c r="AA56" s="697"/>
      <c r="AB56" s="697"/>
      <c r="AC56" s="697"/>
      <c r="AD56" s="697"/>
      <c r="AE56" s="697"/>
      <c r="AF56" s="697"/>
      <c r="AG56" s="697"/>
      <c r="AH56" s="697"/>
      <c r="AI56" s="697"/>
      <c r="AJ56" s="697"/>
      <c r="AK56" s="697"/>
      <c r="AL56" s="697"/>
      <c r="AM56" s="697"/>
      <c r="AN56" s="698">
        <f>IFERROR(__xludf.DUMMYFUNCTION("""COMPUTED_VALUE"""),0.1071)</f>
        <v>0.1071</v>
      </c>
      <c r="AO56" s="698">
        <f>IFERROR(__xludf.DUMMYFUNCTION("""COMPUTED_VALUE"""),0.1071)</f>
        <v>0.1071</v>
      </c>
      <c r="AP56" s="697" t="str">
        <f>IFERROR(__xludf.DUMMYFUNCTION("""COMPUTED_VALUE"""),"Mf reduction")</f>
        <v>Mf reduction</v>
      </c>
      <c r="AQ56" s="697" t="str">
        <f>IFERROR(__xludf.DUMMYFUNCTION("""COMPUTED_VALUE"""),"River Tordzi basin, south-eastern Ghana ")</f>
        <v>River Tordzi basin, south-eastern Ghana </v>
      </c>
      <c r="AR56" s="697">
        <f>IFERROR(__xludf.DUMMYFUNCTION("""COMPUTED_VALUE"""),1999.0)</f>
        <v>1999</v>
      </c>
      <c r="AS56" s="697">
        <f>IFERROR(__xludf.DUMMYFUNCTION("""COMPUTED_VALUE"""),14.0)</f>
        <v>14</v>
      </c>
      <c r="AT56" s="697" t="str">
        <f>IFERROR(__xludf.DUMMYFUNCTION("""COMPUTED_VALUE"""),"1 year")</f>
        <v>1 year</v>
      </c>
      <c r="AU56" s="699" t="str">
        <f>IFERROR(__xludf.DUMMYFUNCTION("""COMPUTED_VALUE"""),"Awadzi, K.; Edwards; G. Duke, B.O.L.; Opoku, N.O.; Attah, S.K.; Addy E.T.; Ardrey, A.E.; Quartey, B.T. (2003) The co-administration of ivermectin and albendazole-safety, pharmacokinetics, and efficacy against Onchocerca volvulus. ")</f>
        <v>Awadzi, K.; Edwards; G. Duke, B.O.L.; Opoku, N.O.; Attah, S.K.; Addy E.T.; Ardrey, A.E.; Quartey, B.T. (2003) The co-administration of ivermectin and albendazole-safety, pharmacokinetics, and efficacy against Onchocerca volvulus. </v>
      </c>
      <c r="AV56" s="697" t="str">
        <f>IFERROR(__xludf.DUMMYFUNCTION("""COMPUTED_VALUE"""),"M")</f>
        <v>M</v>
      </c>
      <c r="AW56" s="697" t="str">
        <f>IFERROR(__xludf.DUMMYFUNCTION("""COMPUTED_VALUE"""),"19-54 years old")</f>
        <v>19-54 years old</v>
      </c>
      <c r="AX56" s="697" t="str">
        <f>IFERROR(__xludf.DUMMYFUNCTION("""COMPUTED_VALUE"""),"Men were excluded because they had abnormal liver enzymes (10), fewer than 15 mV/mg skin (four) or cellulitis of the right leg (one), or refused to have their eyes examined (one)")</f>
        <v>Men were excluded because they had abnormal liver enzymes (10), fewer than 15 mV/mg skin (four) or cellulitis of the right leg (one), or refused to have their eyes examined (one)</v>
      </c>
      <c r="AY56" s="697" t="str">
        <f>IFERROR(__xludf.DUMMYFUNCTION("""COMPUTED_VALUE"""),"Yes")</f>
        <v>Yes</v>
      </c>
      <c r="AZ56" s="697" t="str">
        <f>IFERROR(__xludf.DUMMYFUNCTION("""COMPUTED_VALUE"""),"Yes")</f>
        <v>Yes</v>
      </c>
      <c r="BA56" s="697"/>
      <c r="BB56" s="697"/>
      <c r="BC56" s="697" t="str">
        <f>IFERROR(__xludf.DUMMYFUNCTION("""COMPUTED_VALUE"""),"Although the co-administration of ivermectin with albendazole appears safe, it offers no advantage over ivermectin alone in the control of onchocerciasis.")</f>
        <v>Although the co-administration of ivermectin with albendazole appears safe, it offers no advantage over ivermectin alone in the control of onchocerciasis.</v>
      </c>
      <c r="BD56" s="697"/>
      <c r="BE56" s="697"/>
      <c r="BF56" s="697"/>
      <c r="BG56" s="697"/>
    </row>
    <row r="57">
      <c r="A57" s="697"/>
      <c r="B57" s="697" t="str">
        <f>IFERROR(__xludf.DUMMYFUNCTION("""COMPUTED_VALUE"""),"Awadzi et al")</f>
        <v>Awadzi et al</v>
      </c>
      <c r="C57" s="697" t="str">
        <f>IFERROR(__xludf.DUMMYFUNCTION("""COMPUTED_VALUE"""),"Ghana")</f>
        <v>Ghana</v>
      </c>
      <c r="D57" s="697" t="str">
        <f>IFERROR(__xludf.DUMMYFUNCTION("""COMPUTED_VALUE"""),"Albendazole")</f>
        <v>Albendazole</v>
      </c>
      <c r="E57" s="697" t="str">
        <f>IFERROR(__xludf.DUMMYFUNCTION("""COMPUTED_VALUE"""),"400mg")</f>
        <v>400mg</v>
      </c>
      <c r="F57" s="697">
        <f>IFERROR(__xludf.DUMMYFUNCTION("""COMPUTED_VALUE"""),1.0)</f>
        <v>1</v>
      </c>
      <c r="G57" s="697" t="str">
        <f>IFERROR(__xludf.DUMMYFUNCTION("""COMPUTED_VALUE"""),"400 mg")</f>
        <v>400 mg</v>
      </c>
      <c r="H57" s="697"/>
      <c r="I57" s="697"/>
      <c r="J57" s="697"/>
      <c r="K57" s="698">
        <f>IFERROR(__xludf.DUMMYFUNCTION("""COMPUTED_VALUE"""),0.1938)</f>
        <v>0.1938</v>
      </c>
      <c r="L57" s="697"/>
      <c r="M57" s="697"/>
      <c r="N57" s="697"/>
      <c r="O57" s="698">
        <f>IFERROR(__xludf.DUMMYFUNCTION("""COMPUTED_VALUE"""),0.3196)</f>
        <v>0.3196</v>
      </c>
      <c r="P57" s="697"/>
      <c r="Q57" s="697"/>
      <c r="R57" s="697"/>
      <c r="S57" s="697"/>
      <c r="T57" s="697"/>
      <c r="U57" s="697"/>
      <c r="V57" s="697"/>
      <c r="W57" s="697"/>
      <c r="X57" s="697"/>
      <c r="Y57" s="697"/>
      <c r="Z57" s="697"/>
      <c r="AA57" s="697"/>
      <c r="AB57" s="697"/>
      <c r="AC57" s="697"/>
      <c r="AD57" s="697"/>
      <c r="AE57" s="697"/>
      <c r="AF57" s="697"/>
      <c r="AG57" s="697"/>
      <c r="AH57" s="697"/>
      <c r="AI57" s="697"/>
      <c r="AJ57" s="697"/>
      <c r="AK57" s="697"/>
      <c r="AL57" s="697"/>
      <c r="AM57" s="697"/>
      <c r="AN57" s="698">
        <f>IFERROR(__xludf.DUMMYFUNCTION("""COMPUTED_VALUE"""),0.3196)</f>
        <v>0.3196</v>
      </c>
      <c r="AO57" s="698">
        <f>IFERROR(__xludf.DUMMYFUNCTION("""COMPUTED_VALUE"""),0.3196)</f>
        <v>0.3196</v>
      </c>
      <c r="AP57" s="697" t="str">
        <f>IFERROR(__xludf.DUMMYFUNCTION("""COMPUTED_VALUE"""),"Mf reduction")</f>
        <v>Mf reduction</v>
      </c>
      <c r="AQ57" s="697" t="str">
        <f>IFERROR(__xludf.DUMMYFUNCTION("""COMPUTED_VALUE"""),"River Tordzi basin, south-eastern Ghana")</f>
        <v>River Tordzi basin, south-eastern Ghana</v>
      </c>
      <c r="AR57" s="697">
        <f>IFERROR(__xludf.DUMMYFUNCTION("""COMPUTED_VALUE"""),1999.0)</f>
        <v>1999</v>
      </c>
      <c r="AS57" s="697">
        <f>IFERROR(__xludf.DUMMYFUNCTION("""COMPUTED_VALUE"""),14.0)</f>
        <v>14</v>
      </c>
      <c r="AT57" s="697" t="str">
        <f>IFERROR(__xludf.DUMMYFUNCTION("""COMPUTED_VALUE"""),"1 year")</f>
        <v>1 year</v>
      </c>
      <c r="AU57" s="699" t="str">
        <f>IFERROR(__xludf.DUMMYFUNCTION("""COMPUTED_VALUE"""),"Awadzi, K.; Edwards; G. Duke, B.O.L.; Opoku, N.O.; Attah, S.K.; Addy E.T.; Ardrey, A.E.; Quartey, B.T. (2003) The co-administration of ivermectin and albendazole-safety, pharmacokinetics, and efficacy against Onchocerca volvulus. ")</f>
        <v>Awadzi, K.; Edwards; G. Duke, B.O.L.; Opoku, N.O.; Attah, S.K.; Addy E.T.; Ardrey, A.E.; Quartey, B.T. (2003) The co-administration of ivermectin and albendazole-safety, pharmacokinetics, and efficacy against Onchocerca volvulus. </v>
      </c>
      <c r="AV57" s="697" t="str">
        <f>IFERROR(__xludf.DUMMYFUNCTION("""COMPUTED_VALUE"""),"M")</f>
        <v>M</v>
      </c>
      <c r="AW57" s="697"/>
      <c r="AX57" s="697"/>
      <c r="AY57" s="697" t="str">
        <f>IFERROR(__xludf.DUMMYFUNCTION("""COMPUTED_VALUE"""),"Yes")</f>
        <v>Yes</v>
      </c>
      <c r="AZ57" s="697" t="str">
        <f>IFERROR(__xludf.DUMMYFUNCTION("""COMPUTED_VALUE"""),"Yes")</f>
        <v>Yes</v>
      </c>
      <c r="BA57" s="697"/>
      <c r="BB57" s="697"/>
      <c r="BC57" s="697" t="str">
        <f>IFERROR(__xludf.DUMMYFUNCTION("""COMPUTED_VALUE"""),"Although the co-administration of ivermectin with albendazole appears safe, it offers no advantage over ivermectin alone in the control of onchocerciasis.")</f>
        <v>Although the co-administration of ivermectin with albendazole appears safe, it offers no advantage over ivermectin alone in the control of onchocerciasis.</v>
      </c>
      <c r="BD57" s="697"/>
      <c r="BE57" s="697"/>
      <c r="BF57" s="697"/>
      <c r="BG57" s="697"/>
    </row>
    <row r="58">
      <c r="A58" s="697"/>
      <c r="B58" s="697" t="str">
        <f>IFERROR(__xludf.DUMMYFUNCTION("""COMPUTED_VALUE"""),"Awadzi et al")</f>
        <v>Awadzi et al</v>
      </c>
      <c r="C58" s="697" t="str">
        <f>IFERROR(__xludf.DUMMYFUNCTION("""COMPUTED_VALUE"""),"Ghana")</f>
        <v>Ghana</v>
      </c>
      <c r="D58" s="697" t="str">
        <f>IFERROR(__xludf.DUMMYFUNCTION("""COMPUTED_VALUE"""),"Ivermectin &amp; Albendazole")</f>
        <v>Ivermectin &amp; Albendazole</v>
      </c>
      <c r="E58" s="697" t="str">
        <f>IFERROR(__xludf.DUMMYFUNCTION("""COMPUTED_VALUE"""),"200ug/kg; 400mg")</f>
        <v>200ug/kg; 400mg</v>
      </c>
      <c r="F58" s="697">
        <f>IFERROR(__xludf.DUMMYFUNCTION("""COMPUTED_VALUE"""),1.0)</f>
        <v>1</v>
      </c>
      <c r="G58" s="697" t="str">
        <f>IFERROR(__xludf.DUMMYFUNCTION("""COMPUTED_VALUE"""),"200 ug/kg; 400 mg")</f>
        <v>200 ug/kg; 400 mg</v>
      </c>
      <c r="H58" s="697"/>
      <c r="I58" s="697"/>
      <c r="J58" s="697"/>
      <c r="K58" s="698">
        <f>IFERROR(__xludf.DUMMYFUNCTION("""COMPUTED_VALUE"""),0.822)</f>
        <v>0.822</v>
      </c>
      <c r="L58" s="697"/>
      <c r="M58" s="697"/>
      <c r="N58" s="697"/>
      <c r="O58" s="698">
        <f>IFERROR(__xludf.DUMMYFUNCTION("""COMPUTED_VALUE"""),0.9903)</f>
        <v>0.9903</v>
      </c>
      <c r="P58" s="697"/>
      <c r="Q58" s="697"/>
      <c r="R58" s="697"/>
      <c r="S58" s="698">
        <f>IFERROR(__xludf.DUMMYFUNCTION("""COMPUTED_VALUE"""),0.966)</f>
        <v>0.966</v>
      </c>
      <c r="T58" s="697"/>
      <c r="U58" s="697"/>
      <c r="V58" s="697"/>
      <c r="W58" s="698">
        <f>IFERROR(__xludf.DUMMYFUNCTION("""COMPUTED_VALUE"""),0.843)</f>
        <v>0.843</v>
      </c>
      <c r="X58" s="697"/>
      <c r="Y58" s="697"/>
      <c r="Z58" s="697"/>
      <c r="AA58" s="697"/>
      <c r="AB58" s="697"/>
      <c r="AC58" s="697"/>
      <c r="AD58" s="697"/>
      <c r="AE58" s="697"/>
      <c r="AF58" s="697"/>
      <c r="AG58" s="697"/>
      <c r="AH58" s="697"/>
      <c r="AI58" s="697"/>
      <c r="AJ58" s="697"/>
      <c r="AK58" s="697"/>
      <c r="AL58" s="697"/>
      <c r="AM58" s="697"/>
      <c r="AN58" s="698">
        <f>IFERROR(__xludf.DUMMYFUNCTION("""COMPUTED_VALUE"""),0.966)</f>
        <v>0.966</v>
      </c>
      <c r="AO58" s="698">
        <f>IFERROR(__xludf.DUMMYFUNCTION("""COMPUTED_VALUE"""),0.966)</f>
        <v>0.966</v>
      </c>
      <c r="AP58" s="697" t="str">
        <f>IFERROR(__xludf.DUMMYFUNCTION("""COMPUTED_VALUE"""),"Mf reduction")</f>
        <v>Mf reduction</v>
      </c>
      <c r="AQ58" s="697" t="str">
        <f>IFERROR(__xludf.DUMMYFUNCTION("""COMPUTED_VALUE"""),"River Tordzi basin, south-eastern Ghana")</f>
        <v>River Tordzi basin, south-eastern Ghana</v>
      </c>
      <c r="AR58" s="697">
        <f>IFERROR(__xludf.DUMMYFUNCTION("""COMPUTED_VALUE"""),1999.0)</f>
        <v>1999</v>
      </c>
      <c r="AS58" s="697">
        <f>IFERROR(__xludf.DUMMYFUNCTION("""COMPUTED_VALUE"""),14.0)</f>
        <v>14</v>
      </c>
      <c r="AT58" s="697" t="str">
        <f>IFERROR(__xludf.DUMMYFUNCTION("""COMPUTED_VALUE"""),"1 years")</f>
        <v>1 years</v>
      </c>
      <c r="AU58" s="699" t="str">
        <f>IFERROR(__xludf.DUMMYFUNCTION("""COMPUTED_VALUE"""),"Awadzi, K.; Edwards; G. Duke, B.O.L.; Opoku, N.O.; Attah, S.K.; Addy E.T.; Ardrey, A.E.; Quartey, B.T. (2003) The co-administration of ivermectin and albendazole-safety, pharmacokinetics, and efficacy against Onchocerca volvulus. ")</f>
        <v>Awadzi, K.; Edwards; G. Duke, B.O.L.; Opoku, N.O.; Attah, S.K.; Addy E.T.; Ardrey, A.E.; Quartey, B.T. (2003) The co-administration of ivermectin and albendazole-safety, pharmacokinetics, and efficacy against Onchocerca volvulus. </v>
      </c>
      <c r="AV58" s="697" t="str">
        <f>IFERROR(__xludf.DUMMYFUNCTION("""COMPUTED_VALUE"""),"M")</f>
        <v>M</v>
      </c>
      <c r="AW58" s="697"/>
      <c r="AX58" s="697"/>
      <c r="AY58" s="697" t="str">
        <f>IFERROR(__xludf.DUMMYFUNCTION("""COMPUTED_VALUE"""),"Yes")</f>
        <v>Yes</v>
      </c>
      <c r="AZ58" s="697" t="str">
        <f>IFERROR(__xludf.DUMMYFUNCTION("""COMPUTED_VALUE"""),"Yes")</f>
        <v>Yes</v>
      </c>
      <c r="BA58" s="697"/>
      <c r="BB58" s="697"/>
      <c r="BC58" s="697" t="str">
        <f>IFERROR(__xludf.DUMMYFUNCTION("""COMPUTED_VALUE"""),"Although the co-administration of ivermectin with albendazole appears safe, it offers no advantage over ivermectin alone in the control of onchocerciasis.")</f>
        <v>Although the co-administration of ivermectin with albendazole appears safe, it offers no advantage over ivermectin alone in the control of onchocerciasis.</v>
      </c>
      <c r="BD58" s="697"/>
      <c r="BE58" s="697"/>
      <c r="BF58" s="697"/>
      <c r="BG58" s="697"/>
    </row>
    <row r="59">
      <c r="A59" s="697"/>
      <c r="B59" s="697" t="str">
        <f>IFERROR(__xludf.DUMMYFUNCTION("""COMPUTED_VALUE"""),"Cline et al")</f>
        <v>Cline et al</v>
      </c>
      <c r="C59" s="697" t="str">
        <f>IFERROR(__xludf.DUMMYFUNCTION("""COMPUTED_VALUE"""),"Venezuela")</f>
        <v>Venezuela</v>
      </c>
      <c r="D59" s="697" t="str">
        <f>IFERROR(__xludf.DUMMYFUNCTION("""COMPUTED_VALUE"""),"Albendazole")</f>
        <v>Albendazole</v>
      </c>
      <c r="E59" s="697" t="str">
        <f>IFERROR(__xludf.DUMMYFUNCTION("""COMPUTED_VALUE"""),"400mg")</f>
        <v>400mg</v>
      </c>
      <c r="F59" s="697">
        <f>IFERROR(__xludf.DUMMYFUNCTION("""COMPUTED_VALUE"""),10.0)</f>
        <v>10</v>
      </c>
      <c r="G59" s="697" t="str">
        <f>IFERROR(__xludf.DUMMYFUNCTION("""COMPUTED_VALUE"""),"4000mg")</f>
        <v>4000mg</v>
      </c>
      <c r="H59" s="697"/>
      <c r="I59" s="697"/>
      <c r="J59" s="697"/>
      <c r="K59" s="697"/>
      <c r="L59" s="697"/>
      <c r="M59" s="697"/>
      <c r="N59" s="697"/>
      <c r="O59" s="697"/>
      <c r="P59" s="697"/>
      <c r="Q59" s="697"/>
      <c r="R59" s="697"/>
      <c r="S59" s="697" t="str">
        <f>IFERROR(__xludf.DUMMYFUNCTION("""COMPUTED_VALUE"""),"Increase of .5%")</f>
        <v>Increase of .5%</v>
      </c>
      <c r="T59" s="697"/>
      <c r="U59" s="697"/>
      <c r="V59" s="697"/>
      <c r="W59" s="698">
        <f>IFERROR(__xludf.DUMMYFUNCTION("""COMPUTED_VALUE"""),0.261)</f>
        <v>0.261</v>
      </c>
      <c r="X59" s="697"/>
      <c r="Y59" s="697"/>
      <c r="Z59" s="697"/>
      <c r="AA59" s="697"/>
      <c r="AB59" s="697"/>
      <c r="AC59" s="697"/>
      <c r="AD59" s="697"/>
      <c r="AE59" s="697"/>
      <c r="AF59" s="697"/>
      <c r="AG59" s="697"/>
      <c r="AH59" s="697"/>
      <c r="AI59" s="697"/>
      <c r="AJ59" s="697"/>
      <c r="AK59" s="697"/>
      <c r="AL59" s="697"/>
      <c r="AM59" s="697"/>
      <c r="AN59" s="697" t="str">
        <f>IFERROR(__xludf.DUMMYFUNCTION("""COMPUTED_VALUE"""),"Increase of .5%")</f>
        <v>Increase of .5%</v>
      </c>
      <c r="AO59" s="698">
        <f>IFERROR(__xludf.DUMMYFUNCTION("""COMPUTED_VALUE"""),0.005)</f>
        <v>0.005</v>
      </c>
      <c r="AP59" s="697" t="str">
        <f>IFERROR(__xludf.DUMMYFUNCTION("""COMPUTED_VALUE"""),"Mf reduction")</f>
        <v>Mf reduction</v>
      </c>
      <c r="AQ59" s="697" t="str">
        <f>IFERROR(__xludf.DUMMYFUNCTION("""COMPUTED_VALUE"""),"Monagas State")</f>
        <v>Monagas State</v>
      </c>
      <c r="AR59" s="697">
        <f>IFERROR(__xludf.DUMMYFUNCTION("""COMPUTED_VALUE"""),1984.0)</f>
        <v>1984</v>
      </c>
      <c r="AS59" s="697">
        <f>IFERROR(__xludf.DUMMYFUNCTION("""COMPUTED_VALUE"""),26.0)</f>
        <v>26</v>
      </c>
      <c r="AT59" s="697" t="str">
        <f>IFERROR(__xludf.DUMMYFUNCTION("""COMPUTED_VALUE"""),"1 year")</f>
        <v>1 year</v>
      </c>
      <c r="AU59" s="699" t="str">
        <f>IFERROR(__xludf.DUMMYFUNCTION("""COMPUTED_VALUE"""),"Cline, B.L.; Hernandez, J.L.; Mather, F.J.; Bartholomew, R.; Nunez de Maza, S.; Rodulfo, S.; Welborn, A.; Eberhard, M.L.; Convit, J. (1992) Albendazole in the Treatment of Onchocerciasis Double-Blind Clinical Trial in Venezuela. Am. J. Trop. Med. Hyg. 47("&amp;"4) 512-520")</f>
        <v>Cline, B.L.; Hernandez, J.L.; Mather, F.J.; Bartholomew, R.; Nunez de Maza, S.; Rodulfo, S.; Welborn, A.; Eberhard, M.L.; Convit, J. (1992) Albendazole in the Treatment of Onchocerciasis Double-Blind Clinical Trial in Venezuela. Am. J. Trop. Med. Hyg. 47(4) 512-520</v>
      </c>
      <c r="AV59" s="697" t="str">
        <f>IFERROR(__xludf.DUMMYFUNCTION("""COMPUTED_VALUE"""),"M")</f>
        <v>M</v>
      </c>
      <c r="AW59" s="697" t="str">
        <f>IFERROR(__xludf.DUMMYFUNCTION("""COMPUTED_VALUE"""),"32.5±12.9 years")</f>
        <v>32.5±12.9 years</v>
      </c>
      <c r="AX59" s="697" t="str">
        <f>IFERROR(__xludf.DUMMYFUNCTION("""COMPUTED_VALUE"""),"Exclusion criteria included severe ocular involvement with 0. vol vulus, significant acute or chronic disease, pro teinuria, microfilarial density &gt; 50 mf/mg, or receipt of any anthelmintic within 14 days; chronic heart failure.")</f>
        <v>Exclusion criteria included severe ocular involvement with 0. vol vulus, significant acute or chronic disease, pro teinuria, microfilarial density &gt; 50 mf/mg, or receipt of any anthelmintic within 14 days; chronic heart failure.</v>
      </c>
      <c r="AY59" s="697" t="str">
        <f>IFERROR(__xludf.DUMMYFUNCTION("""COMPUTED_VALUE"""),"Yes")</f>
        <v>Yes</v>
      </c>
      <c r="AZ59" s="697" t="str">
        <f>IFERROR(__xludf.DUMMYFUNCTION("""COMPUTED_VALUE"""),"Yes")</f>
        <v>Yes</v>
      </c>
      <c r="BA59" s="697"/>
      <c r="BB59" s="697"/>
      <c r="BC59" s="697" t="str">
        <f>IFERROR(__xludf.DUMMYFUNCTION("""COMPUTED_VALUE"""),"Consistent with the excellent tolerance observed, albendazole did not kill microfilariae. However, analysis of changes in microfilarial densities (mf/mg of skin) over one year showed that albendazole was active against 0. volvulus, presumably by interferi"&amp;"ng with embryogenesis. The nature, degree, and duration of this effect remain to be determined.")</f>
        <v>Consistent with the excellent tolerance observed, albendazole did not kill microfilariae. However, analysis of changes in microfilarial densities (mf/mg of skin) over one year showed that albendazole was active against 0. volvulus, presumably by interfering with embryogenesis. The nature, degree, and duration of this effect remain to be determined.</v>
      </c>
      <c r="BD59" s="697" t="str">
        <f>IFERROR(__xludf.DUMMYFUNCTION("""COMPUTED_VALUE"""),"Two men did not wish to participate because of objection to serial skin snipping, one moved out of the area.")</f>
        <v>Two men did not wish to participate because of objection to serial skin snipping, one moved out of the area.</v>
      </c>
      <c r="BE59" s="697"/>
      <c r="BF59" s="697"/>
      <c r="BG59" s="697"/>
    </row>
    <row r="60">
      <c r="A60" s="697"/>
      <c r="B60" s="697" t="str">
        <f>IFERROR(__xludf.DUMMYFUNCTION("""COMPUTED_VALUE"""),"Cline et al")</f>
        <v>Cline et al</v>
      </c>
      <c r="C60" s="697" t="str">
        <f>IFERROR(__xludf.DUMMYFUNCTION("""COMPUTED_VALUE"""),"Venezuela")</f>
        <v>Venezuela</v>
      </c>
      <c r="D60" s="697" t="str">
        <f>IFERROR(__xludf.DUMMYFUNCTION("""COMPUTED_VALUE"""),"Placebo")</f>
        <v>Placebo</v>
      </c>
      <c r="E60" s="697"/>
      <c r="F60" s="697"/>
      <c r="G60" s="697"/>
      <c r="H60" s="697"/>
      <c r="I60" s="697"/>
      <c r="J60" s="697"/>
      <c r="K60" s="697"/>
      <c r="L60" s="697"/>
      <c r="M60" s="697"/>
      <c r="N60" s="697"/>
      <c r="O60" s="697"/>
      <c r="P60" s="697"/>
      <c r="Q60" s="697"/>
      <c r="R60" s="697"/>
      <c r="S60" s="697" t="str">
        <f>IFERROR(__xludf.DUMMYFUNCTION("""COMPUTED_VALUE"""),"Increase of 19.9%")</f>
        <v>Increase of 19.9%</v>
      </c>
      <c r="T60" s="697"/>
      <c r="U60" s="697"/>
      <c r="V60" s="697"/>
      <c r="W60" s="698">
        <f>IFERROR(__xludf.DUMMYFUNCTION("""COMPUTED_VALUE"""),0.0176)</f>
        <v>0.0176</v>
      </c>
      <c r="X60" s="697"/>
      <c r="Y60" s="697"/>
      <c r="Z60" s="697"/>
      <c r="AA60" s="697"/>
      <c r="AB60" s="697"/>
      <c r="AC60" s="697"/>
      <c r="AD60" s="697"/>
      <c r="AE60" s="697"/>
      <c r="AF60" s="697"/>
      <c r="AG60" s="697"/>
      <c r="AH60" s="697"/>
      <c r="AI60" s="697"/>
      <c r="AJ60" s="697"/>
      <c r="AK60" s="697"/>
      <c r="AL60" s="697"/>
      <c r="AM60" s="697"/>
      <c r="AN60" s="697" t="str">
        <f>IFERROR(__xludf.DUMMYFUNCTION("""COMPUTED_VALUE"""),"Increase of 19.9%")</f>
        <v>Increase of 19.9%</v>
      </c>
      <c r="AO60" s="698">
        <f>IFERROR(__xludf.DUMMYFUNCTION("""COMPUTED_VALUE"""),0.199)</f>
        <v>0.199</v>
      </c>
      <c r="AP60" s="697" t="str">
        <f>IFERROR(__xludf.DUMMYFUNCTION("""COMPUTED_VALUE"""),"Mf reduction")</f>
        <v>Mf reduction</v>
      </c>
      <c r="AQ60" s="697" t="str">
        <f>IFERROR(__xludf.DUMMYFUNCTION("""COMPUTED_VALUE"""),"Monagas State")</f>
        <v>Monagas State</v>
      </c>
      <c r="AR60" s="697">
        <f>IFERROR(__xludf.DUMMYFUNCTION("""COMPUTED_VALUE"""),1984.0)</f>
        <v>1984</v>
      </c>
      <c r="AS60" s="697">
        <f>IFERROR(__xludf.DUMMYFUNCTION("""COMPUTED_VALUE"""),23.0)</f>
        <v>23</v>
      </c>
      <c r="AT60" s="697" t="str">
        <f>IFERROR(__xludf.DUMMYFUNCTION("""COMPUTED_VALUE"""),"1 year")</f>
        <v>1 year</v>
      </c>
      <c r="AU60" s="699" t="str">
        <f>IFERROR(__xludf.DUMMYFUNCTION("""COMPUTED_VALUE"""),"Cline, B.L.; Hernandez, J.L.; Mather, F.J.; Bartholomew, R.; Nunez de Maza, S.; Rodulfo, S.; Welborn, A.; Eberhard, M.L.; Convit, J. (1992) Albendazole in the Treatment of Onchocerciasis Double-Blind Clinical Trial in Venezuela. Am. J. Trop. Med. Hyg. 47("&amp;"4) 512-520")</f>
        <v>Cline, B.L.; Hernandez, J.L.; Mather, F.J.; Bartholomew, R.; Nunez de Maza, S.; Rodulfo, S.; Welborn, A.; Eberhard, M.L.; Convit, J. (1992) Albendazole in the Treatment of Onchocerciasis Double-Blind Clinical Trial in Venezuela. Am. J. Trop. Med. Hyg. 47(4) 512-520</v>
      </c>
      <c r="AV60" s="697" t="str">
        <f>IFERROR(__xludf.DUMMYFUNCTION("""COMPUTED_VALUE"""),"M")</f>
        <v>M</v>
      </c>
      <c r="AW60" s="697" t="str">
        <f>IFERROR(__xludf.DUMMYFUNCTION("""COMPUTED_VALUE"""),"38.8±13.3 years")</f>
        <v>38.8±13.3 years</v>
      </c>
      <c r="AX60" s="697"/>
      <c r="AY60" s="697" t="str">
        <f>IFERROR(__xludf.DUMMYFUNCTION("""COMPUTED_VALUE"""),"Yes")</f>
        <v>Yes</v>
      </c>
      <c r="AZ60" s="697" t="str">
        <f>IFERROR(__xludf.DUMMYFUNCTION("""COMPUTED_VALUE"""),"Yes")</f>
        <v>Yes</v>
      </c>
      <c r="BA60" s="697"/>
      <c r="BB60" s="697"/>
      <c r="BC60" s="697" t="str">
        <f>IFERROR(__xludf.DUMMYFUNCTION("""COMPUTED_VALUE"""),"Consistent with the excellent tolerance observed, albendazole did not kill microfilariae. However, analysis of changes in microfilarial densities (mf/mg of skin) over one year showed that albendazole was active against 0. volvulus, presumably by interferi"&amp;"ng with embryogenesis. The nature, degree, and duration of this effect remain to be determined.")</f>
        <v>Consistent with the excellent tolerance observed, albendazole did not kill microfilariae. However, analysis of changes in microfilarial densities (mf/mg of skin) over one year showed that albendazole was active against 0. volvulus, presumably by interfering with embryogenesis. The nature, degree, and duration of this effect remain to be determined.</v>
      </c>
      <c r="BD60" s="697" t="str">
        <f>IFERROR(__xludf.DUMMYFUNCTION("""COMPUTED_VALUE"""),"Two men did not wish to participate because of objection to serial skin snipping, one moved out of the area.")</f>
        <v>Two men did not wish to participate because of objection to serial skin snipping, one moved out of the area.</v>
      </c>
      <c r="BE60" s="697"/>
      <c r="BF60" s="697"/>
      <c r="BG60" s="697"/>
    </row>
    <row r="61">
      <c r="A61" s="697"/>
      <c r="B61" s="697" t="str">
        <f>IFERROR(__xludf.DUMMYFUNCTION("""COMPUTED_VALUE"""),"Taylor et al.")</f>
        <v>Taylor et al.</v>
      </c>
      <c r="C61" s="697" t="str">
        <f>IFERROR(__xludf.DUMMYFUNCTION("""COMPUTED_VALUE"""),"Guatemala")</f>
        <v>Guatemala</v>
      </c>
      <c r="D61" s="697" t="str">
        <f>IFERROR(__xludf.DUMMYFUNCTION("""COMPUTED_VALUE"""),"DEC lotion")</f>
        <v>DEC lotion</v>
      </c>
      <c r="E61" s="697" t="str">
        <f>IFERROR(__xludf.DUMMYFUNCTION("""COMPUTED_VALUE"""),"300mg")</f>
        <v>300mg</v>
      </c>
      <c r="F61" s="697">
        <f>IFERROR(__xludf.DUMMYFUNCTION("""COMPUTED_VALUE"""),14.0)</f>
        <v>14</v>
      </c>
      <c r="G61" s="697" t="str">
        <f>IFERROR(__xludf.DUMMYFUNCTION("""COMPUTED_VALUE"""),"4200mg")</f>
        <v>4200mg</v>
      </c>
      <c r="H61" s="697"/>
      <c r="I61" s="697"/>
      <c r="J61" s="697"/>
      <c r="K61" s="697"/>
      <c r="L61" s="697"/>
      <c r="M61" s="697"/>
      <c r="N61" s="697"/>
      <c r="O61" s="697"/>
      <c r="P61" s="697"/>
      <c r="Q61" s="698">
        <f>IFERROR(__xludf.DUMMYFUNCTION("""COMPUTED_VALUE"""),0.442)</f>
        <v>0.442</v>
      </c>
      <c r="R61" s="697"/>
      <c r="S61" s="697"/>
      <c r="T61" s="697"/>
      <c r="U61" s="697"/>
      <c r="V61" s="697"/>
      <c r="W61" s="697"/>
      <c r="X61" s="697"/>
      <c r="Y61" s="697"/>
      <c r="Z61" s="697"/>
      <c r="AA61" s="697"/>
      <c r="AB61" s="697"/>
      <c r="AC61" s="697"/>
      <c r="AD61" s="697"/>
      <c r="AE61" s="697"/>
      <c r="AF61" s="697"/>
      <c r="AG61" s="697"/>
      <c r="AH61" s="697"/>
      <c r="AI61" s="697"/>
      <c r="AJ61" s="697"/>
      <c r="AK61" s="697"/>
      <c r="AL61" s="697"/>
      <c r="AM61" s="697"/>
      <c r="AN61" s="698">
        <f>IFERROR(__xludf.DUMMYFUNCTION("""COMPUTED_VALUE"""),0.442)</f>
        <v>0.442</v>
      </c>
      <c r="AO61" s="698">
        <f>IFERROR(__xludf.DUMMYFUNCTION("""COMPUTED_VALUE"""),0.442)</f>
        <v>0.442</v>
      </c>
      <c r="AP61" s="697" t="str">
        <f>IFERROR(__xludf.DUMMYFUNCTION("""COMPUTED_VALUE"""),"Mf reduction")</f>
        <v>Mf reduction</v>
      </c>
      <c r="AQ61" s="697" t="str">
        <f>IFERROR(__xludf.DUMMYFUNCTION("""COMPUTED_VALUE"""),"Yepocapa area ")</f>
        <v>Yepocapa area </v>
      </c>
      <c r="AR61" s="697">
        <f>IFERROR(__xludf.DUMMYFUNCTION("""COMPUTED_VALUE"""),1980.0)</f>
        <v>1980</v>
      </c>
      <c r="AS61" s="697">
        <f>IFERROR(__xludf.DUMMYFUNCTION("""COMPUTED_VALUE"""),94.0)</f>
        <v>94</v>
      </c>
      <c r="AT61" s="697" t="str">
        <f>IFERROR(__xludf.DUMMYFUNCTION("""COMPUTED_VALUE"""),"8 weeks")</f>
        <v>8 weeks</v>
      </c>
      <c r="AU61" s="699" t="str">
        <f>IFERROR(__xludf.DUMMYFUNCTION("""COMPUTED_VALUE"""),"Taylor, H.R.; Langham, M.E.; de Stahl, E.M.; Figueroa, L.N.; Beltranena. (1980) Chemotherapy of Onchocerciasis: A Controlled Clinical Trial of Topical Diethylcarbamazine (DEC) in Guatamala. Tropenmed. Parasit. (31) 357-364")</f>
        <v>Taylor, H.R.; Langham, M.E.; de Stahl, E.M.; Figueroa, L.N.; Beltranena. (1980) Chemotherapy of Onchocerciasis: A Controlled Clinical Trial of Topical Diethylcarbamazine (DEC) in Guatamala. Tropenmed. Parasit. (31) 357-364</v>
      </c>
      <c r="AV61" s="697" t="str">
        <f>IFERROR(__xludf.DUMMYFUNCTION("""COMPUTED_VALUE"""),"63% M")</f>
        <v>63% M</v>
      </c>
      <c r="AW61" s="697" t="str">
        <f>IFERROR(__xludf.DUMMYFUNCTION("""COMPUTED_VALUE"""),"36±16 years")</f>
        <v>36±16 years</v>
      </c>
      <c r="AX61" s="697"/>
      <c r="AY61" s="697" t="str">
        <f>IFERROR(__xludf.DUMMYFUNCTION("""COMPUTED_VALUE"""),"Yes")</f>
        <v>Yes</v>
      </c>
      <c r="AZ61" s="697" t="str">
        <f>IFERROR(__xludf.DUMMYFUNCTION("""COMPUTED_VALUE"""),"Yes")</f>
        <v>Yes</v>
      </c>
      <c r="BA61" s="697"/>
      <c r="BB61" s="697"/>
      <c r="BC61" s="697" t="str">
        <f>IFERROR(__xludf.DUMMYFUNCTION("""COMPUTED_VALUE"""),"The decrease in mean microfilarial counts per skin snip was significantly greater in those receiving DEC lotion than those receiving placebo lotion. Although DEC lotion is effective in reducing mf counts as compared to placebo lotion, its use is associate"&amp;"d with significant side effects.")</f>
        <v>The decrease in mean microfilarial counts per skin snip was significantly greater in those receiving DEC lotion than those receiving placebo lotion. Although DEC lotion is effective in reducing mf counts as compared to placebo lotion, its use is associated with significant side effects.</v>
      </c>
      <c r="BD61" s="697"/>
      <c r="BE61" s="697"/>
      <c r="BF61" s="697"/>
      <c r="BG61" s="697"/>
    </row>
    <row r="62">
      <c r="A62" s="697"/>
      <c r="B62" s="697" t="str">
        <f>IFERROR(__xludf.DUMMYFUNCTION("""COMPUTED_VALUE"""),"Taylor et al.")</f>
        <v>Taylor et al.</v>
      </c>
      <c r="C62" s="697" t="str">
        <f>IFERROR(__xludf.DUMMYFUNCTION("""COMPUTED_VALUE"""),"Guatemala")</f>
        <v>Guatemala</v>
      </c>
      <c r="D62" s="697" t="str">
        <f>IFERROR(__xludf.DUMMYFUNCTION("""COMPUTED_VALUE"""),"Placebo lotion")</f>
        <v>Placebo lotion</v>
      </c>
      <c r="E62" s="697"/>
      <c r="F62" s="697"/>
      <c r="G62" s="697" t="str">
        <f>IFERROR(__xludf.DUMMYFUNCTION("""COMPUTED_VALUE"""),"Placebo")</f>
        <v>Placebo</v>
      </c>
      <c r="H62" s="697"/>
      <c r="I62" s="697"/>
      <c r="J62" s="697"/>
      <c r="K62" s="697"/>
      <c r="L62" s="697"/>
      <c r="M62" s="697"/>
      <c r="N62" s="697"/>
      <c r="O62" s="697"/>
      <c r="P62" s="697"/>
      <c r="Q62" s="698">
        <f>IFERROR(__xludf.DUMMYFUNCTION("""COMPUTED_VALUE"""),0.1278)</f>
        <v>0.1278</v>
      </c>
      <c r="R62" s="697"/>
      <c r="S62" s="697"/>
      <c r="T62" s="697"/>
      <c r="U62" s="697"/>
      <c r="V62" s="697"/>
      <c r="W62" s="697"/>
      <c r="X62" s="697"/>
      <c r="Y62" s="697"/>
      <c r="Z62" s="697"/>
      <c r="AA62" s="697"/>
      <c r="AB62" s="697"/>
      <c r="AC62" s="697"/>
      <c r="AD62" s="697"/>
      <c r="AE62" s="697"/>
      <c r="AF62" s="697"/>
      <c r="AG62" s="697"/>
      <c r="AH62" s="697"/>
      <c r="AI62" s="697"/>
      <c r="AJ62" s="697"/>
      <c r="AK62" s="697"/>
      <c r="AL62" s="697"/>
      <c r="AM62" s="697"/>
      <c r="AN62" s="698">
        <f>IFERROR(__xludf.DUMMYFUNCTION("""COMPUTED_VALUE"""),0.1278)</f>
        <v>0.1278</v>
      </c>
      <c r="AO62" s="698">
        <f>IFERROR(__xludf.DUMMYFUNCTION("""COMPUTED_VALUE"""),0.1278)</f>
        <v>0.1278</v>
      </c>
      <c r="AP62" s="697" t="str">
        <f>IFERROR(__xludf.DUMMYFUNCTION("""COMPUTED_VALUE"""),"Mf reduction")</f>
        <v>Mf reduction</v>
      </c>
      <c r="AQ62" s="697" t="str">
        <f>IFERROR(__xludf.DUMMYFUNCTION("""COMPUTED_VALUE"""),"Yepocapa area")</f>
        <v>Yepocapa area</v>
      </c>
      <c r="AR62" s="697">
        <f>IFERROR(__xludf.DUMMYFUNCTION("""COMPUTED_VALUE"""),1980.0)</f>
        <v>1980</v>
      </c>
      <c r="AS62" s="697">
        <f>IFERROR(__xludf.DUMMYFUNCTION("""COMPUTED_VALUE"""),93.0)</f>
        <v>93</v>
      </c>
      <c r="AT62" s="697" t="str">
        <f>IFERROR(__xludf.DUMMYFUNCTION("""COMPUTED_VALUE"""),"8 weeks")</f>
        <v>8 weeks</v>
      </c>
      <c r="AU62" s="699" t="str">
        <f>IFERROR(__xludf.DUMMYFUNCTION("""COMPUTED_VALUE"""),"Taylor, H.R.; Langham, M.E.; de Stahl, E.M.; Figueroa, L.N.; Beltranena. (1980) Chemotherapy of Onchocerciasis: A Controlled Clinical Trial of Topical Diethylcarbamazine (DEC) in Guatamala. Tropenmed. Parasit. (31) 357-364")</f>
        <v>Taylor, H.R.; Langham, M.E.; de Stahl, E.M.; Figueroa, L.N.; Beltranena. (1980) Chemotherapy of Onchocerciasis: A Controlled Clinical Trial of Topical Diethylcarbamazine (DEC) in Guatamala. Tropenmed. Parasit. (31) 357-364</v>
      </c>
      <c r="AV62" s="697" t="str">
        <f>IFERROR(__xludf.DUMMYFUNCTION("""COMPUTED_VALUE"""),"68% M")</f>
        <v>68% M</v>
      </c>
      <c r="AW62" s="697"/>
      <c r="AX62" s="697"/>
      <c r="AY62" s="697" t="str">
        <f>IFERROR(__xludf.DUMMYFUNCTION("""COMPUTED_VALUE"""),"Yes")</f>
        <v>Yes</v>
      </c>
      <c r="AZ62" s="697" t="str">
        <f>IFERROR(__xludf.DUMMYFUNCTION("""COMPUTED_VALUE"""),"Yes")</f>
        <v>Yes</v>
      </c>
      <c r="BA62" s="697"/>
      <c r="BB62" s="697"/>
      <c r="BC62" s="697" t="str">
        <f>IFERROR(__xludf.DUMMYFUNCTION("""COMPUTED_VALUE"""),"The decrease in mean microfilarial counts per skin snip was significantly greater in those receiving DEC lotion than those receiving placebo lotion. Although DEC lotion is effective in reducing mf counts as compared to placebo lotion, its use is associate"&amp;"d with significant side effects.")</f>
        <v>The decrease in mean microfilarial counts per skin snip was significantly greater in those receiving DEC lotion than those receiving placebo lotion. Although DEC lotion is effective in reducing mf counts as compared to placebo lotion, its use is associated with significant side effects.</v>
      </c>
      <c r="BD62" s="697"/>
      <c r="BE62" s="697"/>
      <c r="BF62" s="697"/>
      <c r="BG62" s="697"/>
    </row>
    <row r="63">
      <c r="A63" s="697"/>
      <c r="B63" s="697" t="str">
        <f>IFERROR(__xludf.DUMMYFUNCTION("""COMPUTED_VALUE"""),"Taylor, Greene, &amp; Langham")</f>
        <v>Taylor, Greene, &amp; Langham</v>
      </c>
      <c r="C63" s="697" t="str">
        <f>IFERROR(__xludf.DUMMYFUNCTION("""COMPUTED_VALUE"""),"Liberia")</f>
        <v>Liberia</v>
      </c>
      <c r="D63" s="697" t="str">
        <f>IFERROR(__xludf.DUMMYFUNCTION("""COMPUTED_VALUE"""),"DEC Oral")</f>
        <v>DEC Oral</v>
      </c>
      <c r="E63" s="697" t="str">
        <f>IFERROR(__xludf.DUMMYFUNCTION("""COMPUTED_VALUE"""),"50mg")</f>
        <v>50mg</v>
      </c>
      <c r="F63" s="697">
        <f>IFERROR(__xludf.DUMMYFUNCTION("""COMPUTED_VALUE"""),116.0)</f>
        <v>116</v>
      </c>
      <c r="G63" s="697" t="str">
        <f>IFERROR(__xludf.DUMMYFUNCTION("""COMPUTED_VALUE"""),"5800mg")</f>
        <v>5800mg</v>
      </c>
      <c r="H63" s="697"/>
      <c r="I63" s="697"/>
      <c r="J63" s="697"/>
      <c r="K63" s="697"/>
      <c r="L63" s="697"/>
      <c r="M63" s="697"/>
      <c r="N63" s="697"/>
      <c r="O63" s="697"/>
      <c r="P63" s="697"/>
      <c r="Q63" s="697"/>
      <c r="R63" s="697"/>
      <c r="S63" s="698">
        <f>IFERROR(__xludf.DUMMYFUNCTION("""COMPUTED_VALUE"""),0.957)</f>
        <v>0.957</v>
      </c>
      <c r="T63" s="697"/>
      <c r="U63" s="697"/>
      <c r="V63" s="697"/>
      <c r="W63" s="697"/>
      <c r="X63" s="697"/>
      <c r="Y63" s="697"/>
      <c r="Z63" s="697"/>
      <c r="AA63" s="697"/>
      <c r="AB63" s="697"/>
      <c r="AC63" s="697"/>
      <c r="AD63" s="697"/>
      <c r="AE63" s="697" t="str">
        <f>IFERROR(__xludf.DUMMYFUNCTION("""COMPUTED_VALUE"""),"n/a")</f>
        <v>n/a</v>
      </c>
      <c r="AF63" s="697"/>
      <c r="AG63" s="697"/>
      <c r="AH63" s="697"/>
      <c r="AI63" s="697"/>
      <c r="AJ63" s="697"/>
      <c r="AK63" s="697"/>
      <c r="AL63" s="697"/>
      <c r="AM63" s="697"/>
      <c r="AN63" s="698">
        <f>IFERROR(__xludf.DUMMYFUNCTION("""COMPUTED_VALUE"""),0.957)</f>
        <v>0.957</v>
      </c>
      <c r="AO63" s="698">
        <f>IFERROR(__xludf.DUMMYFUNCTION("""COMPUTED_VALUE"""),0.957)</f>
        <v>0.957</v>
      </c>
      <c r="AP63" s="697" t="str">
        <f>IFERROR(__xludf.DUMMYFUNCTION("""COMPUTED_VALUE"""),"Mf reduction")</f>
        <v>Mf reduction</v>
      </c>
      <c r="AQ63" s="697" t="str">
        <f>IFERROR(__xludf.DUMMYFUNCTION("""COMPUTED_VALUE"""),"Harbel, Liberia ")</f>
        <v>Harbel, Liberia </v>
      </c>
      <c r="AR63" s="697">
        <f>IFERROR(__xludf.DUMMYFUNCTION("""COMPUTED_VALUE"""),1980.0)</f>
        <v>1980</v>
      </c>
      <c r="AS63" s="697">
        <f>IFERROR(__xludf.DUMMYFUNCTION("""COMPUTED_VALUE"""),10.0)</f>
        <v>10</v>
      </c>
      <c r="AT63" s="697" t="str">
        <f>IFERROR(__xludf.DUMMYFUNCTION("""COMPUTED_VALUE"""),"6 months")</f>
        <v>6 months</v>
      </c>
      <c r="AU63" s="699" t="str">
        <f>IFERROR(__xludf.DUMMYFUNCTION("""COMPUTED_VALUE"""),"Taylor, H.R., Greene, B.M, Langham, M.E. (1980) Controlled Clinical Trial of Oral and Topical Diethylcarbamazine in Treatment of Onchocerciasis. The Lancet Ltd.")</f>
        <v>Taylor, H.R., Greene, B.M, Langham, M.E. (1980) Controlled Clinical Trial of Oral and Topical Diethylcarbamazine in Treatment of Onchocerciasis. The Lancet Ltd.</v>
      </c>
      <c r="AV63" s="697" t="str">
        <f>IFERROR(__xludf.DUMMYFUNCTION("""COMPUTED_VALUE"""),"M")</f>
        <v>M</v>
      </c>
      <c r="AW63" s="697" t="str">
        <f>IFERROR(__xludf.DUMMYFUNCTION("""COMPUTED_VALUE"""),"37±14 years")</f>
        <v>37±14 years</v>
      </c>
      <c r="AX63" s="697"/>
      <c r="AY63" s="697" t="str">
        <f>IFERROR(__xludf.DUMMYFUNCTION("""COMPUTED_VALUE"""),"Yes")</f>
        <v>Yes</v>
      </c>
      <c r="AZ63" s="697" t="str">
        <f>IFERROR(__xludf.DUMMYFUNCTION("""COMPUTED_VALUE"""),"Yes")</f>
        <v>Yes</v>
      </c>
      <c r="BA63" s="697"/>
      <c r="BB63" s="697"/>
      <c r="BC63" s="697" t="str">
        <f>IFERROR(__xludf.DUMMYFUNCTION("""COMPUTED_VALUE"""),"Mean microfilarial skin-snip counts fell in both groups during therapy (see accompanying figure). However, the count in the tablet group fell more rapidly and to a lower level.")</f>
        <v>Mean microfilarial skin-snip counts fell in both groups during therapy (see accompanying figure). However, the count in the tablet group fell more rapidly and to a lower level.</v>
      </c>
      <c r="BD63" s="697"/>
      <c r="BE63" s="697"/>
      <c r="BF63" s="697"/>
      <c r="BG63" s="697"/>
    </row>
    <row r="64">
      <c r="A64" s="697"/>
      <c r="B64" s="697" t="str">
        <f>IFERROR(__xludf.DUMMYFUNCTION("""COMPUTED_VALUE"""),"Taylor, Greene, &amp; Langham")</f>
        <v>Taylor, Greene, &amp; Langham</v>
      </c>
      <c r="C64" s="697" t="str">
        <f>IFERROR(__xludf.DUMMYFUNCTION("""COMPUTED_VALUE"""),"Liberia")</f>
        <v>Liberia</v>
      </c>
      <c r="D64" s="697" t="str">
        <f>IFERROR(__xludf.DUMMYFUNCTION("""COMPUTED_VALUE"""),"DEC Topical")</f>
        <v>DEC Topical</v>
      </c>
      <c r="E64" s="697" t="str">
        <f>IFERROR(__xludf.DUMMYFUNCTION("""COMPUTED_VALUE"""),"300mg")</f>
        <v>300mg</v>
      </c>
      <c r="F64" s="697">
        <f>IFERROR(__xludf.DUMMYFUNCTION("""COMPUTED_VALUE"""),24.0)</f>
        <v>24</v>
      </c>
      <c r="G64" s="697" t="str">
        <f>IFERROR(__xludf.DUMMYFUNCTION("""COMPUTED_VALUE"""),"7200mg")</f>
        <v>7200mg</v>
      </c>
      <c r="H64" s="697"/>
      <c r="I64" s="697"/>
      <c r="J64" s="697"/>
      <c r="K64" s="697"/>
      <c r="L64" s="697"/>
      <c r="M64" s="697"/>
      <c r="N64" s="697"/>
      <c r="O64" s="697"/>
      <c r="P64" s="697"/>
      <c r="Q64" s="697"/>
      <c r="R64" s="697"/>
      <c r="S64" s="698">
        <f>IFERROR(__xludf.DUMMYFUNCTION("""COMPUTED_VALUE"""),0.967)</f>
        <v>0.967</v>
      </c>
      <c r="T64" s="697"/>
      <c r="U64" s="697"/>
      <c r="V64" s="697"/>
      <c r="W64" s="697"/>
      <c r="X64" s="697"/>
      <c r="Y64" s="697"/>
      <c r="Z64" s="697"/>
      <c r="AA64" s="697"/>
      <c r="AB64" s="697"/>
      <c r="AC64" s="697"/>
      <c r="AD64" s="697"/>
      <c r="AE64" s="697" t="str">
        <f>IFERROR(__xludf.DUMMYFUNCTION("""COMPUTED_VALUE"""),"n/a")</f>
        <v>n/a</v>
      </c>
      <c r="AF64" s="697"/>
      <c r="AG64" s="697"/>
      <c r="AH64" s="697"/>
      <c r="AI64" s="697"/>
      <c r="AJ64" s="697"/>
      <c r="AK64" s="697"/>
      <c r="AL64" s="697"/>
      <c r="AM64" s="697"/>
      <c r="AN64" s="698">
        <f>IFERROR(__xludf.DUMMYFUNCTION("""COMPUTED_VALUE"""),0.967)</f>
        <v>0.967</v>
      </c>
      <c r="AO64" s="698">
        <f>IFERROR(__xludf.DUMMYFUNCTION("""COMPUTED_VALUE"""),0.967)</f>
        <v>0.967</v>
      </c>
      <c r="AP64" s="697" t="str">
        <f>IFERROR(__xludf.DUMMYFUNCTION("""COMPUTED_VALUE"""),"Mf reduction")</f>
        <v>Mf reduction</v>
      </c>
      <c r="AQ64" s="697" t="str">
        <f>IFERROR(__xludf.DUMMYFUNCTION("""COMPUTED_VALUE"""),"Harbel, Liberia ")</f>
        <v>Harbel, Liberia </v>
      </c>
      <c r="AR64" s="697">
        <f>IFERROR(__xludf.DUMMYFUNCTION("""COMPUTED_VALUE"""),1980.0)</f>
        <v>1980</v>
      </c>
      <c r="AS64" s="697">
        <f>IFERROR(__xludf.DUMMYFUNCTION("""COMPUTED_VALUE"""),10.0)</f>
        <v>10</v>
      </c>
      <c r="AT64" s="697" t="str">
        <f>IFERROR(__xludf.DUMMYFUNCTION("""COMPUTED_VALUE"""),"6 months")</f>
        <v>6 months</v>
      </c>
      <c r="AU64" s="699" t="str">
        <f>IFERROR(__xludf.DUMMYFUNCTION("""COMPUTED_VALUE"""),"Taylor, H.R., Greene, B.M, Langham, M.E. (1980) Controlled Clinical Trial of Oral and Topical Diethylcarbamazine in Treatment of Onchocerciasis. The Lancet Ltd.")</f>
        <v>Taylor, H.R., Greene, B.M, Langham, M.E. (1980) Controlled Clinical Trial of Oral and Topical Diethylcarbamazine in Treatment of Onchocerciasis. The Lancet Ltd.</v>
      </c>
      <c r="AV64" s="697" t="str">
        <f>IFERROR(__xludf.DUMMYFUNCTION("""COMPUTED_VALUE"""),"M")</f>
        <v>M</v>
      </c>
      <c r="AW64" s="697" t="str">
        <f>IFERROR(__xludf.DUMMYFUNCTION("""COMPUTED_VALUE"""),"40 ±11 years")</f>
        <v>40 ±11 years</v>
      </c>
      <c r="AX64" s="697"/>
      <c r="AY64" s="697" t="str">
        <f>IFERROR(__xludf.DUMMYFUNCTION("""COMPUTED_VALUE"""),"Yes")</f>
        <v>Yes</v>
      </c>
      <c r="AZ64" s="697" t="str">
        <f>IFERROR(__xludf.DUMMYFUNCTION("""COMPUTED_VALUE"""),"Yes")</f>
        <v>Yes</v>
      </c>
      <c r="BA64" s="697"/>
      <c r="BB64" s="697"/>
      <c r="BC64" s="697" t="str">
        <f>IFERROR(__xludf.DUMMYFUNCTION("""COMPUTED_VALUE"""),"Mean microfilarial skin-snip counts fell in both groups during therapy (see accompanying figure). However, the count in the tablet group fell more rapidly and to a lower level.")</f>
        <v>Mean microfilarial skin-snip counts fell in both groups during therapy (see accompanying figure). However, the count in the tablet group fell more rapidly and to a lower level.</v>
      </c>
      <c r="BD64" s="697"/>
      <c r="BE64" s="697"/>
      <c r="BF64" s="697"/>
      <c r="BG64" s="697"/>
    </row>
    <row r="65" hidden="1">
      <c r="A65" s="697"/>
      <c r="B65" s="697" t="str">
        <f>IFERROR(__xludf.DUMMYFUNCTION("""COMPUTED_VALUE"""),"Opoku et al.")</f>
        <v>Opoku et al.</v>
      </c>
      <c r="C65" s="697" t="str">
        <f>IFERROR(__xludf.DUMMYFUNCTION("""COMPUTED_VALUE"""),"Liberia, Ghana, and the Democratic Republic of the Congo")</f>
        <v>Liberia, Ghana, and the Democratic Republic of the Congo</v>
      </c>
      <c r="D65" s="697" t="str">
        <f>IFERROR(__xludf.DUMMYFUNCTION("""COMPUTED_VALUE"""),"Moxidectin")</f>
        <v>Moxidectin</v>
      </c>
      <c r="E65" s="697" t="str">
        <f>IFERROR(__xludf.DUMMYFUNCTION("""COMPUTED_VALUE"""),"8mg")</f>
        <v>8mg</v>
      </c>
      <c r="F65" s="697">
        <f>IFERROR(__xludf.DUMMYFUNCTION("""COMPUTED_VALUE"""),1.0)</f>
        <v>1</v>
      </c>
      <c r="G65" s="697" t="str">
        <f>IFERROR(__xludf.DUMMYFUNCTION("""COMPUTED_VALUE"""),"8 mg")</f>
        <v>8 mg</v>
      </c>
      <c r="H65" s="697"/>
      <c r="I65" s="697"/>
      <c r="J65" s="697"/>
      <c r="K65" s="697"/>
      <c r="L65" s="697"/>
      <c r="M65" s="697"/>
      <c r="N65" s="697"/>
      <c r="O65" s="698">
        <f>IFERROR(__xludf.DUMMYFUNCTION("""COMPUTED_VALUE"""),0.933)</f>
        <v>0.933</v>
      </c>
      <c r="P65" s="697"/>
      <c r="Q65" s="697"/>
      <c r="R65" s="697"/>
      <c r="S65" s="700">
        <f>IFERROR(__xludf.DUMMYFUNCTION("""COMPUTED_VALUE"""),0.95)</f>
        <v>0.95</v>
      </c>
      <c r="T65" s="697"/>
      <c r="U65" s="697"/>
      <c r="V65" s="697"/>
      <c r="W65" s="698">
        <f>IFERROR(__xludf.DUMMYFUNCTION("""COMPUTED_VALUE"""),0.647)</f>
        <v>0.647</v>
      </c>
      <c r="X65" s="698">
        <f>IFERROR(__xludf.DUMMYFUNCTION("""COMPUTED_VALUE"""),0.383)</f>
        <v>0.383</v>
      </c>
      <c r="Y65" s="697"/>
      <c r="Z65" s="697"/>
      <c r="AA65" s="697"/>
      <c r="AB65" s="697"/>
      <c r="AC65" s="697"/>
      <c r="AD65" s="697"/>
      <c r="AE65" s="697"/>
      <c r="AF65" s="697"/>
      <c r="AG65" s="697"/>
      <c r="AH65" s="697"/>
      <c r="AI65" s="697"/>
      <c r="AJ65" s="697"/>
      <c r="AK65" s="697"/>
      <c r="AL65" s="697"/>
      <c r="AM65" s="697"/>
      <c r="AN65" s="700">
        <f>IFERROR(__xludf.DUMMYFUNCTION("""COMPUTED_VALUE"""),0.95)</f>
        <v>0.95</v>
      </c>
      <c r="AO65" s="698">
        <f>IFERROR(__xludf.DUMMYFUNCTION("""COMPUTED_VALUE"""),0.95)</f>
        <v>0.95</v>
      </c>
      <c r="AP65" s="697" t="str">
        <f>IFERROR(__xludf.DUMMYFUNCTION("""COMPUTED_VALUE"""),"Mf reduction")</f>
        <v>Mf reduction</v>
      </c>
      <c r="AQ65" s="697" t="str">
        <f>IFERROR(__xludf.DUMMYFUNCTION("""COMPUTED_VALUE"""),"Onchocerciasis Chemotherapy Research Centre, Hohoe, Ghana;
")</f>
        <v>Onchocerciasis Chemotherapy Research Centre, Hohoe, Ghana;
</v>
      </c>
      <c r="AR65" s="697">
        <f>IFERROR(__xludf.DUMMYFUNCTION("""COMPUTED_VALUE"""),2013.0)</f>
        <v>2013</v>
      </c>
      <c r="AS65" s="702" t="str">
        <f>IFERROR(__xludf.DUMMYFUNCTION("""COMPUTED_VALUE"""),"1472; 96.6% ")</f>
        <v>1472; 96.6% </v>
      </c>
      <c r="AT65" s="697" t="str">
        <f>IFERROR(__xludf.DUMMYFUNCTION("""COMPUTED_VALUE"""),"18 months ")</f>
        <v>18 months </v>
      </c>
      <c r="AU65" s="699" t="str">
        <f>IFERROR(__xludf.DUMMYFUNCTION("""COMPUTED_VALUE"""),"Opoku, N.; Bakajika, D.; Kanza, E.; Howard, H.; Attah, S.K.; Tchatchu, J.P.L.; Kataliko, K.; Kpawor, M.; Vaillant, M.; Halleux, C.M.; Olliaro, P.L.; Kuesel, A.C. (2013) Efficacy of a single oral dose of 8 mg Moxidectin vs. 150 ug/kg ivermectin in ochocerc"&amp;"a volvulus infection: results of a randomized, double-blind single dose phase 3 study in areas without mass treatment with ivermectin in Liberia, Ghana and DRC. Tropical Medicine and International Health 18(1): 52-107")</f>
        <v>Opoku, N.; Bakajika, D.; Kanza, E.; Howard, H.; Attah, S.K.; Tchatchu, J.P.L.; Kataliko, K.; Kpawor, M.; Vaillant, M.; Halleux, C.M.; Olliaro, P.L.; Kuesel, A.C. (2013) Efficacy of a single oral dose of 8 mg Moxidectin vs. 150 ug/kg ivermectin in ochocerca volvulus infection: results of a randomized, double-blind single dose phase 3 study in areas without mass treatment with ivermectin in Liberia, Ghana and DRC. Tropical Medicine and International Health 18(1): 52-107</v>
      </c>
      <c r="AV65" s="697" t="str">
        <f>IFERROR(__xludf.DUMMYFUNCTION("""COMPUTED_VALUE"""),"978 Males and 494 Females ")</f>
        <v>978 Males and 494 Females </v>
      </c>
      <c r="AW65" s="697" t="str">
        <f>IFERROR(__xludf.DUMMYFUNCTION("""COMPUTED_VALUE"""),"≥12 years old")</f>
        <v>≥12 years old</v>
      </c>
      <c r="AX65" s="697" t="str">
        <f>IFERROR(__xludf.DUMMYFUNCTION("""COMPUTED_VALUE"""),"≥12 years with ≥10 microfilaria/mg skin (mf/mg)")</f>
        <v>≥12 years with ≥10 microfilaria/mg skin (mf/mg)</v>
      </c>
      <c r="AY65" s="697" t="str">
        <f>IFERROR(__xludf.DUMMYFUNCTION("""COMPUTED_VALUE"""),"Yes")</f>
        <v>Yes</v>
      </c>
      <c r="AZ65" s="697" t="str">
        <f>IFERROR(__xludf.DUMMYFUNCTION("""COMPUTED_VALUE"""),"Yes")</f>
        <v>Yes</v>
      </c>
      <c r="BA65" s="697"/>
      <c r="BB65" s="697"/>
      <c r="BC65" s="697" t="str">
        <f>IFERROR(__xludf.DUMMYFUNCTION("""COMPUTED_VALUE"""),"The average reduction in mf levels during 1 year post treatment (moxidectin 95.0 ± 1.9, ivermectin 84.4 ± 15.4, P &lt; 0.0001) evaluated relative to the transmission model by Duerr et al. suggests that the higher efficacy of moxidectin would increase the thr"&amp;"eshold biting rate and allow elimination of onchocerciasis with mass treatment alone in areas where the model suggests this is not possible with ivermectin.")</f>
        <v>The average reduction in mf levels during 1 year post treatment (moxidectin 95.0 ± 1.9, ivermectin 84.4 ± 15.4, P &lt; 0.0001) evaluated relative to the transmission model by Duerr et al. suggests that the higher efficacy of moxidectin would increase the threshold biting rate and allow elimination of onchocerciasis with mass treatment alone in areas where the model suggests this is not possible with ivermectin.</v>
      </c>
      <c r="BD65" s="697"/>
      <c r="BE65" s="697"/>
      <c r="BF65" s="697"/>
      <c r="BG65" s="697" t="str">
        <f>IFERROR(__xludf.DUMMYFUNCTION("""COMPUTED_VALUE"""),"x")</f>
        <v>x</v>
      </c>
    </row>
    <row r="66" hidden="1">
      <c r="A66" s="697"/>
      <c r="B66" s="697" t="str">
        <f>IFERROR(__xludf.DUMMYFUNCTION("""COMPUTED_VALUE"""),"Opoku et al.")</f>
        <v>Opoku et al.</v>
      </c>
      <c r="C66" s="697" t="str">
        <f>IFERROR(__xludf.DUMMYFUNCTION("""COMPUTED_VALUE"""),"Liberia, Ghana, and the Democratic Republic of the Congo")</f>
        <v>Liberia, Ghana, and the Democratic Republic of the Congo</v>
      </c>
      <c r="D66" s="697" t="str">
        <f>IFERROR(__xludf.DUMMYFUNCTION("""COMPUTED_VALUE"""),"Ivermectin")</f>
        <v>Ivermectin</v>
      </c>
      <c r="E66" s="697" t="str">
        <f>IFERROR(__xludf.DUMMYFUNCTION("""COMPUTED_VALUE"""),"150ug/kg")</f>
        <v>150ug/kg</v>
      </c>
      <c r="F66" s="697">
        <f>IFERROR(__xludf.DUMMYFUNCTION("""COMPUTED_VALUE"""),1.0)</f>
        <v>1</v>
      </c>
      <c r="G66" s="697" t="str">
        <f>IFERROR(__xludf.DUMMYFUNCTION("""COMPUTED_VALUE"""),"150 ug/kg ")</f>
        <v>150 ug/kg </v>
      </c>
      <c r="H66" s="697"/>
      <c r="I66" s="697"/>
      <c r="J66" s="697"/>
      <c r="K66" s="697"/>
      <c r="L66" s="697"/>
      <c r="M66" s="697"/>
      <c r="N66" s="697"/>
      <c r="O66" s="698">
        <f>IFERROR(__xludf.DUMMYFUNCTION("""COMPUTED_VALUE"""),0.483)</f>
        <v>0.483</v>
      </c>
      <c r="P66" s="697"/>
      <c r="Q66" s="697"/>
      <c r="R66" s="697"/>
      <c r="S66" s="698">
        <f>IFERROR(__xludf.DUMMYFUNCTION("""COMPUTED_VALUE"""),0.181)</f>
        <v>0.181</v>
      </c>
      <c r="T66" s="697"/>
      <c r="U66" s="697"/>
      <c r="V66" s="697"/>
      <c r="W66" s="698">
        <f>IFERROR(__xludf.DUMMYFUNCTION("""COMPUTED_VALUE"""),0.087)</f>
        <v>0.087</v>
      </c>
      <c r="X66" s="698">
        <f>IFERROR(__xludf.DUMMYFUNCTION("""COMPUTED_VALUE"""),0.034)</f>
        <v>0.034</v>
      </c>
      <c r="Y66" s="697"/>
      <c r="Z66" s="697"/>
      <c r="AA66" s="697"/>
      <c r="AB66" s="697"/>
      <c r="AC66" s="697"/>
      <c r="AD66" s="697"/>
      <c r="AE66" s="697"/>
      <c r="AF66" s="697"/>
      <c r="AG66" s="697"/>
      <c r="AH66" s="697"/>
      <c r="AI66" s="697"/>
      <c r="AJ66" s="697"/>
      <c r="AK66" s="697"/>
      <c r="AL66" s="697"/>
      <c r="AM66" s="697"/>
      <c r="AN66" s="698">
        <f>IFERROR(__xludf.DUMMYFUNCTION("""COMPUTED_VALUE"""),0.181)</f>
        <v>0.181</v>
      </c>
      <c r="AO66" s="698">
        <f>IFERROR(__xludf.DUMMYFUNCTION("""COMPUTED_VALUE"""),0.181)</f>
        <v>0.181</v>
      </c>
      <c r="AP66" s="697" t="str">
        <f>IFERROR(__xludf.DUMMYFUNCTION("""COMPUTED_VALUE"""),"Mf reduction")</f>
        <v>Mf reduction</v>
      </c>
      <c r="AQ66" s="697" t="str">
        <f>IFERROR(__xludf.DUMMYFUNCTION("""COMPUTED_VALUE"""),"Onchocerciasis Chemotherapy Research Centre, Hohoe, Ghana;
")</f>
        <v>Onchocerciasis Chemotherapy Research Centre, Hohoe, Ghana;
</v>
      </c>
      <c r="AR66" s="697">
        <f>IFERROR(__xludf.DUMMYFUNCTION("""COMPUTED_VALUE"""),2013.0)</f>
        <v>2013</v>
      </c>
      <c r="AS66" s="702" t="str">
        <f>IFERROR(__xludf.DUMMYFUNCTION("""COMPUTED_VALUE"""),"1472; 97.2% ")</f>
        <v>1472; 97.2% </v>
      </c>
      <c r="AT66" s="697" t="str">
        <f>IFERROR(__xludf.DUMMYFUNCTION("""COMPUTED_VALUE"""),"18 months")</f>
        <v>18 months</v>
      </c>
      <c r="AU66" s="699" t="str">
        <f>IFERROR(__xludf.DUMMYFUNCTION("""COMPUTED_VALUE"""),"Opoku, N.; Bakajika, D.; Kanza, E.; Howard, H.; Attah, S.K.; Tchatchu, J.P.L.; Kataliko, K.; Kpawor, M.; Vaillant, M.; Halleux, C.M.; Olliaro, P.L.; Kuesel, A.C. (2013) Efficacy of a single oral dose of 8 mg Moxidectin vs. 150 ug/kg ivermectin in ochocerc"&amp;"a volvulus infection: results of a randomized, double-blind single dose phase 3 study in areas without mass treatment with ivermectin in Liberia, Ghana and DRC. Tropical Medicine and International Health 18(1): 52-107")</f>
        <v>Opoku, N.; Bakajika, D.; Kanza, E.; Howard, H.; Attah, S.K.; Tchatchu, J.P.L.; Kataliko, K.; Kpawor, M.; Vaillant, M.; Halleux, C.M.; Olliaro, P.L.; Kuesel, A.C. (2013) Efficacy of a single oral dose of 8 mg Moxidectin vs. 150 ug/kg ivermectin in ochocerca volvulus infection: results of a randomized, double-blind single dose phase 3 study in areas without mass treatment with ivermectin in Liberia, Ghana and DRC. Tropical Medicine and International Health 18(1): 52-107</v>
      </c>
      <c r="AV66" s="697" t="str">
        <f>IFERROR(__xludf.DUMMYFUNCTION("""COMPUTED_VALUE"""),"978 Males and 494 Females")</f>
        <v>978 Males and 494 Females</v>
      </c>
      <c r="AW66" s="697" t="str">
        <f>IFERROR(__xludf.DUMMYFUNCTION("""COMPUTED_VALUE"""),"≥12 years old")</f>
        <v>≥12 years old</v>
      </c>
      <c r="AX66" s="697" t="str">
        <f>IFERROR(__xludf.DUMMYFUNCTION("""COMPUTED_VALUE"""),"≥12 years with ≥10 microfilaria/mg skin (mf/mg)")</f>
        <v>≥12 years with ≥10 microfilaria/mg skin (mf/mg)</v>
      </c>
      <c r="AY66" s="697" t="str">
        <f>IFERROR(__xludf.DUMMYFUNCTION("""COMPUTED_VALUE"""),"Yes")</f>
        <v>Yes</v>
      </c>
      <c r="AZ66" s="697" t="str">
        <f>IFERROR(__xludf.DUMMYFUNCTION("""COMPUTED_VALUE"""),"Yes")</f>
        <v>Yes</v>
      </c>
      <c r="BA66" s="697"/>
      <c r="BB66" s="697"/>
      <c r="BC66" s="697" t="str">
        <f>IFERROR(__xludf.DUMMYFUNCTION("""COMPUTED_VALUE"""),"The average reduction in mf levels during 1 year post treatment (moxidectin 95.0 ± 1.9, ivermectin 84.4 ± 15.4, P &lt; 0.0001) evaluated relative to the transmission model by Duerr et al. suggests that the higher efficacy of moxidectin would increase the thr"&amp;"eshold biting rate and allow elimination of onchocerciasis with mass treatment alone in areas where the model suggests this is not possible with ivermectin.")</f>
        <v>The average reduction in mf levels during 1 year post treatment (moxidectin 95.0 ± 1.9, ivermectin 84.4 ± 15.4, P &lt; 0.0001) evaluated relative to the transmission model by Duerr et al. suggests that the higher efficacy of moxidectin would increase the threshold biting rate and allow elimination of onchocerciasis with mass treatment alone in areas where the model suggests this is not possible with ivermectin.</v>
      </c>
      <c r="BD66" s="697"/>
      <c r="BE66" s="697"/>
      <c r="BF66" s="697"/>
      <c r="BG66" s="697" t="str">
        <f>IFERROR(__xludf.DUMMYFUNCTION("""COMPUTED_VALUE"""),"x")</f>
        <v>x</v>
      </c>
    </row>
    <row r="67">
      <c r="A67" s="697"/>
      <c r="B67" s="697" t="str">
        <f>IFERROR(__xludf.DUMMYFUNCTION("""COMPUTED_VALUE"""),"Awadzi et al.")</f>
        <v>Awadzi et al.</v>
      </c>
      <c r="C67" s="697" t="str">
        <f>IFERROR(__xludf.DUMMYFUNCTION("""COMPUTED_VALUE"""),"Ghana")</f>
        <v>Ghana</v>
      </c>
      <c r="D67" s="697" t="str">
        <f>IFERROR(__xludf.DUMMYFUNCTION("""COMPUTED_VALUE"""),"Ivermectin")</f>
        <v>Ivermectin</v>
      </c>
      <c r="E67" s="697" t="str">
        <f>IFERROR(__xludf.DUMMYFUNCTION("""COMPUTED_VALUE"""),"150ug/kg")</f>
        <v>150ug/kg</v>
      </c>
      <c r="F67" s="697">
        <f>IFERROR(__xludf.DUMMYFUNCTION("""COMPUTED_VALUE"""),1.0)</f>
        <v>1</v>
      </c>
      <c r="G67" s="697" t="str">
        <f>IFERROR(__xludf.DUMMYFUNCTION("""COMPUTED_VALUE"""),"150 ug/kg; control")</f>
        <v>150 ug/kg; control</v>
      </c>
      <c r="H67" s="697"/>
      <c r="I67" s="697"/>
      <c r="J67" s="697"/>
      <c r="K67" s="697"/>
      <c r="L67" s="697"/>
      <c r="M67" s="697"/>
      <c r="N67" s="697"/>
      <c r="O67" s="698">
        <f>IFERROR(__xludf.DUMMYFUNCTION("""COMPUTED_VALUE"""),0.997)</f>
        <v>0.997</v>
      </c>
      <c r="P67" s="697"/>
      <c r="Q67" s="698">
        <f>IFERROR(__xludf.DUMMYFUNCTION("""COMPUTED_VALUE"""),0.997)</f>
        <v>0.997</v>
      </c>
      <c r="R67" s="697"/>
      <c r="S67" s="698">
        <f>IFERROR(__xludf.DUMMYFUNCTION("""COMPUTED_VALUE"""),0.979)</f>
        <v>0.979</v>
      </c>
      <c r="T67" s="697"/>
      <c r="U67" s="697"/>
      <c r="V67" s="697"/>
      <c r="W67" s="698">
        <f>IFERROR(__xludf.DUMMYFUNCTION("""COMPUTED_VALUE"""),0.935)</f>
        <v>0.935</v>
      </c>
      <c r="X67" s="697"/>
      <c r="Y67" s="697"/>
      <c r="Z67" s="697"/>
      <c r="AA67" s="697"/>
      <c r="AB67" s="697"/>
      <c r="AC67" s="697"/>
      <c r="AD67" s="697"/>
      <c r="AE67" s="697"/>
      <c r="AF67" s="697"/>
      <c r="AG67" s="697"/>
      <c r="AH67" s="697"/>
      <c r="AI67" s="697"/>
      <c r="AJ67" s="697"/>
      <c r="AK67" s="697"/>
      <c r="AL67" s="697"/>
      <c r="AM67" s="697"/>
      <c r="AN67" s="698">
        <f>IFERROR(__xludf.DUMMYFUNCTION("""COMPUTED_VALUE"""),0.979)</f>
        <v>0.979</v>
      </c>
      <c r="AO67" s="698">
        <f>IFERROR(__xludf.DUMMYFUNCTION("""COMPUTED_VALUE"""),0.979)</f>
        <v>0.979</v>
      </c>
      <c r="AP67" s="697" t="str">
        <f>IFERROR(__xludf.DUMMYFUNCTION("""COMPUTED_VALUE"""),"Mf reduction")</f>
        <v>Mf reduction</v>
      </c>
      <c r="AQ67" s="697" t="str">
        <f>IFERROR(__xludf.DUMMYFUNCTION("""COMPUTED_VALUE"""),"Onchocerciasis Chemotherapy Research Center (OCRC) at Hohoe (Ghana)")</f>
        <v>Onchocerciasis Chemotherapy Research Center (OCRC) at Hohoe (Ghana)</v>
      </c>
      <c r="AR67" s="697">
        <f>IFERROR(__xludf.DUMMYFUNCTION("""COMPUTED_VALUE"""),1995.0)</f>
        <v>1995</v>
      </c>
      <c r="AS67" s="697">
        <f>IFERROR(__xludf.DUMMYFUNCTION("""COMPUTED_VALUE"""),15.0)</f>
        <v>15</v>
      </c>
      <c r="AT67" s="697" t="str">
        <f>IFERROR(__xludf.DUMMYFUNCTION("""COMPUTED_VALUE"""),"1 year")</f>
        <v>1 year</v>
      </c>
      <c r="AU67" s="699" t="str">
        <f>IFERROR(__xludf.DUMMYFUNCTION("""COMPUTED_VALUE"""),"Awadzi, K.; Attah, S.K.; Addy, E.T.; Opoku, N.O., Quartey, B.T. (1999) The effects of high-dose ivermectin on Onchocerca volvulus in onchocerciasis patients. Transactions of the Royal Society of Tropical Medicine and Hygiene 93: 189-194")</f>
        <v>Awadzi, K.; Attah, S.K.; Addy, E.T.; Opoku, N.O., Quartey, B.T. (1999) The effects of high-dose ivermectin on Onchocerca volvulus in onchocerciasis patients. Transactions of the Royal Society of Tropical Medicine and Hygiene 93: 189-194</v>
      </c>
      <c r="AV67" s="697" t="str">
        <f>IFERROR(__xludf.DUMMYFUNCTION("""COMPUTED_VALUE"""),"M")</f>
        <v>M</v>
      </c>
      <c r="AW67" s="697"/>
      <c r="AX67" s="697"/>
      <c r="AY67" s="697" t="str">
        <f>IFERROR(__xludf.DUMMYFUNCTION("""COMPUTED_VALUE"""),"Yes")</f>
        <v>Yes</v>
      </c>
      <c r="AZ67" s="697" t="str">
        <f>IFERROR(__xludf.DUMMYFUNCTION("""COMPUTED_VALUE"""),"Yes")</f>
        <v>Yes</v>
      </c>
      <c r="BA67" s="697"/>
      <c r="BB67" s="697"/>
      <c r="BC67" s="697" t="str">
        <f>IFERROR(__xludf.DUMMYFUNCTION("""COMPUTED_VALUE"""),"Total doses of ivermectin up to 1600 ug/kg were not significantly more effective than 150 ug/kg. Moreover, they did not produce the marked inhibitory effects of the repeat standard-dose regimens on embryogenesis, nor the modest effect on adult worm viabil"&amp;"ity, at comparable total doses. Repeated high-dose regimens are unlikely to be more effective than a similar number of 150 ug/kg doses.
")</f>
        <v>Total doses of ivermectin up to 1600 ug/kg were not significantly more effective than 150 ug/kg. Moreover, they did not produce the marked inhibitory effects of the repeat standard-dose regimens on embryogenesis, nor the modest effect on adult worm viability, at comparable total doses. Repeated high-dose regimens are unlikely to be more effective than a similar number of 150 ug/kg doses.
</v>
      </c>
      <c r="BD67" s="697" t="str">
        <f>IFERROR(__xludf.DUMMYFUNCTION("""COMPUTED_VALUE"""),"One patient could not be traced after the day 180 follow-up and was eliminated from the study.")</f>
        <v>One patient could not be traced after the day 180 follow-up and was eliminated from the study.</v>
      </c>
      <c r="BE67" s="697"/>
      <c r="BF67" s="697"/>
      <c r="BG67" s="697"/>
    </row>
    <row r="68">
      <c r="A68" s="697"/>
      <c r="B68" s="697" t="str">
        <f>IFERROR(__xludf.DUMMYFUNCTION("""COMPUTED_VALUE"""),"Awadzi et al.")</f>
        <v>Awadzi et al.</v>
      </c>
      <c r="C68" s="697" t="str">
        <f>IFERROR(__xludf.DUMMYFUNCTION("""COMPUTED_VALUE"""),"Ghana")</f>
        <v>Ghana</v>
      </c>
      <c r="D68" s="697" t="str">
        <f>IFERROR(__xludf.DUMMYFUNCTION("""COMPUTED_VALUE"""),"Ivermectin")</f>
        <v>Ivermectin</v>
      </c>
      <c r="E68" s="697" t="str">
        <f>IFERROR(__xludf.DUMMYFUNCTION("""COMPUTED_VALUE"""),"400ug/kg, 150ug/kg")</f>
        <v>400ug/kg, 150ug/kg</v>
      </c>
      <c r="F68" s="697" t="str">
        <f>IFERROR(__xludf.DUMMYFUNCTION("""COMPUTED_VALUE"""),"1,1")</f>
        <v>1,1</v>
      </c>
      <c r="G68" s="697" t="str">
        <f>IFERROR(__xludf.DUMMYFUNCTION("""COMPUTED_VALUE"""),"550ug/kg")</f>
        <v>550ug/kg</v>
      </c>
      <c r="H68" s="697"/>
      <c r="I68" s="697"/>
      <c r="J68" s="697"/>
      <c r="K68" s="697"/>
      <c r="L68" s="697"/>
      <c r="M68" s="697"/>
      <c r="N68" s="697"/>
      <c r="O68" s="698">
        <f>IFERROR(__xludf.DUMMYFUNCTION("""COMPUTED_VALUE"""),0.999)</f>
        <v>0.999</v>
      </c>
      <c r="P68" s="697"/>
      <c r="Q68" s="698">
        <f>IFERROR(__xludf.DUMMYFUNCTION("""COMPUTED_VALUE"""),0.999)</f>
        <v>0.999</v>
      </c>
      <c r="R68" s="697"/>
      <c r="S68" s="698">
        <f>IFERROR(__xludf.DUMMYFUNCTION("""COMPUTED_VALUE"""),0.985)</f>
        <v>0.985</v>
      </c>
      <c r="T68" s="697"/>
      <c r="U68" s="697"/>
      <c r="V68" s="697"/>
      <c r="W68" s="698">
        <f>IFERROR(__xludf.DUMMYFUNCTION("""COMPUTED_VALUE"""),0.964)</f>
        <v>0.964</v>
      </c>
      <c r="X68" s="697"/>
      <c r="Y68" s="697"/>
      <c r="Z68" s="697"/>
      <c r="AA68" s="697"/>
      <c r="AB68" s="697"/>
      <c r="AC68" s="697"/>
      <c r="AD68" s="697"/>
      <c r="AE68" s="697"/>
      <c r="AF68" s="697"/>
      <c r="AG68" s="697"/>
      <c r="AH68" s="697"/>
      <c r="AI68" s="697"/>
      <c r="AJ68" s="697"/>
      <c r="AK68" s="697"/>
      <c r="AL68" s="697"/>
      <c r="AM68" s="697"/>
      <c r="AN68" s="698">
        <f>IFERROR(__xludf.DUMMYFUNCTION("""COMPUTED_VALUE"""),0.985)</f>
        <v>0.985</v>
      </c>
      <c r="AO68" s="698">
        <f>IFERROR(__xludf.DUMMYFUNCTION("""COMPUTED_VALUE"""),0.985)</f>
        <v>0.985</v>
      </c>
      <c r="AP68" s="697" t="str">
        <f>IFERROR(__xludf.DUMMYFUNCTION("""COMPUTED_VALUE"""),"Mf reduction")</f>
        <v>Mf reduction</v>
      </c>
      <c r="AQ68" s="697" t="str">
        <f>IFERROR(__xludf.DUMMYFUNCTION("""COMPUTED_VALUE"""),"Onchocerciasis Chemotherapy Research Center (OCRC) at Hohoe (Ghana)")</f>
        <v>Onchocerciasis Chemotherapy Research Center (OCRC) at Hohoe (Ghana)</v>
      </c>
      <c r="AR68" s="697">
        <f>IFERROR(__xludf.DUMMYFUNCTION("""COMPUTED_VALUE"""),1995.0)</f>
        <v>1995</v>
      </c>
      <c r="AS68" s="697">
        <f>IFERROR(__xludf.DUMMYFUNCTION("""COMPUTED_VALUE"""),25.0)</f>
        <v>25</v>
      </c>
      <c r="AT68" s="697" t="str">
        <f>IFERROR(__xludf.DUMMYFUNCTION("""COMPUTED_VALUE"""),"1 year")</f>
        <v>1 year</v>
      </c>
      <c r="AU68" s="699" t="str">
        <f>IFERROR(__xludf.DUMMYFUNCTION("""COMPUTED_VALUE"""),"Awadzi, K.; Attah, S.K.; Addy, E.T.; Opoku, N.O., Quartey, B.T. (1999) The effects of high-dose ivermectin on Onchocerca volvulus in onchocerciasis patients. Transactions of the Royal Society of Tropical Medicine and Hygiene 93: 189-194")</f>
        <v>Awadzi, K.; Attah, S.K.; Addy, E.T.; Opoku, N.O., Quartey, B.T. (1999) The effects of high-dose ivermectin on Onchocerca volvulus in onchocerciasis patients. Transactions of the Royal Society of Tropical Medicine and Hygiene 93: 189-194</v>
      </c>
      <c r="AV68" s="697" t="str">
        <f>IFERROR(__xludf.DUMMYFUNCTION("""COMPUTED_VALUE"""),"M")</f>
        <v>M</v>
      </c>
      <c r="AW68" s="697"/>
      <c r="AX68" s="697"/>
      <c r="AY68" s="697" t="str">
        <f>IFERROR(__xludf.DUMMYFUNCTION("""COMPUTED_VALUE"""),"Yes")</f>
        <v>Yes</v>
      </c>
      <c r="AZ68" s="697" t="str">
        <f>IFERROR(__xludf.DUMMYFUNCTION("""COMPUTED_VALUE"""),"Yes")</f>
        <v>Yes</v>
      </c>
      <c r="BA68" s="697"/>
      <c r="BB68" s="697"/>
      <c r="BC68" s="697" t="str">
        <f>IFERROR(__xludf.DUMMYFUNCTION("""COMPUTED_VALUE"""),"Total doses of ivermectin up to 1600 ug/kg were not significantly more effective than 150 ug/kg. Moreover, they did not produce the marked inhibitory effects of the repeat standard-dose regimens on embryogenesis, nor the modest effect on adult worm viabil"&amp;"ity, at comparable total doses. Repeated high-dose regimens are unlikely to be more effective than a similar number of 150 ug/kg doses.
")</f>
        <v>Total doses of ivermectin up to 1600 ug/kg were not significantly more effective than 150 ug/kg. Moreover, they did not produce the marked inhibitory effects of the repeat standard-dose regimens on embryogenesis, nor the modest effect on adult worm viability, at comparable total doses. Repeated high-dose regimens are unlikely to be more effective than a similar number of 150 ug/kg doses.
</v>
      </c>
      <c r="BD68" s="697" t="str">
        <f>IFERROR(__xludf.DUMMYFUNCTION("""COMPUTED_VALUE"""),"One patient could not be traced after the day 180 follow-up and was eliminated from the study.")</f>
        <v>One patient could not be traced after the day 180 follow-up and was eliminated from the study.</v>
      </c>
      <c r="BE68" s="697"/>
      <c r="BF68" s="697"/>
      <c r="BG68" s="697"/>
    </row>
    <row r="69">
      <c r="A69" s="697"/>
      <c r="B69" s="697" t="str">
        <f>IFERROR(__xludf.DUMMYFUNCTION("""COMPUTED_VALUE"""),"Awadzi et al.")</f>
        <v>Awadzi et al.</v>
      </c>
      <c r="C69" s="697" t="str">
        <f>IFERROR(__xludf.DUMMYFUNCTION("""COMPUTED_VALUE"""),"Ghana")</f>
        <v>Ghana</v>
      </c>
      <c r="D69" s="697" t="str">
        <f>IFERROR(__xludf.DUMMYFUNCTION("""COMPUTED_VALUE"""),"Ivermectin")</f>
        <v>Ivermectin</v>
      </c>
      <c r="E69" s="697" t="str">
        <f>IFERROR(__xludf.DUMMYFUNCTION("""COMPUTED_VALUE"""),"600ug/kg, 150ug/kg")</f>
        <v>600ug/kg, 150ug/kg</v>
      </c>
      <c r="F69" s="697" t="str">
        <f>IFERROR(__xludf.DUMMYFUNCTION("""COMPUTED_VALUE"""),"1,1")</f>
        <v>1,1</v>
      </c>
      <c r="G69" s="697" t="str">
        <f>IFERROR(__xludf.DUMMYFUNCTION("""COMPUTED_VALUE"""),"750ug/kg")</f>
        <v>750ug/kg</v>
      </c>
      <c r="H69" s="697"/>
      <c r="I69" s="697"/>
      <c r="J69" s="697"/>
      <c r="K69" s="697"/>
      <c r="L69" s="697"/>
      <c r="M69" s="697"/>
      <c r="N69" s="697"/>
      <c r="O69" s="698">
        <f>IFERROR(__xludf.DUMMYFUNCTION("""COMPUTED_VALUE"""),0.999)</f>
        <v>0.999</v>
      </c>
      <c r="P69" s="697"/>
      <c r="Q69" s="698">
        <f>IFERROR(__xludf.DUMMYFUNCTION("""COMPUTED_VALUE"""),0.999)</f>
        <v>0.999</v>
      </c>
      <c r="R69" s="697"/>
      <c r="S69" s="698">
        <f>IFERROR(__xludf.DUMMYFUNCTION("""COMPUTED_VALUE"""),0.982)</f>
        <v>0.982</v>
      </c>
      <c r="T69" s="697"/>
      <c r="U69" s="697"/>
      <c r="V69" s="697"/>
      <c r="W69" s="698">
        <f>IFERROR(__xludf.DUMMYFUNCTION("""COMPUTED_VALUE"""),0.962)</f>
        <v>0.962</v>
      </c>
      <c r="X69" s="697"/>
      <c r="Y69" s="697"/>
      <c r="Z69" s="697"/>
      <c r="AA69" s="697"/>
      <c r="AB69" s="697"/>
      <c r="AC69" s="697"/>
      <c r="AD69" s="697"/>
      <c r="AE69" s="697"/>
      <c r="AF69" s="697"/>
      <c r="AG69" s="697"/>
      <c r="AH69" s="697"/>
      <c r="AI69" s="697"/>
      <c r="AJ69" s="697"/>
      <c r="AK69" s="697"/>
      <c r="AL69" s="697"/>
      <c r="AM69" s="697"/>
      <c r="AN69" s="698">
        <f>IFERROR(__xludf.DUMMYFUNCTION("""COMPUTED_VALUE"""),0.982)</f>
        <v>0.982</v>
      </c>
      <c r="AO69" s="698">
        <f>IFERROR(__xludf.DUMMYFUNCTION("""COMPUTED_VALUE"""),0.982)</f>
        <v>0.982</v>
      </c>
      <c r="AP69" s="697" t="str">
        <f>IFERROR(__xludf.DUMMYFUNCTION("""COMPUTED_VALUE"""),"Mf reduction")</f>
        <v>Mf reduction</v>
      </c>
      <c r="AQ69" s="697" t="str">
        <f>IFERROR(__xludf.DUMMYFUNCTION("""COMPUTED_VALUE"""),"Onchocerciasis Chemotherapy Research Center (OCRC) at Hohoe (Ghana)")</f>
        <v>Onchocerciasis Chemotherapy Research Center (OCRC) at Hohoe (Ghana)</v>
      </c>
      <c r="AR69" s="697">
        <f>IFERROR(__xludf.DUMMYFUNCTION("""COMPUTED_VALUE"""),1995.0)</f>
        <v>1995</v>
      </c>
      <c r="AS69" s="697">
        <f>IFERROR(__xludf.DUMMYFUNCTION("""COMPUTED_VALUE"""),23.0)</f>
        <v>23</v>
      </c>
      <c r="AT69" s="697" t="str">
        <f>IFERROR(__xludf.DUMMYFUNCTION("""COMPUTED_VALUE"""),"1 year")</f>
        <v>1 year</v>
      </c>
      <c r="AU69" s="699" t="str">
        <f>IFERROR(__xludf.DUMMYFUNCTION("""COMPUTED_VALUE"""),"Awadzi, K.; Attah, S.K.; Addy, E.T.; Opoku, N.O., Quartey, B.T. (1999) The effects of high-dose ivermectin on Onchocerca volvulus in onchocerciasis patients. Transactions of the Royal Society of Tropical Medicine and Hygiene 93: 189-194")</f>
        <v>Awadzi, K.; Attah, S.K.; Addy, E.T.; Opoku, N.O., Quartey, B.T. (1999) The effects of high-dose ivermectin on Onchocerca volvulus in onchocerciasis patients. Transactions of the Royal Society of Tropical Medicine and Hygiene 93: 189-194</v>
      </c>
      <c r="AV69" s="697" t="str">
        <f>IFERROR(__xludf.DUMMYFUNCTION("""COMPUTED_VALUE"""),"M")</f>
        <v>M</v>
      </c>
      <c r="AW69" s="697"/>
      <c r="AX69" s="697"/>
      <c r="AY69" s="697" t="str">
        <f>IFERROR(__xludf.DUMMYFUNCTION("""COMPUTED_VALUE"""),"Yes")</f>
        <v>Yes</v>
      </c>
      <c r="AZ69" s="697" t="str">
        <f>IFERROR(__xludf.DUMMYFUNCTION("""COMPUTED_VALUE"""),"Yes")</f>
        <v>Yes</v>
      </c>
      <c r="BA69" s="697"/>
      <c r="BB69" s="697"/>
      <c r="BC69" s="697" t="str">
        <f>IFERROR(__xludf.DUMMYFUNCTION("""COMPUTED_VALUE"""),"Total doses of ivermectin up to 1600 ug/kg were not significantly more effective than 150 ug/kg. Moreover, they did not produce the marked inhibitory effects of the repeat standard-dose regimens on embryogenesis, nor the modest effect on adult worm viabil"&amp;"ity, at comparable total doses. Repeated high-dose regimens are unlikely to be more effective than a similar number of 150 ug/kg doses.
")</f>
        <v>Total doses of ivermectin up to 1600 ug/kg were not significantly more effective than 150 ug/kg. Moreover, they did not produce the marked inhibitory effects of the repeat standard-dose regimens on embryogenesis, nor the modest effect on adult worm viability, at comparable total doses. Repeated high-dose regimens are unlikely to be more effective than a similar number of 150 ug/kg doses.
</v>
      </c>
      <c r="BD69" s="697" t="str">
        <f>IFERROR(__xludf.DUMMYFUNCTION("""COMPUTED_VALUE"""),"One patient could not be traced after the day 180 follow-up and was eliminated from the study.")</f>
        <v>One patient could not be traced after the day 180 follow-up and was eliminated from the study.</v>
      </c>
      <c r="BE69" s="697"/>
      <c r="BF69" s="697"/>
      <c r="BG69" s="697"/>
    </row>
    <row r="70">
      <c r="A70" s="697"/>
      <c r="B70" s="697" t="str">
        <f>IFERROR(__xludf.DUMMYFUNCTION("""COMPUTED_VALUE"""),"Awadzi et al.")</f>
        <v>Awadzi et al.</v>
      </c>
      <c r="C70" s="697" t="str">
        <f>IFERROR(__xludf.DUMMYFUNCTION("""COMPUTED_VALUE"""),"Ghana")</f>
        <v>Ghana</v>
      </c>
      <c r="D70" s="697" t="str">
        <f>IFERROR(__xludf.DUMMYFUNCTION("""COMPUTED_VALUE"""),"Ivermectin")</f>
        <v>Ivermectin</v>
      </c>
      <c r="E70" s="697" t="str">
        <f>IFERROR(__xludf.DUMMYFUNCTION("""COMPUTED_VALUE"""),"800ug/kg, 150ug/kg")</f>
        <v>800ug/kg, 150ug/kg</v>
      </c>
      <c r="F70" s="697" t="str">
        <f>IFERROR(__xludf.DUMMYFUNCTION("""COMPUTED_VALUE"""),"1,1")</f>
        <v>1,1</v>
      </c>
      <c r="G70" s="697" t="str">
        <f>IFERROR(__xludf.DUMMYFUNCTION("""COMPUTED_VALUE"""),"950ug/kg")</f>
        <v>950ug/kg</v>
      </c>
      <c r="H70" s="697"/>
      <c r="I70" s="697"/>
      <c r="J70" s="697"/>
      <c r="K70" s="697"/>
      <c r="L70" s="697"/>
      <c r="M70" s="697"/>
      <c r="N70" s="697"/>
      <c r="O70" s="698">
        <f>IFERROR(__xludf.DUMMYFUNCTION("""COMPUTED_VALUE"""),0.998)</f>
        <v>0.998</v>
      </c>
      <c r="P70" s="697"/>
      <c r="Q70" s="698">
        <f>IFERROR(__xludf.DUMMYFUNCTION("""COMPUTED_VALUE"""),0.999)</f>
        <v>0.999</v>
      </c>
      <c r="R70" s="697"/>
      <c r="S70" s="698">
        <f>IFERROR(__xludf.DUMMYFUNCTION("""COMPUTED_VALUE"""),0.993)</f>
        <v>0.993</v>
      </c>
      <c r="T70" s="697"/>
      <c r="U70" s="697"/>
      <c r="V70" s="697"/>
      <c r="W70" s="700">
        <f>IFERROR(__xludf.DUMMYFUNCTION("""COMPUTED_VALUE"""),0.97)</f>
        <v>0.97</v>
      </c>
      <c r="X70" s="697"/>
      <c r="Y70" s="697"/>
      <c r="Z70" s="697"/>
      <c r="AA70" s="697"/>
      <c r="AB70" s="697"/>
      <c r="AC70" s="697"/>
      <c r="AD70" s="697"/>
      <c r="AE70" s="697"/>
      <c r="AF70" s="697"/>
      <c r="AG70" s="697"/>
      <c r="AH70" s="697"/>
      <c r="AI70" s="697"/>
      <c r="AJ70" s="697"/>
      <c r="AK70" s="697"/>
      <c r="AL70" s="697"/>
      <c r="AM70" s="697"/>
      <c r="AN70" s="698">
        <f>IFERROR(__xludf.DUMMYFUNCTION("""COMPUTED_VALUE"""),0.993)</f>
        <v>0.993</v>
      </c>
      <c r="AO70" s="698">
        <f>IFERROR(__xludf.DUMMYFUNCTION("""COMPUTED_VALUE"""),0.993)</f>
        <v>0.993</v>
      </c>
      <c r="AP70" s="697" t="str">
        <f>IFERROR(__xludf.DUMMYFUNCTION("""COMPUTED_VALUE"""),"Mf reduction")</f>
        <v>Mf reduction</v>
      </c>
      <c r="AQ70" s="697" t="str">
        <f>IFERROR(__xludf.DUMMYFUNCTION("""COMPUTED_VALUE"""),"Onchocerciasis Chemotherapy Research Center (OCRC) at Hohoe (Ghana)")</f>
        <v>Onchocerciasis Chemotherapy Research Center (OCRC) at Hohoe (Ghana)</v>
      </c>
      <c r="AR70" s="697">
        <f>IFERROR(__xludf.DUMMYFUNCTION("""COMPUTED_VALUE"""),1995.0)</f>
        <v>1995</v>
      </c>
      <c r="AS70" s="697">
        <f>IFERROR(__xludf.DUMMYFUNCTION("""COMPUTED_VALUE"""),24.0)</f>
        <v>24</v>
      </c>
      <c r="AT70" s="697" t="str">
        <f>IFERROR(__xludf.DUMMYFUNCTION("""COMPUTED_VALUE"""),"1 year")</f>
        <v>1 year</v>
      </c>
      <c r="AU70" s="699" t="str">
        <f>IFERROR(__xludf.DUMMYFUNCTION("""COMPUTED_VALUE"""),"Awadzi, K.; Attah, S.K.; Addy, E.T.; Opoku, N.O., Quartey, B.T. (1999) The effects of high-dose ivermectin on Onchocerca volvulus in onchocerciasis patients. Transactions of the Royal Society of Tropical Medicine and Hygiene 93: 189-194")</f>
        <v>Awadzi, K.; Attah, S.K.; Addy, E.T.; Opoku, N.O., Quartey, B.T. (1999) The effects of high-dose ivermectin on Onchocerca volvulus in onchocerciasis patients. Transactions of the Royal Society of Tropical Medicine and Hygiene 93: 189-194</v>
      </c>
      <c r="AV70" s="697" t="str">
        <f>IFERROR(__xludf.DUMMYFUNCTION("""COMPUTED_VALUE"""),"M")</f>
        <v>M</v>
      </c>
      <c r="AW70" s="697"/>
      <c r="AX70" s="697"/>
      <c r="AY70" s="697" t="str">
        <f>IFERROR(__xludf.DUMMYFUNCTION("""COMPUTED_VALUE"""),"Yes")</f>
        <v>Yes</v>
      </c>
      <c r="AZ70" s="697" t="str">
        <f>IFERROR(__xludf.DUMMYFUNCTION("""COMPUTED_VALUE"""),"Yes")</f>
        <v>Yes</v>
      </c>
      <c r="BA70" s="697"/>
      <c r="BB70" s="697"/>
      <c r="BC70" s="697" t="str">
        <f>IFERROR(__xludf.DUMMYFUNCTION("""COMPUTED_VALUE"""),"Total doses of ivermectin up to 1600 ug/kg were not significantly more effective than 150 ug/kg. Moreover, they did not produce the marked inhibitory effects of the repeat standard-dose regimens on embryogenesis, nor the modest effect on adult worm viabil"&amp;"ity, at comparable total doses. Repeated high-dose regimens are unlikely to be more effective than a similar number of 150 ug/kg doses.
")</f>
        <v>Total doses of ivermectin up to 1600 ug/kg were not significantly more effective than 150 ug/kg. Moreover, they did not produce the marked inhibitory effects of the repeat standard-dose regimens on embryogenesis, nor the modest effect on adult worm viability, at comparable total doses. Repeated high-dose regimens are unlikely to be more effective than a similar number of 150 ug/kg doses.
</v>
      </c>
      <c r="BD70" s="697" t="str">
        <f>IFERROR(__xludf.DUMMYFUNCTION("""COMPUTED_VALUE"""),"One patient could not be traced after the day 180 follow-up and was eliminated from the study.")</f>
        <v>One patient could not be traced after the day 180 follow-up and was eliminated from the study.</v>
      </c>
      <c r="BE70" s="697"/>
      <c r="BF70" s="697"/>
      <c r="BG70" s="697"/>
    </row>
    <row r="71">
      <c r="A71" s="697"/>
      <c r="B71" s="697" t="str">
        <f>IFERROR(__xludf.DUMMYFUNCTION("""COMPUTED_VALUE"""),"Awadzi et al.")</f>
        <v>Awadzi et al.</v>
      </c>
      <c r="C71" s="697" t="str">
        <f>IFERROR(__xludf.DUMMYFUNCTION("""COMPUTED_VALUE"""),"Ghana")</f>
        <v>Ghana</v>
      </c>
      <c r="D71" s="697" t="str">
        <f>IFERROR(__xludf.DUMMYFUNCTION("""COMPUTED_VALUE"""),"Ivermectin")</f>
        <v>Ivermectin</v>
      </c>
      <c r="E71" s="697" t="str">
        <f>IFERROR(__xludf.DUMMYFUNCTION("""COMPUTED_VALUE"""),"800ug/kg, 800ug/kg")</f>
        <v>800ug/kg, 800ug/kg</v>
      </c>
      <c r="F71" s="697" t="str">
        <f>IFERROR(__xludf.DUMMYFUNCTION("""COMPUTED_VALUE"""),"1,1")</f>
        <v>1,1</v>
      </c>
      <c r="G71" s="697" t="str">
        <f>IFERROR(__xludf.DUMMYFUNCTION("""COMPUTED_VALUE"""),"1600ug/kg")</f>
        <v>1600ug/kg</v>
      </c>
      <c r="H71" s="697"/>
      <c r="I71" s="697"/>
      <c r="J71" s="697"/>
      <c r="K71" s="697"/>
      <c r="L71" s="697"/>
      <c r="M71" s="697"/>
      <c r="N71" s="697"/>
      <c r="O71" s="700">
        <f>IFERROR(__xludf.DUMMYFUNCTION("""COMPUTED_VALUE"""),1.0)</f>
        <v>1</v>
      </c>
      <c r="P71" s="697"/>
      <c r="Q71" s="700">
        <f>IFERROR(__xludf.DUMMYFUNCTION("""COMPUTED_VALUE"""),1.0)</f>
        <v>1</v>
      </c>
      <c r="R71" s="697"/>
      <c r="S71" s="698">
        <f>IFERROR(__xludf.DUMMYFUNCTION("""COMPUTED_VALUE"""),0.995)</f>
        <v>0.995</v>
      </c>
      <c r="T71" s="697"/>
      <c r="U71" s="697"/>
      <c r="V71" s="697"/>
      <c r="W71" s="698">
        <f>IFERROR(__xludf.DUMMYFUNCTION("""COMPUTED_VALUE"""),0.974)</f>
        <v>0.974</v>
      </c>
      <c r="X71" s="697"/>
      <c r="Y71" s="697"/>
      <c r="Z71" s="697"/>
      <c r="AA71" s="697"/>
      <c r="AB71" s="697"/>
      <c r="AC71" s="697"/>
      <c r="AD71" s="697"/>
      <c r="AE71" s="697"/>
      <c r="AF71" s="697"/>
      <c r="AG71" s="697"/>
      <c r="AH71" s="697"/>
      <c r="AI71" s="697"/>
      <c r="AJ71" s="697"/>
      <c r="AK71" s="697"/>
      <c r="AL71" s="697"/>
      <c r="AM71" s="697"/>
      <c r="AN71" s="698">
        <f>IFERROR(__xludf.DUMMYFUNCTION("""COMPUTED_VALUE"""),0.995)</f>
        <v>0.995</v>
      </c>
      <c r="AO71" s="698">
        <f>IFERROR(__xludf.DUMMYFUNCTION("""COMPUTED_VALUE"""),0.995)</f>
        <v>0.995</v>
      </c>
      <c r="AP71" s="697" t="str">
        <f>IFERROR(__xludf.DUMMYFUNCTION("""COMPUTED_VALUE"""),"Mf reduction")</f>
        <v>Mf reduction</v>
      </c>
      <c r="AQ71" s="697" t="str">
        <f>IFERROR(__xludf.DUMMYFUNCTION("""COMPUTED_VALUE"""),"Onchocerciasis Chemotherapy Research Center (OCRC) at Hohoe (Ghana)")</f>
        <v>Onchocerciasis Chemotherapy Research Center (OCRC) at Hohoe (Ghana)</v>
      </c>
      <c r="AR71" s="697">
        <f>IFERROR(__xludf.DUMMYFUNCTION("""COMPUTED_VALUE"""),1995.0)</f>
        <v>1995</v>
      </c>
      <c r="AS71" s="697">
        <f>IFERROR(__xludf.DUMMYFUNCTION("""COMPUTED_VALUE"""),12.0)</f>
        <v>12</v>
      </c>
      <c r="AT71" s="697" t="str">
        <f>IFERROR(__xludf.DUMMYFUNCTION("""COMPUTED_VALUE"""),"1 year")</f>
        <v>1 year</v>
      </c>
      <c r="AU71" s="699" t="str">
        <f>IFERROR(__xludf.DUMMYFUNCTION("""COMPUTED_VALUE"""),"Awadzi, K.; Attah, S.K.; Addy, E.T.; Opoku, N.O., Quartey, B.T. (1999) The effects of high-dose ivermectin on Onchocerca volvulus in onchocerciasis patients. Transactions of the Royal Society of Tropical Medicine and Hygiene 93: 189-194")</f>
        <v>Awadzi, K.; Attah, S.K.; Addy, E.T.; Opoku, N.O., Quartey, B.T. (1999) The effects of high-dose ivermectin on Onchocerca volvulus in onchocerciasis patients. Transactions of the Royal Society of Tropical Medicine and Hygiene 93: 189-194</v>
      </c>
      <c r="AV71" s="697" t="str">
        <f>IFERROR(__xludf.DUMMYFUNCTION("""COMPUTED_VALUE"""),"M")</f>
        <v>M</v>
      </c>
      <c r="AW71" s="697"/>
      <c r="AX71" s="697"/>
      <c r="AY71" s="697" t="str">
        <f>IFERROR(__xludf.DUMMYFUNCTION("""COMPUTED_VALUE"""),"Yes")</f>
        <v>Yes</v>
      </c>
      <c r="AZ71" s="697" t="str">
        <f>IFERROR(__xludf.DUMMYFUNCTION("""COMPUTED_VALUE"""),"Yes")</f>
        <v>Yes</v>
      </c>
      <c r="BA71" s="697"/>
      <c r="BB71" s="697"/>
      <c r="BC71" s="697" t="str">
        <f>IFERROR(__xludf.DUMMYFUNCTION("""COMPUTED_VALUE"""),"Total doses of ivermectin up to 1600 ug/kg were not significantly more effective than 150 ug/kg. Moreover, they did not produce the marked inhibitory effects of the repeat standard-dose regimens on embryogenesis, nor the modest effect on adult worm viabil"&amp;"ity, at comparable total doses. Repeated high-dose regimens are unlikely to be more effective than a similar number of 150 ug/kg doses.
")</f>
        <v>Total doses of ivermectin up to 1600 ug/kg were not significantly more effective than 150 ug/kg. Moreover, they did not produce the marked inhibitory effects of the repeat standard-dose regimens on embryogenesis, nor the modest effect on adult worm viability, at comparable total doses. Repeated high-dose regimens are unlikely to be more effective than a similar number of 150 ug/kg doses.
</v>
      </c>
      <c r="BD71" s="697" t="str">
        <f>IFERROR(__xludf.DUMMYFUNCTION("""COMPUTED_VALUE"""),"One patient could not be traced after the day 180 follow-up and was eliminated from the study.")</f>
        <v>One patient could not be traced after the day 180 follow-up and was eliminated from the study.</v>
      </c>
      <c r="BE71" s="697"/>
      <c r="BF71" s="697"/>
      <c r="BG71" s="697"/>
    </row>
    <row r="72">
      <c r="A72" s="697"/>
      <c r="B72" s="697" t="str">
        <f>IFERROR(__xludf.DUMMYFUNCTION("""COMPUTED_VALUE"""),"Newland et al.")</f>
        <v>Newland et al.</v>
      </c>
      <c r="C72" s="697" t="str">
        <f>IFERROR(__xludf.DUMMYFUNCTION("""COMPUTED_VALUE"""),"Liberia")</f>
        <v>Liberia</v>
      </c>
      <c r="D72" s="697" t="str">
        <f>IFERROR(__xludf.DUMMYFUNCTION("""COMPUTED_VALUE"""),"Placebo")</f>
        <v>Placebo</v>
      </c>
      <c r="E72" s="697"/>
      <c r="F72" s="697"/>
      <c r="G72" s="697" t="str">
        <f>IFERROR(__xludf.DUMMYFUNCTION("""COMPUTED_VALUE"""),"Placebo")</f>
        <v>Placebo</v>
      </c>
      <c r="H72" s="697"/>
      <c r="I72" s="697"/>
      <c r="J72" s="698">
        <f>IFERROR(__xludf.DUMMYFUNCTION("""COMPUTED_VALUE"""),0.1571)</f>
        <v>0.1571</v>
      </c>
      <c r="K72" s="697"/>
      <c r="L72" s="697"/>
      <c r="M72" s="697"/>
      <c r="N72" s="697"/>
      <c r="O72" s="697"/>
      <c r="P72" s="697"/>
      <c r="Q72" s="698">
        <f>IFERROR(__xludf.DUMMYFUNCTION("""COMPUTED_VALUE"""),0.2142)</f>
        <v>0.2142</v>
      </c>
      <c r="R72" s="697"/>
      <c r="S72" s="698">
        <f>IFERROR(__xludf.DUMMYFUNCTION("""COMPUTED_VALUE"""),0.2571)</f>
        <v>0.2571</v>
      </c>
      <c r="T72" s="697"/>
      <c r="U72" s="697"/>
      <c r="V72" s="697"/>
      <c r="W72" s="698">
        <f>IFERROR(__xludf.DUMMYFUNCTION("""COMPUTED_VALUE"""),0.3809)</f>
        <v>0.3809</v>
      </c>
      <c r="X72" s="697"/>
      <c r="Y72" s="697"/>
      <c r="Z72" s="697"/>
      <c r="AA72" s="697"/>
      <c r="AB72" s="697"/>
      <c r="AC72" s="697"/>
      <c r="AD72" s="697"/>
      <c r="AE72" s="697"/>
      <c r="AF72" s="697"/>
      <c r="AG72" s="697"/>
      <c r="AH72" s="697"/>
      <c r="AI72" s="697"/>
      <c r="AJ72" s="697"/>
      <c r="AK72" s="697"/>
      <c r="AL72" s="697"/>
      <c r="AM72" s="697"/>
      <c r="AN72" s="698">
        <f>IFERROR(__xludf.DUMMYFUNCTION("""COMPUTED_VALUE"""),0.2571)</f>
        <v>0.2571</v>
      </c>
      <c r="AO72" s="698">
        <f>IFERROR(__xludf.DUMMYFUNCTION("""COMPUTED_VALUE"""),0.2571)</f>
        <v>0.2571</v>
      </c>
      <c r="AP72" s="697" t="str">
        <f>IFERROR(__xludf.DUMMYFUNCTION("""COMPUTED_VALUE"""),"Mf reduction")</f>
        <v>Mf reduction</v>
      </c>
      <c r="AQ72" s="697" t="str">
        <f>IFERROR(__xludf.DUMMYFUNCTION("""COMPUTED_VALUE"""),"Grand Bassa County, Liberia ")</f>
        <v>Grand Bassa County, Liberia </v>
      </c>
      <c r="AR72" s="697">
        <f>IFERROR(__xludf.DUMMYFUNCTION("""COMPUTED_VALUE"""),1988.0)</f>
        <v>1988</v>
      </c>
      <c r="AS72" s="697">
        <f>IFERROR(__xludf.DUMMYFUNCTION("""COMPUTED_VALUE"""),48.0)</f>
        <v>48</v>
      </c>
      <c r="AT72" s="697" t="str">
        <f>IFERROR(__xludf.DUMMYFUNCTION("""COMPUTED_VALUE"""),"12 months")</f>
        <v>12 months</v>
      </c>
      <c r="AU72" s="699" t="str">
        <f>IFERROR(__xludf.DUMMYFUNCTION("""COMPUTED_VALUE"""),"Newland, H.S.; White, A.T.; Greene, B.M.; D’Anna, S.A.; Kayvan-Larijani, E.; Aziz, M.A.; Williams, N.P.; Taylor, H.R. (1988) British Journal of Ophthalmology (72): 561-569.")</f>
        <v>Newland, H.S.; White, A.T.; Greene, B.M.; D’Anna, S.A.; Kayvan-Larijani, E.; Aziz, M.A.; Williams, N.P.; Taylor, H.R. (1988) British Journal of Ophthalmology (72): 561-569.</v>
      </c>
      <c r="AV72" s="697" t="str">
        <f>IFERROR(__xludf.DUMMYFUNCTION("""COMPUTED_VALUE"""),"FM")</f>
        <v>FM</v>
      </c>
      <c r="AW72" s="697" t="str">
        <f>IFERROR(__xludf.DUMMYFUNCTION("""COMPUTED_VALUE"""),"12-60 years old; Mean Age 30.5 years")</f>
        <v>12-60 years old; Mean Age 30.5 years</v>
      </c>
      <c r="AX72" s="697" t="str">
        <f>IFERROR(__xludf.DUMMYFUNCTION("""COMPUTED_VALUE"""),"Patients with heaviest infection by microfilaria skin count who were otherwise apparently healthy and who had given consent were selected for inclusion in this study. All patients had screening skin-snip microfilaria counts of greater than 15 microfilaria"&amp;" per mg of skin. Pregnant and lactating females and any subject who had received an antifilaricidal within one year were excluded.'")</f>
        <v>Patients with heaviest infection by microfilaria skin count who were otherwise apparently healthy and who had given consent were selected for inclusion in this study. All patients had screening skin-snip microfilaria counts of greater than 15 microfilaria per mg of skin. Pregnant and lactating females and any subject who had received an antifilaricidal within one year were excluded.'</v>
      </c>
      <c r="AY72" s="697" t="str">
        <f>IFERROR(__xludf.DUMMYFUNCTION("""COMPUTED_VALUE"""),"No")</f>
        <v>No</v>
      </c>
      <c r="AZ72" s="697" t="str">
        <f>IFERROR(__xludf.DUMMYFUNCTION("""COMPUTED_VALUE"""),"Yes")</f>
        <v>Yes</v>
      </c>
      <c r="BA72" s="697"/>
      <c r="BB72" s="697"/>
      <c r="BC72" s="697" t="str">
        <f>IFERROR(__xludf.DUMMYFUNCTION("""COMPUTED_VALUE"""),"Each of these doses significantly reduced the ocular microfilaria load for at least 12 months when compared with either the placebo (p&lt;0.05) or pretreatment values (p&lt;0.001). However, the 100 and 150 ug/kg doses caused fewer minor side effects than the hi"&amp;"gher dose.Ivermectin in a single oral dose may be a safe and effective microfilaricidal drug for the treatment of onchocerciasis and it appears to be free of major ocular side effects.")</f>
        <v>Each of these doses significantly reduced the ocular microfilaria load for at least 12 months when compared with either the placebo (p&lt;0.05) or pretreatment values (p&lt;0.001). However, the 100 and 150 ug/kg doses caused fewer minor side effects than the higher dose.Ivermectin in a single oral dose may be a safe and effective microfilaricidal drug for the treatment of onchocerciasis and it appears to be free of major ocular side effects.</v>
      </c>
      <c r="BD72" s="697" t="str">
        <f>IFERROR(__xludf.DUMMYFUNCTION("""COMPUTED_VALUE"""),"The patients that missed one or more follow-up examinations included eight from the 100 ug/kg, 17 from the 150 ug/kg, 16 from the 200(ug/kg ivermectin groups, and 17 from the placebo group. There were 177 subjects present at three months, 162 at six month"&amp;"s, and 176 at 12 months. At 12 months all patients not examined were accounted for as follows: 14 had moved to the interior of the country; six had moved to urban areas and could not be found; the whereabouts of one was unknown; and two refused examinatio"&amp;"n. One patient in the 150 [ug/kg group died of undetermined causes between the six- and 12- month examination.")</f>
        <v>The patients that missed one or more follow-up examinations included eight from the 100 ug/kg, 17 from the 150 ug/kg, 16 from the 200(ug/kg ivermectin groups, and 17 from the placebo group. There were 177 subjects present at three months, 162 at six months, and 176 at 12 months. At 12 months all patients not examined were accounted for as follows: 14 had moved to the interior of the country; six had moved to urban areas and could not be found; the whereabouts of one was unknown; and two refused examination. One patient in the 150 [ug/kg group died of undetermined causes between the six- and 12- month examination.</v>
      </c>
      <c r="BE72" s="697"/>
      <c r="BF72" s="697"/>
      <c r="BG72" s="697"/>
    </row>
    <row r="73">
      <c r="A73" s="697"/>
      <c r="B73" s="697" t="str">
        <f>IFERROR(__xludf.DUMMYFUNCTION("""COMPUTED_VALUE"""),"Newland et al.")</f>
        <v>Newland et al.</v>
      </c>
      <c r="C73" s="697" t="str">
        <f>IFERROR(__xludf.DUMMYFUNCTION("""COMPUTED_VALUE"""),"Liberia")</f>
        <v>Liberia</v>
      </c>
      <c r="D73" s="697" t="str">
        <f>IFERROR(__xludf.DUMMYFUNCTION("""COMPUTED_VALUE"""),"Ivermectin")</f>
        <v>Ivermectin</v>
      </c>
      <c r="E73" s="697" t="str">
        <f>IFERROR(__xludf.DUMMYFUNCTION("""COMPUTED_VALUE"""),"100 ug/kg")</f>
        <v>100 ug/kg</v>
      </c>
      <c r="F73" s="697">
        <f>IFERROR(__xludf.DUMMYFUNCTION("""COMPUTED_VALUE"""),1.0)</f>
        <v>1</v>
      </c>
      <c r="G73" s="697" t="str">
        <f>IFERROR(__xludf.DUMMYFUNCTION("""COMPUTED_VALUE"""),"100 ug/kg")</f>
        <v>100 ug/kg</v>
      </c>
      <c r="H73" s="697"/>
      <c r="I73" s="697"/>
      <c r="J73" s="697">
        <f>IFERROR(__xludf.DUMMYFUNCTION("""COMPUTED_VALUE"""),60.89)</f>
        <v>60.89</v>
      </c>
      <c r="K73" s="697"/>
      <c r="L73" s="697"/>
      <c r="M73" s="697"/>
      <c r="N73" s="697"/>
      <c r="O73" s="697"/>
      <c r="P73" s="697"/>
      <c r="Q73" s="698">
        <f>IFERROR(__xludf.DUMMYFUNCTION("""COMPUTED_VALUE"""),0.948)</f>
        <v>0.948</v>
      </c>
      <c r="R73" s="697"/>
      <c r="S73" s="698">
        <f>IFERROR(__xludf.DUMMYFUNCTION("""COMPUTED_VALUE"""),0.8994)</f>
        <v>0.8994</v>
      </c>
      <c r="T73" s="697"/>
      <c r="U73" s="697"/>
      <c r="V73" s="697"/>
      <c r="W73" s="698">
        <f>IFERROR(__xludf.DUMMYFUNCTION("""COMPUTED_VALUE"""),0.8269)</f>
        <v>0.8269</v>
      </c>
      <c r="X73" s="697"/>
      <c r="Y73" s="697"/>
      <c r="Z73" s="697"/>
      <c r="AA73" s="697"/>
      <c r="AB73" s="697"/>
      <c r="AC73" s="697"/>
      <c r="AD73" s="697"/>
      <c r="AE73" s="697"/>
      <c r="AF73" s="697"/>
      <c r="AG73" s="697"/>
      <c r="AH73" s="697"/>
      <c r="AI73" s="697"/>
      <c r="AJ73" s="697"/>
      <c r="AK73" s="697"/>
      <c r="AL73" s="697"/>
      <c r="AM73" s="697"/>
      <c r="AN73" s="698">
        <f>IFERROR(__xludf.DUMMYFUNCTION("""COMPUTED_VALUE"""),0.8994)</f>
        <v>0.8994</v>
      </c>
      <c r="AO73" s="698">
        <f>IFERROR(__xludf.DUMMYFUNCTION("""COMPUTED_VALUE"""),0.8994)</f>
        <v>0.8994</v>
      </c>
      <c r="AP73" s="697" t="str">
        <f>IFERROR(__xludf.DUMMYFUNCTION("""COMPUTED_VALUE"""),"Mf reduction")</f>
        <v>Mf reduction</v>
      </c>
      <c r="AQ73" s="697" t="str">
        <f>IFERROR(__xludf.DUMMYFUNCTION("""COMPUTED_VALUE"""),"Grand Bassa County, Liberia ")</f>
        <v>Grand Bassa County, Liberia </v>
      </c>
      <c r="AR73" s="697">
        <f>IFERROR(__xludf.DUMMYFUNCTION("""COMPUTED_VALUE"""),1988.0)</f>
        <v>1988</v>
      </c>
      <c r="AS73" s="697">
        <f>IFERROR(__xludf.DUMMYFUNCTION("""COMPUTED_VALUE"""),49.0)</f>
        <v>49</v>
      </c>
      <c r="AT73" s="697" t="str">
        <f>IFERROR(__xludf.DUMMYFUNCTION("""COMPUTED_VALUE"""),"12 months")</f>
        <v>12 months</v>
      </c>
      <c r="AU73" s="699" t="str">
        <f>IFERROR(__xludf.DUMMYFUNCTION("""COMPUTED_VALUE"""),"Newland, H.S.; White, A.T.; Greene, B.M.; D’Anna, S.A.; Kayvan-Larijani, E.; Aziz, M.A.; Williams, N.P.; Taylor, H.R. (1988) British Journal of Ophthalmology (72): 561-569.")</f>
        <v>Newland, H.S.; White, A.T.; Greene, B.M.; D’Anna, S.A.; Kayvan-Larijani, E.; Aziz, M.A.; Williams, N.P.; Taylor, H.R. (1988) British Journal of Ophthalmology (72): 561-569.</v>
      </c>
      <c r="AV73" s="697" t="str">
        <f>IFERROR(__xludf.DUMMYFUNCTION("""COMPUTED_VALUE"""),"FM")</f>
        <v>FM</v>
      </c>
      <c r="AW73" s="697" t="str">
        <f>IFERROR(__xludf.DUMMYFUNCTION("""COMPUTED_VALUE"""),"12-60 years old; Mean Age 30.5 years")</f>
        <v>12-60 years old; Mean Age 30.5 years</v>
      </c>
      <c r="AX73" s="697" t="str">
        <f>IFERROR(__xludf.DUMMYFUNCTION("""COMPUTED_VALUE"""),"Patients with heaviest infection by microfilaria skin count who were otherwise apparently healthy and who had given consent were selected for inclusion in this study. All patients had screening skin-snip microfilaria counts of greater than 15 microfilaria"&amp;" per mg of skin. Pregnant and lactating females and any subject who had received an antifilaricidal within one year were excluded.'")</f>
        <v>Patients with heaviest infection by microfilaria skin count who were otherwise apparently healthy and who had given consent were selected for inclusion in this study. All patients had screening skin-snip microfilaria counts of greater than 15 microfilaria per mg of skin. Pregnant and lactating females and any subject who had received an antifilaricidal within one year were excluded.'</v>
      </c>
      <c r="AY73" s="697" t="str">
        <f>IFERROR(__xludf.DUMMYFUNCTION("""COMPUTED_VALUE"""),"No")</f>
        <v>No</v>
      </c>
      <c r="AZ73" s="697" t="str">
        <f>IFERROR(__xludf.DUMMYFUNCTION("""COMPUTED_VALUE"""),"Yes")</f>
        <v>Yes</v>
      </c>
      <c r="BA73" s="697"/>
      <c r="BB73" s="697"/>
      <c r="BC73" s="697" t="str">
        <f>IFERROR(__xludf.DUMMYFUNCTION("""COMPUTED_VALUE"""),"Each of these doses significantly reduced the ocular microfilaria load for at least 12 months when compared with either the placebo (p&lt;0.05) or pretreatment values (p&lt;0.001). However, the 100 and 150 ug/kg doses caused fewer minor side effects than the hi"&amp;"gher dose.Ivermectin in a single oral dose may be a safe and effective microfilaricidal drug for the treatment of onchocerciasis and it appears to be free of major ocular side effects.")</f>
        <v>Each of these doses significantly reduced the ocular microfilaria load for at least 12 months when compared with either the placebo (p&lt;0.05) or pretreatment values (p&lt;0.001). However, the 100 and 150 ug/kg doses caused fewer minor side effects than the higher dose.Ivermectin in a single oral dose may be a safe and effective microfilaricidal drug for the treatment of onchocerciasis and it appears to be free of major ocular side effects.</v>
      </c>
      <c r="BD73" s="697" t="str">
        <f>IFERROR(__xludf.DUMMYFUNCTION("""COMPUTED_VALUE"""),"The patients that missed one or more follow-up examinations included eight from the 100 ug/kg, 17 from the 150 ug/kg, 16 from the 200(ug/kg ivermectin groups, and 17 from the placebo group. There were 177 subjects present at three months, 162 at six month"&amp;"s, and 176 at 12 months. At 12 months all patients not examined were accounted for as follows: 14 had moved to the interior of the country; six had moved to urban areas and could not be found; the whereabouts of one was unknown; and two refused examinatio"&amp;"n. One patient in the 150 [ug/kg group died of undetermined causes between the six- and 12- month examination.")</f>
        <v>The patients that missed one or more follow-up examinations included eight from the 100 ug/kg, 17 from the 150 ug/kg, 16 from the 200(ug/kg ivermectin groups, and 17 from the placebo group. There were 177 subjects present at three months, 162 at six months, and 176 at 12 months. At 12 months all patients not examined were accounted for as follows: 14 had moved to the interior of the country; six had moved to urban areas and could not be found; the whereabouts of one was unknown; and two refused examination. One patient in the 150 [ug/kg group died of undetermined causes between the six- and 12- month examination.</v>
      </c>
      <c r="BE73" s="697"/>
      <c r="BF73" s="697"/>
      <c r="BG73" s="697"/>
    </row>
    <row r="74">
      <c r="A74" s="697"/>
      <c r="B74" s="697" t="str">
        <f>IFERROR(__xludf.DUMMYFUNCTION("""COMPUTED_VALUE"""),"Newland et al.")</f>
        <v>Newland et al.</v>
      </c>
      <c r="C74" s="697" t="str">
        <f>IFERROR(__xludf.DUMMYFUNCTION("""COMPUTED_VALUE"""),"Liberia")</f>
        <v>Liberia</v>
      </c>
      <c r="D74" s="697" t="str">
        <f>IFERROR(__xludf.DUMMYFUNCTION("""COMPUTED_VALUE"""),"Ivermectin")</f>
        <v>Ivermectin</v>
      </c>
      <c r="E74" s="697" t="str">
        <f>IFERROR(__xludf.DUMMYFUNCTION("""COMPUTED_VALUE"""),"150 ug/kg")</f>
        <v>150 ug/kg</v>
      </c>
      <c r="F74" s="697">
        <f>IFERROR(__xludf.DUMMYFUNCTION("""COMPUTED_VALUE"""),1.0)</f>
        <v>1</v>
      </c>
      <c r="G74" s="697" t="str">
        <f>IFERROR(__xludf.DUMMYFUNCTION("""COMPUTED_VALUE"""),"150 ug/kg")</f>
        <v>150 ug/kg</v>
      </c>
      <c r="H74" s="697"/>
      <c r="I74" s="697"/>
      <c r="J74" s="698">
        <f>IFERROR(__xludf.DUMMYFUNCTION("""COMPUTED_VALUE"""),0.9693)</f>
        <v>0.9693</v>
      </c>
      <c r="K74" s="697"/>
      <c r="L74" s="697"/>
      <c r="M74" s="697"/>
      <c r="N74" s="697"/>
      <c r="O74" s="697"/>
      <c r="P74" s="697"/>
      <c r="Q74" s="698">
        <f>IFERROR(__xludf.DUMMYFUNCTION("""COMPUTED_VALUE"""),0.9693)</f>
        <v>0.9693</v>
      </c>
      <c r="R74" s="697"/>
      <c r="S74" s="698">
        <f>IFERROR(__xludf.DUMMYFUNCTION("""COMPUTED_VALUE"""),0.9198)</f>
        <v>0.9198</v>
      </c>
      <c r="T74" s="697"/>
      <c r="U74" s="697"/>
      <c r="V74" s="697"/>
      <c r="W74" s="698">
        <f>IFERROR(__xludf.DUMMYFUNCTION("""COMPUTED_VALUE"""),0.8349)</f>
        <v>0.8349</v>
      </c>
      <c r="X74" s="697"/>
      <c r="Y74" s="697"/>
      <c r="Z74" s="697"/>
      <c r="AA74" s="697"/>
      <c r="AB74" s="697"/>
      <c r="AC74" s="697"/>
      <c r="AD74" s="697"/>
      <c r="AE74" s="697"/>
      <c r="AF74" s="697"/>
      <c r="AG74" s="697"/>
      <c r="AH74" s="697"/>
      <c r="AI74" s="697"/>
      <c r="AJ74" s="697"/>
      <c r="AK74" s="697"/>
      <c r="AL74" s="697"/>
      <c r="AM74" s="697"/>
      <c r="AN74" s="698">
        <f>IFERROR(__xludf.DUMMYFUNCTION("""COMPUTED_VALUE"""),0.9198)</f>
        <v>0.9198</v>
      </c>
      <c r="AO74" s="698">
        <f>IFERROR(__xludf.DUMMYFUNCTION("""COMPUTED_VALUE"""),0.9198)</f>
        <v>0.9198</v>
      </c>
      <c r="AP74" s="697" t="str">
        <f>IFERROR(__xludf.DUMMYFUNCTION("""COMPUTED_VALUE"""),"Mf reduction")</f>
        <v>Mf reduction</v>
      </c>
      <c r="AQ74" s="697" t="str">
        <f>IFERROR(__xludf.DUMMYFUNCTION("""COMPUTED_VALUE"""),"Grand Bassa County, Liberia ")</f>
        <v>Grand Bassa County, Liberia </v>
      </c>
      <c r="AR74" s="697">
        <f>IFERROR(__xludf.DUMMYFUNCTION("""COMPUTED_VALUE"""),1988.0)</f>
        <v>1988</v>
      </c>
      <c r="AS74" s="697">
        <f>IFERROR(__xludf.DUMMYFUNCTION("""COMPUTED_VALUE"""),52.0)</f>
        <v>52</v>
      </c>
      <c r="AT74" s="697" t="str">
        <f>IFERROR(__xludf.DUMMYFUNCTION("""COMPUTED_VALUE"""),"12 months")</f>
        <v>12 months</v>
      </c>
      <c r="AU74" s="699" t="str">
        <f>IFERROR(__xludf.DUMMYFUNCTION("""COMPUTED_VALUE"""),"Newland, H.S.; White, A.T.; Greene, B.M.; D’Anna, S.A.; Kayvan-Larijani, E.; Aziz, M.A.; Williams, N.P.; Taylor, H.R. (1988) British Journal of Ophthalmology (72): 561-569.")</f>
        <v>Newland, H.S.; White, A.T.; Greene, B.M.; D’Anna, S.A.; Kayvan-Larijani, E.; Aziz, M.A.; Williams, N.P.; Taylor, H.R. (1988) British Journal of Ophthalmology (72): 561-569.</v>
      </c>
      <c r="AV74" s="697" t="str">
        <f>IFERROR(__xludf.DUMMYFUNCTION("""COMPUTED_VALUE"""),"FM")</f>
        <v>FM</v>
      </c>
      <c r="AW74" s="697" t="str">
        <f>IFERROR(__xludf.DUMMYFUNCTION("""COMPUTED_VALUE"""),"12-60 years old; Mean Age 30.5 years")</f>
        <v>12-60 years old; Mean Age 30.5 years</v>
      </c>
      <c r="AX74" s="697" t="str">
        <f>IFERROR(__xludf.DUMMYFUNCTION("""COMPUTED_VALUE"""),"Patients with heaviest infection by microfilaria skin count who were otherwise apparently healthy and who had given consent were selected for inclusion in this study. All patients had screening skin-snip microfilaria counts of greater than 15 microfilaria"&amp;" per mg of skin. Pregnant and lactating females and any subject who had received an antifilaricidal within one year were excluded.'")</f>
        <v>Patients with heaviest infection by microfilaria skin count who were otherwise apparently healthy and who had given consent were selected for inclusion in this study. All patients had screening skin-snip microfilaria counts of greater than 15 microfilaria per mg of skin. Pregnant and lactating females and any subject who had received an antifilaricidal within one year were excluded.'</v>
      </c>
      <c r="AY74" s="697" t="str">
        <f>IFERROR(__xludf.DUMMYFUNCTION("""COMPUTED_VALUE"""),"No")</f>
        <v>No</v>
      </c>
      <c r="AZ74" s="697" t="str">
        <f>IFERROR(__xludf.DUMMYFUNCTION("""COMPUTED_VALUE"""),"Yes")</f>
        <v>Yes</v>
      </c>
      <c r="BA74" s="697"/>
      <c r="BB74" s="697"/>
      <c r="BC74" s="697" t="str">
        <f>IFERROR(__xludf.DUMMYFUNCTION("""COMPUTED_VALUE"""),"Each of these doses significantly reduced the ocular microfilaria load for at least 12 months when compared with either the placebo (p&lt;0.05) or pretreatment values (p&lt;0.001). However, the 100 and 150 ug/kg doses caused fewer minor side effects than the hi"&amp;"gher dose.Ivermectin in a single oral dose may be a safe and effective microfilaricidal drug for the treatment of onchocerciasis and it appears to be free of major ocular side effects.")</f>
        <v>Each of these doses significantly reduced the ocular microfilaria load for at least 12 months when compared with either the placebo (p&lt;0.05) or pretreatment values (p&lt;0.001). However, the 100 and 150 ug/kg doses caused fewer minor side effects than the higher dose.Ivermectin in a single oral dose may be a safe and effective microfilaricidal drug for the treatment of onchocerciasis and it appears to be free of major ocular side effects.</v>
      </c>
      <c r="BD74" s="697" t="str">
        <f>IFERROR(__xludf.DUMMYFUNCTION("""COMPUTED_VALUE"""),"The patients that missed one or more follow-up examinations included eight from the 100 ug/kg, 17 from the 150 ug/kg, 16 from the 200(ug/kg ivermectin groups, and 17 from the placebo group. There were 177 subjects present at three months, 162 at six month"&amp;"s, and 176 at 12 months. At 12 months all patients not examined were accounted for as follows: 14 had moved to the interior of the country; six had moved to urban areas and could not be found; the whereabouts of one was unknown; and two refused examinatio"&amp;"n. One patient in the 150 [ug/kg group died of undetermined causes between the six- and 12- month examination.")</f>
        <v>The patients that missed one or more follow-up examinations included eight from the 100 ug/kg, 17 from the 150 ug/kg, 16 from the 200(ug/kg ivermectin groups, and 17 from the placebo group. There were 177 subjects present at three months, 162 at six months, and 176 at 12 months. At 12 months all patients not examined were accounted for as follows: 14 had moved to the interior of the country; six had moved to urban areas and could not be found; the whereabouts of one was unknown; and two refused examination. One patient in the 150 [ug/kg group died of undetermined causes between the six- and 12- month examination.</v>
      </c>
      <c r="BE74" s="697"/>
      <c r="BF74" s="697"/>
      <c r="BG74" s="697"/>
    </row>
    <row r="75">
      <c r="A75" s="697"/>
      <c r="B75" s="697" t="str">
        <f>IFERROR(__xludf.DUMMYFUNCTION("""COMPUTED_VALUE"""),"Newland et al.")</f>
        <v>Newland et al.</v>
      </c>
      <c r="C75" s="697" t="str">
        <f>IFERROR(__xludf.DUMMYFUNCTION("""COMPUTED_VALUE"""),"Liberia")</f>
        <v>Liberia</v>
      </c>
      <c r="D75" s="697" t="str">
        <f>IFERROR(__xludf.DUMMYFUNCTION("""COMPUTED_VALUE"""),"Ivermectin")</f>
        <v>Ivermectin</v>
      </c>
      <c r="E75" s="697" t="str">
        <f>IFERROR(__xludf.DUMMYFUNCTION("""COMPUTED_VALUE"""),"200 ug/kg")</f>
        <v>200 ug/kg</v>
      </c>
      <c r="F75" s="697">
        <f>IFERROR(__xludf.DUMMYFUNCTION("""COMPUTED_VALUE"""),1.0)</f>
        <v>1</v>
      </c>
      <c r="G75" s="697" t="str">
        <f>IFERROR(__xludf.DUMMYFUNCTION("""COMPUTED_VALUE"""),"200 ug/kg")</f>
        <v>200 ug/kg</v>
      </c>
      <c r="H75" s="697"/>
      <c r="I75" s="697"/>
      <c r="J75" s="698">
        <f>IFERROR(__xludf.DUMMYFUNCTION("""COMPUTED_VALUE"""),0.7933)</f>
        <v>0.7933</v>
      </c>
      <c r="K75" s="697"/>
      <c r="L75" s="697"/>
      <c r="M75" s="697"/>
      <c r="N75" s="697"/>
      <c r="O75" s="697"/>
      <c r="P75" s="697"/>
      <c r="Q75" s="698">
        <f>IFERROR(__xludf.DUMMYFUNCTION("""COMPUTED_VALUE"""),0.9736)</f>
        <v>0.9736</v>
      </c>
      <c r="R75" s="697"/>
      <c r="S75" s="698">
        <f>IFERROR(__xludf.DUMMYFUNCTION("""COMPUTED_VALUE"""),0.9365)</f>
        <v>0.9365</v>
      </c>
      <c r="T75" s="697"/>
      <c r="U75" s="697"/>
      <c r="V75" s="697"/>
      <c r="W75" s="698">
        <f>IFERROR(__xludf.DUMMYFUNCTION("""COMPUTED_VALUE"""),0.8269)</f>
        <v>0.8269</v>
      </c>
      <c r="X75" s="697"/>
      <c r="Y75" s="697"/>
      <c r="Z75" s="697"/>
      <c r="AA75" s="697"/>
      <c r="AB75" s="697"/>
      <c r="AC75" s="697"/>
      <c r="AD75" s="697"/>
      <c r="AE75" s="697"/>
      <c r="AF75" s="697"/>
      <c r="AG75" s="697"/>
      <c r="AH75" s="697"/>
      <c r="AI75" s="697"/>
      <c r="AJ75" s="697"/>
      <c r="AK75" s="697"/>
      <c r="AL75" s="697"/>
      <c r="AM75" s="697"/>
      <c r="AN75" s="698">
        <f>IFERROR(__xludf.DUMMYFUNCTION("""COMPUTED_VALUE"""),0.9365)</f>
        <v>0.9365</v>
      </c>
      <c r="AO75" s="698">
        <f>IFERROR(__xludf.DUMMYFUNCTION("""COMPUTED_VALUE"""),0.9365)</f>
        <v>0.9365</v>
      </c>
      <c r="AP75" s="697" t="str">
        <f>IFERROR(__xludf.DUMMYFUNCTION("""COMPUTED_VALUE"""),"Mf reduction")</f>
        <v>Mf reduction</v>
      </c>
      <c r="AQ75" s="697" t="str">
        <f>IFERROR(__xludf.DUMMYFUNCTION("""COMPUTED_VALUE"""),"Grand Bassa County, Liberia ")</f>
        <v>Grand Bassa County, Liberia </v>
      </c>
      <c r="AR75" s="697">
        <f>IFERROR(__xludf.DUMMYFUNCTION("""COMPUTED_VALUE"""),1988.0)</f>
        <v>1988</v>
      </c>
      <c r="AS75" s="697">
        <f>IFERROR(__xludf.DUMMYFUNCTION("""COMPUTED_VALUE"""),51.0)</f>
        <v>51</v>
      </c>
      <c r="AT75" s="697" t="str">
        <f>IFERROR(__xludf.DUMMYFUNCTION("""COMPUTED_VALUE"""),"12 months")</f>
        <v>12 months</v>
      </c>
      <c r="AU75" s="699" t="str">
        <f>IFERROR(__xludf.DUMMYFUNCTION("""COMPUTED_VALUE"""),"Newland, H.S.; White, A.T.; Greene, B.M.; D’Anna, S.A.; Kayvan-Larijani, E.; Aziz, M.A.; Williams, N.P.; Taylor, H.R. (1988) British Journal of Ophthalmology (72): 561-569.")</f>
        <v>Newland, H.S.; White, A.T.; Greene, B.M.; D’Anna, S.A.; Kayvan-Larijani, E.; Aziz, M.A.; Williams, N.P.; Taylor, H.R. (1988) British Journal of Ophthalmology (72): 561-569.</v>
      </c>
      <c r="AV75" s="697" t="str">
        <f>IFERROR(__xludf.DUMMYFUNCTION("""COMPUTED_VALUE"""),"FM")</f>
        <v>FM</v>
      </c>
      <c r="AW75" s="697" t="str">
        <f>IFERROR(__xludf.DUMMYFUNCTION("""COMPUTED_VALUE"""),"12-60 years old; Mean Age 30.5 years")</f>
        <v>12-60 years old; Mean Age 30.5 years</v>
      </c>
      <c r="AX75" s="697" t="str">
        <f>IFERROR(__xludf.DUMMYFUNCTION("""COMPUTED_VALUE"""),"Patients with heaviest infection by microfilaria skin count who were otherwise apparently healthy and who had given consent were selected for inclusion in this study. All patients had screening skin-snip microfilaria counts of greater than 15 microfilaria"&amp;" per mg of skin. Pregnant and lactating females and any subject who had received an antifilaricidal within one year were excluded.'")</f>
        <v>Patients with heaviest infection by microfilaria skin count who were otherwise apparently healthy and who had given consent were selected for inclusion in this study. All patients had screening skin-snip microfilaria counts of greater than 15 microfilaria per mg of skin. Pregnant and lactating females and any subject who had received an antifilaricidal within one year were excluded.'</v>
      </c>
      <c r="AY75" s="697" t="str">
        <f>IFERROR(__xludf.DUMMYFUNCTION("""COMPUTED_VALUE"""),"No")</f>
        <v>No</v>
      </c>
      <c r="AZ75" s="697" t="str">
        <f>IFERROR(__xludf.DUMMYFUNCTION("""COMPUTED_VALUE"""),"Yes")</f>
        <v>Yes</v>
      </c>
      <c r="BA75" s="697"/>
      <c r="BB75" s="697"/>
      <c r="BC75" s="697" t="str">
        <f>IFERROR(__xludf.DUMMYFUNCTION("""COMPUTED_VALUE"""),"Each of these doses significantly reduced the ocular microfilaria load for at least 12 months when compared with either the placebo (p&lt;0.05) or pretreatment values (p&lt;0.001). However, the 100 and 150 ug/kg doses caused fewer minor side effects than the hi"&amp;"gher dose.Ivermectin in a single oral dose may be a safe and effective microfilaricidal drug for the treatment of onchocerciasis and it appears to be free of major ocular side effects.")</f>
        <v>Each of these doses significantly reduced the ocular microfilaria load for at least 12 months when compared with either the placebo (p&lt;0.05) or pretreatment values (p&lt;0.001). However, the 100 and 150 ug/kg doses caused fewer minor side effects than the higher dose.Ivermectin in a single oral dose may be a safe and effective microfilaricidal drug for the treatment of onchocerciasis and it appears to be free of major ocular side effects.</v>
      </c>
      <c r="BD75" s="697" t="str">
        <f>IFERROR(__xludf.DUMMYFUNCTION("""COMPUTED_VALUE"""),"The patients that missed one or more follow-up examinations included eight from the 100 ug/kg, 17 from the 150 ug/kg, 16 from the 200(ug/kg ivermectin groups, and 17 from the placebo group. There were 177 subjects present at three months, 162 at six month"&amp;"s, and 176 at 12 months. At 12 months all patients not examined were accounted for as follows: 14 had moved to the interior of the country; six had moved to urban areas and could not be found; the whereabouts of one was unknown; and two refused examinatio"&amp;"n. One patient in the 150 [ug/kg group died of undetermined causes between the six- and 12- month examination.")</f>
        <v>The patients that missed one or more follow-up examinations included eight from the 100 ug/kg, 17 from the 150 ug/kg, 16 from the 200(ug/kg ivermectin groups, and 17 from the placebo group. There were 177 subjects present at three months, 162 at six months, and 176 at 12 months. At 12 months all patients not examined were accounted for as follows: 14 had moved to the interior of the country; six had moved to urban areas and could not be found; the whereabouts of one was unknown; and two refused examination. One patient in the 150 [ug/kg group died of undetermined causes between the six- and 12- month examination.</v>
      </c>
      <c r="BE75" s="697"/>
      <c r="BF75" s="697"/>
      <c r="BG75" s="697"/>
    </row>
    <row r="76">
      <c r="A76" s="697"/>
      <c r="B76" s="697" t="str">
        <f>IFERROR(__xludf.DUMMYFUNCTION("""COMPUTED_VALUE"""),"Mössinger, Schulz-Key, &amp; Dietz")</f>
        <v>Mössinger, Schulz-Key, &amp; Dietz</v>
      </c>
      <c r="C76" s="697" t="str">
        <f>IFERROR(__xludf.DUMMYFUNCTION("""COMPUTED_VALUE"""),"Togo")</f>
        <v>Togo</v>
      </c>
      <c r="D76" s="697" t="str">
        <f>IFERROR(__xludf.DUMMYFUNCTION("""COMPUTED_VALUE"""),"Ivermectin")</f>
        <v>Ivermectin</v>
      </c>
      <c r="E76" s="697" t="str">
        <f>IFERROR(__xludf.DUMMYFUNCTION("""COMPUTED_VALUE"""),"100 ug/kg")</f>
        <v>100 ug/kg</v>
      </c>
      <c r="F76" s="697">
        <f>IFERROR(__xludf.DUMMYFUNCTION("""COMPUTED_VALUE"""),1.0)</f>
        <v>1</v>
      </c>
      <c r="G76" s="697" t="str">
        <f>IFERROR(__xludf.DUMMYFUNCTION("""COMPUTED_VALUE"""),"100 ug/kg")</f>
        <v>100 ug/kg</v>
      </c>
      <c r="H76" s="697"/>
      <c r="I76" s="697"/>
      <c r="J76" s="698">
        <f>IFERROR(__xludf.DUMMYFUNCTION("""COMPUTED_VALUE"""),0.723)</f>
        <v>0.723</v>
      </c>
      <c r="K76" s="697"/>
      <c r="L76" s="697"/>
      <c r="M76" s="697"/>
      <c r="N76" s="697"/>
      <c r="O76" s="697"/>
      <c r="P76" s="697"/>
      <c r="Q76" s="697"/>
      <c r="R76" s="697"/>
      <c r="S76" s="697"/>
      <c r="T76" s="697"/>
      <c r="U76" s="697"/>
      <c r="V76" s="697"/>
      <c r="W76" s="697"/>
      <c r="X76" s="697"/>
      <c r="Y76" s="697"/>
      <c r="Z76" s="697"/>
      <c r="AA76" s="697"/>
      <c r="AB76" s="697"/>
      <c r="AC76" s="697"/>
      <c r="AD76" s="697"/>
      <c r="AE76" s="697" t="str">
        <f>IFERROR(__xludf.DUMMYFUNCTION("""COMPUTED_VALUE"""),"n/a")</f>
        <v>n/a</v>
      </c>
      <c r="AF76" s="697"/>
      <c r="AG76" s="697"/>
      <c r="AH76" s="697"/>
      <c r="AI76" s="697"/>
      <c r="AJ76" s="697"/>
      <c r="AK76" s="697"/>
      <c r="AL76" s="697"/>
      <c r="AM76" s="697"/>
      <c r="AN76" s="698">
        <f>IFERROR(__xludf.DUMMYFUNCTION("""COMPUTED_VALUE"""),0.723)</f>
        <v>0.723</v>
      </c>
      <c r="AO76" s="698">
        <f>IFERROR(__xludf.DUMMYFUNCTION("""COMPUTED_VALUE"""),0.723)</f>
        <v>0.723</v>
      </c>
      <c r="AP76" s="697" t="str">
        <f>IFERROR(__xludf.DUMMYFUNCTION("""COMPUTED_VALUE"""),"Mf reduction")</f>
        <v>Mf reduction</v>
      </c>
      <c r="AQ76" s="697" t="str">
        <f>IFERROR(__xludf.DUMMYFUNCTION("""COMPUTED_VALUE"""),"Sokedo, Togo")</f>
        <v>Sokedo, Togo</v>
      </c>
      <c r="AR76" s="697">
        <f>IFERROR(__xludf.DUMMYFUNCTION("""COMPUTED_VALUE"""),1988.0)</f>
        <v>1988</v>
      </c>
      <c r="AS76" s="697">
        <f>IFERROR(__xludf.DUMMYFUNCTION("""COMPUTED_VALUE"""),23.0)</f>
        <v>23</v>
      </c>
      <c r="AT76" s="697" t="str">
        <f>IFERROR(__xludf.DUMMYFUNCTION("""COMPUTED_VALUE"""),"3 days")</f>
        <v>3 days</v>
      </c>
      <c r="AU76" s="699" t="str">
        <f>IFERROR(__xludf.DUMMYFUNCTION("""COMPUTED_VALUE"""),"Mössinger, J.; Schulz-Key, H.; Dietz, K. (1988) Emergency of Onchocerca volvulus microfilariae from skin snips before and after treatment of patients with ivermectin. Trop. Med. Parasit 39: 313-316.")</f>
        <v>Mössinger, J.; Schulz-Key, H.; Dietz, K. (1988) Emergency of Onchocerca volvulus microfilariae from skin snips before and after treatment of patients with ivermectin. Trop. Med. Parasit 39: 313-316.</v>
      </c>
      <c r="AV76" s="697" t="str">
        <f>IFERROR(__xludf.DUMMYFUNCTION("""COMPUTED_VALUE"""),"FM")</f>
        <v>FM</v>
      </c>
      <c r="AW76" s="697" t="str">
        <f>IFERROR(__xludf.DUMMYFUNCTION("""COMPUTED_VALUE"""),"9-60 years old")</f>
        <v>9-60 years old</v>
      </c>
      <c r="AX76" s="697"/>
      <c r="AY76" s="697" t="str">
        <f>IFERROR(__xludf.DUMMYFUNCTION("""COMPUTED_VALUE"""),"Yes")</f>
        <v>Yes</v>
      </c>
      <c r="AZ76" s="697" t="str">
        <f>IFERROR(__xludf.DUMMYFUNCTION("""COMPUTED_VALUE"""),"Yes")</f>
        <v>Yes</v>
      </c>
      <c r="BA76" s="697"/>
      <c r="BB76" s="697"/>
      <c r="BC76" s="697" t="str">
        <f>IFERROR(__xludf.DUMMYFUNCTION("""COMPUTED_VALUE"""),"Three days after treatment the microfilarial skin density had dropped to 83% (placebo), 28% (100 ug/kg ivermectin) 19% (150 ug/kg) and 14% (200 ug/kg) of the pretreatment values but the microfilarial emergence was not altered distinctly.
")</f>
        <v>Three days after treatment the microfilarial skin density had dropped to 83% (placebo), 28% (100 ug/kg ivermectin) 19% (150 ug/kg) and 14% (200 ug/kg) of the pretreatment values but the microfilarial emergence was not altered distinctly.
</v>
      </c>
      <c r="BD76" s="697"/>
      <c r="BE76" s="697"/>
      <c r="BF76" s="697"/>
      <c r="BG76" s="697"/>
    </row>
    <row r="77">
      <c r="A77" s="697"/>
      <c r="B77" s="697" t="str">
        <f>IFERROR(__xludf.DUMMYFUNCTION("""COMPUTED_VALUE"""),"Mössinger, Schulz-Key, &amp; Dietz")</f>
        <v>Mössinger, Schulz-Key, &amp; Dietz</v>
      </c>
      <c r="C77" s="697" t="str">
        <f>IFERROR(__xludf.DUMMYFUNCTION("""COMPUTED_VALUE"""),"Togo")</f>
        <v>Togo</v>
      </c>
      <c r="D77" s="697" t="str">
        <f>IFERROR(__xludf.DUMMYFUNCTION("""COMPUTED_VALUE"""),"Ivermectin")</f>
        <v>Ivermectin</v>
      </c>
      <c r="E77" s="697" t="str">
        <f>IFERROR(__xludf.DUMMYFUNCTION("""COMPUTED_VALUE"""),"150 ug/kg")</f>
        <v>150 ug/kg</v>
      </c>
      <c r="F77" s="697">
        <f>IFERROR(__xludf.DUMMYFUNCTION("""COMPUTED_VALUE"""),1.0)</f>
        <v>1</v>
      </c>
      <c r="G77" s="697" t="str">
        <f>IFERROR(__xludf.DUMMYFUNCTION("""COMPUTED_VALUE"""),"150 ug/kg")</f>
        <v>150 ug/kg</v>
      </c>
      <c r="H77" s="697"/>
      <c r="I77" s="697"/>
      <c r="J77" s="700">
        <f>IFERROR(__xludf.DUMMYFUNCTION("""COMPUTED_VALUE"""),0.81)</f>
        <v>0.81</v>
      </c>
      <c r="K77" s="697"/>
      <c r="L77" s="697"/>
      <c r="M77" s="697"/>
      <c r="N77" s="697"/>
      <c r="O77" s="697"/>
      <c r="P77" s="697"/>
      <c r="Q77" s="697"/>
      <c r="R77" s="697"/>
      <c r="S77" s="697"/>
      <c r="T77" s="697"/>
      <c r="U77" s="697"/>
      <c r="V77" s="697"/>
      <c r="W77" s="697"/>
      <c r="X77" s="697"/>
      <c r="Y77" s="697"/>
      <c r="Z77" s="697"/>
      <c r="AA77" s="697"/>
      <c r="AB77" s="697"/>
      <c r="AC77" s="697"/>
      <c r="AD77" s="697"/>
      <c r="AE77" s="697" t="str">
        <f>IFERROR(__xludf.DUMMYFUNCTION("""COMPUTED_VALUE"""),"n/a")</f>
        <v>n/a</v>
      </c>
      <c r="AF77" s="697"/>
      <c r="AG77" s="697"/>
      <c r="AH77" s="697"/>
      <c r="AI77" s="697"/>
      <c r="AJ77" s="697"/>
      <c r="AK77" s="697"/>
      <c r="AL77" s="697"/>
      <c r="AM77" s="697"/>
      <c r="AN77" s="700">
        <f>IFERROR(__xludf.DUMMYFUNCTION("""COMPUTED_VALUE"""),0.81)</f>
        <v>0.81</v>
      </c>
      <c r="AO77" s="698">
        <f>IFERROR(__xludf.DUMMYFUNCTION("""COMPUTED_VALUE"""),0.81)</f>
        <v>0.81</v>
      </c>
      <c r="AP77" s="697" t="str">
        <f>IFERROR(__xludf.DUMMYFUNCTION("""COMPUTED_VALUE"""),"Mf reduction")</f>
        <v>Mf reduction</v>
      </c>
      <c r="AQ77" s="697" t="str">
        <f>IFERROR(__xludf.DUMMYFUNCTION("""COMPUTED_VALUE"""),"Sokedo, Togo")</f>
        <v>Sokedo, Togo</v>
      </c>
      <c r="AR77" s="697">
        <f>IFERROR(__xludf.DUMMYFUNCTION("""COMPUTED_VALUE"""),1988.0)</f>
        <v>1988</v>
      </c>
      <c r="AS77" s="697">
        <f>IFERROR(__xludf.DUMMYFUNCTION("""COMPUTED_VALUE"""),26.0)</f>
        <v>26</v>
      </c>
      <c r="AT77" s="697" t="str">
        <f>IFERROR(__xludf.DUMMYFUNCTION("""COMPUTED_VALUE"""),"3 days")</f>
        <v>3 days</v>
      </c>
      <c r="AU77" s="699" t="str">
        <f>IFERROR(__xludf.DUMMYFUNCTION("""COMPUTED_VALUE"""),"Mössinger, J.; Schulz-Key, H.; Dietz, K. (1988) Emergency of Onchocerca volvulus microfilariae from skin snips before and after treatment of patients with ivermectin. Trop. Med. Parasit 39: 313-316.")</f>
        <v>Mössinger, J.; Schulz-Key, H.; Dietz, K. (1988) Emergency of Onchocerca volvulus microfilariae from skin snips before and after treatment of patients with ivermectin. Trop. Med. Parasit 39: 313-316.</v>
      </c>
      <c r="AV77" s="697" t="str">
        <f>IFERROR(__xludf.DUMMYFUNCTION("""COMPUTED_VALUE"""),"FM")</f>
        <v>FM</v>
      </c>
      <c r="AW77" s="697" t="str">
        <f>IFERROR(__xludf.DUMMYFUNCTION("""COMPUTED_VALUE"""),"9-60 years old")</f>
        <v>9-60 years old</v>
      </c>
      <c r="AX77" s="697"/>
      <c r="AY77" s="697" t="str">
        <f>IFERROR(__xludf.DUMMYFUNCTION("""COMPUTED_VALUE"""),"Yes")</f>
        <v>Yes</v>
      </c>
      <c r="AZ77" s="697" t="str">
        <f>IFERROR(__xludf.DUMMYFUNCTION("""COMPUTED_VALUE"""),"Yes")</f>
        <v>Yes</v>
      </c>
      <c r="BA77" s="697"/>
      <c r="BB77" s="697"/>
      <c r="BC77" s="697" t="str">
        <f>IFERROR(__xludf.DUMMYFUNCTION("""COMPUTED_VALUE"""),"Three days after treatment the microfilarial skin density had dropped to 83% (placebo), 28% (100 ug/kg ivermectin) 19% (150 ug/kg) and 14% (200 ug/kg) of the pretreatment values but the microfilarial emergence was not altered distinctly.
")</f>
        <v>Three days after treatment the microfilarial skin density had dropped to 83% (placebo), 28% (100 ug/kg ivermectin) 19% (150 ug/kg) and 14% (200 ug/kg) of the pretreatment values but the microfilarial emergence was not altered distinctly.
</v>
      </c>
      <c r="BD77" s="697"/>
      <c r="BE77" s="697"/>
      <c r="BF77" s="697"/>
      <c r="BG77" s="697"/>
    </row>
    <row r="78">
      <c r="A78" s="697"/>
      <c r="B78" s="697" t="str">
        <f>IFERROR(__xludf.DUMMYFUNCTION("""COMPUTED_VALUE"""),"Mössinger, Schulz-Key, &amp; Dietz")</f>
        <v>Mössinger, Schulz-Key, &amp; Dietz</v>
      </c>
      <c r="C78" s="697" t="str">
        <f>IFERROR(__xludf.DUMMYFUNCTION("""COMPUTED_VALUE"""),"Togo")</f>
        <v>Togo</v>
      </c>
      <c r="D78" s="697" t="str">
        <f>IFERROR(__xludf.DUMMYFUNCTION("""COMPUTED_VALUE"""),"Ivermectin")</f>
        <v>Ivermectin</v>
      </c>
      <c r="E78" s="697" t="str">
        <f>IFERROR(__xludf.DUMMYFUNCTION("""COMPUTED_VALUE"""),"200 ug/kg")</f>
        <v>200 ug/kg</v>
      </c>
      <c r="F78" s="697">
        <f>IFERROR(__xludf.DUMMYFUNCTION("""COMPUTED_VALUE"""),1.0)</f>
        <v>1</v>
      </c>
      <c r="G78" s="697" t="str">
        <f>IFERROR(__xludf.DUMMYFUNCTION("""COMPUTED_VALUE"""),"200 ug/kg")</f>
        <v>200 ug/kg</v>
      </c>
      <c r="H78" s="697"/>
      <c r="I78" s="697"/>
      <c r="J78" s="698">
        <f>IFERROR(__xludf.DUMMYFUNCTION("""COMPUTED_VALUE"""),0.856)</f>
        <v>0.856</v>
      </c>
      <c r="K78" s="697"/>
      <c r="L78" s="697"/>
      <c r="M78" s="697"/>
      <c r="N78" s="697"/>
      <c r="O78" s="697"/>
      <c r="P78" s="697"/>
      <c r="Q78" s="697"/>
      <c r="R78" s="697"/>
      <c r="S78" s="697"/>
      <c r="T78" s="697"/>
      <c r="U78" s="697"/>
      <c r="V78" s="697"/>
      <c r="W78" s="697"/>
      <c r="X78" s="697"/>
      <c r="Y78" s="697"/>
      <c r="Z78" s="697"/>
      <c r="AA78" s="697"/>
      <c r="AB78" s="697"/>
      <c r="AC78" s="697"/>
      <c r="AD78" s="697"/>
      <c r="AE78" s="697" t="str">
        <f>IFERROR(__xludf.DUMMYFUNCTION("""COMPUTED_VALUE"""),"n/a")</f>
        <v>n/a</v>
      </c>
      <c r="AF78" s="697"/>
      <c r="AG78" s="697"/>
      <c r="AH78" s="697"/>
      <c r="AI78" s="697"/>
      <c r="AJ78" s="697"/>
      <c r="AK78" s="697"/>
      <c r="AL78" s="697"/>
      <c r="AM78" s="697"/>
      <c r="AN78" s="698">
        <f>IFERROR(__xludf.DUMMYFUNCTION("""COMPUTED_VALUE"""),0.856)</f>
        <v>0.856</v>
      </c>
      <c r="AO78" s="698">
        <f>IFERROR(__xludf.DUMMYFUNCTION("""COMPUTED_VALUE"""),0.856)</f>
        <v>0.856</v>
      </c>
      <c r="AP78" s="697" t="str">
        <f>IFERROR(__xludf.DUMMYFUNCTION("""COMPUTED_VALUE"""),"Mf reduction")</f>
        <v>Mf reduction</v>
      </c>
      <c r="AQ78" s="697" t="str">
        <f>IFERROR(__xludf.DUMMYFUNCTION("""COMPUTED_VALUE"""),"Sokedo, Togo")</f>
        <v>Sokedo, Togo</v>
      </c>
      <c r="AR78" s="697">
        <f>IFERROR(__xludf.DUMMYFUNCTION("""COMPUTED_VALUE"""),1988.0)</f>
        <v>1988</v>
      </c>
      <c r="AS78" s="697">
        <f>IFERROR(__xludf.DUMMYFUNCTION("""COMPUTED_VALUE"""),25.0)</f>
        <v>25</v>
      </c>
      <c r="AT78" s="697" t="str">
        <f>IFERROR(__xludf.DUMMYFUNCTION("""COMPUTED_VALUE"""),"3 days")</f>
        <v>3 days</v>
      </c>
      <c r="AU78" s="699" t="str">
        <f>IFERROR(__xludf.DUMMYFUNCTION("""COMPUTED_VALUE"""),"Mössinger, J.; Schulz-Key, H.; Dietz, K. (1988) Emergency of Onchocerca volvulus microfilariae from skin snips before and after treatment of patients with ivermectin. Trop. Med. Parasit 39: 313-316.")</f>
        <v>Mössinger, J.; Schulz-Key, H.; Dietz, K. (1988) Emergency of Onchocerca volvulus microfilariae from skin snips before and after treatment of patients with ivermectin. Trop. Med. Parasit 39: 313-316.</v>
      </c>
      <c r="AV78" s="697" t="str">
        <f>IFERROR(__xludf.DUMMYFUNCTION("""COMPUTED_VALUE"""),"FM")</f>
        <v>FM</v>
      </c>
      <c r="AW78" s="697" t="str">
        <f>IFERROR(__xludf.DUMMYFUNCTION("""COMPUTED_VALUE"""),"9-60 years old")</f>
        <v>9-60 years old</v>
      </c>
      <c r="AX78" s="697"/>
      <c r="AY78" s="697" t="str">
        <f>IFERROR(__xludf.DUMMYFUNCTION("""COMPUTED_VALUE"""),"Yes")</f>
        <v>Yes</v>
      </c>
      <c r="AZ78" s="697" t="str">
        <f>IFERROR(__xludf.DUMMYFUNCTION("""COMPUTED_VALUE"""),"Yes")</f>
        <v>Yes</v>
      </c>
      <c r="BA78" s="697"/>
      <c r="BB78" s="697"/>
      <c r="BC78" s="697" t="str">
        <f>IFERROR(__xludf.DUMMYFUNCTION("""COMPUTED_VALUE"""),"Three days after treatment the microfilarial skin density had dropped to 83% (placebo), 28% (100 ug/kg ivermectin) 19% (150 ug/kg) and 14% (200 ug/kg) of the pretreatment values but the microfilarial emergence was not altered distinctly.
")</f>
        <v>Three days after treatment the microfilarial skin density had dropped to 83% (placebo), 28% (100 ug/kg ivermectin) 19% (150 ug/kg) and 14% (200 ug/kg) of the pretreatment values but the microfilarial emergence was not altered distinctly.
</v>
      </c>
      <c r="BD78" s="697"/>
      <c r="BE78" s="697"/>
      <c r="BF78" s="697"/>
      <c r="BG78" s="697"/>
    </row>
    <row r="79">
      <c r="A79" s="697"/>
      <c r="B79" s="697" t="str">
        <f>IFERROR(__xludf.DUMMYFUNCTION("""COMPUTED_VALUE"""),"Mössinger, Schulz-Key, &amp; Dietz")</f>
        <v>Mössinger, Schulz-Key, &amp; Dietz</v>
      </c>
      <c r="C79" s="697" t="str">
        <f>IFERROR(__xludf.DUMMYFUNCTION("""COMPUTED_VALUE"""),"Togo")</f>
        <v>Togo</v>
      </c>
      <c r="D79" s="697" t="str">
        <f>IFERROR(__xludf.DUMMYFUNCTION("""COMPUTED_VALUE"""),"Placebo")</f>
        <v>Placebo</v>
      </c>
      <c r="E79" s="697"/>
      <c r="F79" s="697"/>
      <c r="G79" s="697"/>
      <c r="H79" s="697"/>
      <c r="I79" s="697"/>
      <c r="J79" s="698">
        <f>IFERROR(__xludf.DUMMYFUNCTION("""COMPUTED_VALUE"""),0.167)</f>
        <v>0.167</v>
      </c>
      <c r="K79" s="697"/>
      <c r="L79" s="697"/>
      <c r="M79" s="697"/>
      <c r="N79" s="697"/>
      <c r="O79" s="697"/>
      <c r="P79" s="697"/>
      <c r="Q79" s="697"/>
      <c r="R79" s="697"/>
      <c r="S79" s="697"/>
      <c r="T79" s="697"/>
      <c r="U79" s="697"/>
      <c r="V79" s="697"/>
      <c r="W79" s="697"/>
      <c r="X79" s="697"/>
      <c r="Y79" s="697"/>
      <c r="Z79" s="697"/>
      <c r="AA79" s="697"/>
      <c r="AB79" s="697"/>
      <c r="AC79" s="697"/>
      <c r="AD79" s="697"/>
      <c r="AE79" s="697" t="str">
        <f>IFERROR(__xludf.DUMMYFUNCTION("""COMPUTED_VALUE"""),"n/a")</f>
        <v>n/a</v>
      </c>
      <c r="AF79" s="697"/>
      <c r="AG79" s="697"/>
      <c r="AH79" s="697"/>
      <c r="AI79" s="697"/>
      <c r="AJ79" s="697"/>
      <c r="AK79" s="697"/>
      <c r="AL79" s="697"/>
      <c r="AM79" s="697"/>
      <c r="AN79" s="698">
        <f>IFERROR(__xludf.DUMMYFUNCTION("""COMPUTED_VALUE"""),0.167)</f>
        <v>0.167</v>
      </c>
      <c r="AO79" s="698">
        <f>IFERROR(__xludf.DUMMYFUNCTION("""COMPUTED_VALUE"""),0.167)</f>
        <v>0.167</v>
      </c>
      <c r="AP79" s="697" t="str">
        <f>IFERROR(__xludf.DUMMYFUNCTION("""COMPUTED_VALUE"""),"Mf reduction")</f>
        <v>Mf reduction</v>
      </c>
      <c r="AQ79" s="697" t="str">
        <f>IFERROR(__xludf.DUMMYFUNCTION("""COMPUTED_VALUE"""),"Sokedo, Togo")</f>
        <v>Sokedo, Togo</v>
      </c>
      <c r="AR79" s="697">
        <f>IFERROR(__xludf.DUMMYFUNCTION("""COMPUTED_VALUE"""),1988.0)</f>
        <v>1988</v>
      </c>
      <c r="AS79" s="697">
        <f>IFERROR(__xludf.DUMMYFUNCTION("""COMPUTED_VALUE"""),16.0)</f>
        <v>16</v>
      </c>
      <c r="AT79" s="697" t="str">
        <f>IFERROR(__xludf.DUMMYFUNCTION("""COMPUTED_VALUE"""),"3 days")</f>
        <v>3 days</v>
      </c>
      <c r="AU79" s="699" t="str">
        <f>IFERROR(__xludf.DUMMYFUNCTION("""COMPUTED_VALUE"""),"Mössinger, J.; Schulz-Key, H.; Dietz, K. (1988) Emergency of Onchocerca volvulus microfilariae from skin snips before and after treatment of patients with ivermectin. Trop. Med. Parasit 39: 313-316.")</f>
        <v>Mössinger, J.; Schulz-Key, H.; Dietz, K. (1988) Emergency of Onchocerca volvulus microfilariae from skin snips before and after treatment of patients with ivermectin. Trop. Med. Parasit 39: 313-316.</v>
      </c>
      <c r="AV79" s="697" t="str">
        <f>IFERROR(__xludf.DUMMYFUNCTION("""COMPUTED_VALUE"""),"FM")</f>
        <v>FM</v>
      </c>
      <c r="AW79" s="697" t="str">
        <f>IFERROR(__xludf.DUMMYFUNCTION("""COMPUTED_VALUE"""),"9-60 years old")</f>
        <v>9-60 years old</v>
      </c>
      <c r="AX79" s="697"/>
      <c r="AY79" s="697" t="str">
        <f>IFERROR(__xludf.DUMMYFUNCTION("""COMPUTED_VALUE"""),"Yes")</f>
        <v>Yes</v>
      </c>
      <c r="AZ79" s="697" t="str">
        <f>IFERROR(__xludf.DUMMYFUNCTION("""COMPUTED_VALUE"""),"Yes")</f>
        <v>Yes</v>
      </c>
      <c r="BA79" s="697"/>
      <c r="BB79" s="697"/>
      <c r="BC79" s="697" t="str">
        <f>IFERROR(__xludf.DUMMYFUNCTION("""COMPUTED_VALUE"""),"Three days after treatment the microfilarial skin density had dropped to 83% (placebo), 28% (100 ug/kg ivermectin) 19% (150 ug/kg) and 14% (200 ug/kg) of the pretreatment values but the microfilarial emergence was not altered distinctly.
")</f>
        <v>Three days after treatment the microfilarial skin density had dropped to 83% (placebo), 28% (100 ug/kg ivermectin) 19% (150 ug/kg) and 14% (200 ug/kg) of the pretreatment values but the microfilarial emergence was not altered distinctly.
</v>
      </c>
      <c r="BD79" s="697"/>
      <c r="BE79" s="697"/>
      <c r="BF79" s="697"/>
      <c r="BG79" s="697"/>
    </row>
    <row r="80">
      <c r="A80" s="697"/>
      <c r="B80" s="697" t="str">
        <f>IFERROR(__xludf.DUMMYFUNCTION("""COMPUTED_VALUE"""),"Kebede et al.")</f>
        <v>Kebede et al.</v>
      </c>
      <c r="C80" s="697" t="str">
        <f>IFERROR(__xludf.DUMMYFUNCTION("""COMPUTED_VALUE"""),"Ethiopia")</f>
        <v>Ethiopia</v>
      </c>
      <c r="D80" s="697" t="str">
        <f>IFERROR(__xludf.DUMMYFUNCTION("""COMPUTED_VALUE"""),"Ivermectin")</f>
        <v>Ivermectin</v>
      </c>
      <c r="E80" s="697" t="str">
        <f>IFERROR(__xludf.DUMMYFUNCTION("""COMPUTED_VALUE"""),"150 ug/kg")</f>
        <v>150 ug/kg</v>
      </c>
      <c r="F80" s="697">
        <f>IFERROR(__xludf.DUMMYFUNCTION("""COMPUTED_VALUE"""),1.0)</f>
        <v>1</v>
      </c>
      <c r="G80" s="697" t="str">
        <f>IFERROR(__xludf.DUMMYFUNCTION("""COMPUTED_VALUE"""),"150 mcg/kg")</f>
        <v>150 mcg/kg</v>
      </c>
      <c r="H80" s="697"/>
      <c r="I80" s="697"/>
      <c r="J80" s="697"/>
      <c r="K80" s="697"/>
      <c r="L80" s="697"/>
      <c r="M80" s="697"/>
      <c r="N80" s="697"/>
      <c r="O80" s="697"/>
      <c r="P80" s="697"/>
      <c r="Q80" s="697"/>
      <c r="R80" s="700">
        <f>IFERROR(__xludf.DUMMYFUNCTION("""COMPUTED_VALUE"""),0.81)</f>
        <v>0.81</v>
      </c>
      <c r="S80" s="697"/>
      <c r="T80" s="700">
        <f>IFERROR(__xludf.DUMMYFUNCTION("""COMPUTED_VALUE"""),0.62)</f>
        <v>0.62</v>
      </c>
      <c r="U80" s="697"/>
      <c r="V80" s="697"/>
      <c r="W80" s="697"/>
      <c r="X80" s="697"/>
      <c r="Y80" s="697"/>
      <c r="Z80" s="697"/>
      <c r="AA80" s="697"/>
      <c r="AB80" s="697"/>
      <c r="AC80" s="697"/>
      <c r="AD80" s="697"/>
      <c r="AE80" s="697"/>
      <c r="AF80" s="697"/>
      <c r="AG80" s="697"/>
      <c r="AH80" s="697"/>
      <c r="AI80" s="697"/>
      <c r="AJ80" s="697"/>
      <c r="AK80" s="697"/>
      <c r="AL80" s="697"/>
      <c r="AM80" s="697"/>
      <c r="AN80" s="700">
        <f>IFERROR(__xludf.DUMMYFUNCTION("""COMPUTED_VALUE"""),0.81)</f>
        <v>0.81</v>
      </c>
      <c r="AO80" s="698">
        <f>IFERROR(__xludf.DUMMYFUNCTION("""COMPUTED_VALUE"""),0.81)</f>
        <v>0.81</v>
      </c>
      <c r="AP80" s="697" t="str">
        <f>IFERROR(__xludf.DUMMYFUNCTION("""COMPUTED_VALUE"""),"Nodulectomy: mf reduction")</f>
        <v>Nodulectomy: mf reduction</v>
      </c>
      <c r="AQ80" s="697" t="str">
        <f>IFERROR(__xludf.DUMMYFUNCTION("""COMPUTED_VALUE"""),"Bebeaka, Ethiopia")</f>
        <v>Bebeaka, Ethiopia</v>
      </c>
      <c r="AR80" s="697">
        <f>IFERROR(__xludf.DUMMYFUNCTION("""COMPUTED_VALUE"""),1990.0)</f>
        <v>1990</v>
      </c>
      <c r="AS80" s="697">
        <f>IFERROR(__xludf.DUMMYFUNCTION("""COMPUTED_VALUE"""),190.0)</f>
        <v>190</v>
      </c>
      <c r="AT80" s="697" t="str">
        <f>IFERROR(__xludf.DUMMYFUNCTION("""COMPUTED_VALUE"""),"8 months")</f>
        <v>8 months</v>
      </c>
      <c r="AU80" s="699" t="str">
        <f>IFERROR(__xludf.DUMMYFUNCTION("""COMPUTED_VALUE"""),"Kebede, A.; Taticheff, S.; Bulto, T.; Workneh, W.; Tilahun, D. (1993) Effect of Ivermectin Treatment on Microfilarial Load in Patients with Onchocerca Volvulus in Bebeka, Ethiopia. Ethiop Med 31(2): 127-135.")</f>
        <v>Kebede, A.; Taticheff, S.; Bulto, T.; Workneh, W.; Tilahun, D. (1993) Effect of Ivermectin Treatment on Microfilarial Load in Patients with Onchocerca Volvulus in Bebeka, Ethiopia. Ethiop Med 31(2): 127-135.</v>
      </c>
      <c r="AV80" s="697" t="str">
        <f>IFERROR(__xludf.DUMMYFUNCTION("""COMPUTED_VALUE"""),"159 M; 31 F")</f>
        <v>159 M; 31 F</v>
      </c>
      <c r="AW80" s="697" t="str">
        <f>IFERROR(__xludf.DUMMYFUNCTION("""COMPUTED_VALUE"""),"7-41+ years old; 7-18 years: 16; 19-30 years: 73; 31-40 years: 68; 41+ years 33")</f>
        <v>7-41+ years old; 7-18 years: 16; 19-30 years: 73; 31-40 years: 68; 41+ years 33</v>
      </c>
      <c r="AX80" s="697"/>
      <c r="AY80" s="697" t="str">
        <f>IFERROR(__xludf.DUMMYFUNCTION("""COMPUTED_VALUE"""),"No")</f>
        <v>No</v>
      </c>
      <c r="AZ80" s="697" t="str">
        <f>IFERROR(__xludf.DUMMYFUNCTION("""COMPUTED_VALUE"""),"No")</f>
        <v>No</v>
      </c>
      <c r="BA80" s="697"/>
      <c r="BB80" s="697"/>
      <c r="BC80" s="697" t="str">
        <f>IFERROR(__xludf.DUMMYFUNCTION("""COMPUTED_VALUE"""),"Significant difference in mean microfilarial load was observed throughout the eight months post-treatment period compared to that of the pre-treatment results for both sexes and all ages (p&lt; 0.05).")</f>
        <v>Significant difference in mean microfilarial load was observed throughout the eight months post-treatment period compared to that of the pre-treatment results for both sexes and all ages (p&lt; 0.05).</v>
      </c>
      <c r="BD80" s="697"/>
      <c r="BE80" s="697"/>
      <c r="BF80" s="697"/>
      <c r="BG80" s="697"/>
    </row>
    <row r="81">
      <c r="A81" s="697"/>
      <c r="B81" s="697" t="str">
        <f>IFERROR(__xludf.DUMMYFUNCTION("""COMPUTED_VALUE"""),"Richards, Flores, &amp; Duke")</f>
        <v>Richards, Flores, &amp; Duke</v>
      </c>
      <c r="C81" s="697" t="str">
        <f>IFERROR(__xludf.DUMMYFUNCTION("""COMPUTED_VALUE"""),"Guatemala")</f>
        <v>Guatemala</v>
      </c>
      <c r="D81" s="697" t="str">
        <f>IFERROR(__xludf.DUMMYFUNCTION("""COMPUTED_VALUE"""),"Ivermectin")</f>
        <v>Ivermectin</v>
      </c>
      <c r="E81" s="697" t="str">
        <f>IFERROR(__xludf.DUMMYFUNCTION("""COMPUTED_VALUE"""),"150 ug/kg")</f>
        <v>150 ug/kg</v>
      </c>
      <c r="F81" s="697">
        <f>IFERROR(__xludf.DUMMYFUNCTION("""COMPUTED_VALUE"""),1.0)</f>
        <v>1</v>
      </c>
      <c r="G81" s="697" t="str">
        <f>IFERROR(__xludf.DUMMYFUNCTION("""COMPUTED_VALUE"""),"150 ug/kg")</f>
        <v>150 ug/kg</v>
      </c>
      <c r="H81" s="698">
        <f>IFERROR(__xludf.DUMMYFUNCTION("""COMPUTED_VALUE"""),0.333)</f>
        <v>0.333</v>
      </c>
      <c r="I81" s="698">
        <f>IFERROR(__xludf.DUMMYFUNCTION("""COMPUTED_VALUE"""),0.869)</f>
        <v>0.869</v>
      </c>
      <c r="J81" s="698">
        <f>IFERROR(__xludf.DUMMYFUNCTION("""COMPUTED_VALUE"""),0.9)</f>
        <v>0.9</v>
      </c>
      <c r="K81" s="697"/>
      <c r="L81" s="697"/>
      <c r="M81" s="697"/>
      <c r="N81" s="697"/>
      <c r="O81" s="697"/>
      <c r="P81" s="697"/>
      <c r="Q81" s="697"/>
      <c r="R81" s="697"/>
      <c r="S81" s="698">
        <f>IFERROR(__xludf.DUMMYFUNCTION("""COMPUTED_VALUE"""),0.967)</f>
        <v>0.967</v>
      </c>
      <c r="T81" s="697"/>
      <c r="U81" s="697"/>
      <c r="V81" s="697"/>
      <c r="W81" s="697"/>
      <c r="X81" s="697"/>
      <c r="Y81" s="697"/>
      <c r="Z81" s="697"/>
      <c r="AA81" s="697"/>
      <c r="AB81" s="697"/>
      <c r="AC81" s="697"/>
      <c r="AD81" s="697"/>
      <c r="AE81" s="697" t="str">
        <f>IFERROR(__xludf.DUMMYFUNCTION("""COMPUTED_VALUE"""),"n/a")</f>
        <v>n/a</v>
      </c>
      <c r="AF81" s="697"/>
      <c r="AG81" s="697"/>
      <c r="AH81" s="697"/>
      <c r="AI81" s="697"/>
      <c r="AJ81" s="697"/>
      <c r="AK81" s="697"/>
      <c r="AL81" s="697"/>
      <c r="AM81" s="697"/>
      <c r="AN81" s="698">
        <f>IFERROR(__xludf.DUMMYFUNCTION("""COMPUTED_VALUE"""),0.967)</f>
        <v>0.967</v>
      </c>
      <c r="AO81" s="698">
        <f>IFERROR(__xludf.DUMMYFUNCTION("""COMPUTED_VALUE"""),0.967)</f>
        <v>0.967</v>
      </c>
      <c r="AP81" s="697" t="str">
        <f>IFERROR(__xludf.DUMMYFUNCTION("""COMPUTED_VALUE"""),"Mf reduction")</f>
        <v>Mf reduction</v>
      </c>
      <c r="AQ81" s="697" t="str">
        <f>IFERROR(__xludf.DUMMYFUNCTION("""COMPUTED_VALUE"""),"Finca Los Andes, Guatamala")</f>
        <v>Finca Los Andes, Guatamala</v>
      </c>
      <c r="AR81" s="697">
        <f>IFERROR(__xludf.DUMMYFUNCTION("""COMPUTED_VALUE"""),1988.0)</f>
        <v>1988</v>
      </c>
      <c r="AS81" s="697">
        <f>IFERROR(__xludf.DUMMYFUNCTION("""COMPUTED_VALUE"""),8.0)</f>
        <v>8</v>
      </c>
      <c r="AT81" s="697" t="str">
        <f>IFERROR(__xludf.DUMMYFUNCTION("""COMPUTED_VALUE"""),"6 Months")</f>
        <v>6 Months</v>
      </c>
      <c r="AU81" s="699" t="str">
        <f>IFERROR(__xludf.DUMMYFUNCTION("""COMPUTED_VALUE"""),"Richards, F.O Jr.; Flores, Z.R.; Duke, B.O.L. (1989) Dynamics of microfilariae of Onchocerca volvulus over the first 72 hours after treatment with ivermectin. Tropical medicine and parasitology 40(3): 299-303. ")</f>
        <v>Richards, F.O Jr.; Flores, Z.R.; Duke, B.O.L. (1989) Dynamics of microfilariae of Onchocerca volvulus over the first 72 hours after treatment with ivermectin. Tropical medicine and parasitology 40(3): 299-303. </v>
      </c>
      <c r="AV81" s="697" t="str">
        <f>IFERROR(__xludf.DUMMYFUNCTION("""COMPUTED_VALUE"""),"M")</f>
        <v>M</v>
      </c>
      <c r="AW81" s="697" t="str">
        <f>IFERROR(__xludf.DUMMYFUNCTION("""COMPUTED_VALUE"""),"Mean Age 28 yrs; Range: 22-35 yrs old")</f>
        <v>Mean Age 28 yrs; Range: 22-35 yrs old</v>
      </c>
      <c r="AX81" s="697"/>
      <c r="AY81" s="697" t="str">
        <f>IFERROR(__xludf.DUMMYFUNCTION("""COMPUTED_VALUE""")," No")</f>
        <v> No</v>
      </c>
      <c r="AZ81" s="697" t="str">
        <f>IFERROR(__xludf.DUMMYFUNCTION("""COMPUTED_VALUE"""),"No")</f>
        <v>No</v>
      </c>
      <c r="BA81" s="697"/>
      <c r="BB81" s="697"/>
      <c r="BC81" s="697" t="str">
        <f>IFERROR(__xludf.DUMMYFUNCTION("""COMPUTED_VALUE"""),"After an initial increase at 6 hours, the significance of which is not clear, mf densities in skin snips decreased rapidly to reach 13% of their pre-treatment level by 48 hours and then fell much more slowly over the next 2-hour period.")</f>
        <v>After an initial increase at 6 hours, the significance of which is not clear, mf densities in skin snips decreased rapidly to reach 13% of their pre-treatment level by 48 hours and then fell much more slowly over the next 2-hour period.</v>
      </c>
      <c r="BD81" s="697" t="str">
        <f>IFERROR(__xludf.DUMMYFUNCTION("""COMPUTED_VALUE"""),"1 patient lost to follow up; 7 patients examined at 6 months")</f>
        <v>1 patient lost to follow up; 7 patients examined at 6 months</v>
      </c>
      <c r="BE81" s="697"/>
      <c r="BF81" s="697"/>
      <c r="BG81" s="697"/>
    </row>
    <row r="82">
      <c r="A82" s="697"/>
      <c r="B82" s="697" t="str">
        <f>IFERROR(__xludf.DUMMYFUNCTION("""COMPUTED_VALUE"""),"Albiez et al.")</f>
        <v>Albiez et al.</v>
      </c>
      <c r="C82" s="697" t="str">
        <f>IFERROR(__xludf.DUMMYFUNCTION("""COMPUTED_VALUE"""),"Liberia")</f>
        <v>Liberia</v>
      </c>
      <c r="D82" s="697" t="str">
        <f>IFERROR(__xludf.DUMMYFUNCTION("""COMPUTED_VALUE"""),"DEC oral")</f>
        <v>DEC oral</v>
      </c>
      <c r="E82" s="697" t="str">
        <f>IFERROR(__xludf.DUMMYFUNCTION("""COMPUTED_VALUE"""),"1mg/kg, 2-4 mg/kg, 30mg/kg")</f>
        <v>1mg/kg, 2-4 mg/kg, 30mg/kg</v>
      </c>
      <c r="F82" s="697" t="str">
        <f>IFERROR(__xludf.DUMMYFUNCTION("""COMPUTED_VALUE"""),"1;4;7")</f>
        <v>1;4;7</v>
      </c>
      <c r="G82" s="697" t="str">
        <f>IFERROR(__xludf.DUMMYFUNCTION("""COMPUTED_VALUE"""),"219mg/kg- 228mg/kg")</f>
        <v>219mg/kg- 228mg/kg</v>
      </c>
      <c r="H82" s="697"/>
      <c r="I82" s="697"/>
      <c r="J82" s="700">
        <f>IFERROR(__xludf.DUMMYFUNCTION("""COMPUTED_VALUE"""),0.54)</f>
        <v>0.54</v>
      </c>
      <c r="K82" s="697"/>
      <c r="L82" s="698">
        <f>IFERROR(__xludf.DUMMYFUNCTION("""COMPUTED_VALUE"""),0.9048)</f>
        <v>0.9048</v>
      </c>
      <c r="M82" s="697"/>
      <c r="N82" s="698">
        <f>IFERROR(__xludf.DUMMYFUNCTION("""COMPUTED_VALUE"""),0.984)</f>
        <v>0.984</v>
      </c>
      <c r="O82" s="697"/>
      <c r="P82" s="697"/>
      <c r="Q82" s="698">
        <f>IFERROR(__xludf.DUMMYFUNCTION("""COMPUTED_VALUE"""),0.937)</f>
        <v>0.937</v>
      </c>
      <c r="R82" s="697"/>
      <c r="S82" s="697"/>
      <c r="T82" s="697"/>
      <c r="U82" s="697"/>
      <c r="V82" s="697"/>
      <c r="W82" s="698">
        <f>IFERROR(__xludf.DUMMYFUNCTION("""COMPUTED_VALUE"""),0.635)</f>
        <v>0.635</v>
      </c>
      <c r="X82" s="697"/>
      <c r="Y82" s="697"/>
      <c r="Z82" s="697"/>
      <c r="AA82" s="697"/>
      <c r="AB82" s="697"/>
      <c r="AC82" s="697"/>
      <c r="AD82" s="697"/>
      <c r="AE82" s="697"/>
      <c r="AF82" s="697"/>
      <c r="AG82" s="698">
        <f>IFERROR(__xludf.DUMMYFUNCTION("""COMPUTED_VALUE"""),0.937)</f>
        <v>0.937</v>
      </c>
      <c r="AH82" s="697"/>
      <c r="AI82" s="697"/>
      <c r="AJ82" s="698">
        <f>IFERROR(__xludf.DUMMYFUNCTION("""COMPUTED_VALUE"""),0.6349)</f>
        <v>0.6349</v>
      </c>
      <c r="AK82" s="697"/>
      <c r="AL82" s="697"/>
      <c r="AM82" s="697"/>
      <c r="AN82" s="698">
        <f>IFERROR(__xludf.DUMMYFUNCTION("""COMPUTED_VALUE"""),0.937)</f>
        <v>0.937</v>
      </c>
      <c r="AO82" s="698">
        <f>IFERROR(__xludf.DUMMYFUNCTION("""COMPUTED_VALUE"""),0.937)</f>
        <v>0.937</v>
      </c>
      <c r="AP82" s="697" t="str">
        <f>IFERROR(__xludf.DUMMYFUNCTION("""COMPUTED_VALUE"""),"Mf reduction")</f>
        <v>Mf reduction</v>
      </c>
      <c r="AQ82" s="697" t="str">
        <f>IFERROR(__xludf.DUMMYFUNCTION("""COMPUTED_VALUE"""),"Liberian rainforest")</f>
        <v>Liberian rainforest</v>
      </c>
      <c r="AR82" s="697">
        <f>IFERROR(__xludf.DUMMYFUNCTION("""COMPUTED_VALUE"""),1988.0)</f>
        <v>1988</v>
      </c>
      <c r="AS82" s="697">
        <f>IFERROR(__xludf.DUMMYFUNCTION("""COMPUTED_VALUE"""),11.0)</f>
        <v>11</v>
      </c>
      <c r="AT82" s="697" t="str">
        <f>IFERROR(__xludf.DUMMYFUNCTION("""COMPUTED_VALUE"""),"10 months")</f>
        <v>10 months</v>
      </c>
      <c r="AU82" s="699" t="str">
        <f>IFERROR(__xludf.DUMMYFUNCTION("""COMPUTED_VALUE"""),"Albiez, E.J.; Newland, H.S.; White, A.T.; Kaiser, A.; Greene B.M.; Taylor, H.R.; Büttner, D.W. (1988) Chemotherapy of onchocerciasis with high doses of diethylcarbamazine or a single dose of ivermectin: microfilaria levels and side effects. Trop Med Paras"&amp;"it 39: 19-24. ")</f>
        <v>Albiez, E.J.; Newland, H.S.; White, A.T.; Kaiser, A.; Greene B.M.; Taylor, H.R.; Büttner, D.W. (1988) Chemotherapy of onchocerciasis with high doses of diethylcarbamazine or a single dose of ivermectin: microfilaria levels and side effects. Trop Med Parasit 39: 19-24. </v>
      </c>
      <c r="AV82" s="697" t="str">
        <f>IFERROR(__xludf.DUMMYFUNCTION("""COMPUTED_VALUE"""),"M")</f>
        <v>M</v>
      </c>
      <c r="AW82" s="697" t="str">
        <f>IFERROR(__xludf.DUMMYFUNCTION("""COMPUTED_VALUE"""),"18-50 years")</f>
        <v>18-50 years</v>
      </c>
      <c r="AX82" s="697" t="str">
        <f>IFERROR(__xludf.DUMMYFUNCTION("""COMPUTED_VALUE"""),"Must be between 18-50 years with microfilarial densities of 15 mf/mg or more and a nodule load of three to seven onchocercomata. None of the patients could receive any filarial treatment within the previous two years. ")</f>
        <v>Must be between 18-50 years with microfilarial densities of 15 mf/mg or more and a nodule load of three to seven onchocercomata. None of the patients could receive any filarial treatment within the previous two years. </v>
      </c>
      <c r="AY82" s="697" t="str">
        <f>IFERROR(__xludf.DUMMYFUNCTION("""COMPUTED_VALUE"""),"Yes")</f>
        <v>Yes</v>
      </c>
      <c r="AZ82" s="697" t="str">
        <f>IFERROR(__xludf.DUMMYFUNCTION("""COMPUTED_VALUE"""),"No")</f>
        <v>No</v>
      </c>
      <c r="BA82" s="697"/>
      <c r="BB82" s="697"/>
      <c r="BC82" s="697" t="str">
        <f>IFERROR(__xludf.DUMMYFUNCTION("""COMPUTED_VALUE"""),"Ivermectin was much better tolerated than DEC and had a longer lasting effect on the microfilariae in the skin. Since high doses of DEC were less effective and caused more frequent and severe side effects, this approach cannot be recommended for treatment"&amp;" of onchocerciasis.")</f>
        <v>Ivermectin was much better tolerated than DEC and had a longer lasting effect on the microfilariae in the skin. Since high doses of DEC were less effective and caused more frequent and severe side effects, this approach cannot be recommended for treatment of onchocerciasis.</v>
      </c>
      <c r="BD82" s="697" t="str">
        <f>IFERROR(__xludf.DUMMYFUNCTION("""COMPUTED_VALUE"""),"Of all subjects of the study 90% were reexamined after ten months.")</f>
        <v>Of all subjects of the study 90% were reexamined after ten months.</v>
      </c>
      <c r="BE82" s="697"/>
      <c r="BF82" s="697"/>
      <c r="BG82" s="697"/>
    </row>
    <row r="83">
      <c r="A83" s="697"/>
      <c r="B83" s="697" t="str">
        <f>IFERROR(__xludf.DUMMYFUNCTION("""COMPUTED_VALUE"""),"Albiez et al.")</f>
        <v>Albiez et al.</v>
      </c>
      <c r="C83" s="697" t="str">
        <f>IFERROR(__xludf.DUMMYFUNCTION("""COMPUTED_VALUE"""),"Liberia")</f>
        <v>Liberia</v>
      </c>
      <c r="D83" s="697" t="str">
        <f>IFERROR(__xludf.DUMMYFUNCTION("""COMPUTED_VALUE"""),"DEC lotion I")</f>
        <v>DEC lotion I</v>
      </c>
      <c r="E83" s="697" t="str">
        <f>IFERROR(__xludf.DUMMYFUNCTION("""COMPUTED_VALUE"""),"30 mg/kg")</f>
        <v>30 mg/kg</v>
      </c>
      <c r="F83" s="697">
        <f>IFERROR(__xludf.DUMMYFUNCTION("""COMPUTED_VALUE"""),7.0)</f>
        <v>7</v>
      </c>
      <c r="G83" s="697" t="str">
        <f>IFERROR(__xludf.DUMMYFUNCTION("""COMPUTED_VALUE"""),"210 mg/kg")</f>
        <v>210 mg/kg</v>
      </c>
      <c r="H83" s="697"/>
      <c r="I83" s="697"/>
      <c r="J83" s="698">
        <f>IFERROR(__xludf.DUMMYFUNCTION("""COMPUTED_VALUE"""),0.466)</f>
        <v>0.466</v>
      </c>
      <c r="K83" s="697"/>
      <c r="L83" s="697">
        <f>IFERROR(__xludf.DUMMYFUNCTION("""COMPUTED_VALUE"""),93.1)</f>
        <v>93.1</v>
      </c>
      <c r="M83" s="697"/>
      <c r="N83" s="698">
        <f>IFERROR(__xludf.DUMMYFUNCTION("""COMPUTED_VALUE"""),0.9914)</f>
        <v>0.9914</v>
      </c>
      <c r="O83" s="697"/>
      <c r="P83" s="697"/>
      <c r="Q83" s="698">
        <f>IFERROR(__xludf.DUMMYFUNCTION("""COMPUTED_VALUE"""),0.9583)</f>
        <v>0.9583</v>
      </c>
      <c r="R83" s="697"/>
      <c r="S83" s="697"/>
      <c r="T83" s="697"/>
      <c r="U83" s="697"/>
      <c r="V83" s="697"/>
      <c r="W83" s="698">
        <f>IFERROR(__xludf.DUMMYFUNCTION("""COMPUTED_VALUE"""),0.7241)</f>
        <v>0.7241</v>
      </c>
      <c r="X83" s="697"/>
      <c r="Y83" s="697"/>
      <c r="Z83" s="697"/>
      <c r="AA83" s="697"/>
      <c r="AB83" s="697"/>
      <c r="AC83" s="697"/>
      <c r="AD83" s="697"/>
      <c r="AE83" s="697" t="str">
        <f>IFERROR(__xludf.DUMMYFUNCTION("""COMPUTED_VALUE"""),"n/a")</f>
        <v>n/a</v>
      </c>
      <c r="AF83" s="697"/>
      <c r="AG83" s="697"/>
      <c r="AH83" s="697"/>
      <c r="AI83" s="697"/>
      <c r="AJ83" s="697"/>
      <c r="AK83" s="697"/>
      <c r="AL83" s="697"/>
      <c r="AM83" s="697"/>
      <c r="AN83" s="698">
        <f>IFERROR(__xludf.DUMMYFUNCTION("""COMPUTED_VALUE"""),0.9583)</f>
        <v>0.9583</v>
      </c>
      <c r="AO83" s="698">
        <f>IFERROR(__xludf.DUMMYFUNCTION("""COMPUTED_VALUE"""),0.9583)</f>
        <v>0.9583</v>
      </c>
      <c r="AP83" s="697" t="str">
        <f>IFERROR(__xludf.DUMMYFUNCTION("""COMPUTED_VALUE"""),"Mf reduction")</f>
        <v>Mf reduction</v>
      </c>
      <c r="AQ83" s="697" t="str">
        <f>IFERROR(__xludf.DUMMYFUNCTION("""COMPUTED_VALUE"""),"Liberian rainforest")</f>
        <v>Liberian rainforest</v>
      </c>
      <c r="AR83" s="697">
        <f>IFERROR(__xludf.DUMMYFUNCTION("""COMPUTED_VALUE"""),1988.0)</f>
        <v>1988</v>
      </c>
      <c r="AS83" s="697">
        <f>IFERROR(__xludf.DUMMYFUNCTION("""COMPUTED_VALUE"""),11.0)</f>
        <v>11</v>
      </c>
      <c r="AT83" s="697" t="str">
        <f>IFERROR(__xludf.DUMMYFUNCTION("""COMPUTED_VALUE"""),"10 months")</f>
        <v>10 months</v>
      </c>
      <c r="AU83" s="699" t="str">
        <f>IFERROR(__xludf.DUMMYFUNCTION("""COMPUTED_VALUE"""),"Albiez, E.J.; Newland, H.S.; White, A.T.; Kaiser, A.; Greene B.M.; Taylor, H.R.; Büttner, D.W. (1988) Chemotherapy of onchocerciasis with high doses of diethylcarbamazine or a single dose of ivermectin: microfilaria levels and side effects. Trop Med Paras"&amp;"it 39: 19-24. ")</f>
        <v>Albiez, E.J.; Newland, H.S.; White, A.T.; Kaiser, A.; Greene B.M.; Taylor, H.R.; Büttner, D.W. (1988) Chemotherapy of onchocerciasis with high doses of diethylcarbamazine or a single dose of ivermectin: microfilaria levels and side effects. Trop Med Parasit 39: 19-24. </v>
      </c>
      <c r="AV83" s="697" t="str">
        <f>IFERROR(__xludf.DUMMYFUNCTION("""COMPUTED_VALUE"""),"M")</f>
        <v>M</v>
      </c>
      <c r="AW83" s="697" t="str">
        <f>IFERROR(__xludf.DUMMYFUNCTION("""COMPUTED_VALUE"""),"18-50 years")</f>
        <v>18-50 years</v>
      </c>
      <c r="AX83" s="697" t="str">
        <f>IFERROR(__xludf.DUMMYFUNCTION("""COMPUTED_VALUE"""),"Must be between 18-50 years with microfilarial densities of 15 mf/mg or more and a nodule load of three to seven onchocercomata. None of the patients could receive any filarial treatment within the previous two years. ")</f>
        <v>Must be between 18-50 years with microfilarial densities of 15 mf/mg or more and a nodule load of three to seven onchocercomata. None of the patients could receive any filarial treatment within the previous two years. </v>
      </c>
      <c r="AY83" s="697" t="str">
        <f>IFERROR(__xludf.DUMMYFUNCTION("""COMPUTED_VALUE"""),"Yes")</f>
        <v>Yes</v>
      </c>
      <c r="AZ83" s="697" t="str">
        <f>IFERROR(__xludf.DUMMYFUNCTION("""COMPUTED_VALUE"""),"No")</f>
        <v>No</v>
      </c>
      <c r="BA83" s="697"/>
      <c r="BB83" s="697"/>
      <c r="BC83" s="697" t="str">
        <f>IFERROR(__xludf.DUMMYFUNCTION("""COMPUTED_VALUE"""),"Ivermectin was much better tolerated than DEC and had a longer lasting effect on the microfilariae in the skin. Since high doses of DEC were less effective and caused more frequent and severe side effects, this approach cannot be recommended for treatment"&amp;" of onchocerciasis.")</f>
        <v>Ivermectin was much better tolerated than DEC and had a longer lasting effect on the microfilariae in the skin. Since high doses of DEC were less effective and caused more frequent and severe side effects, this approach cannot be recommended for treatment of onchocerciasis.</v>
      </c>
      <c r="BD83" s="697" t="str">
        <f>IFERROR(__xludf.DUMMYFUNCTION("""COMPUTED_VALUE"""),"Of all subjects of the study 90% were reexamined after ten months.")</f>
        <v>Of all subjects of the study 90% were reexamined after ten months.</v>
      </c>
      <c r="BE83" s="697"/>
      <c r="BF83" s="697"/>
      <c r="BG83" s="697"/>
    </row>
    <row r="84">
      <c r="A84" s="697"/>
      <c r="B84" s="697" t="str">
        <f>IFERROR(__xludf.DUMMYFUNCTION("""COMPUTED_VALUE"""),"Albiez et al.")</f>
        <v>Albiez et al.</v>
      </c>
      <c r="C84" s="697" t="str">
        <f>IFERROR(__xludf.DUMMYFUNCTION("""COMPUTED_VALUE"""),"Liberia")</f>
        <v>Liberia</v>
      </c>
      <c r="D84" s="697" t="str">
        <f>IFERROR(__xludf.DUMMYFUNCTION("""COMPUTED_VALUE"""),"DEC lotion II")</f>
        <v>DEC lotion II</v>
      </c>
      <c r="E84" s="697" t="str">
        <f>IFERROR(__xludf.DUMMYFUNCTION("""COMPUTED_VALUE"""),"30 mg/kg")</f>
        <v>30 mg/kg</v>
      </c>
      <c r="F84" s="697">
        <f>IFERROR(__xludf.DUMMYFUNCTION("""COMPUTED_VALUE"""),7.0)</f>
        <v>7</v>
      </c>
      <c r="G84" s="697" t="str">
        <f>IFERROR(__xludf.DUMMYFUNCTION("""COMPUTED_VALUE"""),"210 mg/kg ")</f>
        <v>210 mg/kg </v>
      </c>
      <c r="H84" s="697"/>
      <c r="I84" s="697"/>
      <c r="J84" s="697"/>
      <c r="K84" s="697"/>
      <c r="L84" s="698">
        <f>IFERROR(__xludf.DUMMYFUNCTION("""COMPUTED_VALUE"""),0.9375)</f>
        <v>0.9375</v>
      </c>
      <c r="M84" s="697"/>
      <c r="N84" s="698">
        <f>IFERROR(__xludf.DUMMYFUNCTION("""COMPUTED_VALUE"""),0.9896)</f>
        <v>0.9896</v>
      </c>
      <c r="O84" s="697"/>
      <c r="P84" s="697"/>
      <c r="Q84" s="698">
        <f>IFERROR(__xludf.DUMMYFUNCTION("""COMPUTED_VALUE"""),0.9583)</f>
        <v>0.9583</v>
      </c>
      <c r="R84" s="697"/>
      <c r="S84" s="697"/>
      <c r="T84" s="697"/>
      <c r="U84" s="697"/>
      <c r="V84" s="697"/>
      <c r="W84" s="698">
        <f>IFERROR(__xludf.DUMMYFUNCTION("""COMPUTED_VALUE"""),0.8125)</f>
        <v>0.8125</v>
      </c>
      <c r="X84" s="697"/>
      <c r="Y84" s="697"/>
      <c r="Z84" s="697"/>
      <c r="AA84" s="697"/>
      <c r="AB84" s="697"/>
      <c r="AC84" s="697"/>
      <c r="AD84" s="697"/>
      <c r="AE84" s="697" t="str">
        <f>IFERROR(__xludf.DUMMYFUNCTION("""COMPUTED_VALUE"""),"n/a")</f>
        <v>n/a</v>
      </c>
      <c r="AF84" s="697"/>
      <c r="AG84" s="697"/>
      <c r="AH84" s="697"/>
      <c r="AI84" s="697"/>
      <c r="AJ84" s="697"/>
      <c r="AK84" s="697"/>
      <c r="AL84" s="697"/>
      <c r="AM84" s="697"/>
      <c r="AN84" s="698">
        <f>IFERROR(__xludf.DUMMYFUNCTION("""COMPUTED_VALUE"""),0.9583)</f>
        <v>0.9583</v>
      </c>
      <c r="AO84" s="698">
        <f>IFERROR(__xludf.DUMMYFUNCTION("""COMPUTED_VALUE"""),0.9583)</f>
        <v>0.9583</v>
      </c>
      <c r="AP84" s="697" t="str">
        <f>IFERROR(__xludf.DUMMYFUNCTION("""COMPUTED_VALUE"""),"Mf reduction")</f>
        <v>Mf reduction</v>
      </c>
      <c r="AQ84" s="697" t="str">
        <f>IFERROR(__xludf.DUMMYFUNCTION("""COMPUTED_VALUE"""),"Liberian rainforest")</f>
        <v>Liberian rainforest</v>
      </c>
      <c r="AR84" s="697">
        <f>IFERROR(__xludf.DUMMYFUNCTION("""COMPUTED_VALUE"""),1988.0)</f>
        <v>1988</v>
      </c>
      <c r="AS84" s="697">
        <f>IFERROR(__xludf.DUMMYFUNCTION("""COMPUTED_VALUE"""),8.0)</f>
        <v>8</v>
      </c>
      <c r="AT84" s="697" t="str">
        <f>IFERROR(__xludf.DUMMYFUNCTION("""COMPUTED_VALUE"""),"10 months")</f>
        <v>10 months</v>
      </c>
      <c r="AU84" s="699" t="str">
        <f>IFERROR(__xludf.DUMMYFUNCTION("""COMPUTED_VALUE"""),"Albiez, E.J.; Newland, H.S.; White, A.T.; Kaiser, A.; Greene B.M.; Taylor, H.R.; Büttner, D.W. (1988) Chemotherapy of onchocerciasis with high doses of diethylcarbamazine or a single dose of ivermectin: microfilaria levels and side effects. Trop Med Paras"&amp;"it 39: 19-24. ")</f>
        <v>Albiez, E.J.; Newland, H.S.; White, A.T.; Kaiser, A.; Greene B.M.; Taylor, H.R.; Büttner, D.W. (1988) Chemotherapy of onchocerciasis with high doses of diethylcarbamazine or a single dose of ivermectin: microfilaria levels and side effects. Trop Med Parasit 39: 19-24. </v>
      </c>
      <c r="AV84" s="697" t="str">
        <f>IFERROR(__xludf.DUMMYFUNCTION("""COMPUTED_VALUE"""),"M")</f>
        <v>M</v>
      </c>
      <c r="AW84" s="697" t="str">
        <f>IFERROR(__xludf.DUMMYFUNCTION("""COMPUTED_VALUE"""),"18-50 years")</f>
        <v>18-50 years</v>
      </c>
      <c r="AX84" s="697" t="str">
        <f>IFERROR(__xludf.DUMMYFUNCTION("""COMPUTED_VALUE"""),"Must be between 18-50 years with microfilarial densities of 15 mf/mg or more and a nodule load of three to seven onchocercomata. None of the patients could receive any filarial treatment within the previous two years. ")</f>
        <v>Must be between 18-50 years with microfilarial densities of 15 mf/mg or more and a nodule load of three to seven onchocercomata. None of the patients could receive any filarial treatment within the previous two years. </v>
      </c>
      <c r="AY84" s="697" t="str">
        <f>IFERROR(__xludf.DUMMYFUNCTION("""COMPUTED_VALUE"""),"Yes")</f>
        <v>Yes</v>
      </c>
      <c r="AZ84" s="697" t="str">
        <f>IFERROR(__xludf.DUMMYFUNCTION("""COMPUTED_VALUE"""),"No")</f>
        <v>No</v>
      </c>
      <c r="BA84" s="697"/>
      <c r="BB84" s="697"/>
      <c r="BC84" s="697" t="str">
        <f>IFERROR(__xludf.DUMMYFUNCTION("""COMPUTED_VALUE"""),"Ivermectin was much better tolerated than DEC and had a longer lasting effect on the microfilariae in the skin. Since high doses of DEC were less effective and caused more frequent and severe side effects, this approach cannot be recommended for treatment"&amp;" of onchocerciasis.")</f>
        <v>Ivermectin was much better tolerated than DEC and had a longer lasting effect on the microfilariae in the skin. Since high doses of DEC were less effective and caused more frequent and severe side effects, this approach cannot be recommended for treatment of onchocerciasis.</v>
      </c>
      <c r="BD84" s="697" t="str">
        <f>IFERROR(__xludf.DUMMYFUNCTION("""COMPUTED_VALUE"""),"Of all subjects of the study 90% were reexamined after ten months.")</f>
        <v>Of all subjects of the study 90% were reexamined after ten months.</v>
      </c>
      <c r="BE84" s="697"/>
      <c r="BF84" s="697"/>
      <c r="BG84" s="697"/>
    </row>
    <row r="85">
      <c r="A85" s="697"/>
      <c r="B85" s="697" t="str">
        <f>IFERROR(__xludf.DUMMYFUNCTION("""COMPUTED_VALUE"""),"Albiez et al.")</f>
        <v>Albiez et al.</v>
      </c>
      <c r="C85" s="697" t="str">
        <f>IFERROR(__xludf.DUMMYFUNCTION("""COMPUTED_VALUE"""),"Liberia")</f>
        <v>Liberia</v>
      </c>
      <c r="D85" s="697" t="str">
        <f>IFERROR(__xludf.DUMMYFUNCTION("""COMPUTED_VALUE"""),"Ivermectin")</f>
        <v>Ivermectin</v>
      </c>
      <c r="E85" s="697" t="str">
        <f>IFERROR(__xludf.DUMMYFUNCTION("""COMPUTED_VALUE"""),"150 ug/kg")</f>
        <v>150 ug/kg</v>
      </c>
      <c r="F85" s="697">
        <f>IFERROR(__xludf.DUMMYFUNCTION("""COMPUTED_VALUE"""),1.0)</f>
        <v>1</v>
      </c>
      <c r="G85" s="697" t="str">
        <f>IFERROR(__xludf.DUMMYFUNCTION("""COMPUTED_VALUE"""),"150 ug/kg")</f>
        <v>150 ug/kg</v>
      </c>
      <c r="H85" s="697"/>
      <c r="I85" s="697"/>
      <c r="J85" s="700">
        <f>IFERROR(__xludf.DUMMYFUNCTION("""COMPUTED_VALUE"""),0.75)</f>
        <v>0.75</v>
      </c>
      <c r="K85" s="697"/>
      <c r="L85" s="697"/>
      <c r="M85" s="697"/>
      <c r="N85" s="698">
        <f>IFERROR(__xludf.DUMMYFUNCTION("""COMPUTED_VALUE"""),0.9886)</f>
        <v>0.9886</v>
      </c>
      <c r="O85" s="697"/>
      <c r="P85" s="697"/>
      <c r="Q85" s="698">
        <f>IFERROR(__xludf.DUMMYFUNCTION("""COMPUTED_VALUE"""),0.9886)</f>
        <v>0.9886</v>
      </c>
      <c r="R85" s="697"/>
      <c r="S85" s="697"/>
      <c r="T85" s="697"/>
      <c r="U85" s="697"/>
      <c r="V85" s="697"/>
      <c r="W85" s="698">
        <f>IFERROR(__xludf.DUMMYFUNCTION("""COMPUTED_VALUE"""),0.9318)</f>
        <v>0.9318</v>
      </c>
      <c r="X85" s="697"/>
      <c r="Y85" s="697"/>
      <c r="Z85" s="697"/>
      <c r="AA85" s="697"/>
      <c r="AB85" s="697"/>
      <c r="AC85" s="697"/>
      <c r="AD85" s="697"/>
      <c r="AE85" s="697" t="str">
        <f>IFERROR(__xludf.DUMMYFUNCTION("""COMPUTED_VALUE"""),"n/a")</f>
        <v>n/a</v>
      </c>
      <c r="AF85" s="697"/>
      <c r="AG85" s="697"/>
      <c r="AH85" s="697"/>
      <c r="AI85" s="697"/>
      <c r="AJ85" s="697"/>
      <c r="AK85" s="697"/>
      <c r="AL85" s="697"/>
      <c r="AM85" s="697"/>
      <c r="AN85" s="698">
        <f>IFERROR(__xludf.DUMMYFUNCTION("""COMPUTED_VALUE"""),0.9886)</f>
        <v>0.9886</v>
      </c>
      <c r="AO85" s="698">
        <f>IFERROR(__xludf.DUMMYFUNCTION("""COMPUTED_VALUE"""),0.9886)</f>
        <v>0.9886</v>
      </c>
      <c r="AP85" s="697" t="str">
        <f>IFERROR(__xludf.DUMMYFUNCTION("""COMPUTED_VALUE"""),"Mf reduction")</f>
        <v>Mf reduction</v>
      </c>
      <c r="AQ85" s="697" t="str">
        <f>IFERROR(__xludf.DUMMYFUNCTION("""COMPUTED_VALUE"""),"Liberian rainforest")</f>
        <v>Liberian rainforest</v>
      </c>
      <c r="AR85" s="697">
        <f>IFERROR(__xludf.DUMMYFUNCTION("""COMPUTED_VALUE"""),1988.0)</f>
        <v>1988</v>
      </c>
      <c r="AS85" s="697">
        <f>IFERROR(__xludf.DUMMYFUNCTION("""COMPUTED_VALUE"""),10.0)</f>
        <v>10</v>
      </c>
      <c r="AT85" s="697" t="str">
        <f>IFERROR(__xludf.DUMMYFUNCTION("""COMPUTED_VALUE"""),"10 months")</f>
        <v>10 months</v>
      </c>
      <c r="AU85" s="699" t="str">
        <f>IFERROR(__xludf.DUMMYFUNCTION("""COMPUTED_VALUE"""),"Albiez, E.J.; Newland, H.S.; White, A.T.; Kaiser, A.; Greene B.M.; Taylor, H.R.; Büttner, D.W. (1988) Chemotherapy of onchocerciasis with high doses of diethylcarbamazine or a single dose of ivermectin: microfilaria levels and side effects. Trop Med Paras"&amp;"it 39: 19-24. ")</f>
        <v>Albiez, E.J.; Newland, H.S.; White, A.T.; Kaiser, A.; Greene B.M.; Taylor, H.R.; Büttner, D.W. (1988) Chemotherapy of onchocerciasis with high doses of diethylcarbamazine or a single dose of ivermectin: microfilaria levels and side effects. Trop Med Parasit 39: 19-24. </v>
      </c>
      <c r="AV85" s="697" t="str">
        <f>IFERROR(__xludf.DUMMYFUNCTION("""COMPUTED_VALUE"""),"M")</f>
        <v>M</v>
      </c>
      <c r="AW85" s="697" t="str">
        <f>IFERROR(__xludf.DUMMYFUNCTION("""COMPUTED_VALUE"""),"18-50 years")</f>
        <v>18-50 years</v>
      </c>
      <c r="AX85" s="697" t="str">
        <f>IFERROR(__xludf.DUMMYFUNCTION("""COMPUTED_VALUE"""),"Must be between 18-50 years with microfilarial densities of 15 mf/mg or more and a nodule load of three to seven onchocercomata. None of the patients could receive any filarial treatment within the previous two years. ")</f>
        <v>Must be between 18-50 years with microfilarial densities of 15 mf/mg or more and a nodule load of three to seven onchocercomata. None of the patients could receive any filarial treatment within the previous two years. </v>
      </c>
      <c r="AY85" s="697" t="str">
        <f>IFERROR(__xludf.DUMMYFUNCTION("""COMPUTED_VALUE"""),"Yes")</f>
        <v>Yes</v>
      </c>
      <c r="AZ85" s="697" t="str">
        <f>IFERROR(__xludf.DUMMYFUNCTION("""COMPUTED_VALUE"""),"No")</f>
        <v>No</v>
      </c>
      <c r="BA85" s="697"/>
      <c r="BB85" s="697"/>
      <c r="BC85" s="697" t="str">
        <f>IFERROR(__xludf.DUMMYFUNCTION("""COMPUTED_VALUE"""),"Ivermectin was much better tolerated than DEC and had a longer lasting effect on the microfilariae in the skin. Since high doses of DEC were less effective and caused more frequent and severe side effects, this approach cannot be recommended for treatment"&amp;" of onchocerciasis.")</f>
        <v>Ivermectin was much better tolerated than DEC and had a longer lasting effect on the microfilariae in the skin. Since high doses of DEC were less effective and caused more frequent and severe side effects, this approach cannot be recommended for treatment of onchocerciasis.</v>
      </c>
      <c r="BD85" s="697" t="str">
        <f>IFERROR(__xludf.DUMMYFUNCTION("""COMPUTED_VALUE"""),"Of all subjects of the study 90% were reexamined after ten months.")</f>
        <v>Of all subjects of the study 90% were reexamined after ten months.</v>
      </c>
      <c r="BE85" s="697"/>
      <c r="BF85" s="697"/>
      <c r="BG85" s="697"/>
    </row>
    <row r="86">
      <c r="A86" s="697"/>
      <c r="B86" s="697" t="str">
        <f>IFERROR(__xludf.DUMMYFUNCTION("""COMPUTED_VALUE"""),"Albiez et al.")</f>
        <v>Albiez et al.</v>
      </c>
      <c r="C86" s="697" t="str">
        <f>IFERROR(__xludf.DUMMYFUNCTION("""COMPUTED_VALUE"""),"Liberia")</f>
        <v>Liberia</v>
      </c>
      <c r="D86" s="697" t="str">
        <f>IFERROR(__xludf.DUMMYFUNCTION("""COMPUTED_VALUE"""),"Placebo")</f>
        <v>Placebo</v>
      </c>
      <c r="E86" s="697"/>
      <c r="F86" s="697"/>
      <c r="G86" s="697"/>
      <c r="H86" s="697"/>
      <c r="I86" s="697"/>
      <c r="J86" s="697" t="str">
        <f>IFERROR(__xludf.DUMMYFUNCTION("""COMPUTED_VALUE"""),"Increase of 54.76%")</f>
        <v>Increase of 54.76%</v>
      </c>
      <c r="K86" s="697"/>
      <c r="L86" s="697"/>
      <c r="M86" s="697"/>
      <c r="N86" s="697"/>
      <c r="O86" s="697"/>
      <c r="P86" s="697"/>
      <c r="Q86" s="700">
        <f>IFERROR(__xludf.DUMMYFUNCTION("""COMPUTED_VALUE"""),0.31)</f>
        <v>0.31</v>
      </c>
      <c r="R86" s="697"/>
      <c r="S86" s="697"/>
      <c r="T86" s="697"/>
      <c r="U86" s="697"/>
      <c r="V86" s="697"/>
      <c r="W86" s="698">
        <f>IFERROR(__xludf.DUMMYFUNCTION("""COMPUTED_VALUE"""),0.5476)</f>
        <v>0.5476</v>
      </c>
      <c r="X86" s="697"/>
      <c r="Y86" s="697"/>
      <c r="Z86" s="697"/>
      <c r="AA86" s="697"/>
      <c r="AB86" s="697"/>
      <c r="AC86" s="697"/>
      <c r="AD86" s="697"/>
      <c r="AE86" s="697" t="str">
        <f>IFERROR(__xludf.DUMMYFUNCTION("""COMPUTED_VALUE"""),"n/a")</f>
        <v>n/a</v>
      </c>
      <c r="AF86" s="697"/>
      <c r="AG86" s="697"/>
      <c r="AH86" s="697"/>
      <c r="AI86" s="697"/>
      <c r="AJ86" s="697"/>
      <c r="AK86" s="697"/>
      <c r="AL86" s="697"/>
      <c r="AM86" s="697"/>
      <c r="AN86" s="700">
        <f>IFERROR(__xludf.DUMMYFUNCTION("""COMPUTED_VALUE"""),0.31)</f>
        <v>0.31</v>
      </c>
      <c r="AO86" s="698">
        <f>IFERROR(__xludf.DUMMYFUNCTION("""COMPUTED_VALUE"""),0.31)</f>
        <v>0.31</v>
      </c>
      <c r="AP86" s="697" t="str">
        <f>IFERROR(__xludf.DUMMYFUNCTION("""COMPUTED_VALUE"""),"Mf reduction")</f>
        <v>Mf reduction</v>
      </c>
      <c r="AQ86" s="697" t="str">
        <f>IFERROR(__xludf.DUMMYFUNCTION("""COMPUTED_VALUE"""),"Liberian rainforest")</f>
        <v>Liberian rainforest</v>
      </c>
      <c r="AR86" s="697">
        <f>IFERROR(__xludf.DUMMYFUNCTION("""COMPUTED_VALUE"""),1988.0)</f>
        <v>1988</v>
      </c>
      <c r="AS86" s="697">
        <f>IFERROR(__xludf.DUMMYFUNCTION("""COMPUTED_VALUE"""),10.0)</f>
        <v>10</v>
      </c>
      <c r="AT86" s="697" t="str">
        <f>IFERROR(__xludf.DUMMYFUNCTION("""COMPUTED_VALUE"""),"10 months")</f>
        <v>10 months</v>
      </c>
      <c r="AU86" s="699" t="str">
        <f>IFERROR(__xludf.DUMMYFUNCTION("""COMPUTED_VALUE"""),"Albiez, E.J.; Newland, H.S.; White, A.T.; Kaiser, A.; Greene B.M.; Taylor, H.R.; Büttner, D.W. (1988) Chemotherapy of onchocerciasis with high doses of diethylcarbamazine or a single dose of ivermectin: microfilaria levels and side effects. Trop Med Paras"&amp;"it 39: 19-24. ")</f>
        <v>Albiez, E.J.; Newland, H.S.; White, A.T.; Kaiser, A.; Greene B.M.; Taylor, H.R.; Büttner, D.W. (1988) Chemotherapy of onchocerciasis with high doses of diethylcarbamazine or a single dose of ivermectin: microfilaria levels and side effects. Trop Med Parasit 39: 19-24. </v>
      </c>
      <c r="AV86" s="697" t="str">
        <f>IFERROR(__xludf.DUMMYFUNCTION("""COMPUTED_VALUE"""),"M")</f>
        <v>M</v>
      </c>
      <c r="AW86" s="697" t="str">
        <f>IFERROR(__xludf.DUMMYFUNCTION("""COMPUTED_VALUE"""),"18-50 years")</f>
        <v>18-50 years</v>
      </c>
      <c r="AX86" s="697" t="str">
        <f>IFERROR(__xludf.DUMMYFUNCTION("""COMPUTED_VALUE"""),"Must be between 18-50 years with microfilarial densities of 15 mf/mg or more and a nodule load of three to seven onchocercomata. None of the patients could receive any filarial treatment within the previous two years. ")</f>
        <v>Must be between 18-50 years with microfilarial densities of 15 mf/mg or more and a nodule load of three to seven onchocercomata. None of the patients could receive any filarial treatment within the previous two years. </v>
      </c>
      <c r="AY86" s="697" t="str">
        <f>IFERROR(__xludf.DUMMYFUNCTION("""COMPUTED_VALUE"""),"Yes")</f>
        <v>Yes</v>
      </c>
      <c r="AZ86" s="697" t="str">
        <f>IFERROR(__xludf.DUMMYFUNCTION("""COMPUTED_VALUE"""),"No")</f>
        <v>No</v>
      </c>
      <c r="BA86" s="697"/>
      <c r="BB86" s="697"/>
      <c r="BC86" s="697" t="str">
        <f>IFERROR(__xludf.DUMMYFUNCTION("""COMPUTED_VALUE"""),"Ivermectin was much better tolerated than DEC and had a longer lasting effect on the microfilariae in the skin. Since high doses of DEC were less effective and caused more frequent and severe side effects, this approach cannot be recommended for treatment"&amp;" of onchocerciasis.")</f>
        <v>Ivermectin was much better tolerated than DEC and had a longer lasting effect on the microfilariae in the skin. Since high doses of DEC were less effective and caused more frequent and severe side effects, this approach cannot be recommended for treatment of onchocerciasis.</v>
      </c>
      <c r="BD86" s="697" t="str">
        <f>IFERROR(__xludf.DUMMYFUNCTION("""COMPUTED_VALUE"""),"Of all subjects of the study 90% were reexamined after ten months.")</f>
        <v>Of all subjects of the study 90% were reexamined after ten months.</v>
      </c>
      <c r="BE86" s="697"/>
      <c r="BF86" s="697"/>
      <c r="BG86" s="697"/>
    </row>
    <row r="87">
      <c r="A87" s="697"/>
      <c r="B87" s="697" t="str">
        <f>IFERROR(__xludf.DUMMYFUNCTION("""COMPUTED_VALUE"""),"Taylor et al. ")</f>
        <v>Taylor et al. </v>
      </c>
      <c r="C87" s="697" t="str">
        <f>IFERROR(__xludf.DUMMYFUNCTION("""COMPUTED_VALUE"""),"Liberia")</f>
        <v>Liberia</v>
      </c>
      <c r="D87" s="697" t="str">
        <f>IFERROR(__xludf.DUMMYFUNCTION("""COMPUTED_VALUE"""),"Ivermectin")</f>
        <v>Ivermectin</v>
      </c>
      <c r="E87" s="697" t="str">
        <f>IFERROR(__xludf.DUMMYFUNCTION("""COMPUTED_VALUE"""),"200 ug/kg")</f>
        <v>200 ug/kg</v>
      </c>
      <c r="F87" s="697">
        <f>IFERROR(__xludf.DUMMYFUNCTION("""COMPUTED_VALUE"""),1.0)</f>
        <v>1</v>
      </c>
      <c r="G87" s="697" t="str">
        <f>IFERROR(__xludf.DUMMYFUNCTION("""COMPUTED_VALUE"""),"200 ug/kg")</f>
        <v>200 ug/kg</v>
      </c>
      <c r="H87" s="697"/>
      <c r="I87" s="697"/>
      <c r="J87" s="697"/>
      <c r="K87" s="697"/>
      <c r="L87" s="697"/>
      <c r="M87" s="697"/>
      <c r="N87" s="698">
        <f>IFERROR(__xludf.DUMMYFUNCTION("""COMPUTED_VALUE"""),0.9776)</f>
        <v>0.9776</v>
      </c>
      <c r="O87" s="697"/>
      <c r="P87" s="697"/>
      <c r="Q87" s="698">
        <f>IFERROR(__xludf.DUMMYFUNCTION("""COMPUTED_VALUE"""),0.9664)</f>
        <v>0.9664</v>
      </c>
      <c r="R87" s="697"/>
      <c r="S87" s="698">
        <f>IFERROR(__xludf.DUMMYFUNCTION("""COMPUTED_VALUE"""),0.856)</f>
        <v>0.856</v>
      </c>
      <c r="T87" s="697"/>
      <c r="U87" s="697"/>
      <c r="V87" s="697"/>
      <c r="W87" s="698">
        <f>IFERROR(__xludf.DUMMYFUNCTION("""COMPUTED_VALUE"""),0.7776)</f>
        <v>0.7776</v>
      </c>
      <c r="X87" s="697"/>
      <c r="Y87" s="697"/>
      <c r="Z87" s="697"/>
      <c r="AA87" s="697"/>
      <c r="AB87" s="697"/>
      <c r="AC87" s="697"/>
      <c r="AD87" s="697"/>
      <c r="AE87" s="697" t="str">
        <f>IFERROR(__xludf.DUMMYFUNCTION("""COMPUTED_VALUE"""),"n/a")</f>
        <v>n/a</v>
      </c>
      <c r="AF87" s="697"/>
      <c r="AG87" s="697"/>
      <c r="AH87" s="697"/>
      <c r="AI87" s="697"/>
      <c r="AJ87" s="697"/>
      <c r="AK87" s="697"/>
      <c r="AL87" s="697"/>
      <c r="AM87" s="697"/>
      <c r="AN87" s="698">
        <f>IFERROR(__xludf.DUMMYFUNCTION("""COMPUTED_VALUE"""),0.856)</f>
        <v>0.856</v>
      </c>
      <c r="AO87" s="698">
        <f>IFERROR(__xludf.DUMMYFUNCTION("""COMPUTED_VALUE"""),0.856)</f>
        <v>0.856</v>
      </c>
      <c r="AP87" s="697" t="str">
        <f>IFERROR(__xludf.DUMMYFUNCTION("""COMPUTED_VALUE"""),"Mf reduction")</f>
        <v>Mf reduction</v>
      </c>
      <c r="AQ87" s="697" t="str">
        <f>IFERROR(__xludf.DUMMYFUNCTION("""COMPUTED_VALUE"""),"Rainforest ")</f>
        <v>Rainforest </v>
      </c>
      <c r="AR87" s="697">
        <f>IFERROR(__xludf.DUMMYFUNCTION("""COMPUTED_VALUE"""),1986.0)</f>
        <v>1986</v>
      </c>
      <c r="AS87" s="697">
        <f>IFERROR(__xludf.DUMMYFUNCTION("""COMPUTED_VALUE"""),6.0)</f>
        <v>6</v>
      </c>
      <c r="AT87" s="697" t="str">
        <f>IFERROR(__xludf.DUMMYFUNCTION("""COMPUTED_VALUE"""),"1 year")</f>
        <v>1 year</v>
      </c>
      <c r="AU87" s="699" t="str">
        <f>IFERROR(__xludf.DUMMYFUNCTION("""COMPUTED_VALUE"""),"Taylor, H.R.; Murphy, R.P.; Newland, H.S.; White, A.T.;Salvatore, A. D.; Kayvan-Larijani, E.; Aziz, M.A.; Cupp, E.W.; Greene, B.M. (1986) Treatment of Onchocerciasis: The Ocular Effects of Ivermectin and Diethylcarbamazine. Arch Opthalmol 104:863-870.")</f>
        <v>Taylor, H.R.; Murphy, R.P.; Newland, H.S.; White, A.T.;Salvatore, A. D.; Kayvan-Larijani, E.; Aziz, M.A.; Cupp, E.W.; Greene, B.M. (1986) Treatment of Onchocerciasis: The Ocular Effects of Ivermectin and Diethylcarbamazine. Arch Opthalmol 104:863-870.</v>
      </c>
      <c r="AV87" s="697" t="str">
        <f>IFERROR(__xludf.DUMMYFUNCTION("""COMPUTED_VALUE"""),"M")</f>
        <v>M</v>
      </c>
      <c r="AW87" s="697" t="str">
        <f>IFERROR(__xludf.DUMMYFUNCTION("""COMPUTED_VALUE"""),"19-45 yrs old.")</f>
        <v>19-45 yrs old.</v>
      </c>
      <c r="AX87" s="697" t="str">
        <f>IFERROR(__xludf.DUMMYFUNCTION("""COMPUTED_VALUE"""),"Males with moderate to high semiquantitative microfilaria counts, palpable nodules, and intraocular microfilariae.")</f>
        <v>Males with moderate to high semiquantitative microfilaria counts, palpable nodules, and intraocular microfilariae.</v>
      </c>
      <c r="AY87" s="697" t="str">
        <f>IFERROR(__xludf.DUMMYFUNCTION("""COMPUTED_VALUE"""),"Yes")</f>
        <v>Yes</v>
      </c>
      <c r="AZ87" s="697" t="str">
        <f>IFERROR(__xludf.DUMMYFUNCTION("""COMPUTED_VALUE"""),"Yes")</f>
        <v>Yes</v>
      </c>
      <c r="BA87" s="697"/>
      <c r="BB87" s="697"/>
      <c r="BC87" s="697" t="str">
        <f>IFERROR(__xludf.DUMMYFUNCTION("""COMPUTED_VALUE"""),"Ivermectin appears to be well tolerated and effective against O volvulus in humans, and its use is associated with few ocular changes and has less of a mobilizing effect than DEC.")</f>
        <v>Ivermectin appears to be well tolerated and effective against O volvulus in humans, and its use is associated with few ocular changes and has less of a mobilizing effect than DEC.</v>
      </c>
      <c r="BD87" s="697" t="str">
        <f>IFERROR(__xludf.DUMMYFUNCTION("""COMPUTED_VALUE"""),"At the three-month examination, 3 men in the placebo group and 2 men in the placebo group were absent; at the six-month examination, 3 men in the ivermectin group and one in the placebo group were absent.")</f>
        <v>At the three-month examination, 3 men in the placebo group and 2 men in the placebo group were absent; at the six-month examination, 3 men in the ivermectin group and one in the placebo group were absent.</v>
      </c>
      <c r="BE87" s="697"/>
      <c r="BF87" s="697"/>
      <c r="BG87" s="697"/>
    </row>
    <row r="88">
      <c r="A88" s="697"/>
      <c r="B88" s="697" t="str">
        <f>IFERROR(__xludf.DUMMYFUNCTION("""COMPUTED_VALUE"""),"Taylor et al. ")</f>
        <v>Taylor et al. </v>
      </c>
      <c r="C88" s="697" t="str">
        <f>IFERROR(__xludf.DUMMYFUNCTION("""COMPUTED_VALUE"""),"Liberia")</f>
        <v>Liberia</v>
      </c>
      <c r="D88" s="697" t="str">
        <f>IFERROR(__xludf.DUMMYFUNCTION("""COMPUTED_VALUE"""),"DEC")</f>
        <v>DEC</v>
      </c>
      <c r="E88" s="697" t="str">
        <f>IFERROR(__xludf.DUMMYFUNCTION("""COMPUTED_VALUE"""),"50mg, 100mg")</f>
        <v>50mg, 100mg</v>
      </c>
      <c r="F88" s="703">
        <f>IFERROR(__xludf.DUMMYFUNCTION("""COMPUTED_VALUE"""),42412.0)</f>
        <v>42412</v>
      </c>
      <c r="G88" s="697" t="str">
        <f>IFERROR(__xludf.DUMMYFUNCTION("""COMPUTED_VALUE"""),"1300mg")</f>
        <v>1300mg</v>
      </c>
      <c r="H88" s="697"/>
      <c r="I88" s="697"/>
      <c r="J88" s="697"/>
      <c r="K88" s="697"/>
      <c r="L88" s="697"/>
      <c r="M88" s="697"/>
      <c r="N88" s="698">
        <f>IFERROR(__xludf.DUMMYFUNCTION("""COMPUTED_VALUE"""),0.9383)</f>
        <v>0.9383</v>
      </c>
      <c r="O88" s="697"/>
      <c r="P88" s="697"/>
      <c r="Q88" s="698">
        <f>IFERROR(__xludf.DUMMYFUNCTION("""COMPUTED_VALUE"""),0.8052)</f>
        <v>0.8052</v>
      </c>
      <c r="R88" s="697"/>
      <c r="S88" s="698">
        <f>IFERROR(__xludf.DUMMYFUNCTION("""COMPUTED_VALUE"""),0.6071)</f>
        <v>0.6071</v>
      </c>
      <c r="T88" s="697"/>
      <c r="U88" s="697"/>
      <c r="V88" s="697"/>
      <c r="W88" s="698">
        <f>IFERROR(__xludf.DUMMYFUNCTION("""COMPUTED_VALUE"""),0.5909)</f>
        <v>0.5909</v>
      </c>
      <c r="X88" s="697"/>
      <c r="Y88" s="697"/>
      <c r="Z88" s="697"/>
      <c r="AA88" s="697"/>
      <c r="AB88" s="697"/>
      <c r="AC88" s="697"/>
      <c r="AD88" s="697"/>
      <c r="AE88" s="697" t="str">
        <f>IFERROR(__xludf.DUMMYFUNCTION("""COMPUTED_VALUE"""),"n/a")</f>
        <v>n/a</v>
      </c>
      <c r="AF88" s="697"/>
      <c r="AG88" s="697"/>
      <c r="AH88" s="697"/>
      <c r="AI88" s="697"/>
      <c r="AJ88" s="697"/>
      <c r="AK88" s="697"/>
      <c r="AL88" s="697"/>
      <c r="AM88" s="697"/>
      <c r="AN88" s="698">
        <f>IFERROR(__xludf.DUMMYFUNCTION("""COMPUTED_VALUE"""),0.6071)</f>
        <v>0.6071</v>
      </c>
      <c r="AO88" s="698">
        <f>IFERROR(__xludf.DUMMYFUNCTION("""COMPUTED_VALUE"""),0.6071)</f>
        <v>0.6071</v>
      </c>
      <c r="AP88" s="697" t="str">
        <f>IFERROR(__xludf.DUMMYFUNCTION("""COMPUTED_VALUE"""),"Mf reduction")</f>
        <v>Mf reduction</v>
      </c>
      <c r="AQ88" s="697" t="str">
        <f>IFERROR(__xludf.DUMMYFUNCTION("""COMPUTED_VALUE"""),"Rainforest ")</f>
        <v>Rainforest </v>
      </c>
      <c r="AR88" s="697">
        <f>IFERROR(__xludf.DUMMYFUNCTION("""COMPUTED_VALUE"""),1986.0)</f>
        <v>1986</v>
      </c>
      <c r="AS88" s="697">
        <f>IFERROR(__xludf.DUMMYFUNCTION("""COMPUTED_VALUE"""),7.0)</f>
        <v>7</v>
      </c>
      <c r="AT88" s="697" t="str">
        <f>IFERROR(__xludf.DUMMYFUNCTION("""COMPUTED_VALUE"""),"1 year")</f>
        <v>1 year</v>
      </c>
      <c r="AU88" s="699" t="str">
        <f>IFERROR(__xludf.DUMMYFUNCTION("""COMPUTED_VALUE"""),"Taylor, H.R.; Murphy, R.P.; Newland, H.S.; White, A.T.;Salvatore, A. D.; Kayvan-Larijani, E.; Aziz, M.A.; Cupp, E.W.; Greene, B.M. (1986) Treatment of Onchocerciasis: The Ocular Effects of Ivermectin and Diethylcarbamazine. Arch Opthalmol 104:863-870.")</f>
        <v>Taylor, H.R.; Murphy, R.P.; Newland, H.S.; White, A.T.;Salvatore, A. D.; Kayvan-Larijani, E.; Aziz, M.A.; Cupp, E.W.; Greene, B.M. (1986) Treatment of Onchocerciasis: The Ocular Effects of Ivermectin and Diethylcarbamazine. Arch Opthalmol 104:863-870.</v>
      </c>
      <c r="AV88" s="697" t="str">
        <f>IFERROR(__xludf.DUMMYFUNCTION("""COMPUTED_VALUE"""),"M")</f>
        <v>M</v>
      </c>
      <c r="AW88" s="697" t="str">
        <f>IFERROR(__xludf.DUMMYFUNCTION("""COMPUTED_VALUE"""),"19-45 yrs old.")</f>
        <v>19-45 yrs old.</v>
      </c>
      <c r="AX88" s="697" t="str">
        <f>IFERROR(__xludf.DUMMYFUNCTION("""COMPUTED_VALUE"""),"Males with moderate to high semiquantitative microfilaria counts, palpable nodules, and intraocular microfilariae.")</f>
        <v>Males with moderate to high semiquantitative microfilaria counts, palpable nodules, and intraocular microfilariae.</v>
      </c>
      <c r="AY88" s="697" t="str">
        <f>IFERROR(__xludf.DUMMYFUNCTION("""COMPUTED_VALUE"""),"Yes")</f>
        <v>Yes</v>
      </c>
      <c r="AZ88" s="697" t="str">
        <f>IFERROR(__xludf.DUMMYFUNCTION("""COMPUTED_VALUE"""),"Yes")</f>
        <v>Yes</v>
      </c>
      <c r="BA88" s="697"/>
      <c r="BB88" s="697"/>
      <c r="BC88" s="697" t="str">
        <f>IFERROR(__xludf.DUMMYFUNCTION("""COMPUTED_VALUE"""),"Ivermectin appears to be well tolerated and effective against O volvulus in humans, and its use is associated with few ocular changes and has less of a mobilizing effect than DEC.")</f>
        <v>Ivermectin appears to be well tolerated and effective against O volvulus in humans, and its use is associated with few ocular changes and has less of a mobilizing effect than DEC.</v>
      </c>
      <c r="BD88" s="697" t="str">
        <f>IFERROR(__xludf.DUMMYFUNCTION("""COMPUTED_VALUE"""),"At the three-month examination, 3 men in the placebo group and 2 men in the placebo group were absent; at the six-month examination, 3 men in the ivermectin group and one in the placebo group were absent.")</f>
        <v>At the three-month examination, 3 men in the placebo group and 2 men in the placebo group were absent; at the six-month examination, 3 men in the ivermectin group and one in the placebo group were absent.</v>
      </c>
      <c r="BE88" s="697"/>
      <c r="BF88" s="697"/>
      <c r="BG88" s="697"/>
    </row>
    <row r="89">
      <c r="A89" s="697"/>
      <c r="B89" s="697" t="str">
        <f>IFERROR(__xludf.DUMMYFUNCTION("""COMPUTED_VALUE"""),"Taylor et al. ")</f>
        <v>Taylor et al. </v>
      </c>
      <c r="C89" s="697" t="str">
        <f>IFERROR(__xludf.DUMMYFUNCTION("""COMPUTED_VALUE"""),"Liberia")</f>
        <v>Liberia</v>
      </c>
      <c r="D89" s="697" t="str">
        <f>IFERROR(__xludf.DUMMYFUNCTION("""COMPUTED_VALUE"""),"Placebo")</f>
        <v>Placebo</v>
      </c>
      <c r="E89" s="697"/>
      <c r="F89" s="697"/>
      <c r="G89" s="697"/>
      <c r="H89" s="697"/>
      <c r="I89" s="697"/>
      <c r="J89" s="697"/>
      <c r="K89" s="697"/>
      <c r="L89" s="697"/>
      <c r="M89" s="697"/>
      <c r="N89" s="698">
        <f>IFERROR(__xludf.DUMMYFUNCTION("""COMPUTED_VALUE"""),0.2601)</f>
        <v>0.2601</v>
      </c>
      <c r="O89" s="697"/>
      <c r="P89" s="697"/>
      <c r="Q89" s="698">
        <f>IFERROR(__xludf.DUMMYFUNCTION("""COMPUTED_VALUE"""),0.2673)</f>
        <v>0.2673</v>
      </c>
      <c r="R89" s="697"/>
      <c r="S89" s="698">
        <f>IFERROR(__xludf.DUMMYFUNCTION("""COMPUTED_VALUE"""),0.0215)</f>
        <v>0.0215</v>
      </c>
      <c r="T89" s="697"/>
      <c r="U89" s="697"/>
      <c r="V89" s="697"/>
      <c r="W89" s="698">
        <f>IFERROR(__xludf.DUMMYFUNCTION("""COMPUTED_VALUE"""),0.4081)</f>
        <v>0.4081</v>
      </c>
      <c r="X89" s="697"/>
      <c r="Y89" s="697"/>
      <c r="Z89" s="697"/>
      <c r="AA89" s="697"/>
      <c r="AB89" s="697"/>
      <c r="AC89" s="697"/>
      <c r="AD89" s="697"/>
      <c r="AE89" s="697" t="str">
        <f>IFERROR(__xludf.DUMMYFUNCTION("""COMPUTED_VALUE"""),"n/a")</f>
        <v>n/a</v>
      </c>
      <c r="AF89" s="697"/>
      <c r="AG89" s="697"/>
      <c r="AH89" s="697"/>
      <c r="AI89" s="697"/>
      <c r="AJ89" s="697"/>
      <c r="AK89" s="697"/>
      <c r="AL89" s="697"/>
      <c r="AM89" s="697"/>
      <c r="AN89" s="698">
        <f>IFERROR(__xludf.DUMMYFUNCTION("""COMPUTED_VALUE"""),0.0215)</f>
        <v>0.0215</v>
      </c>
      <c r="AO89" s="698">
        <f>IFERROR(__xludf.DUMMYFUNCTION("""COMPUTED_VALUE"""),0.0215)</f>
        <v>0.0215</v>
      </c>
      <c r="AP89" s="697" t="str">
        <f>IFERROR(__xludf.DUMMYFUNCTION("""COMPUTED_VALUE"""),"Mf reduction")</f>
        <v>Mf reduction</v>
      </c>
      <c r="AQ89" s="697" t="str">
        <f>IFERROR(__xludf.DUMMYFUNCTION("""COMPUTED_VALUE"""),"Rainforest ")</f>
        <v>Rainforest </v>
      </c>
      <c r="AR89" s="697">
        <f>IFERROR(__xludf.DUMMYFUNCTION("""COMPUTED_VALUE"""),1986.0)</f>
        <v>1986</v>
      </c>
      <c r="AS89" s="697">
        <f>IFERROR(__xludf.DUMMYFUNCTION("""COMPUTED_VALUE"""),8.0)</f>
        <v>8</v>
      </c>
      <c r="AT89" s="697" t="str">
        <f>IFERROR(__xludf.DUMMYFUNCTION("""COMPUTED_VALUE"""),"1 year")</f>
        <v>1 year</v>
      </c>
      <c r="AU89" s="699" t="str">
        <f>IFERROR(__xludf.DUMMYFUNCTION("""COMPUTED_VALUE"""),"Taylor, H.R.; Murphy, R.P.; Newland, H.S.; White, A.T.;Salvatore, A. D.; Kayvan-Larijani, E.; Aziz, M.A.; Cupp, E.W.; Greene, B.M. (1986) Treatment of Onchocerciasis: The Ocular Effects of Ivermectin and Diethylcarbamazine. Arch Opthalmol 104:863-870.")</f>
        <v>Taylor, H.R.; Murphy, R.P.; Newland, H.S.; White, A.T.;Salvatore, A. D.; Kayvan-Larijani, E.; Aziz, M.A.; Cupp, E.W.; Greene, B.M. (1986) Treatment of Onchocerciasis: The Ocular Effects of Ivermectin and Diethylcarbamazine. Arch Opthalmol 104:863-870.</v>
      </c>
      <c r="AV89" s="697" t="str">
        <f>IFERROR(__xludf.DUMMYFUNCTION("""COMPUTED_VALUE"""),"M")</f>
        <v>M</v>
      </c>
      <c r="AW89" s="697" t="str">
        <f>IFERROR(__xludf.DUMMYFUNCTION("""COMPUTED_VALUE"""),"19-45 yrs old.")</f>
        <v>19-45 yrs old.</v>
      </c>
      <c r="AX89" s="697" t="str">
        <f>IFERROR(__xludf.DUMMYFUNCTION("""COMPUTED_VALUE"""),"Males with moderate to high semiquantitative microfilaria counts, palpable nodules, and intraocular microfilariae.")</f>
        <v>Males with moderate to high semiquantitative microfilaria counts, palpable nodules, and intraocular microfilariae.</v>
      </c>
      <c r="AY89" s="697" t="str">
        <f>IFERROR(__xludf.DUMMYFUNCTION("""COMPUTED_VALUE"""),"Yes")</f>
        <v>Yes</v>
      </c>
      <c r="AZ89" s="697" t="str">
        <f>IFERROR(__xludf.DUMMYFUNCTION("""COMPUTED_VALUE"""),"Yes")</f>
        <v>Yes</v>
      </c>
      <c r="BA89" s="697"/>
      <c r="BB89" s="697"/>
      <c r="BC89" s="697" t="str">
        <f>IFERROR(__xludf.DUMMYFUNCTION("""COMPUTED_VALUE"""),"Ivermectin appears to be well tolerated and effective against O volvulus in humans, and its use is associated with few ocular changes and has less of a mobilizing effect than DEC.")</f>
        <v>Ivermectin appears to be well tolerated and effective against O volvulus in humans, and its use is associated with few ocular changes and has less of a mobilizing effect than DEC.</v>
      </c>
      <c r="BD89" s="697" t="str">
        <f>IFERROR(__xludf.DUMMYFUNCTION("""COMPUTED_VALUE"""),"At the three-month examination, 3 men in the placebo group and 2 men in the placebo group were absent; at the six-month examination, 3 men in the ivermectin group and one in the placebo group were absent.")</f>
        <v>At the three-month examination, 3 men in the placebo group and 2 men in the placebo group were absent; at the six-month examination, 3 men in the ivermectin group and one in the placebo group were absent.</v>
      </c>
      <c r="BE89" s="697"/>
      <c r="BF89" s="697"/>
      <c r="BG89" s="697"/>
    </row>
    <row r="90">
      <c r="A90" s="697"/>
      <c r="B90" s="697" t="str">
        <f>IFERROR(__xludf.DUMMYFUNCTION("""COMPUTED_VALUE"""),"Greene et al.")</f>
        <v>Greene et al.</v>
      </c>
      <c r="C90" s="697" t="str">
        <f>IFERROR(__xludf.DUMMYFUNCTION("""COMPUTED_VALUE"""),"Liberia")</f>
        <v>Liberia</v>
      </c>
      <c r="D90" s="697" t="str">
        <f>IFERROR(__xludf.DUMMYFUNCTION("""COMPUTED_VALUE"""),"Ivermectin")</f>
        <v>Ivermectin</v>
      </c>
      <c r="E90" s="697" t="str">
        <f>IFERROR(__xludf.DUMMYFUNCTION("""COMPUTED_VALUE"""),"100 ug/kg")</f>
        <v>100 ug/kg</v>
      </c>
      <c r="F90" s="697">
        <f>IFERROR(__xludf.DUMMYFUNCTION("""COMPUTED_VALUE"""),1.0)</f>
        <v>1</v>
      </c>
      <c r="G90" s="697" t="str">
        <f>IFERROR(__xludf.DUMMYFUNCTION("""COMPUTED_VALUE"""),"100 ug/kg")</f>
        <v>100 ug/kg</v>
      </c>
      <c r="H90" s="697"/>
      <c r="I90" s="697"/>
      <c r="J90" s="697"/>
      <c r="K90" s="697"/>
      <c r="L90" s="697"/>
      <c r="M90" s="697"/>
      <c r="N90" s="697"/>
      <c r="O90" s="697"/>
      <c r="P90" s="697"/>
      <c r="Q90" s="697"/>
      <c r="R90" s="697"/>
      <c r="S90" s="698">
        <f>IFERROR(__xludf.DUMMYFUNCTION("""COMPUTED_VALUE"""),0.9441)</f>
        <v>0.9441</v>
      </c>
      <c r="T90" s="698">
        <f>IFERROR(__xludf.DUMMYFUNCTION("""COMPUTED_VALUE"""),0.8994)</f>
        <v>0.8994</v>
      </c>
      <c r="U90" s="697"/>
      <c r="V90" s="697"/>
      <c r="W90" s="698">
        <f>IFERROR(__xludf.DUMMYFUNCTION("""COMPUTED_VALUE"""),0.8324)</f>
        <v>0.8324</v>
      </c>
      <c r="X90" s="697"/>
      <c r="Y90" s="697"/>
      <c r="Z90" s="697"/>
      <c r="AA90" s="697"/>
      <c r="AB90" s="697"/>
      <c r="AC90" s="697"/>
      <c r="AD90" s="697"/>
      <c r="AE90" s="697" t="str">
        <f>IFERROR(__xludf.DUMMYFUNCTION("""COMPUTED_VALUE"""),"n/a")</f>
        <v>n/a</v>
      </c>
      <c r="AF90" s="697"/>
      <c r="AG90" s="697"/>
      <c r="AH90" s="697"/>
      <c r="AI90" s="697"/>
      <c r="AJ90" s="697"/>
      <c r="AK90" s="697"/>
      <c r="AL90" s="697"/>
      <c r="AM90" s="697"/>
      <c r="AN90" s="698">
        <f>IFERROR(__xludf.DUMMYFUNCTION("""COMPUTED_VALUE"""),0.9441)</f>
        <v>0.9441</v>
      </c>
      <c r="AO90" s="698">
        <f>IFERROR(__xludf.DUMMYFUNCTION("""COMPUTED_VALUE"""),0.9441)</f>
        <v>0.9441</v>
      </c>
      <c r="AP90" s="697" t="str">
        <f>IFERROR(__xludf.DUMMYFUNCTION("""COMPUTED_VALUE"""),"Mf reduction")</f>
        <v>Mf reduction</v>
      </c>
      <c r="AQ90" s="697" t="str">
        <f>IFERROR(__xludf.DUMMYFUNCTION("""COMPUTED_VALUE"""),"Grand Bassa County, Liberia ")</f>
        <v>Grand Bassa County, Liberia </v>
      </c>
      <c r="AR90" s="697">
        <f>IFERROR(__xludf.DUMMYFUNCTION("""COMPUTED_VALUE"""),1991.0)</f>
        <v>1991</v>
      </c>
      <c r="AS90" s="697">
        <f>IFERROR(__xludf.DUMMYFUNCTION("""COMPUTED_VALUE"""),49.0)</f>
        <v>49</v>
      </c>
      <c r="AT90" s="697" t="str">
        <f>IFERROR(__xludf.DUMMYFUNCTION("""COMPUTED_VALUE"""),"3 years")</f>
        <v>3 years</v>
      </c>
      <c r="AU90" s="699" t="str">
        <f>IFERROR(__xludf.DUMMYFUNCTION("""COMPUTED_VALUE"""),"Greene, B.M.; Dukuly, Z.D.; Muñoz, B.; White, A.T.; Pacqué, M.; Taylor, H.R. (1991) A Comparison of 6-, 12-, and 24-Monthly Dosing with Ivermectin for Treatment of Onchocerciasis. The Journal of Infectious Diseases 163(2): 376-380.")</f>
        <v>Greene, B.M.; Dukuly, Z.D.; Muñoz, B.; White, A.T.; Pacqué, M.; Taylor, H.R. (1991) A Comparison of 6-, 12-, and 24-Monthly Dosing with Ivermectin for Treatment of Onchocerciasis. The Journal of Infectious Diseases 163(2): 376-380.</v>
      </c>
      <c r="AV90" s="697" t="str">
        <f>IFERROR(__xludf.DUMMYFUNCTION("""COMPUTED_VALUE"""),"FM")</f>
        <v>FM</v>
      </c>
      <c r="AW90" s="697" t="str">
        <f>IFERROR(__xludf.DUMMYFUNCTION("""COMPUTED_VALUE"""),"&gt;12 yrs old")</f>
        <v>&gt;12 yrs old</v>
      </c>
      <c r="AX90" s="697" t="str">
        <f>IFERROR(__xludf.DUMMYFUNCTION("""COMPUTED_VALUE"""),"Liberians with the highest microfilaria counts were selected from 800; all were employees or dependents of employees of the Liberian Agricultural Company. The exclusion criteria included pregnant or lactating women, children &lt;12 years old, persons in poor"&amp;" general physical condition, and persons who had received a course of antifilarial therapy within the previous year.")</f>
        <v>Liberians with the highest microfilaria counts were selected from 800; all were employees or dependents of employees of the Liberian Agricultural Company. The exclusion criteria included pregnant or lactating women, children &lt;12 years old, persons in poor general physical condition, and persons who had received a course of antifilarial therapy within the previous year.</v>
      </c>
      <c r="AY90" s="697" t="str">
        <f>IFERROR(__xludf.DUMMYFUNCTION("""COMPUTED_VALUE"""),"Yes")</f>
        <v>Yes</v>
      </c>
      <c r="AZ90" s="697" t="str">
        <f>IFERROR(__xludf.DUMMYFUNCTION("""COMPUTED_VALUE"""),"Yes")</f>
        <v>Yes</v>
      </c>
      <c r="BA90" s="697"/>
      <c r="BB90" s="697" t="str">
        <f>IFERROR(__xludf.DUMMYFUNCTION("""COMPUTED_VALUE"""),"12 months 3.3 and 2.8 (81.56% and 84.36% reduction); 24 months 3.0 and 5.7 (83.24% and 68.16% reduction); 36 months 1.7 and 0.8 (90.5% and 95.53% reduction)")</f>
        <v>12 months 3.3 and 2.8 (81.56% and 84.36% reduction); 24 months 3.0 and 5.7 (83.24% and 68.16% reduction); 36 months 1.7 and 0.8 (90.5% and 95.53% reduction)</v>
      </c>
      <c r="BC90" s="697" t="str">
        <f>IFERROR(__xludf.DUMMYFUNCTION("""COMPUTED_VALUE"""),"There was a decrease in Mf in the cornea in all groups over the 36-month period; this impressive amelioration of ocular manifestations is particularly important, as it implies that effective ocular disease control could result from periodic administration"&amp;", perhaps even at 2-year intervals, a point that must be further assessed with longitudinal studies using detailed ocular examinations.")</f>
        <v>There was a decrease in Mf in the cornea in all groups over the 36-month period; this impressive amelioration of ocular manifestations is particularly important, as it implies that effective ocular disease control could result from periodic administration, perhaps even at 2-year intervals, a point that must be further assessed with longitudinal studies using detailed ocular examinations.</v>
      </c>
      <c r="BD90" s="697" t="str">
        <f>IFERROR(__xludf.DUMMYFUNCTION("""COMPUTED_VALUE"""),"Of 32 persons not examined at 36 months, 30 had moved to other parts of the country and could not be located, and 2 treated persons had died of unknown causes.")</f>
        <v>Of 32 persons not examined at 36 months, 30 had moved to other parts of the country and could not be located, and 2 treated persons had died of unknown causes.</v>
      </c>
      <c r="BE90" s="697"/>
      <c r="BF90" s="697"/>
      <c r="BG90" s="697"/>
    </row>
    <row r="91">
      <c r="A91" s="697"/>
      <c r="B91" s="697" t="str">
        <f>IFERROR(__xludf.DUMMYFUNCTION("""COMPUTED_VALUE"""),"Greene et al.")</f>
        <v>Greene et al.</v>
      </c>
      <c r="C91" s="697" t="str">
        <f>IFERROR(__xludf.DUMMYFUNCTION("""COMPUTED_VALUE"""),"Liberia")</f>
        <v>Liberia</v>
      </c>
      <c r="D91" s="697" t="str">
        <f>IFERROR(__xludf.DUMMYFUNCTION("""COMPUTED_VALUE"""),"Ivermectin")</f>
        <v>Ivermectin</v>
      </c>
      <c r="E91" s="697" t="str">
        <f>IFERROR(__xludf.DUMMYFUNCTION("""COMPUTED_VALUE"""),"150 ug/kg")</f>
        <v>150 ug/kg</v>
      </c>
      <c r="F91" s="697">
        <f>IFERROR(__xludf.DUMMYFUNCTION("""COMPUTED_VALUE"""),1.0)</f>
        <v>1</v>
      </c>
      <c r="G91" s="697" t="str">
        <f>IFERROR(__xludf.DUMMYFUNCTION("""COMPUTED_VALUE"""),"150 ug/kg")</f>
        <v>150 ug/kg</v>
      </c>
      <c r="H91" s="697"/>
      <c r="I91" s="697"/>
      <c r="J91" s="697"/>
      <c r="K91" s="697"/>
      <c r="L91" s="697"/>
      <c r="M91" s="697"/>
      <c r="N91" s="697"/>
      <c r="O91" s="697"/>
      <c r="P91" s="697"/>
      <c r="Q91" s="697"/>
      <c r="R91" s="697"/>
      <c r="S91" s="698">
        <f>IFERROR(__xludf.DUMMYFUNCTION("""COMPUTED_VALUE"""),0.9716)</f>
        <v>0.9716</v>
      </c>
      <c r="T91" s="698">
        <f>IFERROR(__xludf.DUMMYFUNCTION("""COMPUTED_VALUE"""),0.9147)</f>
        <v>0.9147</v>
      </c>
      <c r="U91" s="697"/>
      <c r="V91" s="697"/>
      <c r="W91" s="698">
        <f>IFERROR(__xludf.DUMMYFUNCTION("""COMPUTED_VALUE"""),0.8294)</f>
        <v>0.8294</v>
      </c>
      <c r="X91" s="697"/>
      <c r="Y91" s="697"/>
      <c r="Z91" s="697"/>
      <c r="AA91" s="697"/>
      <c r="AB91" s="697"/>
      <c r="AC91" s="697"/>
      <c r="AD91" s="697"/>
      <c r="AE91" s="697" t="str">
        <f>IFERROR(__xludf.DUMMYFUNCTION("""COMPUTED_VALUE"""),"n/a")</f>
        <v>n/a</v>
      </c>
      <c r="AF91" s="697"/>
      <c r="AG91" s="697"/>
      <c r="AH91" s="697"/>
      <c r="AI91" s="697"/>
      <c r="AJ91" s="697"/>
      <c r="AK91" s="697"/>
      <c r="AL91" s="697"/>
      <c r="AM91" s="697"/>
      <c r="AN91" s="698">
        <f>IFERROR(__xludf.DUMMYFUNCTION("""COMPUTED_VALUE"""),0.9716)</f>
        <v>0.9716</v>
      </c>
      <c r="AO91" s="698">
        <f>IFERROR(__xludf.DUMMYFUNCTION("""COMPUTED_VALUE"""),0.9716)</f>
        <v>0.9716</v>
      </c>
      <c r="AP91" s="697" t="str">
        <f>IFERROR(__xludf.DUMMYFUNCTION("""COMPUTED_VALUE"""),"Mf reduction")</f>
        <v>Mf reduction</v>
      </c>
      <c r="AQ91" s="697" t="str">
        <f>IFERROR(__xludf.DUMMYFUNCTION("""COMPUTED_VALUE"""),"Grand Bassa County, Liberia ")</f>
        <v>Grand Bassa County, Liberia </v>
      </c>
      <c r="AR91" s="697">
        <f>IFERROR(__xludf.DUMMYFUNCTION("""COMPUTED_VALUE"""),1991.0)</f>
        <v>1991</v>
      </c>
      <c r="AS91" s="697">
        <f>IFERROR(__xludf.DUMMYFUNCTION("""COMPUTED_VALUE"""),52.0)</f>
        <v>52</v>
      </c>
      <c r="AT91" s="697" t="str">
        <f>IFERROR(__xludf.DUMMYFUNCTION("""COMPUTED_VALUE"""),"3 years")</f>
        <v>3 years</v>
      </c>
      <c r="AU91" s="699" t="str">
        <f>IFERROR(__xludf.DUMMYFUNCTION("""COMPUTED_VALUE"""),"Greene, B.M.; Dukuly, Z.D.; Muñoz, B.; White, A.T.; Pacqué, M.; Taylor, H.R. (1991) A Comparison of 6-, 12-, and 24-Monthly Dosing with Ivermectin for Treatment of Onchocerciasis. The Journal of Infectious Diseases 163(2): 376-380.")</f>
        <v>Greene, B.M.; Dukuly, Z.D.; Muñoz, B.; White, A.T.; Pacqué, M.; Taylor, H.R. (1991) A Comparison of 6-, 12-, and 24-Monthly Dosing with Ivermectin for Treatment of Onchocerciasis. The Journal of Infectious Diseases 163(2): 376-380.</v>
      </c>
      <c r="AV91" s="697" t="str">
        <f>IFERROR(__xludf.DUMMYFUNCTION("""COMPUTED_VALUE"""),"FM")</f>
        <v>FM</v>
      </c>
      <c r="AW91" s="697" t="str">
        <f>IFERROR(__xludf.DUMMYFUNCTION("""COMPUTED_VALUE"""),"&gt;12 yrs old")</f>
        <v>&gt;12 yrs old</v>
      </c>
      <c r="AX91" s="697" t="str">
        <f>IFERROR(__xludf.DUMMYFUNCTION("""COMPUTED_VALUE"""),"Liberians with the highest microfilaria counts were selected from 800; all were employees or dependents of employees of the Liberian Agricultural Company. The exclusion criteria included pregnant or lactating women, children &lt;12 years old, persons in poor"&amp;" general physical condition, and persons who had received a course of antifilarial therapy within the previous year.")</f>
        <v>Liberians with the highest microfilaria counts were selected from 800; all were employees or dependents of employees of the Liberian Agricultural Company. The exclusion criteria included pregnant or lactating women, children &lt;12 years old, persons in poor general physical condition, and persons who had received a course of antifilarial therapy within the previous year.</v>
      </c>
      <c r="AY91" s="697" t="str">
        <f>IFERROR(__xludf.DUMMYFUNCTION("""COMPUTED_VALUE"""),"Yes")</f>
        <v>Yes</v>
      </c>
      <c r="AZ91" s="697" t="str">
        <f>IFERROR(__xludf.DUMMYFUNCTION("""COMPUTED_VALUE"""),"Yes")</f>
        <v>Yes</v>
      </c>
      <c r="BA91" s="697"/>
      <c r="BB91" s="697" t="str">
        <f>IFERROR(__xludf.DUMMYFUNCTION("""COMPUTED_VALUE"""),"12 months 3.6 (82.94% reduction); 12 months 3.9 and 3.1 (81.52% and 85.31% reduction); 24 months 1.9 and 5.2 (91% and 75.36% reduction); 36 months 0.7 and 0.7 (96.68% and 96.68% reduction)")</f>
        <v>12 months 3.6 (82.94% reduction); 12 months 3.9 and 3.1 (81.52% and 85.31% reduction); 24 months 1.9 and 5.2 (91% and 75.36% reduction); 36 months 0.7 and 0.7 (96.68% and 96.68% reduction)</v>
      </c>
      <c r="BC91" s="697" t="str">
        <f>IFERROR(__xludf.DUMMYFUNCTION("""COMPUTED_VALUE"""),"There was a decrease in Mf in the cornea in all groups over the 36-month period; this impressive amelioration of ocular manifestations is particularly important, as it implies that effective ocular disease control could result from periodic administration"&amp;", perhaps even at 2-year intervals, a point that must be further assessed with longitudinal studies using detailed ocular examinations.")</f>
        <v>There was a decrease in Mf in the cornea in all groups over the 36-month period; this impressive amelioration of ocular manifestations is particularly important, as it implies that effective ocular disease control could result from periodic administration, perhaps even at 2-year intervals, a point that must be further assessed with longitudinal studies using detailed ocular examinations.</v>
      </c>
      <c r="BD91" s="697" t="str">
        <f>IFERROR(__xludf.DUMMYFUNCTION("""COMPUTED_VALUE"""),"Of 32 persons not examined at 36 months, 30 had moved to other parts of the country and could not be located, and 2 treated persons had died of unknown causes.")</f>
        <v>Of 32 persons not examined at 36 months, 30 had moved to other parts of the country and could not be located, and 2 treated persons had died of unknown causes.</v>
      </c>
      <c r="BE91" s="697"/>
      <c r="BF91" s="697"/>
      <c r="BG91" s="697"/>
    </row>
    <row r="92">
      <c r="A92" s="697"/>
      <c r="B92" s="697" t="str">
        <f>IFERROR(__xludf.DUMMYFUNCTION("""COMPUTED_VALUE"""),"Greene et al.")</f>
        <v>Greene et al.</v>
      </c>
      <c r="C92" s="697" t="str">
        <f>IFERROR(__xludf.DUMMYFUNCTION("""COMPUTED_VALUE"""),"Liberia")</f>
        <v>Liberia</v>
      </c>
      <c r="D92" s="697" t="str">
        <f>IFERROR(__xludf.DUMMYFUNCTION("""COMPUTED_VALUE"""),"Ivermectin")</f>
        <v>Ivermectin</v>
      </c>
      <c r="E92" s="697" t="str">
        <f>IFERROR(__xludf.DUMMYFUNCTION("""COMPUTED_VALUE"""),"200 ug/kg")</f>
        <v>200 ug/kg</v>
      </c>
      <c r="F92" s="697">
        <f>IFERROR(__xludf.DUMMYFUNCTION("""COMPUTED_VALUE"""),1.0)</f>
        <v>1</v>
      </c>
      <c r="G92" s="697" t="str">
        <f>IFERROR(__xludf.DUMMYFUNCTION("""COMPUTED_VALUE"""),"200 ug/kg")</f>
        <v>200 ug/kg</v>
      </c>
      <c r="H92" s="697"/>
      <c r="I92" s="697"/>
      <c r="J92" s="697"/>
      <c r="K92" s="697"/>
      <c r="L92" s="697"/>
      <c r="M92" s="697"/>
      <c r="N92" s="697"/>
      <c r="O92" s="697"/>
      <c r="P92" s="697"/>
      <c r="Q92" s="697"/>
      <c r="R92" s="697"/>
      <c r="S92" s="698">
        <f>IFERROR(__xludf.DUMMYFUNCTION("""COMPUTED_VALUE"""),0.971)</f>
        <v>0.971</v>
      </c>
      <c r="T92" s="698">
        <f>IFERROR(__xludf.DUMMYFUNCTION("""COMPUTED_VALUE"""),0.9372)</f>
        <v>0.9372</v>
      </c>
      <c r="U92" s="697"/>
      <c r="V92" s="697"/>
      <c r="W92" s="698">
        <f>IFERROR(__xludf.DUMMYFUNCTION("""COMPUTED_VALUE"""),0.836)</f>
        <v>0.836</v>
      </c>
      <c r="X92" s="697"/>
      <c r="Y92" s="697"/>
      <c r="Z92" s="697"/>
      <c r="AA92" s="697"/>
      <c r="AB92" s="697"/>
      <c r="AC92" s="697"/>
      <c r="AD92" s="697"/>
      <c r="AE92" s="697" t="str">
        <f>IFERROR(__xludf.DUMMYFUNCTION("""COMPUTED_VALUE"""),"n/a")</f>
        <v>n/a</v>
      </c>
      <c r="AF92" s="697"/>
      <c r="AG92" s="697"/>
      <c r="AH92" s="697"/>
      <c r="AI92" s="697"/>
      <c r="AJ92" s="697"/>
      <c r="AK92" s="697"/>
      <c r="AL92" s="697"/>
      <c r="AM92" s="697"/>
      <c r="AN92" s="698">
        <f>IFERROR(__xludf.DUMMYFUNCTION("""COMPUTED_VALUE"""),0.971)</f>
        <v>0.971</v>
      </c>
      <c r="AO92" s="698">
        <f>IFERROR(__xludf.DUMMYFUNCTION("""COMPUTED_VALUE"""),0.971)</f>
        <v>0.971</v>
      </c>
      <c r="AP92" s="697" t="str">
        <f>IFERROR(__xludf.DUMMYFUNCTION("""COMPUTED_VALUE"""),"Mf reduction")</f>
        <v>Mf reduction</v>
      </c>
      <c r="AQ92" s="697" t="str">
        <f>IFERROR(__xludf.DUMMYFUNCTION("""COMPUTED_VALUE"""),"Grand Bassa County, Liberia ")</f>
        <v>Grand Bassa County, Liberia </v>
      </c>
      <c r="AR92" s="697">
        <f>IFERROR(__xludf.DUMMYFUNCTION("""COMPUTED_VALUE"""),1991.0)</f>
        <v>1991</v>
      </c>
      <c r="AS92" s="697">
        <f>IFERROR(__xludf.DUMMYFUNCTION("""COMPUTED_VALUE"""),51.0)</f>
        <v>51</v>
      </c>
      <c r="AT92" s="697" t="str">
        <f>IFERROR(__xludf.DUMMYFUNCTION("""COMPUTED_VALUE"""),"3 years")</f>
        <v>3 years</v>
      </c>
      <c r="AU92" s="699" t="str">
        <f>IFERROR(__xludf.DUMMYFUNCTION("""COMPUTED_VALUE"""),"Greene, B.M.; Dukuly, Z.D.; Muñoz, B.; White, A.T.; Pacqué, M.; Taylor, H.R. (1991) A Comparison of 6-, 12-, and 24-Monthly Dosing with Ivermectin for Treatment of Onchocerciasis. The Journal of Infectious Diseases 163(2): 376-380.")</f>
        <v>Greene, B.M.; Dukuly, Z.D.; Muñoz, B.; White, A.T.; Pacqué, M.; Taylor, H.R. (1991) A Comparison of 6-, 12-, and 24-Monthly Dosing with Ivermectin for Treatment of Onchocerciasis. The Journal of Infectious Diseases 163(2): 376-380.</v>
      </c>
      <c r="AV92" s="697" t="str">
        <f>IFERROR(__xludf.DUMMYFUNCTION("""COMPUTED_VALUE"""),"FM")</f>
        <v>FM</v>
      </c>
      <c r="AW92" s="697" t="str">
        <f>IFERROR(__xludf.DUMMYFUNCTION("""COMPUTED_VALUE"""),"&gt;12 yrs old")</f>
        <v>&gt;12 yrs old</v>
      </c>
      <c r="AX92" s="697" t="str">
        <f>IFERROR(__xludf.DUMMYFUNCTION("""COMPUTED_VALUE"""),"Liberians with the highest microfilaria counts were selected from 800; all were employees or dependents of employees of the Liberian Agricultural Company. The exclusion criteria included pregnant or lactating women, children &lt;12 years old, persons in poor"&amp;" general physical condition, and persons who had received a course of antifilarial therapy within the previous year.")</f>
        <v>Liberians with the highest microfilaria counts were selected from 800; all were employees or dependents of employees of the Liberian Agricultural Company. The exclusion criteria included pregnant or lactating women, children &lt;12 years old, persons in poor general physical condition, and persons who had received a course of antifilarial therapy within the previous year.</v>
      </c>
      <c r="AY92" s="697" t="str">
        <f>IFERROR(__xludf.DUMMYFUNCTION("""COMPUTED_VALUE"""),"Yes")</f>
        <v>Yes</v>
      </c>
      <c r="AZ92" s="697" t="str">
        <f>IFERROR(__xludf.DUMMYFUNCTION("""COMPUTED_VALUE"""),"Yes")</f>
        <v>Yes</v>
      </c>
      <c r="BA92" s="697"/>
      <c r="BB92" s="697"/>
      <c r="BC92" s="697" t="str">
        <f>IFERROR(__xludf.DUMMYFUNCTION("""COMPUTED_VALUE"""),"There was a decrease in Mf in the cornea in all groups over the 36-month period; this impressive amelioration of ocular manifestations is particularly important, as it implies that effective ocular disease control could result from periodic administration"&amp;", perhaps even at 2-year intervals, a point that must be further assessed with longitudinal studies using detailed ocular examinations.")</f>
        <v>There was a decrease in Mf in the cornea in all groups over the 36-month period; this impressive amelioration of ocular manifestations is particularly important, as it implies that effective ocular disease control could result from periodic administration, perhaps even at 2-year intervals, a point that must be further assessed with longitudinal studies using detailed ocular examinations.</v>
      </c>
      <c r="BD92" s="697" t="str">
        <f>IFERROR(__xludf.DUMMYFUNCTION("""COMPUTED_VALUE"""),"Of 32 persons not examined at 36 months, 30 had moved to other parts of the country and could not be located, and 2 treated persons had died of unknown causes.")</f>
        <v>Of 32 persons not examined at 36 months, 30 had moved to other parts of the country and could not be located, and 2 treated persons had died of unknown causes.</v>
      </c>
      <c r="BE92" s="697"/>
      <c r="BF92" s="697"/>
      <c r="BG92" s="697"/>
    </row>
    <row r="93">
      <c r="A93" s="697"/>
      <c r="B93" s="697" t="str">
        <f>IFERROR(__xludf.DUMMYFUNCTION("""COMPUTED_VALUE"""),"Greene et al.")</f>
        <v>Greene et al.</v>
      </c>
      <c r="C93" s="697" t="str">
        <f>IFERROR(__xludf.DUMMYFUNCTION("""COMPUTED_VALUE"""),"Liberia")</f>
        <v>Liberia</v>
      </c>
      <c r="D93" s="697" t="str">
        <f>IFERROR(__xludf.DUMMYFUNCTION("""COMPUTED_VALUE"""),"Placebo &amp; Ivermectin")</f>
        <v>Placebo &amp; Ivermectin</v>
      </c>
      <c r="E93" s="697" t="str">
        <f>IFERROR(__xludf.DUMMYFUNCTION("""COMPUTED_VALUE"""),"Placebo; 150 ug/kg Ivermectin")</f>
        <v>Placebo; 150 ug/kg Ivermectin</v>
      </c>
      <c r="F93" s="697">
        <f>IFERROR(__xludf.DUMMYFUNCTION("""COMPUTED_VALUE"""),1.0)</f>
        <v>1</v>
      </c>
      <c r="G93" s="697" t="str">
        <f>IFERROR(__xludf.DUMMYFUNCTION("""COMPUTED_VALUE"""),"Placebo; 150 ug/kg Ivermectin")</f>
        <v>Placebo; 150 ug/kg Ivermectin</v>
      </c>
      <c r="H93" s="697"/>
      <c r="I93" s="697"/>
      <c r="J93" s="697"/>
      <c r="K93" s="697"/>
      <c r="L93" s="697"/>
      <c r="M93" s="697"/>
      <c r="N93" s="697"/>
      <c r="O93" s="697"/>
      <c r="P93" s="697"/>
      <c r="Q93" s="697"/>
      <c r="R93" s="697"/>
      <c r="S93" s="698">
        <f>IFERROR(__xludf.DUMMYFUNCTION("""COMPUTED_VALUE"""),0.161)</f>
        <v>0.161</v>
      </c>
      <c r="T93" s="698">
        <f>IFERROR(__xludf.DUMMYFUNCTION("""COMPUTED_VALUE"""),0.146)</f>
        <v>0.146</v>
      </c>
      <c r="U93" s="697"/>
      <c r="V93" s="697"/>
      <c r="W93" s="698">
        <f>IFERROR(__xludf.DUMMYFUNCTION("""COMPUTED_VALUE"""),0.145)</f>
        <v>0.145</v>
      </c>
      <c r="X93" s="697"/>
      <c r="Y93" s="697"/>
      <c r="Z93" s="698">
        <f>IFERROR(__xludf.DUMMYFUNCTION("""COMPUTED_VALUE"""),0.009)</f>
        <v>0.009</v>
      </c>
      <c r="AA93" s="697"/>
      <c r="AB93" s="698">
        <f>IFERROR(__xludf.DUMMYFUNCTION("""COMPUTED_VALUE"""),0.002)</f>
        <v>0.002</v>
      </c>
      <c r="AC93" s="697"/>
      <c r="AD93" s="697"/>
      <c r="AE93" s="697" t="str">
        <f>IFERROR(__xludf.DUMMYFUNCTION("""COMPUTED_VALUE"""),"n/a")</f>
        <v>n/a</v>
      </c>
      <c r="AF93" s="697"/>
      <c r="AG93" s="697"/>
      <c r="AH93" s="697"/>
      <c r="AI93" s="697"/>
      <c r="AJ93" s="697"/>
      <c r="AK93" s="697"/>
      <c r="AL93" s="697"/>
      <c r="AM93" s="697"/>
      <c r="AN93" s="698">
        <f>IFERROR(__xludf.DUMMYFUNCTION("""COMPUTED_VALUE"""),0.161)</f>
        <v>0.161</v>
      </c>
      <c r="AO93" s="698">
        <f>IFERROR(__xludf.DUMMYFUNCTION("""COMPUTED_VALUE"""),0.161)</f>
        <v>0.161</v>
      </c>
      <c r="AP93" s="697" t="str">
        <f>IFERROR(__xludf.DUMMYFUNCTION("""COMPUTED_VALUE"""),"Mf reduction")</f>
        <v>Mf reduction</v>
      </c>
      <c r="AQ93" s="697" t="str">
        <f>IFERROR(__xludf.DUMMYFUNCTION("""COMPUTED_VALUE"""),"Grand Bassa County, Liberia ")</f>
        <v>Grand Bassa County, Liberia </v>
      </c>
      <c r="AR93" s="697">
        <f>IFERROR(__xludf.DUMMYFUNCTION("""COMPUTED_VALUE"""),1991.0)</f>
        <v>1991</v>
      </c>
      <c r="AS93" s="697">
        <f>IFERROR(__xludf.DUMMYFUNCTION("""COMPUTED_VALUE"""),48.0)</f>
        <v>48</v>
      </c>
      <c r="AT93" s="697" t="str">
        <f>IFERROR(__xludf.DUMMYFUNCTION("""COMPUTED_VALUE"""),"3 years")</f>
        <v>3 years</v>
      </c>
      <c r="AU93" s="699" t="str">
        <f>IFERROR(__xludf.DUMMYFUNCTION("""COMPUTED_VALUE"""),"Greene, B.M.; Dukuly, Z.D.; Muñoz, B.; White, A.T.; Pacqué, M.; Taylor, H.R. (1991) A Comparison of 6-, 12-, and 24-Monthly Dosing with Ivermectin for Treatment of Onchocerciasis. The Journal of Infectious Diseases 163(2): 376-380.")</f>
        <v>Greene, B.M.; Dukuly, Z.D.; Muñoz, B.; White, A.T.; Pacqué, M.; Taylor, H.R. (1991) A Comparison of 6-, 12-, and 24-Monthly Dosing with Ivermectin for Treatment of Onchocerciasis. The Journal of Infectious Diseases 163(2): 376-380.</v>
      </c>
      <c r="AV93" s="697" t="str">
        <f>IFERROR(__xludf.DUMMYFUNCTION("""COMPUTED_VALUE"""),"FM")</f>
        <v>FM</v>
      </c>
      <c r="AW93" s="697" t="str">
        <f>IFERROR(__xludf.DUMMYFUNCTION("""COMPUTED_VALUE"""),"&gt;12 yrs old")</f>
        <v>&gt;12 yrs old</v>
      </c>
      <c r="AX93" s="697" t="str">
        <f>IFERROR(__xludf.DUMMYFUNCTION("""COMPUTED_VALUE"""),"Liberians with the highest microfilaria counts were selected from 800; all were employees or dependents of employees of the Liberian Agricultural Company. The exclusion criteria included pregnant or lactating women, children &lt;12 years old, persons in poor"&amp;" general physical condition, and persons who had received a course of antifilarial therapy within the previous year.")</f>
        <v>Liberians with the highest microfilaria counts were selected from 800; all were employees or dependents of employees of the Liberian Agricultural Company. The exclusion criteria included pregnant or lactating women, children &lt;12 years old, persons in poor general physical condition, and persons who had received a course of antifilarial therapy within the previous year.</v>
      </c>
      <c r="AY93" s="697" t="str">
        <f>IFERROR(__xludf.DUMMYFUNCTION("""COMPUTED_VALUE"""),"Yes")</f>
        <v>Yes</v>
      </c>
      <c r="AZ93" s="697" t="str">
        <f>IFERROR(__xludf.DUMMYFUNCTION("""COMPUTED_VALUE"""),"Yes")</f>
        <v>Yes</v>
      </c>
      <c r="BA93" s="697"/>
      <c r="BB93" s="697"/>
      <c r="BC93" s="697" t="str">
        <f>IFERROR(__xludf.DUMMYFUNCTION("""COMPUTED_VALUE"""),"There was a decrease in Mf in the cornea in all groups over the 36-month period; this impressive amelioration of ocular manifestations is particularly important, as it implies that effective ocular disease control could result from periodic administration"&amp;", perhaps even at 2-year intervals, a point that must be further assessed with longitudinal studies using detailed ocular examinations.")</f>
        <v>There was a decrease in Mf in the cornea in all groups over the 36-month period; this impressive amelioration of ocular manifestations is particularly important, as it implies that effective ocular disease control could result from periodic administration, perhaps even at 2-year intervals, a point that must be further assessed with longitudinal studies using detailed ocular examinations.</v>
      </c>
      <c r="BD93" s="697" t="str">
        <f>IFERROR(__xludf.DUMMYFUNCTION("""COMPUTED_VALUE"""),"Of 32 persons not examined at 36 months, 30 had moved to other parts of the country and could not be located, and 2 treated persons had died of unknown causes.")</f>
        <v>Of 32 persons not examined at 36 months, 30 had moved to other parts of the country and could not be located, and 2 treated persons had died of unknown causes.</v>
      </c>
      <c r="BE93" s="697"/>
      <c r="BF93" s="697"/>
      <c r="BG93" s="697"/>
    </row>
    <row r="94">
      <c r="A94" s="697"/>
      <c r="B94" s="697" t="str">
        <f>IFERROR(__xludf.DUMMYFUNCTION("""COMPUTED_VALUE"""),"Duke et al.")</f>
        <v>Duke et al.</v>
      </c>
      <c r="C94" s="697" t="str">
        <f>IFERROR(__xludf.DUMMYFUNCTION("""COMPUTED_VALUE"""),"Guatemala")</f>
        <v>Guatemala</v>
      </c>
      <c r="D94" s="697" t="str">
        <f>IFERROR(__xludf.DUMMYFUNCTION("""COMPUTED_VALUE"""),"Ivermectin")</f>
        <v>Ivermectin</v>
      </c>
      <c r="E94" s="697" t="str">
        <f>IFERROR(__xludf.DUMMYFUNCTION("""COMPUTED_VALUE"""),"150 ug/kg")</f>
        <v>150 ug/kg</v>
      </c>
      <c r="F94" s="697">
        <f>IFERROR(__xludf.DUMMYFUNCTION("""COMPUTED_VALUE"""),1.0)</f>
        <v>1</v>
      </c>
      <c r="G94" s="697" t="str">
        <f>IFERROR(__xludf.DUMMYFUNCTION("""COMPUTED_VALUE"""),"150 ug/kg")</f>
        <v>150 ug/kg</v>
      </c>
      <c r="H94" s="697"/>
      <c r="I94" s="697"/>
      <c r="J94" s="697"/>
      <c r="K94" s="697"/>
      <c r="L94" s="697"/>
      <c r="M94" s="697"/>
      <c r="N94" s="697"/>
      <c r="O94" s="697"/>
      <c r="P94" s="697"/>
      <c r="Q94" s="697"/>
      <c r="R94" s="697"/>
      <c r="S94" s="697"/>
      <c r="T94" s="697"/>
      <c r="U94" s="697"/>
      <c r="V94" s="697"/>
      <c r="W94" s="697"/>
      <c r="X94" s="697"/>
      <c r="Y94" s="697"/>
      <c r="Z94" s="697"/>
      <c r="AA94" s="697"/>
      <c r="AB94" s="697"/>
      <c r="AC94" s="697"/>
      <c r="AD94" s="697"/>
      <c r="AE94" s="697" t="str">
        <f>IFERROR(__xludf.DUMMYFUNCTION("""COMPUTED_VALUE"""),"n/a")</f>
        <v>n/a</v>
      </c>
      <c r="AF94" s="697"/>
      <c r="AG94" s="697"/>
      <c r="AH94" s="697"/>
      <c r="AI94" s="697"/>
      <c r="AJ94" s="697"/>
      <c r="AK94" s="697" t="str">
        <f>IFERROR(__xludf.DUMMYFUNCTION("""COMPUTED_VALUE"""),"No. females producing mfs 31 (38.8%)")</f>
        <v>No. females producing mfs 31 (38.8%)</v>
      </c>
      <c r="AL94" s="697"/>
      <c r="AM94" s="698">
        <f>IFERROR(__xludf.DUMMYFUNCTION("""COMPUTED_VALUE"""),0.388)</f>
        <v>0.388</v>
      </c>
      <c r="AN94" s="697">
        <f>IFERROR(__xludf.DUMMYFUNCTION("""COMPUTED_VALUE"""),0.0)</f>
        <v>0</v>
      </c>
      <c r="AO94" s="698">
        <f>IFERROR(__xludf.DUMMYFUNCTION("""COMPUTED_VALUE"""),0.0)</f>
        <v>0</v>
      </c>
      <c r="AP94" s="697" t="str">
        <f>IFERROR(__xludf.DUMMYFUNCTION("""COMPUTED_VALUE"""),"Nodulectomy: mf positive")</f>
        <v>Nodulectomy: mf positive</v>
      </c>
      <c r="AQ94" s="697" t="str">
        <f>IFERROR(__xludf.DUMMYFUNCTION("""COMPUTED_VALUE"""),"Los Tarrales, Santa Isabel, El Vesubio, Los Andes, and Santa Emilia in the District of Pochuta")</f>
        <v>Los Tarrales, Santa Isabel, El Vesubio, Los Andes, and Santa Emilia in the District of Pochuta</v>
      </c>
      <c r="AR94" s="697">
        <f>IFERROR(__xludf.DUMMYFUNCTION("""COMPUTED_VALUE"""),1990.0)</f>
        <v>1990</v>
      </c>
      <c r="AS94" s="697">
        <f>IFERROR(__xludf.DUMMYFUNCTION("""COMPUTED_VALUE"""),40.0)</f>
        <v>40</v>
      </c>
      <c r="AT94" s="697" t="str">
        <f>IFERROR(__xludf.DUMMYFUNCTION("""COMPUTED_VALUE"""),"29 months")</f>
        <v>29 months</v>
      </c>
      <c r="AU94" s="699" t="str">
        <f>IFERROR(__xludf.DUMMYFUNCTION("""COMPUTED_VALUE"""),"Duke, B.O.L.; Zea-Flores, G.; Castro, J.; Cupp, E.W.; Munoz, B. (1991) Comparison of the Effects of a Single Dose and of Four Six-Monthly Doses of Ivermectin on Adult Onchocerca VolvulusAm J Trop Med Hyg 45(1): 132-137.")</f>
        <v>Duke, B.O.L.; Zea-Flores, G.; Castro, J.; Cupp, E.W.; Munoz, B. (1991) Comparison of the Effects of a Single Dose and of Four Six-Monthly Doses of Ivermectin on Adult Onchocerca VolvulusAm J Trop Med Hyg 45(1): 132-137.</v>
      </c>
      <c r="AV94" s="697" t="str">
        <f>IFERROR(__xludf.DUMMYFUNCTION("""COMPUTED_VALUE"""),"FM")</f>
        <v>FM</v>
      </c>
      <c r="AW94" s="697"/>
      <c r="AX94" s="697" t="str">
        <f>IFERROR(__xludf.DUMMYFUNCTION("""COMPUTED_VALUE"""),"Exclusion criteria: pregnant women, women breast-feeding a child under three months of age, children under five years old, and persons with severe illness or a history of neurological disorder.")</f>
        <v>Exclusion criteria: pregnant women, women breast-feeding a child under three months of age, children under five years old, and persons with severe illness or a history of neurological disorder.</v>
      </c>
      <c r="AY94" s="697" t="str">
        <f>IFERROR(__xludf.DUMMYFUNCTION("""COMPUTED_VALUE"""),"Yes")</f>
        <v>Yes</v>
      </c>
      <c r="AZ94" s="697" t="str">
        <f>IFERROR(__xludf.DUMMYFUNCTION("""COMPUTED_VALUE"""),"Yes")</f>
        <v>Yes</v>
      </c>
      <c r="BA94" s="697"/>
      <c r="BB94" s="697"/>
      <c r="BC94" s="697" t="str">
        <f>IFERROR(__xludf.DUMMYFUNCTION("""COMPUTED_VALUE"""),"Six-monthly dosage with ivermectin, repeated four times, may gradually lead to a cumulative adverse effect on the total production of mfs by female worms.
")</f>
        <v>Six-monthly dosage with ivermectin, repeated four times, may gradually lead to a cumulative adverse effect on the total production of mfs by female worms.
</v>
      </c>
      <c r="BD94" s="697"/>
      <c r="BE94" s="697"/>
      <c r="BF94" s="697"/>
      <c r="BG94" s="697"/>
    </row>
    <row r="95">
      <c r="A95" s="697"/>
      <c r="B95" s="697" t="str">
        <f>IFERROR(__xludf.DUMMYFUNCTION("""COMPUTED_VALUE"""),"Duke et al.")</f>
        <v>Duke et al.</v>
      </c>
      <c r="C95" s="697" t="str">
        <f>IFERROR(__xludf.DUMMYFUNCTION("""COMPUTED_VALUE"""),"Guatemala")</f>
        <v>Guatemala</v>
      </c>
      <c r="D95" s="697" t="str">
        <f>IFERROR(__xludf.DUMMYFUNCTION("""COMPUTED_VALUE"""),"Untreated Controls")</f>
        <v>Untreated Controls</v>
      </c>
      <c r="E95" s="697"/>
      <c r="F95" s="697"/>
      <c r="G95" s="697"/>
      <c r="H95" s="697"/>
      <c r="I95" s="697"/>
      <c r="J95" s="697"/>
      <c r="K95" s="697"/>
      <c r="L95" s="697"/>
      <c r="M95" s="697"/>
      <c r="N95" s="697"/>
      <c r="O95" s="697"/>
      <c r="P95" s="697"/>
      <c r="Q95" s="697"/>
      <c r="R95" s="697"/>
      <c r="S95" s="697"/>
      <c r="T95" s="697"/>
      <c r="U95" s="697"/>
      <c r="V95" s="697"/>
      <c r="W95" s="697"/>
      <c r="X95" s="697"/>
      <c r="Y95" s="697"/>
      <c r="Z95" s="697"/>
      <c r="AA95" s="697"/>
      <c r="AB95" s="697"/>
      <c r="AC95" s="697"/>
      <c r="AD95" s="697"/>
      <c r="AE95" s="697" t="str">
        <f>IFERROR(__xludf.DUMMYFUNCTION("""COMPUTED_VALUE"""),"n/a")</f>
        <v>n/a</v>
      </c>
      <c r="AF95" s="697"/>
      <c r="AG95" s="697"/>
      <c r="AH95" s="697"/>
      <c r="AI95" s="697"/>
      <c r="AJ95" s="697"/>
      <c r="AK95" s="697" t="str">
        <f>IFERROR(__xludf.DUMMYFUNCTION("""COMPUTED_VALUE"""),"No. females producing mfs 40 (62.5%)")</f>
        <v>No. females producing mfs 40 (62.5%)</v>
      </c>
      <c r="AL95" s="697"/>
      <c r="AM95" s="698">
        <f>IFERROR(__xludf.DUMMYFUNCTION("""COMPUTED_VALUE"""),0.625)</f>
        <v>0.625</v>
      </c>
      <c r="AN95" s="697">
        <f>IFERROR(__xludf.DUMMYFUNCTION("""COMPUTED_VALUE"""),0.0)</f>
        <v>0</v>
      </c>
      <c r="AO95" s="698">
        <f>IFERROR(__xludf.DUMMYFUNCTION("""COMPUTED_VALUE"""),0.0)</f>
        <v>0</v>
      </c>
      <c r="AP95" s="697" t="str">
        <f>IFERROR(__xludf.DUMMYFUNCTION("""COMPUTED_VALUE"""),"Nodulectomy: mf positive")</f>
        <v>Nodulectomy: mf positive</v>
      </c>
      <c r="AQ95" s="697" t="str">
        <f>IFERROR(__xludf.DUMMYFUNCTION("""COMPUTED_VALUE"""),"Los Tarrales, Santa Isabel, El Vesubio, Los Andes, and Santa Emilia in the District of Pochuta")</f>
        <v>Los Tarrales, Santa Isabel, El Vesubio, Los Andes, and Santa Emilia in the District of Pochuta</v>
      </c>
      <c r="AR95" s="697">
        <f>IFERROR(__xludf.DUMMYFUNCTION("""COMPUTED_VALUE"""),1990.0)</f>
        <v>1990</v>
      </c>
      <c r="AS95" s="697">
        <f>IFERROR(__xludf.DUMMYFUNCTION("""COMPUTED_VALUE"""),22.0)</f>
        <v>22</v>
      </c>
      <c r="AT95" s="697" t="str">
        <f>IFERROR(__xludf.DUMMYFUNCTION("""COMPUTED_VALUE"""),"30 months")</f>
        <v>30 months</v>
      </c>
      <c r="AU95" s="699" t="str">
        <f>IFERROR(__xludf.DUMMYFUNCTION("""COMPUTED_VALUE"""),"Duke, B.O.L.; Zea-Flores, G.; Castro, J.; Cupp, E.W.; Munoz, B. (1991) Comparison of the Effects of a Single Dose and of Four Six-Monthly Doses of Ivermectin on Adult Onchocerca VolvulusAm J Trop Med Hyg 45(1): 132-137.")</f>
        <v>Duke, B.O.L.; Zea-Flores, G.; Castro, J.; Cupp, E.W.; Munoz, B. (1991) Comparison of the Effects of a Single Dose and of Four Six-Monthly Doses of Ivermectin on Adult Onchocerca VolvulusAm J Trop Med Hyg 45(1): 132-137.</v>
      </c>
      <c r="AV95" s="697" t="str">
        <f>IFERROR(__xludf.DUMMYFUNCTION("""COMPUTED_VALUE"""),"FM")</f>
        <v>FM</v>
      </c>
      <c r="AW95" s="697"/>
      <c r="AX95" s="697" t="str">
        <f>IFERROR(__xludf.DUMMYFUNCTION("""COMPUTED_VALUE"""),"Exclusion criteria: pregnant women, women breast-feeding a child under three months of age, children under five years old, and persons with severe illness or a history of neurological disorder.")</f>
        <v>Exclusion criteria: pregnant women, women breast-feeding a child under three months of age, children under five years old, and persons with severe illness or a history of neurological disorder.</v>
      </c>
      <c r="AY95" s="697" t="str">
        <f>IFERROR(__xludf.DUMMYFUNCTION("""COMPUTED_VALUE"""),"Yes")</f>
        <v>Yes</v>
      </c>
      <c r="AZ95" s="697" t="str">
        <f>IFERROR(__xludf.DUMMYFUNCTION("""COMPUTED_VALUE"""),"Yes")</f>
        <v>Yes</v>
      </c>
      <c r="BA95" s="697"/>
      <c r="BB95" s="697"/>
      <c r="BC95" s="697" t="str">
        <f>IFERROR(__xludf.DUMMYFUNCTION("""COMPUTED_VALUE"""),"Six-monthly dosage with ivermectin, repeated four times, may gradually lead to a cumulative adverse effect on the total production of mfs by female worms.
")</f>
        <v>Six-monthly dosage with ivermectin, repeated four times, may gradually lead to a cumulative adverse effect on the total production of mfs by female worms.
</v>
      </c>
      <c r="BD95" s="697"/>
      <c r="BE95" s="697"/>
      <c r="BF95" s="697"/>
      <c r="BG95" s="697"/>
    </row>
    <row r="96">
      <c r="A96" s="697"/>
      <c r="B96" s="697" t="str">
        <f>IFERROR(__xludf.DUMMYFUNCTION("""COMPUTED_VALUE"""),"Duke et al.")</f>
        <v>Duke et al.</v>
      </c>
      <c r="C96" s="697" t="str">
        <f>IFERROR(__xludf.DUMMYFUNCTION("""COMPUTED_VALUE"""),"Guatemala")</f>
        <v>Guatemala</v>
      </c>
      <c r="D96" s="697" t="str">
        <f>IFERROR(__xludf.DUMMYFUNCTION("""COMPUTED_VALUE"""),"Ivermectin")</f>
        <v>Ivermectin</v>
      </c>
      <c r="E96" s="697" t="str">
        <f>IFERROR(__xludf.DUMMYFUNCTION("""COMPUTED_VALUE"""),"120 ug/kg-200 ug/kg ")</f>
        <v>120 ug/kg-200 ug/kg </v>
      </c>
      <c r="F96" s="697">
        <f>IFERROR(__xludf.DUMMYFUNCTION("""COMPUTED_VALUE"""),4.0)</f>
        <v>4</v>
      </c>
      <c r="G96" s="697" t="str">
        <f>IFERROR(__xludf.DUMMYFUNCTION("""COMPUTED_VALUE"""),"480ug/kg-800ug/kg")</f>
        <v>480ug/kg-800ug/kg</v>
      </c>
      <c r="H96" s="697"/>
      <c r="I96" s="697"/>
      <c r="J96" s="697"/>
      <c r="K96" s="697"/>
      <c r="L96" s="697"/>
      <c r="M96" s="697"/>
      <c r="N96" s="697"/>
      <c r="O96" s="697"/>
      <c r="P96" s="697"/>
      <c r="Q96" s="697"/>
      <c r="R96" s="697"/>
      <c r="S96" s="697"/>
      <c r="T96" s="697"/>
      <c r="U96" s="697"/>
      <c r="V96" s="697"/>
      <c r="W96" s="697"/>
      <c r="X96" s="697"/>
      <c r="Y96" s="697"/>
      <c r="Z96" s="697"/>
      <c r="AA96" s="697"/>
      <c r="AB96" s="697"/>
      <c r="AC96" s="697"/>
      <c r="AD96" s="697"/>
      <c r="AE96" s="697" t="str">
        <f>IFERROR(__xludf.DUMMYFUNCTION("""COMPUTED_VALUE"""),"n/a")</f>
        <v>n/a</v>
      </c>
      <c r="AF96" s="697"/>
      <c r="AG96" s="697"/>
      <c r="AH96" s="697"/>
      <c r="AI96" s="697"/>
      <c r="AJ96" s="697"/>
      <c r="AK96" s="697" t="str">
        <f>IFERROR(__xludf.DUMMYFUNCTION("""COMPUTED_VALUE"""),"No. females producing mfs 4 (25.0%)")</f>
        <v>No. females producing mfs 4 (25.0%)</v>
      </c>
      <c r="AL96" s="697"/>
      <c r="AM96" s="698">
        <f>IFERROR(__xludf.DUMMYFUNCTION("""COMPUTED_VALUE"""),0.25)</f>
        <v>0.25</v>
      </c>
      <c r="AN96" s="697">
        <f>IFERROR(__xludf.DUMMYFUNCTION("""COMPUTED_VALUE"""),0.0)</f>
        <v>0</v>
      </c>
      <c r="AO96" s="698">
        <f>IFERROR(__xludf.DUMMYFUNCTION("""COMPUTED_VALUE"""),0.0)</f>
        <v>0</v>
      </c>
      <c r="AP96" s="697" t="str">
        <f>IFERROR(__xludf.DUMMYFUNCTION("""COMPUTED_VALUE"""),"Nodulectomy: mf positive")</f>
        <v>Nodulectomy: mf positive</v>
      </c>
      <c r="AQ96" s="697" t="str">
        <f>IFERROR(__xludf.DUMMYFUNCTION("""COMPUTED_VALUE"""),"Los Tarrales, Santa Isabel, El Vesubio, Los Andes, and Santa Emilia in the District of Pochuta")</f>
        <v>Los Tarrales, Santa Isabel, El Vesubio, Los Andes, and Santa Emilia in the District of Pochuta</v>
      </c>
      <c r="AR96" s="697">
        <f>IFERROR(__xludf.DUMMYFUNCTION("""COMPUTED_VALUE"""),1990.0)</f>
        <v>1990</v>
      </c>
      <c r="AS96" s="697">
        <f>IFERROR(__xludf.DUMMYFUNCTION("""COMPUTED_VALUE"""),9.0)</f>
        <v>9</v>
      </c>
      <c r="AT96" s="697" t="str">
        <f>IFERROR(__xludf.DUMMYFUNCTION("""COMPUTED_VALUE"""),"31 months")</f>
        <v>31 months</v>
      </c>
      <c r="AU96" s="699" t="str">
        <f>IFERROR(__xludf.DUMMYFUNCTION("""COMPUTED_VALUE"""),"Duke, B.O.L.; Zea-Flores, G.; Castro, J.; Cupp, E.W.; Munoz, B. (1991) Comparison of the Effects of a Single Dose and of Four Six-Monthly Doses of Ivermectin on Adult Onchocerca VolvulusAm J Trop Med Hyg 45(1): 132-137.")</f>
        <v>Duke, B.O.L.; Zea-Flores, G.; Castro, J.; Cupp, E.W.; Munoz, B. (1991) Comparison of the Effects of a Single Dose and of Four Six-Monthly Doses of Ivermectin on Adult Onchocerca VolvulusAm J Trop Med Hyg 45(1): 132-137.</v>
      </c>
      <c r="AV96" s="697" t="str">
        <f>IFERROR(__xludf.DUMMYFUNCTION("""COMPUTED_VALUE"""),"FM")</f>
        <v>FM</v>
      </c>
      <c r="AW96" s="697"/>
      <c r="AX96" s="697" t="str">
        <f>IFERROR(__xludf.DUMMYFUNCTION("""COMPUTED_VALUE"""),"Exclusion criteria: pregnant women, women breast-feeding a child under three months of age, children under five years old, and persons with severe illness or a history of neurological disorder.")</f>
        <v>Exclusion criteria: pregnant women, women breast-feeding a child under three months of age, children under five years old, and persons with severe illness or a history of neurological disorder.</v>
      </c>
      <c r="AY96" s="697" t="str">
        <f>IFERROR(__xludf.DUMMYFUNCTION("""COMPUTED_VALUE"""),"Yes")</f>
        <v>Yes</v>
      </c>
      <c r="AZ96" s="697" t="str">
        <f>IFERROR(__xludf.DUMMYFUNCTION("""COMPUTED_VALUE"""),"Yes")</f>
        <v>Yes</v>
      </c>
      <c r="BA96" s="697"/>
      <c r="BB96" s="697"/>
      <c r="BC96" s="697" t="str">
        <f>IFERROR(__xludf.DUMMYFUNCTION("""COMPUTED_VALUE"""),"Six-monthly dosage with ivermectin, repeated four times, may gradually lead to a cumulative adverse effect on the total production of mfs by female worms.
")</f>
        <v>Six-monthly dosage with ivermectin, repeated four times, may gradually lead to a cumulative adverse effect on the total production of mfs by female worms.
</v>
      </c>
      <c r="BD96" s="697"/>
      <c r="BE96" s="697"/>
      <c r="BF96" s="697"/>
      <c r="BG96" s="697"/>
    </row>
    <row r="97">
      <c r="A97" s="697"/>
      <c r="B97" s="697" t="str">
        <f>IFERROR(__xludf.DUMMYFUNCTION("""COMPUTED_VALUE"""),"Duke et al.")</f>
        <v>Duke et al.</v>
      </c>
      <c r="C97" s="697" t="str">
        <f>IFERROR(__xludf.DUMMYFUNCTION("""COMPUTED_VALUE"""),"Guatemala")</f>
        <v>Guatemala</v>
      </c>
      <c r="D97" s="697" t="str">
        <f>IFERROR(__xludf.DUMMYFUNCTION("""COMPUTED_VALUE"""),"Untreated Controls")</f>
        <v>Untreated Controls</v>
      </c>
      <c r="E97" s="697"/>
      <c r="F97" s="697"/>
      <c r="G97" s="697"/>
      <c r="H97" s="697"/>
      <c r="I97" s="697"/>
      <c r="J97" s="697"/>
      <c r="K97" s="697"/>
      <c r="L97" s="697"/>
      <c r="M97" s="697"/>
      <c r="N97" s="697"/>
      <c r="O97" s="697"/>
      <c r="P97" s="697"/>
      <c r="Q97" s="697"/>
      <c r="R97" s="697"/>
      <c r="S97" s="697"/>
      <c r="T97" s="697"/>
      <c r="U97" s="697"/>
      <c r="V97" s="697"/>
      <c r="W97" s="697"/>
      <c r="X97" s="697"/>
      <c r="Y97" s="697"/>
      <c r="Z97" s="697"/>
      <c r="AA97" s="697"/>
      <c r="AB97" s="697"/>
      <c r="AC97" s="697"/>
      <c r="AD97" s="697"/>
      <c r="AE97" s="697" t="str">
        <f>IFERROR(__xludf.DUMMYFUNCTION("""COMPUTED_VALUE"""),"n/a")</f>
        <v>n/a</v>
      </c>
      <c r="AF97" s="697"/>
      <c r="AG97" s="697"/>
      <c r="AH97" s="697"/>
      <c r="AI97" s="697"/>
      <c r="AJ97" s="697"/>
      <c r="AK97" s="697" t="str">
        <f>IFERROR(__xludf.DUMMYFUNCTION("""COMPUTED_VALUE"""),"No. females producing mfs 18 (72.0%)")</f>
        <v>No. females producing mfs 18 (72.0%)</v>
      </c>
      <c r="AL97" s="697"/>
      <c r="AM97" s="698">
        <f>IFERROR(__xludf.DUMMYFUNCTION("""COMPUTED_VALUE"""),0.72)</f>
        <v>0.72</v>
      </c>
      <c r="AN97" s="697">
        <f>IFERROR(__xludf.DUMMYFUNCTION("""COMPUTED_VALUE"""),0.0)</f>
        <v>0</v>
      </c>
      <c r="AO97" s="698">
        <f>IFERROR(__xludf.DUMMYFUNCTION("""COMPUTED_VALUE"""),0.0)</f>
        <v>0</v>
      </c>
      <c r="AP97" s="697" t="str">
        <f>IFERROR(__xludf.DUMMYFUNCTION("""COMPUTED_VALUE"""),"Nodulectomy: mf positive")</f>
        <v>Nodulectomy: mf positive</v>
      </c>
      <c r="AQ97" s="697" t="str">
        <f>IFERROR(__xludf.DUMMYFUNCTION("""COMPUTED_VALUE"""),"Los Tarrales, Santa Isabel, El Vesubio, Los Andes, and Santa Emilia in the District of Pochuta")</f>
        <v>Los Tarrales, Santa Isabel, El Vesubio, Los Andes, and Santa Emilia in the District of Pochuta</v>
      </c>
      <c r="AR97" s="697">
        <f>IFERROR(__xludf.DUMMYFUNCTION("""COMPUTED_VALUE"""),1990.0)</f>
        <v>1990</v>
      </c>
      <c r="AS97" s="697">
        <f>IFERROR(__xludf.DUMMYFUNCTION("""COMPUTED_VALUE"""),11.0)</f>
        <v>11</v>
      </c>
      <c r="AT97" s="697" t="str">
        <f>IFERROR(__xludf.DUMMYFUNCTION("""COMPUTED_VALUE"""),"32 months")</f>
        <v>32 months</v>
      </c>
      <c r="AU97" s="699" t="str">
        <f>IFERROR(__xludf.DUMMYFUNCTION("""COMPUTED_VALUE"""),"Duke, B.O.L.; Zea-Flores, G.; Castro, J.; Cupp, E.W.; Munoz, B. (1991) Comparison of the Effects of a Single Dose and of Four Six-Monthly Doses of Ivermectin on Adult Onchocerca VolvulusAm J Trop Med Hyg 45(1): 132-137.")</f>
        <v>Duke, B.O.L.; Zea-Flores, G.; Castro, J.; Cupp, E.W.; Munoz, B. (1991) Comparison of the Effects of a Single Dose and of Four Six-Monthly Doses of Ivermectin on Adult Onchocerca VolvulusAm J Trop Med Hyg 45(1): 132-137.</v>
      </c>
      <c r="AV97" s="697" t="str">
        <f>IFERROR(__xludf.DUMMYFUNCTION("""COMPUTED_VALUE"""),"FM")</f>
        <v>FM</v>
      </c>
      <c r="AW97" s="697"/>
      <c r="AX97" s="697" t="str">
        <f>IFERROR(__xludf.DUMMYFUNCTION("""COMPUTED_VALUE"""),"Exclusion criteria: pregnant women, women breast-feeding a child under three months of age, children under five years old, and persons with severe illness or a history of neurological disorder.")</f>
        <v>Exclusion criteria: pregnant women, women breast-feeding a child under three months of age, children under five years old, and persons with severe illness or a history of neurological disorder.</v>
      </c>
      <c r="AY97" s="697" t="str">
        <f>IFERROR(__xludf.DUMMYFUNCTION("""COMPUTED_VALUE"""),"Yes")</f>
        <v>Yes</v>
      </c>
      <c r="AZ97" s="697" t="str">
        <f>IFERROR(__xludf.DUMMYFUNCTION("""COMPUTED_VALUE"""),"Yes")</f>
        <v>Yes</v>
      </c>
      <c r="BA97" s="697"/>
      <c r="BB97" s="697"/>
      <c r="BC97" s="697" t="str">
        <f>IFERROR(__xludf.DUMMYFUNCTION("""COMPUTED_VALUE"""),"Six-monthly dosage with ivermectin, repeated four times, may gradually lead to a cumulative adverse effect on the total production of mfs by female worms.
")</f>
        <v>Six-monthly dosage with ivermectin, repeated four times, may gradually lead to a cumulative adverse effect on the total production of mfs by female worms.
</v>
      </c>
      <c r="BD97" s="697"/>
      <c r="BE97" s="697"/>
      <c r="BF97" s="697"/>
      <c r="BG97" s="697"/>
    </row>
    <row r="98">
      <c r="A98" s="697"/>
      <c r="B98" s="697" t="str">
        <f>IFERROR(__xludf.DUMMYFUNCTION("""COMPUTED_VALUE"""),"Duke et al.")</f>
        <v>Duke et al.</v>
      </c>
      <c r="C98" s="697" t="str">
        <f>IFERROR(__xludf.DUMMYFUNCTION("""COMPUTED_VALUE"""),"Guatemala")</f>
        <v>Guatemala</v>
      </c>
      <c r="D98" s="697" t="str">
        <f>IFERROR(__xludf.DUMMYFUNCTION("""COMPUTED_VALUE"""),"Ivermectin")</f>
        <v>Ivermectin</v>
      </c>
      <c r="E98" s="697" t="str">
        <f>IFERROR(__xludf.DUMMYFUNCTION("""COMPUTED_VALUE"""),"120 ug/kg-200 ug/kg ")</f>
        <v>120 ug/kg-200 ug/kg </v>
      </c>
      <c r="F98" s="697">
        <f>IFERROR(__xludf.DUMMYFUNCTION("""COMPUTED_VALUE"""),4.0)</f>
        <v>4</v>
      </c>
      <c r="G98" s="697" t="str">
        <f>IFERROR(__xludf.DUMMYFUNCTION("""COMPUTED_VALUE"""),"480ug/kg-800ug/kg")</f>
        <v>480ug/kg-800ug/kg</v>
      </c>
      <c r="H98" s="697"/>
      <c r="I98" s="697"/>
      <c r="J98" s="697"/>
      <c r="K98" s="697"/>
      <c r="L98" s="697"/>
      <c r="M98" s="697"/>
      <c r="N98" s="697"/>
      <c r="O98" s="697"/>
      <c r="P98" s="697"/>
      <c r="Q98" s="697"/>
      <c r="R98" s="697"/>
      <c r="S98" s="697"/>
      <c r="T98" s="697"/>
      <c r="U98" s="697"/>
      <c r="V98" s="697"/>
      <c r="W98" s="697"/>
      <c r="X98" s="697"/>
      <c r="Y98" s="697"/>
      <c r="Z98" s="697"/>
      <c r="AA98" s="697"/>
      <c r="AB98" s="697"/>
      <c r="AC98" s="697"/>
      <c r="AD98" s="697"/>
      <c r="AE98" s="697" t="str">
        <f>IFERROR(__xludf.DUMMYFUNCTION("""COMPUTED_VALUE"""),"n/a")</f>
        <v>n/a</v>
      </c>
      <c r="AF98" s="697"/>
      <c r="AG98" s="697"/>
      <c r="AH98" s="697"/>
      <c r="AI98" s="697"/>
      <c r="AJ98" s="697"/>
      <c r="AK98" s="697" t="str">
        <f>IFERROR(__xludf.DUMMYFUNCTION("""COMPUTED_VALUE"""),"No. females producing mfs 8 (16.7%)")</f>
        <v>No. females producing mfs 8 (16.7%)</v>
      </c>
      <c r="AL98" s="697"/>
      <c r="AM98" s="698">
        <f>IFERROR(__xludf.DUMMYFUNCTION("""COMPUTED_VALUE"""),0.167)</f>
        <v>0.167</v>
      </c>
      <c r="AN98" s="697">
        <f>IFERROR(__xludf.DUMMYFUNCTION("""COMPUTED_VALUE"""),0.0)</f>
        <v>0</v>
      </c>
      <c r="AO98" s="698">
        <f>IFERROR(__xludf.DUMMYFUNCTION("""COMPUTED_VALUE"""),0.0)</f>
        <v>0</v>
      </c>
      <c r="AP98" s="697" t="str">
        <f>IFERROR(__xludf.DUMMYFUNCTION("""COMPUTED_VALUE"""),"Nodulectomy: mf positive")</f>
        <v>Nodulectomy: mf positive</v>
      </c>
      <c r="AQ98" s="697" t="str">
        <f>IFERROR(__xludf.DUMMYFUNCTION("""COMPUTED_VALUE"""),"Los Tarrales, Santa Isabel, El Vesubio, Los Andes, and Santa Emilia in the District of Pochuta")</f>
        <v>Los Tarrales, Santa Isabel, El Vesubio, Los Andes, and Santa Emilia in the District of Pochuta</v>
      </c>
      <c r="AR98" s="697">
        <f>IFERROR(__xludf.DUMMYFUNCTION("""COMPUTED_VALUE"""),1990.0)</f>
        <v>1990</v>
      </c>
      <c r="AS98" s="697">
        <f>IFERROR(__xludf.DUMMYFUNCTION("""COMPUTED_VALUE"""),38.0)</f>
        <v>38</v>
      </c>
      <c r="AT98" s="697" t="str">
        <f>IFERROR(__xludf.DUMMYFUNCTION("""COMPUTED_VALUE"""),"33 months")</f>
        <v>33 months</v>
      </c>
      <c r="AU98" s="699" t="str">
        <f>IFERROR(__xludf.DUMMYFUNCTION("""COMPUTED_VALUE"""),"Duke, B.O.L.; Zea-Flores, G.; Castro, J.; Cupp, E.W.; Munoz, B. (1991) Comparison of the Effects of a Single Dose and of Four Six-Monthly Doses of Ivermectin on Adult Onchocerca VolvulusAm J Trop Med Hyg 45(1): 132-137.")</f>
        <v>Duke, B.O.L.; Zea-Flores, G.; Castro, J.; Cupp, E.W.; Munoz, B. (1991) Comparison of the Effects of a Single Dose and of Four Six-Monthly Doses of Ivermectin on Adult Onchocerca VolvulusAm J Trop Med Hyg 45(1): 132-137.</v>
      </c>
      <c r="AV98" s="697" t="str">
        <f>IFERROR(__xludf.DUMMYFUNCTION("""COMPUTED_VALUE"""),"FM")</f>
        <v>FM</v>
      </c>
      <c r="AW98" s="697"/>
      <c r="AX98" s="697" t="str">
        <f>IFERROR(__xludf.DUMMYFUNCTION("""COMPUTED_VALUE"""),"Exclusion criteria: pregnant women, women breast-feeding a child under three months of age, children under five years old, and persons with severe illness or a history of neurological disorder.")</f>
        <v>Exclusion criteria: pregnant women, women breast-feeding a child under three months of age, children under five years old, and persons with severe illness or a history of neurological disorder.</v>
      </c>
      <c r="AY98" s="697" t="str">
        <f>IFERROR(__xludf.DUMMYFUNCTION("""COMPUTED_VALUE"""),"Yes")</f>
        <v>Yes</v>
      </c>
      <c r="AZ98" s="697" t="str">
        <f>IFERROR(__xludf.DUMMYFUNCTION("""COMPUTED_VALUE"""),"Yes")</f>
        <v>Yes</v>
      </c>
      <c r="BA98" s="697"/>
      <c r="BB98" s="697"/>
      <c r="BC98" s="697" t="str">
        <f>IFERROR(__xludf.DUMMYFUNCTION("""COMPUTED_VALUE"""),"Six-monthly dosage with ivermectin, repeated four times, may gradually lead to a cumulative adverse effect on the total production of mfs by female worms.
")</f>
        <v>Six-monthly dosage with ivermectin, repeated four times, may gradually lead to a cumulative adverse effect on the total production of mfs by female worms.
</v>
      </c>
      <c r="BD98" s="697"/>
      <c r="BE98" s="697"/>
      <c r="BF98" s="697"/>
      <c r="BG98" s="697"/>
    </row>
    <row r="99">
      <c r="A99" s="697"/>
      <c r="B99" s="697" t="str">
        <f>IFERROR(__xludf.DUMMYFUNCTION("""COMPUTED_VALUE"""),"Duke et al.")</f>
        <v>Duke et al.</v>
      </c>
      <c r="C99" s="697" t="str">
        <f>IFERROR(__xludf.DUMMYFUNCTION("""COMPUTED_VALUE"""),"Guatemala")</f>
        <v>Guatemala</v>
      </c>
      <c r="D99" s="697" t="str">
        <f>IFERROR(__xludf.DUMMYFUNCTION("""COMPUTED_VALUE"""),"Untreated Controls")</f>
        <v>Untreated Controls</v>
      </c>
      <c r="E99" s="697"/>
      <c r="F99" s="697"/>
      <c r="G99" s="697"/>
      <c r="H99" s="697"/>
      <c r="I99" s="697"/>
      <c r="J99" s="697"/>
      <c r="K99" s="697"/>
      <c r="L99" s="697"/>
      <c r="M99" s="697"/>
      <c r="N99" s="697"/>
      <c r="O99" s="697"/>
      <c r="P99" s="697"/>
      <c r="Q99" s="697"/>
      <c r="R99" s="697"/>
      <c r="S99" s="697"/>
      <c r="T99" s="697"/>
      <c r="U99" s="697"/>
      <c r="V99" s="697"/>
      <c r="W99" s="697"/>
      <c r="X99" s="697"/>
      <c r="Y99" s="697"/>
      <c r="Z99" s="697"/>
      <c r="AA99" s="697"/>
      <c r="AB99" s="697"/>
      <c r="AC99" s="697"/>
      <c r="AD99" s="697"/>
      <c r="AE99" s="697" t="str">
        <f>IFERROR(__xludf.DUMMYFUNCTION("""COMPUTED_VALUE"""),"n/a")</f>
        <v>n/a</v>
      </c>
      <c r="AF99" s="697"/>
      <c r="AG99" s="697"/>
      <c r="AH99" s="697"/>
      <c r="AI99" s="697"/>
      <c r="AJ99" s="697"/>
      <c r="AK99" s="697" t="str">
        <f>IFERROR(__xludf.DUMMYFUNCTION("""COMPUTED_VALUE"""),"No. females producing mfs 24 (72.8%)")</f>
        <v>No. females producing mfs 24 (72.8%)</v>
      </c>
      <c r="AL99" s="697"/>
      <c r="AM99" s="698">
        <f>IFERROR(__xludf.DUMMYFUNCTION("""COMPUTED_VALUE"""),0.728)</f>
        <v>0.728</v>
      </c>
      <c r="AN99" s="697">
        <f>IFERROR(__xludf.DUMMYFUNCTION("""COMPUTED_VALUE"""),0.0)</f>
        <v>0</v>
      </c>
      <c r="AO99" s="698">
        <f>IFERROR(__xludf.DUMMYFUNCTION("""COMPUTED_VALUE"""),0.0)</f>
        <v>0</v>
      </c>
      <c r="AP99" s="697" t="str">
        <f>IFERROR(__xludf.DUMMYFUNCTION("""COMPUTED_VALUE"""),"Nodulectomy: mf positive")</f>
        <v>Nodulectomy: mf positive</v>
      </c>
      <c r="AQ99" s="697" t="str">
        <f>IFERROR(__xludf.DUMMYFUNCTION("""COMPUTED_VALUE"""),"Los Tarrales, Santa Isabel, El Vesubio, Los Andes, and Santa Emilia in the District of Pochuta")</f>
        <v>Los Tarrales, Santa Isabel, El Vesubio, Los Andes, and Santa Emilia in the District of Pochuta</v>
      </c>
      <c r="AR99" s="697">
        <f>IFERROR(__xludf.DUMMYFUNCTION("""COMPUTED_VALUE"""),1990.0)</f>
        <v>1990</v>
      </c>
      <c r="AS99" s="697">
        <f>IFERROR(__xludf.DUMMYFUNCTION("""COMPUTED_VALUE"""),15.0)</f>
        <v>15</v>
      </c>
      <c r="AT99" s="697" t="str">
        <f>IFERROR(__xludf.DUMMYFUNCTION("""COMPUTED_VALUE"""),"34 months")</f>
        <v>34 months</v>
      </c>
      <c r="AU99" s="699" t="str">
        <f>IFERROR(__xludf.DUMMYFUNCTION("""COMPUTED_VALUE"""),"Duke, B.O.L.; Zea-Flores, G.; Castro, J.; Cupp, E.W.; Munoz, B. (1991) Comparison of the Effects of a Single Dose and of Four Six-Monthly Doses of Ivermectin on Adult Onchocerca VolvulusAm J Trop Med Hyg 45(1): 132-137.")</f>
        <v>Duke, B.O.L.; Zea-Flores, G.; Castro, J.; Cupp, E.W.; Munoz, B. (1991) Comparison of the Effects of a Single Dose and of Four Six-Monthly Doses of Ivermectin on Adult Onchocerca VolvulusAm J Trop Med Hyg 45(1): 132-137.</v>
      </c>
      <c r="AV99" s="697" t="str">
        <f>IFERROR(__xludf.DUMMYFUNCTION("""COMPUTED_VALUE"""),"FM")</f>
        <v>FM</v>
      </c>
      <c r="AW99" s="697"/>
      <c r="AX99" s="697" t="str">
        <f>IFERROR(__xludf.DUMMYFUNCTION("""COMPUTED_VALUE"""),"Exclusion criteria: pregnant women, women breast-feeding a child under three months of age, children under five years old, and persons with severe illness or a history of neurological disorder.")</f>
        <v>Exclusion criteria: pregnant women, women breast-feeding a child under three months of age, children under five years old, and persons with severe illness or a history of neurological disorder.</v>
      </c>
      <c r="AY99" s="697" t="str">
        <f>IFERROR(__xludf.DUMMYFUNCTION("""COMPUTED_VALUE"""),"Yes")</f>
        <v>Yes</v>
      </c>
      <c r="AZ99" s="697" t="str">
        <f>IFERROR(__xludf.DUMMYFUNCTION("""COMPUTED_VALUE"""),"Yes")</f>
        <v>Yes</v>
      </c>
      <c r="BA99" s="697"/>
      <c r="BB99" s="697"/>
      <c r="BC99" s="697" t="str">
        <f>IFERROR(__xludf.DUMMYFUNCTION("""COMPUTED_VALUE"""),"Six-monthly dosage with ivermectin, repeated four times, may gradually lead to a cumulative adverse effect on the total production of mfs by female worms.
")</f>
        <v>Six-monthly dosage with ivermectin, repeated four times, may gradually lead to a cumulative adverse effect on the total production of mfs by female worms.
</v>
      </c>
      <c r="BD99" s="697"/>
      <c r="BE99" s="697"/>
      <c r="BF99" s="697"/>
      <c r="BG99" s="697"/>
    </row>
    <row r="100">
      <c r="A100" s="697"/>
      <c r="B100" s="697" t="str">
        <f>IFERROR(__xludf.DUMMYFUNCTION("""COMPUTED_VALUE"""),"Awadzi et al.")</f>
        <v>Awadzi et al.</v>
      </c>
      <c r="C100" s="697" t="str">
        <f>IFERROR(__xludf.DUMMYFUNCTION("""COMPUTED_VALUE"""),"Ghana")</f>
        <v>Ghana</v>
      </c>
      <c r="D100" s="697" t="str">
        <f>IFERROR(__xludf.DUMMYFUNCTION("""COMPUTED_VALUE"""),"Placebo")</f>
        <v>Placebo</v>
      </c>
      <c r="E100" s="697"/>
      <c r="F100" s="697"/>
      <c r="G100" s="697"/>
      <c r="H100" s="697"/>
      <c r="I100" s="697"/>
      <c r="J100" s="697"/>
      <c r="K100" s="697"/>
      <c r="L100" s="697"/>
      <c r="M100" s="697"/>
      <c r="N100" s="697"/>
      <c r="O100" s="697"/>
      <c r="P100" s="697"/>
      <c r="Q100" s="697"/>
      <c r="R100" s="697"/>
      <c r="S100" s="697"/>
      <c r="T100" s="697"/>
      <c r="U100" s="697"/>
      <c r="V100" s="697"/>
      <c r="W100" s="697"/>
      <c r="X100" s="697"/>
      <c r="Y100" s="697"/>
      <c r="Z100" s="697"/>
      <c r="AA100" s="697"/>
      <c r="AB100" s="697"/>
      <c r="AC100" s="697"/>
      <c r="AD100" s="697"/>
      <c r="AE100" s="697" t="str">
        <f>IFERROR(__xludf.DUMMYFUNCTION("""COMPUTED_VALUE"""),"n/a")</f>
        <v>n/a</v>
      </c>
      <c r="AF100" s="697"/>
      <c r="AG100" s="697"/>
      <c r="AH100" s="697"/>
      <c r="AI100" s="697"/>
      <c r="AJ100" s="697"/>
      <c r="AK100" s="697"/>
      <c r="AL100" s="697"/>
      <c r="AM100" s="697"/>
      <c r="AN100" s="697">
        <f>IFERROR(__xludf.DUMMYFUNCTION("""COMPUTED_VALUE"""),0.0)</f>
        <v>0</v>
      </c>
      <c r="AO100" s="698">
        <f>IFERROR(__xludf.DUMMYFUNCTION("""COMPUTED_VALUE"""),0.0)</f>
        <v>0</v>
      </c>
      <c r="AP100" s="697" t="str">
        <f>IFERROR(__xludf.DUMMYFUNCTION("""COMPUTED_VALUE"""),"Nodulectomy: mf positive")</f>
        <v>Nodulectomy: mf positive</v>
      </c>
      <c r="AQ100" s="697" t="str">
        <f>IFERROR(__xludf.DUMMYFUNCTION("""COMPUTED_VALUE"""),"Onchocerciasis Chemotherapeutic Research Centre at Tamale Hospital")</f>
        <v>Onchocerciasis Chemotherapeutic Research Centre at Tamale Hospital</v>
      </c>
      <c r="AR100" s="697">
        <f>IFERROR(__xludf.DUMMYFUNCTION("""COMPUTED_VALUE"""),1986.0)</f>
        <v>1986</v>
      </c>
      <c r="AS100" s="697">
        <f>IFERROR(__xludf.DUMMYFUNCTION("""COMPUTED_VALUE"""),17.0)</f>
        <v>17</v>
      </c>
      <c r="AT100" s="697" t="str">
        <f>IFERROR(__xludf.DUMMYFUNCTION("""COMPUTED_VALUE"""),"6 months")</f>
        <v>6 months</v>
      </c>
      <c r="AU100" s="699" t="str">
        <f>IFERROR(__xludf.DUMMYFUNCTION("""COMPUTED_VALUE"""),"Awadzi, K.; Dadzie, K.Y.; Schulz-Key, H.; Gilles, H.M.; Fulford, A.J.; Aziz, M.A. (1986) The Chemotherapy of Onchocerciasis XI A double-blind comparative study of ivermectin, diethylcarbamazine and placebo in human onchocerciasis in Northern Ghana. Annals"&amp;" of Tropical Medicine and Parasitology 80(4): 433-442.")</f>
        <v>Awadzi, K.; Dadzie, K.Y.; Schulz-Key, H.; Gilles, H.M.; Fulford, A.J.; Aziz, M.A. (1986) The Chemotherapy of Onchocerciasis XI A double-blind comparative study of ivermectin, diethylcarbamazine and placebo in human onchocerciasis in Northern Ghana. Annals of Tropical Medicine and Parasitology 80(4): 433-442.</v>
      </c>
      <c r="AV100" s="697" t="str">
        <f>IFERROR(__xludf.DUMMYFUNCTION("""COMPUTED_VALUE"""),"M")</f>
        <v>M</v>
      </c>
      <c r="AW100" s="697" t="str">
        <f>IFERROR(__xludf.DUMMYFUNCTION("""COMPUTED_VALUE"""),"Mean Age + Range: 33(18-45) yrs.")</f>
        <v>Mean Age + Range: 33(18-45) yrs.</v>
      </c>
      <c r="AX100" s="697"/>
      <c r="AY100" s="697" t="str">
        <f>IFERROR(__xludf.DUMMYFUNCTION("""COMPUTED_VALUE"""),"Yes")</f>
        <v>Yes</v>
      </c>
      <c r="AZ100" s="697" t="str">
        <f>IFERROR(__xludf.DUMMYFUNCTION("""COMPUTED_VALUE"""),"Yes")</f>
        <v>Yes</v>
      </c>
      <c r="BA100" s="697"/>
      <c r="BB100" s="697"/>
      <c r="BC100" s="697" t="str">
        <f>IFERROR(__xludf.DUMMYFUNCTION("""COMPUTED_VALUE"""),"Ivermectin proved superior to diethylcarbamazine in safety, tolerance, and efficacy, but further work is needed to assess fully its effects in patients with heavy intraocular microfilarial loads.")</f>
        <v>Ivermectin proved superior to diethylcarbamazine in safety, tolerance, and efficacy, but further work is needed to assess fully its effects in patients with heavy intraocular microfilarial loads.</v>
      </c>
      <c r="BD100" s="697" t="str">
        <f>IFERROR(__xludf.DUMMYFUNCTION("""COMPUTED_VALUE"""),"Two of the 20 patients entered in the ivermectin group and two of the 19 patients in the placebo group absconded on the second day of treatment for no apparent reason. Three of them returned a few days later but were not re-admitted to the study.")</f>
        <v>Two of the 20 patients entered in the ivermectin group and two of the 19 patients in the placebo group absconded on the second day of treatment for no apparent reason. Three of them returned a few days later but were not re-admitted to the study.</v>
      </c>
      <c r="BE100" s="697"/>
      <c r="BF100" s="697"/>
      <c r="BG100" s="697"/>
    </row>
    <row r="101">
      <c r="A101" s="697"/>
      <c r="B101" s="697" t="str">
        <f>IFERROR(__xludf.DUMMYFUNCTION("""COMPUTED_VALUE"""),"Awadzi et al.")</f>
        <v>Awadzi et al.</v>
      </c>
      <c r="C101" s="697" t="str">
        <f>IFERROR(__xludf.DUMMYFUNCTION("""COMPUTED_VALUE"""),"Ghana")</f>
        <v>Ghana</v>
      </c>
      <c r="D101" s="697" t="str">
        <f>IFERROR(__xludf.DUMMYFUNCTION("""COMPUTED_VALUE"""),"DEC")</f>
        <v>DEC</v>
      </c>
      <c r="E101" s="697" t="str">
        <f>IFERROR(__xludf.DUMMYFUNCTION("""COMPUTED_VALUE"""),"50mg, 100mg")</f>
        <v>50mg, 100mg</v>
      </c>
      <c r="F101" s="697" t="str">
        <f>IFERROR(__xludf.DUMMYFUNCTION("""COMPUTED_VALUE"""),"2,12")</f>
        <v>2,12</v>
      </c>
      <c r="G101" s="697" t="str">
        <f>IFERROR(__xludf.DUMMYFUNCTION("""COMPUTED_VALUE"""),"1300 mg/kg")</f>
        <v>1300 mg/kg</v>
      </c>
      <c r="H101" s="697"/>
      <c r="I101" s="697"/>
      <c r="J101" s="697"/>
      <c r="K101" s="697"/>
      <c r="L101" s="697"/>
      <c r="M101" s="697"/>
      <c r="N101" s="697"/>
      <c r="O101" s="697"/>
      <c r="P101" s="697"/>
      <c r="Q101" s="697"/>
      <c r="R101" s="697"/>
      <c r="S101" s="697"/>
      <c r="T101" s="697"/>
      <c r="U101" s="697"/>
      <c r="V101" s="697"/>
      <c r="W101" s="697"/>
      <c r="X101" s="697"/>
      <c r="Y101" s="697"/>
      <c r="Z101" s="697"/>
      <c r="AA101" s="697"/>
      <c r="AB101" s="697"/>
      <c r="AC101" s="697"/>
      <c r="AD101" s="697"/>
      <c r="AE101" s="697" t="str">
        <f>IFERROR(__xludf.DUMMYFUNCTION("""COMPUTED_VALUE"""),"n/a")</f>
        <v>n/a</v>
      </c>
      <c r="AF101" s="697"/>
      <c r="AG101" s="697"/>
      <c r="AH101" s="697"/>
      <c r="AI101" s="697"/>
      <c r="AJ101" s="697"/>
      <c r="AK101" s="697"/>
      <c r="AL101" s="698">
        <f>IFERROR(__xludf.DUMMYFUNCTION("""COMPUTED_VALUE"""),0.239)</f>
        <v>0.239</v>
      </c>
      <c r="AM101" s="698">
        <f>IFERROR(__xludf.DUMMYFUNCTION("""COMPUTED_VALUE"""),0.333)</f>
        <v>0.333</v>
      </c>
      <c r="AN101" s="697">
        <f>IFERROR(__xludf.DUMMYFUNCTION("""COMPUTED_VALUE"""),0.0)</f>
        <v>0</v>
      </c>
      <c r="AO101" s="698">
        <f>IFERROR(__xludf.DUMMYFUNCTION("""COMPUTED_VALUE"""),0.0)</f>
        <v>0</v>
      </c>
      <c r="AP101" s="697" t="str">
        <f>IFERROR(__xludf.DUMMYFUNCTION("""COMPUTED_VALUE"""),"Nodulectomy: mf positive")</f>
        <v>Nodulectomy: mf positive</v>
      </c>
      <c r="AQ101" s="697" t="str">
        <f>IFERROR(__xludf.DUMMYFUNCTION("""COMPUTED_VALUE"""),"Onchocerciasis Chemotherapeutic Research Centre at Tamale Hospital")</f>
        <v>Onchocerciasis Chemotherapeutic Research Centre at Tamale Hospital</v>
      </c>
      <c r="AR101" s="697">
        <f>IFERROR(__xludf.DUMMYFUNCTION("""COMPUTED_VALUE"""),1986.0)</f>
        <v>1986</v>
      </c>
      <c r="AS101" s="697">
        <f>IFERROR(__xludf.DUMMYFUNCTION("""COMPUTED_VALUE"""),19.0)</f>
        <v>19</v>
      </c>
      <c r="AT101" s="697" t="str">
        <f>IFERROR(__xludf.DUMMYFUNCTION("""COMPUTED_VALUE"""),"6 months")</f>
        <v>6 months</v>
      </c>
      <c r="AU101" s="699" t="str">
        <f>IFERROR(__xludf.DUMMYFUNCTION("""COMPUTED_VALUE"""),"Awadzi, K.; Dadzie, K.Y.; Schulz-Key, H.; Gilles, H.M.; Fulford, A.J.; Aziz, M.A. (1986) The Chemotherapy of Onchocerciasis XI A double-blind comparative study of ivermectin, diethylcarbamazine and placebo in human onchocerciasis in Northern Ghana. Annals"&amp;" of Tropical Medicine and Parasitology 80(4): 433-442.")</f>
        <v>Awadzi, K.; Dadzie, K.Y.; Schulz-Key, H.; Gilles, H.M.; Fulford, A.J.; Aziz, M.A. (1986) The Chemotherapy of Onchocerciasis XI A double-blind comparative study of ivermectin, diethylcarbamazine and placebo in human onchocerciasis in Northern Ghana. Annals of Tropical Medicine and Parasitology 80(4): 433-442.</v>
      </c>
      <c r="AV101" s="697" t="str">
        <f>IFERROR(__xludf.DUMMYFUNCTION("""COMPUTED_VALUE"""),"M")</f>
        <v>M</v>
      </c>
      <c r="AW101" s="697" t="str">
        <f>IFERROR(__xludf.DUMMYFUNCTION("""COMPUTED_VALUE"""),"Mean Age + Range: 31.2(17-50) yrs.")</f>
        <v>Mean Age + Range: 31.2(17-50) yrs.</v>
      </c>
      <c r="AX101" s="697"/>
      <c r="AY101" s="697" t="str">
        <f>IFERROR(__xludf.DUMMYFUNCTION("""COMPUTED_VALUE"""),"Yes")</f>
        <v>Yes</v>
      </c>
      <c r="AZ101" s="697" t="str">
        <f>IFERROR(__xludf.DUMMYFUNCTION("""COMPUTED_VALUE"""),"Yes")</f>
        <v>Yes</v>
      </c>
      <c r="BA101" s="697"/>
      <c r="BB101" s="697"/>
      <c r="BC101" s="697" t="str">
        <f>IFERROR(__xludf.DUMMYFUNCTION("""COMPUTED_VALUE"""),"Ivermectin proved superior to diethylcarbamazine in safety, tolerance, and efficacy, but further work is needed to assess fully its effects in patients with heavy intraocular microfilarial loads.")</f>
        <v>Ivermectin proved superior to diethylcarbamazine in safety, tolerance, and efficacy, but further work is needed to assess fully its effects in patients with heavy intraocular microfilarial loads.</v>
      </c>
      <c r="BD101" s="697" t="str">
        <f>IFERROR(__xludf.DUMMYFUNCTION("""COMPUTED_VALUE"""),"Two of the 20 patients entered in the ivermectin group and two of the 19 patients in the placebo group absconded on the second day of treatment for no apparent reason. Three of them returned a few days later but were not re-admitted to the study.")</f>
        <v>Two of the 20 patients entered in the ivermectin group and two of the 19 patients in the placebo group absconded on the second day of treatment for no apparent reason. Three of them returned a few days later but were not re-admitted to the study.</v>
      </c>
      <c r="BE101" s="697"/>
      <c r="BF101" s="697"/>
      <c r="BG101" s="697"/>
    </row>
    <row r="102">
      <c r="A102" s="697"/>
      <c r="B102" s="697" t="str">
        <f>IFERROR(__xludf.DUMMYFUNCTION("""COMPUTED_VALUE"""),"Awadzi et al.")</f>
        <v>Awadzi et al.</v>
      </c>
      <c r="C102" s="697" t="str">
        <f>IFERROR(__xludf.DUMMYFUNCTION("""COMPUTED_VALUE"""),"Ghana")</f>
        <v>Ghana</v>
      </c>
      <c r="D102" s="697" t="str">
        <f>IFERROR(__xludf.DUMMYFUNCTION("""COMPUTED_VALUE"""),"Ivermectin")</f>
        <v>Ivermectin</v>
      </c>
      <c r="E102" s="697" t="str">
        <f>IFERROR(__xludf.DUMMYFUNCTION("""COMPUTED_VALUE"""),"200ug/kg")</f>
        <v>200ug/kg</v>
      </c>
      <c r="F102" s="697">
        <f>IFERROR(__xludf.DUMMYFUNCTION("""COMPUTED_VALUE"""),1.0)</f>
        <v>1</v>
      </c>
      <c r="G102" s="697" t="str">
        <f>IFERROR(__xludf.DUMMYFUNCTION("""COMPUTED_VALUE"""),"200ug/kg")</f>
        <v>200ug/kg</v>
      </c>
      <c r="H102" s="697"/>
      <c r="I102" s="697"/>
      <c r="J102" s="697"/>
      <c r="K102" s="697"/>
      <c r="L102" s="697"/>
      <c r="M102" s="697"/>
      <c r="N102" s="697"/>
      <c r="O102" s="697"/>
      <c r="P102" s="697"/>
      <c r="Q102" s="697"/>
      <c r="R102" s="697"/>
      <c r="S102" s="697"/>
      <c r="T102" s="697"/>
      <c r="U102" s="697"/>
      <c r="V102" s="697"/>
      <c r="W102" s="697"/>
      <c r="X102" s="697"/>
      <c r="Y102" s="697"/>
      <c r="Z102" s="697"/>
      <c r="AA102" s="697"/>
      <c r="AB102" s="697"/>
      <c r="AC102" s="697"/>
      <c r="AD102" s="697"/>
      <c r="AE102" s="697" t="str">
        <f>IFERROR(__xludf.DUMMYFUNCTION("""COMPUTED_VALUE"""),"n/a")</f>
        <v>n/a</v>
      </c>
      <c r="AF102" s="697"/>
      <c r="AG102" s="697"/>
      <c r="AH102" s="697"/>
      <c r="AI102" s="697"/>
      <c r="AJ102" s="697"/>
      <c r="AK102" s="697"/>
      <c r="AL102" s="698">
        <f>IFERROR(__xludf.DUMMYFUNCTION("""COMPUTED_VALUE"""),0.191)</f>
        <v>0.191</v>
      </c>
      <c r="AM102" s="698">
        <f>IFERROR(__xludf.DUMMYFUNCTION("""COMPUTED_VALUE"""),0.141)</f>
        <v>0.141</v>
      </c>
      <c r="AN102" s="697">
        <f>IFERROR(__xludf.DUMMYFUNCTION("""COMPUTED_VALUE"""),0.0)</f>
        <v>0</v>
      </c>
      <c r="AO102" s="698">
        <f>IFERROR(__xludf.DUMMYFUNCTION("""COMPUTED_VALUE"""),0.0)</f>
        <v>0</v>
      </c>
      <c r="AP102" s="697" t="str">
        <f>IFERROR(__xludf.DUMMYFUNCTION("""COMPUTED_VALUE"""),"Nodulectomy: mf positive")</f>
        <v>Nodulectomy: mf positive</v>
      </c>
      <c r="AQ102" s="697" t="str">
        <f>IFERROR(__xludf.DUMMYFUNCTION("""COMPUTED_VALUE"""),"Onchocerciasis Chemotherapeutic Research Centre at Tamale Hospital")</f>
        <v>Onchocerciasis Chemotherapeutic Research Centre at Tamale Hospital</v>
      </c>
      <c r="AR102" s="697">
        <f>IFERROR(__xludf.DUMMYFUNCTION("""COMPUTED_VALUE"""),1986.0)</f>
        <v>1986</v>
      </c>
      <c r="AS102" s="697">
        <f>IFERROR(__xludf.DUMMYFUNCTION("""COMPUTED_VALUE"""),18.0)</f>
        <v>18</v>
      </c>
      <c r="AT102" s="697" t="str">
        <f>IFERROR(__xludf.DUMMYFUNCTION("""COMPUTED_VALUE"""),"6 months")</f>
        <v>6 months</v>
      </c>
      <c r="AU102" s="699" t="str">
        <f>IFERROR(__xludf.DUMMYFUNCTION("""COMPUTED_VALUE"""),"Awadzi, K.; Dadzie, K.Y.; Schulz-Key, H.; Gilles, H.M.; Fulford, A.J.; Aziz, M.A. (1986) The Chemotherapy of Onchocerciasis XI A double-blind comparative study of ivermectin, diethylcarbamazine and placebo in human onchocerciasis in Northern Ghana. Annals"&amp;" of Tropical Medicine and Parasitology 80(4): 433-442.")</f>
        <v>Awadzi, K.; Dadzie, K.Y.; Schulz-Key, H.; Gilles, H.M.; Fulford, A.J.; Aziz, M.A. (1986) The Chemotherapy of Onchocerciasis XI A double-blind comparative study of ivermectin, diethylcarbamazine and placebo in human onchocerciasis in Northern Ghana. Annals of Tropical Medicine and Parasitology 80(4): 433-442.</v>
      </c>
      <c r="AV102" s="697" t="str">
        <f>IFERROR(__xludf.DUMMYFUNCTION("""COMPUTED_VALUE"""),"M")</f>
        <v>M</v>
      </c>
      <c r="AW102" s="697" t="str">
        <f>IFERROR(__xludf.DUMMYFUNCTION("""COMPUTED_VALUE"""),"Mean Age + Range: 30.6(15-47) yrs.")</f>
        <v>Mean Age + Range: 30.6(15-47) yrs.</v>
      </c>
      <c r="AX102" s="697"/>
      <c r="AY102" s="697" t="str">
        <f>IFERROR(__xludf.DUMMYFUNCTION("""COMPUTED_VALUE"""),"Yes")</f>
        <v>Yes</v>
      </c>
      <c r="AZ102" s="697" t="str">
        <f>IFERROR(__xludf.DUMMYFUNCTION("""COMPUTED_VALUE"""),"Yes")</f>
        <v>Yes</v>
      </c>
      <c r="BA102" s="697"/>
      <c r="BB102" s="697"/>
      <c r="BC102" s="697" t="str">
        <f>IFERROR(__xludf.DUMMYFUNCTION("""COMPUTED_VALUE"""),"Ivermectin proved superior to diethylcarbamazine in safety, tolerance, and efficacy, but further work is needed to assess fully its effects in patients with heavy intraocular microfilarial loads.")</f>
        <v>Ivermectin proved superior to diethylcarbamazine in safety, tolerance, and efficacy, but further work is needed to assess fully its effects in patients with heavy intraocular microfilarial loads.</v>
      </c>
      <c r="BD102" s="697" t="str">
        <f>IFERROR(__xludf.DUMMYFUNCTION("""COMPUTED_VALUE"""),"Two of the 20 patients entered in the ivermectin group and two of the 19 patients in the placebo group absconded on the second day of treatment for no apparent reason. Three of them returned a few days later but were not re-admitted to the study.")</f>
        <v>Two of the 20 patients entered in the ivermectin group and two of the 19 patients in the placebo group absconded on the second day of treatment for no apparent reason. Three of them returned a few days later but were not re-admitted to the study.</v>
      </c>
      <c r="BE102" s="697"/>
      <c r="BF102" s="697"/>
      <c r="BG102" s="697"/>
    </row>
    <row r="103">
      <c r="A103" s="697"/>
      <c r="B103" s="697" t="str">
        <f>IFERROR(__xludf.DUMMYFUNCTION("""COMPUTED_VALUE"""),"Diallo et al.")</f>
        <v>Diallo et al.</v>
      </c>
      <c r="C103" s="697" t="str">
        <f>IFERROR(__xludf.DUMMYFUNCTION("""COMPUTED_VALUE"""),"Senegal")</f>
        <v>Senegal</v>
      </c>
      <c r="D103" s="697" t="str">
        <f>IFERROR(__xludf.DUMMYFUNCTION("""COMPUTED_VALUE"""),"Ivermectin")</f>
        <v>Ivermectin</v>
      </c>
      <c r="E103" s="697" t="str">
        <f>IFERROR(__xludf.DUMMYFUNCTION("""COMPUTED_VALUE"""),"200ug/kg")</f>
        <v>200ug/kg</v>
      </c>
      <c r="F103" s="697">
        <f>IFERROR(__xludf.DUMMYFUNCTION("""COMPUTED_VALUE"""),1.0)</f>
        <v>1</v>
      </c>
      <c r="G103" s="697" t="str">
        <f>IFERROR(__xludf.DUMMYFUNCTION("""COMPUTED_VALUE"""),"200ug/kg")</f>
        <v>200ug/kg</v>
      </c>
      <c r="H103" s="697"/>
      <c r="I103" s="700">
        <f>IFERROR(__xludf.DUMMYFUNCTION("""COMPUTED_VALUE"""),0.84)</f>
        <v>0.84</v>
      </c>
      <c r="J103" s="697"/>
      <c r="K103" s="700">
        <f>IFERROR(__xludf.DUMMYFUNCTION("""COMPUTED_VALUE"""),0.96)</f>
        <v>0.96</v>
      </c>
      <c r="L103" s="700">
        <f>IFERROR(__xludf.DUMMYFUNCTION("""COMPUTED_VALUE"""),0.98)</f>
        <v>0.98</v>
      </c>
      <c r="M103" s="697"/>
      <c r="N103" s="700">
        <f>IFERROR(__xludf.DUMMYFUNCTION("""COMPUTED_VALUE"""),0.98)</f>
        <v>0.98</v>
      </c>
      <c r="O103" s="700">
        <f>IFERROR(__xludf.DUMMYFUNCTION("""COMPUTED_VALUE"""),0.96)</f>
        <v>0.96</v>
      </c>
      <c r="P103" s="697"/>
      <c r="Q103" s="700">
        <f>IFERROR(__xludf.DUMMYFUNCTION("""COMPUTED_VALUE"""),0.97)</f>
        <v>0.97</v>
      </c>
      <c r="R103" s="697"/>
      <c r="S103" s="700">
        <f>IFERROR(__xludf.DUMMYFUNCTION("""COMPUTED_VALUE"""),0.97)</f>
        <v>0.97</v>
      </c>
      <c r="T103" s="697"/>
      <c r="U103" s="697"/>
      <c r="V103" s="697"/>
      <c r="W103" s="700">
        <f>IFERROR(__xludf.DUMMYFUNCTION("""COMPUTED_VALUE"""),0.96)</f>
        <v>0.96</v>
      </c>
      <c r="X103" s="697"/>
      <c r="Y103" s="697"/>
      <c r="Z103" s="697"/>
      <c r="AA103" s="697"/>
      <c r="AB103" s="697"/>
      <c r="AC103" s="697"/>
      <c r="AD103" s="697"/>
      <c r="AE103" s="697" t="str">
        <f>IFERROR(__xludf.DUMMYFUNCTION("""COMPUTED_VALUE"""),"n/a")</f>
        <v>n/a</v>
      </c>
      <c r="AF103" s="697"/>
      <c r="AG103" s="697"/>
      <c r="AH103" s="697"/>
      <c r="AI103" s="697"/>
      <c r="AJ103" s="697"/>
      <c r="AK103" s="697"/>
      <c r="AL103" s="697"/>
      <c r="AM103" s="697"/>
      <c r="AN103" s="700">
        <f>IFERROR(__xludf.DUMMYFUNCTION("""COMPUTED_VALUE"""),0.97)</f>
        <v>0.97</v>
      </c>
      <c r="AO103" s="698">
        <f>IFERROR(__xludf.DUMMYFUNCTION("""COMPUTED_VALUE"""),0.97)</f>
        <v>0.97</v>
      </c>
      <c r="AP103" s="697" t="str">
        <f>IFERROR(__xludf.DUMMYFUNCTION("""COMPUTED_VALUE"""),"Mf reduction")</f>
        <v>Mf reduction</v>
      </c>
      <c r="AQ103" s="697" t="str">
        <f>IFERROR(__xludf.DUMMYFUNCTION("""COMPUTED_VALUE"""),"Dakar, Senegal")</f>
        <v>Dakar, Senegal</v>
      </c>
      <c r="AR103" s="697">
        <f>IFERROR(__xludf.DUMMYFUNCTION("""COMPUTED_VALUE"""),1986.0)</f>
        <v>1986</v>
      </c>
      <c r="AS103" s="697">
        <f>IFERROR(__xludf.DUMMYFUNCTION("""COMPUTED_VALUE"""),10.0)</f>
        <v>10</v>
      </c>
      <c r="AT103" s="697" t="str">
        <f>IFERROR(__xludf.DUMMYFUNCTION("""COMPUTED_VALUE"""),"1 year")</f>
        <v>1 year</v>
      </c>
      <c r="AU103" s="699" t="str">
        <f>IFERROR(__xludf.DUMMYFUNCTION("""COMPUTED_VALUE"""),"Diallo, S.; Aziz, M.A.; Lariviere, M.; Diallo, J.S.; Diop-Mar, I.; N'Dir, O.; Badiane, S.; Pv H.; Schulz-Key, H.; Gaxotte, P.; Victorius, A. (1986) A double-blind comparison of the efficacy and safety of ivermectin and diethylcarbamazine in a placebo cont"&amp;"rolled study of Sengalese patients with onchocerciasis. Transactions of the Royal Society of Tropical Medicine and Hygiene 80: 927-934.")</f>
        <v>Diallo, S.; Aziz, M.A.; Lariviere, M.; Diallo, J.S.; Diop-Mar, I.; N'Dir, O.; Badiane, S.; Pv H.; Schulz-Key, H.; Gaxotte, P.; Victorius, A. (1986) A double-blind comparison of the efficacy and safety of ivermectin and diethylcarbamazine in a placebo controlled study of Sengalese patients with onchocerciasis. Transactions of the Royal Society of Tropical Medicine and Hygiene 80: 927-934.</v>
      </c>
      <c r="AV103" s="697" t="str">
        <f>IFERROR(__xludf.DUMMYFUNCTION("""COMPUTED_VALUE"""),"M")</f>
        <v>M</v>
      </c>
      <c r="AW103" s="697" t="str">
        <f>IFERROR(__xludf.DUMMYFUNCTION("""COMPUTED_VALUE"""),"Mean Age: 32.4")</f>
        <v>Mean Age: 32.4</v>
      </c>
      <c r="AX103" s="697" t="str">
        <f>IFERROR(__xludf.DUMMYFUNCTION("""COMPUTED_VALUE"""),"All patients have moderate or heavy infections.")</f>
        <v>All patients have moderate or heavy infections.</v>
      </c>
      <c r="AY103" s="697" t="str">
        <f>IFERROR(__xludf.DUMMYFUNCTION("""COMPUTED_VALUE"""),"Yes")</f>
        <v>Yes</v>
      </c>
      <c r="AZ103" s="697" t="str">
        <f>IFERROR(__xludf.DUMMYFUNCTION("""COMPUTED_VALUE"""),"Yes")</f>
        <v>Yes</v>
      </c>
      <c r="BA103" s="697"/>
      <c r="BB103" s="697"/>
      <c r="BC103" s="697" t="str">
        <f>IFERROR(__xludf.DUMMYFUNCTION("""COMPUTED_VALUE"""),"Ivermectin as a single oral dose appears to be a safer and more effective microfilaricidal drug in human onchocerciasis than DEC in the standard multi-dose regimen.")</f>
        <v>Ivermectin as a single oral dose appears to be a safer and more effective microfilaricidal drug in human onchocerciasis than DEC in the standard multi-dose regimen.</v>
      </c>
      <c r="BD103" s="697" t="str">
        <f>IFERROR(__xludf.DUMMYFUNCTION("""COMPUTED_VALUE"""),"Ten patients in each treatment group, except that only 9, 8, 9 and 9 DEC patients and 8, 9, 9 and 9 placebo patients returned to the hospital for the 3, 6, 9 and 12-month follow-up examinations.")</f>
        <v>Ten patients in each treatment group, except that only 9, 8, 9 and 9 DEC patients and 8, 9, 9 and 9 placebo patients returned to the hospital for the 3, 6, 9 and 12-month follow-up examinations.</v>
      </c>
      <c r="BE103" s="697"/>
      <c r="BF103" s="697"/>
      <c r="BG103" s="697"/>
    </row>
    <row r="104">
      <c r="A104" s="697"/>
      <c r="B104" s="697" t="str">
        <f>IFERROR(__xludf.DUMMYFUNCTION("""COMPUTED_VALUE"""),"Diallo et al.")</f>
        <v>Diallo et al.</v>
      </c>
      <c r="C104" s="697" t="str">
        <f>IFERROR(__xludf.DUMMYFUNCTION("""COMPUTED_VALUE"""),"Senegal")</f>
        <v>Senegal</v>
      </c>
      <c r="D104" s="697" t="str">
        <f>IFERROR(__xludf.DUMMYFUNCTION("""COMPUTED_VALUE"""),"DEC")</f>
        <v>DEC</v>
      </c>
      <c r="E104" s="697" t="str">
        <f>IFERROR(__xludf.DUMMYFUNCTION("""COMPUTED_VALUE"""),"50mg, 100mg")</f>
        <v>50mg, 100mg</v>
      </c>
      <c r="F104" s="703">
        <f>IFERROR(__xludf.DUMMYFUNCTION("""COMPUTED_VALUE"""),42412.0)</f>
        <v>42412</v>
      </c>
      <c r="G104" s="697" t="str">
        <f>IFERROR(__xludf.DUMMYFUNCTION("""COMPUTED_VALUE"""),"1300mg")</f>
        <v>1300mg</v>
      </c>
      <c r="H104" s="697"/>
      <c r="I104" s="700">
        <f>IFERROR(__xludf.DUMMYFUNCTION("""COMPUTED_VALUE"""),0.79)</f>
        <v>0.79</v>
      </c>
      <c r="J104" s="697"/>
      <c r="K104" s="700">
        <f>IFERROR(__xludf.DUMMYFUNCTION("""COMPUTED_VALUE"""),0.94)</f>
        <v>0.94</v>
      </c>
      <c r="L104" s="700">
        <f>IFERROR(__xludf.DUMMYFUNCTION("""COMPUTED_VALUE"""),0.99)</f>
        <v>0.99</v>
      </c>
      <c r="M104" s="697"/>
      <c r="N104" s="700">
        <f>IFERROR(__xludf.DUMMYFUNCTION("""COMPUTED_VALUE"""),0.96)</f>
        <v>0.96</v>
      </c>
      <c r="O104" s="700">
        <f>IFERROR(__xludf.DUMMYFUNCTION("""COMPUTED_VALUE"""),0.91)</f>
        <v>0.91</v>
      </c>
      <c r="P104" s="697"/>
      <c r="Q104" s="700">
        <f>IFERROR(__xludf.DUMMYFUNCTION("""COMPUTED_VALUE"""),0.85)</f>
        <v>0.85</v>
      </c>
      <c r="R104" s="697"/>
      <c r="S104" s="700">
        <f>IFERROR(__xludf.DUMMYFUNCTION("""COMPUTED_VALUE"""),0.78)</f>
        <v>0.78</v>
      </c>
      <c r="T104" s="697"/>
      <c r="U104" s="697"/>
      <c r="V104" s="697"/>
      <c r="W104" s="700">
        <f>IFERROR(__xludf.DUMMYFUNCTION("""COMPUTED_VALUE"""),0.82)</f>
        <v>0.82</v>
      </c>
      <c r="X104" s="697"/>
      <c r="Y104" s="697"/>
      <c r="Z104" s="697"/>
      <c r="AA104" s="697"/>
      <c r="AB104" s="697"/>
      <c r="AC104" s="697"/>
      <c r="AD104" s="697"/>
      <c r="AE104" s="697" t="str">
        <f>IFERROR(__xludf.DUMMYFUNCTION("""COMPUTED_VALUE"""),"n/a")</f>
        <v>n/a</v>
      </c>
      <c r="AF104" s="697"/>
      <c r="AG104" s="697"/>
      <c r="AH104" s="697"/>
      <c r="AI104" s="697"/>
      <c r="AJ104" s="697"/>
      <c r="AK104" s="697"/>
      <c r="AL104" s="697"/>
      <c r="AM104" s="697"/>
      <c r="AN104" s="700">
        <f>IFERROR(__xludf.DUMMYFUNCTION("""COMPUTED_VALUE"""),0.78)</f>
        <v>0.78</v>
      </c>
      <c r="AO104" s="698">
        <f>IFERROR(__xludf.DUMMYFUNCTION("""COMPUTED_VALUE"""),0.78)</f>
        <v>0.78</v>
      </c>
      <c r="AP104" s="697" t="str">
        <f>IFERROR(__xludf.DUMMYFUNCTION("""COMPUTED_VALUE"""),"Mf reduction")</f>
        <v>Mf reduction</v>
      </c>
      <c r="AQ104" s="697" t="str">
        <f>IFERROR(__xludf.DUMMYFUNCTION("""COMPUTED_VALUE"""),"Dakar, Senegal")</f>
        <v>Dakar, Senegal</v>
      </c>
      <c r="AR104" s="697">
        <f>IFERROR(__xludf.DUMMYFUNCTION("""COMPUTED_VALUE"""),1986.0)</f>
        <v>1986</v>
      </c>
      <c r="AS104" s="697">
        <f>IFERROR(__xludf.DUMMYFUNCTION("""COMPUTED_VALUE"""),10.0)</f>
        <v>10</v>
      </c>
      <c r="AT104" s="697" t="str">
        <f>IFERROR(__xludf.DUMMYFUNCTION("""COMPUTED_VALUE"""),"1 year")</f>
        <v>1 year</v>
      </c>
      <c r="AU104" s="699" t="str">
        <f>IFERROR(__xludf.DUMMYFUNCTION("""COMPUTED_VALUE"""),"Diallo, S.; Aziz, M.A.; Lariviere, M.; Diallo, J.S.; Diop-Mar, I.; N'Dir, O.; Badiane, S.; Pv H.; Schulz-Key, H.; Gaxotte, P.; Victorius, A. (1986) A double-blind comparison of the efficacy and safety of ivermectin and diethylcarbamazine in a placebo cont"&amp;"rolled study of Sengalese patients with onchocerciasis. Transactions of the Royal Society of Tropical Medicine and Hygiene 80: 927-934.")</f>
        <v>Diallo, S.; Aziz, M.A.; Lariviere, M.; Diallo, J.S.; Diop-Mar, I.; N'Dir, O.; Badiane, S.; Pv H.; Schulz-Key, H.; Gaxotte, P.; Victorius, A. (1986) A double-blind comparison of the efficacy and safety of ivermectin and diethylcarbamazine in a placebo controlled study of Sengalese patients with onchocerciasis. Transactions of the Royal Society of Tropical Medicine and Hygiene 80: 927-934.</v>
      </c>
      <c r="AV104" s="697"/>
      <c r="AW104" s="697" t="str">
        <f>IFERROR(__xludf.DUMMYFUNCTION("""COMPUTED_VALUE"""),"Mean Age: 33.5")</f>
        <v>Mean Age: 33.5</v>
      </c>
      <c r="AX104" s="697"/>
      <c r="AY104" s="697" t="str">
        <f>IFERROR(__xludf.DUMMYFUNCTION("""COMPUTED_VALUE"""),"Yes")</f>
        <v>Yes</v>
      </c>
      <c r="AZ104" s="697" t="str">
        <f>IFERROR(__xludf.DUMMYFUNCTION("""COMPUTED_VALUE"""),"Yes")</f>
        <v>Yes</v>
      </c>
      <c r="BA104" s="697"/>
      <c r="BB104" s="697"/>
      <c r="BC104" s="697" t="str">
        <f>IFERROR(__xludf.DUMMYFUNCTION("""COMPUTED_VALUE"""),"Ivermectin as a single oral dose appears to be a safer and more effective microfilaricidal drug in human onchocerciasis than DEC in the standard multi-dose regimen.")</f>
        <v>Ivermectin as a single oral dose appears to be a safer and more effective microfilaricidal drug in human onchocerciasis than DEC in the standard multi-dose regimen.</v>
      </c>
      <c r="BD104" s="697" t="str">
        <f>IFERROR(__xludf.DUMMYFUNCTION("""COMPUTED_VALUE"""),"Ten patients in each treatment group, except that only 9, 8, 9 and 9 DEC patients and 8, 9, 9 and 9 placebo patients returned to the hospital for the 3, 6, 9 and 12-month follow-up examinations.")</f>
        <v>Ten patients in each treatment group, except that only 9, 8, 9 and 9 DEC patients and 8, 9, 9 and 9 placebo patients returned to the hospital for the 3, 6, 9 and 12-month follow-up examinations.</v>
      </c>
      <c r="BE104" s="697"/>
      <c r="BF104" s="697"/>
      <c r="BG104" s="697"/>
    </row>
    <row r="105">
      <c r="A105" s="697"/>
      <c r="B105" s="697" t="str">
        <f>IFERROR(__xludf.DUMMYFUNCTION("""COMPUTED_VALUE"""),"Diallo et al.")</f>
        <v>Diallo et al.</v>
      </c>
      <c r="C105" s="697" t="str">
        <f>IFERROR(__xludf.DUMMYFUNCTION("""COMPUTED_VALUE"""),"Senegal")</f>
        <v>Senegal</v>
      </c>
      <c r="D105" s="697" t="str">
        <f>IFERROR(__xludf.DUMMYFUNCTION("""COMPUTED_VALUE"""),"Placebo")</f>
        <v>Placebo</v>
      </c>
      <c r="E105" s="697"/>
      <c r="F105" s="697"/>
      <c r="G105" s="697"/>
      <c r="H105" s="697"/>
      <c r="I105" s="697" t="str">
        <f>IFERROR(__xludf.DUMMYFUNCTION("""COMPUTED_VALUE"""),"Increase of 17%")</f>
        <v>Increase of 17%</v>
      </c>
      <c r="J105" s="697"/>
      <c r="K105" s="697" t="str">
        <f>IFERROR(__xludf.DUMMYFUNCTION("""COMPUTED_VALUE"""),"Increase of 34%")</f>
        <v>Increase of 34%</v>
      </c>
      <c r="L105" s="697"/>
      <c r="M105" s="697"/>
      <c r="N105" s="697" t="str">
        <f>IFERROR(__xludf.DUMMYFUNCTION("""COMPUTED_VALUE"""),"Increase of 35%")</f>
        <v>Increase of 35%</v>
      </c>
      <c r="O105" s="697" t="str">
        <f>IFERROR(__xludf.DUMMYFUNCTION("""COMPUTED_VALUE"""),"Increase of 56%")</f>
        <v>Increase of 56%</v>
      </c>
      <c r="P105" s="697"/>
      <c r="Q105" s="700">
        <f>IFERROR(__xludf.DUMMYFUNCTION("""COMPUTED_VALUE"""),0.05)</f>
        <v>0.05</v>
      </c>
      <c r="R105" s="697"/>
      <c r="S105" s="697" t="str">
        <f>IFERROR(__xludf.DUMMYFUNCTION("""COMPUTED_VALUE"""),"Increase of 45%")</f>
        <v>Increase of 45%</v>
      </c>
      <c r="T105" s="697"/>
      <c r="U105" s="697"/>
      <c r="V105" s="697"/>
      <c r="W105" s="700">
        <f>IFERROR(__xludf.DUMMYFUNCTION("""COMPUTED_VALUE"""),0.25)</f>
        <v>0.25</v>
      </c>
      <c r="X105" s="697"/>
      <c r="Y105" s="697"/>
      <c r="Z105" s="697"/>
      <c r="AA105" s="697"/>
      <c r="AB105" s="697"/>
      <c r="AC105" s="697"/>
      <c r="AD105" s="697"/>
      <c r="AE105" s="697" t="str">
        <f>IFERROR(__xludf.DUMMYFUNCTION("""COMPUTED_VALUE"""),"n/a")</f>
        <v>n/a</v>
      </c>
      <c r="AF105" s="697"/>
      <c r="AG105" s="697"/>
      <c r="AH105" s="697"/>
      <c r="AI105" s="697"/>
      <c r="AJ105" s="697"/>
      <c r="AK105" s="697"/>
      <c r="AL105" s="697"/>
      <c r="AM105" s="697"/>
      <c r="AN105" s="697" t="str">
        <f>IFERROR(__xludf.DUMMYFUNCTION("""COMPUTED_VALUE"""),"Increase of 45%")</f>
        <v>Increase of 45%</v>
      </c>
      <c r="AO105" s="698">
        <f>IFERROR(__xludf.DUMMYFUNCTION("""COMPUTED_VALUE"""),0.45)</f>
        <v>0.45</v>
      </c>
      <c r="AP105" s="697" t="str">
        <f>IFERROR(__xludf.DUMMYFUNCTION("""COMPUTED_VALUE"""),"Mf reduction")</f>
        <v>Mf reduction</v>
      </c>
      <c r="AQ105" s="697" t="str">
        <f>IFERROR(__xludf.DUMMYFUNCTION("""COMPUTED_VALUE"""),"Dakar, Senegal")</f>
        <v>Dakar, Senegal</v>
      </c>
      <c r="AR105" s="697">
        <f>IFERROR(__xludf.DUMMYFUNCTION("""COMPUTED_VALUE"""),1986.0)</f>
        <v>1986</v>
      </c>
      <c r="AS105" s="697">
        <f>IFERROR(__xludf.DUMMYFUNCTION("""COMPUTED_VALUE"""),10.0)</f>
        <v>10</v>
      </c>
      <c r="AT105" s="697" t="str">
        <f>IFERROR(__xludf.DUMMYFUNCTION("""COMPUTED_VALUE"""),"1 year")</f>
        <v>1 year</v>
      </c>
      <c r="AU105" s="699" t="str">
        <f>IFERROR(__xludf.DUMMYFUNCTION("""COMPUTED_VALUE"""),"Diallo, S.; Aziz, M.A.; Lariviere, M.; Diallo, J.S.; Diop-Mar, I.; N'Dir, O.; Badiane, S.; Pv H.; Schulz-Key, H.; Gaxotte, P.; Victorius, A. (1986) A double-blind comparison of the efficacy and safety of ivermectin and diethylcarbamazine in a placebo cont"&amp;"rolled study of Sengalese patients with onchocerciasis. Transactions of the Royal Society of Tropical Medicine and Hygiene 80: 927-934.")</f>
        <v>Diallo, S.; Aziz, M.A.; Lariviere, M.; Diallo, J.S.; Diop-Mar, I.; N'Dir, O.; Badiane, S.; Pv H.; Schulz-Key, H.; Gaxotte, P.; Victorius, A. (1986) A double-blind comparison of the efficacy and safety of ivermectin and diethylcarbamazine in a placebo controlled study of Sengalese patients with onchocerciasis. Transactions of the Royal Society of Tropical Medicine and Hygiene 80: 927-934.</v>
      </c>
      <c r="AV105" s="697"/>
      <c r="AW105" s="697" t="str">
        <f>IFERROR(__xludf.DUMMYFUNCTION("""COMPUTED_VALUE"""),"Mean Age: 31.4")</f>
        <v>Mean Age: 31.4</v>
      </c>
      <c r="AX105" s="697"/>
      <c r="AY105" s="697" t="str">
        <f>IFERROR(__xludf.DUMMYFUNCTION("""COMPUTED_VALUE"""),"Yes")</f>
        <v>Yes</v>
      </c>
      <c r="AZ105" s="697" t="str">
        <f>IFERROR(__xludf.DUMMYFUNCTION("""COMPUTED_VALUE"""),"Yes")</f>
        <v>Yes</v>
      </c>
      <c r="BA105" s="697"/>
      <c r="BB105" s="697"/>
      <c r="BC105" s="697" t="str">
        <f>IFERROR(__xludf.DUMMYFUNCTION("""COMPUTED_VALUE"""),"Ivermectin as a single oral dose appears to be a safer and more effective microfilaricidal drug in human onchocerciasis than DEC in the standard multi-dose regimen.")</f>
        <v>Ivermectin as a single oral dose appears to be a safer and more effective microfilaricidal drug in human onchocerciasis than DEC in the standard multi-dose regimen.</v>
      </c>
      <c r="BD105" s="697" t="str">
        <f>IFERROR(__xludf.DUMMYFUNCTION("""COMPUTED_VALUE"""),"Ten patients in each treatment group, except that only 9, 8, 9 and 9 DEC patients and 8, 9, 9 and 9 placebo patients returned to the hospital for the 3, 6, 9 and 12-month follow-up examinations.")</f>
        <v>Ten patients in each treatment group, except that only 9, 8, 9 and 9 DEC patients and 8, 9, 9 and 9 placebo patients returned to the hospital for the 3, 6, 9 and 12-month follow-up examinations.</v>
      </c>
      <c r="BE105" s="697"/>
      <c r="BF105" s="697"/>
      <c r="BG105" s="697"/>
    </row>
    <row r="106">
      <c r="A106" s="697"/>
      <c r="B106" s="697" t="str">
        <f>IFERROR(__xludf.DUMMYFUNCTION("""COMPUTED_VALUE"""),"Whitworth et al.")</f>
        <v>Whitworth et al.</v>
      </c>
      <c r="C106" s="697" t="str">
        <f>IFERROR(__xludf.DUMMYFUNCTION("""COMPUTED_VALUE"""),"Sierra Leone")</f>
        <v>Sierra Leone</v>
      </c>
      <c r="D106" s="697" t="str">
        <f>IFERROR(__xludf.DUMMYFUNCTION("""COMPUTED_VALUE"""),"Ivermectin")</f>
        <v>Ivermectin</v>
      </c>
      <c r="E106" s="697" t="str">
        <f>IFERROR(__xludf.DUMMYFUNCTION("""COMPUTED_VALUE"""),"150 ug/kg")</f>
        <v>150 ug/kg</v>
      </c>
      <c r="F106" s="697">
        <f>IFERROR(__xludf.DUMMYFUNCTION("""COMPUTED_VALUE"""),1.0)</f>
        <v>1</v>
      </c>
      <c r="G106" s="697" t="str">
        <f>IFERROR(__xludf.DUMMYFUNCTION("""COMPUTED_VALUE"""),"150ug/kg")</f>
        <v>150ug/kg</v>
      </c>
      <c r="H106" s="697"/>
      <c r="I106" s="697"/>
      <c r="J106" s="697"/>
      <c r="K106" s="697"/>
      <c r="L106" s="697"/>
      <c r="M106" s="697"/>
      <c r="N106" s="697"/>
      <c r="O106" s="697"/>
      <c r="P106" s="697"/>
      <c r="Q106" s="697"/>
      <c r="R106" s="697"/>
      <c r="S106" s="697" t="str">
        <f>IFERROR(__xludf.DUMMYFUNCTION("""COMPUTED_VALUE"""),"Increase of 58.6%")</f>
        <v>Increase of 58.6%</v>
      </c>
      <c r="T106" s="697"/>
      <c r="U106" s="697"/>
      <c r="V106" s="697"/>
      <c r="W106" s="697" t="str">
        <f>IFERROR(__xludf.DUMMYFUNCTION("""COMPUTED_VALUE"""),"Increase of 8.5%")</f>
        <v>Increase of 8.5%</v>
      </c>
      <c r="X106" s="698">
        <f>IFERROR(__xludf.DUMMYFUNCTION("""COMPUTED_VALUE"""),0.234)</f>
        <v>0.234</v>
      </c>
      <c r="Y106" s="697"/>
      <c r="Z106" s="698">
        <f>IFERROR(__xludf.DUMMYFUNCTION("""COMPUTED_VALUE"""),0.087)</f>
        <v>0.087</v>
      </c>
      <c r="AA106" s="697"/>
      <c r="AB106" s="698">
        <f>IFERROR(__xludf.DUMMYFUNCTION("""COMPUTED_VALUE"""),0.2722)</f>
        <v>0.2722</v>
      </c>
      <c r="AC106" s="697"/>
      <c r="AD106" s="697"/>
      <c r="AE106" s="697" t="str">
        <f>IFERROR(__xludf.DUMMYFUNCTION("""COMPUTED_VALUE"""),"n/a")</f>
        <v>n/a</v>
      </c>
      <c r="AF106" s="697"/>
      <c r="AG106" s="697"/>
      <c r="AH106" s="697"/>
      <c r="AI106" s="697"/>
      <c r="AJ106" s="697"/>
      <c r="AK106" s="697"/>
      <c r="AL106" s="697"/>
      <c r="AM106" s="697"/>
      <c r="AN106" s="697" t="str">
        <f>IFERROR(__xludf.DUMMYFUNCTION("""COMPUTED_VALUE"""),"Increase of 58.6%")</f>
        <v>Increase of 58.6%</v>
      </c>
      <c r="AO106" s="698">
        <f>IFERROR(__xludf.DUMMYFUNCTION("""COMPUTED_VALUE"""),0.586)</f>
        <v>0.586</v>
      </c>
      <c r="AP106" s="697" t="str">
        <f>IFERROR(__xludf.DUMMYFUNCTION("""COMPUTED_VALUE"""),"Mf reduction")</f>
        <v>Mf reduction</v>
      </c>
      <c r="AQ106" s="697" t="str">
        <f>IFERROR(__xludf.DUMMYFUNCTION("""COMPUTED_VALUE"""),"Bo, Sierra Leone")</f>
        <v>Bo, Sierra Leone</v>
      </c>
      <c r="AR106" s="697">
        <f>IFERROR(__xludf.DUMMYFUNCTION("""COMPUTED_VALUE"""),1987.0)</f>
        <v>1987</v>
      </c>
      <c r="AS106" s="697">
        <f>IFERROR(__xludf.DUMMYFUNCTION("""COMPUTED_VALUE"""),169.0)</f>
        <v>169</v>
      </c>
      <c r="AT106" s="697" t="str">
        <f>IFERROR(__xludf.DUMMYFUNCTION("""COMPUTED_VALUE"""),"3.5 years")</f>
        <v>3.5 years</v>
      </c>
      <c r="AU106" s="699" t="str">
        <f>IFERROR(__xludf.DUMMYFUNCTION("""COMPUTED_VALUE"""),"Whitworth, J.A.G.; Downham, M.D.; Lahai, G.; Maude, G.H. (1996) A community trial of ivermectin for onchocerciasis in Sierra Leone: compliance and parasitological profiles after three and a half years of intervention. Tropical Medicine and International H"&amp;"ealthy 1(1): 52-58.")</f>
        <v>Whitworth, J.A.G.; Downham, M.D.; Lahai, G.; Maude, G.H. (1996) A community trial of ivermectin for onchocerciasis in Sierra Leone: compliance and parasitological profiles after three and a half years of intervention. Tropical Medicine and International Healthy 1(1): 52-58.</v>
      </c>
      <c r="AV106" s="697" t="str">
        <f>IFERROR(__xludf.DUMMYFUNCTION("""COMPUTED_VALUE"""),"78 M, 91 F")</f>
        <v>78 M, 91 F</v>
      </c>
      <c r="AW106" s="697" t="str">
        <f>IFERROR(__xludf.DUMMYFUNCTION("""COMPUTED_VALUE"""),"5-40+years old")</f>
        <v>5-40+years old</v>
      </c>
      <c r="AX106" s="697"/>
      <c r="AY106" s="697" t="str">
        <f>IFERROR(__xludf.DUMMYFUNCTION("""COMPUTED_VALUE"""),"Yes")</f>
        <v>Yes</v>
      </c>
      <c r="AZ106" s="697" t="str">
        <f>IFERROR(__xludf.DUMMYFUNCTION("""COMPUTED_VALUE"""),"Yes")</f>
        <v>Yes</v>
      </c>
      <c r="BA106" s="697"/>
      <c r="BB106" s="697"/>
      <c r="BC106" s="697" t="str">
        <f>IFERROR(__xludf.DUMMYFUNCTION("""COMPUTED_VALUE"""),"Microfilarial repopulation was significantly slower over an 18-month period after multiple doses compared to a single dose.")</f>
        <v>Microfilarial repopulation was significantly slower over an 18-month period after multiple doses compared to a single dose.</v>
      </c>
      <c r="BD106" s="697" t="str">
        <f>IFERROR(__xludf.DUMMYFUNCTION("""COMPUTED_VALUE"""),"About 65% of those randomized to treatment at the outset of the study in the two villages surveyed attended the sixth survey.")</f>
        <v>About 65% of those randomized to treatment at the outset of the study in the two villages surveyed attended the sixth survey.</v>
      </c>
      <c r="BE106" s="697"/>
      <c r="BF106" s="697" t="str">
        <f>IFERROR(__xludf.DUMMYFUNCTION("""COMPUTED_VALUE"""),"Exact (g) of dosage")</f>
        <v>Exact (g) of dosage</v>
      </c>
      <c r="BG106" s="697"/>
    </row>
    <row r="107">
      <c r="A107" s="697"/>
      <c r="B107" s="697" t="str">
        <f>IFERROR(__xludf.DUMMYFUNCTION("""COMPUTED_VALUE"""),"Whitworth et al.")</f>
        <v>Whitworth et al.</v>
      </c>
      <c r="C107" s="697" t="str">
        <f>IFERROR(__xludf.DUMMYFUNCTION("""COMPUTED_VALUE"""),"Sierra Leone")</f>
        <v>Sierra Leone</v>
      </c>
      <c r="D107" s="697" t="str">
        <f>IFERROR(__xludf.DUMMYFUNCTION("""COMPUTED_VALUE"""),"Ivermectin")</f>
        <v>Ivermectin</v>
      </c>
      <c r="E107" s="697" t="str">
        <f>IFERROR(__xludf.DUMMYFUNCTION("""COMPUTED_VALUE"""),"150 ug/kg")</f>
        <v>150 ug/kg</v>
      </c>
      <c r="F107" s="704">
        <f>IFERROR(__xludf.DUMMYFUNCTION("""COMPUTED_VALUE"""),42405.0)</f>
        <v>42405</v>
      </c>
      <c r="G107" s="697" t="str">
        <f>IFERROR(__xludf.DUMMYFUNCTION("""COMPUTED_VALUE"""),"300ug/kg- 750 ug/kg")</f>
        <v>300ug/kg- 750 ug/kg</v>
      </c>
      <c r="H107" s="697"/>
      <c r="I107" s="697"/>
      <c r="J107" s="697"/>
      <c r="K107" s="697"/>
      <c r="L107" s="697"/>
      <c r="M107" s="697"/>
      <c r="N107" s="697"/>
      <c r="O107" s="697"/>
      <c r="P107" s="697"/>
      <c r="Q107" s="697"/>
      <c r="R107" s="697"/>
      <c r="S107" s="698">
        <f>IFERROR(__xludf.DUMMYFUNCTION("""COMPUTED_VALUE"""),0.776)</f>
        <v>0.776</v>
      </c>
      <c r="T107" s="697"/>
      <c r="U107" s="697"/>
      <c r="V107" s="697"/>
      <c r="W107" s="698">
        <f>IFERROR(__xludf.DUMMYFUNCTION("""COMPUTED_VALUE"""),0.894)</f>
        <v>0.894</v>
      </c>
      <c r="X107" s="698">
        <f>IFERROR(__xludf.DUMMYFUNCTION("""COMPUTED_VALUE"""),0.9667)</f>
        <v>0.9667</v>
      </c>
      <c r="Y107" s="697"/>
      <c r="Z107" s="698">
        <f>IFERROR(__xludf.DUMMYFUNCTION("""COMPUTED_VALUE"""),0.9537)</f>
        <v>0.9537</v>
      </c>
      <c r="AA107" s="697"/>
      <c r="AB107" s="698">
        <f>IFERROR(__xludf.DUMMYFUNCTION("""COMPUTED_VALUE"""),0.724)</f>
        <v>0.724</v>
      </c>
      <c r="AC107" s="697"/>
      <c r="AD107" s="697"/>
      <c r="AE107" s="697" t="str">
        <f>IFERROR(__xludf.DUMMYFUNCTION("""COMPUTED_VALUE"""),"n/a")</f>
        <v>n/a</v>
      </c>
      <c r="AF107" s="697"/>
      <c r="AG107" s="697"/>
      <c r="AH107" s="697"/>
      <c r="AI107" s="697"/>
      <c r="AJ107" s="697"/>
      <c r="AK107" s="697"/>
      <c r="AL107" s="697"/>
      <c r="AM107" s="697"/>
      <c r="AN107" s="698">
        <f>IFERROR(__xludf.DUMMYFUNCTION("""COMPUTED_VALUE"""),0.776)</f>
        <v>0.776</v>
      </c>
      <c r="AO107" s="698">
        <f>IFERROR(__xludf.DUMMYFUNCTION("""COMPUTED_VALUE"""),0.776)</f>
        <v>0.776</v>
      </c>
      <c r="AP107" s="697" t="str">
        <f>IFERROR(__xludf.DUMMYFUNCTION("""COMPUTED_VALUE"""),"Mf reduction")</f>
        <v>Mf reduction</v>
      </c>
      <c r="AQ107" s="697" t="str">
        <f>IFERROR(__xludf.DUMMYFUNCTION("""COMPUTED_VALUE"""),"Bo, Sierra Leone")</f>
        <v>Bo, Sierra Leone</v>
      </c>
      <c r="AR107" s="697">
        <f>IFERROR(__xludf.DUMMYFUNCTION("""COMPUTED_VALUE"""),1987.0)</f>
        <v>1987</v>
      </c>
      <c r="AS107" s="697">
        <f>IFERROR(__xludf.DUMMYFUNCTION("""COMPUTED_VALUE"""),166.0)</f>
        <v>166</v>
      </c>
      <c r="AT107" s="697" t="str">
        <f>IFERROR(__xludf.DUMMYFUNCTION("""COMPUTED_VALUE"""),"3.5 years")</f>
        <v>3.5 years</v>
      </c>
      <c r="AU107" s="699" t="str">
        <f>IFERROR(__xludf.DUMMYFUNCTION("""COMPUTED_VALUE"""),"Whitworth, J.A.G.; Downham, M.D.; Lahai, G.; Maude, G.H. (1996) A community trial of ivermectin for onchocerciasis in Sierra Leone: compliance and parasitological profiles after three and a half years of intervention. Tropical Medicine and International H"&amp;"ealthy 1(1): 52-58.")</f>
        <v>Whitworth, J.A.G.; Downham, M.D.; Lahai, G.; Maude, G.H. (1996) A community trial of ivermectin for onchocerciasis in Sierra Leone: compliance and parasitological profiles after three and a half years of intervention. Tropical Medicine and International Healthy 1(1): 52-58.</v>
      </c>
      <c r="AV107" s="697" t="str">
        <f>IFERROR(__xludf.DUMMYFUNCTION("""COMPUTED_VALUE"""),"72 M, 94 F")</f>
        <v>72 M, 94 F</v>
      </c>
      <c r="AW107" s="697" t="str">
        <f>IFERROR(__xludf.DUMMYFUNCTION("""COMPUTED_VALUE"""),"5-40+ years old")</f>
        <v>5-40+ years old</v>
      </c>
      <c r="AX107" s="697"/>
      <c r="AY107" s="697" t="str">
        <f>IFERROR(__xludf.DUMMYFUNCTION("""COMPUTED_VALUE"""),"Yes")</f>
        <v>Yes</v>
      </c>
      <c r="AZ107" s="697" t="str">
        <f>IFERROR(__xludf.DUMMYFUNCTION("""COMPUTED_VALUE"""),"Yes")</f>
        <v>Yes</v>
      </c>
      <c r="BA107" s="697"/>
      <c r="BB107" s="697"/>
      <c r="BC107" s="697" t="str">
        <f>IFERROR(__xludf.DUMMYFUNCTION("""COMPUTED_VALUE"""),"Microfilarial repopulation was significantly slower over an 18-month period after multiple doses compared to a single dose.")</f>
        <v>Microfilarial repopulation was significantly slower over an 18-month period after multiple doses compared to a single dose.</v>
      </c>
      <c r="BD107" s="697" t="str">
        <f>IFERROR(__xludf.DUMMYFUNCTION("""COMPUTED_VALUE"""),"About 65% of those randomized to treatment at the outset of the study in the two villages surveyed attended the sixth survey.")</f>
        <v>About 65% of those randomized to treatment at the outset of the study in the two villages surveyed attended the sixth survey.</v>
      </c>
      <c r="BE107" s="697"/>
      <c r="BF107" s="697"/>
      <c r="BG107" s="697"/>
    </row>
    <row r="108">
      <c r="A108" s="697"/>
      <c r="B108" s="697" t="str">
        <f>IFERROR(__xludf.DUMMYFUNCTION("""COMPUTED_VALUE"""),"Anderson &amp; Fugslang")</f>
        <v>Anderson &amp; Fugslang</v>
      </c>
      <c r="C108" s="697" t="str">
        <f>IFERROR(__xludf.DUMMYFUNCTION("""COMPUTED_VALUE"""),"Cameroon")</f>
        <v>Cameroon</v>
      </c>
      <c r="D108" s="697" t="str">
        <f>IFERROR(__xludf.DUMMYFUNCTION("""COMPUTED_VALUE"""),"Bethamethason &amp; DEC &amp; Suramin")</f>
        <v>Bethamethason &amp; DEC &amp; Suramin</v>
      </c>
      <c r="E108" s="697" t="str">
        <f>IFERROR(__xludf.DUMMYFUNCTION("""COMPUTED_VALUE"""),"1.5mg ;25 mg, 150-200 mg, 200mg;  4.5 g")</f>
        <v>1.5mg ;25 mg, 150-200 mg, 200mg;  4.5 g</v>
      </c>
      <c r="F108" s="697" t="str">
        <f>IFERROR(__xludf.DUMMYFUNCTION("""COMPUTED_VALUE"""),"1;1; 28;1")</f>
        <v>1;1; 28;1</v>
      </c>
      <c r="G108" s="697" t="str">
        <f>IFERROR(__xludf.DUMMYFUNCTION("""COMPUTED_VALUE"""),"6mg; 2450mg ;4.5g")</f>
        <v>6mg; 2450mg ;4.5g</v>
      </c>
      <c r="H108" s="697"/>
      <c r="I108" s="697"/>
      <c r="J108" s="697"/>
      <c r="K108" s="697"/>
      <c r="L108" s="697"/>
      <c r="M108" s="697"/>
      <c r="N108" s="697"/>
      <c r="O108" s="697"/>
      <c r="P108" s="697"/>
      <c r="Q108" s="697"/>
      <c r="R108" s="697"/>
      <c r="S108" s="697"/>
      <c r="T108" s="697"/>
      <c r="U108" s="697"/>
      <c r="V108" s="697"/>
      <c r="W108" s="700">
        <f>IFERROR(__xludf.DUMMYFUNCTION("""COMPUTED_VALUE"""),0.96)</f>
        <v>0.96</v>
      </c>
      <c r="X108" s="697"/>
      <c r="Y108" s="697"/>
      <c r="Z108" s="700">
        <f>IFERROR(__xludf.DUMMYFUNCTION("""COMPUTED_VALUE"""),0.95)</f>
        <v>0.95</v>
      </c>
      <c r="AA108" s="697"/>
      <c r="AB108" s="700">
        <f>IFERROR(__xludf.DUMMYFUNCTION("""COMPUTED_VALUE"""),0.94)</f>
        <v>0.94</v>
      </c>
      <c r="AC108" s="697"/>
      <c r="AD108" s="697"/>
      <c r="AE108" s="697" t="str">
        <f>IFERROR(__xludf.DUMMYFUNCTION("""COMPUTED_VALUE"""),"n/a")</f>
        <v>n/a</v>
      </c>
      <c r="AF108" s="697"/>
      <c r="AG108" s="697"/>
      <c r="AH108" s="697"/>
      <c r="AI108" s="697"/>
      <c r="AJ108" s="697"/>
      <c r="AK108" s="697"/>
      <c r="AL108" s="697"/>
      <c r="AM108" s="697"/>
      <c r="AN108" s="700">
        <f>IFERROR(__xludf.DUMMYFUNCTION("""COMPUTED_VALUE"""),0.96)</f>
        <v>0.96</v>
      </c>
      <c r="AO108" s="698">
        <f>IFERROR(__xludf.DUMMYFUNCTION("""COMPUTED_VALUE"""),0.96)</f>
        <v>0.96</v>
      </c>
      <c r="AP108" s="697" t="str">
        <f>IFERROR(__xludf.DUMMYFUNCTION("""COMPUTED_VALUE"""),"Mf reduction")</f>
        <v>Mf reduction</v>
      </c>
      <c r="AQ108" s="697" t="str">
        <f>IFERROR(__xludf.DUMMYFUNCTION("""COMPUTED_VALUE"""),"Touboro, Cameroon")</f>
        <v>Touboro, Cameroon</v>
      </c>
      <c r="AR108" s="697">
        <f>IFERROR(__xludf.DUMMYFUNCTION("""COMPUTED_VALUE"""),1978.0)</f>
        <v>1978</v>
      </c>
      <c r="AS108" s="697">
        <f>IFERROR(__xludf.DUMMYFUNCTION("""COMPUTED_VALUE"""),10.0)</f>
        <v>10</v>
      </c>
      <c r="AT108" s="697" t="str">
        <f>IFERROR(__xludf.DUMMYFUNCTION("""COMPUTED_VALUE"""),"4 years")</f>
        <v>4 years</v>
      </c>
      <c r="AU108" s="699" t="str">
        <f>IFERROR(__xludf.DUMMYFUNCTION("""COMPUTED_VALUE"""),"Anderson, J. &amp; Fuglsang, H. (1978) Further studies on the treatment of occular onchocerciasis with diethylcarbamazine and suramin. British Journal of Ophthalmology 62: 450-457.")</f>
        <v>Anderson, J. &amp; Fuglsang, H. (1978) Further studies on the treatment of occular onchocerciasis with diethylcarbamazine and suramin. British Journal of Ophthalmology 62: 450-457.</v>
      </c>
      <c r="AV108" s="697" t="str">
        <f>IFERROR(__xludf.DUMMYFUNCTION("""COMPUTED_VALUE"""),"Total: 45 M, 9 F")</f>
        <v>Total: 45 M, 9 F</v>
      </c>
      <c r="AW108" s="697" t="str">
        <f>IFERROR(__xludf.DUMMYFUNCTION("""COMPUTED_VALUE"""),"8-50 years old")</f>
        <v>8-50 years old</v>
      </c>
      <c r="AX108" s="697"/>
      <c r="AY108" s="697" t="str">
        <f>IFERROR(__xludf.DUMMYFUNCTION("""COMPUTED_VALUE"""),"No")</f>
        <v>No</v>
      </c>
      <c r="AZ108" s="697" t="str">
        <f>IFERROR(__xludf.DUMMYFUNCTION("""COMPUTED_VALUE"""),"No")</f>
        <v>No</v>
      </c>
      <c r="BA108" s="697"/>
      <c r="BB108" s="697"/>
      <c r="BC108" s="697" t="str">
        <f>IFERROR(__xludf.DUMMYFUNCTION("""COMPUTED_VALUE"""),"It was found possible to rid these heavily infected patients of most of their microfilariae without intolerable side effects with DEC and then Suramin, which was generally well accepted except in 1 case.")</f>
        <v>It was found possible to rid these heavily infected patients of most of their microfilariae without intolerable side effects with DEC and then Suramin, which was generally well accepted except in 1 case.</v>
      </c>
      <c r="BD108" s="697" t="str">
        <f>IFERROR(__xludf.DUMMYFUNCTION("""COMPUTED_VALUE"""),"5 of the group IV patients received 3 g of Suramin because of absenteeism.")</f>
        <v>5 of the group IV patients received 3 g of Suramin because of absenteeism.</v>
      </c>
      <c r="BE108" s="697" t="str">
        <f>IFERROR(__xludf.DUMMYFUNCTION("""COMPUTED_VALUE"""),"Patients under the age of 10 received half dosage. Ten patients (GroupI) also received 200 mg DEC per week for 12 weeks after the initial DEC course but before Suramin. An average adult received a ful gramme of suramin at each weekly injection,but young, "&amp;"small, or thin patients (less than 50kg) received an amount corresponding to weight. In Groups I and II the patients only received a half dose at the initial injection.")</f>
        <v>Patients under the age of 10 received half dosage. Ten patients (GroupI) also received 200 mg DEC per week for 12 weeks after the initial DEC course but before Suramin. An average adult received a ful gramme of suramin at each weekly injection,but young, small, or thin patients (less than 50kg) received an amount corresponding to weight. In Groups I and II the patients only received a half dose at the initial injection.</v>
      </c>
      <c r="BF108" s="697"/>
      <c r="BG108" s="697"/>
    </row>
    <row r="109">
      <c r="A109" s="697"/>
      <c r="B109" s="697" t="str">
        <f>IFERROR(__xludf.DUMMYFUNCTION("""COMPUTED_VALUE"""),"Anderson &amp; Fugslang")</f>
        <v>Anderson &amp; Fugslang</v>
      </c>
      <c r="C109" s="697" t="str">
        <f>IFERROR(__xludf.DUMMYFUNCTION("""COMPUTED_VALUE"""),"Cameroon")</f>
        <v>Cameroon</v>
      </c>
      <c r="D109" s="697" t="str">
        <f>IFERROR(__xludf.DUMMYFUNCTION("""COMPUTED_VALUE"""),"Bethamethason &amp; DEC &amp; Suramin")</f>
        <v>Bethamethason &amp; DEC &amp; Suramin</v>
      </c>
      <c r="E109" s="697" t="str">
        <f>IFERROR(__xludf.DUMMYFUNCTION("""COMPUTED_VALUE"""),"1.5 mg; 25 mg,150-200 mg; 4.5 g ")</f>
        <v>1.5 mg; 25 mg,150-200 mg; 4.5 g </v>
      </c>
      <c r="F109" s="697" t="str">
        <f>IFERROR(__xludf.DUMMYFUNCTION("""COMPUTED_VALUE"""),"1;1,28,1")</f>
        <v>1;1,28,1</v>
      </c>
      <c r="G109" s="697" t="str">
        <f>IFERROR(__xludf.DUMMYFUNCTION("""COMPUTED_VALUE"""),"6mg; 2250mg;4.5g")</f>
        <v>6mg; 2250mg;4.5g</v>
      </c>
      <c r="H109" s="697"/>
      <c r="I109" s="697"/>
      <c r="J109" s="697"/>
      <c r="K109" s="697"/>
      <c r="L109" s="697"/>
      <c r="M109" s="697"/>
      <c r="N109" s="697"/>
      <c r="O109" s="697"/>
      <c r="P109" s="697"/>
      <c r="Q109" s="697"/>
      <c r="R109" s="697"/>
      <c r="S109" s="697"/>
      <c r="T109" s="697"/>
      <c r="U109" s="697"/>
      <c r="V109" s="697"/>
      <c r="W109" s="700">
        <f>IFERROR(__xludf.DUMMYFUNCTION("""COMPUTED_VALUE"""),0.92)</f>
        <v>0.92</v>
      </c>
      <c r="X109" s="697"/>
      <c r="Y109" s="697"/>
      <c r="Z109" s="700">
        <f>IFERROR(__xludf.DUMMYFUNCTION("""COMPUTED_VALUE"""),0.87)</f>
        <v>0.87</v>
      </c>
      <c r="AA109" s="697"/>
      <c r="AB109" s="700">
        <f>IFERROR(__xludf.DUMMYFUNCTION("""COMPUTED_VALUE"""),0.92)</f>
        <v>0.92</v>
      </c>
      <c r="AC109" s="700">
        <f>IFERROR(__xludf.DUMMYFUNCTION("""COMPUTED_VALUE"""),0.9)</f>
        <v>0.9</v>
      </c>
      <c r="AD109" s="697"/>
      <c r="AE109" s="697" t="str">
        <f>IFERROR(__xludf.DUMMYFUNCTION("""COMPUTED_VALUE"""),"n/a")</f>
        <v>n/a</v>
      </c>
      <c r="AF109" s="697"/>
      <c r="AG109" s="697"/>
      <c r="AH109" s="697"/>
      <c r="AI109" s="697"/>
      <c r="AJ109" s="697"/>
      <c r="AK109" s="697"/>
      <c r="AL109" s="697"/>
      <c r="AM109" s="697"/>
      <c r="AN109" s="700">
        <f>IFERROR(__xludf.DUMMYFUNCTION("""COMPUTED_VALUE"""),0.92)</f>
        <v>0.92</v>
      </c>
      <c r="AO109" s="698">
        <f>IFERROR(__xludf.DUMMYFUNCTION("""COMPUTED_VALUE"""),0.92)</f>
        <v>0.92</v>
      </c>
      <c r="AP109" s="697" t="str">
        <f>IFERROR(__xludf.DUMMYFUNCTION("""COMPUTED_VALUE"""),"Mf reduction")</f>
        <v>Mf reduction</v>
      </c>
      <c r="AQ109" s="697" t="str">
        <f>IFERROR(__xludf.DUMMYFUNCTION("""COMPUTED_VALUE"""),"Touboro, Cameroon")</f>
        <v>Touboro, Cameroon</v>
      </c>
      <c r="AR109" s="697">
        <f>IFERROR(__xludf.DUMMYFUNCTION("""COMPUTED_VALUE"""),1978.0)</f>
        <v>1978</v>
      </c>
      <c r="AS109" s="697">
        <f>IFERROR(__xludf.DUMMYFUNCTION("""COMPUTED_VALUE"""),12.0)</f>
        <v>12</v>
      </c>
      <c r="AT109" s="697" t="str">
        <f>IFERROR(__xludf.DUMMYFUNCTION("""COMPUTED_VALUE"""),"4 years")</f>
        <v>4 years</v>
      </c>
      <c r="AU109" s="699" t="str">
        <f>IFERROR(__xludf.DUMMYFUNCTION("""COMPUTED_VALUE"""),"Anderson, J. &amp; Fuglsang, H. (1978) Further studies on the treatment of occular onchocerciasis with diethylcarbamazine and suramin. British Journal of Ophthalmology 62: 450-457.")</f>
        <v>Anderson, J. &amp; Fuglsang, H. (1978) Further studies on the treatment of occular onchocerciasis with diethylcarbamazine and suramin. British Journal of Ophthalmology 62: 450-457.</v>
      </c>
      <c r="AV109" s="697" t="str">
        <f>IFERROR(__xludf.DUMMYFUNCTION("""COMPUTED_VALUE"""),"Total: 45 M, 9 F")</f>
        <v>Total: 45 M, 9 F</v>
      </c>
      <c r="AW109" s="697" t="str">
        <f>IFERROR(__xludf.DUMMYFUNCTION("""COMPUTED_VALUE"""),"8-50 years old")</f>
        <v>8-50 years old</v>
      </c>
      <c r="AX109" s="697"/>
      <c r="AY109" s="697" t="str">
        <f>IFERROR(__xludf.DUMMYFUNCTION("""COMPUTED_VALUE"""),"No")</f>
        <v>No</v>
      </c>
      <c r="AZ109" s="697" t="str">
        <f>IFERROR(__xludf.DUMMYFUNCTION("""COMPUTED_VALUE"""),"No")</f>
        <v>No</v>
      </c>
      <c r="BA109" s="697"/>
      <c r="BB109" s="697"/>
      <c r="BC109" s="697" t="str">
        <f>IFERROR(__xludf.DUMMYFUNCTION("""COMPUTED_VALUE"""),"It was found possible to rid these heavily infected patients of most of their microfilariae without intolerable side effects with DEC and then Suramin, which was generally well accepted except in 1 case.")</f>
        <v>It was found possible to rid these heavily infected patients of most of their microfilariae without intolerable side effects with DEC and then Suramin, which was generally well accepted except in 1 case.</v>
      </c>
      <c r="BD109" s="697" t="str">
        <f>IFERROR(__xludf.DUMMYFUNCTION("""COMPUTED_VALUE"""),"6 of the group IV patients received 3 g of Suramin because of absenteeism.")</f>
        <v>6 of the group IV patients received 3 g of Suramin because of absenteeism.</v>
      </c>
      <c r="BE109" s="697" t="str">
        <f>IFERROR(__xludf.DUMMYFUNCTION("""COMPUTED_VALUE"""),"Patients under the age of 10 received half dosage. Ten patients (GroupI) also received 200 mg DEC per week for 12 weeks after the initial DEC course but before Suramin. An average adult received a ful gramme of suramin at each weekly injection,but young, "&amp;"small, or thin patients (less than 50kg) received an amount corresponding to weight. In Groups I and II the patients only received a half dose at the initial injection.")</f>
        <v>Patients under the age of 10 received half dosage. Ten patients (GroupI) also received 200 mg DEC per week for 12 weeks after the initial DEC course but before Suramin. An average adult received a ful gramme of suramin at each weekly injection,but young, small, or thin patients (less than 50kg) received an amount corresponding to weight. In Groups I and II the patients only received a half dose at the initial injection.</v>
      </c>
      <c r="BF109" s="697"/>
      <c r="BG109" s="697"/>
    </row>
    <row r="110">
      <c r="A110" s="697"/>
      <c r="B110" s="697" t="str">
        <f>IFERROR(__xludf.DUMMYFUNCTION("""COMPUTED_VALUE"""),"Anderson &amp; Fugslang")</f>
        <v>Anderson &amp; Fugslang</v>
      </c>
      <c r="C110" s="697" t="str">
        <f>IFERROR(__xludf.DUMMYFUNCTION("""COMPUTED_VALUE"""),"Cameroon")</f>
        <v>Cameroon</v>
      </c>
      <c r="D110" s="697" t="str">
        <f>IFERROR(__xludf.DUMMYFUNCTION("""COMPUTED_VALUE"""),"Bethamethason &amp; DEC &amp; Suramin")</f>
        <v>Bethamethason &amp; DEC &amp; Suramin</v>
      </c>
      <c r="E110" s="697" t="str">
        <f>IFERROR(__xludf.DUMMYFUNCTION("""COMPUTED_VALUE"""),"1.5mg ;25 mg, 150-200 mg; 4.0 g ")</f>
        <v>1.5mg ;25 mg, 150-200 mg; 4.0 g </v>
      </c>
      <c r="F110" s="697" t="str">
        <f>IFERROR(__xludf.DUMMYFUNCTION("""COMPUTED_VALUE"""),"1;1;28; 1")</f>
        <v>1;1;28; 1</v>
      </c>
      <c r="G110" s="697" t="str">
        <f>IFERROR(__xludf.DUMMYFUNCTION("""COMPUTED_VALUE"""),"6mg; 2250mg;4g")</f>
        <v>6mg; 2250mg;4g</v>
      </c>
      <c r="H110" s="697"/>
      <c r="I110" s="697"/>
      <c r="J110" s="697"/>
      <c r="K110" s="697"/>
      <c r="L110" s="697"/>
      <c r="M110" s="697"/>
      <c r="N110" s="697"/>
      <c r="O110" s="697"/>
      <c r="P110" s="697"/>
      <c r="Q110" s="697"/>
      <c r="R110" s="697"/>
      <c r="S110" s="697"/>
      <c r="T110" s="700">
        <f>IFERROR(__xludf.DUMMYFUNCTION("""COMPUTED_VALUE"""),0.91)</f>
        <v>0.91</v>
      </c>
      <c r="U110" s="697"/>
      <c r="V110" s="697"/>
      <c r="W110" s="697"/>
      <c r="X110" s="697"/>
      <c r="Y110" s="697"/>
      <c r="Z110" s="700">
        <f>IFERROR(__xludf.DUMMYFUNCTION("""COMPUTED_VALUE"""),0.95)</f>
        <v>0.95</v>
      </c>
      <c r="AA110" s="697"/>
      <c r="AB110" s="697"/>
      <c r="AC110" s="697"/>
      <c r="AD110" s="697"/>
      <c r="AE110" s="697" t="str">
        <f>IFERROR(__xludf.DUMMYFUNCTION("""COMPUTED_VALUE"""),"n/a")</f>
        <v>n/a</v>
      </c>
      <c r="AF110" s="697"/>
      <c r="AG110" s="697"/>
      <c r="AH110" s="697"/>
      <c r="AI110" s="697"/>
      <c r="AJ110" s="697"/>
      <c r="AK110" s="697"/>
      <c r="AL110" s="697"/>
      <c r="AM110" s="697"/>
      <c r="AN110" s="700">
        <f>IFERROR(__xludf.DUMMYFUNCTION("""COMPUTED_VALUE"""),0.91)</f>
        <v>0.91</v>
      </c>
      <c r="AO110" s="698">
        <f>IFERROR(__xludf.DUMMYFUNCTION("""COMPUTED_VALUE"""),0.91)</f>
        <v>0.91</v>
      </c>
      <c r="AP110" s="697" t="str">
        <f>IFERROR(__xludf.DUMMYFUNCTION("""COMPUTED_VALUE"""),"Mf reduction")</f>
        <v>Mf reduction</v>
      </c>
      <c r="AQ110" s="697" t="str">
        <f>IFERROR(__xludf.DUMMYFUNCTION("""COMPUTED_VALUE"""),"Touboro, Cameroon")</f>
        <v>Touboro, Cameroon</v>
      </c>
      <c r="AR110" s="697">
        <f>IFERROR(__xludf.DUMMYFUNCTION("""COMPUTED_VALUE"""),1978.0)</f>
        <v>1978</v>
      </c>
      <c r="AS110" s="697">
        <f>IFERROR(__xludf.DUMMYFUNCTION("""COMPUTED_VALUE"""),26.0)</f>
        <v>26</v>
      </c>
      <c r="AT110" s="697" t="str">
        <f>IFERROR(__xludf.DUMMYFUNCTION("""COMPUTED_VALUE"""),"4 years")</f>
        <v>4 years</v>
      </c>
      <c r="AU110" s="699" t="str">
        <f>IFERROR(__xludf.DUMMYFUNCTION("""COMPUTED_VALUE"""),"Anderson, J. &amp; Fuglsang, H. (1978) Further studies on the treatment of occular onchocerciasis with diethylcarbamazine and suramin. British Journal of Ophthalmology 62: 450-457.")</f>
        <v>Anderson, J. &amp; Fuglsang, H. (1978) Further studies on the treatment of occular onchocerciasis with diethylcarbamazine and suramin. British Journal of Ophthalmology 62: 450-457.</v>
      </c>
      <c r="AV110" s="697" t="str">
        <f>IFERROR(__xludf.DUMMYFUNCTION("""COMPUTED_VALUE"""),"Total: 45 M, 9 F")</f>
        <v>Total: 45 M, 9 F</v>
      </c>
      <c r="AW110" s="697" t="str">
        <f>IFERROR(__xludf.DUMMYFUNCTION("""COMPUTED_VALUE"""),"8-50 years old")</f>
        <v>8-50 years old</v>
      </c>
      <c r="AX110" s="697"/>
      <c r="AY110" s="697" t="str">
        <f>IFERROR(__xludf.DUMMYFUNCTION("""COMPUTED_VALUE"""),"No")</f>
        <v>No</v>
      </c>
      <c r="AZ110" s="697" t="str">
        <f>IFERROR(__xludf.DUMMYFUNCTION("""COMPUTED_VALUE"""),"No")</f>
        <v>No</v>
      </c>
      <c r="BA110" s="697"/>
      <c r="BB110" s="697"/>
      <c r="BC110" s="697" t="str">
        <f>IFERROR(__xludf.DUMMYFUNCTION("""COMPUTED_VALUE"""),"It was found possible to rid these heavily infected patients of most of their microfilariae without intolerable side effects with DEC and then Suramin, which was generally well accepted except in 1 case.")</f>
        <v>It was found possible to rid these heavily infected patients of most of their microfilariae without intolerable side effects with DEC and then Suramin, which was generally well accepted except in 1 case.</v>
      </c>
      <c r="BD110" s="697" t="str">
        <f>IFERROR(__xludf.DUMMYFUNCTION("""COMPUTED_VALUE"""),"7 of the group IV patients received 3 g of Suramin because of absenteeism.")</f>
        <v>7 of the group IV patients received 3 g of Suramin because of absenteeism.</v>
      </c>
      <c r="BE110" s="697" t="str">
        <f>IFERROR(__xludf.DUMMYFUNCTION("""COMPUTED_VALUE"""),"Patients under the age of 10 received half dosage. Ten patients (GroupI) also received 200 mg DEC per week for 12 weeks after the initial DEC course but before Suramin. An average adult received a ful gramme of suramin at each weekly injection,but young, "&amp;"small, or thin patients (less than 50kg) received an amount corresponding to weight. In Groups I and II the patients only received a half dose at the initial injection.")</f>
        <v>Patients under the age of 10 received half dosage. Ten patients (GroupI) also received 200 mg DEC per week for 12 weeks after the initial DEC course but before Suramin. An average adult received a ful gramme of suramin at each weekly injection,but young, small, or thin patients (less than 50kg) received an amount corresponding to weight. In Groups I and II the patients only received a half dose at the initial injection.</v>
      </c>
      <c r="BF110" s="697"/>
      <c r="BG110" s="697"/>
    </row>
    <row r="111">
      <c r="A111" s="697"/>
      <c r="B111" s="697" t="str">
        <f>IFERROR(__xludf.DUMMYFUNCTION("""COMPUTED_VALUE"""),"Anderson &amp; Fugslang")</f>
        <v>Anderson &amp; Fugslang</v>
      </c>
      <c r="C111" s="697" t="str">
        <f>IFERROR(__xludf.DUMMYFUNCTION("""COMPUTED_VALUE"""),"Cameroon")</f>
        <v>Cameroon</v>
      </c>
      <c r="D111" s="697" t="str">
        <f>IFERROR(__xludf.DUMMYFUNCTION("""COMPUTED_VALUE"""),"Bethamethason &amp; DEC &amp; Suramin")</f>
        <v>Bethamethason &amp; DEC &amp; Suramin</v>
      </c>
      <c r="E111" s="697" t="str">
        <f>IFERROR(__xludf.DUMMYFUNCTION("""COMPUTED_VALUE"""),"1.5 mg; 25 mg, 150-200 mg , 3.0 g ")</f>
        <v>1.5 mg; 25 mg, 150-200 mg , 3.0 g </v>
      </c>
      <c r="F111" s="697" t="str">
        <f>IFERROR(__xludf.DUMMYFUNCTION("""COMPUTED_VALUE"""),"1;1;28; 1")</f>
        <v>1;1;28; 1</v>
      </c>
      <c r="G111" s="697" t="str">
        <f>IFERROR(__xludf.DUMMYFUNCTION("""COMPUTED_VALUE"""),"6mg; 2250mg;3g")</f>
        <v>6mg; 2250mg;3g</v>
      </c>
      <c r="H111" s="697"/>
      <c r="I111" s="697"/>
      <c r="J111" s="697"/>
      <c r="K111" s="697"/>
      <c r="L111" s="697"/>
      <c r="M111" s="697"/>
      <c r="N111" s="697"/>
      <c r="O111" s="697"/>
      <c r="P111" s="697"/>
      <c r="Q111" s="697"/>
      <c r="R111" s="697"/>
      <c r="S111" s="697"/>
      <c r="T111" s="697"/>
      <c r="U111" s="697"/>
      <c r="V111" s="697"/>
      <c r="W111" s="700">
        <f>IFERROR(__xludf.DUMMYFUNCTION("""COMPUTED_VALUE"""),0.77)</f>
        <v>0.77</v>
      </c>
      <c r="X111" s="697"/>
      <c r="Y111" s="697"/>
      <c r="Z111" s="697"/>
      <c r="AA111" s="697"/>
      <c r="AB111" s="697"/>
      <c r="AC111" s="697"/>
      <c r="AD111" s="697"/>
      <c r="AE111" s="697" t="str">
        <f>IFERROR(__xludf.DUMMYFUNCTION("""COMPUTED_VALUE"""),"n/a")</f>
        <v>n/a</v>
      </c>
      <c r="AF111" s="697"/>
      <c r="AG111" s="697"/>
      <c r="AH111" s="697"/>
      <c r="AI111" s="697"/>
      <c r="AJ111" s="697"/>
      <c r="AK111" s="697"/>
      <c r="AL111" s="697"/>
      <c r="AM111" s="697"/>
      <c r="AN111" s="700">
        <f>IFERROR(__xludf.DUMMYFUNCTION("""COMPUTED_VALUE"""),0.77)</f>
        <v>0.77</v>
      </c>
      <c r="AO111" s="698">
        <f>IFERROR(__xludf.DUMMYFUNCTION("""COMPUTED_VALUE"""),0.77)</f>
        <v>0.77</v>
      </c>
      <c r="AP111" s="697" t="str">
        <f>IFERROR(__xludf.DUMMYFUNCTION("""COMPUTED_VALUE"""),"Mf reduction")</f>
        <v>Mf reduction</v>
      </c>
      <c r="AQ111" s="697" t="str">
        <f>IFERROR(__xludf.DUMMYFUNCTION("""COMPUTED_VALUE"""),"Touboro, Cameroon")</f>
        <v>Touboro, Cameroon</v>
      </c>
      <c r="AR111" s="697">
        <f>IFERROR(__xludf.DUMMYFUNCTION("""COMPUTED_VALUE"""),1978.0)</f>
        <v>1978</v>
      </c>
      <c r="AS111" s="697">
        <f>IFERROR(__xludf.DUMMYFUNCTION("""COMPUTED_VALUE"""),6.0)</f>
        <v>6</v>
      </c>
      <c r="AT111" s="697" t="str">
        <f>IFERROR(__xludf.DUMMYFUNCTION("""COMPUTED_VALUE"""),"4 years")</f>
        <v>4 years</v>
      </c>
      <c r="AU111" s="699" t="str">
        <f>IFERROR(__xludf.DUMMYFUNCTION("""COMPUTED_VALUE"""),"Anderson, J. &amp; Fuglsang, H. (1978) Further studies on the treatment of occular onchocerciasis with diethylcarbamazine and suramin. British Journal of Ophthalmology 62: 450-457.")</f>
        <v>Anderson, J. &amp; Fuglsang, H. (1978) Further studies on the treatment of occular onchocerciasis with diethylcarbamazine and suramin. British Journal of Ophthalmology 62: 450-457.</v>
      </c>
      <c r="AV111" s="697" t="str">
        <f>IFERROR(__xludf.DUMMYFUNCTION("""COMPUTED_VALUE"""),"Total: 45 M, 9 F")</f>
        <v>Total: 45 M, 9 F</v>
      </c>
      <c r="AW111" s="697" t="str">
        <f>IFERROR(__xludf.DUMMYFUNCTION("""COMPUTED_VALUE"""),"8-50 years old")</f>
        <v>8-50 years old</v>
      </c>
      <c r="AX111" s="697"/>
      <c r="AY111" s="697" t="str">
        <f>IFERROR(__xludf.DUMMYFUNCTION("""COMPUTED_VALUE"""),"No")</f>
        <v>No</v>
      </c>
      <c r="AZ111" s="697" t="str">
        <f>IFERROR(__xludf.DUMMYFUNCTION("""COMPUTED_VALUE"""),"No")</f>
        <v>No</v>
      </c>
      <c r="BA111" s="697"/>
      <c r="BB111" s="697"/>
      <c r="BC111" s="697" t="str">
        <f>IFERROR(__xludf.DUMMYFUNCTION("""COMPUTED_VALUE"""),"It was found possible to rid these heavily infected patients of most of their microfilariae without intolerable side effects with DEC and then Suramin, which was generally well accepted except in 1 case.")</f>
        <v>It was found possible to rid these heavily infected patients of most of their microfilariae without intolerable side effects with DEC and then Suramin, which was generally well accepted except in 1 case.</v>
      </c>
      <c r="BD111" s="697" t="str">
        <f>IFERROR(__xludf.DUMMYFUNCTION("""COMPUTED_VALUE"""),"8 of the group IV patients received 3 g of Suramin because of absenteeism.")</f>
        <v>8 of the group IV patients received 3 g of Suramin because of absenteeism.</v>
      </c>
      <c r="BE111" s="697" t="str">
        <f>IFERROR(__xludf.DUMMYFUNCTION("""COMPUTED_VALUE"""),"Patients under the age of 10 received half dosage. Ten patients (GroupI) also received 200 mg DEC per week for 12 weeks after the initial DEC course but before Suramin. An average adult received a ful gramme of suramin at each weekly injection,but young, "&amp;"small, or thin patients (less than 50kg) received an amount corresponding to weight. In Groups I and II the patients only received a half dose at the initial injection.")</f>
        <v>Patients under the age of 10 received half dosage. Ten patients (GroupI) also received 200 mg DEC per week for 12 weeks after the initial DEC course but before Suramin. An average adult received a ful gramme of suramin at each weekly injection,but young, small, or thin patients (less than 50kg) received an amount corresponding to weight. In Groups I and II the patients only received a half dose at the initial injection.</v>
      </c>
      <c r="BF111" s="697"/>
      <c r="BG111" s="697"/>
    </row>
    <row r="112">
      <c r="A112" s="697"/>
      <c r="B112" s="697" t="str">
        <f>IFERROR(__xludf.DUMMYFUNCTION("""COMPUTED_VALUE"""),"Awadzi et al.")</f>
        <v>Awadzi et al.</v>
      </c>
      <c r="C112" s="697" t="str">
        <f>IFERROR(__xludf.DUMMYFUNCTION("""COMPUTED_VALUE"""),"Ghana")</f>
        <v>Ghana</v>
      </c>
      <c r="D112" s="697" t="str">
        <f>IFERROR(__xludf.DUMMYFUNCTION("""COMPUTED_VALUE"""),"Ivermectin")</f>
        <v>Ivermectin</v>
      </c>
      <c r="E112" s="697" t="str">
        <f>IFERROR(__xludf.DUMMYFUNCTION("""COMPUTED_VALUE"""),"150 ug/kg")</f>
        <v>150 ug/kg</v>
      </c>
      <c r="F112" s="697">
        <f>IFERROR(__xludf.DUMMYFUNCTION("""COMPUTED_VALUE"""),1.0)</f>
        <v>1</v>
      </c>
      <c r="G112" s="697" t="str">
        <f>IFERROR(__xludf.DUMMYFUNCTION("""COMPUTED_VALUE"""),"150 ug/kg ")</f>
        <v>150 ug/kg </v>
      </c>
      <c r="H112" s="697"/>
      <c r="I112" s="697"/>
      <c r="J112" s="697"/>
      <c r="K112" s="697"/>
      <c r="L112" s="697"/>
      <c r="M112" s="697"/>
      <c r="N112" s="697"/>
      <c r="O112" s="698">
        <f>IFERROR(__xludf.DUMMYFUNCTION("""COMPUTED_VALUE"""),0.997)</f>
        <v>0.997</v>
      </c>
      <c r="P112" s="697"/>
      <c r="Q112" s="698">
        <f>IFERROR(__xludf.DUMMYFUNCTION("""COMPUTED_VALUE"""),0.997)</f>
        <v>0.997</v>
      </c>
      <c r="R112" s="697"/>
      <c r="S112" s="698">
        <f>IFERROR(__xludf.DUMMYFUNCTION("""COMPUTED_VALUE"""),0.979)</f>
        <v>0.979</v>
      </c>
      <c r="T112" s="697"/>
      <c r="U112" s="697"/>
      <c r="V112" s="697"/>
      <c r="W112" s="698">
        <f>IFERROR(__xludf.DUMMYFUNCTION("""COMPUTED_VALUE"""),0.935)</f>
        <v>0.935</v>
      </c>
      <c r="X112" s="697"/>
      <c r="Y112" s="697"/>
      <c r="Z112" s="697"/>
      <c r="AA112" s="697"/>
      <c r="AB112" s="697"/>
      <c r="AC112" s="697"/>
      <c r="AD112" s="697"/>
      <c r="AE112" s="697"/>
      <c r="AF112" s="697"/>
      <c r="AG112" s="697"/>
      <c r="AH112" s="697"/>
      <c r="AI112" s="697"/>
      <c r="AJ112" s="697"/>
      <c r="AK112" s="697"/>
      <c r="AL112" s="697"/>
      <c r="AM112" s="697"/>
      <c r="AN112" s="698">
        <f>IFERROR(__xludf.DUMMYFUNCTION("""COMPUTED_VALUE"""),0.979)</f>
        <v>0.979</v>
      </c>
      <c r="AO112" s="698">
        <f>IFERROR(__xludf.DUMMYFUNCTION("""COMPUTED_VALUE"""),0.979)</f>
        <v>0.979</v>
      </c>
      <c r="AP112" s="697" t="str">
        <f>IFERROR(__xludf.DUMMYFUNCTION("""COMPUTED_VALUE"""),"Mf reduction")</f>
        <v>Mf reduction</v>
      </c>
      <c r="AQ112" s="697" t="str">
        <f>IFERROR(__xludf.DUMMYFUNCTION("""COMPUTED_VALUE"""),"Onchocerciasis Chemotherapy Research Center in Hohoe, Ghana")</f>
        <v>Onchocerciasis Chemotherapy Research Center in Hohoe, Ghana</v>
      </c>
      <c r="AR112" s="697">
        <f>IFERROR(__xludf.DUMMYFUNCTION("""COMPUTED_VALUE"""),1995.0)</f>
        <v>1995</v>
      </c>
      <c r="AS112" s="697">
        <f>IFERROR(__xludf.DUMMYFUNCTION("""COMPUTED_VALUE"""),15.0)</f>
        <v>15</v>
      </c>
      <c r="AT112" s="697" t="str">
        <f>IFERROR(__xludf.DUMMYFUNCTION("""COMPUTED_VALUE"""),"21 Months")</f>
        <v>21 Months</v>
      </c>
      <c r="AU112" s="699" t="str">
        <f>IFERROR(__xludf.DUMMYFUNCTION("""COMPUTED_VALUE"""),"Awadzi, K.; Attah, S.K.; Addy, E.T.; Opoku, N.O.; Quartey, B.T. (1999) The effects of high-dose ivermectin regimens on Onchocerca volvulus in onchocerciasis patients. Transactions of the Royal Society of Tropical Medicine and Hygiene 93: 189-194.")</f>
        <v>Awadzi, K.; Attah, S.K.; Addy, E.T.; Opoku, N.O.; Quartey, B.T. (1999) The effects of high-dose ivermectin regimens on Onchocerca volvulus in onchocerciasis patients. Transactions of the Royal Society of Tropical Medicine and Hygiene 93: 189-194.</v>
      </c>
      <c r="AV112" s="697" t="str">
        <f>IFERROR(__xludf.DUMMYFUNCTION("""COMPUTED_VALUE"""),"M")</f>
        <v>M</v>
      </c>
      <c r="AW112" s="697"/>
      <c r="AX112" s="697"/>
      <c r="AY112" s="697" t="str">
        <f>IFERROR(__xludf.DUMMYFUNCTION("""COMPUTED_VALUE"""),"Yes")</f>
        <v>Yes</v>
      </c>
      <c r="AZ112" s="697" t="str">
        <f>IFERROR(__xludf.DUMMYFUNCTION("""COMPUTED_VALUE"""),"Yes")</f>
        <v>Yes</v>
      </c>
      <c r="BA112" s="697"/>
      <c r="BB112" s="697"/>
      <c r="BC112" s="697" t="str">
        <f>IFERROR(__xludf.DUMMYFUNCTION("""COMPUTED_VALUE"""),"The results may be a function of multiplicities of doages rathe than of the total dose; our findings also suggest that repeated high-dose regimens are unlikely to be more effective than a similar number of 150 ug/kg doses.")</f>
        <v>The results may be a function of multiplicities of doages rathe than of the total dose; our findings also suggest that repeated high-dose regimens are unlikely to be more effective than a similar number of 150 ug/kg doses.</v>
      </c>
      <c r="BD112" s="697" t="str">
        <f>IFERROR(__xludf.DUMMYFUNCTION("""COMPUTED_VALUE"""),"One patient could not be traced after the day 180 follow-up and was eliminated from the study. The data presented relate to the 99 patients who were available at all time points up to day 365.")</f>
        <v>One patient could not be traced after the day 180 follow-up and was eliminated from the study. The data presented relate to the 99 patients who were available at all time points up to day 365.</v>
      </c>
      <c r="BE112" s="697"/>
      <c r="BF112" s="697"/>
      <c r="BG112" s="697"/>
    </row>
    <row r="113">
      <c r="A113" s="697"/>
      <c r="B113" s="697" t="str">
        <f>IFERROR(__xludf.DUMMYFUNCTION("""COMPUTED_VALUE"""),"Awadzi et al.")</f>
        <v>Awadzi et al.</v>
      </c>
      <c r="C113" s="697" t="str">
        <f>IFERROR(__xludf.DUMMYFUNCTION("""COMPUTED_VALUE"""),"Ghana")</f>
        <v>Ghana</v>
      </c>
      <c r="D113" s="697" t="str">
        <f>IFERROR(__xludf.DUMMYFUNCTION("""COMPUTED_VALUE"""),"Ivermectin")</f>
        <v>Ivermectin</v>
      </c>
      <c r="E113" s="697" t="str">
        <f>IFERROR(__xludf.DUMMYFUNCTION("""COMPUTED_VALUE"""),"150 ug/kg ; 400 ug/kg")</f>
        <v>150 ug/kg ; 400 ug/kg</v>
      </c>
      <c r="F113" s="697" t="str">
        <f>IFERROR(__xludf.DUMMYFUNCTION("""COMPUTED_VALUE"""),"1; 1")</f>
        <v>1; 1</v>
      </c>
      <c r="G113" s="697" t="str">
        <f>IFERROR(__xludf.DUMMYFUNCTION("""COMPUTED_VALUE"""),"400-550 ug/kg")</f>
        <v>400-550 ug/kg</v>
      </c>
      <c r="H113" s="697"/>
      <c r="I113" s="697"/>
      <c r="J113" s="697"/>
      <c r="K113" s="697"/>
      <c r="L113" s="697"/>
      <c r="M113" s="697"/>
      <c r="N113" s="697"/>
      <c r="O113" s="698">
        <f>IFERROR(__xludf.DUMMYFUNCTION("""COMPUTED_VALUE"""),0.999)</f>
        <v>0.999</v>
      </c>
      <c r="P113" s="697"/>
      <c r="Q113" s="698">
        <f>IFERROR(__xludf.DUMMYFUNCTION("""COMPUTED_VALUE"""),0.999)</f>
        <v>0.999</v>
      </c>
      <c r="R113" s="697"/>
      <c r="S113" s="698">
        <f>IFERROR(__xludf.DUMMYFUNCTION("""COMPUTED_VALUE"""),0.985)</f>
        <v>0.985</v>
      </c>
      <c r="T113" s="697"/>
      <c r="U113" s="697"/>
      <c r="V113" s="697"/>
      <c r="W113" s="698">
        <f>IFERROR(__xludf.DUMMYFUNCTION("""COMPUTED_VALUE"""),0.964)</f>
        <v>0.964</v>
      </c>
      <c r="X113" s="697"/>
      <c r="Y113" s="697"/>
      <c r="Z113" s="697"/>
      <c r="AA113" s="697"/>
      <c r="AB113" s="697"/>
      <c r="AC113" s="697"/>
      <c r="AD113" s="697"/>
      <c r="AE113" s="697"/>
      <c r="AF113" s="697"/>
      <c r="AG113" s="697"/>
      <c r="AH113" s="697"/>
      <c r="AI113" s="697"/>
      <c r="AJ113" s="697"/>
      <c r="AK113" s="697"/>
      <c r="AL113" s="697"/>
      <c r="AM113" s="697"/>
      <c r="AN113" s="698">
        <f>IFERROR(__xludf.DUMMYFUNCTION("""COMPUTED_VALUE"""),0.985)</f>
        <v>0.985</v>
      </c>
      <c r="AO113" s="698">
        <f>IFERROR(__xludf.DUMMYFUNCTION("""COMPUTED_VALUE"""),0.985)</f>
        <v>0.985</v>
      </c>
      <c r="AP113" s="697" t="str">
        <f>IFERROR(__xludf.DUMMYFUNCTION("""COMPUTED_VALUE"""),"Mf reduction")</f>
        <v>Mf reduction</v>
      </c>
      <c r="AQ113" s="697" t="str">
        <f>IFERROR(__xludf.DUMMYFUNCTION("""COMPUTED_VALUE"""),"Onchocerciasis Chemotherapy Research Center in Hohoe, Ghana")</f>
        <v>Onchocerciasis Chemotherapy Research Center in Hohoe, Ghana</v>
      </c>
      <c r="AR113" s="697">
        <f>IFERROR(__xludf.DUMMYFUNCTION("""COMPUTED_VALUE"""),1995.0)</f>
        <v>1995</v>
      </c>
      <c r="AS113" s="697">
        <f>IFERROR(__xludf.DUMMYFUNCTION("""COMPUTED_VALUE"""),25.0)</f>
        <v>25</v>
      </c>
      <c r="AT113" s="697" t="str">
        <f>IFERROR(__xludf.DUMMYFUNCTION("""COMPUTED_VALUE"""),"21 Months")</f>
        <v>21 Months</v>
      </c>
      <c r="AU113" s="699" t="str">
        <f>IFERROR(__xludf.DUMMYFUNCTION("""COMPUTED_VALUE"""),"Awadzi, K.; Attah, S.K.; Addy, E.T.; Opoku, N.O.; Quartey, B.T. (1999) The effects of high-dose ivermectin regimens on Onchocerca volvulus in onchocerciasis patients. Transactions of the Royal Society of Tropical Medicine and Hygiene 93: 189-194.")</f>
        <v>Awadzi, K.; Attah, S.K.; Addy, E.T.; Opoku, N.O.; Quartey, B.T. (1999) The effects of high-dose ivermectin regimens on Onchocerca volvulus in onchocerciasis patients. Transactions of the Royal Society of Tropical Medicine and Hygiene 93: 189-194.</v>
      </c>
      <c r="AV113" s="697" t="str">
        <f>IFERROR(__xludf.DUMMYFUNCTION("""COMPUTED_VALUE"""),"M")</f>
        <v>M</v>
      </c>
      <c r="AW113" s="697"/>
      <c r="AX113" s="697"/>
      <c r="AY113" s="697" t="str">
        <f>IFERROR(__xludf.DUMMYFUNCTION("""COMPUTED_VALUE"""),"Yes")</f>
        <v>Yes</v>
      </c>
      <c r="AZ113" s="697" t="str">
        <f>IFERROR(__xludf.DUMMYFUNCTION("""COMPUTED_VALUE"""),"Yes")</f>
        <v>Yes</v>
      </c>
      <c r="BA113" s="697"/>
      <c r="BB113" s="697"/>
      <c r="BC113" s="697" t="str">
        <f>IFERROR(__xludf.DUMMYFUNCTION("""COMPUTED_VALUE"""),"The results may be a function of multiplicities of doages rathe than of the total dose; our findings also suggest that repeated high-dose regimens are unlikely to be more effective than a similar number of 150 ug/kg doses.")</f>
        <v>The results may be a function of multiplicities of doages rathe than of the total dose; our findings also suggest that repeated high-dose regimens are unlikely to be more effective than a similar number of 150 ug/kg doses.</v>
      </c>
      <c r="BD113" s="697" t="str">
        <f>IFERROR(__xludf.DUMMYFUNCTION("""COMPUTED_VALUE"""),"One patient could not be traced after the day 180 follow-up and was eliminated from the study. The data presented relate to the 99 patients who were available at all time points up to day 365.")</f>
        <v>One patient could not be traced after the day 180 follow-up and was eliminated from the study. The data presented relate to the 99 patients who were available at all time points up to day 365.</v>
      </c>
      <c r="BE113" s="697"/>
      <c r="BF113" s="697"/>
      <c r="BG113" s="697"/>
    </row>
    <row r="114">
      <c r="A114" s="697"/>
      <c r="B114" s="697" t="str">
        <f>IFERROR(__xludf.DUMMYFUNCTION("""COMPUTED_VALUE"""),"Awadzi et al.")</f>
        <v>Awadzi et al.</v>
      </c>
      <c r="C114" s="697" t="str">
        <f>IFERROR(__xludf.DUMMYFUNCTION("""COMPUTED_VALUE"""),"Ghana")</f>
        <v>Ghana</v>
      </c>
      <c r="D114" s="697" t="str">
        <f>IFERROR(__xludf.DUMMYFUNCTION("""COMPUTED_VALUE"""),"Ivermectin")</f>
        <v>Ivermectin</v>
      </c>
      <c r="E114" s="697" t="str">
        <f>IFERROR(__xludf.DUMMYFUNCTION("""COMPUTED_VALUE"""),"150 ug/kg; 600 ug/kg")</f>
        <v>150 ug/kg; 600 ug/kg</v>
      </c>
      <c r="F114" s="697" t="str">
        <f>IFERROR(__xludf.DUMMYFUNCTION("""COMPUTED_VALUE"""),"1 ;1 ")</f>
        <v>1 ;1 </v>
      </c>
      <c r="G114" s="697" t="str">
        <f>IFERROR(__xludf.DUMMYFUNCTION("""COMPUTED_VALUE"""),"600-750 ug/kg")</f>
        <v>600-750 ug/kg</v>
      </c>
      <c r="H114" s="697"/>
      <c r="I114" s="697"/>
      <c r="J114" s="697"/>
      <c r="K114" s="697"/>
      <c r="L114" s="697"/>
      <c r="M114" s="697"/>
      <c r="N114" s="697"/>
      <c r="O114" s="698">
        <f>IFERROR(__xludf.DUMMYFUNCTION("""COMPUTED_VALUE"""),0.999)</f>
        <v>0.999</v>
      </c>
      <c r="P114" s="697"/>
      <c r="Q114" s="698">
        <f>IFERROR(__xludf.DUMMYFUNCTION("""COMPUTED_VALUE"""),0.999)</f>
        <v>0.999</v>
      </c>
      <c r="R114" s="697"/>
      <c r="S114" s="698">
        <f>IFERROR(__xludf.DUMMYFUNCTION("""COMPUTED_VALUE"""),0.982)</f>
        <v>0.982</v>
      </c>
      <c r="T114" s="697"/>
      <c r="U114" s="697"/>
      <c r="V114" s="697"/>
      <c r="W114" s="698">
        <f>IFERROR(__xludf.DUMMYFUNCTION("""COMPUTED_VALUE"""),0.962)</f>
        <v>0.962</v>
      </c>
      <c r="X114" s="697"/>
      <c r="Y114" s="697"/>
      <c r="Z114" s="697"/>
      <c r="AA114" s="697"/>
      <c r="AB114" s="697"/>
      <c r="AC114" s="697"/>
      <c r="AD114" s="697"/>
      <c r="AE114" s="697"/>
      <c r="AF114" s="697"/>
      <c r="AG114" s="697"/>
      <c r="AH114" s="697"/>
      <c r="AI114" s="697"/>
      <c r="AJ114" s="697"/>
      <c r="AK114" s="697"/>
      <c r="AL114" s="697"/>
      <c r="AM114" s="697"/>
      <c r="AN114" s="698">
        <f>IFERROR(__xludf.DUMMYFUNCTION("""COMPUTED_VALUE"""),0.982)</f>
        <v>0.982</v>
      </c>
      <c r="AO114" s="698">
        <f>IFERROR(__xludf.DUMMYFUNCTION("""COMPUTED_VALUE"""),0.982)</f>
        <v>0.982</v>
      </c>
      <c r="AP114" s="697" t="str">
        <f>IFERROR(__xludf.DUMMYFUNCTION("""COMPUTED_VALUE"""),"Mf reduction")</f>
        <v>Mf reduction</v>
      </c>
      <c r="AQ114" s="697" t="str">
        <f>IFERROR(__xludf.DUMMYFUNCTION("""COMPUTED_VALUE"""),"Onchocerciasis Chemotherapy Research Center in Hohoe, Ghana")</f>
        <v>Onchocerciasis Chemotherapy Research Center in Hohoe, Ghana</v>
      </c>
      <c r="AR114" s="697">
        <f>IFERROR(__xludf.DUMMYFUNCTION("""COMPUTED_VALUE"""),1995.0)</f>
        <v>1995</v>
      </c>
      <c r="AS114" s="697">
        <f>IFERROR(__xludf.DUMMYFUNCTION("""COMPUTED_VALUE"""),23.0)</f>
        <v>23</v>
      </c>
      <c r="AT114" s="697" t="str">
        <f>IFERROR(__xludf.DUMMYFUNCTION("""COMPUTED_VALUE"""),"21 Months")</f>
        <v>21 Months</v>
      </c>
      <c r="AU114" s="699" t="str">
        <f>IFERROR(__xludf.DUMMYFUNCTION("""COMPUTED_VALUE"""),"Awadzi, K.; Attah, S.K.; Addy, E.T.; Opoku, N.O.; Quartey, B.T. (1999) The effects of high-dose ivermectin regimens on Onchocerca volvulus in onchocerciasis patients. Transactions of the Royal Society of Tropical Medicine and Hygiene 93: 189-194.")</f>
        <v>Awadzi, K.; Attah, S.K.; Addy, E.T.; Opoku, N.O.; Quartey, B.T. (1999) The effects of high-dose ivermectin regimens on Onchocerca volvulus in onchocerciasis patients. Transactions of the Royal Society of Tropical Medicine and Hygiene 93: 189-194.</v>
      </c>
      <c r="AV114" s="697" t="str">
        <f>IFERROR(__xludf.DUMMYFUNCTION("""COMPUTED_VALUE"""),"M")</f>
        <v>M</v>
      </c>
      <c r="AW114" s="697"/>
      <c r="AX114" s="697"/>
      <c r="AY114" s="697" t="str">
        <f>IFERROR(__xludf.DUMMYFUNCTION("""COMPUTED_VALUE"""),"Yes")</f>
        <v>Yes</v>
      </c>
      <c r="AZ114" s="697" t="str">
        <f>IFERROR(__xludf.DUMMYFUNCTION("""COMPUTED_VALUE"""),"Yes")</f>
        <v>Yes</v>
      </c>
      <c r="BA114" s="697"/>
      <c r="BB114" s="697"/>
      <c r="BC114" s="697" t="str">
        <f>IFERROR(__xludf.DUMMYFUNCTION("""COMPUTED_VALUE"""),"The results may be a function of multiplicities of doages rathe than of the total dose; our findings also suggest that repeated high-dose regimens are unlikely to be more effective than a similar number of 150 ug/kg doses.")</f>
        <v>The results may be a function of multiplicities of doages rathe than of the total dose; our findings also suggest that repeated high-dose regimens are unlikely to be more effective than a similar number of 150 ug/kg doses.</v>
      </c>
      <c r="BD114" s="697" t="str">
        <f>IFERROR(__xludf.DUMMYFUNCTION("""COMPUTED_VALUE"""),"One patient could not be traced after the day 180 follow-up and was eliminated from the study. The data presented relate to the 99 patients who were available at all time points up to day 365.")</f>
        <v>One patient could not be traced after the day 180 follow-up and was eliminated from the study. The data presented relate to the 99 patients who were available at all time points up to day 365.</v>
      </c>
      <c r="BE114" s="697"/>
      <c r="BF114" s="697"/>
      <c r="BG114" s="697"/>
    </row>
    <row r="115">
      <c r="A115" s="697"/>
      <c r="B115" s="697" t="str">
        <f>IFERROR(__xludf.DUMMYFUNCTION("""COMPUTED_VALUE"""),"Awadzi et al.")</f>
        <v>Awadzi et al.</v>
      </c>
      <c r="C115" s="697" t="str">
        <f>IFERROR(__xludf.DUMMYFUNCTION("""COMPUTED_VALUE"""),"Ghana")</f>
        <v>Ghana</v>
      </c>
      <c r="D115" s="697" t="str">
        <f>IFERROR(__xludf.DUMMYFUNCTION("""COMPUTED_VALUE"""),"Ivermectin")</f>
        <v>Ivermectin</v>
      </c>
      <c r="E115" s="697" t="str">
        <f>IFERROR(__xludf.DUMMYFUNCTION("""COMPUTED_VALUE"""),"150 ug/kg; 800 ug.kg")</f>
        <v>150 ug/kg; 800 ug.kg</v>
      </c>
      <c r="F115" s="697" t="str">
        <f>IFERROR(__xludf.DUMMYFUNCTION("""COMPUTED_VALUE"""),"1; 1")</f>
        <v>1; 1</v>
      </c>
      <c r="G115" s="697" t="str">
        <f>IFERROR(__xludf.DUMMYFUNCTION("""COMPUTED_VALUE"""),"800-950 ug/kg")</f>
        <v>800-950 ug/kg</v>
      </c>
      <c r="H115" s="697"/>
      <c r="I115" s="697"/>
      <c r="J115" s="697"/>
      <c r="K115" s="697"/>
      <c r="L115" s="697"/>
      <c r="M115" s="697"/>
      <c r="N115" s="697"/>
      <c r="O115" s="698">
        <f>IFERROR(__xludf.DUMMYFUNCTION("""COMPUTED_VALUE"""),0.998)</f>
        <v>0.998</v>
      </c>
      <c r="P115" s="697"/>
      <c r="Q115" s="698">
        <f>IFERROR(__xludf.DUMMYFUNCTION("""COMPUTED_VALUE"""),0.999)</f>
        <v>0.999</v>
      </c>
      <c r="R115" s="697"/>
      <c r="S115" s="698">
        <f>IFERROR(__xludf.DUMMYFUNCTION("""COMPUTED_VALUE"""),0.993)</f>
        <v>0.993</v>
      </c>
      <c r="T115" s="697"/>
      <c r="U115" s="697"/>
      <c r="V115" s="697"/>
      <c r="W115" s="700">
        <f>IFERROR(__xludf.DUMMYFUNCTION("""COMPUTED_VALUE"""),0.97)</f>
        <v>0.97</v>
      </c>
      <c r="X115" s="697"/>
      <c r="Y115" s="697"/>
      <c r="Z115" s="697"/>
      <c r="AA115" s="697"/>
      <c r="AB115" s="697"/>
      <c r="AC115" s="697"/>
      <c r="AD115" s="697"/>
      <c r="AE115" s="697"/>
      <c r="AF115" s="697"/>
      <c r="AG115" s="697"/>
      <c r="AH115" s="697"/>
      <c r="AI115" s="697"/>
      <c r="AJ115" s="697"/>
      <c r="AK115" s="697"/>
      <c r="AL115" s="697"/>
      <c r="AM115" s="697"/>
      <c r="AN115" s="698">
        <f>IFERROR(__xludf.DUMMYFUNCTION("""COMPUTED_VALUE"""),0.993)</f>
        <v>0.993</v>
      </c>
      <c r="AO115" s="698">
        <f>IFERROR(__xludf.DUMMYFUNCTION("""COMPUTED_VALUE"""),0.993)</f>
        <v>0.993</v>
      </c>
      <c r="AP115" s="697" t="str">
        <f>IFERROR(__xludf.DUMMYFUNCTION("""COMPUTED_VALUE"""),"Mf reduction")</f>
        <v>Mf reduction</v>
      </c>
      <c r="AQ115" s="697" t="str">
        <f>IFERROR(__xludf.DUMMYFUNCTION("""COMPUTED_VALUE"""),"Onchocerciasis Chemotherapy Research Center in Hohoe, Ghana")</f>
        <v>Onchocerciasis Chemotherapy Research Center in Hohoe, Ghana</v>
      </c>
      <c r="AR115" s="697">
        <f>IFERROR(__xludf.DUMMYFUNCTION("""COMPUTED_VALUE"""),1995.0)</f>
        <v>1995</v>
      </c>
      <c r="AS115" s="697">
        <f>IFERROR(__xludf.DUMMYFUNCTION("""COMPUTED_VALUE"""),24.0)</f>
        <v>24</v>
      </c>
      <c r="AT115" s="697" t="str">
        <f>IFERROR(__xludf.DUMMYFUNCTION("""COMPUTED_VALUE"""),"21 Months")</f>
        <v>21 Months</v>
      </c>
      <c r="AU115" s="699" t="str">
        <f>IFERROR(__xludf.DUMMYFUNCTION("""COMPUTED_VALUE"""),"Awadzi, K.; Attah, S.K.; Addy, E.T.; Opoku, N.O.; Quartey, B.T. (1999) The effects of high-dose ivermectin regimens on Onchocerca volvulus in onchocerciasis patients. Transactions of the Royal Society of Tropical Medicine and Hygiene 93: 189-194.")</f>
        <v>Awadzi, K.; Attah, S.K.; Addy, E.T.; Opoku, N.O.; Quartey, B.T. (1999) The effects of high-dose ivermectin regimens on Onchocerca volvulus in onchocerciasis patients. Transactions of the Royal Society of Tropical Medicine and Hygiene 93: 189-194.</v>
      </c>
      <c r="AV115" s="697" t="str">
        <f>IFERROR(__xludf.DUMMYFUNCTION("""COMPUTED_VALUE"""),"M")</f>
        <v>M</v>
      </c>
      <c r="AW115" s="697"/>
      <c r="AX115" s="697"/>
      <c r="AY115" s="697" t="str">
        <f>IFERROR(__xludf.DUMMYFUNCTION("""COMPUTED_VALUE"""),"Yes")</f>
        <v>Yes</v>
      </c>
      <c r="AZ115" s="697" t="str">
        <f>IFERROR(__xludf.DUMMYFUNCTION("""COMPUTED_VALUE"""),"Yes")</f>
        <v>Yes</v>
      </c>
      <c r="BA115" s="697"/>
      <c r="BB115" s="697"/>
      <c r="BC115" s="697" t="str">
        <f>IFERROR(__xludf.DUMMYFUNCTION("""COMPUTED_VALUE"""),"The results may be a function of multiplicities of doages rathe than of the total dose; our findings also suggest that repeated high-dose regimens are unlikely to be more effective than a similar number of 150 ug/kg doses.")</f>
        <v>The results may be a function of multiplicities of doages rathe than of the total dose; our findings also suggest that repeated high-dose regimens are unlikely to be more effective than a similar number of 150 ug/kg doses.</v>
      </c>
      <c r="BD115" s="697" t="str">
        <f>IFERROR(__xludf.DUMMYFUNCTION("""COMPUTED_VALUE"""),"One patient could not be traced after the day 180 follow-up and was eliminated from the study. The data presented relate to the 99 patients who were available at all time points up to day 365.")</f>
        <v>One patient could not be traced after the day 180 follow-up and was eliminated from the study. The data presented relate to the 99 patients who were available at all time points up to day 365.</v>
      </c>
      <c r="BE115" s="697"/>
      <c r="BF115" s="697"/>
      <c r="BG115" s="697"/>
    </row>
    <row r="116">
      <c r="A116" s="697"/>
      <c r="B116" s="697" t="str">
        <f>IFERROR(__xludf.DUMMYFUNCTION("""COMPUTED_VALUE"""),"Awadzi et al.")</f>
        <v>Awadzi et al.</v>
      </c>
      <c r="C116" s="697" t="str">
        <f>IFERROR(__xludf.DUMMYFUNCTION("""COMPUTED_VALUE"""),"Ghana")</f>
        <v>Ghana</v>
      </c>
      <c r="D116" s="697" t="str">
        <f>IFERROR(__xludf.DUMMYFUNCTION("""COMPUTED_VALUE"""),"Ivermectin")</f>
        <v>Ivermectin</v>
      </c>
      <c r="E116" s="697" t="str">
        <f>IFERROR(__xludf.DUMMYFUNCTION("""COMPUTED_VALUE"""),"800 ug/kg")</f>
        <v>800 ug/kg</v>
      </c>
      <c r="F116" s="697">
        <f>IFERROR(__xludf.DUMMYFUNCTION("""COMPUTED_VALUE"""),2.0)</f>
        <v>2</v>
      </c>
      <c r="G116" s="697" t="str">
        <f>IFERROR(__xludf.DUMMYFUNCTION("""COMPUTED_VALUE"""),"1600 ug/kg")</f>
        <v>1600 ug/kg</v>
      </c>
      <c r="H116" s="697"/>
      <c r="I116" s="697"/>
      <c r="J116" s="697"/>
      <c r="K116" s="697"/>
      <c r="L116" s="697"/>
      <c r="M116" s="697"/>
      <c r="N116" s="697"/>
      <c r="O116" s="700">
        <f>IFERROR(__xludf.DUMMYFUNCTION("""COMPUTED_VALUE"""),1.0)</f>
        <v>1</v>
      </c>
      <c r="P116" s="697"/>
      <c r="Q116" s="700">
        <f>IFERROR(__xludf.DUMMYFUNCTION("""COMPUTED_VALUE"""),1.0)</f>
        <v>1</v>
      </c>
      <c r="R116" s="697"/>
      <c r="S116" s="698">
        <f>IFERROR(__xludf.DUMMYFUNCTION("""COMPUTED_VALUE"""),0.995)</f>
        <v>0.995</v>
      </c>
      <c r="T116" s="697"/>
      <c r="U116" s="697"/>
      <c r="V116" s="697"/>
      <c r="W116" s="698">
        <f>IFERROR(__xludf.DUMMYFUNCTION("""COMPUTED_VALUE"""),0.974)</f>
        <v>0.974</v>
      </c>
      <c r="X116" s="697"/>
      <c r="Y116" s="697"/>
      <c r="Z116" s="697"/>
      <c r="AA116" s="697"/>
      <c r="AB116" s="697"/>
      <c r="AC116" s="697"/>
      <c r="AD116" s="697"/>
      <c r="AE116" s="697"/>
      <c r="AF116" s="697"/>
      <c r="AG116" s="697"/>
      <c r="AH116" s="697"/>
      <c r="AI116" s="697"/>
      <c r="AJ116" s="697"/>
      <c r="AK116" s="697"/>
      <c r="AL116" s="697"/>
      <c r="AM116" s="697"/>
      <c r="AN116" s="698">
        <f>IFERROR(__xludf.DUMMYFUNCTION("""COMPUTED_VALUE"""),0.995)</f>
        <v>0.995</v>
      </c>
      <c r="AO116" s="698">
        <f>IFERROR(__xludf.DUMMYFUNCTION("""COMPUTED_VALUE"""),0.995)</f>
        <v>0.995</v>
      </c>
      <c r="AP116" s="697" t="str">
        <f>IFERROR(__xludf.DUMMYFUNCTION("""COMPUTED_VALUE"""),"Mf reduction")</f>
        <v>Mf reduction</v>
      </c>
      <c r="AQ116" s="697" t="str">
        <f>IFERROR(__xludf.DUMMYFUNCTION("""COMPUTED_VALUE"""),"Onchocerciasis Chemotherapy Research Center in Hohoe, Ghana")</f>
        <v>Onchocerciasis Chemotherapy Research Center in Hohoe, Ghana</v>
      </c>
      <c r="AR116" s="697">
        <f>IFERROR(__xludf.DUMMYFUNCTION("""COMPUTED_VALUE"""),1995.0)</f>
        <v>1995</v>
      </c>
      <c r="AS116" s="697">
        <f>IFERROR(__xludf.DUMMYFUNCTION("""COMPUTED_VALUE"""),12.0)</f>
        <v>12</v>
      </c>
      <c r="AT116" s="697" t="str">
        <f>IFERROR(__xludf.DUMMYFUNCTION("""COMPUTED_VALUE"""),"21 Months")</f>
        <v>21 Months</v>
      </c>
      <c r="AU116" s="699" t="str">
        <f>IFERROR(__xludf.DUMMYFUNCTION("""COMPUTED_VALUE"""),"Awadzi, K.; Attah, S.K.; Addy, E.T.; Opoku, N.O.; Quartey, B.T. (1999) The effects of high-dose ivermectin regimens on Onchocerca volvulus in onchocerciasis patients. Transactions of the Royal Society of Tropical Medicine and Hygiene 93: 189-194.")</f>
        <v>Awadzi, K.; Attah, S.K.; Addy, E.T.; Opoku, N.O.; Quartey, B.T. (1999) The effects of high-dose ivermectin regimens on Onchocerca volvulus in onchocerciasis patients. Transactions of the Royal Society of Tropical Medicine and Hygiene 93: 189-194.</v>
      </c>
      <c r="AV116" s="697" t="str">
        <f>IFERROR(__xludf.DUMMYFUNCTION("""COMPUTED_VALUE"""),"M")</f>
        <v>M</v>
      </c>
      <c r="AW116" s="697"/>
      <c r="AX116" s="697"/>
      <c r="AY116" s="697" t="str">
        <f>IFERROR(__xludf.DUMMYFUNCTION("""COMPUTED_VALUE"""),"Yes")</f>
        <v>Yes</v>
      </c>
      <c r="AZ116" s="697" t="str">
        <f>IFERROR(__xludf.DUMMYFUNCTION("""COMPUTED_VALUE"""),"Yes")</f>
        <v>Yes</v>
      </c>
      <c r="BA116" s="697"/>
      <c r="BB116" s="697"/>
      <c r="BC116" s="697" t="str">
        <f>IFERROR(__xludf.DUMMYFUNCTION("""COMPUTED_VALUE"""),"The results may be a function of multiplicities of doages rathe than of the total dose; our findings also suggest that repeated high-dose regimens are unlikely to be more effective than a similar number of 150 ug/kg doses.")</f>
        <v>The results may be a function of multiplicities of doages rathe than of the total dose; our findings also suggest that repeated high-dose regimens are unlikely to be more effective than a similar number of 150 ug/kg doses.</v>
      </c>
      <c r="BD116" s="697" t="str">
        <f>IFERROR(__xludf.DUMMYFUNCTION("""COMPUTED_VALUE"""),"One patient could not be traced after the day 180 follow-up and was eliminated from the study. The data presented relate to the 99 patients who were available at all time points up to day 365.")</f>
        <v>One patient could not be traced after the day 180 follow-up and was eliminated from the study. The data presented relate to the 99 patients who were available at all time points up to day 365.</v>
      </c>
      <c r="BE116" s="697"/>
      <c r="BF116" s="697"/>
      <c r="BG116" s="697"/>
    </row>
    <row r="117">
      <c r="A117" s="697"/>
      <c r="B117" s="697" t="str">
        <f>IFERROR(__xludf.DUMMYFUNCTION("""COMPUTED_VALUE"""),"Awadzi et al.")</f>
        <v>Awadzi et al.</v>
      </c>
      <c r="C117" s="697" t="str">
        <f>IFERROR(__xludf.DUMMYFUNCTION("""COMPUTED_VALUE"""),"Ghana")</f>
        <v>Ghana</v>
      </c>
      <c r="D117" s="697" t="str">
        <f>IFERROR(__xludf.DUMMYFUNCTION("""COMPUTED_VALUE"""),"Suramin")</f>
        <v>Suramin</v>
      </c>
      <c r="E117" s="697" t="str">
        <f>IFERROR(__xludf.DUMMYFUNCTION("""COMPUTED_VALUE"""),".2g-1g")</f>
        <v>.2g-1g</v>
      </c>
      <c r="F117" s="697">
        <f>IFERROR(__xludf.DUMMYFUNCTION("""COMPUTED_VALUE"""),6.0)</f>
        <v>6</v>
      </c>
      <c r="G117" s="697" t="str">
        <f>IFERROR(__xludf.DUMMYFUNCTION("""COMPUTED_VALUE"""),"5g")</f>
        <v>5g</v>
      </c>
      <c r="H117" s="697"/>
      <c r="I117" s="697"/>
      <c r="J117" s="697"/>
      <c r="K117" s="697"/>
      <c r="L117" s="697" t="str">
        <f>IFERROR(__xludf.DUMMYFUNCTION("""COMPUTED_VALUE"""),"                                                                                                                                                                       ")</f>
        <v>                                                                                                                                                                       </v>
      </c>
      <c r="M117" s="697"/>
      <c r="N117" s="698">
        <f>IFERROR(__xludf.DUMMYFUNCTION("""COMPUTED_VALUE"""),0.2727)</f>
        <v>0.2727</v>
      </c>
      <c r="O117" s="698">
        <f>IFERROR(__xludf.DUMMYFUNCTION("""COMPUTED_VALUE"""),0.3377)</f>
        <v>0.3377</v>
      </c>
      <c r="P117" s="697"/>
      <c r="Q117" s="698">
        <f>IFERROR(__xludf.DUMMYFUNCTION("""COMPUTED_VALUE"""),0.9654)</f>
        <v>0.9654</v>
      </c>
      <c r="R117" s="697"/>
      <c r="S117" s="697"/>
      <c r="T117" s="697"/>
      <c r="U117" s="697"/>
      <c r="V117" s="697"/>
      <c r="W117" s="697"/>
      <c r="X117" s="697"/>
      <c r="Y117" s="697"/>
      <c r="Z117" s="698">
        <f>IFERROR(__xludf.DUMMYFUNCTION("""COMPUTED_VALUE"""),0.9827)</f>
        <v>0.9827</v>
      </c>
      <c r="AA117" s="697"/>
      <c r="AB117" s="697"/>
      <c r="AC117" s="697"/>
      <c r="AD117" s="697"/>
      <c r="AE117" s="697" t="str">
        <f>IFERROR(__xludf.DUMMYFUNCTION("""COMPUTED_VALUE"""),"n/a")</f>
        <v>n/a</v>
      </c>
      <c r="AF117" s="697"/>
      <c r="AG117" s="697"/>
      <c r="AH117" s="697"/>
      <c r="AI117" s="697"/>
      <c r="AJ117" s="697"/>
      <c r="AK117" s="697" t="str">
        <f>IFERROR(__xludf.DUMMYFUNCTION("""COMPUTED_VALUE"""),"nodules with mf 6 weeks 44%; 13 weeks 41%, 26 weeks 0%, 52 weeks 0%; % of dead/probably dead female worms 18%; 13 weeks 28%, 26 weeks 50%; 52 weeks 66%;")</f>
        <v>nodules with mf 6 weeks 44%; 13 weeks 41%, 26 weeks 0%, 52 weeks 0%; % of dead/probably dead female worms 18%; 13 weeks 28%, 26 weeks 50%; 52 weeks 66%;</v>
      </c>
      <c r="AL117" s="697"/>
      <c r="AM117" s="697"/>
      <c r="AN117" s="698">
        <f>IFERROR(__xludf.DUMMYFUNCTION("""COMPUTED_VALUE"""),0.9654)</f>
        <v>0.9654</v>
      </c>
      <c r="AO117" s="698">
        <f>IFERROR(__xludf.DUMMYFUNCTION("""COMPUTED_VALUE"""),0.9654)</f>
        <v>0.9654</v>
      </c>
      <c r="AP117" s="697" t="str">
        <f>IFERROR(__xludf.DUMMYFUNCTION("""COMPUTED_VALUE"""),"Mf reduction &amp; Nodulectomy: % mf &amp; Nodulectomy: dead")</f>
        <v>Mf reduction &amp; Nodulectomy: % mf &amp; Nodulectomy: dead</v>
      </c>
      <c r="AQ117" s="697" t="str">
        <f>IFERROR(__xludf.DUMMYFUNCTION("""COMPUTED_VALUE"""),"Kudzrah, Ghana")</f>
        <v>Kudzrah, Ghana</v>
      </c>
      <c r="AR117" s="697">
        <f>IFERROR(__xludf.DUMMYFUNCTION("""COMPUTED_VALUE"""),1995.0)</f>
        <v>1995</v>
      </c>
      <c r="AS117" s="697">
        <f>IFERROR(__xludf.DUMMYFUNCTION("""COMPUTED_VALUE"""),20.0)</f>
        <v>20</v>
      </c>
      <c r="AT117" s="697" t="str">
        <f>IFERROR(__xludf.DUMMYFUNCTION("""COMPUTED_VALUE"""),"52 weeks")</f>
        <v>52 weeks</v>
      </c>
      <c r="AU117" s="699" t="str">
        <f>IFERROR(__xludf.DUMMYFUNCTION("""COMPUTED_VALUE"""),"Awadzi, K.; Hero, M.; Opoku, N.O.; Addy, E.T.; Büttner, D.W.; Ginger, C.D. (1995)  The chemotherapy of onchocerciasis XVIII. Aspects of treatment with suramin. Tropical Medicine and Parasitology 46(1): 19-26.")</f>
        <v>Awadzi, K.; Hero, M.; Opoku, N.O.; Addy, E.T.; Büttner, D.W.; Ginger, C.D. (1995)  The chemotherapy of onchocerciasis XVIII. Aspects of treatment with suramin. Tropical Medicine and Parasitology 46(1): 19-26.</v>
      </c>
      <c r="AV117" s="697" t="str">
        <f>IFERROR(__xludf.DUMMYFUNCTION("""COMPUTED_VALUE"""),"M")</f>
        <v>M</v>
      </c>
      <c r="AW117" s="697" t="str">
        <f>IFERROR(__xludf.DUMMYFUNCTION("""COMPUTED_VALUE"""),"Mean Age + Range 29 (20-49)")</f>
        <v>Mean Age + Range 29 (20-49)</v>
      </c>
      <c r="AX117" s="697" t="str">
        <f>IFERROR(__xludf.DUMMYFUNCTION("""COMPUTED_VALUE"""),"Healthy adult males who had never received antifilarial drugs, with the exception of one patient treated with diethylcarbamazine (DEC) six years earlier.")</f>
        <v>Healthy adult males who had never received antifilarial drugs, with the exception of one patient treated with diethylcarbamazine (DEC) six years earlier.</v>
      </c>
      <c r="AY117" s="697" t="str">
        <f>IFERROR(__xludf.DUMMYFUNCTION("""COMPUTED_VALUE"""),"No")</f>
        <v>No</v>
      </c>
      <c r="AZ117" s="697" t="str">
        <f>IFERROR(__xludf.DUMMYFUNCTION("""COMPUTED_VALUE"""),"No")</f>
        <v>No</v>
      </c>
      <c r="BA117" s="697"/>
      <c r="BB117" s="697"/>
      <c r="BC117" s="697" t="str">
        <f>IFERROR(__xludf.DUMMYFUNCTION("""COMPUTED_VALUE"""),"The treatment of onchocerciasis with diethylcarbamazine (DEC) and suramin is recommended only for patients with sight threatening disease, severe onchodermatitis, or high skin microfilarial loads and is to be carried out under medical supervision.")</f>
        <v>The treatment of onchocerciasis with diethylcarbamazine (DEC) and suramin is recommended only for patients with sight threatening disease, severe onchodermatitis, or high skin microfilarial loads and is to be carried out under medical supervision.</v>
      </c>
      <c r="BD117" s="697"/>
      <c r="BE117" s="697"/>
      <c r="BF117" s="697"/>
      <c r="BG117" s="697"/>
    </row>
    <row r="118" hidden="1">
      <c r="A118" s="697"/>
      <c r="B118" s="697" t="str">
        <f>IFERROR(__xludf.DUMMYFUNCTION("""COMPUTED_VALUE"""),"Osei-Atweneboana et al.")</f>
        <v>Osei-Atweneboana et al.</v>
      </c>
      <c r="C118" s="697" t="str">
        <f>IFERROR(__xludf.DUMMYFUNCTION("""COMPUTED_VALUE"""),"Ghana")</f>
        <v>Ghana</v>
      </c>
      <c r="D118" s="697" t="str">
        <f>IFERROR(__xludf.DUMMYFUNCTION("""COMPUTED_VALUE"""),"Ivermectin")</f>
        <v>Ivermectin</v>
      </c>
      <c r="E118" s="697" t="str">
        <f>IFERROR(__xludf.DUMMYFUNCTION("""COMPUTED_VALUE"""),"150 ug/kg")</f>
        <v>150 ug/kg</v>
      </c>
      <c r="F118" s="697">
        <f>IFERROR(__xludf.DUMMYFUNCTION("""COMPUTED_VALUE"""),1.0)</f>
        <v>1</v>
      </c>
      <c r="G118" s="697" t="str">
        <f>IFERROR(__xludf.DUMMYFUNCTION("""COMPUTED_VALUE"""),"150 ug/kg ")</f>
        <v>150 ug/kg </v>
      </c>
      <c r="H118" s="697"/>
      <c r="I118" s="697"/>
      <c r="J118" s="697"/>
      <c r="K118" s="697"/>
      <c r="L118" s="698">
        <f>IFERROR(__xludf.DUMMYFUNCTION("""COMPUTED_VALUE"""),0.9973)</f>
        <v>0.9973</v>
      </c>
      <c r="M118" s="697"/>
      <c r="N118" s="697"/>
      <c r="O118" s="697"/>
      <c r="P118" s="697"/>
      <c r="Q118" s="697"/>
      <c r="R118" s="697"/>
      <c r="S118" s="697"/>
      <c r="T118" s="697"/>
      <c r="U118" s="697"/>
      <c r="V118" s="697"/>
      <c r="W118" s="697"/>
      <c r="X118" s="697"/>
      <c r="Y118" s="697"/>
      <c r="Z118" s="697"/>
      <c r="AA118" s="697"/>
      <c r="AB118" s="697"/>
      <c r="AC118" s="697"/>
      <c r="AD118" s="697"/>
      <c r="AE118" s="697"/>
      <c r="AF118" s="698">
        <f>IFERROR(__xludf.DUMMYFUNCTION("""COMPUTED_VALUE"""),0.796)</f>
        <v>0.796</v>
      </c>
      <c r="AG118" s="697"/>
      <c r="AH118" s="697"/>
      <c r="AI118" s="697"/>
      <c r="AJ118" s="697"/>
      <c r="AK118" s="697"/>
      <c r="AL118" s="697"/>
      <c r="AM118" s="697"/>
      <c r="AN118" s="698">
        <f>IFERROR(__xludf.DUMMYFUNCTION("""COMPUTED_VALUE"""),0.9973)</f>
        <v>0.9973</v>
      </c>
      <c r="AO118" s="698">
        <f>IFERROR(__xludf.DUMMYFUNCTION("""COMPUTED_VALUE"""),0.9973)</f>
        <v>0.9973</v>
      </c>
      <c r="AP118" s="697" t="str">
        <f>IFERROR(__xludf.DUMMYFUNCTION("""COMPUTED_VALUE"""),"Mf reduction")</f>
        <v>Mf reduction</v>
      </c>
      <c r="AQ118" s="697" t="str">
        <f>IFERROR(__xludf.DUMMYFUNCTION("""COMPUTED_VALUE"""),"19 endemic communities in the Atebubu District [Akrakuka (1), Asubende(2), Baaya(3), Beposo(4), Faoamang(5), Hiampe(6), Mantukwa(7), Mempeasem(8), Senyase(9)], Kintampo District [Dwere(10), Gomboi(11), Kyingakrom(12), New Longoro(13)], Nikoranza District "&amp;"[Ayerede(14), Nyemeberekyere(15)], and the East Gonja District [Bankaba(16), Chabon(17), Jagbenbendo(18), and WIae(19)]")</f>
        <v>19 endemic communities in the Atebubu District [Akrakuka (1), Asubende(2), Baaya(3), Beposo(4), Faoamang(5), Hiampe(6), Mantukwa(7), Mempeasem(8), Senyase(9)], Kintampo District [Dwere(10), Gomboi(11), Kyingakrom(12), New Longoro(13)], Nikoranza District [Ayerede(14), Nyemeberekyere(15)], and the East Gonja District [Bankaba(16), Chabon(17), Jagbenbendo(18), and WIae(19)]</v>
      </c>
      <c r="AR118" s="697">
        <f>IFERROR(__xludf.DUMMYFUNCTION("""COMPUTED_VALUE"""),2005.0)</f>
        <v>2005</v>
      </c>
      <c r="AS118" s="697">
        <f>IFERROR(__xludf.DUMMYFUNCTION("""COMPUTED_VALUE"""),2501.0)</f>
        <v>2501</v>
      </c>
      <c r="AT118" s="697" t="str">
        <f>IFERROR(__xludf.DUMMYFUNCTION("""COMPUTED_VALUE"""),"180 days")</f>
        <v>180 days</v>
      </c>
      <c r="AU118" s="699" t="str">
        <f>IFERROR(__xludf.DUMMYFUNCTION("""COMPUTED_VALUE"""),"Osei-Atweneboana, M.; Eng, J.K.L.; Boakye, D.A.; Gyapong, J.O.; Prichard, R.K. (2007) Prevalence and intensity of Onchocerca volvulus infection and efficacy of ivermectin in endemic communities in Ghana: a two-phase epidemiological study. Lancet 369: 2021"&amp;"-2029.")</f>
        <v>Osei-Atweneboana, M.; Eng, J.K.L.; Boakye, D.A.; Gyapong, J.O.; Prichard, R.K. (2007) Prevalence and intensity of Onchocerca volvulus infection and efficacy of ivermectin in endemic communities in Ghana: a two-phase epidemiological study. Lancet 369: 2021-2029.</v>
      </c>
      <c r="AV118" s="697"/>
      <c r="AW118" s="697"/>
      <c r="AX118" s="697"/>
      <c r="AY118" s="697" t="str">
        <f>IFERROR(__xludf.DUMMYFUNCTION("""COMPUTED_VALUE"""),"No")</f>
        <v>No</v>
      </c>
      <c r="AZ118" s="697" t="str">
        <f>IFERROR(__xludf.DUMMYFUNCTION("""COMPUTED_VALUE"""),"Yes")</f>
        <v>Yes</v>
      </c>
      <c r="BA118" s="697"/>
      <c r="BB118" s="697"/>
      <c r="BC118" s="697" t="str">
        <f>IFERROR(__xludf.DUMMYFUNCTION("""COMPUTED_VALUE"""),"Ivermectin remains a potent microfilaricide. However, our results suggest that resistant adult parasite populations, which are not responding as expected to ivermectin, are emerging.")</f>
        <v>Ivermectin remains a potent microfilaricide. However, our results suggest that resistant adult parasite populations, which are not responding as expected to ivermectin, are emerging.</v>
      </c>
      <c r="BD118" s="697"/>
      <c r="BE118" s="697"/>
      <c r="BF118" s="697"/>
      <c r="BG118" s="697" t="str">
        <f>IFERROR(__xludf.DUMMYFUNCTION("""COMPUTED_VALUE"""),"x")</f>
        <v>x</v>
      </c>
    </row>
    <row r="119" hidden="1">
      <c r="A119" s="697"/>
      <c r="B119" s="697" t="str">
        <f>IFERROR(__xludf.DUMMYFUNCTION("""COMPUTED_VALUE"""),"Osei-Atweneboana et al.")</f>
        <v>Osei-Atweneboana et al.</v>
      </c>
      <c r="C119" s="697" t="str">
        <f>IFERROR(__xludf.DUMMYFUNCTION("""COMPUTED_VALUE"""),"Ghana")</f>
        <v>Ghana</v>
      </c>
      <c r="D119" s="697" t="str">
        <f>IFERROR(__xludf.DUMMYFUNCTION("""COMPUTED_VALUE"""),"Ivermectin")</f>
        <v>Ivermectin</v>
      </c>
      <c r="E119" s="697" t="str">
        <f>IFERROR(__xludf.DUMMYFUNCTION("""COMPUTED_VALUE"""),"150 ug/kg")</f>
        <v>150 ug/kg</v>
      </c>
      <c r="F119" s="697">
        <f>IFERROR(__xludf.DUMMYFUNCTION("""COMPUTED_VALUE"""),1.0)</f>
        <v>1</v>
      </c>
      <c r="G119" s="697" t="str">
        <f>IFERROR(__xludf.DUMMYFUNCTION("""COMPUTED_VALUE"""),"150 ug/kg ")</f>
        <v>150 ug/kg </v>
      </c>
      <c r="H119" s="697"/>
      <c r="I119" s="697"/>
      <c r="J119" s="697"/>
      <c r="K119" s="697"/>
      <c r="L119" s="697"/>
      <c r="M119" s="697"/>
      <c r="N119" s="697"/>
      <c r="O119" s="698">
        <f>IFERROR(__xludf.DUMMYFUNCTION("""COMPUTED_VALUE"""),0.9969)</f>
        <v>0.9969</v>
      </c>
      <c r="P119" s="697"/>
      <c r="Q119" s="698">
        <f>IFERROR(__xludf.DUMMYFUNCTION("""COMPUTED_VALUE"""),0.91625)</f>
        <v>0.91625</v>
      </c>
      <c r="R119" s="697"/>
      <c r="S119" s="698">
        <f>IFERROR(__xludf.DUMMYFUNCTION("""COMPUTED_VALUE"""),0.7496)</f>
        <v>0.7496</v>
      </c>
      <c r="T119" s="697"/>
      <c r="U119" s="697"/>
      <c r="V119" s="697"/>
      <c r="W119" s="697"/>
      <c r="X119" s="697"/>
      <c r="Y119" s="697"/>
      <c r="Z119" s="697"/>
      <c r="AA119" s="697"/>
      <c r="AB119" s="697"/>
      <c r="AC119" s="697"/>
      <c r="AD119" s="697"/>
      <c r="AE119" s="697"/>
      <c r="AF119" s="698">
        <f>IFERROR(__xludf.DUMMYFUNCTION("""COMPUTED_VALUE"""),0.319)</f>
        <v>0.319</v>
      </c>
      <c r="AG119" s="697"/>
      <c r="AH119" s="697"/>
      <c r="AI119" s="697"/>
      <c r="AJ119" s="697"/>
      <c r="AK119" s="697"/>
      <c r="AL119" s="697"/>
      <c r="AM119" s="697"/>
      <c r="AN119" s="698">
        <f>IFERROR(__xludf.DUMMYFUNCTION("""COMPUTED_VALUE"""),0.7496)</f>
        <v>0.7496</v>
      </c>
      <c r="AO119" s="698">
        <f>IFERROR(__xludf.DUMMYFUNCTION("""COMPUTED_VALUE"""),0.7496)</f>
        <v>0.7496</v>
      </c>
      <c r="AP119" s="697" t="str">
        <f>IFERROR(__xludf.DUMMYFUNCTION("""COMPUTED_VALUE"""),"Mf reduction")</f>
        <v>Mf reduction</v>
      </c>
      <c r="AQ119" s="697" t="str">
        <f>IFERROR(__xludf.DUMMYFUNCTION("""COMPUTED_VALUE"""),"10 endemic communities Asubende (1), Baaya (2), Beposo(3), Hiampe(4), Senyase(5), Kyingakrom(6), New Longoro(7), Jagbenbendo(8), Wiae(9), and Begbomdo(10)")</f>
        <v>10 endemic communities Asubende (1), Baaya (2), Beposo(3), Hiampe(4), Senyase(5), Kyingakrom(6), New Longoro(7), Jagbenbendo(8), Wiae(9), and Begbomdo(10)</v>
      </c>
      <c r="AR119" s="697">
        <f>IFERROR(__xludf.DUMMYFUNCTION("""COMPUTED_VALUE"""),2005.0)</f>
        <v>2005</v>
      </c>
      <c r="AS119" s="697" t="str">
        <f>IFERROR(__xludf.DUMMYFUNCTION("""COMPUTED_VALUE"""),"301/342")</f>
        <v>301/342</v>
      </c>
      <c r="AT119" s="697" t="str">
        <f>IFERROR(__xludf.DUMMYFUNCTION("""COMPUTED_VALUE"""),"181 days")</f>
        <v>181 days</v>
      </c>
      <c r="AU119" s="699" t="str">
        <f>IFERROR(__xludf.DUMMYFUNCTION("""COMPUTED_VALUE"""),"Osei-Atweneboana, M.; Eng, J.K.L.; Boakye, D.A.; Gyapong, J.O.; Prichard, R.K. (2007) Prevalence and intensity of Onchocerca volvulus infection and efficacy of ivermectin in endemic communities in Ghana: a two-phase epidemiological study. Lancet 369: 2021"&amp;"-2029.")</f>
        <v>Osei-Atweneboana, M.; Eng, J.K.L.; Boakye, D.A.; Gyapong, J.O.; Prichard, R.K. (2007) Prevalence and intensity of Onchocerca volvulus infection and efficacy of ivermectin in endemic communities in Ghana: a two-phase epidemiological study. Lancet 369: 2021-2029.</v>
      </c>
      <c r="AV119" s="697"/>
      <c r="AW119" s="697"/>
      <c r="AX119" s="697"/>
      <c r="AY119" s="697" t="str">
        <f>IFERROR(__xludf.DUMMYFUNCTION("""COMPUTED_VALUE"""),"No")</f>
        <v>No</v>
      </c>
      <c r="AZ119" s="697" t="str">
        <f>IFERROR(__xludf.DUMMYFUNCTION("""COMPUTED_VALUE"""),"Yes")</f>
        <v>Yes</v>
      </c>
      <c r="BA119" s="697"/>
      <c r="BB119" s="697"/>
      <c r="BC119" s="697" t="str">
        <f>IFERROR(__xludf.DUMMYFUNCTION("""COMPUTED_VALUE"""),"Ivermectin remains a potent microfilaricide. However, our results suggest that resistant adult parasite populations, which are not responding as expected to ivermectin, are emerging.")</f>
        <v>Ivermectin remains a potent microfilaricide. However, our results suggest that resistant adult parasite populations, which are not responding as expected to ivermectin, are emerging.</v>
      </c>
      <c r="BD119" s="697"/>
      <c r="BE119" s="697"/>
      <c r="BF119" s="697"/>
      <c r="BG119" s="697" t="str">
        <f>IFERROR(__xludf.DUMMYFUNCTION("""COMPUTED_VALUE"""),"x")</f>
        <v>x</v>
      </c>
    </row>
    <row r="120">
      <c r="A120" s="697"/>
      <c r="B120" s="697" t="str">
        <f>IFERROR(__xludf.DUMMYFUNCTION("""COMPUTED_VALUE"""),"Burch &amp; Ashburn")</f>
        <v>Burch &amp; Ashburn</v>
      </c>
      <c r="C120" s="697" t="str">
        <f>IFERROR(__xludf.DUMMYFUNCTION("""COMPUTED_VALUE"""),"Guatemala")</f>
        <v>Guatemala</v>
      </c>
      <c r="D120" s="697" t="str">
        <f>IFERROR(__xludf.DUMMYFUNCTION("""COMPUTED_VALUE"""),"Suramin")</f>
        <v>Suramin</v>
      </c>
      <c r="E120" s="697" t="str">
        <f>IFERROR(__xludf.DUMMYFUNCTION("""COMPUTED_VALUE"""),".5g, 1g")</f>
        <v>.5g, 1g</v>
      </c>
      <c r="F120" s="704">
        <f>IFERROR(__xludf.DUMMYFUNCTION("""COMPUTED_VALUE"""),42529.0)</f>
        <v>42529</v>
      </c>
      <c r="G120" s="697" t="str">
        <f>IFERROR(__xludf.DUMMYFUNCTION("""COMPUTED_VALUE"""),"6.5g-8.5g")</f>
        <v>6.5g-8.5g</v>
      </c>
      <c r="H120" s="697"/>
      <c r="I120" s="697"/>
      <c r="J120" s="697"/>
      <c r="K120" s="697"/>
      <c r="L120" s="697"/>
      <c r="M120" s="697"/>
      <c r="N120" s="697"/>
      <c r="O120" s="697"/>
      <c r="P120" s="697"/>
      <c r="Q120" s="697"/>
      <c r="R120" s="697"/>
      <c r="S120" s="697"/>
      <c r="T120" s="697"/>
      <c r="U120" s="697"/>
      <c r="V120" s="697"/>
      <c r="W120" s="698">
        <f>IFERROR(__xludf.DUMMYFUNCTION("""COMPUTED_VALUE"""),0.8571)</f>
        <v>0.8571</v>
      </c>
      <c r="X120" s="697"/>
      <c r="Y120" s="697"/>
      <c r="Z120" s="698">
        <f>IFERROR(__xludf.DUMMYFUNCTION("""COMPUTED_VALUE"""),0.9534)</f>
        <v>0.9534</v>
      </c>
      <c r="AA120" s="697"/>
      <c r="AB120" s="697"/>
      <c r="AC120" s="697"/>
      <c r="AD120" s="697"/>
      <c r="AE120" s="697" t="str">
        <f>IFERROR(__xludf.DUMMYFUNCTION("""COMPUTED_VALUE"""),"n/a")</f>
        <v>n/a</v>
      </c>
      <c r="AF120" s="697"/>
      <c r="AG120" s="697"/>
      <c r="AH120" s="697"/>
      <c r="AI120" s="697"/>
      <c r="AJ120" s="697"/>
      <c r="AK120" s="697"/>
      <c r="AL120" s="697"/>
      <c r="AM120" s="697"/>
      <c r="AN120" s="698">
        <f>IFERROR(__xludf.DUMMYFUNCTION("""COMPUTED_VALUE"""),0.8571)</f>
        <v>0.8571</v>
      </c>
      <c r="AO120" s="698">
        <f>IFERROR(__xludf.DUMMYFUNCTION("""COMPUTED_VALUE"""),0.8571)</f>
        <v>0.8571</v>
      </c>
      <c r="AP120" s="697" t="str">
        <f>IFERROR(__xludf.DUMMYFUNCTION("""COMPUTED_VALUE"""),"Mf reduction")</f>
        <v>Mf reduction</v>
      </c>
      <c r="AQ120" s="697" t="str">
        <f>IFERROR(__xludf.DUMMYFUNCTION("""COMPUTED_VALUE"""),"Yepocapa, Chimaltenango, Guatemala ")</f>
        <v>Yepocapa, Chimaltenango, Guatemala </v>
      </c>
      <c r="AR120" s="697">
        <f>IFERROR(__xludf.DUMMYFUNCTION("""COMPUTED_VALUE"""),1951.0)</f>
        <v>1951</v>
      </c>
      <c r="AS120" s="697">
        <f>IFERROR(__xludf.DUMMYFUNCTION("""COMPUTED_VALUE"""),44.0)</f>
        <v>44</v>
      </c>
      <c r="AT120" s="697" t="str">
        <f>IFERROR(__xludf.DUMMYFUNCTION("""COMPUTED_VALUE"""),"3 years")</f>
        <v>3 years</v>
      </c>
      <c r="AU120" s="699" t="str">
        <f>IFERROR(__xludf.DUMMYFUNCTION("""COMPUTED_VALUE"""),"Burch, T.; Ashburn, L.L. ¬(1951) Experimental Therapy of Onchocerciasis with Suramin and Hetrazan; Results of a Three-Year Study. American Journal of Tropical Medicine 31(5): 617-623.")</f>
        <v>Burch, T.; Ashburn, L.L. ¬(1951) Experimental Therapy of Onchocerciasis with Suramin and Hetrazan; Results of a Three-Year Study. American Journal of Tropical Medicine 31(5): 617-623.</v>
      </c>
      <c r="AV120" s="697"/>
      <c r="AW120" s="697"/>
      <c r="AX120" s="697" t="str">
        <f>IFERROR(__xludf.DUMMYFUNCTION("""COMPUTED_VALUE"""),"All patients selected had demonstrable microfilariae and no evidence of other serious disease. ")</f>
        <v>All patients selected had demonstrable microfilariae and no evidence of other serious disease. </v>
      </c>
      <c r="AY120" s="697" t="str">
        <f>IFERROR(__xludf.DUMMYFUNCTION("""COMPUTED_VALUE"""),"No")</f>
        <v>No</v>
      </c>
      <c r="AZ120" s="697" t="str">
        <f>IFERROR(__xludf.DUMMYFUNCTION("""COMPUTED_VALUE"""),"Yes")</f>
        <v>Yes</v>
      </c>
      <c r="BA120" s="697"/>
      <c r="BB120" s="697"/>
      <c r="BC120" s="697" t="str">
        <f>IFERROR(__xludf.DUMMYFUNCTION("""COMPUTED_VALUE"""),"Hetrazan had a spectacular and immediate effect against the microfilariae of Onchocercia volvulus but since it did not destroy the adult worms the disappearance of microfilariae was only temporary. Intravenous suramin, on the other hand, caused a more gra"&amp;"dual disappearance of the microfilariae but since it also killed the worms, the disappearance was permanent in about 90 of the cases.")</f>
        <v>Hetrazan had a spectacular and immediate effect against the microfilariae of Onchocercia volvulus but since it did not destroy the adult worms the disappearance of microfilariae was only temporary. Intravenous suramin, on the other hand, caused a more gradual disappearance of the microfilariae but since it also killed the worms, the disappearance was permanent in about 90 of the cases.</v>
      </c>
      <c r="BD120" s="697" t="str">
        <f>IFERROR(__xludf.DUMMYFUNCTION("""COMPUTED_VALUE"""),"Suramin (intravenous) 1 year 2 LTF; 2 years 1 LTF; 3 years 3 LTF. Hetrazan (oral) 1 year 8 LTF; 2 years 43 LTF. Suramin (intravenous) + Hetrazan (oral) 2 years 2 LTF.")</f>
        <v>Suramin (intravenous) 1 year 2 LTF; 2 years 1 LTF; 3 years 3 LTF. Hetrazan (oral) 1 year 8 LTF; 2 years 43 LTF. Suramin (intravenous) + Hetrazan (oral) 2 years 2 LTF.</v>
      </c>
      <c r="BE120" s="697"/>
      <c r="BF120" s="697"/>
      <c r="BG120" s="697"/>
    </row>
    <row r="121">
      <c r="A121" s="697"/>
      <c r="B121" s="697" t="str">
        <f>IFERROR(__xludf.DUMMYFUNCTION("""COMPUTED_VALUE"""),"Burch &amp; Ashburn")</f>
        <v>Burch &amp; Ashburn</v>
      </c>
      <c r="C121" s="697" t="str">
        <f>IFERROR(__xludf.DUMMYFUNCTION("""COMPUTED_VALUE"""),"Guatemala")</f>
        <v>Guatemala</v>
      </c>
      <c r="D121" s="697" t="str">
        <f>IFERROR(__xludf.DUMMYFUNCTION("""COMPUTED_VALUE"""),"Suramin (oral)")</f>
        <v>Suramin (oral)</v>
      </c>
      <c r="E121" s="697"/>
      <c r="F121" s="697"/>
      <c r="G121" s="697" t="str">
        <f>IFERROR(__xludf.DUMMYFUNCTION("""COMPUTED_VALUE"""),"0.30-0.51 g/kg")</f>
        <v>0.30-0.51 g/kg</v>
      </c>
      <c r="H121" s="697"/>
      <c r="I121" s="697"/>
      <c r="J121" s="697"/>
      <c r="K121" s="697"/>
      <c r="L121" s="697"/>
      <c r="M121" s="697"/>
      <c r="N121" s="697"/>
      <c r="O121" s="697"/>
      <c r="P121" s="697"/>
      <c r="Q121" s="697"/>
      <c r="R121" s="697"/>
      <c r="S121" s="697"/>
      <c r="T121" s="697"/>
      <c r="U121" s="697"/>
      <c r="V121" s="697"/>
      <c r="W121" s="697"/>
      <c r="X121" s="697"/>
      <c r="Y121" s="697"/>
      <c r="Z121" s="697"/>
      <c r="AA121" s="697"/>
      <c r="AB121" s="697"/>
      <c r="AC121" s="697"/>
      <c r="AD121" s="697"/>
      <c r="AE121" s="697" t="str">
        <f>IFERROR(__xludf.DUMMYFUNCTION("""COMPUTED_VALUE"""),"n/a")</f>
        <v>n/a</v>
      </c>
      <c r="AF121" s="697"/>
      <c r="AG121" s="697"/>
      <c r="AH121" s="697"/>
      <c r="AI121" s="697"/>
      <c r="AJ121" s="697"/>
      <c r="AK121" s="697" t="str">
        <f>IFERROR(__xludf.DUMMYFUNCTION("""COMPUTED_VALUE"""),"Nodulectomy: Normal worms 36.36%(4/11); necrosis of embryos or larvae 36.36%(4/11); suppression of mf and developmental stages 27.27%(3/11); dead worms 0%(0/11)")</f>
        <v>Nodulectomy: Normal worms 36.36%(4/11); necrosis of embryos or larvae 36.36%(4/11); suppression of mf and developmental stages 27.27%(3/11); dead worms 0%(0/11)</v>
      </c>
      <c r="AL121" s="697"/>
      <c r="AM121" s="697"/>
      <c r="AN121" s="697">
        <f>IFERROR(__xludf.DUMMYFUNCTION("""COMPUTED_VALUE"""),0.0)</f>
        <v>0</v>
      </c>
      <c r="AO121" s="698">
        <f>IFERROR(__xludf.DUMMYFUNCTION("""COMPUTED_VALUE"""),0.0)</f>
        <v>0</v>
      </c>
      <c r="AP121" s="697" t="str">
        <f>IFERROR(__xludf.DUMMYFUNCTION("""COMPUTED_VALUE"""),"Nodulectomy: dead worms; mf ")</f>
        <v>Nodulectomy: dead worms; mf </v>
      </c>
      <c r="AQ121" s="697"/>
      <c r="AR121" s="697">
        <f>IFERROR(__xludf.DUMMYFUNCTION("""COMPUTED_VALUE"""),1951.0)</f>
        <v>1951</v>
      </c>
      <c r="AS121" s="697">
        <f>IFERROR(__xludf.DUMMYFUNCTION("""COMPUTED_VALUE"""),28.0)</f>
        <v>28</v>
      </c>
      <c r="AT121" s="697" t="str">
        <f>IFERROR(__xludf.DUMMYFUNCTION("""COMPUTED_VALUE"""),"3 years")</f>
        <v>3 years</v>
      </c>
      <c r="AU121" s="699" t="str">
        <f>IFERROR(__xludf.DUMMYFUNCTION("""COMPUTED_VALUE"""),"Burch, T.; Ashburn, L.L. ¬(1951) Experimental Therapy of Onchocerciasis with Suramin and Hetrazan; Results of a Three-Year Study. American Journal of Tropical Medicine 31(5): 617-623.")</f>
        <v>Burch, T.; Ashburn, L.L. ¬(1951) Experimental Therapy of Onchocerciasis with Suramin and Hetrazan; Results of a Three-Year Study. American Journal of Tropical Medicine 31(5): 617-623.</v>
      </c>
      <c r="AV121" s="697"/>
      <c r="AW121" s="697"/>
      <c r="AX121" s="697"/>
      <c r="AY121" s="697" t="str">
        <f>IFERROR(__xludf.DUMMYFUNCTION("""COMPUTED_VALUE"""),"No")</f>
        <v>No</v>
      </c>
      <c r="AZ121" s="697" t="str">
        <f>IFERROR(__xludf.DUMMYFUNCTION("""COMPUTED_VALUE"""),"Yes")</f>
        <v>Yes</v>
      </c>
      <c r="BA121" s="697"/>
      <c r="BB121" s="697"/>
      <c r="BC121" s="697" t="str">
        <f>IFERROR(__xludf.DUMMYFUNCTION("""COMPUTED_VALUE"""),"Hetrazan had a spectacular and immediate effect against the microfilariae of Onchocercia volvulus but since it did not destroy the adult worms the disappearance of microfilariae was only temporary. Intravenous suramin, on the other hand, caused a more gra"&amp;"dual disappearance of the microfilariae but since it also killed the worms, the disappearance was permanent in about 90 of the cases.")</f>
        <v>Hetrazan had a spectacular and immediate effect against the microfilariae of Onchocercia volvulus but since it did not destroy the adult worms the disappearance of microfilariae was only temporary. Intravenous suramin, on the other hand, caused a more gradual disappearance of the microfilariae but since it also killed the worms, the disappearance was permanent in about 90 of the cases.</v>
      </c>
      <c r="BD121" s="697" t="str">
        <f>IFERROR(__xludf.DUMMYFUNCTION("""COMPUTED_VALUE"""),"Suramin (intravenous) 1 year 2 LTF; 2 years 1 LTF; 3 years 3 LTF. Hetrazan (oral) 1 year 8 LTF; 2 years 43 LTF. Suramin (intravenous) + Hetrazan (oral) 2 years 2 LTF.")</f>
        <v>Suramin (intravenous) 1 year 2 LTF; 2 years 1 LTF; 3 years 3 LTF. Hetrazan (oral) 1 year 8 LTF; 2 years 43 LTF. Suramin (intravenous) + Hetrazan (oral) 2 years 2 LTF.</v>
      </c>
      <c r="BE121" s="697"/>
      <c r="BF121" s="697"/>
      <c r="BG121" s="697"/>
    </row>
    <row r="122">
      <c r="A122" s="697"/>
      <c r="B122" s="697" t="str">
        <f>IFERROR(__xludf.DUMMYFUNCTION("""COMPUTED_VALUE"""),"Burch &amp; Ashburn")</f>
        <v>Burch &amp; Ashburn</v>
      </c>
      <c r="C122" s="697" t="str">
        <f>IFERROR(__xludf.DUMMYFUNCTION("""COMPUTED_VALUE"""),"Guatemala")</f>
        <v>Guatemala</v>
      </c>
      <c r="D122" s="697" t="str">
        <f>IFERROR(__xludf.DUMMYFUNCTION("""COMPUTED_VALUE"""),"Hetrazan (oral)")</f>
        <v>Hetrazan (oral)</v>
      </c>
      <c r="E122" s="697"/>
      <c r="F122" s="697"/>
      <c r="G122" s="697" t="str">
        <f>IFERROR(__xludf.DUMMYFUNCTION("""COMPUTED_VALUE"""),"101-329mg/kg; 11-78mg/kg")</f>
        <v>101-329mg/kg; 11-78mg/kg</v>
      </c>
      <c r="H122" s="697"/>
      <c r="I122" s="697"/>
      <c r="J122" s="697"/>
      <c r="K122" s="697"/>
      <c r="L122" s="697"/>
      <c r="M122" s="697"/>
      <c r="N122" s="697"/>
      <c r="O122" s="698">
        <f>IFERROR(__xludf.DUMMYFUNCTION("""COMPUTED_VALUE"""),0.9259)</f>
        <v>0.9259</v>
      </c>
      <c r="P122" s="697"/>
      <c r="Q122" s="697"/>
      <c r="R122" s="697"/>
      <c r="S122" s="697"/>
      <c r="T122" s="697"/>
      <c r="U122" s="697"/>
      <c r="V122" s="697"/>
      <c r="W122" s="698">
        <f>IFERROR(__xludf.DUMMYFUNCTION("""COMPUTED_VALUE"""),0.3043)</f>
        <v>0.3043</v>
      </c>
      <c r="X122" s="697"/>
      <c r="Y122" s="697"/>
      <c r="Z122" s="698">
        <f>IFERROR(__xludf.DUMMYFUNCTION("""COMPUTED_VALUE"""),0.0909)</f>
        <v>0.0909</v>
      </c>
      <c r="AA122" s="697"/>
      <c r="AB122" s="697"/>
      <c r="AC122" s="697"/>
      <c r="AD122" s="697"/>
      <c r="AE122" s="697" t="str">
        <f>IFERROR(__xludf.DUMMYFUNCTION("""COMPUTED_VALUE"""),"n/a")</f>
        <v>n/a</v>
      </c>
      <c r="AF122" s="697"/>
      <c r="AG122" s="697"/>
      <c r="AH122" s="697"/>
      <c r="AI122" s="697"/>
      <c r="AJ122" s="697"/>
      <c r="AK122" s="697"/>
      <c r="AL122" s="697"/>
      <c r="AM122" s="697"/>
      <c r="AN122" s="698">
        <f>IFERROR(__xludf.DUMMYFUNCTION("""COMPUTED_VALUE"""),0.9259)</f>
        <v>0.9259</v>
      </c>
      <c r="AO122" s="698">
        <f>IFERROR(__xludf.DUMMYFUNCTION("""COMPUTED_VALUE"""),0.9259)</f>
        <v>0.9259</v>
      </c>
      <c r="AP122" s="697" t="str">
        <f>IFERROR(__xludf.DUMMYFUNCTION("""COMPUTED_VALUE"""),"Mf reduction")</f>
        <v>Mf reduction</v>
      </c>
      <c r="AQ122" s="697"/>
      <c r="AR122" s="697">
        <f>IFERROR(__xludf.DUMMYFUNCTION("""COMPUTED_VALUE"""),1951.0)</f>
        <v>1951</v>
      </c>
      <c r="AS122" s="697">
        <f>IFERROR(__xludf.DUMMYFUNCTION("""COMPUTED_VALUE"""),54.0)</f>
        <v>54</v>
      </c>
      <c r="AT122" s="697" t="str">
        <f>IFERROR(__xludf.DUMMYFUNCTION("""COMPUTED_VALUE"""),"3 years")</f>
        <v>3 years</v>
      </c>
      <c r="AU122" s="699" t="str">
        <f>IFERROR(__xludf.DUMMYFUNCTION("""COMPUTED_VALUE"""),"Burch, T.; Ashburn, L.L. ¬(1951) Experimental Therapy of Onchocerciasis with Suramin and Hetrazan; Results of a Three-Year Study. American Journal of Tropical Medicine 31(5): 617-623.")</f>
        <v>Burch, T.; Ashburn, L.L. ¬(1951) Experimental Therapy of Onchocerciasis with Suramin and Hetrazan; Results of a Three-Year Study. American Journal of Tropical Medicine 31(5): 617-623.</v>
      </c>
      <c r="AV122" s="697"/>
      <c r="AW122" s="697"/>
      <c r="AX122" s="697"/>
      <c r="AY122" s="697" t="str">
        <f>IFERROR(__xludf.DUMMYFUNCTION("""COMPUTED_VALUE"""),"No")</f>
        <v>No</v>
      </c>
      <c r="AZ122" s="697" t="str">
        <f>IFERROR(__xludf.DUMMYFUNCTION("""COMPUTED_VALUE"""),"Yes")</f>
        <v>Yes</v>
      </c>
      <c r="BA122" s="697"/>
      <c r="BB122" s="697"/>
      <c r="BC122" s="697" t="str">
        <f>IFERROR(__xludf.DUMMYFUNCTION("""COMPUTED_VALUE"""),"Hetrazan had a spectacular and immediate effect against the microfilariae of Onchocercia volvulus but since it did not destroy the adult worms the disappearance of microfilariae was only temporary. Intravenous suramin, on the other hand, caused a more gra"&amp;"dual disappearance of the microfilariae but since it also killed the worms, the disappearance was permanent in about 90 of the cases.")</f>
        <v>Hetrazan had a spectacular and immediate effect against the microfilariae of Onchocercia volvulus but since it did not destroy the adult worms the disappearance of microfilariae was only temporary. Intravenous suramin, on the other hand, caused a more gradual disappearance of the microfilariae but since it also killed the worms, the disappearance was permanent in about 90 of the cases.</v>
      </c>
      <c r="BD122" s="697" t="str">
        <f>IFERROR(__xludf.DUMMYFUNCTION("""COMPUTED_VALUE"""),"Suramin (intravenous) 1 year 2 LTF; 2 years 1 LTF; 3 years 3 LTF. Hetrazan (oral) 1 year 8 LTF; 2 years 43 LTF. Suramin (intravenous) + Hetrazan (oral) 2 years 2 LTF.")</f>
        <v>Suramin (intravenous) 1 year 2 LTF; 2 years 1 LTF; 3 years 3 LTF. Hetrazan (oral) 1 year 8 LTF; 2 years 43 LTF. Suramin (intravenous) + Hetrazan (oral) 2 years 2 LTF.</v>
      </c>
      <c r="BE122" s="697"/>
      <c r="BF122" s="697"/>
      <c r="BG122" s="697"/>
    </row>
    <row r="123">
      <c r="A123" s="697"/>
      <c r="B123" s="697" t="str">
        <f>IFERROR(__xludf.DUMMYFUNCTION("""COMPUTED_VALUE"""),"Burch &amp; Ashburn")</f>
        <v>Burch &amp; Ashburn</v>
      </c>
      <c r="C123" s="697" t="str">
        <f>IFERROR(__xludf.DUMMYFUNCTION("""COMPUTED_VALUE"""),"Guatemala")</f>
        <v>Guatemala</v>
      </c>
      <c r="D123" s="697" t="str">
        <f>IFERROR(__xludf.DUMMYFUNCTION("""COMPUTED_VALUE"""),"Suramin (intravenous) &amp; Hetrazan (oral)")</f>
        <v>Suramin (intravenous) &amp; Hetrazan (oral)</v>
      </c>
      <c r="E123" s="697"/>
      <c r="F123" s="697"/>
      <c r="G123" s="697" t="str">
        <f>IFERROR(__xludf.DUMMYFUNCTION("""COMPUTED_VALUE"""),"0.03-0.21g/kg; 11-78 mg/kg")</f>
        <v>0.03-0.21g/kg; 11-78 mg/kg</v>
      </c>
      <c r="H123" s="697"/>
      <c r="I123" s="697"/>
      <c r="J123" s="697"/>
      <c r="K123" s="697"/>
      <c r="L123" s="697"/>
      <c r="M123" s="697"/>
      <c r="N123" s="697"/>
      <c r="O123" s="697"/>
      <c r="P123" s="697"/>
      <c r="Q123" s="697"/>
      <c r="R123" s="697"/>
      <c r="S123" s="697"/>
      <c r="T123" s="697"/>
      <c r="U123" s="697"/>
      <c r="V123" s="697"/>
      <c r="W123" s="697"/>
      <c r="X123" s="697"/>
      <c r="Y123" s="697"/>
      <c r="Z123" s="697"/>
      <c r="AA123" s="698">
        <f>IFERROR(__xludf.DUMMYFUNCTION("""COMPUTED_VALUE"""),0.9259)</f>
        <v>0.9259</v>
      </c>
      <c r="AB123" s="697"/>
      <c r="AC123" s="697"/>
      <c r="AD123" s="697"/>
      <c r="AE123" s="697" t="str">
        <f>IFERROR(__xludf.DUMMYFUNCTION("""COMPUTED_VALUE"""),"n/a")</f>
        <v>n/a</v>
      </c>
      <c r="AF123" s="697"/>
      <c r="AG123" s="697"/>
      <c r="AH123" s="697"/>
      <c r="AI123" s="697"/>
      <c r="AJ123" s="697"/>
      <c r="AK123" s="697"/>
      <c r="AL123" s="697"/>
      <c r="AM123" s="697"/>
      <c r="AN123" s="698">
        <f>IFERROR(__xludf.DUMMYFUNCTION("""COMPUTED_VALUE"""),0.9259)</f>
        <v>0.9259</v>
      </c>
      <c r="AO123" s="698">
        <f>IFERROR(__xludf.DUMMYFUNCTION("""COMPUTED_VALUE"""),0.9259)</f>
        <v>0.9259</v>
      </c>
      <c r="AP123" s="697" t="str">
        <f>IFERROR(__xludf.DUMMYFUNCTION("""COMPUTED_VALUE"""),"Mf reduction; nodulectomy: mf positive")</f>
        <v>Mf reduction; nodulectomy: mf positive</v>
      </c>
      <c r="AQ123" s="697"/>
      <c r="AR123" s="697">
        <f>IFERROR(__xludf.DUMMYFUNCTION("""COMPUTED_VALUE"""),1951.0)</f>
        <v>1951</v>
      </c>
      <c r="AS123" s="697">
        <f>IFERROR(__xludf.DUMMYFUNCTION("""COMPUTED_VALUE"""),29.0)</f>
        <v>29</v>
      </c>
      <c r="AT123" s="697" t="str">
        <f>IFERROR(__xludf.DUMMYFUNCTION("""COMPUTED_VALUE"""),"3 years")</f>
        <v>3 years</v>
      </c>
      <c r="AU123" s="699" t="str">
        <f>IFERROR(__xludf.DUMMYFUNCTION("""COMPUTED_VALUE"""),"Burch, T.; Ashburn, L.L. ¬(1951) Experimental Therapy of Onchocerciasis with Suramin and Hetrazan; Results of a Three-Year Study. American Journal of Tropical Medicine 31(5): 617-623.")</f>
        <v>Burch, T.; Ashburn, L.L. ¬(1951) Experimental Therapy of Onchocerciasis with Suramin and Hetrazan; Results of a Three-Year Study. American Journal of Tropical Medicine 31(5): 617-623.</v>
      </c>
      <c r="AV123" s="697"/>
      <c r="AW123" s="697"/>
      <c r="AX123" s="697"/>
      <c r="AY123" s="697" t="str">
        <f>IFERROR(__xludf.DUMMYFUNCTION("""COMPUTED_VALUE"""),"No")</f>
        <v>No</v>
      </c>
      <c r="AZ123" s="697" t="str">
        <f>IFERROR(__xludf.DUMMYFUNCTION("""COMPUTED_VALUE"""),"Yes")</f>
        <v>Yes</v>
      </c>
      <c r="BA123" s="697"/>
      <c r="BB123" s="697"/>
      <c r="BC123" s="697" t="str">
        <f>IFERROR(__xludf.DUMMYFUNCTION("""COMPUTED_VALUE"""),"Hetrazan had a spectacular and immediate effect against the microfilariae of Onchocercia volvulus but since it did not destroy the adult worms the disappearance of microfilariae was only temporary. Intravenous suramin, on the other hand, caused a more gra"&amp;"dual disappearance of the microfilariae but since it also killed the worms, the disappearance was permanent in about 90 of the cases.")</f>
        <v>Hetrazan had a spectacular and immediate effect against the microfilariae of Onchocercia volvulus but since it did not destroy the adult worms the disappearance of microfilariae was only temporary. Intravenous suramin, on the other hand, caused a more gradual disappearance of the microfilariae but since it also killed the worms, the disappearance was permanent in about 90 of the cases.</v>
      </c>
      <c r="BD123" s="697" t="str">
        <f>IFERROR(__xludf.DUMMYFUNCTION("""COMPUTED_VALUE"""),"Suramin (intravenous) 1 year 2 LTF; 2 years 1 LTF; 3 years 3 LTF. Hetrazan (oral) 1 year 8 LTF; 2 years 43 LTF. Suramin (intravenous) + Hetrazan (oral) 2 years 2 LTF.")</f>
        <v>Suramin (intravenous) 1 year 2 LTF; 2 years 1 LTF; 3 years 3 LTF. Hetrazan (oral) 1 year 8 LTF; 2 years 43 LTF. Suramin (intravenous) + Hetrazan (oral) 2 years 2 LTF.</v>
      </c>
      <c r="BE123" s="697"/>
      <c r="BF123" s="697"/>
      <c r="BG123" s="697"/>
    </row>
    <row r="124">
      <c r="A124" s="697"/>
      <c r="B124" s="697" t="str">
        <f>IFERROR(__xludf.DUMMYFUNCTION("""COMPUTED_VALUE"""),"Burch &amp; Ashburn")</f>
        <v>Burch &amp; Ashburn</v>
      </c>
      <c r="C124" s="697" t="str">
        <f>IFERROR(__xludf.DUMMYFUNCTION("""COMPUTED_VALUE"""),"Guatemala")</f>
        <v>Guatemala</v>
      </c>
      <c r="D124" s="697" t="str">
        <f>IFERROR(__xludf.DUMMYFUNCTION("""COMPUTED_VALUE"""),"Untreated")</f>
        <v>Untreated</v>
      </c>
      <c r="E124" s="697"/>
      <c r="F124" s="697"/>
      <c r="G124" s="697"/>
      <c r="H124" s="697"/>
      <c r="I124" s="697"/>
      <c r="J124" s="697"/>
      <c r="K124" s="697"/>
      <c r="L124" s="697"/>
      <c r="M124" s="697"/>
      <c r="N124" s="697"/>
      <c r="O124" s="697"/>
      <c r="P124" s="697"/>
      <c r="Q124" s="697"/>
      <c r="R124" s="697"/>
      <c r="S124" s="697"/>
      <c r="T124" s="697"/>
      <c r="U124" s="697"/>
      <c r="V124" s="697"/>
      <c r="W124" s="697"/>
      <c r="X124" s="697"/>
      <c r="Y124" s="697"/>
      <c r="Z124" s="697"/>
      <c r="AA124" s="697"/>
      <c r="AB124" s="697"/>
      <c r="AC124" s="697"/>
      <c r="AD124" s="697"/>
      <c r="AE124" s="697" t="str">
        <f>IFERROR(__xludf.DUMMYFUNCTION("""COMPUTED_VALUE"""),"n/a")</f>
        <v>n/a</v>
      </c>
      <c r="AF124" s="697"/>
      <c r="AG124" s="697"/>
      <c r="AH124" s="697"/>
      <c r="AI124" s="697"/>
      <c r="AJ124" s="697"/>
      <c r="AK124" s="697" t="str">
        <f>IFERROR(__xludf.DUMMYFUNCTION("""COMPUTED_VALUE"""),"Nodulectomy: Normal worms 68.42%(13/19); necrosis of embryos or larvae 10.53%(2/19); suppression of mf and developmental stages 15.79%(3/19); dead worms 5.26%(1/19)")</f>
        <v>Nodulectomy: Normal worms 68.42%(13/19); necrosis of embryos or larvae 10.53%(2/19); suppression of mf and developmental stages 15.79%(3/19); dead worms 5.26%(1/19)</v>
      </c>
      <c r="AL124" s="697"/>
      <c r="AM124" s="697"/>
      <c r="AN124" s="697">
        <f>IFERROR(__xludf.DUMMYFUNCTION("""COMPUTED_VALUE"""),0.0)</f>
        <v>0</v>
      </c>
      <c r="AO124" s="698">
        <f>IFERROR(__xludf.DUMMYFUNCTION("""COMPUTED_VALUE"""),0.0)</f>
        <v>0</v>
      </c>
      <c r="AP124" s="697" t="str">
        <f>IFERROR(__xludf.DUMMYFUNCTION("""COMPUTED_VALUE"""),"Nodulectomy: dead worms, mf ")</f>
        <v>Nodulectomy: dead worms, mf </v>
      </c>
      <c r="AQ124" s="697"/>
      <c r="AR124" s="697">
        <f>IFERROR(__xludf.DUMMYFUNCTION("""COMPUTED_VALUE"""),1951.0)</f>
        <v>1951</v>
      </c>
      <c r="AS124" s="697">
        <f>IFERROR(__xludf.DUMMYFUNCTION("""COMPUTED_VALUE"""),19.0)</f>
        <v>19</v>
      </c>
      <c r="AT124" s="697" t="str">
        <f>IFERROR(__xludf.DUMMYFUNCTION("""COMPUTED_VALUE"""),"3 years")</f>
        <v>3 years</v>
      </c>
      <c r="AU124" s="699" t="str">
        <f>IFERROR(__xludf.DUMMYFUNCTION("""COMPUTED_VALUE"""),"Burch, T.; Ashburn, L.L. ¬(1951) Experimental Therapy of Onchocerciasis with Suramin and Hetrazan; Results of a Three-Year Study. American Journal of Tropical Medicine 31(5): 617-623.")</f>
        <v>Burch, T.; Ashburn, L.L. ¬(1951) Experimental Therapy of Onchocerciasis with Suramin and Hetrazan; Results of a Three-Year Study. American Journal of Tropical Medicine 31(5): 617-623.</v>
      </c>
      <c r="AV124" s="697"/>
      <c r="AW124" s="697"/>
      <c r="AX124" s="697"/>
      <c r="AY124" s="697" t="str">
        <f>IFERROR(__xludf.DUMMYFUNCTION("""COMPUTED_VALUE"""),"No")</f>
        <v>No</v>
      </c>
      <c r="AZ124" s="697" t="str">
        <f>IFERROR(__xludf.DUMMYFUNCTION("""COMPUTED_VALUE"""),"Yes")</f>
        <v>Yes</v>
      </c>
      <c r="BA124" s="697"/>
      <c r="BB124" s="697"/>
      <c r="BC124" s="697" t="str">
        <f>IFERROR(__xludf.DUMMYFUNCTION("""COMPUTED_VALUE"""),"Hetrazan had a spectacular and immediate effect against the microfilariae of Onchocercia volvulus but since it did not destroy the adult worms the disappearance of microfilariae was only temporary. Intravenous suramin, on the other hand, caused a more gra"&amp;"dual disappearance of the microfilariae but since it also killed the worms, the disappearance was permanent in about 90 of the cases.")</f>
        <v>Hetrazan had a spectacular and immediate effect against the microfilariae of Onchocercia volvulus but since it did not destroy the adult worms the disappearance of microfilariae was only temporary. Intravenous suramin, on the other hand, caused a more gradual disappearance of the microfilariae but since it also killed the worms, the disappearance was permanent in about 90 of the cases.</v>
      </c>
      <c r="BD124" s="697" t="str">
        <f>IFERROR(__xludf.DUMMYFUNCTION("""COMPUTED_VALUE"""),"Suramin (intravenous) 1 year 2 LTF; 2 years 1 LTF; 3 years 3 LTF. Hetrazan (oral) 1 year 8 LTF; 2 years 43 LTF. Suramin (intravenous) + Hetrazan (oral) 2 years 2 LTF.")</f>
        <v>Suramin (intravenous) 1 year 2 LTF; 2 years 1 LTF; 3 years 3 LTF. Hetrazan (oral) 1 year 8 LTF; 2 years 43 LTF. Suramin (intravenous) + Hetrazan (oral) 2 years 2 LTF.</v>
      </c>
      <c r="BE124" s="697"/>
      <c r="BF124" s="697"/>
      <c r="BG124" s="697"/>
    </row>
    <row r="125">
      <c r="A125" s="697"/>
      <c r="B125" s="697" t="str">
        <f>IFERROR(__xludf.DUMMYFUNCTION("""COMPUTED_VALUE"""),"Burch")</f>
        <v>Burch</v>
      </c>
      <c r="C125" s="697" t="str">
        <f>IFERROR(__xludf.DUMMYFUNCTION("""COMPUTED_VALUE"""),"Guatemala")</f>
        <v>Guatemala</v>
      </c>
      <c r="D125" s="697" t="str">
        <f>IFERROR(__xludf.DUMMYFUNCTION("""COMPUTED_VALUE"""),"Suramin")</f>
        <v>Suramin</v>
      </c>
      <c r="E125" s="697" t="str">
        <f>IFERROR(__xludf.DUMMYFUNCTION("""COMPUTED_VALUE"""),".02 g/kg-0.5 g/kg; 1g/kg")</f>
        <v>.02 g/kg-0.5 g/kg; 1g/kg</v>
      </c>
      <c r="F125" s="697" t="str">
        <f>IFERROR(__xludf.DUMMYFUNCTION("""COMPUTED_VALUE"""),"1, 5-7")</f>
        <v>1, 5-7</v>
      </c>
      <c r="G125" s="697" t="str">
        <f>IFERROR(__xludf.DUMMYFUNCTION("""COMPUTED_VALUE"""),"5.02g/kg-5.5g/kg")</f>
        <v>5.02g/kg-5.5g/kg</v>
      </c>
      <c r="H125" s="697"/>
      <c r="I125" s="697"/>
      <c r="J125" s="697"/>
      <c r="K125" s="697"/>
      <c r="L125" s="697"/>
      <c r="M125" s="697"/>
      <c r="N125" s="697"/>
      <c r="O125" s="697"/>
      <c r="P125" s="697"/>
      <c r="Q125" s="697"/>
      <c r="R125" s="697"/>
      <c r="S125" s="698">
        <f>IFERROR(__xludf.DUMMYFUNCTION("""COMPUTED_VALUE"""),0.7059)</f>
        <v>0.7059</v>
      </c>
      <c r="T125" s="698">
        <f>IFERROR(__xludf.DUMMYFUNCTION("""COMPUTED_VALUE"""),0.9167)</f>
        <v>0.9167</v>
      </c>
      <c r="U125" s="697"/>
      <c r="V125" s="697"/>
      <c r="W125" s="697"/>
      <c r="X125" s="697"/>
      <c r="Y125" s="697"/>
      <c r="Z125" s="697"/>
      <c r="AA125" s="697"/>
      <c r="AB125" s="697"/>
      <c r="AC125" s="697"/>
      <c r="AD125" s="697"/>
      <c r="AE125" s="697"/>
      <c r="AF125" s="697"/>
      <c r="AG125" s="697"/>
      <c r="AH125" s="698">
        <f>IFERROR(__xludf.DUMMYFUNCTION("""COMPUTED_VALUE"""),0.7059)</f>
        <v>0.7059</v>
      </c>
      <c r="AI125" s="698">
        <f>IFERROR(__xludf.DUMMYFUNCTION("""COMPUTED_VALUE"""),0.9167)</f>
        <v>0.9167</v>
      </c>
      <c r="AJ125" s="697"/>
      <c r="AK125" s="697"/>
      <c r="AL125" s="697"/>
      <c r="AM125" s="697"/>
      <c r="AN125" s="698">
        <f>IFERROR(__xludf.DUMMYFUNCTION("""COMPUTED_VALUE"""),0.7059)</f>
        <v>0.7059</v>
      </c>
      <c r="AO125" s="698">
        <f>IFERROR(__xludf.DUMMYFUNCTION("""COMPUTED_VALUE"""),0.7059)</f>
        <v>0.7059</v>
      </c>
      <c r="AP125" s="697" t="str">
        <f>IFERROR(__xludf.DUMMYFUNCTION("""COMPUTED_VALUE"""),"Mf reduction")</f>
        <v>Mf reduction</v>
      </c>
      <c r="AQ125" s="697"/>
      <c r="AR125" s="697">
        <f>IFERROR(__xludf.DUMMYFUNCTION("""COMPUTED_VALUE"""),1949.0)</f>
        <v>1949</v>
      </c>
      <c r="AS125" s="697">
        <f>IFERROR(__xludf.DUMMYFUNCTION("""COMPUTED_VALUE"""),56.0)</f>
        <v>56</v>
      </c>
      <c r="AT125" s="697" t="str">
        <f>IFERROR(__xludf.DUMMYFUNCTION("""COMPUTED_VALUE"""),"8 months")</f>
        <v>8 months</v>
      </c>
      <c r="AU125" s="699" t="str">
        <f>IFERROR(__xludf.DUMMYFUNCTION("""COMPUTED_VALUE"""),"Burch, T.A. Experimental Therapy of Onchocerciasis with Suramin and Hatrazan. (1949) Boletin de la Oficina Sanitaria Panamericana, Pan American Sanitary Bureau 28(3): 233-248.")</f>
        <v>Burch, T.A. Experimental Therapy of Onchocerciasis with Suramin and Hatrazan. (1949) Boletin de la Oficina Sanitaria Panamericana, Pan American Sanitary Bureau 28(3): 233-248.</v>
      </c>
      <c r="AV125" s="697"/>
      <c r="AW125" s="697"/>
      <c r="AX125" s="697"/>
      <c r="AY125" s="697" t="str">
        <f>IFERROR(__xludf.DUMMYFUNCTION("""COMPUTED_VALUE"""),"No")</f>
        <v>No</v>
      </c>
      <c r="AZ125" s="697" t="str">
        <f>IFERROR(__xludf.DUMMYFUNCTION("""COMPUTED_VALUE"""),"No")</f>
        <v>No</v>
      </c>
      <c r="BA125" s="697"/>
      <c r="BB125" s="697"/>
      <c r="BC125" s="697" t="str">
        <f>IFERROR(__xludf.DUMMYFUNCTION("""COMPUTED_VALUE"""),"The results of these studies show that the treatment with either suramin or Hetrazan will cause the disappearance of the microfilariae of Onchocerca volvulus. The immediate results with Hetrazan were spectacular.")</f>
        <v>The results of these studies show that the treatment with either suramin or Hetrazan will cause the disappearance of the microfilariae of Onchocerca volvulus. The immediate results with Hetrazan were spectacular.</v>
      </c>
      <c r="BD125" s="697" t="str">
        <f>IFERROR(__xludf.DUMMYFUNCTION("""COMPUTED_VALUE"""),"22 of the 56 patients refused to complete the full course of 8 injections of Suramin.")</f>
        <v>22 of the 56 patients refused to complete the full course of 8 injections of Suramin.</v>
      </c>
      <c r="BE125" s="697"/>
      <c r="BF125" s="697"/>
      <c r="BG125" s="697"/>
    </row>
    <row r="126">
      <c r="A126" s="697"/>
      <c r="B126" s="697" t="str">
        <f>IFERROR(__xludf.DUMMYFUNCTION("""COMPUTED_VALUE"""),"Chijoke et al.")</f>
        <v>Chijoke et al.</v>
      </c>
      <c r="C126" s="697" t="str">
        <f>IFERROR(__xludf.DUMMYFUNCTION("""COMPUTED_VALUE"""),"Nigeria")</f>
        <v>Nigeria</v>
      </c>
      <c r="D126" s="697" t="str">
        <f>IFERROR(__xludf.DUMMYFUNCTION("""COMPUTED_VALUE"""),"Suramin")</f>
        <v>Suramin</v>
      </c>
      <c r="E126" s="697" t="str">
        <f>IFERROR(__xludf.DUMMYFUNCTION("""COMPUTED_VALUE"""),".0067g/kg, .01g/kg, .0133g/kg, .0167g/kg ")</f>
        <v>.0067g/kg, .01g/kg, .0133g/kg, .0167g/kg </v>
      </c>
      <c r="F126" s="697" t="str">
        <f>IFERROR(__xludf.DUMMYFUNCTION("""COMPUTED_VALUE"""),"1,1, 1, 1, 1")</f>
        <v>1,1, 1, 1, 1</v>
      </c>
      <c r="G126" s="697" t="str">
        <f>IFERROR(__xludf.DUMMYFUNCTION("""COMPUTED_VALUE"""),".017g/kg")</f>
        <v>.017g/kg</v>
      </c>
      <c r="H126" s="697"/>
      <c r="I126" s="697"/>
      <c r="J126" s="697"/>
      <c r="K126" s="697"/>
      <c r="L126" s="697"/>
      <c r="M126" s="697"/>
      <c r="N126" s="697"/>
      <c r="O126" s="697"/>
      <c r="P126" s="697"/>
      <c r="Q126" s="697"/>
      <c r="R126" s="697"/>
      <c r="S126" s="700">
        <f>IFERROR(__xludf.DUMMYFUNCTION("""COMPUTED_VALUE"""),0.8)</f>
        <v>0.8</v>
      </c>
      <c r="T126" s="700">
        <f>IFERROR(__xludf.DUMMYFUNCTION("""COMPUTED_VALUE"""),0.8)</f>
        <v>0.8</v>
      </c>
      <c r="U126" s="697"/>
      <c r="V126" s="697"/>
      <c r="W126" s="700">
        <f>IFERROR(__xludf.DUMMYFUNCTION("""COMPUTED_VALUE"""),0.8)</f>
        <v>0.8</v>
      </c>
      <c r="X126" s="697"/>
      <c r="Y126" s="697"/>
      <c r="Z126" s="697"/>
      <c r="AA126" s="697"/>
      <c r="AB126" s="697"/>
      <c r="AC126" s="697"/>
      <c r="AD126" s="697"/>
      <c r="AE126" s="697"/>
      <c r="AF126" s="697"/>
      <c r="AG126" s="697"/>
      <c r="AH126" s="697"/>
      <c r="AI126" s="697"/>
      <c r="AJ126" s="697"/>
      <c r="AK126" s="697"/>
      <c r="AL126" s="697"/>
      <c r="AM126" s="697"/>
      <c r="AN126" s="700">
        <f>IFERROR(__xludf.DUMMYFUNCTION("""COMPUTED_VALUE"""),0.8)</f>
        <v>0.8</v>
      </c>
      <c r="AO126" s="698">
        <f>IFERROR(__xludf.DUMMYFUNCTION("""COMPUTED_VALUE"""),0.8)</f>
        <v>0.8</v>
      </c>
      <c r="AP126" s="697" t="str">
        <f>IFERROR(__xludf.DUMMYFUNCTION("""COMPUTED_VALUE"""),"Mf reduction")</f>
        <v>Mf reduction</v>
      </c>
      <c r="AQ126" s="697"/>
      <c r="AR126" s="697">
        <f>IFERROR(__xludf.DUMMYFUNCTION("""COMPUTED_VALUE"""),1998.0)</f>
        <v>1998</v>
      </c>
      <c r="AS126" s="697">
        <f>IFERROR(__xludf.DUMMYFUNCTION("""COMPUTED_VALUE"""),10.0)</f>
        <v>10</v>
      </c>
      <c r="AT126" s="697" t="str">
        <f>IFERROR(__xludf.DUMMYFUNCTION("""COMPUTED_VALUE"""),"12 months")</f>
        <v>12 months</v>
      </c>
      <c r="AU126" s="699" t="str">
        <f>IFERROR(__xludf.DUMMYFUNCTION("""COMPUTED_VALUE"""),"Chijoke, C.P.; Umeh, R.E.; Mbah, A.U.; Nwonu, P.; Fleckenstein, L.L.; Okonkwo, P.O. Clinical pharmacokinetics of suramin in patients with onchocerciasis. (1998) Eur J Clin Pharmacol 54: 249-251.")</f>
        <v>Chijoke, C.P.; Umeh, R.E.; Mbah, A.U.; Nwonu, P.; Fleckenstein, L.L.; Okonkwo, P.O. Clinical pharmacokinetics of suramin in patients with onchocerciasis. (1998) Eur J Clin Pharmacol 54: 249-251.</v>
      </c>
      <c r="AV126" s="697" t="str">
        <f>IFERROR(__xludf.DUMMYFUNCTION("""COMPUTED_VALUE"""),"M")</f>
        <v>M</v>
      </c>
      <c r="AW126" s="697" t="str">
        <f>IFERROR(__xludf.DUMMYFUNCTION("""COMPUTED_VALUE"""),"21-45 years")</f>
        <v>21-45 years</v>
      </c>
      <c r="AX126" s="697" t="str">
        <f>IFERROR(__xludf.DUMMYFUNCTION("""COMPUTED_VALUE"""),"Patients were excluded if they had evidence of a serious medical disorder, onchocercal eye disease, drug allergy/intolerance, other microfilarial infection, infection with Schistosoma haematobium, or if they had been administered an antifilarial drug with"&amp;"in the past 2 years.")</f>
        <v>Patients were excluded if they had evidence of a serious medical disorder, onchocercal eye disease, drug allergy/intolerance, other microfilarial infection, infection with Schistosoma haematobium, or if they had been administered an antifilarial drug within the past 2 years.</v>
      </c>
      <c r="AY126" s="697" t="str">
        <f>IFERROR(__xludf.DUMMYFUNCTION("""COMPUTED_VALUE"""),"No")</f>
        <v>No</v>
      </c>
      <c r="AZ126" s="697" t="str">
        <f>IFERROR(__xludf.DUMMYFUNCTION("""COMPUTED_VALUE"""),"No")</f>
        <v>No</v>
      </c>
      <c r="BA126" s="697"/>
      <c r="BB126" s="697"/>
      <c r="BC126" s="697" t="str">
        <f>IFERROR(__xludf.DUMMYFUNCTION("""COMPUTED_VALUE"""),"Elimination from patients with onchocerciasis was relatively slow; microfilariae were eliminated in eight out of ten patients.")</f>
        <v>Elimination from patients with onchocerciasis was relatively slow; microfilariae were eliminated in eight out of ten patients.</v>
      </c>
      <c r="BD126" s="697"/>
      <c r="BE126" s="697"/>
      <c r="BF126" s="697"/>
      <c r="BG126" s="697"/>
    </row>
    <row r="127" hidden="1">
      <c r="A127" s="697"/>
      <c r="B127" s="697" t="str">
        <f>IFERROR(__xludf.DUMMYFUNCTION("""COMPUTED_VALUE"""),"Rodger ")</f>
        <v>Rodger </v>
      </c>
      <c r="C127" s="697"/>
      <c r="D127" s="697" t="str">
        <f>IFERROR(__xludf.DUMMYFUNCTION("""COMPUTED_VALUE"""),"Suramin")</f>
        <v>Suramin</v>
      </c>
      <c r="E127" s="697" t="str">
        <f>IFERROR(__xludf.DUMMYFUNCTION("""COMPUTED_VALUE"""),"0.5g, .75g, 1g, 2g")</f>
        <v>0.5g, .75g, 1g, 2g</v>
      </c>
      <c r="F127" s="697" t="str">
        <f>IFERROR(__xludf.DUMMYFUNCTION("""COMPUTED_VALUE"""),"1, 2, 2, 4")</f>
        <v>1, 2, 2, 4</v>
      </c>
      <c r="G127" s="697" t="str">
        <f>IFERROR(__xludf.DUMMYFUNCTION("""COMPUTED_VALUE"""),"12 g")</f>
        <v>12 g</v>
      </c>
      <c r="H127" s="697"/>
      <c r="I127" s="697"/>
      <c r="J127" s="697"/>
      <c r="K127" s="697"/>
      <c r="L127" s="698">
        <f>IFERROR(__xludf.DUMMYFUNCTION("""COMPUTED_VALUE"""),0.836)</f>
        <v>0.836</v>
      </c>
      <c r="M127" s="697"/>
      <c r="N127" s="697"/>
      <c r="O127" s="697"/>
      <c r="P127" s="697"/>
      <c r="Q127" s="697"/>
      <c r="R127" s="697"/>
      <c r="S127" s="697"/>
      <c r="T127" s="697"/>
      <c r="U127" s="697"/>
      <c r="V127" s="697"/>
      <c r="W127" s="697"/>
      <c r="X127" s="697"/>
      <c r="Y127" s="697"/>
      <c r="Z127" s="697"/>
      <c r="AA127" s="697"/>
      <c r="AB127" s="697"/>
      <c r="AC127" s="697"/>
      <c r="AD127" s="697"/>
      <c r="AE127" s="697" t="str">
        <f>IFERROR(__xludf.DUMMYFUNCTION("""COMPUTED_VALUE"""),"n/a")</f>
        <v>n/a</v>
      </c>
      <c r="AF127" s="697"/>
      <c r="AG127" s="697"/>
      <c r="AH127" s="697"/>
      <c r="AI127" s="697"/>
      <c r="AJ127" s="697"/>
      <c r="AK127" s="697"/>
      <c r="AL127" s="697"/>
      <c r="AM127" s="697"/>
      <c r="AN127" s="698">
        <f>IFERROR(__xludf.DUMMYFUNCTION("""COMPUTED_VALUE"""),0.836)</f>
        <v>0.836</v>
      </c>
      <c r="AO127" s="698">
        <f>IFERROR(__xludf.DUMMYFUNCTION("""COMPUTED_VALUE"""),0.836)</f>
        <v>0.836</v>
      </c>
      <c r="AP127" s="697" t="str">
        <f>IFERROR(__xludf.DUMMYFUNCTION("""COMPUTED_VALUE"""),"Mf reduction")</f>
        <v>Mf reduction</v>
      </c>
      <c r="AQ127" s="697"/>
      <c r="AR127" s="697">
        <f>IFERROR(__xludf.DUMMYFUNCTION("""COMPUTED_VALUE"""),1958.0)</f>
        <v>1958</v>
      </c>
      <c r="AS127" s="697">
        <f>IFERROR(__xludf.DUMMYFUNCTION("""COMPUTED_VALUE"""),5.0)</f>
        <v>5</v>
      </c>
      <c r="AT127" s="697" t="str">
        <f>IFERROR(__xludf.DUMMYFUNCTION("""COMPUTED_VALUE"""),"18 days")</f>
        <v>18 days</v>
      </c>
      <c r="AU127" s="699" t="str">
        <f>IFERROR(__xludf.DUMMYFUNCTION("""COMPUTED_VALUE"""),"Rodger, F.C. Comparison of the Effect Upon Onchocerciasis of Five Drugs and Selection of the One Best Able to Prevent Ocular Complications. (1958) Transactions of the Royal Society of Tropical Medicine and Hygiene 52(5):462-467.")</f>
        <v>Rodger, F.C. Comparison of the Effect Upon Onchocerciasis of Five Drugs and Selection of the One Best Able to Prevent Ocular Complications. (1958) Transactions of the Royal Society of Tropical Medicine and Hygiene 52(5):462-467.</v>
      </c>
      <c r="AV127" s="697"/>
      <c r="AW127" s="697"/>
      <c r="AX127" s="697"/>
      <c r="AY127" s="697" t="str">
        <f>IFERROR(__xludf.DUMMYFUNCTION("""COMPUTED_VALUE"""),"No")</f>
        <v>No</v>
      </c>
      <c r="AZ127" s="697" t="str">
        <f>IFERROR(__xludf.DUMMYFUNCTION("""COMPUTED_VALUE"""),"No")</f>
        <v>No</v>
      </c>
      <c r="BA127" s="697"/>
      <c r="BB127" s="697"/>
      <c r="BC127" s="697" t="str">
        <f>IFERROR(__xludf.DUMMYFUNCTION("""COMPUTED_VALUE"""),"Cyanide, arsenamide, and antimony tartrate were unsuccessful in killing the microfilariae at the levels administered. Hetrazan and suramin, on the other hand, killed microfilariae-in the case of the former drug completely-so it seems 10grammes of hetrazan"&amp;" is an adequate dosage to achieve sterilization of the skin and eye. ")</f>
        <v>Cyanide, arsenamide, and antimony tartrate were unsuccessful in killing the microfilariae at the levels administered. Hetrazan and suramin, on the other hand, killed microfilariae-in the case of the former drug completely-so it seems 10grammes of hetrazan is an adequate dosage to achieve sterilization of the skin and eye. </v>
      </c>
      <c r="BD127" s="697"/>
      <c r="BE127" s="697"/>
      <c r="BF127" s="697"/>
      <c r="BG127" s="697" t="str">
        <f>IFERROR(__xludf.DUMMYFUNCTION("""COMPUTED_VALUE"""),"x")</f>
        <v>x</v>
      </c>
    </row>
    <row r="128">
      <c r="A128" s="697"/>
      <c r="B128" s="697" t="str">
        <f>IFERROR(__xludf.DUMMYFUNCTION("""COMPUTED_VALUE"""),"Anderson et al.")</f>
        <v>Anderson et al.</v>
      </c>
      <c r="C128" s="697" t="str">
        <f>IFERROR(__xludf.DUMMYFUNCTION("""COMPUTED_VALUE"""),"Cameroon")</f>
        <v>Cameroon</v>
      </c>
      <c r="D128" s="697" t="str">
        <f>IFERROR(__xludf.DUMMYFUNCTION("""COMPUTED_VALUE"""),"Suramin")</f>
        <v>Suramin</v>
      </c>
      <c r="E128" s="697" t="str">
        <f>IFERROR(__xludf.DUMMYFUNCTION("""COMPUTED_VALUE"""),"1g")</f>
        <v>1g</v>
      </c>
      <c r="F128" s="697">
        <f>IFERROR(__xludf.DUMMYFUNCTION("""COMPUTED_VALUE"""),4.0)</f>
        <v>4</v>
      </c>
      <c r="G128" s="697" t="str">
        <f>IFERROR(__xludf.DUMMYFUNCTION("""COMPUTED_VALUE"""),"4 g")</f>
        <v>4 g</v>
      </c>
      <c r="H128" s="697"/>
      <c r="I128" s="697"/>
      <c r="J128" s="697"/>
      <c r="K128" s="697"/>
      <c r="L128" s="697"/>
      <c r="M128" s="697"/>
      <c r="N128" s="698">
        <f>IFERROR(__xludf.DUMMYFUNCTION("""COMPUTED_VALUE"""),0.2295)</f>
        <v>0.2295</v>
      </c>
      <c r="O128" s="697"/>
      <c r="P128" s="697"/>
      <c r="Q128" s="698">
        <f>IFERROR(__xludf.DUMMYFUNCTION("""COMPUTED_VALUE"""),0.4918)</f>
        <v>0.4918</v>
      </c>
      <c r="R128" s="697"/>
      <c r="S128" s="697"/>
      <c r="T128" s="697"/>
      <c r="U128" s="697"/>
      <c r="V128" s="697"/>
      <c r="W128" s="698">
        <f>IFERROR(__xludf.DUMMYFUNCTION("""COMPUTED_VALUE"""),0.836)</f>
        <v>0.836</v>
      </c>
      <c r="X128" s="697"/>
      <c r="Y128" s="697"/>
      <c r="Z128" s="698">
        <f>IFERROR(__xludf.DUMMYFUNCTION("""COMPUTED_VALUE"""),0.9016)</f>
        <v>0.9016</v>
      </c>
      <c r="AA128" s="697"/>
      <c r="AB128" s="697"/>
      <c r="AC128" s="697"/>
      <c r="AD128" s="697"/>
      <c r="AE128" s="697" t="str">
        <f>IFERROR(__xludf.DUMMYFUNCTION("""COMPUTED_VALUE"""),"n/a")</f>
        <v>n/a</v>
      </c>
      <c r="AF128" s="697"/>
      <c r="AG128" s="697"/>
      <c r="AH128" s="697"/>
      <c r="AI128" s="697"/>
      <c r="AJ128" s="697"/>
      <c r="AK128" s="697"/>
      <c r="AL128" s="697"/>
      <c r="AM128" s="697"/>
      <c r="AN128" s="698">
        <f>IFERROR(__xludf.DUMMYFUNCTION("""COMPUTED_VALUE"""),0.4918)</f>
        <v>0.4918</v>
      </c>
      <c r="AO128" s="698">
        <f>IFERROR(__xludf.DUMMYFUNCTION("""COMPUTED_VALUE"""),0.4918)</f>
        <v>0.4918</v>
      </c>
      <c r="AP128" s="697" t="str">
        <f>IFERROR(__xludf.DUMMYFUNCTION("""COMPUTED_VALUE"""),"Mf reduction")</f>
        <v>Mf reduction</v>
      </c>
      <c r="AQ128" s="697" t="str">
        <f>IFERROR(__xludf.DUMMYFUNCTION("""COMPUTED_VALUE"""),"Sudan-savanna zone of north Cahmeroon")</f>
        <v>Sudan-savanna zone of north Cahmeroon</v>
      </c>
      <c r="AR128" s="697">
        <f>IFERROR(__xludf.DUMMYFUNCTION("""COMPUTED_VALUE"""),1976.0)</f>
        <v>1976</v>
      </c>
      <c r="AS128" s="697">
        <f>IFERROR(__xludf.DUMMYFUNCTION("""COMPUTED_VALUE"""),25.0)</f>
        <v>25</v>
      </c>
      <c r="AT128" s="697" t="str">
        <f>IFERROR(__xludf.DUMMYFUNCTION("""COMPUTED_VALUE"""),"2 years")</f>
        <v>2 years</v>
      </c>
      <c r="AU128" s="699" t="str">
        <f>IFERROR(__xludf.DUMMYFUNCTION("""COMPUTED_VALUE"""),"Anderson, J. Fugsang H. Effects of Suramin on Ocular Onchocerciasis (1976) Tropenmed. Parasit. 27: 279-296.")</f>
        <v>Anderson, J. Fugsang H. Effects of Suramin on Ocular Onchocerciasis (1976) Tropenmed. Parasit. 27: 279-296.</v>
      </c>
      <c r="AV128" s="697"/>
      <c r="AW128" s="697"/>
      <c r="AX128" s="697"/>
      <c r="AY128" s="697" t="str">
        <f>IFERROR(__xludf.DUMMYFUNCTION("""COMPUTED_VALUE"""),"No")</f>
        <v>No</v>
      </c>
      <c r="AZ128" s="697" t="str">
        <f>IFERROR(__xludf.DUMMYFUNCTION("""COMPUTED_VALUE"""),"Yes")</f>
        <v>Yes</v>
      </c>
      <c r="BA128" s="697"/>
      <c r="BB128" s="697"/>
      <c r="BC128" s="697" t="str">
        <f>IFERROR(__xludf.DUMMYFUNCTION("""COMPUTED_VALUE"""),"The 2 deaths and the many unpleasant and serious side effects such as stomatitis, exfoliative dermatitis, and iritis caused by Suramin in the study again underline the care with which this drug must be handled, and the urgency for a better understanding o"&amp;"f its toxicity.")</f>
        <v>The 2 deaths and the many unpleasant and serious side effects such as stomatitis, exfoliative dermatitis, and iritis caused by Suramin in the study again underline the care with which this drug must be handled, and the urgency for a better understanding of its toxicity.</v>
      </c>
      <c r="BD128" s="697" t="str">
        <f>IFERROR(__xludf.DUMMYFUNCTION("""COMPUTED_VALUE"""),"Of the original 120 patients, 16 did not complete the course for reasons including refusal, change of treatment, stomatitis, dermatitis, severe iritis, general malaise, moved away, death attributed to Suramin, and death from unknown causes.")</f>
        <v>Of the original 120 patients, 16 did not complete the course for reasons including refusal, change of treatment, stomatitis, dermatitis, severe iritis, general malaise, moved away, death attributed to Suramin, and death from unknown causes.</v>
      </c>
      <c r="BE128" s="697"/>
      <c r="BF128" s="697"/>
      <c r="BG128" s="697"/>
    </row>
    <row r="129">
      <c r="A129" s="697"/>
      <c r="B129" s="697" t="str">
        <f>IFERROR(__xludf.DUMMYFUNCTION("""COMPUTED_VALUE"""),"Anderson et al.")</f>
        <v>Anderson et al.</v>
      </c>
      <c r="C129" s="697" t="str">
        <f>IFERROR(__xludf.DUMMYFUNCTION("""COMPUTED_VALUE"""),"Cameroon")</f>
        <v>Cameroon</v>
      </c>
      <c r="D129" s="697" t="str">
        <f>IFERROR(__xludf.DUMMYFUNCTION("""COMPUTED_VALUE"""),"Suramin")</f>
        <v>Suramin</v>
      </c>
      <c r="E129" s="697" t="str">
        <f>IFERROR(__xludf.DUMMYFUNCTION("""COMPUTED_VALUE"""),"1g")</f>
        <v>1g</v>
      </c>
      <c r="F129" s="704">
        <f>IFERROR(__xludf.DUMMYFUNCTION("""COMPUTED_VALUE"""),42529.0)</f>
        <v>42529</v>
      </c>
      <c r="G129" s="697" t="str">
        <f>IFERROR(__xludf.DUMMYFUNCTION("""COMPUTED_VALUE"""),"5-6 g")</f>
        <v>5-6 g</v>
      </c>
      <c r="H129" s="697"/>
      <c r="I129" s="697"/>
      <c r="J129" s="697"/>
      <c r="K129" s="697"/>
      <c r="L129" s="697"/>
      <c r="M129" s="697"/>
      <c r="N129" s="698">
        <f>IFERROR(__xludf.DUMMYFUNCTION("""COMPUTED_VALUE"""),0.0238)</f>
        <v>0.0238</v>
      </c>
      <c r="O129" s="697"/>
      <c r="P129" s="697"/>
      <c r="Q129" s="698">
        <f>IFERROR(__xludf.DUMMYFUNCTION("""COMPUTED_VALUE"""),0.5953)</f>
        <v>0.5953</v>
      </c>
      <c r="R129" s="697"/>
      <c r="S129" s="697"/>
      <c r="T129" s="697"/>
      <c r="U129" s="697"/>
      <c r="V129" s="697"/>
      <c r="W129" s="698">
        <f>IFERROR(__xludf.DUMMYFUNCTION("""COMPUTED_VALUE"""),0.8571)</f>
        <v>0.8571</v>
      </c>
      <c r="X129" s="697"/>
      <c r="Y129" s="697"/>
      <c r="Z129" s="698">
        <f>IFERROR(__xludf.DUMMYFUNCTION("""COMPUTED_VALUE"""),0.881)</f>
        <v>0.881</v>
      </c>
      <c r="AA129" s="697"/>
      <c r="AB129" s="697"/>
      <c r="AC129" s="697"/>
      <c r="AD129" s="697"/>
      <c r="AE129" s="697" t="str">
        <f>IFERROR(__xludf.DUMMYFUNCTION("""COMPUTED_VALUE"""),"n/a")</f>
        <v>n/a</v>
      </c>
      <c r="AF129" s="697"/>
      <c r="AG129" s="697"/>
      <c r="AH129" s="697"/>
      <c r="AI129" s="697"/>
      <c r="AJ129" s="697"/>
      <c r="AK129" s="697"/>
      <c r="AL129" s="697"/>
      <c r="AM129" s="697"/>
      <c r="AN129" s="698">
        <f>IFERROR(__xludf.DUMMYFUNCTION("""COMPUTED_VALUE"""),0.5953)</f>
        <v>0.5953</v>
      </c>
      <c r="AO129" s="698">
        <f>IFERROR(__xludf.DUMMYFUNCTION("""COMPUTED_VALUE"""),0.5953)</f>
        <v>0.5953</v>
      </c>
      <c r="AP129" s="697" t="str">
        <f>IFERROR(__xludf.DUMMYFUNCTION("""COMPUTED_VALUE"""),"Mf reduction")</f>
        <v>Mf reduction</v>
      </c>
      <c r="AQ129" s="697" t="str">
        <f>IFERROR(__xludf.DUMMYFUNCTION("""COMPUTED_VALUE"""),"Sudan-savanna zone of north Cahmeroon")</f>
        <v>Sudan-savanna zone of north Cahmeroon</v>
      </c>
      <c r="AR129" s="697">
        <f>IFERROR(__xludf.DUMMYFUNCTION("""COMPUTED_VALUE"""),1976.0)</f>
        <v>1976</v>
      </c>
      <c r="AS129" s="697">
        <f>IFERROR(__xludf.DUMMYFUNCTION("""COMPUTED_VALUE"""),25.0)</f>
        <v>25</v>
      </c>
      <c r="AT129" s="697" t="str">
        <f>IFERROR(__xludf.DUMMYFUNCTION("""COMPUTED_VALUE"""),"2 years")</f>
        <v>2 years</v>
      </c>
      <c r="AU129" s="699" t="str">
        <f>IFERROR(__xludf.DUMMYFUNCTION("""COMPUTED_VALUE"""),"Anderson, J. Fugsang H. Effects of Suramin on Ocular Onchocerciasis (1976) Tropenmed. Parasit. 27: 279-296.")</f>
        <v>Anderson, J. Fugsang H. Effects of Suramin on Ocular Onchocerciasis (1976) Tropenmed. Parasit. 27: 279-296.</v>
      </c>
      <c r="AV129" s="697"/>
      <c r="AW129" s="697"/>
      <c r="AX129" s="697"/>
      <c r="AY129" s="697" t="str">
        <f>IFERROR(__xludf.DUMMYFUNCTION("""COMPUTED_VALUE"""),"No")</f>
        <v>No</v>
      </c>
      <c r="AZ129" s="697" t="str">
        <f>IFERROR(__xludf.DUMMYFUNCTION("""COMPUTED_VALUE"""),"Yes")</f>
        <v>Yes</v>
      </c>
      <c r="BA129" s="697"/>
      <c r="BB129" s="697"/>
      <c r="BC129" s="697" t="str">
        <f>IFERROR(__xludf.DUMMYFUNCTION("""COMPUTED_VALUE"""),"The 2 deaths and the many unpleasant and serious side effects such as stomatitis, exfoliative dermatitis, and iritis caused by Suramin in the study again underline the care with which this drug must be handled, and the urgency for a better understanding o"&amp;"f its toxicity.")</f>
        <v>The 2 deaths and the many unpleasant and serious side effects such as stomatitis, exfoliative dermatitis, and iritis caused by Suramin in the study again underline the care with which this drug must be handled, and the urgency for a better understanding of its toxicity.</v>
      </c>
      <c r="BD129" s="697" t="str">
        <f>IFERROR(__xludf.DUMMYFUNCTION("""COMPUTED_VALUE"""),"Of the original 120 patients, 16 did not complete the course for reasons including refusal, change of treatment, stomatitis, dermatitis, severe iritis, general malaise, moved away, death attributed to Suramin, and death from unknown causes.")</f>
        <v>Of the original 120 patients, 16 did not complete the course for reasons including refusal, change of treatment, stomatitis, dermatitis, severe iritis, general malaise, moved away, death attributed to Suramin, and death from unknown causes.</v>
      </c>
      <c r="BE129" s="697"/>
      <c r="BF129" s="697"/>
      <c r="BG129" s="697"/>
    </row>
    <row r="130">
      <c r="A130" s="697"/>
      <c r="B130" s="697" t="str">
        <f>IFERROR(__xludf.DUMMYFUNCTION("""COMPUTED_VALUE"""),"Anderson et al.")</f>
        <v>Anderson et al.</v>
      </c>
      <c r="C130" s="697" t="str">
        <f>IFERROR(__xludf.DUMMYFUNCTION("""COMPUTED_VALUE"""),"Cameroon")</f>
        <v>Cameroon</v>
      </c>
      <c r="D130" s="697" t="str">
        <f>IFERROR(__xludf.DUMMYFUNCTION("""COMPUTED_VALUE"""),"Betamethazone &amp; DEC &amp; Suramin")</f>
        <v>Betamethazone &amp; DEC &amp; Suramin</v>
      </c>
      <c r="E130" s="697" t="str">
        <f>IFERROR(__xludf.DUMMYFUNCTION("""COMPUTED_VALUE"""),"1-1.5mg; 25mg-200mg; .001g")</f>
        <v>1-1.5mg; 25mg-200mg; .001g</v>
      </c>
      <c r="F130" s="697" t="str">
        <f>IFERROR(__xludf.DUMMYFUNCTION("""COMPUTED_VALUE"""),"1; 12; 4; ")</f>
        <v>1; 12; 4; </v>
      </c>
      <c r="G130" s="697" t="str">
        <f>IFERROR(__xludf.DUMMYFUNCTION("""COMPUTED_VALUE"""),"1.0-1.5 mg; 1550mg; 4g; ")</f>
        <v>1.0-1.5 mg; 1550mg; 4g; </v>
      </c>
      <c r="H130" s="697"/>
      <c r="I130" s="697"/>
      <c r="J130" s="697"/>
      <c r="K130" s="697"/>
      <c r="L130" s="697"/>
      <c r="M130" s="697"/>
      <c r="N130" s="698">
        <f>IFERROR(__xludf.DUMMYFUNCTION("""COMPUTED_VALUE"""),0.2105)</f>
        <v>0.2105</v>
      </c>
      <c r="O130" s="697"/>
      <c r="P130" s="697"/>
      <c r="Q130" s="698">
        <f>IFERROR(__xludf.DUMMYFUNCTION("""COMPUTED_VALUE"""),0.8596)</f>
        <v>0.8596</v>
      </c>
      <c r="R130" s="697"/>
      <c r="S130" s="697"/>
      <c r="T130" s="697"/>
      <c r="U130" s="697"/>
      <c r="V130" s="697"/>
      <c r="W130" s="698">
        <f>IFERROR(__xludf.DUMMYFUNCTION("""COMPUTED_VALUE"""),0.9123)</f>
        <v>0.9123</v>
      </c>
      <c r="X130" s="697"/>
      <c r="Y130" s="697"/>
      <c r="Z130" s="698">
        <f>IFERROR(__xludf.DUMMYFUNCTION("""COMPUTED_VALUE"""),0.8772)</f>
        <v>0.8772</v>
      </c>
      <c r="AA130" s="697"/>
      <c r="AB130" s="697"/>
      <c r="AC130" s="697"/>
      <c r="AD130" s="697"/>
      <c r="AE130" s="697" t="str">
        <f>IFERROR(__xludf.DUMMYFUNCTION("""COMPUTED_VALUE"""),"n/a")</f>
        <v>n/a</v>
      </c>
      <c r="AF130" s="697"/>
      <c r="AG130" s="697"/>
      <c r="AH130" s="697"/>
      <c r="AI130" s="697"/>
      <c r="AJ130" s="697"/>
      <c r="AK130" s="697"/>
      <c r="AL130" s="697"/>
      <c r="AM130" s="697"/>
      <c r="AN130" s="698">
        <f>IFERROR(__xludf.DUMMYFUNCTION("""COMPUTED_VALUE"""),0.8596)</f>
        <v>0.8596</v>
      </c>
      <c r="AO130" s="698">
        <f>IFERROR(__xludf.DUMMYFUNCTION("""COMPUTED_VALUE"""),0.8596)</f>
        <v>0.8596</v>
      </c>
      <c r="AP130" s="697" t="str">
        <f>IFERROR(__xludf.DUMMYFUNCTION("""COMPUTED_VALUE"""),"Mf reduction")</f>
        <v>Mf reduction</v>
      </c>
      <c r="AQ130" s="697" t="str">
        <f>IFERROR(__xludf.DUMMYFUNCTION("""COMPUTED_VALUE"""),"Sudan-savanna zone of north Cahmeroon")</f>
        <v>Sudan-savanna zone of north Cahmeroon</v>
      </c>
      <c r="AR130" s="697">
        <f>IFERROR(__xludf.DUMMYFUNCTION("""COMPUTED_VALUE"""),1976.0)</f>
        <v>1976</v>
      </c>
      <c r="AS130" s="697">
        <f>IFERROR(__xludf.DUMMYFUNCTION("""COMPUTED_VALUE"""),25.0)</f>
        <v>25</v>
      </c>
      <c r="AT130" s="697" t="str">
        <f>IFERROR(__xludf.DUMMYFUNCTION("""COMPUTED_VALUE"""),"2 years")</f>
        <v>2 years</v>
      </c>
      <c r="AU130" s="699" t="str">
        <f>IFERROR(__xludf.DUMMYFUNCTION("""COMPUTED_VALUE"""),"Anderson, J. Fugsang H. Effects of Suramin on Ocular Onchocerciasis (1976) Tropenmed. Parasit. 27: 279-296.")</f>
        <v>Anderson, J. Fugsang H. Effects of Suramin on Ocular Onchocerciasis (1976) Tropenmed. Parasit. 27: 279-296.</v>
      </c>
      <c r="AV130" s="697"/>
      <c r="AW130" s="697"/>
      <c r="AX130" s="697"/>
      <c r="AY130" s="697" t="str">
        <f>IFERROR(__xludf.DUMMYFUNCTION("""COMPUTED_VALUE"""),"No")</f>
        <v>No</v>
      </c>
      <c r="AZ130" s="697" t="str">
        <f>IFERROR(__xludf.DUMMYFUNCTION("""COMPUTED_VALUE"""),"Yes")</f>
        <v>Yes</v>
      </c>
      <c r="BA130" s="697"/>
      <c r="BB130" s="697"/>
      <c r="BC130" s="697" t="str">
        <f>IFERROR(__xludf.DUMMYFUNCTION("""COMPUTED_VALUE"""),"The 2 deaths and the many unpleasant and serious side effects such as stomatitis, exfoliative dermatitis, and iritis caused by Suramin in the study again underline the care with which this drug must be handled, and the urgency for a better understanding o"&amp;"f its toxicity.")</f>
        <v>The 2 deaths and the many unpleasant and serious side effects such as stomatitis, exfoliative dermatitis, and iritis caused by Suramin in the study again underline the care with which this drug must be handled, and the urgency for a better understanding of its toxicity.</v>
      </c>
      <c r="BD130" s="697" t="str">
        <f>IFERROR(__xludf.DUMMYFUNCTION("""COMPUTED_VALUE"""),"Of the original 120 patients, 16 did not complete the course for reasons including refusal, change of treatment, stomatitis, dermatitis, severe iritis, general malaise, moved away, death attributed to Suramin, and death from unknown causes.")</f>
        <v>Of the original 120 patients, 16 did not complete the course for reasons including refusal, change of treatment, stomatitis, dermatitis, severe iritis, general malaise, moved away, death attributed to Suramin, and death from unknown causes.</v>
      </c>
      <c r="BE130" s="697"/>
      <c r="BF130" s="697"/>
      <c r="BG130" s="697"/>
    </row>
    <row r="131">
      <c r="A131" s="697"/>
      <c r="B131" s="697" t="str">
        <f>IFERROR(__xludf.DUMMYFUNCTION("""COMPUTED_VALUE"""),"Anderson et al.")</f>
        <v>Anderson et al.</v>
      </c>
      <c r="C131" s="697" t="str">
        <f>IFERROR(__xludf.DUMMYFUNCTION("""COMPUTED_VALUE"""),"Cameroon")</f>
        <v>Cameroon</v>
      </c>
      <c r="D131" s="697" t="str">
        <f>IFERROR(__xludf.DUMMYFUNCTION("""COMPUTED_VALUE"""),"Betamethazone &amp; DEC &amp; Suramin")</f>
        <v>Betamethazone &amp; DEC &amp; Suramin</v>
      </c>
      <c r="E131" s="697" t="str">
        <f>IFERROR(__xludf.DUMMYFUNCTION("""COMPUTED_VALUE"""),"1-1.5mg; 25mg-200mg; .001mg")</f>
        <v>1-1.5mg; 25mg-200mg; .001mg</v>
      </c>
      <c r="F131" s="697" t="str">
        <f>IFERROR(__xludf.DUMMYFUNCTION("""COMPUTED_VALUE"""),"1; 12; 4; ")</f>
        <v>1; 12; 4; </v>
      </c>
      <c r="G131" s="697" t="str">
        <f>IFERROR(__xludf.DUMMYFUNCTION("""COMPUTED_VALUE"""),"1.0-1.5 mg; 1550mg; 4g; ")</f>
        <v>1.0-1.5 mg; 1550mg; 4g; </v>
      </c>
      <c r="H131" s="697"/>
      <c r="I131" s="697"/>
      <c r="J131" s="697"/>
      <c r="K131" s="697"/>
      <c r="L131" s="697"/>
      <c r="M131" s="697"/>
      <c r="N131" s="698">
        <f>IFERROR(__xludf.DUMMYFUNCTION("""COMPUTED_VALUE"""),0.3214)</f>
        <v>0.3214</v>
      </c>
      <c r="O131" s="697"/>
      <c r="P131" s="697"/>
      <c r="Q131" s="698">
        <f>IFERROR(__xludf.DUMMYFUNCTION("""COMPUTED_VALUE"""),0.8393)</f>
        <v>0.8393</v>
      </c>
      <c r="R131" s="697"/>
      <c r="S131" s="697"/>
      <c r="T131" s="697"/>
      <c r="U131" s="697"/>
      <c r="V131" s="697"/>
      <c r="W131" s="698">
        <f>IFERROR(__xludf.DUMMYFUNCTION("""COMPUTED_VALUE"""),0.9286)</f>
        <v>0.9286</v>
      </c>
      <c r="X131" s="697"/>
      <c r="Y131" s="697"/>
      <c r="Z131" s="698">
        <f>IFERROR(__xludf.DUMMYFUNCTION("""COMPUTED_VALUE"""),0.9286)</f>
        <v>0.9286</v>
      </c>
      <c r="AA131" s="697"/>
      <c r="AB131" s="697"/>
      <c r="AC131" s="697"/>
      <c r="AD131" s="697"/>
      <c r="AE131" s="697" t="str">
        <f>IFERROR(__xludf.DUMMYFUNCTION("""COMPUTED_VALUE"""),"n/a")</f>
        <v>n/a</v>
      </c>
      <c r="AF131" s="697"/>
      <c r="AG131" s="697"/>
      <c r="AH131" s="697"/>
      <c r="AI131" s="697"/>
      <c r="AJ131" s="697"/>
      <c r="AK131" s="697"/>
      <c r="AL131" s="697"/>
      <c r="AM131" s="697"/>
      <c r="AN131" s="698">
        <f>IFERROR(__xludf.DUMMYFUNCTION("""COMPUTED_VALUE"""),0.8393)</f>
        <v>0.8393</v>
      </c>
      <c r="AO131" s="698">
        <f>IFERROR(__xludf.DUMMYFUNCTION("""COMPUTED_VALUE"""),0.8393)</f>
        <v>0.8393</v>
      </c>
      <c r="AP131" s="697" t="str">
        <f>IFERROR(__xludf.DUMMYFUNCTION("""COMPUTED_VALUE"""),"Mf reduction")</f>
        <v>Mf reduction</v>
      </c>
      <c r="AQ131" s="697" t="str">
        <f>IFERROR(__xludf.DUMMYFUNCTION("""COMPUTED_VALUE"""),"Sudan-savanna zone of north Cahmeroon")</f>
        <v>Sudan-savanna zone of north Cahmeroon</v>
      </c>
      <c r="AR131" s="697">
        <f>IFERROR(__xludf.DUMMYFUNCTION("""COMPUTED_VALUE"""),1976.0)</f>
        <v>1976</v>
      </c>
      <c r="AS131" s="697">
        <f>IFERROR(__xludf.DUMMYFUNCTION("""COMPUTED_VALUE"""),25.0)</f>
        <v>25</v>
      </c>
      <c r="AT131" s="697" t="str">
        <f>IFERROR(__xludf.DUMMYFUNCTION("""COMPUTED_VALUE"""),"2 years")</f>
        <v>2 years</v>
      </c>
      <c r="AU131" s="699" t="str">
        <f>IFERROR(__xludf.DUMMYFUNCTION("""COMPUTED_VALUE"""),"Anderson, J. Fugsang H. Effects of Suramin on Ocular Onchocerciasis (1976) Tropenmed. Parasit. 27: 279-296.")</f>
        <v>Anderson, J. Fugsang H. Effects of Suramin on Ocular Onchocerciasis (1976) Tropenmed. Parasit. 27: 279-296.</v>
      </c>
      <c r="AV131" s="697"/>
      <c r="AW131" s="697"/>
      <c r="AX131" s="697"/>
      <c r="AY131" s="697" t="str">
        <f>IFERROR(__xludf.DUMMYFUNCTION("""COMPUTED_VALUE"""),"No")</f>
        <v>No</v>
      </c>
      <c r="AZ131" s="697" t="str">
        <f>IFERROR(__xludf.DUMMYFUNCTION("""COMPUTED_VALUE"""),"Yes")</f>
        <v>Yes</v>
      </c>
      <c r="BA131" s="697"/>
      <c r="BB131" s="697"/>
      <c r="BC131" s="697" t="str">
        <f>IFERROR(__xludf.DUMMYFUNCTION("""COMPUTED_VALUE"""),"The 2 deaths and the many unpleasant and serious side effects such as stomatitis, exfoliative dermatitis, and iritis caused by Suramin in the study again underline the care with which this drug must be handled, and the urgency for a better understanding o"&amp;"f its toxicity.")</f>
        <v>The 2 deaths and the many unpleasant and serious side effects such as stomatitis, exfoliative dermatitis, and iritis caused by Suramin in the study again underline the care with which this drug must be handled, and the urgency for a better understanding of its toxicity.</v>
      </c>
      <c r="BD131" s="697" t="str">
        <f>IFERROR(__xludf.DUMMYFUNCTION("""COMPUTED_VALUE"""),"Of the original 120 patients, 16 did not complete the course for reasons including refusal, change of treatment, stomatitis, dermatitis, severe iritis, general malaise, moved away, death attributed to Suramin, and death from unknown causes.")</f>
        <v>Of the original 120 patients, 16 did not complete the course for reasons including refusal, change of treatment, stomatitis, dermatitis, severe iritis, general malaise, moved away, death attributed to Suramin, and death from unknown causes.</v>
      </c>
      <c r="BE131" s="697"/>
      <c r="BF131" s="697"/>
      <c r="BG131" s="697"/>
    </row>
    <row r="132">
      <c r="A132" s="697"/>
      <c r="B132" s="697" t="str">
        <f>IFERROR(__xludf.DUMMYFUNCTION("""COMPUTED_VALUE"""),"Anderson et al.")</f>
        <v>Anderson et al.</v>
      </c>
      <c r="C132" s="697" t="str">
        <f>IFERROR(__xludf.DUMMYFUNCTION("""COMPUTED_VALUE"""),"Cameroon")</f>
        <v>Cameroon</v>
      </c>
      <c r="D132" s="697" t="str">
        <f>IFERROR(__xludf.DUMMYFUNCTION("""COMPUTED_VALUE"""),"Placebo")</f>
        <v>Placebo</v>
      </c>
      <c r="E132" s="697" t="str">
        <f>IFERROR(__xludf.DUMMYFUNCTION("""COMPUTED_VALUE"""),"25mg")</f>
        <v>25mg</v>
      </c>
      <c r="F132" s="697">
        <f>IFERROR(__xludf.DUMMYFUNCTION("""COMPUTED_VALUE"""),4.0)</f>
        <v>4</v>
      </c>
      <c r="G132" s="697" t="str">
        <f>IFERROR(__xludf.DUMMYFUNCTION("""COMPUTED_VALUE"""),"100 mg")</f>
        <v>100 mg</v>
      </c>
      <c r="H132" s="697"/>
      <c r="I132" s="697"/>
      <c r="J132" s="697"/>
      <c r="K132" s="697"/>
      <c r="L132" s="697"/>
      <c r="M132" s="697"/>
      <c r="N132" s="700">
        <f>IFERROR(__xludf.DUMMYFUNCTION("""COMPUTED_VALUE"""),0.0)</f>
        <v>0</v>
      </c>
      <c r="O132" s="697"/>
      <c r="P132" s="697"/>
      <c r="Q132" s="697" t="str">
        <f>IFERROR(__xludf.DUMMYFUNCTION("""COMPUTED_VALUE"""),"increase of 71%")</f>
        <v>increase of 71%</v>
      </c>
      <c r="R132" s="697"/>
      <c r="S132" s="697"/>
      <c r="T132" s="697"/>
      <c r="U132" s="697"/>
      <c r="V132" s="697"/>
      <c r="W132" s="697" t="str">
        <f>IFERROR(__xludf.DUMMYFUNCTION("""COMPUTED_VALUE"""),"Increase of  10%")</f>
        <v>Increase of  10%</v>
      </c>
      <c r="X132" s="697"/>
      <c r="Y132" s="697"/>
      <c r="Z132" s="697" t="str">
        <f>IFERROR(__xludf.DUMMYFUNCTION("""COMPUTED_VALUE"""),"Increase of 39%")</f>
        <v>Increase of 39%</v>
      </c>
      <c r="AA132" s="697"/>
      <c r="AB132" s="697"/>
      <c r="AC132" s="697"/>
      <c r="AD132" s="697"/>
      <c r="AE132" s="697" t="str">
        <f>IFERROR(__xludf.DUMMYFUNCTION("""COMPUTED_VALUE"""),"n/a")</f>
        <v>n/a</v>
      </c>
      <c r="AF132" s="697"/>
      <c r="AG132" s="697"/>
      <c r="AH132" s="697"/>
      <c r="AI132" s="697"/>
      <c r="AJ132" s="697"/>
      <c r="AK132" s="697"/>
      <c r="AL132" s="697"/>
      <c r="AM132" s="697"/>
      <c r="AN132" s="697" t="str">
        <f>IFERROR(__xludf.DUMMYFUNCTION("""COMPUTED_VALUE"""),"increase of 71%")</f>
        <v>increase of 71%</v>
      </c>
      <c r="AO132" s="698">
        <f>IFERROR(__xludf.DUMMYFUNCTION("""COMPUTED_VALUE"""),0.71)</f>
        <v>0.71</v>
      </c>
      <c r="AP132" s="697" t="str">
        <f>IFERROR(__xludf.DUMMYFUNCTION("""COMPUTED_VALUE"""),"Mf reduction")</f>
        <v>Mf reduction</v>
      </c>
      <c r="AQ132" s="697" t="str">
        <f>IFERROR(__xludf.DUMMYFUNCTION("""COMPUTED_VALUE"""),"Sudan-savanna zone of north Cahmeroon")</f>
        <v>Sudan-savanna zone of north Cahmeroon</v>
      </c>
      <c r="AR132" s="697">
        <f>IFERROR(__xludf.DUMMYFUNCTION("""COMPUTED_VALUE"""),1976.0)</f>
        <v>1976</v>
      </c>
      <c r="AS132" s="697">
        <f>IFERROR(__xludf.DUMMYFUNCTION("""COMPUTED_VALUE"""),20.0)</f>
        <v>20</v>
      </c>
      <c r="AT132" s="697" t="str">
        <f>IFERROR(__xludf.DUMMYFUNCTION("""COMPUTED_VALUE"""),"2 years")</f>
        <v>2 years</v>
      </c>
      <c r="AU132" s="699" t="str">
        <f>IFERROR(__xludf.DUMMYFUNCTION("""COMPUTED_VALUE"""),"Anderson, J. Fugsang H. Effects of Suramin on Ocular Onchocerciasis (1976) Tropenmed. Parasit. 27: 279-296.")</f>
        <v>Anderson, J. Fugsang H. Effects of Suramin on Ocular Onchocerciasis (1976) Tropenmed. Parasit. 27: 279-296.</v>
      </c>
      <c r="AV132" s="697"/>
      <c r="AW132" s="697"/>
      <c r="AX132" s="697"/>
      <c r="AY132" s="697" t="str">
        <f>IFERROR(__xludf.DUMMYFUNCTION("""COMPUTED_VALUE"""),"No")</f>
        <v>No</v>
      </c>
      <c r="AZ132" s="697" t="str">
        <f>IFERROR(__xludf.DUMMYFUNCTION("""COMPUTED_VALUE"""),"Yes")</f>
        <v>Yes</v>
      </c>
      <c r="BA132" s="697"/>
      <c r="BB132" s="697"/>
      <c r="BC132" s="697" t="str">
        <f>IFERROR(__xludf.DUMMYFUNCTION("""COMPUTED_VALUE"""),"The 2 deaths and the many unpleasant and serious side effects such as stomatitis, exfoliative dermatitis, and iritis caused by Suramin in the study again underline the care with which this drug must be handled, and the urgency for a better understanding o"&amp;"f its toxicity.")</f>
        <v>The 2 deaths and the many unpleasant and serious side effects such as stomatitis, exfoliative dermatitis, and iritis caused by Suramin in the study again underline the care with which this drug must be handled, and the urgency for a better understanding of its toxicity.</v>
      </c>
      <c r="BD132" s="697" t="str">
        <f>IFERROR(__xludf.DUMMYFUNCTION("""COMPUTED_VALUE"""),"Of the original 120 patients, 16 did not complete the course for reasons including refusal, change of treatment, stomatitis, dermatitis, severe iritis, general malaise, moved away, death attributed to Suramin, and death from unknown causes.")</f>
        <v>Of the original 120 patients, 16 did not complete the course for reasons including refusal, change of treatment, stomatitis, dermatitis, severe iritis, general malaise, moved away, death attributed to Suramin, and death from unknown causes.</v>
      </c>
      <c r="BE132" s="697"/>
      <c r="BF132" s="697"/>
      <c r="BG132" s="697"/>
    </row>
    <row r="133" hidden="1">
      <c r="A133" s="697"/>
      <c r="B133" s="697" t="str">
        <f>IFERROR(__xludf.DUMMYFUNCTION("""COMPUTED_VALUE"""),"Wolf et al.")</f>
        <v>Wolf et al.</v>
      </c>
      <c r="C133" s="697" t="str">
        <f>IFERROR(__xludf.DUMMYFUNCTION("""COMPUTED_VALUE"""),"Liberia")</f>
        <v>Liberia</v>
      </c>
      <c r="D133" s="697" t="str">
        <f>IFERROR(__xludf.DUMMYFUNCTION("""COMPUTED_VALUE"""),"Suramin")</f>
        <v>Suramin</v>
      </c>
      <c r="E133" s="697" t="str">
        <f>IFERROR(__xludf.DUMMYFUNCTION("""COMPUTED_VALUE"""),".015-.020 g/kg ")</f>
        <v>.015-.020 g/kg </v>
      </c>
      <c r="F133" s="704">
        <f>IFERROR(__xludf.DUMMYFUNCTION("""COMPUTED_VALUE"""),42496.0)</f>
        <v>42496</v>
      </c>
      <c r="G133" s="697" t="str">
        <f>IFERROR(__xludf.DUMMYFUNCTION("""COMPUTED_VALUE"""),".075g/kg-.120gkg")</f>
        <v>.075g/kg-.120gkg</v>
      </c>
      <c r="H133" s="697"/>
      <c r="I133" s="697"/>
      <c r="J133" s="697"/>
      <c r="K133" s="697"/>
      <c r="L133" s="697"/>
      <c r="M133" s="697"/>
      <c r="N133" s="697"/>
      <c r="O133" s="700">
        <f>IFERROR(__xludf.DUMMYFUNCTION("""COMPUTED_VALUE"""),0.29)</f>
        <v>0.29</v>
      </c>
      <c r="P133" s="697"/>
      <c r="Q133" s="697"/>
      <c r="R133" s="697"/>
      <c r="S133" s="697"/>
      <c r="T133" s="697"/>
      <c r="U133" s="697"/>
      <c r="V133" s="697"/>
      <c r="W133" s="697"/>
      <c r="X133" s="697"/>
      <c r="Y133" s="697"/>
      <c r="Z133" s="697"/>
      <c r="AA133" s="697"/>
      <c r="AB133" s="697"/>
      <c r="AC133" s="697"/>
      <c r="AD133" s="697"/>
      <c r="AE133" s="697" t="str">
        <f>IFERROR(__xludf.DUMMYFUNCTION("""COMPUTED_VALUE"""),"n/a")</f>
        <v>n/a</v>
      </c>
      <c r="AF133" s="697"/>
      <c r="AG133" s="697"/>
      <c r="AH133" s="697"/>
      <c r="AI133" s="697"/>
      <c r="AJ133" s="697"/>
      <c r="AK133" s="700">
        <f>IFERROR(__xludf.DUMMYFUNCTION("""COMPUTED_VALUE"""),0.29)</f>
        <v>0.29</v>
      </c>
      <c r="AL133" s="697"/>
      <c r="AM133" s="697"/>
      <c r="AN133" s="700">
        <f>IFERROR(__xludf.DUMMYFUNCTION("""COMPUTED_VALUE"""),0.29)</f>
        <v>0.29</v>
      </c>
      <c r="AO133" s="698">
        <f>IFERROR(__xludf.DUMMYFUNCTION("""COMPUTED_VALUE"""),0.29)</f>
        <v>0.29</v>
      </c>
      <c r="AP133" s="697" t="str">
        <f>IFERROR(__xludf.DUMMYFUNCTION("""COMPUTED_VALUE"""),"Nodulectomy: dead male and female worms")</f>
        <v>Nodulectomy: dead male and female worms</v>
      </c>
      <c r="AQ133" s="697" t="str">
        <f>IFERROR(__xludf.DUMMYFUNCTION("""COMPUTED_VALUE"""),"Haindii")</f>
        <v>Haindii</v>
      </c>
      <c r="AR133" s="697">
        <f>IFERROR(__xludf.DUMMYFUNCTION("""COMPUTED_VALUE"""),1977.0)</f>
        <v>1977</v>
      </c>
      <c r="AS133" s="697">
        <f>IFERROR(__xludf.DUMMYFUNCTION("""COMPUTED_VALUE"""),14.0)</f>
        <v>14</v>
      </c>
      <c r="AT133" s="697" t="str">
        <f>IFERROR(__xludf.DUMMYFUNCTION("""COMPUTED_VALUE"""),"6 weeks")</f>
        <v>6 weeks</v>
      </c>
      <c r="AU133" s="699" t="str">
        <f>IFERROR(__xludf.DUMMYFUNCTION("""COMPUTED_VALUE"""),"Wolf, H.; Schulz-Key, H.; Albiez, E.J.; Geister, R.; Büttner, D.W. Analysis of Enzymatically Isolated Adults of Onchocerca volvulus after Treatment of Patients with Suramin or Metrifonate (1980) Tropenmed. Parasit. 31:143-148.")</f>
        <v>Wolf, H.; Schulz-Key, H.; Albiez, E.J.; Geister, R.; Büttner, D.W. Analysis of Enzymatically Isolated Adults of Onchocerca volvulus after Treatment of Patients with Suramin or Metrifonate (1980) Tropenmed. Parasit. 31:143-148.</v>
      </c>
      <c r="AV133" s="697"/>
      <c r="AW133" s="697"/>
      <c r="AX133" s="697"/>
      <c r="AY133" s="697" t="str">
        <f>IFERROR(__xludf.DUMMYFUNCTION("""COMPUTED_VALUE"""),"No")</f>
        <v>No</v>
      </c>
      <c r="AZ133" s="697" t="str">
        <f>IFERROR(__xludf.DUMMYFUNCTION("""COMPUTED_VALUE"""),"No")</f>
        <v>No</v>
      </c>
      <c r="BA133" s="697"/>
      <c r="BB133" s="697" t="str">
        <f>IFERROR(__xludf.DUMMYFUNCTION("""COMPUTED_VALUE"""),"Nodulectomy at 6 weeks: F worms with: eggs or mf 72%; dead 14%; Total F+M worms: dead 15% Mf 0.7; calcified 14%; alive Mf 2.3 (Proportion of dead worm increase 29%)")</f>
        <v>Nodulectomy at 6 weeks: F worms with: eggs or mf 72%; dead 14%; Total F+M worms: dead 15% Mf 0.7; calcified 14%; alive Mf 2.3 (Proportion of dead worm increase 29%)</v>
      </c>
      <c r="BC133" s="697" t="str">
        <f>IFERROR(__xludf.DUMMYFUNCTION("""COMPUTED_VALUE"""),"Six weeks after the last dose of Suramin the degenerative alterations could not be distinguished qualitatively from those in untreated worms, but a statistically significant Mf efficacy could be shown")</f>
        <v>Six weeks after the last dose of Suramin the degenerative alterations could not be distinguished qualitatively from those in untreated worms, but a statistically significant Mf efficacy could be shown</v>
      </c>
      <c r="BD133" s="697"/>
      <c r="BE133" s="697"/>
      <c r="BF133" s="697"/>
      <c r="BG133" s="697" t="str">
        <f>IFERROR(__xludf.DUMMYFUNCTION("""COMPUTED_VALUE"""),"x")</f>
        <v>x</v>
      </c>
    </row>
    <row r="134">
      <c r="A134" s="697"/>
      <c r="B134" s="697" t="str">
        <f>IFERROR(__xludf.DUMMYFUNCTION("""COMPUTED_VALUE"""),"Wolf et al.")</f>
        <v>Wolf et al.</v>
      </c>
      <c r="C134" s="697" t="str">
        <f>IFERROR(__xludf.DUMMYFUNCTION("""COMPUTED_VALUE"""),"Liberia")</f>
        <v>Liberia</v>
      </c>
      <c r="D134" s="697" t="str">
        <f>IFERROR(__xludf.DUMMYFUNCTION("""COMPUTED_VALUE"""),"Metrifonate")</f>
        <v>Metrifonate</v>
      </c>
      <c r="E134" s="697" t="str">
        <f>IFERROR(__xludf.DUMMYFUNCTION("""COMPUTED_VALUE"""),"10mg/kg")</f>
        <v>10mg/kg</v>
      </c>
      <c r="F134" s="697">
        <f>IFERROR(__xludf.DUMMYFUNCTION("""COMPUTED_VALUE"""),4.0)</f>
        <v>4</v>
      </c>
      <c r="G134" s="697" t="str">
        <f>IFERROR(__xludf.DUMMYFUNCTION("""COMPUTED_VALUE"""),"40 mg/kg ")</f>
        <v>40 mg/kg </v>
      </c>
      <c r="H134" s="697"/>
      <c r="I134" s="697"/>
      <c r="J134" s="697"/>
      <c r="K134" s="697"/>
      <c r="L134" s="697"/>
      <c r="M134" s="697"/>
      <c r="N134" s="697"/>
      <c r="O134" s="700">
        <f>IFERROR(__xludf.DUMMYFUNCTION("""COMPUTED_VALUE"""),0.09)</f>
        <v>0.09</v>
      </c>
      <c r="P134" s="697"/>
      <c r="Q134" s="697"/>
      <c r="R134" s="697"/>
      <c r="S134" s="697"/>
      <c r="T134" s="697"/>
      <c r="U134" s="697"/>
      <c r="V134" s="697"/>
      <c r="W134" s="697"/>
      <c r="X134" s="697"/>
      <c r="Y134" s="697"/>
      <c r="Z134" s="697"/>
      <c r="AA134" s="697"/>
      <c r="AB134" s="697"/>
      <c r="AC134" s="697"/>
      <c r="AD134" s="697"/>
      <c r="AE134" s="697" t="str">
        <f>IFERROR(__xludf.DUMMYFUNCTION("""COMPUTED_VALUE"""),"n/a")</f>
        <v>n/a</v>
      </c>
      <c r="AF134" s="697"/>
      <c r="AG134" s="697"/>
      <c r="AH134" s="697"/>
      <c r="AI134" s="697"/>
      <c r="AJ134" s="697"/>
      <c r="AK134" s="700">
        <f>IFERROR(__xludf.DUMMYFUNCTION("""COMPUTED_VALUE"""),0.09)</f>
        <v>0.09</v>
      </c>
      <c r="AL134" s="697"/>
      <c r="AM134" s="697"/>
      <c r="AN134" s="700">
        <f>IFERROR(__xludf.DUMMYFUNCTION("""COMPUTED_VALUE"""),0.09)</f>
        <v>0.09</v>
      </c>
      <c r="AO134" s="698">
        <f>IFERROR(__xludf.DUMMYFUNCTION("""COMPUTED_VALUE"""),0.09)</f>
        <v>0.09</v>
      </c>
      <c r="AP134" s="697" t="str">
        <f>IFERROR(__xludf.DUMMYFUNCTION("""COMPUTED_VALUE"""),"Nodulectomy: dead male and female worms")</f>
        <v>Nodulectomy: dead male and female worms</v>
      </c>
      <c r="AQ134" s="697" t="str">
        <f>IFERROR(__xludf.DUMMYFUNCTION("""COMPUTED_VALUE"""),"Haindii")</f>
        <v>Haindii</v>
      </c>
      <c r="AR134" s="697">
        <f>IFERROR(__xludf.DUMMYFUNCTION("""COMPUTED_VALUE"""),1977.0)</f>
        <v>1977</v>
      </c>
      <c r="AS134" s="697">
        <f>IFERROR(__xludf.DUMMYFUNCTION("""COMPUTED_VALUE"""),4.0)</f>
        <v>4</v>
      </c>
      <c r="AT134" s="697" t="str">
        <f>IFERROR(__xludf.DUMMYFUNCTION("""COMPUTED_VALUE"""),"6 weeks")</f>
        <v>6 weeks</v>
      </c>
      <c r="AU134" s="699" t="str">
        <f>IFERROR(__xludf.DUMMYFUNCTION("""COMPUTED_VALUE"""),"Wolf, H.; Schulz-Key, H.; Albiez, E.J.; Geister, R.; Büttner, D.W. Analysis of Enzymatically Isolated Adults of Onchocerca volvulus after Treatment of Patients with Suramin or Metrifonate (1980) Tropenmed. Parasit. 31:143-148.")</f>
        <v>Wolf, H.; Schulz-Key, H.; Albiez, E.J.; Geister, R.; Büttner, D.W. Analysis of Enzymatically Isolated Adults of Onchocerca volvulus after Treatment of Patients with Suramin or Metrifonate (1980) Tropenmed. Parasit. 31:143-148.</v>
      </c>
      <c r="AV134" s="697"/>
      <c r="AW134" s="697"/>
      <c r="AX134" s="697"/>
      <c r="AY134" s="697" t="str">
        <f>IFERROR(__xludf.DUMMYFUNCTION("""COMPUTED_VALUE"""),"No")</f>
        <v>No</v>
      </c>
      <c r="AZ134" s="697" t="str">
        <f>IFERROR(__xludf.DUMMYFUNCTION("""COMPUTED_VALUE"""),"No")</f>
        <v>No</v>
      </c>
      <c r="BA134" s="697"/>
      <c r="BB134" s="697"/>
      <c r="BC134" s="697" t="str">
        <f>IFERROR(__xludf.DUMMYFUNCTION("""COMPUTED_VALUE"""),"Metrifonate did not show any macrofilaricidal effect.")</f>
        <v>Metrifonate did not show any macrofilaricidal effect.</v>
      </c>
      <c r="BD134" s="697"/>
      <c r="BE134" s="697"/>
      <c r="BF134" s="697"/>
      <c r="BG134" s="697"/>
    </row>
    <row r="135">
      <c r="A135" s="697"/>
      <c r="B135" s="697" t="str">
        <f>IFERROR(__xludf.DUMMYFUNCTION("""COMPUTED_VALUE"""),"Wolf et al.")</f>
        <v>Wolf et al.</v>
      </c>
      <c r="C135" s="697" t="str">
        <f>IFERROR(__xludf.DUMMYFUNCTION("""COMPUTED_VALUE"""),"Liberia")</f>
        <v>Liberia</v>
      </c>
      <c r="D135" s="697" t="str">
        <f>IFERROR(__xludf.DUMMYFUNCTION("""COMPUTED_VALUE"""),"Control group")</f>
        <v>Control group</v>
      </c>
      <c r="E135" s="697"/>
      <c r="F135" s="697"/>
      <c r="G135" s="697"/>
      <c r="H135" s="697"/>
      <c r="I135" s="697"/>
      <c r="J135" s="697"/>
      <c r="K135" s="697"/>
      <c r="L135" s="697"/>
      <c r="M135" s="697"/>
      <c r="N135" s="697"/>
      <c r="O135" s="698">
        <f>IFERROR(__xludf.DUMMYFUNCTION("""COMPUTED_VALUE"""),0.034)</f>
        <v>0.034</v>
      </c>
      <c r="P135" s="697"/>
      <c r="Q135" s="697"/>
      <c r="R135" s="697"/>
      <c r="S135" s="697"/>
      <c r="T135" s="697"/>
      <c r="U135" s="697"/>
      <c r="V135" s="697"/>
      <c r="W135" s="697"/>
      <c r="X135" s="697"/>
      <c r="Y135" s="697"/>
      <c r="Z135" s="697"/>
      <c r="AA135" s="697"/>
      <c r="AB135" s="697"/>
      <c r="AC135" s="697"/>
      <c r="AD135" s="697"/>
      <c r="AE135" s="697" t="str">
        <f>IFERROR(__xludf.DUMMYFUNCTION("""COMPUTED_VALUE"""),"n/a")</f>
        <v>n/a</v>
      </c>
      <c r="AF135" s="697"/>
      <c r="AG135" s="697"/>
      <c r="AH135" s="697"/>
      <c r="AI135" s="697"/>
      <c r="AJ135" s="697"/>
      <c r="AK135" s="698">
        <f>IFERROR(__xludf.DUMMYFUNCTION("""COMPUTED_VALUE"""),0.034)</f>
        <v>0.034</v>
      </c>
      <c r="AL135" s="697"/>
      <c r="AM135" s="697"/>
      <c r="AN135" s="698">
        <f>IFERROR(__xludf.DUMMYFUNCTION("""COMPUTED_VALUE"""),0.034)</f>
        <v>0.034</v>
      </c>
      <c r="AO135" s="698">
        <f>IFERROR(__xludf.DUMMYFUNCTION("""COMPUTED_VALUE"""),0.034)</f>
        <v>0.034</v>
      </c>
      <c r="AP135" s="697" t="str">
        <f>IFERROR(__xludf.DUMMYFUNCTION("""COMPUTED_VALUE"""),"Nodulectomy: dead male and female worms")</f>
        <v>Nodulectomy: dead male and female worms</v>
      </c>
      <c r="AQ135" s="697" t="str">
        <f>IFERROR(__xludf.DUMMYFUNCTION("""COMPUTED_VALUE"""),"Mauwa")</f>
        <v>Mauwa</v>
      </c>
      <c r="AR135" s="697">
        <f>IFERROR(__xludf.DUMMYFUNCTION("""COMPUTED_VALUE"""),1977.0)</f>
        <v>1977</v>
      </c>
      <c r="AS135" s="697">
        <f>IFERROR(__xludf.DUMMYFUNCTION("""COMPUTED_VALUE"""),14.0)</f>
        <v>14</v>
      </c>
      <c r="AT135" s="697" t="str">
        <f>IFERROR(__xludf.DUMMYFUNCTION("""COMPUTED_VALUE"""),"6 weeks")</f>
        <v>6 weeks</v>
      </c>
      <c r="AU135" s="699" t="str">
        <f>IFERROR(__xludf.DUMMYFUNCTION("""COMPUTED_VALUE"""),"Wolf, H.; Schulz-Key, H.; Albiez, E.J.; Geister, R.; Büttner, D.W. Analysis of Enzymatically Isolated Adults of Onchocerca volvulus after Treatment of Patients with Suramin or Metrifonate (1980) Tropenmed. Parasit. 31:143-148.")</f>
        <v>Wolf, H.; Schulz-Key, H.; Albiez, E.J.; Geister, R.; Büttner, D.W. Analysis of Enzymatically Isolated Adults of Onchocerca volvulus after Treatment of Patients with Suramin or Metrifonate (1980) Tropenmed. Parasit. 31:143-148.</v>
      </c>
      <c r="AV135" s="697"/>
      <c r="AW135" s="697"/>
      <c r="AX135" s="697"/>
      <c r="AY135" s="697" t="str">
        <f>IFERROR(__xludf.DUMMYFUNCTION("""COMPUTED_VALUE"""),"No")</f>
        <v>No</v>
      </c>
      <c r="AZ135" s="697" t="str">
        <f>IFERROR(__xludf.DUMMYFUNCTION("""COMPUTED_VALUE"""),"No")</f>
        <v>No</v>
      </c>
      <c r="BA135" s="697"/>
      <c r="BB135" s="697" t="str">
        <f>IFERROR(__xludf.DUMMYFUNCTION("""COMPUTED_VALUE"""),"Nodulectomy at 6 weeks: F worms with: eggs or mf 91%; dead 1%; calcified 5%; Total F+M worms: dead 0.5% Mf 0.1; calcified 2.9%; alive Mf 3.7 (Proportion of dead worm increase 3.4%)")</f>
        <v>Nodulectomy at 6 weeks: F worms with: eggs or mf 91%; dead 1%; calcified 5%; Total F+M worms: dead 0.5% Mf 0.1; calcified 2.9%; alive Mf 3.7 (Proportion of dead worm increase 3.4%)</v>
      </c>
      <c r="BC135" s="697"/>
      <c r="BD135" s="697"/>
      <c r="BE135" s="697"/>
      <c r="BF135" s="697"/>
      <c r="BG135" s="697"/>
    </row>
    <row r="136">
      <c r="A136" s="697"/>
      <c r="B136" s="697" t="str">
        <f>IFERROR(__xludf.DUMMYFUNCTION("""COMPUTED_VALUE"""),"Wolf et al.")</f>
        <v>Wolf et al.</v>
      </c>
      <c r="C136" s="697" t="str">
        <f>IFERROR(__xludf.DUMMYFUNCTION("""COMPUTED_VALUE"""),"Liberia")</f>
        <v>Liberia</v>
      </c>
      <c r="D136" s="697" t="str">
        <f>IFERROR(__xludf.DUMMYFUNCTION("""COMPUTED_VALUE"""),"Control group")</f>
        <v>Control group</v>
      </c>
      <c r="E136" s="697"/>
      <c r="F136" s="697"/>
      <c r="G136" s="697"/>
      <c r="H136" s="697"/>
      <c r="I136" s="697"/>
      <c r="J136" s="697"/>
      <c r="K136" s="697"/>
      <c r="L136" s="697"/>
      <c r="M136" s="697"/>
      <c r="N136" s="697"/>
      <c r="O136" s="700">
        <f>IFERROR(__xludf.DUMMYFUNCTION("""COMPUTED_VALUE"""),0.08)</f>
        <v>0.08</v>
      </c>
      <c r="P136" s="697"/>
      <c r="Q136" s="697"/>
      <c r="R136" s="697"/>
      <c r="S136" s="697"/>
      <c r="T136" s="697"/>
      <c r="U136" s="697"/>
      <c r="V136" s="697"/>
      <c r="W136" s="697"/>
      <c r="X136" s="697"/>
      <c r="Y136" s="697"/>
      <c r="Z136" s="697"/>
      <c r="AA136" s="697"/>
      <c r="AB136" s="697"/>
      <c r="AC136" s="697"/>
      <c r="AD136" s="697"/>
      <c r="AE136" s="697" t="str">
        <f>IFERROR(__xludf.DUMMYFUNCTION("""COMPUTED_VALUE"""),"n/a")</f>
        <v>n/a</v>
      </c>
      <c r="AF136" s="697"/>
      <c r="AG136" s="697"/>
      <c r="AH136" s="697"/>
      <c r="AI136" s="697"/>
      <c r="AJ136" s="697"/>
      <c r="AK136" s="700">
        <f>IFERROR(__xludf.DUMMYFUNCTION("""COMPUTED_VALUE"""),0.08)</f>
        <v>0.08</v>
      </c>
      <c r="AL136" s="697"/>
      <c r="AM136" s="697"/>
      <c r="AN136" s="700">
        <f>IFERROR(__xludf.DUMMYFUNCTION("""COMPUTED_VALUE"""),0.08)</f>
        <v>0.08</v>
      </c>
      <c r="AO136" s="698">
        <f>IFERROR(__xludf.DUMMYFUNCTION("""COMPUTED_VALUE"""),0.08)</f>
        <v>0.08</v>
      </c>
      <c r="AP136" s="697" t="str">
        <f>IFERROR(__xludf.DUMMYFUNCTION("""COMPUTED_VALUE"""),"Nodulectomy: dead male and female worms")</f>
        <v>Nodulectomy: dead male and female worms</v>
      </c>
      <c r="AQ136" s="697" t="str">
        <f>IFERROR(__xludf.DUMMYFUNCTION("""COMPUTED_VALUE"""),"Mauwa")</f>
        <v>Mauwa</v>
      </c>
      <c r="AR136" s="697">
        <f>IFERROR(__xludf.DUMMYFUNCTION("""COMPUTED_VALUE"""),1977.0)</f>
        <v>1977</v>
      </c>
      <c r="AS136" s="697">
        <f>IFERROR(__xludf.DUMMYFUNCTION("""COMPUTED_VALUE"""),89.0)</f>
        <v>89</v>
      </c>
      <c r="AT136" s="697" t="str">
        <f>IFERROR(__xludf.DUMMYFUNCTION("""COMPUTED_VALUE"""),"6 weeks")</f>
        <v>6 weeks</v>
      </c>
      <c r="AU136" s="699" t="str">
        <f>IFERROR(__xludf.DUMMYFUNCTION("""COMPUTED_VALUE"""),"Wolf, H.; Schulz-Key, H.; Albiez, E.J.; Geister, R.; Büttner, D.W. Analysis of Enzymatically Isolated Adults of Onchocerca volvulus after Treatment of Patients with Suramin or Metrifonate (1980) Tropenmed. Parasit. 31:143-148.")</f>
        <v>Wolf, H.; Schulz-Key, H.; Albiez, E.J.; Geister, R.; Büttner, D.W. Analysis of Enzymatically Isolated Adults of Onchocerca volvulus after Treatment of Patients with Suramin or Metrifonate (1980) Tropenmed. Parasit. 31:143-148.</v>
      </c>
      <c r="AV136" s="697"/>
      <c r="AW136" s="697"/>
      <c r="AX136" s="697"/>
      <c r="AY136" s="697" t="str">
        <f>IFERROR(__xludf.DUMMYFUNCTION("""COMPUTED_VALUE"""),"No")</f>
        <v>No</v>
      </c>
      <c r="AZ136" s="697" t="str">
        <f>IFERROR(__xludf.DUMMYFUNCTION("""COMPUTED_VALUE"""),"No")</f>
        <v>No</v>
      </c>
      <c r="BA136" s="697"/>
      <c r="BB136" s="697" t="str">
        <f>IFERROR(__xludf.DUMMYFUNCTION("""COMPUTED_VALUE"""),"Nodulectomy at 6 weeks: F worms with: eggs or mf 93%; dead 4%; calcified 8%; Total F+M worms: dead 3% Mf 0.2; calcified 5%; Alive Mf 3.5 (Proportion of dead worm increase 8%)")</f>
        <v>Nodulectomy at 6 weeks: F worms with: eggs or mf 93%; dead 4%; calcified 8%; Total F+M worms: dead 3% Mf 0.2; calcified 5%; Alive Mf 3.5 (Proportion of dead worm increase 8%)</v>
      </c>
      <c r="BC136" s="697"/>
      <c r="BD136" s="697"/>
      <c r="BE136" s="697"/>
      <c r="BF136" s="697"/>
      <c r="BG136" s="697"/>
    </row>
    <row r="137">
      <c r="A137" s="697"/>
      <c r="B137" s="697" t="str">
        <f>IFERROR(__xludf.DUMMYFUNCTION("""COMPUTED_VALUE"""),"Duke, Moore, &amp; Vincelette")</f>
        <v>Duke, Moore, &amp; Vincelette</v>
      </c>
      <c r="C137" s="697" t="str">
        <f>IFERROR(__xludf.DUMMYFUNCTION("""COMPUTED_VALUE"""),"Cameroon")</f>
        <v>Cameroon</v>
      </c>
      <c r="D137" s="697" t="str">
        <f>IFERROR(__xludf.DUMMYFUNCTION("""COMPUTED_VALUE"""),"DEC &amp; Suramin")</f>
        <v>DEC &amp; Suramin</v>
      </c>
      <c r="E137" s="697" t="str">
        <f>IFERROR(__xludf.DUMMYFUNCTION("""COMPUTED_VALUE"""),"50mg,100mg; 1g/50kg")</f>
        <v>50mg,100mg; 1g/50kg</v>
      </c>
      <c r="F137" s="697" t="str">
        <f>IFERROR(__xludf.DUMMYFUNCTION("""COMPUTED_VALUE"""),"1,8; 5-7")</f>
        <v>1,8; 5-7</v>
      </c>
      <c r="G137" s="697" t="str">
        <f>IFERROR(__xludf.DUMMYFUNCTION("""COMPUTED_VALUE"""),"900mg-1000mg; 1.0 g/50 kg")</f>
        <v>900mg-1000mg; 1.0 g/50 kg</v>
      </c>
      <c r="H137" s="697"/>
      <c r="I137" s="697"/>
      <c r="J137" s="697"/>
      <c r="K137" s="697"/>
      <c r="L137" s="697"/>
      <c r="M137" s="697"/>
      <c r="N137" s="697"/>
      <c r="O137" s="697" t="str">
        <f>IFERROR(__xludf.DUMMYFUNCTION("""COMPUTED_VALUE"""),"Increase of 1.88%")</f>
        <v>Increase of 1.88%</v>
      </c>
      <c r="P137" s="697"/>
      <c r="Q137" s="698">
        <f>IFERROR(__xludf.DUMMYFUNCTION("""COMPUTED_VALUE"""),0.6285)</f>
        <v>0.6285</v>
      </c>
      <c r="R137" s="698">
        <f>IFERROR(__xludf.DUMMYFUNCTION("""COMPUTED_VALUE"""),0.9975)</f>
        <v>0.9975</v>
      </c>
      <c r="S137" s="697"/>
      <c r="T137" s="697"/>
      <c r="U137" s="697"/>
      <c r="V137" s="697"/>
      <c r="W137" s="697"/>
      <c r="X137" s="697"/>
      <c r="Y137" s="697"/>
      <c r="Z137" s="697"/>
      <c r="AA137" s="697"/>
      <c r="AB137" s="697"/>
      <c r="AC137" s="697"/>
      <c r="AD137" s="697"/>
      <c r="AE137" s="697" t="str">
        <f>IFERROR(__xludf.DUMMYFUNCTION("""COMPUTED_VALUE"""),"n/a")</f>
        <v>n/a</v>
      </c>
      <c r="AF137" s="697"/>
      <c r="AG137" s="697"/>
      <c r="AH137" s="697"/>
      <c r="AI137" s="697"/>
      <c r="AJ137" s="697"/>
      <c r="AK137" s="697"/>
      <c r="AL137" s="697"/>
      <c r="AM137" s="697"/>
      <c r="AN137" s="698">
        <f>IFERROR(__xludf.DUMMYFUNCTION("""COMPUTED_VALUE"""),0.9975)</f>
        <v>0.9975</v>
      </c>
      <c r="AO137" s="698">
        <f>IFERROR(__xludf.DUMMYFUNCTION("""COMPUTED_VALUE"""),0.9975)</f>
        <v>0.9975</v>
      </c>
      <c r="AP137" s="697" t="str">
        <f>IFERROR(__xludf.DUMMYFUNCTION("""COMPUTED_VALUE"""),"Mf reduction")</f>
        <v>Mf reduction</v>
      </c>
      <c r="AQ137" s="697"/>
      <c r="AR137" s="697">
        <f>IFERROR(__xludf.DUMMYFUNCTION("""COMPUTED_VALUE"""),1976.0)</f>
        <v>1976</v>
      </c>
      <c r="AS137" s="697">
        <f>IFERROR(__xludf.DUMMYFUNCTION("""COMPUTED_VALUE"""),5.0)</f>
        <v>5</v>
      </c>
      <c r="AT137" s="697" t="str">
        <f>IFERROR(__xludf.DUMMYFUNCTION("""COMPUTED_VALUE"""),"10-11 weeks")</f>
        <v>10-11 weeks</v>
      </c>
      <c r="AU137" s="699" t="str">
        <f>IFERROR(__xludf.DUMMYFUNCTION("""COMPUTED_VALUE"""),"Duke, B.O.L; Moore, P.J.; Vincelette, J. The Population Dynamics of Onchocerca volvulus Microfilariae During Treatment with Suramin and Diethylcarbamazine (1976) 27: 133-144.")</f>
        <v>Duke, B.O.L; Moore, P.J.; Vincelette, J. The Population Dynamics of Onchocerca volvulus Microfilariae During Treatment with Suramin and Diethylcarbamazine (1976) 27: 133-144.</v>
      </c>
      <c r="AV137" s="697"/>
      <c r="AW137" s="697"/>
      <c r="AX137" s="697"/>
      <c r="AY137" s="697" t="str">
        <f>IFERROR(__xludf.DUMMYFUNCTION("""COMPUTED_VALUE"""),"No")</f>
        <v>No</v>
      </c>
      <c r="AZ137" s="697" t="str">
        <f>IFERROR(__xludf.DUMMYFUNCTION("""COMPUTED_VALUE"""),"No")</f>
        <v>No</v>
      </c>
      <c r="BA137" s="697"/>
      <c r="BB137" s="697"/>
      <c r="BC137" s="697" t="str">
        <f>IFERROR(__xludf.DUMMYFUNCTION("""COMPUTED_VALUE"""),"After a course of 4-6 g Suramin the load of microfilariae in the skin usually falls, as a result of the direct action of the drug on the Mf. When our Suramin-trated patients received DEC, the load of Mf in the skin in four of them had fallen considerably.")</f>
        <v>After a course of 4-6 g Suramin the load of microfilariae in the skin usually falls, as a result of the direct action of the drug on the Mf. When our Suramin-trated patients received DEC, the load of Mf in the skin in four of them had fallen considerably.</v>
      </c>
      <c r="BD137" s="697" t="str">
        <f>IFERROR(__xludf.DUMMYFUNCTION("""COMPUTED_VALUE"""),"2 not included in data")</f>
        <v>2 not included in data</v>
      </c>
      <c r="BE137" s="697"/>
      <c r="BF137" s="697"/>
      <c r="BG137" s="697"/>
    </row>
    <row r="138">
      <c r="A138" s="697"/>
      <c r="B138" s="697" t="str">
        <f>IFERROR(__xludf.DUMMYFUNCTION("""COMPUTED_VALUE"""),"Duke, Moore, &amp; Vincelette")</f>
        <v>Duke, Moore, &amp; Vincelette</v>
      </c>
      <c r="C138" s="697" t="str">
        <f>IFERROR(__xludf.DUMMYFUNCTION("""COMPUTED_VALUE"""),"Cameroon")</f>
        <v>Cameroon</v>
      </c>
      <c r="D138" s="697" t="str">
        <f>IFERROR(__xludf.DUMMYFUNCTION("""COMPUTED_VALUE"""),"DEC")</f>
        <v>DEC</v>
      </c>
      <c r="E138" s="697" t="str">
        <f>IFERROR(__xludf.DUMMYFUNCTION("""COMPUTED_VALUE"""),"25mg, 50mg, 100mg, 200mg")</f>
        <v>25mg, 50mg, 100mg, 200mg</v>
      </c>
      <c r="F138" s="697" t="str">
        <f>IFERROR(__xludf.DUMMYFUNCTION("""COMPUTED_VALUE"""),"3, 3, 3, 2")</f>
        <v>3, 3, 3, 2</v>
      </c>
      <c r="G138" s="697" t="str">
        <f>IFERROR(__xludf.DUMMYFUNCTION("""COMPUTED_VALUE"""),"925mg")</f>
        <v>925mg</v>
      </c>
      <c r="H138" s="697"/>
      <c r="I138" s="697"/>
      <c r="J138" s="697"/>
      <c r="K138" s="697"/>
      <c r="L138" s="700">
        <f>IFERROR(__xludf.DUMMYFUNCTION("""COMPUTED_VALUE"""),0.33)</f>
        <v>0.33</v>
      </c>
      <c r="M138" s="697"/>
      <c r="N138" s="697"/>
      <c r="O138" s="697"/>
      <c r="P138" s="697"/>
      <c r="Q138" s="697"/>
      <c r="R138" s="697"/>
      <c r="S138" s="697"/>
      <c r="T138" s="697"/>
      <c r="U138" s="697"/>
      <c r="V138" s="697"/>
      <c r="W138" s="697"/>
      <c r="X138" s="697"/>
      <c r="Y138" s="697"/>
      <c r="Z138" s="697"/>
      <c r="AA138" s="697"/>
      <c r="AB138" s="697"/>
      <c r="AC138" s="697"/>
      <c r="AD138" s="697"/>
      <c r="AE138" s="697"/>
      <c r="AF138" s="697"/>
      <c r="AG138" s="697"/>
      <c r="AH138" s="697"/>
      <c r="AI138" s="697"/>
      <c r="AJ138" s="697"/>
      <c r="AK138" s="697"/>
      <c r="AL138" s="697"/>
      <c r="AM138" s="697"/>
      <c r="AN138" s="700">
        <f>IFERROR(__xludf.DUMMYFUNCTION("""COMPUTED_VALUE"""),0.33)</f>
        <v>0.33</v>
      </c>
      <c r="AO138" s="698">
        <f>IFERROR(__xludf.DUMMYFUNCTION("""COMPUTED_VALUE"""),0.33)</f>
        <v>0.33</v>
      </c>
      <c r="AP138" s="697" t="str">
        <f>IFERROR(__xludf.DUMMYFUNCTION("""COMPUTED_VALUE"""),"Mf reduction")</f>
        <v>Mf reduction</v>
      </c>
      <c r="AQ138" s="697"/>
      <c r="AR138" s="697">
        <f>IFERROR(__xludf.DUMMYFUNCTION("""COMPUTED_VALUE"""),1976.0)</f>
        <v>1976</v>
      </c>
      <c r="AS138" s="697"/>
      <c r="AT138" s="697" t="str">
        <f>IFERROR(__xludf.DUMMYFUNCTION("""COMPUTED_VALUE"""),"10-11 weeks")</f>
        <v>10-11 weeks</v>
      </c>
      <c r="AU138" s="699" t="str">
        <f>IFERROR(__xludf.DUMMYFUNCTION("""COMPUTED_VALUE"""),"Duke, B.O.L; Moore, P.J.; Vincelette, J. The Population Dynamics of Onchocerca volvulus Microfilariae During Treatment with Suramin and Diethylcarbamazine (1976) 27: 133-144.")</f>
        <v>Duke, B.O.L; Moore, P.J.; Vincelette, J. The Population Dynamics of Onchocerca volvulus Microfilariae During Treatment with Suramin and Diethylcarbamazine (1976) 27: 133-144.</v>
      </c>
      <c r="AV138" s="697"/>
      <c r="AW138" s="697"/>
      <c r="AX138" s="697"/>
      <c r="AY138" s="697" t="str">
        <f>IFERROR(__xludf.DUMMYFUNCTION("""COMPUTED_VALUE"""),"No")</f>
        <v>No</v>
      </c>
      <c r="AZ138" s="697" t="str">
        <f>IFERROR(__xludf.DUMMYFUNCTION("""COMPUTED_VALUE"""),"No")</f>
        <v>No</v>
      </c>
      <c r="BA138" s="697"/>
      <c r="BB138" s="697"/>
      <c r="BC138" s="697"/>
      <c r="BD138" s="697"/>
      <c r="BE138" s="697"/>
      <c r="BF138" s="697"/>
      <c r="BG138" s="697"/>
    </row>
    <row r="139">
      <c r="A139" s="697"/>
      <c r="B139" s="697" t="str">
        <f>IFERROR(__xludf.DUMMYFUNCTION("""COMPUTED_VALUE"""),"Lariviere et al.")</f>
        <v>Lariviere et al.</v>
      </c>
      <c r="C139" s="697" t="str">
        <f>IFERROR(__xludf.DUMMYFUNCTION("""COMPUTED_VALUE"""),"Mali")</f>
        <v>Mali</v>
      </c>
      <c r="D139" s="697" t="str">
        <f>IFERROR(__xludf.DUMMYFUNCTION("""COMPUTED_VALUE"""),"Ivermectin")</f>
        <v>Ivermectin</v>
      </c>
      <c r="E139" s="697" t="str">
        <f>IFERROR(__xludf.DUMMYFUNCTION("""COMPUTED_VALUE"""),"200ug")</f>
        <v>200ug</v>
      </c>
      <c r="F139" s="697">
        <f>IFERROR(__xludf.DUMMYFUNCTION("""COMPUTED_VALUE"""),1.0)</f>
        <v>1</v>
      </c>
      <c r="G139" s="697" t="str">
        <f>IFERROR(__xludf.DUMMYFUNCTION("""COMPUTED_VALUE"""),"200 ug/kg")</f>
        <v>200 ug/kg</v>
      </c>
      <c r="H139" s="697"/>
      <c r="I139" s="700">
        <f>IFERROR(__xludf.DUMMYFUNCTION("""COMPUTED_VALUE"""),0.7)</f>
        <v>0.7</v>
      </c>
      <c r="J139" s="697"/>
      <c r="K139" s="700">
        <f>IFERROR(__xludf.DUMMYFUNCTION("""COMPUTED_VALUE"""),0.89)</f>
        <v>0.89</v>
      </c>
      <c r="L139" s="697"/>
      <c r="M139" s="697"/>
      <c r="N139" s="700">
        <f>IFERROR(__xludf.DUMMYFUNCTION("""COMPUTED_VALUE"""),0.98)</f>
        <v>0.98</v>
      </c>
      <c r="O139" s="700">
        <f>IFERROR(__xludf.DUMMYFUNCTION("""COMPUTED_VALUE"""),0.99)</f>
        <v>0.99</v>
      </c>
      <c r="P139" s="697"/>
      <c r="Q139" s="700">
        <f>IFERROR(__xludf.DUMMYFUNCTION("""COMPUTED_VALUE"""),0.99)</f>
        <v>0.99</v>
      </c>
      <c r="R139" s="697"/>
      <c r="S139" s="700">
        <f>IFERROR(__xludf.DUMMYFUNCTION("""COMPUTED_VALUE"""),0.98)</f>
        <v>0.98</v>
      </c>
      <c r="T139" s="697"/>
      <c r="U139" s="697"/>
      <c r="V139" s="697"/>
      <c r="W139" s="700">
        <f>IFERROR(__xludf.DUMMYFUNCTION("""COMPUTED_VALUE"""),0.91)</f>
        <v>0.91</v>
      </c>
      <c r="X139" s="697"/>
      <c r="Y139" s="697"/>
      <c r="Z139" s="697"/>
      <c r="AA139" s="697"/>
      <c r="AB139" s="697"/>
      <c r="AC139" s="697"/>
      <c r="AD139" s="697"/>
      <c r="AE139" s="697" t="str">
        <f>IFERROR(__xludf.DUMMYFUNCTION("""COMPUTED_VALUE"""),"n/a")</f>
        <v>n/a</v>
      </c>
      <c r="AF139" s="697"/>
      <c r="AG139" s="697"/>
      <c r="AH139" s="697"/>
      <c r="AI139" s="697"/>
      <c r="AJ139" s="697"/>
      <c r="AK139" s="697"/>
      <c r="AL139" s="697"/>
      <c r="AM139" s="697"/>
      <c r="AN139" s="700">
        <f>IFERROR(__xludf.DUMMYFUNCTION("""COMPUTED_VALUE"""),0.98)</f>
        <v>0.98</v>
      </c>
      <c r="AO139" s="698">
        <f>IFERROR(__xludf.DUMMYFUNCTION("""COMPUTED_VALUE"""),0.98)</f>
        <v>0.98</v>
      </c>
      <c r="AP139" s="697" t="str">
        <f>IFERROR(__xludf.DUMMYFUNCTION("""COMPUTED_VALUE"""),"Mf reduction")</f>
        <v>Mf reduction</v>
      </c>
      <c r="AQ139" s="697" t="str">
        <f>IFERROR(__xludf.DUMMYFUNCTION("""COMPUTED_VALUE"""),"Bamako")</f>
        <v>Bamako</v>
      </c>
      <c r="AR139" s="697">
        <f>IFERROR(__xludf.DUMMYFUNCTION("""COMPUTED_VALUE"""),1985.0)</f>
        <v>1985</v>
      </c>
      <c r="AS139" s="697">
        <f>IFERROR(__xludf.DUMMYFUNCTION("""COMPUTED_VALUE"""),10.0)</f>
        <v>10</v>
      </c>
      <c r="AT139" s="697" t="str">
        <f>IFERROR(__xludf.DUMMYFUNCTION("""COMPUTED_VALUE"""),"1 year")</f>
        <v>1 year</v>
      </c>
      <c r="AU139" s="699" t="str">
        <f>IFERROR(__xludf.DUMMYFUNCTION("""COMPUTED_VALUE"""),"Lariviere, M.; Aziz, M.; Weimann, D.; Ginoux, J.; Gaxotte, P.; Vingtain, P.; Beauvais, B.; Derouin, F.; Schulz-Key, H.; Basset, D. Double-Blind Study of Ivermectin and Diethylcarbamazine in African Onchocerciasis Patients with Ocular Involvement (1985). T"&amp;"he Lancet 2(8448): 174-177.")</f>
        <v>Lariviere, M.; Aziz, M.; Weimann, D.; Ginoux, J.; Gaxotte, P.; Vingtain, P.; Beauvais, B.; Derouin, F.; Schulz-Key, H.; Basset, D. Double-Blind Study of Ivermectin and Diethylcarbamazine in African Onchocerciasis Patients with Ocular Involvement (1985). The Lancet 2(8448): 174-177.</v>
      </c>
      <c r="AV139" s="697" t="str">
        <f>IFERROR(__xludf.DUMMYFUNCTION("""COMPUTED_VALUE"""),"M")</f>
        <v>M</v>
      </c>
      <c r="AW139" s="697" t="str">
        <f>IFERROR(__xludf.DUMMYFUNCTION("""COMPUTED_VALUE"""),"18-50 years ")</f>
        <v>18-50 years </v>
      </c>
      <c r="AX139" s="697"/>
      <c r="AY139" s="697" t="str">
        <f>IFERROR(__xludf.DUMMYFUNCTION("""COMPUTED_VALUE"""),"Yes")</f>
        <v>Yes</v>
      </c>
      <c r="AZ139" s="697" t="str">
        <f>IFERROR(__xludf.DUMMYFUNCTION("""COMPUTED_VALUE"""),"Yes")</f>
        <v>Yes</v>
      </c>
      <c r="BA139" s="697"/>
      <c r="BB139" s="697"/>
      <c r="BC139" s="697" t="str">
        <f>IFERROR(__xludf.DUMMYFUNCTION("""COMPUTED_VALUE"""),"Both ivermectin and DEC caused a prompt decrease in mean skin mf density; density then increased in both groups over the twelve month observation period. Side effects were less frequent and less severe in ivermectin patients than in DEC patients. Ivermect"&amp;"in as a single oral dose appears to be a more effective mf drug than DEC in onchoerciasis.")</f>
        <v>Both ivermectin and DEC caused a prompt decrease in mean skin mf density; density then increased in both groups over the twelve month observation period. Side effects were less frequent and less severe in ivermectin patients than in DEC patients. Ivermectin as a single oral dose appears to be a more effective mf drug than DEC in onchoerciasis.</v>
      </c>
      <c r="BD139" s="697"/>
      <c r="BE139" s="697"/>
      <c r="BF139" s="697"/>
      <c r="BG139" s="697"/>
    </row>
    <row r="140">
      <c r="A140" s="697"/>
      <c r="B140" s="697" t="str">
        <f>IFERROR(__xludf.DUMMYFUNCTION("""COMPUTED_VALUE"""),"Lariviere et al.")</f>
        <v>Lariviere et al.</v>
      </c>
      <c r="C140" s="697" t="str">
        <f>IFERROR(__xludf.DUMMYFUNCTION("""COMPUTED_VALUE"""),"Mali")</f>
        <v>Mali</v>
      </c>
      <c r="D140" s="697" t="str">
        <f>IFERROR(__xludf.DUMMYFUNCTION("""COMPUTED_VALUE"""),"DEC")</f>
        <v>DEC</v>
      </c>
      <c r="E140" s="697" t="str">
        <f>IFERROR(__xludf.DUMMYFUNCTION("""COMPUTED_VALUE"""),"50mg;100mg")</f>
        <v>50mg;100mg</v>
      </c>
      <c r="F140" s="697" t="str">
        <f>IFERROR(__xludf.DUMMYFUNCTION("""COMPUTED_VALUE"""),"2;5")</f>
        <v>2;5</v>
      </c>
      <c r="G140" s="697" t="str">
        <f>IFERROR(__xludf.DUMMYFUNCTION("""COMPUTED_VALUE"""),"1300mg")</f>
        <v>1300mg</v>
      </c>
      <c r="H140" s="697"/>
      <c r="I140" s="700">
        <f>IFERROR(__xludf.DUMMYFUNCTION("""COMPUTED_VALUE"""),0.73)</f>
        <v>0.73</v>
      </c>
      <c r="J140" s="697"/>
      <c r="K140" s="700">
        <f>IFERROR(__xludf.DUMMYFUNCTION("""COMPUTED_VALUE"""),0.86)</f>
        <v>0.86</v>
      </c>
      <c r="L140" s="697"/>
      <c r="M140" s="697"/>
      <c r="N140" s="700">
        <f>IFERROR(__xludf.DUMMYFUNCTION("""COMPUTED_VALUE"""),0.93)</f>
        <v>0.93</v>
      </c>
      <c r="O140" s="700">
        <f>IFERROR(__xludf.DUMMYFUNCTION("""COMPUTED_VALUE"""),0.91)</f>
        <v>0.91</v>
      </c>
      <c r="P140" s="697"/>
      <c r="Q140" s="700">
        <f>IFERROR(__xludf.DUMMYFUNCTION("""COMPUTED_VALUE"""),0.82)</f>
        <v>0.82</v>
      </c>
      <c r="R140" s="697"/>
      <c r="S140" s="700">
        <f>IFERROR(__xludf.DUMMYFUNCTION("""COMPUTED_VALUE"""),0.78)</f>
        <v>0.78</v>
      </c>
      <c r="T140" s="697"/>
      <c r="U140" s="697"/>
      <c r="V140" s="697"/>
      <c r="W140" s="700">
        <f>IFERROR(__xludf.DUMMYFUNCTION("""COMPUTED_VALUE"""),0.55)</f>
        <v>0.55</v>
      </c>
      <c r="X140" s="697"/>
      <c r="Y140" s="697"/>
      <c r="Z140" s="697"/>
      <c r="AA140" s="697"/>
      <c r="AB140" s="697"/>
      <c r="AC140" s="697"/>
      <c r="AD140" s="697"/>
      <c r="AE140" s="697" t="str">
        <f>IFERROR(__xludf.DUMMYFUNCTION("""COMPUTED_VALUE"""),"n/a")</f>
        <v>n/a</v>
      </c>
      <c r="AF140" s="697"/>
      <c r="AG140" s="697"/>
      <c r="AH140" s="697"/>
      <c r="AI140" s="697"/>
      <c r="AJ140" s="697"/>
      <c r="AK140" s="697"/>
      <c r="AL140" s="697"/>
      <c r="AM140" s="697"/>
      <c r="AN140" s="700">
        <f>IFERROR(__xludf.DUMMYFUNCTION("""COMPUTED_VALUE"""),0.78)</f>
        <v>0.78</v>
      </c>
      <c r="AO140" s="698">
        <f>IFERROR(__xludf.DUMMYFUNCTION("""COMPUTED_VALUE"""),0.78)</f>
        <v>0.78</v>
      </c>
      <c r="AP140" s="697" t="str">
        <f>IFERROR(__xludf.DUMMYFUNCTION("""COMPUTED_VALUE"""),"Mf reduction")</f>
        <v>Mf reduction</v>
      </c>
      <c r="AQ140" s="697" t="str">
        <f>IFERROR(__xludf.DUMMYFUNCTION("""COMPUTED_VALUE"""),"Bamako")</f>
        <v>Bamako</v>
      </c>
      <c r="AR140" s="697">
        <f>IFERROR(__xludf.DUMMYFUNCTION("""COMPUTED_VALUE"""),1985.0)</f>
        <v>1985</v>
      </c>
      <c r="AS140" s="697">
        <f>IFERROR(__xludf.DUMMYFUNCTION("""COMPUTED_VALUE"""),10.0)</f>
        <v>10</v>
      </c>
      <c r="AT140" s="697" t="str">
        <f>IFERROR(__xludf.DUMMYFUNCTION("""COMPUTED_VALUE"""),"2 year")</f>
        <v>2 year</v>
      </c>
      <c r="AU140" s="699" t="str">
        <f>IFERROR(__xludf.DUMMYFUNCTION("""COMPUTED_VALUE"""),"Lariviere, M.; Aziz, M.; Weimann, D.; Ginoux, J.; Gaxotte, P.; Vingtain, P.; Beauvais, B.; Derouin, F.; Schulz-Key, H.; Basset, D. Double-Blind Study of Ivermectin and Diethylcarbamazine in African Onchocerciasis Patients with Ocular Involvement (1985). T"&amp;"he Lancet 2(8448): 174-177.")</f>
        <v>Lariviere, M.; Aziz, M.; Weimann, D.; Ginoux, J.; Gaxotte, P.; Vingtain, P.; Beauvais, B.; Derouin, F.; Schulz-Key, H.; Basset, D. Double-Blind Study of Ivermectin and Diethylcarbamazine in African Onchocerciasis Patients with Ocular Involvement (1985). The Lancet 2(8448): 174-177.</v>
      </c>
      <c r="AV140" s="697" t="str">
        <f>IFERROR(__xludf.DUMMYFUNCTION("""COMPUTED_VALUE"""),"M")</f>
        <v>M</v>
      </c>
      <c r="AW140" s="697" t="str">
        <f>IFERROR(__xludf.DUMMYFUNCTION("""COMPUTED_VALUE"""),"18-50 years ")</f>
        <v>18-50 years </v>
      </c>
      <c r="AX140" s="697"/>
      <c r="AY140" s="697" t="str">
        <f>IFERROR(__xludf.DUMMYFUNCTION("""COMPUTED_VALUE"""),"Yes")</f>
        <v>Yes</v>
      </c>
      <c r="AZ140" s="697" t="str">
        <f>IFERROR(__xludf.DUMMYFUNCTION("""COMPUTED_VALUE"""),"Yes")</f>
        <v>Yes</v>
      </c>
      <c r="BA140" s="697"/>
      <c r="BB140" s="697"/>
      <c r="BC140" s="697" t="str">
        <f>IFERROR(__xludf.DUMMYFUNCTION("""COMPUTED_VALUE"""),"Both ivermectin and DEC caused a prompt decrease in mean skin mf density; density then increased in both groups over the twelve month observation period. Side effects were less frequent and less severe in ivermectin patients than in DEC patients. Ivermect"&amp;"in as a single oral dose appears to be a more effective mf drug than DEC in onchoerciasis.")</f>
        <v>Both ivermectin and DEC caused a prompt decrease in mean skin mf density; density then increased in both groups over the twelve month observation period. Side effects were less frequent and less severe in ivermectin patients than in DEC patients. Ivermectin as a single oral dose appears to be a more effective mf drug than DEC in onchoerciasis.</v>
      </c>
      <c r="BD140" s="697"/>
      <c r="BE140" s="697"/>
      <c r="BF140" s="697"/>
      <c r="BG140" s="697"/>
    </row>
    <row r="141">
      <c r="A141" s="697"/>
      <c r="B141" s="697" t="str">
        <f>IFERROR(__xludf.DUMMYFUNCTION("""COMPUTED_VALUE"""),"Lariviere et al.")</f>
        <v>Lariviere et al.</v>
      </c>
      <c r="C141" s="697" t="str">
        <f>IFERROR(__xludf.DUMMYFUNCTION("""COMPUTED_VALUE"""),"Mali")</f>
        <v>Mali</v>
      </c>
      <c r="D141" s="697" t="str">
        <f>IFERROR(__xludf.DUMMYFUNCTION("""COMPUTED_VALUE"""),"Placebo")</f>
        <v>Placebo</v>
      </c>
      <c r="E141" s="697"/>
      <c r="F141" s="697"/>
      <c r="G141" s="697"/>
      <c r="H141" s="697"/>
      <c r="I141" s="697" t="str">
        <f>IFERROR(__xludf.DUMMYFUNCTION("""COMPUTED_VALUE"""),"Increase of 9.%")</f>
        <v>Increase of 9.%</v>
      </c>
      <c r="J141" s="697"/>
      <c r="K141" s="700">
        <f>IFERROR(__xludf.DUMMYFUNCTION("""COMPUTED_VALUE"""),0.0)</f>
        <v>0</v>
      </c>
      <c r="L141" s="697"/>
      <c r="M141" s="697"/>
      <c r="N141" s="700">
        <f>IFERROR(__xludf.DUMMYFUNCTION("""COMPUTED_VALUE"""),0.27)</f>
        <v>0.27</v>
      </c>
      <c r="O141" s="697" t="str">
        <f>IFERROR(__xludf.DUMMYFUNCTION("""COMPUTED_VALUE"""),"Increase of 3%")</f>
        <v>Increase of 3%</v>
      </c>
      <c r="P141" s="697"/>
      <c r="Q141" s="700">
        <f>IFERROR(__xludf.DUMMYFUNCTION("""COMPUTED_VALUE"""),0.15)</f>
        <v>0.15</v>
      </c>
      <c r="R141" s="697"/>
      <c r="S141" s="700">
        <f>IFERROR(__xludf.DUMMYFUNCTION("""COMPUTED_VALUE"""),0.34)</f>
        <v>0.34</v>
      </c>
      <c r="T141" s="697"/>
      <c r="U141" s="697"/>
      <c r="V141" s="697"/>
      <c r="W141" s="700">
        <f>IFERROR(__xludf.DUMMYFUNCTION("""COMPUTED_VALUE"""),0.06)</f>
        <v>0.06</v>
      </c>
      <c r="X141" s="697"/>
      <c r="Y141" s="697"/>
      <c r="Z141" s="697"/>
      <c r="AA141" s="697"/>
      <c r="AB141" s="697"/>
      <c r="AC141" s="697"/>
      <c r="AD141" s="697"/>
      <c r="AE141" s="697" t="str">
        <f>IFERROR(__xludf.DUMMYFUNCTION("""COMPUTED_VALUE"""),"n/a")</f>
        <v>n/a</v>
      </c>
      <c r="AF141" s="697"/>
      <c r="AG141" s="697"/>
      <c r="AH141" s="697"/>
      <c r="AI141" s="697"/>
      <c r="AJ141" s="697"/>
      <c r="AK141" s="697"/>
      <c r="AL141" s="697"/>
      <c r="AM141" s="697"/>
      <c r="AN141" s="700">
        <f>IFERROR(__xludf.DUMMYFUNCTION("""COMPUTED_VALUE"""),0.34)</f>
        <v>0.34</v>
      </c>
      <c r="AO141" s="698">
        <f>IFERROR(__xludf.DUMMYFUNCTION("""COMPUTED_VALUE"""),0.34)</f>
        <v>0.34</v>
      </c>
      <c r="AP141" s="697" t="str">
        <f>IFERROR(__xludf.DUMMYFUNCTION("""COMPUTED_VALUE"""),"Mf reduction")</f>
        <v>Mf reduction</v>
      </c>
      <c r="AQ141" s="697" t="str">
        <f>IFERROR(__xludf.DUMMYFUNCTION("""COMPUTED_VALUE"""),"Bamako")</f>
        <v>Bamako</v>
      </c>
      <c r="AR141" s="697">
        <f>IFERROR(__xludf.DUMMYFUNCTION("""COMPUTED_VALUE"""),1985.0)</f>
        <v>1985</v>
      </c>
      <c r="AS141" s="697">
        <f>IFERROR(__xludf.DUMMYFUNCTION("""COMPUTED_VALUE"""),10.0)</f>
        <v>10</v>
      </c>
      <c r="AT141" s="697" t="str">
        <f>IFERROR(__xludf.DUMMYFUNCTION("""COMPUTED_VALUE"""),"3 year")</f>
        <v>3 year</v>
      </c>
      <c r="AU141" s="699" t="str">
        <f>IFERROR(__xludf.DUMMYFUNCTION("""COMPUTED_VALUE"""),"Lariviere, M.; Aziz, M.; Weimann, D.; Ginoux, J.; Gaxotte, P.; Vingtain, P.; Beauvais, B.; Derouin, F.; Schulz-Key, H.; Basset, D. Double-Blind Study of Ivermectin and Diethylcarbamazine in African Onchocerciasis Patients with Ocular Involvement (1985). T"&amp;"he Lancet 2(8448): 174-177.")</f>
        <v>Lariviere, M.; Aziz, M.; Weimann, D.; Ginoux, J.; Gaxotte, P.; Vingtain, P.; Beauvais, B.; Derouin, F.; Schulz-Key, H.; Basset, D. Double-Blind Study of Ivermectin and Diethylcarbamazine in African Onchocerciasis Patients with Ocular Involvement (1985). The Lancet 2(8448): 174-177.</v>
      </c>
      <c r="AV141" s="697" t="str">
        <f>IFERROR(__xludf.DUMMYFUNCTION("""COMPUTED_VALUE"""),"M")</f>
        <v>M</v>
      </c>
      <c r="AW141" s="697" t="str">
        <f>IFERROR(__xludf.DUMMYFUNCTION("""COMPUTED_VALUE"""),"18-50 years ")</f>
        <v>18-50 years </v>
      </c>
      <c r="AX141" s="697"/>
      <c r="AY141" s="697" t="str">
        <f>IFERROR(__xludf.DUMMYFUNCTION("""COMPUTED_VALUE"""),"Yes")</f>
        <v>Yes</v>
      </c>
      <c r="AZ141" s="697" t="str">
        <f>IFERROR(__xludf.DUMMYFUNCTION("""COMPUTED_VALUE"""),"Yes")</f>
        <v>Yes</v>
      </c>
      <c r="BA141" s="697"/>
      <c r="BB141" s="697"/>
      <c r="BC141" s="697" t="str">
        <f>IFERROR(__xludf.DUMMYFUNCTION("""COMPUTED_VALUE"""),"Both ivermectin and DEC caused a prompt decrease in mean skin mf density; density then increased in both groups over the twelve month observation period. Side effects were less frequent and less severe in ivermectin patients than in DEC patients. Ivermect"&amp;"in as a single oral dose appears to be a more effective mf drug than DEC in onchoerciasis.")</f>
        <v>Both ivermectin and DEC caused a prompt decrease in mean skin mf density; density then increased in both groups over the twelve month observation period. Side effects were less frequent and less severe in ivermectin patients than in DEC patients. Ivermectin as a single oral dose appears to be a more effective mf drug than DEC in onchoerciasis.</v>
      </c>
      <c r="BD141" s="697"/>
      <c r="BE141" s="697"/>
      <c r="BF141" s="697"/>
      <c r="BG141" s="697"/>
    </row>
    <row r="142">
      <c r="A142" s="697"/>
      <c r="B142" s="697" t="str">
        <f>IFERROR(__xludf.DUMMYFUNCTION("""COMPUTED_VALUE"""),"Awadzi &amp; Gilles")</f>
        <v>Awadzi &amp; Gilles</v>
      </c>
      <c r="C142" s="697" t="str">
        <f>IFERROR(__xludf.DUMMYFUNCTION("""COMPUTED_VALUE"""),"Ghana")</f>
        <v>Ghana</v>
      </c>
      <c r="D142" s="697" t="str">
        <f>IFERROR(__xludf.DUMMYFUNCTION("""COMPUTED_VALUE"""),"DEC")</f>
        <v>DEC</v>
      </c>
      <c r="E142" s="697" t="str">
        <f>IFERROR(__xludf.DUMMYFUNCTION("""COMPUTED_VALUE"""),"50mg-200mg")</f>
        <v>50mg-200mg</v>
      </c>
      <c r="F142" s="697">
        <f>IFERROR(__xludf.DUMMYFUNCTION("""COMPUTED_VALUE"""),42.0)</f>
        <v>42</v>
      </c>
      <c r="G142" s="697" t="str">
        <f>IFERROR(__xludf.DUMMYFUNCTION("""COMPUTED_VALUE"""),"6.6 g")</f>
        <v>6.6 g</v>
      </c>
      <c r="H142" s="697"/>
      <c r="I142" s="697"/>
      <c r="J142" s="697"/>
      <c r="K142" s="697"/>
      <c r="L142" s="698">
        <f>IFERROR(__xludf.DUMMYFUNCTION("""COMPUTED_VALUE"""),0.989)</f>
        <v>0.989</v>
      </c>
      <c r="M142" s="697"/>
      <c r="N142" s="697"/>
      <c r="O142" s="697"/>
      <c r="P142" s="697"/>
      <c r="Q142" s="697"/>
      <c r="R142" s="697"/>
      <c r="S142" s="697"/>
      <c r="T142" s="697"/>
      <c r="U142" s="697"/>
      <c r="V142" s="697"/>
      <c r="W142" s="697"/>
      <c r="X142" s="697"/>
      <c r="Y142" s="697"/>
      <c r="Z142" s="697"/>
      <c r="AA142" s="697"/>
      <c r="AB142" s="697"/>
      <c r="AC142" s="697"/>
      <c r="AD142" s="697"/>
      <c r="AE142" s="697" t="str">
        <f>IFERROR(__xludf.DUMMYFUNCTION("""COMPUTED_VALUE"""),"N/A")</f>
        <v>N/A</v>
      </c>
      <c r="AF142" s="697"/>
      <c r="AG142" s="697"/>
      <c r="AH142" s="697"/>
      <c r="AI142" s="697"/>
      <c r="AJ142" s="697"/>
      <c r="AK142" s="697"/>
      <c r="AL142" s="697"/>
      <c r="AM142" s="697"/>
      <c r="AN142" s="698">
        <f>IFERROR(__xludf.DUMMYFUNCTION("""COMPUTED_VALUE"""),0.989)</f>
        <v>0.989</v>
      </c>
      <c r="AO142" s="698">
        <f>IFERROR(__xludf.DUMMYFUNCTION("""COMPUTED_VALUE"""),0.989)</f>
        <v>0.989</v>
      </c>
      <c r="AP142" s="697" t="str">
        <f>IFERROR(__xludf.DUMMYFUNCTION("""COMPUTED_VALUE"""),"Mf reduction")</f>
        <v>Mf reduction</v>
      </c>
      <c r="AQ142" s="697" t="str">
        <f>IFERROR(__xludf.DUMMYFUNCTION("""COMPUTED_VALUE"""),"Northern Ghana")</f>
        <v>Northern Ghana</v>
      </c>
      <c r="AR142" s="697">
        <f>IFERROR(__xludf.DUMMYFUNCTION("""COMPUTED_VALUE"""),1979.0)</f>
        <v>1979</v>
      </c>
      <c r="AS142" s="697">
        <f>IFERROR(__xludf.DUMMYFUNCTION("""COMPUTED_VALUE"""),20.0)</f>
        <v>20</v>
      </c>
      <c r="AT142" s="697" t="str">
        <f>IFERROR(__xludf.DUMMYFUNCTION("""COMPUTED_VALUE"""),"2 weeks")</f>
        <v>2 weeks</v>
      </c>
      <c r="AU142" s="699" t="str">
        <f>IFERROR(__xludf.DUMMYFUNCTION("""COMPUTED_VALUE"""),"Awadzi, K. &amp; Gilles, H.M. The chemotherapy of onchocerciasis III A comparative study of diethylcarbamazine (DEC) and metrifonate (1980). Annals of Tropical Medicine and Parasitology 74(2):199-210. ")</f>
        <v>Awadzi, K. &amp; Gilles, H.M. The chemotherapy of onchocerciasis III A comparative study of diethylcarbamazine (DEC) and metrifonate (1980). Annals of Tropical Medicine and Parasitology 74(2):199-210. </v>
      </c>
      <c r="AV142" s="697" t="str">
        <f>IFERROR(__xludf.DUMMYFUNCTION("""COMPUTED_VALUE"""),"M")</f>
        <v>M</v>
      </c>
      <c r="AW142" s="697" t="str">
        <f>IFERROR(__xludf.DUMMYFUNCTION("""COMPUTED_VALUE"""),"18-48 years, Mean Age 32")</f>
        <v>18-48 years, Mean Age 32</v>
      </c>
      <c r="AX142" s="697" t="str">
        <f>IFERROR(__xludf.DUMMYFUNCTION("""COMPUTED_VALUE"""),"18-48")</f>
        <v>18-48</v>
      </c>
      <c r="AY142" s="697" t="str">
        <f>IFERROR(__xludf.DUMMYFUNCTION("""COMPUTED_VALUE"""),"Yes")</f>
        <v>Yes</v>
      </c>
      <c r="AZ142" s="697" t="str">
        <f>IFERROR(__xludf.DUMMYFUNCTION("""COMPUTED_VALUE"""),"Yes")</f>
        <v>Yes</v>
      </c>
      <c r="BA142" s="697"/>
      <c r="BB142" s="697"/>
      <c r="BC142" s="697" t="str">
        <f>IFERROR(__xludf.DUMMYFUNCTION("""COMPUTED_VALUE"""),"DEC is more effective than metrifonate and remains the 'reference' microfilaricide although its effects are more severe than those of metrifonate")</f>
        <v>DEC is more effective than metrifonate and remains the 'reference' microfilaricide although its effects are more severe than those of metrifonate</v>
      </c>
      <c r="BD142" s="697" t="str">
        <f>IFERROR(__xludf.DUMMYFUNCTION("""COMPUTED_VALUE"""),"2 patients from the DEC group moved from the village and 1 patient from the metrifonate group did not attend.")</f>
        <v>2 patients from the DEC group moved from the village and 1 patient from the metrifonate group did not attend.</v>
      </c>
      <c r="BE142" s="697"/>
      <c r="BF142" s="697"/>
      <c r="BG142" s="697"/>
    </row>
    <row r="143">
      <c r="A143" s="697"/>
      <c r="B143" s="697" t="str">
        <f>IFERROR(__xludf.DUMMYFUNCTION("""COMPUTED_VALUE"""),"Awadzi &amp; Gilles")</f>
        <v>Awadzi &amp; Gilles</v>
      </c>
      <c r="C143" s="697" t="str">
        <f>IFERROR(__xludf.DUMMYFUNCTION("""COMPUTED_VALUE"""),"Ghana")</f>
        <v>Ghana</v>
      </c>
      <c r="D143" s="697" t="str">
        <f>IFERROR(__xludf.DUMMYFUNCTION("""COMPUTED_VALUE"""),"Metrifonate")</f>
        <v>Metrifonate</v>
      </c>
      <c r="E143" s="697" t="str">
        <f>IFERROR(__xludf.DUMMYFUNCTION("""COMPUTED_VALUE"""),"10mg/kg")</f>
        <v>10mg/kg</v>
      </c>
      <c r="F143" s="697">
        <f>IFERROR(__xludf.DUMMYFUNCTION("""COMPUTED_VALUE"""),3.0)</f>
        <v>3</v>
      </c>
      <c r="G143" s="697" t="str">
        <f>IFERROR(__xludf.DUMMYFUNCTION("""COMPUTED_VALUE"""),"30 mg/kg")</f>
        <v>30 mg/kg</v>
      </c>
      <c r="H143" s="697"/>
      <c r="I143" s="697"/>
      <c r="J143" s="697"/>
      <c r="K143" s="697"/>
      <c r="L143" s="698">
        <f>IFERROR(__xludf.DUMMYFUNCTION("""COMPUTED_VALUE"""),0.754)</f>
        <v>0.754</v>
      </c>
      <c r="M143" s="697"/>
      <c r="N143" s="697"/>
      <c r="O143" s="697"/>
      <c r="P143" s="697"/>
      <c r="Q143" s="697"/>
      <c r="R143" s="697"/>
      <c r="S143" s="697"/>
      <c r="T143" s="697"/>
      <c r="U143" s="697"/>
      <c r="V143" s="697"/>
      <c r="W143" s="697"/>
      <c r="X143" s="697"/>
      <c r="Y143" s="697"/>
      <c r="Z143" s="697"/>
      <c r="AA143" s="697"/>
      <c r="AB143" s="697"/>
      <c r="AC143" s="697"/>
      <c r="AD143" s="697"/>
      <c r="AE143" s="697" t="str">
        <f>IFERROR(__xludf.DUMMYFUNCTION("""COMPUTED_VALUE"""),"N/A")</f>
        <v>N/A</v>
      </c>
      <c r="AF143" s="697"/>
      <c r="AG143" s="697"/>
      <c r="AH143" s="697"/>
      <c r="AI143" s="697"/>
      <c r="AJ143" s="697"/>
      <c r="AK143" s="697"/>
      <c r="AL143" s="697"/>
      <c r="AM143" s="697"/>
      <c r="AN143" s="698">
        <f>IFERROR(__xludf.DUMMYFUNCTION("""COMPUTED_VALUE"""),0.754)</f>
        <v>0.754</v>
      </c>
      <c r="AO143" s="698">
        <f>IFERROR(__xludf.DUMMYFUNCTION("""COMPUTED_VALUE"""),0.754)</f>
        <v>0.754</v>
      </c>
      <c r="AP143" s="697" t="str">
        <f>IFERROR(__xludf.DUMMYFUNCTION("""COMPUTED_VALUE"""),"Mf reduction")</f>
        <v>Mf reduction</v>
      </c>
      <c r="AQ143" s="697" t="str">
        <f>IFERROR(__xludf.DUMMYFUNCTION("""COMPUTED_VALUE"""),"Northern Ghana")</f>
        <v>Northern Ghana</v>
      </c>
      <c r="AR143" s="697">
        <f>IFERROR(__xludf.DUMMYFUNCTION("""COMPUTED_VALUE"""),1979.0)</f>
        <v>1979</v>
      </c>
      <c r="AS143" s="697">
        <f>IFERROR(__xludf.DUMMYFUNCTION("""COMPUTED_VALUE"""),20.0)</f>
        <v>20</v>
      </c>
      <c r="AT143" s="697" t="str">
        <f>IFERROR(__xludf.DUMMYFUNCTION("""COMPUTED_VALUE"""),"30 days")</f>
        <v>30 days</v>
      </c>
      <c r="AU143" s="699" t="str">
        <f>IFERROR(__xludf.DUMMYFUNCTION("""COMPUTED_VALUE"""),"Awadzi, K. &amp; Gilles, H.M. The chemotherapy of onchocerciasis III A comparative study of diethylcarbamazine (DEC) and metrifonate (1980). Annals of Tropical Medicine and Parasitology 74(2):199-210. ")</f>
        <v>Awadzi, K. &amp; Gilles, H.M. The chemotherapy of onchocerciasis III A comparative study of diethylcarbamazine (DEC) and metrifonate (1980). Annals of Tropical Medicine and Parasitology 74(2):199-210. </v>
      </c>
      <c r="AV143" s="697" t="str">
        <f>IFERROR(__xludf.DUMMYFUNCTION("""COMPUTED_VALUE"""),"M")</f>
        <v>M</v>
      </c>
      <c r="AW143" s="697" t="str">
        <f>IFERROR(__xludf.DUMMYFUNCTION("""COMPUTED_VALUE"""),"20-40 years, Mean Age 31")</f>
        <v>20-40 years, Mean Age 31</v>
      </c>
      <c r="AX143" s="697" t="str">
        <f>IFERROR(__xludf.DUMMYFUNCTION("""COMPUTED_VALUE"""),"20-40")</f>
        <v>20-40</v>
      </c>
      <c r="AY143" s="697" t="str">
        <f>IFERROR(__xludf.DUMMYFUNCTION("""COMPUTED_VALUE"""),"Yes")</f>
        <v>Yes</v>
      </c>
      <c r="AZ143" s="697" t="str">
        <f>IFERROR(__xludf.DUMMYFUNCTION("""COMPUTED_VALUE"""),"Yes")</f>
        <v>Yes</v>
      </c>
      <c r="BA143" s="697"/>
      <c r="BB143" s="697"/>
      <c r="BC143" s="697" t="str">
        <f>IFERROR(__xludf.DUMMYFUNCTION("""COMPUTED_VALUE"""),"DEC is more effective than metrifonate and remains the 'reference' microfilaricide although its effects are more severe than those of metrifonate")</f>
        <v>DEC is more effective than metrifonate and remains the 'reference' microfilaricide although its effects are more severe than those of metrifonate</v>
      </c>
      <c r="BD143" s="697" t="str">
        <f>IFERROR(__xludf.DUMMYFUNCTION("""COMPUTED_VALUE"""),"2 patients from the DEC group moved from the village and 1 patient from the metrifonate group did not attend.")</f>
        <v>2 patients from the DEC group moved from the village and 1 patient from the metrifonate group did not attend.</v>
      </c>
      <c r="BE143" s="697"/>
      <c r="BF143" s="697"/>
      <c r="BG143" s="697"/>
    </row>
    <row r="144" hidden="1">
      <c r="A144" s="697"/>
      <c r="B144" s="697" t="str">
        <f>IFERROR(__xludf.DUMMYFUNCTION("""COMPUTED_VALUE"""),"Dadzie et al.")</f>
        <v>Dadzie et al.</v>
      </c>
      <c r="C144" s="697" t="str">
        <f>IFERROR(__xludf.DUMMYFUNCTION("""COMPUTED_VALUE"""),"Ghana")</f>
        <v>Ghana</v>
      </c>
      <c r="D144" s="697" t="str">
        <f>IFERROR(__xludf.DUMMYFUNCTION("""COMPUTED_VALUE"""),"Ivermectin")</f>
        <v>Ivermectin</v>
      </c>
      <c r="E144" s="697" t="str">
        <f>IFERROR(__xludf.DUMMYFUNCTION("""COMPUTED_VALUE"""),"150 ug/kg")</f>
        <v>150 ug/kg</v>
      </c>
      <c r="F144" s="697">
        <f>IFERROR(__xludf.DUMMYFUNCTION("""COMPUTED_VALUE"""),1.0)</f>
        <v>1</v>
      </c>
      <c r="G144" s="697" t="str">
        <f>IFERROR(__xludf.DUMMYFUNCTION("""COMPUTED_VALUE"""),"150 ug/kg")</f>
        <v>150 ug/kg</v>
      </c>
      <c r="H144" s="697"/>
      <c r="I144" s="697"/>
      <c r="J144" s="697"/>
      <c r="K144" s="697"/>
      <c r="L144" s="697"/>
      <c r="M144" s="697"/>
      <c r="N144" s="697"/>
      <c r="O144" s="697"/>
      <c r="P144" s="697"/>
      <c r="Q144" s="697"/>
      <c r="R144" s="698">
        <f>IFERROR(__xludf.DUMMYFUNCTION("""COMPUTED_VALUE"""),0.982)</f>
        <v>0.982</v>
      </c>
      <c r="S144" s="697"/>
      <c r="T144" s="697"/>
      <c r="U144" s="697"/>
      <c r="V144" s="697"/>
      <c r="W144" s="698">
        <f>IFERROR(__xludf.DUMMYFUNCTION("""COMPUTED_VALUE"""),0.922)</f>
        <v>0.922</v>
      </c>
      <c r="X144" s="697"/>
      <c r="Y144" s="697"/>
      <c r="Z144" s="697"/>
      <c r="AA144" s="697"/>
      <c r="AB144" s="697"/>
      <c r="AC144" s="697"/>
      <c r="AD144" s="697"/>
      <c r="AE144" s="697"/>
      <c r="AF144" s="697"/>
      <c r="AG144" s="697"/>
      <c r="AH144" s="697"/>
      <c r="AI144" s="697"/>
      <c r="AJ144" s="697"/>
      <c r="AK144" s="697"/>
      <c r="AL144" s="697"/>
      <c r="AM144" s="697"/>
      <c r="AN144" s="698">
        <f>IFERROR(__xludf.DUMMYFUNCTION("""COMPUTED_VALUE"""),0.982)</f>
        <v>0.982</v>
      </c>
      <c r="AO144" s="698">
        <f>IFERROR(__xludf.DUMMYFUNCTION("""COMPUTED_VALUE"""),0.982)</f>
        <v>0.982</v>
      </c>
      <c r="AP144" s="697" t="str">
        <f>IFERROR(__xludf.DUMMYFUNCTION("""COMPUTED_VALUE"""),"Mf reduction")</f>
        <v>Mf reduction</v>
      </c>
      <c r="AQ144" s="697"/>
      <c r="AR144" s="697">
        <f>IFERROR(__xludf.DUMMYFUNCTION("""COMPUTED_VALUE"""),1990.0)</f>
        <v>1990</v>
      </c>
      <c r="AS144" s="697">
        <f>IFERROR(__xludf.DUMMYFUNCTION("""COMPUTED_VALUE"""),167.0)</f>
        <v>167</v>
      </c>
      <c r="AT144" s="697" t="str">
        <f>IFERROR(__xludf.DUMMYFUNCTION("""COMPUTED_VALUE"""),"1 year")</f>
        <v>1 year</v>
      </c>
      <c r="AU144" s="699" t="str">
        <f>IFERROR(__xludf.DUMMYFUNCTION("""COMPUTED_VALUE"""),"Dadzie, K.Y.; Remme, J.; Alley, E.S.; de Sole, G. Changes in ocular onchocerciasis four and twelve months after community-based treatment with ivermectin in a holoendemic onchocerciasis focus. (1990) Transactions of the Royal Society of Tropical Medicine "&amp;"and Hygiene 84:103-108.")</f>
        <v>Dadzie, K.Y.; Remme, J.; Alley, E.S.; de Sole, G. Changes in ocular onchocerciasis four and twelve months after community-based treatment with ivermectin in a holoendemic onchocerciasis focus. (1990) Transactions of the Royal Society of Tropical Medicine and Hygiene 84:103-108.</v>
      </c>
      <c r="AV144" s="697"/>
      <c r="AW144" s="697" t="str">
        <f>IFERROR(__xludf.DUMMYFUNCTION("""COMPUTED_VALUE"""),"&gt;5 years")</f>
        <v>&gt;5 years</v>
      </c>
      <c r="AX144" s="697" t="str">
        <f>IFERROR(__xludf.DUMMYFUNCTION("""COMPUTED_VALUE"""),"Exclusion criteria: children under the age of 5 years or weighting less than 15 kg, women who were pregnant or breastfeeding a baby less than 1 month old, and people with jaundice, severe amnesia, a disease of the central nervous system, or other severe i"&amp;"llness.")</f>
        <v>Exclusion criteria: children under the age of 5 years or weighting less than 15 kg, women who were pregnant or breastfeeding a baby less than 1 month old, and people with jaundice, severe amnesia, a disease of the central nervous system, or other severe illness.</v>
      </c>
      <c r="AY144" s="697" t="str">
        <f>IFERROR(__xludf.DUMMYFUNCTION("""COMPUTED_VALUE"""),"No")</f>
        <v>No</v>
      </c>
      <c r="AZ144" s="697" t="str">
        <f>IFERROR(__xludf.DUMMYFUNCTION("""COMPUTED_VALUE"""),"No")</f>
        <v>No</v>
      </c>
      <c r="BA144" s="697"/>
      <c r="BB144" s="697"/>
      <c r="BC144" s="697" t="str">
        <f>IFERROR(__xludf.DUMMYFUNCTION("""COMPUTED_VALUE"""),"In view of the substantial increase of ocular mf loads after 12 months, 6-monthly treatment may be indicated in such highly endemic foci.")</f>
        <v>In view of the substantial increase of ocular mf loads after 12 months, 6-monthly treatment may be indicated in such highly endemic foci.</v>
      </c>
      <c r="BD144" s="697"/>
      <c r="BE144" s="697"/>
      <c r="BF144" s="697"/>
      <c r="BG144" s="697" t="str">
        <f>IFERROR(__xludf.DUMMYFUNCTION("""COMPUTED_VALUE"""),"x")</f>
        <v>x</v>
      </c>
    </row>
    <row r="145" hidden="1">
      <c r="A145" s="697"/>
      <c r="B145" s="697" t="str">
        <f>IFERROR(__xludf.DUMMYFUNCTION("""COMPUTED_VALUE"""),"Dadzie et al.")</f>
        <v>Dadzie et al.</v>
      </c>
      <c r="C145" s="697" t="str">
        <f>IFERROR(__xludf.DUMMYFUNCTION("""COMPUTED_VALUE"""),"Ghana")</f>
        <v>Ghana</v>
      </c>
      <c r="D145" s="697" t="str">
        <f>IFERROR(__xludf.DUMMYFUNCTION("""COMPUTED_VALUE"""),"Ivermectin")</f>
        <v>Ivermectin</v>
      </c>
      <c r="E145" s="697" t="str">
        <f>IFERROR(__xludf.DUMMYFUNCTION("""COMPUTED_VALUE"""),"150 ug/kg")</f>
        <v>150 ug/kg</v>
      </c>
      <c r="F145" s="697">
        <f>IFERROR(__xludf.DUMMYFUNCTION("""COMPUTED_VALUE"""),1.0)</f>
        <v>1</v>
      </c>
      <c r="G145" s="697" t="str">
        <f>IFERROR(__xludf.DUMMYFUNCTION("""COMPUTED_VALUE"""),"150 ug/kg")</f>
        <v>150 ug/kg</v>
      </c>
      <c r="H145" s="697"/>
      <c r="I145" s="697"/>
      <c r="J145" s="697"/>
      <c r="K145" s="697"/>
      <c r="L145" s="697"/>
      <c r="M145" s="697"/>
      <c r="N145" s="697"/>
      <c r="O145" s="697"/>
      <c r="P145" s="697"/>
      <c r="Q145" s="697"/>
      <c r="R145" s="698">
        <f>IFERROR(__xludf.DUMMYFUNCTION("""COMPUTED_VALUE"""),0.938)</f>
        <v>0.938</v>
      </c>
      <c r="S145" s="697"/>
      <c r="T145" s="697"/>
      <c r="U145" s="697"/>
      <c r="V145" s="697"/>
      <c r="W145" s="698">
        <f>IFERROR(__xludf.DUMMYFUNCTION("""COMPUTED_VALUE"""),0.667)</f>
        <v>0.667</v>
      </c>
      <c r="X145" s="697"/>
      <c r="Y145" s="697"/>
      <c r="Z145" s="697"/>
      <c r="AA145" s="697"/>
      <c r="AB145" s="697"/>
      <c r="AC145" s="697"/>
      <c r="AD145" s="697"/>
      <c r="AE145" s="697"/>
      <c r="AF145" s="697"/>
      <c r="AG145" s="697"/>
      <c r="AH145" s="697"/>
      <c r="AI145" s="697"/>
      <c r="AJ145" s="697"/>
      <c r="AK145" s="697"/>
      <c r="AL145" s="697"/>
      <c r="AM145" s="697"/>
      <c r="AN145" s="698">
        <f>IFERROR(__xludf.DUMMYFUNCTION("""COMPUTED_VALUE"""),0.938)</f>
        <v>0.938</v>
      </c>
      <c r="AO145" s="698">
        <f>IFERROR(__xludf.DUMMYFUNCTION("""COMPUTED_VALUE"""),0.938)</f>
        <v>0.938</v>
      </c>
      <c r="AP145" s="697" t="str">
        <f>IFERROR(__xludf.DUMMYFUNCTION("""COMPUTED_VALUE"""),"Mf reduction")</f>
        <v>Mf reduction</v>
      </c>
      <c r="AQ145" s="697"/>
      <c r="AR145" s="697">
        <f>IFERROR(__xludf.DUMMYFUNCTION("""COMPUTED_VALUE"""),1990.0)</f>
        <v>1990</v>
      </c>
      <c r="AS145" s="697">
        <f>IFERROR(__xludf.DUMMYFUNCTION("""COMPUTED_VALUE"""),48.0)</f>
        <v>48</v>
      </c>
      <c r="AT145" s="697" t="str">
        <f>IFERROR(__xludf.DUMMYFUNCTION("""COMPUTED_VALUE"""),"1 year")</f>
        <v>1 year</v>
      </c>
      <c r="AU145" s="699" t="str">
        <f>IFERROR(__xludf.DUMMYFUNCTION("""COMPUTED_VALUE"""),"Dadzie, K.Y.; Remme, J.; Alley, E.S.; de Sole, G. Changes in ocular onchocerciasis four and twelve months after community-based treatment with ivermectin in a holoendemic onchocerciasis focus. (1990) Transactions of the Royal Society of Tropical Medicine "&amp;"and Hygiene 84:103-108.")</f>
        <v>Dadzie, K.Y.; Remme, J.; Alley, E.S.; de Sole, G. Changes in ocular onchocerciasis four and twelve months after community-based treatment with ivermectin in a holoendemic onchocerciasis focus. (1990) Transactions of the Royal Society of Tropical Medicine and Hygiene 84:103-108.</v>
      </c>
      <c r="AV145" s="697"/>
      <c r="AW145" s="697" t="str">
        <f>IFERROR(__xludf.DUMMYFUNCTION("""COMPUTED_VALUE"""),"&gt;5 years")</f>
        <v>&gt;5 years</v>
      </c>
      <c r="AX145" s="697" t="str">
        <f>IFERROR(__xludf.DUMMYFUNCTION("""COMPUTED_VALUE"""),"Exclusion criteria: children under the age of 5 years or weighting less than 15 kg, women who were pregnant or breastfeeding a baby less than 1 month old, and people with jaundice, severe amnesia, a disease of the central nervous system, or other severe i"&amp;"llness.")</f>
        <v>Exclusion criteria: children under the age of 5 years or weighting less than 15 kg, women who were pregnant or breastfeeding a baby less than 1 month old, and people with jaundice, severe amnesia, a disease of the central nervous system, or other severe illness.</v>
      </c>
      <c r="AY145" s="697" t="str">
        <f>IFERROR(__xludf.DUMMYFUNCTION("""COMPUTED_VALUE"""),"No")</f>
        <v>No</v>
      </c>
      <c r="AZ145" s="697" t="str">
        <f>IFERROR(__xludf.DUMMYFUNCTION("""COMPUTED_VALUE"""),"No")</f>
        <v>No</v>
      </c>
      <c r="BA145" s="697"/>
      <c r="BB145" s="697"/>
      <c r="BC145" s="697" t="str">
        <f>IFERROR(__xludf.DUMMYFUNCTION("""COMPUTED_VALUE"""),"In view of the substantial increase of ocular mf loads after 12 months, 6-monthly treatment may be indicated in such highly endemic foci.")</f>
        <v>In view of the substantial increase of ocular mf loads after 12 months, 6-monthly treatment may be indicated in such highly endemic foci.</v>
      </c>
      <c r="BD145" s="697"/>
      <c r="BE145" s="697"/>
      <c r="BF145" s="697"/>
      <c r="BG145" s="697" t="str">
        <f>IFERROR(__xludf.DUMMYFUNCTION("""COMPUTED_VALUE"""),"x")</f>
        <v>x</v>
      </c>
    </row>
    <row r="146" hidden="1">
      <c r="A146" s="697"/>
      <c r="B146" s="697" t="str">
        <f>IFERROR(__xludf.DUMMYFUNCTION("""COMPUTED_VALUE"""),"Dadzie et al.")</f>
        <v>Dadzie et al.</v>
      </c>
      <c r="C146" s="697" t="str">
        <f>IFERROR(__xludf.DUMMYFUNCTION("""COMPUTED_VALUE"""),"Ghana")</f>
        <v>Ghana</v>
      </c>
      <c r="D146" s="697" t="str">
        <f>IFERROR(__xludf.DUMMYFUNCTION("""COMPUTED_VALUE"""),"Ivermectin")</f>
        <v>Ivermectin</v>
      </c>
      <c r="E146" s="697" t="str">
        <f>IFERROR(__xludf.DUMMYFUNCTION("""COMPUTED_VALUE"""),"150 ug/kg")</f>
        <v>150 ug/kg</v>
      </c>
      <c r="F146" s="697">
        <f>IFERROR(__xludf.DUMMYFUNCTION("""COMPUTED_VALUE"""),1.0)</f>
        <v>1</v>
      </c>
      <c r="G146" s="697" t="str">
        <f>IFERROR(__xludf.DUMMYFUNCTION("""COMPUTED_VALUE"""),"150 ug/kg")</f>
        <v>150 ug/kg</v>
      </c>
      <c r="H146" s="697"/>
      <c r="I146" s="697"/>
      <c r="J146" s="697"/>
      <c r="K146" s="697"/>
      <c r="L146" s="697"/>
      <c r="M146" s="697"/>
      <c r="N146" s="697"/>
      <c r="O146" s="697"/>
      <c r="P146" s="697"/>
      <c r="Q146" s="697"/>
      <c r="R146" s="698">
        <f>IFERROR(__xludf.DUMMYFUNCTION("""COMPUTED_VALUE"""),0.906)</f>
        <v>0.906</v>
      </c>
      <c r="S146" s="697"/>
      <c r="T146" s="697"/>
      <c r="U146" s="697"/>
      <c r="V146" s="697"/>
      <c r="W146" s="698">
        <f>IFERROR(__xludf.DUMMYFUNCTION("""COMPUTED_VALUE"""),0.469)</f>
        <v>0.469</v>
      </c>
      <c r="X146" s="697"/>
      <c r="Y146" s="697"/>
      <c r="Z146" s="697"/>
      <c r="AA146" s="697"/>
      <c r="AB146" s="697"/>
      <c r="AC146" s="697"/>
      <c r="AD146" s="697"/>
      <c r="AE146" s="697"/>
      <c r="AF146" s="697"/>
      <c r="AG146" s="697"/>
      <c r="AH146" s="697"/>
      <c r="AI146" s="697"/>
      <c r="AJ146" s="697"/>
      <c r="AK146" s="697"/>
      <c r="AL146" s="697"/>
      <c r="AM146" s="697"/>
      <c r="AN146" s="698">
        <f>IFERROR(__xludf.DUMMYFUNCTION("""COMPUTED_VALUE"""),0.906)</f>
        <v>0.906</v>
      </c>
      <c r="AO146" s="698">
        <f>IFERROR(__xludf.DUMMYFUNCTION("""COMPUTED_VALUE"""),0.906)</f>
        <v>0.906</v>
      </c>
      <c r="AP146" s="697" t="str">
        <f>IFERROR(__xludf.DUMMYFUNCTION("""COMPUTED_VALUE"""),"Mf reduction")</f>
        <v>Mf reduction</v>
      </c>
      <c r="AQ146" s="697"/>
      <c r="AR146" s="697">
        <f>IFERROR(__xludf.DUMMYFUNCTION("""COMPUTED_VALUE"""),1990.0)</f>
        <v>1990</v>
      </c>
      <c r="AS146" s="697">
        <f>IFERROR(__xludf.DUMMYFUNCTION("""COMPUTED_VALUE"""),32.0)</f>
        <v>32</v>
      </c>
      <c r="AT146" s="697" t="str">
        <f>IFERROR(__xludf.DUMMYFUNCTION("""COMPUTED_VALUE"""),"1 year")</f>
        <v>1 year</v>
      </c>
      <c r="AU146" s="699" t="str">
        <f>IFERROR(__xludf.DUMMYFUNCTION("""COMPUTED_VALUE"""),"Dadzie, K.Y.; Remme, J.; Alley, E.S.; de Sole, G. Changes in ocular onchocerciasis four and twelve months after community-based treatment with ivermectin in a holoendemic onchocerciasis focus. (1990) Transactions of the Royal Society of Tropical Medicine "&amp;"and Hygiene 84:103-108.")</f>
        <v>Dadzie, K.Y.; Remme, J.; Alley, E.S.; de Sole, G. Changes in ocular onchocerciasis four and twelve months after community-based treatment with ivermectin in a holoendemic onchocerciasis focus. (1990) Transactions of the Royal Society of Tropical Medicine and Hygiene 84:103-108.</v>
      </c>
      <c r="AV146" s="697"/>
      <c r="AW146" s="697" t="str">
        <f>IFERROR(__xludf.DUMMYFUNCTION("""COMPUTED_VALUE"""),"&gt;5 years")</f>
        <v>&gt;5 years</v>
      </c>
      <c r="AX146" s="697" t="str">
        <f>IFERROR(__xludf.DUMMYFUNCTION("""COMPUTED_VALUE"""),"Exclusion criteria: children under the age of 5 years or weighting less than 15 kg, women who were pregnant or breastfeeding a baby less than 1 month old, and people with jaundice, severe amnesia, a disease of the central nervous system, or other severe i"&amp;"llness.")</f>
        <v>Exclusion criteria: children under the age of 5 years or weighting less than 15 kg, women who were pregnant or breastfeeding a baby less than 1 month old, and people with jaundice, severe amnesia, a disease of the central nervous system, or other severe illness.</v>
      </c>
      <c r="AY146" s="697" t="str">
        <f>IFERROR(__xludf.DUMMYFUNCTION("""COMPUTED_VALUE"""),"No")</f>
        <v>No</v>
      </c>
      <c r="AZ146" s="697" t="str">
        <f>IFERROR(__xludf.DUMMYFUNCTION("""COMPUTED_VALUE"""),"No")</f>
        <v>No</v>
      </c>
      <c r="BA146" s="697"/>
      <c r="BB146" s="697"/>
      <c r="BC146" s="697" t="str">
        <f>IFERROR(__xludf.DUMMYFUNCTION("""COMPUTED_VALUE"""),"In view of the substantial increase of ocular mf loads after 12 months, 6-monthly treatment may be indicated in such highly endemic foci.")</f>
        <v>In view of the substantial increase of ocular mf loads after 12 months, 6-monthly treatment may be indicated in such highly endemic foci.</v>
      </c>
      <c r="BD146" s="697"/>
      <c r="BE146" s="697"/>
      <c r="BF146" s="697"/>
      <c r="BG146" s="697" t="str">
        <f>IFERROR(__xludf.DUMMYFUNCTION("""COMPUTED_VALUE"""),"x")</f>
        <v>x</v>
      </c>
    </row>
    <row r="147" hidden="1">
      <c r="A147" s="697"/>
      <c r="B147" s="697" t="str">
        <f>IFERROR(__xludf.DUMMYFUNCTION("""COMPUTED_VALUE"""),"Dadzie et al.")</f>
        <v>Dadzie et al.</v>
      </c>
      <c r="C147" s="697" t="str">
        <f>IFERROR(__xludf.DUMMYFUNCTION("""COMPUTED_VALUE"""),"Ghana")</f>
        <v>Ghana</v>
      </c>
      <c r="D147" s="697" t="str">
        <f>IFERROR(__xludf.DUMMYFUNCTION("""COMPUTED_VALUE"""),"Ivermectin")</f>
        <v>Ivermectin</v>
      </c>
      <c r="E147" s="697" t="str">
        <f>IFERROR(__xludf.DUMMYFUNCTION("""COMPUTED_VALUE"""),"150 ug/kg")</f>
        <v>150 ug/kg</v>
      </c>
      <c r="F147" s="697">
        <f>IFERROR(__xludf.DUMMYFUNCTION("""COMPUTED_VALUE"""),1.0)</f>
        <v>1</v>
      </c>
      <c r="G147" s="697" t="str">
        <f>IFERROR(__xludf.DUMMYFUNCTION("""COMPUTED_VALUE"""),"150 ug/kg")</f>
        <v>150 ug/kg</v>
      </c>
      <c r="H147" s="697"/>
      <c r="I147" s="697"/>
      <c r="J147" s="697"/>
      <c r="K147" s="697"/>
      <c r="L147" s="697"/>
      <c r="M147" s="697"/>
      <c r="N147" s="697"/>
      <c r="O147" s="697"/>
      <c r="P147" s="697"/>
      <c r="Q147" s="697"/>
      <c r="R147" s="698">
        <f>IFERROR(__xludf.DUMMYFUNCTION("""COMPUTED_VALUE"""),0.663)</f>
        <v>0.663</v>
      </c>
      <c r="S147" s="697"/>
      <c r="T147" s="697"/>
      <c r="U147" s="697"/>
      <c r="V147" s="697"/>
      <c r="W147" s="698">
        <f>IFERROR(__xludf.DUMMYFUNCTION("""COMPUTED_VALUE"""),0.326)</f>
        <v>0.326</v>
      </c>
      <c r="X147" s="697"/>
      <c r="Y147" s="697"/>
      <c r="Z147" s="697"/>
      <c r="AA147" s="697"/>
      <c r="AB147" s="697"/>
      <c r="AC147" s="697"/>
      <c r="AD147" s="697"/>
      <c r="AE147" s="697"/>
      <c r="AF147" s="697"/>
      <c r="AG147" s="697"/>
      <c r="AH147" s="697"/>
      <c r="AI147" s="697"/>
      <c r="AJ147" s="697"/>
      <c r="AK147" s="697"/>
      <c r="AL147" s="697"/>
      <c r="AM147" s="697"/>
      <c r="AN147" s="698">
        <f>IFERROR(__xludf.DUMMYFUNCTION("""COMPUTED_VALUE"""),0.663)</f>
        <v>0.663</v>
      </c>
      <c r="AO147" s="698">
        <f>IFERROR(__xludf.DUMMYFUNCTION("""COMPUTED_VALUE"""),0.663)</f>
        <v>0.663</v>
      </c>
      <c r="AP147" s="697" t="str">
        <f>IFERROR(__xludf.DUMMYFUNCTION("""COMPUTED_VALUE"""),"Mf reduction")</f>
        <v>Mf reduction</v>
      </c>
      <c r="AQ147" s="697"/>
      <c r="AR147" s="697">
        <f>IFERROR(__xludf.DUMMYFUNCTION("""COMPUTED_VALUE"""),1990.0)</f>
        <v>1990</v>
      </c>
      <c r="AS147" s="697">
        <f>IFERROR(__xludf.DUMMYFUNCTION("""COMPUTED_VALUE"""),92.0)</f>
        <v>92</v>
      </c>
      <c r="AT147" s="697" t="str">
        <f>IFERROR(__xludf.DUMMYFUNCTION("""COMPUTED_VALUE"""),"1 year")</f>
        <v>1 year</v>
      </c>
      <c r="AU147" s="699" t="str">
        <f>IFERROR(__xludf.DUMMYFUNCTION("""COMPUTED_VALUE"""),"Dadzie, K.Y.; Remme, J.; Alley, E.S.; de Sole, G. Changes in ocular onchocerciasis four and twelve months after community-based treatment with ivermectin in a holoendemic onchocerciasis focus. (1990) Transactions of the Royal Society of Tropical Medicine "&amp;"and Hygiene 84:103-108.")</f>
        <v>Dadzie, K.Y.; Remme, J.; Alley, E.S.; de Sole, G. Changes in ocular onchocerciasis four and twelve months after community-based treatment with ivermectin in a holoendemic onchocerciasis focus. (1990) Transactions of the Royal Society of Tropical Medicine and Hygiene 84:103-108.</v>
      </c>
      <c r="AV147" s="697"/>
      <c r="AW147" s="697" t="str">
        <f>IFERROR(__xludf.DUMMYFUNCTION("""COMPUTED_VALUE"""),"&gt;5 years")</f>
        <v>&gt;5 years</v>
      </c>
      <c r="AX147" s="697" t="str">
        <f>IFERROR(__xludf.DUMMYFUNCTION("""COMPUTED_VALUE"""),"Exclusion criteria: children under the age of 5 years or weighting less than 15 kg, women who were pregnant or breastfeeding a baby less than 1 month old, and people with jaundice, severe amnesia, a disease of the central nervous system, or other severe i"&amp;"llness.")</f>
        <v>Exclusion criteria: children under the age of 5 years or weighting less than 15 kg, women who were pregnant or breastfeeding a baby less than 1 month old, and people with jaundice, severe amnesia, a disease of the central nervous system, or other severe illness.</v>
      </c>
      <c r="AY147" s="697" t="str">
        <f>IFERROR(__xludf.DUMMYFUNCTION("""COMPUTED_VALUE"""),"No")</f>
        <v>No</v>
      </c>
      <c r="AZ147" s="697" t="str">
        <f>IFERROR(__xludf.DUMMYFUNCTION("""COMPUTED_VALUE"""),"No")</f>
        <v>No</v>
      </c>
      <c r="BA147" s="697"/>
      <c r="BB147" s="697"/>
      <c r="BC147" s="697" t="str">
        <f>IFERROR(__xludf.DUMMYFUNCTION("""COMPUTED_VALUE"""),"In view of the substantial increase of ocular mf loads after 12 months, 6-monthly treatment may be indicated in such highly endemic foci.")</f>
        <v>In view of the substantial increase of ocular mf loads after 12 months, 6-monthly treatment may be indicated in such highly endemic foci.</v>
      </c>
      <c r="BD147" s="697"/>
      <c r="BE147" s="697"/>
      <c r="BF147" s="697"/>
      <c r="BG147" s="697" t="str">
        <f>IFERROR(__xludf.DUMMYFUNCTION("""COMPUTED_VALUE"""),"x")</f>
        <v>x</v>
      </c>
    </row>
    <row r="148" hidden="1">
      <c r="A148" s="697"/>
      <c r="B148" s="697" t="str">
        <f>IFERROR(__xludf.DUMMYFUNCTION("""COMPUTED_VALUE"""),"Dadzie et al.")</f>
        <v>Dadzie et al.</v>
      </c>
      <c r="C148" s="697" t="str">
        <f>IFERROR(__xludf.DUMMYFUNCTION("""COMPUTED_VALUE"""),"Ghana")</f>
        <v>Ghana</v>
      </c>
      <c r="D148" s="697" t="str">
        <f>IFERROR(__xludf.DUMMYFUNCTION("""COMPUTED_VALUE"""),"Ivermectin")</f>
        <v>Ivermectin</v>
      </c>
      <c r="E148" s="697" t="str">
        <f>IFERROR(__xludf.DUMMYFUNCTION("""COMPUTED_VALUE"""),"150 ug/kg")</f>
        <v>150 ug/kg</v>
      </c>
      <c r="F148" s="697">
        <f>IFERROR(__xludf.DUMMYFUNCTION("""COMPUTED_VALUE"""),1.0)</f>
        <v>1</v>
      </c>
      <c r="G148" s="697" t="str">
        <f>IFERROR(__xludf.DUMMYFUNCTION("""COMPUTED_VALUE"""),"150 ug/kg")</f>
        <v>150 ug/kg</v>
      </c>
      <c r="H148" s="697"/>
      <c r="I148" s="697"/>
      <c r="J148" s="697"/>
      <c r="K148" s="697"/>
      <c r="L148" s="697"/>
      <c r="M148" s="697"/>
      <c r="N148" s="697"/>
      <c r="O148" s="697"/>
      <c r="P148" s="697"/>
      <c r="Q148" s="697"/>
      <c r="R148" s="698">
        <f>IFERROR(__xludf.DUMMYFUNCTION("""COMPUTED_VALUE"""),0.077)</f>
        <v>0.077</v>
      </c>
      <c r="S148" s="697"/>
      <c r="T148" s="697"/>
      <c r="U148" s="697"/>
      <c r="V148" s="697"/>
      <c r="W148" s="698">
        <f>IFERROR(__xludf.DUMMYFUNCTION("""COMPUTED_VALUE"""),0.0)</f>
        <v>0</v>
      </c>
      <c r="X148" s="697"/>
      <c r="Y148" s="697"/>
      <c r="Z148" s="697"/>
      <c r="AA148" s="697"/>
      <c r="AB148" s="697"/>
      <c r="AC148" s="697"/>
      <c r="AD148" s="697"/>
      <c r="AE148" s="697"/>
      <c r="AF148" s="697"/>
      <c r="AG148" s="697"/>
      <c r="AH148" s="697"/>
      <c r="AI148" s="697"/>
      <c r="AJ148" s="697"/>
      <c r="AK148" s="697"/>
      <c r="AL148" s="697"/>
      <c r="AM148" s="697"/>
      <c r="AN148" s="698">
        <f>IFERROR(__xludf.DUMMYFUNCTION("""COMPUTED_VALUE"""),0.077)</f>
        <v>0.077</v>
      </c>
      <c r="AO148" s="698">
        <f>IFERROR(__xludf.DUMMYFUNCTION("""COMPUTED_VALUE"""),0.077)</f>
        <v>0.077</v>
      </c>
      <c r="AP148" s="697" t="str">
        <f>IFERROR(__xludf.DUMMYFUNCTION("""COMPUTED_VALUE"""),"Mf reduction")</f>
        <v>Mf reduction</v>
      </c>
      <c r="AQ148" s="697"/>
      <c r="AR148" s="697">
        <f>IFERROR(__xludf.DUMMYFUNCTION("""COMPUTED_VALUE"""),1990.0)</f>
        <v>1990</v>
      </c>
      <c r="AS148" s="697">
        <f>IFERROR(__xludf.DUMMYFUNCTION("""COMPUTED_VALUE"""),26.0)</f>
        <v>26</v>
      </c>
      <c r="AT148" s="697" t="str">
        <f>IFERROR(__xludf.DUMMYFUNCTION("""COMPUTED_VALUE"""),"1 year")</f>
        <v>1 year</v>
      </c>
      <c r="AU148" s="699" t="str">
        <f>IFERROR(__xludf.DUMMYFUNCTION("""COMPUTED_VALUE"""),"Dadzie, K.Y.; Remme, J.; Alley, E.S.; de Sole, G. Changes in ocular onchocerciasis four and twelve months after community-based treatment with ivermectin in a holoendemic onchocerciasis focus. (1990) Transactions of the Royal Society of Tropical Medicine "&amp;"and Hygiene 84:103-108.")</f>
        <v>Dadzie, K.Y.; Remme, J.; Alley, E.S.; de Sole, G. Changes in ocular onchocerciasis four and twelve months after community-based treatment with ivermectin in a holoendemic onchocerciasis focus. (1990) Transactions of the Royal Society of Tropical Medicine and Hygiene 84:103-108.</v>
      </c>
      <c r="AV148" s="697"/>
      <c r="AW148" s="697" t="str">
        <f>IFERROR(__xludf.DUMMYFUNCTION("""COMPUTED_VALUE"""),"&gt;5 years")</f>
        <v>&gt;5 years</v>
      </c>
      <c r="AX148" s="697" t="str">
        <f>IFERROR(__xludf.DUMMYFUNCTION("""COMPUTED_VALUE"""),"Exclusion criteria: children under the age of 5 years or weighting less than 15 kg, women who were pregnant or breastfeeding a baby less than 1 month old, and people with jaundice, severe amnesia, a disease of the central nervous system, or other severe i"&amp;"llness.")</f>
        <v>Exclusion criteria: children under the age of 5 years or weighting less than 15 kg, women who were pregnant or breastfeeding a baby less than 1 month old, and people with jaundice, severe amnesia, a disease of the central nervous system, or other severe illness.</v>
      </c>
      <c r="AY148" s="697" t="str">
        <f>IFERROR(__xludf.DUMMYFUNCTION("""COMPUTED_VALUE"""),"No")</f>
        <v>No</v>
      </c>
      <c r="AZ148" s="697" t="str">
        <f>IFERROR(__xludf.DUMMYFUNCTION("""COMPUTED_VALUE"""),"No")</f>
        <v>No</v>
      </c>
      <c r="BA148" s="697"/>
      <c r="BB148" s="697"/>
      <c r="BC148" s="697" t="str">
        <f>IFERROR(__xludf.DUMMYFUNCTION("""COMPUTED_VALUE"""),"In view of the substantial increase of ocular mf loads after 12 months, 6-monthly treatment may be indicated in such highly endemic foci.")</f>
        <v>In view of the substantial increase of ocular mf loads after 12 months, 6-monthly treatment may be indicated in such highly endemic foci.</v>
      </c>
      <c r="BD148" s="697"/>
      <c r="BE148" s="697"/>
      <c r="BF148" s="697"/>
      <c r="BG148" s="697" t="str">
        <f>IFERROR(__xludf.DUMMYFUNCTION("""COMPUTED_VALUE"""),"x")</f>
        <v>x</v>
      </c>
    </row>
    <row r="149">
      <c r="A149" s="697"/>
      <c r="B149" s="697" t="str">
        <f>IFERROR(__xludf.DUMMYFUNCTION("""COMPUTED_VALUE"""),"Duke")</f>
        <v>Duke</v>
      </c>
      <c r="C149" s="697" t="str">
        <f>IFERROR(__xludf.DUMMYFUNCTION("""COMPUTED_VALUE"""),"Cameroon")</f>
        <v>Cameroon</v>
      </c>
      <c r="D149" s="697" t="str">
        <f>IFERROR(__xludf.DUMMYFUNCTION("""COMPUTED_VALUE"""),"Suramin")</f>
        <v>Suramin</v>
      </c>
      <c r="E149" s="697" t="str">
        <f>IFERROR(__xludf.DUMMYFUNCTION("""COMPUTED_VALUE"""),"1 g ")</f>
        <v>1 g </v>
      </c>
      <c r="F149" s="697">
        <f>IFERROR(__xludf.DUMMYFUNCTION("""COMPUTED_VALUE"""),9.5)</f>
        <v>9.5</v>
      </c>
      <c r="G149" s="697" t="str">
        <f>IFERROR(__xludf.DUMMYFUNCTION("""COMPUTED_VALUE"""),"9.5 g")</f>
        <v>9.5 g</v>
      </c>
      <c r="H149" s="697"/>
      <c r="I149" s="697"/>
      <c r="J149" s="697"/>
      <c r="K149" s="697"/>
      <c r="L149" s="697"/>
      <c r="M149" s="697"/>
      <c r="N149" s="698">
        <f>IFERROR(__xludf.DUMMYFUNCTION("""COMPUTED_VALUE"""),0.921)</f>
        <v>0.921</v>
      </c>
      <c r="O149" s="697"/>
      <c r="P149" s="697"/>
      <c r="Q149" s="697"/>
      <c r="R149" s="697"/>
      <c r="S149" s="697"/>
      <c r="T149" s="698">
        <f>IFERROR(__xludf.DUMMYFUNCTION("""COMPUTED_VALUE"""),0.991)</f>
        <v>0.991</v>
      </c>
      <c r="U149" s="697"/>
      <c r="V149" s="697"/>
      <c r="W149" s="697"/>
      <c r="X149" s="697"/>
      <c r="Y149" s="697"/>
      <c r="Z149" s="697"/>
      <c r="AA149" s="698">
        <f>IFERROR(__xludf.DUMMYFUNCTION("""COMPUTED_VALUE"""),0.996)</f>
        <v>0.996</v>
      </c>
      <c r="AB149" s="697"/>
      <c r="AC149" s="697"/>
      <c r="AD149" s="697"/>
      <c r="AE149" s="697" t="str">
        <f>IFERROR(__xludf.DUMMYFUNCTION("""COMPUTED_VALUE"""),"n/a")</f>
        <v>n/a</v>
      </c>
      <c r="AF149" s="697"/>
      <c r="AG149" s="697"/>
      <c r="AH149" s="697"/>
      <c r="AI149" s="697"/>
      <c r="AJ149" s="697"/>
      <c r="AK149" s="697"/>
      <c r="AL149" s="697"/>
      <c r="AM149" s="697"/>
      <c r="AN149" s="698">
        <f>IFERROR(__xludf.DUMMYFUNCTION("""COMPUTED_VALUE"""),0.991)</f>
        <v>0.991</v>
      </c>
      <c r="AO149" s="698">
        <f>IFERROR(__xludf.DUMMYFUNCTION("""COMPUTED_VALUE"""),0.991)</f>
        <v>0.991</v>
      </c>
      <c r="AP149" s="697" t="str">
        <f>IFERROR(__xludf.DUMMYFUNCTION("""COMPUTED_VALUE"""),"Mf reduction")</f>
        <v>Mf reduction</v>
      </c>
      <c r="AQ149" s="697" t="str">
        <f>IFERROR(__xludf.DUMMYFUNCTION("""COMPUTED_VALUE"""),"Bombe &amp; Bolo-Weme-Baduma village")</f>
        <v>Bombe &amp; Bolo-Weme-Baduma village</v>
      </c>
      <c r="AR149" s="697">
        <f>IFERROR(__xludf.DUMMYFUNCTION("""COMPUTED_VALUE"""),1968.0)</f>
        <v>1968</v>
      </c>
      <c r="AS149" s="697">
        <f>IFERROR(__xludf.DUMMYFUNCTION("""COMPUTED_VALUE"""),12.0)</f>
        <v>12</v>
      </c>
      <c r="AT149" s="697" t="str">
        <f>IFERROR(__xludf.DUMMYFUNCTION("""COMPUTED_VALUE"""),"2 years 1 month")</f>
        <v>2 years 1 month</v>
      </c>
      <c r="AU149" s="699" t="str">
        <f>IFERROR(__xludf.DUMMYFUNCTION("""COMPUTED_VALUE"""),"Duke, B.O.L. The effects of drugs on Onchocerca volvulus 3. Trials of Suramin at Different Dosages and a Comparison of the Brands Antrypol, Moranyl and Naganl. (1968) Bull Org. mond. Santé Bull Wld Hlth Org. 39: 157-167")</f>
        <v>Duke, B.O.L. The effects of drugs on Onchocerca volvulus 3. Trials of Suramin at Different Dosages and a Comparison of the Brands Antrypol, Moranyl and Naganl. (1968) Bull Org. mond. Santé Bull Wld Hlth Org. 39: 157-167</v>
      </c>
      <c r="AV149" s="697"/>
      <c r="AW149" s="697"/>
      <c r="AX149" s="697"/>
      <c r="AY149" s="697" t="str">
        <f>IFERROR(__xludf.DUMMYFUNCTION("""COMPUTED_VALUE"""),"No")</f>
        <v>No</v>
      </c>
      <c r="AZ149" s="697" t="str">
        <f>IFERROR(__xludf.DUMMYFUNCTION("""COMPUTED_VALUE"""),"No")</f>
        <v>No</v>
      </c>
      <c r="BA149" s="697"/>
      <c r="BB149" s="697"/>
      <c r="BC149" s="697" t="str">
        <f>IFERROR(__xludf.DUMMYFUNCTION("""COMPUTED_VALUE"""),"No significant differences between the brands of Suramin were recorded.")</f>
        <v>No significant differences between the brands of Suramin were recorded.</v>
      </c>
      <c r="BD149" s="697"/>
      <c r="BE149" s="697"/>
      <c r="BF149" s="697"/>
      <c r="BG149" s="697"/>
    </row>
    <row r="150">
      <c r="A150" s="697"/>
      <c r="B150" s="697" t="str">
        <f>IFERROR(__xludf.DUMMYFUNCTION("""COMPUTED_VALUE"""),"Duke")</f>
        <v>Duke</v>
      </c>
      <c r="C150" s="697" t="str">
        <f>IFERROR(__xludf.DUMMYFUNCTION("""COMPUTED_VALUE"""),"Cameroon")</f>
        <v>Cameroon</v>
      </c>
      <c r="D150" s="697" t="str">
        <f>IFERROR(__xludf.DUMMYFUNCTION("""COMPUTED_VALUE"""),"Suramin")</f>
        <v>Suramin</v>
      </c>
      <c r="E150" s="697" t="str">
        <f>IFERROR(__xludf.DUMMYFUNCTION("""COMPUTED_VALUE"""),"1 g")</f>
        <v>1 g</v>
      </c>
      <c r="F150" s="697">
        <f>IFERROR(__xludf.DUMMYFUNCTION("""COMPUTED_VALUE"""),8.5)</f>
        <v>8.5</v>
      </c>
      <c r="G150" s="697" t="str">
        <f>IFERROR(__xludf.DUMMYFUNCTION("""COMPUTED_VALUE"""),"8.5 g")</f>
        <v>8.5 g</v>
      </c>
      <c r="H150" s="697"/>
      <c r="I150" s="697"/>
      <c r="J150" s="697"/>
      <c r="K150" s="697"/>
      <c r="L150" s="697"/>
      <c r="M150" s="697"/>
      <c r="N150" s="697">
        <f>IFERROR(__xludf.DUMMYFUNCTION("""COMPUTED_VALUE"""),80.7)</f>
        <v>80.7</v>
      </c>
      <c r="O150" s="697"/>
      <c r="P150" s="697"/>
      <c r="Q150" s="697"/>
      <c r="R150" s="697"/>
      <c r="S150" s="697"/>
      <c r="T150" s="698">
        <f>IFERROR(__xludf.DUMMYFUNCTION("""COMPUTED_VALUE"""),0.994)</f>
        <v>0.994</v>
      </c>
      <c r="U150" s="697"/>
      <c r="V150" s="697"/>
      <c r="W150" s="697"/>
      <c r="X150" s="697"/>
      <c r="Y150" s="697"/>
      <c r="Z150" s="697"/>
      <c r="AA150" s="698">
        <f>IFERROR(__xludf.DUMMYFUNCTION("""COMPUTED_VALUE"""),0.9955)</f>
        <v>0.9955</v>
      </c>
      <c r="AB150" s="697"/>
      <c r="AC150" s="697"/>
      <c r="AD150" s="697"/>
      <c r="AE150" s="697" t="str">
        <f>IFERROR(__xludf.DUMMYFUNCTION("""COMPUTED_VALUE"""),"n/a")</f>
        <v>n/a</v>
      </c>
      <c r="AF150" s="697"/>
      <c r="AG150" s="697"/>
      <c r="AH150" s="697"/>
      <c r="AI150" s="697"/>
      <c r="AJ150" s="697"/>
      <c r="AK150" s="697"/>
      <c r="AL150" s="697"/>
      <c r="AM150" s="697"/>
      <c r="AN150" s="698">
        <f>IFERROR(__xludf.DUMMYFUNCTION("""COMPUTED_VALUE"""),0.994)</f>
        <v>0.994</v>
      </c>
      <c r="AO150" s="698">
        <f>IFERROR(__xludf.DUMMYFUNCTION("""COMPUTED_VALUE"""),0.994)</f>
        <v>0.994</v>
      </c>
      <c r="AP150" s="697" t="str">
        <f>IFERROR(__xludf.DUMMYFUNCTION("""COMPUTED_VALUE"""),"Mf reduction")</f>
        <v>Mf reduction</v>
      </c>
      <c r="AQ150" s="697" t="str">
        <f>IFERROR(__xludf.DUMMYFUNCTION("""COMPUTED_VALUE"""),"Bombe &amp; Bolo-Weme-Baduma village")</f>
        <v>Bombe &amp; Bolo-Weme-Baduma village</v>
      </c>
      <c r="AR150" s="697">
        <f>IFERROR(__xludf.DUMMYFUNCTION("""COMPUTED_VALUE"""),1968.0)</f>
        <v>1968</v>
      </c>
      <c r="AS150" s="697">
        <f>IFERROR(__xludf.DUMMYFUNCTION("""COMPUTED_VALUE"""),4.0)</f>
        <v>4</v>
      </c>
      <c r="AT150" s="697" t="str">
        <f>IFERROR(__xludf.DUMMYFUNCTION("""COMPUTED_VALUE"""),"3 years 1 month")</f>
        <v>3 years 1 month</v>
      </c>
      <c r="AU150" s="699" t="str">
        <f>IFERROR(__xludf.DUMMYFUNCTION("""COMPUTED_VALUE"""),"Duke, B.O.L. The effects of drugs on Onchocerca volvulus 3. Trials of Suramin at Different Dosages and a Comparison of the Brands Antrypol, Moranyl and Naganl. (1968) Bull Org. mond. Santé Bull Wld Hlth Org. 39: 157-167")</f>
        <v>Duke, B.O.L. The effects of drugs on Onchocerca volvulus 3. Trials of Suramin at Different Dosages and a Comparison of the Brands Antrypol, Moranyl and Naganl. (1968) Bull Org. mond. Santé Bull Wld Hlth Org. 39: 157-167</v>
      </c>
      <c r="AV150" s="697"/>
      <c r="AW150" s="697"/>
      <c r="AX150" s="697"/>
      <c r="AY150" s="697" t="str">
        <f>IFERROR(__xludf.DUMMYFUNCTION("""COMPUTED_VALUE"""),"No")</f>
        <v>No</v>
      </c>
      <c r="AZ150" s="697" t="str">
        <f>IFERROR(__xludf.DUMMYFUNCTION("""COMPUTED_VALUE"""),"No")</f>
        <v>No</v>
      </c>
      <c r="BA150" s="697"/>
      <c r="BB150" s="697"/>
      <c r="BC150" s="697" t="str">
        <f>IFERROR(__xludf.DUMMYFUNCTION("""COMPUTED_VALUE"""),"No significant differences between the brands of Suramin were recorded.")</f>
        <v>No significant differences between the brands of Suramin were recorded.</v>
      </c>
      <c r="BD150" s="697"/>
      <c r="BE150" s="697"/>
      <c r="BF150" s="697"/>
      <c r="BG150" s="697"/>
    </row>
    <row r="151">
      <c r="A151" s="697"/>
      <c r="B151" s="697" t="str">
        <f>IFERROR(__xludf.DUMMYFUNCTION("""COMPUTED_VALUE"""),"Duke")</f>
        <v>Duke</v>
      </c>
      <c r="C151" s="697" t="str">
        <f>IFERROR(__xludf.DUMMYFUNCTION("""COMPUTED_VALUE"""),"Cameroon")</f>
        <v>Cameroon</v>
      </c>
      <c r="D151" s="697" t="str">
        <f>IFERROR(__xludf.DUMMYFUNCTION("""COMPUTED_VALUE"""),"Suramin")</f>
        <v>Suramin</v>
      </c>
      <c r="E151" s="697" t="str">
        <f>IFERROR(__xludf.DUMMYFUNCTION("""COMPUTED_VALUE"""),"1 g")</f>
        <v>1 g</v>
      </c>
      <c r="F151" s="697">
        <f>IFERROR(__xludf.DUMMYFUNCTION("""COMPUTED_VALUE"""),7.5)</f>
        <v>7.5</v>
      </c>
      <c r="G151" s="697" t="str">
        <f>IFERROR(__xludf.DUMMYFUNCTION("""COMPUTED_VALUE"""),"7.5 g")</f>
        <v>7.5 g</v>
      </c>
      <c r="H151" s="697"/>
      <c r="I151" s="697"/>
      <c r="J151" s="697"/>
      <c r="K151" s="697"/>
      <c r="L151" s="697"/>
      <c r="M151" s="697"/>
      <c r="N151" s="698">
        <f>IFERROR(__xludf.DUMMYFUNCTION("""COMPUTED_VALUE"""),0.6762)</f>
        <v>0.6762</v>
      </c>
      <c r="O151" s="697"/>
      <c r="P151" s="697"/>
      <c r="Q151" s="697"/>
      <c r="R151" s="697"/>
      <c r="S151" s="697"/>
      <c r="T151" s="698">
        <f>IFERROR(__xludf.DUMMYFUNCTION("""COMPUTED_VALUE"""),0.9661)</f>
        <v>0.9661</v>
      </c>
      <c r="U151" s="697"/>
      <c r="V151" s="697"/>
      <c r="W151" s="697"/>
      <c r="X151" s="697"/>
      <c r="Y151" s="697"/>
      <c r="Z151" s="697"/>
      <c r="AA151" s="698">
        <f>IFERROR(__xludf.DUMMYFUNCTION("""COMPUTED_VALUE"""),0.9896)</f>
        <v>0.9896</v>
      </c>
      <c r="AB151" s="697"/>
      <c r="AC151" s="697"/>
      <c r="AD151" s="697"/>
      <c r="AE151" s="697" t="str">
        <f>IFERROR(__xludf.DUMMYFUNCTION("""COMPUTED_VALUE"""),"n/a")</f>
        <v>n/a</v>
      </c>
      <c r="AF151" s="697"/>
      <c r="AG151" s="697"/>
      <c r="AH151" s="697"/>
      <c r="AI151" s="697"/>
      <c r="AJ151" s="697"/>
      <c r="AK151" s="697"/>
      <c r="AL151" s="697"/>
      <c r="AM151" s="697"/>
      <c r="AN151" s="698">
        <f>IFERROR(__xludf.DUMMYFUNCTION("""COMPUTED_VALUE"""),0.9661)</f>
        <v>0.9661</v>
      </c>
      <c r="AO151" s="698">
        <f>IFERROR(__xludf.DUMMYFUNCTION("""COMPUTED_VALUE"""),0.9661)</f>
        <v>0.9661</v>
      </c>
      <c r="AP151" s="697" t="str">
        <f>IFERROR(__xludf.DUMMYFUNCTION("""COMPUTED_VALUE"""),"Mf reduction")</f>
        <v>Mf reduction</v>
      </c>
      <c r="AQ151" s="697" t="str">
        <f>IFERROR(__xludf.DUMMYFUNCTION("""COMPUTED_VALUE"""),"Bombe &amp; Bolo-Weme-Baduma village")</f>
        <v>Bombe &amp; Bolo-Weme-Baduma village</v>
      </c>
      <c r="AR151" s="697">
        <f>IFERROR(__xludf.DUMMYFUNCTION("""COMPUTED_VALUE"""),1968.0)</f>
        <v>1968</v>
      </c>
      <c r="AS151" s="697">
        <f>IFERROR(__xludf.DUMMYFUNCTION("""COMPUTED_VALUE"""),5.0)</f>
        <v>5</v>
      </c>
      <c r="AT151" s="697" t="str">
        <f>IFERROR(__xludf.DUMMYFUNCTION("""COMPUTED_VALUE"""),"4 years 1 month")</f>
        <v>4 years 1 month</v>
      </c>
      <c r="AU151" s="699" t="str">
        <f>IFERROR(__xludf.DUMMYFUNCTION("""COMPUTED_VALUE"""),"Duke, B.O.L. The effects of drugs on Onchocerca volvulus 3. Trials of Suramin at Different Dosages and a Comparison of the Brands Antrypol, Moranyl and Naganl. (1968) Bull Org. mond. Santé Bull Wld Hlth Org. 39: 157-167")</f>
        <v>Duke, B.O.L. The effects of drugs on Onchocerca volvulus 3. Trials of Suramin at Different Dosages and a Comparison of the Brands Antrypol, Moranyl and Naganl. (1968) Bull Org. mond. Santé Bull Wld Hlth Org. 39: 157-167</v>
      </c>
      <c r="AV151" s="697"/>
      <c r="AW151" s="697"/>
      <c r="AX151" s="697"/>
      <c r="AY151" s="697" t="str">
        <f>IFERROR(__xludf.DUMMYFUNCTION("""COMPUTED_VALUE"""),"No")</f>
        <v>No</v>
      </c>
      <c r="AZ151" s="697" t="str">
        <f>IFERROR(__xludf.DUMMYFUNCTION("""COMPUTED_VALUE"""),"No")</f>
        <v>No</v>
      </c>
      <c r="BA151" s="697"/>
      <c r="BB151" s="697"/>
      <c r="BC151" s="697" t="str">
        <f>IFERROR(__xludf.DUMMYFUNCTION("""COMPUTED_VALUE"""),"No significant differences between the brands of Suramin were recorded.")</f>
        <v>No significant differences between the brands of Suramin were recorded.</v>
      </c>
      <c r="BD151" s="697"/>
      <c r="BE151" s="697"/>
      <c r="BF151" s="697"/>
      <c r="BG151" s="697"/>
    </row>
    <row r="152">
      <c r="A152" s="697"/>
      <c r="B152" s="697" t="str">
        <f>IFERROR(__xludf.DUMMYFUNCTION("""COMPUTED_VALUE"""),"Duke")</f>
        <v>Duke</v>
      </c>
      <c r="C152" s="697" t="str">
        <f>IFERROR(__xludf.DUMMYFUNCTION("""COMPUTED_VALUE"""),"Cameroon")</f>
        <v>Cameroon</v>
      </c>
      <c r="D152" s="697" t="str">
        <f>IFERROR(__xludf.DUMMYFUNCTION("""COMPUTED_VALUE"""),"Suramin")</f>
        <v>Suramin</v>
      </c>
      <c r="E152" s="697" t="str">
        <f>IFERROR(__xludf.DUMMYFUNCTION("""COMPUTED_VALUE"""),"1 g")</f>
        <v>1 g</v>
      </c>
      <c r="F152" s="697">
        <f>IFERROR(__xludf.DUMMYFUNCTION("""COMPUTED_VALUE"""),4.5)</f>
        <v>4.5</v>
      </c>
      <c r="G152" s="697" t="str">
        <f>IFERROR(__xludf.DUMMYFUNCTION("""COMPUTED_VALUE"""),"4.5 g")</f>
        <v>4.5 g</v>
      </c>
      <c r="H152" s="697"/>
      <c r="I152" s="697"/>
      <c r="J152" s="697"/>
      <c r="K152" s="697"/>
      <c r="L152" s="697"/>
      <c r="M152" s="697"/>
      <c r="N152" s="697">
        <f>IFERROR(__xludf.DUMMYFUNCTION("""COMPUTED_VALUE"""),54.125)</f>
        <v>54.125</v>
      </c>
      <c r="O152" s="697"/>
      <c r="P152" s="697"/>
      <c r="Q152" s="697"/>
      <c r="R152" s="697"/>
      <c r="S152" s="697"/>
      <c r="T152" s="698">
        <f>IFERROR(__xludf.DUMMYFUNCTION("""COMPUTED_VALUE"""),0.8551)</f>
        <v>0.8551</v>
      </c>
      <c r="U152" s="697"/>
      <c r="V152" s="697"/>
      <c r="W152" s="697"/>
      <c r="X152" s="697"/>
      <c r="Y152" s="697"/>
      <c r="Z152" s="697"/>
      <c r="AA152" s="698">
        <f>IFERROR(__xludf.DUMMYFUNCTION("""COMPUTED_VALUE"""),0.9145)</f>
        <v>0.9145</v>
      </c>
      <c r="AB152" s="697"/>
      <c r="AC152" s="697"/>
      <c r="AD152" s="697"/>
      <c r="AE152" s="697" t="str">
        <f>IFERROR(__xludf.DUMMYFUNCTION("""COMPUTED_VALUE"""),"n/a")</f>
        <v>n/a</v>
      </c>
      <c r="AF152" s="697"/>
      <c r="AG152" s="697"/>
      <c r="AH152" s="697"/>
      <c r="AI152" s="697"/>
      <c r="AJ152" s="697"/>
      <c r="AK152" s="697"/>
      <c r="AL152" s="697"/>
      <c r="AM152" s="697"/>
      <c r="AN152" s="698">
        <f>IFERROR(__xludf.DUMMYFUNCTION("""COMPUTED_VALUE"""),0.8551)</f>
        <v>0.8551</v>
      </c>
      <c r="AO152" s="698">
        <f>IFERROR(__xludf.DUMMYFUNCTION("""COMPUTED_VALUE"""),0.8551)</f>
        <v>0.8551</v>
      </c>
      <c r="AP152" s="697" t="str">
        <f>IFERROR(__xludf.DUMMYFUNCTION("""COMPUTED_VALUE"""),"Mf reduction")</f>
        <v>Mf reduction</v>
      </c>
      <c r="AQ152" s="697" t="str">
        <f>IFERROR(__xludf.DUMMYFUNCTION("""COMPUTED_VALUE"""),"Bombe &amp; Bolo-Weme-Baduma village")</f>
        <v>Bombe &amp; Bolo-Weme-Baduma village</v>
      </c>
      <c r="AR152" s="697">
        <f>IFERROR(__xludf.DUMMYFUNCTION("""COMPUTED_VALUE"""),1968.0)</f>
        <v>1968</v>
      </c>
      <c r="AS152" s="697">
        <f>IFERROR(__xludf.DUMMYFUNCTION("""COMPUTED_VALUE"""),8.0)</f>
        <v>8</v>
      </c>
      <c r="AT152" s="697" t="str">
        <f>IFERROR(__xludf.DUMMYFUNCTION("""COMPUTED_VALUE"""),"5 years 1 month")</f>
        <v>5 years 1 month</v>
      </c>
      <c r="AU152" s="699" t="str">
        <f>IFERROR(__xludf.DUMMYFUNCTION("""COMPUTED_VALUE"""),"Duke, B.O.L. The effects of drugs on Onchocerca volvulus 3. Trials of Suramin at Different Dosages and a Comparison of the Brands Antrypol, Moranyl and Naganl. (1968) Bull Org. mond. Santé Bull Wld Hlth Org. 39: 157-167")</f>
        <v>Duke, B.O.L. The effects of drugs on Onchocerca volvulus 3. Trials of Suramin at Different Dosages and a Comparison of the Brands Antrypol, Moranyl and Naganl. (1968) Bull Org. mond. Santé Bull Wld Hlth Org. 39: 157-167</v>
      </c>
      <c r="AV152" s="697"/>
      <c r="AW152" s="697"/>
      <c r="AX152" s="697"/>
      <c r="AY152" s="697" t="str">
        <f>IFERROR(__xludf.DUMMYFUNCTION("""COMPUTED_VALUE"""),"No")</f>
        <v>No</v>
      </c>
      <c r="AZ152" s="697" t="str">
        <f>IFERROR(__xludf.DUMMYFUNCTION("""COMPUTED_VALUE"""),"No")</f>
        <v>No</v>
      </c>
      <c r="BA152" s="697"/>
      <c r="BB152" s="697"/>
      <c r="BC152" s="697" t="str">
        <f>IFERROR(__xludf.DUMMYFUNCTION("""COMPUTED_VALUE"""),"No significant differences between the brands of Suramin were recorded.")</f>
        <v>No significant differences between the brands of Suramin were recorded.</v>
      </c>
      <c r="BD152" s="697"/>
      <c r="BE152" s="697"/>
      <c r="BF152" s="697"/>
      <c r="BG152" s="697"/>
    </row>
    <row r="153">
      <c r="A153" s="697"/>
      <c r="B153" s="697" t="str">
        <f>IFERROR(__xludf.DUMMYFUNCTION("""COMPUTED_VALUE"""),"Duke")</f>
        <v>Duke</v>
      </c>
      <c r="C153" s="697" t="str">
        <f>IFERROR(__xludf.DUMMYFUNCTION("""COMPUTED_VALUE"""),"Cameroon")</f>
        <v>Cameroon</v>
      </c>
      <c r="D153" s="697" t="str">
        <f>IFERROR(__xludf.DUMMYFUNCTION("""COMPUTED_VALUE"""),"Suramin")</f>
        <v>Suramin</v>
      </c>
      <c r="E153" s="697" t="str">
        <f>IFERROR(__xludf.DUMMYFUNCTION("""COMPUTED_VALUE"""),"1 g")</f>
        <v>1 g</v>
      </c>
      <c r="F153" s="697">
        <f>IFERROR(__xludf.DUMMYFUNCTION("""COMPUTED_VALUE"""),4.1)</f>
        <v>4.1</v>
      </c>
      <c r="G153" s="697" t="str">
        <f>IFERROR(__xludf.DUMMYFUNCTION("""COMPUTED_VALUE"""),"4.1 g")</f>
        <v>4.1 g</v>
      </c>
      <c r="H153" s="697"/>
      <c r="I153" s="697"/>
      <c r="J153" s="697"/>
      <c r="K153" s="697"/>
      <c r="L153" s="697"/>
      <c r="M153" s="697"/>
      <c r="N153" s="697"/>
      <c r="O153" s="697"/>
      <c r="P153" s="697"/>
      <c r="Q153" s="697"/>
      <c r="R153" s="697"/>
      <c r="S153" s="697"/>
      <c r="T153" s="698">
        <f>IFERROR(__xludf.DUMMYFUNCTION("""COMPUTED_VALUE"""),0.628)</f>
        <v>0.628</v>
      </c>
      <c r="U153" s="697"/>
      <c r="V153" s="697"/>
      <c r="W153" s="697"/>
      <c r="X153" s="697"/>
      <c r="Y153" s="697"/>
      <c r="Z153" s="697"/>
      <c r="AA153" s="698">
        <f>IFERROR(__xludf.DUMMYFUNCTION("""COMPUTED_VALUE"""),0.348)</f>
        <v>0.348</v>
      </c>
      <c r="AB153" s="697"/>
      <c r="AC153" s="697"/>
      <c r="AD153" s="697"/>
      <c r="AE153" s="697" t="str">
        <f>IFERROR(__xludf.DUMMYFUNCTION("""COMPUTED_VALUE"""),"n/a")</f>
        <v>n/a</v>
      </c>
      <c r="AF153" s="697"/>
      <c r="AG153" s="697"/>
      <c r="AH153" s="697"/>
      <c r="AI153" s="697"/>
      <c r="AJ153" s="697"/>
      <c r="AK153" s="697"/>
      <c r="AL153" s="697"/>
      <c r="AM153" s="697"/>
      <c r="AN153" s="698">
        <f>IFERROR(__xludf.DUMMYFUNCTION("""COMPUTED_VALUE"""),0.628)</f>
        <v>0.628</v>
      </c>
      <c r="AO153" s="698">
        <f>IFERROR(__xludf.DUMMYFUNCTION("""COMPUTED_VALUE"""),0.628)</f>
        <v>0.628</v>
      </c>
      <c r="AP153" s="697" t="str">
        <f>IFERROR(__xludf.DUMMYFUNCTION("""COMPUTED_VALUE"""),"Mf reduction")</f>
        <v>Mf reduction</v>
      </c>
      <c r="AQ153" s="697" t="str">
        <f>IFERROR(__xludf.DUMMYFUNCTION("""COMPUTED_VALUE"""),"Bombe &amp; Bolo-Weme-Baduma village")</f>
        <v>Bombe &amp; Bolo-Weme-Baduma village</v>
      </c>
      <c r="AR153" s="697">
        <f>IFERROR(__xludf.DUMMYFUNCTION("""COMPUTED_VALUE"""),1968.0)</f>
        <v>1968</v>
      </c>
      <c r="AS153" s="697">
        <f>IFERROR(__xludf.DUMMYFUNCTION("""COMPUTED_VALUE"""),5.0)</f>
        <v>5</v>
      </c>
      <c r="AT153" s="697" t="str">
        <f>IFERROR(__xludf.DUMMYFUNCTION("""COMPUTED_VALUE"""),"6 years 1 month")</f>
        <v>6 years 1 month</v>
      </c>
      <c r="AU153" s="699" t="str">
        <f>IFERROR(__xludf.DUMMYFUNCTION("""COMPUTED_VALUE"""),"Duke, B.O.L. The effects of drugs on Onchocerca volvulus 3. Trials of Suramin at Different Dosages and a Comparison of the Brands Antrypol, Moranyl and Naganl. (1968) Bull Org. mond. Santé Bull Wld Hlth Org. 39: 157-167")</f>
        <v>Duke, B.O.L. The effects of drugs on Onchocerca volvulus 3. Trials of Suramin at Different Dosages and a Comparison of the Brands Antrypol, Moranyl and Naganl. (1968) Bull Org. mond. Santé Bull Wld Hlth Org. 39: 157-167</v>
      </c>
      <c r="AV153" s="697"/>
      <c r="AW153" s="697"/>
      <c r="AX153" s="697"/>
      <c r="AY153" s="697" t="str">
        <f>IFERROR(__xludf.DUMMYFUNCTION("""COMPUTED_VALUE"""),"No")</f>
        <v>No</v>
      </c>
      <c r="AZ153" s="697" t="str">
        <f>IFERROR(__xludf.DUMMYFUNCTION("""COMPUTED_VALUE"""),"No")</f>
        <v>No</v>
      </c>
      <c r="BA153" s="697"/>
      <c r="BB153" s="697"/>
      <c r="BC153" s="697" t="str">
        <f>IFERROR(__xludf.DUMMYFUNCTION("""COMPUTED_VALUE"""),"No significant differences between the brands of Suramin were recorded.")</f>
        <v>No significant differences between the brands of Suramin were recorded.</v>
      </c>
      <c r="BD153" s="697"/>
      <c r="BE153" s="697"/>
      <c r="BF153" s="697"/>
      <c r="BG153" s="697"/>
    </row>
    <row r="154">
      <c r="A154" s="697"/>
      <c r="B154" s="697" t="str">
        <f>IFERROR(__xludf.DUMMYFUNCTION("""COMPUTED_VALUE"""),"Duke")</f>
        <v>Duke</v>
      </c>
      <c r="C154" s="697" t="str">
        <f>IFERROR(__xludf.DUMMYFUNCTION("""COMPUTED_VALUE"""),"Cameroon")</f>
        <v>Cameroon</v>
      </c>
      <c r="D154" s="697" t="str">
        <f>IFERROR(__xludf.DUMMYFUNCTION("""COMPUTED_VALUE"""),"Suramin")</f>
        <v>Suramin</v>
      </c>
      <c r="E154" s="697" t="str">
        <f>IFERROR(__xludf.DUMMYFUNCTION("""COMPUTED_VALUE"""),"1 g")</f>
        <v>1 g</v>
      </c>
      <c r="F154" s="697" t="str">
        <f>IFERROR(__xludf.DUMMYFUNCTION("""COMPUTED_VALUE"""),"2.2-3.2")</f>
        <v>2.2-3.2</v>
      </c>
      <c r="G154" s="697" t="str">
        <f>IFERROR(__xludf.DUMMYFUNCTION("""COMPUTED_VALUE"""),"2.2-3.2 g")</f>
        <v>2.2-3.2 g</v>
      </c>
      <c r="H154" s="697"/>
      <c r="I154" s="697"/>
      <c r="J154" s="697"/>
      <c r="K154" s="697"/>
      <c r="L154" s="697"/>
      <c r="M154" s="697"/>
      <c r="N154" s="697">
        <f>IFERROR(__xludf.DUMMYFUNCTION("""COMPUTED_VALUE"""),28.86)</f>
        <v>28.86</v>
      </c>
      <c r="O154" s="697"/>
      <c r="P154" s="697"/>
      <c r="Q154" s="697"/>
      <c r="R154" s="697"/>
      <c r="S154" s="697"/>
      <c r="T154" s="698">
        <f>IFERROR(__xludf.DUMMYFUNCTION("""COMPUTED_VALUE"""),0.215)</f>
        <v>0.215</v>
      </c>
      <c r="U154" s="697"/>
      <c r="V154" s="697"/>
      <c r="W154" s="697"/>
      <c r="X154" s="697"/>
      <c r="Y154" s="697"/>
      <c r="Z154" s="697"/>
      <c r="AA154" s="697" t="str">
        <f>IFERROR(__xludf.DUMMYFUNCTION("""COMPUTED_VALUE"""),"Increase of 21.36%")</f>
        <v>Increase of 21.36%</v>
      </c>
      <c r="AB154" s="697"/>
      <c r="AC154" s="697"/>
      <c r="AD154" s="697"/>
      <c r="AE154" s="697" t="str">
        <f>IFERROR(__xludf.DUMMYFUNCTION("""COMPUTED_VALUE"""),"n/a")</f>
        <v>n/a</v>
      </c>
      <c r="AF154" s="697"/>
      <c r="AG154" s="697"/>
      <c r="AH154" s="697"/>
      <c r="AI154" s="697"/>
      <c r="AJ154" s="697"/>
      <c r="AK154" s="697"/>
      <c r="AL154" s="697"/>
      <c r="AM154" s="697"/>
      <c r="AN154" s="698">
        <f>IFERROR(__xludf.DUMMYFUNCTION("""COMPUTED_VALUE"""),0.215)</f>
        <v>0.215</v>
      </c>
      <c r="AO154" s="698">
        <f>IFERROR(__xludf.DUMMYFUNCTION("""COMPUTED_VALUE"""),0.215)</f>
        <v>0.215</v>
      </c>
      <c r="AP154" s="697" t="str">
        <f>IFERROR(__xludf.DUMMYFUNCTION("""COMPUTED_VALUE"""),"Mf reduction")</f>
        <v>Mf reduction</v>
      </c>
      <c r="AQ154" s="697" t="str">
        <f>IFERROR(__xludf.DUMMYFUNCTION("""COMPUTED_VALUE"""),"Bombe &amp; Bolo-Weme-Baduma village")</f>
        <v>Bombe &amp; Bolo-Weme-Baduma village</v>
      </c>
      <c r="AR154" s="697">
        <f>IFERROR(__xludf.DUMMYFUNCTION("""COMPUTED_VALUE"""),1968.0)</f>
        <v>1968</v>
      </c>
      <c r="AS154" s="697">
        <f>IFERROR(__xludf.DUMMYFUNCTION("""COMPUTED_VALUE"""),14.0)</f>
        <v>14</v>
      </c>
      <c r="AT154" s="697" t="str">
        <f>IFERROR(__xludf.DUMMYFUNCTION("""COMPUTED_VALUE"""),"7 years 1 month")</f>
        <v>7 years 1 month</v>
      </c>
      <c r="AU154" s="699" t="str">
        <f>IFERROR(__xludf.DUMMYFUNCTION("""COMPUTED_VALUE"""),"Duke, B.O.L. The effects of drugs on Onchocerca volvulus 3. Trials of Suramin at Different Dosages and a Comparison of the Brands Antrypol, Moranyl and Naganl. (1968) Bull Org. mond. Santé Bull Wld Hlth Org. 39: 157-167")</f>
        <v>Duke, B.O.L. The effects of drugs on Onchocerca volvulus 3. Trials of Suramin at Different Dosages and a Comparison of the Brands Antrypol, Moranyl and Naganl. (1968) Bull Org. mond. Santé Bull Wld Hlth Org. 39: 157-167</v>
      </c>
      <c r="AV154" s="697"/>
      <c r="AW154" s="697"/>
      <c r="AX154" s="697"/>
      <c r="AY154" s="697" t="str">
        <f>IFERROR(__xludf.DUMMYFUNCTION("""COMPUTED_VALUE"""),"No")</f>
        <v>No</v>
      </c>
      <c r="AZ154" s="697" t="str">
        <f>IFERROR(__xludf.DUMMYFUNCTION("""COMPUTED_VALUE"""),"No")</f>
        <v>No</v>
      </c>
      <c r="BA154" s="697"/>
      <c r="BB154" s="697"/>
      <c r="BC154" s="697" t="str">
        <f>IFERROR(__xludf.DUMMYFUNCTION("""COMPUTED_VALUE"""),"No significant differences between the brands of Suramin were recorded.")</f>
        <v>No significant differences between the brands of Suramin were recorded.</v>
      </c>
      <c r="BD154" s="697"/>
      <c r="BE154" s="697"/>
      <c r="BF154" s="697"/>
      <c r="BG154" s="697"/>
    </row>
    <row r="155">
      <c r="A155" s="697"/>
      <c r="B155" s="697" t="str">
        <f>IFERROR(__xludf.DUMMYFUNCTION("""COMPUTED_VALUE"""),"Duke")</f>
        <v>Duke</v>
      </c>
      <c r="C155" s="697" t="str">
        <f>IFERROR(__xludf.DUMMYFUNCTION("""COMPUTED_VALUE"""),"Cameroon")</f>
        <v>Cameroon</v>
      </c>
      <c r="D155" s="697" t="str">
        <f>IFERROR(__xludf.DUMMYFUNCTION("""COMPUTED_VALUE"""),"Suramin")</f>
        <v>Suramin</v>
      </c>
      <c r="E155" s="697" t="str">
        <f>IFERROR(__xludf.DUMMYFUNCTION("""COMPUTED_VALUE"""),".5g")</f>
        <v>.5g</v>
      </c>
      <c r="F155" s="704">
        <f>IFERROR(__xludf.DUMMYFUNCTION("""COMPUTED_VALUE"""),42559.0)</f>
        <v>42559</v>
      </c>
      <c r="G155" s="697" t="str">
        <f>IFERROR(__xludf.DUMMYFUNCTION("""COMPUTED_VALUE"""),"3.5g-4g")</f>
        <v>3.5g-4g</v>
      </c>
      <c r="H155" s="697"/>
      <c r="I155" s="697"/>
      <c r="J155" s="697"/>
      <c r="K155" s="697"/>
      <c r="L155" s="697"/>
      <c r="M155" s="697"/>
      <c r="N155" s="697"/>
      <c r="O155" s="697"/>
      <c r="P155" s="697"/>
      <c r="Q155" s="697"/>
      <c r="R155" s="697"/>
      <c r="S155" s="700">
        <f>IFERROR(__xludf.DUMMYFUNCTION("""COMPUTED_VALUE"""),0.65)</f>
        <v>0.65</v>
      </c>
      <c r="T155" s="697"/>
      <c r="U155" s="697"/>
      <c r="V155" s="697"/>
      <c r="W155" s="697"/>
      <c r="X155" s="697"/>
      <c r="Y155" s="697"/>
      <c r="Z155" s="697"/>
      <c r="AA155" s="697"/>
      <c r="AB155" s="697"/>
      <c r="AC155" s="697"/>
      <c r="AD155" s="697"/>
      <c r="AE155" s="697"/>
      <c r="AF155" s="697"/>
      <c r="AG155" s="697"/>
      <c r="AH155" s="697"/>
      <c r="AI155" s="697"/>
      <c r="AJ155" s="697"/>
      <c r="AK155" s="697"/>
      <c r="AL155" s="697"/>
      <c r="AM155" s="697"/>
      <c r="AN155" s="700">
        <f>IFERROR(__xludf.DUMMYFUNCTION("""COMPUTED_VALUE"""),0.65)</f>
        <v>0.65</v>
      </c>
      <c r="AO155" s="698">
        <f>IFERROR(__xludf.DUMMYFUNCTION("""COMPUTED_VALUE"""),0.65)</f>
        <v>0.65</v>
      </c>
      <c r="AP155" s="697" t="str">
        <f>IFERROR(__xludf.DUMMYFUNCTION("""COMPUTED_VALUE"""),"Mf reduction")</f>
        <v>Mf reduction</v>
      </c>
      <c r="AQ155" s="697"/>
      <c r="AR155" s="697">
        <f>IFERROR(__xludf.DUMMYFUNCTION("""COMPUTED_VALUE"""),1968.0)</f>
        <v>1968</v>
      </c>
      <c r="AS155" s="697">
        <f>IFERROR(__xludf.DUMMYFUNCTION("""COMPUTED_VALUE"""),25.0)</f>
        <v>25</v>
      </c>
      <c r="AT155" s="697"/>
      <c r="AU155" s="699" t="str">
        <f>IFERROR(__xludf.DUMMYFUNCTION("""COMPUTED_VALUE"""),"Duke, B.O.L. The effects of drugs on Onchocerca volvulus 3. Trials of Suramin at Different Dosages and a Comparison of the Brands Antrypol, Moranyl and Naganl. (1968) Bull Org. mond. Santé Bull Wld Hlth Org. 39: 157-167")</f>
        <v>Duke, B.O.L. The effects of drugs on Onchocerca volvulus 3. Trials of Suramin at Different Dosages and a Comparison of the Brands Antrypol, Moranyl and Naganl. (1968) Bull Org. mond. Santé Bull Wld Hlth Org. 39: 157-167</v>
      </c>
      <c r="AV155" s="697"/>
      <c r="AW155" s="697"/>
      <c r="AX155" s="697"/>
      <c r="AY155" s="697" t="str">
        <f>IFERROR(__xludf.DUMMYFUNCTION("""COMPUTED_VALUE"""),"No")</f>
        <v>No</v>
      </c>
      <c r="AZ155" s="697" t="str">
        <f>IFERROR(__xludf.DUMMYFUNCTION("""COMPUTED_VALUE"""),"No")</f>
        <v>No</v>
      </c>
      <c r="BA155" s="697"/>
      <c r="BB155" s="697"/>
      <c r="BC155" s="697" t="str">
        <f>IFERROR(__xludf.DUMMYFUNCTION("""COMPUTED_VALUE"""),"No significant differences between the brands of Suramin were recorded.")</f>
        <v>No significant differences between the brands of Suramin were recorded.</v>
      </c>
      <c r="BD155" s="697"/>
      <c r="BE155" s="697"/>
      <c r="BF155" s="697"/>
      <c r="BG155" s="697"/>
    </row>
    <row r="156">
      <c r="A156" s="697"/>
      <c r="B156" s="697" t="str">
        <f>IFERROR(__xludf.DUMMYFUNCTION("""COMPUTED_VALUE"""),"Hoerauf et al")</f>
        <v>Hoerauf et al</v>
      </c>
      <c r="C156" s="697" t="str">
        <f>IFERROR(__xludf.DUMMYFUNCTION("""COMPUTED_VALUE"""),"Ghana")</f>
        <v>Ghana</v>
      </c>
      <c r="D156" s="697" t="str">
        <f>IFERROR(__xludf.DUMMYFUNCTION("""COMPUTED_VALUE"""),"Doxycycline")</f>
        <v>Doxycycline</v>
      </c>
      <c r="E156" s="697" t="str">
        <f>IFERROR(__xludf.DUMMYFUNCTION("""COMPUTED_VALUE"""),"200mg ")</f>
        <v>200mg </v>
      </c>
      <c r="F156" s="697">
        <f>IFERROR(__xludf.DUMMYFUNCTION("""COMPUTED_VALUE"""),1.0)</f>
        <v>1</v>
      </c>
      <c r="G156" s="697" t="str">
        <f>IFERROR(__xludf.DUMMYFUNCTION("""COMPUTED_VALUE"""),"8400mg")</f>
        <v>8400mg</v>
      </c>
      <c r="H156" s="697"/>
      <c r="I156" s="697"/>
      <c r="J156" s="697"/>
      <c r="K156" s="697"/>
      <c r="L156" s="697"/>
      <c r="M156" s="697"/>
      <c r="N156" s="697"/>
      <c r="O156" s="697"/>
      <c r="P156" s="700">
        <f>IFERROR(__xludf.DUMMYFUNCTION("""COMPUTED_VALUE"""),0.85)</f>
        <v>0.85</v>
      </c>
      <c r="Q156" s="697"/>
      <c r="R156" s="697"/>
      <c r="S156" s="697"/>
      <c r="T156" s="697"/>
      <c r="U156" s="697"/>
      <c r="V156" s="697"/>
      <c r="W156" s="697"/>
      <c r="X156" s="697"/>
      <c r="Y156" s="697"/>
      <c r="Z156" s="697"/>
      <c r="AA156" s="697"/>
      <c r="AB156" s="697"/>
      <c r="AC156" s="697"/>
      <c r="AD156" s="697"/>
      <c r="AE156" s="697"/>
      <c r="AF156" s="697"/>
      <c r="AG156" s="697"/>
      <c r="AH156" s="697"/>
      <c r="AI156" s="697"/>
      <c r="AJ156" s="697"/>
      <c r="AK156" s="698">
        <f>IFERROR(__xludf.DUMMYFUNCTION("""COMPUTED_VALUE"""),0.545)</f>
        <v>0.545</v>
      </c>
      <c r="AL156" s="697"/>
      <c r="AM156" s="697"/>
      <c r="AN156" s="700">
        <f>IFERROR(__xludf.DUMMYFUNCTION("""COMPUTED_VALUE"""),0.85)</f>
        <v>0.85</v>
      </c>
      <c r="AO156" s="698">
        <f>IFERROR(__xludf.DUMMYFUNCTION("""COMPUTED_VALUE"""),0.85)</f>
        <v>0.85</v>
      </c>
      <c r="AP156" s="697" t="str">
        <f>IFERROR(__xludf.DUMMYFUNCTION("""COMPUTED_VALUE"""),"Mf reduction")</f>
        <v>Mf reduction</v>
      </c>
      <c r="AQ156" s="697" t="str">
        <f>IFERROR(__xludf.DUMMYFUNCTION("""COMPUTED_VALUE"""),"Ghana")</f>
        <v>Ghana</v>
      </c>
      <c r="AR156" s="697">
        <f>IFERROR(__xludf.DUMMYFUNCTION("""COMPUTED_VALUE"""),2008.0)</f>
        <v>2008</v>
      </c>
      <c r="AS156" s="697">
        <f>IFERROR(__xludf.DUMMYFUNCTION("""COMPUTED_VALUE"""),26.0)</f>
        <v>26</v>
      </c>
      <c r="AT156" s="697" t="str">
        <f>IFERROR(__xludf.DUMMYFUNCTION("""COMPUTED_VALUE"""),"27months")</f>
        <v>27months</v>
      </c>
      <c r="AU156" s="699" t="str">
        <f>IFERROR(__xludf.DUMMYFUNCTION("""COMPUTED_VALUE"""),"Achim, et al. ""Wolbachia endobacteria depletion by doxycycline as antifilarial therapy has macrofilaricidal activity in onchocerciasis: a randomized placebo-controlled study."" Medical microbiology and immunology 197.3 (2008): 295-311.")</f>
        <v>Achim, et al. "Wolbachia endobacteria depletion by doxycycline as antifilarial therapy has macrofilaricidal activity in onchocerciasis: a randomized placebo-controlled study." Medical microbiology and immunology 197.3 (2008): 295-311.</v>
      </c>
      <c r="AV156" s="697"/>
      <c r="AW156" s="697"/>
      <c r="AX156" s="697"/>
      <c r="AY156" s="697" t="str">
        <f>IFERROR(__xludf.DUMMYFUNCTION("""COMPUTED_VALUE"""),"Yes")</f>
        <v>Yes</v>
      </c>
      <c r="AZ156" s="697" t="str">
        <f>IFERROR(__xludf.DUMMYFUNCTION("""COMPUTED_VALUE"""),"Yes")</f>
        <v>Yes</v>
      </c>
      <c r="BA156" s="697"/>
      <c r="BB156" s="697"/>
      <c r="BC156" s="697"/>
      <c r="BD156" s="697"/>
      <c r="BE156" s="697"/>
      <c r="BF156" s="697"/>
      <c r="BG156" s="697"/>
    </row>
    <row r="157">
      <c r="A157" s="697"/>
      <c r="B157" s="697" t="str">
        <f>IFERROR(__xludf.DUMMYFUNCTION("""COMPUTED_VALUE"""),"Hoerauf et al")</f>
        <v>Hoerauf et al</v>
      </c>
      <c r="C157" s="697" t="str">
        <f>IFERROR(__xludf.DUMMYFUNCTION("""COMPUTED_VALUE"""),"Ghana")</f>
        <v>Ghana</v>
      </c>
      <c r="D157" s="697" t="str">
        <f>IFERROR(__xludf.DUMMYFUNCTION("""COMPUTED_VALUE"""),"Doxycycline")</f>
        <v>Doxycycline</v>
      </c>
      <c r="E157" s="697" t="str">
        <f>IFERROR(__xludf.DUMMYFUNCTION("""COMPUTED_VALUE"""),"200mg ")</f>
        <v>200mg </v>
      </c>
      <c r="F157" s="697">
        <f>IFERROR(__xludf.DUMMYFUNCTION("""COMPUTED_VALUE"""),1.0)</f>
        <v>1</v>
      </c>
      <c r="G157" s="697" t="str">
        <f>IFERROR(__xludf.DUMMYFUNCTION("""COMPUTED_VALUE"""),"5600mg")</f>
        <v>5600mg</v>
      </c>
      <c r="H157" s="697"/>
      <c r="I157" s="697"/>
      <c r="J157" s="697"/>
      <c r="K157" s="697"/>
      <c r="L157" s="697"/>
      <c r="M157" s="697"/>
      <c r="N157" s="697"/>
      <c r="O157" s="697"/>
      <c r="P157" s="700">
        <f>IFERROR(__xludf.DUMMYFUNCTION("""COMPUTED_VALUE"""),0.75)</f>
        <v>0.75</v>
      </c>
      <c r="Q157" s="697"/>
      <c r="R157" s="697"/>
      <c r="S157" s="697"/>
      <c r="T157" s="697"/>
      <c r="U157" s="697"/>
      <c r="V157" s="697"/>
      <c r="W157" s="697"/>
      <c r="X157" s="697"/>
      <c r="Y157" s="697"/>
      <c r="Z157" s="697"/>
      <c r="AA157" s="697"/>
      <c r="AB157" s="697"/>
      <c r="AC157" s="697"/>
      <c r="AD157" s="697"/>
      <c r="AE157" s="697"/>
      <c r="AF157" s="697"/>
      <c r="AG157" s="697"/>
      <c r="AH157" s="697"/>
      <c r="AI157" s="697"/>
      <c r="AJ157" s="697"/>
      <c r="AK157" s="698">
        <f>IFERROR(__xludf.DUMMYFUNCTION("""COMPUTED_VALUE"""),0.818)</f>
        <v>0.818</v>
      </c>
      <c r="AL157" s="697"/>
      <c r="AM157" s="697"/>
      <c r="AN157" s="700">
        <f>IFERROR(__xludf.DUMMYFUNCTION("""COMPUTED_VALUE"""),0.75)</f>
        <v>0.75</v>
      </c>
      <c r="AO157" s="698">
        <f>IFERROR(__xludf.DUMMYFUNCTION("""COMPUTED_VALUE"""),0.75)</f>
        <v>0.75</v>
      </c>
      <c r="AP157" s="697" t="str">
        <f>IFERROR(__xludf.DUMMYFUNCTION("""COMPUTED_VALUE"""),"Mf reduction")</f>
        <v>Mf reduction</v>
      </c>
      <c r="AQ157" s="697" t="str">
        <f>IFERROR(__xludf.DUMMYFUNCTION("""COMPUTED_VALUE"""),"Ghana")</f>
        <v>Ghana</v>
      </c>
      <c r="AR157" s="697">
        <f>IFERROR(__xludf.DUMMYFUNCTION("""COMPUTED_VALUE"""),2008.0)</f>
        <v>2008</v>
      </c>
      <c r="AS157" s="697">
        <f>IFERROR(__xludf.DUMMYFUNCTION("""COMPUTED_VALUE"""),25.0)</f>
        <v>25</v>
      </c>
      <c r="AT157" s="697" t="str">
        <f>IFERROR(__xludf.DUMMYFUNCTION("""COMPUTED_VALUE"""),"27 months")</f>
        <v>27 months</v>
      </c>
      <c r="AU157" s="699" t="str">
        <f>IFERROR(__xludf.DUMMYFUNCTION("""COMPUTED_VALUE"""),"Achim, et al. ""Wolbachia endobacteria depletion by doxycycline as antifilarial therapy has macrofilaricidal activity in onchocerciasis: a randomized placebo-controlled study."" Medical microbiology and immunology 197.3 (2008): 295-311.")</f>
        <v>Achim, et al. "Wolbachia endobacteria depletion by doxycycline as antifilarial therapy has macrofilaricidal activity in onchocerciasis: a randomized placebo-controlled study." Medical microbiology and immunology 197.3 (2008): 295-311.</v>
      </c>
      <c r="AV157" s="697"/>
      <c r="AW157" s="697"/>
      <c r="AX157" s="697"/>
      <c r="AY157" s="697" t="str">
        <f>IFERROR(__xludf.DUMMYFUNCTION("""COMPUTED_VALUE"""),"Yes")</f>
        <v>Yes</v>
      </c>
      <c r="AZ157" s="697" t="str">
        <f>IFERROR(__xludf.DUMMYFUNCTION("""COMPUTED_VALUE"""),"Yes")</f>
        <v>Yes</v>
      </c>
      <c r="BA157" s="697"/>
      <c r="BB157" s="697"/>
      <c r="BC157" s="697"/>
      <c r="BD157" s="697"/>
      <c r="BE157" s="697"/>
      <c r="BF157" s="697"/>
      <c r="BG157" s="697"/>
    </row>
    <row r="158">
      <c r="A158" s="697"/>
      <c r="B158" s="697" t="str">
        <f>IFERROR(__xludf.DUMMYFUNCTION("""COMPUTED_VALUE"""),"Schult-Key")</f>
        <v>Schult-Key</v>
      </c>
      <c r="C158" s="697" t="str">
        <f>IFERROR(__xludf.DUMMYFUNCTION("""COMPUTED_VALUE"""),"Burkina Faso")</f>
        <v>Burkina Faso</v>
      </c>
      <c r="D158" s="697" t="str">
        <f>IFERROR(__xludf.DUMMYFUNCTION("""COMPUTED_VALUE"""),"Suramin")</f>
        <v>Suramin</v>
      </c>
      <c r="E158" s="697" t="str">
        <f>IFERROR(__xludf.DUMMYFUNCTION("""COMPUTED_VALUE"""),"60mg")</f>
        <v>60mg</v>
      </c>
      <c r="F158" s="697">
        <f>IFERROR(__xludf.DUMMYFUNCTION("""COMPUTED_VALUE"""),1.0)</f>
        <v>1</v>
      </c>
      <c r="G158" s="697">
        <f>IFERROR(__xludf.DUMMYFUNCTION("""COMPUTED_VALUE"""),1260.0)</f>
        <v>1260</v>
      </c>
      <c r="H158" s="697"/>
      <c r="I158" s="697"/>
      <c r="J158" s="697"/>
      <c r="K158" s="697"/>
      <c r="L158" s="697"/>
      <c r="M158" s="697"/>
      <c r="N158" s="697"/>
      <c r="O158" s="697"/>
      <c r="P158" s="697"/>
      <c r="Q158" s="700">
        <f>IFERROR(__xludf.DUMMYFUNCTION("""COMPUTED_VALUE"""),1.0)</f>
        <v>1</v>
      </c>
      <c r="R158" s="697"/>
      <c r="S158" s="697"/>
      <c r="T158" s="697"/>
      <c r="U158" s="697"/>
      <c r="V158" s="697"/>
      <c r="W158" s="697"/>
      <c r="X158" s="697"/>
      <c r="Y158" s="697"/>
      <c r="Z158" s="697"/>
      <c r="AA158" s="697"/>
      <c r="AB158" s="697"/>
      <c r="AC158" s="697"/>
      <c r="AD158" s="697"/>
      <c r="AE158" s="697"/>
      <c r="AF158" s="697"/>
      <c r="AG158" s="697"/>
      <c r="AH158" s="697"/>
      <c r="AI158" s="697"/>
      <c r="AJ158" s="697"/>
      <c r="AK158" s="697"/>
      <c r="AL158" s="697"/>
      <c r="AM158" s="697"/>
      <c r="AN158" s="700">
        <f>IFERROR(__xludf.DUMMYFUNCTION("""COMPUTED_VALUE"""),1.0)</f>
        <v>1</v>
      </c>
      <c r="AO158" s="698">
        <f>IFERROR(__xludf.DUMMYFUNCTION("""COMPUTED_VALUE"""),1.0)</f>
        <v>1</v>
      </c>
      <c r="AP158" s="697" t="str">
        <f>IFERROR(__xludf.DUMMYFUNCTION("""COMPUTED_VALUE"""),"Mf reduction")</f>
        <v>Mf reduction</v>
      </c>
      <c r="AQ158" s="697" t="str">
        <f>IFERROR(__xludf.DUMMYFUNCTION("""COMPUTED_VALUE"""),"Burkina Faso")</f>
        <v>Burkina Faso</v>
      </c>
      <c r="AR158" s="697">
        <f>IFERROR(__xludf.DUMMYFUNCTION("""COMPUTED_VALUE"""),1985.0)</f>
        <v>1985</v>
      </c>
      <c r="AS158" s="697">
        <f>IFERROR(__xludf.DUMMYFUNCTION("""COMPUTED_VALUE"""),42.0)</f>
        <v>42</v>
      </c>
      <c r="AT158" s="697" t="str">
        <f>IFERROR(__xludf.DUMMYFUNCTION("""COMPUTED_VALUE"""),"4 years ")</f>
        <v>4 years </v>
      </c>
      <c r="AU158" s="697" t="str">
        <f>IFERROR(__xludf.DUMMYFUNCTION("""COMPUTED_VALUE"""),"Schulz-Key, H., M. Karam, and A. Prost. ""Suramin in the treatment of onchocerciasis: the efficacy of low doses on the parasite in an area with vector control."" Tropical medicine and parasitology: official organ of Deutsche Tropenmedizinische Gesellschaf"&amp;"t and of Deutsche Gesellschaft fur Technische Zusammenarbeit (GTZ) 36.4 (1985): 244-248.")</f>
        <v>Schulz-Key, H., M. Karam, and A. Prost. "Suramin in the treatment of onchocerciasis: the efficacy of low doses on the parasite in an area with vector control." Tropical medicine and parasitology: official organ of Deutsche Tropenmedizinische Gesellschaft and of Deutsche Gesellschaft fur Technische Zusammenarbeit (GTZ) 36.4 (1985): 244-248.</v>
      </c>
      <c r="AV158" s="697"/>
      <c r="AW158" s="697"/>
      <c r="AX158" s="697"/>
      <c r="AY158" s="697"/>
      <c r="AZ158" s="697"/>
      <c r="BA158" s="697"/>
      <c r="BB158" s="697"/>
      <c r="BC158" s="697"/>
      <c r="BD158" s="697"/>
      <c r="BE158" s="697"/>
      <c r="BF158" s="697"/>
      <c r="BG158" s="697"/>
    </row>
    <row r="159">
      <c r="A159" s="697"/>
      <c r="B159" s="699" t="str">
        <f>IFERROR(__xludf.DUMMYFUNCTION("""COMPUTED_VALUE"""),"Coulibaly")</f>
        <v>Coulibaly</v>
      </c>
      <c r="C159" s="697" t="str">
        <f>IFERROR(__xludf.DUMMYFUNCTION("""COMPUTED_VALUE"""),"Mali")</f>
        <v>Mali</v>
      </c>
      <c r="D159" s="697" t="str">
        <f>IFERROR(__xludf.DUMMYFUNCTION("""COMPUTED_VALUE"""),"Doxycycline")</f>
        <v>Doxycycline</v>
      </c>
      <c r="E159" s="697" t="str">
        <f>IFERROR(__xludf.DUMMYFUNCTION("""COMPUTED_VALUE"""),"200mg")</f>
        <v>200mg</v>
      </c>
      <c r="F159" s="697" t="str">
        <f>IFERROR(__xludf.DUMMYFUNCTION("""COMPUTED_VALUE"""),"1/day")</f>
        <v>1/day</v>
      </c>
      <c r="G159" s="697" t="str">
        <f>IFERROR(__xludf.DUMMYFUNCTION("""COMPUTED_VALUE"""),"8400mg")</f>
        <v>8400mg</v>
      </c>
      <c r="H159" s="697"/>
      <c r="I159" s="697"/>
      <c r="J159" s="697"/>
      <c r="K159" s="697"/>
      <c r="L159" s="697"/>
      <c r="M159" s="697"/>
      <c r="N159" s="697"/>
      <c r="O159" s="697"/>
      <c r="P159" s="697"/>
      <c r="Q159" s="697"/>
      <c r="R159" s="697"/>
      <c r="S159" s="697"/>
      <c r="T159" s="697"/>
      <c r="U159" s="697"/>
      <c r="V159" s="697"/>
      <c r="W159" s="697"/>
      <c r="X159" s="697"/>
      <c r="Y159" s="697"/>
      <c r="Z159" s="697"/>
      <c r="AA159" s="697"/>
      <c r="AB159" s="697"/>
      <c r="AC159" s="697"/>
      <c r="AD159" s="697"/>
      <c r="AE159" s="697" t="str">
        <f>IFERROR(__xludf.DUMMYFUNCTION("""COMPUTED_VALUE"""),"n/a")</f>
        <v>n/a</v>
      </c>
      <c r="AF159" s="697"/>
      <c r="AG159" s="697"/>
      <c r="AH159" s="697"/>
      <c r="AI159" s="697"/>
      <c r="AJ159" s="699" t="str">
        <f>IFERROR(__xludf.DUMMYFUNCTION("""COMPUTED_VALUE"""),"Coulibaly")</f>
        <v>Coulibaly</v>
      </c>
      <c r="AK159" s="697"/>
      <c r="AL159" s="697"/>
      <c r="AM159" s="697"/>
      <c r="AN159" s="697"/>
      <c r="AO159" s="697"/>
      <c r="AP159" s="697" t="str">
        <f>IFERROR(__xludf.DUMMYFUNCTION("""COMPUTED_VALUE"""),"Doxycycline treatment alone led to a dramatic decrease in levels of M. perstans microfilariae, with median levels decreasing to 23% of pretreatment levels at 6 months after treatment and to 0% of pretreatment levels at 12 months after treatment, as compar"&amp;"ed with median levels in the no- treatment group that were 38% and 50% of baseline levels at 6 months and 12 months, respectively")</f>
        <v>Doxycycline treatment alone led to a dramatic decrease in levels of M. perstans microfilariae, with median levels decreasing to 23% of pretreatment levels at 6 months after treatment and to 0% of pretreatment levels at 12 months after treatment, as compared with median levels in the no- treatment group that were 38% and 50% of baseline levels at 6 months and 12 months, respectively</v>
      </c>
      <c r="AQ159" s="697" t="str">
        <f>IFERROR(__xludf.DUMMYFUNCTION("""COMPUTED_VALUE"""),"80 km northwest of Bamako, Mali. ")</f>
        <v>80 km northwest of Bamako, Mali. </v>
      </c>
      <c r="AR159" s="697">
        <f>IFERROR(__xludf.DUMMYFUNCTION("""COMPUTED_VALUE"""),2009.0)</f>
        <v>2009</v>
      </c>
      <c r="AS159" s="697">
        <f>IFERROR(__xludf.DUMMYFUNCTION("""COMPUTED_VALUE"""),85.0)</f>
        <v>85</v>
      </c>
      <c r="AT159" s="697" t="str">
        <f>IFERROR(__xludf.DUMMYFUNCTION("""COMPUTED_VALUE"""),"12 months")</f>
        <v>12 months</v>
      </c>
      <c r="AU159" s="697" t="str">
        <f>IFERROR(__xludf.DUMMYFUNCTION("""COMPUTED_VALUE"""),"Coulibaly, YI, Dembele, B, Diallo, AA et al. A randomized trial of doxycycline for Mansonella perstans infection. N Engl J Med. 2009; 361: 1448–1458")</f>
        <v>Coulibaly, YI, Dembele, B, Diallo, AA et al. A randomized trial of doxycycline for Mansonella perstans infection. N Engl J Med. 2009; 361: 1448–1458</v>
      </c>
      <c r="AV159" s="697"/>
      <c r="AW159" s="697" t="str">
        <f>IFERROR(__xludf.DUMMYFUNCTION("""COMPUTED_VALUE"""),"14-65")</f>
        <v>14-65</v>
      </c>
      <c r="AX159" s="697" t="str">
        <f>IFERROR(__xludf.DUMMYFUNCTION("""COMPUTED_VALUE"""),"Subjects were excluded from the study if they were pregnant or breast-feeding; had a hemoglobin level of 10 g per deciliter or less, a creatinine level greater than 1.4 mg per deciliter (123.8 μmol per liter), an alanine aminotransferase level greater tha"&amp;"n 45 U per liter, or a bilirubin level greater than 1.5 mg per deciliter (25.6 μmol per liter); weighed less than 40 kg; were classified as a heavy user of alcohol (i.e., drank more than one alcohol-containing drink per day); had a temperature higher than"&amp;" 37.5°C; had a serious medical illness; had a history of allergy to doxycycline; or had a suspected immunodeficiency")</f>
        <v>Subjects were excluded from the study if they were pregnant or breast-feeding; had a hemoglobin level of 10 g per deciliter or less, a creatinine level greater than 1.4 mg per deciliter (123.8 μmol per liter), an alanine aminotransferase level greater than 45 U per liter, or a bilirubin level greater than 1.5 mg per deciliter (25.6 μmol per liter); weighed less than 40 kg; were classified as a heavy user of alcohol (i.e., drank more than one alcohol-containing drink per day); had a temperature higher than 37.5°C; had a serious medical illness; had a history of allergy to doxycycline; or had a suspected immunodeficiency</v>
      </c>
      <c r="AY159" s="697"/>
      <c r="AZ159" s="697" t="str">
        <f>IFERROR(__xludf.DUMMYFUNCTION("""COMPUTED_VALUE"""),"yes")</f>
        <v>yes</v>
      </c>
      <c r="BA159" s="697"/>
      <c r="BB159" s="697"/>
      <c r="BC159" s="697" t="str">
        <f>IFERROR(__xludf.DUMMYFUNCTION("""COMPUTED_VALUE"""),"Doxycycline treatment alone led to a dramatic decrease in levels of M. perstans microfilariae, with median levels decreasing to 23% of pretreatment levels at 6 months after treatment and to 0% of pretreatment levels at 12 months after treatment, as compar"&amp;"ed with median levels in the no- treatment group that were 38% and 50% of baseline levels at 6 months and 12 months, r")</f>
        <v>Doxycycline treatment alone led to a dramatic decrease in levels of M. perstans microfilariae, with median levels decreasing to 23% of pretreatment levels at 6 months after treatment and to 0% of pretreatment levels at 12 months after treatment, as compared with median levels in the no- treatment group that were 38% and 50% of baseline levels at 6 months and 12 months, r</v>
      </c>
      <c r="BD159" s="697"/>
      <c r="BE159" s="697"/>
      <c r="BF159" s="697"/>
      <c r="BG159" s="697"/>
    </row>
    <row r="160">
      <c r="A160" s="697"/>
      <c r="B160" s="699" t="str">
        <f>IFERROR(__xludf.DUMMYFUNCTION("""COMPUTED_VALUE"""),"Coulibaly")</f>
        <v>Coulibaly</v>
      </c>
      <c r="C160" s="697" t="str">
        <f>IFERROR(__xludf.DUMMYFUNCTION("""COMPUTED_VALUE"""),"Mali")</f>
        <v>Mali</v>
      </c>
      <c r="D160" s="697" t="str">
        <f>IFERROR(__xludf.DUMMYFUNCTION("""COMPUTED_VALUE"""),"Control")</f>
        <v>Control</v>
      </c>
      <c r="E160" s="697" t="str">
        <f>IFERROR(__xludf.DUMMYFUNCTION("""COMPUTED_VALUE"""),"no treatment")</f>
        <v>no treatment</v>
      </c>
      <c r="F160" s="697">
        <f>IFERROR(__xludf.DUMMYFUNCTION("""COMPUTED_VALUE"""),1.0)</f>
        <v>1</v>
      </c>
      <c r="G160" s="697" t="str">
        <f>IFERROR(__xludf.DUMMYFUNCTION("""COMPUTED_VALUE"""),"n/a")</f>
        <v>n/a</v>
      </c>
      <c r="H160" s="697"/>
      <c r="I160" s="697"/>
      <c r="J160" s="697"/>
      <c r="K160" s="697"/>
      <c r="L160" s="697"/>
      <c r="M160" s="697"/>
      <c r="N160" s="697"/>
      <c r="O160" s="697"/>
      <c r="P160" s="697"/>
      <c r="Q160" s="697"/>
      <c r="R160" s="697"/>
      <c r="S160" s="697"/>
      <c r="T160" s="697"/>
      <c r="U160" s="697"/>
      <c r="V160" s="697"/>
      <c r="W160" s="697"/>
      <c r="X160" s="697"/>
      <c r="Y160" s="697"/>
      <c r="Z160" s="697"/>
      <c r="AA160" s="697"/>
      <c r="AB160" s="697"/>
      <c r="AC160" s="697"/>
      <c r="AD160" s="697"/>
      <c r="AE160" s="697" t="str">
        <f>IFERROR(__xludf.DUMMYFUNCTION("""COMPUTED_VALUE"""),"n/a")</f>
        <v>n/a</v>
      </c>
      <c r="AF160" s="697"/>
      <c r="AG160" s="697"/>
      <c r="AH160" s="697"/>
      <c r="AI160" s="697"/>
      <c r="AJ160" s="699" t="str">
        <f>IFERROR(__xludf.DUMMYFUNCTION("""COMPUTED_VALUE"""),"Coulibaly")</f>
        <v>Coulibaly</v>
      </c>
      <c r="AK160" s="697"/>
      <c r="AL160" s="697"/>
      <c r="AM160" s="697"/>
      <c r="AN160" s="697"/>
      <c r="AO160" s="697"/>
      <c r="AP160" s="697" t="str">
        <f>IFERROR(__xludf.DUMMYFUNCTION("""COMPUTED_VALUE"""),"Doxycycline treatment alone led to a dramatic decrease in levels of M. perstans microfilariae, with median levels decreasing to 23% of pretreatment levels at 6 months after treatment and to 0% of pretreatment levels at 12 months after treatment, as compar"&amp;"ed with median levels in the no- treatment group that were 38% and 50% of baseline levels at 6 months and 12 months, respectively")</f>
        <v>Doxycycline treatment alone led to a dramatic decrease in levels of M. perstans microfilariae, with median levels decreasing to 23% of pretreatment levels at 6 months after treatment and to 0% of pretreatment levels at 12 months after treatment, as compared with median levels in the no- treatment group that were 38% and 50% of baseline levels at 6 months and 12 months, respectively</v>
      </c>
      <c r="AQ160" s="697" t="str">
        <f>IFERROR(__xludf.DUMMYFUNCTION("""COMPUTED_VALUE"""),"80 km northwest of Bamako, Mali. ")</f>
        <v>80 km northwest of Bamako, Mali. </v>
      </c>
      <c r="AR160" s="697">
        <f>IFERROR(__xludf.DUMMYFUNCTION("""COMPUTED_VALUE"""),2009.0)</f>
        <v>2009</v>
      </c>
      <c r="AS160" s="697">
        <f>IFERROR(__xludf.DUMMYFUNCTION("""COMPUTED_VALUE"""),131.0)</f>
        <v>131</v>
      </c>
      <c r="AT160" s="697" t="str">
        <f>IFERROR(__xludf.DUMMYFUNCTION("""COMPUTED_VALUE"""),"12 months")</f>
        <v>12 months</v>
      </c>
      <c r="AU160" s="697" t="str">
        <f>IFERROR(__xludf.DUMMYFUNCTION("""COMPUTED_VALUE"""),"Coulibaly, YI, Dembele, B, Diallo, AA et al. A randomized trial of doxycycline for Mansonella perstans infection. N Engl J Med. 2009; 361: 1448–1458")</f>
        <v>Coulibaly, YI, Dembele, B, Diallo, AA et al. A randomized trial of doxycycline for Mansonella perstans infection. N Engl J Med. 2009; 361: 1448–1458</v>
      </c>
      <c r="AV160" s="697"/>
      <c r="AW160" s="697" t="str">
        <f>IFERROR(__xludf.DUMMYFUNCTION("""COMPUTED_VALUE"""),"14-65")</f>
        <v>14-65</v>
      </c>
      <c r="AX160" s="697" t="str">
        <f>IFERROR(__xludf.DUMMYFUNCTION("""COMPUTED_VALUE"""),"Subjects were excluded from the study if they were pregnant or breast-feeding; had a hemoglobin level of 10 g per deciliter or less, a creatinine level greater than 1.4 mg per deciliter (123.8 μmol per liter), an alanine aminotransferase level greater tha"&amp;"n 45 U per liter, or a bilirubin level greater than 1.5 mg per deciliter (25.6 μmol per liter); weighed less than 40 kg; were classified as a heavy user of alcohol (i.e., drank more than one alcohol-containing drink per day); had a temperature higher than"&amp;" 37.5°C; had a serious medical illness; had a history of allergy to doxycycline; or had a suspected immunodeficiency")</f>
        <v>Subjects were excluded from the study if they were pregnant or breast-feeding; had a hemoglobin level of 10 g per deciliter or less, a creatinine level greater than 1.4 mg per deciliter (123.8 μmol per liter), an alanine aminotransferase level greater than 45 U per liter, or a bilirubin level greater than 1.5 mg per deciliter (25.6 μmol per liter); weighed less than 40 kg; were classified as a heavy user of alcohol (i.e., drank more than one alcohol-containing drink per day); had a temperature higher than 37.5°C; had a serious medical illness; had a history of allergy to doxycycline; or had a suspected immunodeficiency</v>
      </c>
      <c r="AY160" s="697"/>
      <c r="AZ160" s="697" t="str">
        <f>IFERROR(__xludf.DUMMYFUNCTION("""COMPUTED_VALUE"""),"yes")</f>
        <v>yes</v>
      </c>
      <c r="BA160" s="697"/>
      <c r="BB160" s="697"/>
      <c r="BC160" s="697" t="str">
        <f>IFERROR(__xludf.DUMMYFUNCTION("""COMPUTED_VALUE"""),"Doxycycline treatment alone led to a dramatic decrease in levels of M. perstans microfilariae, with median levels decreasing to 23% of pretreatment levels at 6 months after treatment and to 0% of pretreatment levels at 12 months after treatment, as compar"&amp;"ed with median levels in the no- treatment group that were 38% and 50% of baseline levels at 6 months and 12 months, r")</f>
        <v>Doxycycline treatment alone led to a dramatic decrease in levels of M. perstans microfilariae, with median levels decreasing to 23% of pretreatment levels at 6 months after treatment and to 0% of pretreatment levels at 12 months after treatment, as compared with median levels in the no- treatment group that were 38% and 50% of baseline levels at 6 months and 12 months, r</v>
      </c>
      <c r="BD160" s="697"/>
      <c r="BE160" s="697"/>
      <c r="BF160" s="697"/>
      <c r="BG160" s="697"/>
    </row>
    <row r="161">
      <c r="A161" s="697" t="str">
        <f>IFERROR(__xludf.DUMMYFUNCTION("""COMPUTED_VALUE"""),"*describes improvement in visual symptoms")</f>
        <v>*describes improvement in visual symptoms</v>
      </c>
      <c r="B161" s="699" t="str">
        <f>IFERROR(__xludf.DUMMYFUNCTION("""COMPUTED_VALUE"""),"Masud")</f>
        <v>Masud</v>
      </c>
      <c r="C161" s="697" t="str">
        <f>IFERROR(__xludf.DUMMYFUNCTION("""COMPUTED_VALUE"""),"Liberia")</f>
        <v>Liberia</v>
      </c>
      <c r="D161" s="697" t="str">
        <f>IFERROR(__xludf.DUMMYFUNCTION("""COMPUTED_VALUE"""),"Ivermectin")</f>
        <v>Ivermectin</v>
      </c>
      <c r="E161" s="697" t="str">
        <f>IFERROR(__xludf.DUMMYFUNCTION("""COMPUTED_VALUE"""),"150ug/kg")</f>
        <v>150ug/kg</v>
      </c>
      <c r="F161" s="697">
        <f>IFERROR(__xludf.DUMMYFUNCTION("""COMPUTED_VALUE"""),1.0)</f>
        <v>1</v>
      </c>
      <c r="G161" s="697" t="str">
        <f>IFERROR(__xludf.DUMMYFUNCTION("""COMPUTED_VALUE"""),"150 ug/kg")</f>
        <v>150 ug/kg</v>
      </c>
      <c r="H161" s="697"/>
      <c r="I161" s="697"/>
      <c r="J161" s="697"/>
      <c r="K161" s="697"/>
      <c r="L161" s="697"/>
      <c r="M161" s="697"/>
      <c r="N161" s="697"/>
      <c r="O161" s="697"/>
      <c r="P161" s="697"/>
      <c r="Q161" s="697"/>
      <c r="R161" s="697"/>
      <c r="S161" s="697"/>
      <c r="T161" s="697"/>
      <c r="U161" s="697"/>
      <c r="V161" s="697"/>
      <c r="W161" s="697"/>
      <c r="X161" s="697"/>
      <c r="Y161" s="697"/>
      <c r="Z161" s="697"/>
      <c r="AA161" s="697"/>
      <c r="AB161" s="697"/>
      <c r="AC161" s="697"/>
      <c r="AD161" s="697"/>
      <c r="AE161" s="697" t="str">
        <f>IFERROR(__xludf.DUMMYFUNCTION("""COMPUTED_VALUE"""),"n/a")</f>
        <v>n/a</v>
      </c>
      <c r="AF161" s="697"/>
      <c r="AG161" s="697"/>
      <c r="AH161" s="697"/>
      <c r="AI161" s="697"/>
      <c r="AJ161" s="699" t="str">
        <f>IFERROR(__xludf.DUMMYFUNCTION("""COMPUTED_VALUE"""),"Masud")</f>
        <v>Masud</v>
      </c>
      <c r="AK161" s="697" t="str">
        <f>IFERROR(__xludf.DUMMYFUNCTION("""COMPUTED_VALUE"""),"17% patients before treatment, 17% after")</f>
        <v>17% patients before treatment, 17% after</v>
      </c>
      <c r="AL161" s="697"/>
      <c r="AM161" s="697"/>
      <c r="AN161" s="697"/>
      <c r="AO161" s="697"/>
      <c r="AP161" s="697" t="str">
        <f>IFERROR(__xludf.DUMMYFUNCTION("""COMPUTED_VALUE"""),"There was a significantly greater relief in patients treated with a combination of doxycycline and ivermectin, with marked improvement in onchocerciasis clinical symptoms, as compared to those patients who were treated with ivermectin alone.")</f>
        <v>There was a significantly greater relief in patients treated with a combination of doxycycline and ivermectin, with marked improvement in onchocerciasis clinical symptoms, as compared to those patients who were treated with ivermectin alone.</v>
      </c>
      <c r="AQ161" s="697" t="str">
        <f>IFERROR(__xludf.DUMMYFUNCTION("""COMPUTED_VALUE"""),"Tubenburg (Bomy County) of Liberia")</f>
        <v>Tubenburg (Bomy County) of Liberia</v>
      </c>
      <c r="AR161" s="697">
        <f>IFERROR(__xludf.DUMMYFUNCTION("""COMPUTED_VALUE"""),2009.0)</f>
        <v>2009</v>
      </c>
      <c r="AS161" s="697">
        <f>IFERROR(__xludf.DUMMYFUNCTION("""COMPUTED_VALUE"""),120.0)</f>
        <v>120</v>
      </c>
      <c r="AT161" s="697" t="str">
        <f>IFERROR(__xludf.DUMMYFUNCTION("""COMPUTED_VALUE"""),"6 months")</f>
        <v>6 months</v>
      </c>
      <c r="AU161" s="697" t="str">
        <f>IFERROR(__xludf.DUMMYFUNCTION("""COMPUTED_VALUE"""),"Masud, H., Qureshi, T., &amp; Dukley, M. (2009). Effects of Ivermectin with and without Doxycycline on Clinical Symptoms of Onchocerciasis. Journal of the College of Physicians and Surgeons Pakistan , 19(1), 34-38.")</f>
        <v>Masud, H., Qureshi, T., &amp; Dukley, M. (2009). Effects of Ivermectin with and without Doxycycline on Clinical Symptoms of Onchocerciasis. Journal of the College of Physicians and Surgeons Pakistan , 19(1), 34-38.</v>
      </c>
      <c r="AV161" s="697" t="str">
        <f>IFERROR(__xludf.DUMMYFUNCTION("""COMPUTED_VALUE"""),"65.42%M")</f>
        <v>65.42%M</v>
      </c>
      <c r="AW161" s="697" t="str">
        <f>IFERROR(__xludf.DUMMYFUNCTION("""COMPUTED_VALUE"""),"mean=34")</f>
        <v>mean=34</v>
      </c>
      <c r="AX161" s="697" t="str">
        <f>IFERROR(__xludf.DUMMYFUNCTION("""COMPUTED_VALUE"""),"Patients with history of exposure to black fly in endemic area, symptoms of generalized and ocular itching, visual impairment associated with pannus/perilimbal pigmen- tation, punctuate/sclerosing keratitis, iridocyclitis, chorioretinitis and optic atroph"&amp;"y were included in the study. ")</f>
        <v>Patients with history of exposure to black fly in endemic area, symptoms of generalized and ocular itching, visual impairment associated with pannus/perilimbal pigmen- tation, punctuate/sclerosing keratitis, iridocyclitis, chorioretinitis and optic atrophy were included in the study. </v>
      </c>
      <c r="AY161" s="697"/>
      <c r="AZ161" s="697" t="str">
        <f>IFERROR(__xludf.DUMMYFUNCTION("""COMPUTED_VALUE"""),"yes")</f>
        <v>yes</v>
      </c>
      <c r="BA161" s="697"/>
      <c r="BB161" s="697"/>
      <c r="BC161" s="697" t="str">
        <f>IFERROR(__xludf.DUMMYFUNCTION("""COMPUTED_VALUE"""),"re was a significantly greater relief in patients of group II treated with a combination of doxycycline and ivermectin as compared to those patients who were treated with ivermectin alone. Eighty four patients (70%) of group I and 117 (98%) patients of gr"&amp;"oup II responded to treatment with improvement in clinical features. Vis")</f>
        <v>re was a significantly greater relief in patients of group II treated with a combination of doxycycline and ivermectin as compared to those patients who were treated with ivermectin alone. Eighty four patients (70%) of group I and 117 (98%) patients of group II responded to treatment with improvement in clinical features. Vis</v>
      </c>
      <c r="BD161" s="697"/>
      <c r="BE161" s="697"/>
      <c r="BF161" s="697"/>
      <c r="BG161" s="697"/>
    </row>
    <row r="162">
      <c r="A162" s="697"/>
      <c r="B162" s="699" t="str">
        <f>IFERROR(__xludf.DUMMYFUNCTION("""COMPUTED_VALUE"""),"Masud")</f>
        <v>Masud</v>
      </c>
      <c r="C162" s="697" t="str">
        <f>IFERROR(__xludf.DUMMYFUNCTION("""COMPUTED_VALUE"""),"Liberia")</f>
        <v>Liberia</v>
      </c>
      <c r="D162" s="697" t="str">
        <f>IFERROR(__xludf.DUMMYFUNCTION("""COMPUTED_VALUE"""),"Doxycycline &amp; Ivermectin")</f>
        <v>Doxycycline &amp; Ivermectin</v>
      </c>
      <c r="E162" s="697" t="str">
        <f>IFERROR(__xludf.DUMMYFUNCTION("""COMPUTED_VALUE"""),"100mg, 150 ug/kg")</f>
        <v>100mg, 150 ug/kg</v>
      </c>
      <c r="F162" s="697" t="str">
        <f>IFERROR(__xludf.DUMMYFUNCTION("""COMPUTED_VALUE"""),"1/day,1")</f>
        <v>1/day,1</v>
      </c>
      <c r="G162" s="697" t="str">
        <f>IFERROR(__xludf.DUMMYFUNCTION("""COMPUTED_VALUE"""),"4200mg, 150ug/kg")</f>
        <v>4200mg, 150ug/kg</v>
      </c>
      <c r="H162" s="697"/>
      <c r="I162" s="697"/>
      <c r="J162" s="697"/>
      <c r="K162" s="697"/>
      <c r="L162" s="697"/>
      <c r="M162" s="697"/>
      <c r="N162" s="697"/>
      <c r="O162" s="697"/>
      <c r="P162" s="697"/>
      <c r="Q162" s="697"/>
      <c r="R162" s="697"/>
      <c r="S162" s="697"/>
      <c r="T162" s="697"/>
      <c r="U162" s="697"/>
      <c r="V162" s="697"/>
      <c r="W162" s="697"/>
      <c r="X162" s="697"/>
      <c r="Y162" s="697"/>
      <c r="Z162" s="697"/>
      <c r="AA162" s="697"/>
      <c r="AB162" s="697"/>
      <c r="AC162" s="697"/>
      <c r="AD162" s="697"/>
      <c r="AE162" s="697" t="str">
        <f>IFERROR(__xludf.DUMMYFUNCTION("""COMPUTED_VALUE"""),"n/a")</f>
        <v>n/a</v>
      </c>
      <c r="AF162" s="697"/>
      <c r="AG162" s="697"/>
      <c r="AH162" s="697"/>
      <c r="AI162" s="697"/>
      <c r="AJ162" s="699" t="str">
        <f>IFERROR(__xludf.DUMMYFUNCTION("""COMPUTED_VALUE"""),"Masud")</f>
        <v>Masud</v>
      </c>
      <c r="AK162" s="697" t="str">
        <f>IFERROR(__xludf.DUMMYFUNCTION("""COMPUTED_VALUE"""),"11% patients before treatment, 8% after")</f>
        <v>11% patients before treatment, 8% after</v>
      </c>
      <c r="AL162" s="697"/>
      <c r="AM162" s="697"/>
      <c r="AN162" s="697"/>
      <c r="AO162" s="697"/>
      <c r="AP162" s="697" t="str">
        <f>IFERROR(__xludf.DUMMYFUNCTION("""COMPUTED_VALUE"""),"There was a significantly greater relief in patients treated with a combination of doxycycline and ivermectin, with marked improvement in onchocerciasis clinical symptoms, as compared to those patients who were treated with ivermectin alone.")</f>
        <v>There was a significantly greater relief in patients treated with a combination of doxycycline and ivermectin, with marked improvement in onchocerciasis clinical symptoms, as compared to those patients who were treated with ivermectin alone.</v>
      </c>
      <c r="AQ162" s="697" t="str">
        <f>IFERROR(__xludf.DUMMYFUNCTION("""COMPUTED_VALUE"""),"Tubenburg (Bomy County) of Liberia")</f>
        <v>Tubenburg (Bomy County) of Liberia</v>
      </c>
      <c r="AR162" s="697">
        <f>IFERROR(__xludf.DUMMYFUNCTION("""COMPUTED_VALUE"""),2009.0)</f>
        <v>2009</v>
      </c>
      <c r="AS162" s="697">
        <f>IFERROR(__xludf.DUMMYFUNCTION("""COMPUTED_VALUE"""),120.0)</f>
        <v>120</v>
      </c>
      <c r="AT162" s="697" t="str">
        <f>IFERROR(__xludf.DUMMYFUNCTION("""COMPUTED_VALUE"""),"6 months")</f>
        <v>6 months</v>
      </c>
      <c r="AU162" s="697" t="str">
        <f>IFERROR(__xludf.DUMMYFUNCTION("""COMPUTED_VALUE"""),"Masud, H., Qureshi, T., &amp; Dukley, M. (2009). Effects of Ivermectin with and without Doxycycline on Clinical Symptoms of Onchocerciasis. Journal of the College of Physicians and Surgeons Pakistan , 19(1), 34-38.")</f>
        <v>Masud, H., Qureshi, T., &amp; Dukley, M. (2009). Effects of Ivermectin with and without Doxycycline on Clinical Symptoms of Onchocerciasis. Journal of the College of Physicians and Surgeons Pakistan , 19(1), 34-38.</v>
      </c>
      <c r="AV162" s="697" t="str">
        <f>IFERROR(__xludf.DUMMYFUNCTION("""COMPUTED_VALUE"""),"65.42%M")</f>
        <v>65.42%M</v>
      </c>
      <c r="AW162" s="697" t="str">
        <f>IFERROR(__xludf.DUMMYFUNCTION("""COMPUTED_VALUE"""),"mean=34")</f>
        <v>mean=34</v>
      </c>
      <c r="AX162" s="697" t="str">
        <f>IFERROR(__xludf.DUMMYFUNCTION("""COMPUTED_VALUE"""),"Patients with history of exposure to black fly in endemic area, symptoms of generalized and ocular itching, visual impairment associated with pannus/perilimbal pigmen- tation, punctuate/sclerosing keratitis, iridocyclitis, chorioretinitis and optic atroph"&amp;"y were included in the study. ")</f>
        <v>Patients with history of exposure to black fly in endemic area, symptoms of generalized and ocular itching, visual impairment associated with pannus/perilimbal pigmen- tation, punctuate/sclerosing keratitis, iridocyclitis, chorioretinitis and optic atrophy were included in the study. </v>
      </c>
      <c r="AY162" s="697"/>
      <c r="AZ162" s="697" t="str">
        <f>IFERROR(__xludf.DUMMYFUNCTION("""COMPUTED_VALUE"""),"yes")</f>
        <v>yes</v>
      </c>
      <c r="BA162" s="697"/>
      <c r="BB162" s="697"/>
      <c r="BC162" s="697" t="str">
        <f>IFERROR(__xludf.DUMMYFUNCTION("""COMPUTED_VALUE"""),"re was a significantly greater relief in patients of group II treated with a combination of doxycycline and ivermectin as compared to those patients who were treated with ivermectin alone. Eighty four patients (70%) of group I and 117 (98%) patients of gr"&amp;"oup II responded to treatment with improvement in clinical features. Vis")</f>
        <v>re was a significantly greater relief in patients of group II treated with a combination of doxycycline and ivermectin as compared to those patients who were treated with ivermectin alone. Eighty four patients (70%) of group I and 117 (98%) patients of group II responded to treatment with improvement in clinical features. Vis</v>
      </c>
      <c r="BD162" s="697"/>
      <c r="BE162" s="697"/>
      <c r="BF162" s="697"/>
      <c r="BG162" s="697"/>
    </row>
    <row r="163">
      <c r="A163" s="697"/>
      <c r="B163" s="699" t="str">
        <f>IFERROR(__xludf.DUMMYFUNCTION("""COMPUTED_VALUE"""),"Richards")</f>
        <v>Richards</v>
      </c>
      <c r="C163" s="697" t="str">
        <f>IFERROR(__xludf.DUMMYFUNCTION("""COMPUTED_VALUE"""),"Guatemala")</f>
        <v>Guatemala</v>
      </c>
      <c r="D163" s="697" t="str">
        <f>IFERROR(__xludf.DUMMYFUNCTION("""COMPUTED_VALUE"""),"Control")</f>
        <v>Control</v>
      </c>
      <c r="E163" s="697" t="str">
        <f>IFERROR(__xludf.DUMMYFUNCTION("""COMPUTED_VALUE"""),"1 multivitamin")</f>
        <v>1 multivitamin</v>
      </c>
      <c r="F163" s="697">
        <f>IFERROR(__xludf.DUMMYFUNCTION("""COMPUTED_VALUE"""),1.0)</f>
        <v>1</v>
      </c>
      <c r="G163" s="697" t="str">
        <f>IFERROR(__xludf.DUMMYFUNCTION("""COMPUTED_VALUE"""),"daily")</f>
        <v>daily</v>
      </c>
      <c r="H163" s="697"/>
      <c r="I163" s="697"/>
      <c r="J163" s="697"/>
      <c r="K163" s="697"/>
      <c r="L163" s="697"/>
      <c r="M163" s="697"/>
      <c r="N163" s="697"/>
      <c r="O163" s="697"/>
      <c r="P163" s="697"/>
      <c r="Q163" s="697"/>
      <c r="R163" s="697"/>
      <c r="S163" s="697"/>
      <c r="T163" s="697"/>
      <c r="U163" s="697"/>
      <c r="V163" s="697"/>
      <c r="W163" s="697"/>
      <c r="X163" s="697"/>
      <c r="Y163" s="697"/>
      <c r="Z163" s="697"/>
      <c r="AA163" s="697"/>
      <c r="AB163" s="697"/>
      <c r="AC163" s="697"/>
      <c r="AD163" s="697"/>
      <c r="AE163" s="697" t="str">
        <f>IFERROR(__xludf.DUMMYFUNCTION("""COMPUTED_VALUE"""),"n/a")</f>
        <v>n/a</v>
      </c>
      <c r="AF163" s="697"/>
      <c r="AG163" s="697"/>
      <c r="AH163" s="697"/>
      <c r="AI163" s="697"/>
      <c r="AJ163" s="699" t="str">
        <f>IFERROR(__xludf.DUMMYFUNCTION("""COMPUTED_VALUE"""),"Richards")</f>
        <v>Richards</v>
      </c>
      <c r="AK163" s="697" t="str">
        <f>IFERROR(__xludf.DUMMYFUNCTION("""COMPUTED_VALUE"""),"26.1% of nodules contained only dead worms (range = 20–31.3%). Male worms were found in 27.6% of nodules (range = 21.9–40%); 97% of male worms were living, and 94% of those that could be assessed contained Wolbachia . Differences between groups were not s"&amp;"tatistically significant. As in the WSP analysis, we limited our analysis for reproductive activity to the subset of 87 nodules that contained only live female worm segments. Overall, 27.6% of female worms were fertile, ranging from 25% (RIF) to 33.3% (AZ"&amp;"T) and differences between groups were not statistically significant")</f>
        <v>26.1% of nodules contained only dead worms (range = 20–31.3%). Male worms were found in 27.6% of nodules (range = 21.9–40%); 97% of male worms were living, and 94% of those that could be assessed contained Wolbachia . Differences between groups were not statistically significant. As in the WSP analysis, we limited our analysis for reproductive activity to the subset of 87 nodules that contained only live female worm segments. Overall, 27.6% of female worms were fertile, ranging from 25% (RIF) to 33.3% (AZT) and differences between groups were not statistically significant</v>
      </c>
      <c r="AL163" s="697"/>
      <c r="AM163" s="697"/>
      <c r="AN163" s="697"/>
      <c r="AO163" s="697"/>
      <c r="AP163" s="697" t="str">
        <f>IFERROR(__xludf.DUMMYFUNCTION("""COMPUTED_VALUE"""),"Nodulectomy: mf positive")</f>
        <v>Nodulectomy: mf positive</v>
      </c>
      <c r="AQ163" s="697" t="str">
        <f>IFERROR(__xludf.DUMMYFUNCTION("""COMPUTED_VALUE"""),"Guatemala City")</f>
        <v>Guatemala City</v>
      </c>
      <c r="AR163" s="697">
        <f>IFERROR(__xludf.DUMMYFUNCTION("""COMPUTED_VALUE"""),2007.0)</f>
        <v>2007</v>
      </c>
      <c r="AS163" s="697">
        <f>IFERROR(__xludf.DUMMYFUNCTION("""COMPUTED_VALUE"""),16.0)</f>
        <v>16</v>
      </c>
      <c r="AT163" s="697" t="str">
        <f>IFERROR(__xludf.DUMMYFUNCTION("""COMPUTED_VALUE"""),"9 months")</f>
        <v>9 months</v>
      </c>
      <c r="AU163" s="699" t="str">
        <f>IFERROR(__xludf.DUMMYFUNCTION("""COMPUTED_VALUE"""),"Frank O. Richards Jr., Josef Amann, Byron Arana, George Punkosdy, Robert Klein, Carlos Blanco, Beatriz Lopez, Carlos Mendoza, Alfredo Domínguez, Jeannette Guarner, James H. Maguire, Mark Eberhard. No Depletion of Wolbachia from Onchocerca volvulus after a"&amp;" Short Course of Rifampin and/or Azithromycin, The American Journal of Tropical Medicine and Hygiene, 2007, 878-882,")</f>
        <v>Frank O. Richards Jr., Josef Amann, Byron Arana, George Punkosdy, Robert Klein, Carlos Blanco, Beatriz Lopez, Carlos Mendoza, Alfredo Domínguez, Jeannette Guarner, James H. Maguire, Mark Eberhard. No Depletion of Wolbachia from Onchocerca volvulus after a Short Course of Rifampin and/or Azithromycin, The American Journal of Tropical Medicine and Hygiene, 2007, 878-882,</v>
      </c>
      <c r="AV163" s="697" t="str">
        <f>IFERROR(__xludf.DUMMYFUNCTION("""COMPUTED_VALUE"""),"88%M")</f>
        <v>88%M</v>
      </c>
      <c r="AW163" s="697" t="str">
        <f>IFERROR(__xludf.DUMMYFUNCTION("""COMPUTED_VALUE"""),"5-60")</f>
        <v>5-60</v>
      </c>
      <c r="AX163" s="697" t="str">
        <f>IFERROR(__xludf.DUMMYFUNCTION("""COMPUTED_VALUE"""),"Children ≤ 10 years of age were randomized separately because they were likely to have younger O. volvulus worms exposed to less ivermectin treatment. ")</f>
        <v>Children ≤ 10 years of age were randomized separately because they were likely to have younger O. volvulus worms exposed to less ivermectin treatment. </v>
      </c>
      <c r="AY163" s="697" t="str">
        <f>IFERROR(__xludf.DUMMYFUNCTION("""COMPUTED_VALUE"""),"no")</f>
        <v>no</v>
      </c>
      <c r="AZ163" s="697" t="str">
        <f>IFERROR(__xludf.DUMMYFUNCTION("""COMPUTED_VALUE"""),"yes")</f>
        <v>yes</v>
      </c>
      <c r="BA163" s="697"/>
      <c r="BB163" s="697"/>
      <c r="BC163" s="697" t="str">
        <f>IFERROR(__xludf.DUMMYFUNCTION("""COMPUTED_VALUE"""),"Overall, 93.1% of living female worms contained WSP (Figure 1⇓), and less than 10% of positive samples were weakly staining (1+). Combined reproductive and lateral cord WSP results ranged from a low of 85.7% in the RIF group to 100% in the AZT and COMB gr"&amp;"oups, but these differences were not statistically significant when analyzed qualitatively and semiquantitatively")</f>
        <v>Overall, 93.1% of living female worms contained WSP (Figure 1⇓), and less than 10% of positive samples were weakly staining (1+). Combined reproductive and lateral cord WSP results ranged from a low of 85.7% in the RIF group to 100% in the AZT and COMB groups, but these differences were not statistically significant when analyzed qualitatively and semiquantitatively</v>
      </c>
      <c r="BD163" s="697"/>
      <c r="BE163" s="697"/>
      <c r="BF163" s="697"/>
      <c r="BG163" s="697"/>
    </row>
    <row r="164">
      <c r="A164" s="697"/>
      <c r="B164" s="699" t="str">
        <f>IFERROR(__xludf.DUMMYFUNCTION("""COMPUTED_VALUE"""),"Richards")</f>
        <v>Richards</v>
      </c>
      <c r="C164" s="697" t="str">
        <f>IFERROR(__xludf.DUMMYFUNCTION("""COMPUTED_VALUE"""),"Guatemala")</f>
        <v>Guatemala</v>
      </c>
      <c r="D164" s="697" t="str">
        <f>IFERROR(__xludf.DUMMYFUNCTION("""COMPUTED_VALUE"""),"Azithromycin")</f>
        <v>Azithromycin</v>
      </c>
      <c r="E164" s="697" t="str">
        <f>IFERROR(__xludf.DUMMYFUNCTION("""COMPUTED_VALUE"""),"12mg/kg")</f>
        <v>12mg/kg</v>
      </c>
      <c r="F164" s="697">
        <f>IFERROR(__xludf.DUMMYFUNCTION("""COMPUTED_VALUE"""),1.0)</f>
        <v>1</v>
      </c>
      <c r="G164" s="697" t="str">
        <f>IFERROR(__xludf.DUMMYFUNCTION("""COMPUTED_VALUE"""),"max: 500mg/day")</f>
        <v>max: 500mg/day</v>
      </c>
      <c r="H164" s="697"/>
      <c r="I164" s="697"/>
      <c r="J164" s="697"/>
      <c r="K164" s="697"/>
      <c r="L164" s="697"/>
      <c r="M164" s="697"/>
      <c r="N164" s="697"/>
      <c r="O164" s="697"/>
      <c r="P164" s="697"/>
      <c r="Q164" s="697"/>
      <c r="R164" s="697"/>
      <c r="S164" s="697"/>
      <c r="T164" s="697"/>
      <c r="U164" s="697"/>
      <c r="V164" s="697"/>
      <c r="W164" s="697"/>
      <c r="X164" s="697"/>
      <c r="Y164" s="697"/>
      <c r="Z164" s="697"/>
      <c r="AA164" s="697"/>
      <c r="AB164" s="697"/>
      <c r="AC164" s="697"/>
      <c r="AD164" s="697"/>
      <c r="AE164" s="697" t="str">
        <f>IFERROR(__xludf.DUMMYFUNCTION("""COMPUTED_VALUE"""),"n/a")</f>
        <v>n/a</v>
      </c>
      <c r="AF164" s="697"/>
      <c r="AG164" s="697"/>
      <c r="AH164" s="697"/>
      <c r="AI164" s="697"/>
      <c r="AJ164" s="699" t="str">
        <f>IFERROR(__xludf.DUMMYFUNCTION("""COMPUTED_VALUE"""),"Richards")</f>
        <v>Richards</v>
      </c>
      <c r="AK164" s="697" t="str">
        <f>IFERROR(__xludf.DUMMYFUNCTION("""COMPUTED_VALUE"""),"26.1% of nodules contained only dead worms (range = 20–31.3%). Male worms were found in 27.6% of nodules (range = 21.9–40%); 97% of male worms were living, and 94% of those that could be assessed contained Wolbachia . Differences between groups were not s"&amp;"tatistically significant. As in the WSP analysis, we limited our analysis for reproductive activity to the subset of 87 nodules that contained only live female worm segments. Overall, 27.6% of female worms were fertile, ranging from 25% (RIF) to 33.3% (AZ"&amp;"T) and differences between groups were not statistically significant")</f>
        <v>26.1% of nodules contained only dead worms (range = 20–31.3%). Male worms were found in 27.6% of nodules (range = 21.9–40%); 97% of male worms were living, and 94% of those that could be assessed contained Wolbachia . Differences between groups were not statistically significant. As in the WSP analysis, we limited our analysis for reproductive activity to the subset of 87 nodules that contained only live female worm segments. Overall, 27.6% of female worms were fertile, ranging from 25% (RIF) to 33.3% (AZT) and differences between groups were not statistically significant</v>
      </c>
      <c r="AL164" s="697"/>
      <c r="AM164" s="697"/>
      <c r="AN164" s="697"/>
      <c r="AO164" s="697"/>
      <c r="AP164" s="697" t="str">
        <f>IFERROR(__xludf.DUMMYFUNCTION("""COMPUTED_VALUE"""),"Nodulectomy: mf positive")</f>
        <v>Nodulectomy: mf positive</v>
      </c>
      <c r="AQ164" s="697" t="str">
        <f>IFERROR(__xludf.DUMMYFUNCTION("""COMPUTED_VALUE"""),"Guatemala City")</f>
        <v>Guatemala City</v>
      </c>
      <c r="AR164" s="697">
        <f>IFERROR(__xludf.DUMMYFUNCTION("""COMPUTED_VALUE"""),2007.0)</f>
        <v>2007</v>
      </c>
      <c r="AS164" s="697">
        <f>IFERROR(__xludf.DUMMYFUNCTION("""COMPUTED_VALUE"""),20.0)</f>
        <v>20</v>
      </c>
      <c r="AT164" s="697" t="str">
        <f>IFERROR(__xludf.DUMMYFUNCTION("""COMPUTED_VALUE"""),"9 months")</f>
        <v>9 months</v>
      </c>
      <c r="AU164" s="699" t="str">
        <f>IFERROR(__xludf.DUMMYFUNCTION("""COMPUTED_VALUE"""),"Frank O. Richards Jr., Josef Amann, Byron Arana, George Punkosdy, Robert Klein, Carlos Blanco, Beatriz Lopez, Carlos Mendoza, Alfredo Domínguez, Jeannette Guarner, James H. Maguire, Mark Eberhard. No Depletion of Wolbachia from Onchocerca volvulus after a"&amp;" Short Course of Rifampin and/or Azithromycin, The American Journal of Tropical Medicine and Hygiene, 2007, 878-882,")</f>
        <v>Frank O. Richards Jr., Josef Amann, Byron Arana, George Punkosdy, Robert Klein, Carlos Blanco, Beatriz Lopez, Carlos Mendoza, Alfredo Domínguez, Jeannette Guarner, James H. Maguire, Mark Eberhard. No Depletion of Wolbachia from Onchocerca volvulus after a Short Course of Rifampin and/or Azithromycin, The American Journal of Tropical Medicine and Hygiene, 2007, 878-882,</v>
      </c>
      <c r="AV164" s="697" t="str">
        <f>IFERROR(__xludf.DUMMYFUNCTION("""COMPUTED_VALUE"""),"80%M")</f>
        <v>80%M</v>
      </c>
      <c r="AW164" s="697" t="str">
        <f>IFERROR(__xludf.DUMMYFUNCTION("""COMPUTED_VALUE"""),"5-45")</f>
        <v>5-45</v>
      </c>
      <c r="AX164" s="697" t="str">
        <f>IFERROR(__xludf.DUMMYFUNCTION("""COMPUTED_VALUE"""),"Children ≤ 10 years of age were randomized separately because they were likely to have younger O. volvulus worms exposed to less ivermectin treatment. ")</f>
        <v>Children ≤ 10 years of age were randomized separately because they were likely to have younger O. volvulus worms exposed to less ivermectin treatment. </v>
      </c>
      <c r="AY164" s="697" t="str">
        <f>IFERROR(__xludf.DUMMYFUNCTION("""COMPUTED_VALUE"""),"no")</f>
        <v>no</v>
      </c>
      <c r="AZ164" s="697" t="str">
        <f>IFERROR(__xludf.DUMMYFUNCTION("""COMPUTED_VALUE"""),"yes")</f>
        <v>yes</v>
      </c>
      <c r="BA164" s="697"/>
      <c r="BB164" s="697"/>
      <c r="BC164" s="697" t="str">
        <f>IFERROR(__xludf.DUMMYFUNCTION("""COMPUTED_VALUE"""),"Overall, 93.1% of living female worms contained WSP (Figure 1⇓), and less than 10% of positive samples were weakly staining (1+). Combined reproductive and lateral cord WSP results ranged from a low of 85.7% in the RIF group to 100% in the AZT and COMB gr"&amp;"oups, but these differences were not statistically significant when analyzed qualitatively and semiquantitatively")</f>
        <v>Overall, 93.1% of living female worms contained WSP (Figure 1⇓), and less than 10% of positive samples were weakly staining (1+). Combined reproductive and lateral cord WSP results ranged from a low of 85.7% in the RIF group to 100% in the AZT and COMB groups, but these differences were not statistically significant when analyzed qualitatively and semiquantitatively</v>
      </c>
      <c r="BD164" s="697"/>
      <c r="BE164" s="697"/>
      <c r="BF164" s="697"/>
      <c r="BG164" s="697"/>
    </row>
    <row r="165">
      <c r="A165" s="697"/>
      <c r="B165" s="699" t="str">
        <f>IFERROR(__xludf.DUMMYFUNCTION("""COMPUTED_VALUE"""),"Richards")</f>
        <v>Richards</v>
      </c>
      <c r="C165" s="697" t="str">
        <f>IFERROR(__xludf.DUMMYFUNCTION("""COMPUTED_VALUE"""),"Guatemala")</f>
        <v>Guatemala</v>
      </c>
      <c r="D165" s="697" t="str">
        <f>IFERROR(__xludf.DUMMYFUNCTION("""COMPUTED_VALUE"""),"Rifampicin")</f>
        <v>Rifampicin</v>
      </c>
      <c r="E165" s="697" t="str">
        <f>IFERROR(__xludf.DUMMYFUNCTION("""COMPUTED_VALUE"""),"20mg/kg")</f>
        <v>20mg/kg</v>
      </c>
      <c r="F165" s="697">
        <f>IFERROR(__xludf.DUMMYFUNCTION("""COMPUTED_VALUE"""),1.0)</f>
        <v>1</v>
      </c>
      <c r="G165" s="697" t="str">
        <f>IFERROR(__xludf.DUMMYFUNCTION("""COMPUTED_VALUE"""),"max: 600mg/day")</f>
        <v>max: 600mg/day</v>
      </c>
      <c r="H165" s="697"/>
      <c r="I165" s="697"/>
      <c r="J165" s="697"/>
      <c r="K165" s="697"/>
      <c r="L165" s="697"/>
      <c r="M165" s="697"/>
      <c r="N165" s="697"/>
      <c r="O165" s="697"/>
      <c r="P165" s="697"/>
      <c r="Q165" s="697"/>
      <c r="R165" s="697"/>
      <c r="S165" s="697"/>
      <c r="T165" s="697"/>
      <c r="U165" s="697"/>
      <c r="V165" s="697"/>
      <c r="W165" s="697"/>
      <c r="X165" s="697"/>
      <c r="Y165" s="697"/>
      <c r="Z165" s="697"/>
      <c r="AA165" s="697"/>
      <c r="AB165" s="697"/>
      <c r="AC165" s="697"/>
      <c r="AD165" s="697"/>
      <c r="AE165" s="697" t="str">
        <f>IFERROR(__xludf.DUMMYFUNCTION("""COMPUTED_VALUE"""),"n/a")</f>
        <v>n/a</v>
      </c>
      <c r="AF165" s="697"/>
      <c r="AG165" s="697"/>
      <c r="AH165" s="697"/>
      <c r="AI165" s="697"/>
      <c r="AJ165" s="699" t="str">
        <f>IFERROR(__xludf.DUMMYFUNCTION("""COMPUTED_VALUE"""),"Richards")</f>
        <v>Richards</v>
      </c>
      <c r="AK165" s="697" t="str">
        <f>IFERROR(__xludf.DUMMYFUNCTION("""COMPUTED_VALUE"""),"26.1% of nodules contained only dead worms (range = 20–31.3%). Male worms were found in 27.6% of nodules (range = 21.9–40%); 97% of male worms were living, and 94% of those that could be assessed contained Wolbachia . Differences between groups were not s"&amp;"tatistically significant. As in the WSP analysis, we limited our analysis for reproductive activity to the subset of 87 nodules that contained only live female worm segments. Overall, 27.6% of female worms were fertile, ranging from 25% (RIF) to 33.3% (AZ"&amp;"T) and differences between groups were not statistically significant")</f>
        <v>26.1% of nodules contained only dead worms (range = 20–31.3%). Male worms were found in 27.6% of nodules (range = 21.9–40%); 97% of male worms were living, and 94% of those that could be assessed contained Wolbachia . Differences between groups were not statistically significant. As in the WSP analysis, we limited our analysis for reproductive activity to the subset of 87 nodules that contained only live female worm segments. Overall, 27.6% of female worms were fertile, ranging from 25% (RIF) to 33.3% (AZT) and differences between groups were not statistically significant</v>
      </c>
      <c r="AL165" s="697"/>
      <c r="AM165" s="697"/>
      <c r="AN165" s="697"/>
      <c r="AO165" s="697"/>
      <c r="AP165" s="697" t="str">
        <f>IFERROR(__xludf.DUMMYFUNCTION("""COMPUTED_VALUE"""),"Nodulectomy: mf positive")</f>
        <v>Nodulectomy: mf positive</v>
      </c>
      <c r="AQ165" s="697" t="str">
        <f>IFERROR(__xludf.DUMMYFUNCTION("""COMPUTED_VALUE"""),"Guatemala City")</f>
        <v>Guatemala City</v>
      </c>
      <c r="AR165" s="697">
        <f>IFERROR(__xludf.DUMMYFUNCTION("""COMPUTED_VALUE"""),2007.0)</f>
        <v>2007</v>
      </c>
      <c r="AS165" s="697">
        <f>IFERROR(__xludf.DUMMYFUNCTION("""COMPUTED_VALUE"""),17.0)</f>
        <v>17</v>
      </c>
      <c r="AT165" s="697" t="str">
        <f>IFERROR(__xludf.DUMMYFUNCTION("""COMPUTED_VALUE"""),"9 months")</f>
        <v>9 months</v>
      </c>
      <c r="AU165" s="699" t="str">
        <f>IFERROR(__xludf.DUMMYFUNCTION("""COMPUTED_VALUE"""),"Frank O. Richards Jr., Josef Amann, Byron Arana, George Punkosdy, Robert Klein, Carlos Blanco, Beatriz Lopez, Carlos Mendoza, Alfredo Domínguez, Jeannette Guarner, James H. Maguire, Mark Eberhard. No Depletion of Wolbachia from Onchocerca volvulus after a"&amp;" Short Course of Rifampin and/or Azithromycin, The American Journal of Tropical Medicine and Hygiene, 2007, 878-882,")</f>
        <v>Frank O. Richards Jr., Josef Amann, Byron Arana, George Punkosdy, Robert Klein, Carlos Blanco, Beatriz Lopez, Carlos Mendoza, Alfredo Domínguez, Jeannette Guarner, James H. Maguire, Mark Eberhard. No Depletion of Wolbachia from Onchocerca volvulus after a Short Course of Rifampin and/or Azithromycin, The American Journal of Tropical Medicine and Hygiene, 2007, 878-882,</v>
      </c>
      <c r="AV165" s="697" t="str">
        <f>IFERROR(__xludf.DUMMYFUNCTION("""COMPUTED_VALUE"""),"100%M")</f>
        <v>100%M</v>
      </c>
      <c r="AW165" s="697" t="str">
        <f>IFERROR(__xludf.DUMMYFUNCTION("""COMPUTED_VALUE"""),"5-61")</f>
        <v>5-61</v>
      </c>
      <c r="AX165" s="697" t="str">
        <f>IFERROR(__xludf.DUMMYFUNCTION("""COMPUTED_VALUE"""),"Children ≤ 10 years of age were randomized separately because they were likely to have younger O. volvulus worms exposed to less ivermectin treatment. ")</f>
        <v>Children ≤ 10 years of age were randomized separately because they were likely to have younger O. volvulus worms exposed to less ivermectin treatment. </v>
      </c>
      <c r="AY165" s="697" t="str">
        <f>IFERROR(__xludf.DUMMYFUNCTION("""COMPUTED_VALUE"""),"no")</f>
        <v>no</v>
      </c>
      <c r="AZ165" s="697" t="str">
        <f>IFERROR(__xludf.DUMMYFUNCTION("""COMPUTED_VALUE"""),"yes")</f>
        <v>yes</v>
      </c>
      <c r="BA165" s="697"/>
      <c r="BB165" s="697"/>
      <c r="BC165" s="697" t="str">
        <f>IFERROR(__xludf.DUMMYFUNCTION("""COMPUTED_VALUE"""),"Overall, 93.1% of living female worms contained WSP (Figure 1⇓), and less than 10% of positive samples were weakly staining (1+). Combined reproductive and lateral cord WSP results ranged from a low of 85.7% in the RIF group to 100% in the AZT and COMB gr"&amp;"oups, but these differences were not statistically significant when analyzed qualitatively and semiquantitatively")</f>
        <v>Overall, 93.1% of living female worms contained WSP (Figure 1⇓), and less than 10% of positive samples were weakly staining (1+). Combined reproductive and lateral cord WSP results ranged from a low of 85.7% in the RIF group to 100% in the AZT and COMB groups, but these differences were not statistically significant when analyzed qualitatively and semiquantitatively</v>
      </c>
      <c r="BD165" s="697"/>
      <c r="BE165" s="697"/>
      <c r="BF165" s="697"/>
      <c r="BG165" s="697"/>
    </row>
    <row r="166">
      <c r="A166" s="697"/>
      <c r="B166" s="699" t="str">
        <f>IFERROR(__xludf.DUMMYFUNCTION("""COMPUTED_VALUE"""),"Richards")</f>
        <v>Richards</v>
      </c>
      <c r="C166" s="697" t="str">
        <f>IFERROR(__xludf.DUMMYFUNCTION("""COMPUTED_VALUE"""),"Guatemala")</f>
        <v>Guatemala</v>
      </c>
      <c r="D166" s="697" t="str">
        <f>IFERROR(__xludf.DUMMYFUNCTION("""COMPUTED_VALUE"""),"Azithromycin &amp; rifampicin")</f>
        <v>Azithromycin &amp; rifampicin</v>
      </c>
      <c r="E166" s="697" t="str">
        <f>IFERROR(__xludf.DUMMYFUNCTION("""COMPUTED_VALUE"""),"12mg/kg, 20mg/kg")</f>
        <v>12mg/kg, 20mg/kg</v>
      </c>
      <c r="F166" s="697" t="str">
        <f>IFERROR(__xludf.DUMMYFUNCTION("""COMPUTED_VALUE"""),"1,1")</f>
        <v>1,1</v>
      </c>
      <c r="G166" s="697" t="str">
        <f>IFERROR(__xludf.DUMMYFUNCTION("""COMPUTED_VALUE"""),"max: 500, 600mg/day")</f>
        <v>max: 500, 600mg/day</v>
      </c>
      <c r="H166" s="697"/>
      <c r="I166" s="697"/>
      <c r="J166" s="697"/>
      <c r="K166" s="697"/>
      <c r="L166" s="697"/>
      <c r="M166" s="697"/>
      <c r="N166" s="697"/>
      <c r="O166" s="697"/>
      <c r="P166" s="697"/>
      <c r="Q166" s="697"/>
      <c r="R166" s="697"/>
      <c r="S166" s="697"/>
      <c r="T166" s="697"/>
      <c r="U166" s="697"/>
      <c r="V166" s="697"/>
      <c r="W166" s="697"/>
      <c r="X166" s="697"/>
      <c r="Y166" s="697"/>
      <c r="Z166" s="697"/>
      <c r="AA166" s="697"/>
      <c r="AB166" s="697"/>
      <c r="AC166" s="697"/>
      <c r="AD166" s="697"/>
      <c r="AE166" s="697" t="str">
        <f>IFERROR(__xludf.DUMMYFUNCTION("""COMPUTED_VALUE"""),"n/a")</f>
        <v>n/a</v>
      </c>
      <c r="AF166" s="697"/>
      <c r="AG166" s="697"/>
      <c r="AH166" s="697"/>
      <c r="AI166" s="697"/>
      <c r="AJ166" s="699" t="str">
        <f>IFERROR(__xludf.DUMMYFUNCTION("""COMPUTED_VALUE"""),"Richards")</f>
        <v>Richards</v>
      </c>
      <c r="AK166" s="697" t="str">
        <f>IFERROR(__xludf.DUMMYFUNCTION("""COMPUTED_VALUE"""),"26.1% of nodules contained only dead worms (range = 20–31.3%). Male worms were found in 27.6% of nodules (range = 21.9–40%); 97% of male worms were living, and 94% of those that could be assessed contained Wolbachia . Differences between groups were not s"&amp;"tatistically significant. As in the WSP analysis, we limited our analysis for reproductive activity to the subset of 87 nodules that contained only live female worm segments. Overall, 27.6% of female worms were fertile, ranging from 25% (RIF) to 33.3% (AZ"&amp;"T) and differences between groups were not statistically significant")</f>
        <v>26.1% of nodules contained only dead worms (range = 20–31.3%). Male worms were found in 27.6% of nodules (range = 21.9–40%); 97% of male worms were living, and 94% of those that could be assessed contained Wolbachia . Differences between groups were not statistically significant. As in the WSP analysis, we limited our analysis for reproductive activity to the subset of 87 nodules that contained only live female worm segments. Overall, 27.6% of female worms were fertile, ranging from 25% (RIF) to 33.3% (AZT) and differences between groups were not statistically significant</v>
      </c>
      <c r="AL166" s="697"/>
      <c r="AM166" s="697"/>
      <c r="AN166" s="697"/>
      <c r="AO166" s="697"/>
      <c r="AP166" s="697" t="str">
        <f>IFERROR(__xludf.DUMMYFUNCTION("""COMPUTED_VALUE"""),"Nodulectomy: mf positive")</f>
        <v>Nodulectomy: mf positive</v>
      </c>
      <c r="AQ166" s="697" t="str">
        <f>IFERROR(__xludf.DUMMYFUNCTION("""COMPUTED_VALUE"""),"Guatemala City")</f>
        <v>Guatemala City</v>
      </c>
      <c r="AR166" s="697">
        <f>IFERROR(__xludf.DUMMYFUNCTION("""COMPUTED_VALUE"""),2007.0)</f>
        <v>2007</v>
      </c>
      <c r="AS166" s="697">
        <f>IFERROR(__xludf.DUMMYFUNCTION("""COMPUTED_VALUE"""),20.0)</f>
        <v>20</v>
      </c>
      <c r="AT166" s="697" t="str">
        <f>IFERROR(__xludf.DUMMYFUNCTION("""COMPUTED_VALUE"""),"9 months")</f>
        <v>9 months</v>
      </c>
      <c r="AU166" s="699" t="str">
        <f>IFERROR(__xludf.DUMMYFUNCTION("""COMPUTED_VALUE"""),"Frank O. Richards Jr., Josef Amann, Byron Arana, George Punkosdy, Robert Klein, Carlos Blanco, Beatriz Lopez, Carlos Mendoza, Alfredo Domínguez, Jeannette Guarner, James H. Maguire, Mark Eberhard. No Depletion of Wolbachia from Onchocerca volvulus after a"&amp;" Short Course of Rifampin and/or Azithromycin, The American Journal of Tropical Medicine and Hygiene, 2007, 878-882,")</f>
        <v>Frank O. Richards Jr., Josef Amann, Byron Arana, George Punkosdy, Robert Klein, Carlos Blanco, Beatriz Lopez, Carlos Mendoza, Alfredo Domínguez, Jeannette Guarner, James H. Maguire, Mark Eberhard. No Depletion of Wolbachia from Onchocerca volvulus after a Short Course of Rifampin and/or Azithromycin, The American Journal of Tropical Medicine and Hygiene, 2007, 878-882,</v>
      </c>
      <c r="AV166" s="697" t="str">
        <f>IFERROR(__xludf.DUMMYFUNCTION("""COMPUTED_VALUE"""),"75%M")</f>
        <v>75%M</v>
      </c>
      <c r="AW166" s="697" t="str">
        <f>IFERROR(__xludf.DUMMYFUNCTION("""COMPUTED_VALUE"""),"7-61")</f>
        <v>7-61</v>
      </c>
      <c r="AX166" s="697" t="str">
        <f>IFERROR(__xludf.DUMMYFUNCTION("""COMPUTED_VALUE"""),"Children ≤ 10 years of age were randomized separately because they were likely to have younger O. volvulus worms exposed to less ivermectin treatment. ")</f>
        <v>Children ≤ 10 years of age were randomized separately because they were likely to have younger O. volvulus worms exposed to less ivermectin treatment. </v>
      </c>
      <c r="AY166" s="697" t="str">
        <f>IFERROR(__xludf.DUMMYFUNCTION("""COMPUTED_VALUE"""),"no")</f>
        <v>no</v>
      </c>
      <c r="AZ166" s="697" t="str">
        <f>IFERROR(__xludf.DUMMYFUNCTION("""COMPUTED_VALUE"""),"yes")</f>
        <v>yes</v>
      </c>
      <c r="BA166" s="697"/>
      <c r="BB166" s="697"/>
      <c r="BC166" s="697" t="str">
        <f>IFERROR(__xludf.DUMMYFUNCTION("""COMPUTED_VALUE"""),"Overall, 93.1% of living female worms contained WSP (Figure 1⇓), and less than 10% of positive samples were weakly staining (1+). Combined reproductive and lateral cord WSP results ranged from a low of 85.7% in the RIF group to 100% in the AZT and COMB gr"&amp;"oups, but these differences were not statistically significant when analyzed qualitatively and semiquantitatively")</f>
        <v>Overall, 93.1% of living female worms contained WSP (Figure 1⇓), and less than 10% of positive samples were weakly staining (1+). Combined reproductive and lateral cord WSP results ranged from a low of 85.7% in the RIF group to 100% in the AZT and COMB groups, but these differences were not statistically significant when analyzed qualitatively and semiquantitatively</v>
      </c>
      <c r="BD166" s="697"/>
      <c r="BE166" s="697"/>
      <c r="BF166" s="697"/>
      <c r="BG166" s="697"/>
    </row>
    <row r="167">
      <c r="A167" s="697" t="str">
        <f>IFERROR(__xludf.DUMMYFUNCTION("""COMPUTED_VALUE"""),"2 New Hoerauf's-&gt;")</f>
        <v>2 New Hoerauf's-&gt;</v>
      </c>
      <c r="B167" s="699" t="str">
        <f>IFERROR(__xludf.DUMMYFUNCTION("""COMPUTED_VALUE"""),"Hoerauf")</f>
        <v>Hoerauf</v>
      </c>
      <c r="C167" s="697" t="str">
        <f>IFERROR(__xludf.DUMMYFUNCTION("""COMPUTED_VALUE"""),"Ghana")</f>
        <v>Ghana</v>
      </c>
      <c r="D167" s="697" t="str">
        <f>IFERROR(__xludf.DUMMYFUNCTION("""COMPUTED_VALUE"""),"Azithromycin")</f>
        <v>Azithromycin</v>
      </c>
      <c r="E167" s="697" t="str">
        <f>IFERROR(__xludf.DUMMYFUNCTION("""COMPUTED_VALUE"""),"250mg")</f>
        <v>250mg</v>
      </c>
      <c r="F167" s="697" t="str">
        <f>IFERROR(__xludf.DUMMYFUNCTION("""COMPUTED_VALUE"""),"1/day")</f>
        <v>1/day</v>
      </c>
      <c r="G167" s="697" t="str">
        <f>IFERROR(__xludf.DUMMYFUNCTION("""COMPUTED_VALUE"""),"10,500mg")</f>
        <v>10,500mg</v>
      </c>
      <c r="H167" s="697"/>
      <c r="I167" s="697"/>
      <c r="J167" s="697"/>
      <c r="K167" s="697"/>
      <c r="L167" s="697"/>
      <c r="M167" s="697"/>
      <c r="N167" s="697"/>
      <c r="O167" s="697"/>
      <c r="P167" s="697"/>
      <c r="Q167" s="697"/>
      <c r="R167" s="697"/>
      <c r="S167" s="697"/>
      <c r="T167" s="697"/>
      <c r="U167" s="697"/>
      <c r="V167" s="697"/>
      <c r="W167" s="697"/>
      <c r="X167" s="697"/>
      <c r="Y167" s="697"/>
      <c r="Z167" s="697"/>
      <c r="AA167" s="697"/>
      <c r="AB167" s="697"/>
      <c r="AC167" s="697"/>
      <c r="AD167" s="697"/>
      <c r="AE167" s="697" t="str">
        <f>IFERROR(__xludf.DUMMYFUNCTION("""COMPUTED_VALUE"""),"n/a")</f>
        <v>n/a</v>
      </c>
      <c r="AF167" s="697"/>
      <c r="AG167" s="697"/>
      <c r="AH167" s="697"/>
      <c r="AI167" s="697"/>
      <c r="AJ167" s="699" t="str">
        <f>IFERROR(__xludf.DUMMYFUNCTION("""COMPUTED_VALUE"""),"Hoerauf")</f>
        <v>Hoerauf</v>
      </c>
      <c r="AK167" s="697" t="str">
        <f>IFERROR(__xludf.DUMMYFUNCTION("""COMPUTED_VALUE"""),"Fifty-three per cent of living female worms still displayed normal embryogenesis, a 68% of nodules from this group at 12 months had mf in the tissue of the nodule (Table 2). These proportions were similar to those of the untreated group and to the 6-month"&amp;" point of time and the 1,200-mg/week regimen. In contrast, in the earlier doxycycline study, only 1% of females showed normal mf production, and only 2% of the 45 nodules analysed contained mf 11 months after doxycyclin")</f>
        <v>Fifty-three per cent of living female worms still displayed normal embryogenesis, a 68% of nodules from this group at 12 months had mf in the tissue of the nodule (Table 2). These proportions were similar to those of the untreated group and to the 6-month point of time and the 1,200-mg/week regimen. In contrast, in the earlier doxycycline study, only 1% of females showed normal mf production, and only 2% of the 45 nodules analysed contained mf 11 months after doxycyclin</v>
      </c>
      <c r="AL167" s="697"/>
      <c r="AM167" s="697"/>
      <c r="AN167" s="697"/>
      <c r="AO167" s="697"/>
      <c r="AP167" s="697" t="str">
        <f>IFERROR(__xludf.DUMMYFUNCTION("""COMPUTED_VALUE"""),"Nodulectomy: mf positive")</f>
        <v>Nodulectomy: mf positive</v>
      </c>
      <c r="AQ167" s="697" t="str">
        <f>IFERROR(__xludf.DUMMYFUNCTION("""COMPUTED_VALUE"""),"Upper Denkyira district in the Central Region of Ghana")</f>
        <v>Upper Denkyira district in the Central Region of Ghana</v>
      </c>
      <c r="AR167" s="697">
        <f>IFERROR(__xludf.DUMMYFUNCTION("""COMPUTED_VALUE"""),2002.0)</f>
        <v>2002</v>
      </c>
      <c r="AS167" s="697">
        <f>IFERROR(__xludf.DUMMYFUNCTION("""COMPUTED_VALUE"""),23.0)</f>
        <v>23</v>
      </c>
      <c r="AT167" s="697" t="str">
        <f>IFERROR(__xludf.DUMMYFUNCTION("""COMPUTED_VALUE"""),"12 months")</f>
        <v>12 months</v>
      </c>
      <c r="AU167" s="697" t="str">
        <f>IFERROR(__xludf.DUMMYFUNCTION("""COMPUTED_VALUE"""),"Hoerauf, A., Marfo-Debrekyei, Y., Büttner, M., Debrah, A. Y., Konadu, P., Mand, S., . . . Büttner, D. W. (2008). Effects of 6-week azithromycin treatment on the Wolbachia endobacteria of Onchocerca volvulus. Parasitology Research, 103(2), 279-286. doi:10."&amp;"1007/s00436-008-0964-x")</f>
        <v>Hoerauf, A., Marfo-Debrekyei, Y., Büttner, M., Debrah, A. Y., Konadu, P., Mand, S., . . . Büttner, D. W. (2008). Effects of 6-week azithromycin treatment on the Wolbachia endobacteria of Onchocerca volvulus. Parasitology Research, 103(2), 279-286. doi:10.1007/s00436-008-0964-x</v>
      </c>
      <c r="AV167" s="697" t="str">
        <f>IFERROR(__xludf.DUMMYFUNCTION("""COMPUTED_VALUE"""),"100%M")</f>
        <v>100%M</v>
      </c>
      <c r="AW167" s="697" t="str">
        <f>IFERROR(__xludf.DUMMYFUNCTION("""COMPUTED_VALUE"""),"18-60")</f>
        <v>18-60</v>
      </c>
      <c r="AX167" s="697" t="str">
        <f>IFERROR(__xludf.DUMMYFUNCTION("""COMPUTED_VALUE"""),"Participants with a body weight of at least 40 kg, in good health without any clinical condition requiring chronic medication, had to have at least two palpable nodules (onchocercomas) at different sites of the body. Exclusion criteria encompassed a histo"&amp;"ry of intolerance to azithromycin or erythromycin, of alcohol or drug abuse, pregnancy and breastfeeding.")</f>
        <v>Participants with a body weight of at least 40 kg, in good health without any clinical condition requiring chronic medication, had to have at least two palpable nodules (onchocercomas) at different sites of the body. Exclusion criteria encompassed a history of intolerance to azithromycin or erythromycin, of alcohol or drug abuse, pregnancy and breastfeeding.</v>
      </c>
      <c r="AY167" s="697"/>
      <c r="AZ167" s="697" t="str">
        <f>IFERROR(__xludf.DUMMYFUNCTION("""COMPUTED_VALUE"""),"no")</f>
        <v>no</v>
      </c>
      <c r="BA167" s="697"/>
      <c r="BB167" s="697"/>
      <c r="BC167" s="697" t="str">
        <f>IFERROR(__xludf.DUMMYFUNCTION("""COMPUTED_VALUE"""),"The mf densities in the skin before azithromycin treatment are shown in Table 1. At the re-examination 12 months later, they had not significantly changed in either treatment group:")</f>
        <v>The mf densities in the skin before azithromycin treatment are shown in Table 1. At the re-examination 12 months later, they had not significantly changed in either treatment group:</v>
      </c>
      <c r="BD167" s="697"/>
      <c r="BE167" s="697"/>
      <c r="BF167" s="697"/>
      <c r="BG167" s="697"/>
    </row>
    <row r="168">
      <c r="A168" s="697"/>
      <c r="B168" s="699" t="str">
        <f>IFERROR(__xludf.DUMMYFUNCTION("""COMPUTED_VALUE"""),"Hoerauf")</f>
        <v>Hoerauf</v>
      </c>
      <c r="C168" s="697" t="str">
        <f>IFERROR(__xludf.DUMMYFUNCTION("""COMPUTED_VALUE"""),"Ghana")</f>
        <v>Ghana</v>
      </c>
      <c r="D168" s="697" t="str">
        <f>IFERROR(__xludf.DUMMYFUNCTION("""COMPUTED_VALUE"""),"Azithromycin")</f>
        <v>Azithromycin</v>
      </c>
      <c r="E168" s="697" t="str">
        <f>IFERROR(__xludf.DUMMYFUNCTION("""COMPUTED_VALUE"""),"1200mg")</f>
        <v>1200mg</v>
      </c>
      <c r="F168" s="697" t="str">
        <f>IFERROR(__xludf.DUMMYFUNCTION("""COMPUTED_VALUE"""),"1/wk")</f>
        <v>1/wk</v>
      </c>
      <c r="G168" s="697" t="str">
        <f>IFERROR(__xludf.DUMMYFUNCTION("""COMPUTED_VALUE"""),"7,200mg")</f>
        <v>7,200mg</v>
      </c>
      <c r="H168" s="697"/>
      <c r="I168" s="697"/>
      <c r="J168" s="697"/>
      <c r="K168" s="697"/>
      <c r="L168" s="697"/>
      <c r="M168" s="697"/>
      <c r="N168" s="697"/>
      <c r="O168" s="697"/>
      <c r="P168" s="697"/>
      <c r="Q168" s="697"/>
      <c r="R168" s="697"/>
      <c r="S168" s="697"/>
      <c r="T168" s="697"/>
      <c r="U168" s="697"/>
      <c r="V168" s="697"/>
      <c r="W168" s="697"/>
      <c r="X168" s="697"/>
      <c r="Y168" s="697"/>
      <c r="Z168" s="697"/>
      <c r="AA168" s="697"/>
      <c r="AB168" s="697"/>
      <c r="AC168" s="697"/>
      <c r="AD168" s="697"/>
      <c r="AE168" s="697" t="str">
        <f>IFERROR(__xludf.DUMMYFUNCTION("""COMPUTED_VALUE"""),"n/a")</f>
        <v>n/a</v>
      </c>
      <c r="AF168" s="697"/>
      <c r="AG168" s="697"/>
      <c r="AH168" s="697"/>
      <c r="AI168" s="697"/>
      <c r="AJ168" s="699" t="str">
        <f>IFERROR(__xludf.DUMMYFUNCTION("""COMPUTED_VALUE"""),"Hoerauf")</f>
        <v>Hoerauf</v>
      </c>
      <c r="AK168" s="697" t="str">
        <f>IFERROR(__xludf.DUMMYFUNCTION("""COMPUTED_VALUE"""),"Fifty-three per cent of living female worms still displayed normal embryogenesis, a 68% of nodules from this group at 12 months had mf in the tissue of the nodule (Table 2). These proportions were similar to those of the untreated group and to the 6-month"&amp;" point of time and the 1,200-mg/week regimen. In contrast, in the earlier doxycycline study, only 1% of females showed normal mf production, and only 2% of the 45 nodules analysed contained mf 11 months after doxycyclin")</f>
        <v>Fifty-three per cent of living female worms still displayed normal embryogenesis, a 68% of nodules from this group at 12 months had mf in the tissue of the nodule (Table 2). These proportions were similar to those of the untreated group and to the 6-month point of time and the 1,200-mg/week regimen. In contrast, in the earlier doxycycline study, only 1% of females showed normal mf production, and only 2% of the 45 nodules analysed contained mf 11 months after doxycyclin</v>
      </c>
      <c r="AL168" s="697"/>
      <c r="AM168" s="697"/>
      <c r="AN168" s="697"/>
      <c r="AO168" s="697"/>
      <c r="AP168" s="697" t="str">
        <f>IFERROR(__xludf.DUMMYFUNCTION("""COMPUTED_VALUE"""),"Nodulectomy: mf positive")</f>
        <v>Nodulectomy: mf positive</v>
      </c>
      <c r="AQ168" s="697" t="str">
        <f>IFERROR(__xludf.DUMMYFUNCTION("""COMPUTED_VALUE"""),"Upper Denkyira district in the Central Region of Ghana")</f>
        <v>Upper Denkyira district in the Central Region of Ghana</v>
      </c>
      <c r="AR168" s="697">
        <f>IFERROR(__xludf.DUMMYFUNCTION("""COMPUTED_VALUE"""),2002.0)</f>
        <v>2002</v>
      </c>
      <c r="AS168" s="697">
        <f>IFERROR(__xludf.DUMMYFUNCTION("""COMPUTED_VALUE"""),14.0)</f>
        <v>14</v>
      </c>
      <c r="AT168" s="697" t="str">
        <f>IFERROR(__xludf.DUMMYFUNCTION("""COMPUTED_VALUE"""),"12 months")</f>
        <v>12 months</v>
      </c>
      <c r="AU168" s="697" t="str">
        <f>IFERROR(__xludf.DUMMYFUNCTION("""COMPUTED_VALUE"""),"Hoerauf, A., Marfo-Debrekyei, Y., Büttner, M., Debrah, A. Y., Konadu, P., Mand, S., . . . Büttner, D. W. (2008). Effects of 6-week azithromycin treatment on the Wolbachia endobacteria of Onchocerca volvulus. Parasitology Research, 103(2), 279-286. doi:10."&amp;"1007/s00436-008-0964-x")</f>
        <v>Hoerauf, A., Marfo-Debrekyei, Y., Büttner, M., Debrah, A. Y., Konadu, P., Mand, S., . . . Büttner, D. W. (2008). Effects of 6-week azithromycin treatment on the Wolbachia endobacteria of Onchocerca volvulus. Parasitology Research, 103(2), 279-286. doi:10.1007/s00436-008-0964-x</v>
      </c>
      <c r="AV168" s="697" t="str">
        <f>IFERROR(__xludf.DUMMYFUNCTION("""COMPUTED_VALUE"""),"100%M")</f>
        <v>100%M</v>
      </c>
      <c r="AW168" s="697" t="str">
        <f>IFERROR(__xludf.DUMMYFUNCTION("""COMPUTED_VALUE"""),"18-60")</f>
        <v>18-60</v>
      </c>
      <c r="AX168" s="697" t="str">
        <f>IFERROR(__xludf.DUMMYFUNCTION("""COMPUTED_VALUE"""),"Participants with a body weight of at least 40 kg, in good health without any clinical condition requiring chronic medication, had to have at least two palpable nodules (onchocercomas) at different sites of the body. Exclusion criteria encompassed a histo"&amp;"ry of intolerance to azithromycin or erythromycin, of alcohol or drug abuse, pregnancy and breastfeeding.")</f>
        <v>Participants with a body weight of at least 40 kg, in good health without any clinical condition requiring chronic medication, had to have at least two palpable nodules (onchocercomas) at different sites of the body. Exclusion criteria encompassed a history of intolerance to azithromycin or erythromycin, of alcohol or drug abuse, pregnancy and breastfeeding.</v>
      </c>
      <c r="AY168" s="697"/>
      <c r="AZ168" s="697" t="str">
        <f>IFERROR(__xludf.DUMMYFUNCTION("""COMPUTED_VALUE"""),"no")</f>
        <v>no</v>
      </c>
      <c r="BA168" s="697"/>
      <c r="BB168" s="697"/>
      <c r="BC168" s="697" t="str">
        <f>IFERROR(__xludf.DUMMYFUNCTION("""COMPUTED_VALUE"""),"The mf densities in the skin before azithromycin treatment are shown in Table 1. At the re-examination 12 months later, they had not significantly changed in either treatment group:")</f>
        <v>The mf densities in the skin before azithromycin treatment are shown in Table 1. At the re-examination 12 months later, they had not significantly changed in either treatment group:</v>
      </c>
      <c r="BD168" s="697"/>
      <c r="BE168" s="697"/>
      <c r="BF168" s="697"/>
      <c r="BG168" s="697"/>
    </row>
    <row r="169">
      <c r="A169" s="697"/>
      <c r="B169" s="699" t="str">
        <f>IFERROR(__xludf.DUMMYFUNCTION("""COMPUTED_VALUE"""),"Hoerauf")</f>
        <v>Hoerauf</v>
      </c>
      <c r="C169" s="697" t="str">
        <f>IFERROR(__xludf.DUMMYFUNCTION("""COMPUTED_VALUE"""),"Ghana")</f>
        <v>Ghana</v>
      </c>
      <c r="D169" s="697" t="str">
        <f>IFERROR(__xludf.DUMMYFUNCTION("""COMPUTED_VALUE"""),"Doxycycline &amp; Ivermectin")</f>
        <v>Doxycycline &amp; Ivermectin</v>
      </c>
      <c r="E169" s="697" t="str">
        <f>IFERROR(__xludf.DUMMYFUNCTION("""COMPUTED_VALUE"""),"100mg, 150ug/kg")</f>
        <v>100mg, 150ug/kg</v>
      </c>
      <c r="F169" s="697" t="str">
        <f>IFERROR(__xludf.DUMMYFUNCTION("""COMPUTED_VALUE"""),"1/day, 1")</f>
        <v>1/day, 1</v>
      </c>
      <c r="G169" s="697" t="str">
        <f>IFERROR(__xludf.DUMMYFUNCTION("""COMPUTED_VALUE"""),"4200mg,150ug/kg")</f>
        <v>4200mg,150ug/kg</v>
      </c>
      <c r="H169" s="697"/>
      <c r="I169" s="697"/>
      <c r="J169" s="697"/>
      <c r="K169" s="697"/>
      <c r="L169" s="697"/>
      <c r="M169" s="697"/>
      <c r="N169" s="697"/>
      <c r="O169" s="697"/>
      <c r="P169" s="697"/>
      <c r="Q169" s="697"/>
      <c r="R169" s="697"/>
      <c r="S169" s="697"/>
      <c r="T169" s="697"/>
      <c r="U169" s="697"/>
      <c r="V169" s="697"/>
      <c r="W169" s="697"/>
      <c r="X169" s="697"/>
      <c r="Y169" s="697"/>
      <c r="Z169" s="697"/>
      <c r="AA169" s="697"/>
      <c r="AB169" s="697"/>
      <c r="AC169" s="697"/>
      <c r="AD169" s="697"/>
      <c r="AE169" s="697" t="str">
        <f>IFERROR(__xludf.DUMMYFUNCTION("""COMPUTED_VALUE"""),"n/a")</f>
        <v>n/a</v>
      </c>
      <c r="AF169" s="697"/>
      <c r="AG169" s="697"/>
      <c r="AH169" s="697"/>
      <c r="AI169" s="697"/>
      <c r="AJ169" s="699" t="str">
        <f>IFERROR(__xludf.DUMMYFUNCTION("""COMPUTED_VALUE"""),"Hoerauf")</f>
        <v>Hoerauf</v>
      </c>
      <c r="AK169" s="697" t="str">
        <f>IFERROR(__xludf.DUMMYFUNCTION("""COMPUTED_VALUE"""),"The number of skin nodules was equivalent in all groups (doxycycline plus ivermectin treated, subgroup A 4·8[2·9], subgroup B: 4·4[2·0]; ivermectin only treated, subgroup A 3·9[2·0], subgroup B 5·3[2·4]).")</f>
        <v>The number of skin nodules was equivalent in all groups (doxycycline plus ivermectin treated, subgroup A 4·8[2·9], subgroup B: 4·4[2·0]; ivermectin only treated, subgroup A 3·9[2·0], subgroup B 5·3[2·4]).</v>
      </c>
      <c r="AL169" s="697"/>
      <c r="AM169" s="697"/>
      <c r="AN169" s="697"/>
      <c r="AO169" s="697"/>
      <c r="AP169" s="697" t="str">
        <f>IFERROR(__xludf.DUMMYFUNCTION("""COMPUTED_VALUE"""),"mf levels in doxycycline plus ivermectin-treated patients remained very low and became significantly different from levels in patients on ivermectin only (figure 1). In addition, all patients in subgroup B who received doxycycline plus ivermectin and were"&amp;" examined at 19 months after study entry were mf-negative")</f>
        <v>mf levels in doxycycline plus ivermectin-treated patients remained very low and became significantly different from levels in patients on ivermectin only (figure 1). In addition, all patients in subgroup B who received doxycycline plus ivermectin and were examined at 19 months after study entry were mf-negative</v>
      </c>
      <c r="AQ169" s="697" t="str">
        <f>IFERROR(__xludf.DUMMYFUNCTION("""COMPUTED_VALUE"""),"Ghana")</f>
        <v>Ghana</v>
      </c>
      <c r="AR169" s="697">
        <f>IFERROR(__xludf.DUMMYFUNCTION("""COMPUTED_VALUE"""),2001.0)</f>
        <v>2001</v>
      </c>
      <c r="AS169" s="697">
        <f>IFERROR(__xludf.DUMMYFUNCTION("""COMPUTED_VALUE"""),55.0)</f>
        <v>55</v>
      </c>
      <c r="AT169" s="697" t="str">
        <f>IFERROR(__xludf.DUMMYFUNCTION("""COMPUTED_VALUE"""),"19 months")</f>
        <v>19 months</v>
      </c>
      <c r="AU169" s="697" t="str">
        <f>IFERROR(__xludf.DUMMYFUNCTION("""COMPUTED_VALUE"""),"Hoerauf, A, Mand, S, Adjei, O, Fleischer, B, and Buttner, DW. Depletion of Wolbachia endobacteria in Onchocerca volvulus by doxycycline and microfilaridermia after ivermectin treatment. Lancet. 2001; 357: 1415–1416")</f>
        <v>Hoerauf, A, Mand, S, Adjei, O, Fleischer, B, and Buttner, DW. Depletion of Wolbachia endobacteria in Onchocerca volvulus by doxycycline and microfilaridermia after ivermectin treatment. Lancet. 2001; 357: 1415–1416</v>
      </c>
      <c r="AV169" s="697"/>
      <c r="AW169" s="697"/>
      <c r="AX169" s="697" t="str">
        <f>IFERROR(__xludf.DUMMYFUNCTION("""COMPUTED_VALUE"""),"Subjects were excluded from the study if they were pregnant or breast-feeding; had a hemoglobin level of 10 g per deciliter or less, a creatinine level greater than 1.4 mg per deciliter (123.8 μmol per liter), an alanine aminotransferase level greater tha"&amp;"n 45 U per liter, or a bilirubin level greater than 1.5 mg per deciliter (25.6 μmol per liter); weighed less than 40 kg; were classified as a heavy user of alcohol (i.e., drank more than one alcohol-containing drink per day); had a temperature higher than"&amp;" 37.5°C; had a serious medical illness; had a history of allergy to doxycycline; or had a suspected immunodeficiency")</f>
        <v>Subjects were excluded from the study if they were pregnant or breast-feeding; had a hemoglobin level of 10 g per deciliter or less, a creatinine level greater than 1.4 mg per deciliter (123.8 μmol per liter), an alanine aminotransferase level greater than 45 U per liter, or a bilirubin level greater than 1.5 mg per deciliter (25.6 μmol per liter); weighed less than 40 kg; were classified as a heavy user of alcohol (i.e., drank more than one alcohol-containing drink per day); had a temperature higher than 37.5°C; had a serious medical illness; had a history of allergy to doxycycline; or had a suspected immunodeficiency</v>
      </c>
      <c r="AY169" s="697"/>
      <c r="AZ169" s="697" t="str">
        <f>IFERROR(__xludf.DUMMYFUNCTION("""COMPUTED_VALUE"""),"no")</f>
        <v>no</v>
      </c>
      <c r="BA169" s="697"/>
      <c r="BB169" s="697"/>
      <c r="BC169" s="697" t="str">
        <f>IFERROR(__xludf.DUMMYFUNCTION("""COMPUTED_VALUE"""),"Doxycycline treatment alone led to a dramatic decrease in levels of M. perstans microfilariae, with median levels decreasing to 23% of pretreatment levels at 6 months after treatment and to 0% of pretreatment levels at 12 months after treatment, as compar"&amp;"ed with median levels in the no- treatment group that were 38% and 50% of baseline levels at 6 months and 12 months, r")</f>
        <v>Doxycycline treatment alone led to a dramatic decrease in levels of M. perstans microfilariae, with median levels decreasing to 23% of pretreatment levels at 6 months after treatment and to 0% of pretreatment levels at 12 months after treatment, as compared with median levels in the no- treatment group that were 38% and 50% of baseline levels at 6 months and 12 months, r</v>
      </c>
      <c r="BD169" s="697"/>
      <c r="BE169" s="697"/>
      <c r="BF169" s="697"/>
      <c r="BG169" s="697"/>
    </row>
    <row r="170">
      <c r="A170" s="697"/>
      <c r="B170" s="699" t="str">
        <f>IFERROR(__xludf.DUMMYFUNCTION("""COMPUTED_VALUE"""),"Hoerauf")</f>
        <v>Hoerauf</v>
      </c>
      <c r="C170" s="697" t="str">
        <f>IFERROR(__xludf.DUMMYFUNCTION("""COMPUTED_VALUE"""),"Ghana")</f>
        <v>Ghana</v>
      </c>
      <c r="D170" s="697" t="str">
        <f>IFERROR(__xludf.DUMMYFUNCTION("""COMPUTED_VALUE"""),"Ivermectin")</f>
        <v>Ivermectin</v>
      </c>
      <c r="E170" s="702" t="str">
        <f>IFERROR(__xludf.DUMMYFUNCTION("""COMPUTED_VALUE"""),",150ug/kg")</f>
        <v>,150ug/kg</v>
      </c>
      <c r="F170" s="697">
        <f>IFERROR(__xludf.DUMMYFUNCTION("""COMPUTED_VALUE"""),1.0)</f>
        <v>1</v>
      </c>
      <c r="G170" s="697" t="str">
        <f>IFERROR(__xludf.DUMMYFUNCTION("""COMPUTED_VALUE"""),"150ug/kg")</f>
        <v>150ug/kg</v>
      </c>
      <c r="H170" s="697"/>
      <c r="I170" s="697"/>
      <c r="J170" s="697"/>
      <c r="K170" s="697"/>
      <c r="L170" s="697"/>
      <c r="M170" s="697"/>
      <c r="N170" s="697"/>
      <c r="O170" s="697"/>
      <c r="P170" s="697"/>
      <c r="Q170" s="697"/>
      <c r="R170" s="697"/>
      <c r="S170" s="697"/>
      <c r="T170" s="697"/>
      <c r="U170" s="697"/>
      <c r="V170" s="697"/>
      <c r="W170" s="697"/>
      <c r="X170" s="697"/>
      <c r="Y170" s="697"/>
      <c r="Z170" s="697"/>
      <c r="AA170" s="697"/>
      <c r="AB170" s="697"/>
      <c r="AC170" s="697"/>
      <c r="AD170" s="697"/>
      <c r="AE170" s="697" t="str">
        <f>IFERROR(__xludf.DUMMYFUNCTION("""COMPUTED_VALUE"""),"n/a")</f>
        <v>n/a</v>
      </c>
      <c r="AF170" s="697"/>
      <c r="AG170" s="697"/>
      <c r="AH170" s="697"/>
      <c r="AI170" s="697"/>
      <c r="AJ170" s="699" t="str">
        <f>IFERROR(__xludf.DUMMYFUNCTION("""COMPUTED_VALUE"""),"Hoerauf")</f>
        <v>Hoerauf</v>
      </c>
      <c r="AK170" s="697" t="str">
        <f>IFERROR(__xludf.DUMMYFUNCTION("""COMPUTED_VALUE"""),"The number of skin nodules was equivalent in all groups (doxycycline plus ivermectin treated, subgroup A 4·8[2·9], subgroup B: 4·4[2·0]; ivermectin only treated, subgroup A 3·9[2·0], subgroup B 5·3[2·4]).")</f>
        <v>The number of skin nodules was equivalent in all groups (doxycycline plus ivermectin treated, subgroup A 4·8[2·9], subgroup B: 4·4[2·0]; ivermectin only treated, subgroup A 3·9[2·0], subgroup B 5·3[2·4]).</v>
      </c>
      <c r="AL170" s="697"/>
      <c r="AM170" s="697"/>
      <c r="AN170" s="697"/>
      <c r="AO170" s="697"/>
      <c r="AP170" s="697" t="str">
        <f>IFERROR(__xludf.DUMMYFUNCTION("""COMPUTED_VALUE"""),"After ivermectin administration, mf skin levels at first declined, as shown previously.3 In subgroup A, at 6 months after study entry (3·5 months after ivermectin administration), mf levels in both doxycycline plus ivermectin treated and ivermectin-only t"&amp;"reated patients had dropped below 1 mf/mg skin (figure 1). However, at later time points mf levels rose again in the ivermectin-only treated patients")</f>
        <v>After ivermectin administration, mf skin levels at first declined, as shown previously.3 In subgroup A, at 6 months after study entry (3·5 months after ivermectin administration), mf levels in both doxycycline plus ivermectin treated and ivermectin-only treated patients had dropped below 1 mf/mg skin (figure 1). However, at later time points mf levels rose again in the ivermectin-only treated patients</v>
      </c>
      <c r="AQ170" s="697" t="str">
        <f>IFERROR(__xludf.DUMMYFUNCTION("""COMPUTED_VALUE"""),"Ghana")</f>
        <v>Ghana</v>
      </c>
      <c r="AR170" s="697">
        <f>IFERROR(__xludf.DUMMYFUNCTION("""COMPUTED_VALUE"""),2001.0)</f>
        <v>2001</v>
      </c>
      <c r="AS170" s="697">
        <f>IFERROR(__xludf.DUMMYFUNCTION("""COMPUTED_VALUE"""),33.0)</f>
        <v>33</v>
      </c>
      <c r="AT170" s="697" t="str">
        <f>IFERROR(__xludf.DUMMYFUNCTION("""COMPUTED_VALUE"""),"19 months")</f>
        <v>19 months</v>
      </c>
      <c r="AU170" s="697" t="str">
        <f>IFERROR(__xludf.DUMMYFUNCTION("""COMPUTED_VALUE"""),"Hoerauf, A, Mand, S, Adjei, O, Fleischer, B, and Buttner, DW. Depletion of Wolbachia endobacteria in Onchocerca volvulus by doxycycline and microfilaridermia after ivermectin treatment. Lancet. 2001; 357: 1415–1416")</f>
        <v>Hoerauf, A, Mand, S, Adjei, O, Fleischer, B, and Buttner, DW. Depletion of Wolbachia endobacteria in Onchocerca volvulus by doxycycline and microfilaridermia after ivermectin treatment. Lancet. 2001; 357: 1415–1416</v>
      </c>
      <c r="AV170" s="697"/>
      <c r="AW170" s="697"/>
      <c r="AX170" s="697" t="str">
        <f>IFERROR(__xludf.DUMMYFUNCTION("""COMPUTED_VALUE"""),"Subjects were excluded from the study if they were pregnant or breast-feeding; had a hemoglobin level of 10 g per deciliter or less, a creatinine level greater than 1.4 mg per deciliter (123.8 μmol per liter), an alanine aminotransferase level greater tha"&amp;"n 45 U per liter, or a bilirubin level greater than 1.5 mg per deciliter (25.6 μmol per liter); weighed less than 40 kg; were classified as a heavy user of alcohol (i.e., drank more than one alcohol-containing drink per day); had a temperature higher than"&amp;" 37.5°C; had a serious medical illness; had a history of allergy to doxycycline; or had a suspected immunodeficiency")</f>
        <v>Subjects were excluded from the study if they were pregnant or breast-feeding; had a hemoglobin level of 10 g per deciliter or less, a creatinine level greater than 1.4 mg per deciliter (123.8 μmol per liter), an alanine aminotransferase level greater than 45 U per liter, or a bilirubin level greater than 1.5 mg per deciliter (25.6 μmol per liter); weighed less than 40 kg; were classified as a heavy user of alcohol (i.e., drank more than one alcohol-containing drink per day); had a temperature higher than 37.5°C; had a serious medical illness; had a history of allergy to doxycycline; or had a suspected immunodeficiency</v>
      </c>
      <c r="AY170" s="697"/>
      <c r="AZ170" s="697" t="str">
        <f>IFERROR(__xludf.DUMMYFUNCTION("""COMPUTED_VALUE"""),"no")</f>
        <v>no</v>
      </c>
      <c r="BA170" s="697"/>
      <c r="BB170" s="697"/>
      <c r="BC170" s="697" t="str">
        <f>IFERROR(__xludf.DUMMYFUNCTION("""COMPUTED_VALUE"""),"Doxycycline treatment alone led to a dramatic decrease in levels of M. perstans microfilariae, with median levels decreasing to 23% of pretreatment levels at 6 months after treatment and to 0% of pretreatment levels at 12 months after treatment, as compar"&amp;"ed with median levels in the no- treatment group that were 38% and 50% of baseline levels at 6 months and 12 months, r")</f>
        <v>Doxycycline treatment alone led to a dramatic decrease in levels of M. perstans microfilariae, with median levels decreasing to 23% of pretreatment levels at 6 months after treatment and to 0% of pretreatment levels at 12 months after treatment, as compared with median levels in the no- treatment group that were 38% and 50% of baseline levels at 6 months and 12 months, r</v>
      </c>
      <c r="BD170" s="697"/>
      <c r="BE170" s="697"/>
      <c r="BF170" s="697"/>
      <c r="BG170" s="697"/>
    </row>
    <row r="171">
      <c r="A171" s="697"/>
      <c r="B171" s="697"/>
      <c r="C171" s="697"/>
      <c r="D171" s="697"/>
      <c r="E171" s="697"/>
      <c r="F171" s="697"/>
      <c r="G171" s="697"/>
      <c r="H171" s="697"/>
      <c r="I171" s="697"/>
      <c r="J171" s="697"/>
      <c r="K171" s="697"/>
      <c r="L171" s="697"/>
      <c r="M171" s="697"/>
      <c r="N171" s="697"/>
      <c r="O171" s="697"/>
      <c r="P171" s="697"/>
      <c r="Q171" s="697"/>
      <c r="R171" s="697"/>
      <c r="S171" s="697"/>
      <c r="T171" s="697"/>
      <c r="U171" s="697"/>
      <c r="V171" s="697"/>
      <c r="W171" s="697"/>
      <c r="X171" s="697"/>
      <c r="Y171" s="697"/>
      <c r="Z171" s="697"/>
      <c r="AA171" s="697"/>
      <c r="AB171" s="697"/>
      <c r="AC171" s="697"/>
      <c r="AD171" s="697"/>
      <c r="AE171" s="697"/>
      <c r="AF171" s="697"/>
      <c r="AG171" s="697"/>
      <c r="AH171" s="697"/>
      <c r="AI171" s="697"/>
      <c r="AJ171" s="697"/>
      <c r="AK171" s="697"/>
      <c r="AL171" s="697"/>
      <c r="AM171" s="697"/>
      <c r="AN171" s="697"/>
      <c r="AO171" s="697"/>
      <c r="AP171" s="697"/>
      <c r="AQ171" s="697"/>
      <c r="AR171" s="697"/>
      <c r="AS171" s="697"/>
      <c r="AT171" s="697"/>
      <c r="AU171" s="697"/>
      <c r="AV171" s="697"/>
      <c r="AW171" s="697"/>
      <c r="AX171" s="697"/>
      <c r="AY171" s="697"/>
      <c r="AZ171" s="697"/>
      <c r="BA171" s="697"/>
      <c r="BB171" s="697"/>
      <c r="BC171" s="697"/>
      <c r="BD171" s="697"/>
      <c r="BE171" s="697"/>
      <c r="BF171" s="697"/>
      <c r="BG171" s="697"/>
    </row>
    <row r="172">
      <c r="A172" s="697" t="str">
        <f>IFERROR(__xludf.DUMMYFUNCTION("""COMPUTED_VALUE"""),"needs link")</f>
        <v>needs link</v>
      </c>
      <c r="B172" s="697"/>
      <c r="C172" s="697"/>
      <c r="D172" s="697"/>
      <c r="E172" s="697"/>
      <c r="F172" s="697"/>
      <c r="G172" s="697"/>
      <c r="H172" s="697"/>
      <c r="I172" s="697"/>
      <c r="J172" s="697"/>
      <c r="K172" s="697"/>
      <c r="L172" s="697"/>
      <c r="M172" s="697"/>
      <c r="N172" s="697"/>
      <c r="O172" s="697"/>
      <c r="P172" s="697"/>
      <c r="Q172" s="697"/>
      <c r="R172" s="697"/>
      <c r="S172" s="697"/>
      <c r="T172" s="697"/>
      <c r="U172" s="697"/>
      <c r="V172" s="697"/>
      <c r="W172" s="697"/>
      <c r="X172" s="697"/>
      <c r="Y172" s="697"/>
      <c r="Z172" s="697"/>
      <c r="AA172" s="697"/>
      <c r="AB172" s="697"/>
      <c r="AC172" s="697"/>
      <c r="AD172" s="697"/>
      <c r="AE172" s="697"/>
      <c r="AF172" s="697"/>
      <c r="AG172" s="697"/>
      <c r="AH172" s="697"/>
      <c r="AI172" s="697"/>
      <c r="AJ172" s="697"/>
      <c r="AK172" s="697"/>
      <c r="AL172" s="697"/>
      <c r="AM172" s="697"/>
      <c r="AN172" s="697"/>
      <c r="AO172" s="697"/>
      <c r="AP172" s="697"/>
      <c r="AQ172" s="697"/>
      <c r="AR172" s="697"/>
      <c r="AS172" s="697"/>
      <c r="AT172" s="697"/>
      <c r="AU172" s="697"/>
      <c r="AV172" s="697"/>
      <c r="AW172" s="697"/>
      <c r="AX172" s="697"/>
      <c r="AY172" s="697"/>
      <c r="AZ172" s="697"/>
      <c r="BA172" s="697"/>
      <c r="BB172" s="697"/>
      <c r="BC172" s="697"/>
      <c r="BD172" s="697"/>
      <c r="BE172" s="697"/>
      <c r="BF172" s="697"/>
      <c r="BG172" s="697"/>
    </row>
    <row r="173">
      <c r="A173" s="697"/>
      <c r="B173" s="697"/>
      <c r="C173" s="697"/>
      <c r="D173" s="697"/>
      <c r="E173" s="697"/>
      <c r="F173" s="697"/>
      <c r="G173" s="697"/>
      <c r="H173" s="697"/>
      <c r="I173" s="697"/>
      <c r="J173" s="697"/>
      <c r="K173" s="697"/>
      <c r="L173" s="697"/>
      <c r="M173" s="697"/>
      <c r="N173" s="697"/>
      <c r="O173" s="697"/>
      <c r="P173" s="697"/>
      <c r="Q173" s="697"/>
      <c r="R173" s="697"/>
      <c r="S173" s="697"/>
      <c r="T173" s="697"/>
      <c r="U173" s="697"/>
      <c r="V173" s="697"/>
      <c r="W173" s="697"/>
      <c r="X173" s="697"/>
      <c r="Y173" s="697"/>
      <c r="Z173" s="697"/>
      <c r="AA173" s="697"/>
      <c r="AB173" s="697"/>
      <c r="AC173" s="697"/>
      <c r="AD173" s="697"/>
      <c r="AE173" s="697"/>
      <c r="AF173" s="697"/>
      <c r="AG173" s="697"/>
      <c r="AH173" s="697"/>
      <c r="AI173" s="697"/>
      <c r="AJ173" s="697"/>
      <c r="AK173" s="697"/>
      <c r="AL173" s="697"/>
      <c r="AM173" s="697"/>
      <c r="AN173" s="697"/>
      <c r="AO173" s="697"/>
      <c r="AP173" s="697"/>
      <c r="AQ173" s="697"/>
      <c r="AR173" s="697"/>
      <c r="AS173" s="697"/>
      <c r="AT173" s="697"/>
      <c r="AU173" s="697"/>
      <c r="AV173" s="697"/>
      <c r="AW173" s="697"/>
      <c r="AX173" s="697"/>
      <c r="AY173" s="697"/>
      <c r="AZ173" s="697"/>
      <c r="BA173" s="697"/>
      <c r="BB173" s="697"/>
      <c r="BC173" s="697"/>
      <c r="BD173" s="697"/>
      <c r="BE173" s="697"/>
      <c r="BF173" s="697"/>
      <c r="BG173" s="697"/>
    </row>
    <row r="174">
      <c r="A174" s="697"/>
      <c r="B174" s="697" t="str">
        <f>IFERROR(__xludf.DUMMYFUNCTION("""COMPUTED_VALUE"""),"Not checked")</f>
        <v>Not checked</v>
      </c>
      <c r="C174" s="697"/>
      <c r="D174" s="697"/>
      <c r="E174" s="697"/>
      <c r="F174" s="697"/>
      <c r="G174" s="697"/>
      <c r="H174" s="697"/>
      <c r="I174" s="697"/>
      <c r="J174" s="697"/>
      <c r="K174" s="697"/>
      <c r="L174" s="697"/>
      <c r="M174" s="697"/>
      <c r="N174" s="697"/>
      <c r="O174" s="697"/>
      <c r="P174" s="697"/>
      <c r="Q174" s="697"/>
      <c r="R174" s="697"/>
      <c r="S174" s="697"/>
      <c r="T174" s="697"/>
      <c r="U174" s="697"/>
      <c r="V174" s="697"/>
      <c r="W174" s="697"/>
      <c r="X174" s="697"/>
      <c r="Y174" s="697"/>
      <c r="Z174" s="697"/>
      <c r="AA174" s="697"/>
      <c r="AB174" s="697"/>
      <c r="AC174" s="697"/>
      <c r="AD174" s="697"/>
      <c r="AE174" s="697"/>
      <c r="AF174" s="697"/>
      <c r="AG174" s="697"/>
      <c r="AH174" s="697"/>
      <c r="AI174" s="697"/>
      <c r="AJ174" s="697"/>
      <c r="AK174" s="697"/>
      <c r="AL174" s="697"/>
      <c r="AM174" s="697"/>
      <c r="AN174" s="697"/>
      <c r="AO174" s="697"/>
      <c r="AP174" s="697"/>
      <c r="AQ174" s="697"/>
      <c r="AR174" s="697"/>
      <c r="AS174" s="697"/>
      <c r="AT174" s="697"/>
      <c r="AU174" s="697"/>
      <c r="AV174" s="697"/>
      <c r="AW174" s="697"/>
      <c r="AX174" s="697"/>
      <c r="AY174" s="697"/>
      <c r="AZ174" s="697"/>
      <c r="BA174" s="697"/>
      <c r="BB174" s="697"/>
      <c r="BC174" s="697"/>
      <c r="BD174" s="697"/>
      <c r="BE174" s="697"/>
      <c r="BF174" s="697"/>
      <c r="BG174" s="697"/>
    </row>
    <row r="175">
      <c r="A175" s="697"/>
      <c r="B175" s="697" t="str">
        <f>IFERROR(__xludf.DUMMYFUNCTION("""COMPUTED_VALUE"""),"Before 1990")</f>
        <v>Before 1990</v>
      </c>
      <c r="C175" s="697"/>
      <c r="D175" s="697"/>
      <c r="E175" s="697"/>
      <c r="F175" s="697"/>
      <c r="G175" s="697"/>
      <c r="H175" s="697"/>
      <c r="I175" s="697"/>
      <c r="J175" s="697"/>
      <c r="K175" s="697"/>
      <c r="L175" s="697"/>
      <c r="M175" s="697"/>
      <c r="N175" s="697"/>
      <c r="O175" s="697"/>
      <c r="P175" s="697"/>
      <c r="Q175" s="697"/>
      <c r="R175" s="697"/>
      <c r="S175" s="697"/>
      <c r="T175" s="697"/>
      <c r="U175" s="697"/>
      <c r="V175" s="697"/>
      <c r="W175" s="697"/>
      <c r="X175" s="697"/>
      <c r="Y175" s="697"/>
      <c r="Z175" s="697"/>
      <c r="AA175" s="697"/>
      <c r="AB175" s="697"/>
      <c r="AC175" s="697"/>
      <c r="AD175" s="697"/>
      <c r="AE175" s="697"/>
      <c r="AF175" s="697"/>
      <c r="AG175" s="697"/>
      <c r="AH175" s="697"/>
      <c r="AI175" s="697"/>
      <c r="AJ175" s="697"/>
      <c r="AK175" s="697"/>
      <c r="AL175" s="697"/>
      <c r="AM175" s="697"/>
      <c r="AN175" s="697"/>
      <c r="AO175" s="697"/>
      <c r="AP175" s="697"/>
      <c r="AQ175" s="697"/>
      <c r="AR175" s="697"/>
      <c r="AS175" s="697"/>
      <c r="AT175" s="697"/>
      <c r="AU175" s="697"/>
      <c r="AV175" s="697"/>
      <c r="AW175" s="697"/>
      <c r="AX175" s="697"/>
      <c r="AY175" s="697"/>
      <c r="AZ175" s="697"/>
      <c r="BA175" s="697"/>
      <c r="BB175" s="697"/>
      <c r="BC175" s="697"/>
      <c r="BD175" s="697"/>
      <c r="BE175" s="697"/>
      <c r="BF175" s="697"/>
      <c r="BG175" s="697"/>
    </row>
    <row r="176">
      <c r="A176" s="697"/>
      <c r="B176" s="697" t="str">
        <f>IFERROR(__xludf.DUMMYFUNCTION("""COMPUTED_VALUE"""),"1990-2000")</f>
        <v>1990-2000</v>
      </c>
      <c r="C176" s="697"/>
      <c r="D176" s="697"/>
      <c r="E176" s="697"/>
      <c r="F176" s="697"/>
      <c r="G176" s="697"/>
      <c r="H176" s="697"/>
      <c r="I176" s="697"/>
      <c r="J176" s="697"/>
      <c r="K176" s="697"/>
      <c r="L176" s="697"/>
      <c r="M176" s="697"/>
      <c r="N176" s="697"/>
      <c r="O176" s="697"/>
      <c r="P176" s="697"/>
      <c r="Q176" s="697"/>
      <c r="R176" s="697"/>
      <c r="S176" s="697"/>
      <c r="T176" s="697"/>
      <c r="U176" s="697"/>
      <c r="V176" s="697"/>
      <c r="W176" s="697"/>
      <c r="X176" s="697"/>
      <c r="Y176" s="697"/>
      <c r="Z176" s="697"/>
      <c r="AA176" s="697"/>
      <c r="AB176" s="697"/>
      <c r="AC176" s="697"/>
      <c r="AD176" s="697"/>
      <c r="AE176" s="697"/>
      <c r="AF176" s="697"/>
      <c r="AG176" s="697"/>
      <c r="AH176" s="697"/>
      <c r="AI176" s="697"/>
      <c r="AJ176" s="697"/>
      <c r="AK176" s="697"/>
      <c r="AL176" s="697"/>
      <c r="AM176" s="697"/>
      <c r="AN176" s="697"/>
      <c r="AO176" s="697"/>
      <c r="AP176" s="697"/>
      <c r="AQ176" s="697"/>
      <c r="AR176" s="697"/>
      <c r="AS176" s="697"/>
      <c r="AT176" s="697"/>
      <c r="AU176" s="697"/>
      <c r="AV176" s="697"/>
      <c r="AW176" s="697"/>
      <c r="AX176" s="697"/>
      <c r="AY176" s="697"/>
      <c r="AZ176" s="697"/>
      <c r="BA176" s="697"/>
      <c r="BB176" s="697"/>
      <c r="BC176" s="697"/>
      <c r="BD176" s="697"/>
      <c r="BE176" s="697"/>
      <c r="BF176" s="697"/>
      <c r="BG176" s="697"/>
    </row>
    <row r="177">
      <c r="A177" s="697"/>
      <c r="B177" s="697" t="str">
        <f>IFERROR(__xludf.DUMMYFUNCTION("""COMPUTED_VALUE"""),"2000-present")</f>
        <v>2000-present</v>
      </c>
      <c r="C177" s="697"/>
      <c r="D177" s="697"/>
      <c r="E177" s="697"/>
      <c r="F177" s="697"/>
      <c r="G177" s="697"/>
      <c r="H177" s="697"/>
      <c r="I177" s="697"/>
      <c r="J177" s="697"/>
      <c r="K177" s="697"/>
      <c r="L177" s="697"/>
      <c r="M177" s="697"/>
      <c r="N177" s="697"/>
      <c r="O177" s="697"/>
      <c r="P177" s="697"/>
      <c r="Q177" s="697"/>
      <c r="R177" s="697"/>
      <c r="S177" s="697"/>
      <c r="T177" s="697"/>
      <c r="U177" s="697"/>
      <c r="V177" s="697"/>
      <c r="W177" s="697"/>
      <c r="X177" s="697"/>
      <c r="Y177" s="697"/>
      <c r="Z177" s="697"/>
      <c r="AA177" s="697"/>
      <c r="AB177" s="697"/>
      <c r="AC177" s="697"/>
      <c r="AD177" s="697"/>
      <c r="AE177" s="697"/>
      <c r="AF177" s="697"/>
      <c r="AG177" s="697"/>
      <c r="AH177" s="697"/>
      <c r="AI177" s="697"/>
      <c r="AJ177" s="697"/>
      <c r="AK177" s="697"/>
      <c r="AL177" s="697"/>
      <c r="AM177" s="697"/>
      <c r="AN177" s="697"/>
      <c r="AO177" s="697"/>
      <c r="AP177" s="697"/>
      <c r="AQ177" s="697"/>
      <c r="AR177" s="697"/>
      <c r="AS177" s="697"/>
      <c r="AT177" s="697"/>
      <c r="AU177" s="697"/>
      <c r="AV177" s="697"/>
      <c r="AW177" s="697"/>
      <c r="AX177" s="697"/>
      <c r="AY177" s="697"/>
      <c r="AZ177" s="697"/>
      <c r="BA177" s="697"/>
      <c r="BB177" s="697"/>
      <c r="BC177" s="697"/>
      <c r="BD177" s="697"/>
      <c r="BE177" s="697"/>
      <c r="BF177" s="697"/>
      <c r="BG177" s="697"/>
    </row>
    <row r="178">
      <c r="A178" s="697"/>
      <c r="B178" s="697" t="str">
        <f>IFERROR(__xludf.DUMMYFUNCTION("""COMPUTED_VALUE"""),"Included Pregnant Women")</f>
        <v>Included Pregnant Women</v>
      </c>
      <c r="C178" s="697"/>
      <c r="D178" s="697"/>
      <c r="E178" s="697"/>
      <c r="F178" s="697"/>
      <c r="G178" s="697"/>
      <c r="H178" s="697"/>
      <c r="I178" s="697"/>
      <c r="J178" s="697"/>
      <c r="K178" s="697"/>
      <c r="L178" s="697"/>
      <c r="M178" s="697"/>
      <c r="N178" s="697"/>
      <c r="O178" s="697"/>
      <c r="P178" s="697"/>
      <c r="Q178" s="697"/>
      <c r="R178" s="697"/>
      <c r="S178" s="697"/>
      <c r="T178" s="697"/>
      <c r="U178" s="697"/>
      <c r="V178" s="697"/>
      <c r="W178" s="697"/>
      <c r="X178" s="697"/>
      <c r="Y178" s="697"/>
      <c r="Z178" s="697"/>
      <c r="AA178" s="697"/>
      <c r="AB178" s="697"/>
      <c r="AC178" s="697"/>
      <c r="AD178" s="697"/>
      <c r="AE178" s="697"/>
      <c r="AF178" s="697"/>
      <c r="AG178" s="697"/>
      <c r="AH178" s="697"/>
      <c r="AI178" s="697"/>
      <c r="AJ178" s="697"/>
      <c r="AK178" s="697"/>
      <c r="AL178" s="697"/>
      <c r="AM178" s="697"/>
      <c r="AN178" s="697"/>
      <c r="AO178" s="697"/>
      <c r="AP178" s="697"/>
      <c r="AQ178" s="697"/>
      <c r="AR178" s="697"/>
      <c r="AS178" s="697"/>
      <c r="AT178" s="697"/>
      <c r="AU178" s="697"/>
      <c r="AV178" s="697"/>
      <c r="AW178" s="697"/>
      <c r="AX178" s="697"/>
      <c r="AY178" s="697"/>
      <c r="AZ178" s="697"/>
      <c r="BA178" s="697"/>
      <c r="BB178" s="697"/>
      <c r="BC178" s="697"/>
      <c r="BD178" s="697"/>
      <c r="BE178" s="697"/>
      <c r="BF178" s="697"/>
      <c r="BG178" s="697"/>
    </row>
    <row r="179">
      <c r="A179" s="697"/>
      <c r="B179" s="697" t="str">
        <f>IFERROR(__xludf.DUMMYFUNCTION("""COMPUTED_VALUE"""),"only women")</f>
        <v>only women</v>
      </c>
      <c r="C179" s="697"/>
      <c r="D179" s="697"/>
      <c r="E179" s="697"/>
      <c r="F179" s="697"/>
      <c r="G179" s="697"/>
      <c r="H179" s="697"/>
      <c r="I179" s="697"/>
      <c r="J179" s="697"/>
      <c r="K179" s="697"/>
      <c r="L179" s="697"/>
      <c r="M179" s="697"/>
      <c r="N179" s="697"/>
      <c r="O179" s="697"/>
      <c r="P179" s="697"/>
      <c r="Q179" s="697"/>
      <c r="R179" s="697"/>
      <c r="S179" s="697"/>
      <c r="T179" s="697"/>
      <c r="U179" s="697"/>
      <c r="V179" s="697"/>
      <c r="W179" s="697"/>
      <c r="X179" s="697"/>
      <c r="Y179" s="697"/>
      <c r="Z179" s="697"/>
      <c r="AA179" s="697"/>
      <c r="AB179" s="697"/>
      <c r="AC179" s="697"/>
      <c r="AD179" s="697"/>
      <c r="AE179" s="697"/>
      <c r="AF179" s="697"/>
      <c r="AG179" s="697"/>
      <c r="AH179" s="697"/>
      <c r="AI179" s="697"/>
      <c r="AJ179" s="697"/>
      <c r="AK179" s="697"/>
      <c r="AL179" s="697"/>
      <c r="AM179" s="697"/>
      <c r="AN179" s="697"/>
      <c r="AO179" s="697"/>
      <c r="AP179" s="697"/>
      <c r="AQ179" s="697"/>
      <c r="AR179" s="697"/>
      <c r="AS179" s="697"/>
      <c r="AT179" s="697"/>
      <c r="AU179" s="697"/>
      <c r="AV179" s="697"/>
      <c r="AW179" s="697"/>
      <c r="AX179" s="697"/>
      <c r="AY179" s="697"/>
      <c r="AZ179" s="697"/>
      <c r="BA179" s="697"/>
      <c r="BB179" s="697"/>
      <c r="BC179" s="697"/>
      <c r="BD179" s="697"/>
      <c r="BE179" s="697"/>
      <c r="BF179" s="697"/>
      <c r="BG179" s="697"/>
    </row>
    <row r="180">
      <c r="A180" s="697"/>
      <c r="B180" s="697" t="str">
        <f>IFERROR(__xludf.DUMMYFUNCTION("""COMPUTED_VALUE"""),"only men")</f>
        <v>only men</v>
      </c>
      <c r="C180" s="697"/>
      <c r="D180" s="697"/>
      <c r="E180" s="697"/>
      <c r="F180" s="697"/>
      <c r="G180" s="697"/>
      <c r="H180" s="697"/>
      <c r="I180" s="697"/>
      <c r="J180" s="697"/>
      <c r="K180" s="697"/>
      <c r="L180" s="697"/>
      <c r="M180" s="697"/>
      <c r="N180" s="697"/>
      <c r="O180" s="697"/>
      <c r="P180" s="697"/>
      <c r="Q180" s="697"/>
      <c r="R180" s="697"/>
      <c r="S180" s="697"/>
      <c r="T180" s="697"/>
      <c r="U180" s="697"/>
      <c r="V180" s="697"/>
      <c r="W180" s="697"/>
      <c r="X180" s="697"/>
      <c r="Y180" s="697"/>
      <c r="Z180" s="697"/>
      <c r="AA180" s="697"/>
      <c r="AB180" s="697"/>
      <c r="AC180" s="697"/>
      <c r="AD180" s="697"/>
      <c r="AE180" s="697"/>
      <c r="AF180" s="697"/>
      <c r="AG180" s="697"/>
      <c r="AH180" s="697"/>
      <c r="AI180" s="697"/>
      <c r="AJ180" s="697"/>
      <c r="AK180" s="697"/>
      <c r="AL180" s="697"/>
      <c r="AM180" s="697"/>
      <c r="AN180" s="697"/>
      <c r="AO180" s="697"/>
      <c r="AP180" s="697"/>
      <c r="AQ180" s="697"/>
      <c r="AR180" s="697"/>
      <c r="AS180" s="697"/>
      <c r="AT180" s="697"/>
      <c r="AU180" s="697"/>
      <c r="AV180" s="697"/>
      <c r="AW180" s="697"/>
      <c r="AX180" s="697"/>
      <c r="AY180" s="697"/>
      <c r="AZ180" s="697"/>
      <c r="BA180" s="697"/>
      <c r="BB180" s="697"/>
      <c r="BC180" s="697"/>
      <c r="BD180" s="697"/>
      <c r="BE180" s="697"/>
      <c r="BF180" s="697"/>
      <c r="BG180" s="697"/>
    </row>
    <row r="181">
      <c r="A181" s="697"/>
      <c r="B181" s="697" t="str">
        <f>IFERROR(__xludf.DUMMYFUNCTION("""COMPUTED_VALUE"""),"double-blind study")</f>
        <v>double-blind study</v>
      </c>
      <c r="C181" s="697"/>
      <c r="D181" s="697"/>
      <c r="E181" s="697"/>
      <c r="F181" s="697"/>
      <c r="G181" s="697"/>
      <c r="H181" s="697"/>
      <c r="I181" s="697"/>
      <c r="J181" s="697"/>
      <c r="K181" s="697"/>
      <c r="L181" s="697"/>
      <c r="M181" s="697"/>
      <c r="N181" s="697"/>
      <c r="O181" s="697"/>
      <c r="P181" s="697"/>
      <c r="Q181" s="697"/>
      <c r="R181" s="697"/>
      <c r="S181" s="697"/>
      <c r="T181" s="697"/>
      <c r="U181" s="697"/>
      <c r="V181" s="697"/>
      <c r="W181" s="697"/>
      <c r="X181" s="697"/>
      <c r="Y181" s="697"/>
      <c r="Z181" s="697"/>
      <c r="AA181" s="697"/>
      <c r="AB181" s="697"/>
      <c r="AC181" s="697"/>
      <c r="AD181" s="697"/>
      <c r="AE181" s="697"/>
      <c r="AF181" s="697"/>
      <c r="AG181" s="697"/>
      <c r="AH181" s="697"/>
      <c r="AI181" s="697"/>
      <c r="AJ181" s="697"/>
      <c r="AK181" s="697"/>
      <c r="AL181" s="697"/>
      <c r="AM181" s="697"/>
      <c r="AN181" s="697"/>
      <c r="AO181" s="697"/>
      <c r="AP181" s="697"/>
      <c r="AQ181" s="697"/>
      <c r="AR181" s="697"/>
      <c r="AS181" s="697"/>
      <c r="AT181" s="697"/>
      <c r="AU181" s="697"/>
      <c r="AV181" s="697"/>
      <c r="AW181" s="697"/>
      <c r="AX181" s="697"/>
      <c r="AY181" s="697"/>
      <c r="AZ181" s="697"/>
      <c r="BA181" s="697"/>
      <c r="BB181" s="697"/>
      <c r="BC181" s="697"/>
      <c r="BD181" s="697"/>
      <c r="BE181" s="697"/>
      <c r="BF181" s="697"/>
      <c r="BG181" s="697"/>
    </row>
    <row r="182">
      <c r="A182" s="697"/>
      <c r="B182" s="697" t="str">
        <f>IFERROR(__xludf.DUMMYFUNCTION("""COMPUTED_VALUE"""),"random single blind")</f>
        <v>random single blind</v>
      </c>
      <c r="C182" s="697"/>
      <c r="D182" s="697"/>
      <c r="E182" s="697"/>
      <c r="F182" s="697"/>
      <c r="G182" s="697"/>
      <c r="H182" s="697"/>
      <c r="I182" s="697"/>
      <c r="J182" s="697"/>
      <c r="K182" s="697"/>
      <c r="L182" s="697"/>
      <c r="M182" s="697"/>
      <c r="N182" s="697"/>
      <c r="O182" s="697"/>
      <c r="P182" s="697"/>
      <c r="Q182" s="697"/>
      <c r="R182" s="697"/>
      <c r="S182" s="697"/>
      <c r="T182" s="697"/>
      <c r="U182" s="697"/>
      <c r="V182" s="697"/>
      <c r="W182" s="697"/>
      <c r="X182" s="697"/>
      <c r="Y182" s="697"/>
      <c r="Z182" s="697"/>
      <c r="AA182" s="697"/>
      <c r="AB182" s="697"/>
      <c r="AC182" s="697"/>
      <c r="AD182" s="697"/>
      <c r="AE182" s="697"/>
      <c r="AF182" s="697"/>
      <c r="AG182" s="697"/>
      <c r="AH182" s="697"/>
      <c r="AI182" s="697"/>
      <c r="AJ182" s="697"/>
      <c r="AK182" s="697"/>
      <c r="AL182" s="697"/>
      <c r="AM182" s="697"/>
      <c r="AN182" s="697"/>
      <c r="AO182" s="697"/>
      <c r="AP182" s="697"/>
      <c r="AQ182" s="697"/>
      <c r="AR182" s="697"/>
      <c r="AS182" s="697"/>
      <c r="AT182" s="697"/>
      <c r="AU182" s="697"/>
      <c r="AV182" s="697"/>
      <c r="AW182" s="697"/>
      <c r="AX182" s="697"/>
      <c r="AY182" s="697"/>
      <c r="AZ182" s="697"/>
      <c r="BA182" s="697"/>
      <c r="BB182" s="697"/>
      <c r="BC182" s="697"/>
      <c r="BD182" s="697"/>
      <c r="BE182" s="697"/>
      <c r="BF182" s="697"/>
      <c r="BG182" s="697"/>
    </row>
    <row r="183">
      <c r="A183" s="697"/>
      <c r="B183" s="697" t="str">
        <f>IFERROR(__xludf.DUMMYFUNCTION("""COMPUTED_VALUE"""),"Placebo")</f>
        <v>Placebo</v>
      </c>
      <c r="C183" s="697"/>
      <c r="D183" s="697"/>
      <c r="E183" s="697"/>
      <c r="F183" s="697"/>
      <c r="G183" s="697"/>
      <c r="H183" s="697"/>
      <c r="I183" s="697"/>
      <c r="J183" s="697"/>
      <c r="K183" s="697"/>
      <c r="L183" s="697"/>
      <c r="M183" s="697"/>
      <c r="N183" s="697"/>
      <c r="O183" s="697"/>
      <c r="P183" s="697"/>
      <c r="Q183" s="697"/>
      <c r="R183" s="697"/>
      <c r="S183" s="697"/>
      <c r="T183" s="697"/>
      <c r="U183" s="697"/>
      <c r="V183" s="697"/>
      <c r="W183" s="697"/>
      <c r="X183" s="697"/>
      <c r="Y183" s="697"/>
      <c r="Z183" s="697"/>
      <c r="AA183" s="697"/>
      <c r="AB183" s="697"/>
      <c r="AC183" s="697"/>
      <c r="AD183" s="697"/>
      <c r="AE183" s="697"/>
      <c r="AF183" s="697"/>
      <c r="AG183" s="697"/>
      <c r="AH183" s="697"/>
      <c r="AI183" s="697"/>
      <c r="AJ183" s="697"/>
      <c r="AK183" s="697"/>
      <c r="AL183" s="697"/>
      <c r="AM183" s="697"/>
      <c r="AN183" s="697"/>
      <c r="AO183" s="697"/>
      <c r="AP183" s="697"/>
      <c r="AQ183" s="697"/>
      <c r="AR183" s="697"/>
      <c r="AS183" s="697"/>
      <c r="AT183" s="697"/>
      <c r="AU183" s="697"/>
      <c r="AV183" s="697"/>
      <c r="AW183" s="697"/>
      <c r="AX183" s="697"/>
      <c r="AY183" s="697"/>
      <c r="AZ183" s="697"/>
      <c r="BA183" s="697"/>
      <c r="BB183" s="697"/>
      <c r="BC183" s="697"/>
      <c r="BD183" s="697"/>
      <c r="BE183" s="697"/>
      <c r="BF183" s="697"/>
      <c r="BG183" s="697"/>
    </row>
    <row r="184">
      <c r="A184" s="697"/>
      <c r="B184" s="697" t="str">
        <f>IFERROR(__xludf.DUMMYFUNCTION("""COMPUTED_VALUE"""),"20 or less")</f>
        <v>20 or less</v>
      </c>
      <c r="C184" s="697"/>
      <c r="D184" s="697"/>
      <c r="E184" s="697"/>
      <c r="F184" s="697"/>
      <c r="G184" s="697"/>
      <c r="H184" s="697"/>
      <c r="I184" s="697"/>
      <c r="J184" s="697"/>
      <c r="K184" s="697"/>
      <c r="L184" s="697"/>
      <c r="M184" s="697"/>
      <c r="N184" s="697"/>
      <c r="O184" s="697"/>
      <c r="P184" s="697"/>
      <c r="Q184" s="697"/>
      <c r="R184" s="697"/>
      <c r="S184" s="697"/>
      <c r="T184" s="697"/>
      <c r="U184" s="697"/>
      <c r="V184" s="697"/>
      <c r="W184" s="697"/>
      <c r="X184" s="697"/>
      <c r="Y184" s="697"/>
      <c r="Z184" s="697"/>
      <c r="AA184" s="697"/>
      <c r="AB184" s="697"/>
      <c r="AC184" s="697"/>
      <c r="AD184" s="697"/>
      <c r="AE184" s="697"/>
      <c r="AF184" s="697"/>
      <c r="AG184" s="697"/>
      <c r="AH184" s="697"/>
      <c r="AI184" s="697"/>
      <c r="AJ184" s="697"/>
      <c r="AK184" s="697"/>
      <c r="AL184" s="697"/>
      <c r="AM184" s="697"/>
      <c r="AN184" s="697"/>
      <c r="AO184" s="697"/>
      <c r="AP184" s="697"/>
      <c r="AQ184" s="697"/>
      <c r="AR184" s="697"/>
      <c r="AS184" s="697"/>
      <c r="AT184" s="697"/>
      <c r="AU184" s="697"/>
      <c r="AV184" s="697"/>
      <c r="AW184" s="697"/>
      <c r="AX184" s="697"/>
      <c r="AY184" s="697"/>
      <c r="AZ184" s="697"/>
      <c r="BA184" s="697"/>
      <c r="BB184" s="697"/>
      <c r="BC184" s="697"/>
      <c r="BD184" s="697"/>
      <c r="BE184" s="697"/>
      <c r="BF184" s="697"/>
      <c r="BG184" s="697"/>
    </row>
    <row r="185">
      <c r="A185" s="697"/>
      <c r="B185" s="697" t="str">
        <f>IFERROR(__xludf.DUMMYFUNCTION("""COMPUTED_VALUE"""),"Sample Size: 20-100")</f>
        <v>Sample Size: 20-100</v>
      </c>
      <c r="C185" s="697"/>
      <c r="D185" s="697"/>
      <c r="E185" s="697"/>
      <c r="F185" s="697"/>
      <c r="G185" s="697"/>
      <c r="H185" s="697"/>
      <c r="I185" s="697"/>
      <c r="J185" s="697"/>
      <c r="K185" s="697"/>
      <c r="L185" s="697"/>
      <c r="M185" s="697"/>
      <c r="N185" s="697"/>
      <c r="O185" s="697"/>
      <c r="P185" s="697"/>
      <c r="Q185" s="697"/>
      <c r="R185" s="697"/>
      <c r="S185" s="697"/>
      <c r="T185" s="697"/>
      <c r="U185" s="697"/>
      <c r="V185" s="697"/>
      <c r="W185" s="697"/>
      <c r="X185" s="697"/>
      <c r="Y185" s="697"/>
      <c r="Z185" s="697"/>
      <c r="AA185" s="697"/>
      <c r="AB185" s="697"/>
      <c r="AC185" s="697"/>
      <c r="AD185" s="697"/>
      <c r="AE185" s="697"/>
      <c r="AF185" s="697"/>
      <c r="AG185" s="697"/>
      <c r="AH185" s="697"/>
      <c r="AI185" s="697"/>
      <c r="AJ185" s="697"/>
      <c r="AK185" s="697"/>
      <c r="AL185" s="697"/>
      <c r="AM185" s="697"/>
      <c r="AN185" s="697"/>
      <c r="AO185" s="697"/>
      <c r="AP185" s="697"/>
      <c r="AQ185" s="697"/>
      <c r="AR185" s="697"/>
      <c r="AS185" s="697"/>
      <c r="AT185" s="697"/>
      <c r="AU185" s="697"/>
      <c r="AV185" s="697"/>
      <c r="AW185" s="697"/>
      <c r="AX185" s="697"/>
      <c r="AY185" s="697"/>
      <c r="AZ185" s="697"/>
      <c r="BA185" s="697"/>
      <c r="BB185" s="697"/>
      <c r="BC185" s="697"/>
      <c r="BD185" s="697"/>
      <c r="BE185" s="697"/>
      <c r="BF185" s="697"/>
      <c r="BG185" s="697"/>
    </row>
    <row r="186">
      <c r="A186" s="697"/>
      <c r="B186" s="697" t="str">
        <f>IFERROR(__xludf.DUMMYFUNCTION("""COMPUTED_VALUE"""),"Sample Size: 100-500")</f>
        <v>Sample Size: 100-500</v>
      </c>
      <c r="C186" s="697"/>
      <c r="D186" s="697"/>
      <c r="E186" s="697"/>
      <c r="F186" s="697"/>
      <c r="G186" s="697"/>
      <c r="H186" s="697"/>
      <c r="I186" s="697"/>
      <c r="J186" s="697"/>
      <c r="K186" s="697"/>
      <c r="L186" s="697"/>
      <c r="M186" s="697"/>
      <c r="N186" s="697"/>
      <c r="O186" s="697"/>
      <c r="P186" s="697"/>
      <c r="Q186" s="697"/>
      <c r="R186" s="697"/>
      <c r="S186" s="697"/>
      <c r="T186" s="697"/>
      <c r="U186" s="697"/>
      <c r="V186" s="697"/>
      <c r="W186" s="697"/>
      <c r="X186" s="697"/>
      <c r="Y186" s="697"/>
      <c r="Z186" s="697"/>
      <c r="AA186" s="697"/>
      <c r="AB186" s="697"/>
      <c r="AC186" s="697"/>
      <c r="AD186" s="697"/>
      <c r="AE186" s="697"/>
      <c r="AF186" s="697"/>
      <c r="AG186" s="697"/>
      <c r="AH186" s="697"/>
      <c r="AI186" s="697"/>
      <c r="AJ186" s="697"/>
      <c r="AK186" s="697"/>
      <c r="AL186" s="697"/>
      <c r="AM186" s="697"/>
      <c r="AN186" s="697"/>
      <c r="AO186" s="697"/>
      <c r="AP186" s="697"/>
      <c r="AQ186" s="697"/>
      <c r="AR186" s="697"/>
      <c r="AS186" s="697"/>
      <c r="AT186" s="697"/>
      <c r="AU186" s="697"/>
      <c r="AV186" s="697"/>
      <c r="AW186" s="697"/>
      <c r="AX186" s="697"/>
      <c r="AY186" s="697"/>
      <c r="AZ186" s="697"/>
      <c r="BA186" s="697"/>
      <c r="BB186" s="697"/>
      <c r="BC186" s="697"/>
      <c r="BD186" s="697"/>
      <c r="BE186" s="697"/>
      <c r="BF186" s="697"/>
      <c r="BG186" s="697"/>
    </row>
    <row r="187">
      <c r="A187" s="697"/>
      <c r="B187" s="697" t="str">
        <f>IFERROR(__xludf.DUMMYFUNCTION("""COMPUTED_VALUE"""),"Sample Size: 500+")</f>
        <v>Sample Size: 500+</v>
      </c>
      <c r="C187" s="697"/>
      <c r="D187" s="697"/>
      <c r="E187" s="697"/>
      <c r="F187" s="697"/>
      <c r="G187" s="697"/>
      <c r="H187" s="697"/>
      <c r="I187" s="697"/>
      <c r="J187" s="697"/>
      <c r="K187" s="697"/>
      <c r="L187" s="697"/>
      <c r="M187" s="697"/>
      <c r="N187" s="697"/>
      <c r="O187" s="697"/>
      <c r="P187" s="697"/>
      <c r="Q187" s="697"/>
      <c r="R187" s="697"/>
      <c r="S187" s="697"/>
      <c r="T187" s="697"/>
      <c r="U187" s="697"/>
      <c r="V187" s="697"/>
      <c r="W187" s="697"/>
      <c r="X187" s="697"/>
      <c r="Y187" s="697"/>
      <c r="Z187" s="697"/>
      <c r="AA187" s="697"/>
      <c r="AB187" s="697"/>
      <c r="AC187" s="697"/>
      <c r="AD187" s="697"/>
      <c r="AE187" s="697"/>
      <c r="AF187" s="697"/>
      <c r="AG187" s="697"/>
      <c r="AH187" s="697"/>
      <c r="AI187" s="697"/>
      <c r="AJ187" s="697"/>
      <c r="AK187" s="697"/>
      <c r="AL187" s="697"/>
      <c r="AM187" s="697"/>
      <c r="AN187" s="697"/>
      <c r="AO187" s="697"/>
      <c r="AP187" s="697"/>
      <c r="AQ187" s="697"/>
      <c r="AR187" s="697"/>
      <c r="AS187" s="697"/>
      <c r="AT187" s="697"/>
      <c r="AU187" s="697"/>
      <c r="AV187" s="697"/>
      <c r="AW187" s="697"/>
      <c r="AX187" s="697"/>
      <c r="AY187" s="697"/>
      <c r="AZ187" s="697"/>
      <c r="BA187" s="697"/>
      <c r="BB187" s="697"/>
      <c r="BC187" s="697"/>
      <c r="BD187" s="697"/>
      <c r="BE187" s="697"/>
      <c r="BF187" s="697"/>
      <c r="BG187" s="697"/>
    </row>
    <row r="188">
      <c r="A188" s="697"/>
      <c r="B188" s="697" t="str">
        <f>IFERROR(__xludf.DUMMYFUNCTION("""COMPUTED_VALUE"""),"Meta")</f>
        <v>Meta</v>
      </c>
      <c r="C188" s="697"/>
      <c r="D188" s="697"/>
      <c r="E188" s="697"/>
      <c r="F188" s="697"/>
      <c r="G188" s="697"/>
      <c r="H188" s="697"/>
      <c r="I188" s="697"/>
      <c r="J188" s="697"/>
      <c r="K188" s="697"/>
      <c r="L188" s="697"/>
      <c r="M188" s="697"/>
      <c r="N188" s="697"/>
      <c r="O188" s="697"/>
      <c r="P188" s="697"/>
      <c r="Q188" s="697"/>
      <c r="R188" s="697"/>
      <c r="S188" s="697"/>
      <c r="T188" s="697"/>
      <c r="U188" s="697"/>
      <c r="V188" s="697"/>
      <c r="W188" s="697"/>
      <c r="X188" s="697"/>
      <c r="Y188" s="697"/>
      <c r="Z188" s="697"/>
      <c r="AA188" s="697"/>
      <c r="AB188" s="697"/>
      <c r="AC188" s="697"/>
      <c r="AD188" s="697"/>
      <c r="AE188" s="697"/>
      <c r="AF188" s="697"/>
      <c r="AG188" s="697"/>
      <c r="AH188" s="697"/>
      <c r="AI188" s="697"/>
      <c r="AJ188" s="697"/>
      <c r="AK188" s="697"/>
      <c r="AL188" s="697"/>
      <c r="AM188" s="697"/>
      <c r="AN188" s="697"/>
      <c r="AO188" s="697"/>
      <c r="AP188" s="697"/>
      <c r="AQ188" s="697"/>
      <c r="AR188" s="697"/>
      <c r="AS188" s="697"/>
      <c r="AT188" s="697"/>
      <c r="AU188" s="697"/>
      <c r="AV188" s="697"/>
      <c r="AW188" s="697"/>
      <c r="AX188" s="697"/>
      <c r="AY188" s="697"/>
      <c r="AZ188" s="697"/>
      <c r="BA188" s="697"/>
      <c r="BB188" s="697"/>
      <c r="BC188" s="697"/>
      <c r="BD188" s="697"/>
      <c r="BE188" s="697"/>
      <c r="BF188" s="697"/>
      <c r="BG188" s="697"/>
    </row>
    <row r="189">
      <c r="A189" s="697"/>
      <c r="B189" s="697" t="str">
        <f>IFERROR(__xludf.DUMMYFUNCTION("""COMPUTED_VALUE"""),"Adult/older than 18")</f>
        <v>Adult/older than 18</v>
      </c>
      <c r="C189" s="697"/>
      <c r="D189" s="697"/>
      <c r="E189" s="697"/>
      <c r="F189" s="697"/>
      <c r="G189" s="697"/>
      <c r="H189" s="697"/>
      <c r="I189" s="697"/>
      <c r="J189" s="697"/>
      <c r="K189" s="697"/>
      <c r="L189" s="697"/>
      <c r="M189" s="697"/>
      <c r="N189" s="697"/>
      <c r="O189" s="697"/>
      <c r="P189" s="697"/>
      <c r="Q189" s="697"/>
      <c r="R189" s="697"/>
      <c r="S189" s="697"/>
      <c r="T189" s="697"/>
      <c r="U189" s="697"/>
      <c r="V189" s="697"/>
      <c r="W189" s="697"/>
      <c r="X189" s="697"/>
      <c r="Y189" s="697"/>
      <c r="Z189" s="697"/>
      <c r="AA189" s="697"/>
      <c r="AB189" s="697"/>
      <c r="AC189" s="697"/>
      <c r="AD189" s="697"/>
      <c r="AE189" s="697"/>
      <c r="AF189" s="697"/>
      <c r="AG189" s="697"/>
      <c r="AH189" s="697"/>
      <c r="AI189" s="697"/>
      <c r="AJ189" s="697"/>
      <c r="AK189" s="697"/>
      <c r="AL189" s="697"/>
      <c r="AM189" s="697"/>
      <c r="AN189" s="697"/>
      <c r="AO189" s="697"/>
      <c r="AP189" s="697"/>
      <c r="AQ189" s="697"/>
      <c r="AR189" s="697"/>
      <c r="AS189" s="697"/>
      <c r="AT189" s="697"/>
      <c r="AU189" s="697"/>
      <c r="AV189" s="697"/>
      <c r="AW189" s="697"/>
      <c r="AX189" s="697"/>
      <c r="AY189" s="697"/>
      <c r="AZ189" s="697"/>
      <c r="BA189" s="697"/>
      <c r="BB189" s="697"/>
      <c r="BC189" s="697"/>
      <c r="BD189" s="697"/>
      <c r="BE189" s="697"/>
      <c r="BF189" s="697"/>
      <c r="BG189" s="697"/>
    </row>
    <row r="190">
      <c r="A190" s="697"/>
      <c r="B190" s="697" t="str">
        <f>IFERROR(__xludf.DUMMYFUNCTION("""COMPUTED_VALUE"""),"School children and Adults")</f>
        <v>School children and Adults</v>
      </c>
      <c r="C190" s="697"/>
      <c r="D190" s="697"/>
      <c r="E190" s="697"/>
      <c r="F190" s="697"/>
      <c r="G190" s="697"/>
      <c r="H190" s="697"/>
      <c r="I190" s="697"/>
      <c r="J190" s="697"/>
      <c r="K190" s="697"/>
      <c r="L190" s="697"/>
      <c r="M190" s="697"/>
      <c r="N190" s="697"/>
      <c r="O190" s="697"/>
      <c r="P190" s="697"/>
      <c r="Q190" s="697"/>
      <c r="R190" s="697"/>
      <c r="S190" s="697"/>
      <c r="T190" s="697"/>
      <c r="U190" s="697"/>
      <c r="V190" s="697"/>
      <c r="W190" s="697"/>
      <c r="X190" s="697"/>
      <c r="Y190" s="697"/>
      <c r="Z190" s="697"/>
      <c r="AA190" s="697"/>
      <c r="AB190" s="697"/>
      <c r="AC190" s="697"/>
      <c r="AD190" s="697"/>
      <c r="AE190" s="697"/>
      <c r="AF190" s="697"/>
      <c r="AG190" s="697"/>
      <c r="AH190" s="697"/>
      <c r="AI190" s="697"/>
      <c r="AJ190" s="697"/>
      <c r="AK190" s="697"/>
      <c r="AL190" s="697"/>
      <c r="AM190" s="697"/>
      <c r="AN190" s="697"/>
      <c r="AO190" s="697"/>
      <c r="AP190" s="697"/>
      <c r="AQ190" s="697"/>
      <c r="AR190" s="697"/>
      <c r="AS190" s="697"/>
      <c r="AT190" s="697"/>
      <c r="AU190" s="697"/>
      <c r="AV190" s="697"/>
      <c r="AW190" s="697"/>
      <c r="AX190" s="697"/>
      <c r="AY190" s="697"/>
      <c r="AZ190" s="697"/>
      <c r="BA190" s="697"/>
      <c r="BB190" s="697"/>
      <c r="BC190" s="697"/>
      <c r="BD190" s="697"/>
      <c r="BE190" s="697"/>
      <c r="BF190" s="697"/>
      <c r="BG190" s="697"/>
    </row>
    <row r="191">
      <c r="A191" s="697"/>
      <c r="B191" s="697" t="str">
        <f>IFERROR(__xludf.DUMMYFUNCTION("""COMPUTED_VALUE"""),"School children under 18")</f>
        <v>School children under 18</v>
      </c>
      <c r="C191" s="697"/>
      <c r="D191" s="697"/>
      <c r="E191" s="697"/>
      <c r="F191" s="697"/>
      <c r="G191" s="697"/>
      <c r="H191" s="697"/>
      <c r="I191" s="697"/>
      <c r="J191" s="697"/>
      <c r="K191" s="697"/>
      <c r="L191" s="697"/>
      <c r="M191" s="697"/>
      <c r="N191" s="697"/>
      <c r="O191" s="697"/>
      <c r="P191" s="697"/>
      <c r="Q191" s="697"/>
      <c r="R191" s="697"/>
      <c r="S191" s="697"/>
      <c r="T191" s="697"/>
      <c r="U191" s="697"/>
      <c r="V191" s="697"/>
      <c r="W191" s="697"/>
      <c r="X191" s="697"/>
      <c r="Y191" s="697"/>
      <c r="Z191" s="697"/>
      <c r="AA191" s="697"/>
      <c r="AB191" s="697"/>
      <c r="AC191" s="697"/>
      <c r="AD191" s="697"/>
      <c r="AE191" s="697"/>
      <c r="AF191" s="697"/>
      <c r="AG191" s="697"/>
      <c r="AH191" s="697"/>
      <c r="AI191" s="697"/>
      <c r="AJ191" s="697"/>
      <c r="AK191" s="697"/>
      <c r="AL191" s="697"/>
      <c r="AM191" s="697"/>
      <c r="AN191" s="697"/>
      <c r="AO191" s="697"/>
      <c r="AP191" s="697"/>
      <c r="AQ191" s="697"/>
      <c r="AR191" s="697"/>
      <c r="AS191" s="697"/>
      <c r="AT191" s="697"/>
      <c r="AU191" s="697"/>
      <c r="AV191" s="697"/>
      <c r="AW191" s="697"/>
      <c r="AX191" s="697"/>
      <c r="AY191" s="697"/>
      <c r="AZ191" s="697"/>
      <c r="BA191" s="697"/>
      <c r="BB191" s="697"/>
      <c r="BC191" s="697"/>
      <c r="BD191" s="697"/>
      <c r="BE191" s="697"/>
      <c r="BF191" s="697"/>
      <c r="BG191" s="697"/>
    </row>
    <row r="192">
      <c r="A192" s="697"/>
      <c r="B192" s="697" t="str">
        <f>IFERROR(__xludf.DUMMYFUNCTION("""COMPUTED_VALUE"""),"GHI target drug/dosage")</f>
        <v>GHI target drug/dosage</v>
      </c>
      <c r="C192" s="697"/>
      <c r="D192" s="697"/>
      <c r="E192" s="697"/>
      <c r="F192" s="697"/>
      <c r="G192" s="697"/>
      <c r="H192" s="697"/>
      <c r="I192" s="697"/>
      <c r="J192" s="697"/>
      <c r="K192" s="697"/>
      <c r="L192" s="697"/>
      <c r="M192" s="697"/>
      <c r="N192" s="697"/>
      <c r="O192" s="697"/>
      <c r="P192" s="697"/>
      <c r="Q192" s="697"/>
      <c r="R192" s="697"/>
      <c r="S192" s="697"/>
      <c r="T192" s="697"/>
      <c r="U192" s="697"/>
      <c r="V192" s="697"/>
      <c r="W192" s="697"/>
      <c r="X192" s="697"/>
      <c r="Y192" s="697"/>
      <c r="Z192" s="697"/>
      <c r="AA192" s="697"/>
      <c r="AB192" s="697"/>
      <c r="AC192" s="697"/>
      <c r="AD192" s="697"/>
      <c r="AE192" s="697"/>
      <c r="AF192" s="697"/>
      <c r="AG192" s="697"/>
      <c r="AH192" s="697"/>
      <c r="AI192" s="697"/>
      <c r="AJ192" s="697"/>
      <c r="AK192" s="697"/>
      <c r="AL192" s="697"/>
      <c r="AM192" s="697"/>
      <c r="AN192" s="697"/>
      <c r="AO192" s="697"/>
      <c r="AP192" s="697"/>
      <c r="AQ192" s="697"/>
      <c r="AR192" s="697"/>
      <c r="AS192" s="697"/>
      <c r="AT192" s="697"/>
      <c r="AU192" s="697"/>
      <c r="AV192" s="697"/>
      <c r="AW192" s="697"/>
      <c r="AX192" s="697"/>
      <c r="AY192" s="697"/>
      <c r="AZ192" s="697"/>
      <c r="BA192" s="697"/>
      <c r="BB192" s="697"/>
      <c r="BC192" s="697"/>
      <c r="BD192" s="697"/>
      <c r="BE192" s="697"/>
      <c r="BF192" s="697"/>
      <c r="BG192" s="697"/>
    </row>
    <row r="193">
      <c r="A193" s="697"/>
      <c r="B193" s="697"/>
      <c r="C193" s="697"/>
      <c r="D193" s="697"/>
      <c r="E193" s="697"/>
      <c r="F193" s="697"/>
      <c r="G193" s="697"/>
      <c r="H193" s="697"/>
      <c r="I193" s="697"/>
      <c r="J193" s="697"/>
      <c r="K193" s="697"/>
      <c r="L193" s="697"/>
      <c r="M193" s="697"/>
      <c r="N193" s="697"/>
      <c r="O193" s="697"/>
      <c r="P193" s="697"/>
      <c r="Q193" s="697"/>
      <c r="R193" s="697"/>
      <c r="S193" s="697"/>
      <c r="T193" s="697"/>
      <c r="U193" s="697"/>
      <c r="V193" s="697"/>
      <c r="W193" s="697"/>
      <c r="X193" s="697"/>
      <c r="Y193" s="697"/>
      <c r="Z193" s="697"/>
      <c r="AA193" s="697"/>
      <c r="AB193" s="697"/>
      <c r="AC193" s="697"/>
      <c r="AD193" s="697"/>
      <c r="AE193" s="697"/>
      <c r="AF193" s="697"/>
      <c r="AG193" s="697"/>
      <c r="AH193" s="697"/>
      <c r="AI193" s="697"/>
      <c r="AJ193" s="697"/>
      <c r="AK193" s="697"/>
      <c r="AL193" s="697"/>
      <c r="AM193" s="697"/>
      <c r="AN193" s="697"/>
      <c r="AO193" s="697"/>
      <c r="AP193" s="697"/>
      <c r="AQ193" s="697"/>
      <c r="AR193" s="697"/>
      <c r="AS193" s="697"/>
      <c r="AT193" s="697"/>
      <c r="AU193" s="697"/>
      <c r="AV193" s="697"/>
      <c r="AW193" s="697"/>
      <c r="AX193" s="697"/>
      <c r="AY193" s="697"/>
      <c r="AZ193" s="697"/>
      <c r="BA193" s="697"/>
      <c r="BB193" s="697"/>
      <c r="BC193" s="697"/>
      <c r="BD193" s="697"/>
      <c r="BE193" s="697"/>
      <c r="BF193" s="697"/>
      <c r="BG193" s="697"/>
    </row>
    <row r="194">
      <c r="A194" s="697"/>
      <c r="B194" s="697" t="str">
        <f>IFERROR(__xludf.DUMMYFUNCTION("""COMPUTED_VALUE"""),"studies in red font not included in total in summary sheet due to wrong efficacy endpoints, also see note on line 57-study included in summary sheet for two time intervals")</f>
        <v>studies in red font not included in total in summary sheet due to wrong efficacy endpoints, also see note on line 57-study included in summary sheet for two time intervals</v>
      </c>
      <c r="C194" s="697"/>
      <c r="D194" s="697"/>
      <c r="E194" s="697"/>
      <c r="F194" s="697"/>
      <c r="G194" s="697"/>
      <c r="H194" s="697"/>
      <c r="I194" s="697"/>
      <c r="J194" s="697"/>
      <c r="K194" s="697"/>
      <c r="L194" s="697"/>
      <c r="M194" s="697"/>
      <c r="N194" s="697"/>
      <c r="O194" s="697"/>
      <c r="P194" s="697"/>
      <c r="Q194" s="697"/>
      <c r="R194" s="697"/>
      <c r="S194" s="697"/>
      <c r="T194" s="697"/>
      <c r="U194" s="697"/>
      <c r="V194" s="697"/>
      <c r="W194" s="697"/>
      <c r="X194" s="697"/>
      <c r="Y194" s="697"/>
      <c r="Z194" s="697"/>
      <c r="AA194" s="697"/>
      <c r="AB194" s="697"/>
      <c r="AC194" s="697"/>
      <c r="AD194" s="697"/>
      <c r="AE194" s="697"/>
      <c r="AF194" s="697"/>
      <c r="AG194" s="697"/>
      <c r="AH194" s="697"/>
      <c r="AI194" s="697"/>
      <c r="AJ194" s="697"/>
      <c r="AK194" s="697"/>
      <c r="AL194" s="697"/>
      <c r="AM194" s="697"/>
      <c r="AN194" s="697"/>
      <c r="AO194" s="697"/>
      <c r="AP194" s="697"/>
      <c r="AQ194" s="697"/>
      <c r="AR194" s="697"/>
      <c r="AS194" s="697"/>
      <c r="AT194" s="697"/>
      <c r="AU194" s="697"/>
      <c r="AV194" s="697"/>
      <c r="AW194" s="697"/>
      <c r="AX194" s="697"/>
      <c r="AY194" s="697"/>
      <c r="AZ194" s="697"/>
      <c r="BA194" s="697"/>
      <c r="BB194" s="697"/>
      <c r="BC194" s="697"/>
      <c r="BD194" s="697"/>
      <c r="BE194" s="697"/>
      <c r="BF194" s="697"/>
      <c r="BG194" s="697"/>
    </row>
  </sheetData>
  <autoFilter ref="$A$1:$BQ$1000">
    <filterColumn colId="58">
      <filters blank="1"/>
    </filterColumn>
  </autoFilter>
  <hyperlinks>
    <hyperlink r:id="rId1" ref="AU2"/>
    <hyperlink r:id="rId2" ref="AU3"/>
    <hyperlink r:id="rId3" ref="AU5"/>
    <hyperlink r:id="rId4" ref="AU7"/>
    <hyperlink r:id="rId5" ref="AU8"/>
    <hyperlink r:id="rId6" ref="AU9"/>
    <hyperlink r:id="rId7" ref="AU10"/>
    <hyperlink r:id="rId8" ref="AU11"/>
    <hyperlink r:id="rId9" ref="AU12"/>
    <hyperlink r:id="rId10" ref="AU13"/>
    <hyperlink r:id="rId11" ref="AU14"/>
    <hyperlink r:id="rId12" ref="AU15"/>
    <hyperlink r:id="rId13" ref="AU16"/>
    <hyperlink r:id="rId14" ref="AU18"/>
    <hyperlink r:id="rId15" ref="AU19"/>
    <hyperlink r:id="rId16" ref="AU20"/>
    <hyperlink r:id="rId17" ref="AU21"/>
    <hyperlink r:id="rId18" ref="AU22"/>
    <hyperlink r:id="rId19" ref="AU23"/>
    <hyperlink r:id="rId20" ref="AU24"/>
    <hyperlink r:id="rId21" ref="AU25"/>
    <hyperlink r:id="rId22" ref="AU26"/>
    <hyperlink r:id="rId23" ref="AU27"/>
    <hyperlink r:id="rId24" ref="AU28"/>
    <hyperlink r:id="rId25" ref="AU29"/>
    <hyperlink r:id="rId26" ref="AU30"/>
    <hyperlink r:id="rId27" ref="AU31"/>
    <hyperlink r:id="rId28" ref="AU32"/>
    <hyperlink r:id="rId29" ref="AU33"/>
    <hyperlink r:id="rId30" ref="AU34"/>
    <hyperlink r:id="rId31" ref="AU35"/>
    <hyperlink r:id="rId32" ref="AU36"/>
    <hyperlink r:id="rId33" ref="AU37"/>
    <hyperlink r:id="rId34" ref="AU38"/>
    <hyperlink r:id="rId35" ref="AU39"/>
    <hyperlink r:id="rId36" ref="AU40"/>
    <hyperlink r:id="rId37" ref="AU41"/>
    <hyperlink r:id="rId38" ref="AU42"/>
    <hyperlink r:id="rId39" ref="AU43"/>
    <hyperlink r:id="rId40" ref="AU44"/>
    <hyperlink r:id="rId41" ref="AU45"/>
    <hyperlink r:id="rId42" ref="AU46"/>
    <hyperlink r:id="rId43" ref="AU47"/>
    <hyperlink r:id="rId44" ref="AU48"/>
    <hyperlink r:id="rId45" ref="AU49"/>
    <hyperlink r:id="rId46" ref="AU50"/>
    <hyperlink r:id="rId47" ref="AU51"/>
    <hyperlink r:id="rId48" ref="AU52"/>
    <hyperlink r:id="rId49" ref="AU53"/>
    <hyperlink r:id="rId50" ref="AU54"/>
    <hyperlink r:id="rId51" ref="AU55"/>
    <hyperlink r:id="rId52" ref="AU56"/>
    <hyperlink r:id="rId53" ref="AU57"/>
    <hyperlink r:id="rId54" ref="AU58"/>
    <hyperlink r:id="rId55" ref="AU59"/>
    <hyperlink r:id="rId56" ref="AU60"/>
    <hyperlink r:id="rId57" ref="AU61"/>
    <hyperlink r:id="rId58" ref="AU62"/>
    <hyperlink r:id="rId59" ref="AU63"/>
    <hyperlink r:id="rId60" ref="AU64"/>
    <hyperlink r:id="rId61" ref="AU65"/>
    <hyperlink r:id="rId62" ref="AU66"/>
    <hyperlink r:id="rId63" ref="AU67"/>
    <hyperlink r:id="rId64" ref="AU68"/>
    <hyperlink r:id="rId65" ref="AU69"/>
    <hyperlink r:id="rId66" ref="AU70"/>
    <hyperlink r:id="rId67" ref="AU71"/>
    <hyperlink r:id="rId68" ref="AU72"/>
    <hyperlink r:id="rId69" ref="AU73"/>
    <hyperlink r:id="rId70" ref="AU74"/>
    <hyperlink r:id="rId71" ref="AU75"/>
    <hyperlink r:id="rId72" ref="AU76"/>
    <hyperlink r:id="rId73" ref="AU77"/>
    <hyperlink r:id="rId74" ref="AU78"/>
    <hyperlink r:id="rId75" ref="AU79"/>
    <hyperlink r:id="rId76" ref="AU80"/>
    <hyperlink r:id="rId77" ref="AU81"/>
    <hyperlink r:id="rId78" ref="AU82"/>
    <hyperlink r:id="rId79" ref="AU83"/>
    <hyperlink r:id="rId80" ref="AU84"/>
    <hyperlink r:id="rId81" ref="AU85"/>
    <hyperlink r:id="rId82" ref="AU86"/>
    <hyperlink r:id="rId83" ref="AU87"/>
    <hyperlink r:id="rId84" ref="AU88"/>
    <hyperlink r:id="rId85" ref="AU89"/>
    <hyperlink r:id="rId86" ref="AU90"/>
    <hyperlink r:id="rId87" ref="AU91"/>
    <hyperlink r:id="rId88" ref="AU92"/>
    <hyperlink r:id="rId89" ref="AU93"/>
    <hyperlink r:id="rId90" ref="AU94"/>
    <hyperlink r:id="rId91" ref="AU95"/>
    <hyperlink r:id="rId92" ref="AU96"/>
    <hyperlink r:id="rId93" ref="AU97"/>
    <hyperlink r:id="rId94" ref="AU98"/>
    <hyperlink r:id="rId95" ref="AU99"/>
    <hyperlink r:id="rId96" ref="AU100"/>
    <hyperlink r:id="rId97" ref="AU101"/>
    <hyperlink r:id="rId98" ref="AU102"/>
    <hyperlink r:id="rId99" ref="AU103"/>
    <hyperlink r:id="rId100" ref="AU104"/>
    <hyperlink r:id="rId101" ref="AU105"/>
    <hyperlink r:id="rId102" ref="AU106"/>
    <hyperlink r:id="rId103" ref="AU107"/>
    <hyperlink r:id="rId104" ref="AU108"/>
    <hyperlink r:id="rId105" ref="AU109"/>
    <hyperlink r:id="rId106" ref="AU110"/>
    <hyperlink r:id="rId107" ref="AU111"/>
    <hyperlink r:id="rId108" ref="AU112"/>
    <hyperlink r:id="rId109" ref="AU113"/>
    <hyperlink r:id="rId110" ref="AU114"/>
    <hyperlink r:id="rId111" ref="AU115"/>
    <hyperlink r:id="rId112" ref="AU116"/>
    <hyperlink r:id="rId113" ref="AU117"/>
    <hyperlink r:id="rId114" ref="AU118"/>
    <hyperlink r:id="rId115" ref="AU119"/>
    <hyperlink r:id="rId116" ref="AU120"/>
    <hyperlink r:id="rId117" ref="AU121"/>
    <hyperlink r:id="rId118" ref="AU122"/>
    <hyperlink r:id="rId119" ref="AU123"/>
    <hyperlink r:id="rId120" ref="AU124"/>
    <hyperlink r:id="rId121" ref="AU125"/>
    <hyperlink r:id="rId122" ref="AU126"/>
    <hyperlink r:id="rId123" ref="AU127"/>
    <hyperlink r:id="rId124" ref="AU128"/>
    <hyperlink r:id="rId125" ref="AU129"/>
    <hyperlink r:id="rId126" ref="AU130"/>
    <hyperlink r:id="rId127" ref="AU131"/>
    <hyperlink r:id="rId128" ref="AU132"/>
    <hyperlink r:id="rId129" ref="AU133"/>
    <hyperlink r:id="rId130" ref="AU134"/>
    <hyperlink r:id="rId131" ref="AU135"/>
    <hyperlink r:id="rId132" ref="AU136"/>
    <hyperlink r:id="rId133" ref="AU137"/>
    <hyperlink r:id="rId134" ref="AU138"/>
    <hyperlink r:id="rId135" ref="AU139"/>
    <hyperlink r:id="rId136" ref="AU140"/>
    <hyperlink r:id="rId137" ref="AU141"/>
    <hyperlink r:id="rId138" ref="AU142"/>
    <hyperlink r:id="rId139" ref="AU143"/>
    <hyperlink r:id="rId140" ref="AU144"/>
    <hyperlink r:id="rId141" ref="AU145"/>
    <hyperlink r:id="rId142" ref="AU146"/>
    <hyperlink r:id="rId143" ref="AU147"/>
    <hyperlink r:id="rId144" ref="AU148"/>
    <hyperlink r:id="rId145" ref="AU149"/>
    <hyperlink r:id="rId146" ref="AU150"/>
    <hyperlink r:id="rId147" ref="AU151"/>
    <hyperlink r:id="rId148" ref="AU152"/>
    <hyperlink r:id="rId149" ref="AU153"/>
    <hyperlink r:id="rId150" ref="AU154"/>
    <hyperlink r:id="rId151" ref="AU155"/>
    <hyperlink r:id="rId152" ref="AU156"/>
    <hyperlink r:id="rId153" ref="AU157"/>
    <hyperlink r:id="rId154" ref="B159"/>
    <hyperlink r:id="rId155" ref="AJ159"/>
    <hyperlink r:id="rId156" ref="B160"/>
    <hyperlink r:id="rId157" ref="AJ160"/>
    <hyperlink r:id="rId158" ref="B161"/>
    <hyperlink r:id="rId159" ref="AJ161"/>
    <hyperlink r:id="rId160" ref="B162"/>
    <hyperlink r:id="rId161" ref="AJ162"/>
    <hyperlink r:id="rId162" ref="B163"/>
    <hyperlink r:id="rId163" ref="AJ163"/>
    <hyperlink r:id="rId164" ref="AU163"/>
    <hyperlink r:id="rId165" ref="B164"/>
    <hyperlink r:id="rId166" ref="AJ164"/>
    <hyperlink r:id="rId167" ref="AU164"/>
    <hyperlink r:id="rId168" ref="B165"/>
    <hyperlink r:id="rId169" ref="AJ165"/>
    <hyperlink r:id="rId170" ref="AU165"/>
    <hyperlink r:id="rId171" ref="B166"/>
    <hyperlink r:id="rId172" ref="AJ166"/>
    <hyperlink r:id="rId173" ref="AU166"/>
    <hyperlink r:id="rId174" ref="B167"/>
    <hyperlink r:id="rId175" ref="AJ167"/>
    <hyperlink r:id="rId176" ref="B168"/>
    <hyperlink r:id="rId177" ref="AJ168"/>
    <hyperlink r:id="rId178" ref="B169"/>
    <hyperlink r:id="rId179" ref="AJ169"/>
    <hyperlink r:id="rId180" ref="B170"/>
    <hyperlink r:id="rId181" ref="AJ170"/>
  </hyperlinks>
  <drawing r:id="rId182"/>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696" t="str">
        <f>IFERROR(__xludf.DUMMYFUNCTION("IMPORTRANGE(""https://docs.google.com/spreadsheets/d/13D8kG_6htyZ13mRReb9NThmHCURRiCmRyFcgRyKU394/edit#gid=0"",""Pre 2015 Data!A1:V600"")"),"")</f>
        <v/>
      </c>
      <c r="B1" s="697" t="str">
        <f>IFERROR(__xludf.DUMMYFUNCTION("""COMPUTED_VALUE"""),"Schisto. Type")</f>
        <v>Schisto. Type</v>
      </c>
      <c r="C1" s="697" t="str">
        <f>IFERROR(__xludf.DUMMYFUNCTION("""COMPUTED_VALUE"""),"Country")</f>
        <v>Country</v>
      </c>
      <c r="D1" s="697" t="str">
        <f>IFERROR(__xludf.DUMMYFUNCTION("""COMPUTED_VALUE"""),"Drug")</f>
        <v>Drug</v>
      </c>
      <c r="E1" s="697" t="str">
        <f>IFERROR(__xludf.DUMMYFUNCTION("""COMPUTED_VALUE"""),"Number")</f>
        <v>Number</v>
      </c>
      <c r="F1" s="697" t="str">
        <f>IFERROR(__xludf.DUMMYFUNCTION("""COMPUTED_VALUE"""),"Dosage")</f>
        <v>Dosage</v>
      </c>
      <c r="G1" s="697" t="str">
        <f>IFERROR(__xludf.DUMMYFUNCTION("""COMPUTED_VALUE"""),"Sample Size")</f>
        <v>Sample Size</v>
      </c>
      <c r="H1" s="697" t="str">
        <f>IFERROR(__xludf.DUMMYFUNCTION("""COMPUTED_VALUE"""),"Age")</f>
        <v>Age</v>
      </c>
      <c r="I1" s="705" t="str">
        <f>IFERROR(__xludf.DUMMYFUNCTION("""COMPUTED_VALUE"""),"Sex (M:F)")</f>
        <v>Sex (M:F)</v>
      </c>
      <c r="J1" s="697" t="str">
        <f>IFERROR(__xludf.DUMMYFUNCTION("""COMPUTED_VALUE"""),"Year")</f>
        <v>Year</v>
      </c>
      <c r="K1" s="697" t="str">
        <f>IFERROR(__xludf.DUMMYFUNCTION("""COMPUTED_VALUE"""),"Inclusion Criteria")</f>
        <v>Inclusion Criteria</v>
      </c>
      <c r="L1" s="697" t="str">
        <f>IFERROR(__xludf.DUMMYFUNCTION("""COMPUTED_VALUE"""),"Blind/Double Blind")</f>
        <v>Blind/Double Blind</v>
      </c>
      <c r="M1" s="697" t="str">
        <f>IFERROR(__xludf.DUMMYFUNCTION("""COMPUTED_VALUE"""),"Study Type - RCT?")</f>
        <v>Study Type - RCT?</v>
      </c>
      <c r="N1" s="697" t="str">
        <f>IFERROR(__xludf.DUMMYFUNCTION("""COMPUTED_VALUE"""),"Followup/Endpoint")</f>
        <v>Followup/Endpoint</v>
      </c>
      <c r="O1" s="697" t="str">
        <f>IFERROR(__xludf.DUMMYFUNCTION("""COMPUTED_VALUE"""),"Cure Rate")</f>
        <v>Cure Rate</v>
      </c>
      <c r="P1" s="697" t="str">
        <f>IFERROR(__xludf.DUMMYFUNCTION("""COMPUTED_VALUE"""),"Egg Reduction Rate")</f>
        <v>Egg Reduction Rate</v>
      </c>
      <c r="Q1" s="697" t="str">
        <f>IFERROR(__xludf.DUMMYFUNCTION("""COMPUTED_VALUE"""),"Conclusion")</f>
        <v>Conclusion</v>
      </c>
      <c r="R1" s="697" t="str">
        <f>IFERROR(__xludf.DUMMYFUNCTION("""COMPUTED_VALUE"""),"Notes")</f>
        <v>Notes</v>
      </c>
      <c r="S1" s="697" t="str">
        <f>IFERROR(__xludf.DUMMYFUNCTION("""COMPUTED_VALUE"""),"Reference")</f>
        <v>Reference</v>
      </c>
      <c r="T1" s="697" t="str">
        <f>IFERROR(__xludf.DUMMYFUNCTION("""COMPUTED_VALUE"""),"URL")</f>
        <v>URL</v>
      </c>
      <c r="U1" s="697" t="str">
        <f>IFERROR(__xludf.DUMMYFUNCTION("""COMPUTED_VALUE"""),"x = exclude")</f>
        <v>x = exclude</v>
      </c>
      <c r="V1" s="697">
        <f>IFERROR(__xludf.DUMMYFUNCTION("""COMPUTED_VALUE"""),1.0)</f>
        <v>1</v>
      </c>
    </row>
    <row r="2">
      <c r="A2" s="697" t="str">
        <f>IFERROR(__xludf.DUMMYFUNCTION("""COMPUTED_VALUE"""),"Abdel Rahim IM, 1988")</f>
        <v>Abdel Rahim IM, 1988</v>
      </c>
      <c r="B2" s="697" t="str">
        <f>IFERROR(__xludf.DUMMYFUNCTION("""COMPUTED_VALUE"""),"s. mansoni")</f>
        <v>s. mansoni</v>
      </c>
      <c r="C2" s="697" t="str">
        <f>IFERROR(__xludf.DUMMYFUNCTION("""COMPUTED_VALUE"""),"Sudan")</f>
        <v>Sudan</v>
      </c>
      <c r="D2" s="697" t="str">
        <f>IFERROR(__xludf.DUMMYFUNCTION("""COMPUTED_VALUE"""),"Oxamniquine")</f>
        <v>Oxamniquine</v>
      </c>
      <c r="E2" s="697" t="str">
        <f>IFERROR(__xludf.DUMMYFUNCTION("""COMPUTED_VALUE"""),"Two")</f>
        <v>Two</v>
      </c>
      <c r="F2" s="697" t="str">
        <f>IFERROR(__xludf.DUMMYFUNCTION("""COMPUTED_VALUE"""),"15 mg/kg")</f>
        <v>15 mg/kg</v>
      </c>
      <c r="G2" s="697">
        <f>IFERROR(__xludf.DUMMYFUNCTION("""COMPUTED_VALUE"""),170.0)</f>
        <v>170</v>
      </c>
      <c r="H2" s="697" t="str">
        <f>IFERROR(__xludf.DUMMYFUNCTION("""COMPUTED_VALUE"""),"over 15")</f>
        <v>over 15</v>
      </c>
      <c r="I2" s="705" t="str">
        <f>IFERROR(__xludf.DUMMYFUNCTION("""COMPUTED_VALUE"""),"data not available")</f>
        <v>data not available</v>
      </c>
      <c r="J2" s="697">
        <f>IFERROR(__xludf.DUMMYFUNCTION("""COMPUTED_VALUE"""),1988.0)</f>
        <v>1988</v>
      </c>
      <c r="K2" s="697" t="str">
        <f>IFERROR(__xludf.DUMMYFUNCTION("""COMPUTED_VALUE"""),"adults with S. mansoni infection as determined by Kato smear")</f>
        <v>adults with S. mansoni infection as determined by Kato smear</v>
      </c>
      <c r="L2" s="697" t="str">
        <f>IFERROR(__xludf.DUMMYFUNCTION("""COMPUTED_VALUE"""),"No")</f>
        <v>No</v>
      </c>
      <c r="M2" s="697" t="str">
        <f>IFERROR(__xludf.DUMMYFUNCTION("""COMPUTED_VALUE"""),"No")</f>
        <v>No</v>
      </c>
      <c r="N2" s="697" t="str">
        <f>IFERROR(__xludf.DUMMYFUNCTION("""COMPUTED_VALUE"""),"Cure rate 6 months,")</f>
        <v>Cure rate 6 months,</v>
      </c>
      <c r="O2" s="700">
        <f>IFERROR(__xludf.DUMMYFUNCTION("""COMPUTED_VALUE"""),0.98)</f>
        <v>0.98</v>
      </c>
      <c r="P2" s="706">
        <f>IFERROR(__xludf.DUMMYFUNCTION("""COMPUTED_VALUE"""),0.621)</f>
        <v>0.621</v>
      </c>
      <c r="Q2" s="697" t="str">
        <f>IFERROR(__xludf.DUMMYFUNCTION("""COMPUTED_VALUE"""),"Total doses of 40 and 60 mg/kg b.w.t. were equally effective in producing  initial cure. To reduce the cost of chemotherapy it is suggested that a total dose of 40 mg/kb b.w.t. should be employed for radical cure of S. mansoni infections and a total dose "&amp;"of 20 mg/kb b.w.t. be onsidered for mass chemotherapy.")</f>
        <v>Total doses of 40 and 60 mg/kg b.w.t. were equally effective in producing  initial cure. To reduce the cost of chemotherapy it is suggested that a total dose of 40 mg/kb b.w.t. should be employed for radical cure of S. mansoni infections and a total dose of 20 mg/kb b.w.t. be onsidered for mass chemotherapy.</v>
      </c>
      <c r="R2" s="697"/>
      <c r="S2" s="699" t="str">
        <f>IFERROR(__xludf.DUMMYFUNCTION("""COMPUTED_VALUE"""),"Abdel-Rahim, I.M.; Haridi, A.A.M.; Abdel-Hameed, A.A. ""A field evaluation of three dose levels of oxamniquine in Gezira--Sudan."" East African medical journal 65.11 (1988): 771-777. Web.")</f>
        <v>Abdel-Rahim, I.M.; Haridi, A.A.M.; Abdel-Hameed, A.A. "A field evaluation of three dose levels of oxamniquine in Gezira--Sudan." East African medical journal 65.11 (1988): 771-777. Web.</v>
      </c>
      <c r="T2" s="697"/>
      <c r="U2" s="697" t="str">
        <f>IFERROR(__xludf.DUMMYFUNCTION("""COMPUTED_VALUE"""),"x")</f>
        <v>x</v>
      </c>
      <c r="V2" s="697">
        <f>IFERROR(__xludf.DUMMYFUNCTION("""COMPUTED_VALUE"""),2.0)</f>
        <v>2</v>
      </c>
    </row>
    <row r="3">
      <c r="A3" s="697" t="str">
        <f>IFERROR(__xludf.DUMMYFUNCTION("""COMPUTED_VALUE"""),"Abdel Rahim IM, 1988")</f>
        <v>Abdel Rahim IM, 1988</v>
      </c>
      <c r="B3" s="697" t="str">
        <f>IFERROR(__xludf.DUMMYFUNCTION("""COMPUTED_VALUE"""),"s. mansoni")</f>
        <v>s. mansoni</v>
      </c>
      <c r="C3" s="697" t="str">
        <f>IFERROR(__xludf.DUMMYFUNCTION("""COMPUTED_VALUE"""),"Sudan")</f>
        <v>Sudan</v>
      </c>
      <c r="D3" s="697" t="str">
        <f>IFERROR(__xludf.DUMMYFUNCTION("""COMPUTED_VALUE"""),"Oxamniquine")</f>
        <v>Oxamniquine</v>
      </c>
      <c r="E3" s="697" t="str">
        <f>IFERROR(__xludf.DUMMYFUNCTION("""COMPUTED_VALUE"""),"Two")</f>
        <v>Two</v>
      </c>
      <c r="F3" s="697" t="str">
        <f>IFERROR(__xludf.DUMMYFUNCTION("""COMPUTED_VALUE"""),"10 mg/kg ")</f>
        <v>10 mg/kg </v>
      </c>
      <c r="G3" s="697">
        <f>IFERROR(__xludf.DUMMYFUNCTION("""COMPUTED_VALUE"""),170.0)</f>
        <v>170</v>
      </c>
      <c r="H3" s="697" t="str">
        <f>IFERROR(__xludf.DUMMYFUNCTION("""COMPUTED_VALUE"""),"over 15")</f>
        <v>over 15</v>
      </c>
      <c r="I3" s="705" t="str">
        <f>IFERROR(__xludf.DUMMYFUNCTION("""COMPUTED_VALUE"""),"data not available")</f>
        <v>data not available</v>
      </c>
      <c r="J3" s="697">
        <f>IFERROR(__xludf.DUMMYFUNCTION("""COMPUTED_VALUE"""),1988.0)</f>
        <v>1988</v>
      </c>
      <c r="K3" s="697" t="str">
        <f>IFERROR(__xludf.DUMMYFUNCTION("""COMPUTED_VALUE"""),"adults with S. mansoni infection as determined by Kato smear")</f>
        <v>adults with S. mansoni infection as determined by Kato smear</v>
      </c>
      <c r="L3" s="697" t="str">
        <f>IFERROR(__xludf.DUMMYFUNCTION("""COMPUTED_VALUE"""),"No")</f>
        <v>No</v>
      </c>
      <c r="M3" s="697" t="str">
        <f>IFERROR(__xludf.DUMMYFUNCTION("""COMPUTED_VALUE"""),"No")</f>
        <v>No</v>
      </c>
      <c r="N3" s="697" t="str">
        <f>IFERROR(__xludf.DUMMYFUNCTION("""COMPUTED_VALUE"""),"Cure rate 6 months,")</f>
        <v>Cure rate 6 months,</v>
      </c>
      <c r="O3" s="700">
        <f>IFERROR(__xludf.DUMMYFUNCTION("""COMPUTED_VALUE"""),0.88)</f>
        <v>0.88</v>
      </c>
      <c r="P3" s="706">
        <f>IFERROR(__xludf.DUMMYFUNCTION("""COMPUTED_VALUE"""),0.568)</f>
        <v>0.568</v>
      </c>
      <c r="Q3" s="697" t="str">
        <f>IFERROR(__xludf.DUMMYFUNCTION("""COMPUTED_VALUE"""),"Total doses of 40 and 60 mg/kg b.w.t. were equally effective in producing  initial cure. To reduce the cost of chemotherapy it is suggested that a total dose of 40 mg/kb b.w.t. should be employed for radical cure of S. mansoni infections and a total dose "&amp;"of 20 mg/kb b.w.t. be onsidered for mass chemotherapy.")</f>
        <v>Total doses of 40 and 60 mg/kg b.w.t. were equally effective in producing  initial cure. To reduce the cost of chemotherapy it is suggested that a total dose of 40 mg/kb b.w.t. should be employed for radical cure of S. mansoni infections and a total dose of 20 mg/kb b.w.t. be onsidered for mass chemotherapy.</v>
      </c>
      <c r="R3" s="697"/>
      <c r="S3" s="699" t="str">
        <f>IFERROR(__xludf.DUMMYFUNCTION("""COMPUTED_VALUE"""),"Abdel-Rahim, I.M.; Haridi, A.A.M.; Abdel-Hameed, A.A. ""A field evaluation of three dose levels of oxamniquine in Gezira--Sudan."" East African medical journal 65.11 (1988): 771-777. Web.")</f>
        <v>Abdel-Rahim, I.M.; Haridi, A.A.M.; Abdel-Hameed, A.A. "A field evaluation of three dose levels of oxamniquine in Gezira--Sudan." East African medical journal 65.11 (1988): 771-777. Web.</v>
      </c>
      <c r="T3" s="697"/>
      <c r="U3" s="697" t="str">
        <f>IFERROR(__xludf.DUMMYFUNCTION("""COMPUTED_VALUE"""),"x")</f>
        <v>x</v>
      </c>
      <c r="V3" s="697">
        <f>IFERROR(__xludf.DUMMYFUNCTION("""COMPUTED_VALUE"""),3.0)</f>
        <v>3</v>
      </c>
    </row>
    <row r="4">
      <c r="A4" s="697" t="str">
        <f>IFERROR(__xludf.DUMMYFUNCTION("""COMPUTED_VALUE"""),"Abdel Rahim IM, 1988")</f>
        <v>Abdel Rahim IM, 1988</v>
      </c>
      <c r="B4" s="697" t="str">
        <f>IFERROR(__xludf.DUMMYFUNCTION("""COMPUTED_VALUE"""),"s. mansoni")</f>
        <v>s. mansoni</v>
      </c>
      <c r="C4" s="697" t="str">
        <f>IFERROR(__xludf.DUMMYFUNCTION("""COMPUTED_VALUE"""),"Sudan")</f>
        <v>Sudan</v>
      </c>
      <c r="D4" s="697" t="str">
        <f>IFERROR(__xludf.DUMMYFUNCTION("""COMPUTED_VALUE"""),"Oxamniquine")</f>
        <v>Oxamniquine</v>
      </c>
      <c r="E4" s="697" t="str">
        <f>IFERROR(__xludf.DUMMYFUNCTION("""COMPUTED_VALUE"""),"Single")</f>
        <v>Single</v>
      </c>
      <c r="F4" s="697" t="str">
        <f>IFERROR(__xludf.DUMMYFUNCTION("""COMPUTED_VALUE"""),"10 mg/kg ")</f>
        <v>10 mg/kg </v>
      </c>
      <c r="G4" s="697">
        <f>IFERROR(__xludf.DUMMYFUNCTION("""COMPUTED_VALUE"""),170.0)</f>
        <v>170</v>
      </c>
      <c r="H4" s="697" t="str">
        <f>IFERROR(__xludf.DUMMYFUNCTION("""COMPUTED_VALUE"""),"over 15")</f>
        <v>over 15</v>
      </c>
      <c r="I4" s="705" t="str">
        <f>IFERROR(__xludf.DUMMYFUNCTION("""COMPUTED_VALUE"""),"data not available")</f>
        <v>data not available</v>
      </c>
      <c r="J4" s="697">
        <f>IFERROR(__xludf.DUMMYFUNCTION("""COMPUTED_VALUE"""),1988.0)</f>
        <v>1988</v>
      </c>
      <c r="K4" s="697" t="str">
        <f>IFERROR(__xludf.DUMMYFUNCTION("""COMPUTED_VALUE"""),"adults with S. mansoni infection as determined by Kato smear")</f>
        <v>adults with S. mansoni infection as determined by Kato smear</v>
      </c>
      <c r="L4" s="697" t="str">
        <f>IFERROR(__xludf.DUMMYFUNCTION("""COMPUTED_VALUE"""),"No")</f>
        <v>No</v>
      </c>
      <c r="M4" s="697" t="str">
        <f>IFERROR(__xludf.DUMMYFUNCTION("""COMPUTED_VALUE"""),"No")</f>
        <v>No</v>
      </c>
      <c r="N4" s="697" t="str">
        <f>IFERROR(__xludf.DUMMYFUNCTION("""COMPUTED_VALUE"""),"Cure rate 6 months,")</f>
        <v>Cure rate 6 months,</v>
      </c>
      <c r="O4" s="700">
        <f>IFERROR(__xludf.DUMMYFUNCTION("""COMPUTED_VALUE"""),0.73)</f>
        <v>0.73</v>
      </c>
      <c r="P4" s="706">
        <f>IFERROR(__xludf.DUMMYFUNCTION("""COMPUTED_VALUE"""),0.571)</f>
        <v>0.571</v>
      </c>
      <c r="Q4" s="697" t="str">
        <f>IFERROR(__xludf.DUMMYFUNCTION("""COMPUTED_VALUE"""),"Total doses of 40 and 60 mg/kg b.w.t. were equally effective in producing  initial cure. To reduce the cost of chemotherapy it is suggested that a total dose of 40 mg/kb b.w.t. should be employed for radical cure of S. mansoni infections and a total dose "&amp;"of 20 mg/kb b.w.t. be onsidered for mass chemotherapy.")</f>
        <v>Total doses of 40 and 60 mg/kg b.w.t. were equally effective in producing  initial cure. To reduce the cost of chemotherapy it is suggested that a total dose of 40 mg/kb b.w.t. should be employed for radical cure of S. mansoni infections and a total dose of 20 mg/kb b.w.t. be onsidered for mass chemotherapy.</v>
      </c>
      <c r="R4" s="697"/>
      <c r="S4" s="699" t="str">
        <f>IFERROR(__xludf.DUMMYFUNCTION("""COMPUTED_VALUE"""),"Abdel-Rahim, I.M.; Haridi, A.A.M.; Abdel-Hameed, A.A. ""A field evaluation of three dose levels of oxamniquine in Gezira--Sudan."" East African medical journal 65.11 (1988): 771-777. Web.")</f>
        <v>Abdel-Rahim, I.M.; Haridi, A.A.M.; Abdel-Hameed, A.A. "A field evaluation of three dose levels of oxamniquine in Gezira--Sudan." East African medical journal 65.11 (1988): 771-777. Web.</v>
      </c>
      <c r="T4" s="697"/>
      <c r="U4" s="697" t="str">
        <f>IFERROR(__xludf.DUMMYFUNCTION("""COMPUTED_VALUE"""),"x")</f>
        <v>x</v>
      </c>
      <c r="V4" s="697">
        <f>IFERROR(__xludf.DUMMYFUNCTION("""COMPUTED_VALUE"""),4.0)</f>
        <v>4</v>
      </c>
    </row>
    <row r="5">
      <c r="A5" s="697" t="str">
        <f>IFERROR(__xludf.DUMMYFUNCTION("""COMPUTED_VALUE"""),"Abdel Rahim IM, 1988")</f>
        <v>Abdel Rahim IM, 1988</v>
      </c>
      <c r="B5" s="697" t="str">
        <f>IFERROR(__xludf.DUMMYFUNCTION("""COMPUTED_VALUE"""),"s. mansoni")</f>
        <v>s. mansoni</v>
      </c>
      <c r="C5" s="697" t="str">
        <f>IFERROR(__xludf.DUMMYFUNCTION("""COMPUTED_VALUE"""),"Sudan")</f>
        <v>Sudan</v>
      </c>
      <c r="D5" s="697" t="str">
        <f>IFERROR(__xludf.DUMMYFUNCTION("""COMPUTED_VALUE"""),"Oxamniquine")</f>
        <v>Oxamniquine</v>
      </c>
      <c r="E5" s="697" t="str">
        <f>IFERROR(__xludf.DUMMYFUNCTION("""COMPUTED_VALUE"""),"Two")</f>
        <v>Two</v>
      </c>
      <c r="F5" s="697" t="str">
        <f>IFERROR(__xludf.DUMMYFUNCTION("""COMPUTED_VALUE"""),"15 mg/kg  ")</f>
        <v>15 mg/kg  </v>
      </c>
      <c r="G5" s="697">
        <f>IFERROR(__xludf.DUMMYFUNCTION("""COMPUTED_VALUE"""),126.0)</f>
        <v>126</v>
      </c>
      <c r="H5" s="697" t="str">
        <f>IFERROR(__xludf.DUMMYFUNCTION("""COMPUTED_VALUE"""),"5- 15")</f>
        <v>5- 15</v>
      </c>
      <c r="I5" s="705" t="str">
        <f>IFERROR(__xludf.DUMMYFUNCTION("""COMPUTED_VALUE"""),"data not available")</f>
        <v>data not available</v>
      </c>
      <c r="J5" s="697">
        <f>IFERROR(__xludf.DUMMYFUNCTION("""COMPUTED_VALUE"""),1988.0)</f>
        <v>1988</v>
      </c>
      <c r="K5" s="697" t="str">
        <f>IFERROR(__xludf.DUMMYFUNCTION("""COMPUTED_VALUE"""),"children with S. mansoni infection as determined by Kato smear")</f>
        <v>children with S. mansoni infection as determined by Kato smear</v>
      </c>
      <c r="L5" s="697" t="str">
        <f>IFERROR(__xludf.DUMMYFUNCTION("""COMPUTED_VALUE"""),"No")</f>
        <v>No</v>
      </c>
      <c r="M5" s="697" t="str">
        <f>IFERROR(__xludf.DUMMYFUNCTION("""COMPUTED_VALUE"""),"No")</f>
        <v>No</v>
      </c>
      <c r="N5" s="697" t="str">
        <f>IFERROR(__xludf.DUMMYFUNCTION("""COMPUTED_VALUE"""),"Cure rate 6 months and 8 months")</f>
        <v>Cure rate 6 months and 8 months</v>
      </c>
      <c r="O5" s="700">
        <f>IFERROR(__xludf.DUMMYFUNCTION("""COMPUTED_VALUE"""),0.36)</f>
        <v>0.36</v>
      </c>
      <c r="P5" s="706">
        <f>IFERROR(__xludf.DUMMYFUNCTION("""COMPUTED_VALUE"""),0.621)</f>
        <v>0.621</v>
      </c>
      <c r="Q5" s="697" t="str">
        <f>IFERROR(__xludf.DUMMYFUNCTION("""COMPUTED_VALUE"""),"Total doses of 40 and 60 mg/kg b.w.t. were equally effective in producing  initial cure. To reduce the cost of chemotherapy it is suggested that a total dose of 40 mg/kb b.w.t. should be employed for radical cure of S. mansoni infections and a total dose "&amp;"of 20 mg/kb b.w.t. be onsidered for mass chemotherapy.")</f>
        <v>Total doses of 40 and 60 mg/kg b.w.t. were equally effective in producing  initial cure. To reduce the cost of chemotherapy it is suggested that a total dose of 40 mg/kb b.w.t. should be employed for radical cure of S. mansoni infections and a total dose of 20 mg/kb b.w.t. be onsidered for mass chemotherapy.</v>
      </c>
      <c r="R5" s="697"/>
      <c r="S5" s="699" t="str">
        <f>IFERROR(__xludf.DUMMYFUNCTION("""COMPUTED_VALUE"""),"Abdel-Rahim, I.M.; Haridi, A.A.M.; Abdel-Hameed, A.A. ""A field evaluation of three dose levels of oxamniquine in Gezira--Sudan."" East African medical journal 65.11 (1988): 771-777. Web.")</f>
        <v>Abdel-Rahim, I.M.; Haridi, A.A.M.; Abdel-Hameed, A.A. "A field evaluation of three dose levels of oxamniquine in Gezira--Sudan." East African medical journal 65.11 (1988): 771-777. Web.</v>
      </c>
      <c r="T5" s="697"/>
      <c r="U5" s="697" t="str">
        <f>IFERROR(__xludf.DUMMYFUNCTION("""COMPUTED_VALUE"""),"x")</f>
        <v>x</v>
      </c>
      <c r="V5" s="697">
        <f>IFERROR(__xludf.DUMMYFUNCTION("""COMPUTED_VALUE"""),5.0)</f>
        <v>5</v>
      </c>
    </row>
    <row r="6">
      <c r="A6" s="697" t="str">
        <f>IFERROR(__xludf.DUMMYFUNCTION("""COMPUTED_VALUE"""),"Abdel Rahim IM, 1988")</f>
        <v>Abdel Rahim IM, 1988</v>
      </c>
      <c r="B6" s="697" t="str">
        <f>IFERROR(__xludf.DUMMYFUNCTION("""COMPUTED_VALUE"""),"s. mansoni")</f>
        <v>s. mansoni</v>
      </c>
      <c r="C6" s="697" t="str">
        <f>IFERROR(__xludf.DUMMYFUNCTION("""COMPUTED_VALUE"""),"Sudan")</f>
        <v>Sudan</v>
      </c>
      <c r="D6" s="697" t="str">
        <f>IFERROR(__xludf.DUMMYFUNCTION("""COMPUTED_VALUE"""),"Oxamniquine")</f>
        <v>Oxamniquine</v>
      </c>
      <c r="E6" s="697" t="str">
        <f>IFERROR(__xludf.DUMMYFUNCTION("""COMPUTED_VALUE"""),"Two")</f>
        <v>Two</v>
      </c>
      <c r="F6" s="697" t="str">
        <f>IFERROR(__xludf.DUMMYFUNCTION("""COMPUTED_VALUE"""),"10 mg/kg")</f>
        <v>10 mg/kg</v>
      </c>
      <c r="G6" s="697">
        <f>IFERROR(__xludf.DUMMYFUNCTION("""COMPUTED_VALUE"""),126.0)</f>
        <v>126</v>
      </c>
      <c r="H6" s="697" t="str">
        <f>IFERROR(__xludf.DUMMYFUNCTION("""COMPUTED_VALUE"""),"5- 15")</f>
        <v>5- 15</v>
      </c>
      <c r="I6" s="705" t="str">
        <f>IFERROR(__xludf.DUMMYFUNCTION("""COMPUTED_VALUE"""),"data not available")</f>
        <v>data not available</v>
      </c>
      <c r="J6" s="697">
        <f>IFERROR(__xludf.DUMMYFUNCTION("""COMPUTED_VALUE"""),1988.0)</f>
        <v>1988</v>
      </c>
      <c r="K6" s="697" t="str">
        <f>IFERROR(__xludf.DUMMYFUNCTION("""COMPUTED_VALUE"""),"children with S. mansoni infection as determined by Kato smear")</f>
        <v>children with S. mansoni infection as determined by Kato smear</v>
      </c>
      <c r="L6" s="697" t="str">
        <f>IFERROR(__xludf.DUMMYFUNCTION("""COMPUTED_VALUE"""),"No")</f>
        <v>No</v>
      </c>
      <c r="M6" s="697" t="str">
        <f>IFERROR(__xludf.DUMMYFUNCTION("""COMPUTED_VALUE"""),"No")</f>
        <v>No</v>
      </c>
      <c r="N6" s="697" t="str">
        <f>IFERROR(__xludf.DUMMYFUNCTION("""COMPUTED_VALUE"""),"Cure rate 6 months and 8 months")</f>
        <v>Cure rate 6 months and 8 months</v>
      </c>
      <c r="O6" s="698">
        <f>IFERROR(__xludf.DUMMYFUNCTION("""COMPUTED_VALUE"""),0.58)</f>
        <v>0.58</v>
      </c>
      <c r="P6" s="706">
        <f>IFERROR(__xludf.DUMMYFUNCTION("""COMPUTED_VALUE"""),0.568)</f>
        <v>0.568</v>
      </c>
      <c r="Q6" s="697" t="str">
        <f>IFERROR(__xludf.DUMMYFUNCTION("""COMPUTED_VALUE"""),"Total doses of 40 and 60 mg/kg b.w.t. were equally effective in producing  initial cure. To reduce the cost of chemotherapy it is suggested that a total dose of 40 mg/kb b.w.t. should be employed for radical cure of S. mansoni infections and a total dose "&amp;"of 20 mg/kb b.w.t. be onsidered for mass chemotherapy.")</f>
        <v>Total doses of 40 and 60 mg/kg b.w.t. were equally effective in producing  initial cure. To reduce the cost of chemotherapy it is suggested that a total dose of 40 mg/kb b.w.t. should be employed for radical cure of S. mansoni infections and a total dose of 20 mg/kb b.w.t. be onsidered for mass chemotherapy.</v>
      </c>
      <c r="R6" s="697"/>
      <c r="S6" s="699" t="str">
        <f>IFERROR(__xludf.DUMMYFUNCTION("""COMPUTED_VALUE"""),"Abdel-Rahim, I.M.; Haridi, A.A.M.; Abdel-Hameed, A.A. ""A field evaluation of three dose levels of oxamniquine in Gezira--Sudan."" East African medical journal 65.11 (1988): 771-777. Web.")</f>
        <v>Abdel-Rahim, I.M.; Haridi, A.A.M.; Abdel-Hameed, A.A. "A field evaluation of three dose levels of oxamniquine in Gezira--Sudan." East African medical journal 65.11 (1988): 771-777. Web.</v>
      </c>
      <c r="T6" s="697"/>
      <c r="U6" s="697" t="str">
        <f>IFERROR(__xludf.DUMMYFUNCTION("""COMPUTED_VALUE"""),"x")</f>
        <v>x</v>
      </c>
      <c r="V6" s="697">
        <f>IFERROR(__xludf.DUMMYFUNCTION("""COMPUTED_VALUE"""),6.0)</f>
        <v>6</v>
      </c>
    </row>
    <row r="7">
      <c r="A7" s="697" t="str">
        <f>IFERROR(__xludf.DUMMYFUNCTION("""COMPUTED_VALUE"""),"Abdel Rahim IM, 1988")</f>
        <v>Abdel Rahim IM, 1988</v>
      </c>
      <c r="B7" s="697" t="str">
        <f>IFERROR(__xludf.DUMMYFUNCTION("""COMPUTED_VALUE"""),"s. mansoni")</f>
        <v>s. mansoni</v>
      </c>
      <c r="C7" s="697" t="str">
        <f>IFERROR(__xludf.DUMMYFUNCTION("""COMPUTED_VALUE"""),"Sudan")</f>
        <v>Sudan</v>
      </c>
      <c r="D7" s="697" t="str">
        <f>IFERROR(__xludf.DUMMYFUNCTION("""COMPUTED_VALUE"""),"Oxamniquine")</f>
        <v>Oxamniquine</v>
      </c>
      <c r="E7" s="697" t="str">
        <f>IFERROR(__xludf.DUMMYFUNCTION("""COMPUTED_VALUE"""),"Single")</f>
        <v>Single</v>
      </c>
      <c r="F7" s="697" t="str">
        <f>IFERROR(__xludf.DUMMYFUNCTION("""COMPUTED_VALUE"""),"10 mg/kg ")</f>
        <v>10 mg/kg </v>
      </c>
      <c r="G7" s="697">
        <f>IFERROR(__xludf.DUMMYFUNCTION("""COMPUTED_VALUE"""),126.0)</f>
        <v>126</v>
      </c>
      <c r="H7" s="697" t="str">
        <f>IFERROR(__xludf.DUMMYFUNCTION("""COMPUTED_VALUE"""),"5- 15")</f>
        <v>5- 15</v>
      </c>
      <c r="I7" s="705" t="str">
        <f>IFERROR(__xludf.DUMMYFUNCTION("""COMPUTED_VALUE"""),"data not available")</f>
        <v>data not available</v>
      </c>
      <c r="J7" s="697">
        <f>IFERROR(__xludf.DUMMYFUNCTION("""COMPUTED_VALUE"""),1988.0)</f>
        <v>1988</v>
      </c>
      <c r="K7" s="697" t="str">
        <f>IFERROR(__xludf.DUMMYFUNCTION("""COMPUTED_VALUE"""),"children with S. mansoni infection as determined by Kato smear")</f>
        <v>children with S. mansoni infection as determined by Kato smear</v>
      </c>
      <c r="L7" s="697" t="str">
        <f>IFERROR(__xludf.DUMMYFUNCTION("""COMPUTED_VALUE"""),"No")</f>
        <v>No</v>
      </c>
      <c r="M7" s="697" t="str">
        <f>IFERROR(__xludf.DUMMYFUNCTION("""COMPUTED_VALUE"""),"No")</f>
        <v>No</v>
      </c>
      <c r="N7" s="697" t="str">
        <f>IFERROR(__xludf.DUMMYFUNCTION("""COMPUTED_VALUE"""),"Cure rate 6 months and 8 months")</f>
        <v>Cure rate 6 months and 8 months</v>
      </c>
      <c r="O7" s="700">
        <f>IFERROR(__xludf.DUMMYFUNCTION("""COMPUTED_VALUE"""),0.63)</f>
        <v>0.63</v>
      </c>
      <c r="P7" s="706">
        <f>IFERROR(__xludf.DUMMYFUNCTION("""COMPUTED_VALUE"""),0.571)</f>
        <v>0.571</v>
      </c>
      <c r="Q7" s="697" t="str">
        <f>IFERROR(__xludf.DUMMYFUNCTION("""COMPUTED_VALUE"""),"Total doses of 40 and 60 mg/kg b.w.t. were equally effective in producing  initial cure. To reduce the cost of chemotherapy it is suggested that a total dose of 40 mg/kb b.w.t. should be employed for radical cure of S. mansoni infections and a total dose "&amp;"of 20 mg/kb b.w.t. be onsidered for mass chemotherapy.")</f>
        <v>Total doses of 40 and 60 mg/kg b.w.t. were equally effective in producing  initial cure. To reduce the cost of chemotherapy it is suggested that a total dose of 40 mg/kb b.w.t. should be employed for radical cure of S. mansoni infections and a total dose of 20 mg/kb b.w.t. be onsidered for mass chemotherapy.</v>
      </c>
      <c r="R7" s="697"/>
      <c r="S7" s="699" t="str">
        <f>IFERROR(__xludf.DUMMYFUNCTION("""COMPUTED_VALUE"""),"Abdel-Rahim, I.M.; Haridi, A.A.M.; Abdel-Hameed, A.A. ""A field evaluation of three dose levels of oxamniquine in Gezira--Sudan."" East African medical journal 65.11 (1988): 771-777. Web.")</f>
        <v>Abdel-Rahim, I.M.; Haridi, A.A.M.; Abdel-Hameed, A.A. "A field evaluation of three dose levels of oxamniquine in Gezira--Sudan." East African medical journal 65.11 (1988): 771-777. Web.</v>
      </c>
      <c r="T7" s="699" t="str">
        <f>IFERROR(__xludf.DUMMYFUNCTION("""COMPUTED_VALUE"""),"Abdel-Rahim, I. M.; Haridi, A.A.M.; Abdel-Hameed, A.A. ""A Field Evaluation of Three-Dose Levels in Gezira-Sudan"". ""A Field Evaluation of Three Dose Levels of Oxamniquine in Gezira - Sudan"". 1988. East African Medical Journal 65(11): 771-777. Web. ")</f>
        <v>Abdel-Rahim, I. M.; Haridi, A.A.M.; Abdel-Hameed, A.A. "A Field Evaluation of Three-Dose Levels in Gezira-Sudan". "A Field Evaluation of Three Dose Levels of Oxamniquine in Gezira - Sudan". 1988. East African Medical Journal 65(11): 771-777. Web. </v>
      </c>
      <c r="U7" s="697" t="str">
        <f>IFERROR(__xludf.DUMMYFUNCTION("""COMPUTED_VALUE"""),"x")</f>
        <v>x</v>
      </c>
      <c r="V7" s="697">
        <f>IFERROR(__xludf.DUMMYFUNCTION("""COMPUTED_VALUE"""),7.0)</f>
        <v>7</v>
      </c>
    </row>
    <row r="8">
      <c r="A8" s="697" t="str">
        <f>IFERROR(__xludf.DUMMYFUNCTION("""COMPUTED_VALUE"""),"Ayele T, 1984")</f>
        <v>Ayele T, 1984</v>
      </c>
      <c r="B8" s="697" t="str">
        <f>IFERROR(__xludf.DUMMYFUNCTION("""COMPUTED_VALUE"""),"s. mansoni")</f>
        <v>s. mansoni</v>
      </c>
      <c r="C8" s="697" t="str">
        <f>IFERROR(__xludf.DUMMYFUNCTION("""COMPUTED_VALUE"""),"South America")</f>
        <v>South America</v>
      </c>
      <c r="D8" s="697" t="str">
        <f>IFERROR(__xludf.DUMMYFUNCTION("""COMPUTED_VALUE"""),"Oxamniquine")</f>
        <v>Oxamniquine</v>
      </c>
      <c r="E8" s="697" t="str">
        <f>IFERROR(__xludf.DUMMYFUNCTION("""COMPUTED_VALUE"""),"Two")</f>
        <v>Two</v>
      </c>
      <c r="F8" s="697" t="str">
        <f>IFERROR(__xludf.DUMMYFUNCTION("""COMPUTED_VALUE"""),"15 mg/kg ")</f>
        <v>15 mg/kg </v>
      </c>
      <c r="G8" s="697">
        <f>IFERROR(__xludf.DUMMYFUNCTION("""COMPUTED_VALUE"""),14.0)</f>
        <v>14</v>
      </c>
      <c r="H8" s="697" t="str">
        <f>IFERROR(__xludf.DUMMYFUNCTION("""COMPUTED_VALUE"""),"&gt;15 years ")</f>
        <v>&gt;15 years </v>
      </c>
      <c r="I8" s="705" t="str">
        <f>IFERROR(__xludf.DUMMYFUNCTION("""COMPUTED_VALUE"""),"data not available")</f>
        <v>data not available</v>
      </c>
      <c r="J8" s="697">
        <f>IFERROR(__xludf.DUMMYFUNCTION("""COMPUTED_VALUE"""),1984.0)</f>
        <v>1984</v>
      </c>
      <c r="K8" s="697" t="str">
        <f>IFERROR(__xludf.DUMMYFUNCTION("""COMPUTED_VALUE"""),"adolescents and adults aged over 15 years with a geometric mean of 200 EPG or above")</f>
        <v>adolescents and adults aged over 15 years with a geometric mean of 200 EPG or above</v>
      </c>
      <c r="L8" s="697" t="str">
        <f>IFERROR(__xludf.DUMMYFUNCTION("""COMPUTED_VALUE"""),"Yes")</f>
        <v>Yes</v>
      </c>
      <c r="M8" s="697" t="str">
        <f>IFERROR(__xludf.DUMMYFUNCTION("""COMPUTED_VALUE"""),"Yes")</f>
        <v>Yes</v>
      </c>
      <c r="N8" s="697" t="str">
        <f>IFERROR(__xludf.DUMMYFUNCTION("""COMPUTED_VALUE"""),"Cure rate 3 months with modified Kato-Katz thick smear of egg reduction rate")</f>
        <v>Cure rate 3 months with modified Kato-Katz thick smear of egg reduction rate</v>
      </c>
      <c r="O8" s="700">
        <f>IFERROR(__xludf.DUMMYFUNCTION("""COMPUTED_VALUE"""),1.0)</f>
        <v>1</v>
      </c>
      <c r="P8" s="700">
        <f>IFERROR(__xludf.DUMMYFUNCTION("""COMPUTED_VALUE"""),1.0)</f>
        <v>1</v>
      </c>
      <c r="Q8" s="697" t="str">
        <f>IFERROR(__xludf.DUMMYFUNCTION("""COMPUTED_VALUE"""),"Optimal clinical cures can be achieved.  ")</f>
        <v>Optimal clinical cures can be achieved.  </v>
      </c>
      <c r="R8" s="697" t="str">
        <f>IFERROR(__xludf.DUMMYFUNCTION("""COMPUTED_VALUE"""),"Preliminary clinical trial of oral oxamniquine in the treatment of Schistosoma mansoni in Ethiopia")</f>
        <v>Preliminary clinical trial of oral oxamniquine in the treatment of Schistosoma mansoni in Ethiopia</v>
      </c>
      <c r="S8" s="699" t="str">
        <f>IFERROR(__xludf.DUMMYFUNCTION("""COMPUTED_VALUE"""),"Ayele T. Preliminary clinical trial of oral oxamniquine in the treatment of Schistosoma mansoni in Ethiopia. East African Medical Journal 1984;61(8):632–6.")</f>
        <v>Ayele T. Preliminary clinical trial of oral oxamniquine in the treatment of Schistosoma mansoni in Ethiopia. East African Medical Journal 1984;61(8):632–6.</v>
      </c>
      <c r="T8" s="697"/>
      <c r="U8" s="697" t="str">
        <f>IFERROR(__xludf.DUMMYFUNCTION("""COMPUTED_VALUE"""),"")</f>
        <v/>
      </c>
      <c r="V8" s="697">
        <f>IFERROR(__xludf.DUMMYFUNCTION("""COMPUTED_VALUE"""),8.0)</f>
        <v>8</v>
      </c>
    </row>
    <row r="9">
      <c r="A9" s="697" t="str">
        <f>IFERROR(__xludf.DUMMYFUNCTION("""COMPUTED_VALUE"""),"Ayele T, 1984")</f>
        <v>Ayele T, 1984</v>
      </c>
      <c r="B9" s="697" t="str">
        <f>IFERROR(__xludf.DUMMYFUNCTION("""COMPUTED_VALUE"""),"s. mansoni")</f>
        <v>s. mansoni</v>
      </c>
      <c r="C9" s="697" t="str">
        <f>IFERROR(__xludf.DUMMYFUNCTION("""COMPUTED_VALUE"""),"South America")</f>
        <v>South America</v>
      </c>
      <c r="D9" s="697" t="str">
        <f>IFERROR(__xludf.DUMMYFUNCTION("""COMPUTED_VALUE"""),"Oxamniquine")</f>
        <v>Oxamniquine</v>
      </c>
      <c r="E9" s="697" t="str">
        <f>IFERROR(__xludf.DUMMYFUNCTION("""COMPUTED_VALUE"""),"Two")</f>
        <v>Two</v>
      </c>
      <c r="F9" s="697" t="str">
        <f>IFERROR(__xludf.DUMMYFUNCTION("""COMPUTED_VALUE"""),"20 mg/kg")</f>
        <v>20 mg/kg</v>
      </c>
      <c r="G9" s="697">
        <f>IFERROR(__xludf.DUMMYFUNCTION("""COMPUTED_VALUE"""),14.0)</f>
        <v>14</v>
      </c>
      <c r="H9" s="697" t="str">
        <f>IFERROR(__xludf.DUMMYFUNCTION("""COMPUTED_VALUE"""),"&gt;15 years")</f>
        <v>&gt;15 years</v>
      </c>
      <c r="I9" s="705" t="str">
        <f>IFERROR(__xludf.DUMMYFUNCTION("""COMPUTED_VALUE"""),"data not available")</f>
        <v>data not available</v>
      </c>
      <c r="J9" s="697">
        <f>IFERROR(__xludf.DUMMYFUNCTION("""COMPUTED_VALUE"""),1984.0)</f>
        <v>1984</v>
      </c>
      <c r="K9" s="697" t="str">
        <f>IFERROR(__xludf.DUMMYFUNCTION("""COMPUTED_VALUE"""),"adolescents and adults aged over 15 years with a geometric mean of 200 EPG or above")</f>
        <v>adolescents and adults aged over 15 years with a geometric mean of 200 EPG or above</v>
      </c>
      <c r="L9" s="697" t="str">
        <f>IFERROR(__xludf.DUMMYFUNCTION("""COMPUTED_VALUE"""),"Yes")</f>
        <v>Yes</v>
      </c>
      <c r="M9" s="697" t="str">
        <f>IFERROR(__xludf.DUMMYFUNCTION("""COMPUTED_VALUE"""),"Yes")</f>
        <v>Yes</v>
      </c>
      <c r="N9" s="697" t="str">
        <f>IFERROR(__xludf.DUMMYFUNCTION("""COMPUTED_VALUE"""),"3 months ")</f>
        <v>3 months </v>
      </c>
      <c r="O9" s="700">
        <f>IFERROR(__xludf.DUMMYFUNCTION("""COMPUTED_VALUE"""),1.0)</f>
        <v>1</v>
      </c>
      <c r="P9" s="700">
        <f>IFERROR(__xludf.DUMMYFUNCTION("""COMPUTED_VALUE"""),1.0)</f>
        <v>1</v>
      </c>
      <c r="Q9" s="697" t="str">
        <f>IFERROR(__xludf.DUMMYFUNCTION("""COMPUTED_VALUE"""),"Optimal clinical cures can be achieved.  ")</f>
        <v>Optimal clinical cures can be achieved.  </v>
      </c>
      <c r="R9" s="697" t="str">
        <f>IFERROR(__xludf.DUMMYFUNCTION("""COMPUTED_VALUE"""),"Preliminary clinical trial of oral oxamniquine in the treatment of Schistosoma mansoni in Ethiopia")</f>
        <v>Preliminary clinical trial of oral oxamniquine in the treatment of Schistosoma mansoni in Ethiopia</v>
      </c>
      <c r="S9" s="699" t="str">
        <f>IFERROR(__xludf.DUMMYFUNCTION("""COMPUTED_VALUE"""),"Ayele T. Preliminary clinical trial of oral oxamniquine in the treatment of Schistosoma mansoni in Ethiopia. East African Medical Journal 1984;61(8):632–6.")</f>
        <v>Ayele T. Preliminary clinical trial of oral oxamniquine in the treatment of Schistosoma mansoni in Ethiopia. East African Medical Journal 1984;61(8):632–6.</v>
      </c>
      <c r="T9" s="697"/>
      <c r="U9" s="697" t="str">
        <f>IFERROR(__xludf.DUMMYFUNCTION("""COMPUTED_VALUE"""),"")</f>
        <v/>
      </c>
      <c r="V9" s="697">
        <f>IFERROR(__xludf.DUMMYFUNCTION("""COMPUTED_VALUE"""),9.0)</f>
        <v>9</v>
      </c>
    </row>
    <row r="10">
      <c r="A10" s="697" t="str">
        <f>IFERROR(__xludf.DUMMYFUNCTION("""COMPUTED_VALUE"""),"Ayele T, 1984")</f>
        <v>Ayele T, 1984</v>
      </c>
      <c r="B10" s="697" t="str">
        <f>IFERROR(__xludf.DUMMYFUNCTION("""COMPUTED_VALUE"""),"s. mansoni")</f>
        <v>s. mansoni</v>
      </c>
      <c r="C10" s="697" t="str">
        <f>IFERROR(__xludf.DUMMYFUNCTION("""COMPUTED_VALUE"""),"South America")</f>
        <v>South America</v>
      </c>
      <c r="D10" s="697" t="str">
        <f>IFERROR(__xludf.DUMMYFUNCTION("""COMPUTED_VALUE"""),"Oxamniquine")</f>
        <v>Oxamniquine</v>
      </c>
      <c r="E10" s="697" t="str">
        <f>IFERROR(__xludf.DUMMYFUNCTION("""COMPUTED_VALUE"""),"Two")</f>
        <v>Two</v>
      </c>
      <c r="F10" s="697" t="str">
        <f>IFERROR(__xludf.DUMMYFUNCTION("""COMPUTED_VALUE"""),"30 mg/kg")</f>
        <v>30 mg/kg</v>
      </c>
      <c r="G10" s="697">
        <f>IFERROR(__xludf.DUMMYFUNCTION("""COMPUTED_VALUE"""),15.0)</f>
        <v>15</v>
      </c>
      <c r="H10" s="697" t="str">
        <f>IFERROR(__xludf.DUMMYFUNCTION("""COMPUTED_VALUE"""),"&gt;15 years")</f>
        <v>&gt;15 years</v>
      </c>
      <c r="I10" s="705" t="str">
        <f>IFERROR(__xludf.DUMMYFUNCTION("""COMPUTED_VALUE"""),"data not available")</f>
        <v>data not available</v>
      </c>
      <c r="J10" s="697">
        <f>IFERROR(__xludf.DUMMYFUNCTION("""COMPUTED_VALUE"""),1984.0)</f>
        <v>1984</v>
      </c>
      <c r="K10" s="697" t="str">
        <f>IFERROR(__xludf.DUMMYFUNCTION("""COMPUTED_VALUE"""),"adolescents and adults aged over 15 years with a geometric mean of 200 EPG or above")</f>
        <v>adolescents and adults aged over 15 years with a geometric mean of 200 EPG or above</v>
      </c>
      <c r="L10" s="697" t="str">
        <f>IFERROR(__xludf.DUMMYFUNCTION("""COMPUTED_VALUE"""),"Yes")</f>
        <v>Yes</v>
      </c>
      <c r="M10" s="697" t="str">
        <f>IFERROR(__xludf.DUMMYFUNCTION("""COMPUTED_VALUE"""),"Yes")</f>
        <v>Yes</v>
      </c>
      <c r="N10" s="697" t="str">
        <f>IFERROR(__xludf.DUMMYFUNCTION("""COMPUTED_VALUE"""),"3 months ")</f>
        <v>3 months </v>
      </c>
      <c r="O10" s="698">
        <f>IFERROR(__xludf.DUMMYFUNCTION("""COMPUTED_VALUE"""),0.867)</f>
        <v>0.867</v>
      </c>
      <c r="P10" s="698">
        <f>IFERROR(__xludf.DUMMYFUNCTION("""COMPUTED_VALUE"""),0.737)</f>
        <v>0.737</v>
      </c>
      <c r="Q10" s="697" t="str">
        <f>IFERROR(__xludf.DUMMYFUNCTION("""COMPUTED_VALUE"""),"Optimal clinical cures can be achieved.  ")</f>
        <v>Optimal clinical cures can be achieved.  </v>
      </c>
      <c r="R10" s="697" t="str">
        <f>IFERROR(__xludf.DUMMYFUNCTION("""COMPUTED_VALUE"""),"Preliminary clinical trial of oral oxamniquine in the treatment of Schistosoma mansoni in Ethiopia")</f>
        <v>Preliminary clinical trial of oral oxamniquine in the treatment of Schistosoma mansoni in Ethiopia</v>
      </c>
      <c r="S10" s="699" t="str">
        <f>IFERROR(__xludf.DUMMYFUNCTION("""COMPUTED_VALUE"""),"Ayele T. Preliminary clinical trial of oral oxamniquine in the treatment of Schistosoma mansoni in Ethiopia. East African Medical Journal 1984;61(8):632–6.")</f>
        <v>Ayele T. Preliminary clinical trial of oral oxamniquine in the treatment of Schistosoma mansoni in Ethiopia. East African Medical Journal 1984;61(8):632–6.</v>
      </c>
      <c r="T10" s="697"/>
      <c r="U10" s="697" t="str">
        <f>IFERROR(__xludf.DUMMYFUNCTION("""COMPUTED_VALUE"""),"")</f>
        <v/>
      </c>
      <c r="V10" s="697">
        <f>IFERROR(__xludf.DUMMYFUNCTION("""COMPUTED_VALUE"""),10.0)</f>
        <v>10</v>
      </c>
    </row>
    <row r="11">
      <c r="A11" s="697" t="str">
        <f>IFERROR(__xludf.DUMMYFUNCTION("""COMPUTED_VALUE"""),"Ayele T, 1984")</f>
        <v>Ayele T, 1984</v>
      </c>
      <c r="B11" s="697" t="str">
        <f>IFERROR(__xludf.DUMMYFUNCTION("""COMPUTED_VALUE"""),"s.mansoni")</f>
        <v>s.mansoni</v>
      </c>
      <c r="C11" s="697" t="str">
        <f>IFERROR(__xludf.DUMMYFUNCTION("""COMPUTED_VALUE"""),"South America")</f>
        <v>South America</v>
      </c>
      <c r="D11" s="697" t="str">
        <f>IFERROR(__xludf.DUMMYFUNCTION("""COMPUTED_VALUE"""),"Placebo")</f>
        <v>Placebo</v>
      </c>
      <c r="E11" s="697" t="str">
        <f>IFERROR(__xludf.DUMMYFUNCTION("""COMPUTED_VALUE"""),"Single")</f>
        <v>Single</v>
      </c>
      <c r="F11" s="697" t="str">
        <f>IFERROR(__xludf.DUMMYFUNCTION("""COMPUTED_VALUE"""),"Placebo")</f>
        <v>Placebo</v>
      </c>
      <c r="G11" s="697">
        <f>IFERROR(__xludf.DUMMYFUNCTION("""COMPUTED_VALUE"""),6.0)</f>
        <v>6</v>
      </c>
      <c r="H11" s="697" t="str">
        <f>IFERROR(__xludf.DUMMYFUNCTION("""COMPUTED_VALUE"""),"&gt;15 years")</f>
        <v>&gt;15 years</v>
      </c>
      <c r="I11" s="705" t="str">
        <f>IFERROR(__xludf.DUMMYFUNCTION("""COMPUTED_VALUE"""),"data not available")</f>
        <v>data not available</v>
      </c>
      <c r="J11" s="697">
        <f>IFERROR(__xludf.DUMMYFUNCTION("""COMPUTED_VALUE"""),1984.0)</f>
        <v>1984</v>
      </c>
      <c r="K11" s="697" t="str">
        <f>IFERROR(__xludf.DUMMYFUNCTION("""COMPUTED_VALUE"""),"adolescents and adults aged over 15 years with a geometric mean of 200 EPG or above")</f>
        <v>adolescents and adults aged over 15 years with a geometric mean of 200 EPG or above</v>
      </c>
      <c r="L11" s="697" t="str">
        <f>IFERROR(__xludf.DUMMYFUNCTION("""COMPUTED_VALUE"""),"Yes")</f>
        <v>Yes</v>
      </c>
      <c r="M11" s="697" t="str">
        <f>IFERROR(__xludf.DUMMYFUNCTION("""COMPUTED_VALUE"""),"Yes")</f>
        <v>Yes</v>
      </c>
      <c r="N11" s="697" t="str">
        <f>IFERROR(__xludf.DUMMYFUNCTION("""COMPUTED_VALUE"""),"3 months")</f>
        <v>3 months</v>
      </c>
      <c r="O11" s="698">
        <f>IFERROR(__xludf.DUMMYFUNCTION("""COMPUTED_VALUE"""),0.0)</f>
        <v>0</v>
      </c>
      <c r="P11" s="697" t="str">
        <f>IFERROR(__xludf.DUMMYFUNCTION("""COMPUTED_VALUE""")," increase 59%")</f>
        <v> increase 59%</v>
      </c>
      <c r="Q11" s="697" t="str">
        <f>IFERROR(__xludf.DUMMYFUNCTION("""COMPUTED_VALUE"""),"Optimal clinical cures can be achieved.  ")</f>
        <v>Optimal clinical cures can be achieved.  </v>
      </c>
      <c r="R11" s="697" t="str">
        <f>IFERROR(__xludf.DUMMYFUNCTION("""COMPUTED_VALUE"""),"Preliminary clinical trial of oral oxamniquine in the treatment of Schistosoma mansoni in Ethiopia")</f>
        <v>Preliminary clinical trial of oral oxamniquine in the treatment of Schistosoma mansoni in Ethiopia</v>
      </c>
      <c r="S11" s="699" t="str">
        <f>IFERROR(__xludf.DUMMYFUNCTION("""COMPUTED_VALUE"""),"Ayele T. Preliminary clinical trial of oral oxamniquine in the treatment of Schistosoma mansoni in Ethiopia. East African Medical Journal 1984;61(8):632–6.")</f>
        <v>Ayele T. Preliminary clinical trial of oral oxamniquine in the treatment of Schistosoma mansoni in Ethiopia. East African Medical Journal 1984;61(8):632–6.</v>
      </c>
      <c r="T11" s="697"/>
      <c r="U11" s="697" t="str">
        <f>IFERROR(__xludf.DUMMYFUNCTION("""COMPUTED_VALUE"""),"")</f>
        <v/>
      </c>
      <c r="V11" s="697">
        <f>IFERROR(__xludf.DUMMYFUNCTION("""COMPUTED_VALUE"""),11.0)</f>
        <v>11</v>
      </c>
    </row>
    <row r="12">
      <c r="A12" s="697" t="str">
        <f>IFERROR(__xludf.DUMMYFUNCTION("""COMPUTED_VALUE"""),"Barakat R, 2005")</f>
        <v>Barakat R, 2005</v>
      </c>
      <c r="B12" s="697" t="str">
        <f>IFERROR(__xludf.DUMMYFUNCTION("""COMPUTED_VALUE"""),"s. mansoni")</f>
        <v>s. mansoni</v>
      </c>
      <c r="C12" s="697" t="str">
        <f>IFERROR(__xludf.DUMMYFUNCTION("""COMPUTED_VALUE"""),"Egypt")</f>
        <v>Egypt</v>
      </c>
      <c r="D12" s="697" t="str">
        <f>IFERROR(__xludf.DUMMYFUNCTION("""COMPUTED_VALUE"""),"Myrhh")</f>
        <v>Myrhh</v>
      </c>
      <c r="E12" s="697" t="str">
        <f>IFERROR(__xludf.DUMMYFUNCTION("""COMPUTED_VALUE"""),"Two")</f>
        <v>Two</v>
      </c>
      <c r="F12" s="697" t="str">
        <f>IFERROR(__xludf.DUMMYFUNCTION("""COMPUTED_VALUE"""),"2 Capsules ")</f>
        <v>2 Capsules </v>
      </c>
      <c r="G12" s="697">
        <f>IFERROR(__xludf.DUMMYFUNCTION("""COMPUTED_VALUE"""),45.0)</f>
        <v>45</v>
      </c>
      <c r="H12" s="697" t="str">
        <f>IFERROR(__xludf.DUMMYFUNCTION("""COMPUTED_VALUE"""),"5-44")</f>
        <v>5-44</v>
      </c>
      <c r="I12" s="705" t="str">
        <f>IFERROR(__xludf.DUMMYFUNCTION("""COMPUTED_VALUE"""),"18:27")</f>
        <v>18:27</v>
      </c>
      <c r="J12" s="697">
        <f>IFERROR(__xludf.DUMMYFUNCTION("""COMPUTED_VALUE"""),2005.0)</f>
        <v>2005</v>
      </c>
      <c r="K12" s="697" t="str">
        <f>IFERROR(__xludf.DUMMYFUNCTION("""COMPUTED_VALUE"""),"vilagers presenting with S.mansoni infection as determined by examination of stool samples (2 Kato slides from each sample)")</f>
        <v>vilagers presenting with S.mansoni infection as determined by examination of stool samples (2 Kato slides from each sample)</v>
      </c>
      <c r="L12" s="697" t="str">
        <f>IFERROR(__xludf.DUMMYFUNCTION("""COMPUTED_VALUE"""),"Yes")</f>
        <v>Yes</v>
      </c>
      <c r="M12" s="697" t="str">
        <f>IFERROR(__xludf.DUMMYFUNCTION("""COMPUTED_VALUE"""),"Yes")</f>
        <v>Yes</v>
      </c>
      <c r="N12" s="697" t="str">
        <f>IFERROR(__xludf.DUMMYFUNCTION("""COMPUTED_VALUE"""),"6 weeks")</f>
        <v>6 weeks</v>
      </c>
      <c r="O12" s="698">
        <f>IFERROR(__xludf.DUMMYFUNCTION("""COMPUTED_VALUE"""),0.089)</f>
        <v>0.089</v>
      </c>
      <c r="P12" s="700">
        <f>IFERROR(__xludf.DUMMYFUNCTION("""COMPUTED_VALUE"""),0.28)</f>
        <v>0.28</v>
      </c>
      <c r="Q12" s="697" t="str">
        <f>IFERROR(__xludf.DUMMYFUNCTION("""COMPUTED_VALUE"""),"The control intervention included treatment with albendazole 400 mg and praziquantel 40 mg/kg as well as awareness campaigns. Post-interventional assessment showed the total prevalence of intestinal parasitic infection reduced from 61.6 to 3.6% with a cur"&amp;"e rate of 94.2%, following the control methods.")</f>
        <v>The control intervention included treatment with albendazole 400 mg and praziquantel 40 mg/kg as well as awareness campaigns. Post-interventional assessment showed the total prevalence of intestinal parasitic infection reduced from 61.6 to 3.6% with a cure rate of 94.2%, following the control methods.</v>
      </c>
      <c r="R12" s="697"/>
      <c r="S12" s="699" t="str">
        <f>IFERROR(__xludf.DUMMYFUNCTION("""COMPUTED_VALUE"""),"Barakat, R.; Elmorshedy, H.; Fenwick, A. ""Efficacy of Myrrh in the Treatment of Human Schistosomiasis Mansoni"". Trop. Med. Hyg. 2005. 73(2): 365-367. Web.")</f>
        <v>Barakat, R.; Elmorshedy, H.; Fenwick, A. "Efficacy of Myrrh in the Treatment of Human Schistosomiasis Mansoni". Trop. Med. Hyg. 2005. 73(2): 365-367. Web.</v>
      </c>
      <c r="T12" s="697"/>
      <c r="U12" s="697" t="str">
        <f>IFERROR(__xludf.DUMMYFUNCTION("""COMPUTED_VALUE"""),"")</f>
        <v/>
      </c>
      <c r="V12" s="697">
        <f>IFERROR(__xludf.DUMMYFUNCTION("""COMPUTED_VALUE"""),12.0)</f>
        <v>12</v>
      </c>
    </row>
    <row r="13">
      <c r="A13" s="697" t="str">
        <f>IFERROR(__xludf.DUMMYFUNCTION("""COMPUTED_VALUE"""),"Barakat R, 2005")</f>
        <v>Barakat R, 2005</v>
      </c>
      <c r="B13" s="697" t="str">
        <f>IFERROR(__xludf.DUMMYFUNCTION("""COMPUTED_VALUE"""),"s. mansoni")</f>
        <v>s. mansoni</v>
      </c>
      <c r="C13" s="697" t="str">
        <f>IFERROR(__xludf.DUMMYFUNCTION("""COMPUTED_VALUE"""),"Egypt")</f>
        <v>Egypt</v>
      </c>
      <c r="D13" s="697" t="str">
        <f>IFERROR(__xludf.DUMMYFUNCTION("""COMPUTED_VALUE"""),"Praziquantel")</f>
        <v>Praziquantel</v>
      </c>
      <c r="E13" s="697" t="str">
        <f>IFERROR(__xludf.DUMMYFUNCTION("""COMPUTED_VALUE"""),"Two")</f>
        <v>Two</v>
      </c>
      <c r="F13" s="697" t="str">
        <f>IFERROR(__xludf.DUMMYFUNCTION("""COMPUTED_VALUE"""),"40 mg/kg ")</f>
        <v>40 mg/kg </v>
      </c>
      <c r="G13" s="697">
        <f>IFERROR(__xludf.DUMMYFUNCTION("""COMPUTED_VALUE"""),38.0)</f>
        <v>38</v>
      </c>
      <c r="H13" s="697" t="str">
        <f>IFERROR(__xludf.DUMMYFUNCTION("""COMPUTED_VALUE"""),"5-44")</f>
        <v>5-44</v>
      </c>
      <c r="I13" s="705" t="str">
        <f>IFERROR(__xludf.DUMMYFUNCTION("""COMPUTED_VALUE"""),"17:21")</f>
        <v>17:21</v>
      </c>
      <c r="J13" s="697">
        <f>IFERROR(__xludf.DUMMYFUNCTION("""COMPUTED_VALUE"""),2005.0)</f>
        <v>2005</v>
      </c>
      <c r="K13" s="697" t="str">
        <f>IFERROR(__xludf.DUMMYFUNCTION("""COMPUTED_VALUE"""),"Vilagers presenting with S.mansoni infection as determined by examination of stool samples (2 Kato slides from each sample)")</f>
        <v>Vilagers presenting with S.mansoni infection as determined by examination of stool samples (2 Kato slides from each sample)</v>
      </c>
      <c r="L13" s="697" t="str">
        <f>IFERROR(__xludf.DUMMYFUNCTION("""COMPUTED_VALUE"""),"Yes")</f>
        <v>Yes</v>
      </c>
      <c r="M13" s="697" t="str">
        <f>IFERROR(__xludf.DUMMYFUNCTION("""COMPUTED_VALUE"""),"Yes")</f>
        <v>Yes</v>
      </c>
      <c r="N13" s="697" t="str">
        <f>IFERROR(__xludf.DUMMYFUNCTION("""COMPUTED_VALUE"""),"6 weeks")</f>
        <v>6 weeks</v>
      </c>
      <c r="O13" s="698">
        <f>IFERROR(__xludf.DUMMYFUNCTION("""COMPUTED_VALUE"""),0.763)</f>
        <v>0.763</v>
      </c>
      <c r="P13" s="698">
        <f>IFERROR(__xludf.DUMMYFUNCTION("""COMPUTED_VALUE"""),0.882)</f>
        <v>0.882</v>
      </c>
      <c r="Q13" s="697" t="str">
        <f>IFERROR(__xludf.DUMMYFUNCTION("""COMPUTED_VALUE"""),"The control intervention included treatment with albendazole 400 mg and praziquantel 40 mg/kg as well as awareness campaigns. Post-interventional assessment showed the total prevalence of intestinal parasitic infection reduced from 61.6 to 3.6% with a cur"&amp;"e rate of 94.2%, following the control methods.")</f>
        <v>The control intervention included treatment with albendazole 400 mg and praziquantel 40 mg/kg as well as awareness campaigns. Post-interventional assessment showed the total prevalence of intestinal parasitic infection reduced from 61.6 to 3.6% with a cure rate of 94.2%, following the control methods.</v>
      </c>
      <c r="R13" s="697"/>
      <c r="S13" s="699" t="str">
        <f>IFERROR(__xludf.DUMMYFUNCTION("""COMPUTED_VALUE"""),"Barakat, R.; Elmorshedy, H.; Fenwick, A. ""Efficacy of Myrrh in the Treatment of Human Schistosomiasis Mansoni"". Trop. Med. Hyg. 2005. 73(2): 365-367. Web.")</f>
        <v>Barakat, R.; Elmorshedy, H.; Fenwick, A. "Efficacy of Myrrh in the Treatment of Human Schistosomiasis Mansoni". Trop. Med. Hyg. 2005. 73(2): 365-367. Web.</v>
      </c>
      <c r="T13" s="697"/>
      <c r="U13" s="697" t="str">
        <f>IFERROR(__xludf.DUMMYFUNCTION("""COMPUTED_VALUE"""),"")</f>
        <v/>
      </c>
      <c r="V13" s="697">
        <f>IFERROR(__xludf.DUMMYFUNCTION("""COMPUTED_VALUE"""),13.0)</f>
        <v>13</v>
      </c>
    </row>
    <row r="14">
      <c r="A14" s="697" t="str">
        <f>IFERROR(__xludf.DUMMYFUNCTION("""COMPUTED_VALUE"""),"Borrmann S, 2001")</f>
        <v>Borrmann S, 2001</v>
      </c>
      <c r="B14" s="697" t="str">
        <f>IFERROR(__xludf.DUMMYFUNCTION("""COMPUTED_VALUE"""),"s. haematobium")</f>
        <v>s. haematobium</v>
      </c>
      <c r="C14" s="697" t="str">
        <f>IFERROR(__xludf.DUMMYFUNCTION("""COMPUTED_VALUE"""),"Gabon")</f>
        <v>Gabon</v>
      </c>
      <c r="D14" s="697" t="str">
        <f>IFERROR(__xludf.DUMMYFUNCTION("""COMPUTED_VALUE"""),"Artesunate &amp; Placebo")</f>
        <v>Artesunate &amp; Placebo</v>
      </c>
      <c r="E14" s="697" t="str">
        <f>IFERROR(__xludf.DUMMYFUNCTION("""COMPUTED_VALUE"""),"Single")</f>
        <v>Single</v>
      </c>
      <c r="F14" s="697" t="str">
        <f>IFERROR(__xludf.DUMMYFUNCTION("""COMPUTED_VALUE"""),"8 mg/kg; 4 mg/kg ")</f>
        <v>8 mg/kg; 4 mg/kg </v>
      </c>
      <c r="G14" s="697">
        <f>IFERROR(__xludf.DUMMYFUNCTION("""COMPUTED_VALUE"""),90.0)</f>
        <v>90</v>
      </c>
      <c r="H14" s="697" t="str">
        <f>IFERROR(__xludf.DUMMYFUNCTION("""COMPUTED_VALUE"""),"5 to 13")</f>
        <v>5 to 13</v>
      </c>
      <c r="I14" s="705" t="str">
        <f>IFERROR(__xludf.DUMMYFUNCTION("""COMPUTED_VALUE"""),"45 : 45")</f>
        <v>45 : 45</v>
      </c>
      <c r="J14" s="697">
        <f>IFERROR(__xludf.DUMMYFUNCTION("""COMPUTED_VALUE"""),2001.0)</f>
        <v>2001</v>
      </c>
      <c r="K14" s="697" t="str">
        <f>IFERROR(__xludf.DUMMYFUNCTION("""COMPUTED_VALUE"""),"School children with presence of Schistome eggs. Exclusion criteria were symptomatic schistosomiasis, recent adequate treatment for schistosomiasis, serious underlying diseases, pregnancy or lactation, and hemoglobin level &lt;7 g/dL")</f>
        <v>School children with presence of Schistome eggs. Exclusion criteria were symptomatic schistosomiasis, recent adequate treatment for schistosomiasis, serious underlying diseases, pregnancy or lactation, and hemoglobin level &lt;7 g/dL</v>
      </c>
      <c r="L14" s="697" t="str">
        <f>IFERROR(__xludf.DUMMYFUNCTION("""COMPUTED_VALUE"""),"Yes")</f>
        <v>Yes</v>
      </c>
      <c r="M14" s="697" t="str">
        <f>IFERROR(__xludf.DUMMYFUNCTION("""COMPUTED_VALUE"""),"Yes")</f>
        <v>Yes</v>
      </c>
      <c r="N14" s="697" t="str">
        <f>IFERROR(__xludf.DUMMYFUNCTION("""COMPUTED_VALUE"""),"8 weeks")</f>
        <v>8 weeks</v>
      </c>
      <c r="O14" s="700">
        <f>IFERROR(__xludf.DUMMYFUNCTION("""COMPUTED_VALUE"""),0.27)</f>
        <v>0.27</v>
      </c>
      <c r="P14" s="697"/>
      <c r="Q14" s="697" t="str">
        <f>IFERROR(__xludf.DUMMYFUNCTION("""COMPUTED_VALUE"""),"The present study clearly underline the importance of a continued effort toward the development of new drugs for the treatment of schistosomiasis.")</f>
        <v>The present study clearly underline the importance of a continued effort toward the development of new drugs for the treatment of schistosomiasis.</v>
      </c>
      <c r="R14" s="697"/>
      <c r="S14" s="699" t="str">
        <f>IFERROR(__xludf.DUMMYFUNCTION("""COMPUTED_VALUE"""),"Borrmann, Steffen, et al. ""Artesunate and praziquantel for the treatment of Schistosoma haematobium infections: a double-blind, randomized, placebo-controlled study."" Journal of Infectious Diseases 184.10 (2001): 1363-1366.")</f>
        <v>Borrmann, Steffen, et al. "Artesunate and praziquantel for the treatment of Schistosoma haematobium infections: a double-blind, randomized, placebo-controlled study." Journal of Infectious Diseases 184.10 (2001): 1363-1366.</v>
      </c>
      <c r="T14" s="697"/>
      <c r="U14" s="697" t="str">
        <f>IFERROR(__xludf.DUMMYFUNCTION("""COMPUTED_VALUE"""),"")</f>
        <v/>
      </c>
      <c r="V14" s="697">
        <f>IFERROR(__xludf.DUMMYFUNCTION("""COMPUTED_VALUE"""),14.0)</f>
        <v>14</v>
      </c>
    </row>
    <row r="15">
      <c r="A15" s="697" t="str">
        <f>IFERROR(__xludf.DUMMYFUNCTION("""COMPUTED_VALUE"""),"Borrmann S, 2001")</f>
        <v>Borrmann S, 2001</v>
      </c>
      <c r="B15" s="697" t="str">
        <f>IFERROR(__xludf.DUMMYFUNCTION("""COMPUTED_VALUE"""),"s. haematobium")</f>
        <v>s. haematobium</v>
      </c>
      <c r="C15" s="697" t="str">
        <f>IFERROR(__xludf.DUMMYFUNCTION("""COMPUTED_VALUE"""),"Gabon")</f>
        <v>Gabon</v>
      </c>
      <c r="D15" s="697" t="str">
        <f>IFERROR(__xludf.DUMMYFUNCTION("""COMPUTED_VALUE"""),"Praziquantel &amp; Placebo")</f>
        <v>Praziquantel &amp; Placebo</v>
      </c>
      <c r="E15" s="697" t="str">
        <f>IFERROR(__xludf.DUMMYFUNCTION("""COMPUTED_VALUE"""),"Single; Three")</f>
        <v>Single; Three</v>
      </c>
      <c r="F15" s="697" t="str">
        <f>IFERROR(__xludf.DUMMYFUNCTION("""COMPUTED_VALUE"""),"40 mg/kg; Placebo")</f>
        <v>40 mg/kg; Placebo</v>
      </c>
      <c r="G15" s="697">
        <f>IFERROR(__xludf.DUMMYFUNCTION("""COMPUTED_VALUE"""),90.0)</f>
        <v>90</v>
      </c>
      <c r="H15" s="697" t="str">
        <f>IFERROR(__xludf.DUMMYFUNCTION("""COMPUTED_VALUE"""),"5 to 13")</f>
        <v>5 to 13</v>
      </c>
      <c r="I15" s="705" t="str">
        <f>IFERROR(__xludf.DUMMYFUNCTION("""COMPUTED_VALUE"""),"47 : 43")</f>
        <v>47 : 43</v>
      </c>
      <c r="J15" s="697">
        <f>IFERROR(__xludf.DUMMYFUNCTION("""COMPUTED_VALUE"""),2001.0)</f>
        <v>2001</v>
      </c>
      <c r="K15" s="697" t="str">
        <f>IFERROR(__xludf.DUMMYFUNCTION("""COMPUTED_VALUE"""),"School children with presence of Schistome eggs. Exclusion criteria were symptomatic schistosomiasis, recent adequate treatment for schistosomiasis, serious underlying diseases, pregnancy or lactation, and hemoglobin level &lt;7 g/dL")</f>
        <v>School children with presence of Schistome eggs. Exclusion criteria were symptomatic schistosomiasis, recent adequate treatment for schistosomiasis, serious underlying diseases, pregnancy or lactation, and hemoglobin level &lt;7 g/dL</v>
      </c>
      <c r="L15" s="697" t="str">
        <f>IFERROR(__xludf.DUMMYFUNCTION("""COMPUTED_VALUE"""),"Yes")</f>
        <v>Yes</v>
      </c>
      <c r="M15" s="697" t="str">
        <f>IFERROR(__xludf.DUMMYFUNCTION("""COMPUTED_VALUE"""),"Yes")</f>
        <v>Yes</v>
      </c>
      <c r="N15" s="697" t="str">
        <f>IFERROR(__xludf.DUMMYFUNCTION("""COMPUTED_VALUE"""),"8 weeks")</f>
        <v>8 weeks</v>
      </c>
      <c r="O15" s="700">
        <f>IFERROR(__xludf.DUMMYFUNCTION("""COMPUTED_VALUE"""),0.73)</f>
        <v>0.73</v>
      </c>
      <c r="P15" s="697"/>
      <c r="Q15" s="697" t="str">
        <f>IFERROR(__xludf.DUMMYFUNCTION("""COMPUTED_VALUE"""),"The present study clearly underline the importance of a continued effort toward the development of new drugs for the treatment of schistosomiasis.")</f>
        <v>The present study clearly underline the importance of a continued effort toward the development of new drugs for the treatment of schistosomiasis.</v>
      </c>
      <c r="R15" s="697"/>
      <c r="S15" s="699" t="str">
        <f>IFERROR(__xludf.DUMMYFUNCTION("""COMPUTED_VALUE"""),"Borrmann, Steffen, et al. ""Artesunate and praziquantel for the treatment of Schistosoma haematobium infections: a double-blind, randomized, placebo-controlled study."" Journal of Infectious Diseases 184.10 (2001): 1363-1366.")</f>
        <v>Borrmann, Steffen, et al. "Artesunate and praziquantel for the treatment of Schistosoma haematobium infections: a double-blind, randomized, placebo-controlled study." Journal of Infectious Diseases 184.10 (2001): 1363-1366.</v>
      </c>
      <c r="T15" s="697"/>
      <c r="U15" s="697" t="str">
        <f>IFERROR(__xludf.DUMMYFUNCTION("""COMPUTED_VALUE"""),"")</f>
        <v/>
      </c>
      <c r="V15" s="697">
        <f>IFERROR(__xludf.DUMMYFUNCTION("""COMPUTED_VALUE"""),15.0)</f>
        <v>15</v>
      </c>
    </row>
    <row r="16">
      <c r="A16" s="697" t="str">
        <f>IFERROR(__xludf.DUMMYFUNCTION("""COMPUTED_VALUE"""),"Borrmann S, 2001")</f>
        <v>Borrmann S, 2001</v>
      </c>
      <c r="B16" s="697" t="str">
        <f>IFERROR(__xludf.DUMMYFUNCTION("""COMPUTED_VALUE"""),"s. haematobium")</f>
        <v>s. haematobium</v>
      </c>
      <c r="C16" s="697" t="str">
        <f>IFERROR(__xludf.DUMMYFUNCTION("""COMPUTED_VALUE"""),"Gabon")</f>
        <v>Gabon</v>
      </c>
      <c r="D16" s="697" t="str">
        <f>IFERROR(__xludf.DUMMYFUNCTION("""COMPUTED_VALUE"""),"Artesunate &amp; Praziquantel")</f>
        <v>Artesunate &amp; Praziquantel</v>
      </c>
      <c r="E16" s="697" t="str">
        <f>IFERROR(__xludf.DUMMYFUNCTION("""COMPUTED_VALUE"""),"Three; Single")</f>
        <v>Three; Single</v>
      </c>
      <c r="F16" s="697" t="str">
        <f>IFERROR(__xludf.DUMMYFUNCTION("""COMPUTED_VALUE"""),"4 mg/kg; 40 mg/kg ")</f>
        <v>4 mg/kg; 40 mg/kg </v>
      </c>
      <c r="G16" s="697">
        <f>IFERROR(__xludf.DUMMYFUNCTION("""COMPUTED_VALUE"""),90.0)</f>
        <v>90</v>
      </c>
      <c r="H16" s="697" t="str">
        <f>IFERROR(__xludf.DUMMYFUNCTION("""COMPUTED_VALUE"""),"5 to 13")</f>
        <v>5 to 13</v>
      </c>
      <c r="I16" s="705" t="str">
        <f>IFERROR(__xludf.DUMMYFUNCTION("""COMPUTED_VALUE"""),"46 : 44")</f>
        <v>46 : 44</v>
      </c>
      <c r="J16" s="697">
        <f>IFERROR(__xludf.DUMMYFUNCTION("""COMPUTED_VALUE"""),2001.0)</f>
        <v>2001</v>
      </c>
      <c r="K16" s="697" t="str">
        <f>IFERROR(__xludf.DUMMYFUNCTION("""COMPUTED_VALUE"""),"School children with presence of Schistome eggs. Exclusion criteria were symptomatic schistosomiasis, recent adequate treatment for schistosomiasis, serious underlying diseases, pregnancy or lactation, and hemoglobin level &lt;7 g/dL")</f>
        <v>School children with presence of Schistome eggs. Exclusion criteria were symptomatic schistosomiasis, recent adequate treatment for schistosomiasis, serious underlying diseases, pregnancy or lactation, and hemoglobin level &lt;7 g/dL</v>
      </c>
      <c r="L16" s="697" t="str">
        <f>IFERROR(__xludf.DUMMYFUNCTION("""COMPUTED_VALUE"""),"Yes")</f>
        <v>Yes</v>
      </c>
      <c r="M16" s="697" t="str">
        <f>IFERROR(__xludf.DUMMYFUNCTION("""COMPUTED_VALUE"""),"Yes")</f>
        <v>Yes</v>
      </c>
      <c r="N16" s="697" t="str">
        <f>IFERROR(__xludf.DUMMYFUNCTION("""COMPUTED_VALUE"""),"8 weeks")</f>
        <v>8 weeks</v>
      </c>
      <c r="O16" s="706">
        <f>IFERROR(__xludf.DUMMYFUNCTION("""COMPUTED_VALUE"""),0.81)</f>
        <v>0.81</v>
      </c>
      <c r="P16" s="697"/>
      <c r="Q16" s="697" t="str">
        <f>IFERROR(__xludf.DUMMYFUNCTION("""COMPUTED_VALUE"""),"The present study clearly underline the importance of a continued effort toward the development of new drugs for the treatment of schistosomiasis.")</f>
        <v>The present study clearly underline the importance of a continued effort toward the development of new drugs for the treatment of schistosomiasis.</v>
      </c>
      <c r="R16" s="697"/>
      <c r="S16" s="699" t="str">
        <f>IFERROR(__xludf.DUMMYFUNCTION("""COMPUTED_VALUE"""),"Borrmann, Steffen, et al. ""Artesunate and praziquantel for the treatment of Schistosoma haematobium infections: a double-blind, randomized, placebo-controlled study."" Journal of Infectious Diseases 184.10 (2001): 1363-1366.")</f>
        <v>Borrmann, Steffen, et al. "Artesunate and praziquantel for the treatment of Schistosoma haematobium infections: a double-blind, randomized, placebo-controlled study." Journal of Infectious Diseases 184.10 (2001): 1363-1366.</v>
      </c>
      <c r="T16" s="697"/>
      <c r="U16" s="697" t="str">
        <f>IFERROR(__xludf.DUMMYFUNCTION("""COMPUTED_VALUE"""),"")</f>
        <v/>
      </c>
      <c r="V16" s="697">
        <f>IFERROR(__xludf.DUMMYFUNCTION("""COMPUTED_VALUE"""),16.0)</f>
        <v>16</v>
      </c>
    </row>
    <row r="17">
      <c r="A17" s="697" t="str">
        <f>IFERROR(__xludf.DUMMYFUNCTION("""COMPUTED_VALUE"""),"Borrmann S, 2001")</f>
        <v>Borrmann S, 2001</v>
      </c>
      <c r="B17" s="697" t="str">
        <f>IFERROR(__xludf.DUMMYFUNCTION("""COMPUTED_VALUE"""),"s. haematobium")</f>
        <v>s. haematobium</v>
      </c>
      <c r="C17" s="697" t="str">
        <f>IFERROR(__xludf.DUMMYFUNCTION("""COMPUTED_VALUE"""),"Gabon")</f>
        <v>Gabon</v>
      </c>
      <c r="D17" s="697" t="str">
        <f>IFERROR(__xludf.DUMMYFUNCTION("""COMPUTED_VALUE"""),"Placebo")</f>
        <v>Placebo</v>
      </c>
      <c r="E17" s="697" t="str">
        <f>IFERROR(__xludf.DUMMYFUNCTION("""COMPUTED_VALUE"""),"Single")</f>
        <v>Single</v>
      </c>
      <c r="F17" s="697" t="str">
        <f>IFERROR(__xludf.DUMMYFUNCTION("""COMPUTED_VALUE"""),"Placebo")</f>
        <v>Placebo</v>
      </c>
      <c r="G17" s="697">
        <f>IFERROR(__xludf.DUMMYFUNCTION("""COMPUTED_VALUE"""),30.0)</f>
        <v>30</v>
      </c>
      <c r="H17" s="697" t="str">
        <f>IFERROR(__xludf.DUMMYFUNCTION("""COMPUTED_VALUE"""),"5 to 13")</f>
        <v>5 to 13</v>
      </c>
      <c r="I17" s="705" t="str">
        <f>IFERROR(__xludf.DUMMYFUNCTION("""COMPUTED_VALUE"""),"15 : 15")</f>
        <v>15 : 15</v>
      </c>
      <c r="J17" s="697">
        <f>IFERROR(__xludf.DUMMYFUNCTION("""COMPUTED_VALUE"""),2001.0)</f>
        <v>2001</v>
      </c>
      <c r="K17" s="697" t="str">
        <f>IFERROR(__xludf.DUMMYFUNCTION("""COMPUTED_VALUE"""),"School children with presence of Schistome eggs. Exclusion criteria were symptomatic schistosomiasis, recent adequate treatment for schistosomiasis, serious underlying diseases, pregnancy or lactation, and hemoglobin level &lt;7 g/dL")</f>
        <v>School children with presence of Schistome eggs. Exclusion criteria were symptomatic schistosomiasis, recent adequate treatment for schistosomiasis, serious underlying diseases, pregnancy or lactation, and hemoglobin level &lt;7 g/dL</v>
      </c>
      <c r="L17" s="697" t="str">
        <f>IFERROR(__xludf.DUMMYFUNCTION("""COMPUTED_VALUE"""),"Yes")</f>
        <v>Yes</v>
      </c>
      <c r="M17" s="697" t="str">
        <f>IFERROR(__xludf.DUMMYFUNCTION("""COMPUTED_VALUE"""),"Yes")</f>
        <v>Yes</v>
      </c>
      <c r="N17" s="697" t="str">
        <f>IFERROR(__xludf.DUMMYFUNCTION("""COMPUTED_VALUE"""),"8 weeks")</f>
        <v>8 weeks</v>
      </c>
      <c r="O17" s="706">
        <f>IFERROR(__xludf.DUMMYFUNCTION("""COMPUTED_VALUE"""),0.2)</f>
        <v>0.2</v>
      </c>
      <c r="P17" s="697"/>
      <c r="Q17" s="697" t="str">
        <f>IFERROR(__xludf.DUMMYFUNCTION("""COMPUTED_VALUE"""),"The present study clearly underline the importance of a continued effort toward the development of new drugs for the treatment of schistosomiasis.")</f>
        <v>The present study clearly underline the importance of a continued effort toward the development of new drugs for the treatment of schistosomiasis.</v>
      </c>
      <c r="R17" s="697"/>
      <c r="S17" s="699" t="str">
        <f>IFERROR(__xludf.DUMMYFUNCTION("""COMPUTED_VALUE"""),"Borrmann, Steffen, et al. ""Artesunate and praziquantel for the treatment of Schistosoma haematobium infections: a double-blind, randomized, placebo-controlled study."" Journal of Infectious Diseases 184.10 (2001): 1363-1366.")</f>
        <v>Borrmann, Steffen, et al. "Artesunate and praziquantel for the treatment of Schistosoma haematobium infections: a double-blind, randomized, placebo-controlled study." Journal of Infectious Diseases 184.10 (2001): 1363-1366.</v>
      </c>
      <c r="T17" s="697"/>
      <c r="U17" s="697" t="str">
        <f>IFERROR(__xludf.DUMMYFUNCTION("""COMPUTED_VALUE"""),"")</f>
        <v/>
      </c>
      <c r="V17" s="697">
        <f>IFERROR(__xludf.DUMMYFUNCTION("""COMPUTED_VALUE"""),17.0)</f>
        <v>17</v>
      </c>
    </row>
    <row r="18">
      <c r="A18" s="697" t="str">
        <f>IFERROR(__xludf.DUMMYFUNCTION("""COMPUTED_VALUE"""),"Botros S, 2005")</f>
        <v>Botros S, 2005</v>
      </c>
      <c r="B18" s="697" t="str">
        <f>IFERROR(__xludf.DUMMYFUNCTION("""COMPUTED_VALUE"""),"s. mansoni")</f>
        <v>s. mansoni</v>
      </c>
      <c r="C18" s="697" t="str">
        <f>IFERROR(__xludf.DUMMYFUNCTION("""COMPUTED_VALUE"""),"Egypt")</f>
        <v>Egypt</v>
      </c>
      <c r="D18" s="697" t="str">
        <f>IFERROR(__xludf.DUMMYFUNCTION("""COMPUTED_VALUE"""),"Praziquantel")</f>
        <v>Praziquantel</v>
      </c>
      <c r="E18" s="697" t="str">
        <f>IFERROR(__xludf.DUMMYFUNCTION("""COMPUTED_VALUE"""),"Single")</f>
        <v>Single</v>
      </c>
      <c r="F18" s="697" t="str">
        <f>IFERROR(__xludf.DUMMYFUNCTION("""COMPUTED_VALUE"""),"40 mg/kg")</f>
        <v>40 mg/kg</v>
      </c>
      <c r="G18" s="702">
        <f>IFERROR(__xludf.DUMMYFUNCTION("""COMPUTED_VALUE"""),1131.0)</f>
        <v>1131</v>
      </c>
      <c r="H18" s="697" t="str">
        <f>IFERROR(__xludf.DUMMYFUNCTION("""COMPUTED_VALUE"""),"&lt;20, &gt;20 years old")</f>
        <v>&lt;20, &gt;20 years old</v>
      </c>
      <c r="I18" s="705" t="str">
        <f>IFERROR(__xludf.DUMMYFUNCTION("""COMPUTED_VALUE"""),"11:10")</f>
        <v>11:10</v>
      </c>
      <c r="J18" s="697">
        <f>IFERROR(__xludf.DUMMYFUNCTION("""COMPUTED_VALUE"""),2005.0)</f>
        <v>2005</v>
      </c>
      <c r="K18" s="697" t="str">
        <f>IFERROR(__xludf.DUMMYFUNCTION("""COMPUTED_VALUE"""),"children and adolescent aged 12 to 18 years who had S. mansoni eggs in their stool")</f>
        <v>children and adolescent aged 12 to 18 years who had S. mansoni eggs in their stool</v>
      </c>
      <c r="L18" s="697" t="str">
        <f>IFERROR(__xludf.DUMMYFUNCTION("""COMPUTED_VALUE"""),"Yes")</f>
        <v>Yes</v>
      </c>
      <c r="M18" s="697" t="str">
        <f>IFERROR(__xludf.DUMMYFUNCTION("""COMPUTED_VALUE"""),"Yes")</f>
        <v>Yes</v>
      </c>
      <c r="N18" s="697" t="str">
        <f>IFERROR(__xludf.DUMMYFUNCTION("""COMPUTED_VALUE"""),"6 weeks post-treatment")</f>
        <v>6 weeks post-treatment</v>
      </c>
      <c r="O18" s="698">
        <f>IFERROR(__xludf.DUMMYFUNCTION("""COMPUTED_VALUE"""),0.797)</f>
        <v>0.797</v>
      </c>
      <c r="P18" s="698">
        <f>IFERROR(__xludf.DUMMYFUNCTION("""COMPUTED_VALUE"""),0.637)</f>
        <v>0.637</v>
      </c>
      <c r="Q18" s="697" t="str">
        <f>IFERROR(__xludf.DUMMYFUNCTION("""COMPUTED_VALUE"""),"Findings reported here do not support a rapid emergence of resistance to PZQ. The infections remaining after chemotherapy campaigns tend to be light, and the reproduction is potentially further slowed by compromises in reproductive capacity of the survivi"&amp;"ng worms. The fact remains that schistosomes continue to survive exposure to PZQ as it is currently dosed and watchfulness to the possible development of drug resistance is warranted.")</f>
        <v>Findings reported here do not support a rapid emergence of resistance to PZQ. The infections remaining after chemotherapy campaigns tend to be light, and the reproduction is potentially further slowed by compromises in reproductive capacity of the surviving worms. The fact remains that schistosomes continue to survive exposure to PZQ as it is currently dosed and watchfulness to the possible development of drug resistance is warranted.</v>
      </c>
      <c r="R18" s="697" t="str">
        <f>IFERROR(__xludf.DUMMYFUNCTION("""COMPUTED_VALUE"""),"Current status of sensitivity to praziquantel in a focus of potential drug resistance in Egypt")</f>
        <v>Current status of sensitivity to praziquantel in a focus of potential drug resistance in Egypt</v>
      </c>
      <c r="S18" s="699" t="str">
        <f>IFERROR(__xludf.DUMMYFUNCTION("""COMPUTED_VALUE"""),"Botros, Sanaa, et al. ""Current status of sensitivity to praziquantel in a focus of potential drug resistance in Egypt."" International journal for parasitology 35.7 (2005): 787-791.")</f>
        <v>Botros, Sanaa, et al. "Current status of sensitivity to praziquantel in a focus of potential drug resistance in Egypt." International journal for parasitology 35.7 (2005): 787-791.</v>
      </c>
      <c r="T18" s="697"/>
      <c r="U18" s="697" t="str">
        <f>IFERROR(__xludf.DUMMYFUNCTION("""COMPUTED_VALUE"""),"")</f>
        <v/>
      </c>
      <c r="V18" s="697">
        <f>IFERROR(__xludf.DUMMYFUNCTION("""COMPUTED_VALUE"""),18.0)</f>
        <v>18</v>
      </c>
    </row>
    <row r="19">
      <c r="A19" s="697" t="str">
        <f>IFERROR(__xludf.DUMMYFUNCTION("""COMPUTED_VALUE"""),"Botros S, 2005")</f>
        <v>Botros S, 2005</v>
      </c>
      <c r="B19" s="697" t="str">
        <f>IFERROR(__xludf.DUMMYFUNCTION("""COMPUTED_VALUE"""),"s. mansoni")</f>
        <v>s. mansoni</v>
      </c>
      <c r="C19" s="697" t="str">
        <f>IFERROR(__xludf.DUMMYFUNCTION("""COMPUTED_VALUE"""),"Egypt")</f>
        <v>Egypt</v>
      </c>
      <c r="D19" s="697" t="str">
        <f>IFERROR(__xludf.DUMMYFUNCTION("""COMPUTED_VALUE"""),"Mirazid")</f>
        <v>Mirazid</v>
      </c>
      <c r="E19" s="697" t="str">
        <f>IFERROR(__xludf.DUMMYFUNCTION("""COMPUTED_VALUE"""),"Single")</f>
        <v>Single</v>
      </c>
      <c r="F19" s="697" t="str">
        <f>IFERROR(__xludf.DUMMYFUNCTION("""COMPUTED_VALUE"""),"300 mg/day")</f>
        <v>300 mg/day</v>
      </c>
      <c r="G19" s="702">
        <f>IFERROR(__xludf.DUMMYFUNCTION("""COMPUTED_VALUE"""),1131.0)</f>
        <v>1131</v>
      </c>
      <c r="H19" s="697" t="str">
        <f>IFERROR(__xludf.DUMMYFUNCTION("""COMPUTED_VALUE"""),"&lt;20, &gt;20 years old")</f>
        <v>&lt;20, &gt;20 years old</v>
      </c>
      <c r="I19" s="705" t="str">
        <f>IFERROR(__xludf.DUMMYFUNCTION("""COMPUTED_VALUE"""),"11:11")</f>
        <v>11:11</v>
      </c>
      <c r="J19" s="697">
        <f>IFERROR(__xludf.DUMMYFUNCTION("""COMPUTED_VALUE"""),2005.0)</f>
        <v>2005</v>
      </c>
      <c r="K19" s="697" t="str">
        <f>IFERROR(__xludf.DUMMYFUNCTION("""COMPUTED_VALUE"""),"children and adolescent aged 12 to 18 years who had S. mansoni eggs in their stool")</f>
        <v>children and adolescent aged 12 to 18 years who had S. mansoni eggs in their stool</v>
      </c>
      <c r="L19" s="697" t="str">
        <f>IFERROR(__xludf.DUMMYFUNCTION("""COMPUTED_VALUE"""),"Yes")</f>
        <v>Yes</v>
      </c>
      <c r="M19" s="697" t="str">
        <f>IFERROR(__xludf.DUMMYFUNCTION("""COMPUTED_VALUE"""),"Yes")</f>
        <v>Yes</v>
      </c>
      <c r="N19" s="697" t="str">
        <f>IFERROR(__xludf.DUMMYFUNCTION("""COMPUTED_VALUE"""),"6 weeks post-treatment")</f>
        <v>6 weeks post-treatment</v>
      </c>
      <c r="O19" s="698">
        <f>IFERROR(__xludf.DUMMYFUNCTION("""COMPUTED_VALUE"""),0.089)</f>
        <v>0.089</v>
      </c>
      <c r="P19" s="700">
        <f>IFERROR(__xludf.DUMMYFUNCTION("""COMPUTED_VALUE"""),0.88)</f>
        <v>0.88</v>
      </c>
      <c r="Q19" s="697" t="str">
        <f>IFERROR(__xludf.DUMMYFUNCTION("""COMPUTED_VALUE"""),"Findings reported here do not support a rapid emergence of resistance to PZQ. The infections remaining after chemotherapy campaigns tend to be light, and the reproduction is potentially further slowed by compromises in reproductive capacity of the survivi"&amp;"ng worms. The fact remains that schistosomes continue to survive exposure to PZQ as it is currently dosed and watchfulness to the possible development of drug resistance is warranted.")</f>
        <v>Findings reported here do not support a rapid emergence of resistance to PZQ. The infections remaining after chemotherapy campaigns tend to be light, and the reproduction is potentially further slowed by compromises in reproductive capacity of the surviving worms. The fact remains that schistosomes continue to survive exposure to PZQ as it is currently dosed and watchfulness to the possible development of drug resistance is warranted.</v>
      </c>
      <c r="R19" s="697" t="str">
        <f>IFERROR(__xludf.DUMMYFUNCTION("""COMPUTED_VALUE"""),"Current status of sensitivity to praziquantel in a focus of potential drug resistance in Egypt")</f>
        <v>Current status of sensitivity to praziquantel in a focus of potential drug resistance in Egypt</v>
      </c>
      <c r="S19" s="699" t="str">
        <f>IFERROR(__xludf.DUMMYFUNCTION("""COMPUTED_VALUE"""),"Botros, Sanaa, et al. ""Current status of sensitivity to praziquantel in a focus of potential drug resistance in Egypt."" International journal for parasitology 35.7 (2005): 787-791.")</f>
        <v>Botros, Sanaa, et al. "Current status of sensitivity to praziquantel in a focus of potential drug resistance in Egypt." International journal for parasitology 35.7 (2005): 787-791.</v>
      </c>
      <c r="T19" s="697"/>
      <c r="U19" s="697" t="str">
        <f>IFERROR(__xludf.DUMMYFUNCTION("""COMPUTED_VALUE"""),"")</f>
        <v/>
      </c>
      <c r="V19" s="697">
        <f>IFERROR(__xludf.DUMMYFUNCTION("""COMPUTED_VALUE"""),19.0)</f>
        <v>19</v>
      </c>
    </row>
    <row r="20">
      <c r="A20" s="697" t="str">
        <f>IFERROR(__xludf.DUMMYFUNCTION("""COMPUTED_VALUE"""),"Branchini ML, 1982")</f>
        <v>Branchini ML, 1982</v>
      </c>
      <c r="B20" s="697" t="str">
        <f>IFERROR(__xludf.DUMMYFUNCTION("""COMPUTED_VALUE"""),"s. mansoni")</f>
        <v>s. mansoni</v>
      </c>
      <c r="C20" s="697" t="str">
        <f>IFERROR(__xludf.DUMMYFUNCTION("""COMPUTED_VALUE"""),"Brazil")</f>
        <v>Brazil</v>
      </c>
      <c r="D20" s="697" t="str">
        <f>IFERROR(__xludf.DUMMYFUNCTION("""COMPUTED_VALUE"""),"Praziquantel")</f>
        <v>Praziquantel</v>
      </c>
      <c r="E20" s="697" t="str">
        <f>IFERROR(__xludf.DUMMYFUNCTION("""COMPUTED_VALUE"""),"Single")</f>
        <v>Single</v>
      </c>
      <c r="F20" s="697" t="str">
        <f>IFERROR(__xludf.DUMMYFUNCTION("""COMPUTED_VALUE"""),"45.4 mg/kg")</f>
        <v>45.4 mg/kg</v>
      </c>
      <c r="G20" s="697">
        <f>IFERROR(__xludf.DUMMYFUNCTION("""COMPUTED_VALUE"""),49.0)</f>
        <v>49</v>
      </c>
      <c r="H20" s="697" t="str">
        <f>IFERROR(__xludf.DUMMYFUNCTION("""COMPUTED_VALUE"""),"10 - 65")</f>
        <v>10 - 65</v>
      </c>
      <c r="I20" s="705" t="str">
        <f>IFERROR(__xludf.DUMMYFUNCTION("""COMPUTED_VALUE"""),"16 : 13")</f>
        <v>16 : 13</v>
      </c>
      <c r="J20" s="697">
        <f>IFERROR(__xludf.DUMMYFUNCTION("""COMPUTED_VALUE"""),1982.0)</f>
        <v>1982</v>
      </c>
      <c r="K20" s="697" t="str">
        <f>IFERROR(__xludf.DUMMYFUNCTION("""COMPUTED_VALUE"""),"patients aged 10 to 65 years with chronic intestinal S. mansoni infection")</f>
        <v>patients aged 10 to 65 years with chronic intestinal S. mansoni infection</v>
      </c>
      <c r="L20" s="697" t="str">
        <f>IFERROR(__xludf.DUMMYFUNCTION("""COMPUTED_VALUE"""),"Yes")</f>
        <v>Yes</v>
      </c>
      <c r="M20" s="697" t="str">
        <f>IFERROR(__xludf.DUMMYFUNCTION("""COMPUTED_VALUE"""),"Yes")</f>
        <v>Yes</v>
      </c>
      <c r="N20" s="697" t="str">
        <f>IFERROR(__xludf.DUMMYFUNCTION("""COMPUTED_VALUE"""),"follow-up: six months three consecutive stool (3 slides each) from Kato-Katz and sponta- neous sedimentation methods. EPG expressed as geometric mean")</f>
        <v>follow-up: six months three consecutive stool (3 slides each) from Kato-Katz and sponta- neous sedimentation methods. EPG expressed as geometric mean</v>
      </c>
      <c r="O20" s="698">
        <f>IFERROR(__xludf.DUMMYFUNCTION("""COMPUTED_VALUE"""),0.611)</f>
        <v>0.611</v>
      </c>
      <c r="P20" s="697"/>
      <c r="Q20" s="697" t="str">
        <f>IFERROR(__xludf.DUMMYFUNCTION("""COMPUTED_VALUE"""),"Praziquental and oxaminiquine at adminstration doses have low toxicity, good tolerance and reasonable cure rates.")</f>
        <v>Praziquental and oxaminiquine at adminstration doses have low toxicity, good tolerance and reasonable cure rates.</v>
      </c>
      <c r="R20" s="697"/>
      <c r="S20" s="699" t="str">
        <f>IFERROR(__xludf.DUMMYFUNCTION("""COMPUTED_VALUE"""),"Branchini ML, Pedro R J de, Dias LC, Deberaldini ER. Double-blind clinical trial comparing praziquantel with oxamniquine in the treatment of patients with schistosomiasis mansoni. Revista do Instituto de Medicina Tropical de São Paulo 1982;24(5):315–21.")</f>
        <v>Branchini ML, Pedro R J de, Dias LC, Deberaldini ER. Double-blind clinical trial comparing praziquantel with oxamniquine in the treatment of patients with schistosomiasis mansoni. Revista do Instituto de Medicina Tropical de São Paulo 1982;24(5):315–21.</v>
      </c>
      <c r="T20" s="697"/>
      <c r="U20" s="697" t="str">
        <f>IFERROR(__xludf.DUMMYFUNCTION("""COMPUTED_VALUE"""),"")</f>
        <v/>
      </c>
      <c r="V20" s="697">
        <f>IFERROR(__xludf.DUMMYFUNCTION("""COMPUTED_VALUE"""),20.0)</f>
        <v>20</v>
      </c>
    </row>
    <row r="21">
      <c r="A21" s="697" t="str">
        <f>IFERROR(__xludf.DUMMYFUNCTION("""COMPUTED_VALUE"""),"Branchini ML, 1982")</f>
        <v>Branchini ML, 1982</v>
      </c>
      <c r="B21" s="697" t="str">
        <f>IFERROR(__xludf.DUMMYFUNCTION("""COMPUTED_VALUE"""),"s. mansoni")</f>
        <v>s. mansoni</v>
      </c>
      <c r="C21" s="697" t="str">
        <f>IFERROR(__xludf.DUMMYFUNCTION("""COMPUTED_VALUE"""),"Brazil")</f>
        <v>Brazil</v>
      </c>
      <c r="D21" s="697" t="str">
        <f>IFERROR(__xludf.DUMMYFUNCTION("""COMPUTED_VALUE"""),"Oxamniquine")</f>
        <v>Oxamniquine</v>
      </c>
      <c r="E21" s="697" t="str">
        <f>IFERROR(__xludf.DUMMYFUNCTION("""COMPUTED_VALUE"""),"Single")</f>
        <v>Single</v>
      </c>
      <c r="F21" s="697" t="str">
        <f>IFERROR(__xludf.DUMMYFUNCTION("""COMPUTED_VALUE"""),"13.8 mg/kg")</f>
        <v>13.8 mg/kg</v>
      </c>
      <c r="G21" s="697">
        <f>IFERROR(__xludf.DUMMYFUNCTION("""COMPUTED_VALUE"""),52.0)</f>
        <v>52</v>
      </c>
      <c r="H21" s="697" t="str">
        <f>IFERROR(__xludf.DUMMYFUNCTION("""COMPUTED_VALUE"""),"10 - 65")</f>
        <v>10 - 65</v>
      </c>
      <c r="I21" s="705" t="str">
        <f>IFERROR(__xludf.DUMMYFUNCTION("""COMPUTED_VALUE"""),"18 :12")</f>
        <v>18 :12</v>
      </c>
      <c r="J21" s="697">
        <f>IFERROR(__xludf.DUMMYFUNCTION("""COMPUTED_VALUE"""),1982.0)</f>
        <v>1982</v>
      </c>
      <c r="K21" s="697" t="str">
        <f>IFERROR(__xludf.DUMMYFUNCTION("""COMPUTED_VALUE"""),"patients aged 10 to 65 years with chronic intestinal S. mansoni infection")</f>
        <v>patients aged 10 to 65 years with chronic intestinal S. mansoni infection</v>
      </c>
      <c r="L21" s="697" t="str">
        <f>IFERROR(__xludf.DUMMYFUNCTION("""COMPUTED_VALUE"""),"Yes")</f>
        <v>Yes</v>
      </c>
      <c r="M21" s="697" t="str">
        <f>IFERROR(__xludf.DUMMYFUNCTION("""COMPUTED_VALUE"""),"Yes")</f>
        <v>Yes</v>
      </c>
      <c r="N21" s="697" t="str">
        <f>IFERROR(__xludf.DUMMYFUNCTION("""COMPUTED_VALUE"""),"follow-up: six months three consecutive stool (3 slides each) from Kato-Katz and sponta- neous sedimentation methods. EPG expressed as geometric mean")</f>
        <v>follow-up: six months three consecutive stool (3 slides each) from Kato-Katz and sponta- neous sedimentation methods. EPG expressed as geometric mean</v>
      </c>
      <c r="O21" s="700">
        <f>IFERROR(__xludf.DUMMYFUNCTION("""COMPUTED_VALUE"""),0.54)</f>
        <v>0.54</v>
      </c>
      <c r="P21" s="697"/>
      <c r="Q21" s="697" t="str">
        <f>IFERROR(__xludf.DUMMYFUNCTION("""COMPUTED_VALUE"""),"Praziquental and oxaminiquine at adminstration doses have low toxicity, good tolerance and reasonable cure rates.")</f>
        <v>Praziquental and oxaminiquine at adminstration doses have low toxicity, good tolerance and reasonable cure rates.</v>
      </c>
      <c r="R21" s="697"/>
      <c r="S21" s="699" t="str">
        <f>IFERROR(__xludf.DUMMYFUNCTION("""COMPUTED_VALUE"""),"Branchini ML, Pedro R J de, Dias LC, Deberaldini ER. Double-blind clinical trial comparing praziquantel with oxamniquine in the treatment of patients with schistosomiasis mansoni. Revista do Instituto de Medicina Tropical de São Paulo 1982;24(5):315–21.")</f>
        <v>Branchini ML, Pedro R J de, Dias LC, Deberaldini ER. Double-blind clinical trial comparing praziquantel with oxamniquine in the treatment of patients with schistosomiasis mansoni. Revista do Instituto de Medicina Tropical de São Paulo 1982;24(5):315–21.</v>
      </c>
      <c r="T21" s="697"/>
      <c r="U21" s="697" t="str">
        <f>IFERROR(__xludf.DUMMYFUNCTION("""COMPUTED_VALUE"""),"")</f>
        <v/>
      </c>
      <c r="V21" s="697">
        <f>IFERROR(__xludf.DUMMYFUNCTION("""COMPUTED_VALUE"""),21.0)</f>
        <v>21</v>
      </c>
    </row>
    <row r="22">
      <c r="A22" s="697" t="str">
        <f>IFERROR(__xludf.DUMMYFUNCTION("""COMPUTED_VALUE"""),"Cheikh S, 2015")</f>
        <v>Cheikh S, 2015</v>
      </c>
      <c r="B22" s="697" t="str">
        <f>IFERROR(__xludf.DUMMYFUNCTION("""COMPUTED_VALUE"""),"s. haematobium")</f>
        <v>s. haematobium</v>
      </c>
      <c r="C22" s="697" t="str">
        <f>IFERROR(__xludf.DUMMYFUNCTION("""COMPUTED_VALUE"""),"Senegal")</f>
        <v>Senegal</v>
      </c>
      <c r="D22" s="697" t="str">
        <f>IFERROR(__xludf.DUMMYFUNCTION("""COMPUTED_VALUE"""),"Praziquantel")</f>
        <v>Praziquantel</v>
      </c>
      <c r="E22" s="697" t="str">
        <f>IFERROR(__xludf.DUMMYFUNCTION("""COMPUTED_VALUE"""),"Single")</f>
        <v>Single</v>
      </c>
      <c r="F22" s="697" t="str">
        <f>IFERROR(__xludf.DUMMYFUNCTION("""COMPUTED_VALUE"""),"40 mg/kg")</f>
        <v>40 mg/kg</v>
      </c>
      <c r="G22" s="697">
        <f>IFERROR(__xludf.DUMMYFUNCTION("""COMPUTED_VALUE"""),75.0)</f>
        <v>75</v>
      </c>
      <c r="H22" s="697" t="str">
        <f>IFERROR(__xludf.DUMMYFUNCTION("""COMPUTED_VALUE"""),"5 to 15")</f>
        <v>5 to 15</v>
      </c>
      <c r="I22" s="705" t="str">
        <f>IFERROR(__xludf.DUMMYFUNCTION("""COMPUTED_VALUE"""),"1:4")</f>
        <v>1:4</v>
      </c>
      <c r="J22" s="697">
        <f>IFERROR(__xludf.DUMMYFUNCTION("""COMPUTED_VALUE"""),2011.0)</f>
        <v>2011</v>
      </c>
      <c r="K22" s="697" t="str">
        <f>IFERROR(__xludf.DUMMYFUNCTION("""COMPUTED_VALUE"""),"Parasitological screening was performed in June 2011 to determine the baseline prevalence of S. haematobium, and then a single dose of PZQ was administered to all selected subjects in the transmission season")</f>
        <v>Parasitological screening was performed in June 2011 to determine the baseline prevalence of S. haematobium, and then a single dose of PZQ was administered to all selected subjects in the transmission season</v>
      </c>
      <c r="L22" s="697" t="str">
        <f>IFERROR(__xludf.DUMMYFUNCTION("""COMPUTED_VALUE"""),"No")</f>
        <v>No</v>
      </c>
      <c r="M22" s="697" t="str">
        <f>IFERROR(__xludf.DUMMYFUNCTION("""COMPUTED_VALUE"""),"Yes")</f>
        <v>Yes</v>
      </c>
      <c r="N22" s="697" t="str">
        <f>IFERROR(__xludf.DUMMYFUNCTION("""COMPUTED_VALUE"""),"five weeks after in September 2011 and from February to March 2012.")</f>
        <v>five weeks after in September 2011 and from February to March 2012.</v>
      </c>
      <c r="O22" s="698">
        <f>IFERROR(__xludf.DUMMYFUNCTION("""COMPUTED_VALUE"""),0.906)</f>
        <v>0.906</v>
      </c>
      <c r="P22" s="698">
        <f>IFERROR(__xludf.DUMMYFUNCTION("""COMPUTED_VALUE"""),0.776)</f>
        <v>0.776</v>
      </c>
      <c r="Q22" s="697" t="str">
        <f>IFERROR(__xludf.DUMMYFUNCTION("""COMPUTED_VALUE"""),"When transmission is strictly seasonal, Praziquantel shows the expected efficacy in reducing the prevalence and intensity of infection, but also a significant effect on the occurrence of reinfection.")</f>
        <v>When transmission is strictly seasonal, Praziquantel shows the expected efficacy in reducing the prevalence and intensity of infection, but also a significant effect on the occurrence of reinfection.</v>
      </c>
      <c r="R22" s="697" t="str">
        <f>IFERROR(__xludf.DUMMYFUNCTION("""COMPUTED_VALUE"""),"Efficacy of praziquantel against urinary schistosomiasis and reinfection in Senegalese school children where there is a single well-defined transmission period")</f>
        <v>Efficacy of praziquantel against urinary schistosomiasis and reinfection in Senegalese school children where there is a single well-defined transmission period</v>
      </c>
      <c r="S22" s="699" t="str">
        <f>IFERROR(__xludf.DUMMYFUNCTION("""COMPUTED_VALUE"""),"Senghor, Bruno, et al. ""Efficacy of praziquantel against urinary schistosomiasis and reinfection in Senegalese school children where there is a single well-defined transmission period."" Parasites &amp; vectors 8.1 (2015): 1-11.")</f>
        <v>Senghor, Bruno, et al. "Efficacy of praziquantel against urinary schistosomiasis and reinfection in Senegalese school children where there is a single well-defined transmission period." Parasites &amp; vectors 8.1 (2015): 1-11.</v>
      </c>
      <c r="T22" s="697"/>
      <c r="U22" s="697" t="str">
        <f>IFERROR(__xludf.DUMMYFUNCTION("""COMPUTED_VALUE"""),"")</f>
        <v/>
      </c>
      <c r="V22" s="697">
        <f>IFERROR(__xludf.DUMMYFUNCTION("""COMPUTED_VALUE"""),22.0)</f>
        <v>22</v>
      </c>
    </row>
    <row r="23">
      <c r="A23" s="697" t="str">
        <f>IFERROR(__xludf.DUMMYFUNCTION("""COMPUTED_VALUE"""),"Cheikh S, 2015")</f>
        <v>Cheikh S, 2015</v>
      </c>
      <c r="B23" s="697" t="str">
        <f>IFERROR(__xludf.DUMMYFUNCTION("""COMPUTED_VALUE"""),"s. haematobium")</f>
        <v>s. haematobium</v>
      </c>
      <c r="C23" s="697" t="str">
        <f>IFERROR(__xludf.DUMMYFUNCTION("""COMPUTED_VALUE"""),"Senegal")</f>
        <v>Senegal</v>
      </c>
      <c r="D23" s="697" t="str">
        <f>IFERROR(__xludf.DUMMYFUNCTION("""COMPUTED_VALUE"""),"Praziquantel")</f>
        <v>Praziquantel</v>
      </c>
      <c r="E23" s="697" t="str">
        <f>IFERROR(__xludf.DUMMYFUNCTION("""COMPUTED_VALUE"""),"Single")</f>
        <v>Single</v>
      </c>
      <c r="F23" s="697" t="str">
        <f>IFERROR(__xludf.DUMMYFUNCTION("""COMPUTED_VALUE"""),"40 mg/kg")</f>
        <v>40 mg/kg</v>
      </c>
      <c r="G23" s="697">
        <f>IFERROR(__xludf.DUMMYFUNCTION("""COMPUTED_VALUE"""),32.0)</f>
        <v>32</v>
      </c>
      <c r="H23" s="697" t="str">
        <f>IFERROR(__xludf.DUMMYFUNCTION("""COMPUTED_VALUE"""),"5 to 15")</f>
        <v>5 to 15</v>
      </c>
      <c r="I23" s="705" t="str">
        <f>IFERROR(__xludf.DUMMYFUNCTION("""COMPUTED_VALUE"""),"1:4")</f>
        <v>1:4</v>
      </c>
      <c r="J23" s="697">
        <f>IFERROR(__xludf.DUMMYFUNCTION("""COMPUTED_VALUE"""),2011.0)</f>
        <v>2011</v>
      </c>
      <c r="K23" s="697" t="str">
        <f>IFERROR(__xludf.DUMMYFUNCTION("""COMPUTED_VALUE"""),"Parasitological screening was performed in June 2011 to determine the baseline prevalence of S. haematobium, and then a single dose of PZQ was administered to all selected subjects in the transmission season")</f>
        <v>Parasitological screening was performed in June 2011 to determine the baseline prevalence of S. haematobium, and then a single dose of PZQ was administered to all selected subjects in the transmission season</v>
      </c>
      <c r="L23" s="697" t="str">
        <f>IFERROR(__xludf.DUMMYFUNCTION("""COMPUTED_VALUE"""),"No")</f>
        <v>No</v>
      </c>
      <c r="M23" s="697" t="str">
        <f>IFERROR(__xludf.DUMMYFUNCTION("""COMPUTED_VALUE"""),"Yes")</f>
        <v>Yes</v>
      </c>
      <c r="N23" s="697" t="str">
        <f>IFERROR(__xludf.DUMMYFUNCTION("""COMPUTED_VALUE"""),"five weeks after in September 2011 and from February to March 2012.")</f>
        <v>five weeks after in September 2011 and from February to March 2012.</v>
      </c>
      <c r="O23" s="698">
        <f>IFERROR(__xludf.DUMMYFUNCTION("""COMPUTED_VALUE"""),0.968)</f>
        <v>0.968</v>
      </c>
      <c r="P23" s="698">
        <f>IFERROR(__xludf.DUMMYFUNCTION("""COMPUTED_VALUE"""),0.841)</f>
        <v>0.841</v>
      </c>
      <c r="Q23" s="697" t="str">
        <f>IFERROR(__xludf.DUMMYFUNCTION("""COMPUTED_VALUE"""),"When transmission is strictly seasonal, Praziquantel shows the expected efficacy in reducing the prevalence and intensity of infection, but also a significant effect on the occurrence of reinfection.")</f>
        <v>When transmission is strictly seasonal, Praziquantel shows the expected efficacy in reducing the prevalence and intensity of infection, but also a significant effect on the occurrence of reinfection.</v>
      </c>
      <c r="R23" s="697" t="str">
        <f>IFERROR(__xludf.DUMMYFUNCTION("""COMPUTED_VALUE"""),"Efficacy of praziquantel against urinary schistosomiasis and reinfection in Senegalese school children where there is a single well-defined transmission period")</f>
        <v>Efficacy of praziquantel against urinary schistosomiasis and reinfection in Senegalese school children where there is a single well-defined transmission period</v>
      </c>
      <c r="S23" s="699" t="str">
        <f>IFERROR(__xludf.DUMMYFUNCTION("""COMPUTED_VALUE"""),"Senghor, Bruno, et al. ""Efficacy of praziquantel against urinary schistosomiasis and reinfection in Senegalese school children where there is a single well-defined transmission period."" Parasites &amp; vectors 8.1 (2015): 1-11.")</f>
        <v>Senghor, Bruno, et al. "Efficacy of praziquantel against urinary schistosomiasis and reinfection in Senegalese school children where there is a single well-defined transmission period." Parasites &amp; vectors 8.1 (2015): 1-11.</v>
      </c>
      <c r="T23" s="697"/>
      <c r="U23" s="697" t="str">
        <f>IFERROR(__xludf.DUMMYFUNCTION("""COMPUTED_VALUE"""),"")</f>
        <v/>
      </c>
      <c r="V23" s="697">
        <f>IFERROR(__xludf.DUMMYFUNCTION("""COMPUTED_VALUE"""),23.0)</f>
        <v>23</v>
      </c>
    </row>
    <row r="24">
      <c r="A24" s="697" t="str">
        <f>IFERROR(__xludf.DUMMYFUNCTION("""COMPUTED_VALUE"""),"Cheikh S, 2015")</f>
        <v>Cheikh S, 2015</v>
      </c>
      <c r="B24" s="697" t="str">
        <f>IFERROR(__xludf.DUMMYFUNCTION("""COMPUTED_VALUE"""),"s. haematobium")</f>
        <v>s. haematobium</v>
      </c>
      <c r="C24" s="697" t="str">
        <f>IFERROR(__xludf.DUMMYFUNCTION("""COMPUTED_VALUE"""),"Senegal")</f>
        <v>Senegal</v>
      </c>
      <c r="D24" s="697" t="str">
        <f>IFERROR(__xludf.DUMMYFUNCTION("""COMPUTED_VALUE"""),"Praziquantel")</f>
        <v>Praziquantel</v>
      </c>
      <c r="E24" s="697" t="str">
        <f>IFERROR(__xludf.DUMMYFUNCTION("""COMPUTED_VALUE"""),"Single")</f>
        <v>Single</v>
      </c>
      <c r="F24" s="697" t="str">
        <f>IFERROR(__xludf.DUMMYFUNCTION("""COMPUTED_VALUE"""),"40 mg/kg")</f>
        <v>40 mg/kg</v>
      </c>
      <c r="G24" s="697">
        <f>IFERROR(__xludf.DUMMYFUNCTION("""COMPUTED_VALUE"""),25.0)</f>
        <v>25</v>
      </c>
      <c r="H24" s="697" t="str">
        <f>IFERROR(__xludf.DUMMYFUNCTION("""COMPUTED_VALUE"""),"5 to 15")</f>
        <v>5 to 15</v>
      </c>
      <c r="I24" s="705" t="str">
        <f>IFERROR(__xludf.DUMMYFUNCTION("""COMPUTED_VALUE"""),"1:4")</f>
        <v>1:4</v>
      </c>
      <c r="J24" s="697">
        <f>IFERROR(__xludf.DUMMYFUNCTION("""COMPUTED_VALUE"""),2011.0)</f>
        <v>2011</v>
      </c>
      <c r="K24" s="697" t="str">
        <f>IFERROR(__xludf.DUMMYFUNCTION("""COMPUTED_VALUE"""),"Parasitological screening was performed in June 2011 to determine the baseline prevalence of S. haematobium, and then a single dose of PZQ was administered to all selected subjects in the transmission season")</f>
        <v>Parasitological screening was performed in June 2011 to determine the baseline prevalence of S. haematobium, and then a single dose of PZQ was administered to all selected subjects in the transmission season</v>
      </c>
      <c r="L24" s="697" t="str">
        <f>IFERROR(__xludf.DUMMYFUNCTION("""COMPUTED_VALUE"""),"No")</f>
        <v>No</v>
      </c>
      <c r="M24" s="697" t="str">
        <f>IFERROR(__xludf.DUMMYFUNCTION("""COMPUTED_VALUE"""),"Yes")</f>
        <v>Yes</v>
      </c>
      <c r="N24" s="697" t="str">
        <f>IFERROR(__xludf.DUMMYFUNCTION("""COMPUTED_VALUE"""),"five weeks after in September 2011 and from February to March 2012.")</f>
        <v>five weeks after in September 2011 and from February to March 2012.</v>
      </c>
      <c r="O24" s="700">
        <f>IFERROR(__xludf.DUMMYFUNCTION("""COMPUTED_VALUE"""),1.0)</f>
        <v>1</v>
      </c>
      <c r="P24" s="700">
        <f>IFERROR(__xludf.DUMMYFUNCTION("""COMPUTED_VALUE"""),1.0)</f>
        <v>1</v>
      </c>
      <c r="Q24" s="697" t="str">
        <f>IFERROR(__xludf.DUMMYFUNCTION("""COMPUTED_VALUE"""),"When transmission is strictly seasonal, Praziquantel shows the expected efficacy in reducing the prevalence and intensity of infection, but also a significant effect on the occurrence of reinfection.")</f>
        <v>When transmission is strictly seasonal, Praziquantel shows the expected efficacy in reducing the prevalence and intensity of infection, but also a significant effect on the occurrence of reinfection.</v>
      </c>
      <c r="R24" s="697" t="str">
        <f>IFERROR(__xludf.DUMMYFUNCTION("""COMPUTED_VALUE"""),"Efficacy of praziquantel against urinary schistosomiasis and reinfection in Senegalese school children where there is a single well-defined transmission period")</f>
        <v>Efficacy of praziquantel against urinary schistosomiasis and reinfection in Senegalese school children where there is a single well-defined transmission period</v>
      </c>
      <c r="S24" s="699" t="str">
        <f>IFERROR(__xludf.DUMMYFUNCTION("""COMPUTED_VALUE"""),"Senghor, Bruno, et al. ""Efficacy of praziquantel against urinary schistosomiasis and reinfection in Senegalese school children where there is a single well-defined transmission period."" Parasites &amp; vectors 8.1 (2015): 1-11.")</f>
        <v>Senghor, Bruno, et al. "Efficacy of praziquantel against urinary schistosomiasis and reinfection in Senegalese school children where there is a single well-defined transmission period." Parasites &amp; vectors 8.1 (2015): 1-11.</v>
      </c>
      <c r="T24" s="697"/>
      <c r="U24" s="697" t="str">
        <f>IFERROR(__xludf.DUMMYFUNCTION("""COMPUTED_VALUE"""),"")</f>
        <v/>
      </c>
      <c r="V24" s="697">
        <f>IFERROR(__xludf.DUMMYFUNCTION("""COMPUTED_VALUE"""),24.0)</f>
        <v>24</v>
      </c>
    </row>
    <row r="25">
      <c r="A25" s="697" t="str">
        <f>IFERROR(__xludf.DUMMYFUNCTION("""COMPUTED_VALUE"""),"Cheikh S, 2015")</f>
        <v>Cheikh S, 2015</v>
      </c>
      <c r="B25" s="697" t="str">
        <f>IFERROR(__xludf.DUMMYFUNCTION("""COMPUTED_VALUE"""),"s. haematobium")</f>
        <v>s. haematobium</v>
      </c>
      <c r="C25" s="697" t="str">
        <f>IFERROR(__xludf.DUMMYFUNCTION("""COMPUTED_VALUE"""),"Senegal")</f>
        <v>Senegal</v>
      </c>
      <c r="D25" s="697" t="str">
        <f>IFERROR(__xludf.DUMMYFUNCTION("""COMPUTED_VALUE"""),"Praziquantel")</f>
        <v>Praziquantel</v>
      </c>
      <c r="E25" s="697" t="str">
        <f>IFERROR(__xludf.DUMMYFUNCTION("""COMPUTED_VALUE"""),"Single")</f>
        <v>Single</v>
      </c>
      <c r="F25" s="697" t="str">
        <f>IFERROR(__xludf.DUMMYFUNCTION("""COMPUTED_VALUE"""),"40 mg/kg")</f>
        <v>40 mg/kg</v>
      </c>
      <c r="G25" s="697">
        <f>IFERROR(__xludf.DUMMYFUNCTION("""COMPUTED_VALUE"""),36.0)</f>
        <v>36</v>
      </c>
      <c r="H25" s="697" t="str">
        <f>IFERROR(__xludf.DUMMYFUNCTION("""COMPUTED_VALUE"""),"5 to 15")</f>
        <v>5 to 15</v>
      </c>
      <c r="I25" s="705" t="str">
        <f>IFERROR(__xludf.DUMMYFUNCTION("""COMPUTED_VALUE"""),"1:4")</f>
        <v>1:4</v>
      </c>
      <c r="J25" s="697">
        <f>IFERROR(__xludf.DUMMYFUNCTION("""COMPUTED_VALUE"""),2011.0)</f>
        <v>2011</v>
      </c>
      <c r="K25" s="697" t="str">
        <f>IFERROR(__xludf.DUMMYFUNCTION("""COMPUTED_VALUE"""),"Parasitological screening was performed in June 2011 to determine the baseline prevalence of S. haematobium, and then a single dose of PZQ was administered to all selected subjects in the transmission season")</f>
        <v>Parasitological screening was performed in June 2011 to determine the baseline prevalence of S. haematobium, and then a single dose of PZQ was administered to all selected subjects in the transmission season</v>
      </c>
      <c r="L25" s="697" t="str">
        <f>IFERROR(__xludf.DUMMYFUNCTION("""COMPUTED_VALUE"""),"No")</f>
        <v>No</v>
      </c>
      <c r="M25" s="697" t="str">
        <f>IFERROR(__xludf.DUMMYFUNCTION("""COMPUTED_VALUE"""),"Yes")</f>
        <v>Yes</v>
      </c>
      <c r="N25" s="697" t="str">
        <f>IFERROR(__xludf.DUMMYFUNCTION("""COMPUTED_VALUE"""),"five weeks after in September 2011 and from February to March 2012.")</f>
        <v>five weeks after in September 2011 and from February to March 2012.</v>
      </c>
      <c r="O25" s="698">
        <f>IFERROR(__xludf.DUMMYFUNCTION("""COMPUTED_VALUE"""),0.972)</f>
        <v>0.972</v>
      </c>
      <c r="P25" s="698">
        <f>IFERROR(__xludf.DUMMYFUNCTION("""COMPUTED_VALUE"""),0.964)</f>
        <v>0.964</v>
      </c>
      <c r="Q25" s="697" t="str">
        <f>IFERROR(__xludf.DUMMYFUNCTION("""COMPUTED_VALUE"""),"When transmission is strictly seasonal, Praziquantel shows the expected efficacy in reducing the prevalence and intensity of infection, but also a significant effect on the occurrence of reinfection.")</f>
        <v>When transmission is strictly seasonal, Praziquantel shows the expected efficacy in reducing the prevalence and intensity of infection, but also a significant effect on the occurrence of reinfection.</v>
      </c>
      <c r="R25" s="697" t="str">
        <f>IFERROR(__xludf.DUMMYFUNCTION("""COMPUTED_VALUE"""),"Efficacy of praziquantel against urinary schistosomiasis and reinfection in Senegalese school children where there is a single well-defined transmission period")</f>
        <v>Efficacy of praziquantel against urinary schistosomiasis and reinfection in Senegalese school children where there is a single well-defined transmission period</v>
      </c>
      <c r="S25" s="699" t="str">
        <f>IFERROR(__xludf.DUMMYFUNCTION("""COMPUTED_VALUE"""),"Senghor, Bruno, et al. ""Efficacy of praziquantel against urinary schistosomiasis and reinfection in Senegalese school children where there is a single well-defined transmission period."" Parasites &amp; vectors 8.1 (2015): 1-11.")</f>
        <v>Senghor, Bruno, et al. "Efficacy of praziquantel against urinary schistosomiasis and reinfection in Senegalese school children where there is a single well-defined transmission period." Parasites &amp; vectors 8.1 (2015): 1-11.</v>
      </c>
      <c r="T25" s="697"/>
      <c r="U25" s="697" t="str">
        <f>IFERROR(__xludf.DUMMYFUNCTION("""COMPUTED_VALUE"""),"")</f>
        <v/>
      </c>
      <c r="V25" s="697">
        <f>IFERROR(__xludf.DUMMYFUNCTION("""COMPUTED_VALUE"""),25.0)</f>
        <v>25</v>
      </c>
    </row>
    <row r="26">
      <c r="A26" s="697" t="str">
        <f>IFERROR(__xludf.DUMMYFUNCTION("""COMPUTED_VALUE"""),"Cheikh S, 2015")</f>
        <v>Cheikh S, 2015</v>
      </c>
      <c r="B26" s="697" t="str">
        <f>IFERROR(__xludf.DUMMYFUNCTION("""COMPUTED_VALUE"""),"s. haematobium")</f>
        <v>s. haematobium</v>
      </c>
      <c r="C26" s="697" t="str">
        <f>IFERROR(__xludf.DUMMYFUNCTION("""COMPUTED_VALUE"""),"Senegal")</f>
        <v>Senegal</v>
      </c>
      <c r="D26" s="697" t="str">
        <f>IFERROR(__xludf.DUMMYFUNCTION("""COMPUTED_VALUE"""),"Praziquantel")</f>
        <v>Praziquantel</v>
      </c>
      <c r="E26" s="697" t="str">
        <f>IFERROR(__xludf.DUMMYFUNCTION("""COMPUTED_VALUE"""),"Single")</f>
        <v>Single</v>
      </c>
      <c r="F26" s="697" t="str">
        <f>IFERROR(__xludf.DUMMYFUNCTION("""COMPUTED_VALUE"""),"40 mg/kg")</f>
        <v>40 mg/kg</v>
      </c>
      <c r="G26" s="697">
        <f>IFERROR(__xludf.DUMMYFUNCTION("""COMPUTED_VALUE"""),47.0)</f>
        <v>47</v>
      </c>
      <c r="H26" s="697" t="str">
        <f>IFERROR(__xludf.DUMMYFUNCTION("""COMPUTED_VALUE"""),"5 to 15")</f>
        <v>5 to 15</v>
      </c>
      <c r="I26" s="705" t="str">
        <f>IFERROR(__xludf.DUMMYFUNCTION("""COMPUTED_VALUE"""),"1:4")</f>
        <v>1:4</v>
      </c>
      <c r="J26" s="697">
        <f>IFERROR(__xludf.DUMMYFUNCTION("""COMPUTED_VALUE"""),2011.0)</f>
        <v>2011</v>
      </c>
      <c r="K26" s="697" t="str">
        <f>IFERROR(__xludf.DUMMYFUNCTION("""COMPUTED_VALUE"""),"Parasitological screening was performed in June 2011 to determine the baseline prevalence of S. haematobium, and then a single dose of PZQ was administered to all selected subjects in the transmission season")</f>
        <v>Parasitological screening was performed in June 2011 to determine the baseline prevalence of S. haematobium, and then a single dose of PZQ was administered to all selected subjects in the transmission season</v>
      </c>
      <c r="L26" s="697" t="str">
        <f>IFERROR(__xludf.DUMMYFUNCTION("""COMPUTED_VALUE"""),"No")</f>
        <v>No</v>
      </c>
      <c r="M26" s="697" t="str">
        <f>IFERROR(__xludf.DUMMYFUNCTION("""COMPUTED_VALUE"""),"Yes")</f>
        <v>Yes</v>
      </c>
      <c r="N26" s="697" t="str">
        <f>IFERROR(__xludf.DUMMYFUNCTION("""COMPUTED_VALUE"""),"five weeks after in September 2011 and from February to March 2012.")</f>
        <v>five weeks after in September 2011 and from February to March 2012.</v>
      </c>
      <c r="O26" s="698">
        <f>IFERROR(__xludf.DUMMYFUNCTION("""COMPUTED_VALUE"""),0.894)</f>
        <v>0.894</v>
      </c>
      <c r="P26" s="698">
        <f>IFERROR(__xludf.DUMMYFUNCTION("""COMPUTED_VALUE"""),0.959)</f>
        <v>0.959</v>
      </c>
      <c r="Q26" s="697" t="str">
        <f>IFERROR(__xludf.DUMMYFUNCTION("""COMPUTED_VALUE"""),"When transmission is strictly seasonal, Praziquantel shows the expected efficacy in reducing the prevalence and intensity of infection, but also a significant effect on the occurrence of reinfection.")</f>
        <v>When transmission is strictly seasonal, Praziquantel shows the expected efficacy in reducing the prevalence and intensity of infection, but also a significant effect on the occurrence of reinfection.</v>
      </c>
      <c r="R26" s="697" t="str">
        <f>IFERROR(__xludf.DUMMYFUNCTION("""COMPUTED_VALUE"""),"Efficacy of praziquantel against urinary schistosomiasis and reinfection in Senegalese school children where there is a single well-defined transmission period")</f>
        <v>Efficacy of praziquantel against urinary schistosomiasis and reinfection in Senegalese school children where there is a single well-defined transmission period</v>
      </c>
      <c r="S26" s="699" t="str">
        <f>IFERROR(__xludf.DUMMYFUNCTION("""COMPUTED_VALUE"""),"Senghor, Bruno, et al. ""Efficacy of praziquantel against urinary schistosomiasis and reinfection in Senegalese school children where there is a single well-defined transmission period."" Parasites &amp; vectors 8.1 (2015): 1-11.")</f>
        <v>Senghor, Bruno, et al. "Efficacy of praziquantel against urinary schistosomiasis and reinfection in Senegalese school children where there is a single well-defined transmission period." Parasites &amp; vectors 8.1 (2015): 1-11.</v>
      </c>
      <c r="T26" s="697"/>
      <c r="U26" s="697" t="str">
        <f>IFERROR(__xludf.DUMMYFUNCTION("""COMPUTED_VALUE"""),"")</f>
        <v/>
      </c>
      <c r="V26" s="697">
        <f>IFERROR(__xludf.DUMMYFUNCTION("""COMPUTED_VALUE"""),26.0)</f>
        <v>26</v>
      </c>
    </row>
    <row r="27">
      <c r="A27" s="697" t="str">
        <f>IFERROR(__xludf.DUMMYFUNCTION("""COMPUTED_VALUE"""),"Cheikh S, 2015")</f>
        <v>Cheikh S, 2015</v>
      </c>
      <c r="B27" s="697" t="str">
        <f>IFERROR(__xludf.DUMMYFUNCTION("""COMPUTED_VALUE"""),"s. haematobium")</f>
        <v>s. haematobium</v>
      </c>
      <c r="C27" s="697" t="str">
        <f>IFERROR(__xludf.DUMMYFUNCTION("""COMPUTED_VALUE"""),"Senegal")</f>
        <v>Senegal</v>
      </c>
      <c r="D27" s="697" t="str">
        <f>IFERROR(__xludf.DUMMYFUNCTION("""COMPUTED_VALUE"""),"Praziquantel")</f>
        <v>Praziquantel</v>
      </c>
      <c r="E27" s="697" t="str">
        <f>IFERROR(__xludf.DUMMYFUNCTION("""COMPUTED_VALUE"""),"Single")</f>
        <v>Single</v>
      </c>
      <c r="F27" s="697" t="str">
        <f>IFERROR(__xludf.DUMMYFUNCTION("""COMPUTED_VALUE"""),"40 mg/kg")</f>
        <v>40 mg/kg</v>
      </c>
      <c r="G27" s="697">
        <f>IFERROR(__xludf.DUMMYFUNCTION("""COMPUTED_VALUE"""),22.0)</f>
        <v>22</v>
      </c>
      <c r="H27" s="697" t="str">
        <f>IFERROR(__xludf.DUMMYFUNCTION("""COMPUTED_VALUE"""),"5 to 15")</f>
        <v>5 to 15</v>
      </c>
      <c r="I27" s="705" t="str">
        <f>IFERROR(__xludf.DUMMYFUNCTION("""COMPUTED_VALUE"""),"1:4")</f>
        <v>1:4</v>
      </c>
      <c r="J27" s="697">
        <f>IFERROR(__xludf.DUMMYFUNCTION("""COMPUTED_VALUE"""),2011.0)</f>
        <v>2011</v>
      </c>
      <c r="K27" s="697" t="str">
        <f>IFERROR(__xludf.DUMMYFUNCTION("""COMPUTED_VALUE"""),"Parasitological screening was performed in June 2011 to determine the baseline prevalence of S. haematobium, and then a single dose of PZQ was administered to all selected subjects in the transmission season")</f>
        <v>Parasitological screening was performed in June 2011 to determine the baseline prevalence of S. haematobium, and then a single dose of PZQ was administered to all selected subjects in the transmission season</v>
      </c>
      <c r="L27" s="697" t="str">
        <f>IFERROR(__xludf.DUMMYFUNCTION("""COMPUTED_VALUE"""),"No")</f>
        <v>No</v>
      </c>
      <c r="M27" s="697" t="str">
        <f>IFERROR(__xludf.DUMMYFUNCTION("""COMPUTED_VALUE"""),"Yes")</f>
        <v>Yes</v>
      </c>
      <c r="N27" s="697" t="str">
        <f>IFERROR(__xludf.DUMMYFUNCTION("""COMPUTED_VALUE"""),"five weeks after in September 2011 and from February to March 2012.")</f>
        <v>five weeks after in September 2011 and from February to March 2012.</v>
      </c>
      <c r="O27" s="698">
        <f>IFERROR(__xludf.DUMMYFUNCTION("""COMPUTED_VALUE"""),0.954)</f>
        <v>0.954</v>
      </c>
      <c r="P27" s="698">
        <f>IFERROR(__xludf.DUMMYFUNCTION("""COMPUTED_VALUE"""),0.909)</f>
        <v>0.909</v>
      </c>
      <c r="Q27" s="697" t="str">
        <f>IFERROR(__xludf.DUMMYFUNCTION("""COMPUTED_VALUE"""),"When transmission is strictly seasonal, Praziquantel shows the expected efficacy in reducing the prevalence and intensity of infection, but also a significant effect on the occurrence of reinfection.")</f>
        <v>When transmission is strictly seasonal, Praziquantel shows the expected efficacy in reducing the prevalence and intensity of infection, but also a significant effect on the occurrence of reinfection.</v>
      </c>
      <c r="R27" s="697" t="str">
        <f>IFERROR(__xludf.DUMMYFUNCTION("""COMPUTED_VALUE"""),"Efficacy of praziquantel against urinary schistosomiasis and reinfection in Senegalese school children where there is a single well-defined transmission period")</f>
        <v>Efficacy of praziquantel against urinary schistosomiasis and reinfection in Senegalese school children where there is a single well-defined transmission period</v>
      </c>
      <c r="S27" s="699" t="str">
        <f>IFERROR(__xludf.DUMMYFUNCTION("""COMPUTED_VALUE"""),"Senghor, Bruno, et al. ""Efficacy of praziquantel against urinary schistosomiasis and reinfection in Senegalese school children where there is a single well-defined transmission period."" Parasites &amp; vectors 8.1 (2015): 1-11.")</f>
        <v>Senghor, Bruno, et al. "Efficacy of praziquantel against urinary schistosomiasis and reinfection in Senegalese school children where there is a single well-defined transmission period." Parasites &amp; vectors 8.1 (2015): 1-11.</v>
      </c>
      <c r="T27" s="697"/>
      <c r="U27" s="697" t="str">
        <f>IFERROR(__xludf.DUMMYFUNCTION("""COMPUTED_VALUE"""),"")</f>
        <v/>
      </c>
      <c r="V27" s="697">
        <f>IFERROR(__xludf.DUMMYFUNCTION("""COMPUTED_VALUE"""),27.0)</f>
        <v>27</v>
      </c>
    </row>
    <row r="28">
      <c r="A28" s="697" t="str">
        <f>IFERROR(__xludf.DUMMYFUNCTION("""COMPUTED_VALUE"""),"Coulibaly JT, 2012")</f>
        <v>Coulibaly JT, 2012</v>
      </c>
      <c r="B28" s="697" t="str">
        <f>IFERROR(__xludf.DUMMYFUNCTION("""COMPUTED_VALUE"""),"s. haematobium")</f>
        <v>s. haematobium</v>
      </c>
      <c r="C28" s="697" t="str">
        <f>IFERROR(__xludf.DUMMYFUNCTION("""COMPUTED_VALUE"""),"Cote d'Ivoire")</f>
        <v>Cote d'Ivoire</v>
      </c>
      <c r="D28" s="697" t="str">
        <f>IFERROR(__xludf.DUMMYFUNCTION("""COMPUTED_VALUE"""),"Praziquantel")</f>
        <v>Praziquantel</v>
      </c>
      <c r="E28" s="697" t="str">
        <f>IFERROR(__xludf.DUMMYFUNCTION("""COMPUTED_VALUE"""),"Single")</f>
        <v>Single</v>
      </c>
      <c r="F28" s="697" t="str">
        <f>IFERROR(__xludf.DUMMYFUNCTION("""COMPUTED_VALUE"""),"40 mg/kg")</f>
        <v>40 mg/kg</v>
      </c>
      <c r="G28" s="697">
        <f>IFERROR(__xludf.DUMMYFUNCTION("""COMPUTED_VALUE"""),160.0)</f>
        <v>160</v>
      </c>
      <c r="H28" s="697" t="str">
        <f>IFERROR(__xludf.DUMMYFUNCTION("""COMPUTED_VALUE"""),"7 to 15")</f>
        <v>7 to 15</v>
      </c>
      <c r="I28" s="705" t="str">
        <f>IFERROR(__xludf.DUMMYFUNCTION("""COMPUTED_VALUE"""),"1:1")</f>
        <v>1:1</v>
      </c>
      <c r="J28" s="697">
        <f>IFERROR(__xludf.DUMMYFUNCTION("""COMPUTED_VALUE"""),2012.0)</f>
        <v>2012</v>
      </c>
      <c r="K28" s="697" t="str">
        <f>IFERROR(__xludf.DUMMYFUNCTION("""COMPUTED_VALUE"""),"infected with either S.mansoni or S.haemon")</f>
        <v>infected with either S.mansoni or S.haemon</v>
      </c>
      <c r="L28" s="697" t="str">
        <f>IFERROR(__xludf.DUMMYFUNCTION("""COMPUTED_VALUE"""),"Yes")</f>
        <v>Yes</v>
      </c>
      <c r="M28" s="697" t="str">
        <f>IFERROR(__xludf.DUMMYFUNCTION("""COMPUTED_VALUE"""),"Yes")</f>
        <v>Yes</v>
      </c>
      <c r="N28" s="697" t="str">
        <f>IFERROR(__xludf.DUMMYFUNCTION("""COMPUTED_VALUE"""),"We assessed the efficacy among preschool-aged children (&lt;6 years), where Schistosoma mansoni and S. haematobium coexist. Using a cross-sectional design, children provided two stool and two urine samples before and 3 weeks after treatment.")</f>
        <v>We assessed the efficacy among preschool-aged children (&lt;6 years), where Schistosoma mansoni and S. haematobium coexist. Using a cross-sectional design, children provided two stool and two urine samples before and 3 weeks after treatment.</v>
      </c>
      <c r="O28" s="698">
        <f>IFERROR(__xludf.DUMMYFUNCTION("""COMPUTED_VALUE"""),0.886)</f>
        <v>0.886</v>
      </c>
      <c r="P28" s="698">
        <f>IFERROR(__xludf.DUMMYFUNCTION("""COMPUTED_VALUE"""),0.967)</f>
        <v>0.967</v>
      </c>
      <c r="Q28" s="697" t="str">
        <f>IFERROR(__xludf.DUMMYFUNCTION("""COMPUTED_VALUE"""),"The delayed decrease of microhaematuria confirms that lesions in the urinary tract persist longer than egg excretion post-treatment.")</f>
        <v>The delayed decrease of microhaematuria confirms that lesions in the urinary tract persist longer than egg excretion post-treatment.</v>
      </c>
      <c r="R28" s="697" t="str">
        <f>IFERROR(__xludf.DUMMYFUNCTION("""COMPUTED_VALUE"""),"Dynamics of Schistosoma haematobium egg output and associated infection parameters following treatment with praziquantel in school-aged children")</f>
        <v>Dynamics of Schistosoma haematobium egg output and associated infection parameters following treatment with praziquantel in school-aged children</v>
      </c>
      <c r="S28" s="699" t="str">
        <f>IFERROR(__xludf.DUMMYFUNCTION("""COMPUTED_VALUE"""),"Stete, Katarina, et al. ""Dynamics of Schistosoma haematobium egg output and associated infection parameters following treatment with praziquantel in school-aged children."" Parasit Vectors 5.1 (2012): 298.")</f>
        <v>Stete, Katarina, et al. "Dynamics of Schistosoma haematobium egg output and associated infection parameters following treatment with praziquantel in school-aged children." Parasit Vectors 5.1 (2012): 298.</v>
      </c>
      <c r="T28" s="697"/>
      <c r="U28" s="697" t="str">
        <f>IFERROR(__xludf.DUMMYFUNCTION("""COMPUTED_VALUE"""),"")</f>
        <v/>
      </c>
      <c r="V28" s="697">
        <f>IFERROR(__xludf.DUMMYFUNCTION("""COMPUTED_VALUE"""),28.0)</f>
        <v>28</v>
      </c>
    </row>
    <row r="29">
      <c r="A29" s="697" t="str">
        <f>IFERROR(__xludf.DUMMYFUNCTION("""COMPUTED_VALUE"""),"Creasey AM, 1986")</f>
        <v>Creasey AM, 1986</v>
      </c>
      <c r="B29" s="697" t="str">
        <f>IFERROR(__xludf.DUMMYFUNCTION("""COMPUTED_VALUE"""),"s. mansoni ")</f>
        <v>s. mansoni </v>
      </c>
      <c r="C29" s="697" t="str">
        <f>IFERROR(__xludf.DUMMYFUNCTION("""COMPUTED_VALUE"""),"Zimbabwe")</f>
        <v>Zimbabwe</v>
      </c>
      <c r="D29" s="697" t="str">
        <f>IFERROR(__xludf.DUMMYFUNCTION("""COMPUTED_VALUE"""),"Oxamniquine &amp; Praziquantel")</f>
        <v>Oxamniquine &amp; Praziquantel</v>
      </c>
      <c r="E29" s="697" t="str">
        <f>IFERROR(__xludf.DUMMYFUNCTION("""COMPUTED_VALUE"""),"Single")</f>
        <v>Single</v>
      </c>
      <c r="F29" s="697" t="str">
        <f>IFERROR(__xludf.DUMMYFUNCTION("""COMPUTED_VALUE"""),"8 mg/kg; 4 mg/kg ")</f>
        <v>8 mg/kg; 4 mg/kg </v>
      </c>
      <c r="G29" s="697">
        <f>IFERROR(__xludf.DUMMYFUNCTION("""COMPUTED_VALUE"""),10.0)</f>
        <v>10</v>
      </c>
      <c r="H29" s="697" t="str">
        <f>IFERROR(__xludf.DUMMYFUNCTION("""COMPUTED_VALUE"""),"7-16 years")</f>
        <v>7-16 years</v>
      </c>
      <c r="I29" s="705" t="str">
        <f>IFERROR(__xludf.DUMMYFUNCTION("""COMPUTED_VALUE"""),"34:25")</f>
        <v>34:25</v>
      </c>
      <c r="J29" s="697">
        <f>IFERROR(__xludf.DUMMYFUNCTION("""COMPUTED_VALUE"""),1986.0)</f>
        <v>1986</v>
      </c>
      <c r="K29" s="697" t="str">
        <f>IFERROR(__xludf.DUMMYFUNCTION("""COMPUTED_VALUE"""),"schoolchildren aged 7 to 16 years with both S. mansoni and S. haematobium")</f>
        <v>schoolchildren aged 7 to 16 years with both S. mansoni and S. haematobium</v>
      </c>
      <c r="L29" s="697" t="str">
        <f>IFERROR(__xludf.DUMMYFUNCTION("""COMPUTED_VALUE"""),"Yes")</f>
        <v>Yes</v>
      </c>
      <c r="M29" s="697" t="str">
        <f>IFERROR(__xludf.DUMMYFUNCTION("""COMPUTED_VALUE"""),"Yes")</f>
        <v>Yes</v>
      </c>
      <c r="N29" s="697" t="str">
        <f>IFERROR(__xludf.DUMMYFUNCTION("""COMPUTED_VALUE"""),"Cure rate 3 and 6 months")</f>
        <v>Cure rate 3 and 6 months</v>
      </c>
      <c r="O29" s="700">
        <f>IFERROR(__xludf.DUMMYFUNCTION("""COMPUTED_VALUE"""),0.1)</f>
        <v>0.1</v>
      </c>
      <c r="P29" s="700">
        <f>IFERROR(__xludf.DUMMYFUNCTION("""COMPUTED_VALUE"""),0.69)</f>
        <v>0.69</v>
      </c>
      <c r="Q29" s="697" t="str">
        <f>IFERROR(__xludf.DUMMYFUNCTION("""COMPUTED_VALUE"""),"In the treatment of s.mansoni the combination drug dosages in group 2 and 3 proved very effective.")</f>
        <v>In the treatment of s.mansoni the combination drug dosages in group 2 and 3 proved very effective.</v>
      </c>
      <c r="R29" s="697"/>
      <c r="S29" s="699" t="str">
        <f>IFERROR(__xludf.DUMMYFUNCTION("""COMPUTED_VALUE"""),"Creasey AM, Taylor P, Thomas JE. Dosage trial of a combination of oxamniquine and praziquantel in the treatment of schistosomiasis in Zimbabwean schoolchildren. Central African Journal of Medicine 1986;32(7):165–7.")</f>
        <v>Creasey AM, Taylor P, Thomas JE. Dosage trial of a combination of oxamniquine and praziquantel in the treatment of schistosomiasis in Zimbabwean schoolchildren. Central African Journal of Medicine 1986;32(7):165–7.</v>
      </c>
      <c r="T29" s="697"/>
      <c r="U29" s="697" t="str">
        <f>IFERROR(__xludf.DUMMYFUNCTION("""COMPUTED_VALUE"""),"")</f>
        <v/>
      </c>
      <c r="V29" s="697">
        <f>IFERROR(__xludf.DUMMYFUNCTION("""COMPUTED_VALUE"""),29.0)</f>
        <v>29</v>
      </c>
    </row>
    <row r="30">
      <c r="A30" s="697" t="str">
        <f>IFERROR(__xludf.DUMMYFUNCTION("""COMPUTED_VALUE"""),"Creasey AM, 1986")</f>
        <v>Creasey AM, 1986</v>
      </c>
      <c r="B30" s="697" t="str">
        <f>IFERROR(__xludf.DUMMYFUNCTION("""COMPUTED_VALUE"""),"s. mansoni ")</f>
        <v>s. mansoni </v>
      </c>
      <c r="C30" s="697" t="str">
        <f>IFERROR(__xludf.DUMMYFUNCTION("""COMPUTED_VALUE"""),"Zimbabwe")</f>
        <v>Zimbabwe</v>
      </c>
      <c r="D30" s="697" t="str">
        <f>IFERROR(__xludf.DUMMYFUNCTION("""COMPUTED_VALUE"""),"Oxamniquine &amp; Praziquantel")</f>
        <v>Oxamniquine &amp; Praziquantel</v>
      </c>
      <c r="E30" s="697" t="str">
        <f>IFERROR(__xludf.DUMMYFUNCTION("""COMPUTED_VALUE"""),"Single")</f>
        <v>Single</v>
      </c>
      <c r="F30" s="697" t="str">
        <f>IFERROR(__xludf.DUMMYFUNCTION("""COMPUTED_VALUE"""),"15 mg/kg; 7.5 mg/kg ")</f>
        <v>15 mg/kg; 7.5 mg/kg </v>
      </c>
      <c r="G30" s="697">
        <f>IFERROR(__xludf.DUMMYFUNCTION("""COMPUTED_VALUE"""),30.0)</f>
        <v>30</v>
      </c>
      <c r="H30" s="697" t="str">
        <f>IFERROR(__xludf.DUMMYFUNCTION("""COMPUTED_VALUE"""),"7-16 years")</f>
        <v>7-16 years</v>
      </c>
      <c r="I30" s="705" t="str">
        <f>IFERROR(__xludf.DUMMYFUNCTION("""COMPUTED_VALUE"""),"34:25")</f>
        <v>34:25</v>
      </c>
      <c r="J30" s="697">
        <f>IFERROR(__xludf.DUMMYFUNCTION("""COMPUTED_VALUE"""),1986.0)</f>
        <v>1986</v>
      </c>
      <c r="K30" s="697" t="str">
        <f>IFERROR(__xludf.DUMMYFUNCTION("""COMPUTED_VALUE"""),"schoolchildren aged 7 to 16 years with both S. mansoni")</f>
        <v>schoolchildren aged 7 to 16 years with both S. mansoni</v>
      </c>
      <c r="L30" s="697" t="str">
        <f>IFERROR(__xludf.DUMMYFUNCTION("""COMPUTED_VALUE"""),"Yes")</f>
        <v>Yes</v>
      </c>
      <c r="M30" s="697" t="str">
        <f>IFERROR(__xludf.DUMMYFUNCTION("""COMPUTED_VALUE"""),"Yes")</f>
        <v>Yes</v>
      </c>
      <c r="N30" s="697" t="str">
        <f>IFERROR(__xludf.DUMMYFUNCTION("""COMPUTED_VALUE"""),"Cure rate 3 and 6 months")</f>
        <v>Cure rate 3 and 6 months</v>
      </c>
      <c r="O30" s="698">
        <f>IFERROR(__xludf.DUMMYFUNCTION("""COMPUTED_VALUE"""),0.385)</f>
        <v>0.385</v>
      </c>
      <c r="P30" s="697"/>
      <c r="Q30" s="697" t="str">
        <f>IFERROR(__xludf.DUMMYFUNCTION("""COMPUTED_VALUE"""),"In the treatment of s.mansoni the combination drug dosages in group 2 and 3 proved very effective.")</f>
        <v>In the treatment of s.mansoni the combination drug dosages in group 2 and 3 proved very effective.</v>
      </c>
      <c r="R30" s="697"/>
      <c r="S30" s="699" t="str">
        <f>IFERROR(__xludf.DUMMYFUNCTION("""COMPUTED_VALUE"""),"Creasey AM, Taylor P, Thomas JE. Dosage trial of a combination of oxamniquine and praziquantel in the treatment of schistosomiasis in Zimbabwean schoolchildren. Central African Journal of Medicine 1986;32(7):165–7.")</f>
        <v>Creasey AM, Taylor P, Thomas JE. Dosage trial of a combination of oxamniquine and praziquantel in the treatment of schistosomiasis in Zimbabwean schoolchildren. Central African Journal of Medicine 1986;32(7):165–7.</v>
      </c>
      <c r="T30" s="697"/>
      <c r="U30" s="697" t="str">
        <f>IFERROR(__xludf.DUMMYFUNCTION("""COMPUTED_VALUE"""),"")</f>
        <v/>
      </c>
      <c r="V30" s="697">
        <f>IFERROR(__xludf.DUMMYFUNCTION("""COMPUTED_VALUE"""),30.0)</f>
        <v>30</v>
      </c>
    </row>
    <row r="31">
      <c r="A31" s="697" t="str">
        <f>IFERROR(__xludf.DUMMYFUNCTION("""COMPUTED_VALUE"""),"Creasey AM, 1986")</f>
        <v>Creasey AM, 1986</v>
      </c>
      <c r="B31" s="697" t="str">
        <f>IFERROR(__xludf.DUMMYFUNCTION("""COMPUTED_VALUE"""),"s. mansoni ")</f>
        <v>s. mansoni </v>
      </c>
      <c r="C31" s="697" t="str">
        <f>IFERROR(__xludf.DUMMYFUNCTION("""COMPUTED_VALUE"""),"Zimbabwe")</f>
        <v>Zimbabwe</v>
      </c>
      <c r="D31" s="697" t="str">
        <f>IFERROR(__xludf.DUMMYFUNCTION("""COMPUTED_VALUE"""),"Oxamniquine &amp; Praziquantel")</f>
        <v>Oxamniquine &amp; Praziquantel</v>
      </c>
      <c r="E31" s="697" t="str">
        <f>IFERROR(__xludf.DUMMYFUNCTION("""COMPUTED_VALUE"""),"Single")</f>
        <v>Single</v>
      </c>
      <c r="F31" s="697" t="str">
        <f>IFERROR(__xludf.DUMMYFUNCTION("""COMPUTED_VALUE"""),"20 mg/kg; 10 mg/kg ")</f>
        <v>20 mg/kg; 10 mg/kg </v>
      </c>
      <c r="G31" s="697">
        <f>IFERROR(__xludf.DUMMYFUNCTION("""COMPUTED_VALUE"""),19.0)</f>
        <v>19</v>
      </c>
      <c r="H31" s="697" t="str">
        <f>IFERROR(__xludf.DUMMYFUNCTION("""COMPUTED_VALUE"""),"7-16 years")</f>
        <v>7-16 years</v>
      </c>
      <c r="I31" s="705" t="str">
        <f>IFERROR(__xludf.DUMMYFUNCTION("""COMPUTED_VALUE"""),"34:25")</f>
        <v>34:25</v>
      </c>
      <c r="J31" s="697">
        <f>IFERROR(__xludf.DUMMYFUNCTION("""COMPUTED_VALUE"""),1986.0)</f>
        <v>1986</v>
      </c>
      <c r="K31" s="697" t="str">
        <f>IFERROR(__xludf.DUMMYFUNCTION("""COMPUTED_VALUE"""),"schoolchildren aged 7 to 16 years with both S. mansoni")</f>
        <v>schoolchildren aged 7 to 16 years with both S. mansoni</v>
      </c>
      <c r="L31" s="697" t="str">
        <f>IFERROR(__xludf.DUMMYFUNCTION("""COMPUTED_VALUE"""),"Yes")</f>
        <v>Yes</v>
      </c>
      <c r="M31" s="697" t="str">
        <f>IFERROR(__xludf.DUMMYFUNCTION("""COMPUTED_VALUE"""),"Yes")</f>
        <v>Yes</v>
      </c>
      <c r="N31" s="697" t="str">
        <f>IFERROR(__xludf.DUMMYFUNCTION("""COMPUTED_VALUE"""),"Cure rate 3 and 6 months")</f>
        <v>Cure rate 3 and 6 months</v>
      </c>
      <c r="O31" s="698">
        <f>IFERROR(__xludf.DUMMYFUNCTION("""COMPUTED_VALUE"""),0.526)</f>
        <v>0.526</v>
      </c>
      <c r="P31" s="698">
        <f>IFERROR(__xludf.DUMMYFUNCTION("""COMPUTED_VALUE"""),0.934)</f>
        <v>0.934</v>
      </c>
      <c r="Q31" s="697" t="str">
        <f>IFERROR(__xludf.DUMMYFUNCTION("""COMPUTED_VALUE"""),"In the treatment of s.mansoni the combination drug dosages in group 2 and 3 proved very effective.")</f>
        <v>In the treatment of s.mansoni the combination drug dosages in group 2 and 3 proved very effective.</v>
      </c>
      <c r="R31" s="697"/>
      <c r="S31" s="699" t="str">
        <f>IFERROR(__xludf.DUMMYFUNCTION("""COMPUTED_VALUE"""),"Creasey AM, Taylor P, Thomas JE. Dosage trial of a combination of oxamniquine and praziquantel in the treatment of schistosomiasis in Zimbabwean schoolchildren. Central African Journal of Medicine 1986;32(7):165–7.")</f>
        <v>Creasey AM, Taylor P, Thomas JE. Dosage trial of a combination of oxamniquine and praziquantel in the treatment of schistosomiasis in Zimbabwean schoolchildren. Central African Journal of Medicine 1986;32(7):165–7.</v>
      </c>
      <c r="T31" s="697"/>
      <c r="U31" s="697" t="str">
        <f>IFERROR(__xludf.DUMMYFUNCTION("""COMPUTED_VALUE"""),"")</f>
        <v/>
      </c>
      <c r="V31" s="697">
        <f>IFERROR(__xludf.DUMMYFUNCTION("""COMPUTED_VALUE"""),31.0)</f>
        <v>31</v>
      </c>
    </row>
    <row r="32">
      <c r="A32" s="697" t="str">
        <f>IFERROR(__xludf.DUMMYFUNCTION("""COMPUTED_VALUE"""),"da Cunha AS, 1986")</f>
        <v>da Cunha AS, 1986</v>
      </c>
      <c r="B32" s="697" t="str">
        <f>IFERROR(__xludf.DUMMYFUNCTION("""COMPUTED_VALUE"""),"s. mansoni")</f>
        <v>s. mansoni</v>
      </c>
      <c r="C32" s="697" t="str">
        <f>IFERROR(__xludf.DUMMYFUNCTION("""COMPUTED_VALUE"""),"Brazil")</f>
        <v>Brazil</v>
      </c>
      <c r="D32" s="697" t="str">
        <f>IFERROR(__xludf.DUMMYFUNCTION("""COMPUTED_VALUE"""),"Praziquantel")</f>
        <v>Praziquantel</v>
      </c>
      <c r="E32" s="697" t="str">
        <f>IFERROR(__xludf.DUMMYFUNCTION("""COMPUTED_VALUE"""),"Single")</f>
        <v>Single</v>
      </c>
      <c r="F32" s="697" t="str">
        <f>IFERROR(__xludf.DUMMYFUNCTION("""COMPUTED_VALUE"""),"30 mg/kg for 6 days")</f>
        <v>30 mg/kg for 6 days</v>
      </c>
      <c r="G32" s="697">
        <f>IFERROR(__xludf.DUMMYFUNCTION("""COMPUTED_VALUE"""),20.0)</f>
        <v>20</v>
      </c>
      <c r="H32" s="697" t="str">
        <f>IFERROR(__xludf.DUMMYFUNCTION("""COMPUTED_VALUE"""),"15-55")</f>
        <v>15-55</v>
      </c>
      <c r="I32" s="705" t="str">
        <f>IFERROR(__xludf.DUMMYFUNCTION("""COMPUTED_VALUE"""),"1: 1")</f>
        <v>1: 1</v>
      </c>
      <c r="J32" s="697">
        <f>IFERROR(__xludf.DUMMYFUNCTION("""COMPUTED_VALUE"""),1987.0)</f>
        <v>1987</v>
      </c>
      <c r="K32" s="697" t="str">
        <f>IFERROR(__xludf.DUMMYFUNCTION("""COMPUTED_VALUE"""),"adolescent and adult patients aged 15 to 55 years with chronic S. mansoni infection")</f>
        <v>adolescent and adult patients aged 15 to 55 years with chronic S. mansoni infection</v>
      </c>
      <c r="L32" s="697" t="str">
        <f>IFERROR(__xludf.DUMMYFUNCTION("""COMPUTED_VALUE"""),"Yes")</f>
        <v>Yes</v>
      </c>
      <c r="M32" s="697" t="str">
        <f>IFERROR(__xludf.DUMMYFUNCTION("""COMPUTED_VALUE"""),"Yes")</f>
        <v>Yes</v>
      </c>
      <c r="N32" s="697" t="str">
        <f>IFERROR(__xludf.DUMMYFUNCTION("""COMPUTED_VALUE"""),"6 months")</f>
        <v>6 months</v>
      </c>
      <c r="O32" s="700">
        <f>IFERROR(__xludf.DUMMYFUNCTION("""COMPUTED_VALUE"""),0.9)</f>
        <v>0.9</v>
      </c>
      <c r="P32" s="700">
        <f>IFERROR(__xludf.DUMMYFUNCTION("""COMPUTED_VALUE"""),0.84)</f>
        <v>0.84</v>
      </c>
      <c r="Q32" s="697" t="str">
        <f>IFERROR(__xludf.DUMMYFUNCTION("""COMPUTED_VALUE"""),"In conclusion, it has been proven thât praziquantel is a highly efncacious agent against S, mansoni infections, If âdministered at a total dose of 180 mg/kg divided into either 3 or 6 days, it yields a 907o cure tate. possibly, one Could reac¡' IOO% by in"&amp;"creâsing the totâl dose to 240 mg/kg. Furthermore, it wâs conhrmed that the quântitative oogram technique is the most reliable parâsitologicâl method when evaluating the efficacy of new dn¡gs in schistosomiasis mansoni.")</f>
        <v>In conclusion, it has been proven thât praziquantel is a highly efncacious agent against S, mansoni infections, If âdministered at a total dose of 180 mg/kg divided into either 3 or 6 days, it yields a 907o cure tate. possibly, one Could reac¡' IOO% by increâsing the totâl dose to 240 mg/kg. Furthermore, it wâs conhrmed that the quântitative oogram technique is the most reliable parâsitologicâl method when evaluating the efficacy of new dn¡gs in schistosomiasis mansoni.</v>
      </c>
      <c r="R32" s="697" t="str">
        <f>IFERROR(__xludf.DUMMYFUNCTION("""COMPUTED_VALUE"""),"80 patients total were involved in the study divided in 4 groups of 20")</f>
        <v>80 patients total were involved in the study divided in 4 groups of 20</v>
      </c>
      <c r="S32" s="699" t="str">
        <f>IFERROR(__xludf.DUMMYFUNCTION("""COMPUTED_VALUE"""),"da Cunha AS, Pedrosa RC. Double-blind therapeutical evaluation based on the quantitative oogram technique, comparing praziquantel and oxamniquine in human Schistosomiasis mansoni. Revista do Instituto de Medicina Tropical de São Paulo 1986;28(5):337–51.")</f>
        <v>da Cunha AS, Pedrosa RC. Double-blind therapeutical evaluation based on the quantitative oogram technique, comparing praziquantel and oxamniquine in human Schistosomiasis mansoni. Revista do Instituto de Medicina Tropical de São Paulo 1986;28(5):337–51.</v>
      </c>
      <c r="T32" s="697"/>
      <c r="U32" s="697" t="str">
        <f>IFERROR(__xludf.DUMMYFUNCTION("""COMPUTED_VALUE"""),"")</f>
        <v/>
      </c>
      <c r="V32" s="697">
        <f>IFERROR(__xludf.DUMMYFUNCTION("""COMPUTED_VALUE"""),32.0)</f>
        <v>32</v>
      </c>
    </row>
    <row r="33">
      <c r="A33" s="697" t="str">
        <f>IFERROR(__xludf.DUMMYFUNCTION("""COMPUTED_VALUE"""),"da Cunha AS, 1987")</f>
        <v>da Cunha AS, 1987</v>
      </c>
      <c r="B33" s="697" t="str">
        <f>IFERROR(__xludf.DUMMYFUNCTION("""COMPUTED_VALUE"""),"s. mansoni")</f>
        <v>s. mansoni</v>
      </c>
      <c r="C33" s="697" t="str">
        <f>IFERROR(__xludf.DUMMYFUNCTION("""COMPUTED_VALUE"""),"Brazil")</f>
        <v>Brazil</v>
      </c>
      <c r="D33" s="697" t="str">
        <f>IFERROR(__xludf.DUMMYFUNCTION("""COMPUTED_VALUE"""),"Praziquantel")</f>
        <v>Praziquantel</v>
      </c>
      <c r="E33" s="697" t="str">
        <f>IFERROR(__xludf.DUMMYFUNCTION("""COMPUTED_VALUE"""),"Single")</f>
        <v>Single</v>
      </c>
      <c r="F33" s="697" t="str">
        <f>IFERROR(__xludf.DUMMYFUNCTION("""COMPUTED_VALUE"""),"60 mg/kg ")</f>
        <v>60 mg/kg </v>
      </c>
      <c r="G33" s="697">
        <f>IFERROR(__xludf.DUMMYFUNCTION("""COMPUTED_VALUE"""),20.0)</f>
        <v>20</v>
      </c>
      <c r="H33" s="697" t="str">
        <f>IFERROR(__xludf.DUMMYFUNCTION("""COMPUTED_VALUE"""),"15-55")</f>
        <v>15-55</v>
      </c>
      <c r="I33" s="705" t="str">
        <f>IFERROR(__xludf.DUMMYFUNCTION("""COMPUTED_VALUE"""),"1: 1.22")</f>
        <v>1: 1.22</v>
      </c>
      <c r="J33" s="697">
        <f>IFERROR(__xludf.DUMMYFUNCTION("""COMPUTED_VALUE"""),1987.0)</f>
        <v>1987</v>
      </c>
      <c r="K33" s="697" t="str">
        <f>IFERROR(__xludf.DUMMYFUNCTION("""COMPUTED_VALUE"""),"adolescent and adults patients aged 15 to 55 years with no previous antischistosomal treatment who were infected with S. mansoni")</f>
        <v>adolescent and adults patients aged 15 to 55 years with no previous antischistosomal treatment who were infected with S. mansoni</v>
      </c>
      <c r="L33" s="697" t="str">
        <f>IFERROR(__xludf.DUMMYFUNCTION("""COMPUTED_VALUE"""),"Yes")</f>
        <v>Yes</v>
      </c>
      <c r="M33" s="697" t="str">
        <f>IFERROR(__xludf.DUMMYFUNCTION("""COMPUTED_VALUE"""),"Yes")</f>
        <v>Yes</v>
      </c>
      <c r="N33" s="697" t="str">
        <f>IFERROR(__xludf.DUMMYFUNCTION("""COMPUTED_VALUE"""),"6 months")</f>
        <v>6 months</v>
      </c>
      <c r="O33" s="700">
        <f>IFERROR(__xludf.DUMMYFUNCTION("""COMPUTED_VALUE"""),0.25)</f>
        <v>0.25</v>
      </c>
      <c r="P33" s="698">
        <f>IFERROR(__xludf.DUMMYFUNCTION("""COMPUTED_VALUE"""),0.64)</f>
        <v>0.64</v>
      </c>
      <c r="Q33" s="697" t="str">
        <f>IFERROR(__xludf.DUMMYFUNCTION("""COMPUTED_VALUE"""),"In conclusion, it has been proven thât praziquantel is a highly efncacious agent against S, mansoni infections, If âdministered at a total dose of 180 mg/kg divided into either 3 or 6 days, it yields a 907o cure tate. possibly, one Could reac¡' IOO% by in"&amp;"creâsing the totâl dose to 240 mg/kg. Furthermore, it wâs conhrmed that the quântitative oogram technique is the most reliable parâsitologicâl method when evaluating the efficacy of new dn¡gs in schistosomiasis mansoni.")</f>
        <v>In conclusion, it has been proven thât praziquantel is a highly efncacious agent against S, mansoni infections, If âdministered at a total dose of 180 mg/kg divided into either 3 or 6 days, it yields a 907o cure tate. possibly, one Could reac¡' IOO% by increâsing the totâl dose to 240 mg/kg. Furthermore, it wâs conhrmed that the quântitative oogram technique is the most reliable parâsitologicâl method when evaluating the efficacy of new dn¡gs in schistosomiasis mansoni.</v>
      </c>
      <c r="R33" s="697" t="str">
        <f>IFERROR(__xludf.DUMMYFUNCTION("""COMPUTED_VALUE"""),"80 patients total were involved in the study divided in 4 groups of 20 ")</f>
        <v>80 patients total were involved in the study divided in 4 groups of 20 </v>
      </c>
      <c r="S33" s="699" t="str">
        <f>IFERROR(__xludf.DUMMYFUNCTION("""COMPUTED_VALUE"""),"da Cunha AS, Pedrosa RC. Double-blind therapeutical evaluation based on the quantitative oogram technique, comparing praziquantel and oxamniquine in human Schistosomiasis mansoni. Revista do Instituto de Medicina Tropical de São Paulo 1986;28(5):337–51.")</f>
        <v>da Cunha AS, Pedrosa RC. Double-blind therapeutical evaluation based on the quantitative oogram technique, comparing praziquantel and oxamniquine in human Schistosomiasis mansoni. Revista do Instituto de Medicina Tropical de São Paulo 1986;28(5):337–51.</v>
      </c>
      <c r="T33" s="697"/>
      <c r="U33" s="697" t="str">
        <f>IFERROR(__xludf.DUMMYFUNCTION("""COMPUTED_VALUE"""),"")</f>
        <v/>
      </c>
      <c r="V33" s="697">
        <f>IFERROR(__xludf.DUMMYFUNCTION("""COMPUTED_VALUE"""),33.0)</f>
        <v>33</v>
      </c>
    </row>
    <row r="34">
      <c r="A34" s="697" t="str">
        <f>IFERROR(__xludf.DUMMYFUNCTION("""COMPUTED_VALUE"""),"da Cunha AS, 1987")</f>
        <v>da Cunha AS, 1987</v>
      </c>
      <c r="B34" s="697" t="str">
        <f>IFERROR(__xludf.DUMMYFUNCTION("""COMPUTED_VALUE"""),"s. mansoni")</f>
        <v>s. mansoni</v>
      </c>
      <c r="C34" s="697" t="str">
        <f>IFERROR(__xludf.DUMMYFUNCTION("""COMPUTED_VALUE"""),"Brazil")</f>
        <v>Brazil</v>
      </c>
      <c r="D34" s="697" t="str">
        <f>IFERROR(__xludf.DUMMYFUNCTION("""COMPUTED_VALUE"""),"Praziquantel")</f>
        <v>Praziquantel</v>
      </c>
      <c r="E34" s="697" t="str">
        <f>IFERROR(__xludf.DUMMYFUNCTION("""COMPUTED_VALUE"""),"Single")</f>
        <v>Single</v>
      </c>
      <c r="F34" s="697" t="str">
        <f>IFERROR(__xludf.DUMMYFUNCTION("""COMPUTED_VALUE"""),"60 mg/kg for 2 days")</f>
        <v>60 mg/kg for 2 days</v>
      </c>
      <c r="G34" s="697">
        <f>IFERROR(__xludf.DUMMYFUNCTION("""COMPUTED_VALUE"""),20.0)</f>
        <v>20</v>
      </c>
      <c r="H34" s="697" t="str">
        <f>IFERROR(__xludf.DUMMYFUNCTION("""COMPUTED_VALUE"""),"15-55")</f>
        <v>15-55</v>
      </c>
      <c r="I34" s="705" t="str">
        <f>IFERROR(__xludf.DUMMYFUNCTION("""COMPUTED_VALUE"""),"1: 4")</f>
        <v>1: 4</v>
      </c>
      <c r="J34" s="697">
        <f>IFERROR(__xludf.DUMMYFUNCTION("""COMPUTED_VALUE"""),1987.0)</f>
        <v>1987</v>
      </c>
      <c r="K34" s="697" t="str">
        <f>IFERROR(__xludf.DUMMYFUNCTION("""COMPUTED_VALUE"""),"adolescent and adults patients aged 15 to 55 years with no previous antischistosomal treatment who were infected with S. mansoni")</f>
        <v>adolescent and adults patients aged 15 to 55 years with no previous antischistosomal treatment who were infected with S. mansoni</v>
      </c>
      <c r="L34" s="697" t="str">
        <f>IFERROR(__xludf.DUMMYFUNCTION("""COMPUTED_VALUE"""),"Yes")</f>
        <v>Yes</v>
      </c>
      <c r="M34" s="697" t="str">
        <f>IFERROR(__xludf.DUMMYFUNCTION("""COMPUTED_VALUE"""),"Yes")</f>
        <v>Yes</v>
      </c>
      <c r="N34" s="697" t="str">
        <f>IFERROR(__xludf.DUMMYFUNCTION("""COMPUTED_VALUE"""),"6 months")</f>
        <v>6 months</v>
      </c>
      <c r="O34" s="700">
        <f>IFERROR(__xludf.DUMMYFUNCTION("""COMPUTED_VALUE"""),0.6)</f>
        <v>0.6</v>
      </c>
      <c r="P34" s="698">
        <f>IFERROR(__xludf.DUMMYFUNCTION("""COMPUTED_VALUE"""),0.731)</f>
        <v>0.731</v>
      </c>
      <c r="Q34" s="697" t="str">
        <f>IFERROR(__xludf.DUMMYFUNCTION("""COMPUTED_VALUE"""),"In conclusion, it has been proven thât praziquantel is a highly efncacious agent against S, mansoni infections, If âdministered at a total dose of 180 mg/kg divided into either 3 or 6 days, it yields a 907o cure tate. possibly, one Could reac¡' IOO% by in"&amp;"creâsing the totâl dose to 240 mg/kg. Furthermore, it wâs conhrmed that the quântitative oogram technique is the most reliable parâsitologicâl method when evaluating the efficacy of new dn¡gs in schistosomiasis mansoni.")</f>
        <v>In conclusion, it has been proven thât praziquantel is a highly efncacious agent against S, mansoni infections, If âdministered at a total dose of 180 mg/kg divided into either 3 or 6 days, it yields a 907o cure tate. possibly, one Could reac¡' IOO% by increâsing the totâl dose to 240 mg/kg. Furthermore, it wâs conhrmed that the quântitative oogram technique is the most reliable parâsitologicâl method when evaluating the efficacy of new dn¡gs in schistosomiasis mansoni.</v>
      </c>
      <c r="R34" s="697" t="str">
        <f>IFERROR(__xludf.DUMMYFUNCTION("""COMPUTED_VALUE"""),"80 patients total were involved in the study divided in 4 groups of 20")</f>
        <v>80 patients total were involved in the study divided in 4 groups of 20</v>
      </c>
      <c r="S34" s="699" t="str">
        <f>IFERROR(__xludf.DUMMYFUNCTION("""COMPUTED_VALUE"""),"da Cunha AS, Pedrosa RC. Double-blind therapeutical evaluation based on the quantitative oogram technique, comparing praziquantel and oxamniquine in human Schistosomiasis mansoni. Revista do Instituto de Medicina Tropical de São Paulo 1986;28(5):337–51.")</f>
        <v>da Cunha AS, Pedrosa RC. Double-blind therapeutical evaluation based on the quantitative oogram technique, comparing praziquantel and oxamniquine in human Schistosomiasis mansoni. Revista do Instituto de Medicina Tropical de São Paulo 1986;28(5):337–51.</v>
      </c>
      <c r="T34" s="697"/>
      <c r="U34" s="697" t="str">
        <f>IFERROR(__xludf.DUMMYFUNCTION("""COMPUTED_VALUE"""),"")</f>
        <v/>
      </c>
      <c r="V34" s="697">
        <f>IFERROR(__xludf.DUMMYFUNCTION("""COMPUTED_VALUE"""),34.0)</f>
        <v>34</v>
      </c>
    </row>
    <row r="35">
      <c r="A35" s="697" t="str">
        <f>IFERROR(__xludf.DUMMYFUNCTION("""COMPUTED_VALUE"""),"da Cunha AS, 1987")</f>
        <v>da Cunha AS, 1987</v>
      </c>
      <c r="B35" s="697" t="str">
        <f>IFERROR(__xludf.DUMMYFUNCTION("""COMPUTED_VALUE"""),"s. mansoni")</f>
        <v>s. mansoni</v>
      </c>
      <c r="C35" s="697" t="str">
        <f>IFERROR(__xludf.DUMMYFUNCTION("""COMPUTED_VALUE"""),"Brazil")</f>
        <v>Brazil</v>
      </c>
      <c r="D35" s="697" t="str">
        <f>IFERROR(__xludf.DUMMYFUNCTION("""COMPUTED_VALUE"""),"Praziquantel")</f>
        <v>Praziquantel</v>
      </c>
      <c r="E35" s="697" t="str">
        <f>IFERROR(__xludf.DUMMYFUNCTION("""COMPUTED_VALUE"""),"Single")</f>
        <v>Single</v>
      </c>
      <c r="F35" s="697" t="str">
        <f>IFERROR(__xludf.DUMMYFUNCTION("""COMPUTED_VALUE"""),"60 mg/kg for 3 days")</f>
        <v>60 mg/kg for 3 days</v>
      </c>
      <c r="G35" s="697">
        <f>IFERROR(__xludf.DUMMYFUNCTION("""COMPUTED_VALUE"""),20.0)</f>
        <v>20</v>
      </c>
      <c r="H35" s="697" t="str">
        <f>IFERROR(__xludf.DUMMYFUNCTION("""COMPUTED_VALUE"""),"15-55")</f>
        <v>15-55</v>
      </c>
      <c r="I35" s="705" t="str">
        <f>IFERROR(__xludf.DUMMYFUNCTION("""COMPUTED_VALUE"""),"1: 1")</f>
        <v>1: 1</v>
      </c>
      <c r="J35" s="697">
        <f>IFERROR(__xludf.DUMMYFUNCTION("""COMPUTED_VALUE"""),1987.0)</f>
        <v>1987</v>
      </c>
      <c r="K35" s="697" t="str">
        <f>IFERROR(__xludf.DUMMYFUNCTION("""COMPUTED_VALUE"""),"adolescent and adults patients aged 15 to 55 years with no previous antischistosomal treatment who were infected with S. mansoni")</f>
        <v>adolescent and adults patients aged 15 to 55 years with no previous antischistosomal treatment who were infected with S. mansoni</v>
      </c>
      <c r="L35" s="697" t="str">
        <f>IFERROR(__xludf.DUMMYFUNCTION("""COMPUTED_VALUE"""),"Yes")</f>
        <v>Yes</v>
      </c>
      <c r="M35" s="697" t="str">
        <f>IFERROR(__xludf.DUMMYFUNCTION("""COMPUTED_VALUE"""),"Yes")</f>
        <v>Yes</v>
      </c>
      <c r="N35" s="697" t="str">
        <f>IFERROR(__xludf.DUMMYFUNCTION("""COMPUTED_VALUE"""),"6 months")</f>
        <v>6 months</v>
      </c>
      <c r="O35" s="698">
        <f>IFERROR(__xludf.DUMMYFUNCTION("""COMPUTED_VALUE"""),0.895)</f>
        <v>0.895</v>
      </c>
      <c r="P35" s="698">
        <f>IFERROR(__xludf.DUMMYFUNCTION("""COMPUTED_VALUE"""),0.866)</f>
        <v>0.866</v>
      </c>
      <c r="Q35" s="697" t="str">
        <f>IFERROR(__xludf.DUMMYFUNCTION("""COMPUTED_VALUE"""),"In conclusion, it has been proven thât praziquantel is a highly efncacious agent against S, mansoni infections, If âdministered at a total dose of 180 mg/kg divided into either 3 or 6 days, it yields a 907o cure tate. possibly, one Could reac¡' IOO% by in"&amp;"creâsing the totâl dose to 240 mg/kg. Furthermore, it wâs conhrmed that the quântitative oogram technique is the most reliable parâsitologicâl method when evaluating the efficacy of new dn¡gs in schistosomiasis mansoni.")</f>
        <v>In conclusion, it has been proven thât praziquantel is a highly efncacious agent against S, mansoni infections, If âdministered at a total dose of 180 mg/kg divided into either 3 or 6 days, it yields a 907o cure tate. possibly, one Could reac¡' IOO% by increâsing the totâl dose to 240 mg/kg. Furthermore, it wâs conhrmed that the quântitative oogram technique is the most reliable parâsitologicâl method when evaluating the efficacy of new dn¡gs in schistosomiasis mansoni.</v>
      </c>
      <c r="R35" s="697" t="str">
        <f>IFERROR(__xludf.DUMMYFUNCTION("""COMPUTED_VALUE"""),"80 patients total were involved in the study divided in 4 groups of 20")</f>
        <v>80 patients total were involved in the study divided in 4 groups of 20</v>
      </c>
      <c r="S35" s="699" t="str">
        <f>IFERROR(__xludf.DUMMYFUNCTION("""COMPUTED_VALUE"""),"da Cunha AS, Pedrosa RC. Double-blind therapeutical evaluation based on the quantitative oogram technique, comparing praziquantel and oxamniquine in human Schistosomiasis mansoni. Revista do Instituto de Medicina Tropical de São Paulo 1986;28(5):337–51.")</f>
        <v>da Cunha AS, Pedrosa RC. Double-blind therapeutical evaluation based on the quantitative oogram technique, comparing praziquantel and oxamniquine in human Schistosomiasis mansoni. Revista do Instituto de Medicina Tropical de São Paulo 1986;28(5):337–51.</v>
      </c>
      <c r="T35" s="697"/>
      <c r="U35" s="697" t="str">
        <f>IFERROR(__xludf.DUMMYFUNCTION("""COMPUTED_VALUE"""),"")</f>
        <v/>
      </c>
      <c r="V35" s="697">
        <f>IFERROR(__xludf.DUMMYFUNCTION("""COMPUTED_VALUE"""),35.0)</f>
        <v>35</v>
      </c>
    </row>
    <row r="36">
      <c r="A36" s="697" t="str">
        <f>IFERROR(__xludf.DUMMYFUNCTION("""COMPUTED_VALUE"""),"da Silva LC, 1986")</f>
        <v>da Silva LC, 1986</v>
      </c>
      <c r="B36" s="697" t="str">
        <f>IFERROR(__xludf.DUMMYFUNCTION("""COMPUTED_VALUE"""),"s. mansoni ")</f>
        <v>s. mansoni </v>
      </c>
      <c r="C36" s="697" t="str">
        <f>IFERROR(__xludf.DUMMYFUNCTION("""COMPUTED_VALUE"""),"Brazil")</f>
        <v>Brazil</v>
      </c>
      <c r="D36" s="697" t="str">
        <f>IFERROR(__xludf.DUMMYFUNCTION("""COMPUTED_VALUE"""),"Praziquantel")</f>
        <v>Praziquantel</v>
      </c>
      <c r="E36" s="697" t="str">
        <f>IFERROR(__xludf.DUMMYFUNCTION("""COMPUTED_VALUE"""),"Single")</f>
        <v>Single</v>
      </c>
      <c r="F36" s="697" t="str">
        <f>IFERROR(__xludf.DUMMYFUNCTION("""COMPUTED_VALUE"""),"55 mg/kg")</f>
        <v>55 mg/kg</v>
      </c>
      <c r="G36" s="697">
        <f>IFERROR(__xludf.DUMMYFUNCTION("""COMPUTED_VALUE"""),120.0)</f>
        <v>120</v>
      </c>
      <c r="H36" s="697" t="str">
        <f>IFERROR(__xludf.DUMMYFUNCTION("""COMPUTED_VALUE"""),"18-55")</f>
        <v>18-55</v>
      </c>
      <c r="I36" s="705" t="str">
        <f>IFERROR(__xludf.DUMMYFUNCTION("""COMPUTED_VALUE"""),"1:1")</f>
        <v>1:1</v>
      </c>
      <c r="J36" s="697">
        <f>IFERROR(__xludf.DUMMYFUNCTION("""COMPUTED_VALUE"""),1986.0)</f>
        <v>1986</v>
      </c>
      <c r="K36" s="697" t="str">
        <f>IFERROR(__xludf.DUMMYFUNCTION("""COMPUTED_VALUE"""),"patients with chronic intestinal or hepato-intestinal S. mansoni infec- tion aged over 14 years")</f>
        <v>patients with chronic intestinal or hepato-intestinal S. mansoni infec- tion aged over 14 years</v>
      </c>
      <c r="L36" s="697" t="str">
        <f>IFERROR(__xludf.DUMMYFUNCTION("""COMPUTED_VALUE"""),"Yes")</f>
        <v>Yes</v>
      </c>
      <c r="M36" s="697" t="str">
        <f>IFERROR(__xludf.DUMMYFUNCTION("""COMPUTED_VALUE"""),"Yes")</f>
        <v>Yes</v>
      </c>
      <c r="N36" s="697" t="str">
        <f>IFERROR(__xludf.DUMMYFUNCTION("""COMPUTED_VALUE"""),"efficacy determined by eliminated viable eggs in the 3 stool examination from the 1st month 3 month and 6 month. Cure rate was on 6 month")</f>
        <v>efficacy determined by eliminated viable eggs in the 3 stool examination from the 1st month 3 month and 6 month. Cure rate was on 6 month</v>
      </c>
      <c r="O36" s="698">
        <f>IFERROR(__xludf.DUMMYFUNCTION("""COMPUTED_VALUE"""),0.792)</f>
        <v>0.792</v>
      </c>
      <c r="P36" s="698">
        <f>IFERROR(__xludf.DUMMYFUNCTION("""COMPUTED_VALUE"""),0.935)</f>
        <v>0.935</v>
      </c>
      <c r="Q36" s="697" t="str">
        <f>IFERROR(__xludf.DUMMYFUNCTION("""COMPUTED_VALUE"""),"data show not only that DSRS is superior but that SRS should be abandoned in hepatosplenic schistosomiasis. On the other hand, a comparison between DSRS and EGDS with more patients and a longer follow-up is urgently needed.")</f>
        <v>data show not only that DSRS is superior but that SRS should be abandoned in hepatosplenic schistosomiasis. On the other hand, a comparison between DSRS and EGDS with more patients and a longer follow-up is urgently needed.</v>
      </c>
      <c r="R36" s="697" t="str">
        <f>IFERROR(__xludf.DUMMYFUNCTION("""COMPUTED_VALUE"""),"A Randomized Trial for the Study of the Elective Surgical Treatment of Portal Hypertension in Mansonic Schistosomiasis")</f>
        <v>A Randomized Trial for the Study of the Elective Surgical Treatment of Portal Hypertension in Mansonic Schistosomiasis</v>
      </c>
      <c r="S36" s="699" t="str">
        <f>IFERROR(__xludf.DUMMYFUNCTION("""COMPUTED_VALUE"""),"da SILVA, LUIZ C., et al. ""A randomized trial for the study of the elective surgical treatment of portal hypertension in mansonic schistosomiasis."" Annals of surgery 204.2 (1986): 148.")</f>
        <v>da SILVA, LUIZ C., et al. "A randomized trial for the study of the elective surgical treatment of portal hypertension in mansonic schistosomiasis." Annals of surgery 204.2 (1986): 148.</v>
      </c>
      <c r="T36" s="697"/>
      <c r="U36" s="697" t="str">
        <f>IFERROR(__xludf.DUMMYFUNCTION("""COMPUTED_VALUE"""),"")</f>
        <v/>
      </c>
      <c r="V36" s="697">
        <f>IFERROR(__xludf.DUMMYFUNCTION("""COMPUTED_VALUE"""),36.0)</f>
        <v>36</v>
      </c>
    </row>
    <row r="37">
      <c r="A37" s="697" t="str">
        <f>IFERROR(__xludf.DUMMYFUNCTION("""COMPUTED_VALUE"""),"da Silva LC, 1986")</f>
        <v>da Silva LC, 1986</v>
      </c>
      <c r="B37" s="697" t="str">
        <f>IFERROR(__xludf.DUMMYFUNCTION("""COMPUTED_VALUE"""),"s. mansoni")</f>
        <v>s. mansoni</v>
      </c>
      <c r="C37" s="697" t="str">
        <f>IFERROR(__xludf.DUMMYFUNCTION("""COMPUTED_VALUE"""),"Brazil")</f>
        <v>Brazil</v>
      </c>
      <c r="D37" s="697" t="str">
        <f>IFERROR(__xludf.DUMMYFUNCTION("""COMPUTED_VALUE"""),"Oxamniquine")</f>
        <v>Oxamniquine</v>
      </c>
      <c r="E37" s="697" t="str">
        <f>IFERROR(__xludf.DUMMYFUNCTION("""COMPUTED_VALUE"""),"Single")</f>
        <v>Single</v>
      </c>
      <c r="F37" s="697" t="str">
        <f>IFERROR(__xludf.DUMMYFUNCTION("""COMPUTED_VALUE"""),"15 mg/kg")</f>
        <v>15 mg/kg</v>
      </c>
      <c r="G37" s="697">
        <f>IFERROR(__xludf.DUMMYFUNCTION("""COMPUTED_VALUE"""),120.0)</f>
        <v>120</v>
      </c>
      <c r="H37" s="697" t="str">
        <f>IFERROR(__xludf.DUMMYFUNCTION("""COMPUTED_VALUE"""),"18-55")</f>
        <v>18-55</v>
      </c>
      <c r="I37" s="705" t="str">
        <f>IFERROR(__xludf.DUMMYFUNCTION("""COMPUTED_VALUE"""),"1:1")</f>
        <v>1:1</v>
      </c>
      <c r="J37" s="697">
        <f>IFERROR(__xludf.DUMMYFUNCTION("""COMPUTED_VALUE"""),1986.0)</f>
        <v>1986</v>
      </c>
      <c r="K37" s="697" t="str">
        <f>IFERROR(__xludf.DUMMYFUNCTION("""COMPUTED_VALUE"""),"patients with chronic intestinal or hepato-intestinal S. mansoni infec- tion aged over 14 years")</f>
        <v>patients with chronic intestinal or hepato-intestinal S. mansoni infec- tion aged over 14 years</v>
      </c>
      <c r="L37" s="697" t="str">
        <f>IFERROR(__xludf.DUMMYFUNCTION("""COMPUTED_VALUE"""),"Yes")</f>
        <v>Yes</v>
      </c>
      <c r="M37" s="697" t="str">
        <f>IFERROR(__xludf.DUMMYFUNCTION("""COMPUTED_VALUE"""),"Yes")</f>
        <v>Yes</v>
      </c>
      <c r="N37" s="697" t="str">
        <f>IFERROR(__xludf.DUMMYFUNCTION("""COMPUTED_VALUE"""),"efficacy determined by eliminated viable eggs in the 3 stool examination from the 1st month 3 month and 6 month. Cure rate was on 6 month")</f>
        <v>efficacy determined by eliminated viable eggs in the 3 stool examination from the 1st month 3 month and 6 month. Cure rate was on 6 month</v>
      </c>
      <c r="O37" s="698">
        <f>IFERROR(__xludf.DUMMYFUNCTION("""COMPUTED_VALUE"""),0.848)</f>
        <v>0.848</v>
      </c>
      <c r="P37" s="698">
        <f>IFERROR(__xludf.DUMMYFUNCTION("""COMPUTED_VALUE"""),0.841)</f>
        <v>0.841</v>
      </c>
      <c r="Q37" s="697" t="str">
        <f>IFERROR(__xludf.DUMMYFUNCTION("""COMPUTED_VALUE"""),"data show not only that DSRS is superior but that SRS should be abandoned in hepatosplenic schistosomiasis. On the other hand, a comparison between DSRS and EGDS with more patients and a longer follow-up is urgently needed.")</f>
        <v>data show not only that DSRS is superior but that SRS should be abandoned in hepatosplenic schistosomiasis. On the other hand, a comparison between DSRS and EGDS with more patients and a longer follow-up is urgently needed.</v>
      </c>
      <c r="R37" s="697" t="str">
        <f>IFERROR(__xludf.DUMMYFUNCTION("""COMPUTED_VALUE"""),"A Randomized Trial for the Study of the Elective Surgical Treatment of Portal Hypertension in Mansonic Schistosomiasis")</f>
        <v>A Randomized Trial for the Study of the Elective Surgical Treatment of Portal Hypertension in Mansonic Schistosomiasis</v>
      </c>
      <c r="S37" s="699" t="str">
        <f>IFERROR(__xludf.DUMMYFUNCTION("""COMPUTED_VALUE"""),"da SILVA, LUIZ C., et al. ""A randomized trial for the study of the elective surgical treatment of portal hypertension in mansonic schistosomiasis."" Annals of surgery 204.2 (1986): 148.")</f>
        <v>da SILVA, LUIZ C., et al. "A randomized trial for the study of the elective surgical treatment of portal hypertension in mansonic schistosomiasis." Annals of surgery 204.2 (1986): 148.</v>
      </c>
      <c r="T37" s="697"/>
      <c r="U37" s="697" t="str">
        <f>IFERROR(__xludf.DUMMYFUNCTION("""COMPUTED_VALUE"""),"")</f>
        <v/>
      </c>
      <c r="V37" s="697">
        <f>IFERROR(__xludf.DUMMYFUNCTION("""COMPUTED_VALUE"""),37.0)</f>
        <v>37</v>
      </c>
    </row>
    <row r="38">
      <c r="A38" s="697" t="str">
        <f>IFERROR(__xludf.DUMMYFUNCTION("""COMPUTED_VALUE"""),"Davis, 2015")</f>
        <v>Davis, 2015</v>
      </c>
      <c r="B38" s="697" t="str">
        <f>IFERROR(__xludf.DUMMYFUNCTION("""COMPUTED_VALUE"""),"s. mansoni")</f>
        <v>s. mansoni</v>
      </c>
      <c r="C38" s="697" t="str">
        <f>IFERROR(__xludf.DUMMYFUNCTION("""COMPUTED_VALUE"""),"Kenya")</f>
        <v>Kenya</v>
      </c>
      <c r="D38" s="697" t="str">
        <f>IFERROR(__xludf.DUMMYFUNCTION("""COMPUTED_VALUE"""),"Praziquantel")</f>
        <v>Praziquantel</v>
      </c>
      <c r="E38" s="697" t="str">
        <f>IFERROR(__xludf.DUMMYFUNCTION("""COMPUTED_VALUE"""),"Single")</f>
        <v>Single</v>
      </c>
      <c r="F38" s="697" t="str">
        <f>IFERROR(__xludf.DUMMYFUNCTION("""COMPUTED_VALUE"""),"40 mg/kg")</f>
        <v>40 mg/kg</v>
      </c>
      <c r="G38" s="697">
        <f>IFERROR(__xludf.DUMMYFUNCTION("""COMPUTED_VALUE"""),201.0)</f>
        <v>201</v>
      </c>
      <c r="H38" s="697" t="str">
        <f>IFERROR(__xludf.DUMMYFUNCTION("""COMPUTED_VALUE"""),"under 7yrs")</f>
        <v>under 7yrs</v>
      </c>
      <c r="I38" s="705" t="str">
        <f>IFERROR(__xludf.DUMMYFUNCTION("""COMPUTED_VALUE"""),"1:1")</f>
        <v>1:1</v>
      </c>
      <c r="J38" s="697">
        <f>IFERROR(__xludf.DUMMYFUNCTION("""COMPUTED_VALUE"""),2015.0)</f>
        <v>2015</v>
      </c>
      <c r="K38" s="697" t="str">
        <f>IFERROR(__xludf.DUMMYFUNCTION("""COMPUTED_VALUE"""),"Infected children under 7yrs old, divided into light (1-99 eggs per gram [epg]), moderate (100-399 epg), or heavy (equal to or greater than 400 epg) intensity")</f>
        <v>Infected children under 7yrs old, divided into light (1-99 eggs per gram [epg]), moderate (100-399 epg), or heavy (equal to or greater than 400 epg) intensity</v>
      </c>
      <c r="L38" s="697" t="str">
        <f>IFERROR(__xludf.DUMMYFUNCTION("""COMPUTED_VALUE"""),"No")</f>
        <v>No</v>
      </c>
      <c r="M38" s="697" t="str">
        <f>IFERROR(__xludf.DUMMYFUNCTION("""COMPUTED_VALUE"""),"No")</f>
        <v>No</v>
      </c>
      <c r="N38" s="697" t="str">
        <f>IFERROR(__xludf.DUMMYFUNCTION("""COMPUTED_VALUE"""),"3-5 months")</f>
        <v>3-5 months</v>
      </c>
      <c r="O38" s="698">
        <f>IFERROR(__xludf.DUMMYFUNCTION("""COMPUTED_VALUE"""),0.793)</f>
        <v>0.793</v>
      </c>
      <c r="P38" s="697"/>
      <c r="Q38" s="697" t="str">
        <f>IFERROR(__xludf.DUMMYFUNCTION("""COMPUTED_VALUE"""),"The associations found here, particularly if confirmed in larger population-based studies, add to the growing body of evidence for measurable sequelae associated with schistosomiasis in children currently excluded from the global schistosomiasis control p"&amp;"rogram by virtue of their young age. In addition to scaling up sanitation measures that benefit all age groups, this supports the continued pursuit of appropriate formulations and dosing standards for MDA in this population.")</f>
        <v>The associations found here, particularly if confirmed in larger population-based studies, add to the growing body of evidence for measurable sequelae associated with schistosomiasis in children currently excluded from the global schistosomiasis control program by virtue of their young age. In addition to scaling up sanitation measures that benefit all age groups, this supports the continued pursuit of appropriate formulations and dosing standards for MDA in this population.</v>
      </c>
      <c r="R38" s="697" t="str">
        <f>IFERROR(__xludf.DUMMYFUNCTION("""COMPUTED_VALUE"""),"Morbidity Associated with Schistosomiasis Before and After Treatment in Young Children in Rusinga Island, Western Kenya")</f>
        <v>Morbidity Associated with Schistosomiasis Before and After Treatment in Young Children in Rusinga Island, Western Kenya</v>
      </c>
      <c r="S38" s="699" t="str">
        <f>IFERROR(__xludf.DUMMYFUNCTION("""COMPUTED_VALUE"""),"Davis, Stephanie M., et al. ""Morbidity Associated with Schistosomiasis Before and After Treatment in Young Children in Rusinga Island, Western Kenya."" The American journal of tropical medicine and hygiene 92.5 (2015): 952-958.")</f>
        <v>Davis, Stephanie M., et al. "Morbidity Associated with Schistosomiasis Before and After Treatment in Young Children in Rusinga Island, Western Kenya." The American journal of tropical medicine and hygiene 92.5 (2015): 952-958.</v>
      </c>
      <c r="T38" s="697"/>
      <c r="U38" s="697" t="str">
        <f>IFERROR(__xludf.DUMMYFUNCTION("""COMPUTED_VALUE"""),"x")</f>
        <v>x</v>
      </c>
      <c r="V38" s="697">
        <f>IFERROR(__xludf.DUMMYFUNCTION("""COMPUTED_VALUE"""),38.0)</f>
        <v>38</v>
      </c>
    </row>
    <row r="39">
      <c r="A39" s="697" t="str">
        <f>IFERROR(__xludf.DUMMYFUNCTION("""COMPUTED_VALUE"""),"Davis, 1979")</f>
        <v>Davis, 1979</v>
      </c>
      <c r="B39" s="697" t="str">
        <f>IFERROR(__xludf.DUMMYFUNCTION("""COMPUTED_VALUE"""),"s.haematobium")</f>
        <v>s.haematobium</v>
      </c>
      <c r="C39" s="697" t="str">
        <f>IFERROR(__xludf.DUMMYFUNCTION("""COMPUTED_VALUE"""),"Zambia")</f>
        <v>Zambia</v>
      </c>
      <c r="D39" s="697" t="str">
        <f>IFERROR(__xludf.DUMMYFUNCTION("""COMPUTED_VALUE"""),"Praziquantel")</f>
        <v>Praziquantel</v>
      </c>
      <c r="E39" s="697" t="str">
        <f>IFERROR(__xludf.DUMMYFUNCTION("""COMPUTED_VALUE"""),"Single")</f>
        <v>Single</v>
      </c>
      <c r="F39" s="697" t="str">
        <f>IFERROR(__xludf.DUMMYFUNCTION("""COMPUTED_VALUE"""),"20 mg/kg, 50mg/kg")</f>
        <v>20 mg/kg, 50mg/kg</v>
      </c>
      <c r="G39" s="697">
        <f>IFERROR(__xludf.DUMMYFUNCTION("""COMPUTED_VALUE"""),73.0)</f>
        <v>73</v>
      </c>
      <c r="H39" s="697" t="str">
        <f>IFERROR(__xludf.DUMMYFUNCTION("""COMPUTED_VALUE"""),"7 - 22")</f>
        <v>7 - 22</v>
      </c>
      <c r="I39" s="705" t="str">
        <f>IFERROR(__xludf.DUMMYFUNCTION("""COMPUTED_VALUE"""),"50 : 30")</f>
        <v>50 : 30</v>
      </c>
      <c r="J39" s="697">
        <f>IFERROR(__xludf.DUMMYFUNCTION("""COMPUTED_VALUE"""),1979.0)</f>
        <v>1979</v>
      </c>
      <c r="K39" s="697" t="str">
        <f>IFERROR(__xludf.DUMMYFUNCTION("""COMPUTED_VALUE"""),"patients with a minimum schistosome egg excretion of 50 per random 10-mlsampleofurine in age range of 7 - 22")</f>
        <v>patients with a minimum schistosome egg excretion of 50 per random 10-mlsampleofurine in age range of 7 - 22</v>
      </c>
      <c r="L39" s="697" t="str">
        <f>IFERROR(__xludf.DUMMYFUNCTION("""COMPUTED_VALUE"""),"Yes")</f>
        <v>Yes</v>
      </c>
      <c r="M39" s="697" t="str">
        <f>IFERROR(__xludf.DUMMYFUNCTION("""COMPUTED_VALUE"""),"Yes")</f>
        <v>Yes</v>
      </c>
      <c r="N39" s="697" t="str">
        <f>IFERROR(__xludf.DUMMYFUNCTION("""COMPUTED_VALUE"""),"6, 12, 24 months ")</f>
        <v>6, 12, 24 months </v>
      </c>
      <c r="O39" s="700">
        <f>IFERROR(__xludf.DUMMYFUNCTION("""COMPUTED_VALUE"""),0.57)</f>
        <v>0.57</v>
      </c>
      <c r="P39" s="706">
        <f>IFERROR(__xludf.DUMMYFUNCTION("""COMPUTED_VALUE"""),0.84)</f>
        <v>0.84</v>
      </c>
      <c r="Q39" s="697" t="str">
        <f>IFERROR(__xludf.DUMMYFUNCTION("""COMPUTED_VALUE"""),"Two years after treatment, 45 (57%) of 79 patients with S. haematobium showed negative urines, 7 (9%) had positive hatching tests, and 27 (34%) were absent")</f>
        <v>Two years after treatment, 45 (57%) of 79 patients with S. haematobium showed negative urines, 7 (9%) had positive hatching tests, and 27 (34%) were absent</v>
      </c>
      <c r="R39" s="697" t="str">
        <f>IFERROR(__xludf.DUMMYFUNCTION("""COMPUTED_VALUE"""),"Initial experiences with praziquantel in the treatment of human infections due to Schistosoma haematobium")</f>
        <v>Initial experiences with praziquantel in the treatment of human infections due to Schistosoma haematobium</v>
      </c>
      <c r="S39" s="699" t="str">
        <f>IFERROR(__xludf.DUMMYFUNCTION("""COMPUTED_VALUE"""),"Davis, A., J. E. Biles, and A-M. Ulrich. ""Initial experiences with praziquantel in the treatment of human infections due to Schistosoma haematobium."" Bulletin of the World Health Organization 57.5 (1979): 773.")</f>
        <v>Davis, A., J. E. Biles, and A-M. Ulrich. "Initial experiences with praziquantel in the treatment of human infections due to Schistosoma haematobium." Bulletin of the World Health Organization 57.5 (1979): 773.</v>
      </c>
      <c r="T39" s="697"/>
      <c r="U39" s="697" t="str">
        <f>IFERROR(__xludf.DUMMYFUNCTION("""COMPUTED_VALUE"""),"")</f>
        <v/>
      </c>
      <c r="V39" s="697">
        <f>IFERROR(__xludf.DUMMYFUNCTION("""COMPUTED_VALUE"""),39.0)</f>
        <v>39</v>
      </c>
    </row>
    <row r="40">
      <c r="A40" s="697" t="str">
        <f>IFERROR(__xludf.DUMMYFUNCTION("""COMPUTED_VALUE"""),"de Clarke V, 1976")</f>
        <v>de Clarke V, 1976</v>
      </c>
      <c r="B40" s="697" t="str">
        <f>IFERROR(__xludf.DUMMYFUNCTION("""COMPUTED_VALUE"""),"s. mansoni")</f>
        <v>s. mansoni</v>
      </c>
      <c r="C40" s="697" t="str">
        <f>IFERROR(__xludf.DUMMYFUNCTION("""COMPUTED_VALUE"""),"Zimbabwe")</f>
        <v>Zimbabwe</v>
      </c>
      <c r="D40" s="697" t="str">
        <f>IFERROR(__xludf.DUMMYFUNCTION("""COMPUTED_VALUE"""),"Oxamniquine")</f>
        <v>Oxamniquine</v>
      </c>
      <c r="E40" s="697" t="str">
        <f>IFERROR(__xludf.DUMMYFUNCTION("""COMPUTED_VALUE"""),"Four")</f>
        <v>Four</v>
      </c>
      <c r="F40" s="697" t="str">
        <f>IFERROR(__xludf.DUMMYFUNCTION("""COMPUTED_VALUE"""),"15 mg/kg")</f>
        <v>15 mg/kg</v>
      </c>
      <c r="G40" s="697">
        <f>IFERROR(__xludf.DUMMYFUNCTION("""COMPUTED_VALUE"""),30.0)</f>
        <v>30</v>
      </c>
      <c r="H40" s="697" t="str">
        <f>IFERROR(__xludf.DUMMYFUNCTION("""COMPUTED_VALUE"""),"&lt;5 years")</f>
        <v>&lt;5 years</v>
      </c>
      <c r="I40" s="705" t="str">
        <f>IFERROR(__xludf.DUMMYFUNCTION("""COMPUTED_VALUE"""),"data not available")</f>
        <v>data not available</v>
      </c>
      <c r="J40" s="697">
        <f>IFERROR(__xludf.DUMMYFUNCTION("""COMPUTED_VALUE"""),1976.0)</f>
        <v>1976</v>
      </c>
      <c r="K40" s="697" t="str">
        <f>IFERROR(__xludf.DUMMYFUNCTION("""COMPUTED_VALUE"""),"individuals aged over 5 years who presented with S. mansoni infection")</f>
        <v>individuals aged over 5 years who presented with S. mansoni infection</v>
      </c>
      <c r="L40" s="697" t="str">
        <f>IFERROR(__xludf.DUMMYFUNCTION("""COMPUTED_VALUE"""),"Yes")</f>
        <v>Yes</v>
      </c>
      <c r="M40" s="697" t="str">
        <f>IFERROR(__xludf.DUMMYFUNCTION("""COMPUTED_VALUE"""),"Yes")</f>
        <v>Yes</v>
      </c>
      <c r="N40" s="697" t="str">
        <f>IFERROR(__xludf.DUMMYFUNCTION("""COMPUTED_VALUE"""),"4 months examined failed rates by two stools on two consecutive days")</f>
        <v>4 months examined failed rates by two stools on two consecutive days</v>
      </c>
      <c r="O40" s="700">
        <f>IFERROR(__xludf.DUMMYFUNCTION("""COMPUTED_VALUE"""),0.7)</f>
        <v>0.7</v>
      </c>
      <c r="P40" s="697"/>
      <c r="Q40" s="697" t="str">
        <f>IFERROR(__xludf.DUMMYFUNCTION("""COMPUTED_VALUE"""),"The imminent release of this drug, which is only effective against S. mansoni infections, and the probable release in the near future of metrifonate, which is only effective against S. haematobium."" will necessitate para-sitological identification of spe"&amp;"cies in all cases of bil-harziasis. This should assist in overcoming the wide-spread but reprehensible practice of treating patients on the results of immunological tests, without confirmation of viability of infection or determination of schistosome spec"&amp;"ies by examination of urine and stool specimens or biopsy material.")</f>
        <v>The imminent release of this drug, which is only effective against S. mansoni infections, and the probable release in the near future of metrifonate, which is only effective against S. haematobium." will necessitate para-sitological identification of species in all cases of bil-harziasis. This should assist in overcoming the wide-spread but reprehensible practice of treating patients on the results of immunological tests, without confirmation of viability of infection or determination of schistosome species by examination of urine and stool specimens or biopsy material.</v>
      </c>
      <c r="R40" s="697"/>
      <c r="S40" s="699" t="str">
        <f>IFERROR(__xludf.DUMMYFUNCTION("""COMPUTED_VALUE"""),"de Clarke V, Blair DM, Weber MC, Garnett PA. Dose- finding trials of oral oxamniquine in Rhodesia. South African Medical Journal 1976;50(46):1867–71.")</f>
        <v>de Clarke V, Blair DM, Weber MC, Garnett PA. Dose- finding trials of oral oxamniquine in Rhodesia. South African Medical Journal 1976;50(46):1867–71.</v>
      </c>
      <c r="T40" s="697"/>
      <c r="U40" s="697" t="str">
        <f>IFERROR(__xludf.DUMMYFUNCTION("""COMPUTED_VALUE"""),"")</f>
        <v/>
      </c>
      <c r="V40" s="697">
        <f>IFERROR(__xludf.DUMMYFUNCTION("""COMPUTED_VALUE"""),40.0)</f>
        <v>40</v>
      </c>
    </row>
    <row r="41">
      <c r="A41" s="697" t="str">
        <f>IFERROR(__xludf.DUMMYFUNCTION("""COMPUTED_VALUE"""),"De Clercq D, 2001")</f>
        <v>De Clercq D, 2001</v>
      </c>
      <c r="B41" s="697" t="str">
        <f>IFERROR(__xludf.DUMMYFUNCTION("""COMPUTED_VALUE"""),"s. haematobium")</f>
        <v>s. haematobium</v>
      </c>
      <c r="C41" s="697" t="str">
        <f>IFERROR(__xludf.DUMMYFUNCTION("""COMPUTED_VALUE"""),"Senegal")</f>
        <v>Senegal</v>
      </c>
      <c r="D41" s="697" t="str">
        <f>IFERROR(__xludf.DUMMYFUNCTION("""COMPUTED_VALUE"""),"Artesunate")</f>
        <v>Artesunate</v>
      </c>
      <c r="E41" s="697" t="str">
        <f>IFERROR(__xludf.DUMMYFUNCTION("""COMPUTED_VALUE"""),"Single")</f>
        <v>Single</v>
      </c>
      <c r="F41" s="697" t="str">
        <f>IFERROR(__xludf.DUMMYFUNCTION("""COMPUTED_VALUE"""),"12 mg/kg")</f>
        <v>12 mg/kg</v>
      </c>
      <c r="G41" s="697">
        <f>IFERROR(__xludf.DUMMYFUNCTION("""COMPUTED_VALUE"""),110.0)</f>
        <v>110</v>
      </c>
      <c r="H41" s="697" t="str">
        <f>IFERROR(__xludf.DUMMYFUNCTION("""COMPUTED_VALUE"""),"7 - 14 ")</f>
        <v>7 - 14 </v>
      </c>
      <c r="I41" s="705" t="str">
        <f>IFERROR(__xludf.DUMMYFUNCTION("""COMPUTED_VALUE"""),"1 : 1")</f>
        <v>1 : 1</v>
      </c>
      <c r="J41" s="697">
        <f>IFERROR(__xludf.DUMMYFUNCTION("""COMPUTED_VALUE"""),2001.0)</f>
        <v>2001</v>
      </c>
      <c r="K41" s="697" t="str">
        <f>IFERROR(__xludf.DUMMYFUNCTION("""COMPUTED_VALUE"""),"individuals with Schistosoma mansoni infection was investigated")</f>
        <v>individuals with Schistosoma mansoni infection was investigated</v>
      </c>
      <c r="L41" s="697" t="str">
        <f>IFERROR(__xludf.DUMMYFUNCTION("""COMPUTED_VALUE"""),"Yes")</f>
        <v>Yes</v>
      </c>
      <c r="M41" s="697" t="str">
        <f>IFERROR(__xludf.DUMMYFUNCTION("""COMPUTED_VALUE"""),"Yes")</f>
        <v>Yes</v>
      </c>
      <c r="N41" s="697" t="str">
        <f>IFERROR(__xludf.DUMMYFUNCTION("""COMPUTED_VALUE"""),"The cure rate was calculated as the proportion of peoplewho were excreting eggs before treatment and who were notexcreting eggs in their stools 5, 12 and 24 weeks after treatment")</f>
        <v>The cure rate was calculated as the proportion of peoplewho were excreting eggs before treatment and who were notexcreting eggs in their stools 5, 12 and 24 weeks after treatment</v>
      </c>
      <c r="O41" s="700">
        <f>IFERROR(__xludf.DUMMYFUNCTION("""COMPUTED_VALUE"""),0.19)</f>
        <v>0.19</v>
      </c>
      <c r="P41" s="700">
        <f>IFERROR(__xludf.DUMMYFUNCTION("""COMPUTED_VALUE"""),0.62)</f>
        <v>0.62</v>
      </c>
      <c r="Q41" s="697" t="str">
        <f>IFERROR(__xludf.DUMMYFUNCTION("""COMPUTED_VALUE"""),"""No major adverse effects were observed. The results demonstrate that artesunate is effective against S. haematobium, but the results obtained with praziquantel were consistently better.""")</f>
        <v>"No major adverse effects were observed. The results demonstrate that artesunate is effective against S. haematobium, but the results obtained with praziquantel were consistently better."</v>
      </c>
      <c r="R41" s="697" t="str">
        <f>IFERROR(__xludf.DUMMYFUNCTION("""COMPUTED_VALUE"""),"""Efficacy of artesunate and praziquantel in Schistosoma haematobium infected schoolchildren""")</f>
        <v>"Efficacy of artesunate and praziquantel in Schistosoma haematobium infected schoolchildren"</v>
      </c>
      <c r="S41" s="699" t="str">
        <f>IFERROR(__xludf.DUMMYFUNCTION("""COMPUTED_VALUE"""),"De Clercq D, Vercruysse J, Verle P, Kongs A, Diop M. What is the effect of combining artesunate and praziquantel in the treatment of Schistosoma mansoni infections?. Tropical Medicine and International Health 2000;5(10):744–6")</f>
        <v>De Clercq D, Vercruysse J, Verle P, Kongs A, Diop M. What is the effect of combining artesunate and praziquantel in the treatment of Schistosoma mansoni infections?. Tropical Medicine and International Health 2000;5(10):744–6</v>
      </c>
      <c r="T41" s="697"/>
      <c r="U41" s="697" t="str">
        <f>IFERROR(__xludf.DUMMYFUNCTION("""COMPUTED_VALUE"""),"")</f>
        <v/>
      </c>
      <c r="V41" s="697">
        <f>IFERROR(__xludf.DUMMYFUNCTION("""COMPUTED_VALUE"""),41.0)</f>
        <v>41</v>
      </c>
    </row>
    <row r="42">
      <c r="A42" s="697" t="str">
        <f>IFERROR(__xludf.DUMMYFUNCTION("""COMPUTED_VALUE"""),"De Clercq D, 2001")</f>
        <v>De Clercq D, 2001</v>
      </c>
      <c r="B42" s="697" t="str">
        <f>IFERROR(__xludf.DUMMYFUNCTION("""COMPUTED_VALUE"""),"s. haematobium")</f>
        <v>s. haematobium</v>
      </c>
      <c r="C42" s="697" t="str">
        <f>IFERROR(__xludf.DUMMYFUNCTION("""COMPUTED_VALUE"""),"Senegal")</f>
        <v>Senegal</v>
      </c>
      <c r="D42" s="697" t="str">
        <f>IFERROR(__xludf.DUMMYFUNCTION("""COMPUTED_VALUE"""),"Praziquantel")</f>
        <v>Praziquantel</v>
      </c>
      <c r="E42" s="697" t="str">
        <f>IFERROR(__xludf.DUMMYFUNCTION("""COMPUTED_VALUE"""),"Two")</f>
        <v>Two</v>
      </c>
      <c r="F42" s="697" t="str">
        <f>IFERROR(__xludf.DUMMYFUNCTION("""COMPUTED_VALUE"""),"40 mg/kg ")</f>
        <v>40 mg/kg </v>
      </c>
      <c r="G42" s="697">
        <f>IFERROR(__xludf.DUMMYFUNCTION("""COMPUTED_VALUE"""),110.0)</f>
        <v>110</v>
      </c>
      <c r="H42" s="697" t="str">
        <f>IFERROR(__xludf.DUMMYFUNCTION("""COMPUTED_VALUE"""),"7 - 14")</f>
        <v>7 - 14</v>
      </c>
      <c r="I42" s="705" t="str">
        <f>IFERROR(__xludf.DUMMYFUNCTION("""COMPUTED_VALUE"""),"1:1")</f>
        <v>1:1</v>
      </c>
      <c r="J42" s="697">
        <f>IFERROR(__xludf.DUMMYFUNCTION("""COMPUTED_VALUE"""),2001.0)</f>
        <v>2001</v>
      </c>
      <c r="K42" s="697" t="str">
        <f>IFERROR(__xludf.DUMMYFUNCTION("""COMPUTED_VALUE"""),"individuals with Schistosoma mansoni infection was investigated")</f>
        <v>individuals with Schistosoma mansoni infection was investigated</v>
      </c>
      <c r="L42" s="697" t="str">
        <f>IFERROR(__xludf.DUMMYFUNCTION("""COMPUTED_VALUE"""),"Yes")</f>
        <v>Yes</v>
      </c>
      <c r="M42" s="697" t="str">
        <f>IFERROR(__xludf.DUMMYFUNCTION("""COMPUTED_VALUE"""),"Yes")</f>
        <v>Yes</v>
      </c>
      <c r="N42" s="697" t="str">
        <f>IFERROR(__xludf.DUMMYFUNCTION("""COMPUTED_VALUE"""),"The cure rate was calculated as the proportion of peoplewho were excreting eggs before treatment and who were notexcreting eggs in their stools 5, 12 and 24 weeks after treatment")</f>
        <v>The cure rate was calculated as the proportion of peoplewho were excreting eggs before treatment and who were notexcreting eggs in their stools 5, 12 and 24 weeks after treatment</v>
      </c>
      <c r="O42" s="700">
        <f>IFERROR(__xludf.DUMMYFUNCTION("""COMPUTED_VALUE"""),0.49)</f>
        <v>0.49</v>
      </c>
      <c r="P42" s="700">
        <f>IFERROR(__xludf.DUMMYFUNCTION("""COMPUTED_VALUE"""),0.79)</f>
        <v>0.79</v>
      </c>
      <c r="Q42" s="697" t="str">
        <f>IFERROR(__xludf.DUMMYFUNCTION("""COMPUTED_VALUE"""),"""No major adverse effects were observed. The results demonstrate that artesunate is effective against S. haematobium, but the results obtained with praziquantel were consistently better.""")</f>
        <v>"No major adverse effects were observed. The results demonstrate that artesunate is effective against S. haematobium, but the results obtained with praziquantel were consistently better."</v>
      </c>
      <c r="R42" s="697" t="str">
        <f>IFERROR(__xludf.DUMMYFUNCTION("""COMPUTED_VALUE"""),"""Efficacy of artesunate and praziquantel in Schistosoma haematobium infected schoolchildren""")</f>
        <v>"Efficacy of artesunate and praziquantel in Schistosoma haematobium infected schoolchildren"</v>
      </c>
      <c r="S42" s="699" t="str">
        <f>IFERROR(__xludf.DUMMYFUNCTION("""COMPUTED_VALUE"""),"De Clercq D, Vercruysse J, Verle P, Kongs A, Diop M. What is the effect of combining artesunate and praziquantel in the treatment of Schistosoma mansoni infections?. Tropical Medicine and International Health 2000;5(10):744–6")</f>
        <v>De Clercq D, Vercruysse J, Verle P, Kongs A, Diop M. What is the effect of combining artesunate and praziquantel in the treatment of Schistosoma mansoni infections?. Tropical Medicine and International Health 2000;5(10):744–6</v>
      </c>
      <c r="T42" s="697"/>
      <c r="U42" s="697" t="str">
        <f>IFERROR(__xludf.DUMMYFUNCTION("""COMPUTED_VALUE"""),"")</f>
        <v/>
      </c>
      <c r="V42" s="697">
        <f>IFERROR(__xludf.DUMMYFUNCTION("""COMPUTED_VALUE"""),42.0)</f>
        <v>42</v>
      </c>
    </row>
    <row r="43">
      <c r="A43" s="697" t="str">
        <f>IFERROR(__xludf.DUMMYFUNCTION("""COMPUTED_VALUE"""),"De Clercq D, 2001")</f>
        <v>De Clercq D, 2001</v>
      </c>
      <c r="B43" s="697" t="str">
        <f>IFERROR(__xludf.DUMMYFUNCTION("""COMPUTED_VALUE"""),"s. haematobium")</f>
        <v>s. haematobium</v>
      </c>
      <c r="C43" s="697" t="str">
        <f>IFERROR(__xludf.DUMMYFUNCTION("""COMPUTED_VALUE"""),"Senegal")</f>
        <v>Senegal</v>
      </c>
      <c r="D43" s="697" t="str">
        <f>IFERROR(__xludf.DUMMYFUNCTION("""COMPUTED_VALUE"""),"Artesunate &amp; Praziquantel")</f>
        <v>Artesunate &amp; Praziquantel</v>
      </c>
      <c r="E43" s="697" t="str">
        <f>IFERROR(__xludf.DUMMYFUNCTION("""COMPUTED_VALUE"""),"Single")</f>
        <v>Single</v>
      </c>
      <c r="F43" s="697" t="str">
        <f>IFERROR(__xludf.DUMMYFUNCTION("""COMPUTED_VALUE"""),"12 mg/kg; 40 mg/kg")</f>
        <v>12 mg/kg; 40 mg/kg</v>
      </c>
      <c r="G43" s="697">
        <f>IFERROR(__xludf.DUMMYFUNCTION("""COMPUTED_VALUE"""),110.0)</f>
        <v>110</v>
      </c>
      <c r="H43" s="697" t="str">
        <f>IFERROR(__xludf.DUMMYFUNCTION("""COMPUTED_VALUE"""),"7 - 14")</f>
        <v>7 - 14</v>
      </c>
      <c r="I43" s="705" t="str">
        <f>IFERROR(__xludf.DUMMYFUNCTION("""COMPUTED_VALUE"""),"1:1")</f>
        <v>1:1</v>
      </c>
      <c r="J43" s="697">
        <f>IFERROR(__xludf.DUMMYFUNCTION("""COMPUTED_VALUE"""),2001.0)</f>
        <v>2001</v>
      </c>
      <c r="K43" s="697" t="str">
        <f>IFERROR(__xludf.DUMMYFUNCTION("""COMPUTED_VALUE"""),"individuals with Schistosoma mansoni infection was investigated")</f>
        <v>individuals with Schistosoma mansoni infection was investigated</v>
      </c>
      <c r="L43" s="697" t="str">
        <f>IFERROR(__xludf.DUMMYFUNCTION("""COMPUTED_VALUE"""),"Yes")</f>
        <v>Yes</v>
      </c>
      <c r="M43" s="697" t="str">
        <f>IFERROR(__xludf.DUMMYFUNCTION("""COMPUTED_VALUE"""),"Yes")</f>
        <v>Yes</v>
      </c>
      <c r="N43" s="697" t="str">
        <f>IFERROR(__xludf.DUMMYFUNCTION("""COMPUTED_VALUE"""),"The cure rate was calculated as the proportion of peoplewho were excreting eggs before treatment and who were notexcreting eggs in their stools 5, 12 and 24 weeks after treatment")</f>
        <v>The cure rate was calculated as the proportion of peoplewho were excreting eggs before treatment and who were notexcreting eggs in their stools 5, 12 and 24 weeks after treatment</v>
      </c>
      <c r="O43" s="700">
        <f>IFERROR(__xludf.DUMMYFUNCTION("""COMPUTED_VALUE"""),0.49)</f>
        <v>0.49</v>
      </c>
      <c r="P43" s="700">
        <f>IFERROR(__xludf.DUMMYFUNCTION("""COMPUTED_VALUE"""),0.82)</f>
        <v>0.82</v>
      </c>
      <c r="Q43" s="697" t="str">
        <f>IFERROR(__xludf.DUMMYFUNCTION("""COMPUTED_VALUE"""),"""No major adverse effects were observed. The results demonstrate that artesunate is effective against S. haematobium, but the results obtained with praziquantel were consistently better.""")</f>
        <v>"No major adverse effects were observed. The results demonstrate that artesunate is effective against S. haematobium, but the results obtained with praziquantel were consistently better."</v>
      </c>
      <c r="R43" s="697" t="str">
        <f>IFERROR(__xludf.DUMMYFUNCTION("""COMPUTED_VALUE"""),"""Efficacy of artesunate and praziquantel in Schistosoma haematobium infected schoolchildren""")</f>
        <v>"Efficacy of artesunate and praziquantel in Schistosoma haematobium infected schoolchildren"</v>
      </c>
      <c r="S43" s="699" t="str">
        <f>IFERROR(__xludf.DUMMYFUNCTION("""COMPUTED_VALUE"""),"De Clercq D, Vercruysse J, Verle P, Kongs A, Diop M. What is the effect of combining artesunate and praziquantel in the treatment of Schistosoma mansoni infections?. Tropical Medicine and International Health 2000;5(10):744–6")</f>
        <v>De Clercq D, Vercruysse J, Verle P, Kongs A, Diop M. What is the effect of combining artesunate and praziquantel in the treatment of Schistosoma mansoni infections?. Tropical Medicine and International Health 2000;5(10):744–6</v>
      </c>
      <c r="T43" s="697"/>
      <c r="U43" s="697" t="str">
        <f>IFERROR(__xludf.DUMMYFUNCTION("""COMPUTED_VALUE"""),"")</f>
        <v/>
      </c>
      <c r="V43" s="697">
        <f>IFERROR(__xludf.DUMMYFUNCTION("""COMPUTED_VALUE"""),43.0)</f>
        <v>43</v>
      </c>
    </row>
    <row r="44">
      <c r="A44" s="697" t="str">
        <f>IFERROR(__xludf.DUMMYFUNCTION("""COMPUTED_VALUE"""),"de Jonge N, 1990")</f>
        <v>de Jonge N, 1990</v>
      </c>
      <c r="B44" s="697" t="str">
        <f>IFERROR(__xludf.DUMMYFUNCTION("""COMPUTED_VALUE"""),"s. mansoni")</f>
        <v>s. mansoni</v>
      </c>
      <c r="C44" s="697" t="str">
        <f>IFERROR(__xludf.DUMMYFUNCTION("""COMPUTED_VALUE"""),"Sudan")</f>
        <v>Sudan</v>
      </c>
      <c r="D44" s="697" t="str">
        <f>IFERROR(__xludf.DUMMYFUNCTION("""COMPUTED_VALUE"""),"Praziquantel")</f>
        <v>Praziquantel</v>
      </c>
      <c r="E44" s="697" t="str">
        <f>IFERROR(__xludf.DUMMYFUNCTION("""COMPUTED_VALUE"""),"Single")</f>
        <v>Single</v>
      </c>
      <c r="F44" s="697" t="str">
        <f>IFERROR(__xludf.DUMMYFUNCTION("""COMPUTED_VALUE"""),"40 mg/kg")</f>
        <v>40 mg/kg</v>
      </c>
      <c r="G44" s="697">
        <f>IFERROR(__xludf.DUMMYFUNCTION("""COMPUTED_VALUE"""),48.0)</f>
        <v>48</v>
      </c>
      <c r="H44" s="697" t="str">
        <f>IFERROR(__xludf.DUMMYFUNCTION("""COMPUTED_VALUE"""),"6 - 11")</f>
        <v>6 - 11</v>
      </c>
      <c r="I44" s="705" t="str">
        <f>IFERROR(__xludf.DUMMYFUNCTION("""COMPUTED_VALUE"""),"male ")</f>
        <v>male </v>
      </c>
      <c r="J44" s="697">
        <f>IFERROR(__xludf.DUMMYFUNCTION("""COMPUTED_VALUE"""),1990.0)</f>
        <v>1990</v>
      </c>
      <c r="K44" s="697" t="str">
        <f>IFERROR(__xludf.DUMMYFUNCTION("""COMPUTED_VALUE"""),"school boys age ranged from 6 to1years.These patients were infected with S.mansoni and S.haematobiumas indicated by constant excretion of ova in stool and urine.")</f>
        <v>school boys age ranged from 6 to1years.These patients were infected with S.mansoni and S.haematobiumas indicated by constant excretion of ova in stool and urine.</v>
      </c>
      <c r="L44" s="697" t="str">
        <f>IFERROR(__xludf.DUMMYFUNCTION("""COMPUTED_VALUE"""),"Yes")</f>
        <v>Yes</v>
      </c>
      <c r="M44" s="697" t="str">
        <f>IFERROR(__xludf.DUMMYFUNCTION("""COMPUTED_VALUE"""),"Yes")</f>
        <v>Yes</v>
      </c>
      <c r="N44" s="697" t="str">
        <f>IFERROR(__xludf.DUMMYFUNCTION("""COMPUTED_VALUE"""),"Results were expressed as number of viable ova per 10 ml of urine 1 month and 5 months after treatment")</f>
        <v>Results were expressed as number of viable ova per 10 ml of urine 1 month and 5 months after treatment</v>
      </c>
      <c r="O44" s="698">
        <f>IFERROR(__xludf.DUMMYFUNCTION("""COMPUTED_VALUE"""),0.225)</f>
        <v>0.225</v>
      </c>
      <c r="P44" s="698">
        <f>IFERROR(__xludf.DUMMYFUNCTION("""COMPUTED_VALUE"""),0.925)</f>
        <v>0.925</v>
      </c>
      <c r="Q44" s="697" t="str">
        <f>IFERROR(__xludf.DUMMYFUNCTION("""COMPUTED_VALUE"""),"the use of monoclonal reactants instead of polyclonal considerably increases the sensitivity of antigen detection.")</f>
        <v>the use of monoclonal reactants instead of polyclonal considerably increases the sensitivity of antigen detection.</v>
      </c>
      <c r="R44" s="697" t="str">
        <f>IFERROR(__xludf.DUMMYFUNCTION("""COMPUTED_VALUE"""),"Mixed Sch&amp;tosoma haematobium and S. mansoni infection: Effect of different treatments on the serum level of circulating anodic antigen (CAA)")</f>
        <v>Mixed Sch&amp;tosoma haematobium and S. mansoni infection: Effect of different treatments on the serum level of circulating anodic antigen (CAA)</v>
      </c>
      <c r="S44" s="699" t="str">
        <f>IFERROR(__xludf.DUMMYFUNCTION("""COMPUTED_VALUE"""),"De Jonge, N., et al. ""Mixed Schistosoma haematobium and S. mansoni infection: effect of different treatments on the serum level of circulating anodic antigen (CAA)."" Acta tropica 48.1 (1990): 25-35.")</f>
        <v>De Jonge, N., et al. "Mixed Schistosoma haematobium and S. mansoni infection: effect of different treatments on the serum level of circulating anodic antigen (CAA)." Acta tropica 48.1 (1990): 25-35.</v>
      </c>
      <c r="T44" s="697"/>
      <c r="U44" s="697" t="str">
        <f>IFERROR(__xludf.DUMMYFUNCTION("""COMPUTED_VALUE"""),"")</f>
        <v/>
      </c>
      <c r="V44" s="697">
        <f>IFERROR(__xludf.DUMMYFUNCTION("""COMPUTED_VALUE"""),44.0)</f>
        <v>44</v>
      </c>
    </row>
    <row r="45">
      <c r="A45" s="697" t="str">
        <f>IFERROR(__xludf.DUMMYFUNCTION("""COMPUTED_VALUE"""),"de Jonge N, 1990")</f>
        <v>de Jonge N, 1990</v>
      </c>
      <c r="B45" s="697" t="str">
        <f>IFERROR(__xludf.DUMMYFUNCTION("""COMPUTED_VALUE"""),"s. mansoni")</f>
        <v>s. mansoni</v>
      </c>
      <c r="C45" s="697" t="str">
        <f>IFERROR(__xludf.DUMMYFUNCTION("""COMPUTED_VALUE"""),"Sudan")</f>
        <v>Sudan</v>
      </c>
      <c r="D45" s="697" t="str">
        <f>IFERROR(__xludf.DUMMYFUNCTION("""COMPUTED_VALUE"""),"Oxamniquine")</f>
        <v>Oxamniquine</v>
      </c>
      <c r="E45" s="697" t="str">
        <f>IFERROR(__xludf.DUMMYFUNCTION("""COMPUTED_VALUE"""),"Single")</f>
        <v>Single</v>
      </c>
      <c r="F45" s="697" t="str">
        <f>IFERROR(__xludf.DUMMYFUNCTION("""COMPUTED_VALUE"""),"60 mg/kg")</f>
        <v>60 mg/kg</v>
      </c>
      <c r="G45" s="697">
        <f>IFERROR(__xludf.DUMMYFUNCTION("""COMPUTED_VALUE"""),53.0)</f>
        <v>53</v>
      </c>
      <c r="H45" s="697" t="str">
        <f>IFERROR(__xludf.DUMMYFUNCTION("""COMPUTED_VALUE"""),"6 - 11")</f>
        <v>6 - 11</v>
      </c>
      <c r="I45" s="705" t="str">
        <f>IFERROR(__xludf.DUMMYFUNCTION("""COMPUTED_VALUE"""),"male ")</f>
        <v>male </v>
      </c>
      <c r="J45" s="697">
        <f>IFERROR(__xludf.DUMMYFUNCTION("""COMPUTED_VALUE"""),1990.0)</f>
        <v>1990</v>
      </c>
      <c r="K45" s="697" t="str">
        <f>IFERROR(__xludf.DUMMYFUNCTION("""COMPUTED_VALUE"""),"school boys age ranged from 6 to1years.These patients were infected with S.mansoni and S.haematobiumas indicated by constant excretion of ova in stool and urine.")</f>
        <v>school boys age ranged from 6 to1years.These patients were infected with S.mansoni and S.haematobiumas indicated by constant excretion of ova in stool and urine.</v>
      </c>
      <c r="L45" s="697" t="str">
        <f>IFERROR(__xludf.DUMMYFUNCTION("""COMPUTED_VALUE"""),"Yes")</f>
        <v>Yes</v>
      </c>
      <c r="M45" s="697" t="str">
        <f>IFERROR(__xludf.DUMMYFUNCTION("""COMPUTED_VALUE"""),"Yes")</f>
        <v>Yes</v>
      </c>
      <c r="N45" s="697" t="str">
        <f>IFERROR(__xludf.DUMMYFUNCTION("""COMPUTED_VALUE"""),"Results were expressed as number of viable ova per 10 ml of urine 1 month and 5 months after treatment")</f>
        <v>Results were expressed as number of viable ova per 10 ml of urine 1 month and 5 months after treatment</v>
      </c>
      <c r="O45" s="700">
        <f>IFERROR(__xludf.DUMMYFUNCTION("""COMPUTED_VALUE"""),0.447)</f>
        <v>0.447</v>
      </c>
      <c r="P45" s="698">
        <f>IFERROR(__xludf.DUMMYFUNCTION("""COMPUTED_VALUE"""),0.925)</f>
        <v>0.925</v>
      </c>
      <c r="Q45" s="697" t="str">
        <f>IFERROR(__xludf.DUMMYFUNCTION("""COMPUTED_VALUE"""),"the use of monoclonal reactants instead of polyclonal considerably increases the sensitivity of antigen detection.")</f>
        <v>the use of monoclonal reactants instead of polyclonal considerably increases the sensitivity of antigen detection.</v>
      </c>
      <c r="R45" s="697" t="str">
        <f>IFERROR(__xludf.DUMMYFUNCTION("""COMPUTED_VALUE"""),"Mixed Sch&amp;tosoma haematobium and S. mansoni infection: Effect of different treatments on the serum level of circulating anodic antigen (CAA)")</f>
        <v>Mixed Sch&amp;tosoma haematobium and S. mansoni infection: Effect of different treatments on the serum level of circulating anodic antigen (CAA)</v>
      </c>
      <c r="S45" s="699" t="str">
        <f>IFERROR(__xludf.DUMMYFUNCTION("""COMPUTED_VALUE"""),"De Jonge, N., et al. ""Mixed Schistosoma haematobium and S. mansoni infection: effect of different treatments on the serum level of circulating anodic antigen (CAA)."" Acta tropica 48.1 (1990): 25-35.")</f>
        <v>De Jonge, N., et al. "Mixed Schistosoma haematobium and S. mansoni infection: effect of different treatments on the serum level of circulating anodic antigen (CAA)." Acta tropica 48.1 (1990): 25-35.</v>
      </c>
      <c r="T45" s="697"/>
      <c r="U45" s="697" t="str">
        <f>IFERROR(__xludf.DUMMYFUNCTION("""COMPUTED_VALUE"""),"")</f>
        <v/>
      </c>
      <c r="V45" s="697">
        <f>IFERROR(__xludf.DUMMYFUNCTION("""COMPUTED_VALUE"""),45.0)</f>
        <v>45</v>
      </c>
    </row>
    <row r="46">
      <c r="A46" s="697" t="str">
        <f>IFERROR(__xludf.DUMMYFUNCTION("""COMPUTED_VALUE"""),"de Jonge N, 1990")</f>
        <v>de Jonge N, 1990</v>
      </c>
      <c r="B46" s="697" t="str">
        <f>IFERROR(__xludf.DUMMYFUNCTION("""COMPUTED_VALUE"""),"s. mansoni")</f>
        <v>s. mansoni</v>
      </c>
      <c r="C46" s="697" t="str">
        <f>IFERROR(__xludf.DUMMYFUNCTION("""COMPUTED_VALUE"""),"Sudan")</f>
        <v>Sudan</v>
      </c>
      <c r="D46" s="697" t="str">
        <f>IFERROR(__xludf.DUMMYFUNCTION("""COMPUTED_VALUE"""),"Metrifonate")</f>
        <v>Metrifonate</v>
      </c>
      <c r="E46" s="697" t="str">
        <f>IFERROR(__xludf.DUMMYFUNCTION("""COMPUTED_VALUE"""),"Single")</f>
        <v>Single</v>
      </c>
      <c r="F46" s="697" t="str">
        <f>IFERROR(__xludf.DUMMYFUNCTION("""COMPUTED_VALUE"""),"30 mg/kg")</f>
        <v>30 mg/kg</v>
      </c>
      <c r="G46" s="697">
        <f>IFERROR(__xludf.DUMMYFUNCTION("""COMPUTED_VALUE"""),38.0)</f>
        <v>38</v>
      </c>
      <c r="H46" s="697" t="str">
        <f>IFERROR(__xludf.DUMMYFUNCTION("""COMPUTED_VALUE"""),"6 - 11")</f>
        <v>6 - 11</v>
      </c>
      <c r="I46" s="705" t="str">
        <f>IFERROR(__xludf.DUMMYFUNCTION("""COMPUTED_VALUE"""),"male ")</f>
        <v>male </v>
      </c>
      <c r="J46" s="697">
        <f>IFERROR(__xludf.DUMMYFUNCTION("""COMPUTED_VALUE"""),1990.0)</f>
        <v>1990</v>
      </c>
      <c r="K46" s="697" t="str">
        <f>IFERROR(__xludf.DUMMYFUNCTION("""COMPUTED_VALUE"""),"school boys age ranged from 6 to1years.These patients were infected with S.mansoni and S.haematobiumas indicated by constant excretion of ova in stool and urine.")</f>
        <v>school boys age ranged from 6 to1years.These patients were infected with S.mansoni and S.haematobiumas indicated by constant excretion of ova in stool and urine.</v>
      </c>
      <c r="L46" s="697" t="str">
        <f>IFERROR(__xludf.DUMMYFUNCTION("""COMPUTED_VALUE"""),"Yes")</f>
        <v>Yes</v>
      </c>
      <c r="M46" s="697" t="str">
        <f>IFERROR(__xludf.DUMMYFUNCTION("""COMPUTED_VALUE"""),"Yes")</f>
        <v>Yes</v>
      </c>
      <c r="N46" s="697" t="str">
        <f>IFERROR(__xludf.DUMMYFUNCTION("""COMPUTED_VALUE"""),"Results were expressed as number of viable ova per 10 ml of urine 1 month and 5 months after treatment")</f>
        <v>Results were expressed as number of viable ova per 10 ml of urine 1 month and 5 months after treatment</v>
      </c>
      <c r="O46" s="698">
        <f>IFERROR(__xludf.DUMMYFUNCTION("""COMPUTED_VALUE"""),1.0)</f>
        <v>1</v>
      </c>
      <c r="P46" s="698">
        <f>IFERROR(__xludf.DUMMYFUNCTION("""COMPUTED_VALUE"""),0.92)</f>
        <v>0.92</v>
      </c>
      <c r="Q46" s="697" t="str">
        <f>IFERROR(__xludf.DUMMYFUNCTION("""COMPUTED_VALUE"""),"the use of monoclonal reactants instead of polyclonal considerably increases the sensitivity of antigen detection.")</f>
        <v>the use of monoclonal reactants instead of polyclonal considerably increases the sensitivity of antigen detection.</v>
      </c>
      <c r="R46" s="697" t="str">
        <f>IFERROR(__xludf.DUMMYFUNCTION("""COMPUTED_VALUE"""),"Mixed Sch&amp;tosoma haematobium and S. mansoni infection: Effect of different treatments on the serum level of circulating anodic antigen (CAA)")</f>
        <v>Mixed Sch&amp;tosoma haematobium and S. mansoni infection: Effect of different treatments on the serum level of circulating anodic antigen (CAA)</v>
      </c>
      <c r="S46" s="699" t="str">
        <f>IFERROR(__xludf.DUMMYFUNCTION("""COMPUTED_VALUE"""),"De Jonge, N., et al. ""Mixed Schistosoma haematobium and S. mansoni infection: effect of different treatments on the serum level of circulating anodic antigen (CAA)."" Acta tropica 48.1 (1990): 25-35.")</f>
        <v>De Jonge, N., et al. "Mixed Schistosoma haematobium and S. mansoni infection: effect of different treatments on the serum level of circulating anodic antigen (CAA)." Acta tropica 48.1 (1990): 25-35.</v>
      </c>
      <c r="T46" s="697"/>
      <c r="U46" s="697" t="str">
        <f>IFERROR(__xludf.DUMMYFUNCTION("""COMPUTED_VALUE"""),"")</f>
        <v/>
      </c>
      <c r="V46" s="697">
        <f>IFERROR(__xludf.DUMMYFUNCTION("""COMPUTED_VALUE"""),46.0)</f>
        <v>46</v>
      </c>
    </row>
    <row r="47">
      <c r="A47" s="697" t="str">
        <f>IFERROR(__xludf.DUMMYFUNCTION("""COMPUTED_VALUE"""),"De Queiroz 2010")</f>
        <v>De Queiroz 2010</v>
      </c>
      <c r="B47" s="697" t="str">
        <f>IFERROR(__xludf.DUMMYFUNCTION("""COMPUTED_VALUE"""),"s.mansoni ")</f>
        <v>s.mansoni </v>
      </c>
      <c r="C47" s="697" t="str">
        <f>IFERROR(__xludf.DUMMYFUNCTION("""COMPUTED_VALUE"""),"Brazil")</f>
        <v>Brazil</v>
      </c>
      <c r="D47" s="697" t="str">
        <f>IFERROR(__xludf.DUMMYFUNCTION("""COMPUTED_VALUE"""),"Praziquantel")</f>
        <v>Praziquantel</v>
      </c>
      <c r="E47" s="697" t="str">
        <f>IFERROR(__xludf.DUMMYFUNCTION("""COMPUTED_VALUE"""),"Single")</f>
        <v>Single</v>
      </c>
      <c r="F47" s="697" t="str">
        <f>IFERROR(__xludf.DUMMYFUNCTION("""COMPUTED_VALUE"""),"80 mg/kg")</f>
        <v>80 mg/kg</v>
      </c>
      <c r="G47" s="697">
        <f>IFERROR(__xludf.DUMMYFUNCTION("""COMPUTED_VALUE"""),145.0)</f>
        <v>145</v>
      </c>
      <c r="H47" s="697" t="str">
        <f>IFERROR(__xludf.DUMMYFUNCTION("""COMPUTED_VALUE"""),"average 31.7 ")</f>
        <v>average 31.7 </v>
      </c>
      <c r="I47" s="705" t="str">
        <f>IFERROR(__xludf.DUMMYFUNCTION("""COMPUTED_VALUE"""),"87: 58")</f>
        <v>87: 58</v>
      </c>
      <c r="J47" s="697">
        <f>IFERROR(__xludf.DUMMYFUNCTION("""COMPUTED_VALUE"""),2010.0)</f>
        <v>2010</v>
      </c>
      <c r="K47" s="697" t="str">
        <f>IFERROR(__xludf.DUMMYFUNCTION("""COMPUTED_VALUE"""),"patients with chronic schistomiasis mansoni aged over 13 years")</f>
        <v>patients with chronic schistomiasis mansoni aged over 13 years</v>
      </c>
      <c r="L47" s="697" t="str">
        <f>IFERROR(__xludf.DUMMYFUNCTION("""COMPUTED_VALUE"""),"No")</f>
        <v>No</v>
      </c>
      <c r="M47" s="697" t="str">
        <f>IFERROR(__xludf.DUMMYFUNCTION("""COMPUTED_VALUE"""),"Yes")</f>
        <v>Yes</v>
      </c>
      <c r="N47" s="697" t="str">
        <f>IFERROR(__xludf.DUMMYFUNCTION("""COMPUTED_VALUE"""),"Endpoint: 30, 90 and 180 days after treatment.")</f>
        <v>Endpoint: 30, 90 and 180 days after treatment.</v>
      </c>
      <c r="O47" s="698">
        <f>IFERROR(__xludf.DUMMYFUNCTION("""COMPUTED_VALUE"""),0.897)</f>
        <v>0.897</v>
      </c>
      <c r="P47" s="697"/>
      <c r="Q47" s="697" t="str">
        <f>IFERROR(__xludf.DUMMYFUNCTION("""COMPUTED_VALUE"""),"The cure rates were 89.7% for Group 1 and 83.9% for Group 2. There was no difference in the efficacy of both therapeutic dosages of praziquantel assayed. The adverse reactions were more frequent with higher dosage.")</f>
        <v>The cure rates were 89.7% for Group 1 and 83.9% for Group 2. There was no difference in the efficacy of both therapeutic dosages of praziquantel assayed. The adverse reactions were more frequent with higher dosage.</v>
      </c>
      <c r="R47" s="697"/>
      <c r="S47" s="699" t="str">
        <f>IFERROR(__xludf.DUMMYFUNCTION("""COMPUTED_VALUE"""),"de Queiroz, Leonardo C., et al. ""Comparative randomised trial of high and conventional doses of praziquantel in the treatment of schistosomiasis mansoni."" Memórias do Instituto Oswaldo Cruz 105.4 (2010): 445-448.")</f>
        <v>de Queiroz, Leonardo C., et al. "Comparative randomised trial of high and conventional doses of praziquantel in the treatment of schistosomiasis mansoni." Memórias do Instituto Oswaldo Cruz 105.4 (2010): 445-448.</v>
      </c>
      <c r="T47" s="697"/>
      <c r="U47" s="697" t="str">
        <f>IFERROR(__xludf.DUMMYFUNCTION("""COMPUTED_VALUE"""),"")</f>
        <v/>
      </c>
      <c r="V47" s="697">
        <f>IFERROR(__xludf.DUMMYFUNCTION("""COMPUTED_VALUE"""),47.0)</f>
        <v>47</v>
      </c>
    </row>
    <row r="48">
      <c r="A48" s="697" t="str">
        <f>IFERROR(__xludf.DUMMYFUNCTION("""COMPUTED_VALUE"""),"De Queiroz 2010")</f>
        <v>De Queiroz 2010</v>
      </c>
      <c r="B48" s="697" t="str">
        <f>IFERROR(__xludf.DUMMYFUNCTION("""COMPUTED_VALUE"""),"s.mansoni ")</f>
        <v>s.mansoni </v>
      </c>
      <c r="C48" s="697" t="str">
        <f>IFERROR(__xludf.DUMMYFUNCTION("""COMPUTED_VALUE"""),"Brazil")</f>
        <v>Brazil</v>
      </c>
      <c r="D48" s="697" t="str">
        <f>IFERROR(__xludf.DUMMYFUNCTION("""COMPUTED_VALUE"""),"Praziquantel")</f>
        <v>Praziquantel</v>
      </c>
      <c r="E48" s="697" t="str">
        <f>IFERROR(__xludf.DUMMYFUNCTION("""COMPUTED_VALUE"""),"Single")</f>
        <v>Single</v>
      </c>
      <c r="F48" s="697" t="str">
        <f>IFERROR(__xludf.DUMMYFUNCTION("""COMPUTED_VALUE"""),"50 mg/kg")</f>
        <v>50 mg/kg</v>
      </c>
      <c r="G48" s="697">
        <f>IFERROR(__xludf.DUMMYFUNCTION("""COMPUTED_VALUE"""),143.0)</f>
        <v>143</v>
      </c>
      <c r="H48" s="697" t="str">
        <f>IFERROR(__xludf.DUMMYFUNCTION("""COMPUTED_VALUE"""),"average 31.2")</f>
        <v>average 31.2</v>
      </c>
      <c r="I48" s="705" t="str">
        <f>IFERROR(__xludf.DUMMYFUNCTION("""COMPUTED_VALUE"""),"83: 60")</f>
        <v>83: 60</v>
      </c>
      <c r="J48" s="697">
        <f>IFERROR(__xludf.DUMMYFUNCTION("""COMPUTED_VALUE"""),2010.0)</f>
        <v>2010</v>
      </c>
      <c r="K48" s="697" t="str">
        <f>IFERROR(__xludf.DUMMYFUNCTION("""COMPUTED_VALUE"""),"patients with chronic schistomiasis mansoni aged over 13 years")</f>
        <v>patients with chronic schistomiasis mansoni aged over 13 years</v>
      </c>
      <c r="L48" s="697" t="str">
        <f>IFERROR(__xludf.DUMMYFUNCTION("""COMPUTED_VALUE"""),"No")</f>
        <v>No</v>
      </c>
      <c r="M48" s="697" t="str">
        <f>IFERROR(__xludf.DUMMYFUNCTION("""COMPUTED_VALUE"""),"Yes")</f>
        <v>Yes</v>
      </c>
      <c r="N48" s="697" t="str">
        <f>IFERROR(__xludf.DUMMYFUNCTION("""COMPUTED_VALUE"""),"Endpoint: 30, 90 and 180 days after treatment.")</f>
        <v>Endpoint: 30, 90 and 180 days after treatment.</v>
      </c>
      <c r="O48" s="698">
        <f>IFERROR(__xludf.DUMMYFUNCTION("""COMPUTED_VALUE"""),0.839)</f>
        <v>0.839</v>
      </c>
      <c r="P48" s="697"/>
      <c r="Q48" s="697" t="str">
        <f>IFERROR(__xludf.DUMMYFUNCTION("""COMPUTED_VALUE"""),"The cure rates were 89.7% for Group 1 and 83.9% for Group 2. There was no difference in the efficacy of both therapeutic dosages of praziquantel assayed. The adverse reactions were more frequent with higher dosage.")</f>
        <v>The cure rates were 89.7% for Group 1 and 83.9% for Group 2. There was no difference in the efficacy of both therapeutic dosages of praziquantel assayed. The adverse reactions were more frequent with higher dosage.</v>
      </c>
      <c r="R48" s="697"/>
      <c r="S48" s="699" t="str">
        <f>IFERROR(__xludf.DUMMYFUNCTION("""COMPUTED_VALUE"""),"de Queiroz, Leonardo C., et al. ""Comparative randomised trial of high and conventional doses of praziquantel in the treatment of schistosomiasis mansoni."" Memórias do Instituto Oswaldo Cruz 105.4 (2010): 445-448.")</f>
        <v>de Queiroz, Leonardo C., et al. "Comparative randomised trial of high and conventional doses of praziquantel in the treatment of schistosomiasis mansoni." Memórias do Instituto Oswaldo Cruz 105.4 (2010): 445-448.</v>
      </c>
      <c r="T48" s="697"/>
      <c r="U48" s="697" t="str">
        <f>IFERROR(__xludf.DUMMYFUNCTION("""COMPUTED_VALUE"""),"")</f>
        <v/>
      </c>
      <c r="V48" s="697">
        <f>IFERROR(__xludf.DUMMYFUNCTION("""COMPUTED_VALUE"""),48.0)</f>
        <v>48</v>
      </c>
    </row>
    <row r="49">
      <c r="A49" s="697" t="str">
        <f>IFERROR(__xludf.DUMMYFUNCTION("""COMPUTED_VALUE"""),"Degu G, 2002")</f>
        <v>Degu G, 2002</v>
      </c>
      <c r="B49" s="697" t="str">
        <f>IFERROR(__xludf.DUMMYFUNCTION("""COMPUTED_VALUE"""),"s. mansoni")</f>
        <v>s. mansoni</v>
      </c>
      <c r="C49" s="697" t="str">
        <f>IFERROR(__xludf.DUMMYFUNCTION("""COMPUTED_VALUE"""),"Ethiopia")</f>
        <v>Ethiopia</v>
      </c>
      <c r="D49" s="697" t="str">
        <f>IFERROR(__xludf.DUMMYFUNCTION("""COMPUTED_VALUE"""),"Praziquantel")</f>
        <v>Praziquantel</v>
      </c>
      <c r="E49" s="697" t="str">
        <f>IFERROR(__xludf.DUMMYFUNCTION("""COMPUTED_VALUE"""),"Single")</f>
        <v>Single</v>
      </c>
      <c r="F49" s="697" t="str">
        <f>IFERROR(__xludf.DUMMYFUNCTION("""COMPUTED_VALUE"""),"40 mg/kg")</f>
        <v>40 mg/kg</v>
      </c>
      <c r="G49" s="697">
        <f>IFERROR(__xludf.DUMMYFUNCTION("""COMPUTED_VALUE"""),154.0)</f>
        <v>154</v>
      </c>
      <c r="H49" s="697" t="str">
        <f>IFERROR(__xludf.DUMMYFUNCTION("""COMPUTED_VALUE"""),"10- 14")</f>
        <v>10- 14</v>
      </c>
      <c r="I49" s="705" t="str">
        <f>IFERROR(__xludf.DUMMYFUNCTION("""COMPUTED_VALUE"""),"data not available")</f>
        <v>data not available</v>
      </c>
      <c r="J49" s="697">
        <f>IFERROR(__xludf.DUMMYFUNCTION("""COMPUTED_VALUE"""),2000.0)</f>
        <v>2000</v>
      </c>
      <c r="K49" s="697" t="str">
        <f>IFERROR(__xludf.DUMMYFUNCTION("""COMPUTED_VALUE"""),"10 to 14year old Children infected with S.mansoni")</f>
        <v>10 to 14year old Children infected with S.mansoni</v>
      </c>
      <c r="L49" s="697" t="str">
        <f>IFERROR(__xludf.DUMMYFUNCTION("""COMPUTED_VALUE"""),"No")</f>
        <v>No</v>
      </c>
      <c r="M49" s="697" t="str">
        <f>IFERROR(__xludf.DUMMYFUNCTION("""COMPUTED_VALUE"""),"No")</f>
        <v>No</v>
      </c>
      <c r="N49" s="697" t="str">
        <f>IFERROR(__xludf.DUMMYFUNCTION("""COMPUTED_VALUE"""),"Cure rate based on faecial samples of 25 mg examined by thick smear method to detect S.mansoni eggs at 6 weeks")</f>
        <v>Cure rate based on faecial samples of 25 mg examined by thick smear method to detect S.mansoni eggs at 6 weeks</v>
      </c>
      <c r="O49" s="700">
        <f>IFERROR(__xludf.DUMMYFUNCTION("""COMPUTED_VALUE"""),0.94)</f>
        <v>0.94</v>
      </c>
      <c r="P49" s="700">
        <f>IFERROR(__xludf.DUMMYFUNCTION("""COMPUTED_VALUE"""),0.97)</f>
        <v>0.97</v>
      </c>
      <c r="Q49" s="697" t="str">
        <f>IFERROR(__xludf.DUMMYFUNCTION("""COMPUTED_VALUE"""),"Efficacy of PZQ remains high despite prolonged use, pervious infection and treatment did not alter susceotibility to infection")</f>
        <v>Efficacy of PZQ remains high despite prolonged use, pervious infection and treatment did not alter susceotibility to infection</v>
      </c>
      <c r="R49" s="697"/>
      <c r="S49" s="699" t="str">
        <f>IFERROR(__xludf.DUMMYFUNCTION("""COMPUTED_VALUE"""),"Degu, Getinet, Getahun Mengistu, and Janet Jones. ""Praziquantel Efficacy against Schistosomiasis Mansoni in Schoolchildren in North-west Ethiopia."" Praziquantel Efficacy against Schistosomiasis Mansoni in Schoolchildren in North-west Ethiopia. January 2"&amp;", 2002. Accessed February 19, 2015. http://trstmh.oxfordjournals.org/content/96/4/444.short.")</f>
        <v>Degu, Getinet, Getahun Mengistu, and Janet Jones. "Praziquantel Efficacy against Schistosomiasis Mansoni in Schoolchildren in North-west Ethiopia." Praziquantel Efficacy against Schistosomiasis Mansoni in Schoolchildren in North-west Ethiopia. January 2, 2002. Accessed February 19, 2015. http://trstmh.oxfordjournals.org/content/96/4/444.short.</v>
      </c>
      <c r="T49" s="697"/>
      <c r="U49" s="697" t="str">
        <f>IFERROR(__xludf.DUMMYFUNCTION("""COMPUTED_VALUE"""),"x")</f>
        <v>x</v>
      </c>
      <c r="V49" s="697">
        <f>IFERROR(__xludf.DUMMYFUNCTION("""COMPUTED_VALUE"""),49.0)</f>
        <v>49</v>
      </c>
    </row>
    <row r="50">
      <c r="A50" s="697" t="str">
        <f>IFERROR(__xludf.DUMMYFUNCTION("""COMPUTED_VALUE"""),"Erko B, 2012")</f>
        <v>Erko B, 2012</v>
      </c>
      <c r="B50" s="697" t="str">
        <f>IFERROR(__xludf.DUMMYFUNCTION("""COMPUTED_VALUE"""),"s. mansoni")</f>
        <v>s. mansoni</v>
      </c>
      <c r="C50" s="697" t="str">
        <f>IFERROR(__xludf.DUMMYFUNCTION("""COMPUTED_VALUE"""),"Ethiopia")</f>
        <v>Ethiopia</v>
      </c>
      <c r="D50" s="697" t="str">
        <f>IFERROR(__xludf.DUMMYFUNCTION("""COMPUTED_VALUE"""),"Praziquantel")</f>
        <v>Praziquantel</v>
      </c>
      <c r="E50" s="697" t="str">
        <f>IFERROR(__xludf.DUMMYFUNCTION("""COMPUTED_VALUE"""),"Single")</f>
        <v>Single</v>
      </c>
      <c r="F50" s="697" t="str">
        <f>IFERROR(__xludf.DUMMYFUNCTION("""COMPUTED_VALUE"""),"40 mg/ kg ")</f>
        <v>40 mg/ kg </v>
      </c>
      <c r="G50" s="697">
        <f>IFERROR(__xludf.DUMMYFUNCTION("""COMPUTED_VALUE"""),299.0)</f>
        <v>299</v>
      </c>
      <c r="H50" s="697" t="str">
        <f>IFERROR(__xludf.DUMMYFUNCTION("""COMPUTED_VALUE"""),"6- 22")</f>
        <v>6- 22</v>
      </c>
      <c r="I50" s="705" t="str">
        <f>IFERROR(__xludf.DUMMYFUNCTION("""COMPUTED_VALUE"""),"179: 120")</f>
        <v>179: 120</v>
      </c>
      <c r="J50" s="697">
        <f>IFERROR(__xludf.DUMMYFUNCTION("""COMPUTED_VALUE"""),2010.0)</f>
        <v>2010</v>
      </c>
      <c r="K50" s="697" t="str">
        <f>IFERROR(__xludf.DUMMYFUNCTION("""COMPUTED_VALUE"""),"Children grades 3-8 were randomly selected and then supplied a stool sample which was examined via the Kato - Katz technique for the presence of S. mansoni")</f>
        <v>Children grades 3-8 were randomly selected and then supplied a stool sample which was examined via the Kato - Katz technique for the presence of S. mansoni</v>
      </c>
      <c r="L50" s="697" t="str">
        <f>IFERROR(__xludf.DUMMYFUNCTION("""COMPUTED_VALUE"""),"No")</f>
        <v>No</v>
      </c>
      <c r="M50" s="697" t="str">
        <f>IFERROR(__xludf.DUMMYFUNCTION("""COMPUTED_VALUE"""),"No")</f>
        <v>No</v>
      </c>
      <c r="N50" s="697" t="str">
        <f>IFERROR(__xludf.DUMMYFUNCTION("""COMPUTED_VALUE"""),"4 weeks")</f>
        <v>4 weeks</v>
      </c>
      <c r="O50" s="706">
        <f>IFERROR(__xludf.DUMMYFUNCTION("""COMPUTED_VALUE"""),0.736)</f>
        <v>0.736</v>
      </c>
      <c r="P50" s="706">
        <f>IFERROR(__xludf.DUMMYFUNCTION("""COMPUTED_VALUE"""),0.682)</f>
        <v>0.682</v>
      </c>
      <c r="Q50" s="697" t="str">
        <f>IFERROR(__xludf.DUMMYFUNCTION("""COMPUTED_VALUE"""),"(a) praziquan-parasitological cure in patients with active schistosomiasis mansoni, in spite of previous treatment with hycanthone and/or oxam-niquine; (b) successive progenies from two human strains of S. mansoni were resistant to oxamniquine and hycanth"&amp;"one but susceptible to niridazole and praziquantel; (c) serial runs of these strains through intermediate and definitive hosts have not altered their behaviour in the presence of these drugs.")</f>
        <v>(a) praziquan-parasitological cure in patients with active schistosomiasis mansoni, in spite of previous treatment with hycanthone and/or oxam-niquine; (b) successive progenies from two human strains of S. mansoni were resistant to oxamniquine and hycanthone but susceptible to niridazole and praziquantel; (c) serial runs of these strains through intermediate and definitive hosts have not altered their behaviour in the presence of these drugs.</v>
      </c>
      <c r="R50" s="697" t="str">
        <f>IFERROR(__xludf.DUMMYFUNCTION("""COMPUTED_VALUE"""),"cure rate showed significant association with age (χ2=11,P=0.004), the highest rate being observed in the 15–22 age group.")</f>
        <v>cure rate showed significant association with age (χ2=11,P=0.004), the highest rate being observed in the 15–22 age group.</v>
      </c>
      <c r="S50" s="699" t="str">
        <f>IFERROR(__xludf.DUMMYFUNCTION("""COMPUTED_VALUE"""),"Erko B, Degarege A, Tadesse K, Mathiwos A, Legesse M. Efficacy and side effects of praziquantel in the treatment of Schistosomiasis mansoni in schoolchildren in Shesha Kekele Elementary School, Wondo Genet, Southern Ethiopia. Asian Pacific Journal of Trop"&amp;"ical Biomedicine. 2012;2(3):235-239. doi:10.1016/S2221-1691(12)60049-5.")</f>
        <v>Erko B, Degarege A, Tadesse K, Mathiwos A, Legesse M. Efficacy and side effects of praziquantel in the treatment of Schistosomiasis mansoni in schoolchildren in Shesha Kekele Elementary School, Wondo Genet, Southern Ethiopia. Asian Pacific Journal of Tropical Biomedicine. 2012;2(3):235-239. doi:10.1016/S2221-1691(12)60049-5.</v>
      </c>
      <c r="T50" s="697"/>
      <c r="U50" s="697" t="str">
        <f>IFERROR(__xludf.DUMMYFUNCTION("""COMPUTED_VALUE"""),"x")</f>
        <v>x</v>
      </c>
      <c r="V50" s="697">
        <f>IFERROR(__xludf.DUMMYFUNCTION("""COMPUTED_VALUE"""),50.0)</f>
        <v>50</v>
      </c>
    </row>
    <row r="51">
      <c r="A51" s="697" t="str">
        <f>IFERROR(__xludf.DUMMYFUNCTION("""COMPUTED_VALUE"""),"F F Stelma, 1997")</f>
        <v>F F Stelma, 1997</v>
      </c>
      <c r="B51" s="697" t="str">
        <f>IFERROR(__xludf.DUMMYFUNCTION("""COMPUTED_VALUE"""),"s. mansoni")</f>
        <v>s. mansoni</v>
      </c>
      <c r="C51" s="697" t="str">
        <f>IFERROR(__xludf.DUMMYFUNCTION("""COMPUTED_VALUE"""),"Senegal")</f>
        <v>Senegal</v>
      </c>
      <c r="D51" s="697" t="str">
        <f>IFERROR(__xludf.DUMMYFUNCTION("""COMPUTED_VALUE"""),"Oxamniquine")</f>
        <v>Oxamniquine</v>
      </c>
      <c r="E51" s="697" t="str">
        <f>IFERROR(__xludf.DUMMYFUNCTION("""COMPUTED_VALUE"""),"Single")</f>
        <v>Single</v>
      </c>
      <c r="F51" s="697" t="str">
        <f>IFERROR(__xludf.DUMMYFUNCTION("""COMPUTED_VALUE"""),"20 mg/kg ")</f>
        <v>20 mg/kg </v>
      </c>
      <c r="G51" s="697">
        <f>IFERROR(__xludf.DUMMYFUNCTION("""COMPUTED_VALUE"""),72.0)</f>
        <v>72</v>
      </c>
      <c r="H51" s="697" t="str">
        <f>IFERROR(__xludf.DUMMYFUNCTION("""COMPUTED_VALUE"""),"5-71")</f>
        <v>5-71</v>
      </c>
      <c r="I51" s="705" t="str">
        <f>IFERROR(__xludf.DUMMYFUNCTION("""COMPUTED_VALUE"""),"30:40")</f>
        <v>30:40</v>
      </c>
      <c r="J51" s="697">
        <f>IFERROR(__xludf.DUMMYFUNCTION("""COMPUTED_VALUE"""),1997.0)</f>
        <v>1997</v>
      </c>
      <c r="K51" s="697" t="str">
        <f>IFERROR(__xludf.DUMMYFUNCTION("""COMPUTED_VALUE"""),"An outbreak of Schistosoma mansoni in northern Senegal was observed in 1988, and chemotherapy resulted in very low parasitologic cure rates. Study is done to investigate a emergence of a praziquantel-tolerant parasite strain")</f>
        <v>An outbreak of Schistosoma mansoni in northern Senegal was observed in 1988, and chemotherapy resulted in very low parasitologic cure rates. Study is done to investigate a emergence of a praziquantel-tolerant parasite strain</v>
      </c>
      <c r="L51" s="697" t="str">
        <f>IFERROR(__xludf.DUMMYFUNCTION("""COMPUTED_VALUE"""),"Yes")</f>
        <v>Yes</v>
      </c>
      <c r="M51" s="697" t="str">
        <f>IFERROR(__xludf.DUMMYFUNCTION("""COMPUTED_VALUE"""),"Yes")</f>
        <v>Yes</v>
      </c>
      <c r="N51" s="697" t="str">
        <f>IFERROR(__xludf.DUMMYFUNCTION("""COMPUTED_VALUE"""),"6 weeks ")</f>
        <v>6 weeks </v>
      </c>
      <c r="O51" s="700">
        <f>IFERROR(__xludf.DUMMYFUNCTION("""COMPUTED_VALUE"""),0.79)</f>
        <v>0.79</v>
      </c>
      <c r="P51" s="706">
        <f>IFERROR(__xludf.DUMMYFUNCTION("""COMPUTED_VALUE"""),0.94)</f>
        <v>0.94</v>
      </c>
      <c r="Q51" s="697" t="str">
        <f>IFERROR(__xludf.DUMMYFUNCTION("""COMPUTED_VALUE"""),"cure rates with praziquantel were abnormally low, whereas oxamniquine performed satisfactorily, as in other areas in which S. mansoni is endemic.")</f>
        <v>cure rates with praziquantel were abnormally low, whereas oxamniquine performed satisfactorily, as in other areas in which S. mansoni is endemic.</v>
      </c>
      <c r="R51" s="697" t="str">
        <f>IFERROR(__xludf.DUMMYFUNCTION("""COMPUTED_VALUE"""),"Oxamniquine cures Schistosoma mansoni infection in a focus in which cure rates with praziquantel are unusually low.")</f>
        <v>Oxamniquine cures Schistosoma mansoni infection in a focus in which cure rates with praziquantel are unusually low.</v>
      </c>
      <c r="S51" s="699" t="str">
        <f>IFERROR(__xludf.DUMMYFUNCTION("""COMPUTED_VALUE"""),"Stelma, Foekje F., et al. ""Oxamniquine cures Schistosoma mansoni infection in a focus in which cure rates with praziquantel are unusually low."" Journal of Infectious Diseases 176.1 (1997): 304-307.")</f>
        <v>Stelma, Foekje F., et al. "Oxamniquine cures Schistosoma mansoni infection in a focus in which cure rates with praziquantel are unusually low." Journal of Infectious Diseases 176.1 (1997): 304-307.</v>
      </c>
      <c r="T51" s="697"/>
      <c r="U51" s="697" t="str">
        <f>IFERROR(__xludf.DUMMYFUNCTION("""COMPUTED_VALUE"""),"")</f>
        <v/>
      </c>
      <c r="V51" s="697">
        <f>IFERROR(__xludf.DUMMYFUNCTION("""COMPUTED_VALUE"""),51.0)</f>
        <v>51</v>
      </c>
    </row>
    <row r="52">
      <c r="A52" s="697" t="str">
        <f>IFERROR(__xludf.DUMMYFUNCTION("""COMPUTED_VALUE"""),"F F Stelma, 1997")</f>
        <v>F F Stelma, 1997</v>
      </c>
      <c r="B52" s="697" t="str">
        <f>IFERROR(__xludf.DUMMYFUNCTION("""COMPUTED_VALUE"""),"s. mansoni")</f>
        <v>s. mansoni</v>
      </c>
      <c r="C52" s="697" t="str">
        <f>IFERROR(__xludf.DUMMYFUNCTION("""COMPUTED_VALUE"""),"Senegal")</f>
        <v>Senegal</v>
      </c>
      <c r="D52" s="697" t="str">
        <f>IFERROR(__xludf.DUMMYFUNCTION("""COMPUTED_VALUE"""),"praziquantel")</f>
        <v>praziquantel</v>
      </c>
      <c r="E52" s="697" t="str">
        <f>IFERROR(__xludf.DUMMYFUNCTION("""COMPUTED_VALUE"""),"Single")</f>
        <v>Single</v>
      </c>
      <c r="F52" s="697" t="str">
        <f>IFERROR(__xludf.DUMMYFUNCTION("""COMPUTED_VALUE"""),"40 mg/kg ")</f>
        <v>40 mg/kg </v>
      </c>
      <c r="G52" s="697">
        <f>IFERROR(__xludf.DUMMYFUNCTION("""COMPUTED_VALUE"""),66.0)</f>
        <v>66</v>
      </c>
      <c r="H52" s="697" t="str">
        <f>IFERROR(__xludf.DUMMYFUNCTION("""COMPUTED_VALUE"""),"5-75")</f>
        <v>5-75</v>
      </c>
      <c r="I52" s="705" t="str">
        <f>IFERROR(__xludf.DUMMYFUNCTION("""COMPUTED_VALUE"""),"22:44")</f>
        <v>22:44</v>
      </c>
      <c r="J52" s="697">
        <f>IFERROR(__xludf.DUMMYFUNCTION("""COMPUTED_VALUE"""),1997.0)</f>
        <v>1997</v>
      </c>
      <c r="K52" s="697" t="str">
        <f>IFERROR(__xludf.DUMMYFUNCTION("""COMPUTED_VALUE"""),"An outbreak of Schistosoma mansoni in northern Senegal was observed in 1988, and chemotherapy resulted in very low parasitologic cure rates. Study is done to investigate a emergence of a praziquantel-tolerant parasite strain")</f>
        <v>An outbreak of Schistosoma mansoni in northern Senegal was observed in 1988, and chemotherapy resulted in very low parasitologic cure rates. Study is done to investigate a emergence of a praziquantel-tolerant parasite strain</v>
      </c>
      <c r="L52" s="697" t="str">
        <f>IFERROR(__xludf.DUMMYFUNCTION("""COMPUTED_VALUE"""),"Yes")</f>
        <v>Yes</v>
      </c>
      <c r="M52" s="697" t="str">
        <f>IFERROR(__xludf.DUMMYFUNCTION("""COMPUTED_VALUE"""),"Yes")</f>
        <v>Yes</v>
      </c>
      <c r="N52" s="697" t="str">
        <f>IFERROR(__xludf.DUMMYFUNCTION("""COMPUTED_VALUE"""),"6 weeks ")</f>
        <v>6 weeks </v>
      </c>
      <c r="O52" s="700">
        <f>IFERROR(__xludf.DUMMYFUNCTION("""COMPUTED_VALUE"""),0.36)</f>
        <v>0.36</v>
      </c>
      <c r="P52" s="706">
        <f>IFERROR(__xludf.DUMMYFUNCTION("""COMPUTED_VALUE"""),0.82)</f>
        <v>0.82</v>
      </c>
      <c r="Q52" s="697" t="str">
        <f>IFERROR(__xludf.DUMMYFUNCTION("""COMPUTED_VALUE"""),"cure rates with praziquantel were abnormally low, whereas oxamniquine performed satisfactorily, as in other areas in which S. mansoni is endemic.")</f>
        <v>cure rates with praziquantel were abnormally low, whereas oxamniquine performed satisfactorily, as in other areas in which S. mansoni is endemic.</v>
      </c>
      <c r="R52" s="697" t="str">
        <f>IFERROR(__xludf.DUMMYFUNCTION("""COMPUTED_VALUE"""),"Oxamniquine cures Schistosoma mansoni infection in a focus in which cure rates with praziquantel are unusually low.")</f>
        <v>Oxamniquine cures Schistosoma mansoni infection in a focus in which cure rates with praziquantel are unusually low.</v>
      </c>
      <c r="S52" s="699" t="str">
        <f>IFERROR(__xludf.DUMMYFUNCTION("""COMPUTED_VALUE"""),"Stelma, Foekje F., et al. ""Oxamniquine cures Schistosoma mansoni infection in a focus in which cure rates with praziquantel are unusually low."" Journal of Infectious Diseases 176.1 (1997): 304-307.")</f>
        <v>Stelma, Foekje F., et al. "Oxamniquine cures Schistosoma mansoni infection in a focus in which cure rates with praziquantel are unusually low." Journal of Infectious Diseases 176.1 (1997): 304-307.</v>
      </c>
      <c r="T52" s="697"/>
      <c r="U52" s="697" t="str">
        <f>IFERROR(__xludf.DUMMYFUNCTION("""COMPUTED_VALUE"""),"")</f>
        <v/>
      </c>
      <c r="V52" s="697">
        <f>IFERROR(__xludf.DUMMYFUNCTION("""COMPUTED_VALUE"""),52.0)</f>
        <v>52</v>
      </c>
    </row>
    <row r="53">
      <c r="A53" s="697" t="str">
        <f>IFERROR(__xludf.DUMMYFUNCTION("""COMPUTED_VALUE"""),"Ferrari ML, 2003")</f>
        <v>Ferrari ML, 2003</v>
      </c>
      <c r="B53" s="697" t="str">
        <f>IFERROR(__xludf.DUMMYFUNCTION("""COMPUTED_VALUE"""),"s. mansoni")</f>
        <v>s. mansoni</v>
      </c>
      <c r="C53" s="697" t="str">
        <f>IFERROR(__xludf.DUMMYFUNCTION("""COMPUTED_VALUE"""),"Brazil")</f>
        <v>Brazil</v>
      </c>
      <c r="D53" s="697" t="str">
        <f>IFERROR(__xludf.DUMMYFUNCTION("""COMPUTED_VALUE"""),"Praziquantel")</f>
        <v>Praziquantel</v>
      </c>
      <c r="E53" s="697" t="str">
        <f>IFERROR(__xludf.DUMMYFUNCTION("""COMPUTED_VALUE"""),"Single")</f>
        <v>Single</v>
      </c>
      <c r="F53" s="697" t="str">
        <f>IFERROR(__xludf.DUMMYFUNCTION("""COMPUTED_VALUE"""),"60 mg/kg")</f>
        <v>60 mg/kg</v>
      </c>
      <c r="G53" s="697">
        <f>IFERROR(__xludf.DUMMYFUNCTION("""COMPUTED_VALUE"""),36.0)</f>
        <v>36</v>
      </c>
      <c r="H53" s="697" t="str">
        <f>IFERROR(__xludf.DUMMYFUNCTION("""COMPUTED_VALUE"""),"13-51")</f>
        <v>13-51</v>
      </c>
      <c r="I53" s="705" t="str">
        <f>IFERROR(__xludf.DUMMYFUNCTION("""COMPUTED_VALUE"""),"30: 6")</f>
        <v>30: 6</v>
      </c>
      <c r="J53" s="697">
        <f>IFERROR(__xludf.DUMMYFUNCTION("""COMPUTED_VALUE"""),2003.0)</f>
        <v>2003</v>
      </c>
      <c r="K53" s="697" t="str">
        <f>IFERROR(__xludf.DUMMYFUNCTION("""COMPUTED_VALUE"""),"26 year olds M/F patients infected with S. mansoni")</f>
        <v>26 year olds M/F patients infected with S. mansoni</v>
      </c>
      <c r="L53" s="697" t="str">
        <f>IFERROR(__xludf.DUMMYFUNCTION("""COMPUTED_VALUE"""),"No")</f>
        <v>No</v>
      </c>
      <c r="M53" s="697" t="str">
        <f>IFERROR(__xludf.DUMMYFUNCTION("""COMPUTED_VALUE"""),"Yes")</f>
        <v>Yes</v>
      </c>
      <c r="N53" s="697" t="str">
        <f>IFERROR(__xludf.DUMMYFUNCTION("""COMPUTED_VALUE""")," Faecal examinations (days 15, 30, 60, 90, 120, 150, and 180 after treatment) and biopsy of rectal mucosa by quantitative oogram (days 30, 60, 120, and 180) were used for the initial diagnosis and for evaluating the degree of cure.")</f>
        <v> Faecal examinations (days 15, 30, 60, 90, 120, 150, and 180 after treatment) and biopsy of rectal mucosa by quantitative oogram (days 30, 60, 120, and 180) were used for the initial diagnosis and for evaluating the degree of cure.</v>
      </c>
      <c r="O53" s="698">
        <f>IFERROR(__xludf.DUMMYFUNCTION("""COMPUTED_VALUE"""),1.0)</f>
        <v>1</v>
      </c>
      <c r="P53" s="697"/>
      <c r="Q53" s="697" t="str">
        <f>IFERROR(__xludf.DUMMYFUNCTION("""COMPUTED_VALUE"""),"Praziquantel was significantly more effective than oxamniquine in treating S. mansoni infection.")</f>
        <v>Praziquantel was significantly more effective than oxamniquine in treating S. mansoni infection.</v>
      </c>
      <c r="R53" s="697"/>
      <c r="S53" s="699" t="str">
        <f>IFERROR(__xludf.DUMMYFUNCTION("""COMPUTED_VALUE"""),"Ferrari, M. L. A., et al. ""Efficacy of oxamniquine and praziquantel in the treatment of Schistosoma mansoni infection: a controlled trial."" Bulletin of the World Health Organization 81.3 (2003): 190-196.")</f>
        <v>Ferrari, M. L. A., et al. "Efficacy of oxamniquine and praziquantel in the treatment of Schistosoma mansoni infection: a controlled trial." Bulletin of the World Health Organization 81.3 (2003): 190-196.</v>
      </c>
      <c r="T53" s="699" t="str">
        <f>IFERROR(__xludf.DUMMYFUNCTION("""COMPUTED_VALUE"""),"https://drive.google.com/file/d/0B-yoIBO7tf7FUTNyMXRZQVpXbFE/view?usp=sharing")</f>
        <v>https://drive.google.com/file/d/0B-yoIBO7tf7FUTNyMXRZQVpXbFE/view?usp=sharing</v>
      </c>
      <c r="U53" s="697" t="str">
        <f>IFERROR(__xludf.DUMMYFUNCTION("""COMPUTED_VALUE"""),"")</f>
        <v/>
      </c>
      <c r="V53" s="697">
        <f>IFERROR(__xludf.DUMMYFUNCTION("""COMPUTED_VALUE"""),53.0)</f>
        <v>53</v>
      </c>
    </row>
    <row r="54">
      <c r="A54" s="697" t="str">
        <f>IFERROR(__xludf.DUMMYFUNCTION("""COMPUTED_VALUE"""),"Ferrari ML, 2003")</f>
        <v>Ferrari ML, 2003</v>
      </c>
      <c r="B54" s="697" t="str">
        <f>IFERROR(__xludf.DUMMYFUNCTION("""COMPUTED_VALUE"""),"s. mansoni")</f>
        <v>s. mansoni</v>
      </c>
      <c r="C54" s="697" t="str">
        <f>IFERROR(__xludf.DUMMYFUNCTION("""COMPUTED_VALUE"""),"Brazil")</f>
        <v>Brazil</v>
      </c>
      <c r="D54" s="697" t="str">
        <f>IFERROR(__xludf.DUMMYFUNCTION("""COMPUTED_VALUE"""),"Oxamniquine")</f>
        <v>Oxamniquine</v>
      </c>
      <c r="E54" s="697" t="str">
        <f>IFERROR(__xludf.DUMMYFUNCTION("""COMPUTED_VALUE"""),"Two")</f>
        <v>Two</v>
      </c>
      <c r="F54" s="697" t="str">
        <f>IFERROR(__xludf.DUMMYFUNCTION("""COMPUTED_VALUE"""),"10 mg/kg")</f>
        <v>10 mg/kg</v>
      </c>
      <c r="G54" s="697">
        <f>IFERROR(__xludf.DUMMYFUNCTION("""COMPUTED_VALUE"""),34.0)</f>
        <v>34</v>
      </c>
      <c r="H54" s="697" t="str">
        <f>IFERROR(__xludf.DUMMYFUNCTION("""COMPUTED_VALUE"""),"12-60")</f>
        <v>12-60</v>
      </c>
      <c r="I54" s="705" t="str">
        <f>IFERROR(__xludf.DUMMYFUNCTION("""COMPUTED_VALUE"""),"22:12")</f>
        <v>22:12</v>
      </c>
      <c r="J54" s="697">
        <f>IFERROR(__xludf.DUMMYFUNCTION("""COMPUTED_VALUE"""),2003.0)</f>
        <v>2003</v>
      </c>
      <c r="K54" s="697" t="str">
        <f>IFERROR(__xludf.DUMMYFUNCTION("""COMPUTED_VALUE"""),"26 year olds M/F patients infected with S. mansoni")</f>
        <v>26 year olds M/F patients infected with S. mansoni</v>
      </c>
      <c r="L54" s="697" t="str">
        <f>IFERROR(__xludf.DUMMYFUNCTION("""COMPUTED_VALUE"""),"No")</f>
        <v>No</v>
      </c>
      <c r="M54" s="697" t="str">
        <f>IFERROR(__xludf.DUMMYFUNCTION("""COMPUTED_VALUE"""),"Yes")</f>
        <v>Yes</v>
      </c>
      <c r="N54" s="697" t="str">
        <f>IFERROR(__xludf.DUMMYFUNCTION("""COMPUTED_VALUE""")," Faecal examinations (days 15, 30, 60, 90, 120, 150, and 180 after treatment) and biopsy of rectal mucosa by quantitative oogram (days 30, 60, 120, and 180) were used for the initial diagnosis and for evaluating the degree of cure.")</f>
        <v> Faecal examinations (days 15, 30, 60, 90, 120, 150, and 180 after treatment) and biopsy of rectal mucosa by quantitative oogram (days 30, 60, 120, and 180) were used for the initial diagnosis and for evaluating the degree of cure.</v>
      </c>
      <c r="O54" s="698">
        <f>IFERROR(__xludf.DUMMYFUNCTION("""COMPUTED_VALUE"""),0.903)</f>
        <v>0.903</v>
      </c>
      <c r="P54" s="697"/>
      <c r="Q54" s="697" t="str">
        <f>IFERROR(__xludf.DUMMYFUNCTION("""COMPUTED_VALUE"""),"Praziquantel was significantly more effective than oxamniquine in treating S. mansoni infection.")</f>
        <v>Praziquantel was significantly more effective than oxamniquine in treating S. mansoni infection.</v>
      </c>
      <c r="R54" s="697"/>
      <c r="S54" s="699" t="str">
        <f>IFERROR(__xludf.DUMMYFUNCTION("""COMPUTED_VALUE"""),"Ferrari, M. L. A., et al. ""Efficacy of oxamniquine and praziquantel in the treatment of Schistosoma mansoni infection: a controlled trial."" Bulletin of the World Health Organization 81.3 (2003): 190-196.")</f>
        <v>Ferrari, M. L. A., et al. "Efficacy of oxamniquine and praziquantel in the treatment of Schistosoma mansoni infection: a controlled trial." Bulletin of the World Health Organization 81.3 (2003): 190-196.</v>
      </c>
      <c r="T54" s="697"/>
      <c r="U54" s="697" t="str">
        <f>IFERROR(__xludf.DUMMYFUNCTION("""COMPUTED_VALUE"""),"")</f>
        <v/>
      </c>
      <c r="V54" s="697">
        <f>IFERROR(__xludf.DUMMYFUNCTION("""COMPUTED_VALUE"""),54.0)</f>
        <v>54</v>
      </c>
    </row>
    <row r="55">
      <c r="A55" s="697" t="str">
        <f>IFERROR(__xludf.DUMMYFUNCTION("""COMPUTED_VALUE"""),"Ferrari ML, 2003")</f>
        <v>Ferrari ML, 2003</v>
      </c>
      <c r="B55" s="697" t="str">
        <f>IFERROR(__xludf.DUMMYFUNCTION("""COMPUTED_VALUE"""),"s. mansoni")</f>
        <v>s. mansoni</v>
      </c>
      <c r="C55" s="697" t="str">
        <f>IFERROR(__xludf.DUMMYFUNCTION("""COMPUTED_VALUE"""),"Brazil")</f>
        <v>Brazil</v>
      </c>
      <c r="D55" s="697" t="str">
        <f>IFERROR(__xludf.DUMMYFUNCTION("""COMPUTED_VALUE"""),"Placebo")</f>
        <v>Placebo</v>
      </c>
      <c r="E55" s="697" t="str">
        <f>IFERROR(__xludf.DUMMYFUNCTION("""COMPUTED_VALUE"""),"Single")</f>
        <v>Single</v>
      </c>
      <c r="F55" s="697" t="str">
        <f>IFERROR(__xludf.DUMMYFUNCTION("""COMPUTED_VALUE"""),"Placebo")</f>
        <v>Placebo</v>
      </c>
      <c r="G55" s="697">
        <f>IFERROR(__xludf.DUMMYFUNCTION("""COMPUTED_VALUE"""),36.0)</f>
        <v>36</v>
      </c>
      <c r="H55" s="697" t="str">
        <f>IFERROR(__xludf.DUMMYFUNCTION("""COMPUTED_VALUE"""),"12-41")</f>
        <v>12-41</v>
      </c>
      <c r="I55" s="705" t="str">
        <f>IFERROR(__xludf.DUMMYFUNCTION("""COMPUTED_VALUE"""),"26:10")</f>
        <v>26:10</v>
      </c>
      <c r="J55" s="697">
        <f>IFERROR(__xludf.DUMMYFUNCTION("""COMPUTED_VALUE"""),2003.0)</f>
        <v>2003</v>
      </c>
      <c r="K55" s="697" t="str">
        <f>IFERROR(__xludf.DUMMYFUNCTION("""COMPUTED_VALUE"""),"27 year olds M/F patients infected with S. mansoni")</f>
        <v>27 year olds M/F patients infected with S. mansoni</v>
      </c>
      <c r="L55" s="697" t="str">
        <f>IFERROR(__xludf.DUMMYFUNCTION("""COMPUTED_VALUE"""),"No")</f>
        <v>No</v>
      </c>
      <c r="M55" s="697" t="str">
        <f>IFERROR(__xludf.DUMMYFUNCTION("""COMPUTED_VALUE"""),"Yes")</f>
        <v>Yes</v>
      </c>
      <c r="N55" s="697" t="str">
        <f>IFERROR(__xludf.DUMMYFUNCTION("""COMPUTED_VALUE""")," Faecal examinations (days 15, 30, 60, 90, 120, 150, and 180 after treatment) and biopsy of rectal mucosa by quantitative oogram (days 30, 60, 120, and 180) were used for the initial diagnosis and for evaluating the degree of cure.")</f>
        <v> Faecal examinations (days 15, 30, 60, 90, 120, 150, and 180 after treatment) and biopsy of rectal mucosa by quantitative oogram (days 30, 60, 120, and 180) were used for the initial diagnosis and for evaluating the degree of cure.</v>
      </c>
      <c r="O55" s="698">
        <f>IFERROR(__xludf.DUMMYFUNCTION("""COMPUTED_VALUE"""),0.903)</f>
        <v>0.903</v>
      </c>
      <c r="P55" s="697"/>
      <c r="Q55" s="697" t="str">
        <f>IFERROR(__xludf.DUMMYFUNCTION("""COMPUTED_VALUE"""),"Praziquantel was significantly more effective than oxamniquine in treating S. mansoni infection.")</f>
        <v>Praziquantel was significantly more effective than oxamniquine in treating S. mansoni infection.</v>
      </c>
      <c r="R55" s="697"/>
      <c r="S55" s="699" t="str">
        <f>IFERROR(__xludf.DUMMYFUNCTION("""COMPUTED_VALUE"""),"Ferrari, M. L. A., et al. ""Efficacy of oxamniquine and praziquantel in the treatment of Schistosoma mansoni infection: a controlled trial."" Bulletin of the World Health Organization 81.3 (2003): 190-196.")</f>
        <v>Ferrari, M. L. A., et al. "Efficacy of oxamniquine and praziquantel in the treatment of Schistosoma mansoni infection: a controlled trial." Bulletin of the World Health Organization 81.3 (2003): 190-196.</v>
      </c>
      <c r="T55" s="697"/>
      <c r="U55" s="697" t="str">
        <f>IFERROR(__xludf.DUMMYFUNCTION("""COMPUTED_VALUE"""),"")</f>
        <v/>
      </c>
      <c r="V55" s="697">
        <f>IFERROR(__xludf.DUMMYFUNCTION("""COMPUTED_VALUE"""),55.0)</f>
        <v>55</v>
      </c>
    </row>
    <row r="56">
      <c r="A56" s="697" t="str">
        <f>IFERROR(__xludf.DUMMYFUNCTION("""COMPUTED_VALUE"""),"Giboda MJ, 1992")</f>
        <v>Giboda MJ, 1992</v>
      </c>
      <c r="B56" s="697" t="str">
        <f>IFERROR(__xludf.DUMMYFUNCTION("""COMPUTED_VALUE"""),"s. haematobium")</f>
        <v>s. haematobium</v>
      </c>
      <c r="C56" s="697" t="str">
        <f>IFERROR(__xludf.DUMMYFUNCTION("""COMPUTED_VALUE"""),"Czech Republic")</f>
        <v>Czech Republic</v>
      </c>
      <c r="D56" s="697" t="str">
        <f>IFERROR(__xludf.DUMMYFUNCTION("""COMPUTED_VALUE"""),"Praziquantel")</f>
        <v>Praziquantel</v>
      </c>
      <c r="E56" s="697" t="str">
        <f>IFERROR(__xludf.DUMMYFUNCTION("""COMPUTED_VALUE"""),"Two")</f>
        <v>Two</v>
      </c>
      <c r="F56" s="697" t="str">
        <f>IFERROR(__xludf.DUMMYFUNCTION("""COMPUTED_VALUE"""),"20 mg/kg ")</f>
        <v>20 mg/kg </v>
      </c>
      <c r="G56" s="697">
        <f>IFERROR(__xludf.DUMMYFUNCTION("""COMPUTED_VALUE"""),13.0)</f>
        <v>13</v>
      </c>
      <c r="H56" s="697" t="str">
        <f>IFERROR(__xludf.DUMMYFUNCTION("""COMPUTED_VALUE"""),"18-23 years")</f>
        <v>18-23 years</v>
      </c>
      <c r="I56" s="705" t="str">
        <f>IFERROR(__xludf.DUMMYFUNCTION("""COMPUTED_VALUE"""),"all male ")</f>
        <v>all male </v>
      </c>
      <c r="J56" s="697">
        <f>IFERROR(__xludf.DUMMYFUNCTION("""COMPUTED_VALUE"""),1992.0)</f>
        <v>1992</v>
      </c>
      <c r="K56" s="697" t="str">
        <f>IFERROR(__xludf.DUMMYFUNCTION("""COMPUTED_VALUE"""),"18-23 yrs old Infected with S.mansoni or S. haematobium")</f>
        <v>18-23 yrs old Infected with S.mansoni or S. haematobium</v>
      </c>
      <c r="L56" s="697" t="str">
        <f>IFERROR(__xludf.DUMMYFUNCTION("""COMPUTED_VALUE"""),"Yes")</f>
        <v>Yes</v>
      </c>
      <c r="M56" s="697" t="str">
        <f>IFERROR(__xludf.DUMMYFUNCTION("""COMPUTED_VALUE"""),"Yes")</f>
        <v>Yes</v>
      </c>
      <c r="N56" s="697" t="str">
        <f>IFERROR(__xludf.DUMMYFUNCTION("""COMPUTED_VALUE"""),"Cure rate determined 1 year by absence of Schistosomia eggs from biopsies and excreta")</f>
        <v>Cure rate determined 1 year by absence of Schistosomia eggs from biopsies and excreta</v>
      </c>
      <c r="O56" s="700">
        <f>IFERROR(__xludf.DUMMYFUNCTION("""COMPUTED_VALUE"""),0.62)</f>
        <v>0.62</v>
      </c>
      <c r="P56" s="700">
        <f>IFERROR(__xludf.DUMMYFUNCTION("""COMPUTED_VALUE"""),0.26)</f>
        <v>0.26</v>
      </c>
      <c r="Q56" s="697" t="str">
        <f>IFERROR(__xludf.DUMMYFUNCTION("""COMPUTED_VALUE"""),"The efficacy for praziquental for lightly infected patients may not be clinically relevant which present major problems in the area of schistomiasis. ")</f>
        <v>The efficacy for praziquental for lightly infected patients may not be clinically relevant which present major problems in the area of schistomiasis. </v>
      </c>
      <c r="R56" s="697"/>
      <c r="S56" s="699" t="str">
        <f>IFERROR(__xludf.DUMMYFUNCTION("""COMPUTED_VALUE"""),"Giboda, M., J. Loudova, O. Shonova, E. Bouckova, J. Horacek, P. Numrich, A. Ruppel, J. Vitovec, S. Lukes, and P. Noll. ""Efficacy of Praziquantel Treatment of Schistosomiasis in a Non-endemic Country: A Follow-up of Parasitological, Clinical and Immunolog"&amp;"ical Parameters."" Journal of Hygiene, Epidemiology, Microbiology, and Immunology 36.4 (1992): 346-55. Web. 22 Feb. 2015.")</f>
        <v>Giboda, M., J. Loudova, O. Shonova, E. Bouckova, J. Horacek, P. Numrich, A. Ruppel, J. Vitovec, S. Lukes, and P. Noll. "Efficacy of Praziquantel Treatment of Schistosomiasis in a Non-endemic Country: A Follow-up of Parasitological, Clinical and Immunological Parameters." Journal of Hygiene, Epidemiology, Microbiology, and Immunology 36.4 (1992): 346-55. Web. 22 Feb. 2015.</v>
      </c>
      <c r="T56" s="697"/>
      <c r="U56" s="697" t="str">
        <f>IFERROR(__xludf.DUMMYFUNCTION("""COMPUTED_VALUE"""),"")</f>
        <v/>
      </c>
      <c r="V56" s="697">
        <f>IFERROR(__xludf.DUMMYFUNCTION("""COMPUTED_VALUE"""),56.0)</f>
        <v>56</v>
      </c>
    </row>
    <row r="57">
      <c r="A57" s="697" t="str">
        <f>IFERROR(__xludf.DUMMYFUNCTION("""COMPUTED_VALUE"""),"Giboda MJ, 1992")</f>
        <v>Giboda MJ, 1992</v>
      </c>
      <c r="B57" s="697" t="str">
        <f>IFERROR(__xludf.DUMMYFUNCTION("""COMPUTED_VALUE"""),"s. haematobium")</f>
        <v>s. haematobium</v>
      </c>
      <c r="C57" s="697" t="str">
        <f>IFERROR(__xludf.DUMMYFUNCTION("""COMPUTED_VALUE"""),"Slovakia")</f>
        <v>Slovakia</v>
      </c>
      <c r="D57" s="697" t="str">
        <f>IFERROR(__xludf.DUMMYFUNCTION("""COMPUTED_VALUE"""),"Praziquantel")</f>
        <v>Praziquantel</v>
      </c>
      <c r="E57" s="697" t="str">
        <f>IFERROR(__xludf.DUMMYFUNCTION("""COMPUTED_VALUE"""),"Two")</f>
        <v>Two</v>
      </c>
      <c r="F57" s="697" t="str">
        <f>IFERROR(__xludf.DUMMYFUNCTION("""COMPUTED_VALUE"""),"20 mg/kg ")</f>
        <v>20 mg/kg </v>
      </c>
      <c r="G57" s="697">
        <f>IFERROR(__xludf.DUMMYFUNCTION("""COMPUTED_VALUE"""),13.0)</f>
        <v>13</v>
      </c>
      <c r="H57" s="697" t="str">
        <f>IFERROR(__xludf.DUMMYFUNCTION("""COMPUTED_VALUE"""),"18-23 years")</f>
        <v>18-23 years</v>
      </c>
      <c r="I57" s="705" t="str">
        <f>IFERROR(__xludf.DUMMYFUNCTION("""COMPUTED_VALUE"""),"all male ")</f>
        <v>all male </v>
      </c>
      <c r="J57" s="697">
        <f>IFERROR(__xludf.DUMMYFUNCTION("""COMPUTED_VALUE"""),1992.0)</f>
        <v>1992</v>
      </c>
      <c r="K57" s="697" t="str">
        <f>IFERROR(__xludf.DUMMYFUNCTION("""COMPUTED_VALUE"""),"18-23 yrs old Infected with S.mansoni or S. haematobium")</f>
        <v>18-23 yrs old Infected with S.mansoni or S. haematobium</v>
      </c>
      <c r="L57" s="697" t="str">
        <f>IFERROR(__xludf.DUMMYFUNCTION("""COMPUTED_VALUE"""),"Yes")</f>
        <v>Yes</v>
      </c>
      <c r="M57" s="697" t="str">
        <f>IFERROR(__xludf.DUMMYFUNCTION("""COMPUTED_VALUE"""),"Yes")</f>
        <v>Yes</v>
      </c>
      <c r="N57" s="697" t="str">
        <f>IFERROR(__xludf.DUMMYFUNCTION("""COMPUTED_VALUE"""),"Cure rate determined 1 year by absence of Schistosomia eggs from biopsies and excreta")</f>
        <v>Cure rate determined 1 year by absence of Schistosomia eggs from biopsies and excreta</v>
      </c>
      <c r="O57" s="700">
        <f>IFERROR(__xludf.DUMMYFUNCTION("""COMPUTED_VALUE"""),0.62)</f>
        <v>0.62</v>
      </c>
      <c r="P57" s="700">
        <f>IFERROR(__xludf.DUMMYFUNCTION("""COMPUTED_VALUE"""),0.26)</f>
        <v>0.26</v>
      </c>
      <c r="Q57" s="697" t="str">
        <f>IFERROR(__xludf.DUMMYFUNCTION("""COMPUTED_VALUE"""),"The efficacy for praziquental for lightly infected patients may not be clinically relevant which present major problems in the area of schistomiasis. ")</f>
        <v>The efficacy for praziquental for lightly infected patients may not be clinically relevant which present major problems in the area of schistomiasis. </v>
      </c>
      <c r="R57" s="697"/>
      <c r="S57" s="699" t="str">
        <f>IFERROR(__xludf.DUMMYFUNCTION("""COMPUTED_VALUE"""),"Giboda, M., J. Loudova, O. Shonova, E. Bouckova, J. Horacek, P. Numrich, A. Ruppel, J. Vitovec, S. Lukes, and P. Noll. ""Efficacy of Praziquantel Treatment of Schistosomiasis in a Non-endemic Country: A Follow-up of Parasitological, Clinical and Immunolog"&amp;"ical Parameters."" Journal of Hygiene, Epidemiology, Microbiology, and Immunology 36.4 (1992): 346-55. Web. 22 Feb. 2015.")</f>
        <v>Giboda, M., J. Loudova, O. Shonova, E. Bouckova, J. Horacek, P. Numrich, A. Ruppel, J. Vitovec, S. Lukes, and P. Noll. "Efficacy of Praziquantel Treatment of Schistosomiasis in a Non-endemic Country: A Follow-up of Parasitological, Clinical and Immunological Parameters." Journal of Hygiene, Epidemiology, Microbiology, and Immunology 36.4 (1992): 346-55. Web. 22 Feb. 2015.</v>
      </c>
      <c r="T57" s="697"/>
      <c r="U57" s="697" t="str">
        <f>IFERROR(__xludf.DUMMYFUNCTION("""COMPUTED_VALUE"""),"")</f>
        <v/>
      </c>
      <c r="V57" s="697">
        <f>IFERROR(__xludf.DUMMYFUNCTION("""COMPUTED_VALUE"""),57.0)</f>
        <v>57</v>
      </c>
    </row>
    <row r="58">
      <c r="A58" s="697" t="str">
        <f>IFERROR(__xludf.DUMMYFUNCTION("""COMPUTED_VALUE"""),"Giboda MJ, 1992")</f>
        <v>Giboda MJ, 1992</v>
      </c>
      <c r="B58" s="697" t="str">
        <f>IFERROR(__xludf.DUMMYFUNCTION("""COMPUTED_VALUE"""),"s. haematobium")</f>
        <v>s. haematobium</v>
      </c>
      <c r="C58" s="697" t="str">
        <f>IFERROR(__xludf.DUMMYFUNCTION("""COMPUTED_VALUE"""),"Czech Republic")</f>
        <v>Czech Republic</v>
      </c>
      <c r="D58" s="697" t="str">
        <f>IFERROR(__xludf.DUMMYFUNCTION("""COMPUTED_VALUE"""),"Praziquantel")</f>
        <v>Praziquantel</v>
      </c>
      <c r="E58" s="697" t="str">
        <f>IFERROR(__xludf.DUMMYFUNCTION("""COMPUTED_VALUE"""),"Two")</f>
        <v>Two</v>
      </c>
      <c r="F58" s="697" t="str">
        <f>IFERROR(__xludf.DUMMYFUNCTION("""COMPUTED_VALUE"""),"20 mg/kg ")</f>
        <v>20 mg/kg </v>
      </c>
      <c r="G58" s="697">
        <f>IFERROR(__xludf.DUMMYFUNCTION("""COMPUTED_VALUE"""),13.0)</f>
        <v>13</v>
      </c>
      <c r="H58" s="697" t="str">
        <f>IFERROR(__xludf.DUMMYFUNCTION("""COMPUTED_VALUE"""),"18-23 years")</f>
        <v>18-23 years</v>
      </c>
      <c r="I58" s="705" t="str">
        <f>IFERROR(__xludf.DUMMYFUNCTION("""COMPUTED_VALUE"""),"all male ")</f>
        <v>all male </v>
      </c>
      <c r="J58" s="697">
        <f>IFERROR(__xludf.DUMMYFUNCTION("""COMPUTED_VALUE"""),1992.0)</f>
        <v>1992</v>
      </c>
      <c r="K58" s="697" t="str">
        <f>IFERROR(__xludf.DUMMYFUNCTION("""COMPUTED_VALUE"""),"18-23 years old. Infected only with S.mansoni")</f>
        <v>18-23 years old. Infected only with S.mansoni</v>
      </c>
      <c r="L58" s="697" t="str">
        <f>IFERROR(__xludf.DUMMYFUNCTION("""COMPUTED_VALUE"""),"Yes")</f>
        <v>Yes</v>
      </c>
      <c r="M58" s="697" t="str">
        <f>IFERROR(__xludf.DUMMYFUNCTION("""COMPUTED_VALUE"""),"Yes")</f>
        <v>Yes</v>
      </c>
      <c r="N58" s="697" t="str">
        <f>IFERROR(__xludf.DUMMYFUNCTION("""COMPUTED_VALUE"""),"Cure rate determined 1 year by absence of Schistosomia eggs from biopsies and excreta")</f>
        <v>Cure rate determined 1 year by absence of Schistosomia eggs from biopsies and excreta</v>
      </c>
      <c r="O58" s="700">
        <f>IFERROR(__xludf.DUMMYFUNCTION("""COMPUTED_VALUE"""),0.69)</f>
        <v>0.69</v>
      </c>
      <c r="P58" s="700">
        <f>IFERROR(__xludf.DUMMYFUNCTION("""COMPUTED_VALUE"""),0.62)</f>
        <v>0.62</v>
      </c>
      <c r="Q58" s="697" t="str">
        <f>IFERROR(__xludf.DUMMYFUNCTION("""COMPUTED_VALUE"""),"The efficacy for praziquental for lightly infected patients may not be clinically relevant which present major problems in the area of schistomiasis. ")</f>
        <v>The efficacy for praziquental for lightly infected patients may not be clinically relevant which present major problems in the area of schistomiasis. </v>
      </c>
      <c r="R58" s="697"/>
      <c r="S58" s="699" t="str">
        <f>IFERROR(__xludf.DUMMYFUNCTION("""COMPUTED_VALUE"""),"Giboda, M., J. Loudova, O. Shonova, E. Bouckova, J. Horacek, P. Numrich, A. Ruppel, J. Vitovec, S. Lukes, and P. Noll. ""Efficacy of Praziquantel Treatment of Schistosomiasis in a Non-endemic Country: A Follow-up of Parasitological, Clinical and Immunolog"&amp;"ical Parameters."" Journal of Hygiene, Epidemiology, Microbiology, and Immunology 36.4 (1992): 346-55. Web. 22 Feb. 2015.")</f>
        <v>Giboda, M., J. Loudova, O. Shonova, E. Bouckova, J. Horacek, P. Numrich, A. Ruppel, J. Vitovec, S. Lukes, and P. Noll. "Efficacy of Praziquantel Treatment of Schistosomiasis in a Non-endemic Country: A Follow-up of Parasitological, Clinical and Immunological Parameters." Journal of Hygiene, Epidemiology, Microbiology, and Immunology 36.4 (1992): 346-55. Web. 22 Feb. 2015.</v>
      </c>
      <c r="T58" s="697"/>
      <c r="U58" s="697" t="str">
        <f>IFERROR(__xludf.DUMMYFUNCTION("""COMPUTED_VALUE"""),"")</f>
        <v/>
      </c>
      <c r="V58" s="697">
        <f>IFERROR(__xludf.DUMMYFUNCTION("""COMPUTED_VALUE"""),58.0)</f>
        <v>58</v>
      </c>
    </row>
    <row r="59">
      <c r="A59" s="697" t="str">
        <f>IFERROR(__xludf.DUMMYFUNCTION("""COMPUTED_VALUE"""),"Giboda MJ, 1992")</f>
        <v>Giboda MJ, 1992</v>
      </c>
      <c r="B59" s="697" t="str">
        <f>IFERROR(__xludf.DUMMYFUNCTION("""COMPUTED_VALUE"""),"s. haematobium")</f>
        <v>s. haematobium</v>
      </c>
      <c r="C59" s="697" t="str">
        <f>IFERROR(__xludf.DUMMYFUNCTION("""COMPUTED_VALUE"""),"Slovakia")</f>
        <v>Slovakia</v>
      </c>
      <c r="D59" s="697" t="str">
        <f>IFERROR(__xludf.DUMMYFUNCTION("""COMPUTED_VALUE"""),"Praziquantel")</f>
        <v>Praziquantel</v>
      </c>
      <c r="E59" s="697" t="str">
        <f>IFERROR(__xludf.DUMMYFUNCTION("""COMPUTED_VALUE"""),"Two")</f>
        <v>Two</v>
      </c>
      <c r="F59" s="697" t="str">
        <f>IFERROR(__xludf.DUMMYFUNCTION("""COMPUTED_VALUE"""),"20 mg/kg ")</f>
        <v>20 mg/kg </v>
      </c>
      <c r="G59" s="697">
        <f>IFERROR(__xludf.DUMMYFUNCTION("""COMPUTED_VALUE"""),13.0)</f>
        <v>13</v>
      </c>
      <c r="H59" s="697" t="str">
        <f>IFERROR(__xludf.DUMMYFUNCTION("""COMPUTED_VALUE"""),"18-23 years")</f>
        <v>18-23 years</v>
      </c>
      <c r="I59" s="705" t="str">
        <f>IFERROR(__xludf.DUMMYFUNCTION("""COMPUTED_VALUE"""),"all male ")</f>
        <v>all male </v>
      </c>
      <c r="J59" s="697">
        <f>IFERROR(__xludf.DUMMYFUNCTION("""COMPUTED_VALUE"""),1992.0)</f>
        <v>1992</v>
      </c>
      <c r="K59" s="697" t="str">
        <f>IFERROR(__xludf.DUMMYFUNCTION("""COMPUTED_VALUE"""),"18-23 years old. Infected only with S.mansoni")</f>
        <v>18-23 years old. Infected only with S.mansoni</v>
      </c>
      <c r="L59" s="697" t="str">
        <f>IFERROR(__xludf.DUMMYFUNCTION("""COMPUTED_VALUE"""),"Yes")</f>
        <v>Yes</v>
      </c>
      <c r="M59" s="697" t="str">
        <f>IFERROR(__xludf.DUMMYFUNCTION("""COMPUTED_VALUE"""),"Yes")</f>
        <v>Yes</v>
      </c>
      <c r="N59" s="697" t="str">
        <f>IFERROR(__xludf.DUMMYFUNCTION("""COMPUTED_VALUE"""),"Cure rate determined 1 year by absence of Schistosomia eggs from biopsies and excreta")</f>
        <v>Cure rate determined 1 year by absence of Schistosomia eggs from biopsies and excreta</v>
      </c>
      <c r="O59" s="700">
        <f>IFERROR(__xludf.DUMMYFUNCTION("""COMPUTED_VALUE"""),0.69)</f>
        <v>0.69</v>
      </c>
      <c r="P59" s="700">
        <f>IFERROR(__xludf.DUMMYFUNCTION("""COMPUTED_VALUE"""),0.62)</f>
        <v>0.62</v>
      </c>
      <c r="Q59" s="697" t="str">
        <f>IFERROR(__xludf.DUMMYFUNCTION("""COMPUTED_VALUE"""),"The efficacy for praziquental for lightly infected patients may not be clinically relevant which present major problems in the area of schistomiasis. ")</f>
        <v>The efficacy for praziquental for lightly infected patients may not be clinically relevant which present major problems in the area of schistomiasis. </v>
      </c>
      <c r="R59" s="697"/>
      <c r="S59" s="699" t="str">
        <f>IFERROR(__xludf.DUMMYFUNCTION("""COMPUTED_VALUE"""),"Giboda, M., J. Loudova, O. Shonova, E. Bouckova, J. Horacek, P. Numrich, A. Ruppel, J. Vitovec, S. Lukes, and P. Noll. ""Efficacy of Praziquantel Treatment of Schistosomiasis in a Non-endemic Country: A Follow-up of Parasitological, Clinical and Immunolog"&amp;"ical Parameters."" Journal of Hygiene, Epidemiology, Microbiology, and Immunology 36.4 (1992): 346-55. Web. 22 Feb. 2015.")</f>
        <v>Giboda, M., J. Loudova, O. Shonova, E. Bouckova, J. Horacek, P. Numrich, A. Ruppel, J. Vitovec, S. Lukes, and P. Noll. "Efficacy of Praziquantel Treatment of Schistosomiasis in a Non-endemic Country: A Follow-up of Parasitological, Clinical and Immunological Parameters." Journal of Hygiene, Epidemiology, Microbiology, and Immunology 36.4 (1992): 346-55. Web. 22 Feb. 2015.</v>
      </c>
      <c r="T59" s="697"/>
      <c r="U59" s="697" t="str">
        <f>IFERROR(__xludf.DUMMYFUNCTION("""COMPUTED_VALUE"""),"")</f>
        <v/>
      </c>
      <c r="V59" s="697">
        <f>IFERROR(__xludf.DUMMYFUNCTION("""COMPUTED_VALUE"""),59.0)</f>
        <v>59</v>
      </c>
    </row>
    <row r="60">
      <c r="A60" s="697" t="str">
        <f>IFERROR(__xludf.DUMMYFUNCTION("""COMPUTED_VALUE"""),"Gryseels B, 1989")</f>
        <v>Gryseels B, 1989</v>
      </c>
      <c r="B60" s="697" t="str">
        <f>IFERROR(__xludf.DUMMYFUNCTION("""COMPUTED_VALUE"""),"s. mansoni")</f>
        <v>s. mansoni</v>
      </c>
      <c r="C60" s="697" t="str">
        <f>IFERROR(__xludf.DUMMYFUNCTION("""COMPUTED_VALUE"""),"Burundi")</f>
        <v>Burundi</v>
      </c>
      <c r="D60" s="697" t="str">
        <f>IFERROR(__xludf.DUMMYFUNCTION("""COMPUTED_VALUE"""),"Oxamniquine")</f>
        <v>Oxamniquine</v>
      </c>
      <c r="E60" s="697" t="str">
        <f>IFERROR(__xludf.DUMMYFUNCTION("""COMPUTED_VALUE"""),"Single")</f>
        <v>Single</v>
      </c>
      <c r="F60" s="697" t="str">
        <f>IFERROR(__xludf.DUMMYFUNCTION("""COMPUTED_VALUE"""),"40 mg/kg ")</f>
        <v>40 mg/kg </v>
      </c>
      <c r="G60" s="697">
        <f>IFERROR(__xludf.DUMMYFUNCTION("""COMPUTED_VALUE"""),63.0)</f>
        <v>63</v>
      </c>
      <c r="H60" s="697" t="str">
        <f>IFERROR(__xludf.DUMMYFUNCTION("""COMPUTED_VALUE"""),"children (&lt;20) &amp; adults (&gt;20) ")</f>
        <v>children (&lt;20) &amp; adults (&gt;20) </v>
      </c>
      <c r="I60" s="705" t="str">
        <f>IFERROR(__xludf.DUMMYFUNCTION("""COMPUTED_VALUE"""),"data not available ")</f>
        <v>data not available </v>
      </c>
      <c r="J60" s="697">
        <f>IFERROR(__xludf.DUMMYFUNCTION("""COMPUTED_VALUE"""),1986.0)</f>
        <v>1986</v>
      </c>
      <c r="K60" s="697" t="str">
        <f>IFERROR(__xludf.DUMMYFUNCTION("""COMPUTED_VALUE"""),"63 children and 267 adults (Children only were included in the efficacy analysis)")</f>
        <v>63 children and 267 adults (Children only were included in the efficacy analysis)</v>
      </c>
      <c r="L60" s="697" t="str">
        <f>IFERROR(__xludf.DUMMYFUNCTION("""COMPUTED_VALUE"""),"Yes")</f>
        <v>Yes</v>
      </c>
      <c r="M60" s="697" t="str">
        <f>IFERROR(__xludf.DUMMYFUNCTION("""COMPUTED_VALUE"""),"Yes")</f>
        <v>Yes</v>
      </c>
      <c r="N60" s="697" t="str">
        <f>IFERROR(__xludf.DUMMYFUNCTION("""COMPUTED_VALUE"""),"6 weeks")</f>
        <v>6 weeks</v>
      </c>
      <c r="O60" s="700">
        <f>IFERROR(__xludf.DUMMYFUNCTION("""COMPUTED_VALUE"""),0.86)</f>
        <v>0.86</v>
      </c>
      <c r="P60" s="700">
        <f>IFERROR(__xludf.DUMMYFUNCTION("""COMPUTED_VALUE"""),0.98)</f>
        <v>0.98</v>
      </c>
      <c r="Q60" s="697" t="str">
        <f>IFERROR(__xludf.DUMMYFUNCTION("""COMPUTED_VALUE"""),"It is concluded that: (i) repeated population chemotherapy combined with sanitation is necessary to achieve lasting impact on infection rates; (ii) retreatment intervals should be adapted to age group and, possibly, local endemicity level; (iii) the morbi"&amp;"dity impact of population chemotherapy in these conditions was greater on intestinal than on hepatosplenic disease; (iv) lower, cheaper treatment schedules may in the long term be as effective as those with high cure rates.")</f>
        <v>It is concluded that: (i) repeated population chemotherapy combined with sanitation is necessary to achieve lasting impact on infection rates; (ii) retreatment intervals should be adapted to age group and, possibly, local endemicity level; (iii) the morbidity impact of population chemotherapy in these conditions was greater on intestinal than on hepatosplenic disease; (iv) lower, cheaper treatment schedules may in the long term be as effective as those with high cure rates.</v>
      </c>
      <c r="R60" s="697" t="str">
        <f>IFERROR(__xludf.DUMMYFUNCTION("""COMPUTED_VALUE"""),"exact age ranges not given ")</f>
        <v>exact age ranges not given </v>
      </c>
      <c r="S60" s="699" t="str">
        <f>IFERROR(__xludf.DUMMYFUNCTION("""COMPUTED_VALUE"""),"Gryseels B, Nkulikyinka L. Two-year follow-up of Schistosoma mansoni infection and morbidity after treatment with different regimens of oxamniquine and praziquantel. Transactions of the Royal Society of Tropical Medicine and Hygiene 1989;83(2):219–28.")</f>
        <v>Gryseels B, Nkulikyinka L. Two-year follow-up of Schistosoma mansoni infection and morbidity after treatment with different regimens of oxamniquine and praziquantel. Transactions of the Royal Society of Tropical Medicine and Hygiene 1989;83(2):219–28.</v>
      </c>
      <c r="T60" s="697"/>
      <c r="U60" s="697" t="str">
        <f>IFERROR(__xludf.DUMMYFUNCTION("""COMPUTED_VALUE"""),"")</f>
        <v/>
      </c>
      <c r="V60" s="697">
        <f>IFERROR(__xludf.DUMMYFUNCTION("""COMPUTED_VALUE"""),60.0)</f>
        <v>60</v>
      </c>
    </row>
    <row r="61">
      <c r="A61" s="697" t="str">
        <f>IFERROR(__xludf.DUMMYFUNCTION("""COMPUTED_VALUE"""),"Gryseels B, 1989")</f>
        <v>Gryseels B, 1989</v>
      </c>
      <c r="B61" s="697" t="str">
        <f>IFERROR(__xludf.DUMMYFUNCTION("""COMPUTED_VALUE"""),"s. mansoni")</f>
        <v>s. mansoni</v>
      </c>
      <c r="C61" s="697" t="str">
        <f>IFERROR(__xludf.DUMMYFUNCTION("""COMPUTED_VALUE"""),"Burundi")</f>
        <v>Burundi</v>
      </c>
      <c r="D61" s="697" t="str">
        <f>IFERROR(__xludf.DUMMYFUNCTION("""COMPUTED_VALUE"""),"Oxamniquine")</f>
        <v>Oxamniquine</v>
      </c>
      <c r="E61" s="697" t="str">
        <f>IFERROR(__xludf.DUMMYFUNCTION("""COMPUTED_VALUE"""),"Single")</f>
        <v>Single</v>
      </c>
      <c r="F61" s="697" t="str">
        <f>IFERROR(__xludf.DUMMYFUNCTION("""COMPUTED_VALUE"""),"30 mg/kg ")</f>
        <v>30 mg/kg </v>
      </c>
      <c r="G61" s="697">
        <f>IFERROR(__xludf.DUMMYFUNCTION("""COMPUTED_VALUE"""),63.0)</f>
        <v>63</v>
      </c>
      <c r="H61" s="697" t="str">
        <f>IFERROR(__xludf.DUMMYFUNCTION("""COMPUTED_VALUE"""),"children (&lt;20) &amp; adults (&gt;20) ")</f>
        <v>children (&lt;20) &amp; adults (&gt;20) </v>
      </c>
      <c r="I61" s="705" t="str">
        <f>IFERROR(__xludf.DUMMYFUNCTION("""COMPUTED_VALUE"""),"data not available ")</f>
        <v>data not available </v>
      </c>
      <c r="J61" s="697">
        <f>IFERROR(__xludf.DUMMYFUNCTION("""COMPUTED_VALUE"""),1986.0)</f>
        <v>1986</v>
      </c>
      <c r="K61" s="697" t="str">
        <f>IFERROR(__xludf.DUMMYFUNCTION("""COMPUTED_VALUE"""),"63 children and 267 adults (Children only were included in the efficacy analysis)")</f>
        <v>63 children and 267 adults (Children only were included in the efficacy analysis)</v>
      </c>
      <c r="L61" s="697" t="str">
        <f>IFERROR(__xludf.DUMMYFUNCTION("""COMPUTED_VALUE"""),"Yes")</f>
        <v>Yes</v>
      </c>
      <c r="M61" s="697" t="str">
        <f>IFERROR(__xludf.DUMMYFUNCTION("""COMPUTED_VALUE"""),"Yes")</f>
        <v>Yes</v>
      </c>
      <c r="N61" s="697" t="str">
        <f>IFERROR(__xludf.DUMMYFUNCTION("""COMPUTED_VALUE"""),"6 weeks")</f>
        <v>6 weeks</v>
      </c>
      <c r="O61" s="700">
        <f>IFERROR(__xludf.DUMMYFUNCTION("""COMPUTED_VALUE"""),0.67)</f>
        <v>0.67</v>
      </c>
      <c r="P61" s="700">
        <f>IFERROR(__xludf.DUMMYFUNCTION("""COMPUTED_VALUE"""),0.98)</f>
        <v>0.98</v>
      </c>
      <c r="Q61" s="697" t="str">
        <f>IFERROR(__xludf.DUMMYFUNCTION("""COMPUTED_VALUE"""),"It is concluded that: (i) repeated population chemotherapy combined with sanitation is necessary to achieve lasting impact on infection rates; (ii) retreatment intervals should be adapted to age group and, possibly, local endemicity level; (iii) the morbi"&amp;"dity impact of population chemotherapy in these conditions was greater on intestinal than on hepatosplenic disease; (iv) lower, cheaper treatment schedules may in the long term be as effective as those with high cure rates.")</f>
        <v>It is concluded that: (i) repeated population chemotherapy combined with sanitation is necessary to achieve lasting impact on infection rates; (ii) retreatment intervals should be adapted to age group and, possibly, local endemicity level; (iii) the morbidity impact of population chemotherapy in these conditions was greater on intestinal than on hepatosplenic disease; (iv) lower, cheaper treatment schedules may in the long term be as effective as those with high cure rates.</v>
      </c>
      <c r="R61" s="697" t="str">
        <f>IFERROR(__xludf.DUMMYFUNCTION("""COMPUTED_VALUE"""),"exact age ranges not given ")</f>
        <v>exact age ranges not given </v>
      </c>
      <c r="S61" s="699" t="str">
        <f>IFERROR(__xludf.DUMMYFUNCTION("""COMPUTED_VALUE"""),"Gryseels B, Nkulikyinka L. Two-year follow-up of Schistosoma mansoni infection and morbidity after treatment with different regimens of oxamniquine and praziquantel. Transactions of the Royal Society of Tropical Medicine and Hygiene 1989;83(2):219–28.")</f>
        <v>Gryseels B, Nkulikyinka L. Two-year follow-up of Schistosoma mansoni infection and morbidity after treatment with different regimens of oxamniquine and praziquantel. Transactions of the Royal Society of Tropical Medicine and Hygiene 1989;83(2):219–28.</v>
      </c>
      <c r="T61" s="697"/>
      <c r="U61" s="697" t="str">
        <f>IFERROR(__xludf.DUMMYFUNCTION("""COMPUTED_VALUE"""),"")</f>
        <v/>
      </c>
      <c r="V61" s="697">
        <f>IFERROR(__xludf.DUMMYFUNCTION("""COMPUTED_VALUE"""),61.0)</f>
        <v>61</v>
      </c>
    </row>
    <row r="62">
      <c r="A62" s="697" t="str">
        <f>IFERROR(__xludf.DUMMYFUNCTION("""COMPUTED_VALUE"""),"Gryseels B, 1989")</f>
        <v>Gryseels B, 1989</v>
      </c>
      <c r="B62" s="697" t="str">
        <f>IFERROR(__xludf.DUMMYFUNCTION("""COMPUTED_VALUE"""),"s. mansoni")</f>
        <v>s. mansoni</v>
      </c>
      <c r="C62" s="697" t="str">
        <f>IFERROR(__xludf.DUMMYFUNCTION("""COMPUTED_VALUE"""),"Burundi")</f>
        <v>Burundi</v>
      </c>
      <c r="D62" s="697" t="str">
        <f>IFERROR(__xludf.DUMMYFUNCTION("""COMPUTED_VALUE"""),"Oxamniquine")</f>
        <v>Oxamniquine</v>
      </c>
      <c r="E62" s="697" t="str">
        <f>IFERROR(__xludf.DUMMYFUNCTION("""COMPUTED_VALUE"""),"Single")</f>
        <v>Single</v>
      </c>
      <c r="F62" s="697" t="str">
        <f>IFERROR(__xludf.DUMMYFUNCTION("""COMPUTED_VALUE"""),"20 mg/kg ")</f>
        <v>20 mg/kg </v>
      </c>
      <c r="G62" s="697">
        <f>IFERROR(__xludf.DUMMYFUNCTION("""COMPUTED_VALUE"""),63.0)</f>
        <v>63</v>
      </c>
      <c r="H62" s="697" t="str">
        <f>IFERROR(__xludf.DUMMYFUNCTION("""COMPUTED_VALUE"""),"children (&lt;20) &amp; adults (&gt;20) ")</f>
        <v>children (&lt;20) &amp; adults (&gt;20) </v>
      </c>
      <c r="I62" s="705" t="str">
        <f>IFERROR(__xludf.DUMMYFUNCTION("""COMPUTED_VALUE"""),"data not available ")</f>
        <v>data not available </v>
      </c>
      <c r="J62" s="697">
        <f>IFERROR(__xludf.DUMMYFUNCTION("""COMPUTED_VALUE"""),1986.0)</f>
        <v>1986</v>
      </c>
      <c r="K62" s="697" t="str">
        <f>IFERROR(__xludf.DUMMYFUNCTION("""COMPUTED_VALUE"""),"63 children and 267 adults (Children only were included in the efficacy analysis)")</f>
        <v>63 children and 267 adults (Children only were included in the efficacy analysis)</v>
      </c>
      <c r="L62" s="697" t="str">
        <f>IFERROR(__xludf.DUMMYFUNCTION("""COMPUTED_VALUE"""),"Yes")</f>
        <v>Yes</v>
      </c>
      <c r="M62" s="697" t="str">
        <f>IFERROR(__xludf.DUMMYFUNCTION("""COMPUTED_VALUE"""),"Yes")</f>
        <v>Yes</v>
      </c>
      <c r="N62" s="697" t="str">
        <f>IFERROR(__xludf.DUMMYFUNCTION("""COMPUTED_VALUE"""),"6 weeks")</f>
        <v>6 weeks</v>
      </c>
      <c r="O62" s="700">
        <f>IFERROR(__xludf.DUMMYFUNCTION("""COMPUTED_VALUE"""),0.47)</f>
        <v>0.47</v>
      </c>
      <c r="P62" s="700">
        <f>IFERROR(__xludf.DUMMYFUNCTION("""COMPUTED_VALUE"""),0.98)</f>
        <v>0.98</v>
      </c>
      <c r="Q62" s="697" t="str">
        <f>IFERROR(__xludf.DUMMYFUNCTION("""COMPUTED_VALUE"""),"It is concluded that: (i) repeated population chemotherapy combined with sanitation is necessary to achieve lasting impact on infection rates; (ii) retreatment intervals should be adapted to age group and, possibly, local endemicity level; (iii) the morbi"&amp;"dity impact of population chemotherapy in these conditions was greater on intestinal than on hepatosplenic disease; (iv) lower, cheaper treatment schedules may in the long term be as effective as those with high cure rates.")</f>
        <v>It is concluded that: (i) repeated population chemotherapy combined with sanitation is necessary to achieve lasting impact on infection rates; (ii) retreatment intervals should be adapted to age group and, possibly, local endemicity level; (iii) the morbidity impact of population chemotherapy in these conditions was greater on intestinal than on hepatosplenic disease; (iv) lower, cheaper treatment schedules may in the long term be as effective as those with high cure rates.</v>
      </c>
      <c r="R62" s="697" t="str">
        <f>IFERROR(__xludf.DUMMYFUNCTION("""COMPUTED_VALUE"""),"exact age ranges not given ")</f>
        <v>exact age ranges not given </v>
      </c>
      <c r="S62" s="699" t="str">
        <f>IFERROR(__xludf.DUMMYFUNCTION("""COMPUTED_VALUE"""),"Gryseels B, Nkulikyinka L. Two-year follow-up of Schistosoma mansoni infection and morbidity after treatment with different regimens of oxamniquine and praziquantel. Transactions of the Royal Society of Tropical Medicine and Hygiene 1989;83(2):219–28.")</f>
        <v>Gryseels B, Nkulikyinka L. Two-year follow-up of Schistosoma mansoni infection and morbidity after treatment with different regimens of oxamniquine and praziquantel. Transactions of the Royal Society of Tropical Medicine and Hygiene 1989;83(2):219–28.</v>
      </c>
      <c r="T62" s="697"/>
      <c r="U62" s="697" t="str">
        <f>IFERROR(__xludf.DUMMYFUNCTION("""COMPUTED_VALUE"""),"")</f>
        <v/>
      </c>
      <c r="V62" s="697">
        <f>IFERROR(__xludf.DUMMYFUNCTION("""COMPUTED_VALUE"""),62.0)</f>
        <v>62</v>
      </c>
    </row>
    <row r="63">
      <c r="A63" s="697" t="str">
        <f>IFERROR(__xludf.DUMMYFUNCTION("""COMPUTED_VALUE"""),"Gryseels B, 1989")</f>
        <v>Gryseels B, 1989</v>
      </c>
      <c r="B63" s="697" t="str">
        <f>IFERROR(__xludf.DUMMYFUNCTION("""COMPUTED_VALUE"""),"s. mansoni")</f>
        <v>s. mansoni</v>
      </c>
      <c r="C63" s="697" t="str">
        <f>IFERROR(__xludf.DUMMYFUNCTION("""COMPUTED_VALUE"""),"Burundi")</f>
        <v>Burundi</v>
      </c>
      <c r="D63" s="697" t="str">
        <f>IFERROR(__xludf.DUMMYFUNCTION("""COMPUTED_VALUE"""),"Praziquantel")</f>
        <v>Praziquantel</v>
      </c>
      <c r="E63" s="697" t="str">
        <f>IFERROR(__xludf.DUMMYFUNCTION("""COMPUTED_VALUE"""),"Single")</f>
        <v>Single</v>
      </c>
      <c r="F63" s="697" t="str">
        <f>IFERROR(__xludf.DUMMYFUNCTION("""COMPUTED_VALUE"""),"Yes")</f>
        <v>Yes</v>
      </c>
      <c r="G63" s="697">
        <f>IFERROR(__xludf.DUMMYFUNCTION("""COMPUTED_VALUE"""),299.0)</f>
        <v>299</v>
      </c>
      <c r="H63" s="697" t="str">
        <f>IFERROR(__xludf.DUMMYFUNCTION("""COMPUTED_VALUE"""),"children (&lt;20) &amp; adults (&gt;20) ")</f>
        <v>children (&lt;20) &amp; adults (&gt;20) </v>
      </c>
      <c r="I63" s="705" t="str">
        <f>IFERROR(__xludf.DUMMYFUNCTION("""COMPUTED_VALUE"""),"data not available ")</f>
        <v>data not available </v>
      </c>
      <c r="J63" s="697">
        <f>IFERROR(__xludf.DUMMYFUNCTION("""COMPUTED_VALUE"""),1986.0)</f>
        <v>1986</v>
      </c>
      <c r="K63" s="697" t="str">
        <f>IFERROR(__xludf.DUMMYFUNCTION("""COMPUTED_VALUE"""),"299 children and 153 adults (Children only were included in the efficacy analysis)")</f>
        <v>299 children and 153 adults (Children only were included in the efficacy analysis)</v>
      </c>
      <c r="L63" s="697"/>
      <c r="M63" s="697" t="str">
        <f>IFERROR(__xludf.DUMMYFUNCTION("""COMPUTED_VALUE"""),"Yes")</f>
        <v>Yes</v>
      </c>
      <c r="N63" s="697" t="str">
        <f>IFERROR(__xludf.DUMMYFUNCTION("""COMPUTED_VALUE"""),"6 weeks")</f>
        <v>6 weeks</v>
      </c>
      <c r="O63" s="700">
        <f>IFERROR(__xludf.DUMMYFUNCTION("""COMPUTED_VALUE"""),0.78)</f>
        <v>0.78</v>
      </c>
      <c r="P63" s="700">
        <f>IFERROR(__xludf.DUMMYFUNCTION("""COMPUTED_VALUE"""),0.98)</f>
        <v>0.98</v>
      </c>
      <c r="Q63" s="697" t="str">
        <f>IFERROR(__xludf.DUMMYFUNCTION("""COMPUTED_VALUE"""),"It is concluded that: (i) repeated population chemotherapy combined with sanitation is necessary to achieve lasting impact on infection rates; (ii) retreatment intervals should be adapted to age group and, possibly, local endemicity level; (iii) the morbi"&amp;"dity impact of population chemotherapy in these conditions was greater on intestinal than on hepatosplenic disease; (iv) lower, cheaper treatment schedules may in the long term be as effective as those with high cure rates.")</f>
        <v>It is concluded that: (i) repeated population chemotherapy combined with sanitation is necessary to achieve lasting impact on infection rates; (ii) retreatment intervals should be adapted to age group and, possibly, local endemicity level; (iii) the morbidity impact of population chemotherapy in these conditions was greater on intestinal than on hepatosplenic disease; (iv) lower, cheaper treatment schedules may in the long term be as effective as those with high cure rates.</v>
      </c>
      <c r="R63" s="697" t="str">
        <f>IFERROR(__xludf.DUMMYFUNCTION("""COMPUTED_VALUE"""),"exact age ranges not given ")</f>
        <v>exact age ranges not given </v>
      </c>
      <c r="S63" s="699" t="str">
        <f>IFERROR(__xludf.DUMMYFUNCTION("""COMPUTED_VALUE"""),"Gryseels B, Nkulikyinka L. Two-year follow-up of Schistosoma mansoni infection and morbidity after treatment with different regimens of oxamniquine and praziquantel. Transactions of the Royal Society of Tropical Medicine and Hygiene 1989;83(2):219–28.")</f>
        <v>Gryseels B, Nkulikyinka L. Two-year follow-up of Schistosoma mansoni infection and morbidity after treatment with different regimens of oxamniquine and praziquantel. Transactions of the Royal Society of Tropical Medicine and Hygiene 1989;83(2):219–28.</v>
      </c>
      <c r="T63" s="697"/>
      <c r="U63" s="697" t="str">
        <f>IFERROR(__xludf.DUMMYFUNCTION("""COMPUTED_VALUE"""),"")</f>
        <v/>
      </c>
      <c r="V63" s="697">
        <f>IFERROR(__xludf.DUMMYFUNCTION("""COMPUTED_VALUE"""),63.0)</f>
        <v>63</v>
      </c>
    </row>
    <row r="64">
      <c r="A64" s="697" t="str">
        <f>IFERROR(__xludf.DUMMYFUNCTION("""COMPUTED_VALUE"""),"Gryseels B, 1989")</f>
        <v>Gryseels B, 1989</v>
      </c>
      <c r="B64" s="697" t="str">
        <f>IFERROR(__xludf.DUMMYFUNCTION("""COMPUTED_VALUE"""),"s. mansoni")</f>
        <v>s. mansoni</v>
      </c>
      <c r="C64" s="697" t="str">
        <f>IFERROR(__xludf.DUMMYFUNCTION("""COMPUTED_VALUE"""),"Burundi")</f>
        <v>Burundi</v>
      </c>
      <c r="D64" s="697" t="str">
        <f>IFERROR(__xludf.DUMMYFUNCTION("""COMPUTED_VALUE"""),"Praziquantel")</f>
        <v>Praziquantel</v>
      </c>
      <c r="E64" s="697" t="str">
        <f>IFERROR(__xludf.DUMMYFUNCTION("""COMPUTED_VALUE"""),"Single")</f>
        <v>Single</v>
      </c>
      <c r="F64" s="697" t="str">
        <f>IFERROR(__xludf.DUMMYFUNCTION("""COMPUTED_VALUE"""),"30 mg/kg ")</f>
        <v>30 mg/kg </v>
      </c>
      <c r="G64" s="697">
        <f>IFERROR(__xludf.DUMMYFUNCTION("""COMPUTED_VALUE"""),299.0)</f>
        <v>299</v>
      </c>
      <c r="H64" s="697" t="str">
        <f>IFERROR(__xludf.DUMMYFUNCTION("""COMPUTED_VALUE"""),"children (&lt;20) &amp; adults (&gt;20) ")</f>
        <v>children (&lt;20) &amp; adults (&gt;20) </v>
      </c>
      <c r="I64" s="705" t="str">
        <f>IFERROR(__xludf.DUMMYFUNCTION("""COMPUTED_VALUE"""),"data not available ")</f>
        <v>data not available </v>
      </c>
      <c r="J64" s="697">
        <f>IFERROR(__xludf.DUMMYFUNCTION("""COMPUTED_VALUE"""),1986.0)</f>
        <v>1986</v>
      </c>
      <c r="K64" s="697" t="str">
        <f>IFERROR(__xludf.DUMMYFUNCTION("""COMPUTED_VALUE"""),"299 children and 153 adults (Children only were included in the efficacy analysis)")</f>
        <v>299 children and 153 adults (Children only were included in the efficacy analysis)</v>
      </c>
      <c r="L64" s="697" t="str">
        <f>IFERROR(__xludf.DUMMYFUNCTION("""COMPUTED_VALUE"""),"Yes")</f>
        <v>Yes</v>
      </c>
      <c r="M64" s="697" t="str">
        <f>IFERROR(__xludf.DUMMYFUNCTION("""COMPUTED_VALUE"""),"Yes")</f>
        <v>Yes</v>
      </c>
      <c r="N64" s="697" t="str">
        <f>IFERROR(__xludf.DUMMYFUNCTION("""COMPUTED_VALUE"""),"6 weeks")</f>
        <v>6 weeks</v>
      </c>
      <c r="O64" s="700">
        <f>IFERROR(__xludf.DUMMYFUNCTION("""COMPUTED_VALUE"""),0.63)</f>
        <v>0.63</v>
      </c>
      <c r="P64" s="700">
        <f>IFERROR(__xludf.DUMMYFUNCTION("""COMPUTED_VALUE"""),0.96)</f>
        <v>0.96</v>
      </c>
      <c r="Q64" s="697" t="str">
        <f>IFERROR(__xludf.DUMMYFUNCTION("""COMPUTED_VALUE"""),"It is concluded that: (i) repeated population chemotherapy combined with sanitation is necessary to achieve lasting impact on infection rates; (ii) retreatment intervals should be adapted to age group and, possibly, local endemicity level; (iii) the morbi"&amp;"dity impact of population chemotherapy in these conditions was greater on intestinal than on hepatosplenic disease; (iv) lower, cheaper treatment schedules may in the long term be as effective as those with high cure rates.")</f>
        <v>It is concluded that: (i) repeated population chemotherapy combined with sanitation is necessary to achieve lasting impact on infection rates; (ii) retreatment intervals should be adapted to age group and, possibly, local endemicity level; (iii) the morbidity impact of population chemotherapy in these conditions was greater on intestinal than on hepatosplenic disease; (iv) lower, cheaper treatment schedules may in the long term be as effective as those with high cure rates.</v>
      </c>
      <c r="R64" s="697" t="str">
        <f>IFERROR(__xludf.DUMMYFUNCTION("""COMPUTED_VALUE"""),"exact age ranges not given ")</f>
        <v>exact age ranges not given </v>
      </c>
      <c r="S64" s="699" t="str">
        <f>IFERROR(__xludf.DUMMYFUNCTION("""COMPUTED_VALUE"""),"Gryseels B, Nkulikyinka L. Two-year follow-up of Schistosoma mansoni infection and morbidity after treatment with different regimens of oxamniquine and praziquantel. Transactions of the Royal Society of Tropical Medicine and Hygiene 1989;83(2):219–28.")</f>
        <v>Gryseels B, Nkulikyinka L. Two-year follow-up of Schistosoma mansoni infection and morbidity after treatment with different regimens of oxamniquine and praziquantel. Transactions of the Royal Society of Tropical Medicine and Hygiene 1989;83(2):219–28.</v>
      </c>
      <c r="T64" s="697"/>
      <c r="U64" s="697" t="str">
        <f>IFERROR(__xludf.DUMMYFUNCTION("""COMPUTED_VALUE"""),"")</f>
        <v/>
      </c>
      <c r="V64" s="697">
        <f>IFERROR(__xludf.DUMMYFUNCTION("""COMPUTED_VALUE"""),64.0)</f>
        <v>64</v>
      </c>
    </row>
    <row r="65">
      <c r="A65" s="697" t="str">
        <f>IFERROR(__xludf.DUMMYFUNCTION("""COMPUTED_VALUE"""),"Gryseels B, 1989")</f>
        <v>Gryseels B, 1989</v>
      </c>
      <c r="B65" s="697" t="str">
        <f>IFERROR(__xludf.DUMMYFUNCTION("""COMPUTED_VALUE"""),"s. mansoni")</f>
        <v>s. mansoni</v>
      </c>
      <c r="C65" s="697" t="str">
        <f>IFERROR(__xludf.DUMMYFUNCTION("""COMPUTED_VALUE"""),"Burundi")</f>
        <v>Burundi</v>
      </c>
      <c r="D65" s="697" t="str">
        <f>IFERROR(__xludf.DUMMYFUNCTION("""COMPUTED_VALUE"""),"Praziquantel")</f>
        <v>Praziquantel</v>
      </c>
      <c r="E65" s="697" t="str">
        <f>IFERROR(__xludf.DUMMYFUNCTION("""COMPUTED_VALUE"""),"Single")</f>
        <v>Single</v>
      </c>
      <c r="F65" s="697" t="str">
        <f>IFERROR(__xludf.DUMMYFUNCTION("""COMPUTED_VALUE"""),"20 mg/kg ")</f>
        <v>20 mg/kg </v>
      </c>
      <c r="G65" s="697">
        <f>IFERROR(__xludf.DUMMYFUNCTION("""COMPUTED_VALUE"""),299.0)</f>
        <v>299</v>
      </c>
      <c r="H65" s="697" t="str">
        <f>IFERROR(__xludf.DUMMYFUNCTION("""COMPUTED_VALUE"""),"children (&lt;20) &amp; adults (&gt;20) ")</f>
        <v>children (&lt;20) &amp; adults (&gt;20) </v>
      </c>
      <c r="I65" s="705" t="str">
        <f>IFERROR(__xludf.DUMMYFUNCTION("""COMPUTED_VALUE"""),"data not available ")</f>
        <v>data not available </v>
      </c>
      <c r="J65" s="697">
        <f>IFERROR(__xludf.DUMMYFUNCTION("""COMPUTED_VALUE"""),1986.0)</f>
        <v>1986</v>
      </c>
      <c r="K65" s="697" t="str">
        <f>IFERROR(__xludf.DUMMYFUNCTION("""COMPUTED_VALUE"""),"299 children and 153 adults (Children only were included in the efficacy analysis)")</f>
        <v>299 children and 153 adults (Children only were included in the efficacy analysis)</v>
      </c>
      <c r="L65" s="697" t="str">
        <f>IFERROR(__xludf.DUMMYFUNCTION("""COMPUTED_VALUE"""),"Yes")</f>
        <v>Yes</v>
      </c>
      <c r="M65" s="697" t="str">
        <f>IFERROR(__xludf.DUMMYFUNCTION("""COMPUTED_VALUE"""),"Yes")</f>
        <v>Yes</v>
      </c>
      <c r="N65" s="697" t="str">
        <f>IFERROR(__xludf.DUMMYFUNCTION("""COMPUTED_VALUE"""),"6 weeks")</f>
        <v>6 weeks</v>
      </c>
      <c r="O65" s="700">
        <f>IFERROR(__xludf.DUMMYFUNCTION("""COMPUTED_VALUE"""),0.58)</f>
        <v>0.58</v>
      </c>
      <c r="P65" s="700">
        <f>IFERROR(__xludf.DUMMYFUNCTION("""COMPUTED_VALUE"""),0.92)</f>
        <v>0.92</v>
      </c>
      <c r="Q65" s="697" t="str">
        <f>IFERROR(__xludf.DUMMYFUNCTION("""COMPUTED_VALUE"""),"It is concluded that: (i) repeated population chemotherapy combined with sanitation is necessary to achieve lasting impact on infection rates; (ii) retreatment intervals should be adapted to age group and, possibly, local endemicity level; (iii) the morbi"&amp;"dity impact of population chemotherapy in these conditions was greater on intestinal than on hepatosplenic disease; (iv) lower, cheaper treatment schedules may in the long term be as effective as those with high cure rates.")</f>
        <v>It is concluded that: (i) repeated population chemotherapy combined with sanitation is necessary to achieve lasting impact on infection rates; (ii) retreatment intervals should be adapted to age group and, possibly, local endemicity level; (iii) the morbidity impact of population chemotherapy in these conditions was greater on intestinal than on hepatosplenic disease; (iv) lower, cheaper treatment schedules may in the long term be as effective as those with high cure rates.</v>
      </c>
      <c r="R65" s="697" t="str">
        <f>IFERROR(__xludf.DUMMYFUNCTION("""COMPUTED_VALUE"""),"exact age ranges not given ")</f>
        <v>exact age ranges not given </v>
      </c>
      <c r="S65" s="699" t="str">
        <f>IFERROR(__xludf.DUMMYFUNCTION("""COMPUTED_VALUE"""),"Gryseels B, Nkulikyinka L. Two-year follow-up of Schistosoma mansoni infection and morbidity after treatment with different regimens of oxamniquine and praziquantel. Transactions of the Royal Society of Tropical Medicine and Hygiene 1989;83(2):219–28.")</f>
        <v>Gryseels B, Nkulikyinka L. Two-year follow-up of Schistosoma mansoni infection and morbidity after treatment with different regimens of oxamniquine and praziquantel. Transactions of the Royal Society of Tropical Medicine and Hygiene 1989;83(2):219–28.</v>
      </c>
      <c r="T65" s="697"/>
      <c r="U65" s="697" t="str">
        <f>IFERROR(__xludf.DUMMYFUNCTION("""COMPUTED_VALUE"""),"")</f>
        <v/>
      </c>
      <c r="V65" s="697">
        <f>IFERROR(__xludf.DUMMYFUNCTION("""COMPUTED_VALUE"""),65.0)</f>
        <v>65</v>
      </c>
    </row>
    <row r="66">
      <c r="A66" s="697" t="str">
        <f>IFERROR(__xludf.DUMMYFUNCTION("""COMPUTED_VALUE"""),"Guisse F, 1997")</f>
        <v>Guisse F, 1997</v>
      </c>
      <c r="B66" s="697" t="str">
        <f>IFERROR(__xludf.DUMMYFUNCTION("""COMPUTED_VALUE"""),"s. mansoni")</f>
        <v>s. mansoni</v>
      </c>
      <c r="C66" s="697" t="str">
        <f>IFERROR(__xludf.DUMMYFUNCTION("""COMPUTED_VALUE"""),"Senegal")</f>
        <v>Senegal</v>
      </c>
      <c r="D66" s="697" t="str">
        <f>IFERROR(__xludf.DUMMYFUNCTION("""COMPUTED_VALUE"""),"Praziquantel")</f>
        <v>Praziquantel</v>
      </c>
      <c r="E66" s="697" t="str">
        <f>IFERROR(__xludf.DUMMYFUNCTION("""COMPUTED_VALUE"""),"Single")</f>
        <v>Single</v>
      </c>
      <c r="F66" s="697" t="str">
        <f>IFERROR(__xludf.DUMMYFUNCTION("""COMPUTED_VALUE"""),"40 mg/kg")</f>
        <v>40 mg/kg</v>
      </c>
      <c r="G66" s="697">
        <f>IFERROR(__xludf.DUMMYFUNCTION("""COMPUTED_VALUE"""),67.0)</f>
        <v>67</v>
      </c>
      <c r="H66" s="697" t="str">
        <f>IFERROR(__xludf.DUMMYFUNCTION("""COMPUTED_VALUE"""),"5 - 15")</f>
        <v>5 - 15</v>
      </c>
      <c r="I66" s="705" t="str">
        <f>IFERROR(__xludf.DUMMYFUNCTION("""COMPUTED_VALUE"""),"37:30")</f>
        <v>37:30</v>
      </c>
      <c r="J66" s="697">
        <f>IFERROR(__xludf.DUMMYFUNCTION("""COMPUTED_VALUE"""),1997.0)</f>
        <v>1997</v>
      </c>
      <c r="K66" s="697" t="str">
        <f>IFERROR(__xludf.DUMMYFUNCTION("""COMPUTED_VALUE"""),"children infected with S. mansoni")</f>
        <v>children infected with S. mansoni</v>
      </c>
      <c r="L66" s="697" t="str">
        <f>IFERROR(__xludf.DUMMYFUNCTION("""COMPUTED_VALUE"""),"Yes")</f>
        <v>Yes</v>
      </c>
      <c r="M66" s="697" t="str">
        <f>IFERROR(__xludf.DUMMYFUNCTION("""COMPUTED_VALUE"""),"Yes")</f>
        <v>Yes</v>
      </c>
      <c r="N66" s="697" t="str">
        <f>IFERROR(__xludf.DUMMYFUNCTION("""COMPUTED_VALUE"""),"Antigen detection confirmed the parasitologic results 6 weeks after treatment")</f>
        <v>Antigen detection confirmed the parasitologic results 6 weeks after treatment</v>
      </c>
      <c r="O66" s="700">
        <f>IFERROR(__xludf.DUMMYFUNCTION("""COMPUTED_VALUE"""),0.36)</f>
        <v>0.36</v>
      </c>
      <c r="P66" s="700">
        <f>IFERROR(__xludf.DUMMYFUNCTION("""COMPUTED_VALUE"""),0.99)</f>
        <v>0.99</v>
      </c>
      <c r="Q66" s="697" t="str">
        <f>IFERROR(__xludf.DUMMYFUNCTION("""COMPUTED_VALUE"""),"Side effects are more comparable with those of 30 kg/mg and not those of 60 mg/kg. No serious or long complications are observed. ")</f>
        <v>Side effects are more comparable with those of 30 kg/mg and not those of 60 mg/kg. No serious or long complications are observed. </v>
      </c>
      <c r="R66" s="697"/>
      <c r="S66" s="699" t="str">
        <f>IFERROR(__xludf.DUMMYFUNCTION("""COMPUTED_VALUE"""),"Guisse F, Polman K, Stelma FF, Mbaye A, Talla I, Niang M, et al.Therapeutic evaluation of two different dose regimens of praziquantel in a recent Schistosoma mansoni focus in Northern Senegal. American Journal of Tropical Medicine and Hygiene 1997;56(5):5"&amp;"11–4.")</f>
        <v>Guisse F, Polman K, Stelma FF, Mbaye A, Talla I, Niang M, et al.Therapeutic evaluation of two different dose regimens of praziquantel in a recent Schistosoma mansoni focus in Northern Senegal. American Journal of Tropical Medicine and Hygiene 1997;56(5):511–4.</v>
      </c>
      <c r="T66" s="697"/>
      <c r="U66" s="697" t="str">
        <f>IFERROR(__xludf.DUMMYFUNCTION("""COMPUTED_VALUE"""),"")</f>
        <v/>
      </c>
      <c r="V66" s="697">
        <f>IFERROR(__xludf.DUMMYFUNCTION("""COMPUTED_VALUE"""),66.0)</f>
        <v>66</v>
      </c>
    </row>
    <row r="67">
      <c r="A67" s="697" t="str">
        <f>IFERROR(__xludf.DUMMYFUNCTION("""COMPUTED_VALUE"""),"Guisse F, 1997")</f>
        <v>Guisse F, 1997</v>
      </c>
      <c r="B67" s="697" t="str">
        <f>IFERROR(__xludf.DUMMYFUNCTION("""COMPUTED_VALUE"""),"s. mansoni")</f>
        <v>s. mansoni</v>
      </c>
      <c r="C67" s="697" t="str">
        <f>IFERROR(__xludf.DUMMYFUNCTION("""COMPUTED_VALUE"""),"Senegal")</f>
        <v>Senegal</v>
      </c>
      <c r="D67" s="697" t="str">
        <f>IFERROR(__xludf.DUMMYFUNCTION("""COMPUTED_VALUE"""),"Praziquantel")</f>
        <v>Praziquantel</v>
      </c>
      <c r="E67" s="697" t="str">
        <f>IFERROR(__xludf.DUMMYFUNCTION("""COMPUTED_VALUE"""),"Two")</f>
        <v>Two</v>
      </c>
      <c r="F67" s="697" t="str">
        <f>IFERROR(__xludf.DUMMYFUNCTION("""COMPUTED_VALUE"""),"30 mg/kg")</f>
        <v>30 mg/kg</v>
      </c>
      <c r="G67" s="697">
        <f>IFERROR(__xludf.DUMMYFUNCTION("""COMPUTED_VALUE"""),63.0)</f>
        <v>63</v>
      </c>
      <c r="H67" s="697" t="str">
        <f>IFERROR(__xludf.DUMMYFUNCTION("""COMPUTED_VALUE"""),"5 - 15 ")</f>
        <v>5 - 15 </v>
      </c>
      <c r="I67" s="705" t="str">
        <f>IFERROR(__xludf.DUMMYFUNCTION("""COMPUTED_VALUE"""),"30:33")</f>
        <v>30:33</v>
      </c>
      <c r="J67" s="697">
        <f>IFERROR(__xludf.DUMMYFUNCTION("""COMPUTED_VALUE"""),1997.0)</f>
        <v>1997</v>
      </c>
      <c r="K67" s="697" t="str">
        <f>IFERROR(__xludf.DUMMYFUNCTION("""COMPUTED_VALUE"""),"children infected with S. mansoni")</f>
        <v>children infected with S. mansoni</v>
      </c>
      <c r="L67" s="697" t="str">
        <f>IFERROR(__xludf.DUMMYFUNCTION("""COMPUTED_VALUE"""),"Yes")</f>
        <v>Yes</v>
      </c>
      <c r="M67" s="697" t="str">
        <f>IFERROR(__xludf.DUMMYFUNCTION("""COMPUTED_VALUE"""),"Yes")</f>
        <v>Yes</v>
      </c>
      <c r="N67" s="697" t="str">
        <f>IFERROR(__xludf.DUMMYFUNCTION("""COMPUTED_VALUE"""),"Antigen detection confirmed the parasitologic results 6 weeks after treatment")</f>
        <v>Antigen detection confirmed the parasitologic results 6 weeks after treatment</v>
      </c>
      <c r="O67" s="700">
        <f>IFERROR(__xludf.DUMMYFUNCTION("""COMPUTED_VALUE"""),0.49)</f>
        <v>0.49</v>
      </c>
      <c r="P67" s="700">
        <f>IFERROR(__xludf.DUMMYFUNCTION("""COMPUTED_VALUE"""),0.99)</f>
        <v>0.99</v>
      </c>
      <c r="Q67" s="697" t="str">
        <f>IFERROR(__xludf.DUMMYFUNCTION("""COMPUTED_VALUE"""),"Side effects are more comparable with those of 30 kg/mg and not those of 60 mg/kg. No serious or long complications are observed. ")</f>
        <v>Side effects are more comparable with those of 30 kg/mg and not those of 60 mg/kg. No serious or long complications are observed. </v>
      </c>
      <c r="R67" s="697"/>
      <c r="S67" s="699" t="str">
        <f>IFERROR(__xludf.DUMMYFUNCTION("""COMPUTED_VALUE"""),"Guisse F, Polman K, Stelma FF, Mbaye A, Talla I, Niang M, et al.Therapeutic evaluation of two different dose regimens of praziquantel in a recent Schistosoma mansoni focus in Northern Senegal. American Journal of Tropical Medicine and Hygiene 1997;56(5):5"&amp;"11–4.")</f>
        <v>Guisse F, Polman K, Stelma FF, Mbaye A, Talla I, Niang M, et al.Therapeutic evaluation of two different dose regimens of praziquantel in a recent Schistosoma mansoni focus in Northern Senegal. American Journal of Tropical Medicine and Hygiene 1997;56(5):511–4.</v>
      </c>
      <c r="T67" s="697"/>
      <c r="U67" s="697" t="str">
        <f>IFERROR(__xludf.DUMMYFUNCTION("""COMPUTED_VALUE"""),"")</f>
        <v/>
      </c>
      <c r="V67" s="697">
        <f>IFERROR(__xludf.DUMMYFUNCTION("""COMPUTED_VALUE"""),67.0)</f>
        <v>67</v>
      </c>
    </row>
    <row r="68">
      <c r="A68" s="697" t="str">
        <f>IFERROR(__xludf.DUMMYFUNCTION("""COMPUTED_VALUE"""),"Gupta KK, 1984")</f>
        <v>Gupta KK, 1984</v>
      </c>
      <c r="B68" s="697" t="str">
        <f>IFERROR(__xludf.DUMMYFUNCTION("""COMPUTED_VALUE"""),"s. mansoni")</f>
        <v>s. mansoni</v>
      </c>
      <c r="C68" s="697" t="str">
        <f>IFERROR(__xludf.DUMMYFUNCTION("""COMPUTED_VALUE"""),"Zambia")</f>
        <v>Zambia</v>
      </c>
      <c r="D68" s="697" t="str">
        <f>IFERROR(__xludf.DUMMYFUNCTION("""COMPUTED_VALUE"""),"Oxamniquine")</f>
        <v>Oxamniquine</v>
      </c>
      <c r="E68" s="697" t="str">
        <f>IFERROR(__xludf.DUMMYFUNCTION("""COMPUTED_VALUE"""),"Two")</f>
        <v>Two</v>
      </c>
      <c r="F68" s="697" t="str">
        <f>IFERROR(__xludf.DUMMYFUNCTION("""COMPUTED_VALUE"""),"15 mg/kg ")</f>
        <v>15 mg/kg </v>
      </c>
      <c r="G68" s="697">
        <f>IFERROR(__xludf.DUMMYFUNCTION("""COMPUTED_VALUE"""),20.0)</f>
        <v>20</v>
      </c>
      <c r="H68" s="697" t="str">
        <f>IFERROR(__xludf.DUMMYFUNCTION("""COMPUTED_VALUE"""),"6-64 years ")</f>
        <v>6-64 years </v>
      </c>
      <c r="I68" s="705" t="str">
        <f>IFERROR(__xludf.DUMMYFUNCTION("""COMPUTED_VALUE"""),"41:18")</f>
        <v>41:18</v>
      </c>
      <c r="J68" s="697">
        <f>IFERROR(__xludf.DUMMYFUNCTION("""COMPUTED_VALUE"""),1982.0)</f>
        <v>1982</v>
      </c>
      <c r="K68" s="697" t="str">
        <f>IFERROR(__xludf.DUMMYFUNCTION("""COMPUTED_VALUE"""),"M/F mean age 29 years old infected with S.mansoni")</f>
        <v>M/F mean age 29 years old infected with S.mansoni</v>
      </c>
      <c r="L68" s="697" t="str">
        <f>IFERROR(__xludf.DUMMYFUNCTION("""COMPUTED_VALUE"""),"Yes")</f>
        <v>Yes</v>
      </c>
      <c r="M68" s="697" t="str">
        <f>IFERROR(__xludf.DUMMYFUNCTION("""COMPUTED_VALUE"""),"Yes")</f>
        <v>Yes</v>
      </c>
      <c r="N68" s="697" t="str">
        <f>IFERROR(__xludf.DUMMYFUNCTION("""COMPUTED_VALUE"""),"Follow-up: one, two, three and six months. Cure rate given at 6 months with no S.manoni in stool")</f>
        <v>Follow-up: one, two, three and six months. Cure rate given at 6 months with no S.manoni in stool</v>
      </c>
      <c r="O68" s="700">
        <f>IFERROR(__xludf.DUMMYFUNCTION("""COMPUTED_VALUE"""),1.0)</f>
        <v>1</v>
      </c>
      <c r="P68" s="700">
        <f>IFERROR(__xludf.DUMMYFUNCTION("""COMPUTED_VALUE"""),1.0)</f>
        <v>1</v>
      </c>
      <c r="Q68" s="697" t="str">
        <f>IFERROR(__xludf.DUMMYFUNCTION("""COMPUTED_VALUE"""),"Oral oxamniquine is a safe, effective and well tolerate treatment for s.mansoni infestation in zambian patients. ")</f>
        <v>Oral oxamniquine is a safe, effective and well tolerate treatment for s.mansoni infestation in zambian patients. </v>
      </c>
      <c r="R68" s="697" t="str">
        <f>IFERROR(__xludf.DUMMYFUNCTION("""COMPUTED_VALUE"""),"Schistoma Mansoni treatment with oral oxamniquine zambia")</f>
        <v>Schistoma Mansoni treatment with oral oxamniquine zambia</v>
      </c>
      <c r="S68" s="699" t="str">
        <f>IFERROR(__xludf.DUMMYFUNCTION("""COMPUTED_VALUE"""),"Gupta KK. Schistosoma mansoni treatment with oral oxamniquine in Zambia. East African Medical Journal 1984; 61(8):641–4.")</f>
        <v>Gupta KK. Schistosoma mansoni treatment with oral oxamniquine in Zambia. East African Medical Journal 1984; 61(8):641–4.</v>
      </c>
      <c r="T68" s="697"/>
      <c r="U68" s="697" t="str">
        <f>IFERROR(__xludf.DUMMYFUNCTION("""COMPUTED_VALUE"""),"")</f>
        <v/>
      </c>
      <c r="V68" s="697">
        <f>IFERROR(__xludf.DUMMYFUNCTION("""COMPUTED_VALUE"""),68.0)</f>
        <v>68</v>
      </c>
    </row>
    <row r="69">
      <c r="A69" s="697" t="str">
        <f>IFERROR(__xludf.DUMMYFUNCTION("""COMPUTED_VALUE"""),"Gupta KK, 1984")</f>
        <v>Gupta KK, 1984</v>
      </c>
      <c r="B69" s="697" t="str">
        <f>IFERROR(__xludf.DUMMYFUNCTION("""COMPUTED_VALUE"""),"s. mansoni")</f>
        <v>s. mansoni</v>
      </c>
      <c r="C69" s="697" t="str">
        <f>IFERROR(__xludf.DUMMYFUNCTION("""COMPUTED_VALUE"""),"Zambia")</f>
        <v>Zambia</v>
      </c>
      <c r="D69" s="697" t="str">
        <f>IFERROR(__xludf.DUMMYFUNCTION("""COMPUTED_VALUE"""),"Oxamniquine")</f>
        <v>Oxamniquine</v>
      </c>
      <c r="E69" s="697" t="str">
        <f>IFERROR(__xludf.DUMMYFUNCTION("""COMPUTED_VALUE"""),"Two")</f>
        <v>Two</v>
      </c>
      <c r="F69" s="697" t="str">
        <f>IFERROR(__xludf.DUMMYFUNCTION("""COMPUTED_VALUE"""),"10 mg/kg")</f>
        <v>10 mg/kg</v>
      </c>
      <c r="G69" s="697">
        <f>IFERROR(__xludf.DUMMYFUNCTION("""COMPUTED_VALUE"""),20.0)</f>
        <v>20</v>
      </c>
      <c r="H69" s="697" t="str">
        <f>IFERROR(__xludf.DUMMYFUNCTION("""COMPUTED_VALUE"""),"6-64 years ")</f>
        <v>6-64 years </v>
      </c>
      <c r="I69" s="705" t="str">
        <f>IFERROR(__xludf.DUMMYFUNCTION("""COMPUTED_VALUE"""),"41:18")</f>
        <v>41:18</v>
      </c>
      <c r="J69" s="697">
        <f>IFERROR(__xludf.DUMMYFUNCTION("""COMPUTED_VALUE"""),1982.0)</f>
        <v>1982</v>
      </c>
      <c r="K69" s="697" t="str">
        <f>IFERROR(__xludf.DUMMYFUNCTION("""COMPUTED_VALUE"""),"M/F mean age 29 years old infected with S.mansoni")</f>
        <v>M/F mean age 29 years old infected with S.mansoni</v>
      </c>
      <c r="L69" s="697" t="str">
        <f>IFERROR(__xludf.DUMMYFUNCTION("""COMPUTED_VALUE"""),"Yes")</f>
        <v>Yes</v>
      </c>
      <c r="M69" s="697" t="str">
        <f>IFERROR(__xludf.DUMMYFUNCTION("""COMPUTED_VALUE"""),"Yes")</f>
        <v>Yes</v>
      </c>
      <c r="N69" s="697" t="str">
        <f>IFERROR(__xludf.DUMMYFUNCTION("""COMPUTED_VALUE"""),"Follow-up: one, two, three and six months")</f>
        <v>Follow-up: one, two, three and six months</v>
      </c>
      <c r="O69" s="700">
        <f>IFERROR(__xludf.DUMMYFUNCTION("""COMPUTED_VALUE"""),1.0)</f>
        <v>1</v>
      </c>
      <c r="P69" s="700">
        <f>IFERROR(__xludf.DUMMYFUNCTION("""COMPUTED_VALUE"""),1.0)</f>
        <v>1</v>
      </c>
      <c r="Q69" s="697" t="str">
        <f>IFERROR(__xludf.DUMMYFUNCTION("""COMPUTED_VALUE"""),"Oral oxamniquine is a safe, effective and well tolerate treatment for s.mansoni infestation in zambian patients. ")</f>
        <v>Oral oxamniquine is a safe, effective and well tolerate treatment for s.mansoni infestation in zambian patients. </v>
      </c>
      <c r="R69" s="697" t="str">
        <f>IFERROR(__xludf.DUMMYFUNCTION("""COMPUTED_VALUE"""),"Schistoma Mansoni treatment with oral oxamniquine zambia")</f>
        <v>Schistoma Mansoni treatment with oral oxamniquine zambia</v>
      </c>
      <c r="S69" s="699" t="str">
        <f>IFERROR(__xludf.DUMMYFUNCTION("""COMPUTED_VALUE"""),"Gupta KK. Schistosoma mansoni treatment with oral oxamniquine in Zambia. East African Medical Journal 1984; 61(8):641–4.")</f>
        <v>Gupta KK. Schistosoma mansoni treatment with oral oxamniquine in Zambia. East African Medical Journal 1984; 61(8):641–4.</v>
      </c>
      <c r="T69" s="697"/>
      <c r="U69" s="697" t="str">
        <f>IFERROR(__xludf.DUMMYFUNCTION("""COMPUTED_VALUE"""),"")</f>
        <v/>
      </c>
      <c r="V69" s="697">
        <f>IFERROR(__xludf.DUMMYFUNCTION("""COMPUTED_VALUE"""),69.0)</f>
        <v>69</v>
      </c>
    </row>
    <row r="70">
      <c r="A70" s="697" t="str">
        <f>IFERROR(__xludf.DUMMYFUNCTION("""COMPUTED_VALUE"""),"Gupta KK, 1984")</f>
        <v>Gupta KK, 1984</v>
      </c>
      <c r="B70" s="697" t="str">
        <f>IFERROR(__xludf.DUMMYFUNCTION("""COMPUTED_VALUE"""),"s. mansoni")</f>
        <v>s. mansoni</v>
      </c>
      <c r="C70" s="697" t="str">
        <f>IFERROR(__xludf.DUMMYFUNCTION("""COMPUTED_VALUE"""),"Zambia")</f>
        <v>Zambia</v>
      </c>
      <c r="D70" s="697" t="str">
        <f>IFERROR(__xludf.DUMMYFUNCTION("""COMPUTED_VALUE"""),"Oxamniquine")</f>
        <v>Oxamniquine</v>
      </c>
      <c r="E70" s="697" t="str">
        <f>IFERROR(__xludf.DUMMYFUNCTION("""COMPUTED_VALUE"""),"Two")</f>
        <v>Two</v>
      </c>
      <c r="F70" s="697" t="str">
        <f>IFERROR(__xludf.DUMMYFUNCTION("""COMPUTED_VALUE"""),"15 mg/kg")</f>
        <v>15 mg/kg</v>
      </c>
      <c r="G70" s="697">
        <f>IFERROR(__xludf.DUMMYFUNCTION("""COMPUTED_VALUE"""),20.0)</f>
        <v>20</v>
      </c>
      <c r="H70" s="697" t="str">
        <f>IFERROR(__xludf.DUMMYFUNCTION("""COMPUTED_VALUE"""),"6-64 years ")</f>
        <v>6-64 years </v>
      </c>
      <c r="I70" s="705" t="str">
        <f>IFERROR(__xludf.DUMMYFUNCTION("""COMPUTED_VALUE"""),"41:18")</f>
        <v>41:18</v>
      </c>
      <c r="J70" s="697">
        <f>IFERROR(__xludf.DUMMYFUNCTION("""COMPUTED_VALUE"""),1982.0)</f>
        <v>1982</v>
      </c>
      <c r="K70" s="697" t="str">
        <f>IFERROR(__xludf.DUMMYFUNCTION("""COMPUTED_VALUE"""),"M/F mean age 29 years old infected with S.mansoni")</f>
        <v>M/F mean age 29 years old infected with S.mansoni</v>
      </c>
      <c r="L70" s="697" t="str">
        <f>IFERROR(__xludf.DUMMYFUNCTION("""COMPUTED_VALUE"""),"Yes")</f>
        <v>Yes</v>
      </c>
      <c r="M70" s="697" t="str">
        <f>IFERROR(__xludf.DUMMYFUNCTION("""COMPUTED_VALUE"""),"Yes")</f>
        <v>Yes</v>
      </c>
      <c r="N70" s="697" t="str">
        <f>IFERROR(__xludf.DUMMYFUNCTION("""COMPUTED_VALUE"""),"Follow-up: one, two, three and six months")</f>
        <v>Follow-up: one, two, three and six months</v>
      </c>
      <c r="O70" s="700">
        <f>IFERROR(__xludf.DUMMYFUNCTION("""COMPUTED_VALUE"""),0.9)</f>
        <v>0.9</v>
      </c>
      <c r="P70" s="698">
        <f>IFERROR(__xludf.DUMMYFUNCTION("""COMPUTED_VALUE"""),0.952)</f>
        <v>0.952</v>
      </c>
      <c r="Q70" s="697" t="str">
        <f>IFERROR(__xludf.DUMMYFUNCTION("""COMPUTED_VALUE"""),"Oral oxamniquine is a safe, effective and well tolerate treatment for s.mansoni infestation in zambian patients. ")</f>
        <v>Oral oxamniquine is a safe, effective and well tolerate treatment for s.mansoni infestation in zambian patients. </v>
      </c>
      <c r="R70" s="697" t="str">
        <f>IFERROR(__xludf.DUMMYFUNCTION("""COMPUTED_VALUE"""),"Schistoma Mansoni treatment with oral oxamniquine zambia")</f>
        <v>Schistoma Mansoni treatment with oral oxamniquine zambia</v>
      </c>
      <c r="S70" s="699" t="str">
        <f>IFERROR(__xludf.DUMMYFUNCTION("""COMPUTED_VALUE"""),"Gupta KK. Schistosoma mansoni treatment with oral oxamniquine in Zambia. East African Medical Journal 1984; 61(8):641–4.")</f>
        <v>Gupta KK. Schistosoma mansoni treatment with oral oxamniquine in Zambia. East African Medical Journal 1984; 61(8):641–4.</v>
      </c>
      <c r="T70" s="697"/>
      <c r="U70" s="697" t="str">
        <f>IFERROR(__xludf.DUMMYFUNCTION("""COMPUTED_VALUE"""),"")</f>
        <v/>
      </c>
      <c r="V70" s="697">
        <f>IFERROR(__xludf.DUMMYFUNCTION("""COMPUTED_VALUE"""),70.0)</f>
        <v>70</v>
      </c>
    </row>
    <row r="71">
      <c r="A71" s="697" t="str">
        <f>IFERROR(__xludf.DUMMYFUNCTION("""COMPUTED_VALUE"""),"Hou XY, 2008")</f>
        <v>Hou XY, 2008</v>
      </c>
      <c r="B71" s="697" t="str">
        <f>IFERROR(__xludf.DUMMYFUNCTION("""COMPUTED_VALUE"""),"s. japonicum")</f>
        <v>s. japonicum</v>
      </c>
      <c r="C71" s="697" t="str">
        <f>IFERROR(__xludf.DUMMYFUNCTION("""COMPUTED_VALUE"""),"China")</f>
        <v>China</v>
      </c>
      <c r="D71" s="697" t="str">
        <f>IFERROR(__xludf.DUMMYFUNCTION("""COMPUTED_VALUE"""),"Artemether &amp; Praziquantel")</f>
        <v>Artemether &amp; Praziquantel</v>
      </c>
      <c r="E71" s="697" t="str">
        <f>IFERROR(__xludf.DUMMYFUNCTION("""COMPUTED_VALUE"""),"Single")</f>
        <v>Single</v>
      </c>
      <c r="F71" s="697" t="str">
        <f>IFERROR(__xludf.DUMMYFUNCTION("""COMPUTED_VALUE"""),"60 mg/kg; 6 mg/kg ")</f>
        <v>60 mg/kg; 6 mg/kg </v>
      </c>
      <c r="G71" s="697">
        <f>IFERROR(__xludf.DUMMYFUNCTION("""COMPUTED_VALUE"""),51.0)</f>
        <v>51</v>
      </c>
      <c r="H71" s="697" t="str">
        <f>IFERROR(__xludf.DUMMYFUNCTION("""COMPUTED_VALUE"""),"10-60")</f>
        <v>10-60</v>
      </c>
      <c r="I71" s="705" t="str">
        <f>IFERROR(__xludf.DUMMYFUNCTION("""COMPUTED_VALUE"""),"192: 13")</f>
        <v>192: 13</v>
      </c>
      <c r="J71" s="697">
        <f>IFERROR(__xludf.DUMMYFUNCTION("""COMPUTED_VALUE"""),2005.0)</f>
        <v>2005</v>
      </c>
      <c r="K71" s="697" t="str">
        <f>IFERROR(__xludf.DUMMYFUNCTION("""COMPUTED_VALUE"""),"aged 10–60 yrs (mean 22) i) pregnancy confirmed by a positive pregnancy test, (ii) known hypersensitivity to PZQ or AM, (iii) had received anti-schistosomal treatment before hospitalization, (iv) had water contact within the 45-day post-AM/ placebo treatm"&amp;"ent, or (v) had severe clinical signs/symptoms of disease")</f>
        <v>aged 10–60 yrs (mean 22) i) pregnancy confirmed by a positive pregnancy test, (ii) known hypersensitivity to PZQ or AM, (iii) had received anti-schistosomal treatment before hospitalization, (iv) had water contact within the 45-day post-AM/ placebo treatment, or (v) had severe clinical signs/symptoms of disease</v>
      </c>
      <c r="L71" s="697" t="str">
        <f>IFERROR(__xludf.DUMMYFUNCTION("""COMPUTED_VALUE"""),"Yes")</f>
        <v>Yes</v>
      </c>
      <c r="M71" s="697" t="str">
        <f>IFERROR(__xludf.DUMMYFUNCTION("""COMPUTED_VALUE"""),"Yes")</f>
        <v>Yes</v>
      </c>
      <c r="N71" s="697" t="str">
        <f>IFERROR(__xludf.DUMMYFUNCTION("""COMPUTED_VALUE"""),"Primary endpoint of the trial was human infection status (determined by positive stool examination). he group B had a greater treatment efficacy (96.4%) than the group D (95.7%). Group A treatment was better for clearance of fever (P &lt; 0.05) and resulted "&amp;"in a shorter hospitalization time")</f>
        <v>Primary endpoint of the trial was human infection status (determined by positive stool examination). he group B had a greater treatment efficacy (96.4%) than the group D (95.7%). Group A treatment was better for clearance of fever (P &lt; 0.05) and resulted in a shorter hospitalization time</v>
      </c>
      <c r="O71" s="698">
        <f>IFERROR(__xludf.DUMMYFUNCTION("""COMPUTED_VALUE"""),0.98)</f>
        <v>0.98</v>
      </c>
      <c r="P71" s="697"/>
      <c r="Q71" s="697" t="str">
        <f>IFERROR(__xludf.DUMMYFUNCTION("""COMPUTED_VALUE"""),"The combination of AM and PZQ chemotherapy did not improve treatment efficacy compared with PZQ alone.")</f>
        <v>The combination of AM and PZQ chemotherapy did not improve treatment efficacy compared with PZQ alone.</v>
      </c>
      <c r="R71" s="697"/>
      <c r="S71" s="699" t="str">
        <f>IFERROR(__xludf.DUMMYFUNCTION("""COMPUTED_VALUE"""),"Hou XY, McManus DP, Gray DJ, Balen J, Luo XS, He YK, Ellis M, Williams GM, Li YS. A randomized, double‐blind, placebo‐controlled trial of safety and efficacy of combined praziquantel and artemether treatment for acute schistosomiasis japonica in China. Bu"&amp;"ll World Health Organ 2008; 86: 788‐795.")</f>
        <v>Hou XY, McManus DP, Gray DJ, Balen J, Luo XS, He YK, Ellis M, Williams GM, Li YS. A randomized, double‐blind, placebo‐controlled trial of safety and efficacy of combined praziquantel and artemether treatment for acute schistosomiasis japonica in China. Bull World Health Organ 2008; 86: 788‐795.</v>
      </c>
      <c r="T71" s="697"/>
      <c r="U71" s="697" t="str">
        <f>IFERROR(__xludf.DUMMYFUNCTION("""COMPUTED_VALUE"""),"")</f>
        <v/>
      </c>
      <c r="V71" s="697">
        <f>IFERROR(__xludf.DUMMYFUNCTION("""COMPUTED_VALUE"""),71.0)</f>
        <v>71</v>
      </c>
    </row>
    <row r="72">
      <c r="A72" s="697" t="str">
        <f>IFERROR(__xludf.DUMMYFUNCTION("""COMPUTED_VALUE"""),"Hou XY, 2008")</f>
        <v>Hou XY, 2008</v>
      </c>
      <c r="B72" s="697" t="str">
        <f>IFERROR(__xludf.DUMMYFUNCTION("""COMPUTED_VALUE"""),"s. japonicum")</f>
        <v>s. japonicum</v>
      </c>
      <c r="C72" s="697" t="str">
        <f>IFERROR(__xludf.DUMMYFUNCTION("""COMPUTED_VALUE"""),"China")</f>
        <v>China</v>
      </c>
      <c r="D72" s="697" t="str">
        <f>IFERROR(__xludf.DUMMYFUNCTION("""COMPUTED_VALUE"""),"Praziquantel")</f>
        <v>Praziquantel</v>
      </c>
      <c r="E72" s="697" t="str">
        <f>IFERROR(__xludf.DUMMYFUNCTION("""COMPUTED_VALUE"""),"Single")</f>
        <v>Single</v>
      </c>
      <c r="F72" s="697" t="str">
        <f>IFERROR(__xludf.DUMMYFUNCTION("""COMPUTED_VALUE"""),"60 mg/kg ")</f>
        <v>60 mg/kg </v>
      </c>
      <c r="G72" s="697">
        <f>IFERROR(__xludf.DUMMYFUNCTION("""COMPUTED_VALUE"""),55.0)</f>
        <v>55</v>
      </c>
      <c r="H72" s="697" t="str">
        <f>IFERROR(__xludf.DUMMYFUNCTION("""COMPUTED_VALUE"""),"10-60")</f>
        <v>10-60</v>
      </c>
      <c r="I72" s="705" t="str">
        <f>IFERROR(__xludf.DUMMYFUNCTION("""COMPUTED_VALUE"""),"192: 13")</f>
        <v>192: 13</v>
      </c>
      <c r="J72" s="697">
        <f>IFERROR(__xludf.DUMMYFUNCTION("""COMPUTED_VALUE"""),2005.0)</f>
        <v>2005</v>
      </c>
      <c r="K72" s="697" t="str">
        <f>IFERROR(__xludf.DUMMYFUNCTION("""COMPUTED_VALUE"""),"aged 10–60 yrs (mean 22) i) pregnancy confirmed by a positive pregnancy test, (ii) known hypersensitivity to PZQ or AM, (iii) had received anti-schistosomal treatment before hospitalization, (iv) had water contact within the 45-day post-AM/ placebo treatm"&amp;"ent, or (v) had severe clinical signs/symptoms of disease")</f>
        <v>aged 10–60 yrs (mean 22) i) pregnancy confirmed by a positive pregnancy test, (ii) known hypersensitivity to PZQ or AM, (iii) had received anti-schistosomal treatment before hospitalization, (iv) had water contact within the 45-day post-AM/ placebo treatment, or (v) had severe clinical signs/symptoms of disease</v>
      </c>
      <c r="L72" s="697" t="str">
        <f>IFERROR(__xludf.DUMMYFUNCTION("""COMPUTED_VALUE"""),"Yes")</f>
        <v>Yes</v>
      </c>
      <c r="M72" s="697" t="str">
        <f>IFERROR(__xludf.DUMMYFUNCTION("""COMPUTED_VALUE"""),"Yes")</f>
        <v>Yes</v>
      </c>
      <c r="N72" s="697" t="str">
        <f>IFERROR(__xludf.DUMMYFUNCTION("""COMPUTED_VALUE"""),"Primary endpoint of the trial was human infection status (determined by positive stool examination). he group B had a greater treatment efficacy (96.4%) than the group D (95.7%). Group A treatment was better for clearance of fever (P &lt; 0.05) and resulted "&amp;"in a shorter hospitalization time")</f>
        <v>Primary endpoint of the trial was human infection status (determined by positive stool examination). he group B had a greater treatment efficacy (96.4%) than the group D (95.7%). Group A treatment was better for clearance of fever (P &lt; 0.05) and resulted in a shorter hospitalization time</v>
      </c>
      <c r="O72" s="698">
        <f>IFERROR(__xludf.DUMMYFUNCTION("""COMPUTED_VALUE"""),0.964)</f>
        <v>0.964</v>
      </c>
      <c r="P72" s="697"/>
      <c r="Q72" s="697" t="str">
        <f>IFERROR(__xludf.DUMMYFUNCTION("""COMPUTED_VALUE"""),"The combination of AM and PZQ chemotherapy did not improve treatment efficacy compared with PZQ alone.")</f>
        <v>The combination of AM and PZQ chemotherapy did not improve treatment efficacy compared with PZQ alone.</v>
      </c>
      <c r="R72" s="697"/>
      <c r="S72" s="699" t="str">
        <f>IFERROR(__xludf.DUMMYFUNCTION("""COMPUTED_VALUE"""),"Hou XY, McManus DP, Gray DJ, Balen J, Luo XS, He YK, Ellis M, Williams GM, Li YS. A randomized, double‐blind, placebo‐controlled trial of safety and efficacy of combined praziquantel and artemether treatment for acute schistosomiasis japonica in China. Bu"&amp;"ll World Health Organ 2008; 86: 788‐795.")</f>
        <v>Hou XY, McManus DP, Gray DJ, Balen J, Luo XS, He YK, Ellis M, Williams GM, Li YS. A randomized, double‐blind, placebo‐controlled trial of safety and efficacy of combined praziquantel and artemether treatment for acute schistosomiasis japonica in China. Bull World Health Organ 2008; 86: 788‐795.</v>
      </c>
      <c r="T72" s="697"/>
      <c r="U72" s="697" t="str">
        <f>IFERROR(__xludf.DUMMYFUNCTION("""COMPUTED_VALUE"""),"")</f>
        <v/>
      </c>
      <c r="V72" s="697">
        <f>IFERROR(__xludf.DUMMYFUNCTION("""COMPUTED_VALUE"""),72.0)</f>
        <v>72</v>
      </c>
    </row>
    <row r="73">
      <c r="A73" s="697" t="str">
        <f>IFERROR(__xludf.DUMMYFUNCTION("""COMPUTED_VALUE"""),"Hou XY, 2008")</f>
        <v>Hou XY, 2008</v>
      </c>
      <c r="B73" s="697" t="str">
        <f>IFERROR(__xludf.DUMMYFUNCTION("""COMPUTED_VALUE"""),"s. japonicum")</f>
        <v>s. japonicum</v>
      </c>
      <c r="C73" s="697" t="str">
        <f>IFERROR(__xludf.DUMMYFUNCTION("""COMPUTED_VALUE"""),"China")</f>
        <v>China</v>
      </c>
      <c r="D73" s="697" t="str">
        <f>IFERROR(__xludf.DUMMYFUNCTION("""COMPUTED_VALUE"""),"Artemether &amp; Praziquantel")</f>
        <v>Artemether &amp; Praziquantel</v>
      </c>
      <c r="E73" s="697" t="str">
        <f>IFERROR(__xludf.DUMMYFUNCTION("""COMPUTED_VALUE"""),"Single")</f>
        <v>Single</v>
      </c>
      <c r="F73" s="697" t="str">
        <f>IFERROR(__xludf.DUMMYFUNCTION("""COMPUTED_VALUE"""),"120 mg/kg; 6 mg/kg ")</f>
        <v>120 mg/kg; 6 mg/kg </v>
      </c>
      <c r="G73" s="697">
        <f>IFERROR(__xludf.DUMMYFUNCTION("""COMPUTED_VALUE"""),44.0)</f>
        <v>44</v>
      </c>
      <c r="H73" s="697" t="str">
        <f>IFERROR(__xludf.DUMMYFUNCTION("""COMPUTED_VALUE"""),"10-60")</f>
        <v>10-60</v>
      </c>
      <c r="I73" s="705" t="str">
        <f>IFERROR(__xludf.DUMMYFUNCTION("""COMPUTED_VALUE"""),"192: 13")</f>
        <v>192: 13</v>
      </c>
      <c r="J73" s="697">
        <f>IFERROR(__xludf.DUMMYFUNCTION("""COMPUTED_VALUE"""),2005.0)</f>
        <v>2005</v>
      </c>
      <c r="K73" s="697" t="str">
        <f>IFERROR(__xludf.DUMMYFUNCTION("""COMPUTED_VALUE"""),"aged 10–60 yrs (mean 22) i) pregnancy confirmed by a positive pregnancy test, (ii) known hypersensitivity to PZQ or AM, (iii) had received anti-schistosomal treatment before hospitalization, (iv) had water contact within the 45-day post-AM/ placebo treatm"&amp;"ent, or (v) had severe clinical signs/symptoms of disease")</f>
        <v>aged 10–60 yrs (mean 22) i) pregnancy confirmed by a positive pregnancy test, (ii) known hypersensitivity to PZQ or AM, (iii) had received anti-schistosomal treatment before hospitalization, (iv) had water contact within the 45-day post-AM/ placebo treatment, or (v) had severe clinical signs/symptoms of disease</v>
      </c>
      <c r="L73" s="697" t="str">
        <f>IFERROR(__xludf.DUMMYFUNCTION("""COMPUTED_VALUE"""),"Yes")</f>
        <v>Yes</v>
      </c>
      <c r="M73" s="697" t="str">
        <f>IFERROR(__xludf.DUMMYFUNCTION("""COMPUTED_VALUE"""),"Yes")</f>
        <v>Yes</v>
      </c>
      <c r="N73" s="697" t="str">
        <f>IFERROR(__xludf.DUMMYFUNCTION("""COMPUTED_VALUE"""),"Primary endpoint of the trial was human infection status (determined by positive stool examination). he group B had a greater treatment efficacy (96.4%) than the group D (95.7%). Group A treatment was better for clearance of fever (P &lt; 0.05) and resulted "&amp;"in a shorter hospitalization time")</f>
        <v>Primary endpoint of the trial was human infection status (determined by positive stool examination). he group B had a greater treatment efficacy (96.4%) than the group D (95.7%). Group A treatment was better for clearance of fever (P &lt; 0.05) and resulted in a shorter hospitalization time</v>
      </c>
      <c r="O73" s="698">
        <f>IFERROR(__xludf.DUMMYFUNCTION("""COMPUTED_VALUE"""),0.977)</f>
        <v>0.977</v>
      </c>
      <c r="P73" s="697"/>
      <c r="Q73" s="697" t="str">
        <f>IFERROR(__xludf.DUMMYFUNCTION("""COMPUTED_VALUE"""),"The combination of AM and PZQ chemotherapy did not improve treatment efficacy compared with PZQ alone.")</f>
        <v>The combination of AM and PZQ chemotherapy did not improve treatment efficacy compared with PZQ alone.</v>
      </c>
      <c r="R73" s="697"/>
      <c r="S73" s="699" t="str">
        <f>IFERROR(__xludf.DUMMYFUNCTION("""COMPUTED_VALUE"""),"Hou XY, McManus DP, Gray DJ, Balen J, Luo XS, He YK, Ellis M, Williams GM, Li YS. A randomized, double‐blind, placebo‐controlled trial of safety and efficacy of combined praziquantel and artemether treatment for acute schistosomiasis japonica in China. Bu"&amp;"ll World Health Organ 2008; 86: 788‐795.")</f>
        <v>Hou XY, McManus DP, Gray DJ, Balen J, Luo XS, He YK, Ellis M, Williams GM, Li YS. A randomized, double‐blind, placebo‐controlled trial of safety and efficacy of combined praziquantel and artemether treatment for acute schistosomiasis japonica in China. Bull World Health Organ 2008; 86: 788‐795.</v>
      </c>
      <c r="T73" s="697"/>
      <c r="U73" s="697" t="str">
        <f>IFERROR(__xludf.DUMMYFUNCTION("""COMPUTED_VALUE"""),"")</f>
        <v/>
      </c>
      <c r="V73" s="697">
        <f>IFERROR(__xludf.DUMMYFUNCTION("""COMPUTED_VALUE"""),73.0)</f>
        <v>73</v>
      </c>
    </row>
    <row r="74">
      <c r="A74" s="697" t="str">
        <f>IFERROR(__xludf.DUMMYFUNCTION("""COMPUTED_VALUE"""),"Hou XY, 2008")</f>
        <v>Hou XY, 2008</v>
      </c>
      <c r="B74" s="697" t="str">
        <f>IFERROR(__xludf.DUMMYFUNCTION("""COMPUTED_VALUE"""),"s. japonicum")</f>
        <v>s. japonicum</v>
      </c>
      <c r="C74" s="697" t="str">
        <f>IFERROR(__xludf.DUMMYFUNCTION("""COMPUTED_VALUE"""),"China")</f>
        <v>China</v>
      </c>
      <c r="D74" s="697" t="str">
        <f>IFERROR(__xludf.DUMMYFUNCTION("""COMPUTED_VALUE"""),"Praziquantel")</f>
        <v>Praziquantel</v>
      </c>
      <c r="E74" s="697" t="str">
        <f>IFERROR(__xludf.DUMMYFUNCTION("""COMPUTED_VALUE"""),"Single")</f>
        <v>Single</v>
      </c>
      <c r="F74" s="697" t="str">
        <f>IFERROR(__xludf.DUMMYFUNCTION("""COMPUTED_VALUE"""),"120 mg/kg ")</f>
        <v>120 mg/kg </v>
      </c>
      <c r="G74" s="697">
        <f>IFERROR(__xludf.DUMMYFUNCTION("""COMPUTED_VALUE"""),46.0)</f>
        <v>46</v>
      </c>
      <c r="H74" s="697" t="str">
        <f>IFERROR(__xludf.DUMMYFUNCTION("""COMPUTED_VALUE"""),"10-60")</f>
        <v>10-60</v>
      </c>
      <c r="I74" s="705" t="str">
        <f>IFERROR(__xludf.DUMMYFUNCTION("""COMPUTED_VALUE"""),"192: 13")</f>
        <v>192: 13</v>
      </c>
      <c r="J74" s="697">
        <f>IFERROR(__xludf.DUMMYFUNCTION("""COMPUTED_VALUE"""),2005.0)</f>
        <v>2005</v>
      </c>
      <c r="K74" s="697" t="str">
        <f>IFERROR(__xludf.DUMMYFUNCTION("""COMPUTED_VALUE"""),"aged 10–60 yrs (mean 22) i) pregnancy confirmed by a positive pregnancy test, (ii) known hypersensitivity to PZQ or AM, (iii) had received anti-schistosomal treatment before hospitalization, (iv) had water contact within the 45-day post-AM/ placebo treatm"&amp;"ent, or (v) had severe clinical signs/symptoms of disease")</f>
        <v>aged 10–60 yrs (mean 22) i) pregnancy confirmed by a positive pregnancy test, (ii) known hypersensitivity to PZQ or AM, (iii) had received anti-schistosomal treatment before hospitalization, (iv) had water contact within the 45-day post-AM/ placebo treatment, or (v) had severe clinical signs/symptoms of disease</v>
      </c>
      <c r="L74" s="697" t="str">
        <f>IFERROR(__xludf.DUMMYFUNCTION("""COMPUTED_VALUE"""),"Yes")</f>
        <v>Yes</v>
      </c>
      <c r="M74" s="697" t="str">
        <f>IFERROR(__xludf.DUMMYFUNCTION("""COMPUTED_VALUE"""),"Yes")</f>
        <v>Yes</v>
      </c>
      <c r="N74" s="697" t="str">
        <f>IFERROR(__xludf.DUMMYFUNCTION("""COMPUTED_VALUE"""),"Primary endpoint of the trial was human infection status (determined by positive stool examination). he group B had a greater treatment efficacy (96.4%) than the group D (95.7%). Group A treatment was better for clearance of fever (P &lt; 0.05) and resulted "&amp;"in a shorter hospitalization time")</f>
        <v>Primary endpoint of the trial was human infection status (determined by positive stool examination). he group B had a greater treatment efficacy (96.4%) than the group D (95.7%). Group A treatment was better for clearance of fever (P &lt; 0.05) and resulted in a shorter hospitalization time</v>
      </c>
      <c r="O74" s="698">
        <f>IFERROR(__xludf.DUMMYFUNCTION("""COMPUTED_VALUE"""),0.957)</f>
        <v>0.957</v>
      </c>
      <c r="P74" s="697"/>
      <c r="Q74" s="697" t="str">
        <f>IFERROR(__xludf.DUMMYFUNCTION("""COMPUTED_VALUE"""),"The combination of AM and PZQ chemotherapy did not improve treatment efficacy compared with PZQ alone.")</f>
        <v>The combination of AM and PZQ chemotherapy did not improve treatment efficacy compared with PZQ alone.</v>
      </c>
      <c r="R74" s="697"/>
      <c r="S74" s="699" t="str">
        <f>IFERROR(__xludf.DUMMYFUNCTION("""COMPUTED_VALUE"""),"Hou XY, McManus DP, Gray DJ, Balen J, Luo XS, He YK, Ellis M, Williams GM, Li YS. A randomized, double‐blind, placebo‐controlled trial of safety and efficacy of combined praziquantel and artemether treatment for acute schistosomiasis japonica in China. Bu"&amp;"ll World Health Organ 2008; 86: 788‐795.")</f>
        <v>Hou XY, McManus DP, Gray DJ, Balen J, Luo XS, He YK, Ellis M, Williams GM, Li YS. A randomized, double‐blind, placebo‐controlled trial of safety and efficacy of combined praziquantel and artemether treatment for acute schistosomiasis japonica in China. Bull World Health Organ 2008; 86: 788‐795.</v>
      </c>
      <c r="T74" s="697"/>
      <c r="U74" s="697" t="str">
        <f>IFERROR(__xludf.DUMMYFUNCTION("""COMPUTED_VALUE"""),"")</f>
        <v/>
      </c>
      <c r="V74" s="697">
        <f>IFERROR(__xludf.DUMMYFUNCTION("""COMPUTED_VALUE"""),74.0)</f>
        <v>74</v>
      </c>
    </row>
    <row r="75">
      <c r="A75" s="697" t="str">
        <f>IFERROR(__xludf.DUMMYFUNCTION("""COMPUTED_VALUE"""),"Ibrahim AM, 1980")</f>
        <v>Ibrahim AM, 1980</v>
      </c>
      <c r="B75" s="697" t="str">
        <f>IFERROR(__xludf.DUMMYFUNCTION("""COMPUTED_VALUE"""),"s. mansoni")</f>
        <v>s. mansoni</v>
      </c>
      <c r="C75" s="697" t="str">
        <f>IFERROR(__xludf.DUMMYFUNCTION("""COMPUTED_VALUE"""),"Sudan")</f>
        <v>Sudan</v>
      </c>
      <c r="D75" s="697" t="str">
        <f>IFERROR(__xludf.DUMMYFUNCTION("""COMPUTED_VALUE"""),"Oxamniquine")</f>
        <v>Oxamniquine</v>
      </c>
      <c r="E75" s="697" t="str">
        <f>IFERROR(__xludf.DUMMYFUNCTION("""COMPUTED_VALUE"""),"Two")</f>
        <v>Two</v>
      </c>
      <c r="F75" s="697" t="str">
        <f>IFERROR(__xludf.DUMMYFUNCTION("""COMPUTED_VALUE"""),"15 mg/kg")</f>
        <v>15 mg/kg</v>
      </c>
      <c r="G75" s="697">
        <f>IFERROR(__xludf.DUMMYFUNCTION("""COMPUTED_VALUE"""),45.0)</f>
        <v>45</v>
      </c>
      <c r="H75" s="697" t="str">
        <f>IFERROR(__xludf.DUMMYFUNCTION("""COMPUTED_VALUE"""),"18-25")</f>
        <v>18-25</v>
      </c>
      <c r="I75" s="697"/>
      <c r="J75" s="697">
        <f>IFERROR(__xludf.DUMMYFUNCTION("""COMPUTED_VALUE"""),1980.0)</f>
        <v>1980</v>
      </c>
      <c r="K75" s="697" t="str">
        <f>IFERROR(__xludf.DUMMYFUNCTION("""COMPUTED_VALUE"""),"all university students attending the university hospital found to have S. mansoni infection")</f>
        <v>all university students attending the university hospital found to have S. mansoni infection</v>
      </c>
      <c r="L75" s="697" t="str">
        <f>IFERROR(__xludf.DUMMYFUNCTION("""COMPUTED_VALUE"""),"Yes")</f>
        <v>Yes</v>
      </c>
      <c r="M75" s="697" t="str">
        <f>IFERROR(__xludf.DUMMYFUNCTION("""COMPUTED_VALUE"""),"Yes")</f>
        <v>Yes</v>
      </c>
      <c r="N75" s="697" t="str">
        <f>IFERROR(__xludf.DUMMYFUNCTION("""COMPUTED_VALUE"""),"Follow-up: one, two and three months")</f>
        <v>Follow-up: one, two and three months</v>
      </c>
      <c r="O75" s="700">
        <f>IFERROR(__xludf.DUMMYFUNCTION("""COMPUTED_VALUE"""),0.88)</f>
        <v>0.88</v>
      </c>
      <c r="P75" s="700">
        <f>IFERROR(__xludf.DUMMYFUNCTION("""COMPUTED_VALUE"""),0.92)</f>
        <v>0.92</v>
      </c>
      <c r="Q75" s="697" t="str">
        <f>IFERROR(__xludf.DUMMYFUNCTION("""COMPUTED_VALUE"""),"Oral oxamniquine proved to achieve very high cure and ova reduction rates. ")</f>
        <v>Oral oxamniquine proved to achieve very high cure and ova reduction rates. </v>
      </c>
      <c r="R75" s="697" t="str">
        <f>IFERROR(__xludf.DUMMYFUNCTION("""COMPUTED_VALUE"""),"Evaluation of oxamniquine in the treatment of S. mansoni infection among Sudanese patients.")</f>
        <v>Evaluation of oxamniquine in the treatment of S. mansoni infection among Sudanese patients.</v>
      </c>
      <c r="S75" s="699" t="str">
        <f>IFERROR(__xludf.DUMMYFUNCTION("""COMPUTED_VALUE"""),"Ibrahim AM. Evaluation of oxamniquine in the treatment of S. mansoni infection among Sudanese patients. East African Medical Journal 1980;57(8):566–73.")</f>
        <v>Ibrahim AM. Evaluation of oxamniquine in the treatment of S. mansoni infection among Sudanese patients. East African Medical Journal 1980;57(8):566–73.</v>
      </c>
      <c r="T75" s="697"/>
      <c r="U75" s="697" t="str">
        <f>IFERROR(__xludf.DUMMYFUNCTION("""COMPUTED_VALUE"""),"")</f>
        <v/>
      </c>
      <c r="V75" s="697">
        <f>IFERROR(__xludf.DUMMYFUNCTION("""COMPUTED_VALUE"""),75.0)</f>
        <v>75</v>
      </c>
    </row>
    <row r="76">
      <c r="A76" s="697" t="str">
        <f>IFERROR(__xludf.DUMMYFUNCTION("""COMPUTED_VALUE"""),"Ibrahim AM, 1980")</f>
        <v>Ibrahim AM, 1980</v>
      </c>
      <c r="B76" s="697" t="str">
        <f>IFERROR(__xludf.DUMMYFUNCTION("""COMPUTED_VALUE"""),"s. mansoni")</f>
        <v>s. mansoni</v>
      </c>
      <c r="C76" s="697" t="str">
        <f>IFERROR(__xludf.DUMMYFUNCTION("""COMPUTED_VALUE"""),"Sudan")</f>
        <v>Sudan</v>
      </c>
      <c r="D76" s="697" t="str">
        <f>IFERROR(__xludf.DUMMYFUNCTION("""COMPUTED_VALUE"""),"Oxamniquine")</f>
        <v>Oxamniquine</v>
      </c>
      <c r="E76" s="697" t="str">
        <f>IFERROR(__xludf.DUMMYFUNCTION("""COMPUTED_VALUE"""),"Two")</f>
        <v>Two</v>
      </c>
      <c r="F76" s="697" t="str">
        <f>IFERROR(__xludf.DUMMYFUNCTION("""COMPUTED_VALUE"""),"10 mg/kg")</f>
        <v>10 mg/kg</v>
      </c>
      <c r="G76" s="697">
        <f>IFERROR(__xludf.DUMMYFUNCTION("""COMPUTED_VALUE"""),45.0)</f>
        <v>45</v>
      </c>
      <c r="H76" s="697" t="str">
        <f>IFERROR(__xludf.DUMMYFUNCTION("""COMPUTED_VALUE"""),"18-25")</f>
        <v>18-25</v>
      </c>
      <c r="I76" s="697"/>
      <c r="J76" s="697">
        <f>IFERROR(__xludf.DUMMYFUNCTION("""COMPUTED_VALUE"""),1980.0)</f>
        <v>1980</v>
      </c>
      <c r="K76" s="697" t="str">
        <f>IFERROR(__xludf.DUMMYFUNCTION("""COMPUTED_VALUE"""),"all university students attending the university hospital found to have S. mansoni infection")</f>
        <v>all university students attending the university hospital found to have S. mansoni infection</v>
      </c>
      <c r="L76" s="697" t="str">
        <f>IFERROR(__xludf.DUMMYFUNCTION("""COMPUTED_VALUE"""),"Yes")</f>
        <v>Yes</v>
      </c>
      <c r="M76" s="697" t="str">
        <f>IFERROR(__xludf.DUMMYFUNCTION("""COMPUTED_VALUE"""),"Yes")</f>
        <v>Yes</v>
      </c>
      <c r="N76" s="697" t="str">
        <f>IFERROR(__xludf.DUMMYFUNCTION("""COMPUTED_VALUE"""),"Follow-up: one, two and three months")</f>
        <v>Follow-up: one, two and three months</v>
      </c>
      <c r="O76" s="700">
        <f>IFERROR(__xludf.DUMMYFUNCTION("""COMPUTED_VALUE"""),0.68)</f>
        <v>0.68</v>
      </c>
      <c r="P76" s="700">
        <f>IFERROR(__xludf.DUMMYFUNCTION("""COMPUTED_VALUE"""),0.65)</f>
        <v>0.65</v>
      </c>
      <c r="Q76" s="697" t="str">
        <f>IFERROR(__xludf.DUMMYFUNCTION("""COMPUTED_VALUE"""),"Oral oxamniquine proved to achieve very high cure and ova reduction rates. ")</f>
        <v>Oral oxamniquine proved to achieve very high cure and ova reduction rates. </v>
      </c>
      <c r="R76" s="697" t="str">
        <f>IFERROR(__xludf.DUMMYFUNCTION("""COMPUTED_VALUE"""),"Evaluation of oxamniquine in the treatment of S. mansoni infection among Sudanese patients.")</f>
        <v>Evaluation of oxamniquine in the treatment of S. mansoni infection among Sudanese patients.</v>
      </c>
      <c r="S76" s="699" t="str">
        <f>IFERROR(__xludf.DUMMYFUNCTION("""COMPUTED_VALUE"""),"Ibrahim AM. Evaluation of oxamniquine in the treatment of S. mansoni infection among Sudanese patients. East African Medical Journal 1980;57(8):566–73.")</f>
        <v>Ibrahim AM. Evaluation of oxamniquine in the treatment of S. mansoni infection among Sudanese patients. East African Medical Journal 1980;57(8):566–73.</v>
      </c>
      <c r="T76" s="697"/>
      <c r="U76" s="697" t="str">
        <f>IFERROR(__xludf.DUMMYFUNCTION("""COMPUTED_VALUE"""),"")</f>
        <v/>
      </c>
      <c r="V76" s="697">
        <f>IFERROR(__xludf.DUMMYFUNCTION("""COMPUTED_VALUE"""),76.0)</f>
        <v>76</v>
      </c>
    </row>
    <row r="77">
      <c r="A77" s="697" t="str">
        <f>IFERROR(__xludf.DUMMYFUNCTION("""COMPUTED_VALUE"""),"Inyang-Etoh PC, 2009")</f>
        <v>Inyang-Etoh PC, 2009</v>
      </c>
      <c r="B77" s="697" t="str">
        <f>IFERROR(__xludf.DUMMYFUNCTION("""COMPUTED_VALUE"""),"s. haematobium")</f>
        <v>s. haematobium</v>
      </c>
      <c r="C77" s="697" t="str">
        <f>IFERROR(__xludf.DUMMYFUNCTION("""COMPUTED_VALUE"""),"Nigeria")</f>
        <v>Nigeria</v>
      </c>
      <c r="D77" s="697" t="str">
        <f>IFERROR(__xludf.DUMMYFUNCTION("""COMPUTED_VALUE"""),"Artesunate")</f>
        <v>Artesunate</v>
      </c>
      <c r="E77" s="697" t="str">
        <f>IFERROR(__xludf.DUMMYFUNCTION("""COMPUTED_VALUE"""),"Single")</f>
        <v>Single</v>
      </c>
      <c r="F77" s="697" t="str">
        <f>IFERROR(__xludf.DUMMYFUNCTION("""COMPUTED_VALUE"""),"4 mg/kg")</f>
        <v>4 mg/kg</v>
      </c>
      <c r="G77" s="697">
        <f>IFERROR(__xludf.DUMMYFUNCTION("""COMPUTED_VALUE"""),44.0)</f>
        <v>44</v>
      </c>
      <c r="H77" s="697" t="str">
        <f>IFERROR(__xludf.DUMMYFUNCTION("""COMPUTED_VALUE"""),"4 - 20")</f>
        <v>4 - 20</v>
      </c>
      <c r="I77" s="705" t="str">
        <f>IFERROR(__xludf.DUMMYFUNCTION("""COMPUTED_VALUE"""),"1 : 1")</f>
        <v>1 : 1</v>
      </c>
      <c r="J77" s="697">
        <f>IFERROR(__xludf.DUMMYFUNCTION("""COMPUTED_VALUE"""),2009.0)</f>
        <v>2009</v>
      </c>
      <c r="K77" s="697" t="str">
        <f>IFERROR(__xludf.DUMMYFUNCTION("""COMPUTED_VALUE"""),"4 to 20 (M/F) Heavy infection subjects with S.mansoi")</f>
        <v>4 to 20 (M/F) Heavy infection subjects with S.mansoi</v>
      </c>
      <c r="L77" s="697" t="str">
        <f>IFERROR(__xludf.DUMMYFUNCTION("""COMPUTED_VALUE"""),"Yes")</f>
        <v>Yes</v>
      </c>
      <c r="M77" s="697" t="str">
        <f>IFERROR(__xludf.DUMMYFUNCTION("""COMPUTED_VALUE"""),"Yes")</f>
        <v>Yes</v>
      </c>
      <c r="N77" s="697" t="str">
        <f>IFERROR(__xludf.DUMMYFUNCTION("""COMPUTED_VALUE"""),"Cure rate was determined by completement of treatment and examined by urine apperarance [color, clear,cloudy,presense/absence of blood]")</f>
        <v>Cure rate was determined by completement of treatment and examined by urine apperarance [color, clear,cloudy,presense/absence of blood]</v>
      </c>
      <c r="O77" s="700">
        <f>IFERROR(__xludf.DUMMYFUNCTION("""COMPUTED_VALUE"""),0.6)</f>
        <v>0.6</v>
      </c>
      <c r="P77" s="697"/>
      <c r="Q77" s="697" t="str">
        <f>IFERROR(__xludf.DUMMYFUNCTION("""COMPUTED_VALUE"""),"This study confirmed that oral artesunate administered at a dose of 4 mg/kg body weight and praziquantel administered orally at a dose of 40 mg/kg body weight, either singly or in combination, are safe, well tolerated and effective in the treatment of S. "&amp;"haematobium infection in this setting. It also re-confirmed the efficacy of artesunate and its comparability with praziquantel in the treatment of S.haematobium infection in the study area and also demonstratedthat combined treatment with praziquantel and"&amp;" artesunate for S. haematobium infections is safe and more effective than treatment with either drug alone in Adim community")</f>
        <v>This study confirmed that oral artesunate administered at a dose of 4 mg/kg body weight and praziquantel administered orally at a dose of 40 mg/kg body weight, either singly or in combination, are safe, well tolerated and effective in the treatment of S. haematobium infection in this setting. It also re-confirmed the efficacy of artesunate and its comparability with praziquantel in the treatment of S.haematobium infection in the study area and also demonstratedthat combined treatment with praziquantel and artesunate for S. haematobium infections is safe and more effective than treatment with either drug alone in Adim community</v>
      </c>
      <c r="R77" s="697" t="str">
        <f>IFERROR(__xludf.DUMMYFUNCTION("""COMPUTED_VALUE"""),"Efficacy of a combination of praziquantel and artesunate in the treatment of urinary schistosomiasis in Nigeria")</f>
        <v>Efficacy of a combination of praziquantel and artesunate in the treatment of urinary schistosomiasis in Nigeria</v>
      </c>
      <c r="S77" s="699" t="str">
        <f>IFERROR(__xludf.DUMMYFUNCTION("""COMPUTED_VALUE"""),"Inyang-Etoh, P. C., et al. ""Efficacy of a combination of praziquantel and artesunate in the treatment of urinary schistosomiasis in Nigeria.""Transactions of the Royal Society of Tropical Medicine and Hygiene 103.1 (2009): 38-44.")</f>
        <v>Inyang-Etoh, P. C., et al. "Efficacy of a combination of praziquantel and artesunate in the treatment of urinary schistosomiasis in Nigeria."Transactions of the Royal Society of Tropical Medicine and Hygiene 103.1 (2009): 38-44.</v>
      </c>
      <c r="T77" s="697"/>
      <c r="U77" s="697" t="str">
        <f>IFERROR(__xludf.DUMMYFUNCTION("""COMPUTED_VALUE"""),"")</f>
        <v/>
      </c>
      <c r="V77" s="697">
        <f>IFERROR(__xludf.DUMMYFUNCTION("""COMPUTED_VALUE"""),77.0)</f>
        <v>77</v>
      </c>
    </row>
    <row r="78">
      <c r="A78" s="697" t="str">
        <f>IFERROR(__xludf.DUMMYFUNCTION("""COMPUTED_VALUE"""),"Inyang-Etoh PC, 2009")</f>
        <v>Inyang-Etoh PC, 2009</v>
      </c>
      <c r="B78" s="697" t="str">
        <f>IFERROR(__xludf.DUMMYFUNCTION("""COMPUTED_VALUE"""),"s. haematobium")</f>
        <v>s. haematobium</v>
      </c>
      <c r="C78" s="697" t="str">
        <f>IFERROR(__xludf.DUMMYFUNCTION("""COMPUTED_VALUE"""),"Nigeria")</f>
        <v>Nigeria</v>
      </c>
      <c r="D78" s="697" t="str">
        <f>IFERROR(__xludf.DUMMYFUNCTION("""COMPUTED_VALUE"""),"Artesunate &amp; Praziquantel")</f>
        <v>Artesunate &amp; Praziquantel</v>
      </c>
      <c r="E78" s="697" t="str">
        <f>IFERROR(__xludf.DUMMYFUNCTION("""COMPUTED_VALUE"""),"Single")</f>
        <v>Single</v>
      </c>
      <c r="F78" s="697" t="str">
        <f>IFERROR(__xludf.DUMMYFUNCTION("""COMPUTED_VALUE"""),"4 mg/kg; 40 mg/kg")</f>
        <v>4 mg/kg; 40 mg/kg</v>
      </c>
      <c r="G78" s="697">
        <f>IFERROR(__xludf.DUMMYFUNCTION("""COMPUTED_VALUE"""),44.0)</f>
        <v>44</v>
      </c>
      <c r="H78" s="697" t="str">
        <f>IFERROR(__xludf.DUMMYFUNCTION("""COMPUTED_VALUE"""),"4 - 20")</f>
        <v>4 - 20</v>
      </c>
      <c r="I78" s="705" t="str">
        <f>IFERROR(__xludf.DUMMYFUNCTION("""COMPUTED_VALUE"""),"1 : 1")</f>
        <v>1 : 1</v>
      </c>
      <c r="J78" s="697">
        <f>IFERROR(__xludf.DUMMYFUNCTION("""COMPUTED_VALUE"""),2009.0)</f>
        <v>2009</v>
      </c>
      <c r="K78" s="697" t="str">
        <f>IFERROR(__xludf.DUMMYFUNCTION("""COMPUTED_VALUE"""),"4 to 20 (M/F) Heavy infection subjects with S.mansoi")</f>
        <v>4 to 20 (M/F) Heavy infection subjects with S.mansoi</v>
      </c>
      <c r="L78" s="697" t="str">
        <f>IFERROR(__xludf.DUMMYFUNCTION("""COMPUTED_VALUE"""),"Yes")</f>
        <v>Yes</v>
      </c>
      <c r="M78" s="697" t="str">
        <f>IFERROR(__xludf.DUMMYFUNCTION("""COMPUTED_VALUE"""),"Yes")</f>
        <v>Yes</v>
      </c>
      <c r="N78" s="697" t="str">
        <f>IFERROR(__xludf.DUMMYFUNCTION("""COMPUTED_VALUE"""),"Cure rate was determined by completement of treatment and examined by urine apperarance [color, clear,cloudy,presense/absence of blood]")</f>
        <v>Cure rate was determined by completement of treatment and examined by urine apperarance [color, clear,cloudy,presense/absence of blood]</v>
      </c>
      <c r="O78" s="698">
        <f>IFERROR(__xludf.DUMMYFUNCTION("""COMPUTED_VALUE"""),0.923)</f>
        <v>0.923</v>
      </c>
      <c r="P78" s="697"/>
      <c r="Q78" s="697" t="str">
        <f>IFERROR(__xludf.DUMMYFUNCTION("""COMPUTED_VALUE"""),"This study confirmed that oral artesunate administered at a dose of 4 mg/kg body weight and praziquantel administered orally at a dose of 40 mg/kg body weight, either singly or in combination, are safe, well tolerated and effective in the treatment of S. "&amp;"haematobium infection in this setting. It also re-confirmed the efficacy of artesunate and its comparability with praziquantel in the treatment of S.haematobium infection in the study area and also demonstratedthat combined treatment with praziquantel and"&amp;" artesunate for S. haematobium infections is safe and more effective than treatment with either drug alone in Adim community")</f>
        <v>This study confirmed that oral artesunate administered at a dose of 4 mg/kg body weight and praziquantel administered orally at a dose of 40 mg/kg body weight, either singly or in combination, are safe, well tolerated and effective in the treatment of S. haematobium infection in this setting. It also re-confirmed the efficacy of artesunate and its comparability with praziquantel in the treatment of S.haematobium infection in the study area and also demonstratedthat combined treatment with praziquantel and artesunate for S. haematobium infections is safe and more effective than treatment with either drug alone in Adim community</v>
      </c>
      <c r="R78" s="697" t="str">
        <f>IFERROR(__xludf.DUMMYFUNCTION("""COMPUTED_VALUE"""),"Efficacy of a combination of praziquantel and artesunate in the treatment of urinary schistosomiasis in Nigeria")</f>
        <v>Efficacy of a combination of praziquantel and artesunate in the treatment of urinary schistosomiasis in Nigeria</v>
      </c>
      <c r="S78" s="699" t="str">
        <f>IFERROR(__xludf.DUMMYFUNCTION("""COMPUTED_VALUE"""),"Inyang-Etoh, P. C., et al. ""Efficacy of a combination of praziquantel and artesunate in the treatment of urinary schistosomiasis in Nigeria.""Transactions of the Royal Society of Tropical Medicine and Hygiene 103.1 (2009): 38-44.")</f>
        <v>Inyang-Etoh, P. C., et al. "Efficacy of a combination of praziquantel and artesunate in the treatment of urinary schistosomiasis in Nigeria."Transactions of the Royal Society of Tropical Medicine and Hygiene 103.1 (2009): 38-44.</v>
      </c>
      <c r="T78" s="697"/>
      <c r="U78" s="697" t="str">
        <f>IFERROR(__xludf.DUMMYFUNCTION("""COMPUTED_VALUE"""),"")</f>
        <v/>
      </c>
      <c r="V78" s="697">
        <f>IFERROR(__xludf.DUMMYFUNCTION("""COMPUTED_VALUE"""),78.0)</f>
        <v>78</v>
      </c>
    </row>
    <row r="79">
      <c r="A79" s="697" t="str">
        <f>IFERROR(__xludf.DUMMYFUNCTION("""COMPUTED_VALUE"""),"Inyang-Etoh PC, 2009")</f>
        <v>Inyang-Etoh PC, 2009</v>
      </c>
      <c r="B79" s="697" t="str">
        <f>IFERROR(__xludf.DUMMYFUNCTION("""COMPUTED_VALUE"""),"s. haematobium")</f>
        <v>s. haematobium</v>
      </c>
      <c r="C79" s="697" t="str">
        <f>IFERROR(__xludf.DUMMYFUNCTION("""COMPUTED_VALUE"""),"Nigeria")</f>
        <v>Nigeria</v>
      </c>
      <c r="D79" s="697" t="str">
        <f>IFERROR(__xludf.DUMMYFUNCTION("""COMPUTED_VALUE"""),"Praziquantel")</f>
        <v>Praziquantel</v>
      </c>
      <c r="E79" s="697" t="str">
        <f>IFERROR(__xludf.DUMMYFUNCTION("""COMPUTED_VALUE"""),"Single")</f>
        <v>Single</v>
      </c>
      <c r="F79" s="697" t="str">
        <f>IFERROR(__xludf.DUMMYFUNCTION("""COMPUTED_VALUE"""),"40 mg/kg")</f>
        <v>40 mg/kg</v>
      </c>
      <c r="G79" s="697">
        <f>IFERROR(__xludf.DUMMYFUNCTION("""COMPUTED_VALUE"""),42.0)</f>
        <v>42</v>
      </c>
      <c r="H79" s="697" t="str">
        <f>IFERROR(__xludf.DUMMYFUNCTION("""COMPUTED_VALUE"""),"4 - 20")</f>
        <v>4 - 20</v>
      </c>
      <c r="I79" s="705" t="str">
        <f>IFERROR(__xludf.DUMMYFUNCTION("""COMPUTED_VALUE"""),"1 : 1")</f>
        <v>1 : 1</v>
      </c>
      <c r="J79" s="697">
        <f>IFERROR(__xludf.DUMMYFUNCTION("""COMPUTED_VALUE"""),2009.0)</f>
        <v>2009</v>
      </c>
      <c r="K79" s="697" t="str">
        <f>IFERROR(__xludf.DUMMYFUNCTION("""COMPUTED_VALUE"""),"4 to 20 (M/F) Heavy infection subjects with S.mansoi")</f>
        <v>4 to 20 (M/F) Heavy infection subjects with S.mansoi</v>
      </c>
      <c r="L79" s="697" t="str">
        <f>IFERROR(__xludf.DUMMYFUNCTION("""COMPUTED_VALUE"""),"Yes")</f>
        <v>Yes</v>
      </c>
      <c r="M79" s="697" t="str">
        <f>IFERROR(__xludf.DUMMYFUNCTION("""COMPUTED_VALUE"""),"Yes")</f>
        <v>Yes</v>
      </c>
      <c r="N79" s="697" t="str">
        <f>IFERROR(__xludf.DUMMYFUNCTION("""COMPUTED_VALUE"""),"Cure rate was determined by completement of treatment and examined by urine apperarance [color, clear,cloudy,presense/absence of blood]")</f>
        <v>Cure rate was determined by completement of treatment and examined by urine apperarance [color, clear,cloudy,presense/absence of blood]</v>
      </c>
      <c r="O79" s="698">
        <f>IFERROR(__xludf.DUMMYFUNCTION("""COMPUTED_VALUE"""),0.778)</f>
        <v>0.778</v>
      </c>
      <c r="P79" s="697"/>
      <c r="Q79" s="697" t="str">
        <f>IFERROR(__xludf.DUMMYFUNCTION("""COMPUTED_VALUE"""),"This study confirmed that oral artesunate administered at a dose of 4 mg/kg body weight and praziquantel administered orally at a dose of 40 mg/kg body weight, either singly or in combination, are safe, well tolerated and effective in the treatment of S. "&amp;"haematobium infection in this setting. It also re-confirmed the efficacy of artesunate and its comparability with praziquantel in the treatment of S.haematobium infection in the study area and also demonstratedthat combined treatment with praziquantel and"&amp;" artesunate for S. haematobium infections is safe and more effective than treatment with either drug alone in Adim community")</f>
        <v>This study confirmed that oral artesunate administered at a dose of 4 mg/kg body weight and praziquantel administered orally at a dose of 40 mg/kg body weight, either singly or in combination, are safe, well tolerated and effective in the treatment of S. haematobium infection in this setting. It also re-confirmed the efficacy of artesunate and its comparability with praziquantel in the treatment of S.haematobium infection in the study area and also demonstratedthat combined treatment with praziquantel and artesunate for S. haematobium infections is safe and more effective than treatment with either drug alone in Adim community</v>
      </c>
      <c r="R79" s="697" t="str">
        <f>IFERROR(__xludf.DUMMYFUNCTION("""COMPUTED_VALUE"""),"Efficacy of a combination of praziquantel and artesunate in the treatment of urinary schistosomiasis in Nigeria")</f>
        <v>Efficacy of a combination of praziquantel and artesunate in the treatment of urinary schistosomiasis in Nigeria</v>
      </c>
      <c r="S79" s="699" t="str">
        <f>IFERROR(__xludf.DUMMYFUNCTION("""COMPUTED_VALUE"""),"Inyang-Etoh, P. C., et al. ""Efficacy of a combination of praziquantel and artesunate in the treatment of urinary schistosomiasis in Nigeria.""Transactions of the Royal Society of Tropical Medicine and Hygiene 103.1 (2009): 38-44.")</f>
        <v>Inyang-Etoh, P. C., et al. "Efficacy of a combination of praziquantel and artesunate in the treatment of urinary schistosomiasis in Nigeria."Transactions of the Royal Society of Tropical Medicine and Hygiene 103.1 (2009): 38-44.</v>
      </c>
      <c r="T79" s="697"/>
      <c r="U79" s="697" t="str">
        <f>IFERROR(__xludf.DUMMYFUNCTION("""COMPUTED_VALUE"""),"")</f>
        <v/>
      </c>
      <c r="V79" s="697">
        <f>IFERROR(__xludf.DUMMYFUNCTION("""COMPUTED_VALUE"""),79.0)</f>
        <v>79</v>
      </c>
    </row>
    <row r="80">
      <c r="A80" s="697" t="str">
        <f>IFERROR(__xludf.DUMMYFUNCTION("""COMPUTED_VALUE"""),"Inyang-Etoh PC, 2009")</f>
        <v>Inyang-Etoh PC, 2009</v>
      </c>
      <c r="B80" s="697" t="str">
        <f>IFERROR(__xludf.DUMMYFUNCTION("""COMPUTED_VALUE"""),"s. haematobium")</f>
        <v>s. haematobium</v>
      </c>
      <c r="C80" s="697" t="str">
        <f>IFERROR(__xludf.DUMMYFUNCTION("""COMPUTED_VALUE"""),"Nigeria")</f>
        <v>Nigeria</v>
      </c>
      <c r="D80" s="697" t="str">
        <f>IFERROR(__xludf.DUMMYFUNCTION("""COMPUTED_VALUE"""),"Artesunate")</f>
        <v>Artesunate</v>
      </c>
      <c r="E80" s="697" t="str">
        <f>IFERROR(__xludf.DUMMYFUNCTION("""COMPUTED_VALUE"""),"Single")</f>
        <v>Single</v>
      </c>
      <c r="F80" s="697" t="str">
        <f>IFERROR(__xludf.DUMMYFUNCTION("""COMPUTED_VALUE"""),"4 mg/kg")</f>
        <v>4 mg/kg</v>
      </c>
      <c r="G80" s="697">
        <f>IFERROR(__xludf.DUMMYFUNCTION("""COMPUTED_VALUE"""),44.0)</f>
        <v>44</v>
      </c>
      <c r="H80" s="697" t="str">
        <f>IFERROR(__xludf.DUMMYFUNCTION("""COMPUTED_VALUE"""),"4 - 20")</f>
        <v>4 - 20</v>
      </c>
      <c r="I80" s="705" t="str">
        <f>IFERROR(__xludf.DUMMYFUNCTION("""COMPUTED_VALUE"""),"1 : 1")</f>
        <v>1 : 1</v>
      </c>
      <c r="J80" s="697">
        <f>IFERROR(__xludf.DUMMYFUNCTION("""COMPUTED_VALUE"""),2009.0)</f>
        <v>2009</v>
      </c>
      <c r="K80" s="697" t="str">
        <f>IFERROR(__xludf.DUMMYFUNCTION("""COMPUTED_VALUE"""),"4 to 20 (M/F) Heavy infection subjects with S.mansoi")</f>
        <v>4 to 20 (M/F) Heavy infection subjects with S.mansoi</v>
      </c>
      <c r="L80" s="697" t="str">
        <f>IFERROR(__xludf.DUMMYFUNCTION("""COMPUTED_VALUE"""),"Yes")</f>
        <v>Yes</v>
      </c>
      <c r="M80" s="697" t="str">
        <f>IFERROR(__xludf.DUMMYFUNCTION("""COMPUTED_VALUE"""),"Yes")</f>
        <v>Yes</v>
      </c>
      <c r="N80" s="697" t="str">
        <f>IFERROR(__xludf.DUMMYFUNCTION("""COMPUTED_VALUE"""),"Cure rate was determined by completement of treatment and examined by urine apperarance [color, clear,cloudy,presense/absence of blood]")</f>
        <v>Cure rate was determined by completement of treatment and examined by urine apperarance [color, clear,cloudy,presense/absence of blood]</v>
      </c>
      <c r="O80" s="700">
        <f>IFERROR(__xludf.DUMMYFUNCTION("""COMPUTED_VALUE"""),0.3)</f>
        <v>0.3</v>
      </c>
      <c r="P80" s="697"/>
      <c r="Q80" s="697" t="str">
        <f>IFERROR(__xludf.DUMMYFUNCTION("""COMPUTED_VALUE"""),"This study confirmed that oral artesunate administered at a dose of 4 mg/kg body weight and praziquantel administered orally at a dose of 40 mg/kg body weight, either singly or in combination, are safe, well tolerated and effective in the treatment of S. "&amp;"haematobium infection in this setting. It also re-confirmed the efficacy of artesunate and its comparability with praziquantel in the treatment of S.haematobium infection in the study area and also demonstratedthat combined treatment with praziquantel and"&amp;" artesunate for S. haematobium infections is safe and more effective than treatment with either drug alone in Adim community")</f>
        <v>This study confirmed that oral artesunate administered at a dose of 4 mg/kg body weight and praziquantel administered orally at a dose of 40 mg/kg body weight, either singly or in combination, are safe, well tolerated and effective in the treatment of S. haematobium infection in this setting. It also re-confirmed the efficacy of artesunate and its comparability with praziquantel in the treatment of S.haematobium infection in the study area and also demonstratedthat combined treatment with praziquantel and artesunate for S. haematobium infections is safe and more effective than treatment with either drug alone in Adim community</v>
      </c>
      <c r="R80" s="697" t="str">
        <f>IFERROR(__xludf.DUMMYFUNCTION("""COMPUTED_VALUE"""),"Efficacy of a combination of praziquantel and artesunate in the treatment of urinary schistosomiasis in Nigeria")</f>
        <v>Efficacy of a combination of praziquantel and artesunate in the treatment of urinary schistosomiasis in Nigeria</v>
      </c>
      <c r="S80" s="699" t="str">
        <f>IFERROR(__xludf.DUMMYFUNCTION("""COMPUTED_VALUE"""),"Inyang-Etoh, P. C., et al. ""Efficacy of a combination of praziquantel and artesunate in the treatment of urinary schistosomiasis in Nigeria.""Transactions of the Royal Society of Tropical Medicine and Hygiene 103.1 (2009): 38-44.")</f>
        <v>Inyang-Etoh, P. C., et al. "Efficacy of a combination of praziquantel and artesunate in the treatment of urinary schistosomiasis in Nigeria."Transactions of the Royal Society of Tropical Medicine and Hygiene 103.1 (2009): 38-44.</v>
      </c>
      <c r="T80" s="697"/>
      <c r="U80" s="697" t="str">
        <f>IFERROR(__xludf.DUMMYFUNCTION("""COMPUTED_VALUE"""),"")</f>
        <v/>
      </c>
      <c r="V80" s="697">
        <f>IFERROR(__xludf.DUMMYFUNCTION("""COMPUTED_VALUE"""),80.0)</f>
        <v>80</v>
      </c>
    </row>
    <row r="81">
      <c r="A81" s="697" t="str">
        <f>IFERROR(__xludf.DUMMYFUNCTION("""COMPUTED_VALUE"""),"Kabatereine NB, 2003")</f>
        <v>Kabatereine NB, 2003</v>
      </c>
      <c r="B81" s="697" t="str">
        <f>IFERROR(__xludf.DUMMYFUNCTION("""COMPUTED_VALUE"""),"s. mansoni")</f>
        <v>s. mansoni</v>
      </c>
      <c r="C81" s="697" t="str">
        <f>IFERROR(__xludf.DUMMYFUNCTION("""COMPUTED_VALUE"""),"Uganda")</f>
        <v>Uganda</v>
      </c>
      <c r="D81" s="697" t="str">
        <f>IFERROR(__xludf.DUMMYFUNCTION("""COMPUTED_VALUE"""),"praziquantel")</f>
        <v>praziquantel</v>
      </c>
      <c r="E81" s="697" t="str">
        <f>IFERROR(__xludf.DUMMYFUNCTION("""COMPUTED_VALUE"""),"Single")</f>
        <v>Single</v>
      </c>
      <c r="F81" s="697" t="str">
        <f>IFERROR(__xludf.DUMMYFUNCTION("""COMPUTED_VALUE"""),"40 mg/kg")</f>
        <v>40 mg/kg</v>
      </c>
      <c r="G81" s="697">
        <f>IFERROR(__xludf.DUMMYFUNCTION("""COMPUTED_VALUE"""),482.0)</f>
        <v>482</v>
      </c>
      <c r="H81" s="697" t="str">
        <f>IFERROR(__xludf.DUMMYFUNCTION("""COMPUTED_VALUE"""),"5-54")</f>
        <v>5-54</v>
      </c>
      <c r="I81" s="697"/>
      <c r="J81" s="697">
        <f>IFERROR(__xludf.DUMMYFUNCTION("""COMPUTED_VALUE"""),1997.0)</f>
        <v>1997</v>
      </c>
      <c r="K81" s="697" t="str">
        <f>IFERROR(__xludf.DUMMYFUNCTION("""COMPUTED_VALUE"""),"Schistosomiasis patients who had lived in the town for a minimum of 3 years")</f>
        <v>Schistosomiasis patients who had lived in the town for a minimum of 3 years</v>
      </c>
      <c r="L81" s="697" t="str">
        <f>IFERROR(__xludf.DUMMYFUNCTION("""COMPUTED_VALUE"""),"No")</f>
        <v>No</v>
      </c>
      <c r="M81" s="697" t="str">
        <f>IFERROR(__xludf.DUMMYFUNCTION("""COMPUTED_VALUE"""),"Yes")</f>
        <v>Yes</v>
      </c>
      <c r="N81" s="697" t="str">
        <f>IFERROR(__xludf.DUMMYFUNCTION("""COMPUTED_VALUE"""),"6 weeks following first treatment")</f>
        <v>6 weeks following first treatment</v>
      </c>
      <c r="O81" s="698">
        <f>IFERROR(__xludf.DUMMYFUNCTION("""COMPUTED_VALUE"""),0.491)</f>
        <v>0.491</v>
      </c>
      <c r="P81" s="698">
        <f>IFERROR(__xludf.DUMMYFUNCTION("""COMPUTED_VALUE"""),0.977)</f>
        <v>0.977</v>
      </c>
      <c r="Q81" s="697" t="str">
        <f>IFERROR(__xludf.DUMMYFUNCTION("""COMPUTED_VALUE"""),"The marked reductions in faecal egg excretion and the acceptable level of side effects point to a single praziquantel treatment")</f>
        <v>The marked reductions in faecal egg excretion and the acceptable level of side effects point to a single praziquantel treatment</v>
      </c>
      <c r="R81" s="697" t="str">
        <f>IFERROR(__xludf.DUMMYFUNCTION("""COMPUTED_VALUE"""),"Efficacy and side effects of prazinquantel treatment in a highly endemic Schistosoma mansoni focus at Lake Albert, Uganda")</f>
        <v>Efficacy and side effects of prazinquantel treatment in a highly endemic Schistosoma mansoni focus at Lake Albert, Uganda</v>
      </c>
      <c r="S81" s="699" t="str">
        <f>IFERROR(__xludf.DUMMYFUNCTION("""COMPUTED_VALUE"""),"NB Kabatereine et al. (2003). Efficacy and side effects of praziquantel treatment in a highly endemicSchistosoma mansoni focus at Lake Albert, Uganda. Transactions of the Royal Society of Tropical Medicine and Hygiene,97(5),pp.599-603")</f>
        <v>NB Kabatereine et al. (2003). Efficacy and side effects of praziquantel treatment in a highly endemicSchistosoma mansoni focus at Lake Albert, Uganda. Transactions of the Royal Society of Tropical Medicine and Hygiene,97(5),pp.599-603</v>
      </c>
      <c r="T81" s="697"/>
      <c r="U81" s="697" t="str">
        <f>IFERROR(__xludf.DUMMYFUNCTION("""COMPUTED_VALUE"""),"")</f>
        <v/>
      </c>
      <c r="V81" s="697">
        <f>IFERROR(__xludf.DUMMYFUNCTION("""COMPUTED_VALUE"""),81.0)</f>
        <v>81</v>
      </c>
    </row>
    <row r="82">
      <c r="A82" s="697" t="str">
        <f>IFERROR(__xludf.DUMMYFUNCTION("""COMPUTED_VALUE"""),"Karanja D, 1998")</f>
        <v>Karanja D, 1998</v>
      </c>
      <c r="B82" s="697" t="str">
        <f>IFERROR(__xludf.DUMMYFUNCTION("""COMPUTED_VALUE"""),"s. mansoni")</f>
        <v>s. mansoni</v>
      </c>
      <c r="C82" s="697" t="str">
        <f>IFERROR(__xludf.DUMMYFUNCTION("""COMPUTED_VALUE"""),"Kenya")</f>
        <v>Kenya</v>
      </c>
      <c r="D82" s="697" t="str">
        <f>IFERROR(__xludf.DUMMYFUNCTION("""COMPUTED_VALUE"""),"Praziquantel")</f>
        <v>Praziquantel</v>
      </c>
      <c r="E82" s="697" t="str">
        <f>IFERROR(__xludf.DUMMYFUNCTION("""COMPUTED_VALUE"""),"Single")</f>
        <v>Single</v>
      </c>
      <c r="F82" s="697" t="str">
        <f>IFERROR(__xludf.DUMMYFUNCTION("""COMPUTED_VALUE"""),"40 mg/kg")</f>
        <v>40 mg/kg</v>
      </c>
      <c r="G82" s="697">
        <f>IFERROR(__xludf.DUMMYFUNCTION("""COMPUTED_VALUE"""),15.0)</f>
        <v>15</v>
      </c>
      <c r="H82" s="697"/>
      <c r="I82" s="697"/>
      <c r="J82" s="697">
        <f>IFERROR(__xludf.DUMMYFUNCTION("""COMPUTED_VALUE"""),1998.0)</f>
        <v>1998</v>
      </c>
      <c r="K82" s="697" t="str">
        <f>IFERROR(__xludf.DUMMYFUNCTION("""COMPUTED_VALUE"""),"Individuals infected with Schistosomiasis and HIV infection")</f>
        <v>Individuals infected with Schistosomiasis and HIV infection</v>
      </c>
      <c r="L82" s="697" t="str">
        <f>IFERROR(__xludf.DUMMYFUNCTION("""COMPUTED_VALUE"""),"No")</f>
        <v>No</v>
      </c>
      <c r="M82" s="697" t="str">
        <f>IFERROR(__xludf.DUMMYFUNCTION("""COMPUTED_VALUE"""),"No")</f>
        <v>No</v>
      </c>
      <c r="N82" s="697" t="str">
        <f>IFERROR(__xludf.DUMMYFUNCTION("""COMPUTED_VALUE"""),"4 weeks following treatment, stool and urine samples were examined for the presence of schistosome eggs")</f>
        <v>4 weeks following treatment, stool and urine samples were examined for the presence of schistosome eggs</v>
      </c>
      <c r="O82" s="697"/>
      <c r="P82" s="700">
        <f>IFERROR(__xludf.DUMMYFUNCTION("""COMPUTED_VALUE"""),0.93)</f>
        <v>0.93</v>
      </c>
      <c r="Q82" s="697" t="str">
        <f>IFERROR(__xludf.DUMMYFUNCTION("""COMPUTED_VALUE"""),"The results of this study demonstrating that praziquantel is effective against schistosomiasis in HIV-1 infected individuals is encouraging.")</f>
        <v>The results of this study demonstrating that praziquantel is effective against schistosomiasis in HIV-1 infected individuals is encouraging.</v>
      </c>
      <c r="R82" s="697" t="str">
        <f>IFERROR(__xludf.DUMMYFUNCTION("""COMPUTED_VALUE"""),"STUDIES ON SCHISTOSOMIASIS IN WESTERN KENYA: II. EFFICACY OF PRAZIQUANTEL FOR TREATMENT OF SCHISTOSOMIASIS IN PERSONS COINFECTED WITH HUMAN IMMUNODEFICIENCY VIRUS-1")</f>
        <v>STUDIES ON SCHISTOSOMIASIS IN WESTERN KENYA: II. EFFICACY OF PRAZIQUANTEL FOR TREATMENT OF SCHISTOSOMIASIS IN PERSONS COINFECTED WITH HUMAN IMMUNODEFICIENCY VIRUS-1</v>
      </c>
      <c r="S82" s="699" t="str">
        <f>IFERROR(__xludf.DUMMYFUNCTION("""COMPUTED_VALUE"""),"Karanja, Diana, Anne E. Boyer, Mette Strand, Daniel G. Colley, Bernard L. Nahlen, John H. Ouma, and Evan W. Secor. ""STUDIES ON SCHISTOSOMIASIS IN WESTERN KENYA: II. EFFICACY OF PRAZIQUANTEL FOR TREATMENT OF SCHISTOSOMIASIS IN PERSONS COINFECTED WITH HUMA"&amp;"N IMMUNODEFICIENCY VIRUS-1."" Am. J. Trop Med 59.2 (1998): 307-11.")</f>
        <v>Karanja, Diana, Anne E. Boyer, Mette Strand, Daniel G. Colley, Bernard L. Nahlen, John H. Ouma, and Evan W. Secor. "STUDIES ON SCHISTOSOMIASIS IN WESTERN KENYA: II. EFFICACY OF PRAZIQUANTEL FOR TREATMENT OF SCHISTOSOMIASIS IN PERSONS COINFECTED WITH HUMAN IMMUNODEFICIENCY VIRUS-1." Am. J. Trop Med 59.2 (1998): 307-11.</v>
      </c>
      <c r="T82" s="697"/>
      <c r="U82" s="697" t="str">
        <f>IFERROR(__xludf.DUMMYFUNCTION("""COMPUTED_VALUE"""),"x")</f>
        <v>x</v>
      </c>
      <c r="V82" s="697">
        <f>IFERROR(__xludf.DUMMYFUNCTION("""COMPUTED_VALUE"""),82.0)</f>
        <v>82</v>
      </c>
    </row>
    <row r="83">
      <c r="A83" s="697" t="str">
        <f>IFERROR(__xludf.DUMMYFUNCTION("""COMPUTED_VALUE"""),"Kardaman MW, 1983")</f>
        <v>Kardaman MW, 1983</v>
      </c>
      <c r="B83" s="697" t="str">
        <f>IFERROR(__xludf.DUMMYFUNCTION("""COMPUTED_VALUE"""),"s. mansoni")</f>
        <v>s. mansoni</v>
      </c>
      <c r="C83" s="697" t="str">
        <f>IFERROR(__xludf.DUMMYFUNCTION("""COMPUTED_VALUE"""),"Sudan")</f>
        <v>Sudan</v>
      </c>
      <c r="D83" s="697" t="str">
        <f>IFERROR(__xludf.DUMMYFUNCTION("""COMPUTED_VALUE"""),"Praziquantel")</f>
        <v>Praziquantel</v>
      </c>
      <c r="E83" s="697" t="str">
        <f>IFERROR(__xludf.DUMMYFUNCTION("""COMPUTED_VALUE"""),"Single")</f>
        <v>Single</v>
      </c>
      <c r="F83" s="697" t="str">
        <f>IFERROR(__xludf.DUMMYFUNCTION("""COMPUTED_VALUE"""),"40 mg/kg")</f>
        <v>40 mg/kg</v>
      </c>
      <c r="G83" s="697">
        <f>IFERROR(__xludf.DUMMYFUNCTION("""COMPUTED_VALUE"""),179.0)</f>
        <v>179</v>
      </c>
      <c r="H83" s="697" t="str">
        <f>IFERROR(__xludf.DUMMYFUNCTION("""COMPUTED_VALUE"""),"6 - 13")</f>
        <v>6 - 13</v>
      </c>
      <c r="I83" s="697"/>
      <c r="J83" s="697">
        <f>IFERROR(__xludf.DUMMYFUNCTION("""COMPUTED_VALUE"""),1983.0)</f>
        <v>1983</v>
      </c>
      <c r="K83" s="697" t="str">
        <f>IFERROR(__xludf.DUMMYFUNCTION("""COMPUTED_VALUE"""),"schoolchildren who provided two stool samples positive for S. mansoni or two urine samples positive ")</f>
        <v>schoolchildren who provided two stool samples positive for S. mansoni or two urine samples positive </v>
      </c>
      <c r="L83" s="697" t="str">
        <f>IFERROR(__xludf.DUMMYFUNCTION("""COMPUTED_VALUE"""),"No")</f>
        <v>No</v>
      </c>
      <c r="M83" s="697" t="str">
        <f>IFERROR(__xludf.DUMMYFUNCTION("""COMPUTED_VALUE"""),"Yes")</f>
        <v>Yes</v>
      </c>
      <c r="N83" s="697" t="str">
        <f>IFERROR(__xludf.DUMMYFUNCTION("""COMPUTED_VALUE"""),"Cure rate 3 months")</f>
        <v>Cure rate 3 months</v>
      </c>
      <c r="O83" s="698">
        <f>IFERROR(__xludf.DUMMYFUNCTION("""COMPUTED_VALUE"""),0.788)</f>
        <v>0.788</v>
      </c>
      <c r="P83" s="697" t="str">
        <f>IFERROR(__xludf.DUMMYFUNCTION("""COMPUTED_VALUE"""),"&gt;95%")</f>
        <v>&gt;95%</v>
      </c>
      <c r="Q83" s="697" t="str">
        <f>IFERROR(__xludf.DUMMYFUNCTION("""COMPUTED_VALUE"""),"The results suggest that chemotherapy with praziquantel is safe, effective and acceptable, and that concurrent transmission control could increase the interval before subsequent chemotherapy would otherwise be required.")</f>
        <v>The results suggest that chemotherapy with praziquantel is safe, effective and acceptable, and that concurrent transmission control could increase the interval before subsequent chemotherapy would otherwise be required.</v>
      </c>
      <c r="R83" s="697" t="str">
        <f>IFERROR(__xludf.DUMMYFUNCTION("""COMPUTED_VALUE"""),"A field trial using praziquantel (Biltricide"") to treat Schistosoma mansoni and Schistosoma haematobium infection in Gezira, Sudan")</f>
        <v>A field trial using praziquantel (Biltricide") to treat Schistosoma mansoni and Schistosoma haematobium infection in Gezira, Sudan</v>
      </c>
      <c r="S83" s="699" t="str">
        <f>IFERROR(__xludf.DUMMYFUNCTION("""COMPUTED_VALUE"""),"Kardaman MW, Amin MA, Fenwick A, Cheesmond AK, Dixon HG. A field trial using praziquantel (Biltricide) to treat Schistosoma mansoni and Schistosoma haematobium infection in Gezira, Sudan. Annals of Tropical Medicine and Parasitology 1983;77(3):297–304.")</f>
        <v>Kardaman MW, Amin MA, Fenwick A, Cheesmond AK, Dixon HG. A field trial using praziquantel (Biltricide) to treat Schistosoma mansoni and Schistosoma haematobium infection in Gezira, Sudan. Annals of Tropical Medicine and Parasitology 1983;77(3):297–304.</v>
      </c>
      <c r="T83" s="697"/>
      <c r="U83" s="697" t="str">
        <f>IFERROR(__xludf.DUMMYFUNCTION("""COMPUTED_VALUE"""),"")</f>
        <v/>
      </c>
      <c r="V83" s="697">
        <f>IFERROR(__xludf.DUMMYFUNCTION("""COMPUTED_VALUE"""),83.0)</f>
        <v>83</v>
      </c>
    </row>
    <row r="84">
      <c r="A84" s="697" t="str">
        <f>IFERROR(__xludf.DUMMYFUNCTION("""COMPUTED_VALUE"""),"Kardaman MW, 1983")</f>
        <v>Kardaman MW, 1983</v>
      </c>
      <c r="B84" s="697" t="str">
        <f>IFERROR(__xludf.DUMMYFUNCTION("""COMPUTED_VALUE"""),"s. mansoni")</f>
        <v>s. mansoni</v>
      </c>
      <c r="C84" s="697" t="str">
        <f>IFERROR(__xludf.DUMMYFUNCTION("""COMPUTED_VALUE"""),"Sudan")</f>
        <v>Sudan</v>
      </c>
      <c r="D84" s="697" t="str">
        <f>IFERROR(__xludf.DUMMYFUNCTION("""COMPUTED_VALUE"""),"Praziquantel")</f>
        <v>Praziquantel</v>
      </c>
      <c r="E84" s="697" t="str">
        <f>IFERROR(__xludf.DUMMYFUNCTION("""COMPUTED_VALUE"""),"Two")</f>
        <v>Two</v>
      </c>
      <c r="F84" s="697" t="str">
        <f>IFERROR(__xludf.DUMMYFUNCTION("""COMPUTED_VALUE"""),"20 mg/kg")</f>
        <v>20 mg/kg</v>
      </c>
      <c r="G84" s="697">
        <f>IFERROR(__xludf.DUMMYFUNCTION("""COMPUTED_VALUE"""),171.0)</f>
        <v>171</v>
      </c>
      <c r="H84" s="697" t="str">
        <f>IFERROR(__xludf.DUMMYFUNCTION("""COMPUTED_VALUE"""),"6 - 13 ")</f>
        <v>6 - 13 </v>
      </c>
      <c r="I84" s="697"/>
      <c r="J84" s="697">
        <f>IFERROR(__xludf.DUMMYFUNCTION("""COMPUTED_VALUE"""),1983.0)</f>
        <v>1983</v>
      </c>
      <c r="K84" s="697" t="str">
        <f>IFERROR(__xludf.DUMMYFUNCTION("""COMPUTED_VALUE"""),"schoolchildren who provided two stool samples positive for S. mansoni or two urine samples positive ")</f>
        <v>schoolchildren who provided two stool samples positive for S. mansoni or two urine samples positive </v>
      </c>
      <c r="L84" s="697" t="str">
        <f>IFERROR(__xludf.DUMMYFUNCTION("""COMPUTED_VALUE"""),"No")</f>
        <v>No</v>
      </c>
      <c r="M84" s="697" t="str">
        <f>IFERROR(__xludf.DUMMYFUNCTION("""COMPUTED_VALUE"""),"Yes")</f>
        <v>Yes</v>
      </c>
      <c r="N84" s="697" t="str">
        <f>IFERROR(__xludf.DUMMYFUNCTION("""COMPUTED_VALUE"""),"Cure rate 3 months")</f>
        <v>Cure rate 3 months</v>
      </c>
      <c r="O84" s="698">
        <f>IFERROR(__xludf.DUMMYFUNCTION("""COMPUTED_VALUE"""),0.906)</f>
        <v>0.906</v>
      </c>
      <c r="P84" s="697" t="str">
        <f>IFERROR(__xludf.DUMMYFUNCTION("""COMPUTED_VALUE"""),"&gt;95%")</f>
        <v>&gt;95%</v>
      </c>
      <c r="Q84" s="697" t="str">
        <f>IFERROR(__xludf.DUMMYFUNCTION("""COMPUTED_VALUE"""),"The results suggest that chemotherapy with praziquantel is safe, effective and acceptable, and that concurrent transmission control could increase the interval before subsequent chemotherapy would otherwise be required.")</f>
        <v>The results suggest that chemotherapy with praziquantel is safe, effective and acceptable, and that concurrent transmission control could increase the interval before subsequent chemotherapy would otherwise be required.</v>
      </c>
      <c r="R84" s="697" t="str">
        <f>IFERROR(__xludf.DUMMYFUNCTION("""COMPUTED_VALUE"""),"A field trial using praziquantel (Biltricide"") to treat Schistosoma mansoni and Schistosoma haematobium infection in Gezira, Sudan")</f>
        <v>A field trial using praziquantel (Biltricide") to treat Schistosoma mansoni and Schistosoma haematobium infection in Gezira, Sudan</v>
      </c>
      <c r="S84" s="699" t="str">
        <f>IFERROR(__xludf.DUMMYFUNCTION("""COMPUTED_VALUE"""),"Kardaman MW, Amin MA, Fenwick A, Cheesmond AK, Dixon HG. A field trial using praziquantel (Biltricide) to treat Schistosoma mansoni and Schistosoma haematobium infection in Gezira, Sudan. Annals of Tropical Medicine and Parasitology 1983;77(3):297–304.")</f>
        <v>Kardaman MW, Amin MA, Fenwick A, Cheesmond AK, Dixon HG. A field trial using praziquantel (Biltricide) to treat Schistosoma mansoni and Schistosoma haematobium infection in Gezira, Sudan. Annals of Tropical Medicine and Parasitology 1983;77(3):297–304.</v>
      </c>
      <c r="T84" s="697"/>
      <c r="U84" s="697" t="str">
        <f>IFERROR(__xludf.DUMMYFUNCTION("""COMPUTED_VALUE"""),"")</f>
        <v/>
      </c>
      <c r="V84" s="697">
        <f>IFERROR(__xludf.DUMMYFUNCTION("""COMPUTED_VALUE"""),84.0)</f>
        <v>84</v>
      </c>
    </row>
    <row r="85">
      <c r="A85" s="697" t="str">
        <f>IFERROR(__xludf.DUMMYFUNCTION("""COMPUTED_VALUE"""),"Kardaman MW, 1985")</f>
        <v>Kardaman MW, 1985</v>
      </c>
      <c r="B85" s="697" t="str">
        <f>IFERROR(__xludf.DUMMYFUNCTION("""COMPUTED_VALUE"""),"s. mansoni; s.haematobium")</f>
        <v>s. mansoni; s.haematobium</v>
      </c>
      <c r="C85" s="697" t="str">
        <f>IFERROR(__xludf.DUMMYFUNCTION("""COMPUTED_VALUE"""),"Sudan")</f>
        <v>Sudan</v>
      </c>
      <c r="D85" s="697" t="str">
        <f>IFERROR(__xludf.DUMMYFUNCTION("""COMPUTED_VALUE"""),"Praziquantel")</f>
        <v>Praziquantel</v>
      </c>
      <c r="E85" s="697" t="str">
        <f>IFERROR(__xludf.DUMMYFUNCTION("""COMPUTED_VALUE"""),"Single")</f>
        <v>Single</v>
      </c>
      <c r="F85" s="697" t="str">
        <f>IFERROR(__xludf.DUMMYFUNCTION("""COMPUTED_VALUE"""),"40 mg")</f>
        <v>40 mg</v>
      </c>
      <c r="G85" s="697">
        <f>IFERROR(__xludf.DUMMYFUNCTION("""COMPUTED_VALUE"""),112.0)</f>
        <v>112</v>
      </c>
      <c r="H85" s="697" t="str">
        <f>IFERROR(__xludf.DUMMYFUNCTION("""COMPUTED_VALUE"""),"7 - 11")</f>
        <v>7 - 11</v>
      </c>
      <c r="I85" s="705" t="str">
        <f>IFERROR(__xludf.DUMMYFUNCTION("""COMPUTED_VALUE"""),"146 : 74")</f>
        <v>146 : 74</v>
      </c>
      <c r="J85" s="697">
        <f>IFERROR(__xludf.DUMMYFUNCTION("""COMPUTED_VALUE"""),1985.0)</f>
        <v>1985</v>
      </c>
      <c r="K85" s="697" t="str">
        <f>IFERROR(__xludf.DUMMYFUNCTION("""COMPUTED_VALUE"""),"schoolchildren who provided two stool samples positive for S. mansoni or two urine samples positive ")</f>
        <v>schoolchildren who provided two stool samples positive for S. mansoni or two urine samples positive </v>
      </c>
      <c r="L85" s="697" t="str">
        <f>IFERROR(__xludf.DUMMYFUNCTION("""COMPUTED_VALUE"""),"No")</f>
        <v>No</v>
      </c>
      <c r="M85" s="697" t="str">
        <f>IFERROR(__xludf.DUMMYFUNCTION("""COMPUTED_VALUE"""),"Yes")</f>
        <v>Yes</v>
      </c>
      <c r="N85" s="697" t="str">
        <f>IFERROR(__xludf.DUMMYFUNCTION("""COMPUTED_VALUE""")," follow up study : Cure rate 3 month")</f>
        <v> follow up study : Cure rate 3 month</v>
      </c>
      <c r="O85" s="698">
        <f>IFERROR(__xludf.DUMMYFUNCTION("""COMPUTED_VALUE"""),0.647)</f>
        <v>0.647</v>
      </c>
      <c r="P85" s="697"/>
      <c r="Q85" s="697" t="str">
        <f>IFERROR(__xludf.DUMMYFUNCTION("""COMPUTED_VALUE"""),"The results suggest that for schoolchildren in Gezira, chemotherapy will be required every 6 months to keep the prevalence low, unless some effective transmission control method can be found.")</f>
        <v>The results suggest that for schoolchildren in Gezira, chemotherapy will be required every 6 months to keep the prevalence low, unless some effective transmission control method can be found.</v>
      </c>
      <c r="R85" s="697" t="str">
        <f>IFERROR(__xludf.DUMMYFUNCTION("""COMPUTED_VALUE"""),"Treatment with praziquantel of schoolchildren with concurrent Schistosoma mansoni and S. haematobium infections in Gezira, Sudan")</f>
        <v>Treatment with praziquantel of schoolchildren with concurrent Schistosoma mansoni and S. haematobium infections in Gezira, Sudan</v>
      </c>
      <c r="S85" s="699" t="str">
        <f>IFERROR(__xludf.DUMMYFUNCTION("""COMPUTED_VALUE"""),"Kardaman MW, Fenwick A, el Igail AB, el Tayeb M, Daffalla AA, Dixon HG. Treatment with praziquantel of schoolchildren with concurrent Schistosoma mansoni and S. haematobium infections in Gezira, Sudan. Journal of Tropical Medicine and Hygiene 1985;88(2):1"&amp;"05–9.")</f>
        <v>Kardaman MW, Fenwick A, el Igail AB, el Tayeb M, Daffalla AA, Dixon HG. Treatment with praziquantel of schoolchildren with concurrent Schistosoma mansoni and S. haematobium infections in Gezira, Sudan. Journal of Tropical Medicine and Hygiene 1985;88(2):105–9.</v>
      </c>
      <c r="T85" s="697"/>
      <c r="U85" s="697" t="str">
        <f>IFERROR(__xludf.DUMMYFUNCTION("""COMPUTED_VALUE"""),"x")</f>
        <v>x</v>
      </c>
      <c r="V85" s="697">
        <f>IFERROR(__xludf.DUMMYFUNCTION("""COMPUTED_VALUE"""),85.0)</f>
        <v>85</v>
      </c>
    </row>
    <row r="86">
      <c r="A86" s="697" t="str">
        <f>IFERROR(__xludf.DUMMYFUNCTION("""COMPUTED_VALUE"""),"Kardaman MW, 1985")</f>
        <v>Kardaman MW, 1985</v>
      </c>
      <c r="B86" s="697" t="str">
        <f>IFERROR(__xludf.DUMMYFUNCTION("""COMPUTED_VALUE"""),"s. mansoni; s.haematobium.")</f>
        <v>s. mansoni; s.haematobium.</v>
      </c>
      <c r="C86" s="697" t="str">
        <f>IFERROR(__xludf.DUMMYFUNCTION("""COMPUTED_VALUE"""),"Sudan")</f>
        <v>Sudan</v>
      </c>
      <c r="D86" s="697" t="str">
        <f>IFERROR(__xludf.DUMMYFUNCTION("""COMPUTED_VALUE"""),"Praziquantel")</f>
        <v>Praziquantel</v>
      </c>
      <c r="E86" s="697" t="str">
        <f>IFERROR(__xludf.DUMMYFUNCTION("""COMPUTED_VALUE"""),"Two")</f>
        <v>Two</v>
      </c>
      <c r="F86" s="697" t="str">
        <f>IFERROR(__xludf.DUMMYFUNCTION("""COMPUTED_VALUE"""),"20 mg")</f>
        <v>20 mg</v>
      </c>
      <c r="G86" s="697">
        <f>IFERROR(__xludf.DUMMYFUNCTION("""COMPUTED_VALUE"""),103.0)</f>
        <v>103</v>
      </c>
      <c r="H86" s="697" t="str">
        <f>IFERROR(__xludf.DUMMYFUNCTION("""COMPUTED_VALUE"""),"7 - 11")</f>
        <v>7 - 11</v>
      </c>
      <c r="I86" s="705" t="str">
        <f>IFERROR(__xludf.DUMMYFUNCTION("""COMPUTED_VALUE"""),"147 : 74")</f>
        <v>147 : 74</v>
      </c>
      <c r="J86" s="697">
        <f>IFERROR(__xludf.DUMMYFUNCTION("""COMPUTED_VALUE"""),1985.0)</f>
        <v>1985</v>
      </c>
      <c r="K86" s="697" t="str">
        <f>IFERROR(__xludf.DUMMYFUNCTION("""COMPUTED_VALUE"""),"schoolchildren who provided two stool samples positive for S. mansoni or two urine samples positive ")</f>
        <v>schoolchildren who provided two stool samples positive for S. mansoni or two urine samples positive </v>
      </c>
      <c r="L86" s="697" t="str">
        <f>IFERROR(__xludf.DUMMYFUNCTION("""COMPUTED_VALUE"""),"No")</f>
        <v>No</v>
      </c>
      <c r="M86" s="697" t="str">
        <f>IFERROR(__xludf.DUMMYFUNCTION("""COMPUTED_VALUE"""),"Yes")</f>
        <v>Yes</v>
      </c>
      <c r="N86" s="697" t="str">
        <f>IFERROR(__xludf.DUMMYFUNCTION("""COMPUTED_VALUE"""),"follow up study : Cure rate 3 month")</f>
        <v>follow up study : Cure rate 3 month</v>
      </c>
      <c r="O86" s="698">
        <f>IFERROR(__xludf.DUMMYFUNCTION("""COMPUTED_VALUE"""),0.618)</f>
        <v>0.618</v>
      </c>
      <c r="P86" s="697"/>
      <c r="Q86" s="697" t="str">
        <f>IFERROR(__xludf.DUMMYFUNCTION("""COMPUTED_VALUE"""),"The results suggest that for schoolchildren in Gezira, chemotherapy will be required every 6 months to keep the prevalence low, unless some effective transmission control method can be found.")</f>
        <v>The results suggest that for schoolchildren in Gezira, chemotherapy will be required every 6 months to keep the prevalence low, unless some effective transmission control method can be found.</v>
      </c>
      <c r="R86" s="697" t="str">
        <f>IFERROR(__xludf.DUMMYFUNCTION("""COMPUTED_VALUE"""),"Treatment with praziquantel of schoolchildren with concurrent Schistosoma mansoni and S. haematobium infections in Gezira, Sudan")</f>
        <v>Treatment with praziquantel of schoolchildren with concurrent Schistosoma mansoni and S. haematobium infections in Gezira, Sudan</v>
      </c>
      <c r="S86" s="699" t="str">
        <f>IFERROR(__xludf.DUMMYFUNCTION("""COMPUTED_VALUE"""),"Kardaman MW, Fenwick A, el Igail AB, el Tayeb M, Daffalla AA, Dixon HG. Treatment with praziquantel of schoolchildren with concurrent Schistosoma mansoni and S. haematobium infections in Gezira, Sudan. Journal of Tropical Medicine and Hygiene 1985;88(2):1"&amp;"05–9.")</f>
        <v>Kardaman MW, Fenwick A, el Igail AB, el Tayeb M, Daffalla AA, Dixon HG. Treatment with praziquantel of schoolchildren with concurrent Schistosoma mansoni and S. haematobium infections in Gezira, Sudan. Journal of Tropical Medicine and Hygiene 1985;88(2):105–9.</v>
      </c>
      <c r="T86" s="697"/>
      <c r="U86" s="697" t="str">
        <f>IFERROR(__xludf.DUMMYFUNCTION("""COMPUTED_VALUE"""),"x")</f>
        <v>x</v>
      </c>
      <c r="V86" s="697">
        <f>IFERROR(__xludf.DUMMYFUNCTION("""COMPUTED_VALUE"""),86.0)</f>
        <v>86</v>
      </c>
    </row>
    <row r="87">
      <c r="A87" s="697" t="str">
        <f>IFERROR(__xludf.DUMMYFUNCTION("""COMPUTED_VALUE"""),"Katz N, 1977")</f>
        <v>Katz N, 1977</v>
      </c>
      <c r="B87" s="697" t="str">
        <f>IFERROR(__xludf.DUMMYFUNCTION("""COMPUTED_VALUE"""),"s. mansoni")</f>
        <v>s. mansoni</v>
      </c>
      <c r="C87" s="697" t="str">
        <f>IFERROR(__xludf.DUMMYFUNCTION("""COMPUTED_VALUE"""),"Brazil")</f>
        <v>Brazil</v>
      </c>
      <c r="D87" s="697" t="str">
        <f>IFERROR(__xludf.DUMMYFUNCTION("""COMPUTED_VALUE"""),"Oxamniquine")</f>
        <v>Oxamniquine</v>
      </c>
      <c r="E87" s="697" t="str">
        <f>IFERROR(__xludf.DUMMYFUNCTION("""COMPUTED_VALUE"""),"Single")</f>
        <v>Single</v>
      </c>
      <c r="F87" s="697" t="str">
        <f>IFERROR(__xludf.DUMMYFUNCTION("""COMPUTED_VALUE"""),"20 mg/kg")</f>
        <v>20 mg/kg</v>
      </c>
      <c r="G87" s="697">
        <f>IFERROR(__xludf.DUMMYFUNCTION("""COMPUTED_VALUE"""),19.0)</f>
        <v>19</v>
      </c>
      <c r="H87" s="697" t="str">
        <f>IFERROR(__xludf.DUMMYFUNCTION("""COMPUTED_VALUE"""),"2 - 15")</f>
        <v>2 - 15</v>
      </c>
      <c r="I87" s="697"/>
      <c r="J87" s="697">
        <f>IFERROR(__xludf.DUMMYFUNCTION("""COMPUTED_VALUE"""),1977.0)</f>
        <v>1977</v>
      </c>
      <c r="K87" s="697"/>
      <c r="L87" s="697" t="str">
        <f>IFERROR(__xludf.DUMMYFUNCTION("""COMPUTED_VALUE"""),"No")</f>
        <v>No</v>
      </c>
      <c r="M87" s="697" t="str">
        <f>IFERROR(__xludf.DUMMYFUNCTION("""COMPUTED_VALUE"""),"No")</f>
        <v>No</v>
      </c>
      <c r="N87" s="697" t="str">
        <f>IFERROR(__xludf.DUMMYFUNCTION("""COMPUTED_VALUE"""),"Efficacy was determined by stool examination for S.mansoni eggs 3-4 months after treatment and negative stool for eggs were considered cure")</f>
        <v>Efficacy was determined by stool examination for S.mansoni eggs 3-4 months after treatment and negative stool for eggs were considered cure</v>
      </c>
      <c r="O87" s="698">
        <f>IFERROR(__xludf.DUMMYFUNCTION("""COMPUTED_VALUE"""),0.737)</f>
        <v>0.737</v>
      </c>
      <c r="P87" s="697" t="str">
        <f>IFERROR(__xludf.DUMMYFUNCTION("""COMPUTED_VALUE"""),"&gt;90%")</f>
        <v>&gt;90%</v>
      </c>
      <c r="Q87" s="697" t="str">
        <f>IFERROR(__xludf.DUMMYFUNCTION("""COMPUTED_VALUE"""),"Adults treated with smaller dose of oxamniquine than children had higher rate of cure. effective schistosomicidal drug")</f>
        <v>Adults treated with smaller dose of oxamniquine than children had higher rate of cure. effective schistosomicidal drug</v>
      </c>
      <c r="R87" s="697" t="str">
        <f>IFERROR(__xludf.DUMMYFUNCTION("""COMPUTED_VALUE"""),"Field Trials with Oxamniquine in a Schistosomiasis mansoni-endemic area")</f>
        <v>Field Trials with Oxamniquine in a Schistosomiasis mansoni-endemic area</v>
      </c>
      <c r="S87" s="699" t="str">
        <f>IFERROR(__xludf.DUMMYFUNCTION("""COMPUTED_VALUE"""),"Katz N., Zicker F., Pereira J.P. Field trials with oxamniquine in a schistosomiasis mansoni‐endemic area. Am J trop Med Hyg (1977) 26(1); 234‐237.")</f>
        <v>Katz N., Zicker F., Pereira J.P. Field trials with oxamniquine in a schistosomiasis mansoni‐endemic area. Am J trop Med Hyg (1977) 26(1); 234‐237.</v>
      </c>
      <c r="T87" s="697"/>
      <c r="U87" s="697" t="str">
        <f>IFERROR(__xludf.DUMMYFUNCTION("""COMPUTED_VALUE"""),"x")</f>
        <v>x</v>
      </c>
      <c r="V87" s="697">
        <f>IFERROR(__xludf.DUMMYFUNCTION("""COMPUTED_VALUE"""),87.0)</f>
        <v>87</v>
      </c>
    </row>
    <row r="88">
      <c r="A88" s="697" t="str">
        <f>IFERROR(__xludf.DUMMYFUNCTION("""COMPUTED_VALUE"""),"Katz N, 1977")</f>
        <v>Katz N, 1977</v>
      </c>
      <c r="B88" s="697" t="str">
        <f>IFERROR(__xludf.DUMMYFUNCTION("""COMPUTED_VALUE"""),"s. mansoni")</f>
        <v>s. mansoni</v>
      </c>
      <c r="C88" s="697" t="str">
        <f>IFERROR(__xludf.DUMMYFUNCTION("""COMPUTED_VALUE"""),"Brazil")</f>
        <v>Brazil</v>
      </c>
      <c r="D88" s="697" t="str">
        <f>IFERROR(__xludf.DUMMYFUNCTION("""COMPUTED_VALUE"""),"Oxamniquine")</f>
        <v>Oxamniquine</v>
      </c>
      <c r="E88" s="697" t="str">
        <f>IFERROR(__xludf.DUMMYFUNCTION("""COMPUTED_VALUE"""),"Two")</f>
        <v>Two</v>
      </c>
      <c r="F88" s="697" t="str">
        <f>IFERROR(__xludf.DUMMYFUNCTION("""COMPUTED_VALUE"""),"10 mg/kg")</f>
        <v>10 mg/kg</v>
      </c>
      <c r="G88" s="697">
        <f>IFERROR(__xludf.DUMMYFUNCTION("""COMPUTED_VALUE"""),47.0)</f>
        <v>47</v>
      </c>
      <c r="H88" s="697" t="str">
        <f>IFERROR(__xludf.DUMMYFUNCTION("""COMPUTED_VALUE"""),"2 - 15")</f>
        <v>2 - 15</v>
      </c>
      <c r="I88" s="697"/>
      <c r="J88" s="697">
        <f>IFERROR(__xludf.DUMMYFUNCTION("""COMPUTED_VALUE"""),1977.0)</f>
        <v>1977</v>
      </c>
      <c r="K88" s="697"/>
      <c r="L88" s="697" t="str">
        <f>IFERROR(__xludf.DUMMYFUNCTION("""COMPUTED_VALUE"""),"No")</f>
        <v>No</v>
      </c>
      <c r="M88" s="697" t="str">
        <f>IFERROR(__xludf.DUMMYFUNCTION("""COMPUTED_VALUE"""),"No")</f>
        <v>No</v>
      </c>
      <c r="N88" s="697" t="str">
        <f>IFERROR(__xludf.DUMMYFUNCTION("""COMPUTED_VALUE"""),"Efficacy was determined by stool examination for S.mansoni eggs 3-4 months after treatment and negative stool for eggs were considered cure")</f>
        <v>Efficacy was determined by stool examination for S.mansoni eggs 3-4 months after treatment and negative stool for eggs were considered cure</v>
      </c>
      <c r="O88" s="698">
        <f>IFERROR(__xludf.DUMMYFUNCTION("""COMPUTED_VALUE"""),0.622)</f>
        <v>0.622</v>
      </c>
      <c r="P88" s="697" t="str">
        <f>IFERROR(__xludf.DUMMYFUNCTION("""COMPUTED_VALUE"""),"&gt;90%")</f>
        <v>&gt;90%</v>
      </c>
      <c r="Q88" s="697" t="str">
        <f>IFERROR(__xludf.DUMMYFUNCTION("""COMPUTED_VALUE"""),"Adults treated with smaller dose of oxamniquine than children had higher rate of cure. effective schistosomicidal drug")</f>
        <v>Adults treated with smaller dose of oxamniquine than children had higher rate of cure. effective schistosomicidal drug</v>
      </c>
      <c r="R88" s="697"/>
      <c r="S88" s="699" t="str">
        <f>IFERROR(__xludf.DUMMYFUNCTION("""COMPUTED_VALUE"""),"Katz N., Zicker F., Pereira J.P. Field trials with oxamniquine in a schistosomiasis mansoni‐endemic area. Am J trop Med Hyg (1977) 26(1); 234‐237.")</f>
        <v>Katz N., Zicker F., Pereira J.P. Field trials with oxamniquine in a schistosomiasis mansoni‐endemic area. Am J trop Med Hyg (1977) 26(1); 234‐237.</v>
      </c>
      <c r="T88" s="697"/>
      <c r="U88" s="697" t="str">
        <f>IFERROR(__xludf.DUMMYFUNCTION("""COMPUTED_VALUE"""),"x")</f>
        <v>x</v>
      </c>
      <c r="V88" s="697">
        <f>IFERROR(__xludf.DUMMYFUNCTION("""COMPUTED_VALUE"""),88.0)</f>
        <v>88</v>
      </c>
    </row>
    <row r="89">
      <c r="A89" s="697" t="str">
        <f>IFERROR(__xludf.DUMMYFUNCTION("""COMPUTED_VALUE"""),"Katz N, 1977")</f>
        <v>Katz N, 1977</v>
      </c>
      <c r="B89" s="697" t="str">
        <f>IFERROR(__xludf.DUMMYFUNCTION("""COMPUTED_VALUE"""),"s. mansoni")</f>
        <v>s. mansoni</v>
      </c>
      <c r="C89" s="697" t="str">
        <f>IFERROR(__xludf.DUMMYFUNCTION("""COMPUTED_VALUE"""),"Brazil")</f>
        <v>Brazil</v>
      </c>
      <c r="D89" s="697" t="str">
        <f>IFERROR(__xludf.DUMMYFUNCTION("""COMPUTED_VALUE"""),"Oxamniquine")</f>
        <v>Oxamniquine</v>
      </c>
      <c r="E89" s="697" t="str">
        <f>IFERROR(__xludf.DUMMYFUNCTION("""COMPUTED_VALUE"""),"Single")</f>
        <v>Single</v>
      </c>
      <c r="F89" s="697" t="str">
        <f>IFERROR(__xludf.DUMMYFUNCTION("""COMPUTED_VALUE"""),"15 mg/kg")</f>
        <v>15 mg/kg</v>
      </c>
      <c r="G89" s="697">
        <f>IFERROR(__xludf.DUMMYFUNCTION("""COMPUTED_VALUE"""),154.0)</f>
        <v>154</v>
      </c>
      <c r="H89" s="697" t="str">
        <f>IFERROR(__xludf.DUMMYFUNCTION("""COMPUTED_VALUE"""),"Adults")</f>
        <v>Adults</v>
      </c>
      <c r="I89" s="697"/>
      <c r="J89" s="697">
        <f>IFERROR(__xludf.DUMMYFUNCTION("""COMPUTED_VALUE"""),1977.0)</f>
        <v>1977</v>
      </c>
      <c r="K89" s="697"/>
      <c r="L89" s="697" t="str">
        <f>IFERROR(__xludf.DUMMYFUNCTION("""COMPUTED_VALUE"""),"No")</f>
        <v>No</v>
      </c>
      <c r="M89" s="697" t="str">
        <f>IFERROR(__xludf.DUMMYFUNCTION("""COMPUTED_VALUE"""),"No")</f>
        <v>No</v>
      </c>
      <c r="N89" s="697" t="str">
        <f>IFERROR(__xludf.DUMMYFUNCTION("""COMPUTED_VALUE"""),"Efficacy was determined by stool examination for S.mansoni eggs 3-4 months after treatment and negative stool for eggs were considered cure")</f>
        <v>Efficacy was determined by stool examination for S.mansoni eggs 3-4 months after treatment and negative stool for eggs were considered cure</v>
      </c>
      <c r="O89" s="698">
        <f>IFERROR(__xludf.DUMMYFUNCTION("""COMPUTED_VALUE"""),0.824)</f>
        <v>0.824</v>
      </c>
      <c r="P89" s="697" t="str">
        <f>IFERROR(__xludf.DUMMYFUNCTION("""COMPUTED_VALUE"""),"&gt;90%")</f>
        <v>&gt;90%</v>
      </c>
      <c r="Q89" s="697" t="str">
        <f>IFERROR(__xludf.DUMMYFUNCTION("""COMPUTED_VALUE"""),"Adults treated with smaller dose of oxamniquine than children had higher rate of cure. effective schistosomicidal drug")</f>
        <v>Adults treated with smaller dose of oxamniquine than children had higher rate of cure. effective schistosomicidal drug</v>
      </c>
      <c r="R89" s="697"/>
      <c r="S89" s="699" t="str">
        <f>IFERROR(__xludf.DUMMYFUNCTION("""COMPUTED_VALUE"""),"Katz N., Zicker F., Pereira J.P. Field trials with oxamniquine in a schistosomiasis mansoni‐endemic area. Am J trop Med Hyg (1977) 26(1); 234‐237.")</f>
        <v>Katz N., Zicker F., Pereira J.P. Field trials with oxamniquine in a schistosomiasis mansoni‐endemic area. Am J trop Med Hyg (1977) 26(1); 234‐237.</v>
      </c>
      <c r="T89" s="697"/>
      <c r="U89" s="697" t="str">
        <f>IFERROR(__xludf.DUMMYFUNCTION("""COMPUTED_VALUE"""),"x")</f>
        <v>x</v>
      </c>
      <c r="V89" s="697">
        <f>IFERROR(__xludf.DUMMYFUNCTION("""COMPUTED_VALUE"""),89.0)</f>
        <v>89</v>
      </c>
    </row>
    <row r="90">
      <c r="A90" s="697" t="str">
        <f>IFERROR(__xludf.DUMMYFUNCTION("""COMPUTED_VALUE"""),"Katz N, 1979")</f>
        <v>Katz N, 1979</v>
      </c>
      <c r="B90" s="697" t="str">
        <f>IFERROR(__xludf.DUMMYFUNCTION("""COMPUTED_VALUE"""),"s. mansoni")</f>
        <v>s. mansoni</v>
      </c>
      <c r="C90" s="697" t="str">
        <f>IFERROR(__xludf.DUMMYFUNCTION("""COMPUTED_VALUE"""),"Brazil")</f>
        <v>Brazil</v>
      </c>
      <c r="D90" s="697" t="str">
        <f>IFERROR(__xludf.DUMMYFUNCTION("""COMPUTED_VALUE"""),"Praziquantel")</f>
        <v>Praziquantel</v>
      </c>
      <c r="E90" s="697" t="str">
        <f>IFERROR(__xludf.DUMMYFUNCTION("""COMPUTED_VALUE"""),"Single")</f>
        <v>Single</v>
      </c>
      <c r="F90" s="697" t="str">
        <f>IFERROR(__xludf.DUMMYFUNCTION("""COMPUTED_VALUE"""),"20 mg/kg")</f>
        <v>20 mg/kg</v>
      </c>
      <c r="G90" s="697">
        <f>IFERROR(__xludf.DUMMYFUNCTION("""COMPUTED_VALUE"""),8.0)</f>
        <v>8</v>
      </c>
      <c r="H90" s="697" t="str">
        <f>IFERROR(__xludf.DUMMYFUNCTION("""COMPUTED_VALUE"""),"20- 48")</f>
        <v>20- 48</v>
      </c>
      <c r="I90" s="705" t="str">
        <f>IFERROR(__xludf.DUMMYFUNCTION("""COMPUTED_VALUE"""),"male")</f>
        <v>male</v>
      </c>
      <c r="J90" s="697">
        <f>IFERROR(__xludf.DUMMYFUNCTION("""COMPUTED_VALUE"""),1979.0)</f>
        <v>1979</v>
      </c>
      <c r="K90" s="697" t="str">
        <f>IFERROR(__xludf.DUMMYFUNCTION("""COMPUTED_VALUE"""),"male patients from the military police of Minas Gerais who were excreting &gt; 100 EPG of S. mansoni")</f>
        <v>male patients from the military police of Minas Gerais who were excreting &gt; 100 EPG of S. mansoni</v>
      </c>
      <c r="L90" s="697" t="str">
        <f>IFERROR(__xludf.DUMMYFUNCTION("""COMPUTED_VALUE"""),"No")</f>
        <v>No</v>
      </c>
      <c r="M90" s="697" t="str">
        <f>IFERROR(__xludf.DUMMYFUNCTION("""COMPUTED_VALUE"""),"No")</f>
        <v>No</v>
      </c>
      <c r="N90" s="697" t="str">
        <f>IFERROR(__xludf.DUMMYFUNCTION("""COMPUTED_VALUE"""),"cure rate accessed at 6 months")</f>
        <v>cure rate accessed at 6 months</v>
      </c>
      <c r="O90" s="700">
        <f>IFERROR(__xludf.DUMMYFUNCTION("""COMPUTED_VALUE"""),0.4)</f>
        <v>0.4</v>
      </c>
      <c r="P90" s="697"/>
      <c r="Q90" s="697" t="str">
        <f>IFERROR(__xludf.DUMMYFUNCTION("""COMPUTED_VALUE"""),"These data demonstrate that persons with HIV-1 infection can be treated effectively for schistosomiasis with praziquantel.")</f>
        <v>These data demonstrate that persons with HIV-1 infection can be treated effectively for schistosomiasis with praziquantel.</v>
      </c>
      <c r="R90" s="697"/>
      <c r="S90" s="699" t="str">
        <f>IFERROR(__xludf.DUMMYFUNCTION("""COMPUTED_VALUE"""),"Katz N. Preliminary trials with praziquantel in human infections due to Schistosoma mansoni. Bulletin of the World Health Organization 1979;57(5):781–5.")</f>
        <v>Katz N. Preliminary trials with praziquantel in human infections due to Schistosoma mansoni. Bulletin of the World Health Organization 1979;57(5):781–5.</v>
      </c>
      <c r="T90" s="697"/>
      <c r="U90" s="697" t="str">
        <f>IFERROR(__xludf.DUMMYFUNCTION("""COMPUTED_VALUE"""),"x")</f>
        <v>x</v>
      </c>
      <c r="V90" s="697">
        <f>IFERROR(__xludf.DUMMYFUNCTION("""COMPUTED_VALUE"""),90.0)</f>
        <v>90</v>
      </c>
    </row>
    <row r="91">
      <c r="A91" s="697" t="str">
        <f>IFERROR(__xludf.DUMMYFUNCTION("""COMPUTED_VALUE"""),"Katz N, 1979")</f>
        <v>Katz N, 1979</v>
      </c>
      <c r="B91" s="697" t="str">
        <f>IFERROR(__xludf.DUMMYFUNCTION("""COMPUTED_VALUE"""),"s. mansoni")</f>
        <v>s. mansoni</v>
      </c>
      <c r="C91" s="697" t="str">
        <f>IFERROR(__xludf.DUMMYFUNCTION("""COMPUTED_VALUE"""),"Brazil")</f>
        <v>Brazil</v>
      </c>
      <c r="D91" s="697" t="str">
        <f>IFERROR(__xludf.DUMMYFUNCTION("""COMPUTED_VALUE"""),"Praziquantel")</f>
        <v>Praziquantel</v>
      </c>
      <c r="E91" s="697" t="str">
        <f>IFERROR(__xludf.DUMMYFUNCTION("""COMPUTED_VALUE"""),"Two")</f>
        <v>Two</v>
      </c>
      <c r="F91" s="697" t="str">
        <f>IFERROR(__xludf.DUMMYFUNCTION("""COMPUTED_VALUE"""),"20 mg/kg")</f>
        <v>20 mg/kg</v>
      </c>
      <c r="G91" s="697">
        <f>IFERROR(__xludf.DUMMYFUNCTION("""COMPUTED_VALUE"""),7.0)</f>
        <v>7</v>
      </c>
      <c r="H91" s="697" t="str">
        <f>IFERROR(__xludf.DUMMYFUNCTION("""COMPUTED_VALUE"""),"20- 49")</f>
        <v>20- 49</v>
      </c>
      <c r="I91" s="705" t="str">
        <f>IFERROR(__xludf.DUMMYFUNCTION("""COMPUTED_VALUE"""),"male")</f>
        <v>male</v>
      </c>
      <c r="J91" s="697">
        <f>IFERROR(__xludf.DUMMYFUNCTION("""COMPUTED_VALUE"""),1979.0)</f>
        <v>1979</v>
      </c>
      <c r="K91" s="697" t="str">
        <f>IFERROR(__xludf.DUMMYFUNCTION("""COMPUTED_VALUE"""),"male patients from the military police of Minas Gerais who were excreting &gt; 100 EPG of S. mansoni")</f>
        <v>male patients from the military police of Minas Gerais who were excreting &gt; 100 EPG of S. mansoni</v>
      </c>
      <c r="L91" s="697" t="str">
        <f>IFERROR(__xludf.DUMMYFUNCTION("""COMPUTED_VALUE"""),"No")</f>
        <v>No</v>
      </c>
      <c r="M91" s="697" t="str">
        <f>IFERROR(__xludf.DUMMYFUNCTION("""COMPUTED_VALUE"""),"No")</f>
        <v>No</v>
      </c>
      <c r="N91" s="697" t="str">
        <f>IFERROR(__xludf.DUMMYFUNCTION("""COMPUTED_VALUE"""),"cure rate accessed at 6 months")</f>
        <v>cure rate accessed at 6 months</v>
      </c>
      <c r="O91" s="700">
        <f>IFERROR(__xludf.DUMMYFUNCTION("""COMPUTED_VALUE"""),1.0)</f>
        <v>1</v>
      </c>
      <c r="P91" s="697"/>
      <c r="Q91" s="697" t="str">
        <f>IFERROR(__xludf.DUMMYFUNCTION("""COMPUTED_VALUE"""),"These data demonstrate that persons with HIV-1 infection can be treated effectively for schistosomiasis with praziquantel.")</f>
        <v>These data demonstrate that persons with HIV-1 infection can be treated effectively for schistosomiasis with praziquantel.</v>
      </c>
      <c r="R91" s="697"/>
      <c r="S91" s="699" t="str">
        <f>IFERROR(__xludf.DUMMYFUNCTION("""COMPUTED_VALUE"""),"Katz N. Preliminary trials with praziquantel in human infections due to Schistosoma mansoni. Bulletin of the World Health Organization 1979;57(5):781–5.")</f>
        <v>Katz N. Preliminary trials with praziquantel in human infections due to Schistosoma mansoni. Bulletin of the World Health Organization 1979;57(5):781–5.</v>
      </c>
      <c r="T91" s="697"/>
      <c r="U91" s="697" t="str">
        <f>IFERROR(__xludf.DUMMYFUNCTION("""COMPUTED_VALUE"""),"x")</f>
        <v>x</v>
      </c>
      <c r="V91" s="697">
        <f>IFERROR(__xludf.DUMMYFUNCTION("""COMPUTED_VALUE"""),91.0)</f>
        <v>91</v>
      </c>
    </row>
    <row r="92">
      <c r="A92" s="697" t="str">
        <f>IFERROR(__xludf.DUMMYFUNCTION("""COMPUTED_VALUE"""),"Katz N, 1979")</f>
        <v>Katz N, 1979</v>
      </c>
      <c r="B92" s="697" t="str">
        <f>IFERROR(__xludf.DUMMYFUNCTION("""COMPUTED_VALUE"""),"s. mansoni")</f>
        <v>s. mansoni</v>
      </c>
      <c r="C92" s="697" t="str">
        <f>IFERROR(__xludf.DUMMYFUNCTION("""COMPUTED_VALUE"""),"Brazil")</f>
        <v>Brazil</v>
      </c>
      <c r="D92" s="697" t="str">
        <f>IFERROR(__xludf.DUMMYFUNCTION("""COMPUTED_VALUE"""),"Praziquantel")</f>
        <v>Praziquantel</v>
      </c>
      <c r="E92" s="697" t="str">
        <f>IFERROR(__xludf.DUMMYFUNCTION("""COMPUTED_VALUE"""),"Three")</f>
        <v>Three</v>
      </c>
      <c r="F92" s="697" t="str">
        <f>IFERROR(__xludf.DUMMYFUNCTION("""COMPUTED_VALUE"""),"20 mg/kg")</f>
        <v>20 mg/kg</v>
      </c>
      <c r="G92" s="697">
        <f>IFERROR(__xludf.DUMMYFUNCTION("""COMPUTED_VALUE"""),13.0)</f>
        <v>13</v>
      </c>
      <c r="H92" s="697" t="str">
        <f>IFERROR(__xludf.DUMMYFUNCTION("""COMPUTED_VALUE"""),"20- 50")</f>
        <v>20- 50</v>
      </c>
      <c r="I92" s="705" t="str">
        <f>IFERROR(__xludf.DUMMYFUNCTION("""COMPUTED_VALUE"""),"male")</f>
        <v>male</v>
      </c>
      <c r="J92" s="697">
        <f>IFERROR(__xludf.DUMMYFUNCTION("""COMPUTED_VALUE"""),1979.0)</f>
        <v>1979</v>
      </c>
      <c r="K92" s="697" t="str">
        <f>IFERROR(__xludf.DUMMYFUNCTION("""COMPUTED_VALUE"""),"male patients from the military police of Minas Gerais who were excreting &gt; 100 EPG of S. mansoni")</f>
        <v>male patients from the military police of Minas Gerais who were excreting &gt; 100 EPG of S. mansoni</v>
      </c>
      <c r="L92" s="697" t="str">
        <f>IFERROR(__xludf.DUMMYFUNCTION("""COMPUTED_VALUE"""),"No")</f>
        <v>No</v>
      </c>
      <c r="M92" s="697" t="str">
        <f>IFERROR(__xludf.DUMMYFUNCTION("""COMPUTED_VALUE"""),"No")</f>
        <v>No</v>
      </c>
      <c r="N92" s="697" t="str">
        <f>IFERROR(__xludf.DUMMYFUNCTION("""COMPUTED_VALUE"""),"cure rate accessed at 6 months")</f>
        <v>cure rate accessed at 6 months</v>
      </c>
      <c r="O92" s="700">
        <f>IFERROR(__xludf.DUMMYFUNCTION("""COMPUTED_VALUE"""),1.0)</f>
        <v>1</v>
      </c>
      <c r="P92" s="697"/>
      <c r="Q92" s="697" t="str">
        <f>IFERROR(__xludf.DUMMYFUNCTION("""COMPUTED_VALUE"""),"These data demonstrate that persons with HIV-1 infection can be treated effectively for schistosomiasis with praziquantel.")</f>
        <v>These data demonstrate that persons with HIV-1 infection can be treated effectively for schistosomiasis with praziquantel.</v>
      </c>
      <c r="R92" s="697"/>
      <c r="S92" s="699" t="str">
        <f>IFERROR(__xludf.DUMMYFUNCTION("""COMPUTED_VALUE"""),"Katz N. Preliminary trials with praziquantel in human infections due to Schistosoma mansoni. Bulletin of the World Health Organization 1979;57(5):781–5.")</f>
        <v>Katz N. Preliminary trials with praziquantel in human infections due to Schistosoma mansoni. Bulletin of the World Health Organization 1979;57(5):781–5.</v>
      </c>
      <c r="T92" s="697"/>
      <c r="U92" s="697" t="str">
        <f>IFERROR(__xludf.DUMMYFUNCTION("""COMPUTED_VALUE"""),"x")</f>
        <v>x</v>
      </c>
      <c r="V92" s="697">
        <f>IFERROR(__xludf.DUMMYFUNCTION("""COMPUTED_VALUE"""),92.0)</f>
        <v>92</v>
      </c>
    </row>
    <row r="93">
      <c r="A93" s="697" t="str">
        <f>IFERROR(__xludf.DUMMYFUNCTION("""COMPUTED_VALUE"""),"Katz N, 1979")</f>
        <v>Katz N, 1979</v>
      </c>
      <c r="B93" s="697" t="str">
        <f>IFERROR(__xludf.DUMMYFUNCTION("""COMPUTED_VALUE"""),"s. mansoni")</f>
        <v>s. mansoni</v>
      </c>
      <c r="C93" s="697" t="str">
        <f>IFERROR(__xludf.DUMMYFUNCTION("""COMPUTED_VALUE"""),"Brazil")</f>
        <v>Brazil</v>
      </c>
      <c r="D93" s="697" t="str">
        <f>IFERROR(__xludf.DUMMYFUNCTION("""COMPUTED_VALUE"""),"Praziquantel")</f>
        <v>Praziquantel</v>
      </c>
      <c r="E93" s="697" t="str">
        <f>IFERROR(__xludf.DUMMYFUNCTION("""COMPUTED_VALUE"""),"Single")</f>
        <v>Single</v>
      </c>
      <c r="F93" s="697" t="str">
        <f>IFERROR(__xludf.DUMMYFUNCTION("""COMPUTED_VALUE"""),"50 mg/kg")</f>
        <v>50 mg/kg</v>
      </c>
      <c r="G93" s="697">
        <f>IFERROR(__xludf.DUMMYFUNCTION("""COMPUTED_VALUE"""),31.0)</f>
        <v>31</v>
      </c>
      <c r="H93" s="697" t="str">
        <f>IFERROR(__xludf.DUMMYFUNCTION("""COMPUTED_VALUE"""),"20- 51")</f>
        <v>20- 51</v>
      </c>
      <c r="I93" s="705" t="str">
        <f>IFERROR(__xludf.DUMMYFUNCTION("""COMPUTED_VALUE"""),"male")</f>
        <v>male</v>
      </c>
      <c r="J93" s="697">
        <f>IFERROR(__xludf.DUMMYFUNCTION("""COMPUTED_VALUE"""),1979.0)</f>
        <v>1979</v>
      </c>
      <c r="K93" s="697" t="str">
        <f>IFERROR(__xludf.DUMMYFUNCTION("""COMPUTED_VALUE"""),"male patients from the military police of Minas Gerais who were excreting &gt; 100 EPG of S. mansoni")</f>
        <v>male patients from the military police of Minas Gerais who were excreting &gt; 100 EPG of S. mansoni</v>
      </c>
      <c r="L93" s="697" t="str">
        <f>IFERROR(__xludf.DUMMYFUNCTION("""COMPUTED_VALUE"""),"No")</f>
        <v>No</v>
      </c>
      <c r="M93" s="697" t="str">
        <f>IFERROR(__xludf.DUMMYFUNCTION("""COMPUTED_VALUE"""),"No")</f>
        <v>No</v>
      </c>
      <c r="N93" s="697" t="str">
        <f>IFERROR(__xludf.DUMMYFUNCTION("""COMPUTED_VALUE"""),"cure rate accessed at 6 months")</f>
        <v>cure rate accessed at 6 months</v>
      </c>
      <c r="O93" s="700">
        <f>IFERROR(__xludf.DUMMYFUNCTION("""COMPUTED_VALUE"""),0.92)</f>
        <v>0.92</v>
      </c>
      <c r="P93" s="700">
        <f>IFERROR(__xludf.DUMMYFUNCTION("""COMPUTED_VALUE"""),0.98)</f>
        <v>0.98</v>
      </c>
      <c r="Q93" s="697" t="str">
        <f>IFERROR(__xludf.DUMMYFUNCTION("""COMPUTED_VALUE"""),"These data demonstrate that persons with HIV-1 infection can be treated effectively for schistosomiasis with praziquantel.")</f>
        <v>These data demonstrate that persons with HIV-1 infection can be treated effectively for schistosomiasis with praziquantel.</v>
      </c>
      <c r="R93" s="697"/>
      <c r="S93" s="699" t="str">
        <f>IFERROR(__xludf.DUMMYFUNCTION("""COMPUTED_VALUE"""),"Katz N. Preliminary trials with praziquantel in human infections due to Schistosoma mansoni. Bulletin of the World Health Organization 1979;57(5):781–5.")</f>
        <v>Katz N. Preliminary trials with praziquantel in human infections due to Schistosoma mansoni. Bulletin of the World Health Organization 1979;57(5):781–5.</v>
      </c>
      <c r="T93" s="697"/>
      <c r="U93" s="697" t="str">
        <f>IFERROR(__xludf.DUMMYFUNCTION("""COMPUTED_VALUE"""),"x")</f>
        <v>x</v>
      </c>
      <c r="V93" s="697">
        <f>IFERROR(__xludf.DUMMYFUNCTION("""COMPUTED_VALUE"""),93.0)</f>
        <v>93</v>
      </c>
    </row>
    <row r="94">
      <c r="A94" s="697" t="str">
        <f>IFERROR(__xludf.DUMMYFUNCTION("""COMPUTED_VALUE"""),"Katz N, 1979")</f>
        <v>Katz N, 1979</v>
      </c>
      <c r="B94" s="697" t="str">
        <f>IFERROR(__xludf.DUMMYFUNCTION("""COMPUTED_VALUE"""),"s. mansoni")</f>
        <v>s. mansoni</v>
      </c>
      <c r="C94" s="697" t="str">
        <f>IFERROR(__xludf.DUMMYFUNCTION("""COMPUTED_VALUE"""),"Brazil")</f>
        <v>Brazil</v>
      </c>
      <c r="D94" s="697" t="str">
        <f>IFERROR(__xludf.DUMMYFUNCTION("""COMPUTED_VALUE"""),"Praziquantel")</f>
        <v>Praziquantel</v>
      </c>
      <c r="E94" s="697" t="str">
        <f>IFERROR(__xludf.DUMMYFUNCTION("""COMPUTED_VALUE"""),"Three")</f>
        <v>Three</v>
      </c>
      <c r="F94" s="697" t="str">
        <f>IFERROR(__xludf.DUMMYFUNCTION("""COMPUTED_VALUE"""),"20 mg/kg")</f>
        <v>20 mg/kg</v>
      </c>
      <c r="G94" s="697">
        <f>IFERROR(__xludf.DUMMYFUNCTION("""COMPUTED_VALUE"""),30.0)</f>
        <v>30</v>
      </c>
      <c r="H94" s="697" t="str">
        <f>IFERROR(__xludf.DUMMYFUNCTION("""COMPUTED_VALUE"""),"20- 52")</f>
        <v>20- 52</v>
      </c>
      <c r="I94" s="705" t="str">
        <f>IFERROR(__xludf.DUMMYFUNCTION("""COMPUTED_VALUE"""),"male")</f>
        <v>male</v>
      </c>
      <c r="J94" s="697">
        <f>IFERROR(__xludf.DUMMYFUNCTION("""COMPUTED_VALUE"""),1979.0)</f>
        <v>1979</v>
      </c>
      <c r="K94" s="697" t="str">
        <f>IFERROR(__xludf.DUMMYFUNCTION("""COMPUTED_VALUE"""),"male patients from the military police of Minas Gerais who were excreting &gt; 100 EPG of S. mansoni")</f>
        <v>male patients from the military police of Minas Gerais who were excreting &gt; 100 EPG of S. mansoni</v>
      </c>
      <c r="L94" s="697" t="str">
        <f>IFERROR(__xludf.DUMMYFUNCTION("""COMPUTED_VALUE"""),"No")</f>
        <v>No</v>
      </c>
      <c r="M94" s="697" t="str">
        <f>IFERROR(__xludf.DUMMYFUNCTION("""COMPUTED_VALUE"""),"No")</f>
        <v>No</v>
      </c>
      <c r="N94" s="697" t="str">
        <f>IFERROR(__xludf.DUMMYFUNCTION("""COMPUTED_VALUE"""),"cure rate accessed at 6 months")</f>
        <v>cure rate accessed at 6 months</v>
      </c>
      <c r="O94" s="700">
        <f>IFERROR(__xludf.DUMMYFUNCTION("""COMPUTED_VALUE"""),0.96)</f>
        <v>0.96</v>
      </c>
      <c r="P94" s="700">
        <f>IFERROR(__xludf.DUMMYFUNCTION("""COMPUTED_VALUE"""),0.98)</f>
        <v>0.98</v>
      </c>
      <c r="Q94" s="697" t="str">
        <f>IFERROR(__xludf.DUMMYFUNCTION("""COMPUTED_VALUE"""),"These data demonstrate that persons with HIV-1 infection can be treated effectively for schistosomiasis with praziquantel.")</f>
        <v>These data demonstrate that persons with HIV-1 infection can be treated effectively for schistosomiasis with praziquantel.</v>
      </c>
      <c r="R94" s="697"/>
      <c r="S94" s="699" t="str">
        <f>IFERROR(__xludf.DUMMYFUNCTION("""COMPUTED_VALUE"""),"Katz N. Preliminary trials with praziquantel in human infections due to Schistosoma mansoni. Bulletin of the World Health Organization 1979;57(5):781–5.")</f>
        <v>Katz N. Preliminary trials with praziquantel in human infections due to Schistosoma mansoni. Bulletin of the World Health Organization 1979;57(5):781–5.</v>
      </c>
      <c r="T94" s="697"/>
      <c r="U94" s="697" t="str">
        <f>IFERROR(__xludf.DUMMYFUNCTION("""COMPUTED_VALUE"""),"x")</f>
        <v>x</v>
      </c>
      <c r="V94" s="697">
        <f>IFERROR(__xludf.DUMMYFUNCTION("""COMPUTED_VALUE"""),94.0)</f>
        <v>94</v>
      </c>
    </row>
    <row r="95">
      <c r="A95" s="697" t="str">
        <f>IFERROR(__xludf.DUMMYFUNCTION("""COMPUTED_VALUE"""),"Katz N, 1991")</f>
        <v>Katz N, 1991</v>
      </c>
      <c r="B95" s="697" t="str">
        <f>IFERROR(__xludf.DUMMYFUNCTION("""COMPUTED_VALUE"""),"s. mansoni")</f>
        <v>s. mansoni</v>
      </c>
      <c r="C95" s="697" t="str">
        <f>IFERROR(__xludf.DUMMYFUNCTION("""COMPUTED_VALUE"""),"Brazil")</f>
        <v>Brazil</v>
      </c>
      <c r="D95" s="697" t="str">
        <f>IFERROR(__xludf.DUMMYFUNCTION("""COMPUTED_VALUE"""),"Oxamniquine")</f>
        <v>Oxamniquine</v>
      </c>
      <c r="E95" s="697" t="str">
        <f>IFERROR(__xludf.DUMMYFUNCTION("""COMPUTED_VALUE"""),"Single")</f>
        <v>Single</v>
      </c>
      <c r="F95" s="697" t="str">
        <f>IFERROR(__xludf.DUMMYFUNCTION("""COMPUTED_VALUE"""),"20 mg/kg")</f>
        <v>20 mg/kg</v>
      </c>
      <c r="G95" s="697">
        <f>IFERROR(__xludf.DUMMYFUNCTION("""COMPUTED_VALUE"""),90.0)</f>
        <v>90</v>
      </c>
      <c r="H95" s="697" t="str">
        <f>IFERROR(__xludf.DUMMYFUNCTION("""COMPUTED_VALUE"""),"7 - 14")</f>
        <v>7 - 14</v>
      </c>
      <c r="I95" s="705" t="str">
        <f>IFERROR(__xludf.DUMMYFUNCTION("""COMPUTED_VALUE"""),"male")</f>
        <v>male</v>
      </c>
      <c r="J95" s="697">
        <f>IFERROR(__xludf.DUMMYFUNCTION("""COMPUTED_VALUE"""),1991.0)</f>
        <v>1991</v>
      </c>
      <c r="K95" s="697" t="str">
        <f>IFERROR(__xludf.DUMMYFUNCTION("""COMPUTED_VALUE"""),"7 to 14 yrs old. Infected with S. mansoni were divided into 2 groups: Single oral dose of 60 mg/kg praziquantel(110 children) vs Single oral dose of 20mg/kg oxamniquine.")</f>
        <v>7 to 14 yrs old. Infected with S. mansoni were divided into 2 groups: Single oral dose of 60 mg/kg praziquantel(110 children) vs Single oral dose of 20mg/kg oxamniquine.</v>
      </c>
      <c r="L95" s="697" t="str">
        <f>IFERROR(__xludf.DUMMYFUNCTION("""COMPUTED_VALUE"""),"No")</f>
        <v>No</v>
      </c>
      <c r="M95" s="697" t="str">
        <f>IFERROR(__xludf.DUMMYFUNCTION("""COMPUTED_VALUE"""),"No")</f>
        <v>No</v>
      </c>
      <c r="N95" s="697" t="str">
        <f>IFERROR(__xludf.DUMMYFUNCTION("""COMPUTED_VALUE"""),"Group with 90 children treated with 20mg/kg oxamniquine: 2-3 months 75 children were re-examined (14.6% positive): 6 children were treated 1 and 10 months after with 60mg/kg praziquantel (1m) 0/4 positive (10m) 2/4 positive. group single oral dose of 60 m"&amp;"g/kg praziquantel(110 children): 2-3 months later (100 re-examined)= 16% positive: 10 children were examined 1 and 10 month after second treatment with 20 mg/kg oxamniquine (1m) 1/8th positive (10m) 5/8 positive.")</f>
        <v>Group with 90 children treated with 20mg/kg oxamniquine: 2-3 months 75 children were re-examined (14.6% positive): 6 children were treated 1 and 10 months after with 60mg/kg praziquantel (1m) 0/4 positive (10m) 2/4 positive. group single oral dose of 60 mg/kg praziquantel(110 children): 2-3 months later (100 re-examined)= 16% positive: 10 children were examined 1 and 10 month after second treatment with 20 mg/kg oxamniquine (1m) 1/8th positive (10m) 5/8 positive.</v>
      </c>
      <c r="O95" s="700">
        <f>IFERROR(__xludf.DUMMYFUNCTION("""COMPUTED_VALUE"""),0.854)</f>
        <v>0.854</v>
      </c>
      <c r="P95" s="697"/>
      <c r="Q95" s="697" t="str">
        <f>IFERROR(__xludf.DUMMYFUNCTION("""COMPUTED_VALUE"""),"In order to minimize the risk of the development of drug resistance, suggect that infected patients be treated with one drug and therapeutic failures with another. treatment with the alternative drug of children not cureed 2-3 months after first treatment"&amp;" resukting in negative stools in 11of 12 cases examined 1 month after second treatment")</f>
        <v>In order to minimize the risk of the development of drug resistance, suggect that infected patients be treated with one drug and therapeutic failures with another. treatment with the alternative drug of children not cureed 2-3 months after first treatment resukting in negative stools in 11of 12 cases examined 1 month after second treatment</v>
      </c>
      <c r="R95" s="697" t="str">
        <f>IFERROR(__xludf.DUMMYFUNCTION("""COMPUTED_VALUE"""),"EFFICACY OF ALTERNATING THERAPY WITH OXAMNIQUINE AND PRAZIQUANTEL TO TREAT SCHISTOSOMA MANSONI IN CHILDREN FOLLOWING FAILURE OF FIRST TREATMENT")</f>
        <v>EFFICACY OF ALTERNATING THERAPY WITH OXAMNIQUINE AND PRAZIQUANTEL TO TREAT SCHISTOSOMA MANSONI IN CHILDREN FOLLOWING FAILURE OF FIRST TREATMENT</v>
      </c>
      <c r="S95" s="699" t="str">
        <f>IFERROR(__xludf.DUMMYFUNCTION("""COMPUTED_VALUE"""),"Katz N., Rocha R.S., De Souza C.P., Coura Filho P., Bruce J.I., Coles G.C., Kinotie G.K. Efficacy of alternating therapy with osamniquine and praziquantel to treat schistosoma Mansoni in children follwing failure of first treatment. Am J Trop Med Hyg (199"&amp;"1) 44(5); 509‐512.")</f>
        <v>Katz N., Rocha R.S., De Souza C.P., Coura Filho P., Bruce J.I., Coles G.C., Kinotie G.K. Efficacy of alternating therapy with osamniquine and praziquantel to treat schistosoma Mansoni in children follwing failure of first treatment. Am J Trop Med Hyg (1991) 44(5); 509‐512.</v>
      </c>
      <c r="T95" s="697"/>
      <c r="U95" s="697" t="str">
        <f>IFERROR(__xludf.DUMMYFUNCTION("""COMPUTED_VALUE"""),"x")</f>
        <v>x</v>
      </c>
      <c r="V95" s="697">
        <f>IFERROR(__xludf.DUMMYFUNCTION("""COMPUTED_VALUE"""),95.0)</f>
        <v>95</v>
      </c>
    </row>
    <row r="96">
      <c r="A96" s="697" t="str">
        <f>IFERROR(__xludf.DUMMYFUNCTION("""COMPUTED_VALUE"""),"Katz N, 1991")</f>
        <v>Katz N, 1991</v>
      </c>
      <c r="B96" s="697" t="str">
        <f>IFERROR(__xludf.DUMMYFUNCTION("""COMPUTED_VALUE"""),"s. mansoni")</f>
        <v>s. mansoni</v>
      </c>
      <c r="C96" s="697" t="str">
        <f>IFERROR(__xludf.DUMMYFUNCTION("""COMPUTED_VALUE"""),"Brazil")</f>
        <v>Brazil</v>
      </c>
      <c r="D96" s="697" t="str">
        <f>IFERROR(__xludf.DUMMYFUNCTION("""COMPUTED_VALUE"""),"Praziquantel")</f>
        <v>Praziquantel</v>
      </c>
      <c r="E96" s="697" t="str">
        <f>IFERROR(__xludf.DUMMYFUNCTION("""COMPUTED_VALUE"""),"Single")</f>
        <v>Single</v>
      </c>
      <c r="F96" s="697" t="str">
        <f>IFERROR(__xludf.DUMMYFUNCTION("""COMPUTED_VALUE"""),"60 mg/kg")</f>
        <v>60 mg/kg</v>
      </c>
      <c r="G96" s="697">
        <f>IFERROR(__xludf.DUMMYFUNCTION("""COMPUTED_VALUE"""),110.0)</f>
        <v>110</v>
      </c>
      <c r="H96" s="697" t="str">
        <f>IFERROR(__xludf.DUMMYFUNCTION("""COMPUTED_VALUE"""),"7 - 14")</f>
        <v>7 - 14</v>
      </c>
      <c r="I96" s="697"/>
      <c r="J96" s="697">
        <f>IFERROR(__xludf.DUMMYFUNCTION("""COMPUTED_VALUE"""),1991.0)</f>
        <v>1991</v>
      </c>
      <c r="K96" s="697" t="str">
        <f>IFERROR(__xludf.DUMMYFUNCTION("""COMPUTED_VALUE"""),"7 to 14 yrs old. Infected with S. mansoni were divided into 2 groups: Single oral dose of 60 mg/kg praziquantel(110 children) vs Single oral dose of 20mg/kg oxamniquine.")</f>
        <v>7 to 14 yrs old. Infected with S. mansoni were divided into 2 groups: Single oral dose of 60 mg/kg praziquantel(110 children) vs Single oral dose of 20mg/kg oxamniquine.</v>
      </c>
      <c r="L96" s="697" t="str">
        <f>IFERROR(__xludf.DUMMYFUNCTION("""COMPUTED_VALUE"""),"No")</f>
        <v>No</v>
      </c>
      <c r="M96" s="697" t="str">
        <f>IFERROR(__xludf.DUMMYFUNCTION("""COMPUTED_VALUE"""),"No")</f>
        <v>No</v>
      </c>
      <c r="N96" s="697" t="str">
        <f>IFERROR(__xludf.DUMMYFUNCTION("""COMPUTED_VALUE"""),"Group with 90 children treated with 20mg/kg oxamniquine: 2-3 months 75 children were re-examined (14.6% positive): 6 children were treated 1 and 10 months after with 60mg/kg praziquantel (1m) 0/4 positive (10m) 2/4 positive. group single oral dose of 60 m"&amp;"g/kg praziquantel(110 children): 2-3 months later (100 re-examined)= 16% positive: 10 children were examined 1 and 10 month after second treatment with 20 mg/kg oxamniquine (1m) 1/8th positive (10m) 5/8 positive.")</f>
        <v>Group with 90 children treated with 20mg/kg oxamniquine: 2-3 months 75 children were re-examined (14.6% positive): 6 children were treated 1 and 10 months after with 60mg/kg praziquantel (1m) 0/4 positive (10m) 2/4 positive. group single oral dose of 60 mg/kg praziquantel(110 children): 2-3 months later (100 re-examined)= 16% positive: 10 children were examined 1 and 10 month after second treatment with 20 mg/kg oxamniquine (1m) 1/8th positive (10m) 5/8 positive.</v>
      </c>
      <c r="O96" s="700">
        <f>IFERROR(__xludf.DUMMYFUNCTION("""COMPUTED_VALUE"""),0.84)</f>
        <v>0.84</v>
      </c>
      <c r="P96" s="697"/>
      <c r="Q96" s="697" t="str">
        <f>IFERROR(__xludf.DUMMYFUNCTION("""COMPUTED_VALUE"""),"In order to minimize the risk of the development of drug resistance, suggect that infected patients be treated with one drug and therapeutic failures with another. treatment with the alternative drug of children not cureed 2-3 months after first treatment"&amp;" resukting in negative stools in 11of 12 cases examined 1 month after second treatment")</f>
        <v>In order to minimize the risk of the development of drug resistance, suggect that infected patients be treated with one drug and therapeutic failures with another. treatment with the alternative drug of children not cureed 2-3 months after first treatment resukting in negative stools in 11of 12 cases examined 1 month after second treatment</v>
      </c>
      <c r="R96" s="697" t="str">
        <f>IFERROR(__xludf.DUMMYFUNCTION("""COMPUTED_VALUE"""),"EFFICACY OF ALTERNATING THERAPY WITH OXAMNIQUINE AND PRAZIQUANTEL TO TREAT SCHISTOSOMA MANSONI IN CHILDREN FOLLOWING FAILURE OF FIRST TREATMENT")</f>
        <v>EFFICACY OF ALTERNATING THERAPY WITH OXAMNIQUINE AND PRAZIQUANTEL TO TREAT SCHISTOSOMA MANSONI IN CHILDREN FOLLOWING FAILURE OF FIRST TREATMENT</v>
      </c>
      <c r="S96" s="699" t="str">
        <f>IFERROR(__xludf.DUMMYFUNCTION("""COMPUTED_VALUE"""),"Katz N., Rocha R.S., De Souza C.P., Coura Filho P., Bruce J.I., Coles G.C., Kinotie G.K. Efficacy of alternating therapy with osamniquine and praziquantel to treat schistosoma Mansoni in children follwing failure of first treatment. Am J Trop Med Hyg (199"&amp;"1) 44(5); 509‐512.")</f>
        <v>Katz N., Rocha R.S., De Souza C.P., Coura Filho P., Bruce J.I., Coles G.C., Kinotie G.K. Efficacy of alternating therapy with osamniquine and praziquantel to treat schistosoma Mansoni in children follwing failure of first treatment. Am J Trop Med Hyg (1991) 44(5); 509‐512.</v>
      </c>
      <c r="T96" s="697"/>
      <c r="U96" s="697" t="str">
        <f>IFERROR(__xludf.DUMMYFUNCTION("""COMPUTED_VALUE"""),"x")</f>
        <v>x</v>
      </c>
      <c r="V96" s="697">
        <f>IFERROR(__xludf.DUMMYFUNCTION("""COMPUTED_VALUE"""),96.0)</f>
        <v>96</v>
      </c>
    </row>
    <row r="97">
      <c r="A97" s="697" t="str">
        <f>IFERROR(__xludf.DUMMYFUNCTION("""COMPUTED_VALUE"""),"Kilpatrick ME, 1982")</f>
        <v>Kilpatrick ME, 1982</v>
      </c>
      <c r="B97" s="697" t="str">
        <f>IFERROR(__xludf.DUMMYFUNCTION("""COMPUTED_VALUE"""),"s. mansoni")</f>
        <v>s. mansoni</v>
      </c>
      <c r="C97" s="697" t="str">
        <f>IFERROR(__xludf.DUMMYFUNCTION("""COMPUTED_VALUE"""),"Egypt")</f>
        <v>Egypt</v>
      </c>
      <c r="D97" s="697" t="str">
        <f>IFERROR(__xludf.DUMMYFUNCTION("""COMPUTED_VALUE"""),"Oxamniquine")</f>
        <v>Oxamniquine</v>
      </c>
      <c r="E97" s="697" t="str">
        <f>IFERROR(__xludf.DUMMYFUNCTION("""COMPUTED_VALUE"""),"Three")</f>
        <v>Three</v>
      </c>
      <c r="F97" s="697" t="str">
        <f>IFERROR(__xludf.DUMMYFUNCTION("""COMPUTED_VALUE"""),"20 mg/kg ")</f>
        <v>20 mg/kg </v>
      </c>
      <c r="G97" s="697">
        <f>IFERROR(__xludf.DUMMYFUNCTION("""COMPUTED_VALUE"""),28.0)</f>
        <v>28</v>
      </c>
      <c r="H97" s="697" t="str">
        <f>IFERROR(__xludf.DUMMYFUNCTION("""COMPUTED_VALUE"""),"Children")</f>
        <v>Children</v>
      </c>
      <c r="I97" s="705" t="str">
        <f>IFERROR(__xludf.DUMMYFUNCTION("""COMPUTED_VALUE"""),"male")</f>
        <v>male</v>
      </c>
      <c r="J97" s="697">
        <f>IFERROR(__xludf.DUMMYFUNCTION("""COMPUTED_VALUE"""),1982.0)</f>
        <v>1982</v>
      </c>
      <c r="K97" s="702" t="str">
        <f>IFERROR(__xludf.DUMMYFUNCTION("""COMPUTED_VALUE"""),"All Males. Subjects examined in hospital and tested for at least two S.mansoni stool eggs counts")</f>
        <v>All Males. Subjects examined in hospital and tested for at least two S.mansoni stool eggs counts</v>
      </c>
      <c r="L97" s="697" t="str">
        <f>IFERROR(__xludf.DUMMYFUNCTION("""COMPUTED_VALUE"""),"No")</f>
        <v>No</v>
      </c>
      <c r="M97" s="697" t="str">
        <f>IFERROR(__xludf.DUMMYFUNCTION("""COMPUTED_VALUE"""),"Yes")</f>
        <v>Yes</v>
      </c>
      <c r="N97" s="697" t="str">
        <f>IFERROR(__xludf.DUMMYFUNCTION("""COMPUTED_VALUE"""),"Stool count eggs were examinded at 4,8,12 weeks after treatment , Cured was defined as absence of viable eggs in stool at 12 weeks")</f>
        <v>Stool count eggs were examinded at 4,8,12 weeks after treatment , Cured was defined as absence of viable eggs in stool at 12 weeks</v>
      </c>
      <c r="O97" s="700">
        <f>IFERROR(__xludf.DUMMYFUNCTION("""COMPUTED_VALUE"""),0.26)</f>
        <v>0.26</v>
      </c>
      <c r="P97" s="697"/>
      <c r="Q97" s="697" t="str">
        <f>IFERROR(__xludf.DUMMYFUNCTION("""COMPUTED_VALUE"""),"Niridazole is more effective drug for child with s.mansoni, but oxamniquine is advised for the adult with s.mansoni.")</f>
        <v>Niridazole is more effective drug for child with s.mansoni, but oxamniquine is advised for the adult with s.mansoni.</v>
      </c>
      <c r="R97" s="697"/>
      <c r="S97" s="699" t="str">
        <f>IFERROR(__xludf.DUMMYFUNCTION("""COMPUTED_VALUE"""),"Kilpatrick M.E., El Masry N.A., Bassily S., Farid Z. Oxamniquine versus niridazole for treatment of uncomplicated schistosoma mansoni infection. Am J Trop Med Hyg (1982) 31 (6); 1164‐1167.")</f>
        <v>Kilpatrick M.E., El Masry N.A., Bassily S., Farid Z. Oxamniquine versus niridazole for treatment of uncomplicated schistosoma mansoni infection. Am J Trop Med Hyg (1982) 31 (6); 1164‐1167.</v>
      </c>
      <c r="T97" s="697"/>
      <c r="U97" s="697" t="str">
        <f>IFERROR(__xludf.DUMMYFUNCTION("""COMPUTED_VALUE"""),"")</f>
        <v/>
      </c>
      <c r="V97" s="697">
        <f>IFERROR(__xludf.DUMMYFUNCTION("""COMPUTED_VALUE"""),97.0)</f>
        <v>97</v>
      </c>
    </row>
    <row r="98">
      <c r="A98" s="697" t="str">
        <f>IFERROR(__xludf.DUMMYFUNCTION("""COMPUTED_VALUE"""),"Kilpatrick ME, 1982")</f>
        <v>Kilpatrick ME, 1982</v>
      </c>
      <c r="B98" s="697" t="str">
        <f>IFERROR(__xludf.DUMMYFUNCTION("""COMPUTED_VALUE"""),"s. mansoni")</f>
        <v>s. mansoni</v>
      </c>
      <c r="C98" s="697" t="str">
        <f>IFERROR(__xludf.DUMMYFUNCTION("""COMPUTED_VALUE"""),"Egypt")</f>
        <v>Egypt</v>
      </c>
      <c r="D98" s="697" t="str">
        <f>IFERROR(__xludf.DUMMYFUNCTION("""COMPUTED_VALUE"""),"Oxamniquine")</f>
        <v>Oxamniquine</v>
      </c>
      <c r="E98" s="697" t="str">
        <f>IFERROR(__xludf.DUMMYFUNCTION("""COMPUTED_VALUE"""),"Three")</f>
        <v>Three</v>
      </c>
      <c r="F98" s="697" t="str">
        <f>IFERROR(__xludf.DUMMYFUNCTION("""COMPUTED_VALUE"""),"20 mg/kg")</f>
        <v>20 mg/kg</v>
      </c>
      <c r="G98" s="697">
        <f>IFERROR(__xludf.DUMMYFUNCTION("""COMPUTED_VALUE"""),26.0)</f>
        <v>26</v>
      </c>
      <c r="H98" s="697" t="str">
        <f>IFERROR(__xludf.DUMMYFUNCTION("""COMPUTED_VALUE"""),"Adults")</f>
        <v>Adults</v>
      </c>
      <c r="I98" s="705" t="str">
        <f>IFERROR(__xludf.DUMMYFUNCTION("""COMPUTED_VALUE"""),"male")</f>
        <v>male</v>
      </c>
      <c r="J98" s="697">
        <f>IFERROR(__xludf.DUMMYFUNCTION("""COMPUTED_VALUE"""),1982.0)</f>
        <v>1982</v>
      </c>
      <c r="K98" s="702" t="str">
        <f>IFERROR(__xludf.DUMMYFUNCTION("""COMPUTED_VALUE"""),"All Males. Subjects examined in hospital and tested for at least two S.mansoni stool eggs counts")</f>
        <v>All Males. Subjects examined in hospital and tested for at least two S.mansoni stool eggs counts</v>
      </c>
      <c r="L98" s="697" t="str">
        <f>IFERROR(__xludf.DUMMYFUNCTION("""COMPUTED_VALUE"""),"No")</f>
        <v>No</v>
      </c>
      <c r="M98" s="697" t="str">
        <f>IFERROR(__xludf.DUMMYFUNCTION("""COMPUTED_VALUE"""),"Yes")</f>
        <v>Yes</v>
      </c>
      <c r="N98" s="697" t="str">
        <f>IFERROR(__xludf.DUMMYFUNCTION("""COMPUTED_VALUE"""),"Stool count eggs were examinded at 4,8,12 weeks after treatment , Cured was defined as absence of viable eggs in stool at 12 weeks")</f>
        <v>Stool count eggs were examinded at 4,8,12 weeks after treatment , Cured was defined as absence of viable eggs in stool at 12 weeks</v>
      </c>
      <c r="O98" s="700">
        <f>IFERROR(__xludf.DUMMYFUNCTION("""COMPUTED_VALUE"""),0.85)</f>
        <v>0.85</v>
      </c>
      <c r="P98" s="697"/>
      <c r="Q98" s="697" t="str">
        <f>IFERROR(__xludf.DUMMYFUNCTION("""COMPUTED_VALUE"""),"Niridazole is more effective drug for child with s.mansoni, but oxamniquine is advised for the adult with s.mansoni.")</f>
        <v>Niridazole is more effective drug for child with s.mansoni, but oxamniquine is advised for the adult with s.mansoni.</v>
      </c>
      <c r="R98" s="697"/>
      <c r="S98" s="699" t="str">
        <f>IFERROR(__xludf.DUMMYFUNCTION("""COMPUTED_VALUE"""),"Kilpatrick M.E., El Masry N.A., Bassily S., Farid Z. Oxamniquine versus niridazole for treatment of uncomplicated schistosoma mansoni infection. Am J Trop Med Hyg (1982) 31 (6); 1164‐1167.")</f>
        <v>Kilpatrick M.E., El Masry N.A., Bassily S., Farid Z. Oxamniquine versus niridazole for treatment of uncomplicated schistosoma mansoni infection. Am J Trop Med Hyg (1982) 31 (6); 1164‐1167.</v>
      </c>
      <c r="T98" s="697"/>
      <c r="U98" s="697" t="str">
        <f>IFERROR(__xludf.DUMMYFUNCTION("""COMPUTED_VALUE"""),"")</f>
        <v/>
      </c>
      <c r="V98" s="697">
        <f>IFERROR(__xludf.DUMMYFUNCTION("""COMPUTED_VALUE"""),98.0)</f>
        <v>98</v>
      </c>
    </row>
    <row r="99">
      <c r="A99" s="697" t="str">
        <f>IFERROR(__xludf.DUMMYFUNCTION("""COMPUTED_VALUE"""),"Kilpatrick ME, 1982")</f>
        <v>Kilpatrick ME, 1982</v>
      </c>
      <c r="B99" s="697" t="str">
        <f>IFERROR(__xludf.DUMMYFUNCTION("""COMPUTED_VALUE"""),"s. mansoni")</f>
        <v>s. mansoni</v>
      </c>
      <c r="C99" s="697" t="str">
        <f>IFERROR(__xludf.DUMMYFUNCTION("""COMPUTED_VALUE"""),"Egypt")</f>
        <v>Egypt</v>
      </c>
      <c r="D99" s="697" t="str">
        <f>IFERROR(__xludf.DUMMYFUNCTION("""COMPUTED_VALUE"""),"Niridazole")</f>
        <v>Niridazole</v>
      </c>
      <c r="E99" s="697" t="str">
        <f>IFERROR(__xludf.DUMMYFUNCTION("""COMPUTED_VALUE"""),"Eight")</f>
        <v>Eight</v>
      </c>
      <c r="F99" s="697" t="str">
        <f>IFERROR(__xludf.DUMMYFUNCTION("""COMPUTED_VALUE"""),"15 mg/kg")</f>
        <v>15 mg/kg</v>
      </c>
      <c r="G99" s="697">
        <f>IFERROR(__xludf.DUMMYFUNCTION("""COMPUTED_VALUE"""),33.0)</f>
        <v>33</v>
      </c>
      <c r="H99" s="697" t="str">
        <f>IFERROR(__xludf.DUMMYFUNCTION("""COMPUTED_VALUE"""),"Children")</f>
        <v>Children</v>
      </c>
      <c r="I99" s="705" t="str">
        <f>IFERROR(__xludf.DUMMYFUNCTION("""COMPUTED_VALUE"""),"male")</f>
        <v>male</v>
      </c>
      <c r="J99" s="697">
        <f>IFERROR(__xludf.DUMMYFUNCTION("""COMPUTED_VALUE"""),1982.0)</f>
        <v>1982</v>
      </c>
      <c r="K99" s="702" t="str">
        <f>IFERROR(__xludf.DUMMYFUNCTION("""COMPUTED_VALUE"""),"All Males. Subjects examined in hospital and tested for at least two S.mansoni stool eggs counts.")</f>
        <v>All Males. Subjects examined in hospital and tested for at least two S.mansoni stool eggs counts.</v>
      </c>
      <c r="L99" s="697" t="str">
        <f>IFERROR(__xludf.DUMMYFUNCTION("""COMPUTED_VALUE"""),"No")</f>
        <v>No</v>
      </c>
      <c r="M99" s="697" t="str">
        <f>IFERROR(__xludf.DUMMYFUNCTION("""COMPUTED_VALUE"""),"Yes")</f>
        <v>Yes</v>
      </c>
      <c r="N99" s="697" t="str">
        <f>IFERROR(__xludf.DUMMYFUNCTION("""COMPUTED_VALUE"""),"Stool count eggs were examinded at 4,8,12 weeks after treatment , Cured was defined as absence of viable eggs in stool at 12 weeks")</f>
        <v>Stool count eggs were examinded at 4,8,12 weeks after treatment , Cured was defined as absence of viable eggs in stool at 12 weeks</v>
      </c>
      <c r="O99" s="700">
        <f>IFERROR(__xludf.DUMMYFUNCTION("""COMPUTED_VALUE"""),0.71)</f>
        <v>0.71</v>
      </c>
      <c r="P99" s="697"/>
      <c r="Q99" s="697" t="str">
        <f>IFERROR(__xludf.DUMMYFUNCTION("""COMPUTED_VALUE"""),"Niridazole is more effective drug for child with s.mansoni, but oxamniquine is advised for the adult with s.mansoni.")</f>
        <v>Niridazole is more effective drug for child with s.mansoni, but oxamniquine is advised for the adult with s.mansoni.</v>
      </c>
      <c r="R99" s="697"/>
      <c r="S99" s="699" t="str">
        <f>IFERROR(__xludf.DUMMYFUNCTION("""COMPUTED_VALUE"""),"Kilpatrick M.E., El Masry N.A., Bassily S., Farid Z. Oxamniquine versus niridazole for treatment of uncomplicated schistosoma mansoni infection. Am J Trop Med Hyg (1982) 31 (6); 1164‐1167.")</f>
        <v>Kilpatrick M.E., El Masry N.A., Bassily S., Farid Z. Oxamniquine versus niridazole for treatment of uncomplicated schistosoma mansoni infection. Am J Trop Med Hyg (1982) 31 (6); 1164‐1167.</v>
      </c>
      <c r="T99" s="697"/>
      <c r="U99" s="697" t="str">
        <f>IFERROR(__xludf.DUMMYFUNCTION("""COMPUTED_VALUE"""),"")</f>
        <v/>
      </c>
      <c r="V99" s="697">
        <f>IFERROR(__xludf.DUMMYFUNCTION("""COMPUTED_VALUE"""),99.0)</f>
        <v>99</v>
      </c>
    </row>
    <row r="100">
      <c r="A100" s="697" t="str">
        <f>IFERROR(__xludf.DUMMYFUNCTION("""COMPUTED_VALUE"""),"Kilpatrick ME, 1982")</f>
        <v>Kilpatrick ME, 1982</v>
      </c>
      <c r="B100" s="697" t="str">
        <f>IFERROR(__xludf.DUMMYFUNCTION("""COMPUTED_VALUE"""),"s. mansoni")</f>
        <v>s. mansoni</v>
      </c>
      <c r="C100" s="697" t="str">
        <f>IFERROR(__xludf.DUMMYFUNCTION("""COMPUTED_VALUE"""),"Egypt")</f>
        <v>Egypt</v>
      </c>
      <c r="D100" s="697" t="str">
        <f>IFERROR(__xludf.DUMMYFUNCTION("""COMPUTED_VALUE"""),"Niridazole")</f>
        <v>Niridazole</v>
      </c>
      <c r="E100" s="697" t="str">
        <f>IFERROR(__xludf.DUMMYFUNCTION("""COMPUTED_VALUE"""),"Eight")</f>
        <v>Eight</v>
      </c>
      <c r="F100" s="697" t="str">
        <f>IFERROR(__xludf.DUMMYFUNCTION("""COMPUTED_VALUE"""),"15 mg/lkg")</f>
        <v>15 mg/lkg</v>
      </c>
      <c r="G100" s="697">
        <f>IFERROR(__xludf.DUMMYFUNCTION("""COMPUTED_VALUE"""),29.0)</f>
        <v>29</v>
      </c>
      <c r="H100" s="697" t="str">
        <f>IFERROR(__xludf.DUMMYFUNCTION("""COMPUTED_VALUE"""),"Adults")</f>
        <v>Adults</v>
      </c>
      <c r="I100" s="705" t="str">
        <f>IFERROR(__xludf.DUMMYFUNCTION("""COMPUTED_VALUE"""),"male")</f>
        <v>male</v>
      </c>
      <c r="J100" s="697">
        <f>IFERROR(__xludf.DUMMYFUNCTION("""COMPUTED_VALUE"""),1982.0)</f>
        <v>1982</v>
      </c>
      <c r="K100" s="702" t="str">
        <f>IFERROR(__xludf.DUMMYFUNCTION("""COMPUTED_VALUE"""),"All Males. Subjects examined in hospital and tested for at least two S.mansoni stool eggs counts")</f>
        <v>All Males. Subjects examined in hospital and tested for at least two S.mansoni stool eggs counts</v>
      </c>
      <c r="L100" s="697" t="str">
        <f>IFERROR(__xludf.DUMMYFUNCTION("""COMPUTED_VALUE"""),"No")</f>
        <v>No</v>
      </c>
      <c r="M100" s="697" t="str">
        <f>IFERROR(__xludf.DUMMYFUNCTION("""COMPUTED_VALUE"""),"Yes")</f>
        <v>Yes</v>
      </c>
      <c r="N100" s="697" t="str">
        <f>IFERROR(__xludf.DUMMYFUNCTION("""COMPUTED_VALUE"""),"Stool count eggs were examinded at 4,8,12 weeks after treatment , Cured was defined as absence of viable eggs in stool at 12 weeks")</f>
        <v>Stool count eggs were examinded at 4,8,12 weeks after treatment , Cured was defined as absence of viable eggs in stool at 12 weeks</v>
      </c>
      <c r="O100" s="700">
        <f>IFERROR(__xludf.DUMMYFUNCTION("""COMPUTED_VALUE"""),0.84)</f>
        <v>0.84</v>
      </c>
      <c r="P100" s="697"/>
      <c r="Q100" s="697" t="str">
        <f>IFERROR(__xludf.DUMMYFUNCTION("""COMPUTED_VALUE"""),"Niridazole is more effective drug for child with s.mansoni, but oxamniquine is advised for the adult with s.mansoni.")</f>
        <v>Niridazole is more effective drug for child with s.mansoni, but oxamniquine is advised for the adult with s.mansoni.</v>
      </c>
      <c r="R100" s="697"/>
      <c r="S100" s="699" t="str">
        <f>IFERROR(__xludf.DUMMYFUNCTION("""COMPUTED_VALUE"""),"Kilpatrick M.E., El Masry N.A., Bassily S., Farid Z. Oxamniquine versus niridazole for treatment of uncomplicated schistosoma mansoni infection. Am J Trop Med Hyg (1982) 31 (6); 1164‐1167.")</f>
        <v>Kilpatrick M.E., El Masry N.A., Bassily S., Farid Z. Oxamniquine versus niridazole for treatment of uncomplicated schistosoma mansoni infection. Am J Trop Med Hyg (1982) 31 (6); 1164‐1167.</v>
      </c>
      <c r="T100" s="697"/>
      <c r="U100" s="697" t="str">
        <f>IFERROR(__xludf.DUMMYFUNCTION("""COMPUTED_VALUE"""),"")</f>
        <v/>
      </c>
      <c r="V100" s="697">
        <f>IFERROR(__xludf.DUMMYFUNCTION("""COMPUTED_VALUE"""),100.0)</f>
        <v>100</v>
      </c>
    </row>
    <row r="101">
      <c r="A101" s="697" t="str">
        <f>IFERROR(__xludf.DUMMYFUNCTION("""COMPUTED_VALUE"""),"Lambertucci J.R, 1982")</f>
        <v>Lambertucci J.R, 1982</v>
      </c>
      <c r="B101" s="697" t="str">
        <f>IFERROR(__xludf.DUMMYFUNCTION("""COMPUTED_VALUE"""),"s. mansoni")</f>
        <v>s. mansoni</v>
      </c>
      <c r="C101" s="697" t="str">
        <f>IFERROR(__xludf.DUMMYFUNCTION("""COMPUTED_VALUE"""),"Brazil")</f>
        <v>Brazil</v>
      </c>
      <c r="D101" s="697" t="str">
        <f>IFERROR(__xludf.DUMMYFUNCTION("""COMPUTED_VALUE"""),"Oxamniquine")</f>
        <v>Oxamniquine</v>
      </c>
      <c r="E101" s="697" t="str">
        <f>IFERROR(__xludf.DUMMYFUNCTION("""COMPUTED_VALUE"""),"Single")</f>
        <v>Single</v>
      </c>
      <c r="F101" s="697" t="str">
        <f>IFERROR(__xludf.DUMMYFUNCTION("""COMPUTED_VALUE"""),"20 mg/kg ")</f>
        <v>20 mg/kg </v>
      </c>
      <c r="G101" s="697">
        <f>IFERROR(__xludf.DUMMYFUNCTION("""COMPUTED_VALUE"""),48.0)</f>
        <v>48</v>
      </c>
      <c r="H101" s="697" t="str">
        <f>IFERROR(__xludf.DUMMYFUNCTION("""COMPUTED_VALUE"""),"6- 14")</f>
        <v>6- 14</v>
      </c>
      <c r="I101" s="705" t="str">
        <f>IFERROR(__xludf.DUMMYFUNCTION("""COMPUTED_VALUE"""),"32:16")</f>
        <v>32:16</v>
      </c>
      <c r="J101" s="697">
        <f>IFERROR(__xludf.DUMMYFUNCTION("""COMPUTED_VALUE"""),1979.0)</f>
        <v>1979</v>
      </c>
      <c r="K101" s="697" t="str">
        <f>IFERROR(__xludf.DUMMYFUNCTION("""COMPUTED_VALUE"""),"Use of quantitative stool sample examinations, testing for S. mansoni")</f>
        <v>Use of quantitative stool sample examinations, testing for S. mansoni</v>
      </c>
      <c r="L101" s="697" t="str">
        <f>IFERROR(__xludf.DUMMYFUNCTION("""COMPUTED_VALUE"""),"Yes")</f>
        <v>Yes</v>
      </c>
      <c r="M101" s="697" t="str">
        <f>IFERROR(__xludf.DUMMYFUNCTION("""COMPUTED_VALUE"""),"Yes")</f>
        <v>Yes</v>
      </c>
      <c r="N101" s="697" t="str">
        <f>IFERROR(__xludf.DUMMYFUNCTION("""COMPUTED_VALUE"""),"10 months ")</f>
        <v>10 months </v>
      </c>
      <c r="O101" s="698">
        <f>IFERROR(__xludf.DUMMYFUNCTION("""COMPUTED_VALUE"""),0.696)</f>
        <v>0.696</v>
      </c>
      <c r="P101" s="698">
        <f>IFERROR(__xludf.DUMMYFUNCTION("""COMPUTED_VALUE"""),0.779)</f>
        <v>0.779</v>
      </c>
      <c r="Q101" s="697" t="str">
        <f>IFERROR(__xludf.DUMMYFUNCTION("""COMPUTED_VALUE"""),"The authors conclude that oral oxamniquine in the prescribed dosage, has low toxicity and good therapeutic efficacy in children with chronic schistosomiasis mansoni.")</f>
        <v>The authors conclude that oral oxamniquine in the prescribed dosage, has low toxicity and good therapeutic efficacy in children with chronic schistosomiasis mansoni.</v>
      </c>
      <c r="R101" s="697" t="str">
        <f>IFERROR(__xludf.DUMMYFUNCTION("""COMPUTED_VALUE"""),"Also included an uninfected control group")</f>
        <v>Also included an uninfected control group</v>
      </c>
      <c r="S101" s="699" t="str">
        <f>IFERROR(__xludf.DUMMYFUNCTION("""COMPUTED_VALUE"""),"Lambertucci J.R., Greco D.B., Pedrosa E.R.P, da Costa Rocha M.O., Salazar H.M., De Lima D.P. A double blind trial with oxamniquine in chronic schistosomiasis mansoni. Trans Roy Soc Trop Med Hyg (1982) 76(6); 751‐755.")</f>
        <v>Lambertucci J.R., Greco D.B., Pedrosa E.R.P, da Costa Rocha M.O., Salazar H.M., De Lima D.P. A double blind trial with oxamniquine in chronic schistosomiasis mansoni. Trans Roy Soc Trop Med Hyg (1982) 76(6); 751‐755.</v>
      </c>
      <c r="T101" s="697"/>
      <c r="U101" s="697" t="str">
        <f>IFERROR(__xludf.DUMMYFUNCTION("""COMPUTED_VALUE"""),"")</f>
        <v/>
      </c>
      <c r="V101" s="697">
        <f>IFERROR(__xludf.DUMMYFUNCTION("""COMPUTED_VALUE"""),101.0)</f>
        <v>101</v>
      </c>
    </row>
    <row r="102">
      <c r="A102" s="697" t="str">
        <f>IFERROR(__xludf.DUMMYFUNCTION("""COMPUTED_VALUE"""),"Lambertucci J.R, 1982")</f>
        <v>Lambertucci J.R, 1982</v>
      </c>
      <c r="B102" s="697" t="str">
        <f>IFERROR(__xludf.DUMMYFUNCTION("""COMPUTED_VALUE"""),"s. mansoni")</f>
        <v>s. mansoni</v>
      </c>
      <c r="C102" s="697" t="str">
        <f>IFERROR(__xludf.DUMMYFUNCTION("""COMPUTED_VALUE"""),"Brazil")</f>
        <v>Brazil</v>
      </c>
      <c r="D102" s="697" t="str">
        <f>IFERROR(__xludf.DUMMYFUNCTION("""COMPUTED_VALUE"""),"Placebo")</f>
        <v>Placebo</v>
      </c>
      <c r="E102" s="697"/>
      <c r="F102" s="697"/>
      <c r="G102" s="697">
        <f>IFERROR(__xludf.DUMMYFUNCTION("""COMPUTED_VALUE"""),43.0)</f>
        <v>43</v>
      </c>
      <c r="H102" s="697" t="str">
        <f>IFERROR(__xludf.DUMMYFUNCTION("""COMPUTED_VALUE"""),"6- 14")</f>
        <v>6- 14</v>
      </c>
      <c r="I102" s="705" t="str">
        <f>IFERROR(__xludf.DUMMYFUNCTION("""COMPUTED_VALUE"""),"24:19")</f>
        <v>24:19</v>
      </c>
      <c r="J102" s="697">
        <f>IFERROR(__xludf.DUMMYFUNCTION("""COMPUTED_VALUE"""),1979.0)</f>
        <v>1979</v>
      </c>
      <c r="K102" s="697" t="str">
        <f>IFERROR(__xludf.DUMMYFUNCTION("""COMPUTED_VALUE"""),"Use of quantitative stool sample examinations, testing for S. mansoni")</f>
        <v>Use of quantitative stool sample examinations, testing for S. mansoni</v>
      </c>
      <c r="L102" s="697" t="str">
        <f>IFERROR(__xludf.DUMMYFUNCTION("""COMPUTED_VALUE"""),"Yes")</f>
        <v>Yes</v>
      </c>
      <c r="M102" s="697" t="str">
        <f>IFERROR(__xludf.DUMMYFUNCTION("""COMPUTED_VALUE"""),"Yes")</f>
        <v>Yes</v>
      </c>
      <c r="N102" s="697" t="str">
        <f>IFERROR(__xludf.DUMMYFUNCTION("""COMPUTED_VALUE"""),"10 months ")</f>
        <v>10 months </v>
      </c>
      <c r="O102" s="698">
        <f>IFERROR(__xludf.DUMMYFUNCTION("""COMPUTED_VALUE"""),0.0)</f>
        <v>0</v>
      </c>
      <c r="P102" s="697"/>
      <c r="Q102" s="697" t="str">
        <f>IFERROR(__xludf.DUMMYFUNCTION("""COMPUTED_VALUE"""),"The authors conclude that oral oxamniquine in the prescribed dosage, has low toxicity and good therapeutic efficacy in children with chronic schistosomiasis mansoni.")</f>
        <v>The authors conclude that oral oxamniquine in the prescribed dosage, has low toxicity and good therapeutic efficacy in children with chronic schistosomiasis mansoni.</v>
      </c>
      <c r="R102" s="697" t="str">
        <f>IFERROR(__xludf.DUMMYFUNCTION("""COMPUTED_VALUE"""),"Also included an uninfected control group")</f>
        <v>Also included an uninfected control group</v>
      </c>
      <c r="S102" s="699" t="str">
        <f>IFERROR(__xludf.DUMMYFUNCTION("""COMPUTED_VALUE"""),"Lambertucci J.R., Greco D.B., Pedrosa E.R.P, da Costa Rocha M.O., Salazar H.M., De Lima D.P. A double blind trial with oxamniquine in chronic schistosomiasis mansoni. Trans Roy Soc Trop Med Hyg (1982) 76(6); 751‐755.")</f>
        <v>Lambertucci J.R., Greco D.B., Pedrosa E.R.P, da Costa Rocha M.O., Salazar H.M., De Lima D.P. A double blind trial with oxamniquine in chronic schistosomiasis mansoni. Trans Roy Soc Trop Med Hyg (1982) 76(6); 751‐755.</v>
      </c>
      <c r="T102" s="697"/>
      <c r="U102" s="697" t="str">
        <f>IFERROR(__xludf.DUMMYFUNCTION("""COMPUTED_VALUE"""),"")</f>
        <v/>
      </c>
      <c r="V102" s="697">
        <f>IFERROR(__xludf.DUMMYFUNCTION("""COMPUTED_VALUE"""),102.0)</f>
        <v>102</v>
      </c>
    </row>
    <row r="103">
      <c r="A103" s="697" t="str">
        <f>IFERROR(__xludf.DUMMYFUNCTION("""COMPUTED_VALUE"""),"Li 2005")</f>
        <v>Li 2005</v>
      </c>
      <c r="B103" s="697" t="str">
        <f>IFERROR(__xludf.DUMMYFUNCTION("""COMPUTED_VALUE"""),"S. japonicum")</f>
        <v>S. japonicum</v>
      </c>
      <c r="C103" s="697" t="str">
        <f>IFERROR(__xludf.DUMMYFUNCTION("""COMPUTED_VALUE"""),"China")</f>
        <v>China</v>
      </c>
      <c r="D103" s="697" t="str">
        <f>IFERROR(__xludf.DUMMYFUNCTION("""COMPUTED_VALUE"""),"Praziquantel")</f>
        <v>Praziquantel</v>
      </c>
      <c r="E103" s="697" t="str">
        <f>IFERROR(__xludf.DUMMYFUNCTION("""COMPUTED_VALUE"""),"Single")</f>
        <v>Single</v>
      </c>
      <c r="F103" s="697" t="str">
        <f>IFERROR(__xludf.DUMMYFUNCTION("""COMPUTED_VALUE"""),"50 mg/kg")</f>
        <v>50 mg/kg</v>
      </c>
      <c r="G103" s="697">
        <f>IFERROR(__xludf.DUMMYFUNCTION("""COMPUTED_VALUE"""),403.0)</f>
        <v>403</v>
      </c>
      <c r="H103" s="697" t="str">
        <f>IFERROR(__xludf.DUMMYFUNCTION("""COMPUTED_VALUE"""),"6-60 years old")</f>
        <v>6-60 years old</v>
      </c>
      <c r="I103" s="705" t="str">
        <f>IFERROR(__xludf.DUMMYFUNCTION("""COMPUTED_VALUE"""),"225/178")</f>
        <v>225/178</v>
      </c>
      <c r="J103" s="697">
        <f>IFERROR(__xludf.DUMMYFUNCTION("""COMPUTED_VALUE"""),2004.0)</f>
        <v>2004</v>
      </c>
      <c r="K103" s="702" t="str">
        <f>IFERROR(__xludf.DUMMYFUNCTION("""COMPUTED_VALUE"""),"The selected subjects were registered by age, sex, frequency and type of water contact, and then were randomly assigned into treatment group (i.e. artemether) and control group (i.e.placebo).")</f>
        <v>The selected subjects were registered by age, sex, frequency and type of water contact, and then were randomly assigned into treatment group (i.e. artemether) and control group (i.e.placebo).</v>
      </c>
      <c r="L103" s="697" t="str">
        <f>IFERROR(__xludf.DUMMYFUNCTION("""COMPUTED_VALUE"""),"Yes")</f>
        <v>Yes</v>
      </c>
      <c r="M103" s="697" t="str">
        <f>IFERROR(__xludf.DUMMYFUNCTION("""COMPUTED_VALUE"""),"Yes")</f>
        <v>Yes</v>
      </c>
      <c r="N103" s="697" t="str">
        <f>IFERROR(__xludf.DUMMYFUNCTION("""COMPUTED_VALUE"""),"1 month")</f>
        <v>1 month</v>
      </c>
      <c r="O103" s="706">
        <f>IFERROR(__xludf.DUMMYFUNCTION("""COMPUTED_VALUE"""),0.929)</f>
        <v>0.929</v>
      </c>
      <c r="P103" s="706">
        <f>IFERROR(__xludf.DUMMYFUNCTION("""COMPUTED_VALUE"""),0.961)</f>
        <v>0.961</v>
      </c>
      <c r="Q103" s="697" t="str">
        <f>IFERROR(__xludf.DUMMYFUNCTION("""COMPUTED_VALUE"""),"This study confirms that repeated oral artemether produces no drug-related adverse effects, significantly reduces incidence and intensity of patent S. japonicum infection and results in high compliance. Hence it can be used as an additional tool for the c"&amp;"ontrol of schistosomiasis japonica in the lake regions of China.")</f>
        <v>This study confirms that repeated oral artemether produces no drug-related adverse effects, significantly reduces incidence and intensity of patent S. japonicum infection and results in high compliance. Hence it can be used as an additional tool for the control of schistosomiasis japonica in the lake regions of China.</v>
      </c>
      <c r="R103" s="697"/>
      <c r="S103" s="699" t="str">
        <f>IFERROR(__xludf.DUMMYFUNCTION("""COMPUTED_VALUE"""),"Li, Yue-Sheng, et al. ""A double-blind field trial on the effects of artemether on Schistosoma japonicum infection in a highly endemic focus in southern China."" Acta tropica 96.2 (2005): 184-190.")</f>
        <v>Li, Yue-Sheng, et al. "A double-blind field trial on the effects of artemether on Schistosoma japonicum infection in a highly endemic focus in southern China." Acta tropica 96.2 (2005): 184-190.</v>
      </c>
      <c r="T103" s="697"/>
      <c r="U103" s="697" t="str">
        <f>IFERROR(__xludf.DUMMYFUNCTION("""COMPUTED_VALUE"""),"")</f>
        <v/>
      </c>
      <c r="V103" s="697">
        <f>IFERROR(__xludf.DUMMYFUNCTION("""COMPUTED_VALUE"""),103.0)</f>
        <v>103</v>
      </c>
    </row>
    <row r="104">
      <c r="A104" s="697" t="str">
        <f>IFERROR(__xludf.DUMMYFUNCTION("""COMPUTED_VALUE"""),"Li 2005")</f>
        <v>Li 2005</v>
      </c>
      <c r="B104" s="697" t="str">
        <f>IFERROR(__xludf.DUMMYFUNCTION("""COMPUTED_VALUE"""),"s. japonicum")</f>
        <v>s. japonicum</v>
      </c>
      <c r="C104" s="697" t="str">
        <f>IFERROR(__xludf.DUMMYFUNCTION("""COMPUTED_VALUE"""),"China")</f>
        <v>China</v>
      </c>
      <c r="D104" s="697" t="str">
        <f>IFERROR(__xludf.DUMMYFUNCTION("""COMPUTED_VALUE"""),"Placebo")</f>
        <v>Placebo</v>
      </c>
      <c r="E104" s="697"/>
      <c r="F104" s="697"/>
      <c r="G104" s="697">
        <f>IFERROR(__xludf.DUMMYFUNCTION("""COMPUTED_VALUE"""),380.0)</f>
        <v>380</v>
      </c>
      <c r="H104" s="697" t="str">
        <f>IFERROR(__xludf.DUMMYFUNCTION("""COMPUTED_VALUE"""),"6-60 years old")</f>
        <v>6-60 years old</v>
      </c>
      <c r="I104" s="705" t="str">
        <f>IFERROR(__xludf.DUMMYFUNCTION("""COMPUTED_VALUE"""),"216/164")</f>
        <v>216/164</v>
      </c>
      <c r="J104" s="697">
        <f>IFERROR(__xludf.DUMMYFUNCTION("""COMPUTED_VALUE"""),2004.0)</f>
        <v>2004</v>
      </c>
      <c r="K104" s="702" t="str">
        <f>IFERROR(__xludf.DUMMYFUNCTION("""COMPUTED_VALUE"""),"The selected subjects were registered by age, sex, frequency and type of water contact, and then were randomly assigned into treatment group (i.e. artemether) and control group (i.e.placebo).")</f>
        <v>The selected subjects were registered by age, sex, frequency and type of water contact, and then were randomly assigned into treatment group (i.e. artemether) and control group (i.e.placebo).</v>
      </c>
      <c r="L104" s="697" t="str">
        <f>IFERROR(__xludf.DUMMYFUNCTION("""COMPUTED_VALUE"""),"Yes")</f>
        <v>Yes</v>
      </c>
      <c r="M104" s="697" t="str">
        <f>IFERROR(__xludf.DUMMYFUNCTION("""COMPUTED_VALUE"""),"Yes")</f>
        <v>Yes</v>
      </c>
      <c r="N104" s="697" t="str">
        <f>IFERROR(__xludf.DUMMYFUNCTION("""COMPUTED_VALUE"""),"1 month")</f>
        <v>1 month</v>
      </c>
      <c r="O104" s="700">
        <f>IFERROR(__xludf.DUMMYFUNCTION("""COMPUTED_VALUE"""),0.0)</f>
        <v>0</v>
      </c>
      <c r="P104" s="706">
        <f>IFERROR(__xludf.DUMMYFUNCTION("""COMPUTED_VALUE"""),0.508)</f>
        <v>0.508</v>
      </c>
      <c r="Q104" s="697" t="str">
        <f>IFERROR(__xludf.DUMMYFUNCTION("""COMPUTED_VALUE"""),"This study confirms that repeated oral artemether produces no drug-related adverse effects, significantly reduces incidence and intensity of patent S. japonicum infection and results in high compliance. Hence it can be used as an additional tool for the c"&amp;"ontrol of schistosomiasis japonica in the lake regions of China.")</f>
        <v>This study confirms that repeated oral artemether produces no drug-related adverse effects, significantly reduces incidence and intensity of patent S. japonicum infection and results in high compliance. Hence it can be used as an additional tool for the control of schistosomiasis japonica in the lake regions of China.</v>
      </c>
      <c r="R104" s="697"/>
      <c r="S104" s="699" t="str">
        <f>IFERROR(__xludf.DUMMYFUNCTION("""COMPUTED_VALUE"""),"Li, Yue-Sheng, et al. ""A double-blind field trial on the effects of artemether on Schistosoma japonicum infection in a highly endemic focus in southern China."" Acta tropica 96.2 (2005): 184-190.")</f>
        <v>Li, Yue-Sheng, et al. "A double-blind field trial on the effects of artemether on Schistosoma japonicum infection in a highly endemic focus in southern China." Acta tropica 96.2 (2005): 184-190.</v>
      </c>
      <c r="T104" s="697"/>
      <c r="U104" s="697" t="str">
        <f>IFERROR(__xludf.DUMMYFUNCTION("""COMPUTED_VALUE"""),"")</f>
        <v/>
      </c>
      <c r="V104" s="697">
        <f>IFERROR(__xludf.DUMMYFUNCTION("""COMPUTED_VALUE"""),104.0)</f>
        <v>104</v>
      </c>
    </row>
    <row r="105">
      <c r="A105" s="697" t="str">
        <f>IFERROR(__xludf.DUMMYFUNCTION("""COMPUTED_VALUE"""),"Metwally A, 1995")</f>
        <v>Metwally A, 1995</v>
      </c>
      <c r="B105" s="697" t="str">
        <f>IFERROR(__xludf.DUMMYFUNCTION("""COMPUTED_VALUE"""),"s. mansoni")</f>
        <v>s. mansoni</v>
      </c>
      <c r="C105" s="697" t="str">
        <f>IFERROR(__xludf.DUMMYFUNCTION("""COMPUTED_VALUE"""),"Egypt")</f>
        <v>Egypt</v>
      </c>
      <c r="D105" s="697" t="str">
        <f>IFERROR(__xludf.DUMMYFUNCTION("""COMPUTED_VALUE"""),"Praziquantel")</f>
        <v>Praziquantel</v>
      </c>
      <c r="E105" s="697" t="str">
        <f>IFERROR(__xludf.DUMMYFUNCTION("""COMPUTED_VALUE"""),"Single")</f>
        <v>Single</v>
      </c>
      <c r="F105" s="697" t="str">
        <f>IFERROR(__xludf.DUMMYFUNCTION("""COMPUTED_VALUE"""),"40 mg/kg")</f>
        <v>40 mg/kg</v>
      </c>
      <c r="G105" s="697">
        <f>IFERROR(__xludf.DUMMYFUNCTION("""COMPUTED_VALUE"""),30.0)</f>
        <v>30</v>
      </c>
      <c r="H105" s="697" t="str">
        <f>IFERROR(__xludf.DUMMYFUNCTION("""COMPUTED_VALUE"""),"8-16 years old")</f>
        <v>8-16 years old</v>
      </c>
      <c r="I105" s="697"/>
      <c r="J105" s="697">
        <f>IFERROR(__xludf.DUMMYFUNCTION("""COMPUTED_VALUE"""),1995.0)</f>
        <v>1995</v>
      </c>
      <c r="K105" s="702" t="str">
        <f>IFERROR(__xludf.DUMMYFUNCTION("""COMPUTED_VALUE"""),"schoolchildren aged 8 to 16 years who were positive for S. mansoni")</f>
        <v>schoolchildren aged 8 to 16 years who were positive for S. mansoni</v>
      </c>
      <c r="L105" s="697" t="str">
        <f>IFERROR(__xludf.DUMMYFUNCTION("""COMPUTED_VALUE"""),"No")</f>
        <v>No</v>
      </c>
      <c r="M105" s="697" t="str">
        <f>IFERROR(__xludf.DUMMYFUNCTION("""COMPUTED_VALUE"""),"Yes")</f>
        <v>Yes</v>
      </c>
      <c r="N105" s="697" t="str">
        <f>IFERROR(__xludf.DUMMYFUNCTION("""COMPUTED_VALUE"""),"efficacy of test drugs treatment the two brands of PZQ in full dose were equally effective in reducing egg count as their half doses except in heavily infected cases treated with brand 2 of PZQ. 4 weeks; 10 weeks post treatment")</f>
        <v>efficacy of test drugs treatment the two brands of PZQ in full dose were equally effective in reducing egg count as their half doses except in heavily infected cases treated with brand 2 of PZQ. 4 weeks; 10 weeks post treatment</v>
      </c>
      <c r="O105" s="698">
        <f>IFERROR(__xludf.DUMMYFUNCTION("""COMPUTED_VALUE"""),0.733)</f>
        <v>0.733</v>
      </c>
      <c r="P105" s="700">
        <f>IFERROR(__xludf.DUMMYFUNCTION("""COMPUTED_VALUE"""),0.96)</f>
        <v>0.96</v>
      </c>
      <c r="Q105" s="697" t="str">
        <f>IFERROR(__xludf.DUMMYFUNCTION("""COMPUTED_VALUE"""),"Cure rates were significantly higher whenever full dose of either brand was used. The recommendation of using lower dose of PZQ, since the egg output from patients using 40 vs 20 mg kg-’ was not different, should be considered after longer followup period"&amp;"s. This is because most control programs using PZQ are planned to be conducted over an annual or biannual basis. Moreover, one could argue that since the number of eggs excreted in patients receiving the lower dose are higher, the probability of contamina"&amp;"ting water could also be higher")</f>
        <v>Cure rates were significantly higher whenever full dose of either brand was used. The recommendation of using lower dose of PZQ, since the egg output from patients using 40 vs 20 mg kg-’ was not different, should be considered after longer followup periods. This is because most control programs using PZQ are planned to be conducted over an annual or biannual basis. Moreover, one could argue that since the number of eggs excreted in patients receiving the lower dose are higher, the probability of contaminating water could also be higher</v>
      </c>
      <c r="R105" s="697" t="str">
        <f>IFERROR(__xludf.DUMMYFUNCTION("""COMPUTED_VALUE"""),"IMPACT OF DRUG DOSAGE AND BRAND ON BIOAVAILABILITY AND EFFICACY OF PRAZIQUANTEL")</f>
        <v>IMPACT OF DRUG DOSAGE AND BRAND ON BIOAVAILABILITY AND EFFICACY OF PRAZIQUANTEL</v>
      </c>
      <c r="S105" s="699" t="str">
        <f>IFERROR(__xludf.DUMMYFUNCTION("""COMPUTED_VALUE"""),"Metwally A, Bennett J, Botros S, Ebeid F, el attar Gel D. Impact of drug dosage and brand on bioavailability and efficacy of praziquantel. Pharmacological Research 1995;31 (1):53–9.")</f>
        <v>Metwally A, Bennett J, Botros S, Ebeid F, el attar Gel D. Impact of drug dosage and brand on bioavailability and efficacy of praziquantel. Pharmacological Research 1995;31 (1):53–9.</v>
      </c>
      <c r="T105" s="697"/>
      <c r="U105" s="697" t="str">
        <f>IFERROR(__xludf.DUMMYFUNCTION("""COMPUTED_VALUE"""),"")</f>
        <v/>
      </c>
      <c r="V105" s="697">
        <f>IFERROR(__xludf.DUMMYFUNCTION("""COMPUTED_VALUE"""),105.0)</f>
        <v>105</v>
      </c>
    </row>
    <row r="106">
      <c r="A106" s="697" t="str">
        <f>IFERROR(__xludf.DUMMYFUNCTION("""COMPUTED_VALUE"""),"Metwally A, 1995")</f>
        <v>Metwally A, 1995</v>
      </c>
      <c r="B106" s="697" t="str">
        <f>IFERROR(__xludf.DUMMYFUNCTION("""COMPUTED_VALUE"""),"s. mansoni")</f>
        <v>s. mansoni</v>
      </c>
      <c r="C106" s="697" t="str">
        <f>IFERROR(__xludf.DUMMYFUNCTION("""COMPUTED_VALUE"""),"Egypt")</f>
        <v>Egypt</v>
      </c>
      <c r="D106" s="697" t="str">
        <f>IFERROR(__xludf.DUMMYFUNCTION("""COMPUTED_VALUE"""),"Praziquantel")</f>
        <v>Praziquantel</v>
      </c>
      <c r="E106" s="697" t="str">
        <f>IFERROR(__xludf.DUMMYFUNCTION("""COMPUTED_VALUE"""),"Single")</f>
        <v>Single</v>
      </c>
      <c r="F106" s="697" t="str">
        <f>IFERROR(__xludf.DUMMYFUNCTION("""COMPUTED_VALUE"""),"40 mg/kg")</f>
        <v>40 mg/kg</v>
      </c>
      <c r="G106" s="697">
        <f>IFERROR(__xludf.DUMMYFUNCTION("""COMPUTED_VALUE"""),26.0)</f>
        <v>26</v>
      </c>
      <c r="H106" s="697" t="str">
        <f>IFERROR(__xludf.DUMMYFUNCTION("""COMPUTED_VALUE"""),"8-16 years old")</f>
        <v>8-16 years old</v>
      </c>
      <c r="I106" s="697"/>
      <c r="J106" s="697">
        <f>IFERROR(__xludf.DUMMYFUNCTION("""COMPUTED_VALUE"""),1995.0)</f>
        <v>1995</v>
      </c>
      <c r="K106" s="702" t="str">
        <f>IFERROR(__xludf.DUMMYFUNCTION("""COMPUTED_VALUE"""),"schoolchildren aged 8 to 16 years who were positive for S. mansoni")</f>
        <v>schoolchildren aged 8 to 16 years who were positive for S. mansoni</v>
      </c>
      <c r="L106" s="697" t="str">
        <f>IFERROR(__xludf.DUMMYFUNCTION("""COMPUTED_VALUE"""),"No")</f>
        <v>No</v>
      </c>
      <c r="M106" s="697" t="str">
        <f>IFERROR(__xludf.DUMMYFUNCTION("""COMPUTED_VALUE"""),"Yes")</f>
        <v>Yes</v>
      </c>
      <c r="N106" s="697" t="str">
        <f>IFERROR(__xludf.DUMMYFUNCTION("""COMPUTED_VALUE"""),"efficacy of test drugs treatment the two brands of PZQ in full dose were equally effective in reducing egg count as their half doses except in heavily infected cases treated with brand 2 of PZQ. 4 weeks; 10 weeks post treatment")</f>
        <v>efficacy of test drugs treatment the two brands of PZQ in full dose were equally effective in reducing egg count as their half doses except in heavily infected cases treated with brand 2 of PZQ. 4 weeks; 10 weeks post treatment</v>
      </c>
      <c r="O106" s="698">
        <f>IFERROR(__xludf.DUMMYFUNCTION("""COMPUTED_VALUE"""),0.52)</f>
        <v>0.52</v>
      </c>
      <c r="P106" s="698">
        <f>IFERROR(__xludf.DUMMYFUNCTION("""COMPUTED_VALUE"""),0.926)</f>
        <v>0.926</v>
      </c>
      <c r="Q106" s="697" t="str">
        <f>IFERROR(__xludf.DUMMYFUNCTION("""COMPUTED_VALUE"""),"Cure rates were significantly higher whenever full dose of either brand was used. The recommendation of using lower dose of PZQ, since the egg output from patients using 40 vs 20 mg kg-’ was not different, should be considered after longer followup period"&amp;"s. This is because most control programs using PZQ are planned to be conducted over an annual or biannual basis. Moreover, one could argue that since the number of eggs excreted in patients receiving the lower dose are higher, the probability of contamina"&amp;"ting water could also be higher")</f>
        <v>Cure rates were significantly higher whenever full dose of either brand was used. The recommendation of using lower dose of PZQ, since the egg output from patients using 40 vs 20 mg kg-’ was not different, should be considered after longer followup periods. This is because most control programs using PZQ are planned to be conducted over an annual or biannual basis. Moreover, one could argue that since the number of eggs excreted in patients receiving the lower dose are higher, the probability of contaminating water could also be higher</v>
      </c>
      <c r="R106" s="697" t="str">
        <f>IFERROR(__xludf.DUMMYFUNCTION("""COMPUTED_VALUE"""),"IMPACT OF DRUG DOSAGE AND BRAND ON BIOAVAILABILITY AND EFFICACY OF PRAZIQUANTEL")</f>
        <v>IMPACT OF DRUG DOSAGE AND BRAND ON BIOAVAILABILITY AND EFFICACY OF PRAZIQUANTEL</v>
      </c>
      <c r="S106" s="699" t="str">
        <f>IFERROR(__xludf.DUMMYFUNCTION("""COMPUTED_VALUE"""),"Metwally A, Bennett J, Botros S, Ebeid F, el attar Gel D. Impact of drug dosage and brand on bioavailability and efficacy of praziquantel. Pharmacological Research 1995;31 (1):53–9.")</f>
        <v>Metwally A, Bennett J, Botros S, Ebeid F, el attar Gel D. Impact of drug dosage and brand on bioavailability and efficacy of praziquantel. Pharmacological Research 1995;31 (1):53–9.</v>
      </c>
      <c r="T106" s="697"/>
      <c r="U106" s="697" t="str">
        <f>IFERROR(__xludf.DUMMYFUNCTION("""COMPUTED_VALUE"""),"")</f>
        <v/>
      </c>
      <c r="V106" s="697">
        <f>IFERROR(__xludf.DUMMYFUNCTION("""COMPUTED_VALUE"""),106.0)</f>
        <v>106</v>
      </c>
    </row>
    <row r="107">
      <c r="A107" s="697" t="str">
        <f>IFERROR(__xludf.DUMMYFUNCTION("""COMPUTED_VALUE"""),"Metwally A, 1995")</f>
        <v>Metwally A, 1995</v>
      </c>
      <c r="B107" s="697" t="str">
        <f>IFERROR(__xludf.DUMMYFUNCTION("""COMPUTED_VALUE"""),"s. mansoni")</f>
        <v>s. mansoni</v>
      </c>
      <c r="C107" s="697" t="str">
        <f>IFERROR(__xludf.DUMMYFUNCTION("""COMPUTED_VALUE"""),"Egypt")</f>
        <v>Egypt</v>
      </c>
      <c r="D107" s="697" t="str">
        <f>IFERROR(__xludf.DUMMYFUNCTION("""COMPUTED_VALUE"""),"Praziquantel")</f>
        <v>Praziquantel</v>
      </c>
      <c r="E107" s="697" t="str">
        <f>IFERROR(__xludf.DUMMYFUNCTION("""COMPUTED_VALUE"""),"Single")</f>
        <v>Single</v>
      </c>
      <c r="F107" s="697" t="str">
        <f>IFERROR(__xludf.DUMMYFUNCTION("""COMPUTED_VALUE"""),"40 mg/kg")</f>
        <v>40 mg/kg</v>
      </c>
      <c r="G107" s="697">
        <f>IFERROR(__xludf.DUMMYFUNCTION("""COMPUTED_VALUE"""),24.0)</f>
        <v>24</v>
      </c>
      <c r="H107" s="697" t="str">
        <f>IFERROR(__xludf.DUMMYFUNCTION("""COMPUTED_VALUE"""),"8-16 years old")</f>
        <v>8-16 years old</v>
      </c>
      <c r="I107" s="697"/>
      <c r="J107" s="697">
        <f>IFERROR(__xludf.DUMMYFUNCTION("""COMPUTED_VALUE"""),1995.0)</f>
        <v>1995</v>
      </c>
      <c r="K107" s="702" t="str">
        <f>IFERROR(__xludf.DUMMYFUNCTION("""COMPUTED_VALUE"""),"schoolchildren aged 8 to 16 years who were positive for S. mansoni")</f>
        <v>schoolchildren aged 8 to 16 years who were positive for S. mansoni</v>
      </c>
      <c r="L107" s="697" t="str">
        <f>IFERROR(__xludf.DUMMYFUNCTION("""COMPUTED_VALUE"""),"No")</f>
        <v>No</v>
      </c>
      <c r="M107" s="697" t="str">
        <f>IFERROR(__xludf.DUMMYFUNCTION("""COMPUTED_VALUE"""),"Yes")</f>
        <v>Yes</v>
      </c>
      <c r="N107" s="697" t="str">
        <f>IFERROR(__xludf.DUMMYFUNCTION("""COMPUTED_VALUE"""),"efficacy of test drugs treatment the two brands of PZQ in full dose were equally effective in reducing egg count as their half doses except in heavily infected cases treated with brand 2 of PZQ. 4 weeks; 10 weeks post treatment")</f>
        <v>efficacy of test drugs treatment the two brands of PZQ in full dose were equally effective in reducing egg count as their half doses except in heavily infected cases treated with brand 2 of PZQ. 4 weeks; 10 weeks post treatment</v>
      </c>
      <c r="O107" s="698">
        <f>IFERROR(__xludf.DUMMYFUNCTION("""COMPUTED_VALUE"""),0.667)</f>
        <v>0.667</v>
      </c>
      <c r="P107" s="698">
        <f>IFERROR(__xludf.DUMMYFUNCTION("""COMPUTED_VALUE"""),0.763)</f>
        <v>0.763</v>
      </c>
      <c r="Q107" s="697" t="str">
        <f>IFERROR(__xludf.DUMMYFUNCTION("""COMPUTED_VALUE"""),"Cure rates were significantly higher whenever full dose of either brand was used. The recommendation of using lower dose of PZQ, since the egg output from patients using 40 vs 20 mg kg-’ was not different, should be considered after longer followup period"&amp;"s. This is because most control programs using PZQ are planned to be conducted over an annual or biannual basis. Moreover, one could argue that since the number of eggs excreted in patients receiving the lower dose are higher, the probability of contamina"&amp;"ting water could also be higher")</f>
        <v>Cure rates were significantly higher whenever full dose of either brand was used. The recommendation of using lower dose of PZQ, since the egg output from patients using 40 vs 20 mg kg-’ was not different, should be considered after longer followup periods. This is because most control programs using PZQ are planned to be conducted over an annual or biannual basis. Moreover, one could argue that since the number of eggs excreted in patients receiving the lower dose are higher, the probability of contaminating water could also be higher</v>
      </c>
      <c r="R107" s="697" t="str">
        <f>IFERROR(__xludf.DUMMYFUNCTION("""COMPUTED_VALUE"""),"IMPACT OF DRUG DOSAGE AND BRAND ON BIOAVAILABILITY AND EFFICACY OF PRAZIQUANTEL")</f>
        <v>IMPACT OF DRUG DOSAGE AND BRAND ON BIOAVAILABILITY AND EFFICACY OF PRAZIQUANTEL</v>
      </c>
      <c r="S107" s="699" t="str">
        <f>IFERROR(__xludf.DUMMYFUNCTION("""COMPUTED_VALUE"""),"Metwally A, Bennett J, Botros S, Ebeid F, el attar Gel D. Impact of drug dosage and brand on bioavailability and efficacy of praziquantel. Pharmacological Research 1995;31 (1):53–9.")</f>
        <v>Metwally A, Bennett J, Botros S, Ebeid F, el attar Gel D. Impact of drug dosage and brand on bioavailability and efficacy of praziquantel. Pharmacological Research 1995;31 (1):53–9.</v>
      </c>
      <c r="T107" s="697"/>
      <c r="U107" s="697" t="str">
        <f>IFERROR(__xludf.DUMMYFUNCTION("""COMPUTED_VALUE"""),"")</f>
        <v/>
      </c>
      <c r="V107" s="697">
        <f>IFERROR(__xludf.DUMMYFUNCTION("""COMPUTED_VALUE"""),107.0)</f>
        <v>107</v>
      </c>
    </row>
    <row r="108">
      <c r="A108" s="697" t="str">
        <f>IFERROR(__xludf.DUMMYFUNCTION("""COMPUTED_VALUE"""),"Metwally A, 1995")</f>
        <v>Metwally A, 1995</v>
      </c>
      <c r="B108" s="697" t="str">
        <f>IFERROR(__xludf.DUMMYFUNCTION("""COMPUTED_VALUE"""),"s. mansoni")</f>
        <v>s. mansoni</v>
      </c>
      <c r="C108" s="697" t="str">
        <f>IFERROR(__xludf.DUMMYFUNCTION("""COMPUTED_VALUE"""),"Egypt")</f>
        <v>Egypt</v>
      </c>
      <c r="D108" s="697" t="str">
        <f>IFERROR(__xludf.DUMMYFUNCTION("""COMPUTED_VALUE"""),"Praziquantel")</f>
        <v>Praziquantel</v>
      </c>
      <c r="E108" s="697" t="str">
        <f>IFERROR(__xludf.DUMMYFUNCTION("""COMPUTED_VALUE"""),"Single")</f>
        <v>Single</v>
      </c>
      <c r="F108" s="697" t="str">
        <f>IFERROR(__xludf.DUMMYFUNCTION("""COMPUTED_VALUE"""),"20 mg/kg")</f>
        <v>20 mg/kg</v>
      </c>
      <c r="G108" s="697">
        <f>IFERROR(__xludf.DUMMYFUNCTION("""COMPUTED_VALUE"""),20.0)</f>
        <v>20</v>
      </c>
      <c r="H108" s="697" t="str">
        <f>IFERROR(__xludf.DUMMYFUNCTION("""COMPUTED_VALUE"""),"8-16 years old")</f>
        <v>8-16 years old</v>
      </c>
      <c r="I108" s="697"/>
      <c r="J108" s="697">
        <f>IFERROR(__xludf.DUMMYFUNCTION("""COMPUTED_VALUE"""),1995.0)</f>
        <v>1995</v>
      </c>
      <c r="K108" s="702" t="str">
        <f>IFERROR(__xludf.DUMMYFUNCTION("""COMPUTED_VALUE"""),"schoolchildren aged 8 to 16 years who were positive for S. mansoni")</f>
        <v>schoolchildren aged 8 to 16 years who were positive for S. mansoni</v>
      </c>
      <c r="L108" s="697" t="str">
        <f>IFERROR(__xludf.DUMMYFUNCTION("""COMPUTED_VALUE"""),"No")</f>
        <v>No</v>
      </c>
      <c r="M108" s="697" t="str">
        <f>IFERROR(__xludf.DUMMYFUNCTION("""COMPUTED_VALUE"""),"Yes")</f>
        <v>Yes</v>
      </c>
      <c r="N108" s="697" t="str">
        <f>IFERROR(__xludf.DUMMYFUNCTION("""COMPUTED_VALUE"""),"efficacy of test drugs treatment the two brands of PZQ in full dose were equally effective in reducing egg count as their half doses except in heavily infected cases treated with brand 2 of PZQ. 4 weeks; 10 weeks post treatment")</f>
        <v>efficacy of test drugs treatment the two brands of PZQ in full dose were equally effective in reducing egg count as their half doses except in heavily infected cases treated with brand 2 of PZQ. 4 weeks; 10 weeks post treatment</v>
      </c>
      <c r="O108" s="698">
        <f>IFERROR(__xludf.DUMMYFUNCTION("""COMPUTED_VALUE"""),0.3)</f>
        <v>0.3</v>
      </c>
      <c r="P108" s="698">
        <f>IFERROR(__xludf.DUMMYFUNCTION("""COMPUTED_VALUE"""),0.961)</f>
        <v>0.961</v>
      </c>
      <c r="Q108" s="697" t="str">
        <f>IFERROR(__xludf.DUMMYFUNCTION("""COMPUTED_VALUE"""),"Cure rates were significantly higher whenever full dose of either brand was used. The recommendation of using lower dose of PZQ, since the egg output from patients using 40 vs 20 mg kg-’ was not different, should be considered after longer followup period"&amp;"s. This is because most control programs using PZQ are planned to be conducted over an annual or biannual basis. Moreover, one could argue that since the number of eggs excreted in patients receiving the lower dose are higher, the probability of contamina"&amp;"ting water could also be higher")</f>
        <v>Cure rates were significantly higher whenever full dose of either brand was used. The recommendation of using lower dose of PZQ, since the egg output from patients using 40 vs 20 mg kg-’ was not different, should be considered after longer followup periods. This is because most control programs using PZQ are planned to be conducted over an annual or biannual basis. Moreover, one could argue that since the number of eggs excreted in patients receiving the lower dose are higher, the probability of contaminating water could also be higher</v>
      </c>
      <c r="R108" s="697" t="str">
        <f>IFERROR(__xludf.DUMMYFUNCTION("""COMPUTED_VALUE"""),"IMPACT OF DRUG DOSAGE AND BRAND ON BIOAVAILABILITY AND EFFICACY OF PRAZIQUANTEL")</f>
        <v>IMPACT OF DRUG DOSAGE AND BRAND ON BIOAVAILABILITY AND EFFICACY OF PRAZIQUANTEL</v>
      </c>
      <c r="S108" s="699" t="str">
        <f>IFERROR(__xludf.DUMMYFUNCTION("""COMPUTED_VALUE"""),"Metwally A, Bennett J, Botros S, Ebeid F, el attar Gel D. Impact of drug dosage and brand on bioavailability and efficacy of praziquantel. Pharmacological Research 1995;31 (1):53–9.")</f>
        <v>Metwally A, Bennett J, Botros S, Ebeid F, el attar Gel D. Impact of drug dosage and brand on bioavailability and efficacy of praziquantel. Pharmacological Research 1995;31 (1):53–9.</v>
      </c>
      <c r="T108" s="697"/>
      <c r="U108" s="697" t="str">
        <f>IFERROR(__xludf.DUMMYFUNCTION("""COMPUTED_VALUE"""),"")</f>
        <v/>
      </c>
      <c r="V108" s="697">
        <f>IFERROR(__xludf.DUMMYFUNCTION("""COMPUTED_VALUE"""),108.0)</f>
        <v>108</v>
      </c>
    </row>
    <row r="109">
      <c r="A109" s="697" t="str">
        <f>IFERROR(__xludf.DUMMYFUNCTION("""COMPUTED_VALUE"""),"Metwally A, 1995")</f>
        <v>Metwally A, 1995</v>
      </c>
      <c r="B109" s="697" t="str">
        <f>IFERROR(__xludf.DUMMYFUNCTION("""COMPUTED_VALUE"""),"s. mansoni")</f>
        <v>s. mansoni</v>
      </c>
      <c r="C109" s="697" t="str">
        <f>IFERROR(__xludf.DUMMYFUNCTION("""COMPUTED_VALUE"""),"Egypt")</f>
        <v>Egypt</v>
      </c>
      <c r="D109" s="697" t="str">
        <f>IFERROR(__xludf.DUMMYFUNCTION("""COMPUTED_VALUE"""),"Praziquantel")</f>
        <v>Praziquantel</v>
      </c>
      <c r="E109" s="697" t="str">
        <f>IFERROR(__xludf.DUMMYFUNCTION("""COMPUTED_VALUE"""),"Single")</f>
        <v>Single</v>
      </c>
      <c r="F109" s="697" t="str">
        <f>IFERROR(__xludf.DUMMYFUNCTION("""COMPUTED_VALUE"""),"20 mg/kg")</f>
        <v>20 mg/kg</v>
      </c>
      <c r="G109" s="697">
        <f>IFERROR(__xludf.DUMMYFUNCTION("""COMPUTED_VALUE"""),39.0)</f>
        <v>39</v>
      </c>
      <c r="H109" s="697" t="str">
        <f>IFERROR(__xludf.DUMMYFUNCTION("""COMPUTED_VALUE"""),"8-16 years old")</f>
        <v>8-16 years old</v>
      </c>
      <c r="I109" s="697"/>
      <c r="J109" s="697">
        <f>IFERROR(__xludf.DUMMYFUNCTION("""COMPUTED_VALUE"""),1995.0)</f>
        <v>1995</v>
      </c>
      <c r="K109" s="702" t="str">
        <f>IFERROR(__xludf.DUMMYFUNCTION("""COMPUTED_VALUE"""),"schoolchildren aged 8 to 16 years who were positive for S. mansoni")</f>
        <v>schoolchildren aged 8 to 16 years who were positive for S. mansoni</v>
      </c>
      <c r="L109" s="697" t="str">
        <f>IFERROR(__xludf.DUMMYFUNCTION("""COMPUTED_VALUE"""),"No")</f>
        <v>No</v>
      </c>
      <c r="M109" s="697" t="str">
        <f>IFERROR(__xludf.DUMMYFUNCTION("""COMPUTED_VALUE"""),"Yes")</f>
        <v>Yes</v>
      </c>
      <c r="N109" s="697" t="str">
        <f>IFERROR(__xludf.DUMMYFUNCTION("""COMPUTED_VALUE"""),"efficacy of test drugs treatment the two brands of PZQ in full dose were equally effective in reducing egg count as their half doses except in heavily infected cases treated with brand 2 of PZQ. 4 weeks; 10 weeks post treatment")</f>
        <v>efficacy of test drugs treatment the two brands of PZQ in full dose were equally effective in reducing egg count as their half doses except in heavily infected cases treated with brand 2 of PZQ. 4 weeks; 10 weeks post treatment</v>
      </c>
      <c r="O109" s="698">
        <f>IFERROR(__xludf.DUMMYFUNCTION("""COMPUTED_VALUE"""),0.424)</f>
        <v>0.424</v>
      </c>
      <c r="P109" s="698">
        <f>IFERROR(__xludf.DUMMYFUNCTION("""COMPUTED_VALUE"""),0.859)</f>
        <v>0.859</v>
      </c>
      <c r="Q109" s="697" t="str">
        <f>IFERROR(__xludf.DUMMYFUNCTION("""COMPUTED_VALUE"""),"Cure rates were significantly higher whenever full dose of either brand was used. The recommendation of using lower dose of PZQ, since the egg output from patients using 40 vs 20 mg kg-’ was not different, should be considered after longer followup period"&amp;"s. This is because most control programs using PZQ are planned to be conducted over an annual or biannual basis. Moreover, one could argue that since the number of eggs excreted in patients receiving the lower dose are higher, the probability of contamina"&amp;"ting water could also be higher")</f>
        <v>Cure rates were significantly higher whenever full dose of either brand was used. The recommendation of using lower dose of PZQ, since the egg output from patients using 40 vs 20 mg kg-’ was not different, should be considered after longer followup periods. This is because most control programs using PZQ are planned to be conducted over an annual or biannual basis. Moreover, one could argue that since the number of eggs excreted in patients receiving the lower dose are higher, the probability of contaminating water could also be higher</v>
      </c>
      <c r="R109" s="697" t="str">
        <f>IFERROR(__xludf.DUMMYFUNCTION("""COMPUTED_VALUE"""),"IMPACT OF DRUG DOSAGE AND BRAND ON BIOAVAILABILITY AND EFFICACY OF PRAZIQUANTEL")</f>
        <v>IMPACT OF DRUG DOSAGE AND BRAND ON BIOAVAILABILITY AND EFFICACY OF PRAZIQUANTEL</v>
      </c>
      <c r="S109" s="699" t="str">
        <f>IFERROR(__xludf.DUMMYFUNCTION("""COMPUTED_VALUE"""),"Metwally A, Bennett J, Botros S, Ebeid F, el attar Gel D. Impact of drug dosage and brand on bioavailability and efficacy of praziquantel. Pharmacological Research 1995;31 (1):53–9.")</f>
        <v>Metwally A, Bennett J, Botros S, Ebeid F, el attar Gel D. Impact of drug dosage and brand on bioavailability and efficacy of praziquantel. Pharmacological Research 1995;31 (1):53–9.</v>
      </c>
      <c r="T109" s="697"/>
      <c r="U109" s="697" t="str">
        <f>IFERROR(__xludf.DUMMYFUNCTION("""COMPUTED_VALUE"""),"")</f>
        <v/>
      </c>
      <c r="V109" s="697">
        <f>IFERROR(__xludf.DUMMYFUNCTION("""COMPUTED_VALUE"""),109.0)</f>
        <v>109</v>
      </c>
    </row>
    <row r="110">
      <c r="A110" s="697" t="str">
        <f>IFERROR(__xludf.DUMMYFUNCTION("""COMPUTED_VALUE"""),"Metwally A, 1995")</f>
        <v>Metwally A, 1995</v>
      </c>
      <c r="B110" s="697" t="str">
        <f>IFERROR(__xludf.DUMMYFUNCTION("""COMPUTED_VALUE"""),"s. mansoni")</f>
        <v>s. mansoni</v>
      </c>
      <c r="C110" s="697" t="str">
        <f>IFERROR(__xludf.DUMMYFUNCTION("""COMPUTED_VALUE"""),"Egypt")</f>
        <v>Egypt</v>
      </c>
      <c r="D110" s="697" t="str">
        <f>IFERROR(__xludf.DUMMYFUNCTION("""COMPUTED_VALUE"""),"Praziquantel")</f>
        <v>Praziquantel</v>
      </c>
      <c r="E110" s="697" t="str">
        <f>IFERROR(__xludf.DUMMYFUNCTION("""COMPUTED_VALUE"""),"Single")</f>
        <v>Single</v>
      </c>
      <c r="F110" s="697" t="str">
        <f>IFERROR(__xludf.DUMMYFUNCTION("""COMPUTED_VALUE"""),"20 mg/kg")</f>
        <v>20 mg/kg</v>
      </c>
      <c r="G110" s="697">
        <f>IFERROR(__xludf.DUMMYFUNCTION("""COMPUTED_VALUE"""),33.0)</f>
        <v>33</v>
      </c>
      <c r="H110" s="697" t="str">
        <f>IFERROR(__xludf.DUMMYFUNCTION("""COMPUTED_VALUE"""),"8-16 years old")</f>
        <v>8-16 years old</v>
      </c>
      <c r="I110" s="697"/>
      <c r="J110" s="697">
        <f>IFERROR(__xludf.DUMMYFUNCTION("""COMPUTED_VALUE"""),1995.0)</f>
        <v>1995</v>
      </c>
      <c r="K110" s="702" t="str">
        <f>IFERROR(__xludf.DUMMYFUNCTION("""COMPUTED_VALUE"""),"schoolchildren aged 8 to 16 years who were positive for S. mansoni")</f>
        <v>schoolchildren aged 8 to 16 years who were positive for S. mansoni</v>
      </c>
      <c r="L110" s="697" t="str">
        <f>IFERROR(__xludf.DUMMYFUNCTION("""COMPUTED_VALUE"""),"No")</f>
        <v>No</v>
      </c>
      <c r="M110" s="697" t="str">
        <f>IFERROR(__xludf.DUMMYFUNCTION("""COMPUTED_VALUE"""),"Yes")</f>
        <v>Yes</v>
      </c>
      <c r="N110" s="697" t="str">
        <f>IFERROR(__xludf.DUMMYFUNCTION("""COMPUTED_VALUE"""),"efficacy of test drugs treatment the two brands of PZQ in full dose were equally effective in reducing egg count as their half doses except in heavily infected cases treated with brand 2 of PZQ. 4 weeks; 10 weeks post treatment")</f>
        <v>efficacy of test drugs treatment the two brands of PZQ in full dose were equally effective in reducing egg count as their half doses except in heavily infected cases treated with brand 2 of PZQ. 4 weeks; 10 weeks post treatment</v>
      </c>
      <c r="O110" s="698">
        <f>IFERROR(__xludf.DUMMYFUNCTION("""COMPUTED_VALUE"""),0.667)</f>
        <v>0.667</v>
      </c>
      <c r="P110" s="698">
        <f>IFERROR(__xludf.DUMMYFUNCTION("""COMPUTED_VALUE"""),0.788)</f>
        <v>0.788</v>
      </c>
      <c r="Q110" s="697" t="str">
        <f>IFERROR(__xludf.DUMMYFUNCTION("""COMPUTED_VALUE"""),"Cure rates were significantly higher whenever full dose of either brand was used. The recommendation of using lower dose of PZQ, since the egg output from patients using 40 vs 20 mg kg-’ was not different, should be considered after longer followup period"&amp;"s. This is because most control programs using PZQ are planned to be conducted over an annual or biannual basis. Moreover, one could argue that since the number of eggs excreted in patients receiving the lower dose are higher, the probability of contamina"&amp;"ting water could also be higher")</f>
        <v>Cure rates were significantly higher whenever full dose of either brand was used. The recommendation of using lower dose of PZQ, since the egg output from patients using 40 vs 20 mg kg-’ was not different, should be considered after longer followup periods. This is because most control programs using PZQ are planned to be conducted over an annual or biannual basis. Moreover, one could argue that since the number of eggs excreted in patients receiving the lower dose are higher, the probability of contaminating water could also be higher</v>
      </c>
      <c r="R110" s="697" t="str">
        <f>IFERROR(__xludf.DUMMYFUNCTION("""COMPUTED_VALUE"""),"IMPACT OF DRUG DOSAGE AND BRAND ON BIOAVAILABILITY AND EFFICACY OF PRAZIQUANTEL")</f>
        <v>IMPACT OF DRUG DOSAGE AND BRAND ON BIOAVAILABILITY AND EFFICACY OF PRAZIQUANTEL</v>
      </c>
      <c r="S110" s="699" t="str">
        <f>IFERROR(__xludf.DUMMYFUNCTION("""COMPUTED_VALUE"""),"Metwally A, Bennett J, Botros S, Ebeid F, el attar Gel D. Impact of drug dosage and brand on bioavailability and efficacy of praziquantel. Pharmacological Research 1995;31 (1):53–9.")</f>
        <v>Metwally A, Bennett J, Botros S, Ebeid F, el attar Gel D. Impact of drug dosage and brand on bioavailability and efficacy of praziquantel. Pharmacological Research 1995;31 (1):53–9.</v>
      </c>
      <c r="T110" s="697"/>
      <c r="U110" s="697" t="str">
        <f>IFERROR(__xludf.DUMMYFUNCTION("""COMPUTED_VALUE"""),"")</f>
        <v/>
      </c>
      <c r="V110" s="697">
        <f>IFERROR(__xludf.DUMMYFUNCTION("""COMPUTED_VALUE"""),110.0)</f>
        <v>110</v>
      </c>
    </row>
    <row r="111">
      <c r="A111" s="697" t="str">
        <f>IFERROR(__xludf.DUMMYFUNCTION("""COMPUTED_VALUE"""),"Metwally A, 1995")</f>
        <v>Metwally A, 1995</v>
      </c>
      <c r="B111" s="697" t="str">
        <f>IFERROR(__xludf.DUMMYFUNCTION("""COMPUTED_VALUE"""),"s. mansoni")</f>
        <v>s. mansoni</v>
      </c>
      <c r="C111" s="697" t="str">
        <f>IFERROR(__xludf.DUMMYFUNCTION("""COMPUTED_VALUE"""),"Egypt")</f>
        <v>Egypt</v>
      </c>
      <c r="D111" s="697" t="str">
        <f>IFERROR(__xludf.DUMMYFUNCTION("""COMPUTED_VALUE"""),"Praziquantel")</f>
        <v>Praziquantel</v>
      </c>
      <c r="E111" s="697" t="str">
        <f>IFERROR(__xludf.DUMMYFUNCTION("""COMPUTED_VALUE"""),"Single")</f>
        <v>Single</v>
      </c>
      <c r="F111" s="697" t="str">
        <f>IFERROR(__xludf.DUMMYFUNCTION("""COMPUTED_VALUE"""),"40 mg/kg")</f>
        <v>40 mg/kg</v>
      </c>
      <c r="G111" s="697">
        <f>IFERROR(__xludf.DUMMYFUNCTION("""COMPUTED_VALUE"""),30.0)</f>
        <v>30</v>
      </c>
      <c r="H111" s="697" t="str">
        <f>IFERROR(__xludf.DUMMYFUNCTION("""COMPUTED_VALUE"""),"8-16 years old")</f>
        <v>8-16 years old</v>
      </c>
      <c r="I111" s="697"/>
      <c r="J111" s="697">
        <f>IFERROR(__xludf.DUMMYFUNCTION("""COMPUTED_VALUE"""),1995.0)</f>
        <v>1995</v>
      </c>
      <c r="K111" s="702" t="str">
        <f>IFERROR(__xludf.DUMMYFUNCTION("""COMPUTED_VALUE"""),"schoolchildren aged 8 to 16 years who were positive for S. mansoni")</f>
        <v>schoolchildren aged 8 to 16 years who were positive for S. mansoni</v>
      </c>
      <c r="L111" s="697" t="str">
        <f>IFERROR(__xludf.DUMMYFUNCTION("""COMPUTED_VALUE"""),"No")</f>
        <v>No</v>
      </c>
      <c r="M111" s="697" t="str">
        <f>IFERROR(__xludf.DUMMYFUNCTION("""COMPUTED_VALUE"""),"Yes")</f>
        <v>Yes</v>
      </c>
      <c r="N111" s="697" t="str">
        <f>IFERROR(__xludf.DUMMYFUNCTION("""COMPUTED_VALUE"""),"efficacy of test drugs treatment the two brands of PZQ in full dose were equally effective in reducing egg count as their half doses except in heavily infected cases treated with brand 2 of PZQ. 4 weeks; 10 weeks post treatment")</f>
        <v>efficacy of test drugs treatment the two brands of PZQ in full dose were equally effective in reducing egg count as their half doses except in heavily infected cases treated with brand 2 of PZQ. 4 weeks; 10 weeks post treatment</v>
      </c>
      <c r="O111" s="698">
        <f>IFERROR(__xludf.DUMMYFUNCTION("""COMPUTED_VALUE"""),0.9)</f>
        <v>0.9</v>
      </c>
      <c r="P111" s="698">
        <f>IFERROR(__xludf.DUMMYFUNCTION("""COMPUTED_VALUE"""),0.996)</f>
        <v>0.996</v>
      </c>
      <c r="Q111" s="697" t="str">
        <f>IFERROR(__xludf.DUMMYFUNCTION("""COMPUTED_VALUE"""),"Cure rates were significantly higher whenever full dose of either brand was used. The recommendation of using lower dose of PZQ, since the egg output from patients using 40 vs 20 mg kg-’ was not different, should be considered after longer followup period"&amp;"s. This is because most control programs using PZQ are planned to be conducted over an annual or biannual basis. Moreover, one could argue that since the number of eggs excreted in patients receiving the lower dose are higher, the probability of contamina"&amp;"ting water could also be higher")</f>
        <v>Cure rates were significantly higher whenever full dose of either brand was used. The recommendation of using lower dose of PZQ, since the egg output from patients using 40 vs 20 mg kg-’ was not different, should be considered after longer followup periods. This is because most control programs using PZQ are planned to be conducted over an annual or biannual basis. Moreover, one could argue that since the number of eggs excreted in patients receiving the lower dose are higher, the probability of contaminating water could also be higher</v>
      </c>
      <c r="R111" s="697" t="str">
        <f>IFERROR(__xludf.DUMMYFUNCTION("""COMPUTED_VALUE"""),"IMPACT OF DRUG DOSAGE AND BRAND ON BIOAVAILABILITY AND EFFICACY OF PRAZIQUANTEL")</f>
        <v>IMPACT OF DRUG DOSAGE AND BRAND ON BIOAVAILABILITY AND EFFICACY OF PRAZIQUANTEL</v>
      </c>
      <c r="S111" s="699" t="str">
        <f>IFERROR(__xludf.DUMMYFUNCTION("""COMPUTED_VALUE"""),"Metwally A, Bennett J, Botros S, Ebeid F, el attar Gel D. Impact of drug dosage and brand on bioavailability and efficacy of praziquantel. Pharmacological Research 1995;31 (1):53–9.")</f>
        <v>Metwally A, Bennett J, Botros S, Ebeid F, el attar Gel D. Impact of drug dosage and brand on bioavailability and efficacy of praziquantel. Pharmacological Research 1995;31 (1):53–9.</v>
      </c>
      <c r="T111" s="697"/>
      <c r="U111" s="697" t="str">
        <f>IFERROR(__xludf.DUMMYFUNCTION("""COMPUTED_VALUE"""),"")</f>
        <v/>
      </c>
      <c r="V111" s="697">
        <f>IFERROR(__xludf.DUMMYFUNCTION("""COMPUTED_VALUE"""),111.0)</f>
        <v>111</v>
      </c>
    </row>
    <row r="112">
      <c r="A112" s="697" t="str">
        <f>IFERROR(__xludf.DUMMYFUNCTION("""COMPUTED_VALUE"""),"Metwally A, 1995")</f>
        <v>Metwally A, 1995</v>
      </c>
      <c r="B112" s="697" t="str">
        <f>IFERROR(__xludf.DUMMYFUNCTION("""COMPUTED_VALUE"""),"s. mansoni")</f>
        <v>s. mansoni</v>
      </c>
      <c r="C112" s="697" t="str">
        <f>IFERROR(__xludf.DUMMYFUNCTION("""COMPUTED_VALUE"""),"Egypt")</f>
        <v>Egypt</v>
      </c>
      <c r="D112" s="697" t="str">
        <f>IFERROR(__xludf.DUMMYFUNCTION("""COMPUTED_VALUE"""),"Praziquantel")</f>
        <v>Praziquantel</v>
      </c>
      <c r="E112" s="697" t="str">
        <f>IFERROR(__xludf.DUMMYFUNCTION("""COMPUTED_VALUE"""),"Single")</f>
        <v>Single</v>
      </c>
      <c r="F112" s="697" t="str">
        <f>IFERROR(__xludf.DUMMYFUNCTION("""COMPUTED_VALUE"""),"40 mg/kg")</f>
        <v>40 mg/kg</v>
      </c>
      <c r="G112" s="697">
        <f>IFERROR(__xludf.DUMMYFUNCTION("""COMPUTED_VALUE"""),15.0)</f>
        <v>15</v>
      </c>
      <c r="H112" s="697" t="str">
        <f>IFERROR(__xludf.DUMMYFUNCTION("""COMPUTED_VALUE"""),"8-16 years old")</f>
        <v>8-16 years old</v>
      </c>
      <c r="I112" s="697"/>
      <c r="J112" s="697">
        <f>IFERROR(__xludf.DUMMYFUNCTION("""COMPUTED_VALUE"""),1995.0)</f>
        <v>1995</v>
      </c>
      <c r="K112" s="702" t="str">
        <f>IFERROR(__xludf.DUMMYFUNCTION("""COMPUTED_VALUE"""),"schoolchildren aged 8 to 16 years who were positive for S. mansoni")</f>
        <v>schoolchildren aged 8 to 16 years who were positive for S. mansoni</v>
      </c>
      <c r="L112" s="697" t="str">
        <f>IFERROR(__xludf.DUMMYFUNCTION("""COMPUTED_VALUE"""),"No")</f>
        <v>No</v>
      </c>
      <c r="M112" s="697" t="str">
        <f>IFERROR(__xludf.DUMMYFUNCTION("""COMPUTED_VALUE"""),"Yes")</f>
        <v>Yes</v>
      </c>
      <c r="N112" s="697" t="str">
        <f>IFERROR(__xludf.DUMMYFUNCTION("""COMPUTED_VALUE"""),"efficacy of test drugs treatment the two brands of PZQ in full dose were equally effective in reducing egg count as their half doses except in heavily infected cases treated with brand 2 of PZQ. 4 weeks; 10 weeks post treatment")</f>
        <v>efficacy of test drugs treatment the two brands of PZQ in full dose were equally effective in reducing egg count as their half doses except in heavily infected cases treated with brand 2 of PZQ. 4 weeks; 10 weeks post treatment</v>
      </c>
      <c r="O112" s="698">
        <f>IFERROR(__xludf.DUMMYFUNCTION("""COMPUTED_VALUE"""),0.467)</f>
        <v>0.467</v>
      </c>
      <c r="P112" s="698">
        <f>IFERROR(__xludf.DUMMYFUNCTION("""COMPUTED_VALUE"""),0.899)</f>
        <v>0.899</v>
      </c>
      <c r="Q112" s="697" t="str">
        <f>IFERROR(__xludf.DUMMYFUNCTION("""COMPUTED_VALUE"""),"Cure rates were significantly higher whenever full dose of either brand was used. The recommendation of using lower dose of PZQ, since the egg output from patients using 40 vs 20 mg kg-’ was not different, should be considered after longer followup period"&amp;"s. This is because most control programs using PZQ are planned to be conducted over an annual or biannual basis. Moreover, one could argue that since the number of eggs excreted in patients receiving the lower dose are higher, the probability of contamina"&amp;"ting water could also be higher")</f>
        <v>Cure rates were significantly higher whenever full dose of either brand was used. The recommendation of using lower dose of PZQ, since the egg output from patients using 40 vs 20 mg kg-’ was not different, should be considered after longer followup periods. This is because most control programs using PZQ are planned to be conducted over an annual or biannual basis. Moreover, one could argue that since the number of eggs excreted in patients receiving the lower dose are higher, the probability of contaminating water could also be higher</v>
      </c>
      <c r="R112" s="697" t="str">
        <f>IFERROR(__xludf.DUMMYFUNCTION("""COMPUTED_VALUE"""),"IMPACT OF DRUG DOSAGE AND BRAND ON BIOAVAILABILITY AND EFFICACY OF PRAZIQUANTEL")</f>
        <v>IMPACT OF DRUG DOSAGE AND BRAND ON BIOAVAILABILITY AND EFFICACY OF PRAZIQUANTEL</v>
      </c>
      <c r="S112" s="699" t="str">
        <f>IFERROR(__xludf.DUMMYFUNCTION("""COMPUTED_VALUE"""),"Metwally A, Bennett J, Botros S, Ebeid F, el attar Gel D. Impact of drug dosage and brand on bioavailability and efficacy of praziquantel. Pharmacological Research 1995;31 (1):53–9.")</f>
        <v>Metwally A, Bennett J, Botros S, Ebeid F, el attar Gel D. Impact of drug dosage and brand on bioavailability and efficacy of praziquantel. Pharmacological Research 1995;31 (1):53–9.</v>
      </c>
      <c r="T112" s="697"/>
      <c r="U112" s="697" t="str">
        <f>IFERROR(__xludf.DUMMYFUNCTION("""COMPUTED_VALUE"""),"")</f>
        <v/>
      </c>
      <c r="V112" s="697">
        <f>IFERROR(__xludf.DUMMYFUNCTION("""COMPUTED_VALUE"""),112.0)</f>
        <v>112</v>
      </c>
    </row>
    <row r="113">
      <c r="A113" s="697" t="str">
        <f>IFERROR(__xludf.DUMMYFUNCTION("""COMPUTED_VALUE"""),"Metwally A, 1995")</f>
        <v>Metwally A, 1995</v>
      </c>
      <c r="B113" s="697" t="str">
        <f>IFERROR(__xludf.DUMMYFUNCTION("""COMPUTED_VALUE"""),"s. mansoni")</f>
        <v>s. mansoni</v>
      </c>
      <c r="C113" s="697" t="str">
        <f>IFERROR(__xludf.DUMMYFUNCTION("""COMPUTED_VALUE"""),"Egypt")</f>
        <v>Egypt</v>
      </c>
      <c r="D113" s="697" t="str">
        <f>IFERROR(__xludf.DUMMYFUNCTION("""COMPUTED_VALUE"""),"Praziquantel")</f>
        <v>Praziquantel</v>
      </c>
      <c r="E113" s="697" t="str">
        <f>IFERROR(__xludf.DUMMYFUNCTION("""COMPUTED_VALUE"""),"Single")</f>
        <v>Single</v>
      </c>
      <c r="F113" s="697" t="str">
        <f>IFERROR(__xludf.DUMMYFUNCTION("""COMPUTED_VALUE"""),"40 mg/kg")</f>
        <v>40 mg/kg</v>
      </c>
      <c r="G113" s="697">
        <f>IFERROR(__xludf.DUMMYFUNCTION("""COMPUTED_VALUE"""),24.0)</f>
        <v>24</v>
      </c>
      <c r="H113" s="697" t="str">
        <f>IFERROR(__xludf.DUMMYFUNCTION("""COMPUTED_VALUE"""),"8-16 years old")</f>
        <v>8-16 years old</v>
      </c>
      <c r="I113" s="697"/>
      <c r="J113" s="697">
        <f>IFERROR(__xludf.DUMMYFUNCTION("""COMPUTED_VALUE"""),1995.0)</f>
        <v>1995</v>
      </c>
      <c r="K113" s="702" t="str">
        <f>IFERROR(__xludf.DUMMYFUNCTION("""COMPUTED_VALUE"""),"schoolchildren aged 8 to 16 years who were positive for S. mansoni")</f>
        <v>schoolchildren aged 8 to 16 years who were positive for S. mansoni</v>
      </c>
      <c r="L113" s="697" t="str">
        <f>IFERROR(__xludf.DUMMYFUNCTION("""COMPUTED_VALUE"""),"No")</f>
        <v>No</v>
      </c>
      <c r="M113" s="697" t="str">
        <f>IFERROR(__xludf.DUMMYFUNCTION("""COMPUTED_VALUE"""),"Yes")</f>
        <v>Yes</v>
      </c>
      <c r="N113" s="697" t="str">
        <f>IFERROR(__xludf.DUMMYFUNCTION("""COMPUTED_VALUE"""),"efficacy of test drugs treatment the two brands of PZQ in full dose were equally effective in reducing egg count as their half doses except in heavily infected cases treated with brand 2 of PZQ. 4 weeks; 10 weeks post treatment")</f>
        <v>efficacy of test drugs treatment the two brands of PZQ in full dose were equally effective in reducing egg count as their half doses except in heavily infected cases treated with brand 2 of PZQ. 4 weeks; 10 weeks post treatment</v>
      </c>
      <c r="O113" s="698">
        <f>IFERROR(__xludf.DUMMYFUNCTION("""COMPUTED_VALUE"""),0.708)</f>
        <v>0.708</v>
      </c>
      <c r="P113" s="698">
        <f>IFERROR(__xludf.DUMMYFUNCTION("""COMPUTED_VALUE"""),0.929)</f>
        <v>0.929</v>
      </c>
      <c r="Q113" s="697" t="str">
        <f>IFERROR(__xludf.DUMMYFUNCTION("""COMPUTED_VALUE"""),"Cure rates were significantly higher whenever full dose of either brand was used. The recommendation of using lower dose of PZQ, since the egg output from patients using 40 vs 20 mg kg-’ was not different, should be considered after longer followup period"&amp;"s. This is because most control programs using PZQ are planned to be conducted over an annual or biannual basis. Moreover, one could argue that since the number of eggs excreted in patients receiving the lower dose are higher, the probability of contamina"&amp;"ting water could also be higher")</f>
        <v>Cure rates were significantly higher whenever full dose of either brand was used. The recommendation of using lower dose of PZQ, since the egg output from patients using 40 vs 20 mg kg-’ was not different, should be considered after longer followup periods. This is because most control programs using PZQ are planned to be conducted over an annual or biannual basis. Moreover, one could argue that since the number of eggs excreted in patients receiving the lower dose are higher, the probability of contaminating water could also be higher</v>
      </c>
      <c r="R113" s="697" t="str">
        <f>IFERROR(__xludf.DUMMYFUNCTION("""COMPUTED_VALUE"""),"IMPACT OF DRUG DOSAGE AND BRAND ON BIOAVAILABILITY AND EFFICACY OF PRAZIQUANTEL")</f>
        <v>IMPACT OF DRUG DOSAGE AND BRAND ON BIOAVAILABILITY AND EFFICACY OF PRAZIQUANTEL</v>
      </c>
      <c r="S113" s="699" t="str">
        <f>IFERROR(__xludf.DUMMYFUNCTION("""COMPUTED_VALUE"""),"Metwally A, Bennett J, Botros S, Ebeid F, el attar Gel D. Impact of drug dosage and brand on bioavailability and efficacy of praziquantel. Pharmacological Research 1995;31 (1):53–9.")</f>
        <v>Metwally A, Bennett J, Botros S, Ebeid F, el attar Gel D. Impact of drug dosage and brand on bioavailability and efficacy of praziquantel. Pharmacological Research 1995;31 (1):53–9.</v>
      </c>
      <c r="T113" s="697"/>
      <c r="U113" s="697" t="str">
        <f>IFERROR(__xludf.DUMMYFUNCTION("""COMPUTED_VALUE"""),"")</f>
        <v/>
      </c>
      <c r="V113" s="697">
        <f>IFERROR(__xludf.DUMMYFUNCTION("""COMPUTED_VALUE"""),113.0)</f>
        <v>113</v>
      </c>
    </row>
    <row r="114">
      <c r="A114" s="697" t="str">
        <f>IFERROR(__xludf.DUMMYFUNCTION("""COMPUTED_VALUE"""),"Metwally A, 1995")</f>
        <v>Metwally A, 1995</v>
      </c>
      <c r="B114" s="697" t="str">
        <f>IFERROR(__xludf.DUMMYFUNCTION("""COMPUTED_VALUE"""),"s. mansoni")</f>
        <v>s. mansoni</v>
      </c>
      <c r="C114" s="697" t="str">
        <f>IFERROR(__xludf.DUMMYFUNCTION("""COMPUTED_VALUE"""),"Egypt")</f>
        <v>Egypt</v>
      </c>
      <c r="D114" s="697" t="str">
        <f>IFERROR(__xludf.DUMMYFUNCTION("""COMPUTED_VALUE"""),"Praziquantel")</f>
        <v>Praziquantel</v>
      </c>
      <c r="E114" s="697" t="str">
        <f>IFERROR(__xludf.DUMMYFUNCTION("""COMPUTED_VALUE"""),"Single")</f>
        <v>Single</v>
      </c>
      <c r="F114" s="697" t="str">
        <f>IFERROR(__xludf.DUMMYFUNCTION("""COMPUTED_VALUE"""),"20 mg/kg")</f>
        <v>20 mg/kg</v>
      </c>
      <c r="G114" s="697">
        <f>IFERROR(__xludf.DUMMYFUNCTION("""COMPUTED_VALUE"""),25.0)</f>
        <v>25</v>
      </c>
      <c r="H114" s="697" t="str">
        <f>IFERROR(__xludf.DUMMYFUNCTION("""COMPUTED_VALUE"""),"8-16 years old")</f>
        <v>8-16 years old</v>
      </c>
      <c r="I114" s="697"/>
      <c r="J114" s="697">
        <f>IFERROR(__xludf.DUMMYFUNCTION("""COMPUTED_VALUE"""),1995.0)</f>
        <v>1995</v>
      </c>
      <c r="K114" s="702" t="str">
        <f>IFERROR(__xludf.DUMMYFUNCTION("""COMPUTED_VALUE"""),"schoolchildren aged 8 to 16 years who were positive for S. mansoni")</f>
        <v>schoolchildren aged 8 to 16 years who were positive for S. mansoni</v>
      </c>
      <c r="L114" s="697" t="str">
        <f>IFERROR(__xludf.DUMMYFUNCTION("""COMPUTED_VALUE"""),"No")</f>
        <v>No</v>
      </c>
      <c r="M114" s="697" t="str">
        <f>IFERROR(__xludf.DUMMYFUNCTION("""COMPUTED_VALUE"""),"Yes")</f>
        <v>Yes</v>
      </c>
      <c r="N114" s="697" t="str">
        <f>IFERROR(__xludf.DUMMYFUNCTION("""COMPUTED_VALUE"""),"efficacy of test drugs treatment the two brands of PZQ in full dose were equally effective in reducing egg count as their half doses except in heavily infected cases treated with brand 2 of PZQ. 4 weeks; 10 weeks post treatment")</f>
        <v>efficacy of test drugs treatment the two brands of PZQ in full dose were equally effective in reducing egg count as their half doses except in heavily infected cases treated with brand 2 of PZQ. 4 weeks; 10 weeks post treatment</v>
      </c>
      <c r="O114" s="698">
        <f>IFERROR(__xludf.DUMMYFUNCTION("""COMPUTED_VALUE"""),0.471)</f>
        <v>0.471</v>
      </c>
      <c r="P114" s="698">
        <f>IFERROR(__xludf.DUMMYFUNCTION("""COMPUTED_VALUE"""),0.948)</f>
        <v>0.948</v>
      </c>
      <c r="Q114" s="697" t="str">
        <f>IFERROR(__xludf.DUMMYFUNCTION("""COMPUTED_VALUE"""),"Cure rates were significantly higher whenever full dose of either brand was used. The recommendation of using lower dose of PZQ, since the egg output from patients using 40 vs 20 mg kg-’ was not different, should be considered after longer followup period"&amp;"s. This is because most control programs using PZQ are planned to be conducted over an annual or biannual basis. Moreover, one could argue that since the number of eggs excreted in patients receiving the lower dose are higher, the probability of contamina"&amp;"ting water could also be higher")</f>
        <v>Cure rates were significantly higher whenever full dose of either brand was used. The recommendation of using lower dose of PZQ, since the egg output from patients using 40 vs 20 mg kg-’ was not different, should be considered after longer followup periods. This is because most control programs using PZQ are planned to be conducted over an annual or biannual basis. Moreover, one could argue that since the number of eggs excreted in patients receiving the lower dose are higher, the probability of contaminating water could also be higher</v>
      </c>
      <c r="R114" s="697" t="str">
        <f>IFERROR(__xludf.DUMMYFUNCTION("""COMPUTED_VALUE"""),"IMPACT OF DRUG DOSAGE AND BRAND ON BIOAVAILABILITY AND EFFICACY OF PRAZIQUANTEL")</f>
        <v>IMPACT OF DRUG DOSAGE AND BRAND ON BIOAVAILABILITY AND EFFICACY OF PRAZIQUANTEL</v>
      </c>
      <c r="S114" s="699" t="str">
        <f>IFERROR(__xludf.DUMMYFUNCTION("""COMPUTED_VALUE"""),"Metwally A, Bennett J, Botros S, Ebeid F, el attar Gel D. Impact of drug dosage and brand on bioavailability and efficacy of praziquantel. Pharmacological Research 1995;31 (1):53–9.")</f>
        <v>Metwally A, Bennett J, Botros S, Ebeid F, el attar Gel D. Impact of drug dosage and brand on bioavailability and efficacy of praziquantel. Pharmacological Research 1995;31 (1):53–9.</v>
      </c>
      <c r="T114" s="697"/>
      <c r="U114" s="697" t="str">
        <f>IFERROR(__xludf.DUMMYFUNCTION("""COMPUTED_VALUE"""),"")</f>
        <v/>
      </c>
      <c r="V114" s="697">
        <f>IFERROR(__xludf.DUMMYFUNCTION("""COMPUTED_VALUE"""),114.0)</f>
        <v>114</v>
      </c>
    </row>
    <row r="115">
      <c r="A115" s="697" t="str">
        <f>IFERROR(__xludf.DUMMYFUNCTION("""COMPUTED_VALUE"""),"Metwally A, 1995")</f>
        <v>Metwally A, 1995</v>
      </c>
      <c r="B115" s="697" t="str">
        <f>IFERROR(__xludf.DUMMYFUNCTION("""COMPUTED_VALUE"""),"s. mansoni")</f>
        <v>s. mansoni</v>
      </c>
      <c r="C115" s="697" t="str">
        <f>IFERROR(__xludf.DUMMYFUNCTION("""COMPUTED_VALUE"""),"Egypt")</f>
        <v>Egypt</v>
      </c>
      <c r="D115" s="697" t="str">
        <f>IFERROR(__xludf.DUMMYFUNCTION("""COMPUTED_VALUE"""),"Praziquantel")</f>
        <v>Praziquantel</v>
      </c>
      <c r="E115" s="697" t="str">
        <f>IFERROR(__xludf.DUMMYFUNCTION("""COMPUTED_VALUE"""),"Single")</f>
        <v>Single</v>
      </c>
      <c r="F115" s="697" t="str">
        <f>IFERROR(__xludf.DUMMYFUNCTION("""COMPUTED_VALUE"""),"20 mg/kg")</f>
        <v>20 mg/kg</v>
      </c>
      <c r="G115" s="697">
        <f>IFERROR(__xludf.DUMMYFUNCTION("""COMPUTED_VALUE"""),65.0)</f>
        <v>65</v>
      </c>
      <c r="H115" s="697" t="str">
        <f>IFERROR(__xludf.DUMMYFUNCTION("""COMPUTED_VALUE"""),"8-16 years old")</f>
        <v>8-16 years old</v>
      </c>
      <c r="I115" s="697"/>
      <c r="J115" s="697">
        <f>IFERROR(__xludf.DUMMYFUNCTION("""COMPUTED_VALUE"""),1995.0)</f>
        <v>1995</v>
      </c>
      <c r="K115" s="702" t="str">
        <f>IFERROR(__xludf.DUMMYFUNCTION("""COMPUTED_VALUE"""),"schoolchildren aged 8 to 16 years who were positive for S. mansoni")</f>
        <v>schoolchildren aged 8 to 16 years who were positive for S. mansoni</v>
      </c>
      <c r="L115" s="697" t="str">
        <f>IFERROR(__xludf.DUMMYFUNCTION("""COMPUTED_VALUE"""),"No")</f>
        <v>No</v>
      </c>
      <c r="M115" s="697" t="str">
        <f>IFERROR(__xludf.DUMMYFUNCTION("""COMPUTED_VALUE"""),"Yes")</f>
        <v>Yes</v>
      </c>
      <c r="N115" s="697" t="str">
        <f>IFERROR(__xludf.DUMMYFUNCTION("""COMPUTED_VALUE"""),"efficacy of test drugs treatment the two brands of PZQ in full dose were equally effective in reducing egg count as their half doses except in heavily infected cases treated with brand 2 of PZQ. 4 weeks; 10 weeks post treatment")</f>
        <v>efficacy of test drugs treatment the two brands of PZQ in full dose were equally effective in reducing egg count as their half doses except in heavily infected cases treated with brand 2 of PZQ. 4 weeks; 10 weeks post treatment</v>
      </c>
      <c r="O115" s="698">
        <f>IFERROR(__xludf.DUMMYFUNCTION("""COMPUTED_VALUE"""),0.3871)</f>
        <v>0.3871</v>
      </c>
      <c r="P115" s="698">
        <f>IFERROR(__xludf.DUMMYFUNCTION("""COMPUTED_VALUE"""),0.856)</f>
        <v>0.856</v>
      </c>
      <c r="Q115" s="697" t="str">
        <f>IFERROR(__xludf.DUMMYFUNCTION("""COMPUTED_VALUE"""),"Cure rates were significantly higher whenever full dose of either brand was used. The recommendation of using lower dose of PZQ, since the egg output from patients using 40 vs 20 mg kg-’ was not different, should be considered after longer followup period"&amp;"s. This is because most control programs using PZQ are planned to be conducted over an annual or biannual basis. Moreover, one could argue that since the number of eggs excreted in patients receiving the lower dose are higher, the probability of contamina"&amp;"ting water could also be higher")</f>
        <v>Cure rates were significantly higher whenever full dose of either brand was used. The recommendation of using lower dose of PZQ, since the egg output from patients using 40 vs 20 mg kg-’ was not different, should be considered after longer followup periods. This is because most control programs using PZQ are planned to be conducted over an annual or biannual basis. Moreover, one could argue that since the number of eggs excreted in patients receiving the lower dose are higher, the probability of contaminating water could also be higher</v>
      </c>
      <c r="R115" s="697" t="str">
        <f>IFERROR(__xludf.DUMMYFUNCTION("""COMPUTED_VALUE"""),"IMPACT OF DRUG DOSAGE AND BRAND ON BIOAVAILABILITY AND EFFICACY OF PRAZIQUANTEL")</f>
        <v>IMPACT OF DRUG DOSAGE AND BRAND ON BIOAVAILABILITY AND EFFICACY OF PRAZIQUANTEL</v>
      </c>
      <c r="S115" s="699" t="str">
        <f>IFERROR(__xludf.DUMMYFUNCTION("""COMPUTED_VALUE"""),"Metwally A, Bennett J, Botros S, Ebeid F, el attar Gel D. Impact of drug dosage and brand on bioavailability and efficacy of praziquantel. Pharmacological Research 1995;31 (1):53–9.")</f>
        <v>Metwally A, Bennett J, Botros S, Ebeid F, el attar Gel D. Impact of drug dosage and brand on bioavailability and efficacy of praziquantel. Pharmacological Research 1995;31 (1):53–9.</v>
      </c>
      <c r="T115" s="697"/>
      <c r="U115" s="697" t="str">
        <f>IFERROR(__xludf.DUMMYFUNCTION("""COMPUTED_VALUE"""),"")</f>
        <v/>
      </c>
      <c r="V115" s="697">
        <f>IFERROR(__xludf.DUMMYFUNCTION("""COMPUTED_VALUE"""),115.0)</f>
        <v>115</v>
      </c>
    </row>
    <row r="116">
      <c r="A116" s="697" t="str">
        <f>IFERROR(__xludf.DUMMYFUNCTION("""COMPUTED_VALUE"""),"Metwally A, 1995")</f>
        <v>Metwally A, 1995</v>
      </c>
      <c r="B116" s="697" t="str">
        <f>IFERROR(__xludf.DUMMYFUNCTION("""COMPUTED_VALUE"""),"s. mansoni")</f>
        <v>s. mansoni</v>
      </c>
      <c r="C116" s="697" t="str">
        <f>IFERROR(__xludf.DUMMYFUNCTION("""COMPUTED_VALUE"""),"Egypt")</f>
        <v>Egypt</v>
      </c>
      <c r="D116" s="697" t="str">
        <f>IFERROR(__xludf.DUMMYFUNCTION("""COMPUTED_VALUE"""),"Praziquantel")</f>
        <v>Praziquantel</v>
      </c>
      <c r="E116" s="697" t="str">
        <f>IFERROR(__xludf.DUMMYFUNCTION("""COMPUTED_VALUE"""),"Single")</f>
        <v>Single</v>
      </c>
      <c r="F116" s="697" t="str">
        <f>IFERROR(__xludf.DUMMYFUNCTION("""COMPUTED_VALUE"""),"20 mg/kg")</f>
        <v>20 mg/kg</v>
      </c>
      <c r="G116" s="697">
        <f>IFERROR(__xludf.DUMMYFUNCTION("""COMPUTED_VALUE"""),35.0)</f>
        <v>35</v>
      </c>
      <c r="H116" s="697" t="str">
        <f>IFERROR(__xludf.DUMMYFUNCTION("""COMPUTED_VALUE"""),"8-16 years old")</f>
        <v>8-16 years old</v>
      </c>
      <c r="I116" s="697"/>
      <c r="J116" s="697">
        <f>IFERROR(__xludf.DUMMYFUNCTION("""COMPUTED_VALUE"""),1995.0)</f>
        <v>1995</v>
      </c>
      <c r="K116" s="702" t="str">
        <f>IFERROR(__xludf.DUMMYFUNCTION("""COMPUTED_VALUE"""),"schoolchildren aged 8 to 16 years who were positive for S. mansoni")</f>
        <v>schoolchildren aged 8 to 16 years who were positive for S. mansoni</v>
      </c>
      <c r="L116" s="697" t="str">
        <f>IFERROR(__xludf.DUMMYFUNCTION("""COMPUTED_VALUE"""),"No")</f>
        <v>No</v>
      </c>
      <c r="M116" s="697" t="str">
        <f>IFERROR(__xludf.DUMMYFUNCTION("""COMPUTED_VALUE"""),"Yes")</f>
        <v>Yes</v>
      </c>
      <c r="N116" s="697" t="str">
        <f>IFERROR(__xludf.DUMMYFUNCTION("""COMPUTED_VALUE"""),"efficacy of test drugs treatment the two brands of PZQ in full dose were equally effective in reducing egg count as their half doses except in heavily infected cases treated with brand 2 of PZQ. 4 weeks; 10 weeks post treatment")</f>
        <v>efficacy of test drugs treatment the two brands of PZQ in full dose were equally effective in reducing egg count as their half doses except in heavily infected cases treated with brand 2 of PZQ. 4 weeks; 10 weeks post treatment</v>
      </c>
      <c r="O116" s="698">
        <f>IFERROR(__xludf.DUMMYFUNCTION("""COMPUTED_VALUE"""),0.5714)</f>
        <v>0.5714</v>
      </c>
      <c r="P116" s="698">
        <f>IFERROR(__xludf.DUMMYFUNCTION("""COMPUTED_VALUE"""),0.829)</f>
        <v>0.829</v>
      </c>
      <c r="Q116" s="697" t="str">
        <f>IFERROR(__xludf.DUMMYFUNCTION("""COMPUTED_VALUE"""),"Cure rates were significantly higher whenever full dose of either brand was used. The recommendation of using lower dose of PZQ, since the egg output from patients using 40 vs 20 mg kg-’ was not different, should be considered after longer followup period"&amp;"s. This is because most control programs using PZQ are planned to be conducted over an annual or biannual basis. Moreover, one could argue that since the number of eggs excreted in patients receiving the lower dose are higher, the probability of contamina"&amp;"ting water could also be higher")</f>
        <v>Cure rates were significantly higher whenever full dose of either brand was used. The recommendation of using lower dose of PZQ, since the egg output from patients using 40 vs 20 mg kg-’ was not different, should be considered after longer followup periods. This is because most control programs using PZQ are planned to be conducted over an annual or biannual basis. Moreover, one could argue that since the number of eggs excreted in patients receiving the lower dose are higher, the probability of contaminating water could also be higher</v>
      </c>
      <c r="R116" s="697" t="str">
        <f>IFERROR(__xludf.DUMMYFUNCTION("""COMPUTED_VALUE"""),"IMPACT OF DRUG DOSAGE AND BRAND ON BIOAVAILABILITY AND EFFICACY OF PRAZIQUANTEL")</f>
        <v>IMPACT OF DRUG DOSAGE AND BRAND ON BIOAVAILABILITY AND EFFICACY OF PRAZIQUANTEL</v>
      </c>
      <c r="S116" s="699" t="str">
        <f>IFERROR(__xludf.DUMMYFUNCTION("""COMPUTED_VALUE"""),"Metwally A, Bennett J, Botros S, Ebeid F, el attar Gel D. Impact of drug dosage and brand on bioavailability and efficacy of praziquantel. Pharmacological Research 1995;31 (1):53–9.")</f>
        <v>Metwally A, Bennett J, Botros S, Ebeid F, el attar Gel D. Impact of drug dosage and brand on bioavailability and efficacy of praziquantel. Pharmacological Research 1995;31 (1):53–9.</v>
      </c>
      <c r="T116" s="697"/>
      <c r="U116" s="697" t="str">
        <f>IFERROR(__xludf.DUMMYFUNCTION("""COMPUTED_VALUE"""),"")</f>
        <v/>
      </c>
      <c r="V116" s="697">
        <f>IFERROR(__xludf.DUMMYFUNCTION("""COMPUTED_VALUE"""),116.0)</f>
        <v>116</v>
      </c>
    </row>
    <row r="117">
      <c r="A117" s="697" t="str">
        <f>IFERROR(__xludf.DUMMYFUNCTION("""COMPUTED_VALUE"""),"Midzi N, 2008")</f>
        <v>Midzi N, 2008</v>
      </c>
      <c r="B117" s="697" t="str">
        <f>IFERROR(__xludf.DUMMYFUNCTION("""COMPUTED_VALUE"""),"s. haematobium")</f>
        <v>s. haematobium</v>
      </c>
      <c r="C117" s="697" t="str">
        <f>IFERROR(__xludf.DUMMYFUNCTION("""COMPUTED_VALUE"""),"Zimbabwe")</f>
        <v>Zimbabwe</v>
      </c>
      <c r="D117" s="697" t="str">
        <f>IFERROR(__xludf.DUMMYFUNCTION("""COMPUTED_VALUE"""),"Praziquantel")</f>
        <v>Praziquantel</v>
      </c>
      <c r="E117" s="697" t="str">
        <f>IFERROR(__xludf.DUMMYFUNCTION("""COMPUTED_VALUE"""),"Two")</f>
        <v>Two</v>
      </c>
      <c r="F117" s="697" t="str">
        <f>IFERROR(__xludf.DUMMYFUNCTION("""COMPUTED_VALUE"""),"40 mg/kg")</f>
        <v>40 mg/kg</v>
      </c>
      <c r="G117" s="697">
        <f>IFERROR(__xludf.DUMMYFUNCTION("""COMPUTED_VALUE"""),675.0)</f>
        <v>675</v>
      </c>
      <c r="H117" s="697" t="str">
        <f>IFERROR(__xludf.DUMMYFUNCTION("""COMPUTED_VALUE"""),"5- 17")</f>
        <v>5- 17</v>
      </c>
      <c r="I117" s="705" t="str">
        <f>IFERROR(__xludf.DUMMYFUNCTION("""COMPUTED_VALUE"""),"347: 328")</f>
        <v>347: 328</v>
      </c>
      <c r="J117" s="697">
        <f>IFERROR(__xludf.DUMMYFUNCTION("""COMPUTED_VALUE"""),2004.0)</f>
        <v>2004</v>
      </c>
      <c r="K117" s="697" t="str">
        <f>IFERROR(__xludf.DUMMYFUNCTION("""COMPUTED_VALUE"""),"Infected with S.mansoni")</f>
        <v>Infected with S.mansoni</v>
      </c>
      <c r="L117" s="697" t="str">
        <f>IFERROR(__xludf.DUMMYFUNCTION("""COMPUTED_VALUE"""),"No")</f>
        <v>No</v>
      </c>
      <c r="M117" s="697" t="str">
        <f>IFERROR(__xludf.DUMMYFUNCTION("""COMPUTED_VALUE"""),"Yes")</f>
        <v>Yes</v>
      </c>
      <c r="N117" s="697" t="str">
        <f>IFERROR(__xludf.DUMMYFUNCTION("""COMPUTED_VALUE"""),"Overall cure rate was examined 6 weeks and assessed using urine filtration")</f>
        <v>Overall cure rate was examined 6 weeks and assessed using urine filtration</v>
      </c>
      <c r="O117" s="698">
        <f>IFERROR(__xludf.DUMMYFUNCTION("""COMPUTED_VALUE"""),0.885)</f>
        <v>0.885</v>
      </c>
      <c r="P117" s="698">
        <f>IFERROR(__xludf.DUMMYFUNCTION("""COMPUTED_VALUE"""),0.982)</f>
        <v>0.982</v>
      </c>
      <c r="Q117" s="697" t="str">
        <f>IFERROR(__xludf.DUMMYFUNCTION("""COMPUTED_VALUE"""),"The experiment demonstrates that praziquantel is efficacious against S. haematobium in Zimbabwe, although low levels of persistent infection warrant further investigation.")</f>
        <v>The experiment demonstrates that praziquantel is efficacious against S. haematobium in Zimbabwe, although low levels of persistent infection warrant further investigation.</v>
      </c>
      <c r="R117" s="697" t="str">
        <f>IFERROR(__xludf.DUMMYFUNCTION("""COMPUTED_VALUE"""),"IMPACT OF DRUG DOSAGE AND BRAND ON BIOAVAILABILITY AND EFFICACY OF PRAZIQUANTEL")</f>
        <v>IMPACT OF DRUG DOSAGE AND BRAND ON BIOAVAILABILITY AND EFFICACY OF PRAZIQUANTEL</v>
      </c>
      <c r="S117" s="699" t="str">
        <f>IFERROR(__xludf.DUMMYFUNCTION("""COMPUTED_VALUE"""),"Midzi, N., D. Sangweme, S. Zinyowera, M.p. Mapingure, K.c. Brouwer, N. Kumar, F. Mutapi, G. Woelk, and T. Mduluza. ""Efficacy and Side Effects of Praziquantel Treatment against Schistosoma Haematobium Infection among Primary School Children in Zimbabwe."""&amp;" Transactions of the Royal Society of Tropical Medicine and Hygiene: 759-66.")</f>
        <v>Midzi, N., D. Sangweme, S. Zinyowera, M.p. Mapingure, K.c. Brouwer, N. Kumar, F. Mutapi, G. Woelk, and T. Mduluza. "Efficacy and Side Effects of Praziquantel Treatment against Schistosoma Haematobium Infection among Primary School Children in Zimbabwe." Transactions of the Royal Society of Tropical Medicine and Hygiene: 759-66.</v>
      </c>
      <c r="T117" s="697"/>
      <c r="U117" s="697" t="str">
        <f>IFERROR(__xludf.DUMMYFUNCTION("""COMPUTED_VALUE"""),"x")</f>
        <v>x</v>
      </c>
      <c r="V117" s="697">
        <f>IFERROR(__xludf.DUMMYFUNCTION("""COMPUTED_VALUE"""),117.0)</f>
        <v>117</v>
      </c>
    </row>
    <row r="118">
      <c r="A118" s="697" t="str">
        <f>IFERROR(__xludf.DUMMYFUNCTION("""COMPUTED_VALUE"""),"N'Goran 2003")</f>
        <v>N'Goran 2003</v>
      </c>
      <c r="B118" s="697" t="str">
        <f>IFERROR(__xludf.DUMMYFUNCTION("""COMPUTED_VALUE"""),"s. haematobium")</f>
        <v>s. haematobium</v>
      </c>
      <c r="C118" s="697" t="str">
        <f>IFERROR(__xludf.DUMMYFUNCTION("""COMPUTED_VALUE"""),"Cote d'Ivoire")</f>
        <v>Cote d'Ivoire</v>
      </c>
      <c r="D118" s="697" t="str">
        <f>IFERROR(__xludf.DUMMYFUNCTION("""COMPUTED_VALUE"""),"Artemether")</f>
        <v>Artemether</v>
      </c>
      <c r="E118" s="697" t="str">
        <f>IFERROR(__xludf.DUMMYFUNCTION("""COMPUTED_VALUE"""),"Single")</f>
        <v>Single</v>
      </c>
      <c r="F118" s="697" t="str">
        <f>IFERROR(__xludf.DUMMYFUNCTION("""COMPUTED_VALUE"""),"40 mg/kg")</f>
        <v>40 mg/kg</v>
      </c>
      <c r="G118" s="697">
        <f>IFERROR(__xludf.DUMMYFUNCTION("""COMPUTED_VALUE"""),161.0)</f>
        <v>161</v>
      </c>
      <c r="H118" s="697" t="str">
        <f>IFERROR(__xludf.DUMMYFUNCTION("""COMPUTED_VALUE"""),"5-15 years old")</f>
        <v>5-15 years old</v>
      </c>
      <c r="I118" s="697"/>
      <c r="J118" s="697">
        <f>IFERROR(__xludf.DUMMYFUNCTION("""COMPUTED_VALUE"""),2001.0)</f>
        <v>2001</v>
      </c>
      <c r="K118" s="697" t="str">
        <f>IFERROR(__xludf.DUMMYFUNCTION("""COMPUTED_VALUE"""),"chrildren that continued to excrete S. haematobium eggs in their urine")</f>
        <v>chrildren that continued to excrete S. haematobium eggs in their urine</v>
      </c>
      <c r="L118" s="697" t="str">
        <f>IFERROR(__xludf.DUMMYFUNCTION("""COMPUTED_VALUE"""),"Yes")</f>
        <v>Yes</v>
      </c>
      <c r="M118" s="697" t="str">
        <f>IFERROR(__xludf.DUMMYFUNCTION("""COMPUTED_VALUE"""),"Yes")</f>
        <v>Yes</v>
      </c>
      <c r="N118" s="697" t="str">
        <f>IFERROR(__xludf.DUMMYFUNCTION("""COMPUTED_VALUE"""),"Cure rate 8 weeks")</f>
        <v>Cure rate 8 weeks</v>
      </c>
      <c r="O118" s="706">
        <f>IFERROR(__xludf.DUMMYFUNCTION("""COMPUTED_VALUE"""),0.27)</f>
        <v>0.27</v>
      </c>
      <c r="P118" s="697" t="str">
        <f>IFERROR(__xludf.DUMMYFUNCTION("""COMPUTED_VALUE"""),"&gt;80%")</f>
        <v>&gt;80%</v>
      </c>
      <c r="Q118" s="697" t="str">
        <f>IFERROR(__xludf.DUMMYFUNCTION("""COMPUTED_VALUE"""),"In conclusion, previous findings of efficacy of artemether against S. japonicum and S. mansoni were confirmed for S. haematobium, although the protective efficacy was considerably lower. These findings enlarge the scope and potential of artemether and fur"&amp;"ther contribute to discussions of its role as an additional tool for integrated schistosomiasis control.")</f>
        <v>In conclusion, previous findings of efficacy of artemether against S. japonicum and S. mansoni were confirmed for S. haematobium, although the protective efficacy was considerably lower. These findings enlarge the scope and potential of artemether and further contribute to discussions of its role as an additional tool for integrated schistosomiasis control.</v>
      </c>
      <c r="R118" s="697"/>
      <c r="S118" s="699" t="str">
        <f>IFERROR(__xludf.DUMMYFUNCTION("""COMPUTED_VALUE"""),"N’goran, Eliézer K., et al. ""Randomized, double-blind, placebo-controlled trial of oral artemether for the prevention of patent Schistosoma haematobium infections."" The American journal of tropical medicine and hygiene 68.1 (2003): 24-32.")</f>
        <v>N’goran, Eliézer K., et al. "Randomized, double-blind, placebo-controlled trial of oral artemether for the prevention of patent Schistosoma haematobium infections." The American journal of tropical medicine and hygiene 68.1 (2003): 24-32.</v>
      </c>
      <c r="T118" s="697"/>
      <c r="U118" s="697" t="str">
        <f>IFERROR(__xludf.DUMMYFUNCTION("""COMPUTED_VALUE"""),"")</f>
        <v/>
      </c>
      <c r="V118" s="697">
        <f>IFERROR(__xludf.DUMMYFUNCTION("""COMPUTED_VALUE"""),118.0)</f>
        <v>118</v>
      </c>
    </row>
    <row r="119">
      <c r="A119" s="697" t="str">
        <f>IFERROR(__xludf.DUMMYFUNCTION("""COMPUTED_VALUE"""),"N'Goran 2003")</f>
        <v>N'Goran 2003</v>
      </c>
      <c r="B119" s="697" t="str">
        <f>IFERROR(__xludf.DUMMYFUNCTION("""COMPUTED_VALUE"""),"s. haematobium")</f>
        <v>s. haematobium</v>
      </c>
      <c r="C119" s="697" t="str">
        <f>IFERROR(__xludf.DUMMYFUNCTION("""COMPUTED_VALUE"""),"Cote d'Ivoire")</f>
        <v>Cote d'Ivoire</v>
      </c>
      <c r="D119" s="697" t="str">
        <f>IFERROR(__xludf.DUMMYFUNCTION("""COMPUTED_VALUE"""),"Placebo")</f>
        <v>Placebo</v>
      </c>
      <c r="E119" s="697"/>
      <c r="F119" s="697"/>
      <c r="G119" s="697">
        <f>IFERROR(__xludf.DUMMYFUNCTION("""COMPUTED_VALUE"""),161.0)</f>
        <v>161</v>
      </c>
      <c r="H119" s="697" t="str">
        <f>IFERROR(__xludf.DUMMYFUNCTION("""COMPUTED_VALUE"""),"5-15 years old")</f>
        <v>5-15 years old</v>
      </c>
      <c r="I119" s="697"/>
      <c r="J119" s="697">
        <f>IFERROR(__xludf.DUMMYFUNCTION("""COMPUTED_VALUE"""),2001.0)</f>
        <v>2001</v>
      </c>
      <c r="K119" s="697" t="str">
        <f>IFERROR(__xludf.DUMMYFUNCTION("""COMPUTED_VALUE"""),"chrildren that continued to excrete S. haematobium eggs in their urine")</f>
        <v>chrildren that continued to excrete S. haematobium eggs in their urine</v>
      </c>
      <c r="L119" s="697" t="str">
        <f>IFERROR(__xludf.DUMMYFUNCTION("""COMPUTED_VALUE"""),"Yes")</f>
        <v>Yes</v>
      </c>
      <c r="M119" s="697" t="str">
        <f>IFERROR(__xludf.DUMMYFUNCTION("""COMPUTED_VALUE"""),"Yes")</f>
        <v>Yes</v>
      </c>
      <c r="N119" s="697" t="str">
        <f>IFERROR(__xludf.DUMMYFUNCTION("""COMPUTED_VALUE"""),"Cure rate 8 weeks")</f>
        <v>Cure rate 8 weeks</v>
      </c>
      <c r="O119" s="706">
        <f>IFERROR(__xludf.DUMMYFUNCTION("""COMPUTED_VALUE"""),0.2)</f>
        <v>0.2</v>
      </c>
      <c r="P119" s="697" t="str">
        <f>IFERROR(__xludf.DUMMYFUNCTION("""COMPUTED_VALUE"""),"&gt;80%")</f>
        <v>&gt;80%</v>
      </c>
      <c r="Q119" s="697" t="str">
        <f>IFERROR(__xludf.DUMMYFUNCTION("""COMPUTED_VALUE"""),"In conclusion, previous findings of efficacy of artemether against S. japonicum and S. mansoni were confirmed for S. haematobium, although the protective efficacy was considerably lower. These findings enlarge the scope and potential of artemether and fur"&amp;"ther contribute to discussions of its role as an additional tool for integrated schistosomiasis control.")</f>
        <v>In conclusion, previous findings of efficacy of artemether against S. japonicum and S. mansoni were confirmed for S. haematobium, although the protective efficacy was considerably lower. These findings enlarge the scope and potential of artemether and further contribute to discussions of its role as an additional tool for integrated schistosomiasis control.</v>
      </c>
      <c r="R119" s="697"/>
      <c r="S119" s="699" t="str">
        <f>IFERROR(__xludf.DUMMYFUNCTION("""COMPUTED_VALUE"""),"N’goran, Eliézer K., et al. ""Randomized, double-blind, placebo-controlled trial of oral artemether for the prevention of patent Schistosoma haematobium infections."" The American journal of tropical medicine and hygiene 68.1 (2003): 24-32.")</f>
        <v>N’goran, Eliézer K., et al. "Randomized, double-blind, placebo-controlled trial of oral artemether for the prevention of patent Schistosoma haematobium infections." The American journal of tropical medicine and hygiene 68.1 (2003): 24-32.</v>
      </c>
      <c r="T119" s="697"/>
      <c r="U119" s="697" t="str">
        <f>IFERROR(__xludf.DUMMYFUNCTION("""COMPUTED_VALUE"""),"")</f>
        <v/>
      </c>
      <c r="V119" s="697">
        <f>IFERROR(__xludf.DUMMYFUNCTION("""COMPUTED_VALUE"""),119.0)</f>
        <v>119</v>
      </c>
    </row>
    <row r="120">
      <c r="A120" s="697" t="str">
        <f>IFERROR(__xludf.DUMMYFUNCTION("""COMPUTED_VALUE"""),"Olliaro PL, 2011")</f>
        <v>Olliaro PL, 2011</v>
      </c>
      <c r="B120" s="697" t="str">
        <f>IFERROR(__xludf.DUMMYFUNCTION("""COMPUTED_VALUE"""),"s. mansoni")</f>
        <v>s. mansoni</v>
      </c>
      <c r="C120" s="697" t="str">
        <f>IFERROR(__xludf.DUMMYFUNCTION("""COMPUTED_VALUE"""),"Brazil")</f>
        <v>Brazil</v>
      </c>
      <c r="D120" s="697" t="str">
        <f>IFERROR(__xludf.DUMMYFUNCTION("""COMPUTED_VALUE"""),"Praziquantel")</f>
        <v>Praziquantel</v>
      </c>
      <c r="E120" s="697" t="str">
        <f>IFERROR(__xludf.DUMMYFUNCTION("""COMPUTED_VALUE"""),"Single")</f>
        <v>Single</v>
      </c>
      <c r="F120" s="697" t="str">
        <f>IFERROR(__xludf.DUMMYFUNCTION("""COMPUTED_VALUE"""),"40 mg/kg")</f>
        <v>40 mg/kg</v>
      </c>
      <c r="G120" s="697">
        <f>IFERROR(__xludf.DUMMYFUNCTION("""COMPUTED_VALUE"""),96.0)</f>
        <v>96</v>
      </c>
      <c r="H120" s="697" t="str">
        <f>IFERROR(__xludf.DUMMYFUNCTION("""COMPUTED_VALUE"""),"10-19 years")</f>
        <v>10-19 years</v>
      </c>
      <c r="I120" s="705" t="str">
        <f>IFERROR(__xludf.DUMMYFUNCTION("""COMPUTED_VALUE"""),"55:41")</f>
        <v>55:41</v>
      </c>
      <c r="J120" s="697">
        <f>IFERROR(__xludf.DUMMYFUNCTION("""COMPUTED_VALUE"""),2011.0)</f>
        <v>2011</v>
      </c>
      <c r="K120" s="697" t="str">
        <f>IFERROR(__xludf.DUMMYFUNCTION("""COMPUTED_VALUE"""),"10-19 Males Confirmed Schistosomia infection with (greater/equal to) 100 egg per grams of feces")</f>
        <v>10-19 Males Confirmed Schistosomia infection with (greater/equal to) 100 egg per grams of feces</v>
      </c>
      <c r="L120" s="697" t="str">
        <f>IFERROR(__xludf.DUMMYFUNCTION("""COMPUTED_VALUE"""),"Yes")</f>
        <v>Yes</v>
      </c>
      <c r="M120" s="697" t="str">
        <f>IFERROR(__xludf.DUMMYFUNCTION("""COMPUTED_VALUE"""),"Yes")</f>
        <v>Yes</v>
      </c>
      <c r="N120" s="697" t="str">
        <f>IFERROR(__xludf.DUMMYFUNCTION("""COMPUTED_VALUE"""),"Primary endpoint: cure rates on day 21 with negative stool of Schistosomia eggs. Secondary endpoint: follow-up 6 and 12 months ""partial cure"" egg reduction rates")</f>
        <v>Primary endpoint: cure rates on day 21 with negative stool of Schistosomia eggs. Secondary endpoint: follow-up 6 and 12 months "partial cure" egg reduction rates</v>
      </c>
      <c r="O120" s="700">
        <f>IFERROR(__xludf.DUMMYFUNCTION("""COMPUTED_VALUE"""),0.98)</f>
        <v>0.98</v>
      </c>
      <c r="P120" s="698">
        <f>IFERROR(__xludf.DUMMYFUNCTION("""COMPUTED_VALUE"""),0.917)</f>
        <v>0.917</v>
      </c>
      <c r="Q120" s="697" t="str">
        <f>IFERROR(__xludf.DUMMYFUNCTION("""COMPUTED_VALUE"""),"Higher dose of praziquantel has no significant efficacy advantage over lower dosage for treating Schistosomia.")</f>
        <v>Higher dose of praziquantel has no significant efficacy advantage over lower dosage for treating Schistosomia.</v>
      </c>
      <c r="R120" s="697"/>
      <c r="S120" s="699" t="str">
        <f>IFERROR(__xludf.DUMMYFUNCTION("""COMPUTED_VALUE"""),"Olliaro, Piero L., Michel T. Vaillant, Vincente J. Belizario, Nicholas J. S. Lwambo, Mohamed Ouldabdallahi, Otavio S. Pieri, Maria L. Amarillo, Godfrey M. Kaatano, Mamadou Diaw, Analucia C. Domingues, Tereza C. Favre, Olivier Lapujade, Fabiana Alves, and "&amp;"Lester Chitsulo. ""A Multicentre Randomized Controlled Trial of the Efficacy and Safety of Single-Dose Praziquantel at 40 Mg/kg vs. 60 Mg/kg for Treating Intestinal Schistosomiasis in the Philippines, Mauritania, Tanzania and Brazil."" Ed. James S. Mccart"&amp;"hy. PLoS Neglected Tropical Diseases 5.6 (2011): E1165. Web.")</f>
        <v>Olliaro, Piero L., Michel T. Vaillant, Vincente J. Belizario, Nicholas J. S. Lwambo, Mohamed Ouldabdallahi, Otavio S. Pieri, Maria L. Amarillo, Godfrey M. Kaatano, Mamadou Diaw, Analucia C. Domingues, Tereza C. Favre, Olivier Lapujade, Fabiana Alves, and Lester Chitsulo. "A Multicentre Randomized Controlled Trial of the Efficacy and Safety of Single-Dose Praziquantel at 40 Mg/kg vs. 60 Mg/kg for Treating Intestinal Schistosomiasis in the Philippines, Mauritania, Tanzania and Brazil." Ed. James S. Mccarthy. PLoS Neglected Tropical Diseases 5.6 (2011): E1165. Web.</v>
      </c>
      <c r="T120" s="697"/>
      <c r="U120" s="697" t="str">
        <f>IFERROR(__xludf.DUMMYFUNCTION("""COMPUTED_VALUE"""),"")</f>
        <v/>
      </c>
      <c r="V120" s="697">
        <f>IFERROR(__xludf.DUMMYFUNCTION("""COMPUTED_VALUE"""),120.0)</f>
        <v>120</v>
      </c>
    </row>
    <row r="121">
      <c r="A121" s="697" t="str">
        <f>IFERROR(__xludf.DUMMYFUNCTION("""COMPUTED_VALUE"""),"Olliaro PL, 2011")</f>
        <v>Olliaro PL, 2011</v>
      </c>
      <c r="B121" s="697" t="str">
        <f>IFERROR(__xludf.DUMMYFUNCTION("""COMPUTED_VALUE"""),"s. mansoni")</f>
        <v>s. mansoni</v>
      </c>
      <c r="C121" s="697" t="str">
        <f>IFERROR(__xludf.DUMMYFUNCTION("""COMPUTED_VALUE"""),"Brazil")</f>
        <v>Brazil</v>
      </c>
      <c r="D121" s="697" t="str">
        <f>IFERROR(__xludf.DUMMYFUNCTION("""COMPUTED_VALUE"""),"Praziquantel")</f>
        <v>Praziquantel</v>
      </c>
      <c r="E121" s="697" t="str">
        <f>IFERROR(__xludf.DUMMYFUNCTION("""COMPUTED_VALUE"""),"Single")</f>
        <v>Single</v>
      </c>
      <c r="F121" s="697" t="str">
        <f>IFERROR(__xludf.DUMMYFUNCTION("""COMPUTED_VALUE"""),"60 mg/kg")</f>
        <v>60 mg/kg</v>
      </c>
      <c r="G121" s="697">
        <f>IFERROR(__xludf.DUMMYFUNCTION("""COMPUTED_VALUE"""),94.0)</f>
        <v>94</v>
      </c>
      <c r="H121" s="697" t="str">
        <f>IFERROR(__xludf.DUMMYFUNCTION("""COMPUTED_VALUE"""),"10-19 years")</f>
        <v>10-19 years</v>
      </c>
      <c r="I121" s="705" t="str">
        <f>IFERROR(__xludf.DUMMYFUNCTION("""COMPUTED_VALUE"""),"53:41")</f>
        <v>53:41</v>
      </c>
      <c r="J121" s="697">
        <f>IFERROR(__xludf.DUMMYFUNCTION("""COMPUTED_VALUE"""),2011.0)</f>
        <v>2011</v>
      </c>
      <c r="K121" s="697" t="str">
        <f>IFERROR(__xludf.DUMMYFUNCTION("""COMPUTED_VALUE"""),"10-19 Males Confirmed Schistosomia infection with (greater/equal to) 100 egg per grams of feces")</f>
        <v>10-19 Males Confirmed Schistosomia infection with (greater/equal to) 100 egg per grams of feces</v>
      </c>
      <c r="L121" s="697" t="str">
        <f>IFERROR(__xludf.DUMMYFUNCTION("""COMPUTED_VALUE"""),"Yes")</f>
        <v>Yes</v>
      </c>
      <c r="M121" s="697" t="str">
        <f>IFERROR(__xludf.DUMMYFUNCTION("""COMPUTED_VALUE"""),"Yes")</f>
        <v>Yes</v>
      </c>
      <c r="N121" s="697" t="str">
        <f>IFERROR(__xludf.DUMMYFUNCTION("""COMPUTED_VALUE"""),"Primary endpoint: cure rates on day 21 with negative stool of Schistosomia eggs. Secondary endpoint: follow-up 6 and 12 months ""partial cure"" egg reduction rates")</f>
        <v>Primary endpoint: cure rates on day 21 with negative stool of Schistosomia eggs. Secondary endpoint: follow-up 6 and 12 months "partial cure" egg reduction rates</v>
      </c>
      <c r="O121" s="698">
        <f>IFERROR(__xludf.DUMMYFUNCTION("""COMPUTED_VALUE"""),0.949)</f>
        <v>0.949</v>
      </c>
      <c r="P121" s="698">
        <f>IFERROR(__xludf.DUMMYFUNCTION("""COMPUTED_VALUE"""),0.918)</f>
        <v>0.918</v>
      </c>
      <c r="Q121" s="697" t="str">
        <f>IFERROR(__xludf.DUMMYFUNCTION("""COMPUTED_VALUE"""),"Higher dose of praziquantel has no significant efficacy advantage over lower dosage for treating Schistosomia.")</f>
        <v>Higher dose of praziquantel has no significant efficacy advantage over lower dosage for treating Schistosomia.</v>
      </c>
      <c r="R121" s="697"/>
      <c r="S121" s="699" t="str">
        <f>IFERROR(__xludf.DUMMYFUNCTION("""COMPUTED_VALUE"""),"Olliaro, Piero L., Michel T. Vaillant, Vincente J. Belizario, Nicholas J. S. Lwambo, Mohamed Ouldabdallahi, Otavio S. Pieri, Maria L. Amarillo, Godfrey M. Kaatano, Mamadou Diaw, Analucia C. Domingues, Tereza C. Favre, Olivier Lapujade, Fabiana Alves, and "&amp;"Lester Chitsulo. ""A Multicentre Randomized Controlled Trial of the Efficacy and Safety of Single-Dose Praziquantel at 40 Mg/kg vs. 60 Mg/kg for Treating Intestinal Schistosomiasis in the Philippines, Mauritania, Tanzania and Brazil."" Ed. James S. Mccart"&amp;"hy. PLoS Neglected Tropical Diseases 5.6 (2011): E1165. Web.")</f>
        <v>Olliaro, Piero L., Michel T. Vaillant, Vincente J. Belizario, Nicholas J. S. Lwambo, Mohamed Ouldabdallahi, Otavio S. Pieri, Maria L. Amarillo, Godfrey M. Kaatano, Mamadou Diaw, Analucia C. Domingues, Tereza C. Favre, Olivier Lapujade, Fabiana Alves, and Lester Chitsulo. "A Multicentre Randomized Controlled Trial of the Efficacy and Safety of Single-Dose Praziquantel at 40 Mg/kg vs. 60 Mg/kg for Treating Intestinal Schistosomiasis in the Philippines, Mauritania, Tanzania and Brazil." Ed. James S. Mccarthy. PLoS Neglected Tropical Diseases 5.6 (2011): E1165. Web.</v>
      </c>
      <c r="T121" s="697"/>
      <c r="U121" s="697" t="str">
        <f>IFERROR(__xludf.DUMMYFUNCTION("""COMPUTED_VALUE"""),"")</f>
        <v/>
      </c>
      <c r="V121" s="697">
        <f>IFERROR(__xludf.DUMMYFUNCTION("""COMPUTED_VALUE"""),121.0)</f>
        <v>121</v>
      </c>
    </row>
    <row r="122">
      <c r="A122" s="697" t="str">
        <f>IFERROR(__xludf.DUMMYFUNCTION("""COMPUTED_VALUE"""),"Olliaro PL, 2011")</f>
        <v>Olliaro PL, 2011</v>
      </c>
      <c r="B122" s="697" t="str">
        <f>IFERROR(__xludf.DUMMYFUNCTION("""COMPUTED_VALUE"""),"s. japonicum")</f>
        <v>s. japonicum</v>
      </c>
      <c r="C122" s="697" t="str">
        <f>IFERROR(__xludf.DUMMYFUNCTION("""COMPUTED_VALUE"""),"Philippines")</f>
        <v>Philippines</v>
      </c>
      <c r="D122" s="697" t="str">
        <f>IFERROR(__xludf.DUMMYFUNCTION("""COMPUTED_VALUE"""),"Praziquantel")</f>
        <v>Praziquantel</v>
      </c>
      <c r="E122" s="697" t="str">
        <f>IFERROR(__xludf.DUMMYFUNCTION("""COMPUTED_VALUE"""),"Single")</f>
        <v>Single</v>
      </c>
      <c r="F122" s="697" t="str">
        <f>IFERROR(__xludf.DUMMYFUNCTION("""COMPUTED_VALUE"""),"40 mg/kg ")</f>
        <v>40 mg/kg </v>
      </c>
      <c r="G122" s="697">
        <f>IFERROR(__xludf.DUMMYFUNCTION("""COMPUTED_VALUE"""),101.0)</f>
        <v>101</v>
      </c>
      <c r="H122" s="697" t="str">
        <f>IFERROR(__xludf.DUMMYFUNCTION("""COMPUTED_VALUE"""),"10-19 years")</f>
        <v>10-19 years</v>
      </c>
      <c r="I122" s="705" t="str">
        <f>IFERROR(__xludf.DUMMYFUNCTION("""COMPUTED_VALUE"""),"52:49")</f>
        <v>52:49</v>
      </c>
      <c r="J122" s="697">
        <f>IFERROR(__xludf.DUMMYFUNCTION("""COMPUTED_VALUE"""),2011.0)</f>
        <v>2011</v>
      </c>
      <c r="K122" s="697" t="str">
        <f>IFERROR(__xludf.DUMMYFUNCTION("""COMPUTED_VALUE"""),"10-19 Males Confirmed Schistosomia infection with (greater/equal to) 100 egg per grams of feces")</f>
        <v>10-19 Males Confirmed Schistosomia infection with (greater/equal to) 100 egg per grams of feces</v>
      </c>
      <c r="L122" s="697" t="str">
        <f>IFERROR(__xludf.DUMMYFUNCTION("""COMPUTED_VALUE"""),"Yes")</f>
        <v>Yes</v>
      </c>
      <c r="M122" s="697" t="str">
        <f>IFERROR(__xludf.DUMMYFUNCTION("""COMPUTED_VALUE"""),"Yes")</f>
        <v>Yes</v>
      </c>
      <c r="N122" s="697" t="str">
        <f>IFERROR(__xludf.DUMMYFUNCTION("""COMPUTED_VALUE"""),"Primary endpoint: cure rates on day 21 with negative stool of Schistosomia eggs. Secondary endpoint: follow-up 6 and 12 months ""partial cure"" egg reduction rates")</f>
        <v>Primary endpoint: cure rates on day 21 with negative stool of Schistosomia eggs. Secondary endpoint: follow-up 6 and 12 months "partial cure" egg reduction rates</v>
      </c>
      <c r="O122" s="700">
        <f>IFERROR(__xludf.DUMMYFUNCTION("""COMPUTED_VALUE"""),0.92)</f>
        <v>0.92</v>
      </c>
      <c r="P122" s="698">
        <f>IFERROR(__xludf.DUMMYFUNCTION("""COMPUTED_VALUE"""),0.901)</f>
        <v>0.901</v>
      </c>
      <c r="Q122" s="697" t="str">
        <f>IFERROR(__xludf.DUMMYFUNCTION("""COMPUTED_VALUE"""),"Higher dose of praziquantel has no significant efficacy advantage over lower dosage for treating Schistosomia.")</f>
        <v>Higher dose of praziquantel has no significant efficacy advantage over lower dosage for treating Schistosomia.</v>
      </c>
      <c r="R122" s="697"/>
      <c r="S122" s="699" t="str">
        <f>IFERROR(__xludf.DUMMYFUNCTION("""COMPUTED_VALUE"""),"Olliaro, Piero L., Michel T. Vaillant, Vincente J. Belizario, Nicholas J. S. Lwambo, Mohamed Ouldabdallahi, Otavio S. Pieri, Maria L. Amarillo, Godfrey M. Kaatano, Mamadou Diaw, Analucia C. Domingues, Tereza C. Favre, Olivier Lapujade, Fabiana Alves, and "&amp;"Lester Chitsulo. ""A Multicentre Randomized Controlled Trial of the Efficacy and Safety of Single-Dose Praziquantel at 40 Mg/kg vs. 60 Mg/kg for Treating Intestinal Schistosomiasis in the Philippines, Mauritania, Tanzania and Brazil."" Ed. James S. Mccart"&amp;"hy. PLoS Neglected Tropical Diseases 5.6 (2011): E1165. Web.")</f>
        <v>Olliaro, Piero L., Michel T. Vaillant, Vincente J. Belizario, Nicholas J. S. Lwambo, Mohamed Ouldabdallahi, Otavio S. Pieri, Maria L. Amarillo, Godfrey M. Kaatano, Mamadou Diaw, Analucia C. Domingues, Tereza C. Favre, Olivier Lapujade, Fabiana Alves, and Lester Chitsulo. "A Multicentre Randomized Controlled Trial of the Efficacy and Safety of Single-Dose Praziquantel at 40 Mg/kg vs. 60 Mg/kg for Treating Intestinal Schistosomiasis in the Philippines, Mauritania, Tanzania and Brazil." Ed. James S. Mccarthy. PLoS Neglected Tropical Diseases 5.6 (2011): E1165. Web.</v>
      </c>
      <c r="T122" s="697"/>
      <c r="U122" s="697" t="str">
        <f>IFERROR(__xludf.DUMMYFUNCTION("""COMPUTED_VALUE"""),"")</f>
        <v/>
      </c>
      <c r="V122" s="697">
        <f>IFERROR(__xludf.DUMMYFUNCTION("""COMPUTED_VALUE"""),122.0)</f>
        <v>122</v>
      </c>
    </row>
    <row r="123">
      <c r="A123" s="697" t="str">
        <f>IFERROR(__xludf.DUMMYFUNCTION("""COMPUTED_VALUE"""),"Olliaro PL, 2011")</f>
        <v>Olliaro PL, 2011</v>
      </c>
      <c r="B123" s="697" t="str">
        <f>IFERROR(__xludf.DUMMYFUNCTION("""COMPUTED_VALUE"""),"s. japonicum")</f>
        <v>s. japonicum</v>
      </c>
      <c r="C123" s="697" t="str">
        <f>IFERROR(__xludf.DUMMYFUNCTION("""COMPUTED_VALUE"""),"Philippines")</f>
        <v>Philippines</v>
      </c>
      <c r="D123" s="697" t="str">
        <f>IFERROR(__xludf.DUMMYFUNCTION("""COMPUTED_VALUE"""),"Praziquantel")</f>
        <v>Praziquantel</v>
      </c>
      <c r="E123" s="697" t="str">
        <f>IFERROR(__xludf.DUMMYFUNCTION("""COMPUTED_VALUE"""),"Single")</f>
        <v>Single</v>
      </c>
      <c r="F123" s="697" t="str">
        <f>IFERROR(__xludf.DUMMYFUNCTION("""COMPUTED_VALUE"""),"60 mg/kg")</f>
        <v>60 mg/kg</v>
      </c>
      <c r="G123" s="697">
        <f>IFERROR(__xludf.DUMMYFUNCTION("""COMPUTED_VALUE"""),99.0)</f>
        <v>99</v>
      </c>
      <c r="H123" s="697" t="str">
        <f>IFERROR(__xludf.DUMMYFUNCTION("""COMPUTED_VALUE"""),"10-19 years")</f>
        <v>10-19 years</v>
      </c>
      <c r="I123" s="705" t="str">
        <f>IFERROR(__xludf.DUMMYFUNCTION("""COMPUTED_VALUE"""),"53:46")</f>
        <v>53:46</v>
      </c>
      <c r="J123" s="697">
        <f>IFERROR(__xludf.DUMMYFUNCTION("""COMPUTED_VALUE"""),2011.0)</f>
        <v>2011</v>
      </c>
      <c r="K123" s="697" t="str">
        <f>IFERROR(__xludf.DUMMYFUNCTION("""COMPUTED_VALUE"""),"10-19 Males Confirmed Schistosomia infection with (greater/equal to) 100 egg per grams of feces")</f>
        <v>10-19 Males Confirmed Schistosomia infection with (greater/equal to) 100 egg per grams of feces</v>
      </c>
      <c r="L123" s="697" t="str">
        <f>IFERROR(__xludf.DUMMYFUNCTION("""COMPUTED_VALUE"""),"Yes")</f>
        <v>Yes</v>
      </c>
      <c r="M123" s="697" t="str">
        <f>IFERROR(__xludf.DUMMYFUNCTION("""COMPUTED_VALUE"""),"Yes")</f>
        <v>Yes</v>
      </c>
      <c r="N123" s="697" t="str">
        <f>IFERROR(__xludf.DUMMYFUNCTION("""COMPUTED_VALUE"""),"Primary endpoint: cure rates on day 21 with negative stool of Schistosomia eggs. Secondary endpoint: follow-up 6 and 12 months ""partial cure"" egg reduction rates")</f>
        <v>Primary endpoint: cure rates on day 21 with negative stool of Schistosomia eggs. Secondary endpoint: follow-up 6 and 12 months "partial cure" egg reduction rates</v>
      </c>
      <c r="O123" s="700">
        <f>IFERROR(__xludf.DUMMYFUNCTION("""COMPUTED_VALUE"""),0.97)</f>
        <v>0.97</v>
      </c>
      <c r="P123" s="698">
        <f>IFERROR(__xludf.DUMMYFUNCTION("""COMPUTED_VALUE"""),0.908)</f>
        <v>0.908</v>
      </c>
      <c r="Q123" s="697" t="str">
        <f>IFERROR(__xludf.DUMMYFUNCTION("""COMPUTED_VALUE"""),"Higher dose of praziquantel has no significant efficacy advantage over lower dosage for treating Schistosomia.")</f>
        <v>Higher dose of praziquantel has no significant efficacy advantage over lower dosage for treating Schistosomia.</v>
      </c>
      <c r="R123" s="697"/>
      <c r="S123" s="699" t="str">
        <f>IFERROR(__xludf.DUMMYFUNCTION("""COMPUTED_VALUE"""),"Olliaro, Piero L., Michel T. Vaillant, Vincente J. Belizario, Nicholas J. S. Lwambo, Mohamed Ouldabdallahi, Otavio S. Pieri, Maria L. Amarillo, Godfrey M. Kaatano, Mamadou Diaw, Analucia C. Domingues, Tereza C. Favre, Olivier Lapujade, Fabiana Alves, and "&amp;"Lester Chitsulo. ""A Multicentre Randomized Controlled Trial of the Efficacy and Safety of Single-Dose Praziquantel at 40 Mg/kg vs. 60 Mg/kg for Treating Intestinal Schistosomiasis in the Philippines, Mauritania, Tanzania and Brazil."" Ed. James S. Mccart"&amp;"hy. PLoS Neglected Tropical Diseases 5.6 (2011): E1165. Web.")</f>
        <v>Olliaro, Piero L., Michel T. Vaillant, Vincente J. Belizario, Nicholas J. S. Lwambo, Mohamed Ouldabdallahi, Otavio S. Pieri, Maria L. Amarillo, Godfrey M. Kaatano, Mamadou Diaw, Analucia C. Domingues, Tereza C. Favre, Olivier Lapujade, Fabiana Alves, and Lester Chitsulo. "A Multicentre Randomized Controlled Trial of the Efficacy and Safety of Single-Dose Praziquantel at 40 Mg/kg vs. 60 Mg/kg for Treating Intestinal Schistosomiasis in the Philippines, Mauritania, Tanzania and Brazil." Ed. James S. Mccarthy. PLoS Neglected Tropical Diseases 5.6 (2011): E1165. Web.</v>
      </c>
      <c r="T123" s="697"/>
      <c r="U123" s="697" t="str">
        <f>IFERROR(__xludf.DUMMYFUNCTION("""COMPUTED_VALUE"""),"")</f>
        <v/>
      </c>
      <c r="V123" s="697">
        <f>IFERROR(__xludf.DUMMYFUNCTION("""COMPUTED_VALUE"""),123.0)</f>
        <v>123</v>
      </c>
    </row>
    <row r="124">
      <c r="A124" s="697" t="str">
        <f>IFERROR(__xludf.DUMMYFUNCTION("""COMPUTED_VALUE"""),"Olliaro PL, 2011")</f>
        <v>Olliaro PL, 2011</v>
      </c>
      <c r="B124" s="697" t="str">
        <f>IFERROR(__xludf.DUMMYFUNCTION("""COMPUTED_VALUE"""),"s. mansoni")</f>
        <v>s. mansoni</v>
      </c>
      <c r="C124" s="697" t="str">
        <f>IFERROR(__xludf.DUMMYFUNCTION("""COMPUTED_VALUE"""),"Mauritania")</f>
        <v>Mauritania</v>
      </c>
      <c r="D124" s="697" t="str">
        <f>IFERROR(__xludf.DUMMYFUNCTION("""COMPUTED_VALUE"""),"Praziquantel")</f>
        <v>Praziquantel</v>
      </c>
      <c r="E124" s="697" t="str">
        <f>IFERROR(__xludf.DUMMYFUNCTION("""COMPUTED_VALUE"""),"Single")</f>
        <v>Single</v>
      </c>
      <c r="F124" s="697" t="str">
        <f>IFERROR(__xludf.DUMMYFUNCTION("""COMPUTED_VALUE"""),"40 mg/kg ")</f>
        <v>40 mg/kg </v>
      </c>
      <c r="G124" s="697">
        <f>IFERROR(__xludf.DUMMYFUNCTION("""COMPUTED_VALUE"""),92.0)</f>
        <v>92</v>
      </c>
      <c r="H124" s="697" t="str">
        <f>IFERROR(__xludf.DUMMYFUNCTION("""COMPUTED_VALUE"""),"10-19 years")</f>
        <v>10-19 years</v>
      </c>
      <c r="I124" s="705" t="str">
        <f>IFERROR(__xludf.DUMMYFUNCTION("""COMPUTED_VALUE"""),"40:52")</f>
        <v>40:52</v>
      </c>
      <c r="J124" s="697">
        <f>IFERROR(__xludf.DUMMYFUNCTION("""COMPUTED_VALUE"""),2011.0)</f>
        <v>2011</v>
      </c>
      <c r="K124" s="697" t="str">
        <f>IFERROR(__xludf.DUMMYFUNCTION("""COMPUTED_VALUE"""),"Confirmed Schistosomia infection with (greater/equal to) 100 egg per grams of feces")</f>
        <v>Confirmed Schistosomia infection with (greater/equal to) 100 egg per grams of feces</v>
      </c>
      <c r="L124" s="697" t="str">
        <f>IFERROR(__xludf.DUMMYFUNCTION("""COMPUTED_VALUE"""),"Yes")</f>
        <v>Yes</v>
      </c>
      <c r="M124" s="697" t="str">
        <f>IFERROR(__xludf.DUMMYFUNCTION("""COMPUTED_VALUE"""),"Yes")</f>
        <v>Yes</v>
      </c>
      <c r="N124" s="697" t="str">
        <f>IFERROR(__xludf.DUMMYFUNCTION("""COMPUTED_VALUE"""),"Primary endpoint: cure rates on day 21 with negative stool of Schistosomia eggs. Secondary endpoint: follow-up 6 and 12 months ""partial cure"" egg reduction rates")</f>
        <v>Primary endpoint: cure rates on day 21 with negative stool of Schistosomia eggs. Secondary endpoint: follow-up 6 and 12 months "partial cure" egg reduction rates</v>
      </c>
      <c r="O124" s="700">
        <f>IFERROR(__xludf.DUMMYFUNCTION("""COMPUTED_VALUE"""),0.91)</f>
        <v>0.91</v>
      </c>
      <c r="P124" s="698">
        <f>IFERROR(__xludf.DUMMYFUNCTION("""COMPUTED_VALUE"""),0.892)</f>
        <v>0.892</v>
      </c>
      <c r="Q124" s="697" t="str">
        <f>IFERROR(__xludf.DUMMYFUNCTION("""COMPUTED_VALUE"""),"Higher dose of praziquantel has no significant efficacy advantage over lower dosage for treating Schistosomia.")</f>
        <v>Higher dose of praziquantel has no significant efficacy advantage over lower dosage for treating Schistosomia.</v>
      </c>
      <c r="R124" s="697" t="str">
        <f>IFERROR(__xludf.DUMMYFUNCTION("""COMPUTED_VALUE"""),"Chose cure rate at 21 days because praziquantel is not active on immature schistosome of less than 24 days. Day 21 immature S. mansoni worms will not yet matured into patient egg-producing infection")</f>
        <v>Chose cure rate at 21 days because praziquantel is not active on immature schistosome of less than 24 days. Day 21 immature S. mansoni worms will not yet matured into patient egg-producing infection</v>
      </c>
      <c r="S124" s="699" t="str">
        <f>IFERROR(__xludf.DUMMYFUNCTION("""COMPUTED_VALUE"""),"Olliaro, Piero L., Michel T. Vaillant, Vincente J. Belizario, Nicholas J. S. Lwambo, Mohamed Ouldabdallahi, Otavio S. Pieri, Maria L. Amarillo, Godfrey M. Kaatano, Mamadou Diaw, Analucia C. Domingues, Tereza C. Favre, Olivier Lapujade, Fabiana Alves, and "&amp;"Lester Chitsulo. ""A Multicentre Randomized Controlled Trial of the Efficacy and Safety of Single-Dose Praziquantel at 40 Mg/kg vs. 60 Mg/kg for Treating Intestinal Schistosomiasis in the Philippines, Mauritania, Tanzania and Brazil."" Ed. James S. Mccart"&amp;"hy. PLoS Neglected Tropical Diseases 5.6 (2011): E1165. Web.")</f>
        <v>Olliaro, Piero L., Michel T. Vaillant, Vincente J. Belizario, Nicholas J. S. Lwambo, Mohamed Ouldabdallahi, Otavio S. Pieri, Maria L. Amarillo, Godfrey M. Kaatano, Mamadou Diaw, Analucia C. Domingues, Tereza C. Favre, Olivier Lapujade, Fabiana Alves, and Lester Chitsulo. "A Multicentre Randomized Controlled Trial of the Efficacy and Safety of Single-Dose Praziquantel at 40 Mg/kg vs. 60 Mg/kg for Treating Intestinal Schistosomiasis in the Philippines, Mauritania, Tanzania and Brazil." Ed. James S. Mccarthy. PLoS Neglected Tropical Diseases 5.6 (2011): E1165. Web.</v>
      </c>
      <c r="T124" s="697"/>
      <c r="U124" s="697" t="str">
        <f>IFERROR(__xludf.DUMMYFUNCTION("""COMPUTED_VALUE"""),"")</f>
        <v/>
      </c>
      <c r="V124" s="697">
        <f>IFERROR(__xludf.DUMMYFUNCTION("""COMPUTED_VALUE"""),124.0)</f>
        <v>124</v>
      </c>
    </row>
    <row r="125">
      <c r="A125" s="697" t="str">
        <f>IFERROR(__xludf.DUMMYFUNCTION("""COMPUTED_VALUE"""),"Olliaro PL, 2011")</f>
        <v>Olliaro PL, 2011</v>
      </c>
      <c r="B125" s="697" t="str">
        <f>IFERROR(__xludf.DUMMYFUNCTION("""COMPUTED_VALUE"""),"s. mansoni")</f>
        <v>s. mansoni</v>
      </c>
      <c r="C125" s="697" t="str">
        <f>IFERROR(__xludf.DUMMYFUNCTION("""COMPUTED_VALUE"""),"Mauritania")</f>
        <v>Mauritania</v>
      </c>
      <c r="D125" s="697" t="str">
        <f>IFERROR(__xludf.DUMMYFUNCTION("""COMPUTED_VALUE"""),"Praziquantel")</f>
        <v>Praziquantel</v>
      </c>
      <c r="E125" s="697" t="str">
        <f>IFERROR(__xludf.DUMMYFUNCTION("""COMPUTED_VALUE"""),"Single")</f>
        <v>Single</v>
      </c>
      <c r="F125" s="697" t="str">
        <f>IFERROR(__xludf.DUMMYFUNCTION("""COMPUTED_VALUE"""),"60 mg/kg")</f>
        <v>60 mg/kg</v>
      </c>
      <c r="G125" s="697">
        <f>IFERROR(__xludf.DUMMYFUNCTION("""COMPUTED_VALUE"""),93.0)</f>
        <v>93</v>
      </c>
      <c r="H125" s="697" t="str">
        <f>IFERROR(__xludf.DUMMYFUNCTION("""COMPUTED_VALUE"""),"10-19 years")</f>
        <v>10-19 years</v>
      </c>
      <c r="I125" s="705" t="str">
        <f>IFERROR(__xludf.DUMMYFUNCTION("""COMPUTED_VALUE"""),"45:48")</f>
        <v>45:48</v>
      </c>
      <c r="J125" s="697">
        <f>IFERROR(__xludf.DUMMYFUNCTION("""COMPUTED_VALUE"""),2011.0)</f>
        <v>2011</v>
      </c>
      <c r="K125" s="697" t="str">
        <f>IFERROR(__xludf.DUMMYFUNCTION("""COMPUTED_VALUE"""),"Confirmed Schistosomia infection with (greater/equal to) 100 egg per grams of feces")</f>
        <v>Confirmed Schistosomia infection with (greater/equal to) 100 egg per grams of feces</v>
      </c>
      <c r="L125" s="697" t="str">
        <f>IFERROR(__xludf.DUMMYFUNCTION("""COMPUTED_VALUE"""),"Yes")</f>
        <v>Yes</v>
      </c>
      <c r="M125" s="697" t="str">
        <f>IFERROR(__xludf.DUMMYFUNCTION("""COMPUTED_VALUE"""),"Yes")</f>
        <v>Yes</v>
      </c>
      <c r="N125" s="697" t="str">
        <f>IFERROR(__xludf.DUMMYFUNCTION("""COMPUTED_VALUE"""),"Primary endpoint: cure rates on day 21 with negative stool of Schistosomia eggs. Secondary endpoint: follow-up 6 and 12 months ""partial cure"" egg reduction rates")</f>
        <v>Primary endpoint: cure rates on day 21 with negative stool of Schistosomia eggs. Secondary endpoint: follow-up 6 and 12 months "partial cure" egg reduction rates</v>
      </c>
      <c r="O125" s="700">
        <f>IFERROR(__xludf.DUMMYFUNCTION("""COMPUTED_VALUE"""),0.92)</f>
        <v>0.92</v>
      </c>
      <c r="P125" s="698">
        <f>IFERROR(__xludf.DUMMYFUNCTION("""COMPUTED_VALUE"""),0.896)</f>
        <v>0.896</v>
      </c>
      <c r="Q125" s="697" t="str">
        <f>IFERROR(__xludf.DUMMYFUNCTION("""COMPUTED_VALUE"""),"Higher dose of praziquantel has no significant efficacy advantage over lower dosage for treating Schistosomia.")</f>
        <v>Higher dose of praziquantel has no significant efficacy advantage over lower dosage for treating Schistosomia.</v>
      </c>
      <c r="R125" s="697" t="str">
        <f>IFERROR(__xludf.DUMMYFUNCTION("""COMPUTED_VALUE"""),"Chose cure rate at 21 days because praziquantel is not active on immature schistosome of less than 24 days. Day 21 immature S. mansoni worms will not yet matured into patient egg-producing infection")</f>
        <v>Chose cure rate at 21 days because praziquantel is not active on immature schistosome of less than 24 days. Day 21 immature S. mansoni worms will not yet matured into patient egg-producing infection</v>
      </c>
      <c r="S125" s="699" t="str">
        <f>IFERROR(__xludf.DUMMYFUNCTION("""COMPUTED_VALUE"""),"Olliaro, Piero L., Michel T. Vaillant, Vincente J. Belizario, Nicholas J. S. Lwambo, Mohamed Ouldabdallahi, Otavio S. Pieri, Maria L. Amarillo, Godfrey M. Kaatano, Mamadou Diaw, Analucia C. Domingues, Tereza C. Favre, Olivier Lapujade, Fabiana Alves, and "&amp;"Lester Chitsulo. ""A Multicentre Randomized Controlled Trial of the Efficacy and Safety of Single-Dose Praziquantel at 40 Mg/kg vs. 60 Mg/kg for Treating Intestinal Schistosomiasis in the Philippines, Mauritania, Tanzania and Brazil."" Ed. James S. Mccart"&amp;"hy. PLoS Neglected Tropical Diseases 5.6 (2011): E1165. Web.")</f>
        <v>Olliaro, Piero L., Michel T. Vaillant, Vincente J. Belizario, Nicholas J. S. Lwambo, Mohamed Ouldabdallahi, Otavio S. Pieri, Maria L. Amarillo, Godfrey M. Kaatano, Mamadou Diaw, Analucia C. Domingues, Tereza C. Favre, Olivier Lapujade, Fabiana Alves, and Lester Chitsulo. "A Multicentre Randomized Controlled Trial of the Efficacy and Safety of Single-Dose Praziquantel at 40 Mg/kg vs. 60 Mg/kg for Treating Intestinal Schistosomiasis in the Philippines, Mauritania, Tanzania and Brazil." Ed. James S. Mccarthy. PLoS Neglected Tropical Diseases 5.6 (2011): E1165. Web.</v>
      </c>
      <c r="T125" s="697"/>
      <c r="U125" s="697" t="str">
        <f>IFERROR(__xludf.DUMMYFUNCTION("""COMPUTED_VALUE"""),"")</f>
        <v/>
      </c>
      <c r="V125" s="697">
        <f>IFERROR(__xludf.DUMMYFUNCTION("""COMPUTED_VALUE"""),125.0)</f>
        <v>125</v>
      </c>
    </row>
    <row r="126">
      <c r="A126" s="697" t="str">
        <f>IFERROR(__xludf.DUMMYFUNCTION("""COMPUTED_VALUE"""),"Olliaro PL, 2011")</f>
        <v>Olliaro PL, 2011</v>
      </c>
      <c r="B126" s="697" t="str">
        <f>IFERROR(__xludf.DUMMYFUNCTION("""COMPUTED_VALUE"""),"s. mansoni")</f>
        <v>s. mansoni</v>
      </c>
      <c r="C126" s="697" t="str">
        <f>IFERROR(__xludf.DUMMYFUNCTION("""COMPUTED_VALUE"""),"Tanzania")</f>
        <v>Tanzania</v>
      </c>
      <c r="D126" s="697" t="str">
        <f>IFERROR(__xludf.DUMMYFUNCTION("""COMPUTED_VALUE"""),"Praziquantel")</f>
        <v>Praziquantel</v>
      </c>
      <c r="E126" s="697" t="str">
        <f>IFERROR(__xludf.DUMMYFUNCTION("""COMPUTED_VALUE"""),"Single")</f>
        <v>Single</v>
      </c>
      <c r="F126" s="697" t="str">
        <f>IFERROR(__xludf.DUMMYFUNCTION("""COMPUTED_VALUE"""),"40 mg/kg ")</f>
        <v>40 mg/kg </v>
      </c>
      <c r="G126" s="697">
        <f>IFERROR(__xludf.DUMMYFUNCTION("""COMPUTED_VALUE"""),119.0)</f>
        <v>119</v>
      </c>
      <c r="H126" s="697" t="str">
        <f>IFERROR(__xludf.DUMMYFUNCTION("""COMPUTED_VALUE"""),"10-19 years")</f>
        <v>10-19 years</v>
      </c>
      <c r="I126" s="705" t="str">
        <f>IFERROR(__xludf.DUMMYFUNCTION("""COMPUTED_VALUE"""),"50:69")</f>
        <v>50:69</v>
      </c>
      <c r="J126" s="697">
        <f>IFERROR(__xludf.DUMMYFUNCTION("""COMPUTED_VALUE"""),2011.0)</f>
        <v>2011</v>
      </c>
      <c r="K126" s="697" t="str">
        <f>IFERROR(__xludf.DUMMYFUNCTION("""COMPUTED_VALUE"""),"Confirmed Schistosomia infection with (greater/equal to) 100 egg per grams of feces")</f>
        <v>Confirmed Schistosomia infection with (greater/equal to) 100 egg per grams of feces</v>
      </c>
      <c r="L126" s="697" t="str">
        <f>IFERROR(__xludf.DUMMYFUNCTION("""COMPUTED_VALUE"""),"Yes")</f>
        <v>Yes</v>
      </c>
      <c r="M126" s="697" t="str">
        <f>IFERROR(__xludf.DUMMYFUNCTION("""COMPUTED_VALUE"""),"Yes")</f>
        <v>Yes</v>
      </c>
      <c r="N126" s="697" t="str">
        <f>IFERROR(__xludf.DUMMYFUNCTION("""COMPUTED_VALUE"""),"Primary endpoint: cure rates on day 21 with negative stool of Schistosomia eggs. Secondary endpoint: follow-up 6 and 12 months ""partial cure"" egg reduction rates")</f>
        <v>Primary endpoint: cure rates on day 21 with negative stool of Schistosomia eggs. Secondary endpoint: follow-up 6 and 12 months "partial cure" egg reduction rates</v>
      </c>
      <c r="O126" s="698">
        <f>IFERROR(__xludf.DUMMYFUNCTION("""COMPUTED_VALUE"""),0.886)</f>
        <v>0.886</v>
      </c>
      <c r="P126" s="698">
        <f>IFERROR(__xludf.DUMMYFUNCTION("""COMPUTED_VALUE"""),0.919)</f>
        <v>0.919</v>
      </c>
      <c r="Q126" s="697" t="str">
        <f>IFERROR(__xludf.DUMMYFUNCTION("""COMPUTED_VALUE"""),"Higher dose of praziquantel has no significant efficacy advantage over lower dosage for treating Schistosomia.")</f>
        <v>Higher dose of praziquantel has no significant efficacy advantage over lower dosage for treating Schistosomia.</v>
      </c>
      <c r="R126" s="697"/>
      <c r="S126" s="699" t="str">
        <f>IFERROR(__xludf.DUMMYFUNCTION("""COMPUTED_VALUE"""),"Olliaro, Piero L., Michel T. Vaillant, Vincente J. Belizario, Nicholas J. S. Lwambo, Mohamed Ouldabdallahi, Otavio S. Pieri, Maria L. Amarillo, Godfrey M. Kaatano, Mamadou Diaw, Analucia C. Domingues, Tereza C. Favre, Olivier Lapujade, Fabiana Alves, and "&amp;"Lester Chitsulo. ""A Multicentre Randomized Controlled Trial of the Efficacy and Safety of Single-Dose Praziquantel at 40 Mg/kg vs. 60 Mg/kg for Treating Intestinal Schistosomiasis in the Philippines, Mauritania, Tanzania and Brazil."" Ed. James S. Mccart"&amp;"hy. PLoS Neglected Tropical Diseases 5.6 (2011): E1165. Web.")</f>
        <v>Olliaro, Piero L., Michel T. Vaillant, Vincente J. Belizario, Nicholas J. S. Lwambo, Mohamed Ouldabdallahi, Otavio S. Pieri, Maria L. Amarillo, Godfrey M. Kaatano, Mamadou Diaw, Analucia C. Domingues, Tereza C. Favre, Olivier Lapujade, Fabiana Alves, and Lester Chitsulo. "A Multicentre Randomized Controlled Trial of the Efficacy and Safety of Single-Dose Praziquantel at 40 Mg/kg vs. 60 Mg/kg for Treating Intestinal Schistosomiasis in the Philippines, Mauritania, Tanzania and Brazil." Ed. James S. Mccarthy. PLoS Neglected Tropical Diseases 5.6 (2011): E1165. Web.</v>
      </c>
      <c r="T126" s="697"/>
      <c r="U126" s="697" t="str">
        <f>IFERROR(__xludf.DUMMYFUNCTION("""COMPUTED_VALUE"""),"")</f>
        <v/>
      </c>
      <c r="V126" s="697">
        <f>IFERROR(__xludf.DUMMYFUNCTION("""COMPUTED_VALUE"""),126.0)</f>
        <v>126</v>
      </c>
    </row>
    <row r="127">
      <c r="A127" s="697" t="str">
        <f>IFERROR(__xludf.DUMMYFUNCTION("""COMPUTED_VALUE"""),"Olliaro PL, 2011")</f>
        <v>Olliaro PL, 2011</v>
      </c>
      <c r="B127" s="697" t="str">
        <f>IFERROR(__xludf.DUMMYFUNCTION("""COMPUTED_VALUE"""),"s. mansoni")</f>
        <v>s. mansoni</v>
      </c>
      <c r="C127" s="697" t="str">
        <f>IFERROR(__xludf.DUMMYFUNCTION("""COMPUTED_VALUE"""),"Tanzania")</f>
        <v>Tanzania</v>
      </c>
      <c r="D127" s="697" t="str">
        <f>IFERROR(__xludf.DUMMYFUNCTION("""COMPUTED_VALUE"""),"Praziquantel")</f>
        <v>Praziquantel</v>
      </c>
      <c r="E127" s="697" t="str">
        <f>IFERROR(__xludf.DUMMYFUNCTION("""COMPUTED_VALUE"""),"Single")</f>
        <v>Single</v>
      </c>
      <c r="F127" s="697" t="str">
        <f>IFERROR(__xludf.DUMMYFUNCTION("""COMPUTED_VALUE"""),"60 mg/kg")</f>
        <v>60 mg/kg</v>
      </c>
      <c r="G127" s="697">
        <f>IFERROR(__xludf.DUMMYFUNCTION("""COMPUTED_VALUE"""),125.0)</f>
        <v>125</v>
      </c>
      <c r="H127" s="697" t="str">
        <f>IFERROR(__xludf.DUMMYFUNCTION("""COMPUTED_VALUE"""),"10-19 years")</f>
        <v>10-19 years</v>
      </c>
      <c r="I127" s="705" t="str">
        <f>IFERROR(__xludf.DUMMYFUNCTION("""COMPUTED_VALUE"""),"67:68")</f>
        <v>67:68</v>
      </c>
      <c r="J127" s="697">
        <f>IFERROR(__xludf.DUMMYFUNCTION("""COMPUTED_VALUE"""),2011.0)</f>
        <v>2011</v>
      </c>
      <c r="K127" s="697" t="str">
        <f>IFERROR(__xludf.DUMMYFUNCTION("""COMPUTED_VALUE"""),"Confirmed Schistosomia infection with (greater/equal to) 100 egg per grams of feces")</f>
        <v>Confirmed Schistosomia infection with (greater/equal to) 100 egg per grams of feces</v>
      </c>
      <c r="L127" s="697" t="str">
        <f>IFERROR(__xludf.DUMMYFUNCTION("""COMPUTED_VALUE"""),"Yes")</f>
        <v>Yes</v>
      </c>
      <c r="M127" s="697" t="str">
        <f>IFERROR(__xludf.DUMMYFUNCTION("""COMPUTED_VALUE"""),"Yes")</f>
        <v>Yes</v>
      </c>
      <c r="N127" s="697" t="str">
        <f>IFERROR(__xludf.DUMMYFUNCTION("""COMPUTED_VALUE"""),"Primary endpoint: cure rates on day 21 with negative stool of Schistosomia eggs. Secondary endpoint: follow-up 6 and 12 months ""partial cure"" egg reduction rates")</f>
        <v>Primary endpoint: cure rates on day 21 with negative stool of Schistosomia eggs. Secondary endpoint: follow-up 6 and 12 months "partial cure" egg reduction rates</v>
      </c>
      <c r="O127" s="700">
        <f>IFERROR(__xludf.DUMMYFUNCTION("""COMPUTED_VALUE"""),0.88)</f>
        <v>0.88</v>
      </c>
      <c r="P127" s="698">
        <f>IFERROR(__xludf.DUMMYFUNCTION("""COMPUTED_VALUE"""),0.923)</f>
        <v>0.923</v>
      </c>
      <c r="Q127" s="697" t="str">
        <f>IFERROR(__xludf.DUMMYFUNCTION("""COMPUTED_VALUE"""),"Higher dose of praziquantel has no significant efficacy advantage over lower dosage for treating Schistosomia.")</f>
        <v>Higher dose of praziquantel has no significant efficacy advantage over lower dosage for treating Schistosomia.</v>
      </c>
      <c r="R127" s="697"/>
      <c r="S127" s="699" t="str">
        <f>IFERROR(__xludf.DUMMYFUNCTION("""COMPUTED_VALUE"""),"Olliaro, Piero L., Michel T. Vaillant, Vincente J. Belizario, Nicholas J. S. Lwambo, Mohamed Ouldabdallahi, Otavio S. Pieri, Maria L. Amarillo, Godfrey M. Kaatano, Mamadou Diaw, Analucia C. Domingues, Tereza C. Favre, Olivier Lapujade, Fabiana Alves, and "&amp;"Lester Chitsulo. ""A Multicentre Randomized Controlled Trial of the Efficacy and Safety of Single-Dose Praziquantel at 40 Mg/kg vs. 60 Mg/kg for Treating Intestinal Schistosomiasis in the Philippines, Mauritania, Tanzania and Brazil."" Ed. James S. Mccart"&amp;"hy. PLoS Neglected Tropical Diseases 5.6 (2011): E1165. Web.")</f>
        <v>Olliaro, Piero L., Michel T. Vaillant, Vincente J. Belizario, Nicholas J. S. Lwambo, Mohamed Ouldabdallahi, Otavio S. Pieri, Maria L. Amarillo, Godfrey M. Kaatano, Mamadou Diaw, Analucia C. Domingues, Tereza C. Favre, Olivier Lapujade, Fabiana Alves, and Lester Chitsulo. "A Multicentre Randomized Controlled Trial of the Efficacy and Safety of Single-Dose Praziquantel at 40 Mg/kg vs. 60 Mg/kg for Treating Intestinal Schistosomiasis in the Philippines, Mauritania, Tanzania and Brazil." Ed. James S. Mccarthy. PLoS Neglected Tropical Diseases 5.6 (2011): E1165. Web.</v>
      </c>
      <c r="T127" s="697"/>
      <c r="U127" s="697" t="str">
        <f>IFERROR(__xludf.DUMMYFUNCTION("""COMPUTED_VALUE"""),"")</f>
        <v/>
      </c>
      <c r="V127" s="697">
        <f>IFERROR(__xludf.DUMMYFUNCTION("""COMPUTED_VALUE"""),127.0)</f>
        <v>127</v>
      </c>
    </row>
    <row r="128">
      <c r="A128" s="697" t="str">
        <f>IFERROR(__xludf.DUMMYFUNCTION("""COMPUTED_VALUE"""),"Omer AH, 1978")</f>
        <v>Omer AH, 1978</v>
      </c>
      <c r="B128" s="697" t="str">
        <f>IFERROR(__xludf.DUMMYFUNCTION("""COMPUTED_VALUE"""),"s. mansoni")</f>
        <v>s. mansoni</v>
      </c>
      <c r="C128" s="697" t="str">
        <f>IFERROR(__xludf.DUMMYFUNCTION("""COMPUTED_VALUE"""),"Sudan")</f>
        <v>Sudan</v>
      </c>
      <c r="D128" s="697" t="str">
        <f>IFERROR(__xludf.DUMMYFUNCTION("""COMPUTED_VALUE"""),"Oxamniquine")</f>
        <v>Oxamniquine</v>
      </c>
      <c r="E128" s="697" t="str">
        <f>IFERROR(__xludf.DUMMYFUNCTION("""COMPUTED_VALUE"""),"Single")</f>
        <v>Single</v>
      </c>
      <c r="F128" s="697" t="str">
        <f>IFERROR(__xludf.DUMMYFUNCTION("""COMPUTED_VALUE"""),"60 mg/kg")</f>
        <v>60 mg/kg</v>
      </c>
      <c r="G128" s="697">
        <f>IFERROR(__xludf.DUMMYFUNCTION("""COMPUTED_VALUE"""),176.0)</f>
        <v>176</v>
      </c>
      <c r="H128" s="697" t="str">
        <f>IFERROR(__xludf.DUMMYFUNCTION("""COMPUTED_VALUE"""),"7 - 55")</f>
        <v>7 - 55</v>
      </c>
      <c r="I128" s="705" t="str">
        <f>IFERROR(__xludf.DUMMYFUNCTION("""COMPUTED_VALUE"""),"134:42")</f>
        <v>134:42</v>
      </c>
      <c r="J128" s="697">
        <f>IFERROR(__xludf.DUMMYFUNCTION("""COMPUTED_VALUE"""),1978.0)</f>
        <v>1978</v>
      </c>
      <c r="K128" s="697" t="str">
        <f>IFERROR(__xludf.DUMMYFUNCTION("""COMPUTED_VALUE"""),"individuals who were positive for S. mansoni and excreting &gt; 250 EPG")</f>
        <v>individuals who were positive for S. mansoni and excreting &gt; 250 EPG</v>
      </c>
      <c r="L128" s="697" t="str">
        <f>IFERROR(__xludf.DUMMYFUNCTION("""COMPUTED_VALUE"""),"No")</f>
        <v>No</v>
      </c>
      <c r="M128" s="697" t="str">
        <f>IFERROR(__xludf.DUMMYFUNCTION("""COMPUTED_VALUE"""),"No")</f>
        <v>No</v>
      </c>
      <c r="N128" s="697" t="str">
        <f>IFERROR(__xludf.DUMMYFUNCTION("""COMPUTED_VALUE"""),"Cure rates, determined by the absence of viable eggs in the stools six months after treatment")</f>
        <v>Cure rates, determined by the absence of viable eggs in the stools six months after treatment</v>
      </c>
      <c r="O128" s="698">
        <f>IFERROR(__xludf.DUMMYFUNCTION("""COMPUTED_VALUE"""),0.949)</f>
        <v>0.949</v>
      </c>
      <c r="P128" s="700">
        <f>IFERROR(__xludf.DUMMYFUNCTION("""COMPUTED_VALUE"""),0.93)</f>
        <v>0.93</v>
      </c>
      <c r="Q128" s="697" t="str">
        <f>IFERROR(__xludf.DUMMYFUNCTION("""COMPUTED_VALUE"""),"These findings suggest that control programmes in developing countries can use lower doses, and so reduce costs, to effectively reduce transmission of S mansoni infection, despite the lower cure rate.")</f>
        <v>These findings suggest that control programmes in developing countries can use lower doses, and so reduce costs, to effectively reduce transmission of S mansoni infection, despite the lower cure rate.</v>
      </c>
      <c r="R128" s="697" t="str">
        <f>IFERROR(__xludf.DUMMYFUNCTION("""COMPUTED_VALUE"""),"Oxamniquine for treating Schistosoma mansoni infection in Sudan")</f>
        <v>Oxamniquine for treating Schistosoma mansoni infection in Sudan</v>
      </c>
      <c r="S128" s="699" t="str">
        <f>IFERROR(__xludf.DUMMYFUNCTION("""COMPUTED_VALUE"""),"Omer AH. Oxamniquine for treating Schistosoma mansoni infection in Sudan. British Medical Journal 1978;2(6131): 163–5.")</f>
        <v>Omer AH. Oxamniquine for treating Schistosoma mansoni infection in Sudan. British Medical Journal 1978;2(6131): 163–5.</v>
      </c>
      <c r="T128" s="697"/>
      <c r="U128" s="697" t="str">
        <f>IFERROR(__xludf.DUMMYFUNCTION("""COMPUTED_VALUE"""),"x")</f>
        <v>x</v>
      </c>
      <c r="V128" s="697">
        <f>IFERROR(__xludf.DUMMYFUNCTION("""COMPUTED_VALUE"""),128.0)</f>
        <v>128</v>
      </c>
    </row>
    <row r="129">
      <c r="A129" s="697" t="str">
        <f>IFERROR(__xludf.DUMMYFUNCTION("""COMPUTED_VALUE"""),"Omer AH, 1978")</f>
        <v>Omer AH, 1978</v>
      </c>
      <c r="B129" s="697" t="str">
        <f>IFERROR(__xludf.DUMMYFUNCTION("""COMPUTED_VALUE"""),"s. mansoni")</f>
        <v>s. mansoni</v>
      </c>
      <c r="C129" s="697" t="str">
        <f>IFERROR(__xludf.DUMMYFUNCTION("""COMPUTED_VALUE"""),"Sudan")</f>
        <v>Sudan</v>
      </c>
      <c r="D129" s="697" t="str">
        <f>IFERROR(__xludf.DUMMYFUNCTION("""COMPUTED_VALUE"""),"Oxamniquine")</f>
        <v>Oxamniquine</v>
      </c>
      <c r="E129" s="697" t="str">
        <f>IFERROR(__xludf.DUMMYFUNCTION("""COMPUTED_VALUE"""),"Single")</f>
        <v>Single</v>
      </c>
      <c r="F129" s="697" t="str">
        <f>IFERROR(__xludf.DUMMYFUNCTION("""COMPUTED_VALUE"""),"40 mg/kg")</f>
        <v>40 mg/kg</v>
      </c>
      <c r="G129" s="697">
        <f>IFERROR(__xludf.DUMMYFUNCTION("""COMPUTED_VALUE"""),176.0)</f>
        <v>176</v>
      </c>
      <c r="H129" s="697" t="str">
        <f>IFERROR(__xludf.DUMMYFUNCTION("""COMPUTED_VALUE"""),"7 - 55")</f>
        <v>7 - 55</v>
      </c>
      <c r="I129" s="705" t="str">
        <f>IFERROR(__xludf.DUMMYFUNCTION("""COMPUTED_VALUE"""),"134:42")</f>
        <v>134:42</v>
      </c>
      <c r="J129" s="697">
        <f>IFERROR(__xludf.DUMMYFUNCTION("""COMPUTED_VALUE"""),1978.0)</f>
        <v>1978</v>
      </c>
      <c r="K129" s="697" t="str">
        <f>IFERROR(__xludf.DUMMYFUNCTION("""COMPUTED_VALUE"""),"individuals who were positive for S. mansoni and excreting &gt; 250 EPG")</f>
        <v>individuals who were positive for S. mansoni and excreting &gt; 250 EPG</v>
      </c>
      <c r="L129" s="697" t="str">
        <f>IFERROR(__xludf.DUMMYFUNCTION("""COMPUTED_VALUE"""),"No")</f>
        <v>No</v>
      </c>
      <c r="M129" s="697" t="str">
        <f>IFERROR(__xludf.DUMMYFUNCTION("""COMPUTED_VALUE"""),"No")</f>
        <v>No</v>
      </c>
      <c r="N129" s="697" t="str">
        <f>IFERROR(__xludf.DUMMYFUNCTION("""COMPUTED_VALUE"""),"Cure rates, determined by the absence of viable eggs in the stools six months after treatment")</f>
        <v>Cure rates, determined by the absence of viable eggs in the stools six months after treatment</v>
      </c>
      <c r="O129" s="698">
        <f>IFERROR(__xludf.DUMMYFUNCTION("""COMPUTED_VALUE"""),0.788)</f>
        <v>0.788</v>
      </c>
      <c r="P129" s="700">
        <f>IFERROR(__xludf.DUMMYFUNCTION("""COMPUTED_VALUE"""),0.83)</f>
        <v>0.83</v>
      </c>
      <c r="Q129" s="697" t="str">
        <f>IFERROR(__xludf.DUMMYFUNCTION("""COMPUTED_VALUE"""),"These findings suggest that control programmes in developing countries can use lower doses, and so reduce costs, to effectively reduce transmission of S mansoni infection, despite the lower cure rate.")</f>
        <v>These findings suggest that control programmes in developing countries can use lower doses, and so reduce costs, to effectively reduce transmission of S mansoni infection, despite the lower cure rate.</v>
      </c>
      <c r="R129" s="697" t="str">
        <f>IFERROR(__xludf.DUMMYFUNCTION("""COMPUTED_VALUE"""),"Oxamniquine for treating Schistosoma mansoni infection in Sudan")</f>
        <v>Oxamniquine for treating Schistosoma mansoni infection in Sudan</v>
      </c>
      <c r="S129" s="699" t="str">
        <f>IFERROR(__xludf.DUMMYFUNCTION("""COMPUTED_VALUE"""),"Omer AH. Oxamniquine for treating Schistosoma mansoni infection in Sudan. British Medical Journal 1978;2(6131): 163–5.")</f>
        <v>Omer AH. Oxamniquine for treating Schistosoma mansoni infection in Sudan. British Medical Journal 1978;2(6131): 163–5.</v>
      </c>
      <c r="T129" s="697"/>
      <c r="U129" s="697" t="str">
        <f>IFERROR(__xludf.DUMMYFUNCTION("""COMPUTED_VALUE"""),"x")</f>
        <v>x</v>
      </c>
      <c r="V129" s="697">
        <f>IFERROR(__xludf.DUMMYFUNCTION("""COMPUTED_VALUE"""),129.0)</f>
        <v>129</v>
      </c>
    </row>
    <row r="130">
      <c r="A130" s="697" t="str">
        <f>IFERROR(__xludf.DUMMYFUNCTION("""COMPUTED_VALUE"""),"Omer AH, 1978")</f>
        <v>Omer AH, 1978</v>
      </c>
      <c r="B130" s="697" t="str">
        <f>IFERROR(__xludf.DUMMYFUNCTION("""COMPUTED_VALUE"""),"s. mansoni")</f>
        <v>s. mansoni</v>
      </c>
      <c r="C130" s="697" t="str">
        <f>IFERROR(__xludf.DUMMYFUNCTION("""COMPUTED_VALUE"""),"Sudan")</f>
        <v>Sudan</v>
      </c>
      <c r="D130" s="697" t="str">
        <f>IFERROR(__xludf.DUMMYFUNCTION("""COMPUTED_VALUE"""),"Oxamniquine")</f>
        <v>Oxamniquine</v>
      </c>
      <c r="E130" s="697" t="str">
        <f>IFERROR(__xludf.DUMMYFUNCTION("""COMPUTED_VALUE"""),"Single")</f>
        <v>Single</v>
      </c>
      <c r="F130" s="697" t="str">
        <f>IFERROR(__xludf.DUMMYFUNCTION("""COMPUTED_VALUE"""),"30 mg/kg")</f>
        <v>30 mg/kg</v>
      </c>
      <c r="G130" s="697">
        <f>IFERROR(__xludf.DUMMYFUNCTION("""COMPUTED_VALUE"""),176.0)</f>
        <v>176</v>
      </c>
      <c r="H130" s="697" t="str">
        <f>IFERROR(__xludf.DUMMYFUNCTION("""COMPUTED_VALUE"""),"7 - 55")</f>
        <v>7 - 55</v>
      </c>
      <c r="I130" s="705" t="str">
        <f>IFERROR(__xludf.DUMMYFUNCTION("""COMPUTED_VALUE"""),"134:42")</f>
        <v>134:42</v>
      </c>
      <c r="J130" s="697">
        <f>IFERROR(__xludf.DUMMYFUNCTION("""COMPUTED_VALUE"""),1978.0)</f>
        <v>1978</v>
      </c>
      <c r="K130" s="697" t="str">
        <f>IFERROR(__xludf.DUMMYFUNCTION("""COMPUTED_VALUE"""),"individuals who were positive for S. mansoni and excreting &gt; 250 EPG")</f>
        <v>individuals who were positive for S. mansoni and excreting &gt; 250 EPG</v>
      </c>
      <c r="L130" s="697" t="str">
        <f>IFERROR(__xludf.DUMMYFUNCTION("""COMPUTED_VALUE"""),"No")</f>
        <v>No</v>
      </c>
      <c r="M130" s="697" t="str">
        <f>IFERROR(__xludf.DUMMYFUNCTION("""COMPUTED_VALUE"""),"No")</f>
        <v>No</v>
      </c>
      <c r="N130" s="697" t="str">
        <f>IFERROR(__xludf.DUMMYFUNCTION("""COMPUTED_VALUE"""),"Cure rates, determined by the absence of viable eggs in the stools six months after treatment")</f>
        <v>Cure rates, determined by the absence of viable eggs in the stools six months after treatment</v>
      </c>
      <c r="O130" s="698">
        <f>IFERROR(__xludf.DUMMYFUNCTION("""COMPUTED_VALUE"""),0.689)</f>
        <v>0.689</v>
      </c>
      <c r="P130" s="700">
        <f>IFERROR(__xludf.DUMMYFUNCTION("""COMPUTED_VALUE"""),0.76)</f>
        <v>0.76</v>
      </c>
      <c r="Q130" s="697" t="str">
        <f>IFERROR(__xludf.DUMMYFUNCTION("""COMPUTED_VALUE"""),"These findings suggest that control programmes in developing countries can use lower doses, and so reduce costs, to effectively reduce transmission of S mansoni infection, despite the lower cure rate.")</f>
        <v>These findings suggest that control programmes in developing countries can use lower doses, and so reduce costs, to effectively reduce transmission of S mansoni infection, despite the lower cure rate.</v>
      </c>
      <c r="R130" s="697" t="str">
        <f>IFERROR(__xludf.DUMMYFUNCTION("""COMPUTED_VALUE"""),"Oxamniquine for treating Schistosoma mansoni infection in Sudan")</f>
        <v>Oxamniquine for treating Schistosoma mansoni infection in Sudan</v>
      </c>
      <c r="S130" s="699" t="str">
        <f>IFERROR(__xludf.DUMMYFUNCTION("""COMPUTED_VALUE"""),"Omer AH. Oxamniquine for treating Schistosoma mansoni infection in Sudan. British Medical Journal 1978;2(6131): 163–5.")</f>
        <v>Omer AH. Oxamniquine for treating Schistosoma mansoni infection in Sudan. British Medical Journal 1978;2(6131): 163–5.</v>
      </c>
      <c r="T130" s="697"/>
      <c r="U130" s="697" t="str">
        <f>IFERROR(__xludf.DUMMYFUNCTION("""COMPUTED_VALUE"""),"x")</f>
        <v>x</v>
      </c>
      <c r="V130" s="697">
        <f>IFERROR(__xludf.DUMMYFUNCTION("""COMPUTED_VALUE"""),130.0)</f>
        <v>130</v>
      </c>
    </row>
    <row r="131">
      <c r="A131" s="697" t="str">
        <f>IFERROR(__xludf.DUMMYFUNCTION("""COMPUTED_VALUE"""),"Ouldabdallahi MB, 2013")</f>
        <v>Ouldabdallahi MB, 2013</v>
      </c>
      <c r="B131" s="697" t="str">
        <f>IFERROR(__xludf.DUMMYFUNCTION("""COMPUTED_VALUE"""),"s. mansoni")</f>
        <v>s. mansoni</v>
      </c>
      <c r="C131" s="697" t="str">
        <f>IFERROR(__xludf.DUMMYFUNCTION("""COMPUTED_VALUE"""),"Mauritania")</f>
        <v>Mauritania</v>
      </c>
      <c r="D131" s="697" t="str">
        <f>IFERROR(__xludf.DUMMYFUNCTION("""COMPUTED_VALUE"""),"Praziquantel")</f>
        <v>Praziquantel</v>
      </c>
      <c r="E131" s="697" t="str">
        <f>IFERROR(__xludf.DUMMYFUNCTION("""COMPUTED_VALUE"""),"Single")</f>
        <v>Single</v>
      </c>
      <c r="F131" s="697" t="str">
        <f>IFERROR(__xludf.DUMMYFUNCTION("""COMPUTED_VALUE"""),"40 mg/kg")</f>
        <v>40 mg/kg</v>
      </c>
      <c r="G131" s="697">
        <f>IFERROR(__xludf.DUMMYFUNCTION("""COMPUTED_VALUE"""),151.0)</f>
        <v>151</v>
      </c>
      <c r="H131" s="697" t="str">
        <f>IFERROR(__xludf.DUMMYFUNCTION("""COMPUTED_VALUE"""),"10 - 19")</f>
        <v>10 - 19</v>
      </c>
      <c r="I131" s="697"/>
      <c r="J131" s="697">
        <f>IFERROR(__xludf.DUMMYFUNCTION("""COMPUTED_VALUE"""),2013.0)</f>
        <v>2013</v>
      </c>
      <c r="K131" s="697" t="str">
        <f>IFERROR(__xludf.DUMMYFUNCTION("""COMPUTED_VALUE"""),"10 to 19 years old Infected with S.mansoni ")</f>
        <v>10 to 19 years old Infected with S.mansoni </v>
      </c>
      <c r="L131" s="697" t="str">
        <f>IFERROR(__xludf.DUMMYFUNCTION("""COMPUTED_VALUE"""),"Yes")</f>
        <v>Yes</v>
      </c>
      <c r="M131" s="697" t="str">
        <f>IFERROR(__xludf.DUMMYFUNCTION("""COMPUTED_VALUE"""),"Yes")</f>
        <v>Yes</v>
      </c>
      <c r="N131" s="697" t="str">
        <f>IFERROR(__xludf.DUMMYFUNCTION("""COMPUTED_VALUE"""),"Cure rate determined 21 days by absence of Schistosomia eggs from stool")</f>
        <v>Cure rate determined 21 days by absence of Schistosomia eggs from stool</v>
      </c>
      <c r="O131" s="698">
        <f>IFERROR(__xludf.DUMMYFUNCTION("""COMPUTED_VALUE"""),0.675)</f>
        <v>0.675</v>
      </c>
      <c r="P131" s="697"/>
      <c r="Q131" s="697" t="str">
        <f>IFERROR(__xludf.DUMMYFUNCTION("""COMPUTED_VALUE"""),"For the majority of the patients, the drug was well tolerated and no serious adverse events were noted; however, clinical signs in the form of abdominal pain associated or not with diarrhea and vomiting were noted. Prazinquantel remains an effective and w"&amp;"ell-tolerated drug: the amount of 40 mg/kg of body weight can still be maintained for the treatment of schistosomiasis in Mauritania.")</f>
        <v>For the majority of the patients, the drug was well tolerated and no serious adverse events were noted; however, clinical signs in the form of abdominal pain associated or not with diarrhea and vomiting were noted. Prazinquantel remains an effective and well-tolerated drug: the amount of 40 mg/kg of body weight can still be maintained for the treatment of schistosomiasis in Mauritania.</v>
      </c>
      <c r="R131" s="697"/>
      <c r="S131" s="699" t="str">
        <f>IFERROR(__xludf.DUMMYFUNCTION("""COMPUTED_VALUE"""),"Ouldabdallahi, M., B. Ousmane, M. Ouldbezeid, D. Mamadou, L. Konaté, and L. Chitsulo. ""Comparison of the Efficacy and Safety of Praziquantel Administered in Single Dose of 40 versus 60 Mg/kg for Treating Urinary Schistosomiasis in Mauritania."" National "&amp;"Center for Biotechnology Information. U.S. National Library of Medicine, 17 May 2013. Web. 23 Feb. 2015.")</f>
        <v>Ouldabdallahi, M., B. Ousmane, M. Ouldbezeid, D. Mamadou, L. Konaté, and L. Chitsulo. "Comparison of the Efficacy and Safety of Praziquantel Administered in Single Dose of 40 versus 60 Mg/kg for Treating Urinary Schistosomiasis in Mauritania." National Center for Biotechnology Information. U.S. National Library of Medicine, 17 May 2013. Web. 23 Feb. 2015.</v>
      </c>
      <c r="T131" s="697"/>
      <c r="U131" s="697" t="str">
        <f>IFERROR(__xludf.DUMMYFUNCTION("""COMPUTED_VALUE"""),"")</f>
        <v/>
      </c>
      <c r="V131" s="697">
        <f>IFERROR(__xludf.DUMMYFUNCTION("""COMPUTED_VALUE"""),131.0)</f>
        <v>131</v>
      </c>
    </row>
    <row r="132">
      <c r="A132" s="697" t="str">
        <f>IFERROR(__xludf.DUMMYFUNCTION("""COMPUTED_VALUE"""),"Ouldabdallahi MB, 2013")</f>
        <v>Ouldabdallahi MB, 2013</v>
      </c>
      <c r="B132" s="697" t="str">
        <f>IFERROR(__xludf.DUMMYFUNCTION("""COMPUTED_VALUE"""),"s. mansoni")</f>
        <v>s. mansoni</v>
      </c>
      <c r="C132" s="697" t="str">
        <f>IFERROR(__xludf.DUMMYFUNCTION("""COMPUTED_VALUE"""),"Mauritania")</f>
        <v>Mauritania</v>
      </c>
      <c r="D132" s="697" t="str">
        <f>IFERROR(__xludf.DUMMYFUNCTION("""COMPUTED_VALUE"""),"Praziquantel")</f>
        <v>Praziquantel</v>
      </c>
      <c r="E132" s="697" t="str">
        <f>IFERROR(__xludf.DUMMYFUNCTION("""COMPUTED_VALUE"""),"Single")</f>
        <v>Single</v>
      </c>
      <c r="F132" s="697" t="str">
        <f>IFERROR(__xludf.DUMMYFUNCTION("""COMPUTED_VALUE"""),"60 mg/kg")</f>
        <v>60 mg/kg</v>
      </c>
      <c r="G132" s="697">
        <f>IFERROR(__xludf.DUMMYFUNCTION("""COMPUTED_VALUE"""),151.0)</f>
        <v>151</v>
      </c>
      <c r="H132" s="697" t="str">
        <f>IFERROR(__xludf.DUMMYFUNCTION("""COMPUTED_VALUE"""),"10 - 19")</f>
        <v>10 - 19</v>
      </c>
      <c r="I132" s="697"/>
      <c r="J132" s="697">
        <f>IFERROR(__xludf.DUMMYFUNCTION("""COMPUTED_VALUE"""),2013.0)</f>
        <v>2013</v>
      </c>
      <c r="K132" s="697" t="str">
        <f>IFERROR(__xludf.DUMMYFUNCTION("""COMPUTED_VALUE"""),"10 to 19 years old Infected with S.mansoni ")</f>
        <v>10 to 19 years old Infected with S.mansoni </v>
      </c>
      <c r="L132" s="697" t="str">
        <f>IFERROR(__xludf.DUMMYFUNCTION("""COMPUTED_VALUE"""),"Yes")</f>
        <v>Yes</v>
      </c>
      <c r="M132" s="697" t="str">
        <f>IFERROR(__xludf.DUMMYFUNCTION("""COMPUTED_VALUE"""),"Yes")</f>
        <v>Yes</v>
      </c>
      <c r="N132" s="697" t="str">
        <f>IFERROR(__xludf.DUMMYFUNCTION("""COMPUTED_VALUE"""),"Cure rate determined 21 days by absence of Schistosomia eggs from stool")</f>
        <v>Cure rate determined 21 days by absence of Schistosomia eggs from stool</v>
      </c>
      <c r="O132" s="698">
        <f>IFERROR(__xludf.DUMMYFUNCTION("""COMPUTED_VALUE"""),0.648)</f>
        <v>0.648</v>
      </c>
      <c r="P132" s="697"/>
      <c r="Q132" s="697" t="str">
        <f>IFERROR(__xludf.DUMMYFUNCTION("""COMPUTED_VALUE"""),"For the majority of the patients, the drug was well tolerated and no serious adverse events were noted; however, clinical signs in the form of abdominal pain associated or not with diarrhea and vomiting were noted. Prazinquantel remains an effective and w"&amp;"ell-tolerated drug: the amount of 40 mg/kg of body weight can still be maintained for the treatment of schistosomiasis in Mauritania.")</f>
        <v>For the majority of the patients, the drug was well tolerated and no serious adverse events were noted; however, clinical signs in the form of abdominal pain associated or not with diarrhea and vomiting were noted. Prazinquantel remains an effective and well-tolerated drug: the amount of 40 mg/kg of body weight can still be maintained for the treatment of schistosomiasis in Mauritania.</v>
      </c>
      <c r="R132" s="697"/>
      <c r="S132" s="699" t="str">
        <f>IFERROR(__xludf.DUMMYFUNCTION("""COMPUTED_VALUE"""),"Ouldabdallahi, M., B. Ousmane, M. Ouldbezeid, D. Mamadou, L. Konaté, and L. Chitsulo. ""Comparison of the Efficacy and Safety of Praziquantel Administered in Single Dose of 40 versus 60 Mg/kg for Treating Urinary Schistosomiasis in Mauritania."" National "&amp;"Center for Biotechnology Information. U.S. National Library of Medicine, 17 May 2013. Web. 23 Feb. 2015.")</f>
        <v>Ouldabdallahi, M., B. Ousmane, M. Ouldbezeid, D. Mamadou, L. Konaté, and L. Chitsulo. "Comparison of the Efficacy and Safety of Praziquantel Administered in Single Dose of 40 versus 60 Mg/kg for Treating Urinary Schistosomiasis in Mauritania." National Center for Biotechnology Information. U.S. National Library of Medicine, 17 May 2013. Web. 23 Feb. 2015.</v>
      </c>
      <c r="T132" s="697"/>
      <c r="U132" s="697" t="str">
        <f>IFERROR(__xludf.DUMMYFUNCTION("""COMPUTED_VALUE"""),"")</f>
        <v/>
      </c>
      <c r="V132" s="697">
        <f>IFERROR(__xludf.DUMMYFUNCTION("""COMPUTED_VALUE"""),132.0)</f>
        <v>132</v>
      </c>
    </row>
    <row r="133">
      <c r="A133" s="697" t="str">
        <f>IFERROR(__xludf.DUMMYFUNCTION("""COMPUTED_VALUE"""),"Picquet M, 1998")</f>
        <v>Picquet M, 1998</v>
      </c>
      <c r="B133" s="697" t="str">
        <f>IFERROR(__xludf.DUMMYFUNCTION("""COMPUTED_VALUE"""),"s. mansoni")</f>
        <v>s. mansoni</v>
      </c>
      <c r="C133" s="697" t="str">
        <f>IFERROR(__xludf.DUMMYFUNCTION("""COMPUTED_VALUE"""),"Senegal")</f>
        <v>Senegal</v>
      </c>
      <c r="D133" s="697" t="str">
        <f>IFERROR(__xludf.DUMMYFUNCTION("""COMPUTED_VALUE"""),"Praziquantel")</f>
        <v>Praziquantel</v>
      </c>
      <c r="E133" s="697" t="str">
        <f>IFERROR(__xludf.DUMMYFUNCTION("""COMPUTED_VALUE"""),"Two")</f>
        <v>Two</v>
      </c>
      <c r="F133" s="697" t="str">
        <f>IFERROR(__xludf.DUMMYFUNCTION("""COMPUTED_VALUE"""),"40 mg/kg")</f>
        <v>40 mg/kg</v>
      </c>
      <c r="G133" s="697">
        <f>IFERROR(__xludf.DUMMYFUNCTION("""COMPUTED_VALUE"""),130.0)</f>
        <v>130</v>
      </c>
      <c r="H133" s="697" t="str">
        <f>IFERROR(__xludf.DUMMYFUNCTION("""COMPUTED_VALUE"""),"4 - 20 ")</f>
        <v>4 - 20 </v>
      </c>
      <c r="I133" s="705" t="str">
        <f>IFERROR(__xludf.DUMMYFUNCTION("""COMPUTED_VALUE"""),"1:1")</f>
        <v>1:1</v>
      </c>
      <c r="J133" s="697">
        <f>IFERROR(__xludf.DUMMYFUNCTION("""COMPUTED_VALUE"""),1998.0)</f>
        <v>1998</v>
      </c>
      <c r="K133" s="697" t="str">
        <f>IFERROR(__xludf.DUMMYFUNCTION("""COMPUTED_VALUE"""),"30 individuals who provided stool samples on days 0, 118 and 153 and were treated on days 85 and 125, 113 (87%) were infected with S. mansoni before treatment. The overall geometric mean faecal egg count of the infected individuals was 478 eggs/g.")</f>
        <v>30 individuals who provided stool samples on days 0, 118 and 153 and were treated on days 85 and 125, 113 (87%) were infected with S. mansoni before treatment. The overall geometric mean faecal egg count of the infected individuals was 478 eggs/g.</v>
      </c>
      <c r="L133" s="697" t="str">
        <f>IFERROR(__xludf.DUMMYFUNCTION("""COMPUTED_VALUE"""),"No")</f>
        <v>No</v>
      </c>
      <c r="M133" s="697" t="str">
        <f>IFERROR(__xludf.DUMMYFUNCTION("""COMPUTED_VALUE"""),"No")</f>
        <v>No</v>
      </c>
      <c r="N133" s="697" t="str">
        <f>IFERROR(__xludf.DUMMYFUNCTION("""COMPUTED_VALUE"""),"Efficacy of treatment was evaluated 4 weeks after each treatment")</f>
        <v>Efficacy of treatment was evaluated 4 weeks after each treatment</v>
      </c>
      <c r="O133" s="698">
        <f>IFERROR(__xludf.DUMMYFUNCTION("""COMPUTED_VALUE"""),0.761)</f>
        <v>0.761</v>
      </c>
      <c r="P133" s="700">
        <f>IFERROR(__xludf.DUMMYFUNCTION("""COMPUTED_VALUE"""),0.881)</f>
        <v>0.881</v>
      </c>
      <c r="Q133" s="697" t="str">
        <f>IFERROR(__xludf.DUMMYFUNCTION("""COMPUTED_VALUE"""),"In conclusion, this study has confirmed the low parasitological cure rates of S. mansoni in the Senegalese focus after a single dose of 40 mgikg PZQ. However, treating a second time with 40 mg/kg PZQ, 6 weeks after the first treatment, markedly improved t"&amp;"he cure rates, providing strong evidence against the idea of a strain of S. mansoni tolerant to PZQ in this area of the SRB.")</f>
        <v>In conclusion, this study has confirmed the low parasitological cure rates of S. mansoni in the Senegalese focus after a single dose of 40 mgikg PZQ. However, treating a second time with 40 mg/kg PZQ, 6 weeks after the first treatment, markedly improved the cure rates, providing strong evidence against the idea of a strain of S. mansoni tolerant to PZQ in this area of the SRB.</v>
      </c>
      <c r="R133" s="697" t="str">
        <f>IFERROR(__xludf.DUMMYFUNCTION("""COMPUTED_VALUE"""),"Efficacy of praziquantel against Schistosoma mansoni in northern Senegal")</f>
        <v>Efficacy of praziquantel against Schistosoma mansoni in northern Senegal</v>
      </c>
      <c r="S133" s="699" t="str">
        <f>IFERROR(__xludf.DUMMYFUNCTION("""COMPUTED_VALUE"""),"Picquet, Michel, Jozef Vercruysse, Darren J. Shaw, Mamadou Diop, and Abdoulaye Ly. ""Efficacy of Praziquantel against Schistosoma Mansoni in Northern Senegal."" Transactions of the Royal Society of Tropical Medicine and Hygiene 92.1 (1998): 90-93. Web. 22"&amp;" Feb. 2015.")</f>
        <v>Picquet, Michel, Jozef Vercruysse, Darren J. Shaw, Mamadou Diop, and Abdoulaye Ly. "Efficacy of Praziquantel against Schistosoma Mansoni in Northern Senegal." Transactions of the Royal Society of Tropical Medicine and Hygiene 92.1 (1998): 90-93. Web. 22 Feb. 2015.</v>
      </c>
      <c r="T133" s="697"/>
      <c r="U133" s="697" t="str">
        <f>IFERROR(__xludf.DUMMYFUNCTION("""COMPUTED_VALUE"""),"x")</f>
        <v>x</v>
      </c>
      <c r="V133" s="697">
        <f>IFERROR(__xludf.DUMMYFUNCTION("""COMPUTED_VALUE"""),133.0)</f>
        <v>133</v>
      </c>
    </row>
    <row r="134">
      <c r="A134" s="697" t="str">
        <f>IFERROR(__xludf.DUMMYFUNCTION("""COMPUTED_VALUE"""),"Pugh R N H 1982")</f>
        <v>Pugh R N H 1982</v>
      </c>
      <c r="B134" s="697" t="str">
        <f>IFERROR(__xludf.DUMMYFUNCTION("""COMPUTED_VALUE"""),"s. haematobium")</f>
        <v>s. haematobium</v>
      </c>
      <c r="C134" s="697" t="str">
        <f>IFERROR(__xludf.DUMMYFUNCTION("""COMPUTED_VALUE"""),"Malawi")</f>
        <v>Malawi</v>
      </c>
      <c r="D134" s="697" t="str">
        <f>IFERROR(__xludf.DUMMYFUNCTION("""COMPUTED_VALUE"""),"Praziquantel")</f>
        <v>Praziquantel</v>
      </c>
      <c r="E134" s="697" t="str">
        <f>IFERROR(__xludf.DUMMYFUNCTION("""COMPUTED_VALUE"""),"Single")</f>
        <v>Single</v>
      </c>
      <c r="F134" s="697" t="str">
        <f>IFERROR(__xludf.DUMMYFUNCTION("""COMPUTED_VALUE"""),"40 mg/kg")</f>
        <v>40 mg/kg</v>
      </c>
      <c r="G134" s="697">
        <f>IFERROR(__xludf.DUMMYFUNCTION("""COMPUTED_VALUE"""),97.0)</f>
        <v>97</v>
      </c>
      <c r="H134" s="697" t="str">
        <f>IFERROR(__xludf.DUMMYFUNCTION("""COMPUTED_VALUE"""),"5-18 years old")</f>
        <v>5-18 years old</v>
      </c>
      <c r="I134" s="705" t="str">
        <f>IFERROR(__xludf.DUMMYFUNCTION("""COMPUTED_VALUE"""),"517:83")</f>
        <v>517:83</v>
      </c>
      <c r="J134" s="697">
        <f>IFERROR(__xludf.DUMMYFUNCTION("""COMPUTED_VALUE"""),1982.0)</f>
        <v>1982</v>
      </c>
      <c r="K134" s="697" t="str">
        <f>IFERROR(__xludf.DUMMYFUNCTION("""COMPUTED_VALUE"""),"A total of 2516 children attending five primary schools in the area were screened for haematuria using Ecur-Test (Boehringer) reagent strips. Of these, 600 children (517 boys and 83 girls attending two local schools) aged 5-18 years with heavy haematuria "&amp;"were included in the study. Children with apparent malaise, with febrile illnesses, or who had received schistosomicidal drugs within six months were excluded from the trial.")</f>
        <v>A total of 2516 children attending five primary schools in the area were screened for haematuria using Ecur-Test (Boehringer) reagent strips. Of these, 600 children (517 boys and 83 girls attending two local schools) aged 5-18 years with heavy haematuria were included in the study. Children with apparent malaise, with febrile illnesses, or who had received schistosomicidal drugs within six months were excluded from the trial.</v>
      </c>
      <c r="L134" s="697" t="str">
        <f>IFERROR(__xludf.DUMMYFUNCTION("""COMPUTED_VALUE"""),"Yes")</f>
        <v>Yes</v>
      </c>
      <c r="M134" s="697" t="str">
        <f>IFERROR(__xludf.DUMMYFUNCTION("""COMPUTED_VALUE"""),"Yes")</f>
        <v>Yes</v>
      </c>
      <c r="N134" s="697" t="str">
        <f>IFERROR(__xludf.DUMMYFUNCTION("""COMPUTED_VALUE"""),"cure rates: three months; egg reduction rate six months")</f>
        <v>cure rates: three months; egg reduction rate six months</v>
      </c>
      <c r="O134" s="698">
        <f>IFERROR(__xludf.DUMMYFUNCTION("""COMPUTED_VALUE"""),0.315)</f>
        <v>0.315</v>
      </c>
      <c r="P134" s="698">
        <f>IFERROR(__xludf.DUMMYFUNCTION("""COMPUTED_VALUE"""),0.974)</f>
        <v>0.974</v>
      </c>
      <c r="Q134" s="697" t="str">
        <f>IFERROR(__xludf.DUMMYFUNCTION("""COMPUTED_VALUE"""),"Though our findings show that praziquantel appears to be the most effective and convenient drug available for individuals with S haematobium infection, the combined regimen is a cheaper alternative for treatment where cost is important and parasitological"&amp;" cure not an essential objective.")</f>
        <v>Though our findings show that praziquantel appears to be the most effective and convenient drug available for individuals with S haematobium infection, the combined regimen is a cheaper alternative for treatment where cost is important and parasitological cure not an essential objective.</v>
      </c>
      <c r="R134" s="697"/>
      <c r="S134" s="699" t="str">
        <f>IFERROR(__xludf.DUMMYFUNCTION("""COMPUTED_VALUE"""),"Pugh, R. N., and C. H. Teesdale. ""Single dose oral treatment in urinary schistosomiasis: a double blind trial."" Br Med J (Clin Res Ed) 286.6363 (1983): 429-432.")</f>
        <v>Pugh, R. N., and C. H. Teesdale. "Single dose oral treatment in urinary schistosomiasis: a double blind trial." Br Med J (Clin Res Ed) 286.6363 (1983): 429-432.</v>
      </c>
      <c r="T134" s="697"/>
      <c r="U134" s="697" t="str">
        <f>IFERROR(__xludf.DUMMYFUNCTION("""COMPUTED_VALUE"""),"")</f>
        <v/>
      </c>
      <c r="V134" s="697">
        <f>IFERROR(__xludf.DUMMYFUNCTION("""COMPUTED_VALUE"""),134.0)</f>
        <v>134</v>
      </c>
    </row>
    <row r="135">
      <c r="A135" s="697" t="str">
        <f>IFERROR(__xludf.DUMMYFUNCTION("""COMPUTED_VALUE"""),"Pugh R N H 1982")</f>
        <v>Pugh R N H 1982</v>
      </c>
      <c r="B135" s="697" t="str">
        <f>IFERROR(__xludf.DUMMYFUNCTION("""COMPUTED_VALUE"""),"s. haematobium")</f>
        <v>s. haematobium</v>
      </c>
      <c r="C135" s="697" t="str">
        <f>IFERROR(__xludf.DUMMYFUNCTION("""COMPUTED_VALUE"""),"Malawi")</f>
        <v>Malawi</v>
      </c>
      <c r="D135" s="697" t="str">
        <f>IFERROR(__xludf.DUMMYFUNCTION("""COMPUTED_VALUE"""),"Metrifonate &amp; Niridazole")</f>
        <v>Metrifonate &amp; Niridazole</v>
      </c>
      <c r="E135" s="697" t="str">
        <f>IFERROR(__xludf.DUMMYFUNCTION("""COMPUTED_VALUE"""),"Single")</f>
        <v>Single</v>
      </c>
      <c r="F135" s="697" t="str">
        <f>IFERROR(__xludf.DUMMYFUNCTION("""COMPUTED_VALUE"""),"10 mg/kg; 25 mg/kg")</f>
        <v>10 mg/kg; 25 mg/kg</v>
      </c>
      <c r="G135" s="697">
        <f>IFERROR(__xludf.DUMMYFUNCTION("""COMPUTED_VALUE"""),97.0)</f>
        <v>97</v>
      </c>
      <c r="H135" s="697" t="str">
        <f>IFERROR(__xludf.DUMMYFUNCTION("""COMPUTED_VALUE"""),"5-18 years old")</f>
        <v>5-18 years old</v>
      </c>
      <c r="I135" s="705" t="str">
        <f>IFERROR(__xludf.DUMMYFUNCTION("""COMPUTED_VALUE"""),"517:83")</f>
        <v>517:83</v>
      </c>
      <c r="J135" s="697">
        <f>IFERROR(__xludf.DUMMYFUNCTION("""COMPUTED_VALUE"""),1982.0)</f>
        <v>1982</v>
      </c>
      <c r="K135" s="697" t="str">
        <f>IFERROR(__xludf.DUMMYFUNCTION("""COMPUTED_VALUE"""),"A total of 2516 children attending five primary schools in the area were screened for haematuria using Ecur-Test (Boehringer) reagent strips. Of these, 600 children (517 boys and 83 girls attending two local schools) aged 5-18 years with heavy haematuria "&amp;"were included in the study. Children with apparent malaise, with febrile illnesses, or who had received schistosomicidal drugs within six months were excluded from the trial.")</f>
        <v>A total of 2516 children attending five primary schools in the area were screened for haematuria using Ecur-Test (Boehringer) reagent strips. Of these, 600 children (517 boys and 83 girls attending two local schools) aged 5-18 years with heavy haematuria were included in the study. Children with apparent malaise, with febrile illnesses, or who had received schistosomicidal drugs within six months were excluded from the trial.</v>
      </c>
      <c r="L135" s="697" t="str">
        <f>IFERROR(__xludf.DUMMYFUNCTION("""COMPUTED_VALUE"""),"Yes")</f>
        <v>Yes</v>
      </c>
      <c r="M135" s="697" t="str">
        <f>IFERROR(__xludf.DUMMYFUNCTION("""COMPUTED_VALUE"""),"Yes")</f>
        <v>Yes</v>
      </c>
      <c r="N135" s="697" t="str">
        <f>IFERROR(__xludf.DUMMYFUNCTION("""COMPUTED_VALUE"""),"cure rates: three months; egg reduction rate six months")</f>
        <v>cure rates: three months; egg reduction rate six months</v>
      </c>
      <c r="O135" s="698">
        <f>IFERROR(__xludf.DUMMYFUNCTION("""COMPUTED_VALUE"""),0.112)</f>
        <v>0.112</v>
      </c>
      <c r="P135" s="698">
        <f>IFERROR(__xludf.DUMMYFUNCTION("""COMPUTED_VALUE"""),0.928)</f>
        <v>0.928</v>
      </c>
      <c r="Q135" s="697" t="str">
        <f>IFERROR(__xludf.DUMMYFUNCTION("""COMPUTED_VALUE"""),"Though our findings show that praziquantel appears to be the most effective and convenient drug available for individuals with S haematobium infection, the combined regimen is a cheaper alternative for treatment where cost is important and parasitological"&amp;" cure not an essential objective.")</f>
        <v>Though our findings show that praziquantel appears to be the most effective and convenient drug available for individuals with S haematobium infection, the combined regimen is a cheaper alternative for treatment where cost is important and parasitological cure not an essential objective.</v>
      </c>
      <c r="R135" s="697"/>
      <c r="S135" s="699" t="str">
        <f>IFERROR(__xludf.DUMMYFUNCTION("""COMPUTED_VALUE"""),"Pugh, R. N., and C. H. Teesdale. ""Single dose oral treatment in urinary schistosomiasis: a double blind trial."" Br Med J (Clin Res Ed) 286.6363 (1983): 429-432.")</f>
        <v>Pugh, R. N., and C. H. Teesdale. "Single dose oral treatment in urinary schistosomiasis: a double blind trial." Br Med J (Clin Res Ed) 286.6363 (1983): 429-432.</v>
      </c>
      <c r="T135" s="697"/>
      <c r="U135" s="697" t="str">
        <f>IFERROR(__xludf.DUMMYFUNCTION("""COMPUTED_VALUE"""),"")</f>
        <v/>
      </c>
      <c r="V135" s="697">
        <f>IFERROR(__xludf.DUMMYFUNCTION("""COMPUTED_VALUE"""),135.0)</f>
        <v>135</v>
      </c>
    </row>
    <row r="136">
      <c r="A136" s="697" t="str">
        <f>IFERROR(__xludf.DUMMYFUNCTION("""COMPUTED_VALUE"""),"Pugh R N H 1982")</f>
        <v>Pugh R N H 1982</v>
      </c>
      <c r="B136" s="697" t="str">
        <f>IFERROR(__xludf.DUMMYFUNCTION("""COMPUTED_VALUE"""),"s. haematobium")</f>
        <v>s. haematobium</v>
      </c>
      <c r="C136" s="697" t="str">
        <f>IFERROR(__xludf.DUMMYFUNCTION("""COMPUTED_VALUE"""),"Malawi")</f>
        <v>Malawi</v>
      </c>
      <c r="D136" s="697" t="str">
        <f>IFERROR(__xludf.DUMMYFUNCTION("""COMPUTED_VALUE"""),"Metrifonate")</f>
        <v>Metrifonate</v>
      </c>
      <c r="E136" s="697" t="str">
        <f>IFERROR(__xludf.DUMMYFUNCTION("""COMPUTED_VALUE"""),"Single")</f>
        <v>Single</v>
      </c>
      <c r="F136" s="697" t="str">
        <f>IFERROR(__xludf.DUMMYFUNCTION("""COMPUTED_VALUE"""),"10 mg/kg")</f>
        <v>10 mg/kg</v>
      </c>
      <c r="G136" s="697">
        <f>IFERROR(__xludf.DUMMYFUNCTION("""COMPUTED_VALUE"""),92.0)</f>
        <v>92</v>
      </c>
      <c r="H136" s="697" t="str">
        <f>IFERROR(__xludf.DUMMYFUNCTION("""COMPUTED_VALUE"""),"5-18 years old")</f>
        <v>5-18 years old</v>
      </c>
      <c r="I136" s="705" t="str">
        <f>IFERROR(__xludf.DUMMYFUNCTION("""COMPUTED_VALUE"""),"517:83")</f>
        <v>517:83</v>
      </c>
      <c r="J136" s="697">
        <f>IFERROR(__xludf.DUMMYFUNCTION("""COMPUTED_VALUE"""),1982.0)</f>
        <v>1982</v>
      </c>
      <c r="K136" s="697" t="str">
        <f>IFERROR(__xludf.DUMMYFUNCTION("""COMPUTED_VALUE"""),"A total of 2516 children attending five primary schools in the area were screened for haematuria using Ecur-Test (Boehringer) reagent strips. Of these, 600 children (517 boys and 83 girls attending two local schools) aged 5-18 years with heavy haematuria "&amp;"were included in the study. Children with apparent malaise, with febrile illnesses, or who had received schistosomicidal drugs within six months were excluded from the trial.")</f>
        <v>A total of 2516 children attending five primary schools in the area were screened for haematuria using Ecur-Test (Boehringer) reagent strips. Of these, 600 children (517 boys and 83 girls attending two local schools) aged 5-18 years with heavy haematuria were included in the study. Children with apparent malaise, with febrile illnesses, or who had received schistosomicidal drugs within six months were excluded from the trial.</v>
      </c>
      <c r="L136" s="697" t="str">
        <f>IFERROR(__xludf.DUMMYFUNCTION("""COMPUTED_VALUE"""),"Yes")</f>
        <v>Yes</v>
      </c>
      <c r="M136" s="697" t="str">
        <f>IFERROR(__xludf.DUMMYFUNCTION("""COMPUTED_VALUE"""),"Yes")</f>
        <v>Yes</v>
      </c>
      <c r="N136" s="697" t="str">
        <f>IFERROR(__xludf.DUMMYFUNCTION("""COMPUTED_VALUE"""),"cure rates: three months; egg reduction rate six months")</f>
        <v>cure rates: three months; egg reduction rate six months</v>
      </c>
      <c r="O136" s="698">
        <f>IFERROR(__xludf.DUMMYFUNCTION("""COMPUTED_VALUE"""),0.085)</f>
        <v>0.085</v>
      </c>
      <c r="P136" s="698">
        <f>IFERROR(__xludf.DUMMYFUNCTION("""COMPUTED_VALUE"""),0.867)</f>
        <v>0.867</v>
      </c>
      <c r="Q136" s="697" t="str">
        <f>IFERROR(__xludf.DUMMYFUNCTION("""COMPUTED_VALUE"""),"Though our findings show that praziquantel appears to be the most effective and convenient drug available for individuals with S haematobium infection, the combined regimen is a cheaper alternative for treatment where cost is important and parasitological"&amp;" cure not an essential objective.")</f>
        <v>Though our findings show that praziquantel appears to be the most effective and convenient drug available for individuals with S haematobium infection, the combined regimen is a cheaper alternative for treatment where cost is important and parasitological cure not an essential objective.</v>
      </c>
      <c r="R136" s="697"/>
      <c r="S136" s="699" t="str">
        <f>IFERROR(__xludf.DUMMYFUNCTION("""COMPUTED_VALUE"""),"Pugh, R. N., and C. H. Teesdale. ""Single dose oral treatment in urinary schistosomiasis: a double blind trial."" Br Med J (Clin Res Ed) 286.6363 (1983): 429-432.")</f>
        <v>Pugh, R. N., and C. H. Teesdale. "Single dose oral treatment in urinary schistosomiasis: a double blind trial." Br Med J (Clin Res Ed) 286.6363 (1983): 429-432.</v>
      </c>
      <c r="T136" s="697"/>
      <c r="U136" s="697" t="str">
        <f>IFERROR(__xludf.DUMMYFUNCTION("""COMPUTED_VALUE"""),"")</f>
        <v/>
      </c>
      <c r="V136" s="697">
        <f>IFERROR(__xludf.DUMMYFUNCTION("""COMPUTED_VALUE"""),136.0)</f>
        <v>136</v>
      </c>
    </row>
    <row r="137">
      <c r="A137" s="697" t="str">
        <f>IFERROR(__xludf.DUMMYFUNCTION("""COMPUTED_VALUE"""),"Pugh R N H 1982")</f>
        <v>Pugh R N H 1982</v>
      </c>
      <c r="B137" s="697" t="str">
        <f>IFERROR(__xludf.DUMMYFUNCTION("""COMPUTED_VALUE"""),"s. haematobium")</f>
        <v>s. haematobium</v>
      </c>
      <c r="C137" s="697" t="str">
        <f>IFERROR(__xludf.DUMMYFUNCTION("""COMPUTED_VALUE"""),"Malawi")</f>
        <v>Malawi</v>
      </c>
      <c r="D137" s="697" t="str">
        <f>IFERROR(__xludf.DUMMYFUNCTION("""COMPUTED_VALUE"""),"Niridazole")</f>
        <v>Niridazole</v>
      </c>
      <c r="E137" s="697" t="str">
        <f>IFERROR(__xludf.DUMMYFUNCTION("""COMPUTED_VALUE"""),"Single")</f>
        <v>Single</v>
      </c>
      <c r="F137" s="697" t="str">
        <f>IFERROR(__xludf.DUMMYFUNCTION("""COMPUTED_VALUE"""),"25 mg/kg")</f>
        <v>25 mg/kg</v>
      </c>
      <c r="G137" s="697">
        <f>IFERROR(__xludf.DUMMYFUNCTION("""COMPUTED_VALUE"""),95.0)</f>
        <v>95</v>
      </c>
      <c r="H137" s="697" t="str">
        <f>IFERROR(__xludf.DUMMYFUNCTION("""COMPUTED_VALUE"""),"5-18 years old")</f>
        <v>5-18 years old</v>
      </c>
      <c r="I137" s="705" t="str">
        <f>IFERROR(__xludf.DUMMYFUNCTION("""COMPUTED_VALUE"""),"517:83")</f>
        <v>517:83</v>
      </c>
      <c r="J137" s="697">
        <f>IFERROR(__xludf.DUMMYFUNCTION("""COMPUTED_VALUE"""),1982.0)</f>
        <v>1982</v>
      </c>
      <c r="K137" s="697" t="str">
        <f>IFERROR(__xludf.DUMMYFUNCTION("""COMPUTED_VALUE"""),"A total of 2516 children attending five primary schools in the area were screened for haematuria using Ecur-Test (Boehringer) reagent strips. Of these, 600 children (517 boys and 83 girls attending two local schools) aged 5-18 years with heavy haematuria "&amp;"were included in the study. Children with apparent malaise, with febrile illnesses, or who had received schistosomicidal drugs within six months were excluded from the trial.")</f>
        <v>A total of 2516 children attending five primary schools in the area were screened for haematuria using Ecur-Test (Boehringer) reagent strips. Of these, 600 children (517 boys and 83 girls attending two local schools) aged 5-18 years with heavy haematuria were included in the study. Children with apparent malaise, with febrile illnesses, or who had received schistosomicidal drugs within six months were excluded from the trial.</v>
      </c>
      <c r="L137" s="697" t="str">
        <f>IFERROR(__xludf.DUMMYFUNCTION("""COMPUTED_VALUE"""),"Yes")</f>
        <v>Yes</v>
      </c>
      <c r="M137" s="697" t="str">
        <f>IFERROR(__xludf.DUMMYFUNCTION("""COMPUTED_VALUE"""),"Yes")</f>
        <v>Yes</v>
      </c>
      <c r="N137" s="697" t="str">
        <f>IFERROR(__xludf.DUMMYFUNCTION("""COMPUTED_VALUE"""),"cure rates: three months; egg reduction rate six months")</f>
        <v>cure rates: three months; egg reduction rate six months</v>
      </c>
      <c r="O137" s="700">
        <f>IFERROR(__xludf.DUMMYFUNCTION("""COMPUTED_VALUE"""),0.0)</f>
        <v>0</v>
      </c>
      <c r="P137" s="698">
        <f>IFERROR(__xludf.DUMMYFUNCTION("""COMPUTED_VALUE"""),0.222)</f>
        <v>0.222</v>
      </c>
      <c r="Q137" s="697" t="str">
        <f>IFERROR(__xludf.DUMMYFUNCTION("""COMPUTED_VALUE"""),"Though our findings show that praziquantel appears to be the most effective and convenient drug available for individuals with S haematobium infection, the combined regimen is a cheaper alternative for treatment where cost is important and parasitological"&amp;" cure not an essential objective.")</f>
        <v>Though our findings show that praziquantel appears to be the most effective and convenient drug available for individuals with S haematobium infection, the combined regimen is a cheaper alternative for treatment where cost is important and parasitological cure not an essential objective.</v>
      </c>
      <c r="R137" s="697"/>
      <c r="S137" s="699" t="str">
        <f>IFERROR(__xludf.DUMMYFUNCTION("""COMPUTED_VALUE"""),"Pugh, R. N., and C. H. Teesdale. ""Single dose oral treatment in urinary schistosomiasis: a double blind trial."" Br Med J (Clin Res Ed) 286.6363 (1983): 429-432.")</f>
        <v>Pugh, R. N., and C. H. Teesdale. "Single dose oral treatment in urinary schistosomiasis: a double blind trial." Br Med J (Clin Res Ed) 286.6363 (1983): 429-432.</v>
      </c>
      <c r="T137" s="697"/>
      <c r="U137" s="697" t="str">
        <f>IFERROR(__xludf.DUMMYFUNCTION("""COMPUTED_VALUE"""),"")</f>
        <v/>
      </c>
      <c r="V137" s="697">
        <f>IFERROR(__xludf.DUMMYFUNCTION("""COMPUTED_VALUE"""),137.0)</f>
        <v>137</v>
      </c>
    </row>
    <row r="138">
      <c r="A138" s="697" t="str">
        <f>IFERROR(__xludf.DUMMYFUNCTION("""COMPUTED_VALUE"""),"Pugh R N H 1982")</f>
        <v>Pugh R N H 1982</v>
      </c>
      <c r="B138" s="697" t="str">
        <f>IFERROR(__xludf.DUMMYFUNCTION("""COMPUTED_VALUE"""),"s. haematobium")</f>
        <v>s. haematobium</v>
      </c>
      <c r="C138" s="697" t="str">
        <f>IFERROR(__xludf.DUMMYFUNCTION("""COMPUTED_VALUE"""),"Malawi")</f>
        <v>Malawi</v>
      </c>
      <c r="D138" s="697" t="str">
        <f>IFERROR(__xludf.DUMMYFUNCTION("""COMPUTED_VALUE"""),"Placebo")</f>
        <v>Placebo</v>
      </c>
      <c r="E138" s="697"/>
      <c r="F138" s="697"/>
      <c r="G138" s="697">
        <f>IFERROR(__xludf.DUMMYFUNCTION("""COMPUTED_VALUE"""),52.0)</f>
        <v>52</v>
      </c>
      <c r="H138" s="697" t="str">
        <f>IFERROR(__xludf.DUMMYFUNCTION("""COMPUTED_VALUE"""),"5-18 years old")</f>
        <v>5-18 years old</v>
      </c>
      <c r="I138" s="705" t="str">
        <f>IFERROR(__xludf.DUMMYFUNCTION("""COMPUTED_VALUE"""),"517:83")</f>
        <v>517:83</v>
      </c>
      <c r="J138" s="697">
        <f>IFERROR(__xludf.DUMMYFUNCTION("""COMPUTED_VALUE"""),1982.0)</f>
        <v>1982</v>
      </c>
      <c r="K138" s="697" t="str">
        <f>IFERROR(__xludf.DUMMYFUNCTION("""COMPUTED_VALUE"""),"A total of 2516 children attending five primary schools in the area were screened for haematuria using Ecur-Test (Boehringer) reagent strips. Of these, 600 children (517 boys and 83 girls attending two local schools) aged 5-18 years with heavy haematuria "&amp;"were included in the study. Children with apparent malaise, with febrile illnesses, or who had received schistosomicidal drugs within six months were excluded from the trial.")</f>
        <v>A total of 2516 children attending five primary schools in the area were screened for haematuria using Ecur-Test (Boehringer) reagent strips. Of these, 600 children (517 boys and 83 girls attending two local schools) aged 5-18 years with heavy haematuria were included in the study. Children with apparent malaise, with febrile illnesses, or who had received schistosomicidal drugs within six months were excluded from the trial.</v>
      </c>
      <c r="L138" s="697" t="str">
        <f>IFERROR(__xludf.DUMMYFUNCTION("""COMPUTED_VALUE"""),"Yes")</f>
        <v>Yes</v>
      </c>
      <c r="M138" s="697" t="str">
        <f>IFERROR(__xludf.DUMMYFUNCTION("""COMPUTED_VALUE"""),"Yes")</f>
        <v>Yes</v>
      </c>
      <c r="N138" s="697" t="str">
        <f>IFERROR(__xludf.DUMMYFUNCTION("""COMPUTED_VALUE"""),"cure rates: three months; egg reduction rate six months")</f>
        <v>cure rates: three months; egg reduction rate six months</v>
      </c>
      <c r="O138" s="700">
        <f>IFERROR(__xludf.DUMMYFUNCTION("""COMPUTED_VALUE"""),0.0)</f>
        <v>0</v>
      </c>
      <c r="P138" s="698">
        <f>IFERROR(__xludf.DUMMYFUNCTION("""COMPUTED_VALUE"""),0.387)</f>
        <v>0.387</v>
      </c>
      <c r="Q138" s="697" t="str">
        <f>IFERROR(__xludf.DUMMYFUNCTION("""COMPUTED_VALUE"""),"Though our findings show that praziquantel appears to be the most effective and convenient drug available for individuals with S haematobium infection, the combined regimen is a cheaper alternative for treatment where cost is important and parasitological"&amp;" cure not an essential objective.")</f>
        <v>Though our findings show that praziquantel appears to be the most effective and convenient drug available for individuals with S haematobium infection, the combined regimen is a cheaper alternative for treatment where cost is important and parasitological cure not an essential objective.</v>
      </c>
      <c r="R138" s="697"/>
      <c r="S138" s="699" t="str">
        <f>IFERROR(__xludf.DUMMYFUNCTION("""COMPUTED_VALUE"""),"Pugh, R. N., and C. H. Teesdale. ""Single dose oral treatment in urinary schistosomiasis: a double blind trial."" Br Med J (Clin Res Ed) 286.6363 (1983): 429-432.")</f>
        <v>Pugh, R. N., and C. H. Teesdale. "Single dose oral treatment in urinary schistosomiasis: a double blind trial." Br Med J (Clin Res Ed) 286.6363 (1983): 429-432.</v>
      </c>
      <c r="T138" s="697"/>
      <c r="U138" s="697" t="str">
        <f>IFERROR(__xludf.DUMMYFUNCTION("""COMPUTED_VALUE"""),"")</f>
        <v/>
      </c>
      <c r="V138" s="697">
        <f>IFERROR(__xludf.DUMMYFUNCTION("""COMPUTED_VALUE"""),138.0)</f>
        <v>138</v>
      </c>
    </row>
    <row r="139">
      <c r="A139" s="697" t="str">
        <f>IFERROR(__xludf.DUMMYFUNCTION("""COMPUTED_VALUE"""),"Queiroz LC, 2010")</f>
        <v>Queiroz LC, 2010</v>
      </c>
      <c r="B139" s="697" t="str">
        <f>IFERROR(__xludf.DUMMYFUNCTION("""COMPUTED_VALUE"""),"s. mansoni")</f>
        <v>s. mansoni</v>
      </c>
      <c r="C139" s="697" t="str">
        <f>IFERROR(__xludf.DUMMYFUNCTION("""COMPUTED_VALUE"""),"Brazil")</f>
        <v>Brazil</v>
      </c>
      <c r="D139" s="697" t="str">
        <f>IFERROR(__xludf.DUMMYFUNCTION("""COMPUTED_VALUE"""),"Praziquantel")</f>
        <v>Praziquantel</v>
      </c>
      <c r="E139" s="697" t="str">
        <f>IFERROR(__xludf.DUMMYFUNCTION("""COMPUTED_VALUE"""),"Single")</f>
        <v>Single</v>
      </c>
      <c r="F139" s="697" t="str">
        <f>IFERROR(__xludf.DUMMYFUNCTION("""COMPUTED_VALUE"""),"50 mg/kg")</f>
        <v>50 mg/kg</v>
      </c>
      <c r="G139" s="697">
        <f>IFERROR(__xludf.DUMMYFUNCTION("""COMPUTED_VALUE"""),145.0)</f>
        <v>145</v>
      </c>
      <c r="H139" s="697" t="str">
        <f>IFERROR(__xludf.DUMMYFUNCTION("""COMPUTED_VALUE"""),"13 - 70 ")</f>
        <v>13 - 70 </v>
      </c>
      <c r="I139" s="705" t="str">
        <f>IFERROR(__xludf.DUMMYFUNCTION("""COMPUTED_VALUE"""),"87:58")</f>
        <v>87:58</v>
      </c>
      <c r="J139" s="697">
        <f>IFERROR(__xludf.DUMMYFUNCTION("""COMPUTED_VALUE"""),2010.0)</f>
        <v>2010</v>
      </c>
      <c r="K139" s="697" t="str">
        <f>IFERROR(__xludf.DUMMYFUNCTION("""COMPUTED_VALUE"""),"inhabitants aged ≥ 13 years from Chonin (a district of Governador Valadares) with a positive stool sample for S. mansoni infection")</f>
        <v>inhabitants aged ≥ 13 years from Chonin (a district of Governador Valadares) with a positive stool sample for S. mansoni infection</v>
      </c>
      <c r="L139" s="697" t="str">
        <f>IFERROR(__xludf.DUMMYFUNCTION("""COMPUTED_VALUE"""),"No")</f>
        <v>No</v>
      </c>
      <c r="M139" s="697" t="str">
        <f>IFERROR(__xludf.DUMMYFUNCTION("""COMPUTED_VALUE"""),"Yes")</f>
        <v>Yes</v>
      </c>
      <c r="N139" s="697" t="str">
        <f>IFERROR(__xludf.DUMMYFUNCTION("""COMPUTED_VALUE"""),"Follow-ups were given at one, three and six month after treatment.  Cure assessment was performed by repeating two stool examinations, by a quantitative method, at 30, 90 and 180 days after treatment")</f>
        <v>Follow-ups were given at one, three and six month after treatment.  Cure assessment was performed by repeating two stool examinations, by a quantitative method, at 30, 90 and 180 days after treatment</v>
      </c>
      <c r="O139" s="698">
        <f>IFERROR(__xludf.DUMMYFUNCTION("""COMPUTED_VALUE"""),0.839)</f>
        <v>0.839</v>
      </c>
      <c r="P139" s="697"/>
      <c r="Q139" s="697" t="str">
        <f>IFERROR(__xludf.DUMMYFUNCTION("""COMPUTED_VALUE"""),"In conclusion, there was no advantage in the use of praziquantel at a dosage of 80mg/kg body weight in regard to efficacy when compared to 50 mg/kg. In addition, it was disadvantageous in terms of adverse reactions.")</f>
        <v>In conclusion, there was no advantage in the use of praziquantel at a dosage of 80mg/kg body weight in regard to efficacy when compared to 50 mg/kg. In addition, it was disadvantageous in terms of adverse reactions.</v>
      </c>
      <c r="R139" s="697" t="str">
        <f>IFERROR(__xludf.DUMMYFUNCTION("""COMPUTED_VALUE"""),"Comparative randomised trial of high and conventional doses of praziquantel in the treatment of schistosomiasis mansoni")</f>
        <v>Comparative randomised trial of high and conventional doses of praziquantel in the treatment of schistosomiasis mansoni</v>
      </c>
      <c r="S139" s="699" t="str">
        <f>IFERROR(__xludf.DUMMYFUNCTION("""COMPUTED_VALUE"""),"Queiroz LC, Drummond SC, Matos ML, Paiva MB, Batista TS, Kansaon AZ, et al.Comparative randomised trial of high and conventional doses of praziquantel in the treatment of schistosomiasis mansoni. Memorias do Instituto Oswaldo Cruz 2010;105(4):445–8.")</f>
        <v>Queiroz LC, Drummond SC, Matos ML, Paiva MB, Batista TS, Kansaon AZ, et al.Comparative randomised trial of high and conventional doses of praziquantel in the treatment of schistosomiasis mansoni. Memorias do Instituto Oswaldo Cruz 2010;105(4):445–8.</v>
      </c>
      <c r="T139" s="697"/>
      <c r="U139" s="697" t="str">
        <f>IFERROR(__xludf.DUMMYFUNCTION("""COMPUTED_VALUE"""),"")</f>
        <v/>
      </c>
      <c r="V139" s="697">
        <f>IFERROR(__xludf.DUMMYFUNCTION("""COMPUTED_VALUE"""),139.0)</f>
        <v>139</v>
      </c>
    </row>
    <row r="140">
      <c r="A140" s="697" t="str">
        <f>IFERROR(__xludf.DUMMYFUNCTION("""COMPUTED_VALUE"""),"Queiroz LC, 2010")</f>
        <v>Queiroz LC, 2010</v>
      </c>
      <c r="B140" s="697" t="str">
        <f>IFERROR(__xludf.DUMMYFUNCTION("""COMPUTED_VALUE"""),"s. mansoni")</f>
        <v>s. mansoni</v>
      </c>
      <c r="C140" s="697" t="str">
        <f>IFERROR(__xludf.DUMMYFUNCTION("""COMPUTED_VALUE"""),"Brazil")</f>
        <v>Brazil</v>
      </c>
      <c r="D140" s="697" t="str">
        <f>IFERROR(__xludf.DUMMYFUNCTION("""COMPUTED_VALUE"""),"Praziquantel")</f>
        <v>Praziquantel</v>
      </c>
      <c r="E140" s="697" t="str">
        <f>IFERROR(__xludf.DUMMYFUNCTION("""COMPUTED_VALUE"""),"Single")</f>
        <v>Single</v>
      </c>
      <c r="F140" s="697" t="str">
        <f>IFERROR(__xludf.DUMMYFUNCTION("""COMPUTED_VALUE"""),"80 mg/kg")</f>
        <v>80 mg/kg</v>
      </c>
      <c r="G140" s="697">
        <f>IFERROR(__xludf.DUMMYFUNCTION("""COMPUTED_VALUE"""),145.0)</f>
        <v>145</v>
      </c>
      <c r="H140" s="697" t="str">
        <f>IFERROR(__xludf.DUMMYFUNCTION("""COMPUTED_VALUE"""),"13 - 70 ")</f>
        <v>13 - 70 </v>
      </c>
      <c r="I140" s="705" t="str">
        <f>IFERROR(__xludf.DUMMYFUNCTION("""COMPUTED_VALUE"""),"83:60")</f>
        <v>83:60</v>
      </c>
      <c r="J140" s="697">
        <f>IFERROR(__xludf.DUMMYFUNCTION("""COMPUTED_VALUE"""),2010.0)</f>
        <v>2010</v>
      </c>
      <c r="K140" s="697" t="str">
        <f>IFERROR(__xludf.DUMMYFUNCTION("""COMPUTED_VALUE"""),"inhabitants aged ≥ 13 years from Chonin (a district of Governador Valadares) with a positive stool sample for S. mansoni infection")</f>
        <v>inhabitants aged ≥ 13 years from Chonin (a district of Governador Valadares) with a positive stool sample for S. mansoni infection</v>
      </c>
      <c r="L140" s="697" t="str">
        <f>IFERROR(__xludf.DUMMYFUNCTION("""COMPUTED_VALUE"""),"No")</f>
        <v>No</v>
      </c>
      <c r="M140" s="697" t="str">
        <f>IFERROR(__xludf.DUMMYFUNCTION("""COMPUTED_VALUE"""),"Yes")</f>
        <v>Yes</v>
      </c>
      <c r="N140" s="697" t="str">
        <f>IFERROR(__xludf.DUMMYFUNCTION("""COMPUTED_VALUE"""),"Follow-ups were given at one, three and six month after treatment.  Cure assessment was performed by repeating two stool examinations, by a quantitative method, at 30, 90 and 180 days after treatment")</f>
        <v>Follow-ups were given at one, three and six month after treatment.  Cure assessment was performed by repeating two stool examinations, by a quantitative method, at 30, 90 and 180 days after treatment</v>
      </c>
      <c r="O140" s="698">
        <f>IFERROR(__xludf.DUMMYFUNCTION("""COMPUTED_VALUE"""),0.897)</f>
        <v>0.897</v>
      </c>
      <c r="P140" s="697"/>
      <c r="Q140" s="697" t="str">
        <f>IFERROR(__xludf.DUMMYFUNCTION("""COMPUTED_VALUE"""),"In conclusion, there was no advantage in the use of praziquantel at a dosage of 80mg/kg body weight in regard to efficacy when compared to 50 mg/kg. In addition, it was disadvantageous in terms of adverse reactions.")</f>
        <v>In conclusion, there was no advantage in the use of praziquantel at a dosage of 80mg/kg body weight in regard to efficacy when compared to 50 mg/kg. In addition, it was disadvantageous in terms of adverse reactions.</v>
      </c>
      <c r="R140" s="697" t="str">
        <f>IFERROR(__xludf.DUMMYFUNCTION("""COMPUTED_VALUE"""),"Comparative randomised trial of high and conventional doses of praziquantel in the treatment of schistosomiasis mansoni")</f>
        <v>Comparative randomised trial of high and conventional doses of praziquantel in the treatment of schistosomiasis mansoni</v>
      </c>
      <c r="S140" s="699" t="str">
        <f>IFERROR(__xludf.DUMMYFUNCTION("""COMPUTED_VALUE"""),"Queiroz LC, Drummond SC, Matos ML, Paiva MB, Batista TS, Kansaon AZ, et al.Comparative randomised trial of high and conventional doses of praziquantel in the treatment of schistosomiasis mansoni. Memorias do Instituto Oswaldo Cruz 2010;105(4):445–8.")</f>
        <v>Queiroz LC, Drummond SC, Matos ML, Paiva MB, Batista TS, Kansaon AZ, et al.Comparative randomised trial of high and conventional doses of praziquantel in the treatment of schistosomiasis mansoni. Memorias do Instituto Oswaldo Cruz 2010;105(4):445–8.</v>
      </c>
      <c r="T140" s="697"/>
      <c r="U140" s="697" t="str">
        <f>IFERROR(__xludf.DUMMYFUNCTION("""COMPUTED_VALUE"""),"")</f>
        <v/>
      </c>
      <c r="V140" s="697">
        <f>IFERROR(__xludf.DUMMYFUNCTION("""COMPUTED_VALUE"""),140.0)</f>
        <v>140</v>
      </c>
    </row>
    <row r="141">
      <c r="A141" s="697" t="str">
        <f>IFERROR(__xludf.DUMMYFUNCTION("""COMPUTED_VALUE"""),"Raso G, 2004")</f>
        <v>Raso G, 2004</v>
      </c>
      <c r="B141" s="697" t="str">
        <f>IFERROR(__xludf.DUMMYFUNCTION("""COMPUTED_VALUE"""),"s. mansoni")</f>
        <v>s. mansoni</v>
      </c>
      <c r="C141" s="697" t="str">
        <f>IFERROR(__xludf.DUMMYFUNCTION("""COMPUTED_VALUE"""),"Cote d'Ivoire")</f>
        <v>Cote d'Ivoire</v>
      </c>
      <c r="D141" s="697" t="str">
        <f>IFERROR(__xludf.DUMMYFUNCTION("""COMPUTED_VALUE"""),"Praziquantel")</f>
        <v>Praziquantel</v>
      </c>
      <c r="E141" s="697" t="str">
        <f>IFERROR(__xludf.DUMMYFUNCTION("""COMPUTED_VALUE"""),"Single")</f>
        <v>Single</v>
      </c>
      <c r="F141" s="697" t="str">
        <f>IFERROR(__xludf.DUMMYFUNCTION("""COMPUTED_VALUE"""),"40 mg/kg")</f>
        <v>40 mg/kg</v>
      </c>
      <c r="G141" s="697">
        <f>IFERROR(__xludf.DUMMYFUNCTION("""COMPUTED_VALUE"""),161.0)</f>
        <v>161</v>
      </c>
      <c r="H141" s="697" t="str">
        <f>IFERROR(__xludf.DUMMYFUNCTION("""COMPUTED_VALUE"""),"8-65 years")</f>
        <v>8-65 years</v>
      </c>
      <c r="I141" s="705" t="str">
        <f>IFERROR(__xludf.DUMMYFUNCTION("""COMPUTED_VALUE"""),"50:24")</f>
        <v>50:24</v>
      </c>
      <c r="J141" s="697">
        <f>IFERROR(__xludf.DUMMYFUNCTION("""COMPUTED_VALUE"""),2004.0)</f>
        <v>2004</v>
      </c>
      <c r="K141" s="697" t="str">
        <f>IFERROR(__xludf.DUMMYFUNCTION("""COMPUTED_VALUE"""),"children (10 to 15) adults (greater than 40) M/F: Children infected with S.mansoni")</f>
        <v>children (10 to 15) adults (greater than 40) M/F: Children infected with S.mansoni</v>
      </c>
      <c r="L141" s="697" t="str">
        <f>IFERROR(__xludf.DUMMYFUNCTION("""COMPUTED_VALUE"""),"No")</f>
        <v>No</v>
      </c>
      <c r="M141" s="697" t="str">
        <f>IFERROR(__xludf.DUMMYFUNCTION("""COMPUTED_VALUE"""),"Yes")</f>
        <v>Yes</v>
      </c>
      <c r="N141" s="697" t="str">
        <f>IFERROR(__xludf.DUMMYFUNCTION("""COMPUTED_VALUE"""),"Cure rate assessed at 6 weeks by 3 consecutive stool specimens for eggs")</f>
        <v>Cure rate assessed at 6 weeks by 3 consecutive stool specimens for eggs</v>
      </c>
      <c r="O141" s="698">
        <f>IFERROR(__xludf.DUMMYFUNCTION("""COMPUTED_VALUE"""),0.609)</f>
        <v>0.609</v>
      </c>
      <c r="P141" s="698">
        <f>IFERROR(__xludf.DUMMYFUNCTION("""COMPUTED_VALUE"""),0.614)</f>
        <v>0.614</v>
      </c>
      <c r="Q141" s="697" t="str">
        <f>IFERROR(__xludf.DUMMYFUNCTION("""COMPUTED_VALUE"""),"Our findings call for additional studies that rigorously evaluate the efficacy of prazi- quantel against different schistosome species in entire communities, using similarly sensitive diagnostic approaches as employed here.")</f>
        <v>Our findings call for additional studies that rigorously evaluate the efficacy of prazi- quantel against different schistosome species in entire communities, using similarly sensitive diagnostic approaches as employed here.</v>
      </c>
      <c r="R141" s="697" t="str">
        <f>IFERROR(__xludf.DUMMYFUNCTION("""COMPUTED_VALUE"""),"Efficacy and Side Effects of Praziquantel against Schistosoma Mansoni in a Community of Western Cˆote D’Ivoire.")</f>
        <v>Efficacy and Side Effects of Praziquantel against Schistosoma Mansoni in a Community of Western Cˆote D’Ivoire.</v>
      </c>
      <c r="S141" s="699" t="str">
        <f>IFERROR(__xludf.DUMMYFUNCTION("""COMPUTED_VALUE"""),"Raso G, N’Goran EK, Toty A, Luginbühl A, Adjoua CA, Tian-Bi NT, and Bogoch II. ""Efficacy and Side Effects of Praziquantel against Schistosoma Mansoni in a Community of Western Cˆote D’Ivoire."" Transactions of the Royal Society of Tropical Medicine and H"&amp;"ygiene 98 (2004): 18—27.")</f>
        <v>Raso G, N’Goran EK, Toty A, Luginbühl A, Adjoua CA, Tian-Bi NT, and Bogoch II. "Efficacy and Side Effects of Praziquantel against Schistosoma Mansoni in a Community of Western Cˆote D’Ivoire." Transactions of the Royal Society of Tropical Medicine and Hygiene 98 (2004): 18—27.</v>
      </c>
      <c r="T141" s="697"/>
      <c r="U141" s="697" t="str">
        <f>IFERROR(__xludf.DUMMYFUNCTION("""COMPUTED_VALUE"""),"")</f>
        <v/>
      </c>
      <c r="V141" s="697">
        <f>IFERROR(__xludf.DUMMYFUNCTION("""COMPUTED_VALUE"""),141.0)</f>
        <v>141</v>
      </c>
    </row>
    <row r="142">
      <c r="A142" s="697" t="str">
        <f>IFERROR(__xludf.DUMMYFUNCTION("""COMPUTED_VALUE"""),"Rezende GL, 1985")</f>
        <v>Rezende GL, 1985</v>
      </c>
      <c r="B142" s="697" t="str">
        <f>IFERROR(__xludf.DUMMYFUNCTION("""COMPUTED_VALUE"""),"s. mansoni")</f>
        <v>s. mansoni</v>
      </c>
      <c r="C142" s="697" t="str">
        <f>IFERROR(__xludf.DUMMYFUNCTION("""COMPUTED_VALUE"""),"Brazil")</f>
        <v>Brazil</v>
      </c>
      <c r="D142" s="697" t="str">
        <f>IFERROR(__xludf.DUMMYFUNCTION("""COMPUTED_VALUE"""),"Oxamniquine")</f>
        <v>Oxamniquine</v>
      </c>
      <c r="E142" s="697" t="str">
        <f>IFERROR(__xludf.DUMMYFUNCTION("""COMPUTED_VALUE"""),"Single")</f>
        <v>Single</v>
      </c>
      <c r="F142" s="697" t="str">
        <f>IFERROR(__xludf.DUMMYFUNCTION("""COMPUTED_VALUE"""),"16 mg/kg")</f>
        <v>16 mg/kg</v>
      </c>
      <c r="G142" s="697">
        <f>IFERROR(__xludf.DUMMYFUNCTION("""COMPUTED_VALUE"""),272.0)</f>
        <v>272</v>
      </c>
      <c r="H142" s="697" t="str">
        <f>IFERROR(__xludf.DUMMYFUNCTION("""COMPUTED_VALUE"""),"8-62years")</f>
        <v>8-62years</v>
      </c>
      <c r="I142" s="705" t="str">
        <f>IFERROR(__xludf.DUMMYFUNCTION("""COMPUTED_VALUE"""),"189:78")</f>
        <v>189:78</v>
      </c>
      <c r="J142" s="697">
        <f>IFERROR(__xludf.DUMMYFUNCTION("""COMPUTED_VALUE"""),1985.0)</f>
        <v>1985</v>
      </c>
      <c r="K142" s="697" t="str">
        <f>IFERROR(__xludf.DUMMYFUNCTION("""COMPUTED_VALUE"""),"utpatients of all ages free from previous antischistosomal treatment; whole population who received previous treatment of children and adults with S. mansoni infection")</f>
        <v>utpatients of all ages free from previous antischistosomal treatment; whole population who received previous treatment of children and adults with S. mansoni infection</v>
      </c>
      <c r="L142" s="697" t="str">
        <f>IFERROR(__xludf.DUMMYFUNCTION("""COMPUTED_VALUE"""),"Yes")</f>
        <v>Yes</v>
      </c>
      <c r="M142" s="697" t="str">
        <f>IFERROR(__xludf.DUMMYFUNCTION("""COMPUTED_VALUE"""),"Yes")</f>
        <v>Yes</v>
      </c>
      <c r="N142" s="697" t="str">
        <f>IFERROR(__xludf.DUMMYFUNCTION("""COMPUTED_VALUE"""),"diagnosis and the parasitological follow-up lasting for a minimum of six months, were based on stool examinations according to Kato/Katz technique. A patient was considered cured if all results were negative and if he had performed at least three post-tre"&amp;"atment controls, each one comprising three stool examinations.")</f>
        <v>diagnosis and the parasitological follow-up lasting for a minimum of six months, were based on stool examinations according to Kato/Katz technique. A patient was considered cured if all results were negative and if he had performed at least three post-treatment controls, each one comprising three stool examinations.</v>
      </c>
      <c r="O142" s="698">
        <f>IFERROR(__xludf.DUMMYFUNCTION("""COMPUTED_VALUE"""),0.698)</f>
        <v>0.698</v>
      </c>
      <c r="P142" s="698">
        <f>IFERROR(__xludf.DUMMYFUNCTION("""COMPUTED_VALUE"""),0.746)</f>
        <v>0.746</v>
      </c>
      <c r="Q142" s="697" t="str">
        <f>IFERROR(__xludf.DUMMYFUNCTION("""COMPUTED_VALUE"""),"in spite of their different chemical, pharmacological and toxicological profiles as well as mechanisms-of-action, inclusively praziquantel already had proved to be 100% active against S. mansoni strains resistant to oxamniquine, both drugs showed comparab"&amp;"le tolerance and therapeutical efficacy.")</f>
        <v>in spite of their different chemical, pharmacological and toxicological profiles as well as mechanisms-of-action, inclusively praziquantel already had proved to be 100% active against S. mansoni strains resistant to oxamniquine, both drugs showed comparable tolerance and therapeutical efficacy.</v>
      </c>
      <c r="R142" s="697"/>
      <c r="S142" s="699" t="str">
        <f>IFERROR(__xludf.DUMMYFUNCTION("""COMPUTED_VALUE"""),"Rezende GL de. Survey on the clinical results achieved in Brazil comparing praziquantel and oxamniquine in the treatment of S. mansoni schistosomiasis. Revista do Instituto de Medicina Tropical de São Paulo 1985;27(6):328–68.")</f>
        <v>Rezende GL de. Survey on the clinical results achieved in Brazil comparing praziquantel and oxamniquine in the treatment of S. mansoni schistosomiasis. Revista do Instituto de Medicina Tropical de São Paulo 1985;27(6):328–68.</v>
      </c>
      <c r="T142" s="697"/>
      <c r="U142" s="697" t="str">
        <f>IFERROR(__xludf.DUMMYFUNCTION("""COMPUTED_VALUE"""),"")</f>
        <v/>
      </c>
      <c r="V142" s="697">
        <f>IFERROR(__xludf.DUMMYFUNCTION("""COMPUTED_VALUE"""),142.0)</f>
        <v>142</v>
      </c>
    </row>
    <row r="143">
      <c r="A143" s="697" t="str">
        <f>IFERROR(__xludf.DUMMYFUNCTION("""COMPUTED_VALUE"""),"Rezende GL, 1985")</f>
        <v>Rezende GL, 1985</v>
      </c>
      <c r="B143" s="697" t="str">
        <f>IFERROR(__xludf.DUMMYFUNCTION("""COMPUTED_VALUE"""),"s. mansoni")</f>
        <v>s. mansoni</v>
      </c>
      <c r="C143" s="697" t="str">
        <f>IFERROR(__xludf.DUMMYFUNCTION("""COMPUTED_VALUE"""),"Brazil")</f>
        <v>Brazil</v>
      </c>
      <c r="D143" s="697" t="str">
        <f>IFERROR(__xludf.DUMMYFUNCTION("""COMPUTED_VALUE"""),"Praziquantel")</f>
        <v>Praziquantel</v>
      </c>
      <c r="E143" s="697" t="str">
        <f>IFERROR(__xludf.DUMMYFUNCTION("""COMPUTED_VALUE"""),"Single")</f>
        <v>Single</v>
      </c>
      <c r="F143" s="697" t="str">
        <f>IFERROR(__xludf.DUMMYFUNCTION("""COMPUTED_VALUE"""),"55 mg/kg")</f>
        <v>55 mg/kg</v>
      </c>
      <c r="G143" s="697">
        <f>IFERROR(__xludf.DUMMYFUNCTION("""COMPUTED_VALUE"""),267.0)</f>
        <v>267</v>
      </c>
      <c r="H143" s="697" t="str">
        <f>IFERROR(__xludf.DUMMYFUNCTION("""COMPUTED_VALUE"""),"8-65years")</f>
        <v>8-65years</v>
      </c>
      <c r="I143" s="705" t="str">
        <f>IFERROR(__xludf.DUMMYFUNCTION("""COMPUTED_VALUE"""),"188:84")</f>
        <v>188:84</v>
      </c>
      <c r="J143" s="697">
        <f>IFERROR(__xludf.DUMMYFUNCTION("""COMPUTED_VALUE"""),1985.0)</f>
        <v>1985</v>
      </c>
      <c r="K143" s="697" t="str">
        <f>IFERROR(__xludf.DUMMYFUNCTION("""COMPUTED_VALUE"""),"utpatients of all ages free from previous antischistosomal treatment; whole population who received previous treatment of children and adults with S. mansoni infection")</f>
        <v>utpatients of all ages free from previous antischistosomal treatment; whole population who received previous treatment of children and adults with S. mansoni infection</v>
      </c>
      <c r="L143" s="697" t="str">
        <f>IFERROR(__xludf.DUMMYFUNCTION("""COMPUTED_VALUE"""),"Yes")</f>
        <v>Yes</v>
      </c>
      <c r="M143" s="697" t="str">
        <f>IFERROR(__xludf.DUMMYFUNCTION("""COMPUTED_VALUE"""),"Yes")</f>
        <v>Yes</v>
      </c>
      <c r="N143" s="697" t="str">
        <f>IFERROR(__xludf.DUMMYFUNCTION("""COMPUTED_VALUE"""),"diagnosis and the parasitological follow-up lasting for a minimum of six months, were based on stool examinations according to Kato/Katz technique. A patient was considered cured if all results were negative and if he had performed at least three post-tre"&amp;"atment controls, each one comprising three stool examinations.")</f>
        <v>diagnosis and the parasitological follow-up lasting for a minimum of six months, were based on stool examinations according to Kato/Katz technique. A patient was considered cured if all results were negative and if he had performed at least three post-treatment controls, each one comprising three stool examinations.</v>
      </c>
      <c r="O143" s="698">
        <f>IFERROR(__xludf.DUMMYFUNCTION("""COMPUTED_VALUE"""),0.755)</f>
        <v>0.755</v>
      </c>
      <c r="P143" s="698">
        <f>IFERROR(__xludf.DUMMYFUNCTION("""COMPUTED_VALUE"""),0.886)</f>
        <v>0.886</v>
      </c>
      <c r="Q143" s="697" t="str">
        <f>IFERROR(__xludf.DUMMYFUNCTION("""COMPUTED_VALUE"""),"in spite of their different chemical, pharmacological and toxicological profiles as well as mechanisms-of-action, inclusively praziquantel already had proved to be 100% active against S. mansoni strains resistant to oxamniquine, both drugs showed comparab"&amp;"le tolerance and therapeutical efficacy.")</f>
        <v>in spite of their different chemical, pharmacological and toxicological profiles as well as mechanisms-of-action, inclusively praziquantel already had proved to be 100% active against S. mansoni strains resistant to oxamniquine, both drugs showed comparable tolerance and therapeutical efficacy.</v>
      </c>
      <c r="R143" s="697"/>
      <c r="S143" s="699" t="str">
        <f>IFERROR(__xludf.DUMMYFUNCTION("""COMPUTED_VALUE"""),"Rezende GL de. Survey on the clinical results achieved in Brazil comparing praziquantel and oxamniquine in the treatment of S. mansoni schistosomiasis. Revista do Instituto de Medicina Tropical de São Paulo 1985;27(6):328–68.")</f>
        <v>Rezende GL de. Survey on the clinical results achieved in Brazil comparing praziquantel and oxamniquine in the treatment of S. mansoni schistosomiasis. Revista do Instituto de Medicina Tropical de São Paulo 1985;27(6):328–68.</v>
      </c>
      <c r="T143" s="697"/>
      <c r="U143" s="697" t="str">
        <f>IFERROR(__xludf.DUMMYFUNCTION("""COMPUTED_VALUE"""),"")</f>
        <v/>
      </c>
      <c r="V143" s="697">
        <f>IFERROR(__xludf.DUMMYFUNCTION("""COMPUTED_VALUE"""),143.0)</f>
        <v>143</v>
      </c>
    </row>
    <row r="144">
      <c r="A144" s="697" t="str">
        <f>IFERROR(__xludf.DUMMYFUNCTION("""COMPUTED_VALUE"""),"Saathoff 2004")</f>
        <v>Saathoff 2004</v>
      </c>
      <c r="B144" s="697" t="str">
        <f>IFERROR(__xludf.DUMMYFUNCTION("""COMPUTED_VALUE"""),"s. haematobium")</f>
        <v>s. haematobium</v>
      </c>
      <c r="C144" s="697" t="str">
        <f>IFERROR(__xludf.DUMMYFUNCTION("""COMPUTED_VALUE"""),"South Africa")</f>
        <v>South Africa</v>
      </c>
      <c r="D144" s="697" t="str">
        <f>IFERROR(__xludf.DUMMYFUNCTION("""COMPUTED_VALUE"""),"Praziquantel")</f>
        <v>Praziquantel</v>
      </c>
      <c r="E144" s="697" t="str">
        <f>IFERROR(__xludf.DUMMYFUNCTION("""COMPUTED_VALUE"""),"Single")</f>
        <v>Single</v>
      </c>
      <c r="F144" s="697" t="str">
        <f>IFERROR(__xludf.DUMMYFUNCTION("""COMPUTED_VALUE"""),"40 mg/kg")</f>
        <v>40 mg/kg</v>
      </c>
      <c r="G144" s="697">
        <f>IFERROR(__xludf.DUMMYFUNCTION("""COMPUTED_VALUE"""),1109.0)</f>
        <v>1109</v>
      </c>
      <c r="H144" s="697" t="str">
        <f>IFERROR(__xludf.DUMMYFUNCTION("""COMPUTED_VALUE"""),"9.7-12.2 years old")</f>
        <v>9.7-12.2 years old</v>
      </c>
      <c r="I144" s="705" t="str">
        <f>IFERROR(__xludf.DUMMYFUNCTION("""COMPUTED_VALUE"""),"510/599")</f>
        <v>510/599</v>
      </c>
      <c r="J144" s="697">
        <f>IFERROR(__xludf.DUMMYFUNCTION("""COMPUTED_VALUE"""),1999.0)</f>
        <v>1999</v>
      </c>
      <c r="K144" s="697" t="str">
        <f>IFERROR(__xludf.DUMMYFUNCTION("""COMPUTED_VALUE"""),"limited to children who attended grade 3 at the start of the study in order to keep disturbances of the school routine to a minimum and because this grade should represent the infection situation in a primary school relatively well")</f>
        <v>limited to children who attended grade 3 at the start of the study in order to keep disturbances of the school routine to a minimum and because this grade should represent the infection situation in a primary school relatively well</v>
      </c>
      <c r="L144" s="697" t="str">
        <f>IFERROR(__xludf.DUMMYFUNCTION("""COMPUTED_VALUE"""),"Yes")</f>
        <v>Yes</v>
      </c>
      <c r="M144" s="697" t="str">
        <f>IFERROR(__xludf.DUMMYFUNCTION("""COMPUTED_VALUE"""),"Yes")</f>
        <v>Yes</v>
      </c>
      <c r="N144" s="697" t="str">
        <f>IFERROR(__xludf.DUMMYFUNCTION("""COMPUTED_VALUE"""),"3 weeks")</f>
        <v>3 weeks</v>
      </c>
      <c r="O144" s="698">
        <f>IFERROR(__xludf.DUMMYFUNCTION("""COMPUTED_VALUE"""),0.579)</f>
        <v>0.579</v>
      </c>
      <c r="P144" s="698">
        <f>IFERROR(__xludf.DUMMYFUNCTION("""COMPUTED_VALUE"""),0.953)</f>
        <v>0.953</v>
      </c>
      <c r="Q144" s="697" t="str">
        <f>IFERROR(__xludf.DUMMYFUNCTION("""COMPUTED_VALUE"""),"Our study shows that according to WHO guidelines [4] the high prevalence and intensity of S. haematobium infection in the area indeed necessitate regular treatment of schoolchildren, that praziquantel treatment is highly efficacious in reducing the propor"&amp;"tion of moderate and heavy infections and that one treatment per year after the end of summer is sufficient to keep infection intensities at low levels. Because levels of S. haematobium infection in the study area seem to be among the highest in the count"&amp;"ry [23] the latter would probably also apply to other parts of South Africa. The slow pace of re-infection might suggest that it could even be sufficient to only treat every two years, but this would need to be verified in a separate study that follows tr"&amp;"eated children over this period.")</f>
        <v>Our study shows that according to WHO guidelines [4] the high prevalence and intensity of S. haematobium infection in the area indeed necessitate regular treatment of schoolchildren, that praziquantel treatment is highly efficacious in reducing the proportion of moderate and heavy infections and that one treatment per year after the end of summer is sufficient to keep infection intensities at low levels. Because levels of S. haematobium infection in the study area seem to be among the highest in the country [23] the latter would probably also apply to other parts of South Africa. The slow pace of re-infection might suggest that it could even be sufficient to only treat every two years, but this would need to be verified in a separate study that follows treated children over this period.</v>
      </c>
      <c r="R144" s="697"/>
      <c r="S144" s="699" t="str">
        <f>IFERROR(__xludf.DUMMYFUNCTION("""COMPUTED_VALUE"""),"Saathoff, Elmar, et al. ""Patterns of Schistosoma haematobium infection, impact of praziquantel treatment and re-infection after treatment in a cohort of schoolchildren from rural KwaZulu-Natal/South Africa."" BMC infectious diseases 4.1 (2004): 1.")</f>
        <v>Saathoff, Elmar, et al. "Patterns of Schistosoma haematobium infection, impact of praziquantel treatment and re-infection after treatment in a cohort of schoolchildren from rural KwaZulu-Natal/South Africa." BMC infectious diseases 4.1 (2004): 1.</v>
      </c>
      <c r="T144" s="697"/>
      <c r="U144" s="697" t="str">
        <f>IFERROR(__xludf.DUMMYFUNCTION("""COMPUTED_VALUE"""),"")</f>
        <v/>
      </c>
      <c r="V144" s="697">
        <f>IFERROR(__xludf.DUMMYFUNCTION("""COMPUTED_VALUE"""),144.0)</f>
        <v>144</v>
      </c>
    </row>
    <row r="145">
      <c r="A145" s="697" t="str">
        <f>IFERROR(__xludf.DUMMYFUNCTION("""COMPUTED_VALUE"""),"Senghor B, 2015")</f>
        <v>Senghor B, 2015</v>
      </c>
      <c r="B145" s="697" t="str">
        <f>IFERROR(__xludf.DUMMYFUNCTION("""COMPUTED_VALUE"""),"s. haematobium")</f>
        <v>s. haematobium</v>
      </c>
      <c r="C145" s="697" t="str">
        <f>IFERROR(__xludf.DUMMYFUNCTION("""COMPUTED_VALUE"""),"Senegal")</f>
        <v>Senegal</v>
      </c>
      <c r="D145" s="697" t="str">
        <f>IFERROR(__xludf.DUMMYFUNCTION("""COMPUTED_VALUE"""),"Praziquantel")</f>
        <v>Praziquantel</v>
      </c>
      <c r="E145" s="697" t="str">
        <f>IFERROR(__xludf.DUMMYFUNCTION("""COMPUTED_VALUE"""),"Single")</f>
        <v>Single</v>
      </c>
      <c r="F145" s="697" t="str">
        <f>IFERROR(__xludf.DUMMYFUNCTION("""COMPUTED_VALUE"""),"40 mg/kg")</f>
        <v>40 mg/kg</v>
      </c>
      <c r="G145" s="697">
        <f>IFERROR(__xludf.DUMMYFUNCTION("""COMPUTED_VALUE"""),329.0)</f>
        <v>329</v>
      </c>
      <c r="H145" s="697" t="str">
        <f>IFERROR(__xludf.DUMMYFUNCTION("""COMPUTED_VALUE"""),"5 to 15")</f>
        <v>5 to 15</v>
      </c>
      <c r="I145" s="705" t="str">
        <f>IFERROR(__xludf.DUMMYFUNCTION("""COMPUTED_VALUE"""),"192 : 137")</f>
        <v>192 : 137</v>
      </c>
      <c r="J145" s="697">
        <f>IFERROR(__xludf.DUMMYFUNCTION("""COMPUTED_VALUE"""),2012.0)</f>
        <v>2012</v>
      </c>
      <c r="K145" s="697" t="str">
        <f>IFERROR(__xludf.DUMMYFUNCTION("""COMPUTED_VALUE"""),"residence in the studied villages during the rainy season, an age of between 5 and 15 years and consent to participate in the study")</f>
        <v>residence in the studied villages during the rainy season, an age of between 5 and 15 years and consent to participate in the study</v>
      </c>
      <c r="L145" s="697" t="str">
        <f>IFERROR(__xludf.DUMMYFUNCTION("""COMPUTED_VALUE"""),"No")</f>
        <v>No</v>
      </c>
      <c r="M145" s="697" t="str">
        <f>IFERROR(__xludf.DUMMYFUNCTION("""COMPUTED_VALUE"""),"No")</f>
        <v>No</v>
      </c>
      <c r="N145" s="697" t="str">
        <f>IFERROR(__xludf.DUMMYFUNCTION("""COMPUTED_VALUE"""),"follow up 5 weeks;2-3 months ")</f>
        <v>follow up 5 weeks;2-3 months </v>
      </c>
      <c r="O145" s="706">
        <f>IFERROR(__xludf.DUMMYFUNCTION("""COMPUTED_VALUE"""),0.937)</f>
        <v>0.937</v>
      </c>
      <c r="P145" s="706">
        <f>IFERROR(__xludf.DUMMYFUNCTION("""COMPUTED_VALUE"""),0.878)</f>
        <v>0.878</v>
      </c>
      <c r="Q145" s="697" t="str">
        <f>IFERROR(__xludf.DUMMYFUNCTION("""COMPUTED_VALUE"""),"A single dose of 40 mg/kg of PZQ has a significant impact on the prevalence and the intensity of infection")</f>
        <v>A single dose of 40 mg/kg of PZQ has a significant impact on the prevalence and the intensity of infection</v>
      </c>
      <c r="R145" s="697"/>
      <c r="S145" s="699" t="str">
        <f>IFERROR(__xludf.DUMMYFUNCTION("""COMPUTED_VALUE"""),"Senghor, B., Diaw, O. T., Doucoure, S., Sylla, S. N., Seye, M., Talla, I., … Sokhna, C. (2015). Efficacy of praziquantel against urinary schistosomiasis and reinfection in Senegalese school children where there is a single well-defined transmission period"&amp;". Parasites &amp; Vectors, 8, 362. http://doi.org/10.1186/s13071-015-0980-5")</f>
        <v>Senghor, B., Diaw, O. T., Doucoure, S., Sylla, S. N., Seye, M., Talla, I., … Sokhna, C. (2015). Efficacy of praziquantel against urinary schistosomiasis and reinfection in Senegalese school children where there is a single well-defined transmission period. Parasites &amp; Vectors, 8, 362. http://doi.org/10.1186/s13071-015-0980-5</v>
      </c>
      <c r="T145" s="697"/>
      <c r="U145" s="697" t="str">
        <f>IFERROR(__xludf.DUMMYFUNCTION("""COMPUTED_VALUE"""),"x")</f>
        <v>x</v>
      </c>
      <c r="V145" s="697">
        <f>IFERROR(__xludf.DUMMYFUNCTION("""COMPUTED_VALUE"""),145.0)</f>
        <v>145</v>
      </c>
    </row>
    <row r="146">
      <c r="A146" s="697" t="str">
        <f>IFERROR(__xludf.DUMMYFUNCTION("""COMPUTED_VALUE"""),"Shafei AZ, 1979")</f>
        <v>Shafei AZ, 1979</v>
      </c>
      <c r="B146" s="697" t="str">
        <f>IFERROR(__xludf.DUMMYFUNCTION("""COMPUTED_VALUE"""),"s. mansoni")</f>
        <v>s. mansoni</v>
      </c>
      <c r="C146" s="697" t="str">
        <f>IFERROR(__xludf.DUMMYFUNCTION("""COMPUTED_VALUE"""),"Nigeria")</f>
        <v>Nigeria</v>
      </c>
      <c r="D146" s="697" t="str">
        <f>IFERROR(__xludf.DUMMYFUNCTION("""COMPUTED_VALUE"""),"Oxamniquine")</f>
        <v>Oxamniquine</v>
      </c>
      <c r="E146" s="697" t="str">
        <f>IFERROR(__xludf.DUMMYFUNCTION("""COMPUTED_VALUE"""),"Two")</f>
        <v>Two</v>
      </c>
      <c r="F146" s="697" t="str">
        <f>IFERROR(__xludf.DUMMYFUNCTION("""COMPUTED_VALUE"""),"15 mg/kg")</f>
        <v>15 mg/kg</v>
      </c>
      <c r="G146" s="697">
        <f>IFERROR(__xludf.DUMMYFUNCTION("""COMPUTED_VALUE"""),20.0)</f>
        <v>20</v>
      </c>
      <c r="H146" s="697" t="str">
        <f>IFERROR(__xludf.DUMMYFUNCTION("""COMPUTED_VALUE"""),"18 - 47")</f>
        <v>18 - 47</v>
      </c>
      <c r="I146" s="705" t="str">
        <f>IFERROR(__xludf.DUMMYFUNCTION("""COMPUTED_VALUE"""),"26 : 19")</f>
        <v>26 : 19</v>
      </c>
      <c r="J146" s="697">
        <f>IFERROR(__xludf.DUMMYFUNCTION("""COMPUTED_VALUE"""),1979.0)</f>
        <v>1979</v>
      </c>
      <c r="K146" s="697" t="str">
        <f>IFERROR(__xludf.DUMMYFUNCTION("""COMPUTED_VALUE"""),"individuals with S. mansoni infection detected in stool by the McMaster technique")</f>
        <v>individuals with S. mansoni infection detected in stool by the McMaster technique</v>
      </c>
      <c r="L146" s="697" t="str">
        <f>IFERROR(__xludf.DUMMYFUNCTION("""COMPUTED_VALUE"""),"No")</f>
        <v>No</v>
      </c>
      <c r="M146" s="697" t="str">
        <f>IFERROR(__xludf.DUMMYFUNCTION("""COMPUTED_VALUE"""),"No")</f>
        <v>No</v>
      </c>
      <c r="N146" s="697" t="str">
        <f>IFERROR(__xludf.DUMMYFUNCTION("""COMPUTED_VALUE"""),"follow up: 2 months")</f>
        <v>follow up: 2 months</v>
      </c>
      <c r="O146" s="700">
        <f>IFERROR(__xludf.DUMMYFUNCTION("""COMPUTED_VALUE"""),0.95)</f>
        <v>0.95</v>
      </c>
      <c r="P146" s="700">
        <f>IFERROR(__xludf.DUMMYFUNCTION("""COMPUTED_VALUE"""),1.0)</f>
        <v>1</v>
      </c>
      <c r="Q146" s="697" t="str">
        <f>IFERROR(__xludf.DUMMYFUNCTION("""COMPUTED_VALUE"""),"Oxaminiquine proved to be an effective drug for the treatment of s.mansoni in adults ")</f>
        <v>Oxaminiquine proved to be an effective drug for the treatment of s.mansoni in adults </v>
      </c>
      <c r="R146" s="697"/>
      <c r="S146" s="699" t="str">
        <f>IFERROR(__xludf.DUMMYFUNCTION("""COMPUTED_VALUE"""),"Shafei AZ. A preliminary report on the treatment of intestinal schistosomiasis with oxamniquine. Journal of Tropical Medicine and Hygiene 1979;82(1):18–20.")</f>
        <v>Shafei AZ. A preliminary report on the treatment of intestinal schistosomiasis with oxamniquine. Journal of Tropical Medicine and Hygiene 1979;82(1):18–20.</v>
      </c>
      <c r="T146" s="697"/>
      <c r="U146" s="697" t="str">
        <f>IFERROR(__xludf.DUMMYFUNCTION("""COMPUTED_VALUE"""),"x")</f>
        <v>x</v>
      </c>
      <c r="V146" s="697">
        <f>IFERROR(__xludf.DUMMYFUNCTION("""COMPUTED_VALUE"""),146.0)</f>
        <v>146</v>
      </c>
    </row>
    <row r="147">
      <c r="A147" s="697" t="str">
        <f>IFERROR(__xludf.DUMMYFUNCTION("""COMPUTED_VALUE"""),"Shafei AZ, 1979")</f>
        <v>Shafei AZ, 1979</v>
      </c>
      <c r="B147" s="697" t="str">
        <f>IFERROR(__xludf.DUMMYFUNCTION("""COMPUTED_VALUE"""),"s. mansoni")</f>
        <v>s. mansoni</v>
      </c>
      <c r="C147" s="697" t="str">
        <f>IFERROR(__xludf.DUMMYFUNCTION("""COMPUTED_VALUE"""),"Nigeria")</f>
        <v>Nigeria</v>
      </c>
      <c r="D147" s="697" t="str">
        <f>IFERROR(__xludf.DUMMYFUNCTION("""COMPUTED_VALUE"""),"Oxamniquine")</f>
        <v>Oxamniquine</v>
      </c>
      <c r="E147" s="697" t="str">
        <f>IFERROR(__xludf.DUMMYFUNCTION("""COMPUTED_VALUE"""),"Single")</f>
        <v>Single</v>
      </c>
      <c r="F147" s="697" t="str">
        <f>IFERROR(__xludf.DUMMYFUNCTION("""COMPUTED_VALUE"""),"15 mg/kg")</f>
        <v>15 mg/kg</v>
      </c>
      <c r="G147" s="697">
        <f>IFERROR(__xludf.DUMMYFUNCTION("""COMPUTED_VALUE"""),16.0)</f>
        <v>16</v>
      </c>
      <c r="H147" s="697" t="str">
        <f>IFERROR(__xludf.DUMMYFUNCTION("""COMPUTED_VALUE"""),"18 - 47")</f>
        <v>18 - 47</v>
      </c>
      <c r="I147" s="705" t="str">
        <f>IFERROR(__xludf.DUMMYFUNCTION("""COMPUTED_VALUE"""),"26 : 19")</f>
        <v>26 : 19</v>
      </c>
      <c r="J147" s="697">
        <f>IFERROR(__xludf.DUMMYFUNCTION("""COMPUTED_VALUE"""),1979.0)</f>
        <v>1979</v>
      </c>
      <c r="K147" s="697" t="str">
        <f>IFERROR(__xludf.DUMMYFUNCTION("""COMPUTED_VALUE"""),"individuals with S. mansoni infection detected in stool by the McMaster technique")</f>
        <v>individuals with S. mansoni infection detected in stool by the McMaster technique</v>
      </c>
      <c r="L147" s="697" t="str">
        <f>IFERROR(__xludf.DUMMYFUNCTION("""COMPUTED_VALUE"""),"No")</f>
        <v>No</v>
      </c>
      <c r="M147" s="697" t="str">
        <f>IFERROR(__xludf.DUMMYFUNCTION("""COMPUTED_VALUE"""),"No")</f>
        <v>No</v>
      </c>
      <c r="N147" s="697" t="str">
        <f>IFERROR(__xludf.DUMMYFUNCTION("""COMPUTED_VALUE"""),"follow up: 2 months")</f>
        <v>follow up: 2 months</v>
      </c>
      <c r="O147" s="698">
        <f>IFERROR(__xludf.DUMMYFUNCTION("""COMPUTED_VALUE"""),0.875)</f>
        <v>0.875</v>
      </c>
      <c r="P147" s="698">
        <f>IFERROR(__xludf.DUMMYFUNCTION("""COMPUTED_VALUE"""),0.937)</f>
        <v>0.937</v>
      </c>
      <c r="Q147" s="697" t="str">
        <f>IFERROR(__xludf.DUMMYFUNCTION("""COMPUTED_VALUE"""),"Oxaminiquine proved to be an effective drug for the treatment of s.mansoni in adults ")</f>
        <v>Oxaminiquine proved to be an effective drug for the treatment of s.mansoni in adults </v>
      </c>
      <c r="R147" s="697"/>
      <c r="S147" s="699" t="str">
        <f>IFERROR(__xludf.DUMMYFUNCTION("""COMPUTED_VALUE"""),"Shafei AZ. A preliminary report on the treatment of intestinal schistosomiasis with oxamniquine. Journal of Tropical Medicine and Hygiene 1979;82(1):18–20.")</f>
        <v>Shafei AZ. A preliminary report on the treatment of intestinal schistosomiasis with oxamniquine. Journal of Tropical Medicine and Hygiene 1979;82(1):18–20.</v>
      </c>
      <c r="T147" s="697"/>
      <c r="U147" s="697" t="str">
        <f>IFERROR(__xludf.DUMMYFUNCTION("""COMPUTED_VALUE"""),"x")</f>
        <v>x</v>
      </c>
      <c r="V147" s="697">
        <f>IFERROR(__xludf.DUMMYFUNCTION("""COMPUTED_VALUE"""),147.0)</f>
        <v>147</v>
      </c>
    </row>
    <row r="148">
      <c r="A148" s="697" t="str">
        <f>IFERROR(__xludf.DUMMYFUNCTION("""COMPUTED_VALUE"""),"Silva 1986")</f>
        <v>Silva 1986</v>
      </c>
      <c r="B148" s="697" t="str">
        <f>IFERROR(__xludf.DUMMYFUNCTION("""COMPUTED_VALUE"""),"s. mansoni")</f>
        <v>s. mansoni</v>
      </c>
      <c r="C148" s="697" t="str">
        <f>IFERROR(__xludf.DUMMYFUNCTION("""COMPUTED_VALUE"""),"Brazil")</f>
        <v>Brazil</v>
      </c>
      <c r="D148" s="697" t="str">
        <f>IFERROR(__xludf.DUMMYFUNCTION("""COMPUTED_VALUE"""),"Praziquantel")</f>
        <v>Praziquantel</v>
      </c>
      <c r="E148" s="697" t="str">
        <f>IFERROR(__xludf.DUMMYFUNCTION("""COMPUTED_VALUE"""),"Single")</f>
        <v>Single</v>
      </c>
      <c r="F148" s="697" t="str">
        <f>IFERROR(__xludf.DUMMYFUNCTION("""COMPUTED_VALUE"""),"55 mg/kg")</f>
        <v>55 mg/kg</v>
      </c>
      <c r="G148" s="697">
        <f>IFERROR(__xludf.DUMMYFUNCTION("""COMPUTED_VALUE"""),60.0)</f>
        <v>60</v>
      </c>
      <c r="H148" s="697" t="str">
        <f>IFERROR(__xludf.DUMMYFUNCTION("""COMPUTED_VALUE"""),"older than 14 years")</f>
        <v>older than 14 years</v>
      </c>
      <c r="I148" s="705" t="str">
        <f>IFERROR(__xludf.DUMMYFUNCTION("""COMPUTED_VALUE"""),"(30):(30)")</f>
        <v>(30):(30)</v>
      </c>
      <c r="J148" s="697">
        <f>IFERROR(__xludf.DUMMYFUNCTION("""COMPUTED_VALUE"""),1986.0)</f>
        <v>1986</v>
      </c>
      <c r="K148" s="697" t="str">
        <f>IFERROR(__xludf.DUMMYFUNCTION("""COMPUTED_VALUE"""),"patients with chronic intestinal or hepato-intestinal forms of schistosomiasis were included in the trial.")</f>
        <v>patients with chronic intestinal or hepato-intestinal forms of schistosomiasis were included in the trial.</v>
      </c>
      <c r="L148" s="697" t="str">
        <f>IFERROR(__xludf.DUMMYFUNCTION("""COMPUTED_VALUE"""),"Yes")</f>
        <v>Yes</v>
      </c>
      <c r="M148" s="697" t="str">
        <f>IFERROR(__xludf.DUMMYFUNCTION("""COMPUTED_VALUE"""),"Yes")</f>
        <v>Yes</v>
      </c>
      <c r="N148" s="697" t="str">
        <f>IFERROR(__xludf.DUMMYFUNCTION("""COMPUTED_VALUE"""),"6 months after")</f>
        <v>6 months after</v>
      </c>
      <c r="O148" s="706">
        <f>IFERROR(__xludf.DUMMYFUNCTION("""COMPUTED_VALUE"""),0.792)</f>
        <v>0.792</v>
      </c>
      <c r="P148" s="706">
        <f>IFERROR(__xludf.DUMMYFUNCTION("""COMPUTED_VALUE"""),0.935)</f>
        <v>0.935</v>
      </c>
      <c r="Q148" s="697" t="str">
        <f>IFERROR(__xludf.DUMMYFUNCTION("""COMPUTED_VALUE"""),"Parasitological negativation occurred in 38 out of 48 patients (795%) under praziquantel administration and in 39 out of 46 (84.8% &gt; under oxamniquine. Other investigators also have reported no significant difference between the efficacy of both drugs 3-1"&amp;"3AZI. However, some •of them referred a lower3 whereas others a higher1 3 cure-rate. For children, higher doses of praziquantel, 70 mg/kg, as well as of oxamniquine, 20 mg/kg, are necessary for achieving a cure-rate of about 70% 1 2 A")</f>
        <v>Parasitological negativation occurred in 38 out of 48 patients (795%) under praziquantel administration and in 39 out of 46 (84.8% &gt; under oxamniquine. Other investigators also have reported no significant difference between the efficacy of both drugs 3-13AZI. However, some •of them referred a lower3 whereas others a higher1 3 cure-rate. For children, higher doses of praziquantel, 70 mg/kg, as well as of oxamniquine, 20 mg/kg, are necessary for achieving a cure-rate of about 70% 1 2 A</v>
      </c>
      <c r="R148" s="697"/>
      <c r="S148" s="699" t="str">
        <f>IFERROR(__xludf.DUMMYFUNCTION("""COMPUTED_VALUE"""),"da Silva LC, Zeitune JM, Rosa-Eid LM, Lima DM, Antonelli RH, Christo CH, Saez-Alquezar A, Carboni Ade C. Treatment of patients with schistosomiasis mansoni: a double blind clinical trial comparing praziquantel with oxamniquine. Rev Inst Med Trop Sao Paulo"&amp;". 1986 May-Jun;28(3):174-80.")</f>
        <v>da Silva LC, Zeitune JM, Rosa-Eid LM, Lima DM, Antonelli RH, Christo CH, Saez-Alquezar A, Carboni Ade C. Treatment of patients with schistosomiasis mansoni: a double blind clinical trial comparing praziquantel with oxamniquine. Rev Inst Med Trop Sao Paulo. 1986 May-Jun;28(3):174-80.</v>
      </c>
      <c r="T148" s="697"/>
      <c r="U148" s="697" t="str">
        <f>IFERROR(__xludf.DUMMYFUNCTION("""COMPUTED_VALUE"""),"")</f>
        <v/>
      </c>
      <c r="V148" s="697">
        <f>IFERROR(__xludf.DUMMYFUNCTION("""COMPUTED_VALUE"""),148.0)</f>
        <v>148</v>
      </c>
    </row>
    <row r="149">
      <c r="A149" s="697" t="str">
        <f>IFERROR(__xludf.DUMMYFUNCTION("""COMPUTED_VALUE"""),"Silva 1986")</f>
        <v>Silva 1986</v>
      </c>
      <c r="B149" s="697" t="str">
        <f>IFERROR(__xludf.DUMMYFUNCTION("""COMPUTED_VALUE"""),"s. mansoni")</f>
        <v>s. mansoni</v>
      </c>
      <c r="C149" s="697" t="str">
        <f>IFERROR(__xludf.DUMMYFUNCTION("""COMPUTED_VALUE"""),"Brazil")</f>
        <v>Brazil</v>
      </c>
      <c r="D149" s="697" t="str">
        <f>IFERROR(__xludf.DUMMYFUNCTION("""COMPUTED_VALUE"""),"Oxamniquine")</f>
        <v>Oxamniquine</v>
      </c>
      <c r="E149" s="697" t="str">
        <f>IFERROR(__xludf.DUMMYFUNCTION("""COMPUTED_VALUE"""),"Single")</f>
        <v>Single</v>
      </c>
      <c r="F149" s="697" t="str">
        <f>IFERROR(__xludf.DUMMYFUNCTION("""COMPUTED_VALUE"""),"15 mg/kg ")</f>
        <v>15 mg/kg </v>
      </c>
      <c r="G149" s="697">
        <f>IFERROR(__xludf.DUMMYFUNCTION("""COMPUTED_VALUE"""),59.0)</f>
        <v>59</v>
      </c>
      <c r="H149" s="697" t="str">
        <f>IFERROR(__xludf.DUMMYFUNCTION("""COMPUTED_VALUE"""),"older than 14 years")</f>
        <v>older than 14 years</v>
      </c>
      <c r="I149" s="705" t="str">
        <f>IFERROR(__xludf.DUMMYFUNCTION("""COMPUTED_VALUE"""),"(27):(33)")</f>
        <v>(27):(33)</v>
      </c>
      <c r="J149" s="697">
        <f>IFERROR(__xludf.DUMMYFUNCTION("""COMPUTED_VALUE"""),1986.0)</f>
        <v>1986</v>
      </c>
      <c r="K149" s="697" t="str">
        <f>IFERROR(__xludf.DUMMYFUNCTION("""COMPUTED_VALUE"""),"patients with chronic intestinal or hepato-intestinal forms of schistosomiasis were included in the trial.")</f>
        <v>patients with chronic intestinal or hepato-intestinal forms of schistosomiasis were included in the trial.</v>
      </c>
      <c r="L149" s="697" t="str">
        <f>IFERROR(__xludf.DUMMYFUNCTION("""COMPUTED_VALUE"""),"Yes")</f>
        <v>Yes</v>
      </c>
      <c r="M149" s="697" t="str">
        <f>IFERROR(__xludf.DUMMYFUNCTION("""COMPUTED_VALUE"""),"Yes")</f>
        <v>Yes</v>
      </c>
      <c r="N149" s="697" t="str">
        <f>IFERROR(__xludf.DUMMYFUNCTION("""COMPUTED_VALUE"""),"6 months after")</f>
        <v>6 months after</v>
      </c>
      <c r="O149" s="698">
        <f>IFERROR(__xludf.DUMMYFUNCTION("""COMPUTED_VALUE"""),0.848)</f>
        <v>0.848</v>
      </c>
      <c r="P149" s="698">
        <f>IFERROR(__xludf.DUMMYFUNCTION("""COMPUTED_VALUE"""),0.841)</f>
        <v>0.841</v>
      </c>
      <c r="Q149" s="697" t="str">
        <f>IFERROR(__xludf.DUMMYFUNCTION("""COMPUTED_VALUE"""),"Parasitological negativation occurred in 38 out of 48 patients (795%) under praziquantel administration and in 39 out of 46 (84.8% &gt; under oxamniquine. Other investigators also have reported no significant difference between the efficacy of both drugs 3-1"&amp;"3AZI. However, some •of them referred a lower3 whereas others a higher1 3 cure-rate. For children, higher doses of praziquantel, 70 mg/kg, as well as of oxamniquine, 20 mg/kg, are necessary for achieving a cure-rate of about 70% 1 2 A")</f>
        <v>Parasitological negativation occurred in 38 out of 48 patients (795%) under praziquantel administration and in 39 out of 46 (84.8% &gt; under oxamniquine. Other investigators also have reported no significant difference between the efficacy of both drugs 3-13AZI. However, some •of them referred a lower3 whereas others a higher1 3 cure-rate. For children, higher doses of praziquantel, 70 mg/kg, as well as of oxamniquine, 20 mg/kg, are necessary for achieving a cure-rate of about 70% 1 2 A</v>
      </c>
      <c r="R149" s="697"/>
      <c r="S149" s="699" t="str">
        <f>IFERROR(__xludf.DUMMYFUNCTION("""COMPUTED_VALUE"""),"da Silva LC, Zeitune JM, Rosa-Eid LM, Lima DM, Antonelli RH, Christo CH, Saez-Alquezar A, Carboni Ade C. Treatment of patients with schistosomiasis mansoni: a double blind clinical trial comparing praziquantel with oxamniquine. Rev Inst Med Trop Sao Paulo"&amp;". 1986 May-Jun;28(3):174-80.")</f>
        <v>da Silva LC, Zeitune JM, Rosa-Eid LM, Lima DM, Antonelli RH, Christo CH, Saez-Alquezar A, Carboni Ade C. Treatment of patients with schistosomiasis mansoni: a double blind clinical trial comparing praziquantel with oxamniquine. Rev Inst Med Trop Sao Paulo. 1986 May-Jun;28(3):174-80.</v>
      </c>
      <c r="T149" s="697"/>
      <c r="U149" s="697" t="str">
        <f>IFERROR(__xludf.DUMMYFUNCTION("""COMPUTED_VALUE"""),"")</f>
        <v/>
      </c>
      <c r="V149" s="697">
        <f>IFERROR(__xludf.DUMMYFUNCTION("""COMPUTED_VALUE"""),149.0)</f>
        <v>149</v>
      </c>
    </row>
    <row r="150">
      <c r="A150" s="697" t="str">
        <f>IFERROR(__xludf.DUMMYFUNCTION("""COMPUTED_VALUE"""),"Sousa-Figueiredo JC, 2010")</f>
        <v>Sousa-Figueiredo JC, 2010</v>
      </c>
      <c r="B150" s="697" t="str">
        <f>IFERROR(__xludf.DUMMYFUNCTION("""COMPUTED_VALUE"""),"s. mansoni")</f>
        <v>s. mansoni</v>
      </c>
      <c r="C150" s="697" t="str">
        <f>IFERROR(__xludf.DUMMYFUNCTION("""COMPUTED_VALUE"""),"Uganda")</f>
        <v>Uganda</v>
      </c>
      <c r="D150" s="697" t="str">
        <f>IFERROR(__xludf.DUMMYFUNCTION("""COMPUTED_VALUE"""),"Praziquantel")</f>
        <v>Praziquantel</v>
      </c>
      <c r="E150" s="697" t="str">
        <f>IFERROR(__xludf.DUMMYFUNCTION("""COMPUTED_VALUE"""),"Single")</f>
        <v>Single</v>
      </c>
      <c r="F150" s="697" t="str">
        <f>IFERROR(__xludf.DUMMYFUNCTION("""COMPUTED_VALUE"""),"40 mg/kg")</f>
        <v>40 mg/kg</v>
      </c>
      <c r="G150" s="697">
        <f>IFERROR(__xludf.DUMMYFUNCTION("""COMPUTED_VALUE"""),363.0)</f>
        <v>363</v>
      </c>
      <c r="H150" s="697" t="str">
        <f>IFERROR(__xludf.DUMMYFUNCTION("""COMPUTED_VALUE"""),"&lt;5 years old")</f>
        <v>&lt;5 years old</v>
      </c>
      <c r="I150" s="705" t="str">
        <f>IFERROR(__xludf.DUMMYFUNCTION("""COMPUTED_VALUE"""),"11:64")</f>
        <v>11:64</v>
      </c>
      <c r="J150" s="697">
        <f>IFERROR(__xludf.DUMMYFUNCTION("""COMPUTED_VALUE"""),2010.0)</f>
        <v>2010</v>
      </c>
      <c r="K150" s="697" t="str">
        <f>IFERROR(__xludf.DUMMYFUNCTION("""COMPUTED_VALUE"""),"preschool-children (&lt;/=5 years old) children diagnosis of intestinal schistosomiasis of S. mansoni")</f>
        <v>preschool-children (&lt;/=5 years old) children diagnosis of intestinal schistosomiasis of S. mansoni</v>
      </c>
      <c r="L150" s="697" t="str">
        <f>IFERROR(__xludf.DUMMYFUNCTION("""COMPUTED_VALUE"""),"No")</f>
        <v>No</v>
      </c>
      <c r="M150" s="697" t="str">
        <f>IFERROR(__xludf.DUMMYFUNCTION("""COMPUTED_VALUE"""),"No")</f>
        <v>No</v>
      </c>
      <c r="N150" s="697" t="str">
        <f>IFERROR(__xludf.DUMMYFUNCTION("""COMPUTED_VALUE"""),"21-day follow-up, where the parasitological cure rate was found")</f>
        <v>21-day follow-up, where the parasitological cure rate was found</v>
      </c>
      <c r="O150" s="700">
        <f>IFERROR(__xludf.DUMMYFUNCTION("""COMPUTED_VALUE"""),1.0)</f>
        <v>1</v>
      </c>
      <c r="P150" s="697"/>
      <c r="Q150" s="697" t="str">
        <f>IFERROR(__xludf.DUMMYFUNCTION("""COMPUTED_VALUE"""),"To conclude, preschool children in lakeshore communities of Uganda are at significant risk of intestinal schistosomiasis; we now strongly advocate for their immediate inclusion within the national control programme to eliminate this health inequity.")</f>
        <v>To conclude, preschool children in lakeshore communities of Uganda are at significant risk of intestinal schistosomiasis; we now strongly advocate for their immediate inclusion within the national control programme to eliminate this health inequity.</v>
      </c>
      <c r="R150" s="697" t="str">
        <f>IFERROR(__xludf.DUMMYFUNCTION("""COMPUTED_VALUE"""),"Treatment of intestinal schistosomiasis in Ugandan preschool children: best diagnosis, treatment efficacy and side-effects, and an extended praziquantel dosing pole")</f>
        <v>Treatment of intestinal schistosomiasis in Ugandan preschool children: best diagnosis, treatment efficacy and side-effects, and an extended praziquantel dosing pole</v>
      </c>
      <c r="S150" s="699" t="str">
        <f>IFERROR(__xludf.DUMMYFUNCTION("""COMPUTED_VALUE"""),"Sousa-Figueiredo, José Carlos, Joyce Pleasant, Matthew Day, Martha Betson, David Rollinson, Antonio Montresor, Francis Kazibwe, Narcis B. Kabatereine, and J. Russell Stothard. ""Treatment of Intestinal Schistosomiasis in Ugandan Preschool Children: Best D"&amp;"iagnosis, Treatment Efficacy and Side-effects, and an Extended Praziquantel Dosing Pole."" International Health 2.2 (2010): 103-13. Web. 4 Mar. 2015.")</f>
        <v>Sousa-Figueiredo, José Carlos, Joyce Pleasant, Matthew Day, Martha Betson, David Rollinson, Antonio Montresor, Francis Kazibwe, Narcis B. Kabatereine, and J. Russell Stothard. "Treatment of Intestinal Schistosomiasis in Ugandan Preschool Children: Best Diagnosis, Treatment Efficacy and Side-effects, and an Extended Praziquantel Dosing Pole." International Health 2.2 (2010): 103-13. Web. 4 Mar. 2015.</v>
      </c>
      <c r="T150" s="697"/>
      <c r="U150" s="697" t="str">
        <f>IFERROR(__xludf.DUMMYFUNCTION("""COMPUTED_VALUE"""),"x")</f>
        <v>x</v>
      </c>
      <c r="V150" s="697">
        <f>IFERROR(__xludf.DUMMYFUNCTION("""COMPUTED_VALUE"""),150.0)</f>
        <v>150</v>
      </c>
    </row>
    <row r="151">
      <c r="A151" s="697" t="str">
        <f>IFERROR(__xludf.DUMMYFUNCTION("""COMPUTED_VALUE"""),"Sousa-Figueiredoa JC, 2010")</f>
        <v>Sousa-Figueiredoa JC, 2010</v>
      </c>
      <c r="B151" s="697" t="str">
        <f>IFERROR(__xludf.DUMMYFUNCTION("""COMPUTED_VALUE"""),"s. mansoni")</f>
        <v>s. mansoni</v>
      </c>
      <c r="C151" s="697" t="str">
        <f>IFERROR(__xludf.DUMMYFUNCTION("""COMPUTED_VALUE"""),"Uganda")</f>
        <v>Uganda</v>
      </c>
      <c r="D151" s="697" t="str">
        <f>IFERROR(__xludf.DUMMYFUNCTION("""COMPUTED_VALUE"""),"Praziquantel")</f>
        <v>Praziquantel</v>
      </c>
      <c r="E151" s="697" t="str">
        <f>IFERROR(__xludf.DUMMYFUNCTION("""COMPUTED_VALUE"""),"Single")</f>
        <v>Single</v>
      </c>
      <c r="F151" s="697" t="str">
        <f>IFERROR(__xludf.DUMMYFUNCTION("""COMPUTED_VALUE"""),"30-60 mg/kg")</f>
        <v>30-60 mg/kg</v>
      </c>
      <c r="G151" s="697">
        <f>IFERROR(__xludf.DUMMYFUNCTION("""COMPUTED_VALUE"""),363.0)</f>
        <v>363</v>
      </c>
      <c r="H151" s="697" t="str">
        <f>IFERROR(__xludf.DUMMYFUNCTION("""COMPUTED_VALUE"""),"&gt;5 Years old")</f>
        <v>&gt;5 Years old</v>
      </c>
      <c r="I151" s="705" t="str">
        <f>IFERROR(__xludf.DUMMYFUNCTION("""COMPUTED_VALUE"""),"11:64")</f>
        <v>11:64</v>
      </c>
      <c r="J151" s="697">
        <f>IFERROR(__xludf.DUMMYFUNCTION("""COMPUTED_VALUE"""),2010.0)</f>
        <v>2010</v>
      </c>
      <c r="K151" s="697" t="str">
        <f>IFERROR(__xludf.DUMMYFUNCTION("""COMPUTED_VALUE"""),"inclusion of preschool children in the Ugandan national schistosomiasis control programme ")</f>
        <v>inclusion of preschool children in the Ugandan national schistosomiasis control programme </v>
      </c>
      <c r="L151" s="697" t="str">
        <f>IFERROR(__xludf.DUMMYFUNCTION("""COMPUTED_VALUE"""),"No")</f>
        <v>No</v>
      </c>
      <c r="M151" s="697" t="str">
        <f>IFERROR(__xludf.DUMMYFUNCTION("""COMPUTED_VALUE"""),"No")</f>
        <v>No</v>
      </c>
      <c r="N151" s="697" t="str">
        <f>IFERROR(__xludf.DUMMYFUNCTION("""COMPUTED_VALUE"""),"21 days")</f>
        <v>21 days</v>
      </c>
      <c r="O151" s="700">
        <f>IFERROR(__xludf.DUMMYFUNCTION("""COMPUTED_VALUE"""),1.0)</f>
        <v>1</v>
      </c>
      <c r="P151" s="698">
        <f>IFERROR(__xludf.DUMMYFUNCTION("""COMPUTED_VALUE"""),0.443)</f>
        <v>0.443</v>
      </c>
      <c r="Q151" s="697" t="str">
        <f>IFERROR(__xludf.DUMMYFUNCTION("""COMPUTED_VALUE"""),"To conclude, preschool children in lakeshore communities of Uganda are at significant risk of intestinal schistosomiasis; we now strongly advocate for their immediate inclusion within the national control programme to eliminate this health inequity.")</f>
        <v>To conclude, preschool children in lakeshore communities of Uganda are at significant risk of intestinal schistosomiasis; we now strongly advocate for their immediate inclusion within the national control programme to eliminate this health inequity.</v>
      </c>
      <c r="R151" s="697" t="str">
        <f>IFERROR(__xludf.DUMMYFUNCTION("""COMPUTED_VALUE"""),"Treatment of intestinal schistosomiasis in Ugandan preschool children: best diagnosis, treatment efficacy and side-effects, and an extended praziquantel dosing pole")</f>
        <v>Treatment of intestinal schistosomiasis in Ugandan preschool children: best diagnosis, treatment efficacy and side-effects, and an extended praziquantel dosing pole</v>
      </c>
      <c r="S151" s="699" t="str">
        <f>IFERROR(__xludf.DUMMYFUNCTION("""COMPUTED_VALUE"""),"Sousa-Figueiredo, José Carlos, Joyce Pleasant, Matthew Day, Martha Betson, David Rollinson, Antonio Montresor, Francis Kazibwe, Narcis B. Kabatereine, and J. Russell Stothard. ""Treatment of Intestinal Schistosomiasis in Ugandan Preschool Children: Best D"&amp;"iagnosis, Treatment Efficacy and Side-effects, and an Extended Praziquantel Dosing Pole."" International Health 2.2 (2010): 103-13. Web. 4 Mar. 2015.")</f>
        <v>Sousa-Figueiredo, José Carlos, Joyce Pleasant, Matthew Day, Martha Betson, David Rollinson, Antonio Montresor, Francis Kazibwe, Narcis B. Kabatereine, and J. Russell Stothard. "Treatment of Intestinal Schistosomiasis in Ugandan Preschool Children: Best Diagnosis, Treatment Efficacy and Side-effects, and an Extended Praziquantel Dosing Pole." International Health 2.2 (2010): 103-13. Web. 4 Mar. 2015.</v>
      </c>
      <c r="T151" s="697"/>
      <c r="U151" s="697" t="str">
        <f>IFERROR(__xludf.DUMMYFUNCTION("""COMPUTED_VALUE"""),"x")</f>
        <v>x</v>
      </c>
      <c r="V151" s="697">
        <f>IFERROR(__xludf.DUMMYFUNCTION("""COMPUTED_VALUE"""),151.0)</f>
        <v>151</v>
      </c>
    </row>
    <row r="152">
      <c r="A152" s="697" t="str">
        <f>IFERROR(__xludf.DUMMYFUNCTION("""COMPUTED_VALUE"""),"Stelma FF, 1997")</f>
        <v>Stelma FF, 1997</v>
      </c>
      <c r="B152" s="697" t="str">
        <f>IFERROR(__xludf.DUMMYFUNCTION("""COMPUTED_VALUE"""),"s. mansoni")</f>
        <v>s. mansoni</v>
      </c>
      <c r="C152" s="697" t="str">
        <f>IFERROR(__xludf.DUMMYFUNCTION("""COMPUTED_VALUE"""),"Senegal")</f>
        <v>Senegal</v>
      </c>
      <c r="D152" s="697" t="str">
        <f>IFERROR(__xludf.DUMMYFUNCTION("""COMPUTED_VALUE"""),"Praziquantel")</f>
        <v>Praziquantel</v>
      </c>
      <c r="E152" s="697" t="str">
        <f>IFERROR(__xludf.DUMMYFUNCTION("""COMPUTED_VALUE"""),"Single")</f>
        <v>Single</v>
      </c>
      <c r="F152" s="697" t="str">
        <f>IFERROR(__xludf.DUMMYFUNCTION("""COMPUTED_VALUE"""),"40 mg/kg")</f>
        <v>40 mg/kg</v>
      </c>
      <c r="G152" s="697">
        <f>IFERROR(__xludf.DUMMYFUNCTION("""COMPUTED_VALUE"""),66.0)</f>
        <v>66</v>
      </c>
      <c r="H152" s="697" t="str">
        <f>IFERROR(__xludf.DUMMYFUNCTION("""COMPUTED_VALUE"""),"5 - 75")</f>
        <v>5 - 75</v>
      </c>
      <c r="I152" s="705" t="str">
        <f>IFERROR(__xludf.DUMMYFUNCTION("""COMPUTED_VALUE"""),"22 : 44")</f>
        <v>22 : 44</v>
      </c>
      <c r="J152" s="697">
        <f>IFERROR(__xludf.DUMMYFUNCTION("""COMPUTED_VALUE"""),1997.0)</f>
        <v>1997</v>
      </c>
      <c r="K152" s="697" t="str">
        <f>IFERROR(__xludf.DUMMYFUNCTION("""COMPUTED_VALUE"""),"patients aged &gt; 5 years with S. mansoni infection")</f>
        <v>patients aged &gt; 5 years with S. mansoni infection</v>
      </c>
      <c r="L152" s="697" t="str">
        <f>IFERROR(__xludf.DUMMYFUNCTION("""COMPUTED_VALUE"""),"No")</f>
        <v>No</v>
      </c>
      <c r="M152" s="697" t="str">
        <f>IFERROR(__xludf.DUMMYFUNCTION("""COMPUTED_VALUE"""),"Yes")</f>
        <v>Yes</v>
      </c>
      <c r="N152" s="697" t="str">
        <f>IFERROR(__xludf.DUMMYFUNCTION("""COMPUTED_VALUE"""),"Follow-up: 1.5 month. Parasitologic cure rates at 6 weeks")</f>
        <v>Follow-up: 1.5 month. Parasitologic cure rates at 6 weeks</v>
      </c>
      <c r="O152" s="700">
        <f>IFERROR(__xludf.DUMMYFUNCTION("""COMPUTED_VALUE"""),0.36)</f>
        <v>0.36</v>
      </c>
      <c r="P152" s="700">
        <f>IFERROR(__xludf.DUMMYFUNCTION("""COMPUTED_VALUE"""),0.82)</f>
        <v>0.82</v>
      </c>
      <c r="Q152" s="697" t="str">
        <f>IFERROR(__xludf.DUMMYFUNCTION("""COMPUTED_VALUE"""),"In conclusion, we have demonstrated that parasitologic cure diminished susceptibility to praziquantel in a Senegal isolate of Schisto rates after treatment with 20 mg/kg oxamniquine were signifi cantly better than after 40 mg/kg praziquantel.")</f>
        <v>In conclusion, we have demonstrated that parasitologic cure diminished susceptibility to praziquantel in a Senegal isolate of Schisto rates after treatment with 20 mg/kg oxamniquine were signifi cantly better than after 40 mg/kg praziquantel.</v>
      </c>
      <c r="R152" s="697" t="str">
        <f>IFERROR(__xludf.DUMMYFUNCTION("""COMPUTED_VALUE"""),"Oxamniquine Cures Schistosoma mansoni Infection in a Focus in Which Cure Rates with Praziquantel Are Unusually Low")</f>
        <v>Oxamniquine Cures Schistosoma mansoni Infection in a Focus in Which Cure Rates with Praziquantel Are Unusually Low</v>
      </c>
      <c r="S152" s="699" t="str">
        <f>IFERROR(__xludf.DUMMYFUNCTION("""COMPUTED_VALUE"""),"Stelma FF, Sall S, Daff B, Sow S, Niang M, Gryseels B. Oxamniquine cures Schistosoma mansoni infection in a focus in which cure rates with praziquantel are unusually low. Journal of Infectious Diseases 1997;176(1):304–7.")</f>
        <v>Stelma FF, Sall S, Daff B, Sow S, Niang M, Gryseels B. Oxamniquine cures Schistosoma mansoni infection in a focus in which cure rates with praziquantel are unusually low. Journal of Infectious Diseases 1997;176(1):304–7.</v>
      </c>
      <c r="T152" s="697"/>
      <c r="U152" s="697" t="str">
        <f>IFERROR(__xludf.DUMMYFUNCTION("""COMPUTED_VALUE"""),"")</f>
        <v/>
      </c>
      <c r="V152" s="697">
        <f>IFERROR(__xludf.DUMMYFUNCTION("""COMPUTED_VALUE"""),152.0)</f>
        <v>152</v>
      </c>
    </row>
    <row r="153">
      <c r="A153" s="697" t="str">
        <f>IFERROR(__xludf.DUMMYFUNCTION("""COMPUTED_VALUE"""),"Stelma FF, 1997")</f>
        <v>Stelma FF, 1997</v>
      </c>
      <c r="B153" s="697" t="str">
        <f>IFERROR(__xludf.DUMMYFUNCTION("""COMPUTED_VALUE"""),"s. mansoni")</f>
        <v>s. mansoni</v>
      </c>
      <c r="C153" s="697" t="str">
        <f>IFERROR(__xludf.DUMMYFUNCTION("""COMPUTED_VALUE"""),"Senegal")</f>
        <v>Senegal</v>
      </c>
      <c r="D153" s="697" t="str">
        <f>IFERROR(__xludf.DUMMYFUNCTION("""COMPUTED_VALUE"""),"Oxamniquine")</f>
        <v>Oxamniquine</v>
      </c>
      <c r="E153" s="697" t="str">
        <f>IFERROR(__xludf.DUMMYFUNCTION("""COMPUTED_VALUE"""),"Single")</f>
        <v>Single</v>
      </c>
      <c r="F153" s="697" t="str">
        <f>IFERROR(__xludf.DUMMYFUNCTION("""COMPUTED_VALUE"""),"20 mg/kg")</f>
        <v>20 mg/kg</v>
      </c>
      <c r="G153" s="697">
        <f>IFERROR(__xludf.DUMMYFUNCTION("""COMPUTED_VALUE"""),72.0)</f>
        <v>72</v>
      </c>
      <c r="H153" s="697" t="str">
        <f>IFERROR(__xludf.DUMMYFUNCTION("""COMPUTED_VALUE"""),"5 -71")</f>
        <v>5 -71</v>
      </c>
      <c r="I153" s="705" t="str">
        <f>IFERROR(__xludf.DUMMYFUNCTION("""COMPUTED_VALUE"""),"30 : 42")</f>
        <v>30 : 42</v>
      </c>
      <c r="J153" s="697">
        <f>IFERROR(__xludf.DUMMYFUNCTION("""COMPUTED_VALUE"""),1997.0)</f>
        <v>1997</v>
      </c>
      <c r="K153" s="697" t="str">
        <f>IFERROR(__xludf.DUMMYFUNCTION("""COMPUTED_VALUE"""),"patients aged &gt; 5 years with S. mansoni infection")</f>
        <v>patients aged &gt; 5 years with S. mansoni infection</v>
      </c>
      <c r="L153" s="697" t="str">
        <f>IFERROR(__xludf.DUMMYFUNCTION("""COMPUTED_VALUE"""),"No")</f>
        <v>No</v>
      </c>
      <c r="M153" s="697" t="str">
        <f>IFERROR(__xludf.DUMMYFUNCTION("""COMPUTED_VALUE"""),"Yes")</f>
        <v>Yes</v>
      </c>
      <c r="N153" s="697" t="str">
        <f>IFERROR(__xludf.DUMMYFUNCTION("""COMPUTED_VALUE"""),"Follow-up: 1.5 month. Parasitologic cure rates at 6 weeks")</f>
        <v>Follow-up: 1.5 month. Parasitologic cure rates at 6 weeks</v>
      </c>
      <c r="O153" s="700">
        <f>IFERROR(__xludf.DUMMYFUNCTION("""COMPUTED_VALUE"""),0.79)</f>
        <v>0.79</v>
      </c>
      <c r="P153" s="700">
        <f>IFERROR(__xludf.DUMMYFUNCTION("""COMPUTED_VALUE"""),0.94)</f>
        <v>0.94</v>
      </c>
      <c r="Q153" s="697" t="str">
        <f>IFERROR(__xludf.DUMMYFUNCTION("""COMPUTED_VALUE"""),"In conclusion, we have demonstrated that parasitologic cure diminished susceptibility to praziquantel in a Senegal isolate of Schisto rates after treatment with 20 mg/kg oxamniquine were signifi cantly better than after 40 mg/kg praziquantel.")</f>
        <v>In conclusion, we have demonstrated that parasitologic cure diminished susceptibility to praziquantel in a Senegal isolate of Schisto rates after treatment with 20 mg/kg oxamniquine were signifi cantly better than after 40 mg/kg praziquantel.</v>
      </c>
      <c r="R153" s="697" t="str">
        <f>IFERROR(__xludf.DUMMYFUNCTION("""COMPUTED_VALUE"""),"Oxamniquine Cures Schistosoma mansoni Infection in a Focus in Which Cure Rates with Praziquantel Are Unusually Low")</f>
        <v>Oxamniquine Cures Schistosoma mansoni Infection in a Focus in Which Cure Rates with Praziquantel Are Unusually Low</v>
      </c>
      <c r="S153" s="699" t="str">
        <f>IFERROR(__xludf.DUMMYFUNCTION("""COMPUTED_VALUE"""),"Stelma FF, Sall S, Daff B, Sow S, Niang M, Gryseels B. Oxamniquine cures Schistosoma mansoni infection in a focus in which cure rates with praziquantel are unusually low. Journal of Infectious Diseases 1997;176(1):304–7.")</f>
        <v>Stelma FF, Sall S, Daff B, Sow S, Niang M, Gryseels B. Oxamniquine cures Schistosoma mansoni infection in a focus in which cure rates with praziquantel are unusually low. Journal of Infectious Diseases 1997;176(1):304–7.</v>
      </c>
      <c r="T153" s="697"/>
      <c r="U153" s="697" t="str">
        <f>IFERROR(__xludf.DUMMYFUNCTION("""COMPUTED_VALUE"""),"")</f>
        <v/>
      </c>
      <c r="V153" s="697">
        <f>IFERROR(__xludf.DUMMYFUNCTION("""COMPUTED_VALUE"""),153.0)</f>
        <v>153</v>
      </c>
    </row>
    <row r="154">
      <c r="A154" s="697" t="str">
        <f>IFERROR(__xludf.DUMMYFUNCTION("""COMPUTED_VALUE"""),"Taddese K, 1988")</f>
        <v>Taddese K, 1988</v>
      </c>
      <c r="B154" s="697" t="str">
        <f>IFERROR(__xludf.DUMMYFUNCTION("""COMPUTED_VALUE"""),"s. mansoni")</f>
        <v>s. mansoni</v>
      </c>
      <c r="C154" s="697" t="str">
        <f>IFERROR(__xludf.DUMMYFUNCTION("""COMPUTED_VALUE"""),"Ethiopia")</f>
        <v>Ethiopia</v>
      </c>
      <c r="D154" s="697" t="str">
        <f>IFERROR(__xludf.DUMMYFUNCTION("""COMPUTED_VALUE"""),"Praziquantel")</f>
        <v>Praziquantel</v>
      </c>
      <c r="E154" s="697" t="str">
        <f>IFERROR(__xludf.DUMMYFUNCTION("""COMPUTED_VALUE"""),"Single")</f>
        <v>Single</v>
      </c>
      <c r="F154" s="697" t="str">
        <f>IFERROR(__xludf.DUMMYFUNCTION("""COMPUTED_VALUE"""),"40 mg/kg")</f>
        <v>40 mg/kg</v>
      </c>
      <c r="G154" s="697">
        <f>IFERROR(__xludf.DUMMYFUNCTION("""COMPUTED_VALUE"""),50.0)</f>
        <v>50</v>
      </c>
      <c r="H154" s="697" t="str">
        <f>IFERROR(__xludf.DUMMYFUNCTION("""COMPUTED_VALUE"""),"17 - 52")</f>
        <v>17 - 52</v>
      </c>
      <c r="I154" s="705" t="str">
        <f>IFERROR(__xludf.DUMMYFUNCTION("""COMPUTED_VALUE"""),"165 : 35")</f>
        <v>165 : 35</v>
      </c>
      <c r="J154" s="697">
        <f>IFERROR(__xludf.DUMMYFUNCTION("""COMPUTED_VALUE"""),1988.0)</f>
        <v>1988</v>
      </c>
      <c r="K154" s="697" t="str">
        <f>IFERROR(__xludf.DUMMYFUNCTION("""COMPUTED_VALUE"""),"dolescents and adults aged 17 to 52 years infected with S. mansoni and excreting at least 50 EPG (geometric mean)")</f>
        <v>dolescents and adults aged 17 to 52 years infected with S. mansoni and excreting at least 50 EPG (geometric mean)</v>
      </c>
      <c r="L154" s="697" t="str">
        <f>IFERROR(__xludf.DUMMYFUNCTION("""COMPUTED_VALUE"""),"No")</f>
        <v>No</v>
      </c>
      <c r="M154" s="697" t="str">
        <f>IFERROR(__xludf.DUMMYFUNCTION("""COMPUTED_VALUE"""),"Yes")</f>
        <v>Yes</v>
      </c>
      <c r="N154" s="697" t="str">
        <f>IFERROR(__xludf.DUMMYFUNCTION("""COMPUTED_VALUE"""),"follow-up: three months “cure” for patients whose status changed from egg-positive to egg-negative,")</f>
        <v>follow-up: three months “cure” for patients whose status changed from egg-positive to egg-negative,</v>
      </c>
      <c r="O154" s="700">
        <f>IFERROR(__xludf.DUMMYFUNCTION("""COMPUTED_VALUE"""),0.93)</f>
        <v>0.93</v>
      </c>
      <c r="P154" s="697"/>
      <c r="Q154" s="697" t="str">
        <f>IFERROR(__xludf.DUMMYFUNCTION("""COMPUTED_VALUE"""),"This study suggests that where single dose therapy isindicated, as in mass chemotherapy in the control of endemic schistosomiasis, praziquantel may be the drug of choice.")</f>
        <v>This study suggests that where single dose therapy isindicated, as in mass chemotherapy in the control of endemic schistosomiasis, praziquantel may be the drug of choice.</v>
      </c>
      <c r="R154" s="697" t="str">
        <f>IFERROR(__xludf.DUMMYFUNCTION("""COMPUTED_VALUE"""),"Comparison between the efficacy of oxamniquine and praziquantel in the treatment of Schistosoma mansoni infections on a sugar estate in Ethiopia")</f>
        <v>Comparison between the efficacy of oxamniquine and praziquantel in the treatment of Schistosoma mansoni infections on a sugar estate in Ethiopia</v>
      </c>
      <c r="S154" s="699" t="str">
        <f>IFERROR(__xludf.DUMMYFUNCTION("""COMPUTED_VALUE"""),"Taddese K, Zein ZA. Comparison between the efficacy of oxamniquine and praziquantel in the treatment of Schistosoma mansoni infections on a sugar estate in Ethiopia. Annals of Tropical Medicine and Parasitology 1988;82(2): 175–80.")</f>
        <v>Taddese K, Zein ZA. Comparison between the efficacy of oxamniquine and praziquantel in the treatment of Schistosoma mansoni infections on a sugar estate in Ethiopia. Annals of Tropical Medicine and Parasitology 1988;82(2): 175–80.</v>
      </c>
      <c r="T154" s="697"/>
      <c r="U154" s="697" t="str">
        <f>IFERROR(__xludf.DUMMYFUNCTION("""COMPUTED_VALUE"""),"")</f>
        <v/>
      </c>
      <c r="V154" s="697">
        <f>IFERROR(__xludf.DUMMYFUNCTION("""COMPUTED_VALUE"""),154.0)</f>
        <v>154</v>
      </c>
    </row>
    <row r="155">
      <c r="A155" s="697" t="str">
        <f>IFERROR(__xludf.DUMMYFUNCTION("""COMPUTED_VALUE"""),"Taddese K, 1988")</f>
        <v>Taddese K, 1988</v>
      </c>
      <c r="B155" s="697" t="str">
        <f>IFERROR(__xludf.DUMMYFUNCTION("""COMPUTED_VALUE"""),"s. mansoni")</f>
        <v>s. mansoni</v>
      </c>
      <c r="C155" s="697" t="str">
        <f>IFERROR(__xludf.DUMMYFUNCTION("""COMPUTED_VALUE"""),"Ethiopia")</f>
        <v>Ethiopia</v>
      </c>
      <c r="D155" s="697" t="str">
        <f>IFERROR(__xludf.DUMMYFUNCTION("""COMPUTED_VALUE"""),"Praziquantel")</f>
        <v>Praziquantel</v>
      </c>
      <c r="E155" s="697" t="str">
        <f>IFERROR(__xludf.DUMMYFUNCTION("""COMPUTED_VALUE"""),"Two")</f>
        <v>Two</v>
      </c>
      <c r="F155" s="697" t="str">
        <f>IFERROR(__xludf.DUMMYFUNCTION("""COMPUTED_VALUE"""),"20 mg/kg")</f>
        <v>20 mg/kg</v>
      </c>
      <c r="G155" s="697">
        <f>IFERROR(__xludf.DUMMYFUNCTION("""COMPUTED_VALUE"""),50.0)</f>
        <v>50</v>
      </c>
      <c r="H155" s="697" t="str">
        <f>IFERROR(__xludf.DUMMYFUNCTION("""COMPUTED_VALUE"""),"17 - 52")</f>
        <v>17 - 52</v>
      </c>
      <c r="I155" s="705" t="str">
        <f>IFERROR(__xludf.DUMMYFUNCTION("""COMPUTED_VALUE"""),"165 : 35")</f>
        <v>165 : 35</v>
      </c>
      <c r="J155" s="697">
        <f>IFERROR(__xludf.DUMMYFUNCTION("""COMPUTED_VALUE"""),1988.0)</f>
        <v>1988</v>
      </c>
      <c r="K155" s="697" t="str">
        <f>IFERROR(__xludf.DUMMYFUNCTION("""COMPUTED_VALUE"""),"dolescents and adults aged 17 to 52 years infected with S. mansoni and excreting at least 50 EPG (geometric mean)")</f>
        <v>dolescents and adults aged 17 to 52 years infected with S. mansoni and excreting at least 50 EPG (geometric mean)</v>
      </c>
      <c r="L155" s="697" t="str">
        <f>IFERROR(__xludf.DUMMYFUNCTION("""COMPUTED_VALUE"""),"No")</f>
        <v>No</v>
      </c>
      <c r="M155" s="697" t="str">
        <f>IFERROR(__xludf.DUMMYFUNCTION("""COMPUTED_VALUE"""),"Yes")</f>
        <v>Yes</v>
      </c>
      <c r="N155" s="697" t="str">
        <f>IFERROR(__xludf.DUMMYFUNCTION("""COMPUTED_VALUE"""),"follow-up: three months “cure” for patients whose status changed from egg-positive to egg-negative,")</f>
        <v>follow-up: three months “cure” for patients whose status changed from egg-positive to egg-negative,</v>
      </c>
      <c r="O155" s="700">
        <f>IFERROR(__xludf.DUMMYFUNCTION("""COMPUTED_VALUE"""),0.95)</f>
        <v>0.95</v>
      </c>
      <c r="P155" s="697"/>
      <c r="Q155" s="697" t="str">
        <f>IFERROR(__xludf.DUMMYFUNCTION("""COMPUTED_VALUE"""),"This study suggests that where single dose therapy isindicated, as in mass chemotherapy in the control of endemic schistosomiasis, praziquantel may be the drug of choice.")</f>
        <v>This study suggests that where single dose therapy isindicated, as in mass chemotherapy in the control of endemic schistosomiasis, praziquantel may be the drug of choice.</v>
      </c>
      <c r="R155" s="697" t="str">
        <f>IFERROR(__xludf.DUMMYFUNCTION("""COMPUTED_VALUE"""),"Comparison between the efficacy of oxamniquine and praziquantel in the treatment of Schistosoma mansoni infections on a sugar estate in Ethiopia")</f>
        <v>Comparison between the efficacy of oxamniquine and praziquantel in the treatment of Schistosoma mansoni infections on a sugar estate in Ethiopia</v>
      </c>
      <c r="S155" s="699" t="str">
        <f>IFERROR(__xludf.DUMMYFUNCTION("""COMPUTED_VALUE"""),"Taddese K, Zein ZA. Comparison between the efficacy of oxamniquine and praziquantel in the treatment of Schistosoma mansoni infections on a sugar estate in Ethiopia. Annals of Tropical Medicine and Parasitology 1988;82(2): 175–80.")</f>
        <v>Taddese K, Zein ZA. Comparison between the efficacy of oxamniquine and praziquantel in the treatment of Schistosoma mansoni infections on a sugar estate in Ethiopia. Annals of Tropical Medicine and Parasitology 1988;82(2): 175–80.</v>
      </c>
      <c r="T155" s="697"/>
      <c r="U155" s="697" t="str">
        <f>IFERROR(__xludf.DUMMYFUNCTION("""COMPUTED_VALUE"""),"")</f>
        <v/>
      </c>
      <c r="V155" s="697">
        <f>IFERROR(__xludf.DUMMYFUNCTION("""COMPUTED_VALUE"""),155.0)</f>
        <v>155</v>
      </c>
    </row>
    <row r="156">
      <c r="A156" s="697" t="str">
        <f>IFERROR(__xludf.DUMMYFUNCTION("""COMPUTED_VALUE"""),"Taddese K, 1988")</f>
        <v>Taddese K, 1988</v>
      </c>
      <c r="B156" s="697" t="str">
        <f>IFERROR(__xludf.DUMMYFUNCTION("""COMPUTED_VALUE"""),"s. mansoni")</f>
        <v>s. mansoni</v>
      </c>
      <c r="C156" s="697" t="str">
        <f>IFERROR(__xludf.DUMMYFUNCTION("""COMPUTED_VALUE"""),"Ethiopia")</f>
        <v>Ethiopia</v>
      </c>
      <c r="D156" s="697" t="str">
        <f>IFERROR(__xludf.DUMMYFUNCTION("""COMPUTED_VALUE"""),"Oxamniquine")</f>
        <v>Oxamniquine</v>
      </c>
      <c r="E156" s="697" t="str">
        <f>IFERROR(__xludf.DUMMYFUNCTION("""COMPUTED_VALUE"""),"Single")</f>
        <v>Single</v>
      </c>
      <c r="F156" s="697" t="str">
        <f>IFERROR(__xludf.DUMMYFUNCTION("""COMPUTED_VALUE"""),"15 mg/kg")</f>
        <v>15 mg/kg</v>
      </c>
      <c r="G156" s="697">
        <f>IFERROR(__xludf.DUMMYFUNCTION("""COMPUTED_VALUE"""),50.0)</f>
        <v>50</v>
      </c>
      <c r="H156" s="697" t="str">
        <f>IFERROR(__xludf.DUMMYFUNCTION("""COMPUTED_VALUE"""),"17 - 52")</f>
        <v>17 - 52</v>
      </c>
      <c r="I156" s="705" t="str">
        <f>IFERROR(__xludf.DUMMYFUNCTION("""COMPUTED_VALUE"""),"165 : 35")</f>
        <v>165 : 35</v>
      </c>
      <c r="J156" s="697">
        <f>IFERROR(__xludf.DUMMYFUNCTION("""COMPUTED_VALUE"""),1988.0)</f>
        <v>1988</v>
      </c>
      <c r="K156" s="697" t="str">
        <f>IFERROR(__xludf.DUMMYFUNCTION("""COMPUTED_VALUE"""),"dolescents and adults aged 17 to 52 years infected with S. mansoni and excreting at least 50 EPG (geometric mean)")</f>
        <v>dolescents and adults aged 17 to 52 years infected with S. mansoni and excreting at least 50 EPG (geometric mean)</v>
      </c>
      <c r="L156" s="697" t="str">
        <f>IFERROR(__xludf.DUMMYFUNCTION("""COMPUTED_VALUE"""),"No")</f>
        <v>No</v>
      </c>
      <c r="M156" s="697" t="str">
        <f>IFERROR(__xludf.DUMMYFUNCTION("""COMPUTED_VALUE"""),"Yes")</f>
        <v>Yes</v>
      </c>
      <c r="N156" s="697" t="str">
        <f>IFERROR(__xludf.DUMMYFUNCTION("""COMPUTED_VALUE"""),"follow-up: three months “cure” for patients whose status changed from egg-positive to egg-negative,")</f>
        <v>follow-up: three months “cure” for patients whose status changed from egg-positive to egg-negative,</v>
      </c>
      <c r="O156" s="700">
        <f>IFERROR(__xludf.DUMMYFUNCTION("""COMPUTED_VALUE"""),0.79)</f>
        <v>0.79</v>
      </c>
      <c r="P156" s="697"/>
      <c r="Q156" s="697" t="str">
        <f>IFERROR(__xludf.DUMMYFUNCTION("""COMPUTED_VALUE"""),"This study suggests that where single dose therapy isindicated, as in mass chemotherapy in the control of endemic schistosomiasis, praziquantel may be the drug of choice.")</f>
        <v>This study suggests that where single dose therapy isindicated, as in mass chemotherapy in the control of endemic schistosomiasis, praziquantel may be the drug of choice.</v>
      </c>
      <c r="R156" s="697"/>
      <c r="S156" s="699" t="str">
        <f>IFERROR(__xludf.DUMMYFUNCTION("""COMPUTED_VALUE"""),"Taddese K, Zein ZA. Comparison between the efficacy of oxamniquine and praziquantel in the treatment of Schistosoma mansoni infections on a sugar estate in Ethiopia. Annals of Tropical Medicine and Parasitology 1988;82(2): 175–80.")</f>
        <v>Taddese K, Zein ZA. Comparison between the efficacy of oxamniquine and praziquantel in the treatment of Schistosoma mansoni infections on a sugar estate in Ethiopia. Annals of Tropical Medicine and Parasitology 1988;82(2): 175–80.</v>
      </c>
      <c r="T156" s="697"/>
      <c r="U156" s="697" t="str">
        <f>IFERROR(__xludf.DUMMYFUNCTION("""COMPUTED_VALUE"""),"")</f>
        <v/>
      </c>
      <c r="V156" s="697">
        <f>IFERROR(__xludf.DUMMYFUNCTION("""COMPUTED_VALUE"""),156.0)</f>
        <v>156</v>
      </c>
    </row>
    <row r="157">
      <c r="A157" s="697" t="str">
        <f>IFERROR(__xludf.DUMMYFUNCTION("""COMPUTED_VALUE"""),"Taddese K, 1988")</f>
        <v>Taddese K, 1988</v>
      </c>
      <c r="B157" s="697" t="str">
        <f>IFERROR(__xludf.DUMMYFUNCTION("""COMPUTED_VALUE"""),"s. mansoni")</f>
        <v>s. mansoni</v>
      </c>
      <c r="C157" s="697" t="str">
        <f>IFERROR(__xludf.DUMMYFUNCTION("""COMPUTED_VALUE"""),"Ethiopia")</f>
        <v>Ethiopia</v>
      </c>
      <c r="D157" s="697" t="str">
        <f>IFERROR(__xludf.DUMMYFUNCTION("""COMPUTED_VALUE"""),"Oxamniquine")</f>
        <v>Oxamniquine</v>
      </c>
      <c r="E157" s="697" t="str">
        <f>IFERROR(__xludf.DUMMYFUNCTION("""COMPUTED_VALUE"""),"Two")</f>
        <v>Two</v>
      </c>
      <c r="F157" s="697" t="str">
        <f>IFERROR(__xludf.DUMMYFUNCTION("""COMPUTED_VALUE"""),"15 mg/kg")</f>
        <v>15 mg/kg</v>
      </c>
      <c r="G157" s="697">
        <f>IFERROR(__xludf.DUMMYFUNCTION("""COMPUTED_VALUE"""),50.0)</f>
        <v>50</v>
      </c>
      <c r="H157" s="697" t="str">
        <f>IFERROR(__xludf.DUMMYFUNCTION("""COMPUTED_VALUE"""),"17 - 52")</f>
        <v>17 - 52</v>
      </c>
      <c r="I157" s="705" t="str">
        <f>IFERROR(__xludf.DUMMYFUNCTION("""COMPUTED_VALUE"""),"165 : 35")</f>
        <v>165 : 35</v>
      </c>
      <c r="J157" s="697">
        <f>IFERROR(__xludf.DUMMYFUNCTION("""COMPUTED_VALUE"""),1988.0)</f>
        <v>1988</v>
      </c>
      <c r="K157" s="697" t="str">
        <f>IFERROR(__xludf.DUMMYFUNCTION("""COMPUTED_VALUE"""),"dolescents and adults aged 17 to 52 years infected with S. mansoni and excreting at least 50 EPG (geometric mean)")</f>
        <v>dolescents and adults aged 17 to 52 years infected with S. mansoni and excreting at least 50 EPG (geometric mean)</v>
      </c>
      <c r="L157" s="697" t="str">
        <f>IFERROR(__xludf.DUMMYFUNCTION("""COMPUTED_VALUE"""),"No")</f>
        <v>No</v>
      </c>
      <c r="M157" s="697" t="str">
        <f>IFERROR(__xludf.DUMMYFUNCTION("""COMPUTED_VALUE"""),"Yes")</f>
        <v>Yes</v>
      </c>
      <c r="N157" s="697" t="str">
        <f>IFERROR(__xludf.DUMMYFUNCTION("""COMPUTED_VALUE"""),"follow-up: three months “cure” for patients whose status changed from egg-positive to egg-negative,")</f>
        <v>follow-up: three months “cure” for patients whose status changed from egg-positive to egg-negative,</v>
      </c>
      <c r="O157" s="700">
        <f>IFERROR(__xludf.DUMMYFUNCTION("""COMPUTED_VALUE"""),0.96)</f>
        <v>0.96</v>
      </c>
      <c r="P157" s="697"/>
      <c r="Q157" s="697" t="str">
        <f>IFERROR(__xludf.DUMMYFUNCTION("""COMPUTED_VALUE"""),"This study suggests that where single dose therapy isindicated, as in mass chemotherapy in the control of endemic schistosomiasis, praziquantel may be the drug of choice.")</f>
        <v>This study suggests that where single dose therapy isindicated, as in mass chemotherapy in the control of endemic schistosomiasis, praziquantel may be the drug of choice.</v>
      </c>
      <c r="R157" s="697"/>
      <c r="S157" s="699" t="str">
        <f>IFERROR(__xludf.DUMMYFUNCTION("""COMPUTED_VALUE"""),"Taddese K, Zein ZA. Comparison between the efficacy of oxamniquine and praziquantel in the treatment of Schistosoma mansoni infections on a sugar estate in Ethiopia. Annals of Tropical Medicine and Parasitology 1988;82(2): 175–80.")</f>
        <v>Taddese K, Zein ZA. Comparison between the efficacy of oxamniquine and praziquantel in the treatment of Schistosoma mansoni infections on a sugar estate in Ethiopia. Annals of Tropical Medicine and Parasitology 1988;82(2): 175–80.</v>
      </c>
      <c r="T157" s="697"/>
      <c r="U157" s="697" t="str">
        <f>IFERROR(__xludf.DUMMYFUNCTION("""COMPUTED_VALUE"""),"")</f>
        <v/>
      </c>
      <c r="V157" s="697">
        <f>IFERROR(__xludf.DUMMYFUNCTION("""COMPUTED_VALUE"""),157.0)</f>
        <v>157</v>
      </c>
    </row>
    <row r="158">
      <c r="A158" s="697"/>
      <c r="B158" s="697"/>
      <c r="C158" s="697"/>
      <c r="D158" s="697"/>
      <c r="E158" s="697"/>
      <c r="F158" s="697"/>
      <c r="G158" s="697"/>
      <c r="H158" s="697"/>
      <c r="I158" s="697"/>
      <c r="J158" s="697"/>
      <c r="K158" s="697"/>
      <c r="L158" s="697"/>
      <c r="M158" s="697"/>
      <c r="N158" s="697"/>
      <c r="O158" s="697"/>
      <c r="P158" s="697"/>
      <c r="Q158" s="697"/>
      <c r="R158" s="697"/>
      <c r="S158" s="697"/>
      <c r="T158" s="697"/>
      <c r="U158" s="697" t="str">
        <f>IFERROR(__xludf.DUMMYFUNCTION("""COMPUTED_VALUE"""),"")</f>
        <v/>
      </c>
      <c r="V158" s="697">
        <f>IFERROR(__xludf.DUMMYFUNCTION("""COMPUTED_VALUE"""),158.0)</f>
        <v>158</v>
      </c>
    </row>
    <row r="159">
      <c r="A159" s="697" t="str">
        <f>IFERROR(__xludf.DUMMYFUNCTION("""COMPUTED_VALUE"""),"Tweyongyere R, 2009")</f>
        <v>Tweyongyere R, 2009</v>
      </c>
      <c r="B159" s="697" t="str">
        <f>IFERROR(__xludf.DUMMYFUNCTION("""COMPUTED_VALUE"""),"s. mansoni")</f>
        <v>s. mansoni</v>
      </c>
      <c r="C159" s="697" t="str">
        <f>IFERROR(__xludf.DUMMYFUNCTION("""COMPUTED_VALUE"""),"Uganda")</f>
        <v>Uganda</v>
      </c>
      <c r="D159" s="697" t="str">
        <f>IFERROR(__xludf.DUMMYFUNCTION("""COMPUTED_VALUE"""),"Placebo")</f>
        <v>Placebo</v>
      </c>
      <c r="E159" s="697"/>
      <c r="F159" s="697"/>
      <c r="G159" s="697">
        <f>IFERROR(__xludf.DUMMYFUNCTION("""COMPUTED_VALUE"""),186.0)</f>
        <v>186</v>
      </c>
      <c r="H159" s="697" t="str">
        <f>IFERROR(__xludf.DUMMYFUNCTION("""COMPUTED_VALUE"""),"pregnant women")</f>
        <v>pregnant women</v>
      </c>
      <c r="I159" s="705" t="str">
        <f>IFERROR(__xludf.DUMMYFUNCTION("""COMPUTED_VALUE"""),"female ")</f>
        <v>female </v>
      </c>
      <c r="J159" s="697">
        <f>IFERROR(__xludf.DUMMYFUNCTION("""COMPUTED_VALUE"""),2009.0)</f>
        <v>2009</v>
      </c>
      <c r="K159" s="697" t="str">
        <f>IFERROR(__xludf.DUMMYFUNCTION("""COMPUTED_VALUE"""),"pregnant women found to have S. mansoni infected detected during a population survey")</f>
        <v>pregnant women found to have S. mansoni infected detected during a population survey</v>
      </c>
      <c r="L159" s="697" t="str">
        <f>IFERROR(__xludf.DUMMYFUNCTION("""COMPUTED_VALUE"""),"Yes")</f>
        <v>Yes</v>
      </c>
      <c r="M159" s="697" t="str">
        <f>IFERROR(__xludf.DUMMYFUNCTION("""COMPUTED_VALUE"""),"Yes")</f>
        <v>Yes</v>
      </c>
      <c r="N159" s="697" t="str">
        <f>IFERROR(__xludf.DUMMYFUNCTION("""COMPUTED_VALUE"""),"follow-up: six weeks")</f>
        <v>follow-up: six weeks</v>
      </c>
      <c r="O159" s="698">
        <f>IFERROR(__xludf.DUMMYFUNCTION("""COMPUTED_VALUE"""),0.885)</f>
        <v>0.885</v>
      </c>
      <c r="P159" s="697"/>
      <c r="Q159" s="697" t="str">
        <f>IFERROR(__xludf.DUMMYFUNCTION("""COMPUTED_VALUE"""),"This study, the first to examine the impact of praziquantel treatment during pregnancy, has shown that S mansoni antigen-specific antibody levels and praziquantel-induced boosts in the antibody levels are broadly low during pregnancy, but that this is not"&amp;" associated with any major reduction in the efficacy of praziquantel in the treatment of light to moderate intensity S. mansoni infections: a result that is reassuring from a public health perspective. Effects of pregnancy on the response to praziquantel "&amp;"among populations with higher S. mansoni infection intensities, and among women with S. haematobium or S. japonicum, and the long-term implications of these findings, particularly in relation to resistance to re-infection, remain to be explored.")</f>
        <v>This study, the first to examine the impact of praziquantel treatment during pregnancy, has shown that S mansoni antigen-specific antibody levels and praziquantel-induced boosts in the antibody levels are broadly low during pregnancy, but that this is not associated with any major reduction in the efficacy of praziquantel in the treatment of light to moderate intensity S. mansoni infections: a result that is reassuring from a public health perspective. Effects of pregnancy on the response to praziquantel among populations with higher S. mansoni infection intensities, and among women with S. haematobium or S. japonicum, and the long-term implications of these findings, particularly in relation to resistance to re-infection, remain to be explored.</v>
      </c>
      <c r="R159" s="697" t="str">
        <f>IFERROR(__xludf.DUMMYFUNCTION("""COMPUTED_VALUE"""),"Effect of praziquantel treatment of Schistosoma mansoni during pregnancy on intensity of infection and antibody responses to schistosome antigens: results of a randomised, placebo-controlled trial")</f>
        <v>Effect of praziquantel treatment of Schistosoma mansoni during pregnancy on intensity of infection and antibody responses to schistosome antigens: results of a randomised, placebo-controlled trial</v>
      </c>
      <c r="S159" s="697"/>
      <c r="T159" s="697"/>
      <c r="U159" s="697" t="str">
        <f>IFERROR(__xludf.DUMMYFUNCTION("""COMPUTED_VALUE"""),"")</f>
        <v/>
      </c>
      <c r="V159" s="697">
        <f>IFERROR(__xludf.DUMMYFUNCTION("""COMPUTED_VALUE"""),159.0)</f>
        <v>159</v>
      </c>
    </row>
    <row r="160">
      <c r="A160" s="697" t="str">
        <f>IFERROR(__xludf.DUMMYFUNCTION("""COMPUTED_VALUE"""),"Tweyongyere R, 2011")</f>
        <v>Tweyongyere R, 2011</v>
      </c>
      <c r="B160" s="697" t="str">
        <f>IFERROR(__xludf.DUMMYFUNCTION("""COMPUTED_VALUE"""),"s. mansoni")</f>
        <v>s. mansoni</v>
      </c>
      <c r="C160" s="697" t="str">
        <f>IFERROR(__xludf.DUMMYFUNCTION("""COMPUTED_VALUE"""),"Uganda")</f>
        <v>Uganda</v>
      </c>
      <c r="D160" s="697" t="str">
        <f>IFERROR(__xludf.DUMMYFUNCTION("""COMPUTED_VALUE"""),"Praziquantel")</f>
        <v>Praziquantel</v>
      </c>
      <c r="E160" s="697" t="str">
        <f>IFERROR(__xludf.DUMMYFUNCTION("""COMPUTED_VALUE"""),"Single")</f>
        <v>Single</v>
      </c>
      <c r="F160" s="697" t="str">
        <f>IFERROR(__xludf.DUMMYFUNCTION("""COMPUTED_VALUE"""),"40 mg/kg")</f>
        <v>40 mg/kg</v>
      </c>
      <c r="G160" s="697">
        <f>IFERROR(__xludf.DUMMYFUNCTION("""COMPUTED_VALUE"""),201.0)</f>
        <v>201</v>
      </c>
      <c r="H160" s="697" t="str">
        <f>IFERROR(__xludf.DUMMYFUNCTION("""COMPUTED_VALUE"""),"pregnant women")</f>
        <v>pregnant women</v>
      </c>
      <c r="I160" s="705" t="str">
        <f>IFERROR(__xludf.DUMMYFUNCTION("""COMPUTED_VALUE"""),"female ")</f>
        <v>female </v>
      </c>
      <c r="J160" s="697">
        <f>IFERROR(__xludf.DUMMYFUNCTION("""COMPUTED_VALUE"""),2011.0)</f>
        <v>2011</v>
      </c>
      <c r="K160" s="697" t="str">
        <f>IFERROR(__xludf.DUMMYFUNCTION("""COMPUTED_VALUE"""),"Offspring of women with Schistosoma mansoni were examined for cytokine and antibody responses to schistosome worm (SWA) and egg (SEA) antigen, in cord blood and at age one year. Relationships to maternal responses and pre-treatment infection intensities w"&amp;"ere examined, and responses were compared between the offspring of women who did, or did not receive praziquantel treatment during pregnancy.")</f>
        <v>Offspring of women with Schistosoma mansoni were examined for cytokine and antibody responses to schistosome worm (SWA) and egg (SEA) antigen, in cord blood and at age one year. Relationships to maternal responses and pre-treatment infection intensities were examined, and responses were compared between the offspring of women who did, or did not receive praziquantel treatment during pregnancy.</v>
      </c>
      <c r="L160" s="697" t="str">
        <f>IFERROR(__xludf.DUMMYFUNCTION("""COMPUTED_VALUE"""),"Yes")</f>
        <v>Yes</v>
      </c>
      <c r="M160" s="697" t="str">
        <f>IFERROR(__xludf.DUMMYFUNCTION("""COMPUTED_VALUE"""),"Yes")</f>
        <v>Yes</v>
      </c>
      <c r="N160" s="697" t="str">
        <f>IFERROR(__xludf.DUMMYFUNCTION("""COMPUTED_VALUE"""),"follow-up: six weeks")</f>
        <v>follow-up: six weeks</v>
      </c>
      <c r="O160" s="706">
        <f>IFERROR(__xludf.DUMMYFUNCTION("""COMPUTED_VALUE"""),0.819)</f>
        <v>0.819</v>
      </c>
      <c r="P160" s="697"/>
      <c r="Q160" s="697" t="str">
        <f>IFERROR(__xludf.DUMMYFUNCTION("""COMPUTED_VALUE"""),"This study, the first to examine the impact of praziquantel treatment during pregnancy, has shown that S mansoni antigen-specific antibody levels and praziquantel-induced boosts in the antibody levels are broadly low during pregnancy, but that this is not"&amp;" associated with any major reduction in the efficacy of praziquantel in the treatment of light to moderate intensity S. mansoni infections: a result that is reassuring from a public health perspective. Effects of pregnancy on the response to praziquantel "&amp;"among populations with higher S. mansoni infection intensities, and among women with S. haematobium or S. japonicum, and the long-term implications of these findings, particularly in relation to resistance to re-infection, remain to be explored.")</f>
        <v>This study, the first to examine the impact of praziquantel treatment during pregnancy, has shown that S mansoni antigen-specific antibody levels and praziquantel-induced boosts in the antibody levels are broadly low during pregnancy, but that this is not associated with any major reduction in the efficacy of praziquantel in the treatment of light to moderate intensity S. mansoni infections: a result that is reassuring from a public health perspective. Effects of pregnancy on the response to praziquantel among populations with higher S. mansoni infection intensities, and among women with S. haematobium or S. japonicum, and the long-term implications of these findings, particularly in relation to resistance to re-infection, remain to be explored.</v>
      </c>
      <c r="R160" s="697" t="str">
        <f>IFERROR(__xludf.DUMMYFUNCTION("""COMPUTED_VALUE"""),"Effect of praziquantel treatment of Schistosoma mansoni during pregnancy on intensity of infection and antibody responses to schistosome antigens: results of a randomised, placebo-controlled trial")</f>
        <v>Effect of praziquantel treatment of Schistosoma mansoni during pregnancy on intensity of infection and antibody responses to schistosome antigens: results of a randomised, placebo-controlled trial</v>
      </c>
      <c r="S160" s="699" t="str">
        <f>IFERROR(__xludf.DUMMYFUNCTION("""COMPUTED_VALUE"""),"Tweyongyere, Robert, et al. ""Effect of praziquantel treatment of Schistosoma mansoni during pregnancy on intensity of infection and antibody responses to schistosome antigens: results of a randomised, placebo-controlled trial.""BMC infectious diseases 9."&amp;"1 (2009): 32.")</f>
        <v>Tweyongyere, Robert, et al. "Effect of praziquantel treatment of Schistosoma mansoni during pregnancy on intensity of infection and antibody responses to schistosome antigens: results of a randomised, placebo-controlled trial."BMC infectious diseases 9.1 (2009): 32.</v>
      </c>
      <c r="T160" s="697"/>
      <c r="U160" s="697" t="str">
        <f>IFERROR(__xludf.DUMMYFUNCTION("""COMPUTED_VALUE"""),"")</f>
        <v/>
      </c>
      <c r="V160" s="697">
        <f>IFERROR(__xludf.DUMMYFUNCTION("""COMPUTED_VALUE"""),160.0)</f>
        <v>160</v>
      </c>
    </row>
    <row r="161">
      <c r="A161" s="697" t="str">
        <f>IFERROR(__xludf.DUMMYFUNCTION("""COMPUTED_VALUE"""),"Vector J, 2010")</f>
        <v>Vector J, 2010</v>
      </c>
      <c r="B161" s="697" t="str">
        <f>IFERROR(__xludf.DUMMYFUNCTION("""COMPUTED_VALUE"""),"s. mansoni")</f>
        <v>s. mansoni</v>
      </c>
      <c r="C161" s="697" t="str">
        <f>IFERROR(__xludf.DUMMYFUNCTION("""COMPUTED_VALUE"""),"Saint Lucia")</f>
        <v>Saint Lucia</v>
      </c>
      <c r="D161" s="697" t="str">
        <f>IFERROR(__xludf.DUMMYFUNCTION("""COMPUTED_VALUE"""),"Praziquantel")</f>
        <v>Praziquantel</v>
      </c>
      <c r="E161" s="697" t="str">
        <f>IFERROR(__xludf.DUMMYFUNCTION("""COMPUTED_VALUE"""),"Single")</f>
        <v>Single</v>
      </c>
      <c r="F161" s="697" t="str">
        <f>IFERROR(__xludf.DUMMYFUNCTION("""COMPUTED_VALUE"""),"40 mg/kg")</f>
        <v>40 mg/kg</v>
      </c>
      <c r="G161" s="697">
        <f>IFERROR(__xludf.DUMMYFUNCTION("""COMPUTED_VALUE"""),4.0)</f>
        <v>4</v>
      </c>
      <c r="H161" s="697" t="str">
        <f>IFERROR(__xludf.DUMMYFUNCTION("""COMPUTED_VALUE"""),"0-19 ")</f>
        <v>0-19 </v>
      </c>
      <c r="I161" s="705" t="str">
        <f>IFERROR(__xludf.DUMMYFUNCTION("""COMPUTED_VALUE"""),"1:1")</f>
        <v>1:1</v>
      </c>
      <c r="J161" s="697">
        <f>IFERROR(__xludf.DUMMYFUNCTION("""COMPUTED_VALUE"""),2006.0)</f>
        <v>2006</v>
      </c>
      <c r="K161" s="697" t="str">
        <f>IFERROR(__xludf.DUMMYFUNCTION("""COMPUTED_VALUE"""),"Epidemiology and control of Schistosomiasis and other intestinal parasitic infections among school children in three rural villages of south Saint Lucia")</f>
        <v>Epidemiology and control of Schistosomiasis and other intestinal parasitic infections among school children in three rural villages of south Saint Lucia</v>
      </c>
      <c r="L161" s="697" t="str">
        <f>IFERROR(__xludf.DUMMYFUNCTION("""COMPUTED_VALUE"""),"No")</f>
        <v>No</v>
      </c>
      <c r="M161" s="697" t="str">
        <f>IFERROR(__xludf.DUMMYFUNCTION("""COMPUTED_VALUE"""),"No")</f>
        <v>No</v>
      </c>
      <c r="N161" s="697" t="str">
        <f>IFERROR(__xludf.DUMMYFUNCTION("""COMPUTED_VALUE"""),"6 months ")</f>
        <v>6 months </v>
      </c>
      <c r="O161" s="700">
        <f>IFERROR(__xludf.DUMMYFUNCTION("""COMPUTED_VALUE"""),1.0)</f>
        <v>1</v>
      </c>
      <c r="P161" s="700">
        <f>IFERROR(__xludf.DUMMYFUNCTION("""COMPUTED_VALUE"""),1.0)</f>
        <v>1</v>
      </c>
      <c r="Q161" s="697" t="str">
        <f>IFERROR(__xludf.DUMMYFUNCTION("""COMPUTED_VALUE"""),"This current study showed successful effort to control intestinal parasitic infection, focusing the school age population")</f>
        <v>This current study showed successful effort to control intestinal parasitic infection, focusing the school age population</v>
      </c>
      <c r="R161" s="697" t="str">
        <f>IFERROR(__xludf.DUMMYFUNCTION("""COMPUTED_VALUE"""),"The purpose of this study was to determine the epidemiology of parasitic infections and the efficacy of treatment among school children in rural villages of south Saint Lucia.")</f>
        <v>The purpose of this study was to determine the epidemiology of parasitic infections and the efficacy of treatment among school children in rural villages of south Saint Lucia.</v>
      </c>
      <c r="S161" s="699" t="str">
        <f>IFERROR(__xludf.DUMMYFUNCTION("""COMPUTED_VALUE"""),"Kurup, Rajini, and Gurdip S. Hunjan. ""Epidemiology and control of Schistosomiasis and other intestinal parasitic infections among school children in three rural villages of south Saint Lucia."" Journal of vector borne diseases 47.4 (2010): 228.")</f>
        <v>Kurup, Rajini, and Gurdip S. Hunjan. "Epidemiology and control of Schistosomiasis and other intestinal parasitic infections among school children in three rural villages of south Saint Lucia." Journal of vector borne diseases 47.4 (2010): 228.</v>
      </c>
      <c r="T161" s="697"/>
      <c r="U161" s="697" t="str">
        <f>IFERROR(__xludf.DUMMYFUNCTION("""COMPUTED_VALUE"""),"x")</f>
        <v>x</v>
      </c>
      <c r="V161" s="697">
        <f>IFERROR(__xludf.DUMMYFUNCTION("""COMPUTED_VALUE"""),161.0)</f>
        <v>161</v>
      </c>
    </row>
    <row r="162">
      <c r="A162" s="697" t="str">
        <f>IFERROR(__xludf.DUMMYFUNCTION("""COMPUTED_VALUE"""),"Webster BL, 2012")</f>
        <v>Webster BL, 2012</v>
      </c>
      <c r="B162" s="697" t="str">
        <f>IFERROR(__xludf.DUMMYFUNCTION("""COMPUTED_VALUE"""),"s. mansoni")</f>
        <v>s. mansoni</v>
      </c>
      <c r="C162" s="697" t="str">
        <f>IFERROR(__xludf.DUMMYFUNCTION("""COMPUTED_VALUE"""),"Senegal")</f>
        <v>Senegal</v>
      </c>
      <c r="D162" s="697" t="str">
        <f>IFERROR(__xludf.DUMMYFUNCTION("""COMPUTED_VALUE"""),"Praziquantel")</f>
        <v>Praziquantel</v>
      </c>
      <c r="E162" s="697" t="str">
        <f>IFERROR(__xludf.DUMMYFUNCTION("""COMPUTED_VALUE"""),"Two")</f>
        <v>Two</v>
      </c>
      <c r="F162" s="697" t="str">
        <f>IFERROR(__xludf.DUMMYFUNCTION("""COMPUTED_VALUE"""),"40 mg/kg")</f>
        <v>40 mg/kg</v>
      </c>
      <c r="G162" s="697">
        <f>IFERROR(__xludf.DUMMYFUNCTION("""COMPUTED_VALUE"""),107.0)</f>
        <v>107</v>
      </c>
      <c r="H162" s="697" t="str">
        <f>IFERROR(__xludf.DUMMYFUNCTION("""COMPUTED_VALUE"""),"3 - 15")</f>
        <v>3 - 15</v>
      </c>
      <c r="I162" s="705" t="str">
        <f>IFERROR(__xludf.DUMMYFUNCTION("""COMPUTED_VALUE"""),"1:1.4")</f>
        <v>1:1.4</v>
      </c>
      <c r="J162" s="697">
        <f>IFERROR(__xludf.DUMMYFUNCTION("""COMPUTED_VALUE"""),2007.0)</f>
        <v>2007</v>
      </c>
      <c r="K162" s="697" t="str">
        <f>IFERROR(__xludf.DUMMYFUNCTION("""COMPUTED_VALUE"""),"Children were either single infected or co-infected with S.mansoni (9 years old)")</f>
        <v>Children were either single infected or co-infected with S.mansoni (9 years old)</v>
      </c>
      <c r="L162" s="697" t="str">
        <f>IFERROR(__xludf.DUMMYFUNCTION("""COMPUTED_VALUE"""),"No")</f>
        <v>No</v>
      </c>
      <c r="M162" s="697" t="str">
        <f>IFERROR(__xludf.DUMMYFUNCTION("""COMPUTED_VALUE"""),"No")</f>
        <v>No</v>
      </c>
      <c r="N162" s="697" t="str">
        <f>IFERROR(__xludf.DUMMYFUNCTION("""COMPUTED_VALUE"""),"Efficacy was accessed at 6 weeks and followed up at 6 months and 12 months with urine and stool sample examined for eggs. Drug efficacy was measured by assessing cure rate (percent of children positive for egg-patent infection becoming negative after trea"&amp;"tment")</f>
        <v>Efficacy was accessed at 6 weeks and followed up at 6 months and 12 months with urine and stool sample examined for eggs. Drug efficacy was measured by assessing cure rate (percent of children positive for egg-patent infection becoming negative after treatment</v>
      </c>
      <c r="O162" s="700">
        <f>IFERROR(__xludf.DUMMYFUNCTION("""COMPUTED_VALUE"""),0.81)</f>
        <v>0.81</v>
      </c>
      <c r="P162" s="698">
        <f>IFERROR(__xludf.DUMMYFUNCTION("""COMPUTED_VALUE"""),0.984)</f>
        <v>0.984</v>
      </c>
      <c r="Q162" s="697" t="str">
        <f>IFERROR(__xludf.DUMMYFUNCTION("""COMPUTED_VALUE"""),"The data show that high and rapid re-infection rates occur, especially for S. mansoni, within a six-month period following treatment.")</f>
        <v>The data show that high and rapid re-infection rates occur, especially for S. mansoni, within a six-month period following treatment.</v>
      </c>
      <c r="R162" s="697" t="str">
        <f>IFERROR(__xludf.DUMMYFUNCTION("""COMPUTED_VALUE"""),"Praziquantel treatment of school children from single and mixed infection foci of intestinal and urogenital schistosomiasis along the Senegal River Basin: monitoring treatment success and re-infection patterns.")</f>
        <v>Praziquantel treatment of school children from single and mixed infection foci of intestinal and urogenital schistosomiasis along the Senegal River Basin: monitoring treatment success and re-infection patterns.</v>
      </c>
      <c r="S162" s="699" t="str">
        <f>IFERROR(__xludf.DUMMYFUNCTION("""COMPUTED_VALUE"""),"Webster, Bonnie L., Oumar T. Diaw, Mohmoudane M. Seye, Djibril S. Faye, J. Russell Stothard, Jose C. Sousa-Figueiredo, and David Rollinson. ""Praziquantel Treatment of School Children from Single and Mixed Infection Foci of Intestinal and Urogenital Schis"&amp;"tosomiasis along the Senegal River Basin: Monitoring Treatment Success and Re-infection Patterns."" Acta Tropica 128, no. 2, 292-302.")</f>
        <v>Webster, Bonnie L., Oumar T. Diaw, Mohmoudane M. Seye, Djibril S. Faye, J. Russell Stothard, Jose C. Sousa-Figueiredo, and David Rollinson. "Praziquantel Treatment of School Children from Single and Mixed Infection Foci of Intestinal and Urogenital Schistosomiasis along the Senegal River Basin: Monitoring Treatment Success and Re-infection Patterns." Acta Tropica 128, no. 2, 292-302.</v>
      </c>
      <c r="T162" s="697"/>
      <c r="U162" s="697" t="str">
        <f>IFERROR(__xludf.DUMMYFUNCTION("""COMPUTED_VALUE"""),"x")</f>
        <v>x</v>
      </c>
      <c r="V162" s="697">
        <f>IFERROR(__xludf.DUMMYFUNCTION("""COMPUTED_VALUE"""),162.0)</f>
        <v>162</v>
      </c>
    </row>
    <row r="163">
      <c r="A163" s="697" t="str">
        <f>IFERROR(__xludf.DUMMYFUNCTION("""COMPUTED_VALUE"""),"Webster BL, 2012")</f>
        <v>Webster BL, 2012</v>
      </c>
      <c r="B163" s="697" t="str">
        <f>IFERROR(__xludf.DUMMYFUNCTION("""COMPUTED_VALUE"""),"s. mansoni")</f>
        <v>s. mansoni</v>
      </c>
      <c r="C163" s="697" t="str">
        <f>IFERROR(__xludf.DUMMYFUNCTION("""COMPUTED_VALUE"""),"Senegal")</f>
        <v>Senegal</v>
      </c>
      <c r="D163" s="697" t="str">
        <f>IFERROR(__xludf.DUMMYFUNCTION("""COMPUTED_VALUE"""),"Praziquantel")</f>
        <v>Praziquantel</v>
      </c>
      <c r="E163" s="697" t="str">
        <f>IFERROR(__xludf.DUMMYFUNCTION("""COMPUTED_VALUE"""),"Two")</f>
        <v>Two</v>
      </c>
      <c r="F163" s="697" t="str">
        <f>IFERROR(__xludf.DUMMYFUNCTION("""COMPUTED_VALUE"""),"40 mg/kg")</f>
        <v>40 mg/kg</v>
      </c>
      <c r="G163" s="697">
        <f>IFERROR(__xludf.DUMMYFUNCTION("""COMPUTED_VALUE"""),89.0)</f>
        <v>89</v>
      </c>
      <c r="H163" s="697" t="str">
        <f>IFERROR(__xludf.DUMMYFUNCTION("""COMPUTED_VALUE"""),"6 - 14")</f>
        <v>6 - 14</v>
      </c>
      <c r="I163" s="705" t="str">
        <f>IFERROR(__xludf.DUMMYFUNCTION("""COMPUTED_VALUE"""),"1:1.34")</f>
        <v>1:1.34</v>
      </c>
      <c r="J163" s="697">
        <f>IFERROR(__xludf.DUMMYFUNCTION("""COMPUTED_VALUE"""),2007.0)</f>
        <v>2007</v>
      </c>
      <c r="K163" s="697" t="str">
        <f>IFERROR(__xludf.DUMMYFUNCTION("""COMPUTED_VALUE"""),"9 year old children were infected with S.mansoni ")</f>
        <v>9 year old children were infected with S.mansoni </v>
      </c>
      <c r="L163" s="697" t="str">
        <f>IFERROR(__xludf.DUMMYFUNCTION("""COMPUTED_VALUE"""),"No")</f>
        <v>No</v>
      </c>
      <c r="M163" s="697" t="str">
        <f>IFERROR(__xludf.DUMMYFUNCTION("""COMPUTED_VALUE"""),"No")</f>
        <v>No</v>
      </c>
      <c r="N163" s="697" t="str">
        <f>IFERROR(__xludf.DUMMYFUNCTION("""COMPUTED_VALUE"""),"Efficacy was accessed at 6 weeks and followed up at 6 months and 12 months with urine and stool sample examined for eggs. Drug efficacy was measured by assessing cure rate (percent of children positive for egg-patent infection becoming negative after trea"&amp;"tment")</f>
        <v>Efficacy was accessed at 6 weeks and followed up at 6 months and 12 months with urine and stool sample examined for eggs. Drug efficacy was measured by assessing cure rate (percent of children positive for egg-patent infection becoming negative after treatment</v>
      </c>
      <c r="O163" s="698">
        <f>IFERROR(__xludf.DUMMYFUNCTION("""COMPUTED_VALUE"""),0.955)</f>
        <v>0.955</v>
      </c>
      <c r="P163" s="698">
        <f>IFERROR(__xludf.DUMMYFUNCTION("""COMPUTED_VALUE"""),0.989)</f>
        <v>0.989</v>
      </c>
      <c r="Q163" s="697" t="str">
        <f>IFERROR(__xludf.DUMMYFUNCTION("""COMPUTED_VALUE"""),"The data show that high and rapid re-infection rates occur, especially for S. mansoni, within a six-month period following treatment.")</f>
        <v>The data show that high and rapid re-infection rates occur, especially for S. mansoni, within a six-month period following treatment.</v>
      </c>
      <c r="R163" s="697" t="str">
        <f>IFERROR(__xludf.DUMMYFUNCTION("""COMPUTED_VALUE"""),"Praziquantel treatment of school children from single and mixed infection foci of intestinal and urogenital schistosomiasis along the Senegal River Basin: monitoring treatment success and re-infection patterns.")</f>
        <v>Praziquantel treatment of school children from single and mixed infection foci of intestinal and urogenital schistosomiasis along the Senegal River Basin: monitoring treatment success and re-infection patterns.</v>
      </c>
      <c r="S163" s="699" t="str">
        <f>IFERROR(__xludf.DUMMYFUNCTION("""COMPUTED_VALUE"""),"Webster, Bonnie L., Oumar T. Diaw, Mohmoudane M. Seye, Djibril S. Faye, J. Russell Stothard, Jose C. Sousa-Figueiredo, and David Rollinson. ""Praziquantel Treatment of School Children from Single and Mixed Infection Foci of Intestinal and Urogenital Schis"&amp;"tosomiasis along the Senegal River Basin: Monitoring Treatment Success and Re-infection Patterns."" Acta Tropica 128, no. 2, 292-302.")</f>
        <v>Webster, Bonnie L., Oumar T. Diaw, Mohmoudane M. Seye, Djibril S. Faye, J. Russell Stothard, Jose C. Sousa-Figueiredo, and David Rollinson. "Praziquantel Treatment of School Children from Single and Mixed Infection Foci of Intestinal and Urogenital Schistosomiasis along the Senegal River Basin: Monitoring Treatment Success and Re-infection Patterns." Acta Tropica 128, no. 2, 292-302.</v>
      </c>
      <c r="T163" s="697"/>
      <c r="U163" s="697" t="str">
        <f>IFERROR(__xludf.DUMMYFUNCTION("""COMPUTED_VALUE"""),"x")</f>
        <v>x</v>
      </c>
      <c r="V163" s="697">
        <f>IFERROR(__xludf.DUMMYFUNCTION("""COMPUTED_VALUE"""),163.0)</f>
        <v>163</v>
      </c>
    </row>
    <row r="164">
      <c r="A164" s="697" t="str">
        <f>IFERROR(__xludf.DUMMYFUNCTION("""COMPUTED_VALUE"""),"Zwingenberger K, 1987")</f>
        <v>Zwingenberger K, 1987</v>
      </c>
      <c r="B164" s="697" t="str">
        <f>IFERROR(__xludf.DUMMYFUNCTION("""COMPUTED_VALUE"""),"s. mansoni")</f>
        <v>s. mansoni</v>
      </c>
      <c r="C164" s="697" t="str">
        <f>IFERROR(__xludf.DUMMYFUNCTION("""COMPUTED_VALUE"""),"Brazil")</f>
        <v>Brazil</v>
      </c>
      <c r="D164" s="697" t="str">
        <f>IFERROR(__xludf.DUMMYFUNCTION("""COMPUTED_VALUE"""),"Praziquantel")</f>
        <v>Praziquantel</v>
      </c>
      <c r="E164" s="697" t="str">
        <f>IFERROR(__xludf.DUMMYFUNCTION("""COMPUTED_VALUE"""),"Two")</f>
        <v>Two</v>
      </c>
      <c r="F164" s="697" t="str">
        <f>IFERROR(__xludf.DUMMYFUNCTION("""COMPUTED_VALUE"""),"20 mg/kg")</f>
        <v>20 mg/kg</v>
      </c>
      <c r="G164" s="697">
        <f>IFERROR(__xludf.DUMMYFUNCTION("""COMPUTED_VALUE"""),24.0)</f>
        <v>24</v>
      </c>
      <c r="H164" s="697" t="str">
        <f>IFERROR(__xludf.DUMMYFUNCTION("""COMPUTED_VALUE"""),"10 - 62 ")</f>
        <v>10 - 62 </v>
      </c>
      <c r="I164" s="705" t="str">
        <f>IFERROR(__xludf.DUMMYFUNCTION("""COMPUTED_VALUE"""),"16:8")</f>
        <v>16:8</v>
      </c>
      <c r="J164" s="697">
        <f>IFERROR(__xludf.DUMMYFUNCTION("""COMPUTED_VALUE"""),1987.0)</f>
        <v>1987</v>
      </c>
      <c r="K164" s="697" t="str">
        <f>IFERROR(__xludf.DUMMYFUNCTION("""COMPUTED_VALUE"""),"individuals aged 10 to 62 years with S. mansoni diagnosed in a para- sitological survey")</f>
        <v>individuals aged 10 to 62 years with S. mansoni diagnosed in a para- sitological survey</v>
      </c>
      <c r="L164" s="697" t="str">
        <f>IFERROR(__xludf.DUMMYFUNCTION("""COMPUTED_VALUE"""),"No")</f>
        <v>No</v>
      </c>
      <c r="M164" s="697" t="str">
        <f>IFERROR(__xludf.DUMMYFUNCTION("""COMPUTED_VALUE"""),"Yes")</f>
        <v>Yes</v>
      </c>
      <c r="N164" s="697" t="str">
        <f>IFERROR(__xludf.DUMMYFUNCTION("""COMPUTED_VALUE"""),"Follow-up: three, six and 12 months. The achieved cure râtes, âs defined by absence of S. mansoni eggs in the faeces of individual pâtients at alt points during the parasitological follou¡ up")</f>
        <v>Follow-up: three, six and 12 months. The achieved cure râtes, âs defined by absence of S. mansoni eggs in the faeces of individual pâtients at alt points during the parasitological follou¡ up</v>
      </c>
      <c r="O164" s="698">
        <f>IFERROR(__xludf.DUMMYFUNCTION("""COMPUTED_VALUE"""),0.818)</f>
        <v>0.818</v>
      </c>
      <c r="P164" s="697"/>
      <c r="Q164" s="697" t="str">
        <f>IFERROR(__xludf.DUMMYFUNCTION("""COMPUTED_VALUE"""),"In conclusion, a single dose administration of oxamniquine 15 mg/kg or praziquantel40 mg/kg or a half-dose combination of both drugs proved to be similarly effective in schistosomiasis mansoni in Brâzil, as anâlogous cure rates and reductions of egg excre"&amp;"tion in non-cured cases were achieved.")</f>
        <v>In conclusion, a single dose administration of oxamniquine 15 mg/kg or praziquantel40 mg/kg or a half-dose combination of both drugs proved to be similarly effective in schistosomiasis mansoni in Brâzil, as anâlogous cure rates and reductions of egg excretion in non-cured cases were achieved.</v>
      </c>
      <c r="R164" s="697" t="str">
        <f>IFERROR(__xludf.DUMMYFUNCTION("""COMPUTED_VALUE"""),"EFFICACY OF OXAMNIOUINE, PRAZIOUANTEL AND A COMBINATION IN SCHISTOSOMIASIS MANSONI IN BRAZIL")</f>
        <v>EFFICACY OF OXAMNIOUINE, PRAZIOUANTEL AND A COMBINATION IN SCHISTOSOMIASIS MANSONI IN BRAZIL</v>
      </c>
      <c r="S164" s="699" t="str">
        <f>IFERROR(__xludf.DUMMYFUNCTION("""COMPUTED_VALUE"""),"Zwingenberger K, Queiroz JA, Poggensee U, Alencar JE, Valdegunas J, Esmeralda F, et al.Efficacy of oxamniquine, praziquantel and a combination of both drugs in schistosomiasis mansoni in Brazil. Revista do Instituto de Medicina Tropical de São Paulo 1987;"&amp;"29(5):305–11.")</f>
        <v>Zwingenberger K, Queiroz JA, Poggensee U, Alencar JE, Valdegunas J, Esmeralda F, et al.Efficacy of oxamniquine, praziquantel and a combination of both drugs in schistosomiasis mansoni in Brazil. Revista do Instituto de Medicina Tropical de São Paulo 1987;29(5):305–11.</v>
      </c>
      <c r="T164" s="697"/>
      <c r="U164" s="697" t="str">
        <f>IFERROR(__xludf.DUMMYFUNCTION("""COMPUTED_VALUE"""),"")</f>
        <v/>
      </c>
      <c r="V164" s="697">
        <f>IFERROR(__xludf.DUMMYFUNCTION("""COMPUTED_VALUE"""),164.0)</f>
        <v>164</v>
      </c>
    </row>
    <row r="165">
      <c r="A165" s="697" t="str">
        <f>IFERROR(__xludf.DUMMYFUNCTION("""COMPUTED_VALUE"""),"Zwingenberger K, 1987")</f>
        <v>Zwingenberger K, 1987</v>
      </c>
      <c r="B165" s="697" t="str">
        <f>IFERROR(__xludf.DUMMYFUNCTION("""COMPUTED_VALUE"""),"s. mansoni")</f>
        <v>s. mansoni</v>
      </c>
      <c r="C165" s="697" t="str">
        <f>IFERROR(__xludf.DUMMYFUNCTION("""COMPUTED_VALUE"""),"Brazil")</f>
        <v>Brazil</v>
      </c>
      <c r="D165" s="697" t="str">
        <f>IFERROR(__xludf.DUMMYFUNCTION("""COMPUTED_VALUE"""),"Oxamniquine")</f>
        <v>Oxamniquine</v>
      </c>
      <c r="E165" s="697" t="str">
        <f>IFERROR(__xludf.DUMMYFUNCTION("""COMPUTED_VALUE"""),"Single")</f>
        <v>Single</v>
      </c>
      <c r="F165" s="697" t="str">
        <f>IFERROR(__xludf.DUMMYFUNCTION("""COMPUTED_VALUE"""),"15 mg/kg")</f>
        <v>15 mg/kg</v>
      </c>
      <c r="G165" s="697">
        <f>IFERROR(__xludf.DUMMYFUNCTION("""COMPUTED_VALUE"""),32.0)</f>
        <v>32</v>
      </c>
      <c r="H165" s="697" t="str">
        <f>IFERROR(__xludf.DUMMYFUNCTION("""COMPUTED_VALUE"""),"10 - 62")</f>
        <v>10 - 62</v>
      </c>
      <c r="I165" s="705" t="str">
        <f>IFERROR(__xludf.DUMMYFUNCTION("""COMPUTED_VALUE"""),"24:7")</f>
        <v>24:7</v>
      </c>
      <c r="J165" s="697">
        <f>IFERROR(__xludf.DUMMYFUNCTION("""COMPUTED_VALUE"""),1987.0)</f>
        <v>1987</v>
      </c>
      <c r="K165" s="697" t="str">
        <f>IFERROR(__xludf.DUMMYFUNCTION("""COMPUTED_VALUE"""),"individuals aged 10 to 62 years with S. mansoni diagnosed in a para- sitological survey")</f>
        <v>individuals aged 10 to 62 years with S. mansoni diagnosed in a para- sitological survey</v>
      </c>
      <c r="L165" s="697" t="str">
        <f>IFERROR(__xludf.DUMMYFUNCTION("""COMPUTED_VALUE"""),"No")</f>
        <v>No</v>
      </c>
      <c r="M165" s="697" t="str">
        <f>IFERROR(__xludf.DUMMYFUNCTION("""COMPUTED_VALUE"""),"Yes")</f>
        <v>Yes</v>
      </c>
      <c r="N165" s="697" t="str">
        <f>IFERROR(__xludf.DUMMYFUNCTION("""COMPUTED_VALUE"""),"Follow-up: three, six and 12 months. The achieved cure râtes, âs defined by absence of S. mansoni eggs in the faeces of individual pâtients at alt points during the parasitological follou¡ up")</f>
        <v>Follow-up: three, six and 12 months. The achieved cure râtes, âs defined by absence of S. mansoni eggs in the faeces of individual pâtients at alt points during the parasitological follou¡ up</v>
      </c>
      <c r="O165" s="698">
        <f>IFERROR(__xludf.DUMMYFUNCTION("""COMPUTED_VALUE"""),0.812)</f>
        <v>0.812</v>
      </c>
      <c r="P165" s="697"/>
      <c r="Q165" s="697" t="str">
        <f>IFERROR(__xludf.DUMMYFUNCTION("""COMPUTED_VALUE"""),"In conclusion, a single dose administration of oxamniquine 15 mg/kg or praziquantel40 mg/kg or a half-dose combination of both drugs proved to be similarly effective in schistosomiasis mansoni in Brâzil, as anâlogous cure rates and reductions of egg excre"&amp;"tion in non-cured cases were achieved.")</f>
        <v>In conclusion, a single dose administration of oxamniquine 15 mg/kg or praziquantel40 mg/kg or a half-dose combination of both drugs proved to be similarly effective in schistosomiasis mansoni in Brâzil, as anâlogous cure rates and reductions of egg excretion in non-cured cases were achieved.</v>
      </c>
      <c r="R165" s="697" t="str">
        <f>IFERROR(__xludf.DUMMYFUNCTION("""COMPUTED_VALUE"""),"EFFICACY OF OXAMNIOUINE, PRAZIOUANTEL AND A COMBINATION IN SCHISTOSOMIASIS MANSONI IN BRAZIL")</f>
        <v>EFFICACY OF OXAMNIOUINE, PRAZIOUANTEL AND A COMBINATION IN SCHISTOSOMIASIS MANSONI IN BRAZIL</v>
      </c>
      <c r="S165" s="699" t="str">
        <f>IFERROR(__xludf.DUMMYFUNCTION("""COMPUTED_VALUE"""),"Zwingenberger K, Queiroz JA, Poggensee U, Alencar JE, Valdegunas J, Esmeralda F, et al.Efficacy of oxamniquine, praziquantel and a combination of both drugs in schistosomiasis mansoni in Brazil. Revista do Instituto de Medicina Tropical de São Paulo 1987;"&amp;"29(5):305–11.")</f>
        <v>Zwingenberger K, Queiroz JA, Poggensee U, Alencar JE, Valdegunas J, Esmeralda F, et al.Efficacy of oxamniquine, praziquantel and a combination of both drugs in schistosomiasis mansoni in Brazil. Revista do Instituto de Medicina Tropical de São Paulo 1987;29(5):305–11.</v>
      </c>
      <c r="T165" s="697"/>
      <c r="U165" s="697" t="str">
        <f>IFERROR(__xludf.DUMMYFUNCTION("""COMPUTED_VALUE"""),"")</f>
        <v/>
      </c>
      <c r="V165" s="697">
        <f>IFERROR(__xludf.DUMMYFUNCTION("""COMPUTED_VALUE"""),165.0)</f>
        <v>165</v>
      </c>
    </row>
    <row r="166">
      <c r="A166" s="697" t="str">
        <f>IFERROR(__xludf.DUMMYFUNCTION("""COMPUTED_VALUE"""),"Zwingenberger K, 1987")</f>
        <v>Zwingenberger K, 1987</v>
      </c>
      <c r="B166" s="697" t="str">
        <f>IFERROR(__xludf.DUMMYFUNCTION("""COMPUTED_VALUE"""),"s. mansoni")</f>
        <v>s. mansoni</v>
      </c>
      <c r="C166" s="697" t="str">
        <f>IFERROR(__xludf.DUMMYFUNCTION("""COMPUTED_VALUE"""),"Brazil")</f>
        <v>Brazil</v>
      </c>
      <c r="D166" s="697" t="str">
        <f>IFERROR(__xludf.DUMMYFUNCTION("""COMPUTED_VALUE"""),"Oxamniquine &amp; Praziquantel")</f>
        <v>Oxamniquine &amp; Praziquantel</v>
      </c>
      <c r="E166" s="697" t="str">
        <f>IFERROR(__xludf.DUMMYFUNCTION("""COMPUTED_VALUE"""),"Single")</f>
        <v>Single</v>
      </c>
      <c r="F166" s="697" t="str">
        <f>IFERROR(__xludf.DUMMYFUNCTION("""COMPUTED_VALUE"""),"7.5 mg/kg; 20 mg/kg")</f>
        <v>7.5 mg/kg; 20 mg/kg</v>
      </c>
      <c r="G166" s="697">
        <f>IFERROR(__xludf.DUMMYFUNCTION("""COMPUTED_VALUE"""),35.0)</f>
        <v>35</v>
      </c>
      <c r="H166" s="697" t="str">
        <f>IFERROR(__xludf.DUMMYFUNCTION("""COMPUTED_VALUE"""),"10 - 62")</f>
        <v>10 - 62</v>
      </c>
      <c r="I166" s="705" t="str">
        <f>IFERROR(__xludf.DUMMYFUNCTION("""COMPUTED_VALUE"""),"29:6")</f>
        <v>29:6</v>
      </c>
      <c r="J166" s="697">
        <f>IFERROR(__xludf.DUMMYFUNCTION("""COMPUTED_VALUE"""),1987.0)</f>
        <v>1987</v>
      </c>
      <c r="K166" s="697" t="str">
        <f>IFERROR(__xludf.DUMMYFUNCTION("""COMPUTED_VALUE"""),"individuals aged 10 to 62 years with S. mansoni diagnosed in a para- sitological survey")</f>
        <v>individuals aged 10 to 62 years with S. mansoni diagnosed in a para- sitological survey</v>
      </c>
      <c r="L166" s="697" t="str">
        <f>IFERROR(__xludf.DUMMYFUNCTION("""COMPUTED_VALUE"""),"No")</f>
        <v>No</v>
      </c>
      <c r="M166" s="697" t="str">
        <f>IFERROR(__xludf.DUMMYFUNCTION("""COMPUTED_VALUE"""),"Yes")</f>
        <v>Yes</v>
      </c>
      <c r="N166" s="697" t="str">
        <f>IFERROR(__xludf.DUMMYFUNCTION("""COMPUTED_VALUE"""),"Follow-up: three, six and 12 months. The achieved cure râtes, âs defined by absence of S. mansoni eggs in the faeces of individual pâtients at alt points during the parasitological follou¡ up")</f>
        <v>Follow-up: three, six and 12 months. The achieved cure râtes, âs defined by absence of S. mansoni eggs in the faeces of individual pâtients at alt points during the parasitological follou¡ up</v>
      </c>
      <c r="O166" s="698">
        <f>IFERROR(__xludf.DUMMYFUNCTION("""COMPUTED_VALUE"""),0.676)</f>
        <v>0.676</v>
      </c>
      <c r="P166" s="697"/>
      <c r="Q166" s="697" t="str">
        <f>IFERROR(__xludf.DUMMYFUNCTION("""COMPUTED_VALUE"""),"In conclusion, a single dose administration of oxamniquine 15 mg/kg or praziquantel40 mg/kg or a half-dose combination of both drugs proved to be similarly effective in schistosomiasis mansoni in Brâzil, as anâlogous cure rates and reductions of egg excre"&amp;"tion in non-cured cases were achieved.")</f>
        <v>In conclusion, a single dose administration of oxamniquine 15 mg/kg or praziquantel40 mg/kg or a half-dose combination of both drugs proved to be similarly effective in schistosomiasis mansoni in Brâzil, as anâlogous cure rates and reductions of egg excretion in non-cured cases were achieved.</v>
      </c>
      <c r="R166" s="697" t="str">
        <f>IFERROR(__xludf.DUMMYFUNCTION("""COMPUTED_VALUE"""),"EFFICACY OF OXAMNIOUINE, PRAZIOUANTEL AND A COMBINATION IN SCHISTOSOMIASIS MANSONI IN BRAZIL")</f>
        <v>EFFICACY OF OXAMNIOUINE, PRAZIOUANTEL AND A COMBINATION IN SCHISTOSOMIASIS MANSONI IN BRAZIL</v>
      </c>
      <c r="S166" s="699" t="str">
        <f>IFERROR(__xludf.DUMMYFUNCTION("""COMPUTED_VALUE"""),"Zwingenberger K, Queiroz JA, Poggensee U, Alencar JE, Valdegunas J, Esmeralda F, et al.Efficacy of oxamniquine, praziquantel and a combination of both drugs in schistosomiasis mansoni in Brazil. Revista do Instituto de Medicina Tropical de São Paulo 1987;"&amp;"29(5):305–11.")</f>
        <v>Zwingenberger K, Queiroz JA, Poggensee U, Alencar JE, Valdegunas J, Esmeralda F, et al.Efficacy of oxamniquine, praziquantel and a combination of both drugs in schistosomiasis mansoni in Brazil. Revista do Instituto de Medicina Tropical de São Paulo 1987;29(5):305–11.</v>
      </c>
      <c r="T166" s="697"/>
      <c r="U166" s="697" t="str">
        <f>IFERROR(__xludf.DUMMYFUNCTION("""COMPUTED_VALUE"""),"")</f>
        <v/>
      </c>
      <c r="V166" s="697">
        <f>IFERROR(__xludf.DUMMYFUNCTION("""COMPUTED_VALUE"""),166.0)</f>
        <v>166</v>
      </c>
    </row>
    <row r="167">
      <c r="A167" s="697"/>
      <c r="B167" s="697"/>
      <c r="C167" s="697"/>
      <c r="D167" s="697"/>
      <c r="E167" s="697"/>
      <c r="F167" s="697"/>
      <c r="G167" s="697"/>
      <c r="H167" s="697"/>
      <c r="I167" s="697"/>
      <c r="J167" s="697"/>
      <c r="K167" s="697"/>
      <c r="L167" s="697"/>
      <c r="M167" s="697"/>
      <c r="N167" s="697"/>
      <c r="O167" s="697"/>
      <c r="P167" s="697"/>
      <c r="Q167" s="697"/>
      <c r="R167" s="697"/>
      <c r="S167" s="697"/>
      <c r="T167" s="697"/>
      <c r="U167" s="697" t="str">
        <f>IFERROR(__xludf.DUMMYFUNCTION("""COMPUTED_VALUE"""),"")</f>
        <v/>
      </c>
      <c r="V167" s="697">
        <f>IFERROR(__xludf.DUMMYFUNCTION("""COMPUTED_VALUE"""),167.0)</f>
        <v>167</v>
      </c>
    </row>
    <row r="168">
      <c r="A168" s="697" t="str">
        <f>IFERROR(__xludf.DUMMYFUNCTION("""COMPUTED_VALUE"""),"Utzinger 2000b")</f>
        <v>Utzinger 2000b</v>
      </c>
      <c r="B168" s="697" t="str">
        <f>IFERROR(__xludf.DUMMYFUNCTION("""COMPUTED_VALUE"""),"s. mansoni")</f>
        <v>s. mansoni</v>
      </c>
      <c r="C168" s="697" t="str">
        <f>IFERROR(__xludf.DUMMYFUNCTION("""COMPUTED_VALUE"""),"Cote d'Ivoire")</f>
        <v>Cote d'Ivoire</v>
      </c>
      <c r="D168" s="697" t="str">
        <f>IFERROR(__xludf.DUMMYFUNCTION("""COMPUTED_VALUE"""),"Praziquantel")</f>
        <v>Praziquantel</v>
      </c>
      <c r="E168" s="697" t="str">
        <f>IFERROR(__xludf.DUMMYFUNCTION("""COMPUTED_VALUE"""),"Two")</f>
        <v>Two</v>
      </c>
      <c r="F168" s="697" t="str">
        <f>IFERROR(__xludf.DUMMYFUNCTION("""COMPUTED_VALUE"""),"30 mg/kg")</f>
        <v>30 mg/kg</v>
      </c>
      <c r="G168" s="697">
        <f>IFERROR(__xludf.DUMMYFUNCTION("""COMPUTED_VALUE"""),194.0)</f>
        <v>194</v>
      </c>
      <c r="H168" s="697" t="str">
        <f>IFERROR(__xludf.DUMMYFUNCTION("""COMPUTED_VALUE"""),"School Children")</f>
        <v>School Children</v>
      </c>
      <c r="I168" s="705" t="str">
        <f>IFERROR(__xludf.DUMMYFUNCTION("""COMPUTED_VALUE"""),"MF")</f>
        <v>MF</v>
      </c>
      <c r="J168" s="697">
        <f>IFERROR(__xludf.DUMMYFUNCTION("""COMPUTED_VALUE"""),1998.0)</f>
        <v>1998</v>
      </c>
      <c r="K168" s="697" t="str">
        <f>IFERROR(__xludf.DUMMYFUNCTION("""COMPUTED_VALUE"""),"schoolchildren")</f>
        <v>schoolchildren</v>
      </c>
      <c r="L168" s="697" t="str">
        <f>IFERROR(__xludf.DUMMYFUNCTION("""COMPUTED_VALUE"""),"No")</f>
        <v>No</v>
      </c>
      <c r="M168" s="697" t="str">
        <f>IFERROR(__xludf.DUMMYFUNCTION("""COMPUTED_VALUE"""),"Yes")</f>
        <v>Yes</v>
      </c>
      <c r="N168" s="697" t="str">
        <f>IFERROR(__xludf.DUMMYFUNCTION("""COMPUTED_VALUE"""),"Follow-up after one treatment")</f>
        <v>Follow-up after one treatment</v>
      </c>
      <c r="O168" s="698">
        <f>IFERROR(__xludf.DUMMYFUNCTION("""COMPUTED_VALUE"""),0.716)</f>
        <v>0.716</v>
      </c>
      <c r="P168" s="698">
        <f>IFERROR(__xludf.DUMMYFUNCTION("""COMPUTED_VALUE"""),0.799)</f>
        <v>0.799</v>
      </c>
      <c r="Q168" s="697" t="str">
        <f>IFERROR(__xludf.DUMMYFUNCTION("""COMPUTED_VALUE"""),"There was a significant association between cure rate and intensity of infection prior to treatment with highest cure rates observed in light infections (P   0.01)")</f>
        <v>There was a significant association between cure rate and intensity of infection prior to treatment with highest cure rates observed in light infections (P   0.01)</v>
      </c>
      <c r="R168" s="697"/>
      <c r="S168" s="699" t="str">
        <f>IFERROR(__xludf.DUMMYFUNCTION("""COMPUTED_VALUE"""),"Utzinger, J.; N'Goran, K.E.; Dri, A.N.; Lengeler, C.; Tanner, M. ""Efficacy of praziquantel against Schistosoma mansonia with particular consideration for intensity of infection. 2000. Tropical Medicine and International Health 5(11): 771-778. Web. ")</f>
        <v>Utzinger, J.; N'Goran, K.E.; Dri, A.N.; Lengeler, C.; Tanner, M. "Efficacy of praziquantel against Schistosoma mansonia with particular consideration for intensity of infection. 2000. Tropical Medicine and International Health 5(11): 771-778. Web. </v>
      </c>
      <c r="T168" s="697"/>
      <c r="U168" s="697" t="str">
        <f>IFERROR(__xludf.DUMMYFUNCTION("""COMPUTED_VALUE"""),"")</f>
        <v/>
      </c>
      <c r="V168" s="697">
        <f>IFERROR(__xludf.DUMMYFUNCTION("""COMPUTED_VALUE"""),168.0)</f>
        <v>168</v>
      </c>
    </row>
    <row r="169">
      <c r="A169" s="697" t="str">
        <f>IFERROR(__xludf.DUMMYFUNCTION("""COMPUTED_VALUE"""),"Utzinger 2000a")</f>
        <v>Utzinger 2000a</v>
      </c>
      <c r="B169" s="697" t="str">
        <f>IFERROR(__xludf.DUMMYFUNCTION("""COMPUTED_VALUE"""),"s. mansoni")</f>
        <v>s. mansoni</v>
      </c>
      <c r="C169" s="697" t="str">
        <f>IFERROR(__xludf.DUMMYFUNCTION("""COMPUTED_VALUE"""),"Cote d'Ivoire")</f>
        <v>Cote d'Ivoire</v>
      </c>
      <c r="D169" s="697" t="str">
        <f>IFERROR(__xludf.DUMMYFUNCTION("""COMPUTED_VALUE"""),"Artemether")</f>
        <v>Artemether</v>
      </c>
      <c r="E169" s="697" t="str">
        <f>IFERROR(__xludf.DUMMYFUNCTION("""COMPUTED_VALUE"""),"Six")</f>
        <v>Six</v>
      </c>
      <c r="F169" s="697" t="str">
        <f>IFERROR(__xludf.DUMMYFUNCTION("""COMPUTED_VALUE"""),"6 mg/kg")</f>
        <v>6 mg/kg</v>
      </c>
      <c r="G169" s="697">
        <f>IFERROR(__xludf.DUMMYFUNCTION("""COMPUTED_VALUE"""),138.0)</f>
        <v>138</v>
      </c>
      <c r="H169" s="697" t="str">
        <f>IFERROR(__xludf.DUMMYFUNCTION("""COMPUTED_VALUE"""),"School Children")</f>
        <v>School Children</v>
      </c>
      <c r="I169" s="705" t="str">
        <f>IFERROR(__xludf.DUMMYFUNCTION("""COMPUTED_VALUE"""),"MF")</f>
        <v>MF</v>
      </c>
      <c r="J169" s="697">
        <f>IFERROR(__xludf.DUMMYFUNCTION("""COMPUTED_VALUE"""),1999.0)</f>
        <v>1999</v>
      </c>
      <c r="K169" s="697" t="str">
        <f>IFERROR(__xludf.DUMMYFUNCTION("""COMPUTED_VALUE"""),"8 children were excluded: (15 missed the second treatment with praziquantel, and 13 provided fewer than three stool specimens before the first artemether treatment)")</f>
        <v>8 children were excluded: (15 missed the second treatment with praziquantel, and 13 provided fewer than three stool specimens before the first artemether treatment)</v>
      </c>
      <c r="L169" s="697" t="str">
        <f>IFERROR(__xludf.DUMMYFUNCTION("""COMPUTED_VALUE"""),"Yes")</f>
        <v>Yes</v>
      </c>
      <c r="M169" s="697" t="str">
        <f>IFERROR(__xludf.DUMMYFUNCTION("""COMPUTED_VALUE"""),"Yes")</f>
        <v>Yes</v>
      </c>
      <c r="N169" s="697" t="str">
        <f>IFERROR(__xludf.DUMMYFUNCTION("""COMPUTED_VALUE"""),"1 month after first praziquantel treatment ")</f>
        <v>1 month after first praziquantel treatment </v>
      </c>
      <c r="O169" s="698">
        <f>IFERROR(__xludf.DUMMYFUNCTION("""COMPUTED_VALUE"""),0.828)</f>
        <v>0.828</v>
      </c>
      <c r="P169" s="697"/>
      <c r="Q169" s="697" t="str">
        <f>IFERROR(__xludf.DUMMYFUNCTION("""COMPUTED_VALUE"""),"The study showed that oral artemether is safe and has a clear prophylactic effect against S mansoni. ")</f>
        <v>The study showed that oral artemether is safe and has a clear prophylactic effect against S mansoni. </v>
      </c>
      <c r="R169" s="697"/>
      <c r="S169" s="699" t="str">
        <f>IFERROR(__xludf.DUMMYFUNCTION("""COMPUTED_VALUE"""),"Utzinger, J.; N'Goran, E.K.; N'Dri, A.; Lengeier, C.; Shuhua,, X.; Tanner, M. ""Oral artemeter for prevention of Schistosoma mansoni infection: randomised controlled trial"". 2000. The Lancet 355: 1320-1325. Web.")</f>
        <v>Utzinger, J.; N'Goran, E.K.; N'Dri, A.; Lengeier, C.; Shuhua,, X.; Tanner, M. "Oral artemeter for prevention of Schistosoma mansoni infection: randomised controlled trial". 2000. The Lancet 355: 1320-1325. Web.</v>
      </c>
      <c r="T169" s="697"/>
      <c r="U169" s="697" t="str">
        <f>IFERROR(__xludf.DUMMYFUNCTION("""COMPUTED_VALUE"""),"")</f>
        <v/>
      </c>
      <c r="V169" s="697">
        <f>IFERROR(__xludf.DUMMYFUNCTION("""COMPUTED_VALUE"""),169.0)</f>
        <v>169</v>
      </c>
    </row>
    <row r="170">
      <c r="A170" s="697" t="str">
        <f>IFERROR(__xludf.DUMMYFUNCTION("""COMPUTED_VALUE"""),"Utzinger 2000a")</f>
        <v>Utzinger 2000a</v>
      </c>
      <c r="B170" s="697" t="str">
        <f>IFERROR(__xludf.DUMMYFUNCTION("""COMPUTED_VALUE"""),"s. mansoni")</f>
        <v>s. mansoni</v>
      </c>
      <c r="C170" s="697" t="str">
        <f>IFERROR(__xludf.DUMMYFUNCTION("""COMPUTED_VALUE"""),"Cote d'Ivoire")</f>
        <v>Cote d'Ivoire</v>
      </c>
      <c r="D170" s="697" t="str">
        <f>IFERROR(__xludf.DUMMYFUNCTION("""COMPUTED_VALUE"""),"Placebo")</f>
        <v>Placebo</v>
      </c>
      <c r="E170" s="697"/>
      <c r="F170" s="697"/>
      <c r="G170" s="697">
        <f>IFERROR(__xludf.DUMMYFUNCTION("""COMPUTED_VALUE"""),151.0)</f>
        <v>151</v>
      </c>
      <c r="H170" s="697" t="str">
        <f>IFERROR(__xludf.DUMMYFUNCTION("""COMPUTED_VALUE"""),"School Children")</f>
        <v>School Children</v>
      </c>
      <c r="I170" s="705" t="str">
        <f>IFERROR(__xludf.DUMMYFUNCTION("""COMPUTED_VALUE"""),"MF")</f>
        <v>MF</v>
      </c>
      <c r="J170" s="697">
        <f>IFERROR(__xludf.DUMMYFUNCTION("""COMPUTED_VALUE"""),1999.0)</f>
        <v>1999</v>
      </c>
      <c r="K170" s="697" t="str">
        <f>IFERROR(__xludf.DUMMYFUNCTION("""COMPUTED_VALUE"""),"8 children were excluded: (15 missed the second treatment with praziquantel, and 13 provided fewer than three stool specimens before the first artemether treatment)")</f>
        <v>8 children were excluded: (15 missed the second treatment with praziquantel, and 13 provided fewer than three stool specimens before the first artemether treatment)</v>
      </c>
      <c r="L170" s="697" t="str">
        <f>IFERROR(__xludf.DUMMYFUNCTION("""COMPUTED_VALUE"""),"Yes")</f>
        <v>Yes</v>
      </c>
      <c r="M170" s="697" t="str">
        <f>IFERROR(__xludf.DUMMYFUNCTION("""COMPUTED_VALUE"""),"Yes")</f>
        <v>Yes</v>
      </c>
      <c r="N170" s="697" t="str">
        <f>IFERROR(__xludf.DUMMYFUNCTION("""COMPUTED_VALUE"""),"1 month after first praziquantel treatment ")</f>
        <v>1 month after first praziquantel treatment </v>
      </c>
      <c r="O170" s="698">
        <f>IFERROR(__xludf.DUMMYFUNCTION("""COMPUTED_VALUE"""),0.786)</f>
        <v>0.786</v>
      </c>
      <c r="P170" s="697"/>
      <c r="Q170" s="697" t="str">
        <f>IFERROR(__xludf.DUMMYFUNCTION("""COMPUTED_VALUE"""),"The study showed that oral artemether is safe and has a clear prophylactic effect against S mansoni. ")</f>
        <v>The study showed that oral artemether is safe and has a clear prophylactic effect against S mansoni. </v>
      </c>
      <c r="R170" s="697"/>
      <c r="S170" s="699" t="str">
        <f>IFERROR(__xludf.DUMMYFUNCTION("""COMPUTED_VALUE"""),"Utzinger, J.; N'Goran, E.K.; N'Dri, A.; Lengeier, C.; Shuhua,, X.; Tanner, M. ""Oral artemeter for prevention of Schistosoma mansoni infection: randomised controlled trial"". 2000. The Lancet 355: 1320-1325. Web.")</f>
        <v>Utzinger, J.; N'Goran, E.K.; N'Dri, A.; Lengeier, C.; Shuhua,, X.; Tanner, M. "Oral artemeter for prevention of Schistosoma mansoni infection: randomised controlled trial". 2000. The Lancet 355: 1320-1325. Web.</v>
      </c>
      <c r="T170" s="697"/>
      <c r="U170" s="697" t="str">
        <f>IFERROR(__xludf.DUMMYFUNCTION("""COMPUTED_VALUE"""),"")</f>
        <v/>
      </c>
      <c r="V170" s="697">
        <f>IFERROR(__xludf.DUMMYFUNCTION("""COMPUTED_VALUE"""),170.0)</f>
        <v>170</v>
      </c>
    </row>
    <row r="171">
      <c r="A171" s="697" t="str">
        <f>IFERROR(__xludf.DUMMYFUNCTION("""COMPUTED_VALUE"""),"De Clercq 2002")</f>
        <v>De Clercq 2002</v>
      </c>
      <c r="B171" s="697" t="str">
        <f>IFERROR(__xludf.DUMMYFUNCTION("""COMPUTED_VALUE"""),"s. haematobium")</f>
        <v>s. haematobium</v>
      </c>
      <c r="C171" s="697" t="str">
        <f>IFERROR(__xludf.DUMMYFUNCTION("""COMPUTED_VALUE"""),"Senegal")</f>
        <v>Senegal</v>
      </c>
      <c r="D171" s="697" t="str">
        <f>IFERROR(__xludf.DUMMYFUNCTION("""COMPUTED_VALUE"""),"Praziquantel")</f>
        <v>Praziquantel</v>
      </c>
      <c r="E171" s="697" t="str">
        <f>IFERROR(__xludf.DUMMYFUNCTION("""COMPUTED_VALUE"""),"Single")</f>
        <v>Single</v>
      </c>
      <c r="F171" s="697" t="str">
        <f>IFERROR(__xludf.DUMMYFUNCTION("""COMPUTED_VALUE"""),"40 mg/kg")</f>
        <v>40 mg/kg</v>
      </c>
      <c r="G171" s="697">
        <f>IFERROR(__xludf.DUMMYFUNCTION("""COMPUTED_VALUE"""),88.0)</f>
        <v>88</v>
      </c>
      <c r="H171" s="697" t="str">
        <f>IFERROR(__xludf.DUMMYFUNCTION("""COMPUTED_VALUE"""),"School Children")</f>
        <v>School Children</v>
      </c>
      <c r="I171" s="705" t="str">
        <f>IFERROR(__xludf.DUMMYFUNCTION("""COMPUTED_VALUE"""),"MF")</f>
        <v>MF</v>
      </c>
      <c r="J171" s="697">
        <f>IFERROR(__xludf.DUMMYFUNCTION("""COMPUTED_VALUE"""),2002.0)</f>
        <v>2002</v>
      </c>
      <c r="K171" s="697" t="str">
        <f>IFERROR(__xludf.DUMMYFUNCTION("""COMPUTED_VALUE"""),"schoolchildren")</f>
        <v>schoolchildren</v>
      </c>
      <c r="L171" s="697" t="str">
        <f>IFERROR(__xludf.DUMMYFUNCTION("""COMPUTED_VALUE"""),"No")</f>
        <v>No</v>
      </c>
      <c r="M171" s="697" t="str">
        <f>IFERROR(__xludf.DUMMYFUNCTION("""COMPUTED_VALUE"""),"No")</f>
        <v>No</v>
      </c>
      <c r="N171" s="697" t="str">
        <f>IFERROR(__xludf.DUMMYFUNCTION("""COMPUTED_VALUE"""),"5 weeks ")</f>
        <v>5 weeks </v>
      </c>
      <c r="O171" s="700">
        <f>IFERROR(__xludf.DUMMYFUNCTION("""COMPUTED_VALUE"""),0.3)</f>
        <v>0.3</v>
      </c>
      <c r="P171" s="700">
        <f>IFERROR(__xludf.DUMMYFUNCTION("""COMPUTED_VALUE"""),0.8)</f>
        <v>0.8</v>
      </c>
      <c r="Q171" s="697" t="str">
        <f>IFERROR(__xludf.DUMMYFUNCTION("""COMPUTED_VALUE"""),"At present the cornerstone for schistosomiasis control is morbidity reduction through chemotherapy, mainly with praziquantel")</f>
        <v>At present the cornerstone for schistosomiasis control is morbidity reduction through chemotherapy, mainly with praziquantel</v>
      </c>
      <c r="R171" s="697"/>
      <c r="S171" s="699" t="str">
        <f>IFERROR(__xludf.DUMMYFUNCTION("""COMPUTED_VALUE"""),"Clercq, D.D.; Vercruysse, J.; Kongs, A.; Verlé, P.; Dompnier, J.P.; Faye, P.C. ""Efficcy of artesunate and praziquantel in Schistosoma haematobium infected schoolchildren"". 2002. Acta Tropica 82: 61-66.")</f>
        <v>Clercq, D.D.; Vercruysse, J.; Kongs, A.; Verlé, P.; Dompnier, J.P.; Faye, P.C. "Efficcy of artesunate and praziquantel in Schistosoma haematobium infected schoolchildren". 2002. Acta Tropica 82: 61-66.</v>
      </c>
      <c r="T171" s="697"/>
      <c r="U171" s="697" t="str">
        <f>IFERROR(__xludf.DUMMYFUNCTION("""COMPUTED_VALUE"""),"x")</f>
        <v>x</v>
      </c>
      <c r="V171" s="697">
        <f>IFERROR(__xludf.DUMMYFUNCTION("""COMPUTED_VALUE"""),171.0)</f>
        <v>171</v>
      </c>
    </row>
    <row r="172">
      <c r="A172" s="697" t="str">
        <f>IFERROR(__xludf.DUMMYFUNCTION("""COMPUTED_VALUE"""),"De Clercq 2002")</f>
        <v>De Clercq 2002</v>
      </c>
      <c r="B172" s="697" t="str">
        <f>IFERROR(__xludf.DUMMYFUNCTION("""COMPUTED_VALUE"""),"s. haematobium")</f>
        <v>s. haematobium</v>
      </c>
      <c r="C172" s="697" t="str">
        <f>IFERROR(__xludf.DUMMYFUNCTION("""COMPUTED_VALUE"""),"Senegal")</f>
        <v>Senegal</v>
      </c>
      <c r="D172" s="697" t="str">
        <f>IFERROR(__xludf.DUMMYFUNCTION("""COMPUTED_VALUE"""),"Artesunate")</f>
        <v>Artesunate</v>
      </c>
      <c r="E172" s="697" t="str">
        <f>IFERROR(__xludf.DUMMYFUNCTION("""COMPUTED_VALUE"""),"Single")</f>
        <v>Single</v>
      </c>
      <c r="F172" s="697" t="str">
        <f>IFERROR(__xludf.DUMMYFUNCTION("""COMPUTED_VALUE"""),"3.0 mg/kg")</f>
        <v>3.0 mg/kg</v>
      </c>
      <c r="G172" s="697">
        <f>IFERROR(__xludf.DUMMYFUNCTION("""COMPUTED_VALUE"""),90.0)</f>
        <v>90</v>
      </c>
      <c r="H172" s="697" t="str">
        <f>IFERROR(__xludf.DUMMYFUNCTION("""COMPUTED_VALUE"""),"School Children")</f>
        <v>School Children</v>
      </c>
      <c r="I172" s="705" t="str">
        <f>IFERROR(__xludf.DUMMYFUNCTION("""COMPUTED_VALUE"""),"MF")</f>
        <v>MF</v>
      </c>
      <c r="J172" s="697">
        <f>IFERROR(__xludf.DUMMYFUNCTION("""COMPUTED_VALUE"""),2002.0)</f>
        <v>2002</v>
      </c>
      <c r="K172" s="697" t="str">
        <f>IFERROR(__xludf.DUMMYFUNCTION("""COMPUTED_VALUE"""),"schoolchildren")</f>
        <v>schoolchildren</v>
      </c>
      <c r="L172" s="697" t="str">
        <f>IFERROR(__xludf.DUMMYFUNCTION("""COMPUTED_VALUE"""),"No")</f>
        <v>No</v>
      </c>
      <c r="M172" s="697" t="str">
        <f>IFERROR(__xludf.DUMMYFUNCTION("""COMPUTED_VALUE"""),"No")</f>
        <v>No</v>
      </c>
      <c r="N172" s="697" t="str">
        <f>IFERROR(__xludf.DUMMYFUNCTION("""COMPUTED_VALUE"""),"5 weeks ")</f>
        <v>5 weeks </v>
      </c>
      <c r="O172" s="700">
        <f>IFERROR(__xludf.DUMMYFUNCTION("""COMPUTED_VALUE"""),0.2)</f>
        <v>0.2</v>
      </c>
      <c r="P172" s="700">
        <f>IFERROR(__xludf.DUMMYFUNCTION("""COMPUTED_VALUE"""),0.55)</f>
        <v>0.55</v>
      </c>
      <c r="Q172" s="697" t="str">
        <f>IFERROR(__xludf.DUMMYFUNCTION("""COMPUTED_VALUE"""),"At present the cornerstone for schistosomiasis control is morbidity reduction through chemotherapy, mainly with praziquantel")</f>
        <v>At present the cornerstone for schistosomiasis control is morbidity reduction through chemotherapy, mainly with praziquantel</v>
      </c>
      <c r="R172" s="697"/>
      <c r="S172" s="699" t="str">
        <f>IFERROR(__xludf.DUMMYFUNCTION("""COMPUTED_VALUE"""),"Clercq, D.D.; Vercruysse, J.; Kongs, A.; Verlé, P.; Dompnier, J.P.; Faye, P.C. ""Efficcy of artesunate and praziquantel in Schistosoma haematobium infected schoolchildren"". 2002. Acta Tropica 82: 61-66.")</f>
        <v>Clercq, D.D.; Vercruysse, J.; Kongs, A.; Verlé, P.; Dompnier, J.P.; Faye, P.C. "Efficcy of artesunate and praziquantel in Schistosoma haematobium infected schoolchildren". 2002. Acta Tropica 82: 61-66.</v>
      </c>
      <c r="T172" s="697"/>
      <c r="U172" s="697" t="str">
        <f>IFERROR(__xludf.DUMMYFUNCTION("""COMPUTED_VALUE"""),"x")</f>
        <v>x</v>
      </c>
      <c r="V172" s="697">
        <f>IFERROR(__xludf.DUMMYFUNCTION("""COMPUTED_VALUE"""),172.0)</f>
        <v>172</v>
      </c>
    </row>
    <row r="173">
      <c r="A173" s="697" t="str">
        <f>IFERROR(__xludf.DUMMYFUNCTION("""COMPUTED_VALUE"""),"De Clercq 2002")</f>
        <v>De Clercq 2002</v>
      </c>
      <c r="B173" s="697" t="str">
        <f>IFERROR(__xludf.DUMMYFUNCTION("""COMPUTED_VALUE"""),"s. haematobium")</f>
        <v>s. haematobium</v>
      </c>
      <c r="C173" s="697" t="str">
        <f>IFERROR(__xludf.DUMMYFUNCTION("""COMPUTED_VALUE"""),"Senegal")</f>
        <v>Senegal</v>
      </c>
      <c r="D173" s="697" t="str">
        <f>IFERROR(__xludf.DUMMYFUNCTION("""COMPUTED_VALUE"""),"Artesunate")</f>
        <v>Artesunate</v>
      </c>
      <c r="E173" s="697" t="str">
        <f>IFERROR(__xludf.DUMMYFUNCTION("""COMPUTED_VALUE"""),"Single")</f>
        <v>Single</v>
      </c>
      <c r="F173" s="697" t="str">
        <f>IFERROR(__xludf.DUMMYFUNCTION("""COMPUTED_VALUE"""),"3.0 mg/kg")</f>
        <v>3.0 mg/kg</v>
      </c>
      <c r="G173" s="697">
        <f>IFERROR(__xludf.DUMMYFUNCTION("""COMPUTED_VALUE"""),44.0)</f>
        <v>44</v>
      </c>
      <c r="H173" s="697" t="str">
        <f>IFERROR(__xludf.DUMMYFUNCTION("""COMPUTED_VALUE"""),"School Children")</f>
        <v>School Children</v>
      </c>
      <c r="I173" s="705" t="str">
        <f>IFERROR(__xludf.DUMMYFUNCTION("""COMPUTED_VALUE"""),"MF")</f>
        <v>MF</v>
      </c>
      <c r="J173" s="697">
        <f>IFERROR(__xludf.DUMMYFUNCTION("""COMPUTED_VALUE"""),2002.0)</f>
        <v>2002</v>
      </c>
      <c r="K173" s="697" t="str">
        <f>IFERROR(__xludf.DUMMYFUNCTION("""COMPUTED_VALUE"""),"schoolchildren")</f>
        <v>schoolchildren</v>
      </c>
      <c r="L173" s="697" t="str">
        <f>IFERROR(__xludf.DUMMYFUNCTION("""COMPUTED_VALUE"""),"No")</f>
        <v>No</v>
      </c>
      <c r="M173" s="697" t="str">
        <f>IFERROR(__xludf.DUMMYFUNCTION("""COMPUTED_VALUE"""),"No")</f>
        <v>No</v>
      </c>
      <c r="N173" s="697" t="str">
        <f>IFERROR(__xludf.DUMMYFUNCTION("""COMPUTED_VALUE"""),"5 weeks ")</f>
        <v>5 weeks </v>
      </c>
      <c r="O173" s="700">
        <f>IFERROR(__xludf.DUMMYFUNCTION("""COMPUTED_VALUE"""),0.48)</f>
        <v>0.48</v>
      </c>
      <c r="P173" s="700">
        <f>IFERROR(__xludf.DUMMYFUNCTION("""COMPUTED_VALUE"""),0.89)</f>
        <v>0.89</v>
      </c>
      <c r="Q173" s="697" t="str">
        <f>IFERROR(__xludf.DUMMYFUNCTION("""COMPUTED_VALUE"""),"At present the cornerstone for schistosomiasis control is morbidity reduction through chemotherapy, mainly with praziquantel")</f>
        <v>At present the cornerstone for schistosomiasis control is morbidity reduction through chemotherapy, mainly with praziquantel</v>
      </c>
      <c r="R173" s="697"/>
      <c r="S173" s="699" t="str">
        <f>IFERROR(__xludf.DUMMYFUNCTION("""COMPUTED_VALUE"""),"Clercq, D.D.; Vercruysse, J.; Kongs, A.; Verlé, P.; Dompnier, J.P.; Faye, P.C. ""Efficcy of artesunate and praziquantel in Schistosoma haematobium infected schoolchildren"". 2002. Acta Tropica 82: 61-66.")</f>
        <v>Clercq, D.D.; Vercruysse, J.; Kongs, A.; Verlé, P.; Dompnier, J.P.; Faye, P.C. "Efficcy of artesunate and praziquantel in Schistosoma haematobium infected schoolchildren". 2002. Acta Tropica 82: 61-66.</v>
      </c>
      <c r="T173" s="697"/>
      <c r="U173" s="697" t="str">
        <f>IFERROR(__xludf.DUMMYFUNCTION("""COMPUTED_VALUE"""),"x")</f>
        <v>x</v>
      </c>
      <c r="V173" s="697">
        <f>IFERROR(__xludf.DUMMYFUNCTION("""COMPUTED_VALUE"""),173.0)</f>
        <v>173</v>
      </c>
    </row>
    <row r="174">
      <c r="A174" s="697" t="str">
        <f>IFERROR(__xludf.DUMMYFUNCTION("""COMPUTED_VALUE"""),"De Clercq 2002")</f>
        <v>De Clercq 2002</v>
      </c>
      <c r="B174" s="697" t="str">
        <f>IFERROR(__xludf.DUMMYFUNCTION("""COMPUTED_VALUE"""),"s. haematobium")</f>
        <v>s. haematobium</v>
      </c>
      <c r="C174" s="697" t="str">
        <f>IFERROR(__xludf.DUMMYFUNCTION("""COMPUTED_VALUE"""),"Senegal")</f>
        <v>Senegal</v>
      </c>
      <c r="D174" s="697" t="str">
        <f>IFERROR(__xludf.DUMMYFUNCTION("""COMPUTED_VALUE"""),"Praziquantel")</f>
        <v>Praziquantel</v>
      </c>
      <c r="E174" s="697" t="str">
        <f>IFERROR(__xludf.DUMMYFUNCTION("""COMPUTED_VALUE"""),"Single")</f>
        <v>Single</v>
      </c>
      <c r="F174" s="697" t="str">
        <f>IFERROR(__xludf.DUMMYFUNCTION("""COMPUTED_VALUE"""),"40 mg/kg")</f>
        <v>40 mg/kg</v>
      </c>
      <c r="G174" s="697">
        <f>IFERROR(__xludf.DUMMYFUNCTION("""COMPUTED_VALUE"""),45.0)</f>
        <v>45</v>
      </c>
      <c r="H174" s="697" t="str">
        <f>IFERROR(__xludf.DUMMYFUNCTION("""COMPUTED_VALUE"""),"School Children")</f>
        <v>School Children</v>
      </c>
      <c r="I174" s="705" t="str">
        <f>IFERROR(__xludf.DUMMYFUNCTION("""COMPUTED_VALUE"""),"MF")</f>
        <v>MF</v>
      </c>
      <c r="J174" s="697">
        <f>IFERROR(__xludf.DUMMYFUNCTION("""COMPUTED_VALUE"""),2002.0)</f>
        <v>2002</v>
      </c>
      <c r="K174" s="697" t="str">
        <f>IFERROR(__xludf.DUMMYFUNCTION("""COMPUTED_VALUE"""),"schoolchildren")</f>
        <v>schoolchildren</v>
      </c>
      <c r="L174" s="697" t="str">
        <f>IFERROR(__xludf.DUMMYFUNCTION("""COMPUTED_VALUE"""),"No")</f>
        <v>No</v>
      </c>
      <c r="M174" s="697" t="str">
        <f>IFERROR(__xludf.DUMMYFUNCTION("""COMPUTED_VALUE"""),"No")</f>
        <v>No</v>
      </c>
      <c r="N174" s="697" t="str">
        <f>IFERROR(__xludf.DUMMYFUNCTION("""COMPUTED_VALUE"""),"5 weeks ")</f>
        <v>5 weeks </v>
      </c>
      <c r="O174" s="700">
        <f>IFERROR(__xludf.DUMMYFUNCTION("""COMPUTED_VALUE"""),0.76)</f>
        <v>0.76</v>
      </c>
      <c r="P174" s="700">
        <f>IFERROR(__xludf.DUMMYFUNCTION("""COMPUTED_VALUE"""),0.97)</f>
        <v>0.97</v>
      </c>
      <c r="Q174" s="697" t="str">
        <f>IFERROR(__xludf.DUMMYFUNCTION("""COMPUTED_VALUE"""),"At present the cornerstone for schistosomiasis control is morbidity reduction through chemotherapy, mainly with praziquantel")</f>
        <v>At present the cornerstone for schistosomiasis control is morbidity reduction through chemotherapy, mainly with praziquantel</v>
      </c>
      <c r="R174" s="697"/>
      <c r="S174" s="699" t="str">
        <f>IFERROR(__xludf.DUMMYFUNCTION("""COMPUTED_VALUE"""),"Clercq, D.D.; Vercruysse, J.; Kongs, A.; Verlé, P.; Dompnier, J.P.; Faye, P.C. ""Efficcy of artesunate and praziquantel in Schistosoma haematobium infected schoolchildren"". 2002. Acta Tropica 82: 61-66.")</f>
        <v>Clercq, D.D.; Vercruysse, J.; Kongs, A.; Verlé, P.; Dompnier, J.P.; Faye, P.C. "Efficcy of artesunate and praziquantel in Schistosoma haematobium infected schoolchildren". 2002. Acta Tropica 82: 61-66.</v>
      </c>
      <c r="T174" s="697"/>
      <c r="U174" s="697" t="str">
        <f>IFERROR(__xludf.DUMMYFUNCTION("""COMPUTED_VALUE"""),"x")</f>
        <v>x</v>
      </c>
      <c r="V174" s="697">
        <f>IFERROR(__xludf.DUMMYFUNCTION("""COMPUTED_VALUE"""),174.0)</f>
        <v>174</v>
      </c>
    </row>
    <row r="175">
      <c r="A175" s="697" t="str">
        <f>IFERROR(__xludf.DUMMYFUNCTION("""COMPUTED_VALUE"""),"Magnussen")</f>
        <v>Magnussen</v>
      </c>
      <c r="B175" s="697" t="str">
        <f>IFERROR(__xludf.DUMMYFUNCTION("""COMPUTED_VALUE"""),"s. haematobium")</f>
        <v>s. haematobium</v>
      </c>
      <c r="C175" s="697" t="str">
        <f>IFERROR(__xludf.DUMMYFUNCTION("""COMPUTED_VALUE"""),"Tanzania")</f>
        <v>Tanzania</v>
      </c>
      <c r="D175" s="697" t="str">
        <f>IFERROR(__xludf.DUMMYFUNCTION("""COMPUTED_VALUE"""),"Praziquantel")</f>
        <v>Praziquantel</v>
      </c>
      <c r="E175" s="697" t="str">
        <f>IFERROR(__xludf.DUMMYFUNCTION("""COMPUTED_VALUE"""),"Single")</f>
        <v>Single</v>
      </c>
      <c r="F175" s="697" t="str">
        <f>IFERROR(__xludf.DUMMYFUNCTION("""COMPUTED_VALUE"""),"40 mg/kg")</f>
        <v>40 mg/kg</v>
      </c>
      <c r="G175" s="697">
        <f>IFERROR(__xludf.DUMMYFUNCTION("""COMPUTED_VALUE"""),2122.0)</f>
        <v>2122</v>
      </c>
      <c r="H175" s="697" t="str">
        <f>IFERROR(__xludf.DUMMYFUNCTION("""COMPUTED_VALUE"""),"School Children")</f>
        <v>School Children</v>
      </c>
      <c r="I175" s="705" t="str">
        <f>IFERROR(__xludf.DUMMYFUNCTION("""COMPUTED_VALUE"""),"MF")</f>
        <v>MF</v>
      </c>
      <c r="J175" s="697">
        <f>IFERROR(__xludf.DUMMYFUNCTION("""COMPUTED_VALUE"""),1999.0)</f>
        <v>1999</v>
      </c>
      <c r="K175" s="697" t="str">
        <f>IFERROR(__xludf.DUMMYFUNCTION("""COMPUTED_VALUE"""),"schoolchildren")</f>
        <v>schoolchildren</v>
      </c>
      <c r="L175" s="697" t="str">
        <f>IFERROR(__xludf.DUMMYFUNCTION("""COMPUTED_VALUE"""),"No")</f>
        <v>No</v>
      </c>
      <c r="M175" s="697" t="str">
        <f>IFERROR(__xludf.DUMMYFUNCTION("""COMPUTED_VALUE"""),"No")</f>
        <v>No</v>
      </c>
      <c r="N175" s="697" t="str">
        <f>IFERROR(__xludf.DUMMYFUNCTION("""COMPUTED_VALUE"""),"From baseline to 1999; 4 years")</f>
        <v>From baseline to 1999; 4 years</v>
      </c>
      <c r="O175" s="698">
        <f>IFERROR(__xludf.DUMMYFUNCTION("""COMPUTED_VALUE"""),0.543)</f>
        <v>0.543</v>
      </c>
      <c r="P175" s="698">
        <f>IFERROR(__xludf.DUMMYFUNCTION("""COMPUTED_VALUE"""),0.606)</f>
        <v>0.606</v>
      </c>
      <c r="Q175" s="697" t="str">
        <f>IFERROR(__xludf.DUMMYFUNCTION("""COMPUTED_VALUE"""),"The involvement of teachers in the implementation of
the school-based schistosomiasis morbidity-control pro- gramme proved to be very effective and functioned well.")</f>
        <v>The involvement of teachers in the implementation of
the school-based schistosomiasis morbidity-control pro- gramme proved to be very effective and functioned well.</v>
      </c>
      <c r="R175" s="697"/>
      <c r="S175" s="699" t="str">
        <f>IFERROR(__xludf.DUMMYFUNCTION("""COMPUTED_VALUE"""),"Magnussen, P.; Ndawi, B.; Sheshe, A. K.; Byskov, J.; Mbwana, K.; Christensen, N.O. ""The impact of a school health programme on the prevalence and morbidity of urinary schistosomiasis in Mwere Division, Pangani District, Tanzania. 2001. Transactions of th"&amp;"e Royal Society of Tropical Medicine &amp; Hygeine. 95. 58-64. Web. ")</f>
        <v>Magnussen, P.; Ndawi, B.; Sheshe, A. K.; Byskov, J.; Mbwana, K.; Christensen, N.O. "The impact of a school health programme on the prevalence and morbidity of urinary schistosomiasis in Mwere Division, Pangani District, Tanzania. 2001. Transactions of the Royal Society of Tropical Medicine &amp; Hygeine. 95. 58-64. Web. </v>
      </c>
      <c r="T175" s="697"/>
      <c r="U175" s="697" t="str">
        <f>IFERROR(__xludf.DUMMYFUNCTION("""COMPUTED_VALUE"""),"x")</f>
        <v>x</v>
      </c>
      <c r="V175" s="697">
        <f>IFERROR(__xludf.DUMMYFUNCTION("""COMPUTED_VALUE"""),175.0)</f>
        <v>175</v>
      </c>
    </row>
    <row r="176">
      <c r="A176" s="697" t="str">
        <f>IFERROR(__xludf.DUMMYFUNCTION("""COMPUTED_VALUE"""),"Mohamed")</f>
        <v>Mohamed</v>
      </c>
      <c r="B176" s="697" t="str">
        <f>IFERROR(__xludf.DUMMYFUNCTION("""COMPUTED_VALUE"""),"s. mansoni")</f>
        <v>s. mansoni</v>
      </c>
      <c r="C176" s="697" t="str">
        <f>IFERROR(__xludf.DUMMYFUNCTION("""COMPUTED_VALUE"""),"Sudan")</f>
        <v>Sudan</v>
      </c>
      <c r="D176" s="697" t="str">
        <f>IFERROR(__xludf.DUMMYFUNCTION("""COMPUTED_VALUE"""),"Artesunate &amp; Sulfadoxine &amp; Pyrimethamine")</f>
        <v>Artesunate &amp; Sulfadoxine &amp; Pyrimethamine</v>
      </c>
      <c r="E176" s="697" t="str">
        <f>IFERROR(__xludf.DUMMYFUNCTION("""COMPUTED_VALUE"""),"Three; Single")</f>
        <v>Three; Single</v>
      </c>
      <c r="F176" s="697" t="str">
        <f>IFERROR(__xludf.DUMMYFUNCTION("""COMPUTED_VALUE"""),"4 mg/kg; 25 mg")</f>
        <v>4 mg/kg; 25 mg</v>
      </c>
      <c r="G176" s="697">
        <f>IFERROR(__xludf.DUMMYFUNCTION("""COMPUTED_VALUE"""),46.0)</f>
        <v>46</v>
      </c>
      <c r="H176" s="697" t="str">
        <f>IFERROR(__xludf.DUMMYFUNCTION("""COMPUTED_VALUE"""),"School Children")</f>
        <v>School Children</v>
      </c>
      <c r="I176" s="705" t="str">
        <f>IFERROR(__xludf.DUMMYFUNCTION("""COMPUTED_VALUE"""),"MF")</f>
        <v>MF</v>
      </c>
      <c r="J176" s="697">
        <f>IFERROR(__xludf.DUMMYFUNCTION("""COMPUTED_VALUE"""),2009.0)</f>
        <v>2009</v>
      </c>
      <c r="K176" s="697" t="str">
        <f>IFERROR(__xludf.DUMMYFUNCTION("""COMPUTED_VALUE"""),"schoolchildren")</f>
        <v>schoolchildren</v>
      </c>
      <c r="L176" s="697" t="str">
        <f>IFERROR(__xludf.DUMMYFUNCTION("""COMPUTED_VALUE"""),"No")</f>
        <v>No</v>
      </c>
      <c r="M176" s="697" t="str">
        <f>IFERROR(__xludf.DUMMYFUNCTION("""COMPUTED_VALUE"""),"Yes")</f>
        <v>Yes</v>
      </c>
      <c r="N176" s="697" t="str">
        <f>IFERROR(__xludf.DUMMYFUNCTION("""COMPUTED_VALUE"""),"Follow-up in 28 days")</f>
        <v>Follow-up in 28 days</v>
      </c>
      <c r="O176" s="698">
        <f>IFERROR(__xludf.DUMMYFUNCTION("""COMPUTED_VALUE"""),0.586)</f>
        <v>0.586</v>
      </c>
      <c r="P176" s="697"/>
      <c r="Q176" s="697" t="str">
        <f>IFERROR(__xludf.DUMMYFUNCTION("""COMPUTED_VALUE"""),"The current study showed a significantly lower efficacy of AS+SP in comparison with PZQ (58.6% vs. 100%).")</f>
        <v>The current study showed a significantly lower efficacy of AS+SP in comparison with PZQ (58.6% vs. 100%).</v>
      </c>
      <c r="R176" s="697"/>
      <c r="S176" s="699" t="str">
        <f>IFERROR(__xludf.DUMMYFUNCTION("""COMPUTED_VALUE"""),"Mohamed, A. A.; Mahgoub, H.M.; Magzoub, M.; Gasim, G.I.; Eldein, W.N.; Ahmed, A.A.; Adam, I. ""Artesunate plus sulfadoxine/pyrimethamine versus praziquantel in the treatment of Schistosoma mansonia in eastern Sudan. 2009. ")</f>
        <v>Mohamed, A. A.; Mahgoub, H.M.; Magzoub, M.; Gasim, G.I.; Eldein, W.N.; Ahmed, A.A.; Adam, I. "Artesunate plus sulfadoxine/pyrimethamine versus praziquantel in the treatment of Schistosoma mansonia in eastern Sudan. 2009. </v>
      </c>
      <c r="T176" s="697"/>
      <c r="U176" s="697" t="str">
        <f>IFERROR(__xludf.DUMMYFUNCTION("""COMPUTED_VALUE"""),"")</f>
        <v/>
      </c>
      <c r="V176" s="697">
        <f>IFERROR(__xludf.DUMMYFUNCTION("""COMPUTED_VALUE"""),176.0)</f>
        <v>176</v>
      </c>
    </row>
    <row r="177">
      <c r="A177" s="697" t="str">
        <f>IFERROR(__xludf.DUMMYFUNCTION("""COMPUTED_VALUE"""),"Mohamed")</f>
        <v>Mohamed</v>
      </c>
      <c r="B177" s="697" t="str">
        <f>IFERROR(__xludf.DUMMYFUNCTION("""COMPUTED_VALUE"""),"s. mansoni")</f>
        <v>s. mansoni</v>
      </c>
      <c r="C177" s="697" t="str">
        <f>IFERROR(__xludf.DUMMYFUNCTION("""COMPUTED_VALUE"""),"Sudan")</f>
        <v>Sudan</v>
      </c>
      <c r="D177" s="697" t="str">
        <f>IFERROR(__xludf.DUMMYFUNCTION("""COMPUTED_VALUE"""),"Praziquantel")</f>
        <v>Praziquantel</v>
      </c>
      <c r="E177" s="697" t="str">
        <f>IFERROR(__xludf.DUMMYFUNCTION("""COMPUTED_VALUE"""),"Single")</f>
        <v>Single</v>
      </c>
      <c r="F177" s="697" t="str">
        <f>IFERROR(__xludf.DUMMYFUNCTION("""COMPUTED_VALUE"""),"40 mg/kg")</f>
        <v>40 mg/kg</v>
      </c>
      <c r="G177" s="697">
        <f>IFERROR(__xludf.DUMMYFUNCTION("""COMPUTED_VALUE"""),46.0)</f>
        <v>46</v>
      </c>
      <c r="H177" s="697" t="str">
        <f>IFERROR(__xludf.DUMMYFUNCTION("""COMPUTED_VALUE"""),"School Children")</f>
        <v>School Children</v>
      </c>
      <c r="I177" s="705" t="str">
        <f>IFERROR(__xludf.DUMMYFUNCTION("""COMPUTED_VALUE"""),"MF")</f>
        <v>MF</v>
      </c>
      <c r="J177" s="697">
        <f>IFERROR(__xludf.DUMMYFUNCTION("""COMPUTED_VALUE"""),2009.0)</f>
        <v>2009</v>
      </c>
      <c r="K177" s="697" t="str">
        <f>IFERROR(__xludf.DUMMYFUNCTION("""COMPUTED_VALUE"""),"schoolchildren")</f>
        <v>schoolchildren</v>
      </c>
      <c r="L177" s="697" t="str">
        <f>IFERROR(__xludf.DUMMYFUNCTION("""COMPUTED_VALUE"""),"No")</f>
        <v>No</v>
      </c>
      <c r="M177" s="697" t="str">
        <f>IFERROR(__xludf.DUMMYFUNCTION("""COMPUTED_VALUE"""),"Yes")</f>
        <v>Yes</v>
      </c>
      <c r="N177" s="697" t="str">
        <f>IFERROR(__xludf.DUMMYFUNCTION("""COMPUTED_VALUE"""),"Follow-up in 28 days")</f>
        <v>Follow-up in 28 days</v>
      </c>
      <c r="O177" s="700">
        <f>IFERROR(__xludf.DUMMYFUNCTION("""COMPUTED_VALUE"""),1.0)</f>
        <v>1</v>
      </c>
      <c r="P177" s="697"/>
      <c r="Q177" s="697" t="str">
        <f>IFERROR(__xludf.DUMMYFUNCTION("""COMPUTED_VALUE"""),"The current study showed a significantly lower efficacy of AS+SP in comparison with PZQ (58.6% vs. 100%).")</f>
        <v>The current study showed a significantly lower efficacy of AS+SP in comparison with PZQ (58.6% vs. 100%).</v>
      </c>
      <c r="R177" s="697"/>
      <c r="S177" s="699" t="str">
        <f>IFERROR(__xludf.DUMMYFUNCTION("""COMPUTED_VALUE"""),"Mohamed, A. A.; Mahgoub, H.M.; Magzoub, M.; Gasim, G.I.; Eldein, W.N.; Ahmed, A.A.; Adam, I. ""Artesunate plus sulfadoxine/pyrimethamine versus praziquantel in the treatment of Schistosoma mansonia in eastern Sudan. 2009. ")</f>
        <v>Mohamed, A. A.; Mahgoub, H.M.; Magzoub, M.; Gasim, G.I.; Eldein, W.N.; Ahmed, A.A.; Adam, I. "Artesunate plus sulfadoxine/pyrimethamine versus praziquantel in the treatment of Schistosoma mansonia in eastern Sudan. 2009. </v>
      </c>
      <c r="T177" s="697"/>
      <c r="U177" s="697" t="str">
        <f>IFERROR(__xludf.DUMMYFUNCTION("""COMPUTED_VALUE"""),"")</f>
        <v/>
      </c>
      <c r="V177" s="697">
        <f>IFERROR(__xludf.DUMMYFUNCTION("""COMPUTED_VALUE"""),177.0)</f>
        <v>177</v>
      </c>
    </row>
    <row r="178">
      <c r="A178" s="697" t="str">
        <f>IFERROR(__xludf.DUMMYFUNCTION("""COMPUTED_VALUE"""),"Navartnam")</f>
        <v>Navartnam</v>
      </c>
      <c r="B178" s="697" t="str">
        <f>IFERROR(__xludf.DUMMYFUNCTION("""COMPUTED_VALUE"""),"s. mansoni")</f>
        <v>s. mansoni</v>
      </c>
      <c r="C178" s="697" t="str">
        <f>IFERROR(__xludf.DUMMYFUNCTION("""COMPUTED_VALUE"""),"Uganda")</f>
        <v>Uganda</v>
      </c>
      <c r="D178" s="697" t="str">
        <f>IFERROR(__xludf.DUMMYFUNCTION("""COMPUTED_VALUE"""),"Praziquantel")</f>
        <v>Praziquantel</v>
      </c>
      <c r="E178" s="697" t="str">
        <f>IFERROR(__xludf.DUMMYFUNCTION("""COMPUTED_VALUE"""),"Single")</f>
        <v>Single</v>
      </c>
      <c r="F178" s="697" t="str">
        <f>IFERROR(__xludf.DUMMYFUNCTION("""COMPUTED_VALUE"""),"40 mg/kg")</f>
        <v>40 mg/kg</v>
      </c>
      <c r="G178" s="697">
        <f>IFERROR(__xludf.DUMMYFUNCTION("""COMPUTED_VALUE"""),149.0)</f>
        <v>149</v>
      </c>
      <c r="H178" s="697" t="str">
        <f>IFERROR(__xludf.DUMMYFUNCTION("""COMPUTED_VALUE"""),"School Children")</f>
        <v>School Children</v>
      </c>
      <c r="I178" s="705" t="str">
        <f>IFERROR(__xludf.DUMMYFUNCTION("""COMPUTED_VALUE"""),"MF")</f>
        <v>MF</v>
      </c>
      <c r="J178" s="697">
        <f>IFERROR(__xludf.DUMMYFUNCTION("""COMPUTED_VALUE"""),2010.0)</f>
        <v>2010</v>
      </c>
      <c r="K178" s="697" t="str">
        <f>IFERROR(__xludf.DUMMYFUNCTION("""COMPUTED_VALUE"""),"schoolchildren")</f>
        <v>schoolchildren</v>
      </c>
      <c r="L178" s="697" t="str">
        <f>IFERROR(__xludf.DUMMYFUNCTION("""COMPUTED_VALUE"""),"No")</f>
        <v>No</v>
      </c>
      <c r="M178" s="697" t="str">
        <f>IFERROR(__xludf.DUMMYFUNCTION("""COMPUTED_VALUE"""),"Yes")</f>
        <v>Yes</v>
      </c>
      <c r="N178" s="697" t="str">
        <f>IFERROR(__xludf.DUMMYFUNCTION("""COMPUTED_VALUE"""),"Follow-up 3 weeks")</f>
        <v>Follow-up 3 weeks</v>
      </c>
      <c r="O178" s="698">
        <f>IFERROR(__xludf.DUMMYFUNCTION("""COMPUTED_VALUE"""),0.817)</f>
        <v>0.817</v>
      </c>
      <c r="P178" s="698">
        <f>IFERROR(__xludf.DUMMYFUNCTION("""COMPUTED_VALUE"""),0.89)</f>
        <v>0.89</v>
      </c>
      <c r="Q178" s="697" t="str">
        <f>IFERROR(__xludf.DUMMYFUNCTION("""COMPUTED_VALUE"""),"PZQ syrup and crushed PZQ tablets have very similar efficacies in the treatment of intestinal schistosomiasis in preschool children")</f>
        <v>PZQ syrup and crushed PZQ tablets have very similar efficacies in the treatment of intestinal schistosomiasis in preschool children</v>
      </c>
      <c r="R178" s="697"/>
      <c r="S178" s="699" t="str">
        <f>IFERROR(__xludf.DUMMYFUNCTION("""COMPUTED_VALUE"""),"Navaratnam, A.M.D.; Sousa-Figueiredo, J.C.; Stothard, J.R.; Kabatereine, N.B.; Fenwick, A.; Mutumba-Nakalembe, M.J. 2012. ""Efficacy of praziquantel syrup versus crushed praziquantel tablets in the treatment of intestinal schistosomiasis in Ugandan presch"&amp;"ool children, with observation on compliance and safety. Transactions of the Royal Society of Tropical Medicine and Hygiene 106 400-407.")</f>
        <v>Navaratnam, A.M.D.; Sousa-Figueiredo, J.C.; Stothard, J.R.; Kabatereine, N.B.; Fenwick, A.; Mutumba-Nakalembe, M.J. 2012. "Efficacy of praziquantel syrup versus crushed praziquantel tablets in the treatment of intestinal schistosomiasis in Ugandan preschool children, with observation on compliance and safety. Transactions of the Royal Society of Tropical Medicine and Hygiene 106 400-407.</v>
      </c>
      <c r="T178" s="697"/>
      <c r="U178" s="697" t="str">
        <f>IFERROR(__xludf.DUMMYFUNCTION("""COMPUTED_VALUE"""),"")</f>
        <v/>
      </c>
      <c r="V178" s="697">
        <f>IFERROR(__xludf.DUMMYFUNCTION("""COMPUTED_VALUE"""),178.0)</f>
        <v>178</v>
      </c>
    </row>
    <row r="179">
      <c r="A179" s="697" t="str">
        <f>IFERROR(__xludf.DUMMYFUNCTION("""COMPUTED_VALUE"""),"Navartnam")</f>
        <v>Navartnam</v>
      </c>
      <c r="B179" s="697" t="str">
        <f>IFERROR(__xludf.DUMMYFUNCTION("""COMPUTED_VALUE"""),"s. mansoni")</f>
        <v>s. mansoni</v>
      </c>
      <c r="C179" s="697" t="str">
        <f>IFERROR(__xludf.DUMMYFUNCTION("""COMPUTED_VALUE"""),"Uganda")</f>
        <v>Uganda</v>
      </c>
      <c r="D179" s="697" t="str">
        <f>IFERROR(__xludf.DUMMYFUNCTION("""COMPUTED_VALUE"""),"Praziquantel")</f>
        <v>Praziquantel</v>
      </c>
      <c r="E179" s="697" t="str">
        <f>IFERROR(__xludf.DUMMYFUNCTION("""COMPUTED_VALUE"""),"Single")</f>
        <v>Single</v>
      </c>
      <c r="F179" s="697" t="str">
        <f>IFERROR(__xludf.DUMMYFUNCTION("""COMPUTED_VALUE"""),"2.5-7.5 mL")</f>
        <v>2.5-7.5 mL</v>
      </c>
      <c r="G179" s="697">
        <f>IFERROR(__xludf.DUMMYFUNCTION("""COMPUTED_VALUE"""),148.0)</f>
        <v>148</v>
      </c>
      <c r="H179" s="697" t="str">
        <f>IFERROR(__xludf.DUMMYFUNCTION("""COMPUTED_VALUE"""),"School Children")</f>
        <v>School Children</v>
      </c>
      <c r="I179" s="705" t="str">
        <f>IFERROR(__xludf.DUMMYFUNCTION("""COMPUTED_VALUE"""),"MF")</f>
        <v>MF</v>
      </c>
      <c r="J179" s="697">
        <f>IFERROR(__xludf.DUMMYFUNCTION("""COMPUTED_VALUE"""),2010.0)</f>
        <v>2010</v>
      </c>
      <c r="K179" s="697" t="str">
        <f>IFERROR(__xludf.DUMMYFUNCTION("""COMPUTED_VALUE"""),"schoolchildren")</f>
        <v>schoolchildren</v>
      </c>
      <c r="L179" s="697" t="str">
        <f>IFERROR(__xludf.DUMMYFUNCTION("""COMPUTED_VALUE"""),"No")</f>
        <v>No</v>
      </c>
      <c r="M179" s="697" t="str">
        <f>IFERROR(__xludf.DUMMYFUNCTION("""COMPUTED_VALUE"""),"Yes")</f>
        <v>Yes</v>
      </c>
      <c r="N179" s="697" t="str">
        <f>IFERROR(__xludf.DUMMYFUNCTION("""COMPUTED_VALUE"""),"Follow-up 3 weeks")</f>
        <v>Follow-up 3 weeks</v>
      </c>
      <c r="O179" s="698">
        <f>IFERROR(__xludf.DUMMYFUNCTION("""COMPUTED_VALUE"""),0.809)</f>
        <v>0.809</v>
      </c>
      <c r="P179" s="698">
        <f>IFERROR(__xludf.DUMMYFUNCTION("""COMPUTED_VALUE"""),0.861)</f>
        <v>0.861</v>
      </c>
      <c r="Q179" s="697" t="str">
        <f>IFERROR(__xludf.DUMMYFUNCTION("""COMPUTED_VALUE"""),"PZQ syrup and crushed PZQ tablets have very similar efficacies in the treatment of intestinal schistosomiasis in preschool children")</f>
        <v>PZQ syrup and crushed PZQ tablets have very similar efficacies in the treatment of intestinal schistosomiasis in preschool children</v>
      </c>
      <c r="R179" s="697"/>
      <c r="S179" s="699" t="str">
        <f>IFERROR(__xludf.DUMMYFUNCTION("""COMPUTED_VALUE"""),"Navaratnam, A.M.D.; Sousa-Figueiredo, J.C.; Stothard, J.R.; Kabatereine, N.B.; Fenwick, A.; Mutumba-Nakalembe, M.J. 2012. ""Efficacy of praziquantel syrup versus crushed praziquantel tablets in the treatment of intestinal schistosomiasis in Ugandan presch"&amp;"ool children, with observation on compliance and safety. Transactions of the Royal Society of Tropical Medicine and Hygiene 106 400-407.")</f>
        <v>Navaratnam, A.M.D.; Sousa-Figueiredo, J.C.; Stothard, J.R.; Kabatereine, N.B.; Fenwick, A.; Mutumba-Nakalembe, M.J. 2012. "Efficacy of praziquantel syrup versus crushed praziquantel tablets in the treatment of intestinal schistosomiasis in Ugandan preschool children, with observation on compliance and safety. Transactions of the Royal Society of Tropical Medicine and Hygiene 106 400-407.</v>
      </c>
      <c r="T179" s="697"/>
      <c r="U179" s="697" t="str">
        <f>IFERROR(__xludf.DUMMYFUNCTION("""COMPUTED_VALUE"""),"")</f>
        <v/>
      </c>
      <c r="V179" s="697">
        <f>IFERROR(__xludf.DUMMYFUNCTION("""COMPUTED_VALUE"""),179.0)</f>
        <v>179</v>
      </c>
    </row>
    <row r="180">
      <c r="A180" s="697" t="str">
        <f>IFERROR(__xludf.DUMMYFUNCTION("""COMPUTED_VALUE"""),"Polderman")</f>
        <v>Polderman</v>
      </c>
      <c r="B180" s="697" t="str">
        <f>IFERROR(__xludf.DUMMYFUNCTION("""COMPUTED_VALUE"""),"s. mansoni")</f>
        <v>s. mansoni</v>
      </c>
      <c r="C180" s="697" t="str">
        <f>IFERROR(__xludf.DUMMYFUNCTION("""COMPUTED_VALUE"""),"Democratic Republic of the Congo")</f>
        <v>Democratic Republic of the Congo</v>
      </c>
      <c r="D180" s="697" t="str">
        <f>IFERROR(__xludf.DUMMYFUNCTION("""COMPUTED_VALUE"""),"Praziquantel")</f>
        <v>Praziquantel</v>
      </c>
      <c r="E180" s="697" t="str">
        <f>IFERROR(__xludf.DUMMYFUNCTION("""COMPUTED_VALUE"""),"Single")</f>
        <v>Single</v>
      </c>
      <c r="F180" s="697" t="str">
        <f>IFERROR(__xludf.DUMMYFUNCTION("""COMPUTED_VALUE"""),"40 mg/kg")</f>
        <v>40 mg/kg</v>
      </c>
      <c r="G180" s="697">
        <f>IFERROR(__xludf.DUMMYFUNCTION("""COMPUTED_VALUE"""),70.0)</f>
        <v>70</v>
      </c>
      <c r="H180" s="704">
        <f>IFERROR(__xludf.DUMMYFUNCTION("""COMPUTED_VALUE"""),42541.0)</f>
        <v>42541</v>
      </c>
      <c r="I180" s="705" t="str">
        <f>IFERROR(__xludf.DUMMYFUNCTION("""COMPUTED_VALUE"""),"MF")</f>
        <v>MF</v>
      </c>
      <c r="J180" s="697">
        <f>IFERROR(__xludf.DUMMYFUNCTION("""COMPUTED_VALUE"""),1988.0)</f>
        <v>1988</v>
      </c>
      <c r="K180" s="697" t="str">
        <f>IFERROR(__xludf.DUMMYFUNCTION("""COMPUTED_VALUE"""),"School Children &amp; Adults")</f>
        <v>School Children &amp; Adults</v>
      </c>
      <c r="L180" s="697" t="str">
        <f>IFERROR(__xludf.DUMMYFUNCTION("""COMPUTED_VALUE"""),"No")</f>
        <v>No</v>
      </c>
      <c r="M180" s="697" t="str">
        <f>IFERROR(__xludf.DUMMYFUNCTION("""COMPUTED_VALUE"""),"No")</f>
        <v>No</v>
      </c>
      <c r="N180" s="697" t="str">
        <f>IFERROR(__xludf.DUMMYFUNCTION("""COMPUTED_VALUE"""),"6 weeks post treatment")</f>
        <v>6 weeks post treatment</v>
      </c>
      <c r="O180" s="700">
        <f>IFERROR(__xludf.DUMMYFUNCTION("""COMPUTED_VALUE"""),0.47)</f>
        <v>0.47</v>
      </c>
      <c r="P180" s="697"/>
      <c r="Q180" s="697" t="str">
        <f>IFERROR(__xludf.DUMMYFUNCTION("""COMPUTED_VALUE"""),"The cure rates were lower in children than in adults, for both oxamniquine and praziquantel. The results in the placebo-treated group indicate that the repro- ducibility of egg counts was adequate.")</f>
        <v>The cure rates were lower in children than in adults, for both oxamniquine and praziquantel. The results in the placebo-treated group indicate that the repro- ducibility of egg counts was adequate.</v>
      </c>
      <c r="R180" s="697"/>
      <c r="S180" s="699" t="str">
        <f>IFERROR(__xludf.DUMMYFUNCTION("""COMPUTED_VALUE"""),"Polderman, A.B.; Gryseels, B. De Caluwe, P. Cure rates and egg reduction in treatment of intestinal schistosomiasis with oxamniquine and praziquantel in Maniema, Zaire. 1988. Transactions of the Royal Society of Tropical Medicine and Hygiene. 82: 115-116.")</f>
        <v>Polderman, A.B.; Gryseels, B. De Caluwe, P. Cure rates and egg reduction in treatment of intestinal schistosomiasis with oxamniquine and praziquantel in Maniema, Zaire. 1988. Transactions of the Royal Society of Tropical Medicine and Hygiene. 82: 115-116.</v>
      </c>
      <c r="T180" s="697"/>
      <c r="U180" s="697" t="str">
        <f>IFERROR(__xludf.DUMMYFUNCTION("""COMPUTED_VALUE"""),"x")</f>
        <v>x</v>
      </c>
      <c r="V180" s="697">
        <f>IFERROR(__xludf.DUMMYFUNCTION("""COMPUTED_VALUE"""),180.0)</f>
        <v>180</v>
      </c>
    </row>
    <row r="181">
      <c r="A181" s="697" t="str">
        <f>IFERROR(__xludf.DUMMYFUNCTION("""COMPUTED_VALUE"""),"Polderman")</f>
        <v>Polderman</v>
      </c>
      <c r="B181" s="697" t="str">
        <f>IFERROR(__xludf.DUMMYFUNCTION("""COMPUTED_VALUE"""),"s. mansoni")</f>
        <v>s. mansoni</v>
      </c>
      <c r="C181" s="697" t="str">
        <f>IFERROR(__xludf.DUMMYFUNCTION("""COMPUTED_VALUE"""),"Democratic Republic of the Congo")</f>
        <v>Democratic Republic of the Congo</v>
      </c>
      <c r="D181" s="697" t="str">
        <f>IFERROR(__xludf.DUMMYFUNCTION("""COMPUTED_VALUE"""),"Praziquantel")</f>
        <v>Praziquantel</v>
      </c>
      <c r="E181" s="697" t="str">
        <f>IFERROR(__xludf.DUMMYFUNCTION("""COMPUTED_VALUE"""),"Single")</f>
        <v>Single</v>
      </c>
      <c r="F181" s="697" t="str">
        <f>IFERROR(__xludf.DUMMYFUNCTION("""COMPUTED_VALUE"""),"40 mg/kg")</f>
        <v>40 mg/kg</v>
      </c>
      <c r="G181" s="697">
        <f>IFERROR(__xludf.DUMMYFUNCTION("""COMPUTED_VALUE"""),95.0)</f>
        <v>95</v>
      </c>
      <c r="H181" s="697" t="str">
        <f>IFERROR(__xludf.DUMMYFUNCTION("""COMPUTED_VALUE"""),"&gt;20")</f>
        <v>&gt;20</v>
      </c>
      <c r="I181" s="705" t="str">
        <f>IFERROR(__xludf.DUMMYFUNCTION("""COMPUTED_VALUE"""),"MF")</f>
        <v>MF</v>
      </c>
      <c r="J181" s="697">
        <f>IFERROR(__xludf.DUMMYFUNCTION("""COMPUTED_VALUE"""),1988.0)</f>
        <v>1988</v>
      </c>
      <c r="K181" s="697" t="str">
        <f>IFERROR(__xludf.DUMMYFUNCTION("""COMPUTED_VALUE"""),"Adults &gt;20")</f>
        <v>Adults &gt;20</v>
      </c>
      <c r="L181" s="697" t="str">
        <f>IFERROR(__xludf.DUMMYFUNCTION("""COMPUTED_VALUE"""),"No")</f>
        <v>No</v>
      </c>
      <c r="M181" s="697" t="str">
        <f>IFERROR(__xludf.DUMMYFUNCTION("""COMPUTED_VALUE"""),"No")</f>
        <v>No</v>
      </c>
      <c r="N181" s="697" t="str">
        <f>IFERROR(__xludf.DUMMYFUNCTION("""COMPUTED_VALUE"""),"6 weeks post treatment")</f>
        <v>6 weeks post treatment</v>
      </c>
      <c r="O181" s="700">
        <f>IFERROR(__xludf.DUMMYFUNCTION("""COMPUTED_VALUE"""),0.69)</f>
        <v>0.69</v>
      </c>
      <c r="P181" s="697"/>
      <c r="Q181" s="697" t="str">
        <f>IFERROR(__xludf.DUMMYFUNCTION("""COMPUTED_VALUE"""),"The cure rates were lower in children than in adults, for both oxamniquine and praziquantel. The results in the placebo-treated group indicate that the repro- ducibility of egg counts was adequate.")</f>
        <v>The cure rates were lower in children than in adults, for both oxamniquine and praziquantel. The results in the placebo-treated group indicate that the repro- ducibility of egg counts was adequate.</v>
      </c>
      <c r="R181" s="697"/>
      <c r="S181" s="699" t="str">
        <f>IFERROR(__xludf.DUMMYFUNCTION("""COMPUTED_VALUE"""),"Polderman, A.B.; Gryseels, B. De Caluwe, P. Cure rates and egg reduction in treatment of intestinal schistosomiasis with oxamniquine and praziquantel in Maniema, Zaire. 1988. Transactions of the Royal Society of Tropical Medicine and Hygiene. 82: 115-116.")</f>
        <v>Polderman, A.B.; Gryseels, B. De Caluwe, P. Cure rates and egg reduction in treatment of intestinal schistosomiasis with oxamniquine and praziquantel in Maniema, Zaire. 1988. Transactions of the Royal Society of Tropical Medicine and Hygiene. 82: 115-116.</v>
      </c>
      <c r="T181" s="697"/>
      <c r="U181" s="697" t="str">
        <f>IFERROR(__xludf.DUMMYFUNCTION("""COMPUTED_VALUE"""),"x")</f>
        <v>x</v>
      </c>
      <c r="V181" s="697">
        <f>IFERROR(__xludf.DUMMYFUNCTION("""COMPUTED_VALUE"""),181.0)</f>
        <v>181</v>
      </c>
    </row>
    <row r="182">
      <c r="A182" s="697" t="str">
        <f>IFERROR(__xludf.DUMMYFUNCTION("""COMPUTED_VALUE"""),"Polderman")</f>
        <v>Polderman</v>
      </c>
      <c r="B182" s="697" t="str">
        <f>IFERROR(__xludf.DUMMYFUNCTION("""COMPUTED_VALUE"""),"s. mansoni")</f>
        <v>s. mansoni</v>
      </c>
      <c r="C182" s="697" t="str">
        <f>IFERROR(__xludf.DUMMYFUNCTION("""COMPUTED_VALUE"""),"Democratic Republic of the Congo")</f>
        <v>Democratic Republic of the Congo</v>
      </c>
      <c r="D182" s="697" t="str">
        <f>IFERROR(__xludf.DUMMYFUNCTION("""COMPUTED_VALUE"""),"Praziquantel")</f>
        <v>Praziquantel</v>
      </c>
      <c r="E182" s="697" t="str">
        <f>IFERROR(__xludf.DUMMYFUNCTION("""COMPUTED_VALUE"""),"Single")</f>
        <v>Single</v>
      </c>
      <c r="F182" s="697" t="str">
        <f>IFERROR(__xludf.DUMMYFUNCTION("""COMPUTED_VALUE"""),"30 mg/kg")</f>
        <v>30 mg/kg</v>
      </c>
      <c r="G182" s="697">
        <f>IFERROR(__xludf.DUMMYFUNCTION("""COMPUTED_VALUE"""),22.0)</f>
        <v>22</v>
      </c>
      <c r="H182" s="704">
        <f>IFERROR(__xludf.DUMMYFUNCTION("""COMPUTED_VALUE"""),42541.0)</f>
        <v>42541</v>
      </c>
      <c r="I182" s="705" t="str">
        <f>IFERROR(__xludf.DUMMYFUNCTION("""COMPUTED_VALUE"""),"MF")</f>
        <v>MF</v>
      </c>
      <c r="J182" s="697">
        <f>IFERROR(__xludf.DUMMYFUNCTION("""COMPUTED_VALUE"""),1988.0)</f>
        <v>1988</v>
      </c>
      <c r="K182" s="697" t="str">
        <f>IFERROR(__xludf.DUMMYFUNCTION("""COMPUTED_VALUE"""),"School Children &amp; Adults")</f>
        <v>School Children &amp; Adults</v>
      </c>
      <c r="L182" s="697" t="str">
        <f>IFERROR(__xludf.DUMMYFUNCTION("""COMPUTED_VALUE"""),"No")</f>
        <v>No</v>
      </c>
      <c r="M182" s="697" t="str">
        <f>IFERROR(__xludf.DUMMYFUNCTION("""COMPUTED_VALUE"""),"No")</f>
        <v>No</v>
      </c>
      <c r="N182" s="697" t="str">
        <f>IFERROR(__xludf.DUMMYFUNCTION("""COMPUTED_VALUE"""),"6 weeks post treatment")</f>
        <v>6 weeks post treatment</v>
      </c>
      <c r="O182" s="700">
        <f>IFERROR(__xludf.DUMMYFUNCTION("""COMPUTED_VALUE"""),0.5)</f>
        <v>0.5</v>
      </c>
      <c r="P182" s="697"/>
      <c r="Q182" s="697" t="str">
        <f>IFERROR(__xludf.DUMMYFUNCTION("""COMPUTED_VALUE"""),"The cure rates were lower in children than in adults, for both oxamniquine and praziquantel. The results in the placebo-treated group indicate that the repro- ducibility of egg counts was adequate.")</f>
        <v>The cure rates were lower in children than in adults, for both oxamniquine and praziquantel. The results in the placebo-treated group indicate that the repro- ducibility of egg counts was adequate.</v>
      </c>
      <c r="R182" s="697"/>
      <c r="S182" s="699" t="str">
        <f>IFERROR(__xludf.DUMMYFUNCTION("""COMPUTED_VALUE"""),"Polderman, A.B.; Gryseels, B. De Caluwe, P. Cure rates and egg reduction in treatment of intestinal schistosomiasis with oxamniquine and praziquantel in Maniema, Zaire. 1988. Transactions of the Royal Society of Tropical Medicine and Hygiene. 82: 115-116.")</f>
        <v>Polderman, A.B.; Gryseels, B. De Caluwe, P. Cure rates and egg reduction in treatment of intestinal schistosomiasis with oxamniquine and praziquantel in Maniema, Zaire. 1988. Transactions of the Royal Society of Tropical Medicine and Hygiene. 82: 115-116.</v>
      </c>
      <c r="T182" s="697"/>
      <c r="U182" s="697" t="str">
        <f>IFERROR(__xludf.DUMMYFUNCTION("""COMPUTED_VALUE"""),"x")</f>
        <v>x</v>
      </c>
      <c r="V182" s="697">
        <f>IFERROR(__xludf.DUMMYFUNCTION("""COMPUTED_VALUE"""),182.0)</f>
        <v>182</v>
      </c>
    </row>
    <row r="183">
      <c r="A183" s="697" t="str">
        <f>IFERROR(__xludf.DUMMYFUNCTION("""COMPUTED_VALUE"""),"Polderman")</f>
        <v>Polderman</v>
      </c>
      <c r="B183" s="697" t="str">
        <f>IFERROR(__xludf.DUMMYFUNCTION("""COMPUTED_VALUE"""),"s. mansoni")</f>
        <v>s. mansoni</v>
      </c>
      <c r="C183" s="697" t="str">
        <f>IFERROR(__xludf.DUMMYFUNCTION("""COMPUTED_VALUE"""),"Democratic Republic of the Congo")</f>
        <v>Democratic Republic of the Congo</v>
      </c>
      <c r="D183" s="697" t="str">
        <f>IFERROR(__xludf.DUMMYFUNCTION("""COMPUTED_VALUE"""),"Praziquantel")</f>
        <v>Praziquantel</v>
      </c>
      <c r="E183" s="697" t="str">
        <f>IFERROR(__xludf.DUMMYFUNCTION("""COMPUTED_VALUE"""),"Single")</f>
        <v>Single</v>
      </c>
      <c r="F183" s="697" t="str">
        <f>IFERROR(__xludf.DUMMYFUNCTION("""COMPUTED_VALUE"""),"30 mg/kg")</f>
        <v>30 mg/kg</v>
      </c>
      <c r="G183" s="697">
        <f>IFERROR(__xludf.DUMMYFUNCTION("""COMPUTED_VALUE"""),20.0)</f>
        <v>20</v>
      </c>
      <c r="H183" s="697" t="str">
        <f>IFERROR(__xludf.DUMMYFUNCTION("""COMPUTED_VALUE"""),"&gt;20")</f>
        <v>&gt;20</v>
      </c>
      <c r="I183" s="705" t="str">
        <f>IFERROR(__xludf.DUMMYFUNCTION("""COMPUTED_VALUE"""),"MF")</f>
        <v>MF</v>
      </c>
      <c r="J183" s="697">
        <f>IFERROR(__xludf.DUMMYFUNCTION("""COMPUTED_VALUE"""),1988.0)</f>
        <v>1988</v>
      </c>
      <c r="K183" s="697" t="str">
        <f>IFERROR(__xludf.DUMMYFUNCTION("""COMPUTED_VALUE"""),"Adults &gt;20")</f>
        <v>Adults &gt;20</v>
      </c>
      <c r="L183" s="697" t="str">
        <f>IFERROR(__xludf.DUMMYFUNCTION("""COMPUTED_VALUE"""),"No")</f>
        <v>No</v>
      </c>
      <c r="M183" s="697" t="str">
        <f>IFERROR(__xludf.DUMMYFUNCTION("""COMPUTED_VALUE"""),"No")</f>
        <v>No</v>
      </c>
      <c r="N183" s="697" t="str">
        <f>IFERROR(__xludf.DUMMYFUNCTION("""COMPUTED_VALUE"""),"6 weeks post treatment")</f>
        <v>6 weeks post treatment</v>
      </c>
      <c r="O183" s="700">
        <f>IFERROR(__xludf.DUMMYFUNCTION("""COMPUTED_VALUE"""),0.85)</f>
        <v>0.85</v>
      </c>
      <c r="P183" s="697"/>
      <c r="Q183" s="697" t="str">
        <f>IFERROR(__xludf.DUMMYFUNCTION("""COMPUTED_VALUE"""),"The cure rates were lower in children than in adults, for both oxamniquine and praziquantel. The results in the placebo-treated group indicate that the repro- ducibility of egg counts was adequate.")</f>
        <v>The cure rates were lower in children than in adults, for both oxamniquine and praziquantel. The results in the placebo-treated group indicate that the repro- ducibility of egg counts was adequate.</v>
      </c>
      <c r="R183" s="697"/>
      <c r="S183" s="699" t="str">
        <f>IFERROR(__xludf.DUMMYFUNCTION("""COMPUTED_VALUE"""),"Polderman, A.B.; Gryseels, B. De Caluwe, P. Cure rates and egg reduction in treatment of intestinal schistosomiasis with oxamniquine and praziquantel in Maniema, Zaire. 1988. Transactions of the Royal Society of Tropical Medicine and Hygiene. 82: 115-116.")</f>
        <v>Polderman, A.B.; Gryseels, B. De Caluwe, P. Cure rates and egg reduction in treatment of intestinal schistosomiasis with oxamniquine and praziquantel in Maniema, Zaire. 1988. Transactions of the Royal Society of Tropical Medicine and Hygiene. 82: 115-116.</v>
      </c>
      <c r="T183" s="697"/>
      <c r="U183" s="697" t="str">
        <f>IFERROR(__xludf.DUMMYFUNCTION("""COMPUTED_VALUE"""),"x")</f>
        <v>x</v>
      </c>
      <c r="V183" s="697">
        <f>IFERROR(__xludf.DUMMYFUNCTION("""COMPUTED_VALUE"""),183.0)</f>
        <v>183</v>
      </c>
    </row>
    <row r="184">
      <c r="A184" s="697" t="str">
        <f>IFERROR(__xludf.DUMMYFUNCTION("""COMPUTED_VALUE"""),"Polderman")</f>
        <v>Polderman</v>
      </c>
      <c r="B184" s="697" t="str">
        <f>IFERROR(__xludf.DUMMYFUNCTION("""COMPUTED_VALUE"""),"s. mansoni")</f>
        <v>s. mansoni</v>
      </c>
      <c r="C184" s="697" t="str">
        <f>IFERROR(__xludf.DUMMYFUNCTION("""COMPUTED_VALUE"""),"Democratic Republic of the Congo")</f>
        <v>Democratic Republic of the Congo</v>
      </c>
      <c r="D184" s="697" t="str">
        <f>IFERROR(__xludf.DUMMYFUNCTION("""COMPUTED_VALUE"""),"Oxamniquine")</f>
        <v>Oxamniquine</v>
      </c>
      <c r="E184" s="697" t="str">
        <f>IFERROR(__xludf.DUMMYFUNCTION("""COMPUTED_VALUE"""),"Single")</f>
        <v>Single</v>
      </c>
      <c r="F184" s="697" t="str">
        <f>IFERROR(__xludf.DUMMYFUNCTION("""COMPUTED_VALUE"""),"40 mg/kg")</f>
        <v>40 mg/kg</v>
      </c>
      <c r="G184" s="697">
        <f>IFERROR(__xludf.DUMMYFUNCTION("""COMPUTED_VALUE"""),120.0)</f>
        <v>120</v>
      </c>
      <c r="H184" s="704">
        <f>IFERROR(__xludf.DUMMYFUNCTION("""COMPUTED_VALUE"""),42541.0)</f>
        <v>42541</v>
      </c>
      <c r="I184" s="705" t="str">
        <f>IFERROR(__xludf.DUMMYFUNCTION("""COMPUTED_VALUE"""),"MF")</f>
        <v>MF</v>
      </c>
      <c r="J184" s="697">
        <f>IFERROR(__xludf.DUMMYFUNCTION("""COMPUTED_VALUE"""),1988.0)</f>
        <v>1988</v>
      </c>
      <c r="K184" s="697" t="str">
        <f>IFERROR(__xludf.DUMMYFUNCTION("""COMPUTED_VALUE"""),"School Children &amp; Adults")</f>
        <v>School Children &amp; Adults</v>
      </c>
      <c r="L184" s="697" t="str">
        <f>IFERROR(__xludf.DUMMYFUNCTION("""COMPUTED_VALUE"""),"No")</f>
        <v>No</v>
      </c>
      <c r="M184" s="697" t="str">
        <f>IFERROR(__xludf.DUMMYFUNCTION("""COMPUTED_VALUE"""),"No")</f>
        <v>No</v>
      </c>
      <c r="N184" s="697" t="str">
        <f>IFERROR(__xludf.DUMMYFUNCTION("""COMPUTED_VALUE"""),"6 weeks post treatment")</f>
        <v>6 weeks post treatment</v>
      </c>
      <c r="O184" s="700">
        <f>IFERROR(__xludf.DUMMYFUNCTION("""COMPUTED_VALUE"""),0.43)</f>
        <v>0.43</v>
      </c>
      <c r="P184" s="697"/>
      <c r="Q184" s="697" t="str">
        <f>IFERROR(__xludf.DUMMYFUNCTION("""COMPUTED_VALUE"""),"The cure rates were lower in children than in adults, for both oxamniquine and praziquantel. The results in the placebo-treated group indicate that the repro- ducibility of egg counts was adequate.")</f>
        <v>The cure rates were lower in children than in adults, for both oxamniquine and praziquantel. The results in the placebo-treated group indicate that the repro- ducibility of egg counts was adequate.</v>
      </c>
      <c r="R184" s="697"/>
      <c r="S184" s="699" t="str">
        <f>IFERROR(__xludf.DUMMYFUNCTION("""COMPUTED_VALUE"""),"Polderman, A.B.; Gryseels, B. De Caluwe, P. Cure rates and egg reduction in treatment of intestinal schistosomiasis with oxamniquine and praziquantel in Maniema, Zaire. 1988. Transactions of the Royal Society of Tropical Medicine and Hygiene. 82: 115-116.")</f>
        <v>Polderman, A.B.; Gryseels, B. De Caluwe, P. Cure rates and egg reduction in treatment of intestinal schistosomiasis with oxamniquine and praziquantel in Maniema, Zaire. 1988. Transactions of the Royal Society of Tropical Medicine and Hygiene. 82: 115-116.</v>
      </c>
      <c r="T184" s="697"/>
      <c r="U184" s="697" t="str">
        <f>IFERROR(__xludf.DUMMYFUNCTION("""COMPUTED_VALUE"""),"x")</f>
        <v>x</v>
      </c>
      <c r="V184" s="697">
        <f>IFERROR(__xludf.DUMMYFUNCTION("""COMPUTED_VALUE"""),184.0)</f>
        <v>184</v>
      </c>
    </row>
    <row r="185">
      <c r="A185" s="697" t="str">
        <f>IFERROR(__xludf.DUMMYFUNCTION("""COMPUTED_VALUE"""),"Polderman")</f>
        <v>Polderman</v>
      </c>
      <c r="B185" s="697" t="str">
        <f>IFERROR(__xludf.DUMMYFUNCTION("""COMPUTED_VALUE"""),"s. mansoni")</f>
        <v>s. mansoni</v>
      </c>
      <c r="C185" s="697" t="str">
        <f>IFERROR(__xludf.DUMMYFUNCTION("""COMPUTED_VALUE"""),"Democratic Republic of the Congo")</f>
        <v>Democratic Republic of the Congo</v>
      </c>
      <c r="D185" s="697" t="str">
        <f>IFERROR(__xludf.DUMMYFUNCTION("""COMPUTED_VALUE"""),"Oxamniquine")</f>
        <v>Oxamniquine</v>
      </c>
      <c r="E185" s="697" t="str">
        <f>IFERROR(__xludf.DUMMYFUNCTION("""COMPUTED_VALUE"""),"Single")</f>
        <v>Single</v>
      </c>
      <c r="F185" s="697" t="str">
        <f>IFERROR(__xludf.DUMMYFUNCTION("""COMPUTED_VALUE"""),"40 mg/kg")</f>
        <v>40 mg/kg</v>
      </c>
      <c r="G185" s="697">
        <f>IFERROR(__xludf.DUMMYFUNCTION("""COMPUTED_VALUE"""),177.0)</f>
        <v>177</v>
      </c>
      <c r="H185" s="697" t="str">
        <f>IFERROR(__xludf.DUMMYFUNCTION("""COMPUTED_VALUE"""),"&gt;20")</f>
        <v>&gt;20</v>
      </c>
      <c r="I185" s="705" t="str">
        <f>IFERROR(__xludf.DUMMYFUNCTION("""COMPUTED_VALUE"""),"MF")</f>
        <v>MF</v>
      </c>
      <c r="J185" s="697">
        <f>IFERROR(__xludf.DUMMYFUNCTION("""COMPUTED_VALUE"""),1988.0)</f>
        <v>1988</v>
      </c>
      <c r="K185" s="697" t="str">
        <f>IFERROR(__xludf.DUMMYFUNCTION("""COMPUTED_VALUE"""),"Adults &gt;20")</f>
        <v>Adults &gt;20</v>
      </c>
      <c r="L185" s="697" t="str">
        <f>IFERROR(__xludf.DUMMYFUNCTION("""COMPUTED_VALUE"""),"No")</f>
        <v>No</v>
      </c>
      <c r="M185" s="697" t="str">
        <f>IFERROR(__xludf.DUMMYFUNCTION("""COMPUTED_VALUE"""),"No")</f>
        <v>No</v>
      </c>
      <c r="N185" s="697" t="str">
        <f>IFERROR(__xludf.DUMMYFUNCTION("""COMPUTED_VALUE"""),"6 weeks post treatment")</f>
        <v>6 weeks post treatment</v>
      </c>
      <c r="O185" s="700">
        <f>IFERROR(__xludf.DUMMYFUNCTION("""COMPUTED_VALUE"""),0.7)</f>
        <v>0.7</v>
      </c>
      <c r="P185" s="697"/>
      <c r="Q185" s="697" t="str">
        <f>IFERROR(__xludf.DUMMYFUNCTION("""COMPUTED_VALUE"""),"The cure rates were lower in children than in adults, for both oxamniquine and praziquantel. The results in the placebo-treated group indicate that the repro- ducibility of egg counts was adequate.")</f>
        <v>The cure rates were lower in children than in adults, for both oxamniquine and praziquantel. The results in the placebo-treated group indicate that the repro- ducibility of egg counts was adequate.</v>
      </c>
      <c r="R185" s="697"/>
      <c r="S185" s="699" t="str">
        <f>IFERROR(__xludf.DUMMYFUNCTION("""COMPUTED_VALUE"""),"Polderman, A.B.; Gryseels, B. De Caluwe, P. Cure rates and egg reduction in treatment of intestinal schistosomiasis with oxamniquine and praziquantel in Maniema, Zaire. 1988. Transactions of the Royal Society of Tropical Medicine and Hygiene. 82: 115-116.")</f>
        <v>Polderman, A.B.; Gryseels, B. De Caluwe, P. Cure rates and egg reduction in treatment of intestinal schistosomiasis with oxamniquine and praziquantel in Maniema, Zaire. 1988. Transactions of the Royal Society of Tropical Medicine and Hygiene. 82: 115-116.</v>
      </c>
      <c r="T185" s="697"/>
      <c r="U185" s="697" t="str">
        <f>IFERROR(__xludf.DUMMYFUNCTION("""COMPUTED_VALUE"""),"x")</f>
        <v>x</v>
      </c>
      <c r="V185" s="697">
        <f>IFERROR(__xludf.DUMMYFUNCTION("""COMPUTED_VALUE"""),185.0)</f>
        <v>185</v>
      </c>
    </row>
    <row r="186">
      <c r="A186" s="697" t="str">
        <f>IFERROR(__xludf.DUMMYFUNCTION("""COMPUTED_VALUE"""),"Polderman")</f>
        <v>Polderman</v>
      </c>
      <c r="B186" s="697" t="str">
        <f>IFERROR(__xludf.DUMMYFUNCTION("""COMPUTED_VALUE"""),"s. mansoni")</f>
        <v>s. mansoni</v>
      </c>
      <c r="C186" s="697" t="str">
        <f>IFERROR(__xludf.DUMMYFUNCTION("""COMPUTED_VALUE"""),"Democratic Republic of the Congo")</f>
        <v>Democratic Republic of the Congo</v>
      </c>
      <c r="D186" s="697" t="str">
        <f>IFERROR(__xludf.DUMMYFUNCTION("""COMPUTED_VALUE"""),"Oxamniquine")</f>
        <v>Oxamniquine</v>
      </c>
      <c r="E186" s="697" t="str">
        <f>IFERROR(__xludf.DUMMYFUNCTION("""COMPUTED_VALUE"""),"Single")</f>
        <v>Single</v>
      </c>
      <c r="F186" s="697" t="str">
        <f>IFERROR(__xludf.DUMMYFUNCTION("""COMPUTED_VALUE"""),"15 mg/kg")</f>
        <v>15 mg/kg</v>
      </c>
      <c r="G186" s="697">
        <f>IFERROR(__xludf.DUMMYFUNCTION("""COMPUTED_VALUE"""),169.0)</f>
        <v>169</v>
      </c>
      <c r="H186" s="704">
        <f>IFERROR(__xludf.DUMMYFUNCTION("""COMPUTED_VALUE"""),42541.0)</f>
        <v>42541</v>
      </c>
      <c r="I186" s="705" t="str">
        <f>IFERROR(__xludf.DUMMYFUNCTION("""COMPUTED_VALUE"""),"MF")</f>
        <v>MF</v>
      </c>
      <c r="J186" s="697">
        <f>IFERROR(__xludf.DUMMYFUNCTION("""COMPUTED_VALUE"""),1988.0)</f>
        <v>1988</v>
      </c>
      <c r="K186" s="697" t="str">
        <f>IFERROR(__xludf.DUMMYFUNCTION("""COMPUTED_VALUE"""),"School Children &amp; Adults")</f>
        <v>School Children &amp; Adults</v>
      </c>
      <c r="L186" s="697" t="str">
        <f>IFERROR(__xludf.DUMMYFUNCTION("""COMPUTED_VALUE"""),"No")</f>
        <v>No</v>
      </c>
      <c r="M186" s="697" t="str">
        <f>IFERROR(__xludf.DUMMYFUNCTION("""COMPUTED_VALUE"""),"No")</f>
        <v>No</v>
      </c>
      <c r="N186" s="697" t="str">
        <f>IFERROR(__xludf.DUMMYFUNCTION("""COMPUTED_VALUE"""),"6 weeks post treatment")</f>
        <v>6 weeks post treatment</v>
      </c>
      <c r="O186" s="700">
        <f>IFERROR(__xludf.DUMMYFUNCTION("""COMPUTED_VALUE"""),0.21)</f>
        <v>0.21</v>
      </c>
      <c r="P186" s="697"/>
      <c r="Q186" s="697" t="str">
        <f>IFERROR(__xludf.DUMMYFUNCTION("""COMPUTED_VALUE"""),"The cure rates were lower in children than in adults, for both oxamniquine and praziquantel. The results in the placebo-treated group indicate that the repro- ducibility of egg counts was adequate.")</f>
        <v>The cure rates were lower in children than in adults, for both oxamniquine and praziquantel. The results in the placebo-treated group indicate that the repro- ducibility of egg counts was adequate.</v>
      </c>
      <c r="R186" s="697"/>
      <c r="S186" s="699" t="str">
        <f>IFERROR(__xludf.DUMMYFUNCTION("""COMPUTED_VALUE"""),"Polderman, A.B.; Gryseels, B. De Caluwe, P. Cure rates and egg reduction in treatment of intestinal schistosomiasis with oxamniquine and praziquantel in Maniema, Zaire. 1988. Transactions of the Royal Society of Tropical Medicine and Hygiene. 82: 115-116.")</f>
        <v>Polderman, A.B.; Gryseels, B. De Caluwe, P. Cure rates and egg reduction in treatment of intestinal schistosomiasis with oxamniquine and praziquantel in Maniema, Zaire. 1988. Transactions of the Royal Society of Tropical Medicine and Hygiene. 82: 115-116.</v>
      </c>
      <c r="T186" s="697"/>
      <c r="U186" s="697" t="str">
        <f>IFERROR(__xludf.DUMMYFUNCTION("""COMPUTED_VALUE"""),"x")</f>
        <v>x</v>
      </c>
      <c r="V186" s="697">
        <f>IFERROR(__xludf.DUMMYFUNCTION("""COMPUTED_VALUE"""),186.0)</f>
        <v>186</v>
      </c>
    </row>
    <row r="187">
      <c r="A187" s="697" t="str">
        <f>IFERROR(__xludf.DUMMYFUNCTION("""COMPUTED_VALUE"""),"Polderman")</f>
        <v>Polderman</v>
      </c>
      <c r="B187" s="697" t="str">
        <f>IFERROR(__xludf.DUMMYFUNCTION("""COMPUTED_VALUE"""),"s. mansoni")</f>
        <v>s. mansoni</v>
      </c>
      <c r="C187" s="697" t="str">
        <f>IFERROR(__xludf.DUMMYFUNCTION("""COMPUTED_VALUE"""),"Democratic Republic of the Congo")</f>
        <v>Democratic Republic of the Congo</v>
      </c>
      <c r="D187" s="697" t="str">
        <f>IFERROR(__xludf.DUMMYFUNCTION("""COMPUTED_VALUE"""),"Oxamniquine")</f>
        <v>Oxamniquine</v>
      </c>
      <c r="E187" s="697" t="str">
        <f>IFERROR(__xludf.DUMMYFUNCTION("""COMPUTED_VALUE"""),"Single")</f>
        <v>Single</v>
      </c>
      <c r="F187" s="697" t="str">
        <f>IFERROR(__xludf.DUMMYFUNCTION("""COMPUTED_VALUE"""),"15 mg/kg")</f>
        <v>15 mg/kg</v>
      </c>
      <c r="G187" s="697">
        <f>IFERROR(__xludf.DUMMYFUNCTION("""COMPUTED_VALUE"""),205.0)</f>
        <v>205</v>
      </c>
      <c r="H187" s="697" t="str">
        <f>IFERROR(__xludf.DUMMYFUNCTION("""COMPUTED_VALUE"""),"&gt;20")</f>
        <v>&gt;20</v>
      </c>
      <c r="I187" s="705" t="str">
        <f>IFERROR(__xludf.DUMMYFUNCTION("""COMPUTED_VALUE"""),"MF")</f>
        <v>MF</v>
      </c>
      <c r="J187" s="697">
        <f>IFERROR(__xludf.DUMMYFUNCTION("""COMPUTED_VALUE"""),1988.0)</f>
        <v>1988</v>
      </c>
      <c r="K187" s="697" t="str">
        <f>IFERROR(__xludf.DUMMYFUNCTION("""COMPUTED_VALUE"""),"Adults &gt;20")</f>
        <v>Adults &gt;20</v>
      </c>
      <c r="L187" s="697" t="str">
        <f>IFERROR(__xludf.DUMMYFUNCTION("""COMPUTED_VALUE"""),"No")</f>
        <v>No</v>
      </c>
      <c r="M187" s="697" t="str">
        <f>IFERROR(__xludf.DUMMYFUNCTION("""COMPUTED_VALUE"""),"No")</f>
        <v>No</v>
      </c>
      <c r="N187" s="697" t="str">
        <f>IFERROR(__xludf.DUMMYFUNCTION("""COMPUTED_VALUE"""),"6 weeks post treatment")</f>
        <v>6 weeks post treatment</v>
      </c>
      <c r="O187" s="700">
        <f>IFERROR(__xludf.DUMMYFUNCTION("""COMPUTED_VALUE"""),0.4)</f>
        <v>0.4</v>
      </c>
      <c r="P187" s="697"/>
      <c r="Q187" s="697" t="str">
        <f>IFERROR(__xludf.DUMMYFUNCTION("""COMPUTED_VALUE"""),"The cure rates were lower in children than in adults, for both oxamniquine and praziquantel. The results in the placebo-treated group indicate that the repro- ducibility of egg counts was adequate.")</f>
        <v>The cure rates were lower in children than in adults, for both oxamniquine and praziquantel. The results in the placebo-treated group indicate that the repro- ducibility of egg counts was adequate.</v>
      </c>
      <c r="R187" s="697"/>
      <c r="S187" s="699" t="str">
        <f>IFERROR(__xludf.DUMMYFUNCTION("""COMPUTED_VALUE"""),"Polderman, A.B.; Gryseels, B. De Caluwe, P. Cure rates and egg reduction in treatment of intestinal schistosomiasis with oxamniquine and praziquantel in Maniema, Zaire. 1988. Transactions of the Royal Society of Tropical Medicine and Hygiene. 82: 115-116.")</f>
        <v>Polderman, A.B.; Gryseels, B. De Caluwe, P. Cure rates and egg reduction in treatment of intestinal schistosomiasis with oxamniquine and praziquantel in Maniema, Zaire. 1988. Transactions of the Royal Society of Tropical Medicine and Hygiene. 82: 115-116.</v>
      </c>
      <c r="T187" s="697"/>
      <c r="U187" s="697" t="str">
        <f>IFERROR(__xludf.DUMMYFUNCTION("""COMPUTED_VALUE"""),"x")</f>
        <v>x</v>
      </c>
      <c r="V187" s="697">
        <f>IFERROR(__xludf.DUMMYFUNCTION("""COMPUTED_VALUE"""),187.0)</f>
        <v>187</v>
      </c>
    </row>
    <row r="188">
      <c r="A188" s="697" t="str">
        <f>IFERROR(__xludf.DUMMYFUNCTION("""COMPUTED_VALUE"""),"Polderman")</f>
        <v>Polderman</v>
      </c>
      <c r="B188" s="697" t="str">
        <f>IFERROR(__xludf.DUMMYFUNCTION("""COMPUTED_VALUE"""),"s. mansoni")</f>
        <v>s. mansoni</v>
      </c>
      <c r="C188" s="697" t="str">
        <f>IFERROR(__xludf.DUMMYFUNCTION("""COMPUTED_VALUE"""),"Democratic Republic of the Congo")</f>
        <v>Democratic Republic of the Congo</v>
      </c>
      <c r="D188" s="697" t="str">
        <f>IFERROR(__xludf.DUMMYFUNCTION("""COMPUTED_VALUE"""),"Placebo")</f>
        <v>Placebo</v>
      </c>
      <c r="E188" s="697"/>
      <c r="F188" s="697"/>
      <c r="G188" s="697">
        <f>IFERROR(__xludf.DUMMYFUNCTION("""COMPUTED_VALUE"""),83.0)</f>
        <v>83</v>
      </c>
      <c r="H188" s="704">
        <f>IFERROR(__xludf.DUMMYFUNCTION("""COMPUTED_VALUE"""),42541.0)</f>
        <v>42541</v>
      </c>
      <c r="I188" s="705" t="str">
        <f>IFERROR(__xludf.DUMMYFUNCTION("""COMPUTED_VALUE"""),"MF")</f>
        <v>MF</v>
      </c>
      <c r="J188" s="697">
        <f>IFERROR(__xludf.DUMMYFUNCTION("""COMPUTED_VALUE"""),1988.0)</f>
        <v>1988</v>
      </c>
      <c r="K188" s="697" t="str">
        <f>IFERROR(__xludf.DUMMYFUNCTION("""COMPUTED_VALUE"""),"School Children &amp; Adults")</f>
        <v>School Children &amp; Adults</v>
      </c>
      <c r="L188" s="697" t="str">
        <f>IFERROR(__xludf.DUMMYFUNCTION("""COMPUTED_VALUE"""),"No")</f>
        <v>No</v>
      </c>
      <c r="M188" s="697" t="str">
        <f>IFERROR(__xludf.DUMMYFUNCTION("""COMPUTED_VALUE"""),"No")</f>
        <v>No</v>
      </c>
      <c r="N188" s="697" t="str">
        <f>IFERROR(__xludf.DUMMYFUNCTION("""COMPUTED_VALUE"""),"6 weeks post treatment")</f>
        <v>6 weeks post treatment</v>
      </c>
      <c r="O188" s="700">
        <f>IFERROR(__xludf.DUMMYFUNCTION("""COMPUTED_VALUE"""),0.66)</f>
        <v>0.66</v>
      </c>
      <c r="P188" s="697"/>
      <c r="Q188" s="697" t="str">
        <f>IFERROR(__xludf.DUMMYFUNCTION("""COMPUTED_VALUE"""),"The cure rates were lower in children than in adults, for both oxamniquine and praziquantel. The results in the placebo-treated group indicate that the repro- ducibility of egg counts was adequate.")</f>
        <v>The cure rates were lower in children than in adults, for both oxamniquine and praziquantel. The results in the placebo-treated group indicate that the repro- ducibility of egg counts was adequate.</v>
      </c>
      <c r="R188" s="697"/>
      <c r="S188" s="699" t="str">
        <f>IFERROR(__xludf.DUMMYFUNCTION("""COMPUTED_VALUE"""),"Polderman, A.B.; Gryseels, B. De Caluwe, P. Cure rates and egg reduction in treatment of intestinal schistosomiasis with oxamniquine and praziquantel in Maniema, Zaire. 1988. Transactions of the Royal Society of Tropical Medicine and Hygiene. 82: 115-116.")</f>
        <v>Polderman, A.B.; Gryseels, B. De Caluwe, P. Cure rates and egg reduction in treatment of intestinal schistosomiasis with oxamniquine and praziquantel in Maniema, Zaire. 1988. Transactions of the Royal Society of Tropical Medicine and Hygiene. 82: 115-116.</v>
      </c>
      <c r="T188" s="697"/>
      <c r="U188" s="697" t="str">
        <f>IFERROR(__xludf.DUMMYFUNCTION("""COMPUTED_VALUE"""),"x")</f>
        <v>x</v>
      </c>
      <c r="V188" s="697">
        <f>IFERROR(__xludf.DUMMYFUNCTION("""COMPUTED_VALUE"""),188.0)</f>
        <v>188</v>
      </c>
    </row>
    <row r="189">
      <c r="A189" s="697" t="str">
        <f>IFERROR(__xludf.DUMMYFUNCTION("""COMPUTED_VALUE"""),"Polderman")</f>
        <v>Polderman</v>
      </c>
      <c r="B189" s="697" t="str">
        <f>IFERROR(__xludf.DUMMYFUNCTION("""COMPUTED_VALUE"""),"s. mansoni")</f>
        <v>s. mansoni</v>
      </c>
      <c r="C189" s="697" t="str">
        <f>IFERROR(__xludf.DUMMYFUNCTION("""COMPUTED_VALUE"""),"Democratic Republic of the Congo")</f>
        <v>Democratic Republic of the Congo</v>
      </c>
      <c r="D189" s="697" t="str">
        <f>IFERROR(__xludf.DUMMYFUNCTION("""COMPUTED_VALUE"""),"Placebo")</f>
        <v>Placebo</v>
      </c>
      <c r="E189" s="697"/>
      <c r="F189" s="697"/>
      <c r="G189" s="697">
        <f>IFERROR(__xludf.DUMMYFUNCTION("""COMPUTED_VALUE"""),119.0)</f>
        <v>119</v>
      </c>
      <c r="H189" s="697" t="str">
        <f>IFERROR(__xludf.DUMMYFUNCTION("""COMPUTED_VALUE"""),"&gt;20")</f>
        <v>&gt;20</v>
      </c>
      <c r="I189" s="705" t="str">
        <f>IFERROR(__xludf.DUMMYFUNCTION("""COMPUTED_VALUE"""),"MF")</f>
        <v>MF</v>
      </c>
      <c r="J189" s="697">
        <f>IFERROR(__xludf.DUMMYFUNCTION("""COMPUTED_VALUE"""),1988.0)</f>
        <v>1988</v>
      </c>
      <c r="K189" s="697" t="str">
        <f>IFERROR(__xludf.DUMMYFUNCTION("""COMPUTED_VALUE"""),"Adults &gt;20")</f>
        <v>Adults &gt;20</v>
      </c>
      <c r="L189" s="697" t="str">
        <f>IFERROR(__xludf.DUMMYFUNCTION("""COMPUTED_VALUE"""),"No")</f>
        <v>No</v>
      </c>
      <c r="M189" s="697" t="str">
        <f>IFERROR(__xludf.DUMMYFUNCTION("""COMPUTED_VALUE"""),"No")</f>
        <v>No</v>
      </c>
      <c r="N189" s="697" t="str">
        <f>IFERROR(__xludf.DUMMYFUNCTION("""COMPUTED_VALUE"""),"6 weeks post treatment")</f>
        <v>6 weeks post treatment</v>
      </c>
      <c r="O189" s="700">
        <f>IFERROR(__xludf.DUMMYFUNCTION("""COMPUTED_VALUE"""),0.05)</f>
        <v>0.05</v>
      </c>
      <c r="P189" s="697"/>
      <c r="Q189" s="697" t="str">
        <f>IFERROR(__xludf.DUMMYFUNCTION("""COMPUTED_VALUE"""),"The cure rates were lower in children than in adults, for both oxamniquine and praziquantel. The results in the placebo-treated group indicate that the repro- ducibility of egg counts was adequate.")</f>
        <v>The cure rates were lower in children than in adults, for both oxamniquine and praziquantel. The results in the placebo-treated group indicate that the repro- ducibility of egg counts was adequate.</v>
      </c>
      <c r="R189" s="697"/>
      <c r="S189" s="699" t="str">
        <f>IFERROR(__xludf.DUMMYFUNCTION("""COMPUTED_VALUE"""),"Polderman, A.B.; Gryseels, B. De Caluwe, P. Cure rates and egg reduction in treatment of intestinal schistosomiasis with oxamniquine and praziquantel in Maniema, Zaire. 1988. Transactions of the Royal Society of Tropical Medicine and Hygiene. 82: 115-116.")</f>
        <v>Polderman, A.B.; Gryseels, B. De Caluwe, P. Cure rates and egg reduction in treatment of intestinal schistosomiasis with oxamniquine and praziquantel in Maniema, Zaire. 1988. Transactions of the Royal Society of Tropical Medicine and Hygiene. 82: 115-116.</v>
      </c>
      <c r="T189" s="697"/>
      <c r="U189" s="697" t="str">
        <f>IFERROR(__xludf.DUMMYFUNCTION("""COMPUTED_VALUE"""),"x")</f>
        <v>x</v>
      </c>
      <c r="V189" s="697">
        <f>IFERROR(__xludf.DUMMYFUNCTION("""COMPUTED_VALUE"""),189.0)</f>
        <v>189</v>
      </c>
    </row>
    <row r="190">
      <c r="A190" s="697" t="str">
        <f>IFERROR(__xludf.DUMMYFUNCTION("""COMPUTED_VALUE"""),"Obonyo")</f>
        <v>Obonyo</v>
      </c>
      <c r="B190" s="697" t="str">
        <f>IFERROR(__xludf.DUMMYFUNCTION("""COMPUTED_VALUE"""),"s. mansoni")</f>
        <v>s. mansoni</v>
      </c>
      <c r="C190" s="697" t="str">
        <f>IFERROR(__xludf.DUMMYFUNCTION("""COMPUTED_VALUE"""),"Kenya")</f>
        <v>Kenya</v>
      </c>
      <c r="D190" s="697" t="str">
        <f>IFERROR(__xludf.DUMMYFUNCTION("""COMPUTED_VALUE"""),"Artesunate &amp; Sulfadoxine &amp; Pyrimethamine")</f>
        <v>Artesunate &amp; Sulfadoxine &amp; Pyrimethamine</v>
      </c>
      <c r="E190" s="697" t="str">
        <f>IFERROR(__xludf.DUMMYFUNCTION("""COMPUTED_VALUE"""),"Three")</f>
        <v>Three</v>
      </c>
      <c r="F190" s="697" t="str">
        <f>IFERROR(__xludf.DUMMYFUNCTION("""COMPUTED_VALUE"""),"100 mg; 250 mg; 12.5 mg")</f>
        <v>100 mg; 250 mg; 12.5 mg</v>
      </c>
      <c r="G190" s="697">
        <f>IFERROR(__xludf.DUMMYFUNCTION("""COMPUTED_VALUE"""),106.0)</f>
        <v>106</v>
      </c>
      <c r="H190" s="697" t="str">
        <f>IFERROR(__xludf.DUMMYFUNCTION("""COMPUTED_VALUE"""),"School Children")</f>
        <v>School Children</v>
      </c>
      <c r="I190" s="705" t="str">
        <f>IFERROR(__xludf.DUMMYFUNCTION("""COMPUTED_VALUE"""),"52% M")</f>
        <v>52% M</v>
      </c>
      <c r="J190" s="697">
        <f>IFERROR(__xludf.DUMMYFUNCTION("""COMPUTED_VALUE"""),2009.0)</f>
        <v>2009</v>
      </c>
      <c r="K190" s="697" t="str">
        <f>IFERROR(__xludf.DUMMYFUNCTION("""COMPUTED_VALUE"""),"Children were excluded if they weighed more than 50 kg, were pregnant or lactating at the time of the study, had co-infection with P falciparum, had a severe illness (such as cerebral cysticercosis), or had signs of severe malnutrition (defined as childre"&amp;"n with weight-to- height ratio below three SDs or 70% of the median of WHO’s standardised reference values, or with bilateral pedal oedema). Other exclusion criteria included hypersensitivity to artesunate, use of sulfonamides or praziquantel, use of anot"&amp;"her antimalarial or anti- schistosomal drug during the study, or previous participation in the same study.")</f>
        <v>Children were excluded if they weighed more than 50 kg, were pregnant or lactating at the time of the study, had co-infection with P falciparum, had a severe illness (such as cerebral cysticercosis), or had signs of severe malnutrition (defined as children with weight-to- height ratio below three SDs or 70% of the median of WHO’s standardised reference values, or with bilateral pedal oedema). Other exclusion criteria included hypersensitivity to artesunate, use of sulfonamides or praziquantel, use of another antimalarial or anti- schistosomal drug during the study, or previous participation in the same study.</v>
      </c>
      <c r="L190" s="697" t="str">
        <f>IFERROR(__xludf.DUMMYFUNCTION("""COMPUTED_VALUE"""),"No")</f>
        <v>No</v>
      </c>
      <c r="M190" s="697" t="str">
        <f>IFERROR(__xludf.DUMMYFUNCTION("""COMPUTED_VALUE"""),"Yes")</f>
        <v>Yes</v>
      </c>
      <c r="N190" s="697" t="str">
        <f>IFERROR(__xludf.DUMMYFUNCTION("""COMPUTED_VALUE"""),"follow up day 28")</f>
        <v>follow up day 28</v>
      </c>
      <c r="O190" s="700">
        <f>IFERROR(__xludf.DUMMYFUNCTION("""COMPUTED_VALUE"""),0.14)</f>
        <v>0.14</v>
      </c>
      <c r="P190" s="700">
        <f>IFERROR(__xludf.DUMMYFUNCTION("""COMPUTED_VALUE"""),0.35)</f>
        <v>0.35</v>
      </c>
      <c r="Q190" s="697" t="str">
        <f>IFERROR(__xludf.DUMMYFUNCTION("""COMPUTED_VALUE"""),"In this randomised trial assessing treatment for S mansoni infection in western Kenya, we recorded a significantly lower cure rate with artesunate with sulfalene plus pyrimethamine than with praziquantel")</f>
        <v>In this randomised trial assessing treatment for S mansoni infection in western Kenya, we recorded a significantly lower cure rate with artesunate with sulfalene plus pyrimethamine than with praziquantel</v>
      </c>
      <c r="R190" s="697"/>
      <c r="S190" s="699" t="str">
        <f>IFERROR(__xludf.DUMMYFUNCTION("""COMPUTED_VALUE"""),"Obonyo, C.O.; Muak, E.M.O.; Mwinzi, P.N.M. ""Efficacy of artesunate with sulfalene plus pyrimethamine versus praziquantel for treatment of Schistosoma mansoni in Kenya children: an open-label randomised controlled trial. 2010. Lancet Infect Dis 10: 603-61"&amp;"1")</f>
        <v>Obonyo, C.O.; Muak, E.M.O.; Mwinzi, P.N.M. "Efficacy of artesunate with sulfalene plus pyrimethamine versus praziquantel for treatment of Schistosoma mansoni in Kenya children: an open-label randomised controlled trial. 2010. Lancet Infect Dis 10: 603-611</v>
      </c>
      <c r="T190" s="697"/>
      <c r="U190" s="697" t="str">
        <f>IFERROR(__xludf.DUMMYFUNCTION("""COMPUTED_VALUE"""),"")</f>
        <v/>
      </c>
      <c r="V190" s="697">
        <f>IFERROR(__xludf.DUMMYFUNCTION("""COMPUTED_VALUE"""),190.0)</f>
        <v>190</v>
      </c>
    </row>
    <row r="191">
      <c r="A191" s="697" t="str">
        <f>IFERROR(__xludf.DUMMYFUNCTION("""COMPUTED_VALUE"""),"Obonyo")</f>
        <v>Obonyo</v>
      </c>
      <c r="B191" s="697" t="str">
        <f>IFERROR(__xludf.DUMMYFUNCTION("""COMPUTED_VALUE"""),"s. mansoni")</f>
        <v>s. mansoni</v>
      </c>
      <c r="C191" s="697" t="str">
        <f>IFERROR(__xludf.DUMMYFUNCTION("""COMPUTED_VALUE"""),"Kenya")</f>
        <v>Kenya</v>
      </c>
      <c r="D191" s="697" t="str">
        <f>IFERROR(__xludf.DUMMYFUNCTION("""COMPUTED_VALUE"""),"Praziquantel")</f>
        <v>Praziquantel</v>
      </c>
      <c r="E191" s="697" t="str">
        <f>IFERROR(__xludf.DUMMYFUNCTION("""COMPUTED_VALUE"""),"Single")</f>
        <v>Single</v>
      </c>
      <c r="F191" s="697" t="str">
        <f>IFERROR(__xludf.DUMMYFUNCTION("""COMPUTED_VALUE"""),"40 mg/kg")</f>
        <v>40 mg/kg</v>
      </c>
      <c r="G191" s="697">
        <f>IFERROR(__xludf.DUMMYFUNCTION("""COMPUTED_VALUE"""),106.0)</f>
        <v>106</v>
      </c>
      <c r="H191" s="697" t="str">
        <f>IFERROR(__xludf.DUMMYFUNCTION("""COMPUTED_VALUE"""),"School Children")</f>
        <v>School Children</v>
      </c>
      <c r="I191" s="705" t="str">
        <f>IFERROR(__xludf.DUMMYFUNCTION("""COMPUTED_VALUE"""),"48% M")</f>
        <v>48% M</v>
      </c>
      <c r="J191" s="697">
        <f>IFERROR(__xludf.DUMMYFUNCTION("""COMPUTED_VALUE"""),2009.0)</f>
        <v>2009</v>
      </c>
      <c r="K191" s="697" t="str">
        <f>IFERROR(__xludf.DUMMYFUNCTION("""COMPUTED_VALUE"""),"Children were excluded if they weighed more than 50 kg, were pregnant or lactating at the time of the study, had co-infection with P falciparum, had a severe illness (such as cerebral cysticercosis), or had signs of severe malnutrition (defined as childre"&amp;"n with weight-to- height ratio below three SDs or 70% of the median of WHO’s standardised reference values, or with bilateral pedal oedema). Other exclusion criteria included hypersensitivity to artesunate, use of sulfonamides or praziquantel, use of anot"&amp;"her antimalarial or anti- schistosomal drug during the study, or previous participation in the same study.")</f>
        <v>Children were excluded if they weighed more than 50 kg, were pregnant or lactating at the time of the study, had co-infection with P falciparum, had a severe illness (such as cerebral cysticercosis), or had signs of severe malnutrition (defined as children with weight-to- height ratio below three SDs or 70% of the median of WHO’s standardised reference values, or with bilateral pedal oedema). Other exclusion criteria included hypersensitivity to artesunate, use of sulfonamides or praziquantel, use of another antimalarial or anti- schistosomal drug during the study, or previous participation in the same study.</v>
      </c>
      <c r="L191" s="697" t="str">
        <f>IFERROR(__xludf.DUMMYFUNCTION("""COMPUTED_VALUE"""),"No")</f>
        <v>No</v>
      </c>
      <c r="M191" s="697" t="str">
        <f>IFERROR(__xludf.DUMMYFUNCTION("""COMPUTED_VALUE"""),"Yes")</f>
        <v>Yes</v>
      </c>
      <c r="N191" s="697" t="str">
        <f>IFERROR(__xludf.DUMMYFUNCTION("""COMPUTED_VALUE"""),"follow up day 28")</f>
        <v>follow up day 28</v>
      </c>
      <c r="O191" s="700">
        <f>IFERROR(__xludf.DUMMYFUNCTION("""COMPUTED_VALUE"""),0.65)</f>
        <v>0.65</v>
      </c>
      <c r="P191" s="698">
        <f>IFERROR(__xludf.DUMMYFUNCTION("""COMPUTED_VALUE"""),0.841)</f>
        <v>0.841</v>
      </c>
      <c r="Q191" s="697" t="str">
        <f>IFERROR(__xludf.DUMMYFUNCTION("""COMPUTED_VALUE"""),"In this randomised trial assessing treatment for S mansoni infection in western Kenya, we recorded a significantly lower cure rate with artesunate with sulfalene plus pyrimethamine than with praziquantel")</f>
        <v>In this randomised trial assessing treatment for S mansoni infection in western Kenya, we recorded a significantly lower cure rate with artesunate with sulfalene plus pyrimethamine than with praziquantel</v>
      </c>
      <c r="R191" s="697"/>
      <c r="S191" s="699" t="str">
        <f>IFERROR(__xludf.DUMMYFUNCTION("""COMPUTED_VALUE"""),"Obonyo, C.O.; Muak, E.M.O.; Mwinzi, P.N.M. ""Efficacy of artesunate with sulfalene plus pyrimethamine versus praziquantel for treatment of Schistosoma mansoni in Kenya children: an open-label randomised controlled trial. 2010. Lancet Infect Dis 10: 603-61"&amp;"1")</f>
        <v>Obonyo, C.O.; Muak, E.M.O.; Mwinzi, P.N.M. "Efficacy of artesunate with sulfalene plus pyrimethamine versus praziquantel for treatment of Schistosoma mansoni in Kenya children: an open-label randomised controlled trial. 2010. Lancet Infect Dis 10: 603-611</v>
      </c>
      <c r="T191" s="697"/>
      <c r="U191" s="697" t="str">
        <f>IFERROR(__xludf.DUMMYFUNCTION("""COMPUTED_VALUE"""),"")</f>
        <v/>
      </c>
      <c r="V191" s="697">
        <f>IFERROR(__xludf.DUMMYFUNCTION("""COMPUTED_VALUE"""),191.0)</f>
        <v>191</v>
      </c>
    </row>
    <row r="192">
      <c r="A192" s="697"/>
      <c r="B192" s="697"/>
      <c r="C192" s="697"/>
      <c r="D192" s="697"/>
      <c r="E192" s="697"/>
      <c r="F192" s="697"/>
      <c r="G192" s="697"/>
      <c r="H192" s="697"/>
      <c r="I192" s="697"/>
      <c r="J192" s="697"/>
      <c r="K192" s="697"/>
      <c r="L192" s="697"/>
      <c r="M192" s="697"/>
      <c r="N192" s="697"/>
      <c r="O192" s="697"/>
      <c r="P192" s="697"/>
      <c r="Q192" s="697"/>
      <c r="R192" s="697"/>
      <c r="S192" s="697"/>
      <c r="T192" s="697"/>
      <c r="U192" s="697" t="str">
        <f>IFERROR(__xludf.DUMMYFUNCTION("""COMPUTED_VALUE"""),"")</f>
        <v/>
      </c>
      <c r="V192" s="697">
        <f>IFERROR(__xludf.DUMMYFUNCTION("""COMPUTED_VALUE"""),192.0)</f>
        <v>192</v>
      </c>
    </row>
    <row r="193">
      <c r="A193" s="697" t="str">
        <f>IFERROR(__xludf.DUMMYFUNCTION("""COMPUTED_VALUE"""),"Kabatereine 2003")</f>
        <v>Kabatereine 2003</v>
      </c>
      <c r="B193" s="697" t="str">
        <f>IFERROR(__xludf.DUMMYFUNCTION("""COMPUTED_VALUE"""),"s. mansoni")</f>
        <v>s. mansoni</v>
      </c>
      <c r="C193" s="697" t="str">
        <f>IFERROR(__xludf.DUMMYFUNCTION("""COMPUTED_VALUE"""),"Uganda")</f>
        <v>Uganda</v>
      </c>
      <c r="D193" s="697" t="str">
        <f>IFERROR(__xludf.DUMMYFUNCTION("""COMPUTED_VALUE"""),"Praziquantel")</f>
        <v>Praziquantel</v>
      </c>
      <c r="E193" s="697" t="str">
        <f>IFERROR(__xludf.DUMMYFUNCTION("""COMPUTED_VALUE"""),"Single")</f>
        <v>Single</v>
      </c>
      <c r="F193" s="697" t="str">
        <f>IFERROR(__xludf.DUMMYFUNCTION("""COMPUTED_VALUE"""),"40 mg/kg")</f>
        <v>40 mg/kg</v>
      </c>
      <c r="G193" s="697">
        <f>IFERROR(__xludf.DUMMYFUNCTION("""COMPUTED_VALUE"""),482.0)</f>
        <v>482</v>
      </c>
      <c r="H193" s="697" t="str">
        <f>IFERROR(__xludf.DUMMYFUNCTION("""COMPUTED_VALUE"""),"5-54")</f>
        <v>5-54</v>
      </c>
      <c r="I193" s="705" t="str">
        <f>IFERROR(__xludf.DUMMYFUNCTION("""COMPUTED_VALUE"""),"data not available ")</f>
        <v>data not available </v>
      </c>
      <c r="J193" s="697">
        <f>IFERROR(__xludf.DUMMYFUNCTION("""COMPUTED_VALUE"""),1997.0)</f>
        <v>1997</v>
      </c>
      <c r="K193" s="697" t="str">
        <f>IFERROR(__xludf.DUMMYFUNCTION("""COMPUTED_VALUE"""),"Those who had lived in Butiaba for at least 3 years, who gave oral consent, and who had no history of schistomiasis treatment. Pregnant women were not included, but were treated after delivery")</f>
        <v>Those who had lived in Butiaba for at least 3 years, who gave oral consent, and who had no history of schistomiasis treatment. Pregnant women were not included, but were treated after delivery</v>
      </c>
      <c r="L193" s="697" t="str">
        <f>IFERROR(__xludf.DUMMYFUNCTION("""COMPUTED_VALUE"""),"No")</f>
        <v>No</v>
      </c>
      <c r="M193" s="697"/>
      <c r="N193" s="697" t="str">
        <f>IFERROR(__xludf.DUMMYFUNCTION("""COMPUTED_VALUE"""),"6 weeks, 12 weeks")</f>
        <v>6 weeks, 12 weeks</v>
      </c>
      <c r="O193" s="698">
        <f>IFERROR(__xludf.DUMMYFUNCTION("""COMPUTED_VALUE"""),0.419)</f>
        <v>0.419</v>
      </c>
      <c r="P193" s="698">
        <f>IFERROR(__xludf.DUMMYFUNCTION("""COMPUTED_VALUE"""),0.977)</f>
        <v>0.977</v>
      </c>
      <c r="Q193" s="697" t="str">
        <f>IFERROR(__xludf.DUMMYFUNCTION("""COMPUTED_VALUE"""),"The cure rate of praziquantel at the recommended dose of 40 mg/kg is relatively low.")</f>
        <v>The cure rate of praziquantel at the recommended dose of 40 mg/kg is relatively low.</v>
      </c>
      <c r="R193" s="697"/>
      <c r="S193" s="699" t="str">
        <f>IFERROR(__xludf.DUMMYFUNCTION("""COMPUTED_VALUE"""),"Kabatereine, N. B., et al. ""Efficacy and side effects of praziquantel treatment in a highly endemic Schistosoma mansoni focus at Lake Albert, Uganda.""Transactions of the Royal Society of Tropical Medicine and Hygiene 97.5 (2003): 599-603.")</f>
        <v>Kabatereine, N. B., et al. "Efficacy and side effects of praziquantel treatment in a highly endemic Schistosoma mansoni focus at Lake Albert, Uganda."Transactions of the Royal Society of Tropical Medicine and Hygiene 97.5 (2003): 599-603.</v>
      </c>
      <c r="T193" s="697"/>
      <c r="U193" s="697" t="str">
        <f>IFERROR(__xludf.DUMMYFUNCTION("""COMPUTED_VALUE"""),"")</f>
        <v/>
      </c>
      <c r="V193" s="697">
        <f>IFERROR(__xludf.DUMMYFUNCTION("""COMPUTED_VALUE"""),193.0)</f>
        <v>193</v>
      </c>
    </row>
    <row r="194">
      <c r="A194" s="697" t="str">
        <f>IFERROR(__xludf.DUMMYFUNCTION("""COMPUTED_VALUE"""),"Tchuente, 2004")</f>
        <v>Tchuente, 2004</v>
      </c>
      <c r="B194" s="697" t="str">
        <f>IFERROR(__xludf.DUMMYFUNCTION("""COMPUTED_VALUE"""),"s. haematobium")</f>
        <v>s. haematobium</v>
      </c>
      <c r="C194" s="697" t="str">
        <f>IFERROR(__xludf.DUMMYFUNCTION("""COMPUTED_VALUE"""),"Cameroon")</f>
        <v>Cameroon</v>
      </c>
      <c r="D194" s="697" t="str">
        <f>IFERROR(__xludf.DUMMYFUNCTION("""COMPUTED_VALUE"""),"Praziquantel")</f>
        <v>Praziquantel</v>
      </c>
      <c r="E194" s="697" t="str">
        <f>IFERROR(__xludf.DUMMYFUNCTION("""COMPUTED_VALUE"""),"Single")</f>
        <v>Single</v>
      </c>
      <c r="F194" s="697" t="str">
        <f>IFERROR(__xludf.DUMMYFUNCTION("""COMPUTED_VALUE"""),"40 mg/kg")</f>
        <v>40 mg/kg</v>
      </c>
      <c r="G194" s="697">
        <f>IFERROR(__xludf.DUMMYFUNCTION("""COMPUTED_VALUE"""),60.0)</f>
        <v>60</v>
      </c>
      <c r="H194" s="697" t="str">
        <f>IFERROR(__xludf.DUMMYFUNCTION("""COMPUTED_VALUE"""),"School Age Children")</f>
        <v>School Age Children</v>
      </c>
      <c r="I194" s="705" t="str">
        <f>IFERROR(__xludf.DUMMYFUNCTION("""COMPUTED_VALUE"""),".81:1")</f>
        <v>.81:1</v>
      </c>
      <c r="J194" s="697">
        <f>IFERROR(__xludf.DUMMYFUNCTION("""COMPUTED_VALUE"""),2004.0)</f>
        <v>2004</v>
      </c>
      <c r="K194" s="697" t="str">
        <f>IFERROR(__xludf.DUMMYFUNCTION("""COMPUTED_VALUE"""),"The school children were invited to participate in the study, and were registered only after explanation of the objectives of the study to them and their parents or guardian. ")</f>
        <v>The school children were invited to participate in the study, and were registered only after explanation of the objectives of the study to them and their parents or guardian. </v>
      </c>
      <c r="L194" s="697" t="str">
        <f>IFERROR(__xludf.DUMMYFUNCTION("""COMPUTED_VALUE"""),"No")</f>
        <v>No</v>
      </c>
      <c r="M194" s="697" t="str">
        <f>IFERROR(__xludf.DUMMYFUNCTION("""COMPUTED_VALUE"""),"Yes")</f>
        <v>Yes</v>
      </c>
      <c r="N194" s="697" t="str">
        <f>IFERROR(__xludf.DUMMYFUNCTION("""COMPUTED_VALUE"""),"9 weeks")</f>
        <v>9 weeks</v>
      </c>
      <c r="O194" s="706">
        <f>IFERROR(__xludf.DUMMYFUNCTION("""COMPUTED_VALUE"""),0.8)</f>
        <v>0.8</v>
      </c>
      <c r="P194" s="697">
        <f>IFERROR(__xludf.DUMMYFUNCTION("""COMPUTED_VALUE"""),97.88)</f>
        <v>97.88</v>
      </c>
      <c r="Q194" s="697" t="str">
        <f>IFERROR(__xludf.DUMMYFUNCTION("""COMPUTED_VALUE"""),"PZQ has a high cure rate against S. haematobium and suggests an efficacy of PZQ against the immature stages.")</f>
        <v>PZQ has a high cure rate against S. haematobium and suggests an efficacy of PZQ against the immature stages.</v>
      </c>
      <c r="R194" s="697"/>
      <c r="S194" s="699" t="str">
        <f>IFERROR(__xludf.DUMMYFUNCTION("""COMPUTED_VALUE"""),"Tchuente, Louis-Albert Tchuem, et al. ""Efficacy of praziquantel against Schistosoma haematobium infection in children."" The American journal of tropical medicine and hygiene 71.6 (2004): 778-782.")</f>
        <v>Tchuente, Louis-Albert Tchuem, et al. "Efficacy of praziquantel against Schistosoma haematobium infection in children." The American journal of tropical medicine and hygiene 71.6 (2004): 778-782.</v>
      </c>
      <c r="T194" s="697"/>
      <c r="U194" s="697" t="str">
        <f>IFERROR(__xludf.DUMMYFUNCTION("""COMPUTED_VALUE"""),"")</f>
        <v/>
      </c>
      <c r="V194" s="697">
        <f>IFERROR(__xludf.DUMMYFUNCTION("""COMPUTED_VALUE"""),194.0)</f>
        <v>194</v>
      </c>
    </row>
    <row r="195">
      <c r="A195" s="697" t="str">
        <f>IFERROR(__xludf.DUMMYFUNCTION("""COMPUTED_VALUE"""),"Charles K, 2002")</f>
        <v>Charles K, 2002</v>
      </c>
      <c r="B195" s="697" t="str">
        <f>IFERROR(__xludf.DUMMYFUNCTION("""COMPUTED_VALUE"""),"s. haematobium")</f>
        <v>s. haematobium</v>
      </c>
      <c r="C195" s="697" t="str">
        <f>IFERROR(__xludf.DUMMYFUNCTION("""COMPUTED_VALUE"""),"Kenya")</f>
        <v>Kenya</v>
      </c>
      <c r="D195" s="697" t="str">
        <f>IFERROR(__xludf.DUMMYFUNCTION("""COMPUTED_VALUE"""),"Praziquantel")</f>
        <v>Praziquantel</v>
      </c>
      <c r="E195" s="697" t="str">
        <f>IFERROR(__xludf.DUMMYFUNCTION("""COMPUTED_VALUE"""),"Single")</f>
        <v>Single</v>
      </c>
      <c r="F195" s="697" t="str">
        <f>IFERROR(__xludf.DUMMYFUNCTION("""COMPUTED_VALUE"""),"20 mg/kg")</f>
        <v>20 mg/kg</v>
      </c>
      <c r="G195" s="697">
        <f>IFERROR(__xludf.DUMMYFUNCTION("""COMPUTED_VALUE"""),146.0)</f>
        <v>146</v>
      </c>
      <c r="H195" s="697" t="str">
        <f>IFERROR(__xludf.DUMMYFUNCTION("""COMPUTED_VALUE"""),"4 - 23")</f>
        <v>4 - 23</v>
      </c>
      <c r="I195" s="705" t="str">
        <f>IFERROR(__xludf.DUMMYFUNCTION("""COMPUTED_VALUE"""),"57:43")</f>
        <v>57:43</v>
      </c>
      <c r="J195" s="697">
        <f>IFERROR(__xludf.DUMMYFUNCTION("""COMPUTED_VALUE"""),2002.0)</f>
        <v>2002</v>
      </c>
      <c r="K195" s="697" t="str">
        <f>IFERROR(__xludf.DUMMYFUNCTION("""COMPUTED_VALUE"""),"Individuals aged 4-23 infected with S. haematobium,")</f>
        <v>Individuals aged 4-23 infected with S. haematobium,</v>
      </c>
      <c r="L195" s="697" t="str">
        <f>IFERROR(__xludf.DUMMYFUNCTION("""COMPUTED_VALUE"""),"Yes")</f>
        <v>Yes</v>
      </c>
      <c r="M195" s="697" t="str">
        <f>IFERROR(__xludf.DUMMYFUNCTION("""COMPUTED_VALUE"""),"Yes")</f>
        <v>Yes</v>
      </c>
      <c r="N195" s="697" t="str">
        <f>IFERROR(__xludf.DUMMYFUNCTION("""COMPUTED_VALUE"""),"6 weeks ")</f>
        <v>6 weeks </v>
      </c>
      <c r="O195" s="700">
        <f>IFERROR(__xludf.DUMMYFUNCTION("""COMPUTED_VALUE"""),0.5)</f>
        <v>0.5</v>
      </c>
      <c r="P195" s="706">
        <f>IFERROR(__xludf.DUMMYFUNCTION("""COMPUTED_VALUE"""),0.95)</f>
        <v>0.95</v>
      </c>
      <c r="Q195" s="697" t="str">
        <f>IFERROR(__xludf.DUMMYFUNCTION("""COMPUTED_VALUE"""),"We conclude that in certain settings, a 20 mg/kg dose of praziquantel may be sufficient in providing practical control of renal and bladder morbidity due to S. haematobium infection. Reductions in drug expense achieved through reduced")</f>
        <v>We conclude that in certain settings, a 20 mg/kg dose of praziquantel may be sufficient in providing practical control of renal and bladder morbidity due to S. haematobium infection. Reductions in drug expense achieved through reduced</v>
      </c>
      <c r="R195" s="697"/>
      <c r="S195" s="699" t="str">
        <f>IFERROR(__xludf.DUMMYFUNCTION("""COMPUTED_VALUE"""),"King, Charles H., et al. ""Randomized comparison of low-dose versus standard-dose praziquantel therapy in treatment of urinary tract morbidity due to Schistosoma haema tobium infection."" The American journal of tropical medicine and hygiene 66.6 (2002): "&amp;"725-730.")</f>
        <v>King, Charles H., et al. "Randomized comparison of low-dose versus standard-dose praziquantel therapy in treatment of urinary tract morbidity due to Schistosoma haema tobium infection." The American journal of tropical medicine and hygiene 66.6 (2002): 725-730.</v>
      </c>
      <c r="T195" s="697"/>
      <c r="U195" s="697" t="str">
        <f>IFERROR(__xludf.DUMMYFUNCTION("""COMPUTED_VALUE"""),"")</f>
        <v/>
      </c>
      <c r="V195" s="697">
        <f>IFERROR(__xludf.DUMMYFUNCTION("""COMPUTED_VALUE"""),195.0)</f>
        <v>195</v>
      </c>
    </row>
    <row r="196">
      <c r="A196" s="697" t="str">
        <f>IFERROR(__xludf.DUMMYFUNCTION("""COMPUTED_VALUE"""),"Charles K, 2002")</f>
        <v>Charles K, 2002</v>
      </c>
      <c r="B196" s="697" t="str">
        <f>IFERROR(__xludf.DUMMYFUNCTION("""COMPUTED_VALUE"""),"s. haematobium")</f>
        <v>s. haematobium</v>
      </c>
      <c r="C196" s="697" t="str">
        <f>IFERROR(__xludf.DUMMYFUNCTION("""COMPUTED_VALUE"""),"Kenya")</f>
        <v>Kenya</v>
      </c>
      <c r="D196" s="697" t="str">
        <f>IFERROR(__xludf.DUMMYFUNCTION("""COMPUTED_VALUE"""),"Praziquantel")</f>
        <v>Praziquantel</v>
      </c>
      <c r="E196" s="697" t="str">
        <f>IFERROR(__xludf.DUMMYFUNCTION("""COMPUTED_VALUE"""),"Single")</f>
        <v>Single</v>
      </c>
      <c r="F196" s="697" t="str">
        <f>IFERROR(__xludf.DUMMYFUNCTION("""COMPUTED_VALUE"""),"40 mg/kg")</f>
        <v>40 mg/kg</v>
      </c>
      <c r="G196" s="697">
        <f>IFERROR(__xludf.DUMMYFUNCTION("""COMPUTED_VALUE"""),145.0)</f>
        <v>145</v>
      </c>
      <c r="H196" s="697" t="str">
        <f>IFERROR(__xludf.DUMMYFUNCTION("""COMPUTED_VALUE"""),"4 - 23")</f>
        <v>4 - 23</v>
      </c>
      <c r="I196" s="705" t="str">
        <f>IFERROR(__xludf.DUMMYFUNCTION("""COMPUTED_VALUE"""),"57:43")</f>
        <v>57:43</v>
      </c>
      <c r="J196" s="697">
        <f>IFERROR(__xludf.DUMMYFUNCTION("""COMPUTED_VALUE"""),2002.0)</f>
        <v>2002</v>
      </c>
      <c r="K196" s="697" t="str">
        <f>IFERROR(__xludf.DUMMYFUNCTION("""COMPUTED_VALUE"""),"Individuals aged 4-23 infected with S. haematobium,")</f>
        <v>Individuals aged 4-23 infected with S. haematobium,</v>
      </c>
      <c r="L196" s="697" t="str">
        <f>IFERROR(__xludf.DUMMYFUNCTION("""COMPUTED_VALUE"""),"Yes")</f>
        <v>Yes</v>
      </c>
      <c r="M196" s="697" t="str">
        <f>IFERROR(__xludf.DUMMYFUNCTION("""COMPUTED_VALUE"""),"Yes")</f>
        <v>Yes</v>
      </c>
      <c r="N196" s="697" t="str">
        <f>IFERROR(__xludf.DUMMYFUNCTION("""COMPUTED_VALUE"""),"6 weeks ")</f>
        <v>6 weeks </v>
      </c>
      <c r="O196" s="700">
        <f>IFERROR(__xludf.DUMMYFUNCTION("""COMPUTED_VALUE"""),0.7)</f>
        <v>0.7</v>
      </c>
      <c r="P196" s="706">
        <f>IFERROR(__xludf.DUMMYFUNCTION("""COMPUTED_VALUE"""),0.98)</f>
        <v>0.98</v>
      </c>
      <c r="Q196" s="697" t="str">
        <f>IFERROR(__xludf.DUMMYFUNCTION("""COMPUTED_VALUE"""),"We conclude that in certain settings, a 20 mg/kg dose of praziquantel may be sufficient in providing practical control of renal and bladder morbidity due to S. haematobium infection. Reductions in drug expense achieved through reduced")</f>
        <v>We conclude that in certain settings, a 20 mg/kg dose of praziquantel may be sufficient in providing practical control of renal and bladder morbidity due to S. haematobium infection. Reductions in drug expense achieved through reduced</v>
      </c>
      <c r="R196" s="697"/>
      <c r="S196" s="699" t="str">
        <f>IFERROR(__xludf.DUMMYFUNCTION("""COMPUTED_VALUE"""),"King, Charles H., et al. ""Randomized comparison of low-dose versus standard-dose praziquantel therapy in treatment of urinary tract morbidity due to Schistosoma haema tobium infection."" The American journal of tropical medicine and hygiene 66.6 (2002): "&amp;"725-730.")</f>
        <v>King, Charles H., et al. "Randomized comparison of low-dose versus standard-dose praziquantel therapy in treatment of urinary tract morbidity due to Schistosoma haema tobium infection." The American journal of tropical medicine and hygiene 66.6 (2002): 725-730.</v>
      </c>
      <c r="T196" s="697"/>
      <c r="U196" s="697" t="str">
        <f>IFERROR(__xludf.DUMMYFUNCTION("""COMPUTED_VALUE"""),"")</f>
        <v/>
      </c>
      <c r="V196" s="697">
        <f>IFERROR(__xludf.DUMMYFUNCTION("""COMPUTED_VALUE"""),196.0)</f>
        <v>196</v>
      </c>
    </row>
    <row r="197">
      <c r="A197" s="697" t="str">
        <f>IFERROR(__xludf.DUMMYFUNCTION("""COMPUTED_VALUE"""),"Garba A, 2012")</f>
        <v>Garba A, 2012</v>
      </c>
      <c r="B197" s="697" t="str">
        <f>IFERROR(__xludf.DUMMYFUNCTION("""COMPUTED_VALUE"""),"s. haematobium")</f>
        <v>s. haematobium</v>
      </c>
      <c r="C197" s="697" t="str">
        <f>IFERROR(__xludf.DUMMYFUNCTION("""COMPUTED_VALUE"""),"Niger")</f>
        <v>Niger</v>
      </c>
      <c r="D197" s="697" t="str">
        <f>IFERROR(__xludf.DUMMYFUNCTION("""COMPUTED_VALUE"""),"Praziquantel")</f>
        <v>Praziquantel</v>
      </c>
      <c r="E197" s="697" t="str">
        <f>IFERROR(__xludf.DUMMYFUNCTION("""COMPUTED_VALUE"""),"Single")</f>
        <v>Single</v>
      </c>
      <c r="F197" s="697" t="str">
        <f>IFERROR(__xludf.DUMMYFUNCTION("""COMPUTED_VALUE"""),"40 mg/kg")</f>
        <v>40 mg/kg</v>
      </c>
      <c r="G197" s="697">
        <f>IFERROR(__xludf.DUMMYFUNCTION("""COMPUTED_VALUE"""),243.0)</f>
        <v>243</v>
      </c>
      <c r="H197" s="697" t="str">
        <f>IFERROR(__xludf.DUMMYFUNCTION("""COMPUTED_VALUE"""),"&lt;5")</f>
        <v>&lt;5</v>
      </c>
      <c r="I197" s="705" t="str">
        <f>IFERROR(__xludf.DUMMYFUNCTION("""COMPUTED_VALUE"""),"138 : 105")</f>
        <v>138 : 105</v>
      </c>
      <c r="J197" s="697">
        <f>IFERROR(__xludf.DUMMYFUNCTION("""COMPUTED_VALUE"""),2012.0)</f>
        <v>2012</v>
      </c>
      <c r="K197" s="697" t="str">
        <f>IFERROR(__xludf.DUMMYFUNCTION("""COMPUTED_VALUE"""),"school children infected with s. haematobium")</f>
        <v>school children infected with s. haematobium</v>
      </c>
      <c r="L197" s="697" t="str">
        <f>IFERROR(__xludf.DUMMYFUNCTION("""COMPUTED_VALUE"""),"Yes")</f>
        <v>Yes</v>
      </c>
      <c r="M197" s="697" t="str">
        <f>IFERROR(__xludf.DUMMYFUNCTION("""COMPUTED_VALUE"""),"Yes")</f>
        <v>Yes</v>
      </c>
      <c r="N197" s="697" t="str">
        <f>IFERROR(__xludf.DUMMYFUNCTION("""COMPUTED_VALUE"""),"3, 6 weeks")</f>
        <v>3, 6 weeks</v>
      </c>
      <c r="O197" s="698">
        <f>IFERROR(__xludf.DUMMYFUNCTION("""COMPUTED_VALUE"""),0.949)</f>
        <v>0.949</v>
      </c>
      <c r="P197" s="698">
        <f>IFERROR(__xludf.DUMMYFUNCTION("""COMPUTED_VALUE"""),0.714)</f>
        <v>0.714</v>
      </c>
      <c r="Q197" s="697" t="str">
        <f>IFERROR(__xludf.DUMMYFUNCTION("""COMPUTED_VALUE"""),"In conclusion, treatment of children aged ≤72 months with praziquantel syrup is operationally feasible. Although adverse events occurred in about one-third of the children, these were mild and transient. Epiquantel® resulted in moderate-to-high efficacy a"&amp;"gainst S. haematobium, but considerably lower CR and ERR were found against S. mansoni, particularly at the 6-week post-treatment follow-up. The latter observation warrants further follow-up investigations. Moreover, financial implications of using a syru"&amp;"p formulation rather than tablets should be studied, alongside an individual diagnosis-treatment approach versus blanket treatment. In the interim, we suggest that, in areas where schistosomiasis remains highly endemic, preschool-aged children should be c"&amp;"onsidered for inclusion in preventive chemotherapy, using crushed praziquantel tablets or, where available, syrup formulation.")</f>
        <v>In conclusion, treatment of children aged ≤72 months with praziquantel syrup is operationally feasible. Although adverse events occurred in about one-third of the children, these were mild and transient. Epiquantel® resulted in moderate-to-high efficacy against S. haematobium, but considerably lower CR and ERR were found against S. mansoni, particularly at the 6-week post-treatment follow-up. The latter observation warrants further follow-up investigations. Moreover, financial implications of using a syrup formulation rather than tablets should be studied, alongside an individual diagnosis-treatment approach versus blanket treatment. In the interim, we suggest that, in areas where schistosomiasis remains highly endemic, preschool-aged children should be considered for inclusion in preventive chemotherapy, using crushed praziquantel tablets or, where available, syrup formulation.</v>
      </c>
      <c r="R197" s="697"/>
      <c r="S197" s="699" t="str">
        <f>IFERROR(__xludf.DUMMYFUNCTION("""COMPUTED_VALUE"""),"Garba, Amadou, et al. ""Safety and efficacy of praziquantel syrup (Epiquantel®) against Schistosoma haematobium and Schistosoma mansoni in preschool-aged children in Niger."" Acta tropica 128.2 (2013): 318-325.")</f>
        <v>Garba, Amadou, et al. "Safety and efficacy of praziquantel syrup (Epiquantel®) against Schistosoma haematobium and Schistosoma mansoni in preschool-aged children in Niger." Acta tropica 128.2 (2013): 318-325.</v>
      </c>
      <c r="T197" s="697"/>
      <c r="U197" s="697" t="str">
        <f>IFERROR(__xludf.DUMMYFUNCTION("""COMPUTED_VALUE"""),"")</f>
        <v/>
      </c>
      <c r="V197" s="697">
        <f>IFERROR(__xludf.DUMMYFUNCTION("""COMPUTED_VALUE"""),197.0)</f>
        <v>197</v>
      </c>
    </row>
    <row r="198">
      <c r="A198" s="697" t="str">
        <f>IFERROR(__xludf.DUMMYFUNCTION("""COMPUTED_VALUE"""),"Keiser J, 2010")</f>
        <v>Keiser J, 2010</v>
      </c>
      <c r="B198" s="697" t="str">
        <f>IFERROR(__xludf.DUMMYFUNCTION("""COMPUTED_VALUE"""),"s. haematobium")</f>
        <v>s. haematobium</v>
      </c>
      <c r="C198" s="697" t="str">
        <f>IFERROR(__xludf.DUMMYFUNCTION("""COMPUTED_VALUE"""),"Cote d'Ivoire")</f>
        <v>Cote d'Ivoire</v>
      </c>
      <c r="D198" s="697" t="str">
        <f>IFERROR(__xludf.DUMMYFUNCTION("""COMPUTED_VALUE"""),"Praziquantel")</f>
        <v>Praziquantel</v>
      </c>
      <c r="E198" s="697" t="str">
        <f>IFERROR(__xludf.DUMMYFUNCTION("""COMPUTED_VALUE"""),"Single")</f>
        <v>Single</v>
      </c>
      <c r="F198" s="697" t="str">
        <f>IFERROR(__xludf.DUMMYFUNCTION("""COMPUTED_VALUE"""),"40 mg/kg")</f>
        <v>40 mg/kg</v>
      </c>
      <c r="G198" s="697">
        <f>IFERROR(__xludf.DUMMYFUNCTION("""COMPUTED_VALUE"""),26.0)</f>
        <v>26</v>
      </c>
      <c r="H198" s="697" t="str">
        <f>IFERROR(__xludf.DUMMYFUNCTION("""COMPUTED_VALUE"""),"8 - 16")</f>
        <v>8 - 16</v>
      </c>
      <c r="I198" s="705" t="str">
        <f>IFERROR(__xludf.DUMMYFUNCTION("""COMPUTED_VALUE"""),"14 : 12")</f>
        <v>14 : 12</v>
      </c>
      <c r="J198" s="697">
        <f>IFERROR(__xludf.DUMMYFUNCTION("""COMPUTED_VALUE"""),2008.0)</f>
        <v>2008</v>
      </c>
      <c r="K198" s="697" t="str">
        <f>IFERROR(__xludf.DUMMYFUNCTION("""COMPUTED_VALUE"""),"S. haematobium–infected schoolchildren were included in the study")</f>
        <v>S. haematobium–infected schoolchildren were included in the study</v>
      </c>
      <c r="L198" s="697" t="str">
        <f>IFERROR(__xludf.DUMMYFUNCTION("""COMPUTED_VALUE"""),"Yes")</f>
        <v>Yes</v>
      </c>
      <c r="M198" s="697" t="str">
        <f>IFERROR(__xludf.DUMMYFUNCTION("""COMPUTED_VALUE"""),"Yes")</f>
        <v>Yes</v>
      </c>
      <c r="N198" s="697" t="str">
        <f>IFERROR(__xludf.DUMMYFUNCTION("""COMPUTED_VALUE"""),"26 days")</f>
        <v>26 days</v>
      </c>
      <c r="O198" s="706">
        <f>IFERROR(__xludf.DUMMYFUNCTION("""COMPUTED_VALUE"""),0.88)</f>
        <v>0.88</v>
      </c>
      <c r="P198" s="706">
        <f>IFERROR(__xludf.DUMMYFUNCTION("""COMPUTED_VALUE"""),0.97)</f>
        <v>0.97</v>
      </c>
      <c r="Q198" s="697" t="str">
        <f>IFERROR(__xludf.DUMMYFUNCTION("""COMPUTED_VALUE"""),"The high efficacy of mefloquine-artesunate against S. haematobium warrants further investigation. Individuals coinfected with Plasmodium and Schistosoma who were treated with a mefloquin artesunate combination against malaria might have a dual benefit: cl"&amp;"earance of malaria parasitemia and reduction of schistosomias is related morbidity.")</f>
        <v>The high efficacy of mefloquine-artesunate against S. haematobium warrants further investigation. Individuals coinfected with Plasmodium and Schistosoma who were treated with a mefloquin artesunate combination against malaria might have a dual benefit: clearance of malaria parasitemia and reduction of schistosomias is related morbidity.</v>
      </c>
      <c r="R198" s="697"/>
      <c r="S198" s="699" t="str">
        <f>IFERROR(__xludf.DUMMYFUNCTION("""COMPUTED_VALUE"""),"Keiser, Jennifer, et al. ""Efficacy and safety of mefloquine, artesunate, mefloquine-artesunate, and praziquantel against Schistosoma haematobium: randomized, exploratory open-label trial."" Clinical infectious diseases 50.9 (2010): 1205-1213.")</f>
        <v>Keiser, Jennifer, et al. "Efficacy and safety of mefloquine, artesunate, mefloquine-artesunate, and praziquantel against Schistosoma haematobium: randomized, exploratory open-label trial." Clinical infectious diseases 50.9 (2010): 1205-1213.</v>
      </c>
      <c r="T198" s="697"/>
      <c r="U198" s="697" t="str">
        <f>IFERROR(__xludf.DUMMYFUNCTION("""COMPUTED_VALUE"""),"")</f>
        <v/>
      </c>
      <c r="V198" s="697">
        <f>IFERROR(__xludf.DUMMYFUNCTION("""COMPUTED_VALUE"""),198.0)</f>
        <v>198</v>
      </c>
    </row>
    <row r="199">
      <c r="A199" s="697" t="str">
        <f>IFERROR(__xludf.DUMMYFUNCTION("""COMPUTED_VALUE"""),"Keiser J, 2010")</f>
        <v>Keiser J, 2010</v>
      </c>
      <c r="B199" s="697" t="str">
        <f>IFERROR(__xludf.DUMMYFUNCTION("""COMPUTED_VALUE"""),"s. haematobium")</f>
        <v>s. haematobium</v>
      </c>
      <c r="C199" s="697" t="str">
        <f>IFERROR(__xludf.DUMMYFUNCTION("""COMPUTED_VALUE"""),"Cote d'Ivoire")</f>
        <v>Cote d'Ivoire</v>
      </c>
      <c r="D199" s="697" t="str">
        <f>IFERROR(__xludf.DUMMYFUNCTION("""COMPUTED_VALUE"""),"Artesunate")</f>
        <v>Artesunate</v>
      </c>
      <c r="E199" s="697" t="str">
        <f>IFERROR(__xludf.DUMMYFUNCTION("""COMPUTED_VALUE"""),"Three")</f>
        <v>Three</v>
      </c>
      <c r="F199" s="697" t="str">
        <f>IFERROR(__xludf.DUMMYFUNCTION("""COMPUTED_VALUE"""),"4 mg/kg")</f>
        <v>4 mg/kg</v>
      </c>
      <c r="G199" s="697">
        <f>IFERROR(__xludf.DUMMYFUNCTION("""COMPUTED_VALUE"""),20.0)</f>
        <v>20</v>
      </c>
      <c r="H199" s="697" t="str">
        <f>IFERROR(__xludf.DUMMYFUNCTION("""COMPUTED_VALUE"""),"8 - 16")</f>
        <v>8 - 16</v>
      </c>
      <c r="I199" s="705" t="str">
        <f>IFERROR(__xludf.DUMMYFUNCTION("""COMPUTED_VALUE"""),"9 : 11")</f>
        <v>9 : 11</v>
      </c>
      <c r="J199" s="697">
        <f>IFERROR(__xludf.DUMMYFUNCTION("""COMPUTED_VALUE"""),2008.0)</f>
        <v>2008</v>
      </c>
      <c r="K199" s="697" t="str">
        <f>IFERROR(__xludf.DUMMYFUNCTION("""COMPUTED_VALUE"""),"S. haematobium–infected schoolchildren were included in the study")</f>
        <v>S. haematobium–infected schoolchildren were included in the study</v>
      </c>
      <c r="L199" s="697" t="str">
        <f>IFERROR(__xludf.DUMMYFUNCTION("""COMPUTED_VALUE"""),"Yes")</f>
        <v>Yes</v>
      </c>
      <c r="M199" s="697" t="str">
        <f>IFERROR(__xludf.DUMMYFUNCTION("""COMPUTED_VALUE"""),"Yes")</f>
        <v>Yes</v>
      </c>
      <c r="N199" s="697" t="str">
        <f>IFERROR(__xludf.DUMMYFUNCTION("""COMPUTED_VALUE"""),"26 days")</f>
        <v>26 days</v>
      </c>
      <c r="O199" s="706">
        <f>IFERROR(__xludf.DUMMYFUNCTION("""COMPUTED_VALUE"""),0.25)</f>
        <v>0.25</v>
      </c>
      <c r="P199" s="706">
        <f>IFERROR(__xludf.DUMMYFUNCTION("""COMPUTED_VALUE"""),0.85)</f>
        <v>0.85</v>
      </c>
      <c r="Q199" s="697" t="str">
        <f>IFERROR(__xludf.DUMMYFUNCTION("""COMPUTED_VALUE"""),"The high efficacy of mefloquine-artesunate against S. haematobium warrants further investigation. Individuals coinfected with Plasmodium and Schistosoma who were treated with a mefloquin artesunate combination against malaria might have a dual benefit: cl"&amp;"earance of malaria parasitemia and reduction of schistosomias is related morbidity.")</f>
        <v>The high efficacy of mefloquine-artesunate against S. haematobium warrants further investigation. Individuals coinfected with Plasmodium and Schistosoma who were treated with a mefloquin artesunate combination against malaria might have a dual benefit: clearance of malaria parasitemia and reduction of schistosomias is related morbidity.</v>
      </c>
      <c r="R199" s="697"/>
      <c r="S199" s="699" t="str">
        <f>IFERROR(__xludf.DUMMYFUNCTION("""COMPUTED_VALUE"""),"Keiser, Jennifer, et al. ""Efficacy and safety of mefloquine, artesunate, mefloquine-artesunate, and praziquantel against Schistosoma haematobium: randomized, exploratory open-label trial."" Clinical infectious diseases 50.9 (2010): 1205-1213.")</f>
        <v>Keiser, Jennifer, et al. "Efficacy and safety of mefloquine, artesunate, mefloquine-artesunate, and praziquantel against Schistosoma haematobium: randomized, exploratory open-label trial." Clinical infectious diseases 50.9 (2010): 1205-1213.</v>
      </c>
      <c r="T199" s="697"/>
      <c r="U199" s="697" t="str">
        <f>IFERROR(__xludf.DUMMYFUNCTION("""COMPUTED_VALUE"""),"")</f>
        <v/>
      </c>
      <c r="V199" s="697">
        <f>IFERROR(__xludf.DUMMYFUNCTION("""COMPUTED_VALUE"""),199.0)</f>
        <v>199</v>
      </c>
    </row>
    <row r="200">
      <c r="A200" s="697" t="str">
        <f>IFERROR(__xludf.DUMMYFUNCTION("""COMPUTED_VALUE"""),"Keiser J, 2010")</f>
        <v>Keiser J, 2010</v>
      </c>
      <c r="B200" s="697" t="str">
        <f>IFERROR(__xludf.DUMMYFUNCTION("""COMPUTED_VALUE"""),"s. haematobium")</f>
        <v>s. haematobium</v>
      </c>
      <c r="C200" s="697" t="str">
        <f>IFERROR(__xludf.DUMMYFUNCTION("""COMPUTED_VALUE"""),"Cote d'Ivoire")</f>
        <v>Cote d'Ivoire</v>
      </c>
      <c r="D200" s="697" t="str">
        <f>IFERROR(__xludf.DUMMYFUNCTION("""COMPUTED_VALUE"""),"Mefloquine-Artesunate")</f>
        <v>Mefloquine-Artesunate</v>
      </c>
      <c r="E200" s="697" t="str">
        <f>IFERROR(__xludf.DUMMYFUNCTION("""COMPUTED_VALUE"""),"Three")</f>
        <v>Three</v>
      </c>
      <c r="F200" s="697" t="str">
        <f>IFERROR(__xludf.DUMMYFUNCTION("""COMPUTED_VALUE"""),"100 mg artesunate plus 250 mg mefloquine")</f>
        <v>100 mg artesunate plus 250 mg mefloquine</v>
      </c>
      <c r="G200" s="697">
        <f>IFERROR(__xludf.DUMMYFUNCTION("""COMPUTED_VALUE"""),18.0)</f>
        <v>18</v>
      </c>
      <c r="H200" s="697" t="str">
        <f>IFERROR(__xludf.DUMMYFUNCTION("""COMPUTED_VALUE"""),"8 - 16")</f>
        <v>8 - 16</v>
      </c>
      <c r="I200" s="705" t="str">
        <f>IFERROR(__xludf.DUMMYFUNCTION("""COMPUTED_VALUE"""),"7 : 11")</f>
        <v>7 : 11</v>
      </c>
      <c r="J200" s="697">
        <f>IFERROR(__xludf.DUMMYFUNCTION("""COMPUTED_VALUE"""),2008.0)</f>
        <v>2008</v>
      </c>
      <c r="K200" s="697" t="str">
        <f>IFERROR(__xludf.DUMMYFUNCTION("""COMPUTED_VALUE"""),"S. haematobium–infected schoolchildren were included in the study")</f>
        <v>S. haematobium–infected schoolchildren were included in the study</v>
      </c>
      <c r="L200" s="697" t="str">
        <f>IFERROR(__xludf.DUMMYFUNCTION("""COMPUTED_VALUE"""),"Yes")</f>
        <v>Yes</v>
      </c>
      <c r="M200" s="697" t="str">
        <f>IFERROR(__xludf.DUMMYFUNCTION("""COMPUTED_VALUE"""),"Yes")</f>
        <v>Yes</v>
      </c>
      <c r="N200" s="697" t="str">
        <f>IFERROR(__xludf.DUMMYFUNCTION("""COMPUTED_VALUE"""),"26 days")</f>
        <v>26 days</v>
      </c>
      <c r="O200" s="706">
        <f>IFERROR(__xludf.DUMMYFUNCTION("""COMPUTED_VALUE"""),0.61)</f>
        <v>0.61</v>
      </c>
      <c r="P200" s="706">
        <f>IFERROR(__xludf.DUMMYFUNCTION("""COMPUTED_VALUE"""),0.96)</f>
        <v>0.96</v>
      </c>
      <c r="Q200" s="697" t="str">
        <f>IFERROR(__xludf.DUMMYFUNCTION("""COMPUTED_VALUE"""),"The high efficacy of mefloquine-artesunate against S. haematobium warrants further investigation. Individuals coinfected with Plasmodium and Schistosoma who were treated with a mefloquin artesunate combination against malaria might have a dual benefit: cl"&amp;"earance of malaria parasitemia and reduction of schistosomias is related morbidity.")</f>
        <v>The high efficacy of mefloquine-artesunate against S. haematobium warrants further investigation. Individuals coinfected with Plasmodium and Schistosoma who were treated with a mefloquin artesunate combination against malaria might have a dual benefit: clearance of malaria parasitemia and reduction of schistosomias is related morbidity.</v>
      </c>
      <c r="R200" s="697"/>
      <c r="S200" s="699" t="str">
        <f>IFERROR(__xludf.DUMMYFUNCTION("""COMPUTED_VALUE"""),"Keiser, Jennifer, et al. ""Efficacy and safety of mefloquine, artesunate, mefloquine-artesunate, and praziquantel against Schistosoma haematobium: randomized, exploratory open-label trial."" Clinical infectious diseases 50.9 (2010): 1205-1213.")</f>
        <v>Keiser, Jennifer, et al. "Efficacy and safety of mefloquine, artesunate, mefloquine-artesunate, and praziquantel against Schistosoma haematobium: randomized, exploratory open-label trial." Clinical infectious diseases 50.9 (2010): 1205-1213.</v>
      </c>
      <c r="T200" s="697"/>
      <c r="U200" s="697" t="str">
        <f>IFERROR(__xludf.DUMMYFUNCTION("""COMPUTED_VALUE"""),"")</f>
        <v/>
      </c>
      <c r="V200" s="697">
        <f>IFERROR(__xludf.DUMMYFUNCTION("""COMPUTED_VALUE"""),200.0)</f>
        <v>200</v>
      </c>
    </row>
    <row r="201">
      <c r="A201" s="697" t="str">
        <f>IFERROR(__xludf.DUMMYFUNCTION("""COMPUTED_VALUE"""),"Keiser J, 2010")</f>
        <v>Keiser J, 2010</v>
      </c>
      <c r="B201" s="697" t="str">
        <f>IFERROR(__xludf.DUMMYFUNCTION("""COMPUTED_VALUE"""),"s. haematobium")</f>
        <v>s. haematobium</v>
      </c>
      <c r="C201" s="697" t="str">
        <f>IFERROR(__xludf.DUMMYFUNCTION("""COMPUTED_VALUE"""),"Cote d'Ivoire")</f>
        <v>Cote d'Ivoire</v>
      </c>
      <c r="D201" s="697" t="str">
        <f>IFERROR(__xludf.DUMMYFUNCTION("""COMPUTED_VALUE"""),"Mefloquine")</f>
        <v>Mefloquine</v>
      </c>
      <c r="E201" s="697" t="str">
        <f>IFERROR(__xludf.DUMMYFUNCTION("""COMPUTED_VALUE"""),"Single")</f>
        <v>Single</v>
      </c>
      <c r="F201" s="697" t="str">
        <f>IFERROR(__xludf.DUMMYFUNCTION("""COMPUTED_VALUE"""),"25mg/kg")</f>
        <v>25mg/kg</v>
      </c>
      <c r="G201" s="697">
        <f>IFERROR(__xludf.DUMMYFUNCTION("""COMPUTED_VALUE"""),19.0)</f>
        <v>19</v>
      </c>
      <c r="H201" s="697" t="str">
        <f>IFERROR(__xludf.DUMMYFUNCTION("""COMPUTED_VALUE"""),"8 - 16")</f>
        <v>8 - 16</v>
      </c>
      <c r="I201" s="705" t="str">
        <f>IFERROR(__xludf.DUMMYFUNCTION("""COMPUTED_VALUE"""),"7:12")</f>
        <v>7:12</v>
      </c>
      <c r="J201" s="697">
        <f>IFERROR(__xludf.DUMMYFUNCTION("""COMPUTED_VALUE"""),2008.0)</f>
        <v>2008</v>
      </c>
      <c r="K201" s="697" t="str">
        <f>IFERROR(__xludf.DUMMYFUNCTION("""COMPUTED_VALUE"""),"S. haematobium–infected schoolchildren were included in the study")</f>
        <v>S. haematobium–infected schoolchildren were included in the study</v>
      </c>
      <c r="L201" s="697" t="str">
        <f>IFERROR(__xludf.DUMMYFUNCTION("""COMPUTED_VALUE"""),"Yes")</f>
        <v>Yes</v>
      </c>
      <c r="M201" s="697" t="str">
        <f>IFERROR(__xludf.DUMMYFUNCTION("""COMPUTED_VALUE"""),"Yes")</f>
        <v>Yes</v>
      </c>
      <c r="N201" s="697" t="str">
        <f>IFERROR(__xludf.DUMMYFUNCTION("""COMPUTED_VALUE"""),"26 days")</f>
        <v>26 days</v>
      </c>
      <c r="O201" s="706">
        <f>IFERROR(__xludf.DUMMYFUNCTION("""COMPUTED_VALUE"""),0.21)</f>
        <v>0.21</v>
      </c>
      <c r="P201" s="700">
        <f>IFERROR(__xludf.DUMMYFUNCTION("""COMPUTED_VALUE"""),0.74)</f>
        <v>0.74</v>
      </c>
      <c r="Q201" s="697" t="str">
        <f>IFERROR(__xludf.DUMMYFUNCTION("""COMPUTED_VALUE"""),"The high efficacy of mefloquine-artesunate against S. haematobium warrants further investigation. Individuals coinfected with Plasmodium and Schistosoma who were treated with a mefloquin artesunate combination against malaria might have a dual benefit: cl"&amp;"earance of malaria parasitemia and reduction of schistosomias is related morbidity.")</f>
        <v>The high efficacy of mefloquine-artesunate against S. haematobium warrants further investigation. Individuals coinfected with Plasmodium and Schistosoma who were treated with a mefloquin artesunate combination against malaria might have a dual benefit: clearance of malaria parasitemia and reduction of schistosomias is related morbidity.</v>
      </c>
      <c r="R201" s="697"/>
      <c r="S201" s="699" t="str">
        <f>IFERROR(__xludf.DUMMYFUNCTION("""COMPUTED_VALUE"""),"Keiser, Jennifer, et al. ""Efficacy and safety of mefloquine, artesunate, mefloquine-artesunate, and praziquantel against Schistosoma haematobium: randomized, exploratory open-label trial."" Clinical infectious diseases 50.9 (2010): 1205-1213.")</f>
        <v>Keiser, Jennifer, et al. "Efficacy and safety of mefloquine, artesunate, mefloquine-artesunate, and praziquantel against Schistosoma haematobium: randomized, exploratory open-label trial." Clinical infectious diseases 50.9 (2010): 1205-1213.</v>
      </c>
      <c r="T201" s="697"/>
      <c r="U201" s="697" t="str">
        <f>IFERROR(__xludf.DUMMYFUNCTION("""COMPUTED_VALUE"""),"")</f>
        <v/>
      </c>
      <c r="V201" s="697">
        <f>IFERROR(__xludf.DUMMYFUNCTION("""COMPUTED_VALUE"""),201.0)</f>
        <v>201</v>
      </c>
    </row>
    <row r="202">
      <c r="A202" s="697" t="str">
        <f>IFERROR(__xludf.DUMMYFUNCTION("""COMPUTED_VALUE"""),"Keiser J, 2014")</f>
        <v>Keiser J, 2014</v>
      </c>
      <c r="B202" s="697" t="str">
        <f>IFERROR(__xludf.DUMMYFUNCTION("""COMPUTED_VALUE"""),"s. haematobium")</f>
        <v>s. haematobium</v>
      </c>
      <c r="C202" s="697" t="str">
        <f>IFERROR(__xludf.DUMMYFUNCTION("""COMPUTED_VALUE"""),"Cote d'Ivoire")</f>
        <v>Cote d'Ivoire</v>
      </c>
      <c r="D202" s="697" t="str">
        <f>IFERROR(__xludf.DUMMYFUNCTION("""COMPUTED_VALUE"""),"Praziquantel")</f>
        <v>Praziquantel</v>
      </c>
      <c r="E202" s="697" t="str">
        <f>IFERROR(__xludf.DUMMYFUNCTION("""COMPUTED_VALUE"""),"Single")</f>
        <v>Single</v>
      </c>
      <c r="F202" s="697" t="str">
        <f>IFERROR(__xludf.DUMMYFUNCTION("""COMPUTED_VALUE"""),"40 mg/kg")</f>
        <v>40 mg/kg</v>
      </c>
      <c r="G202" s="697">
        <f>IFERROR(__xludf.DUMMYFUNCTION("""COMPUTED_VALUE"""),21.0)</f>
        <v>21</v>
      </c>
      <c r="H202" s="697">
        <f>IFERROR(__xludf.DUMMYFUNCTION("""COMPUTED_VALUE"""),10.9)</f>
        <v>10.9</v>
      </c>
      <c r="I202" s="705" t="str">
        <f>IFERROR(__xludf.DUMMYFUNCTION("""COMPUTED_VALUE"""),"16 : 5")</f>
        <v>16 : 5</v>
      </c>
      <c r="J202" s="697">
        <f>IFERROR(__xludf.DUMMYFUNCTION("""COMPUTED_VALUE"""),2008.0)</f>
        <v>2008</v>
      </c>
      <c r="K202" s="697" t="str">
        <f>IFERROR(__xludf.DUMMYFUNCTION("""COMPUTED_VALUE"""),"S. haematobium–infected schoolchildren were included in the study")</f>
        <v>S. haematobium–infected schoolchildren were included in the study</v>
      </c>
      <c r="L202" s="697" t="str">
        <f>IFERROR(__xludf.DUMMYFUNCTION("""COMPUTED_VALUE"""),"No")</f>
        <v>No</v>
      </c>
      <c r="M202" s="697" t="str">
        <f>IFERROR(__xludf.DUMMYFUNCTION("""COMPUTED_VALUE"""),"Yes")</f>
        <v>Yes</v>
      </c>
      <c r="N202" s="697" t="str">
        <f>IFERROR(__xludf.DUMMYFUNCTION("""COMPUTED_VALUE"""),"3, 11 weeks")</f>
        <v>3, 11 weeks</v>
      </c>
      <c r="O202" s="706">
        <f>IFERROR(__xludf.DUMMYFUNCTION("""COMPUTED_VALUE"""),0.33)</f>
        <v>0.33</v>
      </c>
      <c r="P202" s="706">
        <f>IFERROR(__xludf.DUMMYFUNCTION("""COMPUTED_VALUE"""),0.9)</f>
        <v>0.9</v>
      </c>
      <c r="Q202" s="697" t="str">
        <f>IFERROR(__xludf.DUMMYFUNCTION("""COMPUTED_VALUE"""),"In conclusion, our results suggest that a drug combination containing mefloquine-artesunate or mefloquine has no benefit over standard praziquantel against chronic S. haematobium infection regarding efficacy (cure and egg reduction rate) and safety (frequ"&amp;"ency and severity of adverse events). Further studies are required to elucidate the effect of these combinations on acute schistosomiasis. There is a pressing need to develop additional antischistosomal drugs, as long as praziquantel remains efficacious a"&amp;"gainst different Schistosoma species parasitizing man.")</f>
        <v>In conclusion, our results suggest that a drug combination containing mefloquine-artesunate or mefloquine has no benefit over standard praziquantel against chronic S. haematobium infection regarding efficacy (cure and egg reduction rate) and safety (frequency and severity of adverse events). Further studies are required to elucidate the effect of these combinations on acute schistosomiasis. There is a pressing need to develop additional antischistosomal drugs, as long as praziquantel remains efficacious against different Schistosoma species parasitizing man.</v>
      </c>
      <c r="R202" s="697"/>
      <c r="S202" s="699" t="str">
        <f>IFERROR(__xludf.DUMMYFUNCTION("""COMPUTED_VALUE"""),"Keiser, Jennifer, et al. ""Praziquantel, mefloquine-praziquantel, and mefloquine-artesunate-praziquantel against Schistosoma haematobium: a randomized, exploratory, open-label trial."" PLoS Negl Trop Dis 8.7 (2014): e2975.")</f>
        <v>Keiser, Jennifer, et al. "Praziquantel, mefloquine-praziquantel, and mefloquine-artesunate-praziquantel against Schistosoma haematobium: a randomized, exploratory, open-label trial." PLoS Negl Trop Dis 8.7 (2014): e2975.</v>
      </c>
      <c r="T202" s="697"/>
      <c r="U202" s="697" t="str">
        <f>IFERROR(__xludf.DUMMYFUNCTION("""COMPUTED_VALUE"""),"")</f>
        <v/>
      </c>
      <c r="V202" s="697">
        <f>IFERROR(__xludf.DUMMYFUNCTION("""COMPUTED_VALUE"""),202.0)</f>
        <v>202</v>
      </c>
    </row>
    <row r="203">
      <c r="A203" s="697" t="str">
        <f>IFERROR(__xludf.DUMMYFUNCTION("""COMPUTED_VALUE"""),"Keiser J, 2014")</f>
        <v>Keiser J, 2014</v>
      </c>
      <c r="B203" s="697" t="str">
        <f>IFERROR(__xludf.DUMMYFUNCTION("""COMPUTED_VALUE"""),"s. haematobium")</f>
        <v>s. haematobium</v>
      </c>
      <c r="C203" s="697" t="str">
        <f>IFERROR(__xludf.DUMMYFUNCTION("""COMPUTED_VALUE"""),"Cote d'Ivoire")</f>
        <v>Cote d'Ivoire</v>
      </c>
      <c r="D203" s="697" t="str">
        <f>IFERROR(__xludf.DUMMYFUNCTION("""COMPUTED_VALUE"""),"Mefloquine-Artesunate")</f>
        <v>Mefloquine-Artesunate</v>
      </c>
      <c r="E203" s="697" t="str">
        <f>IFERROR(__xludf.DUMMYFUNCTION("""COMPUTED_VALUE"""),"Single")</f>
        <v>Single</v>
      </c>
      <c r="F203" s="697" t="str">
        <f>IFERROR(__xludf.DUMMYFUNCTION("""COMPUTED_VALUE"""),"25 mg/kg; 40 mg/kg")</f>
        <v>25 mg/kg; 40 mg/kg</v>
      </c>
      <c r="G203" s="697">
        <f>IFERROR(__xludf.DUMMYFUNCTION("""COMPUTED_VALUE"""),19.0)</f>
        <v>19</v>
      </c>
      <c r="H203" s="697">
        <f>IFERROR(__xludf.DUMMYFUNCTION("""COMPUTED_VALUE"""),10.7)</f>
        <v>10.7</v>
      </c>
      <c r="I203" s="705" t="str">
        <f>IFERROR(__xludf.DUMMYFUNCTION("""COMPUTED_VALUE"""),"16 : 3")</f>
        <v>16 : 3</v>
      </c>
      <c r="J203" s="697">
        <f>IFERROR(__xludf.DUMMYFUNCTION("""COMPUTED_VALUE"""),2008.0)</f>
        <v>2008</v>
      </c>
      <c r="K203" s="697" t="str">
        <f>IFERROR(__xludf.DUMMYFUNCTION("""COMPUTED_VALUE"""),"S. haematobium–infected schoolchildren were included in the study")</f>
        <v>S. haematobium–infected schoolchildren were included in the study</v>
      </c>
      <c r="L203" s="697" t="str">
        <f>IFERROR(__xludf.DUMMYFUNCTION("""COMPUTED_VALUE"""),"No")</f>
        <v>No</v>
      </c>
      <c r="M203" s="697" t="str">
        <f>IFERROR(__xludf.DUMMYFUNCTION("""COMPUTED_VALUE"""),"Yes")</f>
        <v>Yes</v>
      </c>
      <c r="N203" s="697" t="str">
        <f>IFERROR(__xludf.DUMMYFUNCTION("""COMPUTED_VALUE"""),"3, 11 weeks")</f>
        <v>3, 11 weeks</v>
      </c>
      <c r="O203" s="706">
        <f>IFERROR(__xludf.DUMMYFUNCTION("""COMPUTED_VALUE"""),0.26)</f>
        <v>0.26</v>
      </c>
      <c r="P203" s="706">
        <f>IFERROR(__xludf.DUMMYFUNCTION("""COMPUTED_VALUE"""),0.96)</f>
        <v>0.96</v>
      </c>
      <c r="Q203" s="697" t="str">
        <f>IFERROR(__xludf.DUMMYFUNCTION("""COMPUTED_VALUE"""),"In conclusion, our results suggest that a drug combination containing mefloquine-artesunate or mefloquine has no benefit over standard praziquantel against chronic S. haematobium infection regarding efficacy (cure and egg reduction rate) and safety (frequ"&amp;"ency and severity of adverse events). Further studies are required to elucidate the effect of these combinations on acute schistosomiasis. There is a pressing need to develop additional antischistosomal drugs, as long as praziquantel remains efficacious a"&amp;"gainst different Schistosoma species parasitizing man.")</f>
        <v>In conclusion, our results suggest that a drug combination containing mefloquine-artesunate or mefloquine has no benefit over standard praziquantel against chronic S. haematobium infection regarding efficacy (cure and egg reduction rate) and safety (frequency and severity of adverse events). Further studies are required to elucidate the effect of these combinations on acute schistosomiasis. There is a pressing need to develop additional antischistosomal drugs, as long as praziquantel remains efficacious against different Schistosoma species parasitizing man.</v>
      </c>
      <c r="R203" s="697"/>
      <c r="S203" s="699" t="str">
        <f>IFERROR(__xludf.DUMMYFUNCTION("""COMPUTED_VALUE"""),"Keiser, Jennifer, et al. ""Praziquantel, mefloquine-praziquantel, and mefloquine-artesunate-praziquantel against Schistosoma haematobium: a randomized, exploratory, open-label trial."" PLoS Negl Trop Dis 8.7 (2014): e2975.")</f>
        <v>Keiser, Jennifer, et al. "Praziquantel, mefloquine-praziquantel, and mefloquine-artesunate-praziquantel against Schistosoma haematobium: a randomized, exploratory, open-label trial." PLoS Negl Trop Dis 8.7 (2014): e2975.</v>
      </c>
      <c r="T203" s="697"/>
      <c r="U203" s="697" t="str">
        <f>IFERROR(__xludf.DUMMYFUNCTION("""COMPUTED_VALUE"""),"")</f>
        <v/>
      </c>
      <c r="V203" s="697">
        <f>IFERROR(__xludf.DUMMYFUNCTION("""COMPUTED_VALUE"""),203.0)</f>
        <v>203</v>
      </c>
    </row>
    <row r="204">
      <c r="A204" s="697" t="str">
        <f>IFERROR(__xludf.DUMMYFUNCTION("""COMPUTED_VALUE"""),"Keiser J, 2014")</f>
        <v>Keiser J, 2014</v>
      </c>
      <c r="B204" s="697" t="str">
        <f>IFERROR(__xludf.DUMMYFUNCTION("""COMPUTED_VALUE"""),"s. haematobium")</f>
        <v>s. haematobium</v>
      </c>
      <c r="C204" s="697" t="str">
        <f>IFERROR(__xludf.DUMMYFUNCTION("""COMPUTED_VALUE"""),"Cote d'Ivoire")</f>
        <v>Cote d'Ivoire</v>
      </c>
      <c r="D204" s="697" t="str">
        <f>IFERROR(__xludf.DUMMYFUNCTION("""COMPUTED_VALUE"""),"Mefloquine-Artesunate &amp; Praziquantel")</f>
        <v>Mefloquine-Artesunate &amp; Praziquantel</v>
      </c>
      <c r="E204" s="697" t="str">
        <f>IFERROR(__xludf.DUMMYFUNCTION("""COMPUTED_VALUE"""),"Single")</f>
        <v>Single</v>
      </c>
      <c r="F204" s="697" t="str">
        <f>IFERROR(__xludf.DUMMYFUNCTION("""COMPUTED_VALUE"""),"100 mg artesunate +250 mg mefloquine + praziquantel (40 mg/kg)")</f>
        <v>100 mg artesunate +250 mg mefloquine + praziquantel (40 mg/kg)</v>
      </c>
      <c r="G204" s="697">
        <f>IFERROR(__xludf.DUMMYFUNCTION("""COMPUTED_VALUE"""),21.0)</f>
        <v>21</v>
      </c>
      <c r="H204" s="697">
        <f>IFERROR(__xludf.DUMMYFUNCTION("""COMPUTED_VALUE"""),10.4)</f>
        <v>10.4</v>
      </c>
      <c r="I204" s="705" t="str">
        <f>IFERROR(__xludf.DUMMYFUNCTION("""COMPUTED_VALUE"""),"15 : 6")</f>
        <v>15 : 6</v>
      </c>
      <c r="J204" s="697">
        <f>IFERROR(__xludf.DUMMYFUNCTION("""COMPUTED_VALUE"""),2008.0)</f>
        <v>2008</v>
      </c>
      <c r="K204" s="697" t="str">
        <f>IFERROR(__xludf.DUMMYFUNCTION("""COMPUTED_VALUE"""),"S. haematobium–infected schoolchildren were included in the study")</f>
        <v>S. haematobium–infected schoolchildren were included in the study</v>
      </c>
      <c r="L204" s="697" t="str">
        <f>IFERROR(__xludf.DUMMYFUNCTION("""COMPUTED_VALUE"""),"No")</f>
        <v>No</v>
      </c>
      <c r="M204" s="697" t="str">
        <f>IFERROR(__xludf.DUMMYFUNCTION("""COMPUTED_VALUE"""),"Yes")</f>
        <v>Yes</v>
      </c>
      <c r="N204" s="697" t="str">
        <f>IFERROR(__xludf.DUMMYFUNCTION("""COMPUTED_VALUE"""),"3, 11 weeks")</f>
        <v>3, 11 weeks</v>
      </c>
      <c r="O204" s="706">
        <f>IFERROR(__xludf.DUMMYFUNCTION("""COMPUTED_VALUE"""),0.29)</f>
        <v>0.29</v>
      </c>
      <c r="P204" s="706">
        <f>IFERROR(__xludf.DUMMYFUNCTION("""COMPUTED_VALUE"""),0.96)</f>
        <v>0.96</v>
      </c>
      <c r="Q204" s="697" t="str">
        <f>IFERROR(__xludf.DUMMYFUNCTION("""COMPUTED_VALUE"""),"In conclusion, our results suggest that a drug combination containing mefloquine-artesunate or mefloquine has no benefit over standard praziquantel against chronic S. haematobium infection regarding efficacy (cure and egg reduction rate) and safety (frequ"&amp;"ency and severity of adverse events). Further studies are required to elucidate the effect of these combinations on acute schistosomiasis. There is a pressing need to develop additional antischistosomal drugs, as long as praziquantel remains efficacious a"&amp;"gainst different Schistosoma species parasitizing man.")</f>
        <v>In conclusion, our results suggest that a drug combination containing mefloquine-artesunate or mefloquine has no benefit over standard praziquantel against chronic S. haematobium infection regarding efficacy (cure and egg reduction rate) and safety (frequency and severity of adverse events). Further studies are required to elucidate the effect of these combinations on acute schistosomiasis. There is a pressing need to develop additional antischistosomal drugs, as long as praziquantel remains efficacious against different Schistosoma species parasitizing man.</v>
      </c>
      <c r="R204" s="697"/>
      <c r="S204" s="699" t="str">
        <f>IFERROR(__xludf.DUMMYFUNCTION("""COMPUTED_VALUE"""),"Keiser, Jennifer, et al. ""Praziquantel, mefloquine-praziquantel, and mefloquine-artesunate-praziquantel against Schistosoma haematobium: a randomized, exploratory, open-label trial."" PLoS Negl Trop Dis 8.7 (2014): e2975.")</f>
        <v>Keiser, Jennifer, et al. "Praziquantel, mefloquine-praziquantel, and mefloquine-artesunate-praziquantel against Schistosoma haematobium: a randomized, exploratory, open-label trial." PLoS Negl Trop Dis 8.7 (2014): e2975.</v>
      </c>
      <c r="T204" s="697"/>
      <c r="U204" s="697" t="str">
        <f>IFERROR(__xludf.DUMMYFUNCTION("""COMPUTED_VALUE"""),"")</f>
        <v/>
      </c>
      <c r="V204" s="697">
        <f>IFERROR(__xludf.DUMMYFUNCTION("""COMPUTED_VALUE"""),204.0)</f>
        <v>204</v>
      </c>
    </row>
    <row r="205">
      <c r="A205" s="697" t="str">
        <f>IFERROR(__xludf.DUMMYFUNCTION("""COMPUTED_VALUE"""),"Giovanna, 2004")</f>
        <v>Giovanna, 2004</v>
      </c>
      <c r="B205" s="697" t="str">
        <f>IFERROR(__xludf.DUMMYFUNCTION("""COMPUTED_VALUE"""),"s. mansoni")</f>
        <v>s. mansoni</v>
      </c>
      <c r="C205" s="697" t="str">
        <f>IFERROR(__xludf.DUMMYFUNCTION("""COMPUTED_VALUE"""),"Cote d'Ivoire")</f>
        <v>Cote d'Ivoire</v>
      </c>
      <c r="D205" s="697" t="str">
        <f>IFERROR(__xludf.DUMMYFUNCTION("""COMPUTED_VALUE"""),"Praziquantel")</f>
        <v>Praziquantel</v>
      </c>
      <c r="E205" s="697" t="str">
        <f>IFERROR(__xludf.DUMMYFUNCTION("""COMPUTED_VALUE"""),"Single")</f>
        <v>Single</v>
      </c>
      <c r="F205" s="697" t="str">
        <f>IFERROR(__xludf.DUMMYFUNCTION("""COMPUTED_VALUE"""),"40 mg/kg")</f>
        <v>40 mg/kg</v>
      </c>
      <c r="G205" s="697">
        <f>IFERROR(__xludf.DUMMYFUNCTION("""COMPUTED_VALUE"""),223.0)</f>
        <v>223</v>
      </c>
      <c r="H205" s="697" t="str">
        <f>IFERROR(__xludf.DUMMYFUNCTION("""COMPUTED_VALUE"""),"5 days-91 years")</f>
        <v>5 days-91 years</v>
      </c>
      <c r="I205" s="705" t="str">
        <f>IFERROR(__xludf.DUMMYFUNCTION("""COMPUTED_VALUE"""),"data not available ")</f>
        <v>data not available </v>
      </c>
      <c r="J205" s="697">
        <f>IFERROR(__xludf.DUMMYFUNCTION("""COMPUTED_VALUE"""),2002.0)</f>
        <v>2002</v>
      </c>
      <c r="K205" s="697" t="str">
        <f>IFERROR(__xludf.DUMMYFUNCTION("""COMPUTED_VALUE"""),"After consent was gained and the village chief had designated 8 persons to to assist our research team, the village authories had informed the community. A detailed parasitogical survey was carried out. Procedures of the forthcoming survey and subsequent "&amp;"treatments was explained.")</f>
        <v>After consent was gained and the village chief had designated 8 persons to to assist our research team, the village authories had informed the community. A detailed parasitogical survey was carried out. Procedures of the forthcoming survey and subsequent treatments was explained.</v>
      </c>
      <c r="L205" s="697" t="str">
        <f>IFERROR(__xludf.DUMMYFUNCTION("""COMPUTED_VALUE"""),"No")</f>
        <v>No</v>
      </c>
      <c r="M205" s="697" t="str">
        <f>IFERROR(__xludf.DUMMYFUNCTION("""COMPUTED_VALUE"""),"Yes")</f>
        <v>Yes</v>
      </c>
      <c r="N205" s="697" t="str">
        <f>IFERROR(__xludf.DUMMYFUNCTION("""COMPUTED_VALUE"""),"6 weeks")</f>
        <v>6 weeks</v>
      </c>
      <c r="O205" s="706">
        <f>IFERROR(__xludf.DUMMYFUNCTION("""COMPUTED_VALUE"""),0.609)</f>
        <v>0.609</v>
      </c>
      <c r="P205" s="706">
        <f>IFERROR(__xludf.DUMMYFUNCTION("""COMPUTED_VALUE"""),0.614)</f>
        <v>0.614</v>
      </c>
      <c r="Q205" s="697"/>
      <c r="R205" s="697"/>
      <c r="S205" s="699" t="str">
        <f>IFERROR(__xludf.DUMMYFUNCTION("""COMPUTED_VALUE"""),"Raso, Giovanna, et al. ""Efficacy and side effects of praziquantel against Schistosoma mansoni in a community of western Côte d'Ivoire."" Transactions of the Royal Society of Tropical Medicine and Hygiene 98.1 (2004): 18-27.")</f>
        <v>Raso, Giovanna, et al. "Efficacy and side effects of praziquantel against Schistosoma mansoni in a community of western Côte d'Ivoire." Transactions of the Royal Society of Tropical Medicine and Hygiene 98.1 (2004): 18-27.</v>
      </c>
      <c r="T205" s="697"/>
      <c r="U205" s="697" t="str">
        <f>IFERROR(__xludf.DUMMYFUNCTION("""COMPUTED_VALUE"""),"")</f>
        <v/>
      </c>
      <c r="V205" s="697">
        <f>IFERROR(__xludf.DUMMYFUNCTION("""COMPUTED_VALUE"""),205.0)</f>
        <v>205</v>
      </c>
    </row>
    <row r="206">
      <c r="A206" s="697" t="str">
        <f>IFERROR(__xludf.DUMMYFUNCTION("""COMPUTED_VALUE"""),"Mutapi, 2011")</f>
        <v>Mutapi, 2011</v>
      </c>
      <c r="B206" s="697" t="str">
        <f>IFERROR(__xludf.DUMMYFUNCTION("""COMPUTED_VALUE"""),"s. haematobium")</f>
        <v>s. haematobium</v>
      </c>
      <c r="C206" s="697" t="str">
        <f>IFERROR(__xludf.DUMMYFUNCTION("""COMPUTED_VALUE"""),"Zimbabwe")</f>
        <v>Zimbabwe</v>
      </c>
      <c r="D206" s="697" t="str">
        <f>IFERROR(__xludf.DUMMYFUNCTION("""COMPUTED_VALUE"""),"Praziquantel")</f>
        <v>Praziquantel</v>
      </c>
      <c r="E206" s="697" t="str">
        <f>IFERROR(__xludf.DUMMYFUNCTION("""COMPUTED_VALUE"""),"Single")</f>
        <v>Single</v>
      </c>
      <c r="F206" s="697" t="str">
        <f>IFERROR(__xludf.DUMMYFUNCTION("""COMPUTED_VALUE"""),"40 mg/kg")</f>
        <v>40 mg/kg</v>
      </c>
      <c r="G206" s="697">
        <f>IFERROR(__xludf.DUMMYFUNCTION("""COMPUTED_VALUE"""),104.0)</f>
        <v>104</v>
      </c>
      <c r="H206" s="697" t="str">
        <f>IFERROR(__xludf.DUMMYFUNCTION("""COMPUTED_VALUE"""),"1 - 5")</f>
        <v>1 - 5</v>
      </c>
      <c r="I206" s="705" t="str">
        <f>IFERROR(__xludf.DUMMYFUNCTION("""COMPUTED_VALUE"""),"data not available ")</f>
        <v>data not available </v>
      </c>
      <c r="J206" s="697">
        <f>IFERROR(__xludf.DUMMYFUNCTION("""COMPUTED_VALUE"""),2011.0)</f>
        <v>2011</v>
      </c>
      <c r="K206" s="697" t="str">
        <f>IFERROR(__xludf.DUMMYFUNCTION("""COMPUTED_VALUE"""),"1) be aged 1–5 years at recruitment, 2) had been resident in the study area since birth, 3) had provided at least two urine and two stool samples on consecutive days, 4) be negative for intestinal helminths and S.mansoni (no one was excluded on this crite"&amp;"ria as everyone was negative for these infections as is reported in other parts of Zimbabwe [22]), 5) have successfully taken the PZQ tablets prescribed to them and, 6) parents/guardians had provided answers to the 24 hour post-treatment side effects ques"&amp;"tionnaire.")</f>
        <v>1) be aged 1–5 years at recruitment, 2) had been resident in the study area since birth, 3) had provided at least two urine and two stool samples on consecutive days, 4) be negative for intestinal helminths and S.mansoni (no one was excluded on this criteria as everyone was negative for these infections as is reported in other parts of Zimbabwe [22]), 5) have successfully taken the PZQ tablets prescribed to them and, 6) parents/guardians had provided answers to the 24 hour post-treatment side effects questionnaire.</v>
      </c>
      <c r="L206" s="697" t="str">
        <f>IFERROR(__xludf.DUMMYFUNCTION("""COMPUTED_VALUE"""),"No")</f>
        <v>No</v>
      </c>
      <c r="M206" s="697" t="str">
        <f>IFERROR(__xludf.DUMMYFUNCTION("""COMPUTED_VALUE"""),"Yes")</f>
        <v>Yes</v>
      </c>
      <c r="N206" s="697" t="str">
        <f>IFERROR(__xludf.DUMMYFUNCTION("""COMPUTED_VALUE"""),"6 weeks ")</f>
        <v>6 weeks </v>
      </c>
      <c r="O206" s="700">
        <f>IFERROR(__xludf.DUMMYFUNCTION("""COMPUTED_VALUE"""),0.92)</f>
        <v>0.92</v>
      </c>
      <c r="P206" s="700">
        <f>IFERROR(__xludf.DUMMYFUNCTION("""COMPUTED_VALUE"""),0.99)</f>
        <v>0.99</v>
      </c>
      <c r="Q206" s="697" t="str">
        <f>IFERROR(__xludf.DUMMYFUNCTION("""COMPUTED_VALUE"""),"PZQ treatment is as safe and efficacious in children aged 1–5 years as it is in older children aged 6–10 years in whom PZQ is the drug of choice for control of schistosome infections.")</f>
        <v>PZQ treatment is as safe and efficacious in children aged 1–5 years as it is in older children aged 6–10 years in whom PZQ is the drug of choice for control of schistosome infections.</v>
      </c>
      <c r="R206" s="697"/>
      <c r="S206" s="699" t="str">
        <f>IFERROR(__xludf.DUMMYFUNCTION("""COMPUTED_VALUE"""),"Mutapi, Francisca, et al. ""Schistosoma haematobium treatment in 1–5 year old children: safety and efficacy of the antihelminthic drug praziquantel.""PLoS Negl Trop Dis 5.5 (2011): e1143.")</f>
        <v>Mutapi, Francisca, et al. "Schistosoma haematobium treatment in 1–5 year old children: safety and efficacy of the antihelminthic drug praziquantel."PLoS Negl Trop Dis 5.5 (2011): e1143.</v>
      </c>
      <c r="T206" s="697"/>
      <c r="U206" s="697" t="str">
        <f>IFERROR(__xludf.DUMMYFUNCTION("""COMPUTED_VALUE"""),"")</f>
        <v/>
      </c>
      <c r="V206" s="697">
        <f>IFERROR(__xludf.DUMMYFUNCTION("""COMPUTED_VALUE"""),206.0)</f>
        <v>206</v>
      </c>
    </row>
    <row r="207">
      <c r="A207" s="697" t="str">
        <f>IFERROR(__xludf.DUMMYFUNCTION("""COMPUTED_VALUE"""),"Mutapi, 2011")</f>
        <v>Mutapi, 2011</v>
      </c>
      <c r="B207" s="697" t="str">
        <f>IFERROR(__xludf.DUMMYFUNCTION("""COMPUTED_VALUE"""),"s. haematobium")</f>
        <v>s. haematobium</v>
      </c>
      <c r="C207" s="697" t="str">
        <f>IFERROR(__xludf.DUMMYFUNCTION("""COMPUTED_VALUE"""),"Zimbabwe")</f>
        <v>Zimbabwe</v>
      </c>
      <c r="D207" s="697" t="str">
        <f>IFERROR(__xludf.DUMMYFUNCTION("""COMPUTED_VALUE"""),"Praziquantel")</f>
        <v>Praziquantel</v>
      </c>
      <c r="E207" s="697" t="str">
        <f>IFERROR(__xludf.DUMMYFUNCTION("""COMPUTED_VALUE"""),"Single")</f>
        <v>Single</v>
      </c>
      <c r="F207" s="697" t="str">
        <f>IFERROR(__xludf.DUMMYFUNCTION("""COMPUTED_VALUE"""),"40 mg/kg")</f>
        <v>40 mg/kg</v>
      </c>
      <c r="G207" s="697">
        <f>IFERROR(__xludf.DUMMYFUNCTION("""COMPUTED_VALUE"""),435.0)</f>
        <v>435</v>
      </c>
      <c r="H207" s="697" t="str">
        <f>IFERROR(__xludf.DUMMYFUNCTION("""COMPUTED_VALUE"""),"1 - 10")</f>
        <v>1 - 10</v>
      </c>
      <c r="I207" s="705" t="str">
        <f>IFERROR(__xludf.DUMMYFUNCTION("""COMPUTED_VALUE"""),"data not available ")</f>
        <v>data not available </v>
      </c>
      <c r="J207" s="697">
        <f>IFERROR(__xludf.DUMMYFUNCTION("""COMPUTED_VALUE"""),2011.0)</f>
        <v>2011</v>
      </c>
      <c r="K207" s="697" t="str">
        <f>IFERROR(__xludf.DUMMYFUNCTION("""COMPUTED_VALUE"""),"1) be aged 1–5 years at recruitment, 2) had been resident in the study area since birth, 3) had provided at least two urine and two stool samples on consecutive days, 4) be negative for intestinal helminths and S.mansoni (no one was excluded on this crite"&amp;"ria as everyone was negative for these infections as is reported in other parts of Zimbabwe [22]), 5) have successfully taken the PZQ tablets prescribed to them and, 6) parents/guardians had provided answers to the 24 hour post-treatment side effects ques"&amp;"tionnaire.")</f>
        <v>1) be aged 1–5 years at recruitment, 2) had been resident in the study area since birth, 3) had provided at least two urine and two stool samples on consecutive days, 4) be negative for intestinal helminths and S.mansoni (no one was excluded on this criteria as everyone was negative for these infections as is reported in other parts of Zimbabwe [22]), 5) have successfully taken the PZQ tablets prescribed to them and, 6) parents/guardians had provided answers to the 24 hour post-treatment side effects questionnaire.</v>
      </c>
      <c r="L207" s="697" t="str">
        <f>IFERROR(__xludf.DUMMYFUNCTION("""COMPUTED_VALUE"""),"No")</f>
        <v>No</v>
      </c>
      <c r="M207" s="697" t="str">
        <f>IFERROR(__xludf.DUMMYFUNCTION("""COMPUTED_VALUE"""),"Yes")</f>
        <v>Yes</v>
      </c>
      <c r="N207" s="697" t="str">
        <f>IFERROR(__xludf.DUMMYFUNCTION("""COMPUTED_VALUE"""),"6 weeks")</f>
        <v>6 weeks</v>
      </c>
      <c r="O207" s="700">
        <f>IFERROR(__xludf.DUMMYFUNCTION("""COMPUTED_VALUE"""),0.67)</f>
        <v>0.67</v>
      </c>
      <c r="P207" s="698">
        <f>IFERROR(__xludf.DUMMYFUNCTION("""COMPUTED_VALUE"""),0.96)</f>
        <v>0.96</v>
      </c>
      <c r="Q207" s="697" t="str">
        <f>IFERROR(__xludf.DUMMYFUNCTION("""COMPUTED_VALUE"""),"PZQ treatment is as safe and efficacious in children aged 1–5 years as it is in older children aged 6–10 years in whom PZQ is the drug of choice for control of schistosome infections.")</f>
        <v>PZQ treatment is as safe and efficacious in children aged 1–5 years as it is in older children aged 6–10 years in whom PZQ is the drug of choice for control of schistosome infections.</v>
      </c>
      <c r="R207" s="697"/>
      <c r="S207" s="699" t="str">
        <f>IFERROR(__xludf.DUMMYFUNCTION("""COMPUTED_VALUE"""),"Mutapi, Francisca, et al. ""Schistosoma haematobium treatment in 1–5 year old children: safety and efficacy of the antihelminthic drug praziquantel.""PLoS Negl Trop Dis 5.5 (2011): e1143.")</f>
        <v>Mutapi, Francisca, et al. "Schistosoma haematobium treatment in 1–5 year old children: safety and efficacy of the antihelminthic drug praziquantel."PLoS Negl Trop Dis 5.5 (2011): e1143.</v>
      </c>
      <c r="T207" s="697"/>
      <c r="U207" s="697" t="str">
        <f>IFERROR(__xludf.DUMMYFUNCTION("""COMPUTED_VALUE"""),"")</f>
        <v/>
      </c>
      <c r="V207" s="697">
        <f>IFERROR(__xludf.DUMMYFUNCTION("""COMPUTED_VALUE"""),207.0)</f>
        <v>207</v>
      </c>
    </row>
    <row r="208">
      <c r="A208" s="697" t="str">
        <f>IFERROR(__xludf.DUMMYFUNCTION("""COMPUTED_VALUE"""),"Nalugwa, 2015")</f>
        <v>Nalugwa, 2015</v>
      </c>
      <c r="B208" s="697" t="str">
        <f>IFERROR(__xludf.DUMMYFUNCTION("""COMPUTED_VALUE"""),"s. mansoni")</f>
        <v>s. mansoni</v>
      </c>
      <c r="C208" s="697" t="str">
        <f>IFERROR(__xludf.DUMMYFUNCTION("""COMPUTED_VALUE"""),"Uganda")</f>
        <v>Uganda</v>
      </c>
      <c r="D208" s="697" t="str">
        <f>IFERROR(__xludf.DUMMYFUNCTION("""COMPUTED_VALUE"""),"Praziquantel")</f>
        <v>Praziquantel</v>
      </c>
      <c r="E208" s="697" t="str">
        <f>IFERROR(__xludf.DUMMYFUNCTION("""COMPUTED_VALUE"""),"Single")</f>
        <v>Single</v>
      </c>
      <c r="F208" s="697" t="str">
        <f>IFERROR(__xludf.DUMMYFUNCTION("""COMPUTED_VALUE"""),"40 mg/kg")</f>
        <v>40 mg/kg</v>
      </c>
      <c r="G208" s="697">
        <f>IFERROR(__xludf.DUMMYFUNCTION("""COMPUTED_VALUE"""),357.0)</f>
        <v>357</v>
      </c>
      <c r="H208" s="697" t="str">
        <f>IFERROR(__xludf.DUMMYFUNCTION("""COMPUTED_VALUE"""),"1 - 5")</f>
        <v>1 - 5</v>
      </c>
      <c r="I208" s="705" t="str">
        <f>IFERROR(__xludf.DUMMYFUNCTION("""COMPUTED_VALUE"""),"50.7:49.3")</f>
        <v>50.7:49.3</v>
      </c>
      <c r="J208" s="697">
        <f>IFERROR(__xludf.DUMMYFUNCTION("""COMPUTED_VALUE"""),2014.0)</f>
        <v>2014</v>
      </c>
      <c r="K208" s="697" t="str">
        <f>IFERROR(__xludf.DUMMYFUNCTION("""COMPUTED_VALUE"""),"children tested positive for S. mansoni eggs")</f>
        <v>children tested positive for S. mansoni eggs</v>
      </c>
      <c r="L208" s="697" t="str">
        <f>IFERROR(__xludf.DUMMYFUNCTION("""COMPUTED_VALUE"""),"Yes")</f>
        <v>Yes</v>
      </c>
      <c r="M208" s="697" t="str">
        <f>IFERROR(__xludf.DUMMYFUNCTION("""COMPUTED_VALUE"""),"Yes")</f>
        <v>Yes</v>
      </c>
      <c r="N208" s="697" t="str">
        <f>IFERROR(__xludf.DUMMYFUNCTION("""COMPUTED_VALUE"""),"1 month")</f>
        <v>1 month</v>
      </c>
      <c r="O208" s="698">
        <f>IFERROR(__xludf.DUMMYFUNCTION("""COMPUTED_VALUE"""),0.832)</f>
        <v>0.832</v>
      </c>
      <c r="P208" s="698">
        <f>IFERROR(__xludf.DUMMYFUNCTION("""COMPUTED_VALUE"""),0.993)</f>
        <v>0.993</v>
      </c>
      <c r="Q208" s="697" t="str">
        <f>IFERROR(__xludf.DUMMYFUNCTION("""COMPUTED_VALUE"""),"PZQ is efficatious and relatively safe to use in preschool age children but there is still an unmet need to improve its formulation to suit small children")</f>
        <v>PZQ is efficatious and relatively safe to use in preschool age children but there is still an unmet need to improve its formulation to suit small children</v>
      </c>
      <c r="R208" s="697"/>
      <c r="S208" s="699" t="str">
        <f>IFERROR(__xludf.DUMMYFUNCTION("""COMPUTED_VALUE"""),"Nalugwa, Allen, et al. ""Single Versus Double Dose Praziquantel Comparison on Efficacy and Schistosoma mansoni Re-Infection in Preschool-Age Children in Uganda: A Randomized Controlled Trial."" PLoS Negl Trop Dis 9.5 (2015): e0003796.")</f>
        <v>Nalugwa, Allen, et al. "Single Versus Double Dose Praziquantel Comparison on Efficacy and Schistosoma mansoni Re-Infection in Preschool-Age Children in Uganda: A Randomized Controlled Trial." PLoS Negl Trop Dis 9.5 (2015): e0003796.</v>
      </c>
      <c r="T208" s="697"/>
      <c r="U208" s="697" t="str">
        <f>IFERROR(__xludf.DUMMYFUNCTION("""COMPUTED_VALUE"""),"")</f>
        <v/>
      </c>
      <c r="V208" s="697">
        <f>IFERROR(__xludf.DUMMYFUNCTION("""COMPUTED_VALUE"""),208.0)</f>
        <v>208</v>
      </c>
    </row>
    <row r="209">
      <c r="A209" s="697" t="str">
        <f>IFERROR(__xludf.DUMMYFUNCTION("""COMPUTED_VALUE"""),"Nalugwa, 2015")</f>
        <v>Nalugwa, 2015</v>
      </c>
      <c r="B209" s="697" t="str">
        <f>IFERROR(__xludf.DUMMYFUNCTION("""COMPUTED_VALUE"""),"s. mansoni")</f>
        <v>s. mansoni</v>
      </c>
      <c r="C209" s="697" t="str">
        <f>IFERROR(__xludf.DUMMYFUNCTION("""COMPUTED_VALUE"""),"Uganda")</f>
        <v>Uganda</v>
      </c>
      <c r="D209" s="697" t="str">
        <f>IFERROR(__xludf.DUMMYFUNCTION("""COMPUTED_VALUE"""),"Praziquantel")</f>
        <v>Praziquantel</v>
      </c>
      <c r="E209" s="697" t="str">
        <f>IFERROR(__xludf.DUMMYFUNCTION("""COMPUTED_VALUE"""),"Two")</f>
        <v>Two</v>
      </c>
      <c r="F209" s="697" t="str">
        <f>IFERROR(__xludf.DUMMYFUNCTION("""COMPUTED_VALUE"""),"40 mg/kg")</f>
        <v>40 mg/kg</v>
      </c>
      <c r="G209" s="697">
        <f>IFERROR(__xludf.DUMMYFUNCTION("""COMPUTED_VALUE"""),339.0)</f>
        <v>339</v>
      </c>
      <c r="H209" s="704">
        <f>IFERROR(__xludf.DUMMYFUNCTION("""COMPUTED_VALUE"""),42374.0)</f>
        <v>42374</v>
      </c>
      <c r="I209" s="705" t="str">
        <f>IFERROR(__xludf.DUMMYFUNCTION("""COMPUTED_VALUE"""),"45.7:54.3")</f>
        <v>45.7:54.3</v>
      </c>
      <c r="J209" s="697">
        <f>IFERROR(__xludf.DUMMYFUNCTION("""COMPUTED_VALUE"""),2014.0)</f>
        <v>2014</v>
      </c>
      <c r="K209" s="697" t="str">
        <f>IFERROR(__xludf.DUMMYFUNCTION("""COMPUTED_VALUE"""),"children tested positive for S. mansoni eggs")</f>
        <v>children tested positive for S. mansoni eggs</v>
      </c>
      <c r="L209" s="697" t="str">
        <f>IFERROR(__xludf.DUMMYFUNCTION("""COMPUTED_VALUE"""),"Yes")</f>
        <v>Yes</v>
      </c>
      <c r="M209" s="697" t="str">
        <f>IFERROR(__xludf.DUMMYFUNCTION("""COMPUTED_VALUE"""),"Yes")</f>
        <v>Yes</v>
      </c>
      <c r="N209" s="697" t="str">
        <f>IFERROR(__xludf.DUMMYFUNCTION("""COMPUTED_VALUE"""),"1 month")</f>
        <v>1 month</v>
      </c>
      <c r="O209" s="698">
        <f>IFERROR(__xludf.DUMMYFUNCTION("""COMPUTED_VALUE"""),0.855)</f>
        <v>0.855</v>
      </c>
      <c r="P209" s="698">
        <f>IFERROR(__xludf.DUMMYFUNCTION("""COMPUTED_VALUE"""),0.989)</f>
        <v>0.989</v>
      </c>
      <c r="Q209" s="697" t="str">
        <f>IFERROR(__xludf.DUMMYFUNCTION("""COMPUTED_VALUE"""),"PZQ is efficatious and relatively safe to use in preschool age children but there is still an unmet need to improve its formulation to suit small children")</f>
        <v>PZQ is efficatious and relatively safe to use in preschool age children but there is still an unmet need to improve its formulation to suit small children</v>
      </c>
      <c r="R209" s="697"/>
      <c r="S209" s="697"/>
      <c r="T209" s="697"/>
      <c r="U209" s="697" t="str">
        <f>IFERROR(__xludf.DUMMYFUNCTION("""COMPUTED_VALUE"""),"")</f>
        <v/>
      </c>
      <c r="V209" s="697">
        <f>IFERROR(__xludf.DUMMYFUNCTION("""COMPUTED_VALUE"""),209.0)</f>
        <v>209</v>
      </c>
    </row>
    <row r="210">
      <c r="A210" s="697" t="str">
        <f>IFERROR(__xludf.DUMMYFUNCTION("""COMPUTED_VALUE"""),"N' Goran, E.K, 2003")</f>
        <v>N' Goran, E.K, 2003</v>
      </c>
      <c r="B210" s="697" t="str">
        <f>IFERROR(__xludf.DUMMYFUNCTION("""COMPUTED_VALUE"""),"s. haematobium")</f>
        <v>s. haematobium</v>
      </c>
      <c r="C210" s="697" t="str">
        <f>IFERROR(__xludf.DUMMYFUNCTION("""COMPUTED_VALUE"""),"Cote d'Ivoire")</f>
        <v>Cote d'Ivoire</v>
      </c>
      <c r="D210" s="697" t="str">
        <f>IFERROR(__xludf.DUMMYFUNCTION("""COMPUTED_VALUE"""),"Praziquantel")</f>
        <v>Praziquantel</v>
      </c>
      <c r="E210" s="697" t="str">
        <f>IFERROR(__xludf.DUMMYFUNCTION("""COMPUTED_VALUE"""),"Two")</f>
        <v>Two</v>
      </c>
      <c r="F210" s="697" t="str">
        <f>IFERROR(__xludf.DUMMYFUNCTION("""COMPUTED_VALUE"""),"40 mg/kg")</f>
        <v>40 mg/kg</v>
      </c>
      <c r="G210" s="697">
        <f>IFERROR(__xludf.DUMMYFUNCTION("""COMPUTED_VALUE"""),354.0)</f>
        <v>354</v>
      </c>
      <c r="H210" s="697" t="str">
        <f>IFERROR(__xludf.DUMMYFUNCTION("""COMPUTED_VALUE"""),"5 - 15")</f>
        <v>5 - 15</v>
      </c>
      <c r="I210" s="705" t="str">
        <f>IFERROR(__xludf.DUMMYFUNCTION("""COMPUTED_VALUE"""),"data not available ")</f>
        <v>data not available </v>
      </c>
      <c r="J210" s="697">
        <f>IFERROR(__xludf.DUMMYFUNCTION("""COMPUTED_VALUE"""),2003.0)</f>
        <v>2003</v>
      </c>
      <c r="K210" s="697" t="str">
        <f>IFERROR(__xludf.DUMMYFUNCTION("""COMPUTED_VALUE"""),"S. haematobium–infected schoolchildren were included in the study")</f>
        <v>S. haematobium–infected schoolchildren were included in the study</v>
      </c>
      <c r="L210" s="697" t="str">
        <f>IFERROR(__xludf.DUMMYFUNCTION("""COMPUTED_VALUE"""),"Yes")</f>
        <v>Yes</v>
      </c>
      <c r="M210" s="697" t="str">
        <f>IFERROR(__xludf.DUMMYFUNCTION("""COMPUTED_VALUE"""),"Yes")</f>
        <v>Yes</v>
      </c>
      <c r="N210" s="697" t="str">
        <f>IFERROR(__xludf.DUMMYFUNCTION("""COMPUTED_VALUE"""),"3, 4 weeks ")</f>
        <v>3, 4 weeks </v>
      </c>
      <c r="O210" s="700">
        <f>IFERROR(__xludf.DUMMYFUNCTION("""COMPUTED_VALUE"""),0.93)</f>
        <v>0.93</v>
      </c>
      <c r="P210" s="706">
        <f>IFERROR(__xludf.DUMMYFUNCTION("""COMPUTED_VALUE"""),0.966)</f>
        <v>0.966</v>
      </c>
      <c r="Q210" s="697" t="str">
        <f>IFERROR(__xludf.DUMMYFUNCTION("""COMPUTED_VALUE"""),"There are advantages to 2 doses ")</f>
        <v>There are advantages to 2 doses </v>
      </c>
      <c r="R210" s="697"/>
      <c r="S210" s="699" t="str">
        <f>IFERROR(__xludf.DUMMYFUNCTION("""COMPUTED_VALUE"""),"N'Goran, E. K., et al. ""Efficacy and side-effects of two praziquantel treatments against Schistosoma haematobium infection, among schoolchildren from Côte d'Ivoire."" Annals of Tropical Medicine &amp; Parasitology 97.1 (2003): 37-51.")</f>
        <v>N'Goran, E. K., et al. "Efficacy and side-effects of two praziquantel treatments against Schistosoma haematobium infection, among schoolchildren from Côte d'Ivoire." Annals of Tropical Medicine &amp; Parasitology 97.1 (2003): 37-51.</v>
      </c>
      <c r="T210" s="697"/>
      <c r="U210" s="697" t="str">
        <f>IFERROR(__xludf.DUMMYFUNCTION("""COMPUTED_VALUE"""),"")</f>
        <v/>
      </c>
      <c r="V210" s="697">
        <f>IFERROR(__xludf.DUMMYFUNCTION("""COMPUTED_VALUE"""),210.0)</f>
        <v>210</v>
      </c>
    </row>
    <row r="211">
      <c r="A211" s="697" t="str">
        <f>IFERROR(__xludf.DUMMYFUNCTION("""COMPUTED_VALUE"""),"Abu-Elyazeed")</f>
        <v>Abu-Elyazeed</v>
      </c>
      <c r="B211" s="697" t="str">
        <f>IFERROR(__xludf.DUMMYFUNCTION("""COMPUTED_VALUE"""),"s.mansoni")</f>
        <v>s.mansoni</v>
      </c>
      <c r="C211" s="697" t="str">
        <f>IFERROR(__xludf.DUMMYFUNCTION("""COMPUTED_VALUE"""),"Egypt")</f>
        <v>Egypt</v>
      </c>
      <c r="D211" s="697" t="str">
        <f>IFERROR(__xludf.DUMMYFUNCTION("""COMPUTED_VALUE"""),"Praziquantel")</f>
        <v>Praziquantel</v>
      </c>
      <c r="E211" s="697" t="str">
        <f>IFERROR(__xludf.DUMMYFUNCTION("""COMPUTED_VALUE"""),"Single")</f>
        <v>Single</v>
      </c>
      <c r="F211" s="697" t="str">
        <f>IFERROR(__xludf.DUMMYFUNCTION("""COMPUTED_VALUE"""),"40mg/kg")</f>
        <v>40mg/kg</v>
      </c>
      <c r="G211" s="697">
        <f>IFERROR(__xludf.DUMMYFUNCTION("""COMPUTED_VALUE"""),574.0)</f>
        <v>574</v>
      </c>
      <c r="H211" s="697" t="str">
        <f>IFERROR(__xludf.DUMMYFUNCTION("""COMPUTED_VALUE"""),"5-50")</f>
        <v>5-50</v>
      </c>
      <c r="I211" s="705" t="str">
        <f>IFERROR(__xludf.DUMMYFUNCTION("""COMPUTED_VALUE"""),"MF")</f>
        <v>MF</v>
      </c>
      <c r="J211" s="697">
        <f>IFERROR(__xludf.DUMMYFUNCTION("""COMPUTED_VALUE"""),1993.0)</f>
        <v>1993</v>
      </c>
      <c r="K211" s="697"/>
      <c r="L211" s="697" t="str">
        <f>IFERROR(__xludf.DUMMYFUNCTION("""COMPUTED_VALUE"""),"No")</f>
        <v>No</v>
      </c>
      <c r="M211" s="697" t="str">
        <f>IFERROR(__xludf.DUMMYFUNCTION("""COMPUTED_VALUE"""),"No")</f>
        <v>No</v>
      </c>
      <c r="N211" s="697" t="str">
        <f>IFERROR(__xludf.DUMMYFUNCTION("""COMPUTED_VALUE"""),"Cure rates found by subtracting failure rate")</f>
        <v>Cure rates found by subtracting failure rate</v>
      </c>
      <c r="O211" s="706">
        <f>IFERROR(__xludf.DUMMYFUNCTION("""COMPUTED_VALUE"""),0.855)</f>
        <v>0.855</v>
      </c>
      <c r="P211" s="706">
        <f>IFERROR(__xludf.DUMMYFUNCTION("""COMPUTED_VALUE"""),0.81)</f>
        <v>0.81</v>
      </c>
      <c r="Q211" s="697" t="str">
        <f>IFERROR(__xludf.DUMMYFUNCTION("""COMPUTED_VALUE"""),"We recommend this regimen on an individual basis but not for population treatment, since administration of a single dose of a drug to a population is more practical than two doses given 6 hr apart.")</f>
        <v>We recommend this regimen on an individual basis but not for population treatment, since administration of a single dose of a drug to a population is more practical than two doses given 6 hr apart.</v>
      </c>
      <c r="R211" s="697"/>
      <c r="S211" s="699" t="str">
        <f>IFERROR(__xludf.DUMMYFUNCTION("""COMPUTED_VALUE"""),"Abu-Elyazeed RR, Youssef FG, Merrell BR, El-Gamal RL, El-Khoby TA, Hassanein YA, et al. Praziquantel in the treatment of Schistosoma mansoni infection: comparison of 40 and 60 mg/kg bodyweight regimens. American Journal of Tropical Medicine and Hygiene 19"&amp;"97;56(4):404–7.")</f>
        <v>Abu-Elyazeed RR, Youssef FG, Merrell BR, El-Gamal RL, El-Khoby TA, Hassanein YA, et al. Praziquantel in the treatment of Schistosoma mansoni infection: comparison of 40 and 60 mg/kg bodyweight regimens. American Journal of Tropical Medicine and Hygiene 1997;56(4):404–7.</v>
      </c>
      <c r="T211" s="697"/>
      <c r="U211" s="697" t="str">
        <f>IFERROR(__xludf.DUMMYFUNCTION("""COMPUTED_VALUE"""),"x")</f>
        <v>x</v>
      </c>
      <c r="V211" s="697">
        <f>IFERROR(__xludf.DUMMYFUNCTION("""COMPUTED_VALUE"""),211.0)</f>
        <v>211</v>
      </c>
    </row>
    <row r="212">
      <c r="A212" s="697" t="str">
        <f>IFERROR(__xludf.DUMMYFUNCTION("""COMPUTED_VALUE"""),"Abu-Elyazeed")</f>
        <v>Abu-Elyazeed</v>
      </c>
      <c r="B212" s="697" t="str">
        <f>IFERROR(__xludf.DUMMYFUNCTION("""COMPUTED_VALUE"""),"s.mansoni")</f>
        <v>s.mansoni</v>
      </c>
      <c r="C212" s="697" t="str">
        <f>IFERROR(__xludf.DUMMYFUNCTION("""COMPUTED_VALUE"""),"Egypt")</f>
        <v>Egypt</v>
      </c>
      <c r="D212" s="697" t="str">
        <f>IFERROR(__xludf.DUMMYFUNCTION("""COMPUTED_VALUE"""),"Praziquantel")</f>
        <v>Praziquantel</v>
      </c>
      <c r="E212" s="697" t="str">
        <f>IFERROR(__xludf.DUMMYFUNCTION("""COMPUTED_VALUE"""),"Two")</f>
        <v>Two</v>
      </c>
      <c r="F212" s="697" t="str">
        <f>IFERROR(__xludf.DUMMYFUNCTION("""COMPUTED_VALUE"""),"30mg/kg")</f>
        <v>30mg/kg</v>
      </c>
      <c r="G212" s="697">
        <f>IFERROR(__xludf.DUMMYFUNCTION("""COMPUTED_VALUE"""),401.0)</f>
        <v>401</v>
      </c>
      <c r="H212" s="697" t="str">
        <f>IFERROR(__xludf.DUMMYFUNCTION("""COMPUTED_VALUE"""),"5-50")</f>
        <v>5-50</v>
      </c>
      <c r="I212" s="705" t="str">
        <f>IFERROR(__xludf.DUMMYFUNCTION("""COMPUTED_VALUE"""),"MF")</f>
        <v>MF</v>
      </c>
      <c r="J212" s="697">
        <f>IFERROR(__xludf.DUMMYFUNCTION("""COMPUTED_VALUE"""),1993.0)</f>
        <v>1993</v>
      </c>
      <c r="K212" s="697"/>
      <c r="L212" s="697" t="str">
        <f>IFERROR(__xludf.DUMMYFUNCTION("""COMPUTED_VALUE"""),"No")</f>
        <v>No</v>
      </c>
      <c r="M212" s="697" t="str">
        <f>IFERROR(__xludf.DUMMYFUNCTION("""COMPUTED_VALUE"""),"No")</f>
        <v>No</v>
      </c>
      <c r="N212" s="697" t="str">
        <f>IFERROR(__xludf.DUMMYFUNCTION("""COMPUTED_VALUE"""),"Cure rates found by subtracting failure rate")</f>
        <v>Cure rates found by subtracting failure rate</v>
      </c>
      <c r="O212" s="706">
        <f>IFERROR(__xludf.DUMMYFUNCTION("""COMPUTED_VALUE"""),0.959)</f>
        <v>0.959</v>
      </c>
      <c r="P212" s="706">
        <f>IFERROR(__xludf.DUMMYFUNCTION("""COMPUTED_VALUE"""),0.814)</f>
        <v>0.814</v>
      </c>
      <c r="Q212" s="697" t="str">
        <f>IFERROR(__xludf.DUMMYFUNCTION("""COMPUTED_VALUE"""),"We recommend this regimen on an individual basis but not for population treatment, since administration of a single dose of a drug to a population is more practical than two doses given 6 hr apart.")</f>
        <v>We recommend this regimen on an individual basis but not for population treatment, since administration of a single dose of a drug to a population is more practical than two doses given 6 hr apart.</v>
      </c>
      <c r="R212" s="697"/>
      <c r="S212" s="699" t="str">
        <f>IFERROR(__xludf.DUMMYFUNCTION("""COMPUTED_VALUE"""),"Abu-Elyazeed RR, Youssef FG, Merrell BR, El-Gamal RL, El-Khoby TA, Hassanein YA, et al. Praziquantel in the treatment of Schistosoma mansoni infection: comparison of 40 and 60 mg/kg bodyweight regimens. American Journal of Tropical Medicine and Hygiene 19"&amp;"97;56(4):404–7.")</f>
        <v>Abu-Elyazeed RR, Youssef FG, Merrell BR, El-Gamal RL, El-Khoby TA, Hassanein YA, et al. Praziquantel in the treatment of Schistosoma mansoni infection: comparison of 40 and 60 mg/kg bodyweight regimens. American Journal of Tropical Medicine and Hygiene 1997;56(4):404–7.</v>
      </c>
      <c r="T212" s="697"/>
      <c r="U212" s="697" t="str">
        <f>IFERROR(__xludf.DUMMYFUNCTION("""COMPUTED_VALUE"""),"x")</f>
        <v>x</v>
      </c>
      <c r="V212" s="697">
        <f>IFERROR(__xludf.DUMMYFUNCTION("""COMPUTED_VALUE"""),212.0)</f>
        <v>212</v>
      </c>
    </row>
    <row r="213">
      <c r="A213" s="697" t="str">
        <f>IFERROR(__xludf.DUMMYFUNCTION("""COMPUTED_VALUE"""),"Al Aska 1990")</f>
        <v>Al Aska 1990</v>
      </c>
      <c r="B213" s="697" t="str">
        <f>IFERROR(__xludf.DUMMYFUNCTION("""COMPUTED_VALUE"""),"s.mansoni")</f>
        <v>s.mansoni</v>
      </c>
      <c r="C213" s="697" t="str">
        <f>IFERROR(__xludf.DUMMYFUNCTION("""COMPUTED_VALUE"""),"Saudi Arabia")</f>
        <v>Saudi Arabia</v>
      </c>
      <c r="D213" s="697" t="str">
        <f>IFERROR(__xludf.DUMMYFUNCTION("""COMPUTED_VALUE"""),"Oxamniquine")</f>
        <v>Oxamniquine</v>
      </c>
      <c r="E213" s="697" t="str">
        <f>IFERROR(__xludf.DUMMYFUNCTION("""COMPUTED_VALUE"""),"Single")</f>
        <v>Single</v>
      </c>
      <c r="F213" s="697" t="str">
        <f>IFERROR(__xludf.DUMMYFUNCTION("""COMPUTED_VALUE"""),"25mg/kg")</f>
        <v>25mg/kg</v>
      </c>
      <c r="G213" s="697">
        <f>IFERROR(__xludf.DUMMYFUNCTION("""COMPUTED_VALUE"""),100.0)</f>
        <v>100</v>
      </c>
      <c r="H213" s="705" t="str">
        <f>IFERROR(__xludf.DUMMYFUNCTION("""COMPUTED_VALUE"""),"10-63")</f>
        <v>10-63</v>
      </c>
      <c r="I213" s="697" t="str">
        <f>IFERROR(__xludf.DUMMYFUNCTION("""COMPUTED_VALUE"""),"MF")</f>
        <v>MF</v>
      </c>
      <c r="J213" s="697">
        <f>IFERROR(__xludf.DUMMYFUNCTION("""COMPUTED_VALUE"""),1990.0)</f>
        <v>1990</v>
      </c>
      <c r="K213" s="697" t="str">
        <f>IFERROR(__xludf.DUMMYFUNCTION("""COMPUTED_VALUE"""),"Inclusion criteria: patients aged 10 to 63 years (mean: 26 years) with chronic S. mansoni infection with no previous treatment history")</f>
        <v>Inclusion criteria: patients aged 10 to 63 years (mean: 26 years) with chronic S. mansoni infection with no previous treatment history</v>
      </c>
      <c r="L213" s="697" t="str">
        <f>IFERROR(__xludf.DUMMYFUNCTION("""COMPUTED_VALUE"""),"No")</f>
        <v>No</v>
      </c>
      <c r="M213" s="697" t="str">
        <f>IFERROR(__xludf.DUMMYFUNCTION("""COMPUTED_VALUE"""),"Yes")</f>
        <v>Yes</v>
      </c>
      <c r="N213" s="697" t="str">
        <f>IFERROR(__xludf.DUMMYFUNCTION("""COMPUTED_VALUE"""),"Cure rate at 6 months")</f>
        <v>Cure rate at 6 months</v>
      </c>
      <c r="O213" s="706">
        <f>IFERROR(__xludf.DUMMYFUNCTION("""COMPUTED_VALUE"""),0.91)</f>
        <v>0.91</v>
      </c>
      <c r="P213" s="697"/>
      <c r="Q213" s="697" t="str">
        <f>IFERROR(__xludf.DUMMYFUNCTION("""COMPUTED_VALUE"""),"Praziquantel and oxamniquine in doses as stated are effective against schistomial strains.")</f>
        <v>Praziquantel and oxamniquine in doses as stated are effective against schistomial strains.</v>
      </c>
      <c r="R213" s="697"/>
      <c r="S213" s="699" t="str">
        <f>IFERROR(__xludf.DUMMYFUNCTION("""COMPUTED_VALUE"""),"Al-Aska AK, Al-Mofleh IA, Al-Rashed R, Hafez MA, Al- Nozha M, Abu-Aisha H, et al. Praziquantel, oxamniquine, and metrifonate in the treatment of schistosomiasis in Riyadh. Annals of Saudi Medicine 1990;10(3):296–8.")</f>
        <v>Al-Aska AK, Al-Mofleh IA, Al-Rashed R, Hafez MA, Al- Nozha M, Abu-Aisha H, et al. Praziquantel, oxamniquine, and metrifonate in the treatment of schistosomiasis in Riyadh. Annals of Saudi Medicine 1990;10(3):296–8.</v>
      </c>
      <c r="T213" s="697"/>
      <c r="U213" s="697" t="str">
        <f>IFERROR(__xludf.DUMMYFUNCTION("""COMPUTED_VALUE"""),"")</f>
        <v/>
      </c>
      <c r="V213" s="697">
        <f>IFERROR(__xludf.DUMMYFUNCTION("""COMPUTED_VALUE"""),213.0)</f>
        <v>213</v>
      </c>
    </row>
    <row r="214">
      <c r="A214" s="697" t="str">
        <f>IFERROR(__xludf.DUMMYFUNCTION("""COMPUTED_VALUE"""),"Al Aska 1990")</f>
        <v>Al Aska 1990</v>
      </c>
      <c r="B214" s="697" t="str">
        <f>IFERROR(__xludf.DUMMYFUNCTION("""COMPUTED_VALUE"""),"s.mansoni")</f>
        <v>s.mansoni</v>
      </c>
      <c r="C214" s="697" t="str">
        <f>IFERROR(__xludf.DUMMYFUNCTION("""COMPUTED_VALUE"""),"Saudi Arabia")</f>
        <v>Saudi Arabia</v>
      </c>
      <c r="D214" s="697" t="str">
        <f>IFERROR(__xludf.DUMMYFUNCTION("""COMPUTED_VALUE"""),"Praziquantel")</f>
        <v>Praziquantel</v>
      </c>
      <c r="E214" s="697" t="str">
        <f>IFERROR(__xludf.DUMMYFUNCTION("""COMPUTED_VALUE"""),"Single")</f>
        <v>Single</v>
      </c>
      <c r="F214" s="697" t="str">
        <f>IFERROR(__xludf.DUMMYFUNCTION("""COMPUTED_VALUE"""),"40 mg/kg")</f>
        <v>40 mg/kg</v>
      </c>
      <c r="G214" s="702">
        <f>IFERROR(__xludf.DUMMYFUNCTION("""COMPUTED_VALUE"""),100.0)</f>
        <v>100</v>
      </c>
      <c r="H214" s="705" t="str">
        <f>IFERROR(__xludf.DUMMYFUNCTION("""COMPUTED_VALUE"""),"10-63")</f>
        <v>10-63</v>
      </c>
      <c r="I214" s="697" t="str">
        <f>IFERROR(__xludf.DUMMYFUNCTION("""COMPUTED_VALUE"""),"MF")</f>
        <v>MF</v>
      </c>
      <c r="J214" s="697">
        <f>IFERROR(__xludf.DUMMYFUNCTION("""COMPUTED_VALUE"""),1990.0)</f>
        <v>1990</v>
      </c>
      <c r="K214" s="697" t="str">
        <f>IFERROR(__xludf.DUMMYFUNCTION("""COMPUTED_VALUE"""),"Inclusion criteria: patients aged 10 to 63 years (mean: 26 years) with chronic S. mansoni infection with no previous treatment history")</f>
        <v>Inclusion criteria: patients aged 10 to 63 years (mean: 26 years) with chronic S. mansoni infection with no previous treatment history</v>
      </c>
      <c r="L214" s="697" t="str">
        <f>IFERROR(__xludf.DUMMYFUNCTION("""COMPUTED_VALUE"""),"No")</f>
        <v>No</v>
      </c>
      <c r="M214" s="697" t="str">
        <f>IFERROR(__xludf.DUMMYFUNCTION("""COMPUTED_VALUE"""),"Yes")</f>
        <v>Yes</v>
      </c>
      <c r="N214" s="697" t="str">
        <f>IFERROR(__xludf.DUMMYFUNCTION("""COMPUTED_VALUE"""),"Cure rate at 6 months")</f>
        <v>Cure rate at 6 months</v>
      </c>
      <c r="O214" s="706">
        <f>IFERROR(__xludf.DUMMYFUNCTION("""COMPUTED_VALUE"""),0.96)</f>
        <v>0.96</v>
      </c>
      <c r="P214" s="697"/>
      <c r="Q214" s="697" t="str">
        <f>IFERROR(__xludf.DUMMYFUNCTION("""COMPUTED_VALUE"""),"Praziquantel and oxamniquine in doses as stated are effective against schistomial strains.")</f>
        <v>Praziquantel and oxamniquine in doses as stated are effective against schistomial strains.</v>
      </c>
      <c r="R214" s="697"/>
      <c r="S214" s="699" t="str">
        <f>IFERROR(__xludf.DUMMYFUNCTION("""COMPUTED_VALUE"""),"Al-Aska AK, Al-Mofleh IA, Al-Rashed R, Hafez MA, Al- Nozha M, Abu-Aisha H, et al. Praziquantel, oxamniquine, and metrifonate in the treatment of schistosomiasis in Riyadh. Annals of Saudi Medicine 1990;10(3):296–8.")</f>
        <v>Al-Aska AK, Al-Mofleh IA, Al-Rashed R, Hafez MA, Al- Nozha M, Abu-Aisha H, et al. Praziquantel, oxamniquine, and metrifonate in the treatment of schistosomiasis in Riyadh. Annals of Saudi Medicine 1990;10(3):296–8.</v>
      </c>
      <c r="T214" s="697"/>
      <c r="U214" s="697" t="str">
        <f>IFERROR(__xludf.DUMMYFUNCTION("""COMPUTED_VALUE"""),"")</f>
        <v/>
      </c>
      <c r="V214" s="697">
        <f>IFERROR(__xludf.DUMMYFUNCTION("""COMPUTED_VALUE"""),214.0)</f>
        <v>214</v>
      </c>
    </row>
    <row r="215">
      <c r="A215" s="697" t="str">
        <f>IFERROR(__xludf.DUMMYFUNCTION("""COMPUTED_VALUE"""),"Al Aska 1990")</f>
        <v>Al Aska 1990</v>
      </c>
      <c r="B215" s="697" t="str">
        <f>IFERROR(__xludf.DUMMYFUNCTION("""COMPUTED_VALUE"""),"s.haematobium")</f>
        <v>s.haematobium</v>
      </c>
      <c r="C215" s="697" t="str">
        <f>IFERROR(__xludf.DUMMYFUNCTION("""COMPUTED_VALUE"""),"Saudi Arabia")</f>
        <v>Saudi Arabia</v>
      </c>
      <c r="D215" s="697" t="str">
        <f>IFERROR(__xludf.DUMMYFUNCTION("""COMPUTED_VALUE"""),"Praziquantel")</f>
        <v>Praziquantel</v>
      </c>
      <c r="E215" s="697" t="str">
        <f>IFERROR(__xludf.DUMMYFUNCTION("""COMPUTED_VALUE"""),"Single")</f>
        <v>Single</v>
      </c>
      <c r="F215" s="697" t="str">
        <f>IFERROR(__xludf.DUMMYFUNCTION("""COMPUTED_VALUE"""),"41 mg/kg")</f>
        <v>41 mg/kg</v>
      </c>
      <c r="G215" s="702">
        <f>IFERROR(__xludf.DUMMYFUNCTION("""COMPUTED_VALUE"""),50.0)</f>
        <v>50</v>
      </c>
      <c r="H215" s="705" t="str">
        <f>IFERROR(__xludf.DUMMYFUNCTION("""COMPUTED_VALUE"""),"10-64")</f>
        <v>10-64</v>
      </c>
      <c r="I215" s="697" t="str">
        <f>IFERROR(__xludf.DUMMYFUNCTION("""COMPUTED_VALUE"""),"MF")</f>
        <v>MF</v>
      </c>
      <c r="J215" s="697">
        <f>IFERROR(__xludf.DUMMYFUNCTION("""COMPUTED_VALUE"""),1990.0)</f>
        <v>1990</v>
      </c>
      <c r="K215" s="697" t="str">
        <f>IFERROR(__xludf.DUMMYFUNCTION("""COMPUTED_VALUE"""),"Inclusion criteria: patients aged 10 to 63 years (mean: 26 years) with chronic S. mansoni infection with no previous treatment history")</f>
        <v>Inclusion criteria: patients aged 10 to 63 years (mean: 26 years) with chronic S. mansoni infection with no previous treatment history</v>
      </c>
      <c r="L215" s="697" t="str">
        <f>IFERROR(__xludf.DUMMYFUNCTION("""COMPUTED_VALUE"""),"No")</f>
        <v>No</v>
      </c>
      <c r="M215" s="697" t="str">
        <f>IFERROR(__xludf.DUMMYFUNCTION("""COMPUTED_VALUE"""),"Yes")</f>
        <v>Yes</v>
      </c>
      <c r="N215" s="697" t="str">
        <f>IFERROR(__xludf.DUMMYFUNCTION("""COMPUTED_VALUE"""),"Cure rate at 6 months")</f>
        <v>Cure rate at 6 months</v>
      </c>
      <c r="O215" s="697" t="str">
        <f>IFERROR(__xludf.DUMMYFUNCTION("""COMPUTED_VALUE"""),"98%%")</f>
        <v>98%%</v>
      </c>
      <c r="P215" s="697"/>
      <c r="Q215" s="697" t="str">
        <f>IFERROR(__xludf.DUMMYFUNCTION("""COMPUTED_VALUE"""),"Praziquantel and oxamniquine in doses as stated are effective against schistomial strains.")</f>
        <v>Praziquantel and oxamniquine in doses as stated are effective against schistomial strains.</v>
      </c>
      <c r="R215" s="697"/>
      <c r="S215" s="699" t="str">
        <f>IFERROR(__xludf.DUMMYFUNCTION("""COMPUTED_VALUE"""),"Al-Aska AK, Al-Mofleh IA, Al-Rashed R, Hafez MA, Al- Nozha M, Abu-Aisha H, et al. Praziquantel, oxamniquine, and metrifonate in the treatment of schistosomiasis in Riyadh. Annals of Saudi Medicine 1990;10(3):296–8.")</f>
        <v>Al-Aska AK, Al-Mofleh IA, Al-Rashed R, Hafez MA, Al- Nozha M, Abu-Aisha H, et al. Praziquantel, oxamniquine, and metrifonate in the treatment of schistosomiasis in Riyadh. Annals of Saudi Medicine 1990;10(3):296–8.</v>
      </c>
      <c r="T215" s="697"/>
      <c r="U215" s="697" t="str">
        <f>IFERROR(__xludf.DUMMYFUNCTION("""COMPUTED_VALUE"""),"")</f>
        <v/>
      </c>
      <c r="V215" s="697">
        <f>IFERROR(__xludf.DUMMYFUNCTION("""COMPUTED_VALUE"""),215.0)</f>
        <v>215</v>
      </c>
    </row>
    <row r="216">
      <c r="A216" s="697" t="str">
        <f>IFERROR(__xludf.DUMMYFUNCTION("""COMPUTED_VALUE"""),"Ayele 1986")</f>
        <v>Ayele 1986</v>
      </c>
      <c r="B216" s="697" t="str">
        <f>IFERROR(__xludf.DUMMYFUNCTION("""COMPUTED_VALUE"""),"s.mansoni")</f>
        <v>s.mansoni</v>
      </c>
      <c r="C216" s="697" t="str">
        <f>IFERROR(__xludf.DUMMYFUNCTION("""COMPUTED_VALUE"""),"Ethiopia")</f>
        <v>Ethiopia</v>
      </c>
      <c r="D216" s="697" t="str">
        <f>IFERROR(__xludf.DUMMYFUNCTION("""COMPUTED_VALUE"""),"Oxamniquine")</f>
        <v>Oxamniquine</v>
      </c>
      <c r="E216" s="697" t="str">
        <f>IFERROR(__xludf.DUMMYFUNCTION("""COMPUTED_VALUE"""),"Two")</f>
        <v>Two</v>
      </c>
      <c r="F216" s="697" t="str">
        <f>IFERROR(__xludf.DUMMYFUNCTION("""COMPUTED_VALUE"""),"15 mg/kg for two days")</f>
        <v>15 mg/kg for two days</v>
      </c>
      <c r="G216" s="697">
        <f>IFERROR(__xludf.DUMMYFUNCTION("""COMPUTED_VALUE"""),40.0)</f>
        <v>40</v>
      </c>
      <c r="H216" s="705" t="str">
        <f>IFERROR(__xludf.DUMMYFUNCTION("""COMPUTED_VALUE"""),"&lt;15 ")</f>
        <v>&lt;15 </v>
      </c>
      <c r="I216" s="697" t="str">
        <f>IFERROR(__xludf.DUMMYFUNCTION("""COMPUTED_VALUE"""),"N/A")</f>
        <v>N/A</v>
      </c>
      <c r="J216" s="697">
        <f>IFERROR(__xludf.DUMMYFUNCTION("""COMPUTED_VALUE"""),1984.0)</f>
        <v>1984</v>
      </c>
      <c r="K216" s="697" t="str">
        <f>IFERROR(__xludf.DUMMYFUNCTION("""COMPUTED_VALUE"""),"Inclusion criteria: children below 15 years of age (specific age range not stated)")</f>
        <v>Inclusion criteria: children below 15 years of age (specific age range not stated)</v>
      </c>
      <c r="L216" s="697" t="str">
        <f>IFERROR(__xludf.DUMMYFUNCTION("""COMPUTED_VALUE"""),"Yes")</f>
        <v>Yes</v>
      </c>
      <c r="M216" s="697" t="str">
        <f>IFERROR(__xludf.DUMMYFUNCTION("""COMPUTED_VALUE"""),"Yes")</f>
        <v>Yes</v>
      </c>
      <c r="N216" s="697" t="str">
        <f>IFERROR(__xludf.DUMMYFUNCTION("""COMPUTED_VALUE"""),"Follow up done at 4months")</f>
        <v>Follow up done at 4months</v>
      </c>
      <c r="O216" s="698">
        <f>IFERROR(__xludf.DUMMYFUNCTION("""COMPUTED_VALUE"""),0.946)</f>
        <v>0.946</v>
      </c>
      <c r="P216" s="700">
        <f>IFERROR(__xludf.DUMMYFUNCTION("""COMPUTED_VALUE"""),0.82)</f>
        <v>0.82</v>
      </c>
      <c r="Q216" s="697" t="str">
        <f>IFERROR(__xludf.DUMMYFUNCTION("""COMPUTED_VALUE"""),"Oxamnine was well tolerated and accepted by the children in this study")</f>
        <v>Oxamnine was well tolerated and accepted by the children in this study</v>
      </c>
      <c r="R216" s="697"/>
      <c r="S216" s="699" t="str">
        <f>IFERROR(__xludf.DUMMYFUNCTION("""COMPUTED_VALUE"""),"Ayele T. Preliminary clinical trial of oral oxamniquine in the treatment of Schistosoma mansoni in children in Ethiopia. East African Medical Journal 1986;63(4):291–4.")</f>
        <v>Ayele T. Preliminary clinical trial of oral oxamniquine in the treatment of Schistosoma mansoni in children in Ethiopia. East African Medical Journal 1986;63(4):291–4.</v>
      </c>
      <c r="T216" s="697"/>
      <c r="U216" s="697" t="str">
        <f>IFERROR(__xludf.DUMMYFUNCTION("""COMPUTED_VALUE"""),"")</f>
        <v/>
      </c>
      <c r="V216" s="697">
        <f>IFERROR(__xludf.DUMMYFUNCTION("""COMPUTED_VALUE"""),216.0)</f>
        <v>216</v>
      </c>
    </row>
    <row r="217">
      <c r="A217" s="697" t="str">
        <f>IFERROR(__xludf.DUMMYFUNCTION("""COMPUTED_VALUE"""),"Ayele 1986")</f>
        <v>Ayele 1986</v>
      </c>
      <c r="B217" s="697" t="str">
        <f>IFERROR(__xludf.DUMMYFUNCTION("""COMPUTED_VALUE"""),"s.mansoni")</f>
        <v>s.mansoni</v>
      </c>
      <c r="C217" s="697" t="str">
        <f>IFERROR(__xludf.DUMMYFUNCTION("""COMPUTED_VALUE"""),"Ethiopia")</f>
        <v>Ethiopia</v>
      </c>
      <c r="D217" s="697" t="str">
        <f>IFERROR(__xludf.DUMMYFUNCTION("""COMPUTED_VALUE"""),"Oxamniquine")</f>
        <v>Oxamniquine</v>
      </c>
      <c r="E217" s="697" t="str">
        <f>IFERROR(__xludf.DUMMYFUNCTION("""COMPUTED_VALUE"""),"Two")</f>
        <v>Two</v>
      </c>
      <c r="F217" s="697" t="str">
        <f>IFERROR(__xludf.DUMMYFUNCTION("""COMPUTED_VALUE"""),"20 mg/kg")</f>
        <v>20 mg/kg</v>
      </c>
      <c r="G217" s="697">
        <f>IFERROR(__xludf.DUMMYFUNCTION("""COMPUTED_VALUE"""),41.0)</f>
        <v>41</v>
      </c>
      <c r="H217" s="705" t="str">
        <f>IFERROR(__xludf.DUMMYFUNCTION("""COMPUTED_VALUE"""),"&lt;15 ")</f>
        <v>&lt;15 </v>
      </c>
      <c r="I217" s="697" t="str">
        <f>IFERROR(__xludf.DUMMYFUNCTION("""COMPUTED_VALUE"""),"N/A")</f>
        <v>N/A</v>
      </c>
      <c r="J217" s="697">
        <f>IFERROR(__xludf.DUMMYFUNCTION("""COMPUTED_VALUE"""),1984.0)</f>
        <v>1984</v>
      </c>
      <c r="K217" s="697" t="str">
        <f>IFERROR(__xludf.DUMMYFUNCTION("""COMPUTED_VALUE"""),"Inclusion criteria: children below 15 years of age (specific age range not stated)")</f>
        <v>Inclusion criteria: children below 15 years of age (specific age range not stated)</v>
      </c>
      <c r="L217" s="697" t="str">
        <f>IFERROR(__xludf.DUMMYFUNCTION("""COMPUTED_VALUE"""),"Yes")</f>
        <v>Yes</v>
      </c>
      <c r="M217" s="697" t="str">
        <f>IFERROR(__xludf.DUMMYFUNCTION("""COMPUTED_VALUE"""),"Yes")</f>
        <v>Yes</v>
      </c>
      <c r="N217" s="697" t="str">
        <f>IFERROR(__xludf.DUMMYFUNCTION("""COMPUTED_VALUE"""),"Follow up done at 4months")</f>
        <v>Follow up done at 4months</v>
      </c>
      <c r="O217" s="698">
        <f>IFERROR(__xludf.DUMMYFUNCTION("""COMPUTED_VALUE"""),0.867)</f>
        <v>0.867</v>
      </c>
      <c r="P217" s="698">
        <f>IFERROR(__xludf.DUMMYFUNCTION("""COMPUTED_VALUE"""),0.427)</f>
        <v>0.427</v>
      </c>
      <c r="Q217" s="697" t="str">
        <f>IFERROR(__xludf.DUMMYFUNCTION("""COMPUTED_VALUE"""),"Oxamnine was well tolerated and accepted by the children in this study")</f>
        <v>Oxamnine was well tolerated and accepted by the children in this study</v>
      </c>
      <c r="R217" s="697"/>
      <c r="S217" s="699" t="str">
        <f>IFERROR(__xludf.DUMMYFUNCTION("""COMPUTED_VALUE"""),"Ayele T. Preliminary clinical trial of oral oxamniquine in the treatment of Schistosoma mansoni in children in Ethiopia. East African Medical Journal 1986;63(4):291–4.")</f>
        <v>Ayele T. Preliminary clinical trial of oral oxamniquine in the treatment of Schistosoma mansoni in children in Ethiopia. East African Medical Journal 1986;63(4):291–4.</v>
      </c>
      <c r="T217" s="697"/>
      <c r="U217" s="697" t="str">
        <f>IFERROR(__xludf.DUMMYFUNCTION("""COMPUTED_VALUE"""),"")</f>
        <v/>
      </c>
      <c r="V217" s="697">
        <f>IFERROR(__xludf.DUMMYFUNCTION("""COMPUTED_VALUE"""),217.0)</f>
        <v>217</v>
      </c>
    </row>
    <row r="218">
      <c r="A218" s="697" t="str">
        <f>IFERROR(__xludf.DUMMYFUNCTION("""COMPUTED_VALUE"""),"Ayele 1986")</f>
        <v>Ayele 1986</v>
      </c>
      <c r="B218" s="697" t="str">
        <f>IFERROR(__xludf.DUMMYFUNCTION("""COMPUTED_VALUE"""),"s.mansoni")</f>
        <v>s.mansoni</v>
      </c>
      <c r="C218" s="697" t="str">
        <f>IFERROR(__xludf.DUMMYFUNCTION("""COMPUTED_VALUE"""),"Ethiopia")</f>
        <v>Ethiopia</v>
      </c>
      <c r="D218" s="697" t="str">
        <f>IFERROR(__xludf.DUMMYFUNCTION("""COMPUTED_VALUE"""),"Oxamniquine")</f>
        <v>Oxamniquine</v>
      </c>
      <c r="E218" s="697" t="str">
        <f>IFERROR(__xludf.DUMMYFUNCTION("""COMPUTED_VALUE"""),"Two")</f>
        <v>Two</v>
      </c>
      <c r="F218" s="697" t="str">
        <f>IFERROR(__xludf.DUMMYFUNCTION("""COMPUTED_VALUE"""),"15 mg/kg")</f>
        <v>15 mg/kg</v>
      </c>
      <c r="G218" s="697">
        <f>IFERROR(__xludf.DUMMYFUNCTION("""COMPUTED_VALUE"""),41.0)</f>
        <v>41</v>
      </c>
      <c r="H218" s="705" t="str">
        <f>IFERROR(__xludf.DUMMYFUNCTION("""COMPUTED_VALUE"""),"&lt;15 ")</f>
        <v>&lt;15 </v>
      </c>
      <c r="I218" s="697" t="str">
        <f>IFERROR(__xludf.DUMMYFUNCTION("""COMPUTED_VALUE"""),"N/A")</f>
        <v>N/A</v>
      </c>
      <c r="J218" s="697">
        <f>IFERROR(__xludf.DUMMYFUNCTION("""COMPUTED_VALUE"""),1984.0)</f>
        <v>1984</v>
      </c>
      <c r="K218" s="697" t="str">
        <f>IFERROR(__xludf.DUMMYFUNCTION("""COMPUTED_VALUE"""),"Inclusion criteria: children below 15 years of age (specific age range not stated)")</f>
        <v>Inclusion criteria: children below 15 years of age (specific age range not stated)</v>
      </c>
      <c r="L218" s="697" t="str">
        <f>IFERROR(__xludf.DUMMYFUNCTION("""COMPUTED_VALUE"""),"Yes")</f>
        <v>Yes</v>
      </c>
      <c r="M218" s="697" t="str">
        <f>IFERROR(__xludf.DUMMYFUNCTION("""COMPUTED_VALUE"""),"Yes")</f>
        <v>Yes</v>
      </c>
      <c r="N218" s="697" t="str">
        <f>IFERROR(__xludf.DUMMYFUNCTION("""COMPUTED_VALUE"""),"Follow up done at 4months")</f>
        <v>Follow up done at 4months</v>
      </c>
      <c r="O218" s="698">
        <f>IFERROR(__xludf.DUMMYFUNCTION("""COMPUTED_VALUE"""),0.759)</f>
        <v>0.759</v>
      </c>
      <c r="P218" s="698">
        <f>IFERROR(__xludf.DUMMYFUNCTION("""COMPUTED_VALUE"""),0.681)</f>
        <v>0.681</v>
      </c>
      <c r="Q218" s="697" t="str">
        <f>IFERROR(__xludf.DUMMYFUNCTION("""COMPUTED_VALUE"""),"Oxamnine was well tolerated and accepted by the children in this study")</f>
        <v>Oxamnine was well tolerated and accepted by the children in this study</v>
      </c>
      <c r="R218" s="697"/>
      <c r="S218" s="699" t="str">
        <f>IFERROR(__xludf.DUMMYFUNCTION("""COMPUTED_VALUE"""),"Ayele T. Preliminary clinical trial of oral oxamniquine in the treatment of Schistosoma mansoni in children in Ethiopia. East African Medical Journal 1986;63(4):291–4.")</f>
        <v>Ayele T. Preliminary clinical trial of oral oxamniquine in the treatment of Schistosoma mansoni in children in Ethiopia. East African Medical Journal 1986;63(4):291–4.</v>
      </c>
      <c r="T218" s="697"/>
      <c r="U218" s="697" t="str">
        <f>IFERROR(__xludf.DUMMYFUNCTION("""COMPUTED_VALUE"""),"")</f>
        <v/>
      </c>
      <c r="V218" s="697">
        <f>IFERROR(__xludf.DUMMYFUNCTION("""COMPUTED_VALUE"""),218.0)</f>
        <v>218</v>
      </c>
    </row>
    <row r="219">
      <c r="A219" s="697" t="str">
        <f>IFERROR(__xludf.DUMMYFUNCTION("""COMPUTED_VALUE"""),"Fernandes 1986")</f>
        <v>Fernandes 1986</v>
      </c>
      <c r="B219" s="697" t="str">
        <f>IFERROR(__xludf.DUMMYFUNCTION("""COMPUTED_VALUE"""),"s.mansoni")</f>
        <v>s.mansoni</v>
      </c>
      <c r="C219" s="697" t="str">
        <f>IFERROR(__xludf.DUMMYFUNCTION("""COMPUTED_VALUE"""),"Brazil")</f>
        <v>Brazil</v>
      </c>
      <c r="D219" s="697" t="str">
        <f>IFERROR(__xludf.DUMMYFUNCTION("""COMPUTED_VALUE"""),"Praziquantel")</f>
        <v>Praziquantel</v>
      </c>
      <c r="E219" s="697" t="str">
        <f>IFERROR(__xludf.DUMMYFUNCTION("""COMPUTED_VALUE"""),"Single")</f>
        <v>Single</v>
      </c>
      <c r="F219" s="697" t="str">
        <f>IFERROR(__xludf.DUMMYFUNCTION("""COMPUTED_VALUE"""),"70 mg/kg")</f>
        <v>70 mg/kg</v>
      </c>
      <c r="G219" s="697"/>
      <c r="H219" s="705" t="str">
        <f>IFERROR(__xludf.DUMMYFUNCTION("""COMPUTED_VALUE"""),"15-72")</f>
        <v>15-72</v>
      </c>
      <c r="I219" s="697"/>
      <c r="J219" s="697">
        <f>IFERROR(__xludf.DUMMYFUNCTION("""COMPUTED_VALUE"""),2003.0)</f>
        <v>2003</v>
      </c>
      <c r="K219" s="697" t="str">
        <f>IFERROR(__xludf.DUMMYFUNCTION("""COMPUTED_VALUE"""),"Inclusion criteria: patients aged 15 to 72 years excreting more than 100 to 2,500 EPG of S. mansoni were included")</f>
        <v>Inclusion criteria: patients aged 15 to 72 years excreting more than 100 to 2,500 EPG of S. mansoni were included</v>
      </c>
      <c r="L219" s="697" t="str">
        <f>IFERROR(__xludf.DUMMYFUNCTION("""COMPUTED_VALUE"""),"No")</f>
        <v>No</v>
      </c>
      <c r="M219" s="697" t="str">
        <f>IFERROR(__xludf.DUMMYFUNCTION("""COMPUTED_VALUE"""),"Yes")</f>
        <v>Yes</v>
      </c>
      <c r="N219" s="697"/>
      <c r="O219" s="697"/>
      <c r="P219" s="697"/>
      <c r="Q219" s="697"/>
      <c r="R219" s="697"/>
      <c r="S219" s="699" t="str">
        <f>IFERROR(__xludf.DUMMYFUNCTION("""COMPUTED_VALUE"""),"Fernandes P, Oliveira CC. Efficacy of two regimes of praziquantel versus oxamniquine [Estudo comparativo da eficacia do praziquantel, em dois esquemas posologicos, e da oxaminiquina no tratamento da esquistossomose mansonica]. Folha Medica 1986;93(5-6):38"&amp;"9–93.")</f>
        <v>Fernandes P, Oliveira CC. Efficacy of two regimes of praziquantel versus oxamniquine [Estudo comparativo da eficacia do praziquantel, em dois esquemas posologicos, e da oxaminiquina no tratamento da esquistossomose mansonica]. Folha Medica 1986;93(5-6):389–93.</v>
      </c>
      <c r="T219" s="697"/>
      <c r="U219" s="697" t="str">
        <f>IFERROR(__xludf.DUMMYFUNCTION("""COMPUTED_VALUE"""),"")</f>
        <v/>
      </c>
      <c r="V219" s="697">
        <f>IFERROR(__xludf.DUMMYFUNCTION("""COMPUTED_VALUE"""),219.0)</f>
        <v>219</v>
      </c>
    </row>
    <row r="220">
      <c r="A220" s="697" t="str">
        <f>IFERROR(__xludf.DUMMYFUNCTION("""COMPUTED_VALUE"""),"Fernandes 1986")</f>
        <v>Fernandes 1986</v>
      </c>
      <c r="B220" s="697" t="str">
        <f>IFERROR(__xludf.DUMMYFUNCTION("""COMPUTED_VALUE"""),"s.mansoni")</f>
        <v>s.mansoni</v>
      </c>
      <c r="C220" s="697" t="str">
        <f>IFERROR(__xludf.DUMMYFUNCTION("""COMPUTED_VALUE"""),"Brazil")</f>
        <v>Brazil</v>
      </c>
      <c r="D220" s="697" t="str">
        <f>IFERROR(__xludf.DUMMYFUNCTION("""COMPUTED_VALUE"""),"Praziquantel")</f>
        <v>Praziquantel</v>
      </c>
      <c r="E220" s="697" t="str">
        <f>IFERROR(__xludf.DUMMYFUNCTION("""COMPUTED_VALUE"""),"Two")</f>
        <v>Two</v>
      </c>
      <c r="F220" s="697" t="str">
        <f>IFERROR(__xludf.DUMMYFUNCTION("""COMPUTED_VALUE"""),"35 mg/kg")</f>
        <v>35 mg/kg</v>
      </c>
      <c r="G220" s="697"/>
      <c r="H220" s="705" t="str">
        <f>IFERROR(__xludf.DUMMYFUNCTION("""COMPUTED_VALUE"""),"15-72")</f>
        <v>15-72</v>
      </c>
      <c r="I220" s="697"/>
      <c r="J220" s="697">
        <f>IFERROR(__xludf.DUMMYFUNCTION("""COMPUTED_VALUE"""),2003.0)</f>
        <v>2003</v>
      </c>
      <c r="K220" s="697" t="str">
        <f>IFERROR(__xludf.DUMMYFUNCTION("""COMPUTED_VALUE"""),"Inclusion criteria: patients aged 15 to 72 years excreting more than 100 to 2,500 EPG of S. mansoni were included")</f>
        <v>Inclusion criteria: patients aged 15 to 72 years excreting more than 100 to 2,500 EPG of S. mansoni were included</v>
      </c>
      <c r="L220" s="697" t="str">
        <f>IFERROR(__xludf.DUMMYFUNCTION("""COMPUTED_VALUE"""),"No")</f>
        <v>No</v>
      </c>
      <c r="M220" s="697" t="str">
        <f>IFERROR(__xludf.DUMMYFUNCTION("""COMPUTED_VALUE"""),"Yes")</f>
        <v>Yes</v>
      </c>
      <c r="N220" s="697"/>
      <c r="O220" s="697"/>
      <c r="P220" s="697"/>
      <c r="Q220" s="697"/>
      <c r="R220" s="697"/>
      <c r="S220" s="697" t="str">
        <f>IFERROR(__xludf.DUMMYFUNCTION("""COMPUTED_VALUE"""),"Fernandes P, Oliveira CC. Efficacy of two regimes of praziquantel versus oxamniquine [Estudo comparativo da eficacia do praziquantel, em dois esquemas posologicos, e da oxaminiquina no tratamento da esquistossomose mansonica]. Folha Medica 1986;93(5-6):38"&amp;"9–93.")</f>
        <v>Fernandes P, Oliveira CC. Efficacy of two regimes of praziquantel versus oxamniquine [Estudo comparativo da eficacia do praziquantel, em dois esquemas posologicos, e da oxaminiquina no tratamento da esquistossomose mansonica]. Folha Medica 1986;93(5-6):389–93.</v>
      </c>
      <c r="T220" s="697"/>
      <c r="U220" s="697" t="str">
        <f>IFERROR(__xludf.DUMMYFUNCTION("""COMPUTED_VALUE"""),"")</f>
        <v/>
      </c>
      <c r="V220" s="697">
        <f>IFERROR(__xludf.DUMMYFUNCTION("""COMPUTED_VALUE"""),220.0)</f>
        <v>220</v>
      </c>
    </row>
    <row r="221">
      <c r="A221" s="697" t="str">
        <f>IFERROR(__xludf.DUMMYFUNCTION("""COMPUTED_VALUE"""),"Fernandes 1986")</f>
        <v>Fernandes 1986</v>
      </c>
      <c r="B221" s="697" t="str">
        <f>IFERROR(__xludf.DUMMYFUNCTION("""COMPUTED_VALUE"""),"s.mansoni")</f>
        <v>s.mansoni</v>
      </c>
      <c r="C221" s="697" t="str">
        <f>IFERROR(__xludf.DUMMYFUNCTION("""COMPUTED_VALUE"""),"Brazil")</f>
        <v>Brazil</v>
      </c>
      <c r="D221" s="697" t="str">
        <f>IFERROR(__xludf.DUMMYFUNCTION("""COMPUTED_VALUE"""),"Oxamniquine")</f>
        <v>Oxamniquine</v>
      </c>
      <c r="E221" s="697" t="str">
        <f>IFERROR(__xludf.DUMMYFUNCTION("""COMPUTED_VALUE"""),"Single")</f>
        <v>Single</v>
      </c>
      <c r="F221" s="697" t="str">
        <f>IFERROR(__xludf.DUMMYFUNCTION("""COMPUTED_VALUE"""),"15 mg/kg")</f>
        <v>15 mg/kg</v>
      </c>
      <c r="G221" s="697"/>
      <c r="H221" s="705" t="str">
        <f>IFERROR(__xludf.DUMMYFUNCTION("""COMPUTED_VALUE"""),"15-72")</f>
        <v>15-72</v>
      </c>
      <c r="I221" s="697"/>
      <c r="J221" s="697">
        <f>IFERROR(__xludf.DUMMYFUNCTION("""COMPUTED_VALUE"""),2003.0)</f>
        <v>2003</v>
      </c>
      <c r="K221" s="697" t="str">
        <f>IFERROR(__xludf.DUMMYFUNCTION("""COMPUTED_VALUE"""),"Inclusion criteria: patients aged 15 to 72 years excreting more than 100 to 2,500 EPG of S. mansoni were included")</f>
        <v>Inclusion criteria: patients aged 15 to 72 years excreting more than 100 to 2,500 EPG of S. mansoni were included</v>
      </c>
      <c r="L221" s="697" t="str">
        <f>IFERROR(__xludf.DUMMYFUNCTION("""COMPUTED_VALUE"""),"No")</f>
        <v>No</v>
      </c>
      <c r="M221" s="697" t="str">
        <f>IFERROR(__xludf.DUMMYFUNCTION("""COMPUTED_VALUE"""),"Yes")</f>
        <v>Yes</v>
      </c>
      <c r="N221" s="697"/>
      <c r="O221" s="697"/>
      <c r="P221" s="697"/>
      <c r="Q221" s="697"/>
      <c r="R221" s="697"/>
      <c r="S221" s="697" t="str">
        <f>IFERROR(__xludf.DUMMYFUNCTION("""COMPUTED_VALUE"""),"Fernandes P, Oliveira CC. Efficacy of two regimes of praziquantel versus oxamniquine [Estudo comparativo da eficacia do praziquantel, em dois esquemas posologicos, e da oxaminiquina no tratamento da esquistossomose mansonica]. Folha Medica 1986;93(5-6):38"&amp;"9–93.")</f>
        <v>Fernandes P, Oliveira CC. Efficacy of two regimes of praziquantel versus oxamniquine [Estudo comparativo da eficacia do praziquantel, em dois esquemas posologicos, e da oxaminiquina no tratamento da esquistossomose mansonica]. Folha Medica 1986;93(5-6):389–93.</v>
      </c>
      <c r="T221" s="697"/>
      <c r="U221" s="697" t="str">
        <f>IFERROR(__xludf.DUMMYFUNCTION("""COMPUTED_VALUE"""),"")</f>
        <v/>
      </c>
      <c r="V221" s="697">
        <f>IFERROR(__xludf.DUMMYFUNCTION("""COMPUTED_VALUE"""),221.0)</f>
        <v>221</v>
      </c>
    </row>
    <row r="222">
      <c r="A222" s="697" t="str">
        <f>IFERROR(__xludf.DUMMYFUNCTION("""COMPUTED_VALUE"""),"Homeida 1989")</f>
        <v>Homeida 1989</v>
      </c>
      <c r="B222" s="697" t="str">
        <f>IFERROR(__xludf.DUMMYFUNCTION("""COMPUTED_VALUE"""),"s.mansoni")</f>
        <v>s.mansoni</v>
      </c>
      <c r="C222" s="697" t="str">
        <f>IFERROR(__xludf.DUMMYFUNCTION("""COMPUTED_VALUE"""),"Sudan")</f>
        <v>Sudan</v>
      </c>
      <c r="D222" s="697" t="str">
        <f>IFERROR(__xludf.DUMMYFUNCTION("""COMPUTED_VALUE"""),"Praziquantel")</f>
        <v>Praziquantel</v>
      </c>
      <c r="E222" s="697" t="str">
        <f>IFERROR(__xludf.DUMMYFUNCTION("""COMPUTED_VALUE"""),"Single")</f>
        <v>Single</v>
      </c>
      <c r="F222" s="697" t="str">
        <f>IFERROR(__xludf.DUMMYFUNCTION("""COMPUTED_VALUE"""),"40 mg/kg")</f>
        <v>40 mg/kg</v>
      </c>
      <c r="G222" s="697">
        <f>IFERROR(__xludf.DUMMYFUNCTION("""COMPUTED_VALUE"""),406.0)</f>
        <v>406</v>
      </c>
      <c r="H222" s="697"/>
      <c r="I222" s="705" t="str">
        <f>IFERROR(__xludf.DUMMYFUNCTION("""COMPUTED_VALUE"""),"1:1")</f>
        <v>1:1</v>
      </c>
      <c r="J222" s="697">
        <f>IFERROR(__xludf.DUMMYFUNCTION("""COMPUTED_VALUE"""),1989.0)</f>
        <v>1989</v>
      </c>
      <c r="K222" s="697" t="str">
        <f>IFERROR(__xludf.DUMMYFUNCTION("""COMPUTED_VALUE"""),"Inclusion criteria: individuals who were positive for S. mansoni")</f>
        <v>Inclusion criteria: individuals who were positive for S. mansoni</v>
      </c>
      <c r="L222" s="697" t="str">
        <f>IFERROR(__xludf.DUMMYFUNCTION("""COMPUTED_VALUE"""),"Yes")</f>
        <v>Yes</v>
      </c>
      <c r="M222" s="697" t="str">
        <f>IFERROR(__xludf.DUMMYFUNCTION("""COMPUTED_VALUE"""),"Yes")</f>
        <v>Yes</v>
      </c>
      <c r="N222" s="697" t="str">
        <f>IFERROR(__xludf.DUMMYFUNCTION("""COMPUTED_VALUE"""),"Follow up done at 6 w")</f>
        <v>Follow up done at 6 w</v>
      </c>
      <c r="O222" s="700">
        <f>IFERROR(__xludf.DUMMYFUNCTION("""COMPUTED_VALUE"""),0.85)</f>
        <v>0.85</v>
      </c>
      <c r="P222" s="698">
        <f>IFERROR(__xludf.DUMMYFUNCTION("""COMPUTED_VALUE"""),0.995)</f>
        <v>0.995</v>
      </c>
      <c r="Q222" s="697" t="str">
        <f>IFERROR(__xludf.DUMMYFUNCTION("""COMPUTED_VALUE"""),"Both brands of praziquantel were effective in reducing infection")</f>
        <v>Both brands of praziquantel were effective in reducing infection</v>
      </c>
      <c r="R222" s="697"/>
      <c r="S222" s="699" t="str">
        <f>IFERROR(__xludf.DUMMYFUNCTION("""COMPUTED_VALUE"""),"Homeida MM, Eltom IA, Sulaiman SM, Ali HM, Bennett JL. Tolerance of two brands of praziquantel. Lancet 1989; 334(8659):391.")</f>
        <v>Homeida MM, Eltom IA, Sulaiman SM, Ali HM, Bennett JL. Tolerance of two brands of praziquantel. Lancet 1989; 334(8659):391.</v>
      </c>
      <c r="T222" s="697"/>
      <c r="U222" s="697" t="str">
        <f>IFERROR(__xludf.DUMMYFUNCTION("""COMPUTED_VALUE"""),"")</f>
        <v/>
      </c>
      <c r="V222" s="697">
        <f>IFERROR(__xludf.DUMMYFUNCTION("""COMPUTED_VALUE"""),222.0)</f>
        <v>222</v>
      </c>
    </row>
    <row r="223">
      <c r="A223" s="697" t="str">
        <f>IFERROR(__xludf.DUMMYFUNCTION("""COMPUTED_VALUE"""),"Homeida 1989")</f>
        <v>Homeida 1989</v>
      </c>
      <c r="B223" s="697" t="str">
        <f>IFERROR(__xludf.DUMMYFUNCTION("""COMPUTED_VALUE"""),"s.mansoni")</f>
        <v>s.mansoni</v>
      </c>
      <c r="C223" s="697" t="str">
        <f>IFERROR(__xludf.DUMMYFUNCTION("""COMPUTED_VALUE"""),"Sudan")</f>
        <v>Sudan</v>
      </c>
      <c r="D223" s="697" t="str">
        <f>IFERROR(__xludf.DUMMYFUNCTION("""COMPUTED_VALUE"""),"Praziquantel")</f>
        <v>Praziquantel</v>
      </c>
      <c r="E223" s="697" t="str">
        <f>IFERROR(__xludf.DUMMYFUNCTION("""COMPUTED_VALUE"""),"Single")</f>
        <v>Single</v>
      </c>
      <c r="F223" s="697" t="str">
        <f>IFERROR(__xludf.DUMMYFUNCTION("""COMPUTED_VALUE"""),"40 mg/kg")</f>
        <v>40 mg/kg</v>
      </c>
      <c r="G223" s="697">
        <f>IFERROR(__xludf.DUMMYFUNCTION("""COMPUTED_VALUE"""),410.0)</f>
        <v>410</v>
      </c>
      <c r="H223" s="697"/>
      <c r="I223" s="705" t="str">
        <f>IFERROR(__xludf.DUMMYFUNCTION("""COMPUTED_VALUE"""),"1:1")</f>
        <v>1:1</v>
      </c>
      <c r="J223" s="697">
        <f>IFERROR(__xludf.DUMMYFUNCTION("""COMPUTED_VALUE"""),1989.0)</f>
        <v>1989</v>
      </c>
      <c r="K223" s="697" t="str">
        <f>IFERROR(__xludf.DUMMYFUNCTION("""COMPUTED_VALUE"""),"Inclusion criteria: individuals who were positive for S. mansoni")</f>
        <v>Inclusion criteria: individuals who were positive for S. mansoni</v>
      </c>
      <c r="L223" s="697" t="str">
        <f>IFERROR(__xludf.DUMMYFUNCTION("""COMPUTED_VALUE"""),"Yes")</f>
        <v>Yes</v>
      </c>
      <c r="M223" s="697" t="str">
        <f>IFERROR(__xludf.DUMMYFUNCTION("""COMPUTED_VALUE"""),"Yes")</f>
        <v>Yes</v>
      </c>
      <c r="N223" s="697" t="str">
        <f>IFERROR(__xludf.DUMMYFUNCTION("""COMPUTED_VALUE"""),"Follow up done at 6 w")</f>
        <v>Follow up done at 6 w</v>
      </c>
      <c r="O223" s="700">
        <f>IFERROR(__xludf.DUMMYFUNCTION("""COMPUTED_VALUE"""),0.94)</f>
        <v>0.94</v>
      </c>
      <c r="P223" s="698">
        <f>IFERROR(__xludf.DUMMYFUNCTION("""COMPUTED_VALUE"""),0.995)</f>
        <v>0.995</v>
      </c>
      <c r="Q223" s="697" t="str">
        <f>IFERROR(__xludf.DUMMYFUNCTION("""COMPUTED_VALUE"""),"Both brands of praziquantel were effective in reducing infection")</f>
        <v>Both brands of praziquantel were effective in reducing infection</v>
      </c>
      <c r="R223" s="697"/>
      <c r="S223" s="699" t="str">
        <f>IFERROR(__xludf.DUMMYFUNCTION("""COMPUTED_VALUE"""),"Homeida MM, Eltom IA, Sulaiman SM, Ali HM, Bennett JL. Tolerance of two brands of praziquantel. Lancet 1989; 334(8659):391.")</f>
        <v>Homeida MM, Eltom IA, Sulaiman SM, Ali HM, Bennett JL. Tolerance of two brands of praziquantel. Lancet 1989; 334(8659):391.</v>
      </c>
      <c r="T223" s="697"/>
      <c r="U223" s="697" t="str">
        <f>IFERROR(__xludf.DUMMYFUNCTION("""COMPUTED_VALUE"""),"")</f>
        <v/>
      </c>
      <c r="V223" s="697">
        <f>IFERROR(__xludf.DUMMYFUNCTION("""COMPUTED_VALUE"""),223.0)</f>
        <v>223</v>
      </c>
    </row>
    <row r="224">
      <c r="A224" s="697" t="str">
        <f>IFERROR(__xludf.DUMMYFUNCTION("""COMPUTED_VALUE"""),"Katz 1981")</f>
        <v>Katz 1981</v>
      </c>
      <c r="B224" s="697" t="str">
        <f>IFERROR(__xludf.DUMMYFUNCTION("""COMPUTED_VALUE"""),"s.mansoni")</f>
        <v>s.mansoni</v>
      </c>
      <c r="C224" s="697" t="str">
        <f>IFERROR(__xludf.DUMMYFUNCTION("""COMPUTED_VALUE"""),"Brazil")</f>
        <v>Brazil</v>
      </c>
      <c r="D224" s="697" t="str">
        <f>IFERROR(__xludf.DUMMYFUNCTION("""COMPUTED_VALUE"""),"Praziquantel")</f>
        <v>Praziquantel</v>
      </c>
      <c r="E224" s="697" t="str">
        <f>IFERROR(__xludf.DUMMYFUNCTION("""COMPUTED_VALUE"""),"Single")</f>
        <v>Single</v>
      </c>
      <c r="F224" s="697" t="str">
        <f>IFERROR(__xludf.DUMMYFUNCTION("""COMPUTED_VALUE"""),"30 mg/kg")</f>
        <v>30 mg/kg</v>
      </c>
      <c r="G224" s="697">
        <f>IFERROR(__xludf.DUMMYFUNCTION("""COMPUTED_VALUE"""),47.0)</f>
        <v>47</v>
      </c>
      <c r="H224" s="697" t="str">
        <f>IFERROR(__xludf.DUMMYFUNCTION("""COMPUTED_VALUE"""),"Adults and Children")</f>
        <v>Adults and Children</v>
      </c>
      <c r="I224" s="705" t="str">
        <f>IFERROR(__xludf.DUMMYFUNCTION("""COMPUTED_VALUE"""),"42:5")</f>
        <v>42:5</v>
      </c>
      <c r="J224" s="697">
        <f>IFERROR(__xludf.DUMMYFUNCTION("""COMPUTED_VALUE"""),1981.0)</f>
        <v>1981</v>
      </c>
      <c r="K224" s="697" t="str">
        <f>IFERROR(__xludf.DUMMYFUNCTION("""COMPUTED_VALUE"""),"Inclusion criteria: patients attending the hospital found to have S. mansoni infection")</f>
        <v>Inclusion criteria: patients attending the hospital found to have S. mansoni infection</v>
      </c>
      <c r="L224" s="697" t="str">
        <f>IFERROR(__xludf.DUMMYFUNCTION("""COMPUTED_VALUE"""),"Yes ")</f>
        <v>Yes </v>
      </c>
      <c r="M224" s="697" t="str">
        <f>IFERROR(__xludf.DUMMYFUNCTION("""COMPUTED_VALUE"""),"Yes")</f>
        <v>Yes</v>
      </c>
      <c r="N224" s="697"/>
      <c r="O224" s="698">
        <f>IFERROR(__xludf.DUMMYFUNCTION("""COMPUTED_VALUE"""),0.516)</f>
        <v>0.516</v>
      </c>
      <c r="P224" s="706">
        <f>IFERROR(__xludf.DUMMYFUNCTION("""COMPUTED_VALUE"""),0.925)</f>
        <v>0.925</v>
      </c>
      <c r="Q224" s="697" t="str">
        <f>IFERROR(__xludf.DUMMYFUNCTION("""COMPUTED_VALUE"""),"Praziquantel is an effective drug for clinical management of schistomiasis")</f>
        <v>Praziquantel is an effective drug for clinical management of schistomiasis</v>
      </c>
      <c r="R224" s="697"/>
      <c r="S224" s="699" t="str">
        <f>IFERROR(__xludf.DUMMYFUNCTION("""COMPUTED_VALUE"""),"Katz N. Clinical trials with praziquantel in schistosomiasis mansoni. Revista do Instituto de Medicina Tropical de São Paulo 1981;23(2):72–8.")</f>
        <v>Katz N. Clinical trials with praziquantel in schistosomiasis mansoni. Revista do Instituto de Medicina Tropical de São Paulo 1981;23(2):72–8.</v>
      </c>
      <c r="T224" s="697"/>
      <c r="U224" s="697" t="str">
        <f>IFERROR(__xludf.DUMMYFUNCTION("""COMPUTED_VALUE"""),"")</f>
        <v/>
      </c>
      <c r="V224" s="697">
        <f>IFERROR(__xludf.DUMMYFUNCTION("""COMPUTED_VALUE"""),224.0)</f>
        <v>224</v>
      </c>
    </row>
    <row r="225">
      <c r="A225" s="697" t="str">
        <f>IFERROR(__xludf.DUMMYFUNCTION("""COMPUTED_VALUE"""),"Katz 1981")</f>
        <v>Katz 1981</v>
      </c>
      <c r="B225" s="697" t="str">
        <f>IFERROR(__xludf.DUMMYFUNCTION("""COMPUTED_VALUE"""),"s.mansoni")</f>
        <v>s.mansoni</v>
      </c>
      <c r="C225" s="697" t="str">
        <f>IFERROR(__xludf.DUMMYFUNCTION("""COMPUTED_VALUE"""),"Brazil")</f>
        <v>Brazil</v>
      </c>
      <c r="D225" s="697" t="str">
        <f>IFERROR(__xludf.DUMMYFUNCTION("""COMPUTED_VALUE"""),"Praziquantel")</f>
        <v>Praziquantel</v>
      </c>
      <c r="E225" s="697" t="str">
        <f>IFERROR(__xludf.DUMMYFUNCTION("""COMPUTED_VALUE"""),"Single")</f>
        <v>Single</v>
      </c>
      <c r="F225" s="697" t="str">
        <f>IFERROR(__xludf.DUMMYFUNCTION("""COMPUTED_VALUE"""),"40 mg/kg")</f>
        <v>40 mg/kg</v>
      </c>
      <c r="G225" s="697">
        <f>IFERROR(__xludf.DUMMYFUNCTION("""COMPUTED_VALUE"""),45.0)</f>
        <v>45</v>
      </c>
      <c r="H225" s="697" t="str">
        <f>IFERROR(__xludf.DUMMYFUNCTION("""COMPUTED_VALUE"""),"Adults and Children")</f>
        <v>Adults and Children</v>
      </c>
      <c r="I225" s="705" t="str">
        <f>IFERROR(__xludf.DUMMYFUNCTION("""COMPUTED_VALUE"""),"41:4")</f>
        <v>41:4</v>
      </c>
      <c r="J225" s="697">
        <f>IFERROR(__xludf.DUMMYFUNCTION("""COMPUTED_VALUE"""),1981.0)</f>
        <v>1981</v>
      </c>
      <c r="K225" s="697" t="str">
        <f>IFERROR(__xludf.DUMMYFUNCTION("""COMPUTED_VALUE"""),"Inclusion criteria: patients attending the hospital found to have S. mansoni infection")</f>
        <v>Inclusion criteria: patients attending the hospital found to have S. mansoni infection</v>
      </c>
      <c r="L225" s="697" t="str">
        <f>IFERROR(__xludf.DUMMYFUNCTION("""COMPUTED_VALUE"""),"Yes ")</f>
        <v>Yes </v>
      </c>
      <c r="M225" s="697" t="str">
        <f>IFERROR(__xludf.DUMMYFUNCTION("""COMPUTED_VALUE"""),"Yes")</f>
        <v>Yes</v>
      </c>
      <c r="N225" s="697"/>
      <c r="O225" s="700">
        <f>IFERROR(__xludf.DUMMYFUNCTION("""COMPUTED_VALUE"""),0.78)</f>
        <v>0.78</v>
      </c>
      <c r="P225" s="706">
        <f>IFERROR(__xludf.DUMMYFUNCTION("""COMPUTED_VALUE"""),0.977)</f>
        <v>0.977</v>
      </c>
      <c r="Q225" s="697" t="str">
        <f>IFERROR(__xludf.DUMMYFUNCTION("""COMPUTED_VALUE"""),"Praziquantel is an effective drug for clinical management of schistomiasis")</f>
        <v>Praziquantel is an effective drug for clinical management of schistomiasis</v>
      </c>
      <c r="R225" s="697"/>
      <c r="S225" s="699" t="str">
        <f>IFERROR(__xludf.DUMMYFUNCTION("""COMPUTED_VALUE"""),"Katz N. Clinical trials with praziquantel in schistosomiasis mansoni. Revista do Instituto de Medicina Tropical de São Paulo 1981;23(2):72–8.")</f>
        <v>Katz N. Clinical trials with praziquantel in schistosomiasis mansoni. Revista do Instituto de Medicina Tropical de São Paulo 1981;23(2):72–8.</v>
      </c>
      <c r="T225" s="697"/>
      <c r="U225" s="697" t="str">
        <f>IFERROR(__xludf.DUMMYFUNCTION("""COMPUTED_VALUE"""),"")</f>
        <v/>
      </c>
      <c r="V225" s="697">
        <f>IFERROR(__xludf.DUMMYFUNCTION("""COMPUTED_VALUE"""),225.0)</f>
        <v>225</v>
      </c>
    </row>
    <row r="226">
      <c r="A226" s="697" t="str">
        <f>IFERROR(__xludf.DUMMYFUNCTION("""COMPUTED_VALUE"""),"Katz 1981")</f>
        <v>Katz 1981</v>
      </c>
      <c r="B226" s="697" t="str">
        <f>IFERROR(__xludf.DUMMYFUNCTION("""COMPUTED_VALUE"""),"s.mansoni")</f>
        <v>s.mansoni</v>
      </c>
      <c r="C226" s="697" t="str">
        <f>IFERROR(__xludf.DUMMYFUNCTION("""COMPUTED_VALUE"""),"Brazil")</f>
        <v>Brazil</v>
      </c>
      <c r="D226" s="697" t="str">
        <f>IFERROR(__xludf.DUMMYFUNCTION("""COMPUTED_VALUE"""),"Praziquantel")</f>
        <v>Praziquantel</v>
      </c>
      <c r="E226" s="697" t="str">
        <f>IFERROR(__xludf.DUMMYFUNCTION("""COMPUTED_VALUE"""),"Two")</f>
        <v>Two</v>
      </c>
      <c r="F226" s="697" t="str">
        <f>IFERROR(__xludf.DUMMYFUNCTION("""COMPUTED_VALUE"""),"25 mg/kg")</f>
        <v>25 mg/kg</v>
      </c>
      <c r="G226" s="697">
        <f>IFERROR(__xludf.DUMMYFUNCTION("""COMPUTED_VALUE"""),46.0)</f>
        <v>46</v>
      </c>
      <c r="H226" s="697" t="str">
        <f>IFERROR(__xludf.DUMMYFUNCTION("""COMPUTED_VALUE"""),"Adults and Children")</f>
        <v>Adults and Children</v>
      </c>
      <c r="I226" s="705" t="str">
        <f>IFERROR(__xludf.DUMMYFUNCTION("""COMPUTED_VALUE"""),"38:8")</f>
        <v>38:8</v>
      </c>
      <c r="J226" s="697">
        <f>IFERROR(__xludf.DUMMYFUNCTION("""COMPUTED_VALUE"""),1981.0)</f>
        <v>1981</v>
      </c>
      <c r="K226" s="697" t="str">
        <f>IFERROR(__xludf.DUMMYFUNCTION("""COMPUTED_VALUE"""),"Inclusion criteria: patients attending the hospital found to have S. mansoni infection")</f>
        <v>Inclusion criteria: patients attending the hospital found to have S. mansoni infection</v>
      </c>
      <c r="L226" s="697" t="str">
        <f>IFERROR(__xludf.DUMMYFUNCTION("""COMPUTED_VALUE"""),"Yes ")</f>
        <v>Yes </v>
      </c>
      <c r="M226" s="697" t="str">
        <f>IFERROR(__xludf.DUMMYFUNCTION("""COMPUTED_VALUE"""),"Yes")</f>
        <v>Yes</v>
      </c>
      <c r="N226" s="697"/>
      <c r="O226" s="706">
        <f>IFERROR(__xludf.DUMMYFUNCTION("""COMPUTED_VALUE"""),0.75)</f>
        <v>0.75</v>
      </c>
      <c r="P226" s="706">
        <f>IFERROR(__xludf.DUMMYFUNCTION("""COMPUTED_VALUE"""),0.951)</f>
        <v>0.951</v>
      </c>
      <c r="Q226" s="697" t="str">
        <f>IFERROR(__xludf.DUMMYFUNCTION("""COMPUTED_VALUE"""),"Praziquantel is an effective drug for clinical management of schistomiasis")</f>
        <v>Praziquantel is an effective drug for clinical management of schistomiasis</v>
      </c>
      <c r="R226" s="697"/>
      <c r="S226" s="699" t="str">
        <f>IFERROR(__xludf.DUMMYFUNCTION("""COMPUTED_VALUE"""),"Katz N. Clinical trials with praziquantel in schistosomiasis mansoni. Revista do Instituto de Medicina Tropical de São Paulo 1981;23(2):72–8.")</f>
        <v>Katz N. Clinical trials with praziquantel in schistosomiasis mansoni. Revista do Instituto de Medicina Tropical de São Paulo 1981;23(2):72–8.</v>
      </c>
      <c r="T226" s="697"/>
      <c r="U226" s="697" t="str">
        <f>IFERROR(__xludf.DUMMYFUNCTION("""COMPUTED_VALUE"""),"")</f>
        <v/>
      </c>
      <c r="V226" s="697">
        <f>IFERROR(__xludf.DUMMYFUNCTION("""COMPUTED_VALUE"""),226.0)</f>
        <v>226</v>
      </c>
    </row>
    <row r="227">
      <c r="A227" s="697" t="str">
        <f>IFERROR(__xludf.DUMMYFUNCTION("""COMPUTED_VALUE"""),"Katz 1982")</f>
        <v>Katz 1982</v>
      </c>
      <c r="B227" s="697" t="str">
        <f>IFERROR(__xludf.DUMMYFUNCTION("""COMPUTED_VALUE"""),"s.mansoni")</f>
        <v>s.mansoni</v>
      </c>
      <c r="C227" s="697" t="str">
        <f>IFERROR(__xludf.DUMMYFUNCTION("""COMPUTED_VALUE"""),"Brazil")</f>
        <v>Brazil</v>
      </c>
      <c r="D227" s="697" t="str">
        <f>IFERROR(__xludf.DUMMYFUNCTION("""COMPUTED_VALUE"""),"Oxamniquine")</f>
        <v>Oxamniquine</v>
      </c>
      <c r="E227" s="697" t="str">
        <f>IFERROR(__xludf.DUMMYFUNCTION("""COMPUTED_VALUE"""),"Single")</f>
        <v>Single</v>
      </c>
      <c r="F227" s="697" t="str">
        <f>IFERROR(__xludf.DUMMYFUNCTION("""COMPUTED_VALUE"""),"20 mg/kg")</f>
        <v>20 mg/kg</v>
      </c>
      <c r="G227" s="697">
        <f>IFERROR(__xludf.DUMMYFUNCTION("""COMPUTED_VALUE"""),60.0)</f>
        <v>60</v>
      </c>
      <c r="H227" s="704">
        <f>IFERROR(__xludf.DUMMYFUNCTION("""COMPUTED_VALUE"""),42596.0)</f>
        <v>42596</v>
      </c>
      <c r="I227" s="705" t="str">
        <f>IFERROR(__xludf.DUMMYFUNCTION("""COMPUTED_VALUE"""),"MF")</f>
        <v>MF</v>
      </c>
      <c r="J227" s="697">
        <f>IFERROR(__xludf.DUMMYFUNCTION("""COMPUTED_VALUE"""),1982.0)</f>
        <v>1982</v>
      </c>
      <c r="K227" s="697" t="str">
        <f>IFERROR(__xludf.DUMMYFUNCTION("""COMPUTED_VALUE"""),"Inclusion criteria: children aged 8 to 14 years excreting between 90 and &lt; 2,500 EPG, weighing between 17 and 50 kg")</f>
        <v>Inclusion criteria: children aged 8 to 14 years excreting between 90 and &lt; 2,500 EPG, weighing between 17 and 50 kg</v>
      </c>
      <c r="L227" s="697" t="str">
        <f>IFERROR(__xludf.DUMMYFUNCTION("""COMPUTED_VALUE"""),"Yes")</f>
        <v>Yes</v>
      </c>
      <c r="M227" s="697" t="str">
        <f>IFERROR(__xludf.DUMMYFUNCTION("""COMPUTED_VALUE"""),"Yes")</f>
        <v>Yes</v>
      </c>
      <c r="N227" s="697" t="str">
        <f>IFERROR(__xludf.DUMMYFUNCTION("""COMPUTED_VALUE"""),"Follow up at 6 months")</f>
        <v>Follow up at 6 months</v>
      </c>
      <c r="O227" s="698">
        <f>IFERROR(__xludf.DUMMYFUNCTION("""COMPUTED_VALUE"""),0.653)</f>
        <v>0.653</v>
      </c>
      <c r="P227" s="697"/>
      <c r="Q227" s="697" t="str">
        <f>IFERROR(__xludf.DUMMYFUNCTION("""COMPUTED_VALUE"""),"These two drugs are efficient therauptical weapons for treating schistomiasis mansoni in Brazil")</f>
        <v>These two drugs are efficient therauptical weapons for treating schistomiasis mansoni in Brazil</v>
      </c>
      <c r="R227" s="697"/>
      <c r="S227" s="699" t="str">
        <f>IFERROR(__xludf.DUMMYFUNCTION("""COMPUTED_VALUE"""),"Katz N, Rocha RS. Double-blind clinical trial comparing praziquantel with oxamniquine in schistosomiasis mansoni. Revista do Instituto de Medicina Tropical de São Paulo 1982; 24(5):310–4.")</f>
        <v>Katz N, Rocha RS. Double-blind clinical trial comparing praziquantel with oxamniquine in schistosomiasis mansoni. Revista do Instituto de Medicina Tropical de São Paulo 1982; 24(5):310–4.</v>
      </c>
      <c r="T227" s="697"/>
      <c r="U227" s="697" t="str">
        <f>IFERROR(__xludf.DUMMYFUNCTION("""COMPUTED_VALUE"""),"")</f>
        <v/>
      </c>
      <c r="V227" s="697">
        <f>IFERROR(__xludf.DUMMYFUNCTION("""COMPUTED_VALUE"""),227.0)</f>
        <v>227</v>
      </c>
    </row>
    <row r="228">
      <c r="A228" s="697" t="str">
        <f>IFERROR(__xludf.DUMMYFUNCTION("""COMPUTED_VALUE"""),"Katz 1982")</f>
        <v>Katz 1982</v>
      </c>
      <c r="B228" s="697" t="str">
        <f>IFERROR(__xludf.DUMMYFUNCTION("""COMPUTED_VALUE"""),"s.mansoni")</f>
        <v>s.mansoni</v>
      </c>
      <c r="C228" s="697" t="str">
        <f>IFERROR(__xludf.DUMMYFUNCTION("""COMPUTED_VALUE"""),"Brazil")</f>
        <v>Brazil</v>
      </c>
      <c r="D228" s="697" t="str">
        <f>IFERROR(__xludf.DUMMYFUNCTION("""COMPUTED_VALUE"""),"Praziquantel")</f>
        <v>Praziquantel</v>
      </c>
      <c r="E228" s="697" t="str">
        <f>IFERROR(__xludf.DUMMYFUNCTION("""COMPUTED_VALUE"""),"Single")</f>
        <v>Single</v>
      </c>
      <c r="F228" s="697" t="str">
        <f>IFERROR(__xludf.DUMMYFUNCTION("""COMPUTED_VALUE"""),"65 mg/kg")</f>
        <v>65 mg/kg</v>
      </c>
      <c r="G228" s="697">
        <f>IFERROR(__xludf.DUMMYFUNCTION("""COMPUTED_VALUE"""),60.0)</f>
        <v>60</v>
      </c>
      <c r="H228" s="704">
        <f>IFERROR(__xludf.DUMMYFUNCTION("""COMPUTED_VALUE"""),42596.0)</f>
        <v>42596</v>
      </c>
      <c r="I228" s="705" t="str">
        <f>IFERROR(__xludf.DUMMYFUNCTION("""COMPUTED_VALUE"""),"MF")</f>
        <v>MF</v>
      </c>
      <c r="J228" s="697">
        <f>IFERROR(__xludf.DUMMYFUNCTION("""COMPUTED_VALUE"""),1982.0)</f>
        <v>1982</v>
      </c>
      <c r="K228" s="697" t="str">
        <f>IFERROR(__xludf.DUMMYFUNCTION("""COMPUTED_VALUE"""),"Inclusion criteria: children aged 8 to 14 years excreting between 90 and &lt; 2,500 EPG, weighing between 17 and 50 kg")</f>
        <v>Inclusion criteria: children aged 8 to 14 years excreting between 90 and &lt; 2,500 EPG, weighing between 17 and 50 kg</v>
      </c>
      <c r="L228" s="697" t="str">
        <f>IFERROR(__xludf.DUMMYFUNCTION("""COMPUTED_VALUE"""),"Yes")</f>
        <v>Yes</v>
      </c>
      <c r="M228" s="697" t="str">
        <f>IFERROR(__xludf.DUMMYFUNCTION("""COMPUTED_VALUE"""),"Yes")</f>
        <v>Yes</v>
      </c>
      <c r="N228" s="697" t="str">
        <f>IFERROR(__xludf.DUMMYFUNCTION("""COMPUTED_VALUE"""),"Follow up at 6 months")</f>
        <v>Follow up at 6 months</v>
      </c>
      <c r="O228" s="698">
        <f>IFERROR(__xludf.DUMMYFUNCTION("""COMPUTED_VALUE"""),0.761)</f>
        <v>0.761</v>
      </c>
      <c r="P228" s="697"/>
      <c r="Q228" s="697" t="str">
        <f>IFERROR(__xludf.DUMMYFUNCTION("""COMPUTED_VALUE"""),"These two drugs are efficient therauptical weapons for treating schistomiasis mansoni in Brazil")</f>
        <v>These two drugs are efficient therauptical weapons for treating schistomiasis mansoni in Brazil</v>
      </c>
      <c r="R228" s="697"/>
      <c r="S228" s="699" t="str">
        <f>IFERROR(__xludf.DUMMYFUNCTION("""COMPUTED_VALUE"""),"Katz N, Rocha RS. Double-blind clinical trial comparing praziquantel with oxamniquine in schistosomiasis mansoni. Revista do Instituto de Medicina Tropical de São Paulo 1982; 24(5):310–4.")</f>
        <v>Katz N, Rocha RS. Double-blind clinical trial comparing praziquantel with oxamniquine in schistosomiasis mansoni. Revista do Instituto de Medicina Tropical de São Paulo 1982; 24(5):310–4.</v>
      </c>
      <c r="T228" s="697"/>
      <c r="U228" s="697" t="str">
        <f>IFERROR(__xludf.DUMMYFUNCTION("""COMPUTED_VALUE"""),"")</f>
        <v/>
      </c>
      <c r="V228" s="697">
        <f>IFERROR(__xludf.DUMMYFUNCTION("""COMPUTED_VALUE"""),228.0)</f>
        <v>228</v>
      </c>
    </row>
    <row r="229">
      <c r="A229" s="697" t="str">
        <f>IFERROR(__xludf.DUMMYFUNCTION("""COMPUTED_VALUE"""),"Omer 1981")</f>
        <v>Omer 1981</v>
      </c>
      <c r="B229" s="697" t="str">
        <f>IFERROR(__xludf.DUMMYFUNCTION("""COMPUTED_VALUE"""),"s. haematobium")</f>
        <v>s. haematobium</v>
      </c>
      <c r="C229" s="697" t="str">
        <f>IFERROR(__xludf.DUMMYFUNCTION("""COMPUTED_VALUE"""),"Sudan")</f>
        <v>Sudan</v>
      </c>
      <c r="D229" s="697" t="str">
        <f>IFERROR(__xludf.DUMMYFUNCTION("""COMPUTED_VALUE"""),"Praziquantel")</f>
        <v>Praziquantel</v>
      </c>
      <c r="E229" s="697" t="str">
        <f>IFERROR(__xludf.DUMMYFUNCTION("""COMPUTED_VALUE"""),"Single")</f>
        <v>Single</v>
      </c>
      <c r="F229" s="697" t="str">
        <f>IFERROR(__xludf.DUMMYFUNCTION("""COMPUTED_VALUE"""),"40 mg/kg")</f>
        <v>40 mg/kg</v>
      </c>
      <c r="G229" s="697">
        <f>IFERROR(__xludf.DUMMYFUNCTION("""COMPUTED_VALUE"""),50.0)</f>
        <v>50</v>
      </c>
      <c r="H229" s="697" t="str">
        <f>IFERROR(__xludf.DUMMYFUNCTION("""COMPUTED_VALUE"""),"&gt;8")</f>
        <v>&gt;8</v>
      </c>
      <c r="I229" s="705" t="str">
        <f>IFERROR(__xludf.DUMMYFUNCTION("""COMPUTED_VALUE"""),"63%:37%")</f>
        <v>63%:37%</v>
      </c>
      <c r="J229" s="697">
        <f>IFERROR(__xludf.DUMMYFUNCTION("""COMPUTED_VALUE"""),1979.0)</f>
        <v>1979</v>
      </c>
      <c r="K229" s="697" t="str">
        <f>IFERROR(__xludf.DUMMYFUNCTION("""COMPUTED_VALUE"""),"individuals who were positive for S. mansoni and S. haematobium (mixed infection)")</f>
        <v>individuals who were positive for S. mansoni and S. haematobium (mixed infection)</v>
      </c>
      <c r="L229" s="697" t="str">
        <f>IFERROR(__xludf.DUMMYFUNCTION("""COMPUTED_VALUE"""),"Yes")</f>
        <v>Yes</v>
      </c>
      <c r="M229" s="697" t="str">
        <f>IFERROR(__xludf.DUMMYFUNCTION("""COMPUTED_VALUE"""),"Yes")</f>
        <v>Yes</v>
      </c>
      <c r="N229" s="697" t="str">
        <f>IFERROR(__xludf.DUMMYFUNCTION("""COMPUTED_VALUE"""),"Cure rate was found by adding the 100% reduction +the &gt;98% and no hatching column")</f>
        <v>Cure rate was found by adding the 100% reduction +the &gt;98% and no hatching column</v>
      </c>
      <c r="O229" s="706">
        <f>IFERROR(__xludf.DUMMYFUNCTION("""COMPUTED_VALUE"""),0.86)</f>
        <v>0.86</v>
      </c>
      <c r="P229" s="697"/>
      <c r="Q229" s="697" t="str">
        <f>IFERROR(__xludf.DUMMYFUNCTION("""COMPUTED_VALUE"""),"Thus findings of the present study suggest that praziquantel being easily applicable, safe and effective also in mixed infections, will have a great role to play in the control ofschistosomiasis in the near future.")</f>
        <v>Thus findings of the present study suggest that praziquantel being easily applicable, safe and effective also in mixed infections, will have a great role to play in the control ofschistosomiasis in the near future.</v>
      </c>
      <c r="R229" s="697"/>
      <c r="S229" s="699" t="str">
        <f>IFERROR(__xludf.DUMMYFUNCTION("""COMPUTED_VALUE"""),"Omer AH. Praziquantel in the treatment of mixed S. haematobium and S. mansoni infections. Arzneimittelforschung 1981;31(3a):605–8.")</f>
        <v>Omer AH. Praziquantel in the treatment of mixed S. haematobium and S. mansoni infections. Arzneimittelforschung 1981;31(3a):605–8.</v>
      </c>
      <c r="T229" s="697"/>
      <c r="U229" s="697" t="str">
        <f>IFERROR(__xludf.DUMMYFUNCTION("""COMPUTED_VALUE"""),"")</f>
        <v/>
      </c>
      <c r="V229" s="697">
        <f>IFERROR(__xludf.DUMMYFUNCTION("""COMPUTED_VALUE"""),229.0)</f>
        <v>229</v>
      </c>
    </row>
    <row r="230">
      <c r="A230" s="697" t="str">
        <f>IFERROR(__xludf.DUMMYFUNCTION("""COMPUTED_VALUE"""),"Omer 1981")</f>
        <v>Omer 1981</v>
      </c>
      <c r="B230" s="697" t="str">
        <f>IFERROR(__xludf.DUMMYFUNCTION("""COMPUTED_VALUE"""),"s. haematobium")</f>
        <v>s. haematobium</v>
      </c>
      <c r="C230" s="697" t="str">
        <f>IFERROR(__xludf.DUMMYFUNCTION("""COMPUTED_VALUE"""),"Sudan")</f>
        <v>Sudan</v>
      </c>
      <c r="D230" s="697" t="str">
        <f>IFERROR(__xludf.DUMMYFUNCTION("""COMPUTED_VALUE"""),"Praziquantel")</f>
        <v>Praziquantel</v>
      </c>
      <c r="E230" s="697" t="str">
        <f>IFERROR(__xludf.DUMMYFUNCTION("""COMPUTED_VALUE"""),"Two")</f>
        <v>Two</v>
      </c>
      <c r="F230" s="697" t="str">
        <f>IFERROR(__xludf.DUMMYFUNCTION("""COMPUTED_VALUE"""),"20 mg/kg")</f>
        <v>20 mg/kg</v>
      </c>
      <c r="G230" s="697">
        <f>IFERROR(__xludf.DUMMYFUNCTION("""COMPUTED_VALUE"""),52.0)</f>
        <v>52</v>
      </c>
      <c r="H230" s="697" t="str">
        <f>IFERROR(__xludf.DUMMYFUNCTION("""COMPUTED_VALUE"""),"&gt;8")</f>
        <v>&gt;8</v>
      </c>
      <c r="I230" s="705" t="str">
        <f>IFERROR(__xludf.DUMMYFUNCTION("""COMPUTED_VALUE"""),"75%:25%")</f>
        <v>75%:25%</v>
      </c>
      <c r="J230" s="697">
        <f>IFERROR(__xludf.DUMMYFUNCTION("""COMPUTED_VALUE"""),1979.0)</f>
        <v>1979</v>
      </c>
      <c r="K230" s="697" t="str">
        <f>IFERROR(__xludf.DUMMYFUNCTION("""COMPUTED_VALUE"""),"individuals who were positive for S. mansoni and S. haematobium (mixed infection)")</f>
        <v>individuals who were positive for S. mansoni and S. haematobium (mixed infection)</v>
      </c>
      <c r="L230" s="697" t="str">
        <f>IFERROR(__xludf.DUMMYFUNCTION("""COMPUTED_VALUE"""),"Yes ")</f>
        <v>Yes </v>
      </c>
      <c r="M230" s="697" t="str">
        <f>IFERROR(__xludf.DUMMYFUNCTION("""COMPUTED_VALUE"""),"Yes")</f>
        <v>Yes</v>
      </c>
      <c r="N230" s="697" t="str">
        <f>IFERROR(__xludf.DUMMYFUNCTION("""COMPUTED_VALUE"""),"Cure rate was found by adding the 100% reduction +the &gt;98% and no hatching column")</f>
        <v>Cure rate was found by adding the 100% reduction +the &gt;98% and no hatching column</v>
      </c>
      <c r="O230" s="706">
        <f>IFERROR(__xludf.DUMMYFUNCTION("""COMPUTED_VALUE"""),0.75)</f>
        <v>0.75</v>
      </c>
      <c r="P230" s="697"/>
      <c r="Q230" s="697" t="str">
        <f>IFERROR(__xludf.DUMMYFUNCTION("""COMPUTED_VALUE"""),"Thus findings of the present study suggest that praziquantel being easily applicable, safe and effective also in mixed infections, will have a great role to play in the control ofschistosomiasis in the near future.")</f>
        <v>Thus findings of the present study suggest that praziquantel being easily applicable, safe and effective also in mixed infections, will have a great role to play in the control ofschistosomiasis in the near future.</v>
      </c>
      <c r="R230" s="697"/>
      <c r="S230" s="699" t="str">
        <f>IFERROR(__xludf.DUMMYFUNCTION("""COMPUTED_VALUE"""),"Omer AH. Praziquantel in the treatment of mixed S. haematobium and S. mansoni infections. Arzneimittelforschung 1981;31(3a):605–8.")</f>
        <v>Omer AH. Praziquantel in the treatment of mixed S. haematobium and S. mansoni infections. Arzneimittelforschung 1981;31(3a):605–8.</v>
      </c>
      <c r="T230" s="697"/>
      <c r="U230" s="697" t="str">
        <f>IFERROR(__xludf.DUMMYFUNCTION("""COMPUTED_VALUE"""),"")</f>
        <v/>
      </c>
      <c r="V230" s="697">
        <f>IFERROR(__xludf.DUMMYFUNCTION("""COMPUTED_VALUE"""),230.0)</f>
        <v>230</v>
      </c>
    </row>
    <row r="231">
      <c r="A231" s="697" t="str">
        <f>IFERROR(__xludf.DUMMYFUNCTION("""COMPUTED_VALUE"""),"Omer 1981")</f>
        <v>Omer 1981</v>
      </c>
      <c r="B231" s="697" t="str">
        <f>IFERROR(__xludf.DUMMYFUNCTION("""COMPUTED_VALUE"""),"s. haematobium")</f>
        <v>s. haematobium</v>
      </c>
      <c r="C231" s="697" t="str">
        <f>IFERROR(__xludf.DUMMYFUNCTION("""COMPUTED_VALUE"""),"Sudan")</f>
        <v>Sudan</v>
      </c>
      <c r="D231" s="697" t="str">
        <f>IFERROR(__xludf.DUMMYFUNCTION("""COMPUTED_VALUE"""),"Praziquantel")</f>
        <v>Praziquantel</v>
      </c>
      <c r="E231" s="697" t="str">
        <f>IFERROR(__xludf.DUMMYFUNCTION("""COMPUTED_VALUE"""),"Single")</f>
        <v>Single</v>
      </c>
      <c r="F231" s="697" t="str">
        <f>IFERROR(__xludf.DUMMYFUNCTION("""COMPUTED_VALUE"""),"30 mg/kg")</f>
        <v>30 mg/kg</v>
      </c>
      <c r="G231" s="697">
        <f>IFERROR(__xludf.DUMMYFUNCTION("""COMPUTED_VALUE"""),50.0)</f>
        <v>50</v>
      </c>
      <c r="H231" s="697" t="str">
        <f>IFERROR(__xludf.DUMMYFUNCTION("""COMPUTED_VALUE"""),"&gt;8")</f>
        <v>&gt;8</v>
      </c>
      <c r="I231" s="705" t="str">
        <f>IFERROR(__xludf.DUMMYFUNCTION("""COMPUTED_VALUE"""),"60%:36%")</f>
        <v>60%:36%</v>
      </c>
      <c r="J231" s="697">
        <f>IFERROR(__xludf.DUMMYFUNCTION("""COMPUTED_VALUE"""),1979.0)</f>
        <v>1979</v>
      </c>
      <c r="K231" s="697" t="str">
        <f>IFERROR(__xludf.DUMMYFUNCTION("""COMPUTED_VALUE"""),"individuals who were positive for S. mansoni and S. haematobium (mixed infection)")</f>
        <v>individuals who were positive for S. mansoni and S. haematobium (mixed infection)</v>
      </c>
      <c r="L231" s="697" t="str">
        <f>IFERROR(__xludf.DUMMYFUNCTION("""COMPUTED_VALUE"""),"Yes ")</f>
        <v>Yes </v>
      </c>
      <c r="M231" s="697" t="str">
        <f>IFERROR(__xludf.DUMMYFUNCTION("""COMPUTED_VALUE"""),"Yes")</f>
        <v>Yes</v>
      </c>
      <c r="N231" s="697" t="str">
        <f>IFERROR(__xludf.DUMMYFUNCTION("""COMPUTED_VALUE"""),"Cure rate was found by adding the 100% reduction +the &gt;98% and no hatching column")</f>
        <v>Cure rate was found by adding the 100% reduction +the &gt;98% and no hatching column</v>
      </c>
      <c r="O231" s="700">
        <f>IFERROR(__xludf.DUMMYFUNCTION("""COMPUTED_VALUE"""),0.71)</f>
        <v>0.71</v>
      </c>
      <c r="P231" s="697"/>
      <c r="Q231" s="697" t="str">
        <f>IFERROR(__xludf.DUMMYFUNCTION("""COMPUTED_VALUE"""),"Thus findings of the present study suggest that praziquantel being easily applicable, safe and effective also in mixed infections, will have a great role to play in the control ofschistosomiasis in the near future.")</f>
        <v>Thus findings of the present study suggest that praziquantel being easily applicable, safe and effective also in mixed infections, will have a great role to play in the control ofschistosomiasis in the near future.</v>
      </c>
      <c r="R231" s="697"/>
      <c r="S231" s="699" t="str">
        <f>IFERROR(__xludf.DUMMYFUNCTION("""COMPUTED_VALUE"""),"Omer AH. Praziquantel in the treatment of mixed S. haematobium and S. mansoni infections. Arzneimittelforschung 1981;31(3a):605–8.")</f>
        <v>Omer AH. Praziquantel in the treatment of mixed S. haematobium and S. mansoni infections. Arzneimittelforschung 1981;31(3a):605–8.</v>
      </c>
      <c r="T231" s="697"/>
      <c r="U231" s="697" t="str">
        <f>IFERROR(__xludf.DUMMYFUNCTION("""COMPUTED_VALUE"""),"")</f>
        <v/>
      </c>
      <c r="V231" s="697">
        <f>IFERROR(__xludf.DUMMYFUNCTION("""COMPUTED_VALUE"""),231.0)</f>
        <v>231</v>
      </c>
    </row>
    <row r="232">
      <c r="A232" s="697" t="str">
        <f>IFERROR(__xludf.DUMMYFUNCTION("""COMPUTED_VALUE"""),"Omer 1981")</f>
        <v>Omer 1981</v>
      </c>
      <c r="B232" s="697" t="str">
        <f>IFERROR(__xludf.DUMMYFUNCTION("""COMPUTED_VALUE"""),"s.mansoni")</f>
        <v>s.mansoni</v>
      </c>
      <c r="C232" s="697" t="str">
        <f>IFERROR(__xludf.DUMMYFUNCTION("""COMPUTED_VALUE"""),"Sudan")</f>
        <v>Sudan</v>
      </c>
      <c r="D232" s="697" t="str">
        <f>IFERROR(__xludf.DUMMYFUNCTION("""COMPUTED_VALUE"""),"Praziquantel")</f>
        <v>Praziquantel</v>
      </c>
      <c r="E232" s="697" t="str">
        <f>IFERROR(__xludf.DUMMYFUNCTION("""COMPUTED_VALUE"""),"Single")</f>
        <v>Single</v>
      </c>
      <c r="F232" s="697" t="str">
        <f>IFERROR(__xludf.DUMMYFUNCTION("""COMPUTED_VALUE"""),"40 mg/kg")</f>
        <v>40 mg/kg</v>
      </c>
      <c r="G232" s="697">
        <f>IFERROR(__xludf.DUMMYFUNCTION("""COMPUTED_VALUE"""),50.0)</f>
        <v>50</v>
      </c>
      <c r="H232" s="697" t="str">
        <f>IFERROR(__xludf.DUMMYFUNCTION("""COMPUTED_VALUE"""),"&gt;8")</f>
        <v>&gt;8</v>
      </c>
      <c r="I232" s="705" t="str">
        <f>IFERROR(__xludf.DUMMYFUNCTION("""COMPUTED_VALUE"""),"63%:37%")</f>
        <v>63%:37%</v>
      </c>
      <c r="J232" s="697">
        <f>IFERROR(__xludf.DUMMYFUNCTION("""COMPUTED_VALUE"""),1979.0)</f>
        <v>1979</v>
      </c>
      <c r="K232" s="697" t="str">
        <f>IFERROR(__xludf.DUMMYFUNCTION("""COMPUTED_VALUE"""),"individuals who were positive for S. mansoni and S. haematobium (mixed infection)")</f>
        <v>individuals who were positive for S. mansoni and S. haematobium (mixed infection)</v>
      </c>
      <c r="L232" s="697" t="str">
        <f>IFERROR(__xludf.DUMMYFUNCTION("""COMPUTED_VALUE"""),"Yes ")</f>
        <v>Yes </v>
      </c>
      <c r="M232" s="697" t="str">
        <f>IFERROR(__xludf.DUMMYFUNCTION("""COMPUTED_VALUE"""),"Yes")</f>
        <v>Yes</v>
      </c>
      <c r="N232" s="697" t="str">
        <f>IFERROR(__xludf.DUMMYFUNCTION("""COMPUTED_VALUE"""),"Cure rate was found by adding the 100% reduction +the &gt;98% and no hatching column")</f>
        <v>Cure rate was found by adding the 100% reduction +the &gt;98% and no hatching column</v>
      </c>
      <c r="O232" s="706">
        <f>IFERROR(__xludf.DUMMYFUNCTION("""COMPUTED_VALUE"""),0.77)</f>
        <v>0.77</v>
      </c>
      <c r="P232" s="697"/>
      <c r="Q232" s="697" t="str">
        <f>IFERROR(__xludf.DUMMYFUNCTION("""COMPUTED_VALUE"""),"Thus findings of the present study suggest that praziquantel being easily applicable, safe and effective also in mixed infections, will have a great role to play in the control ofschistosomiasis in the near future.")</f>
        <v>Thus findings of the present study suggest that praziquantel being easily applicable, safe and effective also in mixed infections, will have a great role to play in the control ofschistosomiasis in the near future.</v>
      </c>
      <c r="R232" s="697"/>
      <c r="S232" s="699" t="str">
        <f>IFERROR(__xludf.DUMMYFUNCTION("""COMPUTED_VALUE"""),"Omer AH. Praziquantel in the treatment of mixed S. haematobium and S. mansoni infections. Arzneimittelforschung 1981;31(3a):605–8.")</f>
        <v>Omer AH. Praziquantel in the treatment of mixed S. haematobium and S. mansoni infections. Arzneimittelforschung 1981;31(3a):605–8.</v>
      </c>
      <c r="T232" s="697"/>
      <c r="U232" s="697" t="str">
        <f>IFERROR(__xludf.DUMMYFUNCTION("""COMPUTED_VALUE"""),"")</f>
        <v/>
      </c>
      <c r="V232" s="697">
        <f>IFERROR(__xludf.DUMMYFUNCTION("""COMPUTED_VALUE"""),232.0)</f>
        <v>232</v>
      </c>
    </row>
    <row r="233">
      <c r="A233" s="697" t="str">
        <f>IFERROR(__xludf.DUMMYFUNCTION("""COMPUTED_VALUE"""),"Omer 1981")</f>
        <v>Omer 1981</v>
      </c>
      <c r="B233" s="697" t="str">
        <f>IFERROR(__xludf.DUMMYFUNCTION("""COMPUTED_VALUE"""),"s.mansoni")</f>
        <v>s.mansoni</v>
      </c>
      <c r="C233" s="697" t="str">
        <f>IFERROR(__xludf.DUMMYFUNCTION("""COMPUTED_VALUE"""),"Sudan")</f>
        <v>Sudan</v>
      </c>
      <c r="D233" s="697" t="str">
        <f>IFERROR(__xludf.DUMMYFUNCTION("""COMPUTED_VALUE"""),"Praziquantel")</f>
        <v>Praziquantel</v>
      </c>
      <c r="E233" s="697" t="str">
        <f>IFERROR(__xludf.DUMMYFUNCTION("""COMPUTED_VALUE"""),"Two")</f>
        <v>Two</v>
      </c>
      <c r="F233" s="697" t="str">
        <f>IFERROR(__xludf.DUMMYFUNCTION("""COMPUTED_VALUE"""),"20 mg/kg")</f>
        <v>20 mg/kg</v>
      </c>
      <c r="G233" s="697">
        <f>IFERROR(__xludf.DUMMYFUNCTION("""COMPUTED_VALUE"""),52.0)</f>
        <v>52</v>
      </c>
      <c r="H233" s="697" t="str">
        <f>IFERROR(__xludf.DUMMYFUNCTION("""COMPUTED_VALUE"""),"&gt;8")</f>
        <v>&gt;8</v>
      </c>
      <c r="I233" s="705" t="str">
        <f>IFERROR(__xludf.DUMMYFUNCTION("""COMPUTED_VALUE"""),"75%:25%")</f>
        <v>75%:25%</v>
      </c>
      <c r="J233" s="697">
        <f>IFERROR(__xludf.DUMMYFUNCTION("""COMPUTED_VALUE"""),1979.0)</f>
        <v>1979</v>
      </c>
      <c r="K233" s="697" t="str">
        <f>IFERROR(__xludf.DUMMYFUNCTION("""COMPUTED_VALUE"""),"individuals who were positive for S. mansoni and S. haematobium (mixed infection)")</f>
        <v>individuals who were positive for S. mansoni and S. haematobium (mixed infection)</v>
      </c>
      <c r="L233" s="697" t="str">
        <f>IFERROR(__xludf.DUMMYFUNCTION("""COMPUTED_VALUE"""),"Yes ")</f>
        <v>Yes </v>
      </c>
      <c r="M233" s="697" t="str">
        <f>IFERROR(__xludf.DUMMYFUNCTION("""COMPUTED_VALUE"""),"Yes")</f>
        <v>Yes</v>
      </c>
      <c r="N233" s="697" t="str">
        <f>IFERROR(__xludf.DUMMYFUNCTION("""COMPUTED_VALUE"""),"Cure rate was found by adding the 100% reduction +the &gt;98% and no hatching column")</f>
        <v>Cure rate was found by adding the 100% reduction +the &gt;98% and no hatching column</v>
      </c>
      <c r="O233" s="706">
        <f>IFERROR(__xludf.DUMMYFUNCTION("""COMPUTED_VALUE"""),0.58)</f>
        <v>0.58</v>
      </c>
      <c r="P233" s="697"/>
      <c r="Q233" s="697" t="str">
        <f>IFERROR(__xludf.DUMMYFUNCTION("""COMPUTED_VALUE"""),"Thus findings of the present study suggest that praziquantel being easily applicable, safe and effective also in mixed infections, will have a great role to play in the control ofschistosomiasis in the near future.")</f>
        <v>Thus findings of the present study suggest that praziquantel being easily applicable, safe and effective also in mixed infections, will have a great role to play in the control ofschistosomiasis in the near future.</v>
      </c>
      <c r="R233" s="697"/>
      <c r="S233" s="699" t="str">
        <f>IFERROR(__xludf.DUMMYFUNCTION("""COMPUTED_VALUE"""),"Omer AH. Praziquantel in the treatment of mixed S. haematobium and S. mansoni infections. Arzneimittelforschung 1981;31(3a):605–8.")</f>
        <v>Omer AH. Praziquantel in the treatment of mixed S. haematobium and S. mansoni infections. Arzneimittelforschung 1981;31(3a):605–8.</v>
      </c>
      <c r="T233" s="697"/>
      <c r="U233" s="697" t="str">
        <f>IFERROR(__xludf.DUMMYFUNCTION("""COMPUTED_VALUE"""),"")</f>
        <v/>
      </c>
      <c r="V233" s="697">
        <f>IFERROR(__xludf.DUMMYFUNCTION("""COMPUTED_VALUE"""),233.0)</f>
        <v>233</v>
      </c>
    </row>
    <row r="234">
      <c r="A234" s="697" t="str">
        <f>IFERROR(__xludf.DUMMYFUNCTION("""COMPUTED_VALUE"""),"Omer 1981")</f>
        <v>Omer 1981</v>
      </c>
      <c r="B234" s="697" t="str">
        <f>IFERROR(__xludf.DUMMYFUNCTION("""COMPUTED_VALUE"""),"s.mansoni")</f>
        <v>s.mansoni</v>
      </c>
      <c r="C234" s="697" t="str">
        <f>IFERROR(__xludf.DUMMYFUNCTION("""COMPUTED_VALUE"""),"Sudan")</f>
        <v>Sudan</v>
      </c>
      <c r="D234" s="697" t="str">
        <f>IFERROR(__xludf.DUMMYFUNCTION("""COMPUTED_VALUE"""),"Praziquantel")</f>
        <v>Praziquantel</v>
      </c>
      <c r="E234" s="697" t="str">
        <f>IFERROR(__xludf.DUMMYFUNCTION("""COMPUTED_VALUE"""),"Single")</f>
        <v>Single</v>
      </c>
      <c r="F234" s="697" t="str">
        <f>IFERROR(__xludf.DUMMYFUNCTION("""COMPUTED_VALUE"""),"30 mg/kg")</f>
        <v>30 mg/kg</v>
      </c>
      <c r="G234" s="697">
        <f>IFERROR(__xludf.DUMMYFUNCTION("""COMPUTED_VALUE"""),50.0)</f>
        <v>50</v>
      </c>
      <c r="H234" s="697" t="str">
        <f>IFERROR(__xludf.DUMMYFUNCTION("""COMPUTED_VALUE"""),"&gt;8")</f>
        <v>&gt;8</v>
      </c>
      <c r="I234" s="705" t="str">
        <f>IFERROR(__xludf.DUMMYFUNCTION("""COMPUTED_VALUE"""),"60%:36%")</f>
        <v>60%:36%</v>
      </c>
      <c r="J234" s="697">
        <f>IFERROR(__xludf.DUMMYFUNCTION("""COMPUTED_VALUE"""),1979.0)</f>
        <v>1979</v>
      </c>
      <c r="K234" s="697" t="str">
        <f>IFERROR(__xludf.DUMMYFUNCTION("""COMPUTED_VALUE"""),"individuals who were positive for S. mansoni and S. haematobium (mixed infection)")</f>
        <v>individuals who were positive for S. mansoni and S. haematobium (mixed infection)</v>
      </c>
      <c r="L234" s="697" t="str">
        <f>IFERROR(__xludf.DUMMYFUNCTION("""COMPUTED_VALUE"""),"Yes ")</f>
        <v>Yes </v>
      </c>
      <c r="M234" s="697" t="str">
        <f>IFERROR(__xludf.DUMMYFUNCTION("""COMPUTED_VALUE"""),"Yes")</f>
        <v>Yes</v>
      </c>
      <c r="N234" s="697" t="str">
        <f>IFERROR(__xludf.DUMMYFUNCTION("""COMPUTED_VALUE"""),"Cure rate was found by adding the 100% reduction +the &gt;98% and no hatching column")</f>
        <v>Cure rate was found by adding the 100% reduction +the &gt;98% and no hatching column</v>
      </c>
      <c r="O234" s="706">
        <f>IFERROR(__xludf.DUMMYFUNCTION("""COMPUTED_VALUE"""),0.64)</f>
        <v>0.64</v>
      </c>
      <c r="P234" s="697"/>
      <c r="Q234" s="697" t="str">
        <f>IFERROR(__xludf.DUMMYFUNCTION("""COMPUTED_VALUE"""),"Thus findings of the present study suggest that praziquantel being easily applicable, safe and effective also in mixed infections, will have a great role to play in the control ofschistosomiasis in the near future.")</f>
        <v>Thus findings of the present study suggest that praziquantel being easily applicable, safe and effective also in mixed infections, will have a great role to play in the control ofschistosomiasis in the near future.</v>
      </c>
      <c r="R234" s="697"/>
      <c r="S234" s="699" t="str">
        <f>IFERROR(__xludf.DUMMYFUNCTION("""COMPUTED_VALUE"""),"Omer AH. Praziquantel in the treatment of mixed S. haematobium and S. mansoni infections. Arzneimittelforschung 1981;31(3a):605–8.")</f>
        <v>Omer AH. Praziquantel in the treatment of mixed S. haematobium and S. mansoni infections. Arzneimittelforschung 1981;31(3a):605–8.</v>
      </c>
      <c r="T234" s="697"/>
      <c r="U234" s="697" t="str">
        <f>IFERROR(__xludf.DUMMYFUNCTION("""COMPUTED_VALUE"""),"")</f>
        <v/>
      </c>
      <c r="V234" s="697">
        <f>IFERROR(__xludf.DUMMYFUNCTION("""COMPUTED_VALUE"""),234.0)</f>
        <v>234</v>
      </c>
    </row>
    <row r="235">
      <c r="A235" s="697" t="str">
        <f>IFERROR(__xludf.DUMMYFUNCTION("""COMPUTED_VALUE"""),"Rugemalila 1984")</f>
        <v>Rugemalila 1984</v>
      </c>
      <c r="B235" s="697" t="str">
        <f>IFERROR(__xludf.DUMMYFUNCTION("""COMPUTED_VALUE"""),"s.mansoni")</f>
        <v>s.mansoni</v>
      </c>
      <c r="C235" s="697" t="str">
        <f>IFERROR(__xludf.DUMMYFUNCTION("""COMPUTED_VALUE"""),"Tanzania")</f>
        <v>Tanzania</v>
      </c>
      <c r="D235" s="697" t="str">
        <f>IFERROR(__xludf.DUMMYFUNCTION("""COMPUTED_VALUE"""),"Praziquantel")</f>
        <v>Praziquantel</v>
      </c>
      <c r="E235" s="697" t="str">
        <f>IFERROR(__xludf.DUMMYFUNCTION("""COMPUTED_VALUE"""),"Single")</f>
        <v>Single</v>
      </c>
      <c r="F235" s="697" t="str">
        <f>IFERROR(__xludf.DUMMYFUNCTION("""COMPUTED_VALUE"""),"40 mg/kg")</f>
        <v>40 mg/kg</v>
      </c>
      <c r="G235" s="697">
        <f>IFERROR(__xludf.DUMMYFUNCTION("""COMPUTED_VALUE"""),49.0)</f>
        <v>49</v>
      </c>
      <c r="H235" s="704">
        <f>IFERROR(__xludf.DUMMYFUNCTION("""COMPUTED_VALUE"""),42596.0)</f>
        <v>42596</v>
      </c>
      <c r="I235" s="697"/>
      <c r="J235" s="697">
        <f>IFERROR(__xludf.DUMMYFUNCTION("""COMPUTED_VALUE"""),1984.0)</f>
        <v>1984</v>
      </c>
      <c r="K235" s="697" t="str">
        <f>IFERROR(__xludf.DUMMYFUNCTION("""COMPUTED_VALUE"""),"children aged 8 to 14 years attending primary school in Mwanza district infected with S. mansoni")</f>
        <v>children aged 8 to 14 years attending primary school in Mwanza district infected with S. mansoni</v>
      </c>
      <c r="L235" s="697" t="str">
        <f>IFERROR(__xludf.DUMMYFUNCTION("""COMPUTED_VALUE"""),"Yes")</f>
        <v>Yes</v>
      </c>
      <c r="M235" s="697" t="str">
        <f>IFERROR(__xludf.DUMMYFUNCTION("""COMPUTED_VALUE"""),"Yes")</f>
        <v>Yes</v>
      </c>
      <c r="N235" s="697"/>
      <c r="O235" s="697"/>
      <c r="P235" s="697"/>
      <c r="Q235" s="697"/>
      <c r="R235" s="697"/>
      <c r="S235" s="699" t="str">
        <f>IFERROR(__xludf.DUMMYFUNCTION("""COMPUTED_VALUE"""),"Rugemalila JB, Asila J, Chimbe A. Randomized comparative trials of single doses of the newer antischistosomal drugs at Mwanza, Tanzania. I. Praziquantel and oxamniquine for the treatment of schistosomiasis mansoni. Journal of Tropical Medicine and Hygiene"&amp;" 1984;87(6):231–5.")</f>
        <v>Rugemalila JB, Asila J, Chimbe A. Randomized comparative trials of single doses of the newer antischistosomal drugs at Mwanza, Tanzania. I. Praziquantel and oxamniquine for the treatment of schistosomiasis mansoni. Journal of Tropical Medicine and Hygiene 1984;87(6):231–5.</v>
      </c>
      <c r="T235" s="697"/>
      <c r="U235" s="697" t="str">
        <f>IFERROR(__xludf.DUMMYFUNCTION("""COMPUTED_VALUE"""),"")</f>
        <v/>
      </c>
      <c r="V235" s="697">
        <f>IFERROR(__xludf.DUMMYFUNCTION("""COMPUTED_VALUE"""),235.0)</f>
        <v>235</v>
      </c>
    </row>
    <row r="236">
      <c r="A236" s="697" t="str">
        <f>IFERROR(__xludf.DUMMYFUNCTION("""COMPUTED_VALUE"""),"Rugemalila 1984")</f>
        <v>Rugemalila 1984</v>
      </c>
      <c r="B236" s="697" t="str">
        <f>IFERROR(__xludf.DUMMYFUNCTION("""COMPUTED_VALUE"""),"s.mansoni")</f>
        <v>s.mansoni</v>
      </c>
      <c r="C236" s="697" t="str">
        <f>IFERROR(__xludf.DUMMYFUNCTION("""COMPUTED_VALUE"""),"Tanzania")</f>
        <v>Tanzania</v>
      </c>
      <c r="D236" s="697" t="str">
        <f>IFERROR(__xludf.DUMMYFUNCTION("""COMPUTED_VALUE"""),"Oxamniquine")</f>
        <v>Oxamniquine</v>
      </c>
      <c r="E236" s="697" t="str">
        <f>IFERROR(__xludf.DUMMYFUNCTION("""COMPUTED_VALUE"""),"Single")</f>
        <v>Single</v>
      </c>
      <c r="F236" s="697" t="str">
        <f>IFERROR(__xludf.DUMMYFUNCTION("""COMPUTED_VALUE"""),"15 mg/kg")</f>
        <v>15 mg/kg</v>
      </c>
      <c r="G236" s="697">
        <f>IFERROR(__xludf.DUMMYFUNCTION("""COMPUTED_VALUE"""),54.0)</f>
        <v>54</v>
      </c>
      <c r="H236" s="704">
        <f>IFERROR(__xludf.DUMMYFUNCTION("""COMPUTED_VALUE"""),42596.0)</f>
        <v>42596</v>
      </c>
      <c r="I236" s="697"/>
      <c r="J236" s="697">
        <f>IFERROR(__xludf.DUMMYFUNCTION("""COMPUTED_VALUE"""),1984.0)</f>
        <v>1984</v>
      </c>
      <c r="K236" s="697" t="str">
        <f>IFERROR(__xludf.DUMMYFUNCTION("""COMPUTED_VALUE"""),"children aged 8 to 14 years attending primary school in Mwanza district infected with S. mansoni")</f>
        <v>children aged 8 to 14 years attending primary school in Mwanza district infected with S. mansoni</v>
      </c>
      <c r="L236" s="697" t="str">
        <f>IFERROR(__xludf.DUMMYFUNCTION("""COMPUTED_VALUE"""),"Yes")</f>
        <v>Yes</v>
      </c>
      <c r="M236" s="697" t="str">
        <f>IFERROR(__xludf.DUMMYFUNCTION("""COMPUTED_VALUE"""),"Yes")</f>
        <v>Yes</v>
      </c>
      <c r="N236" s="697"/>
      <c r="O236" s="697"/>
      <c r="P236" s="697"/>
      <c r="Q236" s="697"/>
      <c r="R236" s="697"/>
      <c r="S236" s="699" t="str">
        <f>IFERROR(__xludf.DUMMYFUNCTION("""COMPUTED_VALUE"""),"Rugemalila JB, Asila J, Chimbe A. Randomized comparative trials of single doses of the newer antischistosomal drugs at Mwanza, Tanzania. I. Praziquantel and oxamniquine for the treatment of schistosomiasis mansoni. Journal of Tropical Medicine and Hygiene"&amp;" 1984;87(6):231–5.")</f>
        <v>Rugemalila JB, Asila J, Chimbe A. Randomized comparative trials of single doses of the newer antischistosomal drugs at Mwanza, Tanzania. I. Praziquantel and oxamniquine for the treatment of schistosomiasis mansoni. Journal of Tropical Medicine and Hygiene 1984;87(6):231–5.</v>
      </c>
      <c r="T236" s="697"/>
      <c r="U236" s="697" t="str">
        <f>IFERROR(__xludf.DUMMYFUNCTION("""COMPUTED_VALUE"""),"")</f>
        <v/>
      </c>
      <c r="V236" s="697">
        <f>IFERROR(__xludf.DUMMYFUNCTION("""COMPUTED_VALUE"""),236.0)</f>
        <v>236</v>
      </c>
    </row>
    <row r="237">
      <c r="A237" s="697" t="str">
        <f>IFERROR(__xludf.DUMMYFUNCTION("""COMPUTED_VALUE"""),"Taylor 1988")</f>
        <v>Taylor 1988</v>
      </c>
      <c r="B237" s="697" t="str">
        <f>IFERROR(__xludf.DUMMYFUNCTION("""COMPUTED_VALUE"""),"s.mansoni")</f>
        <v>s.mansoni</v>
      </c>
      <c r="C237" s="697" t="str">
        <f>IFERROR(__xludf.DUMMYFUNCTION("""COMPUTED_VALUE"""),"Zimbabwe")</f>
        <v>Zimbabwe</v>
      </c>
      <c r="D237" s="697" t="str">
        <f>IFERROR(__xludf.DUMMYFUNCTION("""COMPUTED_VALUE"""),"Praziquantel")</f>
        <v>Praziquantel</v>
      </c>
      <c r="E237" s="697" t="str">
        <f>IFERROR(__xludf.DUMMYFUNCTION("""COMPUTED_VALUE"""),"Single")</f>
        <v>Single</v>
      </c>
      <c r="F237" s="697" t="str">
        <f>IFERROR(__xludf.DUMMYFUNCTION("""COMPUTED_VALUE"""),"40 mg/kg")</f>
        <v>40 mg/kg</v>
      </c>
      <c r="G237" s="697">
        <f>IFERROR(__xludf.DUMMYFUNCTION("""COMPUTED_VALUE"""),77.0)</f>
        <v>77</v>
      </c>
      <c r="H237" s="704">
        <f>IFERROR(__xludf.DUMMYFUNCTION("""COMPUTED_VALUE"""),42658.0)</f>
        <v>42658</v>
      </c>
      <c r="I237" s="705" t="str">
        <f>IFERROR(__xludf.DUMMYFUNCTION("""COMPUTED_VALUE"""),"34:43")</f>
        <v>34:43</v>
      </c>
      <c r="J237" s="697">
        <f>IFERROR(__xludf.DUMMYFUNCTION("""COMPUTED_VALUE"""),1988.0)</f>
        <v>1988</v>
      </c>
      <c r="K237" s="697" t="str">
        <f>IFERROR(__xludf.DUMMYFUNCTION("""COMPUTED_VALUE"""),"children aged 10 to 15 years who were all infected with both S. mansoni and S. haematobium")</f>
        <v>children aged 10 to 15 years who were all infected with both S. mansoni and S. haematobium</v>
      </c>
      <c r="L237" s="697" t="str">
        <f>IFERROR(__xludf.DUMMYFUNCTION("""COMPUTED_VALUE"""),"Yes")</f>
        <v>Yes</v>
      </c>
      <c r="M237" s="697" t="str">
        <f>IFERROR(__xludf.DUMMYFUNCTION("""COMPUTED_VALUE"""),"Yes")</f>
        <v>Yes</v>
      </c>
      <c r="N237" s="697" t="str">
        <f>IFERROR(__xludf.DUMMYFUNCTION("""COMPUTED_VALUE"""),"Cure rate at 1m,3m,and 6,")</f>
        <v>Cure rate at 1m,3m,and 6,</v>
      </c>
      <c r="O237" s="698">
        <f>IFERROR(__xludf.DUMMYFUNCTION("""COMPUTED_VALUE"""),0.658)</f>
        <v>0.658</v>
      </c>
      <c r="P237" s="697"/>
      <c r="Q237" s="697" t="str">
        <f>IFERROR(__xludf.DUMMYFUNCTION("""COMPUTED_VALUE"""),"The results here present that a dose of 30-40mg/kg may be equally effective in reducing the effectiveness of S.mansoni")</f>
        <v>The results here present that a dose of 30-40mg/kg may be equally effective in reducing the effectiveness of S.mansoni</v>
      </c>
      <c r="R237" s="697"/>
      <c r="S237" s="699" t="str">
        <f>IFERROR(__xludf.DUMMYFUNCTION("""COMPUTED_VALUE"""),"Taylor P, Murare HM, Manomano K. Efficacy of low doses of praziquantel for Schistosoma mansoni and S. haematobium. Journal of Tropical Medicine and Hygiene 1988;91(1):13–7.")</f>
        <v>Taylor P, Murare HM, Manomano K. Efficacy of low doses of praziquantel for Schistosoma mansoni and S. haematobium. Journal of Tropical Medicine and Hygiene 1988;91(1):13–7.</v>
      </c>
      <c r="T237" s="697"/>
      <c r="U237" s="697" t="str">
        <f>IFERROR(__xludf.DUMMYFUNCTION("""COMPUTED_VALUE"""),"")</f>
        <v/>
      </c>
      <c r="V237" s="697">
        <f>IFERROR(__xludf.DUMMYFUNCTION("""COMPUTED_VALUE"""),237.0)</f>
        <v>237</v>
      </c>
    </row>
    <row r="238">
      <c r="A238" s="697" t="str">
        <f>IFERROR(__xludf.DUMMYFUNCTION("""COMPUTED_VALUE"""),"Taylor 1988")</f>
        <v>Taylor 1988</v>
      </c>
      <c r="B238" s="697" t="str">
        <f>IFERROR(__xludf.DUMMYFUNCTION("""COMPUTED_VALUE"""),"s.mansoni")</f>
        <v>s.mansoni</v>
      </c>
      <c r="C238" s="697" t="str">
        <f>IFERROR(__xludf.DUMMYFUNCTION("""COMPUTED_VALUE"""),"Zimbabwe")</f>
        <v>Zimbabwe</v>
      </c>
      <c r="D238" s="697" t="str">
        <f>IFERROR(__xludf.DUMMYFUNCTION("""COMPUTED_VALUE"""),"Praziquantel")</f>
        <v>Praziquantel</v>
      </c>
      <c r="E238" s="697" t="str">
        <f>IFERROR(__xludf.DUMMYFUNCTION("""COMPUTED_VALUE"""),"Single")</f>
        <v>Single</v>
      </c>
      <c r="F238" s="697" t="str">
        <f>IFERROR(__xludf.DUMMYFUNCTION("""COMPUTED_VALUE"""),"30 mg/kg")</f>
        <v>30 mg/kg</v>
      </c>
      <c r="G238" s="697">
        <f>IFERROR(__xludf.DUMMYFUNCTION("""COMPUTED_VALUE"""),72.0)</f>
        <v>72</v>
      </c>
      <c r="H238" s="704">
        <f>IFERROR(__xludf.DUMMYFUNCTION("""COMPUTED_VALUE"""),42658.0)</f>
        <v>42658</v>
      </c>
      <c r="I238" s="705" t="str">
        <f>IFERROR(__xludf.DUMMYFUNCTION("""COMPUTED_VALUE"""),"37:35")</f>
        <v>37:35</v>
      </c>
      <c r="J238" s="697">
        <f>IFERROR(__xludf.DUMMYFUNCTION("""COMPUTED_VALUE"""),1988.0)</f>
        <v>1988</v>
      </c>
      <c r="K238" s="697" t="str">
        <f>IFERROR(__xludf.DUMMYFUNCTION("""COMPUTED_VALUE"""),"children aged 10 to 15 years who were all infected with both S. mansoni and S. haematobium")</f>
        <v>children aged 10 to 15 years who were all infected with both S. mansoni and S. haematobium</v>
      </c>
      <c r="L238" s="697" t="str">
        <f>IFERROR(__xludf.DUMMYFUNCTION("""COMPUTED_VALUE"""),"Yes")</f>
        <v>Yes</v>
      </c>
      <c r="M238" s="697" t="str">
        <f>IFERROR(__xludf.DUMMYFUNCTION("""COMPUTED_VALUE"""),"Yes")</f>
        <v>Yes</v>
      </c>
      <c r="N238" s="697" t="str">
        <f>IFERROR(__xludf.DUMMYFUNCTION("""COMPUTED_VALUE"""),"Cure rate at 1m,3m,and 6,")</f>
        <v>Cure rate at 1m,3m,and 6,</v>
      </c>
      <c r="O238" s="698">
        <f>IFERROR(__xludf.DUMMYFUNCTION("""COMPUTED_VALUE"""),0.515)</f>
        <v>0.515</v>
      </c>
      <c r="P238" s="697"/>
      <c r="Q238" s="697" t="str">
        <f>IFERROR(__xludf.DUMMYFUNCTION("""COMPUTED_VALUE"""),"The results here present that a dose of 30-40mg/kg may be equally effective in reducing the effectiveness of S.mansoni")</f>
        <v>The results here present that a dose of 30-40mg/kg may be equally effective in reducing the effectiveness of S.mansoni</v>
      </c>
      <c r="R238" s="697"/>
      <c r="S238" s="699" t="str">
        <f>IFERROR(__xludf.DUMMYFUNCTION("""COMPUTED_VALUE"""),"Taylor P, Murare HM, Manomano K. Efficacy of low doses of praziquantel for Schistosoma mansoni and S. haematobium. Journal of Tropical Medicine and Hygiene 1988;91(1):13–7.")</f>
        <v>Taylor P, Murare HM, Manomano K. Efficacy of low doses of praziquantel for Schistosoma mansoni and S. haematobium. Journal of Tropical Medicine and Hygiene 1988;91(1):13–7.</v>
      </c>
      <c r="T238" s="697"/>
      <c r="U238" s="697" t="str">
        <f>IFERROR(__xludf.DUMMYFUNCTION("""COMPUTED_VALUE"""),"")</f>
        <v/>
      </c>
      <c r="V238" s="697">
        <f>IFERROR(__xludf.DUMMYFUNCTION("""COMPUTED_VALUE"""),238.0)</f>
        <v>238</v>
      </c>
    </row>
    <row r="239">
      <c r="A239" s="697" t="str">
        <f>IFERROR(__xludf.DUMMYFUNCTION("""COMPUTED_VALUE"""),"Taylor 1988")</f>
        <v>Taylor 1988</v>
      </c>
      <c r="B239" s="697" t="str">
        <f>IFERROR(__xludf.DUMMYFUNCTION("""COMPUTED_VALUE"""),"s.mansoni")</f>
        <v>s.mansoni</v>
      </c>
      <c r="C239" s="697" t="str">
        <f>IFERROR(__xludf.DUMMYFUNCTION("""COMPUTED_VALUE"""),"Zimbabwe")</f>
        <v>Zimbabwe</v>
      </c>
      <c r="D239" s="697" t="str">
        <f>IFERROR(__xludf.DUMMYFUNCTION("""COMPUTED_VALUE"""),"Praziquantel")</f>
        <v>Praziquantel</v>
      </c>
      <c r="E239" s="697" t="str">
        <f>IFERROR(__xludf.DUMMYFUNCTION("""COMPUTED_VALUE"""),"Single")</f>
        <v>Single</v>
      </c>
      <c r="F239" s="697" t="str">
        <f>IFERROR(__xludf.DUMMYFUNCTION("""COMPUTED_VALUE"""),"20 mg/kg")</f>
        <v>20 mg/kg</v>
      </c>
      <c r="G239" s="697">
        <f>IFERROR(__xludf.DUMMYFUNCTION("""COMPUTED_VALUE"""),61.0)</f>
        <v>61</v>
      </c>
      <c r="H239" s="704">
        <f>IFERROR(__xludf.DUMMYFUNCTION("""COMPUTED_VALUE"""),42658.0)</f>
        <v>42658</v>
      </c>
      <c r="I239" s="705" t="str">
        <f>IFERROR(__xludf.DUMMYFUNCTION("""COMPUTED_VALUE"""),"30:31")</f>
        <v>30:31</v>
      </c>
      <c r="J239" s="697">
        <f>IFERROR(__xludf.DUMMYFUNCTION("""COMPUTED_VALUE"""),1988.0)</f>
        <v>1988</v>
      </c>
      <c r="K239" s="697" t="str">
        <f>IFERROR(__xludf.DUMMYFUNCTION("""COMPUTED_VALUE"""),"children aged 10 to 15 years who were all infected with both S. mansoni and S. haematobium")</f>
        <v>children aged 10 to 15 years who were all infected with both S. mansoni and S. haematobium</v>
      </c>
      <c r="L239" s="697" t="str">
        <f>IFERROR(__xludf.DUMMYFUNCTION("""COMPUTED_VALUE"""),"Yes")</f>
        <v>Yes</v>
      </c>
      <c r="M239" s="697" t="str">
        <f>IFERROR(__xludf.DUMMYFUNCTION("""COMPUTED_VALUE"""),"Yes")</f>
        <v>Yes</v>
      </c>
      <c r="N239" s="697" t="str">
        <f>IFERROR(__xludf.DUMMYFUNCTION("""COMPUTED_VALUE"""),"Cure rate at 1m,3m,and 6,")</f>
        <v>Cure rate at 1m,3m,and 6,</v>
      </c>
      <c r="O239" s="698">
        <f>IFERROR(__xludf.DUMMYFUNCTION("""COMPUTED_VALUE"""),0.155)</f>
        <v>0.155</v>
      </c>
      <c r="P239" s="697"/>
      <c r="Q239" s="697" t="str">
        <f>IFERROR(__xludf.DUMMYFUNCTION("""COMPUTED_VALUE"""),"The results here present that a dose of 30-40mg/kg may be equally effective in reducing the effectiveness of S.mansoni")</f>
        <v>The results here present that a dose of 30-40mg/kg may be equally effective in reducing the effectiveness of S.mansoni</v>
      </c>
      <c r="R239" s="697"/>
      <c r="S239" s="699" t="str">
        <f>IFERROR(__xludf.DUMMYFUNCTION("""COMPUTED_VALUE"""),"Taylor P, Murare HM, Manomano K. Efficacy of low doses of praziquantel for Schistosoma mansoni and S. haematobium. Journal of Tropical Medicine and Hygiene 1988;91(1):13–7.")</f>
        <v>Taylor P, Murare HM, Manomano K. Efficacy of low doses of praziquantel for Schistosoma mansoni and S. haematobium. Journal of Tropical Medicine and Hygiene 1988;91(1):13–7.</v>
      </c>
      <c r="T239" s="697"/>
      <c r="U239" s="697" t="str">
        <f>IFERROR(__xludf.DUMMYFUNCTION("""COMPUTED_VALUE"""),"")</f>
        <v/>
      </c>
      <c r="V239" s="697">
        <f>IFERROR(__xludf.DUMMYFUNCTION("""COMPUTED_VALUE"""),239.0)</f>
        <v>239</v>
      </c>
    </row>
    <row r="240">
      <c r="A240" s="697" t="str">
        <f>IFERROR(__xludf.DUMMYFUNCTION("""COMPUTED_VALUE"""),"Taylor 1988")</f>
        <v>Taylor 1988</v>
      </c>
      <c r="B240" s="697" t="str">
        <f>IFERROR(__xludf.DUMMYFUNCTION("""COMPUTED_VALUE"""),"s.mansoni")</f>
        <v>s.mansoni</v>
      </c>
      <c r="C240" s="697" t="str">
        <f>IFERROR(__xludf.DUMMYFUNCTION("""COMPUTED_VALUE"""),"Zimbabwe")</f>
        <v>Zimbabwe</v>
      </c>
      <c r="D240" s="697" t="str">
        <f>IFERROR(__xludf.DUMMYFUNCTION("""COMPUTED_VALUE"""),"Praziquantel")</f>
        <v>Praziquantel</v>
      </c>
      <c r="E240" s="697" t="str">
        <f>IFERROR(__xludf.DUMMYFUNCTION("""COMPUTED_VALUE"""),"Single")</f>
        <v>Single</v>
      </c>
      <c r="F240" s="697" t="str">
        <f>IFERROR(__xludf.DUMMYFUNCTION("""COMPUTED_VALUE"""),"10 mg/kg")</f>
        <v>10 mg/kg</v>
      </c>
      <c r="G240" s="697">
        <f>IFERROR(__xludf.DUMMYFUNCTION("""COMPUTED_VALUE"""),73.0)</f>
        <v>73</v>
      </c>
      <c r="H240" s="704">
        <f>IFERROR(__xludf.DUMMYFUNCTION("""COMPUTED_VALUE"""),42658.0)</f>
        <v>42658</v>
      </c>
      <c r="I240" s="705" t="str">
        <f>IFERROR(__xludf.DUMMYFUNCTION("""COMPUTED_VALUE"""),"45:28")</f>
        <v>45:28</v>
      </c>
      <c r="J240" s="697">
        <f>IFERROR(__xludf.DUMMYFUNCTION("""COMPUTED_VALUE"""),1988.0)</f>
        <v>1988</v>
      </c>
      <c r="K240" s="697" t="str">
        <f>IFERROR(__xludf.DUMMYFUNCTION("""COMPUTED_VALUE"""),"children aged 10 to 15 years who were all infected with both S. mansoni and S. haematobium")</f>
        <v>children aged 10 to 15 years who were all infected with both S. mansoni and S. haematobium</v>
      </c>
      <c r="L240" s="697" t="str">
        <f>IFERROR(__xludf.DUMMYFUNCTION("""COMPUTED_VALUE"""),"Yes")</f>
        <v>Yes</v>
      </c>
      <c r="M240" s="697" t="str">
        <f>IFERROR(__xludf.DUMMYFUNCTION("""COMPUTED_VALUE"""),"Yes")</f>
        <v>Yes</v>
      </c>
      <c r="N240" s="697" t="str">
        <f>IFERROR(__xludf.DUMMYFUNCTION("""COMPUTED_VALUE"""),"Cure rate at 1m,3m,and 6,")</f>
        <v>Cure rate at 1m,3m,and 6,</v>
      </c>
      <c r="O240" s="698">
        <f>IFERROR(__xludf.DUMMYFUNCTION("""COMPUTED_VALUE"""),0.045)</f>
        <v>0.045</v>
      </c>
      <c r="P240" s="697"/>
      <c r="Q240" s="697" t="str">
        <f>IFERROR(__xludf.DUMMYFUNCTION("""COMPUTED_VALUE"""),"The results here present that a dose of 30-40mg/kg may be equally effective in reducing the effectiveness of S.mansoni")</f>
        <v>The results here present that a dose of 30-40mg/kg may be equally effective in reducing the effectiveness of S.mansoni</v>
      </c>
      <c r="R240" s="697"/>
      <c r="S240" s="699" t="str">
        <f>IFERROR(__xludf.DUMMYFUNCTION("""COMPUTED_VALUE"""),"Taylor P, Murare HM, Manomano K. Efficacy of low doses of praziquantel for Schistosoma mansoni and S. haematobium. Journal of Tropical Medicine and Hygiene 1988;91(1):13–7.")</f>
        <v>Taylor P, Murare HM, Manomano K. Efficacy of low doses of praziquantel for Schistosoma mansoni and S. haematobium. Journal of Tropical Medicine and Hygiene 1988;91(1):13–7.</v>
      </c>
      <c r="T240" s="697"/>
      <c r="U240" s="697" t="str">
        <f>IFERROR(__xludf.DUMMYFUNCTION("""COMPUTED_VALUE"""),"")</f>
        <v/>
      </c>
      <c r="V240" s="697">
        <f>IFERROR(__xludf.DUMMYFUNCTION("""COMPUTED_VALUE"""),240.0)</f>
        <v>240</v>
      </c>
    </row>
    <row r="241">
      <c r="A241" s="697" t="str">
        <f>IFERROR(__xludf.DUMMYFUNCTION("""COMPUTED_VALUE"""),"Tessdale 1984")</f>
        <v>Tessdale 1984</v>
      </c>
      <c r="B241" s="697" t="str">
        <f>IFERROR(__xludf.DUMMYFUNCTION("""COMPUTED_VALUE"""),"s.mansoni")</f>
        <v>s.mansoni</v>
      </c>
      <c r="C241" s="697" t="str">
        <f>IFERROR(__xludf.DUMMYFUNCTION("""COMPUTED_VALUE"""),"Malawi")</f>
        <v>Malawi</v>
      </c>
      <c r="D241" s="697" t="str">
        <f>IFERROR(__xludf.DUMMYFUNCTION("""COMPUTED_VALUE"""),"Oxamniquine")</f>
        <v>Oxamniquine</v>
      </c>
      <c r="E241" s="697" t="str">
        <f>IFERROR(__xludf.DUMMYFUNCTION("""COMPUTED_VALUE"""),"Two")</f>
        <v>Two</v>
      </c>
      <c r="F241" s="697" t="str">
        <f>IFERROR(__xludf.DUMMYFUNCTION("""COMPUTED_VALUE"""),"25 mg/kg")</f>
        <v>25 mg/kg</v>
      </c>
      <c r="G241" s="697">
        <f>IFERROR(__xludf.DUMMYFUNCTION("""COMPUTED_VALUE"""),101.0)</f>
        <v>101</v>
      </c>
      <c r="H241" s="704">
        <f>IFERROR(__xludf.DUMMYFUNCTION("""COMPUTED_VALUE"""),42535.0)</f>
        <v>42535</v>
      </c>
      <c r="I241" s="697"/>
      <c r="J241" s="697">
        <f>IFERROR(__xludf.DUMMYFUNCTION("""COMPUTED_VALUE"""),1984.0)</f>
        <v>1984</v>
      </c>
      <c r="K241" s="697" t="str">
        <f>IFERROR(__xludf.DUMMYFUNCTION("""COMPUTED_VALUE"""),"children aged 6 to 14 years with S. mansoni infection")</f>
        <v>children aged 6 to 14 years with S. mansoni infection</v>
      </c>
      <c r="L241" s="697" t="str">
        <f>IFERROR(__xludf.DUMMYFUNCTION("""COMPUTED_VALUE"""),"No")</f>
        <v>No</v>
      </c>
      <c r="M241" s="697" t="str">
        <f>IFERROR(__xludf.DUMMYFUNCTION("""COMPUTED_VALUE"""),"Yes")</f>
        <v>Yes</v>
      </c>
      <c r="N241" s="697" t="str">
        <f>IFERROR(__xludf.DUMMYFUNCTION("""COMPUTED_VALUE"""),"Follow up done at 1month and 3 months")</f>
        <v>Follow up done at 1month and 3 months</v>
      </c>
      <c r="O241" s="698">
        <f>IFERROR(__xludf.DUMMYFUNCTION("""COMPUTED_VALUE"""),0.666)</f>
        <v>0.666</v>
      </c>
      <c r="P241" s="698">
        <f>IFERROR(__xludf.DUMMYFUNCTION("""COMPUTED_VALUE"""),0.995)</f>
        <v>0.995</v>
      </c>
      <c r="Q241" s="697" t="str">
        <f>IFERROR(__xludf.DUMMYFUNCTION("""COMPUTED_VALUE"""),"Their recommended dosage of 30mg/kg in divided doses on two days is confined to individual treatment.")</f>
        <v>Their recommended dosage of 30mg/kg in divided doses on two days is confined to individual treatment.</v>
      </c>
      <c r="R241" s="697"/>
      <c r="S241" s="699" t="str">
        <f>IFERROR(__xludf.DUMMYFUNCTION("""COMPUTED_VALUE"""),"Teesdale CH, Chitsulo L, Pugh RN. Oxamniquine dosage in Malawi. East African Medical Journal 1984;61(1):40–4.")</f>
        <v>Teesdale CH, Chitsulo L, Pugh RN. Oxamniquine dosage in Malawi. East African Medical Journal 1984;61(1):40–4.</v>
      </c>
      <c r="T241" s="697"/>
      <c r="U241" s="697" t="str">
        <f>IFERROR(__xludf.DUMMYFUNCTION("""COMPUTED_VALUE"""),"")</f>
        <v/>
      </c>
      <c r="V241" s="697">
        <f>IFERROR(__xludf.DUMMYFUNCTION("""COMPUTED_VALUE"""),241.0)</f>
        <v>241</v>
      </c>
    </row>
    <row r="242">
      <c r="A242" s="697" t="str">
        <f>IFERROR(__xludf.DUMMYFUNCTION("""COMPUTED_VALUE"""),"Tessdale 1984")</f>
        <v>Tessdale 1984</v>
      </c>
      <c r="B242" s="697" t="str">
        <f>IFERROR(__xludf.DUMMYFUNCTION("""COMPUTED_VALUE"""),"s.mansoni")</f>
        <v>s.mansoni</v>
      </c>
      <c r="C242" s="697" t="str">
        <f>IFERROR(__xludf.DUMMYFUNCTION("""COMPUTED_VALUE"""),"Malawi")</f>
        <v>Malawi</v>
      </c>
      <c r="D242" s="697" t="str">
        <f>IFERROR(__xludf.DUMMYFUNCTION("""COMPUTED_VALUE"""),"Oxamniquine")</f>
        <v>Oxamniquine</v>
      </c>
      <c r="E242" s="697" t="str">
        <f>IFERROR(__xludf.DUMMYFUNCTION("""COMPUTED_VALUE"""),"Single")</f>
        <v>Single</v>
      </c>
      <c r="F242" s="697" t="str">
        <f>IFERROR(__xludf.DUMMYFUNCTION("""COMPUTED_VALUE"""),"40 mg/kg")</f>
        <v>40 mg/kg</v>
      </c>
      <c r="G242" s="697">
        <f>IFERROR(__xludf.DUMMYFUNCTION("""COMPUTED_VALUE"""),101.0)</f>
        <v>101</v>
      </c>
      <c r="H242" s="704">
        <f>IFERROR(__xludf.DUMMYFUNCTION("""COMPUTED_VALUE"""),42535.0)</f>
        <v>42535</v>
      </c>
      <c r="I242" s="697"/>
      <c r="J242" s="697">
        <f>IFERROR(__xludf.DUMMYFUNCTION("""COMPUTED_VALUE"""),1984.0)</f>
        <v>1984</v>
      </c>
      <c r="K242" s="697" t="str">
        <f>IFERROR(__xludf.DUMMYFUNCTION("""COMPUTED_VALUE"""),"children aged 6 to 14 years with S. mansoni infection")</f>
        <v>children aged 6 to 14 years with S. mansoni infection</v>
      </c>
      <c r="L242" s="697" t="str">
        <f>IFERROR(__xludf.DUMMYFUNCTION("""COMPUTED_VALUE"""),"No")</f>
        <v>No</v>
      </c>
      <c r="M242" s="697" t="str">
        <f>IFERROR(__xludf.DUMMYFUNCTION("""COMPUTED_VALUE"""),"Yes")</f>
        <v>Yes</v>
      </c>
      <c r="N242" s="697" t="str">
        <f>IFERROR(__xludf.DUMMYFUNCTION("""COMPUTED_VALUE"""),"Follow up done at 1month and 3 months")</f>
        <v>Follow up done at 1month and 3 months</v>
      </c>
      <c r="O242" s="700">
        <f>IFERROR(__xludf.DUMMYFUNCTION("""COMPUTED_VALUE"""),0.7)</f>
        <v>0.7</v>
      </c>
      <c r="P242" s="698">
        <f>IFERROR(__xludf.DUMMYFUNCTION("""COMPUTED_VALUE"""),0.991)</f>
        <v>0.991</v>
      </c>
      <c r="Q242" s="697" t="str">
        <f>IFERROR(__xludf.DUMMYFUNCTION("""COMPUTED_VALUE"""),"Their recommended dosage of 30mg/kg in divided doses on two days is confined to individual treatment.")</f>
        <v>Their recommended dosage of 30mg/kg in divided doses on two days is confined to individual treatment.</v>
      </c>
      <c r="R242" s="697"/>
      <c r="S242" s="699" t="str">
        <f>IFERROR(__xludf.DUMMYFUNCTION("""COMPUTED_VALUE"""),"Teesdale CH, Chitsulo L, Pugh RN. Oxamniquine dosage in Malawi. East African Medical Journal 1984;61(1):40–4.")</f>
        <v>Teesdale CH, Chitsulo L, Pugh RN. Oxamniquine dosage in Malawi. East African Medical Journal 1984;61(1):40–4.</v>
      </c>
      <c r="T242" s="697"/>
      <c r="U242" s="697" t="str">
        <f>IFERROR(__xludf.DUMMYFUNCTION("""COMPUTED_VALUE"""),"")</f>
        <v/>
      </c>
      <c r="V242" s="697">
        <f>IFERROR(__xludf.DUMMYFUNCTION("""COMPUTED_VALUE"""),242.0)</f>
        <v>242</v>
      </c>
    </row>
    <row r="243">
      <c r="A243" s="697" t="str">
        <f>IFERROR(__xludf.DUMMYFUNCTION("""COMPUTED_VALUE"""),"Tessdale 1984")</f>
        <v>Tessdale 1984</v>
      </c>
      <c r="B243" s="697" t="str">
        <f>IFERROR(__xludf.DUMMYFUNCTION("""COMPUTED_VALUE"""),"s.mansoni")</f>
        <v>s.mansoni</v>
      </c>
      <c r="C243" s="697" t="str">
        <f>IFERROR(__xludf.DUMMYFUNCTION("""COMPUTED_VALUE"""),"Malawi")</f>
        <v>Malawi</v>
      </c>
      <c r="D243" s="697" t="str">
        <f>IFERROR(__xludf.DUMMYFUNCTION("""COMPUTED_VALUE"""),"Oxamniquine")</f>
        <v>Oxamniquine</v>
      </c>
      <c r="E243" s="697" t="str">
        <f>IFERROR(__xludf.DUMMYFUNCTION("""COMPUTED_VALUE"""),"Single")</f>
        <v>Single</v>
      </c>
      <c r="F243" s="697" t="str">
        <f>IFERROR(__xludf.DUMMYFUNCTION("""COMPUTED_VALUE"""),"30 mg/kg")</f>
        <v>30 mg/kg</v>
      </c>
      <c r="G243" s="697">
        <f>IFERROR(__xludf.DUMMYFUNCTION("""COMPUTED_VALUE"""),101.0)</f>
        <v>101</v>
      </c>
      <c r="H243" s="704">
        <f>IFERROR(__xludf.DUMMYFUNCTION("""COMPUTED_VALUE"""),42535.0)</f>
        <v>42535</v>
      </c>
      <c r="I243" s="697"/>
      <c r="J243" s="697">
        <f>IFERROR(__xludf.DUMMYFUNCTION("""COMPUTED_VALUE"""),1984.0)</f>
        <v>1984</v>
      </c>
      <c r="K243" s="697" t="str">
        <f>IFERROR(__xludf.DUMMYFUNCTION("""COMPUTED_VALUE"""),"children aged 6 to 14 years with S. mansoni infection")</f>
        <v>children aged 6 to 14 years with S. mansoni infection</v>
      </c>
      <c r="L243" s="697" t="str">
        <f>IFERROR(__xludf.DUMMYFUNCTION("""COMPUTED_VALUE"""),"No")</f>
        <v>No</v>
      </c>
      <c r="M243" s="697" t="str">
        <f>IFERROR(__xludf.DUMMYFUNCTION("""COMPUTED_VALUE"""),"Yes")</f>
        <v>Yes</v>
      </c>
      <c r="N243" s="697" t="str">
        <f>IFERROR(__xludf.DUMMYFUNCTION("""COMPUTED_VALUE"""),"Follow up done at 1month and 3 months")</f>
        <v>Follow up done at 1month and 3 months</v>
      </c>
      <c r="O243" s="698">
        <f>IFERROR(__xludf.DUMMYFUNCTION("""COMPUTED_VALUE"""),0.529)</f>
        <v>0.529</v>
      </c>
      <c r="P243" s="698">
        <f>IFERROR(__xludf.DUMMYFUNCTION("""COMPUTED_VALUE"""),0.976)</f>
        <v>0.976</v>
      </c>
      <c r="Q243" s="697" t="str">
        <f>IFERROR(__xludf.DUMMYFUNCTION("""COMPUTED_VALUE"""),"Their recommended dosage of 30mg/kg in divided doses on two days is confined to individual treatment.")</f>
        <v>Their recommended dosage of 30mg/kg in divided doses on two days is confined to individual treatment.</v>
      </c>
      <c r="R243" s="697"/>
      <c r="S243" s="699" t="str">
        <f>IFERROR(__xludf.DUMMYFUNCTION("""COMPUTED_VALUE"""),"Teesdale CH, Chitsulo L, Pugh RN. Oxamniquine dosage in Malawi. East African Medical Journal 1984;61(1):40–4.")</f>
        <v>Teesdale CH, Chitsulo L, Pugh RN. Oxamniquine dosage in Malawi. East African Medical Journal 1984;61(1):40–4.</v>
      </c>
      <c r="T243" s="697"/>
      <c r="U243" s="697" t="str">
        <f>IFERROR(__xludf.DUMMYFUNCTION("""COMPUTED_VALUE"""),"")</f>
        <v/>
      </c>
      <c r="V243" s="697">
        <f>IFERROR(__xludf.DUMMYFUNCTION("""COMPUTED_VALUE"""),243.0)</f>
        <v>243</v>
      </c>
    </row>
    <row r="244">
      <c r="A244" s="697" t="str">
        <f>IFERROR(__xludf.DUMMYFUNCTION("""COMPUTED_VALUE"""),"Tessdale 1984")</f>
        <v>Tessdale 1984</v>
      </c>
      <c r="B244" s="697" t="str">
        <f>IFERROR(__xludf.DUMMYFUNCTION("""COMPUTED_VALUE"""),"s.mansoni")</f>
        <v>s.mansoni</v>
      </c>
      <c r="C244" s="697" t="str">
        <f>IFERROR(__xludf.DUMMYFUNCTION("""COMPUTED_VALUE"""),"Malawi")</f>
        <v>Malawi</v>
      </c>
      <c r="D244" s="697" t="str">
        <f>IFERROR(__xludf.DUMMYFUNCTION("""COMPUTED_VALUE"""),"Praziquantel")</f>
        <v>Praziquantel</v>
      </c>
      <c r="E244" s="697" t="str">
        <f>IFERROR(__xludf.DUMMYFUNCTION("""COMPUTED_VALUE"""),"Single")</f>
        <v>Single</v>
      </c>
      <c r="F244" s="697" t="str">
        <f>IFERROR(__xludf.DUMMYFUNCTION("""COMPUTED_VALUE"""),"40 mg/kg")</f>
        <v>40 mg/kg</v>
      </c>
      <c r="G244" s="697">
        <f>IFERROR(__xludf.DUMMYFUNCTION("""COMPUTED_VALUE"""),101.0)</f>
        <v>101</v>
      </c>
      <c r="H244" s="704">
        <f>IFERROR(__xludf.DUMMYFUNCTION("""COMPUTED_VALUE"""),42535.0)</f>
        <v>42535</v>
      </c>
      <c r="I244" s="697"/>
      <c r="J244" s="697">
        <f>IFERROR(__xludf.DUMMYFUNCTION("""COMPUTED_VALUE"""),1984.0)</f>
        <v>1984</v>
      </c>
      <c r="K244" s="697" t="str">
        <f>IFERROR(__xludf.DUMMYFUNCTION("""COMPUTED_VALUE"""),"children aged 6 to 14 years with S. mansoni infection")</f>
        <v>children aged 6 to 14 years with S. mansoni infection</v>
      </c>
      <c r="L244" s="697" t="str">
        <f>IFERROR(__xludf.DUMMYFUNCTION("""COMPUTED_VALUE"""),"No")</f>
        <v>No</v>
      </c>
      <c r="M244" s="697" t="str">
        <f>IFERROR(__xludf.DUMMYFUNCTION("""COMPUTED_VALUE"""),"Yes")</f>
        <v>Yes</v>
      </c>
      <c r="N244" s="697" t="str">
        <f>IFERROR(__xludf.DUMMYFUNCTION("""COMPUTED_VALUE"""),"Follow up done at 1month and 3 months")</f>
        <v>Follow up done at 1month and 3 months</v>
      </c>
      <c r="O244" s="700">
        <f>IFERROR(__xludf.DUMMYFUNCTION("""COMPUTED_VALUE"""),0.25)</f>
        <v>0.25</v>
      </c>
      <c r="P244" s="698">
        <f>IFERROR(__xludf.DUMMYFUNCTION("""COMPUTED_VALUE"""),0.927)</f>
        <v>0.927</v>
      </c>
      <c r="Q244" s="697" t="str">
        <f>IFERROR(__xludf.DUMMYFUNCTION("""COMPUTED_VALUE"""),"Their recommended dosage of 30mg/kg in divided doses on two days is confined to individual treatment.")</f>
        <v>Their recommended dosage of 30mg/kg in divided doses on two days is confined to individual treatment.</v>
      </c>
      <c r="R244" s="697"/>
      <c r="S244" s="699" t="str">
        <f>IFERROR(__xludf.DUMMYFUNCTION("""COMPUTED_VALUE"""),"Teesdale CH, Chitsulo L, Pugh RN. Oxamniquine dosage in Malawi. East African Medical Journal 1984;61(1):40–4.")</f>
        <v>Teesdale CH, Chitsulo L, Pugh RN. Oxamniquine dosage in Malawi. East African Medical Journal 1984;61(1):40–4.</v>
      </c>
      <c r="T244" s="697"/>
      <c r="U244" s="697" t="str">
        <f>IFERROR(__xludf.DUMMYFUNCTION("""COMPUTED_VALUE"""),"")</f>
        <v/>
      </c>
      <c r="V244" s="697">
        <f>IFERROR(__xludf.DUMMYFUNCTION("""COMPUTED_VALUE"""),244.0)</f>
        <v>244</v>
      </c>
    </row>
    <row r="245">
      <c r="A245" s="697" t="str">
        <f>IFERROR(__xludf.DUMMYFUNCTION("""COMPUTED_VALUE"""),"el Guinaidy")</f>
        <v>el Guinaidy</v>
      </c>
      <c r="B245" s="697" t="str">
        <f>IFERROR(__xludf.DUMMYFUNCTION("""COMPUTED_VALUE"""),"s.mansoni")</f>
        <v>s.mansoni</v>
      </c>
      <c r="C245" s="697" t="str">
        <f>IFERROR(__xludf.DUMMYFUNCTION("""COMPUTED_VALUE"""),"Egypt")</f>
        <v>Egypt</v>
      </c>
      <c r="D245" s="697" t="str">
        <f>IFERROR(__xludf.DUMMYFUNCTION("""COMPUTED_VALUE"""),"Praziquantel")</f>
        <v>Praziquantel</v>
      </c>
      <c r="E245" s="697" t="str">
        <f>IFERROR(__xludf.DUMMYFUNCTION("""COMPUTED_VALUE"""),"Single")</f>
        <v>Single</v>
      </c>
      <c r="F245" s="697" t="str">
        <f>IFERROR(__xludf.DUMMYFUNCTION("""COMPUTED_VALUE"""),"40 mg/kg")</f>
        <v>40 mg/kg</v>
      </c>
      <c r="G245" s="697">
        <f>IFERROR(__xludf.DUMMYFUNCTION("""COMPUTED_VALUE"""),10.0)</f>
        <v>10</v>
      </c>
      <c r="H245" s="697" t="str">
        <f>IFERROR(__xludf.DUMMYFUNCTION("""COMPUTED_VALUE"""),"Adults")</f>
        <v>Adults</v>
      </c>
      <c r="I245" s="705" t="str">
        <f>IFERROR(__xludf.DUMMYFUNCTION("""COMPUTED_VALUE"""),"8:2")</f>
        <v>8:2</v>
      </c>
      <c r="J245" s="697">
        <f>IFERROR(__xludf.DUMMYFUNCTION("""COMPUTED_VALUE"""),1991.0)</f>
        <v>1991</v>
      </c>
      <c r="K245" s="697" t="str">
        <f>IFERROR(__xludf.DUMMYFUNCTION("""COMPUTED_VALUE"""),"10 patients with simple active schistosomiasis")</f>
        <v>10 patients with simple active schistosomiasis</v>
      </c>
      <c r="L245" s="697" t="str">
        <f>IFERROR(__xludf.DUMMYFUNCTION("""COMPUTED_VALUE"""),"No")</f>
        <v>No</v>
      </c>
      <c r="M245" s="697" t="str">
        <f>IFERROR(__xludf.DUMMYFUNCTION("""COMPUTED_VALUE"""),"No")</f>
        <v>No</v>
      </c>
      <c r="N245" s="697"/>
      <c r="O245" s="706">
        <f>IFERROR(__xludf.DUMMYFUNCTION("""COMPUTED_VALUE"""),0.7)</f>
        <v>0.7</v>
      </c>
      <c r="P245" s="697"/>
      <c r="Q245" s="697" t="str">
        <f>IFERROR(__xludf.DUMMYFUNCTION("""COMPUTED_VALUE""")," It does not appear that the single oral dose of 40 mg/kg of body weight of praziquantel for treatment of S. manson! needs to be reduced in patients with advanced hepatosplenomegaly even if manifestations of liver cell failure are evident")</f>
        <v> It does not appear that the single oral dose of 40 mg/kg of body weight of praziquantel for treatment of S. manson! needs to be reduced in patients with advanced hepatosplenomegaly even if manifestations of liver cell failure are evident</v>
      </c>
      <c r="R245" s="697"/>
      <c r="S245" s="699" t="str">
        <f>IFERROR(__xludf.DUMMYFUNCTION("""COMPUTED_VALUE"""),"El Guiniady, M. A., et al. ""Clinical and pharmacokinetic study of praziquantel in Egyptian schistosomiasis patients with and without liver cell failure."" The American journal of tropical medicine and hygiene 51.6 (1994): 809-818.")</f>
        <v>El Guiniady, M. A., et al. "Clinical and pharmacokinetic study of praziquantel in Egyptian schistosomiasis patients with and without liver cell failure." The American journal of tropical medicine and hygiene 51.6 (1994): 809-818.</v>
      </c>
      <c r="T245" s="697"/>
      <c r="U245" s="697" t="str">
        <f>IFERROR(__xludf.DUMMYFUNCTION("""COMPUTED_VALUE"""),"x")</f>
        <v>x</v>
      </c>
      <c r="V245" s="697">
        <f>IFERROR(__xludf.DUMMYFUNCTION("""COMPUTED_VALUE"""),245.0)</f>
        <v>245</v>
      </c>
    </row>
    <row r="246">
      <c r="A246" s="697" t="str">
        <f>IFERROR(__xludf.DUMMYFUNCTION("""COMPUTED_VALUE"""),"el Guinaidy")</f>
        <v>el Guinaidy</v>
      </c>
      <c r="B246" s="697" t="str">
        <f>IFERROR(__xludf.DUMMYFUNCTION("""COMPUTED_VALUE"""),"s.mansoni")</f>
        <v>s.mansoni</v>
      </c>
      <c r="C246" s="697" t="str">
        <f>IFERROR(__xludf.DUMMYFUNCTION("""COMPUTED_VALUE"""),"Egypt")</f>
        <v>Egypt</v>
      </c>
      <c r="D246" s="697" t="str">
        <f>IFERROR(__xludf.DUMMYFUNCTION("""COMPUTED_VALUE"""),"Praziquantel")</f>
        <v>Praziquantel</v>
      </c>
      <c r="E246" s="697" t="str">
        <f>IFERROR(__xludf.DUMMYFUNCTION("""COMPUTED_VALUE"""),"Single")</f>
        <v>Single</v>
      </c>
      <c r="F246" s="697" t="str">
        <f>IFERROR(__xludf.DUMMYFUNCTION("""COMPUTED_VALUE"""),"40 mg/kg")</f>
        <v>40 mg/kg</v>
      </c>
      <c r="G246" s="697">
        <f>IFERROR(__xludf.DUMMYFUNCTION("""COMPUTED_VALUE"""),10.0)</f>
        <v>10</v>
      </c>
      <c r="H246" s="697" t="str">
        <f>IFERROR(__xludf.DUMMYFUNCTION("""COMPUTED_VALUE"""),"Adults")</f>
        <v>Adults</v>
      </c>
      <c r="I246" s="705" t="str">
        <f>IFERROR(__xludf.DUMMYFUNCTION("""COMPUTED_VALUE"""),"9:1")</f>
        <v>9:1</v>
      </c>
      <c r="J246" s="697">
        <f>IFERROR(__xludf.DUMMYFUNCTION("""COMPUTED_VALUE"""),1991.0)</f>
        <v>1991</v>
      </c>
      <c r="K246" s="697" t="str">
        <f>IFERROR(__xludf.DUMMYFUNCTION("""COMPUTED_VALUE"""),"with schistosomiasis associated with liver cirrhosis and splenomegaly according to Child's classification of hepatocellular function.")</f>
        <v>with schistosomiasis associated with liver cirrhosis and splenomegaly according to Child's classification of hepatocellular function.</v>
      </c>
      <c r="L246" s="697" t="str">
        <f>IFERROR(__xludf.DUMMYFUNCTION("""COMPUTED_VALUE"""),"No")</f>
        <v>No</v>
      </c>
      <c r="M246" s="697" t="str">
        <f>IFERROR(__xludf.DUMMYFUNCTION("""COMPUTED_VALUE"""),"No")</f>
        <v>No</v>
      </c>
      <c r="N246" s="697"/>
      <c r="O246" s="706">
        <f>IFERROR(__xludf.DUMMYFUNCTION("""COMPUTED_VALUE"""),0.8)</f>
        <v>0.8</v>
      </c>
      <c r="P246" s="697"/>
      <c r="Q246" s="697" t="str">
        <f>IFERROR(__xludf.DUMMYFUNCTION("""COMPUTED_VALUE""")," It does not appear that the single oral dose of 40 mg/kg of body weight of praziquantel for treatment of S. manson! needs to be reduced in patients with advanced hepatosplenomegaly even if manifestations of liver cell failure are evident")</f>
        <v> It does not appear that the single oral dose of 40 mg/kg of body weight of praziquantel for treatment of S. manson! needs to be reduced in patients with advanced hepatosplenomegaly even if manifestations of liver cell failure are evident</v>
      </c>
      <c r="R246" s="697"/>
      <c r="S246" s="699" t="str">
        <f>IFERROR(__xludf.DUMMYFUNCTION("""COMPUTED_VALUE"""),"El Guiniady, M. A., et al. ""Clinical and pharmacokinetic study of praziquantel in Egyptian schistosomiasis patients with and without liver cell failure."" The American journal of tropical medicine and hygiene 51.6 (1994): 809-818.")</f>
        <v>El Guiniady, M. A., et al. "Clinical and pharmacokinetic study of praziquantel in Egyptian schistosomiasis patients with and without liver cell failure." The American journal of tropical medicine and hygiene 51.6 (1994): 809-818.</v>
      </c>
      <c r="T246" s="697"/>
      <c r="U246" s="697" t="str">
        <f>IFERROR(__xludf.DUMMYFUNCTION("""COMPUTED_VALUE"""),"x")</f>
        <v>x</v>
      </c>
      <c r="V246" s="697">
        <f>IFERROR(__xludf.DUMMYFUNCTION("""COMPUTED_VALUE"""),246.0)</f>
        <v>246</v>
      </c>
    </row>
    <row r="247">
      <c r="A247" s="697" t="str">
        <f>IFERROR(__xludf.DUMMYFUNCTION("""COMPUTED_VALUE"""),"el Guinaidy")</f>
        <v>el Guinaidy</v>
      </c>
      <c r="B247" s="697" t="str">
        <f>IFERROR(__xludf.DUMMYFUNCTION("""COMPUTED_VALUE"""),"s.mansoni")</f>
        <v>s.mansoni</v>
      </c>
      <c r="C247" s="697" t="str">
        <f>IFERROR(__xludf.DUMMYFUNCTION("""COMPUTED_VALUE"""),"Egypt")</f>
        <v>Egypt</v>
      </c>
      <c r="D247" s="697" t="str">
        <f>IFERROR(__xludf.DUMMYFUNCTION("""COMPUTED_VALUE"""),"Praziquantel")</f>
        <v>Praziquantel</v>
      </c>
      <c r="E247" s="697" t="str">
        <f>IFERROR(__xludf.DUMMYFUNCTION("""COMPUTED_VALUE"""),"Single")</f>
        <v>Single</v>
      </c>
      <c r="F247" s="697" t="str">
        <f>IFERROR(__xludf.DUMMYFUNCTION("""COMPUTED_VALUE"""),"40 mg/kg")</f>
        <v>40 mg/kg</v>
      </c>
      <c r="G247" s="697">
        <f>IFERROR(__xludf.DUMMYFUNCTION("""COMPUTED_VALUE"""),10.0)</f>
        <v>10</v>
      </c>
      <c r="H247" s="697" t="str">
        <f>IFERROR(__xludf.DUMMYFUNCTION("""COMPUTED_VALUE"""),"Adults")</f>
        <v>Adults</v>
      </c>
      <c r="I247" s="705" t="str">
        <f>IFERROR(__xludf.DUMMYFUNCTION("""COMPUTED_VALUE"""),"All male")</f>
        <v>All male</v>
      </c>
      <c r="J247" s="697">
        <f>IFERROR(__xludf.DUMMYFUNCTION("""COMPUTED_VALUE"""),1991.0)</f>
        <v>1991</v>
      </c>
      <c r="K247" s="697" t="str">
        <f>IFERROR(__xludf.DUMMYFUNCTION("""COMPUTED_VALUE"""),"with schistosomiasis associated with liver cirrhosis and splenomegaly according to Child's classification of hepatocellular function.")</f>
        <v>with schistosomiasis associated with liver cirrhosis and splenomegaly according to Child's classification of hepatocellular function.</v>
      </c>
      <c r="L247" s="697" t="str">
        <f>IFERROR(__xludf.DUMMYFUNCTION("""COMPUTED_VALUE"""),"No")</f>
        <v>No</v>
      </c>
      <c r="M247" s="697" t="str">
        <f>IFERROR(__xludf.DUMMYFUNCTION("""COMPUTED_VALUE"""),"No")</f>
        <v>No</v>
      </c>
      <c r="N247" s="697"/>
      <c r="O247" s="706">
        <f>IFERROR(__xludf.DUMMYFUNCTION("""COMPUTED_VALUE"""),0.9)</f>
        <v>0.9</v>
      </c>
      <c r="P247" s="697"/>
      <c r="Q247" s="697" t="str">
        <f>IFERROR(__xludf.DUMMYFUNCTION("""COMPUTED_VALUE""")," It does not appear that the single oral dose of 40 mg/kg of body weight of praziquantel for treatment of S. manson! needs to be reduced in patients with advanced hepatosplenomegaly even if manifestations of liver cell failure are evident")</f>
        <v> It does not appear that the single oral dose of 40 mg/kg of body weight of praziquantel for treatment of S. manson! needs to be reduced in patients with advanced hepatosplenomegaly even if manifestations of liver cell failure are evident</v>
      </c>
      <c r="R247" s="697"/>
      <c r="S247" s="699" t="str">
        <f>IFERROR(__xludf.DUMMYFUNCTION("""COMPUTED_VALUE"""),"El Guiniady, M. A., et al. ""Clinical and pharmacokinetic study of praziquantel in Egyptian schistosomiasis patients with and without liver cell failure."" The American journal of tropical medicine and hygiene 51.6 (1994): 809-818.")</f>
        <v>El Guiniady, M. A., et al. "Clinical and pharmacokinetic study of praziquantel in Egyptian schistosomiasis patients with and without liver cell failure." The American journal of tropical medicine and hygiene 51.6 (1994): 809-818.</v>
      </c>
      <c r="T247" s="697"/>
      <c r="U247" s="697" t="str">
        <f>IFERROR(__xludf.DUMMYFUNCTION("""COMPUTED_VALUE"""),"x")</f>
        <v>x</v>
      </c>
      <c r="V247" s="697">
        <f>IFERROR(__xludf.DUMMYFUNCTION("""COMPUTED_VALUE"""),247.0)</f>
        <v>247</v>
      </c>
    </row>
    <row r="248">
      <c r="A248" s="697" t="str">
        <f>IFERROR(__xludf.DUMMYFUNCTION("""COMPUTED_VALUE"""),"el Guinaidy")</f>
        <v>el Guinaidy</v>
      </c>
      <c r="B248" s="697" t="str">
        <f>IFERROR(__xludf.DUMMYFUNCTION("""COMPUTED_VALUE"""),"s.mansoni")</f>
        <v>s.mansoni</v>
      </c>
      <c r="C248" s="697" t="str">
        <f>IFERROR(__xludf.DUMMYFUNCTION("""COMPUTED_VALUE"""),"Egypt")</f>
        <v>Egypt</v>
      </c>
      <c r="D248" s="697" t="str">
        <f>IFERROR(__xludf.DUMMYFUNCTION("""COMPUTED_VALUE"""),"Praziquantel")</f>
        <v>Praziquantel</v>
      </c>
      <c r="E248" s="697" t="str">
        <f>IFERROR(__xludf.DUMMYFUNCTION("""COMPUTED_VALUE"""),"Single")</f>
        <v>Single</v>
      </c>
      <c r="F248" s="697" t="str">
        <f>IFERROR(__xludf.DUMMYFUNCTION("""COMPUTED_VALUE"""),"40 mg/kg")</f>
        <v>40 mg/kg</v>
      </c>
      <c r="G248" s="697">
        <f>IFERROR(__xludf.DUMMYFUNCTION("""COMPUTED_VALUE"""),10.0)</f>
        <v>10</v>
      </c>
      <c r="H248" s="697" t="str">
        <f>IFERROR(__xludf.DUMMYFUNCTION("""COMPUTED_VALUE"""),"Adults")</f>
        <v>Adults</v>
      </c>
      <c r="I248" s="705" t="str">
        <f>IFERROR(__xludf.DUMMYFUNCTION("""COMPUTED_VALUE"""),"All male")</f>
        <v>All male</v>
      </c>
      <c r="J248" s="697">
        <f>IFERROR(__xludf.DUMMYFUNCTION("""COMPUTED_VALUE"""),1991.0)</f>
        <v>1991</v>
      </c>
      <c r="K248" s="697" t="str">
        <f>IFERROR(__xludf.DUMMYFUNCTION("""COMPUTED_VALUE"""),"with schistosomiasis associated with liver cirrhosis and splenomegaly according to Child's classification of hepatocellular function.")</f>
        <v>with schistosomiasis associated with liver cirrhosis and splenomegaly according to Child's classification of hepatocellular function.</v>
      </c>
      <c r="L248" s="697" t="str">
        <f>IFERROR(__xludf.DUMMYFUNCTION("""COMPUTED_VALUE"""),"No")</f>
        <v>No</v>
      </c>
      <c r="M248" s="697" t="str">
        <f>IFERROR(__xludf.DUMMYFUNCTION("""COMPUTED_VALUE"""),"No")</f>
        <v>No</v>
      </c>
      <c r="N248" s="697"/>
      <c r="O248" s="706">
        <f>IFERROR(__xludf.DUMMYFUNCTION("""COMPUTED_VALUE"""),0.9)</f>
        <v>0.9</v>
      </c>
      <c r="P248" s="697"/>
      <c r="Q248" s="697" t="str">
        <f>IFERROR(__xludf.DUMMYFUNCTION("""COMPUTED_VALUE""")," It does not appear that the single oral dose of 40 mg/kg of body weight of praziquantel for treatment of S. manson! needs to be reduced in patients with advanced hepatosplenomegaly even if manifestations of liver cell failure are evident")</f>
        <v> It does not appear that the single oral dose of 40 mg/kg of body weight of praziquantel for treatment of S. manson! needs to be reduced in patients with advanced hepatosplenomegaly even if manifestations of liver cell failure are evident</v>
      </c>
      <c r="R248" s="697"/>
      <c r="S248" s="699" t="str">
        <f>IFERROR(__xludf.DUMMYFUNCTION("""COMPUTED_VALUE"""),"El Guiniady, M. A., et al. ""Clinical and pharmacokinetic study of praziquantel in Egyptian schistosomiasis patients with and without liver cell failure."" The American journal of tropical medicine and hygiene 51.6 (1994): 809-818.")</f>
        <v>El Guiniady, M. A., et al. "Clinical and pharmacokinetic study of praziquantel in Egyptian schistosomiasis patients with and without liver cell failure." The American journal of tropical medicine and hygiene 51.6 (1994): 809-818.</v>
      </c>
      <c r="T248" s="697"/>
      <c r="U248" s="697" t="str">
        <f>IFERROR(__xludf.DUMMYFUNCTION("""COMPUTED_VALUE"""),"x")</f>
        <v>x</v>
      </c>
      <c r="V248" s="697">
        <f>IFERROR(__xludf.DUMMYFUNCTION("""COMPUTED_VALUE"""),248.0)</f>
        <v>248</v>
      </c>
    </row>
    <row r="249">
      <c r="A249" s="697" t="str">
        <f>IFERROR(__xludf.DUMMYFUNCTION("""COMPUTED_VALUE"""),"Olds GR, 1999")</f>
        <v>Olds GR, 1999</v>
      </c>
      <c r="B249" s="697" t="str">
        <f>IFERROR(__xludf.DUMMYFUNCTION("""COMPUTED_VALUE"""),"s.mansoni")</f>
        <v>s.mansoni</v>
      </c>
      <c r="C249" s="697" t="str">
        <f>IFERROR(__xludf.DUMMYFUNCTION("""COMPUTED_VALUE"""),"Kenya")</f>
        <v>Kenya</v>
      </c>
      <c r="D249" s="697" t="str">
        <f>IFERROR(__xludf.DUMMYFUNCTION("""COMPUTED_VALUE"""),"Albendazole &amp; Praziquantel")</f>
        <v>Albendazole &amp; Praziquantel</v>
      </c>
      <c r="E249" s="697" t="str">
        <f>IFERROR(__xludf.DUMMYFUNCTION("""COMPUTED_VALUE"""),"Single")</f>
        <v>Single</v>
      </c>
      <c r="F249" s="697" t="str">
        <f>IFERROR(__xludf.DUMMYFUNCTION("""COMPUTED_VALUE"""),"400 mg; 40 mg/kg")</f>
        <v>400 mg; 40 mg/kg</v>
      </c>
      <c r="G249" s="697">
        <f>IFERROR(__xludf.DUMMYFUNCTION("""COMPUTED_VALUE"""),98.0)</f>
        <v>98</v>
      </c>
      <c r="H249" s="697" t="str">
        <f>IFERROR(__xludf.DUMMYFUNCTION("""COMPUTED_VALUE"""),"10.6 yrs average")</f>
        <v>10.6 yrs average</v>
      </c>
      <c r="I249" s="697"/>
      <c r="J249" s="697">
        <f>IFERROR(__xludf.DUMMYFUNCTION("""COMPUTED_VALUE"""),1999.0)</f>
        <v>1999</v>
      </c>
      <c r="K249" s="697" t="str">
        <f>IFERROR(__xludf.DUMMYFUNCTION("""COMPUTED_VALUE"""),"schoolchildren aged 6 to 19 years positive for S. mansoni")</f>
        <v>schoolchildren aged 6 to 19 years positive for S. mansoni</v>
      </c>
      <c r="L249" s="697" t="str">
        <f>IFERROR(__xludf.DUMMYFUNCTION("""COMPUTED_VALUE"""),"Yes")</f>
        <v>Yes</v>
      </c>
      <c r="M249" s="697" t="str">
        <f>IFERROR(__xludf.DUMMYFUNCTION("""COMPUTED_VALUE"""),"Yes")</f>
        <v>Yes</v>
      </c>
      <c r="N249" s="697" t="str">
        <f>IFERROR(__xludf.DUMMYFUNCTION("""COMPUTED_VALUE"""),"45 days")</f>
        <v>45 days</v>
      </c>
      <c r="O249" s="698">
        <f>IFERROR(__xludf.DUMMYFUNCTION("""COMPUTED_VALUE"""),0.401)</f>
        <v>0.401</v>
      </c>
      <c r="P249" s="697"/>
      <c r="Q249" s="697" t="str">
        <f>IFERROR(__xludf.DUMMYFUNCTION("""COMPUTED_VALUE"""),"Combined mass treatment of schoolchildren with praziquantel and albendazole produced no more side effects than treatment with praziquantel alone.")</f>
        <v>Combined mass treatment of schoolchildren with praziquantel and albendazole produced no more side effects than treatment with praziquantel alone.</v>
      </c>
      <c r="R249" s="697" t="str">
        <f>IFERROR(__xludf.DUMMYFUNCTION("""COMPUTED_VALUE"""),"Double-Blind Placebo-Controlled Study of Concurrent Administration of Albendazole and Praziquantel in Schoolchildren with Schistosomiasis and Geohelminths")</f>
        <v>Double-Blind Placebo-Controlled Study of Concurrent Administration of Albendazole and Praziquantel in Schoolchildren with Schistosomiasis and Geohelminths</v>
      </c>
      <c r="S249" s="699" t="str">
        <f>IFERROR(__xludf.DUMMYFUNCTION("""COMPUTED_VALUE"""),"Olds GR, King CH, Hewlett J, Olveda R, Wu G, Ouma J, et al.Double-blind placebo-controlled study of concurrent administration of albendazole and praziquantel in schoolchildren with schistosomiasis and geohelminths. Journal of Infectious Diseases 1999;179("&amp;"4):996–1003.")</f>
        <v>Olds GR, King CH, Hewlett J, Olveda R, Wu G, Ouma J, et al.Double-blind placebo-controlled study of concurrent administration of albendazole and praziquantel in schoolchildren with schistosomiasis and geohelminths. Journal of Infectious Diseases 1999;179(4):996–1003.</v>
      </c>
      <c r="T249" s="697"/>
      <c r="U249" s="697" t="str">
        <f>IFERROR(__xludf.DUMMYFUNCTION("""COMPUTED_VALUE"""),"x")</f>
        <v>x</v>
      </c>
      <c r="V249" s="697">
        <f>IFERROR(__xludf.DUMMYFUNCTION("""COMPUTED_VALUE"""),249.0)</f>
        <v>249</v>
      </c>
    </row>
    <row r="250">
      <c r="A250" s="697" t="str">
        <f>IFERROR(__xludf.DUMMYFUNCTION("""COMPUTED_VALUE"""),"Olds GR, 1999")</f>
        <v>Olds GR, 1999</v>
      </c>
      <c r="B250" s="697" t="str">
        <f>IFERROR(__xludf.DUMMYFUNCTION("""COMPUTED_VALUE"""),"s.mansoni")</f>
        <v>s.mansoni</v>
      </c>
      <c r="C250" s="697" t="str">
        <f>IFERROR(__xludf.DUMMYFUNCTION("""COMPUTED_VALUE"""),"Kenya")</f>
        <v>Kenya</v>
      </c>
      <c r="D250" s="697" t="str">
        <f>IFERROR(__xludf.DUMMYFUNCTION("""COMPUTED_VALUE"""),"Praziquantel")</f>
        <v>Praziquantel</v>
      </c>
      <c r="E250" s="697" t="str">
        <f>IFERROR(__xludf.DUMMYFUNCTION("""COMPUTED_VALUE"""),"Single")</f>
        <v>Single</v>
      </c>
      <c r="F250" s="697" t="str">
        <f>IFERROR(__xludf.DUMMYFUNCTION("""COMPUTED_VALUE"""),"40 mg/kg")</f>
        <v>40 mg/kg</v>
      </c>
      <c r="G250" s="697">
        <f>IFERROR(__xludf.DUMMYFUNCTION("""COMPUTED_VALUE"""),82.0)</f>
        <v>82</v>
      </c>
      <c r="H250" s="697" t="str">
        <f>IFERROR(__xludf.DUMMYFUNCTION("""COMPUTED_VALUE"""),"10.5 years average")</f>
        <v>10.5 years average</v>
      </c>
      <c r="I250" s="697"/>
      <c r="J250" s="697">
        <f>IFERROR(__xludf.DUMMYFUNCTION("""COMPUTED_VALUE"""),1999.0)</f>
        <v>1999</v>
      </c>
      <c r="K250" s="697" t="str">
        <f>IFERROR(__xludf.DUMMYFUNCTION("""COMPUTED_VALUE"""),"schoolchildren aged 6 to 19 years positive for S. mansoni")</f>
        <v>schoolchildren aged 6 to 19 years positive for S. mansoni</v>
      </c>
      <c r="L250" s="697" t="str">
        <f>IFERROR(__xludf.DUMMYFUNCTION("""COMPUTED_VALUE"""),"Yes")</f>
        <v>Yes</v>
      </c>
      <c r="M250" s="706" t="str">
        <f>IFERROR(__xludf.DUMMYFUNCTION("""COMPUTED_VALUE"""),"Yes")</f>
        <v>Yes</v>
      </c>
      <c r="N250" s="697" t="str">
        <f>IFERROR(__xludf.DUMMYFUNCTION("""COMPUTED_VALUE"""),"45 days")</f>
        <v>45 days</v>
      </c>
      <c r="O250" s="698">
        <f>IFERROR(__xludf.DUMMYFUNCTION("""COMPUTED_VALUE"""),0.402)</f>
        <v>0.402</v>
      </c>
      <c r="P250" s="697"/>
      <c r="Q250" s="697" t="str">
        <f>IFERROR(__xludf.DUMMYFUNCTION("""COMPUTED_VALUE"""),"Combined mass treatment of schoolchildren with praziquantel and albendazole produced no more side effects than treatment with praziquantel alone.")</f>
        <v>Combined mass treatment of schoolchildren with praziquantel and albendazole produced no more side effects than treatment with praziquantel alone.</v>
      </c>
      <c r="R250" s="697" t="str">
        <f>IFERROR(__xludf.DUMMYFUNCTION("""COMPUTED_VALUE"""),"Double-Blind Placebo-Controlled Study of Concurrent Administration of Albendazole and Praziquantel in Schoolchildren with Schistosomiasis and Geohelminths")</f>
        <v>Double-Blind Placebo-Controlled Study of Concurrent Administration of Albendazole and Praziquantel in Schoolchildren with Schistosomiasis and Geohelminths</v>
      </c>
      <c r="S250" s="699" t="str">
        <f>IFERROR(__xludf.DUMMYFUNCTION("""COMPUTED_VALUE"""),"Olds GR, King CH, Hewlett J, Olveda R, Wu G, Ouma J, et al.Double-blind placebo-controlled study of concurrent administration of albendazole and praziquantel in schoolchildren with schistosomiasis and geohelminths. Journal of Infectious Diseases 1999;179("&amp;"4):996–1003.")</f>
        <v>Olds GR, King CH, Hewlett J, Olveda R, Wu G, Ouma J, et al.Double-blind placebo-controlled study of concurrent administration of albendazole and praziquantel in schoolchildren with schistosomiasis and geohelminths. Journal of Infectious Diseases 1999;179(4):996–1003.</v>
      </c>
      <c r="T250" s="697"/>
      <c r="U250" s="697" t="str">
        <f>IFERROR(__xludf.DUMMYFUNCTION("""COMPUTED_VALUE"""),"x")</f>
        <v>x</v>
      </c>
      <c r="V250" s="697">
        <f>IFERROR(__xludf.DUMMYFUNCTION("""COMPUTED_VALUE"""),250.0)</f>
        <v>250</v>
      </c>
    </row>
    <row r="251">
      <c r="A251" s="697" t="str">
        <f>IFERROR(__xludf.DUMMYFUNCTION("""COMPUTED_VALUE"""),"Olds GR, 1999")</f>
        <v>Olds GR, 1999</v>
      </c>
      <c r="B251" s="697" t="str">
        <f>IFERROR(__xludf.DUMMYFUNCTION("""COMPUTED_VALUE"""),"s.mansoni")</f>
        <v>s.mansoni</v>
      </c>
      <c r="C251" s="697" t="str">
        <f>IFERROR(__xludf.DUMMYFUNCTION("""COMPUTED_VALUE"""),"Kenya")</f>
        <v>Kenya</v>
      </c>
      <c r="D251" s="697" t="str">
        <f>IFERROR(__xludf.DUMMYFUNCTION("""COMPUTED_VALUE"""),"Albendazole")</f>
        <v>Albendazole</v>
      </c>
      <c r="E251" s="697" t="str">
        <f>IFERROR(__xludf.DUMMYFUNCTION("""COMPUTED_VALUE"""),"Single")</f>
        <v>Single</v>
      </c>
      <c r="F251" s="697" t="str">
        <f>IFERROR(__xludf.DUMMYFUNCTION("""COMPUTED_VALUE"""),"400 mg")</f>
        <v>400 mg</v>
      </c>
      <c r="G251" s="697">
        <f>IFERROR(__xludf.DUMMYFUNCTION("""COMPUTED_VALUE"""),95.0)</f>
        <v>95</v>
      </c>
      <c r="H251" s="697" t="str">
        <f>IFERROR(__xludf.DUMMYFUNCTION("""COMPUTED_VALUE"""),"10.4 yrs average")</f>
        <v>10.4 yrs average</v>
      </c>
      <c r="I251" s="697"/>
      <c r="J251" s="697">
        <f>IFERROR(__xludf.DUMMYFUNCTION("""COMPUTED_VALUE"""),1999.0)</f>
        <v>1999</v>
      </c>
      <c r="K251" s="697" t="str">
        <f>IFERROR(__xludf.DUMMYFUNCTION("""COMPUTED_VALUE"""),"schoolchildren aged 6 to 19 years positive for S. mansoni")</f>
        <v>schoolchildren aged 6 to 19 years positive for S. mansoni</v>
      </c>
      <c r="L251" s="697" t="str">
        <f>IFERROR(__xludf.DUMMYFUNCTION("""COMPUTED_VALUE"""),"Yes")</f>
        <v>Yes</v>
      </c>
      <c r="M251" s="706" t="str">
        <f>IFERROR(__xludf.DUMMYFUNCTION("""COMPUTED_VALUE"""),"Yes")</f>
        <v>Yes</v>
      </c>
      <c r="N251" s="697" t="str">
        <f>IFERROR(__xludf.DUMMYFUNCTION("""COMPUTED_VALUE"""),"45 days")</f>
        <v>45 days</v>
      </c>
      <c r="O251" s="700">
        <f>IFERROR(__xludf.DUMMYFUNCTION("""COMPUTED_VALUE"""),0.0)</f>
        <v>0</v>
      </c>
      <c r="P251" s="697"/>
      <c r="Q251" s="697" t="str">
        <f>IFERROR(__xludf.DUMMYFUNCTION("""COMPUTED_VALUE"""),"Combined mass treatment of schoolchildren with praziquantel and albendazole produced no more side effects than treatment with praziquantel alone.")</f>
        <v>Combined mass treatment of schoolchildren with praziquantel and albendazole produced no more side effects than treatment with praziquantel alone.</v>
      </c>
      <c r="R251" s="697" t="str">
        <f>IFERROR(__xludf.DUMMYFUNCTION("""COMPUTED_VALUE"""),"Double-Blind Placebo-Controlled Study of Concurrent Administration of Albendazole and Praziquantel in Schoolchildren with Schistosomiasis and Geohelminths")</f>
        <v>Double-Blind Placebo-Controlled Study of Concurrent Administration of Albendazole and Praziquantel in Schoolchildren with Schistosomiasis and Geohelminths</v>
      </c>
      <c r="S251" s="699" t="str">
        <f>IFERROR(__xludf.DUMMYFUNCTION("""COMPUTED_VALUE"""),"Olds GR, King CH, Hewlett J, Olveda R, Wu G, Ouma J, et al.Double-blind placebo-controlled study of concurrent administration of albendazole and praziquantel in schoolchildren with schistosomiasis and geohelminths. Journal of Infectious Diseases 1999;179("&amp;"4):996–1003.")</f>
        <v>Olds GR, King CH, Hewlett J, Olveda R, Wu G, Ouma J, et al.Double-blind placebo-controlled study of concurrent administration of albendazole and praziquantel in schoolchildren with schistosomiasis and geohelminths. Journal of Infectious Diseases 1999;179(4):996–1003.</v>
      </c>
      <c r="T251" s="697"/>
      <c r="U251" s="697" t="str">
        <f>IFERROR(__xludf.DUMMYFUNCTION("""COMPUTED_VALUE"""),"x")</f>
        <v>x</v>
      </c>
      <c r="V251" s="697">
        <f>IFERROR(__xludf.DUMMYFUNCTION("""COMPUTED_VALUE"""),251.0)</f>
        <v>251</v>
      </c>
    </row>
    <row r="252">
      <c r="A252" s="697" t="str">
        <f>IFERROR(__xludf.DUMMYFUNCTION("""COMPUTED_VALUE"""),"Olds GR, 1999")</f>
        <v>Olds GR, 1999</v>
      </c>
      <c r="B252" s="697" t="str">
        <f>IFERROR(__xludf.DUMMYFUNCTION("""COMPUTED_VALUE"""),"s.mansoni")</f>
        <v>s.mansoni</v>
      </c>
      <c r="C252" s="697" t="str">
        <f>IFERROR(__xludf.DUMMYFUNCTION("""COMPUTED_VALUE"""),"Kenya")</f>
        <v>Kenya</v>
      </c>
      <c r="D252" s="697" t="str">
        <f>IFERROR(__xludf.DUMMYFUNCTION("""COMPUTED_VALUE"""),"Placebo")</f>
        <v>Placebo</v>
      </c>
      <c r="E252" s="697"/>
      <c r="F252" s="697"/>
      <c r="G252" s="697">
        <f>IFERROR(__xludf.DUMMYFUNCTION("""COMPUTED_VALUE"""),92.0)</f>
        <v>92</v>
      </c>
      <c r="H252" s="697"/>
      <c r="I252" s="697"/>
      <c r="J252" s="697">
        <f>IFERROR(__xludf.DUMMYFUNCTION("""COMPUTED_VALUE"""),1999.0)</f>
        <v>1999</v>
      </c>
      <c r="K252" s="697" t="str">
        <f>IFERROR(__xludf.DUMMYFUNCTION("""COMPUTED_VALUE"""),"schoolchildren aged 6 to 19 years positive for S. mansoni")</f>
        <v>schoolchildren aged 6 to 19 years positive for S. mansoni</v>
      </c>
      <c r="L252" s="697" t="str">
        <f>IFERROR(__xludf.DUMMYFUNCTION("""COMPUTED_VALUE"""),"Yes")</f>
        <v>Yes</v>
      </c>
      <c r="M252" s="697" t="str">
        <f>IFERROR(__xludf.DUMMYFUNCTION("""COMPUTED_VALUE"""),"Yes")</f>
        <v>Yes</v>
      </c>
      <c r="N252" s="697" t="str">
        <f>IFERROR(__xludf.DUMMYFUNCTION("""COMPUTED_VALUE"""),"45 days")</f>
        <v>45 days</v>
      </c>
      <c r="O252" s="698">
        <f>IFERROR(__xludf.DUMMYFUNCTION("""COMPUTED_VALUE"""),0.006)</f>
        <v>0.006</v>
      </c>
      <c r="P252" s="697"/>
      <c r="Q252" s="697" t="str">
        <f>IFERROR(__xludf.DUMMYFUNCTION("""COMPUTED_VALUE"""),"Combined mass treatment of schoolchildren with praziquantel and albendazole produced no more side effects than treatment with praziquantel alone.")</f>
        <v>Combined mass treatment of schoolchildren with praziquantel and albendazole produced no more side effects than treatment with praziquantel alone.</v>
      </c>
      <c r="R252" s="697" t="str">
        <f>IFERROR(__xludf.DUMMYFUNCTION("""COMPUTED_VALUE"""),"Double-Blind Placebo-Controlled Study of Concurrent Administration of Albendazole and Praziquantel in Schoolchildren with Schistosomiasis and Geohelminths")</f>
        <v>Double-Blind Placebo-Controlled Study of Concurrent Administration of Albendazole and Praziquantel in Schoolchildren with Schistosomiasis and Geohelminths</v>
      </c>
      <c r="S252" s="699" t="str">
        <f>IFERROR(__xludf.DUMMYFUNCTION("""COMPUTED_VALUE"""),"Olds GR, King CH, Hewlett J, Olveda R, Wu G, Ouma J, et al.Double-blind placebo-controlled study of concurrent administration of albendazole and praziquantel in schoolchildren with schistosomiasis and geohelminths. Journal of Infectious Diseases 1999;179("&amp;"4):996–1003.")</f>
        <v>Olds GR, King CH, Hewlett J, Olveda R, Wu G, Ouma J, et al.Double-blind placebo-controlled study of concurrent administration of albendazole and praziquantel in schoolchildren with schistosomiasis and geohelminths. Journal of Infectious Diseases 1999;179(4):996–1003.</v>
      </c>
      <c r="T252" s="697"/>
      <c r="U252" s="697" t="str">
        <f>IFERROR(__xludf.DUMMYFUNCTION("""COMPUTED_VALUE"""),"x")</f>
        <v>x</v>
      </c>
      <c r="V252" s="697">
        <f>IFERROR(__xludf.DUMMYFUNCTION("""COMPUTED_VALUE"""),252.0)</f>
        <v>252</v>
      </c>
    </row>
    <row r="253">
      <c r="A253" s="697" t="str">
        <f>IFERROR(__xludf.DUMMYFUNCTION("""COMPUTED_VALUE"""),"Olds GR, 1999")</f>
        <v>Olds GR, 1999</v>
      </c>
      <c r="B253" s="697" t="str">
        <f>IFERROR(__xludf.DUMMYFUNCTION("""COMPUTED_VALUE"""),"S. japonicum")</f>
        <v>S. japonicum</v>
      </c>
      <c r="C253" s="697" t="str">
        <f>IFERROR(__xludf.DUMMYFUNCTION("""COMPUTED_VALUE"""),"China")</f>
        <v>China</v>
      </c>
      <c r="D253" s="697" t="str">
        <f>IFERROR(__xludf.DUMMYFUNCTION("""COMPUTED_VALUE"""),"Albendazole &amp; Praziquantel")</f>
        <v>Albendazole &amp; Praziquantel</v>
      </c>
      <c r="E253" s="697" t="str">
        <f>IFERROR(__xludf.DUMMYFUNCTION("""COMPUTED_VALUE"""),"Single; Two")</f>
        <v>Single; Two</v>
      </c>
      <c r="F253" s="697" t="str">
        <f>IFERROR(__xludf.DUMMYFUNCTION("""COMPUTED_VALUE"""),"400 mg; 30 mg")</f>
        <v>400 mg; 30 mg</v>
      </c>
      <c r="G253" s="697">
        <f>IFERROR(__xludf.DUMMYFUNCTION("""COMPUTED_VALUE"""),196.0)</f>
        <v>196</v>
      </c>
      <c r="H253" s="697" t="str">
        <f>IFERROR(__xludf.DUMMYFUNCTION("""COMPUTED_VALUE"""),"5-17 yrs")</f>
        <v>5-17 yrs</v>
      </c>
      <c r="I253" s="697"/>
      <c r="J253" s="697">
        <f>IFERROR(__xludf.DUMMYFUNCTION("""COMPUTED_VALUE"""),1999.0)</f>
        <v>1999</v>
      </c>
      <c r="K253" s="697" t="str">
        <f>IFERROR(__xludf.DUMMYFUNCTION("""COMPUTED_VALUE"""),"schoolchildren aged 6 to 19 years positive for S. mansoni")</f>
        <v>schoolchildren aged 6 to 19 years positive for S. mansoni</v>
      </c>
      <c r="L253" s="697" t="str">
        <f>IFERROR(__xludf.DUMMYFUNCTION("""COMPUTED_VALUE"""),"Yes")</f>
        <v>Yes</v>
      </c>
      <c r="M253" s="697" t="str">
        <f>IFERROR(__xludf.DUMMYFUNCTION("""COMPUTED_VALUE"""),"Yes")</f>
        <v>Yes</v>
      </c>
      <c r="N253" s="697" t="str">
        <f>IFERROR(__xludf.DUMMYFUNCTION("""COMPUTED_VALUE"""),"45 days")</f>
        <v>45 days</v>
      </c>
      <c r="O253" s="706">
        <f>IFERROR(__xludf.DUMMYFUNCTION("""COMPUTED_VALUE"""),0.443)</f>
        <v>0.443</v>
      </c>
      <c r="P253" s="697"/>
      <c r="Q253" s="697" t="str">
        <f>IFERROR(__xludf.DUMMYFUNCTION("""COMPUTED_VALUE"""),"Combined mass treatment of schoolchildren with praziquantel and albendazole produced no more side effects than treatment with praziquantel alone.")</f>
        <v>Combined mass treatment of schoolchildren with praziquantel and albendazole produced no more side effects than treatment with praziquantel alone.</v>
      </c>
      <c r="R253" s="697" t="str">
        <f>IFERROR(__xludf.DUMMYFUNCTION("""COMPUTED_VALUE"""),"Double-Blind Placebo-Controlled Study of Concurrent Administration of Albendazole and Praziquantel in Schoolchildren with Schistosomiasis and Geohelminths")</f>
        <v>Double-Blind Placebo-Controlled Study of Concurrent Administration of Albendazole and Praziquantel in Schoolchildren with Schistosomiasis and Geohelminths</v>
      </c>
      <c r="S253" s="699" t="str">
        <f>IFERROR(__xludf.DUMMYFUNCTION("""COMPUTED_VALUE"""),"Olds GR, King CH, Hewlett J, Olveda R, Wu G, Ouma J, et al.Double-blind placebo-controlled study of concurrent administration of albendazole and praziquantel in schoolchildren with schistosomiasis and geohelminths. Journal of Infectious Diseases 1999;179("&amp;"4):996–1003.")</f>
        <v>Olds GR, King CH, Hewlett J, Olveda R, Wu G, Ouma J, et al.Double-blind placebo-controlled study of concurrent administration of albendazole and praziquantel in schoolchildren with schistosomiasis and geohelminths. Journal of Infectious Diseases 1999;179(4):996–1003.</v>
      </c>
      <c r="T253" s="697"/>
      <c r="U253" s="697" t="str">
        <f>IFERROR(__xludf.DUMMYFUNCTION("""COMPUTED_VALUE"""),"x")</f>
        <v>x</v>
      </c>
      <c r="V253" s="697">
        <f>IFERROR(__xludf.DUMMYFUNCTION("""COMPUTED_VALUE"""),253.0)</f>
        <v>253</v>
      </c>
    </row>
    <row r="254">
      <c r="A254" s="697" t="str">
        <f>IFERROR(__xludf.DUMMYFUNCTION("""COMPUTED_VALUE"""),"Olds GR, 1999")</f>
        <v>Olds GR, 1999</v>
      </c>
      <c r="B254" s="697" t="str">
        <f>IFERROR(__xludf.DUMMYFUNCTION("""COMPUTED_VALUE"""),"S. japonicum")</f>
        <v>S. japonicum</v>
      </c>
      <c r="C254" s="697" t="str">
        <f>IFERROR(__xludf.DUMMYFUNCTION("""COMPUTED_VALUE"""),"Philippines")</f>
        <v>Philippines</v>
      </c>
      <c r="D254" s="697" t="str">
        <f>IFERROR(__xludf.DUMMYFUNCTION("""COMPUTED_VALUE"""),"Albendazole &amp; Praziquantel")</f>
        <v>Albendazole &amp; Praziquantel</v>
      </c>
      <c r="E254" s="697" t="str">
        <f>IFERROR(__xludf.DUMMYFUNCTION("""COMPUTED_VALUE"""),"Single; Two")</f>
        <v>Single; Two</v>
      </c>
      <c r="F254" s="697" t="str">
        <f>IFERROR(__xludf.DUMMYFUNCTION("""COMPUTED_VALUE"""),"400 mg; 30 mg")</f>
        <v>400 mg; 30 mg</v>
      </c>
      <c r="G254" s="697">
        <f>IFERROR(__xludf.DUMMYFUNCTION("""COMPUTED_VALUE"""),196.0)</f>
        <v>196</v>
      </c>
      <c r="H254" s="697" t="str">
        <f>IFERROR(__xludf.DUMMYFUNCTION("""COMPUTED_VALUE"""),"5-17 yrs")</f>
        <v>5-17 yrs</v>
      </c>
      <c r="I254" s="697"/>
      <c r="J254" s="697">
        <f>IFERROR(__xludf.DUMMYFUNCTION("""COMPUTED_VALUE"""),1999.0)</f>
        <v>1999</v>
      </c>
      <c r="K254" s="697" t="str">
        <f>IFERROR(__xludf.DUMMYFUNCTION("""COMPUTED_VALUE"""),"schoolchildren aged 6 to 19 years positive for S. mansoni")</f>
        <v>schoolchildren aged 6 to 19 years positive for S. mansoni</v>
      </c>
      <c r="L254" s="697" t="str">
        <f>IFERROR(__xludf.DUMMYFUNCTION("""COMPUTED_VALUE"""),"Yes")</f>
        <v>Yes</v>
      </c>
      <c r="M254" s="697" t="str">
        <f>IFERROR(__xludf.DUMMYFUNCTION("""COMPUTED_VALUE"""),"Yes")</f>
        <v>Yes</v>
      </c>
      <c r="N254" s="697" t="str">
        <f>IFERROR(__xludf.DUMMYFUNCTION("""COMPUTED_VALUE"""),"45 days")</f>
        <v>45 days</v>
      </c>
      <c r="O254" s="706">
        <f>IFERROR(__xludf.DUMMYFUNCTION("""COMPUTED_VALUE"""),0.443)</f>
        <v>0.443</v>
      </c>
      <c r="P254" s="697"/>
      <c r="Q254" s="697" t="str">
        <f>IFERROR(__xludf.DUMMYFUNCTION("""COMPUTED_VALUE"""),"Combined mass treatment of schoolchildren with praziquantel and albendazole produced no more side effects than treatment with praziquantel alone.")</f>
        <v>Combined mass treatment of schoolchildren with praziquantel and albendazole produced no more side effects than treatment with praziquantel alone.</v>
      </c>
      <c r="R254" s="697" t="str">
        <f>IFERROR(__xludf.DUMMYFUNCTION("""COMPUTED_VALUE"""),"Double-Blind Placebo-Controlled Study of Concurrent Administration of Albendazole and Praziquantel in Schoolchildren with Schistosomiasis and Geohelminths")</f>
        <v>Double-Blind Placebo-Controlled Study of Concurrent Administration of Albendazole and Praziquantel in Schoolchildren with Schistosomiasis and Geohelminths</v>
      </c>
      <c r="S254" s="699" t="str">
        <f>IFERROR(__xludf.DUMMYFUNCTION("""COMPUTED_VALUE"""),"Olds GR, King CH, Hewlett J, Olveda R, Wu G, Ouma J, et al.Double-blind placebo-controlled study of concurrent administration of albendazole and praziquantel in schoolchildren with schistosomiasis and geohelminths. Journal of Infectious Diseases 1999;179("&amp;"4):996–1003.")</f>
        <v>Olds GR, King CH, Hewlett J, Olveda R, Wu G, Ouma J, et al.Double-blind placebo-controlled study of concurrent administration of albendazole and praziquantel in schoolchildren with schistosomiasis and geohelminths. Journal of Infectious Diseases 1999;179(4):996–1003.</v>
      </c>
      <c r="T254" s="697"/>
      <c r="U254" s="697" t="str">
        <f>IFERROR(__xludf.DUMMYFUNCTION("""COMPUTED_VALUE"""),"x")</f>
        <v>x</v>
      </c>
      <c r="V254" s="697">
        <f>IFERROR(__xludf.DUMMYFUNCTION("""COMPUTED_VALUE"""),254.0)</f>
        <v>254</v>
      </c>
    </row>
    <row r="255">
      <c r="A255" s="697" t="str">
        <f>IFERROR(__xludf.DUMMYFUNCTION("""COMPUTED_VALUE"""),"Olds GR, 1999")</f>
        <v>Olds GR, 1999</v>
      </c>
      <c r="B255" s="697" t="str">
        <f>IFERROR(__xludf.DUMMYFUNCTION("""COMPUTED_VALUE"""),"S. japonicum")</f>
        <v>S. japonicum</v>
      </c>
      <c r="C255" s="697" t="str">
        <f>IFERROR(__xludf.DUMMYFUNCTION("""COMPUTED_VALUE"""),"China")</f>
        <v>China</v>
      </c>
      <c r="D255" s="697" t="str">
        <f>IFERROR(__xludf.DUMMYFUNCTION("""COMPUTED_VALUE"""),"Praziquantel")</f>
        <v>Praziquantel</v>
      </c>
      <c r="E255" s="697" t="str">
        <f>IFERROR(__xludf.DUMMYFUNCTION("""COMPUTED_VALUE"""),"Two")</f>
        <v>Two</v>
      </c>
      <c r="F255" s="697" t="str">
        <f>IFERROR(__xludf.DUMMYFUNCTION("""COMPUTED_VALUE"""),"30 mg")</f>
        <v>30 mg</v>
      </c>
      <c r="G255" s="697">
        <f>IFERROR(__xludf.DUMMYFUNCTION("""COMPUTED_VALUE"""),203.0)</f>
        <v>203</v>
      </c>
      <c r="H255" s="697" t="str">
        <f>IFERROR(__xludf.DUMMYFUNCTION("""COMPUTED_VALUE"""),"5-17 yrs")</f>
        <v>5-17 yrs</v>
      </c>
      <c r="I255" s="697"/>
      <c r="J255" s="697">
        <f>IFERROR(__xludf.DUMMYFUNCTION("""COMPUTED_VALUE"""),1999.0)</f>
        <v>1999</v>
      </c>
      <c r="K255" s="697" t="str">
        <f>IFERROR(__xludf.DUMMYFUNCTION("""COMPUTED_VALUE"""),"schoolchildren aged 6 to 19 years positive for S. mansoni")</f>
        <v>schoolchildren aged 6 to 19 years positive for S. mansoni</v>
      </c>
      <c r="L255" s="697" t="str">
        <f>IFERROR(__xludf.DUMMYFUNCTION("""COMPUTED_VALUE"""),"Yes")</f>
        <v>Yes</v>
      </c>
      <c r="M255" s="697" t="str">
        <f>IFERROR(__xludf.DUMMYFUNCTION("""COMPUTED_VALUE"""),"Yes")</f>
        <v>Yes</v>
      </c>
      <c r="N255" s="697" t="str">
        <f>IFERROR(__xludf.DUMMYFUNCTION("""COMPUTED_VALUE"""),"45 days")</f>
        <v>45 days</v>
      </c>
      <c r="O255" s="706">
        <f>IFERROR(__xludf.DUMMYFUNCTION("""COMPUTED_VALUE"""),0.4765)</f>
        <v>0.4765</v>
      </c>
      <c r="P255" s="697"/>
      <c r="Q255" s="697" t="str">
        <f>IFERROR(__xludf.DUMMYFUNCTION("""COMPUTED_VALUE"""),"Combined mass treatment of schoolchildren with praziquantel and albendazole produced no more side effects than treatment with praziquantel alone.")</f>
        <v>Combined mass treatment of schoolchildren with praziquantel and albendazole produced no more side effects than treatment with praziquantel alone.</v>
      </c>
      <c r="R255" s="697" t="str">
        <f>IFERROR(__xludf.DUMMYFUNCTION("""COMPUTED_VALUE"""),"Double-Blind Placebo-Controlled Study of Concurrent Administration of Albendazole and Praziquantel in Schoolchildren with Schistosomiasis and Geohelminths")</f>
        <v>Double-Blind Placebo-Controlled Study of Concurrent Administration of Albendazole and Praziquantel in Schoolchildren with Schistosomiasis and Geohelminths</v>
      </c>
      <c r="S255" s="699" t="str">
        <f>IFERROR(__xludf.DUMMYFUNCTION("""COMPUTED_VALUE"""),"Olds GR, King CH, Hewlett J, Olveda R, Wu G, Ouma J, et al.Double-blind placebo-controlled study of concurrent administration of albendazole and praziquantel in schoolchildren with schistosomiasis and geohelminths. Journal of Infectious Diseases 1999;179("&amp;"4):996–1003.")</f>
        <v>Olds GR, King CH, Hewlett J, Olveda R, Wu G, Ouma J, et al.Double-blind placebo-controlled study of concurrent administration of albendazole and praziquantel in schoolchildren with schistosomiasis and geohelminths. Journal of Infectious Diseases 1999;179(4):996–1003.</v>
      </c>
      <c r="T255" s="697"/>
      <c r="U255" s="697" t="str">
        <f>IFERROR(__xludf.DUMMYFUNCTION("""COMPUTED_VALUE"""),"x")</f>
        <v>x</v>
      </c>
      <c r="V255" s="697">
        <f>IFERROR(__xludf.DUMMYFUNCTION("""COMPUTED_VALUE"""),255.0)</f>
        <v>255</v>
      </c>
    </row>
    <row r="256">
      <c r="A256" s="697" t="str">
        <f>IFERROR(__xludf.DUMMYFUNCTION("""COMPUTED_VALUE"""),"Olds GR, 1999")</f>
        <v>Olds GR, 1999</v>
      </c>
      <c r="B256" s="697" t="str">
        <f>IFERROR(__xludf.DUMMYFUNCTION("""COMPUTED_VALUE"""),"S. japonicum")</f>
        <v>S. japonicum</v>
      </c>
      <c r="C256" s="697" t="str">
        <f>IFERROR(__xludf.DUMMYFUNCTION("""COMPUTED_VALUE"""),"Philippines")</f>
        <v>Philippines</v>
      </c>
      <c r="D256" s="697" t="str">
        <f>IFERROR(__xludf.DUMMYFUNCTION("""COMPUTED_VALUE"""),"Praziquantel")</f>
        <v>Praziquantel</v>
      </c>
      <c r="E256" s="697" t="str">
        <f>IFERROR(__xludf.DUMMYFUNCTION("""COMPUTED_VALUE"""),"Two")</f>
        <v>Two</v>
      </c>
      <c r="F256" s="697" t="str">
        <f>IFERROR(__xludf.DUMMYFUNCTION("""COMPUTED_VALUE"""),"30 mg")</f>
        <v>30 mg</v>
      </c>
      <c r="G256" s="697">
        <f>IFERROR(__xludf.DUMMYFUNCTION("""COMPUTED_VALUE"""),203.0)</f>
        <v>203</v>
      </c>
      <c r="H256" s="697" t="str">
        <f>IFERROR(__xludf.DUMMYFUNCTION("""COMPUTED_VALUE"""),"5-17 yrs")</f>
        <v>5-17 yrs</v>
      </c>
      <c r="I256" s="697"/>
      <c r="J256" s="697">
        <f>IFERROR(__xludf.DUMMYFUNCTION("""COMPUTED_VALUE"""),1999.0)</f>
        <v>1999</v>
      </c>
      <c r="K256" s="697" t="str">
        <f>IFERROR(__xludf.DUMMYFUNCTION("""COMPUTED_VALUE"""),"schoolchildren aged 6 to 19 years positive for S. mansoni")</f>
        <v>schoolchildren aged 6 to 19 years positive for S. mansoni</v>
      </c>
      <c r="L256" s="697" t="str">
        <f>IFERROR(__xludf.DUMMYFUNCTION("""COMPUTED_VALUE"""),"Yes")</f>
        <v>Yes</v>
      </c>
      <c r="M256" s="697" t="str">
        <f>IFERROR(__xludf.DUMMYFUNCTION("""COMPUTED_VALUE"""),"Yes")</f>
        <v>Yes</v>
      </c>
      <c r="N256" s="697" t="str">
        <f>IFERROR(__xludf.DUMMYFUNCTION("""COMPUTED_VALUE"""),"45 days")</f>
        <v>45 days</v>
      </c>
      <c r="O256" s="706">
        <f>IFERROR(__xludf.DUMMYFUNCTION("""COMPUTED_VALUE"""),0.4765)</f>
        <v>0.4765</v>
      </c>
      <c r="P256" s="697"/>
      <c r="Q256" s="697" t="str">
        <f>IFERROR(__xludf.DUMMYFUNCTION("""COMPUTED_VALUE"""),"Combined mass treatment of schoolchildren with praziquantel and albendazole produced no more side effects than treatment with praziquantel alone.")</f>
        <v>Combined mass treatment of schoolchildren with praziquantel and albendazole produced no more side effects than treatment with praziquantel alone.</v>
      </c>
      <c r="R256" s="697" t="str">
        <f>IFERROR(__xludf.DUMMYFUNCTION("""COMPUTED_VALUE"""),"Double-Blind Placebo-Controlled Study of Concurrent Administration of Albendazole and Praziquantel in Schoolchildren with Schistosomiasis and Geohelminths")</f>
        <v>Double-Blind Placebo-Controlled Study of Concurrent Administration of Albendazole and Praziquantel in Schoolchildren with Schistosomiasis and Geohelminths</v>
      </c>
      <c r="S256" s="699" t="str">
        <f>IFERROR(__xludf.DUMMYFUNCTION("""COMPUTED_VALUE"""),"Olds GR, King CH, Hewlett J, Olveda R, Wu G, Ouma J, et al.Double-blind placebo-controlled study of concurrent administration of albendazole and praziquantel in schoolchildren with schistosomiasis and geohelminths. Journal of Infectious Diseases 1999;179("&amp;"4):996–1003.")</f>
        <v>Olds GR, King CH, Hewlett J, Olveda R, Wu G, Ouma J, et al.Double-blind placebo-controlled study of concurrent administration of albendazole and praziquantel in schoolchildren with schistosomiasis and geohelminths. Journal of Infectious Diseases 1999;179(4):996–1003.</v>
      </c>
      <c r="T256" s="697"/>
      <c r="U256" s="697" t="str">
        <f>IFERROR(__xludf.DUMMYFUNCTION("""COMPUTED_VALUE"""),"x")</f>
        <v>x</v>
      </c>
      <c r="V256" s="697">
        <f>IFERROR(__xludf.DUMMYFUNCTION("""COMPUTED_VALUE"""),256.0)</f>
        <v>256</v>
      </c>
    </row>
    <row r="257">
      <c r="A257" s="697" t="str">
        <f>IFERROR(__xludf.DUMMYFUNCTION("""COMPUTED_VALUE"""),"Olds GR, 1999")</f>
        <v>Olds GR, 1999</v>
      </c>
      <c r="B257" s="697" t="str">
        <f>IFERROR(__xludf.DUMMYFUNCTION("""COMPUTED_VALUE"""),"S. japonicum")</f>
        <v>S. japonicum</v>
      </c>
      <c r="C257" s="697" t="str">
        <f>IFERROR(__xludf.DUMMYFUNCTION("""COMPUTED_VALUE"""),"China")</f>
        <v>China</v>
      </c>
      <c r="D257" s="697" t="str">
        <f>IFERROR(__xludf.DUMMYFUNCTION("""COMPUTED_VALUE"""),"Albendazole")</f>
        <v>Albendazole</v>
      </c>
      <c r="E257" s="697" t="str">
        <f>IFERROR(__xludf.DUMMYFUNCTION("""COMPUTED_VALUE"""),"Single")</f>
        <v>Single</v>
      </c>
      <c r="F257" s="697" t="str">
        <f>IFERROR(__xludf.DUMMYFUNCTION("""COMPUTED_VALUE"""),"400 mg")</f>
        <v>400 mg</v>
      </c>
      <c r="G257" s="697">
        <f>IFERROR(__xludf.DUMMYFUNCTION("""COMPUTED_VALUE"""),199.0)</f>
        <v>199</v>
      </c>
      <c r="H257" s="697" t="str">
        <f>IFERROR(__xludf.DUMMYFUNCTION("""COMPUTED_VALUE"""),"5-17 yrs")</f>
        <v>5-17 yrs</v>
      </c>
      <c r="I257" s="697"/>
      <c r="J257" s="697">
        <f>IFERROR(__xludf.DUMMYFUNCTION("""COMPUTED_VALUE"""),1999.0)</f>
        <v>1999</v>
      </c>
      <c r="K257" s="697" t="str">
        <f>IFERROR(__xludf.DUMMYFUNCTION("""COMPUTED_VALUE"""),"schoolchildren aged 6 to 19 years positive for S. mansoni")</f>
        <v>schoolchildren aged 6 to 19 years positive for S. mansoni</v>
      </c>
      <c r="L257" s="697" t="str">
        <f>IFERROR(__xludf.DUMMYFUNCTION("""COMPUTED_VALUE"""),"Yes")</f>
        <v>Yes</v>
      </c>
      <c r="M257" s="697" t="str">
        <f>IFERROR(__xludf.DUMMYFUNCTION("""COMPUTED_VALUE"""),"Yes")</f>
        <v>Yes</v>
      </c>
      <c r="N257" s="697" t="str">
        <f>IFERROR(__xludf.DUMMYFUNCTION("""COMPUTED_VALUE"""),"45 days")</f>
        <v>45 days</v>
      </c>
      <c r="O257" s="706">
        <f>IFERROR(__xludf.DUMMYFUNCTION("""COMPUTED_VALUE"""),0.1335)</f>
        <v>0.1335</v>
      </c>
      <c r="P257" s="697"/>
      <c r="Q257" s="697" t="str">
        <f>IFERROR(__xludf.DUMMYFUNCTION("""COMPUTED_VALUE"""),"Combined mass treatment of schoolchildren with praziquantel and albendazole produced no more side effects than treatment with praziquantel alone.")</f>
        <v>Combined mass treatment of schoolchildren with praziquantel and albendazole produced no more side effects than treatment with praziquantel alone.</v>
      </c>
      <c r="R257" s="697" t="str">
        <f>IFERROR(__xludf.DUMMYFUNCTION("""COMPUTED_VALUE"""),"Double-Blind Placebo-Controlled Study of Concurrent Administration of Albendazole and Praziquantel in Schoolchildren with Schistosomiasis and Geohelminths")</f>
        <v>Double-Blind Placebo-Controlled Study of Concurrent Administration of Albendazole and Praziquantel in Schoolchildren with Schistosomiasis and Geohelminths</v>
      </c>
      <c r="S257" s="699" t="str">
        <f>IFERROR(__xludf.DUMMYFUNCTION("""COMPUTED_VALUE"""),"Olds GR, King CH, Hewlett J, Olveda R, Wu G, Ouma J, et al.Double-blind placebo-controlled study of concurrent administration of albendazole and praziquantel in schoolchildren with schistosomiasis and geohelminths. Journal of Infectious Diseases 1999;179("&amp;"4):996–1003.")</f>
        <v>Olds GR, King CH, Hewlett J, Olveda R, Wu G, Ouma J, et al.Double-blind placebo-controlled study of concurrent administration of albendazole and praziquantel in schoolchildren with schistosomiasis and geohelminths. Journal of Infectious Diseases 1999;179(4):996–1003.</v>
      </c>
      <c r="T257" s="697"/>
      <c r="U257" s="697" t="str">
        <f>IFERROR(__xludf.DUMMYFUNCTION("""COMPUTED_VALUE"""),"x")</f>
        <v>x</v>
      </c>
      <c r="V257" s="697">
        <f>IFERROR(__xludf.DUMMYFUNCTION("""COMPUTED_VALUE"""),257.0)</f>
        <v>257</v>
      </c>
    </row>
    <row r="258">
      <c r="A258" s="697" t="str">
        <f>IFERROR(__xludf.DUMMYFUNCTION("""COMPUTED_VALUE"""),"Olds GR, 1999")</f>
        <v>Olds GR, 1999</v>
      </c>
      <c r="B258" s="697" t="str">
        <f>IFERROR(__xludf.DUMMYFUNCTION("""COMPUTED_VALUE"""),"S. japonicum")</f>
        <v>S. japonicum</v>
      </c>
      <c r="C258" s="697" t="str">
        <f>IFERROR(__xludf.DUMMYFUNCTION("""COMPUTED_VALUE"""),"Philippines")</f>
        <v>Philippines</v>
      </c>
      <c r="D258" s="697" t="str">
        <f>IFERROR(__xludf.DUMMYFUNCTION("""COMPUTED_VALUE"""),"Albendazole")</f>
        <v>Albendazole</v>
      </c>
      <c r="E258" s="697" t="str">
        <f>IFERROR(__xludf.DUMMYFUNCTION("""COMPUTED_VALUE"""),"Single")</f>
        <v>Single</v>
      </c>
      <c r="F258" s="697" t="str">
        <f>IFERROR(__xludf.DUMMYFUNCTION("""COMPUTED_VALUE"""),"400 mg")</f>
        <v>400 mg</v>
      </c>
      <c r="G258" s="697">
        <f>IFERROR(__xludf.DUMMYFUNCTION("""COMPUTED_VALUE"""),199.0)</f>
        <v>199</v>
      </c>
      <c r="H258" s="697" t="str">
        <f>IFERROR(__xludf.DUMMYFUNCTION("""COMPUTED_VALUE"""),"5-17 yrs")</f>
        <v>5-17 yrs</v>
      </c>
      <c r="I258" s="697"/>
      <c r="J258" s="697">
        <f>IFERROR(__xludf.DUMMYFUNCTION("""COMPUTED_VALUE"""),1999.0)</f>
        <v>1999</v>
      </c>
      <c r="K258" s="697" t="str">
        <f>IFERROR(__xludf.DUMMYFUNCTION("""COMPUTED_VALUE"""),"schoolchildren aged 6 to 19 years positive for S. mansoni")</f>
        <v>schoolchildren aged 6 to 19 years positive for S. mansoni</v>
      </c>
      <c r="L258" s="697" t="str">
        <f>IFERROR(__xludf.DUMMYFUNCTION("""COMPUTED_VALUE"""),"Yes")</f>
        <v>Yes</v>
      </c>
      <c r="M258" s="706" t="str">
        <f>IFERROR(__xludf.DUMMYFUNCTION("""COMPUTED_VALUE"""),"Yes")</f>
        <v>Yes</v>
      </c>
      <c r="N258" s="706" t="str">
        <f>IFERROR(__xludf.DUMMYFUNCTION("""COMPUTED_VALUE"""),"45 days")</f>
        <v>45 days</v>
      </c>
      <c r="O258" s="706">
        <f>IFERROR(__xludf.DUMMYFUNCTION("""COMPUTED_VALUE"""),0.1335)</f>
        <v>0.1335</v>
      </c>
      <c r="P258" s="697"/>
      <c r="Q258" s="697" t="str">
        <f>IFERROR(__xludf.DUMMYFUNCTION("""COMPUTED_VALUE"""),"Combined mass treatment of schoolchildren with praziquantel and albendazole produced no more side effects than treatment with praziquantel alone.")</f>
        <v>Combined mass treatment of schoolchildren with praziquantel and albendazole produced no more side effects than treatment with praziquantel alone.</v>
      </c>
      <c r="R258" s="697" t="str">
        <f>IFERROR(__xludf.DUMMYFUNCTION("""COMPUTED_VALUE"""),"Double-Blind Placebo-Controlled Study of Concurrent Administration of Albendazole and Praziquantel in Schoolchildren with Schistosomiasis and Geohelminths")</f>
        <v>Double-Blind Placebo-Controlled Study of Concurrent Administration of Albendazole and Praziquantel in Schoolchildren with Schistosomiasis and Geohelminths</v>
      </c>
      <c r="S258" s="699" t="str">
        <f>IFERROR(__xludf.DUMMYFUNCTION("""COMPUTED_VALUE"""),"Olds GR, King CH, Hewlett J, Olveda R, Wu G, Ouma J, et al.Double-blind placebo-controlled study of concurrent administration of albendazole and praziquantel in schoolchildren with schistosomiasis and geohelminths. Journal of Infectious Diseases 1999;179("&amp;"4):996–1003.")</f>
        <v>Olds GR, King CH, Hewlett J, Olveda R, Wu G, Ouma J, et al.Double-blind placebo-controlled study of concurrent administration of albendazole and praziquantel in schoolchildren with schistosomiasis and geohelminths. Journal of Infectious Diseases 1999;179(4):996–1003.</v>
      </c>
      <c r="T258" s="697"/>
      <c r="U258" s="697" t="str">
        <f>IFERROR(__xludf.DUMMYFUNCTION("""COMPUTED_VALUE"""),"x")</f>
        <v>x</v>
      </c>
      <c r="V258" s="697">
        <f>IFERROR(__xludf.DUMMYFUNCTION("""COMPUTED_VALUE"""),258.0)</f>
        <v>258</v>
      </c>
    </row>
    <row r="259">
      <c r="A259" s="697" t="str">
        <f>IFERROR(__xludf.DUMMYFUNCTION("""COMPUTED_VALUE"""),"Olds GR, 1999")</f>
        <v>Olds GR, 1999</v>
      </c>
      <c r="B259" s="697" t="str">
        <f>IFERROR(__xludf.DUMMYFUNCTION("""COMPUTED_VALUE"""),"S. japonicum")</f>
        <v>S. japonicum</v>
      </c>
      <c r="C259" s="697" t="str">
        <f>IFERROR(__xludf.DUMMYFUNCTION("""COMPUTED_VALUE"""),"China")</f>
        <v>China</v>
      </c>
      <c r="D259" s="697" t="str">
        <f>IFERROR(__xludf.DUMMYFUNCTION("""COMPUTED_VALUE"""),"Placebo")</f>
        <v>Placebo</v>
      </c>
      <c r="E259" s="697"/>
      <c r="F259" s="697"/>
      <c r="G259" s="697">
        <f>IFERROR(__xludf.DUMMYFUNCTION("""COMPUTED_VALUE"""),195.0)</f>
        <v>195</v>
      </c>
      <c r="H259" s="697" t="str">
        <f>IFERROR(__xludf.DUMMYFUNCTION("""COMPUTED_VALUE"""),"5-17 yrs")</f>
        <v>5-17 yrs</v>
      </c>
      <c r="I259" s="697"/>
      <c r="J259" s="697">
        <f>IFERROR(__xludf.DUMMYFUNCTION("""COMPUTED_VALUE"""),1999.0)</f>
        <v>1999</v>
      </c>
      <c r="K259" s="697" t="str">
        <f>IFERROR(__xludf.DUMMYFUNCTION("""COMPUTED_VALUE"""),"schoolchildren aged 6 to 19 years positive for S. mansoni")</f>
        <v>schoolchildren aged 6 to 19 years positive for S. mansoni</v>
      </c>
      <c r="L259" s="697" t="str">
        <f>IFERROR(__xludf.DUMMYFUNCTION("""COMPUTED_VALUE"""),"Yes")</f>
        <v>Yes</v>
      </c>
      <c r="M259" s="697" t="str">
        <f>IFERROR(__xludf.DUMMYFUNCTION("""COMPUTED_VALUE"""),"Yes")</f>
        <v>Yes</v>
      </c>
      <c r="N259" s="697" t="str">
        <f>IFERROR(__xludf.DUMMYFUNCTION("""COMPUTED_VALUE"""),"45 days")</f>
        <v>45 days</v>
      </c>
      <c r="O259" s="706">
        <f>IFERROR(__xludf.DUMMYFUNCTION("""COMPUTED_VALUE"""),0.061)</f>
        <v>0.061</v>
      </c>
      <c r="P259" s="697"/>
      <c r="Q259" s="697" t="str">
        <f>IFERROR(__xludf.DUMMYFUNCTION("""COMPUTED_VALUE"""),"Combined mass treatment of schoolchildren with praziquantel and albendazole produced no more side effects than treatment with praziquantel alone.")</f>
        <v>Combined mass treatment of schoolchildren with praziquantel and albendazole produced no more side effects than treatment with praziquantel alone.</v>
      </c>
      <c r="R259" s="697" t="str">
        <f>IFERROR(__xludf.DUMMYFUNCTION("""COMPUTED_VALUE"""),"Double-Blind Placebo-Controlled Study of Concurrent Administration of Albendazole and Praziquantel in Schoolchildren with Schistosomiasis and Geohelminths")</f>
        <v>Double-Blind Placebo-Controlled Study of Concurrent Administration of Albendazole and Praziquantel in Schoolchildren with Schistosomiasis and Geohelminths</v>
      </c>
      <c r="S259" s="699" t="str">
        <f>IFERROR(__xludf.DUMMYFUNCTION("""COMPUTED_VALUE"""),"Olds GR, King CH, Hewlett J, Olveda R, Wu G, Ouma J, et al.Double-blind placebo-controlled study of concurrent administration of albendazole and praziquantel in schoolchildren with schistosomiasis and geohelminths. Journal of Infectious Diseases 1999;179("&amp;"4):996–1003.")</f>
        <v>Olds GR, King CH, Hewlett J, Olveda R, Wu G, Ouma J, et al.Double-blind placebo-controlled study of concurrent administration of albendazole and praziquantel in schoolchildren with schistosomiasis and geohelminths. Journal of Infectious Diseases 1999;179(4):996–1003.</v>
      </c>
      <c r="T259" s="697"/>
      <c r="U259" s="697" t="str">
        <f>IFERROR(__xludf.DUMMYFUNCTION("""COMPUTED_VALUE"""),"x")</f>
        <v>x</v>
      </c>
      <c r="V259" s="697">
        <f>IFERROR(__xludf.DUMMYFUNCTION("""COMPUTED_VALUE"""),259.0)</f>
        <v>259</v>
      </c>
    </row>
    <row r="260">
      <c r="A260" s="697" t="str">
        <f>IFERROR(__xludf.DUMMYFUNCTION("""COMPUTED_VALUE"""),"Olds GR, 1999")</f>
        <v>Olds GR, 1999</v>
      </c>
      <c r="B260" s="697" t="str">
        <f>IFERROR(__xludf.DUMMYFUNCTION("""COMPUTED_VALUE"""),"S. japonicum")</f>
        <v>S. japonicum</v>
      </c>
      <c r="C260" s="697" t="str">
        <f>IFERROR(__xludf.DUMMYFUNCTION("""COMPUTED_VALUE"""),"Philippines")</f>
        <v>Philippines</v>
      </c>
      <c r="D260" s="697" t="str">
        <f>IFERROR(__xludf.DUMMYFUNCTION("""COMPUTED_VALUE"""),"Placebo")</f>
        <v>Placebo</v>
      </c>
      <c r="E260" s="697"/>
      <c r="F260" s="697"/>
      <c r="G260" s="697">
        <f>IFERROR(__xludf.DUMMYFUNCTION("""COMPUTED_VALUE"""),195.0)</f>
        <v>195</v>
      </c>
      <c r="H260" s="697" t="str">
        <f>IFERROR(__xludf.DUMMYFUNCTION("""COMPUTED_VALUE"""),"5-17 yrs")</f>
        <v>5-17 yrs</v>
      </c>
      <c r="I260" s="697"/>
      <c r="J260" s="697">
        <f>IFERROR(__xludf.DUMMYFUNCTION("""COMPUTED_VALUE"""),1999.0)</f>
        <v>1999</v>
      </c>
      <c r="K260" s="697" t="str">
        <f>IFERROR(__xludf.DUMMYFUNCTION("""COMPUTED_VALUE"""),"schoolchildren aged 6 to 19 years positive for S. mansoni")</f>
        <v>schoolchildren aged 6 to 19 years positive for S. mansoni</v>
      </c>
      <c r="L260" s="697" t="str">
        <f>IFERROR(__xludf.DUMMYFUNCTION("""COMPUTED_VALUE"""),"Yes")</f>
        <v>Yes</v>
      </c>
      <c r="M260" s="697" t="str">
        <f>IFERROR(__xludf.DUMMYFUNCTION("""COMPUTED_VALUE"""),"Yes")</f>
        <v>Yes</v>
      </c>
      <c r="N260" s="697" t="str">
        <f>IFERROR(__xludf.DUMMYFUNCTION("""COMPUTED_VALUE"""),"45 days")</f>
        <v>45 days</v>
      </c>
      <c r="O260" s="706">
        <f>IFERROR(__xludf.DUMMYFUNCTION("""COMPUTED_VALUE"""),0.061)</f>
        <v>0.061</v>
      </c>
      <c r="P260" s="697"/>
      <c r="Q260" s="697" t="str">
        <f>IFERROR(__xludf.DUMMYFUNCTION("""COMPUTED_VALUE"""),"Combined mass treatment of schoolchildren with praziquantel and albendazole produced no more side effects than treatment with praziquantel alone.")</f>
        <v>Combined mass treatment of schoolchildren with praziquantel and albendazole produced no more side effects than treatment with praziquantel alone.</v>
      </c>
      <c r="R260" s="697" t="str">
        <f>IFERROR(__xludf.DUMMYFUNCTION("""COMPUTED_VALUE"""),"Double-Blind Placebo-Controlled Study of Concurrent Administration of Albendazole and Praziquantel in Schoolchildren with Schistosomiasis and Geohelminths")</f>
        <v>Double-Blind Placebo-Controlled Study of Concurrent Administration of Albendazole and Praziquantel in Schoolchildren with Schistosomiasis and Geohelminths</v>
      </c>
      <c r="S260" s="699" t="str">
        <f>IFERROR(__xludf.DUMMYFUNCTION("""COMPUTED_VALUE"""),"Olds GR, King CH, Hewlett J, Olveda R, Wu G, Ouma J, et al.Double-blind placebo-controlled study of concurrent administration of albendazole and praziquantel in schoolchildren with schistosomiasis and geohelminths. Journal of Infectious Diseases 1999;179("&amp;"4):996–1003.")</f>
        <v>Olds GR, King CH, Hewlett J, Olveda R, Wu G, Ouma J, et al.Double-blind placebo-controlled study of concurrent administration of albendazole and praziquantel in schoolchildren with schistosomiasis and geohelminths. Journal of Infectious Diseases 1999;179(4):996–1003.</v>
      </c>
      <c r="T260" s="697"/>
      <c r="U260" s="697" t="str">
        <f>IFERROR(__xludf.DUMMYFUNCTION("""COMPUTED_VALUE"""),"x")</f>
        <v>x</v>
      </c>
      <c r="V260" s="697">
        <f>IFERROR(__xludf.DUMMYFUNCTION("""COMPUTED_VALUE"""),260.0)</f>
        <v>260</v>
      </c>
    </row>
    <row r="261">
      <c r="A261" s="697" t="str">
        <f>IFERROR(__xludf.DUMMYFUNCTION("""COMPUTED_VALUE"""),"Namwanje 2011")</f>
        <v>Namwanje 2011</v>
      </c>
      <c r="B261" s="697" t="str">
        <f>IFERROR(__xludf.DUMMYFUNCTION("""COMPUTED_VALUE"""),"s. mansoni")</f>
        <v>s. mansoni</v>
      </c>
      <c r="C261" s="697" t="str">
        <f>IFERROR(__xludf.DUMMYFUNCTION("""COMPUTED_VALUE"""),"Uganda")</f>
        <v>Uganda</v>
      </c>
      <c r="D261" s="697" t="str">
        <f>IFERROR(__xludf.DUMMYFUNCTION("""COMPUTED_VALUE"""),"Albendazole &amp; Ivermectin &amp; Praziquantel")</f>
        <v>Albendazole &amp; Ivermectin &amp; Praziquantel</v>
      </c>
      <c r="E261" s="697" t="str">
        <f>IFERROR(__xludf.DUMMYFUNCTION("""COMPUTED_VALUE"""),"Single")</f>
        <v>Single</v>
      </c>
      <c r="F261" s="697" t="str">
        <f>IFERROR(__xludf.DUMMYFUNCTION("""COMPUTED_VALUE"""),"400 mg; 200 µg/kg; 40 mg/kg;")</f>
        <v>400 mg; 200 µg/kg; 40 mg/kg;</v>
      </c>
      <c r="G261" s="697">
        <f>IFERROR(__xludf.DUMMYFUNCTION("""COMPUTED_VALUE"""),60.0)</f>
        <v>60</v>
      </c>
      <c r="H261" s="704">
        <f>IFERROR(__xludf.DUMMYFUNCTION("""COMPUTED_VALUE"""),42508.0)</f>
        <v>42508</v>
      </c>
      <c r="I261" s="697"/>
      <c r="J261" s="697">
        <f>IFERROR(__xludf.DUMMYFUNCTION("""COMPUTED_VALUE"""),2007.0)</f>
        <v>2007</v>
      </c>
      <c r="K261" s="697" t="str">
        <f>IFERROR(__xludf.DUMMYFUNCTION("""COMPUTED_VALUE"""),"Children who were in class one to six in the year 2007, aged 5-18 years and found to be infected with either LF, schistomiasis or any STH, with both LF and schistomiasis, or with all three parasites, who were willing, who consented, and whose parents cons"&amp;"ented were eligible for inclusion in the study.")</f>
        <v>Children who were in class one to six in the year 2007, aged 5-18 years and found to be infected with either LF, schistomiasis or any STH, with both LF and schistomiasis, or with all three parasites, who were willing, who consented, and whose parents consented were eligible for inclusion in the study.</v>
      </c>
      <c r="L261" s="697" t="str">
        <f>IFERROR(__xludf.DUMMYFUNCTION("""COMPUTED_VALUE"""),"Yes")</f>
        <v>Yes</v>
      </c>
      <c r="M261" s="697" t="str">
        <f>IFERROR(__xludf.DUMMYFUNCTION("""COMPUTED_VALUE"""),"Yes")</f>
        <v>Yes</v>
      </c>
      <c r="N261" s="697" t="str">
        <f>IFERROR(__xludf.DUMMYFUNCTION("""COMPUTED_VALUE"""),"5 weeks")</f>
        <v>5 weeks</v>
      </c>
      <c r="O261" s="697"/>
      <c r="P261" s="700">
        <f>IFERROR(__xludf.DUMMYFUNCTION("""COMPUTED_VALUE"""),0.99)</f>
        <v>0.99</v>
      </c>
      <c r="Q261" s="697" t="str">
        <f>IFERROR(__xludf.DUMMYFUNCTION("""COMPUTED_VALUE"""),"Administration of ALB + IVM +PZQ to children with triple infection was safe. ")</f>
        <v>Administration of ALB + IVM +PZQ to children with triple infection was safe. </v>
      </c>
      <c r="R261" s="697"/>
      <c r="S261" s="697"/>
      <c r="T261" s="697"/>
      <c r="U261" s="697" t="str">
        <f>IFERROR(__xludf.DUMMYFUNCTION("""COMPUTED_VALUE"""),"")</f>
        <v/>
      </c>
      <c r="V261" s="697">
        <f>IFERROR(__xludf.DUMMYFUNCTION("""COMPUTED_VALUE"""),261.0)</f>
        <v>261</v>
      </c>
    </row>
    <row r="262">
      <c r="A262" s="697" t="str">
        <f>IFERROR(__xludf.DUMMYFUNCTION("""COMPUTED_VALUE"""),"Zhang 2003")</f>
        <v>Zhang 2003</v>
      </c>
      <c r="B262" s="697" t="str">
        <f>IFERROR(__xludf.DUMMYFUNCTION("""COMPUTED_VALUE"""),"s. mansoni")</f>
        <v>s. mansoni</v>
      </c>
      <c r="C262" s="697" t="str">
        <f>IFERROR(__xludf.DUMMYFUNCTION("""COMPUTED_VALUE"""),"Uganda")</f>
        <v>Uganda</v>
      </c>
      <c r="D262" s="697" t="str">
        <f>IFERROR(__xludf.DUMMYFUNCTION("""COMPUTED_VALUE"""),"Albendazole &amp; Praziquantel")</f>
        <v>Albendazole &amp; Praziquantel</v>
      </c>
      <c r="E262" s="697" t="str">
        <f>IFERROR(__xludf.DUMMYFUNCTION("""COMPUTED_VALUE"""),"Single")</f>
        <v>Single</v>
      </c>
      <c r="F262" s="697" t="str">
        <f>IFERROR(__xludf.DUMMYFUNCTION("""COMPUTED_VALUE"""),"400 mg; 40 mg/kg")</f>
        <v>400 mg; 40 mg/kg</v>
      </c>
      <c r="G262" s="697">
        <f>IFERROR(__xludf.DUMMYFUNCTION("""COMPUTED_VALUE"""),1704.0)</f>
        <v>1704</v>
      </c>
      <c r="H262" s="697" t="str">
        <f>IFERROR(__xludf.DUMMYFUNCTION("""COMPUTED_VALUE"""),"School Children")</f>
        <v>School Children</v>
      </c>
      <c r="I262" s="705" t="str">
        <f>IFERROR(__xludf.DUMMYFUNCTION("""COMPUTED_VALUE"""),"879:821")</f>
        <v>879:821</v>
      </c>
      <c r="J262" s="697">
        <f>IFERROR(__xludf.DUMMYFUNCTION("""COMPUTED_VALUE"""),2003.0)</f>
        <v>2003</v>
      </c>
      <c r="K262" s="697" t="str">
        <f>IFERROR(__xludf.DUMMYFUNCTION("""COMPUTED_VALUE"""),"schoolchildren")</f>
        <v>schoolchildren</v>
      </c>
      <c r="L262" s="697" t="str">
        <f>IFERROR(__xludf.DUMMYFUNCTION("""COMPUTED_VALUE"""),"No")</f>
        <v>No</v>
      </c>
      <c r="M262" s="697" t="str">
        <f>IFERROR(__xludf.DUMMYFUNCTION("""COMPUTED_VALUE"""),"Yes")</f>
        <v>Yes</v>
      </c>
      <c r="N262" s="697" t="str">
        <f>IFERROR(__xludf.DUMMYFUNCTION("""COMPUTED_VALUE"""),"Follow-up 2 years")</f>
        <v>Follow-up 2 years</v>
      </c>
      <c r="O262" s="698">
        <f>IFERROR(__xludf.DUMMYFUNCTION("""COMPUTED_VALUE"""),0.578)</f>
        <v>0.578</v>
      </c>
      <c r="P262" s="697"/>
      <c r="Q262" s="697" t="str">
        <f>IFERROR(__xludf.DUMMYFUNCTION("""COMPUTED_VALUE"""),"Annual anthelmintic treatment delivered to schoolchildren and to adults at high risk in Uganda can significantly reduce the prevalence and intensity of infection for schistosomiasis and STH, and potentially also significantly reduce levels of environmenta"&amp;"l transmission of infection.")</f>
        <v>Annual anthelmintic treatment delivered to schoolchildren and to adults at high risk in Uganda can significantly reduce the prevalence and intensity of infection for schistosomiasis and STH, and potentially also significantly reduce levels of environmental transmission of infection.</v>
      </c>
      <c r="R262" s="697"/>
      <c r="S262" s="699" t="str">
        <f>IFERROR(__xludf.DUMMYFUNCTION("""COMPUTED_VALUE"""),"Zhang, Y. Koukounari, A.; Kabatereine, N.; Fleming, F.; Kazibwe, F.; Tukahebwa, E.; Stothard, J.R.; Webster, J.P.; Fenwish, A. Parisitological impact of 2-year preventive chemotherapy on schistosomiasis and soil-transmitted helminthiasis in Uganda. 2007. "&amp;"BMC Medicine 5:27 doi: 10.1186/1741-7015-5-27")</f>
        <v>Zhang, Y. Koukounari, A.; Kabatereine, N.; Fleming, F.; Kazibwe, F.; Tukahebwa, E.; Stothard, J.R.; Webster, J.P.; Fenwish, A. Parisitological impact of 2-year preventive chemotherapy on schistosomiasis and soil-transmitted helminthiasis in Uganda. 2007. BMC Medicine 5:27 doi: 10.1186/1741-7015-5-27</v>
      </c>
      <c r="T262" s="697"/>
      <c r="U262" s="697" t="str">
        <f>IFERROR(__xludf.DUMMYFUNCTION("""COMPUTED_VALUE"""),"")</f>
        <v/>
      </c>
      <c r="V262" s="697">
        <f>IFERROR(__xludf.DUMMYFUNCTION("""COMPUTED_VALUE"""),262.0)</f>
        <v>262</v>
      </c>
    </row>
    <row r="263">
      <c r="A263" s="697" t="str">
        <f>IFERROR(__xludf.DUMMYFUNCTION("""COMPUTED_VALUE"""),"Tohon 2008")</f>
        <v>Tohon 2008</v>
      </c>
      <c r="B263" s="697" t="str">
        <f>IFERROR(__xludf.DUMMYFUNCTION("""COMPUTED_VALUE"""),"s. haematobium")</f>
        <v>s. haematobium</v>
      </c>
      <c r="C263" s="697" t="str">
        <f>IFERROR(__xludf.DUMMYFUNCTION("""COMPUTED_VALUE"""),"Nigeria")</f>
        <v>Nigeria</v>
      </c>
      <c r="D263" s="697" t="str">
        <f>IFERROR(__xludf.DUMMYFUNCTION("""COMPUTED_VALUE"""),"Albendazole &amp; Praziquantel")</f>
        <v>Albendazole &amp; Praziquantel</v>
      </c>
      <c r="E263" s="697" t="str">
        <f>IFERROR(__xludf.DUMMYFUNCTION("""COMPUTED_VALUE"""),"Single")</f>
        <v>Single</v>
      </c>
      <c r="F263" s="697" t="str">
        <f>IFERROR(__xludf.DUMMYFUNCTION("""COMPUTED_VALUE"""),"400 mg; 40 mg/kg ")</f>
        <v>400 mg; 40 mg/kg </v>
      </c>
      <c r="G263" s="697">
        <f>IFERROR(__xludf.DUMMYFUNCTION("""COMPUTED_VALUE"""),354.0)</f>
        <v>354</v>
      </c>
      <c r="H263" s="697" t="str">
        <f>IFERROR(__xludf.DUMMYFUNCTION("""COMPUTED_VALUE"""),"7,8,11 years old")</f>
        <v>7,8,11 years old</v>
      </c>
      <c r="I263" s="705" t="str">
        <f>IFERROR(__xludf.DUMMYFUNCTION("""COMPUTED_VALUE"""),"ratio 1.27: 1")</f>
        <v>ratio 1.27: 1</v>
      </c>
      <c r="J263" s="697">
        <f>IFERROR(__xludf.DUMMYFUNCTION("""COMPUTED_VALUE"""),2005.0)</f>
        <v>2005</v>
      </c>
      <c r="K263" s="706" t="str">
        <f>IFERROR(__xludf.DUMMYFUNCTION("""COMPUTED_VALUE"""),"schoolchildren aged 7, 8 and 11 years were the study population. These particular ages were selected to be included in the monitoring and evaluation surveys because the control programme supported by the SCI targets schoolchildren and therefore these age "&amp;"groups would be the most representative.")</f>
        <v>schoolchildren aged 7, 8 and 11 years were the study population. These particular ages were selected to be included in the monitoring and evaluation surveys because the control programme supported by the SCI targets schoolchildren and therefore these age groups would be the most representative.</v>
      </c>
      <c r="L263" s="697" t="str">
        <f>IFERROR(__xludf.DUMMYFUNCTION("""COMPUTED_VALUE"""),"No")</f>
        <v>No</v>
      </c>
      <c r="M263" s="697" t="str">
        <f>IFERROR(__xludf.DUMMYFUNCTION("""COMPUTED_VALUE"""),"Yes")</f>
        <v>Yes</v>
      </c>
      <c r="N263" s="697" t="str">
        <f>IFERROR(__xludf.DUMMYFUNCTION("""COMPUTED_VALUE"""),"1 year; CR of heavy intensity")</f>
        <v>1 year; CR of heavy intensity</v>
      </c>
      <c r="O263" s="706">
        <f>IFERROR(__xludf.DUMMYFUNCTION("""COMPUTED_VALUE"""),0.917)</f>
        <v>0.917</v>
      </c>
      <c r="P263" s="697"/>
      <c r="Q263" s="697" t="str">
        <f>IFERROR(__xludf.DUMMYFUNCTION("""COMPUTED_VALUE"""),"Even though schistosomiasis represents only one of multiple causes of anaemia, the effect of praziquantel treatment on morbidity clearly indicates the benefits of schistosomiasis control programmes, which must be perpetuate.")</f>
        <v>Even though schistosomiasis represents only one of multiple causes of anaemia, the effect of praziquantel treatment on morbidity clearly indicates the benefits of schistosomiasis control programmes, which must be perpetuate.</v>
      </c>
      <c r="R263" s="697"/>
      <c r="S263" s="699" t="str">
        <f>IFERROR(__xludf.DUMMYFUNCTION("""COMPUTED_VALUE"""),"Tohon, Zilahatou B., et al. ""Controlling schistosomiasis: significant decrease of anaemia prevalence one year after a single dose of praziquantel in Nigerien schoolchildren."" PLoS Negl Trop Dis 2.5 (2008): e241.")</f>
        <v>Tohon, Zilahatou B., et al. "Controlling schistosomiasis: significant decrease of anaemia prevalence one year after a single dose of praziquantel in Nigerien schoolchildren." PLoS Negl Trop Dis 2.5 (2008): e241.</v>
      </c>
      <c r="T263" s="697"/>
      <c r="U263" s="697" t="str">
        <f>IFERROR(__xludf.DUMMYFUNCTION("""COMPUTED_VALUE"""),"")</f>
        <v/>
      </c>
      <c r="V263" s="697">
        <f>IFERROR(__xludf.DUMMYFUNCTION("""COMPUTED_VALUE"""),263.0)</f>
        <v>263</v>
      </c>
    </row>
    <row r="264">
      <c r="A264" s="697" t="str">
        <f>IFERROR(__xludf.DUMMYFUNCTION("""COMPUTED_VALUE"""),"Barda et al.")</f>
        <v>Barda et al.</v>
      </c>
      <c r="B264" s="697" t="str">
        <f>IFERROR(__xludf.DUMMYFUNCTION("""COMPUTED_VALUE"""),"s. haematobium")</f>
        <v>s. haematobium</v>
      </c>
      <c r="C264" s="697" t="str">
        <f>IFERROR(__xludf.DUMMYFUNCTION("""COMPUTED_VALUE"""),"Cote d'Ivoire")</f>
        <v>Cote d'Ivoire</v>
      </c>
      <c r="D264" s="697" t="str">
        <f>IFERROR(__xludf.DUMMYFUNCTION("""COMPUTED_VALUE"""),"Praziquantel")</f>
        <v>Praziquantel</v>
      </c>
      <c r="E264" s="697" t="str">
        <f>IFERROR(__xludf.DUMMYFUNCTION("""COMPUTED_VALUE"""),"Single")</f>
        <v>Single</v>
      </c>
      <c r="F264" s="697" t="str">
        <f>IFERROR(__xludf.DUMMYFUNCTION("""COMPUTED_VALUE"""),"40 mg/kg")</f>
        <v>40 mg/kg</v>
      </c>
      <c r="G264" s="697">
        <f>IFERROR(__xludf.DUMMYFUNCTION("""COMPUTED_VALUE"""),26.0)</f>
        <v>26</v>
      </c>
      <c r="H264" s="697" t="str">
        <f>IFERROR(__xludf.DUMMYFUNCTION("""COMPUTED_VALUE"""),"12-17 yrs")</f>
        <v>12-17 yrs</v>
      </c>
      <c r="I264" s="705" t="str">
        <f>IFERROR(__xludf.DUMMYFUNCTION("""COMPUTED_VALUE"""),"58.6% male")</f>
        <v>58.6% male</v>
      </c>
      <c r="J264" s="697">
        <f>IFERROR(__xludf.DUMMYFUNCTION("""COMPUTED_VALUE"""),2015.0)</f>
        <v>2015</v>
      </c>
      <c r="K264" s="697" t="str">
        <f>IFERROR(__xludf.DUMMYFUNCTION("""COMPUTED_VALUE"""),"Participants aged 12–18 years old were eligible for inclusion in the trial. Written informed consent was obtained before enrol- ment by the children aged 18 years and by parents or legal guardians of the children below 18 years old. The latter assented or"&amp;"ally.")</f>
        <v>Participants aged 12–18 years old were eligible for inclusion in the trial. Written informed consent was obtained before enrol- ment by the children aged 18 years and by parents or legal guardians of the children below 18 years old. The latter assented orally.</v>
      </c>
      <c r="L264" s="697" t="str">
        <f>IFERROR(__xludf.DUMMYFUNCTION("""COMPUTED_VALUE"""),"Yes")</f>
        <v>Yes</v>
      </c>
      <c r="M264" s="697" t="str">
        <f>IFERROR(__xludf.DUMMYFUNCTION("""COMPUTED_VALUE"""),"Yes")</f>
        <v>Yes</v>
      </c>
      <c r="N264" s="697" t="str">
        <f>IFERROR(__xludf.DUMMYFUNCTION("""COMPUTED_VALUE"""),"Our primary endpoints were cure rates (CRs) and egg reduction rates (ERRs) based on geomet- ric mean and safety.")</f>
        <v>Our primary endpoints were cure rates (CRs) and egg reduction rates (ERRs) based on geomet- ric mean and safety.</v>
      </c>
      <c r="O264" s="706">
        <f>IFERROR(__xludf.DUMMYFUNCTION("""COMPUTED_VALUE"""),0.385)</f>
        <v>0.385</v>
      </c>
      <c r="P264" s="706">
        <f>IFERROR(__xludf.DUMMYFUNCTION("""COMPUTED_VALUE"""),0.935)</f>
        <v>0.935</v>
      </c>
      <c r="Q264" s="697" t="str">
        <f>IFERROR(__xludf.DUMMYFUNCTION("""COMPUTED_VALUE"""),"Synriam and moxidectin show low efficacy against S. haematobium, hence an ancillary benefit is not expected when these drugs are used for treating onchocerciasis and malaria in co-endemic settings. Further studies are needed to corroborate our findings th"&amp;"at moxi- dectin and Synriam show moderate ERRs against S. mansoni.")</f>
        <v>Synriam and moxidectin show low efficacy against S. haematobium, hence an ancillary benefit is not expected when these drugs are used for treating onchocerciasis and malaria in co-endemic settings. Further studies are needed to corroborate our findings that moxi- dectin and Synriam show moderate ERRs against S. mansoni.</v>
      </c>
      <c r="R264" s="697"/>
      <c r="S264" s="699" t="str">
        <f>IFERROR(__xludf.DUMMYFUNCTION("""COMPUTED_VALUE"""),"Barda, B.; Coulibaly, J.T.; Puchkov, M.; Huwyler, J.; Hattendorf, J.; Kelser, J. ""Efficacy and Safety of Moxidectin, Synriam, Synriam-Praziquantel versus Praziquantel against Schistosoma haematobium and S. mansoni Infections: A Randomized Exploratory Pha"&amp;"se 2 Trial. 2016. PLOS Neglected Tropical Diseases. DOI: 10.1371/journal.pntd.0005008.  ")</f>
        <v>Barda, B.; Coulibaly, J.T.; Puchkov, M.; Huwyler, J.; Hattendorf, J.; Kelser, J. "Efficacy and Safety of Moxidectin, Synriam, Synriam-Praziquantel versus Praziquantel against Schistosoma haematobium and S. mansoni Infections: A Randomized Exploratory Phase 2 Trial. 2016. PLOS Neglected Tropical Diseases. DOI: 10.1371/journal.pntd.0005008.  </v>
      </c>
      <c r="T264" s="697"/>
      <c r="U264" s="697" t="str">
        <f>IFERROR(__xludf.DUMMYFUNCTION("""COMPUTED_VALUE"""),"")</f>
        <v/>
      </c>
      <c r="V264" s="697">
        <f>IFERROR(__xludf.DUMMYFUNCTION("""COMPUTED_VALUE"""),264.0)</f>
        <v>264</v>
      </c>
    </row>
    <row r="265">
      <c r="A265" s="699" t="str">
        <f>IFERROR(__xludf.DUMMYFUNCTION("""COMPUTED_VALUE"""),"Birrie")</f>
        <v>Birrie</v>
      </c>
      <c r="B265" s="697" t="str">
        <f>IFERROR(__xludf.DUMMYFUNCTION("""COMPUTED_VALUE"""),"s. mansoni")</f>
        <v>s. mansoni</v>
      </c>
      <c r="C265" s="697" t="str">
        <f>IFERROR(__xludf.DUMMYFUNCTION("""COMPUTED_VALUE"""),"Ethiopia")</f>
        <v>Ethiopia</v>
      </c>
      <c r="D265" s="697" t="str">
        <f>IFERROR(__xludf.DUMMYFUNCTION("""COMPUTED_VALUE"""),"Oxamniquine")</f>
        <v>Oxamniquine</v>
      </c>
      <c r="E265" s="697" t="str">
        <f>IFERROR(__xludf.DUMMYFUNCTION("""COMPUTED_VALUE"""),"Two")</f>
        <v>Two</v>
      </c>
      <c r="F265" s="697" t="str">
        <f>IFERROR(__xludf.DUMMYFUNCTION("""COMPUTED_VALUE"""),"20 mg/kg")</f>
        <v>20 mg/kg</v>
      </c>
      <c r="G265" s="697">
        <f>IFERROR(__xludf.DUMMYFUNCTION("""COMPUTED_VALUE"""),1183.0)</f>
        <v>1183</v>
      </c>
      <c r="H265" s="697" t="str">
        <f>IFERROR(__xludf.DUMMYFUNCTION("""COMPUTED_VALUE"""),"                   0-60")</f>
        <v>                   0-60</v>
      </c>
      <c r="I265" s="697"/>
      <c r="J265" s="697">
        <f>IFERROR(__xludf.DUMMYFUNCTION("""COMPUTED_VALUE"""),1995.0)</f>
        <v>1995</v>
      </c>
      <c r="K265" s="697"/>
      <c r="L265" s="697" t="str">
        <f>IFERROR(__xludf.DUMMYFUNCTION("""COMPUTED_VALUE"""),"No")</f>
        <v>No</v>
      </c>
      <c r="M265" s="706" t="str">
        <f>IFERROR(__xludf.DUMMYFUNCTION("""COMPUTED_VALUE"""),"No")</f>
        <v>No</v>
      </c>
      <c r="N265" s="706" t="str">
        <f>IFERROR(__xludf.DUMMYFUNCTION("""COMPUTED_VALUE"""),"Cure rate 3 months")</f>
        <v>Cure rate 3 months</v>
      </c>
      <c r="O265" s="700">
        <f>IFERROR(__xludf.DUMMYFUNCTION("""COMPUTED_VALUE"""),0.68)</f>
        <v>0.68</v>
      </c>
      <c r="P265" s="706">
        <f>IFERROR(__xludf.DUMMYFUNCTION("""COMPUTED_VALUE"""),0.148)</f>
        <v>0.148</v>
      </c>
      <c r="Q265" s="697"/>
      <c r="R265" s="699" t="str">
        <f>IFERROR(__xludf.DUMMYFUNCTION("""COMPUTED_VALUE"""),"Birrie, H., Abebe, F., &amp; Ayele, T. (1995). The efficacy of oxamniquine in selective population chemotherapy in Ethiopia. Ethipoian Medical Journal, 33, 235-241.")</f>
        <v>Birrie, H., Abebe, F., &amp; Ayele, T. (1995). The efficacy of oxamniquine in selective population chemotherapy in Ethiopia. Ethipoian Medical Journal, 33, 235-241.</v>
      </c>
      <c r="S265" s="697"/>
      <c r="T265" s="697"/>
      <c r="U265" s="697" t="str">
        <f>IFERROR(__xludf.DUMMYFUNCTION("""COMPUTED_VALUE"""),"x")</f>
        <v>x</v>
      </c>
      <c r="V265" s="697">
        <f>IFERROR(__xludf.DUMMYFUNCTION("""COMPUTED_VALUE"""),265.0)</f>
        <v>265</v>
      </c>
    </row>
    <row r="266">
      <c r="A266" s="699" t="str">
        <f>IFERROR(__xludf.DUMMYFUNCTION("""COMPUTED_VALUE"""),"Gaber")</f>
        <v>Gaber</v>
      </c>
      <c r="B266" s="697" t="str">
        <f>IFERROR(__xludf.DUMMYFUNCTION("""COMPUTED_VALUE"""),"s. mansoni")</f>
        <v>s. mansoni</v>
      </c>
      <c r="C266" s="697" t="str">
        <f>IFERROR(__xludf.DUMMYFUNCTION("""COMPUTED_VALUE"""),"Egypt")</f>
        <v>Egypt</v>
      </c>
      <c r="D266" s="697" t="str">
        <f>IFERROR(__xludf.DUMMYFUNCTION("""COMPUTED_VALUE"""),"Oxamniquine")</f>
        <v>Oxamniquine</v>
      </c>
      <c r="E266" s="697" t="str">
        <f>IFERROR(__xludf.DUMMYFUNCTION("""COMPUTED_VALUE"""),"Three")</f>
        <v>Three</v>
      </c>
      <c r="F266" s="697" t="str">
        <f>IFERROR(__xludf.DUMMYFUNCTION("""COMPUTED_VALUE"""),"20 mg/kg")</f>
        <v>20 mg/kg</v>
      </c>
      <c r="G266" s="697">
        <f>IFERROR(__xludf.DUMMYFUNCTION("""COMPUTED_VALUE"""),309.0)</f>
        <v>309</v>
      </c>
      <c r="H266" s="697" t="str">
        <f>IFERROR(__xludf.DUMMYFUNCTION("""COMPUTED_VALUE"""),"                   20-22")</f>
        <v>                   20-22</v>
      </c>
      <c r="I266" s="697"/>
      <c r="J266" s="697">
        <f>IFERROR(__xludf.DUMMYFUNCTION("""COMPUTED_VALUE"""),1978.0)</f>
        <v>1978</v>
      </c>
      <c r="K266" s="697"/>
      <c r="L266" s="697" t="str">
        <f>IFERROR(__xludf.DUMMYFUNCTION("""COMPUTED_VALUE"""),"No")</f>
        <v>No</v>
      </c>
      <c r="M266" s="706" t="str">
        <f>IFERROR(__xludf.DUMMYFUNCTION("""COMPUTED_VALUE"""),"No")</f>
        <v>No</v>
      </c>
      <c r="N266" s="706" t="str">
        <f>IFERROR(__xludf.DUMMYFUNCTION("""COMPUTED_VALUE"""),"Cure rate 3 months")</f>
        <v>Cure rate 3 months</v>
      </c>
      <c r="O266" s="700">
        <f>IFERROR(__xludf.DUMMYFUNCTION("""COMPUTED_VALUE"""),0.744)</f>
        <v>0.744</v>
      </c>
      <c r="P266" s="706" t="str">
        <f>IFERROR(__xludf.DUMMYFUNCTION("""COMPUTED_VALUE"""),"N/A")</f>
        <v>N/A</v>
      </c>
      <c r="Q266" s="697"/>
      <c r="R266" s="699" t="str">
        <f>IFERROR(__xludf.DUMMYFUNCTION("""COMPUTED_VALUE"""),"Gaber, A., Saif, M., Hassanein, Y., &amp; Khameis, S. (1978). Efficacy of oxamniquine in treatment of S. mansoni in a closed community in Egypt and the concomitant administration of both metrifonate and oxamniquine in mixed infections. J Egypt Med Assoc., 427"&amp;"-431.")</f>
        <v>Gaber, A., Saif, M., Hassanein, Y., &amp; Khameis, S. (1978). Efficacy of oxamniquine in treatment of S. mansoni in a closed community in Egypt and the concomitant administration of both metrifonate and oxamniquine in mixed infections. J Egypt Med Assoc., 427-431.</v>
      </c>
      <c r="S266" s="697"/>
      <c r="T266" s="697"/>
      <c r="U266" s="697" t="str">
        <f>IFERROR(__xludf.DUMMYFUNCTION("""COMPUTED_VALUE"""),"x")</f>
        <v>x</v>
      </c>
      <c r="V266" s="697">
        <f>IFERROR(__xludf.DUMMYFUNCTION("""COMPUTED_VALUE"""),266.0)</f>
        <v>266</v>
      </c>
    </row>
    <row r="267">
      <c r="A267" s="699" t="str">
        <f>IFERROR(__xludf.DUMMYFUNCTION("""COMPUTED_VALUE"""),"Gaber")</f>
        <v>Gaber</v>
      </c>
      <c r="B267" s="697" t="str">
        <f>IFERROR(__xludf.DUMMYFUNCTION("""COMPUTED_VALUE"""),"s. mansoni")</f>
        <v>s. mansoni</v>
      </c>
      <c r="C267" s="697" t="str">
        <f>IFERROR(__xludf.DUMMYFUNCTION("""COMPUTED_VALUE"""),"Egypt")</f>
        <v>Egypt</v>
      </c>
      <c r="D267" s="697" t="str">
        <f>IFERROR(__xludf.DUMMYFUNCTION("""COMPUTED_VALUE"""),"Oxamniquine")</f>
        <v>Oxamniquine</v>
      </c>
      <c r="E267" s="697" t="str">
        <f>IFERROR(__xludf.DUMMYFUNCTION("""COMPUTED_VALUE"""),"Two")</f>
        <v>Two</v>
      </c>
      <c r="F267" s="697" t="str">
        <f>IFERROR(__xludf.DUMMYFUNCTION("""COMPUTED_VALUE"""),"20 mg/kg")</f>
        <v>20 mg/kg</v>
      </c>
      <c r="G267" s="697">
        <f>IFERROR(__xludf.DUMMYFUNCTION("""COMPUTED_VALUE"""),64.0)</f>
        <v>64</v>
      </c>
      <c r="H267" s="697" t="str">
        <f>IFERROR(__xludf.DUMMYFUNCTION("""COMPUTED_VALUE"""),"                   20-22")</f>
        <v>                   20-22</v>
      </c>
      <c r="I267" s="697"/>
      <c r="J267" s="697">
        <f>IFERROR(__xludf.DUMMYFUNCTION("""COMPUTED_VALUE"""),1978.0)</f>
        <v>1978</v>
      </c>
      <c r="K267" s="697"/>
      <c r="L267" s="697" t="str">
        <f>IFERROR(__xludf.DUMMYFUNCTION("""COMPUTED_VALUE"""),"No")</f>
        <v>No</v>
      </c>
      <c r="M267" s="706" t="str">
        <f>IFERROR(__xludf.DUMMYFUNCTION("""COMPUTED_VALUE"""),"No")</f>
        <v>No</v>
      </c>
      <c r="N267" s="706" t="str">
        <f>IFERROR(__xludf.DUMMYFUNCTION("""COMPUTED_VALUE"""),"Cure rate 3 months")</f>
        <v>Cure rate 3 months</v>
      </c>
      <c r="O267" s="700">
        <f>IFERROR(__xludf.DUMMYFUNCTION("""COMPUTED_VALUE"""),0.515)</f>
        <v>0.515</v>
      </c>
      <c r="P267" s="706" t="str">
        <f>IFERROR(__xludf.DUMMYFUNCTION("""COMPUTED_VALUE"""),"N/A")</f>
        <v>N/A</v>
      </c>
      <c r="Q267" s="697"/>
      <c r="R267" s="699" t="str">
        <f>IFERROR(__xludf.DUMMYFUNCTION("""COMPUTED_VALUE"""),"Gaber, A., Saif, M., Hassanein, Y., &amp; Khameis, S. (1978). Efficacy of oxamniquine in treatment of S. mansoni in a closed community in Egypt and the concomitant administration of both metrifonate and oxamniquine in mixed infections. J Egypt Med Assoc., 427"&amp;"-431.")</f>
        <v>Gaber, A., Saif, M., Hassanein, Y., &amp; Khameis, S. (1978). Efficacy of oxamniquine in treatment of S. mansoni in a closed community in Egypt and the concomitant administration of both metrifonate and oxamniquine in mixed infections. J Egypt Med Assoc., 427-431.</v>
      </c>
      <c r="S267" s="697"/>
      <c r="T267" s="697"/>
      <c r="U267" s="697" t="str">
        <f>IFERROR(__xludf.DUMMYFUNCTION("""COMPUTED_VALUE"""),"x")</f>
        <v>x</v>
      </c>
      <c r="V267" s="697">
        <f>IFERROR(__xludf.DUMMYFUNCTION("""COMPUTED_VALUE"""),267.0)</f>
        <v>267</v>
      </c>
    </row>
    <row r="268">
      <c r="A268" s="699" t="str">
        <f>IFERROR(__xludf.DUMMYFUNCTION("""COMPUTED_VALUE"""),"Gaber")</f>
        <v>Gaber</v>
      </c>
      <c r="B268" s="697" t="str">
        <f>IFERROR(__xludf.DUMMYFUNCTION("""COMPUTED_VALUE"""),"s. haematobium &amp; s. mansoni")</f>
        <v>s. haematobium &amp; s. mansoni</v>
      </c>
      <c r="C268" s="697" t="str">
        <f>IFERROR(__xludf.DUMMYFUNCTION("""COMPUTED_VALUE"""),"Egypt")</f>
        <v>Egypt</v>
      </c>
      <c r="D268" s="697" t="str">
        <f>IFERROR(__xludf.DUMMYFUNCTION("""COMPUTED_VALUE"""),"Metrifonate")</f>
        <v>Metrifonate</v>
      </c>
      <c r="E268" s="697" t="str">
        <f>IFERROR(__xludf.DUMMYFUNCTION("""COMPUTED_VALUE"""),"Six")</f>
        <v>Six</v>
      </c>
      <c r="F268" s="697" t="str">
        <f>IFERROR(__xludf.DUMMYFUNCTION("""COMPUTED_VALUE"""),"10 mg/kg")</f>
        <v>10 mg/kg</v>
      </c>
      <c r="G268" s="697">
        <f>IFERROR(__xludf.DUMMYFUNCTION("""COMPUTED_VALUE"""),14.0)</f>
        <v>14</v>
      </c>
      <c r="H268" s="705" t="str">
        <f>IFERROR(__xludf.DUMMYFUNCTION("""COMPUTED_VALUE"""),"data not available")</f>
        <v>data not available</v>
      </c>
      <c r="I268" s="697"/>
      <c r="J268" s="697">
        <f>IFERROR(__xludf.DUMMYFUNCTION("""COMPUTED_VALUE"""),1978.0)</f>
        <v>1978</v>
      </c>
      <c r="K268" s="697"/>
      <c r="L268" s="697" t="str">
        <f>IFERROR(__xludf.DUMMYFUNCTION("""COMPUTED_VALUE"""),"No")</f>
        <v>No</v>
      </c>
      <c r="M268" s="706" t="str">
        <f>IFERROR(__xludf.DUMMYFUNCTION("""COMPUTED_VALUE"""),"No")</f>
        <v>No</v>
      </c>
      <c r="N268" s="706" t="str">
        <f>IFERROR(__xludf.DUMMYFUNCTION("""COMPUTED_VALUE"""),"Cure rate 3 months")</f>
        <v>Cure rate 3 months</v>
      </c>
      <c r="O268" s="700">
        <f>IFERROR(__xludf.DUMMYFUNCTION("""COMPUTED_VALUE"""),0.786)</f>
        <v>0.786</v>
      </c>
      <c r="P268" s="706" t="str">
        <f>IFERROR(__xludf.DUMMYFUNCTION("""COMPUTED_VALUE"""),"N/A")</f>
        <v>N/A</v>
      </c>
      <c r="Q268" s="697"/>
      <c r="R268" s="699" t="str">
        <f>IFERROR(__xludf.DUMMYFUNCTION("""COMPUTED_VALUE"""),"Gaber, A., Saif, M., Hassanein, Y., &amp; Khameis, S. (1978). Efficacy of oxamniquine in treatment of S. mansoni in a closed community in Egypt and the concomitant administration of both metrifonate and oxamniquine in mixed infections. J Egypt Med Assoc., 427"&amp;"-431.")</f>
        <v>Gaber, A., Saif, M., Hassanein, Y., &amp; Khameis, S. (1978). Efficacy of oxamniquine in treatment of S. mansoni in a closed community in Egypt and the concomitant administration of both metrifonate and oxamniquine in mixed infections. J Egypt Med Assoc., 427-431.</v>
      </c>
      <c r="S268" s="697"/>
      <c r="T268" s="697"/>
      <c r="U268" s="697" t="str">
        <f>IFERROR(__xludf.DUMMYFUNCTION("""COMPUTED_VALUE"""),"x")</f>
        <v>x</v>
      </c>
      <c r="V268" s="697">
        <f>IFERROR(__xludf.DUMMYFUNCTION("""COMPUTED_VALUE"""),268.0)</f>
        <v>268</v>
      </c>
    </row>
    <row r="269">
      <c r="A269" s="699" t="str">
        <f>IFERROR(__xludf.DUMMYFUNCTION("""COMPUTED_VALUE"""),"Gaber")</f>
        <v>Gaber</v>
      </c>
      <c r="B269" s="697" t="str">
        <f>IFERROR(__xludf.DUMMYFUNCTION("""COMPUTED_VALUE"""),"s. mansoni")</f>
        <v>s. mansoni</v>
      </c>
      <c r="C269" s="697" t="str">
        <f>IFERROR(__xludf.DUMMYFUNCTION("""COMPUTED_VALUE"""),"Egypt")</f>
        <v>Egypt</v>
      </c>
      <c r="D269" s="697" t="str">
        <f>IFERROR(__xludf.DUMMYFUNCTION("""COMPUTED_VALUE"""),"Oxamniquine")</f>
        <v>Oxamniquine</v>
      </c>
      <c r="E269" s="697" t="str">
        <f>IFERROR(__xludf.DUMMYFUNCTION("""COMPUTED_VALUE"""),"Four")</f>
        <v>Four</v>
      </c>
      <c r="F269" s="697" t="str">
        <f>IFERROR(__xludf.DUMMYFUNCTION("""COMPUTED_VALUE"""),"10 mg/kg")</f>
        <v>10 mg/kg</v>
      </c>
      <c r="G269" s="697">
        <f>IFERROR(__xludf.DUMMYFUNCTION("""COMPUTED_VALUE"""),18.0)</f>
        <v>18</v>
      </c>
      <c r="H269" s="705" t="str">
        <f>IFERROR(__xludf.DUMMYFUNCTION("""COMPUTED_VALUE"""),"data not available")</f>
        <v>data not available</v>
      </c>
      <c r="I269" s="697"/>
      <c r="J269" s="697">
        <f>IFERROR(__xludf.DUMMYFUNCTION("""COMPUTED_VALUE"""),1978.0)</f>
        <v>1978</v>
      </c>
      <c r="K269" s="697"/>
      <c r="L269" s="697" t="str">
        <f>IFERROR(__xludf.DUMMYFUNCTION("""COMPUTED_VALUE"""),"No")</f>
        <v>No</v>
      </c>
      <c r="M269" s="706" t="str">
        <f>IFERROR(__xludf.DUMMYFUNCTION("""COMPUTED_VALUE"""),"No")</f>
        <v>No</v>
      </c>
      <c r="N269" s="706" t="str">
        <f>IFERROR(__xludf.DUMMYFUNCTION("""COMPUTED_VALUE"""),"Cure rate 3 mnths: first for S.haemabotium then S.mansoni")</f>
        <v>Cure rate 3 mnths: first for S.haemabotium then S.mansoni</v>
      </c>
      <c r="O269" s="698">
        <f>IFERROR(__xludf.DUMMYFUNCTION("""COMPUTED_VALUE"""),0.444)</f>
        <v>0.444</v>
      </c>
      <c r="P269" s="706" t="str">
        <f>IFERROR(__xludf.DUMMYFUNCTION("""COMPUTED_VALUE"""),"N/A")</f>
        <v>N/A</v>
      </c>
      <c r="Q269" s="697"/>
      <c r="R269" s="699" t="str">
        <f>IFERROR(__xludf.DUMMYFUNCTION("""COMPUTED_VALUE"""),"Gaber, A., Saif, M., Hassanein, Y., &amp; Khameis, S. (1978). Efficacy of oxamniquine in treatment of S. mansoni in a closed community in Egypt and the concomitant administration of both metrifonate and oxamniquine in mixed infections. J Egypt Med Assoc., 427"&amp;"-431.")</f>
        <v>Gaber, A., Saif, M., Hassanein, Y., &amp; Khameis, S. (1978). Efficacy of oxamniquine in treatment of S. mansoni in a closed community in Egypt and the concomitant administration of both metrifonate and oxamniquine in mixed infections. J Egypt Med Assoc., 427-431.</v>
      </c>
      <c r="S269" s="697"/>
      <c r="T269" s="697"/>
      <c r="U269" s="697" t="str">
        <f>IFERROR(__xludf.DUMMYFUNCTION("""COMPUTED_VALUE"""),"x")</f>
        <v>x</v>
      </c>
      <c r="V269" s="697">
        <f>IFERROR(__xludf.DUMMYFUNCTION("""COMPUTED_VALUE"""),269.0)</f>
        <v>269</v>
      </c>
    </row>
    <row r="270">
      <c r="A270" s="699" t="str">
        <f>IFERROR(__xludf.DUMMYFUNCTION("""COMPUTED_VALUE"""),"Pitchford")</f>
        <v>Pitchford</v>
      </c>
      <c r="B270" s="697" t="str">
        <f>IFERROR(__xludf.DUMMYFUNCTION("""COMPUTED_VALUE"""),"s. mansoni")</f>
        <v>s. mansoni</v>
      </c>
      <c r="C270" s="697" t="str">
        <f>IFERROR(__xludf.DUMMYFUNCTION("""COMPUTED_VALUE"""),"South Africa")</f>
        <v>South Africa</v>
      </c>
      <c r="D270" s="697" t="str">
        <f>IFERROR(__xludf.DUMMYFUNCTION("""COMPUTED_VALUE"""),"Oxamniquine")</f>
        <v>Oxamniquine</v>
      </c>
      <c r="E270" s="697" t="str">
        <f>IFERROR(__xludf.DUMMYFUNCTION("""COMPUTED_VALUE"""),"Two ")</f>
        <v>Two </v>
      </c>
      <c r="F270" s="697" t="str">
        <f>IFERROR(__xludf.DUMMYFUNCTION("""COMPUTED_VALUE"""),"15 mg/kg")</f>
        <v>15 mg/kg</v>
      </c>
      <c r="G270" s="697">
        <f>IFERROR(__xludf.DUMMYFUNCTION("""COMPUTED_VALUE"""),11.0)</f>
        <v>11</v>
      </c>
      <c r="H270" s="704">
        <f>IFERROR(__xludf.DUMMYFUNCTION("""COMPUTED_VALUE"""),42993.0)</f>
        <v>42993</v>
      </c>
      <c r="I270" s="697"/>
      <c r="J270" s="697">
        <f>IFERROR(__xludf.DUMMYFUNCTION("""COMPUTED_VALUE"""),1978.0)</f>
        <v>1978</v>
      </c>
      <c r="K270" s="697"/>
      <c r="L270" s="697" t="str">
        <f>IFERROR(__xludf.DUMMYFUNCTION("""COMPUTED_VALUE"""),"No")</f>
        <v>No</v>
      </c>
      <c r="M270" s="706" t="str">
        <f>IFERROR(__xludf.DUMMYFUNCTION("""COMPUTED_VALUE"""),"No")</f>
        <v>No</v>
      </c>
      <c r="N270" s="706" t="str">
        <f>IFERROR(__xludf.DUMMYFUNCTION("""COMPUTED_VALUE"""),"ERR 1,3,6 months")</f>
        <v>ERR 1,3,6 months</v>
      </c>
      <c r="O270" s="706" t="str">
        <f>IFERROR(__xludf.DUMMYFUNCTION("""COMPUTED_VALUE"""),"N/A")</f>
        <v>N/A</v>
      </c>
      <c r="P270" s="706">
        <f>IFERROR(__xludf.DUMMYFUNCTION("""COMPUTED_VALUE"""),0.83)</f>
        <v>0.83</v>
      </c>
      <c r="Q270" s="697" t="str">
        <f>IFERROR(__xludf.DUMMYFUNCTION("""COMPUTED_VALUE"""),"In this trial, there was littl difference between the results in thos patients who received 15 mg/kg twice a day for 2 days and those who received 10 mg/kg twice a day for the same period.")</f>
        <v>In this trial, there was littl difference between the results in thos patients who received 15 mg/kg twice a day for 2 days and those who received 10 mg/kg twice a day for the same period.</v>
      </c>
      <c r="R270" s="699" t="str">
        <f>IFERROR(__xludf.DUMMYFUNCTION("""COMPUTED_VALUE"""),"Pitchford RJ, Lewis M. Oxamniquine in the treatment of various schistosome infections in South Africa. South African Medical Journal 1978;53(17):677-80.")</f>
        <v>Pitchford RJ, Lewis M. Oxamniquine in the treatment of various schistosome infections in South Africa. South African Medical Journal 1978;53(17):677-80.</v>
      </c>
      <c r="S270" s="697"/>
      <c r="T270" s="697"/>
      <c r="U270" s="697" t="str">
        <f>IFERROR(__xludf.DUMMYFUNCTION("""COMPUTED_VALUE"""),"x")</f>
        <v>x</v>
      </c>
      <c r="V270" s="697">
        <f>IFERROR(__xludf.DUMMYFUNCTION("""COMPUTED_VALUE"""),270.0)</f>
        <v>270</v>
      </c>
    </row>
    <row r="271">
      <c r="A271" s="699" t="str">
        <f>IFERROR(__xludf.DUMMYFUNCTION("""COMPUTED_VALUE"""),"Pitchford")</f>
        <v>Pitchford</v>
      </c>
      <c r="B271" s="697" t="str">
        <f>IFERROR(__xludf.DUMMYFUNCTION("""COMPUTED_VALUE"""),"s. mansoni")</f>
        <v>s. mansoni</v>
      </c>
      <c r="C271" s="697" t="str">
        <f>IFERROR(__xludf.DUMMYFUNCTION("""COMPUTED_VALUE"""),"South Africa")</f>
        <v>South Africa</v>
      </c>
      <c r="D271" s="697" t="str">
        <f>IFERROR(__xludf.DUMMYFUNCTION("""COMPUTED_VALUE"""),"Oxamniquine")</f>
        <v>Oxamniquine</v>
      </c>
      <c r="E271" s="697" t="str">
        <f>IFERROR(__xludf.DUMMYFUNCTION("""COMPUTED_VALUE"""),"Four")</f>
        <v>Four</v>
      </c>
      <c r="F271" s="697" t="str">
        <f>IFERROR(__xludf.DUMMYFUNCTION("""COMPUTED_VALUE"""),"10 mg/kg")</f>
        <v>10 mg/kg</v>
      </c>
      <c r="G271" s="697">
        <f>IFERROR(__xludf.DUMMYFUNCTION("""COMPUTED_VALUE"""),10.0)</f>
        <v>10</v>
      </c>
      <c r="H271" s="704">
        <f>IFERROR(__xludf.DUMMYFUNCTION("""COMPUTED_VALUE"""),42993.0)</f>
        <v>42993</v>
      </c>
      <c r="I271" s="697"/>
      <c r="J271" s="697">
        <f>IFERROR(__xludf.DUMMYFUNCTION("""COMPUTED_VALUE"""),1978.0)</f>
        <v>1978</v>
      </c>
      <c r="K271" s="697"/>
      <c r="L271" s="697" t="str">
        <f>IFERROR(__xludf.DUMMYFUNCTION("""COMPUTED_VALUE"""),"No")</f>
        <v>No</v>
      </c>
      <c r="M271" s="706" t="str">
        <f>IFERROR(__xludf.DUMMYFUNCTION("""COMPUTED_VALUE"""),"No")</f>
        <v>No</v>
      </c>
      <c r="N271" s="706" t="str">
        <f>IFERROR(__xludf.DUMMYFUNCTION("""COMPUTED_VALUE"""),"ERR 1,3,6 months")</f>
        <v>ERR 1,3,6 months</v>
      </c>
      <c r="O271" s="706" t="str">
        <f>IFERROR(__xludf.DUMMYFUNCTION("""COMPUTED_VALUE"""),"N/A")</f>
        <v>N/A</v>
      </c>
      <c r="P271" s="697" t="str">
        <f>IFERROR(__xludf.DUMMYFUNCTION("""COMPUTED_VALUE"""),"94%%")</f>
        <v>94%%</v>
      </c>
      <c r="Q271" s="697" t="str">
        <f>IFERROR(__xludf.DUMMYFUNCTION("""COMPUTED_VALUE"""),"In this trial, there was littl difference between the results in thos patients who received 15 mg/kg twice a day for 2 days and those who received 10 mg/kg twice a day for the same period.")</f>
        <v>In this trial, there was littl difference between the results in thos patients who received 15 mg/kg twice a day for 2 days and those who received 10 mg/kg twice a day for the same period.</v>
      </c>
      <c r="R271" s="699" t="str">
        <f>IFERROR(__xludf.DUMMYFUNCTION("""COMPUTED_VALUE"""),"Pitchford RJ, Lewis M. Oxamniquine in the treatment of various schistosome infections in South Africa. South African Medical Journal 1978;53(17):677-80.")</f>
        <v>Pitchford RJ, Lewis M. Oxamniquine in the treatment of various schistosome infections in South Africa. South African Medical Journal 1978;53(17):677-80.</v>
      </c>
      <c r="S271" s="697"/>
      <c r="T271" s="697"/>
      <c r="U271" s="697" t="str">
        <f>IFERROR(__xludf.DUMMYFUNCTION("""COMPUTED_VALUE"""),"x")</f>
        <v>x</v>
      </c>
      <c r="V271" s="697">
        <f>IFERROR(__xludf.DUMMYFUNCTION("""COMPUTED_VALUE"""),271.0)</f>
        <v>271</v>
      </c>
    </row>
    <row r="272">
      <c r="A272" s="699" t="str">
        <f>IFERROR(__xludf.DUMMYFUNCTION("""COMPUTED_VALUE"""),"Pitchford")</f>
        <v>Pitchford</v>
      </c>
      <c r="B272" s="697" t="str">
        <f>IFERROR(__xludf.DUMMYFUNCTION("""COMPUTED_VALUE"""),"s. mansoni")</f>
        <v>s. mansoni</v>
      </c>
      <c r="C272" s="697" t="str">
        <f>IFERROR(__xludf.DUMMYFUNCTION("""COMPUTED_VALUE"""),"South Africa")</f>
        <v>South Africa</v>
      </c>
      <c r="D272" s="697" t="str">
        <f>IFERROR(__xludf.DUMMYFUNCTION("""COMPUTED_VALUE"""),"Oxamniquine")</f>
        <v>Oxamniquine</v>
      </c>
      <c r="E272" s="697" t="str">
        <f>IFERROR(__xludf.DUMMYFUNCTION("""COMPUTED_VALUE"""),"Four")</f>
        <v>Four</v>
      </c>
      <c r="F272" s="697" t="str">
        <f>IFERROR(__xludf.DUMMYFUNCTION("""COMPUTED_VALUE"""),"15 mg/kg")</f>
        <v>15 mg/kg</v>
      </c>
      <c r="G272" s="697">
        <f>IFERROR(__xludf.DUMMYFUNCTION("""COMPUTED_VALUE"""),8.0)</f>
        <v>8</v>
      </c>
      <c r="H272" s="704">
        <f>IFERROR(__xludf.DUMMYFUNCTION("""COMPUTED_VALUE"""),42993.0)</f>
        <v>42993</v>
      </c>
      <c r="I272" s="697"/>
      <c r="J272" s="697">
        <f>IFERROR(__xludf.DUMMYFUNCTION("""COMPUTED_VALUE"""),1978.0)</f>
        <v>1978</v>
      </c>
      <c r="K272" s="697"/>
      <c r="L272" s="697" t="str">
        <f>IFERROR(__xludf.DUMMYFUNCTION("""COMPUTED_VALUE"""),"No")</f>
        <v>No</v>
      </c>
      <c r="M272" s="706" t="str">
        <f>IFERROR(__xludf.DUMMYFUNCTION("""COMPUTED_VALUE"""),"No")</f>
        <v>No</v>
      </c>
      <c r="N272" s="706" t="str">
        <f>IFERROR(__xludf.DUMMYFUNCTION("""COMPUTED_VALUE"""),"ERR 1,3,6 months")</f>
        <v>ERR 1,3,6 months</v>
      </c>
      <c r="O272" s="706" t="str">
        <f>IFERROR(__xludf.DUMMYFUNCTION("""COMPUTED_VALUE"""),"N/A")</f>
        <v>N/A</v>
      </c>
      <c r="P272" s="697" t="str">
        <f>IFERROR(__xludf.DUMMYFUNCTION("""COMPUTED_VALUE"""),"99%%")</f>
        <v>99%%</v>
      </c>
      <c r="Q272" s="697" t="str">
        <f>IFERROR(__xludf.DUMMYFUNCTION("""COMPUTED_VALUE"""),"In this trial, there was littl difference between the results in thos patients who received 15 mg/kg twice a day for 2 days and those who received 10 mg/kg twice a day for the same period.")</f>
        <v>In this trial, there was littl difference between the results in thos patients who received 15 mg/kg twice a day for 2 days and those who received 10 mg/kg twice a day for the same period.</v>
      </c>
      <c r="R272" s="699" t="str">
        <f>IFERROR(__xludf.DUMMYFUNCTION("""COMPUTED_VALUE"""),"Pitchford RJ, Lewis M. Oxamniquine in the treatment of various schistosome infections in South Africa. South African Medical Journal 1978;53(17):677-80.")</f>
        <v>Pitchford RJ, Lewis M. Oxamniquine in the treatment of various schistosome infections in South Africa. South African Medical Journal 1978;53(17):677-80.</v>
      </c>
      <c r="S272" s="697"/>
      <c r="T272" s="697"/>
      <c r="U272" s="697" t="str">
        <f>IFERROR(__xludf.DUMMYFUNCTION("""COMPUTED_VALUE"""),"x")</f>
        <v>x</v>
      </c>
      <c r="V272" s="697">
        <f>IFERROR(__xludf.DUMMYFUNCTION("""COMPUTED_VALUE"""),272.0)</f>
        <v>272</v>
      </c>
    </row>
    <row r="273">
      <c r="A273" s="699" t="str">
        <f>IFERROR(__xludf.DUMMYFUNCTION("""COMPUTED_VALUE"""),"Pitchford")</f>
        <v>Pitchford</v>
      </c>
      <c r="B273" s="697" t="str">
        <f>IFERROR(__xludf.DUMMYFUNCTION("""COMPUTED_VALUE"""),"s. mansoni")</f>
        <v>s. mansoni</v>
      </c>
      <c r="C273" s="697" t="str">
        <f>IFERROR(__xludf.DUMMYFUNCTION("""COMPUTED_VALUE"""),"South Africa")</f>
        <v>South Africa</v>
      </c>
      <c r="D273" s="697" t="str">
        <f>IFERROR(__xludf.DUMMYFUNCTION("""COMPUTED_VALUE"""),"Oxamniquine")</f>
        <v>Oxamniquine</v>
      </c>
      <c r="E273" s="697" t="str">
        <f>IFERROR(__xludf.DUMMYFUNCTION("""COMPUTED_VALUE"""),"Four")</f>
        <v>Four</v>
      </c>
      <c r="F273" s="697" t="str">
        <f>IFERROR(__xludf.DUMMYFUNCTION("""COMPUTED_VALUE"""),"15 mg/kg")</f>
        <v>15 mg/kg</v>
      </c>
      <c r="G273" s="697">
        <f>IFERROR(__xludf.DUMMYFUNCTION("""COMPUTED_VALUE"""),33.0)</f>
        <v>33</v>
      </c>
      <c r="H273" s="704">
        <f>IFERROR(__xludf.DUMMYFUNCTION("""COMPUTED_VALUE"""),42993.0)</f>
        <v>42993</v>
      </c>
      <c r="I273" s="697"/>
      <c r="J273" s="697">
        <f>IFERROR(__xludf.DUMMYFUNCTION("""COMPUTED_VALUE"""),1978.0)</f>
        <v>1978</v>
      </c>
      <c r="K273" s="697"/>
      <c r="L273" s="697" t="str">
        <f>IFERROR(__xludf.DUMMYFUNCTION("""COMPUTED_VALUE"""),"No")</f>
        <v>No</v>
      </c>
      <c r="M273" s="706" t="str">
        <f>IFERROR(__xludf.DUMMYFUNCTION("""COMPUTED_VALUE"""),"No")</f>
        <v>No</v>
      </c>
      <c r="N273" s="706" t="str">
        <f>IFERROR(__xludf.DUMMYFUNCTION("""COMPUTED_VALUE"""),"ERR 1,3months")</f>
        <v>ERR 1,3months</v>
      </c>
      <c r="O273" s="706" t="str">
        <f>IFERROR(__xludf.DUMMYFUNCTION("""COMPUTED_VALUE"""),"N/A")</f>
        <v>N/A</v>
      </c>
      <c r="P273" s="700">
        <f>IFERROR(__xludf.DUMMYFUNCTION("""COMPUTED_VALUE"""),0.99)</f>
        <v>0.99</v>
      </c>
      <c r="Q273" s="697" t="str">
        <f>IFERROR(__xludf.DUMMYFUNCTION("""COMPUTED_VALUE"""),"In this trial, there was littl difference between the results in thos patients who received 15 mg/kg twice a day for 2 days and those who received 10 mg/kg twice a day for the same period.")</f>
        <v>In this trial, there was littl difference between the results in thos patients who received 15 mg/kg twice a day for 2 days and those who received 10 mg/kg twice a day for the same period.</v>
      </c>
      <c r="R273" s="699" t="str">
        <f>IFERROR(__xludf.DUMMYFUNCTION("""COMPUTED_VALUE"""),"Pitchford RJ, Lewis M. Oxamniquine in the treatment of various schistosome infections in South Africa. South African Medical Journal 1978;53(17):677-80.")</f>
        <v>Pitchford RJ, Lewis M. Oxamniquine in the treatment of various schistosome infections in South Africa. South African Medical Journal 1978;53(17):677-80.</v>
      </c>
      <c r="S273" s="697"/>
      <c r="T273" s="697"/>
      <c r="U273" s="697" t="str">
        <f>IFERROR(__xludf.DUMMYFUNCTION("""COMPUTED_VALUE"""),"x")</f>
        <v>x</v>
      </c>
      <c r="V273" s="697">
        <f>IFERROR(__xludf.DUMMYFUNCTION("""COMPUTED_VALUE"""),273.0)</f>
        <v>273</v>
      </c>
    </row>
    <row r="274">
      <c r="A274" s="699" t="str">
        <f>IFERROR(__xludf.DUMMYFUNCTION("""COMPUTED_VALUE"""),"Scherrer")</f>
        <v>Scherrer</v>
      </c>
      <c r="B274" s="697" t="str">
        <f>IFERROR(__xludf.DUMMYFUNCTION("""COMPUTED_VALUE"""),"s. mansoni")</f>
        <v>s. mansoni</v>
      </c>
      <c r="C274" s="697" t="str">
        <f>IFERROR(__xludf.DUMMYFUNCTION("""COMPUTED_VALUE"""),"Cote d'Ivoire")</f>
        <v>Cote d'Ivoire</v>
      </c>
      <c r="D274" s="697" t="str">
        <f>IFERROR(__xludf.DUMMYFUNCTION("""COMPUTED_VALUE"""),"Praziquantel")</f>
        <v>Praziquantel</v>
      </c>
      <c r="E274" s="697" t="str">
        <f>IFERROR(__xludf.DUMMYFUNCTION("""COMPUTED_VALUE"""),"Single")</f>
        <v>Single</v>
      </c>
      <c r="F274" s="697" t="str">
        <f>IFERROR(__xludf.DUMMYFUNCTION("""COMPUTED_VALUE"""),"40 mg/kg")</f>
        <v>40 mg/kg</v>
      </c>
      <c r="G274" s="697">
        <f>IFERROR(__xludf.DUMMYFUNCTION("""COMPUTED_VALUE"""),49.0)</f>
        <v>49</v>
      </c>
      <c r="H274" s="705" t="str">
        <f>IFERROR(__xludf.DUMMYFUNCTION("""COMPUTED_VALUE"""),"5-13")</f>
        <v>5-13</v>
      </c>
      <c r="I274" s="705" t="str">
        <f>IFERROR(__xludf.DUMMYFUNCTION("""COMPUTED_VALUE"""),"32 M; 17 F")</f>
        <v>32 M; 17 F</v>
      </c>
      <c r="J274" s="697">
        <f>IFERROR(__xludf.DUMMYFUNCTION("""COMPUTED_VALUE"""),2007.0)</f>
        <v>2007</v>
      </c>
      <c r="K274" s="697"/>
      <c r="L274" s="697" t="str">
        <f>IFERROR(__xludf.DUMMYFUNCTION("""COMPUTED_VALUE"""),"No")</f>
        <v>No</v>
      </c>
      <c r="M274" s="706" t="str">
        <f>IFERROR(__xludf.DUMMYFUNCTION("""COMPUTED_VALUE"""),"No")</f>
        <v>No</v>
      </c>
      <c r="N274" s="706" t="str">
        <f>IFERROR(__xludf.DUMMYFUNCTION("""COMPUTED_VALUE"""),"CR/ERR 15-20 days")</f>
        <v>CR/ERR 15-20 days</v>
      </c>
      <c r="O274" s="700">
        <f>IFERROR(__xludf.DUMMYFUNCTION("""COMPUTED_VALUE"""),0.976)</f>
        <v>0.976</v>
      </c>
      <c r="P274" s="698">
        <f>IFERROR(__xludf.DUMMYFUNCTION("""COMPUTED_VALUE"""),0.977)</f>
        <v>0.977</v>
      </c>
      <c r="Q274" s="697" t="str">
        <f>IFERROR(__xludf.DUMMYFUNCTION("""COMPUTED_VALUE"""),"Our study showed that mean helminth egg count and cure rate depend on the exact time point of assessment. In previous studies efficacy of praziquantel was usually measured by analyzing stool samples 4–12 weeks post-treatment. Low cure rates were often ass"&amp;"umed to be due to low drug efficacy, resistance or lack of diagnostic sensitivity. Our findings emphasize that the exact time point of assessment should not be neglected as a possible explanation.")</f>
        <v>Our study showed that mean helminth egg count and cure rate depend on the exact time point of assessment. In previous studies efficacy of praziquantel was usually measured by analyzing stool samples 4–12 weeks post-treatment. Low cure rates were often assumed to be due to low drug efficacy, resistance or lack of diagnostic sensitivity. Our findings emphasize that the exact time point of assessment should not be neglected as a possible explanation.</v>
      </c>
      <c r="R274" s="699" t="str">
        <f>IFERROR(__xludf.DUMMYFUNCTION("""COMPUTED_VALUE"""),"Scherrer, Alexandra U., et al. ""Sequential analysis of helminth egg output in human stool samples following albendazole and praziquantel administration."" Acta tropica 109.3 (2009): 226-231.")</f>
        <v>Scherrer, Alexandra U., et al. "Sequential analysis of helminth egg output in human stool samples following albendazole and praziquantel administration." Acta tropica 109.3 (2009): 226-231.</v>
      </c>
      <c r="S274" s="697"/>
      <c r="T274" s="697"/>
      <c r="U274" s="697" t="str">
        <f>IFERROR(__xludf.DUMMYFUNCTION("""COMPUTED_VALUE"""),"x")</f>
        <v>x</v>
      </c>
      <c r="V274" s="697">
        <f>IFERROR(__xludf.DUMMYFUNCTION("""COMPUTED_VALUE"""),274.0)</f>
        <v>274</v>
      </c>
    </row>
    <row r="275">
      <c r="A275" s="699" t="str">
        <f>IFERROR(__xludf.DUMMYFUNCTION("""COMPUTED_VALUE"""),"Sissoko")</f>
        <v>Sissoko</v>
      </c>
      <c r="B275" s="697" t="str">
        <f>IFERROR(__xludf.DUMMYFUNCTION("""COMPUTED_VALUE"""),"s. haematobium")</f>
        <v>s. haematobium</v>
      </c>
      <c r="C275" s="697" t="str">
        <f>IFERROR(__xludf.DUMMYFUNCTION("""COMPUTED_VALUE"""),"Mali")</f>
        <v>Mali</v>
      </c>
      <c r="D275" s="697" t="str">
        <f>IFERROR(__xludf.DUMMYFUNCTION("""COMPUTED_VALUE"""),"Artesunate &amp; Sulfamethoxypyrazine")</f>
        <v>Artesunate &amp; Sulfamethoxypyrazine</v>
      </c>
      <c r="E275" s="697" t="str">
        <f>IFERROR(__xludf.DUMMYFUNCTION("""COMPUTED_VALUE"""),"Three")</f>
        <v>Three</v>
      </c>
      <c r="F275" s="697" t="str">
        <f>IFERROR(__xludf.DUMMYFUNCTION("""COMPUTED_VALUE"""),"100 mg + 250 mg ")</f>
        <v>100 mg + 250 mg </v>
      </c>
      <c r="G275" s="697">
        <f>IFERROR(__xludf.DUMMYFUNCTION("""COMPUTED_VALUE"""),392.0)</f>
        <v>392</v>
      </c>
      <c r="H275" s="704">
        <f>IFERROR(__xludf.DUMMYFUNCTION("""COMPUTED_VALUE"""),42901.0)</f>
        <v>42901</v>
      </c>
      <c r="I275" s="705" t="str">
        <f>IFERROR(__xludf.DUMMYFUNCTION("""COMPUTED_VALUE"""),"35.8% female")</f>
        <v>35.8% female</v>
      </c>
      <c r="J275" s="697">
        <f>IFERROR(__xludf.DUMMYFUNCTION("""COMPUTED_VALUE"""),2007.0)</f>
        <v>2007</v>
      </c>
      <c r="K275" s="697"/>
      <c r="L275" s="697" t="str">
        <f>IFERROR(__xludf.DUMMYFUNCTION("""COMPUTED_VALUE"""),"Yes")</f>
        <v>Yes</v>
      </c>
      <c r="M275" s="706" t="str">
        <f>IFERROR(__xludf.DUMMYFUNCTION("""COMPUTED_VALUE"""),"Yes")</f>
        <v>Yes</v>
      </c>
      <c r="N275" s="706" t="str">
        <f>IFERROR(__xludf.DUMMYFUNCTION("""COMPUTED_VALUE"""),"CR/ERR 28 days")</f>
        <v>CR/ERR 28 days</v>
      </c>
      <c r="O275" s="698">
        <f>IFERROR(__xludf.DUMMYFUNCTION("""COMPUTED_VALUE"""),0.814)</f>
        <v>0.814</v>
      </c>
      <c r="P275" s="698">
        <f>IFERROR(__xludf.DUMMYFUNCTION("""COMPUTED_VALUE"""),0.974)</f>
        <v>0.974</v>
      </c>
      <c r="Q275" s="697" t="str">
        <f>IFERROR(__xludf.DUMMYFUNCTION("""COMPUTED_VALUE"""),"The study demonstrates that PZQ was more effective than As+SMP for treating Schistosoma haematobium. However, the safety and tolerability profile of As+SMP was similar to that seen with PZQ. Our findings suggest that further investigations seem justifiabl"&amp;"e to determine the dose/efficacy/safety pattern of As+SMP in the treatment of Schistosoma infections.")</f>
        <v>The study demonstrates that PZQ was more effective than As+SMP for treating Schistosoma haematobium. However, the safety and tolerability profile of As+SMP was similar to that seen with PZQ. Our findings suggest that further investigations seem justifiable to determine the dose/efficacy/safety pattern of As+SMP in the treatment of Schistosoma infections.</v>
      </c>
      <c r="R275" s="699" t="str">
        <f>IFERROR(__xludf.DUMMYFUNCTION("""COMPUTED_VALUE"""),"Sissoko, M. S., Dabo, A., Traoré, H., Diallo, M., Traoré, B., Konaté, D., . . . Doumbo, O. K. (2009). Efficacy of Artesunate Sulfamethoxypyrazine/Pyrimethamine versus Praziquantel in the Treatment of Schistosoma haematobium in Children. PLoS ONE, 4(10). d"&amp;"oi:10.1371/journal.pone.0006732")</f>
        <v>Sissoko, M. S., Dabo, A., Traoré, H., Diallo, M., Traoré, B., Konaté, D., . . . Doumbo, O. K. (2009). Efficacy of Artesunate Sulfamethoxypyrazine/Pyrimethamine versus Praziquantel in the Treatment of Schistosoma haematobium in Children. PLoS ONE, 4(10). doi:10.1371/journal.pone.0006732</v>
      </c>
      <c r="S275" s="697"/>
      <c r="T275" s="697"/>
      <c r="U275" s="697" t="str">
        <f>IFERROR(__xludf.DUMMYFUNCTION("""COMPUTED_VALUE"""),"")</f>
        <v/>
      </c>
      <c r="V275" s="697">
        <f>IFERROR(__xludf.DUMMYFUNCTION("""COMPUTED_VALUE"""),275.0)</f>
        <v>275</v>
      </c>
    </row>
    <row r="276">
      <c r="A276" s="699" t="str">
        <f>IFERROR(__xludf.DUMMYFUNCTION("""COMPUTED_VALUE"""),"Sissoko")</f>
        <v>Sissoko</v>
      </c>
      <c r="B276" s="697" t="str">
        <f>IFERROR(__xludf.DUMMYFUNCTION("""COMPUTED_VALUE"""),"s. haematobium")</f>
        <v>s. haematobium</v>
      </c>
      <c r="C276" s="697" t="str">
        <f>IFERROR(__xludf.DUMMYFUNCTION("""COMPUTED_VALUE"""),"Mali")</f>
        <v>Mali</v>
      </c>
      <c r="D276" s="697" t="str">
        <f>IFERROR(__xludf.DUMMYFUNCTION("""COMPUTED_VALUE"""),"Praziquantel")</f>
        <v>Praziquantel</v>
      </c>
      <c r="E276" s="697" t="str">
        <f>IFERROR(__xludf.DUMMYFUNCTION("""COMPUTED_VALUE"""),"Single")</f>
        <v>Single</v>
      </c>
      <c r="F276" s="697" t="str">
        <f>IFERROR(__xludf.DUMMYFUNCTION("""COMPUTED_VALUE"""),"40 mg/kg")</f>
        <v>40 mg/kg</v>
      </c>
      <c r="G276" s="697">
        <f>IFERROR(__xludf.DUMMYFUNCTION("""COMPUTED_VALUE"""),389.0)</f>
        <v>389</v>
      </c>
      <c r="H276" s="704">
        <f>IFERROR(__xludf.DUMMYFUNCTION("""COMPUTED_VALUE"""),42901.0)</f>
        <v>42901</v>
      </c>
      <c r="I276" s="705" t="str">
        <f>IFERROR(__xludf.DUMMYFUNCTION("""COMPUTED_VALUE"""),"35.8% female")</f>
        <v>35.8% female</v>
      </c>
      <c r="J276" s="697">
        <f>IFERROR(__xludf.DUMMYFUNCTION("""COMPUTED_VALUE"""),2007.0)</f>
        <v>2007</v>
      </c>
      <c r="K276" s="697"/>
      <c r="L276" s="697" t="str">
        <f>IFERROR(__xludf.DUMMYFUNCTION("""COMPUTED_VALUE"""),"Yes")</f>
        <v>Yes</v>
      </c>
      <c r="M276" s="706" t="str">
        <f>IFERROR(__xludf.DUMMYFUNCTION("""COMPUTED_VALUE"""),"Yes")</f>
        <v>Yes</v>
      </c>
      <c r="N276" s="706" t="str">
        <f>IFERROR(__xludf.DUMMYFUNCTION("""COMPUTED_VALUE"""),"CR/ERR 28 days")</f>
        <v>CR/ERR 28 days</v>
      </c>
      <c r="O276" s="698">
        <f>IFERROR(__xludf.DUMMYFUNCTION("""COMPUTED_VALUE"""),0.977)</f>
        <v>0.977</v>
      </c>
      <c r="P276" s="698">
        <f>IFERROR(__xludf.DUMMYFUNCTION("""COMPUTED_VALUE"""),0.976)</f>
        <v>0.976</v>
      </c>
      <c r="Q276" s="697" t="str">
        <f>IFERROR(__xludf.DUMMYFUNCTION("""COMPUTED_VALUE"""),"The study demonstrates that PZQ was more effective than As+SMP for treating Schistosoma haematobium. However, the safety and tolerability profile of As+SMP was similar to that seen with PZQ. Our findings suggest that further investigations seem justifiabl"&amp;"e to determine the dose/efficacy/safety pattern of As+SMP in the treatment of Schistosoma infections.")</f>
        <v>The study demonstrates that PZQ was more effective than As+SMP for treating Schistosoma haematobium. However, the safety and tolerability profile of As+SMP was similar to that seen with PZQ. Our findings suggest that further investigations seem justifiable to determine the dose/efficacy/safety pattern of As+SMP in the treatment of Schistosoma infections.</v>
      </c>
      <c r="R276" s="699" t="str">
        <f>IFERROR(__xludf.DUMMYFUNCTION("""COMPUTED_VALUE"""),"Sissoko, M. S., Dabo, A., Traoré, H., Diallo, M., Traoré, B., Konaté, D., . . . Doumbo, O. K. (2009). Efficacy of Artesunate Sulfamethoxypyrazine/Pyrimethamine versus Praziquantel in the Treatment of Schistosoma haematobium in Children. PLoS ONE, 4(10). d"&amp;"oi:10.1371/journal.pone.0006732")</f>
        <v>Sissoko, M. S., Dabo, A., Traoré, H., Diallo, M., Traoré, B., Konaté, D., . . . Doumbo, O. K. (2009). Efficacy of Artesunate Sulfamethoxypyrazine/Pyrimethamine versus Praziquantel in the Treatment of Schistosoma haematobium in Children. PLoS ONE, 4(10). doi:10.1371/journal.pone.0006732</v>
      </c>
      <c r="S276" s="697"/>
      <c r="T276" s="697"/>
      <c r="U276" s="697" t="str">
        <f>IFERROR(__xludf.DUMMYFUNCTION("""COMPUTED_VALUE"""),"")</f>
        <v/>
      </c>
      <c r="V276" s="697">
        <f>IFERROR(__xludf.DUMMYFUNCTION("""COMPUTED_VALUE"""),276.0)</f>
        <v>276</v>
      </c>
    </row>
    <row r="277">
      <c r="A277" s="699" t="str">
        <f>IFERROR(__xludf.DUMMYFUNCTION("""COMPUTED_VALUE"""),"Thiong'O, F W")</f>
        <v>Thiong'O, F W</v>
      </c>
      <c r="B277" s="697" t="str">
        <f>IFERROR(__xludf.DUMMYFUNCTION("""COMPUTED_VALUE"""),"s. mansoni")</f>
        <v>s. mansoni</v>
      </c>
      <c r="C277" s="697" t="str">
        <f>IFERROR(__xludf.DUMMYFUNCTION("""COMPUTED_VALUE"""),"Kenya")</f>
        <v>Kenya</v>
      </c>
      <c r="D277" s="697" t="str">
        <f>IFERROR(__xludf.DUMMYFUNCTION("""COMPUTED_VALUE"""),"Oxamniquine")</f>
        <v>Oxamniquine</v>
      </c>
      <c r="E277" s="697" t="str">
        <f>IFERROR(__xludf.DUMMYFUNCTION("""COMPUTED_VALUE"""),"Two")</f>
        <v>Two</v>
      </c>
      <c r="F277" s="697" t="str">
        <f>IFERROR(__xludf.DUMMYFUNCTION("""COMPUTED_VALUE"""),"15 mg/kg")</f>
        <v>15 mg/kg</v>
      </c>
      <c r="G277" s="697">
        <f>IFERROR(__xludf.DUMMYFUNCTION("""COMPUTED_VALUE"""),99.0)</f>
        <v>99</v>
      </c>
      <c r="H277" s="704">
        <f>IFERROR(__xludf.DUMMYFUNCTION("""COMPUTED_VALUE"""),42845.0)</f>
        <v>42845</v>
      </c>
      <c r="I277" s="697"/>
      <c r="J277" s="697">
        <f>IFERROR(__xludf.DUMMYFUNCTION("""COMPUTED_VALUE"""),1990.0)</f>
        <v>1990</v>
      </c>
      <c r="K277" s="697"/>
      <c r="L277" s="697" t="str">
        <f>IFERROR(__xludf.DUMMYFUNCTION("""COMPUTED_VALUE"""),"No")</f>
        <v>No</v>
      </c>
      <c r="M277" s="706" t="str">
        <f>IFERROR(__xludf.DUMMYFUNCTION("""COMPUTED_VALUE"""),"No")</f>
        <v>No</v>
      </c>
      <c r="N277" s="706" t="str">
        <f>IFERROR(__xludf.DUMMYFUNCTION("""COMPUTED_VALUE"""),"CR/ERR 5 weeks")</f>
        <v>CR/ERR 5 weeks</v>
      </c>
      <c r="O277" s="698">
        <f>IFERROR(__xludf.DUMMYFUNCTION("""COMPUTED_VALUE"""),0.717)</f>
        <v>0.717</v>
      </c>
      <c r="P277" s="698">
        <f>IFERROR(__xludf.DUMMYFUNCTION("""COMPUTED_VALUE"""),0.963)</f>
        <v>0.963</v>
      </c>
      <c r="Q277" s="697"/>
      <c r="R277" s="699" t="str">
        <f>IFERROR(__xludf.DUMMYFUNCTION("""COMPUTED_VALUE"""),"Thiongo, F. W., Mbugua, G. G., Ouma, J. H., &amp; Sturrock, R. K. (2002). Efficacy of oxamniquine and praziquantel in school children from two Schistosoma mansoni endemic areas. East African Medical Journal, 79(1). doi:10.4314/eamj.v79i1.8921")</f>
        <v>Thiongo, F. W., Mbugua, G. G., Ouma, J. H., &amp; Sturrock, R. K. (2002). Efficacy of oxamniquine and praziquantel in school children from two Schistosoma mansoni endemic areas. East African Medical Journal, 79(1). doi:10.4314/eamj.v79i1.8921</v>
      </c>
      <c r="S277" s="697"/>
      <c r="T277" s="697"/>
      <c r="U277" s="697" t="str">
        <f>IFERROR(__xludf.DUMMYFUNCTION("""COMPUTED_VALUE"""),"x")</f>
        <v>x</v>
      </c>
      <c r="V277" s="697">
        <f>IFERROR(__xludf.DUMMYFUNCTION("""COMPUTED_VALUE"""),277.0)</f>
        <v>277</v>
      </c>
    </row>
    <row r="278">
      <c r="A278" s="699" t="str">
        <f>IFERROR(__xludf.DUMMYFUNCTION("""COMPUTED_VALUE"""),"Thiong'O, F W")</f>
        <v>Thiong'O, F W</v>
      </c>
      <c r="B278" s="697" t="str">
        <f>IFERROR(__xludf.DUMMYFUNCTION("""COMPUTED_VALUE"""),"s. mansoni")</f>
        <v>s. mansoni</v>
      </c>
      <c r="C278" s="697" t="str">
        <f>IFERROR(__xludf.DUMMYFUNCTION("""COMPUTED_VALUE"""),"Kenya")</f>
        <v>Kenya</v>
      </c>
      <c r="D278" s="697" t="str">
        <f>IFERROR(__xludf.DUMMYFUNCTION("""COMPUTED_VALUE"""),"Oxamniquine")</f>
        <v>Oxamniquine</v>
      </c>
      <c r="E278" s="697" t="str">
        <f>IFERROR(__xludf.DUMMYFUNCTION("""COMPUTED_VALUE"""),"Two")</f>
        <v>Two</v>
      </c>
      <c r="F278" s="697" t="str">
        <f>IFERROR(__xludf.DUMMYFUNCTION("""COMPUTED_VALUE"""),"15 mg/kg")</f>
        <v>15 mg/kg</v>
      </c>
      <c r="G278" s="697">
        <f>IFERROR(__xludf.DUMMYFUNCTION("""COMPUTED_VALUE"""),97.0)</f>
        <v>97</v>
      </c>
      <c r="H278" s="704">
        <f>IFERROR(__xludf.DUMMYFUNCTION("""COMPUTED_VALUE"""),42845.0)</f>
        <v>42845</v>
      </c>
      <c r="I278" s="697"/>
      <c r="J278" s="697">
        <f>IFERROR(__xludf.DUMMYFUNCTION("""COMPUTED_VALUE"""),1990.0)</f>
        <v>1990</v>
      </c>
      <c r="K278" s="697"/>
      <c r="L278" s="697" t="str">
        <f>IFERROR(__xludf.DUMMYFUNCTION("""COMPUTED_VALUE"""),"No")</f>
        <v>No</v>
      </c>
      <c r="M278" s="706" t="str">
        <f>IFERROR(__xludf.DUMMYFUNCTION("""COMPUTED_VALUE"""),"No")</f>
        <v>No</v>
      </c>
      <c r="N278" s="706" t="str">
        <f>IFERROR(__xludf.DUMMYFUNCTION("""COMPUTED_VALUE"""),"CR/ERR 5 weeks")</f>
        <v>CR/ERR 5 weeks</v>
      </c>
      <c r="O278" s="698">
        <f>IFERROR(__xludf.DUMMYFUNCTION("""COMPUTED_VALUE"""),0.567)</f>
        <v>0.567</v>
      </c>
      <c r="P278" s="698">
        <f>IFERROR(__xludf.DUMMYFUNCTION("""COMPUTED_VALUE"""),0.954)</f>
        <v>0.954</v>
      </c>
      <c r="Q278" s="697"/>
      <c r="R278" s="699" t="str">
        <f>IFERROR(__xludf.DUMMYFUNCTION("""COMPUTED_VALUE"""),"Thiongo, F. W., Mbugua, G. G., Ouma, J. H., &amp; Sturrock, R. K. (2002). Efficacy of oxamniquine and praziquantel in school children from two Schistosoma mansoni endemic areas. East African Medical Journal, 79(1). doi:10.4314/eamj.v79i1.8921")</f>
        <v>Thiongo, F. W., Mbugua, G. G., Ouma, J. H., &amp; Sturrock, R. K. (2002). Efficacy of oxamniquine and praziquantel in school children from two Schistosoma mansoni endemic areas. East African Medical Journal, 79(1). doi:10.4314/eamj.v79i1.8921</v>
      </c>
      <c r="S278" s="697"/>
      <c r="T278" s="697"/>
      <c r="U278" s="697" t="str">
        <f>IFERROR(__xludf.DUMMYFUNCTION("""COMPUTED_VALUE"""),"x")</f>
        <v>x</v>
      </c>
      <c r="V278" s="697">
        <f>IFERROR(__xludf.DUMMYFUNCTION("""COMPUTED_VALUE"""),278.0)</f>
        <v>278</v>
      </c>
    </row>
    <row r="279">
      <c r="A279" s="699" t="str">
        <f>IFERROR(__xludf.DUMMYFUNCTION("""COMPUTED_VALUE"""),"Thiong'O, F W")</f>
        <v>Thiong'O, F W</v>
      </c>
      <c r="B279" s="697" t="str">
        <f>IFERROR(__xludf.DUMMYFUNCTION("""COMPUTED_VALUE"""),"s. mansoni")</f>
        <v>s. mansoni</v>
      </c>
      <c r="C279" s="697" t="str">
        <f>IFERROR(__xludf.DUMMYFUNCTION("""COMPUTED_VALUE"""),"Kenya")</f>
        <v>Kenya</v>
      </c>
      <c r="D279" s="697" t="str">
        <f>IFERROR(__xludf.DUMMYFUNCTION("""COMPUTED_VALUE"""),"Oxamniquine")</f>
        <v>Oxamniquine</v>
      </c>
      <c r="E279" s="697" t="str">
        <f>IFERROR(__xludf.DUMMYFUNCTION("""COMPUTED_VALUE"""),"Two")</f>
        <v>Two</v>
      </c>
      <c r="F279" s="697" t="str">
        <f>IFERROR(__xludf.DUMMYFUNCTION("""COMPUTED_VALUE"""),"15 mg/kg")</f>
        <v>15 mg/kg</v>
      </c>
      <c r="G279" s="697">
        <f>IFERROR(__xludf.DUMMYFUNCTION("""COMPUTED_VALUE"""),97.0)</f>
        <v>97</v>
      </c>
      <c r="H279" s="704">
        <f>IFERROR(__xludf.DUMMYFUNCTION("""COMPUTED_VALUE"""),42875.0)</f>
        <v>42875</v>
      </c>
      <c r="I279" s="697"/>
      <c r="J279" s="697">
        <f>IFERROR(__xludf.DUMMYFUNCTION("""COMPUTED_VALUE"""),1990.0)</f>
        <v>1990</v>
      </c>
      <c r="K279" s="697"/>
      <c r="L279" s="697" t="str">
        <f>IFERROR(__xludf.DUMMYFUNCTION("""COMPUTED_VALUE"""),"No")</f>
        <v>No</v>
      </c>
      <c r="M279" s="706" t="str">
        <f>IFERROR(__xludf.DUMMYFUNCTION("""COMPUTED_VALUE"""),"No")</f>
        <v>No</v>
      </c>
      <c r="N279" s="706" t="str">
        <f>IFERROR(__xludf.DUMMYFUNCTION("""COMPUTED_VALUE"""),"CR/ERR 5 weeks")</f>
        <v>CR/ERR 5 weeks</v>
      </c>
      <c r="O279" s="698">
        <f>IFERROR(__xludf.DUMMYFUNCTION("""COMPUTED_VALUE"""),0.619)</f>
        <v>0.619</v>
      </c>
      <c r="P279" s="698">
        <f>IFERROR(__xludf.DUMMYFUNCTION("""COMPUTED_VALUE"""),0.996)</f>
        <v>0.996</v>
      </c>
      <c r="Q279" s="697"/>
      <c r="R279" s="699" t="str">
        <f>IFERROR(__xludf.DUMMYFUNCTION("""COMPUTED_VALUE"""),"Thiongo, F. W., Mbugua, G. G., Ouma, J. H., &amp; Sturrock, R. K. (2002). Efficacy of oxamniquine and praziquantel in school children from two Schistosoma mansoni endemic areas. East African Medical Journal, 79(1). doi:10.4314/eamj.v79i1.8921")</f>
        <v>Thiongo, F. W., Mbugua, G. G., Ouma, J. H., &amp; Sturrock, R. K. (2002). Efficacy of oxamniquine and praziquantel in school children from two Schistosoma mansoni endemic areas. East African Medical Journal, 79(1). doi:10.4314/eamj.v79i1.8921</v>
      </c>
      <c r="S279" s="697"/>
      <c r="T279" s="697"/>
      <c r="U279" s="697" t="str">
        <f>IFERROR(__xludf.DUMMYFUNCTION("""COMPUTED_VALUE"""),"x")</f>
        <v>x</v>
      </c>
      <c r="V279" s="697">
        <f>IFERROR(__xludf.DUMMYFUNCTION("""COMPUTED_VALUE"""),279.0)</f>
        <v>279</v>
      </c>
    </row>
    <row r="280">
      <c r="A280" s="699" t="str">
        <f>IFERROR(__xludf.DUMMYFUNCTION("""COMPUTED_VALUE"""),"Thiong'O, F W")</f>
        <v>Thiong'O, F W</v>
      </c>
      <c r="B280" s="697" t="str">
        <f>IFERROR(__xludf.DUMMYFUNCTION("""COMPUTED_VALUE"""),"s. mansoni")</f>
        <v>s. mansoni</v>
      </c>
      <c r="C280" s="697" t="str">
        <f>IFERROR(__xludf.DUMMYFUNCTION("""COMPUTED_VALUE"""),"Kenya")</f>
        <v>Kenya</v>
      </c>
      <c r="D280" s="697" t="str">
        <f>IFERROR(__xludf.DUMMYFUNCTION("""COMPUTED_VALUE"""),"Praziquantel")</f>
        <v>Praziquantel</v>
      </c>
      <c r="E280" s="697" t="str">
        <f>IFERROR(__xludf.DUMMYFUNCTION("""COMPUTED_VALUE"""),"Single")</f>
        <v>Single</v>
      </c>
      <c r="F280" s="697" t="str">
        <f>IFERROR(__xludf.DUMMYFUNCTION("""COMPUTED_VALUE"""),"40 mg/kg")</f>
        <v>40 mg/kg</v>
      </c>
      <c r="G280" s="697">
        <f>IFERROR(__xludf.DUMMYFUNCTION("""COMPUTED_VALUE"""),91.0)</f>
        <v>91</v>
      </c>
      <c r="H280" s="704">
        <f>IFERROR(__xludf.DUMMYFUNCTION("""COMPUTED_VALUE"""),42875.0)</f>
        <v>42875</v>
      </c>
      <c r="I280" s="697"/>
      <c r="J280" s="697">
        <f>IFERROR(__xludf.DUMMYFUNCTION("""COMPUTED_VALUE"""),1990.0)</f>
        <v>1990</v>
      </c>
      <c r="K280" s="697"/>
      <c r="L280" s="697" t="str">
        <f>IFERROR(__xludf.DUMMYFUNCTION("""COMPUTED_VALUE"""),"No")</f>
        <v>No</v>
      </c>
      <c r="M280" s="706" t="str">
        <f>IFERROR(__xludf.DUMMYFUNCTION("""COMPUTED_VALUE"""),"No")</f>
        <v>No</v>
      </c>
      <c r="N280" s="706" t="str">
        <f>IFERROR(__xludf.DUMMYFUNCTION("""COMPUTED_VALUE"""),"CR/ERR 5 weeks")</f>
        <v>CR/ERR 5 weeks</v>
      </c>
      <c r="O280" s="698">
        <f>IFERROR(__xludf.DUMMYFUNCTION("""COMPUTED_VALUE"""),0.811)</f>
        <v>0.811</v>
      </c>
      <c r="P280" s="698">
        <f>IFERROR(__xludf.DUMMYFUNCTION("""COMPUTED_VALUE"""),0.999)</f>
        <v>0.999</v>
      </c>
      <c r="Q280" s="697"/>
      <c r="R280" s="699" t="str">
        <f>IFERROR(__xludf.DUMMYFUNCTION("""COMPUTED_VALUE"""),"Thiongo, F. W., Mbugua, G. G., Ouma, J. H., &amp; Sturrock, R. K. (2002). Efficacy of oxamniquine and praziquantel in school children from two Schistosoma mansoni endemic areas. East African Medical Journal, 79(1). doi:10.4314/eamj.v79i1.8921")</f>
        <v>Thiongo, F. W., Mbugua, G. G., Ouma, J. H., &amp; Sturrock, R. K. (2002). Efficacy of oxamniquine and praziquantel in school children from two Schistosoma mansoni endemic areas. East African Medical Journal, 79(1). doi:10.4314/eamj.v79i1.8921</v>
      </c>
      <c r="S280" s="697"/>
      <c r="T280" s="697"/>
      <c r="U280" s="697" t="str">
        <f>IFERROR(__xludf.DUMMYFUNCTION("""COMPUTED_VALUE"""),"x")</f>
        <v>x</v>
      </c>
      <c r="V280" s="697">
        <f>IFERROR(__xludf.DUMMYFUNCTION("""COMPUTED_VALUE"""),280.0)</f>
        <v>280</v>
      </c>
    </row>
    <row r="281">
      <c r="A281" s="699" t="str">
        <f>IFERROR(__xludf.DUMMYFUNCTION("""COMPUTED_VALUE"""),"Thiong'O, F W")</f>
        <v>Thiong'O, F W</v>
      </c>
      <c r="B281" s="697" t="str">
        <f>IFERROR(__xludf.DUMMYFUNCTION("""COMPUTED_VALUE"""),"s. mansoni")</f>
        <v>s. mansoni</v>
      </c>
      <c r="C281" s="697" t="str">
        <f>IFERROR(__xludf.DUMMYFUNCTION("""COMPUTED_VALUE"""),"Kenya")</f>
        <v>Kenya</v>
      </c>
      <c r="D281" s="697" t="str">
        <f>IFERROR(__xludf.DUMMYFUNCTION("""COMPUTED_VALUE"""),"Oxamniquine")</f>
        <v>Oxamniquine</v>
      </c>
      <c r="E281" s="697" t="str">
        <f>IFERROR(__xludf.DUMMYFUNCTION("""COMPUTED_VALUE"""),"Two")</f>
        <v>Two</v>
      </c>
      <c r="F281" s="697" t="str">
        <f>IFERROR(__xludf.DUMMYFUNCTION("""COMPUTED_VALUE"""),"15 mg/kg")</f>
        <v>15 mg/kg</v>
      </c>
      <c r="G281" s="697">
        <f>IFERROR(__xludf.DUMMYFUNCTION("""COMPUTED_VALUE"""),123.0)</f>
        <v>123</v>
      </c>
      <c r="H281" s="704">
        <f>IFERROR(__xludf.DUMMYFUNCTION("""COMPUTED_VALUE"""),42875.0)</f>
        <v>42875</v>
      </c>
      <c r="I281" s="697"/>
      <c r="J281" s="697">
        <f>IFERROR(__xludf.DUMMYFUNCTION("""COMPUTED_VALUE"""),1990.0)</f>
        <v>1990</v>
      </c>
      <c r="K281" s="697"/>
      <c r="L281" s="697" t="str">
        <f>IFERROR(__xludf.DUMMYFUNCTION("""COMPUTED_VALUE"""),"No")</f>
        <v>No</v>
      </c>
      <c r="M281" s="706" t="str">
        <f>IFERROR(__xludf.DUMMYFUNCTION("""COMPUTED_VALUE"""),"No")</f>
        <v>No</v>
      </c>
      <c r="N281" s="706" t="str">
        <f>IFERROR(__xludf.DUMMYFUNCTION("""COMPUTED_VALUE"""),"CR/ERR 5 weeks")</f>
        <v>CR/ERR 5 weeks</v>
      </c>
      <c r="O281" s="698">
        <f>IFERROR(__xludf.DUMMYFUNCTION("""COMPUTED_VALUE"""),0.797)</f>
        <v>0.797</v>
      </c>
      <c r="P281" s="698">
        <f>IFERROR(__xludf.DUMMYFUNCTION("""COMPUTED_VALUE"""),0.998)</f>
        <v>0.998</v>
      </c>
      <c r="Q281" s="697"/>
      <c r="R281" s="699" t="str">
        <f>IFERROR(__xludf.DUMMYFUNCTION("""COMPUTED_VALUE"""),"Thiongo, F. W., Mbugua, G. G., Ouma, J. H., &amp; Sturrock, R. K. (2002). Efficacy of oxamniquine and praziquantel in school children from two Schistosoma mansoni endemic areas. East African Medical Journal, 79(1). doi:10.4314/eamj.v79i1.8921")</f>
        <v>Thiongo, F. W., Mbugua, G. G., Ouma, J. H., &amp; Sturrock, R. K. (2002). Efficacy of oxamniquine and praziquantel in school children from two Schistosoma mansoni endemic areas. East African Medical Journal, 79(1). doi:10.4314/eamj.v79i1.8921</v>
      </c>
      <c r="S281" s="697"/>
      <c r="T281" s="697"/>
      <c r="U281" s="697" t="str">
        <f>IFERROR(__xludf.DUMMYFUNCTION("""COMPUTED_VALUE"""),"x")</f>
        <v>x</v>
      </c>
      <c r="V281" s="697">
        <f>IFERROR(__xludf.DUMMYFUNCTION("""COMPUTED_VALUE"""),281.0)</f>
        <v>281</v>
      </c>
    </row>
    <row r="282">
      <c r="A282" s="699" t="str">
        <f>IFERROR(__xludf.DUMMYFUNCTION("""COMPUTED_VALUE"""),"Thiong'O, F W")</f>
        <v>Thiong'O, F W</v>
      </c>
      <c r="B282" s="697" t="str">
        <f>IFERROR(__xludf.DUMMYFUNCTION("""COMPUTED_VALUE"""),"s. mansoni")</f>
        <v>s. mansoni</v>
      </c>
      <c r="C282" s="697" t="str">
        <f>IFERROR(__xludf.DUMMYFUNCTION("""COMPUTED_VALUE"""),"Kenya")</f>
        <v>Kenya</v>
      </c>
      <c r="D282" s="697" t="str">
        <f>IFERROR(__xludf.DUMMYFUNCTION("""COMPUTED_VALUE"""),"Praziquantel")</f>
        <v>Praziquantel</v>
      </c>
      <c r="E282" s="697" t="str">
        <f>IFERROR(__xludf.DUMMYFUNCTION("""COMPUTED_VALUE"""),"Single")</f>
        <v>Single</v>
      </c>
      <c r="F282" s="697" t="str">
        <f>IFERROR(__xludf.DUMMYFUNCTION("""COMPUTED_VALUE"""),"40 mg/kg")</f>
        <v>40 mg/kg</v>
      </c>
      <c r="G282" s="697">
        <f>IFERROR(__xludf.DUMMYFUNCTION("""COMPUTED_VALUE"""),116.0)</f>
        <v>116</v>
      </c>
      <c r="H282" s="704">
        <f>IFERROR(__xludf.DUMMYFUNCTION("""COMPUTED_VALUE"""),42875.0)</f>
        <v>42875</v>
      </c>
      <c r="I282" s="697"/>
      <c r="J282" s="697">
        <f>IFERROR(__xludf.DUMMYFUNCTION("""COMPUTED_VALUE"""),1990.0)</f>
        <v>1990</v>
      </c>
      <c r="K282" s="697"/>
      <c r="L282" s="697" t="str">
        <f>IFERROR(__xludf.DUMMYFUNCTION("""COMPUTED_VALUE"""),"No")</f>
        <v>No</v>
      </c>
      <c r="M282" s="706" t="str">
        <f>IFERROR(__xludf.DUMMYFUNCTION("""COMPUTED_VALUE"""),"No")</f>
        <v>No</v>
      </c>
      <c r="N282" s="706" t="str">
        <f>IFERROR(__xludf.DUMMYFUNCTION("""COMPUTED_VALUE"""),"CR/ERR 5 weeks")</f>
        <v>CR/ERR 5 weeks</v>
      </c>
      <c r="O282" s="698">
        <f>IFERROR(__xludf.DUMMYFUNCTION("""COMPUTED_VALUE"""),0.776)</f>
        <v>0.776</v>
      </c>
      <c r="P282" s="698">
        <f>IFERROR(__xludf.DUMMYFUNCTION("""COMPUTED_VALUE"""),0.998)</f>
        <v>0.998</v>
      </c>
      <c r="Q282" s="697"/>
      <c r="R282" s="699" t="str">
        <f>IFERROR(__xludf.DUMMYFUNCTION("""COMPUTED_VALUE"""),"Thiongo, F. W., Mbugua, G. G., Ouma, J. H., &amp; Sturrock, R. K. (2002). Efficacy of oxamniquine and praziquantel in school children from two Schistosoma mansoni endemic areas. East African Medical Journal, 79(1). doi:10.4314/eamj.v79i1.8921")</f>
        <v>Thiongo, F. W., Mbugua, G. G., Ouma, J. H., &amp; Sturrock, R. K. (2002). Efficacy of oxamniquine and praziquantel in school children from two Schistosoma mansoni endemic areas. East African Medical Journal, 79(1). doi:10.4314/eamj.v79i1.8921</v>
      </c>
      <c r="S282" s="697"/>
      <c r="T282" s="697"/>
      <c r="U282" s="697" t="str">
        <f>IFERROR(__xludf.DUMMYFUNCTION("""COMPUTED_VALUE"""),"x")</f>
        <v>x</v>
      </c>
      <c r="V282" s="697">
        <f>IFERROR(__xludf.DUMMYFUNCTION("""COMPUTED_VALUE"""),282.0)</f>
        <v>282</v>
      </c>
    </row>
    <row r="283">
      <c r="A283" s="699" t="str">
        <f>IFERROR(__xludf.DUMMYFUNCTION("""COMPUTED_VALUE"""),"Thiong'O, F W")</f>
        <v>Thiong'O, F W</v>
      </c>
      <c r="B283" s="697" t="str">
        <f>IFERROR(__xludf.DUMMYFUNCTION("""COMPUTED_VALUE"""),"s. mansoni")</f>
        <v>s. mansoni</v>
      </c>
      <c r="C283" s="697" t="str">
        <f>IFERROR(__xludf.DUMMYFUNCTION("""COMPUTED_VALUE"""),"Kenya")</f>
        <v>Kenya</v>
      </c>
      <c r="D283" s="697" t="str">
        <f>IFERROR(__xludf.DUMMYFUNCTION("""COMPUTED_VALUE"""),"Praziquantel")</f>
        <v>Praziquantel</v>
      </c>
      <c r="E283" s="697" t="str">
        <f>IFERROR(__xludf.DUMMYFUNCTION("""COMPUTED_VALUE"""),"Single")</f>
        <v>Single</v>
      </c>
      <c r="F283" s="697" t="str">
        <f>IFERROR(__xludf.DUMMYFUNCTION("""COMPUTED_VALUE"""),"40 mg/kg")</f>
        <v>40 mg/kg</v>
      </c>
      <c r="G283" s="697">
        <f>IFERROR(__xludf.DUMMYFUNCTION("""COMPUTED_VALUE"""),133.0)</f>
        <v>133</v>
      </c>
      <c r="H283" s="704">
        <f>IFERROR(__xludf.DUMMYFUNCTION("""COMPUTED_VALUE"""),42906.0)</f>
        <v>42906</v>
      </c>
      <c r="I283" s="697"/>
      <c r="J283" s="697">
        <f>IFERROR(__xludf.DUMMYFUNCTION("""COMPUTED_VALUE"""),1990.0)</f>
        <v>1990</v>
      </c>
      <c r="K283" s="697"/>
      <c r="L283" s="697" t="str">
        <f>IFERROR(__xludf.DUMMYFUNCTION("""COMPUTED_VALUE"""),"No")</f>
        <v>No</v>
      </c>
      <c r="M283" s="706" t="str">
        <f>IFERROR(__xludf.DUMMYFUNCTION("""COMPUTED_VALUE"""),"Yes")</f>
        <v>Yes</v>
      </c>
      <c r="N283" s="706" t="str">
        <f>IFERROR(__xludf.DUMMYFUNCTION("""COMPUTED_VALUE"""),"CR/ERR 5 weeks")</f>
        <v>CR/ERR 5 weeks</v>
      </c>
      <c r="O283" s="698">
        <f>IFERROR(__xludf.DUMMYFUNCTION("""COMPUTED_VALUE"""),0.872)</f>
        <v>0.872</v>
      </c>
      <c r="P283" s="698">
        <f>IFERROR(__xludf.DUMMYFUNCTION("""COMPUTED_VALUE"""),0.943)</f>
        <v>0.943</v>
      </c>
      <c r="Q283" s="697"/>
      <c r="R283" s="699" t="str">
        <f>IFERROR(__xludf.DUMMYFUNCTION("""COMPUTED_VALUE"""),"Thiongo, F. W., Mbugua, G. G., Ouma, J. H., &amp; Sturrock, R. K. (2002). Efficacy of oxamniquine and praziquantel in school children from two Schistosoma mansoni endemic areas. East African Medical Journal, 79(1). doi:10.4314/eamj.v79i1.8921")</f>
        <v>Thiongo, F. W., Mbugua, G. G., Ouma, J. H., &amp; Sturrock, R. K. (2002). Efficacy of oxamniquine and praziquantel in school children from two Schistosoma mansoni endemic areas. East African Medical Journal, 79(1). doi:10.4314/eamj.v79i1.8921</v>
      </c>
      <c r="S283" s="697"/>
      <c r="T283" s="697"/>
      <c r="U283" s="697" t="str">
        <f>IFERROR(__xludf.DUMMYFUNCTION("""COMPUTED_VALUE"""),"")</f>
        <v/>
      </c>
      <c r="V283" s="697">
        <f>IFERROR(__xludf.DUMMYFUNCTION("""COMPUTED_VALUE"""),283.0)</f>
        <v>283</v>
      </c>
    </row>
    <row r="284">
      <c r="A284" s="699" t="str">
        <f>IFERROR(__xludf.DUMMYFUNCTION("""COMPUTED_VALUE"""),"Thiong'O, F W")</f>
        <v>Thiong'O, F W</v>
      </c>
      <c r="B284" s="697" t="str">
        <f>IFERROR(__xludf.DUMMYFUNCTION("""COMPUTED_VALUE"""),"s. mansoni")</f>
        <v>s. mansoni</v>
      </c>
      <c r="C284" s="697" t="str">
        <f>IFERROR(__xludf.DUMMYFUNCTION("""COMPUTED_VALUE"""),"Kenya")</f>
        <v>Kenya</v>
      </c>
      <c r="D284" s="697" t="str">
        <f>IFERROR(__xludf.DUMMYFUNCTION("""COMPUTED_VALUE"""),"Praziquantel")</f>
        <v>Praziquantel</v>
      </c>
      <c r="E284" s="697" t="str">
        <f>IFERROR(__xludf.DUMMYFUNCTION("""COMPUTED_VALUE"""),"Single")</f>
        <v>Single</v>
      </c>
      <c r="F284" s="697" t="str">
        <f>IFERROR(__xludf.DUMMYFUNCTION("""COMPUTED_VALUE"""),"40 mg/kg")</f>
        <v>40 mg/kg</v>
      </c>
      <c r="G284" s="697">
        <f>IFERROR(__xludf.DUMMYFUNCTION("""COMPUTED_VALUE"""),173.0)</f>
        <v>173</v>
      </c>
      <c r="H284" s="704">
        <f>IFERROR(__xludf.DUMMYFUNCTION("""COMPUTED_VALUE"""),42906.0)</f>
        <v>42906</v>
      </c>
      <c r="I284" s="697"/>
      <c r="J284" s="697">
        <f>IFERROR(__xludf.DUMMYFUNCTION("""COMPUTED_VALUE"""),1990.0)</f>
        <v>1990</v>
      </c>
      <c r="K284" s="697"/>
      <c r="L284" s="697" t="str">
        <f>IFERROR(__xludf.DUMMYFUNCTION("""COMPUTED_VALUE"""),"No")</f>
        <v>No</v>
      </c>
      <c r="M284" s="706" t="str">
        <f>IFERROR(__xludf.DUMMYFUNCTION("""COMPUTED_VALUE"""),"Yes")</f>
        <v>Yes</v>
      </c>
      <c r="N284" s="706" t="str">
        <f>IFERROR(__xludf.DUMMYFUNCTION("""COMPUTED_VALUE"""),"CR/ERR 5 weeks")</f>
        <v>CR/ERR 5 weeks</v>
      </c>
      <c r="O284" s="698">
        <f>IFERROR(__xludf.DUMMYFUNCTION("""COMPUTED_VALUE"""),0.617)</f>
        <v>0.617</v>
      </c>
      <c r="P284" s="698">
        <f>IFERROR(__xludf.DUMMYFUNCTION("""COMPUTED_VALUE"""),0.844)</f>
        <v>0.844</v>
      </c>
      <c r="Q284" s="697"/>
      <c r="R284" s="699" t="str">
        <f>IFERROR(__xludf.DUMMYFUNCTION("""COMPUTED_VALUE"""),"Thiongo, F. W., Mbugua, G. G., Ouma, J. H., &amp; Sturrock, R. K. (2002). Efficacy of oxamniquine and praziquantel in school children from two Schistosoma mansoni endemic areas. East African Medical Journal, 79(1). doi:10.4314/eamj.v79i1.8921")</f>
        <v>Thiongo, F. W., Mbugua, G. G., Ouma, J. H., &amp; Sturrock, R. K. (2002). Efficacy of oxamniquine and praziquantel in school children from two Schistosoma mansoni endemic areas. East African Medical Journal, 79(1). doi:10.4314/eamj.v79i1.8921</v>
      </c>
      <c r="S284" s="697"/>
      <c r="T284" s="697"/>
      <c r="U284" s="697" t="str">
        <f>IFERROR(__xludf.DUMMYFUNCTION("""COMPUTED_VALUE"""),"")</f>
        <v/>
      </c>
      <c r="V284" s="697">
        <f>IFERROR(__xludf.DUMMYFUNCTION("""COMPUTED_VALUE"""),284.0)</f>
        <v>284</v>
      </c>
    </row>
    <row r="285">
      <c r="A285" s="699" t="str">
        <f>IFERROR(__xludf.DUMMYFUNCTION("""COMPUTED_VALUE"""),"Thiong'O, F W")</f>
        <v>Thiong'O, F W</v>
      </c>
      <c r="B285" s="697" t="str">
        <f>IFERROR(__xludf.DUMMYFUNCTION("""COMPUTED_VALUE"""),"s. mansoni")</f>
        <v>s. mansoni</v>
      </c>
      <c r="C285" s="697" t="str">
        <f>IFERROR(__xludf.DUMMYFUNCTION("""COMPUTED_VALUE"""),"Kenya")</f>
        <v>Kenya</v>
      </c>
      <c r="D285" s="697" t="str">
        <f>IFERROR(__xludf.DUMMYFUNCTION("""COMPUTED_VALUE"""),"Praziquantel")</f>
        <v>Praziquantel</v>
      </c>
      <c r="E285" s="697" t="str">
        <f>IFERROR(__xludf.DUMMYFUNCTION("""COMPUTED_VALUE"""),"Single")</f>
        <v>Single</v>
      </c>
      <c r="F285" s="697" t="str">
        <f>IFERROR(__xludf.DUMMYFUNCTION("""COMPUTED_VALUE"""),"60 mg/kg")</f>
        <v>60 mg/kg</v>
      </c>
      <c r="G285" s="697">
        <f>IFERROR(__xludf.DUMMYFUNCTION("""COMPUTED_VALUE"""),133.0)</f>
        <v>133</v>
      </c>
      <c r="H285" s="704">
        <f>IFERROR(__xludf.DUMMYFUNCTION("""COMPUTED_VALUE"""),42906.0)</f>
        <v>42906</v>
      </c>
      <c r="I285" s="697"/>
      <c r="J285" s="697">
        <f>IFERROR(__xludf.DUMMYFUNCTION("""COMPUTED_VALUE"""),1990.0)</f>
        <v>1990</v>
      </c>
      <c r="K285" s="697"/>
      <c r="L285" s="697" t="str">
        <f>IFERROR(__xludf.DUMMYFUNCTION("""COMPUTED_VALUE"""),"No")</f>
        <v>No</v>
      </c>
      <c r="M285" s="706" t="str">
        <f>IFERROR(__xludf.DUMMYFUNCTION("""COMPUTED_VALUE"""),"Yes")</f>
        <v>Yes</v>
      </c>
      <c r="N285" s="706" t="str">
        <f>IFERROR(__xludf.DUMMYFUNCTION("""COMPUTED_VALUE"""),"CR/ERR 5 weeks")</f>
        <v>CR/ERR 5 weeks</v>
      </c>
      <c r="O285" s="698">
        <f>IFERROR(__xludf.DUMMYFUNCTION("""COMPUTED_VALUE"""),0.932)</f>
        <v>0.932</v>
      </c>
      <c r="P285" s="698">
        <f>IFERROR(__xludf.DUMMYFUNCTION("""COMPUTED_VALUE"""),0.966)</f>
        <v>0.966</v>
      </c>
      <c r="Q285" s="697"/>
      <c r="R285" s="699" t="str">
        <f>IFERROR(__xludf.DUMMYFUNCTION("""COMPUTED_VALUE"""),"Thiongo, F. W., Mbugua, G. G., Ouma, J. H., &amp; Sturrock, R. K. (2002). Efficacy of oxamniquine and praziquantel in school children from two Schistosoma mansoni endemic areas. East African Medical Journal, 79(1). doi:10.4314/eamj.v79i1.8921")</f>
        <v>Thiongo, F. W., Mbugua, G. G., Ouma, J. H., &amp; Sturrock, R. K. (2002). Efficacy of oxamniquine and praziquantel in school children from two Schistosoma mansoni endemic areas. East African Medical Journal, 79(1). doi:10.4314/eamj.v79i1.8921</v>
      </c>
      <c r="S285" s="697"/>
      <c r="T285" s="697"/>
      <c r="U285" s="697" t="str">
        <f>IFERROR(__xludf.DUMMYFUNCTION("""COMPUTED_VALUE"""),"")</f>
        <v/>
      </c>
      <c r="V285" s="697">
        <f>IFERROR(__xludf.DUMMYFUNCTION("""COMPUTED_VALUE"""),285.0)</f>
        <v>285</v>
      </c>
    </row>
    <row r="286">
      <c r="A286" s="699" t="str">
        <f>IFERROR(__xludf.DUMMYFUNCTION("""COMPUTED_VALUE"""),"Thiong'O, F W")</f>
        <v>Thiong'O, F W</v>
      </c>
      <c r="B286" s="697" t="str">
        <f>IFERROR(__xludf.DUMMYFUNCTION("""COMPUTED_VALUE"""),"s. mansoni")</f>
        <v>s. mansoni</v>
      </c>
      <c r="C286" s="697" t="str">
        <f>IFERROR(__xludf.DUMMYFUNCTION("""COMPUTED_VALUE"""),"Kenya")</f>
        <v>Kenya</v>
      </c>
      <c r="D286" s="697" t="str">
        <f>IFERROR(__xludf.DUMMYFUNCTION("""COMPUTED_VALUE"""),"Praziquantel")</f>
        <v>Praziquantel</v>
      </c>
      <c r="E286" s="697" t="str">
        <f>IFERROR(__xludf.DUMMYFUNCTION("""COMPUTED_VALUE"""),"Single")</f>
        <v>Single</v>
      </c>
      <c r="F286" s="697" t="str">
        <f>IFERROR(__xludf.DUMMYFUNCTION("""COMPUTED_VALUE"""),"60 mg/kg")</f>
        <v>60 mg/kg</v>
      </c>
      <c r="G286" s="697">
        <f>IFERROR(__xludf.DUMMYFUNCTION("""COMPUTED_VALUE"""),152.0)</f>
        <v>152</v>
      </c>
      <c r="H286" s="704">
        <f>IFERROR(__xludf.DUMMYFUNCTION("""COMPUTED_VALUE"""),42906.0)</f>
        <v>42906</v>
      </c>
      <c r="I286" s="697"/>
      <c r="J286" s="697">
        <f>IFERROR(__xludf.DUMMYFUNCTION("""COMPUTED_VALUE"""),1990.0)</f>
        <v>1990</v>
      </c>
      <c r="K286" s="697"/>
      <c r="L286" s="697" t="str">
        <f>IFERROR(__xludf.DUMMYFUNCTION("""COMPUTED_VALUE"""),"No")</f>
        <v>No</v>
      </c>
      <c r="M286" s="706" t="str">
        <f>IFERROR(__xludf.DUMMYFUNCTION("""COMPUTED_VALUE"""),"Yes")</f>
        <v>Yes</v>
      </c>
      <c r="N286" s="706" t="str">
        <f>IFERROR(__xludf.DUMMYFUNCTION("""COMPUTED_VALUE"""),"CR/ERR 5 weeks")</f>
        <v>CR/ERR 5 weeks</v>
      </c>
      <c r="O286" s="698">
        <f>IFERROR(__xludf.DUMMYFUNCTION("""COMPUTED_VALUE"""),0.763)</f>
        <v>0.763</v>
      </c>
      <c r="P286" s="698">
        <f>IFERROR(__xludf.DUMMYFUNCTION("""COMPUTED_VALUE"""),0.894)</f>
        <v>0.894</v>
      </c>
      <c r="Q286" s="697"/>
      <c r="R286" s="699" t="str">
        <f>IFERROR(__xludf.DUMMYFUNCTION("""COMPUTED_VALUE"""),"Thiongo, F. W., Mbugua, G. G., Ouma, J. H., &amp; Sturrock, R. K. (2002). Efficacy of oxamniquine and praziquantel in school children from two Schistosoma mansoni endemic areas. East African Medical Journal, 79(1). doi:10.4314/eamj.v79i1.8921")</f>
        <v>Thiongo, F. W., Mbugua, G. G., Ouma, J. H., &amp; Sturrock, R. K. (2002). Efficacy of oxamniquine and praziquantel in school children from two Schistosoma mansoni endemic areas. East African Medical Journal, 79(1). doi:10.4314/eamj.v79i1.8921</v>
      </c>
      <c r="S286" s="697"/>
      <c r="T286" s="697"/>
      <c r="U286" s="697" t="str">
        <f>IFERROR(__xludf.DUMMYFUNCTION("""COMPUTED_VALUE"""),"")</f>
        <v/>
      </c>
      <c r="V286" s="697">
        <f>IFERROR(__xludf.DUMMYFUNCTION("""COMPUTED_VALUE"""),286.0)</f>
        <v>286</v>
      </c>
    </row>
    <row r="287">
      <c r="A287" s="697"/>
      <c r="B287" s="697"/>
      <c r="C287" s="697"/>
      <c r="D287" s="697"/>
      <c r="E287" s="697"/>
      <c r="F287" s="697"/>
      <c r="G287" s="697"/>
      <c r="H287" s="697"/>
      <c r="I287" s="697"/>
      <c r="J287" s="697"/>
      <c r="K287" s="697"/>
      <c r="L287" s="697"/>
      <c r="M287" s="697"/>
      <c r="N287" s="697"/>
      <c r="O287" s="697"/>
      <c r="P287" s="697"/>
      <c r="Q287" s="697"/>
      <c r="R287" s="697"/>
      <c r="S287" s="697"/>
      <c r="T287" s="697"/>
      <c r="U287" s="697" t="str">
        <f>IFERROR(__xludf.DUMMYFUNCTION("""COMPUTED_VALUE"""),"")</f>
        <v/>
      </c>
      <c r="V287" s="697">
        <f>IFERROR(__xludf.DUMMYFUNCTION("""COMPUTED_VALUE"""),287.0)</f>
        <v>287</v>
      </c>
    </row>
    <row r="288">
      <c r="A288" s="697" t="str">
        <f>IFERROR(__xludf.DUMMYFUNCTION("""COMPUTED_VALUE"""),"Hung Quach")</f>
        <v>Hung Quach</v>
      </c>
      <c r="B288" s="697"/>
      <c r="C288" s="697"/>
      <c r="D288" s="697"/>
      <c r="E288" s="697"/>
      <c r="F288" s="697"/>
      <c r="G288" s="697"/>
      <c r="H288" s="697"/>
      <c r="I288" s="697"/>
      <c r="J288" s="697"/>
      <c r="K288" s="697"/>
      <c r="L288" s="697"/>
      <c r="M288" s="697"/>
      <c r="N288" s="697"/>
      <c r="O288" s="697"/>
      <c r="P288" s="697"/>
      <c r="Q288" s="697"/>
      <c r="R288" s="697"/>
      <c r="S288" s="697"/>
      <c r="T288" s="697"/>
      <c r="U288" s="697" t="str">
        <f>IFERROR(__xludf.DUMMYFUNCTION("""COMPUTED_VALUE"""),"")</f>
        <v/>
      </c>
      <c r="V288" s="697">
        <f>IFERROR(__xludf.DUMMYFUNCTION("""COMPUTED_VALUE"""),288.0)</f>
        <v>288</v>
      </c>
    </row>
    <row r="289">
      <c r="A289" s="697" t="str">
        <f>IFERROR(__xludf.DUMMYFUNCTION("""COMPUTED_VALUE"""),"Mohammad ayoub")</f>
        <v>Mohammad ayoub</v>
      </c>
      <c r="B289" s="697" t="str">
        <f>IFERROR(__xludf.DUMMYFUNCTION("""COMPUTED_VALUE"""),"s. mansoni")</f>
        <v>s. mansoni</v>
      </c>
      <c r="C289" s="697" t="str">
        <f>IFERROR(__xludf.DUMMYFUNCTION("""COMPUTED_VALUE"""),"Sudan")</f>
        <v>Sudan</v>
      </c>
      <c r="D289" s="697" t="str">
        <f>IFERROR(__xludf.DUMMYFUNCTION("""COMPUTED_VALUE"""),"Artesunate &amp; Sulfadoxine")</f>
        <v>Artesunate &amp; Sulfadoxine</v>
      </c>
      <c r="E289" s="697" t="str">
        <f>IFERROR(__xludf.DUMMYFUNCTION("""COMPUTED_VALUE"""),"3+1")</f>
        <v>3+1</v>
      </c>
      <c r="F289" s="697" t="str">
        <f>IFERROR(__xludf.DUMMYFUNCTION("""COMPUTED_VALUE"""),"4 mg/kg + 25mg/kg")</f>
        <v>4 mg/kg + 25mg/kg</v>
      </c>
      <c r="G289" s="697">
        <f>IFERROR(__xludf.DUMMYFUNCTION("""COMPUTED_VALUE"""),46.0)</f>
        <v>46</v>
      </c>
      <c r="H289" s="704">
        <f>IFERROR(__xludf.DUMMYFUNCTION("""COMPUTED_VALUE"""),42964.0)</f>
        <v>42964</v>
      </c>
      <c r="I289" s="697"/>
      <c r="J289" s="697">
        <f>IFERROR(__xludf.DUMMYFUNCTION("""COMPUTED_VALUE"""),2009.0)</f>
        <v>2009</v>
      </c>
      <c r="K289" s="697" t="str">
        <f>IFERROR(__xludf.DUMMYFUNCTION("""COMPUTED_VALUE"""),"children with S. mansoni infection willing to be examined and followed-up were included in the study. Those with a history of allergy to sulphonamides, use of either AS+SP or PZQ within the last 30 days or who had malaria were excluded.")</f>
        <v>children with S. mansoni infection willing to be examined and followed-up were included in the study. Those with a history of allergy to sulphonamides, use of either AS+SP or PZQ within the last 30 days or who had malaria were excluded.</v>
      </c>
      <c r="L289" s="697" t="str">
        <f>IFERROR(__xludf.DUMMYFUNCTION("""COMPUTED_VALUE"""),"No")</f>
        <v>No</v>
      </c>
      <c r="M289" s="697" t="str">
        <f>IFERROR(__xludf.DUMMYFUNCTION("""COMPUTED_VALUE"""),"Yes")</f>
        <v>Yes</v>
      </c>
      <c r="N289" s="697">
        <f>IFERROR(__xludf.DUMMYFUNCTION("""COMPUTED_VALUE"""),28.0)</f>
        <v>28</v>
      </c>
      <c r="O289" s="706">
        <f>IFERROR(__xludf.DUMMYFUNCTION("""COMPUTED_VALUE"""),0.586)</f>
        <v>0.586</v>
      </c>
      <c r="P289" s="706">
        <f>IFERROR(__xludf.DUMMYFUNCTION("""COMPUTED_VALUE"""),0.79)</f>
        <v>0.79</v>
      </c>
      <c r="Q289" s="697" t="str">
        <f>IFERROR(__xludf.DUMMYFUNCTION("""COMPUTED_VALUE"""),"The current study showed a significantly lower efficacy of AS+SP in comparison with PZQ (58.6% vs. 100%).")</f>
        <v>The current study showed a significantly lower efficacy of AS+SP in comparison with PZQ (58.6% vs. 100%).</v>
      </c>
      <c r="R289" s="697" t="str">
        <f>IFERROR(__xludf.DUMMYFUNCTION("""COMPUTED_VALUE"""),"This is a new study I found. ")</f>
        <v>This is a new study I found. </v>
      </c>
      <c r="S289" s="697" t="str">
        <f>IFERROR(__xludf.DUMMYFUNCTION("""COMPUTED_VALUE"""),"youb A. Mohamed, Haider M. Mahgoub, Mamoun Magzoub, Gasim I. Gasim, Walid N. Eldein, Abd el Aziz A. Ahmed, Ishag Adam; Artesunate plus sulfadoxine/pyrimethamine versus praziquantel in the treatment of Schistosoma mansoni in eastern Sudan. Trans R Soc Trop"&amp;" Med Hyg 2009; 103 (10): 1062-1064. doi: 10.1016/j.trstmh.2009.01.026")</f>
        <v>youb A. Mohamed, Haider M. Mahgoub, Mamoun Magzoub, Gasim I. Gasim, Walid N. Eldein, Abd el Aziz A. Ahmed, Ishag Adam; Artesunate plus sulfadoxine/pyrimethamine versus praziquantel in the treatment of Schistosoma mansoni in eastern Sudan. Trans R Soc Trop Med Hyg 2009; 103 (10): 1062-1064. doi: 10.1016/j.trstmh.2009.01.026</v>
      </c>
      <c r="T289" s="699" t="str">
        <f>IFERROR(__xludf.DUMMYFUNCTION("""COMPUTED_VALUE"""),"https://academic.oup.com/trstmh/article-abstract/103/10/1062/1927838/Artesunate-plus-sulfadoxine-pyrimethamine-versus?redirectedFrom=fulltext")</f>
        <v>https://academic.oup.com/trstmh/article-abstract/103/10/1062/1927838/Artesunate-plus-sulfadoxine-pyrimethamine-versus?redirectedFrom=fulltext</v>
      </c>
      <c r="U289" s="697" t="str">
        <f>IFERROR(__xludf.DUMMYFUNCTION("""COMPUTED_VALUE"""),"")</f>
        <v/>
      </c>
      <c r="V289" s="697">
        <f>IFERROR(__xludf.DUMMYFUNCTION("""COMPUTED_VALUE"""),289.0)</f>
        <v>289</v>
      </c>
    </row>
    <row r="290">
      <c r="A290" s="697" t="str">
        <f>IFERROR(__xludf.DUMMYFUNCTION("""COMPUTED_VALUE"""),"Mohammad ayoub")</f>
        <v>Mohammad ayoub</v>
      </c>
      <c r="B290" s="697" t="str">
        <f>IFERROR(__xludf.DUMMYFUNCTION("""COMPUTED_VALUE"""),"s. mansoni")</f>
        <v>s. mansoni</v>
      </c>
      <c r="C290" s="697" t="str">
        <f>IFERROR(__xludf.DUMMYFUNCTION("""COMPUTED_VALUE"""),"Sudan")</f>
        <v>Sudan</v>
      </c>
      <c r="D290" s="697" t="str">
        <f>IFERROR(__xludf.DUMMYFUNCTION("""COMPUTED_VALUE"""),"Praziquantel")</f>
        <v>Praziquantel</v>
      </c>
      <c r="E290" s="697" t="str">
        <f>IFERROR(__xludf.DUMMYFUNCTION("""COMPUTED_VALUE"""),"Single")</f>
        <v>Single</v>
      </c>
      <c r="F290" s="697" t="str">
        <f>IFERROR(__xludf.DUMMYFUNCTION("""COMPUTED_VALUE"""),"40 mg/kg")</f>
        <v>40 mg/kg</v>
      </c>
      <c r="G290" s="697">
        <f>IFERROR(__xludf.DUMMYFUNCTION("""COMPUTED_VALUE"""),46.0)</f>
        <v>46</v>
      </c>
      <c r="H290" s="704">
        <f>IFERROR(__xludf.DUMMYFUNCTION("""COMPUTED_VALUE"""),42964.0)</f>
        <v>42964</v>
      </c>
      <c r="I290" s="697"/>
      <c r="J290" s="697">
        <f>IFERROR(__xludf.DUMMYFUNCTION("""COMPUTED_VALUE"""),2009.0)</f>
        <v>2009</v>
      </c>
      <c r="K290" s="697" t="str">
        <f>IFERROR(__xludf.DUMMYFUNCTION("""COMPUTED_VALUE"""),"children with S. mansoni infection willing to be examined and followed-up were included in the study. Those with a history of allergy to sulphonamides, use of either AS+SP or PZQ within the last 30 days or who had malaria were excluded.")</f>
        <v>children with S. mansoni infection willing to be examined and followed-up were included in the study. Those with a history of allergy to sulphonamides, use of either AS+SP or PZQ within the last 30 days or who had malaria were excluded.</v>
      </c>
      <c r="L290" s="697" t="str">
        <f>IFERROR(__xludf.DUMMYFUNCTION("""COMPUTED_VALUE"""),"No")</f>
        <v>No</v>
      </c>
      <c r="M290" s="697" t="str">
        <f>IFERROR(__xludf.DUMMYFUNCTION("""COMPUTED_VALUE"""),"Yes")</f>
        <v>Yes</v>
      </c>
      <c r="N290" s="697">
        <f>IFERROR(__xludf.DUMMYFUNCTION("""COMPUTED_VALUE"""),28.0)</f>
        <v>28</v>
      </c>
      <c r="O290" s="706">
        <f>IFERROR(__xludf.DUMMYFUNCTION("""COMPUTED_VALUE"""),1.0)</f>
        <v>1</v>
      </c>
      <c r="P290" s="697"/>
      <c r="Q290" s="697" t="str">
        <f>IFERROR(__xludf.DUMMYFUNCTION("""COMPUTED_VALUE"""),"The current study showed a significantly lower efficacy of AS+SP in comparison with PZQ (58.6% vs. 100%).")</f>
        <v>The current study showed a significantly lower efficacy of AS+SP in comparison with PZQ (58.6% vs. 100%).</v>
      </c>
      <c r="R290" s="697"/>
      <c r="S290" s="697" t="str">
        <f>IFERROR(__xludf.DUMMYFUNCTION("""COMPUTED_VALUE"""),"youb A. Mohamed, Haider M. Mahgoub, Mamoun Magzoub, Gasim I. Gasim, Walid N. Eldein, Abd el Aziz A. Ahmed, Ishag Adam; Artesunate plus sulfadoxine/pyrimethamine versus praziquantel in the treatment of Schistosoma mansoni in eastern Sudan. Trans R Soc Trop"&amp;" Med Hyg 2009; 103 (10): 1062-1064. doi: 10.1016/j.trstmh.2009.01.026")</f>
        <v>youb A. Mohamed, Haider M. Mahgoub, Mamoun Magzoub, Gasim I. Gasim, Walid N. Eldein, Abd el Aziz A. Ahmed, Ishag Adam; Artesunate plus sulfadoxine/pyrimethamine versus praziquantel in the treatment of Schistosoma mansoni in eastern Sudan. Trans R Soc Trop Med Hyg 2009; 103 (10): 1062-1064. doi: 10.1016/j.trstmh.2009.01.026</v>
      </c>
      <c r="T290" s="699" t="str">
        <f>IFERROR(__xludf.DUMMYFUNCTION("""COMPUTED_VALUE"""),"https://academic.oup.com/trstmh/article-abstract/103/10/1062/1927838/Artesunate-plus-sulfadoxine-pyrimethamine-versus?redirectedFrom=fulltext")</f>
        <v>https://academic.oup.com/trstmh/article-abstract/103/10/1062/1927838/Artesunate-plus-sulfadoxine-pyrimethamine-versus?redirectedFrom=fulltext</v>
      </c>
      <c r="U290" s="697" t="str">
        <f>IFERROR(__xludf.DUMMYFUNCTION("""COMPUTED_VALUE"""),"")</f>
        <v/>
      </c>
      <c r="V290" s="697">
        <f>IFERROR(__xludf.DUMMYFUNCTION("""COMPUTED_VALUE"""),290.0)</f>
        <v>290</v>
      </c>
    </row>
    <row r="291">
      <c r="A291" s="697" t="str">
        <f>IFERROR(__xludf.DUMMYFUNCTION("""COMPUTED_VALUE"""),"Ferrari MT")</f>
        <v>Ferrari MT</v>
      </c>
      <c r="B291" s="697" t="str">
        <f>IFERROR(__xludf.DUMMYFUNCTION("""COMPUTED_VALUE"""),"s. mansoni")</f>
        <v>s. mansoni</v>
      </c>
      <c r="C291" s="697" t="str">
        <f>IFERROR(__xludf.DUMMYFUNCTION("""COMPUTED_VALUE"""),"Brazil")</f>
        <v>Brazil</v>
      </c>
      <c r="D291" s="697" t="str">
        <f>IFERROR(__xludf.DUMMYFUNCTION("""COMPUTED_VALUE"""),"Praziquantel")</f>
        <v>Praziquantel</v>
      </c>
      <c r="E291" s="697">
        <f>IFERROR(__xludf.DUMMYFUNCTION("""COMPUTED_VALUE"""),3.0)</f>
        <v>3</v>
      </c>
      <c r="F291" s="697" t="str">
        <f>IFERROR(__xludf.DUMMYFUNCTION("""COMPUTED_VALUE"""),"60 mg/kg")</f>
        <v>60 mg/kg</v>
      </c>
      <c r="G291" s="697">
        <f>IFERROR(__xludf.DUMMYFUNCTION("""COMPUTED_VALUE"""),36.0)</f>
        <v>36</v>
      </c>
      <c r="H291" s="697" t="str">
        <f>IFERROR(__xludf.DUMMYFUNCTION("""COMPUTED_VALUE"""),"12-59")</f>
        <v>12-59</v>
      </c>
      <c r="I291" s="705" t="str">
        <f>IFERROR(__xludf.DUMMYFUNCTION("""COMPUTED_VALUE"""),"30-6")</f>
        <v>30-6</v>
      </c>
      <c r="J291" s="697">
        <f>IFERROR(__xludf.DUMMYFUNCTION("""COMPUTED_VALUE"""),2003.0)</f>
        <v>2003</v>
      </c>
      <c r="K291" s="697"/>
      <c r="L291" s="697" t="str">
        <f>IFERROR(__xludf.DUMMYFUNCTION("""COMPUTED_VALUE"""),"No")</f>
        <v>No</v>
      </c>
      <c r="M291" s="697" t="str">
        <f>IFERROR(__xludf.DUMMYFUNCTION("""COMPUTED_VALUE"""),"Yes")</f>
        <v>Yes</v>
      </c>
      <c r="N291" s="697">
        <f>IFERROR(__xludf.DUMMYFUNCTION("""COMPUTED_VALUE"""),180.0)</f>
        <v>180</v>
      </c>
      <c r="O291" s="706">
        <f>IFERROR(__xludf.DUMMYFUNCTION("""COMPUTED_VALUE"""),1.0)</f>
        <v>1</v>
      </c>
      <c r="P291" s="698">
        <f>IFERROR(__xludf.DUMMYFUNCTION("""COMPUTED_VALUE"""),0.772)</f>
        <v>0.772</v>
      </c>
      <c r="Q291" s="697" t="str">
        <f>IFERROR(__xludf.DUMMYFUNCTION("""COMPUTED_VALUE"""),"raziquantel was significantly more effective than oxamniquine in treating S. mansoni infection. The oogram was markedly more sensitive than stool examinations in detecting S. mansoni eggs and should be recommended for use in clinical trials with schistoso"&amp;"micides.")</f>
        <v>raziquantel was significantly more effective than oxamniquine in treating S. mansoni infection. The oogram was markedly more sensitive than stool examinations in detecting S. mansoni eggs and should be recommended for use in clinical trials with schistosomicides.</v>
      </c>
      <c r="R291" s="697" t="str">
        <f>IFERROR(__xludf.DUMMYFUNCTION("""COMPUTED_VALUE"""),"This study has already been recorded, I was just used it for practice.")</f>
        <v>This study has already been recorded, I was just used it for practice.</v>
      </c>
      <c r="S291" s="697" t="str">
        <f>IFERROR(__xludf.DUMMYFUNCTION("""COMPUTED_VALUE"""),"Ferrari, M. L. A., Coelho, P. M. Z., Antunes, C. M. F., Tavares, C. A. P., &amp; da Cunha, A. S. (2003). Efficacy of oxamniquine and praziquantel in the treatment of Schistosoma mansoni infection: a controlled trial. Bulletin of the World Health Organization,"&amp;" 81(3), 190–196.")</f>
        <v>Ferrari, M. L. A., Coelho, P. M. Z., Antunes, C. M. F., Tavares, C. A. P., &amp; da Cunha, A. S. (2003). Efficacy of oxamniquine and praziquantel in the treatment of Schistosoma mansoni infection: a controlled trial. Bulletin of the World Health Organization, 81(3), 190–196.</v>
      </c>
      <c r="T291" s="699" t="str">
        <f>IFERROR(__xludf.DUMMYFUNCTION("""COMPUTED_VALUE"""),"https://www.ncbi.nlm.nih.gov/pmc/articles/PMC2572425/")</f>
        <v>https://www.ncbi.nlm.nih.gov/pmc/articles/PMC2572425/</v>
      </c>
      <c r="U291" s="697" t="str">
        <f>IFERROR(__xludf.DUMMYFUNCTION("""COMPUTED_VALUE"""),"")</f>
        <v/>
      </c>
      <c r="V291" s="697">
        <f>IFERROR(__xludf.DUMMYFUNCTION("""COMPUTED_VALUE"""),291.0)</f>
        <v>291</v>
      </c>
    </row>
    <row r="292">
      <c r="A292" s="697" t="str">
        <f>IFERROR(__xludf.DUMMYFUNCTION("""COMPUTED_VALUE"""),"Ferrari MT")</f>
        <v>Ferrari MT</v>
      </c>
      <c r="B292" s="697" t="str">
        <f>IFERROR(__xludf.DUMMYFUNCTION("""COMPUTED_VALUE"""),"s. mansoni")</f>
        <v>s. mansoni</v>
      </c>
      <c r="C292" s="697" t="str">
        <f>IFERROR(__xludf.DUMMYFUNCTION("""COMPUTED_VALUE"""),"Brazil")</f>
        <v>Brazil</v>
      </c>
      <c r="D292" s="697" t="str">
        <f>IFERROR(__xludf.DUMMYFUNCTION("""COMPUTED_VALUE"""),"Oxamniquine &amp; placebo")</f>
        <v>Oxamniquine &amp; placebo</v>
      </c>
      <c r="E292" s="697" t="str">
        <f>IFERROR(__xludf.DUMMYFUNCTION("""COMPUTED_VALUE"""),"1+ 2")</f>
        <v>1+ 2</v>
      </c>
      <c r="F292" s="697" t="str">
        <f>IFERROR(__xludf.DUMMYFUNCTION("""COMPUTED_VALUE"""),"10 mg/kg Oxaminquine")</f>
        <v>10 mg/kg Oxaminquine</v>
      </c>
      <c r="G292" s="697">
        <f>IFERROR(__xludf.DUMMYFUNCTION("""COMPUTED_VALUE"""),34.0)</f>
        <v>34</v>
      </c>
      <c r="H292" s="697" t="str">
        <f>IFERROR(__xludf.DUMMYFUNCTION("""COMPUTED_VALUE"""),"13-51")</f>
        <v>13-51</v>
      </c>
      <c r="I292" s="705" t="str">
        <f>IFERROR(__xludf.DUMMYFUNCTION("""COMPUTED_VALUE"""),"22-12")</f>
        <v>22-12</v>
      </c>
      <c r="J292" s="697">
        <f>IFERROR(__xludf.DUMMYFUNCTION("""COMPUTED_VALUE"""),2003.0)</f>
        <v>2003</v>
      </c>
      <c r="K292" s="697"/>
      <c r="L292" s="697" t="str">
        <f>IFERROR(__xludf.DUMMYFUNCTION("""COMPUTED_VALUE"""),"No")</f>
        <v>No</v>
      </c>
      <c r="M292" s="697" t="str">
        <f>IFERROR(__xludf.DUMMYFUNCTION("""COMPUTED_VALUE"""),"Yes")</f>
        <v>Yes</v>
      </c>
      <c r="N292" s="697">
        <f>IFERROR(__xludf.DUMMYFUNCTION("""COMPUTED_VALUE"""),180.0)</f>
        <v>180</v>
      </c>
      <c r="O292" s="706">
        <f>IFERROR(__xludf.DUMMYFUNCTION("""COMPUTED_VALUE"""),0.903)</f>
        <v>0.903</v>
      </c>
      <c r="P292" s="706">
        <f>IFERROR(__xludf.DUMMYFUNCTION("""COMPUTED_VALUE"""),0.811)</f>
        <v>0.811</v>
      </c>
      <c r="Q292" s="697" t="str">
        <f>IFERROR(__xludf.DUMMYFUNCTION("""COMPUTED_VALUE"""),"raziquantel was significantly more effective than oxamniquine in treating S. mansoni infection. The oogram was markedly more sensitive than stool examinations in detecting S. mansoni eggs and should be recommended for use in clinical trials with schistoso"&amp;"micides.")</f>
        <v>raziquantel was significantly more effective than oxamniquine in treating S. mansoni infection. The oogram was markedly more sensitive than stool examinations in detecting S. mansoni eggs and should be recommended for use in clinical trials with schistosomicides.</v>
      </c>
      <c r="R292" s="697" t="str">
        <f>IFERROR(__xludf.DUMMYFUNCTION("""COMPUTED_VALUE"""),"This study has already been recorded, I was just used it for practice")</f>
        <v>This study has already been recorded, I was just used it for practice</v>
      </c>
      <c r="S292" s="697" t="str">
        <f>IFERROR(__xludf.DUMMYFUNCTION("""COMPUTED_VALUE"""),"Ferrari, M. L. A., Coelho, P. M. Z., Antunes, C. M. F., Tavares, C. A. P., &amp; da Cunha, A. S. (2003). Efficacy of oxamniquine and praziquantel in the treatment of Schistosoma mansoni infection: a controlled trial. Bulletin of the World Health Organization,"&amp;" 81(3), 190–196.")</f>
        <v>Ferrari, M. L. A., Coelho, P. M. Z., Antunes, C. M. F., Tavares, C. A. P., &amp; da Cunha, A. S. (2003). Efficacy of oxamniquine and praziquantel in the treatment of Schistosoma mansoni infection: a controlled trial. Bulletin of the World Health Organization, 81(3), 190–196.</v>
      </c>
      <c r="T292" s="699" t="str">
        <f>IFERROR(__xludf.DUMMYFUNCTION("""COMPUTED_VALUE"""),"https://www.ncbi.nlm.nih.gov/pmc/articles/PMC2572425/")</f>
        <v>https://www.ncbi.nlm.nih.gov/pmc/articles/PMC2572425/</v>
      </c>
      <c r="U292" s="697" t="str">
        <f>IFERROR(__xludf.DUMMYFUNCTION("""COMPUTED_VALUE"""),"")</f>
        <v/>
      </c>
      <c r="V292" s="697">
        <f>IFERROR(__xludf.DUMMYFUNCTION("""COMPUTED_VALUE"""),292.0)</f>
        <v>292</v>
      </c>
    </row>
    <row r="293">
      <c r="A293" s="697" t="str">
        <f>IFERROR(__xludf.DUMMYFUNCTION("""COMPUTED_VALUE"""),"Ferrari MT")</f>
        <v>Ferrari MT</v>
      </c>
      <c r="B293" s="697" t="str">
        <f>IFERROR(__xludf.DUMMYFUNCTION("""COMPUTED_VALUE"""),"s. mansoni")</f>
        <v>s. mansoni</v>
      </c>
      <c r="C293" s="697" t="str">
        <f>IFERROR(__xludf.DUMMYFUNCTION("""COMPUTED_VALUE"""),"Brazil")</f>
        <v>Brazil</v>
      </c>
      <c r="D293" s="697" t="str">
        <f>IFERROR(__xludf.DUMMYFUNCTION("""COMPUTED_VALUE"""),"Placebo")</f>
        <v>Placebo</v>
      </c>
      <c r="E293" s="697">
        <f>IFERROR(__xludf.DUMMYFUNCTION("""COMPUTED_VALUE"""),3.0)</f>
        <v>3</v>
      </c>
      <c r="F293" s="697"/>
      <c r="G293" s="697">
        <f>IFERROR(__xludf.DUMMYFUNCTION("""COMPUTED_VALUE"""),36.0)</f>
        <v>36</v>
      </c>
      <c r="H293" s="697" t="str">
        <f>IFERROR(__xludf.DUMMYFUNCTION("""COMPUTED_VALUE"""),"12-41")</f>
        <v>12-41</v>
      </c>
      <c r="I293" s="705" t="str">
        <f>IFERROR(__xludf.DUMMYFUNCTION("""COMPUTED_VALUE"""),"26-10")</f>
        <v>26-10</v>
      </c>
      <c r="J293" s="697">
        <f>IFERROR(__xludf.DUMMYFUNCTION("""COMPUTED_VALUE"""),2003.0)</f>
        <v>2003</v>
      </c>
      <c r="K293" s="697"/>
      <c r="L293" s="697" t="str">
        <f>IFERROR(__xludf.DUMMYFUNCTION("""COMPUTED_VALUE"""),"No")</f>
        <v>No</v>
      </c>
      <c r="M293" s="697" t="str">
        <f>IFERROR(__xludf.DUMMYFUNCTION("""COMPUTED_VALUE"""),"Yes")</f>
        <v>Yes</v>
      </c>
      <c r="N293" s="697">
        <f>IFERROR(__xludf.DUMMYFUNCTION("""COMPUTED_VALUE"""),180.0)</f>
        <v>180</v>
      </c>
      <c r="O293" s="697"/>
      <c r="P293" s="706">
        <f>IFERROR(__xludf.DUMMYFUNCTION("""COMPUTED_VALUE"""),0.0542)</f>
        <v>0.0542</v>
      </c>
      <c r="Q293" s="697" t="str">
        <f>IFERROR(__xludf.DUMMYFUNCTION("""COMPUTED_VALUE"""),"raziquantel was significantly more effective than oxamniquine in treating S. mansoni infection. The oogram was markedly more sensitive than stool examinations in detecting S. mansoni eggs and should be recommended for use in clinical trials with schistoso"&amp;"micides.")</f>
        <v>raziquantel was significantly more effective than oxamniquine in treating S. mansoni infection. The oogram was markedly more sensitive than stool examinations in detecting S. mansoni eggs and should be recommended for use in clinical trials with schistosomicides.</v>
      </c>
      <c r="R293" s="697" t="str">
        <f>IFERROR(__xludf.DUMMYFUNCTION("""COMPUTED_VALUE"""),"This study has already been recorded, I was just used it for practice")</f>
        <v>This study has already been recorded, I was just used it for practice</v>
      </c>
      <c r="S293" s="697" t="str">
        <f>IFERROR(__xludf.DUMMYFUNCTION("""COMPUTED_VALUE"""),"Ferrari, M. L. A., Coelho, P. M. Z., Antunes, C. M. F., Tavares, C. A. P., &amp; da Cunha, A. S. (2003). Efficacy of oxamniquine and praziquantel in the treatment of Schistosoma mansoni infection: a controlled trial. Bulletin of the World Health Organization,"&amp;" 81(3), 190–196.")</f>
        <v>Ferrari, M. L. A., Coelho, P. M. Z., Antunes, C. M. F., Tavares, C. A. P., &amp; da Cunha, A. S. (2003). Efficacy of oxamniquine and praziquantel in the treatment of Schistosoma mansoni infection: a controlled trial. Bulletin of the World Health Organization, 81(3), 190–196.</v>
      </c>
      <c r="T293" s="699" t="str">
        <f>IFERROR(__xludf.DUMMYFUNCTION("""COMPUTED_VALUE"""),"https://www.ncbi.nlm.nih.gov/pmc/articles/PMC2572425/")</f>
        <v>https://www.ncbi.nlm.nih.gov/pmc/articles/PMC2572425/</v>
      </c>
      <c r="U293" s="697" t="str">
        <f>IFERROR(__xludf.DUMMYFUNCTION("""COMPUTED_VALUE"""),"")</f>
        <v/>
      </c>
      <c r="V293" s="697">
        <f>IFERROR(__xludf.DUMMYFUNCTION("""COMPUTED_VALUE"""),293.0)</f>
        <v>293</v>
      </c>
    </row>
    <row r="294">
      <c r="A294" s="697" t="str">
        <f>IFERROR(__xludf.DUMMYFUNCTION("""COMPUTED_VALUE"""),"Nalugwa A.")</f>
        <v>Nalugwa A.</v>
      </c>
      <c r="B294" s="697" t="str">
        <f>IFERROR(__xludf.DUMMYFUNCTION("""COMPUTED_VALUE"""),"s. mansoni")</f>
        <v>s. mansoni</v>
      </c>
      <c r="C294" s="697" t="str">
        <f>IFERROR(__xludf.DUMMYFUNCTION("""COMPUTED_VALUE"""),"Uganda")</f>
        <v>Uganda</v>
      </c>
      <c r="D294" s="697" t="str">
        <f>IFERROR(__xludf.DUMMYFUNCTION("""COMPUTED_VALUE"""),"Praziquantel")</f>
        <v>Praziquantel</v>
      </c>
      <c r="E294" s="697" t="str">
        <f>IFERROR(__xludf.DUMMYFUNCTION("""COMPUTED_VALUE"""),"Single")</f>
        <v>Single</v>
      </c>
      <c r="F294" s="697" t="str">
        <f>IFERROR(__xludf.DUMMYFUNCTION("""COMPUTED_VALUE"""),"40 mg/kg")</f>
        <v>40 mg/kg</v>
      </c>
      <c r="G294" s="697">
        <f>IFERROR(__xludf.DUMMYFUNCTION("""COMPUTED_VALUE"""),509.0)</f>
        <v>509</v>
      </c>
      <c r="H294" s="704">
        <f>IFERROR(__xludf.DUMMYFUNCTION("""COMPUTED_VALUE"""),42740.0)</f>
        <v>42740</v>
      </c>
      <c r="I294" s="705" t="str">
        <f>IFERROR(__xludf.DUMMYFUNCTION("""COMPUTED_VALUE"""),"49.3%:51.7%")</f>
        <v>49.3%:51.7%</v>
      </c>
      <c r="J294" s="697">
        <f>IFERROR(__xludf.DUMMYFUNCTION("""COMPUTED_VALUE"""),2015.0)</f>
        <v>2015</v>
      </c>
      <c r="K294" s="697" t="str">
        <f>IFERROR(__xludf.DUMMYFUNCTION("""COMPUTED_VALUE"""),"Pre-school aged children who tested positive for s. mansoni")</f>
        <v>Pre-school aged children who tested positive for s. mansoni</v>
      </c>
      <c r="L294" s="697" t="str">
        <f>IFERROR(__xludf.DUMMYFUNCTION("""COMPUTED_VALUE"""),"Yes")</f>
        <v>Yes</v>
      </c>
      <c r="M294" s="697" t="str">
        <f>IFERROR(__xludf.DUMMYFUNCTION("""COMPUTED_VALUE"""),"Yes")</f>
        <v>Yes</v>
      </c>
      <c r="N294" s="697" t="str">
        <f>IFERROR(__xludf.DUMMYFUNCTION("""COMPUTED_VALUE"""),"1 month")</f>
        <v>1 month</v>
      </c>
      <c r="O294" s="706">
        <f>IFERROR(__xludf.DUMMYFUNCTION("""COMPUTED_VALUE"""),0.832)</f>
        <v>0.832</v>
      </c>
      <c r="P294" s="706">
        <f>IFERROR(__xludf.DUMMYFUNCTION("""COMPUTED_VALUE"""),0.989)</f>
        <v>0.989</v>
      </c>
      <c r="Q294" s="697" t="str">
        <f>IFERROR(__xludf.DUMMYFUNCTION("""COMPUTED_VALUE"""),"Two PZQ doses lead to significant reduction in egg excretion compared to a single dose. ")</f>
        <v>Two PZQ doses lead to significant reduction in egg excretion compared to a single dose. </v>
      </c>
      <c r="R294" s="697" t="str">
        <f>IFERROR(__xludf.DUMMYFUNCTION("""COMPUTED_VALUE"""),"This study was also recorded already.")</f>
        <v>This study was also recorded already.</v>
      </c>
      <c r="S294" s="697" t="str">
        <f>IFERROR(__xludf.DUMMYFUNCTION("""COMPUTED_VALUE"""),"Nalugwa, A., Nuwaha, F., Tukahebwa, E. M., &amp; Olsen, A. (2015). Single Versus Double Dose Praziquantel Comparison on Efficacy and Schistosoma mansoni Re-Infection in Preschool-Age Children in Uganda: A Randomized Controlled Trial. PLoS Neglected Tropical D"&amp;"iseases, 9(5), e0003796. http://doi.org/10.1371/journal.pntd.0003796")</f>
        <v>Nalugwa, A., Nuwaha, F., Tukahebwa, E. M., &amp; Olsen, A. (2015). Single Versus Double Dose Praziquantel Comparison on Efficacy and Schistosoma mansoni Re-Infection in Preschool-Age Children in Uganda: A Randomized Controlled Trial. PLoS Neglected Tropical Diseases, 9(5), e0003796. http://doi.org/10.1371/journal.pntd.0003796</v>
      </c>
      <c r="T294" s="699" t="str">
        <f>IFERROR(__xludf.DUMMYFUNCTION("""COMPUTED_VALUE"""),"https://www.ncbi.nlm.nih.gov/pmc/articles/PMC4444284/")</f>
        <v>https://www.ncbi.nlm.nih.gov/pmc/articles/PMC4444284/</v>
      </c>
      <c r="U294" s="697" t="str">
        <f>IFERROR(__xludf.DUMMYFUNCTION("""COMPUTED_VALUE"""),"")</f>
        <v/>
      </c>
      <c r="V294" s="697">
        <f>IFERROR(__xludf.DUMMYFUNCTION("""COMPUTED_VALUE"""),294.0)</f>
        <v>294</v>
      </c>
    </row>
    <row r="295">
      <c r="A295" s="697" t="str">
        <f>IFERROR(__xludf.DUMMYFUNCTION("""COMPUTED_VALUE"""),"Nalugwa A.")</f>
        <v>Nalugwa A.</v>
      </c>
      <c r="B295" s="697" t="str">
        <f>IFERROR(__xludf.DUMMYFUNCTION("""COMPUTED_VALUE"""),"s. mansoni")</f>
        <v>s. mansoni</v>
      </c>
      <c r="C295" s="697" t="str">
        <f>IFERROR(__xludf.DUMMYFUNCTION("""COMPUTED_VALUE"""),"Uganda")</f>
        <v>Uganda</v>
      </c>
      <c r="D295" s="697" t="str">
        <f>IFERROR(__xludf.DUMMYFUNCTION("""COMPUTED_VALUE"""),"Praziquantel")</f>
        <v>Praziquantel</v>
      </c>
      <c r="E295" s="697" t="str">
        <f>IFERROR(__xludf.DUMMYFUNCTION("""COMPUTED_VALUE"""),"Double")</f>
        <v>Double</v>
      </c>
      <c r="F295" s="697" t="str">
        <f>IFERROR(__xludf.DUMMYFUNCTION("""COMPUTED_VALUE"""),"40 mg/kg")</f>
        <v>40 mg/kg</v>
      </c>
      <c r="G295" s="697">
        <f>IFERROR(__xludf.DUMMYFUNCTION("""COMPUTED_VALUE"""),508.0)</f>
        <v>508</v>
      </c>
      <c r="H295" s="704">
        <f>IFERROR(__xludf.DUMMYFUNCTION("""COMPUTED_VALUE"""),42740.0)</f>
        <v>42740</v>
      </c>
      <c r="I295" s="705" t="str">
        <f>IFERROR(__xludf.DUMMYFUNCTION("""COMPUTED_VALUE"""),"54.3%:45.7%")</f>
        <v>54.3%:45.7%</v>
      </c>
      <c r="J295" s="697">
        <f>IFERROR(__xludf.DUMMYFUNCTION("""COMPUTED_VALUE"""),2015.0)</f>
        <v>2015</v>
      </c>
      <c r="K295" s="697" t="str">
        <f>IFERROR(__xludf.DUMMYFUNCTION("""COMPUTED_VALUE"""),"Pre-school aged children who tested positive for s. mansoni")</f>
        <v>Pre-school aged children who tested positive for s. mansoni</v>
      </c>
      <c r="L295" s="697" t="str">
        <f>IFERROR(__xludf.DUMMYFUNCTION("""COMPUTED_VALUE"""),"Yes")</f>
        <v>Yes</v>
      </c>
      <c r="M295" s="697" t="str">
        <f>IFERROR(__xludf.DUMMYFUNCTION("""COMPUTED_VALUE"""),"Yes")</f>
        <v>Yes</v>
      </c>
      <c r="N295" s="697" t="str">
        <f>IFERROR(__xludf.DUMMYFUNCTION("""COMPUTED_VALUE"""),"1 month")</f>
        <v>1 month</v>
      </c>
      <c r="O295" s="697" t="str">
        <f>IFERROR(__xludf.DUMMYFUNCTION("""COMPUTED_VALUE"""),"85.5%%")</f>
        <v>85.5%%</v>
      </c>
      <c r="P295" s="706">
        <f>IFERROR(__xludf.DUMMYFUNCTION("""COMPUTED_VALUE"""),0.993)</f>
        <v>0.993</v>
      </c>
      <c r="Q295" s="697" t="str">
        <f>IFERROR(__xludf.DUMMYFUNCTION("""COMPUTED_VALUE"""),"Two PZQ doses lead to significant reduction in egg excretion compared to a single dose. ")</f>
        <v>Two PZQ doses lead to significant reduction in egg excretion compared to a single dose. </v>
      </c>
      <c r="R295" s="697" t="str">
        <f>IFERROR(__xludf.DUMMYFUNCTION("""COMPUTED_VALUE"""),"This study was also recorded already.")</f>
        <v>This study was also recorded already.</v>
      </c>
      <c r="S295" s="697" t="str">
        <f>IFERROR(__xludf.DUMMYFUNCTION("""COMPUTED_VALUE"""),"Nalugwa, A., Nuwaha, F., Tukahebwa, E. M., &amp; Olsen, A. (2015). Single Versus Double Dose Praziquantel Comparison on Efficacy and Schistosoma mansoni Re-Infection in Preschool-Age Children in Uganda: A Randomized Controlled Trial. PLoS Neglected Tropical D"&amp;"iseases, 9(5), e0003796. http://doi.org/10.1371/journal.pntd.0003796")</f>
        <v>Nalugwa, A., Nuwaha, F., Tukahebwa, E. M., &amp; Olsen, A. (2015). Single Versus Double Dose Praziquantel Comparison on Efficacy and Schistosoma mansoni Re-Infection in Preschool-Age Children in Uganda: A Randomized Controlled Trial. PLoS Neglected Tropical Diseases, 9(5), e0003796. http://doi.org/10.1371/journal.pntd.0003796</v>
      </c>
      <c r="T295" s="699" t="str">
        <f>IFERROR(__xludf.DUMMYFUNCTION("""COMPUTED_VALUE"""),"https://www.ncbi.nlm.nih.gov/pmc/articles/PMC4444284/")</f>
        <v>https://www.ncbi.nlm.nih.gov/pmc/articles/PMC4444284/</v>
      </c>
      <c r="U295" s="697" t="str">
        <f>IFERROR(__xludf.DUMMYFUNCTION("""COMPUTED_VALUE"""),"")</f>
        <v/>
      </c>
      <c r="V295" s="697">
        <f>IFERROR(__xludf.DUMMYFUNCTION("""COMPUTED_VALUE"""),295.0)</f>
        <v>295</v>
      </c>
    </row>
    <row r="296">
      <c r="A296" s="697"/>
      <c r="B296" s="697"/>
      <c r="C296" s="697"/>
      <c r="D296" s="697"/>
      <c r="E296" s="697"/>
      <c r="F296" s="697"/>
      <c r="G296" s="697"/>
      <c r="H296" s="697"/>
      <c r="I296" s="697"/>
      <c r="J296" s="697"/>
      <c r="K296" s="697"/>
      <c r="L296" s="697"/>
      <c r="M296" s="697"/>
      <c r="N296" s="697"/>
      <c r="O296" s="697"/>
      <c r="P296" s="697"/>
      <c r="Q296" s="697"/>
      <c r="R296" s="697"/>
      <c r="S296" s="697"/>
      <c r="T296" s="697"/>
      <c r="U296" s="697" t="str">
        <f>IFERROR(__xludf.DUMMYFUNCTION("""COMPUTED_VALUE"""),"")</f>
        <v/>
      </c>
      <c r="V296" s="697">
        <f>IFERROR(__xludf.DUMMYFUNCTION("""COMPUTED_VALUE"""),296.0)</f>
        <v>296</v>
      </c>
    </row>
    <row r="297">
      <c r="A297" s="697"/>
      <c r="B297" s="697"/>
      <c r="C297" s="697"/>
      <c r="D297" s="697"/>
      <c r="E297" s="697"/>
      <c r="F297" s="697"/>
      <c r="G297" s="697"/>
      <c r="H297" s="697"/>
      <c r="I297" s="697"/>
      <c r="J297" s="697"/>
      <c r="K297" s="697"/>
      <c r="L297" s="697"/>
      <c r="M297" s="697"/>
      <c r="N297" s="697"/>
      <c r="O297" s="697"/>
      <c r="P297" s="697"/>
      <c r="Q297" s="697"/>
      <c r="R297" s="697"/>
      <c r="S297" s="697"/>
      <c r="T297" s="697"/>
      <c r="U297" s="697" t="str">
        <f>IFERROR(__xludf.DUMMYFUNCTION("""COMPUTED_VALUE"""),"")</f>
        <v/>
      </c>
      <c r="V297" s="697">
        <f>IFERROR(__xludf.DUMMYFUNCTION("""COMPUTED_VALUE"""),297.0)</f>
        <v>297</v>
      </c>
    </row>
    <row r="298">
      <c r="A298" s="697" t="str">
        <f>IFERROR(__xludf.DUMMYFUNCTION("""COMPUTED_VALUE"""),"Meta Analyses (exclude)")</f>
        <v>Meta Analyses (exclude)</v>
      </c>
      <c r="B298" s="697"/>
      <c r="C298" s="697"/>
      <c r="D298" s="697"/>
      <c r="E298" s="697"/>
      <c r="F298" s="697"/>
      <c r="G298" s="697"/>
      <c r="H298" s="697"/>
      <c r="I298" s="697"/>
      <c r="J298" s="697"/>
      <c r="K298" s="697"/>
      <c r="L298" s="697"/>
      <c r="M298" s="697"/>
      <c r="N298" s="697"/>
      <c r="O298" s="697"/>
      <c r="P298" s="697"/>
      <c r="Q298" s="697"/>
      <c r="R298" s="697"/>
      <c r="S298" s="697"/>
      <c r="T298" s="697"/>
      <c r="U298" s="697" t="str">
        <f>IFERROR(__xludf.DUMMYFUNCTION("""COMPUTED_VALUE"""),"")</f>
        <v/>
      </c>
      <c r="V298" s="697">
        <f>IFERROR(__xludf.DUMMYFUNCTION("""COMPUTED_VALUE"""),298.0)</f>
        <v>298</v>
      </c>
    </row>
    <row r="299">
      <c r="A299" s="697" t="str">
        <f>IFERROR(__xludf.DUMMYFUNCTION("""COMPUTED_VALUE"""),"Key colours")</f>
        <v>Key colours</v>
      </c>
      <c r="B299" s="697" t="str">
        <f>IFERROR(__xludf.DUMMYFUNCTION("""COMPUTED_VALUE"""),"Missing data")</f>
        <v>Missing data</v>
      </c>
      <c r="C299" s="697" t="str">
        <f>IFERROR(__xludf.DUMMYFUNCTION("""COMPUTED_VALUE"""),"Unchecked")</f>
        <v>Unchecked</v>
      </c>
      <c r="D299" s="697"/>
      <c r="E299" s="697"/>
      <c r="F299" s="697"/>
      <c r="G299" s="697" t="str">
        <f>IFERROR(__xludf.DUMMYFUNCTION("""COMPUTED_VALUE"""),"Less than 30")</f>
        <v>Less than 30</v>
      </c>
      <c r="H299" s="697"/>
      <c r="I299" s="697" t="str">
        <f>IFERROR(__xludf.DUMMYFUNCTION("""COMPUTED_VALUE"""),"Unusual patient group")</f>
        <v>Unusual patient group</v>
      </c>
      <c r="J299" s="697" t="str">
        <f>IFERROR(__xludf.DUMMYFUNCTION("""COMPUTED_VALUE"""),"Older than 2000")</f>
        <v>Older than 2000</v>
      </c>
      <c r="K299" s="697"/>
      <c r="L299" s="697" t="str">
        <f>IFERROR(__xludf.DUMMYFUNCTION("""COMPUTED_VALUE"""),"No blind")</f>
        <v>No blind</v>
      </c>
      <c r="M299" s="697" t="str">
        <f>IFERROR(__xludf.DUMMYFUNCTION("""COMPUTED_VALUE"""),"Non-RCT")</f>
        <v>Non-RCT</v>
      </c>
      <c r="N299" s="697"/>
      <c r="O299" s="697"/>
      <c r="P299" s="697"/>
      <c r="Q299" s="697"/>
      <c r="R299" s="697"/>
      <c r="S299" s="697"/>
      <c r="T299" s="697"/>
      <c r="U299" s="697" t="str">
        <f>IFERROR(__xludf.DUMMYFUNCTION("""COMPUTED_VALUE"""),"")</f>
        <v/>
      </c>
      <c r="V299" s="697">
        <f>IFERROR(__xludf.DUMMYFUNCTION("""COMPUTED_VALUE"""),299.0)</f>
        <v>299</v>
      </c>
    </row>
    <row r="300">
      <c r="A300" s="697" t="str">
        <f>IFERROR(__xludf.DUMMYFUNCTION("""COMPUTED_VALUE"""),"Before 1990")</f>
        <v>Before 1990</v>
      </c>
      <c r="B300" s="697"/>
      <c r="C300" s="697"/>
      <c r="D300" s="697"/>
      <c r="E300" s="697"/>
      <c r="F300" s="697"/>
      <c r="G300" s="697"/>
      <c r="H300" s="697"/>
      <c r="I300" s="697"/>
      <c r="J300" s="697"/>
      <c r="K300" s="697"/>
      <c r="L300" s="697"/>
      <c r="M300" s="697"/>
      <c r="N300" s="697"/>
      <c r="O300" s="697"/>
      <c r="P300" s="697"/>
      <c r="Q300" s="697"/>
      <c r="R300" s="697"/>
      <c r="S300" s="697"/>
      <c r="T300" s="697"/>
      <c r="U300" s="697" t="str">
        <f>IFERROR(__xludf.DUMMYFUNCTION("""COMPUTED_VALUE"""),"")</f>
        <v/>
      </c>
      <c r="V300" s="697">
        <f>IFERROR(__xludf.DUMMYFUNCTION("""COMPUTED_VALUE"""),300.0)</f>
        <v>300</v>
      </c>
    </row>
    <row r="301">
      <c r="A301" s="697" t="str">
        <f>IFERROR(__xludf.DUMMYFUNCTION("""COMPUTED_VALUE"""),"1990-2000")</f>
        <v>1990-2000</v>
      </c>
      <c r="B301" s="697"/>
      <c r="C301" s="697"/>
      <c r="D301" s="697"/>
      <c r="E301" s="697"/>
      <c r="F301" s="697"/>
      <c r="G301" s="697"/>
      <c r="H301" s="697"/>
      <c r="I301" s="697"/>
      <c r="J301" s="697"/>
      <c r="K301" s="697"/>
      <c r="L301" s="697"/>
      <c r="M301" s="697"/>
      <c r="N301" s="697"/>
      <c r="O301" s="697"/>
      <c r="P301" s="697"/>
      <c r="Q301" s="697"/>
      <c r="R301" s="697"/>
      <c r="S301" s="697"/>
      <c r="T301" s="697"/>
      <c r="U301" s="697" t="str">
        <f>IFERROR(__xludf.DUMMYFUNCTION("""COMPUTED_VALUE"""),"")</f>
        <v/>
      </c>
      <c r="V301" s="697">
        <f>IFERROR(__xludf.DUMMYFUNCTION("""COMPUTED_VALUE"""),301.0)</f>
        <v>301</v>
      </c>
    </row>
    <row r="302">
      <c r="A302" s="697" t="str">
        <f>IFERROR(__xludf.DUMMYFUNCTION("""COMPUTED_VALUE"""),"2000-present")</f>
        <v>2000-present</v>
      </c>
      <c r="B302" s="697"/>
      <c r="C302" s="697"/>
      <c r="D302" s="697"/>
      <c r="E302" s="697"/>
      <c r="F302" s="697"/>
      <c r="G302" s="697"/>
      <c r="H302" s="697"/>
      <c r="I302" s="697"/>
      <c r="J302" s="697"/>
      <c r="K302" s="697"/>
      <c r="L302" s="697"/>
      <c r="M302" s="697"/>
      <c r="N302" s="697"/>
      <c r="O302" s="697"/>
      <c r="P302" s="697"/>
      <c r="Q302" s="697"/>
      <c r="R302" s="697"/>
      <c r="S302" s="697"/>
      <c r="T302" s="697"/>
      <c r="U302" s="697" t="str">
        <f>IFERROR(__xludf.DUMMYFUNCTION("""COMPUTED_VALUE"""),"")</f>
        <v/>
      </c>
      <c r="V302" s="697">
        <f>IFERROR(__xludf.DUMMYFUNCTION("""COMPUTED_VALUE"""),302.0)</f>
        <v>302</v>
      </c>
    </row>
    <row r="303">
      <c r="A303" s="697" t="str">
        <f>IFERROR(__xludf.DUMMYFUNCTION("""COMPUTED_VALUE"""),"Pregnant Women")</f>
        <v>Pregnant Women</v>
      </c>
      <c r="B303" s="697"/>
      <c r="C303" s="697"/>
      <c r="D303" s="697"/>
      <c r="E303" s="697"/>
      <c r="F303" s="697"/>
      <c r="G303" s="697"/>
      <c r="H303" s="697"/>
      <c r="I303" s="697"/>
      <c r="J303" s="697"/>
      <c r="K303" s="697"/>
      <c r="L303" s="697"/>
      <c r="M303" s="697"/>
      <c r="N303" s="697"/>
      <c r="O303" s="697"/>
      <c r="P303" s="697"/>
      <c r="Q303" s="697"/>
      <c r="R303" s="697"/>
      <c r="S303" s="697"/>
      <c r="T303" s="697"/>
      <c r="U303" s="697" t="str">
        <f>IFERROR(__xludf.DUMMYFUNCTION("""COMPUTED_VALUE"""),"")</f>
        <v/>
      </c>
      <c r="V303" s="697">
        <f>IFERROR(__xludf.DUMMYFUNCTION("""COMPUTED_VALUE"""),303.0)</f>
        <v>303</v>
      </c>
    </row>
    <row r="304">
      <c r="A304" s="697" t="str">
        <f>IFERROR(__xludf.DUMMYFUNCTION("""COMPUTED_VALUE"""),"only woman")</f>
        <v>only woman</v>
      </c>
      <c r="B304" s="697"/>
      <c r="C304" s="697" t="str">
        <f>IFERROR(__xludf.DUMMYFUNCTION("""COMPUTED_VALUE"""),"-")</f>
        <v>-</v>
      </c>
      <c r="D304" s="697"/>
      <c r="E304" s="697"/>
      <c r="F304" s="697"/>
      <c r="G304" s="697"/>
      <c r="H304" s="697"/>
      <c r="I304" s="697"/>
      <c r="J304" s="697"/>
      <c r="K304" s="697"/>
      <c r="L304" s="697"/>
      <c r="M304" s="697"/>
      <c r="N304" s="697"/>
      <c r="O304" s="697"/>
      <c r="P304" s="697"/>
      <c r="Q304" s="697"/>
      <c r="R304" s="697"/>
      <c r="S304" s="697"/>
      <c r="T304" s="697"/>
      <c r="U304" s="697" t="str">
        <f>IFERROR(__xludf.DUMMYFUNCTION("""COMPUTED_VALUE"""),"")</f>
        <v/>
      </c>
      <c r="V304" s="697">
        <f>IFERROR(__xludf.DUMMYFUNCTION("""COMPUTED_VALUE"""),304.0)</f>
        <v>304</v>
      </c>
    </row>
    <row r="305">
      <c r="A305" s="697" t="str">
        <f>IFERROR(__xludf.DUMMYFUNCTION("""COMPUTED_VALUE"""),"only men")</f>
        <v>only men</v>
      </c>
      <c r="B305" s="697"/>
      <c r="C305" s="697"/>
      <c r="D305" s="697"/>
      <c r="E305" s="697"/>
      <c r="F305" s="697"/>
      <c r="G305" s="697"/>
      <c r="H305" s="697"/>
      <c r="I305" s="697"/>
      <c r="J305" s="697"/>
      <c r="K305" s="697"/>
      <c r="L305" s="697"/>
      <c r="M305" s="697"/>
      <c r="N305" s="697"/>
      <c r="O305" s="697"/>
      <c r="P305" s="697"/>
      <c r="Q305" s="697"/>
      <c r="R305" s="697"/>
      <c r="S305" s="697"/>
      <c r="T305" s="697"/>
      <c r="U305" s="697" t="str">
        <f>IFERROR(__xludf.DUMMYFUNCTION("""COMPUTED_VALUE"""),"")</f>
        <v/>
      </c>
      <c r="V305" s="697">
        <f>IFERROR(__xludf.DUMMYFUNCTION("""COMPUTED_VALUE"""),305.0)</f>
        <v>305</v>
      </c>
    </row>
    <row r="306">
      <c r="A306" s="697" t="str">
        <f>IFERROR(__xludf.DUMMYFUNCTION("""COMPUTED_VALUE"""),"randomized controlled study")</f>
        <v>randomized controlled study</v>
      </c>
      <c r="B306" s="697"/>
      <c r="C306" s="697"/>
      <c r="D306" s="697"/>
      <c r="E306" s="697"/>
      <c r="F306" s="697"/>
      <c r="G306" s="697"/>
      <c r="H306" s="697"/>
      <c r="I306" s="697"/>
      <c r="J306" s="697"/>
      <c r="K306" s="697"/>
      <c r="L306" s="697"/>
      <c r="M306" s="697"/>
      <c r="N306" s="697"/>
      <c r="O306" s="697"/>
      <c r="P306" s="697"/>
      <c r="Q306" s="697"/>
      <c r="R306" s="697"/>
      <c r="S306" s="697"/>
      <c r="T306" s="697"/>
      <c r="U306" s="697" t="str">
        <f>IFERROR(__xludf.DUMMYFUNCTION("""COMPUTED_VALUE"""),"")</f>
        <v/>
      </c>
      <c r="V306" s="697">
        <f>IFERROR(__xludf.DUMMYFUNCTION("""COMPUTED_VALUE"""),306.0)</f>
        <v>306</v>
      </c>
    </row>
    <row r="307">
      <c r="A307" s="697" t="str">
        <f>IFERROR(__xludf.DUMMYFUNCTION("""COMPUTED_VALUE"""),"NOT randomized controlled study")</f>
        <v>NOT randomized controlled study</v>
      </c>
      <c r="B307" s="697"/>
      <c r="C307" s="697"/>
      <c r="D307" s="697"/>
      <c r="E307" s="697"/>
      <c r="F307" s="697"/>
      <c r="G307" s="697"/>
      <c r="H307" s="697"/>
      <c r="I307" s="697"/>
      <c r="J307" s="697"/>
      <c r="K307" s="697"/>
      <c r="L307" s="697"/>
      <c r="M307" s="697"/>
      <c r="N307" s="697"/>
      <c r="O307" s="697"/>
      <c r="P307" s="697"/>
      <c r="Q307" s="697"/>
      <c r="R307" s="697"/>
      <c r="S307" s="697"/>
      <c r="T307" s="697"/>
      <c r="U307" s="697" t="str">
        <f>IFERROR(__xludf.DUMMYFUNCTION("""COMPUTED_VALUE"""),"")</f>
        <v/>
      </c>
      <c r="V307" s="697">
        <f>IFERROR(__xludf.DUMMYFUNCTION("""COMPUTED_VALUE"""),307.0)</f>
        <v>307</v>
      </c>
    </row>
    <row r="308">
      <c r="A308" s="697" t="str">
        <f>IFERROR(__xludf.DUMMYFUNCTION("""COMPUTED_VALUE"""),"Placebo")</f>
        <v>Placebo</v>
      </c>
      <c r="B308" s="697"/>
      <c r="C308" s="697"/>
      <c r="D308" s="697"/>
      <c r="E308" s="697"/>
      <c r="F308" s="697"/>
      <c r="G308" s="697"/>
      <c r="H308" s="697"/>
      <c r="I308" s="697"/>
      <c r="J308" s="697"/>
      <c r="K308" s="697"/>
      <c r="L308" s="697"/>
      <c r="M308" s="697"/>
      <c r="N308" s="697"/>
      <c r="O308" s="697"/>
      <c r="P308" s="697"/>
      <c r="Q308" s="697"/>
      <c r="R308" s="697"/>
      <c r="S308" s="697"/>
      <c r="T308" s="697"/>
      <c r="U308" s="697" t="str">
        <f>IFERROR(__xludf.DUMMYFUNCTION("""COMPUTED_VALUE"""),"")</f>
        <v/>
      </c>
      <c r="V308" s="697">
        <f>IFERROR(__xludf.DUMMYFUNCTION("""COMPUTED_VALUE"""),308.0)</f>
        <v>308</v>
      </c>
    </row>
    <row r="309">
      <c r="A309" s="697" t="str">
        <f>IFERROR(__xludf.DUMMYFUNCTION("""COMPUTED_VALUE"""),"Sample Size: 0-100")</f>
        <v>Sample Size: 0-100</v>
      </c>
      <c r="B309" s="697"/>
      <c r="C309" s="697"/>
      <c r="D309" s="697"/>
      <c r="E309" s="697"/>
      <c r="F309" s="697"/>
      <c r="G309" s="697"/>
      <c r="H309" s="697"/>
      <c r="I309" s="697"/>
      <c r="J309" s="697"/>
      <c r="K309" s="697"/>
      <c r="L309" s="697"/>
      <c r="M309" s="697"/>
      <c r="N309" s="697"/>
      <c r="O309" s="697"/>
      <c r="P309" s="697"/>
      <c r="Q309" s="697"/>
      <c r="R309" s="697"/>
      <c r="S309" s="697"/>
      <c r="T309" s="697"/>
      <c r="U309" s="697" t="str">
        <f>IFERROR(__xludf.DUMMYFUNCTION("""COMPUTED_VALUE"""),"")</f>
        <v/>
      </c>
      <c r="V309" s="697">
        <f>IFERROR(__xludf.DUMMYFUNCTION("""COMPUTED_VALUE"""),309.0)</f>
        <v>309</v>
      </c>
    </row>
    <row r="310">
      <c r="A310" s="697" t="str">
        <f>IFERROR(__xludf.DUMMYFUNCTION("""COMPUTED_VALUE"""),"Sample Size: 100-500")</f>
        <v>Sample Size: 100-500</v>
      </c>
      <c r="B310" s="697"/>
      <c r="C310" s="697"/>
      <c r="D310" s="697"/>
      <c r="E310" s="697"/>
      <c r="F310" s="697"/>
      <c r="G310" s="697"/>
      <c r="H310" s="697"/>
      <c r="I310" s="697"/>
      <c r="J310" s="697"/>
      <c r="K310" s="697"/>
      <c r="L310" s="697"/>
      <c r="M310" s="697"/>
      <c r="N310" s="697"/>
      <c r="O310" s="697"/>
      <c r="P310" s="697"/>
      <c r="Q310" s="697"/>
      <c r="R310" s="697"/>
      <c r="S310" s="697"/>
      <c r="T310" s="697"/>
      <c r="U310" s="697" t="str">
        <f>IFERROR(__xludf.DUMMYFUNCTION("""COMPUTED_VALUE"""),"")</f>
        <v/>
      </c>
      <c r="V310" s="697">
        <f>IFERROR(__xludf.DUMMYFUNCTION("""COMPUTED_VALUE"""),310.0)</f>
        <v>310</v>
      </c>
    </row>
    <row r="311">
      <c r="A311" s="697" t="str">
        <f>IFERROR(__xludf.DUMMYFUNCTION("""COMPUTED_VALUE"""),"Sample Size: 500- and up")</f>
        <v>Sample Size: 500- and up</v>
      </c>
      <c r="B311" s="697"/>
      <c r="C311" s="697"/>
      <c r="D311" s="697"/>
      <c r="E311" s="697"/>
      <c r="F311" s="697"/>
      <c r="G311" s="697"/>
      <c r="H311" s="697"/>
      <c r="I311" s="697"/>
      <c r="J311" s="697"/>
      <c r="K311" s="697"/>
      <c r="L311" s="697"/>
      <c r="M311" s="697"/>
      <c r="N311" s="697"/>
      <c r="O311" s="697"/>
      <c r="P311" s="697"/>
      <c r="Q311" s="697"/>
      <c r="R311" s="697"/>
      <c r="S311" s="697"/>
      <c r="T311" s="697"/>
      <c r="U311" s="697" t="str">
        <f>IFERROR(__xludf.DUMMYFUNCTION("""COMPUTED_VALUE"""),"")</f>
        <v/>
      </c>
      <c r="V311" s="697">
        <f>IFERROR(__xludf.DUMMYFUNCTION("""COMPUTED_VALUE"""),311.0)</f>
        <v>311</v>
      </c>
    </row>
    <row r="312">
      <c r="A312" s="697" t="str">
        <f>IFERROR(__xludf.DUMMYFUNCTION("""COMPUTED_VALUE"""),"Adults(older than 18)")</f>
        <v>Adults(older than 18)</v>
      </c>
      <c r="B312" s="697"/>
      <c r="C312" s="697"/>
      <c r="D312" s="697"/>
      <c r="E312" s="697"/>
      <c r="F312" s="697"/>
      <c r="G312" s="697"/>
      <c r="H312" s="697"/>
      <c r="I312" s="697"/>
      <c r="J312" s="697"/>
      <c r="K312" s="697"/>
      <c r="L312" s="697"/>
      <c r="M312" s="697"/>
      <c r="N312" s="697"/>
      <c r="O312" s="697"/>
      <c r="P312" s="697"/>
      <c r="Q312" s="697"/>
      <c r="R312" s="697"/>
      <c r="S312" s="697"/>
      <c r="T312" s="697"/>
      <c r="U312" s="697" t="str">
        <f>IFERROR(__xludf.DUMMYFUNCTION("""COMPUTED_VALUE"""),"")</f>
        <v/>
      </c>
      <c r="V312" s="697">
        <f>IFERROR(__xludf.DUMMYFUNCTION("""COMPUTED_VALUE"""),312.0)</f>
        <v>312</v>
      </c>
    </row>
    <row r="313">
      <c r="A313" s="697" t="str">
        <f>IFERROR(__xludf.DUMMYFUNCTION("""COMPUTED_VALUE"""),"School Children and Adults")</f>
        <v>School Children and Adults</v>
      </c>
      <c r="B313" s="697"/>
      <c r="C313" s="697"/>
      <c r="D313" s="697"/>
      <c r="E313" s="697"/>
      <c r="F313" s="697"/>
      <c r="G313" s="697"/>
      <c r="H313" s="697"/>
      <c r="I313" s="697"/>
      <c r="J313" s="697"/>
      <c r="K313" s="697"/>
      <c r="L313" s="697"/>
      <c r="M313" s="697"/>
      <c r="N313" s="697"/>
      <c r="O313" s="697"/>
      <c r="P313" s="697"/>
      <c r="Q313" s="697"/>
      <c r="R313" s="697"/>
      <c r="S313" s="697"/>
      <c r="T313" s="697"/>
      <c r="U313" s="697" t="str">
        <f>IFERROR(__xludf.DUMMYFUNCTION("""COMPUTED_VALUE"""),"")</f>
        <v/>
      </c>
      <c r="V313" s="697">
        <f>IFERROR(__xludf.DUMMYFUNCTION("""COMPUTED_VALUE"""),313.0)</f>
        <v>313</v>
      </c>
    </row>
    <row r="314">
      <c r="A314" s="697" t="str">
        <f>IFERROR(__xludf.DUMMYFUNCTION("""COMPUTED_VALUE"""),"School Children(under 18)")</f>
        <v>School Children(under 18)</v>
      </c>
      <c r="B314" s="697"/>
      <c r="C314" s="697"/>
      <c r="D314" s="697"/>
      <c r="E314" s="697"/>
      <c r="F314" s="697"/>
      <c r="G314" s="697"/>
      <c r="H314" s="697"/>
      <c r="I314" s="697"/>
      <c r="J314" s="697"/>
      <c r="K314" s="697"/>
      <c r="L314" s="697"/>
      <c r="M314" s="697"/>
      <c r="N314" s="697"/>
      <c r="O314" s="697"/>
      <c r="P314" s="697"/>
      <c r="Q314" s="697"/>
      <c r="R314" s="697"/>
      <c r="S314" s="697"/>
      <c r="T314" s="697"/>
      <c r="U314" s="697" t="str">
        <f>IFERROR(__xludf.DUMMYFUNCTION("""COMPUTED_VALUE"""),"")</f>
        <v/>
      </c>
      <c r="V314" s="697">
        <f>IFERROR(__xludf.DUMMYFUNCTION("""COMPUTED_VALUE"""),314.0)</f>
        <v>314</v>
      </c>
    </row>
    <row r="315">
      <c r="A315" s="697" t="str">
        <f>IFERROR(__xludf.DUMMYFUNCTION("""COMPUTED_VALUE"""),"Mass drug administration")</f>
        <v>Mass drug administration</v>
      </c>
      <c r="B315" s="697"/>
      <c r="C315" s="697"/>
      <c r="D315" s="697"/>
      <c r="E315" s="697"/>
      <c r="F315" s="697"/>
      <c r="G315" s="697"/>
      <c r="H315" s="697"/>
      <c r="I315" s="697"/>
      <c r="J315" s="697"/>
      <c r="K315" s="697"/>
      <c r="L315" s="697"/>
      <c r="M315" s="697"/>
      <c r="N315" s="697"/>
      <c r="O315" s="697"/>
      <c r="P315" s="697"/>
      <c r="Q315" s="697"/>
      <c r="R315" s="697"/>
      <c r="S315" s="697"/>
      <c r="T315" s="697"/>
      <c r="U315" s="697" t="str">
        <f>IFERROR(__xludf.DUMMYFUNCTION("""COMPUTED_VALUE"""),"")</f>
        <v/>
      </c>
      <c r="V315" s="697">
        <f>IFERROR(__xludf.DUMMYFUNCTION("""COMPUTED_VALUE"""),315.0)</f>
        <v>315</v>
      </c>
    </row>
    <row r="316">
      <c r="A316" s="697" t="str">
        <f>IFERROR(__xludf.DUMMYFUNCTION("""COMPUTED_VALUE"""),"indigenous population")</f>
        <v>indigenous population</v>
      </c>
      <c r="B316" s="697"/>
      <c r="C316" s="697"/>
      <c r="D316" s="697"/>
      <c r="E316" s="697"/>
      <c r="F316" s="697"/>
      <c r="G316" s="697"/>
      <c r="H316" s="697"/>
      <c r="I316" s="697"/>
      <c r="J316" s="697"/>
      <c r="K316" s="697"/>
      <c r="L316" s="697"/>
      <c r="M316" s="697"/>
      <c r="N316" s="697"/>
      <c r="O316" s="697"/>
      <c r="P316" s="697"/>
      <c r="Q316" s="697"/>
      <c r="R316" s="697"/>
      <c r="S316" s="697"/>
      <c r="T316" s="697"/>
      <c r="U316" s="697" t="str">
        <f>IFERROR(__xludf.DUMMYFUNCTION("""COMPUTED_VALUE"""),"")</f>
        <v/>
      </c>
      <c r="V316" s="697">
        <f>IFERROR(__xludf.DUMMYFUNCTION("""COMPUTED_VALUE"""),316.0)</f>
        <v>316</v>
      </c>
    </row>
    <row r="317">
      <c r="A317" s="697" t="str">
        <f>IFERROR(__xludf.DUMMYFUNCTION("""COMPUTED_VALUE"""),"Immigrant")</f>
        <v>Immigrant</v>
      </c>
      <c r="B317" s="697"/>
      <c r="C317" s="697"/>
      <c r="D317" s="697"/>
      <c r="E317" s="697"/>
      <c r="F317" s="697"/>
      <c r="G317" s="697"/>
      <c r="H317" s="697"/>
      <c r="I317" s="697"/>
      <c r="J317" s="697"/>
      <c r="K317" s="697"/>
      <c r="L317" s="697"/>
      <c r="M317" s="697"/>
      <c r="N317" s="697"/>
      <c r="O317" s="697"/>
      <c r="P317" s="697"/>
      <c r="Q317" s="697"/>
      <c r="R317" s="697"/>
      <c r="S317" s="697"/>
      <c r="T317" s="697"/>
      <c r="U317" s="697" t="str">
        <f>IFERROR(__xludf.DUMMYFUNCTION("""COMPUTED_VALUE"""),"")</f>
        <v/>
      </c>
      <c r="V317" s="697">
        <f>IFERROR(__xludf.DUMMYFUNCTION("""COMPUTED_VALUE"""),317.0)</f>
        <v>317</v>
      </c>
    </row>
    <row r="318">
      <c r="A318" s="697" t="str">
        <f>IFERROR(__xludf.DUMMYFUNCTION("""COMPUTED_VALUE"""),"waiting for illiad")</f>
        <v>waiting for illiad</v>
      </c>
      <c r="B318" s="697"/>
      <c r="C318" s="697"/>
      <c r="D318" s="697"/>
      <c r="E318" s="697"/>
      <c r="F318" s="697"/>
      <c r="G318" s="697"/>
      <c r="H318" s="697"/>
      <c r="I318" s="697"/>
      <c r="J318" s="697"/>
      <c r="K318" s="697"/>
      <c r="L318" s="697"/>
      <c r="M318" s="697"/>
      <c r="N318" s="697"/>
      <c r="O318" s="697"/>
      <c r="P318" s="697"/>
      <c r="Q318" s="697"/>
      <c r="R318" s="697"/>
      <c r="S318" s="697"/>
      <c r="T318" s="697"/>
      <c r="U318" s="697"/>
      <c r="V318" s="697">
        <f>IFERROR(__xludf.DUMMYFUNCTION("""COMPUTED_VALUE"""),318.0)</f>
        <v>318</v>
      </c>
    </row>
    <row r="319">
      <c r="A319" s="697" t="str">
        <f>IFERROR(__xludf.DUMMYFUNCTION("""COMPUTED_VALUE"""),"ask question on")</f>
        <v>ask question on</v>
      </c>
      <c r="B319" s="697"/>
      <c r="C319" s="697"/>
      <c r="D319" s="697"/>
      <c r="E319" s="697"/>
      <c r="F319" s="697"/>
      <c r="G319" s="697"/>
      <c r="H319" s="697"/>
      <c r="I319" s="697"/>
      <c r="J319" s="697"/>
      <c r="K319" s="697"/>
      <c r="L319" s="697"/>
      <c r="M319" s="697"/>
      <c r="N319" s="697"/>
      <c r="O319" s="697"/>
      <c r="P319" s="697"/>
      <c r="Q319" s="697"/>
      <c r="R319" s="697"/>
      <c r="S319" s="697"/>
      <c r="T319" s="697"/>
      <c r="U319" s="697"/>
      <c r="V319" s="697">
        <f>IFERROR(__xludf.DUMMYFUNCTION("""COMPUTED_VALUE"""),319.0)</f>
        <v>319</v>
      </c>
    </row>
    <row r="320">
      <c r="A320" s="697"/>
      <c r="B320" s="697"/>
      <c r="C320" s="697"/>
      <c r="D320" s="697"/>
      <c r="E320" s="697"/>
      <c r="F320" s="697"/>
      <c r="G320" s="697"/>
      <c r="H320" s="697"/>
      <c r="I320" s="697"/>
      <c r="J320" s="697"/>
      <c r="K320" s="697"/>
      <c r="L320" s="697"/>
      <c r="M320" s="697"/>
      <c r="N320" s="697"/>
      <c r="O320" s="697"/>
      <c r="P320" s="697"/>
      <c r="Q320" s="697"/>
      <c r="R320" s="697"/>
      <c r="S320" s="697"/>
      <c r="T320" s="697"/>
      <c r="U320" s="697"/>
      <c r="V320" s="697">
        <f>IFERROR(__xludf.DUMMYFUNCTION("""COMPUTED_VALUE"""),320.0)</f>
        <v>320</v>
      </c>
    </row>
    <row r="321">
      <c r="A321" s="697"/>
      <c r="B321" s="697"/>
      <c r="C321" s="697"/>
      <c r="D321" s="697"/>
      <c r="E321" s="697"/>
      <c r="F321" s="697"/>
      <c r="G321" s="697"/>
      <c r="H321" s="697"/>
      <c r="I321" s="697"/>
      <c r="J321" s="697"/>
      <c r="K321" s="697"/>
      <c r="L321" s="697"/>
      <c r="M321" s="697"/>
      <c r="N321" s="697"/>
      <c r="O321" s="697"/>
      <c r="P321" s="697"/>
      <c r="Q321" s="697"/>
      <c r="R321" s="697"/>
      <c r="S321" s="697"/>
      <c r="T321" s="697"/>
      <c r="U321" s="697"/>
      <c r="V321" s="697">
        <f>IFERROR(__xludf.DUMMYFUNCTION("""COMPUTED_VALUE"""),321.0)</f>
        <v>321</v>
      </c>
    </row>
  </sheetData>
  <hyperlinks>
    <hyperlink r:id="rId1" ref="S2"/>
    <hyperlink r:id="rId2" ref="S3"/>
    <hyperlink r:id="rId3" ref="S4"/>
    <hyperlink r:id="rId4" ref="S5"/>
    <hyperlink r:id="rId5" ref="S6"/>
    <hyperlink r:id="rId6" ref="S7"/>
    <hyperlink r:id="rId7" ref="T7"/>
    <hyperlink r:id="rId8" ref="S8"/>
    <hyperlink r:id="rId9" ref="S9"/>
    <hyperlink r:id="rId10" ref="S10"/>
    <hyperlink r:id="rId11" ref="S11"/>
    <hyperlink r:id="rId12" ref="S12"/>
    <hyperlink r:id="rId13" ref="S13"/>
    <hyperlink r:id="rId14" ref="S14"/>
    <hyperlink r:id="rId15" ref="S15"/>
    <hyperlink r:id="rId16" ref="S16"/>
    <hyperlink r:id="rId17" ref="S17"/>
    <hyperlink r:id="rId18" ref="S18"/>
    <hyperlink r:id="rId19" ref="S19"/>
    <hyperlink r:id="rId20" ref="S20"/>
    <hyperlink r:id="rId21" ref="S21"/>
    <hyperlink r:id="rId22" ref="S22"/>
    <hyperlink r:id="rId23" ref="S23"/>
    <hyperlink r:id="rId24" ref="S24"/>
    <hyperlink r:id="rId25" ref="S25"/>
    <hyperlink r:id="rId26" ref="S26"/>
    <hyperlink r:id="rId27" ref="S27"/>
    <hyperlink r:id="rId28" ref="S28"/>
    <hyperlink r:id="rId29" ref="S29"/>
    <hyperlink r:id="rId30" ref="S30"/>
    <hyperlink r:id="rId31" ref="S31"/>
    <hyperlink r:id="rId32" ref="S32"/>
    <hyperlink r:id="rId33" ref="S33"/>
    <hyperlink r:id="rId34" ref="S34"/>
    <hyperlink r:id="rId35" ref="S35"/>
    <hyperlink r:id="rId36" ref="S36"/>
    <hyperlink r:id="rId37" ref="S37"/>
    <hyperlink r:id="rId38" ref="S38"/>
    <hyperlink r:id="rId39" ref="S39"/>
    <hyperlink r:id="rId40" ref="S40"/>
    <hyperlink r:id="rId41" ref="S41"/>
    <hyperlink r:id="rId42" ref="S42"/>
    <hyperlink r:id="rId43" ref="S43"/>
    <hyperlink r:id="rId44" ref="S44"/>
    <hyperlink r:id="rId45" ref="S45"/>
    <hyperlink r:id="rId46" ref="S46"/>
    <hyperlink r:id="rId47" ref="S47"/>
    <hyperlink r:id="rId48" ref="S48"/>
    <hyperlink r:id="rId49" ref="S49"/>
    <hyperlink r:id="rId50" ref="S50"/>
    <hyperlink r:id="rId51" ref="S51"/>
    <hyperlink r:id="rId52" ref="S52"/>
    <hyperlink r:id="rId53" ref="S53"/>
    <hyperlink r:id="rId54" ref="T53"/>
    <hyperlink r:id="rId55" ref="S54"/>
    <hyperlink r:id="rId56" ref="S55"/>
    <hyperlink r:id="rId57" ref="S56"/>
    <hyperlink r:id="rId58" ref="S57"/>
    <hyperlink r:id="rId59" ref="S58"/>
    <hyperlink r:id="rId60" ref="S59"/>
    <hyperlink r:id="rId61" ref="S60"/>
    <hyperlink r:id="rId62" ref="S61"/>
    <hyperlink r:id="rId63" ref="S62"/>
    <hyperlink r:id="rId64" ref="S63"/>
    <hyperlink r:id="rId65" ref="S64"/>
    <hyperlink r:id="rId66" ref="S65"/>
    <hyperlink r:id="rId67" ref="S66"/>
    <hyperlink r:id="rId68" ref="S67"/>
    <hyperlink r:id="rId69" ref="S68"/>
    <hyperlink r:id="rId70" ref="S69"/>
    <hyperlink r:id="rId71" ref="S70"/>
    <hyperlink r:id="rId72" ref="S71"/>
    <hyperlink r:id="rId73" ref="S72"/>
    <hyperlink r:id="rId74" ref="S73"/>
    <hyperlink r:id="rId75" ref="S74"/>
    <hyperlink r:id="rId76" ref="S75"/>
    <hyperlink r:id="rId77" ref="S76"/>
    <hyperlink r:id="rId78" ref="S77"/>
    <hyperlink r:id="rId79" ref="S78"/>
    <hyperlink r:id="rId80" ref="S79"/>
    <hyperlink r:id="rId81" ref="S80"/>
    <hyperlink r:id="rId82" ref="S81"/>
    <hyperlink r:id="rId83" ref="S82"/>
    <hyperlink r:id="rId84" ref="S83"/>
    <hyperlink r:id="rId85" ref="S84"/>
    <hyperlink r:id="rId86" ref="S85"/>
    <hyperlink r:id="rId87" ref="S86"/>
    <hyperlink r:id="rId88" ref="S87"/>
    <hyperlink r:id="rId89" ref="S88"/>
    <hyperlink r:id="rId90" ref="S89"/>
    <hyperlink r:id="rId91" ref="S90"/>
    <hyperlink r:id="rId92" ref="S91"/>
    <hyperlink r:id="rId93" ref="S92"/>
    <hyperlink r:id="rId94" ref="S93"/>
    <hyperlink r:id="rId95" ref="S94"/>
    <hyperlink r:id="rId96" ref="S95"/>
    <hyperlink r:id="rId97" ref="S96"/>
    <hyperlink r:id="rId98" ref="S97"/>
    <hyperlink r:id="rId99" ref="S98"/>
    <hyperlink r:id="rId100" ref="S99"/>
    <hyperlink r:id="rId101" ref="S100"/>
    <hyperlink r:id="rId102" ref="S101"/>
    <hyperlink r:id="rId103" ref="S102"/>
    <hyperlink r:id="rId104" ref="S103"/>
    <hyperlink r:id="rId105" ref="S104"/>
    <hyperlink r:id="rId106" ref="S105"/>
    <hyperlink r:id="rId107" ref="S106"/>
    <hyperlink r:id="rId108" ref="S107"/>
    <hyperlink r:id="rId109" ref="S108"/>
    <hyperlink r:id="rId110" ref="S109"/>
    <hyperlink r:id="rId111" ref="S110"/>
    <hyperlink r:id="rId112" ref="S111"/>
    <hyperlink r:id="rId113" ref="S112"/>
    <hyperlink r:id="rId114" ref="S113"/>
    <hyperlink r:id="rId115" ref="S114"/>
    <hyperlink r:id="rId116" ref="S115"/>
    <hyperlink r:id="rId117" ref="S116"/>
    <hyperlink r:id="rId118" ref="S117"/>
    <hyperlink r:id="rId119" ref="S118"/>
    <hyperlink r:id="rId120" ref="S119"/>
    <hyperlink r:id="rId121" ref="S120"/>
    <hyperlink r:id="rId122" ref="S121"/>
    <hyperlink r:id="rId123" ref="S122"/>
    <hyperlink r:id="rId124" ref="S123"/>
    <hyperlink r:id="rId125" ref="S124"/>
    <hyperlink r:id="rId126" ref="S125"/>
    <hyperlink r:id="rId127" ref="S126"/>
    <hyperlink r:id="rId128" ref="S127"/>
    <hyperlink r:id="rId129" ref="S128"/>
    <hyperlink r:id="rId130" ref="S129"/>
    <hyperlink r:id="rId131" ref="S130"/>
    <hyperlink r:id="rId132" ref="S131"/>
    <hyperlink r:id="rId133" ref="S132"/>
    <hyperlink r:id="rId134" ref="S133"/>
    <hyperlink r:id="rId135" ref="S134"/>
    <hyperlink r:id="rId136" ref="S135"/>
    <hyperlink r:id="rId137" ref="S136"/>
    <hyperlink r:id="rId138" ref="S137"/>
    <hyperlink r:id="rId139" ref="S138"/>
    <hyperlink r:id="rId140" ref="S139"/>
    <hyperlink r:id="rId141" ref="S140"/>
    <hyperlink r:id="rId142" ref="S141"/>
    <hyperlink r:id="rId143" ref="S142"/>
    <hyperlink r:id="rId144" ref="S143"/>
    <hyperlink r:id="rId145" ref="S144"/>
    <hyperlink r:id="rId146" ref="S145"/>
    <hyperlink r:id="rId147" ref="S146"/>
    <hyperlink r:id="rId148" ref="S147"/>
    <hyperlink r:id="rId149" ref="S148"/>
    <hyperlink r:id="rId150" ref="S149"/>
    <hyperlink r:id="rId151" ref="S150"/>
    <hyperlink r:id="rId152" ref="S151"/>
    <hyperlink r:id="rId153" ref="S152"/>
    <hyperlink r:id="rId154" ref="S153"/>
    <hyperlink r:id="rId155" ref="S154"/>
    <hyperlink r:id="rId156" ref="S155"/>
    <hyperlink r:id="rId157" ref="S156"/>
    <hyperlink r:id="rId158" ref="S157"/>
    <hyperlink r:id="rId159" ref="S160"/>
    <hyperlink r:id="rId160" ref="S161"/>
    <hyperlink r:id="rId161" ref="S162"/>
    <hyperlink r:id="rId162" ref="S163"/>
    <hyperlink r:id="rId163" ref="S164"/>
    <hyperlink r:id="rId164" ref="S165"/>
    <hyperlink r:id="rId165" ref="S166"/>
    <hyperlink r:id="rId166" ref="S168"/>
    <hyperlink r:id="rId167" ref="S169"/>
    <hyperlink r:id="rId168" ref="S170"/>
    <hyperlink r:id="rId169" ref="S171"/>
    <hyperlink r:id="rId170" ref="S172"/>
    <hyperlink r:id="rId171" ref="S173"/>
    <hyperlink r:id="rId172" ref="S174"/>
    <hyperlink r:id="rId173" ref="S175"/>
    <hyperlink r:id="rId174" ref="S176"/>
    <hyperlink r:id="rId175" ref="S177"/>
    <hyperlink r:id="rId176" ref="S178"/>
    <hyperlink r:id="rId177" ref="S179"/>
    <hyperlink r:id="rId178" ref="S180"/>
    <hyperlink r:id="rId179" ref="S181"/>
    <hyperlink r:id="rId180" ref="S182"/>
    <hyperlink r:id="rId181" ref="S183"/>
    <hyperlink r:id="rId182" ref="S184"/>
    <hyperlink r:id="rId183" ref="S185"/>
    <hyperlink r:id="rId184" ref="S186"/>
    <hyperlink r:id="rId185" ref="S187"/>
    <hyperlink r:id="rId186" ref="S188"/>
    <hyperlink r:id="rId187" ref="S189"/>
    <hyperlink r:id="rId188" ref="S190"/>
    <hyperlink r:id="rId189" ref="S191"/>
    <hyperlink r:id="rId190" ref="S193"/>
    <hyperlink r:id="rId191" ref="S194"/>
    <hyperlink r:id="rId192" ref="S195"/>
    <hyperlink r:id="rId193" ref="S196"/>
    <hyperlink r:id="rId194" ref="S197"/>
    <hyperlink r:id="rId195" ref="S198"/>
    <hyperlink r:id="rId196" ref="S199"/>
    <hyperlink r:id="rId197" ref="S200"/>
    <hyperlink r:id="rId198" ref="S201"/>
    <hyperlink r:id="rId199" ref="S202"/>
    <hyperlink r:id="rId200" ref="S203"/>
    <hyperlink r:id="rId201" ref="S204"/>
    <hyperlink r:id="rId202" ref="S205"/>
    <hyperlink r:id="rId203" ref="S206"/>
    <hyperlink r:id="rId204" ref="S207"/>
    <hyperlink r:id="rId205" ref="S208"/>
    <hyperlink r:id="rId206" ref="S210"/>
    <hyperlink r:id="rId207" ref="S211"/>
    <hyperlink r:id="rId208" ref="S212"/>
    <hyperlink r:id="rId209" ref="S213"/>
    <hyperlink r:id="rId210" ref="S214"/>
    <hyperlink r:id="rId211" ref="S215"/>
    <hyperlink r:id="rId212" ref="S216"/>
    <hyperlink r:id="rId213" ref="S217"/>
    <hyperlink r:id="rId214" ref="S218"/>
    <hyperlink r:id="rId215" ref="S219"/>
    <hyperlink r:id="rId216" ref="S222"/>
    <hyperlink r:id="rId217" ref="S223"/>
    <hyperlink r:id="rId218" ref="S224"/>
    <hyperlink r:id="rId219" ref="S225"/>
    <hyperlink r:id="rId220" ref="S226"/>
    <hyperlink r:id="rId221" ref="S227"/>
    <hyperlink r:id="rId222" ref="S228"/>
    <hyperlink r:id="rId223" ref="S229"/>
    <hyperlink r:id="rId224" ref="S230"/>
    <hyperlink r:id="rId225" ref="S231"/>
    <hyperlink r:id="rId226" ref="S232"/>
    <hyperlink r:id="rId227" ref="S233"/>
    <hyperlink r:id="rId228" ref="S234"/>
    <hyperlink r:id="rId229" ref="S235"/>
    <hyperlink r:id="rId230" ref="S236"/>
    <hyperlink r:id="rId231" ref="S237"/>
    <hyperlink r:id="rId232" ref="S238"/>
    <hyperlink r:id="rId233" ref="S239"/>
    <hyperlink r:id="rId234" ref="S240"/>
    <hyperlink r:id="rId235" ref="S241"/>
    <hyperlink r:id="rId236" ref="S242"/>
    <hyperlink r:id="rId237" ref="S243"/>
    <hyperlink r:id="rId238" ref="S244"/>
    <hyperlink r:id="rId239" ref="S245"/>
    <hyperlink r:id="rId240" ref="S246"/>
    <hyperlink r:id="rId241" ref="S247"/>
    <hyperlink r:id="rId242" ref="S248"/>
    <hyperlink r:id="rId243" ref="S249"/>
    <hyperlink r:id="rId244" ref="S250"/>
    <hyperlink r:id="rId245" ref="S251"/>
    <hyperlink r:id="rId246" ref="S252"/>
    <hyperlink r:id="rId247" ref="S253"/>
    <hyperlink r:id="rId248" ref="S254"/>
    <hyperlink r:id="rId249" ref="S255"/>
    <hyperlink r:id="rId250" ref="S256"/>
    <hyperlink r:id="rId251" ref="S257"/>
    <hyperlink r:id="rId252" ref="S258"/>
    <hyperlink r:id="rId253" ref="S259"/>
    <hyperlink r:id="rId254" ref="S260"/>
    <hyperlink r:id="rId255" ref="S262"/>
    <hyperlink r:id="rId256" ref="S263"/>
    <hyperlink r:id="rId257" ref="S264"/>
    <hyperlink r:id="rId258" ref="A265"/>
    <hyperlink r:id="rId259" ref="R265"/>
    <hyperlink r:id="rId260" ref="A266"/>
    <hyperlink r:id="rId261" ref="R266"/>
    <hyperlink r:id="rId262" ref="A267"/>
    <hyperlink r:id="rId263" ref="R267"/>
    <hyperlink r:id="rId264" ref="A268"/>
    <hyperlink r:id="rId265" ref="R268"/>
    <hyperlink r:id="rId266" ref="A269"/>
    <hyperlink r:id="rId267" ref="R269"/>
    <hyperlink r:id="rId268" ref="A270"/>
    <hyperlink r:id="rId269" ref="R270"/>
    <hyperlink r:id="rId270" ref="A271"/>
    <hyperlink r:id="rId271" ref="R271"/>
    <hyperlink r:id="rId272" ref="A272"/>
    <hyperlink r:id="rId273" ref="R272"/>
    <hyperlink r:id="rId274" ref="A273"/>
    <hyperlink r:id="rId275" ref="R273"/>
    <hyperlink r:id="rId276" ref="A274"/>
    <hyperlink r:id="rId277" ref="R274"/>
    <hyperlink r:id="rId278" ref="A275"/>
    <hyperlink r:id="rId279" ref="R275"/>
    <hyperlink r:id="rId280" ref="A276"/>
    <hyperlink r:id="rId281" ref="R276"/>
    <hyperlink r:id="rId282" ref="A277"/>
    <hyperlink r:id="rId283" ref="R277"/>
    <hyperlink r:id="rId284" ref="A278"/>
    <hyperlink r:id="rId285" ref="R278"/>
    <hyperlink r:id="rId286" ref="A279"/>
    <hyperlink r:id="rId287" ref="R279"/>
    <hyperlink r:id="rId288" ref="A280"/>
    <hyperlink r:id="rId289" ref="R280"/>
    <hyperlink r:id="rId290" ref="A281"/>
    <hyperlink r:id="rId291" ref="R281"/>
    <hyperlink r:id="rId292" ref="A282"/>
    <hyperlink r:id="rId293" ref="R282"/>
    <hyperlink r:id="rId294" ref="A283"/>
    <hyperlink r:id="rId295" ref="R283"/>
    <hyperlink r:id="rId296" ref="A284"/>
    <hyperlink r:id="rId297" ref="R284"/>
    <hyperlink r:id="rId298" ref="A285"/>
    <hyperlink r:id="rId299" ref="R285"/>
    <hyperlink r:id="rId300" ref="A286"/>
    <hyperlink r:id="rId301" ref="R286"/>
    <hyperlink r:id="rId302" ref="T289"/>
    <hyperlink r:id="rId303" ref="T290"/>
    <hyperlink r:id="rId304" ref="T291"/>
    <hyperlink r:id="rId305" ref="T292"/>
    <hyperlink r:id="rId306" ref="T293"/>
    <hyperlink r:id="rId307" ref="T294"/>
    <hyperlink r:id="rId308" ref="T295"/>
  </hyperlinks>
  <drawing r:id="rId309"/>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9.38"/>
    <col hidden="1" min="9" max="9" width="12.63"/>
    <col hidden="1" min="11" max="16" width="12.63"/>
    <col hidden="1" min="24" max="26" width="12.63"/>
  </cols>
  <sheetData>
    <row r="1">
      <c r="A1" s="697" t="str">
        <f>IFERROR(__xludf.DUMMYFUNCTION("IMPORTRANGE(""https://docs.google.com/spreadsheets/d/1D9OgdTkluSwL5P5smIpS0uEabdw5uhBh8oEZuqf1Okk/edit#gid=0"",""All Data!A1:AA500"")"),"")</f>
        <v/>
      </c>
      <c r="B1" s="707" t="str">
        <f>IFERROR(__xludf.DUMMYFUNCTION("""COMPUTED_VALUE"""),"Added by")</f>
        <v>Added by</v>
      </c>
      <c r="C1" s="707" t="str">
        <f>IFERROR(__xludf.DUMMYFUNCTION("""COMPUTED_VALUE"""),"Checked by")</f>
        <v>Checked by</v>
      </c>
      <c r="D1" s="707" t="str">
        <f>IFERROR(__xludf.DUMMYFUNCTION("""COMPUTED_VALUE"""),"Country")</f>
        <v>Country</v>
      </c>
      <c r="E1" s="707" t="str">
        <f>IFERROR(__xludf.DUMMYFUNCTION("""COMPUTED_VALUE"""),"Type of LF")</f>
        <v>Type of LF</v>
      </c>
      <c r="F1" s="707" t="str">
        <f>IFERROR(__xludf.DUMMYFUNCTION("""COMPUTED_VALUE"""),"Drug")</f>
        <v>Drug</v>
      </c>
      <c r="G1" s="707" t="str">
        <f>IFERROR(__xludf.DUMMYFUNCTION("""COMPUTED_VALUE"""),"Single Dosage")</f>
        <v>Single Dosage</v>
      </c>
      <c r="H1" s="707" t="str">
        <f>IFERROR(__xludf.DUMMYFUNCTION("""COMPUTED_VALUE"""),"Number of Dosages (Days)")</f>
        <v>Number of Dosages (Days)</v>
      </c>
      <c r="I1" s="708" t="str">
        <f>IFERROR(__xludf.DUMMYFUNCTION("""COMPUTED_VALUE"""),"% Reduction in mf")</f>
        <v>% Reduction in mf</v>
      </c>
      <c r="J1" s="708" t="str">
        <f>IFERROR(__xludf.DUMMYFUNCTION("""COMPUTED_VALUE"""),"Cure rate")</f>
        <v>Cure rate</v>
      </c>
      <c r="K1" s="707" t="str">
        <f>IFERROR(__xludf.DUMMYFUNCTION("""COMPUTED_VALUE"""),"Egg Reduction Rate")</f>
        <v>Egg Reduction Rate</v>
      </c>
      <c r="L1" s="707" t="str">
        <f>IFERROR(__xludf.DUMMYFUNCTION("""COMPUTED_VALUE"""),"Sample Size")</f>
        <v>Sample Size</v>
      </c>
      <c r="M1" s="709" t="str">
        <f>IFERROR(__xludf.DUMMYFUNCTION("""COMPUTED_VALUE"""),"Age")</f>
        <v>Age</v>
      </c>
      <c r="N1" s="710" t="str">
        <f>IFERROR(__xludf.DUMMYFUNCTION("""COMPUTED_VALUE"""),"Sex (F:M)")</f>
        <v>Sex (F:M)</v>
      </c>
      <c r="O1" s="707" t="str">
        <f>IFERROR(__xludf.DUMMYFUNCTION("""COMPUTED_VALUE"""),"Inclusion Criteria")</f>
        <v>Inclusion Criteria</v>
      </c>
      <c r="P1" s="711" t="str">
        <f>IFERROR(__xludf.DUMMYFUNCTION("""COMPUTED_VALUE"""),"Study Type")</f>
        <v>Study Type</v>
      </c>
      <c r="Q1" s="707" t="str">
        <f>IFERROR(__xludf.DUMMYFUNCTION("""COMPUTED_VALUE"""),"Blind/Double Blind")</f>
        <v>Blind/Double Blind</v>
      </c>
      <c r="R1" s="712" t="str">
        <f>IFERROR(__xludf.DUMMYFUNCTION("""COMPUTED_VALUE"""),"Randomization")</f>
        <v>Randomization</v>
      </c>
      <c r="S1" s="707" t="str">
        <f>IFERROR(__xludf.DUMMYFUNCTION("""COMPUTED_VALUE"""),"Endpoint")</f>
        <v>Endpoint</v>
      </c>
      <c r="T1" s="707" t="str">
        <f>IFERROR(__xludf.DUMMYFUNCTION("""COMPUTED_VALUE"""),"Conclusion ")</f>
        <v>Conclusion </v>
      </c>
      <c r="U1" s="707" t="str">
        <f>IFERROR(__xludf.DUMMYFUNCTION("""COMPUTED_VALUE"""),"Notes")</f>
        <v>Notes</v>
      </c>
      <c r="V1" s="713" t="str">
        <f>IFERROR(__xludf.DUMMYFUNCTION("""COMPUTED_VALUE"""),"Year")</f>
        <v>Year</v>
      </c>
      <c r="W1" s="714" t="str">
        <f>IFERROR(__xludf.DUMMYFUNCTION("""COMPUTED_VALUE"""),"Endyear")</f>
        <v>Endyear</v>
      </c>
      <c r="X1" s="715" t="str">
        <f>IFERROR(__xludf.DUMMYFUNCTION("""COMPUTED_VALUE"""),"Reference")</f>
        <v>Reference</v>
      </c>
      <c r="Y1" s="715" t="str">
        <f>IFERROR(__xludf.DUMMYFUNCTION("""COMPUTED_VALUE"""),"DOI")</f>
        <v>DOI</v>
      </c>
      <c r="Z1" s="716" t="str">
        <f>IFERROR(__xludf.DUMMYFUNCTION("""COMPUTED_VALUE"""),"URL")</f>
        <v>URL</v>
      </c>
      <c r="AA1" s="716" t="str">
        <f>IFERROR(__xludf.DUMMYFUNCTION("""COMPUTED_VALUE"""),"x=exclusion")</f>
        <v>x=exclusion</v>
      </c>
      <c r="AB1" s="716"/>
    </row>
    <row r="2">
      <c r="A2" s="717" t="str">
        <f>IFERROR(__xludf.DUMMYFUNCTION("""COMPUTED_VALUE"""),"Addiss DG, 1997")</f>
        <v>Addiss DG, 1997</v>
      </c>
      <c r="B2" s="40"/>
      <c r="C2" s="718" t="str">
        <f>IFERROR(__xludf.DUMMYFUNCTION("""COMPUTED_VALUE"""),"Alex ")</f>
        <v>Alex </v>
      </c>
      <c r="D2" s="718" t="str">
        <f>IFERROR(__xludf.DUMMYFUNCTION("""COMPUTED_VALUE"""),"Haiti")</f>
        <v>Haiti</v>
      </c>
      <c r="E2" s="719" t="str">
        <f>IFERROR(__xludf.DUMMYFUNCTION("""COMPUTED_VALUE"""),"W. bancrofti")</f>
        <v>W. bancrofti</v>
      </c>
      <c r="F2" s="718" t="str">
        <f>IFERROR(__xludf.DUMMYFUNCTION("""COMPUTED_VALUE"""),"Placebo")</f>
        <v>Placebo</v>
      </c>
      <c r="G2" s="718" t="str">
        <f>IFERROR(__xludf.DUMMYFUNCTION("""COMPUTED_VALUE"""),"-")</f>
        <v>-</v>
      </c>
      <c r="H2" s="40"/>
      <c r="I2" s="720">
        <f>IFERROR(__xludf.DUMMYFUNCTION("""COMPUTED_VALUE"""),0.172)</f>
        <v>0.172</v>
      </c>
      <c r="J2" s="720">
        <f>IFERROR(__xludf.DUMMYFUNCTION("""COMPUTED_VALUE"""),0.31)</f>
        <v>0.31</v>
      </c>
      <c r="K2" s="40"/>
      <c r="L2" s="718">
        <f>IFERROR(__xludf.DUMMYFUNCTION("""COMPUTED_VALUE"""),29.0)</f>
        <v>29</v>
      </c>
      <c r="M2" s="721" t="str">
        <f>IFERROR(__xludf.DUMMYFUNCTION("""COMPUTED_VALUE"""),"5 to 11")</f>
        <v>5 to 11</v>
      </c>
      <c r="N2" s="722">
        <f>IFERROR(__xludf.DUMMYFUNCTION("""COMPUTED_VALUE"""),0.6347222222222222)</f>
        <v>0.6347222222</v>
      </c>
      <c r="O2" s="718" t="str">
        <f>IFERROR(__xludf.DUMMYFUNCTION("""COMPUTED_VALUE"""),"Children attending any of the 5 primary schools in Leogane with Wuchereria bancrofti filariasis")</f>
        <v>Children attending any of the 5 primary schools in Leogane with Wuchereria bancrofti filariasis</v>
      </c>
      <c r="P2" s="723" t="str">
        <f>IFERROR(__xludf.DUMMYFUNCTION("""COMPUTED_VALUE"""),"double-blind, RCT")</f>
        <v>double-blind, RCT</v>
      </c>
      <c r="Q2" s="718" t="str">
        <f>IFERROR(__xludf.DUMMYFUNCTION("""COMPUTED_VALUE"""),"Yes")</f>
        <v>Yes</v>
      </c>
      <c r="R2" s="718" t="str">
        <f>IFERROR(__xludf.DUMMYFUNCTION("""COMPUTED_VALUE"""),"Yes")</f>
        <v>Yes</v>
      </c>
      <c r="S2" s="718" t="str">
        <f>IFERROR(__xludf.DUMMYFUNCTION("""COMPUTED_VALUE"""),"4 months")</f>
        <v>4 months</v>
      </c>
      <c r="T2" s="718" t="str">
        <f>IFERROR(__xludf.DUMMYFUNCTION("""COMPUTED_VALUE"""),"combined treatment with ivermectin and albendazole was more effective than treatment with ivermectin only, with no measurable increase in severity of adverse reactions.")</f>
        <v>combined treatment with ivermectin and albendazole was more effective than treatment with ivermectin only, with no measurable increase in severity of adverse reactions.</v>
      </c>
      <c r="U2" s="718" t="str">
        <f>IFERROR(__xludf.DUMMYFUNCTION("""COMPUTED_VALUE"""),"geometric mean intensity values used. 3 lost to follow up, ""code [for allocation] was broken at the end of the second follow-up"" ""clinician who was unaware of treatment-group status... examined them for adverse reactions""")</f>
        <v>geometric mean intensity values used. 3 lost to follow up, "code [for allocation] was broken at the end of the second follow-up" "clinician who was unaware of treatment-group status... examined them for adverse reactions"</v>
      </c>
      <c r="V2" s="724">
        <f>IFERROR(__xludf.DUMMYFUNCTION("""COMPUTED_VALUE"""),1997.0)</f>
        <v>1997</v>
      </c>
      <c r="W2" s="724">
        <f>IFERROR(__xludf.DUMMYFUNCTION("""COMPUTED_VALUE"""),1997.0)</f>
        <v>1997</v>
      </c>
      <c r="X2" s="725" t="str">
        <f>IFERROR(__xludf.DUMMYFUNCTION("""COMPUTED_VALUE"""),"Addiss DG, Beach MJ, Streit TG, Lutwick S, LeConte FH, Lafontant JG, et al.Randomised placebo-controlled comparison of ivermectin and albendazole alone and in combination for Wuchereria bancrofti microfilaraemia in Haitian children. Lancet 1997;350(9076):"&amp;"480–4.")</f>
        <v>Addiss DG, Beach MJ, Streit TG, Lutwick S, LeConte FH, Lafontant JG, et al.Randomised placebo-controlled comparison of ivermectin and albendazole alone and in combination for Wuchereria bancrofti microfilaraemia in Haitian children. Lancet 1997;350(9076):480–4.</v>
      </c>
      <c r="Y2" s="726" t="str">
        <f>IFERROR(__xludf.DUMMYFUNCTION("""COMPUTED_VALUE"""),"10.1016/S0140-6736(97)02231-9")</f>
        <v>10.1016/S0140-6736(97)02231-9</v>
      </c>
      <c r="Z2" s="727" t="str">
        <f>IFERROR(__xludf.DUMMYFUNCTION("""COMPUTED_VALUE"""),"https://drive.google.com/file/d/0B9vYgR7NsKoYV3BYeWVzTDZvcGc/view?usp=sharing")</f>
        <v>https://drive.google.com/file/d/0B9vYgR7NsKoYV3BYeWVzTDZvcGc/view?usp=sharing</v>
      </c>
      <c r="AA2" s="40"/>
      <c r="AB2" s="40"/>
    </row>
    <row r="3">
      <c r="A3" s="717" t="str">
        <f>IFERROR(__xludf.DUMMYFUNCTION("""COMPUTED_VALUE"""),"Addiss DG, 1997")</f>
        <v>Addiss DG, 1997</v>
      </c>
      <c r="B3" s="40"/>
      <c r="C3" s="718" t="str">
        <f>IFERROR(__xludf.DUMMYFUNCTION("""COMPUTED_VALUE"""),"Alex ")</f>
        <v>Alex </v>
      </c>
      <c r="D3" s="718" t="str">
        <f>IFERROR(__xludf.DUMMYFUNCTION("""COMPUTED_VALUE"""),"Haiti")</f>
        <v>Haiti</v>
      </c>
      <c r="E3" s="719" t="str">
        <f>IFERROR(__xludf.DUMMYFUNCTION("""COMPUTED_VALUE"""),"W. bancrofti")</f>
        <v>W. bancrofti</v>
      </c>
      <c r="F3" s="718" t="str">
        <f>IFERROR(__xludf.DUMMYFUNCTION("""COMPUTED_VALUE"""),"Ivermectin")</f>
        <v>Ivermectin</v>
      </c>
      <c r="G3" s="718" t="str">
        <f>IFERROR(__xludf.DUMMYFUNCTION("""COMPUTED_VALUE"""),".2-.4mg/kg")</f>
        <v>.2-.4mg/kg</v>
      </c>
      <c r="H3" s="718">
        <f>IFERROR(__xludf.DUMMYFUNCTION("""COMPUTED_VALUE"""),1.0)</f>
        <v>1</v>
      </c>
      <c r="I3" s="720">
        <f>IFERROR(__xludf.DUMMYFUNCTION("""COMPUTED_VALUE"""),0.761)</f>
        <v>0.761</v>
      </c>
      <c r="J3" s="720">
        <f>IFERROR(__xludf.DUMMYFUNCTION("""COMPUTED_VALUE"""),0.392)</f>
        <v>0.392</v>
      </c>
      <c r="K3" s="40"/>
      <c r="L3" s="718">
        <f>IFERROR(__xludf.DUMMYFUNCTION("""COMPUTED_VALUE"""),28.0)</f>
        <v>28</v>
      </c>
      <c r="M3" s="721" t="str">
        <f>IFERROR(__xludf.DUMMYFUNCTION("""COMPUTED_VALUE"""),"6 to 11")</f>
        <v>6 to 11</v>
      </c>
      <c r="N3" s="722">
        <f>IFERROR(__xludf.DUMMYFUNCTION("""COMPUTED_VALUE"""),0.5930555555555556)</f>
        <v>0.5930555556</v>
      </c>
      <c r="O3" s="718" t="str">
        <f>IFERROR(__xludf.DUMMYFUNCTION("""COMPUTED_VALUE"""),"Children attending any of the 5 primary schools in Leogane with Wuchereria bancrofti filariasis")</f>
        <v>Children attending any of the 5 primary schools in Leogane with Wuchereria bancrofti filariasis</v>
      </c>
      <c r="P3" s="723" t="str">
        <f>IFERROR(__xludf.DUMMYFUNCTION("""COMPUTED_VALUE"""),"double-blind, RCT")</f>
        <v>double-blind, RCT</v>
      </c>
      <c r="Q3" s="718" t="str">
        <f>IFERROR(__xludf.DUMMYFUNCTION("""COMPUTED_VALUE"""),"Yes")</f>
        <v>Yes</v>
      </c>
      <c r="R3" s="718" t="str">
        <f>IFERROR(__xludf.DUMMYFUNCTION("""COMPUTED_VALUE"""),"Yes")</f>
        <v>Yes</v>
      </c>
      <c r="S3" s="718" t="str">
        <f>IFERROR(__xludf.DUMMYFUNCTION("""COMPUTED_VALUE"""),"4 months")</f>
        <v>4 months</v>
      </c>
      <c r="T3" s="718" t="str">
        <f>IFERROR(__xludf.DUMMYFUNCTION("""COMPUTED_VALUE"""),"combined treatment with ivermectin and albendazole was more effective than treatment with ivermectin only, with no measurable increase in severity of adverse reactions.")</f>
        <v>combined treatment with ivermectin and albendazole was more effective than treatment with ivermectin only, with no measurable increase in severity of adverse reactions.</v>
      </c>
      <c r="U3" s="718" t="str">
        <f>IFERROR(__xludf.DUMMYFUNCTION("""COMPUTED_VALUE"""),"geometric mean intensity values used. 3 lost to follow up, ""code [for allocation] was broken at the end of the second follow-up"" ""clinician who was unaware of treatment-group status... examined them for adverse reactions""")</f>
        <v>geometric mean intensity values used. 3 lost to follow up, "code [for allocation] was broken at the end of the second follow-up" "clinician who was unaware of treatment-group status... examined them for adverse reactions"</v>
      </c>
      <c r="V3" s="724">
        <f>IFERROR(__xludf.DUMMYFUNCTION("""COMPUTED_VALUE"""),1997.0)</f>
        <v>1997</v>
      </c>
      <c r="W3" s="724">
        <f>IFERROR(__xludf.DUMMYFUNCTION("""COMPUTED_VALUE"""),1997.0)</f>
        <v>1997</v>
      </c>
      <c r="X3" s="718" t="str">
        <f>IFERROR(__xludf.DUMMYFUNCTION("""COMPUTED_VALUE"""),"Addiss DG, Beach MJ, Streit TG, Lutwick S, LeConte FH, Lafontant JG, et al.Randomised placebo-controlled comparison of ivermectin and albendazole alone and in combination for Wuchereria bancrofti microfilaraemia in Haitian children. Lancet 1997;350(9076):"&amp;"480–4.")</f>
        <v>Addiss DG, Beach MJ, Streit TG, Lutwick S, LeConte FH, Lafontant JG, et al.Randomised placebo-controlled comparison of ivermectin and albendazole alone and in combination for Wuchereria bancrofti microfilaraemia in Haitian children. Lancet 1997;350(9076):480–4.</v>
      </c>
      <c r="Y3" s="726" t="str">
        <f>IFERROR(__xludf.DUMMYFUNCTION("""COMPUTED_VALUE"""),"10.1016/S0140-6736(97)02231-9")</f>
        <v>10.1016/S0140-6736(97)02231-9</v>
      </c>
      <c r="Z3" s="727" t="str">
        <f>IFERROR(__xludf.DUMMYFUNCTION("""COMPUTED_VALUE"""),"https://drive.google.com/file/d/0B9vYgR7NsKoYV3BYeWVzTDZvcGc/view?usp=sharing")</f>
        <v>https://drive.google.com/file/d/0B9vYgR7NsKoYV3BYeWVzTDZvcGc/view?usp=sharing</v>
      </c>
      <c r="AA3" s="40"/>
      <c r="AB3" s="40"/>
    </row>
    <row r="4">
      <c r="A4" s="717" t="str">
        <f>IFERROR(__xludf.DUMMYFUNCTION("""COMPUTED_VALUE"""),"Addiss DG, 1997")</f>
        <v>Addiss DG, 1997</v>
      </c>
      <c r="B4" s="40"/>
      <c r="C4" s="718" t="str">
        <f>IFERROR(__xludf.DUMMYFUNCTION("""COMPUTED_VALUE"""),"Alex ")</f>
        <v>Alex </v>
      </c>
      <c r="D4" s="718" t="str">
        <f>IFERROR(__xludf.DUMMYFUNCTION("""COMPUTED_VALUE"""),"Haiti")</f>
        <v>Haiti</v>
      </c>
      <c r="E4" s="719" t="str">
        <f>IFERROR(__xludf.DUMMYFUNCTION("""COMPUTED_VALUE"""),"W. bancrofti")</f>
        <v>W. bancrofti</v>
      </c>
      <c r="F4" s="718" t="str">
        <f>IFERROR(__xludf.DUMMYFUNCTION("""COMPUTED_VALUE"""),"Albendazole")</f>
        <v>Albendazole</v>
      </c>
      <c r="G4" s="718" t="str">
        <f>IFERROR(__xludf.DUMMYFUNCTION("""COMPUTED_VALUE"""),"400 mg/kg")</f>
        <v>400 mg/kg</v>
      </c>
      <c r="H4" s="718">
        <f>IFERROR(__xludf.DUMMYFUNCTION("""COMPUTED_VALUE"""),1.0)</f>
        <v>1</v>
      </c>
      <c r="I4" s="720">
        <f>IFERROR(__xludf.DUMMYFUNCTION("""COMPUTED_VALUE"""),0.287)</f>
        <v>0.287</v>
      </c>
      <c r="J4" s="720">
        <f>IFERROR(__xludf.DUMMYFUNCTION("""COMPUTED_VALUE"""),0.241)</f>
        <v>0.241</v>
      </c>
      <c r="K4" s="40"/>
      <c r="L4" s="718">
        <f>IFERROR(__xludf.DUMMYFUNCTION("""COMPUTED_VALUE"""),29.0)</f>
        <v>29</v>
      </c>
      <c r="M4" s="721" t="str">
        <f>IFERROR(__xludf.DUMMYFUNCTION("""COMPUTED_VALUE"""),"7 to 11")</f>
        <v>7 to 11</v>
      </c>
      <c r="N4" s="722">
        <f>IFERROR(__xludf.DUMMYFUNCTION("""COMPUTED_VALUE"""),0.4708333333333333)</f>
        <v>0.4708333333</v>
      </c>
      <c r="O4" s="718" t="str">
        <f>IFERROR(__xludf.DUMMYFUNCTION("""COMPUTED_VALUE"""),"Children attending any of the 5 primary schools in Leogane with Wuchereria bancrofti filariasis")</f>
        <v>Children attending any of the 5 primary schools in Leogane with Wuchereria bancrofti filariasis</v>
      </c>
      <c r="P4" s="723" t="str">
        <f>IFERROR(__xludf.DUMMYFUNCTION("""COMPUTED_VALUE"""),"double-blind, RCT")</f>
        <v>double-blind, RCT</v>
      </c>
      <c r="Q4" s="718" t="str">
        <f>IFERROR(__xludf.DUMMYFUNCTION("""COMPUTED_VALUE"""),"Yes")</f>
        <v>Yes</v>
      </c>
      <c r="R4" s="718" t="str">
        <f>IFERROR(__xludf.DUMMYFUNCTION("""COMPUTED_VALUE"""),"Yes")</f>
        <v>Yes</v>
      </c>
      <c r="S4" s="718" t="str">
        <f>IFERROR(__xludf.DUMMYFUNCTION("""COMPUTED_VALUE"""),"4 months")</f>
        <v>4 months</v>
      </c>
      <c r="T4" s="718" t="str">
        <f>IFERROR(__xludf.DUMMYFUNCTION("""COMPUTED_VALUE"""),"combined treatment with ivermectin and albendazole was more effective than treatment with ivermectin only, with no measurable increase in severity of adverse reactions.")</f>
        <v>combined treatment with ivermectin and albendazole was more effective than treatment with ivermectin only, with no measurable increase in severity of adverse reactions.</v>
      </c>
      <c r="U4" s="718" t="str">
        <f>IFERROR(__xludf.DUMMYFUNCTION("""COMPUTED_VALUE"""),"geometric mean intensity values used. 3 lost to follow up, ""code [for allocation] was broken at the end of the second follow-up"" ""clinician who was unaware of treatment-group status... examined them for adverse reactions""")</f>
        <v>geometric mean intensity values used. 3 lost to follow up, "code [for allocation] was broken at the end of the second follow-up" "clinician who was unaware of treatment-group status... examined them for adverse reactions"</v>
      </c>
      <c r="V4" s="724">
        <f>IFERROR(__xludf.DUMMYFUNCTION("""COMPUTED_VALUE"""),1997.0)</f>
        <v>1997</v>
      </c>
      <c r="W4" s="724">
        <f>IFERROR(__xludf.DUMMYFUNCTION("""COMPUTED_VALUE"""),1997.0)</f>
        <v>1997</v>
      </c>
      <c r="X4" s="718" t="str">
        <f>IFERROR(__xludf.DUMMYFUNCTION("""COMPUTED_VALUE"""),"Addiss DG, Beach MJ, Streit TG, Lutwick S, LeConte FH, Lafontant JG, et al.Randomised placebo-controlled comparison of ivermectin and albendazole alone and in combination for Wuchereria bancrofti microfilaraemia in Haitian children. Lancet 1997;350(9076):"&amp;"480–4.")</f>
        <v>Addiss DG, Beach MJ, Streit TG, Lutwick S, LeConte FH, Lafontant JG, et al.Randomised placebo-controlled comparison of ivermectin and albendazole alone and in combination for Wuchereria bancrofti microfilaraemia in Haitian children. Lancet 1997;350(9076):480–4.</v>
      </c>
      <c r="Y4" s="726" t="str">
        <f>IFERROR(__xludf.DUMMYFUNCTION("""COMPUTED_VALUE"""),"10.1016/S0140-6736(97)02231-9")</f>
        <v>10.1016/S0140-6736(97)02231-9</v>
      </c>
      <c r="Z4" s="727" t="str">
        <f>IFERROR(__xludf.DUMMYFUNCTION("""COMPUTED_VALUE"""),"https://drive.google.com/file/d/0B9vYgR7NsKoYV3BYeWVzTDZvcGc/view?usp=sharing")</f>
        <v>https://drive.google.com/file/d/0B9vYgR7NsKoYV3BYeWVzTDZvcGc/view?usp=sharing</v>
      </c>
      <c r="AA4" s="40"/>
      <c r="AB4" s="40"/>
    </row>
    <row r="5">
      <c r="A5" s="717" t="str">
        <f>IFERROR(__xludf.DUMMYFUNCTION("""COMPUTED_VALUE"""),"Addiss DG, 1997")</f>
        <v>Addiss DG, 1997</v>
      </c>
      <c r="B5" s="40"/>
      <c r="C5" s="718" t="str">
        <f>IFERROR(__xludf.DUMMYFUNCTION("""COMPUTED_VALUE"""),"Alex ")</f>
        <v>Alex </v>
      </c>
      <c r="D5" s="718" t="str">
        <f>IFERROR(__xludf.DUMMYFUNCTION("""COMPUTED_VALUE"""),"Haiti")</f>
        <v>Haiti</v>
      </c>
      <c r="E5" s="719" t="str">
        <f>IFERROR(__xludf.DUMMYFUNCTION("""COMPUTED_VALUE"""),"W. bancrofti")</f>
        <v>W. bancrofti</v>
      </c>
      <c r="F5" s="718" t="str">
        <f>IFERROR(__xludf.DUMMYFUNCTION("""COMPUTED_VALUE"""),"Albendazole &amp; Ivermectin")</f>
        <v>Albendazole &amp; Ivermectin</v>
      </c>
      <c r="G5" s="718" t="str">
        <f>IFERROR(__xludf.DUMMYFUNCTION("""COMPUTED_VALUE"""),"200 mg  + .15 mg/kg")</f>
        <v>200 mg  + .15 mg/kg</v>
      </c>
      <c r="H5" s="718">
        <f>IFERROR(__xludf.DUMMYFUNCTION("""COMPUTED_VALUE"""),1.0)</f>
        <v>1</v>
      </c>
      <c r="I5" s="720">
        <f>IFERROR(__xludf.DUMMYFUNCTION("""COMPUTED_VALUE"""),0.989)</f>
        <v>0.989</v>
      </c>
      <c r="J5" s="720">
        <f>IFERROR(__xludf.DUMMYFUNCTION("""COMPUTED_VALUE"""),0.833)</f>
        <v>0.833</v>
      </c>
      <c r="K5" s="40"/>
      <c r="L5" s="718">
        <f>IFERROR(__xludf.DUMMYFUNCTION("""COMPUTED_VALUE"""),24.0)</f>
        <v>24</v>
      </c>
      <c r="M5" s="721" t="str">
        <f>IFERROR(__xludf.DUMMYFUNCTION("""COMPUTED_VALUE"""),"8 to 11")</f>
        <v>8 to 11</v>
      </c>
      <c r="N5" s="722">
        <f>IFERROR(__xludf.DUMMYFUNCTION("""COMPUTED_VALUE"""),0.5083333333333333)</f>
        <v>0.5083333333</v>
      </c>
      <c r="O5" s="718" t="str">
        <f>IFERROR(__xludf.DUMMYFUNCTION("""COMPUTED_VALUE"""),"Children attending any of the 5 primary schools in Leogane with Wuchereria bancrofti filariasis")</f>
        <v>Children attending any of the 5 primary schools in Leogane with Wuchereria bancrofti filariasis</v>
      </c>
      <c r="P5" s="723" t="str">
        <f>IFERROR(__xludf.DUMMYFUNCTION("""COMPUTED_VALUE"""),"double-blind, RCT")</f>
        <v>double-blind, RCT</v>
      </c>
      <c r="Q5" s="718" t="str">
        <f>IFERROR(__xludf.DUMMYFUNCTION("""COMPUTED_VALUE"""),"Yes")</f>
        <v>Yes</v>
      </c>
      <c r="R5" s="718" t="str">
        <f>IFERROR(__xludf.DUMMYFUNCTION("""COMPUTED_VALUE"""),"Yes")</f>
        <v>Yes</v>
      </c>
      <c r="S5" s="718" t="str">
        <f>IFERROR(__xludf.DUMMYFUNCTION("""COMPUTED_VALUE"""),"4 months")</f>
        <v>4 months</v>
      </c>
      <c r="T5" s="718" t="str">
        <f>IFERROR(__xludf.DUMMYFUNCTION("""COMPUTED_VALUE"""),"combined treatment with ivermectin and albendazole was more effective than treatment with ivermectin only, with no measurable increase in severity of adverse reactions.")</f>
        <v>combined treatment with ivermectin and albendazole was more effective than treatment with ivermectin only, with no measurable increase in severity of adverse reactions.</v>
      </c>
      <c r="U5" s="718" t="str">
        <f>IFERROR(__xludf.DUMMYFUNCTION("""COMPUTED_VALUE"""),"geometric mean intensity values used. 3 lost to follow up, ""code [for allocation] was broken at the end of the second follow-up"" ""clinician who was unaware of treatment-group status... examined them for adverse reactions""")</f>
        <v>geometric mean intensity values used. 3 lost to follow up, "code [for allocation] was broken at the end of the second follow-up" "clinician who was unaware of treatment-group status... examined them for adverse reactions"</v>
      </c>
      <c r="V5" s="724">
        <f>IFERROR(__xludf.DUMMYFUNCTION("""COMPUTED_VALUE"""),1997.0)</f>
        <v>1997</v>
      </c>
      <c r="W5" s="724">
        <f>IFERROR(__xludf.DUMMYFUNCTION("""COMPUTED_VALUE"""),1997.0)</f>
        <v>1997</v>
      </c>
      <c r="X5" s="718" t="str">
        <f>IFERROR(__xludf.DUMMYFUNCTION("""COMPUTED_VALUE"""),"Addiss DG, Beach MJ, Streit TG, Lutwick S, LeConte FH, Lafontant JG, et al.Randomised placebo-controlled comparison of ivermectin and albendazole alone and in combination for Wuchereria bancrofti microfilaraemia in Haitian children. Lancet 1997;350(9076):"&amp;"480–4.")</f>
        <v>Addiss DG, Beach MJ, Streit TG, Lutwick S, LeConte FH, Lafontant JG, et al.Randomised placebo-controlled comparison of ivermectin and albendazole alone and in combination for Wuchereria bancrofti microfilaraemia in Haitian children. Lancet 1997;350(9076):480–4.</v>
      </c>
      <c r="Y5" s="726" t="str">
        <f>IFERROR(__xludf.DUMMYFUNCTION("""COMPUTED_VALUE"""),"10.1016/S0140-6736(97)02231-9")</f>
        <v>10.1016/S0140-6736(97)02231-9</v>
      </c>
      <c r="Z5" s="727" t="str">
        <f>IFERROR(__xludf.DUMMYFUNCTION("""COMPUTED_VALUE"""),"https://drive.google.com/file/d/0B9vYgR7NsKoYV3BYeWVzTDZvcGc/view?usp=sharing")</f>
        <v>https://drive.google.com/file/d/0B9vYgR7NsKoYV3BYeWVzTDZvcGc/view?usp=sharing</v>
      </c>
      <c r="AA5" s="40"/>
      <c r="AB5" s="40"/>
    </row>
    <row r="6">
      <c r="A6" s="728" t="str">
        <f>IFERROR(__xludf.DUMMYFUNCTION("""COMPUTED_VALUE"""),"Addiss 1993")</f>
        <v>Addiss 1993</v>
      </c>
      <c r="B6" s="729" t="str">
        <f>IFERROR(__xludf.DUMMYFUNCTION("""COMPUTED_VALUE"""),"Kirti")</f>
        <v>Kirti</v>
      </c>
      <c r="C6" s="718" t="str">
        <f>IFERROR(__xludf.DUMMYFUNCTION("""COMPUTED_VALUE"""),"Alex ")</f>
        <v>Alex </v>
      </c>
      <c r="D6" s="730" t="str">
        <f>IFERROR(__xludf.DUMMYFUNCTION("""COMPUTED_VALUE"""),"Haiti")</f>
        <v>Haiti</v>
      </c>
      <c r="E6" s="731" t="str">
        <f>IFERROR(__xludf.DUMMYFUNCTION("""COMPUTED_VALUE"""),"W. bancrofti")</f>
        <v>W. bancrofti</v>
      </c>
      <c r="F6" s="730" t="str">
        <f>IFERROR(__xludf.DUMMYFUNCTION("""COMPUTED_VALUE"""),"Ivermectin")</f>
        <v>Ivermectin</v>
      </c>
      <c r="G6" s="732" t="str">
        <f>IFERROR(__xludf.DUMMYFUNCTION("""COMPUTED_VALUE"""),".02 mg/kg  + .4 mg/kg ")</f>
        <v>.02 mg/kg  + .4 mg/kg </v>
      </c>
      <c r="H6" s="718">
        <f>IFERROR(__xludf.DUMMYFUNCTION("""COMPUTED_VALUE"""),1.0)</f>
        <v>1</v>
      </c>
      <c r="I6" s="733">
        <f>IFERROR(__xludf.DUMMYFUNCTION("""COMPUTED_VALUE"""),0.994)</f>
        <v>0.994</v>
      </c>
      <c r="J6" s="733">
        <f>IFERROR(__xludf.DUMMYFUNCTION("""COMPUTED_VALUE"""),0.5556)</f>
        <v>0.5556</v>
      </c>
      <c r="K6" s="729" t="str">
        <f>IFERROR(__xludf.DUMMYFUNCTION("""COMPUTED_VALUE"""),"not available")</f>
        <v>not available</v>
      </c>
      <c r="L6" s="734">
        <f>IFERROR(__xludf.DUMMYFUNCTION("""COMPUTED_VALUE"""),9.0)</f>
        <v>9</v>
      </c>
      <c r="M6" s="730" t="str">
        <f>IFERROR(__xludf.DUMMYFUNCTION("""COMPUTED_VALUE"""),"14-52")</f>
        <v>14-52</v>
      </c>
      <c r="N6" s="735" t="str">
        <f>IFERROR(__xludf.DUMMYFUNCTION("""COMPUTED_VALUE"""),"2:1")</f>
        <v>2:1</v>
      </c>
      <c r="O6" s="730" t="str">
        <f>IFERROR(__xludf.DUMMYFUNCTION("""COMPUTED_VALUE"""),"must be in good health, had received no Giemsastained thick blood smears during the week before the study began, and not pregnant or lactating. ")</f>
        <v>must be in good health, had received no Giemsastained thick blood smears during the week before the study began, and not pregnant or lactating. </v>
      </c>
      <c r="P6" s="736" t="str">
        <f>IFERROR(__xludf.DUMMYFUNCTION("""COMPUTED_VALUE"""),"double-blinded six arm clinical, randomized")</f>
        <v>double-blinded six arm clinical, randomized</v>
      </c>
      <c r="Q6" s="718" t="str">
        <f>IFERROR(__xludf.DUMMYFUNCTION("""COMPUTED_VALUE"""),"Yes")</f>
        <v>Yes</v>
      </c>
      <c r="R6" s="718" t="str">
        <f>IFERROR(__xludf.DUMMYFUNCTION("""COMPUTED_VALUE"""),"Yes")</f>
        <v>Yes</v>
      </c>
      <c r="S6" s="730" t="str">
        <f>IFERROR(__xludf.DUMMYFUNCTION("""COMPUTED_VALUE"""),"12 months")</f>
        <v>12 months</v>
      </c>
      <c r="T6" s="730" t="str">
        <f>IFERROR(__xludf.DUMMYFUNCTION("""COMPUTED_VALUE"""),"Two treatment regimens, 420 μg/kg Ivermectin and Ivermectin followed by DEC, were significantly more effective than other regimens in both reducing microfilarial densities and clearing microfilariae from the blood of infected patients for one year after t"&amp;"reatment.")</f>
        <v>Two treatment regimens, 420 μg/kg Ivermectin and Ivermectin followed by DEC, were significantly more effective than other regimens in both reducing microfilarial densities and clearing microfilariae from the blood of infected patients for one year after treatment.</v>
      </c>
      <c r="U6" s="40"/>
      <c r="V6" s="737">
        <f>IFERROR(__xludf.DUMMYFUNCTION("""COMPUTED_VALUE"""),1991.0)</f>
        <v>1991</v>
      </c>
      <c r="W6" s="737">
        <f>IFERROR(__xludf.DUMMYFUNCTION("""COMPUTED_VALUE"""),1991.0)</f>
        <v>1991</v>
      </c>
      <c r="X6" s="730" t="str">
        <f>IFERROR(__xludf.DUMMYFUNCTION("""COMPUTED_VALUE"""),"Addiss DG, Eberhard ML, Lammie PJ, McNeeley MB, Lee SH, McNeeley DF, et al. Comparative Efficacy of Clearing-Dose and Single High-Dose Ivermectin and Diethylcarbamazine against Wuchereria Bancrofti Microfilaremia. The American Journal of Tropical Medicine"&amp;" and Hygiene 1993; 48 (2): 178-185.")</f>
        <v>Addiss DG, Eberhard ML, Lammie PJ, McNeeley MB, Lee SH, McNeeley DF, et al. Comparative Efficacy of Clearing-Dose and Single High-Dose Ivermectin and Diethylcarbamazine against Wuchereria Bancrofti Microfilaremia. The American Journal of Tropical Medicine and Hygiene 1993; 48 (2): 178-185.</v>
      </c>
      <c r="Y6" s="738" t="str">
        <f>IFERROR(__xludf.DUMMYFUNCTION("""COMPUTED_VALUE"""),"10.1016/S0140-6736(97)02231-9")</f>
        <v>10.1016/S0140-6736(97)02231-9</v>
      </c>
      <c r="Z6" s="727" t="str">
        <f>IFERROR(__xludf.DUMMYFUNCTION("""COMPUTED_VALUE"""),"https://drive.google.com/file/d/0B0-pry4DSOm3cjF3NmdiQjFWNkE/view?usp=sharing")</f>
        <v>https://drive.google.com/file/d/0B0-pry4DSOm3cjF3NmdiQjFWNkE/view?usp=sharing</v>
      </c>
      <c r="AA6" s="40"/>
      <c r="AB6" s="40"/>
    </row>
    <row r="7">
      <c r="A7" s="728" t="str">
        <f>IFERROR(__xludf.DUMMYFUNCTION("""COMPUTED_VALUE"""),"Addiss 1993")</f>
        <v>Addiss 1993</v>
      </c>
      <c r="B7" s="729" t="str">
        <f>IFERROR(__xludf.DUMMYFUNCTION("""COMPUTED_VALUE"""),"Kirti")</f>
        <v>Kirti</v>
      </c>
      <c r="C7" s="718" t="str">
        <f>IFERROR(__xludf.DUMMYFUNCTION("""COMPUTED_VALUE"""),"Alex ")</f>
        <v>Alex </v>
      </c>
      <c r="D7" s="730" t="str">
        <f>IFERROR(__xludf.DUMMYFUNCTION("""COMPUTED_VALUE"""),"Haiti")</f>
        <v>Haiti</v>
      </c>
      <c r="E7" s="731" t="str">
        <f>IFERROR(__xludf.DUMMYFUNCTION("""COMPUTED_VALUE"""),"W. bancrofti")</f>
        <v>W. bancrofti</v>
      </c>
      <c r="F7" s="730" t="str">
        <f>IFERROR(__xludf.DUMMYFUNCTION("""COMPUTED_VALUE"""),"Ivermectin")</f>
        <v>Ivermectin</v>
      </c>
      <c r="G7" s="732" t="str">
        <f>IFERROR(__xludf.DUMMYFUNCTION("""COMPUTED_VALUE"""),".02 mg/kg + .200 mg/kg ")</f>
        <v>.02 mg/kg + .200 mg/kg </v>
      </c>
      <c r="H7" s="718">
        <f>IFERROR(__xludf.DUMMYFUNCTION("""COMPUTED_VALUE"""),1.0)</f>
        <v>1</v>
      </c>
      <c r="I7" s="733">
        <f>IFERROR(__xludf.DUMMYFUNCTION("""COMPUTED_VALUE"""),0.9598)</f>
        <v>0.9598</v>
      </c>
      <c r="J7" s="733">
        <f>IFERROR(__xludf.DUMMYFUNCTION("""COMPUTED_VALUE"""),0.1111)</f>
        <v>0.1111</v>
      </c>
      <c r="K7" s="729" t="str">
        <f>IFERROR(__xludf.DUMMYFUNCTION("""COMPUTED_VALUE"""),"not available")</f>
        <v>not available</v>
      </c>
      <c r="L7" s="734">
        <f>IFERROR(__xludf.DUMMYFUNCTION("""COMPUTED_VALUE"""),9.0)</f>
        <v>9</v>
      </c>
      <c r="M7" s="730" t="str">
        <f>IFERROR(__xludf.DUMMYFUNCTION("""COMPUTED_VALUE"""),"19-64")</f>
        <v>19-64</v>
      </c>
      <c r="N7" s="735" t="str">
        <f>IFERROR(__xludf.DUMMYFUNCTION("""COMPUTED_VALUE"""),"7:2")</f>
        <v>7:2</v>
      </c>
      <c r="O7" s="730" t="str">
        <f>IFERROR(__xludf.DUMMYFUNCTION("""COMPUTED_VALUE"""),"must be in good health, had received no Giemsastained thick blood smears during the week before the study began, and not pregnant or lactating. ")</f>
        <v>must be in good health, had received no Giemsastained thick blood smears during the week before the study began, and not pregnant or lactating. </v>
      </c>
      <c r="P7" s="736" t="str">
        <f>IFERROR(__xludf.DUMMYFUNCTION("""COMPUTED_VALUE"""),"double-blinded six arm clinical, randomized")</f>
        <v>double-blinded six arm clinical, randomized</v>
      </c>
      <c r="Q7" s="718" t="str">
        <f>IFERROR(__xludf.DUMMYFUNCTION("""COMPUTED_VALUE"""),"Yes")</f>
        <v>Yes</v>
      </c>
      <c r="R7" s="718" t="str">
        <f>IFERROR(__xludf.DUMMYFUNCTION("""COMPUTED_VALUE"""),"Yes")</f>
        <v>Yes</v>
      </c>
      <c r="S7" s="730" t="str">
        <f>IFERROR(__xludf.DUMMYFUNCTION("""COMPUTED_VALUE"""),"12 months")</f>
        <v>12 months</v>
      </c>
      <c r="T7" s="730" t="str">
        <f>IFERROR(__xludf.DUMMYFUNCTION("""COMPUTED_VALUE"""),"Two treatment regimens, 420 μg/kg Ivermectin and Ivermectin followed by DEC, were significantly more effective than other regimens in both reducing microfilarial densities and clearing microfilariae from the blood of infected patients for one year after t"&amp;"reatment.")</f>
        <v>Two treatment regimens, 420 μg/kg Ivermectin and Ivermectin followed by DEC, were significantly more effective than other regimens in both reducing microfilarial densities and clearing microfilariae from the blood of infected patients for one year after treatment.</v>
      </c>
      <c r="U7" s="40"/>
      <c r="V7" s="737">
        <f>IFERROR(__xludf.DUMMYFUNCTION("""COMPUTED_VALUE"""),1991.0)</f>
        <v>1991</v>
      </c>
      <c r="W7" s="737">
        <f>IFERROR(__xludf.DUMMYFUNCTION("""COMPUTED_VALUE"""),1991.0)</f>
        <v>1991</v>
      </c>
      <c r="X7" s="730" t="str">
        <f>IFERROR(__xludf.DUMMYFUNCTION("""COMPUTED_VALUE"""),"Addiss DG, Eberhard ML, Lammie PJ, McNeeley MB, Lee SH, McNeeley DF, et al. Comparative Efficacy of Clearing-Dose and Single High-Dose Ivermectin and Diethylcarbamazine against Wuchereria Bancrofti Microfilaremia. The American Journal of Tropical Medicine"&amp;" and Hygiene 1993; 48 (2): 178-185.")</f>
        <v>Addiss DG, Eberhard ML, Lammie PJ, McNeeley MB, Lee SH, McNeeley DF, et al. Comparative Efficacy of Clearing-Dose and Single High-Dose Ivermectin and Diethylcarbamazine against Wuchereria Bancrofti Microfilaremia. The American Journal of Tropical Medicine and Hygiene 1993; 48 (2): 178-185.</v>
      </c>
      <c r="Y7" s="738" t="str">
        <f>IFERROR(__xludf.DUMMYFUNCTION("""COMPUTED_VALUE"""),"10.1016/S0140-6736(97)02231-9")</f>
        <v>10.1016/S0140-6736(97)02231-9</v>
      </c>
      <c r="Z7" s="727" t="str">
        <f>IFERROR(__xludf.DUMMYFUNCTION("""COMPUTED_VALUE"""),"https://drive.google.com/file/d/0B0-pry4DSOm3cjF3NmdiQjFWNkE/view?usp=sharing")</f>
        <v>https://drive.google.com/file/d/0B0-pry4DSOm3cjF3NmdiQjFWNkE/view?usp=sharing</v>
      </c>
      <c r="AA7" s="40"/>
      <c r="AB7" s="40"/>
    </row>
    <row r="8">
      <c r="A8" s="728" t="str">
        <f>IFERROR(__xludf.DUMMYFUNCTION("""COMPUTED_VALUE"""),"Addiss 1993")</f>
        <v>Addiss 1993</v>
      </c>
      <c r="B8" s="729" t="str">
        <f>IFERROR(__xludf.DUMMYFUNCTION("""COMPUTED_VALUE"""),"Kirti")</f>
        <v>Kirti</v>
      </c>
      <c r="C8" s="718" t="str">
        <f>IFERROR(__xludf.DUMMYFUNCTION("""COMPUTED_VALUE"""),"Alex ")</f>
        <v>Alex </v>
      </c>
      <c r="D8" s="730" t="str">
        <f>IFERROR(__xludf.DUMMYFUNCTION("""COMPUTED_VALUE"""),"Haiti")</f>
        <v>Haiti</v>
      </c>
      <c r="E8" s="731" t="str">
        <f>IFERROR(__xludf.DUMMYFUNCTION("""COMPUTED_VALUE"""),"W. bancrofti")</f>
        <v>W. bancrofti</v>
      </c>
      <c r="F8" s="730" t="str">
        <f>IFERROR(__xludf.DUMMYFUNCTION("""COMPUTED_VALUE"""),"DEC &amp; Ivermectin")</f>
        <v>DEC &amp; Ivermectin</v>
      </c>
      <c r="G8" s="732" t="str">
        <f>IFERROR(__xludf.DUMMYFUNCTION("""COMPUTED_VALUE"""),".02 mg/kg+ 6 mg/kg ")</f>
        <v>.02 mg/kg+ 6 mg/kg </v>
      </c>
      <c r="H8" s="718">
        <f>IFERROR(__xludf.DUMMYFUNCTION("""COMPUTED_VALUE"""),1.0)</f>
        <v>1</v>
      </c>
      <c r="I8" s="733">
        <f>IFERROR(__xludf.DUMMYFUNCTION("""COMPUTED_VALUE"""),0.991)</f>
        <v>0.991</v>
      </c>
      <c r="J8" s="733">
        <f>IFERROR(__xludf.DUMMYFUNCTION("""COMPUTED_VALUE"""),0.4545)</f>
        <v>0.4545</v>
      </c>
      <c r="K8" s="729" t="str">
        <f>IFERROR(__xludf.DUMMYFUNCTION("""COMPUTED_VALUE"""),"not available")</f>
        <v>not available</v>
      </c>
      <c r="L8" s="734">
        <f>IFERROR(__xludf.DUMMYFUNCTION("""COMPUTED_VALUE"""),11.0)</f>
        <v>11</v>
      </c>
      <c r="M8" s="730" t="str">
        <f>IFERROR(__xludf.DUMMYFUNCTION("""COMPUTED_VALUE"""),"14-65")</f>
        <v>14-65</v>
      </c>
      <c r="N8" s="735" t="str">
        <f>IFERROR(__xludf.DUMMYFUNCTION("""COMPUTED_VALUE"""),"7:4")</f>
        <v>7:4</v>
      </c>
      <c r="O8" s="730" t="str">
        <f>IFERROR(__xludf.DUMMYFUNCTION("""COMPUTED_VALUE"""),"must be in good health, had received no Giemsastained thick blood smears during the week before the study began, and not pregnant or lactating. ")</f>
        <v>must be in good health, had received no Giemsastained thick blood smears during the week before the study began, and not pregnant or lactating. </v>
      </c>
      <c r="P8" s="736" t="str">
        <f>IFERROR(__xludf.DUMMYFUNCTION("""COMPUTED_VALUE"""),"double-blinded six arm clinical, randomized")</f>
        <v>double-blinded six arm clinical, randomized</v>
      </c>
      <c r="Q8" s="718" t="str">
        <f>IFERROR(__xludf.DUMMYFUNCTION("""COMPUTED_VALUE"""),"Yes")</f>
        <v>Yes</v>
      </c>
      <c r="R8" s="718" t="str">
        <f>IFERROR(__xludf.DUMMYFUNCTION("""COMPUTED_VALUE"""),"Yes")</f>
        <v>Yes</v>
      </c>
      <c r="S8" s="730" t="str">
        <f>IFERROR(__xludf.DUMMYFUNCTION("""COMPUTED_VALUE"""),"12 months")</f>
        <v>12 months</v>
      </c>
      <c r="T8" s="730" t="str">
        <f>IFERROR(__xludf.DUMMYFUNCTION("""COMPUTED_VALUE"""),"Two treatment regimens, 420 μg/kg Ivermectin and Ivermectin followed by DEC, were significantly more effective than other regimens in both reducing microfilarial densities and clearing microfilariae from the blood of infected patients for one year after t"&amp;"reatment.")</f>
        <v>Two treatment regimens, 420 μg/kg Ivermectin and Ivermectin followed by DEC, were significantly more effective than other regimens in both reducing microfilarial densities and clearing microfilariae from the blood of infected patients for one year after treatment.</v>
      </c>
      <c r="U8" s="40"/>
      <c r="V8" s="737">
        <f>IFERROR(__xludf.DUMMYFUNCTION("""COMPUTED_VALUE"""),1991.0)</f>
        <v>1991</v>
      </c>
      <c r="W8" s="737">
        <f>IFERROR(__xludf.DUMMYFUNCTION("""COMPUTED_VALUE"""),1991.0)</f>
        <v>1991</v>
      </c>
      <c r="X8" s="730" t="str">
        <f>IFERROR(__xludf.DUMMYFUNCTION("""COMPUTED_VALUE"""),"Addiss DG, Eberhard ML, Lammie PJ, McNeeley MB, Lee SH, McNeeley DF, et al. Comparative Efficacy of Clearing-Dose and Single High-Dose Ivermectin and Diethylcarbamazine against Wuchereria Bancrofti Microfilaremia. The American Journal of Tropical Medicine"&amp;" and Hygiene 1993; 48 (2): 178-185.")</f>
        <v>Addiss DG, Eberhard ML, Lammie PJ, McNeeley MB, Lee SH, McNeeley DF, et al. Comparative Efficacy of Clearing-Dose and Single High-Dose Ivermectin and Diethylcarbamazine against Wuchereria Bancrofti Microfilaremia. The American Journal of Tropical Medicine and Hygiene 1993; 48 (2): 178-185.</v>
      </c>
      <c r="Y8" s="738" t="str">
        <f>IFERROR(__xludf.DUMMYFUNCTION("""COMPUTED_VALUE"""),"10.1016/S0140-6736(97)02231-9")</f>
        <v>10.1016/S0140-6736(97)02231-9</v>
      </c>
      <c r="Z8" s="727" t="str">
        <f>IFERROR(__xludf.DUMMYFUNCTION("""COMPUTED_VALUE"""),"https://drive.google.com/file/d/0B0-pry4DSOm3cjF3NmdiQjFWNkE/view?usp=sharing")</f>
        <v>https://drive.google.com/file/d/0B0-pry4DSOm3cjF3NmdiQjFWNkE/view?usp=sharing</v>
      </c>
      <c r="AA8" s="40"/>
      <c r="AB8" s="40"/>
    </row>
    <row r="9">
      <c r="A9" s="728" t="str">
        <f>IFERROR(__xludf.DUMMYFUNCTION("""COMPUTED_VALUE"""),"Addiss 1993")</f>
        <v>Addiss 1993</v>
      </c>
      <c r="B9" s="729" t="str">
        <f>IFERROR(__xludf.DUMMYFUNCTION("""COMPUTED_VALUE"""),"Kirti")</f>
        <v>Kirti</v>
      </c>
      <c r="C9" s="718" t="str">
        <f>IFERROR(__xludf.DUMMYFUNCTION("""COMPUTED_VALUE"""),"Alex ")</f>
        <v>Alex </v>
      </c>
      <c r="D9" s="730" t="str">
        <f>IFERROR(__xludf.DUMMYFUNCTION("""COMPUTED_VALUE"""),"Haiti")</f>
        <v>Haiti</v>
      </c>
      <c r="E9" s="731" t="str">
        <f>IFERROR(__xludf.DUMMYFUNCTION("""COMPUTED_VALUE"""),"W. bancrofti")</f>
        <v>W. bancrofti</v>
      </c>
      <c r="F9" s="730" t="str">
        <f>IFERROR(__xludf.DUMMYFUNCTION("""COMPUTED_VALUE"""),"DEC")</f>
        <v>DEC</v>
      </c>
      <c r="G9" s="732" t="str">
        <f>IFERROR(__xludf.DUMMYFUNCTION("""COMPUTED_VALUE"""),"1 mg/kg  + 6 mg/kg ")</f>
        <v>1 mg/kg  + 6 mg/kg </v>
      </c>
      <c r="H9" s="718">
        <f>IFERROR(__xludf.DUMMYFUNCTION("""COMPUTED_VALUE"""),1.0)</f>
        <v>1</v>
      </c>
      <c r="I9" s="733">
        <f>IFERROR(__xludf.DUMMYFUNCTION("""COMPUTED_VALUE"""),0.8907)</f>
        <v>0.8907</v>
      </c>
      <c r="J9" s="733">
        <f>IFERROR(__xludf.DUMMYFUNCTION("""COMPUTED_VALUE"""),0.111)</f>
        <v>0.111</v>
      </c>
      <c r="K9" s="729" t="str">
        <f>IFERROR(__xludf.DUMMYFUNCTION("""COMPUTED_VALUE"""),"not available")</f>
        <v>not available</v>
      </c>
      <c r="L9" s="734">
        <f>IFERROR(__xludf.DUMMYFUNCTION("""COMPUTED_VALUE"""),9.0)</f>
        <v>9</v>
      </c>
      <c r="M9" s="730" t="str">
        <f>IFERROR(__xludf.DUMMYFUNCTION("""COMPUTED_VALUE"""),"17-54")</f>
        <v>17-54</v>
      </c>
      <c r="N9" s="735" t="str">
        <f>IFERROR(__xludf.DUMMYFUNCTION("""COMPUTED_VALUE"""),"5:4")</f>
        <v>5:4</v>
      </c>
      <c r="O9" s="730" t="str">
        <f>IFERROR(__xludf.DUMMYFUNCTION("""COMPUTED_VALUE"""),"must be in good health, had received no Giemsastained thick blood smears during the week before the study began, and not pregnant or lactating. ")</f>
        <v>must be in good health, had received no Giemsastained thick blood smears during the week before the study began, and not pregnant or lactating. </v>
      </c>
      <c r="P9" s="736" t="str">
        <f>IFERROR(__xludf.DUMMYFUNCTION("""COMPUTED_VALUE"""),"double-blinded six arm clinical, randomized")</f>
        <v>double-blinded six arm clinical, randomized</v>
      </c>
      <c r="Q9" s="718" t="str">
        <f>IFERROR(__xludf.DUMMYFUNCTION("""COMPUTED_VALUE"""),"Yes")</f>
        <v>Yes</v>
      </c>
      <c r="R9" s="718" t="str">
        <f>IFERROR(__xludf.DUMMYFUNCTION("""COMPUTED_VALUE"""),"Yes")</f>
        <v>Yes</v>
      </c>
      <c r="S9" s="730" t="str">
        <f>IFERROR(__xludf.DUMMYFUNCTION("""COMPUTED_VALUE"""),"12 months")</f>
        <v>12 months</v>
      </c>
      <c r="T9" s="730" t="str">
        <f>IFERROR(__xludf.DUMMYFUNCTION("""COMPUTED_VALUE"""),"Two treatment regimens, 420 μg/kg Ivermectin and Ivermectin followed by DEC, were significantly more effective than other regimens in both reducing microfilarial densities and clearing microfilariae from the blood of infected patients for one year after t"&amp;"reatment.")</f>
        <v>Two treatment regimens, 420 μg/kg Ivermectin and Ivermectin followed by DEC, were significantly more effective than other regimens in both reducing microfilarial densities and clearing microfilariae from the blood of infected patients for one year after treatment.</v>
      </c>
      <c r="U9" s="40"/>
      <c r="V9" s="737">
        <f>IFERROR(__xludf.DUMMYFUNCTION("""COMPUTED_VALUE"""),1991.0)</f>
        <v>1991</v>
      </c>
      <c r="W9" s="737">
        <f>IFERROR(__xludf.DUMMYFUNCTION("""COMPUTED_VALUE"""),1991.0)</f>
        <v>1991</v>
      </c>
      <c r="X9" s="730" t="str">
        <f>IFERROR(__xludf.DUMMYFUNCTION("""COMPUTED_VALUE"""),"Addiss DG, Eberhard ML, Lammie PJ, McNeeley MB, Lee SH, McNeeley DF, et al. Comparative Efficacy of Clearing-Dose and Single High-Dose Ivermectin and Diethylcarbamazine against Wuchereria Bancrofti Microfilaremia. The American Journal of Tropical Medicine"&amp;" and Hygiene 1993; 48 (2): 178-185.")</f>
        <v>Addiss DG, Eberhard ML, Lammie PJ, McNeeley MB, Lee SH, McNeeley DF, et al. Comparative Efficacy of Clearing-Dose and Single High-Dose Ivermectin and Diethylcarbamazine against Wuchereria Bancrofti Microfilaremia. The American Journal of Tropical Medicine and Hygiene 1993; 48 (2): 178-185.</v>
      </c>
      <c r="Y9" s="738" t="str">
        <f>IFERROR(__xludf.DUMMYFUNCTION("""COMPUTED_VALUE"""),"10.1016/S0140-6736(97)02231-9")</f>
        <v>10.1016/S0140-6736(97)02231-9</v>
      </c>
      <c r="Z9" s="727" t="str">
        <f>IFERROR(__xludf.DUMMYFUNCTION("""COMPUTED_VALUE"""),"https://drive.google.com/file/d/0B0-pry4DSOm3cjF3NmdiQjFWNkE/view?usp=sharing")</f>
        <v>https://drive.google.com/file/d/0B0-pry4DSOm3cjF3NmdiQjFWNkE/view?usp=sharing</v>
      </c>
      <c r="AA9" s="40"/>
      <c r="AB9" s="40"/>
    </row>
    <row r="10">
      <c r="A10" s="728" t="str">
        <f>IFERROR(__xludf.DUMMYFUNCTION("""COMPUTED_VALUE"""),"Addiss 1993")</f>
        <v>Addiss 1993</v>
      </c>
      <c r="B10" s="729" t="str">
        <f>IFERROR(__xludf.DUMMYFUNCTION("""COMPUTED_VALUE"""),"Kirti")</f>
        <v>Kirti</v>
      </c>
      <c r="C10" s="718" t="str">
        <f>IFERROR(__xludf.DUMMYFUNCTION("""COMPUTED_VALUE"""),"Alex ")</f>
        <v>Alex </v>
      </c>
      <c r="D10" s="730" t="str">
        <f>IFERROR(__xludf.DUMMYFUNCTION("""COMPUTED_VALUE"""),"Haiti")</f>
        <v>Haiti</v>
      </c>
      <c r="E10" s="731" t="str">
        <f>IFERROR(__xludf.DUMMYFUNCTION("""COMPUTED_VALUE"""),"W. bancrofti")</f>
        <v>W. bancrofti</v>
      </c>
      <c r="F10" s="730" t="str">
        <f>IFERROR(__xludf.DUMMYFUNCTION("""COMPUTED_VALUE"""),"Ivermectin")</f>
        <v>Ivermectin</v>
      </c>
      <c r="G10" s="730" t="str">
        <f>IFERROR(__xludf.DUMMYFUNCTION("""COMPUTED_VALUE"""),".220 mg/kg")</f>
        <v>.220 mg/kg</v>
      </c>
      <c r="H10" s="718">
        <f>IFERROR(__xludf.DUMMYFUNCTION("""COMPUTED_VALUE"""),1.0)</f>
        <v>1</v>
      </c>
      <c r="I10" s="733">
        <f>IFERROR(__xludf.DUMMYFUNCTION("""COMPUTED_VALUE"""),0.9616)</f>
        <v>0.9616</v>
      </c>
      <c r="J10" s="733">
        <f>IFERROR(__xludf.DUMMYFUNCTION("""COMPUTED_VALUE"""),0.1)</f>
        <v>0.1</v>
      </c>
      <c r="K10" s="729" t="str">
        <f>IFERROR(__xludf.DUMMYFUNCTION("""COMPUTED_VALUE"""),"not available")</f>
        <v>not available</v>
      </c>
      <c r="L10" s="734">
        <f>IFERROR(__xludf.DUMMYFUNCTION("""COMPUTED_VALUE"""),10.0)</f>
        <v>10</v>
      </c>
      <c r="M10" s="730" t="str">
        <f>IFERROR(__xludf.DUMMYFUNCTION("""COMPUTED_VALUE"""),"14-58")</f>
        <v>14-58</v>
      </c>
      <c r="N10" s="735" t="str">
        <f>IFERROR(__xludf.DUMMYFUNCTION("""COMPUTED_VALUE"""),"3:7")</f>
        <v>3:7</v>
      </c>
      <c r="O10" s="730" t="str">
        <f>IFERROR(__xludf.DUMMYFUNCTION("""COMPUTED_VALUE"""),"must be in good health, had received no Giemsastained thick blood smears during the week before the study began, and not pregnant or lactating. ")</f>
        <v>must be in good health, had received no Giemsastained thick blood smears during the week before the study began, and not pregnant or lactating. </v>
      </c>
      <c r="P10" s="736" t="str">
        <f>IFERROR(__xludf.DUMMYFUNCTION("""COMPUTED_VALUE"""),"double-blinded six arm clinical, randomized")</f>
        <v>double-blinded six arm clinical, randomized</v>
      </c>
      <c r="Q10" s="718" t="str">
        <f>IFERROR(__xludf.DUMMYFUNCTION("""COMPUTED_VALUE"""),"Yes")</f>
        <v>Yes</v>
      </c>
      <c r="R10" s="718" t="str">
        <f>IFERROR(__xludf.DUMMYFUNCTION("""COMPUTED_VALUE"""),"Yes")</f>
        <v>Yes</v>
      </c>
      <c r="S10" s="730" t="str">
        <f>IFERROR(__xludf.DUMMYFUNCTION("""COMPUTED_VALUE"""),"12 months")</f>
        <v>12 months</v>
      </c>
      <c r="T10" s="730" t="str">
        <f>IFERROR(__xludf.DUMMYFUNCTION("""COMPUTED_VALUE"""),"Two treatment regimens, 420 μg/kg Ivermectin and Ivermectin followed by DEC, were significantly more effective than other regimens in both reducing microfilarial densities and clearing microfilariae from the blood of infected patients for one year after t"&amp;"reatment.")</f>
        <v>Two treatment regimens, 420 μg/kg Ivermectin and Ivermectin followed by DEC, were significantly more effective than other regimens in both reducing microfilarial densities and clearing microfilariae from the blood of infected patients for one year after treatment.</v>
      </c>
      <c r="U10" s="730" t="str">
        <f>IFERROR(__xludf.DUMMYFUNCTION("""COMPUTED_VALUE"""),"Placebo (on day 1) + Ivermectin (on day 5)")</f>
        <v>Placebo (on day 1) + Ivermectin (on day 5)</v>
      </c>
      <c r="V10" s="737">
        <f>IFERROR(__xludf.DUMMYFUNCTION("""COMPUTED_VALUE"""),1991.0)</f>
        <v>1991</v>
      </c>
      <c r="W10" s="737">
        <f>IFERROR(__xludf.DUMMYFUNCTION("""COMPUTED_VALUE"""),1991.0)</f>
        <v>1991</v>
      </c>
      <c r="X10" s="730" t="str">
        <f>IFERROR(__xludf.DUMMYFUNCTION("""COMPUTED_VALUE"""),"Addiss DG, Eberhard ML, Lammie PJ, McNeeley MB, Lee SH, McNeeley DF, et al. Comparative Efficacy of Clearing-Dose and Single High-Dose Ivermectin and Diethylcarbamazine against Wuchereria Bancrofti Microfilaremia. The American Journal of Tropical Medicine"&amp;" and Hygiene 1993; 48 (2): 178-185.")</f>
        <v>Addiss DG, Eberhard ML, Lammie PJ, McNeeley MB, Lee SH, McNeeley DF, et al. Comparative Efficacy of Clearing-Dose and Single High-Dose Ivermectin and Diethylcarbamazine against Wuchereria Bancrofti Microfilaremia. The American Journal of Tropical Medicine and Hygiene 1993; 48 (2): 178-185.</v>
      </c>
      <c r="Y10" s="738" t="str">
        <f>IFERROR(__xludf.DUMMYFUNCTION("""COMPUTED_VALUE"""),"10.1016/S0140-6736(97)02231-9")</f>
        <v>10.1016/S0140-6736(97)02231-9</v>
      </c>
      <c r="Z10" s="727" t="str">
        <f>IFERROR(__xludf.DUMMYFUNCTION("""COMPUTED_VALUE"""),"https://drive.google.com/file/d/0B0-pry4DSOm3cjF3NmdiQjFWNkE/view?usp=sharing")</f>
        <v>https://drive.google.com/file/d/0B0-pry4DSOm3cjF3NmdiQjFWNkE/view?usp=sharing</v>
      </c>
      <c r="AA10" s="40"/>
      <c r="AB10" s="40"/>
    </row>
    <row r="11">
      <c r="A11" s="728" t="str">
        <f>IFERROR(__xludf.DUMMYFUNCTION("""COMPUTED_VALUE"""),"Addiss 1993")</f>
        <v>Addiss 1993</v>
      </c>
      <c r="B11" s="729" t="str">
        <f>IFERROR(__xludf.DUMMYFUNCTION("""COMPUTED_VALUE"""),"Kirti")</f>
        <v>Kirti</v>
      </c>
      <c r="C11" s="718" t="str">
        <f>IFERROR(__xludf.DUMMYFUNCTION("""COMPUTED_VALUE"""),"Alex ")</f>
        <v>Alex </v>
      </c>
      <c r="D11" s="730" t="str">
        <f>IFERROR(__xludf.DUMMYFUNCTION("""COMPUTED_VALUE"""),"Haiti")</f>
        <v>Haiti</v>
      </c>
      <c r="E11" s="731" t="str">
        <f>IFERROR(__xludf.DUMMYFUNCTION("""COMPUTED_VALUE"""),"W. bancrofti")</f>
        <v>W. bancrofti</v>
      </c>
      <c r="F11" s="730" t="str">
        <f>IFERROR(__xludf.DUMMYFUNCTION("""COMPUTED_VALUE"""),"DEC")</f>
        <v>DEC</v>
      </c>
      <c r="G11" s="730" t="str">
        <f>IFERROR(__xludf.DUMMYFUNCTION("""COMPUTED_VALUE"""),"6 mg/kg")</f>
        <v>6 mg/kg</v>
      </c>
      <c r="H11" s="718">
        <f>IFERROR(__xludf.DUMMYFUNCTION("""COMPUTED_VALUE"""),1.0)</f>
        <v>1</v>
      </c>
      <c r="I11" s="733">
        <f>IFERROR(__xludf.DUMMYFUNCTION("""COMPUTED_VALUE"""),0.9406)</f>
        <v>0.9406</v>
      </c>
      <c r="J11" s="733">
        <f>IFERROR(__xludf.DUMMYFUNCTION("""COMPUTED_VALUE"""),0.0909)</f>
        <v>0.0909</v>
      </c>
      <c r="K11" s="729" t="str">
        <f>IFERROR(__xludf.DUMMYFUNCTION("""COMPUTED_VALUE"""),"not available")</f>
        <v>not available</v>
      </c>
      <c r="L11" s="734">
        <f>IFERROR(__xludf.DUMMYFUNCTION("""COMPUTED_VALUE"""),11.0)</f>
        <v>11</v>
      </c>
      <c r="M11" s="730" t="str">
        <f>IFERROR(__xludf.DUMMYFUNCTION("""COMPUTED_VALUE"""),"17-63")</f>
        <v>17-63</v>
      </c>
      <c r="N11" s="735" t="str">
        <f>IFERROR(__xludf.DUMMYFUNCTION("""COMPUTED_VALUE"""),"6:5")</f>
        <v>6:5</v>
      </c>
      <c r="O11" s="730" t="str">
        <f>IFERROR(__xludf.DUMMYFUNCTION("""COMPUTED_VALUE"""),"must be in good health, had received no Giemsastained thick blood smears during the week before the study began, and not pregnant or lactating. ")</f>
        <v>must be in good health, had received no Giemsastained thick blood smears during the week before the study began, and not pregnant or lactating. </v>
      </c>
      <c r="P11" s="736" t="str">
        <f>IFERROR(__xludf.DUMMYFUNCTION("""COMPUTED_VALUE"""),"double-blinded six arm clinical, randomized")</f>
        <v>double-blinded six arm clinical, randomized</v>
      </c>
      <c r="Q11" s="718" t="str">
        <f>IFERROR(__xludf.DUMMYFUNCTION("""COMPUTED_VALUE"""),"Yes")</f>
        <v>Yes</v>
      </c>
      <c r="R11" s="730" t="str">
        <f>IFERROR(__xludf.DUMMYFUNCTION("""COMPUTED_VALUE"""),"Yes")</f>
        <v>Yes</v>
      </c>
      <c r="S11" s="730" t="str">
        <f>IFERROR(__xludf.DUMMYFUNCTION("""COMPUTED_VALUE"""),"12 months")</f>
        <v>12 months</v>
      </c>
      <c r="T11" s="730" t="str">
        <f>IFERROR(__xludf.DUMMYFUNCTION("""COMPUTED_VALUE"""),"Two treatment regimens, 420 μg/kg Ivermectin and Ivermectin followed by DEC, were significantly more effective than other regimens in both reducing microfilarial densities and clearing microfilariae from the blood of infected patients for one year after t"&amp;"reatment.")</f>
        <v>Two treatment regimens, 420 μg/kg Ivermectin and Ivermectin followed by DEC, were significantly more effective than other regimens in both reducing microfilarial densities and clearing microfilariae from the blood of infected patients for one year after treatment.</v>
      </c>
      <c r="U11" s="730" t="str">
        <f>IFERROR(__xludf.DUMMYFUNCTION("""COMPUTED_VALUE"""),"Placebo (on day 1) + DEC (on day 5)")</f>
        <v>Placebo (on day 1) + DEC (on day 5)</v>
      </c>
      <c r="V11" s="737">
        <f>IFERROR(__xludf.DUMMYFUNCTION("""COMPUTED_VALUE"""),1991.0)</f>
        <v>1991</v>
      </c>
      <c r="W11" s="737">
        <f>IFERROR(__xludf.DUMMYFUNCTION("""COMPUTED_VALUE"""),1991.0)</f>
        <v>1991</v>
      </c>
      <c r="X11" s="730" t="str">
        <f>IFERROR(__xludf.DUMMYFUNCTION("""COMPUTED_VALUE"""),"Addiss DG, Eberhard ML, Lammie PJ, McNeeley MB, Lee SH, McNeeley DF, et al. Comparative Efficacy of Clearing-Dose and Single High-Dose Ivermectin and Diethylcarbamazine against Wuchereria Bancrofti Microfilaremia. The American Journal of Tropical Medicine"&amp;" and Hygiene 1993; 48 (2): 178-185.")</f>
        <v>Addiss DG, Eberhard ML, Lammie PJ, McNeeley MB, Lee SH, McNeeley DF, et al. Comparative Efficacy of Clearing-Dose and Single High-Dose Ivermectin and Diethylcarbamazine against Wuchereria Bancrofti Microfilaremia. The American Journal of Tropical Medicine and Hygiene 1993; 48 (2): 178-185.</v>
      </c>
      <c r="Y11" s="738" t="str">
        <f>IFERROR(__xludf.DUMMYFUNCTION("""COMPUTED_VALUE"""),"10.1016/S0140-6736(97)02231-9")</f>
        <v>10.1016/S0140-6736(97)02231-9</v>
      </c>
      <c r="Z11" s="727" t="str">
        <f>IFERROR(__xludf.DUMMYFUNCTION("""COMPUTED_VALUE"""),"https://drive.google.com/file/d/0B0-pry4DSOm3cjF3NmdiQjFWNkE/view?usp=sharing")</f>
        <v>https://drive.google.com/file/d/0B0-pry4DSOm3cjF3NmdiQjFWNkE/view?usp=sharing</v>
      </c>
      <c r="AA11" s="40"/>
      <c r="AB11" s="40"/>
    </row>
    <row r="12">
      <c r="A12" s="728" t="str">
        <f>IFERROR(__xludf.DUMMYFUNCTION("""COMPUTED_VALUE"""),"Andrade, 1995")</f>
        <v>Andrade, 1995</v>
      </c>
      <c r="B12" s="40"/>
      <c r="C12" s="718" t="str">
        <f>IFERROR(__xludf.DUMMYFUNCTION("""COMPUTED_VALUE"""),"Alex ")</f>
        <v>Alex </v>
      </c>
      <c r="D12" s="730" t="str">
        <f>IFERROR(__xludf.DUMMYFUNCTION("""COMPUTED_VALUE"""),"Brazil")</f>
        <v>Brazil</v>
      </c>
      <c r="E12" s="739" t="str">
        <f>IFERROR(__xludf.DUMMYFUNCTION("""COMPUTED_VALUE"""),"W. bancrofti")</f>
        <v>W. bancrofti</v>
      </c>
      <c r="F12" s="730" t="str">
        <f>IFERROR(__xludf.DUMMYFUNCTION("""COMPUTED_VALUE"""),"DEC")</f>
        <v>DEC</v>
      </c>
      <c r="G12" s="730" t="str">
        <f>IFERROR(__xludf.DUMMYFUNCTION("""COMPUTED_VALUE"""),"6 mg/kg ")</f>
        <v>6 mg/kg </v>
      </c>
      <c r="H12" s="740">
        <f>IFERROR(__xludf.DUMMYFUNCTION("""COMPUTED_VALUE"""),12.0)</f>
        <v>12</v>
      </c>
      <c r="I12" s="741"/>
      <c r="J12" s="742">
        <f>IFERROR(__xludf.DUMMYFUNCTION("""COMPUTED_VALUE"""),0.41)</f>
        <v>0.41</v>
      </c>
      <c r="K12" s="730" t="str">
        <f>IFERROR(__xludf.DUMMYFUNCTION("""COMPUTED_VALUE"""),"not available")</f>
        <v>not available</v>
      </c>
      <c r="L12" s="734">
        <f>IFERROR(__xludf.DUMMYFUNCTION("""COMPUTED_VALUE"""),34.0)</f>
        <v>34</v>
      </c>
      <c r="M12" s="730" t="str">
        <f>IFERROR(__xludf.DUMMYFUNCTION("""COMPUTED_VALUE"""),"18-20")</f>
        <v>18-20</v>
      </c>
      <c r="N12" s="734" t="str">
        <f>IFERROR(__xludf.DUMMYFUNCTION("""COMPUTED_VALUE"""),"male")</f>
        <v>male</v>
      </c>
      <c r="O12" s="730" t="str">
        <f>IFERROR(__xludf.DUMMYFUNCTION("""COMPUTED_VALUE"""),"presence of microfilaraemia as determined by blood film 
examination or Nuclepore filtration of blood: permanent residence within Greater Recife where bancroftian filariasis is endemic; no prior treatment with DEC; the
 absence of medical problems related"&amp;" to lymphatic filariasis; and willingness to participate in the study.")</f>
        <v>presence of microfilaraemia as determined by blood film 
examination or Nuclepore filtration of blood: permanent residence within Greater Recife where bancroftian filariasis is endemic; no prior treatment with DEC; the
 absence of medical problems related to lymphatic filariasis; and willingness to participate in the study.</v>
      </c>
      <c r="P12" s="736" t="str">
        <f>IFERROR(__xludf.DUMMYFUNCTION("""COMPUTED_VALUE"""),"single blind randomized hospital-based therapeutic trial")</f>
        <v>single blind randomized hospital-based therapeutic trial</v>
      </c>
      <c r="Q12" s="718" t="str">
        <f>IFERROR(__xludf.DUMMYFUNCTION("""COMPUTED_VALUE"""),"Yes")</f>
        <v>Yes</v>
      </c>
      <c r="R12" s="730" t="str">
        <f>IFERROR(__xludf.DUMMYFUNCTION("""COMPUTED_VALUE"""),"Yes")</f>
        <v>Yes</v>
      </c>
      <c r="S12" s="730" t="str">
        <f>IFERROR(__xludf.DUMMYFUNCTION("""COMPUTED_VALUE"""),"12 months")</f>
        <v>12 months</v>
      </c>
      <c r="T12" s="730" t="str">
        <f>IFERROR(__xludf.DUMMYFUNCTION("""COMPUTED_VALUE"""),"A single dose of DEC was significantly less effective than the other 2 regimens during the 
6 months following treatment, but after 1 year its effect 
was virtually identical to that of the multidose treatments.")</f>
        <v>A single dose of DEC was significantly less effective than the other 2 regimens during the 
6 months following treatment, but after 1 year its effect 
was virtually identical to that of the multidose treatments.</v>
      </c>
      <c r="U12" s="730" t="str">
        <f>IFERROR(__xludf.DUMMYFUNCTION("""COMPUTED_VALUE"""),"6 mg/kg once daily for 12 days consecutively ")</f>
        <v>6 mg/kg once daily for 12 days consecutively </v>
      </c>
      <c r="V12" s="737">
        <f>IFERROR(__xludf.DUMMYFUNCTION("""COMPUTED_VALUE"""),1995.0)</f>
        <v>1995</v>
      </c>
      <c r="W12" s="737">
        <f>IFERROR(__xludf.DUMMYFUNCTION("""COMPUTED_VALUE"""),1995.0)</f>
        <v>1995</v>
      </c>
      <c r="X12" s="40" t="str">
        <f>IFERROR(__xludf.DUMMYFUNCTION("""COMPUTED_VALUE"""),"Andrade LD, Medeiros Z, Pires ML, Pimentel A, Rocha A, Figueredo-Silva J, Comparative efficacy of three different diethylcarbamazine regimens in
 lymphatic filariasis. TRANSACTIONS OF IHE ROY~I. SOCIETY OF TROPICAL MEDICINE AND HYGIENE (1995) 89, 319-321")</f>
        <v>Andrade LD, Medeiros Z, Pires ML, Pimentel A, Rocha A, Figueredo-Silva J, Comparative efficacy of three different diethylcarbamazine regimens in
 lymphatic filariasis. TRANSACTIONS OF IHE ROY~I. SOCIETY OF TROPICAL MEDICINE AND HYGIENE (1995) 89, 319-321</v>
      </c>
      <c r="Y12" s="738"/>
      <c r="Z12" s="727" t="str">
        <f>IFERROR(__xludf.DUMMYFUNCTION("""COMPUTED_VALUE"""),"https://drive.google.com/file/d/0B0-pry4DSOm3cXdWQjZPRGRpb1k/view?usp=sharing")</f>
        <v>https://drive.google.com/file/d/0B0-pry4DSOm3cXdWQjZPRGRpb1k/view?usp=sharing</v>
      </c>
      <c r="AA12" s="40"/>
      <c r="AB12" s="40"/>
    </row>
    <row r="13">
      <c r="A13" s="728" t="str">
        <f>IFERROR(__xludf.DUMMYFUNCTION("""COMPUTED_VALUE"""),"Andrade, 1995")</f>
        <v>Andrade, 1995</v>
      </c>
      <c r="B13" s="40"/>
      <c r="C13" s="718" t="str">
        <f>IFERROR(__xludf.DUMMYFUNCTION("""COMPUTED_VALUE"""),"Alex ")</f>
        <v>Alex </v>
      </c>
      <c r="D13" s="730" t="str">
        <f>IFERROR(__xludf.DUMMYFUNCTION("""COMPUTED_VALUE"""),"Brazil")</f>
        <v>Brazil</v>
      </c>
      <c r="E13" s="739" t="str">
        <f>IFERROR(__xludf.DUMMYFUNCTION("""COMPUTED_VALUE"""),"W. bancrofti")</f>
        <v>W. bancrofti</v>
      </c>
      <c r="F13" s="730" t="str">
        <f>IFERROR(__xludf.DUMMYFUNCTION("""COMPUTED_VALUE"""),"DEC")</f>
        <v>DEC</v>
      </c>
      <c r="G13" s="730" t="str">
        <f>IFERROR(__xludf.DUMMYFUNCTION("""COMPUTED_VALUE"""),"6 mg/kg ")</f>
        <v>6 mg/kg </v>
      </c>
      <c r="H13" s="740">
        <f>IFERROR(__xludf.DUMMYFUNCTION("""COMPUTED_VALUE"""),12.0)</f>
        <v>12</v>
      </c>
      <c r="I13" s="741"/>
      <c r="J13" s="742">
        <f>IFERROR(__xludf.DUMMYFUNCTION("""COMPUTED_VALUE"""),0.42)</f>
        <v>0.42</v>
      </c>
      <c r="K13" s="730" t="str">
        <f>IFERROR(__xludf.DUMMYFUNCTION("""COMPUTED_VALUE"""),"not available")</f>
        <v>not available</v>
      </c>
      <c r="L13" s="734">
        <f>IFERROR(__xludf.DUMMYFUNCTION("""COMPUTED_VALUE"""),38.0)</f>
        <v>38</v>
      </c>
      <c r="M13" s="730" t="str">
        <f>IFERROR(__xludf.DUMMYFUNCTION("""COMPUTED_VALUE"""),"18-20")</f>
        <v>18-20</v>
      </c>
      <c r="N13" s="734" t="str">
        <f>IFERROR(__xludf.DUMMYFUNCTION("""COMPUTED_VALUE"""),"male")</f>
        <v>male</v>
      </c>
      <c r="O13" s="730" t="str">
        <f>IFERROR(__xludf.DUMMYFUNCTION("""COMPUTED_VALUE"""),"presence of microfilaraemia as determined by blood film 
examination or Nuclepore filtration of blood: permanent residence within Greater Recife where bancroftian filariasis is endemic; no prior treatment with DEC; the
 absence of medical problems related"&amp;" to lymphatic filariasis; and willingness to participate in the study.")</f>
        <v>presence of microfilaraemia as determined by blood film 
examination or Nuclepore filtration of blood: permanent residence within Greater Recife where bancroftian filariasis is endemic; no prior treatment with DEC; the
 absence of medical problems related to lymphatic filariasis; and willingness to participate in the study.</v>
      </c>
      <c r="P13" s="736" t="str">
        <f>IFERROR(__xludf.DUMMYFUNCTION("""COMPUTED_VALUE"""),"single blind randomized hospital-based therapeutic trial")</f>
        <v>single blind randomized hospital-based therapeutic trial</v>
      </c>
      <c r="Q13" s="718" t="str">
        <f>IFERROR(__xludf.DUMMYFUNCTION("""COMPUTED_VALUE"""),"Yes")</f>
        <v>Yes</v>
      </c>
      <c r="R13" s="730" t="str">
        <f>IFERROR(__xludf.DUMMYFUNCTION("""COMPUTED_VALUE"""),"Yes")</f>
        <v>Yes</v>
      </c>
      <c r="S13" s="730" t="str">
        <f>IFERROR(__xludf.DUMMYFUNCTION("""COMPUTED_VALUE"""),"12 months")</f>
        <v>12 months</v>
      </c>
      <c r="T13" s="730" t="str">
        <f>IFERROR(__xludf.DUMMYFUNCTION("""COMPUTED_VALUE"""),"A single dose of DEC was significantly less effective than the other 2 regimens during the 
6 months following treatment, but after 1 year its effect 
was virtually identical to that of the multidose treatments.")</f>
        <v>A single dose of DEC was significantly less effective than the other 2 regimens during the 
6 months following treatment, but after 1 year its effect 
was virtually identical to that of the multidose treatments.</v>
      </c>
      <c r="U13" s="40"/>
      <c r="V13" s="737">
        <f>IFERROR(__xludf.DUMMYFUNCTION("""COMPUTED_VALUE"""),1995.0)</f>
        <v>1995</v>
      </c>
      <c r="W13" s="737">
        <f>IFERROR(__xludf.DUMMYFUNCTION("""COMPUTED_VALUE"""),1995.0)</f>
        <v>1995</v>
      </c>
      <c r="X13" s="40" t="str">
        <f>IFERROR(__xludf.DUMMYFUNCTION("""COMPUTED_VALUE"""),"Andrade LD, Medeiros Z, Pires ML, Pimentel A, Rocha A, Figueredo-Silva J, Comparative efficacy of three different diethylcarbamazine regimens in
 lymphatic filariasis. TRANSACTIONS OF IHE ROY~I. SOCIETY OF TROPICAL MEDICINE AND HYGIENE (1995) 89, 319-321")</f>
        <v>Andrade LD, Medeiros Z, Pires ML, Pimentel A, Rocha A, Figueredo-Silva J, Comparative efficacy of three different diethylcarbamazine regimens in
 lymphatic filariasis. TRANSACTIONS OF IHE ROY~I. SOCIETY OF TROPICAL MEDICINE AND HYGIENE (1995) 89, 319-321</v>
      </c>
      <c r="Y13" s="738"/>
      <c r="Z13" s="727" t="str">
        <f>IFERROR(__xludf.DUMMYFUNCTION("""COMPUTED_VALUE"""),"https://drive.google.com/file/d/0B0-pry4DSOm3cXdWQjZPRGRpb1k/view?usp=sharing")</f>
        <v>https://drive.google.com/file/d/0B0-pry4DSOm3cXdWQjZPRGRpb1k/view?usp=sharing</v>
      </c>
      <c r="AA13" s="40"/>
      <c r="AB13" s="40"/>
    </row>
    <row r="14">
      <c r="A14" s="728" t="str">
        <f>IFERROR(__xludf.DUMMYFUNCTION("""COMPUTED_VALUE"""),"Andrade, 1995")</f>
        <v>Andrade, 1995</v>
      </c>
      <c r="B14" s="40"/>
      <c r="C14" s="718" t="str">
        <f>IFERROR(__xludf.DUMMYFUNCTION("""COMPUTED_VALUE"""),"Alex ")</f>
        <v>Alex </v>
      </c>
      <c r="D14" s="730" t="str">
        <f>IFERROR(__xludf.DUMMYFUNCTION("""COMPUTED_VALUE"""),"Brazil")</f>
        <v>Brazil</v>
      </c>
      <c r="E14" s="739" t="str">
        <f>IFERROR(__xludf.DUMMYFUNCTION("""COMPUTED_VALUE"""),"W. bancrofti")</f>
        <v>W. bancrofti</v>
      </c>
      <c r="F14" s="718" t="str">
        <f>IFERROR(__xludf.DUMMYFUNCTION("""COMPUTED_VALUE"""),"DEC")</f>
        <v>DEC</v>
      </c>
      <c r="G14" s="730" t="str">
        <f>IFERROR(__xludf.DUMMYFUNCTION("""COMPUTED_VALUE"""),"6 mg/kg ")</f>
        <v>6 mg/kg </v>
      </c>
      <c r="H14" s="740">
        <f>IFERROR(__xludf.DUMMYFUNCTION("""COMPUTED_VALUE"""),1.0)</f>
        <v>1</v>
      </c>
      <c r="I14" s="741"/>
      <c r="J14" s="742">
        <f>IFERROR(__xludf.DUMMYFUNCTION("""COMPUTED_VALUE"""),0.4)</f>
        <v>0.4</v>
      </c>
      <c r="K14" s="730" t="str">
        <f>IFERROR(__xludf.DUMMYFUNCTION("""COMPUTED_VALUE"""),"not available")</f>
        <v>not available</v>
      </c>
      <c r="L14" s="734">
        <f>IFERROR(__xludf.DUMMYFUNCTION("""COMPUTED_VALUE"""),15.0)</f>
        <v>15</v>
      </c>
      <c r="M14" s="730" t="str">
        <f>IFERROR(__xludf.DUMMYFUNCTION("""COMPUTED_VALUE"""),"18-20")</f>
        <v>18-20</v>
      </c>
      <c r="N14" s="734" t="str">
        <f>IFERROR(__xludf.DUMMYFUNCTION("""COMPUTED_VALUE"""),"male")</f>
        <v>male</v>
      </c>
      <c r="O14" s="730" t="str">
        <f>IFERROR(__xludf.DUMMYFUNCTION("""COMPUTED_VALUE"""),"presence of microfilaraemia as determined by blood film 
examination or Nuclepore filtration of blood: permanent residence within Greater Recife where bancroftian filariasis is endemic; no prior treatment with DEC; the
 absence of medical problems related"&amp;" to lymphatic filariasis; and willingness to participate in the study.")</f>
        <v>presence of microfilaraemia as determined by blood film 
examination or Nuclepore filtration of blood: permanent residence within Greater Recife where bancroftian filariasis is endemic; no prior treatment with DEC; the
 absence of medical problems related to lymphatic filariasis; and willingness to participate in the study.</v>
      </c>
      <c r="P14" s="736" t="str">
        <f>IFERROR(__xludf.DUMMYFUNCTION("""COMPUTED_VALUE"""),"single blind randomized hospital-based therapeutic trial")</f>
        <v>single blind randomized hospital-based therapeutic trial</v>
      </c>
      <c r="Q14" s="718" t="str">
        <f>IFERROR(__xludf.DUMMYFUNCTION("""COMPUTED_VALUE"""),"Yes")</f>
        <v>Yes</v>
      </c>
      <c r="R14" s="730" t="str">
        <f>IFERROR(__xludf.DUMMYFUNCTION("""COMPUTED_VALUE"""),"Yes")</f>
        <v>Yes</v>
      </c>
      <c r="S14" s="730" t="str">
        <f>IFERROR(__xludf.DUMMYFUNCTION("""COMPUTED_VALUE"""),"12 months")</f>
        <v>12 months</v>
      </c>
      <c r="T14" s="730" t="str">
        <f>IFERROR(__xludf.DUMMYFUNCTION("""COMPUTED_VALUE"""),"A single dose of DEC was significantly less effective than the other 2 regimens during the 
6 months following treatment, but after 1 year its effect 
was virtually identical to that of the multidose treatments.")</f>
        <v>A single dose of DEC was significantly less effective than the other 2 regimens during the 
6 months following treatment, but after 1 year its effect 
was virtually identical to that of the multidose treatments.</v>
      </c>
      <c r="U14" s="40"/>
      <c r="V14" s="737">
        <f>IFERROR(__xludf.DUMMYFUNCTION("""COMPUTED_VALUE"""),1995.0)</f>
        <v>1995</v>
      </c>
      <c r="W14" s="737">
        <f>IFERROR(__xludf.DUMMYFUNCTION("""COMPUTED_VALUE"""),1995.0)</f>
        <v>1995</v>
      </c>
      <c r="X14" s="40" t="str">
        <f>IFERROR(__xludf.DUMMYFUNCTION("""COMPUTED_VALUE"""),"Andrade LD, Medeiros Z, Pires ML, Pimentel A, Rocha A, Figueredo-Silva J, Comparative efficacy of three different diethylcarbamazine regimens in
 lymphatic filariasis. TRANSACTIONS OF IHE ROY~I. SOCIETY OF TROPICAL MEDICINE AND HYGIENE (1995) 89, 319-321")</f>
        <v>Andrade LD, Medeiros Z, Pires ML, Pimentel A, Rocha A, Figueredo-Silva J, Comparative efficacy of three different diethylcarbamazine regimens in
 lymphatic filariasis. TRANSACTIONS OF IHE ROY~I. SOCIETY OF TROPICAL MEDICINE AND HYGIENE (1995) 89, 319-321</v>
      </c>
      <c r="Y14" s="738"/>
      <c r="Z14" s="727" t="str">
        <f>IFERROR(__xludf.DUMMYFUNCTION("""COMPUTED_VALUE"""),"https://drive.google.com/file/d/0B0-pry4DSOm3cXdWQjZPRGRpb1k/view?usp=sharing")</f>
        <v>https://drive.google.com/file/d/0B0-pry4DSOm3cXdWQjZPRGRpb1k/view?usp=sharing</v>
      </c>
      <c r="AA14" s="40"/>
      <c r="AB14" s="40"/>
    </row>
    <row r="15">
      <c r="A15" s="717" t="str">
        <f>IFERROR(__xludf.DUMMYFUNCTION("""COMPUTED_VALUE"""),"Beach MJ, 1999")</f>
        <v>Beach MJ, 1999</v>
      </c>
      <c r="B15" s="40"/>
      <c r="C15" s="718" t="str">
        <f>IFERROR(__xludf.DUMMYFUNCTION("""COMPUTED_VALUE"""),"Ally")</f>
        <v>Ally</v>
      </c>
      <c r="D15" s="718" t="str">
        <f>IFERROR(__xludf.DUMMYFUNCTION("""COMPUTED_VALUE"""),"Haiti")</f>
        <v>Haiti</v>
      </c>
      <c r="E15" s="719" t="str">
        <f>IFERROR(__xludf.DUMMYFUNCTION("""COMPUTED_VALUE"""),"W. bancrofti")</f>
        <v>W. bancrofti</v>
      </c>
      <c r="F15" s="718" t="str">
        <f>IFERROR(__xludf.DUMMYFUNCTION("""COMPUTED_VALUE"""),"Placebo")</f>
        <v>Placebo</v>
      </c>
      <c r="G15" s="718" t="str">
        <f>IFERROR(__xludf.DUMMYFUNCTION("""COMPUTED_VALUE"""),"(250 mg Vitamin C)")</f>
        <v>(250 mg Vitamin C)</v>
      </c>
      <c r="H15" s="718">
        <f>IFERROR(__xludf.DUMMYFUNCTION("""COMPUTED_VALUE"""),1.0)</f>
        <v>1</v>
      </c>
      <c r="I15" s="720">
        <f>IFERROR(__xludf.DUMMYFUNCTION("""COMPUTED_VALUE"""),0.143)</f>
        <v>0.143</v>
      </c>
      <c r="J15" s="743">
        <f>IFERROR(__xludf.DUMMYFUNCTION("""COMPUTED_VALUE"""),0.2)</f>
        <v>0.2</v>
      </c>
      <c r="K15" s="718" t="str">
        <f>IFERROR(__xludf.DUMMYFUNCTION("""COMPUTED_VALUE"""),"not available")</f>
        <v>not available</v>
      </c>
      <c r="L15" s="718">
        <f>IFERROR(__xludf.DUMMYFUNCTION("""COMPUTED_VALUE"""),25.0)</f>
        <v>25</v>
      </c>
      <c r="M15" s="718" t="str">
        <f>IFERROR(__xludf.DUMMYFUNCTION("""COMPUTED_VALUE"""),"5 to 11")</f>
        <v>5 to 11</v>
      </c>
      <c r="N15" s="744" t="str">
        <f>IFERROR(__xludf.DUMMYFUNCTION("""COMPUTED_VALUE"""),"407:558 (of full study population 996)")</f>
        <v>407:558 (of full study population 996)</v>
      </c>
      <c r="O15" s="718" t="str">
        <f>IFERROR(__xludf.DUMMYFUNCTION("""COMPUTED_VALUE"""),"Criteria for inclusion in the final study group included 1) age 5–11 years, 2) anthropometric measurements before and four months after treatment, 3) stool specimens before and 5 weeks after treatment, 4) random assignment to a treatment group and, 5) hei"&amp;"ght, weight, and age within limits of the anthropometric database Children with Wuchereria bancrofti filariasis and/or intestinal helminths")</f>
        <v>Criteria for inclusion in the final study group included 1) age 5–11 years, 2) anthropometric measurements before and four months after treatment, 3) stool specimens before and 5 weeks after treatment, 4) random assignment to a treatment group and, 5) height, weight, and age within limits of the anthropometric database Children with Wuchereria bancrofti filariasis and/or intestinal helminths</v>
      </c>
      <c r="P15" s="723" t="str">
        <f>IFERROR(__xludf.DUMMYFUNCTION("""COMPUTED_VALUE"""),"double-blind, RCT")</f>
        <v>double-blind, RCT</v>
      </c>
      <c r="Q15" s="718" t="str">
        <f>IFERROR(__xludf.DUMMYFUNCTION("""COMPUTED_VALUE"""),"Yes")</f>
        <v>Yes</v>
      </c>
      <c r="R15" s="718" t="str">
        <f>IFERROR(__xludf.DUMMYFUNCTION("""COMPUTED_VALUE"""),"Yes")</f>
        <v>Yes</v>
      </c>
      <c r="S15" s="718" t="str">
        <f>IFERROR(__xludf.DUMMYFUNCTION("""COMPUTED_VALUE"""),"4 months")</f>
        <v>4 months</v>
      </c>
      <c r="T15" s="718" t="str">
        <f>IFERROR(__xludf.DUMMYFUNCTION("""COMPUTED_VALUE"""),"""Our data suggest that an ivermectin/albendazole combination can simplify the delivery infrastructure and enhance efficacy against both intestinal helminths and W. bancrofti compared with either drug alone.""")</f>
        <v>"Our data suggest that an ivermectin/albendazole combination can simplify the delivery infrastructure and enhance efficacy against both intestinal helminths and W. bancrofti compared with either drug alone."</v>
      </c>
      <c r="U15" s="40"/>
      <c r="V15" s="724">
        <f>IFERROR(__xludf.DUMMYFUNCTION("""COMPUTED_VALUE"""),1999.0)</f>
        <v>1999</v>
      </c>
      <c r="W15" s="724">
        <f>IFERROR(__xludf.DUMMYFUNCTION("""COMPUTED_VALUE"""),1999.0)</f>
        <v>1999</v>
      </c>
      <c r="X15" s="40" t="str">
        <f>IFERROR(__xludf.DUMMYFUNCTION("""COMPUTED_VALUE"""),"Beach MJ, Streit TG, Addiss DG, Prospere R, Roberts JM, Lammie PJ. Assessment of combined ivermectin and albendazole for treatment of intestinal helminth and Wuchereria bancrofti infections in Haitian school children. American Journal of Tropical Medicine"&amp;" and Hygiene 1999;60 (3):479–86.")</f>
        <v>Beach MJ, Streit TG, Addiss DG, Prospere R, Roberts JM, Lammie PJ. Assessment of combined ivermectin and albendazole for treatment of intestinal helminth and Wuchereria bancrofti infections in Haitian school children. American Journal of Tropical Medicine and Hygiene 1999;60 (3):479–86.</v>
      </c>
      <c r="Y15" s="726"/>
      <c r="Z15" s="727" t="str">
        <f>IFERROR(__xludf.DUMMYFUNCTION("""COMPUTED_VALUE"""),"https://drive.google.com/file/d/0B4sJPAkX0Jo3WE9Mdjc0THBVNkU/view?usp=sharing")</f>
        <v>https://drive.google.com/file/d/0B4sJPAkX0Jo3WE9Mdjc0THBVNkU/view?usp=sharing</v>
      </c>
      <c r="AA15" s="40"/>
      <c r="AB15" s="40"/>
    </row>
    <row r="16">
      <c r="A16" s="717" t="str">
        <f>IFERROR(__xludf.DUMMYFUNCTION("""COMPUTED_VALUE"""),"Beach MJ, 1999")</f>
        <v>Beach MJ, 1999</v>
      </c>
      <c r="B16" s="40"/>
      <c r="C16" s="718" t="str">
        <f>IFERROR(__xludf.DUMMYFUNCTION("""COMPUTED_VALUE"""),"Ally")</f>
        <v>Ally</v>
      </c>
      <c r="D16" s="718" t="str">
        <f>IFERROR(__xludf.DUMMYFUNCTION("""COMPUTED_VALUE"""),"Haiti")</f>
        <v>Haiti</v>
      </c>
      <c r="E16" s="719" t="str">
        <f>IFERROR(__xludf.DUMMYFUNCTION("""COMPUTED_VALUE"""),"W. bancrofti")</f>
        <v>W. bancrofti</v>
      </c>
      <c r="F16" s="718" t="str">
        <f>IFERROR(__xludf.DUMMYFUNCTION("""COMPUTED_VALUE"""),"Ivermectin")</f>
        <v>Ivermectin</v>
      </c>
      <c r="G16" s="718" t="str">
        <f>IFERROR(__xludf.DUMMYFUNCTION("""COMPUTED_VALUE"""),".200 to .400 mg/kg")</f>
        <v>.200 to .400 mg/kg</v>
      </c>
      <c r="H16" s="718">
        <f>IFERROR(__xludf.DUMMYFUNCTION("""COMPUTED_VALUE"""),1.0)</f>
        <v>1</v>
      </c>
      <c r="I16" s="720">
        <f>IFERROR(__xludf.DUMMYFUNCTION("""COMPUTED_VALUE"""),0.736)</f>
        <v>0.736</v>
      </c>
      <c r="J16" s="743">
        <f>IFERROR(__xludf.DUMMYFUNCTION("""COMPUTED_VALUE"""),0.231)</f>
        <v>0.231</v>
      </c>
      <c r="K16" s="718" t="str">
        <f>IFERROR(__xludf.DUMMYFUNCTION("""COMPUTED_VALUE"""),"not available")</f>
        <v>not available</v>
      </c>
      <c r="L16" s="718">
        <f>IFERROR(__xludf.DUMMYFUNCTION("""COMPUTED_VALUE"""),26.0)</f>
        <v>26</v>
      </c>
      <c r="M16" s="718" t="str">
        <f>IFERROR(__xludf.DUMMYFUNCTION("""COMPUTED_VALUE"""),"5 to 11")</f>
        <v>5 to 11</v>
      </c>
      <c r="N16" s="744" t="str">
        <f>IFERROR(__xludf.DUMMYFUNCTION("""COMPUTED_VALUE"""),"407:558 (of full study population 996)")</f>
        <v>407:558 (of full study population 996)</v>
      </c>
      <c r="O16" s="718" t="str">
        <f>IFERROR(__xludf.DUMMYFUNCTION("""COMPUTED_VALUE"""),"Criteria for inclusion in the final study group included 1) age 5–11 years, 2) anthropometric measurements before and four months after treatment, 3) stool specimens before and 5 weeks after treatment, 4) random assignment to a treatment group and, 5) hei"&amp;"ght, weight, and age within limits of the anthropometric database Children with Wuchereria bancrofti filariasis and/or intestinal helminths")</f>
        <v>Criteria for inclusion in the final study group included 1) age 5–11 years, 2) anthropometric measurements before and four months after treatment, 3) stool specimens before and 5 weeks after treatment, 4) random assignment to a treatment group and, 5) height, weight, and age within limits of the anthropometric database Children with Wuchereria bancrofti filariasis and/or intestinal helminths</v>
      </c>
      <c r="P16" s="723" t="str">
        <f>IFERROR(__xludf.DUMMYFUNCTION("""COMPUTED_VALUE"""),"double-blind, RCT")</f>
        <v>double-blind, RCT</v>
      </c>
      <c r="Q16" s="718" t="str">
        <f>IFERROR(__xludf.DUMMYFUNCTION("""COMPUTED_VALUE"""),"Yes")</f>
        <v>Yes</v>
      </c>
      <c r="R16" s="718" t="str">
        <f>IFERROR(__xludf.DUMMYFUNCTION("""COMPUTED_VALUE"""),"Yes")</f>
        <v>Yes</v>
      </c>
      <c r="S16" s="718" t="str">
        <f>IFERROR(__xludf.DUMMYFUNCTION("""COMPUTED_VALUE"""),"4 months")</f>
        <v>4 months</v>
      </c>
      <c r="T16" s="718" t="str">
        <f>IFERROR(__xludf.DUMMYFUNCTION("""COMPUTED_VALUE"""),"""Our data suggest that an ivermectin/albendazole combination can simplify the delivery infrastructure and enhance efficacy against both intestinal helminths and W. bancrofti compared with either drug alone.""")</f>
        <v>"Our data suggest that an ivermectin/albendazole combination can simplify the delivery infrastructure and enhance efficacy against both intestinal helminths and W. bancrofti compared with either drug alone."</v>
      </c>
      <c r="U16" s="40"/>
      <c r="V16" s="724">
        <f>IFERROR(__xludf.DUMMYFUNCTION("""COMPUTED_VALUE"""),1999.0)</f>
        <v>1999</v>
      </c>
      <c r="W16" s="724">
        <f>IFERROR(__xludf.DUMMYFUNCTION("""COMPUTED_VALUE"""),1999.0)</f>
        <v>1999</v>
      </c>
      <c r="X16" s="40" t="str">
        <f>IFERROR(__xludf.DUMMYFUNCTION("""COMPUTED_VALUE"""),"Beach MJ, Streit TG, Addiss DG, Prospere R, Roberts JM, Lammie PJ. Assessment of combined ivermectin and albendazole for treatment of intestinal helminth and Wuchereria bancrofti infections in Haitian school children. American Journal of Tropical Medicine"&amp;" and Hygiene 1999;60 (3):479–86.")</f>
        <v>Beach MJ, Streit TG, Addiss DG, Prospere R, Roberts JM, Lammie PJ. Assessment of combined ivermectin and albendazole for treatment of intestinal helminth and Wuchereria bancrofti infections in Haitian school children. American Journal of Tropical Medicine and Hygiene 1999;60 (3):479–86.</v>
      </c>
      <c r="Y16" s="726"/>
      <c r="Z16" s="727" t="str">
        <f>IFERROR(__xludf.DUMMYFUNCTION("""COMPUTED_VALUE"""),"https://drive.google.com/file/d/0B4sJPAkX0Jo3WE9Mdjc0THBVNkU/view?usp=sharing")</f>
        <v>https://drive.google.com/file/d/0B4sJPAkX0Jo3WE9Mdjc0THBVNkU/view?usp=sharing</v>
      </c>
      <c r="AA16" s="40"/>
      <c r="AB16" s="40"/>
    </row>
    <row r="17">
      <c r="A17" s="717" t="str">
        <f>IFERROR(__xludf.DUMMYFUNCTION("""COMPUTED_VALUE"""),"Beach MJ, 1999")</f>
        <v>Beach MJ, 1999</v>
      </c>
      <c r="B17" s="40"/>
      <c r="C17" s="718" t="str">
        <f>IFERROR(__xludf.DUMMYFUNCTION("""COMPUTED_VALUE"""),"Ally")</f>
        <v>Ally</v>
      </c>
      <c r="D17" s="718" t="str">
        <f>IFERROR(__xludf.DUMMYFUNCTION("""COMPUTED_VALUE"""),"Haiti")</f>
        <v>Haiti</v>
      </c>
      <c r="E17" s="719" t="str">
        <f>IFERROR(__xludf.DUMMYFUNCTION("""COMPUTED_VALUE"""),"W. bancrofti")</f>
        <v>W. bancrofti</v>
      </c>
      <c r="F17" s="718" t="str">
        <f>IFERROR(__xludf.DUMMYFUNCTION("""COMPUTED_VALUE"""),"Albendazole")</f>
        <v>Albendazole</v>
      </c>
      <c r="G17" s="718" t="str">
        <f>IFERROR(__xludf.DUMMYFUNCTION("""COMPUTED_VALUE"""),"400 mg")</f>
        <v>400 mg</v>
      </c>
      <c r="H17" s="718">
        <f>IFERROR(__xludf.DUMMYFUNCTION("""COMPUTED_VALUE"""),1.0)</f>
        <v>1</v>
      </c>
      <c r="I17" s="741"/>
      <c r="J17" s="741"/>
      <c r="K17" s="718" t="str">
        <f>IFERROR(__xludf.DUMMYFUNCTION("""COMPUTED_VALUE"""),"not available")</f>
        <v>not available</v>
      </c>
      <c r="L17" s="718">
        <f>IFERROR(__xludf.DUMMYFUNCTION("""COMPUTED_VALUE"""),26.0)</f>
        <v>26</v>
      </c>
      <c r="M17" s="718" t="str">
        <f>IFERROR(__xludf.DUMMYFUNCTION("""COMPUTED_VALUE"""),"5 to 11")</f>
        <v>5 to 11</v>
      </c>
      <c r="N17" s="744" t="str">
        <f>IFERROR(__xludf.DUMMYFUNCTION("""COMPUTED_VALUE"""),"407:558 (of full study population 996)")</f>
        <v>407:558 (of full study population 996)</v>
      </c>
      <c r="O17" s="718" t="str">
        <f>IFERROR(__xludf.DUMMYFUNCTION("""COMPUTED_VALUE"""),"Criteria for inclusion in the final study group included 1) age 5–11 years, 2) anthropometric measurements before and four months after treatment, 3) stool specimens before and 5 weeks after treatment, 4) random assignment to a treatment group and, 5) hei"&amp;"ght, weight, and age within limits of the anthropometric database Children with Wuchereria bancrofti filariasis and/or intestinal helminths")</f>
        <v>Criteria for inclusion in the final study group included 1) age 5–11 years, 2) anthropometric measurements before and four months after treatment, 3) stool specimens before and 5 weeks after treatment, 4) random assignment to a treatment group and, 5) height, weight, and age within limits of the anthropometric database Children with Wuchereria bancrofti filariasis and/or intestinal helminths</v>
      </c>
      <c r="P17" s="723" t="str">
        <f>IFERROR(__xludf.DUMMYFUNCTION("""COMPUTED_VALUE"""),"double-blind, RCT")</f>
        <v>double-blind, RCT</v>
      </c>
      <c r="Q17" s="718" t="str">
        <f>IFERROR(__xludf.DUMMYFUNCTION("""COMPUTED_VALUE"""),"Yes")</f>
        <v>Yes</v>
      </c>
      <c r="R17" s="718" t="str">
        <f>IFERROR(__xludf.DUMMYFUNCTION("""COMPUTED_VALUE"""),"Yes")</f>
        <v>Yes</v>
      </c>
      <c r="S17" s="718" t="str">
        <f>IFERROR(__xludf.DUMMYFUNCTION("""COMPUTED_VALUE"""),"4 months")</f>
        <v>4 months</v>
      </c>
      <c r="T17" s="718" t="str">
        <f>IFERROR(__xludf.DUMMYFUNCTION("""COMPUTED_VALUE"""),"""Our data suggest that an ivermectin/albendazole combination can simplify the delivery infrastructure and enhance efficacy against both intestinal helminths and W. bancrofti compared with either drug alone.""")</f>
        <v>"Our data suggest that an ivermectin/albendazole combination can simplify the delivery infrastructure and enhance efficacy against both intestinal helminths and W. bancrofti compared with either drug alone."</v>
      </c>
      <c r="U17" s="40"/>
      <c r="V17" s="724">
        <f>IFERROR(__xludf.DUMMYFUNCTION("""COMPUTED_VALUE"""),1999.0)</f>
        <v>1999</v>
      </c>
      <c r="W17" s="724">
        <f>IFERROR(__xludf.DUMMYFUNCTION("""COMPUTED_VALUE"""),1999.0)</f>
        <v>1999</v>
      </c>
      <c r="X17" s="40" t="str">
        <f>IFERROR(__xludf.DUMMYFUNCTION("""COMPUTED_VALUE"""),"Beach MJ, Streit TG, Addiss DG, Prospere R, Roberts JM, Lammie PJ. Assessment of combined ivermectin and albendazole for treatment of intestinal helminth and Wuchereria bancrofti infections in Haitian school children. American Journal of Tropical Medicine"&amp;" and Hygiene 1999;60 (3):479–86.")</f>
        <v>Beach MJ, Streit TG, Addiss DG, Prospere R, Roberts JM, Lammie PJ. Assessment of combined ivermectin and albendazole for treatment of intestinal helminth and Wuchereria bancrofti infections in Haitian school children. American Journal of Tropical Medicine and Hygiene 1999;60 (3):479–86.</v>
      </c>
      <c r="Y17" s="726"/>
      <c r="Z17" s="727" t="str">
        <f>IFERROR(__xludf.DUMMYFUNCTION("""COMPUTED_VALUE"""),"https://drive.google.com/file/d/0B4sJPAkX0Jo3WE9Mdjc0THBVNkU/view?usp=sharing")</f>
        <v>https://drive.google.com/file/d/0B4sJPAkX0Jo3WE9Mdjc0THBVNkU/view?usp=sharing</v>
      </c>
      <c r="AA17" s="40"/>
      <c r="AB17" s="40"/>
    </row>
    <row r="18">
      <c r="A18" s="717" t="str">
        <f>IFERROR(__xludf.DUMMYFUNCTION("""COMPUTED_VALUE"""),"Beach MJ, 1999")</f>
        <v>Beach MJ, 1999</v>
      </c>
      <c r="B18" s="40"/>
      <c r="C18" s="718" t="str">
        <f>IFERROR(__xludf.DUMMYFUNCTION("""COMPUTED_VALUE"""),"Ally")</f>
        <v>Ally</v>
      </c>
      <c r="D18" s="718" t="str">
        <f>IFERROR(__xludf.DUMMYFUNCTION("""COMPUTED_VALUE"""),"Haiti")</f>
        <v>Haiti</v>
      </c>
      <c r="E18" s="719" t="str">
        <f>IFERROR(__xludf.DUMMYFUNCTION("""COMPUTED_VALUE"""),"W. bancrofti")</f>
        <v>W. bancrofti</v>
      </c>
      <c r="F18" s="718" t="str">
        <f>IFERROR(__xludf.DUMMYFUNCTION("""COMPUTED_VALUE"""),"Albendazole &amp; Ivermectin")</f>
        <v>Albendazole &amp; Ivermectin</v>
      </c>
      <c r="G18" s="718" t="str">
        <f>IFERROR(__xludf.DUMMYFUNCTION("""COMPUTED_VALUE"""),"400 mg + .200-.400 mg/kg")</f>
        <v>400 mg + .200-.400 mg/kg</v>
      </c>
      <c r="H18" s="718">
        <f>IFERROR(__xludf.DUMMYFUNCTION("""COMPUTED_VALUE"""),1.0)</f>
        <v>1</v>
      </c>
      <c r="I18" s="720">
        <f>IFERROR(__xludf.DUMMYFUNCTION("""COMPUTED_VALUE"""),0.987)</f>
        <v>0.987</v>
      </c>
      <c r="J18" s="743">
        <f>IFERROR(__xludf.DUMMYFUNCTION("""COMPUTED_VALUE"""),0.682)</f>
        <v>0.682</v>
      </c>
      <c r="K18" s="718" t="str">
        <f>IFERROR(__xludf.DUMMYFUNCTION("""COMPUTED_VALUE"""),"not available")</f>
        <v>not available</v>
      </c>
      <c r="L18" s="718">
        <f>IFERROR(__xludf.DUMMYFUNCTION("""COMPUTED_VALUE"""),19.0)</f>
        <v>19</v>
      </c>
      <c r="M18" s="718" t="str">
        <f>IFERROR(__xludf.DUMMYFUNCTION("""COMPUTED_VALUE"""),"5 to 11")</f>
        <v>5 to 11</v>
      </c>
      <c r="N18" s="744" t="str">
        <f>IFERROR(__xludf.DUMMYFUNCTION("""COMPUTED_VALUE"""),"407:558 (of full study population 996)")</f>
        <v>407:558 (of full study population 996)</v>
      </c>
      <c r="O18" s="718" t="str">
        <f>IFERROR(__xludf.DUMMYFUNCTION("""COMPUTED_VALUE"""),"Criteria for inclusion in the final study group included 1) age 5–11 years, 2) anthropometric measurements before and four months after treatment, 3) stool specimens before and 5 weeks after treatment, 4) random assignment to a treatment group and, 5) hei"&amp;"ght, weight, and age within limits of the anthropometric database Children with Wuchereria bancrofti filariasis and/or intestinal helminths")</f>
        <v>Criteria for inclusion in the final study group included 1) age 5–11 years, 2) anthropometric measurements before and four months after treatment, 3) stool specimens before and 5 weeks after treatment, 4) random assignment to a treatment group and, 5) height, weight, and age within limits of the anthropometric database Children with Wuchereria bancrofti filariasis and/or intestinal helminths</v>
      </c>
      <c r="P18" s="723" t="str">
        <f>IFERROR(__xludf.DUMMYFUNCTION("""COMPUTED_VALUE"""),"double-blind, RCT")</f>
        <v>double-blind, RCT</v>
      </c>
      <c r="Q18" s="718" t="str">
        <f>IFERROR(__xludf.DUMMYFUNCTION("""COMPUTED_VALUE"""),"Yes")</f>
        <v>Yes</v>
      </c>
      <c r="R18" s="718" t="str">
        <f>IFERROR(__xludf.DUMMYFUNCTION("""COMPUTED_VALUE"""),"Yes")</f>
        <v>Yes</v>
      </c>
      <c r="S18" s="718" t="str">
        <f>IFERROR(__xludf.DUMMYFUNCTION("""COMPUTED_VALUE"""),"4 months")</f>
        <v>4 months</v>
      </c>
      <c r="T18" s="718" t="str">
        <f>IFERROR(__xludf.DUMMYFUNCTION("""COMPUTED_VALUE"""),"""Our data suggest that an ivermectin/albendazole combination can simplify the delivery infrastructure and enhance efficacy against both intestinal helminths and W. bancrofti compared with either drug alone.""")</f>
        <v>"Our data suggest that an ivermectin/albendazole combination can simplify the delivery infrastructure and enhance efficacy against both intestinal helminths and W. bancrofti compared with either drug alone."</v>
      </c>
      <c r="U18" s="40"/>
      <c r="V18" s="724">
        <f>IFERROR(__xludf.DUMMYFUNCTION("""COMPUTED_VALUE"""),1999.0)</f>
        <v>1999</v>
      </c>
      <c r="W18" s="724">
        <f>IFERROR(__xludf.DUMMYFUNCTION("""COMPUTED_VALUE"""),1999.0)</f>
        <v>1999</v>
      </c>
      <c r="X18" s="40" t="str">
        <f>IFERROR(__xludf.DUMMYFUNCTION("""COMPUTED_VALUE"""),"Beach MJ, Streit TG, Addiss DG, Prospere R, Roberts JM, Lammie PJ. Assessment of combined ivermectin and albendazole for treatment of intestinal helminth and Wuchereria bancrofti infections in Haitian school children. American Journal of Tropical Medicine"&amp;" and Hygiene 1999;60 (3):479–86.")</f>
        <v>Beach MJ, Streit TG, Addiss DG, Prospere R, Roberts JM, Lammie PJ. Assessment of combined ivermectin and albendazole for treatment of intestinal helminth and Wuchereria bancrofti infections in Haitian school children. American Journal of Tropical Medicine and Hygiene 1999;60 (3):479–86.</v>
      </c>
      <c r="Y18" s="726"/>
      <c r="Z18" s="727" t="str">
        <f>IFERROR(__xludf.DUMMYFUNCTION("""COMPUTED_VALUE"""),"https://drive.google.com/file/d/0B4sJPAkX0Jo3WE9Mdjc0THBVNkU/view?usp=sharing")</f>
        <v>https://drive.google.com/file/d/0B4sJPAkX0Jo3WE9Mdjc0THBVNkU/view?usp=sharing</v>
      </c>
      <c r="AA18" s="40"/>
      <c r="AB18" s="40"/>
    </row>
    <row r="19">
      <c r="A19" s="745" t="str">
        <f>IFERROR(__xludf.DUMMYFUNCTION("""COMPUTED_VALUE"""),"Debrah, 2007")</f>
        <v>Debrah, 2007</v>
      </c>
      <c r="B19" s="746" t="str">
        <f>IFERROR(__xludf.DUMMYFUNCTION("""COMPUTED_VALUE"""),"Chungsoo")</f>
        <v>Chungsoo</v>
      </c>
      <c r="C19" s="730" t="str">
        <f>IFERROR(__xludf.DUMMYFUNCTION("""COMPUTED_VALUE"""),"Ross")</f>
        <v>Ross</v>
      </c>
      <c r="D19" s="730" t="str">
        <f>IFERROR(__xludf.DUMMYFUNCTION("""COMPUTED_VALUE"""),"Ghana")</f>
        <v>Ghana</v>
      </c>
      <c r="E19" s="747" t="str">
        <f>IFERROR(__xludf.DUMMYFUNCTION("""COMPUTED_VALUE"""),"W. bancrofti")</f>
        <v>W. bancrofti</v>
      </c>
      <c r="F19" s="732" t="str">
        <f>IFERROR(__xludf.DUMMYFUNCTION("""COMPUTED_VALUE"""),"Doxycycline &amp; Ivermectin")</f>
        <v>Doxycycline &amp; Ivermectin</v>
      </c>
      <c r="G19" s="730" t="str">
        <f>IFERROR(__xludf.DUMMYFUNCTION("""COMPUTED_VALUE"""),"200 mg  + .150 μg/kg")</f>
        <v>200 mg  + .150 μg/kg</v>
      </c>
      <c r="H19" s="740">
        <f>IFERROR(__xludf.DUMMYFUNCTION("""COMPUTED_VALUE"""),28.0)</f>
        <v>28</v>
      </c>
      <c r="I19" s="733">
        <f>IFERROR(__xludf.DUMMYFUNCTION("""COMPUTED_VALUE"""),0.8)</f>
        <v>0.8</v>
      </c>
      <c r="J19" s="741"/>
      <c r="K19" s="40"/>
      <c r="L19" s="734">
        <f>IFERROR(__xludf.DUMMYFUNCTION("""COMPUTED_VALUE"""),18.0)</f>
        <v>18</v>
      </c>
      <c r="M19" s="730" t="str">
        <f>IFERROR(__xludf.DUMMYFUNCTION("""COMPUTED_VALUE"""),"18-60")</f>
        <v>18-60</v>
      </c>
      <c r="N19" s="744" t="str">
        <f>IFERROR(__xludf.DUMMYFUNCTION("""COMPUTED_VALUE"""),"male")</f>
        <v>male</v>
      </c>
      <c r="O19" s="730" t="str">
        <f>IFERROR(__xludf.DUMMYFUNCTION("""COMPUTED_VALUE"""),"Excluded pregnant women, lactating mothers and children less than 9 years of age.")</f>
        <v>Excluded pregnant women, lactating mothers and children less than 9 years of age.</v>
      </c>
      <c r="P19" s="748" t="str">
        <f>IFERROR(__xludf.DUMMYFUNCTION("""COMPUTED_VALUE"""),"open trial")</f>
        <v>open trial</v>
      </c>
      <c r="Q19" s="730" t="str">
        <f>IFERROR(__xludf.DUMMYFUNCTION("""COMPUTED_VALUE"""),"No")</f>
        <v>No</v>
      </c>
      <c r="R19" s="730" t="str">
        <f>IFERROR(__xludf.DUMMYFUNCTION("""COMPUTED_VALUE"""),"No")</f>
        <v>No</v>
      </c>
      <c r="S19" s="730" t="str">
        <f>IFERROR(__xludf.DUMMYFUNCTION("""COMPUTED_VALUE"""),"24 months")</f>
        <v>24 months</v>
      </c>
      <c r="T19" s="746" t="str">
        <f>IFERROR(__xludf.DUMMYFUNCTION("""COMPUTED_VALUE"""),"A 4-week regimen of doxycycline seems sufficient to kill adult W. bancrofti and could be advantageous for the treatment of individual patients, e.g. in outpatient clinics.")</f>
        <v>A 4-week regimen of doxycycline seems sufficient to kill adult W. bancrofti and could be advantageous for the treatment of individual patients, e.g. in outpatient clinics.</v>
      </c>
      <c r="U19" s="40"/>
      <c r="V19" s="737">
        <f>IFERROR(__xludf.DUMMYFUNCTION("""COMPUTED_VALUE"""),2007.0)</f>
        <v>2007</v>
      </c>
      <c r="W19" s="737">
        <f>IFERROR(__xludf.DUMMYFUNCTION("""COMPUTED_VALUE"""),2007.0)</f>
        <v>2007</v>
      </c>
      <c r="X19" s="746" t="str">
        <f>IFERROR(__xludf.DUMMYFUNCTION("""COMPUTED_VALUE"""),"Debrah AY, Mand S, Marfo-Debrekyei Y, Batsa L, Pfarr K, Buttner M, et al. Macrofilaricidal effect of 4 weeks of treatment with doxycycline on Wuchereria bancrofti. Tropical Medicine &amp; International Health. Wiley-Blackwell; 2007 Dec 7;12(12):1433–41.")</f>
        <v>Debrah AY, Mand S, Marfo-Debrekyei Y, Batsa L, Pfarr K, Buttner M, et al. Macrofilaricidal effect of 4 weeks of treatment with doxycycline on Wuchereria bancrofti. Tropical Medicine &amp; International Health. Wiley-Blackwell; 2007 Dec 7;12(12):1433–41.</v>
      </c>
      <c r="Y19" s="738" t="str">
        <f>IFERROR(__xludf.DUMMYFUNCTION("""COMPUTED_VALUE"""),"10.1111/j.1365-3156.2007.01949.x")</f>
        <v>10.1111/j.1365-3156.2007.01949.x</v>
      </c>
      <c r="Z19" s="727" t="str">
        <f>IFERROR(__xludf.DUMMYFUNCTION("""COMPUTED_VALUE"""),"https://drive.google.com/file/d/0B0-pry4DSOm3dFhweEtUZEdpTlE/view?usp=sharing")</f>
        <v>https://drive.google.com/file/d/0B0-pry4DSOm3dFhweEtUZEdpTlE/view?usp=sharing</v>
      </c>
      <c r="AA19" s="40" t="str">
        <f>IFERROR(__xludf.DUMMYFUNCTION("""COMPUTED_VALUE"""),"x")</f>
        <v>x</v>
      </c>
      <c r="AB19" s="40"/>
    </row>
    <row r="20">
      <c r="A20" s="745" t="str">
        <f>IFERROR(__xludf.DUMMYFUNCTION("""COMPUTED_VALUE"""),"Debrah, 2007")</f>
        <v>Debrah, 2007</v>
      </c>
      <c r="B20" s="746" t="str">
        <f>IFERROR(__xludf.DUMMYFUNCTION("""COMPUTED_VALUE"""),"Chungsoo")</f>
        <v>Chungsoo</v>
      </c>
      <c r="C20" s="730" t="str">
        <f>IFERROR(__xludf.DUMMYFUNCTION("""COMPUTED_VALUE"""),"Ross")</f>
        <v>Ross</v>
      </c>
      <c r="D20" s="730" t="str">
        <f>IFERROR(__xludf.DUMMYFUNCTION("""COMPUTED_VALUE"""),"Ghana")</f>
        <v>Ghana</v>
      </c>
      <c r="E20" s="747" t="str">
        <f>IFERROR(__xludf.DUMMYFUNCTION("""COMPUTED_VALUE"""),"W. bancrofti")</f>
        <v>W. bancrofti</v>
      </c>
      <c r="F20" s="732" t="str">
        <f>IFERROR(__xludf.DUMMYFUNCTION("""COMPUTED_VALUE"""),"Ivermectin")</f>
        <v>Ivermectin</v>
      </c>
      <c r="G20" s="732" t="str">
        <f>IFERROR(__xludf.DUMMYFUNCTION("""COMPUTED_VALUE"""),".150 mg/kg ")</f>
        <v>.150 mg/kg </v>
      </c>
      <c r="H20" s="732">
        <f>IFERROR(__xludf.DUMMYFUNCTION("""COMPUTED_VALUE"""),1.0)</f>
        <v>1</v>
      </c>
      <c r="I20" s="733">
        <f>IFERROR(__xludf.DUMMYFUNCTION("""COMPUTED_VALUE"""),0.23)</f>
        <v>0.23</v>
      </c>
      <c r="J20" s="741"/>
      <c r="K20" s="40"/>
      <c r="L20" s="734">
        <f>IFERROR(__xludf.DUMMYFUNCTION("""COMPUTED_VALUE"""),7.0)</f>
        <v>7</v>
      </c>
      <c r="M20" s="730" t="str">
        <f>IFERROR(__xludf.DUMMYFUNCTION("""COMPUTED_VALUE"""),"18-60")</f>
        <v>18-60</v>
      </c>
      <c r="N20" s="744" t="str">
        <f>IFERROR(__xludf.DUMMYFUNCTION("""COMPUTED_VALUE"""),"male")</f>
        <v>male</v>
      </c>
      <c r="O20" s="730" t="str">
        <f>IFERROR(__xludf.DUMMYFUNCTION("""COMPUTED_VALUE"""),"Excluded pregnant women, lactating mothers and children less than 9 years of age.")</f>
        <v>Excluded pregnant women, lactating mothers and children less than 9 years of age.</v>
      </c>
      <c r="P20" s="748" t="str">
        <f>IFERROR(__xludf.DUMMYFUNCTION("""COMPUTED_VALUE"""),"open trial")</f>
        <v>open trial</v>
      </c>
      <c r="Q20" s="730" t="str">
        <f>IFERROR(__xludf.DUMMYFUNCTION("""COMPUTED_VALUE"""),"No")</f>
        <v>No</v>
      </c>
      <c r="R20" s="730" t="str">
        <f>IFERROR(__xludf.DUMMYFUNCTION("""COMPUTED_VALUE"""),"No")</f>
        <v>No</v>
      </c>
      <c r="S20" s="730" t="str">
        <f>IFERROR(__xludf.DUMMYFUNCTION("""COMPUTED_VALUE"""),"24 months")</f>
        <v>24 months</v>
      </c>
      <c r="T20" s="746" t="str">
        <f>IFERROR(__xludf.DUMMYFUNCTION("""COMPUTED_VALUE"""),"A 4-week regimen of doxycycline seems sufficient to kill adult W. bancrofti and could be advantageous for the treatment of individual patients, e.g. in outpatient clinics.")</f>
        <v>A 4-week regimen of doxycycline seems sufficient to kill adult W. bancrofti and could be advantageous for the treatment of individual patients, e.g. in outpatient clinics.</v>
      </c>
      <c r="U20" s="40"/>
      <c r="V20" s="737">
        <f>IFERROR(__xludf.DUMMYFUNCTION("""COMPUTED_VALUE"""),2007.0)</f>
        <v>2007</v>
      </c>
      <c r="W20" s="737">
        <f>IFERROR(__xludf.DUMMYFUNCTION("""COMPUTED_VALUE"""),2007.0)</f>
        <v>2007</v>
      </c>
      <c r="X20" s="746" t="str">
        <f>IFERROR(__xludf.DUMMYFUNCTION("""COMPUTED_VALUE"""),"Debrah AY, Mand S, Marfo-Debrekyei Y, Batsa L, Pfarr K, Buttner M, et al. Macrofilaricidal effect of 4 weeks of treatment with doxycycline on Wuchereria bancrofti. Tropical Medicine &amp; International Health. Wiley-Blackwell; 2007 Dec 7;12(12):1433–41.")</f>
        <v>Debrah AY, Mand S, Marfo-Debrekyei Y, Batsa L, Pfarr K, Buttner M, et al. Macrofilaricidal effect of 4 weeks of treatment with doxycycline on Wuchereria bancrofti. Tropical Medicine &amp; International Health. Wiley-Blackwell; 2007 Dec 7;12(12):1433–41.</v>
      </c>
      <c r="Y20" s="738" t="str">
        <f>IFERROR(__xludf.DUMMYFUNCTION("""COMPUTED_VALUE"""),"10.1111/j.1365-3156.2007.01949.x")</f>
        <v>10.1111/j.1365-3156.2007.01949.x</v>
      </c>
      <c r="Z20" s="727" t="str">
        <f>IFERROR(__xludf.DUMMYFUNCTION("""COMPUTED_VALUE"""),"https://drive.google.com/file/d/0B0-pry4DSOm3dFhweEtUZEdpTlE/view?usp=sharing")</f>
        <v>https://drive.google.com/file/d/0B0-pry4DSOm3dFhweEtUZEdpTlE/view?usp=sharing</v>
      </c>
      <c r="AA20" s="40" t="str">
        <f>IFERROR(__xludf.DUMMYFUNCTION("""COMPUTED_VALUE"""),"x")</f>
        <v>x</v>
      </c>
      <c r="AB20" s="40"/>
    </row>
    <row r="21">
      <c r="A21" s="745" t="str">
        <f>IFERROR(__xludf.DUMMYFUNCTION("""COMPUTED_VALUE"""),"Dreyer 1996")</f>
        <v>Dreyer 1996</v>
      </c>
      <c r="B21" s="746" t="str">
        <f>IFERROR(__xludf.DUMMYFUNCTION("""COMPUTED_VALUE"""),"Chungsoo")</f>
        <v>Chungsoo</v>
      </c>
      <c r="C21" s="746" t="str">
        <f>IFERROR(__xludf.DUMMYFUNCTION("""COMPUTED_VALUE"""),"Ross")</f>
        <v>Ross</v>
      </c>
      <c r="D21" s="746" t="str">
        <f>IFERROR(__xludf.DUMMYFUNCTION("""COMPUTED_VALUE"""),"Brazil")</f>
        <v>Brazil</v>
      </c>
      <c r="E21" s="747" t="str">
        <f>IFERROR(__xludf.DUMMYFUNCTION("""COMPUTED_VALUE"""),"W. bancrofti")</f>
        <v>W. bancrofti</v>
      </c>
      <c r="F21" s="746" t="str">
        <f>IFERROR(__xludf.DUMMYFUNCTION("""COMPUTED_VALUE"""),"Ivermectin")</f>
        <v>Ivermectin</v>
      </c>
      <c r="G21" s="746" t="str">
        <f>IFERROR(__xludf.DUMMYFUNCTION("""COMPUTED_VALUE"""),".400 mg/kg")</f>
        <v>.400 mg/kg</v>
      </c>
      <c r="H21" s="746">
        <f>IFERROR(__xludf.DUMMYFUNCTION("""COMPUTED_VALUE"""),12.0)</f>
        <v>12</v>
      </c>
      <c r="I21" s="749">
        <f>IFERROR(__xludf.DUMMYFUNCTION("""COMPUTED_VALUE"""),0.38)</f>
        <v>0.38</v>
      </c>
      <c r="J21" s="741"/>
      <c r="K21" s="40"/>
      <c r="L21" s="746">
        <f>IFERROR(__xludf.DUMMYFUNCTION("""COMPUTED_VALUE"""),15.0)</f>
        <v>15</v>
      </c>
      <c r="M21" s="750" t="str">
        <f>IFERROR(__xludf.DUMMYFUNCTION("""COMPUTED_VALUE"""),"20-49")</f>
        <v>20-49</v>
      </c>
      <c r="N21" s="744" t="str">
        <f>IFERROR(__xludf.DUMMYFUNCTION("""COMPUTED_VALUE"""),"male")</f>
        <v>male</v>
      </c>
      <c r="O21" s="746" t="str">
        <f>IFERROR(__xludf.DUMMYFUNCTION("""COMPUTED_VALUE"""),"Men who had been treated previously for filarial infection with DEC or ivermectin were excluded from the study, as were the participants of our previous study of single high-dose ivermectin")</f>
        <v>Men who had been treated previously for filarial infection with DEC or ivermectin were excluded from the study, as were the participants of our previous study of single high-dose ivermectin</v>
      </c>
      <c r="P21" s="751" t="str">
        <f>IFERROR(__xludf.DUMMYFUNCTION("""COMPUTED_VALUE"""),"single blind")</f>
        <v>single blind</v>
      </c>
      <c r="Q21" s="718" t="str">
        <f>IFERROR(__xludf.DUMMYFUNCTION("""COMPUTED_VALUE"""),"Yes")</f>
        <v>Yes</v>
      </c>
      <c r="R21" s="746" t="str">
        <f>IFERROR(__xludf.DUMMYFUNCTION("""COMPUTED_VALUE"""),"No")</f>
        <v>No</v>
      </c>
      <c r="S21" s="746" t="str">
        <f>IFERROR(__xludf.DUMMYFUNCTION("""COMPUTED_VALUE"""),"6 months")</f>
        <v>6 months</v>
      </c>
      <c r="T21" s="746" t="str">
        <f>IFERROR(__xludf.DUMMYFUNCTION("""COMPUTED_VALUE"""),"ivermectin appears to have no observable activity against adult W. bancrofti, although its ability to suppress microfilaraemia makes it potentially useful for the control of lymphatic filariasis.")</f>
        <v>ivermectin appears to have no observable activity against adult W. bancrofti, although its ability to suppress microfilaraemia makes it potentially useful for the control of lymphatic filariasis.</v>
      </c>
      <c r="U21" s="746" t="str">
        <f>IFERROR(__xludf.DUMMYFUNCTION("""COMPUTED_VALUE"""),"In all men, filaria dance signs were observed in the scrotal area; 9 were unilateral (5 on the right, 4 on the left); 6 bilateral.")</f>
        <v>In all men, filaria dance signs were observed in the scrotal area; 9 were unilateral (5 on the right, 4 on the left); 6 bilateral.</v>
      </c>
      <c r="V21" s="752">
        <f>IFERROR(__xludf.DUMMYFUNCTION("""COMPUTED_VALUE"""),1996.0)</f>
        <v>1996</v>
      </c>
      <c r="W21" s="752">
        <f>IFERROR(__xludf.DUMMYFUNCTION("""COMPUTED_VALUE"""),1996.0)</f>
        <v>1996</v>
      </c>
      <c r="X21" s="746" t="str">
        <f>IFERROR(__xludf.DUMMYFUNCTION("""COMPUTED_VALUE"""),"Dreyer G, Addiss D, Noroes J, Amaral F, Rocha A, Coutinho A. Ultrasonographic assessment of the adulticidal efficacy of repeat high-dose ivermectin in bancroftian filariasis. Tropical Medicine &amp; International Health. Wiley-Blackwell; 1996 Aug;1(4):427–32.")</f>
        <v>Dreyer G, Addiss D, Noroes J, Amaral F, Rocha A, Coutinho A. Ultrasonographic assessment of the adulticidal efficacy of repeat high-dose ivermectin in bancroftian filariasis. Tropical Medicine &amp; International Health. Wiley-Blackwell; 1996 Aug;1(4):427–32.</v>
      </c>
      <c r="Y21" s="726" t="str">
        <f>IFERROR(__xludf.DUMMYFUNCTION("""COMPUTED_VALUE"""),"10.1046/j.1365-3156.1996.d01-79.x")</f>
        <v>10.1046/j.1365-3156.1996.d01-79.x</v>
      </c>
      <c r="Z21" s="727" t="str">
        <f>IFERROR(__xludf.DUMMYFUNCTION("""COMPUTED_VALUE"""),"https://drive.google.com/file/d/0B-yoIBO7tf7FSVlvZ0k4TURHV00/view?usp=sharing")</f>
        <v>https://drive.google.com/file/d/0B-yoIBO7tf7FSVlvZ0k4TURHV00/view?usp=sharing</v>
      </c>
      <c r="AA21" s="40"/>
      <c r="AB21" s="40"/>
    </row>
    <row r="22">
      <c r="A22" s="745" t="str">
        <f>IFERROR(__xludf.DUMMYFUNCTION("""COMPUTED_VALUE"""),"Dreyer 1998")</f>
        <v>Dreyer 1998</v>
      </c>
      <c r="B22" s="746" t="str">
        <f>IFERROR(__xludf.DUMMYFUNCTION("""COMPUTED_VALUE"""),"Chungsoo")</f>
        <v>Chungsoo</v>
      </c>
      <c r="C22" s="746" t="str">
        <f>IFERROR(__xludf.DUMMYFUNCTION("""COMPUTED_VALUE"""),"Ross")</f>
        <v>Ross</v>
      </c>
      <c r="D22" s="746" t="str">
        <f>IFERROR(__xludf.DUMMYFUNCTION("""COMPUTED_VALUE"""),"Brazil")</f>
        <v>Brazil</v>
      </c>
      <c r="E22" s="747" t="str">
        <f>IFERROR(__xludf.DUMMYFUNCTION("""COMPUTED_VALUE"""),"W. bancrofti")</f>
        <v>W. bancrofti</v>
      </c>
      <c r="F22" s="746" t="str">
        <f>IFERROR(__xludf.DUMMYFUNCTION("""COMPUTED_VALUE"""),"DEC &amp; Ivermectin")</f>
        <v>DEC &amp; Ivermectin</v>
      </c>
      <c r="G22" s="746" t="str">
        <f>IFERROR(__xludf.DUMMYFUNCTION("""COMPUTED_VALUE"""),".400 mg/kg + 6 mg/kg")</f>
        <v>.400 mg/kg + 6 mg/kg</v>
      </c>
      <c r="H22" s="746">
        <f>IFERROR(__xludf.DUMMYFUNCTION("""COMPUTED_VALUE"""),1.0)</f>
        <v>1</v>
      </c>
      <c r="I22" s="749">
        <f>IFERROR(__xludf.DUMMYFUNCTION("""COMPUTED_VALUE"""),1.0)</f>
        <v>1</v>
      </c>
      <c r="J22" s="749">
        <f>IFERROR(__xludf.DUMMYFUNCTION("""COMPUTED_VALUE"""),0.8)</f>
        <v>0.8</v>
      </c>
      <c r="K22" s="40"/>
      <c r="L22" s="746">
        <f>IFERROR(__xludf.DUMMYFUNCTION("""COMPUTED_VALUE"""),10.0)</f>
        <v>10</v>
      </c>
      <c r="M22" s="750" t="str">
        <f>IFERROR(__xludf.DUMMYFUNCTION("""COMPUTED_VALUE"""),"18-26")</f>
        <v>18-26</v>
      </c>
      <c r="N22" s="744" t="str">
        <f>IFERROR(__xludf.DUMMYFUNCTION("""COMPUTED_VALUE"""),"male")</f>
        <v>male</v>
      </c>
      <c r="O22" s="746" t="str">
        <f>IFERROR(__xludf.DUMMYFUNCTION("""COMPUTED_VALUE"""),"Men who had symptoms of lvmnhatic filariasis. had evidence of hvdrocele or lymphbedema of the genitalia, had been treated previously with DEC or ivermectin, or had no living adult W. bancrofti detected in the were excluded from the study. ")</f>
        <v>Men who had symptoms of lvmnhatic filariasis. had evidence of hvdrocele or lymphbedema of the genitalia, had been treated previously with DEC or ivermectin, or had no living adult W. bancrofti detected in the were excluded from the study. </v>
      </c>
      <c r="P22" s="751" t="str">
        <f>IFERROR(__xludf.DUMMYFUNCTION("""COMPUTED_VALUE"""),"single blind")</f>
        <v>single blind</v>
      </c>
      <c r="Q22" s="718" t="str">
        <f>IFERROR(__xludf.DUMMYFUNCTION("""COMPUTED_VALUE"""),"Yes")</f>
        <v>Yes</v>
      </c>
      <c r="R22" s="746" t="str">
        <f>IFERROR(__xludf.DUMMYFUNCTION("""COMPUTED_VALUE"""),"Yes")</f>
        <v>Yes</v>
      </c>
      <c r="S22" s="746" t="str">
        <f>IFERROR(__xludf.DUMMYFUNCTION("""COMPUTED_VALUE"""),"12 months")</f>
        <v>12 months</v>
      </c>
      <c r="T22" s="746" t="str">
        <f>IFERROR(__xludf.DUMMYFUNCTION("""COMPUTED_VALUE"""),"Thus, co-administration of ivermectin with DEC seems to interfere with the macrofilaricidal action of DEC.")</f>
        <v>Thus, co-administration of ivermectin with DEC seems to interfere with the macrofilaricidal action of DEC.</v>
      </c>
      <c r="U22" s="746" t="str">
        <f>IFERROR(__xludf.DUMMYFUNCTION("""COMPUTED_VALUE"""),"The 3 treatment groups did not differ significantly in age(mean=215 years), number of adult worm nests(mean= 1*6), or pretreatment microfilarial density (geometric mean = 135/mL), although tended to be higher in group 2 (Table). ")</f>
        <v>The 3 treatment groups did not differ significantly in age(mean=215 years), number of adult worm nests(mean= 1*6), or pretreatment microfilarial density (geometric mean = 135/mL), although tended to be higher in group 2 (Table). </v>
      </c>
      <c r="V22" s="752">
        <f>IFERROR(__xludf.DUMMYFUNCTION("""COMPUTED_VALUE"""),1998.0)</f>
        <v>1998</v>
      </c>
      <c r="W22" s="752">
        <f>IFERROR(__xludf.DUMMYFUNCTION("""COMPUTED_VALUE"""),1998.0)</f>
        <v>1998</v>
      </c>
      <c r="X22" s="746" t="str">
        <f>IFERROR(__xludf.DUMMYFUNCTION("""COMPUTED_VALUE"""),"Dreyer G, Addiss D, Santos A, Figueredo-Silva J, Norões J. Direct assessment in vivo of the efficacy of combined single-dose ivermectin and diethylcarbamazine against adult Wuchereria bancrofti. Transactions of the Royal Society of Tropical Medicine and H"&amp;"ygiene. Oxford University Press (OUP); 1998 Mar;92(2):219–22. ")</f>
        <v>Dreyer G, Addiss D, Santos A, Figueredo-Silva J, Norões J. Direct assessment in vivo of the efficacy of combined single-dose ivermectin and diethylcarbamazine against adult Wuchereria bancrofti. Transactions of the Royal Society of Tropical Medicine and Hygiene. Oxford University Press (OUP); 1998 Mar;92(2):219–22. </v>
      </c>
      <c r="Y22" s="726" t="str">
        <f>IFERROR(__xludf.DUMMYFUNCTION("""COMPUTED_VALUE"""),"10.1016/S0035-9203(98)90754-4")</f>
        <v>10.1016/S0035-9203(98)90754-4</v>
      </c>
      <c r="Z22" s="727" t="str">
        <f>IFERROR(__xludf.DUMMYFUNCTION("""COMPUTED_VALUE"""),"https://drive.google.com/file/d/0B9vYgR7NsKoYWjZFLWoycW5OX0U/view?usp=sharing")</f>
        <v>https://drive.google.com/file/d/0B9vYgR7NsKoYWjZFLWoycW5OX0U/view?usp=sharing</v>
      </c>
      <c r="AA22" s="40"/>
      <c r="AB22" s="40"/>
    </row>
    <row r="23">
      <c r="A23" s="745" t="str">
        <f>IFERROR(__xludf.DUMMYFUNCTION("""COMPUTED_VALUE"""),"Dreyer 1998")</f>
        <v>Dreyer 1998</v>
      </c>
      <c r="B23" s="746" t="str">
        <f>IFERROR(__xludf.DUMMYFUNCTION("""COMPUTED_VALUE"""),"Chungsoo")</f>
        <v>Chungsoo</v>
      </c>
      <c r="C23" s="746" t="str">
        <f>IFERROR(__xludf.DUMMYFUNCTION("""COMPUTED_VALUE"""),"Ross")</f>
        <v>Ross</v>
      </c>
      <c r="D23" s="746" t="str">
        <f>IFERROR(__xludf.DUMMYFUNCTION("""COMPUTED_VALUE"""),"Brazil")</f>
        <v>Brazil</v>
      </c>
      <c r="E23" s="747" t="str">
        <f>IFERROR(__xludf.DUMMYFUNCTION("""COMPUTED_VALUE"""),"W. bancrofti")</f>
        <v>W. bancrofti</v>
      </c>
      <c r="F23" s="753" t="str">
        <f>IFERROR(__xludf.DUMMYFUNCTION("""COMPUTED_VALUE"""),"DEC &amp; Ivermectin")</f>
        <v>DEC &amp; Ivermectin</v>
      </c>
      <c r="G23" s="746" t="str">
        <f>IFERROR(__xludf.DUMMYFUNCTION("""COMPUTED_VALUE"""),".200 mg/kg + 6 mg/kg ")</f>
        <v>.200 mg/kg + 6 mg/kg </v>
      </c>
      <c r="H23" s="746">
        <f>IFERROR(__xludf.DUMMYFUNCTION("""COMPUTED_VALUE"""),1.0)</f>
        <v>1</v>
      </c>
      <c r="I23" s="749">
        <f>IFERROR(__xludf.DUMMYFUNCTION("""COMPUTED_VALUE"""),0.91)</f>
        <v>0.91</v>
      </c>
      <c r="J23" s="749">
        <f>IFERROR(__xludf.DUMMYFUNCTION("""COMPUTED_VALUE"""),0.73)</f>
        <v>0.73</v>
      </c>
      <c r="K23" s="40"/>
      <c r="L23" s="746">
        <f>IFERROR(__xludf.DUMMYFUNCTION("""COMPUTED_VALUE"""),11.0)</f>
        <v>11</v>
      </c>
      <c r="M23" s="750" t="str">
        <f>IFERROR(__xludf.DUMMYFUNCTION("""COMPUTED_VALUE"""),"19-33")</f>
        <v>19-33</v>
      </c>
      <c r="N23" s="744" t="str">
        <f>IFERROR(__xludf.DUMMYFUNCTION("""COMPUTED_VALUE"""),"male")</f>
        <v>male</v>
      </c>
      <c r="O23" s="746" t="str">
        <f>IFERROR(__xludf.DUMMYFUNCTION("""COMPUTED_VALUE"""),"Men who had symptoms of lvmnhatic filariasis. had evidence of hvdrocele or lymphbedema of the genitalia, had been treated previously with DEC or ivermectin, or had no living adult W. bancrofti detected in the were excluded from the study. ")</f>
        <v>Men who had symptoms of lvmnhatic filariasis. had evidence of hvdrocele or lymphbedema of the genitalia, had been treated previously with DEC or ivermectin, or had no living adult W. bancrofti detected in the were excluded from the study. </v>
      </c>
      <c r="P23" s="751" t="str">
        <f>IFERROR(__xludf.DUMMYFUNCTION("""COMPUTED_VALUE"""),"single blind")</f>
        <v>single blind</v>
      </c>
      <c r="Q23" s="718" t="str">
        <f>IFERROR(__xludf.DUMMYFUNCTION("""COMPUTED_VALUE"""),"Yes")</f>
        <v>Yes</v>
      </c>
      <c r="R23" s="746" t="str">
        <f>IFERROR(__xludf.DUMMYFUNCTION("""COMPUTED_VALUE"""),"Yes")</f>
        <v>Yes</v>
      </c>
      <c r="S23" s="746" t="str">
        <f>IFERROR(__xludf.DUMMYFUNCTION("""COMPUTED_VALUE"""),"12 months")</f>
        <v>12 months</v>
      </c>
      <c r="T23" s="746" t="str">
        <f>IFERROR(__xludf.DUMMYFUNCTION("""COMPUTED_VALUE"""),"Thus, co-administration of ivermectin with DEC seems to interfere with the macrofilaricidal action of DEC.")</f>
        <v>Thus, co-administration of ivermectin with DEC seems to interfere with the macrofilaricidal action of DEC.</v>
      </c>
      <c r="U23" s="746" t="str">
        <f>IFERROR(__xludf.DUMMYFUNCTION("""COMPUTED_VALUE"""),"The 3 treatment groups did not differ significantly in age(mean=215 years), number of adult worm nests(mean= 1*6), or pretreatment microfilarial density (geometric mean = 135/mL), although tended to be higher in group 2 (Table). ")</f>
        <v>The 3 treatment groups did not differ significantly in age(mean=215 years), number of adult worm nests(mean= 1*6), or pretreatment microfilarial density (geometric mean = 135/mL), although tended to be higher in group 2 (Table). </v>
      </c>
      <c r="V23" s="752">
        <f>IFERROR(__xludf.DUMMYFUNCTION("""COMPUTED_VALUE"""),1998.0)</f>
        <v>1998</v>
      </c>
      <c r="W23" s="752">
        <f>IFERROR(__xludf.DUMMYFUNCTION("""COMPUTED_VALUE"""),1998.0)</f>
        <v>1998</v>
      </c>
      <c r="X23" s="746" t="str">
        <f>IFERROR(__xludf.DUMMYFUNCTION("""COMPUTED_VALUE"""),"Dreyer G, Addiss D, Santos A, Figueredo-Silva J, Norões J. Direct assessment in vivo of the efficacy of combined single-dose ivermectin and diethylcarbamazine against adult Wuchereria bancrofti. Transactions of the Royal Society of Tropical Medicine and H"&amp;"ygiene. Oxford University Press (OUP); 1998 Mar;92(2):219–22. ")</f>
        <v>Dreyer G, Addiss D, Santos A, Figueredo-Silva J, Norões J. Direct assessment in vivo of the efficacy of combined single-dose ivermectin and diethylcarbamazine against adult Wuchereria bancrofti. Transactions of the Royal Society of Tropical Medicine and Hygiene. Oxford University Press (OUP); 1998 Mar;92(2):219–22. </v>
      </c>
      <c r="Y23" s="726" t="str">
        <f>IFERROR(__xludf.DUMMYFUNCTION("""COMPUTED_VALUE"""),"10.1016/S0035-9203(98)90754-4")</f>
        <v>10.1016/S0035-9203(98)90754-4</v>
      </c>
      <c r="Z23" s="727" t="str">
        <f>IFERROR(__xludf.DUMMYFUNCTION("""COMPUTED_VALUE"""),"https://drive.google.com/file/d/0B9vYgR7NsKoYWjZFLWoycW5OX0U/view?usp=sharing")</f>
        <v>https://drive.google.com/file/d/0B9vYgR7NsKoYWjZFLWoycW5OX0U/view?usp=sharing</v>
      </c>
      <c r="AA23" s="40"/>
      <c r="AB23" s="40"/>
    </row>
    <row r="24">
      <c r="A24" s="745" t="str">
        <f>IFERROR(__xludf.DUMMYFUNCTION("""COMPUTED_VALUE"""),"Dreyer 1998")</f>
        <v>Dreyer 1998</v>
      </c>
      <c r="B24" s="746" t="str">
        <f>IFERROR(__xludf.DUMMYFUNCTION("""COMPUTED_VALUE"""),"Chungsoo")</f>
        <v>Chungsoo</v>
      </c>
      <c r="C24" s="746" t="str">
        <f>IFERROR(__xludf.DUMMYFUNCTION("""COMPUTED_VALUE"""),"Ross")</f>
        <v>Ross</v>
      </c>
      <c r="D24" s="746" t="str">
        <f>IFERROR(__xludf.DUMMYFUNCTION("""COMPUTED_VALUE"""),"Brazil")</f>
        <v>Brazil</v>
      </c>
      <c r="E24" s="747" t="str">
        <f>IFERROR(__xludf.DUMMYFUNCTION("""COMPUTED_VALUE"""),"W. bancrofti")</f>
        <v>W. bancrofti</v>
      </c>
      <c r="F24" s="746" t="str">
        <f>IFERROR(__xludf.DUMMYFUNCTION("""COMPUTED_VALUE"""),"DEC &amp; Ivermectin")</f>
        <v>DEC &amp; Ivermectin</v>
      </c>
      <c r="G24" s="746" t="str">
        <f>IFERROR(__xludf.DUMMYFUNCTION("""COMPUTED_VALUE"""),".200 mg/kg  + 6 mg/kg ")</f>
        <v>.200 mg/kg  + 6 mg/kg </v>
      </c>
      <c r="H24" s="746">
        <f>IFERROR(__xludf.DUMMYFUNCTION("""COMPUTED_VALUE"""),1.0)</f>
        <v>1</v>
      </c>
      <c r="I24" s="749">
        <f>IFERROR(__xludf.DUMMYFUNCTION("""COMPUTED_VALUE"""),1.0)</f>
        <v>1</v>
      </c>
      <c r="J24" s="749">
        <f>IFERROR(__xludf.DUMMYFUNCTION("""COMPUTED_VALUE"""),0.2)</f>
        <v>0.2</v>
      </c>
      <c r="K24" s="40"/>
      <c r="L24" s="746">
        <f>IFERROR(__xludf.DUMMYFUNCTION("""COMPUTED_VALUE"""),10.0)</f>
        <v>10</v>
      </c>
      <c r="M24" s="750" t="str">
        <f>IFERROR(__xludf.DUMMYFUNCTION("""COMPUTED_VALUE"""),"18-23")</f>
        <v>18-23</v>
      </c>
      <c r="N24" s="744" t="str">
        <f>IFERROR(__xludf.DUMMYFUNCTION("""COMPUTED_VALUE"""),"male")</f>
        <v>male</v>
      </c>
      <c r="O24" s="746" t="str">
        <f>IFERROR(__xludf.DUMMYFUNCTION("""COMPUTED_VALUE"""),"Men who had symptoms of lvmnhatic filariasis. had evidence of hvdrocele or lymphbedema of the genitalia, had been treated previously with DEC or ivermectin, or had no living adult W. bancrofti detected in the were excluded from the study. ")</f>
        <v>Men who had symptoms of lvmnhatic filariasis. had evidence of hvdrocele or lymphbedema of the genitalia, had been treated previously with DEC or ivermectin, or had no living adult W. bancrofti detected in the were excluded from the study. </v>
      </c>
      <c r="P24" s="751" t="str">
        <f>IFERROR(__xludf.DUMMYFUNCTION("""COMPUTED_VALUE"""),"single blind")</f>
        <v>single blind</v>
      </c>
      <c r="Q24" s="718" t="str">
        <f>IFERROR(__xludf.DUMMYFUNCTION("""COMPUTED_VALUE"""),"Yes")</f>
        <v>Yes</v>
      </c>
      <c r="R24" s="746" t="str">
        <f>IFERROR(__xludf.DUMMYFUNCTION("""COMPUTED_VALUE"""),"Yes")</f>
        <v>Yes</v>
      </c>
      <c r="S24" s="746" t="str">
        <f>IFERROR(__xludf.DUMMYFUNCTION("""COMPUTED_VALUE"""),"12 months")</f>
        <v>12 months</v>
      </c>
      <c r="T24" s="746" t="str">
        <f>IFERROR(__xludf.DUMMYFUNCTION("""COMPUTED_VALUE"""),"Thus, co-administration of ivermectin with DEC seems to interfere with the macrofilaricidal action of DEC.")</f>
        <v>Thus, co-administration of ivermectin with DEC seems to interfere with the macrofilaricidal action of DEC.</v>
      </c>
      <c r="U24" s="746" t="str">
        <f>IFERROR(__xludf.DUMMYFUNCTION("""COMPUTED_VALUE"""),"The 3 treatment groups did not differ significantly in age(mean=215 years), number of adult worm nests(mean= 1*6), or pretreatment microfilarial density (geometric mean = 135/mL), although tended to be higher in group 2 (Table). ")</f>
        <v>The 3 treatment groups did not differ significantly in age(mean=215 years), number of adult worm nests(mean= 1*6), or pretreatment microfilarial density (geometric mean = 135/mL), although tended to be higher in group 2 (Table). </v>
      </c>
      <c r="V24" s="752">
        <f>IFERROR(__xludf.DUMMYFUNCTION("""COMPUTED_VALUE"""),1998.0)</f>
        <v>1998</v>
      </c>
      <c r="W24" s="752">
        <f>IFERROR(__xludf.DUMMYFUNCTION("""COMPUTED_VALUE"""),1998.0)</f>
        <v>1998</v>
      </c>
      <c r="X24" s="746" t="str">
        <f>IFERROR(__xludf.DUMMYFUNCTION("""COMPUTED_VALUE"""),"Dreyer G, Addiss D, Santos A, Figueredo-Silva J, Norões J. Direct assessment in vivo of the efficacy of combined single-dose ivermectin and diethylcarbamazine against adult Wuchereria bancrofti. Transactions of the Royal Society of Tropical Medicine and H"&amp;"ygiene. Oxford University Press (OUP); 1998 Mar;92(2):219–22. ")</f>
        <v>Dreyer G, Addiss D, Santos A, Figueredo-Silva J, Norões J. Direct assessment in vivo of the efficacy of combined single-dose ivermectin and diethylcarbamazine against adult Wuchereria bancrofti. Transactions of the Royal Society of Tropical Medicine and Hygiene. Oxford University Press (OUP); 1998 Mar;92(2):219–22. </v>
      </c>
      <c r="Y24" s="726" t="str">
        <f>IFERROR(__xludf.DUMMYFUNCTION("""COMPUTED_VALUE"""),"10.1016/S0035-9203(98)90754-4")</f>
        <v>10.1016/S0035-9203(98)90754-4</v>
      </c>
      <c r="Z24" s="727" t="str">
        <f>IFERROR(__xludf.DUMMYFUNCTION("""COMPUTED_VALUE"""),"https://drive.google.com/file/d/0B9vYgR7NsKoYWjZFLWoycW5OX0U/view?usp=sharing")</f>
        <v>https://drive.google.com/file/d/0B9vYgR7NsKoYWjZFLWoycW5OX0U/view?usp=sharing</v>
      </c>
      <c r="AA24" s="40"/>
      <c r="AB24" s="40"/>
    </row>
    <row r="25">
      <c r="A25" s="728" t="str">
        <f>IFERROR(__xludf.DUMMYFUNCTION("""COMPUTED_VALUE"""),"Dreyer, 1995")</f>
        <v>Dreyer, 1995</v>
      </c>
      <c r="B25" s="746" t="str">
        <f>IFERROR(__xludf.DUMMYFUNCTION("""COMPUTED_VALUE"""),"Chungsoo")</f>
        <v>Chungsoo</v>
      </c>
      <c r="C25" s="730" t="str">
        <f>IFERROR(__xludf.DUMMYFUNCTION("""COMPUTED_VALUE"""),"Ross")</f>
        <v>Ross</v>
      </c>
      <c r="D25" s="746" t="str">
        <f>IFERROR(__xludf.DUMMYFUNCTION("""COMPUTED_VALUE"""),"Brazil")</f>
        <v>Brazil</v>
      </c>
      <c r="E25" s="747" t="str">
        <f>IFERROR(__xludf.DUMMYFUNCTION("""COMPUTED_VALUE"""),"W. bancrofti")</f>
        <v>W. bancrofti</v>
      </c>
      <c r="F25" s="732" t="str">
        <f>IFERROR(__xludf.DUMMYFUNCTION("""COMPUTED_VALUE"""),"Ivermectin")</f>
        <v>Ivermectin</v>
      </c>
      <c r="G25" s="732" t="str">
        <f>IFERROR(__xludf.DUMMYFUNCTION("""COMPUTED_VALUE"""),".220 mg/kg")</f>
        <v>.220 mg/kg</v>
      </c>
      <c r="H25" s="732">
        <f>IFERROR(__xludf.DUMMYFUNCTION("""COMPUTED_VALUE"""),2.0)</f>
        <v>2</v>
      </c>
      <c r="I25" s="742">
        <f>IFERROR(__xludf.DUMMYFUNCTION("""COMPUTED_VALUE"""),0.734)</f>
        <v>0.734</v>
      </c>
      <c r="J25" s="741"/>
      <c r="K25" s="40"/>
      <c r="L25" s="734">
        <f>IFERROR(__xludf.DUMMYFUNCTION("""COMPUTED_VALUE"""),11.0)</f>
        <v>11</v>
      </c>
      <c r="M25" s="730" t="str">
        <f>IFERROR(__xludf.DUMMYFUNCTION("""COMPUTED_VALUE"""),"18-44")</f>
        <v>18-44</v>
      </c>
      <c r="N25" s="744" t="str">
        <f>IFERROR(__xludf.DUMMYFUNCTION("""COMPUTED_VALUE"""),"male")</f>
        <v>male</v>
      </c>
      <c r="O25" s="730" t="str">
        <f>IFERROR(__xludf.DUMMYFUNCTION("""COMPUTED_VALUE"""),"Patients taking the combination of ivermectin and were excluded from this analysis.")</f>
        <v>Patients taking the combination of ivermectin and were excluded from this analysis.</v>
      </c>
      <c r="P25" s="748" t="str">
        <f>IFERROR(__xludf.DUMMYFUNCTION("""COMPUTED_VALUE"""),"double-blind trial")</f>
        <v>double-blind trial</v>
      </c>
      <c r="Q25" s="718" t="str">
        <f>IFERROR(__xludf.DUMMYFUNCTION("""COMPUTED_VALUE"""),"Yes")</f>
        <v>Yes</v>
      </c>
      <c r="R25" s="730" t="str">
        <f>IFERROR(__xludf.DUMMYFUNCTION("""COMPUTED_VALUE"""),"Yes")</f>
        <v>Yes</v>
      </c>
      <c r="S25" s="730" t="str">
        <f>IFERROR(__xludf.DUMMYFUNCTION("""COMPUTED_VALUE"""),"2 years")</f>
        <v>2 years</v>
      </c>
      <c r="T25" s="746" t="str">
        <f>IFERROR(__xludf.DUMMYFUNCTION("""COMPUTED_VALUE"""),"Most effective was the combination of ivermectin (20 micrograms/kg) followed 4 d later by DEC (6 mg/kg), with reduction of microfilaraemia to 2.4% of pretreatment levels at 2 years.")</f>
        <v>Most effective was the combination of ivermectin (20 micrograms/kg) followed 4 d later by DEC (6 mg/kg), with reduction of microfilaraemia to 2.4% of pretreatment levels at 2 years.</v>
      </c>
      <c r="U25" s="730" t="str">
        <f>IFERROR(__xludf.DUMMYFUNCTION("""COMPUTED_VALUE"""),"Requires calculation of %reduction from %of pretreatment level data")</f>
        <v>Requires calculation of %reduction from %of pretreatment level data</v>
      </c>
      <c r="V25" s="737">
        <f>IFERROR(__xludf.DUMMYFUNCTION("""COMPUTED_VALUE"""),1995.0)</f>
        <v>1995</v>
      </c>
      <c r="W25" s="737">
        <f>IFERROR(__xludf.DUMMYFUNCTION("""COMPUTED_VALUE"""),1995.0)</f>
        <v>1995</v>
      </c>
      <c r="X25" s="730" t="str">
        <f>IFERROR(__xludf.DUMMYFUNCTION("""COMPUTED_VALUE"""),"Dreyer G, Coutinho A, Miranda D, Noroes J, Rizzo JA, Galdino E, et al. Treatment of bancroftian filariasis in Recife, Brazil: a two-year comparative study of the efficacy of single treatments with ivermectin or diethylcarbamazine. Transactions of the Roya"&amp;"l Society of Tropical Medicine and Hygiene. Oxford University Press (OUP); 1995 Jan;89(1):98–102.")</f>
        <v>Dreyer G, Coutinho A, Miranda D, Noroes J, Rizzo JA, Galdino E, et al. Treatment of bancroftian filariasis in Recife, Brazil: a two-year comparative study of the efficacy of single treatments with ivermectin or diethylcarbamazine. Transactions of the Royal Society of Tropical Medicine and Hygiene. Oxford University Press (OUP); 1995 Jan;89(1):98–102.</v>
      </c>
      <c r="Y25" s="738" t="str">
        <f>IFERROR(__xludf.DUMMYFUNCTION("""COMPUTED_VALUE"""),"10.1016/0035-9203(95)90674-6")</f>
        <v>10.1016/0035-9203(95)90674-6</v>
      </c>
      <c r="Z25" s="727" t="str">
        <f>IFERROR(__xludf.DUMMYFUNCTION("""COMPUTED_VALUE"""),"https://drive.google.com/file/d/0B0-pry4DSOm3SHNZVTZKQVY3SGs/view?usp=sharing")</f>
        <v>https://drive.google.com/file/d/0B0-pry4DSOm3SHNZVTZKQVY3SGs/view?usp=sharing</v>
      </c>
      <c r="AA25" s="40"/>
      <c r="AB25" s="40"/>
    </row>
    <row r="26">
      <c r="A26" s="728" t="str">
        <f>IFERROR(__xludf.DUMMYFUNCTION("""COMPUTED_VALUE"""),"Dreyer, 1995")</f>
        <v>Dreyer, 1995</v>
      </c>
      <c r="B26" s="746" t="str">
        <f>IFERROR(__xludf.DUMMYFUNCTION("""COMPUTED_VALUE"""),"Chungsoo")</f>
        <v>Chungsoo</v>
      </c>
      <c r="C26" s="730" t="str">
        <f>IFERROR(__xludf.DUMMYFUNCTION("""COMPUTED_VALUE"""),"Ross")</f>
        <v>Ross</v>
      </c>
      <c r="D26" s="746" t="str">
        <f>IFERROR(__xludf.DUMMYFUNCTION("""COMPUTED_VALUE"""),"Brazil")</f>
        <v>Brazil</v>
      </c>
      <c r="E26" s="747" t="str">
        <f>IFERROR(__xludf.DUMMYFUNCTION("""COMPUTED_VALUE"""),"W. bancrofti")</f>
        <v>W. bancrofti</v>
      </c>
      <c r="F26" s="718" t="str">
        <f>IFERROR(__xludf.DUMMYFUNCTION("""COMPUTED_VALUE"""),"DEC")</f>
        <v>DEC</v>
      </c>
      <c r="G26" s="732" t="str">
        <f>IFERROR(__xludf.DUMMYFUNCTION("""COMPUTED_VALUE"""),"6 mg/kg")</f>
        <v>6 mg/kg</v>
      </c>
      <c r="H26" s="732">
        <f>IFERROR(__xludf.DUMMYFUNCTION("""COMPUTED_VALUE"""),2.0)</f>
        <v>2</v>
      </c>
      <c r="I26" s="742">
        <f>IFERROR(__xludf.DUMMYFUNCTION("""COMPUTED_VALUE"""),0.918)</f>
        <v>0.918</v>
      </c>
      <c r="J26" s="741"/>
      <c r="K26" s="40"/>
      <c r="L26" s="734">
        <f>IFERROR(__xludf.DUMMYFUNCTION("""COMPUTED_VALUE"""),11.0)</f>
        <v>11</v>
      </c>
      <c r="M26" s="754" t="str">
        <f>IFERROR(__xludf.DUMMYFUNCTION("""COMPUTED_VALUE"""),"18-44")</f>
        <v>18-44</v>
      </c>
      <c r="N26" s="744" t="str">
        <f>IFERROR(__xludf.DUMMYFUNCTION("""COMPUTED_VALUE"""),"male")</f>
        <v>male</v>
      </c>
      <c r="O26" s="730" t="str">
        <f>IFERROR(__xludf.DUMMYFUNCTION("""COMPUTED_VALUE"""),"Patients taking the combination of ivermectin and were excluded from this analysis.")</f>
        <v>Patients taking the combination of ivermectin and were excluded from this analysis.</v>
      </c>
      <c r="P26" s="748" t="str">
        <f>IFERROR(__xludf.DUMMYFUNCTION("""COMPUTED_VALUE"""),"double-blind trial")</f>
        <v>double-blind trial</v>
      </c>
      <c r="Q26" s="718" t="str">
        <f>IFERROR(__xludf.DUMMYFUNCTION("""COMPUTED_VALUE"""),"Yes")</f>
        <v>Yes</v>
      </c>
      <c r="R26" s="730" t="str">
        <f>IFERROR(__xludf.DUMMYFUNCTION("""COMPUTED_VALUE"""),"Yes")</f>
        <v>Yes</v>
      </c>
      <c r="S26" s="730" t="str">
        <f>IFERROR(__xludf.DUMMYFUNCTION("""COMPUTED_VALUE"""),"2 years")</f>
        <v>2 years</v>
      </c>
      <c r="T26" s="746" t="str">
        <f>IFERROR(__xludf.DUMMYFUNCTION("""COMPUTED_VALUE"""),"Most effective was the combination of ivermectin (20 micrograms/kg) followed 4 d later by DEC (6 mg/kg), with reduction of microfilaraemia to 2.4% of pretreatment levels at 2 years.")</f>
        <v>Most effective was the combination of ivermectin (20 micrograms/kg) followed 4 d later by DEC (6 mg/kg), with reduction of microfilaraemia to 2.4% of pretreatment levels at 2 years.</v>
      </c>
      <c r="U26" s="730" t="str">
        <f>IFERROR(__xludf.DUMMYFUNCTION("""COMPUTED_VALUE"""),"Requires calculation of %reduction from %of pretreatment level data")</f>
        <v>Requires calculation of %reduction from %of pretreatment level data</v>
      </c>
      <c r="V26" s="737">
        <f>IFERROR(__xludf.DUMMYFUNCTION("""COMPUTED_VALUE"""),1995.0)</f>
        <v>1995</v>
      </c>
      <c r="W26" s="737">
        <f>IFERROR(__xludf.DUMMYFUNCTION("""COMPUTED_VALUE"""),1995.0)</f>
        <v>1995</v>
      </c>
      <c r="X26" s="730" t="str">
        <f>IFERROR(__xludf.DUMMYFUNCTION("""COMPUTED_VALUE"""),"Dreyer G, Coutinho A, Miranda D, Noroes J, Rizzo JA, Galdino E, et al. Treatment of bancroftian filariasis in Recife, Brazil: a two-year comparative study of the efficacy of single treatments with ivermectin or diethylcarbamazine. Transactions of the Roya"&amp;"l Society of Tropical Medicine and Hygiene. Oxford University Press (OUP); 1995 Jan;89(1):98–102.")</f>
        <v>Dreyer G, Coutinho A, Miranda D, Noroes J, Rizzo JA, Galdino E, et al. Treatment of bancroftian filariasis in Recife, Brazil: a two-year comparative study of the efficacy of single treatments with ivermectin or diethylcarbamazine. Transactions of the Royal Society of Tropical Medicine and Hygiene. Oxford University Press (OUP); 1995 Jan;89(1):98–102.</v>
      </c>
      <c r="Y26" s="738" t="str">
        <f>IFERROR(__xludf.DUMMYFUNCTION("""COMPUTED_VALUE"""),"10.1016/0035-9203(95)90674-6")</f>
        <v>10.1016/0035-9203(95)90674-6</v>
      </c>
      <c r="Z26" s="727" t="str">
        <f>IFERROR(__xludf.DUMMYFUNCTION("""COMPUTED_VALUE"""),"https://drive.google.com/file/d/0B0-pry4DSOm3SHNZVTZKQVY3SGs/view?usp=sharing")</f>
        <v>https://drive.google.com/file/d/0B0-pry4DSOm3SHNZVTZKQVY3SGs/view?usp=sharing</v>
      </c>
      <c r="AA26" s="40"/>
      <c r="AB26" s="40"/>
    </row>
    <row r="27">
      <c r="A27" s="728" t="str">
        <f>IFERROR(__xludf.DUMMYFUNCTION("""COMPUTED_VALUE"""),"Dreyer, 1995")</f>
        <v>Dreyer, 1995</v>
      </c>
      <c r="B27" s="746" t="str">
        <f>IFERROR(__xludf.DUMMYFUNCTION("""COMPUTED_VALUE"""),"Chungsoo")</f>
        <v>Chungsoo</v>
      </c>
      <c r="C27" s="730" t="str">
        <f>IFERROR(__xludf.DUMMYFUNCTION("""COMPUTED_VALUE"""),"Ross")</f>
        <v>Ross</v>
      </c>
      <c r="D27" s="746" t="str">
        <f>IFERROR(__xludf.DUMMYFUNCTION("""COMPUTED_VALUE"""),"Brazil")</f>
        <v>Brazil</v>
      </c>
      <c r="E27" s="747" t="str">
        <f>IFERROR(__xludf.DUMMYFUNCTION("""COMPUTED_VALUE"""),"W. bancrofti")</f>
        <v>W. bancrofti</v>
      </c>
      <c r="F27" s="718" t="str">
        <f>IFERROR(__xludf.DUMMYFUNCTION("""COMPUTED_VALUE"""),"DEC")</f>
        <v>DEC</v>
      </c>
      <c r="G27" s="755" t="str">
        <f>IFERROR(__xludf.DUMMYFUNCTION("""COMPUTED_VALUE"""),"1 mg/kg + DEC 6 mg/kg")</f>
        <v>1 mg/kg + DEC 6 mg/kg</v>
      </c>
      <c r="H27" s="740">
        <f>IFERROR(__xludf.DUMMYFUNCTION("""COMPUTED_VALUE"""),2.0)</f>
        <v>2</v>
      </c>
      <c r="I27" s="742">
        <f>IFERROR(__xludf.DUMMYFUNCTION("""COMPUTED_VALUE"""),0.943)</f>
        <v>0.943</v>
      </c>
      <c r="J27" s="741"/>
      <c r="K27" s="40"/>
      <c r="L27" s="734">
        <f>IFERROR(__xludf.DUMMYFUNCTION("""COMPUTED_VALUE"""),11.0)</f>
        <v>11</v>
      </c>
      <c r="M27" s="754" t="str">
        <f>IFERROR(__xludf.DUMMYFUNCTION("""COMPUTED_VALUE"""),"18-44")</f>
        <v>18-44</v>
      </c>
      <c r="N27" s="744" t="str">
        <f>IFERROR(__xludf.DUMMYFUNCTION("""COMPUTED_VALUE"""),"male")</f>
        <v>male</v>
      </c>
      <c r="O27" s="730" t="str">
        <f>IFERROR(__xludf.DUMMYFUNCTION("""COMPUTED_VALUE"""),"Patients taking the combination of ivermectin and were excluded from this analysis.")</f>
        <v>Patients taking the combination of ivermectin and were excluded from this analysis.</v>
      </c>
      <c r="P27" s="748" t="str">
        <f>IFERROR(__xludf.DUMMYFUNCTION("""COMPUTED_VALUE"""),"double-blind trial")</f>
        <v>double-blind trial</v>
      </c>
      <c r="Q27" s="718" t="str">
        <f>IFERROR(__xludf.DUMMYFUNCTION("""COMPUTED_VALUE"""),"Yes")</f>
        <v>Yes</v>
      </c>
      <c r="R27" s="730" t="str">
        <f>IFERROR(__xludf.DUMMYFUNCTION("""COMPUTED_VALUE"""),"Yes")</f>
        <v>Yes</v>
      </c>
      <c r="S27" s="730" t="str">
        <f>IFERROR(__xludf.DUMMYFUNCTION("""COMPUTED_VALUE"""),"2 years")</f>
        <v>2 years</v>
      </c>
      <c r="T27" s="746" t="str">
        <f>IFERROR(__xludf.DUMMYFUNCTION("""COMPUTED_VALUE"""),"Most effective was the combination of ivermectin (20 micrograms/kg) followed 4 d later by DEC (6 mg/kg), with reduction of microfilaraemia to 2.4% of pretreatment levels at 2 years.")</f>
        <v>Most effective was the combination of ivermectin (20 micrograms/kg) followed 4 d later by DEC (6 mg/kg), with reduction of microfilaraemia to 2.4% of pretreatment levels at 2 years.</v>
      </c>
      <c r="U27" s="730" t="str">
        <f>IFERROR(__xludf.DUMMYFUNCTION("""COMPUTED_VALUE"""),"Requires calculation of %reduction from %of pretreatment level data")</f>
        <v>Requires calculation of %reduction from %of pretreatment level data</v>
      </c>
      <c r="V27" s="737">
        <f>IFERROR(__xludf.DUMMYFUNCTION("""COMPUTED_VALUE"""),1995.0)</f>
        <v>1995</v>
      </c>
      <c r="W27" s="737">
        <f>IFERROR(__xludf.DUMMYFUNCTION("""COMPUTED_VALUE"""),1995.0)</f>
        <v>1995</v>
      </c>
      <c r="X27" s="730" t="str">
        <f>IFERROR(__xludf.DUMMYFUNCTION("""COMPUTED_VALUE"""),"Dreyer G, Coutinho A, Miranda D, Noroes J, Rizzo JA, Galdino E, et al. Treatment of bancroftian filariasis in Recife, Brazil: a two-year comparative study of the efficacy of single treatments with ivermectin or diethylcarbamazine. Transactions of the Roya"&amp;"l Society of Tropical Medicine and Hygiene. Oxford University Press (OUP); 1995 Jan;89(1):98–102.")</f>
        <v>Dreyer G, Coutinho A, Miranda D, Noroes J, Rizzo JA, Galdino E, et al. Treatment of bancroftian filariasis in Recife, Brazil: a two-year comparative study of the efficacy of single treatments with ivermectin or diethylcarbamazine. Transactions of the Royal Society of Tropical Medicine and Hygiene. Oxford University Press (OUP); 1995 Jan;89(1):98–102.</v>
      </c>
      <c r="Y27" s="738" t="str">
        <f>IFERROR(__xludf.DUMMYFUNCTION("""COMPUTED_VALUE"""),"10.1016/0035-9203(95)90674-6")</f>
        <v>10.1016/0035-9203(95)90674-6</v>
      </c>
      <c r="Z27" s="727" t="str">
        <f>IFERROR(__xludf.DUMMYFUNCTION("""COMPUTED_VALUE"""),"https://drive.google.com/file/d/0B0-pry4DSOm3SHNZVTZKQVY3SGs/view?usp=sharing")</f>
        <v>https://drive.google.com/file/d/0B0-pry4DSOm3SHNZVTZKQVY3SGs/view?usp=sharing</v>
      </c>
      <c r="AA27" s="40"/>
      <c r="AB27" s="40"/>
    </row>
    <row r="28">
      <c r="A28" s="728" t="str">
        <f>IFERROR(__xludf.DUMMYFUNCTION("""COMPUTED_VALUE"""),"Dreyer, 1995")</f>
        <v>Dreyer, 1995</v>
      </c>
      <c r="B28" s="746" t="str">
        <f>IFERROR(__xludf.DUMMYFUNCTION("""COMPUTED_VALUE"""),"Chungsoo")</f>
        <v>Chungsoo</v>
      </c>
      <c r="C28" s="730" t="str">
        <f>IFERROR(__xludf.DUMMYFUNCTION("""COMPUTED_VALUE"""),"Ross")</f>
        <v>Ross</v>
      </c>
      <c r="D28" s="746" t="str">
        <f>IFERROR(__xludf.DUMMYFUNCTION("""COMPUTED_VALUE"""),"Brazil")</f>
        <v>Brazil</v>
      </c>
      <c r="E28" s="747" t="str">
        <f>IFERROR(__xludf.DUMMYFUNCTION("""COMPUTED_VALUE"""),"W. bancrofti")</f>
        <v>W. bancrofti</v>
      </c>
      <c r="F28" s="732" t="str">
        <f>IFERROR(__xludf.DUMMYFUNCTION("""COMPUTED_VALUE"""),"Ivermectin")</f>
        <v>Ivermectin</v>
      </c>
      <c r="G28" s="730" t="str">
        <f>IFERROR(__xludf.DUMMYFUNCTION("""COMPUTED_VALUE"""),".02 mg/kg + .200 mg/kg")</f>
        <v>.02 mg/kg + .200 mg/kg</v>
      </c>
      <c r="H28" s="740">
        <f>IFERROR(__xludf.DUMMYFUNCTION("""COMPUTED_VALUE"""),2.0)</f>
        <v>2</v>
      </c>
      <c r="I28" s="742">
        <f>IFERROR(__xludf.DUMMYFUNCTION("""COMPUTED_VALUE"""),0.692)</f>
        <v>0.692</v>
      </c>
      <c r="J28" s="741"/>
      <c r="K28" s="40"/>
      <c r="L28" s="734">
        <f>IFERROR(__xludf.DUMMYFUNCTION("""COMPUTED_VALUE"""),11.0)</f>
        <v>11</v>
      </c>
      <c r="M28" s="754" t="str">
        <f>IFERROR(__xludf.DUMMYFUNCTION("""COMPUTED_VALUE"""),"18-44")</f>
        <v>18-44</v>
      </c>
      <c r="N28" s="744" t="str">
        <f>IFERROR(__xludf.DUMMYFUNCTION("""COMPUTED_VALUE"""),"male")</f>
        <v>male</v>
      </c>
      <c r="O28" s="730" t="str">
        <f>IFERROR(__xludf.DUMMYFUNCTION("""COMPUTED_VALUE"""),"Patients taking the combination of ivermectin and were excluded from this analysis.")</f>
        <v>Patients taking the combination of ivermectin and were excluded from this analysis.</v>
      </c>
      <c r="P28" s="748" t="str">
        <f>IFERROR(__xludf.DUMMYFUNCTION("""COMPUTED_VALUE"""),"double-blind trial")</f>
        <v>double-blind trial</v>
      </c>
      <c r="Q28" s="718" t="str">
        <f>IFERROR(__xludf.DUMMYFUNCTION("""COMPUTED_VALUE"""),"Yes")</f>
        <v>Yes</v>
      </c>
      <c r="R28" s="730" t="str">
        <f>IFERROR(__xludf.DUMMYFUNCTION("""COMPUTED_VALUE"""),"Yes")</f>
        <v>Yes</v>
      </c>
      <c r="S28" s="730" t="str">
        <f>IFERROR(__xludf.DUMMYFUNCTION("""COMPUTED_VALUE"""),"2 years")</f>
        <v>2 years</v>
      </c>
      <c r="T28" s="746" t="str">
        <f>IFERROR(__xludf.DUMMYFUNCTION("""COMPUTED_VALUE"""),"Most effective was the combination of ivermectin (20 micrograms/kg) followed 4 d later by DEC (6 mg/kg), with reduction of microfilaraemia to 2.4% of pretreatment levels at 2 years.")</f>
        <v>Most effective was the combination of ivermectin (20 micrograms/kg) followed 4 d later by DEC (6 mg/kg), with reduction of microfilaraemia to 2.4% of pretreatment levels at 2 years.</v>
      </c>
      <c r="U28" s="730" t="str">
        <f>IFERROR(__xludf.DUMMYFUNCTION("""COMPUTED_VALUE"""),"Requires calculation of %reduction from %of pretreatment level data")</f>
        <v>Requires calculation of %reduction from %of pretreatment level data</v>
      </c>
      <c r="V28" s="737">
        <f>IFERROR(__xludf.DUMMYFUNCTION("""COMPUTED_VALUE"""),1995.0)</f>
        <v>1995</v>
      </c>
      <c r="W28" s="737">
        <f>IFERROR(__xludf.DUMMYFUNCTION("""COMPUTED_VALUE"""),1995.0)</f>
        <v>1995</v>
      </c>
      <c r="X28" s="730" t="str">
        <f>IFERROR(__xludf.DUMMYFUNCTION("""COMPUTED_VALUE"""),"Dreyer G, Coutinho A, Miranda D, Noroes J, Rizzo JA, Galdino E, et al. Treatment of bancroftian filariasis in Recife, Brazil: a two-year comparative study of the efficacy of single treatments with ivermectin or diethylcarbamazine. Transactions of the Roya"&amp;"l Society of Tropical Medicine and Hygiene. Oxford University Press (OUP); 1995 Jan;89(1):98–102.")</f>
        <v>Dreyer G, Coutinho A, Miranda D, Noroes J, Rizzo JA, Galdino E, et al. Treatment of bancroftian filariasis in Recife, Brazil: a two-year comparative study of the efficacy of single treatments with ivermectin or diethylcarbamazine. Transactions of the Royal Society of Tropical Medicine and Hygiene. Oxford University Press (OUP); 1995 Jan;89(1):98–102.</v>
      </c>
      <c r="Y28" s="738" t="str">
        <f>IFERROR(__xludf.DUMMYFUNCTION("""COMPUTED_VALUE"""),"10.1016/0035-9203(95)90674-6")</f>
        <v>10.1016/0035-9203(95)90674-6</v>
      </c>
      <c r="Z28" s="727" t="str">
        <f>IFERROR(__xludf.DUMMYFUNCTION("""COMPUTED_VALUE"""),"https://drive.google.com/file/d/0B0-pry4DSOm3SHNZVTZKQVY3SGs/view?usp=sharing")</f>
        <v>https://drive.google.com/file/d/0B0-pry4DSOm3SHNZVTZKQVY3SGs/view?usp=sharing</v>
      </c>
      <c r="AA28" s="40"/>
      <c r="AB28" s="40"/>
    </row>
    <row r="29">
      <c r="A29" s="728" t="str">
        <f>IFERROR(__xludf.DUMMYFUNCTION("""COMPUTED_VALUE"""),"Dreyer, 1995")</f>
        <v>Dreyer, 1995</v>
      </c>
      <c r="B29" s="746" t="str">
        <f>IFERROR(__xludf.DUMMYFUNCTION("""COMPUTED_VALUE"""),"Chungsoo")</f>
        <v>Chungsoo</v>
      </c>
      <c r="C29" s="730" t="str">
        <f>IFERROR(__xludf.DUMMYFUNCTION("""COMPUTED_VALUE"""),"Ross")</f>
        <v>Ross</v>
      </c>
      <c r="D29" s="746" t="str">
        <f>IFERROR(__xludf.DUMMYFUNCTION("""COMPUTED_VALUE"""),"Brazil")</f>
        <v>Brazil</v>
      </c>
      <c r="E29" s="747" t="str">
        <f>IFERROR(__xludf.DUMMYFUNCTION("""COMPUTED_VALUE"""),"W. bancrofti")</f>
        <v>W. bancrofti</v>
      </c>
      <c r="F29" s="732" t="str">
        <f>IFERROR(__xludf.DUMMYFUNCTION("""COMPUTED_VALUE"""),"Ivermectin")</f>
        <v>Ivermectin</v>
      </c>
      <c r="G29" s="730" t="str">
        <f>IFERROR(__xludf.DUMMYFUNCTION("""COMPUTED_VALUE"""),".02 mg/kg + .400 mg/kg")</f>
        <v>.02 mg/kg + .400 mg/kg</v>
      </c>
      <c r="H29" s="740">
        <f>IFERROR(__xludf.DUMMYFUNCTION("""COMPUTED_VALUE"""),2.0)</f>
        <v>2</v>
      </c>
      <c r="I29" s="742">
        <f>IFERROR(__xludf.DUMMYFUNCTION("""COMPUTED_VALUE"""),0.863)</f>
        <v>0.863</v>
      </c>
      <c r="J29" s="741"/>
      <c r="K29" s="40"/>
      <c r="L29" s="734">
        <f>IFERROR(__xludf.DUMMYFUNCTION("""COMPUTED_VALUE"""),11.0)</f>
        <v>11</v>
      </c>
      <c r="M29" s="754" t="str">
        <f>IFERROR(__xludf.DUMMYFUNCTION("""COMPUTED_VALUE"""),"18-44")</f>
        <v>18-44</v>
      </c>
      <c r="N29" s="744" t="str">
        <f>IFERROR(__xludf.DUMMYFUNCTION("""COMPUTED_VALUE"""),"male")</f>
        <v>male</v>
      </c>
      <c r="O29" s="730" t="str">
        <f>IFERROR(__xludf.DUMMYFUNCTION("""COMPUTED_VALUE"""),"Patients taking the combination of ivermectin and were excluded from this analysis.")</f>
        <v>Patients taking the combination of ivermectin and were excluded from this analysis.</v>
      </c>
      <c r="P29" s="748" t="str">
        <f>IFERROR(__xludf.DUMMYFUNCTION("""COMPUTED_VALUE"""),"double-blind trial")</f>
        <v>double-blind trial</v>
      </c>
      <c r="Q29" s="718" t="str">
        <f>IFERROR(__xludf.DUMMYFUNCTION("""COMPUTED_VALUE"""),"Yes")</f>
        <v>Yes</v>
      </c>
      <c r="R29" s="730" t="str">
        <f>IFERROR(__xludf.DUMMYFUNCTION("""COMPUTED_VALUE"""),"Yes")</f>
        <v>Yes</v>
      </c>
      <c r="S29" s="730" t="str">
        <f>IFERROR(__xludf.DUMMYFUNCTION("""COMPUTED_VALUE"""),"2 years")</f>
        <v>2 years</v>
      </c>
      <c r="T29" s="746" t="str">
        <f>IFERROR(__xludf.DUMMYFUNCTION("""COMPUTED_VALUE"""),"Most effective was the combination of ivermectin (20 micrograms/kg) followed 4 d later by DEC (6 mg/kg), with reduction of microfilaraemia to 2.4% of pretreatment levels at 2 years.")</f>
        <v>Most effective was the combination of ivermectin (20 micrograms/kg) followed 4 d later by DEC (6 mg/kg), with reduction of microfilaraemia to 2.4% of pretreatment levels at 2 years.</v>
      </c>
      <c r="U29" s="730" t="str">
        <f>IFERROR(__xludf.DUMMYFUNCTION("""COMPUTED_VALUE"""),"Requires calculation of %reduction from %of pretreatment level data")</f>
        <v>Requires calculation of %reduction from %of pretreatment level data</v>
      </c>
      <c r="V29" s="737">
        <f>IFERROR(__xludf.DUMMYFUNCTION("""COMPUTED_VALUE"""),1995.0)</f>
        <v>1995</v>
      </c>
      <c r="W29" s="737">
        <f>IFERROR(__xludf.DUMMYFUNCTION("""COMPUTED_VALUE"""),1995.0)</f>
        <v>1995</v>
      </c>
      <c r="X29" s="730" t="str">
        <f>IFERROR(__xludf.DUMMYFUNCTION("""COMPUTED_VALUE"""),"Dreyer G, Coutinho A, Miranda D, Noroes J, Rizzo JA, Galdino E, et al. Treatment of bancroftian filariasis in Recife, Brazil: a two-year comparative study of the efficacy of single treatments with ivermectin or diethylcarbamazine. Transactions of the Roya"&amp;"l Society of Tropical Medicine and Hygiene. Oxford University Press (OUP); 1995 Jan;89(1):98–102.")</f>
        <v>Dreyer G, Coutinho A, Miranda D, Noroes J, Rizzo JA, Galdino E, et al. Treatment of bancroftian filariasis in Recife, Brazil: a two-year comparative study of the efficacy of single treatments with ivermectin or diethylcarbamazine. Transactions of the Royal Society of Tropical Medicine and Hygiene. Oxford University Press (OUP); 1995 Jan;89(1):98–102.</v>
      </c>
      <c r="Y29" s="738" t="str">
        <f>IFERROR(__xludf.DUMMYFUNCTION("""COMPUTED_VALUE"""),"10.1016/0035-9203(95)90674-6")</f>
        <v>10.1016/0035-9203(95)90674-6</v>
      </c>
      <c r="Z29" s="727" t="str">
        <f>IFERROR(__xludf.DUMMYFUNCTION("""COMPUTED_VALUE"""),"https://drive.google.com/file/d/0B0-pry4DSOm3SHNZVTZKQVY3SGs/view?usp=sharing")</f>
        <v>https://drive.google.com/file/d/0B0-pry4DSOm3SHNZVTZKQVY3SGs/view?usp=sharing</v>
      </c>
      <c r="AA29" s="40"/>
      <c r="AB29" s="40"/>
    </row>
    <row r="30">
      <c r="A30" s="728" t="str">
        <f>IFERROR(__xludf.DUMMYFUNCTION("""COMPUTED_VALUE"""),"Dreyer, 1995")</f>
        <v>Dreyer, 1995</v>
      </c>
      <c r="B30" s="746" t="str">
        <f>IFERROR(__xludf.DUMMYFUNCTION("""COMPUTED_VALUE"""),"Chungsoo")</f>
        <v>Chungsoo</v>
      </c>
      <c r="C30" s="730" t="str">
        <f>IFERROR(__xludf.DUMMYFUNCTION("""COMPUTED_VALUE"""),"Ross")</f>
        <v>Ross</v>
      </c>
      <c r="D30" s="746" t="str">
        <f>IFERROR(__xludf.DUMMYFUNCTION("""COMPUTED_VALUE"""),"Brazil")</f>
        <v>Brazil</v>
      </c>
      <c r="E30" s="747" t="str">
        <f>IFERROR(__xludf.DUMMYFUNCTION("""COMPUTED_VALUE"""),"W. bancrofti")</f>
        <v>W. bancrofti</v>
      </c>
      <c r="F30" s="746" t="str">
        <f>IFERROR(__xludf.DUMMYFUNCTION("""COMPUTED_VALUE"""),"DEC &amp; Ivermectin")</f>
        <v>DEC &amp; Ivermectin</v>
      </c>
      <c r="G30" s="730" t="str">
        <f>IFERROR(__xludf.DUMMYFUNCTION("""COMPUTED_VALUE"""),".02 mg/kg + 6 mg/kg")</f>
        <v>.02 mg/kg + 6 mg/kg</v>
      </c>
      <c r="H30" s="740">
        <f>IFERROR(__xludf.DUMMYFUNCTION("""COMPUTED_VALUE"""),2.0)</f>
        <v>2</v>
      </c>
      <c r="I30" s="742">
        <f>IFERROR(__xludf.DUMMYFUNCTION("""COMPUTED_VALUE"""),0.943)</f>
        <v>0.943</v>
      </c>
      <c r="J30" s="741"/>
      <c r="K30" s="40"/>
      <c r="L30" s="734">
        <f>IFERROR(__xludf.DUMMYFUNCTION("""COMPUTED_VALUE"""),12.0)</f>
        <v>12</v>
      </c>
      <c r="M30" s="730" t="str">
        <f>IFERROR(__xludf.DUMMYFUNCTION("""COMPUTED_VALUE"""),"18-44")</f>
        <v>18-44</v>
      </c>
      <c r="N30" s="744" t="str">
        <f>IFERROR(__xludf.DUMMYFUNCTION("""COMPUTED_VALUE"""),"male")</f>
        <v>male</v>
      </c>
      <c r="O30" s="730" t="str">
        <f>IFERROR(__xludf.DUMMYFUNCTION("""COMPUTED_VALUE"""),"Patients taking the combination of ivermectin and were excluded from this analysis.")</f>
        <v>Patients taking the combination of ivermectin and were excluded from this analysis.</v>
      </c>
      <c r="P30" s="748" t="str">
        <f>IFERROR(__xludf.DUMMYFUNCTION("""COMPUTED_VALUE"""),"double-blind trial")</f>
        <v>double-blind trial</v>
      </c>
      <c r="Q30" s="718" t="str">
        <f>IFERROR(__xludf.DUMMYFUNCTION("""COMPUTED_VALUE"""),"Yes")</f>
        <v>Yes</v>
      </c>
      <c r="R30" s="730" t="str">
        <f>IFERROR(__xludf.DUMMYFUNCTION("""COMPUTED_VALUE"""),"Yes")</f>
        <v>Yes</v>
      </c>
      <c r="S30" s="730" t="str">
        <f>IFERROR(__xludf.DUMMYFUNCTION("""COMPUTED_VALUE"""),"2 years")</f>
        <v>2 years</v>
      </c>
      <c r="T30" s="746" t="str">
        <f>IFERROR(__xludf.DUMMYFUNCTION("""COMPUTED_VALUE"""),"Most effective was the combination of ivermectin (20 micrograms/kg) followed 4 d later by DEC (6 mg/kg), with reduction of microfilaraemia to 2.4% of pretreatment levels at 2 years.")</f>
        <v>Most effective was the combination of ivermectin (20 micrograms/kg) followed 4 d later by DEC (6 mg/kg), with reduction of microfilaraemia to 2.4% of pretreatment levels at 2 years.</v>
      </c>
      <c r="U30" s="730" t="str">
        <f>IFERROR(__xludf.DUMMYFUNCTION("""COMPUTED_VALUE"""),"Requires calculation of %reduction from %of pretreatment level data")</f>
        <v>Requires calculation of %reduction from %of pretreatment level data</v>
      </c>
      <c r="V30" s="737">
        <f>IFERROR(__xludf.DUMMYFUNCTION("""COMPUTED_VALUE"""),1995.0)</f>
        <v>1995</v>
      </c>
      <c r="W30" s="737">
        <f>IFERROR(__xludf.DUMMYFUNCTION("""COMPUTED_VALUE"""),1995.0)</f>
        <v>1995</v>
      </c>
      <c r="X30" s="730" t="str">
        <f>IFERROR(__xludf.DUMMYFUNCTION("""COMPUTED_VALUE"""),"Dreyer G, Coutinho A, Miranda D, Noroes J, Rizzo JA, Galdino E, et al. Treatment of bancroftian filariasis in Recife, Brazil: a two-year comparative study of the efficacy of single treatments with ivermectin or diethylcarbamazine. Transactions of the Roya"&amp;"l Society of Tropical Medicine and Hygiene. Oxford University Press (OUP); 1995 Jan;89(1):98–102.")</f>
        <v>Dreyer G, Coutinho A, Miranda D, Noroes J, Rizzo JA, Galdino E, et al. Treatment of bancroftian filariasis in Recife, Brazil: a two-year comparative study of the efficacy of single treatments with ivermectin or diethylcarbamazine. Transactions of the Royal Society of Tropical Medicine and Hygiene. Oxford University Press (OUP); 1995 Jan;89(1):98–102.</v>
      </c>
      <c r="Y30" s="738" t="str">
        <f>IFERROR(__xludf.DUMMYFUNCTION("""COMPUTED_VALUE"""),"10.1016/0035-9203(95)90674-6")</f>
        <v>10.1016/0035-9203(95)90674-6</v>
      </c>
      <c r="Z30" s="727" t="str">
        <f>IFERROR(__xludf.DUMMYFUNCTION("""COMPUTED_VALUE"""),"https://drive.google.com/file/d/0B0-pry4DSOm3SHNZVTZKQVY3SGs/view?usp=sharing")</f>
        <v>https://drive.google.com/file/d/0B0-pry4DSOm3SHNZVTZKQVY3SGs/view?usp=sharing</v>
      </c>
      <c r="AA30" s="40"/>
      <c r="AB30" s="40"/>
    </row>
    <row r="31">
      <c r="A31" s="717" t="str">
        <f>IFERROR(__xludf.DUMMYFUNCTION("""COMPUTED_VALUE"""),"Dreyer, 2006")</f>
        <v>Dreyer, 2006</v>
      </c>
      <c r="B31" s="40"/>
      <c r="C31" s="746" t="str">
        <f>IFERROR(__xludf.DUMMYFUNCTION("""COMPUTED_VALUE"""),"Alex")</f>
        <v>Alex</v>
      </c>
      <c r="D31" s="718" t="str">
        <f>IFERROR(__xludf.DUMMYFUNCTION("""COMPUTED_VALUE"""),"Brazil")</f>
        <v>Brazil</v>
      </c>
      <c r="E31" s="719" t="str">
        <f>IFERROR(__xludf.DUMMYFUNCTION("""COMPUTED_VALUE"""),"w. bancrofti")</f>
        <v>w. bancrofti</v>
      </c>
      <c r="F31" s="718" t="str">
        <f>IFERROR(__xludf.DUMMYFUNCTION("""COMPUTED_VALUE"""),"DEC")</f>
        <v>DEC</v>
      </c>
      <c r="G31" s="718" t="str">
        <f>IFERROR(__xludf.DUMMYFUNCTION("""COMPUTED_VALUE"""),"6 mg/kg")</f>
        <v>6 mg/kg</v>
      </c>
      <c r="H31" s="718">
        <f>IFERROR(__xludf.DUMMYFUNCTION("""COMPUTED_VALUE"""),1.0)</f>
        <v>1</v>
      </c>
      <c r="I31" s="720">
        <f>IFERROR(__xludf.DUMMYFUNCTION("""COMPUTED_VALUE"""),0.853)</f>
        <v>0.853</v>
      </c>
      <c r="J31" s="756">
        <f>IFERROR(__xludf.DUMMYFUNCTION("""COMPUTED_VALUE"""),0.583)</f>
        <v>0.583</v>
      </c>
      <c r="K31" s="40"/>
      <c r="L31" s="718">
        <f>IFERROR(__xludf.DUMMYFUNCTION("""COMPUTED_VALUE"""),25.0)</f>
        <v>25</v>
      </c>
      <c r="M31" s="721" t="str">
        <f>IFERROR(__xludf.DUMMYFUNCTION("""COMPUTED_VALUE"""),"18+")</f>
        <v>18+</v>
      </c>
      <c r="N31" s="744" t="str">
        <f>IFERROR(__xludf.DUMMYFUNCTION("""COMPUTED_VALUE"""),"male")</f>
        <v>male</v>
      </c>
      <c r="O31" s="718" t="str">
        <f>IFERROR(__xludf.DUMMYFUNCTION("""COMPUTED_VALUE"""),"(1) were at least 18 years of age; (2) had reproducibility of the FDS confirmed by two independent investigators on three separate occasions (several days apart) before treatment; (3) had no hydro- cele or genital lymphoedema; (4) had never been treated f"&amp;"or filarial infection with DEC or ivermectin; (5) received no anthelminthic drugs during the follow-up period; and (6) adhered to the follow-up schedule for physical and ultra- sound examinations.")</f>
        <v>(1) were at least 18 years of age; (2) had reproducibility of the FDS confirmed by two independent investigators on three separate occasions (several days apart) before treatment; (3) had no hydro- cele or genital lymphoedema; (4) had never been treated for filarial infection with DEC or ivermectin; (5) received no anthelminthic drugs during the follow-up period; and (6) adhered to the follow-up schedule for physical and ultra- sound examinations.</v>
      </c>
      <c r="P31" s="723" t="str">
        <f>IFERROR(__xludf.DUMMYFUNCTION("""COMPUTED_VALUE"""),"blinded, randomised treatment groups")</f>
        <v>blinded, randomised treatment groups</v>
      </c>
      <c r="Q31" s="718" t="str">
        <f>IFERROR(__xludf.DUMMYFUNCTION("""COMPUTED_VALUE"""),"Yes")</f>
        <v>Yes</v>
      </c>
      <c r="R31" s="718" t="str">
        <f>IFERROR(__xludf.DUMMYFUNCTION("""COMPUTED_VALUE"""),"Yes")</f>
        <v>Yes</v>
      </c>
      <c r="S31" s="718" t="str">
        <f>IFERROR(__xludf.DUMMYFUNCTION("""COMPUTED_VALUE"""),"1 week, 1 month, 1 year")</f>
        <v>1 week, 1 month, 1 year</v>
      </c>
      <c r="T31" s="730" t="str">
        <f>IFERROR(__xludf.DUMMYFUNCTION("""COMPUTED_VALUE"""),"The results of this study do not indicate that coadministration of albendazole with DEC would be less effective than DEC alone in interrupting transmission. At the programme level, many factors other than macrofilaricidal efficacy, such as the depth and d"&amp;"uration of microfilarial suppression, the fecundity of the remaining adult worms, the mosquito vector species and the potential for greater acceptance and higher coverage of mass drug treatment resulting from drug effectiveness against intestinal worms, w"&amp;"ill likely play important roles")</f>
        <v>The results of this study do not indicate that coadministration of albendazole with DEC would be less effective than DEC alone in interrupting transmission. At the programme level, many factors other than macrofilaricidal efficacy, such as the depth and duration of microfilarial suppression, the fecundity of the remaining adult worms, the mosquito vector species and the potential for greater acceptance and higher coverage of mass drug treatment resulting from drug effectiveness against intestinal worms, will likely play important roles</v>
      </c>
      <c r="U31" s="40"/>
      <c r="V31" s="724">
        <f>IFERROR(__xludf.DUMMYFUNCTION("""COMPUTED_VALUE"""),2006.0)</f>
        <v>2006</v>
      </c>
      <c r="W31" s="724">
        <f>IFERROR(__xludf.DUMMYFUNCTION("""COMPUTED_VALUE"""),2006.0)</f>
        <v>2006</v>
      </c>
      <c r="X31" s="718" t="str">
        <f>IFERROR(__xludf.DUMMYFUNCTION("""COMPUTED_VALUE"""),"Gerusa Dreyer, David Addiss, John Williamson, Joaquim Nor ̃oes. Efficacy of co administered diethylcarbamazine and albendazole against adult Wuchereria bancrofti. Transactions of the Royal Society of Tropical Medicine and Hygiene (2006) 100, 111 —1125.")</f>
        <v>Gerusa Dreyer, David Addiss, John Williamson, Joaquim Nor ̃oes. Efficacy of co administered diethylcarbamazine and albendazole against adult Wuchereria bancrofti. Transactions of the Royal Society of Tropical Medicine and Hygiene (2006) 100, 111 —1125.</v>
      </c>
      <c r="Y31" s="726" t="str">
        <f>IFERROR(__xludf.DUMMYFUNCTION("""COMPUTED_VALUE"""),"doi:10.1016/j.trstmh.2006.04.006")</f>
        <v>doi:10.1016/j.trstmh.2006.04.006</v>
      </c>
      <c r="Z31" s="727" t="str">
        <f>IFERROR(__xludf.DUMMYFUNCTION("""COMPUTED_VALUE"""),"https://drive.google.com/file/d/0B4sJPAkX0Jo3dlM4dXp1UTRPT2c/view?usp=sharing")</f>
        <v>https://drive.google.com/file/d/0B4sJPAkX0Jo3dlM4dXp1UTRPT2c/view?usp=sharing</v>
      </c>
      <c r="AA31" s="40"/>
      <c r="AB31" s="40"/>
    </row>
    <row r="32">
      <c r="A32" s="717" t="str">
        <f>IFERROR(__xludf.DUMMYFUNCTION("""COMPUTED_VALUE"""),"Dreyer, 2006")</f>
        <v>Dreyer, 2006</v>
      </c>
      <c r="B32" s="40"/>
      <c r="C32" s="746" t="str">
        <f>IFERROR(__xludf.DUMMYFUNCTION("""COMPUTED_VALUE"""),"Alex")</f>
        <v>Alex</v>
      </c>
      <c r="D32" s="718" t="str">
        <f>IFERROR(__xludf.DUMMYFUNCTION("""COMPUTED_VALUE"""),"Brazil")</f>
        <v>Brazil</v>
      </c>
      <c r="E32" s="719" t="str">
        <f>IFERROR(__xludf.DUMMYFUNCTION("""COMPUTED_VALUE"""),"w. bancrofti")</f>
        <v>w. bancrofti</v>
      </c>
      <c r="F32" s="718" t="str">
        <f>IFERROR(__xludf.DUMMYFUNCTION("""COMPUTED_VALUE"""),"Albendazole &amp; DEC")</f>
        <v>Albendazole &amp; DEC</v>
      </c>
      <c r="G32" s="718" t="str">
        <f>IFERROR(__xludf.DUMMYFUNCTION("""COMPUTED_VALUE"""),"400 mg + 6 mg/kg")</f>
        <v>400 mg + 6 mg/kg</v>
      </c>
      <c r="H32" s="718">
        <f>IFERROR(__xludf.DUMMYFUNCTION("""COMPUTED_VALUE"""),1.0)</f>
        <v>1</v>
      </c>
      <c r="I32" s="720">
        <f>IFERROR(__xludf.DUMMYFUNCTION("""COMPUTED_VALUE"""),0.695)</f>
        <v>0.695</v>
      </c>
      <c r="J32" s="720">
        <f>IFERROR(__xludf.DUMMYFUNCTION("""COMPUTED_VALUE"""),0.579)</f>
        <v>0.579</v>
      </c>
      <c r="K32" s="40"/>
      <c r="L32" s="718">
        <f>IFERROR(__xludf.DUMMYFUNCTION("""COMPUTED_VALUE"""),22.0)</f>
        <v>22</v>
      </c>
      <c r="M32" s="721" t="str">
        <f>IFERROR(__xludf.DUMMYFUNCTION("""COMPUTED_VALUE"""),"18+")</f>
        <v>18+</v>
      </c>
      <c r="N32" s="744" t="str">
        <f>IFERROR(__xludf.DUMMYFUNCTION("""COMPUTED_VALUE"""),"male")</f>
        <v>male</v>
      </c>
      <c r="O32" s="718" t="str">
        <f>IFERROR(__xludf.DUMMYFUNCTION("""COMPUTED_VALUE"""),"(1) were at least 18 years of age; (2) had reproducibility of the FDS confirmed by two independent investigators on three separate occasions (several days apart) before treatment; (3) had no hydro- cele or genital lymphoedema; (4) had never been treated f"&amp;"or filarial infection with DEC or ivermectin; (5) received no anthelminthic drugs during the follow-up period; and (6) adhered to the follow-up schedule for physical and ultra- sound examinations.")</f>
        <v>(1) were at least 18 years of age; (2) had reproducibility of the FDS confirmed by two independent investigators on three separate occasions (several days apart) before treatment; (3) had no hydro- cele or genital lymphoedema; (4) had never been treated for filarial infection with DEC or ivermectin; (5) received no anthelminthic drugs during the follow-up period; and (6) adhered to the follow-up schedule for physical and ultra- sound examinations.</v>
      </c>
      <c r="P32" s="723" t="str">
        <f>IFERROR(__xludf.DUMMYFUNCTION("""COMPUTED_VALUE"""),"blinded, randomised treatment groups")</f>
        <v>blinded, randomised treatment groups</v>
      </c>
      <c r="Q32" s="718" t="str">
        <f>IFERROR(__xludf.DUMMYFUNCTION("""COMPUTED_VALUE"""),"Yes")</f>
        <v>Yes</v>
      </c>
      <c r="R32" s="718" t="str">
        <f>IFERROR(__xludf.DUMMYFUNCTION("""COMPUTED_VALUE"""),"Yes")</f>
        <v>Yes</v>
      </c>
      <c r="S32" s="718" t="str">
        <f>IFERROR(__xludf.DUMMYFUNCTION("""COMPUTED_VALUE"""),"2 week, 1 month, 1 year")</f>
        <v>2 week, 1 month, 1 year</v>
      </c>
      <c r="T32" s="730" t="str">
        <f>IFERROR(__xludf.DUMMYFUNCTION("""COMPUTED_VALUE"""),"The results of this study do not indicate that coadministration of albendazole with DEC would be less effective than DEC alone in interrupting transmission. At the programme level, many factors other than macrofilaricidal efficacy, such as the depth and d"&amp;"uration of microfilarial suppression, the fecundity of the remaining adult worms, the mosquito vector species and the potential for greater acceptance and higher coverage of mass drug treatment resulting from drug effectiveness against intestinal worms, w"&amp;"ill likely play important roles")</f>
        <v>The results of this study do not indicate that coadministration of albendazole with DEC would be less effective than DEC alone in interrupting transmission. At the programme level, many factors other than macrofilaricidal efficacy, such as the depth and duration of microfilarial suppression, the fecundity of the remaining adult worms, the mosquito vector species and the potential for greater acceptance and higher coverage of mass drug treatment resulting from drug effectiveness against intestinal worms, will likely play important roles</v>
      </c>
      <c r="U32" s="40"/>
      <c r="V32" s="724">
        <f>IFERROR(__xludf.DUMMYFUNCTION("""COMPUTED_VALUE"""),2006.0)</f>
        <v>2006</v>
      </c>
      <c r="W32" s="724">
        <f>IFERROR(__xludf.DUMMYFUNCTION("""COMPUTED_VALUE"""),2006.0)</f>
        <v>2006</v>
      </c>
      <c r="X32" s="718" t="str">
        <f>IFERROR(__xludf.DUMMYFUNCTION("""COMPUTED_VALUE"""),"Gerusa Dreyer, David Addiss, John Williamson, Joaquim Nor ̃oes. Efficacy of co administered diethylcarbamazine and albendazole against adult Wuchereria bancrofti. Transactions of the Royal Society of Tropical Medicine and Hygiene (2006) 100, 111 —1125.")</f>
        <v>Gerusa Dreyer, David Addiss, John Williamson, Joaquim Nor ̃oes. Efficacy of co administered diethylcarbamazine and albendazole against adult Wuchereria bancrofti. Transactions of the Royal Society of Tropical Medicine and Hygiene (2006) 100, 111 —1125.</v>
      </c>
      <c r="Y32" s="726" t="str">
        <f>IFERROR(__xludf.DUMMYFUNCTION("""COMPUTED_VALUE"""),"doi:10.1016/j.trstmh.2006.04.006")</f>
        <v>doi:10.1016/j.trstmh.2006.04.006</v>
      </c>
      <c r="Z32" s="727" t="str">
        <f>IFERROR(__xludf.DUMMYFUNCTION("""COMPUTED_VALUE"""),"https://drive.google.com/file/d/0B4sJPAkX0Jo3dlM4dXp1UTRPT2c/view?usp=sharing")</f>
        <v>https://drive.google.com/file/d/0B4sJPAkX0Jo3dlM4dXp1UTRPT2c/view?usp=sharing</v>
      </c>
      <c r="AA32" s="40"/>
      <c r="AB32" s="40"/>
    </row>
    <row r="33">
      <c r="A33" s="745" t="str">
        <f>IFERROR(__xludf.DUMMYFUNCTION("""COMPUTED_VALUE"""),"Dunyo S, 2000")</f>
        <v>Dunyo S, 2000</v>
      </c>
      <c r="B33" s="40"/>
      <c r="C33" s="746" t="str">
        <f>IFERROR(__xludf.DUMMYFUNCTION("""COMPUTED_VALUE"""),"Alex")</f>
        <v>Alex</v>
      </c>
      <c r="D33" s="746" t="str">
        <f>IFERROR(__xludf.DUMMYFUNCTION("""COMPUTED_VALUE"""),"Ghana")</f>
        <v>Ghana</v>
      </c>
      <c r="E33" s="747" t="str">
        <f>IFERROR(__xludf.DUMMYFUNCTION("""COMPUTED_VALUE"""),"W. bancrofti")</f>
        <v>W. bancrofti</v>
      </c>
      <c r="F33" s="732" t="str">
        <f>IFERROR(__xludf.DUMMYFUNCTION("""COMPUTED_VALUE"""),"Ivermectin")</f>
        <v>Ivermectin</v>
      </c>
      <c r="G33" s="746" t="str">
        <f>IFERROR(__xludf.DUMMYFUNCTION("""COMPUTED_VALUE"""),".150-.200 mg/ kg")</f>
        <v>.150-.200 mg/ kg</v>
      </c>
      <c r="H33" s="746">
        <f>IFERROR(__xludf.DUMMYFUNCTION("""COMPUTED_VALUE"""),1.0)</f>
        <v>1</v>
      </c>
      <c r="I33" s="749">
        <f>IFERROR(__xludf.DUMMYFUNCTION("""COMPUTED_VALUE"""),0.783)</f>
        <v>0.783</v>
      </c>
      <c r="J33" s="757">
        <f>IFERROR(__xludf.DUMMYFUNCTION("""COMPUTED_VALUE"""),0.127)</f>
        <v>0.127</v>
      </c>
      <c r="K33" s="40"/>
      <c r="L33" s="746">
        <f>IFERROR(__xludf.DUMMYFUNCTION("""COMPUTED_VALUE"""),55.0)</f>
        <v>55</v>
      </c>
      <c r="M33" s="746" t="str">
        <f>IFERROR(__xludf.DUMMYFUNCTION("""COMPUTED_VALUE"""),"6-87")</f>
        <v>6-87</v>
      </c>
      <c r="N33" s="758" t="str">
        <f>IFERROR(__xludf.DUMMYFUNCTION("""COMPUTED_VALUE"""),"19: 36")</f>
        <v>19: 36</v>
      </c>
      <c r="O33" s="718" t="str">
        <f>IFERROR(__xludf.DUMMYFUNCTION("""COMPUTED_VALUE"""),"Subjects microfilaria (mf)-positive before treatment, were randomized into 4 groups: albendazole alone: Subjects (350), ivermectin alone: Subjects (336) combination of albendazole and ivermectin: Subjects (370) or placebo: Subjects (350)")</f>
        <v>Subjects microfilaria (mf)-positive before treatment, were randomized into 4 groups: albendazole alone: Subjects (350), ivermectin alone: Subjects (336) combination of albendazole and ivermectin: Subjects (370) or placebo: Subjects (350)</v>
      </c>
      <c r="P33" s="759" t="str">
        <f>IFERROR(__xludf.DUMMYFUNCTION("""COMPUTED_VALUE"""),"double-blind, RCT")</f>
        <v>double-blind, RCT</v>
      </c>
      <c r="Q33" s="718" t="str">
        <f>IFERROR(__xludf.DUMMYFUNCTION("""COMPUTED_VALUE"""),"Yes")</f>
        <v>Yes</v>
      </c>
      <c r="R33" s="718" t="str">
        <f>IFERROR(__xludf.DUMMYFUNCTION("""COMPUTED_VALUE"""),"Yes")</f>
        <v>Yes</v>
      </c>
      <c r="S33" s="746" t="str">
        <f>IFERROR(__xludf.DUMMYFUNCTION("""COMPUTED_VALUE"""),"12 months")</f>
        <v>12 months</v>
      </c>
      <c r="T33" s="730" t="str">
        <f>IFERROR(__xludf.DUMMYFUNCTION("""COMPUTED_VALUE"""),"The different treatment regimens were well tolerated, and only few adverse reactions were observed. These were generally mild, transient and self-limiting (no severe reaction was recorded), and no statistically significant differences in frequency were ob"&amp;"served between the 4 treatment groups. Thus, as also seen in previous studies albendazole alone or its combination with ivermectin caused no increase in frequency or type of adverse reactions. However, reactions were more common in mf-positive than in mf-"&amp;"negative individuals in the ivermectin and the combination of ivermectin and albendazole groups.")</f>
        <v>The different treatment regimens were well tolerated, and only few adverse reactions were observed. These were generally mild, transient and self-limiting (no severe reaction was recorded), and no statistically significant differences in frequency were observed between the 4 treatment groups. Thus, as also seen in previous studies albendazole alone or its combination with ivermectin caused no increase in frequency or type of adverse reactions. However, reactions were more common in mf-positive than in mf-negative individuals in the ivermectin and the combination of ivermectin and albendazole groups.</v>
      </c>
      <c r="U33" s="40"/>
      <c r="V33" s="752">
        <f>IFERROR(__xludf.DUMMYFUNCTION("""COMPUTED_VALUE"""),1998.0)</f>
        <v>1998</v>
      </c>
      <c r="W33" s="760">
        <f>IFERROR(__xludf.DUMMYFUNCTION("""COMPUTED_VALUE"""),1998.0)</f>
        <v>1998</v>
      </c>
      <c r="X33" s="40" t="str">
        <f>IFERROR(__xludf.DUMMYFUNCTION("""COMPUTED_VALUE"""),"Dunyo SK, Nkrumah FK, Simonsen PE. A randomized double-blind placebo-controlled field trial of ivermectin and albendazole alone and in combination for the treatment of lymphatic filariasis in Ghana. Transactions of the Royal Society of Tropical Medicine a"&amp;"nd Hygiene. 2000;94(2):205–211.")</f>
        <v>Dunyo SK, Nkrumah FK, Simonsen PE. A randomized double-blind placebo-controlled field trial of ivermectin and albendazole alone and in combination for the treatment of lymphatic filariasis in Ghana. Transactions of the Royal Society of Tropical Medicine and Hygiene. 2000;94(2):205–211.</v>
      </c>
      <c r="Y33" s="726"/>
      <c r="Z33" s="727" t="str">
        <f>IFERROR(__xludf.DUMMYFUNCTION("""COMPUTED_VALUE"""),"https://drive.google.com/file/d/0B95WhYooraDebWRkSzRrdlV1cFk/view?usp=sharing")</f>
        <v>https://drive.google.com/file/d/0B95WhYooraDebWRkSzRrdlV1cFk/view?usp=sharing</v>
      </c>
      <c r="AA33" s="40"/>
      <c r="AB33" s="40"/>
    </row>
    <row r="34">
      <c r="A34" s="745" t="str">
        <f>IFERROR(__xludf.DUMMYFUNCTION("""COMPUTED_VALUE"""),"Dunyo S, 2000")</f>
        <v>Dunyo S, 2000</v>
      </c>
      <c r="B34" s="40"/>
      <c r="C34" s="746" t="str">
        <f>IFERROR(__xludf.DUMMYFUNCTION("""COMPUTED_VALUE"""),"Alex")</f>
        <v>Alex</v>
      </c>
      <c r="D34" s="746" t="str">
        <f>IFERROR(__xludf.DUMMYFUNCTION("""COMPUTED_VALUE"""),"Ghana")</f>
        <v>Ghana</v>
      </c>
      <c r="E34" s="747" t="str">
        <f>IFERROR(__xludf.DUMMYFUNCTION("""COMPUTED_VALUE"""),"W. bancrofti")</f>
        <v>W. bancrofti</v>
      </c>
      <c r="F34" s="718" t="str">
        <f>IFERROR(__xludf.DUMMYFUNCTION("""COMPUTED_VALUE"""),"Albendazole")</f>
        <v>Albendazole</v>
      </c>
      <c r="G34" s="718" t="str">
        <f>IFERROR(__xludf.DUMMYFUNCTION("""COMPUTED_VALUE"""),"400 mg")</f>
        <v>400 mg</v>
      </c>
      <c r="H34" s="718">
        <f>IFERROR(__xludf.DUMMYFUNCTION("""COMPUTED_VALUE"""),1.0)</f>
        <v>1</v>
      </c>
      <c r="I34" s="749">
        <f>IFERROR(__xludf.DUMMYFUNCTION("""COMPUTED_VALUE"""),0.683)</f>
        <v>0.683</v>
      </c>
      <c r="J34" s="757">
        <f>IFERROR(__xludf.DUMMYFUNCTION("""COMPUTED_VALUE"""),0.081)</f>
        <v>0.081</v>
      </c>
      <c r="K34" s="40"/>
      <c r="L34" s="718">
        <f>IFERROR(__xludf.DUMMYFUNCTION("""COMPUTED_VALUE"""),62.0)</f>
        <v>62</v>
      </c>
      <c r="M34" s="721" t="str">
        <f>IFERROR(__xludf.DUMMYFUNCTION("""COMPUTED_VALUE"""),"6-77")</f>
        <v>6-77</v>
      </c>
      <c r="N34" s="744" t="str">
        <f>IFERROR(__xludf.DUMMYFUNCTION("""COMPUTED_VALUE"""),"25: 37")</f>
        <v>25: 37</v>
      </c>
      <c r="O34" s="718" t="str">
        <f>IFERROR(__xludf.DUMMYFUNCTION("""COMPUTED_VALUE"""),"Subjects microfilaria (mf)-positive before treatment, were randomized into 4 groups: albendazole alone: Subjects (350), ivermectin alone: Subjects (336) combination of albendazole and ivermectin: Subjects (370) or placebo: Subjects (350)")</f>
        <v>Subjects microfilaria (mf)-positive before treatment, were randomized into 4 groups: albendazole alone: Subjects (350), ivermectin alone: Subjects (336) combination of albendazole and ivermectin: Subjects (370) or placebo: Subjects (350)</v>
      </c>
      <c r="P34" s="759" t="str">
        <f>IFERROR(__xludf.DUMMYFUNCTION("""COMPUTED_VALUE"""),"double-blind, RCT")</f>
        <v>double-blind, RCT</v>
      </c>
      <c r="Q34" s="718" t="str">
        <f>IFERROR(__xludf.DUMMYFUNCTION("""COMPUTED_VALUE"""),"Yes")</f>
        <v>Yes</v>
      </c>
      <c r="R34" s="718" t="str">
        <f>IFERROR(__xludf.DUMMYFUNCTION("""COMPUTED_VALUE"""),"Yes")</f>
        <v>Yes</v>
      </c>
      <c r="S34" s="746" t="str">
        <f>IFERROR(__xludf.DUMMYFUNCTION("""COMPUTED_VALUE"""),"12 months")</f>
        <v>12 months</v>
      </c>
      <c r="T34" s="730" t="str">
        <f>IFERROR(__xludf.DUMMYFUNCTION("""COMPUTED_VALUE"""),"The different treatment regimens were well tolerated, and only few adverse reactions were observed. These were generally mild, transient and self-limiting (no severe reaction was recorded), and no statistically significant differences in frequency were ob"&amp;"served between the 4 treatment groups. Thus, as also seen in previous studies albendazole alone or its combination with ivermectin caused no increase in frequency or type of adverse reactions. However, reactions were more common in mf-positive than in mf-"&amp;"negative individuals in the ivermectin and the combination of ivermectin and albendazole groups.")</f>
        <v>The different treatment regimens were well tolerated, and only few adverse reactions were observed. These were generally mild, transient and self-limiting (no severe reaction was recorded), and no statistically significant differences in frequency were observed between the 4 treatment groups. Thus, as also seen in previous studies albendazole alone or its combination with ivermectin caused no increase in frequency or type of adverse reactions. However, reactions were more common in mf-positive than in mf-negative individuals in the ivermectin and the combination of ivermectin and albendazole groups.</v>
      </c>
      <c r="U34" s="40"/>
      <c r="V34" s="724">
        <f>IFERROR(__xludf.DUMMYFUNCTION("""COMPUTED_VALUE"""),1998.0)</f>
        <v>1998</v>
      </c>
      <c r="W34" s="760">
        <f>IFERROR(__xludf.DUMMYFUNCTION("""COMPUTED_VALUE"""),1998.0)</f>
        <v>1998</v>
      </c>
      <c r="X34" s="40" t="str">
        <f>IFERROR(__xludf.DUMMYFUNCTION("""COMPUTED_VALUE"""),"Dunyo SK, Nkrumah FK, Simonsen PE. A randomized double-blind placebo-controlled field trial of ivermectin and albendazole alone and in combination for the treatment of lymphatic filariasis in Ghana. Transactions of the Royal Society of Tropical Medicine a"&amp;"nd Hygiene. 2000;94(2):205–211.")</f>
        <v>Dunyo SK, Nkrumah FK, Simonsen PE. A randomized double-blind placebo-controlled field trial of ivermectin and albendazole alone and in combination for the treatment of lymphatic filariasis in Ghana. Transactions of the Royal Society of Tropical Medicine and Hygiene. 2000;94(2):205–211.</v>
      </c>
      <c r="Y34" s="726"/>
      <c r="Z34" s="727" t="str">
        <f>IFERROR(__xludf.DUMMYFUNCTION("""COMPUTED_VALUE"""),"https://drive.google.com/file/d/0B95WhYooraDebWRkSzRrdlV1cFk/view?usp=sharing")</f>
        <v>https://drive.google.com/file/d/0B95WhYooraDebWRkSzRrdlV1cFk/view?usp=sharing</v>
      </c>
      <c r="AA34" s="40"/>
      <c r="AB34" s="40"/>
    </row>
    <row r="35">
      <c r="A35" s="745" t="str">
        <f>IFERROR(__xludf.DUMMYFUNCTION("""COMPUTED_VALUE"""),"Dunyo S, 2000")</f>
        <v>Dunyo S, 2000</v>
      </c>
      <c r="B35" s="40"/>
      <c r="C35" s="746" t="str">
        <f>IFERROR(__xludf.DUMMYFUNCTION("""COMPUTED_VALUE"""),"Alex")</f>
        <v>Alex</v>
      </c>
      <c r="D35" s="746" t="str">
        <f>IFERROR(__xludf.DUMMYFUNCTION("""COMPUTED_VALUE"""),"Ghana")</f>
        <v>Ghana</v>
      </c>
      <c r="E35" s="747" t="str">
        <f>IFERROR(__xludf.DUMMYFUNCTION("""COMPUTED_VALUE"""),"W. bancrofti")</f>
        <v>W. bancrofti</v>
      </c>
      <c r="F35" s="718" t="str">
        <f>IFERROR(__xludf.DUMMYFUNCTION("""COMPUTED_VALUE"""),"Albendazole &amp; Ivermectin")</f>
        <v>Albendazole &amp; Ivermectin</v>
      </c>
      <c r="G35" s="718" t="str">
        <f>IFERROR(__xludf.DUMMYFUNCTION("""COMPUTED_VALUE"""),"400 mg + .150-.200 mg/ kg ")</f>
        <v>400 mg + .150-.200 mg/ kg </v>
      </c>
      <c r="H35" s="718">
        <f>IFERROR(__xludf.DUMMYFUNCTION("""COMPUTED_VALUE"""),1.0)</f>
        <v>1</v>
      </c>
      <c r="I35" s="749">
        <f>IFERROR(__xludf.DUMMYFUNCTION("""COMPUTED_VALUE"""),0.886)</f>
        <v>0.886</v>
      </c>
      <c r="J35" s="757">
        <f>IFERROR(__xludf.DUMMYFUNCTION("""COMPUTED_VALUE"""),0.161)</f>
        <v>0.161</v>
      </c>
      <c r="K35" s="40"/>
      <c r="L35" s="718">
        <f>IFERROR(__xludf.DUMMYFUNCTION("""COMPUTED_VALUE"""),62.0)</f>
        <v>62</v>
      </c>
      <c r="M35" s="721" t="str">
        <f>IFERROR(__xludf.DUMMYFUNCTION("""COMPUTED_VALUE"""),"7-72")</f>
        <v>7-72</v>
      </c>
      <c r="N35" s="744" t="str">
        <f>IFERROR(__xludf.DUMMYFUNCTION("""COMPUTED_VALUE"""),"27: 35")</f>
        <v>27: 35</v>
      </c>
      <c r="O35" s="718" t="str">
        <f>IFERROR(__xludf.DUMMYFUNCTION("""COMPUTED_VALUE"""),"Subjects microfilaria (mf)-positive before treatment, were randomized into 4 groups: albendazole alone: Subjects (350), ivermectin alone: Subjects (336) combination of albendazole and ivermectin: Subjects (370) or placebo: Subjects (350)")</f>
        <v>Subjects microfilaria (mf)-positive before treatment, were randomized into 4 groups: albendazole alone: Subjects (350), ivermectin alone: Subjects (336) combination of albendazole and ivermectin: Subjects (370) or placebo: Subjects (350)</v>
      </c>
      <c r="P35" s="759" t="str">
        <f>IFERROR(__xludf.DUMMYFUNCTION("""COMPUTED_VALUE"""),"double-blind, RCT")</f>
        <v>double-blind, RCT</v>
      </c>
      <c r="Q35" s="718" t="str">
        <f>IFERROR(__xludf.DUMMYFUNCTION("""COMPUTED_VALUE"""),"Yes")</f>
        <v>Yes</v>
      </c>
      <c r="R35" s="718" t="str">
        <f>IFERROR(__xludf.DUMMYFUNCTION("""COMPUTED_VALUE"""),"Yes")</f>
        <v>Yes</v>
      </c>
      <c r="S35" s="746" t="str">
        <f>IFERROR(__xludf.DUMMYFUNCTION("""COMPUTED_VALUE"""),"12 months")</f>
        <v>12 months</v>
      </c>
      <c r="T35" s="730" t="str">
        <f>IFERROR(__xludf.DUMMYFUNCTION("""COMPUTED_VALUE"""),"The different treatment regimens were well tolerated, and only few adverse reactions were observed. These were generally mild, transient and self-limiting (no severe reaction was recorded), and no statistically significant differences in frequency were ob"&amp;"served between the 4 treatment groups. Thus, as also seen in previous studies albendazole alone or its combination with ivermectin caused no increase in frequency or type of adverse reactions. However, reactions were more common in mf-positive than in mf-"&amp;"negative individuals in the ivermectin and the combination of ivermectin and albendazole groups.")</f>
        <v>The different treatment regimens were well tolerated, and only few adverse reactions were observed. These were generally mild, transient and self-limiting (no severe reaction was recorded), and no statistically significant differences in frequency were observed between the 4 treatment groups. Thus, as also seen in previous studies albendazole alone or its combination with ivermectin caused no increase in frequency or type of adverse reactions. However, reactions were more common in mf-positive than in mf-negative individuals in the ivermectin and the combination of ivermectin and albendazole groups.</v>
      </c>
      <c r="U35" s="40"/>
      <c r="V35" s="724">
        <f>IFERROR(__xludf.DUMMYFUNCTION("""COMPUTED_VALUE"""),1998.0)</f>
        <v>1998</v>
      </c>
      <c r="W35" s="760">
        <f>IFERROR(__xludf.DUMMYFUNCTION("""COMPUTED_VALUE"""),1998.0)</f>
        <v>1998</v>
      </c>
      <c r="X35" s="40" t="str">
        <f>IFERROR(__xludf.DUMMYFUNCTION("""COMPUTED_VALUE"""),"Dunyo SK, Nkrumah FK, Simonsen PE. A randomized double-blind placebo-controlled field trial of ivermectin and albendazole alone and in combination for the treatment of lymphatic filariasis in Ghana. Transactions of the Royal Society of Tropical Medicine a"&amp;"nd Hygiene. 2000;94(2):205–211.")</f>
        <v>Dunyo SK, Nkrumah FK, Simonsen PE. A randomized double-blind placebo-controlled field trial of ivermectin and albendazole alone and in combination for the treatment of lymphatic filariasis in Ghana. Transactions of the Royal Society of Tropical Medicine and Hygiene. 2000;94(2):205–211.</v>
      </c>
      <c r="Y35" s="726"/>
      <c r="Z35" s="727" t="str">
        <f>IFERROR(__xludf.DUMMYFUNCTION("""COMPUTED_VALUE"""),"https://drive.google.com/file/d/0B95WhYooraDebWRkSzRrdlV1cFk/view?usp=sharing")</f>
        <v>https://drive.google.com/file/d/0B95WhYooraDebWRkSzRrdlV1cFk/view?usp=sharing</v>
      </c>
      <c r="AA35" s="40"/>
      <c r="AB35" s="40"/>
    </row>
    <row r="36">
      <c r="A36" s="745" t="str">
        <f>IFERROR(__xludf.DUMMYFUNCTION("""COMPUTED_VALUE"""),"Dunyo S, 2000")</f>
        <v>Dunyo S, 2000</v>
      </c>
      <c r="B36" s="40"/>
      <c r="C36" s="746" t="str">
        <f>IFERROR(__xludf.DUMMYFUNCTION("""COMPUTED_VALUE"""),"Alex")</f>
        <v>Alex</v>
      </c>
      <c r="D36" s="746" t="str">
        <f>IFERROR(__xludf.DUMMYFUNCTION("""COMPUTED_VALUE"""),"Ghana")</f>
        <v>Ghana</v>
      </c>
      <c r="E36" s="747" t="str">
        <f>IFERROR(__xludf.DUMMYFUNCTION("""COMPUTED_VALUE"""),"W. bancrofti")</f>
        <v>W. bancrofti</v>
      </c>
      <c r="F36" s="718" t="str">
        <f>IFERROR(__xludf.DUMMYFUNCTION("""COMPUTED_VALUE"""),"Placebo")</f>
        <v>Placebo</v>
      </c>
      <c r="G36" s="718" t="str">
        <f>IFERROR(__xludf.DUMMYFUNCTION("""COMPUTED_VALUE"""),".150-.200 mg/ kg + 400mg ")</f>
        <v>.150-.200 mg/ kg + 400mg </v>
      </c>
      <c r="H36" s="718">
        <f>IFERROR(__xludf.DUMMYFUNCTION("""COMPUTED_VALUE"""),1.0)</f>
        <v>1</v>
      </c>
      <c r="I36" s="749">
        <f>IFERROR(__xludf.DUMMYFUNCTION("""COMPUTED_VALUE"""),0.119)</f>
        <v>0.119</v>
      </c>
      <c r="J36" s="757">
        <f>IFERROR(__xludf.DUMMYFUNCTION("""COMPUTED_VALUE"""),0.081)</f>
        <v>0.081</v>
      </c>
      <c r="K36" s="40"/>
      <c r="L36" s="718">
        <f>IFERROR(__xludf.DUMMYFUNCTION("""COMPUTED_VALUE"""),57.0)</f>
        <v>57</v>
      </c>
      <c r="M36" s="721" t="str">
        <f>IFERROR(__xludf.DUMMYFUNCTION("""COMPUTED_VALUE"""),"8-86")</f>
        <v>8-86</v>
      </c>
      <c r="N36" s="744" t="str">
        <f>IFERROR(__xludf.DUMMYFUNCTION("""COMPUTED_VALUE"""),"24: 33")</f>
        <v>24: 33</v>
      </c>
      <c r="O36" s="718" t="str">
        <f>IFERROR(__xludf.DUMMYFUNCTION("""COMPUTED_VALUE"""),"Subjects microfilaria (mf)-positive before treatment, were randomized into 4 groups: albendazole alone: Subjects (350), ivermectin alone: Subjects (336) combination of albendazole and ivermectin: Subjects (370) or placebo: Subjects (350)")</f>
        <v>Subjects microfilaria (mf)-positive before treatment, were randomized into 4 groups: albendazole alone: Subjects (350), ivermectin alone: Subjects (336) combination of albendazole and ivermectin: Subjects (370) or placebo: Subjects (350)</v>
      </c>
      <c r="P36" s="759" t="str">
        <f>IFERROR(__xludf.DUMMYFUNCTION("""COMPUTED_VALUE"""),"double-blind, RCT")</f>
        <v>double-blind, RCT</v>
      </c>
      <c r="Q36" s="718" t="str">
        <f>IFERROR(__xludf.DUMMYFUNCTION("""COMPUTED_VALUE"""),"Yes")</f>
        <v>Yes</v>
      </c>
      <c r="R36" s="718" t="str">
        <f>IFERROR(__xludf.DUMMYFUNCTION("""COMPUTED_VALUE"""),"Yes")</f>
        <v>Yes</v>
      </c>
      <c r="S36" s="746" t="str">
        <f>IFERROR(__xludf.DUMMYFUNCTION("""COMPUTED_VALUE"""),"12 months")</f>
        <v>12 months</v>
      </c>
      <c r="T36" s="730" t="str">
        <f>IFERROR(__xludf.DUMMYFUNCTION("""COMPUTED_VALUE"""),"The different treatment regimens were well tolerated, and only few adverse reactions were observed. These were generally mild, transient and self-limiting (no severe reaction was recorded), and no statistically significant differences in frequency were ob"&amp;"served between the 4 treatment groups. Thus, as also seen in previous studies albendazole alone or its combination with ivermectin caused no increase in frequency or type of adverse reactions. However, reactions were more common in mf-positive than in mf-"&amp;"negative individuals in the ivermectin and the combination of ivermectin and albendazole groups.")</f>
        <v>The different treatment regimens were well tolerated, and only few adverse reactions were observed. These were generally mild, transient and self-limiting (no severe reaction was recorded), and no statistically significant differences in frequency were observed between the 4 treatment groups. Thus, as also seen in previous studies albendazole alone or its combination with ivermectin caused no increase in frequency or type of adverse reactions. However, reactions were more common in mf-positive than in mf-negative individuals in the ivermectin and the combination of ivermectin and albendazole groups.</v>
      </c>
      <c r="U36" s="40"/>
      <c r="V36" s="724">
        <f>IFERROR(__xludf.DUMMYFUNCTION("""COMPUTED_VALUE"""),1998.0)</f>
        <v>1998</v>
      </c>
      <c r="W36" s="760">
        <f>IFERROR(__xludf.DUMMYFUNCTION("""COMPUTED_VALUE"""),1998.0)</f>
        <v>1998</v>
      </c>
      <c r="X36" s="40" t="str">
        <f>IFERROR(__xludf.DUMMYFUNCTION("""COMPUTED_VALUE"""),"Dunyo SK, Nkrumah FK, Simonsen PE. A randomized double-blind placebo-controlled field trial of ivermectin and albendazole alone and in combination for the treatment of lymphatic filariasis in Ghana. Transactions of the Royal Society of Tropical Medicine a"&amp;"nd Hygiene. 2000;94(2):205–211.")</f>
        <v>Dunyo SK, Nkrumah FK, Simonsen PE. A randomized double-blind placebo-controlled field trial of ivermectin and albendazole alone and in combination for the treatment of lymphatic filariasis in Ghana. Transactions of the Royal Society of Tropical Medicine and Hygiene. 2000;94(2):205–211.</v>
      </c>
      <c r="Y36" s="726"/>
      <c r="Z36" s="727" t="str">
        <f>IFERROR(__xludf.DUMMYFUNCTION("""COMPUTED_VALUE"""),"https://drive.google.com/file/d/0B95WhYooraDebWRkSzRrdlV1cFk/view?usp=sharing")</f>
        <v>https://drive.google.com/file/d/0B95WhYooraDebWRkSzRrdlV1cFk/view?usp=sharing</v>
      </c>
      <c r="AA36" s="40"/>
      <c r="AB36" s="40"/>
    </row>
    <row r="37">
      <c r="A37" s="717" t="str">
        <f>IFERROR(__xludf.DUMMYFUNCTION("""COMPUTED_VALUE"""),"Dunyo SK, 2002")</f>
        <v>Dunyo SK, 2002</v>
      </c>
      <c r="B37" s="40"/>
      <c r="C37" s="718" t="str">
        <f>IFERROR(__xludf.DUMMYFUNCTION("""COMPUTED_VALUE"""),"Alex ")</f>
        <v>Alex </v>
      </c>
      <c r="D37" s="718" t="str">
        <f>IFERROR(__xludf.DUMMYFUNCTION("""COMPUTED_VALUE"""),"Ghana")</f>
        <v>Ghana</v>
      </c>
      <c r="E37" s="719" t="str">
        <f>IFERROR(__xludf.DUMMYFUNCTION("""COMPUTED_VALUE"""),"w. bancrofti")</f>
        <v>w. bancrofti</v>
      </c>
      <c r="F37" s="761" t="str">
        <f>IFERROR(__xludf.DUMMYFUNCTION("""COMPUTED_VALUE"""),"Placebo")</f>
        <v>Placebo</v>
      </c>
      <c r="G37" s="761" t="str">
        <f>IFERROR(__xludf.DUMMYFUNCTION("""COMPUTED_VALUE"""),"2 doses a year apart")</f>
        <v>2 doses a year apart</v>
      </c>
      <c r="H37" s="718">
        <f>IFERROR(__xludf.DUMMYFUNCTION("""COMPUTED_VALUE"""),2.0)</f>
        <v>2</v>
      </c>
      <c r="I37" s="720">
        <f>IFERROR(__xludf.DUMMYFUNCTION("""COMPUTED_VALUE"""),0.011)</f>
        <v>0.011</v>
      </c>
      <c r="J37" s="756">
        <f>IFERROR(__xludf.DUMMYFUNCTION("""COMPUTED_VALUE"""),0.079)</f>
        <v>0.079</v>
      </c>
      <c r="K37" s="40"/>
      <c r="L37" s="718">
        <f>IFERROR(__xludf.DUMMYFUNCTION("""COMPUTED_VALUE"""),38.0)</f>
        <v>38</v>
      </c>
      <c r="M37" s="721" t="str">
        <f>IFERROR(__xludf.DUMMYFUNCTION("""COMPUTED_VALUE"""),"8- 86")</f>
        <v>8- 86</v>
      </c>
      <c r="N37" s="722">
        <f>IFERROR(__xludf.DUMMYFUNCTION("""COMPUTED_VALUE"""),0.7229166666666667)</f>
        <v>0.7229166667</v>
      </c>
      <c r="O37" s="718" t="str">
        <f>IFERROR(__xludf.DUMMYFUNCTION("""COMPUTED_VALUE"""),"&gt;6 yers old, not pregnant individuals who were mf positive before the primary treatment, who received both primary treatment and re-treatment, and who were examined for mf both at 1 year and 2 years after start of treatment")</f>
        <v>&gt;6 yers old, not pregnant individuals who were mf positive before the primary treatment, who received both primary treatment and re-treatment, and who were examined for mf both at 1 year and 2 years after start of treatment</v>
      </c>
      <c r="P37" s="723" t="str">
        <f>IFERROR(__xludf.DUMMYFUNCTION("""COMPUTED_VALUE"""),"RCT")</f>
        <v>RCT</v>
      </c>
      <c r="Q37" s="718" t="str">
        <f>IFERROR(__xludf.DUMMYFUNCTION("""COMPUTED_VALUE"""),"Yes")</f>
        <v>Yes</v>
      </c>
      <c r="R37" s="718" t="str">
        <f>IFERROR(__xludf.DUMMYFUNCTION("""COMPUTED_VALUE"""),"Yes")</f>
        <v>Yes</v>
      </c>
      <c r="S37" s="718" t="str">
        <f>IFERROR(__xludf.DUMMYFUNCTION("""COMPUTED_VALUE"""),"1, 2 years")</f>
        <v>1, 2 years</v>
      </c>
      <c r="T37" s="730" t="str">
        <f>IFERROR(__xludf.DUMMYFUNCTION("""COMPUTED_VALUE"""),"An important issue when trying to predict the outcome of repeated mass treatment is whether the used drug or drug combination has the same efficacy in each subsequent treatment round (PLAISIER et al., 2000). The present re-treatment study gave the opportu"&amp;"nity to investigate this issue by comparing the reduction in the combmation group after primary and re-treatment. Although a more pronounced reduction was seen after the primary treatment than after the next, the difference was not statistically significa"&amp;"nt. Overall, the efficacy of the combination treatment therefore appeared to be largely independent of the type of primary treatment given, and multiplicative when used repeatedly.")</f>
        <v>An important issue when trying to predict the outcome of repeated mass treatment is whether the used drug or drug combination has the same efficacy in each subsequent treatment round (PLAISIER et al., 2000). The present re-treatment study gave the opportunity to investigate this issue by comparing the reduction in the combmation group after primary and re-treatment. Although a more pronounced reduction was seen after the primary treatment than after the next, the difference was not statistically significant. Overall, the efficacy of the combination treatment therefore appeared to be largely independent of the type of primary treatment given, and multiplicative when used repeatedly.</v>
      </c>
      <c r="U37" s="40"/>
      <c r="V37" s="724">
        <f>IFERROR(__xludf.DUMMYFUNCTION("""COMPUTED_VALUE"""),1999.0)</f>
        <v>1999</v>
      </c>
      <c r="W37" s="724">
        <f>IFERROR(__xludf.DUMMYFUNCTION("""COMPUTED_VALUE"""),1999.0)</f>
        <v>1999</v>
      </c>
      <c r="X37" s="40" t="str">
        <f>IFERROR(__xludf.DUMMYFUNCTION("""COMPUTED_VALUE"""),"Samuel K. Dunyo, Paul E. Simonsen. lvermectin and albendazole alone and in combination for the treatment of lymphatic filariasis in Ghana: follow-up after re-treatment with the combination.TRANSACTIONS OF THE ROYAL SOCIETY OFTROPICAL MEDICINE AND HYGIENE "&amp;"(2002)96,189-192.")</f>
        <v>Samuel K. Dunyo, Paul E. Simonsen. lvermectin and albendazole alone and in combination for the treatment of lymphatic filariasis in Ghana: follow-up after re-treatment with the combination.TRANSACTIONS OF THE ROYAL SOCIETY OFTROPICAL MEDICINE AND HYGIENE (2002)96,189-192.</v>
      </c>
      <c r="Y37" s="726"/>
      <c r="Z37" s="727" t="str">
        <f>IFERROR(__xludf.DUMMYFUNCTION("""COMPUTED_VALUE"""),"https://drive.google.com/file/d/0B4sJPAkX0Jo3dGtKOUJRbFZCcHM/view?usp=sharing")</f>
        <v>https://drive.google.com/file/d/0B4sJPAkX0Jo3dGtKOUJRbFZCcHM/view?usp=sharing</v>
      </c>
      <c r="AA37" s="40"/>
      <c r="AB37" s="40"/>
    </row>
    <row r="38">
      <c r="A38" s="717" t="str">
        <f>IFERROR(__xludf.DUMMYFUNCTION("""COMPUTED_VALUE"""),"Dunyo SK, 2002")</f>
        <v>Dunyo SK, 2002</v>
      </c>
      <c r="B38" s="40"/>
      <c r="C38" s="718" t="str">
        <f>IFERROR(__xludf.DUMMYFUNCTION("""COMPUTED_VALUE"""),"Alex ")</f>
        <v>Alex </v>
      </c>
      <c r="D38" s="718" t="str">
        <f>IFERROR(__xludf.DUMMYFUNCTION("""COMPUTED_VALUE"""),"Ghana")</f>
        <v>Ghana</v>
      </c>
      <c r="E38" s="719" t="str">
        <f>IFERROR(__xludf.DUMMYFUNCTION("""COMPUTED_VALUE"""),"w. bancrofti")</f>
        <v>w. bancrofti</v>
      </c>
      <c r="F38" s="718" t="str">
        <f>IFERROR(__xludf.DUMMYFUNCTION("""COMPUTED_VALUE"""),"Albendazole")</f>
        <v>Albendazole</v>
      </c>
      <c r="G38" s="718" t="str">
        <f>IFERROR(__xludf.DUMMYFUNCTION("""COMPUTED_VALUE""")," 400 mg ")</f>
        <v> 400 mg </v>
      </c>
      <c r="H38" s="718">
        <f>IFERROR(__xludf.DUMMYFUNCTION("""COMPUTED_VALUE"""),2.0)</f>
        <v>2</v>
      </c>
      <c r="I38" s="720">
        <f>IFERROR(__xludf.DUMMYFUNCTION("""COMPUTED_VALUE"""),0.591)</f>
        <v>0.591</v>
      </c>
      <c r="J38" s="756">
        <f>IFERROR(__xludf.DUMMYFUNCTION("""COMPUTED_VALUE"""),0.103)</f>
        <v>0.103</v>
      </c>
      <c r="K38" s="40"/>
      <c r="L38" s="718">
        <f>IFERROR(__xludf.DUMMYFUNCTION("""COMPUTED_VALUE"""),39.0)</f>
        <v>39</v>
      </c>
      <c r="M38" s="721" t="str">
        <f>IFERROR(__xludf.DUMMYFUNCTION("""COMPUTED_VALUE"""),"9- 77")</f>
        <v>9- 77</v>
      </c>
      <c r="N38" s="722">
        <f>IFERROR(__xludf.DUMMYFUNCTION("""COMPUTED_VALUE"""),0.6416666666666667)</f>
        <v>0.6416666667</v>
      </c>
      <c r="O38" s="718" t="str">
        <f>IFERROR(__xludf.DUMMYFUNCTION("""COMPUTED_VALUE"""),"&gt;6 yers old, not pregnant individuals who were mf positive before the primary treatment, who received both primary treatment and re-treatment, and who were examined for mf both at 1 year and 2 years after start of treatment")</f>
        <v>&gt;6 yers old, not pregnant individuals who were mf positive before the primary treatment, who received both primary treatment and re-treatment, and who were examined for mf both at 1 year and 2 years after start of treatment</v>
      </c>
      <c r="P38" s="723" t="str">
        <f>IFERROR(__xludf.DUMMYFUNCTION("""COMPUTED_VALUE"""),"RCT")</f>
        <v>RCT</v>
      </c>
      <c r="Q38" s="718" t="str">
        <f>IFERROR(__xludf.DUMMYFUNCTION("""COMPUTED_VALUE"""),"Yes")</f>
        <v>Yes</v>
      </c>
      <c r="R38" s="718" t="str">
        <f>IFERROR(__xludf.DUMMYFUNCTION("""COMPUTED_VALUE"""),"Yes")</f>
        <v>Yes</v>
      </c>
      <c r="S38" s="718" t="str">
        <f>IFERROR(__xludf.DUMMYFUNCTION("""COMPUTED_VALUE"""),"1, 2 years")</f>
        <v>1, 2 years</v>
      </c>
      <c r="T38" s="730" t="str">
        <f>IFERROR(__xludf.DUMMYFUNCTION("""COMPUTED_VALUE"""),"An important issue when trying to predict the outcome of repeated mass treatment is whether the used drug or drug combination has the same efficacy in each subsequent treatment round (PLAISIER et al., 2000). The present re-treatment study gave the opportu"&amp;"nity to investigate this issue by comparing the reduction in the combmation group after primary and re-treatment. Although a more pronounced reduction was seen after the primary treatment than after the next, the difference was not statistically significa"&amp;"nt. Overall, the efficacy of the combination treatment therefore appeared to be largely independent of the type of primary treatment given, and multiplicative when used repeatedly.")</f>
        <v>An important issue when trying to predict the outcome of repeated mass treatment is whether the used drug or drug combination has the same efficacy in each subsequent treatment round (PLAISIER et al., 2000). The present re-treatment study gave the opportunity to investigate this issue by comparing the reduction in the combmation group after primary and re-treatment. Although a more pronounced reduction was seen after the primary treatment than after the next, the difference was not statistically significant. Overall, the efficacy of the combination treatment therefore appeared to be largely independent of the type of primary treatment given, and multiplicative when used repeatedly.</v>
      </c>
      <c r="U38" s="40"/>
      <c r="V38" s="724">
        <f>IFERROR(__xludf.DUMMYFUNCTION("""COMPUTED_VALUE"""),1999.0)</f>
        <v>1999</v>
      </c>
      <c r="W38" s="724">
        <f>IFERROR(__xludf.DUMMYFUNCTION("""COMPUTED_VALUE"""),1999.0)</f>
        <v>1999</v>
      </c>
      <c r="X38" s="40" t="str">
        <f>IFERROR(__xludf.DUMMYFUNCTION("""COMPUTED_VALUE"""),"Samuel K. Dunyo, Paul E. Simonsen. lvermectin and albendazole alone and in combination for the treatment of lymphatic filariasis in Ghana: follow-up after re-treatment with the combination.TRANSACTIONS OF THE ROYAL SOCIETY OFTROPICAL MEDICINE AND HYGIENE "&amp;"(2002)96,189-192.")</f>
        <v>Samuel K. Dunyo, Paul E. Simonsen. lvermectin and albendazole alone and in combination for the treatment of lymphatic filariasis in Ghana: follow-up after re-treatment with the combination.TRANSACTIONS OF THE ROYAL SOCIETY OFTROPICAL MEDICINE AND HYGIENE (2002)96,189-192.</v>
      </c>
      <c r="Y38" s="726"/>
      <c r="Z38" s="727" t="str">
        <f>IFERROR(__xludf.DUMMYFUNCTION("""COMPUTED_VALUE"""),"https://drive.google.com/file/d/0B4sJPAkX0Jo3dGtKOUJRbFZCcHM/view?usp=sharing")</f>
        <v>https://drive.google.com/file/d/0B4sJPAkX0Jo3dGtKOUJRbFZCcHM/view?usp=sharing</v>
      </c>
      <c r="AA38" s="40"/>
      <c r="AB38" s="40"/>
    </row>
    <row r="39">
      <c r="A39" s="717" t="str">
        <f>IFERROR(__xludf.DUMMYFUNCTION("""COMPUTED_VALUE"""),"Dunyo SK, 2002")</f>
        <v>Dunyo SK, 2002</v>
      </c>
      <c r="B39" s="40"/>
      <c r="C39" s="718" t="str">
        <f>IFERROR(__xludf.DUMMYFUNCTION("""COMPUTED_VALUE"""),"Alex ")</f>
        <v>Alex </v>
      </c>
      <c r="D39" s="718" t="str">
        <f>IFERROR(__xludf.DUMMYFUNCTION("""COMPUTED_VALUE"""),"Ghana")</f>
        <v>Ghana</v>
      </c>
      <c r="E39" s="719" t="str">
        <f>IFERROR(__xludf.DUMMYFUNCTION("""COMPUTED_VALUE"""),"w. bancrofti")</f>
        <v>w. bancrofti</v>
      </c>
      <c r="F39" s="718" t="str">
        <f>IFERROR(__xludf.DUMMYFUNCTION("""COMPUTED_VALUE"""),"Ivermectin")</f>
        <v>Ivermectin</v>
      </c>
      <c r="G39" s="718" t="str">
        <f>IFERROR(__xludf.DUMMYFUNCTION("""COMPUTED_VALUE""")," .150- .200 mg/ kg ")</f>
        <v> .150- .200 mg/ kg </v>
      </c>
      <c r="H39" s="718">
        <f>IFERROR(__xludf.DUMMYFUNCTION("""COMPUTED_VALUE"""),2.0)</f>
        <v>2</v>
      </c>
      <c r="I39" s="720">
        <f>IFERROR(__xludf.DUMMYFUNCTION("""COMPUTED_VALUE"""),0.812)</f>
        <v>0.812</v>
      </c>
      <c r="J39" s="756">
        <f>IFERROR(__xludf.DUMMYFUNCTION("""COMPUTED_VALUE"""),0.265)</f>
        <v>0.265</v>
      </c>
      <c r="K39" s="40"/>
      <c r="L39" s="718">
        <f>IFERROR(__xludf.DUMMYFUNCTION("""COMPUTED_VALUE"""),34.0)</f>
        <v>34</v>
      </c>
      <c r="M39" s="721" t="str">
        <f>IFERROR(__xludf.DUMMYFUNCTION("""COMPUTED_VALUE"""),"8- 87")</f>
        <v>8- 87</v>
      </c>
      <c r="N39" s="722">
        <f>IFERROR(__xludf.DUMMYFUNCTION("""COMPUTED_VALUE"""),0.3104166666666667)</f>
        <v>0.3104166667</v>
      </c>
      <c r="O39" s="718" t="str">
        <f>IFERROR(__xludf.DUMMYFUNCTION("""COMPUTED_VALUE"""),"&gt;6 yers old, not pregnant individuals who were mf positive before the primary treatment, who received both primary treatment and re-treatment, and who were examined for mf both at 1 year and 2 years after start of treatment")</f>
        <v>&gt;6 yers old, not pregnant individuals who were mf positive before the primary treatment, who received both primary treatment and re-treatment, and who were examined for mf both at 1 year and 2 years after start of treatment</v>
      </c>
      <c r="P39" s="723" t="str">
        <f>IFERROR(__xludf.DUMMYFUNCTION("""COMPUTED_VALUE"""),"RCT")</f>
        <v>RCT</v>
      </c>
      <c r="Q39" s="718" t="str">
        <f>IFERROR(__xludf.DUMMYFUNCTION("""COMPUTED_VALUE"""),"Yes")</f>
        <v>Yes</v>
      </c>
      <c r="R39" s="718" t="str">
        <f>IFERROR(__xludf.DUMMYFUNCTION("""COMPUTED_VALUE"""),"Yes")</f>
        <v>Yes</v>
      </c>
      <c r="S39" s="718" t="str">
        <f>IFERROR(__xludf.DUMMYFUNCTION("""COMPUTED_VALUE"""),"1, 2 years")</f>
        <v>1, 2 years</v>
      </c>
      <c r="T39" s="730" t="str">
        <f>IFERROR(__xludf.DUMMYFUNCTION("""COMPUTED_VALUE"""),"An important issue when trying to predict the outcome of repeated mass treatment is whether the used drug or drug combination has the same efficacy in each subsequent treatment round (PLAISIER et al., 2000). The present re-treatment study gave the opportu"&amp;"nity to investigate this issue by comparing the reduction in the combmation group after primary and re-treatment. Although a more pronounced reduction was seen after the primary treatment than after the next, the difference was not statistically significa"&amp;"nt. Overall, the efficacy of the combination treatment therefore appeared to be largely independent of the type of primary treatment given, and multiplicative when used repeatedly.")</f>
        <v>An important issue when trying to predict the outcome of repeated mass treatment is whether the used drug or drug combination has the same efficacy in each subsequent treatment round (PLAISIER et al., 2000). The present re-treatment study gave the opportunity to investigate this issue by comparing the reduction in the combmation group after primary and re-treatment. Although a more pronounced reduction was seen after the primary treatment than after the next, the difference was not statistically significant. Overall, the efficacy of the combination treatment therefore appeared to be largely independent of the type of primary treatment given, and multiplicative when used repeatedly.</v>
      </c>
      <c r="U39" s="40"/>
      <c r="V39" s="724">
        <f>IFERROR(__xludf.DUMMYFUNCTION("""COMPUTED_VALUE"""),1999.0)</f>
        <v>1999</v>
      </c>
      <c r="W39" s="724">
        <f>IFERROR(__xludf.DUMMYFUNCTION("""COMPUTED_VALUE"""),1999.0)</f>
        <v>1999</v>
      </c>
      <c r="X39" s="40" t="str">
        <f>IFERROR(__xludf.DUMMYFUNCTION("""COMPUTED_VALUE"""),"Samuel K. Dunyo, Paul E. Simonsen. lvermectin and albendazole alone and in combination for the treatment of lymphatic filariasis in Ghana: follow-up after re-treatment with the combination.TRANSACTIONS OF THE ROYAL SOCIETY OFTROPICAL MEDICINE AND HYGIENE "&amp;"(2002)96,189-192.")</f>
        <v>Samuel K. Dunyo, Paul E. Simonsen. lvermectin and albendazole alone and in combination for the treatment of lymphatic filariasis in Ghana: follow-up after re-treatment with the combination.TRANSACTIONS OF THE ROYAL SOCIETY OFTROPICAL MEDICINE AND HYGIENE (2002)96,189-192.</v>
      </c>
      <c r="Y39" s="726"/>
      <c r="Z39" s="727" t="str">
        <f>IFERROR(__xludf.DUMMYFUNCTION("""COMPUTED_VALUE"""),"https://drive.google.com/file/d/0B4sJPAkX0Jo3dGtKOUJRbFZCcHM/view?usp=sharing")</f>
        <v>https://drive.google.com/file/d/0B4sJPAkX0Jo3dGtKOUJRbFZCcHM/view?usp=sharing</v>
      </c>
      <c r="AA39" s="40"/>
      <c r="AB39" s="40"/>
    </row>
    <row r="40">
      <c r="A40" s="717" t="str">
        <f>IFERROR(__xludf.DUMMYFUNCTION("""COMPUTED_VALUE"""),"Dunyo SK, 2002")</f>
        <v>Dunyo SK, 2002</v>
      </c>
      <c r="B40" s="40"/>
      <c r="C40" s="718" t="str">
        <f>IFERROR(__xludf.DUMMYFUNCTION("""COMPUTED_VALUE"""),"Alex ")</f>
        <v>Alex </v>
      </c>
      <c r="D40" s="718" t="str">
        <f>IFERROR(__xludf.DUMMYFUNCTION("""COMPUTED_VALUE"""),"Ghana")</f>
        <v>Ghana</v>
      </c>
      <c r="E40" s="719" t="str">
        <f>IFERROR(__xludf.DUMMYFUNCTION("""COMPUTED_VALUE"""),"w. bancrofti")</f>
        <v>w. bancrofti</v>
      </c>
      <c r="F40" s="718" t="str">
        <f>IFERROR(__xludf.DUMMYFUNCTION("""COMPUTED_VALUE"""),"Albendazole &amp; Ivermectin")</f>
        <v>Albendazole &amp; Ivermectin</v>
      </c>
      <c r="G40" s="718" t="str">
        <f>IFERROR(__xludf.DUMMYFUNCTION("""COMPUTED_VALUE"""),"400mg  + .150- .200 mg/ kg ")</f>
        <v>400mg  + .150- .200 mg/ kg </v>
      </c>
      <c r="H40" s="718">
        <f>IFERROR(__xludf.DUMMYFUNCTION("""COMPUTED_VALUE"""),2.0)</f>
        <v>2</v>
      </c>
      <c r="I40" s="720">
        <f>IFERROR(__xludf.DUMMYFUNCTION("""COMPUTED_VALUE"""),0.868)</f>
        <v>0.868</v>
      </c>
      <c r="J40" s="756">
        <f>IFERROR(__xludf.DUMMYFUNCTION("""COMPUTED_VALUE"""),0.238)</f>
        <v>0.238</v>
      </c>
      <c r="K40" s="40"/>
      <c r="L40" s="718">
        <f>IFERROR(__xludf.DUMMYFUNCTION("""COMPUTED_VALUE"""),42.0)</f>
        <v>42</v>
      </c>
      <c r="M40" s="721" t="str">
        <f>IFERROR(__xludf.DUMMYFUNCTION("""COMPUTED_VALUE"""),"7-70")</f>
        <v>7-70</v>
      </c>
      <c r="N40" s="722">
        <f>IFERROR(__xludf.DUMMYFUNCTION("""COMPUTED_VALUE"""),0.8076388888888889)</f>
        <v>0.8076388889</v>
      </c>
      <c r="O40" s="718" t="str">
        <f>IFERROR(__xludf.DUMMYFUNCTION("""COMPUTED_VALUE"""),"&gt;6 yers old, not pregnant individuals who were mf positive before the primary treatment, who received both primary treatment and re-treatment, and who were examined for mf both at 1 year and 2 years after start of treatment")</f>
        <v>&gt;6 yers old, not pregnant individuals who were mf positive before the primary treatment, who received both primary treatment and re-treatment, and who were examined for mf both at 1 year and 2 years after start of treatment</v>
      </c>
      <c r="P40" s="723" t="str">
        <f>IFERROR(__xludf.DUMMYFUNCTION("""COMPUTED_VALUE"""),"RCT")</f>
        <v>RCT</v>
      </c>
      <c r="Q40" s="718" t="str">
        <f>IFERROR(__xludf.DUMMYFUNCTION("""COMPUTED_VALUE"""),"Yes")</f>
        <v>Yes</v>
      </c>
      <c r="R40" s="718" t="str">
        <f>IFERROR(__xludf.DUMMYFUNCTION("""COMPUTED_VALUE"""),"Yes")</f>
        <v>Yes</v>
      </c>
      <c r="S40" s="718" t="str">
        <f>IFERROR(__xludf.DUMMYFUNCTION("""COMPUTED_VALUE"""),"1, 2 years")</f>
        <v>1, 2 years</v>
      </c>
      <c r="T40" s="730" t="str">
        <f>IFERROR(__xludf.DUMMYFUNCTION("""COMPUTED_VALUE"""),"An important issue when trying to predict the outcome of repeated mass treatment is whether the used drug or drug combination has the same efficacy in each subsequent treatment round (PLAISIER et al., 2000). The present re-treatment study gave the opportu"&amp;"nity to investigate this issue by comparing the reduction in the combmation group after primary and re-treatment. Although a more pronounced reduction was seen after the primary treatment than after the next, the difference was not statistically significa"&amp;"nt. Overall, the efficacy of the combination treatment therefore appeared to be largely independent of the type of primary treatment given, and multiplicative when used repeatedly.")</f>
        <v>An important issue when trying to predict the outcome of repeated mass treatment is whether the used drug or drug combination has the same efficacy in each subsequent treatment round (PLAISIER et al., 2000). The present re-treatment study gave the opportunity to investigate this issue by comparing the reduction in the combmation group after primary and re-treatment. Although a more pronounced reduction was seen after the primary treatment than after the next, the difference was not statistically significant. Overall, the efficacy of the combination treatment therefore appeared to be largely independent of the type of primary treatment given, and multiplicative when used repeatedly.</v>
      </c>
      <c r="U40" s="40"/>
      <c r="V40" s="724">
        <f>IFERROR(__xludf.DUMMYFUNCTION("""COMPUTED_VALUE"""),1999.0)</f>
        <v>1999</v>
      </c>
      <c r="W40" s="724">
        <f>IFERROR(__xludf.DUMMYFUNCTION("""COMPUTED_VALUE"""),1999.0)</f>
        <v>1999</v>
      </c>
      <c r="X40" s="40" t="str">
        <f>IFERROR(__xludf.DUMMYFUNCTION("""COMPUTED_VALUE"""),"Samuel K. Dunyo, Paul E. Simonsen. lvermectin and albendazole alone and in combination for the treatment of lymphatic filariasis in Ghana: follow-up after re-treatment with the combination.TRANSACTIONS OF THE ROYAL SOCIETY OFTROPICAL MEDICINE AND HYGIENE "&amp;"(2002)96,189-192.")</f>
        <v>Samuel K. Dunyo, Paul E. Simonsen. lvermectin and albendazole alone and in combination for the treatment of lymphatic filariasis in Ghana: follow-up after re-treatment with the combination.TRANSACTIONS OF THE ROYAL SOCIETY OFTROPICAL MEDICINE AND HYGIENE (2002)96,189-192.</v>
      </c>
      <c r="Y40" s="726"/>
      <c r="Z40" s="727" t="str">
        <f>IFERROR(__xludf.DUMMYFUNCTION("""COMPUTED_VALUE"""),"https://drive.google.com/file/d/0B4sJPAkX0Jo3dGtKOUJRbFZCcHM/view?usp=sharing")</f>
        <v>https://drive.google.com/file/d/0B4sJPAkX0Jo3dGtKOUJRbFZCcHM/view?usp=sharing</v>
      </c>
      <c r="AA40" s="40"/>
      <c r="AB40" s="40"/>
    </row>
    <row r="41">
      <c r="A41" s="717" t="str">
        <f>IFERROR(__xludf.DUMMYFUNCTION("""COMPUTED_VALUE"""),"Helmy, 2006")</f>
        <v>Helmy, 2006</v>
      </c>
      <c r="B41" s="718"/>
      <c r="C41" s="718" t="str">
        <f>IFERROR(__xludf.DUMMYFUNCTION("""COMPUTED_VALUE"""),"Ross")</f>
        <v>Ross</v>
      </c>
      <c r="D41" s="718" t="str">
        <f>IFERROR(__xludf.DUMMYFUNCTION("""COMPUTED_VALUE"""),"Egypt")</f>
        <v>Egypt</v>
      </c>
      <c r="E41" s="719" t="str">
        <f>IFERROR(__xludf.DUMMYFUNCTION("""COMPUTED_VALUE"""),"W. bancrofti")</f>
        <v>W. bancrofti</v>
      </c>
      <c r="F41" s="718" t="str">
        <f>IFERROR(__xludf.DUMMYFUNCTION("""COMPUTED_VALUE"""),"Albendazole &amp; DEC")</f>
        <v>Albendazole &amp; DEC</v>
      </c>
      <c r="G41" s="718" t="str">
        <f>IFERROR(__xludf.DUMMYFUNCTION("""COMPUTED_VALUE"""),"400 mg + 6 mg/kg")</f>
        <v>400 mg + 6 mg/kg</v>
      </c>
      <c r="H41" s="718"/>
      <c r="I41" s="720">
        <f>IFERROR(__xludf.DUMMYFUNCTION("""COMPUTED_VALUE"""),0.899)</f>
        <v>0.899</v>
      </c>
      <c r="J41" s="720">
        <f>IFERROR(__xludf.DUMMYFUNCTION("""COMPUTED_VALUE"""),0.777)</f>
        <v>0.777</v>
      </c>
      <c r="K41" s="40" t="str">
        <f>IFERROR(__xludf.DUMMYFUNCTION("""COMPUTED_VALUE"""),"not available")</f>
        <v>not available</v>
      </c>
      <c r="L41" s="718">
        <f>IFERROR(__xludf.DUMMYFUNCTION("""COMPUTED_VALUE"""),57.0)</f>
        <v>57</v>
      </c>
      <c r="M41" s="721" t="str">
        <f>IFERROR(__xludf.DUMMYFUNCTION("""COMPUTED_VALUE"""),"≥18")</f>
        <v>≥18</v>
      </c>
      <c r="N41" s="721">
        <f>IFERROR(__xludf.DUMMYFUNCTION("""COMPUTED_VALUE"""),0.9)</f>
        <v>0.9</v>
      </c>
      <c r="O41" s="718" t="str">
        <f>IFERROR(__xludf.DUMMYFUNCTION("""COMPUTED_VALUE"""),"Asymptomatic and clinically normal microfilaraemic men and women (≥18 years of age) with night blood counts &gt;80 mf/ml were invited to participate in the study.")</f>
        <v>Asymptomatic and clinically normal microfilaraemic men and women (≥18 years of age) with night blood counts &gt;80 mf/ml were invited to participate in the study.</v>
      </c>
      <c r="P41" s="762"/>
      <c r="Q41" s="718" t="str">
        <f>IFERROR(__xludf.DUMMYFUNCTION("""COMPUTED_VALUE"""),"No")</f>
        <v>No</v>
      </c>
      <c r="R41" s="718" t="str">
        <f>IFERROR(__xludf.DUMMYFUNCTION("""COMPUTED_VALUE"""),"No")</f>
        <v>No</v>
      </c>
      <c r="S41" s="718" t="str">
        <f>IFERROR(__xludf.DUMMYFUNCTION("""COMPUTED_VALUE"""),"48 months")</f>
        <v>48 months</v>
      </c>
      <c r="T41" s="748" t="str">
        <f>IFERROR(__xludf.DUMMYFUNCTION("""COMPUTED_VALUE"""),"Multidose DEC/ALB was more effective in the first treat- ment round than single-dose treatment for reducing and clearing microfilaraemia. The difference in favour of mul- tidose treatment persisted after several rounds of re- treatment with single doses o"&amp;"f DEC/ALB. Multidose treat- ment (especially in the first round of MDA) might decrease the number of cycles needed for elimination of filariasis.")</f>
        <v>Multidose DEC/ALB was more effective in the first treat- ment round than single-dose treatment for reducing and clearing microfilaraemia. The difference in favour of mul- tidose treatment persisted after several rounds of re- treatment with single doses of DEC/ALB. Multidose treat- ment (especially in the first round of MDA) might decrease the number of cycles needed for elimination of filariasis.</v>
      </c>
      <c r="U41" s="40" t="str">
        <f>IFERROR(__xludf.DUMMYFUNCTION("""COMPUTED_VALUE"""),"All subjects in the two groups were re-treated with a
 single dose of DEC/ALB 12, 24 and 36 months after the first
 treatment.")</f>
        <v>All subjects in the two groups were re-treated with a
 single dose of DEC/ALB 12, 24 and 36 months after the first
 treatment.</v>
      </c>
      <c r="V41" s="724">
        <f>IFERROR(__xludf.DUMMYFUNCTION("""COMPUTED_VALUE"""),2000.0)</f>
        <v>2000</v>
      </c>
      <c r="W41" s="763">
        <f>IFERROR(__xludf.DUMMYFUNCTION("""COMPUTED_VALUE"""),2000.0)</f>
        <v>2000</v>
      </c>
      <c r="X41" s="40"/>
      <c r="Y41" s="726" t="str">
        <f>IFERROR(__xludf.DUMMYFUNCTION("""COMPUTED_VALUE"""),"doi:10.1016/j.trstmh.2005.08.015")</f>
        <v>doi:10.1016/j.trstmh.2005.08.015</v>
      </c>
      <c r="Z41" s="727" t="str">
        <f>IFERROR(__xludf.DUMMYFUNCTION("""COMPUTED_VALUE"""),"https://drive.google.com/file/d/0B4sJPAkX0Jo3QUU4eElPS0t4UTQ/view?usp=sharing")</f>
        <v>https://drive.google.com/file/d/0B4sJPAkX0Jo3QUU4eElPS0t4UTQ/view?usp=sharing</v>
      </c>
      <c r="AA41" s="40"/>
      <c r="AB41" s="40"/>
    </row>
    <row r="42">
      <c r="A42" s="728" t="str">
        <f>IFERROR(__xludf.DUMMYFUNCTION("""COMPUTED_VALUE"""),"Fischer, 1999")</f>
        <v>Fischer, 1999</v>
      </c>
      <c r="B42" s="729" t="str">
        <f>IFERROR(__xludf.DUMMYFUNCTION("""COMPUTED_VALUE"""),"Chung Soo")</f>
        <v>Chung Soo</v>
      </c>
      <c r="C42" s="730" t="str">
        <f>IFERROR(__xludf.DUMMYFUNCTION("""COMPUTED_VALUE"""),"Ross")</f>
        <v>Ross</v>
      </c>
      <c r="D42" s="730" t="str">
        <f>IFERROR(__xludf.DUMMYFUNCTION("""COMPUTED_VALUE"""),"Uganda")</f>
        <v>Uganda</v>
      </c>
      <c r="E42" s="747" t="str">
        <f>IFERROR(__xludf.DUMMYFUNCTION("""COMPUTED_VALUE"""),"M. strepocerca")</f>
        <v>M. strepocerca</v>
      </c>
      <c r="F42" s="732" t="str">
        <f>IFERROR(__xludf.DUMMYFUNCTION("""COMPUTED_VALUE"""),"Ivermectin")</f>
        <v>Ivermectin</v>
      </c>
      <c r="G42" s="730" t="str">
        <f>IFERROR(__xludf.DUMMYFUNCTION("""COMPUTED_VALUE"""),".150 mg/kg")</f>
        <v>.150 mg/kg</v>
      </c>
      <c r="H42" s="740">
        <f>IFERROR(__xludf.DUMMYFUNCTION("""COMPUTED_VALUE"""),1.0)</f>
        <v>1</v>
      </c>
      <c r="I42" s="742">
        <f>IFERROR(__xludf.DUMMYFUNCTION("""COMPUTED_VALUE"""),0.462)</f>
        <v>0.462</v>
      </c>
      <c r="J42" s="216"/>
      <c r="K42" s="40"/>
      <c r="L42" s="734">
        <f>IFERROR(__xludf.DUMMYFUNCTION("""COMPUTED_VALUE"""),93.0)</f>
        <v>93</v>
      </c>
      <c r="M42" s="754" t="str">
        <f>IFERROR(__xludf.DUMMYFUNCTION("""COMPUTED_VALUE"""),"9-74")</f>
        <v>9-74</v>
      </c>
      <c r="N42" s="735" t="str">
        <f>IFERROR(__xludf.DUMMYFUNCTION("""COMPUTED_VALUE"""),"47:46")</f>
        <v>47:46</v>
      </c>
      <c r="O42" s="730" t="str">
        <f>IFERROR(__xludf.DUMMYFUNCTION("""COMPUTED_VALUE"""),"All study participants had live over 5 years in the endemic area")</f>
        <v>All study participants had live over 5 years in the endemic area</v>
      </c>
      <c r="P42" s="748" t="str">
        <f>IFERROR(__xludf.DUMMYFUNCTION("""COMPUTED_VALUE"""),"community survey with follow-up")</f>
        <v>community survey with follow-up</v>
      </c>
      <c r="Q42" s="730" t="str">
        <f>IFERROR(__xludf.DUMMYFUNCTION("""COMPUTED_VALUE"""),"No")</f>
        <v>No</v>
      </c>
      <c r="R42" s="730" t="str">
        <f>IFERROR(__xludf.DUMMYFUNCTION("""COMPUTED_VALUE"""),"No")</f>
        <v>No</v>
      </c>
      <c r="S42" s="730" t="str">
        <f>IFERROR(__xludf.DUMMYFUNCTION("""COMPUTED_VALUE"""),"12 months")</f>
        <v>12 months</v>
      </c>
      <c r="T42" s="730" t="str">
        <f>IFERROR(__xludf.DUMMYFUNCTION("""COMPUTED_VALUE"""),"Ivermectin is highly effective against M. streptocerca, and a single dose leads to a sustained suppression of microfilariae in skin.")</f>
        <v>Ivermectin is highly effective against M. streptocerca, and a single dose leads to a sustained suppression of microfilariae in skin.</v>
      </c>
      <c r="U42" s="730" t="str">
        <f>IFERROR(__xludf.DUMMYFUNCTION("""COMPUTED_VALUE"""),"Because these filarial parasites are often coendemic with M. streptocerca, the treated population may receive the additional benefit of suppression of M. streptocerca microfilariae.")</f>
        <v>Because these filarial parasites are often coendemic with M. streptocerca, the treated population may receive the additional benefit of suppression of M. streptocerca microfilariae.</v>
      </c>
      <c r="V42" s="737">
        <f>IFERROR(__xludf.DUMMYFUNCTION("""COMPUTED_VALUE"""),1999.0)</f>
        <v>1999</v>
      </c>
      <c r="W42" s="737">
        <f>IFERROR(__xludf.DUMMYFUNCTION("""COMPUTED_VALUE"""),1999.0)</f>
        <v>1999</v>
      </c>
      <c r="X42" s="730" t="str">
        <f>IFERROR(__xludf.DUMMYFUNCTION("""COMPUTED_VALUE"""),"Fischer P, Tukesiga E, Büttner DW.  Long‐Term Suppression of Mansonella streptocerca Microfilariae after Treatment with Ivermectin . J INFECT DIS. Oxford University Press (OUP); 1999 Oct;180(4):1403–5.")</f>
        <v>Fischer P, Tukesiga E, Büttner DW.  Long‐Term Suppression of Mansonella streptocerca Microfilariae after Treatment with Ivermectin . J INFECT DIS. Oxford University Press (OUP); 1999 Oct;180(4):1403–5.</v>
      </c>
      <c r="Y42" s="738" t="str">
        <f>IFERROR(__xludf.DUMMYFUNCTION("""COMPUTED_VALUE"""),"10.1086/315014")</f>
        <v>10.1086/315014</v>
      </c>
      <c r="Z42" s="727" t="str">
        <f>IFERROR(__xludf.DUMMYFUNCTION("""COMPUTED_VALUE"""),"https://drive.google.com/file/d/0B0-pry4DSOm3a3JIN0U1X0tOOTg/view?usp=sharing")</f>
        <v>https://drive.google.com/file/d/0B0-pry4DSOm3a3JIN0U1X0tOOTg/view?usp=sharing</v>
      </c>
      <c r="AA42" s="40"/>
      <c r="AB42" s="40"/>
    </row>
    <row r="43">
      <c r="A43" s="745" t="str">
        <f>IFERROR(__xludf.DUMMYFUNCTION("""COMPUTED_VALUE"""),"Fox LM, 2005")</f>
        <v>Fox LM, 2005</v>
      </c>
      <c r="B43" s="40"/>
      <c r="C43" s="746" t="str">
        <f>IFERROR(__xludf.DUMMYFUNCTION("""COMPUTED_VALUE"""),"Alex")</f>
        <v>Alex</v>
      </c>
      <c r="D43" s="746" t="str">
        <f>IFERROR(__xludf.DUMMYFUNCTION("""COMPUTED_VALUE"""),"Haiti")</f>
        <v>Haiti</v>
      </c>
      <c r="E43" s="747" t="str">
        <f>IFERROR(__xludf.DUMMYFUNCTION("""COMPUTED_VALUE"""),"W. bancrofti")</f>
        <v>W. bancrofti</v>
      </c>
      <c r="F43" s="746" t="str">
        <f>IFERROR(__xludf.DUMMYFUNCTION("""COMPUTED_VALUE"""),"Albendazole")</f>
        <v>Albendazole</v>
      </c>
      <c r="G43" s="746" t="str">
        <f>IFERROR(__xludf.DUMMYFUNCTION("""COMPUTED_VALUE"""),"400 mg")</f>
        <v>400 mg</v>
      </c>
      <c r="H43" s="746">
        <f>IFERROR(__xludf.DUMMYFUNCTION("""COMPUTED_VALUE"""),1.0)</f>
        <v>1</v>
      </c>
      <c r="I43" s="749">
        <f>IFERROR(__xludf.DUMMYFUNCTION("""COMPUTED_VALUE"""),0.347)</f>
        <v>0.347</v>
      </c>
      <c r="J43" s="757">
        <f>IFERROR(__xludf.DUMMYFUNCTION("""COMPUTED_VALUE"""),0.016)</f>
        <v>0.016</v>
      </c>
      <c r="K43" s="746" t="str">
        <f>IFERROR(__xludf.DUMMYFUNCTION("""COMPUTED_VALUE"""),"Not available")</f>
        <v>Not available</v>
      </c>
      <c r="L43" s="746">
        <f>IFERROR(__xludf.DUMMYFUNCTION("""COMPUTED_VALUE"""),256.0)</f>
        <v>256</v>
      </c>
      <c r="M43" s="750" t="str">
        <f>IFERROR(__xludf.DUMMYFUNCTION("""COMPUTED_VALUE"""),"5- 11")</f>
        <v>5- 11</v>
      </c>
      <c r="N43" s="764" t="str">
        <f>IFERROR(__xludf.DUMMYFUNCTION("""COMPUTED_VALUE"""),"1.28: 1")</f>
        <v>1.28: 1</v>
      </c>
      <c r="O43" s="746" t="str">
        <f>IFERROR(__xludf.DUMMYFUNCTION("""COMPUTED_VALUE"""),"Inclusion in final analysis group was depenedant on and age of 5 -11 years, anthropometric measurements havinf been performed before treatment and 6 months after, stool specimens collected before and 5 months after treatment, MF smears collected before an"&amp;"d 6 months after treatment, and rando assignment to a treatment group")</f>
        <v>Inclusion in final analysis group was depenedant on and age of 5 -11 years, anthropometric measurements havinf been performed before treatment and 6 months after, stool specimens collected before and 5 months after treatment, MF smears collected before and 6 months after treatment, and rando assignment to a treatment group</v>
      </c>
      <c r="P43" s="759" t="str">
        <f>IFERROR(__xludf.DUMMYFUNCTION("""COMPUTED_VALUE"""),"double-blind, RCT")</f>
        <v>double-blind, RCT</v>
      </c>
      <c r="Q43" s="718" t="str">
        <f>IFERROR(__xludf.DUMMYFUNCTION("""COMPUTED_VALUE"""),"Yes")</f>
        <v>Yes</v>
      </c>
      <c r="R43" s="718" t="str">
        <f>IFERROR(__xludf.DUMMYFUNCTION("""COMPUTED_VALUE"""),"Yes")</f>
        <v>Yes</v>
      </c>
      <c r="S43" s="746" t="str">
        <f>IFERROR(__xludf.DUMMYFUNCTION("""COMPUTED_VALUE""")," 6 months")</f>
        <v> 6 months</v>
      </c>
      <c r="T43" s="40"/>
      <c r="U43" s="40"/>
      <c r="V43" s="752">
        <f>IFERROR(__xludf.DUMMYFUNCTION("""COMPUTED_VALUE"""),2005.0)</f>
        <v>2005</v>
      </c>
      <c r="W43" s="760">
        <f>IFERROR(__xludf.DUMMYFUNCTION("""COMPUTED_VALUE"""),2005.0)</f>
        <v>2005</v>
      </c>
      <c r="X43" s="40" t="str">
        <f>IFERROR(__xludf.DUMMYFUNCTION("""COMPUTED_VALUE"""),"Fox LM, Furness BW, Haser JK, et al. Tolerance and efficacy of combined diethylcarbamazine and albendazole for treatment of Wuchereria bancrofti and intestinal helminth infections in Haitian children. American Journal of Tropical Medicine and Hygiene. 200"&amp;"5;73(1):115–121.")</f>
        <v>Fox LM, Furness BW, Haser JK, et al. Tolerance and efficacy of combined diethylcarbamazine and albendazole for treatment of Wuchereria bancrofti and intestinal helminth infections in Haitian children. American Journal of Tropical Medicine and Hygiene. 2005;73(1):115–121.</v>
      </c>
      <c r="Y43" s="726"/>
      <c r="Z43" s="727" t="str">
        <f>IFERROR(__xludf.DUMMYFUNCTION("""COMPUTED_VALUE"""),"https://drive.google.com/file/d/0B95WhYooraDeSHh2b2VXSlUxdzQ/view?usp=sharing")</f>
        <v>https://drive.google.com/file/d/0B95WhYooraDeSHh2b2VXSlUxdzQ/view?usp=sharing</v>
      </c>
      <c r="AA43" s="40"/>
      <c r="AB43" s="40"/>
    </row>
    <row r="44">
      <c r="A44" s="745" t="str">
        <f>IFERROR(__xludf.DUMMYFUNCTION("""COMPUTED_VALUE"""),"Fox LM, 2005")</f>
        <v>Fox LM, 2005</v>
      </c>
      <c r="B44" s="40"/>
      <c r="C44" s="746" t="str">
        <f>IFERROR(__xludf.DUMMYFUNCTION("""COMPUTED_VALUE"""),"Alex")</f>
        <v>Alex</v>
      </c>
      <c r="D44" s="746" t="str">
        <f>IFERROR(__xludf.DUMMYFUNCTION("""COMPUTED_VALUE"""),"Haiti")</f>
        <v>Haiti</v>
      </c>
      <c r="E44" s="747" t="str">
        <f>IFERROR(__xludf.DUMMYFUNCTION("""COMPUTED_VALUE"""),"W. bancrofti")</f>
        <v>W. bancrofti</v>
      </c>
      <c r="F44" s="718" t="str">
        <f>IFERROR(__xludf.DUMMYFUNCTION("""COMPUTED_VALUE"""),"DEC")</f>
        <v>DEC</v>
      </c>
      <c r="G44" s="746" t="str">
        <f>IFERROR(__xludf.DUMMYFUNCTION("""COMPUTED_VALUE"""),"6mg/kg ")</f>
        <v>6mg/kg </v>
      </c>
      <c r="H44" s="746">
        <f>IFERROR(__xludf.DUMMYFUNCTION("""COMPUTED_VALUE"""),1.0)</f>
        <v>1</v>
      </c>
      <c r="I44" s="749">
        <f>IFERROR(__xludf.DUMMYFUNCTION("""COMPUTED_VALUE"""),0.504)</f>
        <v>0.504</v>
      </c>
      <c r="J44" s="757">
        <f>IFERROR(__xludf.DUMMYFUNCTION("""COMPUTED_VALUE"""),0.074)</f>
        <v>0.074</v>
      </c>
      <c r="K44" s="746" t="str">
        <f>IFERROR(__xludf.DUMMYFUNCTION("""COMPUTED_VALUE"""),"Not available")</f>
        <v>Not available</v>
      </c>
      <c r="L44" s="746">
        <f>IFERROR(__xludf.DUMMYFUNCTION("""COMPUTED_VALUE"""),246.0)</f>
        <v>246</v>
      </c>
      <c r="M44" s="750" t="str">
        <f>IFERROR(__xludf.DUMMYFUNCTION("""COMPUTED_VALUE"""),"5- 11")</f>
        <v>5- 11</v>
      </c>
      <c r="N44" s="758" t="str">
        <f>IFERROR(__xludf.DUMMYFUNCTION("""COMPUTED_VALUE"""),"1.14: 1")</f>
        <v>1.14: 1</v>
      </c>
      <c r="O44" s="746" t="str">
        <f>IFERROR(__xludf.DUMMYFUNCTION("""COMPUTED_VALUE"""),"Inclusion in final analysis group was depenedant on and age of 5 -11 years, anthropometric measurements havinf been performed before treatment and 6 months after, stool specimens collected before and 5 months after treatment, MF smears collected before an"&amp;"d 6 months after treatment, and rando assignment to a treatment group")</f>
        <v>Inclusion in final analysis group was depenedant on and age of 5 -11 years, anthropometric measurements havinf been performed before treatment and 6 months after, stool specimens collected before and 5 months after treatment, MF smears collected before and 6 months after treatment, and rando assignment to a treatment group</v>
      </c>
      <c r="P44" s="759" t="str">
        <f>IFERROR(__xludf.DUMMYFUNCTION("""COMPUTED_VALUE"""),"double-blind, RCT")</f>
        <v>double-blind, RCT</v>
      </c>
      <c r="Q44" s="718" t="str">
        <f>IFERROR(__xludf.DUMMYFUNCTION("""COMPUTED_VALUE"""),"Yes")</f>
        <v>Yes</v>
      </c>
      <c r="R44" s="718" t="str">
        <f>IFERROR(__xludf.DUMMYFUNCTION("""COMPUTED_VALUE"""),"Yes")</f>
        <v>Yes</v>
      </c>
      <c r="S44" s="746" t="str">
        <f>IFERROR(__xludf.DUMMYFUNCTION("""COMPUTED_VALUE""")," 6 months")</f>
        <v> 6 months</v>
      </c>
      <c r="T44" s="40"/>
      <c r="U44" s="40"/>
      <c r="V44" s="752">
        <f>IFERROR(__xludf.DUMMYFUNCTION("""COMPUTED_VALUE"""),2005.0)</f>
        <v>2005</v>
      </c>
      <c r="W44" s="760">
        <f>IFERROR(__xludf.DUMMYFUNCTION("""COMPUTED_VALUE"""),2005.0)</f>
        <v>2005</v>
      </c>
      <c r="X44" s="40" t="str">
        <f>IFERROR(__xludf.DUMMYFUNCTION("""COMPUTED_VALUE"""),"Fox LM, Furness BW, Haser JK, et al. Tolerance and efficacy of combined diethylcarbamazine and albendazole for treatment of Wuchereria bancrofti and intestinal helminth infections in Haitian children. American Journal of Tropical Medicine and Hygiene. 200"&amp;"5;73(1):115–121.")</f>
        <v>Fox LM, Furness BW, Haser JK, et al. Tolerance and efficacy of combined diethylcarbamazine and albendazole for treatment of Wuchereria bancrofti and intestinal helminth infections in Haitian children. American Journal of Tropical Medicine and Hygiene. 2005;73(1):115–121.</v>
      </c>
      <c r="Y44" s="726"/>
      <c r="Z44" s="727" t="str">
        <f>IFERROR(__xludf.DUMMYFUNCTION("""COMPUTED_VALUE"""),"https://drive.google.com/file/d/0B95WhYooraDeSHh2b2VXSlUxdzQ/view?usp=sharing")</f>
        <v>https://drive.google.com/file/d/0B95WhYooraDeSHh2b2VXSlUxdzQ/view?usp=sharing</v>
      </c>
      <c r="AA44" s="40"/>
      <c r="AB44" s="40"/>
    </row>
    <row r="45">
      <c r="A45" s="745" t="str">
        <f>IFERROR(__xludf.DUMMYFUNCTION("""COMPUTED_VALUE"""),"Helmy, 2006")</f>
        <v>Helmy, 2006</v>
      </c>
      <c r="B45" s="40"/>
      <c r="C45" s="746" t="str">
        <f>IFERROR(__xludf.DUMMYFUNCTION("""COMPUTED_VALUE"""),"Ross")</f>
        <v>Ross</v>
      </c>
      <c r="D45" s="746" t="str">
        <f>IFERROR(__xludf.DUMMYFUNCTION("""COMPUTED_VALUE"""),"Egypt")</f>
        <v>Egypt</v>
      </c>
      <c r="E45" s="747" t="str">
        <f>IFERROR(__xludf.DUMMYFUNCTION("""COMPUTED_VALUE"""),"W. bancrofti")</f>
        <v>W. bancrofti</v>
      </c>
      <c r="F45" s="718" t="str">
        <f>IFERROR(__xludf.DUMMYFUNCTION("""COMPUTED_VALUE"""),"Albendazole &amp; DEC")</f>
        <v>Albendazole &amp; DEC</v>
      </c>
      <c r="G45" s="746" t="str">
        <f>IFERROR(__xludf.DUMMYFUNCTION("""COMPUTED_VALUE"""),"400 mg + 6 mg/kg, 7 days")</f>
        <v>400 mg + 6 mg/kg, 7 days</v>
      </c>
      <c r="H45" s="746"/>
      <c r="I45" s="749">
        <f>IFERROR(__xludf.DUMMYFUNCTION("""COMPUTED_VALUE"""),1.0)</f>
        <v>1</v>
      </c>
      <c r="J45" s="757">
        <f>IFERROR(__xludf.DUMMYFUNCTION("""COMPUTED_VALUE"""),0.81)</f>
        <v>0.81</v>
      </c>
      <c r="K45" s="746" t="str">
        <f>IFERROR(__xludf.DUMMYFUNCTION("""COMPUTED_VALUE"""),"not available")</f>
        <v>not available</v>
      </c>
      <c r="L45" s="746">
        <f>IFERROR(__xludf.DUMMYFUNCTION("""COMPUTED_VALUE"""),57.0)</f>
        <v>57</v>
      </c>
      <c r="M45" s="750" t="str">
        <f>IFERROR(__xludf.DUMMYFUNCTION("""COMPUTED_VALUE"""),"≥18")</f>
        <v>≥18</v>
      </c>
      <c r="N45" s="758">
        <f>IFERROR(__xludf.DUMMYFUNCTION("""COMPUTED_VALUE"""),0.9)</f>
        <v>0.9</v>
      </c>
      <c r="O45" s="746" t="str">
        <f>IFERROR(__xludf.DUMMYFUNCTION("""COMPUTED_VALUE"""),"Asymptomatic and clinically normal microfilaraemic men and women (≥18 years of age) with night blood counts &gt;80 mf/ml were invited to participate in the study.")</f>
        <v>Asymptomatic and clinically normal microfilaraemic men and women (≥18 years of age) with night blood counts &gt;80 mf/ml were invited to participate in the study.</v>
      </c>
      <c r="P45" s="759"/>
      <c r="Q45" s="718" t="str">
        <f>IFERROR(__xludf.DUMMYFUNCTION("""COMPUTED_VALUE"""),"No")</f>
        <v>No</v>
      </c>
      <c r="R45" s="718" t="str">
        <f>IFERROR(__xludf.DUMMYFUNCTION("""COMPUTED_VALUE"""),"No")</f>
        <v>No</v>
      </c>
      <c r="S45" s="746" t="str">
        <f>IFERROR(__xludf.DUMMYFUNCTION("""COMPUTED_VALUE"""),"48 months")</f>
        <v>48 months</v>
      </c>
      <c r="T45" s="40" t="str">
        <f>IFERROR(__xludf.DUMMYFUNCTION("""COMPUTED_VALUE"""),"Multidose DEC/ALB was more effective in the first treat- ment round than single-dose treatment for reducing and clearing microfilaraemia. The difference in favour of mul- tidose treatment persisted after several rounds of re- treatment with single doses o"&amp;"f DEC/ALB. Multidose treat- ment (especially in the first round of MDA) might decrease the number of cycles needed for elimination of filariasis.")</f>
        <v>Multidose DEC/ALB was more effective in the first treat- ment round than single-dose treatment for reducing and clearing microfilaraemia. The difference in favour of mul- tidose treatment persisted after several rounds of re- treatment with single doses of DEC/ALB. Multidose treat- ment (especially in the first round of MDA) might decrease the number of cycles needed for elimination of filariasis.</v>
      </c>
      <c r="U45" s="40" t="str">
        <f>IFERROR(__xludf.DUMMYFUNCTION("""COMPUTED_VALUE"""),"All subjects in the two groups were re-treated with a
 single dose of DEC/ALB 12, 24 and 36 months after the first
 treatment.")</f>
        <v>All subjects in the two groups were re-treated with a
 single dose of DEC/ALB 12, 24 and 36 months after the first
 treatment.</v>
      </c>
      <c r="V45" s="752">
        <f>IFERROR(__xludf.DUMMYFUNCTION("""COMPUTED_VALUE"""),2000.0)</f>
        <v>2000</v>
      </c>
      <c r="W45" s="760">
        <f>IFERROR(__xludf.DUMMYFUNCTION("""COMPUTED_VALUE"""),2000.0)</f>
        <v>2000</v>
      </c>
      <c r="X45" s="40"/>
      <c r="Y45" s="726" t="str">
        <f>IFERROR(__xludf.DUMMYFUNCTION("""COMPUTED_VALUE"""),"doi:10.1016/j.trstmh.2005.08.015")</f>
        <v>doi:10.1016/j.trstmh.2005.08.015</v>
      </c>
      <c r="Z45" s="727" t="str">
        <f>IFERROR(__xludf.DUMMYFUNCTION("""COMPUTED_VALUE"""),"https://drive.google.com/file/d/0B4sJPAkX0Jo3QUU4eElPS0t4UTQ/view?usp=sharing")</f>
        <v>https://drive.google.com/file/d/0B4sJPAkX0Jo3QUU4eElPS0t4UTQ/view?usp=sharing</v>
      </c>
      <c r="AA45" s="40"/>
      <c r="AB45" s="40"/>
    </row>
    <row r="46">
      <c r="A46" s="745" t="str">
        <f>IFERROR(__xludf.DUMMYFUNCTION("""COMPUTED_VALUE"""),"Fox LM, 2005")</f>
        <v>Fox LM, 2005</v>
      </c>
      <c r="B46" s="40"/>
      <c r="C46" s="746" t="str">
        <f>IFERROR(__xludf.DUMMYFUNCTION("""COMPUTED_VALUE"""),"Alex")</f>
        <v>Alex</v>
      </c>
      <c r="D46" s="746" t="str">
        <f>IFERROR(__xludf.DUMMYFUNCTION("""COMPUTED_VALUE"""),"Haiti")</f>
        <v>Haiti</v>
      </c>
      <c r="E46" s="747" t="str">
        <f>IFERROR(__xludf.DUMMYFUNCTION("""COMPUTED_VALUE"""),"W. bancrofti")</f>
        <v>W. bancrofti</v>
      </c>
      <c r="F46" s="746" t="str">
        <f>IFERROR(__xludf.DUMMYFUNCTION("""COMPUTED_VALUE"""),"Placebo")</f>
        <v>Placebo</v>
      </c>
      <c r="G46" s="753" t="str">
        <f>IFERROR(__xludf.DUMMYFUNCTION("""COMPUTED_VALUE"""),"250mg")</f>
        <v>250mg</v>
      </c>
      <c r="H46" s="746">
        <f>IFERROR(__xludf.DUMMYFUNCTION("""COMPUTED_VALUE"""),1.0)</f>
        <v>1</v>
      </c>
      <c r="I46" s="749">
        <f>IFERROR(__xludf.DUMMYFUNCTION("""COMPUTED_VALUE"""),0.103)</f>
        <v>0.103</v>
      </c>
      <c r="J46" s="765">
        <f>IFERROR(__xludf.DUMMYFUNCTION("""COMPUTED_VALUE"""),0.0)</f>
        <v>0</v>
      </c>
      <c r="K46" s="746" t="str">
        <f>IFERROR(__xludf.DUMMYFUNCTION("""COMPUTED_VALUE"""),"Not available")</f>
        <v>Not available</v>
      </c>
      <c r="L46" s="746">
        <f>IFERROR(__xludf.DUMMYFUNCTION("""COMPUTED_VALUE"""),243.0)</f>
        <v>243</v>
      </c>
      <c r="M46" s="746" t="str">
        <f>IFERROR(__xludf.DUMMYFUNCTION("""COMPUTED_VALUE"""),"5- 11")</f>
        <v>5- 11</v>
      </c>
      <c r="N46" s="758" t="str">
        <f>IFERROR(__xludf.DUMMYFUNCTION("""COMPUTED_VALUE"""),"1.19: 1")</f>
        <v>1.19: 1</v>
      </c>
      <c r="O46" s="746" t="str">
        <f>IFERROR(__xludf.DUMMYFUNCTION("""COMPUTED_VALUE"""),"Inclusion in final analysis group was depenedant on and age of 5 -11 years, anthropometric measurements havinf been performed before treatment and 6 months after, stool specimens collected before and 5 months after treatment, MF smears collected before an"&amp;"d 6 months after treatment, and rando assignment to a treatment group")</f>
        <v>Inclusion in final analysis group was depenedant on and age of 5 -11 years, anthropometric measurements havinf been performed before treatment and 6 months after, stool specimens collected before and 5 months after treatment, MF smears collected before and 6 months after treatment, and rando assignment to a treatment group</v>
      </c>
      <c r="P46" s="759" t="str">
        <f>IFERROR(__xludf.DUMMYFUNCTION("""COMPUTED_VALUE"""),"double-blind, RCT")</f>
        <v>double-blind, RCT</v>
      </c>
      <c r="Q46" s="718" t="str">
        <f>IFERROR(__xludf.DUMMYFUNCTION("""COMPUTED_VALUE"""),"Yes")</f>
        <v>Yes</v>
      </c>
      <c r="R46" s="718" t="str">
        <f>IFERROR(__xludf.DUMMYFUNCTION("""COMPUTED_VALUE"""),"Yes")</f>
        <v>Yes</v>
      </c>
      <c r="S46" s="746" t="str">
        <f>IFERROR(__xludf.DUMMYFUNCTION("""COMPUTED_VALUE"""),"6 months")</f>
        <v>6 months</v>
      </c>
      <c r="T46" s="40"/>
      <c r="U46" s="40"/>
      <c r="V46" s="752">
        <f>IFERROR(__xludf.DUMMYFUNCTION("""COMPUTED_VALUE"""),2005.0)</f>
        <v>2005</v>
      </c>
      <c r="W46" s="760">
        <f>IFERROR(__xludf.DUMMYFUNCTION("""COMPUTED_VALUE"""),2005.0)</f>
        <v>2005</v>
      </c>
      <c r="X46" s="40" t="str">
        <f>IFERROR(__xludf.DUMMYFUNCTION("""COMPUTED_VALUE"""),"Fox LM, Furness BW, Haser JK, et al. Tolerance and efficacy of combined diethylcarbamazine and albendazole for treatment of Wuchereria bancrofti and intestinal helminth infections in Haitian children. American Journal of Tropical Medicine and Hygiene. 200"&amp;"5;73(1):115–121.")</f>
        <v>Fox LM, Furness BW, Haser JK, et al. Tolerance and efficacy of combined diethylcarbamazine and albendazole for treatment of Wuchereria bancrofti and intestinal helminth infections in Haitian children. American Journal of Tropical Medicine and Hygiene. 2005;73(1):115–121.</v>
      </c>
      <c r="Y46" s="726"/>
      <c r="Z46" s="727" t="str">
        <f>IFERROR(__xludf.DUMMYFUNCTION("""COMPUTED_VALUE"""),"https://drive.google.com/file/d/0B95WhYooraDeSHh2b2VXSlUxdzQ/view?usp=sharing")</f>
        <v>https://drive.google.com/file/d/0B95WhYooraDeSHh2b2VXSlUxdzQ/view?usp=sharing</v>
      </c>
      <c r="AA46" s="40"/>
      <c r="AB46" s="40"/>
    </row>
    <row r="47">
      <c r="A47" s="745" t="str">
        <f>IFERROR(__xludf.DUMMYFUNCTION("""COMPUTED_VALUE"""),"Gayen 2013")</f>
        <v>Gayen 2013</v>
      </c>
      <c r="B47" s="746" t="str">
        <f>IFERROR(__xludf.DUMMYFUNCTION("""COMPUTED_VALUE"""),"Kirti")</f>
        <v>Kirti</v>
      </c>
      <c r="C47" s="746" t="str">
        <f>IFERROR(__xludf.DUMMYFUNCTION("""COMPUTED_VALUE"""),"Kirti")</f>
        <v>Kirti</v>
      </c>
      <c r="D47" s="746" t="str">
        <f>IFERROR(__xludf.DUMMYFUNCTION("""COMPUTED_VALUE"""),"India")</f>
        <v>India</v>
      </c>
      <c r="E47" s="747" t="str">
        <f>IFERROR(__xludf.DUMMYFUNCTION("""COMPUTED_VALUE"""),"W. bancrofti")</f>
        <v>W. bancrofti</v>
      </c>
      <c r="F47" s="746" t="str">
        <f>IFERROR(__xludf.DUMMYFUNCTION("""COMPUTED_VALUE"""),"Doxycycline")</f>
        <v>Doxycycline</v>
      </c>
      <c r="G47" s="753" t="str">
        <f>IFERROR(__xludf.DUMMYFUNCTION("""COMPUTED_VALUE"""),"200 mg")</f>
        <v>200 mg</v>
      </c>
      <c r="H47" s="746">
        <f>IFERROR(__xludf.DUMMYFUNCTION("""COMPUTED_VALUE"""),30.0)</f>
        <v>30</v>
      </c>
      <c r="I47" s="749">
        <f>IFERROR(__xludf.DUMMYFUNCTION("""COMPUTED_VALUE"""),0.69)</f>
        <v>0.69</v>
      </c>
      <c r="J47" s="749">
        <f>IFERROR(__xludf.DUMMYFUNCTION("""COMPUTED_VALUE"""),0.0)</f>
        <v>0</v>
      </c>
      <c r="K47" s="746" t="str">
        <f>IFERROR(__xludf.DUMMYFUNCTION("""COMPUTED_VALUE"""),"not available")</f>
        <v>not available</v>
      </c>
      <c r="L47" s="746">
        <f>IFERROR(__xludf.DUMMYFUNCTION("""COMPUTED_VALUE"""),17.0)</f>
        <v>17</v>
      </c>
      <c r="M47" s="750" t="str">
        <f>IFERROR(__xludf.DUMMYFUNCTION("""COMPUTED_VALUE"""),"18-65")</f>
        <v>18-65</v>
      </c>
      <c r="N47" s="766">
        <f>IFERROR(__xludf.DUMMYFUNCTION("""COMPUTED_VALUE"""),0.04236111111111111)</f>
        <v>0.04236111111</v>
      </c>
      <c r="O47" s="746" t="str">
        <f>IFERROR(__xludf.DUMMYFUNCTION("""COMPUTED_VALUE"""),"A minimum body weight of 40 kg and were in good health and females who were not pregnant and were not breast feeding. Exclusion criteria included abnormal hepatic and renal function (SGPT &gt; 60 I.U./L, SGOT &gt; 40 I.U./L, Creatinine &gt;1.4 mg/100 ml), intolera"&amp;"nce to doxycycline and ABZ and history of alcohol abuse.")</f>
        <v>A minimum body weight of 40 kg and were in good health and females who were not pregnant and were not breast feeding. Exclusion criteria included abnormal hepatic and renal function (SGPT &gt; 60 I.U./L, SGOT &gt; 40 I.U./L, Creatinine &gt;1.4 mg/100 ml), intolerance to doxycycline and ABZ and history of alcohol abuse.</v>
      </c>
      <c r="P47" s="751" t="str">
        <f>IFERROR(__xludf.DUMMYFUNCTION("""COMPUTED_VALUE"""),"double-blind, placebo controlled field trial")</f>
        <v>double-blind, placebo controlled field trial</v>
      </c>
      <c r="Q47" s="746" t="str">
        <f>IFERROR(__xludf.DUMMYFUNCTION("""COMPUTED_VALUE"""),"Yes")</f>
        <v>Yes</v>
      </c>
      <c r="R47" s="746" t="str">
        <f>IFERROR(__xludf.DUMMYFUNCTION("""COMPUTED_VALUE"""),"Yes")</f>
        <v>Yes</v>
      </c>
      <c r="S47" s="746" t="str">
        <f>IFERROR(__xludf.DUMMYFUNCTION("""COMPUTED_VALUE"""),"120 days, 365 days")</f>
        <v>120 days, 365 days</v>
      </c>
      <c r="T47" s="746" t="str">
        <f>IFERROR(__xludf.DUMMYFUNCTION("""COMPUTED_VALUE"""),"A 30-day course of doxycycline and ABZ in combination is a safe and well-tolerated treatment for lymphatic filariasis with significant activity against microfilaremia.")</f>
        <v>A 30-day course of doxycycline and ABZ in combination is a safe and well-tolerated treatment for lymphatic filariasis with significant activity against microfilaremia.</v>
      </c>
      <c r="U47" s="732" t="str">
        <f>IFERROR(__xludf.DUMMYFUNCTION("""COMPUTED_VALUE"""),"The ratio of Female to Male has been entered on the basis of the whole population invovlved in the study. All the groups were given DEC + Albendazole after 12 months of the treatment. ")</f>
        <v>The ratio of Female to Male has been entered on the basis of the whole population invovlved in the study. All the groups were given DEC + Albendazole after 12 months of the treatment. </v>
      </c>
      <c r="V47" s="752" t="str">
        <f>IFERROR(__xludf.DUMMYFUNCTION("""COMPUTED_VALUE"""),"2006-2008")</f>
        <v>2006-2008</v>
      </c>
      <c r="W47" s="752">
        <f>IFERROR(__xludf.DUMMYFUNCTION("""COMPUTED_VALUE"""),2008.0)</f>
        <v>2008</v>
      </c>
      <c r="X47" s="732" t="str">
        <f>IFERROR(__xludf.DUMMYFUNCTION("""COMPUTED_VALUE"""),"Gayen P, Nayak A, Saini P, Mukherjee N, Maitra S, et al. A double-blind controlled field trial of doxycycline and albendazole in combination for the treatment of bancroftian filariasis in India. Acta Tropica 2013; 125 (2): 150-156.")</f>
        <v>Gayen P, Nayak A, Saini P, Mukherjee N, Maitra S, et al. A double-blind controlled field trial of doxycycline and albendazole in combination for the treatment of bancroftian filariasis in India. Acta Tropica 2013; 125 (2): 150-156.</v>
      </c>
      <c r="Y47" s="726" t="str">
        <f>IFERROR(__xludf.DUMMYFUNCTION("""COMPUTED_VALUE"""),"doi: 10.1016/j.actatropica.2012.10.011")</f>
        <v>doi: 10.1016/j.actatropica.2012.10.011</v>
      </c>
      <c r="Z47" s="727" t="str">
        <f>IFERROR(__xludf.DUMMYFUNCTION("""COMPUTED_VALUE"""),"https://drive.google.com/file/d/0B0-pry4DSOm3bkFHbUF2SHFTME0/view?usp=sharing")</f>
        <v>https://drive.google.com/file/d/0B0-pry4DSOm3bkFHbUF2SHFTME0/view?usp=sharing</v>
      </c>
      <c r="AA47" s="40"/>
      <c r="AB47" s="40"/>
    </row>
    <row r="48">
      <c r="A48" s="745" t="str">
        <f>IFERROR(__xludf.DUMMYFUNCTION("""COMPUTED_VALUE"""),"Gayen 2013")</f>
        <v>Gayen 2013</v>
      </c>
      <c r="B48" s="746" t="str">
        <f>IFERROR(__xludf.DUMMYFUNCTION("""COMPUTED_VALUE"""),"Kirti")</f>
        <v>Kirti</v>
      </c>
      <c r="C48" s="746" t="str">
        <f>IFERROR(__xludf.DUMMYFUNCTION("""COMPUTED_VALUE"""),"Kirti")</f>
        <v>Kirti</v>
      </c>
      <c r="D48" s="746" t="str">
        <f>IFERROR(__xludf.DUMMYFUNCTION("""COMPUTED_VALUE"""),"India")</f>
        <v>India</v>
      </c>
      <c r="E48" s="747" t="str">
        <f>IFERROR(__xludf.DUMMYFUNCTION("""COMPUTED_VALUE"""),"W. bancrofti")</f>
        <v>W. bancrofti</v>
      </c>
      <c r="F48" s="753" t="str">
        <f>IFERROR(__xludf.DUMMYFUNCTION("""COMPUTED_VALUE"""),"Albendazole ")</f>
        <v>Albendazole </v>
      </c>
      <c r="G48" s="753" t="str">
        <f>IFERROR(__xludf.DUMMYFUNCTION("""COMPUTED_VALUE"""),"400 mg ")</f>
        <v>400 mg </v>
      </c>
      <c r="H48" s="746">
        <f>IFERROR(__xludf.DUMMYFUNCTION("""COMPUTED_VALUE"""),7.0)</f>
        <v>7</v>
      </c>
      <c r="I48" s="749">
        <f>IFERROR(__xludf.DUMMYFUNCTION("""COMPUTED_VALUE"""),0.89)</f>
        <v>0.89</v>
      </c>
      <c r="J48" s="749">
        <f>IFERROR(__xludf.DUMMYFUNCTION("""COMPUTED_VALUE"""),0.0)</f>
        <v>0</v>
      </c>
      <c r="K48" s="746" t="str">
        <f>IFERROR(__xludf.DUMMYFUNCTION("""COMPUTED_VALUE"""),"not available")</f>
        <v>not available</v>
      </c>
      <c r="L48" s="746">
        <f>IFERROR(__xludf.DUMMYFUNCTION("""COMPUTED_VALUE"""),17.0)</f>
        <v>17</v>
      </c>
      <c r="M48" s="750" t="str">
        <f>IFERROR(__xludf.DUMMYFUNCTION("""COMPUTED_VALUE"""),"18-65")</f>
        <v>18-65</v>
      </c>
      <c r="N48" s="766">
        <f>IFERROR(__xludf.DUMMYFUNCTION("""COMPUTED_VALUE"""),0.04236111111111111)</f>
        <v>0.04236111111</v>
      </c>
      <c r="O48" s="746" t="str">
        <f>IFERROR(__xludf.DUMMYFUNCTION("""COMPUTED_VALUE"""),"A minimum body weight of 40 kg and were in good health and females who were not pregnant and were not breast feeding. Exclusion criteria included abnormal hepatic and renal function (SGPT &gt; 60 I.U./L, SGOT &gt; 40 I.U./L, Creatinine &gt;1.4 mg/100 ml), intolera"&amp;"nce to doxycycline and ABZ and history of alcohol abuse.")</f>
        <v>A minimum body weight of 40 kg and were in good health and females who were not pregnant and were not breast feeding. Exclusion criteria included abnormal hepatic and renal function (SGPT &gt; 60 I.U./L, SGOT &gt; 40 I.U./L, Creatinine &gt;1.4 mg/100 ml), intolerance to doxycycline and ABZ and history of alcohol abuse.</v>
      </c>
      <c r="P48" s="751" t="str">
        <f>IFERROR(__xludf.DUMMYFUNCTION("""COMPUTED_VALUE"""),"double-blind, placebo controlled field trial")</f>
        <v>double-blind, placebo controlled field trial</v>
      </c>
      <c r="Q48" s="746" t="str">
        <f>IFERROR(__xludf.DUMMYFUNCTION("""COMPUTED_VALUE"""),"Yes")</f>
        <v>Yes</v>
      </c>
      <c r="R48" s="746" t="str">
        <f>IFERROR(__xludf.DUMMYFUNCTION("""COMPUTED_VALUE"""),"Yes")</f>
        <v>Yes</v>
      </c>
      <c r="S48" s="746" t="str">
        <f>IFERROR(__xludf.DUMMYFUNCTION("""COMPUTED_VALUE"""),"121 days, 365 days")</f>
        <v>121 days, 365 days</v>
      </c>
      <c r="T48" s="746" t="str">
        <f>IFERROR(__xludf.DUMMYFUNCTION("""COMPUTED_VALUE"""),"A 30-day course of doxycycline and ABZ in combination is a safe and well-tolerated treatment for lymphatic filariasis with significant activity against microfilaremia.")</f>
        <v>A 30-day course of doxycycline and ABZ in combination is a safe and well-tolerated treatment for lymphatic filariasis with significant activity against microfilaremia.</v>
      </c>
      <c r="U48" s="732" t="str">
        <f>IFERROR(__xludf.DUMMYFUNCTION("""COMPUTED_VALUE"""),"The ratio of Female to Male has been entered on the basis of the whole population invovlved in the study. All the groups were given DEC + Albendazole after 12 months of the treatment. ")</f>
        <v>The ratio of Female to Male has been entered on the basis of the whole population invovlved in the study. All the groups were given DEC + Albendazole after 12 months of the treatment. </v>
      </c>
      <c r="V48" s="752" t="str">
        <f>IFERROR(__xludf.DUMMYFUNCTION("""COMPUTED_VALUE"""),"2006-2008")</f>
        <v>2006-2008</v>
      </c>
      <c r="W48" s="752">
        <f>IFERROR(__xludf.DUMMYFUNCTION("""COMPUTED_VALUE"""),2008.0)</f>
        <v>2008</v>
      </c>
      <c r="X48" s="732" t="str">
        <f>IFERROR(__xludf.DUMMYFUNCTION("""COMPUTED_VALUE"""),"Gayen P, Nayak A, Saini P, Mukherjee N, Maitra S, et al. A double-blind controlled field trial of doxycycline and albendazole in combination for the treatment of bancroftian filariasis in India. Acta Tropica 2013; 125 (2): 150-156.")</f>
        <v>Gayen P, Nayak A, Saini P, Mukherjee N, Maitra S, et al. A double-blind controlled field trial of doxycycline and albendazole in combination for the treatment of bancroftian filariasis in India. Acta Tropica 2013; 125 (2): 150-156.</v>
      </c>
      <c r="Y48" s="726" t="str">
        <f>IFERROR(__xludf.DUMMYFUNCTION("""COMPUTED_VALUE"""),"doi: 10.1016/j.actatropica.2012.10.011")</f>
        <v>doi: 10.1016/j.actatropica.2012.10.011</v>
      </c>
      <c r="Z48" s="727" t="str">
        <f>IFERROR(__xludf.DUMMYFUNCTION("""COMPUTED_VALUE"""),"https://drive.google.com/file/d/0B0-pry4DSOm3bkFHbUF2SHFTME0/view?usp=sharing")</f>
        <v>https://drive.google.com/file/d/0B0-pry4DSOm3bkFHbUF2SHFTME0/view?usp=sharing</v>
      </c>
      <c r="AA48" s="40"/>
      <c r="AB48" s="40"/>
    </row>
    <row r="49">
      <c r="A49" s="745" t="str">
        <f>IFERROR(__xludf.DUMMYFUNCTION("""COMPUTED_VALUE"""),"Gayen 2013")</f>
        <v>Gayen 2013</v>
      </c>
      <c r="B49" s="746" t="str">
        <f>IFERROR(__xludf.DUMMYFUNCTION("""COMPUTED_VALUE"""),"Kirti")</f>
        <v>Kirti</v>
      </c>
      <c r="C49" s="746" t="str">
        <f>IFERROR(__xludf.DUMMYFUNCTION("""COMPUTED_VALUE"""),"Kirti")</f>
        <v>Kirti</v>
      </c>
      <c r="D49" s="746" t="str">
        <f>IFERROR(__xludf.DUMMYFUNCTION("""COMPUTED_VALUE"""),"India")</f>
        <v>India</v>
      </c>
      <c r="E49" s="747" t="str">
        <f>IFERROR(__xludf.DUMMYFUNCTION("""COMPUTED_VALUE"""),"W. bancrofti")</f>
        <v>W. bancrofti</v>
      </c>
      <c r="F49" s="746" t="str">
        <f>IFERROR(__xludf.DUMMYFUNCTION("""COMPUTED_VALUE"""),"Albendazole &amp; Doxycycline")</f>
        <v>Albendazole &amp; Doxycycline</v>
      </c>
      <c r="G49" s="746" t="str">
        <f>IFERROR(__xludf.DUMMYFUNCTION("""COMPUTED_VALUE"""),"400 mg + 200 mg ")</f>
        <v>400 mg + 200 mg </v>
      </c>
      <c r="H49" s="746">
        <f>IFERROR(__xludf.DUMMYFUNCTION("""COMPUTED_VALUE"""),30.0)</f>
        <v>30</v>
      </c>
      <c r="I49" s="749">
        <f>IFERROR(__xludf.DUMMYFUNCTION("""COMPUTED_VALUE"""),1.0)</f>
        <v>1</v>
      </c>
      <c r="J49" s="765">
        <f>IFERROR(__xludf.DUMMYFUNCTION("""COMPUTED_VALUE"""),0.42)</f>
        <v>0.42</v>
      </c>
      <c r="K49" s="746" t="str">
        <f>IFERROR(__xludf.DUMMYFUNCTION("""COMPUTED_VALUE"""),"not available")</f>
        <v>not available</v>
      </c>
      <c r="L49" s="746">
        <f>IFERROR(__xludf.DUMMYFUNCTION("""COMPUTED_VALUE"""),19.0)</f>
        <v>19</v>
      </c>
      <c r="M49" s="750" t="str">
        <f>IFERROR(__xludf.DUMMYFUNCTION("""COMPUTED_VALUE"""),"18-65")</f>
        <v>18-65</v>
      </c>
      <c r="N49" s="766">
        <f>IFERROR(__xludf.DUMMYFUNCTION("""COMPUTED_VALUE"""),0.04236111111111111)</f>
        <v>0.04236111111</v>
      </c>
      <c r="O49" s="746" t="str">
        <f>IFERROR(__xludf.DUMMYFUNCTION("""COMPUTED_VALUE"""),"A minimum body weight of 40 kg and were in good health and females who were not pregnant and were not breast feeding. Exclusion criteria included abnormal hepatic and renal function (SGPT &gt; 60 I.U./L, SGOT &gt; 40 I.U./L, Creatinine &gt;1.4 mg/100 ml), intolera"&amp;"nce to doxycycline and ABZ and history of alcohol abuse.")</f>
        <v>A minimum body weight of 40 kg and were in good health and females who were not pregnant and were not breast feeding. Exclusion criteria included abnormal hepatic and renal function (SGPT &gt; 60 I.U./L, SGOT &gt; 40 I.U./L, Creatinine &gt;1.4 mg/100 ml), intolerance to doxycycline and ABZ and history of alcohol abuse.</v>
      </c>
      <c r="P49" s="751" t="str">
        <f>IFERROR(__xludf.DUMMYFUNCTION("""COMPUTED_VALUE"""),"double-blind, placebo controlled field trial")</f>
        <v>double-blind, placebo controlled field trial</v>
      </c>
      <c r="Q49" s="746" t="str">
        <f>IFERROR(__xludf.DUMMYFUNCTION("""COMPUTED_VALUE"""),"Yes")</f>
        <v>Yes</v>
      </c>
      <c r="R49" s="746" t="str">
        <f>IFERROR(__xludf.DUMMYFUNCTION("""COMPUTED_VALUE"""),"Yes")</f>
        <v>Yes</v>
      </c>
      <c r="S49" s="746" t="str">
        <f>IFERROR(__xludf.DUMMYFUNCTION("""COMPUTED_VALUE"""),"122 days, 365 days")</f>
        <v>122 days, 365 days</v>
      </c>
      <c r="T49" s="746" t="str">
        <f>IFERROR(__xludf.DUMMYFUNCTION("""COMPUTED_VALUE"""),"A 30-day course of doxycycline and ABZ in combination is a safe and well-tolerated treatment for lymphatic filariasis with significant activity against microfilaremia.")</f>
        <v>A 30-day course of doxycycline and ABZ in combination is a safe and well-tolerated treatment for lymphatic filariasis with significant activity against microfilaremia.</v>
      </c>
      <c r="U49" s="732" t="str">
        <f>IFERROR(__xludf.DUMMYFUNCTION("""COMPUTED_VALUE"""),"The ratio of Female to Male has been entered on the basis of the whole population invovlved in the study. All the groups were given DEC + Albendazole after 12 months of the treatment. ")</f>
        <v>The ratio of Female to Male has been entered on the basis of the whole population invovlved in the study. All the groups were given DEC + Albendazole after 12 months of the treatment. </v>
      </c>
      <c r="V49" s="752" t="str">
        <f>IFERROR(__xludf.DUMMYFUNCTION("""COMPUTED_VALUE"""),"2006-2008")</f>
        <v>2006-2008</v>
      </c>
      <c r="W49" s="752">
        <f>IFERROR(__xludf.DUMMYFUNCTION("""COMPUTED_VALUE"""),2008.0)</f>
        <v>2008</v>
      </c>
      <c r="X49" s="732" t="str">
        <f>IFERROR(__xludf.DUMMYFUNCTION("""COMPUTED_VALUE"""),"Gayen P, Nayak A, Saini P, Mukherjee N, Maitra S, et al. A double-blind controlled field trial of doxycycline and albendazole in combination for the treatment of bancroftian filariasis in India. Acta Tropica 2013; 125 (2): 150-156.")</f>
        <v>Gayen P, Nayak A, Saini P, Mukherjee N, Maitra S, et al. A double-blind controlled field trial of doxycycline and albendazole in combination for the treatment of bancroftian filariasis in India. Acta Tropica 2013; 125 (2): 150-156.</v>
      </c>
      <c r="Y49" s="726" t="str">
        <f>IFERROR(__xludf.DUMMYFUNCTION("""COMPUTED_VALUE"""),"doi: 10.1016/j.actatropica.2012.10.011")</f>
        <v>doi: 10.1016/j.actatropica.2012.10.011</v>
      </c>
      <c r="Z49" s="727" t="str">
        <f>IFERROR(__xludf.DUMMYFUNCTION("""COMPUTED_VALUE"""),"https://drive.google.com/file/d/0B0-pry4DSOm3bkFHbUF2SHFTME0/view?usp=sharing")</f>
        <v>https://drive.google.com/file/d/0B0-pry4DSOm3bkFHbUF2SHFTME0/view?usp=sharing</v>
      </c>
      <c r="AA49" s="40"/>
      <c r="AB49" s="40"/>
    </row>
    <row r="50">
      <c r="A50" s="745" t="str">
        <f>IFERROR(__xludf.DUMMYFUNCTION("""COMPUTED_VALUE"""),"Gayen 2013")</f>
        <v>Gayen 2013</v>
      </c>
      <c r="B50" s="746" t="str">
        <f>IFERROR(__xludf.DUMMYFUNCTION("""COMPUTED_VALUE"""),"Kirti")</f>
        <v>Kirti</v>
      </c>
      <c r="C50" s="746" t="str">
        <f>IFERROR(__xludf.DUMMYFUNCTION("""COMPUTED_VALUE"""),"Kirti")</f>
        <v>Kirti</v>
      </c>
      <c r="D50" s="746" t="str">
        <f>IFERROR(__xludf.DUMMYFUNCTION("""COMPUTED_VALUE"""),"India")</f>
        <v>India</v>
      </c>
      <c r="E50" s="747" t="str">
        <f>IFERROR(__xludf.DUMMYFUNCTION("""COMPUTED_VALUE"""),"W. bancrofti")</f>
        <v>W. bancrofti</v>
      </c>
      <c r="F50" s="746" t="str">
        <f>IFERROR(__xludf.DUMMYFUNCTION("""COMPUTED_VALUE"""),"Placebo")</f>
        <v>Placebo</v>
      </c>
      <c r="G50" s="40"/>
      <c r="H50" s="746">
        <f>IFERROR(__xludf.DUMMYFUNCTION("""COMPUTED_VALUE"""),30.0)</f>
        <v>30</v>
      </c>
      <c r="I50" s="749">
        <f>IFERROR(__xludf.DUMMYFUNCTION("""COMPUTED_VALUE"""),0.048)</f>
        <v>0.048</v>
      </c>
      <c r="J50" s="749">
        <f>IFERROR(__xludf.DUMMYFUNCTION("""COMPUTED_VALUE"""),0.0)</f>
        <v>0</v>
      </c>
      <c r="K50" s="746" t="str">
        <f>IFERROR(__xludf.DUMMYFUNCTION("""COMPUTED_VALUE"""),"not available")</f>
        <v>not available</v>
      </c>
      <c r="L50" s="746">
        <f>IFERROR(__xludf.DUMMYFUNCTION("""COMPUTED_VALUE"""),15.0)</f>
        <v>15</v>
      </c>
      <c r="M50" s="750" t="str">
        <f>IFERROR(__xludf.DUMMYFUNCTION("""COMPUTED_VALUE"""),"18-65")</f>
        <v>18-65</v>
      </c>
      <c r="N50" s="766">
        <f>IFERROR(__xludf.DUMMYFUNCTION("""COMPUTED_VALUE"""),0.04236111111111111)</f>
        <v>0.04236111111</v>
      </c>
      <c r="O50" s="746" t="str">
        <f>IFERROR(__xludf.DUMMYFUNCTION("""COMPUTED_VALUE"""),"A minimum body weight of 40 kg and were in good health and females who were not pregnant and were not breast feeding. Exclusion criteria included abnormal hepatic and renal function (SGPT &gt; 60 I.U./L, SGOT &gt; 40 I.U./L, Creatinine &gt;1.4 mg/100 ml), intolera"&amp;"nce to doxycycline and ABZ and history of alcohol abuse.")</f>
        <v>A minimum body weight of 40 kg and were in good health and females who were not pregnant and were not breast feeding. Exclusion criteria included abnormal hepatic and renal function (SGPT &gt; 60 I.U./L, SGOT &gt; 40 I.U./L, Creatinine &gt;1.4 mg/100 ml), intolerance to doxycycline and ABZ and history of alcohol abuse.</v>
      </c>
      <c r="P50" s="751" t="str">
        <f>IFERROR(__xludf.DUMMYFUNCTION("""COMPUTED_VALUE"""),"double-blind, placebo controlled field trial")</f>
        <v>double-blind, placebo controlled field trial</v>
      </c>
      <c r="Q50" s="746" t="str">
        <f>IFERROR(__xludf.DUMMYFUNCTION("""COMPUTED_VALUE"""),"Yes")</f>
        <v>Yes</v>
      </c>
      <c r="R50" s="746" t="str">
        <f>IFERROR(__xludf.DUMMYFUNCTION("""COMPUTED_VALUE"""),"Yes")</f>
        <v>Yes</v>
      </c>
      <c r="S50" s="746" t="str">
        <f>IFERROR(__xludf.DUMMYFUNCTION("""COMPUTED_VALUE"""),"123 days, 365 days")</f>
        <v>123 days, 365 days</v>
      </c>
      <c r="T50" s="746" t="str">
        <f>IFERROR(__xludf.DUMMYFUNCTION("""COMPUTED_VALUE"""),"A 30-day course of doxycycline and ABZ in combination is a safe and well-tolerated treatment for lymphatic filariasis with significant activity against microfilaremia.")</f>
        <v>A 30-day course of doxycycline and ABZ in combination is a safe and well-tolerated treatment for lymphatic filariasis with significant activity against microfilaremia.</v>
      </c>
      <c r="U50" s="732" t="str">
        <f>IFERROR(__xludf.DUMMYFUNCTION("""COMPUTED_VALUE"""),"The ratio of Female to Male has been entered on the basis of the whole population invovlved in the study. All the groups were given DEC + Albendazole after 12 months of the treatment. ")</f>
        <v>The ratio of Female to Male has been entered on the basis of the whole population invovlved in the study. All the groups were given DEC + Albendazole after 12 months of the treatment. </v>
      </c>
      <c r="V50" s="752" t="str">
        <f>IFERROR(__xludf.DUMMYFUNCTION("""COMPUTED_VALUE"""),"2006-2008")</f>
        <v>2006-2008</v>
      </c>
      <c r="W50" s="752">
        <f>IFERROR(__xludf.DUMMYFUNCTION("""COMPUTED_VALUE"""),2008.0)</f>
        <v>2008</v>
      </c>
      <c r="X50" s="732" t="str">
        <f>IFERROR(__xludf.DUMMYFUNCTION("""COMPUTED_VALUE"""),"Gayen P, Nayak A, Saini P, Mukherjee N, Maitra S, et al. A double-blind controlled field trial of doxycycline and albendazole in combination for the treatment of bancroftian filariasis in India. Acta Tropica 2013; 125 (2): 150-156.")</f>
        <v>Gayen P, Nayak A, Saini P, Mukherjee N, Maitra S, et al. A double-blind controlled field trial of doxycycline and albendazole in combination for the treatment of bancroftian filariasis in India. Acta Tropica 2013; 125 (2): 150-156.</v>
      </c>
      <c r="Y50" s="726" t="str">
        <f>IFERROR(__xludf.DUMMYFUNCTION("""COMPUTED_VALUE"""),"doi: 10.1016/j.actatropica.2012.10.011")</f>
        <v>doi: 10.1016/j.actatropica.2012.10.011</v>
      </c>
      <c r="Z50" s="727" t="str">
        <f>IFERROR(__xludf.DUMMYFUNCTION("""COMPUTED_VALUE"""),"https://drive.google.com/file/d/0B0-pry4DSOm3bkFHbUF2SHFTME0/view?usp=sharing")</f>
        <v>https://drive.google.com/file/d/0B0-pry4DSOm3bkFHbUF2SHFTME0/view?usp=sharing</v>
      </c>
      <c r="AA50" s="40"/>
      <c r="AB50" s="40"/>
    </row>
    <row r="51">
      <c r="A51" s="717" t="str">
        <f>IFERROR(__xludf.DUMMYFUNCTION("""COMPUTED_VALUE"""),"Hanan H, 2006")</f>
        <v>Hanan H, 2006</v>
      </c>
      <c r="B51" s="40"/>
      <c r="C51" s="718" t="str">
        <f>IFERROR(__xludf.DUMMYFUNCTION("""COMPUTED_VALUE"""),"Alex")</f>
        <v>Alex</v>
      </c>
      <c r="D51" s="718" t="str">
        <f>IFERROR(__xludf.DUMMYFUNCTION("""COMPUTED_VALUE"""),"Egypt")</f>
        <v>Egypt</v>
      </c>
      <c r="E51" s="719" t="str">
        <f>IFERROR(__xludf.DUMMYFUNCTION("""COMPUTED_VALUE"""),"W. bancrofti")</f>
        <v>W. bancrofti</v>
      </c>
      <c r="F51" s="718" t="str">
        <f>IFERROR(__xludf.DUMMYFUNCTION("""COMPUTED_VALUE"""),"Albendazole &amp; DEC")</f>
        <v>Albendazole &amp; DEC</v>
      </c>
      <c r="G51" s="761" t="str">
        <f>IFERROR(__xludf.DUMMYFUNCTION("""COMPUTED_VALUE"""),"400 mg ALB + 6 mg/kg DEC")</f>
        <v>400 mg ALB + 6 mg/kg DEC</v>
      </c>
      <c r="H51" s="718">
        <f>IFERROR(__xludf.DUMMYFUNCTION("""COMPUTED_VALUE"""),4.0)</f>
        <v>4</v>
      </c>
      <c r="I51" s="741"/>
      <c r="J51" s="720">
        <f>IFERROR(__xludf.DUMMYFUNCTION("""COMPUTED_VALUE"""),0.31)</f>
        <v>0.31</v>
      </c>
      <c r="K51" s="40"/>
      <c r="L51" s="718">
        <f>IFERROR(__xludf.DUMMYFUNCTION("""COMPUTED_VALUE"""),27.0)</f>
        <v>27</v>
      </c>
      <c r="M51" s="721" t="str">
        <f>IFERROR(__xludf.DUMMYFUNCTION("""COMPUTED_VALUE"""),"≥18")</f>
        <v>≥18</v>
      </c>
      <c r="N51" s="744" t="str">
        <f>IFERROR(__xludf.DUMMYFUNCTION("""COMPUTED_VALUE"""),"Single dose: 9:18")</f>
        <v>Single dose: 9:18</v>
      </c>
      <c r="O51" s="718" t="str">
        <f>IFERROR(__xludf.DUMMYFUNCTION("""COMPUTED_VALUE"""),"Asymptomatic and clinically normal microfilaraemic men and women with night blood counts &gt;80 mf/ml")</f>
        <v>Asymptomatic and clinically normal microfilaraemic men and women with night blood counts &gt;80 mf/ml</v>
      </c>
      <c r="P51" s="762" t="str">
        <f>IFERROR(__xludf.DUMMYFUNCTION("""COMPUTED_VALUE"""),"subjects were assigned to treatment groups with block stratification for gender and blood mf count. The two groups were equivalent with respect to gender, age and infection intensity (Table 1). One group was treated with a single dose ; the other group wa"&amp;"s treated with the same medications daily for 7 successive days. All subjects in the two groups were re-treated with a single dose of DEC/ALB 12, 24 and 36 months after the first treatment.")</f>
        <v>subjects were assigned to treatment groups with block stratification for gender and blood mf count. The two groups were equivalent with respect to gender, age and infection intensity (Table 1). One group was treated with a single dose ; the other group was treated with the same medications daily for 7 successive days. All subjects in the two groups were re-treated with a single dose of DEC/ALB 12, 24 and 36 months after the first treatment.</v>
      </c>
      <c r="Q51" s="718" t="str">
        <f>IFERROR(__xludf.DUMMYFUNCTION("""COMPUTED_VALUE"""),"No")</f>
        <v>No</v>
      </c>
      <c r="R51" s="718" t="str">
        <f>IFERROR(__xludf.DUMMYFUNCTION("""COMPUTED_VALUE"""),"No")</f>
        <v>No</v>
      </c>
      <c r="S51" s="718" t="str">
        <f>IFERROR(__xludf.DUMMYFUNCTION("""COMPUTED_VALUE"""),"1, 3, 9, 12, 18, 24, 36, 48 months")</f>
        <v>1, 3, 9, 12, 18, 24, 36, 48 months</v>
      </c>
      <c r="T51" s="718" t="str">
        <f>IFERROR(__xludf.DUMMYFUNCTION("""COMPUTED_VALUE"""),"Multidose DEC/ALB was more effective in the first treatment round than single-dose treatment for reducing and clearing microfilaraemia")</f>
        <v>Multidose DEC/ALB was more effective in the first treatment round than single-dose treatment for reducing and clearing microfilaraemia</v>
      </c>
      <c r="U51" s="718" t="str">
        <f>IFERROR(__xludf.DUMMYFUNCTION("""COMPUTED_VALUE"""),"I'm reporting the % negative for both ELISA+mf status test results. Other measures were taken for all moonths tested")</f>
        <v>I'm reporting the % negative for both ELISA+mf status test results. Other measures were taken for all moonths tested</v>
      </c>
      <c r="V51" s="724">
        <f>IFERROR(__xludf.DUMMYFUNCTION("""COMPUTED_VALUE"""),2006.0)</f>
        <v>2006</v>
      </c>
      <c r="W51" s="724">
        <f>IFERROR(__xludf.DUMMYFUNCTION("""COMPUTED_VALUE"""),2006.0)</f>
        <v>2006</v>
      </c>
      <c r="X51" s="718" t="str">
        <f>IFERROR(__xludf.DUMMYFUNCTION("""COMPUTED_VALUE"""),"Hanan Helmy, Gary J. Weil, Abou Sree T. Ellethy, Ehab S. Ahmeda, Maged El Setouhya, Reda M.R. Ramzya. Bancroftian filariasis: effect of repeated treatment with diethylcarbamazine and albendazole on microfilaraemia, antigenaemia and antifilarial antibodies"&amp;". Transactions of the Royal Society of Tropical Medicine and Hygiene (2006) 100, 656—662")</f>
        <v>Hanan Helmy, Gary J. Weil, Abou Sree T. Ellethy, Ehab S. Ahmeda, Maged El Setouhya, Reda M.R. Ramzya. Bancroftian filariasis: effect of repeated treatment with diethylcarbamazine and albendazole on microfilaraemia, antigenaemia and antifilarial antibodies. Transactions of the Royal Society of Tropical Medicine and Hygiene (2006) 100, 656—662</v>
      </c>
      <c r="Y51" s="726" t="str">
        <f>IFERROR(__xludf.DUMMYFUNCTION("""COMPUTED_VALUE"""),"doi:10.1016/j.trstmh.2005.08.015")</f>
        <v>doi:10.1016/j.trstmh.2005.08.015</v>
      </c>
      <c r="Z51" s="727" t="str">
        <f>IFERROR(__xludf.DUMMYFUNCTION("""COMPUTED_VALUE"""),"https://drive.google.com/file/d/0B4sJPAkX0Jo3QWh4Nl9JSGRMVEk/view?usp=sharing")</f>
        <v>https://drive.google.com/file/d/0B4sJPAkX0Jo3QWh4Nl9JSGRMVEk/view?usp=sharing</v>
      </c>
      <c r="AA51" s="40" t="str">
        <f>IFERROR(__xludf.DUMMYFUNCTION("""COMPUTED_VALUE"""),"x")</f>
        <v>x</v>
      </c>
      <c r="AB51" s="40"/>
    </row>
    <row r="52">
      <c r="A52" s="717" t="str">
        <f>IFERROR(__xludf.DUMMYFUNCTION("""COMPUTED_VALUE"""),"Hanan H, 2006")</f>
        <v>Hanan H, 2006</v>
      </c>
      <c r="B52" s="40"/>
      <c r="C52" s="718" t="str">
        <f>IFERROR(__xludf.DUMMYFUNCTION("""COMPUTED_VALUE"""),"Alex")</f>
        <v>Alex</v>
      </c>
      <c r="D52" s="718" t="str">
        <f>IFERROR(__xludf.DUMMYFUNCTION("""COMPUTED_VALUE"""),"Egypt")</f>
        <v>Egypt</v>
      </c>
      <c r="E52" s="719" t="str">
        <f>IFERROR(__xludf.DUMMYFUNCTION("""COMPUTED_VALUE"""),"W. bancrofti")</f>
        <v>W. bancrofti</v>
      </c>
      <c r="F52" s="761" t="str">
        <f>IFERROR(__xludf.DUMMYFUNCTION("""COMPUTED_VALUE"""),"Albendazole &amp; DEC")</f>
        <v>Albendazole &amp; DEC</v>
      </c>
      <c r="G52" s="718" t="str">
        <f>IFERROR(__xludf.DUMMYFUNCTION("""COMPUTED_VALUE"""),"400 mg ALB + 6 mg/kg DEC")</f>
        <v>400 mg ALB + 6 mg/kg DEC</v>
      </c>
      <c r="H52" s="718">
        <f>IFERROR(__xludf.DUMMYFUNCTION("""COMPUTED_VALUE"""),10.0)</f>
        <v>10</v>
      </c>
      <c r="I52" s="741"/>
      <c r="J52" s="720">
        <f>IFERROR(__xludf.DUMMYFUNCTION("""COMPUTED_VALUE"""),0.29)</f>
        <v>0.29</v>
      </c>
      <c r="K52" s="40"/>
      <c r="L52" s="718">
        <f>IFERROR(__xludf.DUMMYFUNCTION("""COMPUTED_VALUE"""),30.0)</f>
        <v>30</v>
      </c>
      <c r="M52" s="721" t="str">
        <f>IFERROR(__xludf.DUMMYFUNCTION("""COMPUTED_VALUE"""),"≥18")</f>
        <v>≥18</v>
      </c>
      <c r="N52" s="744" t="str">
        <f>IFERROR(__xludf.DUMMYFUNCTION("""COMPUTED_VALUE"""),"Multidose: 12:18")</f>
        <v>Multidose: 12:18</v>
      </c>
      <c r="O52" s="718" t="str">
        <f>IFERROR(__xludf.DUMMYFUNCTION("""COMPUTED_VALUE"""),"Asymptomatic and clinically normal microfilaraemic men and women with night blood counts &gt;80 mf/ml")</f>
        <v>Asymptomatic and clinically normal microfilaraemic men and women with night blood counts &gt;80 mf/ml</v>
      </c>
      <c r="P52" s="762" t="str">
        <f>IFERROR(__xludf.DUMMYFUNCTION("""COMPUTED_VALUE"""),"subjects were assigned to treatment groups with block stratification for gender and blood mf count. The two groups were equivalent with respect to gender, age and infection intensity (Table 1). One group was treated with a single dose ; the other group wa"&amp;"s treated with the same medications daily for 7 successive days. All subjects in the two groups were re-treated with a single dose of DEC/ALB 12, 24 and 36 months after the first treatment.")</f>
        <v>subjects were assigned to treatment groups with block stratification for gender and blood mf count. The two groups were equivalent with respect to gender, age and infection intensity (Table 1). One group was treated with a single dose ; the other group was treated with the same medications daily for 7 successive days. All subjects in the two groups were re-treated with a single dose of DEC/ALB 12, 24 and 36 months after the first treatment.</v>
      </c>
      <c r="Q52" s="718" t="str">
        <f>IFERROR(__xludf.DUMMYFUNCTION("""COMPUTED_VALUE"""),"No")</f>
        <v>No</v>
      </c>
      <c r="R52" s="718" t="str">
        <f>IFERROR(__xludf.DUMMYFUNCTION("""COMPUTED_VALUE"""),"No")</f>
        <v>No</v>
      </c>
      <c r="S52" s="718" t="str">
        <f>IFERROR(__xludf.DUMMYFUNCTION("""COMPUTED_VALUE"""),"1, 3, 9, 12, 18, 24, 36, 48 months")</f>
        <v>1, 3, 9, 12, 18, 24, 36, 48 months</v>
      </c>
      <c r="T52" s="718" t="str">
        <f>IFERROR(__xludf.DUMMYFUNCTION("""COMPUTED_VALUE"""),"Multidose DEC/ALB was more effective in the first treatment round than single-dose treatment for reducing and clearing microfilaraemia")</f>
        <v>Multidose DEC/ALB was more effective in the first treatment round than single-dose treatment for reducing and clearing microfilaraemia</v>
      </c>
      <c r="U52" s="718" t="str">
        <f>IFERROR(__xludf.DUMMYFUNCTION("""COMPUTED_VALUE"""),"I'm reporting the % negative for both ELISA+mf status test results. Other measures were taken for all moonths tested")</f>
        <v>I'm reporting the % negative for both ELISA+mf status test results. Other measures were taken for all moonths tested</v>
      </c>
      <c r="V52" s="724">
        <f>IFERROR(__xludf.DUMMYFUNCTION("""COMPUTED_VALUE"""),2006.0)</f>
        <v>2006</v>
      </c>
      <c r="W52" s="724">
        <f>IFERROR(__xludf.DUMMYFUNCTION("""COMPUTED_VALUE"""),2006.0)</f>
        <v>2006</v>
      </c>
      <c r="X52" s="718" t="str">
        <f>IFERROR(__xludf.DUMMYFUNCTION("""COMPUTED_VALUE"""),"Hanan Helmy, Gary J. Weil, Abou Sree T. Ellethy, Ehab S. Ahmeda, Maged El Setouhya, Reda M.R. Ramzya. Bancroftian filariasis: effect of repeated treatment with diethylcarbamazine and albendazole on microfilaraemia, antigenaemia and antifilarial antibodies"&amp;". Transactions of the Royal Society of Tropical Medicine and Hygiene (2006) 100, 656—662")</f>
        <v>Hanan Helmy, Gary J. Weil, Abou Sree T. Ellethy, Ehab S. Ahmeda, Maged El Setouhya, Reda M.R. Ramzya. Bancroftian filariasis: effect of repeated treatment with diethylcarbamazine and albendazole on microfilaraemia, antigenaemia and antifilarial antibodies. Transactions of the Royal Society of Tropical Medicine and Hygiene (2006) 100, 656—662</v>
      </c>
      <c r="Y52" s="726" t="str">
        <f>IFERROR(__xludf.DUMMYFUNCTION("""COMPUTED_VALUE"""),"doi:10.1016/j.trstmh.2005.08.015")</f>
        <v>doi:10.1016/j.trstmh.2005.08.015</v>
      </c>
      <c r="Z52" s="727" t="str">
        <f>IFERROR(__xludf.DUMMYFUNCTION("""COMPUTED_VALUE"""),"https://drive.google.com/file/d/0B4sJPAkX0Jo3QWh4Nl9JSGRMVEk/view?usp=sharing")</f>
        <v>https://drive.google.com/file/d/0B4sJPAkX0Jo3QWh4Nl9JSGRMVEk/view?usp=sharing</v>
      </c>
      <c r="AA52" s="40" t="str">
        <f>IFERROR(__xludf.DUMMYFUNCTION("""COMPUTED_VALUE"""),"x")</f>
        <v>x</v>
      </c>
      <c r="AB52" s="40"/>
    </row>
    <row r="53">
      <c r="A53" s="728" t="str">
        <f>IFERROR(__xludf.DUMMYFUNCTION("""COMPUTED_VALUE"""),"Setouhy 2004")</f>
        <v>Setouhy 2004</v>
      </c>
      <c r="B53" s="40" t="str">
        <f>IFERROR(__xludf.DUMMYFUNCTION("""COMPUTED_VALUE"""),"Kirti")</f>
        <v>Kirti</v>
      </c>
      <c r="C53" s="730" t="str">
        <f>IFERROR(__xludf.DUMMYFUNCTION("""COMPUTED_VALUE"""),"luisa")</f>
        <v>luisa</v>
      </c>
      <c r="D53" s="730" t="str">
        <f>IFERROR(__xludf.DUMMYFUNCTION("""COMPUTED_VALUE"""),"Egypt")</f>
        <v>Egypt</v>
      </c>
      <c r="E53" s="739" t="str">
        <f>IFERROR(__xludf.DUMMYFUNCTION("""COMPUTED_VALUE"""),"W. bancrofti")</f>
        <v>W. bancrofti</v>
      </c>
      <c r="F53" s="718" t="str">
        <f>IFERROR(__xludf.DUMMYFUNCTION("""COMPUTED_VALUE"""),"Albendazole &amp; DEC")</f>
        <v>Albendazole &amp; DEC</v>
      </c>
      <c r="G53" s="730" t="str">
        <f>IFERROR(__xludf.DUMMYFUNCTION("""COMPUTED_VALUE"""),"600 mg ALB + 6 mg/ kg DEC ")</f>
        <v>600 mg ALB + 6 mg/ kg DEC </v>
      </c>
      <c r="H53" s="40">
        <f>IFERROR(__xludf.DUMMYFUNCTION("""COMPUTED_VALUE"""),7.0)</f>
        <v>7</v>
      </c>
      <c r="I53" s="742">
        <f>IFERROR(__xludf.DUMMYFUNCTION("""COMPUTED_VALUE"""),0.996)</f>
        <v>0.996</v>
      </c>
      <c r="J53" s="742">
        <f>IFERROR(__xludf.DUMMYFUNCTION("""COMPUTED_VALUE"""),0.75)</f>
        <v>0.75</v>
      </c>
      <c r="K53" s="730"/>
      <c r="L53" s="734">
        <f>IFERROR(__xludf.DUMMYFUNCTION("""COMPUTED_VALUE"""),30.0)</f>
        <v>30</v>
      </c>
      <c r="M53" s="721" t="str">
        <f>IFERROR(__xludf.DUMMYFUNCTION("""COMPUTED_VALUE"""),"&gt;=18")</f>
        <v>&gt;=18</v>
      </c>
      <c r="N53" s="767">
        <f>IFERROR(__xludf.DUMMYFUNCTION("""COMPUTED_VALUE"""),0.08541666666666667)</f>
        <v>0.08541666667</v>
      </c>
      <c r="O53" s="730" t="str">
        <f>IFERROR(__xludf.DUMMYFUNCTION("""COMPUTED_VALUE"""),"18 years of age or older, with night blood microfilaria counts &gt; 80 MF/mL,renal disease (creatinine&lt;2mg/dL), liver disease (serum bilirubin&lt;2mg/dL or alanine aminotransferase [ALT] &lt; 80 IU/L), not pregnant, or lactating.")</f>
        <v>18 years of age or older, with night blood microfilaria counts &gt; 80 MF/mL,renal disease (creatinine&lt;2mg/dL), liver disease (serum bilirubin&lt;2mg/dL or alanine aminotransferase [ALT] &lt; 80 IU/L), not pregnant, or lactating.</v>
      </c>
      <c r="P53" s="40" t="str">
        <f>IFERROR(__xludf.DUMMYFUNCTION("""COMPUTED_VALUE"""),"randomized clinical trail")</f>
        <v>randomized clinical trail</v>
      </c>
      <c r="Q53" s="718" t="str">
        <f>IFERROR(__xludf.DUMMYFUNCTION("""COMPUTED_VALUE"""),"No")</f>
        <v>No</v>
      </c>
      <c r="R53" s="718" t="str">
        <f>IFERROR(__xludf.DUMMYFUNCTION("""COMPUTED_VALUE"""),"Yes")</f>
        <v>Yes</v>
      </c>
      <c r="S53" s="730" t="str">
        <f>IFERROR(__xludf.DUMMYFUNCTION("""COMPUTED_VALUE"""),"12 months")</f>
        <v>12 months</v>
      </c>
      <c r="T53" s="730" t="str">
        <f>IFERROR(__xludf.DUMMYFUNCTION("""COMPUTED_VALUE"""),"Multi-dose DEC/Alb may be a useful option for filariasis elimination programs, especially in the first year (when enthusiasm for mass drug administration and coverage rates are high), to quickly reduce community MF loads and transmission rates.")</f>
        <v>Multi-dose DEC/Alb may be a useful option for filariasis elimination programs, especially in the first year (when enthusiasm for mass drug administration and coverage rates are high), to quickly reduce community MF loads and transmission rates.</v>
      </c>
      <c r="U53" s="730" t="str">
        <f>IFERROR(__xludf.DUMMYFUNCTION("""COMPUTED_VALUE"""),"2 patients failed to follow up.")</f>
        <v>2 patients failed to follow up.</v>
      </c>
      <c r="V53" s="737"/>
      <c r="W53" s="768"/>
      <c r="X53" s="730" t="str">
        <f>IFERROR(__xludf.DUMMYFUNCTION("""COMPUTED_VALUE"""),"Setouhy ME, Ramzy RMR, Ahmed ES, Kandil AM, Hussain O, Farid HA, et al. A Randomized Clinical Trial comparing Single- and Multi- Dose Combination Therapy with Diethylcarbamazine and Albendazole for Treatment of Bancroftian Filariasis. American Journal of "&amp;"Tropical Medicine and Hygiene 2004; 70(2): 191-196. ")</f>
        <v>Setouhy ME, Ramzy RMR, Ahmed ES, Kandil AM, Hussain O, Farid HA, et al. A Randomized Clinical Trial comparing Single- and Multi- Dose Combination Therapy with Diethylcarbamazine and Albendazole for Treatment of Bancroftian Filariasis. American Journal of Tropical Medicine and Hygiene 2004; 70(2): 191-196. </v>
      </c>
      <c r="Y53" s="738" t="str">
        <f>IFERROR(__xludf.DUMMYFUNCTION("""COMPUTED_VALUE"""),"PMID: 14993632")</f>
        <v>PMID: 14993632</v>
      </c>
      <c r="Z53" s="727" t="str">
        <f>IFERROR(__xludf.DUMMYFUNCTION("""COMPUTED_VALUE"""),"https://drive.google.com/file/d/0B0-pry4DSOm3czVrYS0xRmJZakE/view?usp=sharing")</f>
        <v>https://drive.google.com/file/d/0B0-pry4DSOm3czVrYS0xRmJZakE/view?usp=sharing</v>
      </c>
      <c r="AA53" s="40"/>
      <c r="AB53" s="40"/>
    </row>
    <row r="54">
      <c r="A54" s="728" t="str">
        <f>IFERROR(__xludf.DUMMYFUNCTION("""COMPUTED_VALUE"""),"Setouhy 2004")</f>
        <v>Setouhy 2004</v>
      </c>
      <c r="B54" s="40" t="str">
        <f>IFERROR(__xludf.DUMMYFUNCTION("""COMPUTED_VALUE"""),"Kirti")</f>
        <v>Kirti</v>
      </c>
      <c r="C54" s="730" t="str">
        <f>IFERROR(__xludf.DUMMYFUNCTION("""COMPUTED_VALUE"""),"luisa")</f>
        <v>luisa</v>
      </c>
      <c r="D54" s="730" t="str">
        <f>IFERROR(__xludf.DUMMYFUNCTION("""COMPUTED_VALUE"""),"Egypt")</f>
        <v>Egypt</v>
      </c>
      <c r="E54" s="739" t="str">
        <f>IFERROR(__xludf.DUMMYFUNCTION("""COMPUTED_VALUE"""),"W. bancrofti")</f>
        <v>W. bancrofti</v>
      </c>
      <c r="F54" s="761" t="str">
        <f>IFERROR(__xludf.DUMMYFUNCTION("""COMPUTED_VALUE"""),"Albendazole &amp; DEC")</f>
        <v>Albendazole &amp; DEC</v>
      </c>
      <c r="G54" s="730" t="str">
        <f>IFERROR(__xludf.DUMMYFUNCTION("""COMPUTED_VALUE"""),"600 mg ALB + 6 mg/ kg DEC")</f>
        <v>600 mg ALB + 6 mg/ kg DEC</v>
      </c>
      <c r="H54" s="40">
        <f>IFERROR(__xludf.DUMMYFUNCTION("""COMPUTED_VALUE"""),1.0)</f>
        <v>1</v>
      </c>
      <c r="I54" s="742">
        <f>IFERROR(__xludf.DUMMYFUNCTION("""COMPUTED_VALUE"""),0.857)</f>
        <v>0.857</v>
      </c>
      <c r="J54" s="742">
        <f>IFERROR(__xludf.DUMMYFUNCTION("""COMPUTED_VALUE"""),0.231)</f>
        <v>0.231</v>
      </c>
      <c r="K54" s="730"/>
      <c r="L54" s="734">
        <f>IFERROR(__xludf.DUMMYFUNCTION("""COMPUTED_VALUE"""),28.0)</f>
        <v>28</v>
      </c>
      <c r="M54" s="721" t="str">
        <f>IFERROR(__xludf.DUMMYFUNCTION("""COMPUTED_VALUE"""),"&gt;=18")</f>
        <v>&gt;=18</v>
      </c>
      <c r="N54" s="767">
        <f>IFERROR(__xludf.DUMMYFUNCTION("""COMPUTED_VALUE"""),0.21458333333333332)</f>
        <v>0.2145833333</v>
      </c>
      <c r="O54" s="730" t="str">
        <f>IFERROR(__xludf.DUMMYFUNCTION("""COMPUTED_VALUE"""),"18 years of age or older, with night blood microfilaria counts &gt; 80 MF/mL,renal disease (creatinine&lt;2mg/dL), liver disease (serum bilirubin&lt;2mg/dL or alanine aminotransferase [ALT] &lt; 80 IU/L), not pregnant, or lactating.")</f>
        <v>18 years of age or older, with night blood microfilaria counts &gt; 80 MF/mL,renal disease (creatinine&lt;2mg/dL), liver disease (serum bilirubin&lt;2mg/dL or alanine aminotransferase [ALT] &lt; 80 IU/L), not pregnant, or lactating.</v>
      </c>
      <c r="P54" s="40" t="str">
        <f>IFERROR(__xludf.DUMMYFUNCTION("""COMPUTED_VALUE"""),"randomized clinical trail")</f>
        <v>randomized clinical trail</v>
      </c>
      <c r="Q54" s="718" t="str">
        <f>IFERROR(__xludf.DUMMYFUNCTION("""COMPUTED_VALUE"""),"No")</f>
        <v>No</v>
      </c>
      <c r="R54" s="718" t="str">
        <f>IFERROR(__xludf.DUMMYFUNCTION("""COMPUTED_VALUE"""),"Yes")</f>
        <v>Yes</v>
      </c>
      <c r="S54" s="730" t="str">
        <f>IFERROR(__xludf.DUMMYFUNCTION("""COMPUTED_VALUE"""),"12 months")</f>
        <v>12 months</v>
      </c>
      <c r="T54" s="730" t="str">
        <f>IFERROR(__xludf.DUMMYFUNCTION("""COMPUTED_VALUE"""),"Multi-dose DEC/Alb may be a useful option for filariasis elimination programs, especially in the first year (when enthusiasm for mass drug administration and coverage rates are high), to quickly reduce community MF loads and transmission rates.")</f>
        <v>Multi-dose DEC/Alb may be a useful option for filariasis elimination programs, especially in the first year (when enthusiasm for mass drug administration and coverage rates are high), to quickly reduce community MF loads and transmission rates.</v>
      </c>
      <c r="U54" s="730" t="str">
        <f>IFERROR(__xludf.DUMMYFUNCTION("""COMPUTED_VALUE"""),"2 patients failed to follow up.")</f>
        <v>2 patients failed to follow up.</v>
      </c>
      <c r="V54" s="737"/>
      <c r="W54" s="768"/>
      <c r="X54" s="730" t="str">
        <f>IFERROR(__xludf.DUMMYFUNCTION("""COMPUTED_VALUE"""),"Setouhy ME, Ramzy RMR, Ahmed ES, Kandil AM, Hussain O, Farid HA, et al. A Randomized Clinical Trial comparing Single- and Multi- Dose Combination Therapy with Diethylcarbamazine and Albendazole for Treatment of Bancroftian Filariasis. American Journal of "&amp;"Tropical Medicine and Hygiene 2004; 70(2): 191-196. ")</f>
        <v>Setouhy ME, Ramzy RMR, Ahmed ES, Kandil AM, Hussain O, Farid HA, et al. A Randomized Clinical Trial comparing Single- and Multi- Dose Combination Therapy with Diethylcarbamazine and Albendazole for Treatment of Bancroftian Filariasis. American Journal of Tropical Medicine and Hygiene 2004; 70(2): 191-196. </v>
      </c>
      <c r="Y54" s="738" t="str">
        <f>IFERROR(__xludf.DUMMYFUNCTION("""COMPUTED_VALUE"""),"PMID: 14993632")</f>
        <v>PMID: 14993632</v>
      </c>
      <c r="Z54" s="727" t="str">
        <f>IFERROR(__xludf.DUMMYFUNCTION("""COMPUTED_VALUE"""),"https://drive.google.com/file/d/0B0-pry4DSOm3czVrYS0xRmJZakE/view?usp=sharing")</f>
        <v>https://drive.google.com/file/d/0B0-pry4DSOm3czVrYS0xRmJZakE/view?usp=sharing</v>
      </c>
      <c r="AA54" s="40"/>
      <c r="AB54" s="40"/>
    </row>
    <row r="55">
      <c r="A55" s="745" t="str">
        <f>IFERROR(__xludf.DUMMYFUNCTION("""COMPUTED_VALUE"""),"Hoerauf 2003")</f>
        <v>Hoerauf 2003</v>
      </c>
      <c r="B55" s="746" t="str">
        <f>IFERROR(__xludf.DUMMYFUNCTION("""COMPUTED_VALUE"""),"Kirti")</f>
        <v>Kirti</v>
      </c>
      <c r="C55" s="746" t="str">
        <f>IFERROR(__xludf.DUMMYFUNCTION("""COMPUTED_VALUE"""),"Ross")</f>
        <v>Ross</v>
      </c>
      <c r="D55" s="746" t="str">
        <f>IFERROR(__xludf.DUMMYFUNCTION("""COMPUTED_VALUE"""),"Ghana")</f>
        <v>Ghana</v>
      </c>
      <c r="E55" s="747" t="str">
        <f>IFERROR(__xludf.DUMMYFUNCTION("""COMPUTED_VALUE"""),"W. bancrofti")</f>
        <v>W. bancrofti</v>
      </c>
      <c r="F55" s="746" t="str">
        <f>IFERROR(__xludf.DUMMYFUNCTION("""COMPUTED_VALUE"""),"Doxycycline")</f>
        <v>Doxycycline</v>
      </c>
      <c r="G55" s="746" t="str">
        <f>IFERROR(__xludf.DUMMYFUNCTION("""COMPUTED_VALUE"""),"200 mg/kg for 6 weeks")</f>
        <v>200 mg/kg for 6 weeks</v>
      </c>
      <c r="H55" s="746">
        <f>IFERROR(__xludf.DUMMYFUNCTION("""COMPUTED_VALUE"""),42.0)</f>
        <v>42</v>
      </c>
      <c r="I55" s="749">
        <f>IFERROR(__xludf.DUMMYFUNCTION("""COMPUTED_VALUE"""),0.99)</f>
        <v>0.99</v>
      </c>
      <c r="J55" s="749">
        <f>IFERROR(__xludf.DUMMYFUNCTION("""COMPUTED_VALUE"""),0.696)</f>
        <v>0.696</v>
      </c>
      <c r="K55" s="730" t="str">
        <f>IFERROR(__xludf.DUMMYFUNCTION("""COMPUTED_VALUE"""),"not available")</f>
        <v>not available</v>
      </c>
      <c r="L55" s="746">
        <f>IFERROR(__xludf.DUMMYFUNCTION("""COMPUTED_VALUE"""),23.0)</f>
        <v>23</v>
      </c>
      <c r="M55" s="750" t="str">
        <f>IFERROR(__xludf.DUMMYFUNCTION("""COMPUTED_VALUE"""),"18-55")</f>
        <v>18-55</v>
      </c>
      <c r="N55" s="766">
        <f>IFERROR(__xludf.DUMMYFUNCTION("""COMPUTED_VALUE"""),0.2263888888888889)</f>
        <v>0.2263888889</v>
      </c>
      <c r="O55" s="746" t="str">
        <f>IFERROR(__xludf.DUMMYFUNCTION("""COMPUTED_VALUE"""),"A minimum microfilaremia of 40 mf/ml, normal hepatic and renal profiles (alanine aminotransferase &lt; 30 U/l; c-glutamyl-transpeptidase &gt;28 U/l; creatinine &lt; 1.2 mg/ 100 ml) measured by dip-stick chemistry (Reflotron, Roche Diag-nostics, Mannheim, Germany),"&amp;" body weight &gt; 40 kg, no alcohol or drug abuse, no chronic medication, no pregnancy or breast feeding in females, and must have the mental ability to understand the explanations of the study design.")</f>
        <v>A minimum microfilaremia of 40 mf/ml, normal hepatic and renal profiles (alanine aminotransferase &lt; 30 U/l; c-glutamyl-transpeptidase &gt;28 U/l; creatinine &lt; 1.2 mg/ 100 ml) measured by dip-stick chemistry (Reflotron, Roche Diag-nostics, Mannheim, Germany), body weight &gt; 40 kg, no alcohol or drug abuse, no chronic medication, no pregnancy or breast feeding in females, and must have the mental ability to understand the explanations of the study design.</v>
      </c>
      <c r="P55" s="751" t="str">
        <f>IFERROR(__xludf.DUMMYFUNCTION("""COMPUTED_VALUE"""),"4 test groups including control, subjects assigned to group sequentially (see note)")</f>
        <v>4 test groups including control, subjects assigned to group sequentially (see note)</v>
      </c>
      <c r="Q55" s="718" t="str">
        <f>IFERROR(__xludf.DUMMYFUNCTION("""COMPUTED_VALUE"""),"No")</f>
        <v>No</v>
      </c>
      <c r="R55" s="718" t="str">
        <f>IFERROR(__xludf.DUMMYFUNCTION("""COMPUTED_VALUE"""),"No")</f>
        <v>No</v>
      </c>
      <c r="S55" s="746" t="str">
        <f>IFERROR(__xludf.DUMMYFUNCTION("""COMPUTED_VALUE"""),"12 months")</f>
        <v>12 months</v>
      </c>
      <c r="T55" s="746" t="str">
        <f>IFERROR(__xludf.DUMMYFUNCTION("""COMPUTED_VALUE"""),"Doxycycline is effective in depleting Wolbachia from W. bancrofti.")</f>
        <v>Doxycycline is effective in depleting Wolbachia from W. bancrofti.</v>
      </c>
      <c r="U55" s="746" t="str">
        <f>IFERROR(__xludf.DUMMYFUNCTION("""COMPUTED_VALUE"""),"The ratio of Female to Male has been entered on the basis of the whole population invovlved in the study. The researcher did not provide with a specific ratio of sex in each group. randomization and blinding were not acceptable to village elders (as in [4"&amp;"]), three villages received regimen (1) and (4), and the other three received regimen (2) and (3), whereby in each village patients were sequentially assigned to either groups 1 and 4 or 2 and 3, respectively.")</f>
        <v>The ratio of Female to Male has been entered on the basis of the whole population invovlved in the study. The researcher did not provide with a specific ratio of sex in each group. randomization and blinding were not acceptable to village elders (as in [4]), three villages received regimen (1) and (4), and the other three received regimen (2) and (3), whereby in each village patients were sequentially assigned to either groups 1 and 4 or 2 and 3, respectively.</v>
      </c>
      <c r="V55" s="752">
        <f>IFERROR(__xludf.DUMMYFUNCTION("""COMPUTED_VALUE"""),2003.0)</f>
        <v>2003</v>
      </c>
      <c r="W55" s="752">
        <f>IFERROR(__xludf.DUMMYFUNCTION("""COMPUTED_VALUE"""),2003.0)</f>
        <v>2003</v>
      </c>
      <c r="X55" s="746" t="str">
        <f>IFERROR(__xludf.DUMMYFUNCTION("""COMPUTED_VALUE"""),"Hoerauf A, Mand S, Fischer K, Kruppa T, Marfo-Debrekyei Y, Debrah AY, et al. Doxycycline as a novel strategy against bancroftian filariasis—depletion of Wolbachia endosymbionts from Wuchereria bancrofti and stop of microfilaria production. Med Microbiol I"&amp;"mmunol 2003; 192 (4): 211-216. ")</f>
        <v>Hoerauf A, Mand S, Fischer K, Kruppa T, Marfo-Debrekyei Y, Debrah AY, et al. Doxycycline as a novel strategy against bancroftian filariasis—depletion of Wolbachia endosymbionts from Wuchereria bancrofti and stop of microfilaria production. Med Microbiol Immunol 2003; 192 (4): 211-216. </v>
      </c>
      <c r="Y55" s="726" t="str">
        <f>IFERROR(__xludf.DUMMYFUNCTION("""COMPUTED_VALUE"""),"DOI 10.1007/s00430-002-0174-6")</f>
        <v>DOI 10.1007/s00430-002-0174-6</v>
      </c>
      <c r="Z55" s="727" t="str">
        <f>IFERROR(__xludf.DUMMYFUNCTION("""COMPUTED_VALUE"""),"https://drive.google.com/file/d/0B0-pry4DSOm3by04M2NKTm9sd1E/view?usp=sharing")</f>
        <v>https://drive.google.com/file/d/0B0-pry4DSOm3by04M2NKTm9sd1E/view?usp=sharing</v>
      </c>
      <c r="AA55" s="40"/>
      <c r="AB55" s="40"/>
    </row>
    <row r="56">
      <c r="A56" s="745" t="str">
        <f>IFERROR(__xludf.DUMMYFUNCTION("""COMPUTED_VALUE"""),"Hoerauf 2003")</f>
        <v>Hoerauf 2003</v>
      </c>
      <c r="B56" s="746" t="str">
        <f>IFERROR(__xludf.DUMMYFUNCTION("""COMPUTED_VALUE"""),"Kirti")</f>
        <v>Kirti</v>
      </c>
      <c r="C56" s="746" t="str">
        <f>IFERROR(__xludf.DUMMYFUNCTION("""COMPUTED_VALUE"""),"Ross")</f>
        <v>Ross</v>
      </c>
      <c r="D56" s="746" t="str">
        <f>IFERROR(__xludf.DUMMYFUNCTION("""COMPUTED_VALUE"""),"Ghana")</f>
        <v>Ghana</v>
      </c>
      <c r="E56" s="747" t="str">
        <f>IFERROR(__xludf.DUMMYFUNCTION("""COMPUTED_VALUE"""),"W. bancrofti")</f>
        <v>W. bancrofti</v>
      </c>
      <c r="F56" s="746" t="str">
        <f>IFERROR(__xludf.DUMMYFUNCTION("""COMPUTED_VALUE"""),"Doxycycline &amp; Ivermectin")</f>
        <v>Doxycycline &amp; Ivermectin</v>
      </c>
      <c r="G56" s="746" t="str">
        <f>IFERROR(__xludf.DUMMYFUNCTION("""COMPUTED_VALUE"""),"200 mg/kg  + .150 mg/kg ")</f>
        <v>200 mg/kg  + .150 mg/kg </v>
      </c>
      <c r="H56" s="746">
        <f>IFERROR(__xludf.DUMMYFUNCTION("""COMPUTED_VALUE"""),42.0)</f>
        <v>42</v>
      </c>
      <c r="I56" s="749">
        <f>IFERROR(__xludf.DUMMYFUNCTION("""COMPUTED_VALUE"""),1.0)</f>
        <v>1</v>
      </c>
      <c r="J56" s="749">
        <f>IFERROR(__xludf.DUMMYFUNCTION("""COMPUTED_VALUE"""),1.0)</f>
        <v>1</v>
      </c>
      <c r="K56" s="730" t="str">
        <f>IFERROR(__xludf.DUMMYFUNCTION("""COMPUTED_VALUE"""),"not available")</f>
        <v>not available</v>
      </c>
      <c r="L56" s="746">
        <f>IFERROR(__xludf.DUMMYFUNCTION("""COMPUTED_VALUE"""),23.0)</f>
        <v>23</v>
      </c>
      <c r="M56" s="750" t="str">
        <f>IFERROR(__xludf.DUMMYFUNCTION("""COMPUTED_VALUE"""),"18-55")</f>
        <v>18-55</v>
      </c>
      <c r="N56" s="766">
        <f>IFERROR(__xludf.DUMMYFUNCTION("""COMPUTED_VALUE"""),0.2263888888888889)</f>
        <v>0.2263888889</v>
      </c>
      <c r="O56" s="746" t="str">
        <f>IFERROR(__xludf.DUMMYFUNCTION("""COMPUTED_VALUE"""),"A minimum microfilaremia of 40 mf/ml, normal hepatic and renal profiles (alanine aminotransferase &lt; 30 U/l; c-glutamyl-transpeptidase &gt;28 U/l; creatinine &lt; 1.2 mg/ 100 ml) measured by dip-stick chemistry (Reflotron, Roche Diag-nostics, Mannheim, Germany),"&amp;" body weight &gt; 40 kg, no alcohol or drug abuse, no chronic medication, no pregnancy or breast feeding in females, and must have the mental ability to understand the explanations of the study design.")</f>
        <v>A minimum microfilaremia of 40 mf/ml, normal hepatic and renal profiles (alanine aminotransferase &lt; 30 U/l; c-glutamyl-transpeptidase &gt;28 U/l; creatinine &lt; 1.2 mg/ 100 ml) measured by dip-stick chemistry (Reflotron, Roche Diag-nostics, Mannheim, Germany), body weight &gt; 40 kg, no alcohol or drug abuse, no chronic medication, no pregnancy or breast feeding in females, and must have the mental ability to understand the explanations of the study design.</v>
      </c>
      <c r="P56" s="751" t="str">
        <f>IFERROR(__xludf.DUMMYFUNCTION("""COMPUTED_VALUE"""),"4 test groups including control, subjects assigned to group sequentially (see note)")</f>
        <v>4 test groups including control, subjects assigned to group sequentially (see note)</v>
      </c>
      <c r="Q56" s="718" t="str">
        <f>IFERROR(__xludf.DUMMYFUNCTION("""COMPUTED_VALUE"""),"No")</f>
        <v>No</v>
      </c>
      <c r="R56" s="718" t="str">
        <f>IFERROR(__xludf.DUMMYFUNCTION("""COMPUTED_VALUE"""),"No")</f>
        <v>No</v>
      </c>
      <c r="S56" s="746" t="str">
        <f>IFERROR(__xludf.DUMMYFUNCTION("""COMPUTED_VALUE"""),"13 months")</f>
        <v>13 months</v>
      </c>
      <c r="T56" s="746" t="str">
        <f>IFERROR(__xludf.DUMMYFUNCTION("""COMPUTED_VALUE"""),"Doxycycline is effective in depleting Wolbachia from W. bancrofti.")</f>
        <v>Doxycycline is effective in depleting Wolbachia from W. bancrofti.</v>
      </c>
      <c r="U56" s="746" t="str">
        <f>IFERROR(__xludf.DUMMYFUNCTION("""COMPUTED_VALUE"""),"The ratio of Female to Male has been entered on the basis of the whole population invovlved in the study. The researcher did not provide with a specific ratio of sex in each group. randomization and blinding were not acceptable to village elders (as in [4"&amp;"]), three villages received regimen (1) and (4), and the other three received regimen (2) and (3), whereby in each village patients were sequentially assigned to either groups 1 and 4 or 2 and 3, respectively.")</f>
        <v>The ratio of Female to Male has been entered on the basis of the whole population invovlved in the study. The researcher did not provide with a specific ratio of sex in each group. randomization and blinding were not acceptable to village elders (as in [4]), three villages received regimen (1) and (4), and the other three received regimen (2) and (3), whereby in each village patients were sequentially assigned to either groups 1 and 4 or 2 and 3, respectively.</v>
      </c>
      <c r="V56" s="752">
        <f>IFERROR(__xludf.DUMMYFUNCTION("""COMPUTED_VALUE"""),2003.0)</f>
        <v>2003</v>
      </c>
      <c r="W56" s="752">
        <f>IFERROR(__xludf.DUMMYFUNCTION("""COMPUTED_VALUE"""),2003.0)</f>
        <v>2003</v>
      </c>
      <c r="X56" s="746" t="str">
        <f>IFERROR(__xludf.DUMMYFUNCTION("""COMPUTED_VALUE"""),"Hoerauf A, Mand S, Fischer K, Kruppa T, Marfo-Debrekyei Y, Debrah AY, et al. Doxycycline as a novel strategy against bancroftian filariasis—depletion of Wolbachia endosymbionts from Wuchereria bancrofti and stop of microfilaria production. Med Microbiol I"&amp;"mmunol 2003; 192 (4): 211-216. ")</f>
        <v>Hoerauf A, Mand S, Fischer K, Kruppa T, Marfo-Debrekyei Y, Debrah AY, et al. Doxycycline as a novel strategy against bancroftian filariasis—depletion of Wolbachia endosymbionts from Wuchereria bancrofti and stop of microfilaria production. Med Microbiol Immunol 2003; 192 (4): 211-216. </v>
      </c>
      <c r="Y56" s="726" t="str">
        <f>IFERROR(__xludf.DUMMYFUNCTION("""COMPUTED_VALUE"""),"DOI 10.1007/s00430-002-0174-6")</f>
        <v>DOI 10.1007/s00430-002-0174-6</v>
      </c>
      <c r="Z56" s="727" t="str">
        <f>IFERROR(__xludf.DUMMYFUNCTION("""COMPUTED_VALUE"""),"https://drive.google.com/file/d/0B0-pry4DSOm3by04M2NKTm9sd1E/view?usp=sharing")</f>
        <v>https://drive.google.com/file/d/0B0-pry4DSOm3by04M2NKTm9sd1E/view?usp=sharing</v>
      </c>
      <c r="AA56" s="40"/>
      <c r="AB56" s="40"/>
    </row>
    <row r="57">
      <c r="A57" s="745" t="str">
        <f>IFERROR(__xludf.DUMMYFUNCTION("""COMPUTED_VALUE"""),"Hoerauf 2003")</f>
        <v>Hoerauf 2003</v>
      </c>
      <c r="B57" s="746" t="str">
        <f>IFERROR(__xludf.DUMMYFUNCTION("""COMPUTED_VALUE"""),"Kirti")</f>
        <v>Kirti</v>
      </c>
      <c r="C57" s="746" t="str">
        <f>IFERROR(__xludf.DUMMYFUNCTION("""COMPUTED_VALUE"""),"Ross")</f>
        <v>Ross</v>
      </c>
      <c r="D57" s="746" t="str">
        <f>IFERROR(__xludf.DUMMYFUNCTION("""COMPUTED_VALUE"""),"Ghana")</f>
        <v>Ghana</v>
      </c>
      <c r="E57" s="747" t="str">
        <f>IFERROR(__xludf.DUMMYFUNCTION("""COMPUTED_VALUE"""),"W. bancrofti")</f>
        <v>W. bancrofti</v>
      </c>
      <c r="F57" s="746" t="str">
        <f>IFERROR(__xludf.DUMMYFUNCTION("""COMPUTED_VALUE"""),"Ivermectin")</f>
        <v>Ivermectin</v>
      </c>
      <c r="G57" s="732" t="str">
        <f>IFERROR(__xludf.DUMMYFUNCTION("""COMPUTED_VALUE"""),".150 mg/kg ")</f>
        <v>.150 mg/kg </v>
      </c>
      <c r="H57" s="732">
        <f>IFERROR(__xludf.DUMMYFUNCTION("""COMPUTED_VALUE"""),1.0)</f>
        <v>1</v>
      </c>
      <c r="I57" s="749">
        <f>IFERROR(__xludf.DUMMYFUNCTION("""COMPUTED_VALUE"""),0.91)</f>
        <v>0.91</v>
      </c>
      <c r="J57" s="749">
        <f>IFERROR(__xludf.DUMMYFUNCTION("""COMPUTED_VALUE"""),0.222)</f>
        <v>0.222</v>
      </c>
      <c r="K57" s="730" t="str">
        <f>IFERROR(__xludf.DUMMYFUNCTION("""COMPUTED_VALUE"""),"not available")</f>
        <v>not available</v>
      </c>
      <c r="L57" s="746">
        <f>IFERROR(__xludf.DUMMYFUNCTION("""COMPUTED_VALUE"""),9.0)</f>
        <v>9</v>
      </c>
      <c r="M57" s="750" t="str">
        <f>IFERROR(__xludf.DUMMYFUNCTION("""COMPUTED_VALUE"""),"18-55")</f>
        <v>18-55</v>
      </c>
      <c r="N57" s="766">
        <f>IFERROR(__xludf.DUMMYFUNCTION("""COMPUTED_VALUE"""),0.2263888888888889)</f>
        <v>0.2263888889</v>
      </c>
      <c r="O57" s="746" t="str">
        <f>IFERROR(__xludf.DUMMYFUNCTION("""COMPUTED_VALUE"""),"A minimum microfilaremia of 40 mf/ml, normal hepatic and renal profiles (alanine aminotransferase &lt; 30 U/l; c-glutamyl-transpeptidase &gt;28 U/l; creatinine &lt; 1.2 mg/ 100 ml) measured by dip-stick chemistry (Reflotron, Roche Diag-nostics, Mannheim, Germany),"&amp;" body weight &gt; 40 kg, no alcohol or drug abuse, no chronic medication, no pregnancy or breast feeding in females, and must have the mental ability to understand the explanations of the study design.")</f>
        <v>A minimum microfilaremia of 40 mf/ml, normal hepatic and renal profiles (alanine aminotransferase &lt; 30 U/l; c-glutamyl-transpeptidase &gt;28 U/l; creatinine &lt; 1.2 mg/ 100 ml) measured by dip-stick chemistry (Reflotron, Roche Diag-nostics, Mannheim, Germany), body weight &gt; 40 kg, no alcohol or drug abuse, no chronic medication, no pregnancy or breast feeding in females, and must have the mental ability to understand the explanations of the study design.</v>
      </c>
      <c r="P57" s="751" t="str">
        <f>IFERROR(__xludf.DUMMYFUNCTION("""COMPUTED_VALUE"""),"4 test groups including control, subjects assigned to group sequentially (see note)")</f>
        <v>4 test groups including control, subjects assigned to group sequentially (see note)</v>
      </c>
      <c r="Q57" s="718" t="str">
        <f>IFERROR(__xludf.DUMMYFUNCTION("""COMPUTED_VALUE"""),"No")</f>
        <v>No</v>
      </c>
      <c r="R57" s="718" t="str">
        <f>IFERROR(__xludf.DUMMYFUNCTION("""COMPUTED_VALUE"""),"No")</f>
        <v>No</v>
      </c>
      <c r="S57" s="746" t="str">
        <f>IFERROR(__xludf.DUMMYFUNCTION("""COMPUTED_VALUE"""),"14 months")</f>
        <v>14 months</v>
      </c>
      <c r="T57" s="746" t="str">
        <f>IFERROR(__xludf.DUMMYFUNCTION("""COMPUTED_VALUE"""),"Doxycycline is effective in depleting Wolbachia from W. bancrofti.")</f>
        <v>Doxycycline is effective in depleting Wolbachia from W. bancrofti.</v>
      </c>
      <c r="U57" s="746" t="str">
        <f>IFERROR(__xludf.DUMMYFUNCTION("""COMPUTED_VALUE"""),"The ratio of Female to Male has been entered on the basis of the whole population invovlved in the study. The researcher did not provide with a specific ratio of sex in each group. randomization and blinding were not acceptable to village elders (as in [4"&amp;"]), three villages received regimen (1) and (4), and the other three received regimen (2) and (3), whereby in each village patients were sequentially assigned to either groups 1 and 4 or 2 and 3, respectively.")</f>
        <v>The ratio of Female to Male has been entered on the basis of the whole population invovlved in the study. The researcher did not provide with a specific ratio of sex in each group. randomization and blinding were not acceptable to village elders (as in [4]), three villages received regimen (1) and (4), and the other three received regimen (2) and (3), whereby in each village patients were sequentially assigned to either groups 1 and 4 or 2 and 3, respectively.</v>
      </c>
      <c r="V57" s="752">
        <f>IFERROR(__xludf.DUMMYFUNCTION("""COMPUTED_VALUE"""),2003.0)</f>
        <v>2003</v>
      </c>
      <c r="W57" s="752">
        <f>IFERROR(__xludf.DUMMYFUNCTION("""COMPUTED_VALUE"""),2003.0)</f>
        <v>2003</v>
      </c>
      <c r="X57" s="746" t="str">
        <f>IFERROR(__xludf.DUMMYFUNCTION("""COMPUTED_VALUE"""),"Hoerauf A, Mand S, Fischer K, Kruppa T, Marfo-Debrekyei Y, Debrah AY, et al. Doxycycline as a novel strategy against bancroftian filariasis—depletion of Wolbachia endosymbionts from Wuchereria bancrofti and stop of microfilaria production. Med Microbiol I"&amp;"mmunol 2003; 192 (4): 211-216. ")</f>
        <v>Hoerauf A, Mand S, Fischer K, Kruppa T, Marfo-Debrekyei Y, Debrah AY, et al. Doxycycline as a novel strategy against bancroftian filariasis—depletion of Wolbachia endosymbionts from Wuchereria bancrofti and stop of microfilaria production. Med Microbiol Immunol 2003; 192 (4): 211-216. </v>
      </c>
      <c r="Y57" s="726" t="str">
        <f>IFERROR(__xludf.DUMMYFUNCTION("""COMPUTED_VALUE"""),"DOI 10.1007/s00430-002-0174-6")</f>
        <v>DOI 10.1007/s00430-002-0174-6</v>
      </c>
      <c r="Z57" s="727" t="str">
        <f>IFERROR(__xludf.DUMMYFUNCTION("""COMPUTED_VALUE"""),"https://drive.google.com/file/d/0B0-pry4DSOm3by04M2NKTm9sd1E/view?usp=sharing")</f>
        <v>https://drive.google.com/file/d/0B0-pry4DSOm3by04M2NKTm9sd1E/view?usp=sharing</v>
      </c>
      <c r="AA57" s="40"/>
      <c r="AB57" s="40"/>
    </row>
    <row r="58">
      <c r="A58" s="745" t="str">
        <f>IFERROR(__xludf.DUMMYFUNCTION("""COMPUTED_VALUE"""),"Hoerauf 2003")</f>
        <v>Hoerauf 2003</v>
      </c>
      <c r="B58" s="746" t="str">
        <f>IFERROR(__xludf.DUMMYFUNCTION("""COMPUTED_VALUE"""),"Kirti")</f>
        <v>Kirti</v>
      </c>
      <c r="C58" s="746" t="str">
        <f>IFERROR(__xludf.DUMMYFUNCTION("""COMPUTED_VALUE"""),"Ross")</f>
        <v>Ross</v>
      </c>
      <c r="D58" s="746" t="str">
        <f>IFERROR(__xludf.DUMMYFUNCTION("""COMPUTED_VALUE"""),"Ghana")</f>
        <v>Ghana</v>
      </c>
      <c r="E58" s="747" t="str">
        <f>IFERROR(__xludf.DUMMYFUNCTION("""COMPUTED_VALUE"""),"W. bancrofti")</f>
        <v>W. bancrofti</v>
      </c>
      <c r="F58" s="753" t="str">
        <f>IFERROR(__xludf.DUMMYFUNCTION("""COMPUTED_VALUE"""),"Placebo")</f>
        <v>Placebo</v>
      </c>
      <c r="G58" s="753" t="str">
        <f>IFERROR(__xludf.DUMMYFUNCTION("""COMPUTED_VALUE"""),"-")</f>
        <v>-</v>
      </c>
      <c r="H58" s="746">
        <f>IFERROR(__xludf.DUMMYFUNCTION("""COMPUTED_VALUE"""),42.0)</f>
        <v>42</v>
      </c>
      <c r="I58" s="749">
        <f>IFERROR(__xludf.DUMMYFUNCTION("""COMPUTED_VALUE"""),-0.08)</f>
        <v>-0.08</v>
      </c>
      <c r="J58" s="749">
        <f>IFERROR(__xludf.DUMMYFUNCTION("""COMPUTED_VALUE"""),0.0)</f>
        <v>0</v>
      </c>
      <c r="K58" s="730" t="str">
        <f>IFERROR(__xludf.DUMMYFUNCTION("""COMPUTED_VALUE"""),"not available")</f>
        <v>not available</v>
      </c>
      <c r="L58" s="746">
        <f>IFERROR(__xludf.DUMMYFUNCTION("""COMPUTED_VALUE"""),19.0)</f>
        <v>19</v>
      </c>
      <c r="M58" s="750" t="str">
        <f>IFERROR(__xludf.DUMMYFUNCTION("""COMPUTED_VALUE"""),"18-55")</f>
        <v>18-55</v>
      </c>
      <c r="N58" s="766">
        <f>IFERROR(__xludf.DUMMYFUNCTION("""COMPUTED_VALUE"""),0.2263888888888889)</f>
        <v>0.2263888889</v>
      </c>
      <c r="O58" s="746" t="str">
        <f>IFERROR(__xludf.DUMMYFUNCTION("""COMPUTED_VALUE"""),"A minimum microfilaremia of 40 mf/ml, normal hepatic and renal profiles (alanine aminotransferase &lt; 30 U/l; c-glutamyl-transpeptidase &gt;28 U/l; creatinine &lt; 1.2 mg/ 100 ml) measured by dip-stick chemistry (Reflotron, Roche Diag-nostics, Mannheim, Germany),"&amp;" body weight &gt; 40 kg, no alcohol or drug abuse, no chronic medication, no pregnancy or breast feeding in females, and must have the mental ability to understand the explanations of the study design.")</f>
        <v>A minimum microfilaremia of 40 mf/ml, normal hepatic and renal profiles (alanine aminotransferase &lt; 30 U/l; c-glutamyl-transpeptidase &gt;28 U/l; creatinine &lt; 1.2 mg/ 100 ml) measured by dip-stick chemistry (Reflotron, Roche Diag-nostics, Mannheim, Germany), body weight &gt; 40 kg, no alcohol or drug abuse, no chronic medication, no pregnancy or breast feeding in females, and must have the mental ability to understand the explanations of the study design.</v>
      </c>
      <c r="P58" s="751" t="str">
        <f>IFERROR(__xludf.DUMMYFUNCTION("""COMPUTED_VALUE"""),"4 test groups including control, subjects assigned to group sequentially (see note)")</f>
        <v>4 test groups including control, subjects assigned to group sequentially (see note)</v>
      </c>
      <c r="Q58" s="718" t="str">
        <f>IFERROR(__xludf.DUMMYFUNCTION("""COMPUTED_VALUE"""),"No")</f>
        <v>No</v>
      </c>
      <c r="R58" s="718" t="str">
        <f>IFERROR(__xludf.DUMMYFUNCTION("""COMPUTED_VALUE"""),"No")</f>
        <v>No</v>
      </c>
      <c r="S58" s="746" t="str">
        <f>IFERROR(__xludf.DUMMYFUNCTION("""COMPUTED_VALUE"""),"15 months")</f>
        <v>15 months</v>
      </c>
      <c r="T58" s="746" t="str">
        <f>IFERROR(__xludf.DUMMYFUNCTION("""COMPUTED_VALUE"""),"Doxycycline is effective in depleting Wolbachia from W. bancrofti.")</f>
        <v>Doxycycline is effective in depleting Wolbachia from W. bancrofti.</v>
      </c>
      <c r="U58" s="746" t="str">
        <f>IFERROR(__xludf.DUMMYFUNCTION("""COMPUTED_VALUE"""),"The ratio of Female to Male has been entered on the basis of the whole population invovlved in the study. The researcher did not provide with a specific ratio of sex in each group. randomization and blinding were not acceptable to village elders (as in [4"&amp;"]), three villages received regimen (1) and (4), and the other three received regimen (2) and (3), whereby in each village patients were sequentially assigned to either groups 1 and 4 or 2 and 3, respectively.")</f>
        <v>The ratio of Female to Male has been entered on the basis of the whole population invovlved in the study. The researcher did not provide with a specific ratio of sex in each group. randomization and blinding were not acceptable to village elders (as in [4]), three villages received regimen (1) and (4), and the other three received regimen (2) and (3), whereby in each village patients were sequentially assigned to either groups 1 and 4 or 2 and 3, respectively.</v>
      </c>
      <c r="V58" s="752">
        <f>IFERROR(__xludf.DUMMYFUNCTION("""COMPUTED_VALUE"""),2003.0)</f>
        <v>2003</v>
      </c>
      <c r="W58" s="752">
        <f>IFERROR(__xludf.DUMMYFUNCTION("""COMPUTED_VALUE"""),2003.0)</f>
        <v>2003</v>
      </c>
      <c r="X58" s="746" t="str">
        <f>IFERROR(__xludf.DUMMYFUNCTION("""COMPUTED_VALUE"""),"Hoerauf A, Mand S, Fischer K, Kruppa T, Marfo-Debrekyei Y, Debrah AY, et al. Doxycycline as a novel strategy against bancroftian filariasis—depletion of Wolbachia endosymbionts from Wuchereria bancrofti and stop of microfilaria production. Med Microbiol I"&amp;"mmunol 2003; 192 (4): 211-216. ")</f>
        <v>Hoerauf A, Mand S, Fischer K, Kruppa T, Marfo-Debrekyei Y, Debrah AY, et al. Doxycycline as a novel strategy against bancroftian filariasis—depletion of Wolbachia endosymbionts from Wuchereria bancrofti and stop of microfilaria production. Med Microbiol Immunol 2003; 192 (4): 211-216. </v>
      </c>
      <c r="Y58" s="726" t="str">
        <f>IFERROR(__xludf.DUMMYFUNCTION("""COMPUTED_VALUE"""),"DOI 10.1007/s00430-002-0174-6")</f>
        <v>DOI 10.1007/s00430-002-0174-6</v>
      </c>
      <c r="Z58" s="727" t="str">
        <f>IFERROR(__xludf.DUMMYFUNCTION("""COMPUTED_VALUE"""),"https://drive.google.com/file/d/0B0-pry4DSOm3by04M2NKTm9sd1E/view?usp=sharing")</f>
        <v>https://drive.google.com/file/d/0B0-pry4DSOm3by04M2NKTm9sd1E/view?usp=sharing</v>
      </c>
      <c r="AA58" s="40"/>
      <c r="AB58" s="40"/>
    </row>
    <row r="59">
      <c r="A59" s="745" t="str">
        <f>IFERROR(__xludf.DUMMYFUNCTION("""COMPUTED_VALUE"""),"Hoti, 2010")</f>
        <v>Hoti, 2010</v>
      </c>
      <c r="B59" s="746" t="str">
        <f>IFERROR(__xludf.DUMMYFUNCTION("""COMPUTED_VALUE"""),"Alex")</f>
        <v>Alex</v>
      </c>
      <c r="C59" s="746" t="str">
        <f>IFERROR(__xludf.DUMMYFUNCTION("""COMPUTED_VALUE"""),"Ross")</f>
        <v>Ross</v>
      </c>
      <c r="D59" s="746" t="str">
        <f>IFERROR(__xludf.DUMMYFUNCTION("""COMPUTED_VALUE"""),"India")</f>
        <v>India</v>
      </c>
      <c r="E59" s="747" t="str">
        <f>IFERROR(__xludf.DUMMYFUNCTION("""COMPUTED_VALUE"""),"w. bancrofti")</f>
        <v>w. bancrofti</v>
      </c>
      <c r="F59" s="761" t="str">
        <f>IFERROR(__xludf.DUMMYFUNCTION("""COMPUTED_VALUE"""),"DEC")</f>
        <v>DEC</v>
      </c>
      <c r="G59" s="753" t="str">
        <f>IFERROR(__xludf.DUMMYFUNCTION("""COMPUTED_VALUE"""),"6mg/kg")</f>
        <v>6mg/kg</v>
      </c>
      <c r="H59" s="746">
        <f>IFERROR(__xludf.DUMMYFUNCTION("""COMPUTED_VALUE"""),1.0)</f>
        <v>1</v>
      </c>
      <c r="I59" s="749">
        <f>IFERROR(__xludf.DUMMYFUNCTION("""COMPUTED_VALUE"""),0.176)</f>
        <v>0.176</v>
      </c>
      <c r="J59" s="741"/>
      <c r="K59" s="718" t="str">
        <f>IFERROR(__xludf.DUMMYFUNCTION("""COMPUTED_VALUE"""),"Not available")</f>
        <v>Not available</v>
      </c>
      <c r="L59" s="746">
        <f>IFERROR(__xludf.DUMMYFUNCTION("""COMPUTED_VALUE"""),17.0)</f>
        <v>17</v>
      </c>
      <c r="M59" s="750" t="str">
        <f>IFERROR(__xludf.DUMMYFUNCTION("""COMPUTED_VALUE"""),"10-57")</f>
        <v>10-57</v>
      </c>
      <c r="N59" s="758" t="str">
        <f>IFERROR(__xludf.DUMMYFUNCTION("""COMPUTED_VALUE"""),"10: 7")</f>
        <v>10: 7</v>
      </c>
      <c r="O59" s="732" t="str">
        <f>IFERROR(__xludf.DUMMYFUNCTION("""COMPUTED_VALUE"""),"symptomatic volunteers were screened for microfilaria (mf) by examining nocturnal thick blood smears. Those testing positive were randomly assigned to receive a single dose of DEC (6 mg/kg body weight) or albendazole 400 mg or both")</f>
        <v>symptomatic volunteers were screened for microfilaria (mf) by examining nocturnal thick blood smears. Those testing positive were randomly assigned to receive a single dose of DEC (6 mg/kg body weight) or albendazole 400 mg or both</v>
      </c>
      <c r="P59" s="723" t="str">
        <f>IFERROR(__xludf.DUMMYFUNCTION("""COMPUTED_VALUE"""),"blinded, randomised treatment groups")</f>
        <v>blinded, randomised treatment groups</v>
      </c>
      <c r="Q59" s="718" t="str">
        <f>IFERROR(__xludf.DUMMYFUNCTION("""COMPUTED_VALUE"""),"Yes")</f>
        <v>Yes</v>
      </c>
      <c r="R59" s="718" t="str">
        <f>IFERROR(__xludf.DUMMYFUNCTION("""COMPUTED_VALUE"""),"Yes")</f>
        <v>Yes</v>
      </c>
      <c r="S59" s="746" t="str">
        <f>IFERROR(__xludf.DUMMYFUNCTION("""COMPUTED_VALUE""")," 1 year, 2 years")</f>
        <v> 1 year, 2 years</v>
      </c>
      <c r="T59" s="40"/>
      <c r="U59" s="40"/>
      <c r="V59" s="752">
        <f>IFERROR(__xludf.DUMMYFUNCTION("""COMPUTED_VALUE"""),2010.0)</f>
        <v>2010</v>
      </c>
      <c r="W59" s="769">
        <f>IFERROR(__xludf.DUMMYFUNCTION("""COMPUTED_VALUE"""),2010.0)</f>
        <v>2010</v>
      </c>
      <c r="X59" s="40" t="str">
        <f>IFERROR(__xludf.DUMMYFUNCTION("""COMPUTED_VALUE"""),"Hoti, SL, SP Pani, P. Vanamail, Mary Athisaya, LK Das, and PK Das. ""Effect of a Single Dose of Diethylcarbamazine, Albendazole or Both on the Clearance of Wuchereria Bancrofti Microfilariae and Antigenaemia among Microfilaria Carriers: A Randomized Trial"&amp;"."" The National Medical Journal of India 23, no. 2 (2010): 72-76.")</f>
        <v>Hoti, SL, SP Pani, P. Vanamail, Mary Athisaya, LK Das, and PK Das. "Effect of a Single Dose of Diethylcarbamazine, Albendazole or Both on the Clearance of Wuchereria Bancrofti Microfilariae and Antigenaemia among Microfilaria Carriers: A Randomized Trial." The National Medical Journal of India 23, no. 2 (2010): 72-76.</v>
      </c>
      <c r="Y59" s="726"/>
      <c r="Z59" s="727" t="str">
        <f>IFERROR(__xludf.DUMMYFUNCTION("""COMPUTED_VALUE"""),"https://drive.google.com/file/d/0B-yoIBO7tf7FLXNjbjVaa0NyeVU/view?usp=sharing")</f>
        <v>https://drive.google.com/file/d/0B-yoIBO7tf7FLXNjbjVaa0NyeVU/view?usp=sharing</v>
      </c>
      <c r="AA59" s="40"/>
      <c r="AB59" s="40"/>
    </row>
    <row r="60">
      <c r="A60" s="717" t="str">
        <f>IFERROR(__xludf.DUMMYFUNCTION("""COMPUTED_VALUE"""),"Hoti, 2010")</f>
        <v>Hoti, 2010</v>
      </c>
      <c r="B60" s="718" t="str">
        <f>IFERROR(__xludf.DUMMYFUNCTION("""COMPUTED_VALUE"""),"Alex")</f>
        <v>Alex</v>
      </c>
      <c r="C60" s="746" t="str">
        <f>IFERROR(__xludf.DUMMYFUNCTION("""COMPUTED_VALUE"""),"Ross")</f>
        <v>Ross</v>
      </c>
      <c r="D60" s="718" t="str">
        <f>IFERROR(__xludf.DUMMYFUNCTION("""COMPUTED_VALUE"""),"India")</f>
        <v>India</v>
      </c>
      <c r="E60" s="719" t="str">
        <f>IFERROR(__xludf.DUMMYFUNCTION("""COMPUTED_VALUE"""),"w. bancrofti")</f>
        <v>w. bancrofti</v>
      </c>
      <c r="F60" s="761" t="str">
        <f>IFERROR(__xludf.DUMMYFUNCTION("""COMPUTED_VALUE"""),"Albendazole")</f>
        <v>Albendazole</v>
      </c>
      <c r="G60" s="761" t="str">
        <f>IFERROR(__xludf.DUMMYFUNCTION("""COMPUTED_VALUE"""),"400mg")</f>
        <v>400mg</v>
      </c>
      <c r="H60" s="718">
        <f>IFERROR(__xludf.DUMMYFUNCTION("""COMPUTED_VALUE"""),1.0)</f>
        <v>1</v>
      </c>
      <c r="I60" s="720">
        <f>IFERROR(__xludf.DUMMYFUNCTION("""COMPUTED_VALUE"""),0.263)</f>
        <v>0.263</v>
      </c>
      <c r="J60" s="741"/>
      <c r="K60" s="718" t="str">
        <f>IFERROR(__xludf.DUMMYFUNCTION("""COMPUTED_VALUE"""),"Not available")</f>
        <v>Not available</v>
      </c>
      <c r="L60" s="770">
        <f>IFERROR(__xludf.DUMMYFUNCTION("""COMPUTED_VALUE"""),19.0)</f>
        <v>19</v>
      </c>
      <c r="M60" s="721" t="str">
        <f>IFERROR(__xludf.DUMMYFUNCTION("""COMPUTED_VALUE"""),"10-57")</f>
        <v>10-57</v>
      </c>
      <c r="N60" s="722" t="str">
        <f>IFERROR(__xludf.DUMMYFUNCTION("""COMPUTED_VALUE"""),"10: 9")</f>
        <v>10: 9</v>
      </c>
      <c r="O60" s="732" t="str">
        <f>IFERROR(__xludf.DUMMYFUNCTION("""COMPUTED_VALUE"""),"symptomatic volunteers were screened for microfilaria (mf) by examining nocturnal thick blood smears. Those testing positive were randomly assigned to receive a single dose of DEC (6 mg/kg body weight) or albendazole 400 mg or both")</f>
        <v>symptomatic volunteers were screened for microfilaria (mf) by examining nocturnal thick blood smears. Those testing positive were randomly assigned to receive a single dose of DEC (6 mg/kg body weight) or albendazole 400 mg or both</v>
      </c>
      <c r="P60" s="723" t="str">
        <f>IFERROR(__xludf.DUMMYFUNCTION("""COMPUTED_VALUE"""),"blinded, randomised treatment groups")</f>
        <v>blinded, randomised treatment groups</v>
      </c>
      <c r="Q60" s="718" t="str">
        <f>IFERROR(__xludf.DUMMYFUNCTION("""COMPUTED_VALUE"""),"Yes")</f>
        <v>Yes</v>
      </c>
      <c r="R60" s="718" t="str">
        <f>IFERROR(__xludf.DUMMYFUNCTION("""COMPUTED_VALUE"""),"Yes")</f>
        <v>Yes</v>
      </c>
      <c r="S60" s="746" t="str">
        <f>IFERROR(__xludf.DUMMYFUNCTION("""COMPUTED_VALUE"""),"1 year,  2 years")</f>
        <v>1 year,  2 years</v>
      </c>
      <c r="T60" s="40"/>
      <c r="U60" s="40"/>
      <c r="V60" s="724">
        <f>IFERROR(__xludf.DUMMYFUNCTION("""COMPUTED_VALUE"""),2010.0)</f>
        <v>2010</v>
      </c>
      <c r="W60" s="769">
        <f>IFERROR(__xludf.DUMMYFUNCTION("""COMPUTED_VALUE"""),2010.0)</f>
        <v>2010</v>
      </c>
      <c r="X60" s="40" t="str">
        <f>IFERROR(__xludf.DUMMYFUNCTION("""COMPUTED_VALUE"""),"Hoti, SL, SP Pani, P. Vanamail, Mary Athisaya, LK Das, and PK Das. ""Effect of a Single Dose of Diethylcarbamazine, Albendazole or Both on the Clearance of Wuchereria Bancrofti Microfilariae and Antigenaemia among Microfilaria Carriers: A Randomized Trial"&amp;"."" The National Medical Journal of India 23, no. 2 (2010): 72-76.")</f>
        <v>Hoti, SL, SP Pani, P. Vanamail, Mary Athisaya, LK Das, and PK Das. "Effect of a Single Dose of Diethylcarbamazine, Albendazole or Both on the Clearance of Wuchereria Bancrofti Microfilariae and Antigenaemia among Microfilaria Carriers: A Randomized Trial." The National Medical Journal of India 23, no. 2 (2010): 72-76.</v>
      </c>
      <c r="Y60" s="726"/>
      <c r="Z60" s="727" t="str">
        <f>IFERROR(__xludf.DUMMYFUNCTION("""COMPUTED_VALUE"""),"https://drive.google.com/file/d/0B-yoIBO7tf7FLXNjbjVaa0NyeVU/view?usp=sharing")</f>
        <v>https://drive.google.com/file/d/0B-yoIBO7tf7FLXNjbjVaa0NyeVU/view?usp=sharing</v>
      </c>
      <c r="AA60" s="40"/>
      <c r="AB60" s="40"/>
    </row>
    <row r="61">
      <c r="A61" s="717" t="str">
        <f>IFERROR(__xludf.DUMMYFUNCTION("""COMPUTED_VALUE"""),"Fox LM, 2005")</f>
        <v>Fox LM, 2005</v>
      </c>
      <c r="B61" s="718"/>
      <c r="C61" s="746" t="str">
        <f>IFERROR(__xludf.DUMMYFUNCTION("""COMPUTED_VALUE"""),"Alex")</f>
        <v>Alex</v>
      </c>
      <c r="D61" s="718" t="str">
        <f>IFERROR(__xludf.DUMMYFUNCTION("""COMPUTED_VALUE"""),"Haiti")</f>
        <v>Haiti</v>
      </c>
      <c r="E61" s="719" t="str">
        <f>IFERROR(__xludf.DUMMYFUNCTION("""COMPUTED_VALUE"""),"W. bancrofti")</f>
        <v>W. bancrofti</v>
      </c>
      <c r="F61" s="761" t="str">
        <f>IFERROR(__xludf.DUMMYFUNCTION("""COMPUTED_VALUE"""),"Albendazole &amp; DEC")</f>
        <v>Albendazole &amp; DEC</v>
      </c>
      <c r="G61" s="755" t="str">
        <f>IFERROR(__xludf.DUMMYFUNCTION("""COMPUTED_VALUE"""),"400 mg + 6mg/kg")</f>
        <v>400 mg + 6mg/kg</v>
      </c>
      <c r="H61" s="740">
        <f>IFERROR(__xludf.DUMMYFUNCTION("""COMPUTED_VALUE"""),1.0)</f>
        <v>1</v>
      </c>
      <c r="I61" s="720">
        <f>IFERROR(__xludf.DUMMYFUNCTION("""COMPUTED_VALUE"""),0.804)</f>
        <v>0.804</v>
      </c>
      <c r="J61" s="741">
        <f>IFERROR(__xludf.DUMMYFUNCTION("""COMPUTED_VALUE"""),0.114)</f>
        <v>0.114</v>
      </c>
      <c r="K61" s="718" t="str">
        <f>IFERROR(__xludf.DUMMYFUNCTION("""COMPUTED_VALUE"""),"Not available")</f>
        <v>Not available</v>
      </c>
      <c r="L61" s="770">
        <f>IFERROR(__xludf.DUMMYFUNCTION("""COMPUTED_VALUE"""),245.0)</f>
        <v>245</v>
      </c>
      <c r="M61" s="721" t="str">
        <f>IFERROR(__xludf.DUMMYFUNCTION("""COMPUTED_VALUE"""),"5- 11")</f>
        <v>5- 11</v>
      </c>
      <c r="N61" s="744" t="str">
        <f>IFERROR(__xludf.DUMMYFUNCTION("""COMPUTED_VALUE"""),"1.06: 1")</f>
        <v>1.06: 1</v>
      </c>
      <c r="O61" s="732" t="str">
        <f>IFERROR(__xludf.DUMMYFUNCTION("""COMPUTED_VALUE"""),"Inclusion in final analysis group was depenedant on and age of 5 -11 years, anthropometric measurements havinf been performed before treatment and 6 months after, stool specimens collected before and 5 months after treatment, MF smears collected before an"&amp;"d 6 months after treatment, and rando assignment to a treatment group")</f>
        <v>Inclusion in final analysis group was depenedant on and age of 5 -11 years, anthropometric measurements havinf been performed before treatment and 6 months after, stool specimens collected before and 5 months after treatment, MF smears collected before and 6 months after treatment, and rando assignment to a treatment group</v>
      </c>
      <c r="P61" s="723" t="str">
        <f>IFERROR(__xludf.DUMMYFUNCTION("""COMPUTED_VALUE"""),"double-blind, RCT")</f>
        <v>double-blind, RCT</v>
      </c>
      <c r="Q61" s="718" t="str">
        <f>IFERROR(__xludf.DUMMYFUNCTION("""COMPUTED_VALUE"""),"Yes")</f>
        <v>Yes</v>
      </c>
      <c r="R61" s="718" t="str">
        <f>IFERROR(__xludf.DUMMYFUNCTION("""COMPUTED_VALUE"""),"Yes")</f>
        <v>Yes</v>
      </c>
      <c r="S61" s="746" t="str">
        <f>IFERROR(__xludf.DUMMYFUNCTION("""COMPUTED_VALUE""")," 6 months")</f>
        <v> 6 months</v>
      </c>
      <c r="T61" s="40"/>
      <c r="U61" s="40"/>
      <c r="V61" s="724">
        <f>IFERROR(__xludf.DUMMYFUNCTION("""COMPUTED_VALUE"""),2005.0)</f>
        <v>2005</v>
      </c>
      <c r="W61" s="769">
        <f>IFERROR(__xludf.DUMMYFUNCTION("""COMPUTED_VALUE"""),2005.0)</f>
        <v>2005</v>
      </c>
      <c r="X61" s="40" t="str">
        <f>IFERROR(__xludf.DUMMYFUNCTION("""COMPUTED_VALUE"""),"Fox LM, Furness BW, Haser JK, et al. Tolerance and efficacy of combined diethylcarbamazine and albendazole for treatment of Wuchereria bancrofti and intestinal helminth infections in Haitian children. American Journal of Tropical Medicine and Hygiene. 200"&amp;"5;73(1):115–121.")</f>
        <v>Fox LM, Furness BW, Haser JK, et al. Tolerance and efficacy of combined diethylcarbamazine and albendazole for treatment of Wuchereria bancrofti and intestinal helminth infections in Haitian children. American Journal of Tropical Medicine and Hygiene. 2005;73(1):115–121.</v>
      </c>
      <c r="Y61" s="726"/>
      <c r="Z61" s="727" t="str">
        <f>IFERROR(__xludf.DUMMYFUNCTION("""COMPUTED_VALUE"""),"https://drive.google.com/file/d/0B95WhYooraDeSHh2b2VXSlUxdzQ/view?usp=sharing")</f>
        <v>https://drive.google.com/file/d/0B95WhYooraDeSHh2b2VXSlUxdzQ/view?usp=sharing</v>
      </c>
      <c r="AA61" s="40"/>
      <c r="AB61" s="40"/>
    </row>
    <row r="62">
      <c r="A62" s="717" t="str">
        <f>IFERROR(__xludf.DUMMYFUNCTION("""COMPUTED_VALUE"""),"Huijun Z, 1991")</f>
        <v>Huijun Z, 1991</v>
      </c>
      <c r="B62" s="718" t="str">
        <f>IFERROR(__xludf.DUMMYFUNCTION("""COMPUTED_VALUE"""),"Ross")</f>
        <v>Ross</v>
      </c>
      <c r="C62" s="718" t="str">
        <f>IFERROR(__xludf.DUMMYFUNCTION("""COMPUTED_VALUE"""),"Ross")</f>
        <v>Ross</v>
      </c>
      <c r="D62" s="718" t="str">
        <f>IFERROR(__xludf.DUMMYFUNCTION("""COMPUTED_VALUE"""),"China")</f>
        <v>China</v>
      </c>
      <c r="E62" s="719" t="str">
        <f>IFERROR(__xludf.DUMMYFUNCTION("""COMPUTED_VALUE"""),"w. bancrofti")</f>
        <v>w. bancrofti</v>
      </c>
      <c r="F62" s="761" t="str">
        <f>IFERROR(__xludf.DUMMYFUNCTION("""COMPUTED_VALUE"""),"Ivermectin")</f>
        <v>Ivermectin</v>
      </c>
      <c r="G62" s="718" t="str">
        <f>IFERROR(__xludf.DUMMYFUNCTION("""COMPUTED_VALUE"""),".100 mg/kg")</f>
        <v>.100 mg/kg</v>
      </c>
      <c r="H62" s="718">
        <f>IFERROR(__xludf.DUMMYFUNCTION("""COMPUTED_VALUE"""),1.0)</f>
        <v>1</v>
      </c>
      <c r="I62" s="720">
        <f>IFERROR(__xludf.DUMMYFUNCTION("""COMPUTED_VALUE"""),0.78)</f>
        <v>0.78</v>
      </c>
      <c r="J62" s="216"/>
      <c r="K62" s="771">
        <f>IFERROR(__xludf.DUMMYFUNCTION("""COMPUTED_VALUE"""),0.92)</f>
        <v>0.92</v>
      </c>
      <c r="L62" s="718">
        <f>IFERROR(__xludf.DUMMYFUNCTION("""COMPUTED_VALUE"""),30.0)</f>
        <v>30</v>
      </c>
      <c r="M62" s="721" t="str">
        <f>IFERROR(__xludf.DUMMYFUNCTION("""COMPUTED_VALUE"""),"17-64")</f>
        <v>17-64</v>
      </c>
      <c r="N62" s="772" t="str">
        <f>IFERROR(__xludf.DUMMYFUNCTION("""COMPUTED_VALUE"""),"22:8")</f>
        <v>22:8</v>
      </c>
      <c r="O62" s="718" t="str">
        <f>IFERROR(__xludf.DUMMYFUNCTION("""COMPUTED_VALUE"""),"Sixty patients with bancroftian filariasis from Guizhou Province, People's Republic of China ")</f>
        <v>Sixty patients with bancroftian filariasis from Guizhou Province, People's Republic of China </v>
      </c>
      <c r="P62" s="723" t="str">
        <f>IFERROR(__xludf.DUMMYFUNCTION("""COMPUTED_VALUE"""),"double blind, randomized trial ")</f>
        <v>double blind, randomized trial </v>
      </c>
      <c r="Q62" s="718" t="str">
        <f>IFERROR(__xludf.DUMMYFUNCTION("""COMPUTED_VALUE"""),"Yes")</f>
        <v>Yes</v>
      </c>
      <c r="R62" s="718" t="str">
        <f>IFERROR(__xludf.DUMMYFUNCTION("""COMPUTED_VALUE"""),"Yes")</f>
        <v>Yes</v>
      </c>
      <c r="S62" s="718" t="str">
        <f>IFERROR(__xludf.DUMMYFUNCTION("""COMPUTED_VALUE"""),"2 years")</f>
        <v>2 years</v>
      </c>
      <c r="T62" s="730" t="str">
        <f>IFERROR(__xludf.DUMMYFUNCTION("""COMPUTED_VALUE"""),"In summary, ivermectin appears to be as effective as DEC for treatment of recurrent microfilaremia due to bancroftian filariasis. The drug can be given in a single dose, triggers fewer side effects than DEC, inhibits the development of filarial parasites "&amp;"in mosquitoes, and appears to reduce the life span and fertility of potential mos quito vectors.16-17 Thus, ivermectin should be strongly considered as an alternative to DEC for programs aimed at controlling bancroftian fila riasis based on mass chemother"&amp;"apy of infected populations.")</f>
        <v>In summary, ivermectin appears to be as effective as DEC for treatment of recurrent microfilaremia due to bancroftian filariasis. The drug can be given in a single dose, triggers fewer side effects than DEC, inhibits the development of filarial parasites in mosquitoes, and appears to reduce the life span and fertility of potential mos quito vectors.16-17 Thus, ivermectin should be strongly considered as an alternative to DEC for programs aimed at controlling bancroftian fila riasis based on mass chemotherapy of infected populations.</v>
      </c>
      <c r="U62" s="40"/>
      <c r="V62" s="724">
        <f>IFERROR(__xludf.DUMMYFUNCTION("""COMPUTED_VALUE"""),1991.0)</f>
        <v>1991</v>
      </c>
      <c r="W62" s="724">
        <f>IFERROR(__xludf.DUMMYFUNCTION("""COMPUTED_VALUE"""),1991.0)</f>
        <v>1991</v>
      </c>
      <c r="X62" s="40" t="str">
        <f>IFERROR(__xludf.DUMMYFUNCTION("""COMPUTED_VALUE"""),"Zheng HJ, Piessens WF, Tao ZH, Cheng WF, Wang SH, Cheng SZ, Ye YM, Luo LF, Chen XR, Gan GB, 1991. Efficacy of ivermectin for control of microfllaremia recurring after treatment with diethylcarbamazine. I. Clinical and parasitologic observations. Am J Trop"&amp;" Med Hyg 45:")</f>
        <v>Zheng HJ, Piessens WF, Tao ZH, Cheng WF, Wang SH, Cheng SZ, Ye YM, Luo LF, Chen XR, Gan GB, 1991. Efficacy of ivermectin for control of microfllaremia recurring after treatment with diethylcarbamazine. I. Clinical and parasitologic observations. Am J Trop Med Hyg 45:</v>
      </c>
      <c r="Y62" s="726"/>
      <c r="Z62" s="727" t="str">
        <f>IFERROR(__xludf.DUMMYFUNCTION("""COMPUTED_VALUE"""),"https://drive.google.com/file/d/0B9vYgR7NsKoYdWFaYzMweGxhSG8/view?usp=sharing")</f>
        <v>https://drive.google.com/file/d/0B9vYgR7NsKoYdWFaYzMweGxhSG8/view?usp=sharing</v>
      </c>
      <c r="AA62" s="40"/>
      <c r="AB62" s="40"/>
    </row>
    <row r="63">
      <c r="A63" s="717" t="str">
        <f>IFERROR(__xludf.DUMMYFUNCTION("""COMPUTED_VALUE"""),"Huijun Z, 1991")</f>
        <v>Huijun Z, 1991</v>
      </c>
      <c r="B63" s="718" t="str">
        <f>IFERROR(__xludf.DUMMYFUNCTION("""COMPUTED_VALUE"""),"Ross")</f>
        <v>Ross</v>
      </c>
      <c r="C63" s="718" t="str">
        <f>IFERROR(__xludf.DUMMYFUNCTION("""COMPUTED_VALUE"""),"Ross")</f>
        <v>Ross</v>
      </c>
      <c r="D63" s="718" t="str">
        <f>IFERROR(__xludf.DUMMYFUNCTION("""COMPUTED_VALUE"""),"China")</f>
        <v>China</v>
      </c>
      <c r="E63" s="719" t="str">
        <f>IFERROR(__xludf.DUMMYFUNCTION("""COMPUTED_VALUE"""),"w. bancrofti")</f>
        <v>w. bancrofti</v>
      </c>
      <c r="F63" s="718" t="str">
        <f>IFERROR(__xludf.DUMMYFUNCTION("""COMPUTED_VALUE"""),"DEC")</f>
        <v>DEC</v>
      </c>
      <c r="G63" s="718" t="str">
        <f>IFERROR(__xludf.DUMMYFUNCTION("""COMPUTED_VALUE"""),"75 mg/kg")</f>
        <v>75 mg/kg</v>
      </c>
      <c r="H63" s="718">
        <f>IFERROR(__xludf.DUMMYFUNCTION("""COMPUTED_VALUE"""),1.0)</f>
        <v>1</v>
      </c>
      <c r="I63" s="720">
        <f>IFERROR(__xludf.DUMMYFUNCTION("""COMPUTED_VALUE"""),0.81)</f>
        <v>0.81</v>
      </c>
      <c r="J63" s="216"/>
      <c r="K63" s="771">
        <f>IFERROR(__xludf.DUMMYFUNCTION("""COMPUTED_VALUE"""),0.58)</f>
        <v>0.58</v>
      </c>
      <c r="L63" s="718">
        <f>IFERROR(__xludf.DUMMYFUNCTION("""COMPUTED_VALUE"""),30.0)</f>
        <v>30</v>
      </c>
      <c r="M63" s="721" t="str">
        <f>IFERROR(__xludf.DUMMYFUNCTION("""COMPUTED_VALUE"""),"17-65")</f>
        <v>17-65</v>
      </c>
      <c r="N63" s="772" t="str">
        <f>IFERROR(__xludf.DUMMYFUNCTION("""COMPUTED_VALUE"""),"22:8")</f>
        <v>22:8</v>
      </c>
      <c r="O63" s="718" t="str">
        <f>IFERROR(__xludf.DUMMYFUNCTION("""COMPUTED_VALUE"""),"Sixty patients with bancroftian filariasis from Guizhou Province, People's Republic of China ")</f>
        <v>Sixty patients with bancroftian filariasis from Guizhou Province, People's Republic of China </v>
      </c>
      <c r="P63" s="723" t="str">
        <f>IFERROR(__xludf.DUMMYFUNCTION("""COMPUTED_VALUE"""),"double blind, randomized trial ")</f>
        <v>double blind, randomized trial </v>
      </c>
      <c r="Q63" s="718" t="str">
        <f>IFERROR(__xludf.DUMMYFUNCTION("""COMPUTED_VALUE"""),"Yes")</f>
        <v>Yes</v>
      </c>
      <c r="R63" s="718" t="str">
        <f>IFERROR(__xludf.DUMMYFUNCTION("""COMPUTED_VALUE"""),"Yes")</f>
        <v>Yes</v>
      </c>
      <c r="S63" s="718" t="str">
        <f>IFERROR(__xludf.DUMMYFUNCTION("""COMPUTED_VALUE"""),"2 years")</f>
        <v>2 years</v>
      </c>
      <c r="T63" s="730" t="str">
        <f>IFERROR(__xludf.DUMMYFUNCTION("""COMPUTED_VALUE"""),"In summary, ivermectin appears to be as effective as DEC for treatment of recurrent microfilaremia due to bancroftian filariasis. The drug can be given in a single dose, triggers fewer side effects than DEC, inhibits the development of filarial parasites "&amp;"in mosquitoes, and appears to reduce the life span and fertility of potential mos quito vectors.16-17 Thus, ivermectin should be strongly considered as an alternative to DEC for programs aimed at controlling bancroftian fila riasis based on mass chemother"&amp;"apy of infected populations.")</f>
        <v>In summary, ivermectin appears to be as effective as DEC for treatment of recurrent microfilaremia due to bancroftian filariasis. The drug can be given in a single dose, triggers fewer side effects than DEC, inhibits the development of filarial parasites in mosquitoes, and appears to reduce the life span and fertility of potential mos quito vectors.16-17 Thus, ivermectin should be strongly considered as an alternative to DEC for programs aimed at controlling bancroftian fila riasis based on mass chemotherapy of infected populations.</v>
      </c>
      <c r="U63" s="40"/>
      <c r="V63" s="724">
        <f>IFERROR(__xludf.DUMMYFUNCTION("""COMPUTED_VALUE"""),1991.0)</f>
        <v>1991</v>
      </c>
      <c r="W63" s="724">
        <f>IFERROR(__xludf.DUMMYFUNCTION("""COMPUTED_VALUE"""),1991.0)</f>
        <v>1991</v>
      </c>
      <c r="X63" s="40" t="str">
        <f>IFERROR(__xludf.DUMMYFUNCTION("""COMPUTED_VALUE"""),"Zheng HJ, Piessens WF, Tao ZH, Cheng WF, Wang SH, Cheng SZ, Ye YM, Luo LF, Chen XR, Gan GB, 1991. Efficacy of ivermectin for control of microfllaremia recurring after treatment with diethylcarbamazine. I. Clinical and parasitologic observations. Am J Trop"&amp;" Med Hyg 45:")</f>
        <v>Zheng HJ, Piessens WF, Tao ZH, Cheng WF, Wang SH, Cheng SZ, Ye YM, Luo LF, Chen XR, Gan GB, 1991. Efficacy of ivermectin for control of microfllaremia recurring after treatment with diethylcarbamazine. I. Clinical and parasitologic observations. Am J Trop Med Hyg 45:</v>
      </c>
      <c r="Y63" s="726"/>
      <c r="Z63" s="727" t="str">
        <f>IFERROR(__xludf.DUMMYFUNCTION("""COMPUTED_VALUE"""),"https://drive.google.com/file/d/0B9vYgR7NsKoYdWFaYzMweGxhSG8/view?usp=sharing")</f>
        <v>https://drive.google.com/file/d/0B9vYgR7NsKoYdWFaYzMweGxhSG8/view?usp=sharing</v>
      </c>
      <c r="AA63" s="40"/>
      <c r="AB63" s="40"/>
    </row>
    <row r="64">
      <c r="A64" s="717" t="str">
        <f>IFERROR(__xludf.DUMMYFUNCTION("""COMPUTED_VALUE"""),"Ismail MM, 1996")</f>
        <v>Ismail MM, 1996</v>
      </c>
      <c r="B64" s="40"/>
      <c r="C64" s="718" t="str">
        <f>IFERROR(__xludf.DUMMYFUNCTION("""COMPUTED_VALUE"""),"Alex ")</f>
        <v>Alex </v>
      </c>
      <c r="D64" s="718" t="str">
        <f>IFERROR(__xludf.DUMMYFUNCTION("""COMPUTED_VALUE"""),"Sri Lanka")</f>
        <v>Sri Lanka</v>
      </c>
      <c r="E64" s="719" t="str">
        <f>IFERROR(__xludf.DUMMYFUNCTION("""COMPUTED_VALUE"""),"w. bancrofti")</f>
        <v>w. bancrofti</v>
      </c>
      <c r="F64" s="718" t="str">
        <f>IFERROR(__xludf.DUMMYFUNCTION("""COMPUTED_VALUE"""),"Ivermectin")</f>
        <v>Ivermectin</v>
      </c>
      <c r="G64" s="718" t="str">
        <f>IFERROR(__xludf.DUMMYFUNCTION("""COMPUTED_VALUE""")," .02mg/kg + 12 (Day 1); .400 mg/kg (day 4 and every subsequent 2 weeks)")</f>
        <v> .02mg/kg + 12 (Day 1); .400 mg/kg (day 4 and every subsequent 2 weeks)</v>
      </c>
      <c r="H64" s="40"/>
      <c r="I64" s="741"/>
      <c r="J64" s="720">
        <f>IFERROR(__xludf.DUMMYFUNCTION("""COMPUTED_VALUE"""),0.9286)</f>
        <v>0.9286</v>
      </c>
      <c r="K64" s="718" t="str">
        <f>IFERROR(__xludf.DUMMYFUNCTION("""COMPUTED_VALUE"""),"not available")</f>
        <v>not available</v>
      </c>
      <c r="L64" s="718">
        <f>IFERROR(__xludf.DUMMYFUNCTION("""COMPUTED_VALUE"""),14.0)</f>
        <v>14</v>
      </c>
      <c r="M64" s="721" t="str">
        <f>IFERROR(__xludf.DUMMYFUNCTION("""COMPUTED_VALUE"""),"unknonwn")</f>
        <v>unknonwn</v>
      </c>
      <c r="N64" s="744" t="str">
        <f>IFERROR(__xludf.DUMMYFUNCTION("""COMPUTED_VALUE"""),"males")</f>
        <v>males</v>
      </c>
      <c r="O64" s="718" t="str">
        <f>IFERROR(__xludf.DUMMYFUNCTION("""COMPUTED_VALUE"""),"male asymptomatic microfilaraemic volunteers")</f>
        <v>male asymptomatic microfilaraemic volunteers</v>
      </c>
      <c r="P64" s="723" t="str">
        <f>IFERROR(__xludf.DUMMYFUNCTION("""COMPUTED_VALUE"""),"double blinded RCT")</f>
        <v>double blinded RCT</v>
      </c>
      <c r="Q64" s="718" t="str">
        <f>IFERROR(__xludf.DUMMYFUNCTION("""COMPUTED_VALUE"""),"Yes")</f>
        <v>Yes</v>
      </c>
      <c r="R64" s="718" t="str">
        <f>IFERROR(__xludf.DUMMYFUNCTION("""COMPUTED_VALUE"""),"Yes")</f>
        <v>Yes</v>
      </c>
      <c r="S64" s="718" t="str">
        <f>IFERROR(__xludf.DUMMYFUNCTION("""COMPUTED_VALUE"""),"129 weeks")</f>
        <v>129 weeks</v>
      </c>
      <c r="T64" s="40"/>
      <c r="U64" s="40"/>
      <c r="V64" s="724">
        <f>IFERROR(__xludf.DUMMYFUNCTION("""COMPUTED_VALUE"""),1996.0)</f>
        <v>1996</v>
      </c>
      <c r="W64" s="724">
        <f>IFERROR(__xludf.DUMMYFUNCTION("""COMPUTED_VALUE"""),1996.0)</f>
        <v>1996</v>
      </c>
      <c r="X64" s="40" t="str">
        <f>IFERROR(__xludf.DUMMYFUNCTION("""COMPUTED_VALUE"""),"M. M. Ismail, G. J. Wei, K. S. A. Jayasinghel, U. N. Premaratne, W. Abeyewickremel, H. N. Rajaratnam, M. H. Rezvi Sheriff’, C. Selvie Perera and A. S. Dissanaike.Prolonged clearance of microfilaraemia in patients with bancroftian filariasis after multiple"&amp;" high doses of ivermectin or diethylcarbamazine. TRANSACTIONS OF THE ROYAL SOCIETY OF TROPICAL MEDICINE AND HYGIENE(1996)90,684-688")</f>
        <v>M. M. Ismail, G. J. Wei, K. S. A. Jayasinghel, U. N. Premaratne, W. Abeyewickremel, H. N. Rajaratnam, M. H. Rezvi Sheriff’, C. Selvie Perera and A. S. Dissanaike.Prolonged clearance of microfilaraemia in patients with bancroftian filariasis after multiple high doses of ivermectin or diethylcarbamazine. TRANSACTIONS OF THE ROYAL SOCIETY OF TROPICAL MEDICINE AND HYGIENE(1996)90,684-688</v>
      </c>
      <c r="Y64" s="726"/>
      <c r="Z64" s="727" t="str">
        <f>IFERROR(__xludf.DUMMYFUNCTION("""COMPUTED_VALUE"""),"https://drive.google.com/file/d/0B4sJPAkX0Jo3R0hyRzBTTUVjMjQ/view?usp=sharing")</f>
        <v>https://drive.google.com/file/d/0B4sJPAkX0Jo3R0hyRzBTTUVjMjQ/view?usp=sharing</v>
      </c>
      <c r="AA64" s="40"/>
      <c r="AB64" s="40"/>
    </row>
    <row r="65">
      <c r="A65" s="717" t="str">
        <f>IFERROR(__xludf.DUMMYFUNCTION("""COMPUTED_VALUE"""),"Ismail MM, 1996")</f>
        <v>Ismail MM, 1996</v>
      </c>
      <c r="B65" s="40"/>
      <c r="C65" s="718" t="str">
        <f>IFERROR(__xludf.DUMMYFUNCTION("""COMPUTED_VALUE"""),"Alex ")</f>
        <v>Alex </v>
      </c>
      <c r="D65" s="718" t="str">
        <f>IFERROR(__xludf.DUMMYFUNCTION("""COMPUTED_VALUE"""),"Sri Lanka")</f>
        <v>Sri Lanka</v>
      </c>
      <c r="E65" s="719" t="str">
        <f>IFERROR(__xludf.DUMMYFUNCTION("""COMPUTED_VALUE"""),"w. bancrofti")</f>
        <v>w. bancrofti</v>
      </c>
      <c r="F65" s="718" t="str">
        <f>IFERROR(__xludf.DUMMYFUNCTION("""COMPUTED_VALUE"""),"DEC")</f>
        <v>DEC</v>
      </c>
      <c r="G65" s="718" t="str">
        <f>IFERROR(__xludf.DUMMYFUNCTION("""COMPUTED_VALUE"""),"3 mg/kg (on Day 1), .01 mg/kg (12 fortnightly doses starting day 4)")</f>
        <v>3 mg/kg (on Day 1), .01 mg/kg (12 fortnightly doses starting day 4)</v>
      </c>
      <c r="H65" s="40"/>
      <c r="I65" s="741"/>
      <c r="J65" s="720">
        <f>IFERROR(__xludf.DUMMYFUNCTION("""COMPUTED_VALUE"""),0.6667)</f>
        <v>0.6667</v>
      </c>
      <c r="K65" s="718" t="str">
        <f>IFERROR(__xludf.DUMMYFUNCTION("""COMPUTED_VALUE"""),"not available")</f>
        <v>not available</v>
      </c>
      <c r="L65" s="718">
        <f>IFERROR(__xludf.DUMMYFUNCTION("""COMPUTED_VALUE"""),12.0)</f>
        <v>12</v>
      </c>
      <c r="M65" s="721" t="str">
        <f>IFERROR(__xludf.DUMMYFUNCTION("""COMPUTED_VALUE"""),"unknonwn")</f>
        <v>unknonwn</v>
      </c>
      <c r="N65" s="744" t="str">
        <f>IFERROR(__xludf.DUMMYFUNCTION("""COMPUTED_VALUE"""),"males")</f>
        <v>males</v>
      </c>
      <c r="O65" s="718" t="str">
        <f>IFERROR(__xludf.DUMMYFUNCTION("""COMPUTED_VALUE"""),"male asymptomatic microfilaraemic volunteers")</f>
        <v>male asymptomatic microfilaraemic volunteers</v>
      </c>
      <c r="P65" s="723" t="str">
        <f>IFERROR(__xludf.DUMMYFUNCTION("""COMPUTED_VALUE"""),"double blinded RCT")</f>
        <v>double blinded RCT</v>
      </c>
      <c r="Q65" s="718" t="str">
        <f>IFERROR(__xludf.DUMMYFUNCTION("""COMPUTED_VALUE"""),"Yes")</f>
        <v>Yes</v>
      </c>
      <c r="R65" s="718" t="str">
        <f>IFERROR(__xludf.DUMMYFUNCTION("""COMPUTED_VALUE"""),"Yes")</f>
        <v>Yes</v>
      </c>
      <c r="S65" s="718" t="str">
        <f>IFERROR(__xludf.DUMMYFUNCTION("""COMPUTED_VALUE"""),"129 weeks")</f>
        <v>129 weeks</v>
      </c>
      <c r="T65" s="40"/>
      <c r="U65" s="40"/>
      <c r="V65" s="724">
        <f>IFERROR(__xludf.DUMMYFUNCTION("""COMPUTED_VALUE"""),1996.0)</f>
        <v>1996</v>
      </c>
      <c r="W65" s="724">
        <f>IFERROR(__xludf.DUMMYFUNCTION("""COMPUTED_VALUE"""),1996.0)</f>
        <v>1996</v>
      </c>
      <c r="X65" s="40" t="str">
        <f>IFERROR(__xludf.DUMMYFUNCTION("""COMPUTED_VALUE"""),"M. M. Ismail, G. J. Wei, K. S. A. Jayasinghel, U. N. Premaratne, W. Abeyewickremel, H. N. Rajaratnam, M. H. Rezvi Sheriff’, C. Selvie Perera and A. S. Dissanaike.Prolonged clearance of microfilaraemia in patients with bancroftian filariasis after multiple"&amp;" high doses of ivermectin or diethylcarbamazine. TRANSACTIONS OF THE ROYAL SOCIETY OF TROPICAL MEDICINE AND HYGIENE(1996)90,684-688")</f>
        <v>M. M. Ismail, G. J. Wei, K. S. A. Jayasinghel, U. N. Premaratne, W. Abeyewickremel, H. N. Rajaratnam, M. H. Rezvi Sheriff’, C. Selvie Perera and A. S. Dissanaike.Prolonged clearance of microfilaraemia in patients with bancroftian filariasis after multiple high doses of ivermectin or diethylcarbamazine. TRANSACTIONS OF THE ROYAL SOCIETY OF TROPICAL MEDICINE AND HYGIENE(1996)90,684-688</v>
      </c>
      <c r="Y65" s="726"/>
      <c r="Z65" s="727" t="str">
        <f>IFERROR(__xludf.DUMMYFUNCTION("""COMPUTED_VALUE"""),"https://drive.google.com/file/d/0B4sJPAkX0Jo3R0hyRzBTTUVjMjQ/view?usp=sharing")</f>
        <v>https://drive.google.com/file/d/0B4sJPAkX0Jo3R0hyRzBTTUVjMjQ/view?usp=sharing</v>
      </c>
      <c r="AA65" s="40"/>
      <c r="AB65" s="40"/>
    </row>
    <row r="66">
      <c r="A66" s="717" t="str">
        <f>IFERROR(__xludf.DUMMYFUNCTION("""COMPUTED_VALUE"""),"Ismail MM, 1996")</f>
        <v>Ismail MM, 1996</v>
      </c>
      <c r="B66" s="40"/>
      <c r="C66" s="718" t="str">
        <f>IFERROR(__xludf.DUMMYFUNCTION("""COMPUTED_VALUE"""),"Alex ")</f>
        <v>Alex </v>
      </c>
      <c r="D66" s="718" t="str">
        <f>IFERROR(__xludf.DUMMYFUNCTION("""COMPUTED_VALUE"""),"Sri Lanka")</f>
        <v>Sri Lanka</v>
      </c>
      <c r="E66" s="719" t="str">
        <f>IFERROR(__xludf.DUMMYFUNCTION("""COMPUTED_VALUE"""),"w. bancrofti")</f>
        <v>w. bancrofti</v>
      </c>
      <c r="F66" s="718" t="str">
        <f>IFERROR(__xludf.DUMMYFUNCTION("""COMPUTED_VALUE"""),"Placebo (IVM)")</f>
        <v>Placebo (IVM)</v>
      </c>
      <c r="G66" s="718" t="str">
        <f>IFERROR(__xludf.DUMMYFUNCTION("""COMPUTED_VALUE"""),"Ivermectin: 20ug/kg (Day 1),  12 fortnightly doses of placebo starting day 4 ")</f>
        <v>Ivermectin: 20ug/kg (Day 1),  12 fortnightly doses of placebo starting day 4 </v>
      </c>
      <c r="H66" s="40"/>
      <c r="I66" s="741"/>
      <c r="J66" s="720">
        <f>IFERROR(__xludf.DUMMYFUNCTION("""COMPUTED_VALUE"""),0.0)</f>
        <v>0</v>
      </c>
      <c r="K66" s="718" t="str">
        <f>IFERROR(__xludf.DUMMYFUNCTION("""COMPUTED_VALUE"""),"not available")</f>
        <v>not available</v>
      </c>
      <c r="L66" s="718">
        <f>IFERROR(__xludf.DUMMYFUNCTION("""COMPUTED_VALUE"""),11.0)</f>
        <v>11</v>
      </c>
      <c r="M66" s="721" t="str">
        <f>IFERROR(__xludf.DUMMYFUNCTION("""COMPUTED_VALUE"""),"unknonwn")</f>
        <v>unknonwn</v>
      </c>
      <c r="N66" s="744" t="str">
        <f>IFERROR(__xludf.DUMMYFUNCTION("""COMPUTED_VALUE"""),"males")</f>
        <v>males</v>
      </c>
      <c r="O66" s="718" t="str">
        <f>IFERROR(__xludf.DUMMYFUNCTION("""COMPUTED_VALUE"""),"male asymptomatic microfilaraemic volunteers")</f>
        <v>male asymptomatic microfilaraemic volunteers</v>
      </c>
      <c r="P66" s="723" t="str">
        <f>IFERROR(__xludf.DUMMYFUNCTION("""COMPUTED_VALUE"""),"double blinded RCT")</f>
        <v>double blinded RCT</v>
      </c>
      <c r="Q66" s="718" t="str">
        <f>IFERROR(__xludf.DUMMYFUNCTION("""COMPUTED_VALUE"""),"Yes")</f>
        <v>Yes</v>
      </c>
      <c r="R66" s="718" t="str">
        <f>IFERROR(__xludf.DUMMYFUNCTION("""COMPUTED_VALUE"""),"Yes")</f>
        <v>Yes</v>
      </c>
      <c r="S66" s="718" t="str">
        <f>IFERROR(__xludf.DUMMYFUNCTION("""COMPUTED_VALUE"""),"129 weeks")</f>
        <v>129 weeks</v>
      </c>
      <c r="T66" s="40"/>
      <c r="U66" s="40"/>
      <c r="V66" s="724">
        <f>IFERROR(__xludf.DUMMYFUNCTION("""COMPUTED_VALUE"""),1996.0)</f>
        <v>1996</v>
      </c>
      <c r="W66" s="724">
        <f>IFERROR(__xludf.DUMMYFUNCTION("""COMPUTED_VALUE"""),1996.0)</f>
        <v>1996</v>
      </c>
      <c r="X66" s="40" t="str">
        <f>IFERROR(__xludf.DUMMYFUNCTION("""COMPUTED_VALUE"""),"M. M. Ismail, G. J. Wei, K. S. A. Jayasinghel, U. N. Premaratne, W. Abeyewickremel, H. N. Rajaratnam, M. H. Rezvi Sheriff’, C. Selvie Perera and A. S. Dissanaike.Prolonged clearance of microfilaraemia in patients with bancroftian filariasis after multiple"&amp;" high doses of ivermectin or diethylcarbamazine. TRANSACTIONS OF THE ROYAL SOCIETY OF TROPICAL MEDICINE AND HYGIENE(1996)90,684-688")</f>
        <v>M. M. Ismail, G. J. Wei, K. S. A. Jayasinghel, U. N. Premaratne, W. Abeyewickremel, H. N. Rajaratnam, M. H. Rezvi Sheriff’, C. Selvie Perera and A. S. Dissanaike.Prolonged clearance of microfilaraemia in patients with bancroftian filariasis after multiple high doses of ivermectin or diethylcarbamazine. TRANSACTIONS OF THE ROYAL SOCIETY OF TROPICAL MEDICINE AND HYGIENE(1996)90,684-688</v>
      </c>
      <c r="Y66" s="726"/>
      <c r="Z66" s="727" t="str">
        <f>IFERROR(__xludf.DUMMYFUNCTION("""COMPUTED_VALUE"""),"https://drive.google.com/file/d/0B4sJPAkX0Jo3R0hyRzBTTUVjMjQ/view?usp=sharing")</f>
        <v>https://drive.google.com/file/d/0B4sJPAkX0Jo3R0hyRzBTTUVjMjQ/view?usp=sharing</v>
      </c>
      <c r="AA66" s="40"/>
      <c r="AB66" s="40"/>
    </row>
    <row r="67">
      <c r="A67" s="717" t="str">
        <f>IFERROR(__xludf.DUMMYFUNCTION("""COMPUTED_VALUE"""),"Ismail MM, 1998")</f>
        <v>Ismail MM, 1998</v>
      </c>
      <c r="B67" s="40"/>
      <c r="C67" s="718" t="str">
        <f>IFERROR(__xludf.DUMMYFUNCTION("""COMPUTED_VALUE"""),"Alex ")</f>
        <v>Alex </v>
      </c>
      <c r="D67" s="718" t="str">
        <f>IFERROR(__xludf.DUMMYFUNCTION("""COMPUTED_VALUE"""),"Sri Lanka")</f>
        <v>Sri Lanka</v>
      </c>
      <c r="E67" s="719" t="str">
        <f>IFERROR(__xludf.DUMMYFUNCTION("""COMPUTED_VALUE"""),"w. bancrofti")</f>
        <v>w. bancrofti</v>
      </c>
      <c r="F67" s="718" t="str">
        <f>IFERROR(__xludf.DUMMYFUNCTION("""COMPUTED_VALUE"""),"Albendazole")</f>
        <v>Albendazole</v>
      </c>
      <c r="G67" s="718" t="str">
        <f>IFERROR(__xludf.DUMMYFUNCTION("""COMPUTED_VALUE"""),"600 mg")</f>
        <v>600 mg</v>
      </c>
      <c r="H67" s="718">
        <f>IFERROR(__xludf.DUMMYFUNCTION("""COMPUTED_VALUE"""),1.0)</f>
        <v>1</v>
      </c>
      <c r="I67" s="720">
        <f>IFERROR(__xludf.DUMMYFUNCTION("""COMPUTED_VALUE"""),0.902)</f>
        <v>0.902</v>
      </c>
      <c r="J67" s="720">
        <f>IFERROR(__xludf.DUMMYFUNCTION("""COMPUTED_VALUE"""),0.083)</f>
        <v>0.083</v>
      </c>
      <c r="K67" s="718" t="str">
        <f>IFERROR(__xludf.DUMMYFUNCTION("""COMPUTED_VALUE"""),"not available")</f>
        <v>not available</v>
      </c>
      <c r="L67" s="770">
        <f>IFERROR(__xludf.DUMMYFUNCTION("""COMPUTED_VALUE"""),12.0)</f>
        <v>12</v>
      </c>
      <c r="M67" s="721" t="str">
        <f>IFERROR(__xludf.DUMMYFUNCTION("""COMPUTED_VALUE"""),"18- 58")</f>
        <v>18- 58</v>
      </c>
      <c r="N67" s="744" t="str">
        <f>IFERROR(__xludf.DUMMYFUNCTION("""COMPUTED_VALUE"""),"males")</f>
        <v>males</v>
      </c>
      <c r="O67" s="718" t="str">
        <f>IFERROR(__xludf.DUMMYFUNCTION("""COMPUTED_VALUE"""),"male asymptomatic microfilaraemic subjects (volunteers) with wuchereria bancrofti infectionadmitted to the National Hospital of Sri Lanka")</f>
        <v>male asymptomatic microfilaraemic subjects (volunteers) with wuchereria bancrofti infectionadmitted to the National Hospital of Sri Lanka</v>
      </c>
      <c r="P67" s="723" t="str">
        <f>IFERROR(__xludf.DUMMYFUNCTION("""COMPUTED_VALUE"""),"double blinded RCT")</f>
        <v>double blinded RCT</v>
      </c>
      <c r="Q67" s="718" t="str">
        <f>IFERROR(__xludf.DUMMYFUNCTION("""COMPUTED_VALUE"""),"Yes")</f>
        <v>Yes</v>
      </c>
      <c r="R67" s="718" t="str">
        <f>IFERROR(__xludf.DUMMYFUNCTION("""COMPUTED_VALUE"""),"Yes")</f>
        <v>Yes</v>
      </c>
      <c r="S67" s="718" t="str">
        <f>IFERROR(__xludf.DUMMYFUNCTION("""COMPUTED_VALUE"""),"15 months")</f>
        <v>15 months</v>
      </c>
      <c r="T67" s="40"/>
      <c r="U67" s="40"/>
      <c r="V67" s="724">
        <f>IFERROR(__xludf.DUMMYFUNCTION("""COMPUTED_VALUE"""),1994.0)</f>
        <v>1994</v>
      </c>
      <c r="W67" s="724">
        <f>IFERROR(__xludf.DUMMYFUNCTION("""COMPUTED_VALUE"""),1994.0)</f>
        <v>1994</v>
      </c>
      <c r="X67" s="40" t="str">
        <f>IFERROR(__xludf.DUMMYFUNCTION("""COMPUTED_VALUE"""),"M . M . Ismail, R. L. Jayakodyl, G. J. Weil, N. Nirmalanl, K. S. A. J ayasinghe’, W. Abeyewickrema , M. H. Rezvi Sheriff, H. N. Rajaratnams, N. Amarasekera, D. C. L. de Silva, M. L. Michalski and A. S. Dissanaike. Efficacy of single dose combinations of a"&amp;"lbendazole, ivermectin and diethylcarbamazine for the treatment of bancroftian filariasis. TRANSACTIONS OF THE ROYAL SOCIETY OF TROPICAL MEDICINE AND HYGIENE (1998)92,94-97.")</f>
        <v>M . M . Ismail, R. L. Jayakodyl, G. J. Weil, N. Nirmalanl, K. S. A. J ayasinghe’, W. Abeyewickrema , M. H. Rezvi Sheriff, H. N. Rajaratnams, N. Amarasekera, D. C. L. de Silva, M. L. Michalski and A. S. Dissanaike. Efficacy of single dose combinations of albendazole, ivermectin and diethylcarbamazine for the treatment of bancroftian filariasis. TRANSACTIONS OF THE ROYAL SOCIETY OF TROPICAL MEDICINE AND HYGIENE (1998)92,94-97.</v>
      </c>
      <c r="Y67" s="726"/>
      <c r="Z67" s="727" t="str">
        <f>IFERROR(__xludf.DUMMYFUNCTION("""COMPUTED_VALUE"""),"https://drive.google.com/file/d/0B4sJPAkX0Jo3R0hyRzBTTUVjMjQ/view?usp=sharing")</f>
        <v>https://drive.google.com/file/d/0B4sJPAkX0Jo3R0hyRzBTTUVjMjQ/view?usp=sharing</v>
      </c>
      <c r="AA67" s="40" t="str">
        <f>IFERROR(__xludf.DUMMYFUNCTION("""COMPUTED_VALUE"""),"x")</f>
        <v>x</v>
      </c>
      <c r="AB67" s="40"/>
    </row>
    <row r="68">
      <c r="A68" s="717" t="str">
        <f>IFERROR(__xludf.DUMMYFUNCTION("""COMPUTED_VALUE"""),"Ismail MM, 1998")</f>
        <v>Ismail MM, 1998</v>
      </c>
      <c r="B68" s="40"/>
      <c r="C68" s="718" t="str">
        <f>IFERROR(__xludf.DUMMYFUNCTION("""COMPUTED_VALUE"""),"Alex ")</f>
        <v>Alex </v>
      </c>
      <c r="D68" s="718" t="str">
        <f>IFERROR(__xludf.DUMMYFUNCTION("""COMPUTED_VALUE"""),"Sri Lanka")</f>
        <v>Sri Lanka</v>
      </c>
      <c r="E68" s="719" t="str">
        <f>IFERROR(__xludf.DUMMYFUNCTION("""COMPUTED_VALUE"""),"w. bancrofti")</f>
        <v>w. bancrofti</v>
      </c>
      <c r="F68" s="761" t="str">
        <f>IFERROR(__xludf.DUMMYFUNCTION("""COMPUTED_VALUE"""),"Albendazole &amp; DEC")</f>
        <v>Albendazole &amp; DEC</v>
      </c>
      <c r="G68" s="761" t="str">
        <f>IFERROR(__xludf.DUMMYFUNCTION("""COMPUTED_VALUE"""),"600 mg ALB + 6 mg/ kg DEC")</f>
        <v>600 mg ALB + 6 mg/ kg DEC</v>
      </c>
      <c r="H68" s="718">
        <f>IFERROR(__xludf.DUMMYFUNCTION("""COMPUTED_VALUE"""),1.0)</f>
        <v>1</v>
      </c>
      <c r="I68" s="720">
        <f>IFERROR(__xludf.DUMMYFUNCTION("""COMPUTED_VALUE"""),0.987)</f>
        <v>0.987</v>
      </c>
      <c r="J68" s="720">
        <f>IFERROR(__xludf.DUMMYFUNCTION("""COMPUTED_VALUE"""),0.273)</f>
        <v>0.273</v>
      </c>
      <c r="K68" s="718" t="str">
        <f>IFERROR(__xludf.DUMMYFUNCTION("""COMPUTED_VALUE"""),"not available")</f>
        <v>not available</v>
      </c>
      <c r="L68" s="770">
        <f>IFERROR(__xludf.DUMMYFUNCTION("""COMPUTED_VALUE"""),13.0)</f>
        <v>13</v>
      </c>
      <c r="M68" s="721" t="str">
        <f>IFERROR(__xludf.DUMMYFUNCTION("""COMPUTED_VALUE"""),"18- 58")</f>
        <v>18- 58</v>
      </c>
      <c r="N68" s="744" t="str">
        <f>IFERROR(__xludf.DUMMYFUNCTION("""COMPUTED_VALUE"""),"males")</f>
        <v>males</v>
      </c>
      <c r="O68" s="718" t="str">
        <f>IFERROR(__xludf.DUMMYFUNCTION("""COMPUTED_VALUE"""),"male asymptomatic microfilaraemic subjects (volunteers) with wuchereria bancrofti infectionadmitted to the National Hospital of Sri Lanka")</f>
        <v>male asymptomatic microfilaraemic subjects (volunteers) with wuchereria bancrofti infectionadmitted to the National Hospital of Sri Lanka</v>
      </c>
      <c r="P68" s="723" t="str">
        <f>IFERROR(__xludf.DUMMYFUNCTION("""COMPUTED_VALUE"""),"double blinded RCT")</f>
        <v>double blinded RCT</v>
      </c>
      <c r="Q68" s="718" t="str">
        <f>IFERROR(__xludf.DUMMYFUNCTION("""COMPUTED_VALUE"""),"Yes")</f>
        <v>Yes</v>
      </c>
      <c r="R68" s="718" t="str">
        <f>IFERROR(__xludf.DUMMYFUNCTION("""COMPUTED_VALUE"""),"Yes")</f>
        <v>Yes</v>
      </c>
      <c r="S68" s="718" t="str">
        <f>IFERROR(__xludf.DUMMYFUNCTION("""COMPUTED_VALUE"""),"15 months")</f>
        <v>15 months</v>
      </c>
      <c r="T68" s="40"/>
      <c r="U68" s="40"/>
      <c r="V68" s="724">
        <f>IFERROR(__xludf.DUMMYFUNCTION("""COMPUTED_VALUE"""),1994.0)</f>
        <v>1994</v>
      </c>
      <c r="W68" s="724">
        <f>IFERROR(__xludf.DUMMYFUNCTION("""COMPUTED_VALUE"""),1994.0)</f>
        <v>1994</v>
      </c>
      <c r="X68" s="40" t="str">
        <f>IFERROR(__xludf.DUMMYFUNCTION("""COMPUTED_VALUE"""),"M . M . Ismail, R. L. Jayakodyl, G. J. Weil, N. Nirmalanl, K. S. A. J ayasinghe’, W. Abeyewickrema , M. H. Rezvi Sheriff, H. N. Rajaratnams, N. Amarasekera, D. C. L. de Silva, M. L. Michalski and A. S. Dissanaike. Efficacy of single dose combinations of a"&amp;"lbendazole, ivermectin and diethylcarbamazine for the treatment of bancroftian filariasis. TRANSACTIONS OF THE ROYAL SOCIETY OF TROPICAL MEDICINE AND HYGIENE (1998)92,94-97.")</f>
        <v>M . M . Ismail, R. L. Jayakodyl, G. J. Weil, N. Nirmalanl, K. S. A. J ayasinghe’, W. Abeyewickrema , M. H. Rezvi Sheriff, H. N. Rajaratnams, N. Amarasekera, D. C. L. de Silva, M. L. Michalski and A. S. Dissanaike. Efficacy of single dose combinations of albendazole, ivermectin and diethylcarbamazine for the treatment of bancroftian filariasis. TRANSACTIONS OF THE ROYAL SOCIETY OF TROPICAL MEDICINE AND HYGIENE (1998)92,94-97.</v>
      </c>
      <c r="Y68" s="726"/>
      <c r="Z68" s="727" t="str">
        <f>IFERROR(__xludf.DUMMYFUNCTION("""COMPUTED_VALUE"""),"https://drive.google.com/file/d/0B4sJPAkX0Jo3R0hyRzBTTUVjMjQ/view?usp=sharing")</f>
        <v>https://drive.google.com/file/d/0B4sJPAkX0Jo3R0hyRzBTTUVjMjQ/view?usp=sharing</v>
      </c>
      <c r="AA68" s="40" t="str">
        <f>IFERROR(__xludf.DUMMYFUNCTION("""COMPUTED_VALUE"""),"x")</f>
        <v>x</v>
      </c>
      <c r="AB68" s="40"/>
    </row>
    <row r="69">
      <c r="A69" s="717" t="str">
        <f>IFERROR(__xludf.DUMMYFUNCTION("""COMPUTED_VALUE"""),"Ismail MM, 1998")</f>
        <v>Ismail MM, 1998</v>
      </c>
      <c r="B69" s="40"/>
      <c r="C69" s="718" t="str">
        <f>IFERROR(__xludf.DUMMYFUNCTION("""COMPUTED_VALUE"""),"Alex ")</f>
        <v>Alex </v>
      </c>
      <c r="D69" s="718" t="str">
        <f>IFERROR(__xludf.DUMMYFUNCTION("""COMPUTED_VALUE"""),"Sri Lanka")</f>
        <v>Sri Lanka</v>
      </c>
      <c r="E69" s="719" t="str">
        <f>IFERROR(__xludf.DUMMYFUNCTION("""COMPUTED_VALUE"""),"w. bancrofti")</f>
        <v>w. bancrofti</v>
      </c>
      <c r="F69" s="718" t="str">
        <f>IFERROR(__xludf.DUMMYFUNCTION("""COMPUTED_VALUE"""),"Albendazole &amp; Ivermectin")</f>
        <v>Albendazole &amp; Ivermectin</v>
      </c>
      <c r="G69" s="718" t="str">
        <f>IFERROR(__xludf.DUMMYFUNCTION("""COMPUTED_VALUE"""),"600 mg + .400 mg/ kg")</f>
        <v>600 mg + .400 mg/ kg</v>
      </c>
      <c r="H69" s="718">
        <f>IFERROR(__xludf.DUMMYFUNCTION("""COMPUTED_VALUE"""),1.0)</f>
        <v>1</v>
      </c>
      <c r="I69" s="720">
        <f>IFERROR(__xludf.DUMMYFUNCTION("""COMPUTED_VALUE"""),0.997)</f>
        <v>0.997</v>
      </c>
      <c r="J69" s="720">
        <f>IFERROR(__xludf.DUMMYFUNCTION("""COMPUTED_VALUE"""),0.692)</f>
        <v>0.692</v>
      </c>
      <c r="K69" s="771" t="str">
        <f>IFERROR(__xludf.DUMMYFUNCTION("""COMPUTED_VALUE"""),"not available")</f>
        <v>not available</v>
      </c>
      <c r="L69" s="718">
        <f>IFERROR(__xludf.DUMMYFUNCTION("""COMPUTED_VALUE"""),13.0)</f>
        <v>13</v>
      </c>
      <c r="M69" s="721" t="str">
        <f>IFERROR(__xludf.DUMMYFUNCTION("""COMPUTED_VALUE"""),"18- 58")</f>
        <v>18- 58</v>
      </c>
      <c r="N69" s="744" t="str">
        <f>IFERROR(__xludf.DUMMYFUNCTION("""COMPUTED_VALUE"""),"males")</f>
        <v>males</v>
      </c>
      <c r="O69" s="718" t="str">
        <f>IFERROR(__xludf.DUMMYFUNCTION("""COMPUTED_VALUE"""),"male asymptomatic microfilaraemic subjects (volunteers) with wuchereria bancrofti infectionadmitted to the National Hospital of Sri Lanka")</f>
        <v>male asymptomatic microfilaraemic subjects (volunteers) with wuchereria bancrofti infectionadmitted to the National Hospital of Sri Lanka</v>
      </c>
      <c r="P69" s="723" t="str">
        <f>IFERROR(__xludf.DUMMYFUNCTION("""COMPUTED_VALUE"""),"double blinded RCT")</f>
        <v>double blinded RCT</v>
      </c>
      <c r="Q69" s="718" t="str">
        <f>IFERROR(__xludf.DUMMYFUNCTION("""COMPUTED_VALUE"""),"Yes")</f>
        <v>Yes</v>
      </c>
      <c r="R69" s="718" t="str">
        <f>IFERROR(__xludf.DUMMYFUNCTION("""COMPUTED_VALUE"""),"Yes")</f>
        <v>Yes</v>
      </c>
      <c r="S69" s="718" t="str">
        <f>IFERROR(__xludf.DUMMYFUNCTION("""COMPUTED_VALUE"""),"15 months")</f>
        <v>15 months</v>
      </c>
      <c r="T69" s="40"/>
      <c r="U69" s="40"/>
      <c r="V69" s="724">
        <f>IFERROR(__xludf.DUMMYFUNCTION("""COMPUTED_VALUE"""),1994.0)</f>
        <v>1994</v>
      </c>
      <c r="W69" s="724">
        <f>IFERROR(__xludf.DUMMYFUNCTION("""COMPUTED_VALUE"""),1994.0)</f>
        <v>1994</v>
      </c>
      <c r="X69" s="40" t="str">
        <f>IFERROR(__xludf.DUMMYFUNCTION("""COMPUTED_VALUE"""),"M . M . Ismail, R. L. Jayakodyl, G. J. Weil, N. Nirmalanl, K. S. A. J ayasinghe’, W. Abeyewickrema , M. H. Rezvi Sheriff, H. N. Rajaratnams, N. Amarasekera, D. C. L. de Silva, M. L. Michalski and A. S. Dissanaike. Efficacy of single dose combinations of a"&amp;"lbendazole, ivermectin and diethylcarbamazine for the treatment of bancroftian filariasis. TRANSACTIONS OF THE ROYAL SOCIETY OF TROPICAL MEDICINE AND HYGIENE (1998)92,94-97.")</f>
        <v>M . M . Ismail, R. L. Jayakodyl, G. J. Weil, N. Nirmalanl, K. S. A. J ayasinghe’, W. Abeyewickrema , M. H. Rezvi Sheriff, H. N. Rajaratnams, N. Amarasekera, D. C. L. de Silva, M. L. Michalski and A. S. Dissanaike. Efficacy of single dose combinations of albendazole, ivermectin and diethylcarbamazine for the treatment of bancroftian filariasis. TRANSACTIONS OF THE ROYAL SOCIETY OF TROPICAL MEDICINE AND HYGIENE (1998)92,94-97.</v>
      </c>
      <c r="Y69" s="726"/>
      <c r="Z69" s="727" t="str">
        <f>IFERROR(__xludf.DUMMYFUNCTION("""COMPUTED_VALUE"""),"https://drive.google.com/file/d/0B4sJPAkX0Jo3R0hyRzBTTUVjMjQ/view?usp=sharing")</f>
        <v>https://drive.google.com/file/d/0B4sJPAkX0Jo3R0hyRzBTTUVjMjQ/view?usp=sharing</v>
      </c>
      <c r="AA69" s="40" t="str">
        <f>IFERROR(__xludf.DUMMYFUNCTION("""COMPUTED_VALUE"""),"x")</f>
        <v>x</v>
      </c>
      <c r="AB69" s="40"/>
    </row>
    <row r="70">
      <c r="A70" s="717" t="str">
        <f>IFERROR(__xludf.DUMMYFUNCTION("""COMPUTED_VALUE"""),"Ismail MM, 1998")</f>
        <v>Ismail MM, 1998</v>
      </c>
      <c r="B70" s="40"/>
      <c r="C70" s="718" t="str">
        <f>IFERROR(__xludf.DUMMYFUNCTION("""COMPUTED_VALUE"""),"Alex ")</f>
        <v>Alex </v>
      </c>
      <c r="D70" s="718" t="str">
        <f>IFERROR(__xludf.DUMMYFUNCTION("""COMPUTED_VALUE"""),"Sri Lanka")</f>
        <v>Sri Lanka</v>
      </c>
      <c r="E70" s="719" t="str">
        <f>IFERROR(__xludf.DUMMYFUNCTION("""COMPUTED_VALUE"""),"w. bancrofti")</f>
        <v>w. bancrofti</v>
      </c>
      <c r="F70" s="746" t="str">
        <f>IFERROR(__xludf.DUMMYFUNCTION("""COMPUTED_VALUE"""),"DEC &amp; Ivermectin")</f>
        <v>DEC &amp; Ivermectin</v>
      </c>
      <c r="G70" s="761" t="str">
        <f>IFERROR(__xludf.DUMMYFUNCTION("""COMPUTED_VALUE"""),"6 mg/kg DEC")</f>
        <v>6 mg/kg DEC</v>
      </c>
      <c r="H70" s="718">
        <f>IFERROR(__xludf.DUMMYFUNCTION("""COMPUTED_VALUE"""),1.0)</f>
        <v>1</v>
      </c>
      <c r="I70" s="720">
        <f>IFERROR(__xludf.DUMMYFUNCTION("""COMPUTED_VALUE"""),0.995)</f>
        <v>0.995</v>
      </c>
      <c r="J70" s="720">
        <f>IFERROR(__xludf.DUMMYFUNCTION("""COMPUTED_VALUE"""),0.3)</f>
        <v>0.3</v>
      </c>
      <c r="K70" s="771" t="str">
        <f>IFERROR(__xludf.DUMMYFUNCTION("""COMPUTED_VALUE"""),"not available")</f>
        <v>not available</v>
      </c>
      <c r="L70" s="718">
        <f>IFERROR(__xludf.DUMMYFUNCTION("""COMPUTED_VALUE"""),12.0)</f>
        <v>12</v>
      </c>
      <c r="M70" s="721" t="str">
        <f>IFERROR(__xludf.DUMMYFUNCTION("""COMPUTED_VALUE"""),"18- 58")</f>
        <v>18- 58</v>
      </c>
      <c r="N70" s="744" t="str">
        <f>IFERROR(__xludf.DUMMYFUNCTION("""COMPUTED_VALUE"""),"males")</f>
        <v>males</v>
      </c>
      <c r="O70" s="718" t="str">
        <f>IFERROR(__xludf.DUMMYFUNCTION("""COMPUTED_VALUE"""),"male asymptomatic microfilaraemic subjects (volunteers) with wuchereria bancrofti infectionadmitted to the National Hospital of Sri Lanka")</f>
        <v>male asymptomatic microfilaraemic subjects (volunteers) with wuchereria bancrofti infectionadmitted to the National Hospital of Sri Lanka</v>
      </c>
      <c r="P70" s="723" t="str">
        <f>IFERROR(__xludf.DUMMYFUNCTION("""COMPUTED_VALUE"""),"double blinded RCT")</f>
        <v>double blinded RCT</v>
      </c>
      <c r="Q70" s="718" t="str">
        <f>IFERROR(__xludf.DUMMYFUNCTION("""COMPUTED_VALUE"""),"Yes")</f>
        <v>Yes</v>
      </c>
      <c r="R70" s="718" t="str">
        <f>IFERROR(__xludf.DUMMYFUNCTION("""COMPUTED_VALUE"""),"Yes")</f>
        <v>Yes</v>
      </c>
      <c r="S70" s="718" t="str">
        <f>IFERROR(__xludf.DUMMYFUNCTION("""COMPUTED_VALUE"""),"15 months")</f>
        <v>15 months</v>
      </c>
      <c r="T70" s="40"/>
      <c r="U70" s="40"/>
      <c r="V70" s="724">
        <f>IFERROR(__xludf.DUMMYFUNCTION("""COMPUTED_VALUE"""),1994.0)</f>
        <v>1994</v>
      </c>
      <c r="W70" s="724">
        <f>IFERROR(__xludf.DUMMYFUNCTION("""COMPUTED_VALUE"""),1994.0)</f>
        <v>1994</v>
      </c>
      <c r="X70" s="40" t="str">
        <f>IFERROR(__xludf.DUMMYFUNCTION("""COMPUTED_VALUE"""),"M . M . Ismail, R. L. Jayakodyl, G. J. Weil, N. Nirmalanl, K. S. A. J ayasinghe’, W. Abeyewickrema , M. H. Rezvi Sheriff, H. N. Rajaratnams, N. Amarasekera, D. C. L. de Silva, M. L. Michalski and A. S. Dissanaike. Efficacy of single dose combinations of a"&amp;"lbendazole, ivermectin and diethylcarbamazine for the treatment of bancroftian filariasis. TRANSACTIONS OF THE ROYAL SOCIETY OF TROPICAL MEDICINE AND HYGIENE (1998)92,94-97.")</f>
        <v>M . M . Ismail, R. L. Jayakodyl, G. J. Weil, N. Nirmalanl, K. S. A. J ayasinghe’, W. Abeyewickrema , M. H. Rezvi Sheriff, H. N. Rajaratnams, N. Amarasekera, D. C. L. de Silva, M. L. Michalski and A. S. Dissanaike. Efficacy of single dose combinations of albendazole, ivermectin and diethylcarbamazine for the treatment of bancroftian filariasis. TRANSACTIONS OF THE ROYAL SOCIETY OF TROPICAL MEDICINE AND HYGIENE (1998)92,94-97.</v>
      </c>
      <c r="Y70" s="726"/>
      <c r="Z70" s="727" t="str">
        <f>IFERROR(__xludf.DUMMYFUNCTION("""COMPUTED_VALUE"""),"https://drive.google.com/file/d/0B4sJPAkX0Jo3R0hyRzBTTUVjMjQ/view?usp=sharing")</f>
        <v>https://drive.google.com/file/d/0B4sJPAkX0Jo3R0hyRzBTTUVjMjQ/view?usp=sharing</v>
      </c>
      <c r="AA70" s="40" t="str">
        <f>IFERROR(__xludf.DUMMYFUNCTION("""COMPUTED_VALUE"""),"x")</f>
        <v>x</v>
      </c>
      <c r="AB70" s="40"/>
    </row>
    <row r="71">
      <c r="A71" s="728" t="str">
        <f>IFERROR(__xludf.DUMMYFUNCTION("""COMPUTED_VALUE"""),"Ismail, 2001")</f>
        <v>Ismail, 2001</v>
      </c>
      <c r="B71" s="730" t="str">
        <f>IFERROR(__xludf.DUMMYFUNCTION("""COMPUTED_VALUE"""),"Ross")</f>
        <v>Ross</v>
      </c>
      <c r="C71" s="730" t="str">
        <f>IFERROR(__xludf.DUMMYFUNCTION("""COMPUTED_VALUE"""),"Ross")</f>
        <v>Ross</v>
      </c>
      <c r="D71" s="730" t="str">
        <f>IFERROR(__xludf.DUMMYFUNCTION("""COMPUTED_VALUE"""),"Sri Lanka")</f>
        <v>Sri Lanka</v>
      </c>
      <c r="E71" s="739" t="str">
        <f>IFERROR(__xludf.DUMMYFUNCTION("""COMPUTED_VALUE"""),"W. bancrofti")</f>
        <v>W. bancrofti</v>
      </c>
      <c r="F71" s="718" t="str">
        <f>IFERROR(__xludf.DUMMYFUNCTION("""COMPUTED_VALUE"""),"Albendazole &amp; Ivermectin")</f>
        <v>Albendazole &amp; Ivermectin</v>
      </c>
      <c r="G71" s="730" t="str">
        <f>IFERROR(__xludf.DUMMYFUNCTION("""COMPUTED_VALUE"""),"400mg + .200 mg/kg ")</f>
        <v>400mg + .200 mg/kg </v>
      </c>
      <c r="H71" s="740">
        <f>IFERROR(__xludf.DUMMYFUNCTION("""COMPUTED_VALUE"""),1.0)</f>
        <v>1</v>
      </c>
      <c r="I71" s="773">
        <f>IFERROR(__xludf.DUMMYFUNCTION("""COMPUTED_VALUE"""),0.9713)</f>
        <v>0.9713</v>
      </c>
      <c r="J71" s="774">
        <f>IFERROR(__xludf.DUMMYFUNCTION("""COMPUTED_VALUE"""),0.27)</f>
        <v>0.27</v>
      </c>
      <c r="K71" s="718" t="str">
        <f>IFERROR(__xludf.DUMMYFUNCTION("""COMPUTED_VALUE"""),"not available")</f>
        <v>not available</v>
      </c>
      <c r="L71" s="734">
        <f>IFERROR(__xludf.DUMMYFUNCTION("""COMPUTED_VALUE"""),16.0)</f>
        <v>16</v>
      </c>
      <c r="M71" s="754" t="str">
        <f>IFERROR(__xludf.DUMMYFUNCTION("""COMPUTED_VALUE"""),"18-58")</f>
        <v>18-58</v>
      </c>
      <c r="N71" s="744" t="str">
        <f>IFERROR(__xludf.DUMMYFUNCTION("""COMPUTED_VALUE"""),"males")</f>
        <v>males</v>
      </c>
      <c r="O71" s="730" t="str">
        <f>IFERROR(__xludf.DUMMYFUNCTION("""COMPUTED_VALUE"""),"aged 18–58 years, &gt;100 microfilaria /mL, asymptomatic, no prior antifilarial medications, or free from any acute or chronic illnesses")</f>
        <v>aged 18–58 years, &gt;100 microfilaria /mL, asymptomatic, no prior antifilarial medications, or free from any acute or chronic illnesses</v>
      </c>
      <c r="P71" s="736" t="str">
        <f>IFERROR(__xludf.DUMMYFUNCTION("""COMPUTED_VALUE"""),"double-blinded random")</f>
        <v>double-blinded random</v>
      </c>
      <c r="Q71" s="718" t="str">
        <f>IFERROR(__xludf.DUMMYFUNCTION("""COMPUTED_VALUE"""),"Yes")</f>
        <v>Yes</v>
      </c>
      <c r="R71" s="718" t="str">
        <f>IFERROR(__xludf.DUMMYFUNCTION("""COMPUTED_VALUE"""),"Yes")</f>
        <v>Yes</v>
      </c>
      <c r="S71" s="730" t="str">
        <f>IFERROR(__xludf.DUMMYFUNCTION("""COMPUTED_VALUE"""),"2 years")</f>
        <v>2 years</v>
      </c>
      <c r="T71" s="730" t="str">
        <f>IFERROR(__xludf.DUMMYFUNCTION("""COMPUTED_VALUE"""),"All 3 treatments reduced mf counts, with the ALB+DEC group showing the lowest mf levels at 18 and 24 months after treatment. All 3 treatment groups had significant activity against adult W. bancrofti (ALB+DEC) having greatest effect")</f>
        <v>All 3 treatments reduced mf counts, with the ALB+DEC group showing the lowest mf levels at 18 and 24 months after treatment. All 3 treatment groups had significant activity against adult W. bancrofti (ALB+DEC) having greatest effect</v>
      </c>
      <c r="U71" s="730" t="str">
        <f>IFERROR(__xludf.DUMMYFUNCTION("""COMPUTED_VALUE"""),"These results suggest that a single dose of albendazole 400 mg together with DEC 6 mg/kg is a safe and effective combination for suppression of microfilaraemia of bancroftian filariasis that could be considered for use in filariasis control programmes bas"&amp;"ed on mass treatment of endemic populations.")</f>
        <v>These results suggest that a single dose of albendazole 400 mg together with DEC 6 mg/kg is a safe and effective combination for suppression of microfilaraemia of bancroftian filariasis that could be considered for use in filariasis control programmes based on mass treatment of endemic populations.</v>
      </c>
      <c r="V71" s="737" t="str">
        <f>IFERROR(__xludf.DUMMYFUNCTION("""COMPUTED_VALUE"""),"1996-1998")</f>
        <v>1996-1998</v>
      </c>
      <c r="W71" s="724">
        <f>IFERROR(__xludf.DUMMYFUNCTION("""COMPUTED_VALUE"""),1998.0)</f>
        <v>1998</v>
      </c>
      <c r="X71" s="40" t="str">
        <f>IFERROR(__xludf.DUMMYFUNCTION("""COMPUTED_VALUE"""),"Ismail MM, Jayakody RL, Weil GJ, et al. Long-term efficacy of single-dose combinations of albendazole, ivermectin and diethylcarbamazine for the treatment of bancroftian filariasis. Transactions of the Royal Society of Tropical Medicine and Hygiene. 2001;"&amp;"95(3):332–335.")</f>
        <v>Ismail MM, Jayakody RL, Weil GJ, et al. Long-term efficacy of single-dose combinations of albendazole, ivermectin and diethylcarbamazine for the treatment of bancroftian filariasis. Transactions of the Royal Society of Tropical Medicine and Hygiene. 2001;95(3):332–335.</v>
      </c>
      <c r="Y71" s="738"/>
      <c r="Z71" s="727" t="str">
        <f>IFERROR(__xludf.DUMMYFUNCTION("""COMPUTED_VALUE"""),"https://drive.google.com/open?id=0B95WhYooraDeejhMN0paNXZneHc")</f>
        <v>https://drive.google.com/open?id=0B95WhYooraDeejhMN0paNXZneHc</v>
      </c>
      <c r="AA71" s="40" t="str">
        <f>IFERROR(__xludf.DUMMYFUNCTION("""COMPUTED_VALUE"""),"x")</f>
        <v>x</v>
      </c>
      <c r="AB71" s="40"/>
    </row>
    <row r="72">
      <c r="A72" s="728" t="str">
        <f>IFERROR(__xludf.DUMMYFUNCTION("""COMPUTED_VALUE"""),"Ismail, 2001")</f>
        <v>Ismail, 2001</v>
      </c>
      <c r="B72" s="730" t="str">
        <f>IFERROR(__xludf.DUMMYFUNCTION("""COMPUTED_VALUE"""),"Ross")</f>
        <v>Ross</v>
      </c>
      <c r="C72" s="730" t="str">
        <f>IFERROR(__xludf.DUMMYFUNCTION("""COMPUTED_VALUE"""),"Ross")</f>
        <v>Ross</v>
      </c>
      <c r="D72" s="730" t="str">
        <f>IFERROR(__xludf.DUMMYFUNCTION("""COMPUTED_VALUE"""),"Sri Lanka")</f>
        <v>Sri Lanka</v>
      </c>
      <c r="E72" s="739" t="str">
        <f>IFERROR(__xludf.DUMMYFUNCTION("""COMPUTED_VALUE"""),"W. bancrofti")</f>
        <v>W. bancrofti</v>
      </c>
      <c r="F72" s="718" t="str">
        <f>IFERROR(__xludf.DUMMYFUNCTION("""COMPUTED_VALUE"""),"Albendazole &amp; DEC")</f>
        <v>Albendazole &amp; DEC</v>
      </c>
      <c r="G72" s="718" t="str">
        <f>IFERROR(__xludf.DUMMYFUNCTION("""COMPUTED_VALUE"""),"600 mg + 6 mg/ kg")</f>
        <v>600 mg + 6 mg/ kg</v>
      </c>
      <c r="H72" s="718">
        <f>IFERROR(__xludf.DUMMYFUNCTION("""COMPUTED_VALUE"""),1.0)</f>
        <v>1</v>
      </c>
      <c r="I72" s="773">
        <f>IFERROR(__xludf.DUMMYFUNCTION("""COMPUTED_VALUE"""),0.9956)</f>
        <v>0.9956</v>
      </c>
      <c r="J72" s="774">
        <f>IFERROR(__xludf.DUMMYFUNCTION("""COMPUTED_VALUE"""),0.46)</f>
        <v>0.46</v>
      </c>
      <c r="K72" s="718" t="str">
        <f>IFERROR(__xludf.DUMMYFUNCTION("""COMPUTED_VALUE"""),"not available")</f>
        <v>not available</v>
      </c>
      <c r="L72" s="734">
        <f>IFERROR(__xludf.DUMMYFUNCTION("""COMPUTED_VALUE"""),16.0)</f>
        <v>16</v>
      </c>
      <c r="M72" s="754" t="str">
        <f>IFERROR(__xludf.DUMMYFUNCTION("""COMPUTED_VALUE"""),"18-59")</f>
        <v>18-59</v>
      </c>
      <c r="N72" s="744" t="str">
        <f>IFERROR(__xludf.DUMMYFUNCTION("""COMPUTED_VALUE"""),"males")</f>
        <v>males</v>
      </c>
      <c r="O72" s="730" t="str">
        <f>IFERROR(__xludf.DUMMYFUNCTION("""COMPUTED_VALUE"""),"aged 18–58 years, &gt;100 microfilaria /mL, asymptomatic, no prior antifilarial medications, or free from any acute or chronic illnesses")</f>
        <v>aged 18–58 years, &gt;100 microfilaria /mL, asymptomatic, no prior antifilarial medications, or free from any acute or chronic illnesses</v>
      </c>
      <c r="P72" s="736" t="str">
        <f>IFERROR(__xludf.DUMMYFUNCTION("""COMPUTED_VALUE"""),"double-blinded random")</f>
        <v>double-blinded random</v>
      </c>
      <c r="Q72" s="718" t="str">
        <f>IFERROR(__xludf.DUMMYFUNCTION("""COMPUTED_VALUE"""),"Yes")</f>
        <v>Yes</v>
      </c>
      <c r="R72" s="718" t="str">
        <f>IFERROR(__xludf.DUMMYFUNCTION("""COMPUTED_VALUE"""),"Yes")</f>
        <v>Yes</v>
      </c>
      <c r="S72" s="730" t="str">
        <f>IFERROR(__xludf.DUMMYFUNCTION("""COMPUTED_VALUE"""),"2 years")</f>
        <v>2 years</v>
      </c>
      <c r="T72" s="730" t="str">
        <f>IFERROR(__xludf.DUMMYFUNCTION("""COMPUTED_VALUE"""),"All 3 treatments reduced mf counts, with the ALB+DEC group showing the lowest mf levels at 18 and 24 months after treatment. All 3 treatment groups had significant activity against adult W. bancrofti (ALB+DEC) having greatest effect")</f>
        <v>All 3 treatments reduced mf counts, with the ALB+DEC group showing the lowest mf levels at 18 and 24 months after treatment. All 3 treatment groups had significant activity against adult W. bancrofti (ALB+DEC) having greatest effect</v>
      </c>
      <c r="U72" s="730" t="str">
        <f>IFERROR(__xludf.DUMMYFUNCTION("""COMPUTED_VALUE"""),"These results suggest that a single dose of albendazole 400 mg together with DEC 6 mg/kg is a safe and effective combination for suppression of microfilaraemia of bancroftian filariasis that could be considered for use in filariasis control programmes bas"&amp;"ed on mass treatment of endemic populations.")</f>
        <v>These results suggest that a single dose of albendazole 400 mg together with DEC 6 mg/kg is a safe and effective combination for suppression of microfilaraemia of bancroftian filariasis that could be considered for use in filariasis control programmes based on mass treatment of endemic populations.</v>
      </c>
      <c r="V72" s="737" t="str">
        <f>IFERROR(__xludf.DUMMYFUNCTION("""COMPUTED_VALUE"""),"1996-1998")</f>
        <v>1996-1998</v>
      </c>
      <c r="W72" s="724">
        <f>IFERROR(__xludf.DUMMYFUNCTION("""COMPUTED_VALUE"""),1998.0)</f>
        <v>1998</v>
      </c>
      <c r="X72" s="40" t="str">
        <f>IFERROR(__xludf.DUMMYFUNCTION("""COMPUTED_VALUE"""),"Ismail MM, Jayakody RL, Weil GJ, et al. Long-term efficacy of single-dose combinations of albendazole, ivermectin and diethylcarbamazine for the treatment of bancroftian filariasis. Transactions of the Royal Society of Tropical Medicine and Hygiene. 2001;"&amp;"95(3):332–335.")</f>
        <v>Ismail MM, Jayakody RL, Weil GJ, et al. Long-term efficacy of single-dose combinations of albendazole, ivermectin and diethylcarbamazine for the treatment of bancroftian filariasis. Transactions of the Royal Society of Tropical Medicine and Hygiene. 2001;95(3):332–335.</v>
      </c>
      <c r="Y72" s="738"/>
      <c r="Z72" s="727" t="str">
        <f>IFERROR(__xludf.DUMMYFUNCTION("""COMPUTED_VALUE"""),"https://drive.google.com/open?id=0B95WhYooraDeejhMN0paNXZneHc")</f>
        <v>https://drive.google.com/open?id=0B95WhYooraDeejhMN0paNXZneHc</v>
      </c>
      <c r="AA72" s="40" t="str">
        <f>IFERROR(__xludf.DUMMYFUNCTION("""COMPUTED_VALUE"""),"x")</f>
        <v>x</v>
      </c>
      <c r="AB72" s="40"/>
    </row>
    <row r="73">
      <c r="A73" s="728" t="str">
        <f>IFERROR(__xludf.DUMMYFUNCTION("""COMPUTED_VALUE"""),"Ismail, 2001")</f>
        <v>Ismail, 2001</v>
      </c>
      <c r="B73" s="730" t="str">
        <f>IFERROR(__xludf.DUMMYFUNCTION("""COMPUTED_VALUE"""),"Ross")</f>
        <v>Ross</v>
      </c>
      <c r="C73" s="730" t="str">
        <f>IFERROR(__xludf.DUMMYFUNCTION("""COMPUTED_VALUE"""),"Ross")</f>
        <v>Ross</v>
      </c>
      <c r="D73" s="730" t="str">
        <f>IFERROR(__xludf.DUMMYFUNCTION("""COMPUTED_VALUE"""),"Sri Lanka")</f>
        <v>Sri Lanka</v>
      </c>
      <c r="E73" s="739" t="str">
        <f>IFERROR(__xludf.DUMMYFUNCTION("""COMPUTED_VALUE"""),"W. bancrofti")</f>
        <v>W. bancrofti</v>
      </c>
      <c r="F73" s="718" t="str">
        <f>IFERROR(__xludf.DUMMYFUNCTION("""COMPUTED_VALUE"""),"Albendazole &amp; Ivermectin")</f>
        <v>Albendazole &amp; Ivermectin</v>
      </c>
      <c r="G73" s="730" t="str">
        <f>IFERROR(__xludf.DUMMYFUNCTION("""COMPUTED_VALUE"""),"600mg + .400 mg/kg")</f>
        <v>600mg + .400 mg/kg</v>
      </c>
      <c r="H73" s="740">
        <f>IFERROR(__xludf.DUMMYFUNCTION("""COMPUTED_VALUE"""),1.0)</f>
        <v>1</v>
      </c>
      <c r="I73" s="773">
        <f>IFERROR(__xludf.DUMMYFUNCTION("""COMPUTED_VALUE"""),0.9769)</f>
        <v>0.9769</v>
      </c>
      <c r="J73" s="774">
        <f>IFERROR(__xludf.DUMMYFUNCTION("""COMPUTED_VALUE"""),0.21)</f>
        <v>0.21</v>
      </c>
      <c r="K73" s="718" t="str">
        <f>IFERROR(__xludf.DUMMYFUNCTION("""COMPUTED_VALUE"""),"not available")</f>
        <v>not available</v>
      </c>
      <c r="L73" s="734">
        <f>IFERROR(__xludf.DUMMYFUNCTION("""COMPUTED_VALUE"""),15.0)</f>
        <v>15</v>
      </c>
      <c r="M73" s="754" t="str">
        <f>IFERROR(__xludf.DUMMYFUNCTION("""COMPUTED_VALUE"""),"18-60")</f>
        <v>18-60</v>
      </c>
      <c r="N73" s="744" t="str">
        <f>IFERROR(__xludf.DUMMYFUNCTION("""COMPUTED_VALUE"""),"males")</f>
        <v>males</v>
      </c>
      <c r="O73" s="730" t="str">
        <f>IFERROR(__xludf.DUMMYFUNCTION("""COMPUTED_VALUE"""),"aged 18–58 years, &gt;100 microfilaria /mL, asymptomatic, no prior antifilarial medications, or free from any acute or chronic illnesses")</f>
        <v>aged 18–58 years, &gt;100 microfilaria /mL, asymptomatic, no prior antifilarial medications, or free from any acute or chronic illnesses</v>
      </c>
      <c r="P73" s="736" t="str">
        <f>IFERROR(__xludf.DUMMYFUNCTION("""COMPUTED_VALUE"""),"double-blinded random")</f>
        <v>double-blinded random</v>
      </c>
      <c r="Q73" s="718" t="str">
        <f>IFERROR(__xludf.DUMMYFUNCTION("""COMPUTED_VALUE"""),"Yes")</f>
        <v>Yes</v>
      </c>
      <c r="R73" s="718" t="str">
        <f>IFERROR(__xludf.DUMMYFUNCTION("""COMPUTED_VALUE"""),"Yes")</f>
        <v>Yes</v>
      </c>
      <c r="S73" s="730" t="str">
        <f>IFERROR(__xludf.DUMMYFUNCTION("""COMPUTED_VALUE"""),"2 years")</f>
        <v>2 years</v>
      </c>
      <c r="T73" s="730" t="str">
        <f>IFERROR(__xludf.DUMMYFUNCTION("""COMPUTED_VALUE"""),"All 3 treatments reduced mf counts, with the ALB+DEC group showing the lowest mf levels at 18 and 24 months after treatment. All 3 treatment groups had significant activity against adult W. bancrofti (ALB+DEC) having greatest effect")</f>
        <v>All 3 treatments reduced mf counts, with the ALB+DEC group showing the lowest mf levels at 18 and 24 months after treatment. All 3 treatment groups had significant activity against adult W. bancrofti (ALB+DEC) having greatest effect</v>
      </c>
      <c r="U73" s="730" t="str">
        <f>IFERROR(__xludf.DUMMYFUNCTION("""COMPUTED_VALUE"""),"These results suggest that a single dose of albendazole 400 mg together with DEC 6 mg/kg is a safe and effective combination for suppression of microfilaraemia of bancroftian filariasis that could be considered for use in filariasis control programmes bas"&amp;"ed on mass treatment of endemic populations.")</f>
        <v>These results suggest that a single dose of albendazole 400 mg together with DEC 6 mg/kg is a safe and effective combination for suppression of microfilaraemia of bancroftian filariasis that could be considered for use in filariasis control programmes based on mass treatment of endemic populations.</v>
      </c>
      <c r="V73" s="737" t="str">
        <f>IFERROR(__xludf.DUMMYFUNCTION("""COMPUTED_VALUE"""),"1996-1998")</f>
        <v>1996-1998</v>
      </c>
      <c r="W73" s="724">
        <f>IFERROR(__xludf.DUMMYFUNCTION("""COMPUTED_VALUE"""),1998.0)</f>
        <v>1998</v>
      </c>
      <c r="X73" s="40" t="str">
        <f>IFERROR(__xludf.DUMMYFUNCTION("""COMPUTED_VALUE"""),"Ismail MM, Jayakody RL, Weil GJ, et al. Long-term efficacy of single-dose combinations of albendazole, ivermectin and diethylcarbamazine for the treatment of bancroftian filariasis. Transactions of the Royal Society of Tropical Medicine and Hygiene. 2001;"&amp;"95(3):332–335.")</f>
        <v>Ismail MM, Jayakody RL, Weil GJ, et al. Long-term efficacy of single-dose combinations of albendazole, ivermectin and diethylcarbamazine for the treatment of bancroftian filariasis. Transactions of the Royal Society of Tropical Medicine and Hygiene. 2001;95(3):332–335.</v>
      </c>
      <c r="Y73" s="738"/>
      <c r="Z73" s="727" t="str">
        <f>IFERROR(__xludf.DUMMYFUNCTION("""COMPUTED_VALUE"""),"https://drive.google.com/open?id=0B95WhYooraDeejhMN0paNXZneHc")</f>
        <v>https://drive.google.com/open?id=0B95WhYooraDeejhMN0paNXZneHc</v>
      </c>
      <c r="AA73" s="40" t="str">
        <f>IFERROR(__xludf.DUMMYFUNCTION("""COMPUTED_VALUE"""),"x")</f>
        <v>x</v>
      </c>
      <c r="AB73" s="40"/>
    </row>
    <row r="74">
      <c r="A74" s="717" t="str">
        <f>IFERROR(__xludf.DUMMYFUNCTION("""COMPUTED_VALUE"""),"Jayakody RL, 1993")</f>
        <v>Jayakody RL, 1993</v>
      </c>
      <c r="B74" s="40"/>
      <c r="C74" s="718" t="str">
        <f>IFERROR(__xludf.DUMMYFUNCTION("""COMPUTED_VALUE"""),"Kirti")</f>
        <v>Kirti</v>
      </c>
      <c r="D74" s="718" t="str">
        <f>IFERROR(__xludf.DUMMYFUNCTION("""COMPUTED_VALUE"""),"Sri Lanka")</f>
        <v>Sri Lanka</v>
      </c>
      <c r="E74" s="719" t="str">
        <f>IFERROR(__xludf.DUMMYFUNCTION("""COMPUTED_VALUE"""),"w. bancrofti")</f>
        <v>w. bancrofti</v>
      </c>
      <c r="F74" s="718" t="str">
        <f>IFERROR(__xludf.DUMMYFUNCTION("""COMPUTED_VALUE"""),"Albendazole")</f>
        <v>Albendazole</v>
      </c>
      <c r="G74" s="732" t="str">
        <f>IFERROR(__xludf.DUMMYFUNCTION("""COMPUTED_VALUE"""),"800 mg ")</f>
        <v>800 mg </v>
      </c>
      <c r="H74" s="732">
        <f>IFERROR(__xludf.DUMMYFUNCTION("""COMPUTED_VALUE"""),21.0)</f>
        <v>21</v>
      </c>
      <c r="I74" s="756">
        <f>IFERROR(__xludf.DUMMYFUNCTION("""COMPUTED_VALUE"""),0.986)</f>
        <v>0.986</v>
      </c>
      <c r="J74" s="720">
        <f>IFERROR(__xludf.DUMMYFUNCTION("""COMPUTED_VALUE"""),0.5)</f>
        <v>0.5</v>
      </c>
      <c r="K74" s="718" t="str">
        <f>IFERROR(__xludf.DUMMYFUNCTION("""COMPUTED_VALUE"""),"not available ")</f>
        <v>not available </v>
      </c>
      <c r="L74" s="718">
        <f>IFERROR(__xludf.DUMMYFUNCTION("""COMPUTED_VALUE"""),16.0)</f>
        <v>16</v>
      </c>
      <c r="M74" s="721" t="str">
        <f>IFERROR(__xludf.DUMMYFUNCTION("""COMPUTED_VALUE"""),"18 to 65")</f>
        <v>18 to 65</v>
      </c>
      <c r="N74" s="744" t="str">
        <f>IFERROR(__xludf.DUMMYFUNCTION("""COMPUTED_VALUE"""),"males")</f>
        <v>males</v>
      </c>
      <c r="O74" s="718" t="str">
        <f>IFERROR(__xludf.DUMMYFUNCTION("""COMPUTED_VALUE"""),"Asymptomatic men aged 18 to 65 with Wuchereria bancrofti mf Patients with mf density in night blood films &gt; 100 mf/mL at least once during previous week included")</f>
        <v>Asymptomatic men aged 18 to 65 with Wuchereria bancrofti mf Patients with mf density in night blood films &gt; 100 mf/mL at least once during previous week included</v>
      </c>
      <c r="P74" s="40"/>
      <c r="Q74" s="718" t="str">
        <f>IFERROR(__xludf.DUMMYFUNCTION("""COMPUTED_VALUE"""),"No")</f>
        <v>No</v>
      </c>
      <c r="R74" s="718" t="str">
        <f>IFERROR(__xludf.DUMMYFUNCTION("""COMPUTED_VALUE"""),"Yes")</f>
        <v>Yes</v>
      </c>
      <c r="S74" s="718" t="str">
        <f>IFERROR(__xludf.DUMMYFUNCTION("""COMPUTED_VALUE"""),"18 months ")</f>
        <v>18 months </v>
      </c>
      <c r="T74" s="718" t="str">
        <f>IFERROR(__xludf.DUMMYFUNCTION("""COMPUTED_VALUE"""),"Both drugs had effects on the adult filarial worms.")</f>
        <v>Both drugs had effects on the adult filarial worms.</v>
      </c>
      <c r="U74" s="718" t="str">
        <f>IFERROR(__xludf.DUMMYFUNCTION("""COMPUTED_VALUE"""),"Three patients from albendazole group, one due to absenteeism and two others who had the severe scrotal syndrome could not complete the 21 day treatment course. ")</f>
        <v>Three patients from albendazole group, one due to absenteeism and two others who had the severe scrotal syndrome could not complete the 21 day treatment course. </v>
      </c>
      <c r="V74" s="724">
        <f>IFERROR(__xludf.DUMMYFUNCTION("""COMPUTED_VALUE"""),1993.0)</f>
        <v>1993</v>
      </c>
      <c r="W74" s="724">
        <f>IFERROR(__xludf.DUMMYFUNCTION("""COMPUTED_VALUE"""),1993.0)</f>
        <v>1993</v>
      </c>
      <c r="X74" s="40" t="str">
        <f>IFERROR(__xludf.DUMMYFUNCTION("""COMPUTED_VALUE"""),"Jayakody RL, De Silva CS, Weerasinghe WM. Treatment of bancroftian filariasis with albendazole: evaluation of efficacy and adverse reactions. Tropical Biomedicine 1993;10:19–24.")</f>
        <v>Jayakody RL, De Silva CS, Weerasinghe WM. Treatment of bancroftian filariasis with albendazole: evaluation of efficacy and adverse reactions. Tropical Biomedicine 1993;10:19–24.</v>
      </c>
      <c r="Y74" s="726"/>
      <c r="Z74" s="727" t="str">
        <f>IFERROR(__xludf.DUMMYFUNCTION("""COMPUTED_VALUE"""),"https://drive.google.com/file/d/0B-yoIBO7tf7FN0xPa1Z6cmMtTTQ/view?usp=sharing")</f>
        <v>https://drive.google.com/file/d/0B-yoIBO7tf7FN0xPa1Z6cmMtTTQ/view?usp=sharing</v>
      </c>
      <c r="AA74" s="40"/>
      <c r="AB74" s="40"/>
    </row>
    <row r="75">
      <c r="A75" s="717" t="str">
        <f>IFERROR(__xludf.DUMMYFUNCTION("""COMPUTED_VALUE"""),"Jayakody RL, 1993")</f>
        <v>Jayakody RL, 1993</v>
      </c>
      <c r="B75" s="40"/>
      <c r="C75" s="718" t="str">
        <f>IFERROR(__xludf.DUMMYFUNCTION("""COMPUTED_VALUE"""),"Kirti")</f>
        <v>Kirti</v>
      </c>
      <c r="D75" s="718" t="str">
        <f>IFERROR(__xludf.DUMMYFUNCTION("""COMPUTED_VALUE"""),"Sri Lanka")</f>
        <v>Sri Lanka</v>
      </c>
      <c r="E75" s="719" t="str">
        <f>IFERROR(__xludf.DUMMYFUNCTION("""COMPUTED_VALUE"""),"w. bancrofti")</f>
        <v>w. bancrofti</v>
      </c>
      <c r="F75" s="718" t="str">
        <f>IFERROR(__xludf.DUMMYFUNCTION("""COMPUTED_VALUE"""),"DEC")</f>
        <v>DEC</v>
      </c>
      <c r="G75" s="732" t="str">
        <f>IFERROR(__xludf.DUMMYFUNCTION("""COMPUTED_VALUE"""),"12 mg/kg ")</f>
        <v>12 mg/kg </v>
      </c>
      <c r="H75" s="732">
        <f>IFERROR(__xludf.DUMMYFUNCTION("""COMPUTED_VALUE"""),21.0)</f>
        <v>21</v>
      </c>
      <c r="I75" s="756">
        <f>IFERROR(__xludf.DUMMYFUNCTION("""COMPUTED_VALUE"""),0.991)</f>
        <v>0.991</v>
      </c>
      <c r="J75" s="720">
        <f>IFERROR(__xludf.DUMMYFUNCTION("""COMPUTED_VALUE"""),0.5)</f>
        <v>0.5</v>
      </c>
      <c r="K75" s="718" t="str">
        <f>IFERROR(__xludf.DUMMYFUNCTION("""COMPUTED_VALUE"""),"not available ")</f>
        <v>not available </v>
      </c>
      <c r="L75" s="718">
        <f>IFERROR(__xludf.DUMMYFUNCTION("""COMPUTED_VALUE"""),13.0)</f>
        <v>13</v>
      </c>
      <c r="M75" s="721" t="str">
        <f>IFERROR(__xludf.DUMMYFUNCTION("""COMPUTED_VALUE"""),"18 to 65")</f>
        <v>18 to 65</v>
      </c>
      <c r="N75" s="744" t="str">
        <f>IFERROR(__xludf.DUMMYFUNCTION("""COMPUTED_VALUE"""),"males")</f>
        <v>males</v>
      </c>
      <c r="O75" s="718" t="str">
        <f>IFERROR(__xludf.DUMMYFUNCTION("""COMPUTED_VALUE"""),"Asymptomatic men aged 18 to 65 with Wuchereria bancrofti mf Patients with mf density in night blood films &gt; 100 mf/mL at least once during previous week included")</f>
        <v>Asymptomatic men aged 18 to 65 with Wuchereria bancrofti mf Patients with mf density in night blood films &gt; 100 mf/mL at least once during previous week included</v>
      </c>
      <c r="P75" s="40"/>
      <c r="Q75" s="718" t="str">
        <f>IFERROR(__xludf.DUMMYFUNCTION("""COMPUTED_VALUE"""),"No")</f>
        <v>No</v>
      </c>
      <c r="R75" s="718" t="str">
        <f>IFERROR(__xludf.DUMMYFUNCTION("""COMPUTED_VALUE"""),"Yes")</f>
        <v>Yes</v>
      </c>
      <c r="S75" s="718" t="str">
        <f>IFERROR(__xludf.DUMMYFUNCTION("""COMPUTED_VALUE"""),"18 months ")</f>
        <v>18 months </v>
      </c>
      <c r="T75" s="718" t="str">
        <f>IFERROR(__xludf.DUMMYFUNCTION("""COMPUTED_VALUE"""),"Both drugs had effects on the adult filarial worms.")</f>
        <v>Both drugs had effects on the adult filarial worms.</v>
      </c>
      <c r="U75" s="732" t="str">
        <f>IFERROR(__xludf.DUMMYFUNCTION("""COMPUTED_VALUE"""),"In DEC group one patient had fever, right hypochondrial pain and repeated vomiting and was off the study.")</f>
        <v>In DEC group one patient had fever, right hypochondrial pain and repeated vomiting and was off the study.</v>
      </c>
      <c r="V75" s="724">
        <f>IFERROR(__xludf.DUMMYFUNCTION("""COMPUTED_VALUE"""),1993.0)</f>
        <v>1993</v>
      </c>
      <c r="W75" s="724">
        <f>IFERROR(__xludf.DUMMYFUNCTION("""COMPUTED_VALUE"""),1993.0)</f>
        <v>1993</v>
      </c>
      <c r="X75" s="40" t="str">
        <f>IFERROR(__xludf.DUMMYFUNCTION("""COMPUTED_VALUE"""),"Jayakody RL, De Silva CS, Weerasinghe WM. Treatment of bancroftian filariasis with albendazole: evaluation of efficacy and adverse reactions. Tropical Biomedicine 1993;10:19–24.")</f>
        <v>Jayakody RL, De Silva CS, Weerasinghe WM. Treatment of bancroftian filariasis with albendazole: evaluation of efficacy and adverse reactions. Tropical Biomedicine 1993;10:19–24.</v>
      </c>
      <c r="Y75" s="726"/>
      <c r="Z75" s="727" t="str">
        <f>IFERROR(__xludf.DUMMYFUNCTION("""COMPUTED_VALUE"""),"https://drive.google.com/file/d/0B-yoIBO7tf7FN0xPa1Z6cmMtTTQ/view?usp=sharing")</f>
        <v>https://drive.google.com/file/d/0B-yoIBO7tf7FN0xPa1Z6cmMtTTQ/view?usp=sharing</v>
      </c>
      <c r="AA75" s="40"/>
      <c r="AB75" s="40"/>
    </row>
    <row r="76">
      <c r="A76" s="728" t="str">
        <f>IFERROR(__xludf.DUMMYFUNCTION("""COMPUTED_VALUE"""),"Kazura 1993")</f>
        <v>Kazura 1993</v>
      </c>
      <c r="B76" s="730" t="str">
        <f>IFERROR(__xludf.DUMMYFUNCTION("""COMPUTED_VALUE"""),"Kirti")</f>
        <v>Kirti</v>
      </c>
      <c r="C76" s="730" t="str">
        <f>IFERROR(__xludf.DUMMYFUNCTION("""COMPUTED_VALUE"""),"Ross")</f>
        <v>Ross</v>
      </c>
      <c r="D76" s="730" t="str">
        <f>IFERROR(__xludf.DUMMYFUNCTION("""COMPUTED_VALUE"""),"Papua New Guinea")</f>
        <v>Papua New Guinea</v>
      </c>
      <c r="E76" s="747" t="str">
        <f>IFERROR(__xludf.DUMMYFUNCTION("""COMPUTED_VALUE"""),"W. bancrofti")</f>
        <v>W. bancrofti</v>
      </c>
      <c r="F76" s="718" t="str">
        <f>IFERROR(__xludf.DUMMYFUNCTION("""COMPUTED_VALUE"""),"DEC")</f>
        <v>DEC</v>
      </c>
      <c r="G76" s="730" t="str">
        <f>IFERROR(__xludf.DUMMYFUNCTION("""COMPUTED_VALUE"""),"6 mg/kg ")</f>
        <v>6 mg/kg </v>
      </c>
      <c r="H76" s="740">
        <f>IFERROR(__xludf.DUMMYFUNCTION("""COMPUTED_VALUE"""),1.0)</f>
        <v>1</v>
      </c>
      <c r="I76" s="742">
        <f>IFERROR(__xludf.DUMMYFUNCTION("""COMPUTED_VALUE"""),0.905)</f>
        <v>0.905</v>
      </c>
      <c r="J76" s="216"/>
      <c r="K76" s="40"/>
      <c r="L76" s="734">
        <f>IFERROR(__xludf.DUMMYFUNCTION("""COMPUTED_VALUE"""),10.0)</f>
        <v>10</v>
      </c>
      <c r="M76" s="754" t="str">
        <f>IFERROR(__xludf.DUMMYFUNCTION("""COMPUTED_VALUE"""),"25-31")</f>
        <v>25-31</v>
      </c>
      <c r="N76" s="744" t="str">
        <f>IFERROR(__xludf.DUMMYFUNCTION("""COMPUTED_VALUE"""),"males")</f>
        <v>males</v>
      </c>
      <c r="O76" s="730" t="str">
        <f>IFERROR(__xludf.DUMMYFUNCTION("""COMPUTED_VALUE"""),"1) Parasitemia exceeding 100mf/ml blood. 2) Lack of symptoms attributable to acute manifestation of lymphatic filariasis, such as fever, lymph node pain, painful swelling of the scrota and extremities. 3) Liver function test results (glutamate oxaloacetat"&amp;"e transaminase, serum glutamate pyruvate transaminase, alkaline phosphatase, bilirubin), renal function test results (blood urea nitrogen, creatinine), and hematocrit ( &gt; 35%) within normal limits.")</f>
        <v>1) Parasitemia exceeding 100mf/ml blood. 2) Lack of symptoms attributable to acute manifestation of lymphatic filariasis, such as fever, lymph node pain, painful swelling of the scrota and extremities. 3) Liver function test results (glutamate oxaloacetate transaminase, serum glutamate pyruvate transaminase, alkaline phosphatase, bilirubin), renal function test results (blood urea nitrogen, creatinine), and hematocrit ( &gt; 35%) within normal limits.</v>
      </c>
      <c r="P76" s="723" t="str">
        <f>IFERROR(__xludf.DUMMYFUNCTION("""COMPUTED_VALUE"""),"double blind RCT")</f>
        <v>double blind RCT</v>
      </c>
      <c r="Q76" s="718" t="str">
        <f>IFERROR(__xludf.DUMMYFUNCTION("""COMPUTED_VALUE"""),"Yes")</f>
        <v>Yes</v>
      </c>
      <c r="R76" s="718" t="str">
        <f>IFERROR(__xludf.DUMMYFUNCTION("""COMPUTED_VALUE"""),"Yes")</f>
        <v>Yes</v>
      </c>
      <c r="S76" s="730" t="str">
        <f>IFERROR(__xludf.DUMMYFUNCTION("""COMPUTED_VALUE"""),"18 months")</f>
        <v>18 months</v>
      </c>
      <c r="T76" s="730" t="str">
        <f>IFERROR(__xludf.DUMMYFUNCTION("""COMPUTED_VALUE"""),"Single doses of DEC are superior to currently recommended doses of Ivermectin for induction of sustained reductions in microfilaremia. ")</f>
        <v>Single doses of DEC are superior to currently recommended doses of Ivermectin for induction of sustained reductions in microfilaremia. </v>
      </c>
      <c r="U76" s="730" t="str">
        <f>IFERROR(__xludf.DUMMYFUNCTION("""COMPUTED_VALUE"""),"The researcher provided the exact value for % reduction in  microfilaremia for DEC (6mg/kg) and Ivermectin (420 μg/kg). The rest of the data on % reduction of  microfilaremia were extimated by looking at the graph in Figure 2. ")</f>
        <v>The researcher provided the exact value for % reduction in  microfilaremia for DEC (6mg/kg) and Ivermectin (420 μg/kg). The rest of the data on % reduction of  microfilaremia were extimated by looking at the graph in Figure 2. </v>
      </c>
      <c r="V76" s="737">
        <f>IFERROR(__xludf.DUMMYFUNCTION("""COMPUTED_VALUE"""),1993.0)</f>
        <v>1993</v>
      </c>
      <c r="W76" s="737">
        <f>IFERROR(__xludf.DUMMYFUNCTION("""COMPUTED_VALUE"""),1993.0)</f>
        <v>1993</v>
      </c>
      <c r="X76" s="730" t="str">
        <f>IFERROR(__xludf.DUMMYFUNCTION("""COMPUTED_VALUE"""),"Kazura J, Greenberg J, Perry R, Weil G, Day K, Alpers M. Comparison of single-dose diethylcarbamazine and ivermectin for treatment of bancroftian filariasis in Papua New Guinea. The American Society of Tropical Medicine and Hygiene 1993; 49 (6): 804-811")</f>
        <v>Kazura J, Greenberg J, Perry R, Weil G, Day K, Alpers M. Comparison of single-dose diethylcarbamazine and ivermectin for treatment of bancroftian filariasis in Papua New Guinea. The American Society of Tropical Medicine and Hygiene 1993; 49 (6): 804-811</v>
      </c>
      <c r="Y76" s="738" t="str">
        <f>IFERROR(__xludf.DUMMYFUNCTION("""COMPUTED_VALUE"""),"PMID: 8279647")</f>
        <v>PMID: 8279647</v>
      </c>
      <c r="Z76" s="727" t="str">
        <f>IFERROR(__xludf.DUMMYFUNCTION("""COMPUTED_VALUE"""),"https://drive.google.com/file/d/0By3QPyQz621GU0V1Q3pwb09WZ28/view?usp=sharing")</f>
        <v>https://drive.google.com/file/d/0By3QPyQz621GU0V1Q3pwb09WZ28/view?usp=sharing</v>
      </c>
      <c r="AA76" s="40"/>
      <c r="AB76" s="40"/>
    </row>
    <row r="77">
      <c r="A77" s="728" t="str">
        <f>IFERROR(__xludf.DUMMYFUNCTION("""COMPUTED_VALUE"""),"Kazura 1993")</f>
        <v>Kazura 1993</v>
      </c>
      <c r="B77" s="730" t="str">
        <f>IFERROR(__xludf.DUMMYFUNCTION("""COMPUTED_VALUE"""),"Kirti")</f>
        <v>Kirti</v>
      </c>
      <c r="C77" s="730" t="str">
        <f>IFERROR(__xludf.DUMMYFUNCTION("""COMPUTED_VALUE"""),"Ross")</f>
        <v>Ross</v>
      </c>
      <c r="D77" s="730" t="str">
        <f>IFERROR(__xludf.DUMMYFUNCTION("""COMPUTED_VALUE"""),"Papua New Guinea")</f>
        <v>Papua New Guinea</v>
      </c>
      <c r="E77" s="747" t="str">
        <f>IFERROR(__xludf.DUMMYFUNCTION("""COMPUTED_VALUE"""),"W. bancrofti")</f>
        <v>W. bancrofti</v>
      </c>
      <c r="F77" s="718" t="str">
        <f>IFERROR(__xludf.DUMMYFUNCTION("""COMPUTED_VALUE"""),"DEC")</f>
        <v>DEC</v>
      </c>
      <c r="G77" s="755" t="str">
        <f>IFERROR(__xludf.DUMMYFUNCTION("""COMPUTED_VALUE"""),"1 mg/kg on day 1 + 6mg/kg 4 days later")</f>
        <v>1 mg/kg on day 1 + 6mg/kg 4 days later</v>
      </c>
      <c r="H77" s="740">
        <f>IFERROR(__xludf.DUMMYFUNCTION("""COMPUTED_VALUE"""),1.0)</f>
        <v>1</v>
      </c>
      <c r="I77" s="742">
        <f>IFERROR(__xludf.DUMMYFUNCTION("""COMPUTED_VALUE"""),0.83)</f>
        <v>0.83</v>
      </c>
      <c r="J77" s="216"/>
      <c r="K77" s="40"/>
      <c r="L77" s="734">
        <f>IFERROR(__xludf.DUMMYFUNCTION("""COMPUTED_VALUE"""),10.0)</f>
        <v>10</v>
      </c>
      <c r="M77" s="754" t="str">
        <f>IFERROR(__xludf.DUMMYFUNCTION("""COMPUTED_VALUE"""),"25-31")</f>
        <v>25-31</v>
      </c>
      <c r="N77" s="744" t="str">
        <f>IFERROR(__xludf.DUMMYFUNCTION("""COMPUTED_VALUE"""),"males")</f>
        <v>males</v>
      </c>
      <c r="O77" s="730" t="str">
        <f>IFERROR(__xludf.DUMMYFUNCTION("""COMPUTED_VALUE"""),"1) Parasitemia exceeding 100mf/ml blood. 2) Lack of symptoms attributable to acute manifestation of lymphatic filariasis, such as fever, lymph node pain, painful swelling of the scrota and extremities. 3) Liver function test results (glutamate oxaloacetat"&amp;"e transaminase, serum glutamate pyruvate transaminase, alkaline phosphatase, bilirubin), renal function test results (blood urea nitrogen, creatinine), and hematocrit ( &gt; 35%) within normal limits.")</f>
        <v>1) Parasitemia exceeding 100mf/ml blood. 2) Lack of symptoms attributable to acute manifestation of lymphatic filariasis, such as fever, lymph node pain, painful swelling of the scrota and extremities. 3) Liver function test results (glutamate oxaloacetate transaminase, serum glutamate pyruvate transaminase, alkaline phosphatase, bilirubin), renal function test results (blood urea nitrogen, creatinine), and hematocrit ( &gt; 35%) within normal limits.</v>
      </c>
      <c r="P77" s="723" t="str">
        <f>IFERROR(__xludf.DUMMYFUNCTION("""COMPUTED_VALUE"""),"double blind RCT")</f>
        <v>double blind RCT</v>
      </c>
      <c r="Q77" s="718" t="str">
        <f>IFERROR(__xludf.DUMMYFUNCTION("""COMPUTED_VALUE"""),"Yes")</f>
        <v>Yes</v>
      </c>
      <c r="R77" s="718" t="str">
        <f>IFERROR(__xludf.DUMMYFUNCTION("""COMPUTED_VALUE"""),"Yes")</f>
        <v>Yes</v>
      </c>
      <c r="S77" s="730" t="str">
        <f>IFERROR(__xludf.DUMMYFUNCTION("""COMPUTED_VALUE"""),"18 months")</f>
        <v>18 months</v>
      </c>
      <c r="T77" s="730" t="str">
        <f>IFERROR(__xludf.DUMMYFUNCTION("""COMPUTED_VALUE"""),"Single doses of DEC are superior to currently recommended doses of Ivermectin for induction of sustained reductions in microfilaremia. ")</f>
        <v>Single doses of DEC are superior to currently recommended doses of Ivermectin for induction of sustained reductions in microfilaremia. </v>
      </c>
      <c r="U77" s="730" t="str">
        <f>IFERROR(__xludf.DUMMYFUNCTION("""COMPUTED_VALUE"""),"The researcher provided the exact value for % reduction in  microfilaremia for DEC (6mg/kg) and Ivermectin (420 μg/kg). The rest of the data on % reduction of  microfilaremia were extimated by looking at the graph in Figure 2. ")</f>
        <v>The researcher provided the exact value for % reduction in  microfilaremia for DEC (6mg/kg) and Ivermectin (420 μg/kg). The rest of the data on % reduction of  microfilaremia were extimated by looking at the graph in Figure 2. </v>
      </c>
      <c r="V77" s="737">
        <f>IFERROR(__xludf.DUMMYFUNCTION("""COMPUTED_VALUE"""),1993.0)</f>
        <v>1993</v>
      </c>
      <c r="W77" s="737">
        <f>IFERROR(__xludf.DUMMYFUNCTION("""COMPUTED_VALUE"""),1993.0)</f>
        <v>1993</v>
      </c>
      <c r="X77" s="730" t="str">
        <f>IFERROR(__xludf.DUMMYFUNCTION("""COMPUTED_VALUE"""),"Kazura J, Greenberg J, Perry R, Weil G, Day K, Alpers M. Comparison of single-dose diethylcarbamazine and ivermectin for treatment of bancroftian filariasis in Papua New Guinea. The American Society of Tropical Medicine and Hygiene 1993; 49 (6): 804-811")</f>
        <v>Kazura J, Greenberg J, Perry R, Weil G, Day K, Alpers M. Comparison of single-dose diethylcarbamazine and ivermectin for treatment of bancroftian filariasis in Papua New Guinea. The American Society of Tropical Medicine and Hygiene 1993; 49 (6): 804-811</v>
      </c>
      <c r="Y77" s="738" t="str">
        <f>IFERROR(__xludf.DUMMYFUNCTION("""COMPUTED_VALUE"""),"PMID: 8279648")</f>
        <v>PMID: 8279648</v>
      </c>
      <c r="Z77" s="727" t="str">
        <f>IFERROR(__xludf.DUMMYFUNCTION("""COMPUTED_VALUE"""),"https://drive.google.com/file/d/0By3QPyQz621GU0V1Q3pwb09WZ28/view?usp=sharing")</f>
        <v>https://drive.google.com/file/d/0By3QPyQz621GU0V1Q3pwb09WZ28/view?usp=sharing</v>
      </c>
      <c r="AA77" s="40"/>
      <c r="AB77" s="40"/>
    </row>
    <row r="78">
      <c r="A78" s="728" t="str">
        <f>IFERROR(__xludf.DUMMYFUNCTION("""COMPUTED_VALUE"""),"Kazura 1993")</f>
        <v>Kazura 1993</v>
      </c>
      <c r="B78" s="730" t="str">
        <f>IFERROR(__xludf.DUMMYFUNCTION("""COMPUTED_VALUE"""),"Kirti")</f>
        <v>Kirti</v>
      </c>
      <c r="C78" s="730" t="str">
        <f>IFERROR(__xludf.DUMMYFUNCTION("""COMPUTED_VALUE"""),"Ross")</f>
        <v>Ross</v>
      </c>
      <c r="D78" s="730" t="str">
        <f>IFERROR(__xludf.DUMMYFUNCTION("""COMPUTED_VALUE"""),"Papua New Guinea")</f>
        <v>Papua New Guinea</v>
      </c>
      <c r="E78" s="747" t="str">
        <f>IFERROR(__xludf.DUMMYFUNCTION("""COMPUTED_VALUE"""),"W. bancrofti")</f>
        <v>W. bancrofti</v>
      </c>
      <c r="F78" s="730" t="str">
        <f>IFERROR(__xludf.DUMMYFUNCTION("""COMPUTED_VALUE"""),"Ivermectin")</f>
        <v>Ivermectin</v>
      </c>
      <c r="G78" s="732" t="str">
        <f>IFERROR(__xludf.DUMMYFUNCTION("""COMPUTED_VALUE"""),".220 mg/kg ")</f>
        <v>.220 mg/kg </v>
      </c>
      <c r="H78" s="732">
        <f>IFERROR(__xludf.DUMMYFUNCTION("""COMPUTED_VALUE"""),1.0)</f>
        <v>1</v>
      </c>
      <c r="I78" s="742">
        <f>IFERROR(__xludf.DUMMYFUNCTION("""COMPUTED_VALUE"""),0.58)</f>
        <v>0.58</v>
      </c>
      <c r="J78" s="216"/>
      <c r="K78" s="40"/>
      <c r="L78" s="734">
        <f>IFERROR(__xludf.DUMMYFUNCTION("""COMPUTED_VALUE"""),10.0)</f>
        <v>10</v>
      </c>
      <c r="M78" s="730" t="str">
        <f>IFERROR(__xludf.DUMMYFUNCTION("""COMPUTED_VALUE"""),"25-31")</f>
        <v>25-31</v>
      </c>
      <c r="N78" s="744" t="str">
        <f>IFERROR(__xludf.DUMMYFUNCTION("""COMPUTED_VALUE"""),"males")</f>
        <v>males</v>
      </c>
      <c r="O78" s="730" t="str">
        <f>IFERROR(__xludf.DUMMYFUNCTION("""COMPUTED_VALUE"""),"1) Parasitemia exceeding 100mf/ml blood. 2) Lack of symptoms attributable to acute manifestation of lymphatic filariasis, such as fever, lymph node pain, painful swelling of the scrota and extremities. 3) Liver function test results (glutamate oxaloacetat"&amp;"e transaminase, serum glutamate pyruvate transaminase, alkaline phosphatase, bilirubin), renal function test results (blood urea nitrogen, creatinine), and hematocrit ( &gt; 35%) within normal limits.")</f>
        <v>1) Parasitemia exceeding 100mf/ml blood. 2) Lack of symptoms attributable to acute manifestation of lymphatic filariasis, such as fever, lymph node pain, painful swelling of the scrota and extremities. 3) Liver function test results (glutamate oxaloacetate transaminase, serum glutamate pyruvate transaminase, alkaline phosphatase, bilirubin), renal function test results (blood urea nitrogen, creatinine), and hematocrit ( &gt; 35%) within normal limits.</v>
      </c>
      <c r="P78" s="723" t="str">
        <f>IFERROR(__xludf.DUMMYFUNCTION("""COMPUTED_VALUE"""),"double blind RCT")</f>
        <v>double blind RCT</v>
      </c>
      <c r="Q78" s="718" t="str">
        <f>IFERROR(__xludf.DUMMYFUNCTION("""COMPUTED_VALUE"""),"Yes")</f>
        <v>Yes</v>
      </c>
      <c r="R78" s="718" t="str">
        <f>IFERROR(__xludf.DUMMYFUNCTION("""COMPUTED_VALUE"""),"Yes")</f>
        <v>Yes</v>
      </c>
      <c r="S78" s="730" t="str">
        <f>IFERROR(__xludf.DUMMYFUNCTION("""COMPUTED_VALUE"""),"18 months")</f>
        <v>18 months</v>
      </c>
      <c r="T78" s="730" t="str">
        <f>IFERROR(__xludf.DUMMYFUNCTION("""COMPUTED_VALUE"""),"Single doses of DEC are superior to currently recommended doses of Ivermectin for induction of sustained reductions in microfilaremia. ")</f>
        <v>Single doses of DEC are superior to currently recommended doses of Ivermectin for induction of sustained reductions in microfilaremia. </v>
      </c>
      <c r="U78" s="730" t="str">
        <f>IFERROR(__xludf.DUMMYFUNCTION("""COMPUTED_VALUE"""),"The researcher provided the exact value for % reduction in  microfilaremia for DEC (6mg/kg) and Ivermectin (420 μg/kg). The rest of the data on % reduction of  microfilaremia were extimated by looking at the graph in Figure 2. ")</f>
        <v>The researcher provided the exact value for % reduction in  microfilaremia for DEC (6mg/kg) and Ivermectin (420 μg/kg). The rest of the data on % reduction of  microfilaremia were extimated by looking at the graph in Figure 2. </v>
      </c>
      <c r="V78" s="737">
        <f>IFERROR(__xludf.DUMMYFUNCTION("""COMPUTED_VALUE"""),1993.0)</f>
        <v>1993</v>
      </c>
      <c r="W78" s="737">
        <f>IFERROR(__xludf.DUMMYFUNCTION("""COMPUTED_VALUE"""),1993.0)</f>
        <v>1993</v>
      </c>
      <c r="X78" s="730" t="str">
        <f>IFERROR(__xludf.DUMMYFUNCTION("""COMPUTED_VALUE"""),"Kazura J, Greenberg J, Perry R, Weil G, Day K, Alpers M. Comparison of single-dose diethylcarbamazine and ivermectin for treatment of bancroftian filariasis in Papua New Guinea. The American Society of Tropical Medicine and Hygiene 1993; 49 (6): 804-811")</f>
        <v>Kazura J, Greenberg J, Perry R, Weil G, Day K, Alpers M. Comparison of single-dose diethylcarbamazine and ivermectin for treatment of bancroftian filariasis in Papua New Guinea. The American Society of Tropical Medicine and Hygiene 1993; 49 (6): 804-811</v>
      </c>
      <c r="Y78" s="738" t="str">
        <f>IFERROR(__xludf.DUMMYFUNCTION("""COMPUTED_VALUE"""),"PMID: 8279649")</f>
        <v>PMID: 8279649</v>
      </c>
      <c r="Z78" s="727" t="str">
        <f>IFERROR(__xludf.DUMMYFUNCTION("""COMPUTED_VALUE"""),"https://drive.google.com/file/d/0By3QPyQz621GU0V1Q3pwb09WZ28/view?usp=sharing")</f>
        <v>https://drive.google.com/file/d/0By3QPyQz621GU0V1Q3pwb09WZ28/view?usp=sharing</v>
      </c>
      <c r="AA78" s="40"/>
      <c r="AB78" s="40"/>
    </row>
    <row r="79">
      <c r="A79" s="728" t="str">
        <f>IFERROR(__xludf.DUMMYFUNCTION("""COMPUTED_VALUE"""),"Kazura 1993")</f>
        <v>Kazura 1993</v>
      </c>
      <c r="B79" s="730" t="str">
        <f>IFERROR(__xludf.DUMMYFUNCTION("""COMPUTED_VALUE"""),"Kirti")</f>
        <v>Kirti</v>
      </c>
      <c r="C79" s="730" t="str">
        <f>IFERROR(__xludf.DUMMYFUNCTION("""COMPUTED_VALUE"""),"Ross")</f>
        <v>Ross</v>
      </c>
      <c r="D79" s="730" t="str">
        <f>IFERROR(__xludf.DUMMYFUNCTION("""COMPUTED_VALUE"""),"Papua New Guinea")</f>
        <v>Papua New Guinea</v>
      </c>
      <c r="E79" s="747" t="str">
        <f>IFERROR(__xludf.DUMMYFUNCTION("""COMPUTED_VALUE"""),"W. bancrofti")</f>
        <v>W. bancrofti</v>
      </c>
      <c r="F79" s="730" t="str">
        <f>IFERROR(__xludf.DUMMYFUNCTION("""COMPUTED_VALUE"""),"Ivermectin")</f>
        <v>Ivermectin</v>
      </c>
      <c r="G79" s="732" t="str">
        <f>IFERROR(__xludf.DUMMYFUNCTION("""COMPUTED_VALUE"""),".02 mg/kg on day 1 + .2 mg/kg 4 days later")</f>
        <v>.02 mg/kg on day 1 + .2 mg/kg 4 days later</v>
      </c>
      <c r="H79" s="732">
        <f>IFERROR(__xludf.DUMMYFUNCTION("""COMPUTED_VALUE"""),1.0)</f>
        <v>1</v>
      </c>
      <c r="I79" s="742">
        <f>IFERROR(__xludf.DUMMYFUNCTION("""COMPUTED_VALUE"""),0.74)</f>
        <v>0.74</v>
      </c>
      <c r="J79" s="216"/>
      <c r="K79" s="40"/>
      <c r="L79" s="734">
        <f>IFERROR(__xludf.DUMMYFUNCTION("""COMPUTED_VALUE"""),10.0)</f>
        <v>10</v>
      </c>
      <c r="M79" s="730" t="str">
        <f>IFERROR(__xludf.DUMMYFUNCTION("""COMPUTED_VALUE"""),"25-31")</f>
        <v>25-31</v>
      </c>
      <c r="N79" s="744" t="str">
        <f>IFERROR(__xludf.DUMMYFUNCTION("""COMPUTED_VALUE"""),"males")</f>
        <v>males</v>
      </c>
      <c r="O79" s="730" t="str">
        <f>IFERROR(__xludf.DUMMYFUNCTION("""COMPUTED_VALUE"""),"1) Parasitemia exceeding 100mf/ml blood. 2) Lack of symptoms attributable to acute manifestation of lymphatic filariasis, such as fever, lymph node pain, painful swelling of the scrota and extremities. 3) Liver function test results (glutamate oxaloacetat"&amp;"e transaminase, serum glutamate pyruvate transaminase, alkaline phosphatase, bilirubin), renal function test results (blood urea nitrogen, creatinine), and hematocrit ( &gt; 35%) within normal limits.")</f>
        <v>1) Parasitemia exceeding 100mf/ml blood. 2) Lack of symptoms attributable to acute manifestation of lymphatic filariasis, such as fever, lymph node pain, painful swelling of the scrota and extremities. 3) Liver function test results (glutamate oxaloacetate transaminase, serum glutamate pyruvate transaminase, alkaline phosphatase, bilirubin), renal function test results (blood urea nitrogen, creatinine), and hematocrit ( &gt; 35%) within normal limits.</v>
      </c>
      <c r="P79" s="723" t="str">
        <f>IFERROR(__xludf.DUMMYFUNCTION("""COMPUTED_VALUE"""),"double blind RCT")</f>
        <v>double blind RCT</v>
      </c>
      <c r="Q79" s="718" t="str">
        <f>IFERROR(__xludf.DUMMYFUNCTION("""COMPUTED_VALUE"""),"Yes")</f>
        <v>Yes</v>
      </c>
      <c r="R79" s="718" t="str">
        <f>IFERROR(__xludf.DUMMYFUNCTION("""COMPUTED_VALUE"""),"Yes")</f>
        <v>Yes</v>
      </c>
      <c r="S79" s="730" t="str">
        <f>IFERROR(__xludf.DUMMYFUNCTION("""COMPUTED_VALUE"""),"18 months")</f>
        <v>18 months</v>
      </c>
      <c r="T79" s="730" t="str">
        <f>IFERROR(__xludf.DUMMYFUNCTION("""COMPUTED_VALUE"""),"Single doses of DEC are superior to currently recommended doses of Ivermectin for induction of sustained reductions in microfilaremia. ")</f>
        <v>Single doses of DEC are superior to currently recommended doses of Ivermectin for induction of sustained reductions in microfilaremia. </v>
      </c>
      <c r="U79" s="730" t="str">
        <f>IFERROR(__xludf.DUMMYFUNCTION("""COMPUTED_VALUE"""),"The researcher provided the exact value for % reduction in  microfilaremia for DEC (6mg/kg) and Ivermectin (420 μg/kg). The rest of the data on % reduction of  microfilaremia were extimated by looking at the graph in Figure 2. ")</f>
        <v>The researcher provided the exact value for % reduction in  microfilaremia for DEC (6mg/kg) and Ivermectin (420 μg/kg). The rest of the data on % reduction of  microfilaremia were extimated by looking at the graph in Figure 2. </v>
      </c>
      <c r="V79" s="737">
        <f>IFERROR(__xludf.DUMMYFUNCTION("""COMPUTED_VALUE"""),1993.0)</f>
        <v>1993</v>
      </c>
      <c r="W79" s="737">
        <f>IFERROR(__xludf.DUMMYFUNCTION("""COMPUTED_VALUE"""),1993.0)</f>
        <v>1993</v>
      </c>
      <c r="X79" s="730" t="str">
        <f>IFERROR(__xludf.DUMMYFUNCTION("""COMPUTED_VALUE"""),"Kazura J, Greenberg J, Perry R, Weil G, Day K, Alpers M. Comparison of single-dose diethylcarbamazine and ivermectin for treatment of bancroftian filariasis in Papua New Guinea. The American Society of Tropical Medicine and Hygiene 1993; 49 (6): 804-811")</f>
        <v>Kazura J, Greenberg J, Perry R, Weil G, Day K, Alpers M. Comparison of single-dose diethylcarbamazine and ivermectin for treatment of bancroftian filariasis in Papua New Guinea. The American Society of Tropical Medicine and Hygiene 1993; 49 (6): 804-811</v>
      </c>
      <c r="Y79" s="738" t="str">
        <f>IFERROR(__xludf.DUMMYFUNCTION("""COMPUTED_VALUE"""),"PMID: 8279650")</f>
        <v>PMID: 8279650</v>
      </c>
      <c r="Z79" s="727" t="str">
        <f>IFERROR(__xludf.DUMMYFUNCTION("""COMPUTED_VALUE"""),"https://drive.google.com/file/d/0By3QPyQz621GU0V1Q3pwb09WZ28/view?usp=sharing")</f>
        <v>https://drive.google.com/file/d/0By3QPyQz621GU0V1Q3pwb09WZ28/view?usp=sharing</v>
      </c>
      <c r="AA79" s="40"/>
      <c r="AB79" s="40"/>
    </row>
    <row r="80">
      <c r="A80" s="728" t="str">
        <f>IFERROR(__xludf.DUMMYFUNCTION("""COMPUTED_VALUE"""),"Kazura 1993")</f>
        <v>Kazura 1993</v>
      </c>
      <c r="B80" s="730" t="str">
        <f>IFERROR(__xludf.DUMMYFUNCTION("""COMPUTED_VALUE"""),"Kirti")</f>
        <v>Kirti</v>
      </c>
      <c r="C80" s="730" t="str">
        <f>IFERROR(__xludf.DUMMYFUNCTION("""COMPUTED_VALUE"""),"Ross")</f>
        <v>Ross</v>
      </c>
      <c r="D80" s="730" t="str">
        <f>IFERROR(__xludf.DUMMYFUNCTION("""COMPUTED_VALUE"""),"Papua New Guinea")</f>
        <v>Papua New Guinea</v>
      </c>
      <c r="E80" s="747" t="str">
        <f>IFERROR(__xludf.DUMMYFUNCTION("""COMPUTED_VALUE"""),"W. bancrofti")</f>
        <v>W. bancrofti</v>
      </c>
      <c r="F80" s="730" t="str">
        <f>IFERROR(__xludf.DUMMYFUNCTION("""COMPUTED_VALUE"""),"Ivermectin")</f>
        <v>Ivermectin</v>
      </c>
      <c r="G80" s="732" t="str">
        <f>IFERROR(__xludf.DUMMYFUNCTION("""COMPUTED_VALUE"""),".02 mg/kg on day 1 + .400 mg/kg 4 days later")</f>
        <v>.02 mg/kg on day 1 + .400 mg/kg 4 days later</v>
      </c>
      <c r="H80" s="732">
        <f>IFERROR(__xludf.DUMMYFUNCTION("""COMPUTED_VALUE"""),1.0)</f>
        <v>1</v>
      </c>
      <c r="I80" s="742">
        <f>IFERROR(__xludf.DUMMYFUNCTION("""COMPUTED_VALUE"""),0.863)</f>
        <v>0.863</v>
      </c>
      <c r="J80" s="216"/>
      <c r="K80" s="40"/>
      <c r="L80" s="734">
        <f>IFERROR(__xludf.DUMMYFUNCTION("""COMPUTED_VALUE"""),10.0)</f>
        <v>10</v>
      </c>
      <c r="M80" s="730" t="str">
        <f>IFERROR(__xludf.DUMMYFUNCTION("""COMPUTED_VALUE"""),"25-31")</f>
        <v>25-31</v>
      </c>
      <c r="N80" s="744" t="str">
        <f>IFERROR(__xludf.DUMMYFUNCTION("""COMPUTED_VALUE"""),"males")</f>
        <v>males</v>
      </c>
      <c r="O80" s="730" t="str">
        <f>IFERROR(__xludf.DUMMYFUNCTION("""COMPUTED_VALUE"""),"1) Parasitemia exceeding 100mf/ml blood. 2) Lack of symptoms attributable to acute manifestation of lymphatic filariasis, such as fever, lymph node pain, painful swelling of the scrota and extremities. 3) Liver function test results (glutamate oxaloacetat"&amp;"e transaminase, serum glutamate pyruvate transaminase, alkaline phosphatase, bilirubin), renal function test results (blood urea nitrogen, creatinine), and hematocrit ( &gt; 35%) within normal limits.")</f>
        <v>1) Parasitemia exceeding 100mf/ml blood. 2) Lack of symptoms attributable to acute manifestation of lymphatic filariasis, such as fever, lymph node pain, painful swelling of the scrota and extremities. 3) Liver function test results (glutamate oxaloacetate transaminase, serum glutamate pyruvate transaminase, alkaline phosphatase, bilirubin), renal function test results (blood urea nitrogen, creatinine), and hematocrit ( &gt; 35%) within normal limits.</v>
      </c>
      <c r="P80" s="723" t="str">
        <f>IFERROR(__xludf.DUMMYFUNCTION("""COMPUTED_VALUE"""),"double blind RCT")</f>
        <v>double blind RCT</v>
      </c>
      <c r="Q80" s="718" t="str">
        <f>IFERROR(__xludf.DUMMYFUNCTION("""COMPUTED_VALUE"""),"Yes")</f>
        <v>Yes</v>
      </c>
      <c r="R80" s="718" t="str">
        <f>IFERROR(__xludf.DUMMYFUNCTION("""COMPUTED_VALUE"""),"Yes")</f>
        <v>Yes</v>
      </c>
      <c r="S80" s="730" t="str">
        <f>IFERROR(__xludf.DUMMYFUNCTION("""COMPUTED_VALUE"""),"18 months")</f>
        <v>18 months</v>
      </c>
      <c r="T80" s="730" t="str">
        <f>IFERROR(__xludf.DUMMYFUNCTION("""COMPUTED_VALUE"""),"Single doses of DEC are superior to currently recommended doses of Ivermectin for induction of sustained reductions in microfilaremia. ")</f>
        <v>Single doses of DEC are superior to currently recommended doses of Ivermectin for induction of sustained reductions in microfilaremia. </v>
      </c>
      <c r="U80" s="730" t="str">
        <f>IFERROR(__xludf.DUMMYFUNCTION("""COMPUTED_VALUE"""),"The researcher provided the exact value for % reduction in  microfilaremia for DEC (6mg/kg) and Ivermectin (420 μg/kg). The rest of the data on % reduction of  microfilaremia were extimated by looking at the graph in Figure 2. ")</f>
        <v>The researcher provided the exact value for % reduction in  microfilaremia for DEC (6mg/kg) and Ivermectin (420 μg/kg). The rest of the data on % reduction of  microfilaremia were extimated by looking at the graph in Figure 2. </v>
      </c>
      <c r="V80" s="737">
        <f>IFERROR(__xludf.DUMMYFUNCTION("""COMPUTED_VALUE"""),1993.0)</f>
        <v>1993</v>
      </c>
      <c r="W80" s="737">
        <f>IFERROR(__xludf.DUMMYFUNCTION("""COMPUTED_VALUE"""),1993.0)</f>
        <v>1993</v>
      </c>
      <c r="X80" s="730" t="str">
        <f>IFERROR(__xludf.DUMMYFUNCTION("""COMPUTED_VALUE"""),"Kazura J, Greenberg J, Perry R, Weil G, Day K, Alpers M. Comparison of single-dose diethylcarbamazine and ivermectin for treatment of bancroftian filariasis in Papua New Guinea. The American Society of Tropical Medicine and Hygiene 1993; 49 (6): 804-811")</f>
        <v>Kazura J, Greenberg J, Perry R, Weil G, Day K, Alpers M. Comparison of single-dose diethylcarbamazine and ivermectin for treatment of bancroftian filariasis in Papua New Guinea. The American Society of Tropical Medicine and Hygiene 1993; 49 (6): 804-811</v>
      </c>
      <c r="Y80" s="738" t="str">
        <f>IFERROR(__xludf.DUMMYFUNCTION("""COMPUTED_VALUE"""),"PMID: 8279651")</f>
        <v>PMID: 8279651</v>
      </c>
      <c r="Z80" s="727" t="str">
        <f>IFERROR(__xludf.DUMMYFUNCTION("""COMPUTED_VALUE"""),"https://drive.google.com/file/d/0By3QPyQz621GU0V1Q3pwb09WZ28/view?usp=sharing")</f>
        <v>https://drive.google.com/file/d/0By3QPyQz621GU0V1Q3pwb09WZ28/view?usp=sharing</v>
      </c>
      <c r="AA80" s="40"/>
      <c r="AB80" s="40"/>
    </row>
    <row r="81">
      <c r="A81" s="717" t="str">
        <f>IFERROR(__xludf.DUMMYFUNCTION("""COMPUTED_VALUE"""),"Kshirsagar NA, 2004")</f>
        <v>Kshirsagar NA, 2004</v>
      </c>
      <c r="B81" s="718" t="str">
        <f>IFERROR(__xludf.DUMMYFUNCTION("""COMPUTED_VALUE"""),"Alex")</f>
        <v>Alex</v>
      </c>
      <c r="C81" s="730" t="str">
        <f>IFERROR(__xludf.DUMMYFUNCTION("""COMPUTED_VALUE"""),"Ross")</f>
        <v>Ross</v>
      </c>
      <c r="D81" s="718" t="str">
        <f>IFERROR(__xludf.DUMMYFUNCTION("""COMPUTED_VALUE"""),"India")</f>
        <v>India</v>
      </c>
      <c r="E81" s="719" t="str">
        <f>IFERROR(__xludf.DUMMYFUNCTION("""COMPUTED_VALUE"""),"W. bancrofti")</f>
        <v>W. bancrofti</v>
      </c>
      <c r="F81" s="718" t="str">
        <f>IFERROR(__xludf.DUMMYFUNCTION("""COMPUTED_VALUE"""),"Albendazole placebo &amp; Ivermectin")</f>
        <v>Albendazole placebo &amp; Ivermectin</v>
      </c>
      <c r="G81" s="718" t="str">
        <f>IFERROR(__xludf.DUMMYFUNCTION("""COMPUTED_VALUE"""),"6 mg/kg")</f>
        <v>6 mg/kg</v>
      </c>
      <c r="H81" s="718">
        <f>IFERROR(__xludf.DUMMYFUNCTION("""COMPUTED_VALUE"""),1.0)</f>
        <v>1</v>
      </c>
      <c r="I81" s="741"/>
      <c r="J81" s="756">
        <f>IFERROR(__xludf.DUMMYFUNCTION("""COMPUTED_VALUE"""),0.666)</f>
        <v>0.666</v>
      </c>
      <c r="K81" s="718" t="str">
        <f>IFERROR(__xludf.DUMMYFUNCTION("""COMPUTED_VALUE"""),"not available ")</f>
        <v>not available </v>
      </c>
      <c r="L81" s="718">
        <f>IFERROR(__xludf.DUMMYFUNCTION("""COMPUTED_VALUE"""),21.0)</f>
        <v>21</v>
      </c>
      <c r="M81" s="721" t="str">
        <f>IFERROR(__xludf.DUMMYFUNCTION("""COMPUTED_VALUE"""),"18-50")</f>
        <v>18-50</v>
      </c>
      <c r="N81" s="775" t="str">
        <f>IFERROR(__xludf.DUMMYFUNCTION("""COMPUTED_VALUE"""),"males")</f>
        <v>males</v>
      </c>
      <c r="O81" s="718" t="str">
        <f>IFERROR(__xludf.DUMMYFUNCTION("""COMPUTED_VALUE"""),"males aged 18 to 50 had blood collected via a finger prick which was used to determine if whether the patient was mf postive or negative. Those who were positive were assigned to either the control, DEC, group or the test group, the DEC +ALB, group.")</f>
        <v>males aged 18 to 50 had blood collected via a finger prick which was used to determine if whether the patient was mf postive or negative. Those who were positive were assigned to either the control, DEC, group or the test group, the DEC +ALB, group.</v>
      </c>
      <c r="P81" s="723" t="str">
        <f>IFERROR(__xludf.DUMMYFUNCTION("""COMPUTED_VALUE"""),"double blind RCT")</f>
        <v>double blind RCT</v>
      </c>
      <c r="Q81" s="718" t="str">
        <f>IFERROR(__xludf.DUMMYFUNCTION("""COMPUTED_VALUE"""),"Yes")</f>
        <v>Yes</v>
      </c>
      <c r="R81" s="718" t="str">
        <f>IFERROR(__xludf.DUMMYFUNCTION("""COMPUTED_VALUE"""),"Yes")</f>
        <v>Yes</v>
      </c>
      <c r="S81" s="718" t="str">
        <f>IFERROR(__xludf.DUMMYFUNCTION("""COMPUTED_VALUE"""),"3,6,12 months")</f>
        <v>3,6,12 months</v>
      </c>
      <c r="T81" s="40"/>
      <c r="U81" s="718" t="str">
        <f>IFERROR(__xludf.DUMMYFUNCTION("""COMPUTED_VALUE"""),"The efficacy data used is of those testing mf+ (study also includes safety data and efficacy data for clinical+ and asymptomatic)")</f>
        <v>The efficacy data used is of those testing mf+ (study also includes safety data and efficacy data for clinical+ and asymptomatic)</v>
      </c>
      <c r="V81" s="724">
        <f>IFERROR(__xludf.DUMMYFUNCTION("""COMPUTED_VALUE"""),2004.0)</f>
        <v>2004</v>
      </c>
      <c r="W81" s="724">
        <f>IFERROR(__xludf.DUMMYFUNCTION("""COMPUTED_VALUE"""),2004.0)</f>
        <v>2004</v>
      </c>
      <c r="X81" s="718" t="str">
        <f>IFERROR(__xludf.DUMMYFUNCTION("""COMPUTED_VALUE"""),"Kshirsagar NA, Gogtay NJ, Garg BS, Deshmukh PR, Rajgor DD, Kadam VS, et al.Safety, tolerability, efficacy and plasma concentrations of diethylcarbamazine and albendazole co-administration in a field study in an area endemic for lymphatic filariasis in Ind"&amp;"ia. Transactions of the Royal Society of Tropical Medicine and Hygiene 2004;98(4): 205–17.")</f>
        <v>Kshirsagar NA, Gogtay NJ, Garg BS, Deshmukh PR, Rajgor DD, Kadam VS, et al.Safety, tolerability, efficacy and plasma concentrations of diethylcarbamazine and albendazole co-administration in a field study in an area endemic for lymphatic filariasis in India. Transactions of the Royal Society of Tropical Medicine and Hygiene 2004;98(4): 205–17.</v>
      </c>
      <c r="Y81" s="726" t="str">
        <f>IFERROR(__xludf.DUMMYFUNCTION("""COMPUTED_VALUE"""),"doi:10.1016/S0035-9203(03)00044-0")</f>
        <v>doi:10.1016/S0035-9203(03)00044-0</v>
      </c>
      <c r="Z81" s="727" t="str">
        <f>IFERROR(__xludf.DUMMYFUNCTION("""COMPUTED_VALUE"""),"https://drive.google.com/file/d/0B4sJPAkX0Jo3ODU3Wk1YOW9nMnc/view?usp=sharing")</f>
        <v>https://drive.google.com/file/d/0B4sJPAkX0Jo3ODU3Wk1YOW9nMnc/view?usp=sharing</v>
      </c>
      <c r="AA81" s="40"/>
      <c r="AB81" s="40"/>
    </row>
    <row r="82">
      <c r="A82" s="717" t="str">
        <f>IFERROR(__xludf.DUMMYFUNCTION("""COMPUTED_VALUE"""),"Hoti, 2010")</f>
        <v>Hoti, 2010</v>
      </c>
      <c r="B82" s="718" t="str">
        <f>IFERROR(__xludf.DUMMYFUNCTION("""COMPUTED_VALUE"""),"Alex")</f>
        <v>Alex</v>
      </c>
      <c r="C82" s="730" t="str">
        <f>IFERROR(__xludf.DUMMYFUNCTION("""COMPUTED_VALUE"""),"Ross")</f>
        <v>Ross</v>
      </c>
      <c r="D82" s="718" t="str">
        <f>IFERROR(__xludf.DUMMYFUNCTION("""COMPUTED_VALUE"""),"India")</f>
        <v>India</v>
      </c>
      <c r="E82" s="719" t="str">
        <f>IFERROR(__xludf.DUMMYFUNCTION("""COMPUTED_VALUE"""),"w. bancrofti")</f>
        <v>w. bancrofti</v>
      </c>
      <c r="F82" s="718" t="str">
        <f>IFERROR(__xludf.DUMMYFUNCTION("""COMPUTED_VALUE"""),"Albendazole &amp; DEC")</f>
        <v>Albendazole &amp; DEC</v>
      </c>
      <c r="G82" s="718" t="str">
        <f>IFERROR(__xludf.DUMMYFUNCTION("""COMPUTED_VALUE"""),"400 mg + 6 mg/kg")</f>
        <v>400 mg + 6 mg/kg</v>
      </c>
      <c r="H82" s="718">
        <f>IFERROR(__xludf.DUMMYFUNCTION("""COMPUTED_VALUE"""),1.0)</f>
        <v>1</v>
      </c>
      <c r="I82" s="741">
        <f>IFERROR(__xludf.DUMMYFUNCTION("""COMPUTED_VALUE"""),0.278)</f>
        <v>0.278</v>
      </c>
      <c r="J82" s="756"/>
      <c r="K82" s="718" t="str">
        <f>IFERROR(__xludf.DUMMYFUNCTION("""COMPUTED_VALUE"""),"Not available")</f>
        <v>Not available</v>
      </c>
      <c r="L82" s="770">
        <f>IFERROR(__xludf.DUMMYFUNCTION("""COMPUTED_VALUE"""),18.0)</f>
        <v>18</v>
      </c>
      <c r="M82" s="721" t="str">
        <f>IFERROR(__xludf.DUMMYFUNCTION("""COMPUTED_VALUE"""),"10-57")</f>
        <v>10-57</v>
      </c>
      <c r="N82" s="775" t="str">
        <f>IFERROR(__xludf.DUMMYFUNCTION("""COMPUTED_VALUE"""),"8: 10")</f>
        <v>8: 10</v>
      </c>
      <c r="O82" s="718" t="str">
        <f>IFERROR(__xludf.DUMMYFUNCTION("""COMPUTED_VALUE"""),"symptomatic volunteers were screened for microfilaria (mf) by examining nocturnal thick blood smears. Those testing positive were randomly assigned to receive a single dose of DEC (6 mg/kg body weight) or albendazole 400 mg or both")</f>
        <v>symptomatic volunteers were screened for microfilaria (mf) by examining nocturnal thick blood smears. Those testing positive were randomly assigned to receive a single dose of DEC (6 mg/kg body weight) or albendazole 400 mg or both</v>
      </c>
      <c r="P82" s="723" t="str">
        <f>IFERROR(__xludf.DUMMYFUNCTION("""COMPUTED_VALUE"""),"blinded, randomised treatment groups")</f>
        <v>blinded, randomised treatment groups</v>
      </c>
      <c r="Q82" s="718" t="str">
        <f>IFERROR(__xludf.DUMMYFUNCTION("""COMPUTED_VALUE"""),"Yes")</f>
        <v>Yes</v>
      </c>
      <c r="R82" s="718" t="str">
        <f>IFERROR(__xludf.DUMMYFUNCTION("""COMPUTED_VALUE"""),"Yes")</f>
        <v>Yes</v>
      </c>
      <c r="S82" s="718" t="str">
        <f>IFERROR(__xludf.DUMMYFUNCTION("""COMPUTED_VALUE"""),"1 year, 2 years")</f>
        <v>1 year, 2 years</v>
      </c>
      <c r="T82" s="40"/>
      <c r="U82" s="718"/>
      <c r="V82" s="724">
        <f>IFERROR(__xludf.DUMMYFUNCTION("""COMPUTED_VALUE"""),2010.0)</f>
        <v>2010</v>
      </c>
      <c r="W82" s="724">
        <f>IFERROR(__xludf.DUMMYFUNCTION("""COMPUTED_VALUE"""),2010.0)</f>
        <v>2010</v>
      </c>
      <c r="X82" s="718" t="str">
        <f>IFERROR(__xludf.DUMMYFUNCTION("""COMPUTED_VALUE"""),"Hoti, SL, SP Pani, P. Vanamail, Mary Athisaya, LK Das, and PK Das. ""Effect of a Single Dose of Diethylcarbamazine, Albendazole or Both on the Clearance of Wuchereria Bancrofti Microfilariae and Antigenaemia among Microfilaria Carriers: A Randomized Trial"&amp;"."" The National Medical Journal of India 23, no. 2 (2010): 72-76.")</f>
        <v>Hoti, SL, SP Pani, P. Vanamail, Mary Athisaya, LK Das, and PK Das. "Effect of a Single Dose of Diethylcarbamazine, Albendazole or Both on the Clearance of Wuchereria Bancrofti Microfilariae and Antigenaemia among Microfilaria Carriers: A Randomized Trial." The National Medical Journal of India 23, no. 2 (2010): 72-76.</v>
      </c>
      <c r="Y82" s="726"/>
      <c r="Z82" s="727" t="str">
        <f>IFERROR(__xludf.DUMMYFUNCTION("""COMPUTED_VALUE"""),"https://drive.google.com/file/d/0B-yoIBO7tf7FLXNjbjVaa0NyeVU/view?usp=sharing")</f>
        <v>https://drive.google.com/file/d/0B-yoIBO7tf7FLXNjbjVaa0NyeVU/view?usp=sharing</v>
      </c>
      <c r="AA82" s="40"/>
      <c r="AB82" s="40"/>
    </row>
    <row r="83">
      <c r="A83" s="717" t="str">
        <f>IFERROR(__xludf.DUMMYFUNCTION("""COMPUTED_VALUE"""),"Kumar A, 2013")</f>
        <v>Kumar A, 2013</v>
      </c>
      <c r="B83" s="718" t="str">
        <f>IFERROR(__xludf.DUMMYFUNCTION("""COMPUTED_VALUE"""),"Ross")</f>
        <v>Ross</v>
      </c>
      <c r="C83" s="718" t="str">
        <f>IFERROR(__xludf.DUMMYFUNCTION("""COMPUTED_VALUE"""),"Ross")</f>
        <v>Ross</v>
      </c>
      <c r="D83" s="718" t="str">
        <f>IFERROR(__xludf.DUMMYFUNCTION("""COMPUTED_VALUE"""),"India")</f>
        <v>India</v>
      </c>
      <c r="E83" s="719" t="str">
        <f>IFERROR(__xludf.DUMMYFUNCTION("""COMPUTED_VALUE"""),"W. bancrofti")</f>
        <v>W. bancrofti</v>
      </c>
      <c r="F83" s="718" t="str">
        <f>IFERROR(__xludf.DUMMYFUNCTION("""COMPUTED_VALUE"""),"Albendazole &amp; DEC")</f>
        <v>Albendazole &amp; DEC</v>
      </c>
      <c r="G83" s="761" t="str">
        <f>IFERROR(__xludf.DUMMYFUNCTION("""COMPUTED_VALUE"""),"600 mg + 6 mg/ kg")</f>
        <v>600 mg + 6 mg/ kg</v>
      </c>
      <c r="H83" s="718">
        <f>IFERROR(__xludf.DUMMYFUNCTION("""COMPUTED_VALUE"""),1.0)</f>
        <v>1</v>
      </c>
      <c r="I83" s="720">
        <f>IFERROR(__xludf.DUMMYFUNCTION("""COMPUTED_VALUE"""),0.59)</f>
        <v>0.59</v>
      </c>
      <c r="J83" s="216"/>
      <c r="K83" s="718" t="str">
        <f>IFERROR(__xludf.DUMMYFUNCTION("""COMPUTED_VALUE"""),"not available ")</f>
        <v>not available </v>
      </c>
      <c r="L83" s="718">
        <f>IFERROR(__xludf.DUMMYFUNCTION("""COMPUTED_VALUE"""),705.0)</f>
        <v>705</v>
      </c>
      <c r="M83" s="721" t="str">
        <f>IFERROR(__xludf.DUMMYFUNCTION("""COMPUTED_VALUE"""),"5-87")</f>
        <v>5-87</v>
      </c>
      <c r="N83" s="750" t="str">
        <f>IFERROR(__xludf.DUMMYFUNCTION("""COMPUTED_VALUE"""),"327 : 378")</f>
        <v>327 : 378</v>
      </c>
      <c r="O83" s="718" t="str">
        <f>IFERROR(__xludf.DUMMYFUNCTION("""COMPUTED_VALUE"""),"Subjects had to be over the age of 5 and could not be pregnant")</f>
        <v>Subjects had to be over the age of 5 and could not be pregnant</v>
      </c>
      <c r="P83" s="723" t="str">
        <f>IFERROR(__xludf.DUMMYFUNCTION("""COMPUTED_VALUE"""),"double blind RCT")</f>
        <v>double blind RCT</v>
      </c>
      <c r="Q83" s="718" t="str">
        <f>IFERROR(__xludf.DUMMYFUNCTION("""COMPUTED_VALUE"""),"Yes")</f>
        <v>Yes</v>
      </c>
      <c r="R83" s="718" t="str">
        <f>IFERROR(__xludf.DUMMYFUNCTION("""COMPUTED_VALUE"""),"Yes")</f>
        <v>Yes</v>
      </c>
      <c r="S83" s="718" t="str">
        <f>IFERROR(__xludf.DUMMYFUNCTION("""COMPUTED_VALUE"""),"1 year")</f>
        <v>1 year</v>
      </c>
      <c r="T83" s="718" t="str">
        <f>IFERROR(__xludf.DUMMYFUNCTION("""COMPUTED_VALUE"""),"The present field study has shown the combination of DEC + ALB to be as safe as DEC alone at 12 months follow up.")</f>
        <v>The present field study has shown the combination of DEC + ALB to be as safe as DEC alone at 12 months follow up.</v>
      </c>
      <c r="U83" s="40"/>
      <c r="V83" s="752">
        <f>IFERROR(__xludf.DUMMYFUNCTION("""COMPUTED_VALUE"""),2013.0)</f>
        <v>2013</v>
      </c>
      <c r="W83" s="724">
        <f>IFERROR(__xludf.DUMMYFUNCTION("""COMPUTED_VALUE"""),2013.0)</f>
        <v>2013</v>
      </c>
      <c r="X83" s="40" t="str">
        <f>IFERROR(__xludf.DUMMYFUNCTION("""COMPUTED_VALUE"""),"Anil Kumar, and Pawan Sachan. Measuring impact on filarial infection status in a community study: Role of coverage of mass drug administration (MDA). Tropical Biomedicine 31(2): 225–229 (2014). ")</f>
        <v>Anil Kumar, and Pawan Sachan. Measuring impact on filarial infection status in a community study: Role of coverage of mass drug administration (MDA). Tropical Biomedicine 31(2): 225–229 (2014). </v>
      </c>
      <c r="Y83" s="726"/>
      <c r="Z83" s="727" t="str">
        <f>IFERROR(__xludf.DUMMYFUNCTION("""COMPUTED_VALUE"""),"https://drive.google.com/file/d/0B9vYgR7NsKoYck1HOGdmSmgtdTg/view?usp=sharing")</f>
        <v>https://drive.google.com/file/d/0B9vYgR7NsKoYck1HOGdmSmgtdTg/view?usp=sharing</v>
      </c>
      <c r="AA83" s="40" t="str">
        <f>IFERROR(__xludf.DUMMYFUNCTION("""COMPUTED_VALUE"""),"x")</f>
        <v>x</v>
      </c>
      <c r="AB83" s="40"/>
    </row>
    <row r="84">
      <c r="A84" s="717" t="str">
        <f>IFERROR(__xludf.DUMMYFUNCTION("""COMPUTED_VALUE"""),"Kumar A, 2014")</f>
        <v>Kumar A, 2014</v>
      </c>
      <c r="B84" s="730" t="str">
        <f>IFERROR(__xludf.DUMMYFUNCTION("""COMPUTED_VALUE"""),"Ross")</f>
        <v>Ross</v>
      </c>
      <c r="C84" s="746" t="str">
        <f>IFERROR(__xludf.DUMMYFUNCTION("""COMPUTED_VALUE"""),"Ross")</f>
        <v>Ross</v>
      </c>
      <c r="D84" s="746" t="str">
        <f>IFERROR(__xludf.DUMMYFUNCTION("""COMPUTED_VALUE"""),"India")</f>
        <v>India</v>
      </c>
      <c r="E84" s="747" t="str">
        <f>IFERROR(__xludf.DUMMYFUNCTION("""COMPUTED_VALUE"""),"W. bancrofti")</f>
        <v>W. bancrofti</v>
      </c>
      <c r="F84" s="718" t="str">
        <f>IFERROR(__xludf.DUMMYFUNCTION("""COMPUTED_VALUE"""),"DEC")</f>
        <v>DEC</v>
      </c>
      <c r="G84" s="718" t="str">
        <f>IFERROR(__xludf.DUMMYFUNCTION("""COMPUTED_VALUE"""),"6 mg/kg")</f>
        <v>6 mg/kg</v>
      </c>
      <c r="H84" s="718">
        <f>IFERROR(__xludf.DUMMYFUNCTION("""COMPUTED_VALUE"""),1.0)</f>
        <v>1</v>
      </c>
      <c r="I84" s="749">
        <f>IFERROR(__xludf.DUMMYFUNCTION("""COMPUTED_VALUE"""),0.67)</f>
        <v>0.67</v>
      </c>
      <c r="J84" s="216"/>
      <c r="K84" s="746" t="str">
        <f>IFERROR(__xludf.DUMMYFUNCTION("""COMPUTED_VALUE"""),"not available ")</f>
        <v>not available </v>
      </c>
      <c r="L84" s="746">
        <f>IFERROR(__xludf.DUMMYFUNCTION("""COMPUTED_VALUE"""),698.0)</f>
        <v>698</v>
      </c>
      <c r="M84" s="721" t="str">
        <f>IFERROR(__xludf.DUMMYFUNCTION("""COMPUTED_VALUE"""),"5-87")</f>
        <v>5-87</v>
      </c>
      <c r="N84" s="750" t="str">
        <f>IFERROR(__xludf.DUMMYFUNCTION("""COMPUTED_VALUE"""),"334 : 364")</f>
        <v>334 : 364</v>
      </c>
      <c r="O84" s="718" t="str">
        <f>IFERROR(__xludf.DUMMYFUNCTION("""COMPUTED_VALUE"""),"Subjects had to be over the age of 5 and could not be pregnant")</f>
        <v>Subjects had to be over the age of 5 and could not be pregnant</v>
      </c>
      <c r="P84" s="723" t="str">
        <f>IFERROR(__xludf.DUMMYFUNCTION("""COMPUTED_VALUE"""),"double blind RCT")</f>
        <v>double blind RCT</v>
      </c>
      <c r="Q84" s="718" t="str">
        <f>IFERROR(__xludf.DUMMYFUNCTION("""COMPUTED_VALUE"""),"Yes")</f>
        <v>Yes</v>
      </c>
      <c r="R84" s="718" t="str">
        <f>IFERROR(__xludf.DUMMYFUNCTION("""COMPUTED_VALUE"""),"Yes")</f>
        <v>Yes</v>
      </c>
      <c r="S84" s="718" t="str">
        <f>IFERROR(__xludf.DUMMYFUNCTION("""COMPUTED_VALUE"""),"1 year")</f>
        <v>1 year</v>
      </c>
      <c r="T84" s="718" t="str">
        <f>IFERROR(__xludf.DUMMYFUNCTION("""COMPUTED_VALUE"""),"The present field study has shown the combination of DEC + ALB to be as safe as DEC alone at 12 months follow up.")</f>
        <v>The present field study has shown the combination of DEC + ALB to be as safe as DEC alone at 12 months follow up.</v>
      </c>
      <c r="U84" s="40"/>
      <c r="V84" s="752">
        <f>IFERROR(__xludf.DUMMYFUNCTION("""COMPUTED_VALUE"""),2013.0)</f>
        <v>2013</v>
      </c>
      <c r="W84" s="724">
        <f>IFERROR(__xludf.DUMMYFUNCTION("""COMPUTED_VALUE"""),2013.0)</f>
        <v>2013</v>
      </c>
      <c r="X84" s="40" t="str">
        <f>IFERROR(__xludf.DUMMYFUNCTION("""COMPUTED_VALUE"""),"Anil Kumar, and Pawan Sachan. Measuring impact on filarial infection status in a community study: Role of coverage of mass drug administration (MDA). Tropical Biomedicine 31(2): 225–229 (2014). ")</f>
        <v>Anil Kumar, and Pawan Sachan. Measuring impact on filarial infection status in a community study: Role of coverage of mass drug administration (MDA). Tropical Biomedicine 31(2): 225–229 (2014). </v>
      </c>
      <c r="Y84" s="726"/>
      <c r="Z84" s="727" t="str">
        <f>IFERROR(__xludf.DUMMYFUNCTION("""COMPUTED_VALUE"""),"https://drive.google.com/file/d/0B9vYgR7NsKoYck1HOGdmSmgtdTg/view?usp=sharing")</f>
        <v>https://drive.google.com/file/d/0B9vYgR7NsKoYck1HOGdmSmgtdTg/view?usp=sharing</v>
      </c>
      <c r="AA84" s="40" t="str">
        <f>IFERROR(__xludf.DUMMYFUNCTION("""COMPUTED_VALUE"""),"x")</f>
        <v>x</v>
      </c>
      <c r="AB84" s="40"/>
    </row>
    <row r="85">
      <c r="A85" s="745" t="str">
        <f>IFERROR(__xludf.DUMMYFUNCTION("""COMPUTED_VALUE"""),"Makunde 2003")</f>
        <v>Makunde 2003</v>
      </c>
      <c r="B85" s="746" t="str">
        <f>IFERROR(__xludf.DUMMYFUNCTION("""COMPUTED_VALUE"""),"Chungsoo")</f>
        <v>Chungsoo</v>
      </c>
      <c r="C85" s="746" t="str">
        <f>IFERROR(__xludf.DUMMYFUNCTION("""COMPUTED_VALUE"""),"Kirti ")</f>
        <v>Kirti </v>
      </c>
      <c r="D85" s="746" t="str">
        <f>IFERROR(__xludf.DUMMYFUNCTION("""COMPUTED_VALUE"""),"Tanzania")</f>
        <v>Tanzania</v>
      </c>
      <c r="E85" s="747" t="str">
        <f>IFERROR(__xludf.DUMMYFUNCTION("""COMPUTED_VALUE"""),"W. bancrofti")</f>
        <v>W. bancrofti</v>
      </c>
      <c r="F85" s="718" t="str">
        <f>IFERROR(__xludf.DUMMYFUNCTION("""COMPUTED_VALUE"""),"Albendazole &amp; Ivermectin")</f>
        <v>Albendazole &amp; Ivermectin</v>
      </c>
      <c r="G85" s="746" t="str">
        <f>IFERROR(__xludf.DUMMYFUNCTION("""COMPUTED_VALUE"""),"400 mg+ .150 mg/kg")</f>
        <v>400 mg+ .150 mg/kg</v>
      </c>
      <c r="H85" s="746">
        <f>IFERROR(__xludf.DUMMYFUNCTION("""COMPUTED_VALUE"""),1.0)</f>
        <v>1</v>
      </c>
      <c r="I85" s="749">
        <f>IFERROR(__xludf.DUMMYFUNCTION("""COMPUTED_VALUE"""),0.67)</f>
        <v>0.67</v>
      </c>
      <c r="J85" s="216"/>
      <c r="K85" s="718" t="str">
        <f>IFERROR(__xludf.DUMMYFUNCTION("""COMPUTED_VALUE"""),"not available ")</f>
        <v>not available </v>
      </c>
      <c r="L85" s="746">
        <f>IFERROR(__xludf.DUMMYFUNCTION("""COMPUTED_VALUE"""),8.0)</f>
        <v>8</v>
      </c>
      <c r="M85" s="776" t="str">
        <f>IFERROR(__xludf.DUMMYFUNCTION("""COMPUTED_VALUE"""),"15-55")</f>
        <v>15-55</v>
      </c>
      <c r="N85" s="744" t="str">
        <f>IFERROR(__xludf.DUMMYFUNCTION("""COMPUTED_VALUE"""),"males")</f>
        <v>males</v>
      </c>
      <c r="O85" s="746" t="str">
        <f>IFERROR(__xludf.DUMMYFUNCTION("""COMPUTED_VALUE"""),"Women were excluded from the co-infection group due to the risk of inadvertent pregnancy and the potential effects of unforeseen adverse events on the foetus.")</f>
        <v>Women were excluded from the co-infection group due to the risk of inadvertent pregnancy and the potential effects of unforeseen adverse events on the foetus.</v>
      </c>
      <c r="P85" s="762" t="str">
        <f>IFERROR(__xludf.DUMMYFUNCTION("""COMPUTED_VALUE"""),"crossover, double blind")</f>
        <v>crossover, double blind</v>
      </c>
      <c r="Q85" s="718" t="str">
        <f>IFERROR(__xludf.DUMMYFUNCTION("""COMPUTED_VALUE"""),"Yes")</f>
        <v>Yes</v>
      </c>
      <c r="R85" s="718" t="str">
        <f>IFERROR(__xludf.DUMMYFUNCTION("""COMPUTED_VALUE"""),"Yes")</f>
        <v>Yes</v>
      </c>
      <c r="S85" s="746" t="str">
        <f>IFERROR(__xludf.DUMMYFUNCTION("""COMPUTED_VALUE"""),"1 year")</f>
        <v>1 year</v>
      </c>
      <c r="T85" s="746" t="str">
        <f>IFERROR(__xludf.DUMMYFUNCTION("""COMPUTED_VALUE"""),"ivermectin plus albendazole is a safe and tolerable treatment for co-infection of bancroftian filariasis and onchocerciasis.")</f>
        <v>ivermectin plus albendazole is a safe and tolerable treatment for co-infection of bancroftian filariasis and onchocerciasis.</v>
      </c>
      <c r="U85" s="746" t="str">
        <f>IFERROR(__xludf.DUMMYFUNCTION("""COMPUTED_VALUE"""),"This treatment (Group A) was given to patients with co-infection of bancroftian filariasis and onchocerciasis. In each sub-study individuals were randomly allocated to one of the treatment regimens.")</f>
        <v>This treatment (Group A) was given to patients with co-infection of bancroftian filariasis and onchocerciasis. In each sub-study individuals were randomly allocated to one of the treatment regimens.</v>
      </c>
      <c r="V85" s="752">
        <f>IFERROR(__xludf.DUMMYFUNCTION("""COMPUTED_VALUE"""),2003.0)</f>
        <v>2003</v>
      </c>
      <c r="W85" s="752">
        <f>IFERROR(__xludf.DUMMYFUNCTION("""COMPUTED_VALUE"""),2003.0)</f>
        <v>2003</v>
      </c>
      <c r="X85" s="746" t="str">
        <f>IFERROR(__xludf.DUMMYFUNCTION("""COMPUTED_VALUE"""),"Makunde WH, Kamugisha LM, Massaga JJ, et al. Treatment of co-infection with bancroftian filariasis and onchocerciasis: a safety and efficacy study of albendazole with ivermectin compared to treatment of single infection with bancroftian filariasis. Filari"&amp;"a Journal. 2003;2:15.")</f>
        <v>Makunde WH, Kamugisha LM, Massaga JJ, et al. Treatment of co-infection with bancroftian filariasis and onchocerciasis: a safety and efficacy study of albendazole with ivermectin compared to treatment of single infection with bancroftian filariasis. Filaria Journal. 2003;2:15.</v>
      </c>
      <c r="Y85" s="726" t="str">
        <f>IFERROR(__xludf.DUMMYFUNCTION("""COMPUTED_VALUE"""),"10.1186/1475-2883-2-15")</f>
        <v>10.1186/1475-2883-2-15</v>
      </c>
      <c r="Z85" s="727" t="str">
        <f>IFERROR(__xludf.DUMMYFUNCTION("""COMPUTED_VALUE"""),"https://drive.google.com/file/d/0B0-pry4DSOm3Y1BuZ0FSakRSQ1E/view?usp=sharing")</f>
        <v>https://drive.google.com/file/d/0B0-pry4DSOm3Y1BuZ0FSakRSQ1E/view?usp=sharing</v>
      </c>
      <c r="AA85" s="40" t="str">
        <f>IFERROR(__xludf.DUMMYFUNCTION("""COMPUTED_VALUE"""),"x")</f>
        <v>x</v>
      </c>
      <c r="AB85" s="40"/>
    </row>
    <row r="86">
      <c r="A86" s="745" t="str">
        <f>IFERROR(__xludf.DUMMYFUNCTION("""COMPUTED_VALUE"""),"Makunde 2003")</f>
        <v>Makunde 2003</v>
      </c>
      <c r="B86" s="746" t="str">
        <f>IFERROR(__xludf.DUMMYFUNCTION("""COMPUTED_VALUE"""),"Chungsoo")</f>
        <v>Chungsoo</v>
      </c>
      <c r="C86" s="746" t="str">
        <f>IFERROR(__xludf.DUMMYFUNCTION("""COMPUTED_VALUE"""),"Kirti")</f>
        <v>Kirti</v>
      </c>
      <c r="D86" s="746" t="str">
        <f>IFERROR(__xludf.DUMMYFUNCTION("""COMPUTED_VALUE"""),"Tanzania")</f>
        <v>Tanzania</v>
      </c>
      <c r="E86" s="747" t="str">
        <f>IFERROR(__xludf.DUMMYFUNCTION("""COMPUTED_VALUE"""),"W. bancrofti")</f>
        <v>W. bancrofti</v>
      </c>
      <c r="F86" s="746" t="str">
        <f>IFERROR(__xludf.DUMMYFUNCTION("""COMPUTED_VALUE"""),"Placebo (sachharine tablets)")</f>
        <v>Placebo (sachharine tablets)</v>
      </c>
      <c r="G86" s="746">
        <f>IFERROR(__xludf.DUMMYFUNCTION("""COMPUTED_VALUE"""),6.0)</f>
        <v>6</v>
      </c>
      <c r="H86" s="746">
        <f>IFERROR(__xludf.DUMMYFUNCTION("""COMPUTED_VALUE"""),1.0)</f>
        <v>1</v>
      </c>
      <c r="I86" s="741"/>
      <c r="J86" s="216"/>
      <c r="K86" s="718" t="str">
        <f>IFERROR(__xludf.DUMMYFUNCTION("""COMPUTED_VALUE"""),"not available ")</f>
        <v>not available </v>
      </c>
      <c r="L86" s="746">
        <f>IFERROR(__xludf.DUMMYFUNCTION("""COMPUTED_VALUE"""),7.0)</f>
        <v>7</v>
      </c>
      <c r="M86" s="776" t="str">
        <f>IFERROR(__xludf.DUMMYFUNCTION("""COMPUTED_VALUE"""),"15-55")</f>
        <v>15-55</v>
      </c>
      <c r="N86" s="744" t="str">
        <f>IFERROR(__xludf.DUMMYFUNCTION("""COMPUTED_VALUE"""),"males")</f>
        <v>males</v>
      </c>
      <c r="O86" s="746" t="str">
        <f>IFERROR(__xludf.DUMMYFUNCTION("""COMPUTED_VALUE"""),"Women were excluded from the co-infection group due to the risk of inadvertent pregnancy and the potential effects of unforeseen adverse events on the foetus.")</f>
        <v>Women were excluded from the co-infection group due to the risk of inadvertent pregnancy and the potential effects of unforeseen adverse events on the foetus.</v>
      </c>
      <c r="P86" s="762" t="str">
        <f>IFERROR(__xludf.DUMMYFUNCTION("""COMPUTED_VALUE"""),"crossover, double blind")</f>
        <v>crossover, double blind</v>
      </c>
      <c r="Q86" s="718" t="str">
        <f>IFERROR(__xludf.DUMMYFUNCTION("""COMPUTED_VALUE"""),"Yes")</f>
        <v>Yes</v>
      </c>
      <c r="R86" s="718" t="str">
        <f>IFERROR(__xludf.DUMMYFUNCTION("""COMPUTED_VALUE"""),"Yes")</f>
        <v>Yes</v>
      </c>
      <c r="S86" s="746" t="str">
        <f>IFERROR(__xludf.DUMMYFUNCTION("""COMPUTED_VALUE"""),"1 year")</f>
        <v>1 year</v>
      </c>
      <c r="T86" s="746" t="str">
        <f>IFERROR(__xludf.DUMMYFUNCTION("""COMPUTED_VALUE"""),"ivermectin plus albendazole is a safe and tolerable treatment for co-infection of bancroftian filariasis and onchocerciasis.")</f>
        <v>ivermectin plus albendazole is a safe and tolerable treatment for co-infection of bancroftian filariasis and onchocerciasis.</v>
      </c>
      <c r="U86" s="746" t="str">
        <f>IFERROR(__xludf.DUMMYFUNCTION("""COMPUTED_VALUE"""),"This treatment (Group B) was given to patients with co-infection of bancroftian filariasis and onchocerciasis. Five days later the treatment regime was reversed, with the Group A receiving placebo and Group B receiving treatment. In each sub-study individ"&amp;"uals were randomly allocated to one of the treatment regimens.")</f>
        <v>This treatment (Group B) was given to patients with co-infection of bancroftian filariasis and onchocerciasis. Five days later the treatment regime was reversed, with the Group A receiving placebo and Group B receiving treatment. In each sub-study individuals were randomly allocated to one of the treatment regimens.</v>
      </c>
      <c r="V86" s="752">
        <f>IFERROR(__xludf.DUMMYFUNCTION("""COMPUTED_VALUE"""),2003.0)</f>
        <v>2003</v>
      </c>
      <c r="W86" s="752">
        <f>IFERROR(__xludf.DUMMYFUNCTION("""COMPUTED_VALUE"""),2003.0)</f>
        <v>2003</v>
      </c>
      <c r="X86" s="746" t="str">
        <f>IFERROR(__xludf.DUMMYFUNCTION("""COMPUTED_VALUE"""),"Makunde WH, Kamugisha LM, Massaga JJ, et al. Treatment of co-infection with bancroftian filariasis and onchocerciasis: a safety and efficacy study of albendazole with ivermectin compared to treatment of single infection with bancroftian filariasis. Filari"&amp;"a Journal. 2003;2:15.")</f>
        <v>Makunde WH, Kamugisha LM, Massaga JJ, et al. Treatment of co-infection with bancroftian filariasis and onchocerciasis: a safety and efficacy study of albendazole with ivermectin compared to treatment of single infection with bancroftian filariasis. Filaria Journal. 2003;2:15.</v>
      </c>
      <c r="Y86" s="726" t="str">
        <f>IFERROR(__xludf.DUMMYFUNCTION("""COMPUTED_VALUE"""),"10.1186/1475-2883-2-15")</f>
        <v>10.1186/1475-2883-2-15</v>
      </c>
      <c r="Z86" s="727" t="str">
        <f>IFERROR(__xludf.DUMMYFUNCTION("""COMPUTED_VALUE"""),"https://drive.google.com/file/d/0B0-pry4DSOm3Y1BuZ0FSakRSQ1E/view?usp=sharing")</f>
        <v>https://drive.google.com/file/d/0B0-pry4DSOm3Y1BuZ0FSakRSQ1E/view?usp=sharing</v>
      </c>
      <c r="AA86" s="40" t="str">
        <f>IFERROR(__xludf.DUMMYFUNCTION("""COMPUTED_VALUE"""),"x")</f>
        <v>x</v>
      </c>
      <c r="AB86" s="40"/>
    </row>
    <row r="87">
      <c r="A87" s="745" t="str">
        <f>IFERROR(__xludf.DUMMYFUNCTION("""COMPUTED_VALUE"""),"Makunde 2003")</f>
        <v>Makunde 2003</v>
      </c>
      <c r="B87" s="746" t="str">
        <f>IFERROR(__xludf.DUMMYFUNCTION("""COMPUTED_VALUE"""),"Chungsoo")</f>
        <v>Chungsoo</v>
      </c>
      <c r="C87" s="746" t="str">
        <f>IFERROR(__xludf.DUMMYFUNCTION("""COMPUTED_VALUE"""),"Kirti")</f>
        <v>Kirti</v>
      </c>
      <c r="D87" s="746" t="str">
        <f>IFERROR(__xludf.DUMMYFUNCTION("""COMPUTED_VALUE"""),"Tanzania")</f>
        <v>Tanzania</v>
      </c>
      <c r="E87" s="747" t="str">
        <f>IFERROR(__xludf.DUMMYFUNCTION("""COMPUTED_VALUE"""),"W. bancrofti")</f>
        <v>W. bancrofti</v>
      </c>
      <c r="F87" s="718" t="str">
        <f>IFERROR(__xludf.DUMMYFUNCTION("""COMPUTED_VALUE"""),"Albendazole &amp; Ivermectin")</f>
        <v>Albendazole &amp; Ivermectin</v>
      </c>
      <c r="G87" s="751" t="str">
        <f>IFERROR(__xludf.DUMMYFUNCTION("""COMPUTED_VALUE"""),"400 mg+.150 mg/kg")</f>
        <v>400 mg+.150 mg/kg</v>
      </c>
      <c r="H87" s="751">
        <f>IFERROR(__xludf.DUMMYFUNCTION("""COMPUTED_VALUE"""),1.0)</f>
        <v>1</v>
      </c>
      <c r="I87" s="749">
        <f>IFERROR(__xludf.DUMMYFUNCTION("""COMPUTED_VALUE"""),0.8)</f>
        <v>0.8</v>
      </c>
      <c r="J87" s="216"/>
      <c r="K87" s="718" t="str">
        <f>IFERROR(__xludf.DUMMYFUNCTION("""COMPUTED_VALUE"""),"not available ")</f>
        <v>not available </v>
      </c>
      <c r="L87" s="746">
        <f>IFERROR(__xludf.DUMMYFUNCTION("""COMPUTED_VALUE"""),12.0)</f>
        <v>12</v>
      </c>
      <c r="M87" s="776" t="str">
        <f>IFERROR(__xludf.DUMMYFUNCTION("""COMPUTED_VALUE"""),"15-55")</f>
        <v>15-55</v>
      </c>
      <c r="N87" s="777">
        <f>IFERROR(__xludf.DUMMYFUNCTION("""COMPUTED_VALUE"""),0.5909722222222222)</f>
        <v>0.5909722222</v>
      </c>
      <c r="O87" s="746" t="str">
        <f>IFERROR(__xludf.DUMMYFUNCTION("""COMPUTED_VALUE"""),"Women were excluded from the co-infection group due to the risk of inadvertent pregnancy and the potential effects of unforeseen adverse events on the foetus.")</f>
        <v>Women were excluded from the co-infection group due to the risk of inadvertent pregnancy and the potential effects of unforeseen adverse events on the foetus.</v>
      </c>
      <c r="P87" s="762" t="str">
        <f>IFERROR(__xludf.DUMMYFUNCTION("""COMPUTED_VALUE"""),"open comparison")</f>
        <v>open comparison</v>
      </c>
      <c r="Q87" s="718" t="str">
        <f>IFERROR(__xludf.DUMMYFUNCTION("""COMPUTED_VALUE"""),"No")</f>
        <v>No</v>
      </c>
      <c r="R87" s="718" t="str">
        <f>IFERROR(__xludf.DUMMYFUNCTION("""COMPUTED_VALUE"""),"Yes")</f>
        <v>Yes</v>
      </c>
      <c r="S87" s="746" t="str">
        <f>IFERROR(__xludf.DUMMYFUNCTION("""COMPUTED_VALUE"""),"1 year")</f>
        <v>1 year</v>
      </c>
      <c r="T87" s="746" t="str">
        <f>IFERROR(__xludf.DUMMYFUNCTION("""COMPUTED_VALUE"""),"ivermectin plus albendazole is a safe and tolerable treatment for co-infection of bancroftian filariasis and onchocerciasis.")</f>
        <v>ivermectin plus albendazole is a safe and tolerable treatment for co-infection of bancroftian filariasis and onchocerciasis.</v>
      </c>
      <c r="U87" s="746" t="str">
        <f>IFERROR(__xludf.DUMMYFUNCTION("""COMPUTED_VALUE"""),"This treatment (Group C) was given to patients with single bancrofitan filariasis infection. In each sub-study individuals were randomly allocated to one of the treatment regimens.")</f>
        <v>This treatment (Group C) was given to patients with single bancrofitan filariasis infection. In each sub-study individuals were randomly allocated to one of the treatment regimens.</v>
      </c>
      <c r="V87" s="752">
        <f>IFERROR(__xludf.DUMMYFUNCTION("""COMPUTED_VALUE"""),2003.0)</f>
        <v>2003</v>
      </c>
      <c r="W87" s="752">
        <f>IFERROR(__xludf.DUMMYFUNCTION("""COMPUTED_VALUE"""),2003.0)</f>
        <v>2003</v>
      </c>
      <c r="X87" s="746" t="str">
        <f>IFERROR(__xludf.DUMMYFUNCTION("""COMPUTED_VALUE"""),"Makunde WH, Kamugisha LM, Massaga JJ, et al. Treatment of co-infection with bancroftian filariasis and onchocerciasis: a safety and efficacy study of albendazole with ivermectin compared to treatment of single infection with bancroftian filariasis. Filari"&amp;"a Journal. 2003;2:15.")</f>
        <v>Makunde WH, Kamugisha LM, Massaga JJ, et al. Treatment of co-infection with bancroftian filariasis and onchocerciasis: a safety and efficacy study of albendazole with ivermectin compared to treatment of single infection with bancroftian filariasis. Filaria Journal. 2003;2:15.</v>
      </c>
      <c r="Y87" s="726" t="str">
        <f>IFERROR(__xludf.DUMMYFUNCTION("""COMPUTED_VALUE"""),"10.1186/1475-2883-2-15")</f>
        <v>10.1186/1475-2883-2-15</v>
      </c>
      <c r="Z87" s="727" t="str">
        <f>IFERROR(__xludf.DUMMYFUNCTION("""COMPUTED_VALUE"""),"https://drive.google.com/file/d/0B0-pry4DSOm3Y1BuZ0FSakRSQ1E/view?usp=sharing")</f>
        <v>https://drive.google.com/file/d/0B0-pry4DSOm3Y1BuZ0FSakRSQ1E/view?usp=sharing</v>
      </c>
      <c r="AA87" s="40" t="str">
        <f>IFERROR(__xludf.DUMMYFUNCTION("""COMPUTED_VALUE"""),"x")</f>
        <v>x</v>
      </c>
      <c r="AB87" s="40"/>
    </row>
    <row r="88">
      <c r="A88" s="745" t="str">
        <f>IFERROR(__xludf.DUMMYFUNCTION("""COMPUTED_VALUE"""),"Moulia-Pelat 1993")</f>
        <v>Moulia-Pelat 1993</v>
      </c>
      <c r="B88" s="746" t="str">
        <f>IFERROR(__xludf.DUMMYFUNCTION("""COMPUTED_VALUE"""),"Chungsoo")</f>
        <v>Chungsoo</v>
      </c>
      <c r="C88" s="746" t="str">
        <f>IFERROR(__xludf.DUMMYFUNCTION("""COMPUTED_VALUE"""),"Ross")</f>
        <v>Ross</v>
      </c>
      <c r="D88" s="746" t="str">
        <f>IFERROR(__xludf.DUMMYFUNCTION("""COMPUTED_VALUE"""),"French Polynesia")</f>
        <v>French Polynesia</v>
      </c>
      <c r="E88" s="747" t="str">
        <f>IFERROR(__xludf.DUMMYFUNCTION("""COMPUTED_VALUE"""),"W. bancrofti")</f>
        <v>W. bancrofti</v>
      </c>
      <c r="F88" s="746" t="str">
        <f>IFERROR(__xludf.DUMMYFUNCTION("""COMPUTED_VALUE"""),"Ivermectin")</f>
        <v>Ivermectin</v>
      </c>
      <c r="G88" s="746" t="str">
        <f>IFERROR(__xludf.DUMMYFUNCTION("""COMPUTED_VALUE"""),".400 mg/kg")</f>
        <v>.400 mg/kg</v>
      </c>
      <c r="H88" s="746">
        <f>IFERROR(__xludf.DUMMYFUNCTION("""COMPUTED_VALUE"""),1.0)</f>
        <v>1</v>
      </c>
      <c r="I88" s="749">
        <f>IFERROR(__xludf.DUMMYFUNCTION("""COMPUTED_VALUE"""),0.865)</f>
        <v>0.865</v>
      </c>
      <c r="J88" s="216"/>
      <c r="K88" s="718" t="str">
        <f>IFERROR(__xludf.DUMMYFUNCTION("""COMPUTED_VALUE"""),"not available ")</f>
        <v>not available </v>
      </c>
      <c r="L88" s="746">
        <f>IFERROR(__xludf.DUMMYFUNCTION("""COMPUTED_VALUE"""),37.0)</f>
        <v>37</v>
      </c>
      <c r="M88" s="776" t="str">
        <f>IFERROR(__xludf.DUMMYFUNCTION("""COMPUTED_VALUE"""),"n/a")</f>
        <v>n/a</v>
      </c>
      <c r="N88" s="778" t="str">
        <f>IFERROR(__xludf.DUMMYFUNCTION("""COMPUTED_VALUE"""),"17 : 20")</f>
        <v>17 : 20</v>
      </c>
      <c r="O88" s="746" t="str">
        <f>IFERROR(__xludf.DUMMYFUNCTION("""COMPUTED_VALUE"""),"not available")</f>
        <v>not available</v>
      </c>
      <c r="P88" s="751" t="str">
        <f>IFERROR(__xludf.DUMMYFUNCTION("""COMPUTED_VALUE"""),"safety trial")</f>
        <v>safety trial</v>
      </c>
      <c r="Q88" s="746" t="str">
        <f>IFERROR(__xludf.DUMMYFUNCTION("""COMPUTED_VALUE"""),"No")</f>
        <v>No</v>
      </c>
      <c r="R88" s="746" t="str">
        <f>IFERROR(__xludf.DUMMYFUNCTION("""COMPUTED_VALUE"""),"No")</f>
        <v>No</v>
      </c>
      <c r="S88" s="746" t="str">
        <f>IFERROR(__xludf.DUMMYFUNCTION("""COMPUTED_VALUE"""),"12 months")</f>
        <v>12 months</v>
      </c>
      <c r="T88" s="746" t="str">
        <f>IFERROR(__xludf.DUMMYFUNCTION("""COMPUTED_VALUE"""),"As compared to results from other studies with diethylcarbamazine and IVER at different dosages and periodicities, the dosage of IVER 400 seems the most effective; but a yearly intake might not be sufficient.")</f>
        <v>As compared to results from other studies with diethylcarbamazine and IVER at different dosages and periodicities, the dosage of IVER 400 seems the most effective; but a yearly intake might not be sufficient.</v>
      </c>
      <c r="U88" s="40"/>
      <c r="V88" s="752">
        <f>IFERROR(__xludf.DUMMYFUNCTION("""COMPUTED_VALUE"""),1993.0)</f>
        <v>1993</v>
      </c>
      <c r="W88" s="752">
        <f>IFERROR(__xludf.DUMMYFUNCTION("""COMPUTED_VALUE"""),1993.0)</f>
        <v>1993</v>
      </c>
      <c r="X88" s="779" t="str">
        <f>IFERROR(__xludf.DUMMYFUNCTION("""COMPUTED_VALUE"""),"Moulia-Pelat JP1, Glaziou P, Nguyen LN, Chanteau S, Martin PM, Cartel JL. Long-term efficacy of single-dose treatment with 400 micrograms.kg-1 of ivermectin in bancroftian filariasis: results at one year. Trop Med Parasitol. 1993;44(4):333-4.")</f>
        <v>Moulia-Pelat JP1, Glaziou P, Nguyen LN, Chanteau S, Martin PM, Cartel JL. Long-term efficacy of single-dose treatment with 400 micrograms.kg-1 of ivermectin in bancroftian filariasis: results at one year. Trop Med Parasitol. 1993;44(4):333-4.</v>
      </c>
      <c r="Y88" s="726" t="str">
        <f>IFERROR(__xludf.DUMMYFUNCTION("""COMPUTED_VALUE"""),"PMID: 8134778")</f>
        <v>PMID: 8134778</v>
      </c>
      <c r="Z88" s="727" t="str">
        <f>IFERROR(__xludf.DUMMYFUNCTION("""COMPUTED_VALUE"""),"https://drive.google.com/file/d/0B0-pry4DSOm3eXhwdEpWLUlBRk0/view?usp=sharing")</f>
        <v>https://drive.google.com/file/d/0B0-pry4DSOm3eXhwdEpWLUlBRk0/view?usp=sharing</v>
      </c>
      <c r="AA88" s="40" t="str">
        <f>IFERROR(__xludf.DUMMYFUNCTION("""COMPUTED_VALUE"""),"x")</f>
        <v>x</v>
      </c>
      <c r="AB88" s="40"/>
    </row>
    <row r="89">
      <c r="A89" s="745" t="str">
        <f>IFERROR(__xludf.DUMMYFUNCTION("""COMPUTED_VALUE"""),"Noroes 1997")</f>
        <v>Noroes 1997</v>
      </c>
      <c r="B89" s="730" t="str">
        <f>IFERROR(__xludf.DUMMYFUNCTION("""COMPUTED_VALUE"""),"Kirti ")</f>
        <v>Kirti </v>
      </c>
      <c r="C89" s="746" t="str">
        <f>IFERROR(__xludf.DUMMYFUNCTION("""COMPUTED_VALUE"""),"Luisa")</f>
        <v>Luisa</v>
      </c>
      <c r="D89" s="746" t="str">
        <f>IFERROR(__xludf.DUMMYFUNCTION("""COMPUTED_VALUE"""),"Brazil")</f>
        <v>Brazil</v>
      </c>
      <c r="E89" s="747" t="str">
        <f>IFERROR(__xludf.DUMMYFUNCTION("""COMPUTED_VALUE"""),"W. bancrofti")</f>
        <v>W. bancrofti</v>
      </c>
      <c r="F89" s="718" t="str">
        <f>IFERROR(__xludf.DUMMYFUNCTION("""COMPUTED_VALUE"""),"DEC")</f>
        <v>DEC</v>
      </c>
      <c r="G89" s="746" t="str">
        <f>IFERROR(__xludf.DUMMYFUNCTION("""COMPUTED_VALUE"""),"1 mg/kg + 6mg/kg +6 mg/kg + 12mg/kg + 12mg/kg")</f>
        <v>1 mg/kg + 6mg/kg +6 mg/kg + 12mg/kg + 12mg/kg</v>
      </c>
      <c r="H89" s="746" t="str">
        <f>IFERROR(__xludf.DUMMYFUNCTION("""COMPUTED_VALUE"""),"1+1+12+12+30")</f>
        <v>1+1+12+12+30</v>
      </c>
      <c r="I89" s="741"/>
      <c r="J89" s="757">
        <f>IFERROR(__xludf.DUMMYFUNCTION("""COMPUTED_VALUE"""),0.143)</f>
        <v>0.143</v>
      </c>
      <c r="K89" s="718" t="str">
        <f>IFERROR(__xludf.DUMMYFUNCTION("""COMPUTED_VALUE"""),"not available ")</f>
        <v>not available </v>
      </c>
      <c r="L89" s="746">
        <f>IFERROR(__xludf.DUMMYFUNCTION("""COMPUTED_VALUE"""),7.0)</f>
        <v>7</v>
      </c>
      <c r="M89" s="750" t="str">
        <f>IFERROR(__xludf.DUMMYFUNCTION("""COMPUTED_VALUE"""),"21-38")</f>
        <v>21-38</v>
      </c>
      <c r="N89" s="766">
        <f>IFERROR(__xludf.DUMMYFUNCTION("""COMPUTED_VALUE"""),6.944444444444445E-4)</f>
        <v>0.0006944444444</v>
      </c>
      <c r="O89" s="40"/>
      <c r="P89" s="759" t="str">
        <f>IFERROR(__xludf.DUMMYFUNCTION("""COMPUTED_VALUE"""),"randomized clinical trail")</f>
        <v>randomized clinical trail</v>
      </c>
      <c r="Q89" s="718" t="str">
        <f>IFERROR(__xludf.DUMMYFUNCTION("""COMPUTED_VALUE"""),"No")</f>
        <v>No</v>
      </c>
      <c r="R89" s="746" t="str">
        <f>IFERROR(__xludf.DUMMYFUNCTION("""COMPUTED_VALUE"""),"Yes")</f>
        <v>Yes</v>
      </c>
      <c r="S89" s="746" t="str">
        <f>IFERROR(__xludf.DUMMYFUNCTION("""COMPUTED_VALUE"""),"3 months")</f>
        <v>3 months</v>
      </c>
      <c r="T89" s="746" t="str">
        <f>IFERROR(__xludf.DUMMYFUNCTION("""COMPUTED_VALUE"""),"Increasing the dose of DEC beyond 6mg/kg has no significant effect on the microfilaricidal. ")</f>
        <v>Increasing the dose of DEC beyond 6mg/kg has no significant effect on the microfilaricidal. </v>
      </c>
      <c r="U89" s="40"/>
      <c r="V89" s="752">
        <f>IFERROR(__xludf.DUMMYFUNCTION("""COMPUTED_VALUE"""),1997.0)</f>
        <v>1997</v>
      </c>
      <c r="W89" s="752">
        <f>IFERROR(__xludf.DUMMYFUNCTION("""COMPUTED_VALUE"""),1997.0)</f>
        <v>1997</v>
      </c>
      <c r="X89" s="779" t="str">
        <f>IFERROR(__xludf.DUMMYFUNCTION("""COMPUTED_VALUE"""),"Noroes J, Dreyer G, Santos A, Mendes VG, Medeiros Z, and Addiss D. Assessment of the efficacy of diethylcarbamazine on adult Wuchereria bancrofti in vivo. Transactions of the Royal Society of Tropical Medicine and Hygiene 1997; 91 (1): 78-81. ")</f>
        <v>Noroes J, Dreyer G, Santos A, Mendes VG, Medeiros Z, and Addiss D. Assessment of the efficacy of diethylcarbamazine on adult Wuchereria bancrofti in vivo. Transactions of the Royal Society of Tropical Medicine and Hygiene 1997; 91 (1): 78-81. </v>
      </c>
      <c r="Y89" s="726" t="str">
        <f>IFERROR(__xludf.DUMMYFUNCTION("""COMPUTED_VALUE"""),"PMID: 9093637")</f>
        <v>PMID: 9093637</v>
      </c>
      <c r="Z89" s="727" t="str">
        <f>IFERROR(__xludf.DUMMYFUNCTION("""COMPUTED_VALUE"""),"https://drive.google.com/file/d/0B0-pry4DSOm3aTVCaFYzXzNfQWc/view?usp=sharing")</f>
        <v>https://drive.google.com/file/d/0B0-pry4DSOm3aTVCaFYzXzNfQWc/view?usp=sharing</v>
      </c>
      <c r="AA89" s="40"/>
      <c r="AB89" s="40"/>
    </row>
    <row r="90">
      <c r="A90" s="745" t="str">
        <f>IFERROR(__xludf.DUMMYFUNCTION("""COMPUTED_VALUE"""),"Noroes 1997")</f>
        <v>Noroes 1997</v>
      </c>
      <c r="B90" s="730" t="str">
        <f>IFERROR(__xludf.DUMMYFUNCTION("""COMPUTED_VALUE"""),"Kirti ")</f>
        <v>Kirti </v>
      </c>
      <c r="C90" s="746" t="str">
        <f>IFERROR(__xludf.DUMMYFUNCTION("""COMPUTED_VALUE"""),"Luisa")</f>
        <v>Luisa</v>
      </c>
      <c r="D90" s="746" t="str">
        <f>IFERROR(__xludf.DUMMYFUNCTION("""COMPUTED_VALUE"""),"Brazil")</f>
        <v>Brazil</v>
      </c>
      <c r="E90" s="747" t="str">
        <f>IFERROR(__xludf.DUMMYFUNCTION("""COMPUTED_VALUE"""),"W. bancrofti")</f>
        <v>W. bancrofti</v>
      </c>
      <c r="F90" s="718" t="str">
        <f>IFERROR(__xludf.DUMMYFUNCTION("""COMPUTED_VALUE"""),"DEC")</f>
        <v>DEC</v>
      </c>
      <c r="G90" s="746" t="str">
        <f>IFERROR(__xludf.DUMMYFUNCTION("""COMPUTED_VALUE"""),"6 mg/kg +6mg/kg+ 12mg/kg + 12mg/kg")</f>
        <v>6 mg/kg +6mg/kg+ 12mg/kg + 12mg/kg</v>
      </c>
      <c r="H90" s="746" t="str">
        <f>IFERROR(__xludf.DUMMYFUNCTION("""COMPUTED_VALUE"""),"1+12 + 12 + 30")</f>
        <v>1+12 + 12 + 30</v>
      </c>
      <c r="I90" s="741"/>
      <c r="J90" s="757">
        <f>IFERROR(__xludf.DUMMYFUNCTION("""COMPUTED_VALUE"""),0.513)</f>
        <v>0.513</v>
      </c>
      <c r="K90" s="718" t="str">
        <f>IFERROR(__xludf.DUMMYFUNCTION("""COMPUTED_VALUE"""),"not available ")</f>
        <v>not available </v>
      </c>
      <c r="L90" s="746">
        <f>IFERROR(__xludf.DUMMYFUNCTION("""COMPUTED_VALUE"""),10.0)</f>
        <v>10</v>
      </c>
      <c r="M90" s="750" t="str">
        <f>IFERROR(__xludf.DUMMYFUNCTION("""COMPUTED_VALUE"""),"20-52")</f>
        <v>20-52</v>
      </c>
      <c r="N90" s="766">
        <f>IFERROR(__xludf.DUMMYFUNCTION("""COMPUTED_VALUE"""),6.944444444444445E-4)</f>
        <v>0.0006944444444</v>
      </c>
      <c r="O90" s="40"/>
      <c r="P90" s="759" t="str">
        <f>IFERROR(__xludf.DUMMYFUNCTION("""COMPUTED_VALUE"""),"randomized clinical trail")</f>
        <v>randomized clinical trail</v>
      </c>
      <c r="Q90" s="718" t="str">
        <f>IFERROR(__xludf.DUMMYFUNCTION("""COMPUTED_VALUE"""),"No")</f>
        <v>No</v>
      </c>
      <c r="R90" s="718" t="str">
        <f>IFERROR(__xludf.DUMMYFUNCTION("""COMPUTED_VALUE"""),"Yes")</f>
        <v>Yes</v>
      </c>
      <c r="S90" s="746" t="str">
        <f>IFERROR(__xludf.DUMMYFUNCTION("""COMPUTED_VALUE"""),"3 months")</f>
        <v>3 months</v>
      </c>
      <c r="T90" s="746" t="str">
        <f>IFERROR(__xludf.DUMMYFUNCTION("""COMPUTED_VALUE"""),"Increasing the dose of DEC beyond 6mg/kg has no significant effect on the microfilaricidal. ")</f>
        <v>Increasing the dose of DEC beyond 6mg/kg has no significant effect on the microfilaricidal. </v>
      </c>
      <c r="U90" s="40"/>
      <c r="V90" s="752">
        <f>IFERROR(__xludf.DUMMYFUNCTION("""COMPUTED_VALUE"""),1997.0)</f>
        <v>1997</v>
      </c>
      <c r="W90" s="752">
        <f>IFERROR(__xludf.DUMMYFUNCTION("""COMPUTED_VALUE"""),1997.0)</f>
        <v>1997</v>
      </c>
      <c r="X90" s="779" t="str">
        <f>IFERROR(__xludf.DUMMYFUNCTION("""COMPUTED_VALUE"""),"Noroes J, Dreyer G, Santos A, Mendes VG, Medeiros Z, and Addiss D. Assessment of the efficacy of diethylcarbamazine on adult Wuchereria bancrofti in vivo. Transactions of the Royal Society of Tropical Medicine and Hygiene 1997; 91 (1): 78-81. ")</f>
        <v>Noroes J, Dreyer G, Santos A, Mendes VG, Medeiros Z, and Addiss D. Assessment of the efficacy of diethylcarbamazine on adult Wuchereria bancrofti in vivo. Transactions of the Royal Society of Tropical Medicine and Hygiene 1997; 91 (1): 78-81. </v>
      </c>
      <c r="Y90" s="726" t="str">
        <f>IFERROR(__xludf.DUMMYFUNCTION("""COMPUTED_VALUE"""),"PMID: 9093637")</f>
        <v>PMID: 9093637</v>
      </c>
      <c r="Z90" s="727" t="str">
        <f>IFERROR(__xludf.DUMMYFUNCTION("""COMPUTED_VALUE"""),"https://drive.google.com/file/d/0B0-pry4DSOm3aTVCaFYzXzNfQWc/view?usp=sharing")</f>
        <v>https://drive.google.com/file/d/0B0-pry4DSOm3aTVCaFYzXzNfQWc/view?usp=sharing</v>
      </c>
      <c r="AA90" s="40"/>
      <c r="AB90" s="40"/>
    </row>
    <row r="91">
      <c r="A91" s="745" t="str">
        <f>IFERROR(__xludf.DUMMYFUNCTION("""COMPUTED_VALUE"""),"Noroes 1997")</f>
        <v>Noroes 1997</v>
      </c>
      <c r="B91" s="730" t="str">
        <f>IFERROR(__xludf.DUMMYFUNCTION("""COMPUTED_VALUE"""),"Kirti ")</f>
        <v>Kirti </v>
      </c>
      <c r="C91" s="746" t="str">
        <f>IFERROR(__xludf.DUMMYFUNCTION("""COMPUTED_VALUE"""),"Luisa")</f>
        <v>Luisa</v>
      </c>
      <c r="D91" s="746" t="str">
        <f>IFERROR(__xludf.DUMMYFUNCTION("""COMPUTED_VALUE"""),"Brazil")</f>
        <v>Brazil</v>
      </c>
      <c r="E91" s="747" t="str">
        <f>IFERROR(__xludf.DUMMYFUNCTION("""COMPUTED_VALUE"""),"W. bancrofti")</f>
        <v>W. bancrofti</v>
      </c>
      <c r="F91" s="718" t="str">
        <f>IFERROR(__xludf.DUMMYFUNCTION("""COMPUTED_VALUE"""),"DEC")</f>
        <v>DEC</v>
      </c>
      <c r="G91" s="746" t="str">
        <f>IFERROR(__xludf.DUMMYFUNCTION("""COMPUTED_VALUE"""),"12 mg/kg + 12mg/kg +12mg/kg")</f>
        <v>12 mg/kg + 12mg/kg +12mg/kg</v>
      </c>
      <c r="H91" s="746" t="str">
        <f>IFERROR(__xludf.DUMMYFUNCTION("""COMPUTED_VALUE"""),"1+ 12+ 30")</f>
        <v>1+ 12+ 30</v>
      </c>
      <c r="I91" s="741"/>
      <c r="J91" s="757">
        <f>IFERROR(__xludf.DUMMYFUNCTION("""COMPUTED_VALUE"""),0.513)</f>
        <v>0.513</v>
      </c>
      <c r="K91" s="718" t="str">
        <f>IFERROR(__xludf.DUMMYFUNCTION("""COMPUTED_VALUE"""),"not available ")</f>
        <v>not available </v>
      </c>
      <c r="L91" s="746">
        <f>IFERROR(__xludf.DUMMYFUNCTION("""COMPUTED_VALUE"""),14.0)</f>
        <v>14</v>
      </c>
      <c r="M91" s="750" t="str">
        <f>IFERROR(__xludf.DUMMYFUNCTION("""COMPUTED_VALUE"""),"19-37")</f>
        <v>19-37</v>
      </c>
      <c r="N91" s="766">
        <f>IFERROR(__xludf.DUMMYFUNCTION("""COMPUTED_VALUE"""),6.944444444444445E-4)</f>
        <v>0.0006944444444</v>
      </c>
      <c r="O91" s="40"/>
      <c r="P91" s="759" t="str">
        <f>IFERROR(__xludf.DUMMYFUNCTION("""COMPUTED_VALUE"""),"randomized clinical trail")</f>
        <v>randomized clinical trail</v>
      </c>
      <c r="Q91" s="746" t="str">
        <f>IFERROR(__xludf.DUMMYFUNCTION("""COMPUTED_VALUE"""),"No")</f>
        <v>No</v>
      </c>
      <c r="R91" s="718" t="str">
        <f>IFERROR(__xludf.DUMMYFUNCTION("""COMPUTED_VALUE"""),"Yes")</f>
        <v>Yes</v>
      </c>
      <c r="S91" s="746" t="str">
        <f>IFERROR(__xludf.DUMMYFUNCTION("""COMPUTED_VALUE"""),"3 months")</f>
        <v>3 months</v>
      </c>
      <c r="T91" s="746" t="str">
        <f>IFERROR(__xludf.DUMMYFUNCTION("""COMPUTED_VALUE"""),"Increasing the dose of DEC beyond 6mg/kg has no significant effect on the microfilaricidal. ")</f>
        <v>Increasing the dose of DEC beyond 6mg/kg has no significant effect on the microfilaricidal. </v>
      </c>
      <c r="U91" s="40"/>
      <c r="V91" s="752">
        <f>IFERROR(__xludf.DUMMYFUNCTION("""COMPUTED_VALUE"""),1997.0)</f>
        <v>1997</v>
      </c>
      <c r="W91" s="752">
        <f>IFERROR(__xludf.DUMMYFUNCTION("""COMPUTED_VALUE"""),1997.0)</f>
        <v>1997</v>
      </c>
      <c r="X91" s="779" t="str">
        <f>IFERROR(__xludf.DUMMYFUNCTION("""COMPUTED_VALUE"""),"Noroes J, Dreyer G, Santos A, Mendes VG, Medeiros Z, and Addiss D. Assessment of the efficacy of diethylcarbamazine on adult Wuchereria bancrofti in vivo. Transactions of the Royal Society of Tropical Medicine and Hygiene 1997; 91 (1): 78-81. ")</f>
        <v>Noroes J, Dreyer G, Santos A, Mendes VG, Medeiros Z, and Addiss D. Assessment of the efficacy of diethylcarbamazine on adult Wuchereria bancrofti in vivo. Transactions of the Royal Society of Tropical Medicine and Hygiene 1997; 91 (1): 78-81. </v>
      </c>
      <c r="Y91" s="726" t="str">
        <f>IFERROR(__xludf.DUMMYFUNCTION("""COMPUTED_VALUE"""),"PMID: 9093637")</f>
        <v>PMID: 9093637</v>
      </c>
      <c r="Z91" s="727" t="str">
        <f>IFERROR(__xludf.DUMMYFUNCTION("""COMPUTED_VALUE"""),"https://drive.google.com/file/d/0B0-pry4DSOm3aTVCaFYzXzNfQWc/view?usp=sharing")</f>
        <v>https://drive.google.com/file/d/0B0-pry4DSOm3aTVCaFYzXzNfQWc/view?usp=sharing</v>
      </c>
      <c r="AA91" s="40"/>
      <c r="AB91" s="40"/>
    </row>
    <row r="92">
      <c r="A92" s="728" t="str">
        <f>IFERROR(__xludf.DUMMYFUNCTION("""COMPUTED_VALUE"""),"Ottesen, 1990")</f>
        <v>Ottesen, 1990</v>
      </c>
      <c r="B92" s="730" t="str">
        <f>IFERROR(__xludf.DUMMYFUNCTION("""COMPUTED_VALUE"""),"Ross")</f>
        <v>Ross</v>
      </c>
      <c r="C92" s="730" t="str">
        <f>IFERROR(__xludf.DUMMYFUNCTION("""COMPUTED_VALUE"""),"Ross")</f>
        <v>Ross</v>
      </c>
      <c r="D92" s="730" t="str">
        <f>IFERROR(__xludf.DUMMYFUNCTION("""COMPUTED_VALUE"""),"India")</f>
        <v>India</v>
      </c>
      <c r="E92" s="739" t="str">
        <f>IFERROR(__xludf.DUMMYFUNCTION("""COMPUTED_VALUE"""),"W. bancrofti")</f>
        <v>W. bancrofti</v>
      </c>
      <c r="F92" s="730" t="str">
        <f>IFERROR(__xludf.DUMMYFUNCTION("""COMPUTED_VALUE"""),"Ivermectin")</f>
        <v>Ivermectin</v>
      </c>
      <c r="G92" s="755" t="str">
        <f>IFERROR(__xludf.DUMMYFUNCTION("""COMPUTED_VALUE"""),".0213mg/kg ")</f>
        <v>.0213mg/kg </v>
      </c>
      <c r="H92" s="740">
        <f>IFERROR(__xludf.DUMMYFUNCTION("""COMPUTED_VALUE"""),1.0)</f>
        <v>1</v>
      </c>
      <c r="I92" s="773">
        <f>IFERROR(__xludf.DUMMYFUNCTION("""COMPUTED_VALUE"""),0.805)</f>
        <v>0.805</v>
      </c>
      <c r="J92" s="216"/>
      <c r="K92" s="40"/>
      <c r="L92" s="734">
        <f>IFERROR(__xludf.DUMMYFUNCTION("""COMPUTED_VALUE"""),40.0)</f>
        <v>40</v>
      </c>
      <c r="M92" s="780" t="str">
        <f>IFERROR(__xludf.DUMMYFUNCTION("""COMPUTED_VALUE"""),"19-45")</f>
        <v>19-45</v>
      </c>
      <c r="N92" s="744" t="str">
        <f>IFERROR(__xludf.DUMMYFUNCTION("""COMPUTED_VALUE"""),"males")</f>
        <v>males</v>
      </c>
      <c r="O92" s="730" t="str">
        <f>IFERROR(__xludf.DUMMYFUNCTION("""COMPUTED_VALUE"""),"aged 19-45 years, 25-6000 microfilaria /mL, asymptomatic, no prior antifilarial medications, or free from any acute or chronic illnesses")</f>
        <v>aged 19-45 years, 25-6000 microfilaria /mL, asymptomatic, no prior antifilarial medications, or free from any acute or chronic illnesses</v>
      </c>
      <c r="P92" s="736" t="str">
        <f>IFERROR(__xludf.DUMMYFUNCTION("""COMPUTED_VALUE"""),"double-blinded random")</f>
        <v>double-blinded random</v>
      </c>
      <c r="Q92" s="718" t="str">
        <f>IFERROR(__xludf.DUMMYFUNCTION("""COMPUTED_VALUE"""),"Yes")</f>
        <v>Yes</v>
      </c>
      <c r="R92" s="730" t="str">
        <f>IFERROR(__xludf.DUMMYFUNCTION("""COMPUTED_VALUE"""),"No")</f>
        <v>No</v>
      </c>
      <c r="S92" s="730" t="str">
        <f>IFERROR(__xludf.DUMMYFUNCTION("""COMPUTED_VALUE"""),"6 months")</f>
        <v>6 months</v>
      </c>
      <c r="T92" s="730" t="str">
        <f>IFERROR(__xludf.DUMMYFUNCTION("""COMPUTED_VALUE"""),"The clinical response to a single dose of ivermectin compares favorably with that after the standard 12-day course of DEC. Given the practical advantages fo single-dose adminstration and less side effects, ivermectin should become a useful medication for "&amp;"the control of bancroftian filariasis")</f>
        <v>The clinical response to a single dose of ivermectin compares favorably with that after the standard 12-day course of DEC. Given the practical advantages fo single-dose adminstration and less side effects, ivermectin should become a useful medication for the control of bancroftian filariasis</v>
      </c>
      <c r="U92" s="730" t="str">
        <f>IFERROR(__xludf.DUMMYFUNCTION("""COMPUTED_VALUE"""),"Ivermectin cleared the microfilariae from the blood more rapidly than did DEC. It was as effective as DEC for up to 3 months after treatment, but by 6 months it did not sustain this decrease as well as diethylcarbamazine. Furthermore, the 1-mg dose proved"&amp;" to be as effective as the 6-mg dose. ")</f>
        <v>Ivermectin cleared the microfilariae from the blood more rapidly than did DEC. It was as effective as DEC for up to 3 months after treatment, but by 6 months it did not sustain this decrease as well as diethylcarbamazine. Furthermore, the 1-mg dose proved to be as effective as the 6-mg dose. </v>
      </c>
      <c r="V92" s="737">
        <f>IFERROR(__xludf.DUMMYFUNCTION("""COMPUTED_VALUE"""),1990.0)</f>
        <v>1990</v>
      </c>
      <c r="W92" s="737">
        <f>IFERROR(__xludf.DUMMYFUNCTION("""COMPUTED_VALUE"""),1990.0)</f>
        <v>1990</v>
      </c>
      <c r="X92" s="40" t="str">
        <f>IFERROR(__xludf.DUMMYFUNCTION("""COMPUTED_VALUE"""),"Ottesen, E. A., M.D., Vijayasekaran, V., M.D., &amp; Kumaraswami, V., M.D., et. al (1990, April 19). A Controlled Trial of Ivermectin and Diethylcarbamazine in Lymphatic Filariasis — NEJM. Retrieved March 20, 2016, from http://www.nejm.org/doi/full/10.1056/NE"&amp;"JM199004193221604#t=articleTop")</f>
        <v>Ottesen, E. A., M.D., Vijayasekaran, V., M.D., &amp; Kumaraswami, V., M.D., et. al (1990, April 19). A Controlled Trial of Ivermectin and Diethylcarbamazine in Lymphatic Filariasis — NEJM. Retrieved March 20, 2016, from http://www.nejm.org/doi/full/10.1056/NEJM199004193221604#t=articleTop</v>
      </c>
      <c r="Y92" s="738"/>
      <c r="Z92" s="727" t="str">
        <f>IFERROR(__xludf.DUMMYFUNCTION("""COMPUTED_VALUE"""),"https://drive.google.com/open?id=0B-yoIBO7tf7FbE1XMXZCcmtDTmM")</f>
        <v>https://drive.google.com/open?id=0B-yoIBO7tf7FbE1XMXZCcmtDTmM</v>
      </c>
      <c r="AA92" s="40"/>
      <c r="AB92" s="40"/>
    </row>
    <row r="93">
      <c r="A93" s="728" t="str">
        <f>IFERROR(__xludf.DUMMYFUNCTION("""COMPUTED_VALUE"""),"Ottesen, 1990")</f>
        <v>Ottesen, 1990</v>
      </c>
      <c r="B93" s="730" t="str">
        <f>IFERROR(__xludf.DUMMYFUNCTION("""COMPUTED_VALUE"""),"Ross")</f>
        <v>Ross</v>
      </c>
      <c r="C93" s="730" t="str">
        <f>IFERROR(__xludf.DUMMYFUNCTION("""COMPUTED_VALUE"""),"Ross")</f>
        <v>Ross</v>
      </c>
      <c r="D93" s="730" t="str">
        <f>IFERROR(__xludf.DUMMYFUNCTION("""COMPUTED_VALUE"""),"India")</f>
        <v>India</v>
      </c>
      <c r="E93" s="739" t="str">
        <f>IFERROR(__xludf.DUMMYFUNCTION("""COMPUTED_VALUE"""),"W. bancrofti")</f>
        <v>W. bancrofti</v>
      </c>
      <c r="F93" s="730" t="str">
        <f>IFERROR(__xludf.DUMMYFUNCTION("""COMPUTED_VALUE"""),"Ivermectin")</f>
        <v>Ivermectin</v>
      </c>
      <c r="G93" s="730" t="str">
        <f>IFERROR(__xludf.DUMMYFUNCTION("""COMPUTED_VALUE"""),".1262 mg/kg ")</f>
        <v>.1262 mg/kg </v>
      </c>
      <c r="H93" s="740">
        <f>IFERROR(__xludf.DUMMYFUNCTION("""COMPUTED_VALUE"""),1.0)</f>
        <v>1</v>
      </c>
      <c r="I93" s="773">
        <f>IFERROR(__xludf.DUMMYFUNCTION("""COMPUTED_VALUE"""),0.817)</f>
        <v>0.817</v>
      </c>
      <c r="J93" s="216"/>
      <c r="K93" s="40"/>
      <c r="L93" s="734">
        <f>IFERROR(__xludf.DUMMYFUNCTION("""COMPUTED_VALUE"""),40.0)</f>
        <v>40</v>
      </c>
      <c r="M93" s="780" t="str">
        <f>IFERROR(__xludf.DUMMYFUNCTION("""COMPUTED_VALUE"""),"19-45")</f>
        <v>19-45</v>
      </c>
      <c r="N93" s="744" t="str">
        <f>IFERROR(__xludf.DUMMYFUNCTION("""COMPUTED_VALUE"""),"males")</f>
        <v>males</v>
      </c>
      <c r="O93" s="730" t="str">
        <f>IFERROR(__xludf.DUMMYFUNCTION("""COMPUTED_VALUE"""),"aged 19-45 years, 25-6000 microfilaria /mL, asymptomatic, no prior antifilarial medications, or free from any acute or chronic illnesses")</f>
        <v>aged 19-45 years, 25-6000 microfilaria /mL, asymptomatic, no prior antifilarial medications, or free from any acute or chronic illnesses</v>
      </c>
      <c r="P93" s="736" t="str">
        <f>IFERROR(__xludf.DUMMYFUNCTION("""COMPUTED_VALUE"""),"double-blinded random")</f>
        <v>double-blinded random</v>
      </c>
      <c r="Q93" s="718" t="str">
        <f>IFERROR(__xludf.DUMMYFUNCTION("""COMPUTED_VALUE"""),"Yes")</f>
        <v>Yes</v>
      </c>
      <c r="R93" s="730" t="str">
        <f>IFERROR(__xludf.DUMMYFUNCTION("""COMPUTED_VALUE"""),"No")</f>
        <v>No</v>
      </c>
      <c r="S93" s="730" t="str">
        <f>IFERROR(__xludf.DUMMYFUNCTION("""COMPUTED_VALUE"""),"6 months")</f>
        <v>6 months</v>
      </c>
      <c r="T93" s="730" t="str">
        <f>IFERROR(__xludf.DUMMYFUNCTION("""COMPUTED_VALUE"""),"The clinical response to a single dose of ivermectin compares favorably with that after the standard 12-day course of DEC. Given the practical advantages fo single-dose adminstration and less side effects, ivermectin should become a useful medication for "&amp;"the control of bancroftian filariasis")</f>
        <v>The clinical response to a single dose of ivermectin compares favorably with that after the standard 12-day course of DEC. Given the practical advantages fo single-dose adminstration and less side effects, ivermectin should become a useful medication for the control of bancroftian filariasis</v>
      </c>
      <c r="U93" s="730" t="str">
        <f>IFERROR(__xludf.DUMMYFUNCTION("""COMPUTED_VALUE"""),"Ivermectin cleared the microfilariae from the blood more rapidly than did DEC. It was as effective as DEC for up to 3 months after treatment, but by 6 months it did not sustain this decrease as well as diethylcarbamazine. Furthermore, the 1-mg dose proved"&amp;" to be as effective as the 6-mg dose. ")</f>
        <v>Ivermectin cleared the microfilariae from the blood more rapidly than did DEC. It was as effective as DEC for up to 3 months after treatment, but by 6 months it did not sustain this decrease as well as diethylcarbamazine. Furthermore, the 1-mg dose proved to be as effective as the 6-mg dose. </v>
      </c>
      <c r="V93" s="737">
        <f>IFERROR(__xludf.DUMMYFUNCTION("""COMPUTED_VALUE"""),1990.0)</f>
        <v>1990</v>
      </c>
      <c r="W93" s="737">
        <f>IFERROR(__xludf.DUMMYFUNCTION("""COMPUTED_VALUE"""),1990.0)</f>
        <v>1990</v>
      </c>
      <c r="X93" s="40" t="str">
        <f>IFERROR(__xludf.DUMMYFUNCTION("""COMPUTED_VALUE"""),"Ottesen, E. A., M.D., Vijayasekaran, V., M.D., &amp; Kumaraswami, V., M.D., et. al (1990, April 19). A Controlled Trial of Ivermectin and Diethylcarbamazine in Lymphatic Filariasis — NEJM. Retrieved March 20, 2016, from http://www.nejm.org/doi/full/10.1056/NE"&amp;"JM199004193221604#t=articleTop")</f>
        <v>Ottesen, E. A., M.D., Vijayasekaran, V., M.D., &amp; Kumaraswami, V., M.D., et. al (1990, April 19). A Controlled Trial of Ivermectin and Diethylcarbamazine in Lymphatic Filariasis — NEJM. Retrieved March 20, 2016, from http://www.nejm.org/doi/full/10.1056/NEJM199004193221604#t=articleTop</v>
      </c>
      <c r="Y93" s="738"/>
      <c r="Z93" s="727" t="str">
        <f>IFERROR(__xludf.DUMMYFUNCTION("""COMPUTED_VALUE"""),"https://drive.google.com/open?id=0B-yoIBO7tf7FbE1XMXZCcmtDTmM")</f>
        <v>https://drive.google.com/open?id=0B-yoIBO7tf7FbE1XMXZCcmtDTmM</v>
      </c>
      <c r="AA93" s="40"/>
      <c r="AB93" s="40"/>
    </row>
    <row r="94">
      <c r="A94" s="728" t="str">
        <f>IFERROR(__xludf.DUMMYFUNCTION("""COMPUTED_VALUE"""),"Ottesen, 1990")</f>
        <v>Ottesen, 1990</v>
      </c>
      <c r="B94" s="730" t="str">
        <f>IFERROR(__xludf.DUMMYFUNCTION("""COMPUTED_VALUE"""),"Ross")</f>
        <v>Ross</v>
      </c>
      <c r="C94" s="730" t="str">
        <f>IFERROR(__xludf.DUMMYFUNCTION("""COMPUTED_VALUE"""),"Ross")</f>
        <v>Ross</v>
      </c>
      <c r="D94" s="730" t="str">
        <f>IFERROR(__xludf.DUMMYFUNCTION("""COMPUTED_VALUE"""),"India")</f>
        <v>India</v>
      </c>
      <c r="E94" s="739" t="str">
        <f>IFERROR(__xludf.DUMMYFUNCTION("""COMPUTED_VALUE"""),"W. bancrofti")</f>
        <v>W. bancrofti</v>
      </c>
      <c r="F94" s="718" t="str">
        <f>IFERROR(__xludf.DUMMYFUNCTION("""COMPUTED_VALUE"""),"DEC")</f>
        <v>DEC</v>
      </c>
      <c r="G94" s="755" t="str">
        <f>IFERROR(__xludf.DUMMYFUNCTION("""COMPUTED_VALUE"""),"3mg/kg + 6mg/kg ")</f>
        <v>3mg/kg + 6mg/kg </v>
      </c>
      <c r="H94" s="730" t="str">
        <f>IFERROR(__xludf.DUMMYFUNCTION("""COMPUTED_VALUE"""),"1+12")</f>
        <v>1+12</v>
      </c>
      <c r="I94" s="774">
        <f>IFERROR(__xludf.DUMMYFUNCTION("""COMPUTED_VALUE"""),0.94)</f>
        <v>0.94</v>
      </c>
      <c r="J94" s="216"/>
      <c r="K94" s="40"/>
      <c r="L94" s="734">
        <f>IFERROR(__xludf.DUMMYFUNCTION("""COMPUTED_VALUE"""),40.0)</f>
        <v>40</v>
      </c>
      <c r="M94" s="780" t="str">
        <f>IFERROR(__xludf.DUMMYFUNCTION("""COMPUTED_VALUE"""),"19-45")</f>
        <v>19-45</v>
      </c>
      <c r="N94" s="744" t="str">
        <f>IFERROR(__xludf.DUMMYFUNCTION("""COMPUTED_VALUE"""),"males")</f>
        <v>males</v>
      </c>
      <c r="O94" s="730" t="str">
        <f>IFERROR(__xludf.DUMMYFUNCTION("""COMPUTED_VALUE"""),"aged 19-45 years, 25-6000 microfilaria /mL, asymptomatic, no prior antifilarial medications, or free from any acute or chronic illnesses")</f>
        <v>aged 19-45 years, 25-6000 microfilaria /mL, asymptomatic, no prior antifilarial medications, or free from any acute or chronic illnesses</v>
      </c>
      <c r="P94" s="736" t="str">
        <f>IFERROR(__xludf.DUMMYFUNCTION("""COMPUTED_VALUE"""),"double-blinded random")</f>
        <v>double-blinded random</v>
      </c>
      <c r="Q94" s="718" t="str">
        <f>IFERROR(__xludf.DUMMYFUNCTION("""COMPUTED_VALUE"""),"Yes")</f>
        <v>Yes</v>
      </c>
      <c r="R94" s="730" t="str">
        <f>IFERROR(__xludf.DUMMYFUNCTION("""COMPUTED_VALUE"""),"No")</f>
        <v>No</v>
      </c>
      <c r="S94" s="730" t="str">
        <f>IFERROR(__xludf.DUMMYFUNCTION("""COMPUTED_VALUE"""),"6 months")</f>
        <v>6 months</v>
      </c>
      <c r="T94" s="730" t="str">
        <f>IFERROR(__xludf.DUMMYFUNCTION("""COMPUTED_VALUE"""),"The clinical response to a single dose of ivermectin compares favorably with that after the standard 12-day course of DEC. Given the practical advantages fo single-dose adminstration and less side effects, ivermectin should become a useful medication for "&amp;"the control of bancroftian filariasis")</f>
        <v>The clinical response to a single dose of ivermectin compares favorably with that after the standard 12-day course of DEC. Given the practical advantages fo single-dose adminstration and less side effects, ivermectin should become a useful medication for the control of bancroftian filariasis</v>
      </c>
      <c r="U94" s="730" t="str">
        <f>IFERROR(__xludf.DUMMYFUNCTION("""COMPUTED_VALUE"""),"Ivermectin cleared the microfilariae from the blood more rapidly than did DEC. It was as effective as DEC for up to 3 months after treatment, but by 6 months it did not sustain this decrease as well as diethylcarbamazine. Furthermore, the 1-mg dose proved"&amp;" to be as effective as the 6-mg dose. ")</f>
        <v>Ivermectin cleared the microfilariae from the blood more rapidly than did DEC. It was as effective as DEC for up to 3 months after treatment, but by 6 months it did not sustain this decrease as well as diethylcarbamazine. Furthermore, the 1-mg dose proved to be as effective as the 6-mg dose. </v>
      </c>
      <c r="V94" s="737">
        <f>IFERROR(__xludf.DUMMYFUNCTION("""COMPUTED_VALUE"""),1990.0)</f>
        <v>1990</v>
      </c>
      <c r="W94" s="737">
        <f>IFERROR(__xludf.DUMMYFUNCTION("""COMPUTED_VALUE"""),1990.0)</f>
        <v>1990</v>
      </c>
      <c r="X94" s="40" t="str">
        <f>IFERROR(__xludf.DUMMYFUNCTION("""COMPUTED_VALUE"""),"Ottesen, E. A., M.D., Vijayasekaran, V., M.D., &amp; Kumaraswami, V., M.D., et. al (1990, April 19). A Controlled Trial of Ivermectin and Diethylcarbamazine in Lymphatic Filariasis — NEJM. Retrieved March 20, 2016, from http://www.nejm.org/doi/full/10.1056/NE"&amp;"JM199004193221604#t=articleTop")</f>
        <v>Ottesen, E. A., M.D., Vijayasekaran, V., M.D., &amp; Kumaraswami, V., M.D., et. al (1990, April 19). A Controlled Trial of Ivermectin and Diethylcarbamazine in Lymphatic Filariasis — NEJM. Retrieved March 20, 2016, from http://www.nejm.org/doi/full/10.1056/NEJM199004193221604#t=articleTop</v>
      </c>
      <c r="Y94" s="738"/>
      <c r="Z94" s="727" t="str">
        <f>IFERROR(__xludf.DUMMYFUNCTION("""COMPUTED_VALUE"""),"https://drive.google.com/open?id=0B-yoIBO7tf7FbE1XMXZCcmtDTmM")</f>
        <v>https://drive.google.com/open?id=0B-yoIBO7tf7FbE1XMXZCcmtDTmM</v>
      </c>
      <c r="AA94" s="40"/>
      <c r="AB94" s="40"/>
    </row>
    <row r="95">
      <c r="A95" s="745" t="str">
        <f>IFERROR(__xludf.DUMMYFUNCTION("""COMPUTED_VALUE"""),"Pani, 2002")</f>
        <v>Pani, 2002</v>
      </c>
      <c r="B95" s="40"/>
      <c r="C95" s="746" t="str">
        <f>IFERROR(__xludf.DUMMYFUNCTION("""COMPUTED_VALUE"""),"Alex")</f>
        <v>Alex</v>
      </c>
      <c r="D95" s="746" t="str">
        <f>IFERROR(__xludf.DUMMYFUNCTION("""COMPUTED_VALUE"""),"India")</f>
        <v>India</v>
      </c>
      <c r="E95" s="719" t="str">
        <f>IFERROR(__xludf.DUMMYFUNCTION("""COMPUTED_VALUE"""),"W. bancrofti")</f>
        <v>W. bancrofti</v>
      </c>
      <c r="F95" s="746" t="str">
        <f>IFERROR(__xludf.DUMMYFUNCTION("""COMPUTED_VALUE"""),"Albendazole")</f>
        <v>Albendazole</v>
      </c>
      <c r="G95" s="746" t="str">
        <f>IFERROR(__xludf.DUMMYFUNCTION("""COMPUTED_VALUE"""),"400mg")</f>
        <v>400mg</v>
      </c>
      <c r="H95" s="746">
        <f>IFERROR(__xludf.DUMMYFUNCTION("""COMPUTED_VALUE"""),1.0)</f>
        <v>1</v>
      </c>
      <c r="I95" s="757">
        <f>IFERROR(__xludf.DUMMYFUNCTION("""COMPUTED_VALUE"""),0.947)</f>
        <v>0.947</v>
      </c>
      <c r="J95" s="757">
        <f>IFERROR(__xludf.DUMMYFUNCTION("""COMPUTED_VALUE"""),0.263)</f>
        <v>0.263</v>
      </c>
      <c r="K95" s="746" t="str">
        <f>IFERROR(__xludf.DUMMYFUNCTION("""COMPUTED_VALUE"""),"Not available ")</f>
        <v>Not available </v>
      </c>
      <c r="L95" s="746">
        <f>IFERROR(__xludf.DUMMYFUNCTION("""COMPUTED_VALUE"""),19.0)</f>
        <v>19</v>
      </c>
      <c r="M95" s="750" t="str">
        <f>IFERROR(__xludf.DUMMYFUNCTION("""COMPUTED_VALUE"""),"10-57")</f>
        <v>10-57</v>
      </c>
      <c r="N95" s="766" t="str">
        <f>IFERROR(__xludf.DUMMYFUNCTION("""COMPUTED_VALUE"""),"9: 10")</f>
        <v>9: 10</v>
      </c>
      <c r="O95" s="746" t="str">
        <f>IFERROR(__xludf.DUMMYFUNCTION("""COMPUTED_VALUE"""),"Healthy individuals with normal body weight with normal ECG, chest x-ray, lab results presenting with W. bancrofti microfilaraemia ")</f>
        <v>Healthy individuals with normal body weight with normal ECG, chest x-ray, lab results presenting with W. bancrofti microfilaraemia </v>
      </c>
      <c r="P95" s="759" t="str">
        <f>IFERROR(__xludf.DUMMYFUNCTION("""COMPUTED_VALUE"""),"double- blind, RCT")</f>
        <v>double- blind, RCT</v>
      </c>
      <c r="Q95" s="718" t="str">
        <f>IFERROR(__xludf.DUMMYFUNCTION("""COMPUTED_VALUE"""),"Yes")</f>
        <v>Yes</v>
      </c>
      <c r="R95" s="746" t="str">
        <f>IFERROR(__xludf.DUMMYFUNCTION("""COMPUTED_VALUE"""),"Yes")</f>
        <v>Yes</v>
      </c>
      <c r="S95" s="746" t="str">
        <f>IFERROR(__xludf.DUMMYFUNCTION("""COMPUTED_VALUE"""),"360 days")</f>
        <v>360 days</v>
      </c>
      <c r="T95" s="40"/>
      <c r="U95" s="40"/>
      <c r="V95" s="752">
        <f>IFERROR(__xludf.DUMMYFUNCTION("""COMPUTED_VALUE"""),2002.0)</f>
        <v>2002</v>
      </c>
      <c r="W95" s="724">
        <f>IFERROR(__xludf.DUMMYFUNCTION("""COMPUTED_VALUE"""),2002.0)</f>
        <v>2002</v>
      </c>
      <c r="X95" s="40" t="str">
        <f>IFERROR(__xludf.DUMMYFUNCTION("""COMPUTED_VALUE"""),"Pani SP, Subramanyam Reddy G, Das LK, et al. Tolerability and efficacy of single dose albendazole, diethylcarbamazine citrate (DEC) or co-administration of albendazole with DEC in the clearance of Wuchereria bancrofti in asymptomatic microfilaraemic volun"&amp;"teers in Pondicherry, South India: a hospital-based study. Filaria Journal. 2002;1")</f>
        <v>Pani SP, Subramanyam Reddy G, Das LK, et al. Tolerability and efficacy of single dose albendazole, diethylcarbamazine citrate (DEC) or co-administration of albendazole with DEC in the clearance of Wuchereria bancrofti in asymptomatic microfilaraemic volunteers in Pondicherry, South India: a hospital-based study. Filaria Journal. 2002;1</v>
      </c>
      <c r="Y95" s="718"/>
      <c r="Z95" s="727" t="str">
        <f>IFERROR(__xludf.DUMMYFUNCTION("""COMPUTED_VALUE"""),"https://drive.google.com/file/d/0B0-pry4DSOm3d2UxcUlnUTZkemc/view?usp=sharing")</f>
        <v>https://drive.google.com/file/d/0B0-pry4DSOm3d2UxcUlnUTZkemc/view?usp=sharing</v>
      </c>
      <c r="AA95" s="40"/>
      <c r="AB95" s="40"/>
    </row>
    <row r="96">
      <c r="A96" s="745" t="str">
        <f>IFERROR(__xludf.DUMMYFUNCTION("""COMPUTED_VALUE"""),"Pani, 2002")</f>
        <v>Pani, 2002</v>
      </c>
      <c r="B96" s="40"/>
      <c r="C96" s="746" t="str">
        <f>IFERROR(__xludf.DUMMYFUNCTION("""COMPUTED_VALUE"""),"Alex")</f>
        <v>Alex</v>
      </c>
      <c r="D96" s="746" t="str">
        <f>IFERROR(__xludf.DUMMYFUNCTION("""COMPUTED_VALUE"""),"India")</f>
        <v>India</v>
      </c>
      <c r="E96" s="719" t="str">
        <f>IFERROR(__xludf.DUMMYFUNCTION("""COMPUTED_VALUE"""),"W. bancrofti")</f>
        <v>W. bancrofti</v>
      </c>
      <c r="F96" s="718" t="str">
        <f>IFERROR(__xludf.DUMMYFUNCTION("""COMPUTED_VALUE"""),"DEC")</f>
        <v>DEC</v>
      </c>
      <c r="G96" s="746" t="str">
        <f>IFERROR(__xludf.DUMMYFUNCTION("""COMPUTED_VALUE"""),"6 mg/ kg")</f>
        <v>6 mg/ kg</v>
      </c>
      <c r="H96" s="746">
        <f>IFERROR(__xludf.DUMMYFUNCTION("""COMPUTED_VALUE"""),1.0)</f>
        <v>1</v>
      </c>
      <c r="I96" s="757">
        <f>IFERROR(__xludf.DUMMYFUNCTION("""COMPUTED_VALUE"""),0.896)</f>
        <v>0.896</v>
      </c>
      <c r="J96" s="757">
        <f>IFERROR(__xludf.DUMMYFUNCTION("""COMPUTED_VALUE"""),0.176)</f>
        <v>0.176</v>
      </c>
      <c r="K96" s="746" t="str">
        <f>IFERROR(__xludf.DUMMYFUNCTION("""COMPUTED_VALUE"""),"Not available ")</f>
        <v>Not available </v>
      </c>
      <c r="L96" s="746">
        <f>IFERROR(__xludf.DUMMYFUNCTION("""COMPUTED_VALUE"""),17.0)</f>
        <v>17</v>
      </c>
      <c r="M96" s="750" t="str">
        <f>IFERROR(__xludf.DUMMYFUNCTION("""COMPUTED_VALUE"""),"10-57")</f>
        <v>10-57</v>
      </c>
      <c r="N96" s="758" t="str">
        <f>IFERROR(__xludf.DUMMYFUNCTION("""COMPUTED_VALUE"""),"9: 8")</f>
        <v>9: 8</v>
      </c>
      <c r="O96" s="746" t="str">
        <f>IFERROR(__xludf.DUMMYFUNCTION("""COMPUTED_VALUE"""),"Healthy individuals with normal body weight with normal ECG, chest x-ray, lab results presenting with W. bancrofti microfilaraemia ")</f>
        <v>Healthy individuals with normal body weight with normal ECG, chest x-ray, lab results presenting with W. bancrofti microfilaraemia </v>
      </c>
      <c r="P96" s="759" t="str">
        <f>IFERROR(__xludf.DUMMYFUNCTION("""COMPUTED_VALUE"""),"double- blind, RCT")</f>
        <v>double- blind, RCT</v>
      </c>
      <c r="Q96" s="718" t="str">
        <f>IFERROR(__xludf.DUMMYFUNCTION("""COMPUTED_VALUE"""),"Yes")</f>
        <v>Yes</v>
      </c>
      <c r="R96" s="746" t="str">
        <f>IFERROR(__xludf.DUMMYFUNCTION("""COMPUTED_VALUE"""),"Yes")</f>
        <v>Yes</v>
      </c>
      <c r="S96" s="746" t="str">
        <f>IFERROR(__xludf.DUMMYFUNCTION("""COMPUTED_VALUE"""),"360 days")</f>
        <v>360 days</v>
      </c>
      <c r="T96" s="40"/>
      <c r="U96" s="40"/>
      <c r="V96" s="752">
        <f>IFERROR(__xludf.DUMMYFUNCTION("""COMPUTED_VALUE"""),2002.0)</f>
        <v>2002</v>
      </c>
      <c r="W96" s="724">
        <f>IFERROR(__xludf.DUMMYFUNCTION("""COMPUTED_VALUE"""),2002.0)</f>
        <v>2002</v>
      </c>
      <c r="X96" s="40" t="str">
        <f>IFERROR(__xludf.DUMMYFUNCTION("""COMPUTED_VALUE"""),"Pani SP, Subramanyam Reddy G, Das LK, et al. Tolerability and efficacy of single dose albendazole, diethylcarbamazine citrate (DEC) or co-administration of albendazole with DEC in the clearance of Wuchereria bancrofti in asymptomatic microfilaraemic volun"&amp;"teers in Pondicherry, South India: a hospital-based study. Filaria Journal. 2002;1")</f>
        <v>Pani SP, Subramanyam Reddy G, Das LK, et al. Tolerability and efficacy of single dose albendazole, diethylcarbamazine citrate (DEC) or co-administration of albendazole with DEC in the clearance of Wuchereria bancrofti in asymptomatic microfilaraemic volunteers in Pondicherry, South India: a hospital-based study. Filaria Journal. 2002;1</v>
      </c>
      <c r="Y96" s="726"/>
      <c r="Z96" s="727" t="str">
        <f>IFERROR(__xludf.DUMMYFUNCTION("""COMPUTED_VALUE"""),"https://drive.google.com/file/d/0B0-pry4DSOm3d2UxcUlnUTZkemc/view?usp=sharing")</f>
        <v>https://drive.google.com/file/d/0B0-pry4DSOm3d2UxcUlnUTZkemc/view?usp=sharing</v>
      </c>
      <c r="AA96" s="40"/>
      <c r="AB96" s="40"/>
    </row>
    <row r="97">
      <c r="A97" s="745" t="str">
        <f>IFERROR(__xludf.DUMMYFUNCTION("""COMPUTED_VALUE"""),"Kshirsagar NA, 2004")</f>
        <v>Kshirsagar NA, 2004</v>
      </c>
      <c r="B97" s="40" t="str">
        <f>IFERROR(__xludf.DUMMYFUNCTION("""COMPUTED_VALUE"""),"Alex")</f>
        <v>Alex</v>
      </c>
      <c r="C97" s="746" t="str">
        <f>IFERROR(__xludf.DUMMYFUNCTION("""COMPUTED_VALUE"""),"Ross")</f>
        <v>Ross</v>
      </c>
      <c r="D97" s="746" t="str">
        <f>IFERROR(__xludf.DUMMYFUNCTION("""COMPUTED_VALUE"""),"India")</f>
        <v>India</v>
      </c>
      <c r="E97" s="719" t="str">
        <f>IFERROR(__xludf.DUMMYFUNCTION("""COMPUTED_VALUE"""),"W. bancrofti")</f>
        <v>W. bancrofti</v>
      </c>
      <c r="F97" s="718" t="str">
        <f>IFERROR(__xludf.DUMMYFUNCTION("""COMPUTED_VALUE"""),"Albendazole &amp; DEC")</f>
        <v>Albendazole &amp; DEC</v>
      </c>
      <c r="G97" s="730" t="str">
        <f>IFERROR(__xludf.DUMMYFUNCTION("""COMPUTED_VALUE"""),"600 mg + 6 mg/ kg")</f>
        <v>600 mg + 6 mg/ kg</v>
      </c>
      <c r="H97" s="740">
        <f>IFERROR(__xludf.DUMMYFUNCTION("""COMPUTED_VALUE"""),1.0)</f>
        <v>1</v>
      </c>
      <c r="I97" s="773"/>
      <c r="J97" s="773">
        <f>IFERROR(__xludf.DUMMYFUNCTION("""COMPUTED_VALUE"""),0.591)</f>
        <v>0.591</v>
      </c>
      <c r="K97" s="746" t="str">
        <f>IFERROR(__xludf.DUMMYFUNCTION("""COMPUTED_VALUE"""),"not available ")</f>
        <v>not available </v>
      </c>
      <c r="L97" s="746">
        <f>IFERROR(__xludf.DUMMYFUNCTION("""COMPUTED_VALUE"""),22.0)</f>
        <v>22</v>
      </c>
      <c r="M97" s="754" t="str">
        <f>IFERROR(__xludf.DUMMYFUNCTION("""COMPUTED_VALUE"""),"18-50")</f>
        <v>18-50</v>
      </c>
      <c r="N97" s="777" t="str">
        <f>IFERROR(__xludf.DUMMYFUNCTION("""COMPUTED_VALUE"""),"males")</f>
        <v>males</v>
      </c>
      <c r="O97" s="746" t="str">
        <f>IFERROR(__xludf.DUMMYFUNCTION("""COMPUTED_VALUE"""),"males aged 18 to 50 had blood collected via a finger prick which was used to determine if whether the patient was mf postive or negative. Those who were positive were assigned to either the control, DEC, group or the test group, the DEC +ALB, group.")</f>
        <v>males aged 18 to 50 had blood collected via a finger prick which was used to determine if whether the patient was mf postive or negative. Those who were positive were assigned to either the control, DEC, group or the test group, the DEC +ALB, group.</v>
      </c>
      <c r="P97" s="759" t="str">
        <f>IFERROR(__xludf.DUMMYFUNCTION("""COMPUTED_VALUE"""),"double blind RCT")</f>
        <v>double blind RCT</v>
      </c>
      <c r="Q97" s="718" t="str">
        <f>IFERROR(__xludf.DUMMYFUNCTION("""COMPUTED_VALUE"""),"Yes")</f>
        <v>Yes</v>
      </c>
      <c r="R97" s="746" t="str">
        <f>IFERROR(__xludf.DUMMYFUNCTION("""COMPUTED_VALUE"""),"Yes")</f>
        <v>Yes</v>
      </c>
      <c r="S97" s="746" t="str">
        <f>IFERROR(__xludf.DUMMYFUNCTION("""COMPUTED_VALUE"""),"3,6,12 months")</f>
        <v>3,6,12 months</v>
      </c>
      <c r="T97" s="40"/>
      <c r="U97" s="40" t="str">
        <f>IFERROR(__xludf.DUMMYFUNCTION("""COMPUTED_VALUE"""),"I'm usng the efficacy data of those testing mf+ (study also includes safety data and efficacy data for clinical+ and asymptomatic)")</f>
        <v>I'm usng the efficacy data of those testing mf+ (study also includes safety data and efficacy data for clinical+ and asymptomatic)</v>
      </c>
      <c r="V97" s="752">
        <f>IFERROR(__xludf.DUMMYFUNCTION("""COMPUTED_VALUE"""),2004.0)</f>
        <v>2004</v>
      </c>
      <c r="W97" s="724">
        <f>IFERROR(__xludf.DUMMYFUNCTION("""COMPUTED_VALUE"""),2004.0)</f>
        <v>2004</v>
      </c>
      <c r="X97" s="40" t="str">
        <f>IFERROR(__xludf.DUMMYFUNCTION("""COMPUTED_VALUE"""),"Kshirsagar NA, Gogtay NJ, Garg BS, Deshmukh PR, Rajgor DD, Kadam VS, et al.Safety, tolerability, efficacy and plasma concentrations of diethylcarbamazine and albendazole co-administration in a field study in an area endemic for lymphatic filariasis in Ind"&amp;"ia. Transactions of the Royal Society of Tropical Medicine and Hygiene 2004;98(4): 205–17.")</f>
        <v>Kshirsagar NA, Gogtay NJ, Garg BS, Deshmukh PR, Rajgor DD, Kadam VS, et al.Safety, tolerability, efficacy and plasma concentrations of diethylcarbamazine and albendazole co-administration in a field study in an area endemic for lymphatic filariasis in India. Transactions of the Royal Society of Tropical Medicine and Hygiene 2004;98(4): 205–17.</v>
      </c>
      <c r="Y97" s="726" t="str">
        <f>IFERROR(__xludf.DUMMYFUNCTION("""COMPUTED_VALUE"""),"doi:10.1016/S0035-9203(03)00044-0")</f>
        <v>doi:10.1016/S0035-9203(03)00044-0</v>
      </c>
      <c r="Z97" s="727" t="str">
        <f>IFERROR(__xludf.DUMMYFUNCTION("""COMPUTED_VALUE"""),"https://drive.google.com/file/d/0B4sJPAkX0Jo3ODU3Wk1YOW9nMnc/view?usp=sharing")</f>
        <v>https://drive.google.com/file/d/0B4sJPAkX0Jo3ODU3Wk1YOW9nMnc/view?usp=sharing</v>
      </c>
      <c r="AA97" s="40"/>
      <c r="AB97" s="40"/>
    </row>
    <row r="98">
      <c r="A98" s="728" t="str">
        <f>IFERROR(__xludf.DUMMYFUNCTION("""COMPUTED_VALUE"""),"Richards, 1991")</f>
        <v>Richards, 1991</v>
      </c>
      <c r="B98" s="730" t="str">
        <f>IFERROR(__xludf.DUMMYFUNCTION("""COMPUTED_VALUE"""),"Kirti")</f>
        <v>Kirti</v>
      </c>
      <c r="C98" s="730" t="str">
        <f>IFERROR(__xludf.DUMMYFUNCTION("""COMPUTED_VALUE"""),"Chungsoo")</f>
        <v>Chungsoo</v>
      </c>
      <c r="D98" s="730" t="str">
        <f>IFERROR(__xludf.DUMMYFUNCTION("""COMPUTED_VALUE"""),"Haiti")</f>
        <v>Haiti</v>
      </c>
      <c r="E98" s="739" t="str">
        <f>IFERROR(__xludf.DUMMYFUNCTION("""COMPUTED_VALUE"""),"W. bancrofti")</f>
        <v>W. bancrofti</v>
      </c>
      <c r="F98" s="746" t="str">
        <f>IFERROR(__xludf.DUMMYFUNCTION("""COMPUTED_VALUE"""),"DEC &amp; Ivermectin")</f>
        <v>DEC &amp; Ivermectin</v>
      </c>
      <c r="G98" s="755" t="str">
        <f>IFERROR(__xludf.DUMMYFUNCTION("""COMPUTED_VALUE""")," 6mg/kg")</f>
        <v> 6mg/kg</v>
      </c>
      <c r="H98" s="740">
        <f>IFERROR(__xludf.DUMMYFUNCTION("""COMPUTED_VALUE"""),12.0)</f>
        <v>12</v>
      </c>
      <c r="I98" s="773">
        <f>IFERROR(__xludf.DUMMYFUNCTION("""COMPUTED_VALUE"""),0.991)</f>
        <v>0.991</v>
      </c>
      <c r="J98" s="774">
        <f>IFERROR(__xludf.DUMMYFUNCTION("""COMPUTED_VALUE"""),0.7)</f>
        <v>0.7</v>
      </c>
      <c r="K98" s="40"/>
      <c r="L98" s="734">
        <f>IFERROR(__xludf.DUMMYFUNCTION("""COMPUTED_VALUE"""),10.0)</f>
        <v>10</v>
      </c>
      <c r="M98" s="754" t="str">
        <f>IFERROR(__xludf.DUMMYFUNCTION("""COMPUTED_VALUE"""),"16-65")</f>
        <v>16-65</v>
      </c>
      <c r="N98" s="777" t="str">
        <f>IFERROR(__xludf.DUMMYFUNCTION("""COMPUTED_VALUE"""),"7:8 (overall)")</f>
        <v>7:8 (overall)</v>
      </c>
      <c r="O98" s="730" t="str">
        <f>IFERROR(__xludf.DUMMYFUNCTION("""COMPUTED_VALUE"""),"Microfilaremic men and women between the ages of 16 and 65, who were otherwise healthy. All were malaria free and had no anthelminthic therapy in the preceding six months. Women participants had negative urine pregnancy test results. ")</f>
        <v>Microfilaremic men and women between the ages of 16 and 65, who were otherwise healthy. All were malaria free and had no anthelminthic therapy in the preceding six months. Women participants had negative urine pregnancy test results. </v>
      </c>
      <c r="P98" s="736" t="str">
        <f>IFERROR(__xludf.DUMMYFUNCTION("""COMPUTED_VALUE"""),"double-blinded RCT")</f>
        <v>double-blinded RCT</v>
      </c>
      <c r="Q98" s="718" t="str">
        <f>IFERROR(__xludf.DUMMYFUNCTION("""COMPUTED_VALUE"""),"Yes")</f>
        <v>Yes</v>
      </c>
      <c r="R98" s="730" t="str">
        <f>IFERROR(__xludf.DUMMYFUNCTION("""COMPUTED_VALUE"""),"Yes")</f>
        <v>Yes</v>
      </c>
      <c r="S98" s="730" t="str">
        <f>IFERROR(__xludf.DUMMYFUNCTION("""COMPUTED_VALUE"""),"360 days")</f>
        <v>360 days</v>
      </c>
      <c r="T98" s="730" t="str">
        <f>IFERROR(__xludf.DUMMYFUNCTION("""COMPUTED_VALUE"""),"DEC causes more damage to the adult worms and greater reduction in microfilaria densities than ivermectin, but that high doses of ivermectin may suppress microillaremia in lymphatic filariasis for periods much longer than previously reported.")</f>
        <v>DEC causes more damage to the adult worms and greater reduction in microfilaria densities than ivermectin, but that high doses of ivermectin may suppress microillaremia in lymphatic filariasis for periods much longer than previously reported.</v>
      </c>
      <c r="U98" s="730" t="str">
        <f>IFERROR(__xludf.DUMMYFUNCTION("""COMPUTED_VALUE"""),"The study had 3 phases in total: phase 1 (15 days), phase 2 (Day 16), phase 3 (Day 360); each group was given a 1mg dose of ivermectin at the beginning of the study")</f>
        <v>The study had 3 phases in total: phase 1 (15 days), phase 2 (Day 16), phase 3 (Day 360); each group was given a 1mg dose of ivermectin at the beginning of the study</v>
      </c>
      <c r="V98" s="737">
        <f>IFERROR(__xludf.DUMMYFUNCTION("""COMPUTED_VALUE"""),1991.0)</f>
        <v>1991</v>
      </c>
      <c r="W98" s="737">
        <f>IFERROR(__xludf.DUMMYFUNCTION("""COMPUTED_VALUE"""),1991.0)</f>
        <v>1991</v>
      </c>
      <c r="X98" s="779" t="str">
        <f>IFERROR(__xludf.DUMMYFUNCTION("""COMPUTED_VALUE"""),"Richards FO Jr1, Eberhard ML, Bryan RT, McNeeley DF, Lammie PJ, McNeeley MB, et al. Comparison of high dose ivermectin and diethylcarbamazine for activity against bancroftian filariasis in Haiti. Am J Trop Med Hyg 1991; 44 (1): 3-10.")</f>
        <v>Richards FO Jr1, Eberhard ML, Bryan RT, McNeeley DF, Lammie PJ, McNeeley MB, et al. Comparison of high dose ivermectin and diethylcarbamazine for activity against bancroftian filariasis in Haiti. Am J Trop Med Hyg 1991; 44 (1): 3-10.</v>
      </c>
      <c r="Y98" s="738" t="str">
        <f>IFERROR(__xludf.DUMMYFUNCTION("""COMPUTED_VALUE"""),"PMID: 1996738")</f>
        <v>PMID: 1996738</v>
      </c>
      <c r="Z98" s="727" t="str">
        <f>IFERROR(__xludf.DUMMYFUNCTION("""COMPUTED_VALUE"""),"https://drive.google.com/file/d/0By3QPyQz621GZXFGU2JFTENYZ2s/view?usp=sharing")</f>
        <v>https://drive.google.com/file/d/0By3QPyQz621GZXFGU2JFTENYZ2s/view?usp=sharing</v>
      </c>
      <c r="AA98" s="40"/>
      <c r="AB98" s="40"/>
    </row>
    <row r="99">
      <c r="A99" s="728" t="str">
        <f>IFERROR(__xludf.DUMMYFUNCTION("""COMPUTED_VALUE"""),"Richards, 1991")</f>
        <v>Richards, 1991</v>
      </c>
      <c r="B99" s="730" t="str">
        <f>IFERROR(__xludf.DUMMYFUNCTION("""COMPUTED_VALUE"""),"Kirti ")</f>
        <v>Kirti </v>
      </c>
      <c r="C99" s="730" t="str">
        <f>IFERROR(__xludf.DUMMYFUNCTION("""COMPUTED_VALUE"""),"Chungsoo")</f>
        <v>Chungsoo</v>
      </c>
      <c r="D99" s="730" t="str">
        <f>IFERROR(__xludf.DUMMYFUNCTION("""COMPUTED_VALUE"""),"Haiti")</f>
        <v>Haiti</v>
      </c>
      <c r="E99" s="739" t="str">
        <f>IFERROR(__xludf.DUMMYFUNCTION("""COMPUTED_VALUE"""),"W. bancrofti")</f>
        <v>W. bancrofti</v>
      </c>
      <c r="F99" s="730" t="str">
        <f>IFERROR(__xludf.DUMMYFUNCTION("""COMPUTED_VALUE"""),"Ivermectin")</f>
        <v>Ivermectin</v>
      </c>
      <c r="G99" s="730" t="str">
        <f>IFERROR(__xludf.DUMMYFUNCTION("""COMPUTED_VALUE"""),".2 mg/kg")</f>
        <v>.2 mg/kg</v>
      </c>
      <c r="H99" s="740">
        <f>IFERROR(__xludf.DUMMYFUNCTION("""COMPUTED_VALUE"""),1.0)</f>
        <v>1</v>
      </c>
      <c r="I99" s="773">
        <f>IFERROR(__xludf.DUMMYFUNCTION("""COMPUTED_VALUE"""),0.918)</f>
        <v>0.918</v>
      </c>
      <c r="J99" s="774">
        <f>IFERROR(__xludf.DUMMYFUNCTION("""COMPUTED_VALUE"""),0.1)</f>
        <v>0.1</v>
      </c>
      <c r="K99" s="40"/>
      <c r="L99" s="734">
        <f>IFERROR(__xludf.DUMMYFUNCTION("""COMPUTED_VALUE"""),10.0)</f>
        <v>10</v>
      </c>
      <c r="M99" s="754" t="str">
        <f>IFERROR(__xludf.DUMMYFUNCTION("""COMPUTED_VALUE"""),"16-65")</f>
        <v>16-65</v>
      </c>
      <c r="N99" s="777" t="str">
        <f>IFERROR(__xludf.DUMMYFUNCTION("""COMPUTED_VALUE"""),"7:8 (overall)")</f>
        <v>7:8 (overall)</v>
      </c>
      <c r="O99" s="730" t="str">
        <f>IFERROR(__xludf.DUMMYFUNCTION("""COMPUTED_VALUE"""),"Microfilaremic men and women between the ages of 16 and 65, who were otherwise healthy. All were malaria free and had no anthelminthic therapy in the preceding six months. Women participants had negative urine pregnancy test results. ")</f>
        <v>Microfilaremic men and women between the ages of 16 and 65, who were otherwise healthy. All were malaria free and had no anthelminthic therapy in the preceding six months. Women participants had negative urine pregnancy test results. </v>
      </c>
      <c r="P99" s="736" t="str">
        <f>IFERROR(__xludf.DUMMYFUNCTION("""COMPUTED_VALUE"""),"double-blinded RCT")</f>
        <v>double-blinded RCT</v>
      </c>
      <c r="Q99" s="718" t="str">
        <f>IFERROR(__xludf.DUMMYFUNCTION("""COMPUTED_VALUE"""),"Yes")</f>
        <v>Yes</v>
      </c>
      <c r="R99" s="730" t="str">
        <f>IFERROR(__xludf.DUMMYFUNCTION("""COMPUTED_VALUE"""),"Yes")</f>
        <v>Yes</v>
      </c>
      <c r="S99" s="730" t="str">
        <f>IFERROR(__xludf.DUMMYFUNCTION("""COMPUTED_VALUE"""),"360 days")</f>
        <v>360 days</v>
      </c>
      <c r="T99" s="730" t="str">
        <f>IFERROR(__xludf.DUMMYFUNCTION("""COMPUTED_VALUE"""),"DEC causes more damage to the adult worms and greater reduction in microfilaria densities than ivermectin, but that high doses of ivermectin may suppress microillaremia in lymphatic filariasis for periods much longer than previously reported.")</f>
        <v>DEC causes more damage to the adult worms and greater reduction in microfilaria densities than ivermectin, but that high doses of ivermectin may suppress microillaremia in lymphatic filariasis for periods much longer than previously reported.</v>
      </c>
      <c r="U99" s="730" t="str">
        <f>IFERROR(__xludf.DUMMYFUNCTION("""COMPUTED_VALUE"""),"The study had 3 phases in total: phase 1 (15 days), phase 2 (Day 16), phase 3 (Day 360); each group was given a 1mg dose of ivermectin at the beginning of the study")</f>
        <v>The study had 3 phases in total: phase 1 (15 days), phase 2 (Day 16), phase 3 (Day 360); each group was given a 1mg dose of ivermectin at the beginning of the study</v>
      </c>
      <c r="V99" s="737">
        <f>IFERROR(__xludf.DUMMYFUNCTION("""COMPUTED_VALUE"""),1991.0)</f>
        <v>1991</v>
      </c>
      <c r="W99" s="737">
        <f>IFERROR(__xludf.DUMMYFUNCTION("""COMPUTED_VALUE"""),1991.0)</f>
        <v>1991</v>
      </c>
      <c r="X99" s="779" t="str">
        <f>IFERROR(__xludf.DUMMYFUNCTION("""COMPUTED_VALUE"""),"Richards FO Jr1, Eberhard ML, Bryan RT, McNeeley DF, Lammie PJ, McNeeley MB, et al. Comparison of high dose ivermectin and diethylcarbamazine for activity against bancroftian filariasis in Haiti. Am J Trop Med Hyg 1991; 44 (1): 3-10.")</f>
        <v>Richards FO Jr1, Eberhard ML, Bryan RT, McNeeley DF, Lammie PJ, McNeeley MB, et al. Comparison of high dose ivermectin and diethylcarbamazine for activity against bancroftian filariasis in Haiti. Am J Trop Med Hyg 1991; 44 (1): 3-10.</v>
      </c>
      <c r="Y99" s="738" t="str">
        <f>IFERROR(__xludf.DUMMYFUNCTION("""COMPUTED_VALUE"""),"PMID: 1996738")</f>
        <v>PMID: 1996738</v>
      </c>
      <c r="Z99" s="727" t="str">
        <f>IFERROR(__xludf.DUMMYFUNCTION("""COMPUTED_VALUE"""),"https://drive.google.com/file/d/0By3QPyQz621GZXFGU2JFTENYZ2s/view?usp=sharing")</f>
        <v>https://drive.google.com/file/d/0By3QPyQz621GZXFGU2JFTENYZ2s/view?usp=sharing</v>
      </c>
      <c r="AA99" s="40"/>
      <c r="AB99" s="40"/>
    </row>
    <row r="100">
      <c r="A100" s="728" t="str">
        <f>IFERROR(__xludf.DUMMYFUNCTION("""COMPUTED_VALUE"""),"Richards, 1991")</f>
        <v>Richards, 1991</v>
      </c>
      <c r="B100" s="730" t="str">
        <f>IFERROR(__xludf.DUMMYFUNCTION("""COMPUTED_VALUE"""),"Kirti")</f>
        <v>Kirti</v>
      </c>
      <c r="C100" s="730" t="str">
        <f>IFERROR(__xludf.DUMMYFUNCTION("""COMPUTED_VALUE"""),"Chungsoo")</f>
        <v>Chungsoo</v>
      </c>
      <c r="D100" s="730" t="str">
        <f>IFERROR(__xludf.DUMMYFUNCTION("""COMPUTED_VALUE"""),"Haiti")</f>
        <v>Haiti</v>
      </c>
      <c r="E100" s="739" t="str">
        <f>IFERROR(__xludf.DUMMYFUNCTION("""COMPUTED_VALUE"""),"W. bancrofti")</f>
        <v>W. bancrofti</v>
      </c>
      <c r="F100" s="730" t="str">
        <f>IFERROR(__xludf.DUMMYFUNCTION("""COMPUTED_VALUE"""),"Ivermectin")</f>
        <v>Ivermectin</v>
      </c>
      <c r="G100" s="730" t="str">
        <f>IFERROR(__xludf.DUMMYFUNCTION("""COMPUTED_VALUE""")," .2 mg/kg per day for 2 days")</f>
        <v> .2 mg/kg per day for 2 days</v>
      </c>
      <c r="H100" s="740">
        <f>IFERROR(__xludf.DUMMYFUNCTION("""COMPUTED_VALUE"""),2.0)</f>
        <v>2</v>
      </c>
      <c r="I100" s="773">
        <f>IFERROR(__xludf.DUMMYFUNCTION("""COMPUTED_VALUE"""),0.962)</f>
        <v>0.962</v>
      </c>
      <c r="J100" s="774">
        <f>IFERROR(__xludf.DUMMYFUNCTION("""COMPUTED_VALUE"""),0.33)</f>
        <v>0.33</v>
      </c>
      <c r="K100" s="40"/>
      <c r="L100" s="734">
        <f>IFERROR(__xludf.DUMMYFUNCTION("""COMPUTED_VALUE"""),10.0)</f>
        <v>10</v>
      </c>
      <c r="M100" s="730" t="str">
        <f>IFERROR(__xludf.DUMMYFUNCTION("""COMPUTED_VALUE"""),"16-65")</f>
        <v>16-65</v>
      </c>
      <c r="N100" s="778" t="str">
        <f>IFERROR(__xludf.DUMMYFUNCTION("""COMPUTED_VALUE"""),"7:8 (overall)")</f>
        <v>7:8 (overall)</v>
      </c>
      <c r="O100" s="730" t="str">
        <f>IFERROR(__xludf.DUMMYFUNCTION("""COMPUTED_VALUE"""),"Microfilaremic men and women between the ages of 16 and 65, who were otherwise healthy. All were malaria free and had no anthelminthic therapy in the preceding six months. Women participants had negative urine pregnancy test results. ")</f>
        <v>Microfilaremic men and women between the ages of 16 and 65, who were otherwise healthy. All were malaria free and had no anthelminthic therapy in the preceding six months. Women participants had negative urine pregnancy test results. </v>
      </c>
      <c r="P100" s="736" t="str">
        <f>IFERROR(__xludf.DUMMYFUNCTION("""COMPUTED_VALUE"""),"double-blinded RCT")</f>
        <v>double-blinded RCT</v>
      </c>
      <c r="Q100" s="718" t="str">
        <f>IFERROR(__xludf.DUMMYFUNCTION("""COMPUTED_VALUE"""),"Yes")</f>
        <v>Yes</v>
      </c>
      <c r="R100" s="730" t="str">
        <f>IFERROR(__xludf.DUMMYFUNCTION("""COMPUTED_VALUE"""),"Yes")</f>
        <v>Yes</v>
      </c>
      <c r="S100" s="730" t="str">
        <f>IFERROR(__xludf.DUMMYFUNCTION("""COMPUTED_VALUE"""),"360 days")</f>
        <v>360 days</v>
      </c>
      <c r="T100" s="730" t="str">
        <f>IFERROR(__xludf.DUMMYFUNCTION("""COMPUTED_VALUE"""),"DEC causes more damage to the adult worms and greater reduction in microfilaria densities than ivermectin, but that high doses of ivermectin may suppress microillaremia in lymphatic filariasis for periods much longer than previously reported.")</f>
        <v>DEC causes more damage to the adult worms and greater reduction in microfilaria densities than ivermectin, but that high doses of ivermectin may suppress microillaremia in lymphatic filariasis for periods much longer than previously reported.</v>
      </c>
      <c r="U100" s="730" t="str">
        <f>IFERROR(__xludf.DUMMYFUNCTION("""COMPUTED_VALUE"""),"The study had 3 phases in total: phase 1 (15 days), phase 2 (Day 16), phase 3 (Day 360); each group was given a 1mg dose of ivermectin at the beginning of the study")</f>
        <v>The study had 3 phases in total: phase 1 (15 days), phase 2 (Day 16), phase 3 (Day 360); each group was given a 1mg dose of ivermectin at the beginning of the study</v>
      </c>
      <c r="V100" s="737">
        <f>IFERROR(__xludf.DUMMYFUNCTION("""COMPUTED_VALUE"""),1991.0)</f>
        <v>1991</v>
      </c>
      <c r="W100" s="737">
        <f>IFERROR(__xludf.DUMMYFUNCTION("""COMPUTED_VALUE"""),1991.0)</f>
        <v>1991</v>
      </c>
      <c r="X100" s="779" t="str">
        <f>IFERROR(__xludf.DUMMYFUNCTION("""COMPUTED_VALUE"""),"Richards FO Jr1, Eberhard ML, Bryan RT, McNeeley DF, Lammie PJ, McNeeley MB, et al. Comparison of high dose ivermectin and diethylcarbamazine for activity against bancroftian filariasis in Haiti. Am J Trop Med Hyg 1991; 44 (1): 3-10.")</f>
        <v>Richards FO Jr1, Eberhard ML, Bryan RT, McNeeley DF, Lammie PJ, McNeeley MB, et al. Comparison of high dose ivermectin and diethylcarbamazine for activity against bancroftian filariasis in Haiti. Am J Trop Med Hyg 1991; 44 (1): 3-10.</v>
      </c>
      <c r="Y100" s="738" t="str">
        <f>IFERROR(__xludf.DUMMYFUNCTION("""COMPUTED_VALUE"""),"PMID: 1996738")</f>
        <v>PMID: 1996738</v>
      </c>
      <c r="Z100" s="727" t="str">
        <f>IFERROR(__xludf.DUMMYFUNCTION("""COMPUTED_VALUE"""),"https://drive.google.com/file/d/0By3QPyQz621GZXFGU2JFTENYZ2s/view?usp=sharing")</f>
        <v>https://drive.google.com/file/d/0By3QPyQz621GZXFGU2JFTENYZ2s/view?usp=sharing</v>
      </c>
      <c r="AA100" s="40"/>
      <c r="AB100" s="40"/>
    </row>
    <row r="101">
      <c r="A101" s="728" t="str">
        <f>IFERROR(__xludf.DUMMYFUNCTION("""COMPUTED_VALUE"""),"Pani, 2002")</f>
        <v>Pani, 2002</v>
      </c>
      <c r="B101" s="730"/>
      <c r="C101" s="730" t="str">
        <f>IFERROR(__xludf.DUMMYFUNCTION("""COMPUTED_VALUE"""),"Alex")</f>
        <v>Alex</v>
      </c>
      <c r="D101" s="730" t="str">
        <f>IFERROR(__xludf.DUMMYFUNCTION("""COMPUTED_VALUE"""),"India")</f>
        <v>India</v>
      </c>
      <c r="E101" s="747" t="str">
        <f>IFERROR(__xludf.DUMMYFUNCTION("""COMPUTED_VALUE"""),"W. bancrofti")</f>
        <v>W. bancrofti</v>
      </c>
      <c r="F101" s="718" t="str">
        <f>IFERROR(__xludf.DUMMYFUNCTION("""COMPUTED_VALUE"""),"Albendazole &amp; DEC")</f>
        <v>Albendazole &amp; DEC</v>
      </c>
      <c r="G101" s="730" t="str">
        <f>IFERROR(__xludf.DUMMYFUNCTION("""COMPUTED_VALUE"""),"400 mg + 6 mg/ kg")</f>
        <v>400 mg + 6 mg/ kg</v>
      </c>
      <c r="H101" s="740">
        <f>IFERROR(__xludf.DUMMYFUNCTION("""COMPUTED_VALUE"""),1.0)</f>
        <v>1</v>
      </c>
      <c r="I101" s="742">
        <f>IFERROR(__xludf.DUMMYFUNCTION("""COMPUTED_VALUE"""),0.954)</f>
        <v>0.954</v>
      </c>
      <c r="J101" s="774">
        <f>IFERROR(__xludf.DUMMYFUNCTION("""COMPUTED_VALUE"""),0.278)</f>
        <v>0.278</v>
      </c>
      <c r="K101" s="40" t="str">
        <f>IFERROR(__xludf.DUMMYFUNCTION("""COMPUTED_VALUE"""),"Not available ")</f>
        <v>Not available </v>
      </c>
      <c r="L101" s="734">
        <f>IFERROR(__xludf.DUMMYFUNCTION("""COMPUTED_VALUE"""),18.0)</f>
        <v>18</v>
      </c>
      <c r="M101" s="780" t="str">
        <f>IFERROR(__xludf.DUMMYFUNCTION("""COMPUTED_VALUE"""),"10- 57")</f>
        <v>10- 57</v>
      </c>
      <c r="N101" s="781" t="str">
        <f>IFERROR(__xludf.DUMMYFUNCTION("""COMPUTED_VALUE"""),"9: 9")</f>
        <v>9: 9</v>
      </c>
      <c r="O101" s="782" t="str">
        <f>IFERROR(__xludf.DUMMYFUNCTION("""COMPUTED_VALUE"""),"Healthy individuals with normal body weight with normal ECG, chest x-ray, lab results presenting with W. bancrofti microfilaraemia ")</f>
        <v>Healthy individuals with normal body weight with normal ECG, chest x-ray, lab results presenting with W. bancrofti microfilaraemia </v>
      </c>
      <c r="P101" s="736" t="str">
        <f>IFERROR(__xludf.DUMMYFUNCTION("""COMPUTED_VALUE"""),"double- blind, RCT")</f>
        <v>double- blind, RCT</v>
      </c>
      <c r="Q101" s="718" t="str">
        <f>IFERROR(__xludf.DUMMYFUNCTION("""COMPUTED_VALUE"""),"Yes")</f>
        <v>Yes</v>
      </c>
      <c r="R101" s="718" t="str">
        <f>IFERROR(__xludf.DUMMYFUNCTION("""COMPUTED_VALUE"""),"Yes")</f>
        <v>Yes</v>
      </c>
      <c r="S101" s="730" t="str">
        <f>IFERROR(__xludf.DUMMYFUNCTION("""COMPUTED_VALUE"""),"360 days")</f>
        <v>360 days</v>
      </c>
      <c r="T101" s="730"/>
      <c r="U101" s="730"/>
      <c r="V101" s="40">
        <f>IFERROR(__xludf.DUMMYFUNCTION("""COMPUTED_VALUE"""),2002.0)</f>
        <v>2002</v>
      </c>
      <c r="W101" s="737">
        <f>IFERROR(__xludf.DUMMYFUNCTION("""COMPUTED_VALUE"""),2002.0)</f>
        <v>2002</v>
      </c>
      <c r="X101" s="779" t="str">
        <f>IFERROR(__xludf.DUMMYFUNCTION("""COMPUTED_VALUE"""),"Pani SP, Subramanyam Reddy G, Das LK, et al. Tolerability and efficacy of single dose albendazole, diethylcarbamazine citrate (DEC) or co-administration of albendazole with DEC in the clearance of Wuchereria bancrofti in asymptomatic microfilaraemic volun"&amp;"teers in Pondicherry, South India: a hospital-based study. Filaria Journal. 2002;1")</f>
        <v>Pani SP, Subramanyam Reddy G, Das LK, et al. Tolerability and efficacy of single dose albendazole, diethylcarbamazine citrate (DEC) or co-administration of albendazole with DEC in the clearance of Wuchereria bancrofti in asymptomatic microfilaraemic volunteers in Pondicherry, South India: a hospital-based study. Filaria Journal. 2002;1</v>
      </c>
      <c r="Y101" s="738"/>
      <c r="Z101" s="727" t="str">
        <f>IFERROR(__xludf.DUMMYFUNCTION("""COMPUTED_VALUE"""),"https://drive.google.com/file/d/0B0-pry4DSOm3d2UxcUlnUTZkemc/view?usp=sharing")</f>
        <v>https://drive.google.com/file/d/0B0-pry4DSOm3d2UxcUlnUTZkemc/view?usp=sharing</v>
      </c>
      <c r="AA101" s="40"/>
      <c r="AB101" s="40"/>
    </row>
    <row r="102">
      <c r="A102" s="728" t="str">
        <f>IFERROR(__xludf.DUMMYFUNCTION("""COMPUTED_VALUE"""),"Shenoy 1999")</f>
        <v>Shenoy 1999</v>
      </c>
      <c r="B102" s="730" t="str">
        <f>IFERROR(__xludf.DUMMYFUNCTION("""COMPUTED_VALUE"""),"Kirti")</f>
        <v>Kirti</v>
      </c>
      <c r="C102" s="730" t="str">
        <f>IFERROR(__xludf.DUMMYFUNCTION("""COMPUTED_VALUE"""),"Alex ")</f>
        <v>Alex </v>
      </c>
      <c r="D102" s="730" t="str">
        <f>IFERROR(__xludf.DUMMYFUNCTION("""COMPUTED_VALUE"""),"India")</f>
        <v>India</v>
      </c>
      <c r="E102" s="747" t="str">
        <f>IFERROR(__xludf.DUMMYFUNCTION("""COMPUTED_VALUE"""),"Brugia malayi")</f>
        <v>Brugia malayi</v>
      </c>
      <c r="F102" s="718" t="str">
        <f>IFERROR(__xludf.DUMMYFUNCTION("""COMPUTED_VALUE"""),"Albendazole &amp; DEC")</f>
        <v>Albendazole &amp; DEC</v>
      </c>
      <c r="G102" s="730" t="str">
        <f>IFERROR(__xludf.DUMMYFUNCTION("""COMPUTED_VALUE"""),"400 mg + 6 mg/ kg")</f>
        <v>400 mg + 6 mg/ kg</v>
      </c>
      <c r="H102" s="740">
        <f>IFERROR(__xludf.DUMMYFUNCTION("""COMPUTED_VALUE"""),1.0)</f>
        <v>1</v>
      </c>
      <c r="I102" s="742">
        <f>IFERROR(__xludf.DUMMYFUNCTION("""COMPUTED_VALUE"""),0.985)</f>
        <v>0.985</v>
      </c>
      <c r="J102" s="742">
        <f>IFERROR(__xludf.DUMMYFUNCTION("""COMPUTED_VALUE"""),0.47)</f>
        <v>0.47</v>
      </c>
      <c r="K102" s="40" t="str">
        <f>IFERROR(__xludf.DUMMYFUNCTION("""COMPUTED_VALUE"""),"Not available")</f>
        <v>Not available</v>
      </c>
      <c r="L102" s="734">
        <f>IFERROR(__xludf.DUMMYFUNCTION("""COMPUTED_VALUE"""),16.0)</f>
        <v>16</v>
      </c>
      <c r="M102" s="780" t="str">
        <f>IFERROR(__xludf.DUMMYFUNCTION("""COMPUTED_VALUE"""),"15-65")</f>
        <v>15-65</v>
      </c>
      <c r="N102" s="777">
        <f>IFERROR(__xludf.DUMMYFUNCTION("""COMPUTED_VALUE"""),0.04652777777777778)</f>
        <v>0.04652777778</v>
      </c>
      <c r="O102" s="782" t="str">
        <f>IFERROR(__xludf.DUMMYFUNCTION("""COMPUTED_VALUE"""),"All individuals (including children) in the communities. Women (non-pregnant and non-lactating).")</f>
        <v>All individuals (including children) in the communities. Women (non-pregnant and non-lactating).</v>
      </c>
      <c r="P102" s="736" t="str">
        <f>IFERROR(__xludf.DUMMYFUNCTION("""COMPUTED_VALUE"""),"Random single blind ")</f>
        <v>Random single blind </v>
      </c>
      <c r="Q102" s="718" t="str">
        <f>IFERROR(__xludf.DUMMYFUNCTION("""COMPUTED_VALUE"""),"Yes")</f>
        <v>Yes</v>
      </c>
      <c r="R102" s="718" t="str">
        <f>IFERROR(__xludf.DUMMYFUNCTION("""COMPUTED_VALUE"""),"Yes")</f>
        <v>Yes</v>
      </c>
      <c r="S102" s="730" t="str">
        <f>IFERROR(__xludf.DUMMYFUNCTION("""COMPUTED_VALUE"""),"1 year")</f>
        <v>1 year</v>
      </c>
      <c r="T102" s="730" t="str">
        <f>IFERROR(__xludf.DUMMYFUNCTION("""COMPUTED_VALUE"""),"The combination of DEC and albendazole, both well tested drugs, offers a new option for countries such as India where there is no onchocerciasis or loiasis and where ivermectin may not be immediately available.")</f>
        <v>The combination of DEC and albendazole, both well tested drugs, offers a new option for countries such as India where there is no onchocerciasis or loiasis and where ivermectin may not be immediately available.</v>
      </c>
      <c r="U102" s="730" t="str">
        <f>IFERROR(__xludf.DUMMYFUNCTION("""COMPUTED_VALUE"""),"The level of mf % decreased dramatically after the 12 hours of treament and ramained similar throughout the 360 days period.")</f>
        <v>The level of mf % decreased dramatically after the 12 hours of treament and ramained similar throughout the 360 days period.</v>
      </c>
      <c r="V102" s="40">
        <f>IFERROR(__xludf.DUMMYFUNCTION("""COMPUTED_VALUE"""),1999.0)</f>
        <v>1999</v>
      </c>
      <c r="W102" s="737">
        <f>IFERROR(__xludf.DUMMYFUNCTION("""COMPUTED_VALUE"""),1999.0)</f>
        <v>1999</v>
      </c>
      <c r="X102" s="779" t="str">
        <f>IFERROR(__xludf.DUMMYFUNCTION("""COMPUTED_VALUE"""),"Shenoy RK, Dalia S, John A, Suma TK, and Kumaraswami V. Treatment of the microfilaraemia of asymptomatic brugian filariasis with single doses of ivermectin, diethylcarbamazine or albendazole, in various combinations. Annals of Tropical Medicine &amp; Parasito"&amp;"logy 1999; 93(6): 643-651.")</f>
        <v>Shenoy RK, Dalia S, John A, Suma TK, and Kumaraswami V. Treatment of the microfilaraemia of asymptomatic brugian filariasis with single doses of ivermectin, diethylcarbamazine or albendazole, in various combinations. Annals of Tropical Medicine &amp; Parasitology 1999; 93(6): 643-651.</v>
      </c>
      <c r="Y102" s="738" t="str">
        <f>IFERROR(__xludf.DUMMYFUNCTION("""COMPUTED_VALUE"""),"PMID: 10707109")</f>
        <v>PMID: 10707109</v>
      </c>
      <c r="Z102" s="727" t="str">
        <f>IFERROR(__xludf.DUMMYFUNCTION("""COMPUTED_VALUE"""),"https://drive.google.com/file/d/0B9vYgR7NsKoYUC1NeHdLZlh6Y2s/view?usp=sharing")</f>
        <v>https://drive.google.com/file/d/0B9vYgR7NsKoYUC1NeHdLZlh6Y2s/view?usp=sharing</v>
      </c>
      <c r="AA102" s="40"/>
      <c r="AB102" s="40"/>
    </row>
    <row r="103">
      <c r="A103" s="745" t="str">
        <f>IFERROR(__xludf.DUMMYFUNCTION("""COMPUTED_VALUE"""),"Shenoy 1999")</f>
        <v>Shenoy 1999</v>
      </c>
      <c r="B103" s="746" t="str">
        <f>IFERROR(__xludf.DUMMYFUNCTION("""COMPUTED_VALUE"""),"Kirti")</f>
        <v>Kirti</v>
      </c>
      <c r="C103" s="746" t="str">
        <f>IFERROR(__xludf.DUMMYFUNCTION("""COMPUTED_VALUE"""),"Alex ")</f>
        <v>Alex </v>
      </c>
      <c r="D103" s="746" t="str">
        <f>IFERROR(__xludf.DUMMYFUNCTION("""COMPUTED_VALUE"""),"India")</f>
        <v>India</v>
      </c>
      <c r="E103" s="747" t="str">
        <f>IFERROR(__xludf.DUMMYFUNCTION("""COMPUTED_VALUE"""),"Brugia malayi")</f>
        <v>Brugia malayi</v>
      </c>
      <c r="F103" s="746" t="str">
        <f>IFERROR(__xludf.DUMMYFUNCTION("""COMPUTED_VALUE"""),"DEC &amp; Ivermectin")</f>
        <v>DEC &amp; Ivermectin</v>
      </c>
      <c r="G103" s="746" t="str">
        <f>IFERROR(__xludf.DUMMYFUNCTION("""COMPUTED_VALUE"""),".200 mg/kg + 6 mg/kg")</f>
        <v>.200 mg/kg + 6 mg/kg</v>
      </c>
      <c r="H103" s="746">
        <f>IFERROR(__xludf.DUMMYFUNCTION("""COMPUTED_VALUE"""),1.0)</f>
        <v>1</v>
      </c>
      <c r="I103" s="749">
        <f>IFERROR(__xludf.DUMMYFUNCTION("""COMPUTED_VALUE"""),0.997)</f>
        <v>0.997</v>
      </c>
      <c r="J103" s="749">
        <f>IFERROR(__xludf.DUMMYFUNCTION("""COMPUTED_VALUE"""),0.64)</f>
        <v>0.64</v>
      </c>
      <c r="K103" s="746" t="str">
        <f>IFERROR(__xludf.DUMMYFUNCTION("""COMPUTED_VALUE"""),"Not available")</f>
        <v>Not available</v>
      </c>
      <c r="L103" s="746">
        <f>IFERROR(__xludf.DUMMYFUNCTION("""COMPUTED_VALUE"""),16.0)</f>
        <v>16</v>
      </c>
      <c r="M103" s="750" t="str">
        <f>IFERROR(__xludf.DUMMYFUNCTION("""COMPUTED_VALUE"""),"16-55")</f>
        <v>16-55</v>
      </c>
      <c r="N103" s="766">
        <f>IFERROR(__xludf.DUMMYFUNCTION("""COMPUTED_VALUE"""),0.13402777777777777)</f>
        <v>0.1340277778</v>
      </c>
      <c r="O103" s="746" t="str">
        <f>IFERROR(__xludf.DUMMYFUNCTION("""COMPUTED_VALUE"""),"All individuals (including children) in the communities. Women (non-pregnant and non-lactating).")</f>
        <v>All individuals (including children) in the communities. Women (non-pregnant and non-lactating).</v>
      </c>
      <c r="P103" s="759" t="str">
        <f>IFERROR(__xludf.DUMMYFUNCTION("""COMPUTED_VALUE"""),"Random single blind ")</f>
        <v>Random single blind </v>
      </c>
      <c r="Q103" s="718" t="str">
        <f>IFERROR(__xludf.DUMMYFUNCTION("""COMPUTED_VALUE"""),"Yes")</f>
        <v>Yes</v>
      </c>
      <c r="R103" s="746" t="str">
        <f>IFERROR(__xludf.DUMMYFUNCTION("""COMPUTED_VALUE"""),"Yes")</f>
        <v>Yes</v>
      </c>
      <c r="S103" s="746" t="str">
        <f>IFERROR(__xludf.DUMMYFUNCTION("""COMPUTED_VALUE"""),"1 year")</f>
        <v>1 year</v>
      </c>
      <c r="T103" s="746" t="str">
        <f>IFERROR(__xludf.DUMMYFUNCTION("""COMPUTED_VALUE"""),"The combination of DEC and albendazole, both well tested drugs, offers a new option for countries such as India where there is no onchocerciasis or loiasis and where ivermectin may not be immediately available.")</f>
        <v>The combination of DEC and albendazole, both well tested drugs, offers a new option for countries such as India where there is no onchocerciasis or loiasis and where ivermectin may not be immediately available.</v>
      </c>
      <c r="U103" s="746" t="str">
        <f>IFERROR(__xludf.DUMMYFUNCTION("""COMPUTED_VALUE"""),"The level of mf % decreased dramatically after the 12 hours of treament and ramained similar throughout the 360 days period. ")</f>
        <v>The level of mf % decreased dramatically after the 12 hours of treament and ramained similar throughout the 360 days period. </v>
      </c>
      <c r="V103" s="752">
        <f>IFERROR(__xludf.DUMMYFUNCTION("""COMPUTED_VALUE"""),1999.0)</f>
        <v>1999</v>
      </c>
      <c r="W103" s="752">
        <f>IFERROR(__xludf.DUMMYFUNCTION("""COMPUTED_VALUE"""),1999.0)</f>
        <v>1999</v>
      </c>
      <c r="X103" s="779" t="str">
        <f>IFERROR(__xludf.DUMMYFUNCTION("""COMPUTED_VALUE"""),"Shenoy RK, Dalia S, John A, Suma TK, and Kumaraswami V. Treatment of the microfilaraemia of asymptomatic brugian filariasis with single doses of ivermectin, diethylcarbamazine or albendazole, in various combinations. Annals of Tropical Medicine &amp; Parasito"&amp;"logy 1999; 93(6): 643-651.")</f>
        <v>Shenoy RK, Dalia S, John A, Suma TK, and Kumaraswami V. Treatment of the microfilaraemia of asymptomatic brugian filariasis with single doses of ivermectin, diethylcarbamazine or albendazole, in various combinations. Annals of Tropical Medicine &amp; Parasitology 1999; 93(6): 643-651.</v>
      </c>
      <c r="Y103" s="726" t="str">
        <f>IFERROR(__xludf.DUMMYFUNCTION("""COMPUTED_VALUE"""),"PMID: 10707109")</f>
        <v>PMID: 10707109</v>
      </c>
      <c r="Z103" s="727" t="str">
        <f>IFERROR(__xludf.DUMMYFUNCTION("""COMPUTED_VALUE"""),"https://drive.google.com/file/d/0B9vYgR7NsKoYUC1NeHdLZlh6Y2s/view?usp=sharing")</f>
        <v>https://drive.google.com/file/d/0B9vYgR7NsKoYUC1NeHdLZlh6Y2s/view?usp=sharing</v>
      </c>
      <c r="AA103" s="40"/>
      <c r="AB103" s="40"/>
    </row>
    <row r="104">
      <c r="A104" s="745" t="str">
        <f>IFERROR(__xludf.DUMMYFUNCTION("""COMPUTED_VALUE"""),"Shenoy 1999")</f>
        <v>Shenoy 1999</v>
      </c>
      <c r="B104" s="746" t="str">
        <f>IFERROR(__xludf.DUMMYFUNCTION("""COMPUTED_VALUE"""),"Kirti")</f>
        <v>Kirti</v>
      </c>
      <c r="C104" s="746" t="str">
        <f>IFERROR(__xludf.DUMMYFUNCTION("""COMPUTED_VALUE"""),"Alex ")</f>
        <v>Alex </v>
      </c>
      <c r="D104" s="746" t="str">
        <f>IFERROR(__xludf.DUMMYFUNCTION("""COMPUTED_VALUE"""),"India")</f>
        <v>India</v>
      </c>
      <c r="E104" s="747" t="str">
        <f>IFERROR(__xludf.DUMMYFUNCTION("""COMPUTED_VALUE"""),"Brugia malayi")</f>
        <v>Brugia malayi</v>
      </c>
      <c r="F104" s="718" t="str">
        <f>IFERROR(__xludf.DUMMYFUNCTION("""COMPUTED_VALUE"""),"Albendazole &amp; Ivermectin")</f>
        <v>Albendazole &amp; Ivermectin</v>
      </c>
      <c r="G104" s="746" t="str">
        <f>IFERROR(__xludf.DUMMYFUNCTION("""COMPUTED_VALUE"""),"400 mg + .2 mg/kg")</f>
        <v>400 mg + .2 mg/kg</v>
      </c>
      <c r="H104" s="746">
        <f>IFERROR(__xludf.DUMMYFUNCTION("""COMPUTED_VALUE"""),1.0)</f>
        <v>1</v>
      </c>
      <c r="I104" s="749">
        <f>IFERROR(__xludf.DUMMYFUNCTION("""COMPUTED_VALUE"""),0.9)</f>
        <v>0.9</v>
      </c>
      <c r="J104" s="749">
        <f>IFERROR(__xludf.DUMMYFUNCTION("""COMPUTED_VALUE"""),0.14)</f>
        <v>0.14</v>
      </c>
      <c r="K104" s="746" t="str">
        <f>IFERROR(__xludf.DUMMYFUNCTION("""COMPUTED_VALUE"""),"Not available")</f>
        <v>Not available</v>
      </c>
      <c r="L104" s="746">
        <f>IFERROR(__xludf.DUMMYFUNCTION("""COMPUTED_VALUE"""),16.0)</f>
        <v>16</v>
      </c>
      <c r="M104" s="758" t="str">
        <f>IFERROR(__xludf.DUMMYFUNCTION("""COMPUTED_VALUE"""),"14-70")</f>
        <v>14-70</v>
      </c>
      <c r="N104" s="777">
        <f>IFERROR(__xludf.DUMMYFUNCTION("""COMPUTED_VALUE"""),0.04652777777777778)</f>
        <v>0.04652777778</v>
      </c>
      <c r="O104" s="746" t="str">
        <f>IFERROR(__xludf.DUMMYFUNCTION("""COMPUTED_VALUE"""),"All individuals (including children) in the communities. Women (non-pregnant and non-lactating).")</f>
        <v>All individuals (including children) in the communities. Women (non-pregnant and non-lactating).</v>
      </c>
      <c r="P104" s="759" t="str">
        <f>IFERROR(__xludf.DUMMYFUNCTION("""COMPUTED_VALUE"""),"Random single blind ")</f>
        <v>Random single blind </v>
      </c>
      <c r="Q104" s="718" t="str">
        <f>IFERROR(__xludf.DUMMYFUNCTION("""COMPUTED_VALUE"""),"Yes")</f>
        <v>Yes</v>
      </c>
      <c r="R104" s="746" t="str">
        <f>IFERROR(__xludf.DUMMYFUNCTION("""COMPUTED_VALUE"""),"Yes")</f>
        <v>Yes</v>
      </c>
      <c r="S104" s="746" t="str">
        <f>IFERROR(__xludf.DUMMYFUNCTION("""COMPUTED_VALUE"""),"1 year")</f>
        <v>1 year</v>
      </c>
      <c r="T104" s="746" t="str">
        <f>IFERROR(__xludf.DUMMYFUNCTION("""COMPUTED_VALUE"""),"The combination of DEC and albendazole, both well tested drugs, offers a new option for countries such as India where there is no onchocerciasis or loiasis and where ivermectin may not be immediately available.")</f>
        <v>The combination of DEC and albendazole, both well tested drugs, offers a new option for countries such as India where there is no onchocerciasis or loiasis and where ivermectin may not be immediately available.</v>
      </c>
      <c r="U104" s="746" t="str">
        <f>IFERROR(__xludf.DUMMYFUNCTION("""COMPUTED_VALUE"""),"The exact % reduction in mf was not provided so I entered data based on the estimation on the graph provided. The level of mf % decreased dramatically after the 12 hours of treament and ramained similar throughout the 360 days period. ")</f>
        <v>The exact % reduction in mf was not provided so I entered data based on the estimation on the graph provided. The level of mf % decreased dramatically after the 12 hours of treament and ramained similar throughout the 360 days period. </v>
      </c>
      <c r="V104" s="752">
        <f>IFERROR(__xludf.DUMMYFUNCTION("""COMPUTED_VALUE"""),1999.0)</f>
        <v>1999</v>
      </c>
      <c r="W104" s="752">
        <f>IFERROR(__xludf.DUMMYFUNCTION("""COMPUTED_VALUE"""),1999.0)</f>
        <v>1999</v>
      </c>
      <c r="X104" s="779" t="str">
        <f>IFERROR(__xludf.DUMMYFUNCTION("""COMPUTED_VALUE"""),"Shenoy RK, Dalia S, John A, Suma TK, and Kumaraswami V. Treatment of the microfilaraemia of asymptomatic brugian filariasis with single doses of ivermectin, diethylcarbamazine or albendazole, in various combinations. Annals of Tropical Medicine &amp; Parasito"&amp;"logy 1999; 93(6): 643-651.")</f>
        <v>Shenoy RK, Dalia S, John A, Suma TK, and Kumaraswami V. Treatment of the microfilaraemia of asymptomatic brugian filariasis with single doses of ivermectin, diethylcarbamazine or albendazole, in various combinations. Annals of Tropical Medicine &amp; Parasitology 1999; 93(6): 643-651.</v>
      </c>
      <c r="Y104" s="726" t="str">
        <f>IFERROR(__xludf.DUMMYFUNCTION("""COMPUTED_VALUE"""),"PMID: 10707109")</f>
        <v>PMID: 10707109</v>
      </c>
      <c r="Z104" s="727" t="str">
        <f>IFERROR(__xludf.DUMMYFUNCTION("""COMPUTED_VALUE"""),"https://drive.google.com/file/d/0B9vYgR7NsKoYUC1NeHdLZlh6Y2s/view?usp=sharing")</f>
        <v>https://drive.google.com/file/d/0B9vYgR7NsKoYUC1NeHdLZlh6Y2s/view?usp=sharing</v>
      </c>
      <c r="AA104" s="40"/>
      <c r="AB104" s="40"/>
    </row>
    <row r="105">
      <c r="A105" s="745" t="str">
        <f>IFERROR(__xludf.DUMMYFUNCTION("""COMPUTED_VALUE"""),"Fischer P, 2003")</f>
        <v>Fischer P, 2003</v>
      </c>
      <c r="B105" s="746" t="str">
        <f>IFERROR(__xludf.DUMMYFUNCTION("""COMPUTED_VALUE"""),"Ross")</f>
        <v>Ross</v>
      </c>
      <c r="C105" s="746" t="str">
        <f>IFERROR(__xludf.DUMMYFUNCTION("""COMPUTED_VALUE"""),"Ross")</f>
        <v>Ross</v>
      </c>
      <c r="D105" s="746" t="str">
        <f>IFERROR(__xludf.DUMMYFUNCTION("""COMPUTED_VALUE"""),"Indonesia")</f>
        <v>Indonesia</v>
      </c>
      <c r="E105" s="747" t="str">
        <f>IFERROR(__xludf.DUMMYFUNCTION("""COMPUTED_VALUE"""),"Brugia malayi")</f>
        <v>Brugia malayi</v>
      </c>
      <c r="F105" s="761" t="str">
        <f>IFERROR(__xludf.DUMMYFUNCTION("""COMPUTED_VALUE"""),"Albendazole &amp; DEC")</f>
        <v>Albendazole &amp; DEC</v>
      </c>
      <c r="G105" s="755" t="str">
        <f>IFERROR(__xludf.DUMMYFUNCTION("""COMPUTED_VALUE"""),"400 mg + 6mg/kg")</f>
        <v>400 mg + 6mg/kg</v>
      </c>
      <c r="H105" s="740">
        <f>IFERROR(__xludf.DUMMYFUNCTION("""COMPUTED_VALUE"""),1.0)</f>
        <v>1</v>
      </c>
      <c r="I105" s="749">
        <f>IFERROR(__xludf.DUMMYFUNCTION("""COMPUTED_VALUE"""),0.98)</f>
        <v>0.98</v>
      </c>
      <c r="J105" s="749">
        <f>IFERROR(__xludf.DUMMYFUNCTION("""COMPUTED_VALUE"""),0.72)</f>
        <v>0.72</v>
      </c>
      <c r="K105" s="746"/>
      <c r="L105" s="746">
        <f>IFERROR(__xludf.DUMMYFUNCTION("""COMPUTED_VALUE"""),126.0)</f>
        <v>126</v>
      </c>
      <c r="M105" s="750" t="str">
        <f>IFERROR(__xludf.DUMMYFUNCTION("""COMPUTED_VALUE"""),"7-67")</f>
        <v>7-67</v>
      </c>
      <c r="N105" s="777" t="str">
        <f>IFERROR(__xludf.DUMMYFUNCTION("""COMPUTED_VALUE"""),"27:39
42:54")</f>
        <v>27:39
42:54</v>
      </c>
      <c r="O105" s="746" t="str">
        <f>IFERROR(__xludf.DUMMYFUNCTION("""COMPUTED_VALUE"""),"586 people were examined for
lymphatic fllariasis and 157 individuals positive for
B. timori mf were found. No other human filarial parasite
was found in the study area and none of the
individuals had received antifllarial therapy since 1990.")</f>
        <v>586 people were examined for
lymphatic fllariasis and 157 individuals positive for
B. timori mf were found. No other human filarial parasite
was found in the study area and none of the
individuals had received antifllarial therapy since 1990.</v>
      </c>
      <c r="P105" s="759" t="str">
        <f>IFERROR(__xludf.DUMMYFUNCTION("""COMPUTED_VALUE"""),"cross-sectional (?) study following up hospital treatments")</f>
        <v>cross-sectional (?) study following up hospital treatments</v>
      </c>
      <c r="Q105" s="718" t="str">
        <f>IFERROR(__xludf.DUMMYFUNCTION("""COMPUTED_VALUE"""),"No")</f>
        <v>No</v>
      </c>
      <c r="R105" s="746" t="str">
        <f>IFERROR(__xludf.DUMMYFUNCTION("""COMPUTED_VALUE"""),"No")</f>
        <v>No</v>
      </c>
      <c r="S105" s="746" t="str">
        <f>IFERROR(__xludf.DUMMYFUNCTION("""COMPUTED_VALUE"""),"6 months, 1 year")</f>
        <v>6 months, 1 year</v>
      </c>
      <c r="T105" s="746" t="str">
        <f>IFERROR(__xludf.DUMMYFUNCTION("""COMPUTED_VALUE"""),"It can be concluded that a single dose of DEC + ALB leads to a long-term and progressive suppression ofB. timori mffor at least 1 year. Therefore, DEC+ ALB can be recommended as an effective strategy to control B. timori infection in the framework of the "&amp;"Global Programme to Eliminate Lymphatic Filariasis.")</f>
        <v>It can be concluded that a single dose of DEC + ALB leads to a long-term and progressive suppression ofB. timori mffor at least 1 year. Therefore, DEC+ ALB can be recommended as an effective strategy to control B. timori infection in the framework of the Global Programme to Eliminate Lymphatic Filariasis.</v>
      </c>
      <c r="U105" s="732"/>
      <c r="V105" s="752">
        <f>IFERROR(__xludf.DUMMYFUNCTION("""COMPUTED_VALUE"""),2003.0)</f>
        <v>2003</v>
      </c>
      <c r="W105" s="752">
        <f>IFERROR(__xludf.DUMMYFUNCTION("""COMPUTED_VALUE"""),2003.0)</f>
        <v>2003</v>
      </c>
      <c r="X105" s="779" t="str">
        <f>IFERROR(__xludf.DUMMYFUNCTION("""COMPUTED_VALUE"""),"Peter Fischer, Yenny Djuardi, Is S. Ismid, Paul Riickert, Mark Bradley. Long-lasting reduction of Brugia timori mierofilariae following a single dose of
dieth¥1earbamazine combined with albendazole. TRANSACTIONS OF THE ROYAL SOCIETY OF TROPICAL MEDICINE A"&amp;"ND HYGIENE (2003) 97, 446-448   ")</f>
        <v>Peter Fischer, Yenny Djuardi, Is S. Ismid, Paul Riickert, Mark Bradley. Long-lasting reduction of Brugia timori mierofilariae following a single dose of
dieth¥1earbamazine combined with albendazole. TRANSACTIONS OF THE ROYAL SOCIETY OF TROPICAL MEDICINE AND HYGIENE (2003) 97, 446-448   </v>
      </c>
      <c r="Y105" s="726"/>
      <c r="Z105" s="727" t="str">
        <f>IFERROR(__xludf.DUMMYFUNCTION("""COMPUTED_VALUE"""),"https://drive.google.com/file/d/0B9vYgR7NsKoYVzA4c3BDaTlkT3M/view?usp=sharing")</f>
        <v>https://drive.google.com/file/d/0B9vYgR7NsKoYVzA4c3BDaTlkT3M/view?usp=sharing</v>
      </c>
      <c r="AA105" s="40"/>
      <c r="AB105" s="40"/>
    </row>
    <row r="106">
      <c r="A106" s="745" t="str">
        <f>IFERROR(__xludf.DUMMYFUNCTION("""COMPUTED_VALUE"""),"Shenoy 1999")</f>
        <v>Shenoy 1999</v>
      </c>
      <c r="B106" s="746" t="str">
        <f>IFERROR(__xludf.DUMMYFUNCTION("""COMPUTED_VALUE"""),"Kirti")</f>
        <v>Kirti</v>
      </c>
      <c r="C106" s="746" t="str">
        <f>IFERROR(__xludf.DUMMYFUNCTION("""COMPUTED_VALUE"""),"Alex ")</f>
        <v>Alex </v>
      </c>
      <c r="D106" s="746" t="str">
        <f>IFERROR(__xludf.DUMMYFUNCTION("""COMPUTED_VALUE"""),"India")</f>
        <v>India</v>
      </c>
      <c r="E106" s="747" t="str">
        <f>IFERROR(__xludf.DUMMYFUNCTION("""COMPUTED_VALUE"""),"Brugia malayi")</f>
        <v>Brugia malayi</v>
      </c>
      <c r="F106" s="746" t="str">
        <f>IFERROR(__xludf.DUMMYFUNCTION("""COMPUTED_VALUE"""),"Albendazole")</f>
        <v>Albendazole</v>
      </c>
      <c r="G106" s="746" t="str">
        <f>IFERROR(__xludf.DUMMYFUNCTION("""COMPUTED_VALUE"""),"400 mg")</f>
        <v>400 mg</v>
      </c>
      <c r="H106" s="746">
        <f>IFERROR(__xludf.DUMMYFUNCTION("""COMPUTED_VALUE"""),1.0)</f>
        <v>1</v>
      </c>
      <c r="I106" s="749">
        <f>IFERROR(__xludf.DUMMYFUNCTION("""COMPUTED_VALUE"""),0.0)</f>
        <v>0</v>
      </c>
      <c r="J106" s="749">
        <f>IFERROR(__xludf.DUMMYFUNCTION("""COMPUTED_VALUE"""),0.0)</f>
        <v>0</v>
      </c>
      <c r="K106" s="746" t="str">
        <f>IFERROR(__xludf.DUMMYFUNCTION("""COMPUTED_VALUE"""),"Not available")</f>
        <v>Not available</v>
      </c>
      <c r="L106" s="746">
        <f>IFERROR(__xludf.DUMMYFUNCTION("""COMPUTED_VALUE"""),3.0)</f>
        <v>3</v>
      </c>
      <c r="M106" s="750" t="str">
        <f>IFERROR(__xludf.DUMMYFUNCTION("""COMPUTED_VALUE"""),"46-48")</f>
        <v>46-48</v>
      </c>
      <c r="N106" s="744" t="str">
        <f>IFERROR(__xludf.DUMMYFUNCTION("""COMPUTED_VALUE"""),"males")</f>
        <v>males</v>
      </c>
      <c r="O106" s="746" t="str">
        <f>IFERROR(__xludf.DUMMYFUNCTION("""COMPUTED_VALUE"""),"All individuals (including children) in the communities. Women (non-pregnant and non-lactating).")</f>
        <v>All individuals (including children) in the communities. Women (non-pregnant and non-lactating).</v>
      </c>
      <c r="P106" s="759" t="str">
        <f>IFERROR(__xludf.DUMMYFUNCTION("""COMPUTED_VALUE"""),"Random single blind ")</f>
        <v>Random single blind </v>
      </c>
      <c r="Q106" s="718" t="str">
        <f>IFERROR(__xludf.DUMMYFUNCTION("""COMPUTED_VALUE"""),"Yes")</f>
        <v>Yes</v>
      </c>
      <c r="R106" s="718" t="str">
        <f>IFERROR(__xludf.DUMMYFUNCTION("""COMPUTED_VALUE"""),"Yes")</f>
        <v>Yes</v>
      </c>
      <c r="S106" s="746" t="str">
        <f>IFERROR(__xludf.DUMMYFUNCTION("""COMPUTED_VALUE"""),"1 year")</f>
        <v>1 year</v>
      </c>
      <c r="T106" s="746" t="str">
        <f>IFERROR(__xludf.DUMMYFUNCTION("""COMPUTED_VALUE"""),"The combination of DEC and albendazole, both well tested drugs, offers a new option for countries such as India where there is no onchocerciasis or loiasis and where ivermectin may not be immediately available.")</f>
        <v>The combination of DEC and albendazole, both well tested drugs, offers a new option for countries such as India where there is no onchocerciasis or loiasis and where ivermectin may not be immediately available.</v>
      </c>
      <c r="U106" s="746" t="str">
        <f>IFERROR(__xludf.DUMMYFUNCTION("""COMPUTED_VALUE"""),"The exact % reduction in mf was not provided so I entered data based on the estimation on the graph provided. The % of mf went beyong 140%.")</f>
        <v>The exact % reduction in mf was not provided so I entered data based on the estimation on the graph provided. The % of mf went beyong 140%.</v>
      </c>
      <c r="V106" s="752">
        <f>IFERROR(__xludf.DUMMYFUNCTION("""COMPUTED_VALUE"""),1999.0)</f>
        <v>1999</v>
      </c>
      <c r="W106" s="752">
        <f>IFERROR(__xludf.DUMMYFUNCTION("""COMPUTED_VALUE"""),1999.0)</f>
        <v>1999</v>
      </c>
      <c r="X106" s="779" t="str">
        <f>IFERROR(__xludf.DUMMYFUNCTION("""COMPUTED_VALUE"""),"Shenoy RK, Dalia S, John A, Suma TK, and Kumaraswami V. Treatment of the microfilaraemia of asymptomatic brugian filariasis with single doses of ivermectin, diethylcarbamazine or albendazole, in various combinations. Annals of Tropical Medicine &amp; Parasito"&amp;"logy 1999; 93(6): 643-651.")</f>
        <v>Shenoy RK, Dalia S, John A, Suma TK, and Kumaraswami V. Treatment of the microfilaraemia of asymptomatic brugian filariasis with single doses of ivermectin, diethylcarbamazine or albendazole, in various combinations. Annals of Tropical Medicine &amp; Parasitology 1999; 93(6): 643-651.</v>
      </c>
      <c r="Y106" s="726" t="str">
        <f>IFERROR(__xludf.DUMMYFUNCTION("""COMPUTED_VALUE"""),"PMID: 10707109")</f>
        <v>PMID: 10707109</v>
      </c>
      <c r="Z106" s="727" t="str">
        <f>IFERROR(__xludf.DUMMYFUNCTION("""COMPUTED_VALUE"""),"https://drive.google.com/file/d/0B9vYgR7NsKoYUC1NeHdLZlh6Y2s/view?usp=sharing")</f>
        <v>https://drive.google.com/file/d/0B9vYgR7NsKoYUC1NeHdLZlh6Y2s/view?usp=sharing</v>
      </c>
      <c r="AA106" s="40"/>
      <c r="AB106" s="40"/>
    </row>
    <row r="107">
      <c r="A107" s="728" t="str">
        <f>IFERROR(__xludf.DUMMYFUNCTION("""COMPUTED_VALUE"""),"Shenoy, 1998")</f>
        <v>Shenoy, 1998</v>
      </c>
      <c r="B107" s="40"/>
      <c r="C107" s="746" t="str">
        <f>IFERROR(__xludf.DUMMYFUNCTION("""COMPUTED_VALUE"""),"Alex")</f>
        <v>Alex</v>
      </c>
      <c r="D107" s="730" t="str">
        <f>IFERROR(__xludf.DUMMYFUNCTION("""COMPUTED_VALUE"""),"India")</f>
        <v>India</v>
      </c>
      <c r="E107" s="739" t="str">
        <f>IFERROR(__xludf.DUMMYFUNCTION("""COMPUTED_VALUE"""),"B. malayi")</f>
        <v>B. malayi</v>
      </c>
      <c r="F107" s="746" t="str">
        <f>IFERROR(__xludf.DUMMYFUNCTION("""COMPUTED_VALUE"""),"DEC &amp; Ivermectin")</f>
        <v>DEC &amp; Ivermectin</v>
      </c>
      <c r="G107" s="746" t="str">
        <f>IFERROR(__xludf.DUMMYFUNCTION("""COMPUTED_VALUE"""),".4 mg/kg + 6 mg/kg")</f>
        <v>.4 mg/kg + 6 mg/kg</v>
      </c>
      <c r="H107" s="746">
        <f>IFERROR(__xludf.DUMMYFUNCTION("""COMPUTED_VALUE"""),1.0)</f>
        <v>1</v>
      </c>
      <c r="I107" s="742">
        <f>IFERROR(__xludf.DUMMYFUNCTION("""COMPUTED_VALUE"""),0.985)</f>
        <v>0.985</v>
      </c>
      <c r="J107" s="773">
        <f>IFERROR(__xludf.DUMMYFUNCTION("""COMPUTED_VALUE"""),0.684)</f>
        <v>0.684</v>
      </c>
      <c r="K107" s="746" t="str">
        <f>IFERROR(__xludf.DUMMYFUNCTION("""COMPUTED_VALUE"""),"Not available ")</f>
        <v>Not available </v>
      </c>
      <c r="L107" s="734">
        <f>IFERROR(__xludf.DUMMYFUNCTION("""COMPUTED_VALUE"""),19.0)</f>
        <v>19</v>
      </c>
      <c r="M107" s="730" t="str">
        <f>IFERROR(__xludf.DUMMYFUNCTION("""COMPUTED_VALUE"""),"18-48")</f>
        <v>18-48</v>
      </c>
      <c r="N107" s="744" t="str">
        <f>IFERROR(__xludf.DUMMYFUNCTION("""COMPUTED_VALUE"""),"males")</f>
        <v>males</v>
      </c>
      <c r="O107" s="730" t="str">
        <f>IFERROR(__xludf.DUMMYFUNCTION("""COMPUTED_VALUE"""),"Males healthy aside from B. malayi  microfilaraemia; had given oral consent")</f>
        <v>Males healthy aside from B. malayi  microfilaraemia; had given oral consent</v>
      </c>
      <c r="P107" s="736" t="str">
        <f>IFERROR(__xludf.DUMMYFUNCTION("""COMPUTED_VALUE"""),"open study, nonrandomized")</f>
        <v>open study, nonrandomized</v>
      </c>
      <c r="Q107" s="730" t="str">
        <f>IFERROR(__xludf.DUMMYFUNCTION("""COMPUTED_VALUE"""),"No")</f>
        <v>No</v>
      </c>
      <c r="R107" s="730" t="str">
        <f>IFERROR(__xludf.DUMMYFUNCTION("""COMPUTED_VALUE"""),"No")</f>
        <v>No</v>
      </c>
      <c r="S107" s="730" t="str">
        <f>IFERROR(__xludf.DUMMYFUNCTION("""COMPUTED_VALUE"""),"360 days")</f>
        <v>360 days</v>
      </c>
      <c r="T107" s="40"/>
      <c r="U107" s="40"/>
      <c r="V107" s="737">
        <f>IFERROR(__xludf.DUMMYFUNCTION("""COMPUTED_VALUE"""),1997.0)</f>
        <v>1997</v>
      </c>
      <c r="W107" s="737">
        <f>IFERROR(__xludf.DUMMYFUNCTION("""COMPUTED_VALUE"""),1997.0)</f>
        <v>1997</v>
      </c>
      <c r="X107" s="40" t="str">
        <f>IFERROR(__xludf.DUMMYFUNCTION("""COMPUTED_VALUE"""),"Shenoy L. M. George A. John T. K, R. K., Suma, T. K., &amp; Kumaraswami, V. (1998). Treatment of microfilaraemia in asymptomatic brugian filariasis: The efficacy and safety of the combination of single doses of ivermectin and diethylcarbamazine. Annals of Tro"&amp;"pical Medicine And Parasitology, 92(5), 579-585.")</f>
        <v>Shenoy L. M. George A. John T. K, R. K., Suma, T. K., &amp; Kumaraswami, V. (1998). Treatment of microfilaraemia in asymptomatic brugian filariasis: The efficacy and safety of the combination of single doses of ivermectin and diethylcarbamazine. Annals of Tropical Medicine And Parasitology, 92(5), 579-585.</v>
      </c>
      <c r="Y107" s="738"/>
      <c r="Z107" s="727" t="str">
        <f>IFERROR(__xludf.DUMMYFUNCTION("""COMPUTED_VALUE"""),"https://drive.google.com/file/d/0B0-pry4DSOm3dVozeDVHZU92N2M/view?usp=sharing")</f>
        <v>https://drive.google.com/file/d/0B0-pry4DSOm3dVozeDVHZU92N2M/view?usp=sharing</v>
      </c>
      <c r="AA107" s="40"/>
      <c r="AB107" s="40"/>
    </row>
    <row r="108">
      <c r="A108" s="728" t="str">
        <f>IFERROR(__xludf.DUMMYFUNCTION("""COMPUTED_VALUE"""),"Shenoy, 1998")</f>
        <v>Shenoy, 1998</v>
      </c>
      <c r="B108" s="40"/>
      <c r="C108" s="746" t="str">
        <f>IFERROR(__xludf.DUMMYFUNCTION("""COMPUTED_VALUE"""),"Alex")</f>
        <v>Alex</v>
      </c>
      <c r="D108" s="730" t="str">
        <f>IFERROR(__xludf.DUMMYFUNCTION("""COMPUTED_VALUE"""),"India")</f>
        <v>India</v>
      </c>
      <c r="E108" s="739" t="str">
        <f>IFERROR(__xludf.DUMMYFUNCTION("""COMPUTED_VALUE"""),"B. malayi")</f>
        <v>B. malayi</v>
      </c>
      <c r="F108" s="730" t="str">
        <f>IFERROR(__xludf.DUMMYFUNCTION("""COMPUTED_VALUE"""),"Ivermectin")</f>
        <v>Ivermectin</v>
      </c>
      <c r="G108" s="730" t="str">
        <f>IFERROR(__xludf.DUMMYFUNCTION("""COMPUTED_VALUE"""),".42 mg/kg")</f>
        <v>.42 mg/kg</v>
      </c>
      <c r="H108" s="740">
        <f>IFERROR(__xludf.DUMMYFUNCTION("""COMPUTED_VALUE"""),1.0)</f>
        <v>1</v>
      </c>
      <c r="I108" s="773">
        <f>IFERROR(__xludf.DUMMYFUNCTION("""COMPUTED_VALUE"""),0.954)</f>
        <v>0.954</v>
      </c>
      <c r="J108" s="216"/>
      <c r="K108" s="746" t="str">
        <f>IFERROR(__xludf.DUMMYFUNCTION("""COMPUTED_VALUE"""),"Not available ")</f>
        <v>Not available </v>
      </c>
      <c r="L108" s="734">
        <f>IFERROR(__xludf.DUMMYFUNCTION("""COMPUTED_VALUE"""),11.0)</f>
        <v>11</v>
      </c>
      <c r="M108" s="730" t="str">
        <f>IFERROR(__xludf.DUMMYFUNCTION("""COMPUTED_VALUE"""),"18- 48")</f>
        <v>18- 48</v>
      </c>
      <c r="N108" s="744" t="str">
        <f>IFERROR(__xludf.DUMMYFUNCTION("""COMPUTED_VALUE"""),"males")</f>
        <v>males</v>
      </c>
      <c r="O108" s="730" t="str">
        <f>IFERROR(__xludf.DUMMYFUNCTION("""COMPUTED_VALUE"""),"Males healthy aside from B. malayi  microfilaraemia; had given oral consent")</f>
        <v>Males healthy aside from B. malayi  microfilaraemia; had given oral consent</v>
      </c>
      <c r="P108" s="736" t="str">
        <f>IFERROR(__xludf.DUMMYFUNCTION("""COMPUTED_VALUE"""),"open study, nonrandomized")</f>
        <v>open study, nonrandomized</v>
      </c>
      <c r="Q108" s="730" t="str">
        <f>IFERROR(__xludf.DUMMYFUNCTION("""COMPUTED_VALUE"""),"No")</f>
        <v>No</v>
      </c>
      <c r="R108" s="730" t="str">
        <f>IFERROR(__xludf.DUMMYFUNCTION("""COMPUTED_VALUE"""),"No")</f>
        <v>No</v>
      </c>
      <c r="S108" s="730" t="str">
        <f>IFERROR(__xludf.DUMMYFUNCTION("""COMPUTED_VALUE"""),"360 days")</f>
        <v>360 days</v>
      </c>
      <c r="T108" s="40"/>
      <c r="U108" s="40"/>
      <c r="V108" s="737">
        <f>IFERROR(__xludf.DUMMYFUNCTION("""COMPUTED_VALUE"""),1997.0)</f>
        <v>1997</v>
      </c>
      <c r="W108" s="737">
        <f>IFERROR(__xludf.DUMMYFUNCTION("""COMPUTED_VALUE"""),1997.0)</f>
        <v>1997</v>
      </c>
      <c r="X108" s="40" t="str">
        <f>IFERROR(__xludf.DUMMYFUNCTION("""COMPUTED_VALUE"""),"Shenoy L. M. George A. John T. K, R. K., Suma, T. K., &amp; Kumaraswami, V. (1998). Treatment of microfilaraemia in asymptomatic brugian filariasis: The efficacy and safety of the combination of single doses of ivermectin and diethylcarbamazine. Annals of Tro"&amp;"pical Medicine And Parasitology, 92(5), 579-585.")</f>
        <v>Shenoy L. M. George A. John T. K, R. K., Suma, T. K., &amp; Kumaraswami, V. (1998). Treatment of microfilaraemia in asymptomatic brugian filariasis: The efficacy and safety of the combination of single doses of ivermectin and diethylcarbamazine. Annals of Tropical Medicine And Parasitology, 92(5), 579-585.</v>
      </c>
      <c r="Y108" s="738"/>
      <c r="Z108" s="727" t="str">
        <f>IFERROR(__xludf.DUMMYFUNCTION("""COMPUTED_VALUE"""),"https://drive.google.com/file/d/0B0-pry4DSOm3dVozeDVHZU92N2M/view?usp=sharing")</f>
        <v>https://drive.google.com/file/d/0B0-pry4DSOm3dVozeDVHZU92N2M/view?usp=sharing</v>
      </c>
      <c r="AA108" s="40"/>
      <c r="AB108" s="40"/>
    </row>
    <row r="109">
      <c r="A109" s="728" t="str">
        <f>IFERROR(__xludf.DUMMYFUNCTION("""COMPUTED_VALUE"""),"Shenoy, 1998")</f>
        <v>Shenoy, 1998</v>
      </c>
      <c r="B109" s="40"/>
      <c r="C109" s="746" t="str">
        <f>IFERROR(__xludf.DUMMYFUNCTION("""COMPUTED_VALUE"""),"Alex")</f>
        <v>Alex</v>
      </c>
      <c r="D109" s="730" t="str">
        <f>IFERROR(__xludf.DUMMYFUNCTION("""COMPUTED_VALUE"""),"India")</f>
        <v>India</v>
      </c>
      <c r="E109" s="739" t="str">
        <f>IFERROR(__xludf.DUMMYFUNCTION("""COMPUTED_VALUE"""),"B. malayi")</f>
        <v>B. malayi</v>
      </c>
      <c r="F109" s="718" t="str">
        <f>IFERROR(__xludf.DUMMYFUNCTION("""COMPUTED_VALUE"""),"DEC")</f>
        <v>DEC</v>
      </c>
      <c r="G109" s="755" t="str">
        <f>IFERROR(__xludf.DUMMYFUNCTION("""COMPUTED_VALUE"""),"7 mg/ kg")</f>
        <v>7 mg/ kg</v>
      </c>
      <c r="H109" s="740">
        <f>IFERROR(__xludf.DUMMYFUNCTION("""COMPUTED_VALUE"""),1.0)</f>
        <v>1</v>
      </c>
      <c r="I109" s="742">
        <f>IFERROR(__xludf.DUMMYFUNCTION("""COMPUTED_VALUE"""),0.97)</f>
        <v>0.97</v>
      </c>
      <c r="J109" s="216"/>
      <c r="K109" s="746" t="str">
        <f>IFERROR(__xludf.DUMMYFUNCTION("""COMPUTED_VALUE"""),"Not available ")</f>
        <v>Not available </v>
      </c>
      <c r="L109" s="734">
        <f>IFERROR(__xludf.DUMMYFUNCTION("""COMPUTED_VALUE"""),9.0)</f>
        <v>9</v>
      </c>
      <c r="M109" s="780" t="str">
        <f>IFERROR(__xludf.DUMMYFUNCTION("""COMPUTED_VALUE"""),"18- 48")</f>
        <v>18- 48</v>
      </c>
      <c r="N109" s="744" t="str">
        <f>IFERROR(__xludf.DUMMYFUNCTION("""COMPUTED_VALUE"""),"males")</f>
        <v>males</v>
      </c>
      <c r="O109" s="730" t="str">
        <f>IFERROR(__xludf.DUMMYFUNCTION("""COMPUTED_VALUE"""),"Males healthy aside from B. malayi  microfilaraemia; had given oral consent")</f>
        <v>Males healthy aside from B. malayi  microfilaraemia; had given oral consent</v>
      </c>
      <c r="P109" s="736" t="str">
        <f>IFERROR(__xludf.DUMMYFUNCTION("""COMPUTED_VALUE"""),"open study, nonrandomized")</f>
        <v>open study, nonrandomized</v>
      </c>
      <c r="Q109" s="730" t="str">
        <f>IFERROR(__xludf.DUMMYFUNCTION("""COMPUTED_VALUE"""),"No")</f>
        <v>No</v>
      </c>
      <c r="R109" s="730" t="str">
        <f>IFERROR(__xludf.DUMMYFUNCTION("""COMPUTED_VALUE"""),"No")</f>
        <v>No</v>
      </c>
      <c r="S109" s="730" t="str">
        <f>IFERROR(__xludf.DUMMYFUNCTION("""COMPUTED_VALUE"""),"360 days")</f>
        <v>360 days</v>
      </c>
      <c r="T109" s="40"/>
      <c r="U109" s="40"/>
      <c r="V109" s="737">
        <f>IFERROR(__xludf.DUMMYFUNCTION("""COMPUTED_VALUE"""),1997.0)</f>
        <v>1997</v>
      </c>
      <c r="W109" s="737">
        <f>IFERROR(__xludf.DUMMYFUNCTION("""COMPUTED_VALUE"""),1997.0)</f>
        <v>1997</v>
      </c>
      <c r="X109" s="40" t="str">
        <f>IFERROR(__xludf.DUMMYFUNCTION("""COMPUTED_VALUE"""),"Shenoy L. M. George A. John T. K, R. K., Suma, T. K., &amp; Kumaraswami, V. (1998). Treatment of microfilaraemia in asymptomatic brugian filariasis: The efficacy and safety of the combination of single doses of ivermectin and diethylcarbamazine. Annals of Tro"&amp;"pical Medicine And Parasitology, 92(5), 579-585.")</f>
        <v>Shenoy L. M. George A. John T. K, R. K., Suma, T. K., &amp; Kumaraswami, V. (1998). Treatment of microfilaraemia in asymptomatic brugian filariasis: The efficacy and safety of the combination of single doses of ivermectin and diethylcarbamazine. Annals of Tropical Medicine And Parasitology, 92(5), 579-585.</v>
      </c>
      <c r="Y109" s="738"/>
      <c r="Z109" s="727" t="str">
        <f>IFERROR(__xludf.DUMMYFUNCTION("""COMPUTED_VALUE"""),"https://drive.google.com/file/d/0B0-pry4DSOm3dVozeDVHZU92N2M/view?usp=sharing")</f>
        <v>https://drive.google.com/file/d/0B0-pry4DSOm3dVozeDVHZU92N2M/view?usp=sharing</v>
      </c>
      <c r="AA109" s="40"/>
      <c r="AB109" s="40"/>
    </row>
    <row r="110">
      <c r="A110" s="745" t="str">
        <f>IFERROR(__xludf.DUMMYFUNCTION("""COMPUTED_VALUE"""),"Shenoy, 1998")</f>
        <v>Shenoy, 1998</v>
      </c>
      <c r="B110" s="746" t="str">
        <f>IFERROR(__xludf.DUMMYFUNCTION("""COMPUTED_VALUE"""),"Chungsoo")</f>
        <v>Chungsoo</v>
      </c>
      <c r="C110" s="746" t="str">
        <f>IFERROR(__xludf.DUMMYFUNCTION("""COMPUTED_VALUE"""),"Kirti")</f>
        <v>Kirti</v>
      </c>
      <c r="D110" s="746" t="str">
        <f>IFERROR(__xludf.DUMMYFUNCTION("""COMPUTED_VALUE"""),"India")</f>
        <v>India</v>
      </c>
      <c r="E110" s="747" t="str">
        <f>IFERROR(__xludf.DUMMYFUNCTION("""COMPUTED_VALUE"""),"W. bancrofti")</f>
        <v>W. bancrofti</v>
      </c>
      <c r="F110" s="746" t="str">
        <f>IFERROR(__xludf.DUMMYFUNCTION("""COMPUTED_VALUE"""),"Ivermectin")</f>
        <v>Ivermectin</v>
      </c>
      <c r="G110" s="753" t="str">
        <f>IFERROR(__xludf.DUMMYFUNCTION("""COMPUTED_VALUE"""),".4 mg/kg")</f>
        <v>.4 mg/kg</v>
      </c>
      <c r="H110" s="746">
        <f>IFERROR(__xludf.DUMMYFUNCTION("""COMPUTED_VALUE"""),1.0)</f>
        <v>1</v>
      </c>
      <c r="I110" s="749">
        <f>IFERROR(__xludf.DUMMYFUNCTION("""COMPUTED_VALUE"""),0.298)</f>
        <v>0.298</v>
      </c>
      <c r="J110" s="741"/>
      <c r="K110" s="40"/>
      <c r="L110" s="746">
        <f>IFERROR(__xludf.DUMMYFUNCTION("""COMPUTED_VALUE"""),37.0)</f>
        <v>37</v>
      </c>
      <c r="M110" s="776" t="str">
        <f>IFERROR(__xludf.DUMMYFUNCTION("""COMPUTED_VALUE"""),"18-65")</f>
        <v>18-65</v>
      </c>
      <c r="N110" s="777">
        <f>IFERROR(__xludf.DUMMYFUNCTION("""COMPUTED_VALUE"""),2.1729166666666666)</f>
        <v>2.172916667</v>
      </c>
      <c r="O110" s="746" t="str">
        <f>IFERROR(__xludf.DUMMYFUNCTION("""COMPUTED_VALUE"""),"Patients who had cellulitis due to an identiable cause (i.e. injuries or fungal infections) in the absence of an underlying lymphoedema, thrombophlebitis or a history or physical examination suggestive of sexually transmitted disease were excluded. Both m"&amp;"en and non- pregnant women were included in the study.")</f>
        <v>Patients who had cellulitis due to an identiable cause (i.e. injuries or fungal infections) in the absence of an underlying lymphoedema, thrombophlebitis or a history or physical examination suggestive of sexually transmitted disease were excluded. Both men and non- pregnant women were included in the study.</v>
      </c>
      <c r="P110" s="751" t="str">
        <f>IFERROR(__xludf.DUMMYFUNCTION("""COMPUTED_VALUE"""),"double-blind")</f>
        <v>double-blind</v>
      </c>
      <c r="Q110" s="718" t="str">
        <f>IFERROR(__xludf.DUMMYFUNCTION("""COMPUTED_VALUE"""),"Yes")</f>
        <v>Yes</v>
      </c>
      <c r="R110" s="746" t="str">
        <f>IFERROR(__xludf.DUMMYFUNCTION("""COMPUTED_VALUE"""),"No")</f>
        <v>No</v>
      </c>
      <c r="S110" s="746" t="str">
        <f>IFERROR(__xludf.DUMMYFUNCTION("""COMPUTED_VALUE"""),"12 months")</f>
        <v>12 months</v>
      </c>
      <c r="T110" s="746" t="str">
        <f>IFERROR(__xludf.DUMMYFUNCTION("""COMPUTED_VALUE"""),"There was a signi®cant reduction in the frequency of ADL attacks in each of the three groups during the 2-year study period (P , 0.001 for each comparison). Most importantly, there were no signi®cant differences in frequency of attacks between the three g"&amp;"roups.")</f>
        <v>There was a signi®cant reduction in the frequency of ADL attacks in each of the three groups during the 2-year study period (P , 0.001 for each comparison). Most importantly, there were no signi®cant differences in frequency of attacks between the three groups.</v>
      </c>
      <c r="U110" s="40"/>
      <c r="V110" s="752">
        <f>IFERROR(__xludf.DUMMYFUNCTION("""COMPUTED_VALUE"""),1998.0)</f>
        <v>1998</v>
      </c>
      <c r="W110" s="752">
        <f>IFERROR(__xludf.DUMMYFUNCTION("""COMPUTED_VALUE"""),1998.0)</f>
        <v>1998</v>
      </c>
      <c r="X110" s="746" t="str">
        <f>IFERROR(__xludf.DUMMYFUNCTION("""COMPUTED_VALUE""")," K. SHENOY T. K. SUMA K. RAJAN V. KU R. Prevention of acute adenolymphangitis in brugian filariasis: comparison of the efficacy of ivermectin and diethylcarbamazine, each combined with local treatment of the affected limb. Annals of Tropical Medicine And "&amp;"Parasitology. Informa UK Limited; 1998 Jul 1;92(5):587–94.")</f>
        <v> K. SHENOY T. K. SUMA K. RAJAN V. KU R. Prevention of acute adenolymphangitis in brugian filariasis: comparison of the efficacy of ivermectin and diethylcarbamazine, each combined with local treatment of the affected limb. Annals of Tropical Medicine And Parasitology. Informa UK Limited; 1998 Jul 1;92(5):587–94.</v>
      </c>
      <c r="Y110" s="726" t="str">
        <f>IFERROR(__xludf.DUMMYFUNCTION("""COMPUTED_VALUE"""),"10.1080/00034989859285")</f>
        <v>10.1080/00034989859285</v>
      </c>
      <c r="Z110" s="727" t="str">
        <f>IFERROR(__xludf.DUMMYFUNCTION("""COMPUTED_VALUE"""),"https://drive.google.com/file/d/0B9vYgR7NsKoYNFR2bkRZUDFQSUk/view?usp=sharing")</f>
        <v>https://drive.google.com/file/d/0B9vYgR7NsKoYNFR2bkRZUDFQSUk/view?usp=sharing</v>
      </c>
      <c r="AA110" s="40"/>
      <c r="AB110" s="40"/>
    </row>
    <row r="111">
      <c r="A111" s="745" t="str">
        <f>IFERROR(__xludf.DUMMYFUNCTION("""COMPUTED_VALUE"""),"Shenoy, 1998")</f>
        <v>Shenoy, 1998</v>
      </c>
      <c r="B111" s="746" t="str">
        <f>IFERROR(__xludf.DUMMYFUNCTION("""COMPUTED_VALUE"""),"Chungsoo")</f>
        <v>Chungsoo</v>
      </c>
      <c r="C111" s="746" t="str">
        <f>IFERROR(__xludf.DUMMYFUNCTION("""COMPUTED_VALUE"""),"Kirti")</f>
        <v>Kirti</v>
      </c>
      <c r="D111" s="746" t="str">
        <f>IFERROR(__xludf.DUMMYFUNCTION("""COMPUTED_VALUE"""),"India")</f>
        <v>India</v>
      </c>
      <c r="E111" s="747" t="str">
        <f>IFERROR(__xludf.DUMMYFUNCTION("""COMPUTED_VALUE"""),"W. bancrofti")</f>
        <v>W. bancrofti</v>
      </c>
      <c r="F111" s="718" t="str">
        <f>IFERROR(__xludf.DUMMYFUNCTION("""COMPUTED_VALUE"""),"DEC")</f>
        <v>DEC</v>
      </c>
      <c r="G111" s="746" t="str">
        <f>IFERROR(__xludf.DUMMYFUNCTION("""COMPUTED_VALUE"""),"10 mg/kg")</f>
        <v>10 mg/kg</v>
      </c>
      <c r="H111" s="746">
        <f>IFERROR(__xludf.DUMMYFUNCTION("""COMPUTED_VALUE"""),1.0)</f>
        <v>1</v>
      </c>
      <c r="I111" s="749">
        <f>IFERROR(__xludf.DUMMYFUNCTION("""COMPUTED_VALUE"""),0.243)</f>
        <v>0.243</v>
      </c>
      <c r="J111" s="741"/>
      <c r="K111" s="40"/>
      <c r="L111" s="746">
        <f>IFERROR(__xludf.DUMMYFUNCTION("""COMPUTED_VALUE"""),37.0)</f>
        <v>37</v>
      </c>
      <c r="M111" s="776" t="str">
        <f>IFERROR(__xludf.DUMMYFUNCTION("""COMPUTED_VALUE"""),"18-65")</f>
        <v>18-65</v>
      </c>
      <c r="N111" s="777">
        <f>IFERROR(__xludf.DUMMYFUNCTION("""COMPUTED_VALUE"""),2.1729166666666666)</f>
        <v>2.172916667</v>
      </c>
      <c r="O111" s="746" t="str">
        <f>IFERROR(__xludf.DUMMYFUNCTION("""COMPUTED_VALUE"""),"Patients who had cellulitis due to an identiable cause (i.e. injuries or fungal infections) in the absence of an underlying lymphoedema, thrombophlebitis or a history or physical examination suggestive of sexually transmitted disease were excluded. Both m"&amp;"en and non- pregnant women were included in the study.")</f>
        <v>Patients who had cellulitis due to an identiable cause (i.e. injuries or fungal infections) in the absence of an underlying lymphoedema, thrombophlebitis or a history or physical examination suggestive of sexually transmitted disease were excluded. Both men and non- pregnant women were included in the study.</v>
      </c>
      <c r="P111" s="751" t="str">
        <f>IFERROR(__xludf.DUMMYFUNCTION("""COMPUTED_VALUE"""),"double-blind")</f>
        <v>double-blind</v>
      </c>
      <c r="Q111" s="718" t="str">
        <f>IFERROR(__xludf.DUMMYFUNCTION("""COMPUTED_VALUE"""),"Yes")</f>
        <v>Yes</v>
      </c>
      <c r="R111" s="746" t="str">
        <f>IFERROR(__xludf.DUMMYFUNCTION("""COMPUTED_VALUE"""),"No")</f>
        <v>No</v>
      </c>
      <c r="S111" s="746" t="str">
        <f>IFERROR(__xludf.DUMMYFUNCTION("""COMPUTED_VALUE"""),"12 months")</f>
        <v>12 months</v>
      </c>
      <c r="T111" s="746" t="str">
        <f>IFERROR(__xludf.DUMMYFUNCTION("""COMPUTED_VALUE"""),"There was a signi®cant reduction in the frequency of ADL attacks in each of the three groups during the 2-year study period (P , 0.001 for each comparison). Most importantly, there were no signi®cant differences in frequency of attacks between the three g"&amp;"roups.")</f>
        <v>There was a signi®cant reduction in the frequency of ADL attacks in each of the three groups during the 2-year study period (P , 0.001 for each comparison). Most importantly, there were no signi®cant differences in frequency of attacks between the three groups.</v>
      </c>
      <c r="U111" s="40"/>
      <c r="V111" s="752">
        <f>IFERROR(__xludf.DUMMYFUNCTION("""COMPUTED_VALUE"""),1998.0)</f>
        <v>1998</v>
      </c>
      <c r="W111" s="752">
        <f>IFERROR(__xludf.DUMMYFUNCTION("""COMPUTED_VALUE"""),1998.0)</f>
        <v>1998</v>
      </c>
      <c r="X111" s="746" t="str">
        <f>IFERROR(__xludf.DUMMYFUNCTION("""COMPUTED_VALUE""")," K. SHENOY T. K. SUMA K. RAJAN V. KU R. Prevention of acute adenolymphangitis in brugian filariasis: comparison of the efficacy of ivermectin and diethylcarbamazine, each combined with local treatment of the affected limb. Annals of Tropical Medicine And "&amp;"Parasitology. Informa UK Limited; 1998 Jul 1;92(5):587–94.")</f>
        <v> K. SHENOY T. K. SUMA K. RAJAN V. KU R. Prevention of acute adenolymphangitis in brugian filariasis: comparison of the efficacy of ivermectin and diethylcarbamazine, each combined with local treatment of the affected limb. Annals of Tropical Medicine And Parasitology. Informa UK Limited; 1998 Jul 1;92(5):587–94.</v>
      </c>
      <c r="Y111" s="726" t="str">
        <f>IFERROR(__xludf.DUMMYFUNCTION("""COMPUTED_VALUE"""),"10.1080/00034989859285")</f>
        <v>10.1080/00034989859285</v>
      </c>
      <c r="Z111" s="727" t="str">
        <f>IFERROR(__xludf.DUMMYFUNCTION("""COMPUTED_VALUE"""),"https://drive.google.com/file/d/0B9vYgR7NsKoYNFR2bkRZUDFQSUk/view?usp=sharing")</f>
        <v>https://drive.google.com/file/d/0B9vYgR7NsKoYNFR2bkRZUDFQSUk/view?usp=sharing</v>
      </c>
      <c r="AA111" s="40"/>
      <c r="AB111" s="40"/>
    </row>
    <row r="112">
      <c r="A112" s="745" t="str">
        <f>IFERROR(__xludf.DUMMYFUNCTION("""COMPUTED_VALUE"""),"Shenoy, 1998")</f>
        <v>Shenoy, 1998</v>
      </c>
      <c r="B112" s="746" t="str">
        <f>IFERROR(__xludf.DUMMYFUNCTION("""COMPUTED_VALUE"""),"Chungsoo")</f>
        <v>Chungsoo</v>
      </c>
      <c r="C112" s="746" t="str">
        <f>IFERROR(__xludf.DUMMYFUNCTION("""COMPUTED_VALUE"""),"Kirti")</f>
        <v>Kirti</v>
      </c>
      <c r="D112" s="746" t="str">
        <f>IFERROR(__xludf.DUMMYFUNCTION("""COMPUTED_VALUE"""),"India")</f>
        <v>India</v>
      </c>
      <c r="E112" s="747" t="str">
        <f>IFERROR(__xludf.DUMMYFUNCTION("""COMPUTED_VALUE"""),"W. bancrofti")</f>
        <v>W. bancrofti</v>
      </c>
      <c r="F112" s="746" t="str">
        <f>IFERROR(__xludf.DUMMYFUNCTION("""COMPUTED_VALUE"""),"Placebo")</f>
        <v>Placebo</v>
      </c>
      <c r="G112" s="753" t="str">
        <f>IFERROR(__xludf.DUMMYFUNCTION("""COMPUTED_VALUE"""),"-")</f>
        <v>-</v>
      </c>
      <c r="H112" s="40"/>
      <c r="I112" s="749">
        <f>IFERROR(__xludf.DUMMYFUNCTION("""COMPUTED_VALUE"""),0.205)</f>
        <v>0.205</v>
      </c>
      <c r="J112" s="741"/>
      <c r="K112" s="40"/>
      <c r="L112" s="746">
        <f>IFERROR(__xludf.DUMMYFUNCTION("""COMPUTED_VALUE"""),39.0)</f>
        <v>39</v>
      </c>
      <c r="M112" s="776" t="str">
        <f>IFERROR(__xludf.DUMMYFUNCTION("""COMPUTED_VALUE"""),"18-65")</f>
        <v>18-65</v>
      </c>
      <c r="N112" s="777">
        <f>IFERROR(__xludf.DUMMYFUNCTION("""COMPUTED_VALUE"""),2.1729166666666666)</f>
        <v>2.172916667</v>
      </c>
      <c r="O112" s="746" t="str">
        <f>IFERROR(__xludf.DUMMYFUNCTION("""COMPUTED_VALUE"""),"Patients who had cellulitis due to an identiable cause (i.e. injuries or fungal infections) in the absence of an underlying lymphoedema, thrombophlebitis or a history or physical examination suggestive of sexually transmitted disease were excluded. Both m"&amp;"en and non- pregnant women were included in the study.")</f>
        <v>Patients who had cellulitis due to an identiable cause (i.e. injuries or fungal infections) in the absence of an underlying lymphoedema, thrombophlebitis or a history or physical examination suggestive of sexually transmitted disease were excluded. Both men and non- pregnant women were included in the study.</v>
      </c>
      <c r="P112" s="751" t="str">
        <f>IFERROR(__xludf.DUMMYFUNCTION("""COMPUTED_VALUE"""),"double-blind")</f>
        <v>double-blind</v>
      </c>
      <c r="Q112" s="718" t="str">
        <f>IFERROR(__xludf.DUMMYFUNCTION("""COMPUTED_VALUE"""),"Yes")</f>
        <v>Yes</v>
      </c>
      <c r="R112" s="746" t="str">
        <f>IFERROR(__xludf.DUMMYFUNCTION("""COMPUTED_VALUE"""),"No")</f>
        <v>No</v>
      </c>
      <c r="S112" s="746" t="str">
        <f>IFERROR(__xludf.DUMMYFUNCTION("""COMPUTED_VALUE"""),"12 months")</f>
        <v>12 months</v>
      </c>
      <c r="T112" s="746" t="str">
        <f>IFERROR(__xludf.DUMMYFUNCTION("""COMPUTED_VALUE"""),"There was a signi®cant reduction in the frequency of ADL attacks in each of the three groups during the 2-year study period (P , 0.001 for each comparison). Most importantly, there were no signi®cant differences in frequency of attacks between the three g"&amp;"roups.")</f>
        <v>There was a signi®cant reduction in the frequency of ADL attacks in each of the three groups during the 2-year study period (P , 0.001 for each comparison). Most importantly, there were no signi®cant differences in frequency of attacks between the three groups.</v>
      </c>
      <c r="U112" s="40"/>
      <c r="V112" s="752">
        <f>IFERROR(__xludf.DUMMYFUNCTION("""COMPUTED_VALUE"""),1998.0)</f>
        <v>1998</v>
      </c>
      <c r="W112" s="752">
        <f>IFERROR(__xludf.DUMMYFUNCTION("""COMPUTED_VALUE"""),1998.0)</f>
        <v>1998</v>
      </c>
      <c r="X112" s="746" t="str">
        <f>IFERROR(__xludf.DUMMYFUNCTION("""COMPUTED_VALUE""")," K. SHENOY T. K. SUMA K. RAJAN V. KU R. Prevention of acute adenolymphangitis in brugian filariasis: comparison of the efficacy of ivermectin and diethylcarbamazine, each combined with local treatment of the affected limb. Annals of Tropical Medicine And "&amp;"Parasitology. Informa UK Limited; 1998 Jul 1;92(5):587–94.")</f>
        <v> K. SHENOY T. K. SUMA K. RAJAN V. KU R. Prevention of acute adenolymphangitis in brugian filariasis: comparison of the efficacy of ivermectin and diethylcarbamazine, each combined with local treatment of the affected limb. Annals of Tropical Medicine And Parasitology. Informa UK Limited; 1998 Jul 1;92(5):587–94.</v>
      </c>
      <c r="Y112" s="726" t="str">
        <f>IFERROR(__xludf.DUMMYFUNCTION("""COMPUTED_VALUE"""),"10.1080/00034989859285")</f>
        <v>10.1080/00034989859285</v>
      </c>
      <c r="Z112" s="727" t="str">
        <f>IFERROR(__xludf.DUMMYFUNCTION("""COMPUTED_VALUE"""),"https://drive.google.com/file/d/0B9vYgR7NsKoYNFR2bkRZUDFQSUk/view?usp=sharing")</f>
        <v>https://drive.google.com/file/d/0B9vYgR7NsKoYNFR2bkRZUDFQSUk/view?usp=sharing</v>
      </c>
      <c r="AA112" s="40"/>
      <c r="AB112" s="40"/>
    </row>
    <row r="113">
      <c r="A113" s="745" t="str">
        <f>IFERROR(__xludf.DUMMYFUNCTION("""COMPUTED_VALUE"""),"Simonsen 2005")</f>
        <v>Simonsen 2005</v>
      </c>
      <c r="B113" s="746" t="str">
        <f>IFERROR(__xludf.DUMMYFUNCTION("""COMPUTED_VALUE"""),"Kirti")</f>
        <v>Kirti</v>
      </c>
      <c r="C113" s="746" t="str">
        <f>IFERROR(__xludf.DUMMYFUNCTION("""COMPUTED_VALUE"""),"Ross")</f>
        <v>Ross</v>
      </c>
      <c r="D113" s="746" t="str">
        <f>IFERROR(__xludf.DUMMYFUNCTION("""COMPUTED_VALUE"""),"Tanzania")</f>
        <v>Tanzania</v>
      </c>
      <c r="E113" s="747" t="str">
        <f>IFERROR(__xludf.DUMMYFUNCTION("""COMPUTED_VALUE"""),"W. bancrofti")</f>
        <v>W. bancrofti</v>
      </c>
      <c r="F113" s="761" t="str">
        <f>IFERROR(__xludf.DUMMYFUNCTION("""COMPUTED_VALUE"""),"DEC")</f>
        <v>DEC</v>
      </c>
      <c r="G113" s="753" t="str">
        <f>IFERROR(__xludf.DUMMYFUNCTION("""COMPUTED_VALUE"""),"6mg/kg")</f>
        <v>6mg/kg</v>
      </c>
      <c r="H113" s="746" t="str">
        <f>IFERROR(__xludf.DUMMYFUNCTION("""COMPUTED_VALUE"""),"8 (half yearly)")</f>
        <v>8 (half yearly)</v>
      </c>
      <c r="I113" s="757">
        <f>IFERROR(__xludf.DUMMYFUNCTION("""COMPUTED_VALUE"""),0.595)</f>
        <v>0.595</v>
      </c>
      <c r="J113" s="773">
        <f>IFERROR(__xludf.DUMMYFUNCTION("""COMPUTED_VALUE"""),0.054)</f>
        <v>0.054</v>
      </c>
      <c r="K113" s="746" t="str">
        <f>IFERROR(__xludf.DUMMYFUNCTION("""COMPUTED_VALUE"""),"not avaiable")</f>
        <v>not avaiable</v>
      </c>
      <c r="L113" s="746">
        <f>IFERROR(__xludf.DUMMYFUNCTION("""COMPUTED_VALUE"""),79.0)</f>
        <v>79</v>
      </c>
      <c r="M113" s="750" t="str">
        <f>IFERROR(__xludf.DUMMYFUNCTION("""COMPUTED_VALUE"""),"5-81")</f>
        <v>5-81</v>
      </c>
      <c r="N113" s="776" t="str">
        <f>IFERROR(__xludf.DUMMYFUNCTION("""COMPUTED_VALUE"""),"39:40")</f>
        <v>39:40</v>
      </c>
      <c r="O113" s="746" t="str">
        <f>IFERROR(__xludf.DUMMYFUNCTION("""COMPUTED_VALUE"""),"Had been infection (CFA)-positive before the start of treatment in July 1999, and who had either received all eight treatments or who had missed only one of the last three treatments")</f>
        <v>Had been infection (CFA)-positive before the start of treatment in July 1999, and who had either received all eight treatments or who had missed only one of the last three treatments</v>
      </c>
      <c r="P113" s="40"/>
      <c r="Q113" s="746" t="str">
        <f>IFERROR(__xludf.DUMMYFUNCTION("""COMPUTED_VALUE"""),"No")</f>
        <v>No</v>
      </c>
      <c r="R113" s="746" t="str">
        <f>IFERROR(__xludf.DUMMYFUNCTION("""COMPUTED_VALUE"""),"No")</f>
        <v>No</v>
      </c>
      <c r="S113" s="746" t="str">
        <f>IFERROR(__xludf.DUMMYFUNCTION("""COMPUTED_VALUE"""),"1 year, 2 years, 3 years")</f>
        <v>1 year, 2 years, 3 years</v>
      </c>
      <c r="T113" s="746" t="str">
        <f>IFERROR(__xludf.DUMMYFUNCTION("""COMPUTED_VALUE"""),"Repeated DEC treatment has a profound effect on adult worm viability")</f>
        <v>Repeated DEC treatment has a profound effect on adult worm viability</v>
      </c>
      <c r="U113" s="746" t="str">
        <f>IFERROR(__xludf.DUMMYFUNCTION("""COMPUTED_VALUE"""),"The number of mf-positive patients prior to the experiment was 37. The total sample size (79) was all the patients who were found to have circulating filarial antigen (CFA)")</f>
        <v>The number of mf-positive patients prior to the experiment was 37. The total sample size (79) was all the patients who were found to have circulating filarial antigen (CFA)</v>
      </c>
      <c r="V113" s="752" t="str">
        <f>IFERROR(__xludf.DUMMYFUNCTION("""COMPUTED_VALUE"""),"1999-2003")</f>
        <v>1999-2003</v>
      </c>
      <c r="W113" s="752">
        <f>IFERROR(__xludf.DUMMYFUNCTION("""COMPUTED_VALUE"""),2003.0)</f>
        <v>2003</v>
      </c>
      <c r="X113" s="746" t="str">
        <f>IFERROR(__xludf.DUMMYFUNCTION("""COMPUTED_VALUE"""),"Simonsen PE, Magesa SM, Meyrowitsch DW, Malecela-Lazaro MN, Rwegoshora RT, Jaoko WG, et al. The effect of eight half-yearly single-dose treatments with DEC on Wuchereria bancrofti circulating antigenaemia. Transactions of the Royal Society of Tropical Med"&amp;"icine and Hygiene 2005; 99 (7): 541-547. ")</f>
        <v>Simonsen PE, Magesa SM, Meyrowitsch DW, Malecela-Lazaro MN, Rwegoshora RT, Jaoko WG, et al. The effect of eight half-yearly single-dose treatments with DEC on Wuchereria bancrofti circulating antigenaemia. Transactions of the Royal Society of Tropical Medicine and Hygiene 2005; 99 (7): 541-547. </v>
      </c>
      <c r="Y113" s="726" t="str">
        <f>IFERROR(__xludf.DUMMYFUNCTION("""COMPUTED_VALUE"""),"doi: 10.1016/j.trstmh.2004.11.016")</f>
        <v>doi: 10.1016/j.trstmh.2004.11.016</v>
      </c>
      <c r="Z113" s="727" t="str">
        <f>IFERROR(__xludf.DUMMYFUNCTION("""COMPUTED_VALUE"""),"https://drive.google.com/file/d/0B95WhYooraDeS0F0OUwtWlFnR2M/view?usp=sharing")</f>
        <v>https://drive.google.com/file/d/0B95WhYooraDeS0F0OUwtWlFnR2M/view?usp=sharing</v>
      </c>
      <c r="AA113" s="40" t="str">
        <f>IFERROR(__xludf.DUMMYFUNCTION("""COMPUTED_VALUE"""),"x")</f>
        <v>x</v>
      </c>
      <c r="AB113" s="40"/>
    </row>
    <row r="114">
      <c r="A114" s="745" t="str">
        <f>IFERROR(__xludf.DUMMYFUNCTION("""COMPUTED_VALUE"""),"Siriaut 2005")</f>
        <v>Siriaut 2005</v>
      </c>
      <c r="B114" s="746" t="str">
        <f>IFERROR(__xludf.DUMMYFUNCTION("""COMPUTED_VALUE"""),"Kirti")</f>
        <v>Kirti</v>
      </c>
      <c r="C114" s="746" t="str">
        <f>IFERROR(__xludf.DUMMYFUNCTION("""COMPUTED_VALUE"""),"luisa")</f>
        <v>luisa</v>
      </c>
      <c r="D114" s="746" t="str">
        <f>IFERROR(__xludf.DUMMYFUNCTION("""COMPUTED_VALUE"""),"Thailand")</f>
        <v>Thailand</v>
      </c>
      <c r="E114" s="747" t="str">
        <f>IFERROR(__xludf.DUMMYFUNCTION("""COMPUTED_VALUE"""),"W. bancrofti")</f>
        <v>W. bancrofti</v>
      </c>
      <c r="F114" s="718" t="str">
        <f>IFERROR(__xludf.DUMMYFUNCTION("""COMPUTED_VALUE"""),"DEC")</f>
        <v>DEC</v>
      </c>
      <c r="G114" s="746" t="str">
        <f>IFERROR(__xludf.DUMMYFUNCTION("""COMPUTED_VALUE"""),"300 mg ")</f>
        <v>300 mg </v>
      </c>
      <c r="H114" s="746">
        <f>IFERROR(__xludf.DUMMYFUNCTION("""COMPUTED_VALUE"""),1.0)</f>
        <v>1</v>
      </c>
      <c r="I114" s="757">
        <f>IFERROR(__xludf.DUMMYFUNCTION("""COMPUTED_VALUE"""),-0.038)</f>
        <v>-0.038</v>
      </c>
      <c r="J114" s="216"/>
      <c r="K114" s="746" t="str">
        <f>IFERROR(__xludf.DUMMYFUNCTION("""COMPUTED_VALUE"""),"not avaiable")</f>
        <v>not avaiable</v>
      </c>
      <c r="L114" s="746">
        <f>IFERROR(__xludf.DUMMYFUNCTION("""COMPUTED_VALUE"""),7.0)</f>
        <v>7</v>
      </c>
      <c r="M114" s="750" t="str">
        <f>IFERROR(__xludf.DUMMYFUNCTION("""COMPUTED_VALUE"""),"18-26")</f>
        <v>18-26</v>
      </c>
      <c r="N114" s="758" t="str">
        <f>IFERROR(__xludf.DUMMYFUNCTION("""COMPUTED_VALUE"""),"not available")</f>
        <v>not available</v>
      </c>
      <c r="O114" s="746" t="str">
        <f>IFERROR(__xludf.DUMMYFUNCTION("""COMPUTED_VALUE"""),"Selected from cross-border Myanmar migrants aged ≥10 years.")</f>
        <v>Selected from cross-border Myanmar migrants aged ≥10 years.</v>
      </c>
      <c r="P114" s="751" t="str">
        <f>IFERROR(__xludf.DUMMYFUNCTION("""COMPUTED_VALUE"""),"case finding surveys")</f>
        <v>case finding surveys</v>
      </c>
      <c r="Q114" s="746" t="str">
        <f>IFERROR(__xludf.DUMMYFUNCTION("""COMPUTED_VALUE"""),"No")</f>
        <v>No</v>
      </c>
      <c r="R114" s="746" t="str">
        <f>IFERROR(__xludf.DUMMYFUNCTION("""COMPUTED_VALUE"""),"No")</f>
        <v>No</v>
      </c>
      <c r="S114" s="746" t="str">
        <f>IFERROR(__xludf.DUMMYFUNCTION("""COMPUTED_VALUE"""),"1 week, 2 weeks, 4 weeks, 8 weeks, 12 weeks")</f>
        <v>1 week, 2 weeks, 4 weeks, 8 weeks, 12 weeks</v>
      </c>
      <c r="T114" s="746" t="str">
        <f>IFERROR(__xludf.DUMMYFUNCTION("""COMPUTED_VALUE"""),"Without an adequate DEC treatment dose, recrudescence can occur.")</f>
        <v>Without an adequate DEC treatment dose, recrudescence can occur.</v>
      </c>
      <c r="U114" s="40"/>
      <c r="V114" s="752">
        <f>IFERROR(__xludf.DUMMYFUNCTION("""COMPUTED_VALUE"""),2003.0)</f>
        <v>2003</v>
      </c>
      <c r="W114" s="752">
        <f>IFERROR(__xludf.DUMMYFUNCTION("""COMPUTED_VALUE"""),2003.0)</f>
        <v>2003</v>
      </c>
      <c r="X114" s="779" t="str">
        <f>IFERROR(__xludf.DUMMYFUNCTION("""COMPUTED_VALUE"""),"Siriaut C, Bhumiratana A, Koyadun S, Anurat K, Satitvipawee P, et al. Short-term Effects of Treatment with 300 mg oral-dose Diethylcarbamazine on Nocturnally Periodic Wuchereria Bancrofti Microfilaremia and Antigenemia. Southeast Asian J Trop Med Pblic He"&amp;"alth 2005; 36(4): 832-840. ")</f>
        <v>Siriaut C, Bhumiratana A, Koyadun S, Anurat K, Satitvipawee P, et al. Short-term Effects of Treatment with 300 mg oral-dose Diethylcarbamazine on Nocturnally Periodic Wuchereria Bancrofti Microfilaremia and Antigenemia. Southeast Asian J Trop Med Pblic Health 2005; 36(4): 832-840. </v>
      </c>
      <c r="Y114" s="726" t="str">
        <f>IFERROR(__xludf.DUMMYFUNCTION("""COMPUTED_VALUE"""),"PMID: 16295533")</f>
        <v>PMID: 16295533</v>
      </c>
      <c r="Z114" s="727" t="str">
        <f>IFERROR(__xludf.DUMMYFUNCTION("""COMPUTED_VALUE"""),"https://drive.google.com/file/d/0B9vYgR7NsKoYMGROVVhld2kzNkU/view?usp=sharing")</f>
        <v>https://drive.google.com/file/d/0B9vYgR7NsKoYMGROVVhld2kzNkU/view?usp=sharing</v>
      </c>
      <c r="AA114" s="40" t="str">
        <f>IFERROR(__xludf.DUMMYFUNCTION("""COMPUTED_VALUE"""),"x")</f>
        <v>x</v>
      </c>
      <c r="AB114" s="40"/>
    </row>
    <row r="115">
      <c r="A115" s="717" t="str">
        <f>IFERROR(__xludf.DUMMYFUNCTION("""COMPUTED_VALUE"""),"Stolk WA, 2005")</f>
        <v>Stolk WA, 2005</v>
      </c>
      <c r="B115" s="40"/>
      <c r="C115" s="718" t="str">
        <f>IFERROR(__xludf.DUMMYFUNCTION("""COMPUTED_VALUE"""),"Kirti")</f>
        <v>Kirti</v>
      </c>
      <c r="D115" s="718" t="str">
        <f>IFERROR(__xludf.DUMMYFUNCTION("""COMPUTED_VALUE"""),"India")</f>
        <v>India</v>
      </c>
      <c r="E115" s="747" t="str">
        <f>IFERROR(__xludf.DUMMYFUNCTION("""COMPUTED_VALUE"""),"W. bancrofti")</f>
        <v>W. bancrofti</v>
      </c>
      <c r="F115" s="746" t="str">
        <f>IFERROR(__xludf.DUMMYFUNCTION("""COMPUTED_VALUE"""),"Ivermectin")</f>
        <v>Ivermectin</v>
      </c>
      <c r="G115" s="732" t="str">
        <f>IFERROR(__xludf.DUMMYFUNCTION("""COMPUTED_VALUE"""),".4 mg/kg")</f>
        <v>.4 mg/kg</v>
      </c>
      <c r="H115" s="732">
        <f>IFERROR(__xludf.DUMMYFUNCTION("""COMPUTED_VALUE"""),1.0)</f>
        <v>1</v>
      </c>
      <c r="I115" s="720">
        <f>IFERROR(__xludf.DUMMYFUNCTION("""COMPUTED_VALUE"""),0.96)</f>
        <v>0.96</v>
      </c>
      <c r="J115" s="720">
        <f>IFERROR(__xludf.DUMMYFUNCTION("""COMPUTED_VALUE"""),0.3)</f>
        <v>0.3</v>
      </c>
      <c r="K115" s="771">
        <f>IFERROR(__xludf.DUMMYFUNCTION("""COMPUTED_VALUE"""),0.82)</f>
        <v>0.82</v>
      </c>
      <c r="L115" s="718">
        <f>IFERROR(__xludf.DUMMYFUNCTION("""COMPUTED_VALUE"""),23.0)</f>
        <v>23</v>
      </c>
      <c r="M115" s="721" t="str">
        <f>IFERROR(__xludf.DUMMYFUNCTION("""COMPUTED_VALUE"""),"mean= 20")</f>
        <v>mean= 20</v>
      </c>
      <c r="N115" s="744" t="str">
        <f>IFERROR(__xludf.DUMMYFUNCTION("""COMPUTED_VALUE"""),"9 : 14")</f>
        <v>9 : 14</v>
      </c>
      <c r="O115" s="718" t="str">
        <f>IFERROR(__xludf.DUMMYFUNCTION("""COMPUTED_VALUE"""),"individuals with complete followup")</f>
        <v>individuals with complete followup</v>
      </c>
      <c r="P115" s="723" t="str">
        <f>IFERROR(__xludf.DUMMYFUNCTION("""COMPUTED_VALUE""")," double-blind, randomized, hospital-based trial ")</f>
        <v> double-blind, randomized, hospital-based trial </v>
      </c>
      <c r="Q115" s="718" t="str">
        <f>IFERROR(__xludf.DUMMYFUNCTION("""COMPUTED_VALUE"""),"Yes")</f>
        <v>Yes</v>
      </c>
      <c r="R115" s="718" t="str">
        <f>IFERROR(__xludf.DUMMYFUNCTION("""COMPUTED_VALUE"""),"Yes")</f>
        <v>Yes</v>
      </c>
      <c r="S115" s="718" t="str">
        <f>IFERROR(__xludf.DUMMYFUNCTION("""COMPUTED_VALUE"""),"1 year")</f>
        <v>1 year</v>
      </c>
      <c r="T115" s="746" t="str">
        <f>IFERROR(__xludf.DUMMYFUNCTION("""COMPUTED_VALUE"""),"The average effects of DEC and ivermectin treatment are high, which triggers optimism about the potential impact of mass treatment.")</f>
        <v>The average effects of DEC and ivermectin treatment are high, which triggers optimism about the potential impact of mass treatment.</v>
      </c>
      <c r="U115" s="718" t="str">
        <f>IFERROR(__xludf.DUMMYFUNCTION("""COMPUTED_VALUE"""),"The strong reduction in overall Mf production is good news for control of lymphatic filariasis, but the prospects of elimination will be diminished if part of the population systematically responds poorly to treatment.")</f>
        <v>The strong reduction in overall Mf production is good news for control of lymphatic filariasis, but the prospects of elimination will be diminished if part of the population systematically responds poorly to treatment.</v>
      </c>
      <c r="V115" s="724">
        <f>IFERROR(__xludf.DUMMYFUNCTION("""COMPUTED_VALUE"""),2005.0)</f>
        <v>2005</v>
      </c>
      <c r="W115" s="724">
        <f>IFERROR(__xludf.DUMMYFUNCTION("""COMPUTED_VALUE"""),2005.0)</f>
        <v>2005</v>
      </c>
      <c r="X115" s="40" t="str">
        <f>IFERROR(__xludf.DUMMYFUNCTION("""COMPUTED_VALUE"""),"WILMA A. STOLK,* GERRIT J. VAN OORTMARSSEN, S. P. PANI, SAKE J. DE VLAS, S. SUBRAMANIAN, P. K. DAS, AND J. DIK F. HABBEMA. EFFECTS OF IVERMECTIN AND DIETHYLCARBAMAZINE ON MICROFILARIAE AND OVERALL MICROFILARIA PRODUCTION IN BANCROFTIAN FILARIASIS. Am. J. "&amp;"Trop. Med. Hyg., 73(5), 2005, pp. 881–887")</f>
        <v>WILMA A. STOLK,* GERRIT J. VAN OORTMARSSEN, S. P. PANI, SAKE J. DE VLAS, S. SUBRAMANIAN, P. K. DAS, AND J. DIK F. HABBEMA. EFFECTS OF IVERMECTIN AND DIETHYLCARBAMAZINE ON MICROFILARIAE AND OVERALL MICROFILARIA PRODUCTION IN BANCROFTIAN FILARIASIS. Am. J. Trop. Med. Hyg., 73(5), 2005, pp. 881–887</v>
      </c>
      <c r="Y115" s="726"/>
      <c r="Z115" s="727" t="str">
        <f>IFERROR(__xludf.DUMMYFUNCTION("""COMPUTED_VALUE"""),"https://drive.google.com/file/d/0B4sJPAkX0Jo3aENXNnUtX1dCSG8/view?usp=sharing")</f>
        <v>https://drive.google.com/file/d/0B4sJPAkX0Jo3aENXNnUtX1dCSG8/view?usp=sharing</v>
      </c>
      <c r="AA115" s="40" t="str">
        <f>IFERROR(__xludf.DUMMYFUNCTION("""COMPUTED_VALUE"""),"x")</f>
        <v>x</v>
      </c>
      <c r="AB115" s="40"/>
    </row>
    <row r="116">
      <c r="A116" s="717" t="str">
        <f>IFERROR(__xludf.DUMMYFUNCTION("""COMPUTED_VALUE"""),"Stolk WA, 2005")</f>
        <v>Stolk WA, 2005</v>
      </c>
      <c r="B116" s="40"/>
      <c r="C116" s="718" t="str">
        <f>IFERROR(__xludf.DUMMYFUNCTION("""COMPUTED_VALUE"""),"Kirti")</f>
        <v>Kirti</v>
      </c>
      <c r="D116" s="718" t="str">
        <f>IFERROR(__xludf.DUMMYFUNCTION("""COMPUTED_VALUE"""),"India")</f>
        <v>India</v>
      </c>
      <c r="E116" s="747" t="str">
        <f>IFERROR(__xludf.DUMMYFUNCTION("""COMPUTED_VALUE"""),"W. bancrofti")</f>
        <v>W. bancrofti</v>
      </c>
      <c r="F116" s="718" t="str">
        <f>IFERROR(__xludf.DUMMYFUNCTION("""COMPUTED_VALUE"""),"DEC")</f>
        <v>DEC</v>
      </c>
      <c r="G116" s="732" t="str">
        <f>IFERROR(__xludf.DUMMYFUNCTION("""COMPUTED_VALUE"""),"6 mg/kg")</f>
        <v>6 mg/kg</v>
      </c>
      <c r="H116" s="732">
        <f>IFERROR(__xludf.DUMMYFUNCTION("""COMPUTED_VALUE"""),1.0)</f>
        <v>1</v>
      </c>
      <c r="I116" s="720">
        <f>IFERROR(__xludf.DUMMYFUNCTION("""COMPUTED_VALUE"""),0.57)</f>
        <v>0.57</v>
      </c>
      <c r="J116" s="720">
        <f>IFERROR(__xludf.DUMMYFUNCTION("""COMPUTED_VALUE"""),0.22)</f>
        <v>0.22</v>
      </c>
      <c r="K116" s="771">
        <f>IFERROR(__xludf.DUMMYFUNCTION("""COMPUTED_VALUE"""),0.67)</f>
        <v>0.67</v>
      </c>
      <c r="L116" s="718">
        <f>IFERROR(__xludf.DUMMYFUNCTION("""COMPUTED_VALUE"""),23.0)</f>
        <v>23</v>
      </c>
      <c r="M116" s="721" t="str">
        <f>IFERROR(__xludf.DUMMYFUNCTION("""COMPUTED_VALUE"""),"mean= 22")</f>
        <v>mean= 22</v>
      </c>
      <c r="N116" s="744" t="str">
        <f>IFERROR(__xludf.DUMMYFUNCTION("""COMPUTED_VALUE"""),"11 : 12")</f>
        <v>11 : 12</v>
      </c>
      <c r="O116" s="718" t="str">
        <f>IFERROR(__xludf.DUMMYFUNCTION("""COMPUTED_VALUE"""),"individuals with complete followup")</f>
        <v>individuals with complete followup</v>
      </c>
      <c r="P116" s="723" t="str">
        <f>IFERROR(__xludf.DUMMYFUNCTION("""COMPUTED_VALUE""")," double-blind, randomized, hospital-based trial ")</f>
        <v> double-blind, randomized, hospital-based trial </v>
      </c>
      <c r="Q116" s="718" t="str">
        <f>IFERROR(__xludf.DUMMYFUNCTION("""COMPUTED_VALUE"""),"Yes")</f>
        <v>Yes</v>
      </c>
      <c r="R116" s="718" t="str">
        <f>IFERROR(__xludf.DUMMYFUNCTION("""COMPUTED_VALUE"""),"Yes")</f>
        <v>Yes</v>
      </c>
      <c r="S116" s="718" t="str">
        <f>IFERROR(__xludf.DUMMYFUNCTION("""COMPUTED_VALUE"""),"1 year")</f>
        <v>1 year</v>
      </c>
      <c r="T116" s="746" t="str">
        <f>IFERROR(__xludf.DUMMYFUNCTION("""COMPUTED_VALUE"""),"The average effects of DEC and ivermectin treatment are high, which triggers optimism about the potential impact of mass treatment.")</f>
        <v>The average effects of DEC and ivermectin treatment are high, which triggers optimism about the potential impact of mass treatment.</v>
      </c>
      <c r="U116" s="718" t="str">
        <f>IFERROR(__xludf.DUMMYFUNCTION("""COMPUTED_VALUE"""),"The strong reduction in overall Mf production is good news for control of lymphatic filariasis, but the prospects of elimination will be diminished if part of the population systematically responds poorly to treatment.")</f>
        <v>The strong reduction in overall Mf production is good news for control of lymphatic filariasis, but the prospects of elimination will be diminished if part of the population systematically responds poorly to treatment.</v>
      </c>
      <c r="V116" s="724">
        <f>IFERROR(__xludf.DUMMYFUNCTION("""COMPUTED_VALUE"""),2005.0)</f>
        <v>2005</v>
      </c>
      <c r="W116" s="724">
        <f>IFERROR(__xludf.DUMMYFUNCTION("""COMPUTED_VALUE"""),2005.0)</f>
        <v>2005</v>
      </c>
      <c r="X116" s="40" t="str">
        <f>IFERROR(__xludf.DUMMYFUNCTION("""COMPUTED_VALUE"""),"WILMA A. STOLK,* GERRIT J. VAN OORTMARSSEN, S. P. PANI, SAKE J. DE VLAS, S. SUBRAMANIAN, P. K. DAS, AND J. DIK F. HABBEMA. EFFECTS OF IVERMECTIN AND DIETHYLCARBAMAZINE ON MICROFILARIAE AND OVERALL MICROFILARIA PRODUCTION IN BANCROFTIAN FILARIASIS. Am. J. "&amp;"Trop. Med. Hyg., 73(5), 2005, pp. 881–887")</f>
        <v>WILMA A. STOLK,* GERRIT J. VAN OORTMARSSEN, S. P. PANI, SAKE J. DE VLAS, S. SUBRAMANIAN, P. K. DAS, AND J. DIK F. HABBEMA. EFFECTS OF IVERMECTIN AND DIETHYLCARBAMAZINE ON MICROFILARIAE AND OVERALL MICROFILARIA PRODUCTION IN BANCROFTIAN FILARIASIS. Am. J. Trop. Med. Hyg., 73(5), 2005, pp. 881–887</v>
      </c>
      <c r="Y116" s="726"/>
      <c r="Z116" s="727" t="str">
        <f>IFERROR(__xludf.DUMMYFUNCTION("""COMPUTED_VALUE"""),"https://drive.google.com/file/d/0B4sJPAkX0Jo3aENXNnUtX1dCSG8/view?usp=sharing")</f>
        <v>https://drive.google.com/file/d/0B4sJPAkX0Jo3aENXNnUtX1dCSG8/view?usp=sharing</v>
      </c>
      <c r="AA116" s="40" t="str">
        <f>IFERROR(__xludf.DUMMYFUNCTION("""COMPUTED_VALUE"""),"x")</f>
        <v>x</v>
      </c>
      <c r="AB116" s="40"/>
    </row>
    <row r="117">
      <c r="A117" s="745" t="str">
        <f>IFERROR(__xludf.DUMMYFUNCTION("""COMPUTED_VALUE"""),"Subramanyam 2000")</f>
        <v>Subramanyam 2000</v>
      </c>
      <c r="B117" s="746" t="str">
        <f>IFERROR(__xludf.DUMMYFUNCTION("""COMPUTED_VALUE"""),"Kirti")</f>
        <v>Kirti</v>
      </c>
      <c r="C117" s="746" t="str">
        <f>IFERROR(__xludf.DUMMYFUNCTION("""COMPUTED_VALUE"""),"luisa")</f>
        <v>luisa</v>
      </c>
      <c r="D117" s="746" t="str">
        <f>IFERROR(__xludf.DUMMYFUNCTION("""COMPUTED_VALUE"""),"India")</f>
        <v>India</v>
      </c>
      <c r="E117" s="747" t="str">
        <f>IFERROR(__xludf.DUMMYFUNCTION("""COMPUTED_VALUE"""),"W. bancrofti")</f>
        <v>W. bancrofti</v>
      </c>
      <c r="F117" s="718" t="str">
        <f>IFERROR(__xludf.DUMMYFUNCTION("""COMPUTED_VALUE"""),"DEC")</f>
        <v>DEC</v>
      </c>
      <c r="G117" s="732" t="str">
        <f>IFERROR(__xludf.DUMMYFUNCTION("""COMPUTED_VALUE"""),"6 mg/kg")</f>
        <v>6 mg/kg</v>
      </c>
      <c r="H117" s="40"/>
      <c r="I117" s="765">
        <f>IFERROR(__xludf.DUMMYFUNCTION("""COMPUTED_VALUE"""),0.83)</f>
        <v>0.83</v>
      </c>
      <c r="J117" s="757">
        <f>IFERROR(__xludf.DUMMYFUNCTION("""COMPUTED_VALUE"""),0.083)</f>
        <v>0.083</v>
      </c>
      <c r="K117" s="40"/>
      <c r="L117" s="718">
        <f>IFERROR(__xludf.DUMMYFUNCTION("""COMPUTED_VALUE"""),30.0)</f>
        <v>30</v>
      </c>
      <c r="M117" s="750" t="str">
        <f>IFERROR(__xludf.DUMMYFUNCTION("""COMPUTED_VALUE"""),"&gt;20 (14), &lt;20 (15)")</f>
        <v>&gt;20 (14), &lt;20 (15)</v>
      </c>
      <c r="N117" s="764">
        <f>IFERROR(__xludf.DUMMYFUNCTION("""COMPUTED_VALUE"""),0.59375)</f>
        <v>0.59375</v>
      </c>
      <c r="O117" s="746" t="str">
        <f>IFERROR(__xludf.DUMMYFUNCTION("""COMPUTED_VALUE"""),"Apparently healthy individuals of normal body weight for age with normal physical examination, normal ECG, normal chest X-ray, normal routine stool and urine tests, and normal results in a battery of laboratory tests for haematological and biochemical par"&amp;"ameters (Table 3), with W. bancrofti microfilaraemia of  100 mf/ml of night venous blood (collected between 8.30 and 9.30 p.m.) by membrane filtration technique.")</f>
        <v>Apparently healthy individuals of normal body weight for age with normal physical examination, normal ECG, normal chest X-ray, normal routine stool and urine tests, and normal results in a battery of laboratory tests for haematological and biochemical parameters (Table 3), with W. bancrofti microfilaraemia of  100 mf/ml of night venous blood (collected between 8.30 and 9.30 p.m.) by membrane filtration technique.</v>
      </c>
      <c r="P117" s="751" t="str">
        <f>IFERROR(__xludf.DUMMYFUNCTION("""COMPUTED_VALUE"""),"Double-blind")</f>
        <v>Double-blind</v>
      </c>
      <c r="Q117" s="718" t="str">
        <f>IFERROR(__xludf.DUMMYFUNCTION("""COMPUTED_VALUE"""),"Yes")</f>
        <v>Yes</v>
      </c>
      <c r="R117" s="746" t="str">
        <f>IFERROR(__xludf.DUMMYFUNCTION("""COMPUTED_VALUE"""),"Yes")</f>
        <v>Yes</v>
      </c>
      <c r="S117" s="746" t="str">
        <f>IFERROR(__xludf.DUMMYFUNCTION("""COMPUTED_VALUE"""),"6 days, 1 year, 2 years")</f>
        <v>6 days, 1 year, 2 years</v>
      </c>
      <c r="T117" s="746" t="str">
        <f>IFERROR(__xludf.DUMMYFUNCTION("""COMPUTED_VALUE"""),"The tolerability and efficacy of the two drugs were not significantly different between gender, age and weight classes of patients.")</f>
        <v>The tolerability and efficacy of the two drugs were not significantly different between gender, age and weight classes of patients.</v>
      </c>
      <c r="U117" s="40"/>
      <c r="V117" s="752">
        <f>IFERROR(__xludf.DUMMYFUNCTION("""COMPUTED_VALUE"""),2000.0)</f>
        <v>2000</v>
      </c>
      <c r="W117" s="769">
        <f>IFERROR(__xludf.DUMMYFUNCTION("""COMPUTED_VALUE"""),2000.0)</f>
        <v>2000</v>
      </c>
      <c r="X117" s="748" t="str">
        <f>IFERROR(__xludf.DUMMYFUNCTION("""COMPUTED_VALUE"""),"Reddy GS, Vengatesvarlou N, Das PK, Vanamail P, Vijayan P, Kala S, et el. Tolerability and efficacy of single-dose diethyl carbamazine (DEC) or ivermectin in the clearance of Wuchereria bancrofti microfilaraemia in Pondicherry, South India. Tropical Medic"&amp;"ine and International Health 2000; 5 (11): 779–785.")</f>
        <v>Reddy GS, Vengatesvarlou N, Das PK, Vanamail P, Vijayan P, Kala S, et el. Tolerability and efficacy of single-dose diethyl carbamazine (DEC) or ivermectin in the clearance of Wuchereria bancrofti microfilaraemia in Pondicherry, South India. Tropical Medicine and International Health 2000; 5 (11): 779–785.</v>
      </c>
      <c r="Y117" s="726" t="str">
        <f>IFERROR(__xludf.DUMMYFUNCTION("""COMPUTED_VALUE"""),"DOI: 10.1046/j.1365-3156.2000.00644.x")</f>
        <v>DOI: 10.1046/j.1365-3156.2000.00644.x</v>
      </c>
      <c r="Z117" s="727" t="str">
        <f>IFERROR(__xludf.DUMMYFUNCTION("""COMPUTED_VALUE"""),"https://drive.google.com/file/d/0B-yoIBO7tf7FbE1XMXZCcmtDTmM/view?usp=sharing")</f>
        <v>https://drive.google.com/file/d/0B-yoIBO7tf7FbE1XMXZCcmtDTmM/view?usp=sharing</v>
      </c>
      <c r="AA117" s="40"/>
      <c r="AB117" s="40"/>
    </row>
    <row r="118">
      <c r="A118" s="745" t="str">
        <f>IFERROR(__xludf.DUMMYFUNCTION("""COMPUTED_VALUE"""),"Subramanyam 2000")</f>
        <v>Subramanyam 2000</v>
      </c>
      <c r="B118" s="746" t="str">
        <f>IFERROR(__xludf.DUMMYFUNCTION("""COMPUTED_VALUE"""),"Kirti")</f>
        <v>Kirti</v>
      </c>
      <c r="C118" s="746" t="str">
        <f>IFERROR(__xludf.DUMMYFUNCTION("""COMPUTED_VALUE"""),"luisa")</f>
        <v>luisa</v>
      </c>
      <c r="D118" s="746" t="str">
        <f>IFERROR(__xludf.DUMMYFUNCTION("""COMPUTED_VALUE"""),"India")</f>
        <v>India</v>
      </c>
      <c r="E118" s="747" t="str">
        <f>IFERROR(__xludf.DUMMYFUNCTION("""COMPUTED_VALUE"""),"W. bancrofti")</f>
        <v>W. bancrofti</v>
      </c>
      <c r="F118" s="751" t="str">
        <f>IFERROR(__xludf.DUMMYFUNCTION("""COMPUTED_VALUE"""),"Ivermectin")</f>
        <v>Ivermectin</v>
      </c>
      <c r="G118" s="751" t="str">
        <f>IFERROR(__xludf.DUMMYFUNCTION("""COMPUTED_VALUE"""),".4 mg/kg")</f>
        <v>.4 mg/kg</v>
      </c>
      <c r="H118" s="40"/>
      <c r="I118" s="765">
        <f>IFERROR(__xludf.DUMMYFUNCTION("""COMPUTED_VALUE"""),0.97)</f>
        <v>0.97</v>
      </c>
      <c r="J118" s="757">
        <f>IFERROR(__xludf.DUMMYFUNCTION("""COMPUTED_VALUE"""),0.348)</f>
        <v>0.348</v>
      </c>
      <c r="K118" s="40"/>
      <c r="L118" s="746">
        <f>IFERROR(__xludf.DUMMYFUNCTION("""COMPUTED_VALUE"""),30.0)</f>
        <v>30</v>
      </c>
      <c r="M118" s="750" t="str">
        <f>IFERROR(__xludf.DUMMYFUNCTION("""COMPUTED_VALUE"""),"&gt;20 (14), &lt;20 (16) ")</f>
        <v>&gt;20 (14), &lt;20 (16) </v>
      </c>
      <c r="N118" s="766">
        <f>IFERROR(__xludf.DUMMYFUNCTION("""COMPUTED_VALUE"""),0.2972222222222222)</f>
        <v>0.2972222222</v>
      </c>
      <c r="O118" s="746" t="str">
        <f>IFERROR(__xludf.DUMMYFUNCTION("""COMPUTED_VALUE"""),"Apparently healthy individuals of normal body weight for age with normal physical examination, normal ECG, normal chest X-ray, normal routine stool and urine tests, and normal results in a battery of laboratory tests for haematological and biochemical par"&amp;"ameters (Table 3), with W. bancrofti microfilaraemia of  100 mf/ml of night venous blood (collected between 8.30 and 9.30 p.m.) by membrane filtration technique.")</f>
        <v>Apparently healthy individuals of normal body weight for age with normal physical examination, normal ECG, normal chest X-ray, normal routine stool and urine tests, and normal results in a battery of laboratory tests for haematological and biochemical parameters (Table 3), with W. bancrofti microfilaraemia of  100 mf/ml of night venous blood (collected between 8.30 and 9.30 p.m.) by membrane filtration technique.</v>
      </c>
      <c r="P118" s="751" t="str">
        <f>IFERROR(__xludf.DUMMYFUNCTION("""COMPUTED_VALUE"""),"Double-blind")</f>
        <v>Double-blind</v>
      </c>
      <c r="Q118" s="718" t="str">
        <f>IFERROR(__xludf.DUMMYFUNCTION("""COMPUTED_VALUE"""),"Yes")</f>
        <v>Yes</v>
      </c>
      <c r="R118" s="746" t="str">
        <f>IFERROR(__xludf.DUMMYFUNCTION("""COMPUTED_VALUE"""),"Yes")</f>
        <v>Yes</v>
      </c>
      <c r="S118" s="746" t="str">
        <f>IFERROR(__xludf.DUMMYFUNCTION("""COMPUTED_VALUE"""),"6 days, 1 year, 2 years")</f>
        <v>6 days, 1 year, 2 years</v>
      </c>
      <c r="T118" s="746" t="str">
        <f>IFERROR(__xludf.DUMMYFUNCTION("""COMPUTED_VALUE"""),"The tolerability and efficacy of the two drugs were not significantly different between gender, age and weight classes of patients.")</f>
        <v>The tolerability and efficacy of the two drugs were not significantly different between gender, age and weight classes of patients.</v>
      </c>
      <c r="U118" s="40"/>
      <c r="V118" s="752">
        <f>IFERROR(__xludf.DUMMYFUNCTION("""COMPUTED_VALUE"""),2000.0)</f>
        <v>2000</v>
      </c>
      <c r="W118" s="769">
        <f>IFERROR(__xludf.DUMMYFUNCTION("""COMPUTED_VALUE"""),2000.0)</f>
        <v>2000</v>
      </c>
      <c r="X118" s="748" t="str">
        <f>IFERROR(__xludf.DUMMYFUNCTION("""COMPUTED_VALUE"""),"Reddy GS, Vengatesvarlou N, Das PK, Vanamail P, Vijayan P, Kala S, et el. Tolerability and efficacy of single-dose diethyl carbamazine (DEC) or ivermectin in the clearance of Wuchereria bancrofti microfilaraemia in Pondicherry, South India. Tropical Medic"&amp;"ine and International Health 2000; 5 (11): 779–785.")</f>
        <v>Reddy GS, Vengatesvarlou N, Das PK, Vanamail P, Vijayan P, Kala S, et el. Tolerability and efficacy of single-dose diethyl carbamazine (DEC) or ivermectin in the clearance of Wuchereria bancrofti microfilaraemia in Pondicherry, South India. Tropical Medicine and International Health 2000; 5 (11): 779–785.</v>
      </c>
      <c r="Y118" s="726" t="str">
        <f>IFERROR(__xludf.DUMMYFUNCTION("""COMPUTED_VALUE"""),"DOI: 10.1046/j.1365-3156.2000.00644.x")</f>
        <v>DOI: 10.1046/j.1365-3156.2000.00644.x</v>
      </c>
      <c r="Z118" s="727" t="str">
        <f>IFERROR(__xludf.DUMMYFUNCTION("""COMPUTED_VALUE"""),"https://drive.google.com/file/d/0B-yoIBO7tf7FbE1XMXZCcmtDTmM/view?usp=sharing")</f>
        <v>https://drive.google.com/file/d/0B-yoIBO7tf7FbE1XMXZCcmtDTmM/view?usp=sharing</v>
      </c>
      <c r="AA118" s="40"/>
      <c r="AB118" s="40"/>
    </row>
    <row r="119">
      <c r="A119" s="717" t="str">
        <f>IFERROR(__xludf.DUMMYFUNCTION("""COMPUTED_VALUE"""),"Supali T, 2002")</f>
        <v>Supali T, 2002</v>
      </c>
      <c r="B119" s="40"/>
      <c r="C119" s="730" t="str">
        <f>IFERROR(__xludf.DUMMYFUNCTION("""COMPUTED_VALUE"""),"luisa/AR")</f>
        <v>luisa/AR</v>
      </c>
      <c r="D119" s="718" t="str">
        <f>IFERROR(__xludf.DUMMYFUNCTION("""COMPUTED_VALUE"""),"Indonesia")</f>
        <v>Indonesia</v>
      </c>
      <c r="E119" s="747" t="str">
        <f>IFERROR(__xludf.DUMMYFUNCTION("""COMPUTED_VALUE"""),"W. bancrofti")</f>
        <v>W. bancrofti</v>
      </c>
      <c r="F119" s="718" t="str">
        <f>IFERROR(__xludf.DUMMYFUNCTION("""COMPUTED_VALUE"""),"DEC")</f>
        <v>DEC</v>
      </c>
      <c r="G119" s="761" t="str">
        <f>IFERROR(__xludf.DUMMYFUNCTION("""COMPUTED_VALUE"""),"6mg/kg")</f>
        <v>6mg/kg</v>
      </c>
      <c r="H119" s="718">
        <f>IFERROR(__xludf.DUMMYFUNCTION("""COMPUTED_VALUE"""),1.0)</f>
        <v>1</v>
      </c>
      <c r="I119" s="720">
        <f>IFERROR(__xludf.DUMMYFUNCTION("""COMPUTED_VALUE"""),0.98)</f>
        <v>0.98</v>
      </c>
      <c r="J119" s="720">
        <f>IFERROR(__xludf.DUMMYFUNCTION("""COMPUTED_VALUE"""),0.14285714285714285)</f>
        <v>0.1428571429</v>
      </c>
      <c r="K119" s="40"/>
      <c r="L119" s="718">
        <f>IFERROR(__xludf.DUMMYFUNCTION("""COMPUTED_VALUE"""),14.0)</f>
        <v>14</v>
      </c>
      <c r="M119" s="721" t="str">
        <f>IFERROR(__xludf.DUMMYFUNCTION("""COMPUTED_VALUE"""),"11-63")</f>
        <v>11-63</v>
      </c>
      <c r="N119" s="744" t="str">
        <f>IFERROR(__xludf.DUMMYFUNCTION("""COMPUTED_VALUE"""),"12 : 45 ")</f>
        <v>12 : 45 </v>
      </c>
      <c r="O119" s="718" t="str">
        <f>IFERROR(__xludf.DUMMYFUNCTION("""COMPUTED_VALUE"""),"As no experience in single dose DEC or DEC–Alb treatment existed for B. timori, only men were selected for the hospital-based trial. However, two non-pregnant women aged 15 and 20 years insisted to be treated and were therefore included in the study.  For"&amp;" comparison, 27 individuals infected with W. bancrofti were included in the study. This group included 10 non-pregnant women. Three more microﬁlaremic women had been selected for treat- ment, but were excluded because of pregnancy")</f>
        <v>As no experience in single dose DEC or DEC–Alb treatment existed for B. timori, only men were selected for the hospital-based trial. However, two non-pregnant women aged 15 and 20 years insisted to be treated and were therefore included in the study.  For comparison, 27 individuals infected with W. bancrofti were included in the study. This group included 10 non-pregnant women. Three more microﬁlaremic women had been selected for treat- ment, but were excluded because of pregnancy</v>
      </c>
      <c r="P119" s="723" t="str">
        <f>IFERROR(__xludf.DUMMYFUNCTION("""COMPUTED_VALUE"""),"hospital based RCT")</f>
        <v>hospital based RCT</v>
      </c>
      <c r="Q119" s="718" t="str">
        <f>IFERROR(__xludf.DUMMYFUNCTION("""COMPUTED_VALUE"""),"No")</f>
        <v>No</v>
      </c>
      <c r="R119" s="718" t="str">
        <f>IFERROR(__xludf.DUMMYFUNCTION("""COMPUTED_VALUE"""),"Yes")</f>
        <v>Yes</v>
      </c>
      <c r="S119" s="718" t="str">
        <f>IFERROR(__xludf.DUMMYFUNCTION("""COMPUTED_VALUE"""),"7 days")</f>
        <v>7 days</v>
      </c>
      <c r="T119" s="718" t="str">
        <f>IFERROR(__xludf.DUMMYFUNCTION("""COMPUTED_VALUE"""),"Very strange paper... women demanding to be treated and a side community study")</f>
        <v>Very strange paper... women demanding to be treated and a side community study</v>
      </c>
      <c r="U119" s="718" t="str">
        <f>IFERROR(__xludf.DUMMYFUNCTION("""COMPUTED_VALUE"""),"Each group consisted of 15 individuals infected with B. timori and 14 or 13 persons infected with W. bancrofti")</f>
        <v>Each group consisted of 15 individuals infected with B. timori and 14 or 13 persons infected with W. bancrofti</v>
      </c>
      <c r="V119" s="724">
        <f>IFERROR(__xludf.DUMMYFUNCTION("""COMPUTED_VALUE"""),2002.0)</f>
        <v>2002</v>
      </c>
      <c r="W119" s="724">
        <f>IFERROR(__xludf.DUMMYFUNCTION("""COMPUTED_VALUE"""),2002.0)</f>
        <v>2002</v>
      </c>
      <c r="X119" s="40" t="str">
        <f>IFERROR(__xludf.DUMMYFUNCTION("""COMPUTED_VALUE"""),"Taniawati Supali1, Is Suhariah Ismid1, Paul Ru ¨ckert2 and Peter Fischer3
. Treatment of Brugia timori and Wuchereria bancrofti infections in Indonesia using DEC or a combination of DEC and albendazole: adverse reactions and short-term effects on microﬁla"&amp;"riae
. Tropical Medicine and International Health. volume 7 no 10 pp 894–901 october 2002.")</f>
        <v>Taniawati Supali1, Is Suhariah Ismid1, Paul Ru ¨ckert2 and Peter Fischer3
. Treatment of Brugia timori and Wuchereria bancrofti infections in Indonesia using DEC or a combination of DEC and albendazole: adverse reactions and short-term effects on microﬁlariae
. Tropical Medicine and International Health. volume 7 no 10 pp 894–901 october 2002.</v>
      </c>
      <c r="Y119" s="748"/>
      <c r="Z119" s="727" t="str">
        <f>IFERROR(__xludf.DUMMYFUNCTION("""COMPUTED_VALUE"""),"https://drive.google.com/file/d/0B4sJPAkX0Jo3TDVudWRoS1VKU2c/view?usp=sharing")</f>
        <v>https://drive.google.com/file/d/0B4sJPAkX0Jo3TDVudWRoS1VKU2c/view?usp=sharing</v>
      </c>
      <c r="AA119" s="40" t="str">
        <f>IFERROR(__xludf.DUMMYFUNCTION("""COMPUTED_VALUE"""),"x")</f>
        <v>x</v>
      </c>
      <c r="AB119" s="40"/>
    </row>
    <row r="120">
      <c r="A120" s="717" t="str">
        <f>IFERROR(__xludf.DUMMYFUNCTION("""COMPUTED_VALUE"""),"Supali T, 2002")</f>
        <v>Supali T, 2002</v>
      </c>
      <c r="B120" s="40"/>
      <c r="C120" s="730" t="str">
        <f>IFERROR(__xludf.DUMMYFUNCTION("""COMPUTED_VALUE"""),"luisa/AR")</f>
        <v>luisa/AR</v>
      </c>
      <c r="D120" s="718" t="str">
        <f>IFERROR(__xludf.DUMMYFUNCTION("""COMPUTED_VALUE"""),"Indonesia")</f>
        <v>Indonesia</v>
      </c>
      <c r="E120" s="747" t="str">
        <f>IFERROR(__xludf.DUMMYFUNCTION("""COMPUTED_VALUE"""),"W. bancrofti")</f>
        <v>W. bancrofti</v>
      </c>
      <c r="F120" s="718" t="str">
        <f>IFERROR(__xludf.DUMMYFUNCTION("""COMPUTED_VALUE"""),"Albendazole &amp; DEC")</f>
        <v>Albendazole &amp; DEC</v>
      </c>
      <c r="G120" s="732" t="str">
        <f>IFERROR(__xludf.DUMMYFUNCTION("""COMPUTED_VALUE"""),"400 mg + 6 mg/kg")</f>
        <v>400 mg + 6 mg/kg</v>
      </c>
      <c r="H120" s="732">
        <f>IFERROR(__xludf.DUMMYFUNCTION("""COMPUTED_VALUE"""),1.0)</f>
        <v>1</v>
      </c>
      <c r="I120" s="720">
        <f>IFERROR(__xludf.DUMMYFUNCTION("""COMPUTED_VALUE"""),0.95)</f>
        <v>0.95</v>
      </c>
      <c r="J120" s="720">
        <f>IFERROR(__xludf.DUMMYFUNCTION("""COMPUTED_VALUE"""),0.07692307692307693)</f>
        <v>0.07692307692</v>
      </c>
      <c r="K120" s="40"/>
      <c r="L120" s="718">
        <f>IFERROR(__xludf.DUMMYFUNCTION("""COMPUTED_VALUE"""),13.0)</f>
        <v>13</v>
      </c>
      <c r="M120" s="721" t="str">
        <f>IFERROR(__xludf.DUMMYFUNCTION("""COMPUTED_VALUE"""),"11-63")</f>
        <v>11-63</v>
      </c>
      <c r="N120" s="744" t="str">
        <f>IFERROR(__xludf.DUMMYFUNCTION("""COMPUTED_VALUE"""),"12 : 45 ")</f>
        <v>12 : 45 </v>
      </c>
      <c r="O120" s="718" t="str">
        <f>IFERROR(__xludf.DUMMYFUNCTION("""COMPUTED_VALUE"""),"As no experience in single dose DEC or DEC–Alb treatment existed for B. timori, only men were selected for the hospital-based trial. However, two non-pregnant women aged 15 and 20 years insisted to be treated and were therefore included in the study.  For"&amp;" comparison, 27 individuals infected with W. bancrofti were included in the study. This group included 10 non-pregnant women. Three more microﬁlaremic women had been selected for treat- ment, but were excluded because of pregnancy")</f>
        <v>As no experience in single dose DEC or DEC–Alb treatment existed for B. timori, only men were selected for the hospital-based trial. However, two non-pregnant women aged 15 and 20 years insisted to be treated and were therefore included in the study.  For comparison, 27 individuals infected with W. bancrofti were included in the study. This group included 10 non-pregnant women. Three more microﬁlaremic women had been selected for treat- ment, but were excluded because of pregnancy</v>
      </c>
      <c r="P120" s="723" t="str">
        <f>IFERROR(__xludf.DUMMYFUNCTION("""COMPUTED_VALUE"""),"hospital based RCT")</f>
        <v>hospital based RCT</v>
      </c>
      <c r="Q120" s="718" t="str">
        <f>IFERROR(__xludf.DUMMYFUNCTION("""COMPUTED_VALUE"""),"No")</f>
        <v>No</v>
      </c>
      <c r="R120" s="718" t="str">
        <f>IFERROR(__xludf.DUMMYFUNCTION("""COMPUTED_VALUE"""),"Yes")</f>
        <v>Yes</v>
      </c>
      <c r="S120" s="718" t="str">
        <f>IFERROR(__xludf.DUMMYFUNCTION("""COMPUTED_VALUE"""),"7 days")</f>
        <v>7 days</v>
      </c>
      <c r="T120" s="718" t="str">
        <f>IFERROR(__xludf.DUMMYFUNCTION("""COMPUTED_VALUE"""),"Very strange paper... women demanding to be treated and a side community study")</f>
        <v>Very strange paper... women demanding to be treated and a side community study</v>
      </c>
      <c r="U120" s="718" t="str">
        <f>IFERROR(__xludf.DUMMYFUNCTION("""COMPUTED_VALUE"""),"Each group consisted of 15 individuals infected with B. timori and 14 or 13 persons infected with W. bancrofti")</f>
        <v>Each group consisted of 15 individuals infected with B. timori and 14 or 13 persons infected with W. bancrofti</v>
      </c>
      <c r="V120" s="724">
        <f>IFERROR(__xludf.DUMMYFUNCTION("""COMPUTED_VALUE"""),2002.0)</f>
        <v>2002</v>
      </c>
      <c r="W120" s="724">
        <f>IFERROR(__xludf.DUMMYFUNCTION("""COMPUTED_VALUE"""),2002.0)</f>
        <v>2002</v>
      </c>
      <c r="X120" s="40" t="str">
        <f>IFERROR(__xludf.DUMMYFUNCTION("""COMPUTED_VALUE"""),"Taniawati Supali1, Is Suhariah Ismid1, Paul Ru ¨ckert2 and Peter Fischer3
. Treatment of Brugia timori and Wuchereria bancrofti infections in Indonesia using DEC or a combination of DEC and albendazole: adverse reactions and short-term effects on microﬁla"&amp;"riae
. Tropical Medicine and International Health. volume 7 no 10 pp 894–901 october 2002.")</f>
        <v>Taniawati Supali1, Is Suhariah Ismid1, Paul Ru ¨ckert2 and Peter Fischer3
. Treatment of Brugia timori and Wuchereria bancrofti infections in Indonesia using DEC or a combination of DEC and albendazole: adverse reactions and short-term effects on microﬁlariae
. Tropical Medicine and International Health. volume 7 no 10 pp 894–901 october 2002.</v>
      </c>
      <c r="Y120" s="726"/>
      <c r="Z120" s="727" t="str">
        <f>IFERROR(__xludf.DUMMYFUNCTION("""COMPUTED_VALUE"""),"https://drive.google.com/file/d/0B4sJPAkX0Jo3TDVudWRoS1VKU2c/view?usp=sharing")</f>
        <v>https://drive.google.com/file/d/0B4sJPAkX0Jo3TDVudWRoS1VKU2c/view?usp=sharing</v>
      </c>
      <c r="AA120" s="40" t="str">
        <f>IFERROR(__xludf.DUMMYFUNCTION("""COMPUTED_VALUE"""),"x")</f>
        <v>x</v>
      </c>
      <c r="AB120" s="40"/>
    </row>
    <row r="121">
      <c r="A121" s="717" t="str">
        <f>IFERROR(__xludf.DUMMYFUNCTION("""COMPUTED_VALUE"""),"Supali T, 2008")</f>
        <v>Supali T, 2008</v>
      </c>
      <c r="B121" s="718" t="str">
        <f>IFERROR(__xludf.DUMMYFUNCTION("""COMPUTED_VALUE"""),"luisa")</f>
        <v>luisa</v>
      </c>
      <c r="C121" s="730" t="str">
        <f>IFERROR(__xludf.DUMMYFUNCTION("""COMPUTED_VALUE"""),"luisa/AR")</f>
        <v>luisa/AR</v>
      </c>
      <c r="D121" s="718" t="str">
        <f>IFERROR(__xludf.DUMMYFUNCTION("""COMPUTED_VALUE"""),"Indonesia")</f>
        <v>Indonesia</v>
      </c>
      <c r="E121" s="719" t="str">
        <f>IFERROR(__xludf.DUMMYFUNCTION("""COMPUTED_VALUE"""),"Brugia malayi")</f>
        <v>Brugia malayi</v>
      </c>
      <c r="F121" s="718" t="str">
        <f>IFERROR(__xludf.DUMMYFUNCTION("""COMPUTED_VALUE"""),"Albendazole &amp; DEC &amp; Doxycycline ")</f>
        <v>Albendazole &amp; DEC &amp; Doxycycline </v>
      </c>
      <c r="G121" s="718" t="str">
        <f>IFERROR(__xludf.DUMMYFUNCTION("""COMPUTED_VALUE"""),"400 mg + 6mg/kg + 100 mg")</f>
        <v>400 mg + 6mg/kg + 100 mg</v>
      </c>
      <c r="H121" s="718">
        <f>IFERROR(__xludf.DUMMYFUNCTION("""COMPUTED_VALUE"""),42.0)</f>
        <v>42</v>
      </c>
      <c r="I121" s="741"/>
      <c r="J121" s="720">
        <f>IFERROR(__xludf.DUMMYFUNCTION("""COMPUTED_VALUE"""),0.875)</f>
        <v>0.875</v>
      </c>
      <c r="K121" s="771">
        <f>IFERROR(__xludf.DUMMYFUNCTION("""COMPUTED_VALUE"""),0.98)</f>
        <v>0.98</v>
      </c>
      <c r="L121" s="718">
        <f>IFERROR(__xludf.DUMMYFUNCTION("""COMPUTED_VALUE"""),57.0)</f>
        <v>57</v>
      </c>
      <c r="M121" s="721" t="str">
        <f>IFERROR(__xludf.DUMMYFUNCTION("""COMPUTED_VALUE"""),"12 to 76")</f>
        <v>12 to 76</v>
      </c>
      <c r="N121" s="744" t="str">
        <f>IFERROR(__xludf.DUMMYFUNCTION("""COMPUTED_VALUE"""),"not available")</f>
        <v>not available</v>
      </c>
      <c r="O121" s="718" t="str">
        <f>IFERROR(__xludf.DUMMYFUNCTION("""COMPUTED_VALUE"""),"range, 12–76 years; body weight, 40 kg; microfilari load, 15 microfilaria/mL and good health without any clinical condition requiring long-term use of medications.")</f>
        <v>range, 12–76 years; body weight, 40 kg; microfilari load, 15 microfilaria/mL and good health without any clinical condition requiring long-term use of medications.</v>
      </c>
      <c r="P121" s="723" t="str">
        <f>IFERROR(__xludf.DUMMYFUNCTION("""COMPUTED_VALUE"""),"double-blind, randomized, placebo-controlled 6-week field trial")</f>
        <v>double-blind, randomized, placebo-controlled 6-week field trial</v>
      </c>
      <c r="Q121" s="718" t="str">
        <f>IFERROR(__xludf.DUMMYFUNCTION("""COMPUTED_VALUE"""),"Yes")</f>
        <v>Yes</v>
      </c>
      <c r="R121" s="718" t="str">
        <f>IFERROR(__xludf.DUMMYFUNCTION("""COMPUTED_VALUE"""),"Yes")</f>
        <v>Yes</v>
      </c>
      <c r="S121" s="718" t="str">
        <f>IFERROR(__xludf.DUMMYFUNCTION("""COMPUTED_VALUE"""),"1 year")</f>
        <v>1 year</v>
      </c>
      <c r="T121" s="730" t="str">
        <f>IFERROR(__xludf.DUMMYFUNCTION("""COMPUTED_VALUE"""),"In conclusion, finding reported here support the notion that doxycycline, either alone or in combination with antifilaria therapy, strongly reduced Wolbachia levels in B. malayi–infected persons and, either alone or in combination with antifilaria therapy"&amp;", led to a decrease in microfila emia that was sustained for at least 1 year after treatment. Second, doxycycline treatment reduced adverse reactions following diethylcarbamazine-albendazole treatment; this may be particularly important for patients with "&amp;"very high microfilari loads, because they are known to most frequently experience adverse reactions to diethylcarbamazine.")</f>
        <v>In conclusion, finding reported here support the notion that doxycycline, either alone or in combination with antifilaria therapy, strongly reduced Wolbachia levels in B. malayi–infected persons and, either alone or in combination with antifilaria therapy, led to a decrease in microfila emia that was sustained for at least 1 year after treatment. Second, doxycycline treatment reduced adverse reactions following diethylcarbamazine-albendazole treatment; this may be particularly important for patients with very high microfilari loads, because they are known to most frequently experience adverse reactions to diethylcarbamazine.</v>
      </c>
      <c r="U121" s="718" t="str">
        <f>IFERROR(__xludf.DUMMYFUNCTION("""COMPUTED_VALUE"""),"Four months after receiving doxycycline (np 119) or placebo (np42), participants received diethylcarbamazine (6 mg/kg) plus albendazole (400 mg) or a matching placebo")</f>
        <v>Four months after receiving doxycycline (np 119) or placebo (np42), participants received diethylcarbamazine (6 mg/kg) plus albendazole (400 mg) or a matching placebo</v>
      </c>
      <c r="V121" s="724">
        <f>IFERROR(__xludf.DUMMYFUNCTION("""COMPUTED_VALUE"""),2008.0)</f>
        <v>2008</v>
      </c>
      <c r="W121" s="724">
        <f>IFERROR(__xludf.DUMMYFUNCTION("""COMPUTED_VALUE"""),2008.0)</f>
        <v>2008</v>
      </c>
      <c r="X121" s="718" t="str">
        <f>IFERROR(__xludf.DUMMYFUNCTION("""COMPUTED_VALUE"""),"Taniawati Supali,1 Yenny Djuardi,1 Kenneth M. Pfarr,4 Heri Wibowo,1 Mark J. Taylor,5 Achim Hoerauf,4 Jeanine J. Houwing-Duistermaat,3 M. Yazdanbakhsh,2 and Erliyani Sartono2. Doxycycline Treatment of Brugia malayi–Infected Persons Reduces Microfila emia a"&amp;"nd Adverse Reactions after Diethylcarbamazine and Albendazole Treatment. CID 2008:46 (1 May). ")</f>
        <v>Taniawati Supali,1 Yenny Djuardi,1 Kenneth M. Pfarr,4 Heri Wibowo,1 Mark J. Taylor,5 Achim Hoerauf,4 Jeanine J. Houwing-Duistermaat,3 M. Yazdanbakhsh,2 and Erliyani Sartono2. Doxycycline Treatment of Brugia malayi–Infected Persons Reduces Microfila emia and Adverse Reactions after Diethylcarbamazine and Albendazole Treatment. CID 2008:46 (1 May). </v>
      </c>
      <c r="Y121" s="726" t="str">
        <f>IFERROR(__xludf.DUMMYFUNCTION("""COMPUTED_VALUE"""),"DOI: 10.1086/586753")</f>
        <v>DOI: 10.1086/586753</v>
      </c>
      <c r="Z121" s="727" t="str">
        <f>IFERROR(__xludf.DUMMYFUNCTION("""COMPUTED_VALUE"""),"https://drive.google.com/file/d/0B4sJPAkX0Jo3aUlhSlBQMmNxRzQ/view?usp=sharing")</f>
        <v>https://drive.google.com/file/d/0B4sJPAkX0Jo3aUlhSlBQMmNxRzQ/view?usp=sharing</v>
      </c>
      <c r="AA121" s="40"/>
      <c r="AB121" s="40"/>
    </row>
    <row r="122">
      <c r="A122" s="717" t="str">
        <f>IFERROR(__xludf.DUMMYFUNCTION("""COMPUTED_VALUE"""),"Supali T, 2008")</f>
        <v>Supali T, 2008</v>
      </c>
      <c r="B122" s="718" t="str">
        <f>IFERROR(__xludf.DUMMYFUNCTION("""COMPUTED_VALUE"""),"luisa")</f>
        <v>luisa</v>
      </c>
      <c r="C122" s="730" t="str">
        <f>IFERROR(__xludf.DUMMYFUNCTION("""COMPUTED_VALUE"""),"luisa/AR")</f>
        <v>luisa/AR</v>
      </c>
      <c r="D122" s="718" t="str">
        <f>IFERROR(__xludf.DUMMYFUNCTION("""COMPUTED_VALUE"""),"Indonesia")</f>
        <v>Indonesia</v>
      </c>
      <c r="E122" s="719" t="str">
        <f>IFERROR(__xludf.DUMMYFUNCTION("""COMPUTED_VALUE"""),"Brugia malayi")</f>
        <v>Brugia malayi</v>
      </c>
      <c r="F122" s="718" t="str">
        <f>IFERROR(__xludf.DUMMYFUNCTION("""COMPUTED_VALUE"""),"Doxycycline + Placebo")</f>
        <v>Doxycycline + Placebo</v>
      </c>
      <c r="G122" s="718" t="str">
        <f>IFERROR(__xludf.DUMMYFUNCTION("""COMPUTED_VALUE"""),"100 mg")</f>
        <v>100 mg</v>
      </c>
      <c r="H122" s="718">
        <f>IFERROR(__xludf.DUMMYFUNCTION("""COMPUTED_VALUE"""),42.0)</f>
        <v>42</v>
      </c>
      <c r="I122" s="741"/>
      <c r="J122" s="720">
        <f>IFERROR(__xludf.DUMMYFUNCTION("""COMPUTED_VALUE"""),0.77)</f>
        <v>0.77</v>
      </c>
      <c r="K122" s="771">
        <f>IFERROR(__xludf.DUMMYFUNCTION("""COMPUTED_VALUE"""),0.98)</f>
        <v>0.98</v>
      </c>
      <c r="L122" s="718">
        <f>IFERROR(__xludf.DUMMYFUNCTION("""COMPUTED_VALUE"""),54.0)</f>
        <v>54</v>
      </c>
      <c r="M122" s="721" t="str">
        <f>IFERROR(__xludf.DUMMYFUNCTION("""COMPUTED_VALUE"""),"12 to 76")</f>
        <v>12 to 76</v>
      </c>
      <c r="N122" s="744" t="str">
        <f>IFERROR(__xludf.DUMMYFUNCTION("""COMPUTED_VALUE"""),"not available")</f>
        <v>not available</v>
      </c>
      <c r="O122" s="718" t="str">
        <f>IFERROR(__xludf.DUMMYFUNCTION("""COMPUTED_VALUE"""),"range, 12–76 years; body weight, 40 kg; microfilari load, 15 microfilaria/mL and good health without any clinical condition requiring long-term use of medications.")</f>
        <v>range, 12–76 years; body weight, 40 kg; microfilari load, 15 microfilaria/mL and good health without any clinical condition requiring long-term use of medications.</v>
      </c>
      <c r="P122" s="723" t="str">
        <f>IFERROR(__xludf.DUMMYFUNCTION("""COMPUTED_VALUE"""),"double-blind, randomized, placebo-controlled 6-week field trial")</f>
        <v>double-blind, randomized, placebo-controlled 6-week field trial</v>
      </c>
      <c r="Q122" s="718" t="str">
        <f>IFERROR(__xludf.DUMMYFUNCTION("""COMPUTED_VALUE"""),"Yes")</f>
        <v>Yes</v>
      </c>
      <c r="R122" s="718" t="str">
        <f>IFERROR(__xludf.DUMMYFUNCTION("""COMPUTED_VALUE"""),"Yes")</f>
        <v>Yes</v>
      </c>
      <c r="S122" s="718" t="str">
        <f>IFERROR(__xludf.DUMMYFUNCTION("""COMPUTED_VALUE"""),"1 year")</f>
        <v>1 year</v>
      </c>
      <c r="T122" s="730" t="str">
        <f>IFERROR(__xludf.DUMMYFUNCTION("""COMPUTED_VALUE"""),"In conclusion, finding reported here support the notion that doxycycline, either alone or in combination with antifilaria therapy, strongly reduced Wolbachia levels in B. malayi–infected persons and, either alone or in combination with antifilaria therapy"&amp;", led to a decrease in microfila emia that was sustained for at least 1 year after treatment. Second, doxycycline treatment reduced adverse reactions following diethylcarbamazine-albendazole treatment; this may be particularly important for patients with "&amp;"very high microfilari loads, because they are known to most frequently experience adverse reactions to diethylcarbamazine.")</f>
        <v>In conclusion, finding reported here support the notion that doxycycline, either alone or in combination with antifilaria therapy, strongly reduced Wolbachia levels in B. malayi–infected persons and, either alone or in combination with antifilaria therapy, led to a decrease in microfila emia that was sustained for at least 1 year after treatment. Second, doxycycline treatment reduced adverse reactions following diethylcarbamazine-albendazole treatment; this may be particularly important for patients with very high microfilari loads, because they are known to most frequently experience adverse reactions to diethylcarbamazine.</v>
      </c>
      <c r="U122" s="718" t="str">
        <f>IFERROR(__xludf.DUMMYFUNCTION("""COMPUTED_VALUE"""),"Four months after receiving doxycycline (np 119) or placebo (np42), participants received diethylcarbamazine (6 mg/kg) plus albendazole (400 mg) or a matching placebo")</f>
        <v>Four months after receiving doxycycline (np 119) or placebo (np42), participants received diethylcarbamazine (6 mg/kg) plus albendazole (400 mg) or a matching placebo</v>
      </c>
      <c r="V122" s="724">
        <f>IFERROR(__xludf.DUMMYFUNCTION("""COMPUTED_VALUE"""),2008.0)</f>
        <v>2008</v>
      </c>
      <c r="W122" s="724">
        <f>IFERROR(__xludf.DUMMYFUNCTION("""COMPUTED_VALUE"""),2008.0)</f>
        <v>2008</v>
      </c>
      <c r="X122" s="718" t="str">
        <f>IFERROR(__xludf.DUMMYFUNCTION("""COMPUTED_VALUE"""),"Taniawati Supali,1 Yenny Djuardi,1 Kenneth M. Pfarr,4 Heri Wibowo,1 Mark J. Taylor,5 Achim Hoerauf,4 Jeanine J. Houwing-Duistermaat,3 M. Yazdanbakhsh,2 and Erliyani Sartono2. Doxycycline Treatment of Brugia malayi–Infected Persons Reduces Microfila emia a"&amp;"nd Adverse Reactions after Diethylcarbamazine and Albendazole Treatment. CID 2008:46 (1 May). ")</f>
        <v>Taniawati Supali,1 Yenny Djuardi,1 Kenneth M. Pfarr,4 Heri Wibowo,1 Mark J. Taylor,5 Achim Hoerauf,4 Jeanine J. Houwing-Duistermaat,3 M. Yazdanbakhsh,2 and Erliyani Sartono2. Doxycycline Treatment of Brugia malayi–Infected Persons Reduces Microfila emia and Adverse Reactions after Diethylcarbamazine and Albendazole Treatment. CID 2008:46 (1 May). </v>
      </c>
      <c r="Y122" s="726" t="str">
        <f>IFERROR(__xludf.DUMMYFUNCTION("""COMPUTED_VALUE"""),"DOI: 10.1086/586753")</f>
        <v>DOI: 10.1086/586753</v>
      </c>
      <c r="Z122" s="727" t="str">
        <f>IFERROR(__xludf.DUMMYFUNCTION("""COMPUTED_VALUE"""),"https://drive.google.com/file/d/0B4sJPAkX0Jo3aUlhSlBQMmNxRzQ/view?usp=sharing")</f>
        <v>https://drive.google.com/file/d/0B4sJPAkX0Jo3aUlhSlBQMmNxRzQ/view?usp=sharing</v>
      </c>
      <c r="AA122" s="40"/>
      <c r="AB122" s="40"/>
    </row>
    <row r="123">
      <c r="A123" s="717" t="str">
        <f>IFERROR(__xludf.DUMMYFUNCTION("""COMPUTED_VALUE"""),"Supali T, 2008")</f>
        <v>Supali T, 2008</v>
      </c>
      <c r="B123" s="718" t="str">
        <f>IFERROR(__xludf.DUMMYFUNCTION("""COMPUTED_VALUE"""),"luisa")</f>
        <v>luisa</v>
      </c>
      <c r="C123" s="730" t="str">
        <f>IFERROR(__xludf.DUMMYFUNCTION("""COMPUTED_VALUE"""),"luisa/AR")</f>
        <v>luisa/AR</v>
      </c>
      <c r="D123" s="718" t="str">
        <f>IFERROR(__xludf.DUMMYFUNCTION("""COMPUTED_VALUE"""),"Indonesia")</f>
        <v>Indonesia</v>
      </c>
      <c r="E123" s="719" t="str">
        <f>IFERROR(__xludf.DUMMYFUNCTION("""COMPUTED_VALUE"""),"Brugia malayi")</f>
        <v>Brugia malayi</v>
      </c>
      <c r="F123" s="718" t="str">
        <f>IFERROR(__xludf.DUMMYFUNCTION("""COMPUTED_VALUE"""),"Albendazole &amp; DEC &amp; Placebo")</f>
        <v>Albendazole &amp; DEC &amp; Placebo</v>
      </c>
      <c r="G123" s="718" t="str">
        <f>IFERROR(__xludf.DUMMYFUNCTION("""COMPUTED_VALUE"""),"400 mg + 6mg/kg ")</f>
        <v>400 mg + 6mg/kg </v>
      </c>
      <c r="H123" s="718">
        <f>IFERROR(__xludf.DUMMYFUNCTION("""COMPUTED_VALUE"""),42.0)</f>
        <v>42</v>
      </c>
      <c r="I123" s="741"/>
      <c r="J123" s="720">
        <f>IFERROR(__xludf.DUMMYFUNCTION("""COMPUTED_VALUE"""),0.267)</f>
        <v>0.267</v>
      </c>
      <c r="K123" s="783"/>
      <c r="L123" s="718">
        <f>IFERROR(__xludf.DUMMYFUNCTION("""COMPUTED_VALUE"""),42.0)</f>
        <v>42</v>
      </c>
      <c r="M123" s="721" t="str">
        <f>IFERROR(__xludf.DUMMYFUNCTION("""COMPUTED_VALUE"""),"12 to 76")</f>
        <v>12 to 76</v>
      </c>
      <c r="N123" s="744" t="str">
        <f>IFERROR(__xludf.DUMMYFUNCTION("""COMPUTED_VALUE"""),"not available")</f>
        <v>not available</v>
      </c>
      <c r="O123" s="718" t="str">
        <f>IFERROR(__xludf.DUMMYFUNCTION("""COMPUTED_VALUE"""),"range, 12–76 years; body weight, 40 kg; microfilari load, 15 microfilaria/mL and good health without any clinical condition requiring long-term use of medications.")</f>
        <v>range, 12–76 years; body weight, 40 kg; microfilari load, 15 microfilaria/mL and good health without any clinical condition requiring long-term use of medications.</v>
      </c>
      <c r="P123" s="723" t="str">
        <f>IFERROR(__xludf.DUMMYFUNCTION("""COMPUTED_VALUE"""),"double-blind, randomized, placebo-controlled 6-week field trial")</f>
        <v>double-blind, randomized, placebo-controlled 6-week field trial</v>
      </c>
      <c r="Q123" s="718" t="str">
        <f>IFERROR(__xludf.DUMMYFUNCTION("""COMPUTED_VALUE"""),"Yes")</f>
        <v>Yes</v>
      </c>
      <c r="R123" s="718" t="str">
        <f>IFERROR(__xludf.DUMMYFUNCTION("""COMPUTED_VALUE"""),"Yes")</f>
        <v>Yes</v>
      </c>
      <c r="S123" s="718" t="str">
        <f>IFERROR(__xludf.DUMMYFUNCTION("""COMPUTED_VALUE"""),"1 year")</f>
        <v>1 year</v>
      </c>
      <c r="T123" s="730" t="str">
        <f>IFERROR(__xludf.DUMMYFUNCTION("""COMPUTED_VALUE"""),"In conclusion, finding reported here support the notion that doxycycline, either alone or in combination with antifilaria therapy, strongly reduced Wolbachia levels in B. malayi–infected persons and, either alone or in combination with antifilaria therapy"&amp;", led to a decrease in microfila emia that was sustained for at least 1 year after treatment. Second, doxycycline treatment reduced adverse reactions following diethylcarbamazine-albendazole treatment; this may be particularly important for patients with "&amp;"very high microfilari loads, because they are known to most frequently experience adverse reactions to diethylcarbamazine.")</f>
        <v>In conclusion, finding reported here support the notion that doxycycline, either alone or in combination with antifilaria therapy, strongly reduced Wolbachia levels in B. malayi–infected persons and, either alone or in combination with antifilaria therapy, led to a decrease in microfila emia that was sustained for at least 1 year after treatment. Second, doxycycline treatment reduced adverse reactions following diethylcarbamazine-albendazole treatment; this may be particularly important for patients with very high microfilari loads, because they are known to most frequently experience adverse reactions to diethylcarbamazine.</v>
      </c>
      <c r="U123" s="718" t="str">
        <f>IFERROR(__xludf.DUMMYFUNCTION("""COMPUTED_VALUE"""),"Four months after receiving doxycycline (np 119) or placebo (np42), participants received diethylcarbamazine (6 mg/kg) plus albendazole (400 mg) or a matching placebo")</f>
        <v>Four months after receiving doxycycline (np 119) or placebo (np42), participants received diethylcarbamazine (6 mg/kg) plus albendazole (400 mg) or a matching placebo</v>
      </c>
      <c r="V123" s="724">
        <f>IFERROR(__xludf.DUMMYFUNCTION("""COMPUTED_VALUE"""),2008.0)</f>
        <v>2008</v>
      </c>
      <c r="W123" s="724">
        <f>IFERROR(__xludf.DUMMYFUNCTION("""COMPUTED_VALUE"""),2008.0)</f>
        <v>2008</v>
      </c>
      <c r="X123" s="718" t="str">
        <f>IFERROR(__xludf.DUMMYFUNCTION("""COMPUTED_VALUE"""),"Taniawati Supali,1 Yenny Djuardi,1 Kenneth M. Pfarr,4 Heri Wibowo,1 Mark J. Taylor,5 Achim Hoerauf,4 Jeanine J. Houwing-Duistermaat,3 M. Yazdanbakhsh,2 and Erliyani Sartono2. Doxycycline Treatment of Brugia malayi–Infected Persons Reduces Microfila emia a"&amp;"nd Adverse Reactions after Diethylcarbamazine and Albendazole Treatment. CID 2008:46 (1 May). ")</f>
        <v>Taniawati Supali,1 Yenny Djuardi,1 Kenneth M. Pfarr,4 Heri Wibowo,1 Mark J. Taylor,5 Achim Hoerauf,4 Jeanine J. Houwing-Duistermaat,3 M. Yazdanbakhsh,2 and Erliyani Sartono2. Doxycycline Treatment of Brugia malayi–Infected Persons Reduces Microfila emia and Adverse Reactions after Diethylcarbamazine and Albendazole Treatment. CID 2008:46 (1 May). </v>
      </c>
      <c r="Y123" s="726" t="str">
        <f>IFERROR(__xludf.DUMMYFUNCTION("""COMPUTED_VALUE"""),"DOI: 10.1086/586753")</f>
        <v>DOI: 10.1086/586753</v>
      </c>
      <c r="Z123" s="727" t="str">
        <f>IFERROR(__xludf.DUMMYFUNCTION("""COMPUTED_VALUE"""),"https://drive.google.com/file/d/0B4sJPAkX0Jo3aUlhSlBQMmNxRzQ/view?usp=sharing")</f>
        <v>https://drive.google.com/file/d/0B4sJPAkX0Jo3aUlhSlBQMmNxRzQ/view?usp=sharing</v>
      </c>
      <c r="AA123" s="40"/>
      <c r="AB123" s="40"/>
    </row>
    <row r="124">
      <c r="A124" s="745" t="str">
        <f>IFERROR(__xludf.DUMMYFUNCTION("""COMPUTED_VALUE"""),"Taylor, 2005")</f>
        <v>Taylor, 2005</v>
      </c>
      <c r="B124" s="40"/>
      <c r="C124" s="746" t="str">
        <f>IFERROR(__xludf.DUMMYFUNCTION("""COMPUTED_VALUE"""),"Alex/AR")</f>
        <v>Alex/AR</v>
      </c>
      <c r="D124" s="784" t="str">
        <f>IFERROR(__xludf.DUMMYFUNCTION("""COMPUTED_VALUE"""),"Tanzania")</f>
        <v>Tanzania</v>
      </c>
      <c r="E124" s="719" t="str">
        <f>IFERROR(__xludf.DUMMYFUNCTION("""COMPUTED_VALUE"""),"W. bancrofti")</f>
        <v>W. bancrofti</v>
      </c>
      <c r="F124" s="746" t="str">
        <f>IFERROR(__xludf.DUMMYFUNCTION("""COMPUTED_VALUE"""),"Doxycycline")</f>
        <v>Doxycycline</v>
      </c>
      <c r="G124" s="746" t="str">
        <f>IFERROR(__xludf.DUMMYFUNCTION("""COMPUTED_VALUE"""),"200 mg/ day")</f>
        <v>200 mg/ day</v>
      </c>
      <c r="H124" s="746">
        <f>IFERROR(__xludf.DUMMYFUNCTION("""COMPUTED_VALUE"""),56.0)</f>
        <v>56</v>
      </c>
      <c r="I124" s="749">
        <f>IFERROR(__xludf.DUMMYFUNCTION("""COMPUTED_VALUE"""),0.206)</f>
        <v>0.206</v>
      </c>
      <c r="J124" s="757">
        <f>IFERROR(__xludf.DUMMYFUNCTION("""COMPUTED_VALUE"""),0.875)</f>
        <v>0.875</v>
      </c>
      <c r="K124" s="765" t="str">
        <f>IFERROR(__xludf.DUMMYFUNCTION("""COMPUTED_VALUE"""),"not available ")</f>
        <v>not available </v>
      </c>
      <c r="L124" s="746">
        <f>IFERROR(__xludf.DUMMYFUNCTION("""COMPUTED_VALUE"""),34.0)</f>
        <v>34</v>
      </c>
      <c r="M124" s="750" t="str">
        <f>IFERROR(__xludf.DUMMYFUNCTION("""COMPUTED_VALUE"""),"15- 68")</f>
        <v>15- 68</v>
      </c>
      <c r="N124" s="744" t="str">
        <f>IFERROR(__xludf.DUMMYFUNCTION("""COMPUTED_VALUE"""),"males")</f>
        <v>males</v>
      </c>
      <c r="O124" s="746" t="str">
        <f>IFERROR(__xludf.DUMMYFUNCTION("""COMPUTED_VALUE"""),"Male (ultrasonographic techniques were ineffective on females), must be between 15 and 68 years old, had microfilaremia count of at least 100 MF/mL")</f>
        <v>Male (ultrasonographic techniques were ineffective on females), must be between 15 and 68 years old, had microfilaremia count of at least 100 MF/mL</v>
      </c>
      <c r="P124" s="759" t="str">
        <f>IFERROR(__xludf.DUMMYFUNCTION("""COMPUTED_VALUE"""),"double- blind, RCT")</f>
        <v>double- blind, RCT</v>
      </c>
      <c r="Q124" s="718" t="str">
        <f>IFERROR(__xludf.DUMMYFUNCTION("""COMPUTED_VALUE"""),"Yes")</f>
        <v>Yes</v>
      </c>
      <c r="R124" s="746" t="str">
        <f>IFERROR(__xludf.DUMMYFUNCTION("""COMPUTED_VALUE"""),"Yes")</f>
        <v>Yes</v>
      </c>
      <c r="S124" s="746" t="str">
        <f>IFERROR(__xludf.DUMMYFUNCTION("""COMPUTED_VALUE"""),"14 months ")</f>
        <v>14 months </v>
      </c>
      <c r="T124" s="40"/>
      <c r="U124" s="40"/>
      <c r="V124" s="752">
        <f>IFERROR(__xludf.DUMMYFUNCTION("""COMPUTED_VALUE"""),2005.0)</f>
        <v>2005</v>
      </c>
      <c r="W124" s="724">
        <f>IFERROR(__xludf.DUMMYFUNCTION("""COMPUTED_VALUE"""),2005.0)</f>
        <v>2005</v>
      </c>
      <c r="X124" s="40" t="str">
        <f>IFERROR(__xludf.DUMMYFUNCTION("""COMPUTED_VALUE"""),"Taylor MJ, Makunde WH, McGarry HF, Turner JD, Mand S, Hoerauf A. Macrofilaricidal activity after doxycycline treatment of Wuchereria bancrofti: a double-blind, randomised placebo-controlled trial. Lancet. 2005;365(9477):2116–2121.")</f>
        <v>Taylor MJ, Makunde WH, McGarry HF, Turner JD, Mand S, Hoerauf A. Macrofilaricidal activity after doxycycline treatment of Wuchereria bancrofti: a double-blind, randomised placebo-controlled trial. Lancet. 2005;365(9477):2116–2121.</v>
      </c>
      <c r="Y124" s="785"/>
      <c r="Z124" s="727" t="str">
        <f>IFERROR(__xludf.DUMMYFUNCTION("""COMPUTED_VALUE"""),"https://drive.google.com/file/d/0B95WhYooraDecERrQVNGd1BNOVk/view?usp=sharing")</f>
        <v>https://drive.google.com/file/d/0B95WhYooraDecERrQVNGd1BNOVk/view?usp=sharing</v>
      </c>
      <c r="AA124" s="40"/>
      <c r="AB124" s="40"/>
    </row>
    <row r="125">
      <c r="A125" s="745" t="str">
        <f>IFERROR(__xludf.DUMMYFUNCTION("""COMPUTED_VALUE"""),"Wamae, 2011")</f>
        <v>Wamae, 2011</v>
      </c>
      <c r="B125" s="40" t="str">
        <f>IFERROR(__xludf.DUMMYFUNCTION("""COMPUTED_VALUE"""),"Kirti")</f>
        <v>Kirti</v>
      </c>
      <c r="C125" s="746" t="str">
        <f>IFERROR(__xludf.DUMMYFUNCTION("""COMPUTED_VALUE"""),"Ross/AR")</f>
        <v>Ross/AR</v>
      </c>
      <c r="D125" s="784" t="str">
        <f>IFERROR(__xludf.DUMMYFUNCTION("""COMPUTED_VALUE"""),"Kenya")</f>
        <v>Kenya</v>
      </c>
      <c r="E125" s="719" t="str">
        <f>IFERROR(__xludf.DUMMYFUNCTION("""COMPUTED_VALUE"""),"W. bancrofti")</f>
        <v>W. bancrofti</v>
      </c>
      <c r="F125" s="746" t="str">
        <f>IFERROR(__xludf.DUMMYFUNCTION("""COMPUTED_VALUE"""),"Albendazole &amp; DEC")</f>
        <v>Albendazole &amp; DEC</v>
      </c>
      <c r="G125" s="746" t="str">
        <f>IFERROR(__xludf.DUMMYFUNCTION("""COMPUTED_VALUE"""),"400 mg + 6 mg/kg")</f>
        <v>400 mg + 6 mg/kg</v>
      </c>
      <c r="H125" s="746">
        <f>IFERROR(__xludf.DUMMYFUNCTION("""COMPUTED_VALUE"""),3.0)</f>
        <v>3</v>
      </c>
      <c r="I125" s="749">
        <f>IFERROR(__xludf.DUMMYFUNCTION("""COMPUTED_VALUE"""),1.0)</f>
        <v>1</v>
      </c>
      <c r="J125" s="757">
        <f>IFERROR(__xludf.DUMMYFUNCTION("""COMPUTED_VALUE"""),0.537)</f>
        <v>0.537</v>
      </c>
      <c r="K125" s="746" t="str">
        <f>IFERROR(__xludf.DUMMYFUNCTION("""COMPUTED_VALUE"""),"not available")</f>
        <v>not available</v>
      </c>
      <c r="L125" s="746">
        <f>IFERROR(__xludf.DUMMYFUNCTION("""COMPUTED_VALUE"""),54.0)</f>
        <v>54</v>
      </c>
      <c r="M125" s="750" t="str">
        <f>IFERROR(__xludf.DUMMYFUNCTION("""COMPUTED_VALUE"""),"&gt;=5")</f>
        <v>&gt;=5</v>
      </c>
      <c r="N125" s="744">
        <f>IFERROR(__xludf.DUMMYFUNCTION("""COMPUTED_VALUE"""),0.1701388888888889)</f>
        <v>0.1701388889</v>
      </c>
      <c r="O125" s="746" t="str">
        <f>IFERROR(__xludf.DUMMYFUNCTION("""COMPUTED_VALUE"""),"(age 5 years or more and not severely ill or pregnant)")</f>
        <v>(age 5 years or more and not severely ill or pregnant)</v>
      </c>
      <c r="P125" s="759" t="str">
        <f>IFERROR(__xludf.DUMMYFUNCTION("""COMPUTED_VALUE"""),"randomized-controlled")</f>
        <v>randomized-controlled</v>
      </c>
      <c r="Q125" s="718" t="str">
        <f>IFERROR(__xludf.DUMMYFUNCTION("""COMPUTED_VALUE"""),"No")</f>
        <v>No</v>
      </c>
      <c r="R125" s="746" t="str">
        <f>IFERROR(__xludf.DUMMYFUNCTION("""COMPUTED_VALUE"""),"Yes")</f>
        <v>Yes</v>
      </c>
      <c r="S125" s="746" t="str">
        <f>IFERROR(__xludf.DUMMYFUNCTION("""COMPUTED_VALUE"""),"24 months")</f>
        <v>24 months</v>
      </c>
      <c r="T125" s="40" t="str">
        <f>IFERROR(__xludf.DUMMYFUNCTION("""COMPUTED_VALUE"""),"Mass administration of a combination of DEC and albendazole will enhance the interruption of transmission of W. Bancrofti.")</f>
        <v>Mass administration of a combination of DEC and albendazole will enhance the interruption of transmission of W. Bancrofti.</v>
      </c>
      <c r="U125" s="746" t="str">
        <f>IFERROR(__xludf.DUMMYFUNCTION("""COMPUTED_VALUE"""),"Three rounds of annual treatment were administered in 1998, 1999, and 2000 ")</f>
        <v>Three rounds of annual treatment were administered in 1998, 1999, and 2000 </v>
      </c>
      <c r="V125" s="752" t="str">
        <f>IFERROR(__xludf.DUMMYFUNCTION("""COMPUTED_VALUE"""),"1998-2000")</f>
        <v>1998-2000</v>
      </c>
      <c r="W125" s="724">
        <f>IFERROR(__xludf.DUMMYFUNCTION("""COMPUTED_VALUE"""),2000.0)</f>
        <v>2000</v>
      </c>
      <c r="X125" s="40" t="str">
        <f>IFERROR(__xludf.DUMMYFUNCTION("""COMPUTED_VALUE"""),"Wamae CN, Njenga SM, Ngugi BM, Mbui J, Njaanake HK. Evaluation of effectiveness of diethylcarbamazine/albendazole combination in
reduction of Wuchereria bancrofti infection using multiple infection parameters. Acta Tropica 2011; 120 (S1): S33-S38. ")</f>
        <v>Wamae CN, Njenga SM, Ngugi BM, Mbui J, Njaanake HK. Evaluation of effectiveness of diethylcarbamazine/albendazole combination in
reduction of Wuchereria bancrofti infection using multiple infection parameters. Acta Tropica 2011; 120 (S1): S33-S38. </v>
      </c>
      <c r="Y125" s="786" t="str">
        <f>IFERROR(__xludf.DUMMYFUNCTION("""COMPUTED_VALUE"""),"doi: 10.1016/j.actatropica.2010.09.009")</f>
        <v>doi: 10.1016/j.actatropica.2010.09.009</v>
      </c>
      <c r="Z125" s="727" t="str">
        <f>IFERROR(__xludf.DUMMYFUNCTION("""COMPUTED_VALUE"""),"https://drive.google.com/file/d/0B9vYgR7NsKoYZVNmZmNDbjlTV3M/view?usp=sharing")</f>
        <v>https://drive.google.com/file/d/0B9vYgR7NsKoYZVNmZmNDbjlTV3M/view?usp=sharing</v>
      </c>
      <c r="AA125" s="40"/>
      <c r="AB125" s="40"/>
    </row>
    <row r="126">
      <c r="A126" s="728" t="str">
        <f>IFERROR(__xludf.DUMMYFUNCTION("""COMPUTED_VALUE"""),"Thomsen 2015")</f>
        <v>Thomsen 2015</v>
      </c>
      <c r="B126" s="729" t="str">
        <f>IFERROR(__xludf.DUMMYFUNCTION("""COMPUTED_VALUE"""),"Kirti")</f>
        <v>Kirti</v>
      </c>
      <c r="C126" s="730" t="str">
        <f>IFERROR(__xludf.DUMMYFUNCTION("""COMPUTED_VALUE"""),"luisa/AR")</f>
        <v>luisa/AR</v>
      </c>
      <c r="D126" s="730" t="str">
        <f>IFERROR(__xludf.DUMMYFUNCTION("""COMPUTED_VALUE"""),"Papua New Guinea")</f>
        <v>Papua New Guinea</v>
      </c>
      <c r="E126" s="731" t="str">
        <f>IFERROR(__xludf.DUMMYFUNCTION("""COMPUTED_VALUE"""),"W. bancrofti")</f>
        <v>W. bancrofti</v>
      </c>
      <c r="F126" s="718" t="str">
        <f>IFERROR(__xludf.DUMMYFUNCTION("""COMPUTED_VALUE"""),"Albendazole &amp; DEC")</f>
        <v>Albendazole &amp; DEC</v>
      </c>
      <c r="G126" s="732" t="str">
        <f>IFERROR(__xludf.DUMMYFUNCTION("""COMPUTED_VALUE"""),"400 mg + 6 mg/kg")</f>
        <v>400 mg + 6 mg/kg</v>
      </c>
      <c r="H126" s="732">
        <f>IFERROR(__xludf.DUMMYFUNCTION("""COMPUTED_VALUE"""),1.0)</f>
        <v>1</v>
      </c>
      <c r="I126" s="733">
        <f>IFERROR(__xludf.DUMMYFUNCTION("""COMPUTED_VALUE"""),0.9898)</f>
        <v>0.9898</v>
      </c>
      <c r="J126" s="733">
        <f>IFERROR(__xludf.DUMMYFUNCTION("""COMPUTED_VALUE"""),0.667)</f>
        <v>0.667</v>
      </c>
      <c r="K126" s="729" t="str">
        <f>IFERROR(__xludf.DUMMYFUNCTION("""COMPUTED_VALUE"""),"not available")</f>
        <v>not available</v>
      </c>
      <c r="L126" s="734">
        <f>IFERROR(__xludf.DUMMYFUNCTION("""COMPUTED_VALUE"""),12.0)</f>
        <v>12</v>
      </c>
      <c r="M126" s="754" t="str">
        <f>IFERROR(__xludf.DUMMYFUNCTION("""COMPUTED_VALUE"""),"19-50")</f>
        <v>19-50</v>
      </c>
      <c r="N126" s="777" t="str">
        <f>IFERROR(__xludf.DUMMYFUNCTION("""COMPUTED_VALUE"""),"1:1 (pre-treatment)")</f>
        <v>1:1 (pre-treatment)</v>
      </c>
      <c r="O126" s="730" t="str">
        <f>IFERROR(__xludf.DUMMYFUNCTION("""COMPUTED_VALUE"""),"aged 18–60 years, &gt;100 microfilaria /mL, no prior antifilarial medications, or free from any acute or chronic illnesses")</f>
        <v>aged 18–60 years, &gt;100 microfilaria /mL, no prior antifilarial medications, or free from any acute or chronic illnesses</v>
      </c>
      <c r="P126" s="736" t="str">
        <f>IFERROR(__xludf.DUMMYFUNCTION("""COMPUTED_VALUE"""),"single blind ranomised study")</f>
        <v>single blind ranomised study</v>
      </c>
      <c r="Q126" s="718" t="str">
        <f>IFERROR(__xludf.DUMMYFUNCTION("""COMPUTED_VALUE"""),"Yes")</f>
        <v>Yes</v>
      </c>
      <c r="R126" s="730" t="str">
        <f>IFERROR(__xludf.DUMMYFUNCTION("""COMPUTED_VALUE"""),"Yes")</f>
        <v>Yes</v>
      </c>
      <c r="S126" s="730" t="str">
        <f>IFERROR(__xludf.DUMMYFUNCTION("""COMPUTED_VALUE"""),"2 years")</f>
        <v>2 years</v>
      </c>
      <c r="T126" s="730" t="str">
        <f>IFERROR(__xludf.DUMMYFUNCTION("""COMPUTED_VALUE"""),"Triple-drug therapy is safe and more effective than DEC + ALB for Bancroftian filariasis and has the potential to accelerate elimination of lymphatic filariasis.")</f>
        <v>Triple-drug therapy is safe and more effective than DEC + ALB for Bancroftian filariasis and has the potential to accelerate elimination of lymphatic filariasis.</v>
      </c>
      <c r="U126" s="730" t="str">
        <f>IFERROR(__xludf.DUMMYFUNCTION("""COMPUTED_VALUE"""),"12 patients failed to follow up after 2 years. By chance, each treatment group had 6 patients left. The ratio of F:M was not provided for the remaining patients. ")</f>
        <v>12 patients failed to follow up after 2 years. By chance, each treatment group had 6 patients left. The ratio of F:M was not provided for the remaining patients. </v>
      </c>
      <c r="V126" s="737">
        <f>IFERROR(__xludf.DUMMYFUNCTION("""COMPUTED_VALUE"""),2015.0)</f>
        <v>2015</v>
      </c>
      <c r="W126" s="737">
        <f>IFERROR(__xludf.DUMMYFUNCTION("""COMPUTED_VALUE"""),2015.0)</f>
        <v>2015</v>
      </c>
      <c r="X126" s="730" t="str">
        <f>IFERROR(__xludf.DUMMYFUNCTION("""COMPUTED_VALUE"""),"Thomsen EK, Sanuku N, Baea M, Satofan S, Maki E, Lombore B, et al. Efficacy, Safety, and Pharmacokinetics of Coadministered Diethylcarbamazine, Albendazole, and Ivermectin for Treatment of Bancroftian Filariasis. Clinical Infectious Diseases 2016; 62(3): "&amp;"334-341.")</f>
        <v>Thomsen EK, Sanuku N, Baea M, Satofan S, Maki E, Lombore B, et al. Efficacy, Safety, and Pharmacokinetics of Coadministered Diethylcarbamazine, Albendazole, and Ivermectin for Treatment of Bancroftian Filariasis. Clinical Infectious Diseases 2016; 62(3): 334-341.</v>
      </c>
      <c r="Y126" s="738" t="str">
        <f>IFERROR(__xludf.DUMMYFUNCTION("""COMPUTED_VALUE"""),"doi: 10.1093/cid/civ882")</f>
        <v>doi: 10.1093/cid/civ882</v>
      </c>
      <c r="Z126" s="727" t="str">
        <f>IFERROR(__xludf.DUMMYFUNCTION("""COMPUTED_VALUE"""),"https://drive.google.com/file/d/0B0-pry4DSOm3ekRQdXRGdTItbkU/view?usp=sharing")</f>
        <v>https://drive.google.com/file/d/0B0-pry4DSOm3ekRQdXRGdTItbkU/view?usp=sharing</v>
      </c>
      <c r="AA126" s="40"/>
      <c r="AB126" s="40"/>
    </row>
    <row r="127">
      <c r="A127" s="728" t="str">
        <f>IFERROR(__xludf.DUMMYFUNCTION("""COMPUTED_VALUE"""),"Thomsen 2015")</f>
        <v>Thomsen 2015</v>
      </c>
      <c r="B127" s="729" t="str">
        <f>IFERROR(__xludf.DUMMYFUNCTION("""COMPUTED_VALUE"""),"Kirti")</f>
        <v>Kirti</v>
      </c>
      <c r="C127" s="730" t="str">
        <f>IFERROR(__xludf.DUMMYFUNCTION("""COMPUTED_VALUE"""),"luisa/AR")</f>
        <v>luisa/AR</v>
      </c>
      <c r="D127" s="730" t="str">
        <f>IFERROR(__xludf.DUMMYFUNCTION("""COMPUTED_VALUE"""),"Papua New Guinea")</f>
        <v>Papua New Guinea</v>
      </c>
      <c r="E127" s="731" t="str">
        <f>IFERROR(__xludf.DUMMYFUNCTION("""COMPUTED_VALUE"""),"W. bancrofti")</f>
        <v>W. bancrofti</v>
      </c>
      <c r="F127" s="730" t="str">
        <f>IFERROR(__xludf.DUMMYFUNCTION("""COMPUTED_VALUE"""),"Albendazole &amp; DEC &amp; Ivermectin")</f>
        <v>Albendazole &amp; DEC &amp; Ivermectin</v>
      </c>
      <c r="G127" s="730" t="str">
        <f>IFERROR(__xludf.DUMMYFUNCTION("""COMPUTED_VALUE"""),"400 mg + 6 mg/kg + .2 mg/kg")</f>
        <v>400 mg + 6 mg/kg + .2 mg/kg</v>
      </c>
      <c r="H127" s="740">
        <f>IFERROR(__xludf.DUMMYFUNCTION("""COMPUTED_VALUE"""),1.0)</f>
        <v>1</v>
      </c>
      <c r="I127" s="733">
        <f>IFERROR(__xludf.DUMMYFUNCTION("""COMPUTED_VALUE"""),1.0)</f>
        <v>1</v>
      </c>
      <c r="J127" s="733">
        <f>IFERROR(__xludf.DUMMYFUNCTION("""COMPUTED_VALUE"""),1.0)</f>
        <v>1</v>
      </c>
      <c r="K127" s="729" t="str">
        <f>IFERROR(__xludf.DUMMYFUNCTION("""COMPUTED_VALUE"""),"not available")</f>
        <v>not available</v>
      </c>
      <c r="L127" s="734">
        <f>IFERROR(__xludf.DUMMYFUNCTION("""COMPUTED_VALUE"""),12.0)</f>
        <v>12</v>
      </c>
      <c r="M127" s="754" t="str">
        <f>IFERROR(__xludf.DUMMYFUNCTION("""COMPUTED_VALUE"""),"19-59")</f>
        <v>19-59</v>
      </c>
      <c r="N127" s="778" t="str">
        <f>IFERROR(__xludf.DUMMYFUNCTION("""COMPUTED_VALUE"""),"1:1 (pre-treament)")</f>
        <v>1:1 (pre-treament)</v>
      </c>
      <c r="O127" s="730" t="str">
        <f>IFERROR(__xludf.DUMMYFUNCTION("""COMPUTED_VALUE"""),"aged 18–60 years, &gt;100 microfilaria /mL, no prior antifilarial medications, or free from any acute or chronic illnesses")</f>
        <v>aged 18–60 years, &gt;100 microfilaria /mL, no prior antifilarial medications, or free from any acute or chronic illnesses</v>
      </c>
      <c r="P127" s="736" t="str">
        <f>IFERROR(__xludf.DUMMYFUNCTION("""COMPUTED_VALUE"""),"single blind ranomised study")</f>
        <v>single blind ranomised study</v>
      </c>
      <c r="Q127" s="718" t="str">
        <f>IFERROR(__xludf.DUMMYFUNCTION("""COMPUTED_VALUE"""),"Yes")</f>
        <v>Yes</v>
      </c>
      <c r="R127" s="718" t="str">
        <f>IFERROR(__xludf.DUMMYFUNCTION("""COMPUTED_VALUE"""),"Yes")</f>
        <v>Yes</v>
      </c>
      <c r="S127" s="730" t="str">
        <f>IFERROR(__xludf.DUMMYFUNCTION("""COMPUTED_VALUE"""),"2 years")</f>
        <v>2 years</v>
      </c>
      <c r="T127" s="730" t="str">
        <f>IFERROR(__xludf.DUMMYFUNCTION("""COMPUTED_VALUE"""),"Triple-drug therapy is safe and more effective than DEC + ALB for Bancroftian filariasis and has the potential to accelerate elimination of lymphatic filariasis.")</f>
        <v>Triple-drug therapy is safe and more effective than DEC + ALB for Bancroftian filariasis and has the potential to accelerate elimination of lymphatic filariasis.</v>
      </c>
      <c r="U127" s="730" t="str">
        <f>IFERROR(__xludf.DUMMYFUNCTION("""COMPUTED_VALUE"""),"12 patients failed to follow up after 2 years. By chance, each treatment group had 6 patients left. The ratio of F:M was not provided for the remaining patients. ")</f>
        <v>12 patients failed to follow up after 2 years. By chance, each treatment group had 6 patients left. The ratio of F:M was not provided for the remaining patients. </v>
      </c>
      <c r="V127" s="737">
        <f>IFERROR(__xludf.DUMMYFUNCTION("""COMPUTED_VALUE"""),2015.0)</f>
        <v>2015</v>
      </c>
      <c r="W127" s="737">
        <f>IFERROR(__xludf.DUMMYFUNCTION("""COMPUTED_VALUE"""),2015.0)</f>
        <v>2015</v>
      </c>
      <c r="X127" s="730" t="str">
        <f>IFERROR(__xludf.DUMMYFUNCTION("""COMPUTED_VALUE"""),"Thomsen EK, Sanuku N, Baea M, Satofan S, Maki E, Lombore B, et al. Efficacy, Safety, and Pharmacokinetics of Coadministered Diethylcarbamazine, Albendazole, and Ivermectin for Treatment of Bancroftian Filariasis. Clinical Infectious Diseases 2016; 62(3): "&amp;"334-341.")</f>
        <v>Thomsen EK, Sanuku N, Baea M, Satofan S, Maki E, Lombore B, et al. Efficacy, Safety, and Pharmacokinetics of Coadministered Diethylcarbamazine, Albendazole, and Ivermectin for Treatment of Bancroftian Filariasis. Clinical Infectious Diseases 2016; 62(3): 334-341.</v>
      </c>
      <c r="Y127" s="738" t="str">
        <f>IFERROR(__xludf.DUMMYFUNCTION("""COMPUTED_VALUE"""),"doi: 10.1093/cid/civ882")</f>
        <v>doi: 10.1093/cid/civ882</v>
      </c>
      <c r="Z127" s="727" t="str">
        <f>IFERROR(__xludf.DUMMYFUNCTION("""COMPUTED_VALUE"""),"https://drive.google.com/file/d/0B0-pry4DSOm3ekRQdXRGdTItbkU/view?usp=sharing")</f>
        <v>https://drive.google.com/file/d/0B0-pry4DSOm3ekRQdXRGdTItbkU/view?usp=sharing</v>
      </c>
      <c r="AA127" s="40"/>
      <c r="AB127" s="40"/>
    </row>
    <row r="128">
      <c r="A128" s="787" t="str">
        <f>IFERROR(__xludf.DUMMYFUNCTION("""COMPUTED_VALUE"""),"Turner 2006")</f>
        <v>Turner 2006</v>
      </c>
      <c r="B128" s="729" t="str">
        <f>IFERROR(__xludf.DUMMYFUNCTION("""COMPUTED_VALUE"""),"Kirti")</f>
        <v>Kirti</v>
      </c>
      <c r="C128" s="730" t="str">
        <f>IFERROR(__xludf.DUMMYFUNCTION("""COMPUTED_VALUE"""),"luisa/AR")</f>
        <v>luisa/AR</v>
      </c>
      <c r="D128" s="788" t="str">
        <f>IFERROR(__xludf.DUMMYFUNCTION("""COMPUTED_VALUE"""),"Ghana")</f>
        <v>Ghana</v>
      </c>
      <c r="E128" s="731" t="str">
        <f>IFERROR(__xludf.DUMMYFUNCTION("""COMPUTED_VALUE"""),"W. bancrofti")</f>
        <v>W. bancrofti</v>
      </c>
      <c r="F128" s="755" t="str">
        <f>IFERROR(__xludf.DUMMYFUNCTION("""COMPUTED_VALUE"""),"Doxycycline")</f>
        <v>Doxycycline</v>
      </c>
      <c r="G128" s="755" t="str">
        <f>IFERROR(__xludf.DUMMYFUNCTION("""COMPUTED_VALUE"""),"200 mg/day for 3 weeks")</f>
        <v>200 mg/day for 3 weeks</v>
      </c>
      <c r="H128" s="740">
        <f>IFERROR(__xludf.DUMMYFUNCTION("""COMPUTED_VALUE"""),21.0)</f>
        <v>21</v>
      </c>
      <c r="I128" s="733">
        <f>IFERROR(__xludf.DUMMYFUNCTION("""COMPUTED_VALUE"""),0.601)</f>
        <v>0.601</v>
      </c>
      <c r="J128" s="733">
        <f>IFERROR(__xludf.DUMMYFUNCTION("""COMPUTED_VALUE"""),0.0625)</f>
        <v>0.0625</v>
      </c>
      <c r="K128" s="729" t="str">
        <f>IFERROR(__xludf.DUMMYFUNCTION("""COMPUTED_VALUE"""),"not available")</f>
        <v>not available</v>
      </c>
      <c r="L128" s="734">
        <f>IFERROR(__xludf.DUMMYFUNCTION("""COMPUTED_VALUE"""),16.0)</f>
        <v>16</v>
      </c>
      <c r="M128" s="754" t="str">
        <f>IFERROR(__xludf.DUMMYFUNCTION("""COMPUTED_VALUE"""),"18-60")</f>
        <v>18-60</v>
      </c>
      <c r="N128" s="789" t="str">
        <f>IFERROR(__xludf.DUMMYFUNCTION("""COMPUTED_VALUE"""),"not available")</f>
        <v>not available</v>
      </c>
      <c r="O128" s="730" t="str">
        <f>IFERROR(__xludf.DUMMYFUNCTION("""COMPUTED_VALUE"""),"minimum body weight &gt;=40 kg and in good health, without any clinical condition requiring long-term use of medications, and microfilaraemia load &gt;50 mg/ml")</f>
        <v>minimum body weight &gt;=40 kg and in good health, without any clinical condition requiring long-term use of medications, and microfilaraemia load &gt;50 mg/ml</v>
      </c>
      <c r="P128" s="736" t="str">
        <f>IFERROR(__xludf.DUMMYFUNCTION("""COMPUTED_VALUE"""),"double-blinded RCT")</f>
        <v>double-blinded RCT</v>
      </c>
      <c r="Q128" s="718" t="str">
        <f>IFERROR(__xludf.DUMMYFUNCTION("""COMPUTED_VALUE"""),"Yes")</f>
        <v>Yes</v>
      </c>
      <c r="R128" s="718" t="str">
        <f>IFERROR(__xludf.DUMMYFUNCTION("""COMPUTED_VALUE"""),"Yes")</f>
        <v>Yes</v>
      </c>
      <c r="S128" s="730" t="str">
        <f>IFERROR(__xludf.DUMMYFUNCTION("""COMPUTED_VALUE"""),"4 months")</f>
        <v>4 months</v>
      </c>
      <c r="T128" s="730" t="str">
        <f>IFERROR(__xludf.DUMMYFUNCTION("""COMPUTED_VALUE"""),"Treatment with doxycycline for 3 weeks is more effective in inducing a long-termamicrofilaremia than is standard treatment alone, but it is ineffective at inducing curative effects.")</f>
        <v>Treatment with doxycycline for 3 weeks is more effective in inducing a long-termamicrofilaremia than is standard treatment alone, but it is ineffective at inducing curative effects.</v>
      </c>
      <c r="U128" s="730" t="str">
        <f>IFERROR(__xludf.DUMMYFUNCTION("""COMPUTED_VALUE"""),"The patients were given Doxycycline for three weeks and at 4th month, they were given Albendezole and Ivermectin. 4 patients failed to follow up after 4 months.")</f>
        <v>The patients were given Doxycycline for three weeks and at 4th month, they were given Albendezole and Ivermectin. 4 patients failed to follow up after 4 months.</v>
      </c>
      <c r="V128" s="737">
        <f>IFERROR(__xludf.DUMMYFUNCTION("""COMPUTED_VALUE"""),2003.0)</f>
        <v>2003</v>
      </c>
      <c r="W128" s="737">
        <f>IFERROR(__xludf.DUMMYFUNCTION("""COMPUTED_VALUE"""),2003.0)</f>
        <v>2003</v>
      </c>
      <c r="X128" s="790" t="str">
        <f>IFERROR(__xludf.DUMMYFUNCTION("""COMPUTED_VALUE"""),"Turner JD, Mand S, Debrah AW, Muehlfeld J, Pfarr K, McGarry HF, et al. A Randomized, Double-Blind Clinical Trial of a 3-Week Course of Doxycycline plus Albendazole and Ivermectin for the Treatment of Wuchereria bancrofti Infection. Clinical Infectious Dis"&amp;"eases 2006; 42: 1081-1089.")</f>
        <v>Turner JD, Mand S, Debrah AW, Muehlfeld J, Pfarr K, McGarry HF, et al. A Randomized, Double-Blind Clinical Trial of a 3-Week Course of Doxycycline plus Albendazole and Ivermectin for the Treatment of Wuchereria bancrofti Infection. Clinical Infectious Diseases 2006; 42: 1081-1089.</v>
      </c>
      <c r="Y128" s="738" t="str">
        <f>IFERROR(__xludf.DUMMYFUNCTION("""COMPUTED_VALUE"""),"doi: 10.1086/501351")</f>
        <v>doi: 10.1086/501351</v>
      </c>
      <c r="Z128" s="727" t="str">
        <f>IFERROR(__xludf.DUMMYFUNCTION("""COMPUTED_VALUE"""),"https://drive.google.com/file/d/0B0-pry4DSOm3SFE5OWVEQTJjMG8/view?usp=sharing")</f>
        <v>https://drive.google.com/file/d/0B0-pry4DSOm3SFE5OWVEQTJjMG8/view?usp=sharing</v>
      </c>
      <c r="AA128" s="40"/>
      <c r="AB128" s="40"/>
    </row>
    <row r="129">
      <c r="A129" s="787" t="str">
        <f>IFERROR(__xludf.DUMMYFUNCTION("""COMPUTED_VALUE"""),"Turner 2006")</f>
        <v>Turner 2006</v>
      </c>
      <c r="B129" s="729" t="str">
        <f>IFERROR(__xludf.DUMMYFUNCTION("""COMPUTED_VALUE"""),"Kirti")</f>
        <v>Kirti</v>
      </c>
      <c r="C129" s="730" t="str">
        <f>IFERROR(__xludf.DUMMYFUNCTION("""COMPUTED_VALUE"""),"luisa/AR")</f>
        <v>luisa/AR</v>
      </c>
      <c r="D129" s="788" t="str">
        <f>IFERROR(__xludf.DUMMYFUNCTION("""COMPUTED_VALUE"""),"Ghana")</f>
        <v>Ghana</v>
      </c>
      <c r="E129" s="731" t="str">
        <f>IFERROR(__xludf.DUMMYFUNCTION("""COMPUTED_VALUE"""),"W. bancrofti")</f>
        <v>W. bancrofti</v>
      </c>
      <c r="F129" s="718" t="str">
        <f>IFERROR(__xludf.DUMMYFUNCTION("""COMPUTED_VALUE"""),"Albendazole &amp; Ivermectin")</f>
        <v>Albendazole &amp; Ivermectin</v>
      </c>
      <c r="G129" s="755" t="str">
        <f>IFERROR(__xludf.DUMMYFUNCTION("""COMPUTED_VALUE"""),"400 mg + .15-.2 mg/kg ")</f>
        <v>400 mg + .15-.2 mg/kg </v>
      </c>
      <c r="H129" s="740">
        <f>IFERROR(__xludf.DUMMYFUNCTION("""COMPUTED_VALUE"""),1.0)</f>
        <v>1</v>
      </c>
      <c r="I129" s="733">
        <f>IFERROR(__xludf.DUMMYFUNCTION("""COMPUTED_VALUE"""),1.0)</f>
        <v>1</v>
      </c>
      <c r="J129" s="791">
        <f>IFERROR(__xludf.DUMMYFUNCTION("""COMPUTED_VALUE"""),0.867)</f>
        <v>0.867</v>
      </c>
      <c r="K129" s="792" t="str">
        <f>IFERROR(__xludf.DUMMYFUNCTION("""COMPUTED_VALUE"""),"not available")</f>
        <v>not available</v>
      </c>
      <c r="L129" s="734" t="str">
        <f>IFERROR(__xludf.DUMMYFUNCTION("""COMPUTED_VALUE"""),"15 (12 months) 10 (24 months)")</f>
        <v>15 (12 months) 10 (24 months)</v>
      </c>
      <c r="M129" s="754" t="str">
        <f>IFERROR(__xludf.DUMMYFUNCTION("""COMPUTED_VALUE"""),"18-60")</f>
        <v>18-60</v>
      </c>
      <c r="N129" s="789" t="str">
        <f>IFERROR(__xludf.DUMMYFUNCTION("""COMPUTED_VALUE"""),"not available")</f>
        <v>not available</v>
      </c>
      <c r="O129" s="730" t="str">
        <f>IFERROR(__xludf.DUMMYFUNCTION("""COMPUTED_VALUE"""),"minimum body weight &gt;=40 kg and in good health, without any clinical condition requiring long-term use of medications, and microfilaraemia load &gt;50 mg/ml")</f>
        <v>minimum body weight &gt;=40 kg and in good health, without any clinical condition requiring long-term use of medications, and microfilaraemia load &gt;50 mg/ml</v>
      </c>
      <c r="P129" s="736" t="str">
        <f>IFERROR(__xludf.DUMMYFUNCTION("""COMPUTED_VALUE"""),"double-blinded RCT")</f>
        <v>double-blinded RCT</v>
      </c>
      <c r="Q129" s="718" t="str">
        <f>IFERROR(__xludf.DUMMYFUNCTION("""COMPUTED_VALUE"""),"Yes")</f>
        <v>Yes</v>
      </c>
      <c r="R129" s="718" t="str">
        <f>IFERROR(__xludf.DUMMYFUNCTION("""COMPUTED_VALUE"""),"Yes")</f>
        <v>Yes</v>
      </c>
      <c r="S129" s="730" t="str">
        <f>IFERROR(__xludf.DUMMYFUNCTION("""COMPUTED_VALUE"""),"12, 24 months")</f>
        <v>12, 24 months</v>
      </c>
      <c r="T129" s="730" t="str">
        <f>IFERROR(__xludf.DUMMYFUNCTION("""COMPUTED_VALUE"""),"Treatment with doxycycline for 3 weeks is more effective in inducing a long-termamicrofilaremia than is standard treatment alone, but it is ineffective at inducing curative effects.")</f>
        <v>Treatment with doxycycline for 3 weeks is more effective in inducing a long-termamicrofilaremia than is standard treatment alone, but it is ineffective at inducing curative effects.</v>
      </c>
      <c r="U129" s="730" t="str">
        <f>IFERROR(__xludf.DUMMYFUNCTION("""COMPUTED_VALUE"""),"1 patient failed to follow up after 12 months and 5 patients failed to follow up after 24 months.")</f>
        <v>1 patient failed to follow up after 12 months and 5 patients failed to follow up after 24 months.</v>
      </c>
      <c r="V129" s="737">
        <f>IFERROR(__xludf.DUMMYFUNCTION("""COMPUTED_VALUE"""),2003.0)</f>
        <v>2003</v>
      </c>
      <c r="W129" s="737">
        <f>IFERROR(__xludf.DUMMYFUNCTION("""COMPUTED_VALUE"""),2003.0)</f>
        <v>2003</v>
      </c>
      <c r="X129" s="790" t="str">
        <f>IFERROR(__xludf.DUMMYFUNCTION("""COMPUTED_VALUE"""),"Turner JD, Mand S, Debrah AW, Muehlfeld J, Pfarr K, McGarry HF, et al. A Randomized, Double-Blind Clinical Trial of a 3-Week Course of Doxycycline plus Albendazole and Ivermectin for the Treatment of Wuchereria bancrofti Infection. Clinical Infectious Dis"&amp;"eases 2006; 42: 1081-1089.")</f>
        <v>Turner JD, Mand S, Debrah AW, Muehlfeld J, Pfarr K, McGarry HF, et al. A Randomized, Double-Blind Clinical Trial of a 3-Week Course of Doxycycline plus Albendazole and Ivermectin for the Treatment of Wuchereria bancrofti Infection. Clinical Infectious Diseases 2006; 42: 1081-1089.</v>
      </c>
      <c r="Y129" s="738" t="str">
        <f>IFERROR(__xludf.DUMMYFUNCTION("""COMPUTED_VALUE"""),"doi: 10.1086/501351")</f>
        <v>doi: 10.1086/501351</v>
      </c>
      <c r="Z129" s="727" t="str">
        <f>IFERROR(__xludf.DUMMYFUNCTION("""COMPUTED_VALUE"""),"https://drive.google.com/file/d/0B0-pry4DSOm3SFE5OWVEQTJjMG8/view?usp=sharing")</f>
        <v>https://drive.google.com/file/d/0B0-pry4DSOm3SFE5OWVEQTJjMG8/view?usp=sharing</v>
      </c>
      <c r="AA129" s="40"/>
      <c r="AB129" s="40"/>
    </row>
    <row r="130">
      <c r="A130" s="793" t="str">
        <f>IFERROR(__xludf.DUMMYFUNCTION("""COMPUTED_VALUE"""),"Turner 2006")</f>
        <v>Turner 2006</v>
      </c>
      <c r="B130" s="729" t="str">
        <f>IFERROR(__xludf.DUMMYFUNCTION("""COMPUTED_VALUE"""),"Kirti")</f>
        <v>Kirti</v>
      </c>
      <c r="C130" s="730" t="str">
        <f>IFERROR(__xludf.DUMMYFUNCTION("""COMPUTED_VALUE"""),"luisa/AR")</f>
        <v>luisa/AR</v>
      </c>
      <c r="D130" s="788" t="str">
        <f>IFERROR(__xludf.DUMMYFUNCTION("""COMPUTED_VALUE"""),"Ghana")</f>
        <v>Ghana</v>
      </c>
      <c r="E130" s="731" t="str">
        <f>IFERROR(__xludf.DUMMYFUNCTION("""COMPUTED_VALUE"""),"W. bancrofti")</f>
        <v>W. bancrofti</v>
      </c>
      <c r="F130" s="730" t="str">
        <f>IFERROR(__xludf.DUMMYFUNCTION("""COMPUTED_VALUE"""),"Placebo")</f>
        <v>Placebo</v>
      </c>
      <c r="G130" s="730" t="str">
        <f>IFERROR(__xludf.DUMMYFUNCTION("""COMPUTED_VALUE"""),"daily for 3 weeks")</f>
        <v>daily for 3 weeks</v>
      </c>
      <c r="H130" s="40"/>
      <c r="I130" s="733">
        <f>IFERROR(__xludf.DUMMYFUNCTION("""COMPUTED_VALUE"""),-0.53)</f>
        <v>-0.53</v>
      </c>
      <c r="J130" s="733">
        <f>IFERROR(__xludf.DUMMYFUNCTION("""COMPUTED_VALUE"""),0.0)</f>
        <v>0</v>
      </c>
      <c r="K130" s="792" t="str">
        <f>IFERROR(__xludf.DUMMYFUNCTION("""COMPUTED_VALUE"""),"not available")</f>
        <v>not available</v>
      </c>
      <c r="L130" s="734">
        <f>IFERROR(__xludf.DUMMYFUNCTION("""COMPUTED_VALUE"""),22.0)</f>
        <v>22</v>
      </c>
      <c r="M130" s="754" t="str">
        <f>IFERROR(__xludf.DUMMYFUNCTION("""COMPUTED_VALUE"""),"18-60")</f>
        <v>18-60</v>
      </c>
      <c r="N130" s="789" t="str">
        <f>IFERROR(__xludf.DUMMYFUNCTION("""COMPUTED_VALUE"""),"not available")</f>
        <v>not available</v>
      </c>
      <c r="O130" s="730" t="str">
        <f>IFERROR(__xludf.DUMMYFUNCTION("""COMPUTED_VALUE"""),"minimum body weight &gt;=40 kg and in good health, without any clinical condition requiring long-term use of medications, and microfilaraemia load &gt;50 mg/ml")</f>
        <v>minimum body weight &gt;=40 kg and in good health, without any clinical condition requiring long-term use of medications, and microfilaraemia load &gt;50 mg/ml</v>
      </c>
      <c r="P130" s="736" t="str">
        <f>IFERROR(__xludf.DUMMYFUNCTION("""COMPUTED_VALUE"""),"double-blinded RCT")</f>
        <v>double-blinded RCT</v>
      </c>
      <c r="Q130" s="718" t="str">
        <f>IFERROR(__xludf.DUMMYFUNCTION("""COMPUTED_VALUE"""),"Yes")</f>
        <v>Yes</v>
      </c>
      <c r="R130" s="718" t="str">
        <f>IFERROR(__xludf.DUMMYFUNCTION("""COMPUTED_VALUE"""),"Yes")</f>
        <v>Yes</v>
      </c>
      <c r="S130" s="730" t="str">
        <f>IFERROR(__xludf.DUMMYFUNCTION("""COMPUTED_VALUE"""),"4 months")</f>
        <v>4 months</v>
      </c>
      <c r="T130" s="730" t="str">
        <f>IFERROR(__xludf.DUMMYFUNCTION("""COMPUTED_VALUE"""),"Treatment with doxycycline for 3 weeks is more effective in inducing a long-termamicrofilaremia than is standard treatment alone, but it is ineffective at inducing curative effects.")</f>
        <v>Treatment with doxycycline for 3 weeks is more effective in inducing a long-termamicrofilaremia than is standard treatment alone, but it is ineffective at inducing curative effects.</v>
      </c>
      <c r="U130" s="730" t="str">
        <f>IFERROR(__xludf.DUMMYFUNCTION("""COMPUTED_VALUE"""),"The patients were given Placebo for three weeks and at 4th month, they were given Albendezole and Ivermectin. 2 patients failed to follow up after 4 months. ")</f>
        <v>The patients were given Placebo for three weeks and at 4th month, they were given Albendezole and Ivermectin. 2 patients failed to follow up after 4 months. </v>
      </c>
      <c r="V130" s="737">
        <f>IFERROR(__xludf.DUMMYFUNCTION("""COMPUTED_VALUE"""),2003.0)</f>
        <v>2003</v>
      </c>
      <c r="W130" s="737">
        <f>IFERROR(__xludf.DUMMYFUNCTION("""COMPUTED_VALUE"""),2003.0)</f>
        <v>2003</v>
      </c>
      <c r="X130" s="790" t="str">
        <f>IFERROR(__xludf.DUMMYFUNCTION("""COMPUTED_VALUE"""),"Turner JD, Mand S, Debrah AW, Muehlfeld J, Pfarr K, McGarry HF, et al. A Randomized, Double-Blind Clinical Trial of a 3-Week Course of Doxycycline plus Albendazole and Ivermectin for the Treatment of Wuchereria bancrofti Infection. Clinical Infectious Dis"&amp;"eases 2006; 42: 1081-1089.")</f>
        <v>Turner JD, Mand S, Debrah AW, Muehlfeld J, Pfarr K, McGarry HF, et al. A Randomized, Double-Blind Clinical Trial of a 3-Week Course of Doxycycline plus Albendazole and Ivermectin for the Treatment of Wuchereria bancrofti Infection. Clinical Infectious Diseases 2006; 42: 1081-1089.</v>
      </c>
      <c r="Y130" s="738" t="str">
        <f>IFERROR(__xludf.DUMMYFUNCTION("""COMPUTED_VALUE"""),"doi: 10.1086/501351")</f>
        <v>doi: 10.1086/501351</v>
      </c>
      <c r="Z130" s="727" t="str">
        <f>IFERROR(__xludf.DUMMYFUNCTION("""COMPUTED_VALUE"""),"https://drive.google.com/file/d/0B0-pry4DSOm3SFE5OWVEQTJjMG8/view?usp=sharing")</f>
        <v>https://drive.google.com/file/d/0B0-pry4DSOm3SFE5OWVEQTJjMG8/view?usp=sharing</v>
      </c>
      <c r="AA130" s="40"/>
      <c r="AB130" s="40"/>
    </row>
    <row r="131">
      <c r="A131" s="787" t="str">
        <f>IFERROR(__xludf.DUMMYFUNCTION("""COMPUTED_VALUE"""),"Turner 2006")</f>
        <v>Turner 2006</v>
      </c>
      <c r="B131" s="729" t="str">
        <f>IFERROR(__xludf.DUMMYFUNCTION("""COMPUTED_VALUE"""),"Kirti")</f>
        <v>Kirti</v>
      </c>
      <c r="C131" s="730" t="str">
        <f>IFERROR(__xludf.DUMMYFUNCTION("""COMPUTED_VALUE"""),"luisa/AR")</f>
        <v>luisa/AR</v>
      </c>
      <c r="D131" s="788" t="str">
        <f>IFERROR(__xludf.DUMMYFUNCTION("""COMPUTED_VALUE"""),"Ghana")</f>
        <v>Ghana</v>
      </c>
      <c r="E131" s="731" t="str">
        <f>IFERROR(__xludf.DUMMYFUNCTION("""COMPUTED_VALUE"""),"W. bancrofti")</f>
        <v>W. bancrofti</v>
      </c>
      <c r="F131" s="718" t="str">
        <f>IFERROR(__xludf.DUMMYFUNCTION("""COMPUTED_VALUE"""),"Albendazole &amp; Ivermectin")</f>
        <v>Albendazole &amp; Ivermectin</v>
      </c>
      <c r="G131" s="755" t="str">
        <f>IFERROR(__xludf.DUMMYFUNCTION("""COMPUTED_VALUE"""),"400 mg + .15-.2 mg/kg ")</f>
        <v>400 mg + .15-.2 mg/kg </v>
      </c>
      <c r="H131" s="740">
        <f>IFERROR(__xludf.DUMMYFUNCTION("""COMPUTED_VALUE"""),1.0)</f>
        <v>1</v>
      </c>
      <c r="I131" s="733">
        <f>IFERROR(__xludf.DUMMYFUNCTION("""COMPUTED_VALUE"""),0.148)</f>
        <v>0.148</v>
      </c>
      <c r="J131" s="791">
        <f>IFERROR(__xludf.DUMMYFUNCTION("""COMPUTED_VALUE"""),0.3125)</f>
        <v>0.3125</v>
      </c>
      <c r="K131" s="792" t="str">
        <f>IFERROR(__xludf.DUMMYFUNCTION("""COMPUTED_VALUE"""),"not available")</f>
        <v>not available</v>
      </c>
      <c r="L131" s="734" t="str">
        <f>IFERROR(__xludf.DUMMYFUNCTION("""COMPUTED_VALUE"""),"16 (12 months) 14 (24 months)")</f>
        <v>16 (12 months) 14 (24 months)</v>
      </c>
      <c r="M131" s="754" t="str">
        <f>IFERROR(__xludf.DUMMYFUNCTION("""COMPUTED_VALUE"""),"18-60")</f>
        <v>18-60</v>
      </c>
      <c r="N131" s="789" t="str">
        <f>IFERROR(__xludf.DUMMYFUNCTION("""COMPUTED_VALUE"""),"not available")</f>
        <v>not available</v>
      </c>
      <c r="O131" s="730" t="str">
        <f>IFERROR(__xludf.DUMMYFUNCTION("""COMPUTED_VALUE"""),"minimum body weight &gt;=40 kg and in good health, without any clinical condition requiring long-term use of medications, and microfilaraemia load &gt;50 mg/ml")</f>
        <v>minimum body weight &gt;=40 kg and in good health, without any clinical condition requiring long-term use of medications, and microfilaraemia load &gt;50 mg/ml</v>
      </c>
      <c r="P131" s="736" t="str">
        <f>IFERROR(__xludf.DUMMYFUNCTION("""COMPUTED_VALUE"""),"double-blinded RCT")</f>
        <v>double-blinded RCT</v>
      </c>
      <c r="Q131" s="718" t="str">
        <f>IFERROR(__xludf.DUMMYFUNCTION("""COMPUTED_VALUE"""),"Yes")</f>
        <v>Yes</v>
      </c>
      <c r="R131" s="718" t="str">
        <f>IFERROR(__xludf.DUMMYFUNCTION("""COMPUTED_VALUE"""),"Yes")</f>
        <v>Yes</v>
      </c>
      <c r="S131" s="730" t="str">
        <f>IFERROR(__xludf.DUMMYFUNCTION("""COMPUTED_VALUE"""),"12, 24 months")</f>
        <v>12, 24 months</v>
      </c>
      <c r="T131" s="730" t="str">
        <f>IFERROR(__xludf.DUMMYFUNCTION("""COMPUTED_VALUE"""),"Treatment with doxycycline for 3 weeks is more effective in inducing a long-termamicrofilaremia than is standard treatment alone, but it is ineffective at inducing curative effects.")</f>
        <v>Treatment with doxycycline for 3 weeks is more effective in inducing a long-termamicrofilaremia than is standard treatment alone, but it is ineffective at inducing curative effects.</v>
      </c>
      <c r="U131" s="730" t="str">
        <f>IFERROR(__xludf.DUMMYFUNCTION("""COMPUTED_VALUE"""),"6 patients failed to follow up after 12 months and 2 patients failed to follow up after 24 months. ")</f>
        <v>6 patients failed to follow up after 12 months and 2 patients failed to follow up after 24 months. </v>
      </c>
      <c r="V131" s="737">
        <f>IFERROR(__xludf.DUMMYFUNCTION("""COMPUTED_VALUE"""),2003.0)</f>
        <v>2003</v>
      </c>
      <c r="W131" s="737">
        <f>IFERROR(__xludf.DUMMYFUNCTION("""COMPUTED_VALUE"""),2003.0)</f>
        <v>2003</v>
      </c>
      <c r="X131" s="790" t="str">
        <f>IFERROR(__xludf.DUMMYFUNCTION("""COMPUTED_VALUE"""),"Turner JD, Mand S, Debrah AW, Muehlfeld J, Pfarr K, McGarry HF, et al. A Randomized, Double-Blind Clinical Trial of a 3-Week Course of Doxycycline plus Albendazole and Ivermectin for the Treatment of Wuchereria bancrofti Infection. Clinical Infectious Dis"&amp;"eases 2006; 42: 1081-1089.")</f>
        <v>Turner JD, Mand S, Debrah AW, Muehlfeld J, Pfarr K, McGarry HF, et al. A Randomized, Double-Blind Clinical Trial of a 3-Week Course of Doxycycline plus Albendazole and Ivermectin for the Treatment of Wuchereria bancrofti Infection. Clinical Infectious Diseases 2006; 42: 1081-1089.</v>
      </c>
      <c r="Y131" s="738" t="str">
        <f>IFERROR(__xludf.DUMMYFUNCTION("""COMPUTED_VALUE"""),"doi: 10.1086/501351")</f>
        <v>doi: 10.1086/501351</v>
      </c>
      <c r="Z131" s="727" t="str">
        <f>IFERROR(__xludf.DUMMYFUNCTION("""COMPUTED_VALUE"""),"https://drive.google.com/file/d/0B0-pry4DSOm3SFE5OWVEQTJjMG8/view?usp=sharing")</f>
        <v>https://drive.google.com/file/d/0B0-pry4DSOm3SFE5OWVEQTJjMG8/view?usp=sharing</v>
      </c>
      <c r="AA131" s="40"/>
      <c r="AB131" s="40"/>
    </row>
    <row r="132">
      <c r="A132" s="794" t="str">
        <f>IFERROR(__xludf.DUMMYFUNCTION("""COMPUTED_VALUE"""),"Wamae, 2011")</f>
        <v>Wamae, 2011</v>
      </c>
      <c r="B132" s="729" t="str">
        <f>IFERROR(__xludf.DUMMYFUNCTION("""COMPUTED_VALUE"""),"Kirti")</f>
        <v>Kirti</v>
      </c>
      <c r="C132" s="730" t="str">
        <f>IFERROR(__xludf.DUMMYFUNCTION("""COMPUTED_VALUE"""),"Ross/AR")</f>
        <v>Ross/AR</v>
      </c>
      <c r="D132" s="729" t="str">
        <f>IFERROR(__xludf.DUMMYFUNCTION("""COMPUTED_VALUE"""),"Kenya")</f>
        <v>Kenya</v>
      </c>
      <c r="E132" s="739" t="str">
        <f>IFERROR(__xludf.DUMMYFUNCTION("""COMPUTED_VALUE"""),"W. bancrofti")</f>
        <v>W. bancrofti</v>
      </c>
      <c r="F132" s="761" t="str">
        <f>IFERROR(__xludf.DUMMYFUNCTION("""COMPUTED_VALUE"""),"DEC")</f>
        <v>DEC</v>
      </c>
      <c r="G132" s="729" t="str">
        <f>IFERROR(__xludf.DUMMYFUNCTION("""COMPUTED_VALUE"""),"6 mg/kg")</f>
        <v>6 mg/kg</v>
      </c>
      <c r="H132" s="795">
        <f>IFERROR(__xludf.DUMMYFUNCTION("""COMPUTED_VALUE"""),3.0)</f>
        <v>3</v>
      </c>
      <c r="I132" s="796">
        <f>IFERROR(__xludf.DUMMYFUNCTION("""COMPUTED_VALUE"""),0.99)</f>
        <v>0.99</v>
      </c>
      <c r="J132" s="796">
        <f>IFERROR(__xludf.DUMMYFUNCTION("""COMPUTED_VALUE"""),0.5185)</f>
        <v>0.5185</v>
      </c>
      <c r="K132" s="729" t="str">
        <f>IFERROR(__xludf.DUMMYFUNCTION("""COMPUTED_VALUE"""),"not available")</f>
        <v>not available</v>
      </c>
      <c r="L132" s="797">
        <f>IFERROR(__xludf.DUMMYFUNCTION("""COMPUTED_VALUE"""),54.0)</f>
        <v>54</v>
      </c>
      <c r="M132" s="798" t="str">
        <f>IFERROR(__xludf.DUMMYFUNCTION("""COMPUTED_VALUE"""),"&gt;=5")</f>
        <v>&gt;=5</v>
      </c>
      <c r="N132" s="799">
        <f>IFERROR(__xludf.DUMMYFUNCTION("""COMPUTED_VALUE"""),0.9798611111111111)</f>
        <v>0.9798611111</v>
      </c>
      <c r="O132" s="729" t="str">
        <f>IFERROR(__xludf.DUMMYFUNCTION("""COMPUTED_VALUE"""),"(age 5 years or more and not severely ill or pregnant)")</f>
        <v>(age 5 years or more and not severely ill or pregnant)</v>
      </c>
      <c r="P132" s="800" t="str">
        <f>IFERROR(__xludf.DUMMYFUNCTION("""COMPUTED_VALUE"""),"randomized-controlled")</f>
        <v>randomized-controlled</v>
      </c>
      <c r="Q132" s="718" t="str">
        <f>IFERROR(__xludf.DUMMYFUNCTION("""COMPUTED_VALUE"""),"No")</f>
        <v>No</v>
      </c>
      <c r="R132" s="718" t="str">
        <f>IFERROR(__xludf.DUMMYFUNCTION("""COMPUTED_VALUE"""),"Yes")</f>
        <v>Yes</v>
      </c>
      <c r="S132" s="729" t="str">
        <f>IFERROR(__xludf.DUMMYFUNCTION("""COMPUTED_VALUE"""),"24 months")</f>
        <v>24 months</v>
      </c>
      <c r="T132" s="729" t="str">
        <f>IFERROR(__xludf.DUMMYFUNCTION("""COMPUTED_VALUE"""),"Mass administration of a combination of DEC and albendazole will enhance the interruption of transmission of W. Bancrofti.")</f>
        <v>Mass administration of a combination of DEC and albendazole will enhance the interruption of transmission of W. Bancrofti.</v>
      </c>
      <c r="U132" s="729" t="str">
        <f>IFERROR(__xludf.DUMMYFUNCTION("""COMPUTED_VALUE"""),"Three rounds of annual treatment were administered in 1998, 1999, and 2000 ")</f>
        <v>Three rounds of annual treatment were administered in 1998, 1999, and 2000 </v>
      </c>
      <c r="V132" s="801" t="str">
        <f>IFERROR(__xludf.DUMMYFUNCTION("""COMPUTED_VALUE"""),"1998-2000")</f>
        <v>1998-2000</v>
      </c>
      <c r="W132" s="801">
        <f>IFERROR(__xludf.DUMMYFUNCTION("""COMPUTED_VALUE"""),2000.0)</f>
        <v>2000</v>
      </c>
      <c r="X132" s="748" t="str">
        <f>IFERROR(__xludf.DUMMYFUNCTION("""COMPUTED_VALUE"""),"Wamae CN, Njenga SM, Ngugi BM, Mbui J, Njaanake HK. Evaluation of effectiveness of diethylcarbamazine/albendazole combination in
reduction of Wuchereria bancrofti infection using multiple infection parameters. Acta Tropica 2011; 120 (S1): S33-S38. ")</f>
        <v>Wamae CN, Njenga SM, Ngugi BM, Mbui J, Njaanake HK. Evaluation of effectiveness of diethylcarbamazine/albendazole combination in
reduction of Wuchereria bancrofti infection using multiple infection parameters. Acta Tropica 2011; 120 (S1): S33-S38. </v>
      </c>
      <c r="Y132" s="738" t="str">
        <f>IFERROR(__xludf.DUMMYFUNCTION("""COMPUTED_VALUE"""),"doi: 10.1016/j.actatropica.2010.09.009")</f>
        <v>doi: 10.1016/j.actatropica.2010.09.009</v>
      </c>
      <c r="Z132" s="727" t="str">
        <f>IFERROR(__xludf.DUMMYFUNCTION("""COMPUTED_VALUE"""),"https://drive.google.com/file/d/0B9vYgR7NsKoYZVNmZmNDbjlTV3M/view?usp=sharing")</f>
        <v>https://drive.google.com/file/d/0B9vYgR7NsKoYZVNmZmNDbjlTV3M/view?usp=sharing</v>
      </c>
      <c r="AA132" s="40"/>
      <c r="AB132" s="40"/>
    </row>
    <row r="133">
      <c r="A133" s="794" t="str">
        <f>IFERROR(__xludf.DUMMYFUNCTION("""COMPUTED_VALUE"""),"Wamae, 2011")</f>
        <v>Wamae, 2011</v>
      </c>
      <c r="B133" s="729" t="str">
        <f>IFERROR(__xludf.DUMMYFUNCTION("""COMPUTED_VALUE"""),"Kirti")</f>
        <v>Kirti</v>
      </c>
      <c r="C133" s="730" t="str">
        <f>IFERROR(__xludf.DUMMYFUNCTION("""COMPUTED_VALUE"""),"Ross/AR")</f>
        <v>Ross/AR</v>
      </c>
      <c r="D133" s="729" t="str">
        <f>IFERROR(__xludf.DUMMYFUNCTION("""COMPUTED_VALUE"""),"Kenya")</f>
        <v>Kenya</v>
      </c>
      <c r="E133" s="739" t="str">
        <f>IFERROR(__xludf.DUMMYFUNCTION("""COMPUTED_VALUE"""),"W. bancrofti")</f>
        <v>W. bancrofti</v>
      </c>
      <c r="F133" s="730" t="str">
        <f>IFERROR(__xludf.DUMMYFUNCTION("""COMPUTED_VALUE"""),"Albendazole")</f>
        <v>Albendazole</v>
      </c>
      <c r="G133" s="729" t="str">
        <f>IFERROR(__xludf.DUMMYFUNCTION("""COMPUTED_VALUE"""),"400 mg ")</f>
        <v>400 mg </v>
      </c>
      <c r="H133" s="795">
        <f>IFERROR(__xludf.DUMMYFUNCTION("""COMPUTED_VALUE"""),3.0)</f>
        <v>3</v>
      </c>
      <c r="I133" s="796">
        <f>IFERROR(__xludf.DUMMYFUNCTION("""COMPUTED_VALUE"""),0.98)</f>
        <v>0.98</v>
      </c>
      <c r="J133" s="796">
        <f>IFERROR(__xludf.DUMMYFUNCTION("""COMPUTED_VALUE"""),0.5161)</f>
        <v>0.5161</v>
      </c>
      <c r="K133" s="729" t="str">
        <f>IFERROR(__xludf.DUMMYFUNCTION("""COMPUTED_VALUE"""),"not available")</f>
        <v>not available</v>
      </c>
      <c r="L133" s="797">
        <f>IFERROR(__xludf.DUMMYFUNCTION("""COMPUTED_VALUE"""),62.0)</f>
        <v>62</v>
      </c>
      <c r="M133" s="798" t="str">
        <f>IFERROR(__xludf.DUMMYFUNCTION("""COMPUTED_VALUE"""),"&gt;=5")</f>
        <v>&gt;=5</v>
      </c>
      <c r="N133" s="802">
        <f>IFERROR(__xludf.DUMMYFUNCTION("""COMPUTED_VALUE"""),1.23125)</f>
        <v>1.23125</v>
      </c>
      <c r="O133" s="729" t="str">
        <f>IFERROR(__xludf.DUMMYFUNCTION("""COMPUTED_VALUE"""),"(age 5 years or more and not severely ill or pregnant)")</f>
        <v>(age 5 years or more and not severely ill or pregnant)</v>
      </c>
      <c r="P133" s="800" t="str">
        <f>IFERROR(__xludf.DUMMYFUNCTION("""COMPUTED_VALUE"""),"randomized-controlled")</f>
        <v>randomized-controlled</v>
      </c>
      <c r="Q133" s="718" t="str">
        <f>IFERROR(__xludf.DUMMYFUNCTION("""COMPUTED_VALUE"""),"No")</f>
        <v>No</v>
      </c>
      <c r="R133" s="718" t="str">
        <f>IFERROR(__xludf.DUMMYFUNCTION("""COMPUTED_VALUE"""),"Yes")</f>
        <v>Yes</v>
      </c>
      <c r="S133" s="729" t="str">
        <f>IFERROR(__xludf.DUMMYFUNCTION("""COMPUTED_VALUE"""),"24 months")</f>
        <v>24 months</v>
      </c>
      <c r="T133" s="729" t="str">
        <f>IFERROR(__xludf.DUMMYFUNCTION("""COMPUTED_VALUE"""),"Mass administration of a combination of DEC and albendazole will enhance the interruption of transmission of W. Bancrofti.")</f>
        <v>Mass administration of a combination of DEC and albendazole will enhance the interruption of transmission of W. Bancrofti.</v>
      </c>
      <c r="U133" s="729" t="str">
        <f>IFERROR(__xludf.DUMMYFUNCTION("""COMPUTED_VALUE"""),"Three rounds of annual treatment were administered in 1998, 1999, and 2000 ")</f>
        <v>Three rounds of annual treatment were administered in 1998, 1999, and 2000 </v>
      </c>
      <c r="V133" s="801" t="str">
        <f>IFERROR(__xludf.DUMMYFUNCTION("""COMPUTED_VALUE"""),"1998-2000")</f>
        <v>1998-2000</v>
      </c>
      <c r="W133" s="801">
        <f>IFERROR(__xludf.DUMMYFUNCTION("""COMPUTED_VALUE"""),2000.0)</f>
        <v>2000</v>
      </c>
      <c r="X133" s="748" t="str">
        <f>IFERROR(__xludf.DUMMYFUNCTION("""COMPUTED_VALUE"""),"Wamae CN, Njenga SM, Ngugi BM, Mbui J, Njaanake HK. Evaluation of effectiveness of diethylcarbamazine/albendazole combination in
reduction of Wuchereria bancrofti infection using multiple infection parameters. Acta Tropica 2011; 120 (S1): S33-S38. ")</f>
        <v>Wamae CN, Njenga SM, Ngugi BM, Mbui J, Njaanake HK. Evaluation of effectiveness of diethylcarbamazine/albendazole combination in
reduction of Wuchereria bancrofti infection using multiple infection parameters. Acta Tropica 2011; 120 (S1): S33-S38. </v>
      </c>
      <c r="Y133" s="738" t="str">
        <f>IFERROR(__xludf.DUMMYFUNCTION("""COMPUTED_VALUE"""),"doi: 10.1016/j.actatropica.2010.09.009")</f>
        <v>doi: 10.1016/j.actatropica.2010.09.009</v>
      </c>
      <c r="Z133" s="727" t="str">
        <f>IFERROR(__xludf.DUMMYFUNCTION("""COMPUTED_VALUE"""),"https://drive.google.com/file/d/0B9vYgR7NsKoYZVNmZmNDbjlTV3M/view?usp=sharing")</f>
        <v>https://drive.google.com/file/d/0B9vYgR7NsKoYZVNmZmNDbjlTV3M/view?usp=sharing</v>
      </c>
      <c r="AA133" s="40"/>
      <c r="AB133" s="40"/>
    </row>
    <row r="134">
      <c r="A134" s="794" t="str">
        <f>IFERROR(__xludf.DUMMYFUNCTION("""COMPUTED_VALUE"""),"Bockarie, 2007")</f>
        <v>Bockarie, 2007</v>
      </c>
      <c r="B134" s="729" t="str">
        <f>IFERROR(__xludf.DUMMYFUNCTION("""COMPUTED_VALUE"""),"Ross")</f>
        <v>Ross</v>
      </c>
      <c r="C134" s="730" t="str">
        <f>IFERROR(__xludf.DUMMYFUNCTION("""COMPUTED_VALUE"""),"Mahvish")</f>
        <v>Mahvish</v>
      </c>
      <c r="D134" s="729" t="str">
        <f>IFERROR(__xludf.DUMMYFUNCTION("""COMPUTED_VALUE"""),"Papua New Guinea")</f>
        <v>Papua New Guinea</v>
      </c>
      <c r="E134" s="739" t="str">
        <f>IFERROR(__xludf.DUMMYFUNCTION("""COMPUTED_VALUE"""),"W. bancrofti")</f>
        <v>W. bancrofti</v>
      </c>
      <c r="F134" s="761" t="str">
        <f>IFERROR(__xludf.DUMMYFUNCTION("""COMPUTED_VALUE"""),"Albendazole &amp; DEC")</f>
        <v>Albendazole &amp; DEC</v>
      </c>
      <c r="G134" s="803" t="str">
        <f>IFERROR(__xludf.DUMMYFUNCTION("""COMPUTED_VALUE"""),"6mg/kg + 400mg")</f>
        <v>6mg/kg + 400mg</v>
      </c>
      <c r="H134" s="795" t="str">
        <f>IFERROR(__xludf.DUMMYFUNCTION("""COMPUTED_VALUE"""),"6mg/kg DEC + 400 mg ALB given as a single dose regardless of body weight).")</f>
        <v>6mg/kg DEC + 400 mg ALB given as a single dose regardless of body weight).</v>
      </c>
      <c r="I134" s="796">
        <f>IFERROR(__xludf.DUMMYFUNCTION("""COMPUTED_VALUE"""),0.837)</f>
        <v>0.837</v>
      </c>
      <c r="J134" s="796">
        <f>IFERROR(__xludf.DUMMYFUNCTION("""COMPUTED_VALUE"""),0.657)</f>
        <v>0.657</v>
      </c>
      <c r="K134" s="729"/>
      <c r="L134" s="797">
        <f>IFERROR(__xludf.DUMMYFUNCTION("""COMPUTED_VALUE"""),1007.0)</f>
        <v>1007</v>
      </c>
      <c r="M134" s="729" t="str">
        <f>IFERROR(__xludf.DUMMYFUNCTION("""COMPUTED_VALUE"""),"&gt;2")</f>
        <v>&gt;2</v>
      </c>
      <c r="N134" s="804" t="str">
        <f>IFERROR(__xludf.DUMMYFUNCTION("""COMPUTED_VALUE"""),"242 : 268")</f>
        <v>242 : 268</v>
      </c>
      <c r="O134" s="729" t="str">
        <f>IFERROR(__xludf.DUMMYFUNCTION("""COMPUTED_VALUE"""),"all inhabitants of the island were included in the treatment greater than or equal to 2 years old except for the pregnant women.")</f>
        <v>all inhabitants of the island were included in the treatment greater than or equal to 2 years old except for the pregnant women.</v>
      </c>
      <c r="P134" s="800" t="str">
        <f>IFERROR(__xludf.DUMMYFUNCTION("""COMPUTED_VALUE"""),"mass treatment")</f>
        <v>mass treatment</v>
      </c>
      <c r="Q134" s="718"/>
      <c r="R134" s="718"/>
      <c r="S134" s="729" t="str">
        <f>IFERROR(__xludf.DUMMYFUNCTION("""COMPUTED_VALUE"""),"24 months")</f>
        <v>24 months</v>
      </c>
      <c r="T134" s="729" t="str">
        <f>IFERROR(__xludf.DUMMYFUNCTION("""COMPUTED_VALUE"""),"These data showed no statistically significant difference in the efficacy of the two drug regimens in lowering the microfilaria reservoir, but they support the use of diethylcar- bamazine combined with albendazole in mass treatment programs on the basis o"&amp;"f greater activity against adult worms.")</f>
        <v>These data showed no statistically significant difference in the efficacy of the two drug regimens in lowering the microfilaria reservoir, but they support the use of diethylcar- bamazine combined with albendazole in mass treatment programs on the basis of greater activity against adult worms.</v>
      </c>
      <c r="U134" s="729" t="str">
        <f>IFERROR(__xludf.DUMMYFUNCTION("""COMPUTED_VALUE"""),"There was no statistically significant difference between the two drug regimens in decreasing the microfilaria positive rate at 12 and 24 months after a single-dose treatment with either regimen, e.g., 50.0% clearance of microfilaria at 24 months for diet"&amp;"hylcarbamazine alone versus 65.7% clearance of microfilaria for diethylcarbamazine plus albendazole (P &gt; 0.05). In contrast, diethyl- carbamazine plus albendazole resulted in a significant decrease in Og4C3 antigen prevalence (17%; P  0.003) at 24 months "&amp;"whereas diethylcarbamazine did not (10%; P  0.564).")</f>
        <v>There was no statistically significant difference between the two drug regimens in decreasing the microfilaria positive rate at 12 and 24 months after a single-dose treatment with either regimen, e.g., 50.0% clearance of microfilaria at 24 months for diethylcarbamazine alone versus 65.7% clearance of microfilaria for diethylcarbamazine plus albendazole (P &gt; 0.05). In contrast, diethyl- carbamazine plus albendazole resulted in a significant decrease in Og4C3 antigen prevalence (17%; P  0.003) at 24 months whereas diethylcarbamazine did not (10%; P  0.564).</v>
      </c>
      <c r="V134" s="801" t="str">
        <f>IFERROR(__xludf.DUMMYFUNCTION("""COMPUTED_VALUE"""),"1999-2001")</f>
        <v>1999-2001</v>
      </c>
      <c r="W134" s="801">
        <f>IFERROR(__xludf.DUMMYFUNCTION("""COMPUTED_VALUE"""),2001.0)</f>
        <v>2001</v>
      </c>
      <c r="X134" s="748" t="str">
        <f>IFERROR(__xludf.DUMMYFUNCTION("""COMPUTED_VALUE"""),"Ismail MM, Jayakody RL, Weil GJ, et al. Long-term efficacy of single-dose combinations of albendazole, ivermectin and diethylcarbamazine for the treatment of bancroftian filariasis. Transactions of the Royal Society of Tropical Medicine and Hygiene. 2001;"&amp;"95(3):332–335.")</f>
        <v>Ismail MM, Jayakody RL, Weil GJ, et al. Long-term efficacy of single-dose combinations of albendazole, ivermectin and diethylcarbamazine for the treatment of bancroftian filariasis. Transactions of the Royal Society of Tropical Medicine and Hygiene. 2001;95(3):332–335.</v>
      </c>
      <c r="Y134" s="738"/>
      <c r="Z134" s="727" t="str">
        <f>IFERROR(__xludf.DUMMYFUNCTION("""COMPUTED_VALUE"""),"https://drive.google.com/open?id=0B6i9R3fSJzbMMUptNjdPSVdwTTQ")</f>
        <v>https://drive.google.com/open?id=0B6i9R3fSJzbMMUptNjdPSVdwTTQ</v>
      </c>
      <c r="AA134" s="40"/>
      <c r="AB134" s="40"/>
    </row>
    <row r="135">
      <c r="A135" s="728" t="str">
        <f>IFERROR(__xludf.DUMMYFUNCTION("""COMPUTED_VALUE"""),"Weil 1991")</f>
        <v>Weil 1991</v>
      </c>
      <c r="B135" s="730" t="str">
        <f>IFERROR(__xludf.DUMMYFUNCTION("""COMPUTED_VALUE"""),"Kirti ")</f>
        <v>Kirti </v>
      </c>
      <c r="C135" s="730" t="str">
        <f>IFERROR(__xludf.DUMMYFUNCTION("""COMPUTED_VALUE"""),"Ross/AR")</f>
        <v>Ross/AR</v>
      </c>
      <c r="D135" s="730" t="str">
        <f>IFERROR(__xludf.DUMMYFUNCTION("""COMPUTED_VALUE"""),"Haiti")</f>
        <v>Haiti</v>
      </c>
      <c r="E135" s="747" t="str">
        <f>IFERROR(__xludf.DUMMYFUNCTION("""COMPUTED_VALUE"""),"W. bancrofti")</f>
        <v>W. bancrofti</v>
      </c>
      <c r="F135" s="730" t="str">
        <f>IFERROR(__xludf.DUMMYFUNCTION("""COMPUTED_VALUE"""),"Ivermectin")</f>
        <v>Ivermectin</v>
      </c>
      <c r="G135" s="755" t="str">
        <f>IFERROR(__xludf.DUMMYFUNCTION("""COMPUTED_VALUE"""),"200 mg")</f>
        <v>200 mg</v>
      </c>
      <c r="H135" s="740">
        <f>IFERROR(__xludf.DUMMYFUNCTION("""COMPUTED_VALUE"""),2.0)</f>
        <v>2</v>
      </c>
      <c r="I135" s="742">
        <f>IFERROR(__xludf.DUMMYFUNCTION("""COMPUTED_VALUE"""),0.336)</f>
        <v>0.336</v>
      </c>
      <c r="J135" s="216"/>
      <c r="K135" s="730" t="str">
        <f>IFERROR(__xludf.DUMMYFUNCTION("""COMPUTED_VALUE"""),"not available")</f>
        <v>not available</v>
      </c>
      <c r="L135" s="734">
        <f>IFERROR(__xludf.DUMMYFUNCTION("""COMPUTED_VALUE"""),10.0)</f>
        <v>10</v>
      </c>
      <c r="M135" s="780" t="str">
        <f>IFERROR(__xludf.DUMMYFUNCTION("""COMPUTED_VALUE"""),"not available")</f>
        <v>not available</v>
      </c>
      <c r="N135" s="735" t="str">
        <f>IFERROR(__xludf.DUMMYFUNCTION("""COMPUTED_VALUE"""),"not available")</f>
        <v>not available</v>
      </c>
      <c r="O135" s="730" t="str">
        <f>IFERROR(__xludf.DUMMYFUNCTION("""COMPUTED_VALUE"""),"Adult Haitian subjects with W. bancrofti microfilaremia.")</f>
        <v>Adult Haitian subjects with W. bancrofti microfilaremia.</v>
      </c>
      <c r="P135" s="748" t="str">
        <f>IFERROR(__xludf.DUMMYFUNCTION("""COMPUTED_VALUE"""),"double-blind")</f>
        <v>double-blind</v>
      </c>
      <c r="Q135" s="718" t="str">
        <f>IFERROR(__xludf.DUMMYFUNCTION("""COMPUTED_VALUE"""),"Yes")</f>
        <v>Yes</v>
      </c>
      <c r="R135" s="730" t="str">
        <f>IFERROR(__xludf.DUMMYFUNCTION("""COMPUTED_VALUE"""),"Yes")</f>
        <v>Yes</v>
      </c>
      <c r="S135" s="730" t="str">
        <f>IFERROR(__xludf.DUMMYFUNCTION("""COMPUTED_VALUE"""),"1 year")</f>
        <v>1 year</v>
      </c>
      <c r="T135" s="730" t="str">
        <f>IFERROR(__xludf.DUMMYFUNCTION("""COMPUTED_VALUE"""),"low-dose ivermectin treatment followed by a standard course of DEC is a more effective macrofilaricidal regimen for W. bancrofti than either of the multidose ivermectin regimens used in this study.")</f>
        <v>low-dose ivermectin treatment followed by a standard course of DEC is a more effective macrofilaricidal regimen for W. bancrofti than either of the multidose ivermectin regimens used in this study.</v>
      </c>
      <c r="U135" s="730" t="str">
        <f>IFERROR(__xludf.DUMMYFUNCTION("""COMPUTED_VALUE"""),"5 days before diving the 30 individuals into three groups, all of them were given 1 mg of Ivermectin on day 1. Does not give the specific number of individuals in each group.")</f>
        <v>5 days before diving the 30 individuals into three groups, all of them were given 1 mg of Ivermectin on day 1. Does not give the specific number of individuals in each group.</v>
      </c>
      <c r="V135" s="737">
        <f>IFERROR(__xludf.DUMMYFUNCTION("""COMPUTED_VALUE"""),1991.0)</f>
        <v>1991</v>
      </c>
      <c r="W135" s="737">
        <f>IFERROR(__xludf.DUMMYFUNCTION("""COMPUTED_VALUE"""),1991.0)</f>
        <v>1991</v>
      </c>
      <c r="X135" s="40" t="str">
        <f>IFERROR(__xludf.DUMMYFUNCTION("""COMPUTED_VALUE"""),"Weil GJ, Lammie PJ, Richards FO, and Eberhard ML. Changes in Circulating Parasite Antigen Levels after Treatment of Bancroftian
 Filariasis with Diethylcarbamazine and Ivermectin. The Journal of Infectious Diseases 1991; 164(4): 814-816.")</f>
        <v>Weil GJ, Lammie PJ, Richards FO, and Eberhard ML. Changes in Circulating Parasite Antigen Levels after Treatment of Bancroftian
 Filariasis with Diethylcarbamazine and Ivermectin. The Journal of Infectious Diseases 1991; 164(4): 814-816.</v>
      </c>
      <c r="Y135" s="738"/>
      <c r="Z135" s="727" t="str">
        <f>IFERROR(__xludf.DUMMYFUNCTION("""COMPUTED_VALUE"""),"https://drive.google.com/file/d/0B-yoIBO7tf7FWU1LX1ZLbG9IcXM/view?usp=sharing")</f>
        <v>https://drive.google.com/file/d/0B-yoIBO7tf7FWU1LX1ZLbG9IcXM/view?usp=sharing</v>
      </c>
      <c r="AA135" s="40" t="str">
        <f>IFERROR(__xludf.DUMMYFUNCTION("""COMPUTED_VALUE"""),"x")</f>
        <v>x</v>
      </c>
      <c r="AB135" s="40"/>
    </row>
    <row r="136">
      <c r="A136" s="728" t="str">
        <f>IFERROR(__xludf.DUMMYFUNCTION("""COMPUTED_VALUE"""),"Weil 1991")</f>
        <v>Weil 1991</v>
      </c>
      <c r="B136" s="730" t="str">
        <f>IFERROR(__xludf.DUMMYFUNCTION("""COMPUTED_VALUE"""),"Kirti ")</f>
        <v>Kirti </v>
      </c>
      <c r="C136" s="730" t="str">
        <f>IFERROR(__xludf.DUMMYFUNCTION("""COMPUTED_VALUE"""),"Ross/AR")</f>
        <v>Ross/AR</v>
      </c>
      <c r="D136" s="730" t="str">
        <f>IFERROR(__xludf.DUMMYFUNCTION("""COMPUTED_VALUE"""),"Haiti")</f>
        <v>Haiti</v>
      </c>
      <c r="E136" s="747" t="str">
        <f>IFERROR(__xludf.DUMMYFUNCTION("""COMPUTED_VALUE"""),"W. bancrofti")</f>
        <v>W. bancrofti</v>
      </c>
      <c r="F136" s="761" t="str">
        <f>IFERROR(__xludf.DUMMYFUNCTION("""COMPUTED_VALUE"""),"DEC")</f>
        <v>DEC</v>
      </c>
      <c r="G136" s="730" t="str">
        <f>IFERROR(__xludf.DUMMYFUNCTION("""COMPUTED_VALUE"""),"6 mg/kg")</f>
        <v>6 mg/kg</v>
      </c>
      <c r="H136" s="740">
        <f>IFERROR(__xludf.DUMMYFUNCTION("""COMPUTED_VALUE"""),12.0)</f>
        <v>12</v>
      </c>
      <c r="I136" s="742">
        <f>IFERROR(__xludf.DUMMYFUNCTION("""COMPUTED_VALUE"""),0.75)</f>
        <v>0.75</v>
      </c>
      <c r="J136" s="216"/>
      <c r="K136" s="730" t="str">
        <f>IFERROR(__xludf.DUMMYFUNCTION("""COMPUTED_VALUE"""),"not available")</f>
        <v>not available</v>
      </c>
      <c r="L136" s="734">
        <f>IFERROR(__xludf.DUMMYFUNCTION("""COMPUTED_VALUE"""),10.0)</f>
        <v>10</v>
      </c>
      <c r="M136" s="780" t="str">
        <f>IFERROR(__xludf.DUMMYFUNCTION("""COMPUTED_VALUE"""),"not available")</f>
        <v>not available</v>
      </c>
      <c r="N136" s="735" t="str">
        <f>IFERROR(__xludf.DUMMYFUNCTION("""COMPUTED_VALUE"""),"not available")</f>
        <v>not available</v>
      </c>
      <c r="O136" s="730" t="str">
        <f>IFERROR(__xludf.DUMMYFUNCTION("""COMPUTED_VALUE"""),"Adult Haitian subjects with W. bancrofti microfilaremia.")</f>
        <v>Adult Haitian subjects with W. bancrofti microfilaremia.</v>
      </c>
      <c r="P136" s="748" t="str">
        <f>IFERROR(__xludf.DUMMYFUNCTION("""COMPUTED_VALUE"""),"double-blind")</f>
        <v>double-blind</v>
      </c>
      <c r="Q136" s="718" t="str">
        <f>IFERROR(__xludf.DUMMYFUNCTION("""COMPUTED_VALUE"""),"Yes")</f>
        <v>Yes</v>
      </c>
      <c r="R136" s="730" t="str">
        <f>IFERROR(__xludf.DUMMYFUNCTION("""COMPUTED_VALUE"""),"Yes")</f>
        <v>Yes</v>
      </c>
      <c r="S136" s="730" t="str">
        <f>IFERROR(__xludf.DUMMYFUNCTION("""COMPUTED_VALUE"""),"1 year")</f>
        <v>1 year</v>
      </c>
      <c r="T136" s="730" t="str">
        <f>IFERROR(__xludf.DUMMYFUNCTION("""COMPUTED_VALUE"""),"low-dose ivermectin treatment followed by a standard course of DEC is a more effective macrofilaricidal regimen for W. bancrofti than either of the multidose ivermectin regimens used in this study.")</f>
        <v>low-dose ivermectin treatment followed by a standard course of DEC is a more effective macrofilaricidal regimen for W. bancrofti than either of the multidose ivermectin regimens used in this study.</v>
      </c>
      <c r="U136" s="730" t="str">
        <f>IFERROR(__xludf.DUMMYFUNCTION("""COMPUTED_VALUE"""),"5 days before diving the 30 individuals into three groups, all of them were given 1 mg of Ivermectin on day 1. Does not give the specific number of individuals in each group.")</f>
        <v>5 days before diving the 30 individuals into three groups, all of them were given 1 mg of Ivermectin on day 1. Does not give the specific number of individuals in each group.</v>
      </c>
      <c r="V136" s="737">
        <f>IFERROR(__xludf.DUMMYFUNCTION("""COMPUTED_VALUE"""),1991.0)</f>
        <v>1991</v>
      </c>
      <c r="W136" s="737">
        <f>IFERROR(__xludf.DUMMYFUNCTION("""COMPUTED_VALUE"""),1991.0)</f>
        <v>1991</v>
      </c>
      <c r="X136" s="40" t="str">
        <f>IFERROR(__xludf.DUMMYFUNCTION("""COMPUTED_VALUE"""),"Weil GJ, Lammie PJ, Richards FO, and Eberhard ML. Changes in Circulating Parasite Antigen Levels after Treatment of Bancroftian
 Filariasis with Diethylcarbamazine and Ivermectin. The Journal of Infectious Diseases 1991; 164(4): 814-816.")</f>
        <v>Weil GJ, Lammie PJ, Richards FO, and Eberhard ML. Changes in Circulating Parasite Antigen Levels after Treatment of Bancroftian
 Filariasis with Diethylcarbamazine and Ivermectin. The Journal of Infectious Diseases 1991; 164(4): 814-816.</v>
      </c>
      <c r="Y136" s="738"/>
      <c r="Z136" s="727" t="str">
        <f>IFERROR(__xludf.DUMMYFUNCTION("""COMPUTED_VALUE"""),"https://drive.google.com/file/d/0B-yoIBO7tf7FWU1LX1ZLbG9IcXM/view?usp=sharing")</f>
        <v>https://drive.google.com/file/d/0B-yoIBO7tf7FWU1LX1ZLbG9IcXM/view?usp=sharing</v>
      </c>
      <c r="AA136" s="40" t="str">
        <f>IFERROR(__xludf.DUMMYFUNCTION("""COMPUTED_VALUE"""),"x")</f>
        <v>x</v>
      </c>
      <c r="AB136" s="40"/>
    </row>
    <row r="137">
      <c r="A137" s="805"/>
      <c r="B137" s="40"/>
      <c r="C137" s="40"/>
      <c r="D137" s="40"/>
      <c r="E137" s="40"/>
      <c r="F137" s="40"/>
      <c r="G137" s="40"/>
      <c r="H137" s="40"/>
      <c r="I137" s="741"/>
      <c r="J137" s="216"/>
      <c r="K137" s="40"/>
      <c r="L137" s="40"/>
      <c r="M137" s="40"/>
      <c r="N137" s="40"/>
      <c r="O137" s="40"/>
      <c r="P137" s="40"/>
      <c r="Q137" s="40"/>
      <c r="R137" s="40"/>
      <c r="S137" s="40"/>
      <c r="T137" s="40"/>
      <c r="U137" s="40"/>
      <c r="V137" s="40"/>
      <c r="W137" s="40">
        <f>IFERROR(__xludf.DUMMYFUNCTION("""COMPUTED_VALUE"""),0.0)</f>
        <v>0</v>
      </c>
      <c r="X137" s="40"/>
      <c r="Y137" s="40"/>
      <c r="Z137" s="40"/>
      <c r="AA137" s="40"/>
      <c r="AB137" s="40"/>
    </row>
    <row r="138">
      <c r="A138" s="805"/>
      <c r="B138" s="40"/>
      <c r="C138" s="40"/>
      <c r="D138" s="40"/>
      <c r="E138" s="40"/>
      <c r="F138" s="40"/>
      <c r="G138" s="40"/>
      <c r="H138" s="40"/>
      <c r="I138" s="741"/>
      <c r="J138" s="741"/>
      <c r="K138" s="40"/>
      <c r="L138" s="40"/>
      <c r="M138" s="214"/>
      <c r="N138" s="806"/>
      <c r="O138" s="40"/>
      <c r="P138" s="40"/>
      <c r="Q138" s="40"/>
      <c r="R138" s="40"/>
      <c r="S138" s="40"/>
      <c r="T138" s="40"/>
      <c r="U138" s="40"/>
      <c r="V138" s="40"/>
      <c r="W138" s="40">
        <f>IFERROR(__xludf.DUMMYFUNCTION("""COMPUTED_VALUE"""),0.0)</f>
        <v>0</v>
      </c>
      <c r="X138" s="40"/>
      <c r="Y138" s="40"/>
      <c r="Z138" s="40"/>
      <c r="AA138" s="40"/>
      <c r="AB138" s="40"/>
    </row>
    <row r="139">
      <c r="A139" s="745" t="str">
        <f>IFERROR(__xludf.DUMMYFUNCTION("""COMPUTED_VALUE"""),"New data")</f>
        <v>New data</v>
      </c>
      <c r="B139" s="40"/>
      <c r="C139" s="40"/>
      <c r="D139" s="40"/>
      <c r="E139" s="746"/>
      <c r="F139" s="40"/>
      <c r="G139" s="40"/>
      <c r="H139" s="40"/>
      <c r="I139" s="741"/>
      <c r="J139" s="741"/>
      <c r="K139" s="40"/>
      <c r="L139" s="40"/>
      <c r="M139" s="214"/>
      <c r="N139" s="806"/>
      <c r="O139" s="40"/>
      <c r="P139" s="40"/>
      <c r="Q139" s="40"/>
      <c r="R139" s="40"/>
      <c r="S139" s="40"/>
      <c r="T139" s="40"/>
      <c r="U139" s="40"/>
      <c r="V139" s="40"/>
      <c r="W139" s="40">
        <f>IFERROR(__xludf.DUMMYFUNCTION("""COMPUTED_VALUE"""),0.0)</f>
        <v>0</v>
      </c>
      <c r="X139" s="40"/>
      <c r="Y139" s="40"/>
      <c r="Z139" s="40"/>
      <c r="AA139" s="40"/>
      <c r="AB139" s="40"/>
    </row>
    <row r="140">
      <c r="A140" s="745" t="str">
        <f>IFERROR(__xludf.DUMMYFUNCTION("""COMPUTED_VALUE"""),"Reddy 2000")</f>
        <v>Reddy 2000</v>
      </c>
      <c r="B140" s="40" t="str">
        <f>IFERROR(__xludf.DUMMYFUNCTION("""COMPUTED_VALUE"""),"Mike")</f>
        <v>Mike</v>
      </c>
      <c r="C140" s="40" t="str">
        <f>IFERROR(__xludf.DUMMYFUNCTION("""COMPUTED_VALUE"""),"Alex")</f>
        <v>Alex</v>
      </c>
      <c r="D140" s="40" t="str">
        <f>IFERROR(__xludf.DUMMYFUNCTION("""COMPUTED_VALUE"""),"India")</f>
        <v>India</v>
      </c>
      <c r="E140" s="746" t="str">
        <f>IFERROR(__xludf.DUMMYFUNCTION("""COMPUTED_VALUE"""),"w. bancrofti")</f>
        <v>w. bancrofti</v>
      </c>
      <c r="F140" s="40" t="str">
        <f>IFERROR(__xludf.DUMMYFUNCTION("""COMPUTED_VALUE"""),"DEC")</f>
        <v>DEC</v>
      </c>
      <c r="G140" s="40" t="str">
        <f>IFERROR(__xludf.DUMMYFUNCTION("""COMPUTED_VALUE"""),"6mg/kg")</f>
        <v>6mg/kg</v>
      </c>
      <c r="H140" s="40">
        <f>IFERROR(__xludf.DUMMYFUNCTION("""COMPUTED_VALUE"""),1.0)</f>
        <v>1</v>
      </c>
      <c r="I140" s="741">
        <f>IFERROR(__xludf.DUMMYFUNCTION("""COMPUTED_VALUE"""),0.838)</f>
        <v>0.838</v>
      </c>
      <c r="J140" s="741">
        <f>IFERROR(__xludf.DUMMYFUNCTION("""COMPUTED_VALUE"""),8.3)</f>
        <v>8.3</v>
      </c>
      <c r="K140" s="40" t="str">
        <f>IFERROR(__xludf.DUMMYFUNCTION("""COMPUTED_VALUE"""),"not available")</f>
        <v>not available</v>
      </c>
      <c r="L140" s="40">
        <f>IFERROR(__xludf.DUMMYFUNCTION("""COMPUTED_VALUE"""),29.0)</f>
        <v>29</v>
      </c>
      <c r="M140" s="214" t="str">
        <f>IFERROR(__xludf.DUMMYFUNCTION("""COMPUTED_VALUE"""),"not available")</f>
        <v>not available</v>
      </c>
      <c r="N140" s="806" t="str">
        <f>IFERROR(__xludf.DUMMYFUNCTION("""COMPUTED_VALUE"""),"not available")</f>
        <v>not available</v>
      </c>
      <c r="O140" s="40" t="str">
        <f>IFERROR(__xludf.DUMMYFUNCTION("""COMPUTED_VALUE"""),"Apparently healthy individuals of normal body weight for age with normal physical examination, normal ECG, normal chest X-ray, normal routine stool and urine tests, and normal results in a battery of laboratory tests for haematological and biochemical par"&amp;"ameters (Table 3), with W. bancrofti microfilaraemia of 100 mf/ml of night venous blood")</f>
        <v>Apparently healthy individuals of normal body weight for age with normal physical examination, normal ECG, normal chest X-ray, normal routine stool and urine tests, and normal results in a battery of laboratory tests for haematological and biochemical parameters (Table 3), with W. bancrofti microfilaraemia of 100 mf/ml of night venous blood</v>
      </c>
      <c r="P140" s="40" t="str">
        <f>IFERROR(__xludf.DUMMYFUNCTION("""COMPUTED_VALUE"""),"double-blind")</f>
        <v>double-blind</v>
      </c>
      <c r="Q140" s="40" t="str">
        <f>IFERROR(__xludf.DUMMYFUNCTION("""COMPUTED_VALUE"""),"yes")</f>
        <v>yes</v>
      </c>
      <c r="R140" s="40" t="str">
        <f>IFERROR(__xludf.DUMMYFUNCTION("""COMPUTED_VALUE"""),"yes")</f>
        <v>yes</v>
      </c>
      <c r="S140" s="40" t="str">
        <f>IFERROR(__xludf.DUMMYFUNCTION("""COMPUTED_VALUE"""),"1 year")</f>
        <v>1 year</v>
      </c>
      <c r="T140" s="40" t="str">
        <f>IFERROR(__xludf.DUMMYFUNCTION("""COMPUTED_VALUE"""),"The proportion of cases that cleared mf on the 6th day after therapy was significantly higher (P  0.05) in the ivermectin group (80%) than in the DEC group (17.2%; Figure 3). On day 30, 51.7% and 10.3% of parasite carriers who received ivermectin and DEC"&amp;", respectively, showed clearance of mf in their blood. After one year, the clearance rate was 34.8% in the ivermectin group and 8.3% in the DEC group. These figures were 73.7% and 47.8%, respectively, at the end of the second year (P 0.05).")</f>
        <v>The proportion of cases that cleared mf on the 6th day after therapy was significantly higher (P _x0004_ 0.05) in the ivermectin group (80%) than in the DEC group (17.2%; Figure 3). On day 30, 51.7% and 10.3% of parasite carriers who received ivermectin and DEC, respectively, showed clearance of mf in their blood. After one year, the clearance rate was 34.8% in the ivermectin group and 8.3% in the DEC group. These figures were 73.7% and 47.8%, respectively, at the end of the second year (P 0.05).</v>
      </c>
      <c r="U140" s="40"/>
      <c r="V140" s="40">
        <f>IFERROR(__xludf.DUMMYFUNCTION("""COMPUTED_VALUE"""),2000.0)</f>
        <v>2000</v>
      </c>
      <c r="W140" s="40">
        <f>IFERROR(__xludf.DUMMYFUNCTION("""COMPUTED_VALUE"""),2000.0)</f>
        <v>2000</v>
      </c>
      <c r="X140" s="40" t="str">
        <f>IFERROR(__xludf.DUMMYFUNCTION("""COMPUTED_VALUE"""),"Reddy, G., et al. ""Tolerability and efficacy of single‐dose diethyl carbamazine (DEC) or ivermectin in the clearance of Wuchereria bancrofti microfilaraemia in Pondicherry, south India."" Tropical Medicine &amp; International Health 5.11 (2000): 779-785.")</f>
        <v>Reddy, G., et al. "Tolerability and efficacy of single‐dose diethyl carbamazine (DEC) or ivermectin in the clearance of Wuchereria bancrofti microfilaraemia in Pondicherry, south India." Tropical Medicine &amp; International Health 5.11 (2000): 779-785.</v>
      </c>
      <c r="Y140" s="40" t="str">
        <f>IFERROR(__xludf.DUMMYFUNCTION("""COMPUTED_VALUE"""),"10.1046/j.1365-3156.2000.00644.x")</f>
        <v>10.1046/j.1365-3156.2000.00644.x</v>
      </c>
      <c r="Z140" s="727" t="str">
        <f>IFERROR(__xludf.DUMMYFUNCTION("""COMPUTED_VALUE"""),"https://drive.google.com/file/d/0B0qKRmtVkPtWc1N6aTFya1hsTjA/view?usp=sharing")</f>
        <v>https://drive.google.com/file/d/0B0qKRmtVkPtWc1N6aTFya1hsTjA/view?usp=sharing</v>
      </c>
      <c r="AA140" s="40" t="str">
        <f>IFERROR(__xludf.DUMMYFUNCTION("""COMPUTED_VALUE"""),"x")</f>
        <v>x</v>
      </c>
      <c r="AB140" s="40"/>
    </row>
    <row r="141">
      <c r="A141" s="745" t="str">
        <f>IFERROR(__xludf.DUMMYFUNCTION("""COMPUTED_VALUE"""),"Reddy 2000")</f>
        <v>Reddy 2000</v>
      </c>
      <c r="B141" s="40" t="str">
        <f>IFERROR(__xludf.DUMMYFUNCTION("""COMPUTED_VALUE"""),"Mike")</f>
        <v>Mike</v>
      </c>
      <c r="C141" s="40" t="str">
        <f>IFERROR(__xludf.DUMMYFUNCTION("""COMPUTED_VALUE"""),"Alex")</f>
        <v>Alex</v>
      </c>
      <c r="D141" s="40" t="str">
        <f>IFERROR(__xludf.DUMMYFUNCTION("""COMPUTED_VALUE"""),"India")</f>
        <v>India</v>
      </c>
      <c r="E141" s="746" t="str">
        <f>IFERROR(__xludf.DUMMYFUNCTION("""COMPUTED_VALUE"""),"w. bancrofti")</f>
        <v>w. bancrofti</v>
      </c>
      <c r="F141" s="40" t="str">
        <f>IFERROR(__xludf.DUMMYFUNCTION("""COMPUTED_VALUE"""),"DEC")</f>
        <v>DEC</v>
      </c>
      <c r="G141" s="40" t="str">
        <f>IFERROR(__xludf.DUMMYFUNCTION("""COMPUTED_VALUE"""),"6mg/kg")</f>
        <v>6mg/kg</v>
      </c>
      <c r="H141" s="40">
        <f>IFERROR(__xludf.DUMMYFUNCTION("""COMPUTED_VALUE"""),1.0)</f>
        <v>1</v>
      </c>
      <c r="I141" s="741">
        <f>IFERROR(__xludf.DUMMYFUNCTION("""COMPUTED_VALUE"""),0.989)</f>
        <v>0.989</v>
      </c>
      <c r="J141" s="741">
        <f>IFERROR(__xludf.DUMMYFUNCTION("""COMPUTED_VALUE"""),47.8)</f>
        <v>47.8</v>
      </c>
      <c r="K141" s="40" t="str">
        <f>IFERROR(__xludf.DUMMYFUNCTION("""COMPUTED_VALUE"""),"not available")</f>
        <v>not available</v>
      </c>
      <c r="L141" s="40">
        <f>IFERROR(__xludf.DUMMYFUNCTION("""COMPUTED_VALUE"""),29.0)</f>
        <v>29</v>
      </c>
      <c r="M141" s="214" t="str">
        <f>IFERROR(__xludf.DUMMYFUNCTION("""COMPUTED_VALUE"""),"not available")</f>
        <v>not available</v>
      </c>
      <c r="N141" s="806" t="str">
        <f>IFERROR(__xludf.DUMMYFUNCTION("""COMPUTED_VALUE"""),"not available")</f>
        <v>not available</v>
      </c>
      <c r="O141" s="40" t="str">
        <f>IFERROR(__xludf.DUMMYFUNCTION("""COMPUTED_VALUE"""),"Apparently healthy individuals of normal body weight for age with normal physical examination, normal ECG, normal chest X-ray, normal routine stool and urine tests, and normal results in a battery of laboratory tests for haematological and biochemical par"&amp;"ameters (Table 3), with W. bancrofti microfilaraemia of 100 mf/ml of night venous blood")</f>
        <v>Apparently healthy individuals of normal body weight for age with normal physical examination, normal ECG, normal chest X-ray, normal routine stool and urine tests, and normal results in a battery of laboratory tests for haematological and biochemical parameters (Table 3), with W. bancrofti microfilaraemia of 100 mf/ml of night venous blood</v>
      </c>
      <c r="P141" s="40" t="str">
        <f>IFERROR(__xludf.DUMMYFUNCTION("""COMPUTED_VALUE"""),"double-blind")</f>
        <v>double-blind</v>
      </c>
      <c r="Q141" s="40" t="str">
        <f>IFERROR(__xludf.DUMMYFUNCTION("""COMPUTED_VALUE"""),"yes")</f>
        <v>yes</v>
      </c>
      <c r="R141" s="40" t="str">
        <f>IFERROR(__xludf.DUMMYFUNCTION("""COMPUTED_VALUE"""),"yes")</f>
        <v>yes</v>
      </c>
      <c r="S141" s="40" t="str">
        <f>IFERROR(__xludf.DUMMYFUNCTION("""COMPUTED_VALUE"""),"2 years")</f>
        <v>2 years</v>
      </c>
      <c r="T141" s="40" t="str">
        <f>IFERROR(__xludf.DUMMYFUNCTION("""COMPUTED_VALUE"""),"The proportion of cases that cleared mf on the 6th day after therapy was significantly higher (P  0.05) in the ivermectin group (80%) than in the DEC group (17.2%; Figure 3). On day 30, 51.7% and 10.3% of parasite carriers who received ivermectin and DEC"&amp;", respectively, showed clearance of mf in their blood. After one year, the clearance rate was 34.8% in the ivermectin group and 8.3% in the DEC group. These figures were 73.7% and 47.8%, respectively, at the end of the second year (P 0.05).")</f>
        <v>The proportion of cases that cleared mf on the 6th day after therapy was significantly higher (P _x0004_ 0.05) in the ivermectin group (80%) than in the DEC group (17.2%; Figure 3). On day 30, 51.7% and 10.3% of parasite carriers who received ivermectin and DEC, respectively, showed clearance of mf in their blood. After one year, the clearance rate was 34.8% in the ivermectin group and 8.3% in the DEC group. These figures were 73.7% and 47.8%, respectively, at the end of the second year (P 0.05).</v>
      </c>
      <c r="U141" s="40"/>
      <c r="V141" s="40">
        <f>IFERROR(__xludf.DUMMYFUNCTION("""COMPUTED_VALUE"""),2000.0)</f>
        <v>2000</v>
      </c>
      <c r="W141" s="40">
        <f>IFERROR(__xludf.DUMMYFUNCTION("""COMPUTED_VALUE"""),2000.0)</f>
        <v>2000</v>
      </c>
      <c r="X141" s="40" t="str">
        <f>IFERROR(__xludf.DUMMYFUNCTION("""COMPUTED_VALUE"""),"Reddy, G., et al. ""Tolerability and efficacy of single‐dose diethyl carbamazine (DEC) or ivermectin in the clearance of Wuchereria bancrofti microfilaraemia in Pondicherry, south India."" Tropical Medicine &amp; International Health 5.11 (2000): 779-785.")</f>
        <v>Reddy, G., et al. "Tolerability and efficacy of single‐dose diethyl carbamazine (DEC) or ivermectin in the clearance of Wuchereria bancrofti microfilaraemia in Pondicherry, south India." Tropical Medicine &amp; International Health 5.11 (2000): 779-785.</v>
      </c>
      <c r="Y141" s="40" t="str">
        <f>IFERROR(__xludf.DUMMYFUNCTION("""COMPUTED_VALUE"""),"10.1046/j.1365-3156.2000.00644.x")</f>
        <v>10.1046/j.1365-3156.2000.00644.x</v>
      </c>
      <c r="Z141" s="727" t="str">
        <f>IFERROR(__xludf.DUMMYFUNCTION("""COMPUTED_VALUE"""),"https://drive.google.com/file/d/0B0qKRmtVkPtWc1N6aTFya1hsTjA/view?usp=sharing")</f>
        <v>https://drive.google.com/file/d/0B0qKRmtVkPtWc1N6aTFya1hsTjA/view?usp=sharing</v>
      </c>
      <c r="AA141" s="40" t="str">
        <f>IFERROR(__xludf.DUMMYFUNCTION("""COMPUTED_VALUE"""),"x")</f>
        <v>x</v>
      </c>
      <c r="AB141" s="40"/>
    </row>
    <row r="142">
      <c r="A142" s="745" t="str">
        <f>IFERROR(__xludf.DUMMYFUNCTION("""COMPUTED_VALUE"""),"Reddy 2000")</f>
        <v>Reddy 2000</v>
      </c>
      <c r="B142" s="40" t="str">
        <f>IFERROR(__xludf.DUMMYFUNCTION("""COMPUTED_VALUE"""),"Mike")</f>
        <v>Mike</v>
      </c>
      <c r="C142" s="40" t="str">
        <f>IFERROR(__xludf.DUMMYFUNCTION("""COMPUTED_VALUE"""),"Alex")</f>
        <v>Alex</v>
      </c>
      <c r="D142" s="40" t="str">
        <f>IFERROR(__xludf.DUMMYFUNCTION("""COMPUTED_VALUE"""),"India")</f>
        <v>India</v>
      </c>
      <c r="E142" s="746" t="str">
        <f>IFERROR(__xludf.DUMMYFUNCTION("""COMPUTED_VALUE"""),"w. bancrofti")</f>
        <v>w. bancrofti</v>
      </c>
      <c r="F142" s="807" t="str">
        <f>IFERROR(__xludf.DUMMYFUNCTION("""COMPUTED_VALUE"""),"Ivermectin")</f>
        <v>Ivermectin</v>
      </c>
      <c r="G142" s="40" t="str">
        <f>IFERROR(__xludf.DUMMYFUNCTION("""COMPUTED_VALUE"""),".400 mg/kg")</f>
        <v>.400 mg/kg</v>
      </c>
      <c r="H142" s="40">
        <f>IFERROR(__xludf.DUMMYFUNCTION("""COMPUTED_VALUE"""),1.0)</f>
        <v>1</v>
      </c>
      <c r="I142" s="741">
        <f>IFERROR(__xludf.DUMMYFUNCTION("""COMPUTED_VALUE"""),0.97)</f>
        <v>0.97</v>
      </c>
      <c r="J142" s="741">
        <f>IFERROR(__xludf.DUMMYFUNCTION("""COMPUTED_VALUE"""),34.8)</f>
        <v>34.8</v>
      </c>
      <c r="K142" s="40" t="str">
        <f>IFERROR(__xludf.DUMMYFUNCTION("""COMPUTED_VALUE"""),"not available")</f>
        <v>not available</v>
      </c>
      <c r="L142" s="40">
        <f>IFERROR(__xludf.DUMMYFUNCTION("""COMPUTED_VALUE"""),30.0)</f>
        <v>30</v>
      </c>
      <c r="M142" s="214" t="str">
        <f>IFERROR(__xludf.DUMMYFUNCTION("""COMPUTED_VALUE"""),"not available")</f>
        <v>not available</v>
      </c>
      <c r="N142" s="806" t="str">
        <f>IFERROR(__xludf.DUMMYFUNCTION("""COMPUTED_VALUE"""),"not available")</f>
        <v>not available</v>
      </c>
      <c r="O142" s="40" t="str">
        <f>IFERROR(__xludf.DUMMYFUNCTION("""COMPUTED_VALUE"""),"Apparently healthy individuals of normal body weight for age with normal physical examination, normal ECG, normal chest X-ray, normal routine stool and urine tests, and normal results in a battery of laboratory tests for haematological and biochemical par"&amp;"ameters (Table 3), with W. bancrofti microfilaraemia of 100 mf/ml of night venous blood")</f>
        <v>Apparently healthy individuals of normal body weight for age with normal physical examination, normal ECG, normal chest X-ray, normal routine stool and urine tests, and normal results in a battery of laboratory tests for haematological and biochemical parameters (Table 3), with W. bancrofti microfilaraemia of 100 mf/ml of night venous blood</v>
      </c>
      <c r="P142" s="40" t="str">
        <f>IFERROR(__xludf.DUMMYFUNCTION("""COMPUTED_VALUE"""),"double-blind")</f>
        <v>double-blind</v>
      </c>
      <c r="Q142" s="40" t="str">
        <f>IFERROR(__xludf.DUMMYFUNCTION("""COMPUTED_VALUE"""),"yes")</f>
        <v>yes</v>
      </c>
      <c r="R142" s="40" t="str">
        <f>IFERROR(__xludf.DUMMYFUNCTION("""COMPUTED_VALUE"""),"yes")</f>
        <v>yes</v>
      </c>
      <c r="S142" s="40" t="str">
        <f>IFERROR(__xludf.DUMMYFUNCTION("""COMPUTED_VALUE"""),"1 year")</f>
        <v>1 year</v>
      </c>
      <c r="T142" s="40" t="str">
        <f>IFERROR(__xludf.DUMMYFUNCTION("""COMPUTED_VALUE"""),"The proportion of cases that cleared mf on the 6th day after therapy was significantly higher (P  0.05) in the ivermectin group (80%) than in the DEC group (17.2%; Figure 3). On day 30, 51.7% and 10.3% of parasite carriers who received ivermectin and DEC"&amp;", respectively, showed clearance of mf in their blood. After one year, the clearance rate was 34.8% in the ivermectin group and 8.3% in the DEC group. These figures were 73.7% and 47.8%, respectively, at the end of the second year (P 0.05).")</f>
        <v>The proportion of cases that cleared mf on the 6th day after therapy was significantly higher (P _x0004_ 0.05) in the ivermectin group (80%) than in the DEC group (17.2%; Figure 3). On day 30, 51.7% and 10.3% of parasite carriers who received ivermectin and DEC, respectively, showed clearance of mf in their blood. After one year, the clearance rate was 34.8% in the ivermectin group and 8.3% in the DEC group. These figures were 73.7% and 47.8%, respectively, at the end of the second year (P 0.05).</v>
      </c>
      <c r="U142" s="40"/>
      <c r="V142" s="40">
        <f>IFERROR(__xludf.DUMMYFUNCTION("""COMPUTED_VALUE"""),2000.0)</f>
        <v>2000</v>
      </c>
      <c r="W142" s="40">
        <f>IFERROR(__xludf.DUMMYFUNCTION("""COMPUTED_VALUE"""),2000.0)</f>
        <v>2000</v>
      </c>
      <c r="X142" s="40" t="str">
        <f>IFERROR(__xludf.DUMMYFUNCTION("""COMPUTED_VALUE"""),"Reddy, G., et al. ""Tolerability and efficacy of single‐dose diethyl carbamazine (DEC) or ivermectin in the clearance of Wuchereria bancrofti microfilaraemia in Pondicherry, south India."" Tropical Medicine &amp; International Health 5.11 (2000): 779-785.")</f>
        <v>Reddy, G., et al. "Tolerability and efficacy of single‐dose diethyl carbamazine (DEC) or ivermectin in the clearance of Wuchereria bancrofti microfilaraemia in Pondicherry, south India." Tropical Medicine &amp; International Health 5.11 (2000): 779-785.</v>
      </c>
      <c r="Y142" s="40" t="str">
        <f>IFERROR(__xludf.DUMMYFUNCTION("""COMPUTED_VALUE"""),"10.1046/j.1365-3156.2000.00644.x")</f>
        <v>10.1046/j.1365-3156.2000.00644.x</v>
      </c>
      <c r="Z142" s="727" t="str">
        <f>IFERROR(__xludf.DUMMYFUNCTION("""COMPUTED_VALUE"""),"https://drive.google.com/file/d/0B0qKRmtVkPtWc1N6aTFya1hsTjA/view?usp=sharing")</f>
        <v>https://drive.google.com/file/d/0B0qKRmtVkPtWc1N6aTFya1hsTjA/view?usp=sharing</v>
      </c>
      <c r="AA142" s="40" t="str">
        <f>IFERROR(__xludf.DUMMYFUNCTION("""COMPUTED_VALUE"""),"x")</f>
        <v>x</v>
      </c>
      <c r="AB142" s="40"/>
    </row>
    <row r="143">
      <c r="A143" s="745" t="str">
        <f>IFERROR(__xludf.DUMMYFUNCTION("""COMPUTED_VALUE"""),"Reddy 2000")</f>
        <v>Reddy 2000</v>
      </c>
      <c r="B143" s="40" t="str">
        <f>IFERROR(__xludf.DUMMYFUNCTION("""COMPUTED_VALUE"""),"Mike")</f>
        <v>Mike</v>
      </c>
      <c r="C143" s="40" t="str">
        <f>IFERROR(__xludf.DUMMYFUNCTION("""COMPUTED_VALUE"""),"Alex")</f>
        <v>Alex</v>
      </c>
      <c r="D143" s="40" t="str">
        <f>IFERROR(__xludf.DUMMYFUNCTION("""COMPUTED_VALUE"""),"India")</f>
        <v>India</v>
      </c>
      <c r="E143" s="746" t="str">
        <f>IFERROR(__xludf.DUMMYFUNCTION("""COMPUTED_VALUE"""),"w. bancrofti")</f>
        <v>w. bancrofti</v>
      </c>
      <c r="F143" s="40" t="str">
        <f>IFERROR(__xludf.DUMMYFUNCTION("""COMPUTED_VALUE"""),"Ivermectin")</f>
        <v>Ivermectin</v>
      </c>
      <c r="G143" s="40" t="str">
        <f>IFERROR(__xludf.DUMMYFUNCTION("""COMPUTED_VALUE"""),".400 mg/kg")</f>
        <v>.400 mg/kg</v>
      </c>
      <c r="H143" s="40">
        <f>IFERROR(__xludf.DUMMYFUNCTION("""COMPUTED_VALUE"""),1.0)</f>
        <v>1</v>
      </c>
      <c r="I143" s="741">
        <f>IFERROR(__xludf.DUMMYFUNCTION("""COMPUTED_VALUE"""),0.995)</f>
        <v>0.995</v>
      </c>
      <c r="J143" s="741">
        <f>IFERROR(__xludf.DUMMYFUNCTION("""COMPUTED_VALUE"""),73.7)</f>
        <v>73.7</v>
      </c>
      <c r="K143" s="40" t="str">
        <f>IFERROR(__xludf.DUMMYFUNCTION("""COMPUTED_VALUE"""),"not available")</f>
        <v>not available</v>
      </c>
      <c r="L143" s="40">
        <f>IFERROR(__xludf.DUMMYFUNCTION("""COMPUTED_VALUE"""),30.0)</f>
        <v>30</v>
      </c>
      <c r="M143" s="214" t="str">
        <f>IFERROR(__xludf.DUMMYFUNCTION("""COMPUTED_VALUE"""),"not available")</f>
        <v>not available</v>
      </c>
      <c r="N143" s="806" t="str">
        <f>IFERROR(__xludf.DUMMYFUNCTION("""COMPUTED_VALUE"""),"not available")</f>
        <v>not available</v>
      </c>
      <c r="O143" s="40" t="str">
        <f>IFERROR(__xludf.DUMMYFUNCTION("""COMPUTED_VALUE"""),"Apparently healthy individuals of normal body weight for age with normal physical examination, normal ECG, normal chest X-ray, normal routine stool and urine tests, and normal results in a battery of laboratory tests for haematological and biochemical par"&amp;"ameters (Table 3), with W. bancrofti microfilaraemia of 100 mf/ml of night venous blood")</f>
        <v>Apparently healthy individuals of normal body weight for age with normal physical examination, normal ECG, normal chest X-ray, normal routine stool and urine tests, and normal results in a battery of laboratory tests for haematological and biochemical parameters (Table 3), with W. bancrofti microfilaraemia of 100 mf/ml of night venous blood</v>
      </c>
      <c r="P143" s="40" t="str">
        <f>IFERROR(__xludf.DUMMYFUNCTION("""COMPUTED_VALUE"""),"double-blind")</f>
        <v>double-blind</v>
      </c>
      <c r="Q143" s="40" t="str">
        <f>IFERROR(__xludf.DUMMYFUNCTION("""COMPUTED_VALUE"""),"yes")</f>
        <v>yes</v>
      </c>
      <c r="R143" s="40" t="str">
        <f>IFERROR(__xludf.DUMMYFUNCTION("""COMPUTED_VALUE"""),"yes")</f>
        <v>yes</v>
      </c>
      <c r="S143" s="40" t="str">
        <f>IFERROR(__xludf.DUMMYFUNCTION("""COMPUTED_VALUE"""),"2 years")</f>
        <v>2 years</v>
      </c>
      <c r="T143" s="40" t="str">
        <f>IFERROR(__xludf.DUMMYFUNCTION("""COMPUTED_VALUE"""),"The proportion of cases that cleared mf on the 6th day after therapy was significantly higher (P  0.05) in the ivermectin group (80%) than in the DEC group (17.2%; Figure 3). On day 30, 51.7% and 10.3% of parasite carriers who received ivermectin and DEC"&amp;", respectively, showed clearance of mf in their blood. After one year, the clearance rate was 34.8% in the ivermectin group and 8.3% in the DEC group. These figures were 73.7% and 47.8%, respectively, at the end of the second year (P 0.05).")</f>
        <v>The proportion of cases that cleared mf on the 6th day after therapy was significantly higher (P _x0004_ 0.05) in the ivermectin group (80%) than in the DEC group (17.2%; Figure 3). On day 30, 51.7% and 10.3% of parasite carriers who received ivermectin and DEC, respectively, showed clearance of mf in their blood. After one year, the clearance rate was 34.8% in the ivermectin group and 8.3% in the DEC group. These figures were 73.7% and 47.8%, respectively, at the end of the second year (P 0.05).</v>
      </c>
      <c r="U143" s="40"/>
      <c r="V143" s="40">
        <f>IFERROR(__xludf.DUMMYFUNCTION("""COMPUTED_VALUE"""),2000.0)</f>
        <v>2000</v>
      </c>
      <c r="W143" s="40">
        <f>IFERROR(__xludf.DUMMYFUNCTION("""COMPUTED_VALUE"""),2000.0)</f>
        <v>2000</v>
      </c>
      <c r="X143" s="40" t="str">
        <f>IFERROR(__xludf.DUMMYFUNCTION("""COMPUTED_VALUE"""),"Reddy, G., et al. ""Tolerability and efficacy of single‐dose diethyl carbamazine (DEC) or ivermectin in the clearance of Wuchereria bancrofti microfilaraemia in Pondicherry, south India."" Tropical Medicine &amp; International Health 5.11 (2000): 779-785.")</f>
        <v>Reddy, G., et al. "Tolerability and efficacy of single‐dose diethyl carbamazine (DEC) or ivermectin in the clearance of Wuchereria bancrofti microfilaraemia in Pondicherry, south India." Tropical Medicine &amp; International Health 5.11 (2000): 779-785.</v>
      </c>
      <c r="Y143" s="40" t="str">
        <f>IFERROR(__xludf.DUMMYFUNCTION("""COMPUTED_VALUE"""),"10.1046/j.1365-3156.2000.00644.x")</f>
        <v>10.1046/j.1365-3156.2000.00644.x</v>
      </c>
      <c r="Z143" s="727" t="str">
        <f>IFERROR(__xludf.DUMMYFUNCTION("""COMPUTED_VALUE"""),"https://drive.google.com/file/d/0B0qKRmtVkPtWc1N6aTFya1hsTjA/view?usp=sharing")</f>
        <v>https://drive.google.com/file/d/0B0qKRmtVkPtWc1N6aTFya1hsTjA/view?usp=sharing</v>
      </c>
      <c r="AA143" s="40" t="str">
        <f>IFERROR(__xludf.DUMMYFUNCTION("""COMPUTED_VALUE"""),"x")</f>
        <v>x</v>
      </c>
      <c r="AB143" s="40"/>
    </row>
    <row r="144">
      <c r="A144" s="745" t="str">
        <f>IFERROR(__xludf.DUMMYFUNCTION("""COMPUTED_VALUE"""),"Moulia-Pelat 1994")</f>
        <v>Moulia-Pelat 1994</v>
      </c>
      <c r="B144" s="40" t="str">
        <f>IFERROR(__xludf.DUMMYFUNCTION("""COMPUTED_VALUE"""),"Mike")</f>
        <v>Mike</v>
      </c>
      <c r="C144" s="40" t="str">
        <f>IFERROR(__xludf.DUMMYFUNCTION("""COMPUTED_VALUE"""),"Alex")</f>
        <v>Alex</v>
      </c>
      <c r="D144" s="40" t="str">
        <f>IFERROR(__xludf.DUMMYFUNCTION("""COMPUTED_VALUE"""),"French Polynesia")</f>
        <v>French Polynesia</v>
      </c>
      <c r="E144" s="746" t="str">
        <f>IFERROR(__xludf.DUMMYFUNCTION("""COMPUTED_VALUE"""),"W. bancrofti")</f>
        <v>W. bancrofti</v>
      </c>
      <c r="F144" s="40" t="str">
        <f>IFERROR(__xludf.DUMMYFUNCTION("""COMPUTED_VALUE"""),"DEC &amp; Ivermectin")</f>
        <v>DEC &amp; Ivermectin</v>
      </c>
      <c r="G144" s="40" t="str">
        <f>IFERROR(__xludf.DUMMYFUNCTION("""COMPUTED_VALUE"""),"1mg/kg + 400 μg/kg ")</f>
        <v>1mg/kg + 400 μg/kg </v>
      </c>
      <c r="H144" s="40">
        <f>IFERROR(__xludf.DUMMYFUNCTION("""COMPUTED_VALUE"""),1.0)</f>
        <v>1</v>
      </c>
      <c r="I144" s="741">
        <f>IFERROR(__xludf.DUMMYFUNCTION("""COMPUTED_VALUE"""),1.0)</f>
        <v>1</v>
      </c>
      <c r="J144" s="741" t="str">
        <f>IFERROR(__xludf.DUMMYFUNCTION("""COMPUTED_VALUE"""),"not available")</f>
        <v>not available</v>
      </c>
      <c r="K144" s="40" t="str">
        <f>IFERROR(__xludf.DUMMYFUNCTION("""COMPUTED_VALUE"""),"not available")</f>
        <v>not available</v>
      </c>
      <c r="L144" s="40">
        <f>IFERROR(__xludf.DUMMYFUNCTION("""COMPUTED_VALUE"""),5.0)</f>
        <v>5</v>
      </c>
      <c r="M144" s="214" t="str">
        <f>IFERROR(__xludf.DUMMYFUNCTION("""COMPUTED_VALUE"""),"not mentioned")</f>
        <v>not mentioned</v>
      </c>
      <c r="N144" s="806" t="str">
        <f>IFERROR(__xludf.DUMMYFUNCTION("""COMPUTED_VALUE"""),"0:5")</f>
        <v>0:5</v>
      </c>
      <c r="O144" s="40" t="str">
        <f>IFERROR(__xludf.DUMMYFUNCTION("""COMPUTED_VALUE"""),"male carriers")</f>
        <v>male carriers</v>
      </c>
      <c r="P144" s="40" t="str">
        <f>IFERROR(__xludf.DUMMYFUNCTION("""COMPUTED_VALUE"""),"randomized")</f>
        <v>randomized</v>
      </c>
      <c r="Q144" s="40" t="str">
        <f>IFERROR(__xludf.DUMMYFUNCTION("""COMPUTED_VALUE"""),"No")</f>
        <v>No</v>
      </c>
      <c r="R144" s="40" t="str">
        <f>IFERROR(__xludf.DUMMYFUNCTION("""COMPUTED_VALUE"""),"Yes")</f>
        <v>Yes</v>
      </c>
      <c r="S144" s="40" t="str">
        <f>IFERROR(__xludf.DUMMYFUNCTION("""COMPUTED_VALUE"""),"96 hours")</f>
        <v>96 hours</v>
      </c>
      <c r="T144" s="40" t="str">
        <f>IFERROR(__xludf.DUMMYFUNCTION("""COMPUTED_VALUE"""),"The results showed that 1) DEC alone or combined with ivermectin induced a rapid clearance of mf after drug intake; at H 1/2, the number of circulating microfilariae was reduced to 16%, 8%, 28%, and 31%, respectively, of pretreatment values in the groups "&amp;"receiving ivermectin plus DEC (400 p.g/kg plus 1 mg/kg, 400 p.g/kg plus 3 mg/kg, and 400 p.g/kg plus 6 mg/kg) and DEC (6 mg/kg) alone; 2) ivermectim alone induced a rapid increase of mf densities during the first 2 hr, followed by a sharp decrease from H4"&amp;" to H96; and 3) between H8 and H96, mf clearance was almost complete with the combination of ivermectim and DEC")</f>
        <v>The results showed that 1) DEC alone or combined with ivermectin induced a rapid clearance of mf after drug intake; at H 1/2, the number of circulating microfilariae was reduced to 16%, 8%, 28%, and 31%, respectively, of pretreatment values in the groups receiving ivermectin plus DEC (400 p.g/kg plus 1 mg/kg, 400 p.g/kg plus 3 mg/kg, and 400 p.g/kg plus 6 mg/kg) and DEC (6 mg/kg) alone; 2) ivermectim alone induced a rapid increase of mf densities during the first 2 hr, followed by a sharp decrease from H4 to H96; and 3) between H8 and H96, mf clearance was almost complete with the combination of ivermectim and DEC</v>
      </c>
      <c r="U144" s="40"/>
      <c r="V144" s="40">
        <f>IFERROR(__xludf.DUMMYFUNCTION("""COMPUTED_VALUE"""),1994.0)</f>
        <v>1994</v>
      </c>
      <c r="W144" s="40">
        <f>IFERROR(__xludf.DUMMYFUNCTION("""COMPUTED_VALUE"""),1994.0)</f>
        <v>1994</v>
      </c>
      <c r="X144" s="40" t="str">
        <f>IFERROR(__xludf.DUMMYFUNCTION("""COMPUTED_VALUE"""),"Moulia-Pelat, Jean-Paul, et al. ""Ivermectin plus diethylcarbamazine: an additive effect on early microfilarial clearance."" The American journal of tropical medicine and hygiene 50.2 (1994): 206-209.")</f>
        <v>Moulia-Pelat, Jean-Paul, et al. "Ivermectin plus diethylcarbamazine: an additive effect on early microfilarial clearance." The American journal of tropical medicine and hygiene 50.2 (1994): 206-209.</v>
      </c>
      <c r="Y144" s="40" t="str">
        <f>IFERROR(__xludf.DUMMYFUNCTION("""COMPUTED_VALUE"""),"10.1016/j.actatropica.2010.09.009.")</f>
        <v>10.1016/j.actatropica.2010.09.009.</v>
      </c>
      <c r="Z144" s="727" t="str">
        <f>IFERROR(__xludf.DUMMYFUNCTION("""COMPUTED_VALUE"""),"https://drive.google.com/file/d/0B0qKRmtVkPtWMmszREhFbkloWm8/view?usp=sharing")</f>
        <v>https://drive.google.com/file/d/0B0qKRmtVkPtWMmszREhFbkloWm8/view?usp=sharing</v>
      </c>
      <c r="AA144" s="40" t="str">
        <f>IFERROR(__xludf.DUMMYFUNCTION("""COMPUTED_VALUE"""),"x")</f>
        <v>x</v>
      </c>
      <c r="AB144" s="40"/>
    </row>
    <row r="145">
      <c r="A145" s="745" t="str">
        <f>IFERROR(__xludf.DUMMYFUNCTION("""COMPUTED_VALUE"""),"Moulia-Pelat 1994")</f>
        <v>Moulia-Pelat 1994</v>
      </c>
      <c r="B145" s="40" t="str">
        <f>IFERROR(__xludf.DUMMYFUNCTION("""COMPUTED_VALUE"""),"Mike")</f>
        <v>Mike</v>
      </c>
      <c r="C145" s="40" t="str">
        <f>IFERROR(__xludf.DUMMYFUNCTION("""COMPUTED_VALUE"""),"Alex")</f>
        <v>Alex</v>
      </c>
      <c r="D145" s="40" t="str">
        <f>IFERROR(__xludf.DUMMYFUNCTION("""COMPUTED_VALUE"""),"French Polynesia")</f>
        <v>French Polynesia</v>
      </c>
      <c r="E145" s="746" t="str">
        <f>IFERROR(__xludf.DUMMYFUNCTION("""COMPUTED_VALUE"""),"W. bancrofti")</f>
        <v>W. bancrofti</v>
      </c>
      <c r="F145" s="40" t="str">
        <f>IFERROR(__xludf.DUMMYFUNCTION("""COMPUTED_VALUE"""),"DEC &amp; Ivermectin")</f>
        <v>DEC &amp; Ivermectin</v>
      </c>
      <c r="G145" s="40" t="str">
        <f>IFERROR(__xludf.DUMMYFUNCTION("""COMPUTED_VALUE"""),"3 mg/kg + 400 μg/kg")</f>
        <v>3 mg/kg + 400 μg/kg</v>
      </c>
      <c r="H145" s="40">
        <f>IFERROR(__xludf.DUMMYFUNCTION("""COMPUTED_VALUE"""),1.0)</f>
        <v>1</v>
      </c>
      <c r="I145" s="741">
        <f>IFERROR(__xludf.DUMMYFUNCTION("""COMPUTED_VALUE"""),0.99998)</f>
        <v>0.99998</v>
      </c>
      <c r="J145" s="741" t="str">
        <f>IFERROR(__xludf.DUMMYFUNCTION("""COMPUTED_VALUE"""),"not available")</f>
        <v>not available</v>
      </c>
      <c r="K145" s="40" t="str">
        <f>IFERROR(__xludf.DUMMYFUNCTION("""COMPUTED_VALUE"""),"not available")</f>
        <v>not available</v>
      </c>
      <c r="L145" s="40">
        <f>IFERROR(__xludf.DUMMYFUNCTION("""COMPUTED_VALUE"""),5.0)</f>
        <v>5</v>
      </c>
      <c r="M145" s="214" t="str">
        <f>IFERROR(__xludf.DUMMYFUNCTION("""COMPUTED_VALUE"""),"not mentioned")</f>
        <v>not mentioned</v>
      </c>
      <c r="N145" s="806" t="str">
        <f>IFERROR(__xludf.DUMMYFUNCTION("""COMPUTED_VALUE"""),"0:5")</f>
        <v>0:5</v>
      </c>
      <c r="O145" s="40" t="str">
        <f>IFERROR(__xludf.DUMMYFUNCTION("""COMPUTED_VALUE"""),"male carriers")</f>
        <v>male carriers</v>
      </c>
      <c r="P145" s="40" t="str">
        <f>IFERROR(__xludf.DUMMYFUNCTION("""COMPUTED_VALUE"""),"randomized")</f>
        <v>randomized</v>
      </c>
      <c r="Q145" s="40" t="str">
        <f>IFERROR(__xludf.DUMMYFUNCTION("""COMPUTED_VALUE"""),"No")</f>
        <v>No</v>
      </c>
      <c r="R145" s="40" t="str">
        <f>IFERROR(__xludf.DUMMYFUNCTION("""COMPUTED_VALUE"""),"Yes")</f>
        <v>Yes</v>
      </c>
      <c r="S145" s="40" t="str">
        <f>IFERROR(__xludf.DUMMYFUNCTION("""COMPUTED_VALUE"""),"96 hours")</f>
        <v>96 hours</v>
      </c>
      <c r="T145" s="40" t="str">
        <f>IFERROR(__xludf.DUMMYFUNCTION("""COMPUTED_VALUE"""),"The results showed that 1) DEC alone or combined with ivermectin induced a rapid clearance of mf after drug intake; at H 1/2, the number of circulating microfilariae was reduced to 16%, 8%, 28%, and 31%, respectively, of pretreatment values in the groups "&amp;"receiving ivermectin plus DEC (400 p.g/kg plus 1 mg/kg, 400 p.g/kg plus 3 mg/kg, and 400 p.g/kg plus 6 mg/kg) and DEC (6 mg/kg) alone; 2) ivermectim alone induced a rapid increase of mf densities during the first 2 hr, followed by a sharp decrease from H4"&amp;" to H96; and 3) between H8 and H96, mf clearance was almost complete with the combination of ivermectim and DEC")</f>
        <v>The results showed that 1) DEC alone or combined with ivermectin induced a rapid clearance of mf after drug intake; at H 1/2, the number of circulating microfilariae was reduced to 16%, 8%, 28%, and 31%, respectively, of pretreatment values in the groups receiving ivermectin plus DEC (400 p.g/kg plus 1 mg/kg, 400 p.g/kg plus 3 mg/kg, and 400 p.g/kg plus 6 mg/kg) and DEC (6 mg/kg) alone; 2) ivermectim alone induced a rapid increase of mf densities during the first 2 hr, followed by a sharp decrease from H4 to H96; and 3) between H8 and H96, mf clearance was almost complete with the combination of ivermectim and DEC</v>
      </c>
      <c r="U145" s="40"/>
      <c r="V145" s="40">
        <f>IFERROR(__xludf.DUMMYFUNCTION("""COMPUTED_VALUE"""),1994.0)</f>
        <v>1994</v>
      </c>
      <c r="W145" s="40">
        <f>IFERROR(__xludf.DUMMYFUNCTION("""COMPUTED_VALUE"""),1994.0)</f>
        <v>1994</v>
      </c>
      <c r="X145" s="40" t="str">
        <f>IFERROR(__xludf.DUMMYFUNCTION("""COMPUTED_VALUE"""),"Moulia-Pelat, Jean-Paul, et al. ""Ivermectin plus diethylcarbamazine: an additive effect on early microfilarial clearance."" The American journal of tropical medicine and hygiene 50.2 (1994): 206-209.")</f>
        <v>Moulia-Pelat, Jean-Paul, et al. "Ivermectin plus diethylcarbamazine: an additive effect on early microfilarial clearance." The American journal of tropical medicine and hygiene 50.2 (1994): 206-209.</v>
      </c>
      <c r="Y145" s="40" t="str">
        <f>IFERROR(__xludf.DUMMYFUNCTION("""COMPUTED_VALUE"""),"10.1016/j.actatropica.2010.09.009.")</f>
        <v>10.1016/j.actatropica.2010.09.009.</v>
      </c>
      <c r="Z145" s="727" t="str">
        <f>IFERROR(__xludf.DUMMYFUNCTION("""COMPUTED_VALUE"""),"https://drive.google.com/file/d/0B0qKRmtVkPtWMmszREhFbkloWm8/view?usp=sharing")</f>
        <v>https://drive.google.com/file/d/0B0qKRmtVkPtWMmszREhFbkloWm8/view?usp=sharing</v>
      </c>
      <c r="AA145" s="40" t="str">
        <f>IFERROR(__xludf.DUMMYFUNCTION("""COMPUTED_VALUE"""),"x")</f>
        <v>x</v>
      </c>
      <c r="AB145" s="40"/>
    </row>
    <row r="146">
      <c r="A146" s="808" t="str">
        <f>IFERROR(__xludf.DUMMYFUNCTION("""COMPUTED_VALUE"""),"Moulia-Pelat 1994")</f>
        <v>Moulia-Pelat 1994</v>
      </c>
      <c r="B146" s="40" t="str">
        <f>IFERROR(__xludf.DUMMYFUNCTION("""COMPUTED_VALUE"""),"Mike")</f>
        <v>Mike</v>
      </c>
      <c r="C146" s="40" t="str">
        <f>IFERROR(__xludf.DUMMYFUNCTION("""COMPUTED_VALUE"""),"Alex")</f>
        <v>Alex</v>
      </c>
      <c r="D146" s="40" t="str">
        <f>IFERROR(__xludf.DUMMYFUNCTION("""COMPUTED_VALUE"""),"French Polynesia")</f>
        <v>French Polynesia</v>
      </c>
      <c r="E146" s="759" t="str">
        <f>IFERROR(__xludf.DUMMYFUNCTION("""COMPUTED_VALUE"""),"W. bancrofti")</f>
        <v>W. bancrofti</v>
      </c>
      <c r="F146" s="40" t="str">
        <f>IFERROR(__xludf.DUMMYFUNCTION("""COMPUTED_VALUE"""),"DEC &amp; Ivermectin")</f>
        <v>DEC &amp; Ivermectin</v>
      </c>
      <c r="G146" s="40" t="str">
        <f>IFERROR(__xludf.DUMMYFUNCTION("""COMPUTED_VALUE"""),"6 mg/kg + 400 μg/kg")</f>
        <v>6 mg/kg + 400 μg/kg</v>
      </c>
      <c r="H146" s="40">
        <f>IFERROR(__xludf.DUMMYFUNCTION("""COMPUTED_VALUE"""),1.0)</f>
        <v>1</v>
      </c>
      <c r="I146" s="741">
        <f>IFERROR(__xludf.DUMMYFUNCTION("""COMPUTED_VALUE"""),0.99997)</f>
        <v>0.99997</v>
      </c>
      <c r="J146" s="741" t="str">
        <f>IFERROR(__xludf.DUMMYFUNCTION("""COMPUTED_VALUE"""),"not available")</f>
        <v>not available</v>
      </c>
      <c r="K146" s="40" t="str">
        <f>IFERROR(__xludf.DUMMYFUNCTION("""COMPUTED_VALUE"""),"not available")</f>
        <v>not available</v>
      </c>
      <c r="L146" s="40">
        <f>IFERROR(__xludf.DUMMYFUNCTION("""COMPUTED_VALUE"""),5.0)</f>
        <v>5</v>
      </c>
      <c r="M146" s="214" t="str">
        <f>IFERROR(__xludf.DUMMYFUNCTION("""COMPUTED_VALUE"""),"not mentioned")</f>
        <v>not mentioned</v>
      </c>
      <c r="N146" s="806" t="str">
        <f>IFERROR(__xludf.DUMMYFUNCTION("""COMPUTED_VALUE"""),"0:5")</f>
        <v>0:5</v>
      </c>
      <c r="O146" s="40" t="str">
        <f>IFERROR(__xludf.DUMMYFUNCTION("""COMPUTED_VALUE"""),"male carriers")</f>
        <v>male carriers</v>
      </c>
      <c r="P146" s="40" t="str">
        <f>IFERROR(__xludf.DUMMYFUNCTION("""COMPUTED_VALUE"""),"randomized")</f>
        <v>randomized</v>
      </c>
      <c r="Q146" s="40" t="str">
        <f>IFERROR(__xludf.DUMMYFUNCTION("""COMPUTED_VALUE"""),"No")</f>
        <v>No</v>
      </c>
      <c r="R146" s="40" t="str">
        <f>IFERROR(__xludf.DUMMYFUNCTION("""COMPUTED_VALUE"""),"Yes")</f>
        <v>Yes</v>
      </c>
      <c r="S146" s="40" t="str">
        <f>IFERROR(__xludf.DUMMYFUNCTION("""COMPUTED_VALUE"""),"96 hours")</f>
        <v>96 hours</v>
      </c>
      <c r="T146" s="40" t="str">
        <f>IFERROR(__xludf.DUMMYFUNCTION("""COMPUTED_VALUE"""),"The results showed that 1) DEC alone or combined with ivermectin induced a rapid clearance of mf after drug intake; at H 1/2, the number of circulating microfilariae was reduced to 16%, 8%, 28%, and 31%, respectively, of pretreatment values in the groups "&amp;"receiving ivermectin plus DEC (400 p.g/kg plus 1 mg/kg, 400 p.g/kg plus 3 mg/kg, and 400 p.g/kg plus 6 mg/kg) and DEC (6 mg/kg) alone; 2) ivermectim alone induced a rapid increase of mf densities during the first 2 hr, followed by a sharp decrease from H4"&amp;" to H96; and 3) between H8 and H96, mf clearance was almost complete with the combination of ivermectim and DEC")</f>
        <v>The results showed that 1) DEC alone or combined with ivermectin induced a rapid clearance of mf after drug intake; at H 1/2, the number of circulating microfilariae was reduced to 16%, 8%, 28%, and 31%, respectively, of pretreatment values in the groups receiving ivermectin plus DEC (400 p.g/kg plus 1 mg/kg, 400 p.g/kg plus 3 mg/kg, and 400 p.g/kg plus 6 mg/kg) and DEC (6 mg/kg) alone; 2) ivermectim alone induced a rapid increase of mf densities during the first 2 hr, followed by a sharp decrease from H4 to H96; and 3) between H8 and H96, mf clearance was almost complete with the combination of ivermectim and DEC</v>
      </c>
      <c r="U146" s="40"/>
      <c r="V146" s="40">
        <f>IFERROR(__xludf.DUMMYFUNCTION("""COMPUTED_VALUE"""),1994.0)</f>
        <v>1994</v>
      </c>
      <c r="W146" s="40">
        <f>IFERROR(__xludf.DUMMYFUNCTION("""COMPUTED_VALUE"""),1994.0)</f>
        <v>1994</v>
      </c>
      <c r="X146" s="40" t="str">
        <f>IFERROR(__xludf.DUMMYFUNCTION("""COMPUTED_VALUE"""),"Moulia-Pelat, Jean-Paul, et al. ""Ivermectin plus diethylcarbamazine: an additive effect on early microfilarial clearance."" The American journal of tropical medicine and hygiene 50.2 (1994): 206-209.")</f>
        <v>Moulia-Pelat, Jean-Paul, et al. "Ivermectin plus diethylcarbamazine: an additive effect on early microfilarial clearance." The American journal of tropical medicine and hygiene 50.2 (1994): 206-209.</v>
      </c>
      <c r="Y146" s="40" t="str">
        <f>IFERROR(__xludf.DUMMYFUNCTION("""COMPUTED_VALUE"""),"10.1016/j.actatropica.2010.09.009.")</f>
        <v>10.1016/j.actatropica.2010.09.009.</v>
      </c>
      <c r="Z146" s="727" t="str">
        <f>IFERROR(__xludf.DUMMYFUNCTION("""COMPUTED_VALUE"""),"https://drive.google.com/file/d/0B0qKRmtVkPtWMmszREhFbkloWm8/view?usp=sharing")</f>
        <v>https://drive.google.com/file/d/0B0qKRmtVkPtWMmszREhFbkloWm8/view?usp=sharing</v>
      </c>
      <c r="AA146" s="40" t="str">
        <f>IFERROR(__xludf.DUMMYFUNCTION("""COMPUTED_VALUE"""),"x")</f>
        <v>x</v>
      </c>
      <c r="AB146" s="40"/>
    </row>
    <row r="147">
      <c r="A147" s="745" t="str">
        <f>IFERROR(__xludf.DUMMYFUNCTION("""COMPUTED_VALUE"""),"Moulia-Pelat 1994")</f>
        <v>Moulia-Pelat 1994</v>
      </c>
      <c r="B147" s="40" t="str">
        <f>IFERROR(__xludf.DUMMYFUNCTION("""COMPUTED_VALUE"""),"Mike")</f>
        <v>Mike</v>
      </c>
      <c r="C147" s="40" t="str">
        <f>IFERROR(__xludf.DUMMYFUNCTION("""COMPUTED_VALUE"""),"Alex")</f>
        <v>Alex</v>
      </c>
      <c r="D147" s="40" t="str">
        <f>IFERROR(__xludf.DUMMYFUNCTION("""COMPUTED_VALUE"""),"French Polynesia")</f>
        <v>French Polynesia</v>
      </c>
      <c r="E147" s="746" t="str">
        <f>IFERROR(__xludf.DUMMYFUNCTION("""COMPUTED_VALUE"""),"W. bancrofti")</f>
        <v>W. bancrofti</v>
      </c>
      <c r="F147" s="40" t="str">
        <f>IFERROR(__xludf.DUMMYFUNCTION("""COMPUTED_VALUE"""),"DEC")</f>
        <v>DEC</v>
      </c>
      <c r="G147" s="40" t="str">
        <f>IFERROR(__xludf.DUMMYFUNCTION("""COMPUTED_VALUE"""),"6mg/kg")</f>
        <v>6mg/kg</v>
      </c>
      <c r="H147" s="40">
        <f>IFERROR(__xludf.DUMMYFUNCTION("""COMPUTED_VALUE"""),1.0)</f>
        <v>1</v>
      </c>
      <c r="I147" s="741">
        <f>IFERROR(__xludf.DUMMYFUNCTION("""COMPUTED_VALUE"""),0.79)</f>
        <v>0.79</v>
      </c>
      <c r="J147" s="741" t="str">
        <f>IFERROR(__xludf.DUMMYFUNCTION("""COMPUTED_VALUE"""),"not available")</f>
        <v>not available</v>
      </c>
      <c r="K147" s="40" t="str">
        <f>IFERROR(__xludf.DUMMYFUNCTION("""COMPUTED_VALUE"""),"not available")</f>
        <v>not available</v>
      </c>
      <c r="L147" s="40">
        <f>IFERROR(__xludf.DUMMYFUNCTION("""COMPUTED_VALUE"""),5.0)</f>
        <v>5</v>
      </c>
      <c r="M147" s="214" t="str">
        <f>IFERROR(__xludf.DUMMYFUNCTION("""COMPUTED_VALUE"""),"not mentioned")</f>
        <v>not mentioned</v>
      </c>
      <c r="N147" s="806" t="str">
        <f>IFERROR(__xludf.DUMMYFUNCTION("""COMPUTED_VALUE"""),"0:5")</f>
        <v>0:5</v>
      </c>
      <c r="O147" s="40" t="str">
        <f>IFERROR(__xludf.DUMMYFUNCTION("""COMPUTED_VALUE"""),"male carriers")</f>
        <v>male carriers</v>
      </c>
      <c r="P147" s="40" t="str">
        <f>IFERROR(__xludf.DUMMYFUNCTION("""COMPUTED_VALUE"""),"randomized")</f>
        <v>randomized</v>
      </c>
      <c r="Q147" s="40" t="str">
        <f>IFERROR(__xludf.DUMMYFUNCTION("""COMPUTED_VALUE"""),"No")</f>
        <v>No</v>
      </c>
      <c r="R147" s="40" t="str">
        <f>IFERROR(__xludf.DUMMYFUNCTION("""COMPUTED_VALUE"""),"Yes")</f>
        <v>Yes</v>
      </c>
      <c r="S147" s="40" t="str">
        <f>IFERROR(__xludf.DUMMYFUNCTION("""COMPUTED_VALUE"""),"96 hours")</f>
        <v>96 hours</v>
      </c>
      <c r="T147" s="40" t="str">
        <f>IFERROR(__xludf.DUMMYFUNCTION("""COMPUTED_VALUE"""),"The results showed that 1) DEC alone or combined with ivermectin induced a rapid clearance of mf after drug intake; at H 1/2, the number of circulating microfilariae was reduced to 16%, 8%, 28%, and 31%, respectively, of pretreatment values in the groups "&amp;"receiving ivermectin plus DEC (400 p.g/kg plus 1 mg/kg, 400 p.g/kg plus 3 mg/kg, and 400 p.g/kg plus 6 mg/kg) and DEC (6 mg/kg) alone; 2) ivermectim alone induced a rapid increase of mf densities during the first 2 hr, followed by a sharp decrease from H4"&amp;" to H96; and 3) between H8 and H96, mf clearance was almost complete with the combination of ivermectim and DEC")</f>
        <v>The results showed that 1) DEC alone or combined with ivermectin induced a rapid clearance of mf after drug intake; at H 1/2, the number of circulating microfilariae was reduced to 16%, 8%, 28%, and 31%, respectively, of pretreatment values in the groups receiving ivermectin plus DEC (400 p.g/kg plus 1 mg/kg, 400 p.g/kg plus 3 mg/kg, and 400 p.g/kg plus 6 mg/kg) and DEC (6 mg/kg) alone; 2) ivermectim alone induced a rapid increase of mf densities during the first 2 hr, followed by a sharp decrease from H4 to H96; and 3) between H8 and H96, mf clearance was almost complete with the combination of ivermectim and DEC</v>
      </c>
      <c r="U147" s="40"/>
      <c r="V147" s="40">
        <f>IFERROR(__xludf.DUMMYFUNCTION("""COMPUTED_VALUE"""),1994.0)</f>
        <v>1994</v>
      </c>
      <c r="W147" s="40">
        <f>IFERROR(__xludf.DUMMYFUNCTION("""COMPUTED_VALUE"""),1994.0)</f>
        <v>1994</v>
      </c>
      <c r="X147" s="40" t="str">
        <f>IFERROR(__xludf.DUMMYFUNCTION("""COMPUTED_VALUE"""),"Moulia-Pelat, Jean-Paul, et al. ""Ivermectin plus diethylcarbamazine: an additive effect on early microfilarial clearance."" The American journal of tropical medicine and hygiene 50.2 (1994): 206-209.")</f>
        <v>Moulia-Pelat, Jean-Paul, et al. "Ivermectin plus diethylcarbamazine: an additive effect on early microfilarial clearance." The American journal of tropical medicine and hygiene 50.2 (1994): 206-209.</v>
      </c>
      <c r="Y147" s="40" t="str">
        <f>IFERROR(__xludf.DUMMYFUNCTION("""COMPUTED_VALUE"""),"10.1016/j.actatropica.2010.09.009.")</f>
        <v>10.1016/j.actatropica.2010.09.009.</v>
      </c>
      <c r="Z147" s="727" t="str">
        <f>IFERROR(__xludf.DUMMYFUNCTION("""COMPUTED_VALUE"""),"https://drive.google.com/file/d/0B0qKRmtVkPtWMmszREhFbkloWm8/view?usp=sharing")</f>
        <v>https://drive.google.com/file/d/0B0qKRmtVkPtWMmszREhFbkloWm8/view?usp=sharing</v>
      </c>
      <c r="AA147" s="40" t="str">
        <f>IFERROR(__xludf.DUMMYFUNCTION("""COMPUTED_VALUE"""),"x")</f>
        <v>x</v>
      </c>
      <c r="AB147" s="40"/>
    </row>
    <row r="148">
      <c r="A148" s="745" t="str">
        <f>IFERROR(__xludf.DUMMYFUNCTION("""COMPUTED_VALUE"""),"Moulia-Pelat 1994")</f>
        <v>Moulia-Pelat 1994</v>
      </c>
      <c r="B148" s="40" t="str">
        <f>IFERROR(__xludf.DUMMYFUNCTION("""COMPUTED_VALUE"""),"Mike")</f>
        <v>Mike</v>
      </c>
      <c r="C148" s="40" t="str">
        <f>IFERROR(__xludf.DUMMYFUNCTION("""COMPUTED_VALUE"""),"Alex")</f>
        <v>Alex</v>
      </c>
      <c r="D148" s="40" t="str">
        <f>IFERROR(__xludf.DUMMYFUNCTION("""COMPUTED_VALUE"""),"French Polynesia")</f>
        <v>French Polynesia</v>
      </c>
      <c r="E148" s="746" t="str">
        <f>IFERROR(__xludf.DUMMYFUNCTION("""COMPUTED_VALUE"""),"W. bancrofti")</f>
        <v>W. bancrofti</v>
      </c>
      <c r="F148" s="40" t="str">
        <f>IFERROR(__xludf.DUMMYFUNCTION("""COMPUTED_VALUE"""),"Ivermectin")</f>
        <v>Ivermectin</v>
      </c>
      <c r="G148" s="40" t="str">
        <f>IFERROR(__xludf.DUMMYFUNCTION("""COMPUTED_VALUE"""),".400 mg/kg")</f>
        <v>.400 mg/kg</v>
      </c>
      <c r="H148" s="40">
        <f>IFERROR(__xludf.DUMMYFUNCTION("""COMPUTED_VALUE"""),1.0)</f>
        <v>1</v>
      </c>
      <c r="I148" s="741">
        <f>IFERROR(__xludf.DUMMYFUNCTION("""COMPUTED_VALUE"""),0.98)</f>
        <v>0.98</v>
      </c>
      <c r="J148" s="741" t="str">
        <f>IFERROR(__xludf.DUMMYFUNCTION("""COMPUTED_VALUE"""),"not available")</f>
        <v>not available</v>
      </c>
      <c r="K148" s="40" t="str">
        <f>IFERROR(__xludf.DUMMYFUNCTION("""COMPUTED_VALUE"""),"not available")</f>
        <v>not available</v>
      </c>
      <c r="L148" s="40">
        <f>IFERROR(__xludf.DUMMYFUNCTION("""COMPUTED_VALUE"""),5.0)</f>
        <v>5</v>
      </c>
      <c r="M148" s="214" t="str">
        <f>IFERROR(__xludf.DUMMYFUNCTION("""COMPUTED_VALUE"""),"not mentioned")</f>
        <v>not mentioned</v>
      </c>
      <c r="N148" s="806" t="str">
        <f>IFERROR(__xludf.DUMMYFUNCTION("""COMPUTED_VALUE"""),"0:5")</f>
        <v>0:5</v>
      </c>
      <c r="O148" s="40" t="str">
        <f>IFERROR(__xludf.DUMMYFUNCTION("""COMPUTED_VALUE"""),"male carriers")</f>
        <v>male carriers</v>
      </c>
      <c r="P148" s="40" t="str">
        <f>IFERROR(__xludf.DUMMYFUNCTION("""COMPUTED_VALUE"""),"randomized")</f>
        <v>randomized</v>
      </c>
      <c r="Q148" s="40" t="str">
        <f>IFERROR(__xludf.DUMMYFUNCTION("""COMPUTED_VALUE"""),"No")</f>
        <v>No</v>
      </c>
      <c r="R148" s="40" t="str">
        <f>IFERROR(__xludf.DUMMYFUNCTION("""COMPUTED_VALUE"""),"Yes")</f>
        <v>Yes</v>
      </c>
      <c r="S148" s="40" t="str">
        <f>IFERROR(__xludf.DUMMYFUNCTION("""COMPUTED_VALUE"""),"96 hours")</f>
        <v>96 hours</v>
      </c>
      <c r="T148" s="40" t="str">
        <f>IFERROR(__xludf.DUMMYFUNCTION("""COMPUTED_VALUE"""),"The results showed that 1) DEC alone or combined with ivermectin induced a rapid clearance of mf after drug intake; at H 1/2, the number of circulating microfilariae was reduced to 16%, 8%, 28%, and 31%, respectively, of pretreatment values in the groups "&amp;"receiving ivermectin plus DEC (400 p.g/kg plus 1 mg/kg, 400 p.g/kg plus 3 mg/kg, and 400 p.g/kg plus 6 mg/kg) and DEC (6 mg/kg) alone; 2) ivermectim alone induced a rapid increase of mf densities during the first 2 hr, followed by a sharp decrease from H4"&amp;" to H96; and 3) between H8 and H96, mf clearance was almost complete with the combination of ivermectim and DEC")</f>
        <v>The results showed that 1) DEC alone or combined with ivermectin induced a rapid clearance of mf after drug intake; at H 1/2, the number of circulating microfilariae was reduced to 16%, 8%, 28%, and 31%, respectively, of pretreatment values in the groups receiving ivermectin plus DEC (400 p.g/kg plus 1 mg/kg, 400 p.g/kg plus 3 mg/kg, and 400 p.g/kg plus 6 mg/kg) and DEC (6 mg/kg) alone; 2) ivermectim alone induced a rapid increase of mf densities during the first 2 hr, followed by a sharp decrease from H4 to H96; and 3) between H8 and H96, mf clearance was almost complete with the combination of ivermectim and DEC</v>
      </c>
      <c r="U148" s="40"/>
      <c r="V148" s="40">
        <f>IFERROR(__xludf.DUMMYFUNCTION("""COMPUTED_VALUE"""),1994.0)</f>
        <v>1994</v>
      </c>
      <c r="W148" s="40">
        <f>IFERROR(__xludf.DUMMYFUNCTION("""COMPUTED_VALUE"""),1994.0)</f>
        <v>1994</v>
      </c>
      <c r="X148" s="40" t="str">
        <f>IFERROR(__xludf.DUMMYFUNCTION("""COMPUTED_VALUE"""),"Moulia-Pelat, Jean-Paul, et al. ""Ivermectin plus diethylcarbamazine: an additive effect on early microfilarial clearance."" The American journal of tropical medicine and hygiene 50.2 (1994): 206-209.")</f>
        <v>Moulia-Pelat, Jean-Paul, et al. "Ivermectin plus diethylcarbamazine: an additive effect on early microfilarial clearance." The American journal of tropical medicine and hygiene 50.2 (1994): 206-209.</v>
      </c>
      <c r="Y148" s="40" t="str">
        <f>IFERROR(__xludf.DUMMYFUNCTION("""COMPUTED_VALUE"""),"10.1016/j.actatropica.2010.09.009.")</f>
        <v>10.1016/j.actatropica.2010.09.009.</v>
      </c>
      <c r="Z148" s="727" t="str">
        <f>IFERROR(__xludf.DUMMYFUNCTION("""COMPUTED_VALUE"""),"https://drive.google.com/file/d/0B0qKRmtVkPtWMmszREhFbkloWm8/view?usp=sharing")</f>
        <v>https://drive.google.com/file/d/0B0qKRmtVkPtWMmszREhFbkloWm8/view?usp=sharing</v>
      </c>
      <c r="AA148" s="40" t="str">
        <f>IFERROR(__xludf.DUMMYFUNCTION("""COMPUTED_VALUE"""),"x")</f>
        <v>x</v>
      </c>
      <c r="AB148" s="40"/>
    </row>
    <row r="149">
      <c r="A149" s="745" t="str">
        <f>IFERROR(__xludf.DUMMYFUNCTION("""COMPUTED_VALUE"""),"Moulia-Pelat 1994")</f>
        <v>Moulia-Pelat 1994</v>
      </c>
      <c r="B149" s="40" t="str">
        <f>IFERROR(__xludf.DUMMYFUNCTION("""COMPUTED_VALUE"""),"Mike")</f>
        <v>Mike</v>
      </c>
      <c r="C149" s="40" t="str">
        <f>IFERROR(__xludf.DUMMYFUNCTION("""COMPUTED_VALUE"""),"Alex")</f>
        <v>Alex</v>
      </c>
      <c r="D149" s="40" t="str">
        <f>IFERROR(__xludf.DUMMYFUNCTION("""COMPUTED_VALUE"""),"French Polynesia")</f>
        <v>French Polynesia</v>
      </c>
      <c r="E149" s="746" t="str">
        <f>IFERROR(__xludf.DUMMYFUNCTION("""COMPUTED_VALUE"""),"W. bancrofti")</f>
        <v>W. bancrofti</v>
      </c>
      <c r="F149" s="40" t="str">
        <f>IFERROR(__xludf.DUMMYFUNCTION("""COMPUTED_VALUE"""),"Ivermectin")</f>
        <v>Ivermectin</v>
      </c>
      <c r="G149" s="40" t="str">
        <f>IFERROR(__xludf.DUMMYFUNCTION("""COMPUTED_VALUE"""),".100 mg/kg")</f>
        <v>.100 mg/kg</v>
      </c>
      <c r="H149" s="40">
        <f>IFERROR(__xludf.DUMMYFUNCTION("""COMPUTED_VALUE"""),1.0)</f>
        <v>1</v>
      </c>
      <c r="I149" s="741">
        <f>IFERROR(__xludf.DUMMYFUNCTION("""COMPUTED_VALUE"""),0.99)</f>
        <v>0.99</v>
      </c>
      <c r="J149" s="741" t="str">
        <f>IFERROR(__xludf.DUMMYFUNCTION("""COMPUTED_VALUE"""),"not available")</f>
        <v>not available</v>
      </c>
      <c r="K149" s="40" t="str">
        <f>IFERROR(__xludf.DUMMYFUNCTION("""COMPUTED_VALUE"""),"not available")</f>
        <v>not available</v>
      </c>
      <c r="L149" s="40">
        <f>IFERROR(__xludf.DUMMYFUNCTION("""COMPUTED_VALUE"""),5.0)</f>
        <v>5</v>
      </c>
      <c r="M149" s="214" t="str">
        <f>IFERROR(__xludf.DUMMYFUNCTION("""COMPUTED_VALUE"""),"not mentioned")</f>
        <v>not mentioned</v>
      </c>
      <c r="N149" s="806" t="str">
        <f>IFERROR(__xludf.DUMMYFUNCTION("""COMPUTED_VALUE"""),"0:5")</f>
        <v>0:5</v>
      </c>
      <c r="O149" s="40" t="str">
        <f>IFERROR(__xludf.DUMMYFUNCTION("""COMPUTED_VALUE"""),"male carriers")</f>
        <v>male carriers</v>
      </c>
      <c r="P149" s="40" t="str">
        <f>IFERROR(__xludf.DUMMYFUNCTION("""COMPUTED_VALUE"""),"randomized")</f>
        <v>randomized</v>
      </c>
      <c r="Q149" s="40" t="str">
        <f>IFERROR(__xludf.DUMMYFUNCTION("""COMPUTED_VALUE"""),"No")</f>
        <v>No</v>
      </c>
      <c r="R149" s="40" t="str">
        <f>IFERROR(__xludf.DUMMYFUNCTION("""COMPUTED_VALUE"""),"Yes")</f>
        <v>Yes</v>
      </c>
      <c r="S149" s="40" t="str">
        <f>IFERROR(__xludf.DUMMYFUNCTION("""COMPUTED_VALUE"""),"96 hours")</f>
        <v>96 hours</v>
      </c>
      <c r="T149" s="40" t="str">
        <f>IFERROR(__xludf.DUMMYFUNCTION("""COMPUTED_VALUE"""),"The results showed that 1) DEC alone or combined with ivermectin induced a rapid clearance of mf after drug intake; at H 1/2, the number of circulating microfilariae was reduced to 16%, 8%, 28%, and 31%, respectively, of pretreatment values in the groups "&amp;"receiving ivermectin plus DEC (400 p.g/kg plus 1 mg/kg, 400 p.g/kg plus 3 mg/kg, and 400 p.g/kg plus 6 mg/kg) and DEC (6 mg/kg) alone; 2) ivermectim alone induced a rapid increase of mf densities during the first 2 hr, followed by a sharp decrease from H4"&amp;" to H96; and 3) between H8 and H96, mf clearance was almost complete with the combination of ivermectim and DEC")</f>
        <v>The results showed that 1) DEC alone or combined with ivermectin induced a rapid clearance of mf after drug intake; at H 1/2, the number of circulating microfilariae was reduced to 16%, 8%, 28%, and 31%, respectively, of pretreatment values in the groups receiving ivermectin plus DEC (400 p.g/kg plus 1 mg/kg, 400 p.g/kg plus 3 mg/kg, and 400 p.g/kg plus 6 mg/kg) and DEC (6 mg/kg) alone; 2) ivermectim alone induced a rapid increase of mf densities during the first 2 hr, followed by a sharp decrease from H4 to H96; and 3) between H8 and H96, mf clearance was almost complete with the combination of ivermectim and DEC</v>
      </c>
      <c r="U149" s="40"/>
      <c r="V149" s="40">
        <f>IFERROR(__xludf.DUMMYFUNCTION("""COMPUTED_VALUE"""),1994.0)</f>
        <v>1994</v>
      </c>
      <c r="W149" s="40">
        <f>IFERROR(__xludf.DUMMYFUNCTION("""COMPUTED_VALUE"""),1994.0)</f>
        <v>1994</v>
      </c>
      <c r="X149" s="40" t="str">
        <f>IFERROR(__xludf.DUMMYFUNCTION("""COMPUTED_VALUE"""),"Moulia-Pelat, Jean-Paul, et al. ""Ivermectin plus diethylcarbamazine: an additive effect on early microfilarial clearance."" The American journal of tropical medicine and hygiene 50.2 (1994): 206-209.")</f>
        <v>Moulia-Pelat, Jean-Paul, et al. "Ivermectin plus diethylcarbamazine: an additive effect on early microfilarial clearance." The American journal of tropical medicine and hygiene 50.2 (1994): 206-209.</v>
      </c>
      <c r="Y149" s="40" t="str">
        <f>IFERROR(__xludf.DUMMYFUNCTION("""COMPUTED_VALUE"""),"10.1016/j.actatropica.2010.09.009.")</f>
        <v>10.1016/j.actatropica.2010.09.009.</v>
      </c>
      <c r="Z149" s="727" t="str">
        <f>IFERROR(__xludf.DUMMYFUNCTION("""COMPUTED_VALUE"""),"https://drive.google.com/file/d/0B0qKRmtVkPtWMmszREhFbkloWm8/view?usp=sharing")</f>
        <v>https://drive.google.com/file/d/0B0qKRmtVkPtWMmszREhFbkloWm8/view?usp=sharing</v>
      </c>
      <c r="AA149" s="40" t="str">
        <f>IFERROR(__xludf.DUMMYFUNCTION("""COMPUTED_VALUE"""),"x")</f>
        <v>x</v>
      </c>
      <c r="AB149" s="40"/>
    </row>
    <row r="150">
      <c r="A150" s="745" t="str">
        <f>IFERROR(__xludf.DUMMYFUNCTION("""COMPUTED_VALUE"""),"Glaziou 1994")</f>
        <v>Glaziou 1994</v>
      </c>
      <c r="B150" s="40" t="str">
        <f>IFERROR(__xludf.DUMMYFUNCTION("""COMPUTED_VALUE"""),"Mike")</f>
        <v>Mike</v>
      </c>
      <c r="C150" s="40" t="str">
        <f>IFERROR(__xludf.DUMMYFUNCTION("""COMPUTED_VALUE"""),"Alex")</f>
        <v>Alex</v>
      </c>
      <c r="D150" s="40" t="str">
        <f>IFERROR(__xludf.DUMMYFUNCTION("""COMPUTED_VALUE"""),"French Polynesia")</f>
        <v>French Polynesia</v>
      </c>
      <c r="E150" s="746" t="str">
        <f>IFERROR(__xludf.DUMMYFUNCTION("""COMPUTED_VALUE"""),"W. bancrofti")</f>
        <v>W. bancrofti</v>
      </c>
      <c r="F150" s="40" t="str">
        <f>IFERROR(__xludf.DUMMYFUNCTION("""COMPUTED_VALUE"""),"DEC &amp; Ivermectin")</f>
        <v>DEC &amp; Ivermectin</v>
      </c>
      <c r="G150" s="40" t="str">
        <f>IFERROR(__xludf.DUMMYFUNCTION("""COMPUTED_VALUE"""),"6mg/kg + 400µg/kg")</f>
        <v>6mg/kg + 400µg/kg</v>
      </c>
      <c r="H150" s="40">
        <f>IFERROR(__xludf.DUMMYFUNCTION("""COMPUTED_VALUE"""),1.0)</f>
        <v>1</v>
      </c>
      <c r="I150" s="741">
        <f>IFERROR(__xludf.DUMMYFUNCTION("""COMPUTED_VALUE"""),0.993)</f>
        <v>0.993</v>
      </c>
      <c r="J150" s="741" t="str">
        <f>IFERROR(__xludf.DUMMYFUNCTION("""COMPUTED_VALUE"""),"not available")</f>
        <v>not available</v>
      </c>
      <c r="K150" s="40" t="str">
        <f>IFERROR(__xludf.DUMMYFUNCTION("""COMPUTED_VALUE"""),"not available")</f>
        <v>not available</v>
      </c>
      <c r="L150" s="40">
        <f>IFERROR(__xludf.DUMMYFUNCTION("""COMPUTED_VALUE"""),19.0)</f>
        <v>19</v>
      </c>
      <c r="M150" s="214" t="str">
        <f>IFERROR(__xludf.DUMMYFUNCTION("""COMPUTED_VALUE"""),"19-69")</f>
        <v>19-69</v>
      </c>
      <c r="N150" s="806" t="str">
        <f>IFERROR(__xludf.DUMMYFUNCTION("""COMPUTED_VALUE"""),"0 : 19")</f>
        <v>0 : 19</v>
      </c>
      <c r="O150" s="40" t="str">
        <f>IFERROR(__xludf.DUMMYFUNCTION("""COMPUTED_VALUE"""),"The main criteria for exclusion were allergies or drug intolerance, renal or hepatic diseases, and intake of antililarial drugs during the preceding 2 years.")</f>
        <v>The main criteria for exclusion were allergies or drug intolerance, renal or hepatic diseases, and intake of antililarial drugs during the preceding 2 years.</v>
      </c>
      <c r="P150" s="40" t="str">
        <f>IFERROR(__xludf.DUMMYFUNCTION("""COMPUTED_VALUE"""),"double-blinded RCT")</f>
        <v>double-blinded RCT</v>
      </c>
      <c r="Q150" s="40" t="str">
        <f>IFERROR(__xludf.DUMMYFUNCTION("""COMPUTED_VALUE"""),"yes")</f>
        <v>yes</v>
      </c>
      <c r="R150" s="40" t="str">
        <f>IFERROR(__xludf.DUMMYFUNCTION("""COMPUTED_VALUE"""),"yes")</f>
        <v>yes</v>
      </c>
      <c r="S150" s="40" t="str">
        <f>IFERROR(__xludf.DUMMYFUNCTION("""COMPUTED_VALUE"""),"1 day")</f>
        <v>1 day</v>
      </c>
      <c r="T150" s="40" t="str">
        <f>IFERROR(__xludf.DUMMYFUNCTION("""COMPUTED_VALUE"""),"respectively, significantly lower in the IVR+DEC group than in both the IVR and DEC comparison groups. The combination IVR+DEC showed promise in term of sustained mf decrease, and could be an effective alternative for lymphatic filariasis control programm"&amp;"e")</f>
        <v>respectively, significantly lower in the IVR+DEC group than in both the IVR and DEC comparison groups. The combination IVR+DEC showed promise in term of sustained mf decrease, and could be an effective alternative for lymphatic filariasis control programme</v>
      </c>
      <c r="U150" s="40" t="str">
        <f>IFERROR(__xludf.DUMMYFUNCTION("""COMPUTED_VALUE"""),"noted cure rates were recorded 6 months after")</f>
        <v>noted cure rates were recorded 6 months after</v>
      </c>
      <c r="V150" s="40">
        <f>IFERROR(__xludf.DUMMYFUNCTION("""COMPUTED_VALUE"""),1994.0)</f>
        <v>1994</v>
      </c>
      <c r="W150" s="40">
        <f>IFERROR(__xludf.DUMMYFUNCTION("""COMPUTED_VALUE"""),1994.0)</f>
        <v>1994</v>
      </c>
      <c r="X150" s="40" t="str">
        <f>IFERROR(__xludf.DUMMYFUNCTION("""COMPUTED_VALUE"""),"Glaziou, P., et al. ""Double-blind controlled trial of a single dose of the combination ivermectin 400 μg/kg plus diethylcarbamazine 6 mg/kg for the treatment of bancroftian filariasis: results at six months."" Transactions of the Royal Society of Tropica"&amp;"l Medicine and Hygiene 88.6 (1994): 707-708.")</f>
        <v>Glaziou, P., et al. "Double-blind controlled trial of a single dose of the combination ivermectin 400 μg/kg plus diethylcarbamazine 6 mg/kg for the treatment of bancroftian filariasis: results at six months." Transactions of the Royal Society of Tropical Medicine and Hygiene 88.6 (1994): 707-708.</v>
      </c>
      <c r="Y150" s="727" t="str">
        <f>IFERROR(__xludf.DUMMYFUNCTION("""COMPUTED_VALUE"""),"http://dx.doi.org/10.1016/0035-9203(94)90241-0")</f>
        <v>http://dx.doi.org/10.1016/0035-9203(94)90241-0</v>
      </c>
      <c r="Z150" s="727" t="str">
        <f>IFERROR(__xludf.DUMMYFUNCTION("""COMPUTED_VALUE"""),"https://drive.google.com/file/d/0B0qKRmtVkPtWRV9FbnMyUXdCdEk/view?usp=sharing")</f>
        <v>https://drive.google.com/file/d/0B0qKRmtVkPtWRV9FbnMyUXdCdEk/view?usp=sharing</v>
      </c>
      <c r="AA150" s="40"/>
      <c r="AB150" s="40"/>
    </row>
    <row r="151">
      <c r="A151" s="745" t="str">
        <f>IFERROR(__xludf.DUMMYFUNCTION("""COMPUTED_VALUE"""),"Glaziou 1994")</f>
        <v>Glaziou 1994</v>
      </c>
      <c r="B151" s="40" t="str">
        <f>IFERROR(__xludf.DUMMYFUNCTION("""COMPUTED_VALUE"""),"Mike")</f>
        <v>Mike</v>
      </c>
      <c r="C151" s="40" t="str">
        <f>IFERROR(__xludf.DUMMYFUNCTION("""COMPUTED_VALUE"""),"Alex")</f>
        <v>Alex</v>
      </c>
      <c r="D151" s="40" t="str">
        <f>IFERROR(__xludf.DUMMYFUNCTION("""COMPUTED_VALUE"""),"French Polynesia")</f>
        <v>French Polynesia</v>
      </c>
      <c r="E151" s="746" t="str">
        <f>IFERROR(__xludf.DUMMYFUNCTION("""COMPUTED_VALUE"""),"W. bancrofti")</f>
        <v>W. bancrofti</v>
      </c>
      <c r="F151" s="40" t="str">
        <f>IFERROR(__xludf.DUMMYFUNCTION("""COMPUTED_VALUE"""),"DEC &amp; Ivermectin")</f>
        <v>DEC &amp; Ivermectin</v>
      </c>
      <c r="G151" s="40" t="str">
        <f>IFERROR(__xludf.DUMMYFUNCTION("""COMPUTED_VALUE"""),"6mg/kg + 400µg/kg")</f>
        <v>6mg/kg + 400µg/kg</v>
      </c>
      <c r="H151" s="40">
        <f>IFERROR(__xludf.DUMMYFUNCTION("""COMPUTED_VALUE"""),1.0)</f>
        <v>1</v>
      </c>
      <c r="I151" s="741">
        <f>IFERROR(__xludf.DUMMYFUNCTION("""COMPUTED_VALUE"""),0.992)</f>
        <v>0.992</v>
      </c>
      <c r="J151" s="741" t="str">
        <f>IFERROR(__xludf.DUMMYFUNCTION("""COMPUTED_VALUE"""),"not available")</f>
        <v>not available</v>
      </c>
      <c r="K151" s="40" t="str">
        <f>IFERROR(__xludf.DUMMYFUNCTION("""COMPUTED_VALUE"""),"not available")</f>
        <v>not available</v>
      </c>
      <c r="L151" s="40">
        <f>IFERROR(__xludf.DUMMYFUNCTION("""COMPUTED_VALUE"""),19.0)</f>
        <v>19</v>
      </c>
      <c r="M151" s="214" t="str">
        <f>IFERROR(__xludf.DUMMYFUNCTION("""COMPUTED_VALUE"""),"19-69")</f>
        <v>19-69</v>
      </c>
      <c r="N151" s="806" t="str">
        <f>IFERROR(__xludf.DUMMYFUNCTION("""COMPUTED_VALUE"""),"0 : 19")</f>
        <v>0 : 19</v>
      </c>
      <c r="O151" s="40" t="str">
        <f>IFERROR(__xludf.DUMMYFUNCTION("""COMPUTED_VALUE"""),"The main criteria for exclusion were allergies or drug intolerance, renal or hepatic diseases, and intake of antililarial drugs during the preceding 2 years.")</f>
        <v>The main criteria for exclusion were allergies or drug intolerance, renal or hepatic diseases, and intake of antililarial drugs during the preceding 2 years.</v>
      </c>
      <c r="P151" s="40" t="str">
        <f>IFERROR(__xludf.DUMMYFUNCTION("""COMPUTED_VALUE"""),"double-blinded RCT")</f>
        <v>double-blinded RCT</v>
      </c>
      <c r="Q151" s="40" t="str">
        <f>IFERROR(__xludf.DUMMYFUNCTION("""COMPUTED_VALUE"""),"yes")</f>
        <v>yes</v>
      </c>
      <c r="R151" s="40" t="str">
        <f>IFERROR(__xludf.DUMMYFUNCTION("""COMPUTED_VALUE"""),"yes")</f>
        <v>yes</v>
      </c>
      <c r="S151" s="40" t="str">
        <f>IFERROR(__xludf.DUMMYFUNCTION("""COMPUTED_VALUE"""),"30 days")</f>
        <v>30 days</v>
      </c>
      <c r="T151" s="40" t="str">
        <f>IFERROR(__xludf.DUMMYFUNCTION("""COMPUTED_VALUE"""),"respectively, significantly lower in the IVR+DEC group than in both the IVR and DEC comparison groups. The combination IVR+DEC showed promise in term of sustained mf decrease, and could be an effective alternative for lymphatic filariasis control programm"&amp;"e")</f>
        <v>respectively, significantly lower in the IVR+DEC group than in both the IVR and DEC comparison groups. The combination IVR+DEC showed promise in term of sustained mf decrease, and could be an effective alternative for lymphatic filariasis control programme</v>
      </c>
      <c r="U151" s="40" t="str">
        <f>IFERROR(__xludf.DUMMYFUNCTION("""COMPUTED_VALUE"""),"noted cure rates were recorded 6 months after")</f>
        <v>noted cure rates were recorded 6 months after</v>
      </c>
      <c r="V151" s="40">
        <f>IFERROR(__xludf.DUMMYFUNCTION("""COMPUTED_VALUE"""),1994.0)</f>
        <v>1994</v>
      </c>
      <c r="W151" s="40">
        <f>IFERROR(__xludf.DUMMYFUNCTION("""COMPUTED_VALUE"""),1994.0)</f>
        <v>1994</v>
      </c>
      <c r="X151" s="40" t="str">
        <f>IFERROR(__xludf.DUMMYFUNCTION("""COMPUTED_VALUE"""),"Glaziou, P., et al. ""Double-blind controlled trial of a single dose of the combination ivermectin 400 μg/kg plus diethylcarbamazine 6 mg/kg for the treatment of bancroftian filariasis: results at six months."" Transactions of the Royal Society of Tropica"&amp;"l Medicine and Hygiene 88.6 (1994): 707-708.")</f>
        <v>Glaziou, P., et al. "Double-blind controlled trial of a single dose of the combination ivermectin 400 μg/kg plus diethylcarbamazine 6 mg/kg for the treatment of bancroftian filariasis: results at six months." Transactions of the Royal Society of Tropical Medicine and Hygiene 88.6 (1994): 707-708.</v>
      </c>
      <c r="Y151" s="727" t="str">
        <f>IFERROR(__xludf.DUMMYFUNCTION("""COMPUTED_VALUE"""),"http://dx.doi.org/10.1016/0035-9203(94)90241-1")</f>
        <v>http://dx.doi.org/10.1016/0035-9203(94)90241-1</v>
      </c>
      <c r="Z151" s="727" t="str">
        <f>IFERROR(__xludf.DUMMYFUNCTION("""COMPUTED_VALUE"""),"https://drive.google.com/file/d/0B0qKRmtVkPtWRV9FbnMyUXdCdEk/view?usp=sharing")</f>
        <v>https://drive.google.com/file/d/0B0qKRmtVkPtWRV9FbnMyUXdCdEk/view?usp=sharing</v>
      </c>
      <c r="AA151" s="40"/>
      <c r="AB151" s="40"/>
    </row>
    <row r="152">
      <c r="A152" s="745" t="str">
        <f>IFERROR(__xludf.DUMMYFUNCTION("""COMPUTED_VALUE"""),"Glaziou 1994")</f>
        <v>Glaziou 1994</v>
      </c>
      <c r="B152" s="40" t="str">
        <f>IFERROR(__xludf.DUMMYFUNCTION("""COMPUTED_VALUE"""),"Mike")</f>
        <v>Mike</v>
      </c>
      <c r="C152" s="40" t="str">
        <f>IFERROR(__xludf.DUMMYFUNCTION("""COMPUTED_VALUE"""),"Alex")</f>
        <v>Alex</v>
      </c>
      <c r="D152" s="40" t="str">
        <f>IFERROR(__xludf.DUMMYFUNCTION("""COMPUTED_VALUE"""),"French Polynesia")</f>
        <v>French Polynesia</v>
      </c>
      <c r="E152" s="746" t="str">
        <f>IFERROR(__xludf.DUMMYFUNCTION("""COMPUTED_VALUE"""),"W. bancrofti")</f>
        <v>W. bancrofti</v>
      </c>
      <c r="F152" s="40" t="str">
        <f>IFERROR(__xludf.DUMMYFUNCTION("""COMPUTED_VALUE"""),"DEC &amp; Ivermectin")</f>
        <v>DEC &amp; Ivermectin</v>
      </c>
      <c r="G152" s="40" t="str">
        <f>IFERROR(__xludf.DUMMYFUNCTION("""COMPUTED_VALUE"""),"6mg/kg + 400µg/kg")</f>
        <v>6mg/kg + 400µg/kg</v>
      </c>
      <c r="H152" s="40">
        <f>IFERROR(__xludf.DUMMYFUNCTION("""COMPUTED_VALUE"""),1.0)</f>
        <v>1</v>
      </c>
      <c r="I152" s="741">
        <f>IFERROR(__xludf.DUMMYFUNCTION("""COMPUTED_VALUE"""),0.987)</f>
        <v>0.987</v>
      </c>
      <c r="J152" s="741" t="str">
        <f>IFERROR(__xludf.DUMMYFUNCTION("""COMPUTED_VALUE"""),"not available")</f>
        <v>not available</v>
      </c>
      <c r="K152" s="40" t="str">
        <f>IFERROR(__xludf.DUMMYFUNCTION("""COMPUTED_VALUE"""),"not available")</f>
        <v>not available</v>
      </c>
      <c r="L152" s="40">
        <f>IFERROR(__xludf.DUMMYFUNCTION("""COMPUTED_VALUE"""),19.0)</f>
        <v>19</v>
      </c>
      <c r="M152" s="214" t="str">
        <f>IFERROR(__xludf.DUMMYFUNCTION("""COMPUTED_VALUE"""),"19-69")</f>
        <v>19-69</v>
      </c>
      <c r="N152" s="806" t="str">
        <f>IFERROR(__xludf.DUMMYFUNCTION("""COMPUTED_VALUE"""),"0 : 19")</f>
        <v>0 : 19</v>
      </c>
      <c r="O152" s="40" t="str">
        <f>IFERROR(__xludf.DUMMYFUNCTION("""COMPUTED_VALUE"""),"The main criteria for exclusion were allergies or drug intolerance, renal or hepatic diseases, and intake of antililarial drugs during the preceding 2 years.")</f>
        <v>The main criteria for exclusion were allergies or drug intolerance, renal or hepatic diseases, and intake of antililarial drugs during the preceding 2 years.</v>
      </c>
      <c r="P152" s="40" t="str">
        <f>IFERROR(__xludf.DUMMYFUNCTION("""COMPUTED_VALUE"""),"double-blinded RCT")</f>
        <v>double-blinded RCT</v>
      </c>
      <c r="Q152" s="40" t="str">
        <f>IFERROR(__xludf.DUMMYFUNCTION("""COMPUTED_VALUE"""),"yes")</f>
        <v>yes</v>
      </c>
      <c r="R152" s="40" t="str">
        <f>IFERROR(__xludf.DUMMYFUNCTION("""COMPUTED_VALUE"""),"yes")</f>
        <v>yes</v>
      </c>
      <c r="S152" s="40" t="str">
        <f>IFERROR(__xludf.DUMMYFUNCTION("""COMPUTED_VALUE"""),"90 days")</f>
        <v>90 days</v>
      </c>
      <c r="T152" s="40" t="str">
        <f>IFERROR(__xludf.DUMMYFUNCTION("""COMPUTED_VALUE"""),"respectively, significantly lower in the IVR+DEC group than in both the IVR and DEC comparison groups. The combination IVR+DEC showed promise in term of sustained mf decrease, and could be an effective alternative for lymphatic filariasis control programm"&amp;"e")</f>
        <v>respectively, significantly lower in the IVR+DEC group than in both the IVR and DEC comparison groups. The combination IVR+DEC showed promise in term of sustained mf decrease, and could be an effective alternative for lymphatic filariasis control programme</v>
      </c>
      <c r="U152" s="40" t="str">
        <f>IFERROR(__xludf.DUMMYFUNCTION("""COMPUTED_VALUE"""),"noted cure rates were recorded 6 months after")</f>
        <v>noted cure rates were recorded 6 months after</v>
      </c>
      <c r="V152" s="40">
        <f>IFERROR(__xludf.DUMMYFUNCTION("""COMPUTED_VALUE"""),1994.0)</f>
        <v>1994</v>
      </c>
      <c r="W152" s="40">
        <f>IFERROR(__xludf.DUMMYFUNCTION("""COMPUTED_VALUE"""),1994.0)</f>
        <v>1994</v>
      </c>
      <c r="X152" s="40" t="str">
        <f>IFERROR(__xludf.DUMMYFUNCTION("""COMPUTED_VALUE"""),"Glaziou, P., et al. ""Double-blind controlled trial of a single dose of the combination ivermectin 400 μg/kg plus diethylcarbamazine 6 mg/kg for the treatment of bancroftian filariasis: results at six months."" Transactions of the Royal Society of Tropica"&amp;"l Medicine and Hygiene 88.6 (1994): 707-708.")</f>
        <v>Glaziou, P., et al. "Double-blind controlled trial of a single dose of the combination ivermectin 400 μg/kg plus diethylcarbamazine 6 mg/kg for the treatment of bancroftian filariasis: results at six months." Transactions of the Royal Society of Tropical Medicine and Hygiene 88.6 (1994): 707-708.</v>
      </c>
      <c r="Y152" s="727" t="str">
        <f>IFERROR(__xludf.DUMMYFUNCTION("""COMPUTED_VALUE"""),"http://dx.doi.org/10.1016/0035-9203(94)90241-2")</f>
        <v>http://dx.doi.org/10.1016/0035-9203(94)90241-2</v>
      </c>
      <c r="Z152" s="727" t="str">
        <f>IFERROR(__xludf.DUMMYFUNCTION("""COMPUTED_VALUE"""),"https://drive.google.com/file/d/0B0qKRmtVkPtWRV9FbnMyUXdCdEk/view?usp=sharing")</f>
        <v>https://drive.google.com/file/d/0B0qKRmtVkPtWRV9FbnMyUXdCdEk/view?usp=sharing</v>
      </c>
      <c r="AA152" s="40"/>
      <c r="AB152" s="40"/>
    </row>
    <row r="153">
      <c r="A153" s="745" t="str">
        <f>IFERROR(__xludf.DUMMYFUNCTION("""COMPUTED_VALUE"""),"Glaziou 1994")</f>
        <v>Glaziou 1994</v>
      </c>
      <c r="B153" s="40" t="str">
        <f>IFERROR(__xludf.DUMMYFUNCTION("""COMPUTED_VALUE"""),"Mike")</f>
        <v>Mike</v>
      </c>
      <c r="C153" s="40" t="str">
        <f>IFERROR(__xludf.DUMMYFUNCTION("""COMPUTED_VALUE"""),"Alex")</f>
        <v>Alex</v>
      </c>
      <c r="D153" s="40" t="str">
        <f>IFERROR(__xludf.DUMMYFUNCTION("""COMPUTED_VALUE"""),"French Polynesia")</f>
        <v>French Polynesia</v>
      </c>
      <c r="E153" s="746" t="str">
        <f>IFERROR(__xludf.DUMMYFUNCTION("""COMPUTED_VALUE"""),"W. bancrofti")</f>
        <v>W. bancrofti</v>
      </c>
      <c r="F153" s="40" t="str">
        <f>IFERROR(__xludf.DUMMYFUNCTION("""COMPUTED_VALUE"""),"DEC &amp; Ivermectin")</f>
        <v>DEC &amp; Ivermectin</v>
      </c>
      <c r="G153" s="40" t="str">
        <f>IFERROR(__xludf.DUMMYFUNCTION("""COMPUTED_VALUE"""),"6mg/kg + 400µg/kg")</f>
        <v>6mg/kg + 400µg/kg</v>
      </c>
      <c r="H153" s="40">
        <f>IFERROR(__xludf.DUMMYFUNCTION("""COMPUTED_VALUE"""),1.0)</f>
        <v>1</v>
      </c>
      <c r="I153" s="741">
        <f>IFERROR(__xludf.DUMMYFUNCTION("""COMPUTED_VALUE"""),0.99)</f>
        <v>0.99</v>
      </c>
      <c r="J153" s="741">
        <f>IFERROR(__xludf.DUMMYFUNCTION("""COMPUTED_VALUE"""),0.53)</f>
        <v>0.53</v>
      </c>
      <c r="K153" s="40" t="str">
        <f>IFERROR(__xludf.DUMMYFUNCTION("""COMPUTED_VALUE"""),"not available")</f>
        <v>not available</v>
      </c>
      <c r="L153" s="40">
        <f>IFERROR(__xludf.DUMMYFUNCTION("""COMPUTED_VALUE"""),19.0)</f>
        <v>19</v>
      </c>
      <c r="M153" s="214" t="str">
        <f>IFERROR(__xludf.DUMMYFUNCTION("""COMPUTED_VALUE"""),"19-69")</f>
        <v>19-69</v>
      </c>
      <c r="N153" s="806" t="str">
        <f>IFERROR(__xludf.DUMMYFUNCTION("""COMPUTED_VALUE"""),"0 : 19")</f>
        <v>0 : 19</v>
      </c>
      <c r="O153" s="40" t="str">
        <f>IFERROR(__xludf.DUMMYFUNCTION("""COMPUTED_VALUE"""),"The main criteria for exclusion were allergies or drug intolerance, renal or hepatic diseases, and intake of antililarial drugs during the preceding 2 years.")</f>
        <v>The main criteria for exclusion were allergies or drug intolerance, renal or hepatic diseases, and intake of antililarial drugs during the preceding 2 years.</v>
      </c>
      <c r="P153" s="40" t="str">
        <f>IFERROR(__xludf.DUMMYFUNCTION("""COMPUTED_VALUE"""),"double-blinded RCT")</f>
        <v>double-blinded RCT</v>
      </c>
      <c r="Q153" s="40" t="str">
        <f>IFERROR(__xludf.DUMMYFUNCTION("""COMPUTED_VALUE"""),"yes")</f>
        <v>yes</v>
      </c>
      <c r="R153" s="40" t="str">
        <f>IFERROR(__xludf.DUMMYFUNCTION("""COMPUTED_VALUE"""),"yes")</f>
        <v>yes</v>
      </c>
      <c r="S153" s="40" t="str">
        <f>IFERROR(__xludf.DUMMYFUNCTION("""COMPUTED_VALUE"""),"180 days")</f>
        <v>180 days</v>
      </c>
      <c r="T153" s="40" t="str">
        <f>IFERROR(__xludf.DUMMYFUNCTION("""COMPUTED_VALUE"""),"respectively, significantly lower in the IVR+DEC group than in both the IVR and DEC comparison groups. The combination IVR+DEC showed promise in term of sustained mf decrease, and could be an effective alternative for lymphatic filariasis control programm"&amp;"e")</f>
        <v>respectively, significantly lower in the IVR+DEC group than in both the IVR and DEC comparison groups. The combination IVR+DEC showed promise in term of sustained mf decrease, and could be an effective alternative for lymphatic filariasis control programme</v>
      </c>
      <c r="U153" s="40" t="str">
        <f>IFERROR(__xludf.DUMMYFUNCTION("""COMPUTED_VALUE"""),"noted cure rates were recorded 6 months after")</f>
        <v>noted cure rates were recorded 6 months after</v>
      </c>
      <c r="V153" s="40">
        <f>IFERROR(__xludf.DUMMYFUNCTION("""COMPUTED_VALUE"""),1994.0)</f>
        <v>1994</v>
      </c>
      <c r="W153" s="40">
        <f>IFERROR(__xludf.DUMMYFUNCTION("""COMPUTED_VALUE"""),1994.0)</f>
        <v>1994</v>
      </c>
      <c r="X153" s="40" t="str">
        <f>IFERROR(__xludf.DUMMYFUNCTION("""COMPUTED_VALUE"""),"Glaziou, P., et al. ""Double-blind controlled trial of a single dose of the combination ivermectin 400 μg/kg plus diethylcarbamazine 6 mg/kg for the treatment of bancroftian filariasis: results at six months."" Transactions of the Royal Society of Tropica"&amp;"l Medicine and Hygiene 88.6 (1994): 707-708.")</f>
        <v>Glaziou, P., et al. "Double-blind controlled trial of a single dose of the combination ivermectin 400 μg/kg plus diethylcarbamazine 6 mg/kg for the treatment of bancroftian filariasis: results at six months." Transactions of the Royal Society of Tropical Medicine and Hygiene 88.6 (1994): 707-708.</v>
      </c>
      <c r="Y153" s="727" t="str">
        <f>IFERROR(__xludf.DUMMYFUNCTION("""COMPUTED_VALUE"""),"http://dx.doi.org/10.1016/0035-9203(94)90241-3")</f>
        <v>http://dx.doi.org/10.1016/0035-9203(94)90241-3</v>
      </c>
      <c r="Z153" s="727" t="str">
        <f>IFERROR(__xludf.DUMMYFUNCTION("""COMPUTED_VALUE"""),"https://drive.google.com/file/d/0B0qKRmtVkPtWRV9FbnMyUXdCdEk/view?usp=sharing")</f>
        <v>https://drive.google.com/file/d/0B0qKRmtVkPtWRV9FbnMyUXdCdEk/view?usp=sharing</v>
      </c>
      <c r="AA153" s="40"/>
      <c r="AB153" s="40"/>
    </row>
    <row r="154">
      <c r="A154" s="745" t="str">
        <f>IFERROR(__xludf.DUMMYFUNCTION("""COMPUTED_VALUE"""),"Glaziou 1994")</f>
        <v>Glaziou 1994</v>
      </c>
      <c r="B154" s="40" t="str">
        <f>IFERROR(__xludf.DUMMYFUNCTION("""COMPUTED_VALUE"""),"Mike")</f>
        <v>Mike</v>
      </c>
      <c r="C154" s="40" t="str">
        <f>IFERROR(__xludf.DUMMYFUNCTION("""COMPUTED_VALUE"""),"Alex")</f>
        <v>Alex</v>
      </c>
      <c r="D154" s="40" t="str">
        <f>IFERROR(__xludf.DUMMYFUNCTION("""COMPUTED_VALUE"""),"French Polynesia")</f>
        <v>French Polynesia</v>
      </c>
      <c r="E154" s="746" t="str">
        <f>IFERROR(__xludf.DUMMYFUNCTION("""COMPUTED_VALUE"""),"W. bancrofti")</f>
        <v>W. bancrofti</v>
      </c>
      <c r="F154" s="40" t="str">
        <f>IFERROR(__xludf.DUMMYFUNCTION("""COMPUTED_VALUE"""),"Ivermectin")</f>
        <v>Ivermectin</v>
      </c>
      <c r="G154" s="40" t="str">
        <f>IFERROR(__xludf.DUMMYFUNCTION("""COMPUTED_VALUE"""),".400mg/kg")</f>
        <v>.400mg/kg</v>
      </c>
      <c r="H154" s="40">
        <f>IFERROR(__xludf.DUMMYFUNCTION("""COMPUTED_VALUE"""),1.0)</f>
        <v>1</v>
      </c>
      <c r="I154" s="741">
        <f>IFERROR(__xludf.DUMMYFUNCTION("""COMPUTED_VALUE"""),0.988)</f>
        <v>0.988</v>
      </c>
      <c r="J154" s="741" t="str">
        <f>IFERROR(__xludf.DUMMYFUNCTION("""COMPUTED_VALUE"""),"not available")</f>
        <v>not available</v>
      </c>
      <c r="K154" s="40" t="str">
        <f>IFERROR(__xludf.DUMMYFUNCTION("""COMPUTED_VALUE"""),"not available")</f>
        <v>not available</v>
      </c>
      <c r="L154" s="40">
        <f>IFERROR(__xludf.DUMMYFUNCTION("""COMPUTED_VALUE"""),19.0)</f>
        <v>19</v>
      </c>
      <c r="M154" s="214" t="str">
        <f>IFERROR(__xludf.DUMMYFUNCTION("""COMPUTED_VALUE"""),"19-69")</f>
        <v>19-69</v>
      </c>
      <c r="N154" s="806" t="str">
        <f>IFERROR(__xludf.DUMMYFUNCTION("""COMPUTED_VALUE"""),"0 : 19")</f>
        <v>0 : 19</v>
      </c>
      <c r="O154" s="40" t="str">
        <f>IFERROR(__xludf.DUMMYFUNCTION("""COMPUTED_VALUE"""),"The main criteria for exclusion were allergies or drug intolerance, renal or hepatic diseases, and intake of antililarial drugs during the preceding 2 years.")</f>
        <v>The main criteria for exclusion were allergies or drug intolerance, renal or hepatic diseases, and intake of antililarial drugs during the preceding 2 years.</v>
      </c>
      <c r="P154" s="40" t="str">
        <f>IFERROR(__xludf.DUMMYFUNCTION("""COMPUTED_VALUE"""),"double-blinded RCT")</f>
        <v>double-blinded RCT</v>
      </c>
      <c r="Q154" s="40" t="str">
        <f>IFERROR(__xludf.DUMMYFUNCTION("""COMPUTED_VALUE"""),"yes")</f>
        <v>yes</v>
      </c>
      <c r="R154" s="40" t="str">
        <f>IFERROR(__xludf.DUMMYFUNCTION("""COMPUTED_VALUE"""),"yes")</f>
        <v>yes</v>
      </c>
      <c r="S154" s="40" t="str">
        <f>IFERROR(__xludf.DUMMYFUNCTION("""COMPUTED_VALUE"""),"1 day")</f>
        <v>1 day</v>
      </c>
      <c r="T154" s="40" t="str">
        <f>IFERROR(__xludf.DUMMYFUNCTION("""COMPUTED_VALUE"""),"respectively, significantly lower in the IVR+DEC group than in both the IVR and DEC comparison groups. The combination IVR+DEC showed promise in term of sustained mf decrease, and could be an effective alternative for lymphatic filariasis control programm"&amp;"e")</f>
        <v>respectively, significantly lower in the IVR+DEC group than in both the IVR and DEC comparison groups. The combination IVR+DEC showed promise in term of sustained mf decrease, and could be an effective alternative for lymphatic filariasis control programme</v>
      </c>
      <c r="U154" s="40" t="str">
        <f>IFERROR(__xludf.DUMMYFUNCTION("""COMPUTED_VALUE"""),"noted cure rates were recorded 6 months after")</f>
        <v>noted cure rates were recorded 6 months after</v>
      </c>
      <c r="V154" s="40">
        <f>IFERROR(__xludf.DUMMYFUNCTION("""COMPUTED_VALUE"""),1994.0)</f>
        <v>1994</v>
      </c>
      <c r="W154" s="40">
        <f>IFERROR(__xludf.DUMMYFUNCTION("""COMPUTED_VALUE"""),1994.0)</f>
        <v>1994</v>
      </c>
      <c r="X154" s="40" t="str">
        <f>IFERROR(__xludf.DUMMYFUNCTION("""COMPUTED_VALUE"""),"Glaziou, P., et al. ""Double-blind controlled trial of a single dose of the combination ivermectin 400 μg/kg plus diethylcarbamazine 6 mg/kg for the treatment of bancroftian filariasis: results at six months."" Transactions of the Royal Society of Tropica"&amp;"l Medicine and Hygiene 88.6 (1994): 707-708.")</f>
        <v>Glaziou, P., et al. "Double-blind controlled trial of a single dose of the combination ivermectin 400 μg/kg plus diethylcarbamazine 6 mg/kg for the treatment of bancroftian filariasis: results at six months." Transactions of the Royal Society of Tropical Medicine and Hygiene 88.6 (1994): 707-708.</v>
      </c>
      <c r="Y154" s="727" t="str">
        <f>IFERROR(__xludf.DUMMYFUNCTION("""COMPUTED_VALUE"""),"http://dx.doi.org/10.1016/0035-9203(94)90241-4")</f>
        <v>http://dx.doi.org/10.1016/0035-9203(94)90241-4</v>
      </c>
      <c r="Z154" s="727" t="str">
        <f>IFERROR(__xludf.DUMMYFUNCTION("""COMPUTED_VALUE"""),"https://drive.google.com/file/d/0B0qKRmtVkPtWRV9FbnMyUXdCdEk/view?usp=sharing")</f>
        <v>https://drive.google.com/file/d/0B0qKRmtVkPtWRV9FbnMyUXdCdEk/view?usp=sharing</v>
      </c>
      <c r="AA154" s="40"/>
      <c r="AB154" s="40"/>
    </row>
    <row r="155">
      <c r="A155" s="745" t="str">
        <f>IFERROR(__xludf.DUMMYFUNCTION("""COMPUTED_VALUE"""),"Glaziou 1994")</f>
        <v>Glaziou 1994</v>
      </c>
      <c r="B155" s="40" t="str">
        <f>IFERROR(__xludf.DUMMYFUNCTION("""COMPUTED_VALUE"""),"Mike")</f>
        <v>Mike</v>
      </c>
      <c r="C155" s="40" t="str">
        <f>IFERROR(__xludf.DUMMYFUNCTION("""COMPUTED_VALUE"""),"Alex")</f>
        <v>Alex</v>
      </c>
      <c r="D155" s="40" t="str">
        <f>IFERROR(__xludf.DUMMYFUNCTION("""COMPUTED_VALUE"""),"French Polynesia")</f>
        <v>French Polynesia</v>
      </c>
      <c r="E155" s="746" t="str">
        <f>IFERROR(__xludf.DUMMYFUNCTION("""COMPUTED_VALUE"""),"W. bancrofti")</f>
        <v>W. bancrofti</v>
      </c>
      <c r="F155" s="40" t="str">
        <f>IFERROR(__xludf.DUMMYFUNCTION("""COMPUTED_VALUE"""),"Ivermectin")</f>
        <v>Ivermectin</v>
      </c>
      <c r="G155" s="40" t="str">
        <f>IFERROR(__xludf.DUMMYFUNCTION("""COMPUTED_VALUE"""),".400mg/kg")</f>
        <v>.400mg/kg</v>
      </c>
      <c r="H155" s="40">
        <f>IFERROR(__xludf.DUMMYFUNCTION("""COMPUTED_VALUE"""),1.0)</f>
        <v>1</v>
      </c>
      <c r="I155" s="741">
        <f>IFERROR(__xludf.DUMMYFUNCTION("""COMPUTED_VALUE"""),0.994)</f>
        <v>0.994</v>
      </c>
      <c r="J155" s="741" t="str">
        <f>IFERROR(__xludf.DUMMYFUNCTION("""COMPUTED_VALUE"""),"not available")</f>
        <v>not available</v>
      </c>
      <c r="K155" s="40" t="str">
        <f>IFERROR(__xludf.DUMMYFUNCTION("""COMPUTED_VALUE"""),"not available")</f>
        <v>not available</v>
      </c>
      <c r="L155" s="40">
        <f>IFERROR(__xludf.DUMMYFUNCTION("""COMPUTED_VALUE"""),19.0)</f>
        <v>19</v>
      </c>
      <c r="M155" s="214" t="str">
        <f>IFERROR(__xludf.DUMMYFUNCTION("""COMPUTED_VALUE"""),"19-69")</f>
        <v>19-69</v>
      </c>
      <c r="N155" s="806" t="str">
        <f>IFERROR(__xludf.DUMMYFUNCTION("""COMPUTED_VALUE"""),"0 : 19")</f>
        <v>0 : 19</v>
      </c>
      <c r="O155" s="40" t="str">
        <f>IFERROR(__xludf.DUMMYFUNCTION("""COMPUTED_VALUE"""),"The main criteria for exclusion were allergies or drug intolerance, renal or hepatic diseases, and intake of antililarial drugs during the preceding 2 years.")</f>
        <v>The main criteria for exclusion were allergies or drug intolerance, renal or hepatic diseases, and intake of antililarial drugs during the preceding 2 years.</v>
      </c>
      <c r="P155" s="40" t="str">
        <f>IFERROR(__xludf.DUMMYFUNCTION("""COMPUTED_VALUE"""),"double-blinded RCT")</f>
        <v>double-blinded RCT</v>
      </c>
      <c r="Q155" s="40" t="str">
        <f>IFERROR(__xludf.DUMMYFUNCTION("""COMPUTED_VALUE"""),"yes")</f>
        <v>yes</v>
      </c>
      <c r="R155" s="40" t="str">
        <f>IFERROR(__xludf.DUMMYFUNCTION("""COMPUTED_VALUE"""),"yes")</f>
        <v>yes</v>
      </c>
      <c r="S155" s="40" t="str">
        <f>IFERROR(__xludf.DUMMYFUNCTION("""COMPUTED_VALUE"""),"30 days")</f>
        <v>30 days</v>
      </c>
      <c r="T155" s="40" t="str">
        <f>IFERROR(__xludf.DUMMYFUNCTION("""COMPUTED_VALUE"""),"respectively, significantly lower in the IVR+DEC group than in both the IVR and DEC comparison groups. The combination IVR+DEC showed promise in term of sustained mf decrease, and could be an effective alternative for lymphatic filariasis control programm"&amp;"e")</f>
        <v>respectively, significantly lower in the IVR+DEC group than in both the IVR and DEC comparison groups. The combination IVR+DEC showed promise in term of sustained mf decrease, and could be an effective alternative for lymphatic filariasis control programme</v>
      </c>
      <c r="U155" s="40" t="str">
        <f>IFERROR(__xludf.DUMMYFUNCTION("""COMPUTED_VALUE"""),"noted cure rates were recorded 6 months after")</f>
        <v>noted cure rates were recorded 6 months after</v>
      </c>
      <c r="V155" s="40">
        <f>IFERROR(__xludf.DUMMYFUNCTION("""COMPUTED_VALUE"""),1994.0)</f>
        <v>1994</v>
      </c>
      <c r="W155" s="40">
        <f>IFERROR(__xludf.DUMMYFUNCTION("""COMPUTED_VALUE"""),1994.0)</f>
        <v>1994</v>
      </c>
      <c r="X155" s="40" t="str">
        <f>IFERROR(__xludf.DUMMYFUNCTION("""COMPUTED_VALUE"""),"Glaziou, P., et al. ""Double-blind controlled trial of a single dose of the combination ivermectin 400 μg/kg plus diethylcarbamazine 6 mg/kg for the treatment of bancroftian filariasis: results at six months."" Transactions of the Royal Society of Tropica"&amp;"l Medicine and Hygiene 88.6 (1994): 707-708.")</f>
        <v>Glaziou, P., et al. "Double-blind controlled trial of a single dose of the combination ivermectin 400 μg/kg plus diethylcarbamazine 6 mg/kg for the treatment of bancroftian filariasis: results at six months." Transactions of the Royal Society of Tropical Medicine and Hygiene 88.6 (1994): 707-708.</v>
      </c>
      <c r="Y155" s="727" t="str">
        <f>IFERROR(__xludf.DUMMYFUNCTION("""COMPUTED_VALUE"""),"http://dx.doi.org/10.1016/0035-9203(94)90241-5")</f>
        <v>http://dx.doi.org/10.1016/0035-9203(94)90241-5</v>
      </c>
      <c r="Z155" s="727" t="str">
        <f>IFERROR(__xludf.DUMMYFUNCTION("""COMPUTED_VALUE"""),"https://drive.google.com/file/d/0B0qKRmtVkPtWRV9FbnMyUXdCdEk/view?usp=sharing")</f>
        <v>https://drive.google.com/file/d/0B0qKRmtVkPtWRV9FbnMyUXdCdEk/view?usp=sharing</v>
      </c>
      <c r="AA155" s="40"/>
      <c r="AB155" s="40"/>
    </row>
    <row r="156">
      <c r="A156" s="745" t="str">
        <f>IFERROR(__xludf.DUMMYFUNCTION("""COMPUTED_VALUE"""),"Glaziou 1994")</f>
        <v>Glaziou 1994</v>
      </c>
      <c r="B156" s="40" t="str">
        <f>IFERROR(__xludf.DUMMYFUNCTION("""COMPUTED_VALUE"""),"Mike")</f>
        <v>Mike</v>
      </c>
      <c r="C156" s="40" t="str">
        <f>IFERROR(__xludf.DUMMYFUNCTION("""COMPUTED_VALUE"""),"Alex")</f>
        <v>Alex</v>
      </c>
      <c r="D156" s="40" t="str">
        <f>IFERROR(__xludf.DUMMYFUNCTION("""COMPUTED_VALUE"""),"French Polynesia")</f>
        <v>French Polynesia</v>
      </c>
      <c r="E156" s="746" t="str">
        <f>IFERROR(__xludf.DUMMYFUNCTION("""COMPUTED_VALUE"""),"W. bancrofti")</f>
        <v>W. bancrofti</v>
      </c>
      <c r="F156" s="40" t="str">
        <f>IFERROR(__xludf.DUMMYFUNCTION("""COMPUTED_VALUE"""),"Ivermectin")</f>
        <v>Ivermectin</v>
      </c>
      <c r="G156" s="40" t="str">
        <f>IFERROR(__xludf.DUMMYFUNCTION("""COMPUTED_VALUE"""),".400mg/kg")</f>
        <v>.400mg/kg</v>
      </c>
      <c r="H156" s="40">
        <f>IFERROR(__xludf.DUMMYFUNCTION("""COMPUTED_VALUE"""),1.0)</f>
        <v>1</v>
      </c>
      <c r="I156" s="741">
        <f>IFERROR(__xludf.DUMMYFUNCTION("""COMPUTED_VALUE"""),0.977)</f>
        <v>0.977</v>
      </c>
      <c r="J156" s="741" t="str">
        <f>IFERROR(__xludf.DUMMYFUNCTION("""COMPUTED_VALUE"""),"not available")</f>
        <v>not available</v>
      </c>
      <c r="K156" s="40" t="str">
        <f>IFERROR(__xludf.DUMMYFUNCTION("""COMPUTED_VALUE"""),"not available")</f>
        <v>not available</v>
      </c>
      <c r="L156" s="40">
        <f>IFERROR(__xludf.DUMMYFUNCTION("""COMPUTED_VALUE"""),19.0)</f>
        <v>19</v>
      </c>
      <c r="M156" s="214" t="str">
        <f>IFERROR(__xludf.DUMMYFUNCTION("""COMPUTED_VALUE"""),"19-69")</f>
        <v>19-69</v>
      </c>
      <c r="N156" s="806" t="str">
        <f>IFERROR(__xludf.DUMMYFUNCTION("""COMPUTED_VALUE"""),"0 : 19")</f>
        <v>0 : 19</v>
      </c>
      <c r="O156" s="40" t="str">
        <f>IFERROR(__xludf.DUMMYFUNCTION("""COMPUTED_VALUE"""),"The main criteria for exclusion were allergies or drug intolerance, renal or hepatic diseases, and intake of antililarial drugs during the preceding 2 years.")</f>
        <v>The main criteria for exclusion were allergies or drug intolerance, renal or hepatic diseases, and intake of antililarial drugs during the preceding 2 years.</v>
      </c>
      <c r="P156" s="40" t="str">
        <f>IFERROR(__xludf.DUMMYFUNCTION("""COMPUTED_VALUE"""),"double-blinded RCT")</f>
        <v>double-blinded RCT</v>
      </c>
      <c r="Q156" s="40" t="str">
        <f>IFERROR(__xludf.DUMMYFUNCTION("""COMPUTED_VALUE"""),"yes")</f>
        <v>yes</v>
      </c>
      <c r="R156" s="40" t="str">
        <f>IFERROR(__xludf.DUMMYFUNCTION("""COMPUTED_VALUE"""),"yes")</f>
        <v>yes</v>
      </c>
      <c r="S156" s="40" t="str">
        <f>IFERROR(__xludf.DUMMYFUNCTION("""COMPUTED_VALUE"""),"90 days")</f>
        <v>90 days</v>
      </c>
      <c r="T156" s="40" t="str">
        <f>IFERROR(__xludf.DUMMYFUNCTION("""COMPUTED_VALUE"""),"respectively, significantly lower in the IVR+DEC group than in both the IVR and DEC comparison groups. The combination IVR+DEC showed promise in term of sustained mf decrease, and could be an effective alternative for lymphatic filariasis control programm"&amp;"e")</f>
        <v>respectively, significantly lower in the IVR+DEC group than in both the IVR and DEC comparison groups. The combination IVR+DEC showed promise in term of sustained mf decrease, and could be an effective alternative for lymphatic filariasis control programme</v>
      </c>
      <c r="U156" s="40" t="str">
        <f>IFERROR(__xludf.DUMMYFUNCTION("""COMPUTED_VALUE"""),"noted cure rates were recorded 6 months after")</f>
        <v>noted cure rates were recorded 6 months after</v>
      </c>
      <c r="V156" s="40">
        <f>IFERROR(__xludf.DUMMYFUNCTION("""COMPUTED_VALUE"""),1994.0)</f>
        <v>1994</v>
      </c>
      <c r="W156" s="40">
        <f>IFERROR(__xludf.DUMMYFUNCTION("""COMPUTED_VALUE"""),1994.0)</f>
        <v>1994</v>
      </c>
      <c r="X156" s="40" t="str">
        <f>IFERROR(__xludf.DUMMYFUNCTION("""COMPUTED_VALUE"""),"Glaziou, P., et al. ""Double-blind controlled trial of a single dose of the combination ivermectin 400 μg/kg plus diethylcarbamazine 6 mg/kg for the treatment of bancroftian filariasis: results at six months."" Transactions of the Royal Society of Tropica"&amp;"l Medicine and Hygiene 88.6 (1994): 707-708.")</f>
        <v>Glaziou, P., et al. "Double-blind controlled trial of a single dose of the combination ivermectin 400 μg/kg plus diethylcarbamazine 6 mg/kg for the treatment of bancroftian filariasis: results at six months." Transactions of the Royal Society of Tropical Medicine and Hygiene 88.6 (1994): 707-708.</v>
      </c>
      <c r="Y156" s="727" t="str">
        <f>IFERROR(__xludf.DUMMYFUNCTION("""COMPUTED_VALUE"""),"http://dx.doi.org/10.1016/0035-9203(94)90241-6")</f>
        <v>http://dx.doi.org/10.1016/0035-9203(94)90241-6</v>
      </c>
      <c r="Z156" s="727" t="str">
        <f>IFERROR(__xludf.DUMMYFUNCTION("""COMPUTED_VALUE"""),"https://drive.google.com/file/d/0B0qKRmtVkPtWRV9FbnMyUXdCdEk/view?usp=sharing")</f>
        <v>https://drive.google.com/file/d/0B0qKRmtVkPtWRV9FbnMyUXdCdEk/view?usp=sharing</v>
      </c>
      <c r="AA156" s="40"/>
      <c r="AB156" s="40"/>
    </row>
    <row r="157">
      <c r="A157" s="805" t="str">
        <f>IFERROR(__xludf.DUMMYFUNCTION("""COMPUTED_VALUE"""),"Glaziou 1994")</f>
        <v>Glaziou 1994</v>
      </c>
      <c r="B157" s="40" t="str">
        <f>IFERROR(__xludf.DUMMYFUNCTION("""COMPUTED_VALUE"""),"Mike")</f>
        <v>Mike</v>
      </c>
      <c r="C157" s="40" t="str">
        <f>IFERROR(__xludf.DUMMYFUNCTION("""COMPUTED_VALUE"""),"Alex")</f>
        <v>Alex</v>
      </c>
      <c r="D157" s="40" t="str">
        <f>IFERROR(__xludf.DUMMYFUNCTION("""COMPUTED_VALUE"""),"French Polynesia")</f>
        <v>French Polynesia</v>
      </c>
      <c r="E157" s="40" t="str">
        <f>IFERROR(__xludf.DUMMYFUNCTION("""COMPUTED_VALUE"""),"W. bancrofti")</f>
        <v>W. bancrofti</v>
      </c>
      <c r="F157" s="40" t="str">
        <f>IFERROR(__xludf.DUMMYFUNCTION("""COMPUTED_VALUE"""),"Ivermectin")</f>
        <v>Ivermectin</v>
      </c>
      <c r="G157" s="40" t="str">
        <f>IFERROR(__xludf.DUMMYFUNCTION("""COMPUTED_VALUE"""),".400mg/kg")</f>
        <v>.400mg/kg</v>
      </c>
      <c r="H157" s="40">
        <f>IFERROR(__xludf.DUMMYFUNCTION("""COMPUTED_VALUE"""),1.0)</f>
        <v>1</v>
      </c>
      <c r="I157" s="741">
        <f>IFERROR(__xludf.DUMMYFUNCTION("""COMPUTED_VALUE"""),0.969)</f>
        <v>0.969</v>
      </c>
      <c r="J157" s="741">
        <f>IFERROR(__xludf.DUMMYFUNCTION("""COMPUTED_VALUE"""),0.32)</f>
        <v>0.32</v>
      </c>
      <c r="K157" s="40" t="str">
        <f>IFERROR(__xludf.DUMMYFUNCTION("""COMPUTED_VALUE"""),"not available")</f>
        <v>not available</v>
      </c>
      <c r="L157" s="40">
        <f>IFERROR(__xludf.DUMMYFUNCTION("""COMPUTED_VALUE"""),19.0)</f>
        <v>19</v>
      </c>
      <c r="M157" s="214" t="str">
        <f>IFERROR(__xludf.DUMMYFUNCTION("""COMPUTED_VALUE"""),"19-69")</f>
        <v>19-69</v>
      </c>
      <c r="N157" s="806" t="str">
        <f>IFERROR(__xludf.DUMMYFUNCTION("""COMPUTED_VALUE"""),"0 : 19")</f>
        <v>0 : 19</v>
      </c>
      <c r="O157" s="40" t="str">
        <f>IFERROR(__xludf.DUMMYFUNCTION("""COMPUTED_VALUE"""),"The main criteria for exclusion were allergies or drug intolerance, renal or hepatic diseases, and intake of antililarial drugs during the preceding 2 years.")</f>
        <v>The main criteria for exclusion were allergies or drug intolerance, renal or hepatic diseases, and intake of antililarial drugs during the preceding 2 years.</v>
      </c>
      <c r="P157" s="40" t="str">
        <f>IFERROR(__xludf.DUMMYFUNCTION("""COMPUTED_VALUE"""),"double-blinded RCT")</f>
        <v>double-blinded RCT</v>
      </c>
      <c r="Q157" s="40" t="str">
        <f>IFERROR(__xludf.DUMMYFUNCTION("""COMPUTED_VALUE"""),"yes")</f>
        <v>yes</v>
      </c>
      <c r="R157" s="40" t="str">
        <f>IFERROR(__xludf.DUMMYFUNCTION("""COMPUTED_VALUE"""),"yes")</f>
        <v>yes</v>
      </c>
      <c r="S157" s="40" t="str">
        <f>IFERROR(__xludf.DUMMYFUNCTION("""COMPUTED_VALUE"""),"180 days")</f>
        <v>180 days</v>
      </c>
      <c r="T157" s="40" t="str">
        <f>IFERROR(__xludf.DUMMYFUNCTION("""COMPUTED_VALUE"""),"respectively, significantly lower in the IVR+DEC group than in both the IVR and DEC comparison groups. The combination IVR+DEC showed promise in term of sustained mf decrease, and could be an effective alternative for lymphatic filariasis control programm"&amp;"e")</f>
        <v>respectively, significantly lower in the IVR+DEC group than in both the IVR and DEC comparison groups. The combination IVR+DEC showed promise in term of sustained mf decrease, and could be an effective alternative for lymphatic filariasis control programme</v>
      </c>
      <c r="U157" s="40" t="str">
        <f>IFERROR(__xludf.DUMMYFUNCTION("""COMPUTED_VALUE"""),"noted cure rates were recorded 6 months after")</f>
        <v>noted cure rates were recorded 6 months after</v>
      </c>
      <c r="V157" s="40">
        <f>IFERROR(__xludf.DUMMYFUNCTION("""COMPUTED_VALUE"""),1994.0)</f>
        <v>1994</v>
      </c>
      <c r="W157" s="40">
        <f>IFERROR(__xludf.DUMMYFUNCTION("""COMPUTED_VALUE"""),1994.0)</f>
        <v>1994</v>
      </c>
      <c r="X157" s="40" t="str">
        <f>IFERROR(__xludf.DUMMYFUNCTION("""COMPUTED_VALUE"""),"Glaziou, P., et al. ""Double-blind controlled trial of a single dose of the combination ivermectin 400 μg/kg plus diethylcarbamazine 6 mg/kg for the treatment of bancroftian filariasis: results at six months."" Transactions of the Royal Society of Tropica"&amp;"l Medicine and Hygiene 88.6 (1994): 707-708.")</f>
        <v>Glaziou, P., et al. "Double-blind controlled trial of a single dose of the combination ivermectin 400 μg/kg plus diethylcarbamazine 6 mg/kg for the treatment of bancroftian filariasis: results at six months." Transactions of the Royal Society of Tropical Medicine and Hygiene 88.6 (1994): 707-708.</v>
      </c>
      <c r="Y157" s="727" t="str">
        <f>IFERROR(__xludf.DUMMYFUNCTION("""COMPUTED_VALUE"""),"http://dx.doi.org/10.1016/0035-9203(94)90241-7")</f>
        <v>http://dx.doi.org/10.1016/0035-9203(94)90241-7</v>
      </c>
      <c r="Z157" s="727" t="str">
        <f>IFERROR(__xludf.DUMMYFUNCTION("""COMPUTED_VALUE"""),"https://drive.google.com/file/d/0B0qKRmtVkPtWRV9FbnMyUXdCdEk/view?usp=sharing")</f>
        <v>https://drive.google.com/file/d/0B0qKRmtVkPtWRV9FbnMyUXdCdEk/view?usp=sharing</v>
      </c>
      <c r="AA157" s="40"/>
      <c r="AB157" s="40"/>
    </row>
    <row r="158">
      <c r="A158" s="805" t="str">
        <f>IFERROR(__xludf.DUMMYFUNCTION("""COMPUTED_VALUE"""),"Glaziou 1994")</f>
        <v>Glaziou 1994</v>
      </c>
      <c r="B158" s="40" t="str">
        <f>IFERROR(__xludf.DUMMYFUNCTION("""COMPUTED_VALUE"""),"Mike")</f>
        <v>Mike</v>
      </c>
      <c r="C158" s="40" t="str">
        <f>IFERROR(__xludf.DUMMYFUNCTION("""COMPUTED_VALUE"""),"Alex")</f>
        <v>Alex</v>
      </c>
      <c r="D158" s="40" t="str">
        <f>IFERROR(__xludf.DUMMYFUNCTION("""COMPUTED_VALUE"""),"French Polynesia")</f>
        <v>French Polynesia</v>
      </c>
      <c r="E158" s="40" t="str">
        <f>IFERROR(__xludf.DUMMYFUNCTION("""COMPUTED_VALUE"""),"W. bancrofti")</f>
        <v>W. bancrofti</v>
      </c>
      <c r="F158" s="40" t="str">
        <f>IFERROR(__xludf.DUMMYFUNCTION("""COMPUTED_VALUE"""),"DEC")</f>
        <v>DEC</v>
      </c>
      <c r="G158" s="40" t="str">
        <f>IFERROR(__xludf.DUMMYFUNCTION("""COMPUTED_VALUE"""),"6mg/kg")</f>
        <v>6mg/kg</v>
      </c>
      <c r="H158" s="40">
        <f>IFERROR(__xludf.DUMMYFUNCTION("""COMPUTED_VALUE"""),1.0)</f>
        <v>1</v>
      </c>
      <c r="I158" s="741">
        <f>IFERROR(__xludf.DUMMYFUNCTION("""COMPUTED_VALUE"""),0.936)</f>
        <v>0.936</v>
      </c>
      <c r="J158" s="741" t="str">
        <f>IFERROR(__xludf.DUMMYFUNCTION("""COMPUTED_VALUE"""),"not available")</f>
        <v>not available</v>
      </c>
      <c r="K158" s="40" t="str">
        <f>IFERROR(__xludf.DUMMYFUNCTION("""COMPUTED_VALUE"""),"not available")</f>
        <v>not available</v>
      </c>
      <c r="L158" s="40">
        <f>IFERROR(__xludf.DUMMYFUNCTION("""COMPUTED_VALUE"""),19.0)</f>
        <v>19</v>
      </c>
      <c r="M158" s="214" t="str">
        <f>IFERROR(__xludf.DUMMYFUNCTION("""COMPUTED_VALUE"""),"19-69")</f>
        <v>19-69</v>
      </c>
      <c r="N158" s="806" t="str">
        <f>IFERROR(__xludf.DUMMYFUNCTION("""COMPUTED_VALUE"""),"0 : 19")</f>
        <v>0 : 19</v>
      </c>
      <c r="O158" s="40" t="str">
        <f>IFERROR(__xludf.DUMMYFUNCTION("""COMPUTED_VALUE"""),"The main criteria for exclusion were allergies or drug intolerance, renal or hepatic diseases, and intake of antililarial drugs during the preceding 2 years.")</f>
        <v>The main criteria for exclusion were allergies or drug intolerance, renal or hepatic diseases, and intake of antililarial drugs during the preceding 2 years.</v>
      </c>
      <c r="P158" s="40" t="str">
        <f>IFERROR(__xludf.DUMMYFUNCTION("""COMPUTED_VALUE"""),"double-blinded RCT")</f>
        <v>double-blinded RCT</v>
      </c>
      <c r="Q158" s="40" t="str">
        <f>IFERROR(__xludf.DUMMYFUNCTION("""COMPUTED_VALUE"""),"yes")</f>
        <v>yes</v>
      </c>
      <c r="R158" s="40" t="str">
        <f>IFERROR(__xludf.DUMMYFUNCTION("""COMPUTED_VALUE"""),"yes")</f>
        <v>yes</v>
      </c>
      <c r="S158" s="40" t="str">
        <f>IFERROR(__xludf.DUMMYFUNCTION("""COMPUTED_VALUE"""),"1 day")</f>
        <v>1 day</v>
      </c>
      <c r="T158" s="40" t="str">
        <f>IFERROR(__xludf.DUMMYFUNCTION("""COMPUTED_VALUE"""),"respectively, significantly lower in the IVR+DEC group than in both the IVR and DEC comparison groups. The combination IVR+DEC showed promise in term of sustained mf decrease, and could be an effective alternative for lymphatic filariasis control programm"&amp;"e")</f>
        <v>respectively, significantly lower in the IVR+DEC group than in both the IVR and DEC comparison groups. The combination IVR+DEC showed promise in term of sustained mf decrease, and could be an effective alternative for lymphatic filariasis control programme</v>
      </c>
      <c r="U158" s="40" t="str">
        <f>IFERROR(__xludf.DUMMYFUNCTION("""COMPUTED_VALUE"""),"noted cure rates were recorded 6 months after")</f>
        <v>noted cure rates were recorded 6 months after</v>
      </c>
      <c r="V158" s="40">
        <f>IFERROR(__xludf.DUMMYFUNCTION("""COMPUTED_VALUE"""),1994.0)</f>
        <v>1994</v>
      </c>
      <c r="W158" s="40">
        <f>IFERROR(__xludf.DUMMYFUNCTION("""COMPUTED_VALUE"""),1994.0)</f>
        <v>1994</v>
      </c>
      <c r="X158" s="40" t="str">
        <f>IFERROR(__xludf.DUMMYFUNCTION("""COMPUTED_VALUE"""),"Glaziou, P., et al. ""Double-blind controlled trial of a single dose of the combination ivermectin 400 μg/kg plus diethylcarbamazine 6 mg/kg for the treatment of bancroftian filariasis: results at six months."" Transactions of the Royal Society of Tropica"&amp;"l Medicine and Hygiene 88.6 (1994): 707-708.")</f>
        <v>Glaziou, P., et al. "Double-blind controlled trial of a single dose of the combination ivermectin 400 μg/kg plus diethylcarbamazine 6 mg/kg for the treatment of bancroftian filariasis: results at six months." Transactions of the Royal Society of Tropical Medicine and Hygiene 88.6 (1994): 707-708.</v>
      </c>
      <c r="Y158" s="727" t="str">
        <f>IFERROR(__xludf.DUMMYFUNCTION("""COMPUTED_VALUE"""),"http://dx.doi.org/10.1016/0035-9203(94)90241-8")</f>
        <v>http://dx.doi.org/10.1016/0035-9203(94)90241-8</v>
      </c>
      <c r="Z158" s="727" t="str">
        <f>IFERROR(__xludf.DUMMYFUNCTION("""COMPUTED_VALUE"""),"https://drive.google.com/file/d/0B0qKRmtVkPtWRV9FbnMyUXdCdEk/view?usp=sharing")</f>
        <v>https://drive.google.com/file/d/0B0qKRmtVkPtWRV9FbnMyUXdCdEk/view?usp=sharing</v>
      </c>
      <c r="AA158" s="40"/>
      <c r="AB158" s="40"/>
    </row>
    <row r="159">
      <c r="A159" s="805" t="str">
        <f>IFERROR(__xludf.DUMMYFUNCTION("""COMPUTED_VALUE"""),"Glaziou 1994")</f>
        <v>Glaziou 1994</v>
      </c>
      <c r="B159" s="40" t="str">
        <f>IFERROR(__xludf.DUMMYFUNCTION("""COMPUTED_VALUE"""),"Mike")</f>
        <v>Mike</v>
      </c>
      <c r="C159" s="40" t="str">
        <f>IFERROR(__xludf.DUMMYFUNCTION("""COMPUTED_VALUE"""),"Alex")</f>
        <v>Alex</v>
      </c>
      <c r="D159" s="40" t="str">
        <f>IFERROR(__xludf.DUMMYFUNCTION("""COMPUTED_VALUE"""),"French Polynesia")</f>
        <v>French Polynesia</v>
      </c>
      <c r="E159" s="40" t="str">
        <f>IFERROR(__xludf.DUMMYFUNCTION("""COMPUTED_VALUE"""),"W. bancrofti")</f>
        <v>W. bancrofti</v>
      </c>
      <c r="F159" s="40" t="str">
        <f>IFERROR(__xludf.DUMMYFUNCTION("""COMPUTED_VALUE"""),"DEC")</f>
        <v>DEC</v>
      </c>
      <c r="G159" s="40" t="str">
        <f>IFERROR(__xludf.DUMMYFUNCTION("""COMPUTED_VALUE"""),"6mg/kg")</f>
        <v>6mg/kg</v>
      </c>
      <c r="H159" s="40">
        <f>IFERROR(__xludf.DUMMYFUNCTION("""COMPUTED_VALUE"""),1.0)</f>
        <v>1</v>
      </c>
      <c r="I159" s="741">
        <f>IFERROR(__xludf.DUMMYFUNCTION("""COMPUTED_VALUE"""),0.886)</f>
        <v>0.886</v>
      </c>
      <c r="J159" s="741" t="str">
        <f>IFERROR(__xludf.DUMMYFUNCTION("""COMPUTED_VALUE"""),"not available")</f>
        <v>not available</v>
      </c>
      <c r="K159" s="40" t="str">
        <f>IFERROR(__xludf.DUMMYFUNCTION("""COMPUTED_VALUE"""),"not available")</f>
        <v>not available</v>
      </c>
      <c r="L159" s="40">
        <f>IFERROR(__xludf.DUMMYFUNCTION("""COMPUTED_VALUE"""),19.0)</f>
        <v>19</v>
      </c>
      <c r="M159" s="214" t="str">
        <f>IFERROR(__xludf.DUMMYFUNCTION("""COMPUTED_VALUE"""),"19-69")</f>
        <v>19-69</v>
      </c>
      <c r="N159" s="806" t="str">
        <f>IFERROR(__xludf.DUMMYFUNCTION("""COMPUTED_VALUE"""),"0 : 19")</f>
        <v>0 : 19</v>
      </c>
      <c r="O159" s="40" t="str">
        <f>IFERROR(__xludf.DUMMYFUNCTION("""COMPUTED_VALUE"""),"The main criteria for exclusion were allergies or drug intolerance, renal or hepatic diseases, and intake of antililarial drugs during the preceding 2 years.")</f>
        <v>The main criteria for exclusion were allergies or drug intolerance, renal or hepatic diseases, and intake of antililarial drugs during the preceding 2 years.</v>
      </c>
      <c r="P159" s="40" t="str">
        <f>IFERROR(__xludf.DUMMYFUNCTION("""COMPUTED_VALUE"""),"double-blinded RCT")</f>
        <v>double-blinded RCT</v>
      </c>
      <c r="Q159" s="40" t="str">
        <f>IFERROR(__xludf.DUMMYFUNCTION("""COMPUTED_VALUE"""),"yes")</f>
        <v>yes</v>
      </c>
      <c r="R159" s="40" t="str">
        <f>IFERROR(__xludf.DUMMYFUNCTION("""COMPUTED_VALUE"""),"yes")</f>
        <v>yes</v>
      </c>
      <c r="S159" s="40" t="str">
        <f>IFERROR(__xludf.DUMMYFUNCTION("""COMPUTED_VALUE"""),"30 days")</f>
        <v>30 days</v>
      </c>
      <c r="T159" s="40" t="str">
        <f>IFERROR(__xludf.DUMMYFUNCTION("""COMPUTED_VALUE"""),"respectively, significantly lower in the IVR+DEC group than in both the IVR and DEC comparison groups. The combination IVR+DEC showed promise in term of sustained mf decrease, and could be an effective alternative for lymphatic filariasis control programm"&amp;"e")</f>
        <v>respectively, significantly lower in the IVR+DEC group than in both the IVR and DEC comparison groups. The combination IVR+DEC showed promise in term of sustained mf decrease, and could be an effective alternative for lymphatic filariasis control programme</v>
      </c>
      <c r="U159" s="40" t="str">
        <f>IFERROR(__xludf.DUMMYFUNCTION("""COMPUTED_VALUE"""),"noted cure rates were recorded 6 months after")</f>
        <v>noted cure rates were recorded 6 months after</v>
      </c>
      <c r="V159" s="40">
        <f>IFERROR(__xludf.DUMMYFUNCTION("""COMPUTED_VALUE"""),1994.0)</f>
        <v>1994</v>
      </c>
      <c r="W159" s="40">
        <f>IFERROR(__xludf.DUMMYFUNCTION("""COMPUTED_VALUE"""),1994.0)</f>
        <v>1994</v>
      </c>
      <c r="X159" s="40" t="str">
        <f>IFERROR(__xludf.DUMMYFUNCTION("""COMPUTED_VALUE"""),"Glaziou, P., et al. ""Double-blind controlled trial of a single dose of the combination ivermectin 400 μg/kg plus diethylcarbamazine 6 mg/kg for the treatment of bancroftian filariasis: results at six months."" Transactions of the Royal Society of Tropica"&amp;"l Medicine and Hygiene 88.6 (1994): 707-708.")</f>
        <v>Glaziou, P., et al. "Double-blind controlled trial of a single dose of the combination ivermectin 400 μg/kg plus diethylcarbamazine 6 mg/kg for the treatment of bancroftian filariasis: results at six months." Transactions of the Royal Society of Tropical Medicine and Hygiene 88.6 (1994): 707-708.</v>
      </c>
      <c r="Y159" s="727" t="str">
        <f>IFERROR(__xludf.DUMMYFUNCTION("""COMPUTED_VALUE"""),"http://dx.doi.org/10.1016/0035-9203(94)90241-9")</f>
        <v>http://dx.doi.org/10.1016/0035-9203(94)90241-9</v>
      </c>
      <c r="Z159" s="727" t="str">
        <f>IFERROR(__xludf.DUMMYFUNCTION("""COMPUTED_VALUE"""),"https://drive.google.com/file/d/0B0qKRmtVkPtWRV9FbnMyUXdCdEk/view?usp=sharing")</f>
        <v>https://drive.google.com/file/d/0B0qKRmtVkPtWRV9FbnMyUXdCdEk/view?usp=sharing</v>
      </c>
      <c r="AA159" s="40"/>
      <c r="AB159" s="40"/>
    </row>
    <row r="160">
      <c r="A160" s="805" t="str">
        <f>IFERROR(__xludf.DUMMYFUNCTION("""COMPUTED_VALUE"""),"Glaziou 1994")</f>
        <v>Glaziou 1994</v>
      </c>
      <c r="B160" s="40" t="str">
        <f>IFERROR(__xludf.DUMMYFUNCTION("""COMPUTED_VALUE"""),"Mike")</f>
        <v>Mike</v>
      </c>
      <c r="C160" s="40" t="str">
        <f>IFERROR(__xludf.DUMMYFUNCTION("""COMPUTED_VALUE"""),"Alex")</f>
        <v>Alex</v>
      </c>
      <c r="D160" s="40" t="str">
        <f>IFERROR(__xludf.DUMMYFUNCTION("""COMPUTED_VALUE"""),"French Polynesia")</f>
        <v>French Polynesia</v>
      </c>
      <c r="E160" s="40" t="str">
        <f>IFERROR(__xludf.DUMMYFUNCTION("""COMPUTED_VALUE"""),"W. bancrofti")</f>
        <v>W. bancrofti</v>
      </c>
      <c r="F160" s="40" t="str">
        <f>IFERROR(__xludf.DUMMYFUNCTION("""COMPUTED_VALUE"""),"DEC")</f>
        <v>DEC</v>
      </c>
      <c r="G160" s="40" t="str">
        <f>IFERROR(__xludf.DUMMYFUNCTION("""COMPUTED_VALUE"""),"6mg/kg")</f>
        <v>6mg/kg</v>
      </c>
      <c r="H160" s="40">
        <f>IFERROR(__xludf.DUMMYFUNCTION("""COMPUTED_VALUE"""),1.0)</f>
        <v>1</v>
      </c>
      <c r="I160" s="741">
        <f>IFERROR(__xludf.DUMMYFUNCTION("""COMPUTED_VALUE"""),0.875)</f>
        <v>0.875</v>
      </c>
      <c r="J160" s="741" t="str">
        <f>IFERROR(__xludf.DUMMYFUNCTION("""COMPUTED_VALUE"""),"not available")</f>
        <v>not available</v>
      </c>
      <c r="K160" s="40" t="str">
        <f>IFERROR(__xludf.DUMMYFUNCTION("""COMPUTED_VALUE"""),"not available")</f>
        <v>not available</v>
      </c>
      <c r="L160" s="40">
        <f>IFERROR(__xludf.DUMMYFUNCTION("""COMPUTED_VALUE"""),19.0)</f>
        <v>19</v>
      </c>
      <c r="M160" s="214" t="str">
        <f>IFERROR(__xludf.DUMMYFUNCTION("""COMPUTED_VALUE"""),"19-69")</f>
        <v>19-69</v>
      </c>
      <c r="N160" s="806" t="str">
        <f>IFERROR(__xludf.DUMMYFUNCTION("""COMPUTED_VALUE"""),"0 : 19")</f>
        <v>0 : 19</v>
      </c>
      <c r="O160" s="40" t="str">
        <f>IFERROR(__xludf.DUMMYFUNCTION("""COMPUTED_VALUE"""),"The main criteria for exclusion were allergies or drug intolerance, renal or hepatic diseases, and intake of antililarial drugs during the preceding 2 years.")</f>
        <v>The main criteria for exclusion were allergies or drug intolerance, renal or hepatic diseases, and intake of antililarial drugs during the preceding 2 years.</v>
      </c>
      <c r="P160" s="40" t="str">
        <f>IFERROR(__xludf.DUMMYFUNCTION("""COMPUTED_VALUE"""),"double-blinded RCT")</f>
        <v>double-blinded RCT</v>
      </c>
      <c r="Q160" s="40" t="str">
        <f>IFERROR(__xludf.DUMMYFUNCTION("""COMPUTED_VALUE"""),"yes")</f>
        <v>yes</v>
      </c>
      <c r="R160" s="40" t="str">
        <f>IFERROR(__xludf.DUMMYFUNCTION("""COMPUTED_VALUE"""),"yes")</f>
        <v>yes</v>
      </c>
      <c r="S160" s="40" t="str">
        <f>IFERROR(__xludf.DUMMYFUNCTION("""COMPUTED_VALUE"""),"90 days")</f>
        <v>90 days</v>
      </c>
      <c r="T160" s="40" t="str">
        <f>IFERROR(__xludf.DUMMYFUNCTION("""COMPUTED_VALUE"""),"respectively, significantly lower in the IVR+DEC group than in both the IVR and DEC comparison groups. The combination IVR+DEC showed promise in term of sustained mf decrease, and could be an effective alternative for lymphatic filariasis control programm"&amp;"e")</f>
        <v>respectively, significantly lower in the IVR+DEC group than in both the IVR and DEC comparison groups. The combination IVR+DEC showed promise in term of sustained mf decrease, and could be an effective alternative for lymphatic filariasis control programme</v>
      </c>
      <c r="U160" s="40" t="str">
        <f>IFERROR(__xludf.DUMMYFUNCTION("""COMPUTED_VALUE"""),"noted cure rates were recorded 6 months after")</f>
        <v>noted cure rates were recorded 6 months after</v>
      </c>
      <c r="V160" s="40">
        <f>IFERROR(__xludf.DUMMYFUNCTION("""COMPUTED_VALUE"""),1994.0)</f>
        <v>1994</v>
      </c>
      <c r="W160" s="40">
        <f>IFERROR(__xludf.DUMMYFUNCTION("""COMPUTED_VALUE"""),1994.0)</f>
        <v>1994</v>
      </c>
      <c r="X160" s="40" t="str">
        <f>IFERROR(__xludf.DUMMYFUNCTION("""COMPUTED_VALUE"""),"Glaziou, P., et al. ""Double-blind controlled trial of a single dose of the combination ivermectin 400 μg/kg plus diethylcarbamazine 6 mg/kg for the treatment of bancroftian filariasis: results at six months."" Transactions of the Royal Society of Tropica"&amp;"l Medicine and Hygiene 88.6 (1994): 707-708.")</f>
        <v>Glaziou, P., et al. "Double-blind controlled trial of a single dose of the combination ivermectin 400 μg/kg plus diethylcarbamazine 6 mg/kg for the treatment of bancroftian filariasis: results at six months." Transactions of the Royal Society of Tropical Medicine and Hygiene 88.6 (1994): 707-708.</v>
      </c>
      <c r="Y160" s="727" t="str">
        <f>IFERROR(__xludf.DUMMYFUNCTION("""COMPUTED_VALUE"""),"http://dx.doi.org/10.1016/0035-9203(94)90241-10")</f>
        <v>http://dx.doi.org/10.1016/0035-9203(94)90241-10</v>
      </c>
      <c r="Z160" s="727" t="str">
        <f>IFERROR(__xludf.DUMMYFUNCTION("""COMPUTED_VALUE"""),"https://drive.google.com/file/d/0B0qKRmtVkPtWRV9FbnMyUXdCdEk/view?usp=sharing")</f>
        <v>https://drive.google.com/file/d/0B0qKRmtVkPtWRV9FbnMyUXdCdEk/view?usp=sharing</v>
      </c>
      <c r="AA160" s="40"/>
      <c r="AB160" s="40"/>
    </row>
    <row r="161">
      <c r="A161" s="805" t="str">
        <f>IFERROR(__xludf.DUMMYFUNCTION("""COMPUTED_VALUE"""),"Glaziou 1994")</f>
        <v>Glaziou 1994</v>
      </c>
      <c r="B161" s="40" t="str">
        <f>IFERROR(__xludf.DUMMYFUNCTION("""COMPUTED_VALUE"""),"Mike")</f>
        <v>Mike</v>
      </c>
      <c r="C161" s="40" t="str">
        <f>IFERROR(__xludf.DUMMYFUNCTION("""COMPUTED_VALUE"""),"Alex")</f>
        <v>Alex</v>
      </c>
      <c r="D161" s="40" t="str">
        <f>IFERROR(__xludf.DUMMYFUNCTION("""COMPUTED_VALUE"""),"French Polynesia")</f>
        <v>French Polynesia</v>
      </c>
      <c r="E161" s="40" t="str">
        <f>IFERROR(__xludf.DUMMYFUNCTION("""COMPUTED_VALUE"""),"W. bancrofti")</f>
        <v>W. bancrofti</v>
      </c>
      <c r="F161" s="40" t="str">
        <f>IFERROR(__xludf.DUMMYFUNCTION("""COMPUTED_VALUE"""),"DEC")</f>
        <v>DEC</v>
      </c>
      <c r="G161" s="40" t="str">
        <f>IFERROR(__xludf.DUMMYFUNCTION("""COMPUTED_VALUE"""),"6mg/kg")</f>
        <v>6mg/kg</v>
      </c>
      <c r="H161" s="40">
        <f>IFERROR(__xludf.DUMMYFUNCTION("""COMPUTED_VALUE"""),1.0)</f>
        <v>1</v>
      </c>
      <c r="I161" s="741">
        <f>IFERROR(__xludf.DUMMYFUNCTION("""COMPUTED_VALUE"""),0.937)</f>
        <v>0.937</v>
      </c>
      <c r="J161" s="741">
        <f>IFERROR(__xludf.DUMMYFUNCTION("""COMPUTED_VALUE"""),0.26)</f>
        <v>0.26</v>
      </c>
      <c r="K161" s="40" t="str">
        <f>IFERROR(__xludf.DUMMYFUNCTION("""COMPUTED_VALUE"""),"not available")</f>
        <v>not available</v>
      </c>
      <c r="L161" s="40">
        <f>IFERROR(__xludf.DUMMYFUNCTION("""COMPUTED_VALUE"""),19.0)</f>
        <v>19</v>
      </c>
      <c r="N161" s="806" t="str">
        <f>IFERROR(__xludf.DUMMYFUNCTION("""COMPUTED_VALUE"""),"0 : 19")</f>
        <v>0 : 19</v>
      </c>
      <c r="O161" s="40" t="str">
        <f>IFERROR(__xludf.DUMMYFUNCTION("""COMPUTED_VALUE"""),"The main criteria for exclusion were allergies or drug intolerance, renal or hepatic diseases, and intake of antililarial drugs during the preceding 2 years.")</f>
        <v>The main criteria for exclusion were allergies or drug intolerance, renal or hepatic diseases, and intake of antililarial drugs during the preceding 2 years.</v>
      </c>
      <c r="P161" s="40" t="str">
        <f>IFERROR(__xludf.DUMMYFUNCTION("""COMPUTED_VALUE"""),"double-blinded RCT")</f>
        <v>double-blinded RCT</v>
      </c>
      <c r="Q161" s="40" t="str">
        <f>IFERROR(__xludf.DUMMYFUNCTION("""COMPUTED_VALUE"""),"yes")</f>
        <v>yes</v>
      </c>
      <c r="R161" s="40" t="str">
        <f>IFERROR(__xludf.DUMMYFUNCTION("""COMPUTED_VALUE"""),"yes")</f>
        <v>yes</v>
      </c>
      <c r="S161" s="40" t="str">
        <f>IFERROR(__xludf.DUMMYFUNCTION("""COMPUTED_VALUE"""),"180 days")</f>
        <v>180 days</v>
      </c>
      <c r="T161" s="40" t="str">
        <f>IFERROR(__xludf.DUMMYFUNCTION("""COMPUTED_VALUE"""),"respectively, significantly lower in the IVR+DEC group than in both the IVR and DEC comparison groups. The combination IVR+DEC showed promise in term of sustained mf decrease, and could be an effective alternative for lymphatic filariasis control programm"&amp;"e")</f>
        <v>respectively, significantly lower in the IVR+DEC group than in both the IVR and DEC comparison groups. The combination IVR+DEC showed promise in term of sustained mf decrease, and could be an effective alternative for lymphatic filariasis control programme</v>
      </c>
      <c r="U161" s="40" t="str">
        <f>IFERROR(__xludf.DUMMYFUNCTION("""COMPUTED_VALUE"""),"noted cure rates were recorded 6 months after")</f>
        <v>noted cure rates were recorded 6 months after</v>
      </c>
      <c r="V161" s="40">
        <f>IFERROR(__xludf.DUMMYFUNCTION("""COMPUTED_VALUE"""),1994.0)</f>
        <v>1994</v>
      </c>
    </row>
    <row r="162">
      <c r="A162" s="805" t="str">
        <f>IFERROR(__xludf.DUMMYFUNCTION("""COMPUTED_VALUE"""),"Gyapong 2000")</f>
        <v>Gyapong 2000</v>
      </c>
      <c r="B162" s="40" t="str">
        <f>IFERROR(__xludf.DUMMYFUNCTION("""COMPUTED_VALUE"""),"Mike")</f>
        <v>Mike</v>
      </c>
      <c r="C162" s="40" t="str">
        <f>IFERROR(__xludf.DUMMYFUNCTION("""COMPUTED_VALUE"""),"Alex")</f>
        <v>Alex</v>
      </c>
      <c r="D162" s="40" t="str">
        <f>IFERROR(__xludf.DUMMYFUNCTION("""COMPUTED_VALUE"""),"Ghana")</f>
        <v>Ghana</v>
      </c>
      <c r="E162" s="40" t="str">
        <f>IFERROR(__xludf.DUMMYFUNCTION("""COMPUTED_VALUE"""),"W. bancrofti")</f>
        <v>W. bancrofti</v>
      </c>
      <c r="F162" s="40" t="str">
        <f>IFERROR(__xludf.DUMMYFUNCTION("""COMPUTED_VALUE"""),"Ivermectin")</f>
        <v>Ivermectin</v>
      </c>
      <c r="G162" s="40" t="str">
        <f>IFERROR(__xludf.DUMMYFUNCTION("""COMPUTED_VALUE"""),".200mg/kg")</f>
        <v>.200mg/kg</v>
      </c>
      <c r="H162" s="40">
        <f>IFERROR(__xludf.DUMMYFUNCTION("""COMPUTED_VALUE"""),1.0)</f>
        <v>1</v>
      </c>
      <c r="I162" s="741">
        <f>IFERROR(__xludf.DUMMYFUNCTION("""COMPUTED_VALUE"""),0.255)</f>
        <v>0.255</v>
      </c>
      <c r="J162" s="741" t="str">
        <f>IFERROR(__xludf.DUMMYFUNCTION("""COMPUTED_VALUE"""),"""reduction in intensity of disease"" : 39.5%")</f>
        <v>"reduction in intensity of disease" : 39.5%</v>
      </c>
      <c r="K162" s="40" t="str">
        <f>IFERROR(__xludf.DUMMYFUNCTION("""COMPUTED_VALUE"""),"not available")</f>
        <v>not available</v>
      </c>
      <c r="L162" s="40">
        <f>IFERROR(__xludf.DUMMYFUNCTION("""COMPUTED_VALUE"""),100.0)</f>
        <v>100</v>
      </c>
      <c r="N162" s="806" t="str">
        <f>IFERROR(__xludf.DUMMYFUNCTION("""COMPUTED_VALUE"""),"49 : 51")</f>
        <v>49 : 51</v>
      </c>
      <c r="O162" s="40" t="str">
        <f>IFERROR(__xludf.DUMMYFUNCTION("""COMPUTED_VALUE"""),"excluded pregnant women and severely ill persons")</f>
        <v>excluded pregnant women and severely ill persons</v>
      </c>
      <c r="P162" s="40"/>
      <c r="Q162" s="40" t="str">
        <f>IFERROR(__xludf.DUMMYFUNCTION("""COMPUTED_VALUE"""),"not metioned")</f>
        <v>not metioned</v>
      </c>
      <c r="R162" s="40" t="str">
        <f>IFERROR(__xludf.DUMMYFUNCTION("""COMPUTED_VALUE"""),"no")</f>
        <v>no</v>
      </c>
      <c r="S162" s="40" t="str">
        <f>IFERROR(__xludf.DUMMYFUNCTION("""COMPUTED_VALUE"""),"2 years")</f>
        <v>2 years</v>
      </c>
      <c r="T162" s="40" t="str">
        <f>IFERROR(__xludf.DUMMYFUNCTION("""COMPUTED_VALUE"""),"even though there is some reduction in prevalence and intensity of infection in all the communities 2 years after a single-dose treatment with ivermectin, the reduction is not as good as what has been documented for 1 year after treatment. ")</f>
        <v>even though there is some reduction in prevalence and intensity of infection in all the communities 2 years after a single-dose treatment with ivermectin, the reduction is not as good as what has been documented for 1 year after treatment. </v>
      </c>
      <c r="U162" s="40"/>
      <c r="V162" s="40">
        <f>IFERROR(__xludf.DUMMYFUNCTION("""COMPUTED_VALUE"""),1999.0)</f>
        <v>1999</v>
      </c>
    </row>
    <row r="163">
      <c r="A163" s="805" t="str">
        <f>IFERROR(__xludf.DUMMYFUNCTION("""COMPUTED_VALUE"""),"Kimura 1985")</f>
        <v>Kimura 1985</v>
      </c>
      <c r="B163" s="40" t="str">
        <f>IFERROR(__xludf.DUMMYFUNCTION("""COMPUTED_VALUE"""),"Mike")</f>
        <v>Mike</v>
      </c>
      <c r="C163" s="40" t="str">
        <f>IFERROR(__xludf.DUMMYFUNCTION("""COMPUTED_VALUE"""),"Alex")</f>
        <v>Alex</v>
      </c>
      <c r="D163" s="40" t="str">
        <f>IFERROR(__xludf.DUMMYFUNCTION("""COMPUTED_VALUE"""),"Samoa")</f>
        <v>Samoa</v>
      </c>
      <c r="F163" s="40" t="str">
        <f>IFERROR(__xludf.DUMMYFUNCTION("""COMPUTED_VALUE"""),"DEC")</f>
        <v>DEC</v>
      </c>
      <c r="G163" s="40" t="str">
        <f>IFERROR(__xludf.DUMMYFUNCTION("""COMPUTED_VALUE"""),"4mg/kg")</f>
        <v>4mg/kg</v>
      </c>
      <c r="H163" s="40">
        <f>IFERROR(__xludf.DUMMYFUNCTION("""COMPUTED_VALUE"""),1.0)</f>
        <v>1</v>
      </c>
      <c r="I163" s="741">
        <f>IFERROR(__xludf.DUMMYFUNCTION("""COMPUTED_VALUE"""),0.901)</f>
        <v>0.901</v>
      </c>
      <c r="J163" s="741">
        <f>IFERROR(__xludf.DUMMYFUNCTION("""COMPUTED_VALUE"""),0.277)</f>
        <v>0.277</v>
      </c>
      <c r="K163" s="40" t="str">
        <f>IFERROR(__xludf.DUMMYFUNCTION("""COMPUTED_VALUE"""),"not available")</f>
        <v>not available</v>
      </c>
      <c r="L163" s="40">
        <f>IFERROR(__xludf.DUMMYFUNCTION("""COMPUTED_VALUE"""),97.0)</f>
        <v>97</v>
      </c>
      <c r="M163" s="214" t="str">
        <f>IFERROR(__xludf.DUMMYFUNCTION("""COMPUTED_VALUE"""),"&gt; 3 ")</f>
        <v>&gt; 3 </v>
      </c>
      <c r="N163" s="806" t="str">
        <f>IFERROR(__xludf.DUMMYFUNCTION("""COMPUTED_VALUE"""),"not available")</f>
        <v>not available</v>
      </c>
      <c r="O163" s="40" t="str">
        <f>IFERROR(__xludf.DUMMYFUNCTION("""COMPUTED_VALUE"""),"excuded infants &lt; 3 years old")</f>
        <v>excuded infants &lt; 3 years old</v>
      </c>
      <c r="P163" s="40" t="str">
        <f>IFERROR(__xludf.DUMMYFUNCTION("""COMPUTED_VALUE"""),"unknown")</f>
        <v>unknown</v>
      </c>
      <c r="T163" s="40" t="str">
        <f>IFERROR(__xludf.DUMMYFUNCTION("""COMPUTED_VALUE"""),"When the different dosage regimens (4 mg/kg, 6 mg/kg and 8 mg/kg) were compared at 6 and 12 months after treatment, the 6 mg/kg regimen wasfound to be more effective than the 4 mg/kg regimen in reducing the microfilarial count, and it producedfewer advers"&amp;"e reactions than the 8 mg/kg regimen.")</f>
        <v>When the different dosage regimens (4 mg/kg, 6 mg/kg and 8 mg/kg) were compared at 6 and 12 months after treatment, the 6 mg/kg regimen wasfound to be more effective than the 4 mg/kg regimen in reducing the microfilarial count, and it producedfewer adverse reactions than the 8 mg/kg regimen.</v>
      </c>
      <c r="V163" s="40">
        <f>IFERROR(__xludf.DUMMYFUNCTION("""COMPUTED_VALUE"""),1985.0)</f>
        <v>1985</v>
      </c>
    </row>
    <row r="164">
      <c r="A164" s="805" t="str">
        <f>IFERROR(__xludf.DUMMYFUNCTION("""COMPUTED_VALUE"""),"Kimura 1985")</f>
        <v>Kimura 1985</v>
      </c>
      <c r="B164" s="40" t="str">
        <f>IFERROR(__xludf.DUMMYFUNCTION("""COMPUTED_VALUE"""),"Mike")</f>
        <v>Mike</v>
      </c>
      <c r="C164" s="40" t="str">
        <f>IFERROR(__xludf.DUMMYFUNCTION("""COMPUTED_VALUE"""),"Alex")</f>
        <v>Alex</v>
      </c>
      <c r="D164" s="40" t="str">
        <f>IFERROR(__xludf.DUMMYFUNCTION("""COMPUTED_VALUE"""),"Samoa")</f>
        <v>Samoa</v>
      </c>
      <c r="E164" s="40" t="str">
        <f>IFERROR(__xludf.DUMMYFUNCTION("""COMPUTED_VALUE"""),"W. bancrofti")</f>
        <v>W. bancrofti</v>
      </c>
      <c r="F164" s="40" t="str">
        <f>IFERROR(__xludf.DUMMYFUNCTION("""COMPUTED_VALUE"""),"DEC")</f>
        <v>DEC</v>
      </c>
      <c r="G164" s="40" t="str">
        <f>IFERROR(__xludf.DUMMYFUNCTION("""COMPUTED_VALUE"""),"4mg/kg")</f>
        <v>4mg/kg</v>
      </c>
      <c r="H164" s="40">
        <f>IFERROR(__xludf.DUMMYFUNCTION("""COMPUTED_VALUE"""),2.0)</f>
        <v>2</v>
      </c>
      <c r="I164" s="741">
        <f>IFERROR(__xludf.DUMMYFUNCTION("""COMPUTED_VALUE"""),0.815)</f>
        <v>0.815</v>
      </c>
      <c r="J164" s="741">
        <f>IFERROR(__xludf.DUMMYFUNCTION("""COMPUTED_VALUE"""),0.294)</f>
        <v>0.294</v>
      </c>
      <c r="K164" s="40" t="str">
        <f>IFERROR(__xludf.DUMMYFUNCTION("""COMPUTED_VALUE"""),"not available")</f>
        <v>not available</v>
      </c>
      <c r="L164" s="40">
        <f>IFERROR(__xludf.DUMMYFUNCTION("""COMPUTED_VALUE"""),96.0)</f>
        <v>96</v>
      </c>
      <c r="M164" s="214" t="str">
        <f>IFERROR(__xludf.DUMMYFUNCTION("""COMPUTED_VALUE"""),"&gt; 3 ")</f>
        <v>&gt; 3 </v>
      </c>
      <c r="N164" s="806" t="str">
        <f>IFERROR(__xludf.DUMMYFUNCTION("""COMPUTED_VALUE"""),"not available")</f>
        <v>not available</v>
      </c>
      <c r="O164" s="40" t="str">
        <f>IFERROR(__xludf.DUMMYFUNCTION("""COMPUTED_VALUE"""),"excuded infants &lt; 3 years old")</f>
        <v>excuded infants &lt; 3 years old</v>
      </c>
      <c r="P164" s="40" t="str">
        <f>IFERROR(__xludf.DUMMYFUNCTION("""COMPUTED_VALUE"""),"unknown")</f>
        <v>unknown</v>
      </c>
      <c r="Q164" s="40" t="str">
        <f>IFERROR(__xludf.DUMMYFUNCTION("""COMPUTED_VALUE"""),"no")</f>
        <v>no</v>
      </c>
      <c r="R164" s="40" t="str">
        <f>IFERROR(__xludf.DUMMYFUNCTION("""COMPUTED_VALUE"""),"no")</f>
        <v>no</v>
      </c>
      <c r="S164" s="40" t="str">
        <f>IFERROR(__xludf.DUMMYFUNCTION("""COMPUTED_VALUE"""),"1 year")</f>
        <v>1 year</v>
      </c>
      <c r="T164" s="40" t="str">
        <f>IFERROR(__xludf.DUMMYFUNCTION("""COMPUTED_VALUE"""),"When the different dosage regimens (4 mg/kg, 6 mg/kg and 8 mg/kg) were compared at 6 and 12 months after treatment, the 6 mg/kg regimen wasfound to be more effective than the 4 mg/kg regimen in reducing the microfilarial count, and it producedfewer advers"&amp;"e reactions than the 8 mg/kg regimen.")</f>
        <v>When the different dosage regimens (4 mg/kg, 6 mg/kg and 8 mg/kg) were compared at 6 and 12 months after treatment, the 6 mg/kg regimen wasfound to be more effective than the 4 mg/kg regimen in reducing the microfilarial count, and it producedfewer adverse reactions than the 8 mg/kg regimen.</v>
      </c>
      <c r="U164" s="40"/>
      <c r="V164" s="40">
        <f>IFERROR(__xludf.DUMMYFUNCTION("""COMPUTED_VALUE"""),1985.0)</f>
        <v>1985</v>
      </c>
    </row>
    <row r="165">
      <c r="A165" s="805" t="str">
        <f>IFERROR(__xludf.DUMMYFUNCTION("""COMPUTED_VALUE"""),"Kimura 1985")</f>
        <v>Kimura 1985</v>
      </c>
      <c r="B165" s="40" t="str">
        <f>IFERROR(__xludf.DUMMYFUNCTION("""COMPUTED_VALUE"""),"Mike")</f>
        <v>Mike</v>
      </c>
      <c r="C165" s="40" t="str">
        <f>IFERROR(__xludf.DUMMYFUNCTION("""COMPUTED_VALUE"""),"Alex")</f>
        <v>Alex</v>
      </c>
      <c r="D165" s="40" t="str">
        <f>IFERROR(__xludf.DUMMYFUNCTION("""COMPUTED_VALUE"""),"Samoa")</f>
        <v>Samoa</v>
      </c>
      <c r="E165" s="40" t="str">
        <f>IFERROR(__xludf.DUMMYFUNCTION("""COMPUTED_VALUE"""),"W. bancrofti")</f>
        <v>W. bancrofti</v>
      </c>
      <c r="F165" s="40" t="str">
        <f>IFERROR(__xludf.DUMMYFUNCTION("""COMPUTED_VALUE"""),"DEC")</f>
        <v>DEC</v>
      </c>
      <c r="G165" s="40" t="str">
        <f>IFERROR(__xludf.DUMMYFUNCTION("""COMPUTED_VALUE"""),"6mg/kg")</f>
        <v>6mg/kg</v>
      </c>
      <c r="H165" s="40">
        <f>IFERROR(__xludf.DUMMYFUNCTION("""COMPUTED_VALUE"""),1.0)</f>
        <v>1</v>
      </c>
      <c r="I165" s="741">
        <f>IFERROR(__xludf.DUMMYFUNCTION("""COMPUTED_VALUE"""),0.893)</f>
        <v>0.893</v>
      </c>
      <c r="J165" s="741">
        <f>IFERROR(__xludf.DUMMYFUNCTION("""COMPUTED_VALUE"""),0.321)</f>
        <v>0.321</v>
      </c>
      <c r="K165" s="40" t="str">
        <f>IFERROR(__xludf.DUMMYFUNCTION("""COMPUTED_VALUE"""),"not available")</f>
        <v>not available</v>
      </c>
      <c r="L165" s="40">
        <f>IFERROR(__xludf.DUMMYFUNCTION("""COMPUTED_VALUE"""),112.0)</f>
        <v>112</v>
      </c>
      <c r="M165" s="214" t="str">
        <f>IFERROR(__xludf.DUMMYFUNCTION("""COMPUTED_VALUE"""),"&gt; 3 ")</f>
        <v>&gt; 3 </v>
      </c>
      <c r="N165" s="806" t="str">
        <f>IFERROR(__xludf.DUMMYFUNCTION("""COMPUTED_VALUE"""),"not available")</f>
        <v>not available</v>
      </c>
      <c r="O165" s="40" t="str">
        <f>IFERROR(__xludf.DUMMYFUNCTION("""COMPUTED_VALUE"""),"excuded infants &lt; 3 years old")</f>
        <v>excuded infants &lt; 3 years old</v>
      </c>
      <c r="P165" s="40" t="str">
        <f>IFERROR(__xludf.DUMMYFUNCTION("""COMPUTED_VALUE"""),"unknown")</f>
        <v>unknown</v>
      </c>
      <c r="Q165" s="40" t="str">
        <f>IFERROR(__xludf.DUMMYFUNCTION("""COMPUTED_VALUE"""),"no")</f>
        <v>no</v>
      </c>
      <c r="R165" s="40" t="str">
        <f>IFERROR(__xludf.DUMMYFUNCTION("""COMPUTED_VALUE"""),"no")</f>
        <v>no</v>
      </c>
      <c r="S165" s="40" t="str">
        <f>IFERROR(__xludf.DUMMYFUNCTION("""COMPUTED_VALUE"""),"6 months")</f>
        <v>6 months</v>
      </c>
      <c r="T165" s="40" t="str">
        <f>IFERROR(__xludf.DUMMYFUNCTION("""COMPUTED_VALUE"""),"When the different dosage regimens (4 mg/kg, 6 mg/kg and 8 mg/kg) were compared at 6 and 12 months after treatment, the 6 mg/kg regimen wasfound to be more effective than the 4 mg/kg regimen in reducing the microfilarial count, and it producedfewer advers"&amp;"e reactions than the 8 mg/kg regimen.")</f>
        <v>When the different dosage regimens (4 mg/kg, 6 mg/kg and 8 mg/kg) were compared at 6 and 12 months after treatment, the 6 mg/kg regimen wasfound to be more effective than the 4 mg/kg regimen in reducing the microfilarial count, and it producedfewer adverse reactions than the 8 mg/kg regimen.</v>
      </c>
      <c r="U165" s="40"/>
      <c r="V165" s="40">
        <f>IFERROR(__xludf.DUMMYFUNCTION("""COMPUTED_VALUE"""),1985.0)</f>
        <v>1985</v>
      </c>
      <c r="W165" s="40">
        <f>IFERROR(__xludf.DUMMYFUNCTION("""COMPUTED_VALUE"""),1985.0)</f>
        <v>1985</v>
      </c>
      <c r="X165" s="40" t="str">
        <f>IFERROR(__xludf.DUMMYFUNCTION("""COMPUTED_VALUE"""),"Kimura, E., L. Penaia, and G. F. S. Spears. ""The efficacy of annual single-dose treatment with diethylcarbamazine citrate against diurnally subperiodic bancroftian filariasis in Samoa."" Bulletin of the World Health Organization 63.6 (1985): 1097.")</f>
        <v>Kimura, E., L. Penaia, and G. F. S. Spears. "The efficacy of annual single-dose treatment with diethylcarbamazine citrate against diurnally subperiodic bancroftian filariasis in Samoa." Bulletin of the World Health Organization 63.6 (1985): 1097.</v>
      </c>
      <c r="Y165" s="40" t="str">
        <f>IFERROR(__xludf.DUMMYFUNCTION("""COMPUTED_VALUE"""),"cannot find")</f>
        <v>cannot find</v>
      </c>
      <c r="Z165" s="727" t="str">
        <f>IFERROR(__xludf.DUMMYFUNCTION("""COMPUTED_VALUE"""),"https://drive.google.com/file/d/0B0qKRmtVkPtWUExEUDEzbEFLaGs/view?usp=sharing")</f>
        <v>https://drive.google.com/file/d/0B0qKRmtVkPtWUExEUDEzbEFLaGs/view?usp=sharing</v>
      </c>
      <c r="AA165" s="40" t="str">
        <f>IFERROR(__xludf.DUMMYFUNCTION("""COMPUTED_VALUE"""),"x")</f>
        <v>x</v>
      </c>
      <c r="AB165" s="40"/>
    </row>
    <row r="166">
      <c r="A166" s="805" t="str">
        <f>IFERROR(__xludf.DUMMYFUNCTION("""COMPUTED_VALUE"""),"Kimura 1985")</f>
        <v>Kimura 1985</v>
      </c>
      <c r="B166" s="40" t="str">
        <f>IFERROR(__xludf.DUMMYFUNCTION("""COMPUTED_VALUE"""),"Mike")</f>
        <v>Mike</v>
      </c>
      <c r="C166" s="40" t="str">
        <f>IFERROR(__xludf.DUMMYFUNCTION("""COMPUTED_VALUE"""),"Alex")</f>
        <v>Alex</v>
      </c>
      <c r="D166" s="40" t="str">
        <f>IFERROR(__xludf.DUMMYFUNCTION("""COMPUTED_VALUE"""),"Samoa")</f>
        <v>Samoa</v>
      </c>
      <c r="E166" s="40" t="str">
        <f>IFERROR(__xludf.DUMMYFUNCTION("""COMPUTED_VALUE"""),"W. bancrofti")</f>
        <v>W. bancrofti</v>
      </c>
      <c r="F166" s="40" t="str">
        <f>IFERROR(__xludf.DUMMYFUNCTION("""COMPUTED_VALUE"""),"DEC")</f>
        <v>DEC</v>
      </c>
      <c r="G166" s="40" t="str">
        <f>IFERROR(__xludf.DUMMYFUNCTION("""COMPUTED_VALUE"""),"6mg/kg")</f>
        <v>6mg/kg</v>
      </c>
      <c r="H166" s="40">
        <f>IFERROR(__xludf.DUMMYFUNCTION("""COMPUTED_VALUE"""),2.0)</f>
        <v>2</v>
      </c>
      <c r="I166" s="741">
        <f>IFERROR(__xludf.DUMMYFUNCTION("""COMPUTED_VALUE"""),0.944)</f>
        <v>0.944</v>
      </c>
      <c r="J166" s="741">
        <f>IFERROR(__xludf.DUMMYFUNCTION("""COMPUTED_VALUE"""),0.537)</f>
        <v>0.537</v>
      </c>
      <c r="K166" s="40" t="str">
        <f>IFERROR(__xludf.DUMMYFUNCTION("""COMPUTED_VALUE"""),"not available")</f>
        <v>not available</v>
      </c>
      <c r="L166" s="40">
        <f>IFERROR(__xludf.DUMMYFUNCTION("""COMPUTED_VALUE"""),68.0)</f>
        <v>68</v>
      </c>
      <c r="M166" s="214" t="str">
        <f>IFERROR(__xludf.DUMMYFUNCTION("""COMPUTED_VALUE"""),"&gt; 3 ")</f>
        <v>&gt; 3 </v>
      </c>
      <c r="N166" s="806" t="str">
        <f>IFERROR(__xludf.DUMMYFUNCTION("""COMPUTED_VALUE"""),"not available")</f>
        <v>not available</v>
      </c>
      <c r="O166" s="40" t="str">
        <f>IFERROR(__xludf.DUMMYFUNCTION("""COMPUTED_VALUE"""),"excuded infants &lt; 3 years old")</f>
        <v>excuded infants &lt; 3 years old</v>
      </c>
      <c r="P166" s="40" t="str">
        <f>IFERROR(__xludf.DUMMYFUNCTION("""COMPUTED_VALUE"""),"unknown")</f>
        <v>unknown</v>
      </c>
      <c r="Q166" s="40" t="str">
        <f>IFERROR(__xludf.DUMMYFUNCTION("""COMPUTED_VALUE"""),"no")</f>
        <v>no</v>
      </c>
      <c r="R166" s="40" t="str">
        <f>IFERROR(__xludf.DUMMYFUNCTION("""COMPUTED_VALUE"""),"no")</f>
        <v>no</v>
      </c>
      <c r="S166" s="40" t="str">
        <f>IFERROR(__xludf.DUMMYFUNCTION("""COMPUTED_VALUE"""),"1 year")</f>
        <v>1 year</v>
      </c>
      <c r="T166" s="40" t="str">
        <f>IFERROR(__xludf.DUMMYFUNCTION("""COMPUTED_VALUE"""),"When the different dosage regimens (4 mg/kg, 6 mg/kg and 8 mg/kg) were compared at 6 and 12 months after treatment, the 6 mg/kg regimen wasfound to be more effective than the 4 mg/kg regimen in reducing the microfilarial count, and it producedfewer advers"&amp;"e reactions than the 8 mg/kg regimen.")</f>
        <v>When the different dosage regimens (4 mg/kg, 6 mg/kg and 8 mg/kg) were compared at 6 and 12 months after treatment, the 6 mg/kg regimen wasfound to be more effective than the 4 mg/kg regimen in reducing the microfilarial count, and it producedfewer adverse reactions than the 8 mg/kg regimen.</v>
      </c>
      <c r="U166" s="40"/>
      <c r="V166" s="40">
        <f>IFERROR(__xludf.DUMMYFUNCTION("""COMPUTED_VALUE"""),1985.0)</f>
        <v>1985</v>
      </c>
      <c r="W166" s="40">
        <f>IFERROR(__xludf.DUMMYFUNCTION("""COMPUTED_VALUE"""),1985.0)</f>
        <v>1985</v>
      </c>
      <c r="X166" s="40" t="str">
        <f>IFERROR(__xludf.DUMMYFUNCTION("""COMPUTED_VALUE"""),"Kimura, E., L. Penaia, and G. F. S. Spears. ""The efficacy of annual single-dose treatment with diethylcarbamazine citrate against diurnally subperiodic bancroftian filariasis in Samoa."" Bulletin of the World Health Organization 63.6 (1985): 1097.")</f>
        <v>Kimura, E., L. Penaia, and G. F. S. Spears. "The efficacy of annual single-dose treatment with diethylcarbamazine citrate against diurnally subperiodic bancroftian filariasis in Samoa." Bulletin of the World Health Organization 63.6 (1985): 1097.</v>
      </c>
      <c r="Y166" s="40" t="str">
        <f>IFERROR(__xludf.DUMMYFUNCTION("""COMPUTED_VALUE"""),"cannot find")</f>
        <v>cannot find</v>
      </c>
      <c r="Z166" s="727" t="str">
        <f>IFERROR(__xludf.DUMMYFUNCTION("""COMPUTED_VALUE"""),"https://drive.google.com/file/d/0B0qKRmtVkPtWUExEUDEzbEFLaGs/view?usp=sharing")</f>
        <v>https://drive.google.com/file/d/0B0qKRmtVkPtWUExEUDEzbEFLaGs/view?usp=sharing</v>
      </c>
      <c r="AA166" s="40" t="str">
        <f>IFERROR(__xludf.DUMMYFUNCTION("""COMPUTED_VALUE"""),"x")</f>
        <v>x</v>
      </c>
      <c r="AB166" s="40"/>
    </row>
    <row r="167">
      <c r="A167" s="805" t="str">
        <f>IFERROR(__xludf.DUMMYFUNCTION("""COMPUTED_VALUE"""),"Kimura 1985")</f>
        <v>Kimura 1985</v>
      </c>
      <c r="B167" s="40" t="str">
        <f>IFERROR(__xludf.DUMMYFUNCTION("""COMPUTED_VALUE"""),"Mike")</f>
        <v>Mike</v>
      </c>
      <c r="C167" s="40" t="str">
        <f>IFERROR(__xludf.DUMMYFUNCTION("""COMPUTED_VALUE"""),"Alex")</f>
        <v>Alex</v>
      </c>
      <c r="D167" s="40" t="str">
        <f>IFERROR(__xludf.DUMMYFUNCTION("""COMPUTED_VALUE"""),"Samoa")</f>
        <v>Samoa</v>
      </c>
      <c r="E167" s="40" t="str">
        <f>IFERROR(__xludf.DUMMYFUNCTION("""COMPUTED_VALUE"""),"W. bancrofti")</f>
        <v>W. bancrofti</v>
      </c>
      <c r="F167" s="40" t="str">
        <f>IFERROR(__xludf.DUMMYFUNCTION("""COMPUTED_VALUE"""),"DEC")</f>
        <v>DEC</v>
      </c>
      <c r="G167" s="40" t="str">
        <f>IFERROR(__xludf.DUMMYFUNCTION("""COMPUTED_VALUE"""),"8mg/kg")</f>
        <v>8mg/kg</v>
      </c>
      <c r="H167" s="40">
        <f>IFERROR(__xludf.DUMMYFUNCTION("""COMPUTED_VALUE"""),1.0)</f>
        <v>1</v>
      </c>
      <c r="I167" s="741">
        <f>IFERROR(__xludf.DUMMYFUNCTION("""COMPUTED_VALUE"""),0.956)</f>
        <v>0.956</v>
      </c>
      <c r="J167" s="741">
        <f>IFERROR(__xludf.DUMMYFUNCTION("""COMPUTED_VALUE"""),0.44)</f>
        <v>0.44</v>
      </c>
      <c r="K167" s="40" t="str">
        <f>IFERROR(__xludf.DUMMYFUNCTION("""COMPUTED_VALUE"""),"not available")</f>
        <v>not available</v>
      </c>
      <c r="L167" s="40">
        <f>IFERROR(__xludf.DUMMYFUNCTION("""COMPUTED_VALUE"""),97.0)</f>
        <v>97</v>
      </c>
      <c r="M167" s="214" t="str">
        <f>IFERROR(__xludf.DUMMYFUNCTION("""COMPUTED_VALUE"""),"&gt; 3 ")</f>
        <v>&gt; 3 </v>
      </c>
      <c r="N167" s="806" t="str">
        <f>IFERROR(__xludf.DUMMYFUNCTION("""COMPUTED_VALUE"""),"not available")</f>
        <v>not available</v>
      </c>
      <c r="O167" s="40" t="str">
        <f>IFERROR(__xludf.DUMMYFUNCTION("""COMPUTED_VALUE"""),"excuded infants &lt; 3 years old")</f>
        <v>excuded infants &lt; 3 years old</v>
      </c>
      <c r="P167" s="40" t="str">
        <f>IFERROR(__xludf.DUMMYFUNCTION("""COMPUTED_VALUE"""),"unknown")</f>
        <v>unknown</v>
      </c>
      <c r="Q167" s="40" t="str">
        <f>IFERROR(__xludf.DUMMYFUNCTION("""COMPUTED_VALUE"""),"no")</f>
        <v>no</v>
      </c>
      <c r="R167" s="40" t="str">
        <f>IFERROR(__xludf.DUMMYFUNCTION("""COMPUTED_VALUE"""),"no")</f>
        <v>no</v>
      </c>
      <c r="S167" s="40" t="str">
        <f>IFERROR(__xludf.DUMMYFUNCTION("""COMPUTED_VALUE"""),"6 months")</f>
        <v>6 months</v>
      </c>
      <c r="T167" s="40" t="str">
        <f>IFERROR(__xludf.DUMMYFUNCTION("""COMPUTED_VALUE"""),"When the different dosage regimens (4 mg/kg, 6 mg/kg and 8 mg/kg) were compared at 6 and 12 months after treatment, the 6 mg/kg regimen wasfound to be more effective than the 4 mg/kg regimen in reducing the microfilarial count, and it producedfewer advers"&amp;"e reactions than the 8 mg/kg regimen.")</f>
        <v>When the different dosage regimens (4 mg/kg, 6 mg/kg and 8 mg/kg) were compared at 6 and 12 months after treatment, the 6 mg/kg regimen wasfound to be more effective than the 4 mg/kg regimen in reducing the microfilarial count, and it producedfewer adverse reactions than the 8 mg/kg regimen.</v>
      </c>
      <c r="U167" s="40"/>
      <c r="V167" s="40">
        <f>IFERROR(__xludf.DUMMYFUNCTION("""COMPUTED_VALUE"""),1985.0)</f>
        <v>1985</v>
      </c>
      <c r="W167" s="40">
        <f>IFERROR(__xludf.DUMMYFUNCTION("""COMPUTED_VALUE"""),1985.0)</f>
        <v>1985</v>
      </c>
      <c r="X167" s="40" t="str">
        <f>IFERROR(__xludf.DUMMYFUNCTION("""COMPUTED_VALUE"""),"Kimura, E., L. Penaia, and G. F. S. Spears. ""The efficacy of annual single-dose treatment with diethylcarbamazine citrate against diurnally subperiodic bancroftian filariasis in Samoa."" Bulletin of the World Health Organization 63.6 (1985): 1097.")</f>
        <v>Kimura, E., L. Penaia, and G. F. S. Spears. "The efficacy of annual single-dose treatment with diethylcarbamazine citrate against diurnally subperiodic bancroftian filariasis in Samoa." Bulletin of the World Health Organization 63.6 (1985): 1097.</v>
      </c>
      <c r="Y167" s="40" t="str">
        <f>IFERROR(__xludf.DUMMYFUNCTION("""COMPUTED_VALUE"""),"cannot find")</f>
        <v>cannot find</v>
      </c>
      <c r="Z167" s="727" t="str">
        <f>IFERROR(__xludf.DUMMYFUNCTION("""COMPUTED_VALUE"""),"https://drive.google.com/file/d/0B0qKRmtVkPtWUExEUDEzbEFLaGs/view?usp=sharing")</f>
        <v>https://drive.google.com/file/d/0B0qKRmtVkPtWUExEUDEzbEFLaGs/view?usp=sharing</v>
      </c>
      <c r="AA167" s="40" t="str">
        <f>IFERROR(__xludf.DUMMYFUNCTION("""COMPUTED_VALUE"""),"x")</f>
        <v>x</v>
      </c>
      <c r="AB167" s="40"/>
    </row>
    <row r="168">
      <c r="A168" s="805" t="str">
        <f>IFERROR(__xludf.DUMMYFUNCTION("""COMPUTED_VALUE"""),"Kimura 1985")</f>
        <v>Kimura 1985</v>
      </c>
      <c r="B168" s="40" t="str">
        <f>IFERROR(__xludf.DUMMYFUNCTION("""COMPUTED_VALUE"""),"Mike")</f>
        <v>Mike</v>
      </c>
      <c r="C168" s="40" t="str">
        <f>IFERROR(__xludf.DUMMYFUNCTION("""COMPUTED_VALUE"""),"Alex")</f>
        <v>Alex</v>
      </c>
      <c r="D168" s="40" t="str">
        <f>IFERROR(__xludf.DUMMYFUNCTION("""COMPUTED_VALUE"""),"Samoa")</f>
        <v>Samoa</v>
      </c>
      <c r="E168" s="40" t="str">
        <f>IFERROR(__xludf.DUMMYFUNCTION("""COMPUTED_VALUE"""),"W. bancrofti")</f>
        <v>W. bancrofti</v>
      </c>
      <c r="F168" s="40" t="str">
        <f>IFERROR(__xludf.DUMMYFUNCTION("""COMPUTED_VALUE"""),"DEC")</f>
        <v>DEC</v>
      </c>
      <c r="G168" s="40" t="str">
        <f>IFERROR(__xludf.DUMMYFUNCTION("""COMPUTED_VALUE"""),"8mg/kg")</f>
        <v>8mg/kg</v>
      </c>
      <c r="H168" s="40">
        <f>IFERROR(__xludf.DUMMYFUNCTION("""COMPUTED_VALUE"""),2.0)</f>
        <v>2</v>
      </c>
      <c r="I168" s="741">
        <f>IFERROR(__xludf.DUMMYFUNCTION("""COMPUTED_VALUE"""),0.935)</f>
        <v>0.935</v>
      </c>
      <c r="J168" s="741">
        <f>IFERROR(__xludf.DUMMYFUNCTION("""COMPUTED_VALUE"""),0.4)</f>
        <v>0.4</v>
      </c>
      <c r="K168" s="40" t="str">
        <f>IFERROR(__xludf.DUMMYFUNCTION("""COMPUTED_VALUE"""),"not available")</f>
        <v>not available</v>
      </c>
      <c r="L168" s="40">
        <f>IFERROR(__xludf.DUMMYFUNCTION("""COMPUTED_VALUE"""),96.0)</f>
        <v>96</v>
      </c>
      <c r="M168" s="214" t="str">
        <f>IFERROR(__xludf.DUMMYFUNCTION("""COMPUTED_VALUE"""),"&gt; 3 ")</f>
        <v>&gt; 3 </v>
      </c>
      <c r="N168" s="806" t="str">
        <f>IFERROR(__xludf.DUMMYFUNCTION("""COMPUTED_VALUE"""),"not available")</f>
        <v>not available</v>
      </c>
      <c r="O168" s="40" t="str">
        <f>IFERROR(__xludf.DUMMYFUNCTION("""COMPUTED_VALUE"""),"excuded infants &lt; 3 years old")</f>
        <v>excuded infants &lt; 3 years old</v>
      </c>
      <c r="P168" s="40" t="str">
        <f>IFERROR(__xludf.DUMMYFUNCTION("""COMPUTED_VALUE"""),"unknown")</f>
        <v>unknown</v>
      </c>
      <c r="Q168" s="40" t="str">
        <f>IFERROR(__xludf.DUMMYFUNCTION("""COMPUTED_VALUE"""),"no")</f>
        <v>no</v>
      </c>
      <c r="R168" s="40" t="str">
        <f>IFERROR(__xludf.DUMMYFUNCTION("""COMPUTED_VALUE"""),"no")</f>
        <v>no</v>
      </c>
      <c r="S168" s="40" t="str">
        <f>IFERROR(__xludf.DUMMYFUNCTION("""COMPUTED_VALUE"""),"1 year")</f>
        <v>1 year</v>
      </c>
      <c r="T168" s="40" t="str">
        <f>IFERROR(__xludf.DUMMYFUNCTION("""COMPUTED_VALUE"""),"When the different dosage regimens (4 mg/kg, 6 mg/kg and 8 mg/kg) were compared at 6 and 12 months after treatment, the 6 mg/kg regimen wasfound to be more effective than the 4 mg/kg regimen in reducing the microfilarial count, and it producedfewer advers"&amp;"e reactions than the 8 mg/kg regimen.")</f>
        <v>When the different dosage regimens (4 mg/kg, 6 mg/kg and 8 mg/kg) were compared at 6 and 12 months after treatment, the 6 mg/kg regimen wasfound to be more effective than the 4 mg/kg regimen in reducing the microfilarial count, and it producedfewer adverse reactions than the 8 mg/kg regimen.</v>
      </c>
      <c r="U168" s="40"/>
      <c r="V168" s="40">
        <f>IFERROR(__xludf.DUMMYFUNCTION("""COMPUTED_VALUE"""),1985.0)</f>
        <v>1985</v>
      </c>
      <c r="W168" s="40">
        <f>IFERROR(__xludf.DUMMYFUNCTION("""COMPUTED_VALUE"""),1985.0)</f>
        <v>1985</v>
      </c>
      <c r="X168" s="40" t="str">
        <f>IFERROR(__xludf.DUMMYFUNCTION("""COMPUTED_VALUE"""),"Kimura, E., L. Penaia, and G. F. S. Spears. ""The efficacy of annual single-dose treatment with diethylcarbamazine citrate against diurnally subperiodic bancroftian filariasis in Samoa."" Bulletin of the World Health Organization 63.6 (1985): 1097.")</f>
        <v>Kimura, E., L. Penaia, and G. F. S. Spears. "The efficacy of annual single-dose treatment with diethylcarbamazine citrate against diurnally subperiodic bancroftian filariasis in Samoa." Bulletin of the World Health Organization 63.6 (1985): 1097.</v>
      </c>
      <c r="Y168" s="40" t="str">
        <f>IFERROR(__xludf.DUMMYFUNCTION("""COMPUTED_VALUE"""),"cannot find")</f>
        <v>cannot find</v>
      </c>
      <c r="Z168" s="727" t="str">
        <f>IFERROR(__xludf.DUMMYFUNCTION("""COMPUTED_VALUE"""),"https://drive.google.com/file/d/0B0qKRmtVkPtWUExEUDEzbEFLaGs/view?usp=sharing")</f>
        <v>https://drive.google.com/file/d/0B0qKRmtVkPtWUExEUDEzbEFLaGs/view?usp=sharing</v>
      </c>
      <c r="AA168" s="40" t="str">
        <f>IFERROR(__xludf.DUMMYFUNCTION("""COMPUTED_VALUE"""),"x")</f>
        <v>x</v>
      </c>
      <c r="AB168" s="40"/>
    </row>
    <row r="169">
      <c r="A169" s="805" t="str">
        <f>IFERROR(__xludf.DUMMYFUNCTION("""COMPUTED_VALUE"""),"El Setouhy 2004")</f>
        <v>El Setouhy 2004</v>
      </c>
      <c r="B169" s="40" t="str">
        <f>IFERROR(__xludf.DUMMYFUNCTION("""COMPUTED_VALUE"""),"Mike")</f>
        <v>Mike</v>
      </c>
      <c r="C169" s="40" t="str">
        <f>IFERROR(__xludf.DUMMYFUNCTION("""COMPUTED_VALUE"""),"Alex")</f>
        <v>Alex</v>
      </c>
      <c r="D169" s="40" t="str">
        <f>IFERROR(__xludf.DUMMYFUNCTION("""COMPUTED_VALUE"""),"Egypt")</f>
        <v>Egypt</v>
      </c>
      <c r="E169" s="40" t="str">
        <f>IFERROR(__xludf.DUMMYFUNCTION("""COMPUTED_VALUE"""),"w. bancrofti")</f>
        <v>w. bancrofti</v>
      </c>
      <c r="F169" s="40" t="str">
        <f>IFERROR(__xludf.DUMMYFUNCTION("""COMPUTED_VALUE"""),"Albendazole &amp; DEC")</f>
        <v>Albendazole &amp; DEC</v>
      </c>
      <c r="G169" s="40" t="str">
        <f>IFERROR(__xludf.DUMMYFUNCTION("""COMPUTED_VALUE"""),"6mg/kg + 400mg")</f>
        <v>6mg/kg + 400mg</v>
      </c>
      <c r="H169" s="40">
        <f>IFERROR(__xludf.DUMMYFUNCTION("""COMPUTED_VALUE"""),7.0)</f>
        <v>7</v>
      </c>
      <c r="I169" s="741">
        <f>IFERROR(__xludf.DUMMYFUNCTION("""COMPUTED_VALUE"""),0.996)</f>
        <v>0.996</v>
      </c>
      <c r="J169" s="741">
        <f>IFERROR(__xludf.DUMMYFUNCTION("""COMPUTED_VALUE"""),0.75)</f>
        <v>0.75</v>
      </c>
      <c r="K169" s="40" t="str">
        <f>IFERROR(__xludf.DUMMYFUNCTION("""COMPUTED_VALUE"""),"not available")</f>
        <v>not available</v>
      </c>
      <c r="L169" s="40">
        <f>IFERROR(__xludf.DUMMYFUNCTION("""COMPUTED_VALUE"""),58.0)</f>
        <v>58</v>
      </c>
      <c r="M169" s="214" t="str">
        <f>IFERROR(__xludf.DUMMYFUNCTION("""COMPUTED_VALUE"""),"&gt;=18")</f>
        <v>&gt;=18</v>
      </c>
      <c r="N169" s="806" t="str">
        <f>IFERROR(__xludf.DUMMYFUNCTION("""COMPUTED_VALUE"""),"10 : 18")</f>
        <v>10 : 18</v>
      </c>
      <c r="O169" s="40" t="str">
        <f>IFERROR(__xludf.DUMMYFUNCTION("""COMPUTED_VALUE"""),"night blood microfilaria counts &gt; 80 MF/mL)")</f>
        <v>night blood microfilaria counts &gt; 80 MF/mL)</v>
      </c>
      <c r="P169" s="40" t="str">
        <f>IFERROR(__xludf.DUMMYFUNCTION("""COMPUTED_VALUE"""),"not blinded")</f>
        <v>not blinded</v>
      </c>
      <c r="Q169" s="40" t="str">
        <f>IFERROR(__xludf.DUMMYFUNCTION("""COMPUTED_VALUE"""),"no")</f>
        <v>no</v>
      </c>
      <c r="R169" s="40" t="str">
        <f>IFERROR(__xludf.DUMMYFUNCTION("""COMPUTED_VALUE"""),"yes")</f>
        <v>yes</v>
      </c>
      <c r="S169" s="40" t="str">
        <f>IFERROR(__xludf.DUMMYFUNCTION("""COMPUTED_VALUE"""),"2 years")</f>
        <v>2 years</v>
      </c>
      <c r="T169" s="40" t="str">
        <f>IFERROR(__xludf.DUMMYFUNCTION("""COMPUTED_VALUE"""),"Multi-dose DEC/Alb therapy was much more effective than single-dose treatment for reducing and clearing MF.")</f>
        <v>Multi-dose DEC/Alb therapy was much more effective than single-dose treatment for reducing and clearing MF.</v>
      </c>
      <c r="U169" s="40"/>
      <c r="V169" s="40">
        <f>IFERROR(__xludf.DUMMYFUNCTION("""COMPUTED_VALUE"""),2000.0)</f>
        <v>2000</v>
      </c>
    </row>
    <row r="170">
      <c r="A170" s="805" t="str">
        <f>IFERROR(__xludf.DUMMYFUNCTION("""COMPUTED_VALUE"""),"El Setouhy 2004")</f>
        <v>El Setouhy 2004</v>
      </c>
      <c r="B170" s="40" t="str">
        <f>IFERROR(__xludf.DUMMYFUNCTION("""COMPUTED_VALUE"""),"Mike")</f>
        <v>Mike</v>
      </c>
      <c r="C170" s="40" t="str">
        <f>IFERROR(__xludf.DUMMYFUNCTION("""COMPUTED_VALUE"""),"Alex")</f>
        <v>Alex</v>
      </c>
      <c r="D170" s="40" t="str">
        <f>IFERROR(__xludf.DUMMYFUNCTION("""COMPUTED_VALUE"""),"Egypt")</f>
        <v>Egypt</v>
      </c>
      <c r="E170" s="40" t="str">
        <f>IFERROR(__xludf.DUMMYFUNCTION("""COMPUTED_VALUE"""),"w. bancrofti")</f>
        <v>w. bancrofti</v>
      </c>
      <c r="F170" s="40" t="str">
        <f>IFERROR(__xludf.DUMMYFUNCTION("""COMPUTED_VALUE"""),"Albendazole &amp; DEC")</f>
        <v>Albendazole &amp; DEC</v>
      </c>
      <c r="G170" s="40" t="str">
        <f>IFERROR(__xludf.DUMMYFUNCTION("""COMPUTED_VALUE"""),"6mg/kg + 400mg")</f>
        <v>6mg/kg + 400mg</v>
      </c>
      <c r="H170" s="40">
        <f>IFERROR(__xludf.DUMMYFUNCTION("""COMPUTED_VALUE"""),1.0)</f>
        <v>1</v>
      </c>
      <c r="I170" s="741">
        <f>IFERROR(__xludf.DUMMYFUNCTION("""COMPUTED_VALUE"""),0.857)</f>
        <v>0.857</v>
      </c>
      <c r="J170" s="741">
        <f>IFERROR(__xludf.DUMMYFUNCTION("""COMPUTED_VALUE"""),0.231)</f>
        <v>0.231</v>
      </c>
      <c r="K170" s="40" t="str">
        <f>IFERROR(__xludf.DUMMYFUNCTION("""COMPUTED_VALUE"""),"not available")</f>
        <v>not available</v>
      </c>
      <c r="L170" s="40">
        <f>IFERROR(__xludf.DUMMYFUNCTION("""COMPUTED_VALUE"""),58.0)</f>
        <v>58</v>
      </c>
      <c r="M170" s="214" t="str">
        <f>IFERROR(__xludf.DUMMYFUNCTION("""COMPUTED_VALUE"""),"&gt;=18")</f>
        <v>&gt;=18</v>
      </c>
      <c r="N170" s="806" t="str">
        <f>IFERROR(__xludf.DUMMYFUNCTION("""COMPUTED_VALUE"""),"12 : 18")</f>
        <v>12 : 18</v>
      </c>
      <c r="O170" s="40" t="str">
        <f>IFERROR(__xludf.DUMMYFUNCTION("""COMPUTED_VALUE"""),"night blood microfilaria counts &gt; 80 MF/mL)")</f>
        <v>night blood microfilaria counts &gt; 80 MF/mL)</v>
      </c>
      <c r="P170" s="40" t="str">
        <f>IFERROR(__xludf.DUMMYFUNCTION("""COMPUTED_VALUE"""),"not blinded")</f>
        <v>not blinded</v>
      </c>
      <c r="Q170" s="40" t="str">
        <f>IFERROR(__xludf.DUMMYFUNCTION("""COMPUTED_VALUE"""),"no")</f>
        <v>no</v>
      </c>
      <c r="R170" s="40" t="str">
        <f>IFERROR(__xludf.DUMMYFUNCTION("""COMPUTED_VALUE"""),"yes")</f>
        <v>yes</v>
      </c>
      <c r="S170" s="40" t="str">
        <f>IFERROR(__xludf.DUMMYFUNCTION("""COMPUTED_VALUE"""),"2 years")</f>
        <v>2 years</v>
      </c>
      <c r="T170" s="40" t="str">
        <f>IFERROR(__xludf.DUMMYFUNCTION("""COMPUTED_VALUE"""),"Multi-dose DEC/Alb therapy was much more effective than single-dose treatment for reducing and clearing MF.")</f>
        <v>Multi-dose DEC/Alb therapy was much more effective than single-dose treatment for reducing and clearing MF.</v>
      </c>
      <c r="U170" s="40"/>
      <c r="V170" s="40">
        <f>IFERROR(__xludf.DUMMYFUNCTION("""COMPUTED_VALUE"""),2000.0)</f>
        <v>2000</v>
      </c>
      <c r="W170" s="40">
        <f>IFERROR(__xludf.DUMMYFUNCTION("""COMPUTED_VALUE"""),2000.0)</f>
        <v>2000</v>
      </c>
      <c r="X170" s="40" t="str">
        <f>IFERROR(__xludf.DUMMYFUNCTION("""COMPUTED_VALUE"""),"El Setouhy, Maged, et al. ""A randomized clinical trial comparing single-and multi-dose combination therapy with diethylcarbamazine and albendazole for treatment of bancroftian filariasis."" The American journal of tropical medicine and hygiene 70.2 (2004"&amp;"): 191-196.")</f>
        <v>El Setouhy, Maged, et al. "A randomized clinical trial comparing single-and multi-dose combination therapy with diethylcarbamazine and albendazole for treatment of bancroftian filariasis." The American journal of tropical medicine and hygiene 70.2 (2004): 191-196.</v>
      </c>
      <c r="Y170" s="40" t="str">
        <f>IFERROR(__xludf.DUMMYFUNCTION("""COMPUTED_VALUE"""),"10.1093/cid/civ882")</f>
        <v>10.1093/cid/civ882</v>
      </c>
      <c r="Z170" s="727" t="str">
        <f>IFERROR(__xludf.DUMMYFUNCTION("""COMPUTED_VALUE"""),"https://drive.google.com/file/d/0B0qKRmtVkPtWMWNoVVhuQmVLMEU/view?usp=sharing")</f>
        <v>https://drive.google.com/file/d/0B0qKRmtVkPtWMWNoVVhuQmVLMEU/view?usp=sharing</v>
      </c>
      <c r="AA170" s="40" t="str">
        <f>IFERROR(__xludf.DUMMYFUNCTION("""COMPUTED_VALUE"""),"x")</f>
        <v>x</v>
      </c>
      <c r="AB170" s="40"/>
    </row>
    <row r="171">
      <c r="A171" s="805" t="str">
        <f>IFERROR(__xludf.DUMMYFUNCTION("""COMPUTED_VALUE"""),"Simonsen 1997")</f>
        <v>Simonsen 1997</v>
      </c>
      <c r="B171" s="40" t="str">
        <f>IFERROR(__xludf.DUMMYFUNCTION("""COMPUTED_VALUE"""),"Mike")</f>
        <v>Mike</v>
      </c>
      <c r="C171" s="40" t="str">
        <f>IFERROR(__xludf.DUMMYFUNCTION("""COMPUTED_VALUE"""),"Alex ")</f>
        <v>Alex </v>
      </c>
      <c r="D171" s="40" t="str">
        <f>IFERROR(__xludf.DUMMYFUNCTION("""COMPUTED_VALUE"""),"Tanzania")</f>
        <v>Tanzania</v>
      </c>
      <c r="E171" s="40" t="str">
        <f>IFERROR(__xludf.DUMMYFUNCTION("""COMPUTED_VALUE"""),"w. bancrofti")</f>
        <v>w. bancrofti</v>
      </c>
      <c r="F171" s="40" t="str">
        <f>IFERROR(__xludf.DUMMYFUNCTION("""COMPUTED_VALUE"""),"DEC")</f>
        <v>DEC</v>
      </c>
      <c r="G171" s="40" t="str">
        <f>IFERROR(__xludf.DUMMYFUNCTION("""COMPUTED_VALUE"""),"100mg")</f>
        <v>100mg</v>
      </c>
      <c r="H171" s="40">
        <f>IFERROR(__xludf.DUMMYFUNCTION("""COMPUTED_VALUE"""),1.0)</f>
        <v>1</v>
      </c>
      <c r="I171" s="741">
        <f>IFERROR(__xludf.DUMMYFUNCTION("""COMPUTED_VALUE"""),43.4)</f>
        <v>43.4</v>
      </c>
      <c r="J171" s="741"/>
      <c r="K171" s="40" t="str">
        <f>IFERROR(__xludf.DUMMYFUNCTION("""COMPUTED_VALUE"""),"not available")</f>
        <v>not available</v>
      </c>
      <c r="L171" s="40">
        <f>IFERROR(__xludf.DUMMYFUNCTION("""COMPUTED_VALUE"""),51.0)</f>
        <v>51</v>
      </c>
      <c r="M171" s="214" t="str">
        <f>IFERROR(__xludf.DUMMYFUNCTION("""COMPUTED_VALUE"""),"7 to 78")</f>
        <v>7 to 78</v>
      </c>
      <c r="N171" s="806" t="str">
        <f>IFERROR(__xludf.DUMMYFUNCTION("""COMPUTED_VALUE"""),"30 : 21")</f>
        <v>30 : 21</v>
      </c>
      <c r="O171" s="40" t="str">
        <f>IFERROR(__xludf.DUMMYFUNCTION("""COMPUTED_VALUE"""),"pre-treatment mf intensities greater than 100mf/mL")</f>
        <v>pre-treatment mf intensities greater than 100mf/mL</v>
      </c>
      <c r="P171" s="40" t="str">
        <f>IFERROR(__xludf.DUMMYFUNCTION("""COMPUTED_VALUE"""),"placebo-controlled, double-blind")</f>
        <v>placebo-controlled, double-blind</v>
      </c>
      <c r="Q171" s="40" t="str">
        <f>IFERROR(__xludf.DUMMYFUNCTION("""COMPUTED_VALUE"""),"yes")</f>
        <v>yes</v>
      </c>
      <c r="R171" s="40" t="str">
        <f>IFERROR(__xludf.DUMMYFUNCTION("""COMPUTED_VALUE"""),"no")</f>
        <v>no</v>
      </c>
      <c r="S171" s="40" t="str">
        <f>IFERROR(__xludf.DUMMYFUNCTION("""COMPUTED_VALUE"""),"20 days")</f>
        <v>20 days</v>
      </c>
      <c r="T171" s="40" t="str">
        <f>IFERROR(__xludf.DUMMYFUNCTION("""COMPUTED_VALUE"""),"The study showed that a single dose of 100 mg DEC per person (corresponding to approximately 2-4 mg DEC/kg body weight, equal to the dose usually used for the DEC provocative day test) had a significant long term effect on microfilaraemia. T")</f>
        <v>The study showed that a single dose of 100 mg DEC per person (corresponding to approximately 2-4 mg DEC/kg body weight, equal to the dose usually used for the DEC provocative day test) had a significant long term effect on microfilaraemia. T</v>
      </c>
      <c r="U171" s="40"/>
      <c r="V171" s="40">
        <f>IFERROR(__xludf.DUMMYFUNCTION("""COMPUTED_VALUE"""),1997.0)</f>
        <v>1997</v>
      </c>
      <c r="W171" s="40">
        <f>IFERROR(__xludf.DUMMYFUNCTION("""COMPUTED_VALUE"""),1997.0)</f>
        <v>1997</v>
      </c>
      <c r="X171" s="40" t="str">
        <f>IFERROR(__xludf.DUMMYFUNCTION("""COMPUTED_VALUE"""),"Simonsen, Poul Erik, Dan Wolf Meyrowitsch, and W. H. Makunde. ""Bancroftian filariasis: long-term effect of the DEC provocative day test on microfilaraemia."" Transactions of the Royal Society of Tropical Medicine and Hygiene 91.3 (1997): 290-293.")</f>
        <v>Simonsen, Poul Erik, Dan Wolf Meyrowitsch, and W. H. Makunde. "Bancroftian filariasis: long-term effect of the DEC provocative day test on microfilaraemia." Transactions of the Royal Society of Tropical Medicine and Hygiene 91.3 (1997): 290-293.</v>
      </c>
      <c r="Y171" s="727" t="str">
        <f>IFERROR(__xludf.DUMMYFUNCTION("""COMPUTED_VALUE"""),"http://dx.doi.org/10.1016/S0035-9203(97)90079-1")</f>
        <v>http://dx.doi.org/10.1016/S0035-9203(97)90079-1</v>
      </c>
      <c r="Z171" s="727" t="str">
        <f>IFERROR(__xludf.DUMMYFUNCTION("""COMPUTED_VALUE"""),"https://drive.google.com/file/d/0B0qKRmtVkPtWMFByMGl4dnRaSm8/view?usp=sharing")</f>
        <v>https://drive.google.com/file/d/0B0qKRmtVkPtWMFByMGl4dnRaSm8/view?usp=sharing</v>
      </c>
      <c r="AA171" s="40"/>
      <c r="AB171" s="40"/>
    </row>
    <row r="172">
      <c r="A172" s="745" t="str">
        <f>IFERROR(__xludf.DUMMYFUNCTION("""COMPUTED_VALUE"""),"Simonsen 1997")</f>
        <v>Simonsen 1997</v>
      </c>
      <c r="B172" s="40" t="str">
        <f>IFERROR(__xludf.DUMMYFUNCTION("""COMPUTED_VALUE"""),"Mike")</f>
        <v>Mike</v>
      </c>
      <c r="C172" s="40" t="str">
        <f>IFERROR(__xludf.DUMMYFUNCTION("""COMPUTED_VALUE"""),"Alex ")</f>
        <v>Alex </v>
      </c>
      <c r="D172" s="40" t="str">
        <f>IFERROR(__xludf.DUMMYFUNCTION("""COMPUTED_VALUE"""),"Tanzania")</f>
        <v>Tanzania</v>
      </c>
      <c r="E172" s="40" t="str">
        <f>IFERROR(__xludf.DUMMYFUNCTION("""COMPUTED_VALUE"""),"w. bancrofti")</f>
        <v>w. bancrofti</v>
      </c>
      <c r="F172" s="40" t="str">
        <f>IFERROR(__xludf.DUMMYFUNCTION("""COMPUTED_VALUE"""),"Placebo")</f>
        <v>Placebo</v>
      </c>
      <c r="G172" s="40" t="str">
        <f>IFERROR(__xludf.DUMMYFUNCTION("""COMPUTED_VALUE"""),"-")</f>
        <v>-</v>
      </c>
      <c r="H172" s="40">
        <f>IFERROR(__xludf.DUMMYFUNCTION("""COMPUTED_VALUE"""),1.0)</f>
        <v>1</v>
      </c>
      <c r="I172" s="741">
        <f>IFERROR(__xludf.DUMMYFUNCTION("""COMPUTED_VALUE"""),0.9)</f>
        <v>0.9</v>
      </c>
      <c r="J172" s="741" t="str">
        <f>IFERROR(__xludf.DUMMYFUNCTION("""COMPUTED_VALUE"""),"not available")</f>
        <v>not available</v>
      </c>
      <c r="K172" s="40" t="str">
        <f>IFERROR(__xludf.DUMMYFUNCTION("""COMPUTED_VALUE"""),"not available")</f>
        <v>not available</v>
      </c>
      <c r="L172" s="40">
        <f>IFERROR(__xludf.DUMMYFUNCTION("""COMPUTED_VALUE"""),20.0)</f>
        <v>20</v>
      </c>
      <c r="M172" s="214" t="str">
        <f>IFERROR(__xludf.DUMMYFUNCTION("""COMPUTED_VALUE"""),"10 to 60")</f>
        <v>10 to 60</v>
      </c>
      <c r="N172" s="806" t="str">
        <f>IFERROR(__xludf.DUMMYFUNCTION("""COMPUTED_VALUE"""),"12 : 8")</f>
        <v>12 : 8</v>
      </c>
      <c r="O172" s="40" t="str">
        <f>IFERROR(__xludf.DUMMYFUNCTION("""COMPUTED_VALUE"""),"pre-treatment mf intensities greater than 100mf/mL")</f>
        <v>pre-treatment mf intensities greater than 100mf/mL</v>
      </c>
      <c r="P172" s="40" t="str">
        <f>IFERROR(__xludf.DUMMYFUNCTION("""COMPUTED_VALUE"""),"placebo-controlled, double-blind")</f>
        <v>placebo-controlled, double-blind</v>
      </c>
      <c r="Q172" s="40" t="str">
        <f>IFERROR(__xludf.DUMMYFUNCTION("""COMPUTED_VALUE"""),"yes")</f>
        <v>yes</v>
      </c>
      <c r="R172" s="40" t="str">
        <f>IFERROR(__xludf.DUMMYFUNCTION("""COMPUTED_VALUE"""),"no")</f>
        <v>no</v>
      </c>
      <c r="S172" s="40" t="str">
        <f>IFERROR(__xludf.DUMMYFUNCTION("""COMPUTED_VALUE"""),"20 days")</f>
        <v>20 days</v>
      </c>
      <c r="T172" s="40" t="str">
        <f>IFERROR(__xludf.DUMMYFUNCTION("""COMPUTED_VALUE"""),"The study showed that a single dose of 100 mg DEC per person (corresponding to approximately 2-4 mg DEC/kg body weight, equal to the dose usually used for the DEC provocative day test) had a significant long term effect on microfilaraemia. T")</f>
        <v>The study showed that a single dose of 100 mg DEC per person (corresponding to approximately 2-4 mg DEC/kg body weight, equal to the dose usually used for the DEC provocative day test) had a significant long term effect on microfilaraemia. T</v>
      </c>
      <c r="U172" s="40"/>
      <c r="V172" s="40">
        <f>IFERROR(__xludf.DUMMYFUNCTION("""COMPUTED_VALUE"""),1997.0)</f>
        <v>1997</v>
      </c>
      <c r="W172" s="40">
        <f>IFERROR(__xludf.DUMMYFUNCTION("""COMPUTED_VALUE"""),1997.0)</f>
        <v>1997</v>
      </c>
      <c r="X172" s="40" t="str">
        <f>IFERROR(__xludf.DUMMYFUNCTION("""COMPUTED_VALUE"""),"Simonsen, Poul Erik, Dan Wolf Meyrowitsch, and W. H. Makunde. ""Bancroftian filariasis: long-term effect of the DEC provocative day test on microfilaraemia."" Transactions of the Royal Society of Tropical Medicine and Hygiene 91.3 (1997): 290-293.")</f>
        <v>Simonsen, Poul Erik, Dan Wolf Meyrowitsch, and W. H. Makunde. "Bancroftian filariasis: long-term effect of the DEC provocative day test on microfilaraemia." Transactions of the Royal Society of Tropical Medicine and Hygiene 91.3 (1997): 290-293.</v>
      </c>
      <c r="Y172" s="727" t="str">
        <f>IFERROR(__xludf.DUMMYFUNCTION("""COMPUTED_VALUE"""),"http://dx.doi.org/10.1016/S0035-9203(97)90079-1")</f>
        <v>http://dx.doi.org/10.1016/S0035-9203(97)90079-1</v>
      </c>
      <c r="Z172" s="727" t="str">
        <f>IFERROR(__xludf.DUMMYFUNCTION("""COMPUTED_VALUE"""),"https://drive.google.com/file/d/0B0qKRmtVkPtWMFByMGl4dnRaSm8/view?usp=sharing")</f>
        <v>https://drive.google.com/file/d/0B0qKRmtVkPtWMFByMGl4dnRaSm8/view?usp=sharing</v>
      </c>
      <c r="AA172" s="40"/>
      <c r="AB172" s="40"/>
    </row>
    <row r="173">
      <c r="A173" s="745" t="str">
        <f>IFERROR(__xludf.DUMMYFUNCTION("""COMPUTED_VALUE"""),"Simonsen 1997")</f>
        <v>Simonsen 1997</v>
      </c>
      <c r="B173" s="729" t="str">
        <f>IFERROR(__xludf.DUMMYFUNCTION("""COMPUTED_VALUE"""),"Mike")</f>
        <v>Mike</v>
      </c>
      <c r="C173" s="730" t="str">
        <f>IFERROR(__xludf.DUMMYFUNCTION("""COMPUTED_VALUE"""),"Alex ")</f>
        <v>Alex </v>
      </c>
      <c r="D173" s="746" t="str">
        <f>IFERROR(__xludf.DUMMYFUNCTION("""COMPUTED_VALUE"""),"Tanzania")</f>
        <v>Tanzania</v>
      </c>
      <c r="E173" s="747" t="str">
        <f>IFERROR(__xludf.DUMMYFUNCTION("""COMPUTED_VALUE"""),"w. bancrofti")</f>
        <v>w. bancrofti</v>
      </c>
      <c r="F173" s="746" t="str">
        <f>IFERROR(__xludf.DUMMYFUNCTION("""COMPUTED_VALUE"""),"DEC")</f>
        <v>DEC</v>
      </c>
      <c r="G173" s="732" t="str">
        <f>IFERROR(__xludf.DUMMYFUNCTION("""COMPUTED_VALUE"""),"100mg")</f>
        <v>100mg</v>
      </c>
      <c r="H173" s="732">
        <f>IFERROR(__xludf.DUMMYFUNCTION("""COMPUTED_VALUE"""),1.0)</f>
        <v>1</v>
      </c>
      <c r="I173" s="741">
        <f>IFERROR(__xludf.DUMMYFUNCTION("""COMPUTED_VALUE"""),64.2)</f>
        <v>64.2</v>
      </c>
      <c r="J173" s="741"/>
      <c r="K173" s="40" t="str">
        <f>IFERROR(__xludf.DUMMYFUNCTION("""COMPUTED_VALUE"""),"not available")</f>
        <v>not available</v>
      </c>
      <c r="L173" s="746">
        <f>IFERROR(__xludf.DUMMYFUNCTION("""COMPUTED_VALUE"""),51.0)</f>
        <v>51</v>
      </c>
      <c r="M173" s="809" t="str">
        <f>IFERROR(__xludf.DUMMYFUNCTION("""COMPUTED_VALUE"""),"7 to 78")</f>
        <v>7 to 78</v>
      </c>
      <c r="N173" s="758" t="str">
        <f>IFERROR(__xludf.DUMMYFUNCTION("""COMPUTED_VALUE"""),"30 : 21")</f>
        <v>30 : 21</v>
      </c>
      <c r="O173" s="746" t="str">
        <f>IFERROR(__xludf.DUMMYFUNCTION("""COMPUTED_VALUE"""),"pre-treatment mf intensities greater than 100mf/mL")</f>
        <v>pre-treatment mf intensities greater than 100mf/mL</v>
      </c>
      <c r="P173" s="40" t="str">
        <f>IFERROR(__xludf.DUMMYFUNCTION("""COMPUTED_VALUE"""),"placebo-controlled, double-blind")</f>
        <v>placebo-controlled, double-blind</v>
      </c>
      <c r="Q173" s="40" t="str">
        <f>IFERROR(__xludf.DUMMYFUNCTION("""COMPUTED_VALUE"""),"yes")</f>
        <v>yes</v>
      </c>
      <c r="R173" s="40" t="str">
        <f>IFERROR(__xludf.DUMMYFUNCTION("""COMPUTED_VALUE"""),"no")</f>
        <v>no</v>
      </c>
      <c r="S173" s="746" t="str">
        <f>IFERROR(__xludf.DUMMYFUNCTION("""COMPUTED_VALUE"""),"3 months")</f>
        <v>3 months</v>
      </c>
      <c r="T173" s="746" t="str">
        <f>IFERROR(__xludf.DUMMYFUNCTION("""COMPUTED_VALUE"""),"The study showed that a single dose of 100 mg DEC per person (corresponding to approximately 2-4 mg DEC/kg body weight, equal to the dose usually used for the DEC provocative day test) had a significant long term effect on microfilaraemia. T")</f>
        <v>The study showed that a single dose of 100 mg DEC per person (corresponding to approximately 2-4 mg DEC/kg body weight, equal to the dose usually used for the DEC provocative day test) had a significant long term effect on microfilaraemia. T</v>
      </c>
      <c r="U173" s="40"/>
      <c r="V173" s="752">
        <f>IFERROR(__xludf.DUMMYFUNCTION("""COMPUTED_VALUE"""),1997.0)</f>
        <v>1997</v>
      </c>
      <c r="W173" s="40">
        <f>IFERROR(__xludf.DUMMYFUNCTION("""COMPUTED_VALUE"""),1997.0)</f>
        <v>1997</v>
      </c>
      <c r="X173" s="40" t="str">
        <f>IFERROR(__xludf.DUMMYFUNCTION("""COMPUTED_VALUE"""),"Simonsen, Poul Erik, Dan Wolf Meyrowitsch, and W. H. Makunde. ""Bancroftian filariasis: long-term effect of the DEC provocative day test on microfilaraemia."" Transactions of the Royal Society of Tropical Medicine and Hygiene 91.3 (1997): 290-293.")</f>
        <v>Simonsen, Poul Erik, Dan Wolf Meyrowitsch, and W. H. Makunde. "Bancroftian filariasis: long-term effect of the DEC provocative day test on microfilaraemia." Transactions of the Royal Society of Tropical Medicine and Hygiene 91.3 (1997): 290-293.</v>
      </c>
      <c r="Y173" s="726" t="str">
        <f>IFERROR(__xludf.DUMMYFUNCTION("""COMPUTED_VALUE"""),"http://dx.doi.org/10.1016/S0035-9203(97)90079-1")</f>
        <v>http://dx.doi.org/10.1016/S0035-9203(97)90079-1</v>
      </c>
      <c r="Z173" s="727" t="str">
        <f>IFERROR(__xludf.DUMMYFUNCTION("""COMPUTED_VALUE"""),"https://drive.google.com/file/d/0B0qKRmtVkPtWMFByMGl4dnRaSm8/view?usp=sharing")</f>
        <v>https://drive.google.com/file/d/0B0qKRmtVkPtWMFByMGl4dnRaSm8/view?usp=sharing</v>
      </c>
      <c r="AA173" s="40"/>
      <c r="AB173" s="40"/>
    </row>
    <row r="174">
      <c r="A174" s="745" t="str">
        <f>IFERROR(__xludf.DUMMYFUNCTION("""COMPUTED_VALUE"""),"Simonsen 1997")</f>
        <v>Simonsen 1997</v>
      </c>
      <c r="B174" s="729" t="str">
        <f>IFERROR(__xludf.DUMMYFUNCTION("""COMPUTED_VALUE"""),"Mike")</f>
        <v>Mike</v>
      </c>
      <c r="C174" s="730" t="str">
        <f>IFERROR(__xludf.DUMMYFUNCTION("""COMPUTED_VALUE"""),"Alex ")</f>
        <v>Alex </v>
      </c>
      <c r="D174" s="746" t="str">
        <f>IFERROR(__xludf.DUMMYFUNCTION("""COMPUTED_VALUE"""),"Tanzania")</f>
        <v>Tanzania</v>
      </c>
      <c r="E174" s="747" t="str">
        <f>IFERROR(__xludf.DUMMYFUNCTION("""COMPUTED_VALUE"""),"w. bancrofti")</f>
        <v>w. bancrofti</v>
      </c>
      <c r="F174" s="746" t="str">
        <f>IFERROR(__xludf.DUMMYFUNCTION("""COMPUTED_VALUE"""),"Placebo")</f>
        <v>Placebo</v>
      </c>
      <c r="G174" s="732" t="str">
        <f>IFERROR(__xludf.DUMMYFUNCTION("""COMPUTED_VALUE"""),"-")</f>
        <v>-</v>
      </c>
      <c r="H174" s="732">
        <f>IFERROR(__xludf.DUMMYFUNCTION("""COMPUTED_VALUE"""),1.0)</f>
        <v>1</v>
      </c>
      <c r="I174" s="741">
        <f>IFERROR(__xludf.DUMMYFUNCTION("""COMPUTED_VALUE"""),0.01)</f>
        <v>0.01</v>
      </c>
      <c r="J174" s="741" t="str">
        <f>IFERROR(__xludf.DUMMYFUNCTION("""COMPUTED_VALUE"""),"not available")</f>
        <v>not available</v>
      </c>
      <c r="K174" s="40" t="str">
        <f>IFERROR(__xludf.DUMMYFUNCTION("""COMPUTED_VALUE"""),"not available")</f>
        <v>not available</v>
      </c>
      <c r="L174" s="746">
        <f>IFERROR(__xludf.DUMMYFUNCTION("""COMPUTED_VALUE"""),20.0)</f>
        <v>20</v>
      </c>
      <c r="M174" s="809" t="str">
        <f>IFERROR(__xludf.DUMMYFUNCTION("""COMPUTED_VALUE"""),"10 to 60")</f>
        <v>10 to 60</v>
      </c>
      <c r="N174" s="758" t="str">
        <f>IFERROR(__xludf.DUMMYFUNCTION("""COMPUTED_VALUE"""),"12 : 8")</f>
        <v>12 : 8</v>
      </c>
      <c r="O174" s="746" t="str">
        <f>IFERROR(__xludf.DUMMYFUNCTION("""COMPUTED_VALUE"""),"pre-treatment mf intensities greater than 100mf/mL")</f>
        <v>pre-treatment mf intensities greater than 100mf/mL</v>
      </c>
      <c r="P174" s="40" t="str">
        <f>IFERROR(__xludf.DUMMYFUNCTION("""COMPUTED_VALUE"""),"placebo-controlled, double-blind")</f>
        <v>placebo-controlled, double-blind</v>
      </c>
      <c r="Q174" s="40" t="str">
        <f>IFERROR(__xludf.DUMMYFUNCTION("""COMPUTED_VALUE"""),"yes")</f>
        <v>yes</v>
      </c>
      <c r="R174" s="40" t="str">
        <f>IFERROR(__xludf.DUMMYFUNCTION("""COMPUTED_VALUE"""),"no")</f>
        <v>no</v>
      </c>
      <c r="S174" s="746" t="str">
        <f>IFERROR(__xludf.DUMMYFUNCTION("""COMPUTED_VALUE"""),"3 months")</f>
        <v>3 months</v>
      </c>
      <c r="T174" s="746" t="str">
        <f>IFERROR(__xludf.DUMMYFUNCTION("""COMPUTED_VALUE"""),"The study showed that a single dose of 100 mg DEC per person (corresponding to approximately 2-4 mg DEC/kg body weight, equal to the dose usually used for the DEC provocative day test) had a significant long term effect on microfilaraemia. T")</f>
        <v>The study showed that a single dose of 100 mg DEC per person (corresponding to approximately 2-4 mg DEC/kg body weight, equal to the dose usually used for the DEC provocative day test) had a significant long term effect on microfilaraemia. T</v>
      </c>
      <c r="U174" s="40"/>
      <c r="V174" s="752">
        <f>IFERROR(__xludf.DUMMYFUNCTION("""COMPUTED_VALUE"""),1997.0)</f>
        <v>1997</v>
      </c>
      <c r="W174" s="40">
        <f>IFERROR(__xludf.DUMMYFUNCTION("""COMPUTED_VALUE"""),1997.0)</f>
        <v>1997</v>
      </c>
      <c r="X174" s="40" t="str">
        <f>IFERROR(__xludf.DUMMYFUNCTION("""COMPUTED_VALUE"""),"Simonsen, Poul Erik, Dan Wolf Meyrowitsch, and W. H. Makunde. ""Bancroftian filariasis: long-term effect of the DEC provocative day test on microfilaraemia."" Transactions of the Royal Society of Tropical Medicine and Hygiene 91.3 (1997): 290-293.")</f>
        <v>Simonsen, Poul Erik, Dan Wolf Meyrowitsch, and W. H. Makunde. "Bancroftian filariasis: long-term effect of the DEC provocative day test on microfilaraemia." Transactions of the Royal Society of Tropical Medicine and Hygiene 91.3 (1997): 290-293.</v>
      </c>
      <c r="Y174" s="726" t="str">
        <f>IFERROR(__xludf.DUMMYFUNCTION("""COMPUTED_VALUE"""),"http://dx.doi.org/10.1016/S0035-9203(97)90079-1")</f>
        <v>http://dx.doi.org/10.1016/S0035-9203(97)90079-1</v>
      </c>
      <c r="Z174" s="727" t="str">
        <f>IFERROR(__xludf.DUMMYFUNCTION("""COMPUTED_VALUE"""),"https://drive.google.com/file/d/0B0qKRmtVkPtWMFByMGl4dnRaSm8/view?usp=sharing")</f>
        <v>https://drive.google.com/file/d/0B0qKRmtVkPtWMFByMGl4dnRaSm8/view?usp=sharing</v>
      </c>
      <c r="AA174" s="40"/>
      <c r="AB174" s="40"/>
    </row>
    <row r="175">
      <c r="A175" s="745" t="str">
        <f>IFERROR(__xludf.DUMMYFUNCTION("""COMPUTED_VALUE"""),"Simonsen 1997")</f>
        <v>Simonsen 1997</v>
      </c>
      <c r="B175" s="729" t="str">
        <f>IFERROR(__xludf.DUMMYFUNCTION("""COMPUTED_VALUE"""),"Mike")</f>
        <v>Mike</v>
      </c>
      <c r="C175" s="730" t="str">
        <f>IFERROR(__xludf.DUMMYFUNCTION("""COMPUTED_VALUE"""),"Alex ")</f>
        <v>Alex </v>
      </c>
      <c r="D175" s="746" t="str">
        <f>IFERROR(__xludf.DUMMYFUNCTION("""COMPUTED_VALUE"""),"Tanzania")</f>
        <v>Tanzania</v>
      </c>
      <c r="E175" s="747" t="str">
        <f>IFERROR(__xludf.DUMMYFUNCTION("""COMPUTED_VALUE"""),"w. bancrofti")</f>
        <v>w. bancrofti</v>
      </c>
      <c r="F175" s="746" t="str">
        <f>IFERROR(__xludf.DUMMYFUNCTION("""COMPUTED_VALUE"""),"DEC")</f>
        <v>DEC</v>
      </c>
      <c r="G175" s="732" t="str">
        <f>IFERROR(__xludf.DUMMYFUNCTION("""COMPUTED_VALUE"""),"100mg")</f>
        <v>100mg</v>
      </c>
      <c r="H175" s="732">
        <f>IFERROR(__xludf.DUMMYFUNCTION("""COMPUTED_VALUE"""),1.0)</f>
        <v>1</v>
      </c>
      <c r="I175" s="741">
        <f>IFERROR(__xludf.DUMMYFUNCTION("""COMPUTED_VALUE"""),0.809)</f>
        <v>0.809</v>
      </c>
      <c r="J175" s="741"/>
      <c r="K175" s="40" t="str">
        <f>IFERROR(__xludf.DUMMYFUNCTION("""COMPUTED_VALUE"""),"not available")</f>
        <v>not available</v>
      </c>
      <c r="L175" s="746">
        <f>IFERROR(__xludf.DUMMYFUNCTION("""COMPUTED_VALUE"""),51.0)</f>
        <v>51</v>
      </c>
      <c r="M175" s="750" t="str">
        <f>IFERROR(__xludf.DUMMYFUNCTION("""COMPUTED_VALUE"""),"7 to 78")</f>
        <v>7 to 78</v>
      </c>
      <c r="N175" s="758" t="str">
        <f>IFERROR(__xludf.DUMMYFUNCTION("""COMPUTED_VALUE"""),"30 : 21")</f>
        <v>30 : 21</v>
      </c>
      <c r="O175" s="746" t="str">
        <f>IFERROR(__xludf.DUMMYFUNCTION("""COMPUTED_VALUE"""),"pre-treatment mf intensities greater than 100mf/mL")</f>
        <v>pre-treatment mf intensities greater than 100mf/mL</v>
      </c>
      <c r="P175" s="40" t="str">
        <f>IFERROR(__xludf.DUMMYFUNCTION("""COMPUTED_VALUE"""),"placebo-controlled, double-blind")</f>
        <v>placebo-controlled, double-blind</v>
      </c>
      <c r="Q175" s="40" t="str">
        <f>IFERROR(__xludf.DUMMYFUNCTION("""COMPUTED_VALUE"""),"yes")</f>
        <v>yes</v>
      </c>
      <c r="R175" s="40" t="str">
        <f>IFERROR(__xludf.DUMMYFUNCTION("""COMPUTED_VALUE"""),"no")</f>
        <v>no</v>
      </c>
      <c r="S175" s="746" t="str">
        <f>IFERROR(__xludf.DUMMYFUNCTION("""COMPUTED_VALUE"""),"6 months")</f>
        <v>6 months</v>
      </c>
      <c r="T175" s="746" t="str">
        <f>IFERROR(__xludf.DUMMYFUNCTION("""COMPUTED_VALUE"""),"The study showed that a single dose of 100 mg DEC per person (corresponding to approximately 2-4 mg DEC/kg body weight, equal to the dose usually used for the DEC provocative day test) had a significant long term effect on microfilaraemia. T")</f>
        <v>The study showed that a single dose of 100 mg DEC per person (corresponding to approximately 2-4 mg DEC/kg body weight, equal to the dose usually used for the DEC provocative day test) had a significant long term effect on microfilaraemia. T</v>
      </c>
      <c r="U175" s="40"/>
      <c r="V175" s="752">
        <f>IFERROR(__xludf.DUMMYFUNCTION("""COMPUTED_VALUE"""),1997.0)</f>
        <v>1997</v>
      </c>
      <c r="W175" s="40">
        <f>IFERROR(__xludf.DUMMYFUNCTION("""COMPUTED_VALUE"""),1997.0)</f>
        <v>1997</v>
      </c>
      <c r="X175" s="40" t="str">
        <f>IFERROR(__xludf.DUMMYFUNCTION("""COMPUTED_VALUE"""),"Simonsen, Poul Erik, Dan Wolf Meyrowitsch, and W. H. Makunde. ""Bancroftian filariasis: long-term effect of the DEC provocative day test on microfilaraemia."" Transactions of the Royal Society of Tropical Medicine and Hygiene 91.3 (1997): 290-293.")</f>
        <v>Simonsen, Poul Erik, Dan Wolf Meyrowitsch, and W. H. Makunde. "Bancroftian filariasis: long-term effect of the DEC provocative day test on microfilaraemia." Transactions of the Royal Society of Tropical Medicine and Hygiene 91.3 (1997): 290-293.</v>
      </c>
      <c r="Y175" s="726" t="str">
        <f>IFERROR(__xludf.DUMMYFUNCTION("""COMPUTED_VALUE"""),"http://dx.doi.org/10.1016/S0035-9203(97)90079-1")</f>
        <v>http://dx.doi.org/10.1016/S0035-9203(97)90079-1</v>
      </c>
      <c r="Z175" s="727" t="str">
        <f>IFERROR(__xludf.DUMMYFUNCTION("""COMPUTED_VALUE"""),"https://drive.google.com/file/d/0B0qKRmtVkPtWMFByMGl4dnRaSm8/view?usp=sharing")</f>
        <v>https://drive.google.com/file/d/0B0qKRmtVkPtWMFByMGl4dnRaSm8/view?usp=sharing</v>
      </c>
      <c r="AA175" s="40"/>
      <c r="AB175" s="40"/>
    </row>
    <row r="176">
      <c r="A176" s="745" t="str">
        <f>IFERROR(__xludf.DUMMYFUNCTION("""COMPUTED_VALUE"""),"Simonsen 1997")</f>
        <v>Simonsen 1997</v>
      </c>
      <c r="B176" s="729" t="str">
        <f>IFERROR(__xludf.DUMMYFUNCTION("""COMPUTED_VALUE"""),"Mike")</f>
        <v>Mike</v>
      </c>
      <c r="C176" s="730" t="str">
        <f>IFERROR(__xludf.DUMMYFUNCTION("""COMPUTED_VALUE"""),"Alex ")</f>
        <v>Alex </v>
      </c>
      <c r="D176" s="746" t="str">
        <f>IFERROR(__xludf.DUMMYFUNCTION("""COMPUTED_VALUE"""),"Tanzania")</f>
        <v>Tanzania</v>
      </c>
      <c r="E176" s="730" t="str">
        <f>IFERROR(__xludf.DUMMYFUNCTION("""COMPUTED_VALUE"""),"w. bancrofti")</f>
        <v>w. bancrofti</v>
      </c>
      <c r="F176" s="730" t="str">
        <f>IFERROR(__xludf.DUMMYFUNCTION("""COMPUTED_VALUE"""),"Placebo")</f>
        <v>Placebo</v>
      </c>
      <c r="G176" s="730" t="str">
        <f>IFERROR(__xludf.DUMMYFUNCTION("""COMPUTED_VALUE"""),"-")</f>
        <v>-</v>
      </c>
      <c r="H176" s="730">
        <f>IFERROR(__xludf.DUMMYFUNCTION("""COMPUTED_VALUE"""),1.0)</f>
        <v>1</v>
      </c>
      <c r="I176" s="741">
        <f>IFERROR(__xludf.DUMMYFUNCTION("""COMPUTED_VALUE"""),0.083)</f>
        <v>0.083</v>
      </c>
      <c r="J176" s="216" t="str">
        <f>IFERROR(__xludf.DUMMYFUNCTION("""COMPUTED_VALUE"""),"not available")</f>
        <v>not available</v>
      </c>
      <c r="K176" s="40" t="str">
        <f>IFERROR(__xludf.DUMMYFUNCTION("""COMPUTED_VALUE"""),"not available")</f>
        <v>not available</v>
      </c>
      <c r="L176" s="734">
        <f>IFERROR(__xludf.DUMMYFUNCTION("""COMPUTED_VALUE"""),20.0)</f>
        <v>20</v>
      </c>
      <c r="M176" s="214" t="str">
        <f>IFERROR(__xludf.DUMMYFUNCTION("""COMPUTED_VALUE"""),"10 to 60")</f>
        <v>10 to 60</v>
      </c>
      <c r="N176" s="806" t="str">
        <f>IFERROR(__xludf.DUMMYFUNCTION("""COMPUTED_VALUE"""),"12 : 8")</f>
        <v>12 : 8</v>
      </c>
      <c r="O176" s="40" t="str">
        <f>IFERROR(__xludf.DUMMYFUNCTION("""COMPUTED_VALUE"""),"pre-treatment mf intensities greater than 100mf/mL")</f>
        <v>pre-treatment mf intensities greater than 100mf/mL</v>
      </c>
      <c r="P176" s="40" t="str">
        <f>IFERROR(__xludf.DUMMYFUNCTION("""COMPUTED_VALUE"""),"placebo-controlled, double-blind")</f>
        <v>placebo-controlled, double-blind</v>
      </c>
      <c r="Q176" s="40" t="str">
        <f>IFERROR(__xludf.DUMMYFUNCTION("""COMPUTED_VALUE"""),"yes")</f>
        <v>yes</v>
      </c>
      <c r="R176" s="40" t="str">
        <f>IFERROR(__xludf.DUMMYFUNCTION("""COMPUTED_VALUE"""),"no")</f>
        <v>no</v>
      </c>
      <c r="S176" s="746" t="str">
        <f>IFERROR(__xludf.DUMMYFUNCTION("""COMPUTED_VALUE"""),"6 months")</f>
        <v>6 months</v>
      </c>
      <c r="T176" s="746" t="str">
        <f>IFERROR(__xludf.DUMMYFUNCTION("""COMPUTED_VALUE"""),"The study showed that a single dose of 100 mg DEC per person (corresponding to approximately 2-4 mg DEC/kg body weight, equal to the dose usually used for the DEC provocative day test) had a significant long term effect on microfilaraemia. T")</f>
        <v>The study showed that a single dose of 100 mg DEC per person (corresponding to approximately 2-4 mg DEC/kg body weight, equal to the dose usually used for the DEC provocative day test) had a significant long term effect on microfilaraemia. T</v>
      </c>
      <c r="U176" s="40"/>
      <c r="V176" s="40">
        <f>IFERROR(__xludf.DUMMYFUNCTION("""COMPUTED_VALUE"""),1997.0)</f>
        <v>1997</v>
      </c>
      <c r="W176" s="746">
        <f>IFERROR(__xludf.DUMMYFUNCTION("""COMPUTED_VALUE"""),1997.0)</f>
        <v>1997</v>
      </c>
      <c r="X176" s="746" t="str">
        <f>IFERROR(__xludf.DUMMYFUNCTION("""COMPUTED_VALUE"""),"Simonsen, Poul Erik, Dan Wolf Meyrowitsch, and W. H. Makunde. ""Bancroftian filariasis: long-term effect of the DEC provocative day test on microfilaraemia."" Transactions of the Royal Society of Tropical Medicine and Hygiene 91.3 (1997): 290-293.")</f>
        <v>Simonsen, Poul Erik, Dan Wolf Meyrowitsch, and W. H. Makunde. "Bancroftian filariasis: long-term effect of the DEC provocative day test on microfilaraemia." Transactions of the Royal Society of Tropical Medicine and Hygiene 91.3 (1997): 290-293.</v>
      </c>
      <c r="Y176" s="726" t="str">
        <f>IFERROR(__xludf.DUMMYFUNCTION("""COMPUTED_VALUE"""),"http://dx.doi.org/10.1016/S0035-9203(97)90079-1")</f>
        <v>http://dx.doi.org/10.1016/S0035-9203(97)90079-1</v>
      </c>
      <c r="Z176" s="727" t="str">
        <f>IFERROR(__xludf.DUMMYFUNCTION("""COMPUTED_VALUE"""),"https://drive.google.com/file/d/0B0qKRmtVkPtWMFByMGl4dnRaSm8/view?usp=sharing")</f>
        <v>https://drive.google.com/file/d/0B0qKRmtVkPtWMFByMGl4dnRaSm8/view?usp=sharing</v>
      </c>
      <c r="AA176" s="40"/>
      <c r="AB176" s="40"/>
    </row>
    <row r="177">
      <c r="A177" s="745" t="str">
        <f>IFERROR(__xludf.DUMMYFUNCTION("""COMPUTED_VALUE"""),"Simonsen 1997")</f>
        <v>Simonsen 1997</v>
      </c>
      <c r="B177" s="729" t="str">
        <f>IFERROR(__xludf.DUMMYFUNCTION("""COMPUTED_VALUE"""),"Mike")</f>
        <v>Mike</v>
      </c>
      <c r="C177" s="730" t="str">
        <f>IFERROR(__xludf.DUMMYFUNCTION("""COMPUTED_VALUE"""),"Alex ")</f>
        <v>Alex </v>
      </c>
      <c r="D177" s="746" t="str">
        <f>IFERROR(__xludf.DUMMYFUNCTION("""COMPUTED_VALUE"""),"Tanzania")</f>
        <v>Tanzania</v>
      </c>
      <c r="E177" s="747" t="str">
        <f>IFERROR(__xludf.DUMMYFUNCTION("""COMPUTED_VALUE"""),"w. bancrofti")</f>
        <v>w. bancrofti</v>
      </c>
      <c r="F177" s="746" t="str">
        <f>IFERROR(__xludf.DUMMYFUNCTION("""COMPUTED_VALUE"""),"DEC")</f>
        <v>DEC</v>
      </c>
      <c r="G177" s="40" t="str">
        <f>IFERROR(__xludf.DUMMYFUNCTION("""COMPUTED_VALUE"""),"100mg")</f>
        <v>100mg</v>
      </c>
      <c r="H177" s="40">
        <f>IFERROR(__xludf.DUMMYFUNCTION("""COMPUTED_VALUE"""),1.0)</f>
        <v>1</v>
      </c>
      <c r="I177" s="741">
        <f>IFERROR(__xludf.DUMMYFUNCTION("""COMPUTED_VALUE"""),0.861)</f>
        <v>0.861</v>
      </c>
      <c r="J177" s="741">
        <f>IFERROR(__xludf.DUMMYFUNCTION("""COMPUTED_VALUE"""),0.106)</f>
        <v>0.106</v>
      </c>
      <c r="K177" s="40" t="str">
        <f>IFERROR(__xludf.DUMMYFUNCTION("""COMPUTED_VALUE"""),"not available")</f>
        <v>not available</v>
      </c>
      <c r="L177" s="40">
        <f>IFERROR(__xludf.DUMMYFUNCTION("""COMPUTED_VALUE"""),51.0)</f>
        <v>51</v>
      </c>
      <c r="M177" s="214" t="str">
        <f>IFERROR(__xludf.DUMMYFUNCTION("""COMPUTED_VALUE"""),"7 to 78")</f>
        <v>7 to 78</v>
      </c>
      <c r="N177" s="806" t="str">
        <f>IFERROR(__xludf.DUMMYFUNCTION("""COMPUTED_VALUE"""),"30 : 21")</f>
        <v>30 : 21</v>
      </c>
      <c r="O177" s="40" t="str">
        <f>IFERROR(__xludf.DUMMYFUNCTION("""COMPUTED_VALUE"""),"pre-treatment mf intensities greater than 100mf/mL")</f>
        <v>pre-treatment mf intensities greater than 100mf/mL</v>
      </c>
      <c r="P177" s="40" t="str">
        <f>IFERROR(__xludf.DUMMYFUNCTION("""COMPUTED_VALUE"""),"placebo-controlled, double-blind")</f>
        <v>placebo-controlled, double-blind</v>
      </c>
      <c r="Q177" s="40" t="str">
        <f>IFERROR(__xludf.DUMMYFUNCTION("""COMPUTED_VALUE"""),"yes")</f>
        <v>yes</v>
      </c>
      <c r="R177" s="40" t="str">
        <f>IFERROR(__xludf.DUMMYFUNCTION("""COMPUTED_VALUE"""),"no")</f>
        <v>no</v>
      </c>
      <c r="S177" s="746" t="str">
        <f>IFERROR(__xludf.DUMMYFUNCTION("""COMPUTED_VALUE"""),"12 months")</f>
        <v>12 months</v>
      </c>
      <c r="T177" s="40" t="str">
        <f>IFERROR(__xludf.DUMMYFUNCTION("""COMPUTED_VALUE"""),"The study showed that a single dose of 100 mg DEC per person (corresponding to approximately 2-4 mg DEC/kg body weight, equal to the dose usually used for the DEC provocative day test) had a significant long term effect on microfilaraemia. T")</f>
        <v>The study showed that a single dose of 100 mg DEC per person (corresponding to approximately 2-4 mg DEC/kg body weight, equal to the dose usually used for the DEC provocative day test) had a significant long term effect on microfilaraemia. T</v>
      </c>
      <c r="U177" s="40"/>
      <c r="V177" s="40">
        <f>IFERROR(__xludf.DUMMYFUNCTION("""COMPUTED_VALUE"""),1997.0)</f>
        <v>1997</v>
      </c>
      <c r="W177" s="746">
        <f>IFERROR(__xludf.DUMMYFUNCTION("""COMPUTED_VALUE"""),1997.0)</f>
        <v>1997</v>
      </c>
      <c r="X177" s="746" t="str">
        <f>IFERROR(__xludf.DUMMYFUNCTION("""COMPUTED_VALUE"""),"Simonsen, Poul Erik, Dan Wolf Meyrowitsch, and W. H. Makunde. ""Bancroftian filariasis: long-term effect of the DEC provocative day test on microfilaraemia."" Transactions of the Royal Society of Tropical Medicine and Hygiene 91.3 (1997): 290-293.")</f>
        <v>Simonsen, Poul Erik, Dan Wolf Meyrowitsch, and W. H. Makunde. "Bancroftian filariasis: long-term effect of the DEC provocative day test on microfilaraemia." Transactions of the Royal Society of Tropical Medicine and Hygiene 91.3 (1997): 290-293.</v>
      </c>
      <c r="Y177" s="726" t="str">
        <f>IFERROR(__xludf.DUMMYFUNCTION("""COMPUTED_VALUE"""),"http://dx.doi.org/10.1016/S0035-9203(97)90079-1")</f>
        <v>http://dx.doi.org/10.1016/S0035-9203(97)90079-1</v>
      </c>
      <c r="Z177" s="727" t="str">
        <f>IFERROR(__xludf.DUMMYFUNCTION("""COMPUTED_VALUE"""),"https://drive.google.com/file/d/0B0qKRmtVkPtWMFByMGl4dnRaSm8/view?usp=sharing")</f>
        <v>https://drive.google.com/file/d/0B0qKRmtVkPtWMFByMGl4dnRaSm8/view?usp=sharing</v>
      </c>
      <c r="AA177" s="40"/>
      <c r="AB177" s="40"/>
    </row>
    <row r="178">
      <c r="A178" s="745" t="str">
        <f>IFERROR(__xludf.DUMMYFUNCTION("""COMPUTED_VALUE"""),"Simonsen 1997")</f>
        <v>Simonsen 1997</v>
      </c>
      <c r="B178" s="729" t="str">
        <f>IFERROR(__xludf.DUMMYFUNCTION("""COMPUTED_VALUE"""),"Mike")</f>
        <v>Mike</v>
      </c>
      <c r="C178" s="730" t="str">
        <f>IFERROR(__xludf.DUMMYFUNCTION("""COMPUTED_VALUE"""),"Alex ")</f>
        <v>Alex </v>
      </c>
      <c r="D178" s="746" t="str">
        <f>IFERROR(__xludf.DUMMYFUNCTION("""COMPUTED_VALUE"""),"Tanzania")</f>
        <v>Tanzania</v>
      </c>
      <c r="E178" s="747" t="str">
        <f>IFERROR(__xludf.DUMMYFUNCTION("""COMPUTED_VALUE"""),"w. bancrofti")</f>
        <v>w. bancrofti</v>
      </c>
      <c r="F178" s="746" t="str">
        <f>IFERROR(__xludf.DUMMYFUNCTION("""COMPUTED_VALUE"""),"Placebo")</f>
        <v>Placebo</v>
      </c>
      <c r="G178" s="730" t="str">
        <f>IFERROR(__xludf.DUMMYFUNCTION("""COMPUTED_VALUE"""),"-")</f>
        <v>-</v>
      </c>
      <c r="H178" s="730">
        <f>IFERROR(__xludf.DUMMYFUNCTION("""COMPUTED_VALUE"""),1.0)</f>
        <v>1</v>
      </c>
      <c r="I178" s="741">
        <f>IFERROR(__xludf.DUMMYFUNCTION("""COMPUTED_VALUE"""),0.144)</f>
        <v>0.144</v>
      </c>
      <c r="J178" s="741" t="str">
        <f>IFERROR(__xludf.DUMMYFUNCTION("""COMPUTED_VALUE"""),"not available")</f>
        <v>not available</v>
      </c>
      <c r="K178" s="40" t="str">
        <f>IFERROR(__xludf.DUMMYFUNCTION("""COMPUTED_VALUE"""),"not available")</f>
        <v>not available</v>
      </c>
      <c r="L178" s="40">
        <f>IFERROR(__xludf.DUMMYFUNCTION("""COMPUTED_VALUE"""),20.0)</f>
        <v>20</v>
      </c>
      <c r="M178" s="214" t="str">
        <f>IFERROR(__xludf.DUMMYFUNCTION("""COMPUTED_VALUE"""),"10 to 60")</f>
        <v>10 to 60</v>
      </c>
      <c r="N178" s="806" t="str">
        <f>IFERROR(__xludf.DUMMYFUNCTION("""COMPUTED_VALUE"""),"12 : 8")</f>
        <v>12 : 8</v>
      </c>
      <c r="O178" s="40" t="str">
        <f>IFERROR(__xludf.DUMMYFUNCTION("""COMPUTED_VALUE"""),"pre-treatment mf intensities greater than 100mf/mL")</f>
        <v>pre-treatment mf intensities greater than 100mf/mL</v>
      </c>
      <c r="P178" s="759" t="str">
        <f>IFERROR(__xludf.DUMMYFUNCTION("""COMPUTED_VALUE"""),"placebo-controlled, double-blind")</f>
        <v>placebo-controlled, double-blind</v>
      </c>
      <c r="Q178" s="746" t="str">
        <f>IFERROR(__xludf.DUMMYFUNCTION("""COMPUTED_VALUE"""),"yes")</f>
        <v>yes</v>
      </c>
      <c r="R178" s="746" t="str">
        <f>IFERROR(__xludf.DUMMYFUNCTION("""COMPUTED_VALUE"""),"no")</f>
        <v>no</v>
      </c>
      <c r="S178" s="746" t="str">
        <f>IFERROR(__xludf.DUMMYFUNCTION("""COMPUTED_VALUE"""),"12 months")</f>
        <v>12 months</v>
      </c>
      <c r="T178" s="746" t="str">
        <f>IFERROR(__xludf.DUMMYFUNCTION("""COMPUTED_VALUE"""),"The study showed that a single dose of 100 mg DEC per person (corresponding to approximately 2-4 mg DEC/kg body weight, equal to the dose usually used for the DEC provocative day test) had a significant long term effect on microfilaraemia. T")</f>
        <v>The study showed that a single dose of 100 mg DEC per person (corresponding to approximately 2-4 mg DEC/kg body weight, equal to the dose usually used for the DEC provocative day test) had a significant long term effect on microfilaraemia. T</v>
      </c>
      <c r="U178" s="40"/>
      <c r="V178" s="752">
        <f>IFERROR(__xludf.DUMMYFUNCTION("""COMPUTED_VALUE"""),1997.0)</f>
        <v>1997</v>
      </c>
      <c r="W178" s="746">
        <f>IFERROR(__xludf.DUMMYFUNCTION("""COMPUTED_VALUE"""),1997.0)</f>
        <v>1997</v>
      </c>
      <c r="X178" s="746" t="str">
        <f>IFERROR(__xludf.DUMMYFUNCTION("""COMPUTED_VALUE"""),"Simonsen, Poul Erik, Dan Wolf Meyrowitsch, and W. H. Makunde. ""Bancroftian filariasis: long-term effect of the DEC provocative day test on microfilaraemia."" Transactions of the Royal Society of Tropical Medicine and Hygiene 91.3 (1997): 290-293.")</f>
        <v>Simonsen, Poul Erik, Dan Wolf Meyrowitsch, and W. H. Makunde. "Bancroftian filariasis: long-term effect of the DEC provocative day test on microfilaraemia." Transactions of the Royal Society of Tropical Medicine and Hygiene 91.3 (1997): 290-293.</v>
      </c>
      <c r="Y178" s="726" t="str">
        <f>IFERROR(__xludf.DUMMYFUNCTION("""COMPUTED_VALUE"""),"http://dx.doi.org/10.1016/S0035-9203(97)90079-1")</f>
        <v>http://dx.doi.org/10.1016/S0035-9203(97)90079-1</v>
      </c>
      <c r="Z178" s="727" t="str">
        <f>IFERROR(__xludf.DUMMYFUNCTION("""COMPUTED_VALUE"""),"https://drive.google.com/file/d/0B0qKRmtVkPtWMFByMGl4dnRaSm8/view?usp=sharing")</f>
        <v>https://drive.google.com/file/d/0B0qKRmtVkPtWMFByMGl4dnRaSm8/view?usp=sharing</v>
      </c>
      <c r="AA178" s="40"/>
      <c r="AB178" s="40"/>
    </row>
    <row r="179">
      <c r="A179" s="745" t="str">
        <f>IFERROR(__xludf.DUMMYFUNCTION("""COMPUTED_VALUE"""),"Narasimham 1979")</f>
        <v>Narasimham 1979</v>
      </c>
      <c r="B179" s="729" t="str">
        <f>IFERROR(__xludf.DUMMYFUNCTION("""COMPUTED_VALUE"""),"Mike")</f>
        <v>Mike</v>
      </c>
      <c r="C179" s="730" t="str">
        <f>IFERROR(__xludf.DUMMYFUNCTION("""COMPUTED_VALUE"""),"Alex ")</f>
        <v>Alex </v>
      </c>
      <c r="D179" s="746" t="str">
        <f>IFERROR(__xludf.DUMMYFUNCTION("""COMPUTED_VALUE"""),"India")</f>
        <v>India</v>
      </c>
      <c r="E179" s="747" t="str">
        <f>IFERROR(__xludf.DUMMYFUNCTION("""COMPUTED_VALUE"""),"w. bancrofti")</f>
        <v>w. bancrofti</v>
      </c>
      <c r="F179" s="746" t="str">
        <f>IFERROR(__xludf.DUMMYFUNCTION("""COMPUTED_VALUE"""),"DEC")</f>
        <v>DEC</v>
      </c>
      <c r="G179" s="730" t="str">
        <f>IFERROR(__xludf.DUMMYFUNCTION("""COMPUTED_VALUE"""),"12.5gm")</f>
        <v>12.5gm</v>
      </c>
      <c r="H179" s="730" t="str">
        <f>IFERROR(__xludf.DUMMYFUNCTION("""COMPUTED_VALUE"""),"~210 (daily for 7 months)")</f>
        <v>~210 (daily for 7 months)</v>
      </c>
      <c r="I179" s="741">
        <f>IFERROR(__xludf.DUMMYFUNCTION("""COMPUTED_VALUE"""),0.697)</f>
        <v>0.697</v>
      </c>
      <c r="J179" s="741" t="str">
        <f>IFERROR(__xludf.DUMMYFUNCTION("""COMPUTED_VALUE"""),"not available")</f>
        <v>not available</v>
      </c>
      <c r="K179" s="40" t="str">
        <f>IFERROR(__xludf.DUMMYFUNCTION("""COMPUTED_VALUE"""),"not available")</f>
        <v>not available</v>
      </c>
      <c r="L179" s="40">
        <f>IFERROR(__xludf.DUMMYFUNCTION("""COMPUTED_VALUE"""),339.0)</f>
        <v>339</v>
      </c>
      <c r="M179" s="214" t="str">
        <f>IFERROR(__xludf.DUMMYFUNCTION("""COMPUTED_VALUE"""),"not available")</f>
        <v>not available</v>
      </c>
      <c r="N179" s="806" t="str">
        <f>IFERROR(__xludf.DUMMYFUNCTION("""COMPUTED_VALUE"""),"not available")</f>
        <v>not available</v>
      </c>
      <c r="O179" s="40" t="str">
        <f>IFERROR(__xludf.DUMMYFUNCTION("""COMPUTED_VALUE"""),"household with at least one bancroftian mf carrier")</f>
        <v>household with at least one bancroftian mf carrier</v>
      </c>
      <c r="P179" s="759" t="str">
        <f>IFERROR(__xludf.DUMMYFUNCTION("""COMPUTED_VALUE"""),"randomized, single-blind")</f>
        <v>randomized, single-blind</v>
      </c>
      <c r="Q179" s="746" t="str">
        <f>IFERROR(__xludf.DUMMYFUNCTION("""COMPUTED_VALUE"""),"yes")</f>
        <v>yes</v>
      </c>
      <c r="R179" s="746" t="str">
        <f>IFERROR(__xludf.DUMMYFUNCTION("""COMPUTED_VALUE"""),"yes")</f>
        <v>yes</v>
      </c>
      <c r="S179" s="746" t="str">
        <f>IFERROR(__xludf.DUMMYFUNCTION("""COMPUTED_VALUE"""),"8 months")</f>
        <v>8 months</v>
      </c>
      <c r="T179" s="746" t="str">
        <f>IFERROR(__xludf.DUMMYFUNCTION("""COMPUTED_VALUE"""),"DEC at the dosage used has not prevented microffilaraemia for four months after DEC treatment ")</f>
        <v>DEC at the dosage used has not prevented microffilaraemia for four months after DEC treatment </v>
      </c>
      <c r="U179" s="40"/>
      <c r="V179" s="737">
        <f>IFERROR(__xludf.DUMMYFUNCTION("""COMPUTED_VALUE"""),1988.0)</f>
        <v>1988</v>
      </c>
      <c r="W179" s="746">
        <f>IFERROR(__xludf.DUMMYFUNCTION("""COMPUTED_VALUE"""),1988.0)</f>
        <v>1988</v>
      </c>
      <c r="X179" s="746" t="str">
        <f>IFERROR(__xludf.DUMMYFUNCTION("""COMPUTED_VALUE"""),"Narasimham, M. V. V. L., et al. ""Role of diethylcarbamazine mixed common salt in prophylaxis against bancroftian filariasis."" J Commun Dis 11 (1979): 137-140.")</f>
        <v>Narasimham, M. V. V. L., et al. "Role of diethylcarbamazine mixed common salt in prophylaxis against bancroftian filariasis." J Commun Dis 11 (1979): 137-140.</v>
      </c>
      <c r="Y179" s="726" t="str">
        <f>IFERROR(__xludf.DUMMYFUNCTION("""COMPUTED_VALUE"""),"DOI: 10.1002/14651858.CD003758.pub2")</f>
        <v>DOI: 10.1002/14651858.CD003758.pub2</v>
      </c>
      <c r="Z179" s="727" t="str">
        <f>IFERROR(__xludf.DUMMYFUNCTION("""COMPUTED_VALUE"""),"https://drive.google.com/file/d/0B0qKRmtVkPtWcjBJcDFwck9wMDg/view?usp=sharing")</f>
        <v>https://drive.google.com/file/d/0B0qKRmtVkPtWcjBJcDFwck9wMDg/view?usp=sharing</v>
      </c>
      <c r="AA179" s="40" t="str">
        <f>IFERROR(__xludf.DUMMYFUNCTION("""COMPUTED_VALUE"""),"x")</f>
        <v>x</v>
      </c>
      <c r="AB179" s="40"/>
    </row>
    <row r="180">
      <c r="A180" s="745" t="str">
        <f>IFERROR(__xludf.DUMMYFUNCTION("""COMPUTED_VALUE"""),"Narasimham 1979")</f>
        <v>Narasimham 1979</v>
      </c>
      <c r="B180" s="729" t="str">
        <f>IFERROR(__xludf.DUMMYFUNCTION("""COMPUTED_VALUE"""),"Mike")</f>
        <v>Mike</v>
      </c>
      <c r="C180" s="730" t="str">
        <f>IFERROR(__xludf.DUMMYFUNCTION("""COMPUTED_VALUE"""),"Alex ")</f>
        <v>Alex </v>
      </c>
      <c r="D180" s="746" t="str">
        <f>IFERROR(__xludf.DUMMYFUNCTION("""COMPUTED_VALUE"""),"India")</f>
        <v>India</v>
      </c>
      <c r="E180" s="747" t="str">
        <f>IFERROR(__xludf.DUMMYFUNCTION("""COMPUTED_VALUE"""),"w. bancrofti")</f>
        <v>w. bancrofti</v>
      </c>
      <c r="F180" s="746" t="str">
        <f>IFERROR(__xludf.DUMMYFUNCTION("""COMPUTED_VALUE"""),"DEC")</f>
        <v>DEC</v>
      </c>
      <c r="G180" s="746" t="str">
        <f>IFERROR(__xludf.DUMMYFUNCTION("""COMPUTED_VALUE"""),"12.5gm")</f>
        <v>12.5gm</v>
      </c>
      <c r="H180" s="746" t="str">
        <f>IFERROR(__xludf.DUMMYFUNCTION("""COMPUTED_VALUE"""),"~210 (daily for 7 months)")</f>
        <v>~210 (daily for 7 months)</v>
      </c>
      <c r="I180" s="741">
        <f>IFERROR(__xludf.DUMMYFUNCTION("""COMPUTED_VALUE"""),0.6387)</f>
        <v>0.6387</v>
      </c>
      <c r="J180" s="741" t="str">
        <f>IFERROR(__xludf.DUMMYFUNCTION("""COMPUTED_VALUE"""),"not available")</f>
        <v>not available</v>
      </c>
      <c r="K180" s="40" t="str">
        <f>IFERROR(__xludf.DUMMYFUNCTION("""COMPUTED_VALUE"""),"not available")</f>
        <v>not available</v>
      </c>
      <c r="L180" s="40">
        <f>IFERROR(__xludf.DUMMYFUNCTION("""COMPUTED_VALUE"""),339.0)</f>
        <v>339</v>
      </c>
      <c r="M180" s="214" t="str">
        <f>IFERROR(__xludf.DUMMYFUNCTION("""COMPUTED_VALUE"""),"not available")</f>
        <v>not available</v>
      </c>
      <c r="N180" s="806" t="str">
        <f>IFERROR(__xludf.DUMMYFUNCTION("""COMPUTED_VALUE"""),"not available")</f>
        <v>not available</v>
      </c>
      <c r="O180" s="40" t="str">
        <f>IFERROR(__xludf.DUMMYFUNCTION("""COMPUTED_VALUE"""),"household with at least one bancroftian mf carrier")</f>
        <v>household with at least one bancroftian mf carrier</v>
      </c>
      <c r="P180" s="759" t="str">
        <f>IFERROR(__xludf.DUMMYFUNCTION("""COMPUTED_VALUE"""),"randomized, single-blind")</f>
        <v>randomized, single-blind</v>
      </c>
      <c r="Q180" s="746" t="str">
        <f>IFERROR(__xludf.DUMMYFUNCTION("""COMPUTED_VALUE"""),"yes")</f>
        <v>yes</v>
      </c>
      <c r="R180" s="746" t="str">
        <f>IFERROR(__xludf.DUMMYFUNCTION("""COMPUTED_VALUE"""),"yes")</f>
        <v>yes</v>
      </c>
      <c r="S180" s="746" t="str">
        <f>IFERROR(__xludf.DUMMYFUNCTION("""COMPUTED_VALUE"""),"12 months")</f>
        <v>12 months</v>
      </c>
      <c r="T180" s="746" t="str">
        <f>IFERROR(__xludf.DUMMYFUNCTION("""COMPUTED_VALUE"""),"DEC at the dosage used has not prevented microffilaraemia for four months after DEC treatment ")</f>
        <v>DEC at the dosage used has not prevented microffilaraemia for four months after DEC treatment </v>
      </c>
      <c r="U180" s="40"/>
      <c r="V180" s="737">
        <f>IFERROR(__xludf.DUMMYFUNCTION("""COMPUTED_VALUE"""),1988.0)</f>
        <v>1988</v>
      </c>
      <c r="W180" s="746">
        <f>IFERROR(__xludf.DUMMYFUNCTION("""COMPUTED_VALUE"""),1988.0)</f>
        <v>1988</v>
      </c>
      <c r="X180" s="746" t="str">
        <f>IFERROR(__xludf.DUMMYFUNCTION("""COMPUTED_VALUE"""),"Narasimham, M. V. V. L., et al. ""Role of diethylcarbamazine mixed common salt in prophylaxis against bancroftian filariasis."" J Commun Dis 11 (1979): 137-140.")</f>
        <v>Narasimham, M. V. V. L., et al. "Role of diethylcarbamazine mixed common salt in prophylaxis against bancroftian filariasis." J Commun Dis 11 (1979): 137-140.</v>
      </c>
      <c r="Y180" s="726" t="str">
        <f>IFERROR(__xludf.DUMMYFUNCTION("""COMPUTED_VALUE"""),"DOI: 10.1002/14651858.CD003758.pub2")</f>
        <v>DOI: 10.1002/14651858.CD003758.pub2</v>
      </c>
      <c r="Z180" s="727" t="str">
        <f>IFERROR(__xludf.DUMMYFUNCTION("""COMPUTED_VALUE"""),"https://drive.google.com/file/d/0B0qKRmtVkPtWcjBJcDFwck9wMDg/view?usp=sharing")</f>
        <v>https://drive.google.com/file/d/0B0qKRmtVkPtWcjBJcDFwck9wMDg/view?usp=sharing</v>
      </c>
      <c r="AA180" s="40" t="str">
        <f>IFERROR(__xludf.DUMMYFUNCTION("""COMPUTED_VALUE"""),"x")</f>
        <v>x</v>
      </c>
      <c r="AB180" s="40"/>
    </row>
    <row r="181">
      <c r="A181" s="728" t="str">
        <f>IFERROR(__xludf.DUMMYFUNCTION("""COMPUTED_VALUE"""),"Narasimham 1979")</f>
        <v>Narasimham 1979</v>
      </c>
      <c r="B181" s="729" t="str">
        <f>IFERROR(__xludf.DUMMYFUNCTION("""COMPUTED_VALUE"""),"Mike")</f>
        <v>Mike</v>
      </c>
      <c r="C181" s="730" t="str">
        <f>IFERROR(__xludf.DUMMYFUNCTION("""COMPUTED_VALUE"""),"Alex ")</f>
        <v>Alex </v>
      </c>
      <c r="D181" s="730" t="str">
        <f>IFERROR(__xludf.DUMMYFUNCTION("""COMPUTED_VALUE"""),"India")</f>
        <v>India</v>
      </c>
      <c r="E181" s="747" t="str">
        <f>IFERROR(__xludf.DUMMYFUNCTION("""COMPUTED_VALUE"""),"w. bancrofti")</f>
        <v>w. bancrofti</v>
      </c>
      <c r="F181" s="732" t="str">
        <f>IFERROR(__xludf.DUMMYFUNCTION("""COMPUTED_VALUE"""),"Placebo")</f>
        <v>Placebo</v>
      </c>
      <c r="G181" s="730" t="str">
        <f>IFERROR(__xludf.DUMMYFUNCTION("""COMPUTED_VALUE"""),"-")</f>
        <v>-</v>
      </c>
      <c r="H181" s="730" t="str">
        <f>IFERROR(__xludf.DUMMYFUNCTION("""COMPUTED_VALUE"""),"~210 (daily for 7 months)")</f>
        <v>~210 (daily for 7 months)</v>
      </c>
      <c r="I181" s="733">
        <f>IFERROR(__xludf.DUMMYFUNCTION("""COMPUTED_VALUE"""),-0.589)</f>
        <v>-0.589</v>
      </c>
      <c r="J181" s="741" t="str">
        <f>IFERROR(__xludf.DUMMYFUNCTION("""COMPUTED_VALUE"""),"not available")</f>
        <v>not available</v>
      </c>
      <c r="K181" s="40" t="str">
        <f>IFERROR(__xludf.DUMMYFUNCTION("""COMPUTED_VALUE"""),"not available")</f>
        <v>not available</v>
      </c>
      <c r="L181" s="734">
        <f>IFERROR(__xludf.DUMMYFUNCTION("""COMPUTED_VALUE"""),430.0)</f>
        <v>430</v>
      </c>
      <c r="M181" s="754" t="str">
        <f>IFERROR(__xludf.DUMMYFUNCTION("""COMPUTED_VALUE"""),"not available")</f>
        <v>not available</v>
      </c>
      <c r="N181" s="781" t="str">
        <f>IFERROR(__xludf.DUMMYFUNCTION("""COMPUTED_VALUE"""),"not available")</f>
        <v>not available</v>
      </c>
      <c r="O181" s="730" t="str">
        <f>IFERROR(__xludf.DUMMYFUNCTION("""COMPUTED_VALUE"""),"household with at least one bancroftian mf carrier")</f>
        <v>household with at least one bancroftian mf carrier</v>
      </c>
      <c r="P181" s="736" t="str">
        <f>IFERROR(__xludf.DUMMYFUNCTION("""COMPUTED_VALUE"""),"randomized, single-blind")</f>
        <v>randomized, single-blind</v>
      </c>
      <c r="Q181" s="40" t="str">
        <f>IFERROR(__xludf.DUMMYFUNCTION("""COMPUTED_VALUE"""),"yes")</f>
        <v>yes</v>
      </c>
      <c r="R181" s="40" t="str">
        <f>IFERROR(__xludf.DUMMYFUNCTION("""COMPUTED_VALUE"""),"yes")</f>
        <v>yes</v>
      </c>
      <c r="S181" s="730" t="str">
        <f>IFERROR(__xludf.DUMMYFUNCTION("""COMPUTED_VALUE"""),"8 months")</f>
        <v>8 months</v>
      </c>
      <c r="T181" s="746" t="str">
        <f>IFERROR(__xludf.DUMMYFUNCTION("""COMPUTED_VALUE"""),"DEC at the dosage used has not prevented microffilaraemia for four months after DEC treatment ")</f>
        <v>DEC at the dosage used has not prevented microffilaraemia for four months after DEC treatment </v>
      </c>
      <c r="U181" s="40"/>
      <c r="V181" s="737">
        <f>IFERROR(__xludf.DUMMYFUNCTION("""COMPUTED_VALUE"""),1988.0)</f>
        <v>1988</v>
      </c>
      <c r="W181" s="730">
        <f>IFERROR(__xludf.DUMMYFUNCTION("""COMPUTED_VALUE"""),1988.0)</f>
        <v>1988</v>
      </c>
      <c r="X181" s="730" t="str">
        <f>IFERROR(__xludf.DUMMYFUNCTION("""COMPUTED_VALUE"""),"Narasimham, M. V. V. L., et al. ""Role of diethylcarbamazine mixed common salt in prophylaxis against bancroftian filariasis."" J Commun Dis 11 (1979): 137-140.")</f>
        <v>Narasimham, M. V. V. L., et al. "Role of diethylcarbamazine mixed common salt in prophylaxis against bancroftian filariasis." J Commun Dis 11 (1979): 137-140.</v>
      </c>
      <c r="Y181" s="738" t="str">
        <f>IFERROR(__xludf.DUMMYFUNCTION("""COMPUTED_VALUE"""),"DOI: 10.1002/14651858.CD003758.pub2")</f>
        <v>DOI: 10.1002/14651858.CD003758.pub2</v>
      </c>
      <c r="Z181" s="727" t="str">
        <f>IFERROR(__xludf.DUMMYFUNCTION("""COMPUTED_VALUE"""),"https://drive.google.com/file/d/0B0qKRmtVkPtWcjBJcDFwck9wMDg/view?usp=sharing")</f>
        <v>https://drive.google.com/file/d/0B0qKRmtVkPtWcjBJcDFwck9wMDg/view?usp=sharing</v>
      </c>
      <c r="AA181" s="40" t="str">
        <f>IFERROR(__xludf.DUMMYFUNCTION("""COMPUTED_VALUE"""),"x")</f>
        <v>x</v>
      </c>
      <c r="AB181" s="40"/>
    </row>
    <row r="182">
      <c r="A182" s="728" t="str">
        <f>IFERROR(__xludf.DUMMYFUNCTION("""COMPUTED_VALUE"""),"Narasimham 1979")</f>
        <v>Narasimham 1979</v>
      </c>
      <c r="B182" s="729" t="str">
        <f>IFERROR(__xludf.DUMMYFUNCTION("""COMPUTED_VALUE"""),"Mike")</f>
        <v>Mike</v>
      </c>
      <c r="C182" s="730" t="str">
        <f>IFERROR(__xludf.DUMMYFUNCTION("""COMPUTED_VALUE"""),"Alex ")</f>
        <v>Alex </v>
      </c>
      <c r="D182" s="730" t="str">
        <f>IFERROR(__xludf.DUMMYFUNCTION("""COMPUTED_VALUE"""),"India")</f>
        <v>India</v>
      </c>
      <c r="E182" s="747" t="str">
        <f>IFERROR(__xludf.DUMMYFUNCTION("""COMPUTED_VALUE"""),"w. bancrofti")</f>
        <v>w. bancrofti</v>
      </c>
      <c r="F182" s="732" t="str">
        <f>IFERROR(__xludf.DUMMYFUNCTION("""COMPUTED_VALUE"""),"Placebo")</f>
        <v>Placebo</v>
      </c>
      <c r="G182" s="730" t="str">
        <f>IFERROR(__xludf.DUMMYFUNCTION("""COMPUTED_VALUE"""),"-")</f>
        <v>-</v>
      </c>
      <c r="H182" s="730" t="str">
        <f>IFERROR(__xludf.DUMMYFUNCTION("""COMPUTED_VALUE"""),"~210 (daily for 7 months)")</f>
        <v>~210 (daily for 7 months)</v>
      </c>
      <c r="I182" s="733">
        <f>IFERROR(__xludf.DUMMYFUNCTION("""COMPUTED_VALUE"""),-0.438)</f>
        <v>-0.438</v>
      </c>
      <c r="J182" s="741" t="str">
        <f>IFERROR(__xludf.DUMMYFUNCTION("""COMPUTED_VALUE"""),"not available")</f>
        <v>not available</v>
      </c>
      <c r="K182" s="40" t="str">
        <f>IFERROR(__xludf.DUMMYFUNCTION("""COMPUTED_VALUE"""),"not available")</f>
        <v>not available</v>
      </c>
      <c r="L182" s="734">
        <f>IFERROR(__xludf.DUMMYFUNCTION("""COMPUTED_VALUE"""),430.0)</f>
        <v>430</v>
      </c>
      <c r="M182" s="754" t="str">
        <f>IFERROR(__xludf.DUMMYFUNCTION("""COMPUTED_VALUE"""),"not available")</f>
        <v>not available</v>
      </c>
      <c r="N182" s="781" t="str">
        <f>IFERROR(__xludf.DUMMYFUNCTION("""COMPUTED_VALUE"""),"not available")</f>
        <v>not available</v>
      </c>
      <c r="O182" s="730" t="str">
        <f>IFERROR(__xludf.DUMMYFUNCTION("""COMPUTED_VALUE"""),"household with at least one bancroftian mf carrier")</f>
        <v>household with at least one bancroftian mf carrier</v>
      </c>
      <c r="P182" s="736" t="str">
        <f>IFERROR(__xludf.DUMMYFUNCTION("""COMPUTED_VALUE"""),"randomized, single-blind")</f>
        <v>randomized, single-blind</v>
      </c>
      <c r="Q182" s="40" t="str">
        <f>IFERROR(__xludf.DUMMYFUNCTION("""COMPUTED_VALUE"""),"yes")</f>
        <v>yes</v>
      </c>
      <c r="R182" s="40" t="str">
        <f>IFERROR(__xludf.DUMMYFUNCTION("""COMPUTED_VALUE"""),"yes")</f>
        <v>yes</v>
      </c>
      <c r="S182" s="730" t="str">
        <f>IFERROR(__xludf.DUMMYFUNCTION("""COMPUTED_VALUE"""),"12 months")</f>
        <v>12 months</v>
      </c>
      <c r="T182" s="746" t="str">
        <f>IFERROR(__xludf.DUMMYFUNCTION("""COMPUTED_VALUE"""),"DEC at the dosage used has not prevented microffilaraemia for four months after DEC treatment ")</f>
        <v>DEC at the dosage used has not prevented microffilaraemia for four months after DEC treatment </v>
      </c>
      <c r="U182" s="40"/>
      <c r="V182" s="737">
        <f>IFERROR(__xludf.DUMMYFUNCTION("""COMPUTED_VALUE"""),1988.0)</f>
        <v>1988</v>
      </c>
      <c r="W182" s="730">
        <f>IFERROR(__xludf.DUMMYFUNCTION("""COMPUTED_VALUE"""),1988.0)</f>
        <v>1988</v>
      </c>
      <c r="X182" s="730" t="str">
        <f>IFERROR(__xludf.DUMMYFUNCTION("""COMPUTED_VALUE"""),"Narasimham, M. V. V. L., et al. ""Role of diethylcarbamazine mixed common salt in prophylaxis against bancroftian filariasis."" J Commun Dis 11 (1979): 137-140.")</f>
        <v>Narasimham, M. V. V. L., et al. "Role of diethylcarbamazine mixed common salt in prophylaxis against bancroftian filariasis." J Commun Dis 11 (1979): 137-140.</v>
      </c>
      <c r="Y182" s="738" t="str">
        <f>IFERROR(__xludf.DUMMYFUNCTION("""COMPUTED_VALUE"""),"DOI: 10.1002/14651858.CD003758.pub2")</f>
        <v>DOI: 10.1002/14651858.CD003758.pub2</v>
      </c>
      <c r="Z182" s="727" t="str">
        <f>IFERROR(__xludf.DUMMYFUNCTION("""COMPUTED_VALUE"""),"https://drive.google.com/file/d/0B0qKRmtVkPtWcjBJcDFwck9wMDg/view?usp=sharing")</f>
        <v>https://drive.google.com/file/d/0B0qKRmtVkPtWcjBJcDFwck9wMDg/view?usp=sharing</v>
      </c>
      <c r="AA182" s="40" t="str">
        <f>IFERROR(__xludf.DUMMYFUNCTION("""COMPUTED_VALUE"""),"x")</f>
        <v>x</v>
      </c>
      <c r="AB182" s="40"/>
    </row>
    <row r="183">
      <c r="A183" s="717" t="str">
        <f>IFERROR(__xludf.DUMMYFUNCTION("""COMPUTED_VALUE"""),"Fan 1991")</f>
        <v>Fan 1991</v>
      </c>
      <c r="B183" s="40" t="str">
        <f>IFERROR(__xludf.DUMMYFUNCTION("""COMPUTED_VALUE"""),"Mike")</f>
        <v>Mike</v>
      </c>
      <c r="C183" s="718" t="str">
        <f>IFERROR(__xludf.DUMMYFUNCTION("""COMPUTED_VALUE"""),"Alex ")</f>
        <v>Alex </v>
      </c>
      <c r="D183" s="718" t="str">
        <f>IFERROR(__xludf.DUMMYFUNCTION("""COMPUTED_VALUE"""),"Taiwan")</f>
        <v>Taiwan</v>
      </c>
      <c r="E183" s="719" t="str">
        <f>IFERROR(__xludf.DUMMYFUNCTION("""COMPUTED_VALUE"""),"w. bancrofti")</f>
        <v>w. bancrofti</v>
      </c>
      <c r="F183" s="732" t="str">
        <f>IFERROR(__xludf.DUMMYFUNCTION("""COMPUTED_VALUE"""),"DEC")</f>
        <v>DEC</v>
      </c>
      <c r="G183" s="718" t="str">
        <f>IFERROR(__xludf.DUMMYFUNCTION("""COMPUTED_VALUE"""),"6mg/kg")</f>
        <v>6mg/kg</v>
      </c>
      <c r="H183" s="40">
        <f>IFERROR(__xludf.DUMMYFUNCTION("""COMPUTED_VALUE"""),7.0)</f>
        <v>7</v>
      </c>
      <c r="I183" s="720" t="str">
        <f>IFERROR(__xludf.DUMMYFUNCTION("""COMPUTED_VALUE"""),"not available")</f>
        <v>not available</v>
      </c>
      <c r="J183" s="720">
        <f>IFERROR(__xludf.DUMMYFUNCTION("""COMPUTED_VALUE"""),73.0)</f>
        <v>73</v>
      </c>
      <c r="K183" s="718" t="str">
        <f>IFERROR(__xludf.DUMMYFUNCTION("""COMPUTED_VALUE"""),"not available")</f>
        <v>not available</v>
      </c>
      <c r="L183" s="718">
        <f>IFERROR(__xludf.DUMMYFUNCTION("""COMPUTED_VALUE"""),22.0)</f>
        <v>22</v>
      </c>
      <c r="M183" s="721" t="str">
        <f>IFERROR(__xludf.DUMMYFUNCTION("""COMPUTED_VALUE"""),"not available")</f>
        <v>not available</v>
      </c>
      <c r="N183" s="721" t="str">
        <f>IFERROR(__xludf.DUMMYFUNCTION("""COMPUTED_VALUE"""),"not available")</f>
        <v>not available</v>
      </c>
      <c r="O183" s="718" t="str">
        <f>IFERROR(__xludf.DUMMYFUNCTION("""COMPUTED_VALUE"""),"mf carrier identified from previous study")</f>
        <v>mf carrier identified from previous study</v>
      </c>
      <c r="P183" s="723" t="str">
        <f>IFERROR(__xludf.DUMMYFUNCTION("""COMPUTED_VALUE"""),"randomized")</f>
        <v>randomized</v>
      </c>
      <c r="Q183" s="718" t="str">
        <f>IFERROR(__xludf.DUMMYFUNCTION("""COMPUTED_VALUE"""),"no")</f>
        <v>no</v>
      </c>
      <c r="R183" s="718" t="str">
        <f>IFERROR(__xludf.DUMMYFUNCTION("""COMPUTED_VALUE"""),"yes")</f>
        <v>yes</v>
      </c>
      <c r="S183" s="718" t="str">
        <f>IFERROR(__xludf.DUMMYFUNCTION("""COMPUTED_VALUE"""),"1 week")</f>
        <v>1 week</v>
      </c>
      <c r="T183" s="40" t="str">
        <f>IFERROR(__xludf.DUMMYFUNCTION("""COMPUTED_VALUE"""),"The cure rate is higher in patients infected with B. malayi and mixed infections than in those with W. bancrofti, but the side effects were more serious in the former group than in the latter. Carriers with higher microfilaraemia have more severe side eff"&amp;"ects. ")</f>
        <v>The cure rate is higher in patients infected with B. malayi and mixed infections than in those with W. bancrofti, but the side effects were more serious in the former group than in the latter. Carriers with higher microfilaraemia have more severe side effects. </v>
      </c>
      <c r="U183" s="718"/>
      <c r="V183" s="724">
        <f>IFERROR(__xludf.DUMMYFUNCTION("""COMPUTED_VALUE"""),1991.0)</f>
        <v>1991</v>
      </c>
      <c r="W183" s="718">
        <f>IFERROR(__xludf.DUMMYFUNCTION("""COMPUTED_VALUE"""),1991.0)</f>
        <v>1991</v>
      </c>
      <c r="X183" s="40" t="str">
        <f>IFERROR(__xludf.DUMMYFUNCTION("""COMPUTED_VALUE"""),"Fan, P. C. ""Diethylcarbamazine treatment of bancroftian and malayan filariasis with emphasis on side effects."" Annals of Tropical Medicine &amp; Parasitology 86.4 (1992): 399-405.")</f>
        <v>Fan, P. C. "Diethylcarbamazine treatment of bancroftian and malayan filariasis with emphasis on side effects." Annals of Tropical Medicine &amp; Parasitology 86.4 (1992): 399-405.</v>
      </c>
      <c r="Y183" s="726" t="str">
        <f>IFERROR(__xludf.DUMMYFUNCTION("""COMPUTED_VALUE"""),"http://dx.doi.org/10.1080/00034983.1992.11812684")</f>
        <v>http://dx.doi.org/10.1080/00034983.1992.11812684</v>
      </c>
      <c r="Z183" s="727" t="str">
        <f>IFERROR(__xludf.DUMMYFUNCTION("""COMPUTED_VALUE"""),"https://drive.google.com/file/d/0B0qKRmtVkPtWQnp0NEcxbWdfQ3c/view?usp=sharing")</f>
        <v>https://drive.google.com/file/d/0B0qKRmtVkPtWQnp0NEcxbWdfQ3c/view?usp=sharing</v>
      </c>
      <c r="AA183" s="40"/>
      <c r="AB183" s="40"/>
    </row>
    <row r="184">
      <c r="A184" s="717" t="str">
        <f>IFERROR(__xludf.DUMMYFUNCTION("""COMPUTED_VALUE"""),"Fan 1991")</f>
        <v>Fan 1991</v>
      </c>
      <c r="B184" s="40" t="str">
        <f>IFERROR(__xludf.DUMMYFUNCTION("""COMPUTED_VALUE"""),"Mike")</f>
        <v>Mike</v>
      </c>
      <c r="C184" s="718" t="str">
        <f>IFERROR(__xludf.DUMMYFUNCTION("""COMPUTED_VALUE"""),"Alex")</f>
        <v>Alex</v>
      </c>
      <c r="D184" s="718" t="str">
        <f>IFERROR(__xludf.DUMMYFUNCTION("""COMPUTED_VALUE"""),"Taiwan")</f>
        <v>Taiwan</v>
      </c>
      <c r="E184" s="719" t="str">
        <f>IFERROR(__xludf.DUMMYFUNCTION("""COMPUTED_VALUE"""),"Brugia malayi")</f>
        <v>Brugia malayi</v>
      </c>
      <c r="F184" s="718" t="str">
        <f>IFERROR(__xludf.DUMMYFUNCTION("""COMPUTED_VALUE"""),"DEC")</f>
        <v>DEC</v>
      </c>
      <c r="G184" s="718" t="str">
        <f>IFERROR(__xludf.DUMMYFUNCTION("""COMPUTED_VALUE"""),"6mg/kg")</f>
        <v>6mg/kg</v>
      </c>
      <c r="H184" s="40">
        <f>IFERROR(__xludf.DUMMYFUNCTION("""COMPUTED_VALUE"""),7.0)</f>
        <v>7</v>
      </c>
      <c r="I184" s="720" t="str">
        <f>IFERROR(__xludf.DUMMYFUNCTION("""COMPUTED_VALUE"""),"not available")</f>
        <v>not available</v>
      </c>
      <c r="J184" s="720">
        <f>IFERROR(__xludf.DUMMYFUNCTION("""COMPUTED_VALUE"""),81.0)</f>
        <v>81</v>
      </c>
      <c r="K184" s="718" t="str">
        <f>IFERROR(__xludf.DUMMYFUNCTION("""COMPUTED_VALUE"""),"not available")</f>
        <v>not available</v>
      </c>
      <c r="L184" s="718">
        <f>IFERROR(__xludf.DUMMYFUNCTION("""COMPUTED_VALUE"""),16.0)</f>
        <v>16</v>
      </c>
      <c r="M184" s="721" t="str">
        <f>IFERROR(__xludf.DUMMYFUNCTION("""COMPUTED_VALUE"""),"not available")</f>
        <v>not available</v>
      </c>
      <c r="N184" s="721" t="str">
        <f>IFERROR(__xludf.DUMMYFUNCTION("""COMPUTED_VALUE"""),"not available")</f>
        <v>not available</v>
      </c>
      <c r="O184" s="718" t="str">
        <f>IFERROR(__xludf.DUMMYFUNCTION("""COMPUTED_VALUE"""),"mf carrier identified from previous study")</f>
        <v>mf carrier identified from previous study</v>
      </c>
      <c r="P184" s="723" t="str">
        <f>IFERROR(__xludf.DUMMYFUNCTION("""COMPUTED_VALUE"""),"randomized")</f>
        <v>randomized</v>
      </c>
      <c r="Q184" s="718" t="str">
        <f>IFERROR(__xludf.DUMMYFUNCTION("""COMPUTED_VALUE"""),"no")</f>
        <v>no</v>
      </c>
      <c r="R184" s="718" t="str">
        <f>IFERROR(__xludf.DUMMYFUNCTION("""COMPUTED_VALUE"""),"yes")</f>
        <v>yes</v>
      </c>
      <c r="S184" s="718" t="str">
        <f>IFERROR(__xludf.DUMMYFUNCTION("""COMPUTED_VALUE"""),"1 week")</f>
        <v>1 week</v>
      </c>
      <c r="T184" s="40" t="str">
        <f>IFERROR(__xludf.DUMMYFUNCTION("""COMPUTED_VALUE"""),"The cure rate is higher in patients infected with B. malayi and mixed infections than in those with W. bancrofti, but the side effects were more serious in the former group than in the latter. Carriers with higher microfilaraemia have more severe side eff"&amp;"ects. ")</f>
        <v>The cure rate is higher in patients infected with B. malayi and mixed infections than in those with W. bancrofti, but the side effects were more serious in the former group than in the latter. Carriers with higher microfilaraemia have more severe side effects. </v>
      </c>
      <c r="U184" s="718"/>
      <c r="V184" s="724">
        <f>IFERROR(__xludf.DUMMYFUNCTION("""COMPUTED_VALUE"""),1991.0)</f>
        <v>1991</v>
      </c>
      <c r="W184" s="718">
        <f>IFERROR(__xludf.DUMMYFUNCTION("""COMPUTED_VALUE"""),1991.0)</f>
        <v>1991</v>
      </c>
      <c r="X184" s="40" t="str">
        <f>IFERROR(__xludf.DUMMYFUNCTION("""COMPUTED_VALUE"""),"Fan, P. C. ""Diethylcarbamazine treatment of bancroftian and malayan filariasis with emphasis on side effects."" Annals of Tropical Medicine &amp; Parasitology 86.4 (1992): 399-405.")</f>
        <v>Fan, P. C. "Diethylcarbamazine treatment of bancroftian and malayan filariasis with emphasis on side effects." Annals of Tropical Medicine &amp; Parasitology 86.4 (1992): 399-405.</v>
      </c>
      <c r="Y184" s="726" t="str">
        <f>IFERROR(__xludf.DUMMYFUNCTION("""COMPUTED_VALUE"""),"http://dx.doi.org/10.1080/00034983.1992.11812685")</f>
        <v>http://dx.doi.org/10.1080/00034983.1992.11812685</v>
      </c>
      <c r="Z184" s="727" t="str">
        <f>IFERROR(__xludf.DUMMYFUNCTION("""COMPUTED_VALUE"""),"https://drive.google.com/file/d/0B0qKRmtVkPtWQnp0NEcxbWdfQ3c/view?usp=sharing")</f>
        <v>https://drive.google.com/file/d/0B0qKRmtVkPtWQnp0NEcxbWdfQ3c/view?usp=sharing</v>
      </c>
      <c r="AA184" s="40"/>
      <c r="AB184" s="40"/>
    </row>
    <row r="185">
      <c r="A185" s="717" t="str">
        <f>IFERROR(__xludf.DUMMYFUNCTION("""COMPUTED_VALUE"""),"Fan 1991")</f>
        <v>Fan 1991</v>
      </c>
      <c r="B185" s="40" t="str">
        <f>IFERROR(__xludf.DUMMYFUNCTION("""COMPUTED_VALUE"""),"Mike")</f>
        <v>Mike</v>
      </c>
      <c r="C185" s="718" t="str">
        <f>IFERROR(__xludf.DUMMYFUNCTION("""COMPUTED_VALUE"""),"Alex")</f>
        <v>Alex</v>
      </c>
      <c r="D185" s="718" t="str">
        <f>IFERROR(__xludf.DUMMYFUNCTION("""COMPUTED_VALUE"""),"Taiwan")</f>
        <v>Taiwan</v>
      </c>
      <c r="E185" s="719" t="str">
        <f>IFERROR(__xludf.DUMMYFUNCTION("""COMPUTED_VALUE"""),"w. bancrofti")</f>
        <v>w. bancrofti</v>
      </c>
      <c r="F185" s="718" t="str">
        <f>IFERROR(__xludf.DUMMYFUNCTION("""COMPUTED_VALUE"""),"DEC")</f>
        <v>DEC</v>
      </c>
      <c r="G185" s="718" t="str">
        <f>IFERROR(__xludf.DUMMYFUNCTION("""COMPUTED_VALUE"""),"7mg/kg")</f>
        <v>7mg/kg</v>
      </c>
      <c r="H185" s="40">
        <f>IFERROR(__xludf.DUMMYFUNCTION("""COMPUTED_VALUE"""),7.0)</f>
        <v>7</v>
      </c>
      <c r="I185" s="720" t="str">
        <f>IFERROR(__xludf.DUMMYFUNCTION("""COMPUTED_VALUE"""),"not available")</f>
        <v>not available</v>
      </c>
      <c r="J185" s="741">
        <f>IFERROR(__xludf.DUMMYFUNCTION("""COMPUTED_VALUE"""),80.0)</f>
        <v>80</v>
      </c>
      <c r="K185" s="40" t="str">
        <f>IFERROR(__xludf.DUMMYFUNCTION("""COMPUTED_VALUE"""),"not available")</f>
        <v>not available</v>
      </c>
      <c r="L185" s="718">
        <f>IFERROR(__xludf.DUMMYFUNCTION("""COMPUTED_VALUE"""),61.0)</f>
        <v>61</v>
      </c>
      <c r="M185" s="721" t="str">
        <f>IFERROR(__xludf.DUMMYFUNCTION("""COMPUTED_VALUE"""),"not available")</f>
        <v>not available</v>
      </c>
      <c r="N185" s="744" t="str">
        <f>IFERROR(__xludf.DUMMYFUNCTION("""COMPUTED_VALUE"""),"not available")</f>
        <v>not available</v>
      </c>
      <c r="O185" s="718" t="str">
        <f>IFERROR(__xludf.DUMMYFUNCTION("""COMPUTED_VALUE"""),"mf carrier identified from previous study")</f>
        <v>mf carrier identified from previous study</v>
      </c>
      <c r="P185" s="762" t="str">
        <f>IFERROR(__xludf.DUMMYFUNCTION("""COMPUTED_VALUE"""),"randomized")</f>
        <v>randomized</v>
      </c>
      <c r="Q185" s="40" t="str">
        <f>IFERROR(__xludf.DUMMYFUNCTION("""COMPUTED_VALUE"""),"no")</f>
        <v>no</v>
      </c>
      <c r="R185" s="40" t="str">
        <f>IFERROR(__xludf.DUMMYFUNCTION("""COMPUTED_VALUE"""),"yes")</f>
        <v>yes</v>
      </c>
      <c r="S185" s="718" t="str">
        <f>IFERROR(__xludf.DUMMYFUNCTION("""COMPUTED_VALUE"""),"1 week")</f>
        <v>1 week</v>
      </c>
      <c r="T185" s="40" t="str">
        <f>IFERROR(__xludf.DUMMYFUNCTION("""COMPUTED_VALUE"""),"The cure rate is higher in patients infected with B. malayi and mixed infections than in those with W. bancrofti, but the side effects were more serious in the former group than in the latter. Carriers with higher microfilaraemia have more severe side eff"&amp;"ects. ")</f>
        <v>The cure rate is higher in patients infected with B. malayi and mixed infections than in those with W. bancrofti, but the side effects were more serious in the former group than in the latter. Carriers with higher microfilaraemia have more severe side effects. </v>
      </c>
      <c r="U185" s="718"/>
      <c r="V185" s="724">
        <f>IFERROR(__xludf.DUMMYFUNCTION("""COMPUTED_VALUE"""),1991.0)</f>
        <v>1991</v>
      </c>
      <c r="W185" s="718">
        <f>IFERROR(__xludf.DUMMYFUNCTION("""COMPUTED_VALUE"""),1991.0)</f>
        <v>1991</v>
      </c>
      <c r="X185" s="40" t="str">
        <f>IFERROR(__xludf.DUMMYFUNCTION("""COMPUTED_VALUE"""),"Fan, P. C. ""Diethylcarbamazine treatment of bancroftian and malayan filariasis with emphasis on side effects."" Annals of Tropical Medicine &amp; Parasitology 86.4 (1992): 399-405.")</f>
        <v>Fan, P. C. "Diethylcarbamazine treatment of bancroftian and malayan filariasis with emphasis on side effects." Annals of Tropical Medicine &amp; Parasitology 86.4 (1992): 399-405.</v>
      </c>
      <c r="Y185" s="726" t="str">
        <f>IFERROR(__xludf.DUMMYFUNCTION("""COMPUTED_VALUE"""),"http://dx.doi.org/10.1080/00034983.1992.11812686")</f>
        <v>http://dx.doi.org/10.1080/00034983.1992.11812686</v>
      </c>
      <c r="Z185" s="727" t="str">
        <f>IFERROR(__xludf.DUMMYFUNCTION("""COMPUTED_VALUE"""),"https://drive.google.com/file/d/0B0qKRmtVkPtWQnp0NEcxbWdfQ3c/view?usp=sharing")</f>
        <v>https://drive.google.com/file/d/0B0qKRmtVkPtWQnp0NEcxbWdfQ3c/view?usp=sharing</v>
      </c>
      <c r="AA185" s="40"/>
      <c r="AB185" s="40"/>
    </row>
    <row r="186">
      <c r="A186" s="717" t="str">
        <f>IFERROR(__xludf.DUMMYFUNCTION("""COMPUTED_VALUE"""),"Fan 1991")</f>
        <v>Fan 1991</v>
      </c>
      <c r="B186" s="40" t="str">
        <f>IFERROR(__xludf.DUMMYFUNCTION("""COMPUTED_VALUE"""),"Mike")</f>
        <v>Mike</v>
      </c>
      <c r="C186" s="718" t="str">
        <f>IFERROR(__xludf.DUMMYFUNCTION("""COMPUTED_VALUE"""),"Alex")</f>
        <v>Alex</v>
      </c>
      <c r="D186" s="718" t="str">
        <f>IFERROR(__xludf.DUMMYFUNCTION("""COMPUTED_VALUE"""),"Taiwan")</f>
        <v>Taiwan</v>
      </c>
      <c r="E186" s="747" t="str">
        <f>IFERROR(__xludf.DUMMYFUNCTION("""COMPUTED_VALUE"""),"Brugia malayi")</f>
        <v>Brugia malayi</v>
      </c>
      <c r="F186" s="718" t="str">
        <f>IFERROR(__xludf.DUMMYFUNCTION("""COMPUTED_VALUE"""),"DEC")</f>
        <v>DEC</v>
      </c>
      <c r="G186" s="751" t="str">
        <f>IFERROR(__xludf.DUMMYFUNCTION("""COMPUTED_VALUE"""),"7mg/kg")</f>
        <v>7mg/kg</v>
      </c>
      <c r="H186" s="40">
        <f>IFERROR(__xludf.DUMMYFUNCTION("""COMPUTED_VALUE"""),7.0)</f>
        <v>7</v>
      </c>
      <c r="I186" s="720" t="str">
        <f>IFERROR(__xludf.DUMMYFUNCTION("""COMPUTED_VALUE"""),"not available")</f>
        <v>not available</v>
      </c>
      <c r="J186" s="720">
        <f>IFERROR(__xludf.DUMMYFUNCTION("""COMPUTED_VALUE"""),94.0)</f>
        <v>94</v>
      </c>
      <c r="K186" s="40" t="str">
        <f>IFERROR(__xludf.DUMMYFUNCTION("""COMPUTED_VALUE"""),"not available")</f>
        <v>not available</v>
      </c>
      <c r="L186" s="718">
        <f>IFERROR(__xludf.DUMMYFUNCTION("""COMPUTED_VALUE"""),17.0)</f>
        <v>17</v>
      </c>
      <c r="M186" s="721" t="str">
        <f>IFERROR(__xludf.DUMMYFUNCTION("""COMPUTED_VALUE"""),"not available")</f>
        <v>not available</v>
      </c>
      <c r="N186" s="806" t="str">
        <f>IFERROR(__xludf.DUMMYFUNCTION("""COMPUTED_VALUE"""),"not available")</f>
        <v>not available</v>
      </c>
      <c r="O186" s="718" t="str">
        <f>IFERROR(__xludf.DUMMYFUNCTION("""COMPUTED_VALUE"""),"mf carrier identified from previous study")</f>
        <v>mf carrier identified from previous study</v>
      </c>
      <c r="P186" s="723" t="str">
        <f>IFERROR(__xludf.DUMMYFUNCTION("""COMPUTED_VALUE"""),"randomized")</f>
        <v>randomized</v>
      </c>
      <c r="Q186" s="40" t="str">
        <f>IFERROR(__xludf.DUMMYFUNCTION("""COMPUTED_VALUE"""),"no")</f>
        <v>no</v>
      </c>
      <c r="R186" s="40" t="str">
        <f>IFERROR(__xludf.DUMMYFUNCTION("""COMPUTED_VALUE"""),"yes")</f>
        <v>yes</v>
      </c>
      <c r="S186" s="718" t="str">
        <f>IFERROR(__xludf.DUMMYFUNCTION("""COMPUTED_VALUE"""),"1 week")</f>
        <v>1 week</v>
      </c>
      <c r="T186" s="718" t="str">
        <f>IFERROR(__xludf.DUMMYFUNCTION("""COMPUTED_VALUE"""),"The cure rate is higher in patients infected with B. malayi and mixed infections than in those with W. bancrofti, but the side effects were more serious in the former group than in the latter. Carriers with higher microfilaraemia have more severe side eff"&amp;"ects. ")</f>
        <v>The cure rate is higher in patients infected with B. malayi and mixed infections than in those with W. bancrofti, but the side effects were more serious in the former group than in the latter. Carriers with higher microfilaraemia have more severe side effects. </v>
      </c>
      <c r="U186" s="40"/>
      <c r="V186" s="724">
        <f>IFERROR(__xludf.DUMMYFUNCTION("""COMPUTED_VALUE"""),1991.0)</f>
        <v>1991</v>
      </c>
      <c r="W186" s="718">
        <f>IFERROR(__xludf.DUMMYFUNCTION("""COMPUTED_VALUE"""),1991.0)</f>
        <v>1991</v>
      </c>
      <c r="X186" s="40" t="str">
        <f>IFERROR(__xludf.DUMMYFUNCTION("""COMPUTED_VALUE"""),"Fan, P. C. ""Diethylcarbamazine treatment of bancroftian and malayan filariasis with emphasis on side effects."" Annals of Tropical Medicine &amp; Parasitology 86.4 (1992): 399-405.")</f>
        <v>Fan, P. C. "Diethylcarbamazine treatment of bancroftian and malayan filariasis with emphasis on side effects." Annals of Tropical Medicine &amp; Parasitology 86.4 (1992): 399-405.</v>
      </c>
      <c r="Y186" s="726" t="str">
        <f>IFERROR(__xludf.DUMMYFUNCTION("""COMPUTED_VALUE"""),"http://dx.doi.org/10.1080/00034983.1992.11812687")</f>
        <v>http://dx.doi.org/10.1080/00034983.1992.11812687</v>
      </c>
      <c r="Z186" s="727" t="str">
        <f>IFERROR(__xludf.DUMMYFUNCTION("""COMPUTED_VALUE"""),"https://drive.google.com/file/d/0B0qKRmtVkPtWQnp0NEcxbWdfQ3c/view?usp=sharing")</f>
        <v>https://drive.google.com/file/d/0B0qKRmtVkPtWQnp0NEcxbWdfQ3c/view?usp=sharing</v>
      </c>
      <c r="AA186" s="40"/>
      <c r="AB186" s="40"/>
    </row>
    <row r="187">
      <c r="A187" s="717" t="str">
        <f>IFERROR(__xludf.DUMMYFUNCTION("""COMPUTED_VALUE"""),"Fan 1991")</f>
        <v>Fan 1991</v>
      </c>
      <c r="B187" s="40" t="str">
        <f>IFERROR(__xludf.DUMMYFUNCTION("""COMPUTED_VALUE"""),"Mike")</f>
        <v>Mike</v>
      </c>
      <c r="C187" s="718" t="str">
        <f>IFERROR(__xludf.DUMMYFUNCTION("""COMPUTED_VALUE"""),"Alex")</f>
        <v>Alex</v>
      </c>
      <c r="D187" s="718" t="str">
        <f>IFERROR(__xludf.DUMMYFUNCTION("""COMPUTED_VALUE"""),"Taiwan")</f>
        <v>Taiwan</v>
      </c>
      <c r="E187" s="747" t="str">
        <f>IFERROR(__xludf.DUMMYFUNCTION("""COMPUTED_VALUE"""),"w. bancrofti")</f>
        <v>w. bancrofti</v>
      </c>
      <c r="F187" s="718" t="str">
        <f>IFERROR(__xludf.DUMMYFUNCTION("""COMPUTED_VALUE"""),"DEC")</f>
        <v>DEC</v>
      </c>
      <c r="G187" s="718" t="str">
        <f>IFERROR(__xludf.DUMMYFUNCTION("""COMPUTED_VALUE"""),"8mg/kg")</f>
        <v>8mg/kg</v>
      </c>
      <c r="H187" s="40">
        <f>IFERROR(__xludf.DUMMYFUNCTION("""COMPUTED_VALUE"""),7.0)</f>
        <v>7</v>
      </c>
      <c r="I187" s="720" t="str">
        <f>IFERROR(__xludf.DUMMYFUNCTION("""COMPUTED_VALUE"""),"not available")</f>
        <v>not available</v>
      </c>
      <c r="J187" s="720">
        <f>IFERROR(__xludf.DUMMYFUNCTION("""COMPUTED_VALUE"""),79.0)</f>
        <v>79</v>
      </c>
      <c r="K187" s="40" t="str">
        <f>IFERROR(__xludf.DUMMYFUNCTION("""COMPUTED_VALUE"""),"not available")</f>
        <v>not available</v>
      </c>
      <c r="L187" s="718">
        <f>IFERROR(__xludf.DUMMYFUNCTION("""COMPUTED_VALUE"""),43.0)</f>
        <v>43</v>
      </c>
      <c r="M187" s="721" t="str">
        <f>IFERROR(__xludf.DUMMYFUNCTION("""COMPUTED_VALUE"""),"not available")</f>
        <v>not available</v>
      </c>
      <c r="N187" s="806" t="str">
        <f>IFERROR(__xludf.DUMMYFUNCTION("""COMPUTED_VALUE"""),"not available")</f>
        <v>not available</v>
      </c>
      <c r="O187" s="718" t="str">
        <f>IFERROR(__xludf.DUMMYFUNCTION("""COMPUTED_VALUE"""),"mf carrier identified from previous study")</f>
        <v>mf carrier identified from previous study</v>
      </c>
      <c r="P187" s="723" t="str">
        <f>IFERROR(__xludf.DUMMYFUNCTION("""COMPUTED_VALUE"""),"randomized")</f>
        <v>randomized</v>
      </c>
      <c r="Q187" s="40" t="str">
        <f>IFERROR(__xludf.DUMMYFUNCTION("""COMPUTED_VALUE"""),"no")</f>
        <v>no</v>
      </c>
      <c r="R187" s="40" t="str">
        <f>IFERROR(__xludf.DUMMYFUNCTION("""COMPUTED_VALUE"""),"yes")</f>
        <v>yes</v>
      </c>
      <c r="S187" s="718" t="str">
        <f>IFERROR(__xludf.DUMMYFUNCTION("""COMPUTED_VALUE"""),"1 week")</f>
        <v>1 week</v>
      </c>
      <c r="T187" s="718" t="str">
        <f>IFERROR(__xludf.DUMMYFUNCTION("""COMPUTED_VALUE"""),"The cure rate is higher in patients infected with B. malayi and mixed infections than in those with W. bancrofti, but the side effects were more serious in the former group than in the latter. Carriers with higher microfilaraemia have more severe side eff"&amp;"ects. ")</f>
        <v>The cure rate is higher in patients infected with B. malayi and mixed infections than in those with W. bancrofti, but the side effects were more serious in the former group than in the latter. Carriers with higher microfilaraemia have more severe side effects. </v>
      </c>
      <c r="U187" s="40"/>
      <c r="V187" s="724">
        <f>IFERROR(__xludf.DUMMYFUNCTION("""COMPUTED_VALUE"""),1991.0)</f>
        <v>1991</v>
      </c>
      <c r="W187" s="718">
        <f>IFERROR(__xludf.DUMMYFUNCTION("""COMPUTED_VALUE"""),1991.0)</f>
        <v>1991</v>
      </c>
      <c r="X187" s="40" t="str">
        <f>IFERROR(__xludf.DUMMYFUNCTION("""COMPUTED_VALUE"""),"Fan, P. C. ""Diethylcarbamazine treatment of bancroftian and malayan filariasis with emphasis on side effects."" Annals of Tropical Medicine &amp; Parasitology 86.4 (1992): 399-405.")</f>
        <v>Fan, P. C. "Diethylcarbamazine treatment of bancroftian and malayan filariasis with emphasis on side effects." Annals of Tropical Medicine &amp; Parasitology 86.4 (1992): 399-405.</v>
      </c>
      <c r="Y187" s="726" t="str">
        <f>IFERROR(__xludf.DUMMYFUNCTION("""COMPUTED_VALUE"""),"http://dx.doi.org/10.1080/00034983.1992.11812688")</f>
        <v>http://dx.doi.org/10.1080/00034983.1992.11812688</v>
      </c>
      <c r="Z187" s="727" t="str">
        <f>IFERROR(__xludf.DUMMYFUNCTION("""COMPUTED_VALUE"""),"https://drive.google.com/file/d/0B0qKRmtVkPtWQnp0NEcxbWdfQ3c/view?usp=sharing")</f>
        <v>https://drive.google.com/file/d/0B0qKRmtVkPtWQnp0NEcxbWdfQ3c/view?usp=sharing</v>
      </c>
      <c r="AA187" s="40"/>
      <c r="AB187" s="40"/>
    </row>
    <row r="188">
      <c r="A188" s="717" t="str">
        <f>IFERROR(__xludf.DUMMYFUNCTION("""COMPUTED_VALUE"""),"Fan 1991")</f>
        <v>Fan 1991</v>
      </c>
      <c r="B188" s="40" t="str">
        <f>IFERROR(__xludf.DUMMYFUNCTION("""COMPUTED_VALUE"""),"Mike")</f>
        <v>Mike</v>
      </c>
      <c r="C188" s="718" t="str">
        <f>IFERROR(__xludf.DUMMYFUNCTION("""COMPUTED_VALUE"""),"Alex")</f>
        <v>Alex</v>
      </c>
      <c r="D188" s="718" t="str">
        <f>IFERROR(__xludf.DUMMYFUNCTION("""COMPUTED_VALUE"""),"Taiwan")</f>
        <v>Taiwan</v>
      </c>
      <c r="E188" s="40" t="str">
        <f>IFERROR(__xludf.DUMMYFUNCTION("""COMPUTED_VALUE"""),"Brugia malayi")</f>
        <v>Brugia malayi</v>
      </c>
      <c r="F188" s="718" t="str">
        <f>IFERROR(__xludf.DUMMYFUNCTION("""COMPUTED_VALUE"""),"DEC")</f>
        <v>DEC</v>
      </c>
      <c r="G188" s="40" t="str">
        <f>IFERROR(__xludf.DUMMYFUNCTION("""COMPUTED_VALUE"""),"8mg/kg")</f>
        <v>8mg/kg</v>
      </c>
      <c r="H188" s="40">
        <f>IFERROR(__xludf.DUMMYFUNCTION("""COMPUTED_VALUE"""),7.0)</f>
        <v>7</v>
      </c>
      <c r="I188" s="720" t="str">
        <f>IFERROR(__xludf.DUMMYFUNCTION("""COMPUTED_VALUE"""),"not available")</f>
        <v>not available</v>
      </c>
      <c r="J188" s="741">
        <f>IFERROR(__xludf.DUMMYFUNCTION("""COMPUTED_VALUE"""),88.0)</f>
        <v>88</v>
      </c>
      <c r="K188" s="40" t="str">
        <f>IFERROR(__xludf.DUMMYFUNCTION("""COMPUTED_VALUE"""),"not available")</f>
        <v>not available</v>
      </c>
      <c r="L188" s="718">
        <f>IFERROR(__xludf.DUMMYFUNCTION("""COMPUTED_VALUE"""),25.0)</f>
        <v>25</v>
      </c>
      <c r="M188" s="214" t="str">
        <f>IFERROR(__xludf.DUMMYFUNCTION("""COMPUTED_VALUE"""),"not available")</f>
        <v>not available</v>
      </c>
      <c r="N188" s="806" t="str">
        <f>IFERROR(__xludf.DUMMYFUNCTION("""COMPUTED_VALUE"""),"not available")</f>
        <v>not available</v>
      </c>
      <c r="O188" s="718" t="str">
        <f>IFERROR(__xludf.DUMMYFUNCTION("""COMPUTED_VALUE"""),"mf carrier identified from previous study")</f>
        <v>mf carrier identified from previous study</v>
      </c>
      <c r="P188" s="723" t="str">
        <f>IFERROR(__xludf.DUMMYFUNCTION("""COMPUTED_VALUE"""),"randomized")</f>
        <v>randomized</v>
      </c>
      <c r="Q188" s="40" t="str">
        <f>IFERROR(__xludf.DUMMYFUNCTION("""COMPUTED_VALUE"""),"no")</f>
        <v>no</v>
      </c>
      <c r="R188" s="40" t="str">
        <f>IFERROR(__xludf.DUMMYFUNCTION("""COMPUTED_VALUE"""),"yes")</f>
        <v>yes</v>
      </c>
      <c r="S188" s="718" t="str">
        <f>IFERROR(__xludf.DUMMYFUNCTION("""COMPUTED_VALUE"""),"1 week")</f>
        <v>1 week</v>
      </c>
      <c r="T188" s="40" t="str">
        <f>IFERROR(__xludf.DUMMYFUNCTION("""COMPUTED_VALUE"""),"The cure rate is higher in patients infected with B. malayi and mixed infections than in those with W. bancrofti, but the side effects were more serious in the former group than in the latter. Carriers with higher microfilaraemia have more severe side eff"&amp;"ects. ")</f>
        <v>The cure rate is higher in patients infected with B. malayi and mixed infections than in those with W. bancrofti, but the side effects were more serious in the former group than in the latter. Carriers with higher microfilaraemia have more severe side effects. </v>
      </c>
      <c r="U188" s="718"/>
      <c r="V188" s="724">
        <f>IFERROR(__xludf.DUMMYFUNCTION("""COMPUTED_VALUE"""),1991.0)</f>
        <v>1991</v>
      </c>
      <c r="W188" s="718">
        <f>IFERROR(__xludf.DUMMYFUNCTION("""COMPUTED_VALUE"""),1991.0)</f>
        <v>1991</v>
      </c>
      <c r="X188" s="718" t="str">
        <f>IFERROR(__xludf.DUMMYFUNCTION("""COMPUTED_VALUE"""),"Fan, P. C. ""Diethylcarbamazine treatment of bancroftian and malayan filariasis with emphasis on side effects."" Annals of Tropical Medicine &amp; Parasitology 86.4 (1992): 399-405.")</f>
        <v>Fan, P. C. "Diethylcarbamazine treatment of bancroftian and malayan filariasis with emphasis on side effects." Annals of Tropical Medicine &amp; Parasitology 86.4 (1992): 399-405.</v>
      </c>
      <c r="Y188" s="726" t="str">
        <f>IFERROR(__xludf.DUMMYFUNCTION("""COMPUTED_VALUE"""),"http://dx.doi.org/10.1080/00034983.1992.11812689")</f>
        <v>http://dx.doi.org/10.1080/00034983.1992.11812689</v>
      </c>
      <c r="Z188" s="727" t="str">
        <f>IFERROR(__xludf.DUMMYFUNCTION("""COMPUTED_VALUE"""),"https://drive.google.com/file/d/0B0qKRmtVkPtWQnp0NEcxbWdfQ3c/view?usp=sharing")</f>
        <v>https://drive.google.com/file/d/0B0qKRmtVkPtWQnp0NEcxbWdfQ3c/view?usp=sharing</v>
      </c>
      <c r="AA188" s="40"/>
      <c r="AB188" s="40"/>
    </row>
    <row r="189">
      <c r="A189" s="717" t="str">
        <f>IFERROR(__xludf.DUMMYFUNCTION("""COMPUTED_VALUE"""),"Fan 1991")</f>
        <v>Fan 1991</v>
      </c>
      <c r="B189" s="40" t="str">
        <f>IFERROR(__xludf.DUMMYFUNCTION("""COMPUTED_VALUE"""),"Mike")</f>
        <v>Mike</v>
      </c>
      <c r="C189" s="718" t="str">
        <f>IFERROR(__xludf.DUMMYFUNCTION("""COMPUTED_VALUE"""),"Alex")</f>
        <v>Alex</v>
      </c>
      <c r="D189" s="718" t="str">
        <f>IFERROR(__xludf.DUMMYFUNCTION("""COMPUTED_VALUE"""),"Taiwan")</f>
        <v>Taiwan</v>
      </c>
      <c r="E189" s="40" t="str">
        <f>IFERROR(__xludf.DUMMYFUNCTION("""COMPUTED_VALUE"""),"w. bancrofti")</f>
        <v>w. bancrofti</v>
      </c>
      <c r="F189" s="718" t="str">
        <f>IFERROR(__xludf.DUMMYFUNCTION("""COMPUTED_VALUE"""),"DEC")</f>
        <v>DEC</v>
      </c>
      <c r="G189" s="40" t="str">
        <f>IFERROR(__xludf.DUMMYFUNCTION("""COMPUTED_VALUE"""),"9mg/kg")</f>
        <v>9mg/kg</v>
      </c>
      <c r="H189" s="40">
        <f>IFERROR(__xludf.DUMMYFUNCTION("""COMPUTED_VALUE"""),7.0)</f>
        <v>7</v>
      </c>
      <c r="I189" s="720" t="str">
        <f>IFERROR(__xludf.DUMMYFUNCTION("""COMPUTED_VALUE"""),"not available")</f>
        <v>not available</v>
      </c>
      <c r="J189" s="741">
        <f>IFERROR(__xludf.DUMMYFUNCTION("""COMPUTED_VALUE"""),80.0)</f>
        <v>80</v>
      </c>
      <c r="K189" s="40" t="str">
        <f>IFERROR(__xludf.DUMMYFUNCTION("""COMPUTED_VALUE"""),"not available")</f>
        <v>not available</v>
      </c>
      <c r="L189" s="718">
        <f>IFERROR(__xludf.DUMMYFUNCTION("""COMPUTED_VALUE"""),15.0)</f>
        <v>15</v>
      </c>
      <c r="M189" s="214" t="str">
        <f>IFERROR(__xludf.DUMMYFUNCTION("""COMPUTED_VALUE"""),"not available")</f>
        <v>not available</v>
      </c>
      <c r="N189" s="806" t="str">
        <f>IFERROR(__xludf.DUMMYFUNCTION("""COMPUTED_VALUE"""),"not available")</f>
        <v>not available</v>
      </c>
      <c r="Q189" s="40" t="str">
        <f>IFERROR(__xludf.DUMMYFUNCTION("""COMPUTED_VALUE"""),"no")</f>
        <v>no</v>
      </c>
      <c r="R189" s="40" t="str">
        <f>IFERROR(__xludf.DUMMYFUNCTION("""COMPUTED_VALUE"""),"yes")</f>
        <v>yes</v>
      </c>
      <c r="T189" s="40" t="str">
        <f>IFERROR(__xludf.DUMMYFUNCTION("""COMPUTED_VALUE"""),"The cure rate is higher in patients infected with B. malayi and mixed infections than in those with W. bancrofti, but the side effects were more serious in the former group than in the latter. Carriers with higher microfilaraemia have more severe side eff"&amp;"ects. ")</f>
        <v>The cure rate is higher in patients infected with B. malayi and mixed infections than in those with W. bancrofti, but the side effects were more serious in the former group than in the latter. Carriers with higher microfilaraemia have more severe side effects. </v>
      </c>
      <c r="U189" s="40"/>
      <c r="Y189" s="726" t="str">
        <f>IFERROR(__xludf.DUMMYFUNCTION("""COMPUTED_VALUE"""),"http://dx.doi.org/10.1080/00034983.1992.11812690")</f>
        <v>http://dx.doi.org/10.1080/00034983.1992.11812690</v>
      </c>
      <c r="Z189" s="727" t="str">
        <f>IFERROR(__xludf.DUMMYFUNCTION("""COMPUTED_VALUE"""),"https://drive.google.com/file/d/0B0qKRmtVkPtWQnp0NEcxbWdfQ3c/view?usp=sharing")</f>
        <v>https://drive.google.com/file/d/0B0qKRmtVkPtWQnp0NEcxbWdfQ3c/view?usp=sharing</v>
      </c>
      <c r="AA189" s="40"/>
      <c r="AB189" s="40"/>
    </row>
    <row r="190">
      <c r="A190" s="717" t="str">
        <f>IFERROR(__xludf.DUMMYFUNCTION("""COMPUTED_VALUE"""),"Fan 1991")</f>
        <v>Fan 1991</v>
      </c>
      <c r="B190" s="40" t="str">
        <f>IFERROR(__xludf.DUMMYFUNCTION("""COMPUTED_VALUE"""),"Mike")</f>
        <v>Mike</v>
      </c>
      <c r="C190" s="718" t="str">
        <f>IFERROR(__xludf.DUMMYFUNCTION("""COMPUTED_VALUE"""),"Alex")</f>
        <v>Alex</v>
      </c>
      <c r="D190" s="718" t="str">
        <f>IFERROR(__xludf.DUMMYFUNCTION("""COMPUTED_VALUE"""),"Taiwan")</f>
        <v>Taiwan</v>
      </c>
      <c r="E190" s="747" t="str">
        <f>IFERROR(__xludf.DUMMYFUNCTION("""COMPUTED_VALUE"""),"Brugia malayi")</f>
        <v>Brugia malayi</v>
      </c>
      <c r="F190" s="718" t="str">
        <f>IFERROR(__xludf.DUMMYFUNCTION("""COMPUTED_VALUE"""),"DEC")</f>
        <v>DEC</v>
      </c>
      <c r="G190" s="718" t="str">
        <f>IFERROR(__xludf.DUMMYFUNCTION("""COMPUTED_VALUE"""),"9mg/kg")</f>
        <v>9mg/kg</v>
      </c>
      <c r="H190" s="40">
        <f>IFERROR(__xludf.DUMMYFUNCTION("""COMPUTED_VALUE"""),7.0)</f>
        <v>7</v>
      </c>
      <c r="I190" s="720" t="str">
        <f>IFERROR(__xludf.DUMMYFUNCTION("""COMPUTED_VALUE"""),"not available")</f>
        <v>not available</v>
      </c>
      <c r="J190" s="720">
        <f>IFERROR(__xludf.DUMMYFUNCTION("""COMPUTED_VALUE"""),89.0)</f>
        <v>89</v>
      </c>
      <c r="K190" s="40" t="str">
        <f>IFERROR(__xludf.DUMMYFUNCTION("""COMPUTED_VALUE"""),"not available")</f>
        <v>not available</v>
      </c>
      <c r="L190" s="718">
        <f>IFERROR(__xludf.DUMMYFUNCTION("""COMPUTED_VALUE"""),18.0)</f>
        <v>18</v>
      </c>
      <c r="M190" s="721" t="str">
        <f>IFERROR(__xludf.DUMMYFUNCTION("""COMPUTED_VALUE"""),"not available")</f>
        <v>not available</v>
      </c>
      <c r="N190" s="810" t="str">
        <f>IFERROR(__xludf.DUMMYFUNCTION("""COMPUTED_VALUE"""),"not available")</f>
        <v>not available</v>
      </c>
      <c r="O190" s="718" t="str">
        <f>IFERROR(__xludf.DUMMYFUNCTION("""COMPUTED_VALUE"""),"mf carrier identified from previous study")</f>
        <v>mf carrier identified from previous study</v>
      </c>
      <c r="P190" s="762" t="str">
        <f>IFERROR(__xludf.DUMMYFUNCTION("""COMPUTED_VALUE"""),"randomized")</f>
        <v>randomized</v>
      </c>
      <c r="Q190" s="40" t="str">
        <f>IFERROR(__xludf.DUMMYFUNCTION("""COMPUTED_VALUE"""),"no")</f>
        <v>no</v>
      </c>
      <c r="R190" s="40" t="str">
        <f>IFERROR(__xludf.DUMMYFUNCTION("""COMPUTED_VALUE"""),"yes")</f>
        <v>yes</v>
      </c>
      <c r="S190" s="40" t="str">
        <f>IFERROR(__xludf.DUMMYFUNCTION("""COMPUTED_VALUE"""),"1 week")</f>
        <v>1 week</v>
      </c>
      <c r="T190" s="40" t="str">
        <f>IFERROR(__xludf.DUMMYFUNCTION("""COMPUTED_VALUE"""),"The cure rate is higher in patients infected with B. malayi and mixed infections than in those with W. bancrofti, but the side effects were more serious in the former group than in the latter. Carriers with higher microfilaraemia have more severe side eff"&amp;"ects. ")</f>
        <v>The cure rate is higher in patients infected with B. malayi and mixed infections than in those with W. bancrofti, but the side effects were more serious in the former group than in the latter. Carriers with higher microfilaraemia have more severe side effects. </v>
      </c>
      <c r="U190" s="40"/>
      <c r="V190" s="724">
        <f>IFERROR(__xludf.DUMMYFUNCTION("""COMPUTED_VALUE"""),1991.0)</f>
        <v>1991</v>
      </c>
      <c r="W190" s="718">
        <f>IFERROR(__xludf.DUMMYFUNCTION("""COMPUTED_VALUE"""),1991.0)</f>
        <v>1991</v>
      </c>
      <c r="X190" s="40" t="str">
        <f>IFERROR(__xludf.DUMMYFUNCTION("""COMPUTED_VALUE"""),"Fan, P. C. ""Diethylcarbamazine treatment of bancroftian and malayan filariasis with emphasis on side effects."" Annals of Tropical Medicine &amp; Parasitology 86.4 (1992): 399-405.")</f>
        <v>Fan, P. C. "Diethylcarbamazine treatment of bancroftian and malayan filariasis with emphasis on side effects." Annals of Tropical Medicine &amp; Parasitology 86.4 (1992): 399-405.</v>
      </c>
      <c r="Y190" s="726" t="str">
        <f>IFERROR(__xludf.DUMMYFUNCTION("""COMPUTED_VALUE"""),"http://dx.doi.org/10.1080/00034983.1992.11812691")</f>
        <v>http://dx.doi.org/10.1080/00034983.1992.11812691</v>
      </c>
      <c r="Z190" s="727" t="str">
        <f>IFERROR(__xludf.DUMMYFUNCTION("""COMPUTED_VALUE"""),"https://drive.google.com/file/d/0B0qKRmtVkPtWQnp0NEcxbWdfQ3c/view?usp=sharing")</f>
        <v>https://drive.google.com/file/d/0B0qKRmtVkPtWQnp0NEcxbWdfQ3c/view?usp=sharing</v>
      </c>
      <c r="AA190" s="40"/>
      <c r="AB190" s="40"/>
    </row>
    <row r="191">
      <c r="A191" s="717" t="str">
        <f>IFERROR(__xludf.DUMMYFUNCTION("""COMPUTED_VALUE"""),"Fan 1991")</f>
        <v>Fan 1991</v>
      </c>
      <c r="B191" s="40" t="str">
        <f>IFERROR(__xludf.DUMMYFUNCTION("""COMPUTED_VALUE"""),"Mike")</f>
        <v>Mike</v>
      </c>
      <c r="C191" s="718" t="str">
        <f>IFERROR(__xludf.DUMMYFUNCTION("""COMPUTED_VALUE"""),"Alex")</f>
        <v>Alex</v>
      </c>
      <c r="D191" s="718" t="str">
        <f>IFERROR(__xludf.DUMMYFUNCTION("""COMPUTED_VALUE"""),"Taiwan")</f>
        <v>Taiwan</v>
      </c>
      <c r="E191" s="747" t="str">
        <f>IFERROR(__xludf.DUMMYFUNCTION("""COMPUTED_VALUE"""),"w. bancrofti")</f>
        <v>w. bancrofti</v>
      </c>
      <c r="F191" s="718" t="str">
        <f>IFERROR(__xludf.DUMMYFUNCTION("""COMPUTED_VALUE"""),"DEC")</f>
        <v>DEC</v>
      </c>
      <c r="G191" s="718" t="str">
        <f>IFERROR(__xludf.DUMMYFUNCTION("""COMPUTED_VALUE"""),"10mg/kg")</f>
        <v>10mg/kg</v>
      </c>
      <c r="H191" s="40">
        <f>IFERROR(__xludf.DUMMYFUNCTION("""COMPUTED_VALUE"""),7.0)</f>
        <v>7</v>
      </c>
      <c r="I191" s="720" t="str">
        <f>IFERROR(__xludf.DUMMYFUNCTION("""COMPUTED_VALUE"""),"not available")</f>
        <v>not available</v>
      </c>
      <c r="J191" s="720">
        <f>IFERROR(__xludf.DUMMYFUNCTION("""COMPUTED_VALUE"""),83.0)</f>
        <v>83</v>
      </c>
      <c r="K191" s="40" t="str">
        <f>IFERROR(__xludf.DUMMYFUNCTION("""COMPUTED_VALUE"""),"not available")</f>
        <v>not available</v>
      </c>
      <c r="L191" s="718">
        <f>IFERROR(__xludf.DUMMYFUNCTION("""COMPUTED_VALUE"""),327.0)</f>
        <v>327</v>
      </c>
      <c r="M191" s="214" t="str">
        <f>IFERROR(__xludf.DUMMYFUNCTION("""COMPUTED_VALUE"""),"not available")</f>
        <v>not available</v>
      </c>
      <c r="N191" s="806" t="str">
        <f>IFERROR(__xludf.DUMMYFUNCTION("""COMPUTED_VALUE"""),"not available")</f>
        <v>not available</v>
      </c>
      <c r="O191" s="718" t="str">
        <f>IFERROR(__xludf.DUMMYFUNCTION("""COMPUTED_VALUE"""),"mf carrier identified from previous study")</f>
        <v>mf carrier identified from previous study</v>
      </c>
      <c r="P191" s="762" t="str">
        <f>IFERROR(__xludf.DUMMYFUNCTION("""COMPUTED_VALUE"""),"randomized")</f>
        <v>randomized</v>
      </c>
      <c r="Q191" s="40" t="str">
        <f>IFERROR(__xludf.DUMMYFUNCTION("""COMPUTED_VALUE"""),"no")</f>
        <v>no</v>
      </c>
      <c r="R191" s="40" t="str">
        <f>IFERROR(__xludf.DUMMYFUNCTION("""COMPUTED_VALUE"""),"yes")</f>
        <v>yes</v>
      </c>
      <c r="S191" s="718" t="str">
        <f>IFERROR(__xludf.DUMMYFUNCTION("""COMPUTED_VALUE"""),"1 week")</f>
        <v>1 week</v>
      </c>
      <c r="T191" s="40" t="str">
        <f>IFERROR(__xludf.DUMMYFUNCTION("""COMPUTED_VALUE"""),"The cure rate is higher in patients infected with B. malayi and mixed infections than in those with W. bancrofti, but the side effects were more serious in the former group than in the latter. Carriers with higher microfilaraemia have more severe side eff"&amp;"ects. ")</f>
        <v>The cure rate is higher in patients infected with B. malayi and mixed infections than in those with W. bancrofti, but the side effects were more serious in the former group than in the latter. Carriers with higher microfilaraemia have more severe side effects. </v>
      </c>
      <c r="U191" s="40"/>
      <c r="V191" s="724">
        <f>IFERROR(__xludf.DUMMYFUNCTION("""COMPUTED_VALUE"""),1991.0)</f>
        <v>1991</v>
      </c>
      <c r="W191" s="718">
        <f>IFERROR(__xludf.DUMMYFUNCTION("""COMPUTED_VALUE"""),1991.0)</f>
        <v>1991</v>
      </c>
      <c r="X191" s="718" t="str">
        <f>IFERROR(__xludf.DUMMYFUNCTION("""COMPUTED_VALUE"""),"Fan, P. C. ""Diethylcarbamazine treatment of bancroftian and malayan filariasis with emphasis on side effects."" Annals of Tropical Medicine &amp; Parasitology 86.4 (1992): 399-405.")</f>
        <v>Fan, P. C. "Diethylcarbamazine treatment of bancroftian and malayan filariasis with emphasis on side effects." Annals of Tropical Medicine &amp; Parasitology 86.4 (1992): 399-405.</v>
      </c>
      <c r="Y191" s="726" t="str">
        <f>IFERROR(__xludf.DUMMYFUNCTION("""COMPUTED_VALUE"""),"http://dx.doi.org/10.1080/00034983.1992.11812692")</f>
        <v>http://dx.doi.org/10.1080/00034983.1992.11812692</v>
      </c>
      <c r="Z191" s="727" t="str">
        <f>IFERROR(__xludf.DUMMYFUNCTION("""COMPUTED_VALUE"""),"https://drive.google.com/file/d/0B0qKRmtVkPtWQnp0NEcxbWdfQ3c/view?usp=sharing")</f>
        <v>https://drive.google.com/file/d/0B0qKRmtVkPtWQnp0NEcxbWdfQ3c/view?usp=sharing</v>
      </c>
      <c r="AA191" s="40"/>
      <c r="AB191" s="40"/>
    </row>
    <row r="192">
      <c r="A192" s="717" t="str">
        <f>IFERROR(__xludf.DUMMYFUNCTION("""COMPUTED_VALUE"""),"Fan 1991")</f>
        <v>Fan 1991</v>
      </c>
      <c r="B192" s="40" t="str">
        <f>IFERROR(__xludf.DUMMYFUNCTION("""COMPUTED_VALUE"""),"Mike")</f>
        <v>Mike</v>
      </c>
      <c r="C192" s="718" t="str">
        <f>IFERROR(__xludf.DUMMYFUNCTION("""COMPUTED_VALUE"""),"Alex")</f>
        <v>Alex</v>
      </c>
      <c r="D192" s="718" t="str">
        <f>IFERROR(__xludf.DUMMYFUNCTION("""COMPUTED_VALUE"""),"Taiwan")</f>
        <v>Taiwan</v>
      </c>
      <c r="E192" s="731" t="str">
        <f>IFERROR(__xludf.DUMMYFUNCTION("""COMPUTED_VALUE"""),"Brugia malayi")</f>
        <v>Brugia malayi</v>
      </c>
      <c r="F192" s="718" t="str">
        <f>IFERROR(__xludf.DUMMYFUNCTION("""COMPUTED_VALUE"""),"DEC")</f>
        <v>DEC</v>
      </c>
      <c r="G192" s="40" t="str">
        <f>IFERROR(__xludf.DUMMYFUNCTION("""COMPUTED_VALUE"""),"10mg/kg")</f>
        <v>10mg/kg</v>
      </c>
      <c r="H192" s="40">
        <f>IFERROR(__xludf.DUMMYFUNCTION("""COMPUTED_VALUE"""),7.0)</f>
        <v>7</v>
      </c>
      <c r="I192" s="741" t="str">
        <f>IFERROR(__xludf.DUMMYFUNCTION("""COMPUTED_VALUE"""),"not available")</f>
        <v>not available</v>
      </c>
      <c r="J192" s="720">
        <f>IFERROR(__xludf.DUMMYFUNCTION("""COMPUTED_VALUE"""),96.0)</f>
        <v>96</v>
      </c>
      <c r="K192" s="40" t="str">
        <f>IFERROR(__xludf.DUMMYFUNCTION("""COMPUTED_VALUE"""),"not available")</f>
        <v>not available</v>
      </c>
      <c r="L192" s="718">
        <f>IFERROR(__xludf.DUMMYFUNCTION("""COMPUTED_VALUE"""),97.0)</f>
        <v>97</v>
      </c>
      <c r="M192" s="721" t="str">
        <f>IFERROR(__xludf.DUMMYFUNCTION("""COMPUTED_VALUE"""),"not available")</f>
        <v>not available</v>
      </c>
      <c r="N192" s="806" t="str">
        <f>IFERROR(__xludf.DUMMYFUNCTION("""COMPUTED_VALUE"""),"not available")</f>
        <v>not available</v>
      </c>
      <c r="O192" s="718" t="str">
        <f>IFERROR(__xludf.DUMMYFUNCTION("""COMPUTED_VALUE"""),"mf carrier identified from previous study")</f>
        <v>mf carrier identified from previous study</v>
      </c>
      <c r="P192" s="762" t="str">
        <f>IFERROR(__xludf.DUMMYFUNCTION("""COMPUTED_VALUE"""),"randomized")</f>
        <v>randomized</v>
      </c>
      <c r="Q192" s="40" t="str">
        <f>IFERROR(__xludf.DUMMYFUNCTION("""COMPUTED_VALUE"""),"no")</f>
        <v>no</v>
      </c>
      <c r="R192" s="40" t="str">
        <f>IFERROR(__xludf.DUMMYFUNCTION("""COMPUTED_VALUE"""),"yes")</f>
        <v>yes</v>
      </c>
      <c r="S192" s="718" t="str">
        <f>IFERROR(__xludf.DUMMYFUNCTION("""COMPUTED_VALUE"""),"1 week")</f>
        <v>1 week</v>
      </c>
      <c r="T192" s="40" t="str">
        <f>IFERROR(__xludf.DUMMYFUNCTION("""COMPUTED_VALUE"""),"The cure rate is higher in patients infected with B. malayi and mixed infections than in those with W. bancrofti, but the side effects were more serious in the former group than in the latter. Carriers with higher microfilaraemia have more severe side eff"&amp;"ects. ")</f>
        <v>The cure rate is higher in patients infected with B. malayi and mixed infections than in those with W. bancrofti, but the side effects were more serious in the former group than in the latter. Carriers with higher microfilaraemia have more severe side effects. </v>
      </c>
      <c r="U192" s="40"/>
      <c r="V192" s="724">
        <f>IFERROR(__xludf.DUMMYFUNCTION("""COMPUTED_VALUE"""),1991.0)</f>
        <v>1991</v>
      </c>
      <c r="W192" s="718">
        <f>IFERROR(__xludf.DUMMYFUNCTION("""COMPUTED_VALUE"""),1991.0)</f>
        <v>1991</v>
      </c>
      <c r="X192" s="718" t="str">
        <f>IFERROR(__xludf.DUMMYFUNCTION("""COMPUTED_VALUE"""),"Fan, P. C. ""Diethylcarbamazine treatment of bancroftian and malayan filariasis with emphasis on side effects."" Annals of Tropical Medicine &amp; Parasitology 86.4 (1992): 399-405.")</f>
        <v>Fan, P. C. "Diethylcarbamazine treatment of bancroftian and malayan filariasis with emphasis on side effects." Annals of Tropical Medicine &amp; Parasitology 86.4 (1992): 399-405.</v>
      </c>
      <c r="Y192" s="726" t="str">
        <f>IFERROR(__xludf.DUMMYFUNCTION("""COMPUTED_VALUE"""),"http://dx.doi.org/10.1080/00034983.1992.11812693")</f>
        <v>http://dx.doi.org/10.1080/00034983.1992.11812693</v>
      </c>
      <c r="Z192" s="727" t="str">
        <f>IFERROR(__xludf.DUMMYFUNCTION("""COMPUTED_VALUE"""),"https://drive.google.com/file/d/0B0qKRmtVkPtWQnp0NEcxbWdfQ3c/view?usp=sharing")</f>
        <v>https://drive.google.com/file/d/0B0qKRmtVkPtWQnp0NEcxbWdfQ3c/view?usp=sharing</v>
      </c>
      <c r="AA192" s="40"/>
      <c r="AB192" s="40"/>
    </row>
    <row r="193">
      <c r="A193" s="717" t="str">
        <f>IFERROR(__xludf.DUMMYFUNCTION("""COMPUTED_VALUE"""),"Sabry 1991")</f>
        <v>Sabry 1991</v>
      </c>
      <c r="B193" s="40" t="str">
        <f>IFERROR(__xludf.DUMMYFUNCTION("""COMPUTED_VALUE"""),"Mike")</f>
        <v>Mike</v>
      </c>
      <c r="C193" s="718" t="str">
        <f>IFERROR(__xludf.DUMMYFUNCTION("""COMPUTED_VALUE"""),"Alex ")</f>
        <v>Alex </v>
      </c>
      <c r="D193" s="718" t="str">
        <f>IFERROR(__xludf.DUMMYFUNCTION("""COMPUTED_VALUE"""),"Egypt")</f>
        <v>Egypt</v>
      </c>
      <c r="E193" s="731" t="str">
        <f>IFERROR(__xludf.DUMMYFUNCTION("""COMPUTED_VALUE"""),"w. bancrofti")</f>
        <v>w. bancrofti</v>
      </c>
      <c r="F193" s="718" t="str">
        <f>IFERROR(__xludf.DUMMYFUNCTION("""COMPUTED_VALUE"""),"Ivermectin + Placebo")</f>
        <v>Ivermectin + Placebo</v>
      </c>
      <c r="G193" s="40" t="str">
        <f>IFERROR(__xludf.DUMMYFUNCTION("""COMPUTED_VALUE"""),".100mg/kg")</f>
        <v>.100mg/kg</v>
      </c>
      <c r="H193" s="40" t="str">
        <f>IFERROR(__xludf.DUMMYFUNCTION("""COMPUTED_VALUE"""),"1 dose")</f>
        <v>1 dose</v>
      </c>
      <c r="I193" s="741">
        <f>IFERROR(__xludf.DUMMYFUNCTION("""COMPUTED_VALUE"""),0.9851)</f>
        <v>0.9851</v>
      </c>
      <c r="J193" s="720" t="str">
        <f>IFERROR(__xludf.DUMMYFUNCTION("""COMPUTED_VALUE"""),"not available")</f>
        <v>not available</v>
      </c>
      <c r="K193" s="40" t="str">
        <f>IFERROR(__xludf.DUMMYFUNCTION("""COMPUTED_VALUE"""),"not available")</f>
        <v>not available</v>
      </c>
      <c r="L193" s="718">
        <f>IFERROR(__xludf.DUMMYFUNCTION("""COMPUTED_VALUE"""),41.0)</f>
        <v>41</v>
      </c>
      <c r="M193" s="721" t="str">
        <f>IFERROR(__xludf.DUMMYFUNCTION("""COMPUTED_VALUE"""),"15-55")</f>
        <v>15-55</v>
      </c>
      <c r="N193" s="806" t="str">
        <f>IFERROR(__xludf.DUMMYFUNCTION("""COMPUTED_VALUE"""),"0 : 41")</f>
        <v>0 : 41</v>
      </c>
      <c r="O193" s="718" t="str">
        <f>IFERROR(__xludf.DUMMYFUNCTION("""COMPUTED_VALUE"""),"&gt;= 100mf/ml of venous blood")</f>
        <v>&gt;= 100mf/ml of venous blood</v>
      </c>
      <c r="P193" s="762" t="str">
        <f>IFERROR(__xludf.DUMMYFUNCTION("""COMPUTED_VALUE"""),"randomized, double-blind")</f>
        <v>randomized, double-blind</v>
      </c>
      <c r="Q193" s="40" t="str">
        <f>IFERROR(__xludf.DUMMYFUNCTION("""COMPUTED_VALUE"""),"yes")</f>
        <v>yes</v>
      </c>
      <c r="R193" s="40" t="str">
        <f>IFERROR(__xludf.DUMMYFUNCTION("""COMPUTED_VALUE"""),"yes")</f>
        <v>yes</v>
      </c>
      <c r="S193" s="718" t="str">
        <f>IFERROR(__xludf.DUMMYFUNCTION("""COMPUTED_VALUE"""),"1 day")</f>
        <v>1 day</v>
      </c>
      <c r="T193" s="40" t="str">
        <f>IFERROR(__xludf.DUMMYFUNCTION("""COMPUTED_VALUE"""),"Ivermectin appears to be the only antifilarial drug to consider for widespread general use")</f>
        <v>Ivermectin appears to be the only antifilarial drug to consider for widespread general use</v>
      </c>
      <c r="U193" s="40"/>
      <c r="V193" s="724">
        <f>IFERROR(__xludf.DUMMYFUNCTION("""COMPUTED_VALUE"""),1991.0)</f>
        <v>1991</v>
      </c>
      <c r="W193" s="718">
        <f>IFERROR(__xludf.DUMMYFUNCTION("""COMPUTED_VALUE"""),1991.0)</f>
        <v>1991</v>
      </c>
      <c r="X193" s="718" t="str">
        <f>IFERROR(__xludf.DUMMYFUNCTION("""COMPUTED_VALUE"""),"Sabry, M., et al. ""A placebo-controlled double-blind trial for the treatment of bancroftian filariasis with ivermectin or diethylcarbamazine."" Transactions of the Royal Society of Tropical Medicine and Hygiene 85.5 (1991): 640-643.")</f>
        <v>Sabry, M., et al. "A placebo-controlled double-blind trial for the treatment of bancroftian filariasis with ivermectin or diethylcarbamazine." Transactions of the Royal Society of Tropical Medicine and Hygiene 85.5 (1991): 640-643.</v>
      </c>
      <c r="Y193" s="726" t="str">
        <f>IFERROR(__xludf.DUMMYFUNCTION("""COMPUTED_VALUE"""),"http://dx.doi.org/10.1016/0035-9203(91)90375-9")</f>
        <v>http://dx.doi.org/10.1016/0035-9203(91)90375-9</v>
      </c>
      <c r="Z193" s="727" t="str">
        <f>IFERROR(__xludf.DUMMYFUNCTION("""COMPUTED_VALUE"""),"https://drive.google.com/file/d/0B0qKRmtVkPtWYzdXTi1SY0EtZHM/view?usp=sharing")</f>
        <v>https://drive.google.com/file/d/0B0qKRmtVkPtWYzdXTi1SY0EtZHM/view?usp=sharing</v>
      </c>
      <c r="AA193" s="40"/>
      <c r="AB193" s="40"/>
    </row>
    <row r="194">
      <c r="A194" s="717" t="str">
        <f>IFERROR(__xludf.DUMMYFUNCTION("""COMPUTED_VALUE"""),"Sabry 1991")</f>
        <v>Sabry 1991</v>
      </c>
      <c r="B194" s="40" t="str">
        <f>IFERROR(__xludf.DUMMYFUNCTION("""COMPUTED_VALUE"""),"Mike")</f>
        <v>Mike</v>
      </c>
      <c r="C194" s="718" t="str">
        <f>IFERROR(__xludf.DUMMYFUNCTION("""COMPUTED_VALUE"""),"Alex ")</f>
        <v>Alex </v>
      </c>
      <c r="D194" s="718" t="str">
        <f>IFERROR(__xludf.DUMMYFUNCTION("""COMPUTED_VALUE"""),"Egypt")</f>
        <v>Egypt</v>
      </c>
      <c r="E194" s="747" t="str">
        <f>IFERROR(__xludf.DUMMYFUNCTION("""COMPUTED_VALUE"""),"w. bancrofti")</f>
        <v>w. bancrofti</v>
      </c>
      <c r="F194" s="718" t="str">
        <f>IFERROR(__xludf.DUMMYFUNCTION("""COMPUTED_VALUE"""),"Ivermectin + Placebo")</f>
        <v>Ivermectin + Placebo</v>
      </c>
      <c r="G194" s="718" t="str">
        <f>IFERROR(__xludf.DUMMYFUNCTION("""COMPUTED_VALUE"""),".100mg/kg")</f>
        <v>.100mg/kg</v>
      </c>
      <c r="H194" s="40" t="str">
        <f>IFERROR(__xludf.DUMMYFUNCTION("""COMPUTED_VALUE"""),"1 dose followed by 1 placebo doses")</f>
        <v>1 dose followed by 1 placebo doses</v>
      </c>
      <c r="I194" s="720">
        <f>IFERROR(__xludf.DUMMYFUNCTION("""COMPUTED_VALUE"""),99.84)</f>
        <v>99.84</v>
      </c>
      <c r="J194" s="720" t="str">
        <f>IFERROR(__xludf.DUMMYFUNCTION("""COMPUTED_VALUE"""),"not available")</f>
        <v>not available</v>
      </c>
      <c r="K194" s="40" t="str">
        <f>IFERROR(__xludf.DUMMYFUNCTION("""COMPUTED_VALUE"""),"not available")</f>
        <v>not available</v>
      </c>
      <c r="L194" s="40">
        <f>IFERROR(__xludf.DUMMYFUNCTION("""COMPUTED_VALUE"""),41.0)</f>
        <v>41</v>
      </c>
      <c r="M194" s="214" t="str">
        <f>IFERROR(__xludf.DUMMYFUNCTION("""COMPUTED_VALUE"""),"15-55")</f>
        <v>15-55</v>
      </c>
      <c r="N194" s="806" t="str">
        <f>IFERROR(__xludf.DUMMYFUNCTION("""COMPUTED_VALUE"""),"0 : 41")</f>
        <v>0 : 41</v>
      </c>
      <c r="O194" s="718" t="str">
        <f>IFERROR(__xludf.DUMMYFUNCTION("""COMPUTED_VALUE"""),"&gt;= 100mf/ml of venous blood")</f>
        <v>&gt;= 100mf/ml of venous blood</v>
      </c>
      <c r="P194" s="762" t="str">
        <f>IFERROR(__xludf.DUMMYFUNCTION("""COMPUTED_VALUE"""),"randomized, double-blind")</f>
        <v>randomized, double-blind</v>
      </c>
      <c r="Q194" s="40" t="str">
        <f>IFERROR(__xludf.DUMMYFUNCTION("""COMPUTED_VALUE"""),"yes")</f>
        <v>yes</v>
      </c>
      <c r="R194" s="40" t="str">
        <f>IFERROR(__xludf.DUMMYFUNCTION("""COMPUTED_VALUE"""),"yes")</f>
        <v>yes</v>
      </c>
      <c r="S194" s="718" t="str">
        <f>IFERROR(__xludf.DUMMYFUNCTION("""COMPUTED_VALUE"""),"2 days")</f>
        <v>2 days</v>
      </c>
      <c r="T194" s="40" t="str">
        <f>IFERROR(__xludf.DUMMYFUNCTION("""COMPUTED_VALUE"""),"Ivermectin appears to be the only antifilarial drug to consider for widespread general use")</f>
        <v>Ivermectin appears to be the only antifilarial drug to consider for widespread general use</v>
      </c>
      <c r="U194" s="40"/>
      <c r="V194" s="724">
        <f>IFERROR(__xludf.DUMMYFUNCTION("""COMPUTED_VALUE"""),1991.0)</f>
        <v>1991</v>
      </c>
      <c r="W194" s="718">
        <f>IFERROR(__xludf.DUMMYFUNCTION("""COMPUTED_VALUE"""),1991.0)</f>
        <v>1991</v>
      </c>
      <c r="X194" s="40" t="str">
        <f>IFERROR(__xludf.DUMMYFUNCTION("""COMPUTED_VALUE"""),"Sabry, M., et al. ""A placebo-controlled double-blind trial for the treatment of bancroftian filariasis with ivermectin or diethylcarbamazine."" Transactions of the Royal Society of Tropical Medicine and Hygiene 85.5 (1991): 640-643.")</f>
        <v>Sabry, M., et al. "A placebo-controlled double-blind trial for the treatment of bancroftian filariasis with ivermectin or diethylcarbamazine." Transactions of the Royal Society of Tropical Medicine and Hygiene 85.5 (1991): 640-643.</v>
      </c>
      <c r="Y194" s="726" t="str">
        <f>IFERROR(__xludf.DUMMYFUNCTION("""COMPUTED_VALUE"""),"http://dx.doi.org/10.1016/0035-9203(91)90375-10")</f>
        <v>http://dx.doi.org/10.1016/0035-9203(91)90375-10</v>
      </c>
      <c r="Z194" s="727" t="str">
        <f>IFERROR(__xludf.DUMMYFUNCTION("""COMPUTED_VALUE"""),"https://drive.google.com/file/d/0B0qKRmtVkPtWYzdXTi1SY0EtZHM/view?usp=sharing")</f>
        <v>https://drive.google.com/file/d/0B0qKRmtVkPtWYzdXTi1SY0EtZHM/view?usp=sharing</v>
      </c>
      <c r="AA194" s="40"/>
      <c r="AB194" s="40"/>
    </row>
    <row r="195">
      <c r="A195" s="717" t="str">
        <f>IFERROR(__xludf.DUMMYFUNCTION("""COMPUTED_VALUE"""),"Sabry 1991")</f>
        <v>Sabry 1991</v>
      </c>
      <c r="B195" s="40" t="str">
        <f>IFERROR(__xludf.DUMMYFUNCTION("""COMPUTED_VALUE"""),"Mike")</f>
        <v>Mike</v>
      </c>
      <c r="C195" s="718" t="str">
        <f>IFERROR(__xludf.DUMMYFUNCTION("""COMPUTED_VALUE"""),"Alex ")</f>
        <v>Alex </v>
      </c>
      <c r="D195" s="718" t="str">
        <f>IFERROR(__xludf.DUMMYFUNCTION("""COMPUTED_VALUE"""),"Egypt")</f>
        <v>Egypt</v>
      </c>
      <c r="E195" s="747" t="str">
        <f>IFERROR(__xludf.DUMMYFUNCTION("""COMPUTED_VALUE"""),"w. bancrofti")</f>
        <v>w. bancrofti</v>
      </c>
      <c r="F195" s="718" t="str">
        <f>IFERROR(__xludf.DUMMYFUNCTION("""COMPUTED_VALUE"""),"Ivermectin + Placebo")</f>
        <v>Ivermectin + Placebo</v>
      </c>
      <c r="G195" s="718" t="str">
        <f>IFERROR(__xludf.DUMMYFUNCTION("""COMPUTED_VALUE"""),".100mg/kg")</f>
        <v>.100mg/kg</v>
      </c>
      <c r="H195" s="40" t="str">
        <f>IFERROR(__xludf.DUMMYFUNCTION("""COMPUTED_VALUE"""),"1 dose followed by 7 placebo doses")</f>
        <v>1 dose followed by 7 placebo doses</v>
      </c>
      <c r="I195" s="720">
        <f>IFERROR(__xludf.DUMMYFUNCTION("""COMPUTED_VALUE"""),0.999)</f>
        <v>0.999</v>
      </c>
      <c r="J195" s="720" t="str">
        <f>IFERROR(__xludf.DUMMYFUNCTION("""COMPUTED_VALUE"""),"not available")</f>
        <v>not available</v>
      </c>
      <c r="K195" s="40" t="str">
        <f>IFERROR(__xludf.DUMMYFUNCTION("""COMPUTED_VALUE"""),"not available")</f>
        <v>not available</v>
      </c>
      <c r="L195" s="40">
        <f>IFERROR(__xludf.DUMMYFUNCTION("""COMPUTED_VALUE"""),41.0)</f>
        <v>41</v>
      </c>
      <c r="M195" s="214" t="str">
        <f>IFERROR(__xludf.DUMMYFUNCTION("""COMPUTED_VALUE"""),"15-55")</f>
        <v>15-55</v>
      </c>
      <c r="N195" s="806" t="str">
        <f>IFERROR(__xludf.DUMMYFUNCTION("""COMPUTED_VALUE"""),"0 : 41")</f>
        <v>0 : 41</v>
      </c>
      <c r="O195" s="718" t="str">
        <f>IFERROR(__xludf.DUMMYFUNCTION("""COMPUTED_VALUE"""),"&gt;= 100mf/ml of venous blood")</f>
        <v>&gt;= 100mf/ml of venous blood</v>
      </c>
      <c r="P195" s="762" t="str">
        <f>IFERROR(__xludf.DUMMYFUNCTION("""COMPUTED_VALUE"""),"randomized, double-blind")</f>
        <v>randomized, double-blind</v>
      </c>
      <c r="Q195" s="40" t="str">
        <f>IFERROR(__xludf.DUMMYFUNCTION("""COMPUTED_VALUE"""),"yes")</f>
        <v>yes</v>
      </c>
      <c r="R195" s="40" t="str">
        <f>IFERROR(__xludf.DUMMYFUNCTION("""COMPUTED_VALUE"""),"yes")</f>
        <v>yes</v>
      </c>
      <c r="S195" s="718" t="str">
        <f>IFERROR(__xludf.DUMMYFUNCTION("""COMPUTED_VALUE"""),"8 days")</f>
        <v>8 days</v>
      </c>
      <c r="T195" s="40" t="str">
        <f>IFERROR(__xludf.DUMMYFUNCTION("""COMPUTED_VALUE"""),"Ivermectin appears to be the only antifilarial drug to consider for widespread general use")</f>
        <v>Ivermectin appears to be the only antifilarial drug to consider for widespread general use</v>
      </c>
      <c r="U195" s="40"/>
      <c r="V195" s="724">
        <f>IFERROR(__xludf.DUMMYFUNCTION("""COMPUTED_VALUE"""),1991.0)</f>
        <v>1991</v>
      </c>
      <c r="W195" s="718">
        <f>IFERROR(__xludf.DUMMYFUNCTION("""COMPUTED_VALUE"""),1991.0)</f>
        <v>1991</v>
      </c>
      <c r="X195" s="40" t="str">
        <f>IFERROR(__xludf.DUMMYFUNCTION("""COMPUTED_VALUE"""),"Sabry, M., et al. ""A placebo-controlled double-blind trial for the treatment of bancroftian filariasis with ivermectin or diethylcarbamazine."" Transactions of the Royal Society of Tropical Medicine and Hygiene 85.5 (1991): 640-643.")</f>
        <v>Sabry, M., et al. "A placebo-controlled double-blind trial for the treatment of bancroftian filariasis with ivermectin or diethylcarbamazine." Transactions of the Royal Society of Tropical Medicine and Hygiene 85.5 (1991): 640-643.</v>
      </c>
      <c r="Y195" s="726" t="str">
        <f>IFERROR(__xludf.DUMMYFUNCTION("""COMPUTED_VALUE"""),"http://dx.doi.org/10.1016/0035-9203(91)90375-11")</f>
        <v>http://dx.doi.org/10.1016/0035-9203(91)90375-11</v>
      </c>
      <c r="Z195" s="727" t="str">
        <f>IFERROR(__xludf.DUMMYFUNCTION("""COMPUTED_VALUE"""),"https://drive.google.com/file/d/0B0qKRmtVkPtWYzdXTi1SY0EtZHM/view?usp=sharing")</f>
        <v>https://drive.google.com/file/d/0B0qKRmtVkPtWYzdXTi1SY0EtZHM/view?usp=sharing</v>
      </c>
      <c r="AA195" s="40"/>
      <c r="AB195" s="40"/>
    </row>
    <row r="196">
      <c r="A196" s="717" t="str">
        <f>IFERROR(__xludf.DUMMYFUNCTION("""COMPUTED_VALUE"""),"Sabry 1991")</f>
        <v>Sabry 1991</v>
      </c>
      <c r="B196" s="40" t="str">
        <f>IFERROR(__xludf.DUMMYFUNCTION("""COMPUTED_VALUE"""),"Mike")</f>
        <v>Mike</v>
      </c>
      <c r="C196" s="718" t="str">
        <f>IFERROR(__xludf.DUMMYFUNCTION("""COMPUTED_VALUE"""),"Alex ")</f>
        <v>Alex </v>
      </c>
      <c r="D196" s="718" t="str">
        <f>IFERROR(__xludf.DUMMYFUNCTION("""COMPUTED_VALUE"""),"Egypt")</f>
        <v>Egypt</v>
      </c>
      <c r="E196" s="747" t="str">
        <f>IFERROR(__xludf.DUMMYFUNCTION("""COMPUTED_VALUE"""),"w. bancrofti")</f>
        <v>w. bancrofti</v>
      </c>
      <c r="F196" s="718" t="str">
        <f>IFERROR(__xludf.DUMMYFUNCTION("""COMPUTED_VALUE"""),"Ivermectin + Placebo")</f>
        <v>Ivermectin + Placebo</v>
      </c>
      <c r="G196" s="718" t="str">
        <f>IFERROR(__xludf.DUMMYFUNCTION("""COMPUTED_VALUE"""),".100mg/kg")</f>
        <v>.100mg/kg</v>
      </c>
      <c r="H196" s="40" t="str">
        <f>IFERROR(__xludf.DUMMYFUNCTION("""COMPUTED_VALUE"""),"1 dose followed by 12 placebo doses")</f>
        <v>1 dose followed by 12 placebo doses</v>
      </c>
      <c r="I196" s="720">
        <f>IFERROR(__xludf.DUMMYFUNCTION("""COMPUTED_VALUE"""),0.9994)</f>
        <v>0.9994</v>
      </c>
      <c r="J196" s="720" t="str">
        <f>IFERROR(__xludf.DUMMYFUNCTION("""COMPUTED_VALUE"""),"not available")</f>
        <v>not available</v>
      </c>
      <c r="K196" s="40" t="str">
        <f>IFERROR(__xludf.DUMMYFUNCTION("""COMPUTED_VALUE"""),"not available")</f>
        <v>not available</v>
      </c>
      <c r="L196" s="718">
        <f>IFERROR(__xludf.DUMMYFUNCTION("""COMPUTED_VALUE"""),41.0)</f>
        <v>41</v>
      </c>
      <c r="M196" s="214" t="str">
        <f>IFERROR(__xludf.DUMMYFUNCTION("""COMPUTED_VALUE"""),"15-55")</f>
        <v>15-55</v>
      </c>
      <c r="N196" s="806" t="str">
        <f>IFERROR(__xludf.DUMMYFUNCTION("""COMPUTED_VALUE"""),"0 : 41")</f>
        <v>0 : 41</v>
      </c>
      <c r="O196" s="718" t="str">
        <f>IFERROR(__xludf.DUMMYFUNCTION("""COMPUTED_VALUE"""),"&gt;= 100mf/ml of venous blood")</f>
        <v>&gt;= 100mf/ml of venous blood</v>
      </c>
      <c r="P196" s="762" t="str">
        <f>IFERROR(__xludf.DUMMYFUNCTION("""COMPUTED_VALUE"""),"randomized, double-blind")</f>
        <v>randomized, double-blind</v>
      </c>
      <c r="Q196" s="40" t="str">
        <f>IFERROR(__xludf.DUMMYFUNCTION("""COMPUTED_VALUE"""),"yes")</f>
        <v>yes</v>
      </c>
      <c r="R196" s="40" t="str">
        <f>IFERROR(__xludf.DUMMYFUNCTION("""COMPUTED_VALUE"""),"yes")</f>
        <v>yes</v>
      </c>
      <c r="S196" s="40" t="str">
        <f>IFERROR(__xludf.DUMMYFUNCTION("""COMPUTED_VALUE"""),"14 days")</f>
        <v>14 days</v>
      </c>
      <c r="T196" s="40" t="str">
        <f>IFERROR(__xludf.DUMMYFUNCTION("""COMPUTED_VALUE"""),"Ivermectin appears to be the only antifilarial drug to consider for widespread general use")</f>
        <v>Ivermectin appears to be the only antifilarial drug to consider for widespread general use</v>
      </c>
      <c r="U196" s="718"/>
      <c r="V196" s="724">
        <f>IFERROR(__xludf.DUMMYFUNCTION("""COMPUTED_VALUE"""),1991.0)</f>
        <v>1991</v>
      </c>
      <c r="W196" s="718">
        <f>IFERROR(__xludf.DUMMYFUNCTION("""COMPUTED_VALUE"""),1991.0)</f>
        <v>1991</v>
      </c>
      <c r="X196" s="40" t="str">
        <f>IFERROR(__xludf.DUMMYFUNCTION("""COMPUTED_VALUE"""),"Sabry, M., et al. ""A placebo-controlled double-blind trial for the treatment of bancroftian filariasis with ivermectin or diethylcarbamazine."" Transactions of the Royal Society of Tropical Medicine and Hygiene 85.5 (1991): 640-643.")</f>
        <v>Sabry, M., et al. "A placebo-controlled double-blind trial for the treatment of bancroftian filariasis with ivermectin or diethylcarbamazine." Transactions of the Royal Society of Tropical Medicine and Hygiene 85.5 (1991): 640-643.</v>
      </c>
      <c r="Y196" s="726" t="str">
        <f>IFERROR(__xludf.DUMMYFUNCTION("""COMPUTED_VALUE"""),"http://dx.doi.org/10.1016/0035-9203(91)90375-12")</f>
        <v>http://dx.doi.org/10.1016/0035-9203(91)90375-12</v>
      </c>
      <c r="Z196" s="727" t="str">
        <f>IFERROR(__xludf.DUMMYFUNCTION("""COMPUTED_VALUE"""),"https://drive.google.com/file/d/0B0qKRmtVkPtWYzdXTi1SY0EtZHM/view?usp=sharing")</f>
        <v>https://drive.google.com/file/d/0B0qKRmtVkPtWYzdXTi1SY0EtZHM/view?usp=sharing</v>
      </c>
      <c r="AA196" s="40"/>
      <c r="AB196" s="40"/>
    </row>
    <row r="197">
      <c r="A197" s="717" t="str">
        <f>IFERROR(__xludf.DUMMYFUNCTION("""COMPUTED_VALUE"""),"Sabry 1991")</f>
        <v>Sabry 1991</v>
      </c>
      <c r="B197" s="40" t="str">
        <f>IFERROR(__xludf.DUMMYFUNCTION("""COMPUTED_VALUE"""),"Mike")</f>
        <v>Mike</v>
      </c>
      <c r="C197" s="718" t="str">
        <f>IFERROR(__xludf.DUMMYFUNCTION("""COMPUTED_VALUE"""),"Alex ")</f>
        <v>Alex </v>
      </c>
      <c r="D197" s="718" t="str">
        <f>IFERROR(__xludf.DUMMYFUNCTION("""COMPUTED_VALUE"""),"Egypt")</f>
        <v>Egypt</v>
      </c>
      <c r="E197" s="747" t="str">
        <f>IFERROR(__xludf.DUMMYFUNCTION("""COMPUTED_VALUE"""),"w. bancrofti")</f>
        <v>w. bancrofti</v>
      </c>
      <c r="F197" s="718" t="str">
        <f>IFERROR(__xludf.DUMMYFUNCTION("""COMPUTED_VALUE"""),"Ivermectin + Placebo")</f>
        <v>Ivermectin + Placebo</v>
      </c>
      <c r="G197" s="730" t="str">
        <f>IFERROR(__xludf.DUMMYFUNCTION("""COMPUTED_VALUE"""),".100mg/kg")</f>
        <v>.100mg/kg</v>
      </c>
      <c r="H197" s="40" t="str">
        <f>IFERROR(__xludf.DUMMYFUNCTION("""COMPUTED_VALUE"""),"1 dose followed by 12 placebo doses")</f>
        <v>1 dose followed by 12 placebo doses</v>
      </c>
      <c r="I197" s="720">
        <f>IFERROR(__xludf.DUMMYFUNCTION("""COMPUTED_VALUE"""),0.9828)</f>
        <v>0.9828</v>
      </c>
      <c r="J197" s="720" t="str">
        <f>IFERROR(__xludf.DUMMYFUNCTION("""COMPUTED_VALUE"""),"not available")</f>
        <v>not available</v>
      </c>
      <c r="K197" s="40" t="str">
        <f>IFERROR(__xludf.DUMMYFUNCTION("""COMPUTED_VALUE"""),"not available")</f>
        <v>not available</v>
      </c>
      <c r="L197" s="718">
        <f>IFERROR(__xludf.DUMMYFUNCTION("""COMPUTED_VALUE"""),41.0)</f>
        <v>41</v>
      </c>
      <c r="M197" s="214" t="str">
        <f>IFERROR(__xludf.DUMMYFUNCTION("""COMPUTED_VALUE"""),"15-55")</f>
        <v>15-55</v>
      </c>
      <c r="N197" s="806" t="str">
        <f>IFERROR(__xludf.DUMMYFUNCTION("""COMPUTED_VALUE"""),"0 : 41")</f>
        <v>0 : 41</v>
      </c>
      <c r="O197" s="718" t="str">
        <f>IFERROR(__xludf.DUMMYFUNCTION("""COMPUTED_VALUE"""),"&gt;= 100mf/ml of venous blood")</f>
        <v>&gt;= 100mf/ml of venous blood</v>
      </c>
      <c r="P197" s="762" t="str">
        <f>IFERROR(__xludf.DUMMYFUNCTION("""COMPUTED_VALUE"""),"randomized, double-blind")</f>
        <v>randomized, double-blind</v>
      </c>
      <c r="Q197" s="40" t="str">
        <f>IFERROR(__xludf.DUMMYFUNCTION("""COMPUTED_VALUE"""),"yes")</f>
        <v>yes</v>
      </c>
      <c r="R197" s="40" t="str">
        <f>IFERROR(__xludf.DUMMYFUNCTION("""COMPUTED_VALUE"""),"yes")</f>
        <v>yes</v>
      </c>
      <c r="S197" s="40" t="str">
        <f>IFERROR(__xludf.DUMMYFUNCTION("""COMPUTED_VALUE"""),"1 month")</f>
        <v>1 month</v>
      </c>
      <c r="T197" s="40" t="str">
        <f>IFERROR(__xludf.DUMMYFUNCTION("""COMPUTED_VALUE"""),"Ivermectin appears to be the only antifilarial drug to consider for widespread general use")</f>
        <v>Ivermectin appears to be the only antifilarial drug to consider for widespread general use</v>
      </c>
      <c r="U197" s="718"/>
      <c r="V197" s="724">
        <f>IFERROR(__xludf.DUMMYFUNCTION("""COMPUTED_VALUE"""),1991.0)</f>
        <v>1991</v>
      </c>
      <c r="W197" s="718">
        <f>IFERROR(__xludf.DUMMYFUNCTION("""COMPUTED_VALUE"""),1991.0)</f>
        <v>1991</v>
      </c>
      <c r="X197" s="40" t="str">
        <f>IFERROR(__xludf.DUMMYFUNCTION("""COMPUTED_VALUE"""),"Sabry, M., et al. ""A placebo-controlled double-blind trial for the treatment of bancroftian filariasis with ivermectin or diethylcarbamazine."" Transactions of the Royal Society of Tropical Medicine and Hygiene 85.5 (1991): 640-643.")</f>
        <v>Sabry, M., et al. "A placebo-controlled double-blind trial for the treatment of bancroftian filariasis with ivermectin or diethylcarbamazine." Transactions of the Royal Society of Tropical Medicine and Hygiene 85.5 (1991): 640-643.</v>
      </c>
      <c r="Y197" s="726" t="str">
        <f>IFERROR(__xludf.DUMMYFUNCTION("""COMPUTED_VALUE"""),"http://dx.doi.org/10.1016/0035-9203(91)90375-13")</f>
        <v>http://dx.doi.org/10.1016/0035-9203(91)90375-13</v>
      </c>
      <c r="Z197" s="727" t="str">
        <f>IFERROR(__xludf.DUMMYFUNCTION("""COMPUTED_VALUE"""),"https://drive.google.com/file/d/0B0qKRmtVkPtWYzdXTi1SY0EtZHM/view?usp=sharing")</f>
        <v>https://drive.google.com/file/d/0B0qKRmtVkPtWYzdXTi1SY0EtZHM/view?usp=sharing</v>
      </c>
      <c r="AA197" s="40"/>
      <c r="AB197" s="40"/>
    </row>
    <row r="198">
      <c r="A198" s="717" t="str">
        <f>IFERROR(__xludf.DUMMYFUNCTION("""COMPUTED_VALUE"""),"Sabry 1991")</f>
        <v>Sabry 1991</v>
      </c>
      <c r="B198" s="40" t="str">
        <f>IFERROR(__xludf.DUMMYFUNCTION("""COMPUTED_VALUE"""),"Mike")</f>
        <v>Mike</v>
      </c>
      <c r="C198" s="718" t="str">
        <f>IFERROR(__xludf.DUMMYFUNCTION("""COMPUTED_VALUE"""),"Alex ")</f>
        <v>Alex </v>
      </c>
      <c r="D198" s="718" t="str">
        <f>IFERROR(__xludf.DUMMYFUNCTION("""COMPUTED_VALUE"""),"Egypt")</f>
        <v>Egypt</v>
      </c>
      <c r="E198" s="747" t="str">
        <f>IFERROR(__xludf.DUMMYFUNCTION("""COMPUTED_VALUE"""),"w. bancrofti")</f>
        <v>w. bancrofti</v>
      </c>
      <c r="F198" s="718" t="str">
        <f>IFERROR(__xludf.DUMMYFUNCTION("""COMPUTED_VALUE"""),"Ivermectin + Placebo")</f>
        <v>Ivermectin + Placebo</v>
      </c>
      <c r="G198" s="718" t="str">
        <f>IFERROR(__xludf.DUMMYFUNCTION("""COMPUTED_VALUE"""),".100mg/kg")</f>
        <v>.100mg/kg</v>
      </c>
      <c r="H198" s="40" t="str">
        <f>IFERROR(__xludf.DUMMYFUNCTION("""COMPUTED_VALUE"""),"1 dose followed by 12 placebo doses")</f>
        <v>1 dose followed by 12 placebo doses</v>
      </c>
      <c r="I198" s="720">
        <f>IFERROR(__xludf.DUMMYFUNCTION("""COMPUTED_VALUE"""),91.85)</f>
        <v>91.85</v>
      </c>
      <c r="J198" s="741" t="str">
        <f>IFERROR(__xludf.DUMMYFUNCTION("""COMPUTED_VALUE"""),"not available")</f>
        <v>not available</v>
      </c>
      <c r="K198" s="40" t="str">
        <f>IFERROR(__xludf.DUMMYFUNCTION("""COMPUTED_VALUE"""),"not available")</f>
        <v>not available</v>
      </c>
      <c r="L198" s="718">
        <f>IFERROR(__xludf.DUMMYFUNCTION("""COMPUTED_VALUE"""),41.0)</f>
        <v>41</v>
      </c>
      <c r="M198" s="214" t="str">
        <f>IFERROR(__xludf.DUMMYFUNCTION("""COMPUTED_VALUE"""),"15-55")</f>
        <v>15-55</v>
      </c>
      <c r="N198" s="806" t="str">
        <f>IFERROR(__xludf.DUMMYFUNCTION("""COMPUTED_VALUE"""),"0 : 41")</f>
        <v>0 : 41</v>
      </c>
      <c r="O198" s="718" t="str">
        <f>IFERROR(__xludf.DUMMYFUNCTION("""COMPUTED_VALUE"""),"&gt;= 100mf/ml of venous blood")</f>
        <v>&gt;= 100mf/ml of venous blood</v>
      </c>
      <c r="P198" s="762" t="str">
        <f>IFERROR(__xludf.DUMMYFUNCTION("""COMPUTED_VALUE"""),"randomized, double-blind")</f>
        <v>randomized, double-blind</v>
      </c>
      <c r="Q198" s="40" t="str">
        <f>IFERROR(__xludf.DUMMYFUNCTION("""COMPUTED_VALUE"""),"yes")</f>
        <v>yes</v>
      </c>
      <c r="R198" s="40" t="str">
        <f>IFERROR(__xludf.DUMMYFUNCTION("""COMPUTED_VALUE"""),"yes")</f>
        <v>yes</v>
      </c>
      <c r="S198" s="718" t="str">
        <f>IFERROR(__xludf.DUMMYFUNCTION("""COMPUTED_VALUE"""),"3 months")</f>
        <v>3 months</v>
      </c>
      <c r="T198" s="40" t="str">
        <f>IFERROR(__xludf.DUMMYFUNCTION("""COMPUTED_VALUE"""),"Ivermectin appears to be the only antifilarial drug to consider for widespread general use")</f>
        <v>Ivermectin appears to be the only antifilarial drug to consider for widespread general use</v>
      </c>
      <c r="U198" s="718"/>
      <c r="V198" s="724">
        <f>IFERROR(__xludf.DUMMYFUNCTION("""COMPUTED_VALUE"""),1991.0)</f>
        <v>1991</v>
      </c>
      <c r="W198" s="718">
        <f>IFERROR(__xludf.DUMMYFUNCTION("""COMPUTED_VALUE"""),1991.0)</f>
        <v>1991</v>
      </c>
      <c r="X198" s="40" t="str">
        <f>IFERROR(__xludf.DUMMYFUNCTION("""COMPUTED_VALUE"""),"Sabry, M., et al. ""A placebo-controlled double-blind trial for the treatment of bancroftian filariasis with ivermectin or diethylcarbamazine."" Transactions of the Royal Society of Tropical Medicine and Hygiene 85.5 (1991): 640-643.")</f>
        <v>Sabry, M., et al. "A placebo-controlled double-blind trial for the treatment of bancroftian filariasis with ivermectin or diethylcarbamazine." Transactions of the Royal Society of Tropical Medicine and Hygiene 85.5 (1991): 640-643.</v>
      </c>
      <c r="Y198" s="726" t="str">
        <f>IFERROR(__xludf.DUMMYFUNCTION("""COMPUTED_VALUE"""),"http://dx.doi.org/10.1016/0035-9203(91)90375-14")</f>
        <v>http://dx.doi.org/10.1016/0035-9203(91)90375-14</v>
      </c>
      <c r="Z198" s="727" t="str">
        <f>IFERROR(__xludf.DUMMYFUNCTION("""COMPUTED_VALUE"""),"https://drive.google.com/file/d/0B0qKRmtVkPtWYzdXTi1SY0EtZHM/view?usp=sharing")</f>
        <v>https://drive.google.com/file/d/0B0qKRmtVkPtWYzdXTi1SY0EtZHM/view?usp=sharing</v>
      </c>
      <c r="AA198" s="40"/>
      <c r="AB198" s="40"/>
    </row>
    <row r="199">
      <c r="A199" s="728" t="str">
        <f>IFERROR(__xludf.DUMMYFUNCTION("""COMPUTED_VALUE"""),"Sabry 1991")</f>
        <v>Sabry 1991</v>
      </c>
      <c r="B199" s="729" t="str">
        <f>IFERROR(__xludf.DUMMYFUNCTION("""COMPUTED_VALUE"""),"Mike")</f>
        <v>Mike</v>
      </c>
      <c r="C199" s="718" t="str">
        <f>IFERROR(__xludf.DUMMYFUNCTION("""COMPUTED_VALUE"""),"Alex ")</f>
        <v>Alex </v>
      </c>
      <c r="D199" s="730" t="str">
        <f>IFERROR(__xludf.DUMMYFUNCTION("""COMPUTED_VALUE"""),"Egypt")</f>
        <v>Egypt</v>
      </c>
      <c r="E199" s="731" t="str">
        <f>IFERROR(__xludf.DUMMYFUNCTION("""COMPUTED_VALUE"""),"w. bancrofti")</f>
        <v>w. bancrofti</v>
      </c>
      <c r="F199" s="755" t="str">
        <f>IFERROR(__xludf.DUMMYFUNCTION("""COMPUTED_VALUE"""),"DEC")</f>
        <v>DEC</v>
      </c>
      <c r="G199" s="730" t="str">
        <f>IFERROR(__xludf.DUMMYFUNCTION("""COMPUTED_VALUE"""),"3mg/kg on day 1; 6mg/kg on days 2-13")</f>
        <v>3mg/kg on day 1; 6mg/kg on days 2-13</v>
      </c>
      <c r="H199" s="40">
        <f>IFERROR(__xludf.DUMMYFUNCTION("""COMPUTED_VALUE"""),1.0)</f>
        <v>1</v>
      </c>
      <c r="I199" s="733">
        <f>IFERROR(__xludf.DUMMYFUNCTION("""COMPUTED_VALUE"""),0.8243)</f>
        <v>0.8243</v>
      </c>
      <c r="J199" s="791" t="str">
        <f>IFERROR(__xludf.DUMMYFUNCTION("""COMPUTED_VALUE"""),"not available")</f>
        <v>not available</v>
      </c>
      <c r="K199" s="40" t="str">
        <f>IFERROR(__xludf.DUMMYFUNCTION("""COMPUTED_VALUE"""),"not available")</f>
        <v>not available</v>
      </c>
      <c r="L199" s="734">
        <f>IFERROR(__xludf.DUMMYFUNCTION("""COMPUTED_VALUE"""),30.0)</f>
        <v>30</v>
      </c>
      <c r="M199" s="754" t="str">
        <f>IFERROR(__xludf.DUMMYFUNCTION("""COMPUTED_VALUE"""),"15-55")</f>
        <v>15-55</v>
      </c>
      <c r="N199" s="735" t="str">
        <f>IFERROR(__xludf.DUMMYFUNCTION("""COMPUTED_VALUE"""),"0 : 30")</f>
        <v>0 : 30</v>
      </c>
      <c r="O199" s="730" t="str">
        <f>IFERROR(__xludf.DUMMYFUNCTION("""COMPUTED_VALUE"""),"&gt;= 100mf/ml of venous blood")</f>
        <v>&gt;= 100mf/ml of venous blood</v>
      </c>
      <c r="P199" s="748" t="str">
        <f>IFERROR(__xludf.DUMMYFUNCTION("""COMPUTED_VALUE"""),"randomized, double-blind")</f>
        <v>randomized, double-blind</v>
      </c>
      <c r="Q199" s="40" t="str">
        <f>IFERROR(__xludf.DUMMYFUNCTION("""COMPUTED_VALUE"""),"yes")</f>
        <v>yes</v>
      </c>
      <c r="R199" s="40" t="str">
        <f>IFERROR(__xludf.DUMMYFUNCTION("""COMPUTED_VALUE"""),"yes")</f>
        <v>yes</v>
      </c>
      <c r="S199" s="730" t="str">
        <f>IFERROR(__xludf.DUMMYFUNCTION("""COMPUTED_VALUE"""),"1 day")</f>
        <v>1 day</v>
      </c>
      <c r="T199" s="730" t="str">
        <f>IFERROR(__xludf.DUMMYFUNCTION("""COMPUTED_VALUE"""),"Ivermectin appears to be the only antifilarial drug to consider for widespread general use")</f>
        <v>Ivermectin appears to be the only antifilarial drug to consider for widespread general use</v>
      </c>
      <c r="U199" s="730"/>
      <c r="V199" s="737">
        <f>IFERROR(__xludf.DUMMYFUNCTION("""COMPUTED_VALUE"""),1991.0)</f>
        <v>1991</v>
      </c>
      <c r="W199" s="730">
        <f>IFERROR(__xludf.DUMMYFUNCTION("""COMPUTED_VALUE"""),1991.0)</f>
        <v>1991</v>
      </c>
      <c r="X199" s="730" t="str">
        <f>IFERROR(__xludf.DUMMYFUNCTION("""COMPUTED_VALUE"""),"Sabry, M., et al. ""A placebo-controlled double-blind trial for the treatment of bancroftian filariasis with ivermectin or diethylcarbamazine."" Transactions of the Royal Society of Tropical Medicine and Hygiene 85.5 (1991): 640-643.")</f>
        <v>Sabry, M., et al. "A placebo-controlled double-blind trial for the treatment of bancroftian filariasis with ivermectin or diethylcarbamazine." Transactions of the Royal Society of Tropical Medicine and Hygiene 85.5 (1991): 640-643.</v>
      </c>
      <c r="Y199" s="738" t="str">
        <f>IFERROR(__xludf.DUMMYFUNCTION("""COMPUTED_VALUE"""),"http://dx.doi.org/10.1016/0035-9203(91)90375-15")</f>
        <v>http://dx.doi.org/10.1016/0035-9203(91)90375-15</v>
      </c>
      <c r="Z199" s="727" t="str">
        <f>IFERROR(__xludf.DUMMYFUNCTION("""COMPUTED_VALUE"""),"https://drive.google.com/file/d/0B0qKRmtVkPtWYzdXTi1SY0EtZHM/view?usp=sharing")</f>
        <v>https://drive.google.com/file/d/0B0qKRmtVkPtWYzdXTi1SY0EtZHM/view?usp=sharing</v>
      </c>
      <c r="AA199" s="40"/>
      <c r="AB199" s="40"/>
    </row>
    <row r="200">
      <c r="A200" s="728" t="str">
        <f>IFERROR(__xludf.DUMMYFUNCTION("""COMPUTED_VALUE"""),"Sabry 1991")</f>
        <v>Sabry 1991</v>
      </c>
      <c r="B200" s="729" t="str">
        <f>IFERROR(__xludf.DUMMYFUNCTION("""COMPUTED_VALUE"""),"Mike")</f>
        <v>Mike</v>
      </c>
      <c r="C200" s="718" t="str">
        <f>IFERROR(__xludf.DUMMYFUNCTION("""COMPUTED_VALUE"""),"Alex ")</f>
        <v>Alex </v>
      </c>
      <c r="D200" s="730" t="str">
        <f>IFERROR(__xludf.DUMMYFUNCTION("""COMPUTED_VALUE"""),"Egypt")</f>
        <v>Egypt</v>
      </c>
      <c r="E200" s="731" t="str">
        <f>IFERROR(__xludf.DUMMYFUNCTION("""COMPUTED_VALUE"""),"w. bancrofti")</f>
        <v>w. bancrofti</v>
      </c>
      <c r="F200" s="755" t="str">
        <f>IFERROR(__xludf.DUMMYFUNCTION("""COMPUTED_VALUE"""),"DEC")</f>
        <v>DEC</v>
      </c>
      <c r="G200" s="730" t="str">
        <f>IFERROR(__xludf.DUMMYFUNCTION("""COMPUTED_VALUE"""),"3mg/kg on day 1; 6mg/kg on days 2-13")</f>
        <v>3mg/kg on day 1; 6mg/kg on days 2-13</v>
      </c>
      <c r="H200" s="40">
        <f>IFERROR(__xludf.DUMMYFUNCTION("""COMPUTED_VALUE"""),2.0)</f>
        <v>2</v>
      </c>
      <c r="I200" s="733">
        <f>IFERROR(__xludf.DUMMYFUNCTION("""COMPUTED_VALUE"""),0.9443)</f>
        <v>0.9443</v>
      </c>
      <c r="J200" s="811" t="str">
        <f>IFERROR(__xludf.DUMMYFUNCTION("""COMPUTED_VALUE"""),"not available")</f>
        <v>not available</v>
      </c>
      <c r="K200" s="40" t="str">
        <f>IFERROR(__xludf.DUMMYFUNCTION("""COMPUTED_VALUE"""),"not available")</f>
        <v>not available</v>
      </c>
      <c r="L200" s="734">
        <f>IFERROR(__xludf.DUMMYFUNCTION("""COMPUTED_VALUE"""),30.0)</f>
        <v>30</v>
      </c>
      <c r="M200" s="754" t="str">
        <f>IFERROR(__xludf.DUMMYFUNCTION("""COMPUTED_VALUE"""),"15-55")</f>
        <v>15-55</v>
      </c>
      <c r="N200" s="735" t="str">
        <f>IFERROR(__xludf.DUMMYFUNCTION("""COMPUTED_VALUE"""),"0 : 30")</f>
        <v>0 : 30</v>
      </c>
      <c r="O200" s="730" t="str">
        <f>IFERROR(__xludf.DUMMYFUNCTION("""COMPUTED_VALUE"""),"&gt;= 100mf/ml of venous blood")</f>
        <v>&gt;= 100mf/ml of venous blood</v>
      </c>
      <c r="P200" s="748" t="str">
        <f>IFERROR(__xludf.DUMMYFUNCTION("""COMPUTED_VALUE"""),"randomized, double-blind")</f>
        <v>randomized, double-blind</v>
      </c>
      <c r="Q200" s="40" t="str">
        <f>IFERROR(__xludf.DUMMYFUNCTION("""COMPUTED_VALUE"""),"yes")</f>
        <v>yes</v>
      </c>
      <c r="R200" s="40" t="str">
        <f>IFERROR(__xludf.DUMMYFUNCTION("""COMPUTED_VALUE"""),"yes")</f>
        <v>yes</v>
      </c>
      <c r="S200" s="730" t="str">
        <f>IFERROR(__xludf.DUMMYFUNCTION("""COMPUTED_VALUE"""),"2 days")</f>
        <v>2 days</v>
      </c>
      <c r="T200" s="730" t="str">
        <f>IFERROR(__xludf.DUMMYFUNCTION("""COMPUTED_VALUE"""),"Ivermectin appears to be the only antifilarial drug to consider for widespread general use")</f>
        <v>Ivermectin appears to be the only antifilarial drug to consider for widespread general use</v>
      </c>
      <c r="U200" s="730"/>
      <c r="V200" s="737">
        <f>IFERROR(__xludf.DUMMYFUNCTION("""COMPUTED_VALUE"""),1991.0)</f>
        <v>1991</v>
      </c>
      <c r="W200" s="730">
        <f>IFERROR(__xludf.DUMMYFUNCTION("""COMPUTED_VALUE"""),1991.0)</f>
        <v>1991</v>
      </c>
      <c r="X200" s="730" t="str">
        <f>IFERROR(__xludf.DUMMYFUNCTION("""COMPUTED_VALUE"""),"Sabry, M., et al. ""A placebo-controlled double-blind trial for the treatment of bancroftian filariasis with ivermectin or diethylcarbamazine."" Transactions of the Royal Society of Tropical Medicine and Hygiene 85.5 (1991): 640-643.")</f>
        <v>Sabry, M., et al. "A placebo-controlled double-blind trial for the treatment of bancroftian filariasis with ivermectin or diethylcarbamazine." Transactions of the Royal Society of Tropical Medicine and Hygiene 85.5 (1991): 640-643.</v>
      </c>
      <c r="Y200" s="738" t="str">
        <f>IFERROR(__xludf.DUMMYFUNCTION("""COMPUTED_VALUE"""),"http://dx.doi.org/10.1016/0035-9203(91)90375-16")</f>
        <v>http://dx.doi.org/10.1016/0035-9203(91)90375-16</v>
      </c>
      <c r="Z200" s="727" t="str">
        <f>IFERROR(__xludf.DUMMYFUNCTION("""COMPUTED_VALUE"""),"https://drive.google.com/file/d/0B0qKRmtVkPtWYzdXTi1SY0EtZHM/view?usp=sharing")</f>
        <v>https://drive.google.com/file/d/0B0qKRmtVkPtWYzdXTi1SY0EtZHM/view?usp=sharing</v>
      </c>
      <c r="AA200" s="40"/>
      <c r="AB200" s="40"/>
    </row>
    <row r="201">
      <c r="A201" s="728" t="str">
        <f>IFERROR(__xludf.DUMMYFUNCTION("""COMPUTED_VALUE"""),"Sabry 1991")</f>
        <v>Sabry 1991</v>
      </c>
      <c r="B201" s="718" t="str">
        <f>IFERROR(__xludf.DUMMYFUNCTION("""COMPUTED_VALUE"""),"Mike")</f>
        <v>Mike</v>
      </c>
      <c r="C201" s="730" t="str">
        <f>IFERROR(__xludf.DUMMYFUNCTION("""COMPUTED_VALUE"""),"Alex ")</f>
        <v>Alex </v>
      </c>
      <c r="D201" s="730" t="str">
        <f>IFERROR(__xludf.DUMMYFUNCTION("""COMPUTED_VALUE"""),"Egypt")</f>
        <v>Egypt</v>
      </c>
      <c r="E201" s="747" t="str">
        <f>IFERROR(__xludf.DUMMYFUNCTION("""COMPUTED_VALUE"""),"w. bancrofti")</f>
        <v>w. bancrofti</v>
      </c>
      <c r="F201" s="732" t="str">
        <f>IFERROR(__xludf.DUMMYFUNCTION("""COMPUTED_VALUE"""),"DEC")</f>
        <v>DEC</v>
      </c>
      <c r="G201" s="730" t="str">
        <f>IFERROR(__xludf.DUMMYFUNCTION("""COMPUTED_VALUE"""),"3mg/kg on day 1; 6mg/kg on days 2-13")</f>
        <v>3mg/kg on day 1; 6mg/kg on days 2-13</v>
      </c>
      <c r="H201" s="730">
        <f>IFERROR(__xludf.DUMMYFUNCTION("""COMPUTED_VALUE"""),8.0)</f>
        <v>8</v>
      </c>
      <c r="I201" s="741">
        <f>IFERROR(__xludf.DUMMYFUNCTION("""COMPUTED_VALUE"""),0.9868)</f>
        <v>0.9868</v>
      </c>
      <c r="J201" s="741" t="str">
        <f>IFERROR(__xludf.DUMMYFUNCTION("""COMPUTED_VALUE"""),"not available")</f>
        <v>not available</v>
      </c>
      <c r="K201" s="40" t="str">
        <f>IFERROR(__xludf.DUMMYFUNCTION("""COMPUTED_VALUE"""),"not available")</f>
        <v>not available</v>
      </c>
      <c r="L201" s="734">
        <f>IFERROR(__xludf.DUMMYFUNCTION("""COMPUTED_VALUE"""),30.0)</f>
        <v>30</v>
      </c>
      <c r="M201" s="754" t="str">
        <f>IFERROR(__xludf.DUMMYFUNCTION("""COMPUTED_VALUE"""),"15-55")</f>
        <v>15-55</v>
      </c>
      <c r="N201" s="735" t="str">
        <f>IFERROR(__xludf.DUMMYFUNCTION("""COMPUTED_VALUE"""),"0 : 30")</f>
        <v>0 : 30</v>
      </c>
      <c r="O201" s="730" t="str">
        <f>IFERROR(__xludf.DUMMYFUNCTION("""COMPUTED_VALUE"""),"&gt;= 100mf/ml of venous blood")</f>
        <v>&gt;= 100mf/ml of venous blood</v>
      </c>
      <c r="P201" s="748" t="str">
        <f>IFERROR(__xludf.DUMMYFUNCTION("""COMPUTED_VALUE"""),"randomized, double-blind")</f>
        <v>randomized, double-blind</v>
      </c>
      <c r="Q201" s="40" t="str">
        <f>IFERROR(__xludf.DUMMYFUNCTION("""COMPUTED_VALUE"""),"yes")</f>
        <v>yes</v>
      </c>
      <c r="R201" s="40" t="str">
        <f>IFERROR(__xludf.DUMMYFUNCTION("""COMPUTED_VALUE"""),"yes")</f>
        <v>yes</v>
      </c>
      <c r="S201" s="730" t="str">
        <f>IFERROR(__xludf.DUMMYFUNCTION("""COMPUTED_VALUE"""),"8 days")</f>
        <v>8 days</v>
      </c>
      <c r="T201" s="746" t="str">
        <f>IFERROR(__xludf.DUMMYFUNCTION("""COMPUTED_VALUE"""),"Ivermectin appears to be the only antifilarial drug to consider for widespread general use")</f>
        <v>Ivermectin appears to be the only antifilarial drug to consider for widespread general use</v>
      </c>
      <c r="U201" s="730"/>
      <c r="V201" s="737">
        <f>IFERROR(__xludf.DUMMYFUNCTION("""COMPUTED_VALUE"""),1991.0)</f>
        <v>1991</v>
      </c>
      <c r="W201" s="730">
        <f>IFERROR(__xludf.DUMMYFUNCTION("""COMPUTED_VALUE"""),1991.0)</f>
        <v>1991</v>
      </c>
      <c r="X201" s="730" t="str">
        <f>IFERROR(__xludf.DUMMYFUNCTION("""COMPUTED_VALUE"""),"Sabry, M., et al. ""A placebo-controlled double-blind trial for the treatment of bancroftian filariasis with ivermectin or diethylcarbamazine."" Transactions of the Royal Society of Tropical Medicine and Hygiene 85.5 (1991): 640-643.")</f>
        <v>Sabry, M., et al. "A placebo-controlled double-blind trial for the treatment of bancroftian filariasis with ivermectin or diethylcarbamazine." Transactions of the Royal Society of Tropical Medicine and Hygiene 85.5 (1991): 640-643.</v>
      </c>
      <c r="Y201" s="738" t="str">
        <f>IFERROR(__xludf.DUMMYFUNCTION("""COMPUTED_VALUE"""),"http://dx.doi.org/10.1016/0035-9203(91)90375-17")</f>
        <v>http://dx.doi.org/10.1016/0035-9203(91)90375-17</v>
      </c>
      <c r="Z201" s="727" t="str">
        <f>IFERROR(__xludf.DUMMYFUNCTION("""COMPUTED_VALUE"""),"https://drive.google.com/file/d/0B0qKRmtVkPtWYzdXTi1SY0EtZHM/view?usp=sharing")</f>
        <v>https://drive.google.com/file/d/0B0qKRmtVkPtWYzdXTi1SY0EtZHM/view?usp=sharing</v>
      </c>
      <c r="AA201" s="40"/>
      <c r="AB201" s="40"/>
    </row>
    <row r="202">
      <c r="A202" s="728" t="str">
        <f>IFERROR(__xludf.DUMMYFUNCTION("""COMPUTED_VALUE"""),"Sabry 1991")</f>
        <v>Sabry 1991</v>
      </c>
      <c r="B202" s="718" t="str">
        <f>IFERROR(__xludf.DUMMYFUNCTION("""COMPUTED_VALUE"""),"Mike")</f>
        <v>Mike</v>
      </c>
      <c r="C202" s="730" t="str">
        <f>IFERROR(__xludf.DUMMYFUNCTION("""COMPUTED_VALUE"""),"Alex ")</f>
        <v>Alex </v>
      </c>
      <c r="D202" s="730" t="str">
        <f>IFERROR(__xludf.DUMMYFUNCTION("""COMPUTED_VALUE"""),"Egypt")</f>
        <v>Egypt</v>
      </c>
      <c r="E202" s="747" t="str">
        <f>IFERROR(__xludf.DUMMYFUNCTION("""COMPUTED_VALUE"""),"w. bancrofti")</f>
        <v>w. bancrofti</v>
      </c>
      <c r="F202" s="732" t="str">
        <f>IFERROR(__xludf.DUMMYFUNCTION("""COMPUTED_VALUE"""),"DEC")</f>
        <v>DEC</v>
      </c>
      <c r="G202" s="730" t="str">
        <f>IFERROR(__xludf.DUMMYFUNCTION("""COMPUTED_VALUE"""),"3mg/kg on day 1; 6mg/kg on days 2-13")</f>
        <v>3mg/kg on day 1; 6mg/kg on days 2-13</v>
      </c>
      <c r="H202" s="730">
        <f>IFERROR(__xludf.DUMMYFUNCTION("""COMPUTED_VALUE"""),13.0)</f>
        <v>13</v>
      </c>
      <c r="I202" s="741">
        <f>IFERROR(__xludf.DUMMYFUNCTION("""COMPUTED_VALUE"""),0.9896)</f>
        <v>0.9896</v>
      </c>
      <c r="J202" s="741" t="str">
        <f>IFERROR(__xludf.DUMMYFUNCTION("""COMPUTED_VALUE"""),"not available")</f>
        <v>not available</v>
      </c>
      <c r="K202" s="40" t="str">
        <f>IFERROR(__xludf.DUMMYFUNCTION("""COMPUTED_VALUE"""),"not available")</f>
        <v>not available</v>
      </c>
      <c r="L202" s="734">
        <f>IFERROR(__xludf.DUMMYFUNCTION("""COMPUTED_VALUE"""),30.0)</f>
        <v>30</v>
      </c>
      <c r="M202" s="754" t="str">
        <f>IFERROR(__xludf.DUMMYFUNCTION("""COMPUTED_VALUE"""),"15-55")</f>
        <v>15-55</v>
      </c>
      <c r="N202" s="735" t="str">
        <f>IFERROR(__xludf.DUMMYFUNCTION("""COMPUTED_VALUE"""),"0 : 30")</f>
        <v>0 : 30</v>
      </c>
      <c r="O202" s="730" t="str">
        <f>IFERROR(__xludf.DUMMYFUNCTION("""COMPUTED_VALUE"""),"&gt;= 100mf/ml of venous blood")</f>
        <v>&gt;= 100mf/ml of venous blood</v>
      </c>
      <c r="P202" s="748" t="str">
        <f>IFERROR(__xludf.DUMMYFUNCTION("""COMPUTED_VALUE"""),"randomized, double-blind")</f>
        <v>randomized, double-blind</v>
      </c>
      <c r="Q202" s="40" t="str">
        <f>IFERROR(__xludf.DUMMYFUNCTION("""COMPUTED_VALUE"""),"yes")</f>
        <v>yes</v>
      </c>
      <c r="R202" s="40" t="str">
        <f>IFERROR(__xludf.DUMMYFUNCTION("""COMPUTED_VALUE"""),"yes")</f>
        <v>yes</v>
      </c>
      <c r="S202" s="730" t="str">
        <f>IFERROR(__xludf.DUMMYFUNCTION("""COMPUTED_VALUE"""),"14 days")</f>
        <v>14 days</v>
      </c>
      <c r="T202" s="746" t="str">
        <f>IFERROR(__xludf.DUMMYFUNCTION("""COMPUTED_VALUE"""),"Ivermectin appears to be the only antifilarial drug to consider for widespread general use")</f>
        <v>Ivermectin appears to be the only antifilarial drug to consider for widespread general use</v>
      </c>
      <c r="U202" s="730"/>
      <c r="V202" s="737">
        <f>IFERROR(__xludf.DUMMYFUNCTION("""COMPUTED_VALUE"""),1991.0)</f>
        <v>1991</v>
      </c>
      <c r="W202" s="730">
        <f>IFERROR(__xludf.DUMMYFUNCTION("""COMPUTED_VALUE"""),1991.0)</f>
        <v>1991</v>
      </c>
      <c r="X202" s="730" t="str">
        <f>IFERROR(__xludf.DUMMYFUNCTION("""COMPUTED_VALUE"""),"Sabry, M., et al. ""A placebo-controlled double-blind trial for the treatment of bancroftian filariasis with ivermectin or diethylcarbamazine."" Transactions of the Royal Society of Tropical Medicine and Hygiene 85.5 (1991): 640-643.")</f>
        <v>Sabry, M., et al. "A placebo-controlled double-blind trial for the treatment of bancroftian filariasis with ivermectin or diethylcarbamazine." Transactions of the Royal Society of Tropical Medicine and Hygiene 85.5 (1991): 640-643.</v>
      </c>
      <c r="Y202" s="738" t="str">
        <f>IFERROR(__xludf.DUMMYFUNCTION("""COMPUTED_VALUE"""),"http://dx.doi.org/10.1016/0035-9203(91)90375-18")</f>
        <v>http://dx.doi.org/10.1016/0035-9203(91)90375-18</v>
      </c>
      <c r="Z202" s="727" t="str">
        <f>IFERROR(__xludf.DUMMYFUNCTION("""COMPUTED_VALUE"""),"https://drive.google.com/file/d/0B0qKRmtVkPtWYzdXTi1SY0EtZHM/view?usp=sharing")</f>
        <v>https://drive.google.com/file/d/0B0qKRmtVkPtWYzdXTi1SY0EtZHM/view?usp=sharing</v>
      </c>
      <c r="AA202" s="40"/>
      <c r="AB202" s="40"/>
    </row>
    <row r="203">
      <c r="A203" s="728" t="str">
        <f>IFERROR(__xludf.DUMMYFUNCTION("""COMPUTED_VALUE"""),"Sabry 1991")</f>
        <v>Sabry 1991</v>
      </c>
      <c r="B203" s="718" t="str">
        <f>IFERROR(__xludf.DUMMYFUNCTION("""COMPUTED_VALUE"""),"Mike")</f>
        <v>Mike</v>
      </c>
      <c r="C203" s="730" t="str">
        <f>IFERROR(__xludf.DUMMYFUNCTION("""COMPUTED_VALUE"""),"Alex ")</f>
        <v>Alex </v>
      </c>
      <c r="D203" s="730" t="str">
        <f>IFERROR(__xludf.DUMMYFUNCTION("""COMPUTED_VALUE"""),"Egypt")</f>
        <v>Egypt</v>
      </c>
      <c r="E203" s="747" t="str">
        <f>IFERROR(__xludf.DUMMYFUNCTION("""COMPUTED_VALUE"""),"w. bancrofti")</f>
        <v>w. bancrofti</v>
      </c>
      <c r="F203" s="732" t="str">
        <f>IFERROR(__xludf.DUMMYFUNCTION("""COMPUTED_VALUE"""),"DEC")</f>
        <v>DEC</v>
      </c>
      <c r="G203" s="755" t="str">
        <f>IFERROR(__xludf.DUMMYFUNCTION("""COMPUTED_VALUE"""),"3mg/kg on day 1; 6mg/kg on days 2-13")</f>
        <v>3mg/kg on day 1; 6mg/kg on days 2-13</v>
      </c>
      <c r="H203" s="730">
        <f>IFERROR(__xludf.DUMMYFUNCTION("""COMPUTED_VALUE"""),13.0)</f>
        <v>13</v>
      </c>
      <c r="I203" s="741">
        <f>IFERROR(__xludf.DUMMYFUNCTION("""COMPUTED_VALUE"""),0.9768)</f>
        <v>0.9768</v>
      </c>
      <c r="J203" s="741" t="str">
        <f>IFERROR(__xludf.DUMMYFUNCTION("""COMPUTED_VALUE"""),"not available")</f>
        <v>not available</v>
      </c>
      <c r="K203" s="40" t="str">
        <f>IFERROR(__xludf.DUMMYFUNCTION("""COMPUTED_VALUE"""),"not available")</f>
        <v>not available</v>
      </c>
      <c r="L203" s="734">
        <f>IFERROR(__xludf.DUMMYFUNCTION("""COMPUTED_VALUE"""),30.0)</f>
        <v>30</v>
      </c>
      <c r="M203" s="754" t="str">
        <f>IFERROR(__xludf.DUMMYFUNCTION("""COMPUTED_VALUE"""),"15-55")</f>
        <v>15-55</v>
      </c>
      <c r="N203" s="735" t="str">
        <f>IFERROR(__xludf.DUMMYFUNCTION("""COMPUTED_VALUE"""),"0 : 30")</f>
        <v>0 : 30</v>
      </c>
      <c r="O203" s="730" t="str">
        <f>IFERROR(__xludf.DUMMYFUNCTION("""COMPUTED_VALUE"""),"&gt;= 100mf/ml of venous blood")</f>
        <v>&gt;= 100mf/ml of venous blood</v>
      </c>
      <c r="P203" s="748" t="str">
        <f>IFERROR(__xludf.DUMMYFUNCTION("""COMPUTED_VALUE"""),"randomized, double-blind")</f>
        <v>randomized, double-blind</v>
      </c>
      <c r="Q203" s="40" t="str">
        <f>IFERROR(__xludf.DUMMYFUNCTION("""COMPUTED_VALUE"""),"yes")</f>
        <v>yes</v>
      </c>
      <c r="R203" s="40" t="str">
        <f>IFERROR(__xludf.DUMMYFUNCTION("""COMPUTED_VALUE"""),"yes")</f>
        <v>yes</v>
      </c>
      <c r="S203" s="730" t="str">
        <f>IFERROR(__xludf.DUMMYFUNCTION("""COMPUTED_VALUE"""),"1 month")</f>
        <v>1 month</v>
      </c>
      <c r="T203" s="746" t="str">
        <f>IFERROR(__xludf.DUMMYFUNCTION("""COMPUTED_VALUE"""),"Ivermectin appears to be the only antifilarial drug to consider for widespread general use")</f>
        <v>Ivermectin appears to be the only antifilarial drug to consider for widespread general use</v>
      </c>
      <c r="U203" s="730"/>
      <c r="V203" s="737">
        <f>IFERROR(__xludf.DUMMYFUNCTION("""COMPUTED_VALUE"""),1991.0)</f>
        <v>1991</v>
      </c>
      <c r="W203" s="730">
        <f>IFERROR(__xludf.DUMMYFUNCTION("""COMPUTED_VALUE"""),1991.0)</f>
        <v>1991</v>
      </c>
      <c r="X203" s="730" t="str">
        <f>IFERROR(__xludf.DUMMYFUNCTION("""COMPUTED_VALUE"""),"Sabry, M., et al. ""A placebo-controlled double-blind trial for the treatment of bancroftian filariasis with ivermectin or diethylcarbamazine."" Transactions of the Royal Society of Tropical Medicine and Hygiene 85.5 (1991): 640-643.")</f>
        <v>Sabry, M., et al. "A placebo-controlled double-blind trial for the treatment of bancroftian filariasis with ivermectin or diethylcarbamazine." Transactions of the Royal Society of Tropical Medicine and Hygiene 85.5 (1991): 640-643.</v>
      </c>
      <c r="Y203" s="738" t="str">
        <f>IFERROR(__xludf.DUMMYFUNCTION("""COMPUTED_VALUE"""),"http://dx.doi.org/10.1016/0035-9203(91)90375-19")</f>
        <v>http://dx.doi.org/10.1016/0035-9203(91)90375-19</v>
      </c>
      <c r="Z203" s="727" t="str">
        <f>IFERROR(__xludf.DUMMYFUNCTION("""COMPUTED_VALUE"""),"https://drive.google.com/file/d/0B0qKRmtVkPtWYzdXTi1SY0EtZHM/view?usp=sharing")</f>
        <v>https://drive.google.com/file/d/0B0qKRmtVkPtWYzdXTi1SY0EtZHM/view?usp=sharing</v>
      </c>
      <c r="AA203" s="40"/>
      <c r="AB203" s="40"/>
    </row>
    <row r="204">
      <c r="A204" s="728" t="str">
        <f>IFERROR(__xludf.DUMMYFUNCTION("""COMPUTED_VALUE"""),"Sabry 1991")</f>
        <v>Sabry 1991</v>
      </c>
      <c r="B204" s="718" t="str">
        <f>IFERROR(__xludf.DUMMYFUNCTION("""COMPUTED_VALUE"""),"Mike")</f>
        <v>Mike</v>
      </c>
      <c r="C204" s="730" t="str">
        <f>IFERROR(__xludf.DUMMYFUNCTION("""COMPUTED_VALUE"""),"Alex ")</f>
        <v>Alex </v>
      </c>
      <c r="D204" s="730" t="str">
        <f>IFERROR(__xludf.DUMMYFUNCTION("""COMPUTED_VALUE"""),"Egypt")</f>
        <v>Egypt</v>
      </c>
      <c r="E204" s="747" t="str">
        <f>IFERROR(__xludf.DUMMYFUNCTION("""COMPUTED_VALUE"""),"w. bancrofti")</f>
        <v>w. bancrofti</v>
      </c>
      <c r="F204" s="730" t="str">
        <f>IFERROR(__xludf.DUMMYFUNCTION("""COMPUTED_VALUE"""),"DEC")</f>
        <v>DEC</v>
      </c>
      <c r="G204" s="730" t="str">
        <f>IFERROR(__xludf.DUMMYFUNCTION("""COMPUTED_VALUE"""),"3mg/kg on day 1; 6mg/kg on days 2-13")</f>
        <v>3mg/kg on day 1; 6mg/kg on days 2-13</v>
      </c>
      <c r="H204" s="730">
        <f>IFERROR(__xludf.DUMMYFUNCTION("""COMPUTED_VALUE"""),13.0)</f>
        <v>13</v>
      </c>
      <c r="I204" s="741">
        <f>IFERROR(__xludf.DUMMYFUNCTION("""COMPUTED_VALUE"""),0.9772)</f>
        <v>0.9772</v>
      </c>
      <c r="J204" s="741" t="str">
        <f>IFERROR(__xludf.DUMMYFUNCTION("""COMPUTED_VALUE"""),"not available")</f>
        <v>not available</v>
      </c>
      <c r="K204" s="40" t="str">
        <f>IFERROR(__xludf.DUMMYFUNCTION("""COMPUTED_VALUE"""),"not available")</f>
        <v>not available</v>
      </c>
      <c r="L204" s="734">
        <f>IFERROR(__xludf.DUMMYFUNCTION("""COMPUTED_VALUE"""),30.0)</f>
        <v>30</v>
      </c>
      <c r="M204" s="754" t="str">
        <f>IFERROR(__xludf.DUMMYFUNCTION("""COMPUTED_VALUE"""),"15-55")</f>
        <v>15-55</v>
      </c>
      <c r="N204" s="735" t="str">
        <f>IFERROR(__xludf.DUMMYFUNCTION("""COMPUTED_VALUE"""),"0 : 30")</f>
        <v>0 : 30</v>
      </c>
      <c r="O204" s="730" t="str">
        <f>IFERROR(__xludf.DUMMYFUNCTION("""COMPUTED_VALUE"""),"&gt;= 100mf/ml of venous blood")</f>
        <v>&gt;= 100mf/ml of venous blood</v>
      </c>
      <c r="P204" s="748" t="str">
        <f>IFERROR(__xludf.DUMMYFUNCTION("""COMPUTED_VALUE"""),"randomized, double-blind")</f>
        <v>randomized, double-blind</v>
      </c>
      <c r="Q204" s="40" t="str">
        <f>IFERROR(__xludf.DUMMYFUNCTION("""COMPUTED_VALUE"""),"yes")</f>
        <v>yes</v>
      </c>
      <c r="R204" s="40" t="str">
        <f>IFERROR(__xludf.DUMMYFUNCTION("""COMPUTED_VALUE"""),"yes")</f>
        <v>yes</v>
      </c>
      <c r="S204" s="730" t="str">
        <f>IFERROR(__xludf.DUMMYFUNCTION("""COMPUTED_VALUE"""),"3 months")</f>
        <v>3 months</v>
      </c>
      <c r="T204" s="746" t="str">
        <f>IFERROR(__xludf.DUMMYFUNCTION("""COMPUTED_VALUE"""),"Ivermectin appears to be the only antifilarial drug to consider for widespread general use")</f>
        <v>Ivermectin appears to be the only antifilarial drug to consider for widespread general use</v>
      </c>
      <c r="U204" s="730"/>
      <c r="V204" s="737">
        <f>IFERROR(__xludf.DUMMYFUNCTION("""COMPUTED_VALUE"""),1991.0)</f>
        <v>1991</v>
      </c>
      <c r="W204" s="730">
        <f>IFERROR(__xludf.DUMMYFUNCTION("""COMPUTED_VALUE"""),1991.0)</f>
        <v>1991</v>
      </c>
      <c r="X204" s="730" t="str">
        <f>IFERROR(__xludf.DUMMYFUNCTION("""COMPUTED_VALUE"""),"Sabry, M., et al. ""A placebo-controlled double-blind trial for the treatment of bancroftian filariasis with ivermectin or diethylcarbamazine."" Transactions of the Royal Society of Tropical Medicine and Hygiene 85.5 (1991): 640-643.")</f>
        <v>Sabry, M., et al. "A placebo-controlled double-blind trial for the treatment of bancroftian filariasis with ivermectin or diethylcarbamazine." Transactions of the Royal Society of Tropical Medicine and Hygiene 85.5 (1991): 640-643.</v>
      </c>
      <c r="Y204" s="738" t="str">
        <f>IFERROR(__xludf.DUMMYFUNCTION("""COMPUTED_VALUE"""),"http://dx.doi.org/10.1016/0035-9203(91)90375-20")</f>
        <v>http://dx.doi.org/10.1016/0035-9203(91)90375-20</v>
      </c>
      <c r="Z204" s="727" t="str">
        <f>IFERROR(__xludf.DUMMYFUNCTION("""COMPUTED_VALUE"""),"https://drive.google.com/file/d/0B0qKRmtVkPtWYzdXTi1SY0EtZHM/view?usp=sharing")</f>
        <v>https://drive.google.com/file/d/0B0qKRmtVkPtWYzdXTi1SY0EtZHM/view?usp=sharing</v>
      </c>
      <c r="AA204" s="40"/>
      <c r="AB204" s="40"/>
    </row>
    <row r="205">
      <c r="A205" s="728" t="str">
        <f>IFERROR(__xludf.DUMMYFUNCTION("""COMPUTED_VALUE"""),"Sabry 1991")</f>
        <v>Sabry 1991</v>
      </c>
      <c r="B205" s="718" t="str">
        <f>IFERROR(__xludf.DUMMYFUNCTION("""COMPUTED_VALUE"""),"Mike")</f>
        <v>Mike</v>
      </c>
      <c r="C205" s="730" t="str">
        <f>IFERROR(__xludf.DUMMYFUNCTION("""COMPUTED_VALUE"""),"Alex ")</f>
        <v>Alex </v>
      </c>
      <c r="D205" s="730" t="str">
        <f>IFERROR(__xludf.DUMMYFUNCTION("""COMPUTED_VALUE"""),"Egypt")</f>
        <v>Egypt</v>
      </c>
      <c r="E205" s="747" t="str">
        <f>IFERROR(__xludf.DUMMYFUNCTION("""COMPUTED_VALUE"""),"w. bancrofti")</f>
        <v>w. bancrofti</v>
      </c>
      <c r="F205" s="730" t="str">
        <f>IFERROR(__xludf.DUMMYFUNCTION("""COMPUTED_VALUE"""),"Placebo")</f>
        <v>Placebo</v>
      </c>
      <c r="G205" s="730" t="str">
        <f>IFERROR(__xludf.DUMMYFUNCTION("""COMPUTED_VALUE"""),"-")</f>
        <v>-</v>
      </c>
      <c r="H205" s="730">
        <f>IFERROR(__xludf.DUMMYFUNCTION("""COMPUTED_VALUE"""),1.0)</f>
        <v>1</v>
      </c>
      <c r="I205" s="742">
        <f>IFERROR(__xludf.DUMMYFUNCTION("""COMPUTED_VALUE"""),-0.052)</f>
        <v>-0.052</v>
      </c>
      <c r="J205" s="742" t="str">
        <f>IFERROR(__xludf.DUMMYFUNCTION("""COMPUTED_VALUE"""),"not available")</f>
        <v>not available</v>
      </c>
      <c r="K205" s="40" t="str">
        <f>IFERROR(__xludf.DUMMYFUNCTION("""COMPUTED_VALUE"""),"not available")</f>
        <v>not available</v>
      </c>
      <c r="L205" s="734">
        <f>IFERROR(__xludf.DUMMYFUNCTION("""COMPUTED_VALUE"""),22.0)</f>
        <v>22</v>
      </c>
      <c r="M205" s="754" t="str">
        <f>IFERROR(__xludf.DUMMYFUNCTION("""COMPUTED_VALUE"""),"15-55")</f>
        <v>15-55</v>
      </c>
      <c r="N205" s="778" t="str">
        <f>IFERROR(__xludf.DUMMYFUNCTION("""COMPUTED_VALUE"""),"0 : 22")</f>
        <v>0 : 22</v>
      </c>
      <c r="O205" s="730" t="str">
        <f>IFERROR(__xludf.DUMMYFUNCTION("""COMPUTED_VALUE"""),"&gt;= 100mf/ml of venous blood")</f>
        <v>&gt;= 100mf/ml of venous blood</v>
      </c>
      <c r="P205" s="40" t="str">
        <f>IFERROR(__xludf.DUMMYFUNCTION("""COMPUTED_VALUE"""),"randomized, double-blind")</f>
        <v>randomized, double-blind</v>
      </c>
      <c r="Q205" s="40" t="str">
        <f>IFERROR(__xludf.DUMMYFUNCTION("""COMPUTED_VALUE"""),"yes")</f>
        <v>yes</v>
      </c>
      <c r="R205" s="40" t="str">
        <f>IFERROR(__xludf.DUMMYFUNCTION("""COMPUTED_VALUE"""),"yes")</f>
        <v>yes</v>
      </c>
      <c r="S205" s="730" t="str">
        <f>IFERROR(__xludf.DUMMYFUNCTION("""COMPUTED_VALUE"""),"1 day")</f>
        <v>1 day</v>
      </c>
      <c r="T205" s="730" t="str">
        <f>IFERROR(__xludf.DUMMYFUNCTION("""COMPUTED_VALUE"""),"Ivermectin appears to be the only antifilarial drug to consider for widespread general use")</f>
        <v>Ivermectin appears to be the only antifilarial drug to consider for widespread general use</v>
      </c>
      <c r="U205" s="40"/>
      <c r="V205" s="737">
        <f>IFERROR(__xludf.DUMMYFUNCTION("""COMPUTED_VALUE"""),1991.0)</f>
        <v>1991</v>
      </c>
      <c r="W205" s="730">
        <f>IFERROR(__xludf.DUMMYFUNCTION("""COMPUTED_VALUE"""),1991.0)</f>
        <v>1991</v>
      </c>
      <c r="X205" s="730" t="str">
        <f>IFERROR(__xludf.DUMMYFUNCTION("""COMPUTED_VALUE"""),"Sabry, M., et al. ""A placebo-controlled double-blind trial for the treatment of bancroftian filariasis with ivermectin or diethylcarbamazine."" Transactions of the Royal Society of Tropical Medicine and Hygiene 85.5 (1991): 640-643.")</f>
        <v>Sabry, M., et al. "A placebo-controlled double-blind trial for the treatment of bancroftian filariasis with ivermectin or diethylcarbamazine." Transactions of the Royal Society of Tropical Medicine and Hygiene 85.5 (1991): 640-643.</v>
      </c>
      <c r="Y205" s="738" t="str">
        <f>IFERROR(__xludf.DUMMYFUNCTION("""COMPUTED_VALUE"""),"http://dx.doi.org/10.1016/0035-9203(91)90375-21")</f>
        <v>http://dx.doi.org/10.1016/0035-9203(91)90375-21</v>
      </c>
      <c r="Z205" s="727" t="str">
        <f>IFERROR(__xludf.DUMMYFUNCTION("""COMPUTED_VALUE"""),"https://drive.google.com/file/d/0B0qKRmtVkPtWYzdXTi1SY0EtZHM/view?usp=sharing")</f>
        <v>https://drive.google.com/file/d/0B0qKRmtVkPtWYzdXTi1SY0EtZHM/view?usp=sharing</v>
      </c>
      <c r="AA205" s="40"/>
      <c r="AB205" s="40"/>
    </row>
    <row r="206">
      <c r="A206" s="728" t="str">
        <f>IFERROR(__xludf.DUMMYFUNCTION("""COMPUTED_VALUE"""),"Sabry 1991")</f>
        <v>Sabry 1991</v>
      </c>
      <c r="B206" s="718" t="str">
        <f>IFERROR(__xludf.DUMMYFUNCTION("""COMPUTED_VALUE"""),"Mike")</f>
        <v>Mike</v>
      </c>
      <c r="C206" s="730" t="str">
        <f>IFERROR(__xludf.DUMMYFUNCTION("""COMPUTED_VALUE"""),"Alex ")</f>
        <v>Alex </v>
      </c>
      <c r="D206" s="730" t="str">
        <f>IFERROR(__xludf.DUMMYFUNCTION("""COMPUTED_VALUE"""),"Egypt")</f>
        <v>Egypt</v>
      </c>
      <c r="E206" s="747" t="str">
        <f>IFERROR(__xludf.DUMMYFUNCTION("""COMPUTED_VALUE"""),"w. bancrofti")</f>
        <v>w. bancrofti</v>
      </c>
      <c r="F206" s="730" t="str">
        <f>IFERROR(__xludf.DUMMYFUNCTION("""COMPUTED_VALUE"""),"Placebo")</f>
        <v>Placebo</v>
      </c>
      <c r="G206" s="730" t="str">
        <f>IFERROR(__xludf.DUMMYFUNCTION("""COMPUTED_VALUE"""),"-")</f>
        <v>-</v>
      </c>
      <c r="H206" s="730">
        <f>IFERROR(__xludf.DUMMYFUNCTION("""COMPUTED_VALUE"""),2.0)</f>
        <v>2</v>
      </c>
      <c r="I206" s="742">
        <f>IFERROR(__xludf.DUMMYFUNCTION("""COMPUTED_VALUE"""),0.085)</f>
        <v>0.085</v>
      </c>
      <c r="J206" s="742" t="str">
        <f>IFERROR(__xludf.DUMMYFUNCTION("""COMPUTED_VALUE"""),"not available")</f>
        <v>not available</v>
      </c>
      <c r="K206" s="40" t="str">
        <f>IFERROR(__xludf.DUMMYFUNCTION("""COMPUTED_VALUE"""),"not available")</f>
        <v>not available</v>
      </c>
      <c r="L206" s="734">
        <f>IFERROR(__xludf.DUMMYFUNCTION("""COMPUTED_VALUE"""),22.0)</f>
        <v>22</v>
      </c>
      <c r="M206" s="754" t="str">
        <f>IFERROR(__xludf.DUMMYFUNCTION("""COMPUTED_VALUE"""),"15-55")</f>
        <v>15-55</v>
      </c>
      <c r="N206" s="778" t="str">
        <f>IFERROR(__xludf.DUMMYFUNCTION("""COMPUTED_VALUE"""),"0 : 22")</f>
        <v>0 : 22</v>
      </c>
      <c r="O206" s="40" t="str">
        <f>IFERROR(__xludf.DUMMYFUNCTION("""COMPUTED_VALUE"""),"&gt;= 100mf/ml of venous blood")</f>
        <v>&gt;= 100mf/ml of venous blood</v>
      </c>
      <c r="P206" s="40" t="str">
        <f>IFERROR(__xludf.DUMMYFUNCTION("""COMPUTED_VALUE"""),"randomized, double-blind")</f>
        <v>randomized, double-blind</v>
      </c>
      <c r="Q206" s="40" t="str">
        <f>IFERROR(__xludf.DUMMYFUNCTION("""COMPUTED_VALUE"""),"yes")</f>
        <v>yes</v>
      </c>
      <c r="R206" s="40" t="str">
        <f>IFERROR(__xludf.DUMMYFUNCTION("""COMPUTED_VALUE"""),"yes")</f>
        <v>yes</v>
      </c>
      <c r="S206" s="730" t="str">
        <f>IFERROR(__xludf.DUMMYFUNCTION("""COMPUTED_VALUE"""),"2 days")</f>
        <v>2 days</v>
      </c>
      <c r="T206" s="730" t="str">
        <f>IFERROR(__xludf.DUMMYFUNCTION("""COMPUTED_VALUE"""),"Ivermectin appears to be the only antifilarial drug to consider for widespread general use")</f>
        <v>Ivermectin appears to be the only antifilarial drug to consider for widespread general use</v>
      </c>
      <c r="U206" s="40"/>
      <c r="V206" s="737">
        <f>IFERROR(__xludf.DUMMYFUNCTION("""COMPUTED_VALUE"""),1991.0)</f>
        <v>1991</v>
      </c>
      <c r="W206" s="730">
        <f>IFERROR(__xludf.DUMMYFUNCTION("""COMPUTED_VALUE"""),1991.0)</f>
        <v>1991</v>
      </c>
      <c r="X206" s="730" t="str">
        <f>IFERROR(__xludf.DUMMYFUNCTION("""COMPUTED_VALUE"""),"Sabry, M., et al. ""A placebo-controlled double-blind trial for the treatment of bancroftian filariasis with ivermectin or diethylcarbamazine."" Transactions of the Royal Society of Tropical Medicine and Hygiene 85.5 (1991): 640-643.")</f>
        <v>Sabry, M., et al. "A placebo-controlled double-blind trial for the treatment of bancroftian filariasis with ivermectin or diethylcarbamazine." Transactions of the Royal Society of Tropical Medicine and Hygiene 85.5 (1991): 640-643.</v>
      </c>
      <c r="Y206" s="738" t="str">
        <f>IFERROR(__xludf.DUMMYFUNCTION("""COMPUTED_VALUE"""),"http://dx.doi.org/10.1016/0035-9203(91)90375-22")</f>
        <v>http://dx.doi.org/10.1016/0035-9203(91)90375-22</v>
      </c>
      <c r="Z206" s="727" t="str">
        <f>IFERROR(__xludf.DUMMYFUNCTION("""COMPUTED_VALUE"""),"https://drive.google.com/file/d/0B0qKRmtVkPtWYzdXTi1SY0EtZHM/view?usp=sharing")</f>
        <v>https://drive.google.com/file/d/0B0qKRmtVkPtWYzdXTi1SY0EtZHM/view?usp=sharing</v>
      </c>
      <c r="AA206" s="40"/>
      <c r="AB206" s="40"/>
    </row>
    <row r="207">
      <c r="A207" s="745" t="str">
        <f>IFERROR(__xludf.DUMMYFUNCTION("""COMPUTED_VALUE"""),"Sabry 1991")</f>
        <v>Sabry 1991</v>
      </c>
      <c r="B207" s="746" t="str">
        <f>IFERROR(__xludf.DUMMYFUNCTION("""COMPUTED_VALUE"""),"Mike")</f>
        <v>Mike</v>
      </c>
      <c r="C207" s="718" t="str">
        <f>IFERROR(__xludf.DUMMYFUNCTION("""COMPUTED_VALUE"""),"Alex ")</f>
        <v>Alex </v>
      </c>
      <c r="D207" s="746" t="str">
        <f>IFERROR(__xludf.DUMMYFUNCTION("""COMPUTED_VALUE"""),"Egypt")</f>
        <v>Egypt</v>
      </c>
      <c r="E207" s="747" t="str">
        <f>IFERROR(__xludf.DUMMYFUNCTION("""COMPUTED_VALUE"""),"w. bancrofti")</f>
        <v>w. bancrofti</v>
      </c>
      <c r="F207" s="746" t="str">
        <f>IFERROR(__xludf.DUMMYFUNCTION("""COMPUTED_VALUE"""),"Placebo")</f>
        <v>Placebo</v>
      </c>
      <c r="G207" s="746" t="str">
        <f>IFERROR(__xludf.DUMMYFUNCTION("""COMPUTED_VALUE"""),"-")</f>
        <v>-</v>
      </c>
      <c r="H207" s="40">
        <f>IFERROR(__xludf.DUMMYFUNCTION("""COMPUTED_VALUE"""),8.0)</f>
        <v>8</v>
      </c>
      <c r="I207" s="749">
        <f>IFERROR(__xludf.DUMMYFUNCTION("""COMPUTED_VALUE"""),-0.0046)</f>
        <v>-0.0046</v>
      </c>
      <c r="J207" s="749" t="str">
        <f>IFERROR(__xludf.DUMMYFUNCTION("""COMPUTED_VALUE"""),"not available")</f>
        <v>not available</v>
      </c>
      <c r="K207" s="40" t="str">
        <f>IFERROR(__xludf.DUMMYFUNCTION("""COMPUTED_VALUE"""),"not available")</f>
        <v>not available</v>
      </c>
      <c r="L207" s="746">
        <f>IFERROR(__xludf.DUMMYFUNCTION("""COMPUTED_VALUE"""),22.0)</f>
        <v>22</v>
      </c>
      <c r="M207" s="750" t="str">
        <f>IFERROR(__xludf.DUMMYFUNCTION("""COMPUTED_VALUE"""),"15-55")</f>
        <v>15-55</v>
      </c>
      <c r="N207" s="806" t="str">
        <f>IFERROR(__xludf.DUMMYFUNCTION("""COMPUTED_VALUE"""),"0 : 22")</f>
        <v>0 : 22</v>
      </c>
      <c r="O207" s="746" t="str">
        <f>IFERROR(__xludf.DUMMYFUNCTION("""COMPUTED_VALUE"""),"&gt;= 100mf/ml of venous blood")</f>
        <v>&gt;= 100mf/ml of venous blood</v>
      </c>
      <c r="P207" s="40" t="str">
        <f>IFERROR(__xludf.DUMMYFUNCTION("""COMPUTED_VALUE"""),"randomized, double-blind")</f>
        <v>randomized, double-blind</v>
      </c>
      <c r="Q207" s="40" t="str">
        <f>IFERROR(__xludf.DUMMYFUNCTION("""COMPUTED_VALUE"""),"yes")</f>
        <v>yes</v>
      </c>
      <c r="R207" s="40" t="str">
        <f>IFERROR(__xludf.DUMMYFUNCTION("""COMPUTED_VALUE"""),"yes")</f>
        <v>yes</v>
      </c>
      <c r="S207" s="746" t="str">
        <f>IFERROR(__xludf.DUMMYFUNCTION("""COMPUTED_VALUE"""),"8 days")</f>
        <v>8 days</v>
      </c>
      <c r="T207" s="746" t="str">
        <f>IFERROR(__xludf.DUMMYFUNCTION("""COMPUTED_VALUE"""),"Ivermectin appears to be the only antifilarial drug to consider for widespread general use")</f>
        <v>Ivermectin appears to be the only antifilarial drug to consider for widespread general use</v>
      </c>
      <c r="U207" s="746"/>
      <c r="V207" s="752">
        <f>IFERROR(__xludf.DUMMYFUNCTION("""COMPUTED_VALUE"""),1991.0)</f>
        <v>1991</v>
      </c>
      <c r="W207" s="746">
        <f>IFERROR(__xludf.DUMMYFUNCTION("""COMPUTED_VALUE"""),1991.0)</f>
        <v>1991</v>
      </c>
      <c r="X207" s="790" t="str">
        <f>IFERROR(__xludf.DUMMYFUNCTION("""COMPUTED_VALUE"""),"Sabry, M., et al. ""A placebo-controlled double-blind trial for the treatment of bancroftian filariasis with ivermectin or diethylcarbamazine."" Transactions of the Royal Society of Tropical Medicine and Hygiene 85.5 (1991): 640-643.")</f>
        <v>Sabry, M., et al. "A placebo-controlled double-blind trial for the treatment of bancroftian filariasis with ivermectin or diethylcarbamazine." Transactions of the Royal Society of Tropical Medicine and Hygiene 85.5 (1991): 640-643.</v>
      </c>
      <c r="Y207" s="726" t="str">
        <f>IFERROR(__xludf.DUMMYFUNCTION("""COMPUTED_VALUE"""),"http://dx.doi.org/10.1016/0035-9203(91)90375-23")</f>
        <v>http://dx.doi.org/10.1016/0035-9203(91)90375-23</v>
      </c>
      <c r="Z207" s="727" t="str">
        <f>IFERROR(__xludf.DUMMYFUNCTION("""COMPUTED_VALUE"""),"https://drive.google.com/file/d/0B0qKRmtVkPtWYzdXTi1SY0EtZHM/view?usp=sharing")</f>
        <v>https://drive.google.com/file/d/0B0qKRmtVkPtWYzdXTi1SY0EtZHM/view?usp=sharing</v>
      </c>
      <c r="AA207" s="40"/>
      <c r="AB207" s="40"/>
    </row>
    <row r="208">
      <c r="A208" s="745" t="str">
        <f>IFERROR(__xludf.DUMMYFUNCTION("""COMPUTED_VALUE"""),"Eberhard 1992")</f>
        <v>Eberhard 1992</v>
      </c>
      <c r="B208" s="746" t="str">
        <f>IFERROR(__xludf.DUMMYFUNCTION("""COMPUTED_VALUE"""),"Mike")</f>
        <v>Mike</v>
      </c>
      <c r="C208" s="718" t="str">
        <f>IFERROR(__xludf.DUMMYFUNCTION("""COMPUTED_VALUE"""),"Alex ")</f>
        <v>Alex </v>
      </c>
      <c r="D208" s="746" t="str">
        <f>IFERROR(__xludf.DUMMYFUNCTION("""COMPUTED_VALUE"""),"Haiti")</f>
        <v>Haiti</v>
      </c>
      <c r="E208" s="747" t="str">
        <f>IFERROR(__xludf.DUMMYFUNCTION("""COMPUTED_VALUE"""),"w. bancrofti")</f>
        <v>w. bancrofti</v>
      </c>
      <c r="F208" s="746" t="str">
        <f>IFERROR(__xludf.DUMMYFUNCTION("""COMPUTED_VALUE"""),"DEC")</f>
        <v>DEC</v>
      </c>
      <c r="G208" s="803" t="str">
        <f>IFERROR(__xludf.DUMMYFUNCTION("""COMPUTED_VALUE"""),"6mg/kg ")</f>
        <v>6mg/kg </v>
      </c>
      <c r="H208" s="40">
        <f>IFERROR(__xludf.DUMMYFUNCTION("""COMPUTED_VALUE"""),12.0)</f>
        <v>12</v>
      </c>
      <c r="I208" s="749">
        <f>IFERROR(__xludf.DUMMYFUNCTION("""COMPUTED_VALUE"""),0.9983)</f>
        <v>0.9983</v>
      </c>
      <c r="J208" s="749">
        <f>IFERROR(__xludf.DUMMYFUNCTION("""COMPUTED_VALUE"""),0.66)</f>
        <v>0.66</v>
      </c>
      <c r="K208" s="40" t="str">
        <f>IFERROR(__xludf.DUMMYFUNCTION("""COMPUTED_VALUE"""),"not available")</f>
        <v>not available</v>
      </c>
      <c r="L208" s="746">
        <f>IFERROR(__xludf.DUMMYFUNCTION("""COMPUTED_VALUE"""),9.0)</f>
        <v>9</v>
      </c>
      <c r="M208" s="750" t="str">
        <f>IFERROR(__xludf.DUMMYFUNCTION("""COMPUTED_VALUE"""),"16-65")</f>
        <v>16-65</v>
      </c>
      <c r="N208" s="806" t="str">
        <f>IFERROR(__xludf.DUMMYFUNCTION("""COMPUTED_VALUE"""),"not available")</f>
        <v>not available</v>
      </c>
      <c r="O208" s="746" t="str">
        <f>IFERROR(__xludf.DUMMYFUNCTION("""COMPUTED_VALUE"""),"microfilaria-positive Haitian volunteers between the ages of 16 and 65 years")</f>
        <v>microfilaria-positive Haitian volunteers between the ages of 16 and 65 years</v>
      </c>
      <c r="P208" s="40"/>
      <c r="Q208" s="40" t="str">
        <f>IFERROR(__xludf.DUMMYFUNCTION("""COMPUTED_VALUE"""),"yes")</f>
        <v>yes</v>
      </c>
      <c r="R208" s="40" t="str">
        <f>IFERROR(__xludf.DUMMYFUNCTION("""COMPUTED_VALUE"""),"yes")</f>
        <v>yes</v>
      </c>
      <c r="S208" s="746" t="str">
        <f>IFERROR(__xludf.DUMMYFUNCTION("""COMPUTED_VALUE"""),"2 years")</f>
        <v>2 years</v>
      </c>
      <c r="T208" s="746" t="str">
        <f>IFERROR(__xludf.DUMMYFUNCTION("""COMPUTED_VALUE"""),"Our findings suggest that a single dose of ivermectin can reduce transmission of lymphatic lilariasis for extended periods of time, thus eliminating the need for costly biannual treatment.")</f>
        <v>Our findings suggest that a single dose of ivermectin can reduce transmission of lymphatic lilariasis for extended periods of time, thus eliminating the need for costly biannual treatment.</v>
      </c>
      <c r="U208" s="746" t="str">
        <f>IFERROR(__xludf.DUMMYFUNCTION("""COMPUTED_VALUE"""),"All patients received a clearing dose of ivermectin (1mg) 5 days before receiving their treatment")</f>
        <v>All patients received a clearing dose of ivermectin (1mg) 5 days before receiving their treatment</v>
      </c>
      <c r="V208" s="752">
        <f>IFERROR(__xludf.DUMMYFUNCTION("""COMPUTED_VALUE"""),1992.0)</f>
        <v>1992</v>
      </c>
      <c r="W208" s="746">
        <f>IFERROR(__xludf.DUMMYFUNCTION("""COMPUTED_VALUE"""),1992.0)</f>
        <v>1992</v>
      </c>
      <c r="X208" s="790" t="str">
        <f>IFERROR(__xludf.DUMMYFUNCTION("""COMPUTED_VALUE"""),"Eberhard, Mark L., et al. ""Long-term suppression of microfilaraemia following ivermectin treatment."" Transactions of the Royal Society of Tropical Medicine and Hygiene 86.3 (1992): 287-288.")</f>
        <v>Eberhard, Mark L., et al. "Long-term suppression of microfilaraemia following ivermectin treatment." Transactions of the Royal Society of Tropical Medicine and Hygiene 86.3 (1992): 287-288.</v>
      </c>
      <c r="Y208" s="726" t="str">
        <f>IFERROR(__xludf.DUMMYFUNCTION("""COMPUTED_VALUE"""),"http://dx.doi.org/10.1016/0035-9203(92)90312-Z")</f>
        <v>http://dx.doi.org/10.1016/0035-9203(92)90312-Z</v>
      </c>
      <c r="Z208" s="727" t="str">
        <f>IFERROR(__xludf.DUMMYFUNCTION("""COMPUTED_VALUE"""),"https://drive.google.com/file/d/0B0qKRmtVkPtWY2F3VzEyanB5Ykk/view?usp=sharing")</f>
        <v>https://drive.google.com/file/d/0B0qKRmtVkPtWY2F3VzEyanB5Ykk/view?usp=sharing</v>
      </c>
      <c r="AA208" s="40" t="str">
        <f>IFERROR(__xludf.DUMMYFUNCTION("""COMPUTED_VALUE"""),"x")</f>
        <v>x</v>
      </c>
      <c r="AB208" s="40"/>
    </row>
    <row r="209">
      <c r="A209" s="745" t="str">
        <f>IFERROR(__xludf.DUMMYFUNCTION("""COMPUTED_VALUE"""),"Eberhard 1992")</f>
        <v>Eberhard 1992</v>
      </c>
      <c r="B209" s="746" t="str">
        <f>IFERROR(__xludf.DUMMYFUNCTION("""COMPUTED_VALUE"""),"Mike")</f>
        <v>Mike</v>
      </c>
      <c r="C209" s="718" t="str">
        <f>IFERROR(__xludf.DUMMYFUNCTION("""COMPUTED_VALUE"""),"Alex ")</f>
        <v>Alex </v>
      </c>
      <c r="D209" s="746" t="str">
        <f>IFERROR(__xludf.DUMMYFUNCTION("""COMPUTED_VALUE"""),"Haiti")</f>
        <v>Haiti</v>
      </c>
      <c r="E209" s="747" t="str">
        <f>IFERROR(__xludf.DUMMYFUNCTION("""COMPUTED_VALUE"""),"w. bancrofti")</f>
        <v>w. bancrofti</v>
      </c>
      <c r="F209" s="746" t="str">
        <f>IFERROR(__xludf.DUMMYFUNCTION("""COMPUTED_VALUE"""),"Ivermectin + placebo")</f>
        <v>Ivermectin + placebo</v>
      </c>
      <c r="G209" s="753" t="str">
        <f>IFERROR(__xludf.DUMMYFUNCTION("""COMPUTED_VALUE"""),".200mg/kg (day 1) + - (days 2-12)")</f>
        <v>.200mg/kg (day 1) + - (days 2-12)</v>
      </c>
      <c r="H209" s="40">
        <f>IFERROR(__xludf.DUMMYFUNCTION("""COMPUTED_VALUE"""),12.0)</f>
        <v>12</v>
      </c>
      <c r="I209" s="749">
        <f>IFERROR(__xludf.DUMMYFUNCTION("""COMPUTED_VALUE"""),0.9371)</f>
        <v>0.9371</v>
      </c>
      <c r="J209" s="749">
        <f>IFERROR(__xludf.DUMMYFUNCTION("""COMPUTED_VALUE"""),0.11)</f>
        <v>0.11</v>
      </c>
      <c r="K209" s="40" t="str">
        <f>IFERROR(__xludf.DUMMYFUNCTION("""COMPUTED_VALUE"""),"not available")</f>
        <v>not available</v>
      </c>
      <c r="L209" s="746">
        <f>IFERROR(__xludf.DUMMYFUNCTION("""COMPUTED_VALUE"""),9.0)</f>
        <v>9</v>
      </c>
      <c r="M209" s="750" t="str">
        <f>IFERROR(__xludf.DUMMYFUNCTION("""COMPUTED_VALUE"""),"16-65")</f>
        <v>16-65</v>
      </c>
      <c r="N209" s="806" t="str">
        <f>IFERROR(__xludf.DUMMYFUNCTION("""COMPUTED_VALUE"""),"not available")</f>
        <v>not available</v>
      </c>
      <c r="O209" s="746" t="str">
        <f>IFERROR(__xludf.DUMMYFUNCTION("""COMPUTED_VALUE"""),"microfilaria-positive Haitian volunteers between the ages of 16 and 65 years")</f>
        <v>microfilaria-positive Haitian volunteers between the ages of 16 and 65 years</v>
      </c>
      <c r="P209" s="40"/>
      <c r="Q209" s="40" t="str">
        <f>IFERROR(__xludf.DUMMYFUNCTION("""COMPUTED_VALUE"""),"yes")</f>
        <v>yes</v>
      </c>
      <c r="R209" s="40" t="str">
        <f>IFERROR(__xludf.DUMMYFUNCTION("""COMPUTED_VALUE"""),"yes")</f>
        <v>yes</v>
      </c>
      <c r="S209" s="746" t="str">
        <f>IFERROR(__xludf.DUMMYFUNCTION("""COMPUTED_VALUE"""),"2 years")</f>
        <v>2 years</v>
      </c>
      <c r="T209" s="746" t="str">
        <f>IFERROR(__xludf.DUMMYFUNCTION("""COMPUTED_VALUE"""),"Our findings suggest that a single dose of ivermectin can reduce transmission of lymphatic lilariasis for extended periods of time, thus eliminating the need for costly biannual treatment.")</f>
        <v>Our findings suggest that a single dose of ivermectin can reduce transmission of lymphatic lilariasis for extended periods of time, thus eliminating the need for costly biannual treatment.</v>
      </c>
      <c r="U209" s="746" t="str">
        <f>IFERROR(__xludf.DUMMYFUNCTION("""COMPUTED_VALUE"""),"All patients received a clearing dose of ivermectin (1mg) 5 days before receiving their treatment")</f>
        <v>All patients received a clearing dose of ivermectin (1mg) 5 days before receiving their treatment</v>
      </c>
      <c r="V209" s="752">
        <f>IFERROR(__xludf.DUMMYFUNCTION("""COMPUTED_VALUE"""),1992.0)</f>
        <v>1992</v>
      </c>
      <c r="W209" s="746">
        <f>IFERROR(__xludf.DUMMYFUNCTION("""COMPUTED_VALUE"""),1992.0)</f>
        <v>1992</v>
      </c>
      <c r="X209" s="790" t="str">
        <f>IFERROR(__xludf.DUMMYFUNCTION("""COMPUTED_VALUE"""),"Eberhard, Mark L., et al. ""Long-term suppression of microfilaraemia following ivermectin treatment."" Transactions of the Royal Society of Tropical Medicine and Hygiene 86.3 (1992): 287-288.")</f>
        <v>Eberhard, Mark L., et al. "Long-term suppression of microfilaraemia following ivermectin treatment." Transactions of the Royal Society of Tropical Medicine and Hygiene 86.3 (1992): 287-288.</v>
      </c>
      <c r="Y209" s="726" t="str">
        <f>IFERROR(__xludf.DUMMYFUNCTION("""COMPUTED_VALUE"""),"http://dx.doi.org/10.1016/0035-9203(92)90312-Z")</f>
        <v>http://dx.doi.org/10.1016/0035-9203(92)90312-Z</v>
      </c>
      <c r="Z209" s="727" t="str">
        <f>IFERROR(__xludf.DUMMYFUNCTION("""COMPUTED_VALUE"""),"https://drive.google.com/file/d/0B0qKRmtVkPtWY2F3VzEyanB5Ykk/view?usp=sharing")</f>
        <v>https://drive.google.com/file/d/0B0qKRmtVkPtWY2F3VzEyanB5Ykk/view?usp=sharing</v>
      </c>
      <c r="AA209" s="40" t="str">
        <f>IFERROR(__xludf.DUMMYFUNCTION("""COMPUTED_VALUE"""),"x")</f>
        <v>x</v>
      </c>
      <c r="AB209" s="40"/>
    </row>
    <row r="210">
      <c r="A210" s="745" t="str">
        <f>IFERROR(__xludf.DUMMYFUNCTION("""COMPUTED_VALUE"""),"Eberhard 1992")</f>
        <v>Eberhard 1992</v>
      </c>
      <c r="B210" s="746" t="str">
        <f>IFERROR(__xludf.DUMMYFUNCTION("""COMPUTED_VALUE"""),"Mike")</f>
        <v>Mike</v>
      </c>
      <c r="C210" s="718" t="str">
        <f>IFERROR(__xludf.DUMMYFUNCTION("""COMPUTED_VALUE"""),"Alex ")</f>
        <v>Alex </v>
      </c>
      <c r="D210" s="746" t="str">
        <f>IFERROR(__xludf.DUMMYFUNCTION("""COMPUTED_VALUE"""),"Haiti")</f>
        <v>Haiti</v>
      </c>
      <c r="E210" s="747" t="str">
        <f>IFERROR(__xludf.DUMMYFUNCTION("""COMPUTED_VALUE"""),"w. bancrofti")</f>
        <v>w. bancrofti</v>
      </c>
      <c r="F210" s="746" t="str">
        <f>IFERROR(__xludf.DUMMYFUNCTION("""COMPUTED_VALUE"""),"Ivermectin + placebo")</f>
        <v>Ivermectin + placebo</v>
      </c>
      <c r="G210" s="746" t="str">
        <f>IFERROR(__xludf.DUMMYFUNCTION("""COMPUTED_VALUE"""),".200mg/kg (days 1 &amp; 2) + - (days 3-12)")</f>
        <v>.200mg/kg (days 1 &amp; 2) + - (days 3-12)</v>
      </c>
      <c r="H210" s="40">
        <f>IFERROR(__xludf.DUMMYFUNCTION("""COMPUTED_VALUE"""),12.0)</f>
        <v>12</v>
      </c>
      <c r="I210" s="749">
        <f>IFERROR(__xludf.DUMMYFUNCTION("""COMPUTED_VALUE"""),0.9373)</f>
        <v>0.9373</v>
      </c>
      <c r="J210" s="749">
        <f>IFERROR(__xludf.DUMMYFUNCTION("""COMPUTED_VALUE"""),0.125)</f>
        <v>0.125</v>
      </c>
      <c r="K210" s="40" t="str">
        <f>IFERROR(__xludf.DUMMYFUNCTION("""COMPUTED_VALUE"""),"not available")</f>
        <v>not available</v>
      </c>
      <c r="L210" s="746">
        <f>IFERROR(__xludf.DUMMYFUNCTION("""COMPUTED_VALUE"""),8.0)</f>
        <v>8</v>
      </c>
      <c r="M210" s="750" t="str">
        <f>IFERROR(__xludf.DUMMYFUNCTION("""COMPUTED_VALUE"""),"16-65")</f>
        <v>16-65</v>
      </c>
      <c r="N210" s="806" t="str">
        <f>IFERROR(__xludf.DUMMYFUNCTION("""COMPUTED_VALUE"""),"not available")</f>
        <v>not available</v>
      </c>
      <c r="O210" s="746" t="str">
        <f>IFERROR(__xludf.DUMMYFUNCTION("""COMPUTED_VALUE"""),"microfilaria-positive Haitian volunteers between the ages of 16 and 65 years")</f>
        <v>microfilaria-positive Haitian volunteers between the ages of 16 and 65 years</v>
      </c>
      <c r="P210" s="40"/>
      <c r="Q210" s="40" t="str">
        <f>IFERROR(__xludf.DUMMYFUNCTION("""COMPUTED_VALUE"""),"yes")</f>
        <v>yes</v>
      </c>
      <c r="R210" s="40" t="str">
        <f>IFERROR(__xludf.DUMMYFUNCTION("""COMPUTED_VALUE"""),"yes")</f>
        <v>yes</v>
      </c>
      <c r="S210" s="746" t="str">
        <f>IFERROR(__xludf.DUMMYFUNCTION("""COMPUTED_VALUE"""),"2 years")</f>
        <v>2 years</v>
      </c>
      <c r="T210" s="746" t="str">
        <f>IFERROR(__xludf.DUMMYFUNCTION("""COMPUTED_VALUE"""),"Our findings suggest that a single dose of ivermectin can reduce transmission of lymphatic lilariasis for extended periods of time, thus eliminating the need for costly biannual treatment.")</f>
        <v>Our findings suggest that a single dose of ivermectin can reduce transmission of lymphatic lilariasis for extended periods of time, thus eliminating the need for costly biannual treatment.</v>
      </c>
      <c r="U210" s="746" t="str">
        <f>IFERROR(__xludf.DUMMYFUNCTION("""COMPUTED_VALUE"""),"All patients received a clearing dose of ivermectin (1mg) 5 days before receiving their treatment")</f>
        <v>All patients received a clearing dose of ivermectin (1mg) 5 days before receiving their treatment</v>
      </c>
      <c r="V210" s="752">
        <f>IFERROR(__xludf.DUMMYFUNCTION("""COMPUTED_VALUE"""),1992.0)</f>
        <v>1992</v>
      </c>
      <c r="W210" s="746">
        <f>IFERROR(__xludf.DUMMYFUNCTION("""COMPUTED_VALUE"""),1992.0)</f>
        <v>1992</v>
      </c>
      <c r="X210" s="790" t="str">
        <f>IFERROR(__xludf.DUMMYFUNCTION("""COMPUTED_VALUE"""),"Eberhard, Mark L., et al. ""Long-term suppression of microfilaraemia following ivermectin treatment."" Transactions of the Royal Society of Tropical Medicine and Hygiene 86.3 (1992): 287-288.")</f>
        <v>Eberhard, Mark L., et al. "Long-term suppression of microfilaraemia following ivermectin treatment." Transactions of the Royal Society of Tropical Medicine and Hygiene 86.3 (1992): 287-288.</v>
      </c>
      <c r="Y210" s="726" t="str">
        <f>IFERROR(__xludf.DUMMYFUNCTION("""COMPUTED_VALUE"""),"http://dx.doi.org/10.1016/0035-9203(92)90312-Z")</f>
        <v>http://dx.doi.org/10.1016/0035-9203(92)90312-Z</v>
      </c>
      <c r="Z210" s="727" t="str">
        <f>IFERROR(__xludf.DUMMYFUNCTION("""COMPUTED_VALUE"""),"https://drive.google.com/file/d/0B0qKRmtVkPtWY2F3VzEyanB5Ykk/view?usp=sharing")</f>
        <v>https://drive.google.com/file/d/0B0qKRmtVkPtWY2F3VzEyanB5Ykk/view?usp=sharing</v>
      </c>
      <c r="AA210" s="40" t="str">
        <f>IFERROR(__xludf.DUMMYFUNCTION("""COMPUTED_VALUE"""),"x")</f>
        <v>x</v>
      </c>
      <c r="AB210" s="40"/>
    </row>
    <row r="211">
      <c r="A211" s="717" t="str">
        <f>IFERROR(__xludf.DUMMYFUNCTION("""COMPUTED_VALUE"""),"Jain 1988")</f>
        <v>Jain 1988</v>
      </c>
      <c r="B211" s="40" t="str">
        <f>IFERROR(__xludf.DUMMYFUNCTION("""COMPUTED_VALUE"""),"Mike")</f>
        <v>Mike</v>
      </c>
      <c r="C211" s="718" t="str">
        <f>IFERROR(__xludf.DUMMYFUNCTION("""COMPUTED_VALUE"""),"Alex ")</f>
        <v>Alex </v>
      </c>
      <c r="D211" s="718" t="str">
        <f>IFERROR(__xludf.DUMMYFUNCTION("""COMPUTED_VALUE"""),"India")</f>
        <v>India</v>
      </c>
      <c r="E211" s="40" t="str">
        <f>IFERROR(__xludf.DUMMYFUNCTION("""COMPUTED_VALUE"""),"w. bancrofti")</f>
        <v>w. bancrofti</v>
      </c>
      <c r="F211" s="718" t="str">
        <f>IFERROR(__xludf.DUMMYFUNCTION("""COMPUTED_VALUE"""),"DEC")</f>
        <v>DEC</v>
      </c>
      <c r="G211" s="40" t="str">
        <f>IFERROR(__xludf.DUMMYFUNCTION("""COMPUTED_VALUE"""),"9mg/kg")</f>
        <v>9mg/kg</v>
      </c>
      <c r="H211" s="40">
        <f>IFERROR(__xludf.DUMMYFUNCTION("""COMPUTED_VALUE"""),12.0)</f>
        <v>12</v>
      </c>
      <c r="I211" s="720">
        <f>IFERROR(__xludf.DUMMYFUNCTION("""COMPUTED_VALUE"""),0.4625)</f>
        <v>0.4625</v>
      </c>
      <c r="J211" s="741">
        <f>IFERROR(__xludf.DUMMYFUNCTION("""COMPUTED_VALUE"""),0.1957)</f>
        <v>0.1957</v>
      </c>
      <c r="K211" s="40" t="str">
        <f>IFERROR(__xludf.DUMMYFUNCTION("""COMPUTED_VALUE"""),"not available")</f>
        <v>not available</v>
      </c>
      <c r="L211" s="40">
        <f>IFERROR(__xludf.DUMMYFUNCTION("""COMPUTED_VALUE"""),858.0)</f>
        <v>858</v>
      </c>
      <c r="M211" s="214" t="str">
        <f>IFERROR(__xludf.DUMMYFUNCTION("""COMPUTED_VALUE"""),"not available")</f>
        <v>not available</v>
      </c>
      <c r="N211" s="806" t="str">
        <f>IFERROR(__xludf.DUMMYFUNCTION("""COMPUTED_VALUE"""),"not available")</f>
        <v>not available</v>
      </c>
      <c r="O211" s="718" t="str">
        <f>IFERROR(__xludf.DUMMYFUNCTION("""COMPUTED_VALUE"""),"lives in one of five selected areas around Calicut")</f>
        <v>lives in one of five selected areas around Calicut</v>
      </c>
      <c r="P211" s="40" t="str">
        <f>IFERROR(__xludf.DUMMYFUNCTION("""COMPUTED_VALUE"""),"clinical trial")</f>
        <v>clinical trial</v>
      </c>
      <c r="Q211" s="40" t="str">
        <f>IFERROR(__xludf.DUMMYFUNCTION("""COMPUTED_VALUE"""),"no")</f>
        <v>no</v>
      </c>
      <c r="R211" s="40" t="str">
        <f>IFERROR(__xludf.DUMMYFUNCTION("""COMPUTED_VALUE"""),"no")</f>
        <v>no</v>
      </c>
      <c r="S211" s="746" t="str">
        <f>IFERROR(__xludf.DUMMYFUNCTION("""COMPUTED_VALUE"""),"13 months")</f>
        <v>13 months</v>
      </c>
      <c r="T211" s="718" t="str">
        <f>IFERROR(__xludf.DUMMYFUNCTION("""COMPUTED_VALUE"""),"The reduction in the infection/infectivity rates as a result of therapy was significant, but no significant differences was seen between the arease where different doses were tried.")</f>
        <v>The reduction in the infection/infectivity rates as a result of therapy was significant, but no significant differences was seen between the arease where different doses were tried.</v>
      </c>
      <c r="U211" s="40"/>
      <c r="V211" s="752">
        <f>IFERROR(__xludf.DUMMYFUNCTION("""COMPUTED_VALUE"""),1988.0)</f>
        <v>1988</v>
      </c>
      <c r="W211" s="718">
        <f>IFERROR(__xludf.DUMMYFUNCTION("""COMPUTED_VALUE"""),1988.0)</f>
        <v>1988</v>
      </c>
      <c r="X211" s="730" t="str">
        <f>IFERROR(__xludf.DUMMYFUNCTION("""COMPUTED_VALUE"""),"Practical and effective dose schedule of diethylcarbamazine (DEC) against bancroftian filariasis for mass therapy campaigns")</f>
        <v>Practical and effective dose schedule of diethylcarbamazine (DEC) against bancroftian filariasis for mass therapy campaigns</v>
      </c>
      <c r="Y211" s="726" t="str">
        <f>IFERROR(__xludf.DUMMYFUNCTION("""COMPUTED_VALUE"""),"not available")</f>
        <v>not available</v>
      </c>
      <c r="Z211" s="727" t="str">
        <f>IFERROR(__xludf.DUMMYFUNCTION("""COMPUTED_VALUE"""),"https://drive.google.com/file/d/0B0qKRmtVkPtWMFJtNUt3TWtuNXM/view?usp=sharing")</f>
        <v>https://drive.google.com/file/d/0B0qKRmtVkPtWMFJtNUt3TWtuNXM/view?usp=sharing</v>
      </c>
      <c r="AA211" s="40" t="str">
        <f>IFERROR(__xludf.DUMMYFUNCTION("""COMPUTED_VALUE"""),"x")</f>
        <v>x</v>
      </c>
      <c r="AB211" s="40"/>
    </row>
    <row r="212">
      <c r="A212" s="728" t="str">
        <f>IFERROR(__xludf.DUMMYFUNCTION("""COMPUTED_VALUE"""),"Jain 1988")</f>
        <v>Jain 1988</v>
      </c>
      <c r="B212" s="730" t="str">
        <f>IFERROR(__xludf.DUMMYFUNCTION("""COMPUTED_VALUE"""),"Mike")</f>
        <v>Mike</v>
      </c>
      <c r="C212" s="730" t="str">
        <f>IFERROR(__xludf.DUMMYFUNCTION("""COMPUTED_VALUE"""),"Alex")</f>
        <v>Alex</v>
      </c>
      <c r="D212" s="730" t="str">
        <f>IFERROR(__xludf.DUMMYFUNCTION("""COMPUTED_VALUE"""),"India")</f>
        <v>India</v>
      </c>
      <c r="E212" s="730" t="str">
        <f>IFERROR(__xludf.DUMMYFUNCTION("""COMPUTED_VALUE"""),"w. bancrofti")</f>
        <v>w. bancrofti</v>
      </c>
      <c r="F212" s="730" t="str">
        <f>IFERROR(__xludf.DUMMYFUNCTION("""COMPUTED_VALUE"""),"DEC")</f>
        <v>DEC</v>
      </c>
      <c r="G212" s="730" t="str">
        <f>IFERROR(__xludf.DUMMYFUNCTION("""COMPUTED_VALUE"""),"9mg/kg")</f>
        <v>9mg/kg</v>
      </c>
      <c r="H212" s="730">
        <f>IFERROR(__xludf.DUMMYFUNCTION("""COMPUTED_VALUE"""),8.0)</f>
        <v>8</v>
      </c>
      <c r="I212" s="774">
        <f>IFERROR(__xludf.DUMMYFUNCTION("""COMPUTED_VALUE"""),0.3472)</f>
        <v>0.3472</v>
      </c>
      <c r="J212" s="774">
        <f>IFERROR(__xludf.DUMMYFUNCTION("""COMPUTED_VALUE"""),-0.2)</f>
        <v>-0.2</v>
      </c>
      <c r="K212" s="40" t="str">
        <f>IFERROR(__xludf.DUMMYFUNCTION("""COMPUTED_VALUE"""),"not available")</f>
        <v>not available</v>
      </c>
      <c r="L212" s="734">
        <f>IFERROR(__xludf.DUMMYFUNCTION("""COMPUTED_VALUE"""),882.0)</f>
        <v>882</v>
      </c>
      <c r="M212" s="730" t="str">
        <f>IFERROR(__xludf.DUMMYFUNCTION("""COMPUTED_VALUE"""),"not available")</f>
        <v>not available</v>
      </c>
      <c r="N212" s="812" t="str">
        <f>IFERROR(__xludf.DUMMYFUNCTION("""COMPUTED_VALUE"""),"not available")</f>
        <v>not available</v>
      </c>
      <c r="O212" s="730" t="str">
        <f>IFERROR(__xludf.DUMMYFUNCTION("""COMPUTED_VALUE"""),"not specified")</f>
        <v>not specified</v>
      </c>
      <c r="P212" s="748" t="str">
        <f>IFERROR(__xludf.DUMMYFUNCTION("""COMPUTED_VALUE"""),"clinical trial")</f>
        <v>clinical trial</v>
      </c>
      <c r="Q212" s="40" t="str">
        <f>IFERROR(__xludf.DUMMYFUNCTION("""COMPUTED_VALUE"""),"no")</f>
        <v>no</v>
      </c>
      <c r="R212" s="40" t="str">
        <f>IFERROR(__xludf.DUMMYFUNCTION("""COMPUTED_VALUE"""),"no")</f>
        <v>no</v>
      </c>
      <c r="S212" s="730" t="str">
        <f>IFERROR(__xludf.DUMMYFUNCTION("""COMPUTED_VALUE"""),"13 months")</f>
        <v>13 months</v>
      </c>
      <c r="T212" s="730" t="str">
        <f>IFERROR(__xludf.DUMMYFUNCTION("""COMPUTED_VALUE"""),"The reduction in the infection/infectivity rates as a result of therapy was significant, but no significant differences was seen between the arease where different doses were tried.")</f>
        <v>The reduction in the infection/infectivity rates as a result of therapy was significant, but no significant differences was seen between the arease where different doses were tried.</v>
      </c>
      <c r="U212" s="40"/>
      <c r="V212" s="737">
        <f>IFERROR(__xludf.DUMMYFUNCTION("""COMPUTED_VALUE"""),1988.0)</f>
        <v>1988</v>
      </c>
      <c r="W212" s="718">
        <f>IFERROR(__xludf.DUMMYFUNCTION("""COMPUTED_VALUE"""),1988.0)</f>
        <v>1988</v>
      </c>
      <c r="X212" s="779" t="str">
        <f>IFERROR(__xludf.DUMMYFUNCTION("""COMPUTED_VALUE"""),"Practical and effective dose schedule of diethylcarbamazine (DEC) against bancroftian filariasis for mass therapy campaigns")</f>
        <v>Practical and effective dose schedule of diethylcarbamazine (DEC) against bancroftian filariasis for mass therapy campaigns</v>
      </c>
      <c r="Y212" s="726" t="str">
        <f>IFERROR(__xludf.DUMMYFUNCTION("""COMPUTED_VALUE"""),"not available")</f>
        <v>not available</v>
      </c>
      <c r="Z212" s="727" t="str">
        <f>IFERROR(__xludf.DUMMYFUNCTION("""COMPUTED_VALUE"""),"https://drive.google.com/file/d/0B0qKRmtVkPtWMFJtNUt3TWtuNXM/view?usp=sharing")</f>
        <v>https://drive.google.com/file/d/0B0qKRmtVkPtWMFJtNUt3TWtuNXM/view?usp=sharing</v>
      </c>
      <c r="AA212" s="40" t="str">
        <f>IFERROR(__xludf.DUMMYFUNCTION("""COMPUTED_VALUE"""),"x")</f>
        <v>x</v>
      </c>
      <c r="AB212" s="40"/>
    </row>
    <row r="213">
      <c r="A213" s="728" t="str">
        <f>IFERROR(__xludf.DUMMYFUNCTION("""COMPUTED_VALUE"""),"Jain 1988")</f>
        <v>Jain 1988</v>
      </c>
      <c r="B213" s="730" t="str">
        <f>IFERROR(__xludf.DUMMYFUNCTION("""COMPUTED_VALUE"""),"Mike")</f>
        <v>Mike</v>
      </c>
      <c r="C213" s="730" t="str">
        <f>IFERROR(__xludf.DUMMYFUNCTION("""COMPUTED_VALUE"""),"Alex")</f>
        <v>Alex</v>
      </c>
      <c r="D213" s="730" t="str">
        <f>IFERROR(__xludf.DUMMYFUNCTION("""COMPUTED_VALUE"""),"India")</f>
        <v>India</v>
      </c>
      <c r="E213" s="730" t="str">
        <f>IFERROR(__xludf.DUMMYFUNCTION("""COMPUTED_VALUE"""),"w. bancrofti")</f>
        <v>w. bancrofti</v>
      </c>
      <c r="F213" s="730" t="str">
        <f>IFERROR(__xludf.DUMMYFUNCTION("""COMPUTED_VALUE"""),"DEC")</f>
        <v>DEC</v>
      </c>
      <c r="G213" s="730" t="str">
        <f>IFERROR(__xludf.DUMMYFUNCTION("""COMPUTED_VALUE"""),"9mg/kg")</f>
        <v>9mg/kg</v>
      </c>
      <c r="H213" s="730">
        <f>IFERROR(__xludf.DUMMYFUNCTION("""COMPUTED_VALUE"""),6.0)</f>
        <v>6</v>
      </c>
      <c r="I213" s="773">
        <f>IFERROR(__xludf.DUMMYFUNCTION("""COMPUTED_VALUE"""),0.378)</f>
        <v>0.378</v>
      </c>
      <c r="J213" s="774">
        <f>IFERROR(__xludf.DUMMYFUNCTION("""COMPUTED_VALUE"""),0.2)</f>
        <v>0.2</v>
      </c>
      <c r="K213" s="40" t="str">
        <f>IFERROR(__xludf.DUMMYFUNCTION("""COMPUTED_VALUE"""),"not available")</f>
        <v>not available</v>
      </c>
      <c r="L213" s="734">
        <f>IFERROR(__xludf.DUMMYFUNCTION("""COMPUTED_VALUE"""),840.0)</f>
        <v>840</v>
      </c>
      <c r="M213" s="730" t="str">
        <f>IFERROR(__xludf.DUMMYFUNCTION("""COMPUTED_VALUE"""),"not available")</f>
        <v>not available</v>
      </c>
      <c r="N213" s="735" t="str">
        <f>IFERROR(__xludf.DUMMYFUNCTION("""COMPUTED_VALUE"""),"not available")</f>
        <v>not available</v>
      </c>
      <c r="O213" s="730" t="str">
        <f>IFERROR(__xludf.DUMMYFUNCTION("""COMPUTED_VALUE"""),"not specified")</f>
        <v>not specified</v>
      </c>
      <c r="P213" s="748" t="str">
        <f>IFERROR(__xludf.DUMMYFUNCTION("""COMPUTED_VALUE"""),"clinical trial")</f>
        <v>clinical trial</v>
      </c>
      <c r="Q213" s="40" t="str">
        <f>IFERROR(__xludf.DUMMYFUNCTION("""COMPUTED_VALUE"""),"no")</f>
        <v>no</v>
      </c>
      <c r="R213" s="40" t="str">
        <f>IFERROR(__xludf.DUMMYFUNCTION("""COMPUTED_VALUE"""),"no")</f>
        <v>no</v>
      </c>
      <c r="S213" s="730" t="str">
        <f>IFERROR(__xludf.DUMMYFUNCTION("""COMPUTED_VALUE"""),"13 months")</f>
        <v>13 months</v>
      </c>
      <c r="T213" s="813" t="str">
        <f>IFERROR(__xludf.DUMMYFUNCTION("""COMPUTED_VALUE"""),"The reduction in the infection/infectivity rates as a result of therapy was significant, but no significant differences was seen between the arease where different doses were tried.")</f>
        <v>The reduction in the infection/infectivity rates as a result of therapy was significant, but no significant differences was seen between the arease where different doses were tried.</v>
      </c>
      <c r="U213" s="813"/>
      <c r="V213" s="737">
        <f>IFERROR(__xludf.DUMMYFUNCTION("""COMPUTED_VALUE"""),1988.0)</f>
        <v>1988</v>
      </c>
      <c r="W213" s="718">
        <f>IFERROR(__xludf.DUMMYFUNCTION("""COMPUTED_VALUE"""),1988.0)</f>
        <v>1988</v>
      </c>
      <c r="X213" s="40" t="str">
        <f>IFERROR(__xludf.DUMMYFUNCTION("""COMPUTED_VALUE"""),"Practical and effective dose schedule of diethylcarbamazine (DEC) against bancroftian filariasis for mass therapy campaigns")</f>
        <v>Practical and effective dose schedule of diethylcarbamazine (DEC) against bancroftian filariasis for mass therapy campaigns</v>
      </c>
      <c r="Y213" s="738" t="str">
        <f>IFERROR(__xludf.DUMMYFUNCTION("""COMPUTED_VALUE"""),"not available")</f>
        <v>not available</v>
      </c>
      <c r="Z213" s="727" t="str">
        <f>IFERROR(__xludf.DUMMYFUNCTION("""COMPUTED_VALUE"""),"https://drive.google.com/file/d/0B0qKRmtVkPtWMFJtNUt3TWtuNXM/view?usp=sharing")</f>
        <v>https://drive.google.com/file/d/0B0qKRmtVkPtWMFJtNUt3TWtuNXM/view?usp=sharing</v>
      </c>
      <c r="AA213" s="40" t="str">
        <f>IFERROR(__xludf.DUMMYFUNCTION("""COMPUTED_VALUE"""),"x")</f>
        <v>x</v>
      </c>
      <c r="AB213" s="40"/>
    </row>
    <row r="214">
      <c r="A214" s="728" t="str">
        <f>IFERROR(__xludf.DUMMYFUNCTION("""COMPUTED_VALUE"""),"Jain 1988")</f>
        <v>Jain 1988</v>
      </c>
      <c r="B214" s="730" t="str">
        <f>IFERROR(__xludf.DUMMYFUNCTION("""COMPUTED_VALUE"""),"Mike")</f>
        <v>Mike</v>
      </c>
      <c r="C214" s="730" t="str">
        <f>IFERROR(__xludf.DUMMYFUNCTION("""COMPUTED_VALUE"""),"Alex")</f>
        <v>Alex</v>
      </c>
      <c r="D214" s="730" t="str">
        <f>IFERROR(__xludf.DUMMYFUNCTION("""COMPUTED_VALUE"""),"India")</f>
        <v>India</v>
      </c>
      <c r="E214" s="730" t="str">
        <f>IFERROR(__xludf.DUMMYFUNCTION("""COMPUTED_VALUE"""),"w. bancrofti")</f>
        <v>w. bancrofti</v>
      </c>
      <c r="F214" s="730" t="str">
        <f>IFERROR(__xludf.DUMMYFUNCTION("""COMPUTED_VALUE"""),"DEC")</f>
        <v>DEC</v>
      </c>
      <c r="G214" s="730" t="str">
        <f>IFERROR(__xludf.DUMMYFUNCTION("""COMPUTED_VALUE"""),"9mg/kg")</f>
        <v>9mg/kg</v>
      </c>
      <c r="H214" s="730">
        <f>IFERROR(__xludf.DUMMYFUNCTION("""COMPUTED_VALUE"""),4.0)</f>
        <v>4</v>
      </c>
      <c r="I214" s="773">
        <f>IFERROR(__xludf.DUMMYFUNCTION("""COMPUTED_VALUE"""),0.4375)</f>
        <v>0.4375</v>
      </c>
      <c r="J214" s="773">
        <f>IFERROR(__xludf.DUMMYFUNCTION("""COMPUTED_VALUE"""),-0.3333)</f>
        <v>-0.3333</v>
      </c>
      <c r="K214" s="40" t="str">
        <f>IFERROR(__xludf.DUMMYFUNCTION("""COMPUTED_VALUE"""),"not available")</f>
        <v>not available</v>
      </c>
      <c r="L214" s="734">
        <f>IFERROR(__xludf.DUMMYFUNCTION("""COMPUTED_VALUE"""),970.0)</f>
        <v>970</v>
      </c>
      <c r="M214" s="730" t="str">
        <f>IFERROR(__xludf.DUMMYFUNCTION("""COMPUTED_VALUE"""),"not available")</f>
        <v>not available</v>
      </c>
      <c r="N214" s="734" t="str">
        <f>IFERROR(__xludf.DUMMYFUNCTION("""COMPUTED_VALUE"""),"not available")</f>
        <v>not available</v>
      </c>
      <c r="O214" s="730" t="str">
        <f>IFERROR(__xludf.DUMMYFUNCTION("""COMPUTED_VALUE"""),"not specified")</f>
        <v>not specified</v>
      </c>
      <c r="P214" s="748" t="str">
        <f>IFERROR(__xludf.DUMMYFUNCTION("""COMPUTED_VALUE"""),"clinical trial")</f>
        <v>clinical trial</v>
      </c>
      <c r="Q214" s="40" t="str">
        <f>IFERROR(__xludf.DUMMYFUNCTION("""COMPUTED_VALUE"""),"no")</f>
        <v>no</v>
      </c>
      <c r="R214" s="40" t="str">
        <f>IFERROR(__xludf.DUMMYFUNCTION("""COMPUTED_VALUE"""),"no")</f>
        <v>no</v>
      </c>
      <c r="S214" s="730" t="str">
        <f>IFERROR(__xludf.DUMMYFUNCTION("""COMPUTED_VALUE"""),"13 months")</f>
        <v>13 months</v>
      </c>
      <c r="T214" s="813" t="str">
        <f>IFERROR(__xludf.DUMMYFUNCTION("""COMPUTED_VALUE"""),"The reduction in the infection/infectivity rates as a result of therapy was significant, but no significant differences was seen between the arease where different doses were tried.")</f>
        <v>The reduction in the infection/infectivity rates as a result of therapy was significant, but no significant differences was seen between the arease where different doses were tried.</v>
      </c>
      <c r="U214" s="813"/>
      <c r="V214" s="737">
        <f>IFERROR(__xludf.DUMMYFUNCTION("""COMPUTED_VALUE"""),1988.0)</f>
        <v>1988</v>
      </c>
      <c r="W214" s="718">
        <f>IFERROR(__xludf.DUMMYFUNCTION("""COMPUTED_VALUE"""),1988.0)</f>
        <v>1988</v>
      </c>
      <c r="X214" s="40" t="str">
        <f>IFERROR(__xludf.DUMMYFUNCTION("""COMPUTED_VALUE"""),"Practical and effective dose schedule of diethylcarbamazine (DEC) against bancroftian filariasis for mass therapy campaigns")</f>
        <v>Practical and effective dose schedule of diethylcarbamazine (DEC) against bancroftian filariasis for mass therapy campaigns</v>
      </c>
      <c r="Y214" s="738" t="str">
        <f>IFERROR(__xludf.DUMMYFUNCTION("""COMPUTED_VALUE"""),"not available")</f>
        <v>not available</v>
      </c>
      <c r="Z214" s="727" t="str">
        <f>IFERROR(__xludf.DUMMYFUNCTION("""COMPUTED_VALUE"""),"https://drive.google.com/file/d/0B0qKRmtVkPtWMFJtNUt3TWtuNXM/view?usp=sharing")</f>
        <v>https://drive.google.com/file/d/0B0qKRmtVkPtWMFJtNUt3TWtuNXM/view?usp=sharing</v>
      </c>
      <c r="AA214" s="40" t="str">
        <f>IFERROR(__xludf.DUMMYFUNCTION("""COMPUTED_VALUE"""),"x")</f>
        <v>x</v>
      </c>
      <c r="AB214" s="40"/>
    </row>
    <row r="215">
      <c r="A215" s="728" t="str">
        <f>IFERROR(__xludf.DUMMYFUNCTION("""COMPUTED_VALUE"""),"Jain 1988")</f>
        <v>Jain 1988</v>
      </c>
      <c r="B215" s="730" t="str">
        <f>IFERROR(__xludf.DUMMYFUNCTION("""COMPUTED_VALUE"""),"Mike")</f>
        <v>Mike</v>
      </c>
      <c r="C215" s="730" t="str">
        <f>IFERROR(__xludf.DUMMYFUNCTION("""COMPUTED_VALUE"""),"Alex")</f>
        <v>Alex</v>
      </c>
      <c r="D215" s="730" t="str">
        <f>IFERROR(__xludf.DUMMYFUNCTION("""COMPUTED_VALUE"""),"India")</f>
        <v>India</v>
      </c>
      <c r="E215" s="730" t="str">
        <f>IFERROR(__xludf.DUMMYFUNCTION("""COMPUTED_VALUE"""),"w. bancrofti")</f>
        <v>w. bancrofti</v>
      </c>
      <c r="F215" s="730" t="str">
        <f>IFERROR(__xludf.DUMMYFUNCTION("""COMPUTED_VALUE"""),"DEC")</f>
        <v>DEC</v>
      </c>
      <c r="G215" s="730" t="str">
        <f>IFERROR(__xludf.DUMMYFUNCTION("""COMPUTED_VALUE"""),"6mg/kg")</f>
        <v>6mg/kg</v>
      </c>
      <c r="H215" s="40">
        <f>IFERROR(__xludf.DUMMYFUNCTION("""COMPUTED_VALUE"""),12.0)</f>
        <v>12</v>
      </c>
      <c r="I215" s="773">
        <f>IFERROR(__xludf.DUMMYFUNCTION("""COMPUTED_VALUE"""),0.4142)</f>
        <v>0.4142</v>
      </c>
      <c r="J215" s="742">
        <f>IFERROR(__xludf.DUMMYFUNCTION("""COMPUTED_VALUE"""),0.2683)</f>
        <v>0.2683</v>
      </c>
      <c r="K215" s="40" t="str">
        <f>IFERROR(__xludf.DUMMYFUNCTION("""COMPUTED_VALUE"""),"not available")</f>
        <v>not available</v>
      </c>
      <c r="L215" s="734">
        <f>IFERROR(__xludf.DUMMYFUNCTION("""COMPUTED_VALUE"""),627.0)</f>
        <v>627</v>
      </c>
      <c r="M215" s="730" t="str">
        <f>IFERROR(__xludf.DUMMYFUNCTION("""COMPUTED_VALUE"""),"not available")</f>
        <v>not available</v>
      </c>
      <c r="N215" s="734" t="str">
        <f>IFERROR(__xludf.DUMMYFUNCTION("""COMPUTED_VALUE"""),"not available")</f>
        <v>not available</v>
      </c>
      <c r="O215" s="730" t="str">
        <f>IFERROR(__xludf.DUMMYFUNCTION("""COMPUTED_VALUE"""),"not specified")</f>
        <v>not specified</v>
      </c>
      <c r="P215" s="748" t="str">
        <f>IFERROR(__xludf.DUMMYFUNCTION("""COMPUTED_VALUE"""),"clinical trial")</f>
        <v>clinical trial</v>
      </c>
      <c r="Q215" s="40" t="str">
        <f>IFERROR(__xludf.DUMMYFUNCTION("""COMPUTED_VALUE"""),"no")</f>
        <v>no</v>
      </c>
      <c r="R215" s="40" t="str">
        <f>IFERROR(__xludf.DUMMYFUNCTION("""COMPUTED_VALUE"""),"no")</f>
        <v>no</v>
      </c>
      <c r="S215" s="730" t="str">
        <f>IFERROR(__xludf.DUMMYFUNCTION("""COMPUTED_VALUE"""),"13 months")</f>
        <v>13 months</v>
      </c>
      <c r="T215" s="730" t="str">
        <f>IFERROR(__xludf.DUMMYFUNCTION("""COMPUTED_VALUE"""),"The reduction in the infection/infectivity rates as a result of therapy was significant, but no significant differences was seen between the arease where different doses were tried.")</f>
        <v>The reduction in the infection/infectivity rates as a result of therapy was significant, but no significant differences was seen between the arease where different doses were tried.</v>
      </c>
      <c r="U215" s="40"/>
      <c r="V215" s="737">
        <f>IFERROR(__xludf.DUMMYFUNCTION("""COMPUTED_VALUE"""),1988.0)</f>
        <v>1988</v>
      </c>
      <c r="W215" s="718">
        <f>IFERROR(__xludf.DUMMYFUNCTION("""COMPUTED_VALUE"""),1988.0)</f>
        <v>1988</v>
      </c>
      <c r="X215" s="718" t="str">
        <f>IFERROR(__xludf.DUMMYFUNCTION("""COMPUTED_VALUE"""),"Practical and effective dose schedule of diethylcarbamazine (DEC) against bancroftian filariasis for mass therapy campaigns")</f>
        <v>Practical and effective dose schedule of diethylcarbamazine (DEC) against bancroftian filariasis for mass therapy campaigns</v>
      </c>
      <c r="Y215" s="738" t="str">
        <f>IFERROR(__xludf.DUMMYFUNCTION("""COMPUTED_VALUE"""),"not available")</f>
        <v>not available</v>
      </c>
      <c r="Z215" s="727" t="str">
        <f>IFERROR(__xludf.DUMMYFUNCTION("""COMPUTED_VALUE"""),"https://drive.google.com/file/d/0B0qKRmtVkPtWMFJtNUt3TWtuNXM/view?usp=sharing")</f>
        <v>https://drive.google.com/file/d/0B0qKRmtVkPtWMFJtNUt3TWtuNXM/view?usp=sharing</v>
      </c>
      <c r="AA215" s="40" t="str">
        <f>IFERROR(__xludf.DUMMYFUNCTION("""COMPUTED_VALUE"""),"x")</f>
        <v>x</v>
      </c>
      <c r="AB215" s="40"/>
    </row>
    <row r="216">
      <c r="A216" s="728"/>
      <c r="B216" s="730"/>
      <c r="C216" s="730"/>
      <c r="D216" s="730"/>
      <c r="E216" s="730"/>
      <c r="F216" s="730"/>
      <c r="G216" s="730"/>
      <c r="H216" s="40"/>
      <c r="I216" s="773"/>
      <c r="J216" s="742"/>
      <c r="K216" s="40"/>
      <c r="L216" s="734"/>
      <c r="M216" s="754"/>
      <c r="N216" s="778"/>
      <c r="O216" s="730"/>
      <c r="P216" s="748"/>
      <c r="Q216" s="40"/>
      <c r="R216" s="40"/>
      <c r="S216" s="730"/>
      <c r="T216" s="730"/>
      <c r="U216" s="40"/>
      <c r="V216" s="737"/>
      <c r="W216" s="718"/>
      <c r="X216" s="718"/>
      <c r="Y216" s="738"/>
      <c r="Z216" s="40"/>
      <c r="AA216" s="40"/>
      <c r="AB216" s="40"/>
    </row>
    <row r="217">
      <c r="A217" s="728"/>
      <c r="B217" s="730"/>
      <c r="C217" s="730"/>
      <c r="D217" s="730"/>
      <c r="E217" s="40"/>
      <c r="F217" s="730"/>
      <c r="G217" s="730"/>
      <c r="H217" s="730"/>
      <c r="I217" s="742"/>
      <c r="J217" s="742"/>
      <c r="K217" s="40"/>
      <c r="L217" s="730"/>
      <c r="M217" s="754"/>
      <c r="N217" s="778"/>
      <c r="O217" s="730"/>
      <c r="P217" s="748"/>
      <c r="Q217" s="40"/>
      <c r="R217" s="40"/>
      <c r="S217" s="730"/>
      <c r="T217" s="730"/>
      <c r="U217" s="40"/>
      <c r="V217" s="737"/>
      <c r="W217" s="718"/>
      <c r="X217" s="718"/>
      <c r="Y217" s="738"/>
      <c r="Z217" s="40"/>
      <c r="AA217" s="40"/>
      <c r="AB217" s="40"/>
    </row>
    <row r="218">
      <c r="A218" s="728"/>
      <c r="B218" s="730"/>
      <c r="C218" s="730"/>
      <c r="D218" s="730"/>
      <c r="E218" s="40"/>
      <c r="F218" s="730"/>
      <c r="G218" s="730"/>
      <c r="H218" s="40"/>
      <c r="I218" s="742"/>
      <c r="J218" s="742"/>
      <c r="K218" s="40"/>
      <c r="L218" s="730"/>
      <c r="M218" s="754"/>
      <c r="N218" s="778"/>
      <c r="O218" s="730"/>
      <c r="P218" s="748"/>
      <c r="Q218" s="40"/>
      <c r="R218" s="40"/>
      <c r="S218" s="730"/>
      <c r="T218" s="730"/>
      <c r="U218" s="40"/>
      <c r="V218" s="737"/>
      <c r="W218" s="718"/>
      <c r="X218" s="718"/>
      <c r="Y218" s="738"/>
      <c r="Z218" s="40"/>
      <c r="AA218" s="40"/>
      <c r="AB218" s="40"/>
    </row>
    <row r="219">
      <c r="A219" s="728"/>
      <c r="B219" s="730"/>
      <c r="C219" s="730"/>
      <c r="D219" s="730"/>
      <c r="E219" s="40"/>
      <c r="F219" s="814"/>
      <c r="G219" s="814"/>
      <c r="H219" s="814"/>
      <c r="I219" s="741"/>
      <c r="J219" s="741"/>
      <c r="K219" s="40"/>
      <c r="L219" s="40"/>
      <c r="M219" s="214"/>
      <c r="N219" s="806"/>
      <c r="O219" s="730"/>
      <c r="P219" s="748"/>
      <c r="Q219" s="40"/>
      <c r="R219" s="40"/>
      <c r="S219" s="730"/>
      <c r="T219" s="730"/>
      <c r="U219" s="40"/>
      <c r="V219" s="737"/>
      <c r="W219" s="718"/>
      <c r="X219" s="718"/>
      <c r="Y219" s="738"/>
      <c r="Z219" s="40"/>
      <c r="AA219" s="40"/>
      <c r="AB219" s="40"/>
    </row>
    <row r="220">
      <c r="A220" s="815"/>
      <c r="B220" s="814"/>
      <c r="C220" s="814"/>
      <c r="D220" s="814"/>
      <c r="E220" s="814"/>
      <c r="F220" s="814"/>
      <c r="G220" s="814"/>
      <c r="H220" s="814"/>
      <c r="I220" s="720"/>
      <c r="J220" s="741"/>
      <c r="K220" s="40"/>
      <c r="L220" s="746"/>
      <c r="M220" s="816"/>
      <c r="N220" s="758"/>
      <c r="O220" s="814"/>
      <c r="P220" s="817"/>
      <c r="Q220" s="40"/>
      <c r="R220" s="40"/>
      <c r="S220" s="814"/>
      <c r="T220" s="814"/>
      <c r="U220" s="40"/>
      <c r="V220" s="752"/>
      <c r="W220" s="718"/>
      <c r="X220" s="40"/>
      <c r="Y220" s="818"/>
      <c r="Z220" s="40"/>
      <c r="AA220" s="40"/>
      <c r="AB220" s="40"/>
    </row>
    <row r="221">
      <c r="A221" s="815"/>
      <c r="B221" s="814"/>
      <c r="C221" s="814"/>
      <c r="D221" s="814"/>
      <c r="E221" s="814"/>
      <c r="F221" s="814"/>
      <c r="G221" s="814"/>
      <c r="H221" s="814"/>
      <c r="I221" s="771"/>
      <c r="J221" s="783"/>
      <c r="K221" s="40"/>
      <c r="L221" s="746"/>
      <c r="M221" s="814"/>
      <c r="N221" s="746"/>
      <c r="O221" s="814"/>
      <c r="P221" s="817"/>
      <c r="Q221" s="40"/>
      <c r="R221" s="40"/>
      <c r="S221" s="814"/>
      <c r="T221" s="814"/>
      <c r="U221" s="40"/>
      <c r="V221" s="752"/>
      <c r="W221" s="718"/>
      <c r="X221" s="40"/>
      <c r="Y221" s="818"/>
      <c r="Z221" s="40"/>
      <c r="AA221" s="40"/>
      <c r="AB221" s="40"/>
    </row>
    <row r="222">
      <c r="A222" s="815"/>
      <c r="B222" s="814"/>
      <c r="C222" s="814"/>
      <c r="D222" s="814"/>
      <c r="E222" s="814"/>
      <c r="F222" s="814"/>
      <c r="G222" s="814"/>
      <c r="H222" s="814"/>
      <c r="I222" s="756"/>
      <c r="J222" s="783"/>
      <c r="K222" s="40"/>
      <c r="L222" s="746"/>
      <c r="M222" s="746"/>
      <c r="N222" s="746"/>
      <c r="O222" s="814"/>
      <c r="P222" s="817"/>
      <c r="Q222" s="40"/>
      <c r="R222" s="40"/>
      <c r="S222" s="814"/>
      <c r="T222" s="814"/>
      <c r="U222" s="40"/>
      <c r="V222" s="752"/>
      <c r="W222" s="718"/>
      <c r="X222" s="40"/>
      <c r="Y222" s="818"/>
      <c r="Z222" s="40"/>
      <c r="AA222" s="40"/>
      <c r="AB222" s="40"/>
    </row>
    <row r="223">
      <c r="A223" s="745"/>
      <c r="B223" s="746"/>
      <c r="C223" s="734"/>
      <c r="D223" s="746"/>
      <c r="E223" s="746"/>
      <c r="F223" s="734"/>
      <c r="G223" s="734"/>
      <c r="H223" s="734"/>
      <c r="I223" s="811"/>
      <c r="J223" s="216"/>
      <c r="K223" s="40"/>
      <c r="L223" s="734"/>
      <c r="M223" s="734"/>
      <c r="N223" s="734"/>
      <c r="O223" s="734"/>
      <c r="P223" s="817"/>
      <c r="Q223" s="40"/>
      <c r="R223" s="40"/>
      <c r="S223" s="746"/>
      <c r="T223" s="746"/>
      <c r="U223" s="734"/>
      <c r="V223" s="752"/>
      <c r="W223" s="718"/>
      <c r="X223" s="734"/>
      <c r="Y223" s="785"/>
      <c r="Z223" s="40"/>
      <c r="AA223" s="40"/>
      <c r="AB223" s="40"/>
    </row>
    <row r="224">
      <c r="A224" s="819" t="str">
        <f>IFERROR(__xludf.DUMMYFUNCTION("""COMPUTED_VALUE"""),"Not checked")</f>
        <v>Not checked</v>
      </c>
      <c r="B224" s="751"/>
      <c r="C224" s="748"/>
      <c r="D224" s="751"/>
      <c r="E224" s="751"/>
      <c r="F224" s="817"/>
      <c r="G224" s="748"/>
      <c r="H224" s="748"/>
      <c r="I224" s="820"/>
      <c r="J224" s="741"/>
      <c r="K224" s="40"/>
      <c r="L224" s="732"/>
      <c r="M224" s="821"/>
      <c r="N224" s="732"/>
      <c r="O224" s="748"/>
      <c r="P224" s="817"/>
      <c r="Q224" s="40"/>
      <c r="R224" s="40"/>
      <c r="S224" s="40"/>
      <c r="T224" s="817"/>
      <c r="U224" s="40"/>
      <c r="V224" s="760"/>
      <c r="W224" s="748"/>
      <c r="X224" s="748"/>
      <c r="Y224" s="822"/>
      <c r="Z224" s="40"/>
      <c r="AA224" s="40"/>
      <c r="AB224" s="40"/>
    </row>
    <row r="225">
      <c r="A225" s="815" t="str">
        <f>IFERROR(__xludf.DUMMYFUNCTION("""COMPUTED_VALUE"""),"Before 1990")</f>
        <v>Before 1990</v>
      </c>
      <c r="B225" s="746"/>
      <c r="C225" s="730"/>
      <c r="D225" s="746"/>
      <c r="E225" s="746"/>
      <c r="F225" s="814"/>
      <c r="G225" s="730"/>
      <c r="H225" s="730"/>
      <c r="I225" s="791"/>
      <c r="J225" s="741"/>
      <c r="K225" s="40"/>
      <c r="L225" s="734"/>
      <c r="M225" s="821"/>
      <c r="N225" s="734"/>
      <c r="O225" s="730"/>
      <c r="P225" s="817"/>
      <c r="Q225" s="40"/>
      <c r="R225" s="40"/>
      <c r="S225" s="40"/>
      <c r="T225" s="814"/>
      <c r="U225" s="40"/>
      <c r="V225" s="752"/>
      <c r="W225" s="730"/>
      <c r="X225" s="730"/>
      <c r="Y225" s="818"/>
      <c r="Z225" s="40"/>
      <c r="AA225" s="40"/>
      <c r="AB225" s="40"/>
    </row>
    <row r="226">
      <c r="A226" s="815" t="str">
        <f>IFERROR(__xludf.DUMMYFUNCTION("""COMPUTED_VALUE"""),"1990-2000")</f>
        <v>1990-2000</v>
      </c>
      <c r="B226" s="746"/>
      <c r="C226" s="730"/>
      <c r="D226" s="746"/>
      <c r="E226" s="746"/>
      <c r="F226" s="814"/>
      <c r="G226" s="40"/>
      <c r="H226" s="40"/>
      <c r="I226" s="791"/>
      <c r="J226" s="741"/>
      <c r="K226" s="40"/>
      <c r="L226" s="734"/>
      <c r="M226" s="821"/>
      <c r="N226" s="734"/>
      <c r="O226" s="730"/>
      <c r="P226" s="817"/>
      <c r="Q226" s="40"/>
      <c r="R226" s="40"/>
      <c r="S226" s="40"/>
      <c r="T226" s="814"/>
      <c r="U226" s="40"/>
      <c r="V226" s="752"/>
      <c r="W226" s="730"/>
      <c r="X226" s="730"/>
      <c r="Y226" s="818"/>
      <c r="Z226" s="40"/>
      <c r="AA226" s="40"/>
      <c r="AB226" s="40"/>
    </row>
    <row r="227">
      <c r="A227" s="728" t="str">
        <f>IFERROR(__xludf.DUMMYFUNCTION("""COMPUTED_VALUE"""),"2000-present")</f>
        <v>2000-present</v>
      </c>
      <c r="B227" s="40"/>
      <c r="C227" s="730"/>
      <c r="D227" s="730"/>
      <c r="E227" s="730"/>
      <c r="F227" s="730"/>
      <c r="G227" s="730"/>
      <c r="H227" s="730"/>
      <c r="I227" s="741"/>
      <c r="J227" s="741"/>
      <c r="K227" s="40"/>
      <c r="L227" s="734"/>
      <c r="M227" s="823"/>
      <c r="N227" s="734"/>
      <c r="O227" s="730"/>
      <c r="P227" s="748"/>
      <c r="Q227" s="730"/>
      <c r="R227" s="730"/>
      <c r="S227" s="730"/>
      <c r="T227" s="730"/>
      <c r="U227" s="40"/>
      <c r="V227" s="737"/>
      <c r="W227" s="730"/>
      <c r="X227" s="732"/>
      <c r="Y227" s="738"/>
      <c r="Z227" s="40"/>
      <c r="AA227" s="40"/>
      <c r="AB227" s="40"/>
    </row>
    <row r="228">
      <c r="A228" s="728" t="str">
        <f>IFERROR(__xludf.DUMMYFUNCTION("""COMPUTED_VALUE"""),"Included Pregnant Women")</f>
        <v>Included Pregnant Women</v>
      </c>
      <c r="B228" s="40"/>
      <c r="C228" s="730"/>
      <c r="D228" s="730"/>
      <c r="E228" s="730"/>
      <c r="F228" s="730"/>
      <c r="G228" s="730"/>
      <c r="H228" s="730"/>
      <c r="I228" s="40"/>
      <c r="J228" s="216"/>
      <c r="K228" s="40"/>
      <c r="L228" s="740"/>
      <c r="M228" s="823"/>
      <c r="N228" s="730"/>
      <c r="O228" s="730"/>
      <c r="P228" s="730"/>
      <c r="Q228" s="730"/>
      <c r="R228" s="730"/>
      <c r="S228" s="730"/>
      <c r="T228" s="730"/>
      <c r="U228" s="40"/>
      <c r="V228" s="730"/>
      <c r="W228" s="730"/>
      <c r="X228" s="730"/>
      <c r="Y228" s="738"/>
      <c r="Z228" s="40"/>
      <c r="AA228" s="40"/>
      <c r="AB228" s="40"/>
    </row>
    <row r="229">
      <c r="A229" s="728" t="str">
        <f>IFERROR(__xludf.DUMMYFUNCTION("""COMPUTED_VALUE"""),"only woman ")</f>
        <v>only woman </v>
      </c>
      <c r="B229" s="40"/>
      <c r="C229" s="730"/>
      <c r="D229" s="40"/>
      <c r="E229" s="40"/>
      <c r="F229" s="807"/>
      <c r="G229" s="40"/>
      <c r="H229" s="40"/>
      <c r="I229" s="40"/>
      <c r="J229" s="216"/>
      <c r="K229" s="40"/>
      <c r="L229" s="40"/>
      <c r="M229" s="40"/>
      <c r="N229" s="40"/>
      <c r="O229" s="40"/>
      <c r="P229" s="40"/>
      <c r="Q229" s="40"/>
      <c r="R229" s="40"/>
      <c r="S229" s="40"/>
      <c r="T229" s="730"/>
      <c r="U229" s="40"/>
      <c r="V229" s="40"/>
      <c r="W229" s="730"/>
      <c r="X229" s="730"/>
      <c r="Y229" s="738"/>
      <c r="Z229" s="40"/>
      <c r="AA229" s="40"/>
      <c r="AB229" s="40"/>
    </row>
    <row r="230">
      <c r="A230" s="728" t="str">
        <f>IFERROR(__xludf.DUMMYFUNCTION("""COMPUTED_VALUE"""),"only men")</f>
        <v>only men</v>
      </c>
      <c r="B230" s="40"/>
      <c r="C230" s="730"/>
      <c r="D230" s="730"/>
      <c r="E230" s="730"/>
      <c r="F230" s="755"/>
      <c r="G230" s="730"/>
      <c r="H230" s="730"/>
      <c r="I230" s="730"/>
      <c r="J230" s="216"/>
      <c r="K230" s="40"/>
      <c r="L230" s="734"/>
      <c r="M230" s="730"/>
      <c r="N230" s="734"/>
      <c r="O230" s="730"/>
      <c r="P230" s="748"/>
      <c r="Q230" s="730"/>
      <c r="R230" s="730"/>
      <c r="S230" s="730"/>
      <c r="T230" s="730"/>
      <c r="U230" s="40"/>
      <c r="V230" s="40"/>
      <c r="W230" s="730"/>
      <c r="X230" s="730"/>
      <c r="Y230" s="738"/>
      <c r="Z230" s="40"/>
      <c r="AA230" s="40"/>
      <c r="AB230" s="40"/>
    </row>
    <row r="231">
      <c r="A231" s="728" t="str">
        <f>IFERROR(__xludf.DUMMYFUNCTION("""COMPUTED_VALUE"""),"Randomised")</f>
        <v>Randomised</v>
      </c>
      <c r="B231" s="40"/>
      <c r="C231" s="730"/>
      <c r="D231" s="730"/>
      <c r="E231" s="730"/>
      <c r="F231" s="755"/>
      <c r="G231" s="730"/>
      <c r="H231" s="730"/>
      <c r="I231" s="730"/>
      <c r="J231" s="216"/>
      <c r="K231" s="40"/>
      <c r="L231" s="734"/>
      <c r="M231" s="730"/>
      <c r="N231" s="734"/>
      <c r="O231" s="730"/>
      <c r="P231" s="748"/>
      <c r="Q231" s="730"/>
      <c r="R231" s="730"/>
      <c r="S231" s="730"/>
      <c r="T231" s="730"/>
      <c r="U231" s="40"/>
      <c r="V231" s="737"/>
      <c r="W231" s="730"/>
      <c r="X231" s="790"/>
      <c r="Y231" s="738"/>
      <c r="Z231" s="40"/>
      <c r="AA231" s="40"/>
      <c r="AB231" s="40"/>
    </row>
    <row r="232">
      <c r="A232" s="728" t="str">
        <f>IFERROR(__xludf.DUMMYFUNCTION("""COMPUTED_VALUE"""),"double-blind study")</f>
        <v>double-blind study</v>
      </c>
      <c r="B232" s="40"/>
      <c r="C232" s="730"/>
      <c r="D232" s="730"/>
      <c r="E232" s="730"/>
      <c r="F232" s="730"/>
      <c r="G232" s="755"/>
      <c r="H232" s="730"/>
      <c r="I232" s="824"/>
      <c r="J232" s="216"/>
      <c r="K232" s="40"/>
      <c r="L232" s="734"/>
      <c r="M232" s="730"/>
      <c r="N232" s="734"/>
      <c r="O232" s="730"/>
      <c r="P232" s="748"/>
      <c r="Q232" s="730"/>
      <c r="R232" s="730"/>
      <c r="S232" s="730"/>
      <c r="T232" s="730"/>
      <c r="U232" s="40"/>
      <c r="V232" s="737"/>
      <c r="W232" s="40"/>
      <c r="X232" s="40"/>
      <c r="Y232" s="738"/>
      <c r="Z232" s="40"/>
      <c r="AA232" s="40"/>
      <c r="AB232" s="40"/>
    </row>
    <row r="233">
      <c r="A233" s="728" t="str">
        <f>IFERROR(__xludf.DUMMYFUNCTION("""COMPUTED_VALUE"""),"single blind/assessor blind")</f>
        <v>single blind/assessor blind</v>
      </c>
      <c r="B233" s="40"/>
      <c r="C233" s="730"/>
      <c r="D233" s="730"/>
      <c r="E233" s="730"/>
      <c r="F233" s="730"/>
      <c r="G233" s="730"/>
      <c r="H233" s="730"/>
      <c r="I233" s="824"/>
      <c r="J233" s="216"/>
      <c r="K233" s="40"/>
      <c r="L233" s="734"/>
      <c r="M233" s="780"/>
      <c r="N233" s="734"/>
      <c r="O233" s="730"/>
      <c r="P233" s="748"/>
      <c r="Q233" s="730"/>
      <c r="R233" s="730"/>
      <c r="S233" s="730"/>
      <c r="T233" s="730"/>
      <c r="U233" s="40"/>
      <c r="V233" s="737"/>
      <c r="W233" s="40"/>
      <c r="X233" s="40"/>
      <c r="Y233" s="738"/>
      <c r="Z233" s="40"/>
      <c r="AA233" s="40"/>
      <c r="AB233" s="40"/>
    </row>
    <row r="234">
      <c r="A234" s="728" t="str">
        <f>IFERROR(__xludf.DUMMYFUNCTION("""COMPUTED_VALUE"""),"Placebo ")</f>
        <v>Placebo </v>
      </c>
      <c r="B234" s="40"/>
      <c r="C234" s="730"/>
      <c r="D234" s="730"/>
      <c r="E234" s="730"/>
      <c r="F234" s="730"/>
      <c r="G234" s="730"/>
      <c r="H234" s="730"/>
      <c r="I234" s="825"/>
      <c r="J234" s="216"/>
      <c r="K234" s="40"/>
      <c r="L234" s="734"/>
      <c r="M234" s="780"/>
      <c r="N234" s="734"/>
      <c r="O234" s="730"/>
      <c r="P234" s="748"/>
      <c r="Q234" s="730"/>
      <c r="R234" s="730"/>
      <c r="S234" s="730"/>
      <c r="T234" s="730"/>
      <c r="U234" s="40"/>
      <c r="V234" s="737"/>
      <c r="W234" s="40"/>
      <c r="X234" s="40"/>
      <c r="Y234" s="738"/>
      <c r="Z234" s="40"/>
      <c r="AA234" s="40"/>
      <c r="AB234" s="40"/>
    </row>
    <row r="235">
      <c r="A235" s="728" t="str">
        <f>IFERROR(__xludf.DUMMYFUNCTION("""COMPUTED_VALUE"""),"Sample Size: 0-100")</f>
        <v>Sample Size: 0-100</v>
      </c>
      <c r="B235" s="40"/>
      <c r="C235" s="730"/>
      <c r="D235" s="40"/>
      <c r="E235" s="40"/>
      <c r="F235" s="40"/>
      <c r="G235" s="40"/>
      <c r="H235" s="40"/>
      <c r="I235" s="216"/>
      <c r="J235" s="216"/>
      <c r="K235" s="40"/>
      <c r="L235" s="40"/>
      <c r="M235" s="812"/>
      <c r="N235" s="40"/>
      <c r="O235" s="40"/>
      <c r="P235" s="40"/>
      <c r="Q235" s="40"/>
      <c r="R235" s="40"/>
      <c r="S235" s="40"/>
      <c r="T235" s="40"/>
      <c r="U235" s="40"/>
      <c r="V235" s="40"/>
      <c r="W235" s="730"/>
      <c r="X235" s="748"/>
      <c r="Y235" s="738"/>
      <c r="Z235" s="40"/>
      <c r="AA235" s="40"/>
      <c r="AB235" s="40"/>
    </row>
    <row r="236">
      <c r="A236" s="728" t="str">
        <f>IFERROR(__xludf.DUMMYFUNCTION("""COMPUTED_VALUE"""),"Sample Size: 100-500")</f>
        <v>Sample Size: 100-500</v>
      </c>
      <c r="B236" s="40"/>
      <c r="C236" s="730"/>
      <c r="D236" s="730"/>
      <c r="E236" s="730"/>
      <c r="F236" s="730"/>
      <c r="G236" s="730"/>
      <c r="H236" s="730"/>
      <c r="I236" s="773"/>
      <c r="J236" s="216"/>
      <c r="K236" s="40"/>
      <c r="L236" s="734"/>
      <c r="M236" s="826"/>
      <c r="N236" s="734"/>
      <c r="O236" s="730"/>
      <c r="P236" s="748"/>
      <c r="Q236" s="40"/>
      <c r="R236" s="40"/>
      <c r="S236" s="730"/>
      <c r="T236" s="730"/>
      <c r="U236" s="40"/>
      <c r="V236" s="737"/>
      <c r="W236" s="730"/>
      <c r="X236" s="748"/>
      <c r="Y236" s="738"/>
      <c r="Z236" s="40"/>
      <c r="AA236" s="40"/>
      <c r="AB236" s="40"/>
    </row>
    <row r="237">
      <c r="A237" s="728" t="str">
        <f>IFERROR(__xludf.DUMMYFUNCTION("""COMPUTED_VALUE"""),"Sample Size: 500- and up")</f>
        <v>Sample Size: 500- and up</v>
      </c>
      <c r="B237" s="40"/>
      <c r="C237" s="40"/>
      <c r="D237" s="730"/>
      <c r="E237" s="730"/>
      <c r="F237" s="730"/>
      <c r="G237" s="755"/>
      <c r="H237" s="730"/>
      <c r="I237" s="773"/>
      <c r="J237" s="216"/>
      <c r="K237" s="40"/>
      <c r="L237" s="734"/>
      <c r="M237" s="826"/>
      <c r="N237" s="734"/>
      <c r="O237" s="730"/>
      <c r="P237" s="748"/>
      <c r="Q237" s="40"/>
      <c r="R237" s="40"/>
      <c r="S237" s="730"/>
      <c r="T237" s="730"/>
      <c r="U237" s="40"/>
      <c r="V237" s="737"/>
      <c r="W237" s="40"/>
      <c r="X237" s="748"/>
      <c r="Y237" s="738"/>
      <c r="Z237" s="40"/>
      <c r="AA237" s="40"/>
      <c r="AB237" s="40"/>
    </row>
    <row r="238">
      <c r="A238" s="728" t="str">
        <f>IFERROR(__xludf.DUMMYFUNCTION("""COMPUTED_VALUE"""),"Meta ")</f>
        <v>Meta </v>
      </c>
      <c r="B238" s="40"/>
      <c r="C238" s="40"/>
      <c r="D238" s="730"/>
      <c r="E238" s="730"/>
      <c r="F238" s="730"/>
      <c r="G238" s="755"/>
      <c r="H238" s="730"/>
      <c r="I238" s="773"/>
      <c r="J238" s="216"/>
      <c r="K238" s="40"/>
      <c r="L238" s="734"/>
      <c r="M238" s="730"/>
      <c r="N238" s="734"/>
      <c r="O238" s="730"/>
      <c r="P238" s="748"/>
      <c r="Q238" s="40"/>
      <c r="R238" s="40"/>
      <c r="S238" s="730"/>
      <c r="T238" s="730"/>
      <c r="U238" s="40"/>
      <c r="V238" s="737"/>
      <c r="W238" s="40"/>
      <c r="X238" s="748"/>
      <c r="Y238" s="738"/>
      <c r="Z238" s="40"/>
      <c r="AA238" s="40"/>
      <c r="AB238" s="40"/>
    </row>
    <row r="239">
      <c r="A239" s="728" t="str">
        <f>IFERROR(__xludf.DUMMYFUNCTION("""COMPUTED_VALUE"""),"Adults(older than 18) ")</f>
        <v>Adults(older than 18) </v>
      </c>
      <c r="B239" s="40"/>
      <c r="C239" s="40"/>
      <c r="D239" s="730"/>
      <c r="E239" s="730"/>
      <c r="F239" s="755"/>
      <c r="G239" s="755"/>
      <c r="H239" s="730"/>
      <c r="I239" s="773"/>
      <c r="J239" s="216"/>
      <c r="K239" s="40"/>
      <c r="L239" s="734"/>
      <c r="M239" s="730"/>
      <c r="N239" s="734"/>
      <c r="O239" s="730"/>
      <c r="P239" s="748"/>
      <c r="Q239" s="40"/>
      <c r="R239" s="40"/>
      <c r="S239" s="730"/>
      <c r="T239" s="730"/>
      <c r="U239" s="40"/>
      <c r="V239" s="737"/>
      <c r="W239" s="40"/>
      <c r="X239" s="748"/>
      <c r="Y239" s="738"/>
      <c r="Z239" s="40"/>
      <c r="AA239" s="40"/>
      <c r="AB239" s="40"/>
    </row>
    <row r="240">
      <c r="A240" s="728" t="str">
        <f>IFERROR(__xludf.DUMMYFUNCTION("""COMPUTED_VALUE"""),"School Children and Adults")</f>
        <v>School Children and Adults</v>
      </c>
      <c r="B240" s="40"/>
      <c r="C240" s="730"/>
      <c r="D240" s="730"/>
      <c r="E240" s="40"/>
      <c r="F240" s="730"/>
      <c r="G240" s="755"/>
      <c r="H240" s="730"/>
      <c r="I240" s="40"/>
      <c r="J240" s="216"/>
      <c r="K240" s="40"/>
      <c r="L240" s="734"/>
      <c r="M240" s="40"/>
      <c r="N240" s="40"/>
      <c r="O240" s="730"/>
      <c r="P240" s="748"/>
      <c r="Q240" s="730"/>
      <c r="R240" s="730"/>
      <c r="S240" s="730"/>
      <c r="T240" s="730"/>
      <c r="U240" s="40"/>
      <c r="V240" s="737"/>
      <c r="W240" s="730"/>
      <c r="X240" s="732"/>
      <c r="Y240" s="738"/>
      <c r="Z240" s="40"/>
      <c r="AA240" s="40"/>
      <c r="AB240" s="40"/>
    </row>
    <row r="241">
      <c r="A241" s="728" t="str">
        <f>IFERROR(__xludf.DUMMYFUNCTION("""COMPUTED_VALUE"""),"School Children(under 18)")</f>
        <v>School Children(under 18)</v>
      </c>
      <c r="B241" s="40"/>
      <c r="C241" s="730"/>
      <c r="D241" s="730"/>
      <c r="E241" s="730"/>
      <c r="F241" s="730"/>
      <c r="G241" s="807"/>
      <c r="H241" s="730"/>
      <c r="I241" s="730"/>
      <c r="J241" s="216"/>
      <c r="K241" s="40"/>
      <c r="L241" s="734"/>
      <c r="M241" s="730"/>
      <c r="N241" s="734"/>
      <c r="O241" s="730"/>
      <c r="P241" s="748"/>
      <c r="Q241" s="730"/>
      <c r="R241" s="730"/>
      <c r="S241" s="730"/>
      <c r="T241" s="730"/>
      <c r="U241" s="40"/>
      <c r="V241" s="737"/>
      <c r="W241" s="730"/>
      <c r="X241" s="797"/>
      <c r="Y241" s="738"/>
      <c r="Z241" s="40"/>
      <c r="AA241" s="40"/>
      <c r="AB241" s="40"/>
    </row>
    <row r="242">
      <c r="A242" s="728"/>
      <c r="B242" s="40"/>
      <c r="C242" s="730"/>
      <c r="D242" s="730"/>
      <c r="E242" s="730"/>
      <c r="F242" s="730"/>
      <c r="G242" s="730"/>
      <c r="H242" s="730"/>
      <c r="I242" s="730"/>
      <c r="J242" s="825"/>
      <c r="K242" s="40"/>
      <c r="L242" s="734"/>
      <c r="M242" s="730"/>
      <c r="N242" s="734"/>
      <c r="O242" s="730"/>
      <c r="P242" s="748"/>
      <c r="Q242" s="730"/>
      <c r="R242" s="730"/>
      <c r="S242" s="730"/>
      <c r="T242" s="730"/>
      <c r="U242" s="40"/>
      <c r="V242" s="737"/>
      <c r="W242" s="730"/>
      <c r="X242" s="797"/>
      <c r="Y242" s="738"/>
      <c r="Z242" s="40"/>
      <c r="AA242" s="40"/>
      <c r="AB242" s="40"/>
    </row>
    <row r="243">
      <c r="A243" s="728"/>
      <c r="B243" s="40"/>
      <c r="C243" s="730"/>
      <c r="D243" s="730"/>
      <c r="E243" s="730"/>
      <c r="F243" s="730"/>
      <c r="G243" s="730"/>
      <c r="H243" s="730"/>
      <c r="I243" s="730"/>
      <c r="J243" s="825"/>
      <c r="K243" s="40"/>
      <c r="L243" s="734"/>
      <c r="M243" s="730"/>
      <c r="N243" s="734"/>
      <c r="O243" s="730"/>
      <c r="P243" s="748"/>
      <c r="Q243" s="730"/>
      <c r="R243" s="730"/>
      <c r="S243" s="730"/>
      <c r="T243" s="730"/>
      <c r="U243" s="40"/>
      <c r="V243" s="737"/>
      <c r="W243" s="730"/>
      <c r="X243" s="797"/>
      <c r="Y243" s="738"/>
      <c r="Z243" s="40"/>
      <c r="AA243" s="40"/>
      <c r="AB243" s="40"/>
    </row>
    <row r="244">
      <c r="A244" s="728"/>
      <c r="B244" s="40"/>
      <c r="C244" s="730"/>
      <c r="D244" s="730"/>
      <c r="E244" s="730"/>
      <c r="F244" s="730"/>
      <c r="G244" s="730"/>
      <c r="H244" s="730"/>
      <c r="I244" s="730"/>
      <c r="J244" s="825"/>
      <c r="K244" s="40"/>
      <c r="L244" s="734"/>
      <c r="M244" s="730"/>
      <c r="N244" s="734"/>
      <c r="O244" s="730"/>
      <c r="P244" s="748"/>
      <c r="Q244" s="730"/>
      <c r="R244" s="730"/>
      <c r="S244" s="730"/>
      <c r="T244" s="730"/>
      <c r="U244" s="40"/>
      <c r="V244" s="737"/>
      <c r="W244" s="730"/>
      <c r="X244" s="797"/>
      <c r="Y244" s="738"/>
      <c r="Z244" s="40"/>
      <c r="AA244" s="40"/>
      <c r="AB244" s="40"/>
    </row>
    <row r="245">
      <c r="A245" s="728"/>
      <c r="B245" s="40"/>
      <c r="C245" s="730"/>
      <c r="D245" s="730"/>
      <c r="E245" s="40"/>
      <c r="F245" s="730"/>
      <c r="G245" s="730"/>
      <c r="H245" s="730"/>
      <c r="I245" s="774"/>
      <c r="J245" s="216"/>
      <c r="K245" s="40"/>
      <c r="L245" s="734"/>
      <c r="M245" s="730"/>
      <c r="N245" s="734"/>
      <c r="O245" s="730"/>
      <c r="P245" s="748"/>
      <c r="Q245" s="730"/>
      <c r="R245" s="730"/>
      <c r="S245" s="730"/>
      <c r="T245" s="730"/>
      <c r="U245" s="40"/>
      <c r="V245" s="737"/>
      <c r="W245" s="730"/>
      <c r="X245" s="797"/>
      <c r="Y245" s="738"/>
      <c r="Z245" s="40"/>
      <c r="AA245" s="40"/>
      <c r="AB245" s="40"/>
    </row>
    <row r="246">
      <c r="A246" s="728" t="str">
        <f>IFERROR(__xludf.DUMMYFUNCTION("""COMPUTED_VALUE"""),"MDA's below reviewed by Karenbeth + clasified as RCT: Das, Dembele, Simonsen, Bockarie MJ 1998, Ramaiah KD 2002, Dunyo, Bockarie 2007, Reddy 2000 (I believe this was a duplicate, Moulia-Pelat 1994, Glaziou 1994, Setouhy 2004, Simonsen")</f>
        <v>MDA's below reviewed by Karenbeth + clasified as RCT: Das, Dembele, Simonsen, Bockarie MJ 1998, Ramaiah KD 2002, Dunyo, Bockarie 2007, Reddy 2000 (I believe this was a duplicate, Moulia-Pelat 1994, Glaziou 1994, Setouhy 2004, Simonsen</v>
      </c>
      <c r="B246" s="40"/>
      <c r="C246" s="730"/>
      <c r="D246" s="730"/>
      <c r="E246" s="730"/>
      <c r="F246" s="730"/>
      <c r="G246" s="755"/>
      <c r="H246" s="730"/>
      <c r="I246" s="825"/>
      <c r="J246" s="216"/>
      <c r="K246" s="40"/>
      <c r="L246" s="734"/>
      <c r="M246" s="730"/>
      <c r="N246" s="734"/>
      <c r="O246" s="730"/>
      <c r="P246" s="748"/>
      <c r="Q246" s="730"/>
      <c r="R246" s="730"/>
      <c r="S246" s="730"/>
      <c r="T246" s="730"/>
      <c r="U246" s="40"/>
      <c r="V246" s="737"/>
      <c r="W246" s="730"/>
      <c r="X246" s="732"/>
      <c r="Y246" s="738"/>
      <c r="Z246" s="40"/>
      <c r="AA246" s="40"/>
      <c r="AB246" s="40"/>
    </row>
    <row r="247">
      <c r="A247" s="728"/>
      <c r="B247" s="40"/>
      <c r="C247" s="730"/>
      <c r="D247" s="730"/>
      <c r="E247" s="730"/>
      <c r="F247" s="730"/>
      <c r="G247" s="730"/>
      <c r="H247" s="730"/>
      <c r="I247" s="216"/>
      <c r="J247" s="216"/>
      <c r="K247" s="40"/>
      <c r="L247" s="734"/>
      <c r="M247" s="730"/>
      <c r="N247" s="734"/>
      <c r="O247" s="730"/>
      <c r="P247" s="748"/>
      <c r="Q247" s="730"/>
      <c r="R247" s="730"/>
      <c r="S247" s="730"/>
      <c r="T247" s="730"/>
      <c r="U247" s="730"/>
      <c r="V247" s="737"/>
      <c r="W247" s="730"/>
      <c r="X247" s="748"/>
      <c r="Y247" s="738"/>
      <c r="Z247" s="40"/>
      <c r="AA247" s="40"/>
      <c r="AB247" s="40"/>
    </row>
    <row r="248">
      <c r="A248" s="728"/>
      <c r="B248" s="40"/>
      <c r="C248" s="730"/>
      <c r="D248" s="730"/>
      <c r="E248" s="730"/>
      <c r="F248" s="730"/>
      <c r="G248" s="755"/>
      <c r="H248" s="730"/>
      <c r="I248" s="216"/>
      <c r="J248" s="216"/>
      <c r="K248" s="40"/>
      <c r="L248" s="734"/>
      <c r="M248" s="730"/>
      <c r="N248" s="734"/>
      <c r="O248" s="730"/>
      <c r="P248" s="748"/>
      <c r="Q248" s="730"/>
      <c r="R248" s="730"/>
      <c r="S248" s="730"/>
      <c r="T248" s="730"/>
      <c r="U248" s="730"/>
      <c r="V248" s="737"/>
      <c r="W248" s="730"/>
      <c r="X248" s="748"/>
      <c r="Y248" s="738"/>
      <c r="Z248" s="40"/>
      <c r="AA248" s="40"/>
      <c r="AB248" s="40"/>
    </row>
    <row r="249">
      <c r="A249" s="805"/>
      <c r="B249" s="40"/>
      <c r="C249" s="40"/>
      <c r="D249" s="40"/>
      <c r="E249" s="40"/>
      <c r="F249" s="40"/>
      <c r="G249" s="40"/>
      <c r="H249" s="40"/>
      <c r="I249" s="40"/>
      <c r="J249" s="216"/>
      <c r="K249" s="40"/>
      <c r="L249" s="40"/>
      <c r="M249" s="40"/>
      <c r="N249" s="40"/>
      <c r="O249" s="40"/>
      <c r="P249" s="40"/>
      <c r="Q249" s="40"/>
      <c r="R249" s="40"/>
      <c r="S249" s="40"/>
      <c r="T249" s="40"/>
      <c r="U249" s="40"/>
      <c r="V249" s="40"/>
      <c r="W249" s="40"/>
      <c r="X249" s="40"/>
      <c r="Y249" s="40"/>
      <c r="Z249" s="40"/>
      <c r="AA249" s="40"/>
      <c r="AB249" s="40"/>
    </row>
    <row r="250">
      <c r="A250" s="805"/>
      <c r="B250" s="40"/>
      <c r="C250" s="40"/>
      <c r="D250" s="40"/>
      <c r="E250" s="40"/>
      <c r="F250" s="40"/>
      <c r="G250" s="40"/>
      <c r="H250" s="40"/>
      <c r="I250" s="40"/>
      <c r="J250" s="216"/>
      <c r="K250" s="40"/>
      <c r="L250" s="40"/>
      <c r="M250" s="40"/>
      <c r="N250" s="40"/>
      <c r="O250" s="40"/>
      <c r="P250" s="40"/>
      <c r="Q250" s="40"/>
      <c r="R250" s="40"/>
      <c r="S250" s="40"/>
      <c r="T250" s="40"/>
      <c r="U250" s="40"/>
      <c r="V250" s="40"/>
      <c r="W250" s="40"/>
      <c r="X250" s="40"/>
      <c r="Y250" s="40"/>
      <c r="Z250" s="40"/>
      <c r="AA250" s="40"/>
      <c r="AB250" s="40"/>
    </row>
    <row r="251">
      <c r="A251" s="805"/>
      <c r="B251" s="40"/>
      <c r="C251" s="40"/>
      <c r="D251" s="40"/>
      <c r="E251" s="40"/>
      <c r="F251" s="40"/>
      <c r="G251" s="40"/>
      <c r="H251" s="40"/>
      <c r="I251" s="40"/>
      <c r="J251" s="216"/>
      <c r="K251" s="40"/>
      <c r="L251" s="40"/>
      <c r="M251" s="40"/>
      <c r="N251" s="40"/>
      <c r="O251" s="40"/>
      <c r="P251" s="40"/>
      <c r="Q251" s="40"/>
      <c r="R251" s="40"/>
      <c r="S251" s="40"/>
      <c r="T251" s="40"/>
      <c r="U251" s="40"/>
      <c r="V251" s="40"/>
      <c r="W251" s="40"/>
      <c r="X251" s="40"/>
      <c r="Y251" s="40"/>
      <c r="Z251" s="40"/>
      <c r="AA251" s="40"/>
      <c r="AB251" s="40"/>
    </row>
    <row r="252">
      <c r="A252" s="805"/>
      <c r="B252" s="40"/>
      <c r="C252" s="40"/>
      <c r="D252" s="40"/>
      <c r="E252" s="40"/>
      <c r="F252" s="40"/>
      <c r="G252" s="40"/>
      <c r="H252" s="40"/>
      <c r="I252" s="40"/>
      <c r="J252" s="216"/>
      <c r="K252" s="40"/>
      <c r="L252" s="40"/>
      <c r="M252" s="40"/>
      <c r="N252" s="40"/>
      <c r="O252" s="40"/>
      <c r="P252" s="40"/>
      <c r="Q252" s="40"/>
      <c r="R252" s="40"/>
      <c r="S252" s="40"/>
      <c r="T252" s="40"/>
      <c r="U252" s="40"/>
      <c r="V252" s="40"/>
      <c r="W252" s="40"/>
      <c r="X252" s="40"/>
      <c r="Y252" s="40"/>
      <c r="Z252" s="40"/>
      <c r="AA252" s="40"/>
      <c r="AB252" s="40"/>
    </row>
    <row r="253">
      <c r="A253" s="805"/>
      <c r="B253" s="40"/>
      <c r="C253" s="40"/>
      <c r="D253" s="40"/>
      <c r="E253" s="40"/>
      <c r="F253" s="40"/>
      <c r="G253" s="40"/>
      <c r="H253" s="40"/>
      <c r="I253" s="40"/>
      <c r="J253" s="216"/>
      <c r="K253" s="40"/>
      <c r="L253" s="40"/>
      <c r="M253" s="40"/>
      <c r="N253" s="40"/>
      <c r="O253" s="40"/>
      <c r="P253" s="40"/>
      <c r="Q253" s="40"/>
      <c r="R253" s="40"/>
      <c r="S253" s="40"/>
      <c r="T253" s="40"/>
      <c r="U253" s="40"/>
      <c r="V253" s="40"/>
      <c r="W253" s="40"/>
      <c r="X253" s="40"/>
      <c r="Y253" s="40"/>
      <c r="Z253" s="40"/>
      <c r="AA253" s="40"/>
      <c r="AB253" s="40"/>
    </row>
    <row r="254">
      <c r="A254" s="805"/>
      <c r="B254" s="40"/>
      <c r="C254" s="40"/>
      <c r="D254" s="40"/>
      <c r="E254" s="40"/>
      <c r="F254" s="40"/>
      <c r="G254" s="40"/>
      <c r="H254" s="40"/>
      <c r="I254" s="783"/>
      <c r="J254" s="216"/>
      <c r="K254" s="40"/>
      <c r="L254" s="40"/>
      <c r="M254" s="40"/>
      <c r="N254" s="40"/>
      <c r="O254" s="40"/>
      <c r="P254" s="40"/>
      <c r="Q254" s="40"/>
      <c r="R254" s="40"/>
      <c r="S254" s="40"/>
      <c r="T254" s="40"/>
      <c r="U254" s="40"/>
      <c r="V254" s="40"/>
      <c r="W254" s="40"/>
      <c r="X254" s="40"/>
      <c r="Y254" s="40"/>
      <c r="Z254" s="40"/>
      <c r="AA254" s="40"/>
      <c r="AB254" s="40"/>
    </row>
    <row r="255">
      <c r="A255" s="805"/>
      <c r="B255" s="40"/>
      <c r="C255" s="40"/>
      <c r="D255" s="40"/>
      <c r="E255" s="40"/>
      <c r="F255" s="40"/>
      <c r="G255" s="40"/>
      <c r="H255" s="40"/>
      <c r="I255" s="40"/>
      <c r="J255" s="216"/>
      <c r="K255" s="40"/>
      <c r="L255" s="40"/>
      <c r="M255" s="40"/>
      <c r="N255" s="40"/>
      <c r="O255" s="40"/>
      <c r="P255" s="40"/>
      <c r="Q255" s="40"/>
      <c r="R255" s="40"/>
      <c r="S255" s="40"/>
      <c r="T255" s="40"/>
      <c r="U255" s="40"/>
      <c r="V255" s="40"/>
      <c r="W255" s="40"/>
      <c r="X255" s="40"/>
      <c r="Y255" s="40"/>
      <c r="Z255" s="40"/>
      <c r="AA255" s="40"/>
      <c r="AB255" s="40"/>
    </row>
    <row r="256">
      <c r="A256" s="805"/>
      <c r="B256" s="40"/>
      <c r="C256" s="40"/>
      <c r="D256" s="40"/>
      <c r="E256" s="40"/>
      <c r="F256" s="40"/>
      <c r="G256" s="40"/>
      <c r="H256" s="40"/>
      <c r="I256" s="40"/>
      <c r="J256" s="216"/>
      <c r="K256" s="40"/>
      <c r="L256" s="40"/>
      <c r="M256" s="40"/>
      <c r="N256" s="40"/>
      <c r="O256" s="40"/>
      <c r="P256" s="40"/>
      <c r="Q256" s="40"/>
      <c r="R256" s="40"/>
      <c r="S256" s="40"/>
      <c r="T256" s="40"/>
      <c r="U256" s="40"/>
      <c r="V256" s="40"/>
      <c r="W256" s="40"/>
      <c r="X256" s="40"/>
      <c r="Y256" s="40"/>
      <c r="Z256" s="40"/>
      <c r="AA256" s="40"/>
      <c r="AB256" s="40"/>
    </row>
    <row r="257">
      <c r="A257" s="805" t="str">
        <f>IFERROR(__xludf.DUMMYFUNCTION("""COMPUTED_VALUE"""),"MDA studies")</f>
        <v>MDA studies</v>
      </c>
      <c r="B257" s="40"/>
      <c r="C257" s="40"/>
      <c r="D257" s="40"/>
      <c r="E257" s="40"/>
      <c r="F257" s="40"/>
      <c r="G257" s="40"/>
      <c r="H257" s="40"/>
      <c r="I257" s="40"/>
      <c r="J257" s="216"/>
      <c r="K257" s="40"/>
      <c r="L257" s="40"/>
      <c r="M257" s="40"/>
      <c r="N257" s="40"/>
      <c r="O257" s="40"/>
      <c r="P257" s="40"/>
      <c r="Q257" s="40"/>
      <c r="R257" s="40"/>
      <c r="S257" s="40"/>
      <c r="T257" s="40"/>
      <c r="U257" s="40"/>
      <c r="V257" s="40"/>
      <c r="W257" s="40"/>
      <c r="X257" s="40"/>
      <c r="Y257" s="40"/>
      <c r="Z257" s="40"/>
      <c r="AA257" s="40"/>
      <c r="AB257" s="40"/>
    </row>
    <row r="258">
      <c r="A258" s="805" t="str">
        <f>IFERROR(__xludf.DUMMYFUNCTION("""COMPUTED_VALUE"""),"Bhumiratana, 2004")</f>
        <v>Bhumiratana, 2004</v>
      </c>
      <c r="B258" s="40" t="str">
        <f>IFERROR(__xludf.DUMMYFUNCTION("""COMPUTED_VALUE"""),"Chung Soo")</f>
        <v>Chung Soo</v>
      </c>
      <c r="C258" s="40" t="str">
        <f>IFERROR(__xludf.DUMMYFUNCTION("""COMPUTED_VALUE"""),"Mahvish")</f>
        <v>Mahvish</v>
      </c>
      <c r="D258" s="40" t="str">
        <f>IFERROR(__xludf.DUMMYFUNCTION("""COMPUTED_VALUE"""),"Thailand")</f>
        <v>Thailand</v>
      </c>
      <c r="E258" s="40" t="str">
        <f>IFERROR(__xludf.DUMMYFUNCTION("""COMPUTED_VALUE"""),"W. bancrofti")</f>
        <v>W. bancrofti</v>
      </c>
      <c r="F258" s="40" t="str">
        <f>IFERROR(__xludf.DUMMYFUNCTION("""COMPUTED_VALUE"""),"DEC")</f>
        <v>DEC</v>
      </c>
      <c r="G258" s="40" t="str">
        <f>IFERROR(__xludf.DUMMYFUNCTION("""COMPUTED_VALUE"""),"300mg")</f>
        <v>300mg</v>
      </c>
      <c r="H258" s="40" t="str">
        <f>IFERROR(__xludf.DUMMYFUNCTION("""COMPUTED_VALUE"""),"single dose")</f>
        <v>single dose</v>
      </c>
      <c r="I258" s="40"/>
      <c r="J258" s="216"/>
      <c r="K258" s="40"/>
      <c r="L258" s="40">
        <f>IFERROR(__xludf.DUMMYFUNCTION("""COMPUTED_VALUE"""),87.0)</f>
        <v>87</v>
      </c>
      <c r="M258" s="40" t="str">
        <f>IFERROR(__xludf.DUMMYFUNCTION("""COMPUTED_VALUE"""),"not available")</f>
        <v>not available</v>
      </c>
      <c r="N258" s="40" t="str">
        <f>IFERROR(__xludf.DUMMYFUNCTION("""COMPUTED_VALUE"""),"not available")</f>
        <v>not available</v>
      </c>
      <c r="O258" s="40" t="str">
        <f>IFERROR(__xludf.DUMMYFUNCTION("""COMPUTED_VALUE"""),"A total of 860 adults of both sexes: 435(Southern), 338 (Central), and 87 (Northern) were given an oral dose of DEC, 300 mg FILADEC tablet (Pond’s Chemical Thailand ROP, Bangkok,Thailand).")</f>
        <v>A total of 860 adults of both sexes: 435(Southern), 338 (Central), and 87 (Northern) were given an oral dose of DEC, 300 mg FILADEC tablet (Pond’s Chemical Thailand ROP, Bangkok,Thailand).</v>
      </c>
      <c r="P258" s="40"/>
      <c r="Q258" s="40"/>
      <c r="R258" s="40"/>
      <c r="S258" s="40" t="str">
        <f>IFERROR(__xludf.DUMMYFUNCTION("""COMPUTED_VALUE"""),"2 months")</f>
        <v>2 months</v>
      </c>
      <c r="T258" s="40" t="str">
        <f>IFERROR(__xludf.DUMMYFUNCTION("""COMPUTED_VALUE"""),"unlike the CFA assays, the DEC-provocative day test is unsuitable for the diagnosis of active W. bancrofti infection in the population tested, and for gauging current infection prevalence. The treatment would likely be beneficial to reduce microfilaremia "&amp;"and antigenemia.")</f>
        <v>unlike the CFA assays, the DEC-provocative day test is unsuitable for the diagnosis of active W. bancrofti infection in the population tested, and for gauging current infection prevalence. The treatment would likely be beneficial to reduce microfilaremia and antigenemia.</v>
      </c>
      <c r="U258" s="40"/>
      <c r="V258" s="40">
        <f>IFERROR(__xludf.DUMMYFUNCTION("""COMPUTED_VALUE"""),2004.0)</f>
        <v>2004</v>
      </c>
      <c r="W258" s="40">
        <f>IFERROR(__xludf.DUMMYFUNCTION("""COMPUTED_VALUE"""),2004.0)</f>
        <v>2004</v>
      </c>
      <c r="X258" s="40"/>
      <c r="Y258" s="40"/>
      <c r="Z258" s="727" t="str">
        <f>IFERROR(__xludf.DUMMYFUNCTION("""COMPUTED_VALUE"""),"https://drive.google.com/file/d/0By3QPyQz621GaTFGc0FPVUYtMWM/view?usp=sharing")</f>
        <v>https://drive.google.com/file/d/0By3QPyQz621GaTFGc0FPVUYtMWM/view?usp=sharing</v>
      </c>
      <c r="AA258" s="40" t="str">
        <f>IFERROR(__xludf.DUMMYFUNCTION("""COMPUTED_VALUE"""),"x")</f>
        <v>x</v>
      </c>
      <c r="AB258" s="40"/>
    </row>
    <row r="259">
      <c r="A259" s="805" t="str">
        <f>IFERROR(__xludf.DUMMYFUNCTION("""COMPUTED_VALUE"""),"Bhumiratana, 2004")</f>
        <v>Bhumiratana, 2004</v>
      </c>
      <c r="B259" s="40" t="str">
        <f>IFERROR(__xludf.DUMMYFUNCTION("""COMPUTED_VALUE"""),"Chung Soo")</f>
        <v>Chung Soo</v>
      </c>
      <c r="C259" s="40" t="str">
        <f>IFERROR(__xludf.DUMMYFUNCTION("""COMPUTED_VALUE"""),"Mahvish")</f>
        <v>Mahvish</v>
      </c>
      <c r="D259" s="40" t="str">
        <f>IFERROR(__xludf.DUMMYFUNCTION("""COMPUTED_VALUE"""),"Thailand")</f>
        <v>Thailand</v>
      </c>
      <c r="E259" s="40" t="str">
        <f>IFERROR(__xludf.DUMMYFUNCTION("""COMPUTED_VALUE"""),"W. bancrofti")</f>
        <v>W. bancrofti</v>
      </c>
      <c r="F259" s="40" t="str">
        <f>IFERROR(__xludf.DUMMYFUNCTION("""COMPUTED_VALUE"""),"DEC")</f>
        <v>DEC</v>
      </c>
      <c r="G259" s="40" t="str">
        <f>IFERROR(__xludf.DUMMYFUNCTION("""COMPUTED_VALUE"""),"300mg")</f>
        <v>300mg</v>
      </c>
      <c r="H259" s="40" t="str">
        <f>IFERROR(__xludf.DUMMYFUNCTION("""COMPUTED_VALUE"""),"single dose")</f>
        <v>single dose</v>
      </c>
      <c r="I259" s="40"/>
      <c r="J259" s="216"/>
      <c r="K259" s="40"/>
      <c r="L259" s="40">
        <f>IFERROR(__xludf.DUMMYFUNCTION("""COMPUTED_VALUE"""),338.0)</f>
        <v>338</v>
      </c>
      <c r="M259" s="40" t="str">
        <f>IFERROR(__xludf.DUMMYFUNCTION("""COMPUTED_VALUE"""),"not available")</f>
        <v>not available</v>
      </c>
      <c r="N259" s="40" t="str">
        <f>IFERROR(__xludf.DUMMYFUNCTION("""COMPUTED_VALUE"""),"not available")</f>
        <v>not available</v>
      </c>
      <c r="O259" s="40" t="str">
        <f>IFERROR(__xludf.DUMMYFUNCTION("""COMPUTED_VALUE"""),"A total of 860 adults of both sexes: 435(Southern), 338 (Central), and 87 (Northern) were given an oral dose of DEC, 300 mg FILADEC tablet (Pond’s Chemical Thailand ROP, Bangkok,Thailand).")</f>
        <v>A total of 860 adults of both sexes: 435(Southern), 338 (Central), and 87 (Northern) were given an oral dose of DEC, 300 mg FILADEC tablet (Pond’s Chemical Thailand ROP, Bangkok,Thailand).</v>
      </c>
      <c r="P259" s="40"/>
      <c r="Q259" s="40"/>
      <c r="R259" s="40"/>
      <c r="S259" s="40" t="str">
        <f>IFERROR(__xludf.DUMMYFUNCTION("""COMPUTED_VALUE"""),"2 months")</f>
        <v>2 months</v>
      </c>
      <c r="T259" s="40" t="str">
        <f>IFERROR(__xludf.DUMMYFUNCTION("""COMPUTED_VALUE"""),"unlike the CFA assays, the DEC-provocative day test is unsuitable for the diagnosis of active W. bancrofti infection in the population tested, and for gauging current infection prevalence. The treatment would likely be beneficial to reduce microfilaremia "&amp;"and antigenemia.")</f>
        <v>unlike the CFA assays, the DEC-provocative day test is unsuitable for the diagnosis of active W. bancrofti infection in the population tested, and for gauging current infection prevalence. The treatment would likely be beneficial to reduce microfilaremia and antigenemia.</v>
      </c>
      <c r="U259" s="40"/>
      <c r="V259" s="40">
        <f>IFERROR(__xludf.DUMMYFUNCTION("""COMPUTED_VALUE"""),2004.0)</f>
        <v>2004</v>
      </c>
      <c r="W259" s="40">
        <f>IFERROR(__xludf.DUMMYFUNCTION("""COMPUTED_VALUE"""),2004.0)</f>
        <v>2004</v>
      </c>
      <c r="X259" s="40"/>
      <c r="Y259" s="40"/>
      <c r="Z259" s="727" t="str">
        <f>IFERROR(__xludf.DUMMYFUNCTION("""COMPUTED_VALUE"""),"https://drive.google.com/file/d/0By3QPyQz621GaTFGc0FPVUYtMWM/view?usp=sharing")</f>
        <v>https://drive.google.com/file/d/0By3QPyQz621GaTFGc0FPVUYtMWM/view?usp=sharing</v>
      </c>
      <c r="AA259" s="40" t="str">
        <f>IFERROR(__xludf.DUMMYFUNCTION("""COMPUTED_VALUE"""),"x")</f>
        <v>x</v>
      </c>
      <c r="AB259" s="40"/>
    </row>
    <row r="260">
      <c r="A260" s="805" t="str">
        <f>IFERROR(__xludf.DUMMYFUNCTION("""COMPUTED_VALUE"""),"Bhumiratana, 2004")</f>
        <v>Bhumiratana, 2004</v>
      </c>
      <c r="B260" s="40" t="str">
        <f>IFERROR(__xludf.DUMMYFUNCTION("""COMPUTED_VALUE"""),"Chung Soo")</f>
        <v>Chung Soo</v>
      </c>
      <c r="C260" s="40" t="str">
        <f>IFERROR(__xludf.DUMMYFUNCTION("""COMPUTED_VALUE"""),"Mahvish")</f>
        <v>Mahvish</v>
      </c>
      <c r="D260" s="40" t="str">
        <f>IFERROR(__xludf.DUMMYFUNCTION("""COMPUTED_VALUE"""),"Thailand")</f>
        <v>Thailand</v>
      </c>
      <c r="E260" s="40" t="str">
        <f>IFERROR(__xludf.DUMMYFUNCTION("""COMPUTED_VALUE"""),"W. bancrofti")</f>
        <v>W. bancrofti</v>
      </c>
      <c r="F260" s="40" t="str">
        <f>IFERROR(__xludf.DUMMYFUNCTION("""COMPUTED_VALUE"""),"DEC")</f>
        <v>DEC</v>
      </c>
      <c r="G260" s="40" t="str">
        <f>IFERROR(__xludf.DUMMYFUNCTION("""COMPUTED_VALUE"""),"300mg")</f>
        <v>300mg</v>
      </c>
      <c r="H260" s="40" t="str">
        <f>IFERROR(__xludf.DUMMYFUNCTION("""COMPUTED_VALUE"""),"single dose")</f>
        <v>single dose</v>
      </c>
      <c r="I260" s="40"/>
      <c r="J260" s="216"/>
      <c r="K260" s="40"/>
      <c r="L260" s="40">
        <f>IFERROR(__xludf.DUMMYFUNCTION("""COMPUTED_VALUE"""),435.0)</f>
        <v>435</v>
      </c>
      <c r="M260" s="40" t="str">
        <f>IFERROR(__xludf.DUMMYFUNCTION("""COMPUTED_VALUE"""),"not available")</f>
        <v>not available</v>
      </c>
      <c r="N260" s="40" t="str">
        <f>IFERROR(__xludf.DUMMYFUNCTION("""COMPUTED_VALUE"""),"not available")</f>
        <v>not available</v>
      </c>
      <c r="O260" s="40" t="str">
        <f>IFERROR(__xludf.DUMMYFUNCTION("""COMPUTED_VALUE"""),"A total of 860 adults of both sexes: 435(Southern), 338 (Central), and 87 (Northern) were given an oral dose of DEC, 300 mg FILADEC tablet (Pond’s Chemical Thailand ROP, Bangkok,Thailand).")</f>
        <v>A total of 860 adults of both sexes: 435(Southern), 338 (Central), and 87 (Northern) were given an oral dose of DEC, 300 mg FILADEC tablet (Pond’s Chemical Thailand ROP, Bangkok,Thailand).</v>
      </c>
      <c r="P260" s="40"/>
      <c r="Q260" s="40"/>
      <c r="R260" s="40"/>
      <c r="S260" s="40" t="str">
        <f>IFERROR(__xludf.DUMMYFUNCTION("""COMPUTED_VALUE"""),"2 months")</f>
        <v>2 months</v>
      </c>
      <c r="T260" s="40" t="str">
        <f>IFERROR(__xludf.DUMMYFUNCTION("""COMPUTED_VALUE"""),"unlike the CFA assays, the DEC-provocative day test is unsuitable for the diagnosis of active W. bancrofti infection in the population tested, and for gauging current infection prevalence. The treatment would likely be beneficial to reduce microfilaremia "&amp;"and antigenemia.")</f>
        <v>unlike the CFA assays, the DEC-provocative day test is unsuitable for the diagnosis of active W. bancrofti infection in the population tested, and for gauging current infection prevalence. The treatment would likely be beneficial to reduce microfilaremia and antigenemia.</v>
      </c>
      <c r="U260" s="40"/>
      <c r="V260" s="40">
        <f>IFERROR(__xludf.DUMMYFUNCTION("""COMPUTED_VALUE"""),2004.0)</f>
        <v>2004</v>
      </c>
      <c r="W260" s="40">
        <f>IFERROR(__xludf.DUMMYFUNCTION("""COMPUTED_VALUE"""),2004.0)</f>
        <v>2004</v>
      </c>
      <c r="X260" s="40"/>
      <c r="Y260" s="40"/>
      <c r="Z260" s="727" t="str">
        <f>IFERROR(__xludf.DUMMYFUNCTION("""COMPUTED_VALUE"""),"https://drive.google.com/file/d/0By3QPyQz621GaTFGc0FPVUYtMWM/view?usp=sharing")</f>
        <v>https://drive.google.com/file/d/0By3QPyQz621GaTFGc0FPVUYtMWM/view?usp=sharing</v>
      </c>
      <c r="AA260" s="40" t="str">
        <f>IFERROR(__xludf.DUMMYFUNCTION("""COMPUTED_VALUE"""),"x")</f>
        <v>x</v>
      </c>
      <c r="AB260" s="40"/>
    </row>
    <row r="261">
      <c r="A261" s="805" t="str">
        <f>IFERROR(__xludf.DUMMYFUNCTION("""COMPUTED_VALUE"""),"Cartel, 1992")</f>
        <v>Cartel, 1992</v>
      </c>
      <c r="B261" s="40" t="str">
        <f>IFERROR(__xludf.DUMMYFUNCTION("""COMPUTED_VALUE"""),"Chung Soo")</f>
        <v>Chung Soo</v>
      </c>
      <c r="C261" s="40" t="str">
        <f>IFERROR(__xludf.DUMMYFUNCTION("""COMPUTED_VALUE"""),"Mahvish")</f>
        <v>Mahvish</v>
      </c>
      <c r="D261" s="40" t="str">
        <f>IFERROR(__xludf.DUMMYFUNCTION("""COMPUTED_VALUE"""),"French Polynesia")</f>
        <v>French Polynesia</v>
      </c>
      <c r="E261" s="40" t="str">
        <f>IFERROR(__xludf.DUMMYFUNCTION("""COMPUTED_VALUE"""),"W. bancrofti")</f>
        <v>W. bancrofti</v>
      </c>
      <c r="F261" s="40" t="str">
        <f>IFERROR(__xludf.DUMMYFUNCTION("""COMPUTED_VALUE"""),"Ivermectin")</f>
        <v>Ivermectin</v>
      </c>
      <c r="G261" s="40" t="str">
        <f>IFERROR(__xludf.DUMMYFUNCTION("""COMPUTED_VALUE"""),"100microgram/kg")</f>
        <v>100microgram/kg</v>
      </c>
      <c r="H261" s="40" t="str">
        <f>IFERROR(__xludf.DUMMYFUNCTION("""COMPUTED_VALUE"""),"single dose")</f>
        <v>single dose</v>
      </c>
      <c r="I261" s="40"/>
      <c r="J261" s="216"/>
      <c r="K261" s="40"/>
      <c r="L261" s="40">
        <f>IFERROR(__xludf.DUMMYFUNCTION("""COMPUTED_VALUE"""),864.0)</f>
        <v>864</v>
      </c>
      <c r="M261" s="40"/>
      <c r="N261" s="40"/>
      <c r="O261" s="40"/>
      <c r="P261" s="40"/>
      <c r="Q261" s="40"/>
      <c r="R261" s="40"/>
      <c r="S261" s="40" t="str">
        <f>IFERROR(__xludf.DUMMYFUNCTION("""COMPUTED_VALUE"""),"6 months")</f>
        <v>6 months</v>
      </c>
      <c r="T261" s="40" t="str">
        <f>IFERROR(__xludf.DUMMYFUNCTION("""COMPUTED_VALUE"""),"comparison of their GMM counts before and 6 months after mass treatment indicated that treatment with a single dose of 100 ug/kg ivermectin resulted in a reduction of microfilaraemia by 69%.")</f>
        <v>comparison of their GMM counts before and 6 months after mass treatment indicated that treatment with a single dose of 100 ug/kg ivermectin resulted in a reduction of microfilaraemia by 69%.</v>
      </c>
      <c r="U261" s="40"/>
      <c r="V261" s="40"/>
      <c r="W261" s="40">
        <f>IFERROR(__xludf.DUMMYFUNCTION("""COMPUTED_VALUE"""),0.0)</f>
        <v>0</v>
      </c>
      <c r="X261" s="40" t="str">
        <f>IFERROR(__xludf.DUMMYFUNCTION("""COMPUTED_VALUE"""),"Cartel J-L, Nguyen NL, Moulia-Pelat J-P, Plichart R, Martin PMV, Spiegel A. Mass chemoprophylaxis of lymphatic filariasis with a single dose of ivermectin in a Polynesian community with a high Wuchereria bancrofti infection rate. Transactions of the Royal"&amp;" Society of Tropical Medicine and Hygiene. Oxford University Press (OUP); 1992 Sep;86(5):537–40.")</f>
        <v>Cartel J-L, Nguyen NL, Moulia-Pelat J-P, Plichart R, Martin PMV, Spiegel A. Mass chemoprophylaxis of lymphatic filariasis with a single dose of ivermectin in a Polynesian community with a high Wuchereria bancrofti infection rate. Transactions of the Royal Society of Tropical Medicine and Hygiene. Oxford University Press (OUP); 1992 Sep;86(5):537–40.</v>
      </c>
      <c r="Y261" s="40" t="str">
        <f>IFERROR(__xludf.DUMMYFUNCTION("""COMPUTED_VALUE"""),"10.1016/0035-9203(92)90098-W")</f>
        <v>10.1016/0035-9203(92)90098-W</v>
      </c>
      <c r="Z261" s="727" t="str">
        <f>IFERROR(__xludf.DUMMYFUNCTION("""COMPUTED_VALUE"""),"https://drive.google.com/file/d/0B0-pry4DSOm3QXJNVENiZGFzVkU/view?usp=sharing")</f>
        <v>https://drive.google.com/file/d/0B0-pry4DSOm3QXJNVENiZGFzVkU/view?usp=sharing</v>
      </c>
      <c r="AA261" s="40" t="str">
        <f>IFERROR(__xludf.DUMMYFUNCTION("""COMPUTED_VALUE"""),"x")</f>
        <v>x</v>
      </c>
      <c r="AB261" s="40"/>
    </row>
    <row r="262">
      <c r="A262" s="805" t="str">
        <f>IFERROR(__xludf.DUMMYFUNCTION("""COMPUTED_VALUE"""),"Chlebowsky, 1980")</f>
        <v>Chlebowsky, 1980</v>
      </c>
      <c r="B262" s="40" t="str">
        <f>IFERROR(__xludf.DUMMYFUNCTION("""COMPUTED_VALUE"""),"Chung Soo")</f>
        <v>Chung Soo</v>
      </c>
      <c r="C262" s="40" t="str">
        <f>IFERROR(__xludf.DUMMYFUNCTION("""COMPUTED_VALUE"""),"Mahvish")</f>
        <v>Mahvish</v>
      </c>
      <c r="D262" s="40" t="str">
        <f>IFERROR(__xludf.DUMMYFUNCTION("""COMPUTED_VALUE"""),"Brazil, Haiti, India, Papau New Guinea, Kenya")</f>
        <v>Brazil, Haiti, India, Papau New Guinea, Kenya</v>
      </c>
      <c r="E262" s="40" t="str">
        <f>IFERROR(__xludf.DUMMYFUNCTION("""COMPUTED_VALUE"""),"W. bancrofti")</f>
        <v>W. bancrofti</v>
      </c>
      <c r="F262" s="40" t="str">
        <f>IFERROR(__xludf.DUMMYFUNCTION("""COMPUTED_VALUE"""),"DEC &amp; Ivermectin")</f>
        <v>DEC &amp; Ivermectin</v>
      </c>
      <c r="G262" s="40"/>
      <c r="H262" s="40"/>
      <c r="I262" s="40"/>
      <c r="J262" s="216"/>
      <c r="K262" s="40"/>
      <c r="L262" s="40"/>
      <c r="M262" s="40"/>
      <c r="N262" s="40"/>
      <c r="O262" s="40"/>
      <c r="P262" s="40"/>
      <c r="Q262" s="40"/>
      <c r="R262" s="40"/>
      <c r="S262" s="40" t="str">
        <f>IFERROR(__xludf.DUMMYFUNCTION("""COMPUTED_VALUE"""),"6 months")</f>
        <v>6 months</v>
      </c>
      <c r="T262" s="40"/>
      <c r="U262" s="40"/>
      <c r="V262" s="40"/>
      <c r="W262" s="40">
        <f>IFERROR(__xludf.DUMMYFUNCTION("""COMPUTED_VALUE"""),0.0)</f>
        <v>0</v>
      </c>
      <c r="X262" s="40" t="str">
        <f>IFERROR(__xludf.DUMMYFUNCTION("""COMPUTED_VALUE"""),"Chodakewitz, J. “Ivermectin and Lymphatic Filariasis: A Clinical Update.” Parasitology Today 11.6 (1995): 233–235.")</f>
        <v>Chodakewitz, J. “Ivermectin and Lymphatic Filariasis: A Clinical Update.” Parasitology Today 11.6 (1995): 233–235.</v>
      </c>
      <c r="Y262" s="40" t="str">
        <f>IFERROR(__xludf.DUMMYFUNCTION("""COMPUTED_VALUE"""),"10.1016/0169-4758(95)80087-5")</f>
        <v>10.1016/0169-4758(95)80087-5</v>
      </c>
      <c r="Z262" s="727" t="str">
        <f>IFERROR(__xludf.DUMMYFUNCTION("""COMPUTED_VALUE"""),"https://drive.google.com/file/d/0B0-pry4DSOm3QXJ6T0d2NDRsQnc/view?usp=sharing")</f>
        <v>https://drive.google.com/file/d/0B0-pry4DSOm3QXJ6T0d2NDRsQnc/view?usp=sharing</v>
      </c>
      <c r="AA262" s="40" t="str">
        <f>IFERROR(__xludf.DUMMYFUNCTION("""COMPUTED_VALUE"""),"x")</f>
        <v>x</v>
      </c>
      <c r="AB262" s="40"/>
    </row>
    <row r="263">
      <c r="A263" s="805" t="str">
        <f>IFERROR(__xludf.DUMMYFUNCTION("""COMPUTED_VALUE"""),"Das, 2001")</f>
        <v>Das, 2001</v>
      </c>
      <c r="B263" s="40" t="str">
        <f>IFERROR(__xludf.DUMMYFUNCTION("""COMPUTED_VALUE"""),"Chung Soo")</f>
        <v>Chung Soo</v>
      </c>
      <c r="C263" s="40" t="str">
        <f>IFERROR(__xludf.DUMMYFUNCTION("""COMPUTED_VALUE"""),"Mahvish")</f>
        <v>Mahvish</v>
      </c>
      <c r="D263" s="40" t="str">
        <f>IFERROR(__xludf.DUMMYFUNCTION("""COMPUTED_VALUE"""),"India")</f>
        <v>India</v>
      </c>
      <c r="E263" s="40" t="str">
        <f>IFERROR(__xludf.DUMMYFUNCTION("""COMPUTED_VALUE"""),"W. bancrofti")</f>
        <v>W. bancrofti</v>
      </c>
      <c r="F263" s="40" t="str">
        <f>IFERROR(__xludf.DUMMYFUNCTION("""COMPUTED_VALUE"""),"DEC")</f>
        <v>DEC</v>
      </c>
      <c r="G263" s="40" t="str">
        <f>IFERROR(__xludf.DUMMYFUNCTION("""COMPUTED_VALUE"""),"6 mg/kg")</f>
        <v>6 mg/kg</v>
      </c>
      <c r="H263" s="40" t="str">
        <f>IFERROR(__xludf.DUMMYFUNCTION("""COMPUTED_VALUE"""),"4 cycles of single dose")</f>
        <v>4 cycles of single dose</v>
      </c>
      <c r="I263" s="40"/>
      <c r="J263" s="216"/>
      <c r="K263" s="40"/>
      <c r="L263" s="40"/>
      <c r="M263" s="40"/>
      <c r="N263" s="40"/>
      <c r="O263" s="40"/>
      <c r="P263" s="40" t="str">
        <f>IFERROR(__xludf.DUMMYFUNCTION("""COMPUTED_VALUE"""),"a randomized, double-blind and placebo-controlled")</f>
        <v>a randomized, double-blind and placebo-controlled</v>
      </c>
      <c r="Q263" s="40" t="str">
        <f>IFERROR(__xludf.DUMMYFUNCTION("""COMPUTED_VALUE"""),"Yes")</f>
        <v>Yes</v>
      </c>
      <c r="R263" s="40" t="str">
        <f>IFERROR(__xludf.DUMMYFUNCTION("""COMPUTED_VALUE"""),"Yes")</f>
        <v>Yes</v>
      </c>
      <c r="S263" s="40" t="str">
        <f>IFERROR(__xludf.DUMMYFUNCTION("""COMPUTED_VALUE"""),"3 years")</f>
        <v>3 years</v>
      </c>
      <c r="T263" s="40" t="str">
        <f>IFERROR(__xludf.DUMMYFUNCTION("""COMPUTED_VALUE"""),"repeated community-wide treatment with single-dose ivermectin or DEC can reduce levels of IV. bancrofti microfilaraemia and, most importantly, reduce the infectivity of culicine vectors and presumably transmission.")</f>
        <v>repeated community-wide treatment with single-dose ivermectin or DEC can reduce levels of IV. bancrofti microfilaraemia and, most importantly, reduce the infectivity of culicine vectors and presumably transmission.</v>
      </c>
      <c r="U263" s="40"/>
      <c r="V263" s="40" t="str">
        <f>IFERROR(__xludf.DUMMYFUNCTION("""COMPUTED_VALUE"""),"1994-1998")</f>
        <v>1994-1998</v>
      </c>
      <c r="W263" s="40">
        <f>IFERROR(__xludf.DUMMYFUNCTION("""COMPUTED_VALUE"""),1998.0)</f>
        <v>1998</v>
      </c>
      <c r="X263" s="40" t="str">
        <f>IFERROR(__xludf.DUMMYFUNCTION("""COMPUTED_VALUE"""),"Das PK, Ramaiah KD, Vanamail P, Pani SP, Yuvaraj J, Balarajan K, et al. Placebo-controlled community trial of four cycles of single-dose diethylcarbamazine or ivermectin against Wuchereria bancrofti infection and transmission in India. Transactions of the"&amp;" Royal Society of Tropical Medicine and Hygiene. Oxford University Press (OUP); 2001 May;95(3):336–41.:")</f>
        <v>Das PK, Ramaiah KD, Vanamail P, Pani SP, Yuvaraj J, Balarajan K, et al. Placebo-controlled community trial of four cycles of single-dose diethylcarbamazine or ivermectin against Wuchereria bancrofti infection and transmission in India. Transactions of the Royal Society of Tropical Medicine and Hygiene. Oxford University Press (OUP); 2001 May;95(3):336–41.:</v>
      </c>
      <c r="Y263" s="40" t="str">
        <f>IFERROR(__xludf.DUMMYFUNCTION("""COMPUTED_VALUE"""),"10.1016/S0035-9203(01)90260-3")</f>
        <v>10.1016/S0035-9203(01)90260-3</v>
      </c>
      <c r="Z263" s="727" t="str">
        <f>IFERROR(__xludf.DUMMYFUNCTION("""COMPUTED_VALUE"""),"https://drive.google.com/file/d/0By3QPyQz621GUENjZXhDc29zODQ/view?usp=sharing")</f>
        <v>https://drive.google.com/file/d/0By3QPyQz621GUENjZXhDc29zODQ/view?usp=sharing</v>
      </c>
      <c r="AA263" s="40"/>
      <c r="AB263" s="40"/>
    </row>
    <row r="264">
      <c r="A264" s="805" t="str">
        <f>IFERROR(__xludf.DUMMYFUNCTION("""COMPUTED_VALUE"""),"Das, 2001")</f>
        <v>Das, 2001</v>
      </c>
      <c r="B264" s="40" t="str">
        <f>IFERROR(__xludf.DUMMYFUNCTION("""COMPUTED_VALUE"""),"Chung Soo")</f>
        <v>Chung Soo</v>
      </c>
      <c r="C264" s="40" t="str">
        <f>IFERROR(__xludf.DUMMYFUNCTION("""COMPUTED_VALUE"""),"Mahvish")</f>
        <v>Mahvish</v>
      </c>
      <c r="D264" s="40" t="str">
        <f>IFERROR(__xludf.DUMMYFUNCTION("""COMPUTED_VALUE"""),"India")</f>
        <v>India</v>
      </c>
      <c r="E264" s="40" t="str">
        <f>IFERROR(__xludf.DUMMYFUNCTION("""COMPUTED_VALUE"""),"W. bancrofti")</f>
        <v>W. bancrofti</v>
      </c>
      <c r="F264" s="40" t="str">
        <f>IFERROR(__xludf.DUMMYFUNCTION("""COMPUTED_VALUE"""),"Ivermectin")</f>
        <v>Ivermectin</v>
      </c>
      <c r="G264" s="40" t="str">
        <f>IFERROR(__xludf.DUMMYFUNCTION("""COMPUTED_VALUE"""),"400µg/kg")</f>
        <v>400µg/kg</v>
      </c>
      <c r="H264" s="40" t="str">
        <f>IFERROR(__xludf.DUMMYFUNCTION("""COMPUTED_VALUE"""),"4 cycles of single dose")</f>
        <v>4 cycles of single dose</v>
      </c>
      <c r="I264" s="40"/>
      <c r="J264" s="216"/>
      <c r="K264" s="40"/>
      <c r="L264" s="40"/>
      <c r="M264" s="40"/>
      <c r="N264" s="40"/>
      <c r="O264" s="40"/>
      <c r="P264" s="40" t="str">
        <f>IFERROR(__xludf.DUMMYFUNCTION("""COMPUTED_VALUE"""),"a randomized, double-blind and placebo-controlled")</f>
        <v>a randomized, double-blind and placebo-controlled</v>
      </c>
      <c r="Q264" s="40" t="str">
        <f>IFERROR(__xludf.DUMMYFUNCTION("""COMPUTED_VALUE"""),"Yes")</f>
        <v>Yes</v>
      </c>
      <c r="R264" s="40" t="str">
        <f>IFERROR(__xludf.DUMMYFUNCTION("""COMPUTED_VALUE"""),"Yes")</f>
        <v>Yes</v>
      </c>
      <c r="S264" s="40" t="str">
        <f>IFERROR(__xludf.DUMMYFUNCTION("""COMPUTED_VALUE"""),"3 years")</f>
        <v>3 years</v>
      </c>
      <c r="T264" s="40" t="str">
        <f>IFERROR(__xludf.DUMMYFUNCTION("""COMPUTED_VALUE"""),"repeated community-wide treatment with single-dose ivermectin or DEC can reduce levels of IV. bancrofti microfilaraemia and, most importantly, reduce the infectivity of culicine vectors and presumably transmission.")</f>
        <v>repeated community-wide treatment with single-dose ivermectin or DEC can reduce levels of IV. bancrofti microfilaraemia and, most importantly, reduce the infectivity of culicine vectors and presumably transmission.</v>
      </c>
      <c r="U264" s="40"/>
      <c r="V264" s="40" t="str">
        <f>IFERROR(__xludf.DUMMYFUNCTION("""COMPUTED_VALUE"""),"1994-1998")</f>
        <v>1994-1998</v>
      </c>
      <c r="W264" s="40">
        <f>IFERROR(__xludf.DUMMYFUNCTION("""COMPUTED_VALUE"""),1998.0)</f>
        <v>1998</v>
      </c>
      <c r="X264" s="40" t="str">
        <f>IFERROR(__xludf.DUMMYFUNCTION("""COMPUTED_VALUE"""),"Das PK, Ramaiah KD, Vanamail P, Pani SP, Yuvaraj J, Balarajan K, et al. Placebo-controlled community trial of four cycles of single-dose diethylcarbamazine or ivermectin against Wuchereria bancrofti infection and transmission in India. Transactions of the"&amp;" Royal Society of Tropical Medicine and Hygiene. Oxford University Press (OUP); 2001 May;95(3):336–41.:")</f>
        <v>Das PK, Ramaiah KD, Vanamail P, Pani SP, Yuvaraj J, Balarajan K, et al. Placebo-controlled community trial of four cycles of single-dose diethylcarbamazine or ivermectin against Wuchereria bancrofti infection and transmission in India. Transactions of the Royal Society of Tropical Medicine and Hygiene. Oxford University Press (OUP); 2001 May;95(3):336–41.:</v>
      </c>
      <c r="Y264" s="40" t="str">
        <f>IFERROR(__xludf.DUMMYFUNCTION("""COMPUTED_VALUE"""),"10.1016/S0035-9203(01)90260-3")</f>
        <v>10.1016/S0035-9203(01)90260-3</v>
      </c>
      <c r="Z264" s="727" t="str">
        <f>IFERROR(__xludf.DUMMYFUNCTION("""COMPUTED_VALUE"""),"https://drive.google.com/file/d/0By3QPyQz621GUENjZXhDc29zODQ/view?usp=sharing")</f>
        <v>https://drive.google.com/file/d/0By3QPyQz621GUENjZXhDc29zODQ/view?usp=sharing</v>
      </c>
      <c r="AA264" s="40"/>
      <c r="AB264" s="40"/>
    </row>
    <row r="265">
      <c r="A265" s="805" t="str">
        <f>IFERROR(__xludf.DUMMYFUNCTION("""COMPUTED_VALUE"""),"Das, 2001")</f>
        <v>Das, 2001</v>
      </c>
      <c r="B265" s="40" t="str">
        <f>IFERROR(__xludf.DUMMYFUNCTION("""COMPUTED_VALUE"""),"Chung Soo")</f>
        <v>Chung Soo</v>
      </c>
      <c r="C265" s="40" t="str">
        <f>IFERROR(__xludf.DUMMYFUNCTION("""COMPUTED_VALUE"""),"Mahvish")</f>
        <v>Mahvish</v>
      </c>
      <c r="D265" s="40" t="str">
        <f>IFERROR(__xludf.DUMMYFUNCTION("""COMPUTED_VALUE"""),"India")</f>
        <v>India</v>
      </c>
      <c r="E265" s="40" t="str">
        <f>IFERROR(__xludf.DUMMYFUNCTION("""COMPUTED_VALUE"""),"W. bancrofti")</f>
        <v>W. bancrofti</v>
      </c>
      <c r="F265" s="40" t="str">
        <f>IFERROR(__xludf.DUMMYFUNCTION("""COMPUTED_VALUE"""),"Placebo")</f>
        <v>Placebo</v>
      </c>
      <c r="G265" s="40" t="str">
        <f>IFERROR(__xludf.DUMMYFUNCTION("""COMPUTED_VALUE"""),"casein placebo")</f>
        <v>casein placebo</v>
      </c>
      <c r="H265" s="40" t="str">
        <f>IFERROR(__xludf.DUMMYFUNCTION("""COMPUTED_VALUE"""),"4 cycles of single dose")</f>
        <v>4 cycles of single dose</v>
      </c>
      <c r="I265" s="40"/>
      <c r="J265" s="216"/>
      <c r="K265" s="40"/>
      <c r="L265" s="40"/>
      <c r="M265" s="40"/>
      <c r="N265" s="40"/>
      <c r="O265" s="40"/>
      <c r="P265" s="40" t="str">
        <f>IFERROR(__xludf.DUMMYFUNCTION("""COMPUTED_VALUE"""),"a randomized, double-blind and placebo-controlled")</f>
        <v>a randomized, double-blind and placebo-controlled</v>
      </c>
      <c r="Q265" s="40" t="str">
        <f>IFERROR(__xludf.DUMMYFUNCTION("""COMPUTED_VALUE"""),"Yes")</f>
        <v>Yes</v>
      </c>
      <c r="R265" s="40" t="str">
        <f>IFERROR(__xludf.DUMMYFUNCTION("""COMPUTED_VALUE"""),"Yes")</f>
        <v>Yes</v>
      </c>
      <c r="S265" s="40" t="str">
        <f>IFERROR(__xludf.DUMMYFUNCTION("""COMPUTED_VALUE"""),"3 years")</f>
        <v>3 years</v>
      </c>
      <c r="T265" s="40" t="str">
        <f>IFERROR(__xludf.DUMMYFUNCTION("""COMPUTED_VALUE"""),"repeated community-wide treatment with single-dose ivermectin or DEC can reduce levels of IV. bancrofti microfilaraemia and, most importantly, reduce the infectivity of culicine vectors and presumably transmission.")</f>
        <v>repeated community-wide treatment with single-dose ivermectin or DEC can reduce levels of IV. bancrofti microfilaraemia and, most importantly, reduce the infectivity of culicine vectors and presumably transmission.</v>
      </c>
      <c r="U265" s="40"/>
      <c r="V265" s="40" t="str">
        <f>IFERROR(__xludf.DUMMYFUNCTION("""COMPUTED_VALUE"""),"1994-1998")</f>
        <v>1994-1998</v>
      </c>
      <c r="W265" s="40">
        <f>IFERROR(__xludf.DUMMYFUNCTION("""COMPUTED_VALUE"""),1998.0)</f>
        <v>1998</v>
      </c>
      <c r="X265" s="40" t="str">
        <f>IFERROR(__xludf.DUMMYFUNCTION("""COMPUTED_VALUE"""),"Das PK, Ramaiah KD, Vanamail P, Pani SP, Yuvaraj J, Balarajan K, et al. Placebo-controlled community trial of four cycles of single-dose diethylcarbamazine or ivermectin against Wuchereria bancrofti infection and transmission in India. Transactions of the"&amp;" Royal Society of Tropical Medicine and Hygiene. Oxford University Press (OUP); 2001 May;95(3):336–41.:")</f>
        <v>Das PK, Ramaiah KD, Vanamail P, Pani SP, Yuvaraj J, Balarajan K, et al. Placebo-controlled community trial of four cycles of single-dose diethylcarbamazine or ivermectin against Wuchereria bancrofti infection and transmission in India. Transactions of the Royal Society of Tropical Medicine and Hygiene. Oxford University Press (OUP); 2001 May;95(3):336–41.:</v>
      </c>
      <c r="Y265" s="40" t="str">
        <f>IFERROR(__xludf.DUMMYFUNCTION("""COMPUTED_VALUE"""),"10.1016/S0035-9203(01)90260-3")</f>
        <v>10.1016/S0035-9203(01)90260-3</v>
      </c>
      <c r="Z265" s="727" t="str">
        <f>IFERROR(__xludf.DUMMYFUNCTION("""COMPUTED_VALUE"""),"https://drive.google.com/file/d/0By3QPyQz621GUENjZXhDc29zODQ/view?usp=sharing")</f>
        <v>https://drive.google.com/file/d/0By3QPyQz621GUENjZXhDc29zODQ/view?usp=sharing</v>
      </c>
      <c r="AA265" s="40"/>
      <c r="AB265" s="40"/>
    </row>
    <row r="266">
      <c r="A266" s="805" t="str">
        <f>IFERROR(__xludf.DUMMYFUNCTION("""COMPUTED_VALUE"""),"Dembele, 2010")</f>
        <v>Dembele, 2010</v>
      </c>
      <c r="B266" s="40" t="str">
        <f>IFERROR(__xludf.DUMMYFUNCTION("""COMPUTED_VALUE"""),"Chung Soo")</f>
        <v>Chung Soo</v>
      </c>
      <c r="C266" s="40" t="str">
        <f>IFERROR(__xludf.DUMMYFUNCTION("""COMPUTED_VALUE"""),"Mahvish")</f>
        <v>Mahvish</v>
      </c>
      <c r="D266" s="40" t="str">
        <f>IFERROR(__xludf.DUMMYFUNCTION("""COMPUTED_VALUE"""),"Mali")</f>
        <v>Mali</v>
      </c>
      <c r="E266" s="40" t="str">
        <f>IFERROR(__xludf.DUMMYFUNCTION("""COMPUTED_VALUE"""),"W. bancrofti")</f>
        <v>W. bancrofti</v>
      </c>
      <c r="F266" s="40" t="str">
        <f>IFERROR(__xludf.DUMMYFUNCTION("""COMPUTED_VALUE"""),"Albendazole &amp; Ivermectin")</f>
        <v>Albendazole &amp; Ivermectin</v>
      </c>
      <c r="G266" s="40" t="str">
        <f>IFERROR(__xludf.DUMMYFUNCTION("""COMPUTED_VALUE"""),"400 mg and 150 µg/kg")</f>
        <v>400 mg and 150 µg/kg</v>
      </c>
      <c r="H266" s="40" t="str">
        <f>IFERROR(__xludf.DUMMYFUNCTION("""COMPUTED_VALUE"""),"twice yearly")</f>
        <v>twice yearly</v>
      </c>
      <c r="I266" s="741">
        <f>IFERROR(__xludf.DUMMYFUNCTION("""COMPUTED_VALUE"""),1.0)</f>
        <v>1</v>
      </c>
      <c r="J266" s="216"/>
      <c r="K266" s="40"/>
      <c r="L266" s="40">
        <f>IFERROR(__xludf.DUMMYFUNCTION("""COMPUTED_VALUE"""),26.0)</f>
        <v>26</v>
      </c>
      <c r="M266" s="40" t="str">
        <f>IFERROR(__xludf.DUMMYFUNCTION("""COMPUTED_VALUE"""),"18-62")</f>
        <v>18-62</v>
      </c>
      <c r="N266" s="827">
        <f>IFERROR(__xludf.DUMMYFUNCTION("""COMPUTED_VALUE"""),0.3020833333333333)</f>
        <v>0.3020833333</v>
      </c>
      <c r="O266" s="40" t="str">
        <f>IFERROR(__xludf.DUMMYFUNCTION("""COMPUTED_VALUE"""),"all enrolled patients had W. bancrofti microfilarial levels of 150 microfilariae/mL detected at the screening visit.")</f>
        <v>all enrolled patients had W. bancrofti microfilarial levels of 150 microfilariae/mL detected at the screening visit.</v>
      </c>
      <c r="P266" s="40" t="str">
        <f>IFERROR(__xludf.DUMMYFUNCTION("""COMPUTED_VALUE"""),"randomized")</f>
        <v>randomized</v>
      </c>
      <c r="Q266" s="40"/>
      <c r="R266" s="40"/>
      <c r="S266" s="40" t="str">
        <f>IFERROR(__xludf.DUMMYFUNCTION("""COMPUTED_VALUE"""),"24 months")</f>
        <v>24 months</v>
      </c>
      <c r="T266" s="40" t="str">
        <f>IFERROR(__xludf.DUMMYFUNCTION("""COMPUTED_VALUE"""),"increasing the dosage and frequency of albendazole-ivermectin treatment enhances suppression of microfilariae but that this effect may not be attributable to improved adulticidal activity.")</f>
        <v>increasing the dosage and frequency of albendazole-ivermectin treatment enhances suppression of microfilariae but that this effect may not be attributable to improved adulticidal activity.</v>
      </c>
      <c r="U266" s="40"/>
      <c r="V266" s="40">
        <f>IFERROR(__xludf.DUMMYFUNCTION("""COMPUTED_VALUE"""),2010.0)</f>
        <v>2010</v>
      </c>
      <c r="W266" s="40">
        <f>IFERROR(__xludf.DUMMYFUNCTION("""COMPUTED_VALUE"""),2010.0)</f>
        <v>2010</v>
      </c>
      <c r="X266" s="40" t="str">
        <f>IFERROR(__xludf.DUMMYFUNCTION("""COMPUTED_VALUE"""),"Dembele B, Coulibaly YI, Dolo H, Konate S, Coulibaly SY, Sanogo D, et al.  Use of High‐Dose, Twice‐Yearly Albendazole and Ivermectin to Suppress Wuchereria bancrofti Microfilarial Levels . CLIN INFECT DIS. Oxford University Press (OUP); 2010 Dec;51(11):12"&amp;"29–35.")</f>
        <v>Dembele B, Coulibaly YI, Dolo H, Konate S, Coulibaly SY, Sanogo D, et al.  Use of High‐Dose, Twice‐Yearly Albendazole and Ivermectin to Suppress Wuchereria bancrofti Microfilarial Levels . CLIN INFECT DIS. Oxford University Press (OUP); 2010 Dec;51(11):1229–35.</v>
      </c>
      <c r="Y266" s="40" t="str">
        <f>IFERROR(__xludf.DUMMYFUNCTION("""COMPUTED_VALUE"""),"10.1086/657063")</f>
        <v>10.1086/657063</v>
      </c>
      <c r="Z266" s="727" t="str">
        <f>IFERROR(__xludf.DUMMYFUNCTION("""COMPUTED_VALUE"""),"https://drive.google.com/file/d/0B0-pry4DSOm3U0gtTGdiVzdPa3M/view?usp=sharing")</f>
        <v>https://drive.google.com/file/d/0B0-pry4DSOm3U0gtTGdiVzdPa3M/view?usp=sharing</v>
      </c>
      <c r="AA266" s="40"/>
      <c r="AB266" s="40"/>
    </row>
    <row r="267">
      <c r="A267" s="805" t="str">
        <f>IFERROR(__xludf.DUMMYFUNCTION("""COMPUTED_VALUE"""),"Dembele, 2010")</f>
        <v>Dembele, 2010</v>
      </c>
      <c r="B267" s="40" t="str">
        <f>IFERROR(__xludf.DUMMYFUNCTION("""COMPUTED_VALUE"""),"Chung Soo")</f>
        <v>Chung Soo</v>
      </c>
      <c r="C267" s="40" t="str">
        <f>IFERROR(__xludf.DUMMYFUNCTION("""COMPUTED_VALUE"""),"Mahvish")</f>
        <v>Mahvish</v>
      </c>
      <c r="D267" s="40" t="str">
        <f>IFERROR(__xludf.DUMMYFUNCTION("""COMPUTED_VALUE"""),"Mali")</f>
        <v>Mali</v>
      </c>
      <c r="E267" s="40" t="str">
        <f>IFERROR(__xludf.DUMMYFUNCTION("""COMPUTED_VALUE"""),"W. bancrofti")</f>
        <v>W. bancrofti</v>
      </c>
      <c r="F267" s="40" t="str">
        <f>IFERROR(__xludf.DUMMYFUNCTION("""COMPUTED_VALUE"""),"Albendazole &amp; Ivermectin")</f>
        <v>Albendazole &amp; Ivermectin</v>
      </c>
      <c r="G267" s="40" t="str">
        <f>IFERROR(__xludf.DUMMYFUNCTION("""COMPUTED_VALUE"""),"800 mg and 400 µg/kg")</f>
        <v>800 mg and 400 µg/kg</v>
      </c>
      <c r="H267" s="40" t="str">
        <f>IFERROR(__xludf.DUMMYFUNCTION("""COMPUTED_VALUE"""),"twice yearly")</f>
        <v>twice yearly</v>
      </c>
      <c r="I267" s="741">
        <f>IFERROR(__xludf.DUMMYFUNCTION("""COMPUTED_VALUE"""),0.72)</f>
        <v>0.72</v>
      </c>
      <c r="J267" s="216"/>
      <c r="K267" s="40"/>
      <c r="L267" s="40">
        <f>IFERROR(__xludf.DUMMYFUNCTION("""COMPUTED_VALUE"""),25.0)</f>
        <v>25</v>
      </c>
      <c r="M267" s="40" t="str">
        <f>IFERROR(__xludf.DUMMYFUNCTION("""COMPUTED_VALUE"""),"21-59")</f>
        <v>21-59</v>
      </c>
      <c r="N267" s="827">
        <f>IFERROR(__xludf.DUMMYFUNCTION("""COMPUTED_VALUE"""),0.21875)</f>
        <v>0.21875</v>
      </c>
      <c r="O267" s="40" t="str">
        <f>IFERROR(__xludf.DUMMYFUNCTION("""COMPUTED_VALUE"""),"all enrolled patients had W. bancrofti microfilarial levels of 150 microfilariae/mL detected at the screening visit.")</f>
        <v>all enrolled patients had W. bancrofti microfilarial levels of 150 microfilariae/mL detected at the screening visit.</v>
      </c>
      <c r="P267" s="40" t="str">
        <f>IFERROR(__xludf.DUMMYFUNCTION("""COMPUTED_VALUE"""),"randomized")</f>
        <v>randomized</v>
      </c>
      <c r="Q267" s="40"/>
      <c r="R267" s="40"/>
      <c r="S267" s="40" t="str">
        <f>IFERROR(__xludf.DUMMYFUNCTION("""COMPUTED_VALUE"""),"24 months")</f>
        <v>24 months</v>
      </c>
      <c r="T267" s="40" t="str">
        <f>IFERROR(__xludf.DUMMYFUNCTION("""COMPUTED_VALUE"""),"increasing the dosage and frequency of albendazole-ivermectin treatment enhances suppression of microfilariae but that this effect may not be attributable to improved adulticidal activity.")</f>
        <v>increasing the dosage and frequency of albendazole-ivermectin treatment enhances suppression of microfilariae but that this effect may not be attributable to improved adulticidal activity.</v>
      </c>
      <c r="U267" s="40"/>
      <c r="V267" s="40">
        <f>IFERROR(__xludf.DUMMYFUNCTION("""COMPUTED_VALUE"""),2010.0)</f>
        <v>2010</v>
      </c>
      <c r="W267" s="40">
        <f>IFERROR(__xludf.DUMMYFUNCTION("""COMPUTED_VALUE"""),2010.0)</f>
        <v>2010</v>
      </c>
      <c r="X267" s="40" t="str">
        <f>IFERROR(__xludf.DUMMYFUNCTION("""COMPUTED_VALUE"""),"Dembele B, Coulibaly YI, Dolo H, Konate S, Coulibaly SY, Sanogo D, et al.  Use of High‐Dose, Twice‐Yearly Albendazole and Ivermectin to Suppress Wuchereria bancrofti Microfilarial Levels . CLIN INFECT DIS. Oxford University Press (OUP); 2010 Dec;51(11):12"&amp;"29–35.")</f>
        <v>Dembele B, Coulibaly YI, Dolo H, Konate S, Coulibaly SY, Sanogo D, et al.  Use of High‐Dose, Twice‐Yearly Albendazole and Ivermectin to Suppress Wuchereria bancrofti Microfilarial Levels . CLIN INFECT DIS. Oxford University Press (OUP); 2010 Dec;51(11):1229–35.</v>
      </c>
      <c r="Y267" s="40" t="str">
        <f>IFERROR(__xludf.DUMMYFUNCTION("""COMPUTED_VALUE"""),"10.1086/657063")</f>
        <v>10.1086/657063</v>
      </c>
      <c r="Z267" s="727" t="str">
        <f>IFERROR(__xludf.DUMMYFUNCTION("""COMPUTED_VALUE"""),"https://drive.google.com/file/d/0B0-pry4DSOm3U0gtTGdiVzdPa3M/view?usp=sharing")</f>
        <v>https://drive.google.com/file/d/0B0-pry4DSOm3U0gtTGdiVzdPa3M/view?usp=sharing</v>
      </c>
      <c r="AA267" s="40"/>
      <c r="AB267" s="40"/>
    </row>
    <row r="268">
      <c r="A268" s="805" t="str">
        <f>IFERROR(__xludf.DUMMYFUNCTION("""COMPUTED_VALUE"""),"Simonsen PE, 2004")</f>
        <v>Simonsen PE, 2004</v>
      </c>
      <c r="B268" s="40"/>
      <c r="C268" s="40" t="str">
        <f>IFERROR(__xludf.DUMMYFUNCTION("""COMPUTED_VALUE"""),"Alex")</f>
        <v>Alex</v>
      </c>
      <c r="D268" s="40" t="str">
        <f>IFERROR(__xludf.DUMMYFUNCTION("""COMPUTED_VALUE"""),"Tanzania")</f>
        <v>Tanzania</v>
      </c>
      <c r="E268" s="40" t="str">
        <f>IFERROR(__xludf.DUMMYFUNCTION("""COMPUTED_VALUE"""),"W. bancrofti")</f>
        <v>W. bancrofti</v>
      </c>
      <c r="F268" s="40" t="str">
        <f>IFERROR(__xludf.DUMMYFUNCTION("""COMPUTED_VALUE"""),"Albendazole &amp; Ivermectin")</f>
        <v>Albendazole &amp; Ivermectin</v>
      </c>
      <c r="G268" s="40" t="str">
        <f>IFERROR(__xludf.DUMMYFUNCTION("""COMPUTED_VALUE"""),"400 mg albendazole, 150 to 200 μg/kg ivermectin")</f>
        <v>400 mg albendazole, 150 to 200 μg/kg ivermectin</v>
      </c>
      <c r="H268" s="40" t="str">
        <f>IFERROR(__xludf.DUMMYFUNCTION("""COMPUTED_VALUE"""),"6 months")</f>
        <v>6 months</v>
      </c>
      <c r="I268" s="741">
        <f>IFERROR(__xludf.DUMMYFUNCTION("""COMPUTED_VALUE"""),0.804)</f>
        <v>0.804</v>
      </c>
      <c r="J268" s="216">
        <f>IFERROR(__xludf.DUMMYFUNCTION("""COMPUTED_VALUE"""),0.133)</f>
        <v>0.133</v>
      </c>
      <c r="K268" s="40" t="str">
        <f>IFERROR(__xludf.DUMMYFUNCTION("""COMPUTED_VALUE"""),"not available ")</f>
        <v>not available </v>
      </c>
      <c r="L268" s="40">
        <f>IFERROR(__xludf.DUMMYFUNCTION("""COMPUTED_VALUE"""),203.0)</f>
        <v>203</v>
      </c>
      <c r="M268" s="214" t="str">
        <f>IFERROR(__xludf.DUMMYFUNCTION("""COMPUTED_VALUE"""),"6 to 18")</f>
        <v>6 to 18</v>
      </c>
      <c r="N268" s="40" t="str">
        <f>IFERROR(__xludf.DUMMYFUNCTION("""COMPUTED_VALUE"""),"55: 50")</f>
        <v>55: 50</v>
      </c>
      <c r="O268" s="40" t="str">
        <f>IFERROR(__xludf.DUMMYFUNCTION("""COMPUTED_VALUE"""),"School children aged 6 to 18 years with or without Wuchereria bancrofti")</f>
        <v>School children aged 6 to 18 years with or without Wuchereria bancrofti</v>
      </c>
      <c r="P268" s="40" t="str">
        <f>IFERROR(__xludf.DUMMYFUNCTION("""COMPUTED_VALUE"""),"randomized double-blind field trial")</f>
        <v>randomized double-blind field trial</v>
      </c>
      <c r="Q268" s="40" t="str">
        <f>IFERROR(__xludf.DUMMYFUNCTION("""COMPUTED_VALUE"""),"Yes")</f>
        <v>Yes</v>
      </c>
      <c r="R268" s="40" t="str">
        <f>IFERROR(__xludf.DUMMYFUNCTION("""COMPUTED_VALUE"""),"Yes")</f>
        <v>Yes</v>
      </c>
      <c r="S268" s="40" t="str">
        <f>IFERROR(__xludf.DUMMYFUNCTION("""COMPUTED_VALUE"""),"12 months ")</f>
        <v>12 months </v>
      </c>
      <c r="T268" s="40"/>
      <c r="U268" s="40" t="str">
        <f>IFERROR(__xludf.DUMMYFUNCTION("""COMPUTED_VALUE"""),"1829, of which 1221 (67%) followed up; 103 had mf")</f>
        <v>1829, of which 1221 (67%) followed up; 103 had mf</v>
      </c>
      <c r="V268" s="40">
        <f>IFERROR(__xludf.DUMMYFUNCTION("""COMPUTED_VALUE"""),2004.0)</f>
        <v>2004</v>
      </c>
      <c r="W268" s="40">
        <f>IFERROR(__xludf.DUMMYFUNCTION("""COMPUTED_VALUE"""),2004.0)</f>
        <v>2004</v>
      </c>
      <c r="X268" s="40" t="str">
        <f>IFERROR(__xludf.DUMMYFUNCTION("""COMPUTED_VALUE"""),"Simonsen PE, Magesa SM, Dunyo SK, Malecela-Lazaro MN, Michael E. The effect of single dose ivermectin alone or in combination with albendazole on Wuchereria bancrofti infection in primary school children in Tanzania. Transactions of the Royal Soceity of T"&amp;"ropical Medicine and Hygiene 2004;98(8):462–72.")</f>
        <v>Simonsen PE, Magesa SM, Dunyo SK, Malecela-Lazaro MN, Michael E. The effect of single dose ivermectin alone or in combination with albendazole on Wuchereria bancrofti infection in primary school children in Tanzania. Transactions of the Royal Soceity of Tropical Medicine and Hygiene 2004;98(8):462–72.</v>
      </c>
      <c r="Y268" s="40"/>
      <c r="Z268" s="727" t="str">
        <f>IFERROR(__xludf.DUMMYFUNCTION("""COMPUTED_VALUE"""),"https://drive.google.com/file/d/0B9vYgR7NsKoYajB1aHBEckV5anM/view?usp=sharing")</f>
        <v>https://drive.google.com/file/d/0B9vYgR7NsKoYajB1aHBEckV5anM/view?usp=sharing</v>
      </c>
      <c r="AA268" s="40"/>
      <c r="AB268" s="40"/>
    </row>
    <row r="269">
      <c r="A269" s="805" t="str">
        <f>IFERROR(__xludf.DUMMYFUNCTION("""COMPUTED_VALUE"""),"Simonsen PE, 2005")</f>
        <v>Simonsen PE, 2005</v>
      </c>
      <c r="B269" s="40"/>
      <c r="C269" s="40" t="str">
        <f>IFERROR(__xludf.DUMMYFUNCTION("""COMPUTED_VALUE"""),"Alex")</f>
        <v>Alex</v>
      </c>
      <c r="D269" s="40" t="str">
        <f>IFERROR(__xludf.DUMMYFUNCTION("""COMPUTED_VALUE"""),"Tanzania")</f>
        <v>Tanzania</v>
      </c>
      <c r="E269" s="40" t="str">
        <f>IFERROR(__xludf.DUMMYFUNCTION("""COMPUTED_VALUE"""),"W. bancrofti")</f>
        <v>W. bancrofti</v>
      </c>
      <c r="F269" s="40" t="str">
        <f>IFERROR(__xludf.DUMMYFUNCTION("""COMPUTED_VALUE"""),"Albendazole &amp; Ivermectin")</f>
        <v>Albendazole &amp; Ivermectin</v>
      </c>
      <c r="G269" s="40" t="str">
        <f>IFERROR(__xludf.DUMMYFUNCTION("""COMPUTED_VALUE"""),"401 mg albendazole, 150 to 200 μg/kg ivermectin")</f>
        <v>401 mg albendazole, 150 to 200 μg/kg ivermectin</v>
      </c>
      <c r="H269" s="40" t="str">
        <f>IFERROR(__xludf.DUMMYFUNCTION("""COMPUTED_VALUE"""),"12 months")</f>
        <v>12 months</v>
      </c>
      <c r="I269" s="40" t="str">
        <f>IFERROR(__xludf.DUMMYFUNCTION("""COMPUTED_VALUE"""),"83.6%%")</f>
        <v>83.6%%</v>
      </c>
      <c r="J269" s="216">
        <f>IFERROR(__xludf.DUMMYFUNCTION("""COMPUTED_VALUE"""),0.255)</f>
        <v>0.255</v>
      </c>
      <c r="K269" s="40" t="str">
        <f>IFERROR(__xludf.DUMMYFUNCTION("""COMPUTED_VALUE"""),"not available ")</f>
        <v>not available </v>
      </c>
      <c r="L269" s="40">
        <f>IFERROR(__xludf.DUMMYFUNCTION("""COMPUTED_VALUE"""),203.0)</f>
        <v>203</v>
      </c>
      <c r="M269" s="214" t="str">
        <f>IFERROR(__xludf.DUMMYFUNCTION("""COMPUTED_VALUE"""),"6 to 18")</f>
        <v>6 to 18</v>
      </c>
      <c r="N269" s="828">
        <f>IFERROR(__xludf.DUMMYFUNCTION("""COMPUTED_VALUE"""),2.326388888888889)</f>
        <v>2.326388889</v>
      </c>
      <c r="O269" s="40" t="str">
        <f>IFERROR(__xludf.DUMMYFUNCTION("""COMPUTED_VALUE"""),"School children aged 6 to 18 years with or without Wuchereria bancrofti")</f>
        <v>School children aged 6 to 18 years with or without Wuchereria bancrofti</v>
      </c>
      <c r="P269" s="40" t="str">
        <f>IFERROR(__xludf.DUMMYFUNCTION("""COMPUTED_VALUE"""),"randomized double-blind field trial")</f>
        <v>randomized double-blind field trial</v>
      </c>
      <c r="Q269" s="40" t="str">
        <f>IFERROR(__xludf.DUMMYFUNCTION("""COMPUTED_VALUE"""),"Yes")</f>
        <v>Yes</v>
      </c>
      <c r="R269" s="40" t="str">
        <f>IFERROR(__xludf.DUMMYFUNCTION("""COMPUTED_VALUE"""),"Yes")</f>
        <v>Yes</v>
      </c>
      <c r="S269" s="40" t="str">
        <f>IFERROR(__xludf.DUMMYFUNCTION("""COMPUTED_VALUE"""),"12 months")</f>
        <v>12 months</v>
      </c>
      <c r="T269" s="40"/>
      <c r="U269" s="40" t="str">
        <f>IFERROR(__xludf.DUMMYFUNCTION("""COMPUTED_VALUE"""),"1829, of which 1221 (67%) followed up; 103 had mf")</f>
        <v>1829, of which 1221 (67%) followed up; 103 had mf</v>
      </c>
      <c r="V269" s="40">
        <f>IFERROR(__xludf.DUMMYFUNCTION("""COMPUTED_VALUE"""),2004.0)</f>
        <v>2004</v>
      </c>
      <c r="W269" s="40">
        <f>IFERROR(__xludf.DUMMYFUNCTION("""COMPUTED_VALUE"""),2004.0)</f>
        <v>2004</v>
      </c>
      <c r="X269" s="40" t="str">
        <f>IFERROR(__xludf.DUMMYFUNCTION("""COMPUTED_VALUE"""),"Simonsen PE, Magesa SM, Dunyo SK, Malecela-Lazaro MN, Michael E. The effect of single dose ivermectin alone or in combination with albendazole on Wuchereria bancrofti infection in primary school children in Tanzania. Transactions of the Royal Soceity of T"&amp;"ropical Medicine and Hygiene 2004;98(8):462–72.")</f>
        <v>Simonsen PE, Magesa SM, Dunyo SK, Malecela-Lazaro MN, Michael E. The effect of single dose ivermectin alone or in combination with albendazole on Wuchereria bancrofti infection in primary school children in Tanzania. Transactions of the Royal Soceity of Tropical Medicine and Hygiene 2004;98(8):462–72.</v>
      </c>
      <c r="Y269" s="40"/>
      <c r="Z269" s="727" t="str">
        <f>IFERROR(__xludf.DUMMYFUNCTION("""COMPUTED_VALUE"""),"https://drive.google.com/file/d/0B9vYgR7NsKoYajB1aHBEckV5anM/view?usp=sharing")</f>
        <v>https://drive.google.com/file/d/0B9vYgR7NsKoYajB1aHBEckV5anM/view?usp=sharing</v>
      </c>
      <c r="AA269" s="40"/>
      <c r="AB269" s="40"/>
    </row>
    <row r="270">
      <c r="A270" s="805" t="str">
        <f>IFERROR(__xludf.DUMMYFUNCTION("""COMPUTED_VALUE"""),"Simonsen PE, 2004")</f>
        <v>Simonsen PE, 2004</v>
      </c>
      <c r="B270" s="40"/>
      <c r="C270" s="40" t="str">
        <f>IFERROR(__xludf.DUMMYFUNCTION("""COMPUTED_VALUE"""),"Alex")</f>
        <v>Alex</v>
      </c>
      <c r="D270" s="40" t="str">
        <f>IFERROR(__xludf.DUMMYFUNCTION("""COMPUTED_VALUE"""),"Tanzania")</f>
        <v>Tanzania</v>
      </c>
      <c r="E270" s="40" t="str">
        <f>IFERROR(__xludf.DUMMYFUNCTION("""COMPUTED_VALUE"""),"W. bancrofti")</f>
        <v>W. bancrofti</v>
      </c>
      <c r="F270" s="40" t="str">
        <f>IFERROR(__xludf.DUMMYFUNCTION("""COMPUTED_VALUE"""),"Ivermectin")</f>
        <v>Ivermectin</v>
      </c>
      <c r="G270" s="40" t="str">
        <f>IFERROR(__xludf.DUMMYFUNCTION("""COMPUTED_VALUE"""),"150 to 200 μg/kg")</f>
        <v>150 to 200 μg/kg</v>
      </c>
      <c r="H270" s="40"/>
      <c r="I270" s="741" t="str">
        <f>IFERROR(__xludf.DUMMYFUNCTION("""COMPUTED_VALUE""")," 96.3% (6 months)
92.7% (12 months)")</f>
        <v> 96.3% (6 months)
92.7% (12 months)</v>
      </c>
      <c r="J270" s="216" t="str">
        <f>IFERROR(__xludf.DUMMYFUNCTION("""COMPUTED_VALUE""")," 36.2% (6 months)
 28.6% (12 months)")</f>
        <v> 36.2% (6 months)
 28.6% (12 months)</v>
      </c>
      <c r="K270" s="40" t="str">
        <f>IFERROR(__xludf.DUMMYFUNCTION("""COMPUTED_VALUE"""),"not available ")</f>
        <v>not available </v>
      </c>
      <c r="L270" s="40">
        <f>IFERROR(__xludf.DUMMYFUNCTION("""COMPUTED_VALUE"""),203.0)</f>
        <v>203</v>
      </c>
      <c r="M270" s="214" t="str">
        <f>IFERROR(__xludf.DUMMYFUNCTION("""COMPUTED_VALUE"""),"6 to 18")</f>
        <v>6 to 18</v>
      </c>
      <c r="N270" s="40" t="str">
        <f>IFERROR(__xludf.DUMMYFUNCTION("""COMPUTED_VALUE"""),"53: 45")</f>
        <v>53: 45</v>
      </c>
      <c r="O270" s="40" t="str">
        <f>IFERROR(__xludf.DUMMYFUNCTION("""COMPUTED_VALUE"""),"School children aged 6 to 18 years with or without Wuchereria bancrofti")</f>
        <v>School children aged 6 to 18 years with or without Wuchereria bancrofti</v>
      </c>
      <c r="P270" s="40" t="str">
        <f>IFERROR(__xludf.DUMMYFUNCTION("""COMPUTED_VALUE"""),"randomized double-blind field trial")</f>
        <v>randomized double-blind field trial</v>
      </c>
      <c r="Q270" s="40" t="str">
        <f>IFERROR(__xludf.DUMMYFUNCTION("""COMPUTED_VALUE"""),"Yes")</f>
        <v>Yes</v>
      </c>
      <c r="R270" s="40" t="str">
        <f>IFERROR(__xludf.DUMMYFUNCTION("""COMPUTED_VALUE"""),"Yes")</f>
        <v>Yes</v>
      </c>
      <c r="S270" s="40" t="str">
        <f>IFERROR(__xludf.DUMMYFUNCTION("""COMPUTED_VALUE"""),"12 months")</f>
        <v>12 months</v>
      </c>
      <c r="T270" s="40"/>
      <c r="U270" s="40" t="str">
        <f>IFERROR(__xludf.DUMMYFUNCTION("""COMPUTED_VALUE"""),"1829, of which 1221 (67%) followed up; 103 had mf")</f>
        <v>1829, of which 1221 (67%) followed up; 103 had mf</v>
      </c>
      <c r="V270" s="40">
        <f>IFERROR(__xludf.DUMMYFUNCTION("""COMPUTED_VALUE"""),2004.0)</f>
        <v>2004</v>
      </c>
      <c r="W270" s="40">
        <f>IFERROR(__xludf.DUMMYFUNCTION("""COMPUTED_VALUE"""),2004.0)</f>
        <v>2004</v>
      </c>
      <c r="X270" s="40" t="str">
        <f>IFERROR(__xludf.DUMMYFUNCTION("""COMPUTED_VALUE"""),"Simonsen PE, Magesa SM, Dunyo SK, Malecela-Lazaro MN, Michael E. The effect of single dose ivermectin alone or in combination with albendazole on Wuchereria bancrofti infection in primary school children in Tanzania. Transactions of the Royal Soceity of T"&amp;"ropical Medicine and Hygiene 2004;98(8):462–72.")</f>
        <v>Simonsen PE, Magesa SM, Dunyo SK, Malecela-Lazaro MN, Michael E. The effect of single dose ivermectin alone or in combination with albendazole on Wuchereria bancrofti infection in primary school children in Tanzania. Transactions of the Royal Soceity of Tropical Medicine and Hygiene 2004;98(8):462–72.</v>
      </c>
      <c r="Y270" s="40"/>
      <c r="Z270" s="727" t="str">
        <f>IFERROR(__xludf.DUMMYFUNCTION("""COMPUTED_VALUE"""),"https://drive.google.com/file/d/0B9vYgR7NsKoYajB1aHBEckV5anM/view?usp=sharing")</f>
        <v>https://drive.google.com/file/d/0B9vYgR7NsKoYajB1aHBEckV5anM/view?usp=sharing</v>
      </c>
      <c r="AA270" s="40"/>
      <c r="AB270" s="40"/>
    </row>
    <row r="271">
      <c r="A271" s="805" t="str">
        <f>IFERROR(__xludf.DUMMYFUNCTION("""COMPUTED_VALUE"""),"Reda MR, 2006")</f>
        <v>Reda MR, 2006</v>
      </c>
      <c r="B271" s="40"/>
      <c r="C271" s="40" t="str">
        <f>IFERROR(__xludf.DUMMYFUNCTION("""COMPUTED_VALUE"""),"Chungsoo")</f>
        <v>Chungsoo</v>
      </c>
      <c r="D271" s="40" t="str">
        <f>IFERROR(__xludf.DUMMYFUNCTION("""COMPUTED_VALUE"""),"Egypt")</f>
        <v>Egypt</v>
      </c>
      <c r="E271" s="40" t="str">
        <f>IFERROR(__xludf.DUMMYFUNCTION("""COMPUTED_VALUE"""),"W. bancrofti")</f>
        <v>W. bancrofti</v>
      </c>
      <c r="F271" s="40" t="str">
        <f>IFERROR(__xludf.DUMMYFUNCTION("""COMPUTED_VALUE"""),"Albendazole &amp; DEC")</f>
        <v>Albendazole &amp; DEC</v>
      </c>
      <c r="G271" s="40" t="str">
        <f>IFERROR(__xludf.DUMMYFUNCTION("""COMPUTED_VALUE"""),"6 mg/kg + fixed dose of 400 mg")</f>
        <v>6 mg/kg + fixed dose of 400 mg</v>
      </c>
      <c r="H271" s="40"/>
      <c r="I271" s="40" t="str">
        <f>IFERROR(__xludf.DUMMYFUNCTION("""COMPUTED_VALUE"""),"Giza: Round 1: 61%
2: 77%
3: 89%
4: 97%
5: 90%
Qalublya: Round 1: 45%
2: 81%
3: 100%
4: 94%
5: 100%")</f>
        <v>Giza: Round 1: 61%
2: 77%
3: 89%
4: 97%
5: 90%
Qalublya: Round 1: 45%
2: 81%
3: 100%
4: 94%
5: 100%</v>
      </c>
      <c r="J271" s="216"/>
      <c r="K271" s="40"/>
      <c r="L271" s="40" t="str">
        <f>IFERROR(__xludf.DUMMYFUNCTION("""COMPUTED_VALUE"""),"1010-1116 in Giza area
764-810 in Qalubllya area
")</f>
        <v>1010-1116 in Giza area
764-810 in Qalubllya area
</v>
      </c>
      <c r="M271" s="214" t="str">
        <f>IFERROR(__xludf.DUMMYFUNCTION("""COMPUTED_VALUE"""),"&gt;4")</f>
        <v>&gt;4</v>
      </c>
      <c r="N271" s="806" t="str">
        <f>IFERROR(__xludf.DUMMYFUNCTION("""COMPUTED_VALUE"""),"identified by household not gender in analysis")</f>
        <v>identified by household not gender in analysis</v>
      </c>
      <c r="O271" s="40" t="str">
        <f>IFERROR(__xludf.DUMMYFUNCTION("""COMPUTED_VALUE"""),"People older than 4 years old from randomly sampled households")</f>
        <v>People older than 4 years old from randomly sampled households</v>
      </c>
      <c r="P271" s="40" t="str">
        <f>IFERROR(__xludf.DUMMYFUNCTION("""COMPUTED_VALUE"""),"cross-sectional survey")</f>
        <v>cross-sectional survey</v>
      </c>
      <c r="Q271" s="40"/>
      <c r="R271" s="40"/>
      <c r="S271" s="40" t="str">
        <f>IFERROR(__xludf.DUMMYFUNCTION("""COMPUTED_VALUE"""),"7-10 months after 5 yearly doses")</f>
        <v>7-10 months after 5 yearly doses</v>
      </c>
      <c r="T271" s="40"/>
      <c r="U271" s="40" t="str">
        <f>IFERROR(__xludf.DUMMYFUNCTION("""COMPUTED_VALUE"""),"rounds of mass drug administration (MDA) with diethylcarbamazine and albendazole (reduction calculated from mf prevalence rate)note: qalyublya started with much lower prevalence")</f>
        <v>rounds of mass drug administration (MDA) with diethylcarbamazine and albendazole (reduction calculated from mf prevalence rate)note: qalyublya started with much lower prevalence</v>
      </c>
      <c r="V271" s="40">
        <f>IFERROR(__xludf.DUMMYFUNCTION("""COMPUTED_VALUE"""),2006.0)</f>
        <v>2006</v>
      </c>
      <c r="W271" s="40">
        <f>IFERROR(__xludf.DUMMYFUNCTION("""COMPUTED_VALUE"""),2006.0)</f>
        <v>2006</v>
      </c>
      <c r="X271" s="40" t="str">
        <f>IFERROR(__xludf.DUMMYFUNCTION("""COMPUTED_VALUE"""),"Reda M R Ramzy, Maged El Setouhy, Hanan Helmy, Ehab S Ahmed, Khaled M Abd Elaziz, Hoda A Farid, William D Shannon, Gary J Weil. Effect of yearly mass drug administration with diethylcarbamazine and albendazole on bancroftian filariasis in Egypt: a compreh"&amp;"ensive assessment. Lancet 2006; 367: 992–99.")</f>
        <v>Reda M R Ramzy, Maged El Setouhy, Hanan Helmy, Ehab S Ahmed, Khaled M Abd Elaziz, Hoda A Farid, William D Shannon, Gary J Weil. Effect of yearly mass drug administration with diethylcarbamazine and albendazole on bancroftian filariasis in Egypt: a comprehensive assessment. Lancet 2006; 367: 992–99.</v>
      </c>
      <c r="Y271" s="40"/>
      <c r="Z271" s="727" t="str">
        <f>IFERROR(__xludf.DUMMYFUNCTION("""COMPUTED_VALUE"""),"https://drive.google.com/file/d/0B4sJPAkX0Jo3REg5aXNxcUlGb3c/view?usp=sharing")</f>
        <v>https://drive.google.com/file/d/0B4sJPAkX0Jo3REg5aXNxcUlGb3c/view?usp=sharing</v>
      </c>
      <c r="AA271" s="40" t="str">
        <f>IFERROR(__xludf.DUMMYFUNCTION("""COMPUTED_VALUE"""),"x")</f>
        <v>x</v>
      </c>
      <c r="AB271" s="40"/>
    </row>
    <row r="272">
      <c r="A272" s="805" t="str">
        <f>IFERROR(__xludf.DUMMYFUNCTION("""COMPUTED_VALUE"""),"Bockarie MJ, 1998")</f>
        <v>Bockarie MJ, 1998</v>
      </c>
      <c r="B272" s="40"/>
      <c r="C272" s="40" t="str">
        <f>IFERROR(__xludf.DUMMYFUNCTION("""COMPUTED_VALUE"""),"Chungsoo")</f>
        <v>Chungsoo</v>
      </c>
      <c r="D272" s="40" t="str">
        <f>IFERROR(__xludf.DUMMYFUNCTION("""COMPUTED_VALUE"""),"Papua New Guinea")</f>
        <v>Papua New Guinea</v>
      </c>
      <c r="E272" s="40" t="str">
        <f>IFERROR(__xludf.DUMMYFUNCTION("""COMPUTED_VALUE"""),"W. bancrofti")</f>
        <v>W. bancrofti</v>
      </c>
      <c r="F272" s="40" t="str">
        <f>IFERROR(__xludf.DUMMYFUNCTION("""COMPUTED_VALUE"""),"DEC")</f>
        <v>DEC</v>
      </c>
      <c r="G272" s="40" t="str">
        <f>IFERROR(__xludf.DUMMYFUNCTION("""COMPUTED_VALUE"""),"6mg/kg")</f>
        <v>6mg/kg</v>
      </c>
      <c r="H272" s="40"/>
      <c r="I272" s="741" t="str">
        <f>IFERROR(__xludf.DUMMYFUNCTION("""COMPUTED_VALUE"""),"high transmission zone:
1. 85.0%
2. 68.3%
3. 74.5%
low transmission zone
4. 79.8%
5. 69.5%
6. 47.1%
7. 69.1%")</f>
        <v>high transmission zone:
1. 85.0%
2. 68.3%
3. 74.5%
low transmission zone
4. 79.8%
5. 69.5%
6. 47.1%
7. 69.1%</v>
      </c>
      <c r="J272" s="216" t="str">
        <f>IFERROR(__xludf.DUMMYFUNCTION("""COMPUTED_VALUE"""),"high transmission zone:
1. 45.9%
2. 28.4%
3. 26.8%
low transmission zone
4. 37.9%
5. 31.0%
6. 20.6%
7. 23.5%")</f>
        <v>high transmission zone:
1. 45.9%
2. 28.4%
3. 26.8%
low transmission zone
4. 37.9%
5. 31.0%
6. 20.6%
7. 23.5%</v>
      </c>
      <c r="K272" s="40"/>
      <c r="L272" s="40" t="str">
        <f>IFERROR(__xludf.DUMMYFUNCTION("""COMPUTED_VALUE"""),"14 communities; 2219 of 2534 eligible received treatment")</f>
        <v>14 communities; 2219 of 2534 eligible received treatment</v>
      </c>
      <c r="M272" s="214" t="str">
        <f>IFERROR(__xludf.DUMMYFUNCTION("""COMPUTED_VALUE"""),"&gt;=5")</f>
        <v>&gt;=5</v>
      </c>
      <c r="N272" s="40"/>
      <c r="O272" s="40" t="str">
        <f>IFERROR(__xludf.DUMMYFUNCTION("""COMPUTED_VALUE"""),"non-pregnant individuals aged 5 years +")</f>
        <v>non-pregnant individuals aged _x0001_5 years +</v>
      </c>
      <c r="P272" s="40" t="str">
        <f>IFERROR(__xludf.DUMMYFUNCTION("""COMPUTED_VALUE"""),"randomised community based trial, matched for geographical variation")</f>
        <v>randomised community based trial, matched for geographical variation</v>
      </c>
      <c r="Q272" s="40"/>
      <c r="R272" s="40"/>
      <c r="S272" s="40" t="str">
        <f>IFERROR(__xludf.DUMMYFUNCTION("""COMPUTED_VALUE""")," 1 year")</f>
        <v> 1 year</v>
      </c>
      <c r="T272" s="40" t="str">
        <f>IFERROR(__xludf.DUMMYFUNCTION("""COMPUTED_VALUE"""),"The overall percentage of people with microfilaraemia decreased by between 43·0% and 66·8% (mean reduction 57·5%) in the treatment units given combined treatment and by between 20·6% and 45·9% (mean reduction 30·6%) in communities where diethylcarbamazine"&amp;" alone was given. The intensity of microfilaraemia was reduced by between 80·5% and 95·7% (mean reduction 91·1%) in the combined-treatment units, and by between 47·1% and 85·0% (mean reduction 69·8%) in the diethylcarbamazine units.")</f>
        <v>The overall percentage of people with microfilaraemia decreased by between 43·0% and 66·8% (mean reduction 57·5%) in the treatment units given combined treatment and by between 20·6% and 45·9% (mean reduction 30·6%) in communities where diethylcarbamazine alone was given. The intensity of microfilaraemia was reduced by between 80·5% and 95·7% (mean reduction 91·1%) in the combined-treatment units, and by between 47·1% and 85·0% (mean reduction 69·8%) in the diethylcarbamazine units.</v>
      </c>
      <c r="U272" s="40"/>
      <c r="V272" s="40">
        <f>IFERROR(__xludf.DUMMYFUNCTION("""COMPUTED_VALUE"""),1998.0)</f>
        <v>1998</v>
      </c>
      <c r="W272" s="40">
        <f>IFERROR(__xludf.DUMMYFUNCTION("""COMPUTED_VALUE"""),1998.0)</f>
        <v>1998</v>
      </c>
      <c r="X272" s="40" t="str">
        <f>IFERROR(__xludf.DUMMYFUNCTION("""COMPUTED_VALUE"""),"Moses J Bockarie, Neal D E Alexander, Philip Hyun, Zachary Dimber, Florence Bockarie, Ervin Ibam, Michael P Alpers, James W Kazura. Randomised community based trial of annual single-dose diethylcarbamazine with or without ivermectin against Wuchereria ban"&amp;"crofti infection in human beings and mosquitoes. THE LANCET • Vol 351 • January 17, 1998 ")</f>
        <v>Moses J Bockarie, Neal D E Alexander, Philip Hyun, Zachary Dimber, Florence Bockarie, Ervin Ibam, Michael P Alpers, James W Kazura. Randomised community based trial of annual single-dose diethylcarbamazine with or without ivermectin against Wuchereria bancrofti infection in human beings and mosquitoes. THE LANCET • Vol 351 • January 17, 1998 </v>
      </c>
      <c r="Y272" s="40"/>
      <c r="Z272" s="727" t="str">
        <f>IFERROR(__xludf.DUMMYFUNCTION("""COMPUTED_VALUE"""),"https://drive.google.com/file/d/0B9vYgR7NsKoYTW8xYnlPcHhiRzQ/view?usp=sharing")</f>
        <v>https://drive.google.com/file/d/0B9vYgR7NsKoYTW8xYnlPcHhiRzQ/view?usp=sharing</v>
      </c>
      <c r="AA272" s="40"/>
      <c r="AB272" s="40"/>
    </row>
    <row r="273">
      <c r="A273" s="805" t="str">
        <f>IFERROR(__xludf.DUMMYFUNCTION("""COMPUTED_VALUE"""),"Bockarie MJ, 1998")</f>
        <v>Bockarie MJ, 1998</v>
      </c>
      <c r="B273" s="40"/>
      <c r="C273" s="40" t="str">
        <f>IFERROR(__xludf.DUMMYFUNCTION("""COMPUTED_VALUE"""),"Chungsoo")</f>
        <v>Chungsoo</v>
      </c>
      <c r="D273" s="40" t="str">
        <f>IFERROR(__xludf.DUMMYFUNCTION("""COMPUTED_VALUE"""),"Papua New Guinea")</f>
        <v>Papua New Guinea</v>
      </c>
      <c r="E273" s="40" t="str">
        <f>IFERROR(__xludf.DUMMYFUNCTION("""COMPUTED_VALUE"""),"W. bancrofti")</f>
        <v>W. bancrofti</v>
      </c>
      <c r="F273" s="40" t="str">
        <f>IFERROR(__xludf.DUMMYFUNCTION("""COMPUTED_VALUE"""),"DEC &amp; Ivermectin")</f>
        <v>DEC &amp; Ivermectin</v>
      </c>
      <c r="G273" s="40" t="str">
        <f>IFERROR(__xludf.DUMMYFUNCTION("""COMPUTED_VALUE"""),"6mg/kg + 400ug/kg")</f>
        <v>6mg/kg + 400ug/kg</v>
      </c>
      <c r="H273" s="40"/>
      <c r="I273" s="40" t="str">
        <f>IFERROR(__xludf.DUMMYFUNCTION("""COMPUTED_VALUE"""),"high transmission zone:
1. 95.3%
2. 80.5%
3. 95.7%
low transmission zone
4. 86.6%
5. 94.7%
6. 93.3%
7. 91.5%")</f>
        <v>high transmission zone:
1. 95.3%
2. 80.5%
3. 95.7%
low transmission zone
4. 86.6%
5. 94.7%
6. 93.3%
7. 91.5%</v>
      </c>
      <c r="J273" s="216" t="str">
        <f>IFERROR(__xludf.DUMMYFUNCTION("""COMPUTED_VALUE"""),"high transmission zone:
1. 66.8%
2. 48.6%
3. 58.2%
low transmission zone
4. 43.0%
5. 64.6%
6. 54.4%
7. 67.0%")</f>
        <v>high transmission zone:
1. 66.8%
2. 48.6%
3. 58.2%
low transmission zone
4. 43.0%
5. 64.6%
6. 54.4%
7. 67.0%</v>
      </c>
      <c r="K273" s="40"/>
      <c r="L273" s="40" t="str">
        <f>IFERROR(__xludf.DUMMYFUNCTION("""COMPUTED_VALUE"""),"14 communities; 2219 of 2534 eligible received treatment")</f>
        <v>14 communities; 2219 of 2534 eligible received treatment</v>
      </c>
      <c r="M273" s="214" t="str">
        <f>IFERROR(__xludf.DUMMYFUNCTION("""COMPUTED_VALUE"""),"&gt;=5")</f>
        <v>&gt;=5</v>
      </c>
      <c r="N273" s="40"/>
      <c r="O273" s="40" t="str">
        <f>IFERROR(__xludf.DUMMYFUNCTION("""COMPUTED_VALUE"""),"non-pregnant individuals aged 5 years +")</f>
        <v>non-pregnant individuals aged _x0001_5 years +</v>
      </c>
      <c r="P273" s="40" t="str">
        <f>IFERROR(__xludf.DUMMYFUNCTION("""COMPUTED_VALUE"""),"randomised community based trial, matched for geographical variation")</f>
        <v>randomised community based trial, matched for geographical variation</v>
      </c>
      <c r="Q273" s="40"/>
      <c r="R273" s="40"/>
      <c r="S273" s="40" t="str">
        <f>IFERROR(__xludf.DUMMYFUNCTION("""COMPUTED_VALUE""")," 1 year")</f>
        <v> 1 year</v>
      </c>
      <c r="T273" s="40" t="str">
        <f>IFERROR(__xludf.DUMMYFUNCTION("""COMPUTED_VALUE"""),"The overall percentage of people with microfilaraemia decreased by between 43·0% and 66·8% (mean reduction 57·5%) in the treatment units given combined treatment and by between 20·6% and 45·9% (mean reduction 30·6%) in communities where diethylcarbamazine"&amp;" alone was given. The intensity of microfilaraemia was reduced by between 80·5% and 95·7% (mean reduction 91·1%) in the combined-treatment units, and by between 47·1% and 85·0% (mean reduction 69·8%) in the diethylcarbamazine units.")</f>
        <v>The overall percentage of people with microfilaraemia decreased by between 43·0% and 66·8% (mean reduction 57·5%) in the treatment units given combined treatment and by between 20·6% and 45·9% (mean reduction 30·6%) in communities where diethylcarbamazine alone was given. The intensity of microfilaraemia was reduced by between 80·5% and 95·7% (mean reduction 91·1%) in the combined-treatment units, and by between 47·1% and 85·0% (mean reduction 69·8%) in the diethylcarbamazine units.</v>
      </c>
      <c r="U273" s="40"/>
      <c r="V273" s="40">
        <f>IFERROR(__xludf.DUMMYFUNCTION("""COMPUTED_VALUE"""),1998.0)</f>
        <v>1998</v>
      </c>
      <c r="W273" s="40">
        <f>IFERROR(__xludf.DUMMYFUNCTION("""COMPUTED_VALUE"""),1998.0)</f>
        <v>1998</v>
      </c>
      <c r="X273" s="40" t="str">
        <f>IFERROR(__xludf.DUMMYFUNCTION("""COMPUTED_VALUE"""),"Moses J Bockarie, Neal D E Alexander, Philip Hyun, Zachary Dimber, Florence Bockarie, Ervin Ibam, Michael P Alpers, James W Kazura. Randomised community based trial of annual single-dose diethylcarbamazine with or without ivermectin against Wuchereria ban"&amp;"crofti infection in human beings and mosquitoes. THE LANCET • Vol 351 • January 17, 1998 ")</f>
        <v>Moses J Bockarie, Neal D E Alexander, Philip Hyun, Zachary Dimber, Florence Bockarie, Ervin Ibam, Michael P Alpers, James W Kazura. Randomised community based trial of annual single-dose diethylcarbamazine with or without ivermectin against Wuchereria bancrofti infection in human beings and mosquitoes. THE LANCET • Vol 351 • January 17, 1998 </v>
      </c>
      <c r="Y273" s="40"/>
      <c r="Z273" s="727" t="str">
        <f>IFERROR(__xludf.DUMMYFUNCTION("""COMPUTED_VALUE"""),"https://drive.google.com/file/d/0B9vYgR7NsKoYTW8xYnlPcHhiRzQ/view?usp=sharing")</f>
        <v>https://drive.google.com/file/d/0B9vYgR7NsKoYTW8xYnlPcHhiRzQ/view?usp=sharing</v>
      </c>
      <c r="AA273" s="40"/>
      <c r="AB273" s="40"/>
    </row>
    <row r="274">
      <c r="A274" s="805" t="str">
        <f>IFERROR(__xludf.DUMMYFUNCTION("""COMPUTED_VALUE"""),"Ramaiah KD, 2007")</f>
        <v>Ramaiah KD, 2007</v>
      </c>
      <c r="B274" s="40"/>
      <c r="C274" s="40" t="str">
        <f>IFERROR(__xludf.DUMMYFUNCTION("""COMPUTED_VALUE"""),"Chungsoo")</f>
        <v>Chungsoo</v>
      </c>
      <c r="D274" s="40" t="str">
        <f>IFERROR(__xludf.DUMMYFUNCTION("""COMPUTED_VALUE"""),"India")</f>
        <v>India</v>
      </c>
      <c r="E274" s="40"/>
      <c r="F274" s="40" t="str">
        <f>IFERROR(__xludf.DUMMYFUNCTION("""COMPUTED_VALUE"""),"DEC")</f>
        <v>DEC</v>
      </c>
      <c r="G274" s="40"/>
      <c r="H274" s="40"/>
      <c r="I274" s="741">
        <f>IFERROR(__xludf.DUMMYFUNCTION("""COMPUTED_VALUE"""),0.93)</f>
        <v>0.93</v>
      </c>
      <c r="J274" s="216"/>
      <c r="K274" s="40"/>
      <c r="L274" s="40">
        <f>IFERROR(__xludf.DUMMYFUNCTION("""COMPUTED_VALUE"""),9889.0)</f>
        <v>9889</v>
      </c>
      <c r="M274" s="40"/>
      <c r="N274" s="40"/>
      <c r="O274" s="40" t="str">
        <f>IFERROR(__xludf.DUMMYFUNCTION("""COMPUTED_VALUE"""),"ten villages in Villupuram district in the state of Tamil Nadu in south India. Children &lt;15 kg in body weight, pregnant women, lactatingmothers and people with serious illnesses were excludedfrom drug administration")</f>
        <v>ten villages in Villupuram district in the state of Tamil Nadu in south India. Children &lt;15 kg in body weight, pregnant women, lactatingmothers and people with serious illnesses were excludedfrom drug administration</v>
      </c>
      <c r="P274" s="40" t="str">
        <f>IFERROR(__xludf.DUMMYFUNCTION("""COMPUTED_VALUE"""),"Initially, the study was a double-blind placebo-controlledtrial, consisting of three arms of five villages each. The three
arms were randomly allocated to three treatment groups:placebo, DEC and ivermectin. The placebo arm was discontinuedafter two rounds"&amp;" of treatment")</f>
        <v>Initially, the study was a double-blind placebo-controlledtrial, consisting of three arms of five villages each. The three
arms were randomly allocated to three treatment groups:placebo, DEC and ivermectin. The placebo arm was discontinuedafter two rounds of treatment</v>
      </c>
      <c r="Q274" s="40"/>
      <c r="R274" s="40"/>
      <c r="S274" s="40" t="str">
        <f>IFERROR(__xludf.DUMMYFUNCTION("""COMPUTED_VALUE"""),"10 years")</f>
        <v>10 years</v>
      </c>
      <c r="T274" s="40"/>
      <c r="U274" s="40" t="str">
        <f>IFERROR(__xludf.DUMMYFUNCTION("""COMPUTED_VALUE"""),"MDA")</f>
        <v>MDA</v>
      </c>
      <c r="V274" s="40">
        <f>IFERROR(__xludf.DUMMYFUNCTION("""COMPUTED_VALUE"""),2007.0)</f>
        <v>2007</v>
      </c>
      <c r="W274" s="40">
        <f>IFERROR(__xludf.DUMMYFUNCTION("""COMPUTED_VALUE"""),2007.0)</f>
        <v>2007</v>
      </c>
      <c r="X274" s="40" t="str">
        <f>IFERROR(__xludf.DUMMYFUNCTION("""COMPUTED_VALUE"""),"K.D. Ramaiah∗, P.K. Das, P. Vanamail, S.P. Pani. Impact of 10 years of diethylcarbamazine and ivermectin mass administration on infection and transmission of lymphatic filariasis. Transactions of the Royal Society of Tropical Medicine and Hygiene (2007) 1"&amp;"01, 555—563.")</f>
        <v>K.D. Ramaiah∗, P.K. Das, P. Vanamail, S.P. Pani. Impact of 10 years of diethylcarbamazine and ivermectin mass administration on infection and transmission of lymphatic filariasis. Transactions of the Royal Society of Tropical Medicine and Hygiene (2007) 101, 555—563.</v>
      </c>
      <c r="Y274" s="40" t="str">
        <f>IFERROR(__xludf.DUMMYFUNCTION("""COMPUTED_VALUE"""),"doi:10.1016/j.trstmh.2006.12.004")</f>
        <v>doi:10.1016/j.trstmh.2006.12.004</v>
      </c>
      <c r="Z274" s="727" t="str">
        <f>IFERROR(__xludf.DUMMYFUNCTION("""COMPUTED_VALUE"""),"https://drive.google.com/file/d/0B4sJPAkX0Jo3TjN2T05rQVJMMDA/view?usp=sharing")</f>
        <v>https://drive.google.com/file/d/0B4sJPAkX0Jo3TjN2T05rQVJMMDA/view?usp=sharing</v>
      </c>
      <c r="AA274" s="40" t="str">
        <f>IFERROR(__xludf.DUMMYFUNCTION("""COMPUTED_VALUE"""),"x")</f>
        <v>x</v>
      </c>
      <c r="AB274" s="40"/>
    </row>
    <row r="275">
      <c r="A275" s="805" t="str">
        <f>IFERROR(__xludf.DUMMYFUNCTION("""COMPUTED_VALUE"""),"Ramaiah KD, 2007")</f>
        <v>Ramaiah KD, 2007</v>
      </c>
      <c r="B275" s="40"/>
      <c r="C275" s="40" t="str">
        <f>IFERROR(__xludf.DUMMYFUNCTION("""COMPUTED_VALUE"""),"Chungsoo")</f>
        <v>Chungsoo</v>
      </c>
      <c r="D275" s="40" t="str">
        <f>IFERROR(__xludf.DUMMYFUNCTION("""COMPUTED_VALUE"""),"India")</f>
        <v>India</v>
      </c>
      <c r="E275" s="40"/>
      <c r="F275" s="40" t="str">
        <f>IFERROR(__xludf.DUMMYFUNCTION("""COMPUTED_VALUE"""),"Ivermectin")</f>
        <v>Ivermectin</v>
      </c>
      <c r="G275" s="40"/>
      <c r="H275" s="40"/>
      <c r="I275" s="741">
        <f>IFERROR(__xludf.DUMMYFUNCTION("""COMPUTED_VALUE"""),0.83)</f>
        <v>0.83</v>
      </c>
      <c r="J275" s="216"/>
      <c r="K275" s="40"/>
      <c r="L275" s="40">
        <f>IFERROR(__xludf.DUMMYFUNCTION("""COMPUTED_VALUE"""),8526.0)</f>
        <v>8526</v>
      </c>
      <c r="M275" s="40"/>
      <c r="N275" s="40"/>
      <c r="O275" s="40" t="str">
        <f>IFERROR(__xludf.DUMMYFUNCTION("""COMPUTED_VALUE"""),"ten villages in Villupuram district in the state of Tamil Nadu in south India. Children &lt;15 kg in body weight, pregnant women, lactatingmothers and people with serious illnesses were excludedfrom drug administration")</f>
        <v>ten villages in Villupuram district in the state of Tamil Nadu in south India. Children &lt;15 kg in body weight, pregnant women, lactatingmothers and people with serious illnesses were excludedfrom drug administration</v>
      </c>
      <c r="P275" s="40" t="str">
        <f>IFERROR(__xludf.DUMMYFUNCTION("""COMPUTED_VALUE"""),"Initially, the study was a double-blind placebo-controlledtrial, consisting of three arms of five villages each. The three
arms were randomly allocated to three treatment groups:placebo, DEC and ivermectin. The placebo arm was discontinuedafter two rounds"&amp;" of treatment")</f>
        <v>Initially, the study was a double-blind placebo-controlledtrial, consisting of three arms of five villages each. The three
arms were randomly allocated to three treatment groups:placebo, DEC and ivermectin. The placebo arm was discontinuedafter two rounds of treatment</v>
      </c>
      <c r="Q275" s="40"/>
      <c r="R275" s="40"/>
      <c r="S275" s="40" t="str">
        <f>IFERROR(__xludf.DUMMYFUNCTION("""COMPUTED_VALUE"""),"10 years")</f>
        <v>10 years</v>
      </c>
      <c r="T275" s="40"/>
      <c r="U275" s="40"/>
      <c r="V275" s="40">
        <f>IFERROR(__xludf.DUMMYFUNCTION("""COMPUTED_VALUE"""),2007.0)</f>
        <v>2007</v>
      </c>
      <c r="W275" s="40">
        <f>IFERROR(__xludf.DUMMYFUNCTION("""COMPUTED_VALUE"""),2007.0)</f>
        <v>2007</v>
      </c>
      <c r="X275" s="40" t="str">
        <f>IFERROR(__xludf.DUMMYFUNCTION("""COMPUTED_VALUE"""),"K.D. Ramaiah∗, P.K. Das, P. Vanamail, S.P. Pani. Impact of 10 years of diethylcarbamazine and ivermectin mass administration on infection and transmission of lymphatic filariasis. Transactions of the Royal Society of Tropical Medicine and Hygiene (2007) 1"&amp;"01, 555—563.")</f>
        <v>K.D. Ramaiah∗, P.K. Das, P. Vanamail, S.P. Pani. Impact of 10 years of diethylcarbamazine and ivermectin mass administration on infection and transmission of lymphatic filariasis. Transactions of the Royal Society of Tropical Medicine and Hygiene (2007) 101, 555—563.</v>
      </c>
      <c r="Y275" s="40" t="str">
        <f>IFERROR(__xludf.DUMMYFUNCTION("""COMPUTED_VALUE"""),"doi:10.1016/j.trstmh.2006.12.004")</f>
        <v>doi:10.1016/j.trstmh.2006.12.004</v>
      </c>
      <c r="Z275" s="727" t="str">
        <f>IFERROR(__xludf.DUMMYFUNCTION("""COMPUTED_VALUE"""),"https://drive.google.com/file/d/0B4sJPAkX0Jo3TjN2T05rQVJMMDA/view?usp=sharing")</f>
        <v>https://drive.google.com/file/d/0B4sJPAkX0Jo3TjN2T05rQVJMMDA/view?usp=sharing</v>
      </c>
      <c r="AA275" s="40" t="str">
        <f>IFERROR(__xludf.DUMMYFUNCTION("""COMPUTED_VALUE"""),"x")</f>
        <v>x</v>
      </c>
      <c r="AB275" s="40"/>
    </row>
    <row r="276">
      <c r="A276" s="805" t="str">
        <f>IFERROR(__xludf.DUMMYFUNCTION("""COMPUTED_VALUE"""),"Weil GJ, 2008")</f>
        <v>Weil GJ, 2008</v>
      </c>
      <c r="B276" s="40"/>
      <c r="C276" s="40" t="str">
        <f>IFERROR(__xludf.DUMMYFUNCTION("""COMPUTED_VALUE"""),"Chungsoo")</f>
        <v>Chungsoo</v>
      </c>
      <c r="D276" s="40" t="str">
        <f>IFERROR(__xludf.DUMMYFUNCTION("""COMPUTED_VALUE"""),"Papua New Guinea")</f>
        <v>Papua New Guinea</v>
      </c>
      <c r="E276" s="40" t="str">
        <f>IFERROR(__xludf.DUMMYFUNCTION("""COMPUTED_VALUE"""),"W. bancrofti")</f>
        <v>W. bancrofti</v>
      </c>
      <c r="F276" s="40" t="str">
        <f>IFERROR(__xludf.DUMMYFUNCTION("""COMPUTED_VALUE"""),"Albendazole &amp; DEC")</f>
        <v>Albendazole &amp; DEC</v>
      </c>
      <c r="G276" s="40" t="str">
        <f>IFERROR(__xludf.DUMMYFUNCTION("""COMPUTED_VALUE"""),"6mg/kg + 400mg")</f>
        <v>6mg/kg + 400mg</v>
      </c>
      <c r="H276" s="40"/>
      <c r="I276" s="741">
        <f>IFERROR(__xludf.DUMMYFUNCTION("""COMPUTED_VALUE"""),0.9301)</f>
        <v>0.9301</v>
      </c>
      <c r="J276" s="216" t="str">
        <f>IFERROR(__xludf.DUMMYFUNCTION("""COMPUTED_VALUE"""),"1 round: 71%, 
2 rounds: 90.7%, 
3 rounds: 98.1% ")</f>
        <v>1 round: 71%, 
2 rounds: 90.7%, 
3 rounds: 98.1% </v>
      </c>
      <c r="K276" s="40"/>
      <c r="L276" s="40">
        <f>IFERROR(__xludf.DUMMYFUNCTION("""COMPUTED_VALUE"""),571.0)</f>
        <v>571</v>
      </c>
      <c r="M276" s="214" t="str">
        <f>IFERROR(__xludf.DUMMYFUNCTION("""COMPUTED_VALUE"""),"6+")</f>
        <v>6+</v>
      </c>
      <c r="N276" s="40" t="str">
        <f>IFERROR(__xludf.DUMMYFUNCTION("""COMPUTED_VALUE"""),"271 : 300")</f>
        <v>271 : 300</v>
      </c>
      <c r="O276" s="40" t="str">
        <f>IFERROR(__xludf.DUMMYFUNCTION("""COMPUTED_VALUE"""),"4 villages. Children ,2 years of age, children who
weighed ,10 kg, pregnant women, and people with severe
chronic illness or acute illness with fever were excluded from the
study")</f>
        <v>4 villages. Children ,2 years of age, children who
weighed ,10 kg, pregnant women, and people with severe
chronic illness or acute illness with fever were excluded from the
study</v>
      </c>
      <c r="P276" s="40" t="str">
        <f>IFERROR(__xludf.DUMMYFUNCTION("""COMPUTED_VALUE"""),"community study")</f>
        <v>community study</v>
      </c>
      <c r="Q276" s="40"/>
      <c r="R276" s="40"/>
      <c r="S276" s="40"/>
      <c r="T276" s="40"/>
      <c r="U276" s="40"/>
      <c r="V276" s="40">
        <f>IFERROR(__xludf.DUMMYFUNCTION("""COMPUTED_VALUE"""),2008.0)</f>
        <v>2008</v>
      </c>
      <c r="W276" s="40">
        <f>IFERROR(__xludf.DUMMYFUNCTION("""COMPUTED_VALUE"""),2008.0)</f>
        <v>2008</v>
      </c>
      <c r="X276" s="40" t="str">
        <f>IFERROR(__xludf.DUMMYFUNCTION("""COMPUTED_VALUE"""),"Gary J. Weil1*, Will Kastens2, Melinda Susapu3, Sandra J. Laney4, Steven A. Williams4, Christopher L. King2, James W. Kazura2, Moses J. Bockarie. The Impact of Repeated Rounds of Mass Drug Administration with Diethylcarbamazine Plus Albendazole on Bancrof"&amp;"tian Filariasis in Papua New Guinea. PLoS Neglected tropical diseases. December 2008 | Volume 2 | Issue 12 | e344.  ")</f>
        <v>Gary J. Weil1*, Will Kastens2, Melinda Susapu3, Sandra J. Laney4, Steven A. Williams4, Christopher L. King2, James W. Kazura2, Moses J. Bockarie. The Impact of Repeated Rounds of Mass Drug Administration with Diethylcarbamazine Plus Albendazole on Bancroftian Filariasis in Papua New Guinea. PLoS Neglected tropical diseases. December 2008 | Volume 2 | Issue 12 | e344.  </v>
      </c>
      <c r="Y276" s="40"/>
      <c r="Z276" s="727" t="str">
        <f>IFERROR(__xludf.DUMMYFUNCTION("""COMPUTED_VALUE"""),"https://drive.google.com/file/d/0B4sJPAkX0Jo3QzBkNWgzS2Ywems/view?usp=sharing")</f>
        <v>https://drive.google.com/file/d/0B4sJPAkX0Jo3QzBkNWgzS2Ywems/view?usp=sharing</v>
      </c>
      <c r="AA276" s="40" t="str">
        <f>IFERROR(__xludf.DUMMYFUNCTION("""COMPUTED_VALUE"""),"x")</f>
        <v>x</v>
      </c>
      <c r="AB276" s="40"/>
    </row>
    <row r="277">
      <c r="A277" s="805" t="str">
        <f>IFERROR(__xludf.DUMMYFUNCTION("""COMPUTED_VALUE"""),"Ramaiah KD, 2011")</f>
        <v>Ramaiah KD, 2011</v>
      </c>
      <c r="B277" s="40"/>
      <c r="C277" s="40" t="str">
        <f>IFERROR(__xludf.DUMMYFUNCTION("""COMPUTED_VALUE"""),"Chungsoo")</f>
        <v>Chungsoo</v>
      </c>
      <c r="D277" s="40" t="str">
        <f>IFERROR(__xludf.DUMMYFUNCTION("""COMPUTED_VALUE"""),"India")</f>
        <v>India</v>
      </c>
      <c r="E277" s="40" t="str">
        <f>IFERROR(__xludf.DUMMYFUNCTION("""COMPUTED_VALUE"""),"W. bancrofti")</f>
        <v>W. bancrofti</v>
      </c>
      <c r="F277" s="40" t="str">
        <f>IFERROR(__xludf.DUMMYFUNCTION("""COMPUTED_VALUE"""),"Albendazole &amp; DEC")</f>
        <v>Albendazole &amp; DEC</v>
      </c>
      <c r="G277" s="40" t="str">
        <f>IFERROR(__xludf.DUMMYFUNCTION("""COMPUTED_VALUE"""),"6mg/kg + 400mg")</f>
        <v>6mg/kg + 400mg</v>
      </c>
      <c r="H277" s="40"/>
      <c r="I277" s="741">
        <f>IFERROR(__xludf.DUMMYFUNCTION("""COMPUTED_VALUE"""),0.9354)</f>
        <v>0.9354</v>
      </c>
      <c r="J277" s="216">
        <f>IFERROR(__xludf.DUMMYFUNCTION("""COMPUTED_VALUE"""),0.8753)</f>
        <v>0.8753</v>
      </c>
      <c r="K277" s="40"/>
      <c r="L277" s="40" t="str">
        <f>IFERROR(__xludf.DUMMYFUNCTION("""COMPUTED_VALUE"""),"5 villages, population 517 to 2609")</f>
        <v>5 villages, population 517 to 2609</v>
      </c>
      <c r="M277" s="40"/>
      <c r="N277" s="40"/>
      <c r="O277" s="40" t="str">
        <f>IFERROR(__xludf.DUMMYFUNCTION("""COMPUTED_VALUE"""),"Every household in 5 identified villages. Children below 15 kg body weight, pregnant women
and lactating mothers were excluded from treatment, as
followed in earlier studies.8,9 Elderly people suffering from
serious illnesses were also excluded")</f>
        <v>Every household in 5 identified villages. Children below 15 kg body weight, pregnant women
and lactating mothers were excluded from treatment, as
followed in earlier studies.8,9 Elderly people suffering from
serious illnesses were also excluded</v>
      </c>
      <c r="P277" s="40" t="str">
        <f>IFERROR(__xludf.DUMMYFUNCTION("""COMPUTED_VALUE"""),"MDA survey")</f>
        <v>MDA survey</v>
      </c>
      <c r="Q277" s="40"/>
      <c r="R277" s="40"/>
      <c r="S277" s="40" t="str">
        <f>IFERROR(__xludf.DUMMYFUNCTION("""COMPUTED_VALUE"""),"6 rounds of MDA")</f>
        <v>6 rounds of MDA</v>
      </c>
      <c r="T277" s="40"/>
      <c r="U277" s="40"/>
      <c r="V277" s="40">
        <f>IFERROR(__xludf.DUMMYFUNCTION("""COMPUTED_VALUE"""),2011.0)</f>
        <v>2011</v>
      </c>
      <c r="W277" s="40">
        <f>IFERROR(__xludf.DUMMYFUNCTION("""COMPUTED_VALUE"""),2011.0)</f>
        <v>2011</v>
      </c>
      <c r="X277" s="40" t="str">
        <f>IFERROR(__xludf.DUMMYFUNCTION("""COMPUTED_VALUE"""),"K.D. Ramaiaha,∗, P. Vanamaila, J. Yuvarajb, P.K. Dasa. Effect of annual mass administration of diethylcarbamazine and albendazole on bancroftian filariasis in five villages in south India. Transactions of the Royal Society of Tropical Medicine and Hygiene"&amp;" 105 (2011) 431– 437.  ")</f>
        <v>K.D. Ramaiaha,∗, P. Vanamaila, J. Yuvarajb, P.K. Dasa. Effect of annual mass administration of diethylcarbamazine and albendazole on bancroftian filariasis in five villages in south India. Transactions of the Royal Society of Tropical Medicine and Hygiene 105 (2011) 431– 437.  </v>
      </c>
      <c r="Y277" s="40" t="str">
        <f>IFERROR(__xludf.DUMMYFUNCTION("""COMPUTED_VALUE"""),"doi:10.1016/j.trstmh.2011.04.006")</f>
        <v>doi:10.1016/j.trstmh.2011.04.006</v>
      </c>
      <c r="Z277" s="727" t="str">
        <f>IFERROR(__xludf.DUMMYFUNCTION("""COMPUTED_VALUE"""),"https://drive.google.com/file/d/0B4sJPAkX0Jo3RnZYWUFvTzBoeTg/view?usp=sharing")</f>
        <v>https://drive.google.com/file/d/0B4sJPAkX0Jo3RnZYWUFvTzBoeTg/view?usp=sharing</v>
      </c>
      <c r="AA277" s="40" t="str">
        <f>IFERROR(__xludf.DUMMYFUNCTION("""COMPUTED_VALUE"""),"x")</f>
        <v>x</v>
      </c>
      <c r="AB277" s="40"/>
    </row>
    <row r="278">
      <c r="A278" s="805" t="str">
        <f>IFERROR(__xludf.DUMMYFUNCTION("""COMPUTED_VALUE"""),"Sunish IP, 2008")</f>
        <v>Sunish IP, 2008</v>
      </c>
      <c r="B278" s="40"/>
      <c r="C278" s="40" t="str">
        <f>IFERROR(__xludf.DUMMYFUNCTION("""COMPUTED_VALUE"""),"Chungsoo")</f>
        <v>Chungsoo</v>
      </c>
      <c r="D278" s="40" t="str">
        <f>IFERROR(__xludf.DUMMYFUNCTION("""COMPUTED_VALUE"""),"India")</f>
        <v>India</v>
      </c>
      <c r="E278" s="40" t="str">
        <f>IFERROR(__xludf.DUMMYFUNCTION("""COMPUTED_VALUE"""),"W. bancrofti")</f>
        <v>W. bancrofti</v>
      </c>
      <c r="F278" s="40" t="str">
        <f>IFERROR(__xludf.DUMMYFUNCTION("""COMPUTED_VALUE"""),"DEC")</f>
        <v>DEC</v>
      </c>
      <c r="G278" s="40"/>
      <c r="H278" s="40"/>
      <c r="I278" s="40"/>
      <c r="J278" s="216">
        <f>IFERROR(__xludf.DUMMYFUNCTION("""COMPUTED_VALUE"""),0.5795)</f>
        <v>0.5795</v>
      </c>
      <c r="K278" s="40"/>
      <c r="L278" s="40" t="str">
        <f>IFERROR(__xludf.DUMMYFUNCTION("""COMPUTED_VALUE"""),"~100000 total")</f>
        <v>~100000 total</v>
      </c>
      <c r="M278" s="40" t="str">
        <f>IFERROR(__xludf.DUMMYFUNCTION("""COMPUTED_VALUE"""),"2 to 9")</f>
        <v>2 to 9</v>
      </c>
      <c r="N278" s="40"/>
      <c r="O278" s="40" t="str">
        <f>IFERROR(__xludf.DUMMYFUNCTION("""COMPUTED_VALUE"""),"???")</f>
        <v>???</v>
      </c>
      <c r="P278" s="40" t="str">
        <f>IFERROR(__xludf.DUMMYFUNCTION("""COMPUTED_VALUE"""),"MDA survey")</f>
        <v>MDA survey</v>
      </c>
      <c r="Q278" s="40"/>
      <c r="R278" s="40"/>
      <c r="S278" s="40" t="str">
        <f>IFERROR(__xludf.DUMMYFUNCTION("""COMPUTED_VALUE"""),"6 annual rounds")</f>
        <v>6 annual rounds</v>
      </c>
      <c r="T278" s="40"/>
      <c r="U278" s="40"/>
      <c r="V278" s="40">
        <f>IFERROR(__xludf.DUMMYFUNCTION("""COMPUTED_VALUE"""),2014.0)</f>
        <v>2014</v>
      </c>
      <c r="W278" s="40">
        <f>IFERROR(__xludf.DUMMYFUNCTION("""COMPUTED_VALUE"""),2014.0)</f>
        <v>2014</v>
      </c>
      <c r="X278" s="40" t="str">
        <f>IFERROR(__xludf.DUMMYFUNCTION("""COMPUTED_VALUE"""),"I. P. Sunish, A. Munirathinam, M. Kalimuthu, V. Ashok Kumar, and B. K. Tyagi. Persistence of Lymphatic Filarial Infection in the Paediatric Population of Rural Community, after Six Rounds of Annual Mass Drug Administrations. JOURNAL OF TROPICAL PEDIATRICS"&amp;", VOL. 60, NO. 3, 2014.  ")</f>
        <v>I. P. Sunish, A. Munirathinam, M. Kalimuthu, V. Ashok Kumar, and B. K. Tyagi. Persistence of Lymphatic Filarial Infection in the Paediatric Population of Rural Community, after Six Rounds of Annual Mass Drug Administrations. JOURNAL OF TROPICAL PEDIATRICS, VOL. 60, NO. 3, 2014.  </v>
      </c>
      <c r="Y278" s="40" t="str">
        <f>IFERROR(__xludf.DUMMYFUNCTION("""COMPUTED_VALUE"""),"doi:10.1093/tropej/fmt101")</f>
        <v>doi:10.1093/tropej/fmt101</v>
      </c>
      <c r="Z278" s="727" t="str">
        <f>IFERROR(__xludf.DUMMYFUNCTION("""COMPUTED_VALUE"""),"https://drive.google.com/file/d/0B4sJPAkX0Jo3WjNnLTB0NURNaWc/view?usp=sharing")</f>
        <v>https://drive.google.com/file/d/0B4sJPAkX0Jo3WjNnLTB0NURNaWc/view?usp=sharing</v>
      </c>
      <c r="AA278" s="40" t="str">
        <f>IFERROR(__xludf.DUMMYFUNCTION("""COMPUTED_VALUE"""),"x")</f>
        <v>x</v>
      </c>
      <c r="AB278" s="40"/>
    </row>
    <row r="279">
      <c r="A279" s="805" t="str">
        <f>IFERROR(__xludf.DUMMYFUNCTION("""COMPUTED_VALUE"""),"Sunish IP, 2008")</f>
        <v>Sunish IP, 2008</v>
      </c>
      <c r="B279" s="40"/>
      <c r="C279" s="40" t="str">
        <f>IFERROR(__xludf.DUMMYFUNCTION("""COMPUTED_VALUE"""),"Chungsoo")</f>
        <v>Chungsoo</v>
      </c>
      <c r="D279" s="40" t="str">
        <f>IFERROR(__xludf.DUMMYFUNCTION("""COMPUTED_VALUE"""),"India")</f>
        <v>India</v>
      </c>
      <c r="E279" s="40" t="str">
        <f>IFERROR(__xludf.DUMMYFUNCTION("""COMPUTED_VALUE"""),"W. bancrofti")</f>
        <v>W. bancrofti</v>
      </c>
      <c r="F279" s="40" t="str">
        <f>IFERROR(__xludf.DUMMYFUNCTION("""COMPUTED_VALUE"""),"Albendazole &amp; DEC")</f>
        <v>Albendazole &amp; DEC</v>
      </c>
      <c r="G279" s="40"/>
      <c r="H279" s="40"/>
      <c r="I279" s="40"/>
      <c r="J279" s="216">
        <f>IFERROR(__xludf.DUMMYFUNCTION("""COMPUTED_VALUE"""),0.8467)</f>
        <v>0.8467</v>
      </c>
      <c r="K279" s="40"/>
      <c r="L279" s="40" t="str">
        <f>IFERROR(__xludf.DUMMYFUNCTION("""COMPUTED_VALUE"""),"~100000 total")</f>
        <v>~100000 total</v>
      </c>
      <c r="M279" s="40" t="str">
        <f>IFERROR(__xludf.DUMMYFUNCTION("""COMPUTED_VALUE"""),"2 to 9")</f>
        <v>2 to 9</v>
      </c>
      <c r="N279" s="40"/>
      <c r="O279" s="40" t="str">
        <f>IFERROR(__xludf.DUMMYFUNCTION("""COMPUTED_VALUE"""),"???")</f>
        <v>???</v>
      </c>
      <c r="P279" s="40" t="str">
        <f>IFERROR(__xludf.DUMMYFUNCTION("""COMPUTED_VALUE"""),"MDA survey")</f>
        <v>MDA survey</v>
      </c>
      <c r="Q279" s="40"/>
      <c r="R279" s="40"/>
      <c r="S279" s="40" t="str">
        <f>IFERROR(__xludf.DUMMYFUNCTION("""COMPUTED_VALUE"""),"6 annual rounds")</f>
        <v>6 annual rounds</v>
      </c>
      <c r="T279" s="40"/>
      <c r="U279" s="40"/>
      <c r="V279" s="40">
        <f>IFERROR(__xludf.DUMMYFUNCTION("""COMPUTED_VALUE"""),2014.0)</f>
        <v>2014</v>
      </c>
      <c r="W279" s="40">
        <f>IFERROR(__xludf.DUMMYFUNCTION("""COMPUTED_VALUE"""),2014.0)</f>
        <v>2014</v>
      </c>
      <c r="X279" s="40" t="str">
        <f>IFERROR(__xludf.DUMMYFUNCTION("""COMPUTED_VALUE"""),"I. P. Sunish, A. Munirathinam, M. Kalimuthu, V. Ashok Kumar, and B. K. Tyagi. Persistence of Lymphatic Filarial Infection in the Paediatric Population of Rural Community, after Six Rounds of Annual Mass Drug Administrations. JOURNAL OF TROPICAL PEDIATRICS"&amp;", VOL. 60, NO. 3, 2014.  ")</f>
        <v>I. P. Sunish, A. Munirathinam, M. Kalimuthu, V. Ashok Kumar, and B. K. Tyagi. Persistence of Lymphatic Filarial Infection in the Paediatric Population of Rural Community, after Six Rounds of Annual Mass Drug Administrations. JOURNAL OF TROPICAL PEDIATRICS, VOL. 60, NO. 3, 2014.  </v>
      </c>
      <c r="Y279" s="40" t="str">
        <f>IFERROR(__xludf.DUMMYFUNCTION("""COMPUTED_VALUE"""),"doi:10.1093/tropej/fmt101")</f>
        <v>doi:10.1093/tropej/fmt101</v>
      </c>
      <c r="Z279" s="727" t="str">
        <f>IFERROR(__xludf.DUMMYFUNCTION("""COMPUTED_VALUE"""),"https://drive.google.com/file/d/0B4sJPAkX0Jo3WjNnLTB0NURNaWc/view?usp=sharing")</f>
        <v>https://drive.google.com/file/d/0B4sJPAkX0Jo3WjNnLTB0NURNaWc/view?usp=sharing</v>
      </c>
      <c r="AA279" s="40" t="str">
        <f>IFERROR(__xludf.DUMMYFUNCTION("""COMPUTED_VALUE"""),"x")</f>
        <v>x</v>
      </c>
      <c r="AB279" s="40"/>
    </row>
    <row r="280">
      <c r="A280" s="805" t="str">
        <f>IFERROR(__xludf.DUMMYFUNCTION("""COMPUTED_VALUE"""),"Rajendran R, 2006")</f>
        <v>Rajendran R, 2006</v>
      </c>
      <c r="B280" s="40"/>
      <c r="C280" s="40" t="str">
        <f>IFERROR(__xludf.DUMMYFUNCTION("""COMPUTED_VALUE"""),"Chungsoo")</f>
        <v>Chungsoo</v>
      </c>
      <c r="D280" s="40" t="str">
        <f>IFERROR(__xludf.DUMMYFUNCTION("""COMPUTED_VALUE"""),"India")</f>
        <v>India</v>
      </c>
      <c r="E280" s="40" t="str">
        <f>IFERROR(__xludf.DUMMYFUNCTION("""COMPUTED_VALUE"""),"W. bancrofti")</f>
        <v>W. bancrofti</v>
      </c>
      <c r="F280" s="40" t="str">
        <f>IFERROR(__xludf.DUMMYFUNCTION("""COMPUTED_VALUE"""),"DEC")</f>
        <v>DEC</v>
      </c>
      <c r="G280" s="40" t="str">
        <f>IFERROR(__xludf.DUMMYFUNCTION("""COMPUTED_VALUE"""),"6mg/kg")</f>
        <v>6mg/kg</v>
      </c>
      <c r="H280" s="40"/>
      <c r="I280" s="741">
        <f>IFERROR(__xludf.DUMMYFUNCTION("""COMPUTED_VALUE"""),0.485)</f>
        <v>0.485</v>
      </c>
      <c r="J280" s="216">
        <f>IFERROR(__xludf.DUMMYFUNCTION("""COMPUTED_VALUE"""),0.51)</f>
        <v>0.51</v>
      </c>
      <c r="K280" s="40"/>
      <c r="L280" s="40"/>
      <c r="M280" s="40"/>
      <c r="N280" s="40"/>
      <c r="O280" s="40" t="str">
        <f>IFERROR(__xludf.DUMMYFUNCTION("""COMPUTED_VALUE""")," all the available inhabitants of the study area (except &lt;2-year-old children and pregnant women) were targete")</f>
        <v> all the available inhabitants of the study area (except &lt;2-year-old children and pregnant women) were targete</v>
      </c>
      <c r="P280" s="40" t="str">
        <f>IFERROR(__xludf.DUMMYFUNCTION("""COMPUTED_VALUE""")," all the available inhabitants of the study area (except &lt;2-year-old children and pregnant women) were targete")</f>
        <v> all the available inhabitants of the study area (except &lt;2-year-old children and pregnant women) were targete</v>
      </c>
      <c r="Q280" s="40"/>
      <c r="R280" s="40"/>
      <c r="S280" s="40" t="str">
        <f>IFERROR(__xludf.DUMMYFUNCTION("""COMPUTED_VALUE"""),"3 annual doses MDA")</f>
        <v>3 annual doses MDA</v>
      </c>
      <c r="T280" s="40"/>
      <c r="U280" s="40"/>
      <c r="V280" s="40">
        <f>IFERROR(__xludf.DUMMYFUNCTION("""COMPUTED_VALUE"""),2006.0)</f>
        <v>2006</v>
      </c>
      <c r="W280" s="40">
        <f>IFERROR(__xludf.DUMMYFUNCTION("""COMPUTED_VALUE"""),2006.0)</f>
        <v>2006</v>
      </c>
      <c r="X280" s="40" t="str">
        <f>IFERROR(__xludf.DUMMYFUNCTION("""COMPUTED_VALUE"""),"R. Rajendran1, I. P. Sunish1, T. R. Mani1, A. Munirathinam1, N. Arunachalam1, K. Satyanarayana2 and A. P. Dash3. Community-based study to assess the efﬁcacy of DEC plus ALB against DEC alone on bancroftian ﬁlarial infection in endemic areas in Tamil Nadu,"&amp;" south India. Tropical Medicine and International Health. volume 11 no 6 pp 851–861 june 2006
")</f>
        <v>R. Rajendran1, I. P. Sunish1, T. R. Mani1, A. Munirathinam1, N. Arunachalam1, K. Satyanarayana2 and A. P. Dash3. Community-based study to assess the efﬁcacy of DEC plus ALB against DEC alone on bancroftian ﬁlarial infection in endemic areas in Tamil Nadu, south India. Tropical Medicine and International Health. volume 11 no 6 pp 851–861 june 2006
</v>
      </c>
      <c r="Y280" s="40"/>
      <c r="Z280" s="727" t="str">
        <f>IFERROR(__xludf.DUMMYFUNCTION("""COMPUTED_VALUE"""),"https://drive.google.com/file/d/0B4sJPAkX0Jo3ZjFUd2VWQTgwUjA/view?usp=sharing")</f>
        <v>https://drive.google.com/file/d/0B4sJPAkX0Jo3ZjFUd2VWQTgwUjA/view?usp=sharing</v>
      </c>
      <c r="AA280" s="40" t="str">
        <f>IFERROR(__xludf.DUMMYFUNCTION("""COMPUTED_VALUE"""),"x")</f>
        <v>x</v>
      </c>
      <c r="AB280" s="40"/>
    </row>
    <row r="281">
      <c r="A281" s="805" t="str">
        <f>IFERROR(__xludf.DUMMYFUNCTION("""COMPUTED_VALUE"""),"Rajendran R, 2006")</f>
        <v>Rajendran R, 2006</v>
      </c>
      <c r="B281" s="40"/>
      <c r="C281" s="40" t="str">
        <f>IFERROR(__xludf.DUMMYFUNCTION("""COMPUTED_VALUE"""),"Chungsoo")</f>
        <v>Chungsoo</v>
      </c>
      <c r="D281" s="40" t="str">
        <f>IFERROR(__xludf.DUMMYFUNCTION("""COMPUTED_VALUE"""),"India")</f>
        <v>India</v>
      </c>
      <c r="E281" s="40" t="str">
        <f>IFERROR(__xludf.DUMMYFUNCTION("""COMPUTED_VALUE"""),"W. bancrofti")</f>
        <v>W. bancrofti</v>
      </c>
      <c r="F281" s="40" t="str">
        <f>IFERROR(__xludf.DUMMYFUNCTION("""COMPUTED_VALUE"""),"Albendazole &amp; DEC")</f>
        <v>Albendazole &amp; DEC</v>
      </c>
      <c r="G281" s="40" t="str">
        <f>IFERROR(__xludf.DUMMYFUNCTION("""COMPUTED_VALUE"""),"6mg/kg")</f>
        <v>6mg/kg</v>
      </c>
      <c r="H281" s="40"/>
      <c r="I281" s="741">
        <f>IFERROR(__xludf.DUMMYFUNCTION("""COMPUTED_VALUE"""),0.814)</f>
        <v>0.814</v>
      </c>
      <c r="J281" s="216">
        <f>IFERROR(__xludf.DUMMYFUNCTION("""COMPUTED_VALUE"""),0.72)</f>
        <v>0.72</v>
      </c>
      <c r="K281" s="40"/>
      <c r="L281" s="40"/>
      <c r="M281" s="40"/>
      <c r="N281" s="40"/>
      <c r="O281" s="40" t="str">
        <f>IFERROR(__xludf.DUMMYFUNCTION("""COMPUTED_VALUE""")," all the available inhabitants of the study area (except &lt;2-year-old children and pregnant women) were targete")</f>
        <v> all the available inhabitants of the study area (except &lt;2-year-old children and pregnant women) were targete</v>
      </c>
      <c r="P281" s="40" t="str">
        <f>IFERROR(__xludf.DUMMYFUNCTION("""COMPUTED_VALUE""")," all the available inhabitants of the study area (except &lt;2-year-old children and pregnant women) were targete")</f>
        <v> all the available inhabitants of the study area (except &lt;2-year-old children and pregnant women) were targete</v>
      </c>
      <c r="Q281" s="40"/>
      <c r="R281" s="40"/>
      <c r="S281" s="40" t="str">
        <f>IFERROR(__xludf.DUMMYFUNCTION("""COMPUTED_VALUE"""),"3 annual doses MDA")</f>
        <v>3 annual doses MDA</v>
      </c>
      <c r="T281" s="40"/>
      <c r="U281" s="40"/>
      <c r="V281" s="40">
        <f>IFERROR(__xludf.DUMMYFUNCTION("""COMPUTED_VALUE"""),2006.0)</f>
        <v>2006</v>
      </c>
      <c r="W281" s="40">
        <f>IFERROR(__xludf.DUMMYFUNCTION("""COMPUTED_VALUE"""),2006.0)</f>
        <v>2006</v>
      </c>
      <c r="X281" s="40" t="str">
        <f>IFERROR(__xludf.DUMMYFUNCTION("""COMPUTED_VALUE"""),"R. Rajendran1, I. P. Sunish1, T. R. Mani1, A. Munirathinam1, N. Arunachalam1, K. Satyanarayana2 and A. P. Dash3. Community-based study to assess the efﬁcacy of DEC plus ALB against DEC alone on bancroftian ﬁlarial infection in endemic areas in Tamil Nadu,"&amp;" south India. Tropical Medicine and International Health. volume 11 no 6 pp 851–861 june 2006
")</f>
        <v>R. Rajendran1, I. P. Sunish1, T. R. Mani1, A. Munirathinam1, N. Arunachalam1, K. Satyanarayana2 and A. P. Dash3. Community-based study to assess the efﬁcacy of DEC plus ALB against DEC alone on bancroftian ﬁlarial infection in endemic areas in Tamil Nadu, south India. Tropical Medicine and International Health. volume 11 no 6 pp 851–861 june 2006
</v>
      </c>
      <c r="Y281" s="40"/>
      <c r="Z281" s="727" t="str">
        <f>IFERROR(__xludf.DUMMYFUNCTION("""COMPUTED_VALUE"""),"https://drive.google.com/file/d/0B4sJPAkX0Jo3ZjFUd2VWQTgwUjA/view?usp=sharing")</f>
        <v>https://drive.google.com/file/d/0B4sJPAkX0Jo3ZjFUd2VWQTgwUjA/view?usp=sharing</v>
      </c>
      <c r="AA281" s="40" t="str">
        <f>IFERROR(__xludf.DUMMYFUNCTION("""COMPUTED_VALUE"""),"x")</f>
        <v>x</v>
      </c>
      <c r="AB281" s="40"/>
    </row>
    <row r="282">
      <c r="A282" s="805" t="str">
        <f>IFERROR(__xludf.DUMMYFUNCTION("""COMPUTED_VALUE"""),"Ramaiah KD, 2002")</f>
        <v>Ramaiah KD, 2002</v>
      </c>
      <c r="B282" s="40"/>
      <c r="C282" s="40" t="str">
        <f>IFERROR(__xludf.DUMMYFUNCTION("""COMPUTED_VALUE"""),"Chungsoo")</f>
        <v>Chungsoo</v>
      </c>
      <c r="D282" s="40" t="str">
        <f>IFERROR(__xludf.DUMMYFUNCTION("""COMPUTED_VALUE"""),"India")</f>
        <v>India</v>
      </c>
      <c r="E282" s="40" t="str">
        <f>IFERROR(__xludf.DUMMYFUNCTION("""COMPUTED_VALUE"""),"W. bancrofti")</f>
        <v>W. bancrofti</v>
      </c>
      <c r="F282" s="40" t="str">
        <f>IFERROR(__xludf.DUMMYFUNCTION("""COMPUTED_VALUE"""),"DEC")</f>
        <v>DEC</v>
      </c>
      <c r="G282" s="40" t="str">
        <f>IFERROR(__xludf.DUMMYFUNCTION("""COMPUTED_VALUE"""),"6mg/kg")</f>
        <v>6mg/kg</v>
      </c>
      <c r="H282" s="40"/>
      <c r="I282" s="741">
        <f>IFERROR(__xludf.DUMMYFUNCTION("""COMPUTED_VALUE"""),0.909)</f>
        <v>0.909</v>
      </c>
      <c r="J282" s="216">
        <f>IFERROR(__xludf.DUMMYFUNCTION("""COMPUTED_VALUE"""),0.86)</f>
        <v>0.86</v>
      </c>
      <c r="K282" s="40"/>
      <c r="L282" s="40" t="str">
        <f>IFERROR(__xludf.DUMMYFUNCTION("""COMPUTED_VALUE"""),"15 villages, population  517 to 3321")</f>
        <v>15 villages, population  517 to 3321</v>
      </c>
      <c r="M282" s="40"/>
      <c r="N282" s="40"/>
      <c r="O282" s="40" t="str">
        <f>IFERROR(__xludf.DUMMYFUNCTION("""COMPUTED_VALUE"""),"excluded: children &lt;15kg, pregnant and lactating mothers, terminally ill people")</f>
        <v>excluded: children &lt;15kg, pregnant and lactating mothers, terminally ill people</v>
      </c>
      <c r="P282" s="40" t="str">
        <f>IFERROR(__xludf.DUMMYFUNCTION("""COMPUTED_VALUE"""),"double-blind, placebo-controlled and con- sisted of three arms (Das et al. 2001) and six rounds of mass treatment, single blind after first round")</f>
        <v>double-blind, placebo-controlled and con- sisted of three arms (Das et al. 2001) and six rounds of mass treatment, single blind after first round</v>
      </c>
      <c r="Q282" s="40"/>
      <c r="R282" s="40"/>
      <c r="S282" s="40"/>
      <c r="T282" s="40"/>
      <c r="U282" s="40" t="str">
        <f>IFERROR(__xludf.DUMMYFUNCTION("""COMPUTED_VALUE""")," initial two rounds were given at a 6-month interval and the subsequent four rounds at 12–15- month intervals. ")</f>
        <v> initial two rounds were given at a 6-month interval and the subsequent four rounds at 12–15- month intervals. </v>
      </c>
      <c r="V282" s="40">
        <f>IFERROR(__xludf.DUMMYFUNCTION("""COMPUTED_VALUE"""),2002.0)</f>
        <v>2002</v>
      </c>
      <c r="W282" s="40">
        <f>IFERROR(__xludf.DUMMYFUNCTION("""COMPUTED_VALUE"""),2002.0)</f>
        <v>2002</v>
      </c>
      <c r="X282" s="40" t="str">
        <f>IFERROR(__xludf.DUMMYFUNCTION("""COMPUTED_VALUE"""),"K. D. Ramaiah, P. Vanamail, S. P. Pani, J. Yuvaraj and P. K. Das
. The effect of six rounds of single dose mass treatment with diethylcarbamazine or ivermectin on Wuchereria bancrofti infection and its implications for lymphatic ﬁlariasis elimination
. Tr"&amp;"opical Medicine and International Health
. volume 7 no 9 pp 767–774 september 2002
")</f>
        <v>K. D. Ramaiah, P. Vanamail, S. P. Pani, J. Yuvaraj and P. K. Das
. The effect of six rounds of single dose mass treatment with diethylcarbamazine or ivermectin on Wuchereria bancrofti infection and its implications for lymphatic ﬁlariasis elimination
. Tropical Medicine and International Health
. volume 7 no 9 pp 767–774 september 2002
</v>
      </c>
      <c r="Y282" s="40"/>
      <c r="Z282" s="727" t="str">
        <f>IFERROR(__xludf.DUMMYFUNCTION("""COMPUTED_VALUE"""),"https://drive.google.com/file/d/0B4sJPAkX0Jo3cE94NDZ5VWZyNlE/view?usp=sharing")</f>
        <v>https://drive.google.com/file/d/0B4sJPAkX0Jo3cE94NDZ5VWZyNlE/view?usp=sharing</v>
      </c>
      <c r="AA282" s="40"/>
      <c r="AB282" s="40"/>
    </row>
    <row r="283">
      <c r="A283" s="805" t="str">
        <f>IFERROR(__xludf.DUMMYFUNCTION("""COMPUTED_VALUE"""),"Ramaiah KD, 2002")</f>
        <v>Ramaiah KD, 2002</v>
      </c>
      <c r="B283" s="40"/>
      <c r="C283" s="40" t="str">
        <f>IFERROR(__xludf.DUMMYFUNCTION("""COMPUTED_VALUE"""),"Chungsoo")</f>
        <v>Chungsoo</v>
      </c>
      <c r="D283" s="40" t="str">
        <f>IFERROR(__xludf.DUMMYFUNCTION("""COMPUTED_VALUE"""),"India")</f>
        <v>India</v>
      </c>
      <c r="E283" s="40" t="str">
        <f>IFERROR(__xludf.DUMMYFUNCTION("""COMPUTED_VALUE"""),"W. bancrofti")</f>
        <v>W. bancrofti</v>
      </c>
      <c r="F283" s="40" t="str">
        <f>IFERROR(__xludf.DUMMYFUNCTION("""COMPUTED_VALUE"""),"Ivermectin")</f>
        <v>Ivermectin</v>
      </c>
      <c r="G283" s="40" t="str">
        <f>IFERROR(__xludf.DUMMYFUNCTION("""COMPUTED_VALUE"""),"400 ug/kg")</f>
        <v>400 ug/kg</v>
      </c>
      <c r="H283" s="40"/>
      <c r="I283" s="741">
        <f>IFERROR(__xludf.DUMMYFUNCTION("""COMPUTED_VALUE"""),0.838)</f>
        <v>0.838</v>
      </c>
      <c r="J283" s="216">
        <f>IFERROR(__xludf.DUMMYFUNCTION("""COMPUTED_VALUE"""),0.72)</f>
        <v>0.72</v>
      </c>
      <c r="K283" s="40"/>
      <c r="L283" s="40" t="str">
        <f>IFERROR(__xludf.DUMMYFUNCTION("""COMPUTED_VALUE"""),"15 villages, population  517 to 3321")</f>
        <v>15 villages, population  517 to 3321</v>
      </c>
      <c r="M283" s="40"/>
      <c r="N283" s="40"/>
      <c r="O283" s="40" t="str">
        <f>IFERROR(__xludf.DUMMYFUNCTION("""COMPUTED_VALUE"""),"excluded: children &lt;15kg, pregnant and lactating mothers, terminally ill people")</f>
        <v>excluded: children &lt;15kg, pregnant and lactating mothers, terminally ill people</v>
      </c>
      <c r="P283" s="40" t="str">
        <f>IFERROR(__xludf.DUMMYFUNCTION("""COMPUTED_VALUE"""),"double-blind, placebo-controlled and con- sisted of three arms (Das et al. 2001) and six rounds of mass treatment, single blind after first round")</f>
        <v>double-blind, placebo-controlled and con- sisted of three arms (Das et al. 2001) and six rounds of mass treatment, single blind after first round</v>
      </c>
      <c r="Q283" s="40"/>
      <c r="R283" s="40"/>
      <c r="S283" s="40"/>
      <c r="T283" s="40"/>
      <c r="U283" s="40" t="str">
        <f>IFERROR(__xludf.DUMMYFUNCTION("""COMPUTED_VALUE""")," initial two rounds were given at a 6-month interval and the subsequent four rounds at 12–15- month intervals. ")</f>
        <v> initial two rounds were given at a 6-month interval and the subsequent four rounds at 12–15- month intervals. </v>
      </c>
      <c r="V283" s="40">
        <f>IFERROR(__xludf.DUMMYFUNCTION("""COMPUTED_VALUE"""),2002.0)</f>
        <v>2002</v>
      </c>
      <c r="W283" s="40">
        <f>IFERROR(__xludf.DUMMYFUNCTION("""COMPUTED_VALUE"""),2002.0)</f>
        <v>2002</v>
      </c>
      <c r="X283" s="40" t="str">
        <f>IFERROR(__xludf.DUMMYFUNCTION("""COMPUTED_VALUE"""),"K. D. Ramaiah, P. Vanamail, S. P. Pani, J. Yuvaraj and P. K. Das
. The effect of six rounds of single dose mass treatment with diethylcarbamazine or ivermectin on Wuchereria bancrofti infection and its implications for lymphatic ﬁlariasis elimination
. Tr"&amp;"opical Medicine and International Health
. volume 7 no 9 pp 767–774 september 2002
")</f>
        <v>K. D. Ramaiah, P. Vanamail, S. P. Pani, J. Yuvaraj and P. K. Das
. The effect of six rounds of single dose mass treatment with diethylcarbamazine or ivermectin on Wuchereria bancrofti infection and its implications for lymphatic ﬁlariasis elimination
. Tropical Medicine and International Health
. volume 7 no 9 pp 767–774 september 2002
</v>
      </c>
      <c r="Y283" s="40"/>
      <c r="Z283" s="727" t="str">
        <f>IFERROR(__xludf.DUMMYFUNCTION("""COMPUTED_VALUE"""),"https://drive.google.com/file/d/0B4sJPAkX0Jo3cE94NDZ5VWZyNlE/view?usp=sharing")</f>
        <v>https://drive.google.com/file/d/0B4sJPAkX0Jo3cE94NDZ5VWZyNlE/view?usp=sharing</v>
      </c>
      <c r="AA283" s="40"/>
      <c r="AB283" s="40"/>
    </row>
    <row r="284">
      <c r="A284" s="805" t="str">
        <f>IFERROR(__xludf.DUMMYFUNCTION("""COMPUTED_VALUE"""),"Ramaiah KD, 2002")</f>
        <v>Ramaiah KD, 2002</v>
      </c>
      <c r="B284" s="40"/>
      <c r="C284" s="40" t="str">
        <f>IFERROR(__xludf.DUMMYFUNCTION("""COMPUTED_VALUE"""),"Chungsoo")</f>
        <v>Chungsoo</v>
      </c>
      <c r="D284" s="40" t="str">
        <f>IFERROR(__xludf.DUMMYFUNCTION("""COMPUTED_VALUE"""),"India")</f>
        <v>India</v>
      </c>
      <c r="E284" s="40" t="str">
        <f>IFERROR(__xludf.DUMMYFUNCTION("""COMPUTED_VALUE"""),"W. bancrofti")</f>
        <v>W. bancrofti</v>
      </c>
      <c r="F284" s="40" t="str">
        <f>IFERROR(__xludf.DUMMYFUNCTION("""COMPUTED_VALUE"""),"placebo")</f>
        <v>placebo</v>
      </c>
      <c r="G284" s="40" t="str">
        <f>IFERROR(__xludf.DUMMYFUNCTION("""COMPUTED_VALUE"""),"--")</f>
        <v>--</v>
      </c>
      <c r="H284" s="40"/>
      <c r="I284" s="741">
        <f>IFERROR(__xludf.DUMMYFUNCTION("""COMPUTED_VALUE"""),0.466)</f>
        <v>0.466</v>
      </c>
      <c r="J284" s="216"/>
      <c r="K284" s="40"/>
      <c r="L284" s="40" t="str">
        <f>IFERROR(__xludf.DUMMYFUNCTION("""COMPUTED_VALUE"""),"15 villages, population  517 to 3321")</f>
        <v>15 villages, population  517 to 3321</v>
      </c>
      <c r="M284" s="40"/>
      <c r="N284" s="40"/>
      <c r="O284" s="40" t="str">
        <f>IFERROR(__xludf.DUMMYFUNCTION("""COMPUTED_VALUE"""),"excluded: children &lt;15kg, pregnant and lactating mothers, terminally ill people")</f>
        <v>excluded: children &lt;15kg, pregnant and lactating mothers, terminally ill people</v>
      </c>
      <c r="P284" s="40" t="str">
        <f>IFERROR(__xludf.DUMMYFUNCTION("""COMPUTED_VALUE"""),"double-blind, placebo-controlled and con- sisted of three arms (Das et al. 2001) and six rounds of mass treatment, single blind after first round")</f>
        <v>double-blind, placebo-controlled and con- sisted of three arms (Das et al. 2001) and six rounds of mass treatment, single blind after first round</v>
      </c>
      <c r="Q284" s="40"/>
      <c r="R284" s="40"/>
      <c r="S284" s="40" t="str">
        <f>IFERROR(__xludf.DUMMYFUNCTION("""COMPUTED_VALUE""")," ")</f>
        <v> </v>
      </c>
      <c r="T284" s="40"/>
      <c r="U284" s="40" t="str">
        <f>IFERROR(__xludf.DUMMYFUNCTION("""COMPUTED_VALUE""")," initial two rounds were given at a 6-month interval and the subsequent four rounds at 12–15- month intervals. ")</f>
        <v> initial two rounds were given at a 6-month interval and the subsequent four rounds at 12–15- month intervals. </v>
      </c>
      <c r="V284" s="40">
        <f>IFERROR(__xludf.DUMMYFUNCTION("""COMPUTED_VALUE"""),2002.0)</f>
        <v>2002</v>
      </c>
      <c r="W284" s="40">
        <f>IFERROR(__xludf.DUMMYFUNCTION("""COMPUTED_VALUE"""),2002.0)</f>
        <v>2002</v>
      </c>
      <c r="X284" s="40" t="str">
        <f>IFERROR(__xludf.DUMMYFUNCTION("""COMPUTED_VALUE"""),"K. D. Ramaiah, P. Vanamail, S. P. Pani, J. Yuvaraj and P. K. Das
. The effect of six rounds of single dose mass treatment with diethylcarbamazine or ivermectin on Wuchereria bancrofti infection and its implications for lymphatic ﬁlariasis elimination
. Tr"&amp;"opical Medicine and International Health
. volume 7 no 9 pp 767–774 september 2002
")</f>
        <v>K. D. Ramaiah, P. Vanamail, S. P. Pani, J. Yuvaraj and P. K. Das
. The effect of six rounds of single dose mass treatment with diethylcarbamazine or ivermectin on Wuchereria bancrofti infection and its implications for lymphatic ﬁlariasis elimination
. Tropical Medicine and International Health
. volume 7 no 9 pp 767–774 september 2002
</v>
      </c>
      <c r="Y284" s="40"/>
      <c r="Z284" s="727" t="str">
        <f>IFERROR(__xludf.DUMMYFUNCTION("""COMPUTED_VALUE"""),"https://drive.google.com/file/d/0B4sJPAkX0Jo3cE94NDZ5VWZyNlE/view?usp=sharing")</f>
        <v>https://drive.google.com/file/d/0B4sJPAkX0Jo3cE94NDZ5VWZyNlE/view?usp=sharing</v>
      </c>
      <c r="AA284" s="40"/>
      <c r="AB284" s="40"/>
    </row>
    <row r="285">
      <c r="A285" s="805" t="str">
        <f>IFERROR(__xludf.DUMMYFUNCTION("""COMPUTED_VALUE"""),"Reuben 2001")</f>
        <v>Reuben 2001</v>
      </c>
      <c r="B285" s="40" t="str">
        <f>IFERROR(__xludf.DUMMYFUNCTION("""COMPUTED_VALUE"""),"Kirti")</f>
        <v>Kirti</v>
      </c>
      <c r="C285" s="40" t="str">
        <f>IFERROR(__xludf.DUMMYFUNCTION("""COMPUTED_VALUE"""),"Chungsoo")</f>
        <v>Chungsoo</v>
      </c>
      <c r="D285" s="40" t="str">
        <f>IFERROR(__xludf.DUMMYFUNCTION("""COMPUTED_VALUE"""),"India")</f>
        <v>India</v>
      </c>
      <c r="E285" s="40" t="str">
        <f>IFERROR(__xludf.DUMMYFUNCTION("""COMPUTED_VALUE"""),"W. bancrofti")</f>
        <v>W. bancrofti</v>
      </c>
      <c r="F285" s="40" t="str">
        <f>IFERROR(__xludf.DUMMYFUNCTION("""COMPUTED_VALUE"""),"DEC &amp; Ivermectin")</f>
        <v>DEC &amp; Ivermectin</v>
      </c>
      <c r="G285" s="40" t="str">
        <f>IFERROR(__xludf.DUMMYFUNCTION("""COMPUTED_VALUE"""),"6 mg/kg body weight + 400 μg/kg 1 year apart")</f>
        <v>6 mg/kg body weight + 400 μg/kg 1 year apart</v>
      </c>
      <c r="H285" s="40"/>
      <c r="I285" s="741">
        <f>IFERROR(__xludf.DUMMYFUNCTION("""COMPUTED_VALUE"""),0.902)</f>
        <v>0.902</v>
      </c>
      <c r="J285" s="216">
        <f>IFERROR(__xludf.DUMMYFUNCTION("""COMPUTED_VALUE"""),0.8993)</f>
        <v>0.8993</v>
      </c>
      <c r="K285" s="40"/>
      <c r="L285" s="40">
        <f>IFERROR(__xludf.DUMMYFUNCTION("""COMPUTED_VALUE"""),776.0)</f>
        <v>776</v>
      </c>
      <c r="M285" s="40" t="str">
        <f>IFERROR(__xludf.DUMMYFUNCTION("""COMPUTED_VALUE"""),"5-59")</f>
        <v>5-59</v>
      </c>
      <c r="N285" s="812" t="str">
        <f>IFERROR(__xludf.DUMMYFUNCTION("""COMPUTED_VALUE"""),"445:331")</f>
        <v>445:331</v>
      </c>
      <c r="O285" s="40" t="str">
        <f>IFERROR(__xludf.DUMMYFUNCTION("""COMPUTED_VALUE"""),"not pregnant, lactating or seriously ill")</f>
        <v>not pregnant, lactating or seriously ill</v>
      </c>
      <c r="P285" s="40" t="str">
        <f>IFERROR(__xludf.DUMMYFUNCTION("""COMPUTED_VALUE"""),"mass treatment ")</f>
        <v>mass treatment </v>
      </c>
      <c r="Q285" s="40"/>
      <c r="R285" s="40"/>
      <c r="S285" s="40" t="str">
        <f>IFERROR(__xludf.DUMMYFUNCTION("""COMPUTED_VALUE"""),"3 years")</f>
        <v>3 years</v>
      </c>
      <c r="T285" s="40" t="str">
        <f>IFERROR(__xludf.DUMMYFUNCTION("""COMPUTED_VALUE"""),"Repeated, annual, mass treatments with single doses of DEC or IVR are safe, acceptable, cheap and effective for sustained reduction of microfilaraemia in the community.")</f>
        <v>Repeated, annual, mass treatments with single doses of DEC or IVR are safe, acceptable, cheap and effective for sustained reduction of microfilaraemia in the community.</v>
      </c>
      <c r="U285" s="40" t="str">
        <f>IFERROR(__xludf.DUMMYFUNCTION("""COMPUTED_VALUE"""),"Annual rounds of chemotherapy were carried out in the first 2 years of the study period. The data for group A (treatment) and group B (treatment +vector control) was combined. ")</f>
        <v>Annual rounds of chemotherapy were carried out in the first 2 years of the study period. The data for group A (treatment) and group B (treatment +vector control) was combined. </v>
      </c>
      <c r="V285" s="40" t="str">
        <f>IFERROR(__xludf.DUMMYFUNCTION("""COMPUTED_VALUE"""),"1994-1997")</f>
        <v>1994-1997</v>
      </c>
      <c r="W285" s="40">
        <f>IFERROR(__xludf.DUMMYFUNCTION("""COMPUTED_VALUE"""),1997.0)</f>
        <v>1997</v>
      </c>
      <c r="X285" s="40" t="str">
        <f>IFERROR(__xludf.DUMMYFUNCTION("""COMPUTED_VALUE"""),"Reuben BR, Rajendran R, Sunish IP, Mani TR, Tewari SC, Hiriyan J, et al. Annual single-dose diethylcarbamazine plus ivermectin for control of bancroftian filariasis: comparative efficacy with and without vector control. Annals of Tropical Medicine &amp; Para"&amp;"sitology 2001; 95 (4): 361-378. ")</f>
        <v>Reuben BR, Rajendran R, Sunish IP, Mani TR, Tewari SC, Hiriyan J, et al. Annual single-dose diethylcarbamazine plus ivermectin for control of bancroftian filariasis: comparative ef_x008e_ficacy with and without vector control. Annals of Tropical Medicine &amp; Parasitology 2001; 95 (4): 361-378. </v>
      </c>
      <c r="Y285" s="40" t="str">
        <f>IFERROR(__xludf.DUMMYFUNCTION("""COMPUTED_VALUE"""),"doi: 1080/00034980120065796")</f>
        <v>doi: 1080/00034980120065796</v>
      </c>
      <c r="Z285" s="727" t="str">
        <f>IFERROR(__xludf.DUMMYFUNCTION("""COMPUTED_VALUE"""),"https://drive.google.com/file/d/0B0-pry4DSOm3UTFNenFnVzNicUE/view?usp=sharing")</f>
        <v>https://drive.google.com/file/d/0B0-pry4DSOm3UTFNenFnVzNicUE/view?usp=sharing</v>
      </c>
      <c r="AA285" s="40" t="str">
        <f>IFERROR(__xludf.DUMMYFUNCTION("""COMPUTED_VALUE"""),"x")</f>
        <v>x</v>
      </c>
      <c r="AB285" s="40"/>
    </row>
    <row r="286">
      <c r="A286" s="805" t="str">
        <f>IFERROR(__xludf.DUMMYFUNCTION("""COMPUTED_VALUE"""),"Reuben 2001")</f>
        <v>Reuben 2001</v>
      </c>
      <c r="B286" s="40" t="str">
        <f>IFERROR(__xludf.DUMMYFUNCTION("""COMPUTED_VALUE"""),"Kirti")</f>
        <v>Kirti</v>
      </c>
      <c r="C286" s="40" t="str">
        <f>IFERROR(__xludf.DUMMYFUNCTION("""COMPUTED_VALUE"""),"Chungsoo")</f>
        <v>Chungsoo</v>
      </c>
      <c r="D286" s="40" t="str">
        <f>IFERROR(__xludf.DUMMYFUNCTION("""COMPUTED_VALUE"""),"India")</f>
        <v>India</v>
      </c>
      <c r="E286" s="40" t="str">
        <f>IFERROR(__xludf.DUMMYFUNCTION("""COMPUTED_VALUE"""),"W. bancrofti")</f>
        <v>W. bancrofti</v>
      </c>
      <c r="F286" s="40" t="str">
        <f>IFERROR(__xludf.DUMMYFUNCTION("""COMPUTED_VALUE"""),"Placebo (Vitamin C)")</f>
        <v>Placebo (Vitamin C)</v>
      </c>
      <c r="G286" s="40" t="str">
        <f>IFERROR(__xludf.DUMMYFUNCTION("""COMPUTED_VALUE"""),"--")</f>
        <v>--</v>
      </c>
      <c r="H286" s="40"/>
      <c r="I286" s="741">
        <f>IFERROR(__xludf.DUMMYFUNCTION("""COMPUTED_VALUE"""),0.204)</f>
        <v>0.204</v>
      </c>
      <c r="J286" s="216">
        <f>IFERROR(__xludf.DUMMYFUNCTION("""COMPUTED_VALUE"""),0.27)</f>
        <v>0.27</v>
      </c>
      <c r="K286" s="40"/>
      <c r="L286" s="40">
        <f>IFERROR(__xludf.DUMMYFUNCTION("""COMPUTED_VALUE"""),562.0)</f>
        <v>562</v>
      </c>
      <c r="M286" s="40" t="str">
        <f>IFERROR(__xludf.DUMMYFUNCTION("""COMPUTED_VALUE"""),"5-59")</f>
        <v>5-59</v>
      </c>
      <c r="N286" s="812" t="str">
        <f>IFERROR(__xludf.DUMMYFUNCTION("""COMPUTED_VALUE"""),"357:205")</f>
        <v>357:205</v>
      </c>
      <c r="O286" s="40" t="str">
        <f>IFERROR(__xludf.DUMMYFUNCTION("""COMPUTED_VALUE"""),"not pregnant, lactating or seriously ill")</f>
        <v>not pregnant, lactating or seriously ill</v>
      </c>
      <c r="P286" s="40" t="str">
        <f>IFERROR(__xludf.DUMMYFUNCTION("""COMPUTED_VALUE"""),"mass treatment ")</f>
        <v>mass treatment </v>
      </c>
      <c r="Q286" s="40"/>
      <c r="R286" s="40"/>
      <c r="S286" s="40" t="str">
        <f>IFERROR(__xludf.DUMMYFUNCTION("""COMPUTED_VALUE"""),"3 years")</f>
        <v>3 years</v>
      </c>
      <c r="T286" s="40" t="str">
        <f>IFERROR(__xludf.DUMMYFUNCTION("""COMPUTED_VALUE"""),"Repeated, annual, mass treatments with single doses of DEC or IVR are safe, acceptable, cheap and effective for sustained reduction of microfilaraemia in the community.")</f>
        <v>Repeated, annual, mass treatments with single doses of DEC or IVR are safe, acceptable, cheap and effective for sustained reduction of microfilaraemia in the community.</v>
      </c>
      <c r="U286" s="40" t="str">
        <f>IFERROR(__xludf.DUMMYFUNCTION("""COMPUTED_VALUE"""),"No intervention of any kind. ")</f>
        <v>No intervention of any kind. </v>
      </c>
      <c r="V286" s="40" t="str">
        <f>IFERROR(__xludf.DUMMYFUNCTION("""COMPUTED_VALUE"""),"1994-1997")</f>
        <v>1994-1997</v>
      </c>
      <c r="W286" s="40">
        <f>IFERROR(__xludf.DUMMYFUNCTION("""COMPUTED_VALUE"""),1997.0)</f>
        <v>1997</v>
      </c>
      <c r="X286" s="40" t="str">
        <f>IFERROR(__xludf.DUMMYFUNCTION("""COMPUTED_VALUE"""),"Reuben BR, Rajendran R, Sunish IP, Mani TR, Tewari SC, Hiriyan J, et al. Annual single-dose diethylcarbamazine plus ivermectin for control of bancroftian filariasis: comparative efficacy with and without vector control. Annals of Tropical Medicine &amp; Para"&amp;"sitology 2001; 95 (4): 361-378. ")</f>
        <v>Reuben BR, Rajendran R, Sunish IP, Mani TR, Tewari SC, Hiriyan J, et al. Annual single-dose diethylcarbamazine plus ivermectin for control of bancroftian filariasis: comparative ef_x008e_ficacy with and without vector control. Annals of Tropical Medicine &amp; Parasitology 2001; 95 (4): 361-378. </v>
      </c>
      <c r="Y286" s="40" t="str">
        <f>IFERROR(__xludf.DUMMYFUNCTION("""COMPUTED_VALUE"""),"doi: 1080/00034980120065796")</f>
        <v>doi: 1080/00034980120065796</v>
      </c>
      <c r="Z286" s="727" t="str">
        <f>IFERROR(__xludf.DUMMYFUNCTION("""COMPUTED_VALUE"""),"https://drive.google.com/file/d/0B0-pry4DSOm3UTFNenFnVzNicUE/view?usp=sharing")</f>
        <v>https://drive.google.com/file/d/0B0-pry4DSOm3UTFNenFnVzNicUE/view?usp=sharing</v>
      </c>
      <c r="AA286" s="40" t="str">
        <f>IFERROR(__xludf.DUMMYFUNCTION("""COMPUTED_VALUE"""),"x")</f>
        <v>x</v>
      </c>
      <c r="AB286" s="40"/>
    </row>
    <row r="287">
      <c r="A287" s="805" t="str">
        <f>IFERROR(__xludf.DUMMYFUNCTION("""COMPUTED_VALUE"""),"Dunyo, 2000(2)")</f>
        <v>Dunyo, 2000(2)</v>
      </c>
      <c r="B287" s="40" t="str">
        <f>IFERROR(__xludf.DUMMYFUNCTION("""COMPUTED_VALUE"""),"Chungsoo")</f>
        <v>Chungsoo</v>
      </c>
      <c r="C287" s="40" t="str">
        <f>IFERROR(__xludf.DUMMYFUNCTION("""COMPUTED_VALUE"""),"Mahvish")</f>
        <v>Mahvish</v>
      </c>
      <c r="D287" s="40" t="str">
        <f>IFERROR(__xludf.DUMMYFUNCTION("""COMPUTED_VALUE"""),"Ghana")</f>
        <v>Ghana</v>
      </c>
      <c r="E287" s="40" t="str">
        <f>IFERROR(__xludf.DUMMYFUNCTION("""COMPUTED_VALUE"""),"W. bancrofti")</f>
        <v>W. bancrofti</v>
      </c>
      <c r="F287" s="40" t="str">
        <f>IFERROR(__xludf.DUMMYFUNCTION("""COMPUTED_VALUE"""),"Ivermectin")</f>
        <v>Ivermectin</v>
      </c>
      <c r="G287" s="40" t="str">
        <f>IFERROR(__xludf.DUMMYFUNCTION("""COMPUTED_VALUE"""),"150-200µg/kg bodyweight. 
The dosages given were actually 12 mg IVR and 200 mg DEC for those weighing less than 30 kg, 18 mg IVR and 300 mg DEC for those of 30-50 kg, and 24 mg IVR and 400 mg DEC for those subjects weighing more than 50 kg. ")</f>
        <v>150-200µg/kg bodyweight. 
The dosages given were actually 12 mg IVR and 200 mg DEC for those weighing less than 30 kg, 18 mg IVR and 300 mg DEC for those of 30-50 kg, and 24 mg IVR and 400 mg DEC for those subjects weighing more than 50 kg. </v>
      </c>
      <c r="H287" s="40" t="str">
        <f>IFERROR(__xludf.DUMMYFUNCTION("""COMPUTED_VALUE"""),"In each treatment round, treatment in each village extended over 3 days")</f>
        <v>In each treatment round, treatment in each village extended over 3 days</v>
      </c>
      <c r="I287" s="40"/>
      <c r="J287" s="216"/>
      <c r="K287" s="40"/>
      <c r="L287" s="40">
        <f>IFERROR(__xludf.DUMMYFUNCTION("""COMPUTED_VALUE"""),336.0)</f>
        <v>336</v>
      </c>
      <c r="M287" s="40" t="str">
        <f>IFERROR(__xludf.DUMMYFUNCTION("""COMPUTED_VALUE"""),"6-91, Mean = 26.8")</f>
        <v>6-91, Mean = 26.8</v>
      </c>
      <c r="N287" s="812" t="str">
        <f>IFERROR(__xludf.DUMMYFUNCTION("""COMPUTED_VALUE"""),"161:175")</f>
        <v>161:175</v>
      </c>
      <c r="O287" s="40" t="str">
        <f>IFERROR(__xludf.DUMMYFUNCTION("""COMPUTED_VALUE"""),"Participants were randomized except for the pregnant women and children aged less than 6 years")</f>
        <v>Participants were randomized except for the pregnant women and children aged less than 6 years</v>
      </c>
      <c r="P287" s="40" t="str">
        <f>IFERROR(__xludf.DUMMYFUNCTION("""COMPUTED_VALUE"""),"double-blind placebo-controlled")</f>
        <v>double-blind placebo-controlled</v>
      </c>
      <c r="Q287" s="40"/>
      <c r="R287" s="40"/>
      <c r="S287" s="40" t="str">
        <f>IFERROR(__xludf.DUMMYFUNCTION("""COMPUTED_VALUE"""),"12 months")</f>
        <v>12 months</v>
      </c>
      <c r="T287" s="40" t="str">
        <f>IFERROR(__xludf.DUMMYFUNCTION("""COMPUTED_VALUE"""),"Both ivermectin and combination treatment thus appeared effective for control of W. bancrofn’infections, but the difference in efficacy between the 2 treatments after 12 months appeared to be minimal.")</f>
        <v>Both ivermectin and combination treatment thus appeared effective for control of W. bancrofn’infections, but the difference in efficacy between the 2 treatments after 12 months appeared to be minimal.</v>
      </c>
      <c r="U287" s="40" t="str">
        <f>IFERROR(__xludf.DUMMYFUNCTION("""COMPUTED_VALUE"""),"Requires calculation of cure rate")</f>
        <v>Requires calculation of cure rate</v>
      </c>
      <c r="V287" s="40" t="str">
        <f>IFERROR(__xludf.DUMMYFUNCTION("""COMPUTED_VALUE"""),"1996-1998")</f>
        <v>1996-1998</v>
      </c>
      <c r="W287" s="40">
        <f>IFERROR(__xludf.DUMMYFUNCTION("""COMPUTED_VALUE"""),1998.0)</f>
        <v>1998</v>
      </c>
      <c r="X287" s="40" t="str">
        <f>IFERROR(__xludf.DUMMYFUNCTION("""COMPUTED_VALUE"""),"Dunyo SK, Nkrumah FK, Simonsen PE. Single-dose treatment of Wuchereria bancrofti infections with ivermectin and albendazole alone or in combination: evaluation of the potential for control at 12 months after treatment. Transactions of the Royal Society of"&amp;" Tropical Medicine and Hygiene. Oxford University Press (OUP); 2000 Jul;94(4):437–43.")</f>
        <v>Dunyo SK, Nkrumah FK, Simonsen PE. Single-dose treatment of Wuchereria bancrofti infections with ivermectin and albendazole alone or in combination: evaluation of the potential for control at 12 months after treatment. Transactions of the Royal Society of Tropical Medicine and Hygiene. Oxford University Press (OUP); 2000 Jul;94(4):437–43.</v>
      </c>
      <c r="Y287" s="40" t="str">
        <f>IFERROR(__xludf.DUMMYFUNCTION("""COMPUTED_VALUE"""),"10.1016/S0035-9203(00)90135-4")</f>
        <v>10.1016/S0035-9203(00)90135-4</v>
      </c>
      <c r="Z287" s="727" t="str">
        <f>IFERROR(__xludf.DUMMYFUNCTION("""COMPUTED_VALUE"""),"https://drive.google.com/file/d/0B0-pry4DSOm3Sk5VNWxOdzJiQkk/view?usp=sharing")</f>
        <v>https://drive.google.com/file/d/0B0-pry4DSOm3Sk5VNWxOdzJiQkk/view?usp=sharing</v>
      </c>
      <c r="AA287" s="40"/>
      <c r="AB287" s="40"/>
    </row>
    <row r="288">
      <c r="A288" s="805" t="str">
        <f>IFERROR(__xludf.DUMMYFUNCTION("""COMPUTED_VALUE"""),"Dunyo, 2000(2)")</f>
        <v>Dunyo, 2000(2)</v>
      </c>
      <c r="B288" s="40" t="str">
        <f>IFERROR(__xludf.DUMMYFUNCTION("""COMPUTED_VALUE"""),"Chungsoo")</f>
        <v>Chungsoo</v>
      </c>
      <c r="C288" s="40" t="str">
        <f>IFERROR(__xludf.DUMMYFUNCTION("""COMPUTED_VALUE"""),"Mahvish")</f>
        <v>Mahvish</v>
      </c>
      <c r="D288" s="40" t="str">
        <f>IFERROR(__xludf.DUMMYFUNCTION("""COMPUTED_VALUE"""),"Ghana")</f>
        <v>Ghana</v>
      </c>
      <c r="E288" s="40" t="str">
        <f>IFERROR(__xludf.DUMMYFUNCTION("""COMPUTED_VALUE"""),"W. bancrofti")</f>
        <v>W. bancrofti</v>
      </c>
      <c r="F288" s="40" t="str">
        <f>IFERROR(__xludf.DUMMYFUNCTION("""COMPUTED_VALUE"""),"Albendazole")</f>
        <v>Albendazole</v>
      </c>
      <c r="G288" s="40" t="str">
        <f>IFERROR(__xludf.DUMMYFUNCTION("""COMPUTED_VALUE"""),"400mg. The dosages given were actually 12 mg IVR and 200 mg DEC for those weighing less than 30 kg, 18 mg IVR and 300 mg DEC for those of 30-50 kg, and 24 mg IVR and 400 mg DEC for those subjects weighing more than 50 kg. ")</f>
        <v>400mg. The dosages given were actually 12 mg IVR and 200 mg DEC for those weighing less than 30 kg, 18 mg IVR and 300 mg DEC for those of 30-50 kg, and 24 mg IVR and 400 mg DEC for those subjects weighing more than 50 kg. </v>
      </c>
      <c r="H288" s="40" t="str">
        <f>IFERROR(__xludf.DUMMYFUNCTION("""COMPUTED_VALUE"""),"In each treatment round, treatment in each village extended over 3 days")</f>
        <v>In each treatment round, treatment in each village extended over 3 days</v>
      </c>
      <c r="I288" s="40"/>
      <c r="J288" s="216"/>
      <c r="K288" s="40"/>
      <c r="L288" s="40">
        <f>IFERROR(__xludf.DUMMYFUNCTION("""COMPUTED_VALUE"""),369.0)</f>
        <v>369</v>
      </c>
      <c r="M288" s="40" t="str">
        <f>IFERROR(__xludf.DUMMYFUNCTION("""COMPUTED_VALUE"""),"6-89, Mean = 25.6")</f>
        <v>6-89, Mean = 25.6</v>
      </c>
      <c r="N288" s="812" t="str">
        <f>IFERROR(__xludf.DUMMYFUNCTION("""COMPUTED_VALUE"""),"194:175")</f>
        <v>194:175</v>
      </c>
      <c r="O288" s="40" t="str">
        <f>IFERROR(__xludf.DUMMYFUNCTION("""COMPUTED_VALUE"""),"Participants were randomized except for the pregnant women and children aged less than 6 years")</f>
        <v>Participants were randomized except for the pregnant women and children aged less than 6 years</v>
      </c>
      <c r="P288" s="40" t="str">
        <f>IFERROR(__xludf.DUMMYFUNCTION("""COMPUTED_VALUE"""),"double-blind placebo-controlled")</f>
        <v>double-blind placebo-controlled</v>
      </c>
      <c r="Q288" s="40"/>
      <c r="R288" s="40"/>
      <c r="S288" s="40" t="str">
        <f>IFERROR(__xludf.DUMMYFUNCTION("""COMPUTED_VALUE"""),"12 months")</f>
        <v>12 months</v>
      </c>
      <c r="T288" s="40" t="str">
        <f>IFERROR(__xludf.DUMMYFUNCTION("""COMPUTED_VALUE"""),"Both ivermectin and combination treatment thus appeared effective for control of W. bancrofn’infections, but the difference in efficacy between the 2 treatments after 12 months appeared to be minimal.")</f>
        <v>Both ivermectin and combination treatment thus appeared effective for control of W. bancrofn’infections, but the difference in efficacy between the 2 treatments after 12 months appeared to be minimal.</v>
      </c>
      <c r="U288" s="40" t="str">
        <f>IFERROR(__xludf.DUMMYFUNCTION("""COMPUTED_VALUE"""),"Requires calculation of cure rate")</f>
        <v>Requires calculation of cure rate</v>
      </c>
      <c r="V288" s="40" t="str">
        <f>IFERROR(__xludf.DUMMYFUNCTION("""COMPUTED_VALUE"""),"1996-1998")</f>
        <v>1996-1998</v>
      </c>
      <c r="W288" s="40">
        <f>IFERROR(__xludf.DUMMYFUNCTION("""COMPUTED_VALUE"""),1998.0)</f>
        <v>1998</v>
      </c>
      <c r="X288" s="40" t="str">
        <f>IFERROR(__xludf.DUMMYFUNCTION("""COMPUTED_VALUE"""),"Dunyo SK, Nkrumah FK, Simonsen PE. Single-dose treatment of Wuchereria bancrofti infections with ivermectin and albendazole alone or in combination: evaluation of the potential for control at 12 months after treatment. Transactions of the Royal Society of"&amp;" Tropical Medicine and Hygiene. Oxford University Press (OUP); 2000 Jul;94(4):437–43.")</f>
        <v>Dunyo SK, Nkrumah FK, Simonsen PE. Single-dose treatment of Wuchereria bancrofti infections with ivermectin and albendazole alone or in combination: evaluation of the potential for control at 12 months after treatment. Transactions of the Royal Society of Tropical Medicine and Hygiene. Oxford University Press (OUP); 2000 Jul;94(4):437–43.</v>
      </c>
      <c r="Y288" s="40" t="str">
        <f>IFERROR(__xludf.DUMMYFUNCTION("""COMPUTED_VALUE"""),"10.1016/S0035-9203(00)90135-4")</f>
        <v>10.1016/S0035-9203(00)90135-4</v>
      </c>
      <c r="Z288" s="727" t="str">
        <f>IFERROR(__xludf.DUMMYFUNCTION("""COMPUTED_VALUE"""),"https://drive.google.com/file/d/0B0-pry4DSOm3Sk5VNWxOdzJiQkk/view?usp=sharing")</f>
        <v>https://drive.google.com/file/d/0B0-pry4DSOm3Sk5VNWxOdzJiQkk/view?usp=sharing</v>
      </c>
      <c r="AA288" s="40"/>
      <c r="AB288" s="40"/>
    </row>
    <row r="289">
      <c r="A289" s="805" t="str">
        <f>IFERROR(__xludf.DUMMYFUNCTION("""COMPUTED_VALUE"""),"Dunyo, 2000(2)")</f>
        <v>Dunyo, 2000(2)</v>
      </c>
      <c r="B289" s="40" t="str">
        <f>IFERROR(__xludf.DUMMYFUNCTION("""COMPUTED_VALUE"""),"Chungsoo")</f>
        <v>Chungsoo</v>
      </c>
      <c r="C289" s="40" t="str">
        <f>IFERROR(__xludf.DUMMYFUNCTION("""COMPUTED_VALUE"""),"Mahvish")</f>
        <v>Mahvish</v>
      </c>
      <c r="D289" s="40" t="str">
        <f>IFERROR(__xludf.DUMMYFUNCTION("""COMPUTED_VALUE"""),"Ghana")</f>
        <v>Ghana</v>
      </c>
      <c r="E289" s="40" t="str">
        <f>IFERROR(__xludf.DUMMYFUNCTION("""COMPUTED_VALUE"""),"W. bancrofti")</f>
        <v>W. bancrofti</v>
      </c>
      <c r="F289" s="40" t="str">
        <f>IFERROR(__xludf.DUMMYFUNCTION("""COMPUTED_VALUE"""),"Albendazole &amp; Ivermectin")</f>
        <v>Albendazole &amp; Ivermectin</v>
      </c>
      <c r="G289" s="40" t="str">
        <f>IFERROR(__xludf.DUMMYFUNCTION("""COMPUTED_VALUE"""),"150-200µg/kg+400mg. The dosages given were actually 12 mg IVR and 200 mg DEC for those weighing less than 30 kg, 18 mg IVR and 300 mg DEC for those of 30-50 kg, and 24 mg IVR and 400 mg DEC for those subjects weighing more than 50 kg. ")</f>
        <v>150-200µg/kg+400mg. The dosages given were actually 12 mg IVR and 200 mg DEC for those weighing less than 30 kg, 18 mg IVR and 300 mg DEC for those of 30-50 kg, and 24 mg IVR and 400 mg DEC for those subjects weighing more than 50 kg. </v>
      </c>
      <c r="H289" s="40" t="str">
        <f>IFERROR(__xludf.DUMMYFUNCTION("""COMPUTED_VALUE"""),"In each treatment round, treatment in each village extended over 3 days")</f>
        <v>In each treatment round, treatment in each village extended over 3 days</v>
      </c>
      <c r="I289" s="40"/>
      <c r="J289" s="216"/>
      <c r="K289" s="40"/>
      <c r="L289" s="40">
        <f>IFERROR(__xludf.DUMMYFUNCTION("""COMPUTED_VALUE"""),370.0)</f>
        <v>370</v>
      </c>
      <c r="M289" s="40" t="str">
        <f>IFERROR(__xludf.DUMMYFUNCTION("""COMPUTED_VALUE"""),"6-84, Mean = 26.9")</f>
        <v>6-84, Mean = 26.9</v>
      </c>
      <c r="N289" s="812" t="str">
        <f>IFERROR(__xludf.DUMMYFUNCTION("""COMPUTED_VALUE"""),"177:193")</f>
        <v>177:193</v>
      </c>
      <c r="O289" s="40" t="str">
        <f>IFERROR(__xludf.DUMMYFUNCTION("""COMPUTED_VALUE"""),"Participants were randomized except for the pregnant women and children aged less than 6 years")</f>
        <v>Participants were randomized except for the pregnant women and children aged less than 6 years</v>
      </c>
      <c r="P289" s="40" t="str">
        <f>IFERROR(__xludf.DUMMYFUNCTION("""COMPUTED_VALUE"""),"double-blind placebo-controlled")</f>
        <v>double-blind placebo-controlled</v>
      </c>
      <c r="Q289" s="40"/>
      <c r="R289" s="40"/>
      <c r="S289" s="40" t="str">
        <f>IFERROR(__xludf.DUMMYFUNCTION("""COMPUTED_VALUE"""),"12 months")</f>
        <v>12 months</v>
      </c>
      <c r="T289" s="40" t="str">
        <f>IFERROR(__xludf.DUMMYFUNCTION("""COMPUTED_VALUE"""),"Both ivermectin and combination treatment thus appeared effective for control of W. bancrofn’infections, but the difference in efficacy between the 2 treatments after 12 months appeared to be minimal.")</f>
        <v>Both ivermectin and combination treatment thus appeared effective for control of W. bancrofn’infections, but the difference in efficacy between the 2 treatments after 12 months appeared to be minimal.</v>
      </c>
      <c r="U289" s="40" t="str">
        <f>IFERROR(__xludf.DUMMYFUNCTION("""COMPUTED_VALUE"""),"Requires calculation of cure rate")</f>
        <v>Requires calculation of cure rate</v>
      </c>
      <c r="V289" s="40" t="str">
        <f>IFERROR(__xludf.DUMMYFUNCTION("""COMPUTED_VALUE"""),"1996-1998")</f>
        <v>1996-1998</v>
      </c>
      <c r="W289" s="40">
        <f>IFERROR(__xludf.DUMMYFUNCTION("""COMPUTED_VALUE"""),1998.0)</f>
        <v>1998</v>
      </c>
      <c r="X289" s="40" t="str">
        <f>IFERROR(__xludf.DUMMYFUNCTION("""COMPUTED_VALUE"""),"Dunyo SK, Nkrumah FK, Simonsen PE. Single-dose treatment of Wuchereria bancrofti infections with ivermectin and albendazole alone or in combination: evaluation of the potential for control at 12 months after treatment. Transactions of the Royal Society of"&amp;" Tropical Medicine and Hygiene. Oxford University Press (OUP); 2000 Jul;94(4):437–43.")</f>
        <v>Dunyo SK, Nkrumah FK, Simonsen PE. Single-dose treatment of Wuchereria bancrofti infections with ivermectin and albendazole alone or in combination: evaluation of the potential for control at 12 months after treatment. Transactions of the Royal Society of Tropical Medicine and Hygiene. Oxford University Press (OUP); 2000 Jul;94(4):437–43.</v>
      </c>
      <c r="Y289" s="40" t="str">
        <f>IFERROR(__xludf.DUMMYFUNCTION("""COMPUTED_VALUE"""),"10.1016/S0035-9203(00)90135-4")</f>
        <v>10.1016/S0035-9203(00)90135-4</v>
      </c>
      <c r="Z289" s="727" t="str">
        <f>IFERROR(__xludf.DUMMYFUNCTION("""COMPUTED_VALUE"""),"https://drive.google.com/file/d/0B0-pry4DSOm3Sk5VNWxOdzJiQkk/view?usp=sharing")</f>
        <v>https://drive.google.com/file/d/0B0-pry4DSOm3Sk5VNWxOdzJiQkk/view?usp=sharing</v>
      </c>
      <c r="AA289" s="40"/>
      <c r="AB289" s="40"/>
    </row>
    <row r="290">
      <c r="A290" s="805" t="str">
        <f>IFERROR(__xludf.DUMMYFUNCTION("""COMPUTED_VALUE"""),"Dunyo, 2000(2)")</f>
        <v>Dunyo, 2000(2)</v>
      </c>
      <c r="B290" s="40" t="str">
        <f>IFERROR(__xludf.DUMMYFUNCTION("""COMPUTED_VALUE"""),"Chungsoo")</f>
        <v>Chungsoo</v>
      </c>
      <c r="C290" s="40" t="str">
        <f>IFERROR(__xludf.DUMMYFUNCTION("""COMPUTED_VALUE"""),"Mahvish")</f>
        <v>Mahvish</v>
      </c>
      <c r="D290" s="40" t="str">
        <f>IFERROR(__xludf.DUMMYFUNCTION("""COMPUTED_VALUE"""),"Ghana")</f>
        <v>Ghana</v>
      </c>
      <c r="E290" s="40" t="str">
        <f>IFERROR(__xludf.DUMMYFUNCTION("""COMPUTED_VALUE"""),"W. bancrofti")</f>
        <v>W. bancrofti</v>
      </c>
      <c r="F290" s="40" t="str">
        <f>IFERROR(__xludf.DUMMYFUNCTION("""COMPUTED_VALUE"""),"Placebo")</f>
        <v>Placebo</v>
      </c>
      <c r="G290" s="40" t="str">
        <f>IFERROR(__xludf.DUMMYFUNCTION("""COMPUTED_VALUE"""),"Villagers in the group-C villages received the equivalent numbers of placebo (vitamin-C) tablets. ")</f>
        <v>Villagers in the group-C villages received the equivalent numbers of placebo (vitamin-C) tablets. </v>
      </c>
      <c r="H290" s="40" t="str">
        <f>IFERROR(__xludf.DUMMYFUNCTION("""COMPUTED_VALUE"""),"In each treatment round, treatment in each village extended over 3 days")</f>
        <v>In each treatment round, treatment in each village extended over 3 days</v>
      </c>
      <c r="I290" s="40"/>
      <c r="J290" s="216"/>
      <c r="K290" s="40"/>
      <c r="L290" s="40">
        <f>IFERROR(__xludf.DUMMYFUNCTION("""COMPUTED_VALUE"""),350.0)</f>
        <v>350</v>
      </c>
      <c r="M290" s="40" t="str">
        <f>IFERROR(__xludf.DUMMYFUNCTION("""COMPUTED_VALUE"""),"6-98, Mean = 26.3")</f>
        <v>6-98, Mean = 26.3</v>
      </c>
      <c r="N290" s="812" t="str">
        <f>IFERROR(__xludf.DUMMYFUNCTION("""COMPUTED_VALUE"""),"191:159")</f>
        <v>191:159</v>
      </c>
      <c r="O290" s="40" t="str">
        <f>IFERROR(__xludf.DUMMYFUNCTION("""COMPUTED_VALUE"""),"Participants were randomized except for the pregnant women and children aged less than 6 years")</f>
        <v>Participants were randomized except for the pregnant women and children aged less than 6 years</v>
      </c>
      <c r="P290" s="40" t="str">
        <f>IFERROR(__xludf.DUMMYFUNCTION("""COMPUTED_VALUE"""),"double-blind placebo-controlled")</f>
        <v>double-blind placebo-controlled</v>
      </c>
      <c r="Q290" s="40"/>
      <c r="R290" s="40"/>
      <c r="S290" s="40" t="str">
        <f>IFERROR(__xludf.DUMMYFUNCTION("""COMPUTED_VALUE"""),"12 months")</f>
        <v>12 months</v>
      </c>
      <c r="T290" s="40" t="str">
        <f>IFERROR(__xludf.DUMMYFUNCTION("""COMPUTED_VALUE"""),"Both ivermectin and combination treatment thus appeared effective for control of W. bancrofn’infections, but the difference in efficacy between the 2 treatments after 12 months appeared to be minimal.")</f>
        <v>Both ivermectin and combination treatment thus appeared effective for control of W. bancrofn’infections, but the difference in efficacy between the 2 treatments after 12 months appeared to be minimal.</v>
      </c>
      <c r="U290" s="40" t="str">
        <f>IFERROR(__xludf.DUMMYFUNCTION("""COMPUTED_VALUE"""),"Requires calculation of cure rate")</f>
        <v>Requires calculation of cure rate</v>
      </c>
      <c r="V290" s="40" t="str">
        <f>IFERROR(__xludf.DUMMYFUNCTION("""COMPUTED_VALUE"""),"1996-1998")</f>
        <v>1996-1998</v>
      </c>
      <c r="W290" s="40">
        <f>IFERROR(__xludf.DUMMYFUNCTION("""COMPUTED_VALUE"""),1998.0)</f>
        <v>1998</v>
      </c>
      <c r="X290" s="40" t="str">
        <f>IFERROR(__xludf.DUMMYFUNCTION("""COMPUTED_VALUE"""),"Dunyo SK, Nkrumah FK, Simonsen PE. Single-dose treatment of Wuchereria bancrofti infections with ivermectin and albendazole alone or in combination: evaluation of the potential for control at 12 months after treatment. Transactions of the Royal Society of"&amp;" Tropical Medicine and Hygiene. Oxford University Press (OUP); 2000 Jul;94(4):437–43.")</f>
        <v>Dunyo SK, Nkrumah FK, Simonsen PE. Single-dose treatment of Wuchereria bancrofti infections with ivermectin and albendazole alone or in combination: evaluation of the potential for control at 12 months after treatment. Transactions of the Royal Society of Tropical Medicine and Hygiene. Oxford University Press (OUP); 2000 Jul;94(4):437–43.</v>
      </c>
      <c r="Y290" s="40" t="str">
        <f>IFERROR(__xludf.DUMMYFUNCTION("""COMPUTED_VALUE"""),"10.1016/S0035-9203(00)90135-4")</f>
        <v>10.1016/S0035-9203(00)90135-4</v>
      </c>
      <c r="Z290" s="727" t="str">
        <f>IFERROR(__xludf.DUMMYFUNCTION("""COMPUTED_VALUE"""),"https://drive.google.com/file/d/0B0-pry4DSOm3Sk5VNWxOdzJiQkk/view?usp=sharing")</f>
        <v>https://drive.google.com/file/d/0B0-pry4DSOm3Sk5VNWxOdzJiQkk/view?usp=sharing</v>
      </c>
      <c r="AA290" s="40"/>
      <c r="AB290" s="40"/>
    </row>
    <row r="291">
      <c r="A291" s="805" t="str">
        <f>IFERROR(__xludf.DUMMYFUNCTION("""COMPUTED_VALUE"""),"Hakim, 1995")</f>
        <v>Hakim, 1995</v>
      </c>
      <c r="B291" s="40" t="str">
        <f>IFERROR(__xludf.DUMMYFUNCTION("""COMPUTED_VALUE"""),"Chungsoo")</f>
        <v>Chungsoo</v>
      </c>
      <c r="C291" s="40" t="str">
        <f>IFERROR(__xludf.DUMMYFUNCTION("""COMPUTED_VALUE"""),"Mahvish")</f>
        <v>Mahvish</v>
      </c>
      <c r="D291" s="40" t="str">
        <f>IFERROR(__xludf.DUMMYFUNCTION("""COMPUTED_VALUE"""),"Malaysia")</f>
        <v>Malaysia</v>
      </c>
      <c r="E291" s="40" t="str">
        <f>IFERROR(__xludf.DUMMYFUNCTION("""COMPUTED_VALUE"""),"W. bancrofti")</f>
        <v>W. bancrofti</v>
      </c>
      <c r="F291" s="40" t="str">
        <f>IFERROR(__xludf.DUMMYFUNCTION("""COMPUTED_VALUE"""),"DEC")</f>
        <v>DEC</v>
      </c>
      <c r="G291" s="40" t="str">
        <f>IFERROR(__xludf.DUMMYFUNCTION("""COMPUTED_VALUE"""),"a single dose of DEC(6mg/kg) ")</f>
        <v>a single dose of DEC(6mg/kg) </v>
      </c>
      <c r="H291" s="40" t="str">
        <f>IFERROR(__xludf.DUMMYFUNCTION("""COMPUTED_VALUE"""),"single dose, 1 day")</f>
        <v>single dose, 1 day</v>
      </c>
      <c r="I291" s="741">
        <f>IFERROR(__xludf.DUMMYFUNCTION("""COMPUTED_VALUE"""),0.591)</f>
        <v>0.591</v>
      </c>
      <c r="J291" s="216">
        <f>IFERROR(__xludf.DUMMYFUNCTION("""COMPUTED_VALUE"""),0.641)</f>
        <v>0.641</v>
      </c>
      <c r="K291" s="40"/>
      <c r="L291" s="40" t="str">
        <f>IFERROR(__xludf.DUMMYFUNCTION("""COMPUTED_VALUE"""),"245 given single dose")</f>
        <v>245 given single dose</v>
      </c>
      <c r="M291" s="40" t="str">
        <f>IFERROR(__xludf.DUMMYFUNCTION("""COMPUTED_VALUE"""),"n/a, over 6 months of age")</f>
        <v>n/a, over 6 months of age</v>
      </c>
      <c r="N291" s="40" t="str">
        <f>IFERROR(__xludf.DUMMYFUNCTION("""COMPUTED_VALUE"""),"n/a")</f>
        <v>n/a</v>
      </c>
      <c r="O291" s="40" t="str">
        <f>IFERROR(__xludf.DUMMYFUNCTION("""COMPUTED_VALUE"""),"Three villages with a total population of 245 were given single does based on their filariasis prevalence, proximity to each other, and accessibility for effective parasitological surveys and institution of mass chemotherapy. (excluded: pregnant women, in"&amp;"fants, aged less than 6 months, and those with other severe illnesses)")</f>
        <v>Three villages with a total population of 245 were given single does based on their filariasis prevalence, proximity to each other, and accessibility for effective parasitological surveys and institution of mass chemotherapy. (excluded: pregnant women, infants, aged less than 6 months, and those with other severe illnesses)</v>
      </c>
      <c r="P291" s="40"/>
      <c r="Q291" s="40"/>
      <c r="R291" s="40"/>
      <c r="S291" s="40" t="str">
        <f>IFERROR(__xludf.DUMMYFUNCTION("""COMPUTED_VALUE"""),"19 months")</f>
        <v>19 months</v>
      </c>
      <c r="T291" s="40" t="str">
        <f>IFERROR(__xludf.DUMMYFUNCTION("""COMPUTED_VALUE"""),"Thus, a single dose of DEC is as effective as the standard dose in controlling periodic brugian filariasis.")</f>
        <v>Thus, a single dose of DEC is as effective as the standard dose in controlling periodic brugian filariasis.</v>
      </c>
      <c r="U291" s="40"/>
      <c r="V291" s="40">
        <f>IFERROR(__xludf.DUMMYFUNCTION("""COMPUTED_VALUE"""),1995.0)</f>
        <v>1995</v>
      </c>
      <c r="W291" s="40">
        <f>IFERROR(__xludf.DUMMYFUNCTION("""COMPUTED_VALUE"""),1995.0)</f>
        <v>1995</v>
      </c>
      <c r="X291" s="40" t="str">
        <f>IFERROR(__xludf.DUMMYFUNCTION("""COMPUTED_VALUE"""),"Hakim SL, Vythilingam I, Marzukhi MI, Mak JW. Single-dose diethylcarbamazine in the control of periodic brugian filariasis in Peninsular Malaysia. Transactions of the Royal Society of Tropical Medicine and Hygiene. Oxford University Press (OUP); 1995 Nov;"&amp;"89(6):686–9.")</f>
        <v>Hakim SL, Vythilingam I, Marzukhi MI, Mak JW. Single-dose diethylcarbamazine in the control of periodic brugian filariasis in Peninsular Malaysia. Transactions of the Royal Society of Tropical Medicine and Hygiene. Oxford University Press (OUP); 1995 Nov;89(6):686–9.</v>
      </c>
      <c r="Y291" s="40" t="str">
        <f>IFERROR(__xludf.DUMMYFUNCTION("""COMPUTED_VALUE"""),"10.1016/0035-9203(95)90445-X")</f>
        <v>10.1016/0035-9203(95)90445-X</v>
      </c>
      <c r="Z291" s="727" t="str">
        <f>IFERROR(__xludf.DUMMYFUNCTION("""COMPUTED_VALUE"""),"https://drive.google.com/file/d/0By3QPyQz621GX0FpYlRPREVhVjQ/view?usp=sharing")</f>
        <v>https://drive.google.com/file/d/0By3QPyQz621GX0FpYlRPREVhVjQ/view?usp=sharing</v>
      </c>
      <c r="AA291" s="40" t="str">
        <f>IFERROR(__xludf.DUMMYFUNCTION("""COMPUTED_VALUE"""),"x")</f>
        <v>x</v>
      </c>
      <c r="AB291" s="40"/>
    </row>
    <row r="292">
      <c r="A292" s="805" t="str">
        <f>IFERROR(__xludf.DUMMYFUNCTION("""COMPUTED_VALUE"""),"Hakim, 1995")</f>
        <v>Hakim, 1995</v>
      </c>
      <c r="B292" s="40" t="str">
        <f>IFERROR(__xludf.DUMMYFUNCTION("""COMPUTED_VALUE"""),"Chungsoo")</f>
        <v>Chungsoo</v>
      </c>
      <c r="C292" s="40" t="str">
        <f>IFERROR(__xludf.DUMMYFUNCTION("""COMPUTED_VALUE"""),"Mahvish")</f>
        <v>Mahvish</v>
      </c>
      <c r="D292" s="40" t="str">
        <f>IFERROR(__xludf.DUMMYFUNCTION("""COMPUTED_VALUE"""),"Malaysia")</f>
        <v>Malaysia</v>
      </c>
      <c r="E292" s="40" t="str">
        <f>IFERROR(__xludf.DUMMYFUNCTION("""COMPUTED_VALUE"""),"W. bancrofti")</f>
        <v>W. bancrofti</v>
      </c>
      <c r="F292" s="40" t="str">
        <f>IFERROR(__xludf.DUMMYFUNCTION("""COMPUTED_VALUE"""),"DEC")</f>
        <v>DEC</v>
      </c>
      <c r="G292" s="40" t="str">
        <f>IFERROR(__xludf.DUMMYFUNCTION("""COMPUTED_VALUE"""),"the standard regimen of 6 doses (total 36mg/kg)")</f>
        <v>the standard regimen of 6 doses (total 36mg/kg)</v>
      </c>
      <c r="H292" s="40" t="str">
        <f>IFERROR(__xludf.DUMMYFUNCTION("""COMPUTED_VALUE"""),"6 doses")</f>
        <v>6 doses</v>
      </c>
      <c r="I292" s="741">
        <f>IFERROR(__xludf.DUMMYFUNCTION("""COMPUTED_VALUE"""),0.421)</f>
        <v>0.421</v>
      </c>
      <c r="J292" s="216">
        <f>IFERROR(__xludf.DUMMYFUNCTION("""COMPUTED_VALUE"""),0.355)</f>
        <v>0.355</v>
      </c>
      <c r="K292" s="40"/>
      <c r="L292" s="40" t="str">
        <f>IFERROR(__xludf.DUMMYFUNCTION("""COMPUTED_VALUE"""),"254 given standard dose")</f>
        <v>254 given standard dose</v>
      </c>
      <c r="M292" s="40" t="str">
        <f>IFERROR(__xludf.DUMMYFUNCTION("""COMPUTED_VALUE"""),"n/a, over 6 months of age")</f>
        <v>n/a, over 6 months of age</v>
      </c>
      <c r="N292" s="40" t="str">
        <f>IFERROR(__xludf.DUMMYFUNCTION("""COMPUTED_VALUE"""),"n/a")</f>
        <v>n/a</v>
      </c>
      <c r="O292" s="40" t="str">
        <f>IFERROR(__xludf.DUMMYFUNCTION("""COMPUTED_VALUE"""),"Four villages with a total population of 254 were selected for the studv. based on their filariasis prevalence, proximity to each other, and accessibility for effective parasitological surveys and institution of mass chemotherapy. (excluded: pregnant wome"&amp;"n, infants, aged less than 6 months, and those with other severe illnesses)")</f>
        <v>Four villages with a total population of 254 were selected for the studv. based on their filariasis prevalence, proximity to each other, and accessibility for effective parasitological surveys and institution of mass chemotherapy. (excluded: pregnant women, infants, aged less than 6 months, and those with other severe illnesses)</v>
      </c>
      <c r="P292" s="40"/>
      <c r="Q292" s="40"/>
      <c r="R292" s="40"/>
      <c r="S292" s="40" t="str">
        <f>IFERROR(__xludf.DUMMYFUNCTION("""COMPUTED_VALUE"""),"19 months")</f>
        <v>19 months</v>
      </c>
      <c r="T292" s="40" t="str">
        <f>IFERROR(__xludf.DUMMYFUNCTION("""COMPUTED_VALUE"""),"Thus, a single dose of DEC is as effective as the standard dose in controlling periodic brugian filariasis.")</f>
        <v>Thus, a single dose of DEC is as effective as the standard dose in controlling periodic brugian filariasis.</v>
      </c>
      <c r="U292" s="40"/>
      <c r="V292" s="40">
        <f>IFERROR(__xludf.DUMMYFUNCTION("""COMPUTED_VALUE"""),1995.0)</f>
        <v>1995</v>
      </c>
      <c r="W292" s="40">
        <f>IFERROR(__xludf.DUMMYFUNCTION("""COMPUTED_VALUE"""),1995.0)</f>
        <v>1995</v>
      </c>
      <c r="X292" s="40" t="str">
        <f>IFERROR(__xludf.DUMMYFUNCTION("""COMPUTED_VALUE"""),"Hakim SL, Vythilingam I, Marzukhi MI, Mak JW. Single-dose diethylcarbamazine in the control of periodic brugian filariasis in Peninsular Malaysia. Transactions of the Royal Society of Tropical Medicine and Hygiene. Oxford University Press (OUP); 1995 Nov;"&amp;"89(6):686–9.")</f>
        <v>Hakim SL, Vythilingam I, Marzukhi MI, Mak JW. Single-dose diethylcarbamazine in the control of periodic brugian filariasis in Peninsular Malaysia. Transactions of the Royal Society of Tropical Medicine and Hygiene. Oxford University Press (OUP); 1995 Nov;89(6):686–9.</v>
      </c>
      <c r="Y292" s="40" t="str">
        <f>IFERROR(__xludf.DUMMYFUNCTION("""COMPUTED_VALUE"""),"10.1016/0035-9203(95)90445-X")</f>
        <v>10.1016/0035-9203(95)90445-X</v>
      </c>
      <c r="Z292" s="727" t="str">
        <f>IFERROR(__xludf.DUMMYFUNCTION("""COMPUTED_VALUE"""),"https://drive.google.com/file/d/0By3QPyQz621GX0FpYlRPREVhVjQ/view?usp=sharing")</f>
        <v>https://drive.google.com/file/d/0By3QPyQz621GX0FpYlRPREVhVjQ/view?usp=sharing</v>
      </c>
      <c r="AA292" s="40" t="str">
        <f>IFERROR(__xludf.DUMMYFUNCTION("""COMPUTED_VALUE"""),"x")</f>
        <v>x</v>
      </c>
      <c r="AB292" s="40"/>
    </row>
    <row r="293">
      <c r="A293" s="805" t="str">
        <f>IFERROR(__xludf.DUMMYFUNCTION("""COMPUTED_VALUE"""),"Moulia-Pelat 1995")</f>
        <v>Moulia-Pelat 1995</v>
      </c>
      <c r="B293" s="40" t="str">
        <f>IFERROR(__xludf.DUMMYFUNCTION("""COMPUTED_VALUE"""),"Kirti")</f>
        <v>Kirti</v>
      </c>
      <c r="C293" s="40" t="str">
        <f>IFERROR(__xludf.DUMMYFUNCTION("""COMPUTED_VALUE"""),"Chungsoo")</f>
        <v>Chungsoo</v>
      </c>
      <c r="D293" s="40" t="str">
        <f>IFERROR(__xludf.DUMMYFUNCTION("""COMPUTED_VALUE"""),"French Polynesia")</f>
        <v>French Polynesia</v>
      </c>
      <c r="E293" s="40" t="str">
        <f>IFERROR(__xludf.DUMMYFUNCTION("""COMPUTED_VALUE"""),"W. bancrofti")</f>
        <v>W. bancrofti</v>
      </c>
      <c r="F293" s="40" t="str">
        <f>IFERROR(__xludf.DUMMYFUNCTION("""COMPUTED_VALUE"""),"DEC &amp; Ivermectin")</f>
        <v>DEC &amp; Ivermectin</v>
      </c>
      <c r="G293" s="40" t="str">
        <f>IFERROR(__xludf.DUMMYFUNCTION("""COMPUTED_VALUE"""),"400 µg/kg + 6 mg/kg")</f>
        <v>400 µg/kg + 6 mg/kg</v>
      </c>
      <c r="H293" s="40"/>
      <c r="I293" s="741">
        <f>IFERROR(__xludf.DUMMYFUNCTION("""COMPUTED_VALUE"""),0.96)</f>
        <v>0.96</v>
      </c>
      <c r="J293" s="216">
        <f>IFERROR(__xludf.DUMMYFUNCTION("""COMPUTED_VALUE"""),0.32)</f>
        <v>0.32</v>
      </c>
      <c r="K293" s="40"/>
      <c r="L293" s="40">
        <f>IFERROR(__xludf.DUMMYFUNCTION("""COMPUTED_VALUE"""),510.0)</f>
        <v>510</v>
      </c>
      <c r="M293" s="214" t="str">
        <f>IFERROR(__xludf.DUMMYFUNCTION("""COMPUTED_VALUE"""),"&gt;3")</f>
        <v>&gt;3</v>
      </c>
      <c r="N293" s="40"/>
      <c r="O293" s="40" t="str">
        <f>IFERROR(__xludf.DUMMYFUNCTION("""COMPUTED_VALUE"""),"All inhabitants of the island were included in the treatment except for the pregnant women.")</f>
        <v>All inhabitants of the island were included in the treatment except for the pregnant women.</v>
      </c>
      <c r="P293" s="40"/>
      <c r="Q293" s="40"/>
      <c r="R293" s="40"/>
      <c r="S293" s="40" t="str">
        <f>IFERROR(__xludf.DUMMYFUNCTION("""COMPUTED_VALUE"""),"1 year")</f>
        <v>1 year</v>
      </c>
      <c r="T293" s="40" t="str">
        <f>IFERROR(__xludf.DUMMYFUNCTION("""COMPUTED_VALUE"""),"The combination IVR+DEC is a powerful tool for the control of lymphatic filariasis.")</f>
        <v>The combination IVR+DEC is a powerful tool for the control of lymphatic filariasis.</v>
      </c>
      <c r="U293" s="40" t="str">
        <f>IFERROR(__xludf.DUMMYFUNCTION("""COMPUTED_VALUE"""),"The island was divided into 4 different zones and each sone was treated with different drug. ")</f>
        <v>The island was divided into 4 different zones and each sone was treated with different drug. </v>
      </c>
      <c r="V293" s="40" t="str">
        <f>IFERROR(__xludf.DUMMYFUNCTION("""COMPUTED_VALUE"""),"1994-1995")</f>
        <v>1994-1995</v>
      </c>
      <c r="W293" s="40">
        <f>IFERROR(__xludf.DUMMYFUNCTION("""COMPUTED_VALUE"""),1995.0)</f>
        <v>1995</v>
      </c>
      <c r="X293" s="40" t="str">
        <f>IFERROR(__xludf.DUMMYFUNCTION("""COMPUTED_VALUE"""),"Moulia-Pelat JP, Nguyen LN, Hascoet H, Luquiaud P, and Nicolas L. Advantages of an annual single dose of ivermectin 400 vg/kg plus diethylcarbamazine for community treatment of bancroftian filariasis. Transactions of the Royal Society of Tropical Medicine"&amp;" and Hygiene 1995; 89 (6): 682-685.")</f>
        <v>Moulia-Pelat JP, Nguyen LN, Hascoet H, Luquiaud P, and Nicolas L. Advantages of an annual single dose of ivermectin 400 vg/kg plus diethylcarbamazine for community treatment of bancroftian filariasis. Transactions of the Royal Society of Tropical Medicine and Hygiene 1995; 89 (6): 682-685.</v>
      </c>
      <c r="Y293" s="40" t="str">
        <f>IFERROR(__xludf.DUMMYFUNCTION("""COMPUTED_VALUE"""),"doi: 10.1016/0035-9203(95)90443-3")</f>
        <v>doi: 10.1016/0035-9203(95)90443-3</v>
      </c>
      <c r="Z293" s="727" t="str">
        <f>IFERROR(__xludf.DUMMYFUNCTION("""COMPUTED_VALUE"""),"https://drive.google.com/file/d/0B0-pry4DSOm3NjJ3bmxCZ0E5cVE/view?usp=sharing")</f>
        <v>https://drive.google.com/file/d/0B0-pry4DSOm3NjJ3bmxCZ0E5cVE/view?usp=sharing</v>
      </c>
      <c r="AA293" s="40" t="str">
        <f>IFERROR(__xludf.DUMMYFUNCTION("""COMPUTED_VALUE"""),"x")</f>
        <v>x</v>
      </c>
      <c r="AB293" s="40"/>
    </row>
    <row r="294">
      <c r="A294" s="805" t="str">
        <f>IFERROR(__xludf.DUMMYFUNCTION("""COMPUTED_VALUE"""),"Moulia-Pelat 1995")</f>
        <v>Moulia-Pelat 1995</v>
      </c>
      <c r="B294" s="40" t="str">
        <f>IFERROR(__xludf.DUMMYFUNCTION("""COMPUTED_VALUE"""),"Kirti")</f>
        <v>Kirti</v>
      </c>
      <c r="C294" s="40" t="str">
        <f>IFERROR(__xludf.DUMMYFUNCTION("""COMPUTED_VALUE"""),"Chungsoo")</f>
        <v>Chungsoo</v>
      </c>
      <c r="D294" s="40" t="str">
        <f>IFERROR(__xludf.DUMMYFUNCTION("""COMPUTED_VALUE"""),"French Polynesia")</f>
        <v>French Polynesia</v>
      </c>
      <c r="E294" s="40" t="str">
        <f>IFERROR(__xludf.DUMMYFUNCTION("""COMPUTED_VALUE"""),"W. bancrofti")</f>
        <v>W. bancrofti</v>
      </c>
      <c r="F294" s="40" t="str">
        <f>IFERROR(__xludf.DUMMYFUNCTION("""COMPUTED_VALUE"""),"Ivermectin")</f>
        <v>Ivermectin</v>
      </c>
      <c r="G294" s="40" t="str">
        <f>IFERROR(__xludf.DUMMYFUNCTION("""COMPUTED_VALUE"""),"400 µg/kg")</f>
        <v>400 µg/kg</v>
      </c>
      <c r="H294" s="40"/>
      <c r="I294" s="741">
        <f>IFERROR(__xludf.DUMMYFUNCTION("""COMPUTED_VALUE"""),0.8)</f>
        <v>0.8</v>
      </c>
      <c r="J294" s="216">
        <f>IFERROR(__xludf.DUMMYFUNCTION("""COMPUTED_VALUE"""),0.11)</f>
        <v>0.11</v>
      </c>
      <c r="K294" s="40"/>
      <c r="L294" s="40">
        <f>IFERROR(__xludf.DUMMYFUNCTION("""COMPUTED_VALUE"""),412.0)</f>
        <v>412</v>
      </c>
      <c r="M294" s="214" t="str">
        <f>IFERROR(__xludf.DUMMYFUNCTION("""COMPUTED_VALUE"""),"&gt;3")</f>
        <v>&gt;3</v>
      </c>
      <c r="N294" s="40"/>
      <c r="O294" s="40" t="str">
        <f>IFERROR(__xludf.DUMMYFUNCTION("""COMPUTED_VALUE"""),"All inhabitants of the island were included in the treatment except for the pregnant women.")</f>
        <v>All inhabitants of the island were included in the treatment except for the pregnant women.</v>
      </c>
      <c r="P294" s="40"/>
      <c r="Q294" s="40"/>
      <c r="R294" s="40"/>
      <c r="S294" s="40" t="str">
        <f>IFERROR(__xludf.DUMMYFUNCTION("""COMPUTED_VALUE"""),"1 year")</f>
        <v>1 year</v>
      </c>
      <c r="T294" s="40" t="str">
        <f>IFERROR(__xludf.DUMMYFUNCTION("""COMPUTED_VALUE"""),"The combination IVR+DEC is a powerful tool for the control of lymphatic filariasis.")</f>
        <v>The combination IVR+DEC is a powerful tool for the control of lymphatic filariasis.</v>
      </c>
      <c r="U294" s="40" t="str">
        <f>IFERROR(__xludf.DUMMYFUNCTION("""COMPUTED_VALUE"""),"The island was divided into 4 different zones and each sone was treated with different drug. ")</f>
        <v>The island was divided into 4 different zones and each sone was treated with different drug. </v>
      </c>
      <c r="V294" s="40" t="str">
        <f>IFERROR(__xludf.DUMMYFUNCTION("""COMPUTED_VALUE"""),"1994-1995")</f>
        <v>1994-1995</v>
      </c>
      <c r="W294" s="40">
        <f>IFERROR(__xludf.DUMMYFUNCTION("""COMPUTED_VALUE"""),1995.0)</f>
        <v>1995</v>
      </c>
      <c r="X294" s="40" t="str">
        <f>IFERROR(__xludf.DUMMYFUNCTION("""COMPUTED_VALUE"""),"Moulia-Pelat JP, Nguyen LN, Hascoet H, Luquiaud P, and Nicolas L. Advantages of an annual single dose of ivermectin 400 vg/kg plus diethylcarbamazine for community treatment of bancroftian filariasis. Transactions of the Royal Society of Tropical Medicine"&amp;" and Hygiene 1995; 89 (6): 682-685.")</f>
        <v>Moulia-Pelat JP, Nguyen LN, Hascoet H, Luquiaud P, and Nicolas L. Advantages of an annual single dose of ivermectin 400 vg/kg plus diethylcarbamazine for community treatment of bancroftian filariasis. Transactions of the Royal Society of Tropical Medicine and Hygiene 1995; 89 (6): 682-685.</v>
      </c>
      <c r="Y294" s="40" t="str">
        <f>IFERROR(__xludf.DUMMYFUNCTION("""COMPUTED_VALUE"""),"doi: 10.1016/0035-9203(95)90443-3")</f>
        <v>doi: 10.1016/0035-9203(95)90443-3</v>
      </c>
      <c r="Z294" s="727" t="str">
        <f>IFERROR(__xludf.DUMMYFUNCTION("""COMPUTED_VALUE"""),"https://drive.google.com/file/d/0B0-pry4DSOm3NjJ3bmxCZ0E5cVE/view?usp=sharing")</f>
        <v>https://drive.google.com/file/d/0B0-pry4DSOm3NjJ3bmxCZ0E5cVE/view?usp=sharing</v>
      </c>
      <c r="AA294" s="40" t="str">
        <f>IFERROR(__xludf.DUMMYFUNCTION("""COMPUTED_VALUE"""),"x")</f>
        <v>x</v>
      </c>
      <c r="AB294" s="40"/>
    </row>
    <row r="295">
      <c r="A295" s="805" t="str">
        <f>IFERROR(__xludf.DUMMYFUNCTION("""COMPUTED_VALUE"""),"Moulia-Pelat 1995")</f>
        <v>Moulia-Pelat 1995</v>
      </c>
      <c r="B295" s="40" t="str">
        <f>IFERROR(__xludf.DUMMYFUNCTION("""COMPUTED_VALUE"""),"Kirti")</f>
        <v>Kirti</v>
      </c>
      <c r="C295" s="40" t="str">
        <f>IFERROR(__xludf.DUMMYFUNCTION("""COMPUTED_VALUE"""),"Chungsoo")</f>
        <v>Chungsoo</v>
      </c>
      <c r="D295" s="40" t="str">
        <f>IFERROR(__xludf.DUMMYFUNCTION("""COMPUTED_VALUE"""),"Polynesian Island")</f>
        <v>Polynesian Island</v>
      </c>
      <c r="E295" s="40" t="str">
        <f>IFERROR(__xludf.DUMMYFUNCTION("""COMPUTED_VALUE"""),"W. bancrofti")</f>
        <v>W. bancrofti</v>
      </c>
      <c r="F295" s="40" t="str">
        <f>IFERROR(__xludf.DUMMYFUNCTION("""COMPUTED_VALUE"""),"DEC")</f>
        <v>DEC</v>
      </c>
      <c r="G295" s="40" t="str">
        <f>IFERROR(__xludf.DUMMYFUNCTION("""COMPUTED_VALUE"""),"6 mg/kg")</f>
        <v>6 mg/kg</v>
      </c>
      <c r="H295" s="40"/>
      <c r="I295" s="741">
        <f>IFERROR(__xludf.DUMMYFUNCTION("""COMPUTED_VALUE"""),0.82)</f>
        <v>0.82</v>
      </c>
      <c r="J295" s="216">
        <f>IFERROR(__xludf.DUMMYFUNCTION("""COMPUTED_VALUE"""),0.14)</f>
        <v>0.14</v>
      </c>
      <c r="K295" s="40"/>
      <c r="L295" s="40">
        <f>IFERROR(__xludf.DUMMYFUNCTION("""COMPUTED_VALUE"""),352.0)</f>
        <v>352</v>
      </c>
      <c r="M295" s="214" t="str">
        <f>IFERROR(__xludf.DUMMYFUNCTION("""COMPUTED_VALUE"""),"&gt;3")</f>
        <v>&gt;3</v>
      </c>
      <c r="N295" s="40"/>
      <c r="O295" s="40" t="str">
        <f>IFERROR(__xludf.DUMMYFUNCTION("""COMPUTED_VALUE"""),"All inhabitants of the island were included in the treatment except for the pregnant women.")</f>
        <v>All inhabitants of the island were included in the treatment except for the pregnant women.</v>
      </c>
      <c r="P295" s="40"/>
      <c r="Q295" s="40"/>
      <c r="R295" s="40"/>
      <c r="S295" s="40" t="str">
        <f>IFERROR(__xludf.DUMMYFUNCTION("""COMPUTED_VALUE"""),"1 year")</f>
        <v>1 year</v>
      </c>
      <c r="T295" s="40" t="str">
        <f>IFERROR(__xludf.DUMMYFUNCTION("""COMPUTED_VALUE"""),"The combination IVR+DEC is a powerful tool for the control of lymphatic filariasis.")</f>
        <v>The combination IVR+DEC is a powerful tool for the control of lymphatic filariasis.</v>
      </c>
      <c r="U295" s="40" t="str">
        <f>IFERROR(__xludf.DUMMYFUNCTION("""COMPUTED_VALUE"""),"The island was divided into 4 different zones and each sone was treated with different drug. ")</f>
        <v>The island was divided into 4 different zones and each sone was treated with different drug. </v>
      </c>
      <c r="V295" s="40" t="str">
        <f>IFERROR(__xludf.DUMMYFUNCTION("""COMPUTED_VALUE"""),"1994-1995")</f>
        <v>1994-1995</v>
      </c>
      <c r="W295" s="40">
        <f>IFERROR(__xludf.DUMMYFUNCTION("""COMPUTED_VALUE"""),1995.0)</f>
        <v>1995</v>
      </c>
      <c r="X295" s="40" t="str">
        <f>IFERROR(__xludf.DUMMYFUNCTION("""COMPUTED_VALUE"""),"Moulia-Pelat JP, Nguyen LN, Hascoet H, Luquiaud P, and Nicolas L. Advantages of an annual single dose of ivermectin 400 vg/kg plus diethylcarbamazine for community treatment of bancroftian filariasis. Transactions of the Royal Society of Tropical Medicine"&amp;" and Hygiene 1995; 89 (6): 682-685.")</f>
        <v>Moulia-Pelat JP, Nguyen LN, Hascoet H, Luquiaud P, and Nicolas L. Advantages of an annual single dose of ivermectin 400 vg/kg plus diethylcarbamazine for community treatment of bancroftian filariasis. Transactions of the Royal Society of Tropical Medicine and Hygiene 1995; 89 (6): 682-685.</v>
      </c>
      <c r="Y295" s="40" t="str">
        <f>IFERROR(__xludf.DUMMYFUNCTION("""COMPUTED_VALUE"""),"doi: 10.1016/0035-9203(95)90443-3")</f>
        <v>doi: 10.1016/0035-9203(95)90443-3</v>
      </c>
      <c r="Z295" s="727" t="str">
        <f>IFERROR(__xludf.DUMMYFUNCTION("""COMPUTED_VALUE"""),"https://drive.google.com/file/d/0B0-pry4DSOm3NjJ3bmxCZ0E5cVE/view?usp=sharing")</f>
        <v>https://drive.google.com/file/d/0B0-pry4DSOm3NjJ3bmxCZ0E5cVE/view?usp=sharing</v>
      </c>
      <c r="AA295" s="40" t="str">
        <f>IFERROR(__xludf.DUMMYFUNCTION("""COMPUTED_VALUE"""),"x")</f>
        <v>x</v>
      </c>
      <c r="AB295" s="40"/>
    </row>
    <row r="296">
      <c r="A296" s="805" t="str">
        <f>IFERROR(__xludf.DUMMYFUNCTION("""COMPUTED_VALUE"""),"Moulia-Pelat 1995")</f>
        <v>Moulia-Pelat 1995</v>
      </c>
      <c r="B296" s="40" t="str">
        <f>IFERROR(__xludf.DUMMYFUNCTION("""COMPUTED_VALUE"""),"Kirti")</f>
        <v>Kirti</v>
      </c>
      <c r="C296" s="40" t="str">
        <f>IFERROR(__xludf.DUMMYFUNCTION("""COMPUTED_VALUE"""),"Chungsoo")</f>
        <v>Chungsoo</v>
      </c>
      <c r="D296" s="40" t="str">
        <f>IFERROR(__xludf.DUMMYFUNCTION("""COMPUTED_VALUE"""),"French Polynesia")</f>
        <v>French Polynesia</v>
      </c>
      <c r="E296" s="40" t="str">
        <f>IFERROR(__xludf.DUMMYFUNCTION("""COMPUTED_VALUE"""),"W. bancrofti")</f>
        <v>W. bancrofti</v>
      </c>
      <c r="F296" s="40" t="str">
        <f>IFERROR(__xludf.DUMMYFUNCTION("""COMPUTED_VALUE"""),"DEC &amp; Ivermectin")</f>
        <v>DEC &amp; Ivermectin</v>
      </c>
      <c r="G296" s="40" t="str">
        <f>IFERROR(__xludf.DUMMYFUNCTION("""COMPUTED_VALUE"""),"400 µg/kg + 3 mg/kg")</f>
        <v>400 µg/kg + 3 mg/kg</v>
      </c>
      <c r="H296" s="40"/>
      <c r="I296" s="741">
        <f>IFERROR(__xludf.DUMMYFUNCTION("""COMPUTED_VALUE"""),0.95)</f>
        <v>0.95</v>
      </c>
      <c r="J296" s="216">
        <f>IFERROR(__xludf.DUMMYFUNCTION("""COMPUTED_VALUE"""),0.32)</f>
        <v>0.32</v>
      </c>
      <c r="K296" s="40"/>
      <c r="L296" s="40">
        <f>IFERROR(__xludf.DUMMYFUNCTION("""COMPUTED_VALUE"""),443.0)</f>
        <v>443</v>
      </c>
      <c r="M296" s="214" t="str">
        <f>IFERROR(__xludf.DUMMYFUNCTION("""COMPUTED_VALUE"""),"&gt;3")</f>
        <v>&gt;3</v>
      </c>
      <c r="N296" s="40"/>
      <c r="O296" s="40" t="str">
        <f>IFERROR(__xludf.DUMMYFUNCTION("""COMPUTED_VALUE"""),"All inhabitants of the island were included in the treatment except for the pregnant women.")</f>
        <v>All inhabitants of the island were included in the treatment except for the pregnant women.</v>
      </c>
      <c r="P296" s="40"/>
      <c r="Q296" s="40"/>
      <c r="R296" s="40"/>
      <c r="S296" s="40" t="str">
        <f>IFERROR(__xludf.DUMMYFUNCTION("""COMPUTED_VALUE"""),"1 year")</f>
        <v>1 year</v>
      </c>
      <c r="T296" s="40" t="str">
        <f>IFERROR(__xludf.DUMMYFUNCTION("""COMPUTED_VALUE"""),"The combination IVR+DEC is a powerful tool for the control of lymphatic filariasis.")</f>
        <v>The combination IVR+DEC is a powerful tool for the control of lymphatic filariasis.</v>
      </c>
      <c r="U296" s="40" t="str">
        <f>IFERROR(__xludf.DUMMYFUNCTION("""COMPUTED_VALUE"""),"The island was divided into 4 different zones and each sone was treated with different drug. ")</f>
        <v>The island was divided into 4 different zones and each sone was treated with different drug. </v>
      </c>
      <c r="V296" s="40" t="str">
        <f>IFERROR(__xludf.DUMMYFUNCTION("""COMPUTED_VALUE"""),"1994-1995")</f>
        <v>1994-1995</v>
      </c>
      <c r="W296" s="40">
        <f>IFERROR(__xludf.DUMMYFUNCTION("""COMPUTED_VALUE"""),1995.0)</f>
        <v>1995</v>
      </c>
      <c r="X296" s="40" t="str">
        <f>IFERROR(__xludf.DUMMYFUNCTION("""COMPUTED_VALUE"""),"Moulia-Pelat JP, Nguyen LN, Hascoet H, Luquiaud P, and Nicolas L. Advantages of an annual single dose of ivermectin 400 vg/kg plus diethylcarbamazine for community treatment of bancroftian filariasis. Transactions of the Royal Society of Tropical Medicine"&amp;" and Hygiene 1995; 89 (6): 682-685.")</f>
        <v>Moulia-Pelat JP, Nguyen LN, Hascoet H, Luquiaud P, and Nicolas L. Advantages of an annual single dose of ivermectin 400 vg/kg plus diethylcarbamazine for community treatment of bancroftian filariasis. Transactions of the Royal Society of Tropical Medicine and Hygiene 1995; 89 (6): 682-685.</v>
      </c>
      <c r="Y296" s="40" t="str">
        <f>IFERROR(__xludf.DUMMYFUNCTION("""COMPUTED_VALUE"""),"doi: 10.1016/0035-9203(95)90443-3")</f>
        <v>doi: 10.1016/0035-9203(95)90443-3</v>
      </c>
      <c r="Z296" s="727" t="str">
        <f>IFERROR(__xludf.DUMMYFUNCTION("""COMPUTED_VALUE"""),"https://drive.google.com/file/d/0B0-pry4DSOm3NjJ3bmxCZ0E5cVE/view?usp=sharing")</f>
        <v>https://drive.google.com/file/d/0B0-pry4DSOm3NjJ3bmxCZ0E5cVE/view?usp=sharing</v>
      </c>
      <c r="AA296" s="40" t="str">
        <f>IFERROR(__xludf.DUMMYFUNCTION("""COMPUTED_VALUE"""),"x")</f>
        <v>x</v>
      </c>
      <c r="AB296" s="40"/>
    </row>
    <row r="297">
      <c r="A297" s="805" t="str">
        <f>IFERROR(__xludf.DUMMYFUNCTION("""COMPUTED_VALUE"""),"Njenga SM, 2011")</f>
        <v>Njenga SM, 2011</v>
      </c>
      <c r="B297" s="40"/>
      <c r="C297" s="40" t="str">
        <f>IFERROR(__xludf.DUMMYFUNCTION("""COMPUTED_VALUE"""),"Chungsoo")</f>
        <v>Chungsoo</v>
      </c>
      <c r="D297" s="40" t="str">
        <f>IFERROR(__xludf.DUMMYFUNCTION("""COMPUTED_VALUE"""),"Kenya")</f>
        <v>Kenya</v>
      </c>
      <c r="E297" s="40"/>
      <c r="F297" s="40" t="str">
        <f>IFERROR(__xludf.DUMMYFUNCTION("""COMPUTED_VALUE"""),"Albendazole &amp; DEC")</f>
        <v>Albendazole &amp; DEC</v>
      </c>
      <c r="G297" s="40"/>
      <c r="H297" s="40"/>
      <c r="I297" s="741">
        <f>IFERROR(__xludf.DUMMYFUNCTION("""COMPUTED_VALUE"""),0.957)</f>
        <v>0.957</v>
      </c>
      <c r="J297" s="216"/>
      <c r="K297" s="40"/>
      <c r="L297" s="40"/>
      <c r="M297" s="40"/>
      <c r="N297" s="40"/>
      <c r="O297" s="40" t="str">
        <f>IFERROR(__xludf.DUMMYFUNCTION("""COMPUTED_VALUE"""),"excluding 38 individuals who had indeterminate results in 2009")</f>
        <v>excluding 38 individuals who had indeterminate results in 2009</v>
      </c>
      <c r="P297" s="40"/>
      <c r="Q297" s="40"/>
      <c r="R297" s="40"/>
      <c r="S297" s="40" t="str">
        <f>IFERROR(__xludf.DUMMYFUNCTION("""COMPUTED_VALUE"""),"7 years")</f>
        <v>7 years</v>
      </c>
      <c r="T297" s="40" t="str">
        <f>IFERROR(__xludf.DUMMYFUNCTION("""COMPUTED_VALUE"""),"Significant reductions in infection prevalence and intensity were observed at each survey. More importantly, there were no rebounds in infection prevalence between treatment rounds.")</f>
        <v>Significant reductions in infection prevalence and intensity were observed at each survey. More importantly, there were no rebounds in infection prevalence between treatment rounds.</v>
      </c>
      <c r="U297" s="40"/>
      <c r="V297" s="40" t="str">
        <f>IFERROR(__xludf.DUMMYFUNCTION("""COMPUTED_VALUE"""),"2002-2007")</f>
        <v>2002-2007</v>
      </c>
      <c r="W297" s="40">
        <f>IFERROR(__xludf.DUMMYFUNCTION("""COMPUTED_VALUE"""),2007.0)</f>
        <v>2007</v>
      </c>
      <c r="X297" s="40" t="str">
        <f>IFERROR(__xludf.DUMMYFUNCTION("""COMPUTED_VALUE"""),"Sammy M Njenga, Charles S Mwandawiro, C Njeri Wamae, Dunstan A Mukoko, Anisa A Omar, Masaaki Shimada, Moses J Bockarie and David H Molyneux. Sustained reduction in prevalence of lymphatic filariasis infection in spite of missed rounds of mass drug adminis"&amp;"tration in an area under mosquito nets for malaria control. Njenga et al. Parasites &amp; Vectors 2011, 4:90")</f>
        <v>Sammy M Njenga, Charles S Mwandawiro, C Njeri Wamae, Dunstan A Mukoko, Anisa A Omar, Masaaki Shimada, Moses J Bockarie and David H Molyneux. Sustained reduction in prevalence of lymphatic filariasis infection in spite of missed rounds of mass drug administration in an area under mosquito nets for malaria control. Njenga et al. Parasites &amp; Vectors 2011, 4:90</v>
      </c>
      <c r="Y297" s="40" t="str">
        <f>IFERROR(__xludf.DUMMYFUNCTION("""COMPUTED_VALUE"""),"10.1186/1756-3305-4-90")</f>
        <v>10.1186/1756-3305-4-90</v>
      </c>
      <c r="Z297" s="727" t="str">
        <f>IFERROR(__xludf.DUMMYFUNCTION("""COMPUTED_VALUE"""),"https://drive.google.com/file/d/0B4sJPAkX0Jo3YjBxRFVPa3puLUU/view?usp=sharing")</f>
        <v>https://drive.google.com/file/d/0B4sJPAkX0Jo3YjBxRFVPa3puLUU/view?usp=sharing</v>
      </c>
      <c r="AA297" s="40" t="str">
        <f>IFERROR(__xludf.DUMMYFUNCTION("""COMPUTED_VALUE"""),"x")</f>
        <v>x</v>
      </c>
      <c r="AB297" s="40"/>
    </row>
    <row r="298">
      <c r="A298" s="805" t="str">
        <f>IFERROR(__xludf.DUMMYFUNCTION("""COMPUTED_VALUE"""),"Ramzy 2002")</f>
        <v>Ramzy 2002</v>
      </c>
      <c r="B298" s="40" t="str">
        <f>IFERROR(__xludf.DUMMYFUNCTION("""COMPUTED_VALUE"""),"Kirti")</f>
        <v>Kirti</v>
      </c>
      <c r="C298" s="40" t="str">
        <f>IFERROR(__xludf.DUMMYFUNCTION("""COMPUTED_VALUE"""),"Mahvish")</f>
        <v>Mahvish</v>
      </c>
      <c r="D298" s="40" t="str">
        <f>IFERROR(__xludf.DUMMYFUNCTION("""COMPUTED_VALUE"""),"Egypt")</f>
        <v>Egypt</v>
      </c>
      <c r="E298" s="40" t="str">
        <f>IFERROR(__xludf.DUMMYFUNCTION("""COMPUTED_VALUE"""),"W. bancrofti")</f>
        <v>W. bancrofti</v>
      </c>
      <c r="F298" s="40" t="str">
        <f>IFERROR(__xludf.DUMMYFUNCTION("""COMPUTED_VALUE"""),"DEC")</f>
        <v>DEC</v>
      </c>
      <c r="G298" s="40" t="str">
        <f>IFERROR(__xludf.DUMMYFUNCTION("""COMPUTED_VALUE"""),"6 mg/kg")</f>
        <v>6 mg/kg</v>
      </c>
      <c r="H298" s="40" t="str">
        <f>IFERROR(__xludf.DUMMYFUNCTION("""COMPUTED_VALUE"""),"single dose")</f>
        <v>single dose</v>
      </c>
      <c r="I298" s="783">
        <f>IFERROR(__xludf.DUMMYFUNCTION("""COMPUTED_VALUE"""),0.84)</f>
        <v>0.84</v>
      </c>
      <c r="J298" s="216">
        <f>IFERROR(__xludf.DUMMYFUNCTION("""COMPUTED_VALUE"""),0.69)</f>
        <v>0.69</v>
      </c>
      <c r="K298" s="40"/>
      <c r="L298" s="40">
        <f>IFERROR(__xludf.DUMMYFUNCTION("""COMPUTED_VALUE"""),1646.0)</f>
        <v>1646</v>
      </c>
      <c r="M298" s="40" t="str">
        <f>IFERROR(__xludf.DUMMYFUNCTION("""COMPUTED_VALUE"""),"&gt; 4")</f>
        <v>&gt; 4</v>
      </c>
      <c r="N298" s="40"/>
      <c r="O298" s="40" t="str">
        <f>IFERROR(__xludf.DUMMYFUNCTION("""COMPUTED_VALUE"""),"Older than 9 years old and not pregnant.")</f>
        <v>Older than 9 years old and not pregnant.</v>
      </c>
      <c r="P298" s="40" t="str">
        <f>IFERROR(__xludf.DUMMYFUNCTION("""COMPUTED_VALUE"""),"mass treatment")</f>
        <v>mass treatment</v>
      </c>
      <c r="Q298" s="40"/>
      <c r="R298" s="40"/>
      <c r="S298" s="40" t="str">
        <f>IFERROR(__xludf.DUMMYFUNCTION("""COMPUTED_VALUE"""),"10 years")</f>
        <v>10 years</v>
      </c>
      <c r="T298" s="40" t="str">
        <f>IFERROR(__xludf.DUMMYFUNCTION("""COMPUTED_VALUE"""),"Although the WorldHealth Organization advocates repeatedmultidrug regimens for filariasis elimination, mass treatment with DEC alone may be sufficient to interrupt transmission in areas with low infection intensities andprevalence rates.")</f>
        <v>Although the WorldHealth Organization advocates repeatedmultidrug regimens for filariasis elimination, mass treatment with DEC alone may be sufficient to interrupt transmission in areas with low infection intensities andprevalence rates.</v>
      </c>
      <c r="U298" s="40"/>
      <c r="V298" s="40" t="str">
        <f>IFERROR(__xludf.DUMMYFUNCTION("""COMPUTED_VALUE"""),"1998-2000")</f>
        <v>1998-2000</v>
      </c>
      <c r="W298" s="40">
        <f>IFERROR(__xludf.DUMMYFUNCTION("""COMPUTED_VALUE"""),2000.0)</f>
        <v>2000</v>
      </c>
      <c r="X298" s="40" t="str">
        <f>IFERROR(__xludf.DUMMYFUNCTION("""COMPUTED_VALUE"""),"Ramzy RMR, El Setouhy M, Helmy H, et al. The impact of single-dose diethylcarbamazine treatment of bancroftian filariasis in a low-endemicity setting in Egypt. American Journal of Tropical Medicine and Hygiene. 2002;67(2):196–200.")</f>
        <v>Ramzy RMR, El Setouhy M, Helmy H, et al. The impact of single-dose diethylcarbamazine treatment of bancroftian filariasis in a low-endemicity setting in Egypt. American Journal of Tropical Medicine and Hygiene. 2002;67(2):196–200.</v>
      </c>
      <c r="Y298" s="40" t="str">
        <f>IFERROR(__xludf.DUMMYFUNCTION("""COMPUTED_VALUE"""),"PMID: 12389947")</f>
        <v>PMID: 12389947</v>
      </c>
      <c r="Z298" s="727" t="str">
        <f>IFERROR(__xludf.DUMMYFUNCTION("""COMPUTED_VALUE"""),"https://drive.google.com/file/d/0By3QPyQz621GRDRGVG5yOVBsUlk/view?usp=sharing")</f>
        <v>https://drive.google.com/file/d/0By3QPyQz621GRDRGVG5yOVBsUlk/view?usp=sharing</v>
      </c>
      <c r="AA298" s="40" t="str">
        <f>IFERROR(__xludf.DUMMYFUNCTION("""COMPUTED_VALUE"""),"x")</f>
        <v>x</v>
      </c>
      <c r="AB298" s="40"/>
    </row>
    <row r="299">
      <c r="A299" s="805" t="str">
        <f>IFERROR(__xludf.DUMMYFUNCTION("""COMPUTED_VALUE"""),"Bockarie, 2007")</f>
        <v>Bockarie, 2007</v>
      </c>
      <c r="B299" s="40" t="str">
        <f>IFERROR(__xludf.DUMMYFUNCTION("""COMPUTED_VALUE"""),"Ross")</f>
        <v>Ross</v>
      </c>
      <c r="C299" s="40" t="str">
        <f>IFERROR(__xludf.DUMMYFUNCTION("""COMPUTED_VALUE"""),"Mahvish")</f>
        <v>Mahvish</v>
      </c>
      <c r="D299" s="40" t="str">
        <f>IFERROR(__xludf.DUMMYFUNCTION("""COMPUTED_VALUE"""),"Papua New Guinea")</f>
        <v>Papua New Guinea</v>
      </c>
      <c r="E299" s="40" t="str">
        <f>IFERROR(__xludf.DUMMYFUNCTION("""COMPUTED_VALUE"""),"W. bancrofti")</f>
        <v>W. bancrofti</v>
      </c>
      <c r="F299" s="40" t="str">
        <f>IFERROR(__xludf.DUMMYFUNCTION("""COMPUTED_VALUE"""),"DEC")</f>
        <v>DEC</v>
      </c>
      <c r="G299" s="40" t="str">
        <f>IFERROR(__xludf.DUMMYFUNCTION("""COMPUTED_VALUE"""),"6mg/kg")</f>
        <v>6mg/kg</v>
      </c>
      <c r="H299" s="40" t="str">
        <f>IFERROR(__xludf.DUMMYFUNCTION("""COMPUTED_VALUE"""),"single dose")</f>
        <v>single dose</v>
      </c>
      <c r="I299" s="216">
        <f>IFERROR(__xludf.DUMMYFUNCTION("""COMPUTED_VALUE"""),0.875)</f>
        <v>0.875</v>
      </c>
      <c r="J299" s="216">
        <f>IFERROR(__xludf.DUMMYFUNCTION("""COMPUTED_VALUE"""),0.5)</f>
        <v>0.5</v>
      </c>
      <c r="K299" s="40"/>
      <c r="L299" s="40">
        <f>IFERROR(__xludf.DUMMYFUNCTION("""COMPUTED_VALUE"""),1007.0)</f>
        <v>1007</v>
      </c>
      <c r="M299" s="40" t="str">
        <f>IFERROR(__xludf.DUMMYFUNCTION("""COMPUTED_VALUE"""),"&gt;2")</f>
        <v>&gt;2</v>
      </c>
      <c r="N299" s="40" t="str">
        <f>IFERROR(__xludf.DUMMYFUNCTION("""COMPUTED_VALUE"""),"237 : 260")</f>
        <v>237 : 260</v>
      </c>
      <c r="O299" s="40" t="str">
        <f>IFERROR(__xludf.DUMMYFUNCTION("""COMPUTED_VALUE"""),"all inhabitants of the island were included in the treatment greater than or equal to 2 years old except for the pregnant women.")</f>
        <v>all inhabitants of the island were included in the treatment greater than or equal to 2 years old except for the pregnant women.</v>
      </c>
      <c r="P299" s="40" t="str">
        <f>IFERROR(__xludf.DUMMYFUNCTION("""COMPUTED_VALUE"""),"mass treatment")</f>
        <v>mass treatment</v>
      </c>
      <c r="Q299" s="40"/>
      <c r="R299" s="40"/>
      <c r="S299" s="40" t="str">
        <f>IFERROR(__xludf.DUMMYFUNCTION("""COMPUTED_VALUE"""),"24 months")</f>
        <v>24 months</v>
      </c>
      <c r="T299" s="40" t="str">
        <f>IFERROR(__xludf.DUMMYFUNCTION("""COMPUTED_VALUE"""),"These data showed no statistically significant difference in the efficacy of the two drug regimens in lowering the microfilaria reservoir, but they support the use of diethylcar- bamazine combined with albendazole in mass treatment programs on the basis o"&amp;"f greater activity against adult worms.")</f>
        <v>These data showed no statistically significant difference in the efficacy of the two drug regimens in lowering the microfilaria reservoir, but they support the use of diethylcar- bamazine combined with albendazole in mass treatment programs on the basis of greater activity against adult worms.</v>
      </c>
      <c r="U299" s="40" t="str">
        <f>IFERROR(__xludf.DUMMYFUNCTION("""COMPUTED_VALUE"""),"There was no statistically significant difference between the two drug regimens in decreasing the microfilaria positive rate at 12 and 24 months after a single-dose treatment with either regimen, e.g., 50.0% clearance of microfilaria at 24 months for diet"&amp;"hylcarbamazine alone versus 65.7% clearance of microfilaria for diethylcarbamazine plus albendazole (P &gt; 0.05). In contrast, diethyl- carbamazine plus albendazole resulted in a significant decrease in Og4C3 antigen prevalence (17%; P  0.003) at 24 months "&amp;"whereas diethylcarbamazine did not (10%; P  0.564).")</f>
        <v>There was no statistically significant difference between the two drug regimens in decreasing the microfilaria positive rate at 12 and 24 months after a single-dose treatment with either regimen, e.g., 50.0% clearance of microfilaria at 24 months for diethylcarbamazine alone versus 65.7% clearance of microfilaria for diethylcarbamazine plus albendazole (P &gt; 0.05). In contrast, diethyl- carbamazine plus albendazole resulted in a significant decrease in Og4C3 antigen prevalence (17%; P  0.003) at 24 months whereas diethylcarbamazine did not (10%; P  0.564).</v>
      </c>
      <c r="V299" s="40" t="str">
        <f>IFERROR(__xludf.DUMMYFUNCTION("""COMPUTED_VALUE"""),"1999-2001")</f>
        <v>1999-2001</v>
      </c>
      <c r="W299" s="40">
        <f>IFERROR(__xludf.DUMMYFUNCTION("""COMPUTED_VALUE"""),2001.0)</f>
        <v>2001</v>
      </c>
      <c r="X299" s="40" t="str">
        <f>IFERROR(__xludf.DUMMYFUNCTION("""COMPUTED_VALUE"""),"Ismail MM, Jayakody RL, Weil GJ, et al. Long-term efficacy of single-dose combinations of albendazole, ivermectin and diethylcarbamazine for the treatment of bancroftian filariasis. Transactions of the Royal Society of Tropical Medicine and Hygiene. 2001;"&amp;"95(3):332–335.")</f>
        <v>Ismail MM, Jayakody RL, Weil GJ, et al. Long-term efficacy of single-dose combinations of albendazole, ivermectin and diethylcarbamazine for the treatment of bancroftian filariasis. Transactions of the Royal Society of Tropical Medicine and Hygiene. 2001;95(3):332–335.</v>
      </c>
      <c r="Y299" s="40"/>
      <c r="Z299" s="727" t="str">
        <f>IFERROR(__xludf.DUMMYFUNCTION("""COMPUTED_VALUE"""),"https://drive.google.com/open?id=0B6i9R3fSJzbMMUptNjdPSVdwTTQ")</f>
        <v>https://drive.google.com/open?id=0B6i9R3fSJzbMMUptNjdPSVdwTTQ</v>
      </c>
      <c r="AA299" s="40"/>
      <c r="AB299" s="40"/>
    </row>
    <row r="300">
      <c r="A300" s="805" t="str">
        <f>IFERROR(__xludf.DUMMYFUNCTION("""COMPUTED_VALUE"""),"Taylor, 2005")</f>
        <v>Taylor, 2005</v>
      </c>
      <c r="B300" s="40"/>
      <c r="C300" s="40" t="str">
        <f>IFERROR(__xludf.DUMMYFUNCTION("""COMPUTED_VALUE"""),"Alex/AR")</f>
        <v>Alex/AR</v>
      </c>
      <c r="D300" s="40" t="str">
        <f>IFERROR(__xludf.DUMMYFUNCTION("""COMPUTED_VALUE"""),"Tanzania")</f>
        <v>Tanzania</v>
      </c>
      <c r="E300" s="40" t="str">
        <f>IFERROR(__xludf.DUMMYFUNCTION("""COMPUTED_VALUE"""),"W. bancrofti")</f>
        <v>W. bancrofti</v>
      </c>
      <c r="F300" s="40" t="str">
        <f>IFERROR(__xludf.DUMMYFUNCTION("""COMPUTED_VALUE"""),"Albendazole &amp; DEC")</f>
        <v>Albendazole &amp; DEC</v>
      </c>
      <c r="G300" s="40" t="str">
        <f>IFERROR(__xludf.DUMMYFUNCTION("""COMPUTED_VALUE"""),"NA")</f>
        <v>NA</v>
      </c>
      <c r="H300" s="40">
        <f>IFERROR(__xludf.DUMMYFUNCTION("""COMPUTED_VALUE"""),56.0)</f>
        <v>56</v>
      </c>
      <c r="I300" s="741">
        <f>IFERROR(__xludf.DUMMYFUNCTION("""COMPUTED_VALUE"""),0.0)</f>
        <v>0</v>
      </c>
      <c r="J300" s="216">
        <f>IFERROR(__xludf.DUMMYFUNCTION("""COMPUTED_VALUE"""),0.263)</f>
        <v>0.263</v>
      </c>
      <c r="K300" s="40" t="str">
        <f>IFERROR(__xludf.DUMMYFUNCTION("""COMPUTED_VALUE"""),"Not available ")</f>
        <v>Not available </v>
      </c>
      <c r="L300" s="40">
        <f>IFERROR(__xludf.DUMMYFUNCTION("""COMPUTED_VALUE"""),38.0)</f>
        <v>38</v>
      </c>
      <c r="M300" s="214" t="str">
        <f>IFERROR(__xludf.DUMMYFUNCTION("""COMPUTED_VALUE"""),"15- 68")</f>
        <v>15- 68</v>
      </c>
      <c r="N300" s="806" t="str">
        <f>IFERROR(__xludf.DUMMYFUNCTION("""COMPUTED_VALUE"""),"males")</f>
        <v>males</v>
      </c>
      <c r="O300" s="40" t="str">
        <f>IFERROR(__xludf.DUMMYFUNCTION("""COMPUTED_VALUE"""),"Male (ultrasonographic techniques were ineffective on females), must be between 15 and 68 years old, had microfilaremia count of at least 100 MF/mL")</f>
        <v>Male (ultrasonographic techniques were ineffective on females), must be between 15 and 68 years old, had microfilaremia count of at least 100 MF/mL</v>
      </c>
      <c r="P300" s="40" t="str">
        <f>IFERROR(__xludf.DUMMYFUNCTION("""COMPUTED_VALUE"""),"double- blind, RCT")</f>
        <v>double- blind, RCT</v>
      </c>
      <c r="Q300" s="40" t="str">
        <f>IFERROR(__xludf.DUMMYFUNCTION("""COMPUTED_VALUE"""),"Yes")</f>
        <v>Yes</v>
      </c>
      <c r="R300" s="40" t="str">
        <f>IFERROR(__xludf.DUMMYFUNCTION("""COMPUTED_VALUE"""),"Yes")</f>
        <v>Yes</v>
      </c>
      <c r="S300" s="40" t="str">
        <f>IFERROR(__xludf.DUMMYFUNCTION("""COMPUTED_VALUE"""),"14 months")</f>
        <v>14 months</v>
      </c>
      <c r="T300" s="40"/>
      <c r="U300" s="40" t="str">
        <f>IFERROR(__xludf.DUMMYFUNCTION("""COMPUTED_VALUE"""),"The placebo group at experianced an increase in mf density at 5 and 11 months. This is represented by a negative value in the mf reduction column.")</f>
        <v>The placebo group at experianced an increase in mf density at 5 and 11 months. This is represented by a negative value in the mf reduction column.</v>
      </c>
      <c r="V300" s="40">
        <f>IFERROR(__xludf.DUMMYFUNCTION("""COMPUTED_VALUE"""),2005.0)</f>
        <v>2005</v>
      </c>
      <c r="W300" s="40">
        <f>IFERROR(__xludf.DUMMYFUNCTION("""COMPUTED_VALUE"""),2005.0)</f>
        <v>2005</v>
      </c>
      <c r="X300" s="40" t="str">
        <f>IFERROR(__xludf.DUMMYFUNCTION("""COMPUTED_VALUE"""),"Taylor MJ, Makunde WH, McGarry HF, Turner JD, Mand S, Hoerauf A. Macrofilaricidal activity after doxycycline treatment of Wuchereria bancrofti: a double-blind, randomised placebo-controlled trial. Lancet. 2005;365(9477):2116–2121.")</f>
        <v>Taylor MJ, Makunde WH, McGarry HF, Turner JD, Mand S, Hoerauf A. Macrofilaricidal activity after doxycycline treatment of Wuchereria bancrofti: a double-blind, randomised placebo-controlled trial. Lancet. 2005;365(9477):2116–2121.</v>
      </c>
      <c r="Y300" s="40"/>
      <c r="Z300" s="727" t="str">
        <f>IFERROR(__xludf.DUMMYFUNCTION("""COMPUTED_VALUE"""),"https://drive.google.com/file/d/0B95WhYooraDecERrQVNGd1BNOVk/view?usp=sharing")</f>
        <v>https://drive.google.com/file/d/0B95WhYooraDecERrQVNGd1BNOVk/view?usp=sharing</v>
      </c>
      <c r="AA300" s="40"/>
      <c r="AB300" s="40"/>
    </row>
    <row r="301">
      <c r="A301" s="805" t="str">
        <f>IFERROR(__xludf.DUMMYFUNCTION("""COMPUTED_VALUE"""),"Sunish 2013")</f>
        <v>Sunish 2013</v>
      </c>
      <c r="B301" s="40" t="str">
        <f>IFERROR(__xludf.DUMMYFUNCTION("""COMPUTED_VALUE"""),"Chungsoo")</f>
        <v>Chungsoo</v>
      </c>
      <c r="C301" s="40" t="str">
        <f>IFERROR(__xludf.DUMMYFUNCTION("""COMPUTED_VALUE"""),"Mahvish")</f>
        <v>Mahvish</v>
      </c>
      <c r="D301" s="40" t="str">
        <f>IFERROR(__xludf.DUMMYFUNCTION("""COMPUTED_VALUE"""),"India")</f>
        <v>India</v>
      </c>
      <c r="E301" s="40" t="str">
        <f>IFERROR(__xludf.DUMMYFUNCTION("""COMPUTED_VALUE"""),"W. bancrofti")</f>
        <v>W. bancrofti</v>
      </c>
      <c r="F301" s="40" t="str">
        <f>IFERROR(__xludf.DUMMYFUNCTION("""COMPUTED_VALUE"""),"DEC")</f>
        <v>DEC</v>
      </c>
      <c r="G301" s="40" t="str">
        <f>IFERROR(__xludf.DUMMYFUNCTION("""COMPUTED_VALUE"""),"N/A")</f>
        <v>N/A</v>
      </c>
      <c r="H301" s="40"/>
      <c r="I301" s="216">
        <f>IFERROR(__xludf.DUMMYFUNCTION("""COMPUTED_VALUE"""),0.5795)</f>
        <v>0.5795</v>
      </c>
      <c r="J301" s="216">
        <f>IFERROR(__xludf.DUMMYFUNCTION("""COMPUTED_VALUE"""),0.415)</f>
        <v>0.415</v>
      </c>
      <c r="K301" s="40"/>
      <c r="L301" s="40" t="str">
        <f>IFERROR(__xludf.DUMMYFUNCTION("""COMPUTED_VALUE"""),"1800-2400")</f>
        <v>1800-2400</v>
      </c>
      <c r="M301" s="40" t="str">
        <f>IFERROR(__xludf.DUMMYFUNCTION("""COMPUTED_VALUE"""),"2 to 9")</f>
        <v>2 to 9</v>
      </c>
      <c r="N301" s="40" t="str">
        <f>IFERROR(__xludf.DUMMYFUNCTION("""COMPUTED_VALUE"""),"n/a")</f>
        <v>n/a</v>
      </c>
      <c r="O301" s="40" t="str">
        <f>IFERROR(__xludf.DUMMYFUNCTION("""COMPUTED_VALUE"""),"n/a")</f>
        <v>n/a</v>
      </c>
      <c r="P301" s="40" t="str">
        <f>IFERROR(__xludf.DUMMYFUNCTION("""COMPUTED_VALUE"""),"mass treatment")</f>
        <v>mass treatment</v>
      </c>
      <c r="Q301" s="40"/>
      <c r="R301" s="40"/>
      <c r="S301" s="40" t="str">
        <f>IFERROR(__xludf.DUMMYFUNCTION("""COMPUTED_VALUE"""),"9 years")</f>
        <v>9 years</v>
      </c>
      <c r="T301" s="40" t="str">
        <f>IFERROR(__xludf.DUMMYFUNCTION("""COMPUTED_VALUE"""),"Observation of microfilaraemic children after six MDAs (0.32% in DEC+ALB; 0.75% in DEC alone), necessitates the need for supplementary control strategies (viz., vector control), in order to achieve the goal of LF elimination.")</f>
        <v>Observation of microfilaraemic children after six MDAs (0.32% in DEC+ALB; 0.75% in DEC alone), necessitates the need for supplementary control strategies (viz., vector control), in order to achieve the goal of LF elimination.</v>
      </c>
      <c r="U301" s="40"/>
      <c r="V301" s="40">
        <f>IFERROR(__xludf.DUMMYFUNCTION("""COMPUTED_VALUE"""),2013.0)</f>
        <v>2013</v>
      </c>
      <c r="W301" s="40">
        <f>IFERROR(__xludf.DUMMYFUNCTION("""COMPUTED_VALUE"""),2013.0)</f>
        <v>2013</v>
      </c>
      <c r="X301" s="40" t="str">
        <f>IFERROR(__xludf.DUMMYFUNCTION("""COMPUTED_VALUE"""),"Sunish IP, Munirathinam A, Kalimuthu M, Ashok Kumar V, Tyagi BK. Persistence of Lymphatic Filarial Infection in the Paediatric Population of Rural Community, after Six Rounds of Annual Mass Drug Administrations. Journal of Tropical Pediatrics. Oxford Univ"&amp;"ersity Press (OUP); 2013 Dec 16;60(3):245–8.")</f>
        <v>Sunish IP, Munirathinam A, Kalimuthu M, Ashok Kumar V, Tyagi BK. Persistence of Lymphatic Filarial Infection in the Paediatric Population of Rural Community, after Six Rounds of Annual Mass Drug Administrations. Journal of Tropical Pediatrics. Oxford University Press (OUP); 2013 Dec 16;60(3):245–8.</v>
      </c>
      <c r="Y301" s="40" t="str">
        <f>IFERROR(__xludf.DUMMYFUNCTION("""COMPUTED_VALUE"""),"10.1093/tropej/fmt101")</f>
        <v>10.1093/tropej/fmt101</v>
      </c>
      <c r="Z301" s="727" t="str">
        <f>IFERROR(__xludf.DUMMYFUNCTION("""COMPUTED_VALUE"""),"https://drive.google.com/file/d/0B9vYgR7NsKoYcHNnaUpUZDM3Uzg/view?usp=sharing")</f>
        <v>https://drive.google.com/file/d/0B9vYgR7NsKoYcHNnaUpUZDM3Uzg/view?usp=sharing</v>
      </c>
      <c r="AA301" s="40" t="str">
        <f>IFERROR(__xludf.DUMMYFUNCTION("""COMPUTED_VALUE"""),"x")</f>
        <v>x</v>
      </c>
      <c r="AB301" s="40"/>
    </row>
    <row r="302">
      <c r="A302" s="805" t="str">
        <f>IFERROR(__xludf.DUMMYFUNCTION("""COMPUTED_VALUE"""),"Sunish 2013")</f>
        <v>Sunish 2013</v>
      </c>
      <c r="B302" s="40" t="str">
        <f>IFERROR(__xludf.DUMMYFUNCTION("""COMPUTED_VALUE"""),"Chungsoo")</f>
        <v>Chungsoo</v>
      </c>
      <c r="C302" s="40" t="str">
        <f>IFERROR(__xludf.DUMMYFUNCTION("""COMPUTED_VALUE"""),"Mahvish")</f>
        <v>Mahvish</v>
      </c>
      <c r="D302" s="40" t="str">
        <f>IFERROR(__xludf.DUMMYFUNCTION("""COMPUTED_VALUE"""),"India")</f>
        <v>India</v>
      </c>
      <c r="E302" s="40" t="str">
        <f>IFERROR(__xludf.DUMMYFUNCTION("""COMPUTED_VALUE"""),"W. bancrofti")</f>
        <v>W. bancrofti</v>
      </c>
      <c r="F302" s="40" t="str">
        <f>IFERROR(__xludf.DUMMYFUNCTION("""COMPUTED_VALUE"""),"Albendazole &amp; DEC")</f>
        <v>Albendazole &amp; DEC</v>
      </c>
      <c r="G302" s="40" t="str">
        <f>IFERROR(__xludf.DUMMYFUNCTION("""COMPUTED_VALUE"""),"N/A")</f>
        <v>N/A</v>
      </c>
      <c r="H302" s="40"/>
      <c r="I302" s="216">
        <f>IFERROR(__xludf.DUMMYFUNCTION("""COMPUTED_VALUE"""),0.8467)</f>
        <v>0.8467</v>
      </c>
      <c r="J302" s="216">
        <f>IFERROR(__xludf.DUMMYFUNCTION("""COMPUTED_VALUE"""),0.728)</f>
        <v>0.728</v>
      </c>
      <c r="K302" s="40"/>
      <c r="L302" s="40" t="str">
        <f>IFERROR(__xludf.DUMMYFUNCTION("""COMPUTED_VALUE"""),"1800-2400")</f>
        <v>1800-2400</v>
      </c>
      <c r="M302" s="40" t="str">
        <f>IFERROR(__xludf.DUMMYFUNCTION("""COMPUTED_VALUE"""),"2 to 9")</f>
        <v>2 to 9</v>
      </c>
      <c r="N302" s="40" t="str">
        <f>IFERROR(__xludf.DUMMYFUNCTION("""COMPUTED_VALUE"""),"n/a")</f>
        <v>n/a</v>
      </c>
      <c r="O302" s="40" t="str">
        <f>IFERROR(__xludf.DUMMYFUNCTION("""COMPUTED_VALUE"""),"n/a")</f>
        <v>n/a</v>
      </c>
      <c r="P302" s="40" t="str">
        <f>IFERROR(__xludf.DUMMYFUNCTION("""COMPUTED_VALUE"""),"mass treatment")</f>
        <v>mass treatment</v>
      </c>
      <c r="Q302" s="40"/>
      <c r="R302" s="40"/>
      <c r="S302" s="40" t="str">
        <f>IFERROR(__xludf.DUMMYFUNCTION("""COMPUTED_VALUE"""),"9 years")</f>
        <v>9 years</v>
      </c>
      <c r="T302" s="40" t="str">
        <f>IFERROR(__xludf.DUMMYFUNCTION("""COMPUTED_VALUE"""),"Observation of microfilaraemic children after six MDAs (0.32% in DEC+ALB; 0.75% in DEC alone), necessitates the need for supplementary control strategies (viz., vector control), in order to achieve the goal of LF elimination.")</f>
        <v>Observation of microfilaraemic children after six MDAs (0.32% in DEC+ALB; 0.75% in DEC alone), necessitates the need for supplementary control strategies (viz., vector control), in order to achieve the goal of LF elimination.</v>
      </c>
      <c r="U302" s="40"/>
      <c r="V302" s="40">
        <f>IFERROR(__xludf.DUMMYFUNCTION("""COMPUTED_VALUE"""),2013.0)</f>
        <v>2013</v>
      </c>
      <c r="W302" s="40">
        <f>IFERROR(__xludf.DUMMYFUNCTION("""COMPUTED_VALUE"""),2013.0)</f>
        <v>2013</v>
      </c>
      <c r="X302" s="40" t="str">
        <f>IFERROR(__xludf.DUMMYFUNCTION("""COMPUTED_VALUE"""),"Sunish IP, Munirathinam A, Kalimuthu M, Ashok Kumar V, Tyagi BK. Persistence of Lymphatic Filarial Infection in the Paediatric Population of Rural Community, after Six Rounds of Annual Mass Drug Administrations. Journal of Tropical Pediatrics. Oxford Univ"&amp;"ersity Press (OUP); 2013 Dec 16;60(3):245–8.")</f>
        <v>Sunish IP, Munirathinam A, Kalimuthu M, Ashok Kumar V, Tyagi BK. Persistence of Lymphatic Filarial Infection in the Paediatric Population of Rural Community, after Six Rounds of Annual Mass Drug Administrations. Journal of Tropical Pediatrics. Oxford University Press (OUP); 2013 Dec 16;60(3):245–8.</v>
      </c>
      <c r="Y302" s="40" t="str">
        <f>IFERROR(__xludf.DUMMYFUNCTION("""COMPUTED_VALUE"""),"10.1093/tropej/fmt101")</f>
        <v>10.1093/tropej/fmt101</v>
      </c>
      <c r="Z302" s="727" t="str">
        <f>IFERROR(__xludf.DUMMYFUNCTION("""COMPUTED_VALUE"""),"https://drive.google.com/file/d/0B9vYgR7NsKoYcHNnaUpUZDM3Uzg/view?usp=sharing")</f>
        <v>https://drive.google.com/file/d/0B9vYgR7NsKoYcHNnaUpUZDM3Uzg/view?usp=sharing</v>
      </c>
      <c r="AA302" s="40" t="str">
        <f>IFERROR(__xludf.DUMMYFUNCTION("""COMPUTED_VALUE"""),"x")</f>
        <v>x</v>
      </c>
      <c r="AB302" s="40"/>
    </row>
    <row r="303">
      <c r="A303" s="805" t="str">
        <f>IFERROR(__xludf.DUMMYFUNCTION("""COMPUTED_VALUE"""),"Sunish 2006")</f>
        <v>Sunish 2006</v>
      </c>
      <c r="B303" s="40" t="str">
        <f>IFERROR(__xludf.DUMMYFUNCTION("""COMPUTED_VALUE"""),"Chungsoo")</f>
        <v>Chungsoo</v>
      </c>
      <c r="C303" s="40" t="str">
        <f>IFERROR(__xludf.DUMMYFUNCTION("""COMPUTED_VALUE"""),"Mahvish")</f>
        <v>Mahvish</v>
      </c>
      <c r="D303" s="40" t="str">
        <f>IFERROR(__xludf.DUMMYFUNCTION("""COMPUTED_VALUE"""),"India")</f>
        <v>India</v>
      </c>
      <c r="E303" s="40"/>
      <c r="F303" s="40" t="str">
        <f>IFERROR(__xludf.DUMMYFUNCTION("""COMPUTED_VALUE"""),"DEC")</f>
        <v>DEC</v>
      </c>
      <c r="G303" s="40" t="str">
        <f>IFERROR(__xludf.DUMMYFUNCTION("""COMPUTED_VALUE"""),"N/A")</f>
        <v>N/A</v>
      </c>
      <c r="H303" s="40" t="str">
        <f>IFERROR(__xludf.DUMMYFUNCTION("""COMPUTED_VALUE"""),"annual single dosage")</f>
        <v>annual single dosage</v>
      </c>
      <c r="I303" s="741">
        <f>IFERROR(__xludf.DUMMYFUNCTION("""COMPUTED_VALUE"""),0.51)</f>
        <v>0.51</v>
      </c>
      <c r="J303" s="216">
        <f>IFERROR(__xludf.DUMMYFUNCTION("""COMPUTED_VALUE"""),0.26)</f>
        <v>0.26</v>
      </c>
      <c r="K303" s="40"/>
      <c r="L303" s="40" t="str">
        <f>IFERROR(__xludf.DUMMYFUNCTION("""COMPUTED_VALUE"""),"n/a")</f>
        <v>n/a</v>
      </c>
      <c r="M303" s="40" t="str">
        <f>IFERROR(__xludf.DUMMYFUNCTION("""COMPUTED_VALUE"""),"10 to 25")</f>
        <v>10 to 25</v>
      </c>
      <c r="N303" s="40" t="str">
        <f>IFERROR(__xludf.DUMMYFUNCTION("""COMPUTED_VALUE"""),"n/a")</f>
        <v>n/a</v>
      </c>
      <c r="O303" s="40" t="str">
        <f>IFERROR(__xludf.DUMMYFUNCTION("""COMPUTED_VALUE"""),"n/a")</f>
        <v>n/a</v>
      </c>
      <c r="P303" s="40" t="str">
        <f>IFERROR(__xludf.DUMMYFUNCTION("""COMPUTED_VALUE"""),"mass treatment")</f>
        <v>mass treatment</v>
      </c>
      <c r="Q303" s="40"/>
      <c r="R303" s="40"/>
      <c r="S303" s="40" t="str">
        <f>IFERROR(__xludf.DUMMYFUNCTION("""COMPUTED_VALUE"""),"4 years")</f>
        <v>4 years</v>
      </c>
      <c r="T303" s="40" t="str">
        <f>IFERROR(__xludf.DUMMYFUNCTION("""COMPUTED_VALUE"""),"The albendazole component may have an important role in reducing the time frame of filariasis elimination and sustain the aims of mass drug administration for longer periods, and also keep transmission at a lower level.")</f>
        <v>The albendazole component may have an important role in reducing the time frame of filariasis elimination and sustain the aims of mass drug administration for longer periods, and also keep transmission at a lower level.</v>
      </c>
      <c r="U303" s="40"/>
      <c r="V303" s="40">
        <f>IFERROR(__xludf.DUMMYFUNCTION("""COMPUTED_VALUE"""),2006.0)</f>
        <v>2006</v>
      </c>
      <c r="W303" s="40">
        <f>IFERROR(__xludf.DUMMYFUNCTION("""COMPUTED_VALUE"""),2006.0)</f>
        <v>2006</v>
      </c>
      <c r="X303" s="40" t="str">
        <f>IFERROR(__xludf.DUMMYFUNCTION("""COMPUTED_VALUE"""),"Sunish I, Rajendran R, Mani T, Dash A, Tyagi B. Evidence for the use of albendazole for the elimination of lymphatic filariasis. The Lancet Infectious Diseases. Elsevier BV; 2006 Mar;6(3):125–6.")</f>
        <v>Sunish I, Rajendran R, Mani T, Dash A, Tyagi B. Evidence for the use of albendazole for the elimination of lymphatic filariasis. The Lancet Infectious Diseases. Elsevier BV; 2006 Mar;6(3):125–6.</v>
      </c>
      <c r="Y303" s="40" t="str">
        <f>IFERROR(__xludf.DUMMYFUNCTION("""COMPUTED_VALUE"""),"10.1016/S1473-3099(06)70392-9")</f>
        <v>10.1016/S1473-3099(06)70392-9</v>
      </c>
      <c r="Z303" s="727" t="str">
        <f>IFERROR(__xludf.DUMMYFUNCTION("""COMPUTED_VALUE"""),"https://drive.google.com/file/d/0B9vYgR7NsKoYNURQU3lKMFBSU1U/view?usp=sharing")</f>
        <v>https://drive.google.com/file/d/0B9vYgR7NsKoYNURQU3lKMFBSU1U/view?usp=sharing</v>
      </c>
      <c r="AA303" s="40" t="str">
        <f>IFERROR(__xludf.DUMMYFUNCTION("""COMPUTED_VALUE"""),"x")</f>
        <v>x</v>
      </c>
      <c r="AB303" s="40"/>
    </row>
    <row r="304">
      <c r="A304" s="805" t="str">
        <f>IFERROR(__xludf.DUMMYFUNCTION("""COMPUTED_VALUE"""),"Sunish 2006")</f>
        <v>Sunish 2006</v>
      </c>
      <c r="B304" s="40" t="str">
        <f>IFERROR(__xludf.DUMMYFUNCTION("""COMPUTED_VALUE"""),"Chungsoo")</f>
        <v>Chungsoo</v>
      </c>
      <c r="C304" s="40" t="str">
        <f>IFERROR(__xludf.DUMMYFUNCTION("""COMPUTED_VALUE"""),"Mahvish")</f>
        <v>Mahvish</v>
      </c>
      <c r="D304" s="40" t="str">
        <f>IFERROR(__xludf.DUMMYFUNCTION("""COMPUTED_VALUE"""),"India")</f>
        <v>India</v>
      </c>
      <c r="E304" s="40"/>
      <c r="F304" s="40" t="str">
        <f>IFERROR(__xludf.DUMMYFUNCTION("""COMPUTED_VALUE"""),"Albendazole &amp; DEC")</f>
        <v>Albendazole &amp; DEC</v>
      </c>
      <c r="G304" s="40" t="str">
        <f>IFERROR(__xludf.DUMMYFUNCTION("""COMPUTED_VALUE"""),"N/A")</f>
        <v>N/A</v>
      </c>
      <c r="H304" s="40"/>
      <c r="I304" s="741">
        <f>IFERROR(__xludf.DUMMYFUNCTION("""COMPUTED_VALUE"""),0.72)</f>
        <v>0.72</v>
      </c>
      <c r="J304" s="216">
        <f>IFERROR(__xludf.DUMMYFUNCTION("""COMPUTED_VALUE"""),0.78)</f>
        <v>0.78</v>
      </c>
      <c r="K304" s="40"/>
      <c r="L304" s="40" t="str">
        <f>IFERROR(__xludf.DUMMYFUNCTION("""COMPUTED_VALUE"""),"n/a")</f>
        <v>n/a</v>
      </c>
      <c r="M304" s="40" t="str">
        <f>IFERROR(__xludf.DUMMYFUNCTION("""COMPUTED_VALUE"""),"10 to 25")</f>
        <v>10 to 25</v>
      </c>
      <c r="N304" s="40" t="str">
        <f>IFERROR(__xludf.DUMMYFUNCTION("""COMPUTED_VALUE"""),"n/a")</f>
        <v>n/a</v>
      </c>
      <c r="O304" s="40" t="str">
        <f>IFERROR(__xludf.DUMMYFUNCTION("""COMPUTED_VALUE"""),"n/a")</f>
        <v>n/a</v>
      </c>
      <c r="P304" s="40" t="str">
        <f>IFERROR(__xludf.DUMMYFUNCTION("""COMPUTED_VALUE"""),"mass treatment")</f>
        <v>mass treatment</v>
      </c>
      <c r="Q304" s="40"/>
      <c r="R304" s="40"/>
      <c r="S304" s="40" t="str">
        <f>IFERROR(__xludf.DUMMYFUNCTION("""COMPUTED_VALUE"""),"4 years")</f>
        <v>4 years</v>
      </c>
      <c r="T304" s="40" t="str">
        <f>IFERROR(__xludf.DUMMYFUNCTION("""COMPUTED_VALUE"""),"The albendazole component may have an important role in reducing the time frame of filariasis elimination and sustain the aims of mass drug administration for longer periods, and also keep transmission at a lower level.")</f>
        <v>The albendazole component may have an important role in reducing the time frame of filariasis elimination and sustain the aims of mass drug administration for longer periods, and also keep transmission at a lower level.</v>
      </c>
      <c r="U304" s="40"/>
      <c r="V304" s="40">
        <f>IFERROR(__xludf.DUMMYFUNCTION("""COMPUTED_VALUE"""),2006.0)</f>
        <v>2006</v>
      </c>
      <c r="W304" s="40">
        <f>IFERROR(__xludf.DUMMYFUNCTION("""COMPUTED_VALUE"""),2006.0)</f>
        <v>2006</v>
      </c>
      <c r="X304" s="40" t="str">
        <f>IFERROR(__xludf.DUMMYFUNCTION("""COMPUTED_VALUE"""),"Sunish I, Rajendran R, Mani T, Dash A, Tyagi B. Evidence for the use of albendazole for the elimination of lymphatic filariasis. The Lancet Infectious Diseases. Elsevier BV; 2006 Mar;6(3):125–6.")</f>
        <v>Sunish I, Rajendran R, Mani T, Dash A, Tyagi B. Evidence for the use of albendazole for the elimination of lymphatic filariasis. The Lancet Infectious Diseases. Elsevier BV; 2006 Mar;6(3):125–6.</v>
      </c>
      <c r="Y304" s="40" t="str">
        <f>IFERROR(__xludf.DUMMYFUNCTION("""COMPUTED_VALUE"""),"10.1016/S1473-3099(06)70392-9")</f>
        <v>10.1016/S1473-3099(06)70392-9</v>
      </c>
      <c r="Z304" s="727" t="str">
        <f>IFERROR(__xludf.DUMMYFUNCTION("""COMPUTED_VALUE"""),"https://drive.google.com/file/d/0B9vYgR7NsKoYNURQU3lKMFBSU1U/view?usp=sharing")</f>
        <v>https://drive.google.com/file/d/0B9vYgR7NsKoYNURQU3lKMFBSU1U/view?usp=sharing</v>
      </c>
      <c r="AA304" s="40" t="str">
        <f>IFERROR(__xludf.DUMMYFUNCTION("""COMPUTED_VALUE"""),"x")</f>
        <v>x</v>
      </c>
      <c r="AB304" s="40"/>
    </row>
    <row r="305">
      <c r="A305" s="805" t="str">
        <f>IFERROR(__xludf.DUMMYFUNCTION("""COMPUTED_VALUE"""),"Rochars 2004")</f>
        <v>Rochars 2004</v>
      </c>
      <c r="B305" s="40" t="str">
        <f>IFERROR(__xludf.DUMMYFUNCTION("""COMPUTED_VALUE"""),"Chungsoo")</f>
        <v>Chungsoo</v>
      </c>
      <c r="C305" s="40" t="str">
        <f>IFERROR(__xludf.DUMMYFUNCTION("""COMPUTED_VALUE"""),"Mahvish")</f>
        <v>Mahvish</v>
      </c>
      <c r="D305" s="40" t="str">
        <f>IFERROR(__xludf.DUMMYFUNCTION("""COMPUTED_VALUE"""),"Haiti")</f>
        <v>Haiti</v>
      </c>
      <c r="E305" s="40"/>
      <c r="F305" s="40" t="str">
        <f>IFERROR(__xludf.DUMMYFUNCTION("""COMPUTED_VALUE"""),"Albendazole &amp; DEC")</f>
        <v>Albendazole &amp; DEC</v>
      </c>
      <c r="G305" s="40" t="str">
        <f>IFERROR(__xludf.DUMMYFUNCTION("""COMPUTED_VALUE"""),"6mg/kg DEC, 400mg ALB")</f>
        <v>6mg/kg DEC, 400mg ALB</v>
      </c>
      <c r="H305" s="40" t="str">
        <f>IFERROR(__xludf.DUMMYFUNCTION("""COMPUTED_VALUE"""),"annual single dosage")</f>
        <v>annual single dosage</v>
      </c>
      <c r="I305" s="40"/>
      <c r="J305" s="216"/>
      <c r="K305" s="40"/>
      <c r="L305" s="40"/>
      <c r="M305" s="40"/>
      <c r="N305" s="40"/>
      <c r="O305" s="40" t="str">
        <f>IFERROR(__xludf.DUMMYFUNCTION("""COMPUTED_VALUE"""),"Children less than two years of age and pregnant women were excluded from treatment as per WHO guidelines.")</f>
        <v>Children less than two years of age and pregnant women were excluded from treatment as per WHO guidelines.</v>
      </c>
      <c r="P305" s="40" t="str">
        <f>IFERROR(__xludf.DUMMYFUNCTION("""COMPUTED_VALUE"""),"mass treatment")</f>
        <v>mass treatment</v>
      </c>
      <c r="Q305" s="40"/>
      <c r="R305" s="40"/>
      <c r="S305" s="40" t="str">
        <f>IFERROR(__xludf.DUMMYFUNCTION("""COMPUTED_VALUE"""),"3 years")</f>
        <v>3 years</v>
      </c>
      <c r="T305" s="40" t="str">
        <f>IFERROR(__xludf.DUMMYFUNCTION("""COMPUTED_VALUE"""),"substantial reductions in intestinal helminth infections are associated with mass treatment of filariasis in Haiti and are consistent with the conclusion that high levels of coverage for the LF program can decrease transmission of geohelminths.")</f>
        <v>substantial reductions in intestinal helminth infections are associated with mass treatment of filariasis in Haiti and are consistent with the conclusion that high levels of coverage for the LF program can decrease transmission of geohelminths.</v>
      </c>
      <c r="U305" s="40"/>
      <c r="V305" s="40">
        <f>IFERROR(__xludf.DUMMYFUNCTION("""COMPUTED_VALUE"""),2004.0)</f>
        <v>2004</v>
      </c>
      <c r="W305" s="40">
        <f>IFERROR(__xludf.DUMMYFUNCTION("""COMPUTED_VALUE"""),2004.0)</f>
        <v>2004</v>
      </c>
      <c r="X305" s="40" t="str">
        <f>IFERROR(__xludf.DUMMYFUNCTION("""COMPUTED_VALUE"""),"Rochars MB, Direny AN, Roberts JM, Addiss DG, et al. Community-wide reduction in prevalence and intensity of intestinal helminths as a collateral benefit of lymphatic filariasis elimination programs. Am J Trop Med Hyg. 2004 October; 71(4): 466–470.")</f>
        <v>Rochars MB, Direny AN, Roberts JM, Addiss DG, et al. Community-wide reduction in prevalence and intensity of intestinal helminths as a collateral benefit of lymphatic filariasis elimination programs. Am J Trop Med Hyg. 2004 October; 71(4): 466–470.</v>
      </c>
      <c r="Y305" s="40" t="str">
        <f>IFERROR(__xludf.DUMMYFUNCTION("""COMPUTED_VALUE"""),"PMID: 15516644")</f>
        <v>PMID: 15516644</v>
      </c>
      <c r="Z305" s="727" t="str">
        <f>IFERROR(__xludf.DUMMYFUNCTION("""COMPUTED_VALUE"""),"https://drive.google.com/file/d/0B0-pry4DSOm3NFJPRU4xMzUyX0k/view?usp=sharing")</f>
        <v>https://drive.google.com/file/d/0B0-pry4DSOm3NFJPRU4xMzUyX0k/view?usp=sharing</v>
      </c>
      <c r="AA305" s="40" t="str">
        <f>IFERROR(__xludf.DUMMYFUNCTION("""COMPUTED_VALUE"""),"x")</f>
        <v>x</v>
      </c>
      <c r="AB305" s="40"/>
    </row>
    <row r="306">
      <c r="A306" s="805" t="str">
        <f>IFERROR(__xludf.DUMMYFUNCTION("""COMPUTED_VALUE"""),"Ramzy 2006")</f>
        <v>Ramzy 2006</v>
      </c>
      <c r="B306" s="40" t="str">
        <f>IFERROR(__xludf.DUMMYFUNCTION("""COMPUTED_VALUE"""),"Chungsoo")</f>
        <v>Chungsoo</v>
      </c>
      <c r="C306" s="40" t="str">
        <f>IFERROR(__xludf.DUMMYFUNCTION("""COMPUTED_VALUE"""),"Mahvish")</f>
        <v>Mahvish</v>
      </c>
      <c r="D306" s="40" t="str">
        <f>IFERROR(__xludf.DUMMYFUNCTION("""COMPUTED_VALUE"""),"Egypt")</f>
        <v>Egypt</v>
      </c>
      <c r="E306" s="40" t="str">
        <f>IFERROR(__xludf.DUMMYFUNCTION("""COMPUTED_VALUE"""),"W. bancrofti")</f>
        <v>W. bancrofti</v>
      </c>
      <c r="F306" s="40" t="str">
        <f>IFERROR(__xludf.DUMMYFUNCTION("""COMPUTED_VALUE"""),"Albendazole &amp; DEC")</f>
        <v>Albendazole &amp; DEC</v>
      </c>
      <c r="G306" s="40" t="str">
        <f>IFERROR(__xludf.DUMMYFUNCTION("""COMPUTED_VALUE"""),"6mg/kg, 400mg")</f>
        <v>6mg/kg, 400mg</v>
      </c>
      <c r="H306" s="40" t="str">
        <f>IFERROR(__xludf.DUMMYFUNCTION("""COMPUTED_VALUE"""),"yearly cycles of single-dose diethylcarbamazine (6 mg/kg bodyweight) and albendazole (fixed dose of 400 mg). Five rounds of mass drug administration per village (2 villages)")</f>
        <v>yearly cycles of single-dose diethylcarbamazine (6 mg/kg bodyweight) and albendazole (fixed dose of 400 mg). Five rounds of mass drug administration per village (2 villages)</v>
      </c>
      <c r="I306" s="40" t="str">
        <f>IFERROR(__xludf.DUMMYFUNCTION("""COMPUTED_VALUE"""),"Giza: Round 1: 95.5%
2: 97.3%
3: 98.7%
4: 99.6%
5: 98.8%
Qalublya: Round 1: 98.3%
2: 99.4%
3: 100%
4: 99.8%
5: 100%")</f>
        <v>Giza: Round 1: 95.5%
2: 97.3%
3: 98.7%
4: 99.6%
5: 98.8%
Qalublya: Round 1: 98.3%
2: 99.4%
3: 100%
4: 99.8%
5: 100%</v>
      </c>
      <c r="J306" s="216"/>
      <c r="K306" s="40"/>
      <c r="L306" s="40" t="str">
        <f>IFERROR(__xludf.DUMMYFUNCTION("""COMPUTED_VALUE"""),"1774-1842")</f>
        <v>1774-1842</v>
      </c>
      <c r="M306" s="40" t="str">
        <f>IFERROR(__xludf.DUMMYFUNCTION("""COMPUTED_VALUE"""),"&gt;2")</f>
        <v>&gt;2</v>
      </c>
      <c r="N306" s="40" t="str">
        <f>IFERROR(__xludf.DUMMYFUNCTION("""COMPUTED_VALUE"""),"n/a")</f>
        <v>n/a</v>
      </c>
      <c r="O306" s="40" t="str">
        <f>IFERROR(__xludf.DUMMYFUNCTION("""COMPUTED_VALUE"""),"Pregnant women and children younger than 2 years were excluded from MDA.")</f>
        <v>Pregnant women and children younger than 2 years were excluded from MDA.</v>
      </c>
      <c r="P306" s="40" t="str">
        <f>IFERROR(__xludf.DUMMYFUNCTION("""COMPUTED_VALUE"""),"mass treatment")</f>
        <v>mass treatment</v>
      </c>
      <c r="Q306" s="40"/>
      <c r="R306" s="40"/>
      <c r="S306" s="40" t="str">
        <f>IFERROR(__xludf.DUMMYFUNCTION("""COMPUTED_VALUE"""),"5 years")</f>
        <v>5 years</v>
      </c>
      <c r="T306" s="40" t="str">
        <f>IFERROR(__xludf.DUMMYFUNCTION("""COMPUTED_VALUE"""),"Filarial antigen prevalence rates fell more slowly than microfilariae rates after MDA. This result is consistent with clinical trials that have shown diethylcarbamazine and albendazole to be more effective against micro-filariae than against adult W bancr"&amp;"ofti.")</f>
        <v>Filarial antigen prevalence rates fell more slowly than microfilariae rates after MDA. This result is consistent with clinical trials that have shown diethylcarbamazine and albendazole to be more effective against micro-filariae than against adult W bancrofti.</v>
      </c>
      <c r="U306" s="40"/>
      <c r="V306" s="40">
        <f>IFERROR(__xludf.DUMMYFUNCTION("""COMPUTED_VALUE"""),2006.0)</f>
        <v>2006</v>
      </c>
      <c r="W306" s="40">
        <f>IFERROR(__xludf.DUMMYFUNCTION("""COMPUTED_VALUE"""),2006.0)</f>
        <v>2006</v>
      </c>
      <c r="X306" s="40" t="str">
        <f>IFERROR(__xludf.DUMMYFUNCTION("""COMPUTED_VALUE"""),"
Thiers BH. Effect of yearly mass drug administration with diethylcarbamazine and albendazole on bancroftian filariasis in Egypt: a comprehensive assessment. Yearbook of Dermatology and Dermatologic Surgery. Elsevier BV; 2007 Jan;2007:165–6.")</f>
        <v>
Thiers BH. Effect of yearly mass drug administration with diethylcarbamazine and albendazole on bancroftian filariasis in Egypt: a comprehensive assessment. Yearbook of Dermatology and Dermatologic Surgery. Elsevier BV; 2007 Jan;2007:165–6.</v>
      </c>
      <c r="Y306" s="40"/>
      <c r="Z306" s="727" t="str">
        <f>IFERROR(__xludf.DUMMYFUNCTION("""COMPUTED_VALUE"""),"https://drive.google.com/file/d/0B4sJPAkX0Jo3REg5aXNxcUlGb3c/view?usp=sharing")</f>
        <v>https://drive.google.com/file/d/0B4sJPAkX0Jo3REg5aXNxcUlGb3c/view?usp=sharing</v>
      </c>
      <c r="AA306" s="40" t="str">
        <f>IFERROR(__xludf.DUMMYFUNCTION("""COMPUTED_VALUE"""),"x")</f>
        <v>x</v>
      </c>
      <c r="AB306" s="40"/>
    </row>
    <row r="307">
      <c r="A307" s="805" t="str">
        <f>IFERROR(__xludf.DUMMYFUNCTION("""COMPUTED_VALUE"""),"Ramzy 2006")</f>
        <v>Ramzy 2006</v>
      </c>
      <c r="B307" s="40" t="str">
        <f>IFERROR(__xludf.DUMMYFUNCTION("""COMPUTED_VALUE"""),"Chungsoo")</f>
        <v>Chungsoo</v>
      </c>
      <c r="C307" s="40" t="str">
        <f>IFERROR(__xludf.DUMMYFUNCTION("""COMPUTED_VALUE"""),"Mahvish")</f>
        <v>Mahvish</v>
      </c>
      <c r="D307" s="40" t="str">
        <f>IFERROR(__xludf.DUMMYFUNCTION("""COMPUTED_VALUE"""),"Egypt")</f>
        <v>Egypt</v>
      </c>
      <c r="E307" s="40" t="str">
        <f>IFERROR(__xludf.DUMMYFUNCTION("""COMPUTED_VALUE"""),"W. bancrofti")</f>
        <v>W. bancrofti</v>
      </c>
      <c r="F307" s="40" t="str">
        <f>IFERROR(__xludf.DUMMYFUNCTION("""COMPUTED_VALUE"""),"Albendazole &amp; DEC")</f>
        <v>Albendazole &amp; DEC</v>
      </c>
      <c r="G307" s="40" t="str">
        <f>IFERROR(__xludf.DUMMYFUNCTION("""COMPUTED_VALUE"""),"6mg/kg, 400mg")</f>
        <v>6mg/kg, 400mg</v>
      </c>
      <c r="H307" s="40" t="str">
        <f>IFERROR(__xludf.DUMMYFUNCTION("""COMPUTED_VALUE"""),"yearly cycles of single-dose diethylcarbamazine (6 mg/kg bodyweight) and albendazole (fixed dose of 400 mg). Five rounds of mass drug administration per village (2 villages)")</f>
        <v>yearly cycles of single-dose diethylcarbamazine (6 mg/kg bodyweight) and albendazole (fixed dose of 400 mg). Five rounds of mass drug administration per village (2 villages)</v>
      </c>
      <c r="I307" s="40" t="str">
        <f>IFERROR(__xludf.DUMMYFUNCTION("""COMPUTED_VALUE"""),"(Grade1)Giza: Round 1: 87.2%
2: 96.1%
3: 97.9%
4: 98.5%
5: 99.8%
(Grade1)Qalublya: Round 1: 99.6%
2: 98.3%
3: 100%
4: 100%
5: 100%")</f>
        <v>(Grade1)Giza: Round 1: 87.2%
2: 96.1%
3: 97.9%
4: 98.5%
5: 99.8%
(Grade1)Qalublya: Round 1: 99.6%
2: 98.3%
3: 100%
4: 100%
5: 100%</v>
      </c>
      <c r="J307" s="216"/>
      <c r="K307" s="40"/>
      <c r="L307" s="40" t="str">
        <f>IFERROR(__xludf.DUMMYFUNCTION("""COMPUTED_VALUE"""),"677-1229")</f>
        <v>677-1229</v>
      </c>
      <c r="M307" s="40" t="str">
        <f>IFERROR(__xludf.DUMMYFUNCTION("""COMPUTED_VALUE"""),"7 to 8")</f>
        <v>7 to 8</v>
      </c>
      <c r="N307" s="40" t="str">
        <f>IFERROR(__xludf.DUMMYFUNCTION("""COMPUTED_VALUE"""),"n/a")</f>
        <v>n/a</v>
      </c>
      <c r="O307" s="40" t="str">
        <f>IFERROR(__xludf.DUMMYFUNCTION("""COMPUTED_VALUE"""),"children younger than 2 years were excluded from MDA.")</f>
        <v>children younger than 2 years were excluded from MDA.</v>
      </c>
      <c r="P307" s="40" t="str">
        <f>IFERROR(__xludf.DUMMYFUNCTION("""COMPUTED_VALUE"""),"mass treatment")</f>
        <v>mass treatment</v>
      </c>
      <c r="Q307" s="40"/>
      <c r="R307" s="40"/>
      <c r="S307" s="40" t="str">
        <f>IFERROR(__xludf.DUMMYFUNCTION("""COMPUTED_VALUE"""),"5 years")</f>
        <v>5 years</v>
      </c>
      <c r="T307" s="40" t="str">
        <f>IFERROR(__xludf.DUMMYFUNCTION("""COMPUTED_VALUE"""),"Filarial antigen prevalence rates fell more slowly than microfilariae rates after MDA. This result is consistent with clinical trials that have shown diethylcarbamazine and albendazole to be more effective against micro-filariae than against adult W bancr"&amp;"ofti.")</f>
        <v>Filarial antigen prevalence rates fell more slowly than microfilariae rates after MDA. This result is consistent with clinical trials that have shown diethylcarbamazine and albendazole to be more effective against micro-filariae than against adult W bancrofti.</v>
      </c>
      <c r="U307" s="40"/>
      <c r="V307" s="40">
        <f>IFERROR(__xludf.DUMMYFUNCTION("""COMPUTED_VALUE"""),2006.0)</f>
        <v>2006</v>
      </c>
      <c r="W307" s="40">
        <f>IFERROR(__xludf.DUMMYFUNCTION("""COMPUTED_VALUE"""),2006.0)</f>
        <v>2006</v>
      </c>
      <c r="X307" s="40" t="str">
        <f>IFERROR(__xludf.DUMMYFUNCTION("""COMPUTED_VALUE"""),"
Thiers BH. Effect of yearly mass drug administration with diethylcarbamazine and albendazole on bancroftian filariasis in Egypt: a comprehensive assessment. Yearbook of Dermatology and Dermatologic Surgery. Elsevier BV; 2007 Jan;2007:165–6.")</f>
        <v>
Thiers BH. Effect of yearly mass drug administration with diethylcarbamazine and albendazole on bancroftian filariasis in Egypt: a comprehensive assessment. Yearbook of Dermatology and Dermatologic Surgery. Elsevier BV; 2007 Jan;2007:165–6.</v>
      </c>
      <c r="Y307" s="40"/>
      <c r="Z307" s="727" t="str">
        <f>IFERROR(__xludf.DUMMYFUNCTION("""COMPUTED_VALUE"""),"https://drive.google.com/file/d/0B4sJPAkX0Jo3REg5aXNxcUlGb3c/view?usp=sharing")</f>
        <v>https://drive.google.com/file/d/0B4sJPAkX0Jo3REg5aXNxcUlGb3c/view?usp=sharing</v>
      </c>
      <c r="AA307" s="40" t="str">
        <f>IFERROR(__xludf.DUMMYFUNCTION("""COMPUTED_VALUE"""),"x")</f>
        <v>x</v>
      </c>
      <c r="AB307" s="40"/>
    </row>
    <row r="308">
      <c r="A308" s="805" t="str">
        <f>IFERROR(__xludf.DUMMYFUNCTION("""COMPUTED_VALUE"""),"Ramzy 2006")</f>
        <v>Ramzy 2006</v>
      </c>
      <c r="B308" s="40" t="str">
        <f>IFERROR(__xludf.DUMMYFUNCTION("""COMPUTED_VALUE"""),"Chungsoo")</f>
        <v>Chungsoo</v>
      </c>
      <c r="C308" s="40" t="str">
        <f>IFERROR(__xludf.DUMMYFUNCTION("""COMPUTED_VALUE"""),"Mahvish")</f>
        <v>Mahvish</v>
      </c>
      <c r="D308" s="40" t="str">
        <f>IFERROR(__xludf.DUMMYFUNCTION("""COMPUTED_VALUE"""),"Egypt")</f>
        <v>Egypt</v>
      </c>
      <c r="E308" s="40" t="str">
        <f>IFERROR(__xludf.DUMMYFUNCTION("""COMPUTED_VALUE"""),"W. bancrofti")</f>
        <v>W. bancrofti</v>
      </c>
      <c r="F308" s="40" t="str">
        <f>IFERROR(__xludf.DUMMYFUNCTION("""COMPUTED_VALUE"""),"Albendazole &amp; DEC")</f>
        <v>Albendazole &amp; DEC</v>
      </c>
      <c r="G308" s="40" t="str">
        <f>IFERROR(__xludf.DUMMYFUNCTION("""COMPUTED_VALUE"""),"6mg/kg, 400mg")</f>
        <v>6mg/kg, 400mg</v>
      </c>
      <c r="H308" s="40" t="str">
        <f>IFERROR(__xludf.DUMMYFUNCTION("""COMPUTED_VALUE"""),"yearly cycles of single-dose diethylcarbamazine (6 mg/kg bodyweight) and albendazole (fixed dose of 400 mg). Five rounds of mass drug administration per village (2 villages)")</f>
        <v>yearly cycles of single-dose diethylcarbamazine (6 mg/kg bodyweight) and albendazole (fixed dose of 400 mg). Five rounds of mass drug administration per village (2 villages)</v>
      </c>
      <c r="I308" s="40" t="str">
        <f>IFERROR(__xludf.DUMMYFUNCTION("""COMPUTED_VALUE"""),"(Grade5)Giza: Round 1: n/a
2: 93.4%
3: 97.9%
4: 92.2%
5: 98.6%
(Grade5)Qalublya: Round 1: n/a
2: 98.6%
3: 98.5%
4: 99.91%
5: 100%")</f>
        <v>(Grade5)Giza: Round 1: n/a
2: 93.4%
3: 97.9%
4: 92.2%
5: 98.6%
(Grade5)Qalublya: Round 1: n/a
2: 98.6%
3: 98.5%
4: 99.91%
5: 100%</v>
      </c>
      <c r="J308" s="216"/>
      <c r="K308" s="40"/>
      <c r="L308" s="40" t="str">
        <f>IFERROR(__xludf.DUMMYFUNCTION("""COMPUTED_VALUE"""),"507-736")</f>
        <v>507-736</v>
      </c>
      <c r="M308" s="40">
        <f>IFERROR(__xludf.DUMMYFUNCTION("""COMPUTED_VALUE"""),11.0)</f>
        <v>11</v>
      </c>
      <c r="N308" s="40" t="str">
        <f>IFERROR(__xludf.DUMMYFUNCTION("""COMPUTED_VALUE"""),"n/a")</f>
        <v>n/a</v>
      </c>
      <c r="O308" s="40" t="str">
        <f>IFERROR(__xludf.DUMMYFUNCTION("""COMPUTED_VALUE"""),"children younger than 2 years were excluded from MDA.")</f>
        <v>children younger than 2 years were excluded from MDA.</v>
      </c>
      <c r="P308" s="40" t="str">
        <f>IFERROR(__xludf.DUMMYFUNCTION("""COMPUTED_VALUE"""),"mass treatment")</f>
        <v>mass treatment</v>
      </c>
      <c r="Q308" s="40"/>
      <c r="R308" s="40"/>
      <c r="S308" s="40" t="str">
        <f>IFERROR(__xludf.DUMMYFUNCTION("""COMPUTED_VALUE"""),"5 years")</f>
        <v>5 years</v>
      </c>
      <c r="T308" s="40" t="str">
        <f>IFERROR(__xludf.DUMMYFUNCTION("""COMPUTED_VALUE"""),"Filarial antigen prevalence rates fell more slowly than microfilariae rates after MDA. This result is consistent with clinical trials that have shown diethylcarbamazine and albendazole to be more effective against micro-filariae than against adult W bancr"&amp;"ofti.")</f>
        <v>Filarial antigen prevalence rates fell more slowly than microfilariae rates after MDA. This result is consistent with clinical trials that have shown diethylcarbamazine and albendazole to be more effective against micro-filariae than against adult W bancrofti.</v>
      </c>
      <c r="U308" s="40"/>
      <c r="V308" s="40">
        <f>IFERROR(__xludf.DUMMYFUNCTION("""COMPUTED_VALUE"""),2006.0)</f>
        <v>2006</v>
      </c>
      <c r="W308" s="40">
        <f>IFERROR(__xludf.DUMMYFUNCTION("""COMPUTED_VALUE"""),2006.0)</f>
        <v>2006</v>
      </c>
      <c r="X308" s="40" t="str">
        <f>IFERROR(__xludf.DUMMYFUNCTION("""COMPUTED_VALUE"""),"
Thiers BH. Effect of yearly mass drug administration with diethylcarbamazine and albendazole on bancroftian filariasis in Egypt: a comprehensive assessment. Yearbook of Dermatology and Dermatologic Surgery. Elsevier BV; 2007 Jan;2007:165–6.")</f>
        <v>
Thiers BH. Effect of yearly mass drug administration with diethylcarbamazine and albendazole on bancroftian filariasis in Egypt: a comprehensive assessment. Yearbook of Dermatology and Dermatologic Surgery. Elsevier BV; 2007 Jan;2007:165–6.</v>
      </c>
      <c r="Y308" s="40"/>
      <c r="Z308" s="727" t="str">
        <f>IFERROR(__xludf.DUMMYFUNCTION("""COMPUTED_VALUE"""),"https://drive.google.com/file/d/0B4sJPAkX0Jo3REg5aXNxcUlGb3c/view?usp=sharing")</f>
        <v>https://drive.google.com/file/d/0B4sJPAkX0Jo3REg5aXNxcUlGb3c/view?usp=sharing</v>
      </c>
      <c r="AA308" s="40" t="str">
        <f>IFERROR(__xludf.DUMMYFUNCTION("""COMPUTED_VALUE"""),"x")</f>
        <v>x</v>
      </c>
      <c r="AB308" s="40"/>
    </row>
    <row r="309">
      <c r="A309" s="805" t="str">
        <f>IFERROR(__xludf.DUMMYFUNCTION("""COMPUTED_VALUE"""),"Ramiah 2013")</f>
        <v>Ramiah 2013</v>
      </c>
      <c r="B309" s="40" t="str">
        <f>IFERROR(__xludf.DUMMYFUNCTION("""COMPUTED_VALUE"""),"Kirti")</f>
        <v>Kirti</v>
      </c>
      <c r="C309" s="40" t="str">
        <f>IFERROR(__xludf.DUMMYFUNCTION("""COMPUTED_VALUE"""),"Mahvish")</f>
        <v>Mahvish</v>
      </c>
      <c r="D309" s="40" t="str">
        <f>IFERROR(__xludf.DUMMYFUNCTION("""COMPUTED_VALUE"""),"South India")</f>
        <v>South India</v>
      </c>
      <c r="E309" s="40" t="str">
        <f>IFERROR(__xludf.DUMMYFUNCTION("""COMPUTED_VALUE"""),"W. bancrofti")</f>
        <v>W. bancrofti</v>
      </c>
      <c r="F309" s="40" t="str">
        <f>IFERROR(__xludf.DUMMYFUNCTION("""COMPUTED_VALUE"""),"DEC")</f>
        <v>DEC</v>
      </c>
      <c r="G309" s="40" t="str">
        <f>IFERROR(__xludf.DUMMYFUNCTION("""COMPUTED_VALUE"""),"6 mg/kg body weight")</f>
        <v>6 mg/kg body weight</v>
      </c>
      <c r="H309" s="40" t="str">
        <f>IFERROR(__xludf.DUMMYFUNCTION("""COMPUTED_VALUE"""),"annual single dose mass treatment - the first round of MDA was given in 1994. A total of 10 rounds of MDA were implemented, the last given in 2004. On average an individual consumed the drug six times out of 10 rounds of treatment.")</f>
        <v>annual single dose mass treatment - the first round of MDA was given in 1994. A total of 10 rounds of MDA were implemented, the last given in 2004. On average an individual consumed the drug six times out of 10 rounds of treatment.</v>
      </c>
      <c r="I309" s="783">
        <f>IFERROR(__xludf.DUMMYFUNCTION("""COMPUTED_VALUE"""),0.93)</f>
        <v>0.93</v>
      </c>
      <c r="J309" s="216"/>
      <c r="K309" s="40"/>
      <c r="L309" s="40">
        <f>IFERROR(__xludf.DUMMYFUNCTION("""COMPUTED_VALUE"""),9889.0)</f>
        <v>9889</v>
      </c>
      <c r="M309" s="40" t="str">
        <f>IFERROR(__xludf.DUMMYFUNCTION("""COMPUTED_VALUE"""),"1-45")</f>
        <v>1-45</v>
      </c>
      <c r="N309" s="40" t="str">
        <f>IFERROR(__xludf.DUMMYFUNCTION("""COMPUTED_VALUE"""),"n/a")</f>
        <v>n/a</v>
      </c>
      <c r="O309" s="40" t="str">
        <f>IFERROR(__xludf.DUMMYFUNCTION("""COMPUTED_VALUE"""),"Children below 15 kg body weight, pregnant and lactating women and severely ill people were excluded from treatment.")</f>
        <v>Children below 15 kg body weight, pregnant and lactating women and severely ill people were excluded from treatment.</v>
      </c>
      <c r="P309" s="40" t="str">
        <f>IFERROR(__xludf.DUMMYFUNCTION("""COMPUTED_VALUE"""),"mass treatment")</f>
        <v>mass treatment</v>
      </c>
      <c r="Q309" s="40"/>
      <c r="R309" s="40"/>
      <c r="S309" s="40" t="str">
        <f>IFERROR(__xludf.DUMMYFUNCTION("""COMPUTED_VALUE"""),"16 years ")</f>
        <v>16 years </v>
      </c>
      <c r="T309" s="40" t="str">
        <f>IFERROR(__xludf.DUMMYFUNCTION("""COMPUTED_VALUE"""),"Six years of post-MDA monitoring and evaluation appears to be adequate to discern the status of transmission interruption and appropriate decision making.")</f>
        <v>Six years of post-MDA monitoring and evaluation appears to be adequate to discern the status of transmission interruption and appropriate decision making.</v>
      </c>
      <c r="U309" s="40" t="str">
        <f>IFERROR(__xludf.DUMMYFUNCTION("""COMPUTED_VALUE"""),"The study started in 1994 when the subjects were given the first dose of medicine. They were given ten rounds of a single dose of DEC until 2004. Night blood surveys were carried out annually in all five villages for four years (2005 –2008) to study the c"&amp;"hanges in Mf prevalence after stopping the MDA. Mosquito surveys were carried out and vector infection rates monitored for six years (2005 –2010) after stopping the MDA. The sample size refers to the total population of the five villages and not the numbe"&amp;"r of individuals who went through the treatment. ")</f>
        <v>The study started in 1994 when the subjects were given the first dose of medicine. They were given ten rounds of a single dose of DEC until 2004. Night blood surveys were carried out annually in all five villages for four years (2005 –2008) to study the changes in Mf prevalence after stopping the MDA. Mosquito surveys were carried out and vector infection rates monitored for six years (2005 –2010) after stopping the MDA. The sample size refers to the total population of the five villages and not the number of individuals who went through the treatment. </v>
      </c>
      <c r="V309" s="40" t="str">
        <f>IFERROR(__xludf.DUMMYFUNCTION("""COMPUTED_VALUE"""),"1994-2010")</f>
        <v>1994-2010</v>
      </c>
      <c r="W309" s="40">
        <f>IFERROR(__xludf.DUMMYFUNCTION("""COMPUTED_VALUE"""),2010.0)</f>
        <v>2010</v>
      </c>
      <c r="X309" s="40" t="str">
        <f>IFERROR(__xludf.DUMMYFUNCTION("""COMPUTED_VALUE"""),"Ramaiah KD, and Vanamail P. Surveillance of lymphatic filariasis after stopping ten years of mass drug administration in rural communities in South India. Trans R Soc Trop Med Hyg. Janaury 2013; 107(5):293-300.")</f>
        <v>Ramaiah KD, and Vanamail P. Surveillance of lymphatic filariasis after stopping ten years of mass drug administration in rural communities in South India. Trans R Soc Trop Med Hyg. Janaury 2013; 107(5):293-300.</v>
      </c>
      <c r="Y309" s="40" t="str">
        <f>IFERROR(__xludf.DUMMYFUNCTION("""COMPUTED_VALUE"""),"10.1093/trstmh/trt011")</f>
        <v>10.1093/trstmh/trt011</v>
      </c>
      <c r="Z309" s="727" t="str">
        <f>IFERROR(__xludf.DUMMYFUNCTION("""COMPUTED_VALUE"""),"https://drive.google.com/file/d/0By3QPyQz621GeU9aN0RRSDc0VEU/view?usp=sharing")</f>
        <v>https://drive.google.com/file/d/0By3QPyQz621GeU9aN0RRSDc0VEU/view?usp=sharing</v>
      </c>
      <c r="AA309" s="40" t="str">
        <f>IFERROR(__xludf.DUMMYFUNCTION("""COMPUTED_VALUE"""),"x")</f>
        <v>x</v>
      </c>
      <c r="AB309" s="40"/>
    </row>
    <row r="310">
      <c r="A310" s="805" t="str">
        <f>IFERROR(__xludf.DUMMYFUNCTION("""COMPUTED_VALUE"""),"Rajendran 2004")</f>
        <v>Rajendran 2004</v>
      </c>
      <c r="B310" s="40" t="str">
        <f>IFERROR(__xludf.DUMMYFUNCTION("""COMPUTED_VALUE"""),"Kirti")</f>
        <v>Kirti</v>
      </c>
      <c r="C310" s="40" t="str">
        <f>IFERROR(__xludf.DUMMYFUNCTION("""COMPUTED_VALUE"""),"Mahvish")</f>
        <v>Mahvish</v>
      </c>
      <c r="D310" s="40" t="str">
        <f>IFERROR(__xludf.DUMMYFUNCTION("""COMPUTED_VALUE"""),"South India")</f>
        <v>South India</v>
      </c>
      <c r="E310" s="40" t="str">
        <f>IFERROR(__xludf.DUMMYFUNCTION("""COMPUTED_VALUE"""),"W. bancrofti")</f>
        <v>W. bancrofti</v>
      </c>
      <c r="F310" s="40" t="str">
        <f>IFERROR(__xludf.DUMMYFUNCTION("""COMPUTED_VALUE"""),"Albendazole &amp; DEC")</f>
        <v>Albendazole &amp; DEC</v>
      </c>
      <c r="G310" s="40" t="str">
        <f>IFERROR(__xludf.DUMMYFUNCTION("""COMPUTED_VALUE"""),"6mg/kg DEC + 1 tablet (400mg) ALB")</f>
        <v>6mg/kg DEC + 1 tablet (400mg) ALB</v>
      </c>
      <c r="H310" s="40" t="str">
        <f>IFERROR(__xludf.DUMMYFUNCTION("""COMPUTED_VALUE"""),"2 annual single dose MDA of DEC + ALB")</f>
        <v>2 annual single dose MDA of DEC + ALB</v>
      </c>
      <c r="I310" s="783">
        <f>IFERROR(__xludf.DUMMYFUNCTION("""COMPUTED_VALUE"""),0.61)</f>
        <v>0.61</v>
      </c>
      <c r="J310" s="216"/>
      <c r="K310" s="40"/>
      <c r="L310" s="40">
        <f>IFERROR(__xludf.DUMMYFUNCTION("""COMPUTED_VALUE"""),2040.0)</f>
        <v>2040</v>
      </c>
      <c r="M310" s="812" t="str">
        <f>IFERROR(__xludf.DUMMYFUNCTION("""COMPUTED_VALUE"""),"2-25")</f>
        <v>2-25</v>
      </c>
      <c r="N310" s="40" t="str">
        <f>IFERROR(__xludf.DUMMYFUNCTION("""COMPUTED_VALUE"""),"n/a")</f>
        <v>n/a</v>
      </c>
      <c r="O310" s="40" t="str">
        <f>IFERROR(__xludf.DUMMYFUNCTION("""COMPUTED_VALUE"""),"Children aged &lt;2 years and pregnant mothers were excluded from the study.")</f>
        <v>Children aged &lt;2 years and pregnant mothers were excluded from the study.</v>
      </c>
      <c r="P310" s="40" t="str">
        <f>IFERROR(__xludf.DUMMYFUNCTION("""COMPUTED_VALUE"""),"mass treatment")</f>
        <v>mass treatment</v>
      </c>
      <c r="Q310" s="40"/>
      <c r="R310" s="40"/>
      <c r="S310" s="40"/>
      <c r="T310" s="40" t="str">
        <f>IFERROR(__xludf.DUMMYFUNCTION("""COMPUTED_VALUE"""),"the annual, single-dose combination (DEC + ALB) mass treatment regimen has an enhanced effect against bancroftian filariasis compared to single-drug therapy.")</f>
        <v>the annual, single-dose combination (DEC + ALB) mass treatment regimen has an enhanced effect against bancroftian filariasis compared to single-drug therapy.</v>
      </c>
      <c r="U310" s="40"/>
      <c r="V310" s="40" t="str">
        <f>IFERROR(__xludf.DUMMYFUNCTION("""COMPUTED_VALUE"""),"2001-2002")</f>
        <v>2001-2002</v>
      </c>
      <c r="W310" s="40">
        <f>IFERROR(__xludf.DUMMYFUNCTION("""COMPUTED_VALUE"""),2002.0)</f>
        <v>2002</v>
      </c>
      <c r="X310" s="40" t="str">
        <f>IFERROR(__xludf.DUMMYFUNCTION("""COMPUTED_VALUE"""),"Rajendran R, Sunish IP, Mani TR, Munirathinam A, Abdullah S, Arunachalam N, et al. Impact of two annual single-dose mass drug administrations with diethylcarbamazine alone or in  combination with albendazole on Wuchereria bancrofti microfilaraemia and ant"&amp;"igenaemia in South India.Transactions of the Royal Society of Tropical Medicine and Hygiene.  August 2003; 98: 174-181.")</f>
        <v>Rajendran R, Sunish IP, Mani TR, Munirathinam A, Abdullah S, Arunachalam N, et al. Impact of two annual single-dose mass drug administrations with diethylcarbamazine alone or in  combination with albendazole on Wuchereria bancrofti microfilaraemia and antigenaemia in South India.Transactions of the Royal Society of Tropical Medicine and Hygiene.  August 2003; 98: 174-181.</v>
      </c>
      <c r="Y310" s="40" t="str">
        <f>IFERROR(__xludf.DUMMYFUNCTION("""COMPUTED_VALUE"""),"10.1016/S0035-9203(03)00042-7")</f>
        <v>10.1016/S0035-9203(03)00042-7</v>
      </c>
      <c r="Z310" s="727" t="str">
        <f>IFERROR(__xludf.DUMMYFUNCTION("""COMPUTED_VALUE"""),"https://drive.google.com/file/d/0B0-pry4DSOm3eExtN0ExYWRKTFU/view?usp=sharing")</f>
        <v>https://drive.google.com/file/d/0B0-pry4DSOm3eExtN0ExYWRKTFU/view?usp=sharing</v>
      </c>
      <c r="AA310" s="40" t="str">
        <f>IFERROR(__xludf.DUMMYFUNCTION("""COMPUTED_VALUE"""),"x")</f>
        <v>x</v>
      </c>
      <c r="AB310" s="40"/>
    </row>
    <row r="311">
      <c r="A311" s="805" t="str">
        <f>IFERROR(__xludf.DUMMYFUNCTION("""COMPUTED_VALUE"""),"Rajendran 2004")</f>
        <v>Rajendran 2004</v>
      </c>
      <c r="B311" s="40" t="str">
        <f>IFERROR(__xludf.DUMMYFUNCTION("""COMPUTED_VALUE"""),"Kirti")</f>
        <v>Kirti</v>
      </c>
      <c r="C311" s="40" t="str">
        <f>IFERROR(__xludf.DUMMYFUNCTION("""COMPUTED_VALUE"""),"Mahvish")</f>
        <v>Mahvish</v>
      </c>
      <c r="D311" s="40" t="str">
        <f>IFERROR(__xludf.DUMMYFUNCTION("""COMPUTED_VALUE"""),"South India")</f>
        <v>South India</v>
      </c>
      <c r="E311" s="40" t="str">
        <f>IFERROR(__xludf.DUMMYFUNCTION("""COMPUTED_VALUE"""),"W. bancrofti")</f>
        <v>W. bancrofti</v>
      </c>
      <c r="F311" s="40" t="str">
        <f>IFERROR(__xludf.DUMMYFUNCTION("""COMPUTED_VALUE"""),"DEC")</f>
        <v>DEC</v>
      </c>
      <c r="G311" s="40" t="str">
        <f>IFERROR(__xludf.DUMMYFUNCTION("""COMPUTED_VALUE"""),"6 mg/kg")</f>
        <v>6 mg/kg</v>
      </c>
      <c r="H311" s="40" t="str">
        <f>IFERROR(__xludf.DUMMYFUNCTION("""COMPUTED_VALUE"""),"5 annual rounds of single dose DEC")</f>
        <v>5 annual rounds of single dose DEC</v>
      </c>
      <c r="I311" s="216">
        <f>IFERROR(__xludf.DUMMYFUNCTION("""COMPUTED_VALUE"""),0.3575)</f>
        <v>0.3575</v>
      </c>
      <c r="J311" s="216"/>
      <c r="K311" s="40"/>
      <c r="L311" s="40">
        <f>IFERROR(__xludf.DUMMYFUNCTION("""COMPUTED_VALUE"""),2040.0)</f>
        <v>2040</v>
      </c>
      <c r="M311" s="812" t="str">
        <f>IFERROR(__xludf.DUMMYFUNCTION("""COMPUTED_VALUE"""),"2-25")</f>
        <v>2-25</v>
      </c>
      <c r="N311" s="40" t="str">
        <f>IFERROR(__xludf.DUMMYFUNCTION("""COMPUTED_VALUE"""),"n/a")</f>
        <v>n/a</v>
      </c>
      <c r="O311" s="40" t="str">
        <f>IFERROR(__xludf.DUMMYFUNCTION("""COMPUTED_VALUE"""),"Children aged &lt;2 years and pregnant mothers were excluded from the study.")</f>
        <v>Children aged &lt;2 years and pregnant mothers were excluded from the study.</v>
      </c>
      <c r="P311" s="40" t="str">
        <f>IFERROR(__xludf.DUMMYFUNCTION("""COMPUTED_VALUE"""),"mass treatment")</f>
        <v>mass treatment</v>
      </c>
      <c r="Q311" s="40"/>
      <c r="R311" s="40"/>
      <c r="S311" s="40"/>
      <c r="T311" s="40" t="str">
        <f>IFERROR(__xludf.DUMMYFUNCTION("""COMPUTED_VALUE"""),"the annual, single-dose combination (DEC + ALB) mass treatment regimen has an enhanced effect against bancroftian filariasis compared to single-drug therapy.")</f>
        <v>the annual, single-dose combination (DEC + ALB) mass treatment regimen has an enhanced effect against bancroftian filariasis compared to single-drug therapy.</v>
      </c>
      <c r="U311" s="40"/>
      <c r="V311" s="40" t="str">
        <f>IFERROR(__xludf.DUMMYFUNCTION("""COMPUTED_VALUE"""),"2001-2002")</f>
        <v>2001-2002</v>
      </c>
      <c r="W311" s="40">
        <f>IFERROR(__xludf.DUMMYFUNCTION("""COMPUTED_VALUE"""),2002.0)</f>
        <v>2002</v>
      </c>
      <c r="X311" s="40" t="str">
        <f>IFERROR(__xludf.DUMMYFUNCTION("""COMPUTED_VALUE"""),"Rajendran R, Sunish IP, Mani TR, Munirathinam A, Abdullah S, Arunachalam N, et al. Impact of two annual single-dose mass drug administrations with diethylcarbamazine alone or in  combination with albendazole on Wuchereria bancrofti microfilaraemia and ant"&amp;"igenaemia in South India.Transactions of the Royal Society of Tropical Medicine and Hygiene.  August 2003; 98: 174-181.")</f>
        <v>Rajendran R, Sunish IP, Mani TR, Munirathinam A, Abdullah S, Arunachalam N, et al. Impact of two annual single-dose mass drug administrations with diethylcarbamazine alone or in  combination with albendazole on Wuchereria bancrofti microfilaraemia and antigenaemia in South India.Transactions of the Royal Society of Tropical Medicine and Hygiene.  August 2003; 98: 174-181.</v>
      </c>
      <c r="Y311" s="40" t="str">
        <f>IFERROR(__xludf.DUMMYFUNCTION("""COMPUTED_VALUE"""),"10.1016/S0035-9203(03)00042-7")</f>
        <v>10.1016/S0035-9203(03)00042-7</v>
      </c>
      <c r="Z311" s="727" t="str">
        <f>IFERROR(__xludf.DUMMYFUNCTION("""COMPUTED_VALUE"""),"https://drive.google.com/file/d/0B0-pry4DSOm3eExtN0ExYWRKTFU/view?usp=sharing")</f>
        <v>https://drive.google.com/file/d/0B0-pry4DSOm3eExtN0ExYWRKTFU/view?usp=sharing</v>
      </c>
      <c r="AA311" s="40" t="str">
        <f>IFERROR(__xludf.DUMMYFUNCTION("""COMPUTED_VALUE"""),"x")</f>
        <v>x</v>
      </c>
      <c r="AB311" s="40"/>
    </row>
    <row r="312">
      <c r="A312" s="805" t="str">
        <f>IFERROR(__xludf.DUMMYFUNCTION("""COMPUTED_VALUE"""),"Rajendran 2004")</f>
        <v>Rajendran 2004</v>
      </c>
      <c r="B312" s="40" t="str">
        <f>IFERROR(__xludf.DUMMYFUNCTION("""COMPUTED_VALUE"""),"Kirti")</f>
        <v>Kirti</v>
      </c>
      <c r="C312" s="40" t="str">
        <f>IFERROR(__xludf.DUMMYFUNCTION("""COMPUTED_VALUE"""),"Mahvish")</f>
        <v>Mahvish</v>
      </c>
      <c r="D312" s="40" t="str">
        <f>IFERROR(__xludf.DUMMYFUNCTION("""COMPUTED_VALUE"""),"India")</f>
        <v>India</v>
      </c>
      <c r="E312" s="40" t="str">
        <f>IFERROR(__xludf.DUMMYFUNCTION("""COMPUTED_VALUE"""),"W. bancrofti")</f>
        <v>W. bancrofti</v>
      </c>
      <c r="F312" s="40" t="str">
        <f>IFERROR(__xludf.DUMMYFUNCTION("""COMPUTED_VALUE"""),"Both arms ")</f>
        <v>Both arms </v>
      </c>
      <c r="G312" s="40"/>
      <c r="H312" s="40"/>
      <c r="I312" s="216">
        <f>IFERROR(__xludf.DUMMYFUNCTION("""COMPUTED_VALUE"""),0.4841)</f>
        <v>0.4841</v>
      </c>
      <c r="J312" s="216"/>
      <c r="K312" s="40"/>
      <c r="L312" s="40">
        <f>IFERROR(__xludf.DUMMYFUNCTION("""COMPUTED_VALUE"""),2040.0)</f>
        <v>2040</v>
      </c>
      <c r="M312" s="812" t="str">
        <f>IFERROR(__xludf.DUMMYFUNCTION("""COMPUTED_VALUE"""),"2-25")</f>
        <v>2-25</v>
      </c>
      <c r="N312" s="40" t="str">
        <f>IFERROR(__xludf.DUMMYFUNCTION("""COMPUTED_VALUE"""),"n/a")</f>
        <v>n/a</v>
      </c>
      <c r="O312" s="40" t="str">
        <f>IFERROR(__xludf.DUMMYFUNCTION("""COMPUTED_VALUE"""),"Children aged &lt;2 years and pregnant mothers were excluded from the study.")</f>
        <v>Children aged &lt;2 years and pregnant mothers were excluded from the study.</v>
      </c>
      <c r="P312" s="40" t="str">
        <f>IFERROR(__xludf.DUMMYFUNCTION("""COMPUTED_VALUE"""),"mass treatment")</f>
        <v>mass treatment</v>
      </c>
      <c r="Q312" s="40"/>
      <c r="R312" s="40"/>
      <c r="S312" s="40"/>
      <c r="T312" s="40" t="str">
        <f>IFERROR(__xludf.DUMMYFUNCTION("""COMPUTED_VALUE"""),"the annual, single-dose combination (DEC + ALB) mass treatment regimen has an enhanced effect against bancroftian filariasis compared to single-drug therapy.")</f>
        <v>the annual, single-dose combination (DEC + ALB) mass treatment regimen has an enhanced effect against bancroftian filariasis compared to single-drug therapy.</v>
      </c>
      <c r="U312" s="40"/>
      <c r="V312" s="40" t="str">
        <f>IFERROR(__xludf.DUMMYFUNCTION("""COMPUTED_VALUE"""),"2001-2002")</f>
        <v>2001-2002</v>
      </c>
      <c r="W312" s="40">
        <f>IFERROR(__xludf.DUMMYFUNCTION("""COMPUTED_VALUE"""),2002.0)</f>
        <v>2002</v>
      </c>
      <c r="X312" s="40" t="str">
        <f>IFERROR(__xludf.DUMMYFUNCTION("""COMPUTED_VALUE"""),"Rajendran R, Sunish IP, Mani TR, Munirathinam A, Abdullah S, Arunachalam N, et al. Impact of two annual single-dose mass drug administrations with diethylcarbamazine alone or in  combination with albendazole on Wuchereria bancrofti microfilaraemia and ant"&amp;"igenaemia in South India.Transactions of the Royal Society of Tropical Medicine and Hygiene.  August 2003; 98: 174-181.")</f>
        <v>Rajendran R, Sunish IP, Mani TR, Munirathinam A, Abdullah S, Arunachalam N, et al. Impact of two annual single-dose mass drug administrations with diethylcarbamazine alone or in  combination with albendazole on Wuchereria bancrofti microfilaraemia and antigenaemia in South India.Transactions of the Royal Society of Tropical Medicine and Hygiene.  August 2003; 98: 174-181.</v>
      </c>
      <c r="Y312" s="40" t="str">
        <f>IFERROR(__xludf.DUMMYFUNCTION("""COMPUTED_VALUE"""),"10.1016/S0035-9203(03)00042-7")</f>
        <v>10.1016/S0035-9203(03)00042-7</v>
      </c>
      <c r="Z312" s="727" t="str">
        <f>IFERROR(__xludf.DUMMYFUNCTION("""COMPUTED_VALUE"""),"https://drive.google.com/file/d/0B0-pry4DSOm3eExtN0ExYWRKTFU/view?usp=sharing")</f>
        <v>https://drive.google.com/file/d/0B0-pry4DSOm3eExtN0ExYWRKTFU/view?usp=sharing</v>
      </c>
      <c r="AA312" s="40" t="str">
        <f>IFERROR(__xludf.DUMMYFUNCTION("""COMPUTED_VALUE"""),"x")</f>
        <v>x</v>
      </c>
      <c r="AB312" s="40"/>
    </row>
    <row r="313">
      <c r="A313" s="805" t="str">
        <f>IFERROR(__xludf.DUMMYFUNCTION("""COMPUTED_VALUE"""),"Rajendran 2002")</f>
        <v>Rajendran 2002</v>
      </c>
      <c r="B313" s="40"/>
      <c r="C313" s="40" t="str">
        <f>IFERROR(__xludf.DUMMYFUNCTION("""COMPUTED_VALUE"""),"Mahvish")</f>
        <v>Mahvish</v>
      </c>
      <c r="D313" s="40" t="str">
        <f>IFERROR(__xludf.DUMMYFUNCTION("""COMPUTED_VALUE"""),"Tamil Nadu, India")</f>
        <v>Tamil Nadu, India</v>
      </c>
      <c r="E313" s="40" t="str">
        <f>IFERROR(__xludf.DUMMYFUNCTION("""COMPUTED_VALUE"""),"W. bancrofti")</f>
        <v>W. bancrofti</v>
      </c>
      <c r="F313" s="40" t="str">
        <f>IFERROR(__xludf.DUMMYFUNCTION("""COMPUTED_VALUE"""),"DEC")</f>
        <v>DEC</v>
      </c>
      <c r="G313" s="40" t="str">
        <f>IFERROR(__xludf.DUMMYFUNCTION("""COMPUTED_VALUE"""),"6mg/kg")</f>
        <v>6mg/kg</v>
      </c>
      <c r="H313" s="40" t="str">
        <f>IFERROR(__xludf.DUMMYFUNCTION("""COMPUTED_VALUE"""),"5 days (19-24 March 2001)")</f>
        <v>5 days (19-24 March 2001)</v>
      </c>
      <c r="I313" s="40"/>
      <c r="J313" s="216"/>
      <c r="K313" s="40"/>
      <c r="L313" s="40">
        <f>IFERROR(__xludf.DUMMYFUNCTION("""COMPUTED_VALUE"""),2040.0)</f>
        <v>2040</v>
      </c>
      <c r="M313" s="829">
        <f>IFERROR(__xludf.DUMMYFUNCTION("""COMPUTED_VALUE"""),42425.0)</f>
        <v>42425</v>
      </c>
      <c r="N313" s="40" t="str">
        <f>IFERROR(__xludf.DUMMYFUNCTION("""COMPUTED_VALUE"""),"n/a")</f>
        <v>n/a</v>
      </c>
      <c r="O313" s="40" t="str">
        <f>IFERROR(__xludf.DUMMYFUNCTION("""COMPUTED_VALUE"""),"village residents age 2-25, excluding &lt;age 2 and pregnant women")</f>
        <v>village residents age 2-25, excluding &lt;age 2 and pregnant women</v>
      </c>
      <c r="P313" s="40" t="str">
        <f>IFERROR(__xludf.DUMMYFUNCTION("""COMPUTED_VALUE"""),"MDA")</f>
        <v>MDA</v>
      </c>
      <c r="Q313" s="40" t="str">
        <f>IFERROR(__xludf.DUMMYFUNCTION("""COMPUTED_VALUE"""),"n/a")</f>
        <v>n/a</v>
      </c>
      <c r="R313" s="40" t="str">
        <f>IFERROR(__xludf.DUMMYFUNCTION("""COMPUTED_VALUE"""),"n/a")</f>
        <v>n/a</v>
      </c>
      <c r="S313" s="40" t="str">
        <f>IFERROR(__xludf.DUMMYFUNCTION("""COMPUTED_VALUE"""),"follow up at 6 and 12 months")</f>
        <v>follow up at 6 and 12 months</v>
      </c>
      <c r="T313" s="40" t="str">
        <f>IFERROR(__xludf.DUMMYFUNCTION("""COMPUTED_VALUE"""),"""the present results, particularly for the youngest subjects (aged 2-9 years), indicate that the additon of ALB to DEC-based MDA offers no advantages in terms of human infection with adult W. bancrofti.""... ""although the additon of ALB to DEC treatment"&amp;" appears to offer no benefits in terms of AGP, it has the significant advantage of reducing the prevalences and intensities of infection with geohelminths for at least 11 months after MDA.""")</f>
        <v>"the present results, particularly for the youngest subjects (aged 2-9 years), indicate that the additon of ALB to DEC-based MDA offers no advantages in terms of human infection with adult W. bancrofti."... "although the additon of ALB to DEC treatment appears to offer no benefits in terms of AGP, it has the significant advantage of reducing the prevalences and intensities of infection with geohelminths for at least 11 months after MDA."</v>
      </c>
      <c r="U313" s="40"/>
      <c r="V313" s="40" t="str">
        <f>IFERROR(__xludf.DUMMYFUNCTION("""COMPUTED_VALUE"""),"2001-2002")</f>
        <v>2001-2002</v>
      </c>
      <c r="W313" s="40">
        <f>IFERROR(__xludf.DUMMYFUNCTION("""COMPUTED_VALUE"""),2002.0)</f>
        <v>2002</v>
      </c>
      <c r="X313" s="40" t="str">
        <f>IFERROR(__xludf.DUMMYFUNCTION("""COMPUTED_VALUE"""),"Rajendran R, Sunish IP, Mani TR, Munirathinam A, Abdullah SM,Augustin DJ. The influence of the mass administration of diethylcarbamazine, alone or with albendazole, on the prevalence of filarial antigenaemia.Ann Trop Med Parasitol.September 2002; 96(6): 5"&amp;"95-602. ")</f>
        <v>Rajendran R, Sunish IP, Mani TR, Munirathinam A, Abdullah SM,Augustin DJ. The influence of the mass administration of diethylcarbamazine, alone or with albendazole, on the prevalence of filarial antigenaemia.Ann Trop Med Parasitol.September 2002; 96(6): 595-602. </v>
      </c>
      <c r="Y313" s="40" t="str">
        <f>IFERROR(__xludf.DUMMYFUNCTION("""COMPUTED_VALUE"""),"10.1179/000349802125001726")</f>
        <v>10.1179/000349802125001726</v>
      </c>
      <c r="Z313" s="727" t="str">
        <f>IFERROR(__xludf.DUMMYFUNCTION("""COMPUTED_VALUE"""),"https://drive.google.com/file/d/0By3QPyQz621Gd01FTFhrdUJ5U0E/view?usp=sharing")</f>
        <v>https://drive.google.com/file/d/0By3QPyQz621Gd01FTFhrdUJ5U0E/view?usp=sharing</v>
      </c>
      <c r="AA313" s="40" t="str">
        <f>IFERROR(__xludf.DUMMYFUNCTION("""COMPUTED_VALUE"""),"x")</f>
        <v>x</v>
      </c>
      <c r="AB313" s="40"/>
    </row>
    <row r="314">
      <c r="A314" s="805" t="str">
        <f>IFERROR(__xludf.DUMMYFUNCTION("""COMPUTED_VALUE"""),"Rajendran 2002")</f>
        <v>Rajendran 2002</v>
      </c>
      <c r="B314" s="40"/>
      <c r="C314" s="40" t="str">
        <f>IFERROR(__xludf.DUMMYFUNCTION("""COMPUTED_VALUE"""),"Mahvish")</f>
        <v>Mahvish</v>
      </c>
      <c r="D314" s="40" t="str">
        <f>IFERROR(__xludf.DUMMYFUNCTION("""COMPUTED_VALUE"""),"Tamil Nadu, India")</f>
        <v>Tamil Nadu, India</v>
      </c>
      <c r="E314" s="40" t="str">
        <f>IFERROR(__xludf.DUMMYFUNCTION("""COMPUTED_VALUE"""),"W. bancrofti")</f>
        <v>W. bancrofti</v>
      </c>
      <c r="F314" s="40" t="str">
        <f>IFERROR(__xludf.DUMMYFUNCTION("""COMPUTED_VALUE"""),"Albendazole &amp; DEC")</f>
        <v>Albendazole &amp; DEC</v>
      </c>
      <c r="G314" s="40" t="str">
        <f>IFERROR(__xludf.DUMMYFUNCTION("""COMPUTED_VALUE"""),"6mg/kg DEC + 400mg ALB")</f>
        <v>6mg/kg DEC + 400mg ALB</v>
      </c>
      <c r="H314" s="40" t="str">
        <f>IFERROR(__xludf.DUMMYFUNCTION("""COMPUTED_VALUE"""),"5 days (19-24 March 2001)")</f>
        <v>5 days (19-24 March 2001)</v>
      </c>
      <c r="I314" s="40"/>
      <c r="J314" s="216"/>
      <c r="K314" s="40"/>
      <c r="L314" s="40">
        <f>IFERROR(__xludf.DUMMYFUNCTION("""COMPUTED_VALUE"""),2040.0)</f>
        <v>2040</v>
      </c>
      <c r="M314" s="829">
        <f>IFERROR(__xludf.DUMMYFUNCTION("""COMPUTED_VALUE"""),42425.0)</f>
        <v>42425</v>
      </c>
      <c r="N314" s="40" t="str">
        <f>IFERROR(__xludf.DUMMYFUNCTION("""COMPUTED_VALUE"""),"n/a")</f>
        <v>n/a</v>
      </c>
      <c r="O314" s="40" t="str">
        <f>IFERROR(__xludf.DUMMYFUNCTION("""COMPUTED_VALUE"""),"village residents ages 2-25, excluding &lt;age 2 and pregnant women")</f>
        <v>village residents ages 2-25, excluding &lt;age 2 and pregnant women</v>
      </c>
      <c r="P314" s="40" t="str">
        <f>IFERROR(__xludf.DUMMYFUNCTION("""COMPUTED_VALUE"""),"MDA")</f>
        <v>MDA</v>
      </c>
      <c r="Q314" s="40" t="str">
        <f>IFERROR(__xludf.DUMMYFUNCTION("""COMPUTED_VALUE"""),"n/a")</f>
        <v>n/a</v>
      </c>
      <c r="R314" s="40" t="str">
        <f>IFERROR(__xludf.DUMMYFUNCTION("""COMPUTED_VALUE"""),"n/a")</f>
        <v>n/a</v>
      </c>
      <c r="S314" s="40" t="str">
        <f>IFERROR(__xludf.DUMMYFUNCTION("""COMPUTED_VALUE"""),"follow up at 6 and 12 months")</f>
        <v>follow up at 6 and 12 months</v>
      </c>
      <c r="T314" s="40" t="str">
        <f>IFERROR(__xludf.DUMMYFUNCTION("""COMPUTED_VALUE"""),"""the present results, particularly for the youngest subjects (aged 2-9 years), indicate that the additon of ALB to DEC-based MDA offers no advantages in terms of human infection with adult W. bancrofti.""... ""although the additon of ALB to DEC treatment"&amp;" appears to offer no benefits in terms of AGP, it has the significant advantage of reducing the prevalences and intensities of infection with geohelminths for at least 11 months after MDA.""")</f>
        <v>"the present results, particularly for the youngest subjects (aged 2-9 years), indicate that the additon of ALB to DEC-based MDA offers no advantages in terms of human infection with adult W. bancrofti."... "although the additon of ALB to DEC treatment appears to offer no benefits in terms of AGP, it has the significant advantage of reducing the prevalences and intensities of infection with geohelminths for at least 11 months after MDA."</v>
      </c>
      <c r="U314" s="40"/>
      <c r="V314" s="40" t="str">
        <f>IFERROR(__xludf.DUMMYFUNCTION("""COMPUTED_VALUE"""),"2001-2002")</f>
        <v>2001-2002</v>
      </c>
      <c r="W314" s="40">
        <f>IFERROR(__xludf.DUMMYFUNCTION("""COMPUTED_VALUE"""),2002.0)</f>
        <v>2002</v>
      </c>
      <c r="X314" s="40" t="str">
        <f>IFERROR(__xludf.DUMMYFUNCTION("""COMPUTED_VALUE"""),"Rajendran R, Sunish IP, Mani TR, Munirathinam A, Abdullah SM,Augustin DJ. The influence of the mass administration of diethylcarbamazine, alone or with albendazole, on the prevalence of filarial antigenaemia.Ann Trop Med Parasitol.September 2002; 96(6): 5"&amp;"95-602. ")</f>
        <v>Rajendran R, Sunish IP, Mani TR, Munirathinam A, Abdullah SM,Augustin DJ. The influence of the mass administration of diethylcarbamazine, alone or with albendazole, on the prevalence of filarial antigenaemia.Ann Trop Med Parasitol.September 2002; 96(6): 595-602. </v>
      </c>
      <c r="Y314" s="40" t="str">
        <f>IFERROR(__xludf.DUMMYFUNCTION("""COMPUTED_VALUE"""),"10.1179/000349802125001726")</f>
        <v>10.1179/000349802125001726</v>
      </c>
      <c r="Z314" s="727" t="str">
        <f>IFERROR(__xludf.DUMMYFUNCTION("""COMPUTED_VALUE"""),"https://drive.google.com/file/d/0By3QPyQz621Gd01FTFhrdUJ5U0E/view?usp=sharing")</f>
        <v>https://drive.google.com/file/d/0By3QPyQz621Gd01FTFhrdUJ5U0E/view?usp=sharing</v>
      </c>
      <c r="AA314" s="40" t="str">
        <f>IFERROR(__xludf.DUMMYFUNCTION("""COMPUTED_VALUE"""),"x")</f>
        <v>x</v>
      </c>
      <c r="AB314" s="40"/>
    </row>
    <row r="315">
      <c r="A315" s="805" t="str">
        <f>IFERROR(__xludf.DUMMYFUNCTION("""COMPUTED_VALUE"""),"Ottesen 2008")</f>
        <v>Ottesen 2008</v>
      </c>
      <c r="B315" s="40"/>
      <c r="C315" s="40" t="str">
        <f>IFERROR(__xludf.DUMMYFUNCTION("""COMPUTED_VALUE"""),"Mahvish")</f>
        <v>Mahvish</v>
      </c>
      <c r="D315" s="40"/>
      <c r="E315" s="40"/>
      <c r="F315" s="40"/>
      <c r="G315" s="40"/>
      <c r="H315" s="40"/>
      <c r="I315" s="40"/>
      <c r="J315" s="216"/>
      <c r="K315" s="40"/>
      <c r="L315" s="40"/>
      <c r="M315" s="40"/>
      <c r="N315" s="40"/>
      <c r="O315" s="40"/>
      <c r="P315" s="40"/>
      <c r="Q315" s="40"/>
      <c r="R315" s="40"/>
      <c r="S315" s="40"/>
      <c r="T315" s="40" t="str">
        <f>IFERROR(__xludf.DUMMYFUNCTION("""COMPUTED_VALUE"""),"""The GPELF has earlier been described as a ‘best buy’ in global health; this present tally of attributable health benefits from its first 8 years strengthens this notion considerably.""")</f>
        <v>"The GPELF has earlier been described as a ‘best buy’ in global health; this present tally of attributable health benefits from its first 8 years strengthens this notion considerably."</v>
      </c>
      <c r="U315" s="40"/>
      <c r="V315" s="40"/>
      <c r="W315" s="40">
        <f>IFERROR(__xludf.DUMMYFUNCTION("""COMPUTED_VALUE"""),0.0)</f>
        <v>0</v>
      </c>
      <c r="X315" s="40" t="str">
        <f>IFERROR(__xludf.DUMMYFUNCTION("""COMPUTED_VALUE"""),"Ottesen EA, Hooper PJ, Bradley M,and BiswasG. The Global Programme to Eliminate Lymphatic Filariasis: Health Impact after 8 years. PLOS Neglected Tropical Diseases 2008; 2(10): e317.")</f>
        <v>Ottesen EA, Hooper PJ, Bradley M,and BiswasG. The Global Programme to Eliminate Lymphatic Filariasis: Health Impact after 8 years. PLOS Neglected Tropical Diseases 2008; 2(10): e317.</v>
      </c>
      <c r="Y315" s="40" t="str">
        <f>IFERROR(__xludf.DUMMYFUNCTION("""COMPUTED_VALUE"""),"10.1371/journal.pntd.0000317")</f>
        <v>10.1371/journal.pntd.0000317</v>
      </c>
      <c r="Z315" s="727" t="str">
        <f>IFERROR(__xludf.DUMMYFUNCTION("""COMPUTED_VALUE"""),"https://drive.google.com/file/d/0B9vYgR7NsKoYd1lBNlNKNUZkdDA/view?usp=sharing")</f>
        <v>https://drive.google.com/file/d/0B9vYgR7NsKoYd1lBNlNKNUZkdDA/view?usp=sharing</v>
      </c>
      <c r="AA315" s="40" t="str">
        <f>IFERROR(__xludf.DUMMYFUNCTION("""COMPUTED_VALUE"""),"x")</f>
        <v>x</v>
      </c>
      <c r="AB315" s="40"/>
    </row>
    <row r="316">
      <c r="A316" s="805" t="str">
        <f>IFERROR(__xludf.DUMMYFUNCTION("""COMPUTED_VALUE"""),"Njenga 2008")</f>
        <v>Njenga 2008</v>
      </c>
      <c r="B316" s="40"/>
      <c r="C316" s="40" t="str">
        <f>IFERROR(__xludf.DUMMYFUNCTION("""COMPUTED_VALUE"""),"Mahvish")</f>
        <v>Mahvish</v>
      </c>
      <c r="D316" s="40" t="str">
        <f>IFERROR(__xludf.DUMMYFUNCTION("""COMPUTED_VALUE"""),"Malindi, Kenya")</f>
        <v>Malindi, Kenya</v>
      </c>
      <c r="E316" s="40" t="str">
        <f>IFERROR(__xludf.DUMMYFUNCTION("""COMPUTED_VALUE"""),"W. bancrofti")</f>
        <v>W. bancrofti</v>
      </c>
      <c r="F316" s="40" t="str">
        <f>IFERROR(__xludf.DUMMYFUNCTION("""COMPUTED_VALUE"""),"Albendazole &amp; DEC")</f>
        <v>Albendazole &amp; DEC</v>
      </c>
      <c r="G316" s="40" t="str">
        <f>IFERROR(__xludf.DUMMYFUNCTION("""COMPUTED_VALUE"""),"6mg/kg DEC + 400mg ALB")</f>
        <v>6mg/kg DEC + 400mg ALB</v>
      </c>
      <c r="H316" s="40" t="str">
        <f>IFERROR(__xludf.DUMMYFUNCTION("""COMPUTED_VALUE"""),"2 rounds of annual MDA")</f>
        <v>2 rounds of annual MDA</v>
      </c>
      <c r="I316" s="40" t="str">
        <f>IFERROR(__xludf.DUMMYFUNCTION("""COMPUTED_VALUE"""),"44.9% post MDA-1 and 65.4% post MDA-2")</f>
        <v>44.9% post MDA-1 and 65.4% post MDA-2</v>
      </c>
      <c r="J316" s="216"/>
      <c r="K316" s="40"/>
      <c r="L316" s="40">
        <f>IFERROR(__xludf.DUMMYFUNCTION("""COMPUTED_VALUE"""),808.0)</f>
        <v>808</v>
      </c>
      <c r="M316" s="40" t="str">
        <f>IFERROR(__xludf.DUMMYFUNCTION("""COMPUTED_VALUE"""),"5-85")</f>
        <v>5-85</v>
      </c>
      <c r="N316" s="40" t="str">
        <f>IFERROR(__xludf.DUMMYFUNCTION("""COMPUTED_VALUE"""),"n/a, more females than males")</f>
        <v>n/a, more females than males</v>
      </c>
      <c r="O316" s="40" t="str">
        <f>IFERROR(__xludf.DUMMYFUNCTION("""COMPUTED_VALUE"""),"age 5 and above")</f>
        <v>age 5 and above</v>
      </c>
      <c r="P316" s="40" t="str">
        <f>IFERROR(__xludf.DUMMYFUNCTION("""COMPUTED_VALUE"""),"mass treatment")</f>
        <v>mass treatment</v>
      </c>
      <c r="Q316" s="40" t="str">
        <f>IFERROR(__xludf.DUMMYFUNCTION("""COMPUTED_VALUE"""),"n/a")</f>
        <v>n/a</v>
      </c>
      <c r="R316" s="40" t="str">
        <f>IFERROR(__xludf.DUMMYFUNCTION("""COMPUTED_VALUE"""),"n/a")</f>
        <v>n/a</v>
      </c>
      <c r="S316" s="40" t="str">
        <f>IFERROR(__xludf.DUMMYFUNCTION("""COMPUTED_VALUE"""),"MDA-1, and MDA-2 (annual dose for two years)")</f>
        <v>MDA-1, and MDA-2 (annual dose for two years)</v>
      </c>
      <c r="T316" s="40" t="str">
        <f>IFERROR(__xludf.DUMMYFUNCTION("""COMPUTED_VALUE"""),"""The results of the present study indicate a relatively high effectiveness of MDA using a DEC/albendazole combination against Wuchereria bancrofti infection and, therefore, it may be a useful strategy to eliminate lymphatic filariasis in onchocerciasis-f"&amp;"ree areas.""")</f>
        <v>"The results of the present study indicate a relatively high effectiveness of MDA using a DEC/albendazole combination against Wuchereria bancrofti infection and, therefore, it may be a useful strategy to eliminate lymphatic filariasis in onchocerciasis-free areas."</v>
      </c>
      <c r="U316" s="40"/>
      <c r="V316" s="40"/>
      <c r="W316" s="40">
        <f>IFERROR(__xludf.DUMMYFUNCTION("""COMPUTED_VALUE"""),0.0)</f>
        <v>0</v>
      </c>
      <c r="X316" s="40" t="str">
        <f>IFERROR(__xludf.DUMMYFUNCTION("""COMPUTED_VALUE"""),"Njenga SM, Wamae CN, Njomo DW, Mwandawiro CS, and Molyneux DH. Impact of two rounds of mass treatment with diethylcarbamazine plus albendazole on Wuchereria bancrofti infection and the sensitivity of immunochromatographic test in Malindi, Kenya. Transacti"&amp;"ons of the Royal Society of Tropical Medicine and Hygiene 2008; 102: 1017-1024.")</f>
        <v>Njenga SM, Wamae CN, Njomo DW, Mwandawiro CS, and Molyneux DH. Impact of two rounds of mass treatment with diethylcarbamazine plus albendazole on Wuchereria bancrofti infection and the sensitivity of immunochromatographic test in Malindi, Kenya. Transactions of the Royal Society of Tropical Medicine and Hygiene 2008; 102: 1017-1024.</v>
      </c>
      <c r="Y316" s="40" t="str">
        <f>IFERROR(__xludf.DUMMYFUNCTION("""COMPUTED_VALUE"""),"10.1016/j.trstmh.2008.04.039")</f>
        <v>10.1016/j.trstmh.2008.04.039</v>
      </c>
      <c r="Z316" s="727" t="str">
        <f>IFERROR(__xludf.DUMMYFUNCTION("""COMPUTED_VALUE"""),"https://drive.google.com/file/d/0B4sJPAkX0Jo3QWw0aFllSV9tRXc/view?usp=sharing")</f>
        <v>https://drive.google.com/file/d/0B4sJPAkX0Jo3QWw0aFllSV9tRXc/view?usp=sharing</v>
      </c>
      <c r="AA316" s="40" t="str">
        <f>IFERROR(__xludf.DUMMYFUNCTION("""COMPUTED_VALUE"""),"x")</f>
        <v>x</v>
      </c>
      <c r="AB316" s="40"/>
    </row>
    <row r="317">
      <c r="A317" s="805" t="str">
        <f>IFERROR(__xludf.DUMMYFUNCTION("""COMPUTED_VALUE"""),"Nicolas 1997")</f>
        <v>Nicolas 1997</v>
      </c>
      <c r="B317" s="40"/>
      <c r="C317" s="40" t="str">
        <f>IFERROR(__xludf.DUMMYFUNCTION("""COMPUTED_VALUE"""),"Mahvish")</f>
        <v>Mahvish</v>
      </c>
      <c r="D317" s="40" t="str">
        <f>IFERROR(__xludf.DUMMYFUNCTION("""COMPUTED_VALUE"""),"French Polynesia")</f>
        <v>French Polynesia</v>
      </c>
      <c r="E317" s="40" t="str">
        <f>IFERROR(__xludf.DUMMYFUNCTION("""COMPUTED_VALUE"""),"W. bancrofti")</f>
        <v>W. bancrofti</v>
      </c>
      <c r="F317" s="40" t="str">
        <f>IFERROR(__xludf.DUMMYFUNCTION("""COMPUTED_VALUE"""),"DEC &amp; Ivermectin")</f>
        <v>DEC &amp; Ivermectin</v>
      </c>
      <c r="G317" s="40" t="str">
        <f>IFERROR(__xludf.DUMMYFUNCTION("""COMPUTED_VALUE"""),"6mg/kg DEC + 400/μg/kg Ivermectin")</f>
        <v>6mg/kg DEC + 400/μg/kg Ivermectin</v>
      </c>
      <c r="H317" s="40" t="str">
        <f>IFERROR(__xludf.DUMMYFUNCTION("""COMPUTED_VALUE"""),"2 rounds of annual dosage (Feb 1994 and Feb 1995)")</f>
        <v>2 rounds of annual dosage (Feb 1994 and Feb 1995)</v>
      </c>
      <c r="I317" s="40" t="str">
        <f>IFERROR(__xludf.DUMMYFUNCTION("""COMPUTED_VALUE"""),"17.8% month 12 and 46.4% month 24")</f>
        <v>17.8% month 12 and 46.4% month 24</v>
      </c>
      <c r="J317" s="216"/>
      <c r="K317" s="40"/>
      <c r="L317" s="40">
        <f>IFERROR(__xludf.DUMMYFUNCTION("""COMPUTED_VALUE"""),47.0)</f>
        <v>47</v>
      </c>
      <c r="M317" s="40" t="str">
        <f>IFERROR(__xludf.DUMMYFUNCTION("""COMPUTED_VALUE"""),"20-94")</f>
        <v>20-94</v>
      </c>
      <c r="N317" s="40" t="str">
        <f>IFERROR(__xludf.DUMMYFUNCTION("""COMPUTED_VALUE"""),"54% M, 46% F")</f>
        <v>54% M, 46% F</v>
      </c>
      <c r="O317" s="40" t="str">
        <f>IFERROR(__xludf.DUMMYFUNCTION("""COMPUTED_VALUE"""),"adult inhabitants of the island")</f>
        <v>adult inhabitants of the island</v>
      </c>
      <c r="P317" s="40" t="str">
        <f>IFERROR(__xludf.DUMMYFUNCTION("""COMPUTED_VALUE"""),"mass treatment")</f>
        <v>mass treatment</v>
      </c>
      <c r="Q317" s="40" t="str">
        <f>IFERROR(__xludf.DUMMYFUNCTION("""COMPUTED_VALUE"""),"n/a")</f>
        <v>n/a</v>
      </c>
      <c r="R317" s="40" t="str">
        <f>IFERROR(__xludf.DUMMYFUNCTION("""COMPUTED_VALUE"""),"n/a")</f>
        <v>n/a</v>
      </c>
      <c r="S317" s="40" t="str">
        <f>IFERROR(__xludf.DUMMYFUNCTION("""COMPUTED_VALUE"""),"month 12 and month 24")</f>
        <v>month 12 and month 24</v>
      </c>
      <c r="T317" s="40" t="str">
        <f>IFERROR(__xludf.DUMMYFUNCTION("""COMPUTED_VALUE"""),"""An annual single-dose treatment of DEC combined with ivermectin has a better efficacy on early and long-term reduction of W. bancrofti Mf prevalence and density than either drug
given individually""")</f>
        <v>"An annual single-dose treatment of DEC combined with ivermectin has a better efficacy on early and long-term reduction of W. bancrofti Mf prevalence and density than either drug
given individually"</v>
      </c>
      <c r="U317" s="40"/>
      <c r="V317" s="40" t="str">
        <f>IFERROR(__xludf.DUMMYFUNCTION("""COMPUTED_VALUE"""),"1994-1995")</f>
        <v>1994-1995</v>
      </c>
      <c r="W317" s="40">
        <f>IFERROR(__xludf.DUMMYFUNCTION("""COMPUTED_VALUE"""),1995.0)</f>
        <v>1995</v>
      </c>
      <c r="X317" s="40" t="str">
        <f>IFERROR(__xludf.DUMMYFUNCTION("""COMPUTED_VALUE"""),"Nicolas L, Plichart C, Nguyen LN, and Moulia-Pelat JP. Reduction of Wuchereria bancrofti Adult Worm Circulating Antigen after Annual
 Treatments of Diethylcarbamazine Combined with Ivermectin in French Polynesia. Oxford University Press Feb 1997; 175(2): "&amp;"489-492. ")</f>
        <v>Nicolas L, Plichart C, Nguyen LN, and Moulia-Pelat JP. Reduction of Wuchereria bancrofti Adult Worm Circulating Antigen after Annual
 Treatments of Diethylcarbamazine Combined with Ivermectin in French Polynesia. Oxford University Press Feb 1997; 175(2): 489-492. </v>
      </c>
      <c r="Y317" s="40" t="str">
        <f>IFERROR(__xludf.DUMMYFUNCTION("""COMPUTED_VALUE"""),"10.1093/infdis/175.2.489")</f>
        <v>10.1093/infdis/175.2.489</v>
      </c>
      <c r="Z317" s="727" t="str">
        <f>IFERROR(__xludf.DUMMYFUNCTION("""COMPUTED_VALUE"""),"https://drive.google.com/file/d/0B9vYgR7NsKoYZ2gtOGlkTUlUTEk/view?usp=sharing")</f>
        <v>https://drive.google.com/file/d/0B9vYgR7NsKoYZ2gtOGlkTUlUTEk/view?usp=sharing</v>
      </c>
      <c r="AA317" s="40" t="str">
        <f>IFERROR(__xludf.DUMMYFUNCTION("""COMPUTED_VALUE"""),"x")</f>
        <v>x</v>
      </c>
      <c r="AB317" s="40"/>
    </row>
    <row r="318">
      <c r="A318" s="805" t="str">
        <f>IFERROR(__xludf.DUMMYFUNCTION("""COMPUTED_VALUE"""),"Nicolas 1997")</f>
        <v>Nicolas 1997</v>
      </c>
      <c r="B318" s="40"/>
      <c r="C318" s="40" t="str">
        <f>IFERROR(__xludf.DUMMYFUNCTION("""COMPUTED_VALUE"""),"Mahvish")</f>
        <v>Mahvish</v>
      </c>
      <c r="D318" s="40" t="str">
        <f>IFERROR(__xludf.DUMMYFUNCTION("""COMPUTED_VALUE"""),"French Polynesia")</f>
        <v>French Polynesia</v>
      </c>
      <c r="E318" s="40" t="str">
        <f>IFERROR(__xludf.DUMMYFUNCTION("""COMPUTED_VALUE"""),"W. bancrofti")</f>
        <v>W. bancrofti</v>
      </c>
      <c r="F318" s="40" t="str">
        <f>IFERROR(__xludf.DUMMYFUNCTION("""COMPUTED_VALUE"""),"DEC")</f>
        <v>DEC</v>
      </c>
      <c r="G318" s="40" t="str">
        <f>IFERROR(__xludf.DUMMYFUNCTION("""COMPUTED_VALUE"""),"6mg/kg")</f>
        <v>6mg/kg</v>
      </c>
      <c r="H318" s="40" t="str">
        <f>IFERROR(__xludf.DUMMYFUNCTION("""COMPUTED_VALUE"""),"2 rounds of annual dosage (Feb 1994 and Feb 1995)")</f>
        <v>2 rounds of annual dosage (Feb 1994 and Feb 1995)</v>
      </c>
      <c r="I318" s="40" t="str">
        <f>IFERROR(__xludf.DUMMYFUNCTION("""COMPUTED_VALUE"""),"11.1% month 12 and 35.7% month 24")</f>
        <v>11.1% month 12 and 35.7% month 24</v>
      </c>
      <c r="J318" s="216"/>
      <c r="K318" s="40"/>
      <c r="L318" s="40">
        <f>IFERROR(__xludf.DUMMYFUNCTION("""COMPUTED_VALUE"""),46.0)</f>
        <v>46</v>
      </c>
      <c r="M318" s="40" t="str">
        <f>IFERROR(__xludf.DUMMYFUNCTION("""COMPUTED_VALUE"""),"20-94")</f>
        <v>20-94</v>
      </c>
      <c r="N318" s="40" t="str">
        <f>IFERROR(__xludf.DUMMYFUNCTION("""COMPUTED_VALUE"""),"54% M, 46% F")</f>
        <v>54% M, 46% F</v>
      </c>
      <c r="O318" s="40" t="str">
        <f>IFERROR(__xludf.DUMMYFUNCTION("""COMPUTED_VALUE"""),"adult inhabitants of the island")</f>
        <v>adult inhabitants of the island</v>
      </c>
      <c r="P318" s="40" t="str">
        <f>IFERROR(__xludf.DUMMYFUNCTION("""COMPUTED_VALUE"""),"mass treatment")</f>
        <v>mass treatment</v>
      </c>
      <c r="Q318" s="40" t="str">
        <f>IFERROR(__xludf.DUMMYFUNCTION("""COMPUTED_VALUE"""),"n/a")</f>
        <v>n/a</v>
      </c>
      <c r="R318" s="40" t="str">
        <f>IFERROR(__xludf.DUMMYFUNCTION("""COMPUTED_VALUE"""),"n/a")</f>
        <v>n/a</v>
      </c>
      <c r="S318" s="40" t="str">
        <f>IFERROR(__xludf.DUMMYFUNCTION("""COMPUTED_VALUE"""),"month 12 and month 24")</f>
        <v>month 12 and month 24</v>
      </c>
      <c r="T318" s="40" t="str">
        <f>IFERROR(__xludf.DUMMYFUNCTION("""COMPUTED_VALUE"""),"""An annual single-dose treatment of DEC combined with ivermectin has a better efficacy on early and long-term reduction of W. bancrofti Mf prevalence and density than either drug
given individually""")</f>
        <v>"An annual single-dose treatment of DEC combined with ivermectin has a better efficacy on early and long-term reduction of W. bancrofti Mf prevalence and density than either drug
given individually"</v>
      </c>
      <c r="U318" s="40"/>
      <c r="V318" s="40" t="str">
        <f>IFERROR(__xludf.DUMMYFUNCTION("""COMPUTED_VALUE"""),"1994-1995")</f>
        <v>1994-1995</v>
      </c>
      <c r="W318" s="40">
        <f>IFERROR(__xludf.DUMMYFUNCTION("""COMPUTED_VALUE"""),1995.0)</f>
        <v>1995</v>
      </c>
      <c r="X318" s="40"/>
      <c r="Y318" s="40"/>
      <c r="Z318" s="727" t="str">
        <f>IFERROR(__xludf.DUMMYFUNCTION("""COMPUTED_VALUE"""),"https://drive.google.com/file/d/0B9vYgR7NsKoYZ2gtOGlkTUlUTEk/view?usp=sharing")</f>
        <v>https://drive.google.com/file/d/0B9vYgR7NsKoYZ2gtOGlkTUlUTEk/view?usp=sharing</v>
      </c>
      <c r="AA318" s="40" t="str">
        <f>IFERROR(__xludf.DUMMYFUNCTION("""COMPUTED_VALUE"""),"x")</f>
        <v>x</v>
      </c>
      <c r="AB318" s="40"/>
    </row>
    <row r="319">
      <c r="A319" s="805" t="str">
        <f>IFERROR(__xludf.DUMMYFUNCTION("""COMPUTED_VALUE"""),"Nicolas 1997")</f>
        <v>Nicolas 1997</v>
      </c>
      <c r="B319" s="40"/>
      <c r="C319" s="40" t="str">
        <f>IFERROR(__xludf.DUMMYFUNCTION("""COMPUTED_VALUE"""),"Mahvish")</f>
        <v>Mahvish</v>
      </c>
      <c r="D319" s="40" t="str">
        <f>IFERROR(__xludf.DUMMYFUNCTION("""COMPUTED_VALUE"""),"French Polynesia")</f>
        <v>French Polynesia</v>
      </c>
      <c r="E319" s="40" t="str">
        <f>IFERROR(__xludf.DUMMYFUNCTION("""COMPUTED_VALUE"""),"W. bancrofti")</f>
        <v>W. bancrofti</v>
      </c>
      <c r="F319" s="40" t="str">
        <f>IFERROR(__xludf.DUMMYFUNCTION("""COMPUTED_VALUE"""),"Ivermectin")</f>
        <v>Ivermectin</v>
      </c>
      <c r="G319" s="40" t="str">
        <f>IFERROR(__xludf.DUMMYFUNCTION("""COMPUTED_VALUE"""),"400/μg/kg")</f>
        <v>400/μg/kg</v>
      </c>
      <c r="H319" s="40" t="str">
        <f>IFERROR(__xludf.DUMMYFUNCTION("""COMPUTED_VALUE"""),"2 rounds of annual dosage (Feb 1994 and Feb 1995)")</f>
        <v>2 rounds of annual dosage (Feb 1994 and Feb 1995)</v>
      </c>
      <c r="I319" s="40" t="str">
        <f>IFERROR(__xludf.DUMMYFUNCTION("""COMPUTED_VALUE"""),"10.7% month 12 and 17.8% month 24")</f>
        <v>10.7% month 12 and 17.8% month 24</v>
      </c>
      <c r="J319" s="216"/>
      <c r="K319" s="40"/>
      <c r="L319" s="40">
        <f>IFERROR(__xludf.DUMMYFUNCTION("""COMPUTED_VALUE"""),46.0)</f>
        <v>46</v>
      </c>
      <c r="M319" s="40" t="str">
        <f>IFERROR(__xludf.DUMMYFUNCTION("""COMPUTED_VALUE"""),"20-94")</f>
        <v>20-94</v>
      </c>
      <c r="N319" s="40" t="str">
        <f>IFERROR(__xludf.DUMMYFUNCTION("""COMPUTED_VALUE"""),"54% M, 46% F")</f>
        <v>54% M, 46% F</v>
      </c>
      <c r="O319" s="40" t="str">
        <f>IFERROR(__xludf.DUMMYFUNCTION("""COMPUTED_VALUE"""),"adult inhabitants of the island")</f>
        <v>adult inhabitants of the island</v>
      </c>
      <c r="P319" s="40" t="str">
        <f>IFERROR(__xludf.DUMMYFUNCTION("""COMPUTED_VALUE"""),"mass treatment")</f>
        <v>mass treatment</v>
      </c>
      <c r="Q319" s="40" t="str">
        <f>IFERROR(__xludf.DUMMYFUNCTION("""COMPUTED_VALUE"""),"n/a")</f>
        <v>n/a</v>
      </c>
      <c r="R319" s="40" t="str">
        <f>IFERROR(__xludf.DUMMYFUNCTION("""COMPUTED_VALUE"""),"n/a")</f>
        <v>n/a</v>
      </c>
      <c r="S319" s="40" t="str">
        <f>IFERROR(__xludf.DUMMYFUNCTION("""COMPUTED_VALUE"""),"month 12 and month 24")</f>
        <v>month 12 and month 24</v>
      </c>
      <c r="T319" s="40" t="str">
        <f>IFERROR(__xludf.DUMMYFUNCTION("""COMPUTED_VALUE"""),"""An annual single-dose treatment of DEC combined with ivermectin has a better efficacy on early and long-term reduction of W. bancrofti Mf prevalence and density than either drug
given individually""")</f>
        <v>"An annual single-dose treatment of DEC combined with ivermectin has a better efficacy on early and long-term reduction of W. bancrofti Mf prevalence and density than either drug
given individually"</v>
      </c>
      <c r="U319" s="40"/>
      <c r="V319" s="40" t="str">
        <f>IFERROR(__xludf.DUMMYFUNCTION("""COMPUTED_VALUE"""),"1994-1995")</f>
        <v>1994-1995</v>
      </c>
      <c r="W319" s="40">
        <f>IFERROR(__xludf.DUMMYFUNCTION("""COMPUTED_VALUE"""),1995.0)</f>
        <v>1995</v>
      </c>
      <c r="X319" s="40"/>
      <c r="Y319" s="40"/>
      <c r="Z319" s="727" t="str">
        <f>IFERROR(__xludf.DUMMYFUNCTION("""COMPUTED_VALUE"""),"https://drive.google.com/file/d/0B9vYgR7NsKoYZ2gtOGlkTUlUTEk/view?usp=sharing")</f>
        <v>https://drive.google.com/file/d/0B9vYgR7NsKoYZ2gtOGlkTUlUTEk/view?usp=sharing</v>
      </c>
      <c r="AA319" s="40" t="str">
        <f>IFERROR(__xludf.DUMMYFUNCTION("""COMPUTED_VALUE"""),"x")</f>
        <v>x</v>
      </c>
      <c r="AB319" s="40"/>
    </row>
    <row r="320">
      <c r="A320" s="805" t="str">
        <f>IFERROR(__xludf.DUMMYFUNCTION("""COMPUTED_VALUE"""),"Nicolas 1997")</f>
        <v>Nicolas 1997</v>
      </c>
      <c r="B320" s="40"/>
      <c r="C320" s="40" t="str">
        <f>IFERROR(__xludf.DUMMYFUNCTION("""COMPUTED_VALUE"""),"Mahvish")</f>
        <v>Mahvish</v>
      </c>
      <c r="D320" s="40" t="str">
        <f>IFERROR(__xludf.DUMMYFUNCTION("""COMPUTED_VALUE"""),"French Polynesia")</f>
        <v>French Polynesia</v>
      </c>
      <c r="E320" s="40" t="str">
        <f>IFERROR(__xludf.DUMMYFUNCTION("""COMPUTED_VALUE"""),"W. bancrofti")</f>
        <v>W. bancrofti</v>
      </c>
      <c r="F320" s="40" t="str">
        <f>IFERROR(__xludf.DUMMYFUNCTION("""COMPUTED_VALUE"""),"DEC &amp; Ivermectin")</f>
        <v>DEC &amp; Ivermectin</v>
      </c>
      <c r="G320" s="40" t="str">
        <f>IFERROR(__xludf.DUMMYFUNCTION("""COMPUTED_VALUE"""),"3mg/kg DEC + 400μg/kg Ivermectin")</f>
        <v>3mg/kg DEC + 400μg/kg Ivermectin</v>
      </c>
      <c r="H320" s="40" t="str">
        <f>IFERROR(__xludf.DUMMYFUNCTION("""COMPUTED_VALUE"""),"2 rounds of annual dosage (Feb 1994 and Feb 1995)")</f>
        <v>2 rounds of annual dosage (Feb 1994 and Feb 1995)</v>
      </c>
      <c r="I320" s="40" t="str">
        <f>IFERROR(__xludf.DUMMYFUNCTION("""COMPUTED_VALUE"""),"28.5% month 12 and 50% month 24")</f>
        <v>28.5% month 12 and 50% month 24</v>
      </c>
      <c r="J320" s="216"/>
      <c r="K320" s="40"/>
      <c r="L320" s="40">
        <f>IFERROR(__xludf.DUMMYFUNCTION("""COMPUTED_VALUE"""),46.0)</f>
        <v>46</v>
      </c>
      <c r="M320" s="40" t="str">
        <f>IFERROR(__xludf.DUMMYFUNCTION("""COMPUTED_VALUE"""),"20-94")</f>
        <v>20-94</v>
      </c>
      <c r="N320" s="40" t="str">
        <f>IFERROR(__xludf.DUMMYFUNCTION("""COMPUTED_VALUE"""),"54% M, 46% F")</f>
        <v>54% M, 46% F</v>
      </c>
      <c r="O320" s="40" t="str">
        <f>IFERROR(__xludf.DUMMYFUNCTION("""COMPUTED_VALUE"""),"adult inhabitants of the island")</f>
        <v>adult inhabitants of the island</v>
      </c>
      <c r="P320" s="40" t="str">
        <f>IFERROR(__xludf.DUMMYFUNCTION("""COMPUTED_VALUE"""),"mass treatment")</f>
        <v>mass treatment</v>
      </c>
      <c r="Q320" s="40" t="str">
        <f>IFERROR(__xludf.DUMMYFUNCTION("""COMPUTED_VALUE"""),"n/a")</f>
        <v>n/a</v>
      </c>
      <c r="R320" s="40" t="str">
        <f>IFERROR(__xludf.DUMMYFUNCTION("""COMPUTED_VALUE"""),"n/a")</f>
        <v>n/a</v>
      </c>
      <c r="S320" s="40" t="str">
        <f>IFERROR(__xludf.DUMMYFUNCTION("""COMPUTED_VALUE"""),"month 12 and month 24")</f>
        <v>month 12 and month 24</v>
      </c>
      <c r="T320" s="40" t="str">
        <f>IFERROR(__xludf.DUMMYFUNCTION("""COMPUTED_VALUE"""),"""An annual single-dose treatment of DEC combined with ivermectin has a better efficacy on early and long-term reduction of W. bancrofti Mf prevalence and density than either drug
given individually""")</f>
        <v>"An annual single-dose treatment of DEC combined with ivermectin has a better efficacy on early and long-term reduction of W. bancrofti Mf prevalence and density than either drug
given individually"</v>
      </c>
      <c r="U320" s="40"/>
      <c r="V320" s="40" t="str">
        <f>IFERROR(__xludf.DUMMYFUNCTION("""COMPUTED_VALUE"""),"1994-1995")</f>
        <v>1994-1995</v>
      </c>
      <c r="W320" s="40">
        <f>IFERROR(__xludf.DUMMYFUNCTION("""COMPUTED_VALUE"""),1995.0)</f>
        <v>1995</v>
      </c>
      <c r="X320" s="40"/>
      <c r="Y320" s="40"/>
      <c r="Z320" s="727" t="str">
        <f>IFERROR(__xludf.DUMMYFUNCTION("""COMPUTED_VALUE"""),"https://drive.google.com/file/d/0B9vYgR7NsKoYZ2gtOGlkTUlUTEk/view?usp=sharing")</f>
        <v>https://drive.google.com/file/d/0B9vYgR7NsKoYZ2gtOGlkTUlUTEk/view?usp=sharing</v>
      </c>
      <c r="AA320" s="40" t="str">
        <f>IFERROR(__xludf.DUMMYFUNCTION("""COMPUTED_VALUE"""),"x")</f>
        <v>x</v>
      </c>
      <c r="AB320" s="40"/>
    </row>
    <row r="321">
      <c r="A321" s="805" t="str">
        <f>IFERROR(__xludf.DUMMYFUNCTION("""COMPUTED_VALUE"""),"Molyneux 2003")</f>
        <v>Molyneux 2003</v>
      </c>
      <c r="B321" s="40"/>
      <c r="C321" s="40" t="str">
        <f>IFERROR(__xludf.DUMMYFUNCTION("""COMPUTED_VALUE"""),"Mahvish")</f>
        <v>Mahvish</v>
      </c>
      <c r="D321" s="40"/>
      <c r="E321" s="40"/>
      <c r="F321" s="40"/>
      <c r="G321" s="40"/>
      <c r="H321" s="40"/>
      <c r="I321" s="40"/>
      <c r="J321" s="216"/>
      <c r="K321" s="40"/>
      <c r="L321" s="40"/>
      <c r="M321" s="40"/>
      <c r="N321" s="40"/>
      <c r="O321" s="40"/>
      <c r="P321" s="40"/>
      <c r="Q321" s="40"/>
      <c r="R321" s="40"/>
      <c r="S321" s="40"/>
      <c r="T321" s="40"/>
      <c r="U321" s="40"/>
      <c r="V321" s="40"/>
      <c r="W321" s="40">
        <f>IFERROR(__xludf.DUMMYFUNCTION("""COMPUTED_VALUE"""),0.0)</f>
        <v>0</v>
      </c>
      <c r="X321" s="40" t="str">
        <f>IFERROR(__xludf.DUMMYFUNCTION("""COMPUTED_VALUE"""),"Molyneux DH, Bradley M, Hoerauf A, Kyelem D, and Taylor MJ. Mass drug treatment for lymphatic filariasis and onchocerciasis. TRENDS in Parasitology 2003; 19(11): 516-522. ")</f>
        <v>Molyneux DH, Bradley M, Hoerauf A, Kyelem D, and Taylor MJ. Mass drug treatment for lymphatic filariasis and onchocerciasis. TRENDS in Parasitology 2003; 19(11): 516-522. </v>
      </c>
      <c r="Y321" s="40" t="str">
        <f>IFERROR(__xludf.DUMMYFUNCTION("""COMPUTED_VALUE"""),"10.1016/j.pt.2003.09.004")</f>
        <v>10.1016/j.pt.2003.09.004</v>
      </c>
      <c r="Z321" s="727" t="str">
        <f>IFERROR(__xludf.DUMMYFUNCTION("""COMPUTED_VALUE"""),"https://drive.google.com/file/d/0B9vYgR7NsKoYdy1acU1pbExlcTQ/view?usp=sharing")</f>
        <v>https://drive.google.com/file/d/0B9vYgR7NsKoYdy1acU1pbExlcTQ/view?usp=sharing</v>
      </c>
      <c r="AA321" s="40" t="str">
        <f>IFERROR(__xludf.DUMMYFUNCTION("""COMPUTED_VALUE"""),"x")</f>
        <v>x</v>
      </c>
      <c r="AB321" s="40"/>
    </row>
    <row r="322">
      <c r="A322" s="805" t="str">
        <f>IFERROR(__xludf.DUMMYFUNCTION("""COMPUTED_VALUE"""),"Meyrowitsch 1996")</f>
        <v>Meyrowitsch 1996</v>
      </c>
      <c r="B322" s="40"/>
      <c r="C322" s="40" t="str">
        <f>IFERROR(__xludf.DUMMYFUNCTION("""COMPUTED_VALUE"""),"Mahvish")</f>
        <v>Mahvish</v>
      </c>
      <c r="D322" s="40" t="str">
        <f>IFERROR(__xludf.DUMMYFUNCTION("""COMPUTED_VALUE"""),"Tanzania")</f>
        <v>Tanzania</v>
      </c>
      <c r="E322" s="40" t="str">
        <f>IFERROR(__xludf.DUMMYFUNCTION("""COMPUTED_VALUE"""),"W. bancrofti")</f>
        <v>W. bancrofti</v>
      </c>
      <c r="F322" s="40" t="str">
        <f>IFERROR(__xludf.DUMMYFUNCTION("""COMPUTED_VALUE"""),"DEC")</f>
        <v>DEC</v>
      </c>
      <c r="G322" s="40" t="str">
        <f>IFERROR(__xludf.DUMMYFUNCTION("""COMPUTED_VALUE"""),"6 mg/kg")</f>
        <v>6 mg/kg</v>
      </c>
      <c r="H322" s="40" t="str">
        <f>IFERROR(__xludf.DUMMYFUNCTION("""COMPUTED_VALUE"""),"once daily for 12 consecutive days")</f>
        <v>once daily for 12 consecutive days</v>
      </c>
      <c r="I322" s="216">
        <f>IFERROR(__xludf.DUMMYFUNCTION("""COMPUTED_VALUE"""),0.415)</f>
        <v>0.415</v>
      </c>
      <c r="J322" s="216"/>
      <c r="K322" s="40"/>
      <c r="L322" s="40">
        <f>IFERROR(__xludf.DUMMYFUNCTION("""COMPUTED_VALUE"""),488.0)</f>
        <v>488</v>
      </c>
      <c r="M322" s="40" t="str">
        <f>IFERROR(__xludf.DUMMYFUNCTION("""COMPUTED_VALUE"""),"n/a")</f>
        <v>n/a</v>
      </c>
      <c r="N322" s="40" t="str">
        <f>IFERROR(__xludf.DUMMYFUNCTION("""COMPUTED_VALUE"""),"n/a")</f>
        <v>n/a</v>
      </c>
      <c r="O322" s="40" t="str">
        <f>IFERROR(__xludf.DUMMYFUNCTION("""COMPUTED_VALUE"""),"""Following pre-treatment baseline parasitological and clinical surveys, all individuals were offered treatment with DEC according to the strategy adopted for the community.""")</f>
        <v>"Following pre-treatment baseline parasitological and clinical surveys, all individuals were offered treatment with DEC according to the strategy adopted for the community."</v>
      </c>
      <c r="P322" s="40" t="str">
        <f>IFERROR(__xludf.DUMMYFUNCTION("""COMPUTED_VALUE"""),"mass DEC chemotherapy")</f>
        <v>mass DEC chemotherapy</v>
      </c>
      <c r="Q322" s="40"/>
      <c r="R322" s="40"/>
      <c r="S322" s="40" t="str">
        <f>IFERROR(__xludf.DUMMYFUNCTION("""COMPUTED_VALUE"""),"1 year")</f>
        <v>1 year</v>
      </c>
      <c r="T322" s="40" t="str">
        <f>IFERROR(__xludf.DUMMYFUNCTION("""COMPUTED_VALUE"""),"""Statistical analysis indicated that strategies III and IV were equally effective, and superior in clearing microfilaraemias and in reducing mf GMIs compared to strategies I and II; strategy II was significantly more effective than strategy I.""")</f>
        <v>"Statistical analysis indicated that strategies III and IV were equally effective, and superior in clearing microfilaraemias and in reducing mf GMIs compared to strategies I and II; strategy II was significantly more effective than strategy I."</v>
      </c>
      <c r="U322" s="40"/>
      <c r="V322" s="40">
        <f>IFERROR(__xludf.DUMMYFUNCTION("""COMPUTED_VALUE"""),1996.0)</f>
        <v>1996</v>
      </c>
      <c r="W322" s="40">
        <f>IFERROR(__xludf.DUMMYFUNCTION("""COMPUTED_VALUE"""),1996.0)</f>
        <v>1996</v>
      </c>
      <c r="X322" s="40" t="str">
        <f>IFERROR(__xludf.DUMMYFUNCTION("""COMPUTED_VALUE"""),"Meyrowitsch DW, Simonsen PE, and Makunde WH. Mass DEC chemotherapy for control of bancroftian filariasis: comparative efficacy of four strategies two years after start of treatment. Trans R Soc Trop Med Hyg 1996; 90(4): 423-428.")</f>
        <v>Meyrowitsch DW, Simonsen PE, and Makunde WH. Mass DEC chemotherapy for control of bancroftian filariasis: comparative efficacy of four strategies two years after start of treatment. Trans R Soc Trop Med Hyg 1996; 90(4): 423-428.</v>
      </c>
      <c r="Y322" s="40" t="str">
        <f>IFERROR(__xludf.DUMMYFUNCTION("""COMPUTED_VALUE"""),"doi:10.1016/S0035-9203(96)90534-9")</f>
        <v>doi:10.1016/S0035-9203(96)90534-9</v>
      </c>
      <c r="Z322" s="727" t="str">
        <f>IFERROR(__xludf.DUMMYFUNCTION("""COMPUTED_VALUE"""),"https://drive.google.com/file/d/0B0-pry4DSOm3MERBWXlzX1hOVlE/view?usp=sharing")</f>
        <v>https://drive.google.com/file/d/0B0-pry4DSOm3MERBWXlzX1hOVlE/view?usp=sharing</v>
      </c>
      <c r="AA322" s="40" t="str">
        <f>IFERROR(__xludf.DUMMYFUNCTION("""COMPUTED_VALUE"""),"x")</f>
        <v>x</v>
      </c>
      <c r="AB322" s="40"/>
    </row>
    <row r="323">
      <c r="A323" s="805" t="str">
        <f>IFERROR(__xludf.DUMMYFUNCTION("""COMPUTED_VALUE"""),"Meyrowitsch 1996")</f>
        <v>Meyrowitsch 1996</v>
      </c>
      <c r="B323" s="40"/>
      <c r="C323" s="40"/>
      <c r="D323" s="40" t="str">
        <f>IFERROR(__xludf.DUMMYFUNCTION("""COMPUTED_VALUE"""),"Tanzania")</f>
        <v>Tanzania</v>
      </c>
      <c r="E323" s="40" t="str">
        <f>IFERROR(__xludf.DUMMYFUNCTION("""COMPUTED_VALUE"""),"W. bancrofti")</f>
        <v>W. bancrofti</v>
      </c>
      <c r="F323" s="40" t="str">
        <f>IFERROR(__xludf.DUMMYFUNCTION("""COMPUTED_VALUE"""),"DEC")</f>
        <v>DEC</v>
      </c>
      <c r="G323" s="40" t="str">
        <f>IFERROR(__xludf.DUMMYFUNCTION("""COMPUTED_VALUE"""),"6mg/kg")</f>
        <v>6mg/kg</v>
      </c>
      <c r="H323" s="40" t="str">
        <f>IFERROR(__xludf.DUMMYFUNCTION("""COMPUTED_VALUE"""),"once every 6 months for a year (3 single doses, the last being given immediately after the one year follow-up)")</f>
        <v>once every 6 months for a year (3 single doses, the last being given immediately after the one year follow-up)</v>
      </c>
      <c r="I323" s="216">
        <f>IFERROR(__xludf.DUMMYFUNCTION("""COMPUTED_VALUE"""),0.75)</f>
        <v>0.75</v>
      </c>
      <c r="J323" s="216"/>
      <c r="K323" s="40"/>
      <c r="L323" s="40">
        <f>IFERROR(__xludf.DUMMYFUNCTION("""COMPUTED_VALUE"""),795.0)</f>
        <v>795</v>
      </c>
      <c r="M323" s="40" t="str">
        <f>IFERROR(__xludf.DUMMYFUNCTION("""COMPUTED_VALUE"""),"n/a")</f>
        <v>n/a</v>
      </c>
      <c r="N323" s="40" t="str">
        <f>IFERROR(__xludf.DUMMYFUNCTION("""COMPUTED_VALUE"""),"n/a")</f>
        <v>n/a</v>
      </c>
      <c r="O323" s="40" t="str">
        <f>IFERROR(__xludf.DUMMYFUNCTION("""COMPUTED_VALUE"""),"""Following pre-treatment baseline parasitological and clinical surveys, all individuals were offered treatment with DEC according to the strategy adopted for the community.""")</f>
        <v>"Following pre-treatment baseline parasitological and clinical surveys, all individuals were offered treatment with DEC according to the strategy adopted for the community."</v>
      </c>
      <c r="P323" s="40" t="str">
        <f>IFERROR(__xludf.DUMMYFUNCTION("""COMPUTED_VALUE"""),"mass DEC chemotherapy")</f>
        <v>mass DEC chemotherapy</v>
      </c>
      <c r="Q323" s="40"/>
      <c r="R323" s="40"/>
      <c r="S323" s="40" t="str">
        <f>IFERROR(__xludf.DUMMYFUNCTION("""COMPUTED_VALUE"""),"1 year")</f>
        <v>1 year</v>
      </c>
      <c r="T323" s="40" t="str">
        <f>IFERROR(__xludf.DUMMYFUNCTION("""COMPUTED_VALUE"""),"""Statistical analysis indicated that strategies III and IV were equally effective, and superior in clearing microfilaraemias and in reducing mf GMIs compared to strategies I and II; strategy II was significantly more effective than strategy I.""")</f>
        <v>"Statistical analysis indicated that strategies III and IV were equally effective, and superior in clearing microfilaraemias and in reducing mf GMIs compared to strategies I and II; strategy II was significantly more effective than strategy I."</v>
      </c>
      <c r="U323" s="40"/>
      <c r="V323" s="40">
        <f>IFERROR(__xludf.DUMMYFUNCTION("""COMPUTED_VALUE"""),1996.0)</f>
        <v>1996</v>
      </c>
      <c r="W323" s="40">
        <f>IFERROR(__xludf.DUMMYFUNCTION("""COMPUTED_VALUE"""),1996.0)</f>
        <v>1996</v>
      </c>
      <c r="X323" s="40"/>
      <c r="Y323" s="40" t="str">
        <f>IFERROR(__xludf.DUMMYFUNCTION("""COMPUTED_VALUE"""),"doi:10.1016/S0035-9203(96)90534-10")</f>
        <v>doi:10.1016/S0035-9203(96)90534-10</v>
      </c>
      <c r="Z323" s="727" t="str">
        <f>IFERROR(__xludf.DUMMYFUNCTION("""COMPUTED_VALUE"""),"https://drive.google.com/file/d/0B0-pry4DSOm3MERBWXlzX1hOVlE/view?usp=sharing")</f>
        <v>https://drive.google.com/file/d/0B0-pry4DSOm3MERBWXlzX1hOVlE/view?usp=sharing</v>
      </c>
      <c r="AA323" s="40" t="str">
        <f>IFERROR(__xludf.DUMMYFUNCTION("""COMPUTED_VALUE"""),"x")</f>
        <v>x</v>
      </c>
      <c r="AB323" s="40"/>
    </row>
    <row r="324">
      <c r="A324" s="805" t="str">
        <f>IFERROR(__xludf.DUMMYFUNCTION("""COMPUTED_VALUE"""),"Meyrowitsch 1996")</f>
        <v>Meyrowitsch 1996</v>
      </c>
      <c r="B324" s="40"/>
      <c r="C324" s="40"/>
      <c r="D324" s="40" t="str">
        <f>IFERROR(__xludf.DUMMYFUNCTION("""COMPUTED_VALUE"""),"Tanzania")</f>
        <v>Tanzania</v>
      </c>
      <c r="E324" s="40" t="str">
        <f>IFERROR(__xludf.DUMMYFUNCTION("""COMPUTED_VALUE"""),"W. bancrofti")</f>
        <v>W. bancrofti</v>
      </c>
      <c r="F324" s="40" t="str">
        <f>IFERROR(__xludf.DUMMYFUNCTION("""COMPUTED_VALUE"""),"DEC")</f>
        <v>DEC</v>
      </c>
      <c r="G324" s="40" t="str">
        <f>IFERROR(__xludf.DUMMYFUNCTION("""COMPUTED_VALUE"""),"50 mg to children &lt;15 years and 100mg to adults 15 or older")</f>
        <v>50 mg to children &lt;15 years and 100mg to adults 15 or older</v>
      </c>
      <c r="H324" s="40" t="str">
        <f>IFERROR(__xludf.DUMMYFUNCTION("""COMPUTED_VALUE"""),"12 doses")</f>
        <v>12 doses</v>
      </c>
      <c r="I324" s="216">
        <f>IFERROR(__xludf.DUMMYFUNCTION("""COMPUTED_VALUE"""),0.84)</f>
        <v>0.84</v>
      </c>
      <c r="J324" s="216"/>
      <c r="K324" s="40"/>
      <c r="L324" s="40">
        <f>IFERROR(__xludf.DUMMYFUNCTION("""COMPUTED_VALUE"""),320.0)</f>
        <v>320</v>
      </c>
      <c r="M324" s="40" t="str">
        <f>IFERROR(__xludf.DUMMYFUNCTION("""COMPUTED_VALUE"""),"n/a")</f>
        <v>n/a</v>
      </c>
      <c r="N324" s="40" t="str">
        <f>IFERROR(__xludf.DUMMYFUNCTION("""COMPUTED_VALUE"""),"n/a")</f>
        <v>n/a</v>
      </c>
      <c r="O324" s="40" t="str">
        <f>IFERROR(__xludf.DUMMYFUNCTION("""COMPUTED_VALUE"""),"""Following pre-treatment baseline parasitological and clinical surveys, all individuals were offered treatment with DEC according to the strategy adopted for the community.""")</f>
        <v>"Following pre-treatment baseline parasitological and clinical surveys, all individuals were offered treatment with DEC according to the strategy adopted for the community."</v>
      </c>
      <c r="P324" s="40" t="str">
        <f>IFERROR(__xludf.DUMMYFUNCTION("""COMPUTED_VALUE"""),"mass DEC chemotherapy")</f>
        <v>mass DEC chemotherapy</v>
      </c>
      <c r="Q324" s="40"/>
      <c r="R324" s="40"/>
      <c r="S324" s="40" t="str">
        <f>IFERROR(__xludf.DUMMYFUNCTION("""COMPUTED_VALUE"""),"1 year")</f>
        <v>1 year</v>
      </c>
      <c r="T324" s="40" t="str">
        <f>IFERROR(__xludf.DUMMYFUNCTION("""COMPUTED_VALUE"""),"""Statistical analysis indicated that strategies III and IV were equally effective, and superior in clearing microfilaraemias and in reducing mf GMIs compared to strategies I and II; strategy II was significantly more effective than strategy I.""")</f>
        <v>"Statistical analysis indicated that strategies III and IV were equally effective, and superior in clearing microfilaraemias and in reducing mf GMIs compared to strategies I and II; strategy II was significantly more effective than strategy I."</v>
      </c>
      <c r="U324" s="40"/>
      <c r="V324" s="40">
        <f>IFERROR(__xludf.DUMMYFUNCTION("""COMPUTED_VALUE"""),1996.0)</f>
        <v>1996</v>
      </c>
      <c r="W324" s="40">
        <f>IFERROR(__xludf.DUMMYFUNCTION("""COMPUTED_VALUE"""),1996.0)</f>
        <v>1996</v>
      </c>
      <c r="X324" s="40"/>
      <c r="Y324" s="40" t="str">
        <f>IFERROR(__xludf.DUMMYFUNCTION("""COMPUTED_VALUE"""),"doi:10.1016/S0035-9203(96)90534-11")</f>
        <v>doi:10.1016/S0035-9203(96)90534-11</v>
      </c>
      <c r="Z324" s="727" t="str">
        <f>IFERROR(__xludf.DUMMYFUNCTION("""COMPUTED_VALUE"""),"https://drive.google.com/file/d/0B0-pry4DSOm3MERBWXlzX1hOVlE/view?usp=sharing")</f>
        <v>https://drive.google.com/file/d/0B0-pry4DSOm3MERBWXlzX1hOVlE/view?usp=sharing</v>
      </c>
      <c r="AA324" s="40" t="str">
        <f>IFERROR(__xludf.DUMMYFUNCTION("""COMPUTED_VALUE"""),"x")</f>
        <v>x</v>
      </c>
      <c r="AB324" s="40"/>
    </row>
    <row r="325">
      <c r="A325" s="805" t="str">
        <f>IFERROR(__xludf.DUMMYFUNCTION("""COMPUTED_VALUE"""),"Meyrowitsch 1996")</f>
        <v>Meyrowitsch 1996</v>
      </c>
      <c r="B325" s="40"/>
      <c r="C325" s="40"/>
      <c r="D325" s="40" t="str">
        <f>IFERROR(__xludf.DUMMYFUNCTION("""COMPUTED_VALUE"""),"Tanzania")</f>
        <v>Tanzania</v>
      </c>
      <c r="E325" s="40" t="str">
        <f>IFERROR(__xludf.DUMMYFUNCTION("""COMPUTED_VALUE"""),"W. bancrofti")</f>
        <v>W. bancrofti</v>
      </c>
      <c r="F325" s="40" t="str">
        <f>IFERROR(__xludf.DUMMYFUNCTION("""COMPUTED_VALUE"""),"DEC")</f>
        <v>DEC</v>
      </c>
      <c r="G325" s="40" t="str">
        <f>IFERROR(__xludf.DUMMYFUNCTION("""COMPUTED_VALUE"""),"0.33% w/w")</f>
        <v>0.33% w/w</v>
      </c>
      <c r="H325" s="40" t="str">
        <f>IFERROR(__xludf.DUMMYFUNCTION("""COMPUTED_VALUE"""),"a period of one year")</f>
        <v>a period of one year</v>
      </c>
      <c r="I325" s="216">
        <f>IFERROR(__xludf.DUMMYFUNCTION("""COMPUTED_VALUE"""),0.891)</f>
        <v>0.891</v>
      </c>
      <c r="J325" s="216"/>
      <c r="K325" s="40"/>
      <c r="L325" s="40">
        <f>IFERROR(__xludf.DUMMYFUNCTION("""COMPUTED_VALUE"""),467.0)</f>
        <v>467</v>
      </c>
      <c r="M325" s="40" t="str">
        <f>IFERROR(__xludf.DUMMYFUNCTION("""COMPUTED_VALUE"""),"n/a")</f>
        <v>n/a</v>
      </c>
      <c r="N325" s="40" t="str">
        <f>IFERROR(__xludf.DUMMYFUNCTION("""COMPUTED_VALUE"""),"n/a")</f>
        <v>n/a</v>
      </c>
      <c r="O325" s="40" t="str">
        <f>IFERROR(__xludf.DUMMYFUNCTION("""COMPUTED_VALUE"""),"""Following pre-treatment baseline parasitological and clinical surveys, all individuals were offered treatment with DEC according to the strategy adopted for the community.""")</f>
        <v>"Following pre-treatment baseline parasitological and clinical surveys, all individuals were offered treatment with DEC according to the strategy adopted for the community."</v>
      </c>
      <c r="P325" s="40" t="str">
        <f>IFERROR(__xludf.DUMMYFUNCTION("""COMPUTED_VALUE"""),"mass DEC chemotherapy")</f>
        <v>mass DEC chemotherapy</v>
      </c>
      <c r="Q325" s="40"/>
      <c r="R325" s="40"/>
      <c r="S325" s="40" t="str">
        <f>IFERROR(__xludf.DUMMYFUNCTION("""COMPUTED_VALUE"""),"1 year")</f>
        <v>1 year</v>
      </c>
      <c r="T325" s="40" t="str">
        <f>IFERROR(__xludf.DUMMYFUNCTION("""COMPUTED_VALUE"""),"""Statistical analysis indicated that strategies III and IV were equally effective, and superior in clearing microfilaraemias and in reducing mf GMIs compared to strategies I and II; strategy II was significantly more effective than strategy I.""")</f>
        <v>"Statistical analysis indicated that strategies III and IV were equally effective, and superior in clearing microfilaraemias and in reducing mf GMIs compared to strategies I and II; strategy II was significantly more effective than strategy I."</v>
      </c>
      <c r="U325" s="40"/>
      <c r="V325" s="40">
        <f>IFERROR(__xludf.DUMMYFUNCTION("""COMPUTED_VALUE"""),1996.0)</f>
        <v>1996</v>
      </c>
      <c r="W325" s="40">
        <f>IFERROR(__xludf.DUMMYFUNCTION("""COMPUTED_VALUE"""),1996.0)</f>
        <v>1996</v>
      </c>
      <c r="X325" s="40"/>
      <c r="Y325" s="40" t="str">
        <f>IFERROR(__xludf.DUMMYFUNCTION("""COMPUTED_VALUE"""),"doi:10.1016/S0035-9203(96)90534-12")</f>
        <v>doi:10.1016/S0035-9203(96)90534-12</v>
      </c>
      <c r="Z325" s="727" t="str">
        <f>IFERROR(__xludf.DUMMYFUNCTION("""COMPUTED_VALUE"""),"https://drive.google.com/file/d/0B0-pry4DSOm3MERBWXlzX1hOVlE/view?usp=sharing")</f>
        <v>https://drive.google.com/file/d/0B0-pry4DSOm3MERBWXlzX1hOVlE/view?usp=sharing</v>
      </c>
      <c r="AA325" s="40" t="str">
        <f>IFERROR(__xludf.DUMMYFUNCTION("""COMPUTED_VALUE"""),"x")</f>
        <v>x</v>
      </c>
      <c r="AB325" s="40"/>
    </row>
    <row r="326">
      <c r="A326" s="805" t="str">
        <f>IFERROR(__xludf.DUMMYFUNCTION("""COMPUTED_VALUE"""),"Mataika 1998")</f>
        <v>Mataika 1998</v>
      </c>
      <c r="B326" s="40"/>
      <c r="C326" s="40" t="str">
        <f>IFERROR(__xludf.DUMMYFUNCTION("""COMPUTED_VALUE"""),"Mahvish")</f>
        <v>Mahvish</v>
      </c>
      <c r="D326" s="40" t="str">
        <f>IFERROR(__xludf.DUMMYFUNCTION("""COMPUTED_VALUE"""),"Fiji")</f>
        <v>Fiji</v>
      </c>
      <c r="E326" s="40"/>
      <c r="F326" s="40" t="str">
        <f>IFERROR(__xludf.DUMMYFUNCTION("""COMPUTED_VALUE"""),"DEC")</f>
        <v>DEC</v>
      </c>
      <c r="G326" s="40" t="str">
        <f>IFERROR(__xludf.DUMMYFUNCTION("""COMPUTED_VALUE"""),"6mg/kg")</f>
        <v>6mg/kg</v>
      </c>
      <c r="H326" s="40" t="str">
        <f>IFERROR(__xludf.DUMMYFUNCTION("""COMPUTED_VALUE"""),"annual, 5 total years")</f>
        <v>annual, 5 total years</v>
      </c>
      <c r="I326" s="40"/>
      <c r="J326" s="216"/>
      <c r="K326" s="40"/>
      <c r="L326" s="40">
        <f>IFERROR(__xludf.DUMMYFUNCTION("""COMPUTED_VALUE"""),4686.0)</f>
        <v>4686</v>
      </c>
      <c r="M326" s="40"/>
      <c r="N326" s="40"/>
      <c r="O326" s="40" t="str">
        <f>IFERROR(__xludf.DUMMYFUNCTION("""COMPUTED_VALUE"""),"n/a ""All of those registered in 1985 (4686 people in 32 villages) were examined for mf using a 60-il finger-prick (thick smearmethod).")</f>
        <v>n/a "All of those registered in 1985 (4686 people in 32 villages) were examined for mf using a 60-il finger-prick (thick smearmethod).</v>
      </c>
      <c r="P326" s="40" t="str">
        <f>IFERROR(__xludf.DUMMYFUNCTION("""COMPUTED_VALUE"""),"mass treatment")</f>
        <v>mass treatment</v>
      </c>
      <c r="Q326" s="40" t="str">
        <f>IFERROR(__xludf.DUMMYFUNCTION("""COMPUTED_VALUE"""),"n/a")</f>
        <v>n/a</v>
      </c>
      <c r="R326" s="40" t="str">
        <f>IFERROR(__xludf.DUMMYFUNCTION("""COMPUTED_VALUE"""),"n/a")</f>
        <v>n/a</v>
      </c>
      <c r="S326" s="40" t="str">
        <f>IFERROR(__xludf.DUMMYFUNCTION("""COMPUTED_VALUE"""),"5-6 years")</f>
        <v>5-6 years</v>
      </c>
      <c r="T326" s="40" t="str">
        <f>IFERROR(__xludf.DUMMYFUNCTION("""COMPUTED_VALUE"""),"""Thus, annual treatments can reduce village mf rate steadily, and pretreatment mf density or rate do not influence the degree of reduction. This would
imply that annual single-dose treatment (6mg/kg DEC) can be applied in highly endemic areas without los"&amp;"s of efficacy. These results imply that the drug may also prevent juvenile forms (3rd and 4th larval stages and young adults) from reproducing.")</f>
        <v>"Thus, annual treatments can reduce village mf rate steadily, and pretreatment mf density or rate do not influence the degree of reduction. This would
imply that annual single-dose treatment (6mg/kg DEC) can be applied in highly endemic areas without loss of efficacy. These results imply that the drug may also prevent juvenile forms (3rd and 4th larval stages and young adults) from reproducing.</v>
      </c>
      <c r="U326" s="40"/>
      <c r="V326" s="40" t="str">
        <f>IFERROR(__xludf.DUMMYFUNCTION("""COMPUTED_VALUE"""),"1985-1991")</f>
        <v>1985-1991</v>
      </c>
      <c r="W326" s="40">
        <f>IFERROR(__xludf.DUMMYFUNCTION("""COMPUTED_VALUE"""),1991.0)</f>
        <v>1991</v>
      </c>
      <c r="X326" s="40" t="str">
        <f>IFERROR(__xludf.DUMMYFUNCTION("""COMPUTED_VALUE"""),"Mataika JU, Kimura E, Koroivueta J, and Shimada M. Efficacy of five annual single doses of diethylcarbamazine for treatment of lymphatic filariasis in Fiji. Bulletin of the World Health Organization 1998; 76(6): 575-579.")</f>
        <v>Mataika JU, Kimura E, Koroivueta J, and Shimada M. Efficacy of five annual single doses of diethylcarbamazine for treatment of lymphatic filariasis in Fiji. Bulletin of the World Health Organization 1998; 76(6): 575-579.</v>
      </c>
      <c r="Y326" s="40" t="str">
        <f>IFERROR(__xludf.DUMMYFUNCTION("""COMPUTED_VALUE"""),"PMCID: PMC2312497")</f>
        <v>PMCID: PMC2312497</v>
      </c>
      <c r="Z326" s="727" t="str">
        <f>IFERROR(__xludf.DUMMYFUNCTION("""COMPUTED_VALUE"""),"https://drive.google.com/file/d/0B0-pry4DSOm3c21aSGRUOUp4MTA/view?usp=sharing")</f>
        <v>https://drive.google.com/file/d/0B0-pry4DSOm3c21aSGRUOUp4MTA/view?usp=sharing</v>
      </c>
      <c r="AA326" s="40" t="str">
        <f>IFERROR(__xludf.DUMMYFUNCTION("""COMPUTED_VALUE"""),"x")</f>
        <v>x</v>
      </c>
      <c r="AB326" s="40"/>
    </row>
    <row r="327">
      <c r="A327" s="805" t="str">
        <f>IFERROR(__xludf.DUMMYFUNCTION("""COMPUTED_VALUE"""),"Liang 2008")</f>
        <v>Liang 2008</v>
      </c>
      <c r="B327" s="40"/>
      <c r="C327" s="40" t="str">
        <f>IFERROR(__xludf.DUMMYFUNCTION("""COMPUTED_VALUE"""),"Mahvish")</f>
        <v>Mahvish</v>
      </c>
      <c r="D327" s="40" t="str">
        <f>IFERROR(__xludf.DUMMYFUNCTION("""COMPUTED_VALUE"""),"American Samoa")</f>
        <v>American Samoa</v>
      </c>
      <c r="E327" s="40" t="str">
        <f>IFERROR(__xludf.DUMMYFUNCTION("""COMPUTED_VALUE"""),"W. bancrofti")</f>
        <v>W. bancrofti</v>
      </c>
      <c r="F327" s="40" t="str">
        <f>IFERROR(__xludf.DUMMYFUNCTION("""COMPUTED_VALUE"""),"Albendazole &amp; DEC")</f>
        <v>Albendazole &amp; DEC</v>
      </c>
      <c r="G327" s="40"/>
      <c r="H327" s="40" t="str">
        <f>IFERROR(__xludf.DUMMYFUNCTION("""COMPUTED_VALUE"""),"5 annual rounds")</f>
        <v>5 annual rounds</v>
      </c>
      <c r="I327" s="40" t="str">
        <f>IFERROR(__xludf.DUMMYFUNCTION("""COMPUTED_VALUE"""),"72% in 2001, 91% in 2003, 98% in 2006")</f>
        <v>72% in 2001, 91% in 2003, 98% in 2006</v>
      </c>
      <c r="J327" s="216"/>
      <c r="K327" s="40"/>
      <c r="L327" s="40" t="str">
        <f>IFERROR(__xludf.DUMMYFUNCTION("""COMPUTED_VALUE"""),"1024 in 2001, 917 in 2003, 1371 in 2006")</f>
        <v>1024 in 2001, 917 in 2003, 1371 in 2006</v>
      </c>
      <c r="M327" s="40" t="str">
        <f>IFERROR(__xludf.DUMMYFUNCTION("""COMPUTED_VALUE"""),"""The median age of those tested was 16.5 (2001), 19 (2003), and 20 years (2006).""")</f>
        <v>"The median age of those tested was 16.5 (2001), 19 (2003), and 20 years (2006)."</v>
      </c>
      <c r="N327" s="40" t="str">
        <f>IFERROR(__xludf.DUMMYFUNCTION("""COMPUTED_VALUE"""),"456 M; 568 F in 2001, 422 M; 495 F in 2003, 665 M; 706 F in 2006")</f>
        <v>456 M; 568 F in 2001, 422 M; 495 F in 2003, 665 M; 706 F in 2006</v>
      </c>
      <c r="O327" s="40" t="str">
        <f>IFERROR(__xludf.DUMMYFUNCTION("""COMPUTED_VALUE"""),"""At each site, a convenience sample of village residents older than 4 years of age was asked to participate in the survey. Residents who volunteered were requested by the
village mayor to meet at a central location to complete a short questionnaire regar"&amp;"ding knowledge of LF and participation in previous MDAs and provide a finger prick sample of blood for testing. In addition, for the 2003 and 2006 surveys, mobile teams walked from house to house to test people in and guardians of minors provided verbal c"&amp;"onsent before testing. Each surveillance survey was reviewed and approved by the American Samoa Government and Centers for Disease Control and Prevention Institutional Review Boards.""")</f>
        <v>"At each site, a convenience sample of village residents older than 4 years of age was asked to participate in the survey. Residents who volunteered were requested by the
village mayor to meet at a central location to complete a short questionnaire regarding knowledge of LF and participation in previous MDAs and provide a finger prick sample of blood for testing. In addition, for the 2003 and 2006 surveys, mobile teams walked from house to house to test people in and guardians of minors provided verbal consent before testing. Each surveillance survey was reviewed and approved by the American Samoa Government and Centers for Disease Control and Prevention Institutional Review Boards."</v>
      </c>
      <c r="P327" s="40" t="str">
        <f>IFERROR(__xludf.DUMMYFUNCTION("""COMPUTED_VALUE"""),"MDA")</f>
        <v>MDA</v>
      </c>
      <c r="Q327" s="40" t="str">
        <f>IFERROR(__xludf.DUMMYFUNCTION("""COMPUTED_VALUE"""),"n/a")</f>
        <v>n/a</v>
      </c>
      <c r="R327" s="40" t="str">
        <f>IFERROR(__xludf.DUMMYFUNCTION("""COMPUTED_VALUE"""),"n/a")</f>
        <v>n/a</v>
      </c>
      <c r="S327" s="40" t="str">
        <f>IFERROR(__xludf.DUMMYFUNCTION("""COMPUTED_VALUE"""),"5-6 years")</f>
        <v>5-6 years</v>
      </c>
      <c r="T327" s="40" t="str">
        <f>IFERROR(__xludf.DUMMYFUNCTION("""COMPUTED_VALUE"""),"""The decline in antigenemia prevalence shows the effectiveness of MDA and changes made in social mobilization and drug distribution.""")</f>
        <v>"The decline in antigenemia prevalence shows the effectiveness of MDA and changes made in social mobilization and drug distribution."</v>
      </c>
      <c r="U327" s="40"/>
      <c r="V327" s="40" t="str">
        <f>IFERROR(__xludf.DUMMYFUNCTION("""COMPUTED_VALUE"""),"2000-2006")</f>
        <v>2000-2006</v>
      </c>
      <c r="W327" s="40">
        <f>IFERROR(__xludf.DUMMYFUNCTION("""COMPUTED_VALUE"""),2006.0)</f>
        <v>2006</v>
      </c>
      <c r="X327" s="40" t="str">
        <f>IFERROR(__xludf.DUMMYFUNCTION("""COMPUTED_VALUE"""),"Liang JL, King JD, Ichimori K, Handzel T, Pa'au M, and Lammie PJ. Impact of Five Annual Rounds of Mass Drug Administration with Diethylcarbamazine and Albendazole on Wuchereria bancrofti Infection in American Samoa. Am J Trop Med Hyg 2008; 78(6): 924-928.")</f>
        <v>Liang JL, King JD, Ichimori K, Handzel T, Pa'au M, and Lammie PJ. Impact of Five Annual Rounds of Mass Drug Administration with Diethylcarbamazine and Albendazole on Wuchereria bancrofti Infection in American Samoa. Am J Trop Med Hyg 2008; 78(6): 924-928.</v>
      </c>
      <c r="Y327" s="40" t="str">
        <f>IFERROR(__xludf.DUMMYFUNCTION("""COMPUTED_VALUE"""),"PMID: 18541771")</f>
        <v>PMID: 18541771</v>
      </c>
      <c r="Z327" s="727" t="str">
        <f>IFERROR(__xludf.DUMMYFUNCTION("""COMPUTED_VALUE"""),"https://drive.google.com/file/d/0B9vYgR7NsKoYNFhhbW9lVkNBeTQ/view?usp=sharing")</f>
        <v>https://drive.google.com/file/d/0B9vYgR7NsKoYNFhhbW9lVkNBeTQ/view?usp=sharing</v>
      </c>
      <c r="AA327" s="40" t="str">
        <f>IFERROR(__xludf.DUMMYFUNCTION("""COMPUTED_VALUE"""),"x")</f>
        <v>x</v>
      </c>
      <c r="AB327" s="40"/>
    </row>
    <row r="328">
      <c r="A328" s="805" t="str">
        <f>IFERROR(__xludf.DUMMYFUNCTION("""COMPUTED_VALUE"""),"Kumar 2014")</f>
        <v>Kumar 2014</v>
      </c>
      <c r="B328" s="40"/>
      <c r="C328" s="40" t="str">
        <f>IFERROR(__xludf.DUMMYFUNCTION("""COMPUTED_VALUE"""),"Mahvish")</f>
        <v>Mahvish</v>
      </c>
      <c r="D328" s="40" t="str">
        <f>IFERROR(__xludf.DUMMYFUNCTION("""COMPUTED_VALUE"""),"Samoa")</f>
        <v>Samoa</v>
      </c>
      <c r="E328" s="40" t="str">
        <f>IFERROR(__xludf.DUMMYFUNCTION("""COMPUTED_VALUE"""),"W. bancrofti")</f>
        <v>W. bancrofti</v>
      </c>
      <c r="F328" s="40" t="str">
        <f>IFERROR(__xludf.DUMMYFUNCTION("""COMPUTED_VALUE"""),"DEC")</f>
        <v>DEC</v>
      </c>
      <c r="G328" s="40" t="str">
        <f>IFERROR(__xludf.DUMMYFUNCTION("""COMPUTED_VALUE"""),"4mg/kg")</f>
        <v>4mg/kg</v>
      </c>
      <c r="H328" s="40" t="str">
        <f>IFERROR(__xludf.DUMMYFUNCTION("""COMPUTED_VALUE"""),"annual single dose (1 dose)")</f>
        <v>annual single dose (1 dose)</v>
      </c>
      <c r="I328" s="40" t="str">
        <f>IFERROR(__xludf.DUMMYFUNCTION("""COMPUTED_VALUE"""),"81.5%(12 months)-90.1%(6 months)")</f>
        <v>81.5%(12 months)-90.1%(6 months)</v>
      </c>
      <c r="J328" s="216" t="str">
        <f>IFERROR(__xludf.DUMMYFUNCTION("""COMPUTED_VALUE"""),"27.7%(6 months)-29.4%(12 months)")</f>
        <v>27.7%(6 months)-29.4%(12 months)</v>
      </c>
      <c r="K328" s="40"/>
      <c r="L328" s="40">
        <f>IFERROR(__xludf.DUMMYFUNCTION("""COMPUTED_VALUE"""),72.0)</f>
        <v>72</v>
      </c>
      <c r="M328" s="40" t="str">
        <f>IFERROR(__xludf.DUMMYFUNCTION("""COMPUTED_VALUE"""),"age 3 and above")</f>
        <v>age 3 and above</v>
      </c>
      <c r="N328" s="40" t="str">
        <f>IFERROR(__xludf.DUMMYFUNCTION("""COMPUTED_VALUE"""),"n/a")</f>
        <v>n/a</v>
      </c>
      <c r="O328" s="40" t="str">
        <f>IFERROR(__xludf.DUMMYFUNCTION("""COMPUTED_VALUE"""),"n/a")</f>
        <v>n/a</v>
      </c>
      <c r="P328" s="40" t="str">
        <f>IFERROR(__xludf.DUMMYFUNCTION("""COMPUTED_VALUE"""),"mass treatment")</f>
        <v>mass treatment</v>
      </c>
      <c r="Q328" s="40" t="str">
        <f>IFERROR(__xludf.DUMMYFUNCTION("""COMPUTED_VALUE"""),"n/a")</f>
        <v>n/a</v>
      </c>
      <c r="R328" s="40" t="str">
        <f>IFERROR(__xludf.DUMMYFUNCTION("""COMPUTED_VALUE"""),"n/a")</f>
        <v>n/a</v>
      </c>
      <c r="S328" s="40" t="str">
        <f>IFERROR(__xludf.DUMMYFUNCTION("""COMPUTED_VALUE"""),"6 and 12 months")</f>
        <v>6 and 12 months</v>
      </c>
      <c r="T328" s="40" t="str">
        <f>IFERROR(__xludf.DUMMYFUNCTION("""COMPUTED_VALUE"""),"""The comparison between the annual single-dose treatment at 6 mg/kg and the six-monthly two doses/year treatment at the same dosage (total 12 mg/kg/year) showed that the latter had little advantage over the former, thus indicating the effectiveness of th"&amp;"e single-dose treatment for longer than six months.""")</f>
        <v>"The comparison between the annual single-dose treatment at 6 mg/kg and the six-monthly two doses/year treatment at the same dosage (total 12 mg/kg/year) showed that the latter had little advantage over the former, thus indicating the effectiveness of the single-dose treatment for longer than six months."</v>
      </c>
      <c r="U328" s="40"/>
      <c r="V328" s="40" t="str">
        <f>IFERROR(__xludf.DUMMYFUNCTION("""COMPUTED_VALUE"""),"1979-1981")</f>
        <v>1979-1981</v>
      </c>
      <c r="W328" s="40">
        <f>IFERROR(__xludf.DUMMYFUNCTION("""COMPUTED_VALUE"""),1981.0)</f>
        <v>1981</v>
      </c>
      <c r="X328" s="40" t="str">
        <f>IFERROR(__xludf.DUMMYFUNCTION("""COMPUTED_VALUE"""),"Kumar A and Sachan P. Measuring impact on filarial infection status in a community study: Role of coverage of mass drug administration (MDA). Tropical Biomedicine 2014; 31(2): 225-229.")</f>
        <v>Kumar A and Sachan P. Measuring impact on filarial infection status in a community study: Role of coverage of mass drug administration (MDA). Tropical Biomedicine 2014; 31(2): 225-229.</v>
      </c>
      <c r="Y328" s="40" t="str">
        <f>IFERROR(__xludf.DUMMYFUNCTION("""COMPUTED_VALUE"""),"PMID: 25134891")</f>
        <v>PMID: 25134891</v>
      </c>
      <c r="Z328" s="727" t="str">
        <f>IFERROR(__xludf.DUMMYFUNCTION("""COMPUTED_VALUE"""),"https://drive.google.com/file/d/0B4sJPAkX0Jo3VEhYbXRMSEwwTG8/view?usp=sharing")</f>
        <v>https://drive.google.com/file/d/0B4sJPAkX0Jo3VEhYbXRMSEwwTG8/view?usp=sharing</v>
      </c>
      <c r="AA328" s="40" t="str">
        <f>IFERROR(__xludf.DUMMYFUNCTION("""COMPUTED_VALUE"""),"x")</f>
        <v>x</v>
      </c>
      <c r="AB328" s="40"/>
    </row>
    <row r="329">
      <c r="A329" s="805" t="str">
        <f>IFERROR(__xludf.DUMMYFUNCTION("""COMPUTED_VALUE"""),"Kumar 2015")</f>
        <v>Kumar 2015</v>
      </c>
      <c r="B329" s="40"/>
      <c r="C329" s="40" t="str">
        <f>IFERROR(__xludf.DUMMYFUNCTION("""COMPUTED_VALUE"""),"Mahvish")</f>
        <v>Mahvish</v>
      </c>
      <c r="D329" s="40" t="str">
        <f>IFERROR(__xludf.DUMMYFUNCTION("""COMPUTED_VALUE"""),"Samoa")</f>
        <v>Samoa</v>
      </c>
      <c r="E329" s="40" t="str">
        <f>IFERROR(__xludf.DUMMYFUNCTION("""COMPUTED_VALUE"""),"W. bancrofti")</f>
        <v>W. bancrofti</v>
      </c>
      <c r="F329" s="40" t="str">
        <f>IFERROR(__xludf.DUMMYFUNCTION("""COMPUTED_VALUE"""),"DEC")</f>
        <v>DEC</v>
      </c>
      <c r="G329" s="40" t="str">
        <f>IFERROR(__xludf.DUMMYFUNCTION("""COMPUTED_VALUE"""),"6mg/kg")</f>
        <v>6mg/kg</v>
      </c>
      <c r="H329" s="40" t="str">
        <f>IFERROR(__xludf.DUMMYFUNCTION("""COMPUTED_VALUE"""),"annual single dose, 41 received a single dose and 55 received two doses")</f>
        <v>annual single dose, 41 received a single dose and 55 received two doses</v>
      </c>
      <c r="I329" s="40" t="str">
        <f>IFERROR(__xludf.DUMMYFUNCTION("""COMPUTED_VALUE"""),"89.3%(6 months)-94.4%(12 months)")</f>
        <v>89.3%(6 months)-94.4%(12 months)</v>
      </c>
      <c r="J329" s="216" t="str">
        <f>IFERROR(__xludf.DUMMYFUNCTION("""COMPUTED_VALUE"""),"32.1%(6 months)-53.7%(12 months)")</f>
        <v>32.1%(6 months)-53.7%(12 months)</v>
      </c>
      <c r="K329" s="40"/>
      <c r="L329" s="40">
        <f>IFERROR(__xludf.DUMMYFUNCTION("""COMPUTED_VALUE"""),158.0)</f>
        <v>158</v>
      </c>
      <c r="M329" s="40" t="str">
        <f>IFERROR(__xludf.DUMMYFUNCTION("""COMPUTED_VALUE"""),"age 3-40")</f>
        <v>age 3-40</v>
      </c>
      <c r="N329" s="40" t="str">
        <f>IFERROR(__xludf.DUMMYFUNCTION("""COMPUTED_VALUE"""),"79M;33F")</f>
        <v>79M;33F</v>
      </c>
      <c r="O329" s="40" t="str">
        <f>IFERROR(__xludf.DUMMYFUNCTION("""COMPUTED_VALUE"""),"n/a")</f>
        <v>n/a</v>
      </c>
      <c r="P329" s="40" t="str">
        <f>IFERROR(__xludf.DUMMYFUNCTION("""COMPUTED_VALUE"""),"mass treatment")</f>
        <v>mass treatment</v>
      </c>
      <c r="Q329" s="40" t="str">
        <f>IFERROR(__xludf.DUMMYFUNCTION("""COMPUTED_VALUE"""),"n/a")</f>
        <v>n/a</v>
      </c>
      <c r="R329" s="40" t="str">
        <f>IFERROR(__xludf.DUMMYFUNCTION("""COMPUTED_VALUE"""),"n/a")</f>
        <v>n/a</v>
      </c>
      <c r="S329" s="40" t="str">
        <f>IFERROR(__xludf.DUMMYFUNCTION("""COMPUTED_VALUE"""),"6 and 12 months")</f>
        <v>6 and 12 months</v>
      </c>
      <c r="T329" s="40" t="str">
        <f>IFERROR(__xludf.DUMMYFUNCTION("""COMPUTED_VALUE"""),"""The comparison between the annual single-dose treatment at 6 mg/kg and the six-monthly two doses/year treatment at the same dosage (total 12 mg/kg/year) showed that the latter had little advantage over the former, thus indicating the effectiveness of th"&amp;"e single-dose treatment for longer than six months.""")</f>
        <v>"The comparison between the annual single-dose treatment at 6 mg/kg and the six-monthly two doses/year treatment at the same dosage (total 12 mg/kg/year) showed that the latter had little advantage over the former, thus indicating the effectiveness of the single-dose treatment for longer than six months."</v>
      </c>
      <c r="U329" s="40"/>
      <c r="V329" s="40" t="str">
        <f>IFERROR(__xludf.DUMMYFUNCTION("""COMPUTED_VALUE"""),"1979-1982")</f>
        <v>1979-1982</v>
      </c>
      <c r="W329" s="40">
        <f>IFERROR(__xludf.DUMMYFUNCTION("""COMPUTED_VALUE"""),1982.0)</f>
        <v>1982</v>
      </c>
      <c r="X329" s="40" t="str">
        <f>IFERROR(__xludf.DUMMYFUNCTION("""COMPUTED_VALUE"""),"Kumar A and Sachan P. Measuring impact on filarial infection status in a community study: Role of coverage of mass drug administration (MDA). Tropical Biomedicine 2014; 31(2): 225-229.")</f>
        <v>Kumar A and Sachan P. Measuring impact on filarial infection status in a community study: Role of coverage of mass drug administration (MDA). Tropical Biomedicine 2014; 31(2): 225-229.</v>
      </c>
      <c r="Y329" s="40" t="str">
        <f>IFERROR(__xludf.DUMMYFUNCTION("""COMPUTED_VALUE"""),"PMID: 25134892")</f>
        <v>PMID: 25134892</v>
      </c>
      <c r="Z329" s="727" t="str">
        <f>IFERROR(__xludf.DUMMYFUNCTION("""COMPUTED_VALUE"""),"https://drive.google.com/file/d/0B4sJPAkX0Jo3VEhYbXRMSEwwTG8/view?usp=sharing")</f>
        <v>https://drive.google.com/file/d/0B4sJPAkX0Jo3VEhYbXRMSEwwTG8/view?usp=sharing</v>
      </c>
      <c r="AA329" s="40" t="str">
        <f>IFERROR(__xludf.DUMMYFUNCTION("""COMPUTED_VALUE"""),"x")</f>
        <v>x</v>
      </c>
      <c r="AB329" s="40"/>
    </row>
    <row r="330">
      <c r="A330" s="805" t="str">
        <f>IFERROR(__xludf.DUMMYFUNCTION("""COMPUTED_VALUE"""),"Kumar 2016")</f>
        <v>Kumar 2016</v>
      </c>
      <c r="B330" s="40"/>
      <c r="C330" s="40" t="str">
        <f>IFERROR(__xludf.DUMMYFUNCTION("""COMPUTED_VALUE"""),"Mahvish")</f>
        <v>Mahvish</v>
      </c>
      <c r="D330" s="40" t="str">
        <f>IFERROR(__xludf.DUMMYFUNCTION("""COMPUTED_VALUE"""),"Samoa")</f>
        <v>Samoa</v>
      </c>
      <c r="E330" s="40" t="str">
        <f>IFERROR(__xludf.DUMMYFUNCTION("""COMPUTED_VALUE"""),"W. bancrofti")</f>
        <v>W. bancrofti</v>
      </c>
      <c r="F330" s="40" t="str">
        <f>IFERROR(__xludf.DUMMYFUNCTION("""COMPUTED_VALUE"""),"DEC")</f>
        <v>DEC</v>
      </c>
      <c r="G330" s="40" t="str">
        <f>IFERROR(__xludf.DUMMYFUNCTION("""COMPUTED_VALUE"""),"8mg/kg")</f>
        <v>8mg/kg</v>
      </c>
      <c r="H330" s="40" t="str">
        <f>IFERROR(__xludf.DUMMYFUNCTION("""COMPUTED_VALUE"""),"annual single dose (1 dose)")</f>
        <v>annual single dose (1 dose)</v>
      </c>
      <c r="I330" s="40" t="str">
        <f>IFERROR(__xludf.DUMMYFUNCTION("""COMPUTED_VALUE"""),"95.6%(6 months)-93.5%(12 months)")</f>
        <v>95.6%(6 months)-93.5%(12 months)</v>
      </c>
      <c r="J330" s="216" t="str">
        <f>IFERROR(__xludf.DUMMYFUNCTION("""COMPUTED_VALUE"""),"44.0%(6 months)-40.0% (12 months)")</f>
        <v>44.0%(6 months)-40.0% (12 months)</v>
      </c>
      <c r="K330" s="40"/>
      <c r="L330" s="40">
        <f>IFERROR(__xludf.DUMMYFUNCTION("""COMPUTED_VALUE"""),73.0)</f>
        <v>73</v>
      </c>
      <c r="M330" s="40" t="str">
        <f>IFERROR(__xludf.DUMMYFUNCTION("""COMPUTED_VALUE"""),"age 3 and above")</f>
        <v>age 3 and above</v>
      </c>
      <c r="N330" s="40" t="str">
        <f>IFERROR(__xludf.DUMMYFUNCTION("""COMPUTED_VALUE"""),"n/a")</f>
        <v>n/a</v>
      </c>
      <c r="O330" s="40" t="str">
        <f>IFERROR(__xludf.DUMMYFUNCTION("""COMPUTED_VALUE"""),"n/a")</f>
        <v>n/a</v>
      </c>
      <c r="P330" s="40" t="str">
        <f>IFERROR(__xludf.DUMMYFUNCTION("""COMPUTED_VALUE"""),"mass treatment")</f>
        <v>mass treatment</v>
      </c>
      <c r="Q330" s="40" t="str">
        <f>IFERROR(__xludf.DUMMYFUNCTION("""COMPUTED_VALUE"""),"n/a")</f>
        <v>n/a</v>
      </c>
      <c r="R330" s="40" t="str">
        <f>IFERROR(__xludf.DUMMYFUNCTION("""COMPUTED_VALUE"""),"n/a")</f>
        <v>n/a</v>
      </c>
      <c r="S330" s="40" t="str">
        <f>IFERROR(__xludf.DUMMYFUNCTION("""COMPUTED_VALUE"""),"6 and 12 months")</f>
        <v>6 and 12 months</v>
      </c>
      <c r="T330" s="40" t="str">
        <f>IFERROR(__xludf.DUMMYFUNCTION("""COMPUTED_VALUE"""),"""The comparison between the annual single-dose treatment at 6 mg/kg and the six-monthly two doses/year treatment at the same dosage (total 12 mg/kg/year) showed that the latter had little advantage over the former, thus indicating the effectiveness of th"&amp;"e single-dose treatment for longer than six months.""")</f>
        <v>"The comparison between the annual single-dose treatment at 6 mg/kg and the six-monthly two doses/year treatment at the same dosage (total 12 mg/kg/year) showed that the latter had little advantage over the former, thus indicating the effectiveness of the single-dose treatment for longer than six months."</v>
      </c>
      <c r="U330" s="40"/>
      <c r="V330" s="40" t="str">
        <f>IFERROR(__xludf.DUMMYFUNCTION("""COMPUTED_VALUE"""),"1979-1983")</f>
        <v>1979-1983</v>
      </c>
      <c r="W330" s="40">
        <f>IFERROR(__xludf.DUMMYFUNCTION("""COMPUTED_VALUE"""),1983.0)</f>
        <v>1983</v>
      </c>
      <c r="X330" s="40" t="str">
        <f>IFERROR(__xludf.DUMMYFUNCTION("""COMPUTED_VALUE"""),"Kumar A and Sachan P. Measuring impact on filarial infection status in a community study: Role of coverage of mass drug administration (MDA). Tropical Biomedicine 2014; 31(2): 225-229.")</f>
        <v>Kumar A and Sachan P. Measuring impact on filarial infection status in a community study: Role of coverage of mass drug administration (MDA). Tropical Biomedicine 2014; 31(2): 225-229.</v>
      </c>
      <c r="Y330" s="40" t="str">
        <f>IFERROR(__xludf.DUMMYFUNCTION("""COMPUTED_VALUE"""),"PMID: 25134893")</f>
        <v>PMID: 25134893</v>
      </c>
      <c r="Z330" s="727" t="str">
        <f>IFERROR(__xludf.DUMMYFUNCTION("""COMPUTED_VALUE"""),"https://drive.google.com/file/d/0B4sJPAkX0Jo3VEhYbXRMSEwwTG8/view?usp=sharing")</f>
        <v>https://drive.google.com/file/d/0B4sJPAkX0Jo3VEhYbXRMSEwwTG8/view?usp=sharing</v>
      </c>
      <c r="AA330" s="40" t="str">
        <f>IFERROR(__xludf.DUMMYFUNCTION("""COMPUTED_VALUE"""),"x")</f>
        <v>x</v>
      </c>
      <c r="AB330" s="40"/>
    </row>
    <row r="331">
      <c r="A331" s="805" t="str">
        <f>IFERROR(__xludf.DUMMYFUNCTION("""COMPUTED_VALUE"""),"Hewitt 1950")</f>
        <v>Hewitt 1950</v>
      </c>
      <c r="B331" s="40"/>
      <c r="C331" s="40" t="str">
        <f>IFERROR(__xludf.DUMMYFUNCTION("""COMPUTED_VALUE"""),"Mahvish")</f>
        <v>Mahvish</v>
      </c>
      <c r="D331" s="40" t="str">
        <f>IFERROR(__xludf.DUMMYFUNCTION("""COMPUTED_VALUE"""),"Vanuatu")</f>
        <v>Vanuatu</v>
      </c>
      <c r="E331" s="40"/>
      <c r="F331" s="40" t="str">
        <f>IFERROR(__xludf.DUMMYFUNCTION("""COMPUTED_VALUE"""),"Albendazole &amp; DEC")</f>
        <v>Albendazole &amp; DEC</v>
      </c>
      <c r="G331" s="40" t="str">
        <f>IFERROR(__xludf.DUMMYFUNCTION("""COMPUTED_VALUE"""),"""albendazole (one 400-mg tablet) and DEC (50-mg tablets based on age as follows: 2–9 years of age, 2 tablets; 10–19 years of age, 5 tablets; 20–29 years of age, 7 tablets; 30–59 years of age, 8 tablets;  60 years of age, 7 tablets)""")</f>
        <v>"albendazole (one 400-mg tablet) and DEC (50-mg tablets based on age as follows: 2–9 years of age, 2 tablets; 10–19 years of age, 5 tablets; 20–29 years of age, 7 tablets; 30–59 years of age, 8 tablets;  60 years of age, 7 tablets)"</v>
      </c>
      <c r="H331" s="40" t="str">
        <f>IFERROR(__xludf.DUMMYFUNCTION("""COMPUTED_VALUE"""),"annually for five years from 2000 to 2004")</f>
        <v>annually for five years from 2000 to 2004</v>
      </c>
      <c r="I331" s="783">
        <f>IFERROR(__xludf.DUMMYFUNCTION("""COMPUTED_VALUE"""),0.93)</f>
        <v>0.93</v>
      </c>
      <c r="J331" s="216"/>
      <c r="K331" s="40"/>
      <c r="L331" s="40">
        <f>IFERROR(__xludf.DUMMYFUNCTION("""COMPUTED_VALUE"""),561.0)</f>
        <v>561</v>
      </c>
      <c r="M331" s="40" t="str">
        <f>IFERROR(__xludf.DUMMYFUNCTION("""COMPUTED_VALUE"""),"2 and above")</f>
        <v>2 and above</v>
      </c>
      <c r="N331" s="40" t="str">
        <f>IFERROR(__xludf.DUMMYFUNCTION("""COMPUTED_VALUE"""),"n/a")</f>
        <v>n/a</v>
      </c>
      <c r="O331" s="40" t="str">
        <f>IFERROR(__xludf.DUMMYFUNCTION("""COMPUTED_VALUE"""),"""All participants had a 100-L blood sample taken during the day for the detection of W. bancrofti antigen using Binax (Portland, ME) immunochromatographic card tests (ICTs)
and results were read at 10 minutes. All cases with a positive ICT result had an "&amp;"additional 60-L night blood sample taken for detection of MF using the three-line blood smear method of Sasa.4 Blood was taken from finger pricks between 9:00 PM and midnight to coincide with the peak circulation time of the MF. Participants were also ask"&amp;"ed whether they normally used a bed net and whether they had used a bed net the previous night to ascertain the extent of bed net use. All participants testing positive in the antigen test were treated with albendazole and DEC....(pregnant women, babies l"&amp;"ess than two years of age, and sick and elderly individuals were excluded)""")</f>
        <v>"All participants had a 100-L blood sample taken during the day for the detection of W. bancrofti antigen using Binax (Portland, ME) immunochromatographic card tests (ICTs)
and results were read at 10 minutes. All cases with a positive ICT result had an additional 60-L night blood sample taken for detection of MF using the three-line blood smear method of Sasa.4 Blood was taken from finger pricks between 9:00 PM and midnight to coincide with the peak circulation time of the MF. Participants were also asked whether they normally used a bed net and whether they had used a bed net the previous night to ascertain the extent of bed net use. All participants testing positive in the antigen test were treated with albendazole and DEC....(pregnant women, babies less than two years of age, and sick and elderly individuals were excluded)"</v>
      </c>
      <c r="P331" s="40" t="str">
        <f>IFERROR(__xludf.DUMMYFUNCTION("""COMPUTED_VALUE"""),"MDA")</f>
        <v>MDA</v>
      </c>
      <c r="Q331" s="40" t="str">
        <f>IFERROR(__xludf.DUMMYFUNCTION("""COMPUTED_VALUE"""),"n/a")</f>
        <v>n/a</v>
      </c>
      <c r="R331" s="40" t="str">
        <f>IFERROR(__xludf.DUMMYFUNCTION("""COMPUTED_VALUE"""),"n/a")</f>
        <v>n/a</v>
      </c>
      <c r="S331" s="40" t="str">
        <f>IFERROR(__xludf.DUMMYFUNCTION("""COMPUTED_VALUE"""),"year 5")</f>
        <v>year 5</v>
      </c>
      <c r="T331" s="40" t="str">
        <f>IFERROR(__xludf.DUMMYFUNCTION("""COMPUTED_VALUE"""),"""The results of this midterm evaluation show high coverage was maintained for the first two years of this campaign and resulted in a significant decrease in antigen prevalence, as well as MF prevalence and intensity of microfilaremia due to W. bancrofti."&amp;"""")</f>
        <v>"The results of this midterm evaluation show high coverage was maintained for the first two years of this campaign and resulted in a significant decrease in antigen prevalence, as well as MF prevalence and intensity of microfilaremia due to W. bancrofti."</v>
      </c>
      <c r="U331" s="40"/>
      <c r="V331" s="40" t="str">
        <f>IFERROR(__xludf.DUMMYFUNCTION("""COMPUTED_VALUE"""),"2000-2004")</f>
        <v>2000-2004</v>
      </c>
      <c r="W331" s="40">
        <f>IFERROR(__xludf.DUMMYFUNCTION("""COMPUTED_VALUE"""),2004.0)</f>
        <v>2004</v>
      </c>
      <c r="X331" s="40" t="str">
        <f>IFERROR(__xludf.DUMMYFUNCTION("""COMPUTED_VALUE"""),"Hewitt RI, White E, Hewitt DB, Hardy SM, Wallace WS, and Anduze R. The First Year's Results of Mass Treatment Program with Hetrazan for the Control of Bancroftian Filariasis on St. Crox, American Virgin Islands. Am J Trop Med Hyg 1950; 30(3):443-452.")</f>
        <v>Hewitt RI, White E, Hewitt DB, Hardy SM, Wallace WS, and Anduze R. The First Year's Results of Mass Treatment Program with Hetrazan for the Control of Bancroftian Filariasis on St. Crox, American Virgin Islands. Am J Trop Med Hyg 1950; 30(3):443-452.</v>
      </c>
      <c r="Y331" s="40" t="str">
        <f>IFERROR(__xludf.DUMMYFUNCTION("""COMPUTED_VALUE"""),"PMID: 15425734")</f>
        <v>PMID: 15425734</v>
      </c>
      <c r="Z331" s="727" t="str">
        <f>IFERROR(__xludf.DUMMYFUNCTION("""COMPUTED_VALUE"""),"https://drive.google.com/file/d/0B0-pry4DSOm3OW8zb20tbzJmams/view?usp=sharing")</f>
        <v>https://drive.google.com/file/d/0B0-pry4DSOm3OW8zb20tbzJmams/view?usp=sharing</v>
      </c>
      <c r="AA331" s="40" t="str">
        <f>IFERROR(__xludf.DUMMYFUNCTION("""COMPUTED_VALUE"""),"x")</f>
        <v>x</v>
      </c>
      <c r="AB331" s="40"/>
    </row>
    <row r="332">
      <c r="A332" s="805" t="str">
        <f>IFERROR(__xludf.DUMMYFUNCTION("""COMPUTED_VALUE"""),"Davis 1969")</f>
        <v>Davis 1969</v>
      </c>
      <c r="B332" s="40"/>
      <c r="C332" s="40" t="str">
        <f>IFERROR(__xludf.DUMMYFUNCTION("""COMPUTED_VALUE"""),"Mahvish")</f>
        <v>Mahvish</v>
      </c>
      <c r="D332" s="40" t="str">
        <f>IFERROR(__xludf.DUMMYFUNCTION("""COMPUTED_VALUE"""),"Tanzania")</f>
        <v>Tanzania</v>
      </c>
      <c r="E332" s="40" t="str">
        <f>IFERROR(__xludf.DUMMYFUNCTION("""COMPUTED_VALUE"""),"W. bancrofti")</f>
        <v>W. bancrofti</v>
      </c>
      <c r="F332" s="40" t="str">
        <f>IFERROR(__xludf.DUMMYFUNCTION("""COMPUTED_VALUE"""),"DEC")</f>
        <v>DEC</v>
      </c>
      <c r="G332" s="40" t="str">
        <f>IFERROR(__xludf.DUMMYFUNCTION("""COMPUTED_VALUE"""),"0.1 % (wlw) concentration; 10 g of drug in 10 kg of salt; daily ration of salt was 1/2 oz (ca 14 g) per head plus an indeterminate amount used in central cooking procedures.")</f>
        <v>0.1 % (wlw) concentration; 10 g of drug in 10 kg of salt; daily ration of salt was 1/2 oz (ca 14 g) per head plus an indeterminate amount used in central cooking procedures.</v>
      </c>
      <c r="H332" s="40" t="str">
        <f>IFERROR(__xludf.DUMMYFUNCTION("""COMPUTED_VALUE"""),"daily for 6 months")</f>
        <v>daily for 6 months</v>
      </c>
      <c r="I332" s="40" t="str">
        <f>IFERROR(__xludf.DUMMYFUNCTION("""COMPUTED_VALUE"""),"73% at 3 months and 90% after 6 months")</f>
        <v>73% at 3 months and 90% after 6 months</v>
      </c>
      <c r="J332" s="216"/>
      <c r="K332" s="40"/>
      <c r="L332" s="40" t="str">
        <f>IFERROR(__xludf.DUMMYFUNCTION("""COMPUTED_VALUE"""),"600-700")</f>
        <v>600-700</v>
      </c>
      <c r="M332" s="40" t="str">
        <f>IFERROR(__xludf.DUMMYFUNCTION("""COMPUTED_VALUE"""),"n/a")</f>
        <v>n/a</v>
      </c>
      <c r="N332" s="40" t="str">
        <f>IFERROR(__xludf.DUMMYFUNCTION("""COMPUTED_VALUE"""),"100% M")</f>
        <v>100% M</v>
      </c>
      <c r="O332" s="40" t="str">
        <f>IFERROR(__xludf.DUMMYFUNCTION("""COMPUTED_VALUE"""),"""The microfilarial carriers were male prisoners at a large regional prison near Tanga, Tanzania, normally holding between 600 and 700 inmates. Detainees were drawn from a wide area of East Africa and did not necessarily reflect either the incidence or th"&amp;"e density of infection in the local population of Tanga. Meetings were held with the prisoners, the plan of the trial explained and their voluntary cooperation was obtained.""")</f>
        <v>"The microfilarial carriers were male prisoners at a large regional prison near Tanga, Tanzania, normally holding between 600 and 700 inmates. Detainees were drawn from a wide area of East Africa and did not necessarily reflect either the incidence or the density of infection in the local population of Tanga. Meetings were held with the prisoners, the plan of the trial explained and their voluntary cooperation was obtained."</v>
      </c>
      <c r="P332" s="40" t="str">
        <f>IFERROR(__xludf.DUMMYFUNCTION("""COMPUTED_VALUE"""),"mass treatment")</f>
        <v>mass treatment</v>
      </c>
      <c r="Q332" s="40" t="str">
        <f>IFERROR(__xludf.DUMMYFUNCTION("""COMPUTED_VALUE"""),"n/a")</f>
        <v>n/a</v>
      </c>
      <c r="R332" s="40" t="str">
        <f>IFERROR(__xludf.DUMMYFUNCTION("""COMPUTED_VALUE"""),"n/a")</f>
        <v>n/a</v>
      </c>
      <c r="S332" s="40" t="str">
        <f>IFERROR(__xludf.DUMMYFUNCTION("""COMPUTED_VALUE"""),"6 months")</f>
        <v>6 months</v>
      </c>
      <c r="T332" s="40" t="str">
        <f>IFERROR(__xludf.DUMMYFUNCTION("""COMPUTED_VALUE"""),"""Repeated microfilarial surveys demonstrated that the compound was undoubtedly effective in reducing the total microfilarial reservoir of this sample although relatively ineffective in complete eradication of parasitaemia.""")</f>
        <v>"Repeated microfilarial surveys demonstrated that the compound was undoubtedly effective in reducing the total microfilarial reservoir of this sample although relatively ineffective in complete eradication of parasitaemia."</v>
      </c>
      <c r="U332" s="40"/>
      <c r="V332" s="40">
        <f>IFERROR(__xludf.DUMMYFUNCTION("""COMPUTED_VALUE"""),1969.0)</f>
        <v>1969</v>
      </c>
      <c r="W332" s="40">
        <f>IFERROR(__xludf.DUMMYFUNCTION("""COMPUTED_VALUE"""),1969.0)</f>
        <v>1969</v>
      </c>
      <c r="X332" s="40" t="str">
        <f>IFERROR(__xludf.DUMMYFUNCTION("""COMPUTED_VALUE"""),"Davis A and Bailey DR. The Effect of Salt Medicated with Diethylcarbamazine in Bancroftian Filariasis. Bull. Org. mond. Sante Bull. Wld Hlth Org 1969; 41: 195-208. ")</f>
        <v>Davis A and Bailey DR. The Effect of Salt Medicated with Diethylcarbamazine in Bancroftian Filariasis. Bull. Org. mond. Sante Bull. Wld Hlth Org 1969; 41: 195-208. </v>
      </c>
      <c r="Y332" s="40" t="str">
        <f>IFERROR(__xludf.DUMMYFUNCTION("""COMPUTED_VALUE"""),"PMCID: PMC2427415")</f>
        <v>PMCID: PMC2427415</v>
      </c>
      <c r="Z332" s="727" t="str">
        <f>IFERROR(__xludf.DUMMYFUNCTION("""COMPUTED_VALUE"""),"https://drive.google.com/file/d/0By3QPyQz621GV2pGZUNia0FseTA/view?usp=sharing")</f>
        <v>https://drive.google.com/file/d/0By3QPyQz621GV2pGZUNia0FseTA/view?usp=sharing</v>
      </c>
      <c r="AA332" s="40" t="str">
        <f>IFERROR(__xludf.DUMMYFUNCTION("""COMPUTED_VALUE"""),"x")</f>
        <v>x</v>
      </c>
      <c r="AB332" s="40"/>
    </row>
    <row r="333">
      <c r="A333" s="805" t="str">
        <f>IFERROR(__xludf.DUMMYFUNCTION("""COMPUTED_VALUE"""),"Bockarie 2002")</f>
        <v>Bockarie 2002</v>
      </c>
      <c r="B333" s="40"/>
      <c r="C333" s="40" t="str">
        <f>IFERROR(__xludf.DUMMYFUNCTION("""COMPUTED_VALUE"""),"Mahvish")</f>
        <v>Mahvish</v>
      </c>
      <c r="D333" s="40" t="str">
        <f>IFERROR(__xludf.DUMMYFUNCTION("""COMPUTED_VALUE"""),"New Guinea")</f>
        <v>New Guinea</v>
      </c>
      <c r="E333" s="40" t="str">
        <f>IFERROR(__xludf.DUMMYFUNCTION("""COMPUTED_VALUE"""),"W. bancrofti")</f>
        <v>W. bancrofti</v>
      </c>
      <c r="F333" s="40" t="str">
        <f>IFERROR(__xludf.DUMMYFUNCTION("""COMPUTED_VALUE"""),"DEC")</f>
        <v>DEC</v>
      </c>
      <c r="G333" s="40" t="str">
        <f>IFERROR(__xludf.DUMMYFUNCTION("""COMPUTED_VALUE"""),"6mg/kg")</f>
        <v>6mg/kg</v>
      </c>
      <c r="H333" s="40" t="str">
        <f>IFERROR(__xludf.DUMMYFUNCTION("""COMPUTED_VALUE"""),"four annual treatments ")</f>
        <v>four annual treatments </v>
      </c>
      <c r="I333" s="40"/>
      <c r="J333" s="216"/>
      <c r="K333" s="40"/>
      <c r="L333" s="40" t="str">
        <f>IFERROR(__xludf.DUMMYFUNCTION("""COMPUTED_VALUE"""),"""A total of 2586 persons were eligible to take antifilarial drugs in 1994, 2668 were eligible in 1995, 2695 were eligible in 1996, and 2690 were eligible in 1997.""")</f>
        <v>"A total of 2586 persons were eligible to take antifilarial drugs in 1994, 2668 were eligible in 1995, 2695 were eligible in 1996, and 2690 were eligible in 1997."</v>
      </c>
      <c r="M333" s="40" t="str">
        <f>IFERROR(__xludf.DUMMYFUNCTION("""COMPUTED_VALUE"""),"5 years and above")</f>
        <v>5 years and above</v>
      </c>
      <c r="N333" s="40" t="str">
        <f>IFERROR(__xludf.DUMMYFUNCTION("""COMPUTED_VALUE"""),"n/a")</f>
        <v>n/a</v>
      </c>
      <c r="O333" s="40" t="str">
        <f>IFERROR(__xludf.DUMMYFUNCTION("""COMPUTED_VALUE"""),"""Consent for the participation of subjects who were 16 years old or younger was obtained from a parent or guardian. Only persons who were at least five years old were eligible to receive drugs. Children who reached their fifth birthday within the 12-mont"&amp;"h period preceding an annual treatment were given their first treatment at that time. Pregnant women were excluded from receiving the drugs, because ivermectin cannot be used during pregnancy.""")</f>
        <v>"Consent for the participation of subjects who were 16 years old or younger was obtained from a parent or guardian. Only persons who were at least five years old were eligible to receive drugs. Children who reached their fifth birthday within the 12-month period preceding an annual treatment were given their first treatment at that time. Pregnant women were excluded from receiving the drugs, because ivermectin cannot be used during pregnancy."</v>
      </c>
      <c r="P333" s="40" t="str">
        <f>IFERROR(__xludf.DUMMYFUNCTION("""COMPUTED_VALUE"""),"mass treatment")</f>
        <v>mass treatment</v>
      </c>
      <c r="Q333" s="40" t="str">
        <f>IFERROR(__xludf.DUMMYFUNCTION("""COMPUTED_VALUE"""),"n/a")</f>
        <v>n/a</v>
      </c>
      <c r="R333" s="40" t="str">
        <f>IFERROR(__xludf.DUMMYFUNCTION("""COMPUTED_VALUE"""),"yes")</f>
        <v>yes</v>
      </c>
      <c r="S333" s="40" t="str">
        <f>IFERROR(__xludf.DUMMYFUNCTION("""COMPUTED_VALUE"""),"year 4")</f>
        <v>year 4</v>
      </c>
      <c r="T333" s="40" t="str">
        <f>IFERROR(__xludf.DUMMYFUNCTION("""COMPUTED_VALUE"""),"""Annual mass treatment with drugs such as diethylcarbamazine can virtually eliminate the
reservoir of microfilariae and greatly reduce the frequency of clinical lymphatic abnormalities due to bancroftian filariasis. Eradication may be possible in areas w"&amp;"ith moderate rates of transmission, but longer periods of treatment or additional control measures may be necessary in areas with high rates of transmission.""")</f>
        <v>"Annual mass treatment with drugs such as diethylcarbamazine can virtually eliminate the
reservoir of microfilariae and greatly reduce the frequency of clinical lymphatic abnormalities due to bancroftian filariasis. Eradication may be possible in areas with moderate rates of transmission, but longer periods of treatment or additional control measures may be necessary in areas with high rates of transmission."</v>
      </c>
      <c r="U333" s="40" t="str">
        <f>IFERROR(__xludf.DUMMYFUNCTION("""COMPUTED_VALUE"""),"requires calculation of MF reduction")</f>
        <v>requires calculation of MF reduction</v>
      </c>
      <c r="V333" s="40" t="str">
        <f>IFERROR(__xludf.DUMMYFUNCTION("""COMPUTED_VALUE"""),"1994-1998")</f>
        <v>1994-1998</v>
      </c>
      <c r="W333" s="40">
        <f>IFERROR(__xludf.DUMMYFUNCTION("""COMPUTED_VALUE"""),1998.0)</f>
        <v>1998</v>
      </c>
      <c r="X333" s="40" t="str">
        <f>IFERROR(__xludf.DUMMYFUNCTION("""COMPUTED_VALUE"""),"Bockarie MJ, Tisch DJ, Kastens W, Alexander NDE, Dimber Z, Bockarie F, et al. Mass Treatment to Eliminate Filariasis in Papua Guinea. The New England Journal of Medicine 2002; 347: 1841-1848.")</f>
        <v>Bockarie MJ, Tisch DJ, Kastens W, Alexander NDE, Dimber Z, Bockarie F, et al. Mass Treatment to Eliminate Filariasis in Papua Guinea. The New England Journal of Medicine 2002; 347: 1841-1848.</v>
      </c>
      <c r="Y333" s="40" t="str">
        <f>IFERROR(__xludf.DUMMYFUNCTION("""COMPUTED_VALUE"""),"DOI: 10.1056/NEJMoa021309")</f>
        <v>DOI: 10.1056/NEJMoa021309</v>
      </c>
      <c r="Z333" s="727" t="str">
        <f>IFERROR(__xludf.DUMMYFUNCTION("""COMPUTED_VALUE"""),"https://drive.google.com/file/d/0B0-pry4DSOm3UktBNksxalJidk0/view?usp=sharing")</f>
        <v>https://drive.google.com/file/d/0B0-pry4DSOm3UktBNksxalJidk0/view?usp=sharing</v>
      </c>
      <c r="AA333" s="40" t="str">
        <f>IFERROR(__xludf.DUMMYFUNCTION("""COMPUTED_VALUE"""),"x")</f>
        <v>x</v>
      </c>
      <c r="AB333" s="40"/>
    </row>
    <row r="334">
      <c r="A334" s="805" t="str">
        <f>IFERROR(__xludf.DUMMYFUNCTION("""COMPUTED_VALUE"""),"Bockarie 2002")</f>
        <v>Bockarie 2002</v>
      </c>
      <c r="B334" s="40"/>
      <c r="C334" s="40" t="str">
        <f>IFERROR(__xludf.DUMMYFUNCTION("""COMPUTED_VALUE"""),"Mahvish")</f>
        <v>Mahvish</v>
      </c>
      <c r="D334" s="40" t="str">
        <f>IFERROR(__xludf.DUMMYFUNCTION("""COMPUTED_VALUE"""),"Guinea")</f>
        <v>Guinea</v>
      </c>
      <c r="E334" s="40" t="str">
        <f>IFERROR(__xludf.DUMMYFUNCTION("""COMPUTED_VALUE"""),"W. bancrofti")</f>
        <v>W. bancrofti</v>
      </c>
      <c r="F334" s="40" t="str">
        <f>IFERROR(__xludf.DUMMYFUNCTION("""COMPUTED_VALUE"""),"DEC &amp; Ivermectin")</f>
        <v>DEC &amp; Ivermectin</v>
      </c>
      <c r="G334" s="40" t="str">
        <f>IFERROR(__xludf.DUMMYFUNCTION("""COMPUTED_VALUE"""),"6mg/kg + 400 μg per kilogram")</f>
        <v>6mg/kg + 400 μg per kilogram</v>
      </c>
      <c r="H334" s="40" t="str">
        <f>IFERROR(__xludf.DUMMYFUNCTION("""COMPUTED_VALUE"""),"four annual treatments ")</f>
        <v>four annual treatments </v>
      </c>
      <c r="I334" s="40"/>
      <c r="J334" s="216"/>
      <c r="K334" s="40"/>
      <c r="L334" s="40" t="str">
        <f>IFERROR(__xludf.DUMMYFUNCTION("""COMPUTED_VALUE"""),"""A total of 2586 persons were eligible to take antifilarial drugs in 1994, 2668 were eligible in 1995, 2695 were eligible in 1996, and 2690 were eligible in 1997.""")</f>
        <v>"A total of 2586 persons were eligible to take antifilarial drugs in 1994, 2668 were eligible in 1995, 2695 were eligible in 1996, and 2690 were eligible in 1997."</v>
      </c>
      <c r="M334" s="40" t="str">
        <f>IFERROR(__xludf.DUMMYFUNCTION("""COMPUTED_VALUE"""),"5 years and above")</f>
        <v>5 years and above</v>
      </c>
      <c r="N334" s="40" t="str">
        <f>IFERROR(__xludf.DUMMYFUNCTION("""COMPUTED_VALUE"""),"n/a")</f>
        <v>n/a</v>
      </c>
      <c r="O334" s="40" t="str">
        <f>IFERROR(__xludf.DUMMYFUNCTION("""COMPUTED_VALUE"""),"""Consent for the participation of subjects who were 16 years old or younger was obtained from a parent or guardian. Only persons who were at least five years old were eligible to receive drugs. Children who reached their fifth birthday within the 12-mont"&amp;"h period preceding an annual treatment were given their first treatment at that time. Pregnant women were excluded from receiving the drugs, because ivermectin cannot be used during pregnancy.""")</f>
        <v>"Consent for the participation of subjects who were 16 years old or younger was obtained from a parent or guardian. Only persons who were at least five years old were eligible to receive drugs. Children who reached their fifth birthday within the 12-month period preceding an annual treatment were given their first treatment at that time. Pregnant women were excluded from receiving the drugs, because ivermectin cannot be used during pregnancy."</v>
      </c>
      <c r="P334" s="40" t="str">
        <f>IFERROR(__xludf.DUMMYFUNCTION("""COMPUTED_VALUE"""),"mass treatment")</f>
        <v>mass treatment</v>
      </c>
      <c r="Q334" s="40" t="str">
        <f>IFERROR(__xludf.DUMMYFUNCTION("""COMPUTED_VALUE"""),"n/a")</f>
        <v>n/a</v>
      </c>
      <c r="R334" s="40" t="str">
        <f>IFERROR(__xludf.DUMMYFUNCTION("""COMPUTED_VALUE"""),"yes")</f>
        <v>yes</v>
      </c>
      <c r="S334" s="40" t="str">
        <f>IFERROR(__xludf.DUMMYFUNCTION("""COMPUTED_VALUE"""),"year 4")</f>
        <v>year 4</v>
      </c>
      <c r="T334" s="40" t="str">
        <f>IFERROR(__xludf.DUMMYFUNCTION("""COMPUTED_VALUE"""),"""Annual mass treatment with drugs such as diethylcarbamazine can virtually eliminate the
reservoir of microfilariae and greatly reduce the frequency of clinical lymphatic abnormalities due to bancroftian filariasis. Eradication may be possible in areas w"&amp;"ith moderate rates of transmission, but longer periods of treatment or additional control measures may be necessary in areas with high rates of transmission.""")</f>
        <v>"Annual mass treatment with drugs such as diethylcarbamazine can virtually eliminate the
reservoir of microfilariae and greatly reduce the frequency of clinical lymphatic abnormalities due to bancroftian filariasis. Eradication may be possible in areas with moderate rates of transmission, but longer periods of treatment or additional control measures may be necessary in areas with high rates of transmission."</v>
      </c>
      <c r="U334" s="40" t="str">
        <f>IFERROR(__xludf.DUMMYFUNCTION("""COMPUTED_VALUE"""),"requires calculation of MF reduction")</f>
        <v>requires calculation of MF reduction</v>
      </c>
      <c r="V334" s="40" t="str">
        <f>IFERROR(__xludf.DUMMYFUNCTION("""COMPUTED_VALUE"""),"1994-1998")</f>
        <v>1994-1998</v>
      </c>
      <c r="W334" s="40">
        <f>IFERROR(__xludf.DUMMYFUNCTION("""COMPUTED_VALUE"""),1998.0)</f>
        <v>1998</v>
      </c>
      <c r="X334" s="40" t="str">
        <f>IFERROR(__xludf.DUMMYFUNCTION("""COMPUTED_VALUE"""),"Bockarie MJ, Tisch DJ, Kastens W, Alexander NDE, Dimber Z, Bockarie F, et al. Mass Treatment to Eliminate Filariasis in Papua Guinea. The New England Journal of Medicine 2002; 347: 1841-1848.")</f>
        <v>Bockarie MJ, Tisch DJ, Kastens W, Alexander NDE, Dimber Z, Bockarie F, et al. Mass Treatment to Eliminate Filariasis in Papua Guinea. The New England Journal of Medicine 2002; 347: 1841-1848.</v>
      </c>
      <c r="Y334" s="40" t="str">
        <f>IFERROR(__xludf.DUMMYFUNCTION("""COMPUTED_VALUE"""),"DOI: 10.1056/NEJMoa021310")</f>
        <v>DOI: 10.1056/NEJMoa021310</v>
      </c>
      <c r="Z334" s="727" t="str">
        <f>IFERROR(__xludf.DUMMYFUNCTION("""COMPUTED_VALUE"""),"https://drive.google.com/file/d/0B0-pry4DSOm3UktBNksxalJidk0/view?usp=sharing")</f>
        <v>https://drive.google.com/file/d/0B0-pry4DSOm3UktBNksxalJidk0/view?usp=sharing</v>
      </c>
      <c r="AA334" s="40" t="str">
        <f>IFERROR(__xludf.DUMMYFUNCTION("""COMPUTED_VALUE"""),"x")</f>
        <v>x</v>
      </c>
      <c r="AB334" s="40"/>
    </row>
    <row r="335">
      <c r="A335" s="805"/>
      <c r="B335" s="40"/>
      <c r="C335" s="40"/>
      <c r="D335" s="40"/>
      <c r="E335" s="40"/>
      <c r="F335" s="40"/>
      <c r="G335" s="40"/>
      <c r="H335" s="40"/>
      <c r="I335" s="40"/>
      <c r="J335" s="216"/>
      <c r="K335" s="40"/>
      <c r="L335" s="40"/>
      <c r="M335" s="40"/>
      <c r="N335" s="40"/>
      <c r="O335" s="40"/>
      <c r="P335" s="40"/>
      <c r="Q335" s="40"/>
      <c r="R335" s="40"/>
      <c r="S335" s="40"/>
      <c r="T335" s="40"/>
      <c r="U335" s="40"/>
      <c r="V335" s="40"/>
      <c r="W335" s="40"/>
      <c r="X335" s="40"/>
      <c r="Y335" s="40"/>
      <c r="Z335" s="40"/>
      <c r="AA335" s="40"/>
      <c r="AB335" s="40"/>
    </row>
    <row r="336">
      <c r="A336" s="805"/>
      <c r="B336" s="40"/>
      <c r="C336" s="40"/>
      <c r="D336" s="40"/>
      <c r="E336" s="40"/>
      <c r="F336" s="40"/>
      <c r="G336" s="40"/>
      <c r="H336" s="40"/>
      <c r="I336" s="40"/>
      <c r="J336" s="216"/>
      <c r="K336" s="40"/>
      <c r="L336" s="40"/>
      <c r="M336" s="40"/>
      <c r="N336" s="40"/>
      <c r="O336" s="40"/>
      <c r="P336" s="40"/>
      <c r="Q336" s="40"/>
      <c r="R336" s="40"/>
      <c r="S336" s="40"/>
      <c r="T336" s="40"/>
      <c r="U336" s="40"/>
      <c r="V336" s="40"/>
      <c r="W336" s="40"/>
      <c r="X336" s="40"/>
      <c r="Y336" s="40"/>
      <c r="Z336" s="40"/>
      <c r="AA336" s="40"/>
      <c r="AB336" s="40"/>
    </row>
    <row r="337">
      <c r="A337" s="805"/>
      <c r="B337" s="40"/>
      <c r="C337" s="40"/>
      <c r="D337" s="40"/>
      <c r="E337" s="40"/>
      <c r="F337" s="40"/>
      <c r="G337" s="40"/>
      <c r="H337" s="40"/>
      <c r="I337" s="40"/>
      <c r="J337" s="216"/>
      <c r="K337" s="40"/>
      <c r="L337" s="40"/>
      <c r="M337" s="40"/>
      <c r="N337" s="40"/>
      <c r="O337" s="40"/>
      <c r="P337" s="40"/>
      <c r="Q337" s="40"/>
      <c r="R337" s="40"/>
      <c r="S337" s="40"/>
      <c r="T337" s="40"/>
      <c r="U337" s="40"/>
      <c r="V337" s="40"/>
      <c r="W337" s="40"/>
      <c r="X337" s="40"/>
      <c r="Y337" s="40"/>
      <c r="Z337" s="40"/>
      <c r="AA337" s="40"/>
      <c r="AB337" s="40"/>
    </row>
    <row r="338">
      <c r="A338" s="805"/>
      <c r="B338" s="40"/>
      <c r="C338" s="40"/>
      <c r="D338" s="40"/>
      <c r="E338" s="40"/>
      <c r="F338" s="40"/>
      <c r="G338" s="40"/>
      <c r="H338" s="40"/>
      <c r="I338" s="40"/>
      <c r="J338" s="216"/>
      <c r="K338" s="40"/>
      <c r="L338" s="40"/>
      <c r="M338" s="40"/>
      <c r="N338" s="40"/>
      <c r="O338" s="40"/>
      <c r="P338" s="40"/>
      <c r="Q338" s="40"/>
      <c r="R338" s="40"/>
      <c r="S338" s="40"/>
      <c r="T338" s="40"/>
      <c r="U338" s="40"/>
      <c r="V338" s="40"/>
      <c r="W338" s="40"/>
      <c r="X338" s="40"/>
      <c r="Y338" s="40"/>
      <c r="Z338" s="40"/>
      <c r="AA338" s="40"/>
      <c r="AB338" s="40"/>
    </row>
    <row r="339">
      <c r="A339" s="805"/>
      <c r="B339" s="40"/>
      <c r="C339" s="40"/>
      <c r="D339" s="40"/>
      <c r="E339" s="40"/>
      <c r="F339" s="40"/>
      <c r="G339" s="40"/>
      <c r="H339" s="40"/>
      <c r="I339" s="40"/>
      <c r="J339" s="216"/>
      <c r="K339" s="40"/>
      <c r="L339" s="40"/>
      <c r="M339" s="40"/>
      <c r="N339" s="40"/>
      <c r="O339" s="40"/>
      <c r="P339" s="40"/>
      <c r="Q339" s="40"/>
      <c r="R339" s="40"/>
      <c r="S339" s="40"/>
      <c r="T339" s="40"/>
      <c r="U339" s="40"/>
      <c r="V339" s="40"/>
      <c r="W339" s="40"/>
      <c r="X339" s="40"/>
      <c r="Y339" s="40"/>
      <c r="Z339" s="40"/>
      <c r="AA339" s="40"/>
      <c r="AB339" s="40"/>
    </row>
    <row r="340">
      <c r="A340" s="805"/>
      <c r="B340" s="40"/>
      <c r="C340" s="40"/>
      <c r="D340" s="40"/>
      <c r="E340" s="40"/>
      <c r="F340" s="40"/>
      <c r="G340" s="40"/>
      <c r="H340" s="40"/>
      <c r="I340" s="40"/>
      <c r="J340" s="216"/>
      <c r="K340" s="40"/>
      <c r="L340" s="40"/>
      <c r="M340" s="40"/>
      <c r="N340" s="40"/>
      <c r="O340" s="40"/>
      <c r="P340" s="40"/>
      <c r="Q340" s="40"/>
      <c r="R340" s="40"/>
      <c r="S340" s="40"/>
      <c r="T340" s="40"/>
      <c r="U340" s="40"/>
      <c r="V340" s="40"/>
      <c r="W340" s="40"/>
      <c r="X340" s="40"/>
      <c r="Y340" s="40"/>
      <c r="Z340" s="40"/>
      <c r="AA340" s="40"/>
      <c r="AB340" s="40"/>
    </row>
    <row r="341">
      <c r="A341" s="805"/>
      <c r="B341" s="40"/>
      <c r="C341" s="40"/>
      <c r="D341" s="40"/>
      <c r="E341" s="40"/>
      <c r="F341" s="40"/>
      <c r="G341" s="40"/>
      <c r="H341" s="40"/>
      <c r="I341" s="40"/>
      <c r="J341" s="216"/>
      <c r="K341" s="40"/>
      <c r="L341" s="40"/>
      <c r="M341" s="40"/>
      <c r="N341" s="40"/>
      <c r="O341" s="40"/>
      <c r="P341" s="40"/>
      <c r="Q341" s="40"/>
      <c r="R341" s="40"/>
      <c r="S341" s="40"/>
      <c r="T341" s="40"/>
      <c r="U341" s="40"/>
      <c r="V341" s="40"/>
      <c r="W341" s="40"/>
      <c r="X341" s="40"/>
      <c r="Y341" s="40"/>
      <c r="Z341" s="40"/>
      <c r="AA341" s="40"/>
      <c r="AB341" s="40"/>
    </row>
    <row r="342">
      <c r="A342" s="805"/>
      <c r="B342" s="40"/>
      <c r="C342" s="40"/>
      <c r="D342" s="40"/>
      <c r="E342" s="40"/>
      <c r="F342" s="40"/>
      <c r="G342" s="40"/>
      <c r="H342" s="40"/>
      <c r="I342" s="40"/>
      <c r="J342" s="216"/>
      <c r="K342" s="40"/>
      <c r="L342" s="40"/>
      <c r="M342" s="40"/>
      <c r="N342" s="40"/>
      <c r="O342" s="40"/>
      <c r="P342" s="40"/>
      <c r="Q342" s="40"/>
      <c r="R342" s="40"/>
      <c r="S342" s="40"/>
      <c r="T342" s="40"/>
      <c r="U342" s="40"/>
      <c r="V342" s="40"/>
      <c r="W342" s="40"/>
      <c r="X342" s="40"/>
      <c r="Y342" s="40"/>
      <c r="Z342" s="40"/>
      <c r="AA342" s="40"/>
      <c r="AB342" s="40"/>
    </row>
    <row r="343">
      <c r="A343" s="805"/>
      <c r="B343" s="40"/>
      <c r="C343" s="40"/>
      <c r="D343" s="40"/>
      <c r="E343" s="40"/>
      <c r="F343" s="40"/>
      <c r="G343" s="40"/>
      <c r="H343" s="40"/>
      <c r="I343" s="40"/>
      <c r="J343" s="216"/>
      <c r="K343" s="40"/>
      <c r="L343" s="40"/>
      <c r="M343" s="40"/>
      <c r="N343" s="40"/>
      <c r="O343" s="40"/>
      <c r="P343" s="40"/>
      <c r="Q343" s="40"/>
      <c r="R343" s="40"/>
      <c r="S343" s="40"/>
      <c r="T343" s="40"/>
      <c r="U343" s="40"/>
      <c r="V343" s="40"/>
      <c r="W343" s="40"/>
      <c r="X343" s="40"/>
      <c r="Y343" s="40"/>
      <c r="Z343" s="40"/>
      <c r="AA343" s="40"/>
      <c r="AB343" s="40"/>
    </row>
    <row r="344">
      <c r="A344" s="805"/>
      <c r="B344" s="40"/>
      <c r="C344" s="40"/>
      <c r="D344" s="40"/>
      <c r="E344" s="40"/>
      <c r="F344" s="40"/>
      <c r="G344" s="40"/>
      <c r="H344" s="40"/>
      <c r="I344" s="40"/>
      <c r="J344" s="216"/>
      <c r="K344" s="40"/>
      <c r="L344" s="40"/>
      <c r="M344" s="40"/>
      <c r="N344" s="40"/>
      <c r="O344" s="40"/>
      <c r="P344" s="40"/>
      <c r="Q344" s="40"/>
      <c r="R344" s="40"/>
      <c r="S344" s="40"/>
      <c r="T344" s="40"/>
      <c r="U344" s="40"/>
      <c r="V344" s="40"/>
      <c r="W344" s="40"/>
      <c r="X344" s="40"/>
      <c r="Y344" s="40"/>
      <c r="Z344" s="40"/>
      <c r="AA344" s="40"/>
      <c r="AB344" s="40"/>
    </row>
    <row r="345">
      <c r="A345" s="805"/>
      <c r="B345" s="40"/>
      <c r="C345" s="40"/>
      <c r="D345" s="40"/>
      <c r="E345" s="40"/>
      <c r="F345" s="40"/>
      <c r="G345" s="40"/>
      <c r="H345" s="40"/>
      <c r="I345" s="40"/>
      <c r="J345" s="216"/>
      <c r="K345" s="40"/>
      <c r="L345" s="40"/>
      <c r="M345" s="40"/>
      <c r="N345" s="40"/>
      <c r="O345" s="40"/>
      <c r="P345" s="40"/>
      <c r="Q345" s="40"/>
      <c r="R345" s="40"/>
      <c r="S345" s="40"/>
      <c r="T345" s="40"/>
      <c r="U345" s="40"/>
      <c r="V345" s="40"/>
      <c r="W345" s="40"/>
      <c r="X345" s="40"/>
      <c r="Y345" s="40"/>
      <c r="Z345" s="40"/>
      <c r="AA345" s="40"/>
      <c r="AB345" s="40"/>
    </row>
    <row r="346">
      <c r="A346" s="805"/>
      <c r="B346" s="40"/>
      <c r="C346" s="40"/>
      <c r="D346" s="40"/>
      <c r="E346" s="40"/>
      <c r="F346" s="40"/>
      <c r="G346" s="40"/>
      <c r="H346" s="40"/>
      <c r="I346" s="40"/>
      <c r="J346" s="216"/>
      <c r="K346" s="40"/>
      <c r="L346" s="40"/>
      <c r="M346" s="40"/>
      <c r="N346" s="40"/>
      <c r="O346" s="40"/>
      <c r="P346" s="40"/>
      <c r="Q346" s="40"/>
      <c r="R346" s="40"/>
      <c r="S346" s="40"/>
      <c r="T346" s="40"/>
      <c r="U346" s="40"/>
      <c r="V346" s="40"/>
      <c r="W346" s="40"/>
      <c r="X346" s="40"/>
      <c r="Y346" s="40"/>
      <c r="Z346" s="40"/>
      <c r="AA346" s="40"/>
      <c r="AB346" s="40"/>
    </row>
    <row r="347">
      <c r="A347" s="805"/>
      <c r="B347" s="40"/>
      <c r="C347" s="40"/>
      <c r="D347" s="40"/>
      <c r="E347" s="40"/>
      <c r="F347" s="40"/>
      <c r="G347" s="40"/>
      <c r="H347" s="40"/>
      <c r="I347" s="40"/>
      <c r="J347" s="216"/>
      <c r="K347" s="40"/>
      <c r="L347" s="40"/>
      <c r="M347" s="40"/>
      <c r="N347" s="40"/>
      <c r="O347" s="40"/>
      <c r="P347" s="40"/>
      <c r="Q347" s="40"/>
      <c r="R347" s="40"/>
      <c r="S347" s="40"/>
      <c r="T347" s="40"/>
      <c r="U347" s="40"/>
      <c r="V347" s="40"/>
      <c r="W347" s="40"/>
      <c r="X347" s="40"/>
      <c r="Y347" s="40"/>
      <c r="Z347" s="40"/>
      <c r="AA347" s="40"/>
      <c r="AB347" s="40"/>
    </row>
    <row r="348">
      <c r="A348" s="805"/>
      <c r="B348" s="40"/>
      <c r="C348" s="40"/>
      <c r="D348" s="40"/>
      <c r="E348" s="40"/>
      <c r="F348" s="40"/>
      <c r="G348" s="40"/>
      <c r="H348" s="40"/>
      <c r="I348" s="40"/>
      <c r="J348" s="216"/>
      <c r="K348" s="40"/>
      <c r="L348" s="40"/>
      <c r="M348" s="40"/>
      <c r="N348" s="40"/>
      <c r="O348" s="40"/>
      <c r="P348" s="40"/>
      <c r="Q348" s="40"/>
      <c r="R348" s="40"/>
      <c r="S348" s="40"/>
      <c r="T348" s="40"/>
      <c r="U348" s="40"/>
      <c r="V348" s="40"/>
      <c r="W348" s="40"/>
      <c r="X348" s="40"/>
      <c r="Y348" s="40"/>
      <c r="Z348" s="40"/>
      <c r="AA348" s="40"/>
      <c r="AB348" s="40"/>
    </row>
    <row r="349">
      <c r="A349" s="805"/>
      <c r="B349" s="40"/>
      <c r="C349" s="40"/>
      <c r="D349" s="40"/>
      <c r="E349" s="40"/>
      <c r="F349" s="40"/>
      <c r="G349" s="40"/>
      <c r="H349" s="40"/>
      <c r="I349" s="40"/>
      <c r="J349" s="216"/>
      <c r="K349" s="40"/>
      <c r="L349" s="40"/>
      <c r="M349" s="40"/>
      <c r="N349" s="40"/>
      <c r="O349" s="40"/>
      <c r="P349" s="40"/>
      <c r="Q349" s="40"/>
      <c r="R349" s="40"/>
      <c r="S349" s="40"/>
      <c r="T349" s="40"/>
      <c r="U349" s="40"/>
      <c r="V349" s="40"/>
      <c r="W349" s="40"/>
      <c r="X349" s="40"/>
      <c r="Y349" s="40"/>
      <c r="Z349" s="40"/>
      <c r="AA349" s="40"/>
      <c r="AB349" s="40"/>
    </row>
    <row r="350">
      <c r="A350" s="805"/>
      <c r="B350" s="40"/>
      <c r="C350" s="40"/>
      <c r="D350" s="40"/>
      <c r="E350" s="40"/>
      <c r="F350" s="40"/>
      <c r="G350" s="40"/>
      <c r="H350" s="40"/>
      <c r="I350" s="40"/>
      <c r="J350" s="216"/>
      <c r="K350" s="40"/>
      <c r="L350" s="40"/>
      <c r="M350" s="40"/>
      <c r="N350" s="40"/>
      <c r="O350" s="40"/>
      <c r="P350" s="40"/>
      <c r="Q350" s="40"/>
      <c r="R350" s="40"/>
      <c r="S350" s="40"/>
      <c r="T350" s="40"/>
      <c r="U350" s="40"/>
      <c r="V350" s="40"/>
      <c r="W350" s="40"/>
      <c r="X350" s="40"/>
      <c r="Y350" s="40"/>
      <c r="Z350" s="40"/>
      <c r="AA350" s="40"/>
      <c r="AB350" s="40"/>
    </row>
    <row r="351">
      <c r="A351" s="805"/>
      <c r="B351" s="40"/>
      <c r="C351" s="40"/>
      <c r="D351" s="40"/>
      <c r="E351" s="40"/>
      <c r="F351" s="40"/>
      <c r="G351" s="40"/>
      <c r="H351" s="40"/>
      <c r="I351" s="40"/>
      <c r="J351" s="216"/>
      <c r="K351" s="40"/>
      <c r="L351" s="40"/>
      <c r="M351" s="40"/>
      <c r="N351" s="40"/>
      <c r="O351" s="40"/>
      <c r="P351" s="40"/>
      <c r="Q351" s="40"/>
      <c r="R351" s="40"/>
      <c r="S351" s="40"/>
      <c r="T351" s="40"/>
      <c r="U351" s="40"/>
      <c r="V351" s="40"/>
      <c r="W351" s="40"/>
      <c r="X351" s="40"/>
      <c r="Y351" s="40"/>
      <c r="Z351" s="40"/>
      <c r="AA351" s="40"/>
      <c r="AB351" s="40"/>
    </row>
    <row r="352">
      <c r="A352" s="805"/>
      <c r="B352" s="40"/>
      <c r="C352" s="40"/>
      <c r="D352" s="40"/>
      <c r="E352" s="40"/>
      <c r="F352" s="40"/>
      <c r="G352" s="40"/>
      <c r="H352" s="40"/>
      <c r="I352" s="40"/>
      <c r="J352" s="216"/>
      <c r="K352" s="40"/>
      <c r="L352" s="40"/>
      <c r="M352" s="40"/>
      <c r="N352" s="40"/>
      <c r="O352" s="40"/>
      <c r="P352" s="40"/>
      <c r="Q352" s="40"/>
      <c r="R352" s="40"/>
      <c r="S352" s="40"/>
      <c r="T352" s="40"/>
      <c r="U352" s="40"/>
      <c r="V352" s="40"/>
      <c r="W352" s="40"/>
      <c r="X352" s="40"/>
      <c r="Y352" s="40"/>
      <c r="Z352" s="40"/>
      <c r="AA352" s="40"/>
      <c r="AB352" s="40"/>
    </row>
    <row r="353">
      <c r="A353" s="805"/>
      <c r="B353" s="40"/>
      <c r="C353" s="40"/>
      <c r="D353" s="40"/>
      <c r="E353" s="40"/>
      <c r="F353" s="40"/>
      <c r="G353" s="40"/>
      <c r="H353" s="40"/>
      <c r="I353" s="40"/>
      <c r="J353" s="216"/>
      <c r="K353" s="40"/>
      <c r="L353" s="40"/>
      <c r="M353" s="40"/>
      <c r="N353" s="40"/>
      <c r="O353" s="40"/>
      <c r="P353" s="40"/>
      <c r="Q353" s="40"/>
      <c r="R353" s="40"/>
      <c r="S353" s="40"/>
      <c r="T353" s="40"/>
      <c r="U353" s="40"/>
      <c r="V353" s="40"/>
      <c r="W353" s="40"/>
      <c r="X353" s="40"/>
      <c r="Y353" s="40"/>
      <c r="Z353" s="40"/>
      <c r="AA353" s="40"/>
      <c r="AB353" s="40"/>
    </row>
    <row r="354">
      <c r="A354" s="805"/>
      <c r="B354" s="40"/>
      <c r="C354" s="40"/>
      <c r="D354" s="40"/>
      <c r="E354" s="40"/>
      <c r="F354" s="40"/>
      <c r="G354" s="40"/>
      <c r="H354" s="40"/>
      <c r="I354" s="40"/>
      <c r="J354" s="216"/>
      <c r="K354" s="40"/>
      <c r="L354" s="40"/>
      <c r="M354" s="40"/>
      <c r="N354" s="40"/>
      <c r="O354" s="40"/>
      <c r="P354" s="40"/>
      <c r="Q354" s="40"/>
      <c r="R354" s="40"/>
      <c r="S354" s="40"/>
      <c r="T354" s="40"/>
      <c r="U354" s="40"/>
      <c r="V354" s="40"/>
      <c r="W354" s="40"/>
      <c r="X354" s="40"/>
      <c r="Y354" s="40"/>
      <c r="Z354" s="40"/>
      <c r="AA354" s="40"/>
      <c r="AB354" s="40"/>
    </row>
    <row r="355">
      <c r="A355" s="805"/>
      <c r="B355" s="40"/>
      <c r="C355" s="40"/>
      <c r="D355" s="40"/>
      <c r="E355" s="40"/>
      <c r="F355" s="40"/>
      <c r="G355" s="40"/>
      <c r="H355" s="40"/>
      <c r="I355" s="40"/>
      <c r="J355" s="216"/>
      <c r="K355" s="40"/>
      <c r="L355" s="40"/>
      <c r="M355" s="40"/>
      <c r="N355" s="40"/>
      <c r="O355" s="40"/>
      <c r="P355" s="40"/>
      <c r="Q355" s="40"/>
      <c r="R355" s="40"/>
      <c r="S355" s="40"/>
      <c r="T355" s="40"/>
      <c r="U355" s="40"/>
      <c r="V355" s="40"/>
      <c r="W355" s="40"/>
      <c r="X355" s="40"/>
      <c r="Y355" s="40"/>
      <c r="Z355" s="40"/>
      <c r="AA355" s="40"/>
      <c r="AB355" s="40"/>
    </row>
    <row r="356">
      <c r="A356" s="805"/>
      <c r="B356" s="40"/>
      <c r="C356" s="40"/>
      <c r="D356" s="40"/>
      <c r="E356" s="40"/>
      <c r="F356" s="40"/>
      <c r="G356" s="40"/>
      <c r="H356" s="40"/>
      <c r="I356" s="40"/>
      <c r="J356" s="216"/>
      <c r="K356" s="40"/>
      <c r="L356" s="40"/>
      <c r="M356" s="40"/>
      <c r="N356" s="40"/>
      <c r="O356" s="40"/>
      <c r="P356" s="40"/>
      <c r="Q356" s="40"/>
      <c r="R356" s="40"/>
      <c r="S356" s="40"/>
      <c r="T356" s="40"/>
      <c r="U356" s="40"/>
      <c r="V356" s="40"/>
      <c r="W356" s="40"/>
      <c r="X356" s="40"/>
      <c r="Y356" s="40"/>
      <c r="Z356" s="40"/>
      <c r="AA356" s="40"/>
      <c r="AB356" s="40"/>
    </row>
    <row r="357">
      <c r="A357" s="805"/>
      <c r="B357" s="40"/>
      <c r="C357" s="40"/>
      <c r="D357" s="40"/>
      <c r="E357" s="40"/>
      <c r="F357" s="40"/>
      <c r="G357" s="40"/>
      <c r="H357" s="40"/>
      <c r="I357" s="40"/>
      <c r="J357" s="216"/>
      <c r="K357" s="40"/>
      <c r="L357" s="40"/>
      <c r="M357" s="40"/>
      <c r="N357" s="40"/>
      <c r="O357" s="40"/>
      <c r="P357" s="40"/>
      <c r="Q357" s="40"/>
      <c r="R357" s="40"/>
      <c r="S357" s="40"/>
      <c r="T357" s="40"/>
      <c r="U357" s="40"/>
      <c r="V357" s="40"/>
      <c r="W357" s="40"/>
      <c r="X357" s="40"/>
      <c r="Y357" s="40"/>
      <c r="Z357" s="40"/>
      <c r="AA357" s="40"/>
      <c r="AB357" s="40"/>
    </row>
    <row r="358">
      <c r="A358" s="805"/>
      <c r="B358" s="40"/>
      <c r="C358" s="40"/>
      <c r="D358" s="40"/>
      <c r="E358" s="40"/>
      <c r="F358" s="40"/>
      <c r="G358" s="40"/>
      <c r="H358" s="40"/>
      <c r="I358" s="40"/>
      <c r="J358" s="216"/>
      <c r="K358" s="40"/>
      <c r="L358" s="40"/>
      <c r="M358" s="40"/>
      <c r="N358" s="40"/>
      <c r="O358" s="40"/>
      <c r="P358" s="40"/>
      <c r="Q358" s="40"/>
      <c r="R358" s="40"/>
      <c r="S358" s="40"/>
      <c r="T358" s="40"/>
      <c r="U358" s="40"/>
      <c r="V358" s="40"/>
      <c r="W358" s="40"/>
      <c r="X358" s="40"/>
      <c r="Y358" s="40"/>
      <c r="Z358" s="40"/>
      <c r="AA358" s="40"/>
      <c r="AB358" s="40"/>
    </row>
    <row r="359">
      <c r="A359" s="805"/>
      <c r="B359" s="40"/>
      <c r="C359" s="40"/>
      <c r="D359" s="40"/>
      <c r="E359" s="40"/>
      <c r="F359" s="40"/>
      <c r="G359" s="40"/>
      <c r="H359" s="40"/>
      <c r="I359" s="40"/>
      <c r="J359" s="216"/>
      <c r="K359" s="40"/>
      <c r="L359" s="40"/>
      <c r="M359" s="40"/>
      <c r="N359" s="40"/>
      <c r="O359" s="40"/>
      <c r="P359" s="40"/>
      <c r="Q359" s="40"/>
      <c r="R359" s="40"/>
      <c r="S359" s="40"/>
      <c r="T359" s="40"/>
      <c r="U359" s="40"/>
      <c r="V359" s="40"/>
      <c r="W359" s="40"/>
      <c r="X359" s="40"/>
      <c r="Y359" s="40"/>
      <c r="Z359" s="40"/>
      <c r="AA359" s="40"/>
      <c r="AB359" s="40"/>
    </row>
    <row r="360">
      <c r="A360" s="805"/>
      <c r="B360" s="40"/>
      <c r="C360" s="40"/>
      <c r="D360" s="40"/>
      <c r="E360" s="40"/>
      <c r="F360" s="40"/>
      <c r="G360" s="40"/>
      <c r="H360" s="40"/>
      <c r="I360" s="40"/>
      <c r="J360" s="216"/>
      <c r="K360" s="40"/>
      <c r="L360" s="40"/>
      <c r="M360" s="40"/>
      <c r="N360" s="40"/>
      <c r="O360" s="40"/>
      <c r="P360" s="40"/>
      <c r="Q360" s="40"/>
      <c r="R360" s="40"/>
      <c r="S360" s="40"/>
      <c r="T360" s="40"/>
      <c r="U360" s="40"/>
      <c r="V360" s="40"/>
      <c r="W360" s="40"/>
      <c r="X360" s="40"/>
      <c r="Y360" s="40"/>
      <c r="Z360" s="40"/>
      <c r="AA360" s="40"/>
      <c r="AB360" s="40"/>
    </row>
    <row r="361">
      <c r="A361" s="805"/>
      <c r="B361" s="40"/>
      <c r="C361" s="40"/>
      <c r="D361" s="40"/>
      <c r="E361" s="40"/>
      <c r="F361" s="40"/>
      <c r="G361" s="40"/>
      <c r="H361" s="40"/>
      <c r="I361" s="40"/>
      <c r="J361" s="216"/>
      <c r="K361" s="40"/>
      <c r="L361" s="40"/>
      <c r="M361" s="40"/>
      <c r="N361" s="40"/>
      <c r="O361" s="40"/>
      <c r="P361" s="40"/>
      <c r="Q361" s="40"/>
      <c r="R361" s="40"/>
      <c r="S361" s="40"/>
      <c r="T361" s="40"/>
      <c r="U361" s="40"/>
      <c r="V361" s="40"/>
      <c r="W361" s="40"/>
      <c r="X361" s="40"/>
      <c r="Y361" s="40"/>
      <c r="Z361" s="40"/>
      <c r="AA361" s="40"/>
      <c r="AB361" s="40"/>
    </row>
    <row r="362">
      <c r="A362" s="805"/>
      <c r="B362" s="40"/>
      <c r="C362" s="40"/>
      <c r="D362" s="40"/>
      <c r="E362" s="40"/>
      <c r="F362" s="40"/>
      <c r="G362" s="40"/>
      <c r="H362" s="40"/>
      <c r="I362" s="40"/>
      <c r="J362" s="216"/>
      <c r="K362" s="40"/>
      <c r="L362" s="40"/>
      <c r="M362" s="40"/>
      <c r="N362" s="40"/>
      <c r="O362" s="40"/>
      <c r="P362" s="40"/>
      <c r="Q362" s="40"/>
      <c r="R362" s="40"/>
      <c r="S362" s="40"/>
      <c r="T362" s="40"/>
      <c r="U362" s="40"/>
      <c r="V362" s="40"/>
      <c r="W362" s="40"/>
      <c r="X362" s="40"/>
      <c r="Y362" s="40"/>
      <c r="Z362" s="40"/>
      <c r="AA362" s="40"/>
      <c r="AB362" s="40"/>
    </row>
    <row r="363">
      <c r="A363" s="805"/>
      <c r="B363" s="40"/>
      <c r="C363" s="40"/>
      <c r="D363" s="40"/>
      <c r="E363" s="40"/>
      <c r="F363" s="40"/>
      <c r="G363" s="40"/>
      <c r="H363" s="40"/>
      <c r="I363" s="40"/>
      <c r="J363" s="216"/>
      <c r="K363" s="40"/>
      <c r="L363" s="40"/>
      <c r="M363" s="40"/>
      <c r="N363" s="40"/>
      <c r="O363" s="40"/>
      <c r="P363" s="40"/>
      <c r="Q363" s="40"/>
      <c r="R363" s="40"/>
      <c r="S363" s="40"/>
      <c r="T363" s="40"/>
      <c r="U363" s="40"/>
      <c r="V363" s="40"/>
      <c r="W363" s="40"/>
      <c r="X363" s="40"/>
      <c r="Y363" s="40"/>
      <c r="Z363" s="40"/>
      <c r="AA363" s="40"/>
      <c r="AB363" s="40"/>
    </row>
    <row r="364">
      <c r="A364" s="805"/>
      <c r="B364" s="40"/>
      <c r="C364" s="40"/>
      <c r="D364" s="40"/>
      <c r="E364" s="40"/>
      <c r="F364" s="40"/>
      <c r="G364" s="40"/>
      <c r="H364" s="40"/>
      <c r="I364" s="40"/>
      <c r="J364" s="216"/>
      <c r="K364" s="40"/>
      <c r="L364" s="40"/>
      <c r="M364" s="40"/>
      <c r="N364" s="40"/>
      <c r="O364" s="40"/>
      <c r="P364" s="40"/>
      <c r="Q364" s="40"/>
      <c r="R364" s="40"/>
      <c r="S364" s="40"/>
      <c r="T364" s="40"/>
      <c r="U364" s="40"/>
      <c r="V364" s="40"/>
      <c r="W364" s="40"/>
      <c r="X364" s="40"/>
      <c r="Y364" s="40"/>
      <c r="Z364" s="40"/>
      <c r="AA364" s="40"/>
      <c r="AB364" s="40"/>
    </row>
    <row r="365">
      <c r="A365" s="805"/>
      <c r="B365" s="40"/>
      <c r="C365" s="40"/>
      <c r="D365" s="40"/>
      <c r="E365" s="40"/>
      <c r="F365" s="40"/>
      <c r="G365" s="40"/>
      <c r="H365" s="40"/>
      <c r="I365" s="40"/>
      <c r="J365" s="216"/>
      <c r="K365" s="40"/>
      <c r="L365" s="40"/>
      <c r="M365" s="40"/>
      <c r="N365" s="40"/>
      <c r="O365" s="40"/>
      <c r="P365" s="40"/>
      <c r="Q365" s="40"/>
      <c r="R365" s="40"/>
      <c r="S365" s="40"/>
      <c r="T365" s="40"/>
      <c r="U365" s="40"/>
      <c r="V365" s="40"/>
      <c r="W365" s="40"/>
      <c r="X365" s="40"/>
      <c r="Y365" s="40"/>
      <c r="Z365" s="40"/>
      <c r="AA365" s="40"/>
      <c r="AB365" s="40"/>
    </row>
    <row r="366">
      <c r="A366" s="805"/>
      <c r="B366" s="40"/>
      <c r="C366" s="40"/>
      <c r="D366" s="40"/>
      <c r="E366" s="40"/>
      <c r="F366" s="40"/>
      <c r="G366" s="40"/>
      <c r="H366" s="40"/>
      <c r="I366" s="40"/>
      <c r="J366" s="216"/>
      <c r="K366" s="40"/>
      <c r="L366" s="40"/>
      <c r="M366" s="40"/>
      <c r="N366" s="40"/>
      <c r="O366" s="40"/>
      <c r="P366" s="40"/>
      <c r="Q366" s="40"/>
      <c r="R366" s="40"/>
      <c r="S366" s="40"/>
      <c r="T366" s="40"/>
      <c r="U366" s="40"/>
      <c r="V366" s="40"/>
      <c r="W366" s="40"/>
      <c r="X366" s="40"/>
      <c r="Y366" s="40"/>
      <c r="Z366" s="40"/>
      <c r="AA366" s="40"/>
      <c r="AB366" s="40"/>
    </row>
    <row r="367">
      <c r="A367" s="805"/>
      <c r="B367" s="40"/>
      <c r="C367" s="40"/>
      <c r="D367" s="40"/>
      <c r="E367" s="40"/>
      <c r="F367" s="40"/>
      <c r="G367" s="40"/>
      <c r="H367" s="40"/>
      <c r="I367" s="40"/>
      <c r="J367" s="216"/>
      <c r="K367" s="40"/>
      <c r="L367" s="40"/>
      <c r="M367" s="40"/>
      <c r="N367" s="40"/>
      <c r="O367" s="40"/>
      <c r="P367" s="40"/>
      <c r="Q367" s="40"/>
      <c r="R367" s="40"/>
      <c r="S367" s="40"/>
      <c r="T367" s="40"/>
      <c r="U367" s="40"/>
      <c r="V367" s="40"/>
      <c r="W367" s="40"/>
      <c r="X367" s="40"/>
      <c r="Y367" s="40"/>
      <c r="Z367" s="40"/>
      <c r="AA367" s="40"/>
      <c r="AB367" s="40"/>
    </row>
    <row r="368">
      <c r="A368" s="805"/>
      <c r="B368" s="40"/>
      <c r="C368" s="40"/>
      <c r="D368" s="40"/>
      <c r="E368" s="40"/>
      <c r="F368" s="40"/>
      <c r="G368" s="40"/>
      <c r="H368" s="40"/>
      <c r="I368" s="40"/>
      <c r="J368" s="216"/>
      <c r="K368" s="40"/>
      <c r="L368" s="40"/>
      <c r="M368" s="40"/>
      <c r="N368" s="40"/>
      <c r="O368" s="40"/>
      <c r="P368" s="40"/>
      <c r="Q368" s="40"/>
      <c r="R368" s="40"/>
      <c r="S368" s="40"/>
      <c r="T368" s="40"/>
      <c r="U368" s="40"/>
      <c r="V368" s="40"/>
      <c r="W368" s="40"/>
      <c r="X368" s="40"/>
      <c r="Y368" s="40"/>
      <c r="Z368" s="40"/>
      <c r="AA368" s="40"/>
      <c r="AB368" s="40"/>
    </row>
    <row r="369">
      <c r="A369" s="805"/>
      <c r="B369" s="40"/>
      <c r="C369" s="40"/>
      <c r="D369" s="40"/>
      <c r="E369" s="40"/>
      <c r="F369" s="40"/>
      <c r="G369" s="40"/>
      <c r="H369" s="40"/>
      <c r="I369" s="40"/>
      <c r="J369" s="216"/>
      <c r="K369" s="40"/>
      <c r="L369" s="40"/>
      <c r="M369" s="40"/>
      <c r="N369" s="40"/>
      <c r="O369" s="40"/>
      <c r="P369" s="40"/>
      <c r="Q369" s="40"/>
      <c r="R369" s="40"/>
      <c r="S369" s="40"/>
      <c r="T369" s="40"/>
      <c r="U369" s="40"/>
      <c r="V369" s="40"/>
      <c r="W369" s="40"/>
      <c r="X369" s="40"/>
      <c r="Y369" s="40"/>
      <c r="Z369" s="40"/>
      <c r="AA369" s="40"/>
      <c r="AB369" s="40"/>
    </row>
    <row r="370">
      <c r="A370" s="805"/>
      <c r="B370" s="40"/>
      <c r="C370" s="40"/>
      <c r="D370" s="40"/>
      <c r="E370" s="40"/>
      <c r="F370" s="40"/>
      <c r="G370" s="40"/>
      <c r="H370" s="40"/>
      <c r="I370" s="40"/>
      <c r="J370" s="216"/>
      <c r="K370" s="40"/>
      <c r="L370" s="40"/>
      <c r="M370" s="40"/>
      <c r="N370" s="40"/>
      <c r="O370" s="40"/>
      <c r="P370" s="40"/>
      <c r="Q370" s="40"/>
      <c r="R370" s="40"/>
      <c r="S370" s="40"/>
      <c r="T370" s="40"/>
      <c r="U370" s="40"/>
      <c r="V370" s="40"/>
      <c r="W370" s="40"/>
      <c r="X370" s="40"/>
      <c r="Y370" s="40"/>
      <c r="Z370" s="40"/>
      <c r="AA370" s="40"/>
      <c r="AB370" s="40"/>
    </row>
    <row r="371">
      <c r="A371" s="805"/>
      <c r="B371" s="40"/>
      <c r="C371" s="40"/>
      <c r="D371" s="40"/>
      <c r="E371" s="40"/>
      <c r="F371" s="40"/>
      <c r="G371" s="40"/>
      <c r="H371" s="40"/>
      <c r="I371" s="40"/>
      <c r="J371" s="216"/>
      <c r="K371" s="40"/>
      <c r="L371" s="40"/>
      <c r="M371" s="40"/>
      <c r="N371" s="40"/>
      <c r="O371" s="40"/>
      <c r="P371" s="40"/>
      <c r="Q371" s="40"/>
      <c r="R371" s="40"/>
      <c r="S371" s="40"/>
      <c r="T371" s="40"/>
      <c r="U371" s="40"/>
      <c r="V371" s="40"/>
      <c r="W371" s="40"/>
      <c r="X371" s="40"/>
      <c r="Y371" s="40"/>
      <c r="Z371" s="40"/>
      <c r="AA371" s="40"/>
      <c r="AB371" s="40"/>
    </row>
    <row r="372">
      <c r="A372" s="805"/>
      <c r="B372" s="40"/>
      <c r="C372" s="40"/>
      <c r="D372" s="40"/>
      <c r="E372" s="40"/>
      <c r="F372" s="40"/>
      <c r="G372" s="40"/>
      <c r="H372" s="40"/>
      <c r="I372" s="40"/>
      <c r="J372" s="216"/>
      <c r="K372" s="40"/>
      <c r="L372" s="40"/>
      <c r="M372" s="40"/>
      <c r="N372" s="40"/>
      <c r="O372" s="40"/>
      <c r="P372" s="40"/>
      <c r="Q372" s="40"/>
      <c r="R372" s="40"/>
      <c r="S372" s="40"/>
      <c r="T372" s="40"/>
      <c r="U372" s="40"/>
      <c r="V372" s="40"/>
      <c r="W372" s="40"/>
      <c r="X372" s="40"/>
      <c r="Y372" s="40"/>
      <c r="Z372" s="40"/>
      <c r="AA372" s="40"/>
      <c r="AB372" s="40"/>
    </row>
    <row r="373">
      <c r="A373" s="805"/>
      <c r="B373" s="40"/>
      <c r="C373" s="40"/>
      <c r="D373" s="40"/>
      <c r="E373" s="40"/>
      <c r="F373" s="40"/>
      <c r="G373" s="40"/>
      <c r="H373" s="40"/>
      <c r="I373" s="40"/>
      <c r="J373" s="216"/>
      <c r="K373" s="40"/>
      <c r="L373" s="40"/>
      <c r="M373" s="40"/>
      <c r="N373" s="40"/>
      <c r="O373" s="40"/>
      <c r="P373" s="40"/>
      <c r="Q373" s="40"/>
      <c r="R373" s="40"/>
      <c r="S373" s="40"/>
      <c r="T373" s="40"/>
      <c r="U373" s="40"/>
      <c r="V373" s="40"/>
      <c r="W373" s="40"/>
      <c r="X373" s="40"/>
      <c r="Y373" s="40"/>
      <c r="Z373" s="40"/>
      <c r="AA373" s="40"/>
      <c r="AB373" s="40"/>
    </row>
    <row r="374">
      <c r="A374" s="805"/>
      <c r="B374" s="40"/>
      <c r="C374" s="40"/>
      <c r="D374" s="40"/>
      <c r="E374" s="40"/>
      <c r="F374" s="40"/>
      <c r="G374" s="40"/>
      <c r="H374" s="40"/>
      <c r="I374" s="40"/>
      <c r="J374" s="216"/>
      <c r="K374" s="40"/>
      <c r="L374" s="40"/>
      <c r="M374" s="40"/>
      <c r="N374" s="40"/>
      <c r="O374" s="40"/>
      <c r="P374" s="40"/>
      <c r="Q374" s="40"/>
      <c r="R374" s="40"/>
      <c r="S374" s="40"/>
      <c r="T374" s="40"/>
      <c r="U374" s="40"/>
      <c r="V374" s="40"/>
      <c r="W374" s="40"/>
      <c r="X374" s="40"/>
      <c r="Y374" s="40"/>
      <c r="Z374" s="40"/>
      <c r="AA374" s="40"/>
      <c r="AB374" s="40"/>
    </row>
    <row r="375">
      <c r="A375" s="805"/>
      <c r="B375" s="40"/>
      <c r="C375" s="40"/>
      <c r="D375" s="40"/>
      <c r="E375" s="40"/>
      <c r="F375" s="40"/>
      <c r="G375" s="40"/>
      <c r="H375" s="40"/>
      <c r="I375" s="40"/>
      <c r="J375" s="216"/>
      <c r="K375" s="40"/>
      <c r="L375" s="40"/>
      <c r="M375" s="40"/>
      <c r="N375" s="40"/>
      <c r="O375" s="40"/>
      <c r="P375" s="40"/>
      <c r="Q375" s="40"/>
      <c r="R375" s="40"/>
      <c r="S375" s="40"/>
      <c r="T375" s="40"/>
      <c r="U375" s="40"/>
      <c r="V375" s="40"/>
      <c r="W375" s="40"/>
      <c r="X375" s="40"/>
      <c r="Y375" s="40"/>
      <c r="Z375" s="40"/>
      <c r="AA375" s="40"/>
      <c r="AB375" s="40"/>
    </row>
    <row r="376">
      <c r="A376" s="805"/>
      <c r="B376" s="40"/>
      <c r="C376" s="40"/>
      <c r="D376" s="40"/>
      <c r="E376" s="40"/>
      <c r="F376" s="40"/>
      <c r="G376" s="40"/>
      <c r="H376" s="40"/>
      <c r="I376" s="40"/>
      <c r="J376" s="216"/>
      <c r="K376" s="40"/>
      <c r="L376" s="40"/>
      <c r="M376" s="40"/>
      <c r="N376" s="40"/>
      <c r="O376" s="40"/>
      <c r="P376" s="40"/>
      <c r="Q376" s="40"/>
      <c r="R376" s="40"/>
      <c r="S376" s="40"/>
      <c r="T376" s="40"/>
      <c r="U376" s="40"/>
      <c r="V376" s="40"/>
      <c r="W376" s="40"/>
      <c r="X376" s="40"/>
      <c r="Y376" s="40"/>
      <c r="Z376" s="40"/>
      <c r="AA376" s="40"/>
      <c r="AB376" s="40"/>
    </row>
    <row r="377">
      <c r="A377" s="805"/>
      <c r="B377" s="40"/>
      <c r="C377" s="40"/>
      <c r="D377" s="40"/>
      <c r="E377" s="40"/>
      <c r="F377" s="40"/>
      <c r="G377" s="40"/>
      <c r="H377" s="40"/>
      <c r="I377" s="40"/>
      <c r="J377" s="216"/>
      <c r="K377" s="40"/>
      <c r="L377" s="40"/>
      <c r="M377" s="40"/>
      <c r="N377" s="40"/>
      <c r="O377" s="40"/>
      <c r="P377" s="40"/>
      <c r="Q377" s="40"/>
      <c r="R377" s="40"/>
      <c r="S377" s="40"/>
      <c r="T377" s="40"/>
      <c r="U377" s="40"/>
      <c r="V377" s="40"/>
      <c r="W377" s="40"/>
      <c r="X377" s="40"/>
      <c r="Y377" s="40"/>
      <c r="Z377" s="40"/>
      <c r="AA377" s="40"/>
      <c r="AB377" s="40"/>
    </row>
    <row r="378">
      <c r="A378" s="805"/>
      <c r="B378" s="40"/>
      <c r="C378" s="40"/>
      <c r="D378" s="40"/>
      <c r="E378" s="40"/>
      <c r="F378" s="40"/>
      <c r="G378" s="40"/>
      <c r="H378" s="40"/>
      <c r="I378" s="40"/>
      <c r="J378" s="216"/>
      <c r="K378" s="40"/>
      <c r="L378" s="40"/>
      <c r="M378" s="40"/>
      <c r="N378" s="40"/>
      <c r="O378" s="40"/>
      <c r="P378" s="40"/>
      <c r="Q378" s="40"/>
      <c r="R378" s="40"/>
      <c r="S378" s="40"/>
      <c r="T378" s="40"/>
      <c r="U378" s="40"/>
      <c r="V378" s="40"/>
      <c r="W378" s="40"/>
      <c r="X378" s="40"/>
      <c r="Y378" s="40"/>
      <c r="Z378" s="40"/>
      <c r="AA378" s="40"/>
      <c r="AB378" s="40"/>
    </row>
    <row r="379">
      <c r="A379" s="805"/>
      <c r="B379" s="40"/>
      <c r="C379" s="40"/>
      <c r="D379" s="40"/>
      <c r="E379" s="40"/>
      <c r="F379" s="40"/>
      <c r="G379" s="40"/>
      <c r="H379" s="40"/>
      <c r="I379" s="40"/>
      <c r="J379" s="216"/>
      <c r="K379" s="40"/>
      <c r="L379" s="40"/>
      <c r="M379" s="40"/>
      <c r="N379" s="40"/>
      <c r="O379" s="40"/>
      <c r="P379" s="40"/>
      <c r="Q379" s="40"/>
      <c r="R379" s="40"/>
      <c r="S379" s="40"/>
      <c r="T379" s="40"/>
      <c r="U379" s="40"/>
      <c r="V379" s="40"/>
      <c r="W379" s="40"/>
      <c r="X379" s="40"/>
      <c r="Y379" s="40"/>
      <c r="Z379" s="40"/>
      <c r="AA379" s="40"/>
      <c r="AB379" s="40"/>
    </row>
    <row r="380">
      <c r="A380" s="805"/>
      <c r="B380" s="40"/>
      <c r="C380" s="40"/>
      <c r="D380" s="40"/>
      <c r="E380" s="40"/>
      <c r="F380" s="40"/>
      <c r="G380" s="40"/>
      <c r="H380" s="40"/>
      <c r="I380" s="40"/>
      <c r="J380" s="216"/>
      <c r="K380" s="40"/>
      <c r="L380" s="40"/>
      <c r="M380" s="40"/>
      <c r="N380" s="40"/>
      <c r="O380" s="40"/>
      <c r="P380" s="40"/>
      <c r="Q380" s="40"/>
      <c r="R380" s="40"/>
      <c r="S380" s="40"/>
      <c r="T380" s="40"/>
      <c r="U380" s="40"/>
      <c r="V380" s="40"/>
      <c r="W380" s="40"/>
      <c r="X380" s="40"/>
      <c r="Y380" s="40"/>
      <c r="Z380" s="40"/>
      <c r="AA380" s="40"/>
      <c r="AB380" s="40"/>
    </row>
    <row r="381">
      <c r="A381" s="805"/>
      <c r="B381" s="40"/>
      <c r="C381" s="40"/>
      <c r="D381" s="40"/>
      <c r="E381" s="40"/>
      <c r="F381" s="40"/>
      <c r="G381" s="40"/>
      <c r="H381" s="40"/>
      <c r="I381" s="40"/>
      <c r="J381" s="216"/>
      <c r="K381" s="40"/>
      <c r="L381" s="40"/>
      <c r="M381" s="40"/>
      <c r="N381" s="40"/>
      <c r="O381" s="40"/>
      <c r="P381" s="40"/>
      <c r="Q381" s="40"/>
      <c r="R381" s="40"/>
      <c r="S381" s="40"/>
      <c r="T381" s="40"/>
      <c r="U381" s="40"/>
      <c r="V381" s="40"/>
      <c r="W381" s="40"/>
      <c r="X381" s="40"/>
      <c r="Y381" s="40"/>
      <c r="Z381" s="40"/>
      <c r="AA381" s="40"/>
      <c r="AB381" s="40"/>
    </row>
    <row r="382">
      <c r="A382" s="805"/>
      <c r="B382" s="40"/>
      <c r="C382" s="40"/>
      <c r="D382" s="40"/>
      <c r="E382" s="40"/>
      <c r="F382" s="40"/>
      <c r="G382" s="40"/>
      <c r="H382" s="40"/>
      <c r="I382" s="40"/>
      <c r="J382" s="216"/>
      <c r="K382" s="40"/>
      <c r="L382" s="40"/>
      <c r="M382" s="40"/>
      <c r="N382" s="40"/>
      <c r="O382" s="40"/>
      <c r="P382" s="40"/>
      <c r="Q382" s="40"/>
      <c r="R382" s="40"/>
      <c r="S382" s="40"/>
      <c r="T382" s="40"/>
      <c r="U382" s="40"/>
      <c r="V382" s="40"/>
      <c r="W382" s="40"/>
      <c r="X382" s="40"/>
      <c r="Y382" s="40"/>
      <c r="Z382" s="40"/>
      <c r="AA382" s="40"/>
      <c r="AB382" s="40"/>
    </row>
    <row r="383">
      <c r="A383" s="805"/>
      <c r="B383" s="40"/>
      <c r="C383" s="40"/>
      <c r="D383" s="40"/>
      <c r="E383" s="40"/>
      <c r="F383" s="40"/>
      <c r="G383" s="40"/>
      <c r="H383" s="40"/>
      <c r="I383" s="40"/>
      <c r="J383" s="216"/>
      <c r="K383" s="40"/>
      <c r="L383" s="40"/>
      <c r="M383" s="40"/>
      <c r="N383" s="40"/>
      <c r="O383" s="40"/>
      <c r="P383" s="40"/>
      <c r="Q383" s="40"/>
      <c r="R383" s="40"/>
      <c r="S383" s="40"/>
      <c r="T383" s="40"/>
      <c r="U383" s="40"/>
      <c r="V383" s="40"/>
      <c r="W383" s="40"/>
      <c r="X383" s="40"/>
      <c r="Y383" s="40"/>
      <c r="Z383" s="40"/>
      <c r="AA383" s="40"/>
      <c r="AB383" s="40"/>
    </row>
    <row r="384">
      <c r="A384" s="805"/>
      <c r="B384" s="40"/>
      <c r="C384" s="40"/>
      <c r="D384" s="40"/>
      <c r="E384" s="40"/>
      <c r="F384" s="40"/>
      <c r="G384" s="40"/>
      <c r="H384" s="40"/>
      <c r="I384" s="40"/>
      <c r="J384" s="216"/>
      <c r="K384" s="40"/>
      <c r="L384" s="40"/>
      <c r="M384" s="40"/>
      <c r="N384" s="40"/>
      <c r="O384" s="40"/>
      <c r="P384" s="40"/>
      <c r="Q384" s="40"/>
      <c r="R384" s="40"/>
      <c r="S384" s="40"/>
      <c r="T384" s="40"/>
      <c r="U384" s="40"/>
      <c r="V384" s="40"/>
      <c r="W384" s="40"/>
      <c r="X384" s="40"/>
      <c r="Y384" s="40"/>
      <c r="Z384" s="40"/>
      <c r="AA384" s="40"/>
      <c r="AB384" s="40"/>
    </row>
    <row r="385">
      <c r="A385" s="805"/>
      <c r="B385" s="40"/>
      <c r="C385" s="40"/>
      <c r="D385" s="40"/>
      <c r="E385" s="40"/>
      <c r="F385" s="40"/>
      <c r="G385" s="40"/>
      <c r="H385" s="40"/>
      <c r="I385" s="40"/>
      <c r="J385" s="216"/>
      <c r="K385" s="40"/>
      <c r="L385" s="40"/>
      <c r="M385" s="40"/>
      <c r="N385" s="40"/>
      <c r="O385" s="40"/>
      <c r="P385" s="40"/>
      <c r="Q385" s="40"/>
      <c r="R385" s="40"/>
      <c r="S385" s="40"/>
      <c r="T385" s="40"/>
      <c r="U385" s="40"/>
      <c r="V385" s="40"/>
      <c r="W385" s="40"/>
      <c r="X385" s="40"/>
      <c r="Y385" s="40"/>
      <c r="Z385" s="40"/>
      <c r="AA385" s="40"/>
      <c r="AB385" s="40"/>
    </row>
    <row r="386">
      <c r="A386" s="805"/>
      <c r="B386" s="40"/>
      <c r="C386" s="40"/>
      <c r="D386" s="40"/>
      <c r="E386" s="40"/>
      <c r="F386" s="40"/>
      <c r="G386" s="40"/>
      <c r="H386" s="40"/>
      <c r="I386" s="40"/>
      <c r="J386" s="216"/>
      <c r="K386" s="40"/>
      <c r="L386" s="40"/>
      <c r="M386" s="40"/>
      <c r="N386" s="40"/>
      <c r="O386" s="40"/>
      <c r="P386" s="40"/>
      <c r="Q386" s="40"/>
      <c r="R386" s="40"/>
      <c r="S386" s="40"/>
      <c r="T386" s="40"/>
      <c r="U386" s="40"/>
      <c r="V386" s="40"/>
      <c r="W386" s="40"/>
      <c r="X386" s="40"/>
      <c r="Y386" s="40"/>
      <c r="Z386" s="40"/>
      <c r="AA386" s="40"/>
      <c r="AB386" s="40"/>
    </row>
    <row r="387">
      <c r="A387" s="805"/>
      <c r="B387" s="40"/>
      <c r="C387" s="40"/>
      <c r="D387" s="40"/>
      <c r="E387" s="40"/>
      <c r="F387" s="40"/>
      <c r="G387" s="40"/>
      <c r="H387" s="40"/>
      <c r="I387" s="40"/>
      <c r="J387" s="216"/>
      <c r="K387" s="40"/>
      <c r="L387" s="40"/>
      <c r="M387" s="40"/>
      <c r="N387" s="40"/>
      <c r="O387" s="40"/>
      <c r="P387" s="40"/>
      <c r="Q387" s="40"/>
      <c r="R387" s="40"/>
      <c r="S387" s="40"/>
      <c r="T387" s="40"/>
      <c r="U387" s="40"/>
      <c r="V387" s="40"/>
      <c r="W387" s="40"/>
      <c r="X387" s="40"/>
      <c r="Y387" s="40"/>
      <c r="Z387" s="40"/>
      <c r="AA387" s="40"/>
      <c r="AB387" s="40"/>
    </row>
    <row r="388">
      <c r="A388" s="805"/>
      <c r="B388" s="40"/>
      <c r="C388" s="40"/>
      <c r="D388" s="40"/>
      <c r="E388" s="40"/>
      <c r="F388" s="40"/>
      <c r="G388" s="40"/>
      <c r="H388" s="40"/>
      <c r="I388" s="40"/>
      <c r="J388" s="216"/>
      <c r="K388" s="40"/>
      <c r="L388" s="40"/>
      <c r="M388" s="40"/>
      <c r="N388" s="40"/>
      <c r="O388" s="40"/>
      <c r="P388" s="40"/>
      <c r="Q388" s="40"/>
      <c r="R388" s="40"/>
      <c r="S388" s="40"/>
      <c r="T388" s="40"/>
      <c r="U388" s="40"/>
      <c r="V388" s="40"/>
      <c r="W388" s="40"/>
      <c r="X388" s="40"/>
      <c r="Y388" s="40"/>
      <c r="Z388" s="40"/>
      <c r="AA388" s="40"/>
      <c r="AB388" s="40"/>
    </row>
    <row r="389">
      <c r="A389" s="805"/>
      <c r="B389" s="40"/>
      <c r="C389" s="40"/>
      <c r="D389" s="40"/>
      <c r="E389" s="40"/>
      <c r="F389" s="40"/>
      <c r="G389" s="40"/>
      <c r="H389" s="40"/>
      <c r="I389" s="40"/>
      <c r="J389" s="216"/>
      <c r="K389" s="40"/>
      <c r="L389" s="40"/>
      <c r="M389" s="40"/>
      <c r="N389" s="40"/>
      <c r="O389" s="40"/>
      <c r="P389" s="40"/>
      <c r="Q389" s="40"/>
      <c r="R389" s="40"/>
      <c r="S389" s="40"/>
      <c r="T389" s="40"/>
      <c r="U389" s="40"/>
      <c r="V389" s="40"/>
      <c r="W389" s="40"/>
      <c r="X389" s="40"/>
      <c r="Y389" s="40"/>
      <c r="Z389" s="40"/>
      <c r="AA389" s="40"/>
      <c r="AB389" s="40"/>
    </row>
    <row r="390">
      <c r="A390" s="805"/>
      <c r="B390" s="40"/>
      <c r="C390" s="40"/>
      <c r="D390" s="40"/>
      <c r="E390" s="40"/>
      <c r="F390" s="40"/>
      <c r="G390" s="40"/>
      <c r="H390" s="40"/>
      <c r="I390" s="40"/>
      <c r="J390" s="216"/>
      <c r="K390" s="40"/>
      <c r="L390" s="40"/>
      <c r="M390" s="40"/>
      <c r="N390" s="40"/>
      <c r="O390" s="40"/>
      <c r="P390" s="40"/>
      <c r="Q390" s="40"/>
      <c r="R390" s="40"/>
      <c r="S390" s="40"/>
      <c r="T390" s="40"/>
      <c r="U390" s="40"/>
      <c r="V390" s="40"/>
      <c r="W390" s="40"/>
      <c r="X390" s="40"/>
      <c r="Y390" s="40"/>
      <c r="Z390" s="40"/>
      <c r="AA390" s="40"/>
      <c r="AB390" s="40"/>
    </row>
    <row r="391">
      <c r="A391" s="805"/>
      <c r="B391" s="40"/>
      <c r="C391" s="40"/>
      <c r="D391" s="40"/>
      <c r="E391" s="40"/>
      <c r="F391" s="40"/>
      <c r="G391" s="40"/>
      <c r="H391" s="40"/>
      <c r="I391" s="40"/>
      <c r="J391" s="216"/>
      <c r="K391" s="40"/>
      <c r="L391" s="40"/>
      <c r="M391" s="40"/>
      <c r="N391" s="40"/>
      <c r="O391" s="40"/>
      <c r="P391" s="40"/>
      <c r="Q391" s="40"/>
      <c r="R391" s="40"/>
      <c r="S391" s="40"/>
      <c r="T391" s="40"/>
      <c r="U391" s="40"/>
      <c r="V391" s="40"/>
      <c r="W391" s="40"/>
      <c r="X391" s="40"/>
      <c r="Y391" s="40"/>
      <c r="Z391" s="40"/>
      <c r="AA391" s="40"/>
      <c r="AB391" s="40"/>
    </row>
    <row r="392">
      <c r="A392" s="805"/>
      <c r="B392" s="40"/>
      <c r="C392" s="40"/>
      <c r="D392" s="40"/>
      <c r="E392" s="40"/>
      <c r="F392" s="40"/>
      <c r="G392" s="40"/>
      <c r="H392" s="40"/>
      <c r="I392" s="40"/>
      <c r="J392" s="216"/>
      <c r="K392" s="40"/>
      <c r="L392" s="40"/>
      <c r="M392" s="40"/>
      <c r="N392" s="40"/>
      <c r="O392" s="40"/>
      <c r="P392" s="40"/>
      <c r="Q392" s="40"/>
      <c r="R392" s="40"/>
      <c r="S392" s="40"/>
      <c r="T392" s="40"/>
      <c r="U392" s="40"/>
      <c r="V392" s="40"/>
      <c r="W392" s="40"/>
      <c r="X392" s="40"/>
      <c r="Y392" s="40"/>
      <c r="Z392" s="40"/>
      <c r="AA392" s="40"/>
      <c r="AB392" s="40"/>
    </row>
    <row r="393">
      <c r="A393" s="805"/>
      <c r="B393" s="40"/>
      <c r="C393" s="40"/>
      <c r="D393" s="40"/>
      <c r="E393" s="40"/>
      <c r="F393" s="40"/>
      <c r="G393" s="40"/>
      <c r="H393" s="40"/>
      <c r="I393" s="40"/>
      <c r="J393" s="216"/>
      <c r="K393" s="40"/>
      <c r="L393" s="40"/>
      <c r="M393" s="40"/>
      <c r="N393" s="40"/>
      <c r="O393" s="40"/>
      <c r="P393" s="40"/>
      <c r="Q393" s="40"/>
      <c r="R393" s="40"/>
      <c r="S393" s="40"/>
      <c r="T393" s="40"/>
      <c r="U393" s="40"/>
      <c r="V393" s="40"/>
      <c r="W393" s="40"/>
      <c r="X393" s="40"/>
      <c r="Y393" s="40"/>
      <c r="Z393" s="40"/>
      <c r="AA393" s="40"/>
      <c r="AB393" s="40"/>
    </row>
    <row r="394">
      <c r="A394" s="805"/>
      <c r="B394" s="40"/>
      <c r="C394" s="40"/>
      <c r="D394" s="40"/>
      <c r="E394" s="40"/>
      <c r="F394" s="40"/>
      <c r="G394" s="40"/>
      <c r="H394" s="40"/>
      <c r="I394" s="40"/>
      <c r="J394" s="216"/>
      <c r="K394" s="40"/>
      <c r="L394" s="40"/>
      <c r="M394" s="40"/>
      <c r="N394" s="40"/>
      <c r="O394" s="40"/>
      <c r="P394" s="40"/>
      <c r="Q394" s="40"/>
      <c r="R394" s="40"/>
      <c r="S394" s="40"/>
      <c r="T394" s="40"/>
      <c r="U394" s="40"/>
      <c r="V394" s="40"/>
      <c r="W394" s="40"/>
      <c r="X394" s="40"/>
      <c r="Y394" s="40"/>
      <c r="Z394" s="40"/>
      <c r="AA394" s="40"/>
      <c r="AB394" s="40"/>
    </row>
    <row r="395">
      <c r="A395" s="805"/>
      <c r="B395" s="40"/>
      <c r="C395" s="40"/>
      <c r="D395" s="40"/>
      <c r="E395" s="40"/>
      <c r="F395" s="40"/>
      <c r="G395" s="40"/>
      <c r="H395" s="40"/>
      <c r="I395" s="40"/>
      <c r="J395" s="216"/>
      <c r="K395" s="40"/>
      <c r="L395" s="40"/>
      <c r="M395" s="40"/>
      <c r="N395" s="40"/>
      <c r="O395" s="40"/>
      <c r="P395" s="40"/>
      <c r="Q395" s="40"/>
      <c r="R395" s="40"/>
      <c r="S395" s="40"/>
      <c r="T395" s="40"/>
      <c r="U395" s="40"/>
      <c r="V395" s="40"/>
      <c r="W395" s="40"/>
      <c r="X395" s="40"/>
      <c r="Y395" s="40"/>
      <c r="Z395" s="40"/>
      <c r="AA395" s="40"/>
      <c r="AB395" s="40"/>
    </row>
    <row r="396">
      <c r="A396" s="805"/>
      <c r="B396" s="40"/>
      <c r="C396" s="40"/>
      <c r="D396" s="40"/>
      <c r="E396" s="40"/>
      <c r="F396" s="40"/>
      <c r="G396" s="40"/>
      <c r="H396" s="40"/>
      <c r="I396" s="40"/>
      <c r="J396" s="216"/>
      <c r="K396" s="40"/>
      <c r="L396" s="40"/>
      <c r="M396" s="40"/>
      <c r="N396" s="40"/>
      <c r="O396" s="40"/>
      <c r="P396" s="40"/>
      <c r="Q396" s="40"/>
      <c r="R396" s="40"/>
      <c r="S396" s="40"/>
      <c r="T396" s="40"/>
      <c r="U396" s="40"/>
      <c r="V396" s="40"/>
      <c r="W396" s="40"/>
      <c r="X396" s="40"/>
      <c r="Y396" s="40"/>
      <c r="Z396" s="40"/>
      <c r="AA396" s="40"/>
      <c r="AB396" s="40"/>
    </row>
    <row r="397">
      <c r="A397" s="805"/>
      <c r="B397" s="40"/>
      <c r="C397" s="40"/>
      <c r="D397" s="40"/>
      <c r="E397" s="40"/>
      <c r="F397" s="40"/>
      <c r="G397" s="40"/>
      <c r="H397" s="40"/>
      <c r="I397" s="40"/>
      <c r="J397" s="216"/>
      <c r="K397" s="40"/>
      <c r="L397" s="40"/>
      <c r="M397" s="40"/>
      <c r="N397" s="40"/>
      <c r="O397" s="40"/>
      <c r="P397" s="40"/>
      <c r="Q397" s="40"/>
      <c r="R397" s="40"/>
      <c r="S397" s="40"/>
      <c r="T397" s="40"/>
      <c r="U397" s="40"/>
      <c r="V397" s="40"/>
      <c r="W397" s="40"/>
      <c r="X397" s="40"/>
      <c r="Y397" s="40"/>
      <c r="Z397" s="40"/>
      <c r="AA397" s="40"/>
      <c r="AB397" s="40"/>
    </row>
    <row r="398">
      <c r="A398" s="805"/>
      <c r="B398" s="40"/>
      <c r="C398" s="40"/>
      <c r="D398" s="40"/>
      <c r="E398" s="40"/>
      <c r="F398" s="40"/>
      <c r="G398" s="40"/>
      <c r="H398" s="40"/>
      <c r="I398" s="40"/>
      <c r="J398" s="216"/>
      <c r="K398" s="40"/>
      <c r="L398" s="40"/>
      <c r="M398" s="40"/>
      <c r="N398" s="40"/>
      <c r="O398" s="40"/>
      <c r="P398" s="40"/>
      <c r="Q398" s="40"/>
      <c r="R398" s="40"/>
      <c r="S398" s="40"/>
      <c r="T398" s="40"/>
      <c r="U398" s="40"/>
      <c r="V398" s="40"/>
      <c r="W398" s="40"/>
      <c r="X398" s="40"/>
      <c r="Y398" s="40"/>
      <c r="Z398" s="40"/>
      <c r="AA398" s="40"/>
      <c r="AB398" s="40"/>
    </row>
    <row r="399">
      <c r="A399" s="805"/>
      <c r="B399" s="40"/>
      <c r="C399" s="40"/>
      <c r="D399" s="40"/>
      <c r="E399" s="40"/>
      <c r="F399" s="40"/>
      <c r="G399" s="40"/>
      <c r="H399" s="40"/>
      <c r="I399" s="40"/>
      <c r="J399" s="216"/>
      <c r="K399" s="40"/>
      <c r="L399" s="40"/>
      <c r="M399" s="40"/>
      <c r="N399" s="40"/>
      <c r="O399" s="40"/>
      <c r="P399" s="40"/>
      <c r="Q399" s="40"/>
      <c r="R399" s="40"/>
      <c r="S399" s="40"/>
      <c r="T399" s="40"/>
      <c r="U399" s="40"/>
      <c r="V399" s="40"/>
      <c r="W399" s="40"/>
      <c r="X399" s="40"/>
      <c r="Y399" s="40"/>
      <c r="Z399" s="40"/>
      <c r="AA399" s="40"/>
      <c r="AB399" s="40"/>
    </row>
    <row r="400">
      <c r="A400" s="805"/>
      <c r="B400" s="40"/>
      <c r="C400" s="40"/>
      <c r="D400" s="40"/>
      <c r="E400" s="40"/>
      <c r="F400" s="40"/>
      <c r="G400" s="40"/>
      <c r="H400" s="40"/>
      <c r="I400" s="40"/>
      <c r="J400" s="216"/>
      <c r="K400" s="40"/>
      <c r="L400" s="40"/>
      <c r="M400" s="40"/>
      <c r="N400" s="40"/>
      <c r="O400" s="40"/>
      <c r="P400" s="40"/>
      <c r="Q400" s="40"/>
      <c r="R400" s="40"/>
      <c r="S400" s="40"/>
      <c r="T400" s="40"/>
      <c r="U400" s="40"/>
      <c r="V400" s="40"/>
      <c r="W400" s="40"/>
      <c r="X400" s="40"/>
      <c r="Y400" s="40"/>
      <c r="Z400" s="40"/>
      <c r="AA400" s="40"/>
      <c r="AB400" s="40"/>
    </row>
    <row r="401">
      <c r="A401" s="805"/>
      <c r="B401" s="40"/>
      <c r="C401" s="40"/>
      <c r="D401" s="40"/>
      <c r="E401" s="40"/>
      <c r="F401" s="40"/>
      <c r="G401" s="40"/>
      <c r="H401" s="40"/>
      <c r="I401" s="40"/>
      <c r="J401" s="216"/>
      <c r="K401" s="40"/>
      <c r="L401" s="40"/>
      <c r="M401" s="40"/>
      <c r="N401" s="40"/>
      <c r="O401" s="40"/>
      <c r="P401" s="40"/>
      <c r="Q401" s="40"/>
      <c r="R401" s="40"/>
      <c r="S401" s="40"/>
      <c r="T401" s="40"/>
      <c r="U401" s="40"/>
      <c r="V401" s="40"/>
      <c r="W401" s="40"/>
      <c r="X401" s="40"/>
      <c r="Y401" s="40"/>
      <c r="Z401" s="40"/>
      <c r="AA401" s="40"/>
      <c r="AB401" s="40"/>
    </row>
    <row r="402">
      <c r="A402" s="805"/>
      <c r="B402" s="40"/>
      <c r="C402" s="40"/>
      <c r="D402" s="40"/>
      <c r="E402" s="40"/>
      <c r="F402" s="40"/>
      <c r="G402" s="40"/>
      <c r="H402" s="40"/>
      <c r="I402" s="40"/>
      <c r="J402" s="216"/>
      <c r="K402" s="40"/>
      <c r="L402" s="40"/>
      <c r="M402" s="40"/>
      <c r="N402" s="40"/>
      <c r="O402" s="40"/>
      <c r="P402" s="40"/>
      <c r="Q402" s="40"/>
      <c r="R402" s="40"/>
      <c r="S402" s="40"/>
      <c r="T402" s="40"/>
      <c r="U402" s="40"/>
      <c r="V402" s="40"/>
      <c r="W402" s="40"/>
      <c r="X402" s="40"/>
      <c r="Y402" s="40"/>
      <c r="Z402" s="40"/>
      <c r="AA402" s="40"/>
      <c r="AB402" s="40"/>
    </row>
    <row r="403">
      <c r="A403" s="805"/>
      <c r="B403" s="40"/>
      <c r="C403" s="40"/>
      <c r="D403" s="40"/>
      <c r="E403" s="40"/>
      <c r="F403" s="40"/>
      <c r="G403" s="40"/>
      <c r="H403" s="40"/>
      <c r="I403" s="40"/>
      <c r="J403" s="216"/>
      <c r="K403" s="40"/>
      <c r="L403" s="40"/>
      <c r="M403" s="40"/>
      <c r="N403" s="40"/>
      <c r="O403" s="40"/>
      <c r="P403" s="40"/>
      <c r="Q403" s="40"/>
      <c r="R403" s="40"/>
      <c r="S403" s="40"/>
      <c r="T403" s="40"/>
      <c r="U403" s="40"/>
      <c r="V403" s="40"/>
      <c r="W403" s="40"/>
      <c r="X403" s="40"/>
      <c r="Y403" s="40"/>
      <c r="Z403" s="40"/>
      <c r="AA403" s="40"/>
      <c r="AB403" s="40"/>
    </row>
    <row r="404">
      <c r="A404" s="805"/>
      <c r="B404" s="40"/>
      <c r="C404" s="40"/>
      <c r="D404" s="40"/>
      <c r="E404" s="40"/>
      <c r="F404" s="40"/>
      <c r="G404" s="40"/>
      <c r="H404" s="40"/>
      <c r="I404" s="40"/>
      <c r="J404" s="216"/>
      <c r="K404" s="40"/>
      <c r="L404" s="40"/>
      <c r="M404" s="40"/>
      <c r="N404" s="40"/>
      <c r="O404" s="40"/>
      <c r="P404" s="40"/>
      <c r="Q404" s="40"/>
      <c r="R404" s="40"/>
      <c r="S404" s="40"/>
      <c r="T404" s="40"/>
      <c r="U404" s="40"/>
      <c r="V404" s="40"/>
      <c r="W404" s="40"/>
      <c r="X404" s="40"/>
      <c r="Y404" s="40"/>
      <c r="Z404" s="40"/>
      <c r="AA404" s="40"/>
      <c r="AB404" s="40"/>
    </row>
    <row r="405">
      <c r="A405" s="805"/>
      <c r="B405" s="40"/>
      <c r="C405" s="40"/>
      <c r="D405" s="40"/>
      <c r="E405" s="40"/>
      <c r="F405" s="40"/>
      <c r="G405" s="40"/>
      <c r="H405" s="40"/>
      <c r="I405" s="40"/>
      <c r="J405" s="216"/>
      <c r="K405" s="40"/>
      <c r="L405" s="40"/>
      <c r="M405" s="40"/>
      <c r="N405" s="40"/>
      <c r="O405" s="40"/>
      <c r="P405" s="40"/>
      <c r="Q405" s="40"/>
      <c r="R405" s="40"/>
      <c r="S405" s="40"/>
      <c r="T405" s="40"/>
      <c r="U405" s="40"/>
      <c r="V405" s="40"/>
      <c r="W405" s="40"/>
      <c r="X405" s="40"/>
      <c r="Y405" s="40"/>
      <c r="Z405" s="40"/>
      <c r="AA405" s="40"/>
      <c r="AB405" s="40"/>
    </row>
    <row r="406">
      <c r="A406" s="805"/>
      <c r="B406" s="40"/>
      <c r="C406" s="40"/>
      <c r="D406" s="40"/>
      <c r="E406" s="40"/>
      <c r="F406" s="40"/>
      <c r="G406" s="40"/>
      <c r="H406" s="40"/>
      <c r="I406" s="40"/>
      <c r="J406" s="216"/>
      <c r="K406" s="40"/>
      <c r="L406" s="40"/>
      <c r="M406" s="40"/>
      <c r="N406" s="40"/>
      <c r="O406" s="40"/>
      <c r="P406" s="40"/>
      <c r="Q406" s="40"/>
      <c r="R406" s="40"/>
      <c r="S406" s="40"/>
      <c r="T406" s="40"/>
      <c r="U406" s="40"/>
      <c r="V406" s="40"/>
      <c r="W406" s="40"/>
      <c r="X406" s="40"/>
      <c r="Y406" s="40"/>
      <c r="Z406" s="40"/>
      <c r="AA406" s="40"/>
      <c r="AB406" s="40"/>
    </row>
    <row r="407">
      <c r="A407" s="805"/>
      <c r="B407" s="40"/>
      <c r="C407" s="40"/>
      <c r="D407" s="40"/>
      <c r="E407" s="40"/>
      <c r="F407" s="40"/>
      <c r="G407" s="40"/>
      <c r="H407" s="40"/>
      <c r="I407" s="40"/>
      <c r="J407" s="216"/>
      <c r="K407" s="40"/>
      <c r="L407" s="40"/>
      <c r="M407" s="40"/>
      <c r="N407" s="40"/>
      <c r="O407" s="40"/>
      <c r="P407" s="40"/>
      <c r="Q407" s="40"/>
      <c r="R407" s="40"/>
      <c r="S407" s="40"/>
      <c r="T407" s="40"/>
      <c r="U407" s="40"/>
      <c r="V407" s="40"/>
      <c r="W407" s="40"/>
      <c r="X407" s="40"/>
      <c r="Y407" s="40"/>
      <c r="Z407" s="40"/>
      <c r="AA407" s="40"/>
      <c r="AB407" s="40"/>
    </row>
    <row r="408">
      <c r="A408" s="805"/>
      <c r="B408" s="40"/>
      <c r="C408" s="40"/>
      <c r="D408" s="40"/>
      <c r="E408" s="40"/>
      <c r="F408" s="40"/>
      <c r="G408" s="40"/>
      <c r="H408" s="40"/>
      <c r="I408" s="40"/>
      <c r="J408" s="216"/>
      <c r="K408" s="40"/>
      <c r="L408" s="40"/>
      <c r="M408" s="40"/>
      <c r="N408" s="40"/>
      <c r="O408" s="40"/>
      <c r="P408" s="40"/>
      <c r="Q408" s="40"/>
      <c r="R408" s="40"/>
      <c r="S408" s="40"/>
      <c r="T408" s="40"/>
      <c r="U408" s="40"/>
      <c r="V408" s="40"/>
      <c r="W408" s="40"/>
      <c r="X408" s="40"/>
      <c r="Y408" s="40"/>
      <c r="Z408" s="40"/>
      <c r="AA408" s="40"/>
      <c r="AB408" s="40"/>
    </row>
    <row r="409">
      <c r="A409" s="805"/>
      <c r="B409" s="40"/>
      <c r="C409" s="40"/>
      <c r="D409" s="40"/>
      <c r="E409" s="40"/>
      <c r="F409" s="40"/>
      <c r="G409" s="40"/>
      <c r="H409" s="40"/>
      <c r="I409" s="40"/>
      <c r="J409" s="216"/>
      <c r="K409" s="40"/>
      <c r="L409" s="40"/>
      <c r="M409" s="40"/>
      <c r="N409" s="40"/>
      <c r="O409" s="40"/>
      <c r="P409" s="40"/>
      <c r="Q409" s="40"/>
      <c r="R409" s="40"/>
      <c r="S409" s="40"/>
      <c r="T409" s="40"/>
      <c r="U409" s="40"/>
      <c r="V409" s="40"/>
      <c r="W409" s="40"/>
      <c r="X409" s="40"/>
      <c r="Y409" s="40"/>
      <c r="Z409" s="40"/>
      <c r="AA409" s="40"/>
      <c r="AB409" s="40"/>
    </row>
    <row r="410">
      <c r="A410" s="805"/>
      <c r="B410" s="40"/>
      <c r="C410" s="40"/>
      <c r="D410" s="40"/>
      <c r="E410" s="40"/>
      <c r="F410" s="40"/>
      <c r="G410" s="40"/>
      <c r="H410" s="40"/>
      <c r="I410" s="40"/>
      <c r="J410" s="216"/>
      <c r="K410" s="40"/>
      <c r="L410" s="40"/>
      <c r="M410" s="40"/>
      <c r="N410" s="40"/>
      <c r="O410" s="40"/>
      <c r="P410" s="40"/>
      <c r="Q410" s="40"/>
      <c r="R410" s="40"/>
      <c r="S410" s="40"/>
      <c r="T410" s="40"/>
      <c r="U410" s="40"/>
      <c r="V410" s="40"/>
      <c r="W410" s="40"/>
      <c r="X410" s="40"/>
      <c r="Y410" s="40"/>
      <c r="Z410" s="40"/>
      <c r="AA410" s="40"/>
      <c r="AB410" s="40"/>
    </row>
    <row r="411">
      <c r="A411" s="805"/>
      <c r="B411" s="40"/>
      <c r="C411" s="40"/>
      <c r="D411" s="40"/>
      <c r="E411" s="40"/>
      <c r="F411" s="40"/>
      <c r="G411" s="40"/>
      <c r="H411" s="40"/>
      <c r="I411" s="40"/>
      <c r="J411" s="216"/>
      <c r="K411" s="40"/>
      <c r="L411" s="40"/>
      <c r="M411" s="40"/>
      <c r="N411" s="40"/>
      <c r="O411" s="40"/>
      <c r="P411" s="40"/>
      <c r="Q411" s="40"/>
      <c r="R411" s="40"/>
      <c r="S411" s="40"/>
      <c r="T411" s="40"/>
      <c r="U411" s="40"/>
      <c r="V411" s="40"/>
      <c r="W411" s="40"/>
      <c r="X411" s="40"/>
      <c r="Y411" s="40"/>
      <c r="Z411" s="40"/>
      <c r="AA411" s="40"/>
      <c r="AB411" s="40"/>
    </row>
    <row r="412">
      <c r="A412" s="805"/>
      <c r="B412" s="40"/>
      <c r="C412" s="40"/>
      <c r="D412" s="40"/>
      <c r="E412" s="40"/>
      <c r="F412" s="40"/>
      <c r="G412" s="40"/>
      <c r="H412" s="40"/>
      <c r="I412" s="40"/>
      <c r="J412" s="216"/>
      <c r="K412" s="40"/>
      <c r="L412" s="40"/>
      <c r="M412" s="40"/>
      <c r="N412" s="40"/>
      <c r="O412" s="40"/>
      <c r="P412" s="40"/>
      <c r="Q412" s="40"/>
      <c r="R412" s="40"/>
      <c r="S412" s="40"/>
      <c r="T412" s="40"/>
      <c r="U412" s="40"/>
      <c r="V412" s="40"/>
      <c r="W412" s="40"/>
      <c r="X412" s="40"/>
      <c r="Y412" s="40"/>
      <c r="Z412" s="40"/>
      <c r="AA412" s="40"/>
      <c r="AB412" s="40"/>
    </row>
    <row r="413">
      <c r="A413" s="805"/>
      <c r="B413" s="40"/>
      <c r="C413" s="40"/>
      <c r="D413" s="40"/>
      <c r="E413" s="40"/>
      <c r="F413" s="40"/>
      <c r="G413" s="40"/>
      <c r="H413" s="40"/>
      <c r="I413" s="40"/>
      <c r="J413" s="216"/>
      <c r="K413" s="40"/>
      <c r="L413" s="40"/>
      <c r="M413" s="40"/>
      <c r="N413" s="40"/>
      <c r="O413" s="40"/>
      <c r="P413" s="40"/>
      <c r="Q413" s="40"/>
      <c r="R413" s="40"/>
      <c r="S413" s="40"/>
      <c r="T413" s="40"/>
      <c r="U413" s="40"/>
      <c r="V413" s="40"/>
      <c r="W413" s="40"/>
      <c r="X413" s="40"/>
      <c r="Y413" s="40"/>
      <c r="Z413" s="40"/>
      <c r="AA413" s="40"/>
      <c r="AB413" s="40"/>
    </row>
    <row r="414">
      <c r="A414" s="805"/>
      <c r="B414" s="40"/>
      <c r="C414" s="40"/>
      <c r="D414" s="40"/>
      <c r="E414" s="40"/>
      <c r="F414" s="40"/>
      <c r="G414" s="40"/>
      <c r="H414" s="40"/>
      <c r="I414" s="40"/>
      <c r="J414" s="216"/>
      <c r="K414" s="40"/>
      <c r="L414" s="40"/>
      <c r="M414" s="40"/>
      <c r="N414" s="40"/>
      <c r="O414" s="40"/>
      <c r="P414" s="40"/>
      <c r="Q414" s="40"/>
      <c r="R414" s="40"/>
      <c r="S414" s="40"/>
      <c r="T414" s="40"/>
      <c r="U414" s="40"/>
      <c r="V414" s="40"/>
      <c r="W414" s="40"/>
      <c r="X414" s="40"/>
      <c r="Y414" s="40"/>
      <c r="Z414" s="40"/>
      <c r="AA414" s="40"/>
      <c r="AB414" s="40"/>
    </row>
    <row r="415">
      <c r="A415" s="805"/>
      <c r="B415" s="40"/>
      <c r="C415" s="40"/>
      <c r="D415" s="40"/>
      <c r="E415" s="40"/>
      <c r="F415" s="40"/>
      <c r="G415" s="40"/>
      <c r="H415" s="40"/>
      <c r="I415" s="40"/>
      <c r="J415" s="216"/>
      <c r="K415" s="40"/>
      <c r="L415" s="40"/>
      <c r="M415" s="40"/>
      <c r="N415" s="40"/>
      <c r="O415" s="40"/>
      <c r="P415" s="40"/>
      <c r="Q415" s="40"/>
      <c r="R415" s="40"/>
      <c r="S415" s="40"/>
      <c r="T415" s="40"/>
      <c r="U415" s="40"/>
      <c r="V415" s="40"/>
      <c r="W415" s="40"/>
      <c r="X415" s="40"/>
      <c r="Y415" s="40"/>
      <c r="Z415" s="40"/>
      <c r="AA415" s="40"/>
      <c r="AB415" s="40"/>
    </row>
    <row r="416">
      <c r="A416" s="805"/>
      <c r="B416" s="40"/>
      <c r="C416" s="40"/>
      <c r="D416" s="40"/>
      <c r="E416" s="40"/>
      <c r="F416" s="40"/>
      <c r="G416" s="40"/>
      <c r="H416" s="40"/>
      <c r="I416" s="40"/>
      <c r="J416" s="216"/>
      <c r="K416" s="40"/>
      <c r="L416" s="40"/>
      <c r="M416" s="40"/>
      <c r="N416" s="40"/>
      <c r="O416" s="40"/>
      <c r="P416" s="40"/>
      <c r="Q416" s="40"/>
      <c r="R416" s="40"/>
      <c r="S416" s="40"/>
      <c r="T416" s="40"/>
      <c r="U416" s="40"/>
      <c r="V416" s="40"/>
      <c r="W416" s="40"/>
      <c r="X416" s="40"/>
      <c r="Y416" s="40"/>
      <c r="Z416" s="40"/>
      <c r="AA416" s="40"/>
      <c r="AB416" s="40"/>
    </row>
    <row r="417">
      <c r="A417" s="805"/>
      <c r="B417" s="40"/>
      <c r="C417" s="40"/>
      <c r="D417" s="40"/>
      <c r="E417" s="40"/>
      <c r="F417" s="40"/>
      <c r="G417" s="40"/>
      <c r="H417" s="40"/>
      <c r="I417" s="40"/>
      <c r="J417" s="216"/>
      <c r="K417" s="40"/>
      <c r="L417" s="40"/>
      <c r="M417" s="40"/>
      <c r="N417" s="40"/>
      <c r="O417" s="40"/>
      <c r="P417" s="40"/>
      <c r="Q417" s="40"/>
      <c r="R417" s="40"/>
      <c r="S417" s="40"/>
      <c r="T417" s="40"/>
      <c r="U417" s="40"/>
      <c r="V417" s="40"/>
      <c r="W417" s="40"/>
      <c r="X417" s="40"/>
      <c r="Y417" s="40"/>
      <c r="Z417" s="40"/>
      <c r="AA417" s="40"/>
      <c r="AB417" s="40"/>
    </row>
    <row r="418">
      <c r="A418" s="805"/>
      <c r="B418" s="40"/>
      <c r="C418" s="40"/>
      <c r="D418" s="40"/>
      <c r="E418" s="40"/>
      <c r="F418" s="40"/>
      <c r="G418" s="40"/>
      <c r="H418" s="40"/>
      <c r="I418" s="40"/>
      <c r="J418" s="216"/>
      <c r="K418" s="40"/>
      <c r="L418" s="40"/>
      <c r="M418" s="40"/>
      <c r="N418" s="40"/>
      <c r="O418" s="40"/>
      <c r="P418" s="40"/>
      <c r="Q418" s="40"/>
      <c r="R418" s="40"/>
      <c r="S418" s="40"/>
      <c r="T418" s="40"/>
      <c r="U418" s="40"/>
      <c r="V418" s="40"/>
      <c r="W418" s="40"/>
      <c r="X418" s="40"/>
      <c r="Y418" s="40"/>
      <c r="Z418" s="40"/>
      <c r="AA418" s="40"/>
      <c r="AB418" s="40"/>
    </row>
    <row r="419">
      <c r="A419" s="805"/>
      <c r="B419" s="40"/>
      <c r="C419" s="40"/>
      <c r="D419" s="40"/>
      <c r="E419" s="40"/>
      <c r="F419" s="40"/>
      <c r="G419" s="40"/>
      <c r="H419" s="40"/>
      <c r="I419" s="40"/>
      <c r="J419" s="216"/>
      <c r="K419" s="40"/>
      <c r="L419" s="40"/>
      <c r="M419" s="40"/>
      <c r="N419" s="40"/>
      <c r="O419" s="40"/>
      <c r="P419" s="40"/>
      <c r="Q419" s="40"/>
      <c r="R419" s="40"/>
      <c r="S419" s="40"/>
      <c r="T419" s="40"/>
      <c r="U419" s="40"/>
      <c r="V419" s="40"/>
      <c r="W419" s="40"/>
      <c r="X419" s="40"/>
      <c r="Y419" s="40"/>
      <c r="Z419" s="40"/>
      <c r="AA419" s="40"/>
      <c r="AB419" s="40"/>
    </row>
    <row r="420">
      <c r="A420" s="805"/>
      <c r="B420" s="40"/>
      <c r="C420" s="40"/>
      <c r="D420" s="40"/>
      <c r="E420" s="40"/>
      <c r="F420" s="40"/>
      <c r="G420" s="40"/>
      <c r="H420" s="40"/>
      <c r="I420" s="40"/>
      <c r="J420" s="216"/>
      <c r="K420" s="40"/>
      <c r="L420" s="40"/>
      <c r="M420" s="40"/>
      <c r="N420" s="40"/>
      <c r="O420" s="40"/>
      <c r="P420" s="40"/>
      <c r="Q420" s="40"/>
      <c r="R420" s="40"/>
      <c r="S420" s="40"/>
      <c r="T420" s="40"/>
      <c r="U420" s="40"/>
      <c r="V420" s="40"/>
      <c r="W420" s="40"/>
      <c r="X420" s="40"/>
      <c r="Y420" s="40"/>
      <c r="Z420" s="40"/>
      <c r="AA420" s="40"/>
      <c r="AB420" s="40"/>
    </row>
    <row r="421">
      <c r="A421" s="805"/>
      <c r="B421" s="40"/>
      <c r="C421" s="40"/>
      <c r="D421" s="40"/>
      <c r="E421" s="40"/>
      <c r="F421" s="40"/>
      <c r="G421" s="40"/>
      <c r="H421" s="40"/>
      <c r="I421" s="40"/>
      <c r="J421" s="216"/>
      <c r="K421" s="40"/>
      <c r="L421" s="40"/>
      <c r="M421" s="40"/>
      <c r="N421" s="40"/>
      <c r="O421" s="40"/>
      <c r="P421" s="40"/>
      <c r="Q421" s="40"/>
      <c r="R421" s="40"/>
      <c r="S421" s="40"/>
      <c r="T421" s="40"/>
      <c r="U421" s="40"/>
      <c r="V421" s="40"/>
      <c r="W421" s="40"/>
      <c r="X421" s="40"/>
      <c r="Y421" s="40"/>
      <c r="Z421" s="40"/>
      <c r="AA421" s="40"/>
      <c r="AB421" s="40"/>
    </row>
    <row r="422">
      <c r="A422" s="805"/>
      <c r="B422" s="40"/>
      <c r="C422" s="40"/>
      <c r="D422" s="40"/>
      <c r="E422" s="40"/>
      <c r="F422" s="40"/>
      <c r="G422" s="40"/>
      <c r="H422" s="40"/>
      <c r="I422" s="40"/>
      <c r="J422" s="216"/>
      <c r="K422" s="40"/>
      <c r="L422" s="40"/>
      <c r="M422" s="40"/>
      <c r="N422" s="40"/>
      <c r="O422" s="40"/>
      <c r="P422" s="40"/>
      <c r="Q422" s="40"/>
      <c r="R422" s="40"/>
      <c r="S422" s="40"/>
      <c r="T422" s="40"/>
      <c r="U422" s="40"/>
      <c r="V422" s="40"/>
      <c r="W422" s="40"/>
      <c r="X422" s="40"/>
      <c r="Y422" s="40"/>
      <c r="Z422" s="40"/>
      <c r="AA422" s="40"/>
      <c r="AB422" s="40"/>
    </row>
    <row r="423">
      <c r="A423" s="805"/>
      <c r="B423" s="40"/>
      <c r="C423" s="40"/>
      <c r="D423" s="40"/>
      <c r="E423" s="40"/>
      <c r="F423" s="40"/>
      <c r="G423" s="40"/>
      <c r="H423" s="40"/>
      <c r="I423" s="40"/>
      <c r="J423" s="216"/>
      <c r="K423" s="40"/>
      <c r="L423" s="40"/>
      <c r="M423" s="40"/>
      <c r="N423" s="40"/>
      <c r="O423" s="40"/>
      <c r="P423" s="40"/>
      <c r="Q423" s="40"/>
      <c r="R423" s="40"/>
      <c r="S423" s="40"/>
      <c r="T423" s="40"/>
      <c r="U423" s="40"/>
      <c r="V423" s="40"/>
      <c r="W423" s="40"/>
      <c r="X423" s="40"/>
      <c r="Y423" s="40"/>
      <c r="Z423" s="40"/>
      <c r="AA423" s="40"/>
      <c r="AB423" s="40"/>
    </row>
    <row r="424">
      <c r="A424" s="805"/>
      <c r="B424" s="40"/>
      <c r="C424" s="40"/>
      <c r="D424" s="40"/>
      <c r="E424" s="40"/>
      <c r="F424" s="40"/>
      <c r="G424" s="40"/>
      <c r="H424" s="40"/>
      <c r="I424" s="40"/>
      <c r="J424" s="216"/>
      <c r="K424" s="40"/>
      <c r="L424" s="40"/>
      <c r="M424" s="40"/>
      <c r="N424" s="40"/>
      <c r="O424" s="40"/>
      <c r="P424" s="40"/>
      <c r="Q424" s="40"/>
      <c r="R424" s="40"/>
      <c r="S424" s="40"/>
      <c r="T424" s="40"/>
      <c r="U424" s="40"/>
      <c r="V424" s="40"/>
      <c r="W424" s="40"/>
      <c r="X424" s="40"/>
      <c r="Y424" s="40"/>
      <c r="Z424" s="40"/>
      <c r="AA424" s="40"/>
      <c r="AB424" s="40"/>
    </row>
    <row r="425">
      <c r="A425" s="805"/>
      <c r="B425" s="40"/>
      <c r="C425" s="40"/>
      <c r="D425" s="40"/>
      <c r="E425" s="40"/>
      <c r="F425" s="40"/>
      <c r="G425" s="40"/>
      <c r="H425" s="40"/>
      <c r="I425" s="40"/>
      <c r="J425" s="216"/>
      <c r="K425" s="40"/>
      <c r="L425" s="40"/>
      <c r="M425" s="40"/>
      <c r="N425" s="40"/>
      <c r="O425" s="40"/>
      <c r="P425" s="40"/>
      <c r="Q425" s="40"/>
      <c r="R425" s="40"/>
      <c r="S425" s="40"/>
      <c r="T425" s="40"/>
      <c r="U425" s="40"/>
      <c r="V425" s="40"/>
      <c r="W425" s="40"/>
      <c r="X425" s="40"/>
      <c r="Y425" s="40"/>
      <c r="Z425" s="40"/>
      <c r="AA425" s="40"/>
      <c r="AB425" s="40"/>
    </row>
    <row r="426">
      <c r="A426" s="805"/>
      <c r="B426" s="40"/>
      <c r="C426" s="40"/>
      <c r="D426" s="40"/>
      <c r="E426" s="40"/>
      <c r="F426" s="40"/>
      <c r="G426" s="40"/>
      <c r="H426" s="40"/>
      <c r="I426" s="40"/>
      <c r="J426" s="216"/>
      <c r="K426" s="40"/>
      <c r="L426" s="40"/>
      <c r="M426" s="40"/>
      <c r="N426" s="40"/>
      <c r="O426" s="40"/>
      <c r="P426" s="40"/>
      <c r="Q426" s="40"/>
      <c r="R426" s="40"/>
      <c r="S426" s="40"/>
      <c r="T426" s="40"/>
      <c r="U426" s="40"/>
      <c r="V426" s="40"/>
      <c r="W426" s="40"/>
      <c r="X426" s="40"/>
      <c r="Y426" s="40"/>
      <c r="Z426" s="40"/>
      <c r="AA426" s="40"/>
      <c r="AB426" s="40"/>
    </row>
    <row r="427">
      <c r="A427" s="805"/>
      <c r="B427" s="40"/>
      <c r="C427" s="40"/>
      <c r="D427" s="40"/>
      <c r="E427" s="40"/>
      <c r="F427" s="40"/>
      <c r="G427" s="40"/>
      <c r="H427" s="40"/>
      <c r="I427" s="40"/>
      <c r="J427" s="216"/>
      <c r="K427" s="40"/>
      <c r="L427" s="40"/>
      <c r="M427" s="40"/>
      <c r="N427" s="40"/>
      <c r="O427" s="40"/>
      <c r="P427" s="40"/>
      <c r="Q427" s="40"/>
      <c r="R427" s="40"/>
      <c r="S427" s="40"/>
      <c r="T427" s="40"/>
      <c r="U427" s="40"/>
      <c r="V427" s="40"/>
      <c r="W427" s="40"/>
      <c r="X427" s="40"/>
      <c r="Y427" s="40"/>
      <c r="Z427" s="40"/>
      <c r="AA427" s="40"/>
      <c r="AB427" s="40"/>
    </row>
    <row r="428">
      <c r="A428" s="805"/>
      <c r="B428" s="40"/>
      <c r="C428" s="40"/>
      <c r="D428" s="40"/>
      <c r="E428" s="40"/>
      <c r="F428" s="40"/>
      <c r="G428" s="40"/>
      <c r="H428" s="40"/>
      <c r="I428" s="40"/>
      <c r="J428" s="216"/>
      <c r="K428" s="40"/>
      <c r="L428" s="40"/>
      <c r="M428" s="40"/>
      <c r="N428" s="40"/>
      <c r="O428" s="40"/>
      <c r="P428" s="40"/>
      <c r="Q428" s="40"/>
      <c r="R428" s="40"/>
      <c r="S428" s="40"/>
      <c r="T428" s="40"/>
      <c r="U428" s="40"/>
      <c r="V428" s="40"/>
      <c r="W428" s="40"/>
      <c r="X428" s="40"/>
      <c r="Y428" s="40"/>
      <c r="Z428" s="40"/>
      <c r="AA428" s="40"/>
      <c r="AB428" s="40"/>
    </row>
    <row r="429">
      <c r="A429" s="805"/>
      <c r="B429" s="40"/>
      <c r="C429" s="40"/>
      <c r="D429" s="40"/>
      <c r="E429" s="40"/>
      <c r="F429" s="40"/>
      <c r="G429" s="40"/>
      <c r="H429" s="40"/>
      <c r="I429" s="40"/>
      <c r="J429" s="216"/>
      <c r="K429" s="40"/>
      <c r="L429" s="40"/>
      <c r="M429" s="40"/>
      <c r="N429" s="40"/>
      <c r="O429" s="40"/>
      <c r="P429" s="40"/>
      <c r="Q429" s="40"/>
      <c r="R429" s="40"/>
      <c r="S429" s="40"/>
      <c r="T429" s="40"/>
      <c r="U429" s="40"/>
      <c r="V429" s="40"/>
      <c r="W429" s="40"/>
      <c r="X429" s="40"/>
      <c r="Y429" s="40"/>
      <c r="Z429" s="40"/>
      <c r="AA429" s="40"/>
      <c r="AB429" s="40"/>
    </row>
    <row r="430">
      <c r="A430" s="805"/>
      <c r="B430" s="40"/>
      <c r="C430" s="40"/>
      <c r="D430" s="40"/>
      <c r="E430" s="40"/>
      <c r="F430" s="40"/>
      <c r="G430" s="40"/>
      <c r="H430" s="40"/>
      <c r="I430" s="40"/>
      <c r="J430" s="216"/>
      <c r="K430" s="40"/>
      <c r="L430" s="40"/>
      <c r="M430" s="40"/>
      <c r="N430" s="40"/>
      <c r="O430" s="40"/>
      <c r="P430" s="40"/>
      <c r="Q430" s="40"/>
      <c r="R430" s="40"/>
      <c r="S430" s="40"/>
      <c r="T430" s="40"/>
      <c r="U430" s="40"/>
      <c r="V430" s="40"/>
      <c r="W430" s="40"/>
      <c r="X430" s="40"/>
      <c r="Y430" s="40"/>
      <c r="Z430" s="40"/>
      <c r="AA430" s="40"/>
      <c r="AB430" s="40"/>
    </row>
    <row r="431">
      <c r="A431" s="805"/>
      <c r="B431" s="40"/>
      <c r="C431" s="40"/>
      <c r="D431" s="40"/>
      <c r="E431" s="40"/>
      <c r="F431" s="40"/>
      <c r="G431" s="40"/>
      <c r="H431" s="40"/>
      <c r="I431" s="40"/>
      <c r="J431" s="216"/>
      <c r="K431" s="40"/>
      <c r="L431" s="40"/>
      <c r="M431" s="40"/>
      <c r="N431" s="40"/>
      <c r="O431" s="40"/>
      <c r="P431" s="40"/>
      <c r="Q431" s="40"/>
      <c r="R431" s="40"/>
      <c r="S431" s="40"/>
      <c r="T431" s="40"/>
      <c r="U431" s="40"/>
      <c r="V431" s="40"/>
      <c r="W431" s="40"/>
      <c r="X431" s="40"/>
      <c r="Y431" s="40"/>
      <c r="Z431" s="40"/>
      <c r="AA431" s="40"/>
      <c r="AB431" s="40"/>
    </row>
    <row r="432">
      <c r="A432" s="805"/>
      <c r="B432" s="40"/>
      <c r="C432" s="40"/>
      <c r="D432" s="40"/>
      <c r="E432" s="40"/>
      <c r="F432" s="40"/>
      <c r="G432" s="40"/>
      <c r="H432" s="40"/>
      <c r="I432" s="40"/>
      <c r="J432" s="216"/>
      <c r="K432" s="40"/>
      <c r="L432" s="40"/>
      <c r="M432" s="40"/>
      <c r="N432" s="40"/>
      <c r="O432" s="40"/>
      <c r="P432" s="40"/>
      <c r="Q432" s="40"/>
      <c r="R432" s="40"/>
      <c r="S432" s="40"/>
      <c r="T432" s="40"/>
      <c r="U432" s="40"/>
      <c r="V432" s="40"/>
      <c r="W432" s="40"/>
      <c r="X432" s="40"/>
      <c r="Y432" s="40"/>
      <c r="Z432" s="40"/>
      <c r="AA432" s="40"/>
      <c r="AB432" s="40"/>
    </row>
    <row r="433">
      <c r="A433" s="805"/>
      <c r="B433" s="40"/>
      <c r="C433" s="40"/>
      <c r="D433" s="40"/>
      <c r="E433" s="40"/>
      <c r="F433" s="40"/>
      <c r="G433" s="40"/>
      <c r="H433" s="40"/>
      <c r="I433" s="40"/>
      <c r="J433" s="216"/>
      <c r="K433" s="40"/>
      <c r="L433" s="40"/>
      <c r="M433" s="40"/>
      <c r="N433" s="40"/>
      <c r="O433" s="40"/>
      <c r="P433" s="40"/>
      <c r="Q433" s="40"/>
      <c r="R433" s="40"/>
      <c r="S433" s="40"/>
      <c r="T433" s="40"/>
      <c r="U433" s="40"/>
      <c r="V433" s="40"/>
      <c r="W433" s="40"/>
      <c r="X433" s="40"/>
      <c r="Y433" s="40"/>
      <c r="Z433" s="40"/>
      <c r="AA433" s="40"/>
      <c r="AB433" s="40"/>
    </row>
    <row r="434">
      <c r="A434" s="805"/>
      <c r="B434" s="40"/>
      <c r="C434" s="40"/>
      <c r="D434" s="40"/>
      <c r="E434" s="40"/>
      <c r="F434" s="40"/>
      <c r="G434" s="40"/>
      <c r="H434" s="40"/>
      <c r="I434" s="40"/>
      <c r="J434" s="216"/>
      <c r="K434" s="40"/>
      <c r="L434" s="40"/>
      <c r="M434" s="40"/>
      <c r="N434" s="40"/>
      <c r="O434" s="40"/>
      <c r="P434" s="40"/>
      <c r="Q434" s="40"/>
      <c r="R434" s="40"/>
      <c r="S434" s="40"/>
      <c r="T434" s="40"/>
      <c r="U434" s="40"/>
      <c r="V434" s="40"/>
      <c r="W434" s="40"/>
      <c r="X434" s="40"/>
      <c r="Y434" s="40"/>
      <c r="Z434" s="40"/>
      <c r="AA434" s="40"/>
      <c r="AB434" s="40"/>
    </row>
    <row r="435">
      <c r="A435" s="805"/>
      <c r="B435" s="40"/>
      <c r="C435" s="40"/>
      <c r="D435" s="40"/>
      <c r="E435" s="40"/>
      <c r="F435" s="40"/>
      <c r="G435" s="40"/>
      <c r="H435" s="40"/>
      <c r="I435" s="40"/>
      <c r="J435" s="216"/>
      <c r="K435" s="40"/>
      <c r="L435" s="40"/>
      <c r="M435" s="40"/>
      <c r="N435" s="40"/>
      <c r="O435" s="40"/>
      <c r="P435" s="40"/>
      <c r="Q435" s="40"/>
      <c r="R435" s="40"/>
      <c r="S435" s="40"/>
      <c r="T435" s="40"/>
      <c r="U435" s="40"/>
      <c r="V435" s="40"/>
      <c r="W435" s="40"/>
      <c r="X435" s="40"/>
      <c r="Y435" s="40"/>
      <c r="Z435" s="40"/>
      <c r="AA435" s="40"/>
      <c r="AB435" s="40"/>
    </row>
    <row r="436">
      <c r="A436" s="805"/>
      <c r="B436" s="40"/>
      <c r="C436" s="40"/>
      <c r="D436" s="40"/>
      <c r="E436" s="40"/>
      <c r="F436" s="40"/>
      <c r="G436" s="40"/>
      <c r="H436" s="40"/>
      <c r="I436" s="40"/>
      <c r="J436" s="216"/>
      <c r="K436" s="40"/>
      <c r="L436" s="40"/>
      <c r="M436" s="40"/>
      <c r="N436" s="40"/>
      <c r="O436" s="40"/>
      <c r="P436" s="40"/>
      <c r="Q436" s="40"/>
      <c r="R436" s="40"/>
      <c r="S436" s="40"/>
      <c r="T436" s="40"/>
      <c r="U436" s="40"/>
      <c r="V436" s="40"/>
      <c r="W436" s="40"/>
      <c r="X436" s="40"/>
      <c r="Y436" s="40"/>
      <c r="Z436" s="40"/>
      <c r="AA436" s="40"/>
      <c r="AB436" s="40"/>
    </row>
    <row r="437">
      <c r="A437" s="805"/>
      <c r="B437" s="40"/>
      <c r="C437" s="40"/>
      <c r="D437" s="40"/>
      <c r="E437" s="40"/>
      <c r="F437" s="40"/>
      <c r="G437" s="40"/>
      <c r="H437" s="40"/>
      <c r="I437" s="40"/>
      <c r="J437" s="216"/>
      <c r="K437" s="40"/>
      <c r="L437" s="40"/>
      <c r="M437" s="40"/>
      <c r="N437" s="40"/>
      <c r="O437" s="40"/>
      <c r="P437" s="40"/>
      <c r="Q437" s="40"/>
      <c r="R437" s="40"/>
      <c r="S437" s="40"/>
      <c r="T437" s="40"/>
      <c r="U437" s="40"/>
      <c r="V437" s="40"/>
      <c r="W437" s="40"/>
      <c r="X437" s="40"/>
      <c r="Y437" s="40"/>
      <c r="Z437" s="40"/>
      <c r="AA437" s="40"/>
      <c r="AB437" s="40"/>
    </row>
    <row r="438">
      <c r="A438" s="805"/>
      <c r="B438" s="40"/>
      <c r="C438" s="40"/>
      <c r="D438" s="40"/>
      <c r="E438" s="40"/>
      <c r="F438" s="40"/>
      <c r="G438" s="40"/>
      <c r="H438" s="40"/>
      <c r="I438" s="40"/>
      <c r="J438" s="216"/>
      <c r="K438" s="40"/>
      <c r="L438" s="40"/>
      <c r="M438" s="40"/>
      <c r="N438" s="40"/>
      <c r="O438" s="40"/>
      <c r="P438" s="40"/>
      <c r="Q438" s="40"/>
      <c r="R438" s="40"/>
      <c r="S438" s="40"/>
      <c r="T438" s="40"/>
      <c r="U438" s="40"/>
      <c r="V438" s="40"/>
      <c r="W438" s="40"/>
      <c r="X438" s="40"/>
      <c r="Y438" s="40"/>
      <c r="Z438" s="40"/>
      <c r="AA438" s="40"/>
      <c r="AB438" s="40"/>
    </row>
    <row r="439">
      <c r="A439" s="805"/>
      <c r="B439" s="40"/>
      <c r="C439" s="40"/>
      <c r="D439" s="40"/>
      <c r="E439" s="40"/>
      <c r="F439" s="40"/>
      <c r="G439" s="40"/>
      <c r="H439" s="40"/>
      <c r="I439" s="40"/>
      <c r="J439" s="216"/>
      <c r="K439" s="40"/>
      <c r="L439" s="40"/>
      <c r="M439" s="40"/>
      <c r="N439" s="40"/>
      <c r="O439" s="40"/>
      <c r="P439" s="40"/>
      <c r="Q439" s="40"/>
      <c r="R439" s="40"/>
      <c r="S439" s="40"/>
      <c r="T439" s="40"/>
      <c r="U439" s="40"/>
      <c r="V439" s="40"/>
      <c r="W439" s="40"/>
      <c r="X439" s="40"/>
      <c r="Y439" s="40"/>
      <c r="Z439" s="40"/>
      <c r="AA439" s="40"/>
      <c r="AB439" s="40"/>
    </row>
    <row r="440">
      <c r="A440" s="805"/>
      <c r="B440" s="40"/>
      <c r="C440" s="40"/>
      <c r="D440" s="40"/>
      <c r="E440" s="40"/>
      <c r="F440" s="40"/>
      <c r="G440" s="40"/>
      <c r="H440" s="40"/>
      <c r="I440" s="40"/>
      <c r="J440" s="216"/>
      <c r="K440" s="40"/>
      <c r="L440" s="40"/>
      <c r="M440" s="40"/>
      <c r="N440" s="40"/>
      <c r="O440" s="40"/>
      <c r="P440" s="40"/>
      <c r="Q440" s="40"/>
      <c r="R440" s="40"/>
      <c r="S440" s="40"/>
      <c r="T440" s="40"/>
      <c r="U440" s="40"/>
      <c r="V440" s="40"/>
      <c r="W440" s="40"/>
      <c r="X440" s="40"/>
      <c r="Y440" s="40"/>
      <c r="Z440" s="40"/>
      <c r="AA440" s="40"/>
      <c r="AB440" s="40"/>
    </row>
    <row r="441">
      <c r="A441" s="805"/>
      <c r="B441" s="40"/>
      <c r="C441" s="40"/>
      <c r="D441" s="40"/>
      <c r="E441" s="40"/>
      <c r="F441" s="40"/>
      <c r="G441" s="40"/>
      <c r="H441" s="40"/>
      <c r="I441" s="40"/>
      <c r="J441" s="216"/>
      <c r="K441" s="40"/>
      <c r="L441" s="40"/>
      <c r="M441" s="40"/>
      <c r="N441" s="40"/>
      <c r="O441" s="40"/>
      <c r="P441" s="40"/>
      <c r="Q441" s="40"/>
      <c r="R441" s="40"/>
      <c r="S441" s="40"/>
      <c r="T441" s="40"/>
      <c r="U441" s="40"/>
      <c r="V441" s="40"/>
      <c r="W441" s="40"/>
      <c r="X441" s="40"/>
      <c r="Y441" s="40"/>
      <c r="Z441" s="40"/>
      <c r="AA441" s="40"/>
      <c r="AB441" s="40"/>
    </row>
    <row r="442">
      <c r="A442" s="805"/>
      <c r="B442" s="40"/>
      <c r="C442" s="40"/>
      <c r="D442" s="40"/>
      <c r="E442" s="40"/>
      <c r="F442" s="40"/>
      <c r="G442" s="40"/>
      <c r="H442" s="40"/>
      <c r="I442" s="40"/>
      <c r="J442" s="216"/>
      <c r="K442" s="40"/>
      <c r="L442" s="40"/>
      <c r="M442" s="40"/>
      <c r="N442" s="40"/>
      <c r="O442" s="40"/>
      <c r="P442" s="40"/>
      <c r="Q442" s="40"/>
      <c r="R442" s="40"/>
      <c r="S442" s="40"/>
      <c r="T442" s="40"/>
      <c r="U442" s="40"/>
      <c r="V442" s="40"/>
      <c r="W442" s="40"/>
      <c r="X442" s="40"/>
      <c r="Y442" s="40"/>
      <c r="Z442" s="40"/>
      <c r="AA442" s="40"/>
      <c r="AB442" s="40"/>
    </row>
    <row r="443">
      <c r="A443" s="805"/>
      <c r="B443" s="40"/>
      <c r="C443" s="40"/>
      <c r="D443" s="40"/>
      <c r="E443" s="40"/>
      <c r="F443" s="40"/>
      <c r="G443" s="40"/>
      <c r="H443" s="40"/>
      <c r="I443" s="40"/>
      <c r="J443" s="216"/>
      <c r="K443" s="40"/>
      <c r="L443" s="40"/>
      <c r="M443" s="40"/>
      <c r="N443" s="40"/>
      <c r="O443" s="40"/>
      <c r="P443" s="40"/>
      <c r="Q443" s="40"/>
      <c r="R443" s="40"/>
      <c r="S443" s="40"/>
      <c r="T443" s="40"/>
      <c r="U443" s="40"/>
      <c r="V443" s="40"/>
      <c r="W443" s="40"/>
      <c r="X443" s="40"/>
      <c r="Y443" s="40"/>
      <c r="Z443" s="40"/>
      <c r="AA443" s="40"/>
      <c r="AB443" s="40"/>
    </row>
    <row r="444">
      <c r="A444" s="805"/>
      <c r="B444" s="40"/>
      <c r="C444" s="40"/>
      <c r="D444" s="40"/>
      <c r="E444" s="40"/>
      <c r="F444" s="40"/>
      <c r="G444" s="40"/>
      <c r="H444" s="40"/>
      <c r="I444" s="40"/>
      <c r="J444" s="216"/>
      <c r="K444" s="40"/>
      <c r="L444" s="40"/>
      <c r="M444" s="40"/>
      <c r="N444" s="40"/>
      <c r="O444" s="40"/>
      <c r="P444" s="40"/>
      <c r="Q444" s="40"/>
      <c r="R444" s="40"/>
      <c r="S444" s="40"/>
      <c r="T444" s="40"/>
      <c r="U444" s="40"/>
      <c r="V444" s="40"/>
      <c r="W444" s="40"/>
      <c r="X444" s="40"/>
      <c r="Y444" s="40"/>
      <c r="Z444" s="40"/>
      <c r="AA444" s="40"/>
      <c r="AB444" s="40"/>
    </row>
    <row r="445">
      <c r="A445" s="805"/>
      <c r="B445" s="40"/>
      <c r="C445" s="40"/>
      <c r="D445" s="40"/>
      <c r="E445" s="40"/>
      <c r="F445" s="40"/>
      <c r="G445" s="40"/>
      <c r="H445" s="40"/>
      <c r="I445" s="40"/>
      <c r="J445" s="216"/>
      <c r="K445" s="40"/>
      <c r="L445" s="40"/>
      <c r="M445" s="40"/>
      <c r="N445" s="40"/>
      <c r="O445" s="40"/>
      <c r="P445" s="40"/>
      <c r="Q445" s="40"/>
      <c r="R445" s="40"/>
      <c r="S445" s="40"/>
      <c r="T445" s="40"/>
      <c r="U445" s="40"/>
      <c r="V445" s="40"/>
      <c r="W445" s="40"/>
      <c r="X445" s="40"/>
      <c r="Y445" s="40"/>
      <c r="Z445" s="40"/>
      <c r="AA445" s="40"/>
      <c r="AB445" s="40"/>
    </row>
    <row r="446">
      <c r="A446" s="805"/>
      <c r="B446" s="40"/>
      <c r="C446" s="40"/>
      <c r="D446" s="40"/>
      <c r="E446" s="40"/>
      <c r="F446" s="40"/>
      <c r="G446" s="40"/>
      <c r="H446" s="40"/>
      <c r="I446" s="40"/>
      <c r="J446" s="216"/>
      <c r="K446" s="40"/>
      <c r="L446" s="40"/>
      <c r="M446" s="40"/>
      <c r="N446" s="40"/>
      <c r="O446" s="40"/>
      <c r="P446" s="40"/>
      <c r="Q446" s="40"/>
      <c r="R446" s="40"/>
      <c r="S446" s="40"/>
      <c r="T446" s="40"/>
      <c r="U446" s="40"/>
      <c r="V446" s="40"/>
      <c r="W446" s="40"/>
      <c r="X446" s="40"/>
      <c r="Y446" s="40"/>
      <c r="Z446" s="40"/>
      <c r="AA446" s="40"/>
      <c r="AB446" s="40"/>
    </row>
    <row r="447">
      <c r="A447" s="805"/>
      <c r="B447" s="40"/>
      <c r="C447" s="40"/>
      <c r="D447" s="40"/>
      <c r="E447" s="40"/>
      <c r="F447" s="40"/>
      <c r="G447" s="40"/>
      <c r="H447" s="40"/>
      <c r="I447" s="40"/>
      <c r="J447" s="216"/>
      <c r="K447" s="40"/>
      <c r="L447" s="40"/>
      <c r="M447" s="40"/>
      <c r="N447" s="40"/>
      <c r="O447" s="40"/>
      <c r="P447" s="40"/>
      <c r="Q447" s="40"/>
      <c r="R447" s="40"/>
      <c r="S447" s="40"/>
      <c r="T447" s="40"/>
      <c r="U447" s="40"/>
      <c r="V447" s="40"/>
      <c r="W447" s="40"/>
      <c r="X447" s="40"/>
      <c r="Y447" s="40"/>
      <c r="Z447" s="40"/>
      <c r="AA447" s="40"/>
      <c r="AB447" s="40"/>
    </row>
    <row r="448">
      <c r="A448" s="805"/>
      <c r="B448" s="40"/>
      <c r="C448" s="40"/>
      <c r="D448" s="40"/>
      <c r="E448" s="40"/>
      <c r="F448" s="40"/>
      <c r="G448" s="40"/>
      <c r="H448" s="40"/>
      <c r="I448" s="40"/>
      <c r="J448" s="216"/>
      <c r="K448" s="40"/>
      <c r="L448" s="40"/>
      <c r="M448" s="40"/>
      <c r="N448" s="40"/>
      <c r="O448" s="40"/>
      <c r="P448" s="40"/>
      <c r="Q448" s="40"/>
      <c r="R448" s="40"/>
      <c r="S448" s="40"/>
      <c r="T448" s="40"/>
      <c r="U448" s="40"/>
      <c r="V448" s="40"/>
      <c r="W448" s="40"/>
      <c r="X448" s="40"/>
      <c r="Y448" s="40"/>
      <c r="Z448" s="40"/>
      <c r="AA448" s="40"/>
      <c r="AB448" s="40"/>
    </row>
    <row r="449">
      <c r="A449" s="805"/>
      <c r="B449" s="40"/>
      <c r="C449" s="40"/>
      <c r="D449" s="40"/>
      <c r="E449" s="40"/>
      <c r="F449" s="40"/>
      <c r="G449" s="40"/>
      <c r="H449" s="40"/>
      <c r="I449" s="40"/>
      <c r="J449" s="216"/>
      <c r="K449" s="40"/>
      <c r="L449" s="40"/>
      <c r="M449" s="40"/>
      <c r="N449" s="40"/>
      <c r="O449" s="40"/>
      <c r="P449" s="40"/>
      <c r="Q449" s="40"/>
      <c r="R449" s="40"/>
      <c r="S449" s="40"/>
      <c r="T449" s="40"/>
      <c r="U449" s="40"/>
      <c r="V449" s="40"/>
      <c r="W449" s="40"/>
      <c r="X449" s="40"/>
      <c r="Y449" s="40"/>
      <c r="Z449" s="40"/>
      <c r="AA449" s="40"/>
      <c r="AB449" s="40"/>
    </row>
    <row r="450">
      <c r="A450" s="805"/>
      <c r="B450" s="40"/>
      <c r="C450" s="40"/>
      <c r="D450" s="40"/>
      <c r="E450" s="40"/>
      <c r="F450" s="40"/>
      <c r="G450" s="40"/>
      <c r="H450" s="40"/>
      <c r="I450" s="40"/>
      <c r="J450" s="216"/>
      <c r="K450" s="40"/>
      <c r="L450" s="40"/>
      <c r="M450" s="40"/>
      <c r="N450" s="40"/>
      <c r="O450" s="40"/>
      <c r="P450" s="40"/>
      <c r="Q450" s="40"/>
      <c r="R450" s="40"/>
      <c r="S450" s="40"/>
      <c r="T450" s="40"/>
      <c r="U450" s="40"/>
      <c r="V450" s="40"/>
      <c r="W450" s="40"/>
      <c r="X450" s="40"/>
      <c r="Y450" s="40"/>
      <c r="Z450" s="40"/>
      <c r="AA450" s="40"/>
      <c r="AB450" s="40"/>
    </row>
    <row r="451">
      <c r="A451" s="805"/>
      <c r="B451" s="40"/>
      <c r="C451" s="40"/>
      <c r="D451" s="40"/>
      <c r="E451" s="40"/>
      <c r="F451" s="40"/>
      <c r="G451" s="40"/>
      <c r="H451" s="40"/>
      <c r="I451" s="40"/>
      <c r="J451" s="216"/>
      <c r="K451" s="40"/>
      <c r="L451" s="40"/>
      <c r="M451" s="40"/>
      <c r="N451" s="40"/>
      <c r="O451" s="40"/>
      <c r="P451" s="40"/>
      <c r="Q451" s="40"/>
      <c r="R451" s="40"/>
      <c r="S451" s="40"/>
      <c r="T451" s="40"/>
      <c r="U451" s="40"/>
      <c r="V451" s="40"/>
      <c r="W451" s="40"/>
      <c r="X451" s="40"/>
      <c r="Y451" s="40"/>
      <c r="Z451" s="40"/>
      <c r="AA451" s="40"/>
      <c r="AB451" s="40"/>
    </row>
    <row r="452">
      <c r="A452" s="805"/>
      <c r="B452" s="40"/>
      <c r="C452" s="40"/>
      <c r="D452" s="40"/>
      <c r="E452" s="40"/>
      <c r="F452" s="40"/>
      <c r="G452" s="40"/>
      <c r="H452" s="40"/>
      <c r="I452" s="40"/>
      <c r="J452" s="216"/>
      <c r="K452" s="40"/>
      <c r="L452" s="40"/>
      <c r="M452" s="40"/>
      <c r="N452" s="40"/>
      <c r="O452" s="40"/>
      <c r="P452" s="40"/>
      <c r="Q452" s="40"/>
      <c r="R452" s="40"/>
      <c r="S452" s="40"/>
      <c r="T452" s="40"/>
      <c r="U452" s="40"/>
      <c r="V452" s="40"/>
      <c r="W452" s="40"/>
      <c r="X452" s="40"/>
      <c r="Y452" s="40"/>
      <c r="Z452" s="40"/>
      <c r="AA452" s="40"/>
      <c r="AB452" s="40"/>
    </row>
    <row r="453">
      <c r="A453" s="805"/>
      <c r="B453" s="40"/>
      <c r="C453" s="40"/>
      <c r="D453" s="40"/>
      <c r="E453" s="40"/>
      <c r="F453" s="40"/>
      <c r="G453" s="40"/>
      <c r="H453" s="40"/>
      <c r="I453" s="40"/>
      <c r="J453" s="216"/>
      <c r="K453" s="40"/>
      <c r="L453" s="40"/>
      <c r="M453" s="40"/>
      <c r="N453" s="40"/>
      <c r="O453" s="40"/>
      <c r="P453" s="40"/>
      <c r="Q453" s="40"/>
      <c r="R453" s="40"/>
      <c r="S453" s="40"/>
      <c r="T453" s="40"/>
      <c r="U453" s="40"/>
      <c r="V453" s="40"/>
      <c r="W453" s="40"/>
      <c r="X453" s="40"/>
      <c r="Y453" s="40"/>
      <c r="Z453" s="40"/>
      <c r="AA453" s="40"/>
      <c r="AB453" s="40"/>
    </row>
    <row r="454">
      <c r="A454" s="805"/>
      <c r="B454" s="40"/>
      <c r="C454" s="40"/>
      <c r="D454" s="40"/>
      <c r="E454" s="40"/>
      <c r="F454" s="40"/>
      <c r="G454" s="40"/>
      <c r="H454" s="40"/>
      <c r="I454" s="40"/>
      <c r="J454" s="216"/>
      <c r="K454" s="40"/>
      <c r="L454" s="40"/>
      <c r="M454" s="40"/>
      <c r="N454" s="40"/>
      <c r="O454" s="40"/>
      <c r="P454" s="40"/>
      <c r="Q454" s="40"/>
      <c r="R454" s="40"/>
      <c r="S454" s="40"/>
      <c r="T454" s="40"/>
      <c r="U454" s="40"/>
      <c r="V454" s="40"/>
      <c r="W454" s="40"/>
      <c r="X454" s="40"/>
      <c r="Y454" s="40"/>
      <c r="Z454" s="40"/>
      <c r="AA454" s="40"/>
      <c r="AB454" s="40"/>
    </row>
    <row r="455">
      <c r="A455" s="805"/>
      <c r="B455" s="40"/>
      <c r="C455" s="40"/>
      <c r="D455" s="40"/>
      <c r="E455" s="40"/>
      <c r="F455" s="40"/>
      <c r="G455" s="40"/>
      <c r="H455" s="40"/>
      <c r="I455" s="40"/>
      <c r="J455" s="216"/>
      <c r="K455" s="40"/>
      <c r="L455" s="40"/>
      <c r="M455" s="40"/>
      <c r="N455" s="40"/>
      <c r="O455" s="40"/>
      <c r="P455" s="40"/>
      <c r="Q455" s="40"/>
      <c r="R455" s="40"/>
      <c r="S455" s="40"/>
      <c r="T455" s="40"/>
      <c r="U455" s="40"/>
      <c r="V455" s="40"/>
      <c r="W455" s="40"/>
      <c r="X455" s="40"/>
      <c r="Y455" s="40"/>
      <c r="Z455" s="40"/>
      <c r="AA455" s="40"/>
      <c r="AB455" s="40"/>
    </row>
    <row r="456">
      <c r="A456" s="805"/>
      <c r="B456" s="40"/>
      <c r="C456" s="40"/>
      <c r="D456" s="40"/>
      <c r="E456" s="40"/>
      <c r="F456" s="40"/>
      <c r="G456" s="40"/>
      <c r="H456" s="40"/>
      <c r="I456" s="40"/>
      <c r="J456" s="216"/>
      <c r="K456" s="40"/>
      <c r="L456" s="40"/>
      <c r="M456" s="40"/>
      <c r="N456" s="40"/>
      <c r="O456" s="40"/>
      <c r="P456" s="40"/>
      <c r="Q456" s="40"/>
      <c r="R456" s="40"/>
      <c r="S456" s="40"/>
      <c r="T456" s="40"/>
      <c r="U456" s="40"/>
      <c r="V456" s="40"/>
      <c r="W456" s="40"/>
      <c r="X456" s="40"/>
      <c r="Y456" s="40"/>
      <c r="Z456" s="40"/>
      <c r="AA456" s="40"/>
      <c r="AB456" s="40"/>
    </row>
    <row r="457">
      <c r="A457" s="805"/>
      <c r="B457" s="40"/>
      <c r="C457" s="40"/>
      <c r="D457" s="40"/>
      <c r="E457" s="40"/>
      <c r="F457" s="40"/>
      <c r="G457" s="40"/>
      <c r="H457" s="40"/>
      <c r="I457" s="40"/>
      <c r="J457" s="216"/>
      <c r="K457" s="40"/>
      <c r="L457" s="40"/>
      <c r="M457" s="40"/>
      <c r="N457" s="40"/>
      <c r="O457" s="40"/>
      <c r="P457" s="40"/>
      <c r="Q457" s="40"/>
      <c r="R457" s="40"/>
      <c r="S457" s="40"/>
      <c r="T457" s="40"/>
      <c r="U457" s="40"/>
      <c r="V457" s="40"/>
      <c r="W457" s="40"/>
      <c r="X457" s="40"/>
      <c r="Y457" s="40"/>
      <c r="Z457" s="40"/>
      <c r="AA457" s="40"/>
      <c r="AB457" s="40"/>
    </row>
    <row r="458">
      <c r="A458" s="805"/>
      <c r="B458" s="40"/>
      <c r="C458" s="40"/>
      <c r="D458" s="40"/>
      <c r="E458" s="40"/>
      <c r="F458" s="40"/>
      <c r="G458" s="40"/>
      <c r="H458" s="40"/>
      <c r="I458" s="40"/>
      <c r="J458" s="216"/>
      <c r="K458" s="40"/>
      <c r="L458" s="40"/>
      <c r="M458" s="40"/>
      <c r="N458" s="40"/>
      <c r="O458" s="40"/>
      <c r="P458" s="40"/>
      <c r="Q458" s="40"/>
      <c r="R458" s="40"/>
      <c r="S458" s="40"/>
      <c r="T458" s="40"/>
      <c r="U458" s="40"/>
      <c r="V458" s="40"/>
      <c r="W458" s="40"/>
      <c r="X458" s="40"/>
      <c r="Y458" s="40"/>
      <c r="Z458" s="40"/>
      <c r="AA458" s="40"/>
      <c r="AB458" s="40"/>
    </row>
    <row r="459">
      <c r="A459" s="805"/>
      <c r="B459" s="40"/>
      <c r="C459" s="40"/>
      <c r="D459" s="40"/>
      <c r="E459" s="40"/>
      <c r="F459" s="40"/>
      <c r="G459" s="40"/>
      <c r="H459" s="40"/>
      <c r="I459" s="40"/>
      <c r="J459" s="216"/>
      <c r="K459" s="40"/>
      <c r="L459" s="40"/>
      <c r="M459" s="40"/>
      <c r="N459" s="40"/>
      <c r="O459" s="40"/>
      <c r="P459" s="40"/>
      <c r="Q459" s="40"/>
      <c r="R459" s="40"/>
      <c r="S459" s="40"/>
      <c r="T459" s="40"/>
      <c r="U459" s="40"/>
      <c r="V459" s="40"/>
      <c r="W459" s="40"/>
      <c r="X459" s="40"/>
      <c r="Y459" s="40"/>
      <c r="Z459" s="40"/>
      <c r="AA459" s="40"/>
      <c r="AB459" s="40"/>
    </row>
    <row r="460">
      <c r="A460" s="805"/>
      <c r="B460" s="40"/>
      <c r="C460" s="40"/>
      <c r="D460" s="40"/>
      <c r="E460" s="40"/>
      <c r="F460" s="40"/>
      <c r="G460" s="40"/>
      <c r="H460" s="40"/>
      <c r="I460" s="40"/>
      <c r="J460" s="216"/>
      <c r="K460" s="40"/>
      <c r="L460" s="40"/>
      <c r="M460" s="40"/>
      <c r="N460" s="40"/>
      <c r="O460" s="40"/>
      <c r="P460" s="40"/>
      <c r="Q460" s="40"/>
      <c r="R460" s="40"/>
      <c r="S460" s="40"/>
      <c r="T460" s="40"/>
      <c r="U460" s="40"/>
      <c r="V460" s="40"/>
      <c r="W460" s="40"/>
      <c r="X460" s="40"/>
      <c r="Y460" s="40"/>
      <c r="Z460" s="40"/>
      <c r="AA460" s="40"/>
      <c r="AB460" s="40"/>
    </row>
    <row r="461">
      <c r="A461" s="805"/>
      <c r="B461" s="40"/>
      <c r="C461" s="40"/>
      <c r="D461" s="40"/>
      <c r="E461" s="40"/>
      <c r="F461" s="40"/>
      <c r="G461" s="40"/>
      <c r="H461" s="40"/>
      <c r="I461" s="40"/>
      <c r="J461" s="216"/>
      <c r="K461" s="40"/>
      <c r="L461" s="40"/>
      <c r="M461" s="40"/>
      <c r="N461" s="40"/>
      <c r="O461" s="40"/>
      <c r="P461" s="40"/>
      <c r="Q461" s="40"/>
      <c r="R461" s="40"/>
      <c r="S461" s="40"/>
      <c r="T461" s="40"/>
      <c r="U461" s="40"/>
      <c r="V461" s="40"/>
      <c r="W461" s="40"/>
      <c r="X461" s="40"/>
      <c r="Y461" s="40"/>
      <c r="Z461" s="40"/>
      <c r="AA461" s="40"/>
      <c r="AB461" s="40"/>
    </row>
    <row r="462">
      <c r="A462" s="805"/>
      <c r="B462" s="40"/>
      <c r="C462" s="40"/>
      <c r="D462" s="40"/>
      <c r="E462" s="40"/>
      <c r="F462" s="40"/>
      <c r="G462" s="40"/>
      <c r="H462" s="40"/>
      <c r="I462" s="40"/>
      <c r="J462" s="216"/>
      <c r="K462" s="40"/>
      <c r="L462" s="40"/>
      <c r="M462" s="40"/>
      <c r="N462" s="40"/>
      <c r="O462" s="40"/>
      <c r="P462" s="40"/>
      <c r="Q462" s="40"/>
      <c r="R462" s="40"/>
      <c r="S462" s="40"/>
      <c r="T462" s="40"/>
      <c r="U462" s="40"/>
      <c r="V462" s="40"/>
      <c r="W462" s="40"/>
      <c r="X462" s="40"/>
      <c r="Y462" s="40"/>
      <c r="Z462" s="40"/>
      <c r="AA462" s="40"/>
      <c r="AB462" s="40"/>
    </row>
    <row r="463">
      <c r="A463" s="805"/>
      <c r="B463" s="40"/>
      <c r="C463" s="40"/>
      <c r="D463" s="40"/>
      <c r="E463" s="40"/>
      <c r="F463" s="40"/>
      <c r="G463" s="40"/>
      <c r="H463" s="40"/>
      <c r="I463" s="40"/>
      <c r="J463" s="216"/>
      <c r="K463" s="40"/>
      <c r="L463" s="40"/>
      <c r="M463" s="40"/>
      <c r="N463" s="40"/>
      <c r="O463" s="40"/>
      <c r="P463" s="40"/>
      <c r="Q463" s="40"/>
      <c r="R463" s="40"/>
      <c r="S463" s="40"/>
      <c r="T463" s="40"/>
      <c r="U463" s="40"/>
      <c r="V463" s="40"/>
      <c r="W463" s="40"/>
      <c r="X463" s="40"/>
      <c r="Y463" s="40"/>
      <c r="Z463" s="40"/>
      <c r="AA463" s="40"/>
      <c r="AB463" s="40"/>
    </row>
    <row r="464">
      <c r="A464" s="805"/>
      <c r="B464" s="40"/>
      <c r="C464" s="40"/>
      <c r="D464" s="40"/>
      <c r="E464" s="40"/>
      <c r="F464" s="40"/>
      <c r="G464" s="40"/>
      <c r="H464" s="40"/>
      <c r="I464" s="40"/>
      <c r="J464" s="216"/>
      <c r="K464" s="40"/>
      <c r="L464" s="40"/>
      <c r="M464" s="40"/>
      <c r="N464" s="40"/>
      <c r="O464" s="40"/>
      <c r="P464" s="40"/>
      <c r="Q464" s="40"/>
      <c r="R464" s="40"/>
      <c r="S464" s="40"/>
      <c r="T464" s="40"/>
      <c r="U464" s="40"/>
      <c r="V464" s="40"/>
      <c r="W464" s="40"/>
      <c r="X464" s="40"/>
      <c r="Y464" s="40"/>
      <c r="Z464" s="40"/>
      <c r="AA464" s="40"/>
      <c r="AB464" s="40"/>
    </row>
    <row r="465">
      <c r="A465" s="805"/>
      <c r="B465" s="40"/>
      <c r="C465" s="40"/>
      <c r="D465" s="40"/>
      <c r="E465" s="40"/>
      <c r="F465" s="40"/>
      <c r="G465" s="40"/>
      <c r="H465" s="40"/>
      <c r="I465" s="40"/>
      <c r="J465" s="216"/>
      <c r="K465" s="40"/>
      <c r="L465" s="40"/>
      <c r="M465" s="40"/>
      <c r="N465" s="40"/>
      <c r="O465" s="40"/>
      <c r="P465" s="40"/>
      <c r="Q465" s="40"/>
      <c r="R465" s="40"/>
      <c r="S465" s="40"/>
      <c r="T465" s="40"/>
      <c r="U465" s="40"/>
      <c r="V465" s="40"/>
      <c r="W465" s="40"/>
      <c r="X465" s="40"/>
      <c r="Y465" s="40"/>
      <c r="Z465" s="40"/>
      <c r="AA465" s="40"/>
      <c r="AB465" s="40"/>
    </row>
    <row r="466">
      <c r="A466" s="805"/>
      <c r="B466" s="40"/>
      <c r="C466" s="40"/>
      <c r="D466" s="40"/>
      <c r="E466" s="40"/>
      <c r="F466" s="40"/>
      <c r="G466" s="40"/>
      <c r="H466" s="40"/>
      <c r="I466" s="40"/>
      <c r="J466" s="216"/>
      <c r="K466" s="40"/>
      <c r="L466" s="40"/>
      <c r="M466" s="40"/>
      <c r="N466" s="40"/>
      <c r="O466" s="40"/>
      <c r="P466" s="40"/>
      <c r="Q466" s="40"/>
      <c r="R466" s="40"/>
      <c r="S466" s="40"/>
      <c r="T466" s="40"/>
      <c r="U466" s="40"/>
      <c r="V466" s="40"/>
      <c r="W466" s="40"/>
      <c r="X466" s="40"/>
      <c r="Y466" s="40"/>
      <c r="Z466" s="40"/>
      <c r="AA466" s="40"/>
      <c r="AB466" s="40"/>
    </row>
    <row r="467">
      <c r="A467" s="805"/>
      <c r="B467" s="40"/>
      <c r="C467" s="40"/>
      <c r="D467" s="40"/>
      <c r="E467" s="40"/>
      <c r="F467" s="40"/>
      <c r="G467" s="40"/>
      <c r="H467" s="40"/>
      <c r="I467" s="40"/>
      <c r="J467" s="216"/>
      <c r="K467" s="40"/>
      <c r="L467" s="40"/>
      <c r="M467" s="40"/>
      <c r="N467" s="40"/>
      <c r="O467" s="40"/>
      <c r="P467" s="40"/>
      <c r="Q467" s="40"/>
      <c r="R467" s="40"/>
      <c r="S467" s="40"/>
      <c r="T467" s="40"/>
      <c r="U467" s="40"/>
      <c r="V467" s="40"/>
      <c r="W467" s="40"/>
      <c r="X467" s="40"/>
      <c r="Y467" s="40"/>
      <c r="Z467" s="40"/>
      <c r="AA467" s="40"/>
      <c r="AB467" s="40"/>
    </row>
    <row r="468">
      <c r="A468" s="805"/>
      <c r="B468" s="40"/>
      <c r="C468" s="40"/>
      <c r="D468" s="40"/>
      <c r="E468" s="40"/>
      <c r="F468" s="40"/>
      <c r="G468" s="40"/>
      <c r="H468" s="40"/>
      <c r="I468" s="40"/>
      <c r="J468" s="216"/>
      <c r="K468" s="40"/>
      <c r="L468" s="40"/>
      <c r="M468" s="40"/>
      <c r="N468" s="40"/>
      <c r="O468" s="40"/>
      <c r="P468" s="40"/>
      <c r="Q468" s="40"/>
      <c r="R468" s="40"/>
      <c r="S468" s="40"/>
      <c r="T468" s="40"/>
      <c r="U468" s="40"/>
      <c r="V468" s="40"/>
      <c r="W468" s="40"/>
      <c r="X468" s="40"/>
      <c r="Y468" s="40"/>
      <c r="Z468" s="40"/>
      <c r="AA468" s="40"/>
      <c r="AB468" s="40"/>
    </row>
    <row r="469">
      <c r="A469" s="805"/>
      <c r="B469" s="40"/>
      <c r="C469" s="40"/>
      <c r="D469" s="40"/>
      <c r="E469" s="40"/>
      <c r="F469" s="40"/>
      <c r="G469" s="40"/>
      <c r="H469" s="40"/>
      <c r="I469" s="40"/>
      <c r="J469" s="216"/>
      <c r="K469" s="40"/>
      <c r="L469" s="40"/>
      <c r="M469" s="40"/>
      <c r="N469" s="40"/>
      <c r="O469" s="40"/>
      <c r="P469" s="40"/>
      <c r="Q469" s="40"/>
      <c r="R469" s="40"/>
      <c r="S469" s="40"/>
      <c r="T469" s="40"/>
      <c r="U469" s="40"/>
      <c r="V469" s="40"/>
      <c r="W469" s="40"/>
      <c r="X469" s="40"/>
      <c r="Y469" s="40"/>
      <c r="Z469" s="40"/>
      <c r="AA469" s="40"/>
      <c r="AB469" s="40"/>
    </row>
    <row r="470">
      <c r="A470" s="805"/>
      <c r="B470" s="40"/>
      <c r="C470" s="40"/>
      <c r="D470" s="40"/>
      <c r="E470" s="40"/>
      <c r="F470" s="40"/>
      <c r="G470" s="40"/>
      <c r="H470" s="40"/>
      <c r="I470" s="40"/>
      <c r="J470" s="216"/>
      <c r="K470" s="40"/>
      <c r="L470" s="40"/>
      <c r="M470" s="40"/>
      <c r="N470" s="40"/>
      <c r="O470" s="40"/>
      <c r="P470" s="40"/>
      <c r="Q470" s="40"/>
      <c r="R470" s="40"/>
      <c r="S470" s="40"/>
      <c r="T470" s="40"/>
      <c r="U470" s="40"/>
      <c r="V470" s="40"/>
      <c r="W470" s="40"/>
      <c r="X470" s="40"/>
      <c r="Y470" s="40"/>
      <c r="Z470" s="40"/>
      <c r="AA470" s="40"/>
      <c r="AB470" s="40"/>
    </row>
    <row r="471">
      <c r="A471" s="805"/>
      <c r="B471" s="40"/>
      <c r="C471" s="40"/>
      <c r="D471" s="40"/>
      <c r="E471" s="40"/>
      <c r="F471" s="40"/>
      <c r="G471" s="40"/>
      <c r="H471" s="40"/>
      <c r="I471" s="40"/>
      <c r="J471" s="216"/>
      <c r="K471" s="40"/>
      <c r="L471" s="40"/>
      <c r="M471" s="40"/>
      <c r="N471" s="40"/>
      <c r="O471" s="40"/>
      <c r="P471" s="40"/>
      <c r="Q471" s="40"/>
      <c r="R471" s="40"/>
      <c r="S471" s="40"/>
      <c r="T471" s="40"/>
      <c r="U471" s="40"/>
      <c r="V471" s="40"/>
      <c r="W471" s="40"/>
      <c r="X471" s="40"/>
      <c r="Y471" s="40"/>
      <c r="Z471" s="40"/>
      <c r="AA471" s="40"/>
      <c r="AB471" s="40"/>
    </row>
    <row r="472">
      <c r="A472" s="805"/>
      <c r="B472" s="40"/>
      <c r="C472" s="40"/>
      <c r="D472" s="40"/>
      <c r="E472" s="40"/>
      <c r="F472" s="40"/>
      <c r="G472" s="40"/>
      <c r="H472" s="40"/>
      <c r="I472" s="40"/>
      <c r="J472" s="216"/>
      <c r="K472" s="40"/>
      <c r="L472" s="40"/>
      <c r="M472" s="40"/>
      <c r="N472" s="40"/>
      <c r="O472" s="40"/>
      <c r="P472" s="40"/>
      <c r="Q472" s="40"/>
      <c r="R472" s="40"/>
      <c r="S472" s="40"/>
      <c r="T472" s="40"/>
      <c r="U472" s="40"/>
      <c r="V472" s="40"/>
      <c r="W472" s="40"/>
      <c r="X472" s="40"/>
      <c r="Y472" s="40"/>
      <c r="Z472" s="40"/>
      <c r="AA472" s="40"/>
      <c r="AB472" s="40"/>
    </row>
    <row r="473">
      <c r="A473" s="805"/>
      <c r="B473" s="40"/>
      <c r="C473" s="40"/>
      <c r="D473" s="40"/>
      <c r="E473" s="40"/>
      <c r="F473" s="40"/>
      <c r="G473" s="40"/>
      <c r="H473" s="40"/>
      <c r="I473" s="40"/>
      <c r="J473" s="216"/>
      <c r="K473" s="40"/>
      <c r="L473" s="40"/>
      <c r="M473" s="40"/>
      <c r="N473" s="40"/>
      <c r="O473" s="40"/>
      <c r="P473" s="40"/>
      <c r="Q473" s="40"/>
      <c r="R473" s="40"/>
      <c r="S473" s="40"/>
      <c r="T473" s="40"/>
      <c r="U473" s="40"/>
      <c r="V473" s="40"/>
      <c r="W473" s="40"/>
      <c r="X473" s="40"/>
      <c r="Y473" s="40"/>
      <c r="Z473" s="40"/>
      <c r="AA473" s="40"/>
      <c r="AB473" s="40"/>
    </row>
    <row r="474">
      <c r="A474" s="805"/>
      <c r="B474" s="40"/>
      <c r="C474" s="40"/>
      <c r="D474" s="40"/>
      <c r="E474" s="40"/>
      <c r="F474" s="40"/>
      <c r="G474" s="40"/>
      <c r="H474" s="40"/>
      <c r="I474" s="40"/>
      <c r="J474" s="216"/>
      <c r="K474" s="40"/>
      <c r="L474" s="40"/>
      <c r="M474" s="40"/>
      <c r="N474" s="40"/>
      <c r="O474" s="40"/>
      <c r="P474" s="40"/>
      <c r="Q474" s="40"/>
      <c r="R474" s="40"/>
      <c r="S474" s="40"/>
      <c r="T474" s="40"/>
      <c r="U474" s="40"/>
      <c r="V474" s="40"/>
      <c r="W474" s="40"/>
      <c r="X474" s="40"/>
      <c r="Y474" s="40"/>
      <c r="Z474" s="40"/>
      <c r="AA474" s="40"/>
      <c r="AB474" s="40"/>
    </row>
    <row r="475">
      <c r="A475" s="805"/>
      <c r="B475" s="40"/>
      <c r="C475" s="40"/>
      <c r="D475" s="40"/>
      <c r="E475" s="40"/>
      <c r="F475" s="40"/>
      <c r="G475" s="40"/>
      <c r="H475" s="40"/>
      <c r="I475" s="40"/>
      <c r="J475" s="216"/>
      <c r="K475" s="40"/>
      <c r="L475" s="40"/>
      <c r="M475" s="40"/>
      <c r="N475" s="40"/>
      <c r="O475" s="40"/>
      <c r="P475" s="40"/>
      <c r="Q475" s="40"/>
      <c r="R475" s="40"/>
      <c r="S475" s="40"/>
      <c r="T475" s="40"/>
      <c r="U475" s="40"/>
      <c r="V475" s="40"/>
      <c r="W475" s="40"/>
      <c r="X475" s="40"/>
      <c r="Y475" s="40"/>
      <c r="Z475" s="40"/>
      <c r="AA475" s="40"/>
      <c r="AB475" s="40"/>
    </row>
    <row r="476">
      <c r="A476" s="805"/>
      <c r="B476" s="40"/>
      <c r="C476" s="40"/>
      <c r="D476" s="40"/>
      <c r="E476" s="40"/>
      <c r="F476" s="40"/>
      <c r="G476" s="40"/>
      <c r="H476" s="40"/>
      <c r="I476" s="40"/>
      <c r="J476" s="216"/>
      <c r="K476" s="40"/>
      <c r="L476" s="40"/>
      <c r="M476" s="40"/>
      <c r="N476" s="40"/>
      <c r="O476" s="40"/>
      <c r="P476" s="40"/>
      <c r="Q476" s="40"/>
      <c r="R476" s="40"/>
      <c r="S476" s="40"/>
      <c r="T476" s="40"/>
      <c r="U476" s="40"/>
      <c r="V476" s="40"/>
      <c r="W476" s="40"/>
      <c r="X476" s="40"/>
      <c r="Y476" s="40"/>
      <c r="Z476" s="40"/>
      <c r="AA476" s="40"/>
      <c r="AB476" s="40"/>
    </row>
    <row r="477">
      <c r="A477" s="805"/>
      <c r="B477" s="40"/>
      <c r="C477" s="40"/>
      <c r="D477" s="40"/>
      <c r="E477" s="40"/>
      <c r="F477" s="40"/>
      <c r="G477" s="40"/>
      <c r="H477" s="40"/>
      <c r="I477" s="40"/>
      <c r="J477" s="216"/>
      <c r="K477" s="40"/>
      <c r="L477" s="40"/>
      <c r="M477" s="40"/>
      <c r="N477" s="40"/>
      <c r="O477" s="40"/>
      <c r="P477" s="40"/>
      <c r="Q477" s="40"/>
      <c r="R477" s="40"/>
      <c r="S477" s="40"/>
      <c r="T477" s="40"/>
      <c r="U477" s="40"/>
      <c r="V477" s="40"/>
      <c r="W477" s="40"/>
      <c r="X477" s="40"/>
      <c r="Y477" s="40"/>
      <c r="Z477" s="40"/>
      <c r="AA477" s="40"/>
      <c r="AB477" s="40"/>
    </row>
    <row r="478">
      <c r="A478" s="805"/>
      <c r="B478" s="40"/>
      <c r="C478" s="40"/>
      <c r="D478" s="40"/>
      <c r="E478" s="40"/>
      <c r="F478" s="40"/>
      <c r="G478" s="40"/>
      <c r="H478" s="40"/>
      <c r="I478" s="40"/>
      <c r="J478" s="216"/>
      <c r="K478" s="40"/>
      <c r="L478" s="40"/>
      <c r="M478" s="40"/>
      <c r="N478" s="40"/>
      <c r="O478" s="40"/>
      <c r="P478" s="40"/>
      <c r="Q478" s="40"/>
      <c r="R478" s="40"/>
      <c r="S478" s="40"/>
      <c r="T478" s="40"/>
      <c r="U478" s="40"/>
      <c r="V478" s="40"/>
      <c r="W478" s="40"/>
      <c r="X478" s="40"/>
      <c r="Y478" s="40"/>
      <c r="Z478" s="40"/>
      <c r="AA478" s="40"/>
      <c r="AB478" s="40"/>
    </row>
    <row r="479">
      <c r="A479" s="805"/>
      <c r="B479" s="40"/>
      <c r="C479" s="40"/>
      <c r="D479" s="40"/>
      <c r="E479" s="40"/>
      <c r="F479" s="40"/>
      <c r="G479" s="40"/>
      <c r="H479" s="40"/>
      <c r="I479" s="40"/>
      <c r="J479" s="216"/>
      <c r="K479" s="40"/>
      <c r="L479" s="40"/>
      <c r="M479" s="40"/>
      <c r="N479" s="40"/>
      <c r="O479" s="40"/>
      <c r="P479" s="40"/>
      <c r="Q479" s="40"/>
      <c r="R479" s="40"/>
      <c r="S479" s="40"/>
      <c r="T479" s="40"/>
      <c r="U479" s="40"/>
      <c r="V479" s="40"/>
      <c r="W479" s="40"/>
      <c r="X479" s="40"/>
      <c r="Y479" s="40"/>
      <c r="Z479" s="40"/>
      <c r="AA479" s="40"/>
      <c r="AB479" s="40"/>
    </row>
    <row r="480">
      <c r="A480" s="805"/>
      <c r="B480" s="40"/>
      <c r="C480" s="40"/>
      <c r="D480" s="40"/>
      <c r="E480" s="40"/>
      <c r="F480" s="40"/>
      <c r="G480" s="40"/>
      <c r="H480" s="40"/>
      <c r="I480" s="40"/>
      <c r="J480" s="216"/>
      <c r="K480" s="40"/>
      <c r="L480" s="40"/>
      <c r="M480" s="40"/>
      <c r="N480" s="40"/>
      <c r="O480" s="40"/>
      <c r="P480" s="40"/>
      <c r="Q480" s="40"/>
      <c r="R480" s="40"/>
      <c r="S480" s="40"/>
      <c r="T480" s="40"/>
      <c r="U480" s="40"/>
      <c r="V480" s="40"/>
      <c r="W480" s="40"/>
      <c r="X480" s="40"/>
      <c r="Y480" s="40"/>
      <c r="Z480" s="40"/>
      <c r="AA480" s="40"/>
      <c r="AB480" s="40"/>
    </row>
    <row r="481">
      <c r="A481" s="805"/>
      <c r="B481" s="40"/>
      <c r="C481" s="40"/>
      <c r="D481" s="40"/>
      <c r="E481" s="40"/>
      <c r="F481" s="40"/>
      <c r="G481" s="40"/>
      <c r="H481" s="40"/>
      <c r="I481" s="40"/>
      <c r="J481" s="216"/>
      <c r="K481" s="40"/>
      <c r="L481" s="40"/>
      <c r="M481" s="40"/>
      <c r="N481" s="40"/>
      <c r="O481" s="40"/>
      <c r="P481" s="40"/>
      <c r="Q481" s="40"/>
      <c r="R481" s="40"/>
      <c r="S481" s="40"/>
      <c r="T481" s="40"/>
      <c r="U481" s="40"/>
      <c r="V481" s="40"/>
      <c r="W481" s="40"/>
      <c r="X481" s="40"/>
      <c r="Y481" s="40"/>
      <c r="Z481" s="40"/>
      <c r="AA481" s="40"/>
      <c r="AB481" s="40"/>
    </row>
    <row r="482">
      <c r="A482" s="805"/>
      <c r="B482" s="40"/>
      <c r="C482" s="40"/>
      <c r="D482" s="40"/>
      <c r="E482" s="40"/>
      <c r="F482" s="40"/>
      <c r="G482" s="40"/>
      <c r="H482" s="40"/>
      <c r="I482" s="40"/>
      <c r="J482" s="216"/>
      <c r="K482" s="40"/>
      <c r="L482" s="40"/>
      <c r="M482" s="40"/>
      <c r="N482" s="40"/>
      <c r="O482" s="40"/>
      <c r="P482" s="40"/>
      <c r="Q482" s="40"/>
      <c r="R482" s="40"/>
      <c r="S482" s="40"/>
      <c r="T482" s="40"/>
      <c r="U482" s="40"/>
      <c r="V482" s="40"/>
      <c r="W482" s="40"/>
      <c r="X482" s="40"/>
      <c r="Y482" s="40"/>
      <c r="Z482" s="40"/>
      <c r="AA482" s="40"/>
      <c r="AB482" s="40"/>
    </row>
    <row r="483">
      <c r="A483" s="805"/>
      <c r="B483" s="40"/>
      <c r="C483" s="40"/>
      <c r="D483" s="40"/>
      <c r="E483" s="40"/>
      <c r="F483" s="40"/>
      <c r="G483" s="40"/>
      <c r="H483" s="40"/>
      <c r="I483" s="40"/>
      <c r="J483" s="216"/>
      <c r="K483" s="40"/>
      <c r="L483" s="40"/>
      <c r="M483" s="40"/>
      <c r="N483" s="40"/>
      <c r="O483" s="40"/>
      <c r="P483" s="40"/>
      <c r="Q483" s="40"/>
      <c r="R483" s="40"/>
      <c r="S483" s="40"/>
      <c r="T483" s="40"/>
      <c r="U483" s="40"/>
      <c r="V483" s="40"/>
      <c r="W483" s="40"/>
      <c r="X483" s="40"/>
      <c r="Y483" s="40"/>
      <c r="Z483" s="40"/>
      <c r="AA483" s="40"/>
      <c r="AB483" s="40"/>
    </row>
    <row r="484">
      <c r="A484" s="805"/>
      <c r="B484" s="40"/>
      <c r="C484" s="40"/>
      <c r="D484" s="40"/>
      <c r="E484" s="40"/>
      <c r="F484" s="40"/>
      <c r="G484" s="40"/>
      <c r="H484" s="40"/>
      <c r="I484" s="40"/>
      <c r="J484" s="216"/>
      <c r="K484" s="40"/>
      <c r="L484" s="40"/>
      <c r="M484" s="40"/>
      <c r="N484" s="40"/>
      <c r="O484" s="40"/>
      <c r="P484" s="40"/>
      <c r="Q484" s="40"/>
      <c r="R484" s="40"/>
      <c r="S484" s="40"/>
      <c r="T484" s="40"/>
      <c r="U484" s="40"/>
      <c r="V484" s="40"/>
      <c r="W484" s="40"/>
      <c r="X484" s="40"/>
      <c r="Y484" s="40"/>
      <c r="Z484" s="40"/>
      <c r="AA484" s="40"/>
      <c r="AB484" s="40"/>
    </row>
    <row r="485">
      <c r="A485" s="805"/>
      <c r="B485" s="40"/>
      <c r="C485" s="40"/>
      <c r="D485" s="40"/>
      <c r="E485" s="40"/>
      <c r="F485" s="40"/>
      <c r="G485" s="40"/>
      <c r="H485" s="40"/>
      <c r="I485" s="40"/>
      <c r="J485" s="216"/>
      <c r="K485" s="40"/>
      <c r="L485" s="40"/>
      <c r="M485" s="40"/>
      <c r="N485" s="40"/>
      <c r="O485" s="40"/>
      <c r="P485" s="40"/>
      <c r="Q485" s="40"/>
      <c r="R485" s="40"/>
      <c r="S485" s="40"/>
      <c r="T485" s="40"/>
      <c r="U485" s="40"/>
      <c r="V485" s="40"/>
      <c r="W485" s="40"/>
      <c r="X485" s="40"/>
      <c r="Y485" s="40"/>
      <c r="Z485" s="40"/>
      <c r="AA485" s="40"/>
      <c r="AB485" s="40"/>
    </row>
    <row r="486">
      <c r="A486" s="805"/>
      <c r="B486" s="40"/>
      <c r="C486" s="40"/>
      <c r="D486" s="40"/>
      <c r="E486" s="40"/>
      <c r="F486" s="40"/>
      <c r="G486" s="40"/>
      <c r="H486" s="40"/>
      <c r="I486" s="40"/>
      <c r="J486" s="216"/>
      <c r="K486" s="40"/>
      <c r="L486" s="40"/>
      <c r="M486" s="40"/>
      <c r="N486" s="40"/>
      <c r="O486" s="40"/>
      <c r="P486" s="40"/>
      <c r="Q486" s="40"/>
      <c r="R486" s="40"/>
      <c r="S486" s="40"/>
      <c r="T486" s="40"/>
      <c r="U486" s="40"/>
      <c r="V486" s="40"/>
      <c r="W486" s="40"/>
      <c r="X486" s="40"/>
      <c r="Y486" s="40"/>
      <c r="Z486" s="40"/>
      <c r="AA486" s="40"/>
      <c r="AB486" s="40"/>
    </row>
    <row r="487">
      <c r="A487" s="805"/>
      <c r="B487" s="40"/>
      <c r="C487" s="40"/>
      <c r="D487" s="40"/>
      <c r="E487" s="40"/>
      <c r="F487" s="40"/>
      <c r="G487" s="40"/>
      <c r="H487" s="40"/>
      <c r="I487" s="40"/>
      <c r="J487" s="216"/>
      <c r="K487" s="40"/>
      <c r="L487" s="40"/>
      <c r="M487" s="40"/>
      <c r="N487" s="40"/>
      <c r="O487" s="40"/>
      <c r="P487" s="40"/>
      <c r="Q487" s="40"/>
      <c r="R487" s="40"/>
      <c r="S487" s="40"/>
      <c r="T487" s="40"/>
      <c r="U487" s="40"/>
      <c r="V487" s="40"/>
      <c r="W487" s="40"/>
      <c r="X487" s="40"/>
      <c r="Y487" s="40"/>
      <c r="Z487" s="40"/>
      <c r="AA487" s="40"/>
      <c r="AB487" s="40"/>
    </row>
    <row r="488">
      <c r="A488" s="805"/>
      <c r="B488" s="40"/>
      <c r="C488" s="40"/>
      <c r="D488" s="40"/>
      <c r="E488" s="40"/>
      <c r="F488" s="40"/>
      <c r="G488" s="40"/>
      <c r="H488" s="40"/>
      <c r="I488" s="40"/>
      <c r="J488" s="216"/>
      <c r="K488" s="40"/>
      <c r="L488" s="40"/>
      <c r="M488" s="40"/>
      <c r="N488" s="40"/>
      <c r="O488" s="40"/>
      <c r="P488" s="40"/>
      <c r="Q488" s="40"/>
      <c r="R488" s="40"/>
      <c r="S488" s="40"/>
      <c r="T488" s="40"/>
      <c r="U488" s="40"/>
      <c r="V488" s="40"/>
      <c r="W488" s="40"/>
      <c r="X488" s="40"/>
      <c r="Y488" s="40"/>
      <c r="Z488" s="40"/>
      <c r="AA488" s="40"/>
      <c r="AB488" s="40"/>
    </row>
    <row r="489">
      <c r="A489" s="805"/>
      <c r="B489" s="40"/>
      <c r="C489" s="40"/>
      <c r="D489" s="40"/>
      <c r="E489" s="40"/>
      <c r="F489" s="40"/>
      <c r="G489" s="40"/>
      <c r="H489" s="40"/>
      <c r="I489" s="40"/>
      <c r="J489" s="216"/>
      <c r="K489" s="40"/>
      <c r="L489" s="40"/>
      <c r="M489" s="40"/>
      <c r="N489" s="40"/>
      <c r="O489" s="40"/>
      <c r="P489" s="40"/>
      <c r="Q489" s="40"/>
      <c r="R489" s="40"/>
      <c r="S489" s="40"/>
      <c r="T489" s="40"/>
      <c r="U489" s="40"/>
      <c r="V489" s="40"/>
      <c r="W489" s="40"/>
      <c r="X489" s="40"/>
      <c r="Y489" s="40"/>
      <c r="Z489" s="40"/>
      <c r="AA489" s="40"/>
      <c r="AB489" s="40"/>
    </row>
    <row r="490">
      <c r="A490" s="805"/>
      <c r="B490" s="40"/>
      <c r="C490" s="40"/>
      <c r="D490" s="40"/>
      <c r="E490" s="40"/>
      <c r="F490" s="40"/>
      <c r="G490" s="40"/>
      <c r="H490" s="40"/>
      <c r="I490" s="40"/>
      <c r="J490" s="216"/>
      <c r="K490" s="40"/>
      <c r="L490" s="40"/>
      <c r="M490" s="40"/>
      <c r="N490" s="40"/>
      <c r="O490" s="40"/>
      <c r="P490" s="40"/>
      <c r="Q490" s="40"/>
      <c r="R490" s="40"/>
      <c r="S490" s="40"/>
      <c r="T490" s="40"/>
      <c r="U490" s="40"/>
      <c r="V490" s="40"/>
      <c r="W490" s="40"/>
      <c r="X490" s="40"/>
      <c r="Y490" s="40"/>
      <c r="Z490" s="40"/>
      <c r="AA490" s="40"/>
      <c r="AB490" s="40"/>
    </row>
    <row r="491">
      <c r="A491" s="805"/>
      <c r="B491" s="40"/>
      <c r="C491" s="40"/>
      <c r="D491" s="40"/>
      <c r="E491" s="40"/>
      <c r="F491" s="40"/>
      <c r="G491" s="40"/>
      <c r="H491" s="40"/>
      <c r="I491" s="40"/>
      <c r="J491" s="216"/>
      <c r="K491" s="40"/>
      <c r="L491" s="40"/>
      <c r="M491" s="40"/>
      <c r="N491" s="40"/>
      <c r="O491" s="40"/>
      <c r="P491" s="40"/>
      <c r="Q491" s="40"/>
      <c r="R491" s="40"/>
      <c r="S491" s="40"/>
      <c r="T491" s="40"/>
      <c r="U491" s="40"/>
      <c r="V491" s="40"/>
      <c r="W491" s="40"/>
      <c r="X491" s="40"/>
      <c r="Y491" s="40"/>
      <c r="Z491" s="40"/>
      <c r="AA491" s="40"/>
      <c r="AB491" s="40"/>
    </row>
    <row r="492">
      <c r="A492" s="805"/>
      <c r="B492" s="40"/>
      <c r="C492" s="40"/>
      <c r="D492" s="40"/>
      <c r="E492" s="40"/>
      <c r="F492" s="40"/>
      <c r="G492" s="40"/>
      <c r="H492" s="40"/>
      <c r="I492" s="40"/>
      <c r="J492" s="216"/>
      <c r="K492" s="40"/>
      <c r="L492" s="40"/>
      <c r="M492" s="40"/>
      <c r="N492" s="40"/>
      <c r="O492" s="40"/>
      <c r="P492" s="40"/>
      <c r="Q492" s="40"/>
      <c r="R492" s="40"/>
      <c r="S492" s="40"/>
      <c r="T492" s="40"/>
      <c r="U492" s="40"/>
      <c r="V492" s="40"/>
      <c r="W492" s="40"/>
      <c r="X492" s="40"/>
      <c r="Y492" s="40"/>
      <c r="Z492" s="40"/>
      <c r="AA492" s="40"/>
      <c r="AB492" s="40"/>
    </row>
    <row r="493">
      <c r="A493" s="805"/>
      <c r="B493" s="40"/>
      <c r="C493" s="40"/>
      <c r="D493" s="40"/>
      <c r="E493" s="40"/>
      <c r="F493" s="40"/>
      <c r="G493" s="40"/>
      <c r="H493" s="40"/>
      <c r="I493" s="40"/>
      <c r="J493" s="216"/>
      <c r="K493" s="40"/>
      <c r="L493" s="40"/>
      <c r="M493" s="40"/>
      <c r="N493" s="40"/>
      <c r="O493" s="40"/>
      <c r="P493" s="40"/>
      <c r="Q493" s="40"/>
      <c r="R493" s="40"/>
      <c r="S493" s="40"/>
      <c r="T493" s="40"/>
      <c r="U493" s="40"/>
      <c r="V493" s="40"/>
      <c r="W493" s="40"/>
      <c r="X493" s="40"/>
      <c r="Y493" s="40"/>
      <c r="Z493" s="40"/>
      <c r="AA493" s="40"/>
      <c r="AB493" s="40"/>
    </row>
    <row r="494">
      <c r="A494" s="805"/>
      <c r="B494" s="40"/>
      <c r="C494" s="40"/>
      <c r="D494" s="40"/>
      <c r="E494" s="40"/>
      <c r="F494" s="40"/>
      <c r="G494" s="40"/>
      <c r="H494" s="40"/>
      <c r="I494" s="40"/>
      <c r="J494" s="216"/>
      <c r="K494" s="40"/>
      <c r="L494" s="40"/>
      <c r="M494" s="40"/>
      <c r="N494" s="40"/>
      <c r="O494" s="40"/>
      <c r="P494" s="40"/>
      <c r="Q494" s="40"/>
      <c r="R494" s="40"/>
      <c r="S494" s="40"/>
      <c r="T494" s="40"/>
      <c r="U494" s="40"/>
      <c r="V494" s="40"/>
      <c r="W494" s="40"/>
      <c r="X494" s="40"/>
      <c r="Y494" s="40"/>
      <c r="Z494" s="40"/>
      <c r="AA494" s="40"/>
      <c r="AB494" s="40"/>
    </row>
    <row r="495">
      <c r="A495" s="805"/>
      <c r="B495" s="40"/>
      <c r="C495" s="40"/>
      <c r="D495" s="40"/>
      <c r="E495" s="40"/>
      <c r="F495" s="40"/>
      <c r="G495" s="40"/>
      <c r="H495" s="40"/>
      <c r="I495" s="40"/>
      <c r="J495" s="216"/>
      <c r="K495" s="40"/>
      <c r="L495" s="40"/>
      <c r="M495" s="40"/>
      <c r="N495" s="40"/>
      <c r="O495" s="40"/>
      <c r="P495" s="40"/>
      <c r="Q495" s="40"/>
      <c r="R495" s="40"/>
      <c r="S495" s="40"/>
      <c r="T495" s="40"/>
      <c r="U495" s="40"/>
      <c r="V495" s="40"/>
      <c r="W495" s="40"/>
      <c r="X495" s="40"/>
      <c r="Y495" s="40"/>
      <c r="Z495" s="40"/>
      <c r="AA495" s="40"/>
      <c r="AB495" s="40"/>
    </row>
    <row r="496">
      <c r="A496" s="805"/>
      <c r="B496" s="40"/>
      <c r="C496" s="40"/>
      <c r="D496" s="40"/>
      <c r="E496" s="40"/>
      <c r="F496" s="40"/>
      <c r="G496" s="40"/>
      <c r="H496" s="40"/>
      <c r="I496" s="40"/>
      <c r="J496" s="216"/>
      <c r="K496" s="40"/>
      <c r="L496" s="40"/>
      <c r="M496" s="40"/>
      <c r="N496" s="40"/>
      <c r="O496" s="40"/>
      <c r="P496" s="40"/>
      <c r="Q496" s="40"/>
      <c r="R496" s="40"/>
      <c r="S496" s="40"/>
      <c r="T496" s="40"/>
      <c r="U496" s="40"/>
      <c r="V496" s="40"/>
      <c r="W496" s="40"/>
      <c r="X496" s="40"/>
      <c r="Y496" s="40"/>
      <c r="Z496" s="40"/>
      <c r="AA496" s="40"/>
      <c r="AB496" s="40"/>
    </row>
    <row r="497">
      <c r="A497" s="805"/>
      <c r="B497" s="40"/>
      <c r="C497" s="40"/>
      <c r="D497" s="40"/>
      <c r="E497" s="40"/>
      <c r="F497" s="40"/>
      <c r="G497" s="40"/>
      <c r="H497" s="40"/>
      <c r="I497" s="40"/>
      <c r="J497" s="216"/>
      <c r="K497" s="40"/>
      <c r="L497" s="40"/>
      <c r="M497" s="40"/>
      <c r="N497" s="40"/>
      <c r="O497" s="40"/>
      <c r="P497" s="40"/>
      <c r="Q497" s="40"/>
      <c r="R497" s="40"/>
      <c r="S497" s="40"/>
      <c r="T497" s="40"/>
      <c r="U497" s="40"/>
      <c r="V497" s="40"/>
      <c r="W497" s="40"/>
      <c r="X497" s="40"/>
      <c r="Y497" s="40"/>
      <c r="Z497" s="40"/>
      <c r="AA497" s="40"/>
      <c r="AB497" s="40"/>
    </row>
    <row r="498">
      <c r="A498" s="805"/>
      <c r="B498" s="40"/>
      <c r="C498" s="40"/>
      <c r="D498" s="40"/>
      <c r="E498" s="40"/>
      <c r="F498" s="40"/>
      <c r="G498" s="40"/>
      <c r="H498" s="40"/>
      <c r="I498" s="40"/>
      <c r="J498" s="216"/>
      <c r="K498" s="40"/>
      <c r="L498" s="40"/>
      <c r="M498" s="40"/>
      <c r="N498" s="40"/>
      <c r="O498" s="40"/>
      <c r="P498" s="40"/>
      <c r="Q498" s="40"/>
      <c r="R498" s="40"/>
      <c r="S498" s="40"/>
      <c r="T498" s="40"/>
      <c r="U498" s="40"/>
      <c r="V498" s="40"/>
      <c r="W498" s="40"/>
      <c r="X498" s="40"/>
      <c r="Y498" s="40"/>
      <c r="Z498" s="40"/>
      <c r="AA498" s="40"/>
      <c r="AB498" s="40"/>
    </row>
    <row r="499">
      <c r="A499" s="805"/>
      <c r="B499" s="40"/>
      <c r="C499" s="40"/>
      <c r="D499" s="40"/>
      <c r="E499" s="40"/>
      <c r="F499" s="40"/>
      <c r="G499" s="40"/>
      <c r="H499" s="40"/>
      <c r="I499" s="40"/>
      <c r="J499" s="216"/>
      <c r="K499" s="40"/>
      <c r="L499" s="40"/>
      <c r="M499" s="40"/>
      <c r="N499" s="40"/>
      <c r="O499" s="40"/>
      <c r="P499" s="40"/>
      <c r="Q499" s="40"/>
      <c r="R499" s="40"/>
      <c r="S499" s="40"/>
      <c r="T499" s="40"/>
      <c r="U499" s="40"/>
      <c r="V499" s="40"/>
      <c r="W499" s="40"/>
      <c r="X499" s="40"/>
      <c r="Y499" s="40"/>
      <c r="Z499" s="40"/>
      <c r="AA499" s="40"/>
      <c r="AB499" s="40"/>
    </row>
    <row r="500">
      <c r="A500" s="805"/>
      <c r="B500" s="40"/>
      <c r="C500" s="40"/>
      <c r="D500" s="40"/>
      <c r="E500" s="40"/>
      <c r="F500" s="40"/>
      <c r="G500" s="40"/>
      <c r="H500" s="40"/>
      <c r="I500" s="40"/>
      <c r="J500" s="216"/>
      <c r="K500" s="40"/>
      <c r="L500" s="40"/>
      <c r="M500" s="40"/>
      <c r="N500" s="40"/>
      <c r="O500" s="40"/>
      <c r="P500" s="40"/>
      <c r="Q500" s="40"/>
      <c r="R500" s="40"/>
      <c r="S500" s="40"/>
      <c r="T500" s="40"/>
      <c r="U500" s="40"/>
      <c r="V500" s="40"/>
      <c r="W500" s="40"/>
      <c r="X500" s="40"/>
      <c r="Y500" s="40"/>
      <c r="Z500" s="40"/>
      <c r="AA500" s="40"/>
      <c r="AB500" s="40"/>
    </row>
    <row r="501">
      <c r="A501" s="805"/>
      <c r="B501" s="40"/>
      <c r="C501" s="40"/>
      <c r="D501" s="40"/>
      <c r="E501" s="40"/>
      <c r="F501" s="40"/>
      <c r="G501" s="40"/>
      <c r="H501" s="40"/>
      <c r="I501" s="40"/>
      <c r="J501" s="216"/>
      <c r="K501" s="40"/>
      <c r="L501" s="40"/>
      <c r="M501" s="40"/>
      <c r="N501" s="40"/>
      <c r="O501" s="40"/>
      <c r="P501" s="40"/>
      <c r="Q501" s="40"/>
      <c r="R501" s="40"/>
      <c r="S501" s="40"/>
      <c r="T501" s="40"/>
      <c r="U501" s="40"/>
      <c r="V501" s="40"/>
      <c r="W501" s="40"/>
      <c r="X501" s="40"/>
      <c r="Y501" s="40"/>
      <c r="Z501" s="40"/>
      <c r="AA501" s="40"/>
      <c r="AB501" s="40"/>
    </row>
    <row r="502">
      <c r="A502" s="805"/>
      <c r="B502" s="40"/>
      <c r="C502" s="40"/>
      <c r="D502" s="40"/>
      <c r="E502" s="40"/>
      <c r="F502" s="40"/>
      <c r="G502" s="40"/>
      <c r="H502" s="40"/>
      <c r="I502" s="40"/>
      <c r="J502" s="216"/>
      <c r="K502" s="40"/>
      <c r="L502" s="40"/>
      <c r="M502" s="40"/>
      <c r="N502" s="40"/>
      <c r="O502" s="40"/>
      <c r="P502" s="40"/>
      <c r="Q502" s="40"/>
      <c r="R502" s="40"/>
      <c r="S502" s="40"/>
      <c r="T502" s="40"/>
      <c r="U502" s="40"/>
      <c r="V502" s="40"/>
      <c r="W502" s="40"/>
      <c r="X502" s="40"/>
      <c r="Y502" s="40"/>
      <c r="Z502" s="40"/>
      <c r="AA502" s="40"/>
      <c r="AB502" s="40"/>
    </row>
    <row r="503">
      <c r="A503" s="805"/>
      <c r="B503" s="40"/>
      <c r="C503" s="40"/>
      <c r="D503" s="40"/>
      <c r="E503" s="40"/>
      <c r="F503" s="40"/>
      <c r="G503" s="40"/>
      <c r="H503" s="40"/>
      <c r="I503" s="40"/>
      <c r="J503" s="216"/>
      <c r="K503" s="40"/>
      <c r="L503" s="40"/>
      <c r="M503" s="40"/>
      <c r="N503" s="40"/>
      <c r="O503" s="40"/>
      <c r="P503" s="40"/>
      <c r="Q503" s="40"/>
      <c r="R503" s="40"/>
      <c r="S503" s="40"/>
      <c r="T503" s="40"/>
      <c r="U503" s="40"/>
      <c r="V503" s="40"/>
      <c r="W503" s="40"/>
      <c r="X503" s="40"/>
      <c r="Y503" s="40"/>
      <c r="Z503" s="40"/>
      <c r="AA503" s="40"/>
      <c r="AB503" s="40"/>
    </row>
    <row r="504">
      <c r="A504" s="805"/>
      <c r="B504" s="40"/>
      <c r="C504" s="40"/>
      <c r="D504" s="40"/>
      <c r="E504" s="40"/>
      <c r="F504" s="40"/>
      <c r="G504" s="40"/>
      <c r="H504" s="40"/>
      <c r="I504" s="40"/>
      <c r="J504" s="216"/>
      <c r="K504" s="40"/>
      <c r="L504" s="40"/>
      <c r="M504" s="40"/>
      <c r="N504" s="40"/>
      <c r="O504" s="40"/>
      <c r="P504" s="40"/>
      <c r="Q504" s="40"/>
      <c r="R504" s="40"/>
      <c r="S504" s="40"/>
      <c r="T504" s="40"/>
      <c r="U504" s="40"/>
      <c r="V504" s="40"/>
      <c r="W504" s="40"/>
      <c r="X504" s="40"/>
      <c r="Y504" s="40"/>
      <c r="Z504" s="40"/>
      <c r="AA504" s="40"/>
      <c r="AB504" s="40"/>
    </row>
    <row r="505">
      <c r="A505" s="805"/>
      <c r="B505" s="40"/>
      <c r="C505" s="40"/>
      <c r="D505" s="40"/>
      <c r="E505" s="40"/>
      <c r="F505" s="40"/>
      <c r="G505" s="40"/>
      <c r="H505" s="40"/>
      <c r="I505" s="40"/>
      <c r="J505" s="216"/>
      <c r="K505" s="40"/>
      <c r="L505" s="40"/>
      <c r="M505" s="40"/>
      <c r="N505" s="40"/>
      <c r="O505" s="40"/>
      <c r="P505" s="40"/>
      <c r="Q505" s="40"/>
      <c r="R505" s="40"/>
      <c r="S505" s="40"/>
      <c r="T505" s="40"/>
      <c r="U505" s="40"/>
      <c r="V505" s="40"/>
      <c r="W505" s="40"/>
      <c r="X505" s="40"/>
      <c r="Y505" s="40"/>
      <c r="Z505" s="40"/>
      <c r="AA505" s="40"/>
      <c r="AB505" s="40"/>
    </row>
    <row r="506">
      <c r="A506" s="805"/>
      <c r="B506" s="40"/>
      <c r="C506" s="40"/>
      <c r="D506" s="40"/>
      <c r="E506" s="40"/>
      <c r="F506" s="40"/>
      <c r="G506" s="40"/>
      <c r="H506" s="40"/>
      <c r="I506" s="40"/>
      <c r="J506" s="216"/>
      <c r="K506" s="40"/>
      <c r="L506" s="40"/>
      <c r="M506" s="40"/>
      <c r="N506" s="40"/>
      <c r="O506" s="40"/>
      <c r="P506" s="40"/>
      <c r="Q506" s="40"/>
      <c r="R506" s="40"/>
      <c r="S506" s="40"/>
      <c r="T506" s="40"/>
      <c r="U506" s="40"/>
      <c r="V506" s="40"/>
      <c r="W506" s="40"/>
      <c r="X506" s="40"/>
      <c r="Y506" s="40"/>
      <c r="Z506" s="40"/>
      <c r="AA506" s="40"/>
      <c r="AB506" s="40"/>
    </row>
    <row r="507">
      <c r="A507" s="805"/>
      <c r="B507" s="40"/>
      <c r="C507" s="40"/>
      <c r="D507" s="40"/>
      <c r="E507" s="40"/>
      <c r="F507" s="40"/>
      <c r="G507" s="40"/>
      <c r="H507" s="40"/>
      <c r="I507" s="40"/>
      <c r="J507" s="216"/>
      <c r="K507" s="40"/>
      <c r="L507" s="40"/>
      <c r="M507" s="40"/>
      <c r="N507" s="40"/>
      <c r="O507" s="40"/>
      <c r="P507" s="40"/>
      <c r="Q507" s="40"/>
      <c r="R507" s="40"/>
      <c r="S507" s="40"/>
      <c r="T507" s="40"/>
      <c r="U507" s="40"/>
      <c r="V507" s="40"/>
      <c r="W507" s="40"/>
      <c r="X507" s="40"/>
      <c r="Y507" s="40"/>
      <c r="Z507" s="40"/>
      <c r="AA507" s="40"/>
      <c r="AB507" s="40"/>
    </row>
    <row r="508">
      <c r="A508" s="805"/>
      <c r="B508" s="40"/>
      <c r="C508" s="40"/>
      <c r="D508" s="40"/>
      <c r="E508" s="40"/>
      <c r="F508" s="40"/>
      <c r="G508" s="40"/>
      <c r="H508" s="40"/>
      <c r="I508" s="40"/>
      <c r="J508" s="216"/>
      <c r="K508" s="40"/>
      <c r="L508" s="40"/>
      <c r="M508" s="40"/>
      <c r="N508" s="40"/>
      <c r="O508" s="40"/>
      <c r="P508" s="40"/>
      <c r="Q508" s="40"/>
      <c r="R508" s="40"/>
      <c r="S508" s="40"/>
      <c r="T508" s="40"/>
      <c r="U508" s="40"/>
      <c r="V508" s="40"/>
      <c r="W508" s="40"/>
      <c r="X508" s="40"/>
      <c r="Y508" s="40"/>
      <c r="Z508" s="40"/>
      <c r="AA508" s="40"/>
      <c r="AB508" s="40"/>
    </row>
    <row r="509">
      <c r="A509" s="805"/>
      <c r="B509" s="40"/>
      <c r="C509" s="40"/>
      <c r="D509" s="40"/>
      <c r="E509" s="40"/>
      <c r="F509" s="40"/>
      <c r="G509" s="40"/>
      <c r="H509" s="40"/>
      <c r="I509" s="40"/>
      <c r="J509" s="216"/>
      <c r="K509" s="40"/>
      <c r="L509" s="40"/>
      <c r="M509" s="40"/>
      <c r="N509" s="40"/>
      <c r="O509" s="40"/>
      <c r="P509" s="40"/>
      <c r="Q509" s="40"/>
      <c r="R509" s="40"/>
      <c r="S509" s="40"/>
      <c r="T509" s="40"/>
      <c r="U509" s="40"/>
      <c r="V509" s="40"/>
      <c r="W509" s="40"/>
      <c r="X509" s="40"/>
      <c r="Y509" s="40"/>
      <c r="Z509" s="40"/>
      <c r="AA509" s="40"/>
      <c r="AB509" s="40"/>
    </row>
    <row r="510">
      <c r="A510" s="805"/>
      <c r="B510" s="40"/>
      <c r="C510" s="40"/>
      <c r="D510" s="40"/>
      <c r="E510" s="40"/>
      <c r="F510" s="40"/>
      <c r="G510" s="40"/>
      <c r="H510" s="40"/>
      <c r="I510" s="40"/>
      <c r="J510" s="216"/>
      <c r="K510" s="40"/>
      <c r="L510" s="40"/>
      <c r="M510" s="40"/>
      <c r="N510" s="40"/>
      <c r="O510" s="40"/>
      <c r="P510" s="40"/>
      <c r="Q510" s="40"/>
      <c r="R510" s="40"/>
      <c r="S510" s="40"/>
      <c r="T510" s="40"/>
      <c r="U510" s="40"/>
      <c r="V510" s="40"/>
      <c r="W510" s="40"/>
      <c r="X510" s="40"/>
      <c r="Y510" s="40"/>
      <c r="Z510" s="40"/>
      <c r="AA510" s="40"/>
      <c r="AB510" s="40"/>
    </row>
    <row r="511">
      <c r="A511" s="805"/>
      <c r="B511" s="40"/>
      <c r="C511" s="40"/>
      <c r="D511" s="40"/>
      <c r="E511" s="40"/>
      <c r="F511" s="40"/>
      <c r="G511" s="40"/>
      <c r="H511" s="40"/>
      <c r="I511" s="40"/>
      <c r="J511" s="216"/>
      <c r="K511" s="40"/>
      <c r="L511" s="40"/>
      <c r="M511" s="40"/>
      <c r="N511" s="40"/>
      <c r="O511" s="40"/>
      <c r="P511" s="40"/>
      <c r="Q511" s="40"/>
      <c r="R511" s="40"/>
      <c r="S511" s="40"/>
      <c r="T511" s="40"/>
      <c r="U511" s="40"/>
      <c r="V511" s="40"/>
      <c r="W511" s="40"/>
      <c r="X511" s="40"/>
      <c r="Y511" s="40"/>
      <c r="Z511" s="40"/>
      <c r="AA511" s="40"/>
      <c r="AB511" s="40"/>
    </row>
    <row r="512">
      <c r="A512" s="805"/>
      <c r="B512" s="40"/>
      <c r="C512" s="40"/>
      <c r="D512" s="40"/>
      <c r="E512" s="40"/>
      <c r="F512" s="40"/>
      <c r="G512" s="40"/>
      <c r="H512" s="40"/>
      <c r="I512" s="40"/>
      <c r="J512" s="216"/>
      <c r="K512" s="40"/>
      <c r="L512" s="40"/>
      <c r="M512" s="40"/>
      <c r="N512" s="40"/>
      <c r="O512" s="40"/>
      <c r="P512" s="40"/>
      <c r="Q512" s="40"/>
      <c r="R512" s="40"/>
      <c r="S512" s="40"/>
      <c r="T512" s="40"/>
      <c r="U512" s="40"/>
      <c r="V512" s="40"/>
      <c r="W512" s="40"/>
      <c r="X512" s="40"/>
      <c r="Y512" s="40"/>
      <c r="Z512" s="40"/>
      <c r="AA512" s="40"/>
      <c r="AB512" s="40"/>
    </row>
    <row r="513">
      <c r="A513" s="805"/>
      <c r="B513" s="40"/>
      <c r="C513" s="40"/>
      <c r="D513" s="40"/>
      <c r="E513" s="40"/>
      <c r="F513" s="40"/>
      <c r="G513" s="40"/>
      <c r="H513" s="40"/>
      <c r="I513" s="40"/>
      <c r="J513" s="216"/>
      <c r="K513" s="40"/>
      <c r="L513" s="40"/>
      <c r="M513" s="40"/>
      <c r="N513" s="40"/>
      <c r="O513" s="40"/>
      <c r="P513" s="40"/>
      <c r="Q513" s="40"/>
      <c r="R513" s="40"/>
      <c r="S513" s="40"/>
      <c r="T513" s="40"/>
      <c r="U513" s="40"/>
      <c r="V513" s="40"/>
      <c r="W513" s="40"/>
      <c r="X513" s="40"/>
      <c r="Y513" s="40"/>
      <c r="Z513" s="40"/>
      <c r="AA513" s="40"/>
      <c r="AB513" s="40"/>
    </row>
    <row r="514">
      <c r="A514" s="805"/>
      <c r="B514" s="40"/>
      <c r="C514" s="40"/>
      <c r="D514" s="40"/>
      <c r="E514" s="40"/>
      <c r="F514" s="40"/>
      <c r="G514" s="40"/>
      <c r="H514" s="40"/>
      <c r="I514" s="40"/>
      <c r="J514" s="216"/>
      <c r="K514" s="40"/>
      <c r="L514" s="40"/>
      <c r="M514" s="40"/>
      <c r="N514" s="40"/>
      <c r="O514" s="40"/>
      <c r="P514" s="40"/>
      <c r="Q514" s="40"/>
      <c r="R514" s="40"/>
      <c r="S514" s="40"/>
      <c r="T514" s="40"/>
      <c r="U514" s="40"/>
      <c r="V514" s="40"/>
      <c r="W514" s="40"/>
      <c r="X514" s="40"/>
      <c r="Y514" s="40"/>
      <c r="Z514" s="40"/>
      <c r="AA514" s="40"/>
      <c r="AB514" s="40"/>
    </row>
    <row r="515">
      <c r="A515" s="805"/>
      <c r="B515" s="40"/>
      <c r="C515" s="40"/>
      <c r="D515" s="40"/>
      <c r="E515" s="40"/>
      <c r="F515" s="40"/>
      <c r="G515" s="40"/>
      <c r="H515" s="40"/>
      <c r="I515" s="40"/>
      <c r="J515" s="216"/>
      <c r="K515" s="40"/>
      <c r="L515" s="40"/>
      <c r="M515" s="40"/>
      <c r="N515" s="40"/>
      <c r="O515" s="40"/>
      <c r="P515" s="40"/>
      <c r="Q515" s="40"/>
      <c r="R515" s="40"/>
      <c r="S515" s="40"/>
      <c r="T515" s="40"/>
      <c r="U515" s="40"/>
      <c r="V515" s="40"/>
      <c r="W515" s="40"/>
      <c r="X515" s="40"/>
      <c r="Y515" s="40"/>
      <c r="Z515" s="40"/>
      <c r="AA515" s="40"/>
      <c r="AB515" s="40"/>
    </row>
    <row r="516">
      <c r="A516" s="805"/>
      <c r="B516" s="40"/>
      <c r="C516" s="40"/>
      <c r="D516" s="40"/>
      <c r="E516" s="40"/>
      <c r="F516" s="40"/>
      <c r="G516" s="40"/>
      <c r="H516" s="40"/>
      <c r="I516" s="40"/>
      <c r="J516" s="216"/>
      <c r="K516" s="40"/>
      <c r="L516" s="40"/>
      <c r="M516" s="40"/>
      <c r="N516" s="40"/>
      <c r="O516" s="40"/>
      <c r="P516" s="40"/>
      <c r="Q516" s="40"/>
      <c r="R516" s="40"/>
      <c r="S516" s="40"/>
      <c r="T516" s="40"/>
      <c r="U516" s="40"/>
      <c r="V516" s="40"/>
      <c r="W516" s="40"/>
      <c r="X516" s="40"/>
      <c r="Y516" s="40"/>
      <c r="Z516" s="40"/>
      <c r="AA516" s="40"/>
      <c r="AB516" s="40"/>
    </row>
    <row r="517">
      <c r="A517" s="805"/>
      <c r="B517" s="40"/>
      <c r="C517" s="40"/>
      <c r="D517" s="40"/>
      <c r="E517" s="40"/>
      <c r="F517" s="40"/>
      <c r="G517" s="40"/>
      <c r="H517" s="40"/>
      <c r="I517" s="40"/>
      <c r="J517" s="216"/>
      <c r="K517" s="40"/>
      <c r="L517" s="40"/>
      <c r="M517" s="40"/>
      <c r="N517" s="40"/>
      <c r="O517" s="40"/>
      <c r="P517" s="40"/>
      <c r="Q517" s="40"/>
      <c r="R517" s="40"/>
      <c r="S517" s="40"/>
      <c r="T517" s="40"/>
      <c r="U517" s="40"/>
      <c r="V517" s="40"/>
      <c r="W517" s="40"/>
      <c r="X517" s="40"/>
      <c r="Y517" s="40"/>
      <c r="Z517" s="40"/>
      <c r="AA517" s="40"/>
      <c r="AB517" s="40"/>
    </row>
    <row r="518">
      <c r="A518" s="805"/>
      <c r="B518" s="40"/>
      <c r="C518" s="40"/>
      <c r="D518" s="40"/>
      <c r="E518" s="40"/>
      <c r="F518" s="40"/>
      <c r="G518" s="40"/>
      <c r="H518" s="40"/>
      <c r="I518" s="40"/>
      <c r="J518" s="216"/>
      <c r="K518" s="40"/>
      <c r="L518" s="40"/>
      <c r="M518" s="40"/>
      <c r="N518" s="40"/>
      <c r="O518" s="40"/>
      <c r="P518" s="40"/>
      <c r="Q518" s="40"/>
      <c r="R518" s="40"/>
      <c r="S518" s="40"/>
      <c r="T518" s="40"/>
      <c r="U518" s="40"/>
      <c r="V518" s="40"/>
      <c r="W518" s="40"/>
      <c r="X518" s="40"/>
      <c r="Y518" s="40"/>
      <c r="Z518" s="40"/>
      <c r="AA518" s="40"/>
      <c r="AB518" s="40"/>
    </row>
    <row r="519">
      <c r="A519" s="805"/>
      <c r="B519" s="40"/>
      <c r="C519" s="40"/>
      <c r="D519" s="40"/>
      <c r="E519" s="40"/>
      <c r="F519" s="40"/>
      <c r="G519" s="40"/>
      <c r="H519" s="40"/>
      <c r="I519" s="40"/>
      <c r="J519" s="216"/>
      <c r="K519" s="40"/>
      <c r="L519" s="40"/>
      <c r="M519" s="40"/>
      <c r="N519" s="40"/>
      <c r="O519" s="40"/>
      <c r="P519" s="40"/>
      <c r="Q519" s="40"/>
      <c r="R519" s="40"/>
      <c r="S519" s="40"/>
      <c r="T519" s="40"/>
      <c r="U519" s="40"/>
      <c r="V519" s="40"/>
      <c r="W519" s="40"/>
      <c r="X519" s="40"/>
      <c r="Y519" s="40"/>
      <c r="Z519" s="40"/>
      <c r="AA519" s="40"/>
      <c r="AB519" s="40"/>
    </row>
    <row r="520">
      <c r="A520" s="805"/>
      <c r="B520" s="40"/>
      <c r="C520" s="40"/>
      <c r="D520" s="40"/>
      <c r="E520" s="40"/>
      <c r="F520" s="40"/>
      <c r="G520" s="40"/>
      <c r="H520" s="40"/>
      <c r="I520" s="40"/>
      <c r="J520" s="216"/>
      <c r="K520" s="40"/>
      <c r="L520" s="40"/>
      <c r="M520" s="40"/>
      <c r="N520" s="40"/>
      <c r="O520" s="40"/>
      <c r="P520" s="40"/>
      <c r="Q520" s="40"/>
      <c r="R520" s="40"/>
      <c r="S520" s="40"/>
      <c r="T520" s="40"/>
      <c r="U520" s="40"/>
      <c r="V520" s="40"/>
      <c r="W520" s="40"/>
      <c r="X520" s="40"/>
      <c r="Y520" s="40"/>
      <c r="Z520" s="40"/>
      <c r="AA520" s="40"/>
      <c r="AB520" s="40"/>
    </row>
    <row r="521">
      <c r="A521" s="805"/>
      <c r="B521" s="40"/>
      <c r="C521" s="40"/>
      <c r="D521" s="40"/>
      <c r="E521" s="40"/>
      <c r="F521" s="40"/>
      <c r="G521" s="40"/>
      <c r="H521" s="40"/>
      <c r="I521" s="40"/>
      <c r="J521" s="216"/>
      <c r="K521" s="40"/>
      <c r="L521" s="40"/>
      <c r="M521" s="40"/>
      <c r="N521" s="40"/>
      <c r="O521" s="40"/>
      <c r="P521" s="40"/>
      <c r="Q521" s="40"/>
      <c r="R521" s="40"/>
      <c r="S521" s="40"/>
      <c r="T521" s="40"/>
      <c r="U521" s="40"/>
      <c r="V521" s="40"/>
      <c r="W521" s="40"/>
      <c r="X521" s="40"/>
      <c r="Y521" s="40"/>
      <c r="Z521" s="40"/>
      <c r="AA521" s="40"/>
      <c r="AB521" s="40"/>
    </row>
    <row r="522">
      <c r="A522" s="805"/>
      <c r="B522" s="40"/>
      <c r="C522" s="40"/>
      <c r="D522" s="40"/>
      <c r="E522" s="40"/>
      <c r="F522" s="40"/>
      <c r="G522" s="40"/>
      <c r="H522" s="40"/>
      <c r="I522" s="40"/>
      <c r="J522" s="216"/>
      <c r="K522" s="40"/>
      <c r="L522" s="40"/>
      <c r="M522" s="40"/>
      <c r="N522" s="40"/>
      <c r="O522" s="40"/>
      <c r="P522" s="40"/>
      <c r="Q522" s="40"/>
      <c r="R522" s="40"/>
      <c r="S522" s="40"/>
      <c r="T522" s="40"/>
      <c r="U522" s="40"/>
      <c r="V522" s="40"/>
      <c r="W522" s="40"/>
      <c r="X522" s="40"/>
      <c r="Y522" s="40"/>
      <c r="Z522" s="40"/>
      <c r="AA522" s="40"/>
      <c r="AB522" s="40"/>
    </row>
    <row r="523">
      <c r="A523" s="805"/>
      <c r="B523" s="40"/>
      <c r="C523" s="40"/>
      <c r="D523" s="40"/>
      <c r="E523" s="40"/>
      <c r="F523" s="40"/>
      <c r="G523" s="40"/>
      <c r="H523" s="40"/>
      <c r="I523" s="40"/>
      <c r="J523" s="216"/>
      <c r="K523" s="40"/>
      <c r="L523" s="40"/>
      <c r="M523" s="40"/>
      <c r="N523" s="40"/>
      <c r="O523" s="40"/>
      <c r="P523" s="40"/>
      <c r="Q523" s="40"/>
      <c r="R523" s="40"/>
      <c r="S523" s="40"/>
      <c r="T523" s="40"/>
      <c r="U523" s="40"/>
      <c r="V523" s="40"/>
      <c r="W523" s="40"/>
      <c r="X523" s="40"/>
      <c r="Y523" s="40"/>
      <c r="Z523" s="40"/>
      <c r="AA523" s="40"/>
      <c r="AB523" s="40"/>
    </row>
    <row r="524">
      <c r="A524" s="805"/>
      <c r="B524" s="40"/>
      <c r="C524" s="40"/>
      <c r="D524" s="40"/>
      <c r="E524" s="40"/>
      <c r="F524" s="40"/>
      <c r="G524" s="40"/>
      <c r="H524" s="40"/>
      <c r="I524" s="40"/>
      <c r="J524" s="216"/>
      <c r="K524" s="40"/>
      <c r="L524" s="40"/>
      <c r="M524" s="40"/>
      <c r="N524" s="40"/>
      <c r="O524" s="40"/>
      <c r="P524" s="40"/>
      <c r="Q524" s="40"/>
      <c r="R524" s="40"/>
      <c r="S524" s="40"/>
      <c r="T524" s="40"/>
      <c r="U524" s="40"/>
      <c r="V524" s="40"/>
      <c r="W524" s="40"/>
      <c r="X524" s="40"/>
      <c r="Y524" s="40"/>
      <c r="Z524" s="40"/>
      <c r="AA524" s="40"/>
      <c r="AB524" s="40"/>
    </row>
    <row r="525">
      <c r="A525" s="805"/>
      <c r="B525" s="40"/>
      <c r="C525" s="40"/>
      <c r="D525" s="40"/>
      <c r="E525" s="40"/>
      <c r="F525" s="40"/>
      <c r="G525" s="40"/>
      <c r="H525" s="40"/>
      <c r="I525" s="40"/>
      <c r="J525" s="216"/>
      <c r="K525" s="40"/>
      <c r="L525" s="40"/>
      <c r="M525" s="40"/>
      <c r="N525" s="40"/>
      <c r="O525" s="40"/>
      <c r="P525" s="40"/>
      <c r="Q525" s="40"/>
      <c r="R525" s="40"/>
      <c r="S525" s="40"/>
      <c r="T525" s="40"/>
      <c r="U525" s="40"/>
      <c r="V525" s="40"/>
      <c r="W525" s="40"/>
      <c r="X525" s="40"/>
      <c r="Y525" s="40"/>
      <c r="Z525" s="40"/>
      <c r="AA525" s="40"/>
      <c r="AB525" s="40"/>
    </row>
    <row r="526">
      <c r="A526" s="805"/>
      <c r="B526" s="40"/>
      <c r="C526" s="40"/>
      <c r="D526" s="40"/>
      <c r="E526" s="40"/>
      <c r="F526" s="40"/>
      <c r="G526" s="40"/>
      <c r="H526" s="40"/>
      <c r="I526" s="40"/>
      <c r="J526" s="216"/>
      <c r="K526" s="40"/>
      <c r="L526" s="40"/>
      <c r="M526" s="40"/>
      <c r="N526" s="40"/>
      <c r="O526" s="40"/>
      <c r="P526" s="40"/>
      <c r="Q526" s="40"/>
      <c r="R526" s="40"/>
      <c r="S526" s="40"/>
      <c r="T526" s="40"/>
      <c r="U526" s="40"/>
      <c r="V526" s="40"/>
      <c r="W526" s="40"/>
      <c r="X526" s="40"/>
      <c r="Y526" s="40"/>
      <c r="Z526" s="40"/>
      <c r="AA526" s="40"/>
      <c r="AB526" s="40"/>
    </row>
    <row r="527">
      <c r="A527" s="805"/>
      <c r="B527" s="40"/>
      <c r="C527" s="40"/>
      <c r="D527" s="40"/>
      <c r="E527" s="40"/>
      <c r="F527" s="40"/>
      <c r="G527" s="40"/>
      <c r="H527" s="40"/>
      <c r="I527" s="40"/>
      <c r="J527" s="216"/>
      <c r="K527" s="40"/>
      <c r="L527" s="40"/>
      <c r="M527" s="40"/>
      <c r="N527" s="40"/>
      <c r="O527" s="40"/>
      <c r="P527" s="40"/>
      <c r="Q527" s="40"/>
      <c r="R527" s="40"/>
      <c r="S527" s="40"/>
      <c r="T527" s="40"/>
      <c r="U527" s="40"/>
      <c r="V527" s="40"/>
      <c r="W527" s="40"/>
      <c r="X527" s="40"/>
      <c r="Y527" s="40"/>
      <c r="Z527" s="40"/>
      <c r="AA527" s="40"/>
      <c r="AB527" s="40"/>
    </row>
    <row r="528">
      <c r="A528" s="805"/>
      <c r="B528" s="40"/>
      <c r="C528" s="40"/>
      <c r="D528" s="40"/>
      <c r="E528" s="40"/>
      <c r="F528" s="40"/>
      <c r="G528" s="40"/>
      <c r="H528" s="40"/>
      <c r="I528" s="40"/>
      <c r="J528" s="216"/>
      <c r="K528" s="40"/>
      <c r="L528" s="40"/>
      <c r="M528" s="40"/>
      <c r="N528" s="40"/>
      <c r="O528" s="40"/>
      <c r="P528" s="40"/>
      <c r="Q528" s="40"/>
      <c r="R528" s="40"/>
      <c r="S528" s="40"/>
      <c r="T528" s="40"/>
      <c r="U528" s="40"/>
      <c r="V528" s="40"/>
      <c r="W528" s="40"/>
      <c r="X528" s="40"/>
      <c r="Y528" s="40"/>
      <c r="Z528" s="40"/>
      <c r="AA528" s="40"/>
      <c r="AB528" s="40"/>
    </row>
    <row r="529">
      <c r="A529" s="805"/>
      <c r="B529" s="40"/>
      <c r="C529" s="40"/>
      <c r="D529" s="40"/>
      <c r="E529" s="40"/>
      <c r="F529" s="40"/>
      <c r="G529" s="40"/>
      <c r="H529" s="40"/>
      <c r="I529" s="40"/>
      <c r="J529" s="216"/>
      <c r="K529" s="40"/>
      <c r="L529" s="40"/>
      <c r="M529" s="40"/>
      <c r="N529" s="40"/>
      <c r="O529" s="40"/>
      <c r="P529" s="40"/>
      <c r="Q529" s="40"/>
      <c r="R529" s="40"/>
      <c r="S529" s="40"/>
      <c r="T529" s="40"/>
      <c r="U529" s="40"/>
      <c r="V529" s="40"/>
      <c r="W529" s="40"/>
      <c r="X529" s="40"/>
      <c r="Y529" s="40"/>
      <c r="Z529" s="40"/>
      <c r="AA529" s="40"/>
      <c r="AB529" s="40"/>
    </row>
    <row r="530">
      <c r="A530" s="805"/>
      <c r="B530" s="40"/>
      <c r="C530" s="40"/>
      <c r="D530" s="40"/>
      <c r="E530" s="40"/>
      <c r="F530" s="40"/>
      <c r="G530" s="40"/>
      <c r="H530" s="40"/>
      <c r="I530" s="40"/>
      <c r="J530" s="216"/>
      <c r="K530" s="40"/>
      <c r="L530" s="40"/>
      <c r="M530" s="40"/>
      <c r="N530" s="40"/>
      <c r="O530" s="40"/>
      <c r="P530" s="40"/>
      <c r="Q530" s="40"/>
      <c r="R530" s="40"/>
      <c r="S530" s="40"/>
      <c r="T530" s="40"/>
      <c r="U530" s="40"/>
      <c r="V530" s="40"/>
      <c r="W530" s="40"/>
      <c r="X530" s="40"/>
      <c r="Y530" s="40"/>
      <c r="Z530" s="40"/>
      <c r="AA530" s="40"/>
      <c r="AB530" s="40"/>
    </row>
    <row r="531">
      <c r="A531" s="805"/>
      <c r="B531" s="40"/>
      <c r="C531" s="40"/>
      <c r="D531" s="40"/>
      <c r="E531" s="40"/>
      <c r="F531" s="40"/>
      <c r="G531" s="40"/>
      <c r="H531" s="40"/>
      <c r="I531" s="40"/>
      <c r="J531" s="216"/>
      <c r="K531" s="40"/>
      <c r="L531" s="40"/>
      <c r="M531" s="40"/>
      <c r="N531" s="40"/>
      <c r="O531" s="40"/>
      <c r="P531" s="40"/>
      <c r="Q531" s="40"/>
      <c r="R531" s="40"/>
      <c r="S531" s="40"/>
      <c r="T531" s="40"/>
      <c r="U531" s="40"/>
      <c r="V531" s="40"/>
      <c r="W531" s="40"/>
      <c r="X531" s="40"/>
      <c r="Y531" s="40"/>
      <c r="Z531" s="40"/>
      <c r="AA531" s="40"/>
      <c r="AB531" s="40"/>
    </row>
    <row r="532">
      <c r="A532" s="805"/>
      <c r="B532" s="40"/>
      <c r="C532" s="40"/>
      <c r="D532" s="40"/>
      <c r="E532" s="40"/>
      <c r="F532" s="40"/>
      <c r="G532" s="40"/>
      <c r="H532" s="40"/>
      <c r="I532" s="40"/>
      <c r="J532" s="216"/>
      <c r="K532" s="40"/>
      <c r="L532" s="40"/>
      <c r="M532" s="40"/>
      <c r="N532" s="40"/>
      <c r="O532" s="40"/>
      <c r="P532" s="40"/>
      <c r="Q532" s="40"/>
      <c r="R532" s="40"/>
      <c r="S532" s="40"/>
      <c r="T532" s="40"/>
      <c r="U532" s="40"/>
      <c r="V532" s="40"/>
      <c r="W532" s="40"/>
      <c r="X532" s="40"/>
      <c r="Y532" s="40"/>
      <c r="Z532" s="40"/>
      <c r="AA532" s="40"/>
      <c r="AB532" s="40"/>
    </row>
    <row r="533">
      <c r="A533" s="805"/>
      <c r="B533" s="40"/>
      <c r="C533" s="40"/>
      <c r="D533" s="40"/>
      <c r="E533" s="40"/>
      <c r="F533" s="40"/>
      <c r="G533" s="40"/>
      <c r="H533" s="40"/>
      <c r="I533" s="40"/>
      <c r="J533" s="216"/>
      <c r="K533" s="40"/>
      <c r="L533" s="40"/>
      <c r="M533" s="40"/>
      <c r="N533" s="40"/>
      <c r="O533" s="40"/>
      <c r="P533" s="40"/>
      <c r="Q533" s="40"/>
      <c r="R533" s="40"/>
      <c r="S533" s="40"/>
      <c r="T533" s="40"/>
      <c r="U533" s="40"/>
      <c r="V533" s="40"/>
      <c r="W533" s="40"/>
      <c r="X533" s="40"/>
      <c r="Y533" s="40"/>
      <c r="Z533" s="40"/>
      <c r="AA533" s="40"/>
      <c r="AB533" s="40"/>
    </row>
    <row r="534">
      <c r="A534" s="805"/>
      <c r="B534" s="40"/>
      <c r="C534" s="40"/>
      <c r="D534" s="40"/>
      <c r="E534" s="40"/>
      <c r="F534" s="40"/>
      <c r="G534" s="40"/>
      <c r="H534" s="40"/>
      <c r="I534" s="40"/>
      <c r="J534" s="216"/>
      <c r="K534" s="40"/>
      <c r="L534" s="40"/>
      <c r="M534" s="40"/>
      <c r="N534" s="40"/>
      <c r="O534" s="40"/>
      <c r="P534" s="40"/>
      <c r="Q534" s="40"/>
      <c r="R534" s="40"/>
      <c r="S534" s="40"/>
      <c r="T534" s="40"/>
      <c r="U534" s="40"/>
      <c r="V534" s="40"/>
      <c r="W534" s="40"/>
      <c r="X534" s="40"/>
      <c r="Y534" s="40"/>
      <c r="Z534" s="40"/>
      <c r="AA534" s="40"/>
      <c r="AB534" s="40"/>
    </row>
    <row r="535">
      <c r="A535" s="805"/>
      <c r="B535" s="40"/>
      <c r="C535" s="40"/>
      <c r="D535" s="40"/>
      <c r="E535" s="40"/>
      <c r="F535" s="40"/>
      <c r="G535" s="40"/>
      <c r="H535" s="40"/>
      <c r="I535" s="40"/>
      <c r="J535" s="216"/>
      <c r="K535" s="40"/>
      <c r="L535" s="40"/>
      <c r="M535" s="40"/>
      <c r="N535" s="40"/>
      <c r="O535" s="40"/>
      <c r="P535" s="40"/>
      <c r="Q535" s="40"/>
      <c r="R535" s="40"/>
      <c r="S535" s="40"/>
      <c r="T535" s="40"/>
      <c r="U535" s="40"/>
      <c r="V535" s="40"/>
      <c r="W535" s="40"/>
      <c r="X535" s="40"/>
      <c r="Y535" s="40"/>
      <c r="Z535" s="40"/>
      <c r="AA535" s="40"/>
      <c r="AB535" s="40"/>
    </row>
    <row r="536">
      <c r="A536" s="805"/>
      <c r="B536" s="40"/>
      <c r="C536" s="40"/>
      <c r="D536" s="40"/>
      <c r="E536" s="40"/>
      <c r="F536" s="40"/>
      <c r="G536" s="40"/>
      <c r="H536" s="40"/>
      <c r="I536" s="40"/>
      <c r="J536" s="216"/>
      <c r="K536" s="40"/>
      <c r="L536" s="40"/>
      <c r="M536" s="40"/>
      <c r="N536" s="40"/>
      <c r="O536" s="40"/>
      <c r="P536" s="40"/>
      <c r="Q536" s="40"/>
      <c r="R536" s="40"/>
      <c r="S536" s="40"/>
      <c r="T536" s="40"/>
      <c r="U536" s="40"/>
      <c r="V536" s="40"/>
      <c r="W536" s="40"/>
      <c r="X536" s="40"/>
      <c r="Y536" s="40"/>
      <c r="Z536" s="40"/>
      <c r="AA536" s="40"/>
      <c r="AB536" s="40"/>
    </row>
    <row r="537">
      <c r="A537" s="805"/>
      <c r="B537" s="40"/>
      <c r="C537" s="40"/>
      <c r="D537" s="40"/>
      <c r="E537" s="40"/>
      <c r="F537" s="40"/>
      <c r="G537" s="40"/>
      <c r="H537" s="40"/>
      <c r="I537" s="40"/>
      <c r="J537" s="216"/>
      <c r="K537" s="40"/>
      <c r="L537" s="40"/>
      <c r="M537" s="40"/>
      <c r="N537" s="40"/>
      <c r="O537" s="40"/>
      <c r="P537" s="40"/>
      <c r="Q537" s="40"/>
      <c r="R537" s="40"/>
      <c r="S537" s="40"/>
      <c r="T537" s="40"/>
      <c r="U537" s="40"/>
      <c r="V537" s="40"/>
      <c r="W537" s="40"/>
      <c r="X537" s="40"/>
      <c r="Y537" s="40"/>
      <c r="Z537" s="40"/>
      <c r="AA537" s="40"/>
      <c r="AB537" s="40"/>
    </row>
    <row r="538">
      <c r="A538" s="805"/>
      <c r="B538" s="40"/>
      <c r="C538" s="40"/>
      <c r="D538" s="40"/>
      <c r="E538" s="40"/>
      <c r="F538" s="40"/>
      <c r="G538" s="40"/>
      <c r="H538" s="40"/>
      <c r="I538" s="40"/>
      <c r="J538" s="216"/>
      <c r="K538" s="40"/>
      <c r="L538" s="40"/>
      <c r="M538" s="40"/>
      <c r="N538" s="40"/>
      <c r="O538" s="40"/>
      <c r="P538" s="40"/>
      <c r="Q538" s="40"/>
      <c r="R538" s="40"/>
      <c r="S538" s="40"/>
      <c r="T538" s="40"/>
      <c r="U538" s="40"/>
      <c r="V538" s="40"/>
      <c r="W538" s="40"/>
      <c r="X538" s="40"/>
      <c r="Y538" s="40"/>
      <c r="Z538" s="40"/>
      <c r="AA538" s="40"/>
      <c r="AB538" s="40"/>
    </row>
    <row r="539">
      <c r="A539" s="805"/>
      <c r="B539" s="40"/>
      <c r="C539" s="40"/>
      <c r="D539" s="40"/>
      <c r="E539" s="40"/>
      <c r="F539" s="40"/>
      <c r="G539" s="40"/>
      <c r="H539" s="40"/>
      <c r="I539" s="40"/>
      <c r="J539" s="216"/>
      <c r="K539" s="40"/>
      <c r="L539" s="40"/>
      <c r="M539" s="40"/>
      <c r="N539" s="40"/>
      <c r="O539" s="40"/>
      <c r="P539" s="40"/>
      <c r="Q539" s="40"/>
      <c r="R539" s="40"/>
      <c r="S539" s="40"/>
      <c r="T539" s="40"/>
      <c r="U539" s="40"/>
      <c r="V539" s="40"/>
      <c r="W539" s="40"/>
      <c r="X539" s="40"/>
      <c r="Y539" s="40"/>
      <c r="Z539" s="40"/>
      <c r="AA539" s="40"/>
      <c r="AB539" s="40"/>
    </row>
    <row r="540">
      <c r="A540" s="805"/>
      <c r="B540" s="40"/>
      <c r="C540" s="40"/>
      <c r="D540" s="40"/>
      <c r="E540" s="40"/>
      <c r="F540" s="40"/>
      <c r="G540" s="40"/>
      <c r="H540" s="40"/>
      <c r="I540" s="40"/>
      <c r="J540" s="216"/>
      <c r="K540" s="40"/>
      <c r="L540" s="40"/>
      <c r="M540" s="40"/>
      <c r="N540" s="40"/>
      <c r="O540" s="40"/>
      <c r="P540" s="40"/>
      <c r="Q540" s="40"/>
      <c r="R540" s="40"/>
      <c r="S540" s="40"/>
      <c r="T540" s="40"/>
      <c r="U540" s="40"/>
      <c r="V540" s="40"/>
      <c r="W540" s="40"/>
      <c r="X540" s="40"/>
      <c r="Y540" s="40"/>
      <c r="Z540" s="40"/>
      <c r="AA540" s="40"/>
      <c r="AB540" s="40"/>
    </row>
    <row r="541">
      <c r="A541" s="805"/>
      <c r="B541" s="40"/>
      <c r="C541" s="40"/>
      <c r="D541" s="40"/>
      <c r="E541" s="40"/>
      <c r="F541" s="40"/>
      <c r="G541" s="40"/>
      <c r="H541" s="40"/>
      <c r="I541" s="40"/>
      <c r="J541" s="216"/>
      <c r="K541" s="40"/>
      <c r="L541" s="40"/>
      <c r="M541" s="40"/>
      <c r="N541" s="40"/>
      <c r="O541" s="40"/>
      <c r="P541" s="40"/>
      <c r="Q541" s="40"/>
      <c r="R541" s="40"/>
      <c r="S541" s="40"/>
      <c r="T541" s="40"/>
      <c r="U541" s="40"/>
      <c r="V541" s="40"/>
      <c r="W541" s="40"/>
      <c r="X541" s="40"/>
      <c r="Y541" s="40"/>
      <c r="Z541" s="40"/>
      <c r="AA541" s="40"/>
      <c r="AB541" s="40"/>
    </row>
    <row r="542">
      <c r="A542" s="805"/>
      <c r="B542" s="40"/>
      <c r="C542" s="40"/>
      <c r="D542" s="40"/>
      <c r="E542" s="40"/>
      <c r="F542" s="40"/>
      <c r="G542" s="40"/>
      <c r="H542" s="40"/>
      <c r="I542" s="40"/>
      <c r="J542" s="216"/>
      <c r="K542" s="40"/>
      <c r="L542" s="40"/>
      <c r="M542" s="40"/>
      <c r="N542" s="40"/>
      <c r="O542" s="40"/>
      <c r="P542" s="40"/>
      <c r="Q542" s="40"/>
      <c r="R542" s="40"/>
      <c r="S542" s="40"/>
      <c r="T542" s="40"/>
      <c r="U542" s="40"/>
      <c r="V542" s="40"/>
      <c r="W542" s="40"/>
      <c r="X542" s="40"/>
      <c r="Y542" s="40"/>
      <c r="Z542" s="40"/>
      <c r="AA542" s="40"/>
      <c r="AB542" s="40"/>
    </row>
    <row r="543">
      <c r="A543" s="805"/>
      <c r="B543" s="40"/>
      <c r="C543" s="40"/>
      <c r="D543" s="40"/>
      <c r="E543" s="40"/>
      <c r="F543" s="40"/>
      <c r="G543" s="40"/>
      <c r="H543" s="40"/>
      <c r="I543" s="40"/>
      <c r="J543" s="216"/>
      <c r="K543" s="40"/>
      <c r="L543" s="40"/>
      <c r="M543" s="40"/>
      <c r="N543" s="40"/>
      <c r="O543" s="40"/>
      <c r="P543" s="40"/>
      <c r="Q543" s="40"/>
      <c r="R543" s="40"/>
      <c r="S543" s="40"/>
      <c r="T543" s="40"/>
      <c r="U543" s="40"/>
      <c r="V543" s="40"/>
      <c r="W543" s="40"/>
      <c r="X543" s="40"/>
      <c r="Y543" s="40"/>
      <c r="Z543" s="40"/>
      <c r="AA543" s="40"/>
      <c r="AB543" s="40"/>
    </row>
    <row r="544">
      <c r="A544" s="805"/>
      <c r="B544" s="40"/>
      <c r="C544" s="40"/>
      <c r="D544" s="40"/>
      <c r="E544" s="40"/>
      <c r="F544" s="40"/>
      <c r="G544" s="40"/>
      <c r="H544" s="40"/>
      <c r="I544" s="40"/>
      <c r="J544" s="216"/>
      <c r="K544" s="40"/>
      <c r="L544" s="40"/>
      <c r="M544" s="40"/>
      <c r="N544" s="40"/>
      <c r="O544" s="40"/>
      <c r="P544" s="40"/>
      <c r="Q544" s="40"/>
      <c r="R544" s="40"/>
      <c r="S544" s="40"/>
      <c r="T544" s="40"/>
      <c r="U544" s="40"/>
      <c r="V544" s="40"/>
      <c r="W544" s="40"/>
      <c r="X544" s="40"/>
      <c r="Y544" s="40"/>
      <c r="Z544" s="40"/>
      <c r="AA544" s="40"/>
      <c r="AB544" s="40"/>
    </row>
    <row r="545">
      <c r="A545" s="805"/>
      <c r="B545" s="40"/>
      <c r="C545" s="40"/>
      <c r="D545" s="40"/>
      <c r="E545" s="40"/>
      <c r="F545" s="40"/>
      <c r="G545" s="40"/>
      <c r="H545" s="40"/>
      <c r="I545" s="40"/>
      <c r="J545" s="216"/>
      <c r="K545" s="40"/>
      <c r="L545" s="40"/>
      <c r="M545" s="40"/>
      <c r="N545" s="40"/>
      <c r="O545" s="40"/>
      <c r="P545" s="40"/>
      <c r="Q545" s="40"/>
      <c r="R545" s="40"/>
      <c r="S545" s="40"/>
      <c r="T545" s="40"/>
      <c r="U545" s="40"/>
      <c r="V545" s="40"/>
      <c r="W545" s="40"/>
      <c r="X545" s="40"/>
      <c r="Y545" s="40"/>
      <c r="Z545" s="40"/>
      <c r="AA545" s="40"/>
      <c r="AB545" s="40"/>
    </row>
    <row r="546">
      <c r="A546" s="805"/>
      <c r="B546" s="40"/>
      <c r="C546" s="40"/>
      <c r="D546" s="40"/>
      <c r="E546" s="40"/>
      <c r="F546" s="40"/>
      <c r="G546" s="40"/>
      <c r="H546" s="40"/>
      <c r="I546" s="40"/>
      <c r="J546" s="216"/>
      <c r="K546" s="40"/>
      <c r="L546" s="40"/>
      <c r="M546" s="40"/>
      <c r="N546" s="40"/>
      <c r="O546" s="40"/>
      <c r="P546" s="40"/>
      <c r="Q546" s="40"/>
      <c r="R546" s="40"/>
      <c r="S546" s="40"/>
      <c r="T546" s="40"/>
      <c r="U546" s="40"/>
      <c r="V546" s="40"/>
      <c r="W546" s="40"/>
      <c r="X546" s="40"/>
      <c r="Y546" s="40"/>
      <c r="Z546" s="40"/>
      <c r="AA546" s="40"/>
      <c r="AB546" s="40"/>
    </row>
    <row r="547">
      <c r="A547" s="805"/>
      <c r="B547" s="40"/>
      <c r="C547" s="40"/>
      <c r="D547" s="40"/>
      <c r="E547" s="40"/>
      <c r="F547" s="40"/>
      <c r="G547" s="40"/>
      <c r="H547" s="40"/>
      <c r="I547" s="40"/>
      <c r="J547" s="216"/>
      <c r="K547" s="40"/>
      <c r="L547" s="40"/>
      <c r="M547" s="40"/>
      <c r="N547" s="40"/>
      <c r="O547" s="40"/>
      <c r="P547" s="40"/>
      <c r="Q547" s="40"/>
      <c r="R547" s="40"/>
      <c r="S547" s="40"/>
      <c r="T547" s="40"/>
      <c r="U547" s="40"/>
      <c r="V547" s="40"/>
      <c r="W547" s="40"/>
      <c r="X547" s="40"/>
      <c r="Y547" s="40"/>
      <c r="Z547" s="40"/>
      <c r="AA547" s="40"/>
      <c r="AB547" s="40"/>
    </row>
    <row r="548">
      <c r="A548" s="805"/>
      <c r="B548" s="40"/>
      <c r="C548" s="40"/>
      <c r="D548" s="40"/>
      <c r="E548" s="40"/>
      <c r="F548" s="40"/>
      <c r="G548" s="40"/>
      <c r="H548" s="40"/>
      <c r="I548" s="40"/>
      <c r="J548" s="216"/>
      <c r="K548" s="40"/>
      <c r="L548" s="40"/>
      <c r="M548" s="40"/>
      <c r="N548" s="40"/>
      <c r="O548" s="40"/>
      <c r="P548" s="40"/>
      <c r="Q548" s="40"/>
      <c r="R548" s="40"/>
      <c r="S548" s="40"/>
      <c r="T548" s="40"/>
      <c r="U548" s="40"/>
      <c r="V548" s="40"/>
      <c r="W548" s="40"/>
      <c r="X548" s="40"/>
      <c r="Y548" s="40"/>
      <c r="Z548" s="40"/>
      <c r="AA548" s="40"/>
      <c r="AB548" s="40"/>
    </row>
    <row r="549">
      <c r="A549" s="805"/>
      <c r="B549" s="40"/>
      <c r="C549" s="40"/>
      <c r="D549" s="40"/>
      <c r="E549" s="40"/>
      <c r="F549" s="40"/>
      <c r="G549" s="40"/>
      <c r="H549" s="40"/>
      <c r="I549" s="40"/>
      <c r="J549" s="216"/>
      <c r="K549" s="40"/>
      <c r="L549" s="40"/>
      <c r="M549" s="40"/>
      <c r="N549" s="40"/>
      <c r="O549" s="40"/>
      <c r="P549" s="40"/>
      <c r="Q549" s="40"/>
      <c r="R549" s="40"/>
      <c r="S549" s="40"/>
      <c r="T549" s="40"/>
      <c r="U549" s="40"/>
      <c r="V549" s="40"/>
      <c r="W549" s="40"/>
      <c r="X549" s="40"/>
      <c r="Y549" s="40"/>
      <c r="Z549" s="40"/>
      <c r="AA549" s="40"/>
      <c r="AB549" s="40"/>
    </row>
    <row r="550">
      <c r="A550" s="805"/>
      <c r="B550" s="40"/>
      <c r="C550" s="40"/>
      <c r="D550" s="40"/>
      <c r="E550" s="40"/>
      <c r="F550" s="40"/>
      <c r="G550" s="40"/>
      <c r="H550" s="40"/>
      <c r="I550" s="40"/>
      <c r="J550" s="216"/>
      <c r="K550" s="40"/>
      <c r="L550" s="40"/>
      <c r="M550" s="40"/>
      <c r="N550" s="40"/>
      <c r="O550" s="40"/>
      <c r="P550" s="40"/>
      <c r="Q550" s="40"/>
      <c r="R550" s="40"/>
      <c r="S550" s="40"/>
      <c r="T550" s="40"/>
      <c r="U550" s="40"/>
      <c r="V550" s="40"/>
      <c r="W550" s="40"/>
      <c r="X550" s="40"/>
      <c r="Y550" s="40"/>
      <c r="Z550" s="40"/>
      <c r="AA550" s="40"/>
      <c r="AB550" s="40"/>
    </row>
    <row r="551">
      <c r="A551" s="805"/>
      <c r="B551" s="40"/>
      <c r="C551" s="40"/>
      <c r="D551" s="40"/>
      <c r="E551" s="40"/>
      <c r="F551" s="40"/>
      <c r="G551" s="40"/>
      <c r="H551" s="40"/>
      <c r="I551" s="40"/>
      <c r="J551" s="216"/>
      <c r="K551" s="40"/>
      <c r="L551" s="40"/>
      <c r="M551" s="40"/>
      <c r="N551" s="40"/>
      <c r="O551" s="40"/>
      <c r="P551" s="40"/>
      <c r="Q551" s="40"/>
      <c r="R551" s="40"/>
      <c r="S551" s="40"/>
      <c r="T551" s="40"/>
      <c r="U551" s="40"/>
      <c r="V551" s="40"/>
      <c r="W551" s="40"/>
      <c r="X551" s="40"/>
      <c r="Y551" s="40"/>
      <c r="Z551" s="40"/>
      <c r="AA551" s="40"/>
      <c r="AB551" s="40"/>
    </row>
    <row r="552">
      <c r="A552" s="805"/>
      <c r="B552" s="40"/>
      <c r="C552" s="40"/>
      <c r="D552" s="40"/>
      <c r="E552" s="40"/>
      <c r="F552" s="40"/>
      <c r="G552" s="40"/>
      <c r="H552" s="40"/>
      <c r="I552" s="40"/>
      <c r="J552" s="216"/>
      <c r="K552" s="40"/>
      <c r="L552" s="40"/>
      <c r="M552" s="40"/>
      <c r="N552" s="40"/>
      <c r="O552" s="40"/>
      <c r="P552" s="40"/>
      <c r="Q552" s="40"/>
      <c r="R552" s="40"/>
      <c r="S552" s="40"/>
      <c r="T552" s="40"/>
      <c r="U552" s="40"/>
      <c r="V552" s="40"/>
      <c r="W552" s="40"/>
      <c r="X552" s="40"/>
      <c r="Y552" s="40"/>
      <c r="Z552" s="40"/>
      <c r="AA552" s="40"/>
      <c r="AB552" s="40"/>
    </row>
    <row r="553">
      <c r="A553" s="805"/>
      <c r="B553" s="40"/>
      <c r="C553" s="40"/>
      <c r="D553" s="40"/>
      <c r="E553" s="40"/>
      <c r="F553" s="40"/>
      <c r="G553" s="40"/>
      <c r="H553" s="40"/>
      <c r="I553" s="40"/>
      <c r="J553" s="216"/>
      <c r="K553" s="40"/>
      <c r="L553" s="40"/>
      <c r="M553" s="40"/>
      <c r="N553" s="40"/>
      <c r="O553" s="40"/>
      <c r="P553" s="40"/>
      <c r="Q553" s="40"/>
      <c r="R553" s="40"/>
      <c r="S553" s="40"/>
      <c r="T553" s="40"/>
      <c r="U553" s="40"/>
      <c r="V553" s="40"/>
      <c r="W553" s="40"/>
      <c r="X553" s="40"/>
      <c r="Y553" s="40"/>
      <c r="Z553" s="40"/>
      <c r="AA553" s="40"/>
      <c r="AB553" s="40"/>
    </row>
    <row r="554">
      <c r="A554" s="805"/>
      <c r="B554" s="40"/>
      <c r="C554" s="40"/>
      <c r="D554" s="40"/>
      <c r="E554" s="40"/>
      <c r="F554" s="40"/>
      <c r="G554" s="40"/>
      <c r="H554" s="40"/>
      <c r="I554" s="40"/>
      <c r="J554" s="216"/>
      <c r="K554" s="40"/>
      <c r="L554" s="40"/>
      <c r="M554" s="40"/>
      <c r="N554" s="40"/>
      <c r="O554" s="40"/>
      <c r="P554" s="40"/>
      <c r="Q554" s="40"/>
      <c r="R554" s="40"/>
      <c r="S554" s="40"/>
      <c r="T554" s="40"/>
      <c r="U554" s="40"/>
      <c r="V554" s="40"/>
      <c r="W554" s="40"/>
      <c r="X554" s="40"/>
      <c r="Y554" s="40"/>
      <c r="Z554" s="40"/>
      <c r="AA554" s="40"/>
      <c r="AB554" s="40"/>
    </row>
    <row r="555">
      <c r="A555" s="805"/>
      <c r="B555" s="40"/>
      <c r="C555" s="40"/>
      <c r="D555" s="40"/>
      <c r="E555" s="40"/>
      <c r="F555" s="40"/>
      <c r="G555" s="40"/>
      <c r="H555" s="40"/>
      <c r="I555" s="40"/>
      <c r="J555" s="216"/>
      <c r="K555" s="40"/>
      <c r="L555" s="40"/>
      <c r="M555" s="40"/>
      <c r="N555" s="40"/>
      <c r="O555" s="40"/>
      <c r="P555" s="40"/>
      <c r="Q555" s="40"/>
      <c r="R555" s="40"/>
      <c r="S555" s="40"/>
      <c r="T555" s="40"/>
      <c r="U555" s="40"/>
      <c r="V555" s="40"/>
      <c r="W555" s="40"/>
      <c r="X555" s="40"/>
      <c r="Y555" s="40"/>
      <c r="Z555" s="40"/>
      <c r="AA555" s="40"/>
      <c r="AB555" s="40"/>
    </row>
    <row r="556">
      <c r="A556" s="805"/>
      <c r="B556" s="40"/>
      <c r="C556" s="40"/>
      <c r="D556" s="40"/>
      <c r="E556" s="40"/>
      <c r="F556" s="40"/>
      <c r="G556" s="40"/>
      <c r="H556" s="40"/>
      <c r="I556" s="40"/>
      <c r="J556" s="216"/>
      <c r="K556" s="40"/>
      <c r="L556" s="40"/>
      <c r="M556" s="40"/>
      <c r="N556" s="40"/>
      <c r="O556" s="40"/>
      <c r="P556" s="40"/>
      <c r="Q556" s="40"/>
      <c r="R556" s="40"/>
      <c r="S556" s="40"/>
      <c r="T556" s="40"/>
      <c r="U556" s="40"/>
      <c r="V556" s="40"/>
      <c r="W556" s="40"/>
      <c r="X556" s="40"/>
      <c r="Y556" s="40"/>
      <c r="Z556" s="40"/>
      <c r="AA556" s="40"/>
      <c r="AB556" s="40"/>
    </row>
    <row r="557">
      <c r="A557" s="805"/>
      <c r="B557" s="40"/>
      <c r="C557" s="40"/>
      <c r="D557" s="40"/>
      <c r="E557" s="40"/>
      <c r="F557" s="40"/>
      <c r="G557" s="40"/>
      <c r="H557" s="40"/>
      <c r="I557" s="40"/>
      <c r="J557" s="216"/>
      <c r="K557" s="40"/>
      <c r="L557" s="40"/>
      <c r="M557" s="40"/>
      <c r="N557" s="40"/>
      <c r="O557" s="40"/>
      <c r="P557" s="40"/>
      <c r="Q557" s="40"/>
      <c r="R557" s="40"/>
      <c r="S557" s="40"/>
      <c r="T557" s="40"/>
      <c r="U557" s="40"/>
      <c r="V557" s="40"/>
      <c r="W557" s="40"/>
      <c r="X557" s="40"/>
      <c r="Y557" s="40"/>
      <c r="Z557" s="40"/>
      <c r="AA557" s="40"/>
      <c r="AB557" s="40"/>
    </row>
    <row r="558">
      <c r="A558" s="805"/>
      <c r="B558" s="40"/>
      <c r="C558" s="40"/>
      <c r="D558" s="40"/>
      <c r="E558" s="40"/>
      <c r="F558" s="40"/>
      <c r="G558" s="40"/>
      <c r="H558" s="40"/>
      <c r="I558" s="40"/>
      <c r="J558" s="216"/>
      <c r="K558" s="40"/>
      <c r="L558" s="40"/>
      <c r="M558" s="40"/>
      <c r="N558" s="40"/>
      <c r="O558" s="40"/>
      <c r="P558" s="40"/>
      <c r="Q558" s="40"/>
      <c r="R558" s="40"/>
      <c r="S558" s="40"/>
      <c r="T558" s="40"/>
      <c r="U558" s="40"/>
      <c r="V558" s="40"/>
      <c r="W558" s="40"/>
      <c r="X558" s="40"/>
      <c r="Y558" s="40"/>
      <c r="Z558" s="40"/>
      <c r="AA558" s="40"/>
      <c r="AB558" s="40"/>
    </row>
    <row r="559">
      <c r="A559" s="805"/>
      <c r="B559" s="40"/>
      <c r="C559" s="40"/>
      <c r="D559" s="40"/>
      <c r="E559" s="40"/>
      <c r="F559" s="40"/>
      <c r="G559" s="40"/>
      <c r="H559" s="40"/>
      <c r="I559" s="40"/>
      <c r="J559" s="216"/>
      <c r="K559" s="40"/>
      <c r="L559" s="40"/>
      <c r="M559" s="40"/>
      <c r="N559" s="40"/>
      <c r="O559" s="40"/>
      <c r="P559" s="40"/>
      <c r="Q559" s="40"/>
      <c r="R559" s="40"/>
      <c r="S559" s="40"/>
      <c r="T559" s="40"/>
      <c r="U559" s="40"/>
      <c r="V559" s="40"/>
      <c r="W559" s="40"/>
      <c r="X559" s="40"/>
      <c r="Y559" s="40"/>
      <c r="Z559" s="40"/>
      <c r="AA559" s="40"/>
      <c r="AB559" s="40"/>
    </row>
    <row r="560">
      <c r="A560" s="805"/>
      <c r="B560" s="40"/>
      <c r="C560" s="40"/>
      <c r="D560" s="40"/>
      <c r="E560" s="40"/>
      <c r="F560" s="40"/>
      <c r="G560" s="40"/>
      <c r="H560" s="40"/>
      <c r="I560" s="40"/>
      <c r="J560" s="216"/>
      <c r="K560" s="40"/>
      <c r="L560" s="40"/>
      <c r="M560" s="40"/>
      <c r="N560" s="40"/>
      <c r="O560" s="40"/>
      <c r="P560" s="40"/>
      <c r="Q560" s="40"/>
      <c r="R560" s="40"/>
      <c r="S560" s="40"/>
      <c r="T560" s="40"/>
      <c r="U560" s="40"/>
      <c r="V560" s="40"/>
      <c r="W560" s="40"/>
      <c r="X560" s="40"/>
      <c r="Y560" s="40"/>
      <c r="Z560" s="40"/>
      <c r="AA560" s="40"/>
      <c r="AB560" s="40"/>
    </row>
    <row r="561">
      <c r="A561" s="805"/>
      <c r="B561" s="40"/>
      <c r="C561" s="40"/>
      <c r="D561" s="40"/>
      <c r="E561" s="40"/>
      <c r="F561" s="40"/>
      <c r="G561" s="40"/>
      <c r="H561" s="40"/>
      <c r="I561" s="40"/>
      <c r="J561" s="216"/>
      <c r="K561" s="40"/>
      <c r="L561" s="40"/>
      <c r="M561" s="40"/>
      <c r="N561" s="40"/>
      <c r="O561" s="40"/>
      <c r="P561" s="40"/>
      <c r="Q561" s="40"/>
      <c r="R561" s="40"/>
      <c r="S561" s="40"/>
      <c r="T561" s="40"/>
      <c r="U561" s="40"/>
      <c r="V561" s="40"/>
      <c r="W561" s="40"/>
      <c r="X561" s="40"/>
      <c r="Y561" s="40"/>
      <c r="Z561" s="40"/>
      <c r="AA561" s="40"/>
      <c r="AB561" s="40"/>
    </row>
    <row r="562">
      <c r="A562" s="805"/>
      <c r="B562" s="40"/>
      <c r="C562" s="40"/>
      <c r="D562" s="40"/>
      <c r="E562" s="40"/>
      <c r="F562" s="40"/>
      <c r="G562" s="40"/>
      <c r="H562" s="40"/>
      <c r="I562" s="40"/>
      <c r="J562" s="216"/>
      <c r="K562" s="40"/>
      <c r="L562" s="40"/>
      <c r="M562" s="40"/>
      <c r="N562" s="40"/>
      <c r="O562" s="40"/>
      <c r="P562" s="40"/>
      <c r="Q562" s="40"/>
      <c r="R562" s="40"/>
      <c r="S562" s="40"/>
      <c r="T562" s="40"/>
      <c r="U562" s="40"/>
      <c r="V562" s="40"/>
      <c r="W562" s="40"/>
      <c r="X562" s="40"/>
      <c r="Y562" s="40"/>
      <c r="Z562" s="40"/>
      <c r="AA562" s="40"/>
      <c r="AB562" s="40"/>
    </row>
    <row r="563">
      <c r="A563" s="805"/>
      <c r="B563" s="40"/>
      <c r="C563" s="40"/>
      <c r="D563" s="40"/>
      <c r="E563" s="40"/>
      <c r="F563" s="40"/>
      <c r="G563" s="40"/>
      <c r="H563" s="40"/>
      <c r="I563" s="40"/>
      <c r="J563" s="216"/>
      <c r="K563" s="40"/>
      <c r="L563" s="40"/>
      <c r="M563" s="40"/>
      <c r="N563" s="40"/>
      <c r="O563" s="40"/>
      <c r="P563" s="40"/>
      <c r="Q563" s="40"/>
      <c r="R563" s="40"/>
      <c r="S563" s="40"/>
      <c r="T563" s="40"/>
      <c r="U563" s="40"/>
      <c r="V563" s="40"/>
      <c r="W563" s="40"/>
      <c r="X563" s="40"/>
      <c r="Y563" s="40"/>
      <c r="Z563" s="40"/>
      <c r="AA563" s="40"/>
      <c r="AB563" s="40"/>
    </row>
    <row r="564">
      <c r="A564" s="805"/>
      <c r="B564" s="40"/>
      <c r="C564" s="40"/>
      <c r="D564" s="40"/>
      <c r="E564" s="40"/>
      <c r="F564" s="40"/>
      <c r="G564" s="40"/>
      <c r="H564" s="40"/>
      <c r="I564" s="40"/>
      <c r="J564" s="216"/>
      <c r="K564" s="40"/>
      <c r="L564" s="40"/>
      <c r="M564" s="40"/>
      <c r="N564" s="40"/>
      <c r="O564" s="40"/>
      <c r="P564" s="40"/>
      <c r="Q564" s="40"/>
      <c r="R564" s="40"/>
      <c r="S564" s="40"/>
      <c r="T564" s="40"/>
      <c r="U564" s="40"/>
      <c r="V564" s="40"/>
      <c r="W564" s="40"/>
      <c r="X564" s="40"/>
      <c r="Y564" s="40"/>
      <c r="Z564" s="40"/>
      <c r="AA564" s="40"/>
      <c r="AB564" s="40"/>
    </row>
    <row r="565">
      <c r="A565" s="805"/>
      <c r="B565" s="40"/>
      <c r="C565" s="40"/>
      <c r="D565" s="40"/>
      <c r="E565" s="40"/>
      <c r="F565" s="40"/>
      <c r="G565" s="40"/>
      <c r="H565" s="40"/>
      <c r="I565" s="40"/>
      <c r="J565" s="216"/>
      <c r="K565" s="40"/>
      <c r="L565" s="40"/>
      <c r="M565" s="40"/>
      <c r="N565" s="40"/>
      <c r="O565" s="40"/>
      <c r="P565" s="40"/>
      <c r="Q565" s="40"/>
      <c r="R565" s="40"/>
      <c r="S565" s="40"/>
      <c r="T565" s="40"/>
      <c r="U565" s="40"/>
      <c r="V565" s="40"/>
      <c r="W565" s="40"/>
      <c r="X565" s="40"/>
      <c r="Y565" s="40"/>
      <c r="Z565" s="40"/>
      <c r="AA565" s="40"/>
      <c r="AB565" s="40"/>
    </row>
    <row r="566">
      <c r="A566" s="805"/>
      <c r="B566" s="40"/>
      <c r="C566" s="40"/>
      <c r="D566" s="40"/>
      <c r="E566" s="40"/>
      <c r="F566" s="40"/>
      <c r="G566" s="40"/>
      <c r="H566" s="40"/>
      <c r="I566" s="40"/>
      <c r="J566" s="216"/>
      <c r="K566" s="40"/>
      <c r="L566" s="40"/>
      <c r="M566" s="40"/>
      <c r="N566" s="40"/>
      <c r="O566" s="40"/>
      <c r="P566" s="40"/>
      <c r="Q566" s="40"/>
      <c r="R566" s="40"/>
      <c r="S566" s="40"/>
      <c r="T566" s="40"/>
      <c r="U566" s="40"/>
      <c r="V566" s="40"/>
      <c r="W566" s="40"/>
      <c r="X566" s="40"/>
      <c r="Y566" s="40"/>
      <c r="Z566" s="40"/>
      <c r="AA566" s="40"/>
      <c r="AB566" s="40"/>
    </row>
    <row r="567">
      <c r="A567" s="805"/>
      <c r="B567" s="40"/>
      <c r="C567" s="40"/>
      <c r="D567" s="40"/>
      <c r="E567" s="40"/>
      <c r="F567" s="40"/>
      <c r="G567" s="40"/>
      <c r="H567" s="40"/>
      <c r="I567" s="40"/>
      <c r="J567" s="216"/>
      <c r="K567" s="40"/>
      <c r="L567" s="40"/>
      <c r="M567" s="40"/>
      <c r="N567" s="40"/>
      <c r="O567" s="40"/>
      <c r="P567" s="40"/>
      <c r="Q567" s="40"/>
      <c r="R567" s="40"/>
      <c r="S567" s="40"/>
      <c r="T567" s="40"/>
      <c r="U567" s="40"/>
      <c r="V567" s="40"/>
      <c r="W567" s="40"/>
      <c r="X567" s="40"/>
      <c r="Y567" s="40"/>
      <c r="Z567" s="40"/>
      <c r="AA567" s="40"/>
      <c r="AB567" s="40"/>
    </row>
    <row r="568">
      <c r="A568" s="805"/>
      <c r="B568" s="40"/>
      <c r="C568" s="40"/>
      <c r="D568" s="40"/>
      <c r="E568" s="40"/>
      <c r="F568" s="40"/>
      <c r="G568" s="40"/>
      <c r="H568" s="40"/>
      <c r="I568" s="40"/>
      <c r="J568" s="216"/>
      <c r="K568" s="40"/>
      <c r="L568" s="40"/>
      <c r="M568" s="40"/>
      <c r="N568" s="40"/>
      <c r="O568" s="40"/>
      <c r="P568" s="40"/>
      <c r="Q568" s="40"/>
      <c r="R568" s="40"/>
      <c r="S568" s="40"/>
      <c r="T568" s="40"/>
      <c r="U568" s="40"/>
      <c r="V568" s="40"/>
      <c r="W568" s="40"/>
      <c r="X568" s="40"/>
      <c r="Y568" s="40"/>
      <c r="Z568" s="40"/>
      <c r="AA568" s="40"/>
      <c r="AB568" s="40"/>
    </row>
    <row r="569">
      <c r="A569" s="805"/>
      <c r="B569" s="40"/>
      <c r="C569" s="40"/>
      <c r="D569" s="40"/>
      <c r="E569" s="40"/>
      <c r="F569" s="40"/>
      <c r="G569" s="40"/>
      <c r="H569" s="40"/>
      <c r="I569" s="40"/>
      <c r="J569" s="216"/>
      <c r="K569" s="40"/>
      <c r="L569" s="40"/>
      <c r="M569" s="40"/>
      <c r="N569" s="40"/>
      <c r="O569" s="40"/>
      <c r="P569" s="40"/>
      <c r="Q569" s="40"/>
      <c r="R569" s="40"/>
      <c r="S569" s="40"/>
      <c r="T569" s="40"/>
      <c r="U569" s="40"/>
      <c r="V569" s="40"/>
      <c r="W569" s="40"/>
      <c r="X569" s="40"/>
      <c r="Y569" s="40"/>
      <c r="Z569" s="40"/>
      <c r="AA569" s="40"/>
      <c r="AB569" s="40"/>
    </row>
    <row r="570">
      <c r="A570" s="805"/>
      <c r="B570" s="40"/>
      <c r="C570" s="40"/>
      <c r="D570" s="40"/>
      <c r="E570" s="40"/>
      <c r="F570" s="40"/>
      <c r="G570" s="40"/>
      <c r="H570" s="40"/>
      <c r="I570" s="40"/>
      <c r="J570" s="216"/>
      <c r="K570" s="40"/>
      <c r="L570" s="40"/>
      <c r="M570" s="40"/>
      <c r="N570" s="40"/>
      <c r="O570" s="40"/>
      <c r="P570" s="40"/>
      <c r="Q570" s="40"/>
      <c r="R570" s="40"/>
      <c r="S570" s="40"/>
      <c r="T570" s="40"/>
      <c r="U570" s="40"/>
      <c r="V570" s="40"/>
      <c r="W570" s="40"/>
      <c r="X570" s="40"/>
      <c r="Y570" s="40"/>
      <c r="Z570" s="40"/>
      <c r="AA570" s="40"/>
      <c r="AB570" s="40"/>
    </row>
    <row r="571">
      <c r="A571" s="805"/>
      <c r="B571" s="40"/>
      <c r="C571" s="40"/>
      <c r="D571" s="40"/>
      <c r="E571" s="40"/>
      <c r="F571" s="40"/>
      <c r="G571" s="40"/>
      <c r="H571" s="40"/>
      <c r="I571" s="40"/>
      <c r="J571" s="216"/>
      <c r="K571" s="40"/>
      <c r="L571" s="40"/>
      <c r="M571" s="40"/>
      <c r="N571" s="40"/>
      <c r="O571" s="40"/>
      <c r="P571" s="40"/>
      <c r="Q571" s="40"/>
      <c r="R571" s="40"/>
      <c r="S571" s="40"/>
      <c r="T571" s="40"/>
      <c r="U571" s="40"/>
      <c r="V571" s="40"/>
      <c r="W571" s="40"/>
      <c r="X571" s="40"/>
      <c r="Y571" s="40"/>
      <c r="Z571" s="40"/>
      <c r="AA571" s="40"/>
      <c r="AB571" s="40"/>
    </row>
    <row r="572">
      <c r="A572" s="805"/>
      <c r="B572" s="40"/>
      <c r="C572" s="40"/>
      <c r="D572" s="40"/>
      <c r="E572" s="40"/>
      <c r="F572" s="40"/>
      <c r="G572" s="40"/>
      <c r="H572" s="40"/>
      <c r="I572" s="40"/>
      <c r="J572" s="216"/>
      <c r="K572" s="40"/>
      <c r="L572" s="40"/>
      <c r="M572" s="40"/>
      <c r="N572" s="40"/>
      <c r="O572" s="40"/>
      <c r="P572" s="40"/>
      <c r="Q572" s="40"/>
      <c r="R572" s="40"/>
      <c r="S572" s="40"/>
      <c r="T572" s="40"/>
      <c r="U572" s="40"/>
      <c r="V572" s="40"/>
      <c r="W572" s="40"/>
      <c r="X572" s="40"/>
      <c r="Y572" s="40"/>
      <c r="Z572" s="40"/>
      <c r="AA572" s="40"/>
      <c r="AB572" s="40"/>
    </row>
    <row r="573">
      <c r="A573" s="805"/>
      <c r="B573" s="40"/>
      <c r="C573" s="40"/>
      <c r="D573" s="40"/>
      <c r="E573" s="40"/>
      <c r="F573" s="40"/>
      <c r="G573" s="40"/>
      <c r="H573" s="40"/>
      <c r="I573" s="40"/>
      <c r="J573" s="216"/>
      <c r="K573" s="40"/>
      <c r="L573" s="40"/>
      <c r="M573" s="40"/>
      <c r="N573" s="40"/>
      <c r="O573" s="40"/>
      <c r="P573" s="40"/>
      <c r="Q573" s="40"/>
      <c r="R573" s="40"/>
      <c r="S573" s="40"/>
      <c r="T573" s="40"/>
      <c r="U573" s="40"/>
      <c r="V573" s="40"/>
      <c r="W573" s="40"/>
      <c r="X573" s="40"/>
      <c r="Y573" s="40"/>
      <c r="Z573" s="40"/>
      <c r="AA573" s="40"/>
      <c r="AB573" s="40"/>
    </row>
    <row r="574">
      <c r="A574" s="805"/>
      <c r="B574" s="40"/>
      <c r="C574" s="40"/>
      <c r="D574" s="40"/>
      <c r="E574" s="40"/>
      <c r="F574" s="40"/>
      <c r="G574" s="40"/>
      <c r="H574" s="40"/>
      <c r="I574" s="40"/>
      <c r="J574" s="216"/>
      <c r="K574" s="40"/>
      <c r="L574" s="40"/>
      <c r="M574" s="40"/>
      <c r="N574" s="40"/>
      <c r="O574" s="40"/>
      <c r="P574" s="40"/>
      <c r="Q574" s="40"/>
      <c r="R574" s="40"/>
      <c r="S574" s="40"/>
      <c r="T574" s="40"/>
      <c r="U574" s="40"/>
      <c r="V574" s="40"/>
      <c r="W574" s="40"/>
      <c r="X574" s="40"/>
      <c r="Y574" s="40"/>
      <c r="Z574" s="40"/>
      <c r="AA574" s="40"/>
      <c r="AB574" s="40"/>
    </row>
    <row r="575">
      <c r="A575" s="805"/>
      <c r="B575" s="40"/>
      <c r="C575" s="40"/>
      <c r="D575" s="40"/>
      <c r="E575" s="40"/>
      <c r="F575" s="40"/>
      <c r="G575" s="40"/>
      <c r="H575" s="40"/>
      <c r="I575" s="40"/>
      <c r="J575" s="216"/>
      <c r="K575" s="40"/>
      <c r="L575" s="40"/>
      <c r="M575" s="40"/>
      <c r="N575" s="40"/>
      <c r="O575" s="40"/>
      <c r="P575" s="40"/>
      <c r="Q575" s="40"/>
      <c r="R575" s="40"/>
      <c r="S575" s="40"/>
      <c r="T575" s="40"/>
      <c r="U575" s="40"/>
      <c r="V575" s="40"/>
      <c r="W575" s="40"/>
      <c r="X575" s="40"/>
      <c r="Y575" s="40"/>
      <c r="Z575" s="40"/>
      <c r="AA575" s="40"/>
      <c r="AB575" s="40"/>
    </row>
    <row r="576">
      <c r="A576" s="805"/>
      <c r="B576" s="40"/>
      <c r="C576" s="40"/>
      <c r="D576" s="40"/>
      <c r="E576" s="40"/>
      <c r="F576" s="40"/>
      <c r="G576" s="40"/>
      <c r="H576" s="40"/>
      <c r="I576" s="40"/>
      <c r="J576" s="216"/>
      <c r="K576" s="40"/>
      <c r="L576" s="40"/>
      <c r="M576" s="40"/>
      <c r="N576" s="40"/>
      <c r="O576" s="40"/>
      <c r="P576" s="40"/>
      <c r="Q576" s="40"/>
      <c r="R576" s="40"/>
      <c r="S576" s="40"/>
      <c r="T576" s="40"/>
      <c r="U576" s="40"/>
      <c r="V576" s="40"/>
      <c r="W576" s="40"/>
      <c r="X576" s="40"/>
      <c r="Y576" s="40"/>
      <c r="Z576" s="40"/>
      <c r="AA576" s="40"/>
      <c r="AB576" s="40"/>
    </row>
    <row r="577">
      <c r="A577" s="805"/>
      <c r="B577" s="40"/>
      <c r="C577" s="40"/>
      <c r="D577" s="40"/>
      <c r="E577" s="40"/>
      <c r="F577" s="40"/>
      <c r="G577" s="40"/>
      <c r="H577" s="40"/>
      <c r="I577" s="40"/>
      <c r="J577" s="216"/>
      <c r="K577" s="40"/>
      <c r="L577" s="40"/>
      <c r="M577" s="40"/>
      <c r="N577" s="40"/>
      <c r="O577" s="40"/>
      <c r="P577" s="40"/>
      <c r="Q577" s="40"/>
      <c r="R577" s="40"/>
      <c r="S577" s="40"/>
      <c r="T577" s="40"/>
      <c r="U577" s="40"/>
      <c r="V577" s="40"/>
      <c r="W577" s="40"/>
      <c r="X577" s="40"/>
      <c r="Y577" s="40"/>
      <c r="Z577" s="40"/>
      <c r="AA577" s="40"/>
      <c r="AB577" s="40"/>
    </row>
    <row r="578">
      <c r="A578" s="805"/>
      <c r="B578" s="40"/>
      <c r="C578" s="40"/>
      <c r="D578" s="40"/>
      <c r="E578" s="40"/>
      <c r="F578" s="40"/>
      <c r="G578" s="40"/>
      <c r="H578" s="40"/>
      <c r="I578" s="40"/>
      <c r="J578" s="216"/>
      <c r="K578" s="40"/>
      <c r="L578" s="40"/>
      <c r="M578" s="40"/>
      <c r="N578" s="40"/>
      <c r="O578" s="40"/>
      <c r="P578" s="40"/>
      <c r="Q578" s="40"/>
      <c r="R578" s="40"/>
      <c r="S578" s="40"/>
      <c r="T578" s="40"/>
      <c r="U578" s="40"/>
      <c r="V578" s="40"/>
      <c r="W578" s="40"/>
      <c r="X578" s="40"/>
      <c r="Y578" s="40"/>
      <c r="Z578" s="40"/>
      <c r="AA578" s="40"/>
      <c r="AB578" s="40"/>
    </row>
    <row r="579">
      <c r="A579" s="805"/>
      <c r="B579" s="40"/>
      <c r="C579" s="40"/>
      <c r="D579" s="40"/>
      <c r="E579" s="40"/>
      <c r="F579" s="40"/>
      <c r="G579" s="40"/>
      <c r="H579" s="40"/>
      <c r="I579" s="40"/>
      <c r="J579" s="216"/>
      <c r="K579" s="40"/>
      <c r="L579" s="40"/>
      <c r="M579" s="40"/>
      <c r="N579" s="40"/>
      <c r="O579" s="40"/>
      <c r="P579" s="40"/>
      <c r="Q579" s="40"/>
      <c r="R579" s="40"/>
      <c r="S579" s="40"/>
      <c r="T579" s="40"/>
      <c r="U579" s="40"/>
      <c r="V579" s="40"/>
      <c r="W579" s="40"/>
      <c r="X579" s="40"/>
      <c r="Y579" s="40"/>
      <c r="Z579" s="40"/>
      <c r="AA579" s="40"/>
      <c r="AB579" s="40"/>
    </row>
    <row r="580">
      <c r="A580" s="805"/>
      <c r="B580" s="40"/>
      <c r="C580" s="40"/>
      <c r="D580" s="40"/>
      <c r="E580" s="40"/>
      <c r="F580" s="40"/>
      <c r="G580" s="40"/>
      <c r="H580" s="40"/>
      <c r="I580" s="40"/>
      <c r="J580" s="216"/>
      <c r="K580" s="40"/>
      <c r="L580" s="40"/>
      <c r="M580" s="40"/>
      <c r="N580" s="40"/>
      <c r="O580" s="40"/>
      <c r="P580" s="40"/>
      <c r="Q580" s="40"/>
      <c r="R580" s="40"/>
      <c r="S580" s="40"/>
      <c r="T580" s="40"/>
      <c r="U580" s="40"/>
      <c r="V580" s="40"/>
      <c r="W580" s="40"/>
      <c r="X580" s="40"/>
      <c r="Y580" s="40"/>
      <c r="Z580" s="40"/>
      <c r="AA580" s="40"/>
      <c r="AB580" s="40"/>
    </row>
    <row r="581">
      <c r="A581" s="805"/>
      <c r="B581" s="40"/>
      <c r="C581" s="40"/>
      <c r="D581" s="40"/>
      <c r="E581" s="40"/>
      <c r="F581" s="40"/>
      <c r="G581" s="40"/>
      <c r="H581" s="40"/>
      <c r="I581" s="40"/>
      <c r="J581" s="216"/>
      <c r="K581" s="40"/>
      <c r="L581" s="40"/>
      <c r="M581" s="40"/>
      <c r="N581" s="40"/>
      <c r="O581" s="40"/>
      <c r="P581" s="40"/>
      <c r="Q581" s="40"/>
      <c r="R581" s="40"/>
      <c r="S581" s="40"/>
      <c r="T581" s="40"/>
      <c r="U581" s="40"/>
      <c r="V581" s="40"/>
      <c r="W581" s="40"/>
      <c r="X581" s="40"/>
      <c r="Y581" s="40"/>
      <c r="Z581" s="40"/>
      <c r="AA581" s="40"/>
      <c r="AB581" s="40"/>
    </row>
    <row r="582">
      <c r="A582" s="805"/>
      <c r="B582" s="40"/>
      <c r="C582" s="40"/>
      <c r="D582" s="40"/>
      <c r="E582" s="40"/>
      <c r="F582" s="40"/>
      <c r="G582" s="40"/>
      <c r="H582" s="40"/>
      <c r="I582" s="40"/>
      <c r="J582" s="216"/>
      <c r="K582" s="40"/>
      <c r="L582" s="40"/>
      <c r="M582" s="40"/>
      <c r="N582" s="40"/>
      <c r="O582" s="40"/>
      <c r="P582" s="40"/>
      <c r="Q582" s="40"/>
      <c r="R582" s="40"/>
      <c r="S582" s="40"/>
      <c r="T582" s="40"/>
      <c r="U582" s="40"/>
      <c r="V582" s="40"/>
      <c r="W582" s="40"/>
      <c r="X582" s="40"/>
      <c r="Y582" s="40"/>
      <c r="Z582" s="40"/>
      <c r="AA582" s="40"/>
      <c r="AB582" s="40"/>
    </row>
    <row r="583">
      <c r="A583" s="805"/>
      <c r="B583" s="40"/>
      <c r="C583" s="40"/>
      <c r="D583" s="40"/>
      <c r="E583" s="40"/>
      <c r="F583" s="40"/>
      <c r="G583" s="40"/>
      <c r="H583" s="40"/>
      <c r="I583" s="40"/>
      <c r="J583" s="216"/>
      <c r="K583" s="40"/>
      <c r="L583" s="40"/>
      <c r="M583" s="40"/>
      <c r="N583" s="40"/>
      <c r="O583" s="40"/>
      <c r="P583" s="40"/>
      <c r="Q583" s="40"/>
      <c r="R583" s="40"/>
      <c r="S583" s="40"/>
      <c r="T583" s="40"/>
      <c r="U583" s="40"/>
      <c r="V583" s="40"/>
      <c r="W583" s="40"/>
      <c r="X583" s="40"/>
      <c r="Y583" s="40"/>
      <c r="Z583" s="40"/>
      <c r="AA583" s="40"/>
      <c r="AB583" s="40"/>
    </row>
    <row r="584">
      <c r="A584" s="805"/>
      <c r="B584" s="40"/>
      <c r="C584" s="40"/>
      <c r="D584" s="40"/>
      <c r="E584" s="40"/>
      <c r="F584" s="40"/>
      <c r="G584" s="40"/>
      <c r="H584" s="40"/>
      <c r="I584" s="40"/>
      <c r="J584" s="216"/>
      <c r="K584" s="40"/>
      <c r="L584" s="40"/>
      <c r="M584" s="40"/>
      <c r="N584" s="40"/>
      <c r="O584" s="40"/>
      <c r="P584" s="40"/>
      <c r="Q584" s="40"/>
      <c r="R584" s="40"/>
      <c r="S584" s="40"/>
      <c r="T584" s="40"/>
      <c r="U584" s="40"/>
      <c r="V584" s="40"/>
      <c r="W584" s="40"/>
      <c r="X584" s="40"/>
      <c r="Y584" s="40"/>
      <c r="Z584" s="40"/>
      <c r="AA584" s="40"/>
      <c r="AB584" s="40"/>
    </row>
    <row r="585">
      <c r="A585" s="805"/>
      <c r="B585" s="40"/>
      <c r="C585" s="40"/>
      <c r="D585" s="40"/>
      <c r="E585" s="40"/>
      <c r="F585" s="40"/>
      <c r="G585" s="40"/>
      <c r="H585" s="40"/>
      <c r="I585" s="40"/>
      <c r="J585" s="216"/>
      <c r="K585" s="40"/>
      <c r="L585" s="40"/>
      <c r="M585" s="40"/>
      <c r="N585" s="40"/>
      <c r="O585" s="40"/>
      <c r="P585" s="40"/>
      <c r="Q585" s="40"/>
      <c r="R585" s="40"/>
      <c r="S585" s="40"/>
      <c r="T585" s="40"/>
      <c r="U585" s="40"/>
      <c r="V585" s="40"/>
      <c r="W585" s="40"/>
      <c r="X585" s="40"/>
      <c r="Y585" s="40"/>
      <c r="Z585" s="40"/>
      <c r="AA585" s="40"/>
      <c r="AB585" s="40"/>
    </row>
    <row r="586">
      <c r="A586" s="805"/>
      <c r="B586" s="40"/>
      <c r="C586" s="40"/>
      <c r="D586" s="40"/>
      <c r="E586" s="40"/>
      <c r="F586" s="40"/>
      <c r="G586" s="40"/>
      <c r="H586" s="40"/>
      <c r="I586" s="40"/>
      <c r="J586" s="216"/>
      <c r="K586" s="40"/>
      <c r="L586" s="40"/>
      <c r="M586" s="40"/>
      <c r="N586" s="40"/>
      <c r="O586" s="40"/>
      <c r="P586" s="40"/>
      <c r="Q586" s="40"/>
      <c r="R586" s="40"/>
      <c r="S586" s="40"/>
      <c r="T586" s="40"/>
      <c r="U586" s="40"/>
      <c r="V586" s="40"/>
      <c r="W586" s="40"/>
      <c r="X586" s="40"/>
      <c r="Y586" s="40"/>
      <c r="Z586" s="40"/>
      <c r="AA586" s="40"/>
      <c r="AB586" s="40"/>
    </row>
    <row r="587">
      <c r="A587" s="805"/>
      <c r="B587" s="40"/>
      <c r="C587" s="40"/>
      <c r="D587" s="40"/>
      <c r="E587" s="40"/>
      <c r="F587" s="40"/>
      <c r="G587" s="40"/>
      <c r="H587" s="40"/>
      <c r="I587" s="40"/>
      <c r="J587" s="216"/>
      <c r="K587" s="40"/>
      <c r="L587" s="40"/>
      <c r="M587" s="40"/>
      <c r="N587" s="40"/>
      <c r="O587" s="40"/>
      <c r="P587" s="40"/>
      <c r="Q587" s="40"/>
      <c r="R587" s="40"/>
      <c r="S587" s="40"/>
      <c r="T587" s="40"/>
      <c r="U587" s="40"/>
      <c r="V587" s="40"/>
      <c r="W587" s="40"/>
      <c r="X587" s="40"/>
      <c r="Y587" s="40"/>
      <c r="Z587" s="40"/>
      <c r="AA587" s="40"/>
      <c r="AB587" s="40"/>
    </row>
    <row r="588">
      <c r="A588" s="805"/>
      <c r="B588" s="40"/>
      <c r="C588" s="40"/>
      <c r="D588" s="40"/>
      <c r="E588" s="40"/>
      <c r="F588" s="40"/>
      <c r="G588" s="40"/>
      <c r="H588" s="40"/>
      <c r="I588" s="40"/>
      <c r="J588" s="216"/>
      <c r="K588" s="40"/>
      <c r="L588" s="40"/>
      <c r="M588" s="40"/>
      <c r="N588" s="40"/>
      <c r="O588" s="40"/>
      <c r="P588" s="40"/>
      <c r="Q588" s="40"/>
      <c r="R588" s="40"/>
      <c r="S588" s="40"/>
      <c r="T588" s="40"/>
      <c r="U588" s="40"/>
      <c r="V588" s="40"/>
      <c r="W588" s="40"/>
      <c r="X588" s="40"/>
      <c r="Y588" s="40"/>
      <c r="Z588" s="40"/>
      <c r="AA588" s="40"/>
      <c r="AB588" s="40"/>
    </row>
    <row r="589">
      <c r="A589" s="805"/>
      <c r="B589" s="40"/>
      <c r="C589" s="40"/>
      <c r="D589" s="40"/>
      <c r="E589" s="40"/>
      <c r="F589" s="40"/>
      <c r="G589" s="40"/>
      <c r="H589" s="40"/>
      <c r="I589" s="40"/>
      <c r="J589" s="216"/>
      <c r="K589" s="40"/>
      <c r="L589" s="40"/>
      <c r="M589" s="40"/>
      <c r="N589" s="40"/>
      <c r="O589" s="40"/>
      <c r="P589" s="40"/>
      <c r="Q589" s="40"/>
      <c r="R589" s="40"/>
      <c r="S589" s="40"/>
      <c r="T589" s="40"/>
      <c r="U589" s="40"/>
      <c r="V589" s="40"/>
      <c r="W589" s="40"/>
      <c r="X589" s="40"/>
      <c r="Y589" s="40"/>
      <c r="Z589" s="40"/>
      <c r="AA589" s="40"/>
      <c r="AB589" s="40"/>
    </row>
    <row r="590">
      <c r="A590" s="805"/>
      <c r="B590" s="40"/>
      <c r="C590" s="40"/>
      <c r="D590" s="40"/>
      <c r="E590" s="40"/>
      <c r="F590" s="40"/>
      <c r="G590" s="40"/>
      <c r="H590" s="40"/>
      <c r="I590" s="40"/>
      <c r="J590" s="216"/>
      <c r="K590" s="40"/>
      <c r="L590" s="40"/>
      <c r="M590" s="40"/>
      <c r="N590" s="40"/>
      <c r="O590" s="40"/>
      <c r="P590" s="40"/>
      <c r="Q590" s="40"/>
      <c r="R590" s="40"/>
      <c r="S590" s="40"/>
      <c r="T590" s="40"/>
      <c r="U590" s="40"/>
      <c r="V590" s="40"/>
      <c r="W590" s="40"/>
      <c r="X590" s="40"/>
      <c r="Y590" s="40"/>
      <c r="Z590" s="40"/>
      <c r="AA590" s="40"/>
      <c r="AB590" s="40"/>
    </row>
    <row r="591">
      <c r="A591" s="805"/>
      <c r="B591" s="40"/>
      <c r="C591" s="40"/>
      <c r="D591" s="40"/>
      <c r="E591" s="40"/>
      <c r="F591" s="40"/>
      <c r="G591" s="40"/>
      <c r="H591" s="40"/>
      <c r="I591" s="40"/>
      <c r="J591" s="216"/>
      <c r="K591" s="40"/>
      <c r="L591" s="40"/>
      <c r="M591" s="40"/>
      <c r="N591" s="40"/>
      <c r="O591" s="40"/>
      <c r="P591" s="40"/>
      <c r="Q591" s="40"/>
      <c r="R591" s="40"/>
      <c r="S591" s="40"/>
      <c r="T591" s="40"/>
      <c r="U591" s="40"/>
      <c r="V591" s="40"/>
      <c r="W591" s="40"/>
      <c r="X591" s="40"/>
      <c r="Y591" s="40"/>
      <c r="Z591" s="40"/>
      <c r="AA591" s="40"/>
      <c r="AB591" s="40"/>
    </row>
    <row r="592">
      <c r="A592" s="805"/>
      <c r="B592" s="40"/>
      <c r="C592" s="40"/>
      <c r="D592" s="40"/>
      <c r="E592" s="40"/>
      <c r="F592" s="40"/>
      <c r="G592" s="40"/>
      <c r="H592" s="40"/>
      <c r="I592" s="40"/>
      <c r="J592" s="216"/>
      <c r="K592" s="40"/>
      <c r="L592" s="40"/>
      <c r="M592" s="40"/>
      <c r="N592" s="40"/>
      <c r="O592" s="40"/>
      <c r="P592" s="40"/>
      <c r="Q592" s="40"/>
      <c r="R592" s="40"/>
      <c r="S592" s="40"/>
      <c r="T592" s="40"/>
      <c r="U592" s="40"/>
      <c r="V592" s="40"/>
      <c r="W592" s="40"/>
      <c r="X592" s="40"/>
      <c r="Y592" s="40"/>
      <c r="Z592" s="40"/>
      <c r="AA592" s="40"/>
      <c r="AB592" s="40"/>
    </row>
    <row r="593">
      <c r="A593" s="805"/>
      <c r="B593" s="40"/>
      <c r="C593" s="40"/>
      <c r="D593" s="40"/>
      <c r="E593" s="40"/>
      <c r="F593" s="40"/>
      <c r="G593" s="40"/>
      <c r="H593" s="40"/>
      <c r="I593" s="40"/>
      <c r="J593" s="216"/>
      <c r="K593" s="40"/>
      <c r="L593" s="40"/>
      <c r="M593" s="40"/>
      <c r="N593" s="40"/>
      <c r="O593" s="40"/>
      <c r="P593" s="40"/>
      <c r="Q593" s="40"/>
      <c r="R593" s="40"/>
      <c r="S593" s="40"/>
      <c r="T593" s="40"/>
      <c r="U593" s="40"/>
      <c r="V593" s="40"/>
      <c r="W593" s="40"/>
      <c r="X593" s="40"/>
      <c r="Y593" s="40"/>
      <c r="Z593" s="40"/>
      <c r="AA593" s="40"/>
      <c r="AB593" s="40"/>
    </row>
    <row r="594">
      <c r="A594" s="805"/>
      <c r="B594" s="40"/>
      <c r="C594" s="40"/>
      <c r="D594" s="40"/>
      <c r="E594" s="40"/>
      <c r="F594" s="40"/>
      <c r="G594" s="40"/>
      <c r="H594" s="40"/>
      <c r="I594" s="40"/>
      <c r="J594" s="216"/>
      <c r="K594" s="40"/>
      <c r="L594" s="40"/>
      <c r="M594" s="40"/>
      <c r="N594" s="40"/>
      <c r="O594" s="40"/>
      <c r="P594" s="40"/>
      <c r="Q594" s="40"/>
      <c r="R594" s="40"/>
      <c r="S594" s="40"/>
      <c r="T594" s="40"/>
      <c r="U594" s="40"/>
      <c r="V594" s="40"/>
      <c r="W594" s="40"/>
      <c r="X594" s="40"/>
      <c r="Y594" s="40"/>
      <c r="Z594" s="40"/>
      <c r="AA594" s="40"/>
      <c r="AB594" s="40"/>
    </row>
    <row r="595">
      <c r="A595" s="805"/>
      <c r="B595" s="40"/>
      <c r="C595" s="40"/>
      <c r="D595" s="40"/>
      <c r="E595" s="40"/>
      <c r="F595" s="40"/>
      <c r="G595" s="40"/>
      <c r="H595" s="40"/>
      <c r="I595" s="40"/>
      <c r="J595" s="216"/>
      <c r="K595" s="40"/>
      <c r="L595" s="40"/>
      <c r="M595" s="40"/>
      <c r="N595" s="40"/>
      <c r="O595" s="40"/>
      <c r="P595" s="40"/>
      <c r="Q595" s="40"/>
      <c r="R595" s="40"/>
      <c r="S595" s="40"/>
      <c r="T595" s="40"/>
      <c r="U595" s="40"/>
      <c r="V595" s="40"/>
      <c r="W595" s="40"/>
      <c r="X595" s="40"/>
      <c r="Y595" s="40"/>
      <c r="Z595" s="40"/>
      <c r="AA595" s="40"/>
      <c r="AB595" s="40"/>
    </row>
    <row r="596">
      <c r="A596" s="805"/>
      <c r="B596" s="40"/>
      <c r="C596" s="40"/>
      <c r="D596" s="40"/>
      <c r="E596" s="40"/>
      <c r="F596" s="40"/>
      <c r="G596" s="40"/>
      <c r="H596" s="40"/>
      <c r="I596" s="40"/>
      <c r="J596" s="216"/>
      <c r="K596" s="40"/>
      <c r="L596" s="40"/>
      <c r="M596" s="40"/>
      <c r="N596" s="40"/>
      <c r="O596" s="40"/>
      <c r="P596" s="40"/>
      <c r="Q596" s="40"/>
      <c r="R596" s="40"/>
      <c r="S596" s="40"/>
      <c r="T596" s="40"/>
      <c r="U596" s="40"/>
      <c r="V596" s="40"/>
      <c r="W596" s="40"/>
      <c r="X596" s="40"/>
      <c r="Y596" s="40"/>
      <c r="Z596" s="40"/>
      <c r="AA596" s="40"/>
      <c r="AB596" s="40"/>
    </row>
    <row r="597">
      <c r="A597" s="805"/>
      <c r="B597" s="40"/>
      <c r="C597" s="40"/>
      <c r="D597" s="40"/>
      <c r="E597" s="40"/>
      <c r="F597" s="40"/>
      <c r="G597" s="40"/>
      <c r="H597" s="40"/>
      <c r="I597" s="40"/>
      <c r="J597" s="216"/>
      <c r="K597" s="40"/>
      <c r="L597" s="40"/>
      <c r="M597" s="40"/>
      <c r="N597" s="40"/>
      <c r="O597" s="40"/>
      <c r="P597" s="40"/>
      <c r="Q597" s="40"/>
      <c r="R597" s="40"/>
      <c r="S597" s="40"/>
      <c r="T597" s="40"/>
      <c r="U597" s="40"/>
      <c r="V597" s="40"/>
      <c r="W597" s="40"/>
      <c r="X597" s="40"/>
      <c r="Y597" s="40"/>
      <c r="Z597" s="40"/>
      <c r="AA597" s="40"/>
      <c r="AB597" s="40"/>
    </row>
    <row r="598">
      <c r="A598" s="805"/>
      <c r="B598" s="40"/>
      <c r="C598" s="40"/>
      <c r="D598" s="40"/>
      <c r="E598" s="40"/>
      <c r="F598" s="40"/>
      <c r="G598" s="40"/>
      <c r="H598" s="40"/>
      <c r="I598" s="40"/>
      <c r="J598" s="216"/>
      <c r="K598" s="40"/>
      <c r="L598" s="40"/>
      <c r="M598" s="40"/>
      <c r="N598" s="40"/>
      <c r="O598" s="40"/>
      <c r="P598" s="40"/>
      <c r="Q598" s="40"/>
      <c r="R598" s="40"/>
      <c r="S598" s="40"/>
      <c r="T598" s="40"/>
      <c r="U598" s="40"/>
      <c r="V598" s="40"/>
      <c r="W598" s="40"/>
      <c r="X598" s="40"/>
      <c r="Y598" s="40"/>
      <c r="Z598" s="40"/>
      <c r="AA598" s="40"/>
      <c r="AB598" s="40"/>
    </row>
    <row r="599">
      <c r="A599" s="805"/>
      <c r="B599" s="40"/>
      <c r="C599" s="40"/>
      <c r="D599" s="40"/>
      <c r="E599" s="40"/>
      <c r="F599" s="40"/>
      <c r="G599" s="40"/>
      <c r="H599" s="40"/>
      <c r="I599" s="40"/>
      <c r="J599" s="216"/>
      <c r="K599" s="40"/>
      <c r="L599" s="40"/>
      <c r="M599" s="40"/>
      <c r="N599" s="40"/>
      <c r="O599" s="40"/>
      <c r="P599" s="40"/>
      <c r="Q599" s="40"/>
      <c r="R599" s="40"/>
      <c r="S599" s="40"/>
      <c r="T599" s="40"/>
      <c r="U599" s="40"/>
      <c r="V599" s="40"/>
      <c r="W599" s="40"/>
      <c r="X599" s="40"/>
      <c r="Y599" s="40"/>
      <c r="Z599" s="40"/>
      <c r="AA599" s="40"/>
      <c r="AB599" s="40"/>
    </row>
    <row r="600">
      <c r="A600" s="805"/>
      <c r="B600" s="40"/>
      <c r="C600" s="40"/>
      <c r="D600" s="40"/>
      <c r="E600" s="40"/>
      <c r="F600" s="40"/>
      <c r="G600" s="40"/>
      <c r="H600" s="40"/>
      <c r="I600" s="40"/>
      <c r="J600" s="216"/>
      <c r="K600" s="40"/>
      <c r="L600" s="40"/>
      <c r="M600" s="40"/>
      <c r="N600" s="40"/>
      <c r="O600" s="40"/>
      <c r="P600" s="40"/>
      <c r="Q600" s="40"/>
      <c r="R600" s="40"/>
      <c r="S600" s="40"/>
      <c r="T600" s="40"/>
      <c r="U600" s="40"/>
      <c r="V600" s="40"/>
      <c r="W600" s="40"/>
      <c r="X600" s="40"/>
      <c r="Y600" s="40"/>
      <c r="Z600" s="40"/>
      <c r="AA600" s="40"/>
      <c r="AB600" s="40"/>
    </row>
    <row r="601">
      <c r="A601" s="805"/>
      <c r="B601" s="40"/>
      <c r="C601" s="40"/>
      <c r="D601" s="40"/>
      <c r="E601" s="40"/>
      <c r="F601" s="40"/>
      <c r="G601" s="40"/>
      <c r="H601" s="40"/>
      <c r="I601" s="40"/>
      <c r="J601" s="216"/>
      <c r="K601" s="40"/>
      <c r="L601" s="40"/>
      <c r="M601" s="40"/>
      <c r="N601" s="40"/>
      <c r="O601" s="40"/>
      <c r="P601" s="40"/>
      <c r="Q601" s="40"/>
      <c r="R601" s="40"/>
      <c r="S601" s="40"/>
      <c r="T601" s="40"/>
      <c r="U601" s="40"/>
      <c r="V601" s="40"/>
      <c r="W601" s="40"/>
      <c r="X601" s="40"/>
      <c r="Y601" s="40"/>
      <c r="Z601" s="40"/>
      <c r="AA601" s="40"/>
      <c r="AB601" s="40"/>
    </row>
    <row r="602">
      <c r="A602" s="805"/>
      <c r="B602" s="40"/>
      <c r="C602" s="40"/>
      <c r="D602" s="40"/>
      <c r="E602" s="40"/>
      <c r="F602" s="40"/>
      <c r="G602" s="40"/>
      <c r="H602" s="40"/>
      <c r="I602" s="40"/>
      <c r="J602" s="216"/>
      <c r="K602" s="40"/>
      <c r="L602" s="40"/>
      <c r="M602" s="40"/>
      <c r="N602" s="40"/>
      <c r="O602" s="40"/>
      <c r="P602" s="40"/>
      <c r="Q602" s="40"/>
      <c r="R602" s="40"/>
      <c r="S602" s="40"/>
      <c r="T602" s="40"/>
      <c r="U602" s="40"/>
      <c r="V602" s="40"/>
      <c r="W602" s="40"/>
      <c r="X602" s="40"/>
      <c r="Y602" s="40"/>
      <c r="Z602" s="40"/>
      <c r="AA602" s="40"/>
      <c r="AB602" s="40"/>
    </row>
    <row r="603">
      <c r="A603" s="805"/>
      <c r="B603" s="40"/>
      <c r="C603" s="40"/>
      <c r="D603" s="40"/>
      <c r="E603" s="40"/>
      <c r="F603" s="40"/>
      <c r="G603" s="40"/>
      <c r="H603" s="40"/>
      <c r="I603" s="40"/>
      <c r="J603" s="216"/>
      <c r="K603" s="40"/>
      <c r="L603" s="40"/>
      <c r="M603" s="40"/>
      <c r="N603" s="40"/>
      <c r="O603" s="40"/>
      <c r="P603" s="40"/>
      <c r="Q603" s="40"/>
      <c r="R603" s="40"/>
      <c r="S603" s="40"/>
      <c r="T603" s="40"/>
      <c r="U603" s="40"/>
      <c r="V603" s="40"/>
      <c r="W603" s="40"/>
      <c r="X603" s="40"/>
      <c r="Y603" s="40"/>
      <c r="Z603" s="40"/>
      <c r="AA603" s="40"/>
      <c r="AB603" s="40"/>
    </row>
    <row r="604">
      <c r="A604" s="805"/>
      <c r="B604" s="40"/>
      <c r="C604" s="40"/>
      <c r="D604" s="40"/>
      <c r="E604" s="40"/>
      <c r="F604" s="40"/>
      <c r="G604" s="40"/>
      <c r="H604" s="40"/>
      <c r="I604" s="40"/>
      <c r="J604" s="216"/>
      <c r="K604" s="40"/>
      <c r="L604" s="40"/>
      <c r="M604" s="40"/>
      <c r="N604" s="40"/>
      <c r="O604" s="40"/>
      <c r="P604" s="40"/>
      <c r="Q604" s="40"/>
      <c r="R604" s="40"/>
      <c r="S604" s="40"/>
      <c r="T604" s="40"/>
      <c r="U604" s="40"/>
      <c r="V604" s="40"/>
      <c r="W604" s="40"/>
      <c r="X604" s="40"/>
      <c r="Y604" s="40"/>
      <c r="Z604" s="40"/>
      <c r="AA604" s="40"/>
      <c r="AB604" s="40"/>
    </row>
    <row r="605">
      <c r="A605" s="805"/>
      <c r="B605" s="40"/>
      <c r="C605" s="40"/>
      <c r="D605" s="40"/>
      <c r="E605" s="40"/>
      <c r="F605" s="40"/>
      <c r="G605" s="40"/>
      <c r="H605" s="40"/>
      <c r="I605" s="40"/>
      <c r="J605" s="216"/>
      <c r="K605" s="40"/>
      <c r="L605" s="40"/>
      <c r="M605" s="40"/>
      <c r="N605" s="40"/>
      <c r="O605" s="40"/>
      <c r="P605" s="40"/>
      <c r="Q605" s="40"/>
      <c r="R605" s="40"/>
      <c r="S605" s="40"/>
      <c r="T605" s="40"/>
      <c r="U605" s="40"/>
      <c r="V605" s="40"/>
      <c r="W605" s="40"/>
      <c r="X605" s="40"/>
      <c r="Y605" s="40"/>
      <c r="Z605" s="40"/>
      <c r="AA605" s="40"/>
      <c r="AB605" s="40"/>
    </row>
    <row r="606">
      <c r="A606" s="805"/>
      <c r="B606" s="40"/>
      <c r="C606" s="40"/>
      <c r="D606" s="40"/>
      <c r="E606" s="40"/>
      <c r="F606" s="40"/>
      <c r="G606" s="40"/>
      <c r="H606" s="40"/>
      <c r="I606" s="40"/>
      <c r="J606" s="216"/>
      <c r="K606" s="40"/>
      <c r="L606" s="40"/>
      <c r="M606" s="40"/>
      <c r="N606" s="40"/>
      <c r="O606" s="40"/>
      <c r="P606" s="40"/>
      <c r="Q606" s="40"/>
      <c r="R606" s="40"/>
      <c r="S606" s="40"/>
      <c r="T606" s="40"/>
      <c r="U606" s="40"/>
      <c r="V606" s="40"/>
      <c r="W606" s="40"/>
      <c r="X606" s="40"/>
      <c r="Y606" s="40"/>
      <c r="Z606" s="40"/>
      <c r="AA606" s="40"/>
      <c r="AB606" s="40"/>
    </row>
    <row r="607">
      <c r="A607" s="805"/>
      <c r="B607" s="40"/>
      <c r="C607" s="40"/>
      <c r="D607" s="40"/>
      <c r="E607" s="40"/>
      <c r="F607" s="40"/>
      <c r="G607" s="40"/>
      <c r="H607" s="40"/>
      <c r="I607" s="40"/>
      <c r="J607" s="216"/>
      <c r="K607" s="40"/>
      <c r="L607" s="40"/>
      <c r="M607" s="40"/>
      <c r="N607" s="40"/>
      <c r="O607" s="40"/>
      <c r="P607" s="40"/>
      <c r="Q607" s="40"/>
      <c r="R607" s="40"/>
      <c r="S607" s="40"/>
      <c r="T607" s="40"/>
      <c r="U607" s="40"/>
      <c r="V607" s="40"/>
      <c r="W607" s="40"/>
      <c r="X607" s="40"/>
      <c r="Y607" s="40"/>
      <c r="Z607" s="40"/>
      <c r="AA607" s="40"/>
      <c r="AB607" s="40"/>
    </row>
    <row r="608">
      <c r="A608" s="805"/>
      <c r="B608" s="40"/>
      <c r="C608" s="40"/>
      <c r="D608" s="40"/>
      <c r="E608" s="40"/>
      <c r="F608" s="40"/>
      <c r="G608" s="40"/>
      <c r="H608" s="40"/>
      <c r="I608" s="40"/>
      <c r="J608" s="216"/>
      <c r="K608" s="40"/>
      <c r="L608" s="40"/>
      <c r="M608" s="40"/>
      <c r="N608" s="40"/>
      <c r="O608" s="40"/>
      <c r="P608" s="40"/>
      <c r="Q608" s="40"/>
      <c r="R608" s="40"/>
      <c r="S608" s="40"/>
      <c r="T608" s="40"/>
      <c r="U608" s="40"/>
      <c r="V608" s="40"/>
      <c r="W608" s="40"/>
      <c r="X608" s="40"/>
      <c r="Y608" s="40"/>
      <c r="Z608" s="40"/>
      <c r="AA608" s="40"/>
      <c r="AB608" s="40"/>
    </row>
    <row r="609">
      <c r="A609" s="805"/>
      <c r="B609" s="40"/>
      <c r="C609" s="40"/>
      <c r="D609" s="40"/>
      <c r="E609" s="40"/>
      <c r="F609" s="40"/>
      <c r="G609" s="40"/>
      <c r="H609" s="40"/>
      <c r="I609" s="40"/>
      <c r="J609" s="216"/>
      <c r="K609" s="40"/>
      <c r="L609" s="40"/>
      <c r="M609" s="40"/>
      <c r="N609" s="40"/>
      <c r="O609" s="40"/>
      <c r="P609" s="40"/>
      <c r="Q609" s="40"/>
      <c r="R609" s="40"/>
      <c r="S609" s="40"/>
      <c r="T609" s="40"/>
      <c r="U609" s="40"/>
      <c r="V609" s="40"/>
      <c r="W609" s="40"/>
      <c r="X609" s="40"/>
      <c r="Y609" s="40"/>
      <c r="Z609" s="40"/>
      <c r="AA609" s="40"/>
      <c r="AB609" s="40"/>
    </row>
    <row r="610">
      <c r="A610" s="805"/>
      <c r="B610" s="40"/>
      <c r="C610" s="40"/>
      <c r="D610" s="40"/>
      <c r="E610" s="40"/>
      <c r="F610" s="40"/>
      <c r="G610" s="40"/>
      <c r="H610" s="40"/>
      <c r="I610" s="40"/>
      <c r="J610" s="216"/>
      <c r="K610" s="40"/>
      <c r="L610" s="40"/>
      <c r="M610" s="40"/>
      <c r="N610" s="40"/>
      <c r="O610" s="40"/>
      <c r="P610" s="40"/>
      <c r="Q610" s="40"/>
      <c r="R610" s="40"/>
      <c r="S610" s="40"/>
      <c r="T610" s="40"/>
      <c r="U610" s="40"/>
      <c r="V610" s="40"/>
      <c r="W610" s="40"/>
      <c r="X610" s="40"/>
      <c r="Y610" s="40"/>
      <c r="Z610" s="40"/>
      <c r="AA610" s="40"/>
      <c r="AB610" s="40"/>
    </row>
    <row r="611">
      <c r="A611" s="805"/>
      <c r="B611" s="40"/>
      <c r="C611" s="40"/>
      <c r="D611" s="40"/>
      <c r="E611" s="40"/>
      <c r="F611" s="40"/>
      <c r="G611" s="40"/>
      <c r="H611" s="40"/>
      <c r="I611" s="40"/>
      <c r="J611" s="216"/>
      <c r="K611" s="40"/>
      <c r="L611" s="40"/>
      <c r="M611" s="40"/>
      <c r="N611" s="40"/>
      <c r="O611" s="40"/>
      <c r="P611" s="40"/>
      <c r="Q611" s="40"/>
      <c r="R611" s="40"/>
      <c r="S611" s="40"/>
      <c r="T611" s="40"/>
      <c r="U611" s="40"/>
      <c r="V611" s="40"/>
      <c r="W611" s="40"/>
      <c r="X611" s="40"/>
      <c r="Y611" s="40"/>
      <c r="Z611" s="40"/>
      <c r="AA611" s="40"/>
      <c r="AB611" s="40"/>
    </row>
    <row r="612">
      <c r="A612" s="805"/>
      <c r="B612" s="40"/>
      <c r="C612" s="40"/>
      <c r="D612" s="40"/>
      <c r="E612" s="40"/>
      <c r="F612" s="40"/>
      <c r="G612" s="40"/>
      <c r="H612" s="40"/>
      <c r="I612" s="40"/>
      <c r="J612" s="216"/>
      <c r="K612" s="40"/>
      <c r="L612" s="40"/>
      <c r="M612" s="40"/>
      <c r="N612" s="40"/>
      <c r="O612" s="40"/>
      <c r="P612" s="40"/>
      <c r="Q612" s="40"/>
      <c r="R612" s="40"/>
      <c r="S612" s="40"/>
      <c r="T612" s="40"/>
      <c r="U612" s="40"/>
      <c r="V612" s="40"/>
      <c r="W612" s="40"/>
      <c r="X612" s="40"/>
      <c r="Y612" s="40"/>
      <c r="Z612" s="40"/>
      <c r="AA612" s="40"/>
      <c r="AB612" s="40"/>
    </row>
    <row r="613">
      <c r="A613" s="805"/>
      <c r="B613" s="40"/>
      <c r="C613" s="40"/>
      <c r="D613" s="40"/>
      <c r="E613" s="40"/>
      <c r="F613" s="40"/>
      <c r="G613" s="40"/>
      <c r="H613" s="40"/>
      <c r="I613" s="40"/>
      <c r="J613" s="216"/>
      <c r="K613" s="40"/>
      <c r="L613" s="40"/>
      <c r="M613" s="40"/>
      <c r="N613" s="40"/>
      <c r="O613" s="40"/>
      <c r="P613" s="40"/>
      <c r="Q613" s="40"/>
      <c r="R613" s="40"/>
      <c r="S613" s="40"/>
      <c r="T613" s="40"/>
      <c r="U613" s="40"/>
      <c r="V613" s="40"/>
      <c r="W613" s="40"/>
      <c r="X613" s="40"/>
      <c r="Y613" s="40"/>
      <c r="Z613" s="40"/>
      <c r="AA613" s="40"/>
      <c r="AB613" s="40"/>
    </row>
    <row r="614">
      <c r="A614" s="805"/>
      <c r="B614" s="40"/>
      <c r="C614" s="40"/>
      <c r="D614" s="40"/>
      <c r="E614" s="40"/>
      <c r="F614" s="40"/>
      <c r="G614" s="40"/>
      <c r="H614" s="40"/>
      <c r="I614" s="40"/>
      <c r="J614" s="216"/>
      <c r="K614" s="40"/>
      <c r="L614" s="40"/>
      <c r="M614" s="40"/>
      <c r="N614" s="40"/>
      <c r="O614" s="40"/>
      <c r="P614" s="40"/>
      <c r="Q614" s="40"/>
      <c r="R614" s="40"/>
      <c r="S614" s="40"/>
      <c r="T614" s="40"/>
      <c r="U614" s="40"/>
      <c r="V614" s="40"/>
      <c r="W614" s="40"/>
      <c r="X614" s="40"/>
      <c r="Y614" s="40"/>
      <c r="Z614" s="40"/>
      <c r="AA614" s="40"/>
      <c r="AB614" s="40"/>
    </row>
    <row r="615">
      <c r="A615" s="805"/>
      <c r="B615" s="40"/>
      <c r="C615" s="40"/>
      <c r="D615" s="40"/>
      <c r="E615" s="40"/>
      <c r="F615" s="40"/>
      <c r="G615" s="40"/>
      <c r="H615" s="40"/>
      <c r="I615" s="40"/>
      <c r="J615" s="216"/>
      <c r="K615" s="40"/>
      <c r="L615" s="40"/>
      <c r="M615" s="40"/>
      <c r="N615" s="40"/>
      <c r="O615" s="40"/>
      <c r="P615" s="40"/>
      <c r="Q615" s="40"/>
      <c r="R615" s="40"/>
      <c r="S615" s="40"/>
      <c r="T615" s="40"/>
      <c r="U615" s="40"/>
      <c r="V615" s="40"/>
      <c r="W615" s="40"/>
      <c r="X615" s="40"/>
      <c r="Y615" s="40"/>
      <c r="Z615" s="40"/>
      <c r="AA615" s="40"/>
      <c r="AB615" s="40"/>
    </row>
    <row r="616">
      <c r="A616" s="805"/>
      <c r="B616" s="40"/>
      <c r="C616" s="40"/>
      <c r="D616" s="40"/>
      <c r="E616" s="40"/>
      <c r="F616" s="40"/>
      <c r="G616" s="40"/>
      <c r="H616" s="40"/>
      <c r="I616" s="40"/>
      <c r="J616" s="216"/>
      <c r="K616" s="40"/>
      <c r="L616" s="40"/>
      <c r="M616" s="40"/>
      <c r="N616" s="40"/>
      <c r="O616" s="40"/>
      <c r="P616" s="40"/>
      <c r="Q616" s="40"/>
      <c r="R616" s="40"/>
      <c r="S616" s="40"/>
      <c r="T616" s="40"/>
      <c r="U616" s="40"/>
      <c r="V616" s="40"/>
      <c r="W616" s="40"/>
      <c r="X616" s="40"/>
      <c r="Y616" s="40"/>
      <c r="Z616" s="40"/>
      <c r="AA616" s="40"/>
      <c r="AB616" s="40"/>
    </row>
    <row r="617">
      <c r="A617" s="805"/>
      <c r="B617" s="40"/>
      <c r="C617" s="40"/>
      <c r="D617" s="40"/>
      <c r="E617" s="40"/>
      <c r="F617" s="40"/>
      <c r="G617" s="40"/>
      <c r="H617" s="40"/>
      <c r="I617" s="40"/>
      <c r="J617" s="216"/>
      <c r="K617" s="40"/>
      <c r="L617" s="40"/>
      <c r="M617" s="40"/>
      <c r="N617" s="40"/>
      <c r="O617" s="40"/>
      <c r="P617" s="40"/>
      <c r="Q617" s="40"/>
      <c r="R617" s="40"/>
      <c r="S617" s="40"/>
      <c r="T617" s="40"/>
      <c r="U617" s="40"/>
      <c r="V617" s="40"/>
      <c r="W617" s="40"/>
      <c r="X617" s="40"/>
      <c r="Y617" s="40"/>
      <c r="Z617" s="40"/>
      <c r="AA617" s="40"/>
      <c r="AB617" s="40"/>
    </row>
    <row r="618">
      <c r="A618" s="805"/>
      <c r="B618" s="40"/>
      <c r="C618" s="40"/>
      <c r="D618" s="40"/>
      <c r="E618" s="40"/>
      <c r="F618" s="40"/>
      <c r="G618" s="40"/>
      <c r="H618" s="40"/>
      <c r="I618" s="40"/>
      <c r="J618" s="216"/>
      <c r="K618" s="40"/>
      <c r="L618" s="40"/>
      <c r="M618" s="40"/>
      <c r="N618" s="40"/>
      <c r="O618" s="40"/>
      <c r="P618" s="40"/>
      <c r="Q618" s="40"/>
      <c r="R618" s="40"/>
      <c r="S618" s="40"/>
      <c r="T618" s="40"/>
      <c r="U618" s="40"/>
      <c r="V618" s="40"/>
      <c r="W618" s="40"/>
      <c r="X618" s="40"/>
      <c r="Y618" s="40"/>
      <c r="Z618" s="40"/>
      <c r="AA618" s="40"/>
      <c r="AB618" s="40"/>
    </row>
    <row r="619">
      <c r="A619" s="805"/>
      <c r="B619" s="40"/>
      <c r="C619" s="40"/>
      <c r="D619" s="40"/>
      <c r="E619" s="40"/>
      <c r="F619" s="40"/>
      <c r="G619" s="40"/>
      <c r="H619" s="40"/>
      <c r="I619" s="40"/>
      <c r="J619" s="216"/>
      <c r="K619" s="40"/>
      <c r="L619" s="40"/>
      <c r="M619" s="40"/>
      <c r="N619" s="40"/>
      <c r="O619" s="40"/>
      <c r="P619" s="40"/>
      <c r="Q619" s="40"/>
      <c r="R619" s="40"/>
      <c r="S619" s="40"/>
      <c r="T619" s="40"/>
      <c r="U619" s="40"/>
      <c r="V619" s="40"/>
      <c r="W619" s="40"/>
      <c r="X619" s="40"/>
      <c r="Y619" s="40"/>
      <c r="Z619" s="40"/>
      <c r="AA619" s="40"/>
      <c r="AB619" s="40"/>
    </row>
    <row r="620">
      <c r="A620" s="805"/>
      <c r="B620" s="40"/>
      <c r="C620" s="40"/>
      <c r="D620" s="40"/>
      <c r="E620" s="40"/>
      <c r="F620" s="40"/>
      <c r="G620" s="40"/>
      <c r="H620" s="40"/>
      <c r="I620" s="40"/>
      <c r="J620" s="216"/>
      <c r="K620" s="40"/>
      <c r="L620" s="40"/>
      <c r="M620" s="40"/>
      <c r="N620" s="40"/>
      <c r="O620" s="40"/>
      <c r="P620" s="40"/>
      <c r="Q620" s="40"/>
      <c r="R620" s="40"/>
      <c r="S620" s="40"/>
      <c r="T620" s="40"/>
      <c r="U620" s="40"/>
      <c r="V620" s="40"/>
      <c r="W620" s="40"/>
      <c r="X620" s="40"/>
      <c r="Y620" s="40"/>
      <c r="Z620" s="40"/>
      <c r="AA620" s="40"/>
      <c r="AB620" s="40"/>
    </row>
    <row r="621">
      <c r="A621" s="805"/>
      <c r="B621" s="40"/>
      <c r="C621" s="40"/>
      <c r="D621" s="40"/>
      <c r="E621" s="40"/>
      <c r="F621" s="40"/>
      <c r="G621" s="40"/>
      <c r="H621" s="40"/>
      <c r="I621" s="40"/>
      <c r="J621" s="216"/>
      <c r="K621" s="40"/>
      <c r="L621" s="40"/>
      <c r="M621" s="40"/>
      <c r="N621" s="40"/>
      <c r="O621" s="40"/>
      <c r="P621" s="40"/>
      <c r="Q621" s="40"/>
      <c r="R621" s="40"/>
      <c r="S621" s="40"/>
      <c r="T621" s="40"/>
      <c r="U621" s="40"/>
      <c r="V621" s="40"/>
      <c r="W621" s="40"/>
      <c r="X621" s="40"/>
      <c r="Y621" s="40"/>
      <c r="Z621" s="40"/>
      <c r="AA621" s="40"/>
      <c r="AB621" s="40"/>
    </row>
    <row r="622">
      <c r="A622" s="805"/>
      <c r="B622" s="40"/>
      <c r="C622" s="40"/>
      <c r="D622" s="40"/>
      <c r="E622" s="40"/>
      <c r="F622" s="40"/>
      <c r="G622" s="40"/>
      <c r="H622" s="40"/>
      <c r="I622" s="40"/>
      <c r="J622" s="216"/>
      <c r="K622" s="40"/>
      <c r="L622" s="40"/>
      <c r="M622" s="40"/>
      <c r="N622" s="40"/>
      <c r="O622" s="40"/>
      <c r="P622" s="40"/>
      <c r="Q622" s="40"/>
      <c r="R622" s="40"/>
      <c r="S622" s="40"/>
      <c r="T622" s="40"/>
      <c r="U622" s="40"/>
      <c r="V622" s="40"/>
      <c r="W622" s="40"/>
      <c r="X622" s="40"/>
      <c r="Y622" s="40"/>
      <c r="Z622" s="40"/>
      <c r="AA622" s="40"/>
      <c r="AB622" s="40"/>
    </row>
    <row r="623">
      <c r="A623" s="805"/>
      <c r="B623" s="40"/>
      <c r="C623" s="40"/>
      <c r="D623" s="40"/>
      <c r="E623" s="40"/>
      <c r="F623" s="40"/>
      <c r="G623" s="40"/>
      <c r="H623" s="40"/>
      <c r="I623" s="40"/>
      <c r="J623" s="216"/>
      <c r="K623" s="40"/>
      <c r="L623" s="40"/>
      <c r="M623" s="40"/>
      <c r="N623" s="40"/>
      <c r="O623" s="40"/>
      <c r="P623" s="40"/>
      <c r="Q623" s="40"/>
      <c r="R623" s="40"/>
      <c r="S623" s="40"/>
      <c r="T623" s="40"/>
      <c r="U623" s="40"/>
      <c r="V623" s="40"/>
      <c r="W623" s="40"/>
      <c r="X623" s="40"/>
      <c r="Y623" s="40"/>
      <c r="Z623" s="40"/>
      <c r="AA623" s="40"/>
      <c r="AB623" s="40"/>
    </row>
    <row r="624">
      <c r="A624" s="805"/>
      <c r="B624" s="40"/>
      <c r="C624" s="40"/>
      <c r="D624" s="40"/>
      <c r="E624" s="40"/>
      <c r="F624" s="40"/>
      <c r="G624" s="40"/>
      <c r="H624" s="40"/>
      <c r="I624" s="40"/>
      <c r="J624" s="216"/>
      <c r="K624" s="40"/>
      <c r="L624" s="40"/>
      <c r="M624" s="40"/>
      <c r="N624" s="40"/>
      <c r="O624" s="40"/>
      <c r="P624" s="40"/>
      <c r="Q624" s="40"/>
      <c r="R624" s="40"/>
      <c r="S624" s="40"/>
      <c r="T624" s="40"/>
      <c r="U624" s="40"/>
      <c r="V624" s="40"/>
      <c r="W624" s="40"/>
      <c r="X624" s="40"/>
      <c r="Y624" s="40"/>
      <c r="Z624" s="40"/>
      <c r="AA624" s="40"/>
      <c r="AB624" s="40"/>
    </row>
    <row r="625">
      <c r="A625" s="805"/>
      <c r="B625" s="40"/>
      <c r="C625" s="40"/>
      <c r="D625" s="40"/>
      <c r="E625" s="40"/>
      <c r="F625" s="40"/>
      <c r="G625" s="40"/>
      <c r="H625" s="40"/>
      <c r="I625" s="40"/>
      <c r="J625" s="216"/>
      <c r="K625" s="40"/>
      <c r="L625" s="40"/>
      <c r="M625" s="40"/>
      <c r="N625" s="40"/>
      <c r="O625" s="40"/>
      <c r="P625" s="40"/>
      <c r="Q625" s="40"/>
      <c r="R625" s="40"/>
      <c r="S625" s="40"/>
      <c r="T625" s="40"/>
      <c r="U625" s="40"/>
      <c r="V625" s="40"/>
      <c r="W625" s="40"/>
      <c r="X625" s="40"/>
      <c r="Y625" s="40"/>
      <c r="Z625" s="40"/>
      <c r="AA625" s="40"/>
      <c r="AB625" s="40"/>
    </row>
    <row r="626">
      <c r="A626" s="805"/>
      <c r="B626" s="40"/>
      <c r="C626" s="40"/>
      <c r="D626" s="40"/>
      <c r="E626" s="40"/>
      <c r="F626" s="40"/>
      <c r="G626" s="40"/>
      <c r="H626" s="40"/>
      <c r="I626" s="40"/>
      <c r="J626" s="216"/>
      <c r="K626" s="40"/>
      <c r="L626" s="40"/>
      <c r="M626" s="40"/>
      <c r="N626" s="40"/>
      <c r="O626" s="40"/>
      <c r="P626" s="40"/>
      <c r="Q626" s="40"/>
      <c r="R626" s="40"/>
      <c r="S626" s="40"/>
      <c r="T626" s="40"/>
      <c r="U626" s="40"/>
      <c r="V626" s="40"/>
      <c r="W626" s="40"/>
      <c r="X626" s="40"/>
      <c r="Y626" s="40"/>
      <c r="Z626" s="40"/>
      <c r="AA626" s="40"/>
      <c r="AB626" s="40"/>
    </row>
    <row r="627">
      <c r="A627" s="805"/>
      <c r="B627" s="40"/>
      <c r="C627" s="40"/>
      <c r="D627" s="40"/>
      <c r="E627" s="40"/>
      <c r="F627" s="40"/>
      <c r="G627" s="40"/>
      <c r="H627" s="40"/>
      <c r="I627" s="40"/>
      <c r="J627" s="216"/>
      <c r="K627" s="40"/>
      <c r="L627" s="40"/>
      <c r="M627" s="40"/>
      <c r="N627" s="40"/>
      <c r="O627" s="40"/>
      <c r="P627" s="40"/>
      <c r="Q627" s="40"/>
      <c r="R627" s="40"/>
      <c r="S627" s="40"/>
      <c r="T627" s="40"/>
      <c r="U627" s="40"/>
      <c r="V627" s="40"/>
      <c r="W627" s="40"/>
      <c r="X627" s="40"/>
      <c r="Y627" s="40"/>
      <c r="Z627" s="40"/>
      <c r="AA627" s="40"/>
      <c r="AB627" s="40"/>
    </row>
    <row r="628">
      <c r="A628" s="805"/>
      <c r="B628" s="40"/>
      <c r="C628" s="40"/>
      <c r="D628" s="40"/>
      <c r="E628" s="40"/>
      <c r="F628" s="40"/>
      <c r="G628" s="40"/>
      <c r="H628" s="40"/>
      <c r="I628" s="40"/>
      <c r="J628" s="216"/>
      <c r="K628" s="40"/>
      <c r="L628" s="40"/>
      <c r="M628" s="40"/>
      <c r="N628" s="40"/>
      <c r="O628" s="40"/>
      <c r="P628" s="40"/>
      <c r="Q628" s="40"/>
      <c r="R628" s="40"/>
      <c r="S628" s="40"/>
      <c r="T628" s="40"/>
      <c r="U628" s="40"/>
      <c r="V628" s="40"/>
      <c r="W628" s="40"/>
      <c r="X628" s="40"/>
      <c r="Y628" s="40"/>
      <c r="Z628" s="40"/>
      <c r="AA628" s="40"/>
      <c r="AB628" s="40"/>
    </row>
    <row r="629">
      <c r="A629" s="805"/>
      <c r="B629" s="40"/>
      <c r="C629" s="40"/>
      <c r="D629" s="40"/>
      <c r="E629" s="40"/>
      <c r="F629" s="40"/>
      <c r="G629" s="40"/>
      <c r="H629" s="40"/>
      <c r="I629" s="40"/>
      <c r="J629" s="216"/>
      <c r="K629" s="40"/>
      <c r="L629" s="40"/>
      <c r="M629" s="40"/>
      <c r="N629" s="40"/>
      <c r="O629" s="40"/>
      <c r="P629" s="40"/>
      <c r="Q629" s="40"/>
      <c r="R629" s="40"/>
      <c r="S629" s="40"/>
      <c r="T629" s="40"/>
      <c r="U629" s="40"/>
      <c r="V629" s="40"/>
      <c r="W629" s="40"/>
      <c r="X629" s="40"/>
      <c r="Y629" s="40"/>
      <c r="Z629" s="40"/>
      <c r="AA629" s="40"/>
      <c r="AB629" s="40"/>
    </row>
    <row r="630">
      <c r="A630" s="805"/>
      <c r="B630" s="40"/>
      <c r="C630" s="40"/>
      <c r="D630" s="40"/>
      <c r="E630" s="40"/>
      <c r="F630" s="40"/>
      <c r="G630" s="40"/>
      <c r="H630" s="40"/>
      <c r="I630" s="40"/>
      <c r="J630" s="216"/>
      <c r="K630" s="40"/>
      <c r="L630" s="40"/>
      <c r="M630" s="40"/>
      <c r="N630" s="40"/>
      <c r="O630" s="40"/>
      <c r="P630" s="40"/>
      <c r="Q630" s="40"/>
      <c r="R630" s="40"/>
      <c r="S630" s="40"/>
      <c r="T630" s="40"/>
      <c r="U630" s="40"/>
      <c r="V630" s="40"/>
      <c r="W630" s="40"/>
      <c r="X630" s="40"/>
      <c r="Y630" s="40"/>
      <c r="Z630" s="40"/>
      <c r="AA630" s="40"/>
      <c r="AB630" s="40"/>
    </row>
    <row r="631">
      <c r="A631" s="805"/>
      <c r="B631" s="40"/>
      <c r="C631" s="40"/>
      <c r="D631" s="40"/>
      <c r="E631" s="40"/>
      <c r="F631" s="40"/>
      <c r="G631" s="40"/>
      <c r="H631" s="40"/>
      <c r="I631" s="40"/>
      <c r="J631" s="216"/>
      <c r="K631" s="40"/>
      <c r="L631" s="40"/>
      <c r="M631" s="40"/>
      <c r="N631" s="40"/>
      <c r="O631" s="40"/>
      <c r="P631" s="40"/>
      <c r="Q631" s="40"/>
      <c r="R631" s="40"/>
      <c r="S631" s="40"/>
      <c r="T631" s="40"/>
      <c r="U631" s="40"/>
      <c r="V631" s="40"/>
      <c r="W631" s="40"/>
      <c r="X631" s="40"/>
      <c r="Y631" s="40"/>
      <c r="Z631" s="40"/>
      <c r="AA631" s="40"/>
      <c r="AB631" s="40"/>
    </row>
    <row r="632">
      <c r="A632" s="805"/>
      <c r="B632" s="40"/>
      <c r="C632" s="40"/>
      <c r="D632" s="40"/>
      <c r="E632" s="40"/>
      <c r="F632" s="40"/>
      <c r="G632" s="40"/>
      <c r="H632" s="40"/>
      <c r="I632" s="40"/>
      <c r="J632" s="216"/>
      <c r="K632" s="40"/>
      <c r="L632" s="40"/>
      <c r="M632" s="40"/>
      <c r="N632" s="40"/>
      <c r="O632" s="40"/>
      <c r="P632" s="40"/>
      <c r="Q632" s="40"/>
      <c r="R632" s="40"/>
      <c r="S632" s="40"/>
      <c r="T632" s="40"/>
      <c r="U632" s="40"/>
      <c r="V632" s="40"/>
      <c r="W632" s="40"/>
      <c r="X632" s="40"/>
      <c r="Y632" s="40"/>
      <c r="Z632" s="40"/>
      <c r="AA632" s="40"/>
      <c r="AB632" s="40"/>
    </row>
    <row r="633">
      <c r="A633" s="805"/>
      <c r="B633" s="40"/>
      <c r="C633" s="40"/>
      <c r="D633" s="40"/>
      <c r="E633" s="40"/>
      <c r="F633" s="40"/>
      <c r="G633" s="40"/>
      <c r="H633" s="40"/>
      <c r="I633" s="40"/>
      <c r="J633" s="216"/>
      <c r="K633" s="40"/>
      <c r="L633" s="40"/>
      <c r="M633" s="40"/>
      <c r="N633" s="40"/>
      <c r="O633" s="40"/>
      <c r="P633" s="40"/>
      <c r="Q633" s="40"/>
      <c r="R633" s="40"/>
      <c r="S633" s="40"/>
      <c r="T633" s="40"/>
      <c r="U633" s="40"/>
      <c r="V633" s="40"/>
      <c r="W633" s="40"/>
      <c r="X633" s="40"/>
      <c r="Y633" s="40"/>
      <c r="Z633" s="40"/>
      <c r="AA633" s="40"/>
      <c r="AB633" s="40"/>
    </row>
    <row r="634">
      <c r="A634" s="805"/>
      <c r="B634" s="40"/>
      <c r="C634" s="40"/>
      <c r="D634" s="40"/>
      <c r="E634" s="40"/>
      <c r="F634" s="40"/>
      <c r="G634" s="40"/>
      <c r="H634" s="40"/>
      <c r="I634" s="40"/>
      <c r="J634" s="216"/>
      <c r="K634" s="40"/>
      <c r="L634" s="40"/>
      <c r="M634" s="40"/>
      <c r="N634" s="40"/>
      <c r="O634" s="40"/>
      <c r="P634" s="40"/>
      <c r="Q634" s="40"/>
      <c r="R634" s="40"/>
      <c r="S634" s="40"/>
      <c r="T634" s="40"/>
      <c r="U634" s="40"/>
      <c r="V634" s="40"/>
      <c r="W634" s="40"/>
      <c r="X634" s="40"/>
      <c r="Y634" s="40"/>
      <c r="Z634" s="40"/>
      <c r="AA634" s="40"/>
      <c r="AB634" s="40"/>
    </row>
    <row r="635">
      <c r="A635" s="805"/>
      <c r="B635" s="40"/>
      <c r="C635" s="40"/>
      <c r="D635" s="40"/>
      <c r="E635" s="40"/>
      <c r="F635" s="40"/>
      <c r="G635" s="40"/>
      <c r="H635" s="40"/>
      <c r="I635" s="40"/>
      <c r="J635" s="216"/>
      <c r="K635" s="40"/>
      <c r="L635" s="40"/>
      <c r="M635" s="40"/>
      <c r="N635" s="40"/>
      <c r="O635" s="40"/>
      <c r="P635" s="40"/>
      <c r="Q635" s="40"/>
      <c r="R635" s="40"/>
      <c r="S635" s="40"/>
      <c r="T635" s="40"/>
      <c r="U635" s="40"/>
      <c r="V635" s="40"/>
      <c r="W635" s="40"/>
      <c r="X635" s="40"/>
      <c r="Y635" s="40"/>
      <c r="Z635" s="40"/>
      <c r="AA635" s="40"/>
      <c r="AB635" s="40"/>
    </row>
    <row r="636">
      <c r="A636" s="805"/>
      <c r="B636" s="40"/>
      <c r="C636" s="40"/>
      <c r="D636" s="40"/>
      <c r="E636" s="40"/>
      <c r="F636" s="40"/>
      <c r="G636" s="40"/>
      <c r="H636" s="40"/>
      <c r="I636" s="40"/>
      <c r="J636" s="216"/>
      <c r="K636" s="40"/>
      <c r="L636" s="40"/>
      <c r="M636" s="40"/>
      <c r="N636" s="40"/>
      <c r="O636" s="40"/>
      <c r="P636" s="40"/>
      <c r="Q636" s="40"/>
      <c r="R636" s="40"/>
      <c r="S636" s="40"/>
      <c r="T636" s="40"/>
      <c r="U636" s="40"/>
      <c r="V636" s="40"/>
      <c r="W636" s="40"/>
      <c r="X636" s="40"/>
      <c r="Y636" s="40"/>
      <c r="Z636" s="40"/>
      <c r="AA636" s="40"/>
      <c r="AB636" s="40"/>
    </row>
    <row r="637">
      <c r="A637" s="805"/>
      <c r="B637" s="40"/>
      <c r="C637" s="40"/>
      <c r="D637" s="40"/>
      <c r="E637" s="40"/>
      <c r="F637" s="40"/>
      <c r="G637" s="40"/>
      <c r="H637" s="40"/>
      <c r="I637" s="40"/>
      <c r="J637" s="216"/>
      <c r="K637" s="40"/>
      <c r="L637" s="40"/>
      <c r="M637" s="40"/>
      <c r="N637" s="40"/>
      <c r="O637" s="40"/>
      <c r="P637" s="40"/>
      <c r="Q637" s="40"/>
      <c r="R637" s="40"/>
      <c r="S637" s="40"/>
      <c r="T637" s="40"/>
      <c r="U637" s="40"/>
      <c r="V637" s="40"/>
      <c r="W637" s="40"/>
      <c r="X637" s="40"/>
      <c r="Y637" s="40"/>
      <c r="Z637" s="40"/>
      <c r="AA637" s="40"/>
      <c r="AB637" s="40"/>
    </row>
    <row r="638">
      <c r="A638" s="805"/>
      <c r="B638" s="40"/>
      <c r="C638" s="40"/>
      <c r="D638" s="40"/>
      <c r="E638" s="40"/>
      <c r="F638" s="40"/>
      <c r="G638" s="40"/>
      <c r="H638" s="40"/>
      <c r="I638" s="40"/>
      <c r="J638" s="216"/>
      <c r="K638" s="40"/>
      <c r="L638" s="40"/>
      <c r="M638" s="40"/>
      <c r="N638" s="40"/>
      <c r="O638" s="40"/>
      <c r="P638" s="40"/>
      <c r="Q638" s="40"/>
      <c r="R638" s="40"/>
      <c r="S638" s="40"/>
      <c r="T638" s="40"/>
      <c r="U638" s="40"/>
      <c r="V638" s="40"/>
      <c r="W638" s="40"/>
      <c r="X638" s="40"/>
      <c r="Y638" s="40"/>
      <c r="Z638" s="40"/>
      <c r="AA638" s="40"/>
      <c r="AB638" s="40"/>
    </row>
    <row r="639">
      <c r="A639" s="805"/>
      <c r="B639" s="40"/>
      <c r="C639" s="40"/>
      <c r="D639" s="40"/>
      <c r="E639" s="40"/>
      <c r="F639" s="40"/>
      <c r="G639" s="40"/>
      <c r="H639" s="40"/>
      <c r="I639" s="40"/>
      <c r="J639" s="216"/>
      <c r="K639" s="40"/>
      <c r="L639" s="40"/>
      <c r="M639" s="40"/>
      <c r="N639" s="40"/>
      <c r="O639" s="40"/>
      <c r="P639" s="40"/>
      <c r="Q639" s="40"/>
      <c r="R639" s="40"/>
      <c r="S639" s="40"/>
      <c r="T639" s="40"/>
      <c r="U639" s="40"/>
      <c r="V639" s="40"/>
      <c r="W639" s="40"/>
      <c r="X639" s="40"/>
      <c r="Y639" s="40"/>
      <c r="Z639" s="40"/>
      <c r="AA639" s="40"/>
      <c r="AB639" s="40"/>
    </row>
    <row r="640">
      <c r="A640" s="805"/>
      <c r="B640" s="40"/>
      <c r="C640" s="40"/>
      <c r="D640" s="40"/>
      <c r="E640" s="40"/>
      <c r="F640" s="40"/>
      <c r="G640" s="40"/>
      <c r="H640" s="40"/>
      <c r="I640" s="40"/>
      <c r="J640" s="216"/>
      <c r="K640" s="40"/>
      <c r="L640" s="40"/>
      <c r="M640" s="40"/>
      <c r="N640" s="40"/>
      <c r="O640" s="40"/>
      <c r="P640" s="40"/>
      <c r="Q640" s="40"/>
      <c r="R640" s="40"/>
      <c r="S640" s="40"/>
      <c r="T640" s="40"/>
      <c r="U640" s="40"/>
      <c r="V640" s="40"/>
      <c r="W640" s="40"/>
      <c r="X640" s="40"/>
      <c r="Y640" s="40"/>
      <c r="Z640" s="40"/>
      <c r="AA640" s="40"/>
      <c r="AB640" s="40"/>
    </row>
    <row r="641">
      <c r="A641" s="805"/>
      <c r="B641" s="40"/>
      <c r="C641" s="40"/>
      <c r="D641" s="40"/>
      <c r="E641" s="40"/>
      <c r="F641" s="40"/>
      <c r="G641" s="40"/>
      <c r="H641" s="40"/>
      <c r="I641" s="40"/>
      <c r="J641" s="216"/>
      <c r="K641" s="40"/>
      <c r="L641" s="40"/>
      <c r="M641" s="40"/>
      <c r="N641" s="40"/>
      <c r="O641" s="40"/>
      <c r="P641" s="40"/>
      <c r="Q641" s="40"/>
      <c r="R641" s="40"/>
      <c r="S641" s="40"/>
      <c r="T641" s="40"/>
      <c r="U641" s="40"/>
      <c r="V641" s="40"/>
      <c r="W641" s="40"/>
      <c r="X641" s="40"/>
      <c r="Y641" s="40"/>
      <c r="Z641" s="40"/>
      <c r="AA641" s="40"/>
      <c r="AB641" s="40"/>
    </row>
    <row r="642">
      <c r="A642" s="805"/>
      <c r="B642" s="40"/>
      <c r="C642" s="40"/>
      <c r="D642" s="40"/>
      <c r="E642" s="40"/>
      <c r="F642" s="40"/>
      <c r="G642" s="40"/>
      <c r="H642" s="40"/>
      <c r="I642" s="40"/>
      <c r="J642" s="216"/>
      <c r="K642" s="40"/>
      <c r="L642" s="40"/>
      <c r="M642" s="40"/>
      <c r="N642" s="40"/>
      <c r="O642" s="40"/>
      <c r="P642" s="40"/>
      <c r="Q642" s="40"/>
      <c r="R642" s="40"/>
      <c r="S642" s="40"/>
      <c r="T642" s="40"/>
      <c r="U642" s="40"/>
      <c r="V642" s="40"/>
      <c r="W642" s="40"/>
      <c r="X642" s="40"/>
      <c r="Y642" s="40"/>
      <c r="Z642" s="40"/>
      <c r="AA642" s="40"/>
      <c r="AB642" s="40"/>
    </row>
    <row r="643">
      <c r="A643" s="805"/>
      <c r="B643" s="40"/>
      <c r="C643" s="40"/>
      <c r="D643" s="40"/>
      <c r="E643" s="40"/>
      <c r="F643" s="40"/>
      <c r="G643" s="40"/>
      <c r="H643" s="40"/>
      <c r="I643" s="40"/>
      <c r="J643" s="216"/>
      <c r="K643" s="40"/>
      <c r="L643" s="40"/>
      <c r="M643" s="40"/>
      <c r="N643" s="40"/>
      <c r="O643" s="40"/>
      <c r="P643" s="40"/>
      <c r="Q643" s="40"/>
      <c r="R643" s="40"/>
      <c r="S643" s="40"/>
      <c r="T643" s="40"/>
      <c r="U643" s="40"/>
      <c r="V643" s="40"/>
      <c r="W643" s="40"/>
      <c r="X643" s="40"/>
      <c r="Y643" s="40"/>
      <c r="Z643" s="40"/>
      <c r="AA643" s="40"/>
      <c r="AB643" s="40"/>
    </row>
    <row r="644">
      <c r="A644" s="805"/>
      <c r="B644" s="40"/>
      <c r="C644" s="40"/>
      <c r="D644" s="40"/>
      <c r="E644" s="40"/>
      <c r="F644" s="40"/>
      <c r="G644" s="40"/>
      <c r="H644" s="40"/>
      <c r="I644" s="40"/>
      <c r="J644" s="216"/>
      <c r="K644" s="40"/>
      <c r="L644" s="40"/>
      <c r="M644" s="40"/>
      <c r="N644" s="40"/>
      <c r="O644" s="40"/>
      <c r="P644" s="40"/>
      <c r="Q644" s="40"/>
      <c r="R644" s="40"/>
      <c r="S644" s="40"/>
      <c r="T644" s="40"/>
      <c r="U644" s="40"/>
      <c r="V644" s="40"/>
      <c r="W644" s="40"/>
      <c r="X644" s="40"/>
      <c r="Y644" s="40"/>
      <c r="Z644" s="40"/>
      <c r="AA644" s="40"/>
      <c r="AB644" s="40"/>
    </row>
    <row r="645">
      <c r="A645" s="805"/>
      <c r="B645" s="40"/>
      <c r="C645" s="40"/>
      <c r="D645" s="40"/>
      <c r="E645" s="40"/>
      <c r="F645" s="40"/>
      <c r="G645" s="40"/>
      <c r="H645" s="40"/>
      <c r="I645" s="40"/>
      <c r="J645" s="216"/>
      <c r="K645" s="40"/>
      <c r="L645" s="40"/>
      <c r="M645" s="40"/>
      <c r="N645" s="40"/>
      <c r="O645" s="40"/>
      <c r="P645" s="40"/>
      <c r="Q645" s="40"/>
      <c r="R645" s="40"/>
      <c r="S645" s="40"/>
      <c r="T645" s="40"/>
      <c r="U645" s="40"/>
      <c r="V645" s="40"/>
      <c r="W645" s="40"/>
      <c r="X645" s="40"/>
      <c r="Y645" s="40"/>
      <c r="Z645" s="40"/>
      <c r="AA645" s="40"/>
      <c r="AB645" s="40"/>
    </row>
    <row r="646">
      <c r="A646" s="805"/>
      <c r="B646" s="40"/>
      <c r="C646" s="40"/>
      <c r="D646" s="40"/>
      <c r="E646" s="40"/>
      <c r="F646" s="40"/>
      <c r="G646" s="40"/>
      <c r="H646" s="40"/>
      <c r="I646" s="40"/>
      <c r="J646" s="216"/>
      <c r="K646" s="40"/>
      <c r="L646" s="40"/>
      <c r="M646" s="40"/>
      <c r="N646" s="40"/>
      <c r="O646" s="40"/>
      <c r="P646" s="40"/>
      <c r="Q646" s="40"/>
      <c r="R646" s="40"/>
      <c r="S646" s="40"/>
      <c r="T646" s="40"/>
      <c r="U646" s="40"/>
      <c r="V646" s="40"/>
      <c r="W646" s="40"/>
      <c r="X646" s="40"/>
      <c r="Y646" s="40"/>
      <c r="Z646" s="40"/>
      <c r="AA646" s="40"/>
      <c r="AB646" s="40"/>
    </row>
    <row r="647">
      <c r="A647" s="805"/>
      <c r="B647" s="40"/>
      <c r="C647" s="40"/>
      <c r="D647" s="40"/>
      <c r="E647" s="40"/>
      <c r="F647" s="40"/>
      <c r="G647" s="40"/>
      <c r="H647" s="40"/>
      <c r="I647" s="40"/>
      <c r="J647" s="216"/>
      <c r="K647" s="40"/>
      <c r="L647" s="40"/>
      <c r="M647" s="40"/>
      <c r="N647" s="40"/>
      <c r="O647" s="40"/>
      <c r="P647" s="40"/>
      <c r="Q647" s="40"/>
      <c r="R647" s="40"/>
      <c r="S647" s="40"/>
      <c r="T647" s="40"/>
      <c r="U647" s="40"/>
      <c r="V647" s="40"/>
      <c r="W647" s="40"/>
      <c r="X647" s="40"/>
      <c r="Y647" s="40"/>
      <c r="Z647" s="40"/>
      <c r="AA647" s="40"/>
      <c r="AB647" s="40"/>
    </row>
    <row r="648">
      <c r="A648" s="805"/>
      <c r="B648" s="40"/>
      <c r="C648" s="40"/>
      <c r="D648" s="40"/>
      <c r="E648" s="40"/>
      <c r="F648" s="40"/>
      <c r="G648" s="40"/>
      <c r="H648" s="40"/>
      <c r="I648" s="40"/>
      <c r="J648" s="216"/>
      <c r="K648" s="40"/>
      <c r="L648" s="40"/>
      <c r="M648" s="40"/>
      <c r="N648" s="40"/>
      <c r="O648" s="40"/>
      <c r="P648" s="40"/>
      <c r="Q648" s="40"/>
      <c r="R648" s="40"/>
      <c r="S648" s="40"/>
      <c r="T648" s="40"/>
      <c r="U648" s="40"/>
      <c r="V648" s="40"/>
      <c r="W648" s="40"/>
      <c r="X648" s="40"/>
      <c r="Y648" s="40"/>
      <c r="Z648" s="40"/>
      <c r="AA648" s="40"/>
      <c r="AB648" s="40"/>
    </row>
    <row r="649">
      <c r="A649" s="805"/>
      <c r="B649" s="40"/>
      <c r="C649" s="40"/>
      <c r="D649" s="40"/>
      <c r="E649" s="40"/>
      <c r="F649" s="40"/>
      <c r="G649" s="40"/>
      <c r="H649" s="40"/>
      <c r="I649" s="40"/>
      <c r="J649" s="216"/>
      <c r="K649" s="40"/>
      <c r="L649" s="40"/>
      <c r="M649" s="40"/>
      <c r="N649" s="40"/>
      <c r="O649" s="40"/>
      <c r="P649" s="40"/>
      <c r="Q649" s="40"/>
      <c r="R649" s="40"/>
      <c r="S649" s="40"/>
      <c r="T649" s="40"/>
      <c r="U649" s="40"/>
      <c r="V649" s="40"/>
      <c r="W649" s="40"/>
      <c r="X649" s="40"/>
      <c r="Y649" s="40"/>
      <c r="Z649" s="40"/>
      <c r="AA649" s="40"/>
      <c r="AB649" s="40"/>
    </row>
    <row r="650">
      <c r="A650" s="805"/>
      <c r="B650" s="40"/>
      <c r="C650" s="40"/>
      <c r="D650" s="40"/>
      <c r="E650" s="40"/>
      <c r="F650" s="40"/>
      <c r="G650" s="40"/>
      <c r="H650" s="40"/>
      <c r="I650" s="40"/>
      <c r="J650" s="216"/>
      <c r="K650" s="40"/>
      <c r="L650" s="40"/>
      <c r="M650" s="40"/>
      <c r="N650" s="40"/>
      <c r="O650" s="40"/>
      <c r="P650" s="40"/>
      <c r="Q650" s="40"/>
      <c r="R650" s="40"/>
      <c r="S650" s="40"/>
      <c r="T650" s="40"/>
      <c r="U650" s="40"/>
      <c r="V650" s="40"/>
      <c r="W650" s="40"/>
      <c r="X650" s="40"/>
      <c r="Y650" s="40"/>
      <c r="Z650" s="40"/>
      <c r="AA650" s="40"/>
      <c r="AB650" s="40"/>
    </row>
    <row r="651">
      <c r="A651" s="805"/>
      <c r="B651" s="40"/>
      <c r="C651" s="40"/>
      <c r="D651" s="40"/>
      <c r="E651" s="40"/>
      <c r="F651" s="40"/>
      <c r="G651" s="40"/>
      <c r="H651" s="40"/>
      <c r="I651" s="40"/>
      <c r="J651" s="216"/>
      <c r="K651" s="40"/>
      <c r="L651" s="40"/>
      <c r="M651" s="40"/>
      <c r="N651" s="40"/>
      <c r="O651" s="40"/>
      <c r="P651" s="40"/>
      <c r="Q651" s="40"/>
      <c r="R651" s="40"/>
      <c r="S651" s="40"/>
      <c r="T651" s="40"/>
      <c r="U651" s="40"/>
      <c r="V651" s="40"/>
      <c r="W651" s="40"/>
      <c r="X651" s="40"/>
      <c r="Y651" s="40"/>
      <c r="Z651" s="40"/>
      <c r="AA651" s="40"/>
      <c r="AB651" s="40"/>
    </row>
    <row r="652">
      <c r="A652" s="805"/>
      <c r="B652" s="40"/>
      <c r="C652" s="40"/>
      <c r="D652" s="40"/>
      <c r="E652" s="40"/>
      <c r="F652" s="40"/>
      <c r="G652" s="40"/>
      <c r="H652" s="40"/>
      <c r="I652" s="40"/>
      <c r="J652" s="216"/>
      <c r="K652" s="40"/>
      <c r="L652" s="40"/>
      <c r="M652" s="40"/>
      <c r="N652" s="40"/>
      <c r="O652" s="40"/>
      <c r="P652" s="40"/>
      <c r="Q652" s="40"/>
      <c r="R652" s="40"/>
      <c r="S652" s="40"/>
      <c r="T652" s="40"/>
      <c r="U652" s="40"/>
      <c r="V652" s="40"/>
      <c r="W652" s="40"/>
      <c r="X652" s="40"/>
      <c r="Y652" s="40"/>
      <c r="Z652" s="40"/>
      <c r="AA652" s="40"/>
      <c r="AB652" s="40"/>
    </row>
    <row r="653">
      <c r="A653" s="805"/>
      <c r="B653" s="40"/>
      <c r="C653" s="40"/>
      <c r="D653" s="40"/>
      <c r="E653" s="40"/>
      <c r="F653" s="40"/>
      <c r="G653" s="40"/>
      <c r="H653" s="40"/>
      <c r="I653" s="40"/>
      <c r="J653" s="216"/>
      <c r="K653" s="40"/>
      <c r="L653" s="40"/>
      <c r="M653" s="40"/>
      <c r="N653" s="40"/>
      <c r="O653" s="40"/>
      <c r="P653" s="40"/>
      <c r="Q653" s="40"/>
      <c r="R653" s="40"/>
      <c r="S653" s="40"/>
      <c r="T653" s="40"/>
      <c r="U653" s="40"/>
      <c r="V653" s="40"/>
      <c r="W653" s="40"/>
      <c r="X653" s="40"/>
      <c r="Y653" s="40"/>
      <c r="Z653" s="40"/>
      <c r="AA653" s="40"/>
      <c r="AB653" s="40"/>
    </row>
    <row r="654">
      <c r="A654" s="805"/>
      <c r="B654" s="40"/>
      <c r="C654" s="40"/>
      <c r="D654" s="40"/>
      <c r="E654" s="40"/>
      <c r="F654" s="40"/>
      <c r="G654" s="40"/>
      <c r="H654" s="40"/>
      <c r="I654" s="40"/>
      <c r="J654" s="216"/>
      <c r="K654" s="40"/>
      <c r="L654" s="40"/>
      <c r="M654" s="40"/>
      <c r="N654" s="40"/>
      <c r="O654" s="40"/>
      <c r="P654" s="40"/>
      <c r="Q654" s="40"/>
      <c r="R654" s="40"/>
      <c r="S654" s="40"/>
      <c r="T654" s="40"/>
      <c r="U654" s="40"/>
      <c r="V654" s="40"/>
      <c r="W654" s="40"/>
      <c r="X654" s="40"/>
      <c r="Y654" s="40"/>
      <c r="Z654" s="40"/>
      <c r="AA654" s="40"/>
      <c r="AB654" s="40"/>
    </row>
    <row r="655">
      <c r="A655" s="805"/>
      <c r="B655" s="40"/>
      <c r="C655" s="40"/>
      <c r="D655" s="40"/>
      <c r="E655" s="40"/>
      <c r="F655" s="40"/>
      <c r="G655" s="40"/>
      <c r="H655" s="40"/>
      <c r="I655" s="40"/>
      <c r="J655" s="216"/>
      <c r="K655" s="40"/>
      <c r="L655" s="40"/>
      <c r="M655" s="40"/>
      <c r="N655" s="40"/>
      <c r="O655" s="40"/>
      <c r="P655" s="40"/>
      <c r="Q655" s="40"/>
      <c r="R655" s="40"/>
      <c r="S655" s="40"/>
      <c r="T655" s="40"/>
      <c r="U655" s="40"/>
      <c r="V655" s="40"/>
      <c r="W655" s="40"/>
      <c r="X655" s="40"/>
      <c r="Y655" s="40"/>
      <c r="Z655" s="40"/>
      <c r="AA655" s="40"/>
      <c r="AB655" s="40"/>
    </row>
    <row r="656">
      <c r="A656" s="805"/>
      <c r="B656" s="40"/>
      <c r="C656" s="40"/>
      <c r="D656" s="40"/>
      <c r="E656" s="40"/>
      <c r="F656" s="40"/>
      <c r="G656" s="40"/>
      <c r="H656" s="40"/>
      <c r="I656" s="40"/>
      <c r="J656" s="216"/>
      <c r="K656" s="40"/>
      <c r="L656" s="40"/>
      <c r="M656" s="40"/>
      <c r="N656" s="40"/>
      <c r="O656" s="40"/>
      <c r="P656" s="40"/>
      <c r="Q656" s="40"/>
      <c r="R656" s="40"/>
      <c r="S656" s="40"/>
      <c r="T656" s="40"/>
      <c r="U656" s="40"/>
      <c r="V656" s="40"/>
      <c r="W656" s="40"/>
      <c r="X656" s="40"/>
      <c r="Y656" s="40"/>
      <c r="Z656" s="40"/>
      <c r="AA656" s="40"/>
      <c r="AB656" s="40"/>
    </row>
    <row r="657">
      <c r="A657" s="805"/>
      <c r="B657" s="40"/>
      <c r="C657" s="40"/>
      <c r="D657" s="40"/>
      <c r="E657" s="40"/>
      <c r="F657" s="40"/>
      <c r="G657" s="40"/>
      <c r="H657" s="40"/>
      <c r="I657" s="40"/>
      <c r="J657" s="216"/>
      <c r="K657" s="40"/>
      <c r="L657" s="40"/>
      <c r="M657" s="40"/>
      <c r="N657" s="40"/>
      <c r="O657" s="40"/>
      <c r="P657" s="40"/>
      <c r="Q657" s="40"/>
      <c r="R657" s="40"/>
      <c r="S657" s="40"/>
      <c r="T657" s="40"/>
      <c r="U657" s="40"/>
      <c r="V657" s="40"/>
      <c r="W657" s="40"/>
      <c r="X657" s="40"/>
      <c r="Y657" s="40"/>
      <c r="Z657" s="40"/>
      <c r="AA657" s="40"/>
      <c r="AB657" s="40"/>
    </row>
    <row r="658">
      <c r="A658" s="805"/>
      <c r="B658" s="40"/>
      <c r="C658" s="40"/>
      <c r="D658" s="40"/>
      <c r="E658" s="40"/>
      <c r="F658" s="40"/>
      <c r="G658" s="40"/>
      <c r="H658" s="40"/>
      <c r="I658" s="40"/>
      <c r="J658" s="216"/>
      <c r="K658" s="40"/>
      <c r="L658" s="40"/>
      <c r="M658" s="40"/>
      <c r="N658" s="40"/>
      <c r="O658" s="40"/>
      <c r="P658" s="40"/>
      <c r="Q658" s="40"/>
      <c r="R658" s="40"/>
      <c r="S658" s="40"/>
      <c r="T658" s="40"/>
      <c r="U658" s="40"/>
      <c r="V658" s="40"/>
      <c r="W658" s="40"/>
      <c r="X658" s="40"/>
      <c r="Y658" s="40"/>
      <c r="Z658" s="40"/>
      <c r="AA658" s="40"/>
      <c r="AB658" s="40"/>
    </row>
    <row r="659">
      <c r="A659" s="805"/>
      <c r="B659" s="40"/>
      <c r="C659" s="40"/>
      <c r="D659" s="40"/>
      <c r="E659" s="40"/>
      <c r="F659" s="40"/>
      <c r="G659" s="40"/>
      <c r="H659" s="40"/>
      <c r="I659" s="40"/>
      <c r="J659" s="216"/>
      <c r="K659" s="40"/>
      <c r="L659" s="40"/>
      <c r="M659" s="40"/>
      <c r="N659" s="40"/>
      <c r="O659" s="40"/>
      <c r="P659" s="40"/>
      <c r="Q659" s="40"/>
      <c r="R659" s="40"/>
      <c r="S659" s="40"/>
      <c r="T659" s="40"/>
      <c r="U659" s="40"/>
      <c r="V659" s="40"/>
      <c r="W659" s="40"/>
      <c r="X659" s="40"/>
      <c r="Y659" s="40"/>
      <c r="Z659" s="40"/>
      <c r="AA659" s="40"/>
      <c r="AB659" s="40"/>
    </row>
    <row r="660">
      <c r="A660" s="805"/>
      <c r="B660" s="40"/>
      <c r="C660" s="40"/>
      <c r="D660" s="40"/>
      <c r="E660" s="40"/>
      <c r="F660" s="40"/>
      <c r="G660" s="40"/>
      <c r="H660" s="40"/>
      <c r="I660" s="40"/>
      <c r="J660" s="216"/>
      <c r="K660" s="40"/>
      <c r="L660" s="40"/>
      <c r="M660" s="40"/>
      <c r="N660" s="40"/>
      <c r="O660" s="40"/>
      <c r="P660" s="40"/>
      <c r="Q660" s="40"/>
      <c r="R660" s="40"/>
      <c r="S660" s="40"/>
      <c r="T660" s="40"/>
      <c r="U660" s="40"/>
      <c r="V660" s="40"/>
      <c r="W660" s="40"/>
      <c r="X660" s="40"/>
      <c r="Y660" s="40"/>
      <c r="Z660" s="40"/>
      <c r="AA660" s="40"/>
      <c r="AB660" s="40"/>
    </row>
    <row r="661">
      <c r="A661" s="805"/>
      <c r="B661" s="40"/>
      <c r="C661" s="40"/>
      <c r="D661" s="40"/>
      <c r="E661" s="40"/>
      <c r="F661" s="40"/>
      <c r="G661" s="40"/>
      <c r="H661" s="40"/>
      <c r="I661" s="40"/>
      <c r="J661" s="216"/>
      <c r="K661" s="40"/>
      <c r="L661" s="40"/>
      <c r="M661" s="40"/>
      <c r="N661" s="40"/>
      <c r="O661" s="40"/>
      <c r="P661" s="40"/>
      <c r="Q661" s="40"/>
      <c r="R661" s="40"/>
      <c r="S661" s="40"/>
      <c r="T661" s="40"/>
      <c r="U661" s="40"/>
      <c r="V661" s="40"/>
      <c r="W661" s="40"/>
      <c r="X661" s="40"/>
      <c r="Y661" s="40"/>
      <c r="Z661" s="40"/>
      <c r="AA661" s="40"/>
      <c r="AB661" s="40"/>
    </row>
    <row r="662">
      <c r="A662" s="805"/>
      <c r="B662" s="40"/>
      <c r="C662" s="40"/>
      <c r="D662" s="40"/>
      <c r="E662" s="40"/>
      <c r="F662" s="40"/>
      <c r="G662" s="40"/>
      <c r="H662" s="40"/>
      <c r="I662" s="40"/>
      <c r="J662" s="216"/>
      <c r="K662" s="40"/>
      <c r="L662" s="40"/>
      <c r="M662" s="40"/>
      <c r="N662" s="40"/>
      <c r="O662" s="40"/>
      <c r="P662" s="40"/>
      <c r="Q662" s="40"/>
      <c r="R662" s="40"/>
      <c r="S662" s="40"/>
      <c r="T662" s="40"/>
      <c r="U662" s="40"/>
      <c r="V662" s="40"/>
      <c r="W662" s="40"/>
      <c r="X662" s="40"/>
      <c r="Y662" s="40"/>
      <c r="Z662" s="40"/>
      <c r="AA662" s="40"/>
      <c r="AB662" s="40"/>
    </row>
    <row r="663">
      <c r="A663" s="805"/>
      <c r="B663" s="40"/>
      <c r="C663" s="40"/>
      <c r="D663" s="40"/>
      <c r="E663" s="40"/>
      <c r="F663" s="40"/>
      <c r="G663" s="40"/>
      <c r="H663" s="40"/>
      <c r="I663" s="40"/>
      <c r="J663" s="216"/>
      <c r="K663" s="40"/>
      <c r="L663" s="40"/>
      <c r="M663" s="40"/>
      <c r="N663" s="40"/>
      <c r="O663" s="40"/>
      <c r="P663" s="40"/>
      <c r="Q663" s="40"/>
      <c r="R663" s="40"/>
      <c r="S663" s="40"/>
      <c r="T663" s="40"/>
      <c r="U663" s="40"/>
      <c r="V663" s="40"/>
      <c r="W663" s="40"/>
      <c r="X663" s="40"/>
      <c r="Y663" s="40"/>
      <c r="Z663" s="40"/>
      <c r="AA663" s="40"/>
      <c r="AB663" s="40"/>
    </row>
    <row r="664">
      <c r="A664" s="805"/>
      <c r="B664" s="40"/>
      <c r="C664" s="40"/>
      <c r="D664" s="40"/>
      <c r="E664" s="40"/>
      <c r="F664" s="40"/>
      <c r="G664" s="40"/>
      <c r="H664" s="40"/>
      <c r="I664" s="40"/>
      <c r="J664" s="216"/>
      <c r="K664" s="40"/>
      <c r="L664" s="40"/>
      <c r="M664" s="40"/>
      <c r="N664" s="40"/>
      <c r="O664" s="40"/>
      <c r="P664" s="40"/>
      <c r="Q664" s="40"/>
      <c r="R664" s="40"/>
      <c r="S664" s="40"/>
      <c r="T664" s="40"/>
      <c r="U664" s="40"/>
      <c r="V664" s="40"/>
      <c r="W664" s="40"/>
      <c r="X664" s="40"/>
      <c r="Y664" s="40"/>
      <c r="Z664" s="40"/>
      <c r="AA664" s="40"/>
      <c r="AB664" s="40"/>
    </row>
    <row r="665">
      <c r="A665" s="805"/>
      <c r="B665" s="40"/>
      <c r="C665" s="40"/>
      <c r="D665" s="40"/>
      <c r="E665" s="40"/>
      <c r="F665" s="40"/>
      <c r="G665" s="40"/>
      <c r="H665" s="40"/>
      <c r="I665" s="40"/>
      <c r="J665" s="216"/>
      <c r="K665" s="40"/>
      <c r="L665" s="40"/>
      <c r="M665" s="40"/>
      <c r="N665" s="40"/>
      <c r="O665" s="40"/>
      <c r="P665" s="40"/>
      <c r="Q665" s="40"/>
      <c r="R665" s="40"/>
      <c r="S665" s="40"/>
      <c r="T665" s="40"/>
      <c r="U665" s="40"/>
      <c r="V665" s="40"/>
      <c r="W665" s="40"/>
      <c r="X665" s="40"/>
      <c r="Y665" s="40"/>
      <c r="Z665" s="40"/>
      <c r="AA665" s="40"/>
      <c r="AB665" s="40"/>
    </row>
    <row r="666">
      <c r="A666" s="805"/>
      <c r="B666" s="40"/>
      <c r="C666" s="40"/>
      <c r="D666" s="40"/>
      <c r="E666" s="40"/>
      <c r="F666" s="40"/>
      <c r="G666" s="40"/>
      <c r="H666" s="40"/>
      <c r="I666" s="40"/>
      <c r="J666" s="216"/>
      <c r="K666" s="40"/>
      <c r="L666" s="40"/>
      <c r="M666" s="40"/>
      <c r="N666" s="40"/>
      <c r="O666" s="40"/>
      <c r="P666" s="40"/>
      <c r="Q666" s="40"/>
      <c r="R666" s="40"/>
      <c r="S666" s="40"/>
      <c r="T666" s="40"/>
      <c r="U666" s="40"/>
      <c r="V666" s="40"/>
      <c r="W666" s="40"/>
      <c r="X666" s="40"/>
      <c r="Y666" s="40"/>
      <c r="Z666" s="40"/>
      <c r="AA666" s="40"/>
      <c r="AB666" s="40"/>
    </row>
    <row r="667">
      <c r="A667" s="805"/>
      <c r="B667" s="40"/>
      <c r="C667" s="40"/>
      <c r="D667" s="40"/>
      <c r="E667" s="40"/>
      <c r="F667" s="40"/>
      <c r="G667" s="40"/>
      <c r="H667" s="40"/>
      <c r="I667" s="40"/>
      <c r="J667" s="216"/>
      <c r="K667" s="40"/>
      <c r="L667" s="40"/>
      <c r="M667" s="40"/>
      <c r="N667" s="40"/>
      <c r="O667" s="40"/>
      <c r="P667" s="40"/>
      <c r="Q667" s="40"/>
      <c r="R667" s="40"/>
      <c r="S667" s="40"/>
      <c r="T667" s="40"/>
      <c r="U667" s="40"/>
      <c r="V667" s="40"/>
      <c r="W667" s="40"/>
      <c r="X667" s="40"/>
      <c r="Y667" s="40"/>
      <c r="Z667" s="40"/>
      <c r="AA667" s="40"/>
      <c r="AB667" s="40"/>
    </row>
    <row r="668">
      <c r="A668" s="805"/>
      <c r="B668" s="40"/>
      <c r="C668" s="40"/>
      <c r="D668" s="40"/>
      <c r="E668" s="40"/>
      <c r="F668" s="40"/>
      <c r="G668" s="40"/>
      <c r="H668" s="40"/>
      <c r="I668" s="40"/>
      <c r="J668" s="216"/>
      <c r="K668" s="40"/>
      <c r="L668" s="40"/>
      <c r="M668" s="40"/>
      <c r="N668" s="40"/>
      <c r="O668" s="40"/>
      <c r="P668" s="40"/>
      <c r="Q668" s="40"/>
      <c r="R668" s="40"/>
      <c r="S668" s="40"/>
      <c r="T668" s="40"/>
      <c r="U668" s="40"/>
      <c r="V668" s="40"/>
      <c r="W668" s="40"/>
      <c r="X668" s="40"/>
      <c r="Y668" s="40"/>
      <c r="Z668" s="40"/>
      <c r="AA668" s="40"/>
      <c r="AB668" s="40"/>
    </row>
    <row r="669">
      <c r="A669" s="805"/>
      <c r="B669" s="40"/>
      <c r="C669" s="40"/>
      <c r="D669" s="40"/>
      <c r="E669" s="40"/>
      <c r="F669" s="40"/>
      <c r="G669" s="40"/>
      <c r="H669" s="40"/>
      <c r="I669" s="40"/>
      <c r="J669" s="216"/>
      <c r="K669" s="40"/>
      <c r="L669" s="40"/>
      <c r="M669" s="40"/>
      <c r="N669" s="40"/>
      <c r="O669" s="40"/>
      <c r="P669" s="40"/>
      <c r="Q669" s="40"/>
      <c r="R669" s="40"/>
      <c r="S669" s="40"/>
      <c r="T669" s="40"/>
      <c r="U669" s="40"/>
      <c r="V669" s="40"/>
      <c r="W669" s="40"/>
      <c r="X669" s="40"/>
      <c r="Y669" s="40"/>
      <c r="Z669" s="40"/>
      <c r="AA669" s="40"/>
      <c r="AB669" s="40"/>
    </row>
    <row r="670">
      <c r="A670" s="805"/>
      <c r="B670" s="40"/>
      <c r="C670" s="40"/>
      <c r="D670" s="40"/>
      <c r="E670" s="40"/>
      <c r="F670" s="40"/>
      <c r="G670" s="40"/>
      <c r="H670" s="40"/>
      <c r="I670" s="40"/>
      <c r="J670" s="216"/>
      <c r="K670" s="40"/>
      <c r="L670" s="40"/>
      <c r="M670" s="40"/>
      <c r="N670" s="40"/>
      <c r="O670" s="40"/>
      <c r="P670" s="40"/>
      <c r="Q670" s="40"/>
      <c r="R670" s="40"/>
      <c r="S670" s="40"/>
      <c r="T670" s="40"/>
      <c r="U670" s="40"/>
      <c r="V670" s="40"/>
      <c r="W670" s="40"/>
      <c r="X670" s="40"/>
      <c r="Y670" s="40"/>
      <c r="Z670" s="40"/>
      <c r="AA670" s="40"/>
      <c r="AB670" s="40"/>
    </row>
    <row r="671">
      <c r="A671" s="805"/>
      <c r="B671" s="40"/>
      <c r="C671" s="40"/>
      <c r="D671" s="40"/>
      <c r="E671" s="40"/>
      <c r="F671" s="40"/>
      <c r="G671" s="40"/>
      <c r="H671" s="40"/>
      <c r="I671" s="40"/>
      <c r="J671" s="216"/>
      <c r="K671" s="40"/>
      <c r="L671" s="40"/>
      <c r="M671" s="40"/>
      <c r="N671" s="40"/>
      <c r="O671" s="40"/>
      <c r="P671" s="40"/>
      <c r="Q671" s="40"/>
      <c r="R671" s="40"/>
      <c r="S671" s="40"/>
      <c r="T671" s="40"/>
      <c r="U671" s="40"/>
      <c r="V671" s="40"/>
      <c r="W671" s="40"/>
      <c r="X671" s="40"/>
      <c r="Y671" s="40"/>
      <c r="Z671" s="40"/>
      <c r="AA671" s="40"/>
      <c r="AB671" s="40"/>
    </row>
    <row r="672">
      <c r="A672" s="805"/>
      <c r="B672" s="40"/>
      <c r="C672" s="40"/>
      <c r="D672" s="40"/>
      <c r="E672" s="40"/>
      <c r="F672" s="40"/>
      <c r="G672" s="40"/>
      <c r="H672" s="40"/>
      <c r="I672" s="40"/>
      <c r="J672" s="216"/>
      <c r="K672" s="40"/>
      <c r="L672" s="40"/>
      <c r="M672" s="40"/>
      <c r="N672" s="40"/>
      <c r="O672" s="40"/>
      <c r="P672" s="40"/>
      <c r="Q672" s="40"/>
      <c r="R672" s="40"/>
      <c r="S672" s="40"/>
      <c r="T672" s="40"/>
      <c r="U672" s="40"/>
      <c r="V672" s="40"/>
      <c r="W672" s="40"/>
      <c r="X672" s="40"/>
      <c r="Y672" s="40"/>
      <c r="Z672" s="40"/>
      <c r="AA672" s="40"/>
      <c r="AB672" s="40"/>
    </row>
    <row r="673">
      <c r="A673" s="805"/>
      <c r="B673" s="40"/>
      <c r="C673" s="40"/>
      <c r="D673" s="40"/>
      <c r="E673" s="40"/>
      <c r="F673" s="40"/>
      <c r="G673" s="40"/>
      <c r="H673" s="40"/>
      <c r="I673" s="40"/>
      <c r="J673" s="216"/>
      <c r="K673" s="40"/>
      <c r="L673" s="40"/>
      <c r="M673" s="40"/>
      <c r="N673" s="40"/>
      <c r="O673" s="40"/>
      <c r="P673" s="40"/>
      <c r="Q673" s="40"/>
      <c r="R673" s="40"/>
      <c r="S673" s="40"/>
      <c r="T673" s="40"/>
      <c r="U673" s="40"/>
      <c r="V673" s="40"/>
      <c r="W673" s="40"/>
      <c r="X673" s="40"/>
      <c r="Y673" s="40"/>
      <c r="Z673" s="40"/>
      <c r="AA673" s="40"/>
      <c r="AB673" s="40"/>
    </row>
    <row r="674">
      <c r="A674" s="805"/>
      <c r="B674" s="40"/>
      <c r="C674" s="40"/>
      <c r="D674" s="40"/>
      <c r="E674" s="40"/>
      <c r="F674" s="40"/>
      <c r="G674" s="40"/>
      <c r="H674" s="40"/>
      <c r="I674" s="40"/>
      <c r="J674" s="216"/>
      <c r="K674" s="40"/>
      <c r="L674" s="40"/>
      <c r="M674" s="40"/>
      <c r="N674" s="40"/>
      <c r="O674" s="40"/>
      <c r="P674" s="40"/>
      <c r="Q674" s="40"/>
      <c r="R674" s="40"/>
      <c r="S674" s="40"/>
      <c r="T674" s="40"/>
      <c r="U674" s="40"/>
      <c r="V674" s="40"/>
      <c r="W674" s="40"/>
      <c r="X674" s="40"/>
      <c r="Y674" s="40"/>
      <c r="Z674" s="40"/>
      <c r="AA674" s="40"/>
      <c r="AB674" s="40"/>
    </row>
    <row r="675">
      <c r="A675" s="805"/>
      <c r="B675" s="40"/>
      <c r="C675" s="40"/>
      <c r="D675" s="40"/>
      <c r="E675" s="40"/>
      <c r="F675" s="40"/>
      <c r="G675" s="40"/>
      <c r="H675" s="40"/>
      <c r="I675" s="40"/>
      <c r="J675" s="216"/>
      <c r="K675" s="40"/>
      <c r="L675" s="40"/>
      <c r="M675" s="40"/>
      <c r="N675" s="40"/>
      <c r="O675" s="40"/>
      <c r="P675" s="40"/>
      <c r="Q675" s="40"/>
      <c r="R675" s="40"/>
      <c r="S675" s="40"/>
      <c r="T675" s="40"/>
      <c r="U675" s="40"/>
      <c r="V675" s="40"/>
      <c r="W675" s="40"/>
      <c r="X675" s="40"/>
      <c r="Y675" s="40"/>
      <c r="Z675" s="40"/>
      <c r="AA675" s="40"/>
      <c r="AB675" s="40"/>
    </row>
    <row r="676">
      <c r="A676" s="805"/>
      <c r="B676" s="40"/>
      <c r="C676" s="40"/>
      <c r="D676" s="40"/>
      <c r="E676" s="40"/>
      <c r="F676" s="40"/>
      <c r="G676" s="40"/>
      <c r="H676" s="40"/>
      <c r="I676" s="40"/>
      <c r="J676" s="216"/>
      <c r="K676" s="40"/>
      <c r="L676" s="40"/>
      <c r="M676" s="40"/>
      <c r="N676" s="40"/>
      <c r="O676" s="40"/>
      <c r="P676" s="40"/>
      <c r="Q676" s="40"/>
      <c r="R676" s="40"/>
      <c r="S676" s="40"/>
      <c r="T676" s="40"/>
      <c r="U676" s="40"/>
      <c r="V676" s="40"/>
      <c r="W676" s="40"/>
      <c r="X676" s="40"/>
      <c r="Y676" s="40"/>
      <c r="Z676" s="40"/>
      <c r="AA676" s="40"/>
      <c r="AB676" s="40"/>
    </row>
    <row r="677">
      <c r="A677" s="805"/>
      <c r="B677" s="40"/>
      <c r="C677" s="40"/>
      <c r="D677" s="40"/>
      <c r="E677" s="40"/>
      <c r="F677" s="40"/>
      <c r="G677" s="40"/>
      <c r="H677" s="40"/>
      <c r="I677" s="40"/>
      <c r="J677" s="216"/>
      <c r="K677" s="40"/>
      <c r="L677" s="40"/>
      <c r="M677" s="40"/>
      <c r="N677" s="40"/>
      <c r="O677" s="40"/>
      <c r="P677" s="40"/>
      <c r="Q677" s="40"/>
      <c r="R677" s="40"/>
      <c r="S677" s="40"/>
      <c r="T677" s="40"/>
      <c r="U677" s="40"/>
      <c r="V677" s="40"/>
      <c r="W677" s="40"/>
      <c r="X677" s="40"/>
      <c r="Y677" s="40"/>
      <c r="Z677" s="40"/>
      <c r="AA677" s="40"/>
      <c r="AB677" s="40"/>
    </row>
    <row r="678">
      <c r="A678" s="805"/>
      <c r="B678" s="40"/>
      <c r="C678" s="40"/>
      <c r="D678" s="40"/>
      <c r="E678" s="40"/>
      <c r="F678" s="40"/>
      <c r="G678" s="40"/>
      <c r="H678" s="40"/>
      <c r="I678" s="40"/>
      <c r="J678" s="216"/>
      <c r="K678" s="40"/>
      <c r="L678" s="40"/>
      <c r="M678" s="40"/>
      <c r="N678" s="40"/>
      <c r="O678" s="40"/>
      <c r="P678" s="40"/>
      <c r="Q678" s="40"/>
      <c r="R678" s="40"/>
      <c r="S678" s="40"/>
      <c r="T678" s="40"/>
      <c r="U678" s="40"/>
      <c r="V678" s="40"/>
      <c r="W678" s="40"/>
      <c r="X678" s="40"/>
      <c r="Y678" s="40"/>
      <c r="Z678" s="40"/>
      <c r="AA678" s="40"/>
      <c r="AB678" s="40"/>
    </row>
    <row r="679">
      <c r="A679" s="805"/>
      <c r="B679" s="40"/>
      <c r="C679" s="40"/>
      <c r="D679" s="40"/>
      <c r="E679" s="40"/>
      <c r="F679" s="40"/>
      <c r="G679" s="40"/>
      <c r="H679" s="40"/>
      <c r="I679" s="40"/>
      <c r="J679" s="216"/>
      <c r="K679" s="40"/>
      <c r="L679" s="40"/>
      <c r="M679" s="40"/>
      <c r="N679" s="40"/>
      <c r="O679" s="40"/>
      <c r="P679" s="40"/>
      <c r="Q679" s="40"/>
      <c r="R679" s="40"/>
      <c r="S679" s="40"/>
      <c r="T679" s="40"/>
      <c r="U679" s="40"/>
      <c r="V679" s="40"/>
      <c r="W679" s="40"/>
      <c r="X679" s="40"/>
      <c r="Y679" s="40"/>
      <c r="Z679" s="40"/>
      <c r="AA679" s="40"/>
      <c r="AB679" s="40"/>
    </row>
    <row r="680">
      <c r="A680" s="805"/>
      <c r="B680" s="40"/>
      <c r="C680" s="40"/>
      <c r="D680" s="40"/>
      <c r="E680" s="40"/>
      <c r="F680" s="40"/>
      <c r="G680" s="40"/>
      <c r="H680" s="40"/>
      <c r="I680" s="40"/>
      <c r="J680" s="216"/>
      <c r="K680" s="40"/>
      <c r="L680" s="40"/>
      <c r="M680" s="40"/>
      <c r="N680" s="40"/>
      <c r="O680" s="40"/>
      <c r="P680" s="40"/>
      <c r="Q680" s="40"/>
      <c r="R680" s="40"/>
      <c r="S680" s="40"/>
      <c r="T680" s="40"/>
      <c r="U680" s="40"/>
      <c r="V680" s="40"/>
      <c r="W680" s="40"/>
      <c r="X680" s="40"/>
      <c r="Y680" s="40"/>
      <c r="Z680" s="40"/>
      <c r="AA680" s="40"/>
      <c r="AB680" s="40"/>
    </row>
    <row r="681">
      <c r="A681" s="805"/>
      <c r="B681" s="40"/>
      <c r="C681" s="40"/>
      <c r="D681" s="40"/>
      <c r="E681" s="40"/>
      <c r="F681" s="40"/>
      <c r="G681" s="40"/>
      <c r="H681" s="40"/>
      <c r="I681" s="40"/>
      <c r="J681" s="216"/>
      <c r="K681" s="40"/>
      <c r="L681" s="40"/>
      <c r="M681" s="40"/>
      <c r="N681" s="40"/>
      <c r="O681" s="40"/>
      <c r="P681" s="40"/>
      <c r="Q681" s="40"/>
      <c r="R681" s="40"/>
      <c r="S681" s="40"/>
      <c r="T681" s="40"/>
      <c r="U681" s="40"/>
      <c r="V681" s="40"/>
      <c r="W681" s="40"/>
      <c r="X681" s="40"/>
      <c r="Y681" s="40"/>
      <c r="Z681" s="40"/>
      <c r="AA681" s="40"/>
      <c r="AB681" s="40"/>
    </row>
    <row r="682">
      <c r="A682" s="805"/>
      <c r="B682" s="40"/>
      <c r="C682" s="40"/>
      <c r="D682" s="40"/>
      <c r="E682" s="40"/>
      <c r="F682" s="40"/>
      <c r="G682" s="40"/>
      <c r="H682" s="40"/>
      <c r="I682" s="40"/>
      <c r="J682" s="216"/>
      <c r="K682" s="40"/>
      <c r="L682" s="40"/>
      <c r="M682" s="40"/>
      <c r="N682" s="40"/>
      <c r="O682" s="40"/>
      <c r="P682" s="40"/>
      <c r="Q682" s="40"/>
      <c r="R682" s="40"/>
      <c r="S682" s="40"/>
      <c r="T682" s="40"/>
      <c r="U682" s="40"/>
      <c r="V682" s="40"/>
      <c r="W682" s="40"/>
      <c r="X682" s="40"/>
      <c r="Y682" s="40"/>
      <c r="Z682" s="40"/>
      <c r="AA682" s="40"/>
      <c r="AB682" s="40"/>
    </row>
    <row r="683">
      <c r="A683" s="805"/>
      <c r="B683" s="40"/>
      <c r="C683" s="40"/>
      <c r="D683" s="40"/>
      <c r="E683" s="40"/>
      <c r="F683" s="40"/>
      <c r="G683" s="40"/>
      <c r="H683" s="40"/>
      <c r="I683" s="40"/>
      <c r="J683" s="216"/>
      <c r="K683" s="40"/>
      <c r="L683" s="40"/>
      <c r="M683" s="40"/>
      <c r="N683" s="40"/>
      <c r="O683" s="40"/>
      <c r="P683" s="40"/>
      <c r="Q683" s="40"/>
      <c r="R683" s="40"/>
      <c r="S683" s="40"/>
      <c r="T683" s="40"/>
      <c r="U683" s="40"/>
      <c r="V683" s="40"/>
      <c r="W683" s="40"/>
      <c r="X683" s="40"/>
      <c r="Y683" s="40"/>
      <c r="Z683" s="40"/>
      <c r="AA683" s="40"/>
      <c r="AB683" s="40"/>
    </row>
    <row r="684">
      <c r="A684" s="805"/>
      <c r="B684" s="40"/>
      <c r="C684" s="40"/>
      <c r="D684" s="40"/>
      <c r="E684" s="40"/>
      <c r="F684" s="40"/>
      <c r="G684" s="40"/>
      <c r="H684" s="40"/>
      <c r="I684" s="40"/>
      <c r="J684" s="216"/>
      <c r="K684" s="40"/>
      <c r="L684" s="40"/>
      <c r="M684" s="40"/>
      <c r="N684" s="40"/>
      <c r="O684" s="40"/>
      <c r="P684" s="40"/>
      <c r="Q684" s="40"/>
      <c r="R684" s="40"/>
      <c r="S684" s="40"/>
      <c r="T684" s="40"/>
      <c r="U684" s="40"/>
      <c r="V684" s="40"/>
      <c r="W684" s="40"/>
      <c r="X684" s="40"/>
      <c r="Y684" s="40"/>
      <c r="Z684" s="40"/>
      <c r="AA684" s="40"/>
      <c r="AB684" s="40"/>
    </row>
    <row r="685">
      <c r="A685" s="805"/>
      <c r="B685" s="40"/>
      <c r="C685" s="40"/>
      <c r="D685" s="40"/>
      <c r="E685" s="40"/>
      <c r="F685" s="40"/>
      <c r="G685" s="40"/>
      <c r="H685" s="40"/>
      <c r="I685" s="40"/>
      <c r="J685" s="216"/>
      <c r="K685" s="40"/>
      <c r="L685" s="40"/>
      <c r="M685" s="40"/>
      <c r="N685" s="40"/>
      <c r="O685" s="40"/>
      <c r="P685" s="40"/>
      <c r="Q685" s="40"/>
      <c r="R685" s="40"/>
      <c r="S685" s="40"/>
      <c r="T685" s="40"/>
      <c r="U685" s="40"/>
      <c r="V685" s="40"/>
      <c r="W685" s="40"/>
      <c r="X685" s="40"/>
      <c r="Y685" s="40"/>
      <c r="Z685" s="40"/>
      <c r="AA685" s="40"/>
      <c r="AB685" s="40"/>
    </row>
    <row r="686">
      <c r="A686" s="805"/>
      <c r="B686" s="40"/>
      <c r="C686" s="40"/>
      <c r="D686" s="40"/>
      <c r="E686" s="40"/>
      <c r="F686" s="40"/>
      <c r="G686" s="40"/>
      <c r="H686" s="40"/>
      <c r="I686" s="40"/>
      <c r="J686" s="216"/>
      <c r="K686" s="40"/>
      <c r="L686" s="40"/>
      <c r="M686" s="40"/>
      <c r="N686" s="40"/>
      <c r="O686" s="40"/>
      <c r="P686" s="40"/>
      <c r="Q686" s="40"/>
      <c r="R686" s="40"/>
      <c r="S686" s="40"/>
      <c r="T686" s="40"/>
      <c r="U686" s="40"/>
      <c r="V686" s="40"/>
      <c r="W686" s="40"/>
      <c r="X686" s="40"/>
      <c r="Y686" s="40"/>
      <c r="Z686" s="40"/>
      <c r="AA686" s="40"/>
      <c r="AB686" s="40"/>
    </row>
    <row r="687">
      <c r="A687" s="805"/>
      <c r="B687" s="40"/>
      <c r="C687" s="40"/>
      <c r="D687" s="40"/>
      <c r="E687" s="40"/>
      <c r="F687" s="40"/>
      <c r="G687" s="40"/>
      <c r="H687" s="40"/>
      <c r="I687" s="40"/>
      <c r="J687" s="216"/>
      <c r="K687" s="40"/>
      <c r="L687" s="40"/>
      <c r="M687" s="40"/>
      <c r="N687" s="40"/>
      <c r="O687" s="40"/>
      <c r="P687" s="40"/>
      <c r="Q687" s="40"/>
      <c r="R687" s="40"/>
      <c r="S687" s="40"/>
      <c r="T687" s="40"/>
      <c r="U687" s="40"/>
      <c r="V687" s="40"/>
      <c r="W687" s="40"/>
      <c r="X687" s="40"/>
      <c r="Y687" s="40"/>
      <c r="Z687" s="40"/>
      <c r="AA687" s="40"/>
      <c r="AB687" s="40"/>
    </row>
    <row r="688">
      <c r="A688" s="805"/>
      <c r="B688" s="40"/>
      <c r="C688" s="40"/>
      <c r="D688" s="40"/>
      <c r="E688" s="40"/>
      <c r="F688" s="40"/>
      <c r="G688" s="40"/>
      <c r="H688" s="40"/>
      <c r="I688" s="40"/>
      <c r="J688" s="216"/>
      <c r="K688" s="40"/>
      <c r="L688" s="40"/>
      <c r="M688" s="40"/>
      <c r="N688" s="40"/>
      <c r="O688" s="40"/>
      <c r="P688" s="40"/>
      <c r="Q688" s="40"/>
      <c r="R688" s="40"/>
      <c r="S688" s="40"/>
      <c r="T688" s="40"/>
      <c r="U688" s="40"/>
      <c r="V688" s="40"/>
      <c r="W688" s="40"/>
      <c r="X688" s="40"/>
      <c r="Y688" s="40"/>
      <c r="Z688" s="40"/>
      <c r="AA688" s="40"/>
      <c r="AB688" s="40"/>
    </row>
    <row r="689">
      <c r="A689" s="805"/>
      <c r="B689" s="40"/>
      <c r="C689" s="40"/>
      <c r="D689" s="40"/>
      <c r="E689" s="40"/>
      <c r="F689" s="40"/>
      <c r="G689" s="40"/>
      <c r="H689" s="40"/>
      <c r="I689" s="40"/>
      <c r="J689" s="216"/>
      <c r="K689" s="40"/>
      <c r="L689" s="40"/>
      <c r="M689" s="40"/>
      <c r="N689" s="40"/>
      <c r="O689" s="40"/>
      <c r="P689" s="40"/>
      <c r="Q689" s="40"/>
      <c r="R689" s="40"/>
      <c r="S689" s="40"/>
      <c r="T689" s="40"/>
      <c r="U689" s="40"/>
      <c r="V689" s="40"/>
      <c r="W689" s="40"/>
      <c r="X689" s="40"/>
      <c r="Y689" s="40"/>
      <c r="Z689" s="40"/>
      <c r="AA689" s="40"/>
      <c r="AB689" s="40"/>
    </row>
    <row r="690">
      <c r="A690" s="805"/>
      <c r="B690" s="40"/>
      <c r="C690" s="40"/>
      <c r="D690" s="40"/>
      <c r="E690" s="40"/>
      <c r="F690" s="40"/>
      <c r="G690" s="40"/>
      <c r="H690" s="40"/>
      <c r="I690" s="40"/>
      <c r="J690" s="216"/>
      <c r="K690" s="40"/>
      <c r="L690" s="40"/>
      <c r="M690" s="40"/>
      <c r="N690" s="40"/>
      <c r="O690" s="40"/>
      <c r="P690" s="40"/>
      <c r="Q690" s="40"/>
      <c r="R690" s="40"/>
      <c r="S690" s="40"/>
      <c r="T690" s="40"/>
      <c r="U690" s="40"/>
      <c r="V690" s="40"/>
      <c r="W690" s="40"/>
      <c r="X690" s="40"/>
      <c r="Y690" s="40"/>
      <c r="Z690" s="40"/>
      <c r="AA690" s="40"/>
      <c r="AB690" s="40"/>
    </row>
    <row r="691">
      <c r="A691" s="805"/>
      <c r="B691" s="40"/>
      <c r="C691" s="40"/>
      <c r="D691" s="40"/>
      <c r="E691" s="40"/>
      <c r="F691" s="40"/>
      <c r="G691" s="40"/>
      <c r="H691" s="40"/>
      <c r="I691" s="40"/>
      <c r="J691" s="216"/>
      <c r="K691" s="40"/>
      <c r="L691" s="40"/>
      <c r="M691" s="40"/>
      <c r="N691" s="40"/>
      <c r="O691" s="40"/>
      <c r="P691" s="40"/>
      <c r="Q691" s="40"/>
      <c r="R691" s="40"/>
      <c r="S691" s="40"/>
      <c r="T691" s="40"/>
      <c r="U691" s="40"/>
      <c r="V691" s="40"/>
      <c r="W691" s="40"/>
      <c r="X691" s="40"/>
      <c r="Y691" s="40"/>
      <c r="Z691" s="40"/>
      <c r="AA691" s="40"/>
      <c r="AB691" s="40"/>
    </row>
    <row r="692">
      <c r="A692" s="805"/>
      <c r="B692" s="40"/>
      <c r="C692" s="40"/>
      <c r="D692" s="40"/>
      <c r="E692" s="40"/>
      <c r="F692" s="40"/>
      <c r="G692" s="40"/>
      <c r="H692" s="40"/>
      <c r="I692" s="40"/>
      <c r="J692" s="216"/>
      <c r="K692" s="40"/>
      <c r="L692" s="40"/>
      <c r="M692" s="40"/>
      <c r="N692" s="40"/>
      <c r="O692" s="40"/>
      <c r="P692" s="40"/>
      <c r="Q692" s="40"/>
      <c r="R692" s="40"/>
      <c r="S692" s="40"/>
      <c r="T692" s="40"/>
      <c r="U692" s="40"/>
      <c r="V692" s="40"/>
      <c r="W692" s="40"/>
      <c r="X692" s="40"/>
      <c r="Y692" s="40"/>
      <c r="Z692" s="40"/>
      <c r="AA692" s="40"/>
      <c r="AB692" s="40"/>
    </row>
    <row r="693">
      <c r="A693" s="805"/>
      <c r="B693" s="40"/>
      <c r="C693" s="40"/>
      <c r="D693" s="40"/>
      <c r="E693" s="40"/>
      <c r="F693" s="40"/>
      <c r="G693" s="40"/>
      <c r="H693" s="40"/>
      <c r="I693" s="40"/>
      <c r="J693" s="216"/>
      <c r="K693" s="40"/>
      <c r="L693" s="40"/>
      <c r="M693" s="40"/>
      <c r="N693" s="40"/>
      <c r="O693" s="40"/>
      <c r="P693" s="40"/>
      <c r="Q693" s="40"/>
      <c r="R693" s="40"/>
      <c r="S693" s="40"/>
      <c r="T693" s="40"/>
      <c r="U693" s="40"/>
      <c r="V693" s="40"/>
      <c r="W693" s="40"/>
      <c r="X693" s="40"/>
      <c r="Y693" s="40"/>
      <c r="Z693" s="40"/>
      <c r="AA693" s="40"/>
      <c r="AB693" s="40"/>
    </row>
    <row r="694">
      <c r="A694" s="805"/>
      <c r="B694" s="40"/>
      <c r="C694" s="40"/>
      <c r="D694" s="40"/>
      <c r="E694" s="40"/>
      <c r="F694" s="40"/>
      <c r="G694" s="40"/>
      <c r="H694" s="40"/>
      <c r="I694" s="40"/>
      <c r="J694" s="216"/>
      <c r="K694" s="40"/>
      <c r="L694" s="40"/>
      <c r="M694" s="40"/>
      <c r="N694" s="40"/>
      <c r="O694" s="40"/>
      <c r="P694" s="40"/>
      <c r="Q694" s="40"/>
      <c r="R694" s="40"/>
      <c r="S694" s="40"/>
      <c r="T694" s="40"/>
      <c r="U694" s="40"/>
      <c r="V694" s="40"/>
      <c r="W694" s="40"/>
      <c r="X694" s="40"/>
      <c r="Y694" s="40"/>
      <c r="Z694" s="40"/>
      <c r="AA694" s="40"/>
      <c r="AB694" s="40"/>
    </row>
    <row r="695">
      <c r="A695" s="805"/>
      <c r="B695" s="40"/>
      <c r="C695" s="40"/>
      <c r="D695" s="40"/>
      <c r="E695" s="40"/>
      <c r="F695" s="40"/>
      <c r="G695" s="40"/>
      <c r="H695" s="40"/>
      <c r="I695" s="40"/>
      <c r="J695" s="216"/>
      <c r="K695" s="40"/>
      <c r="L695" s="40"/>
      <c r="M695" s="40"/>
      <c r="N695" s="40"/>
      <c r="O695" s="40"/>
      <c r="P695" s="40"/>
      <c r="Q695" s="40"/>
      <c r="R695" s="40"/>
      <c r="S695" s="40"/>
      <c r="T695" s="40"/>
      <c r="U695" s="40"/>
      <c r="V695" s="40"/>
      <c r="W695" s="40"/>
      <c r="X695" s="40"/>
      <c r="Y695" s="40"/>
      <c r="Z695" s="40"/>
      <c r="AA695" s="40"/>
      <c r="AB695" s="40"/>
    </row>
    <row r="696">
      <c r="A696" s="805"/>
      <c r="B696" s="40"/>
      <c r="C696" s="40"/>
      <c r="D696" s="40"/>
      <c r="E696" s="40"/>
      <c r="F696" s="40"/>
      <c r="G696" s="40"/>
      <c r="H696" s="40"/>
      <c r="I696" s="40"/>
      <c r="J696" s="216"/>
      <c r="K696" s="40"/>
      <c r="L696" s="40"/>
      <c r="M696" s="40"/>
      <c r="N696" s="40"/>
      <c r="O696" s="40"/>
      <c r="P696" s="40"/>
      <c r="Q696" s="40"/>
      <c r="R696" s="40"/>
      <c r="S696" s="40"/>
      <c r="T696" s="40"/>
      <c r="U696" s="40"/>
      <c r="V696" s="40"/>
      <c r="W696" s="40"/>
      <c r="X696" s="40"/>
      <c r="Y696" s="40"/>
      <c r="Z696" s="40"/>
      <c r="AA696" s="40"/>
      <c r="AB696" s="40"/>
    </row>
    <row r="697">
      <c r="A697" s="805"/>
      <c r="B697" s="40"/>
      <c r="C697" s="40"/>
      <c r="D697" s="40"/>
      <c r="E697" s="40"/>
      <c r="F697" s="40"/>
      <c r="G697" s="40"/>
      <c r="H697" s="40"/>
      <c r="I697" s="40"/>
      <c r="J697" s="216"/>
      <c r="K697" s="40"/>
      <c r="L697" s="40"/>
      <c r="M697" s="40"/>
      <c r="N697" s="40"/>
      <c r="O697" s="40"/>
      <c r="P697" s="40"/>
      <c r="Q697" s="40"/>
      <c r="R697" s="40"/>
      <c r="S697" s="40"/>
      <c r="T697" s="40"/>
      <c r="U697" s="40"/>
      <c r="V697" s="40"/>
      <c r="W697" s="40"/>
      <c r="X697" s="40"/>
      <c r="Y697" s="40"/>
      <c r="Z697" s="40"/>
      <c r="AA697" s="40"/>
      <c r="AB697" s="40"/>
    </row>
    <row r="698">
      <c r="A698" s="805"/>
      <c r="B698" s="40"/>
      <c r="C698" s="40"/>
      <c r="D698" s="40"/>
      <c r="E698" s="40"/>
      <c r="F698" s="40"/>
      <c r="G698" s="40"/>
      <c r="H698" s="40"/>
      <c r="I698" s="40"/>
      <c r="J698" s="216"/>
      <c r="K698" s="40"/>
      <c r="L698" s="40"/>
      <c r="M698" s="40"/>
      <c r="N698" s="40"/>
      <c r="O698" s="40"/>
      <c r="P698" s="40"/>
      <c r="Q698" s="40"/>
      <c r="R698" s="40"/>
      <c r="S698" s="40"/>
      <c r="T698" s="40"/>
      <c r="U698" s="40"/>
      <c r="V698" s="40"/>
      <c r="W698" s="40"/>
      <c r="X698" s="40"/>
      <c r="Y698" s="40"/>
      <c r="Z698" s="40"/>
      <c r="AA698" s="40"/>
      <c r="AB698" s="40"/>
    </row>
    <row r="699">
      <c r="A699" s="805"/>
      <c r="B699" s="40"/>
      <c r="C699" s="40"/>
      <c r="D699" s="40"/>
      <c r="E699" s="40"/>
      <c r="F699" s="40"/>
      <c r="G699" s="40"/>
      <c r="H699" s="40"/>
      <c r="I699" s="40"/>
      <c r="J699" s="216"/>
      <c r="K699" s="40"/>
      <c r="L699" s="40"/>
      <c r="M699" s="40"/>
      <c r="N699" s="40"/>
      <c r="O699" s="40"/>
      <c r="P699" s="40"/>
      <c r="Q699" s="40"/>
      <c r="R699" s="40"/>
      <c r="S699" s="40"/>
      <c r="T699" s="40"/>
      <c r="U699" s="40"/>
      <c r="V699" s="40"/>
      <c r="W699" s="40"/>
      <c r="X699" s="40"/>
      <c r="Y699" s="40"/>
      <c r="Z699" s="40"/>
      <c r="AA699" s="40"/>
      <c r="AB699" s="40"/>
    </row>
    <row r="700">
      <c r="A700" s="805"/>
      <c r="B700" s="40"/>
      <c r="C700" s="40"/>
      <c r="D700" s="40"/>
      <c r="E700" s="40"/>
      <c r="F700" s="40"/>
      <c r="G700" s="40"/>
      <c r="H700" s="40"/>
      <c r="I700" s="40"/>
      <c r="J700" s="216"/>
      <c r="K700" s="40"/>
      <c r="L700" s="40"/>
      <c r="M700" s="40"/>
      <c r="N700" s="40"/>
      <c r="O700" s="40"/>
      <c r="P700" s="40"/>
      <c r="Q700" s="40"/>
      <c r="R700" s="40"/>
      <c r="S700" s="40"/>
      <c r="T700" s="40"/>
      <c r="U700" s="40"/>
      <c r="V700" s="40"/>
      <c r="W700" s="40"/>
      <c r="X700" s="40"/>
      <c r="Y700" s="40"/>
      <c r="Z700" s="40"/>
      <c r="AA700" s="40"/>
      <c r="AB700" s="40"/>
    </row>
    <row r="701">
      <c r="A701" s="805"/>
      <c r="B701" s="40"/>
      <c r="C701" s="40"/>
      <c r="D701" s="40"/>
      <c r="E701" s="40"/>
      <c r="F701" s="40"/>
      <c r="G701" s="40"/>
      <c r="H701" s="40"/>
      <c r="I701" s="40"/>
      <c r="J701" s="216"/>
      <c r="K701" s="40"/>
      <c r="L701" s="40"/>
      <c r="M701" s="40"/>
      <c r="N701" s="40"/>
      <c r="O701" s="40"/>
      <c r="P701" s="40"/>
      <c r="Q701" s="40"/>
      <c r="R701" s="40"/>
      <c r="S701" s="40"/>
      <c r="T701" s="40"/>
      <c r="U701" s="40"/>
      <c r="V701" s="40"/>
      <c r="W701" s="40"/>
      <c r="X701" s="40"/>
      <c r="Y701" s="40"/>
      <c r="Z701" s="40"/>
      <c r="AA701" s="40"/>
      <c r="AB701" s="40"/>
    </row>
    <row r="702">
      <c r="A702" s="805"/>
      <c r="B702" s="40"/>
      <c r="C702" s="40"/>
      <c r="D702" s="40"/>
      <c r="E702" s="40"/>
      <c r="F702" s="40"/>
      <c r="G702" s="40"/>
      <c r="H702" s="40"/>
      <c r="I702" s="40"/>
      <c r="J702" s="216"/>
      <c r="K702" s="40"/>
      <c r="L702" s="40"/>
      <c r="M702" s="40"/>
      <c r="N702" s="40"/>
      <c r="O702" s="40"/>
      <c r="P702" s="40"/>
      <c r="Q702" s="40"/>
      <c r="R702" s="40"/>
      <c r="S702" s="40"/>
      <c r="T702" s="40"/>
      <c r="U702" s="40"/>
      <c r="V702" s="40"/>
      <c r="W702" s="40"/>
      <c r="X702" s="40"/>
      <c r="Y702" s="40"/>
      <c r="Z702" s="40"/>
      <c r="AA702" s="40"/>
      <c r="AB702" s="40"/>
    </row>
    <row r="703">
      <c r="A703" s="805"/>
      <c r="B703" s="40"/>
      <c r="C703" s="40"/>
      <c r="D703" s="40"/>
      <c r="E703" s="40"/>
      <c r="F703" s="40"/>
      <c r="G703" s="40"/>
      <c r="H703" s="40"/>
      <c r="I703" s="40"/>
      <c r="J703" s="216"/>
      <c r="K703" s="40"/>
      <c r="L703" s="40"/>
      <c r="M703" s="40"/>
      <c r="N703" s="40"/>
      <c r="O703" s="40"/>
      <c r="P703" s="40"/>
      <c r="Q703" s="40"/>
      <c r="R703" s="40"/>
      <c r="S703" s="40"/>
      <c r="T703" s="40"/>
      <c r="U703" s="40"/>
      <c r="V703" s="40"/>
      <c r="W703" s="40"/>
      <c r="X703" s="40"/>
      <c r="Y703" s="40"/>
      <c r="Z703" s="40"/>
      <c r="AA703" s="40"/>
      <c r="AB703" s="40"/>
    </row>
    <row r="704">
      <c r="A704" s="805"/>
      <c r="B704" s="40"/>
      <c r="C704" s="40"/>
      <c r="D704" s="40"/>
      <c r="E704" s="40"/>
      <c r="F704" s="40"/>
      <c r="G704" s="40"/>
      <c r="H704" s="40"/>
      <c r="I704" s="40"/>
      <c r="J704" s="216"/>
      <c r="K704" s="40"/>
      <c r="L704" s="40"/>
      <c r="M704" s="40"/>
      <c r="N704" s="40"/>
      <c r="O704" s="40"/>
      <c r="P704" s="40"/>
      <c r="Q704" s="40"/>
      <c r="R704" s="40"/>
      <c r="S704" s="40"/>
      <c r="T704" s="40"/>
      <c r="U704" s="40"/>
      <c r="V704" s="40"/>
      <c r="W704" s="40"/>
      <c r="X704" s="40"/>
      <c r="Y704" s="40"/>
      <c r="Z704" s="40"/>
      <c r="AA704" s="40"/>
      <c r="AB704" s="40"/>
    </row>
    <row r="705">
      <c r="A705" s="805"/>
      <c r="B705" s="40"/>
      <c r="C705" s="40"/>
      <c r="D705" s="40"/>
      <c r="E705" s="40"/>
      <c r="F705" s="40"/>
      <c r="G705" s="40"/>
      <c r="H705" s="40"/>
      <c r="I705" s="40"/>
      <c r="J705" s="216"/>
      <c r="K705" s="40"/>
      <c r="L705" s="40"/>
      <c r="M705" s="40"/>
      <c r="N705" s="40"/>
      <c r="O705" s="40"/>
      <c r="P705" s="40"/>
      <c r="Q705" s="40"/>
      <c r="R705" s="40"/>
      <c r="S705" s="40"/>
      <c r="T705" s="40"/>
      <c r="U705" s="40"/>
      <c r="V705" s="40"/>
      <c r="W705" s="40"/>
      <c r="X705" s="40"/>
      <c r="Y705" s="40"/>
      <c r="Z705" s="40"/>
      <c r="AA705" s="40"/>
      <c r="AB705" s="40"/>
    </row>
    <row r="706">
      <c r="A706" s="805"/>
      <c r="B706" s="40"/>
      <c r="C706" s="40"/>
      <c r="D706" s="40"/>
      <c r="E706" s="40"/>
      <c r="F706" s="40"/>
      <c r="G706" s="40"/>
      <c r="H706" s="40"/>
      <c r="I706" s="40"/>
      <c r="J706" s="216"/>
      <c r="K706" s="40"/>
      <c r="L706" s="40"/>
      <c r="M706" s="40"/>
      <c r="N706" s="40"/>
      <c r="O706" s="40"/>
      <c r="P706" s="40"/>
      <c r="Q706" s="40"/>
      <c r="R706" s="40"/>
      <c r="S706" s="40"/>
      <c r="T706" s="40"/>
      <c r="U706" s="40"/>
      <c r="V706" s="40"/>
      <c r="W706" s="40"/>
      <c r="X706" s="40"/>
      <c r="Y706" s="40"/>
      <c r="Z706" s="40"/>
      <c r="AA706" s="40"/>
      <c r="AB706" s="40"/>
    </row>
    <row r="707">
      <c r="A707" s="805"/>
      <c r="B707" s="40"/>
      <c r="C707" s="40"/>
      <c r="D707" s="40"/>
      <c r="E707" s="40"/>
      <c r="F707" s="40"/>
      <c r="G707" s="40"/>
      <c r="H707" s="40"/>
      <c r="I707" s="40"/>
      <c r="J707" s="216"/>
      <c r="K707" s="40"/>
      <c r="L707" s="40"/>
      <c r="M707" s="40"/>
      <c r="N707" s="40"/>
      <c r="O707" s="40"/>
      <c r="P707" s="40"/>
      <c r="Q707" s="40"/>
      <c r="R707" s="40"/>
      <c r="S707" s="40"/>
      <c r="T707" s="40"/>
      <c r="U707" s="40"/>
      <c r="V707" s="40"/>
      <c r="W707" s="40"/>
      <c r="X707" s="40"/>
      <c r="Y707" s="40"/>
      <c r="Z707" s="40"/>
      <c r="AA707" s="40"/>
      <c r="AB707" s="40"/>
    </row>
    <row r="708">
      <c r="A708" s="805"/>
      <c r="B708" s="40"/>
      <c r="C708" s="40"/>
      <c r="D708" s="40"/>
      <c r="E708" s="40"/>
      <c r="F708" s="40"/>
      <c r="G708" s="40"/>
      <c r="H708" s="40"/>
      <c r="I708" s="40"/>
      <c r="J708" s="216"/>
      <c r="K708" s="40"/>
      <c r="L708" s="40"/>
      <c r="M708" s="40"/>
      <c r="N708" s="40"/>
      <c r="O708" s="40"/>
      <c r="P708" s="40"/>
      <c r="Q708" s="40"/>
      <c r="R708" s="40"/>
      <c r="S708" s="40"/>
      <c r="T708" s="40"/>
      <c r="U708" s="40"/>
      <c r="V708" s="40"/>
      <c r="W708" s="40"/>
      <c r="X708" s="40"/>
      <c r="Y708" s="40"/>
      <c r="Z708" s="40"/>
      <c r="AA708" s="40"/>
      <c r="AB708" s="40"/>
    </row>
    <row r="709">
      <c r="A709" s="805"/>
      <c r="B709" s="40"/>
      <c r="C709" s="40"/>
      <c r="D709" s="40"/>
      <c r="E709" s="40"/>
      <c r="F709" s="40"/>
      <c r="G709" s="40"/>
      <c r="H709" s="40"/>
      <c r="I709" s="40"/>
      <c r="J709" s="216"/>
      <c r="K709" s="40"/>
      <c r="L709" s="40"/>
      <c r="M709" s="40"/>
      <c r="N709" s="40"/>
      <c r="O709" s="40"/>
      <c r="P709" s="40"/>
      <c r="Q709" s="40"/>
      <c r="R709" s="40"/>
      <c r="S709" s="40"/>
      <c r="T709" s="40"/>
      <c r="U709" s="40"/>
      <c r="V709" s="40"/>
      <c r="W709" s="40"/>
      <c r="X709" s="40"/>
      <c r="Y709" s="40"/>
      <c r="Z709" s="40"/>
      <c r="AA709" s="40"/>
      <c r="AB709" s="40"/>
    </row>
    <row r="710">
      <c r="A710" s="805"/>
      <c r="B710" s="40"/>
      <c r="C710" s="40"/>
      <c r="D710" s="40"/>
      <c r="E710" s="40"/>
      <c r="F710" s="40"/>
      <c r="G710" s="40"/>
      <c r="H710" s="40"/>
      <c r="I710" s="40"/>
      <c r="J710" s="216"/>
      <c r="K710" s="40"/>
      <c r="L710" s="40"/>
      <c r="M710" s="40"/>
      <c r="N710" s="40"/>
      <c r="O710" s="40"/>
      <c r="P710" s="40"/>
      <c r="Q710" s="40"/>
      <c r="R710" s="40"/>
      <c r="S710" s="40"/>
      <c r="T710" s="40"/>
      <c r="U710" s="40"/>
      <c r="V710" s="40"/>
      <c r="W710" s="40"/>
      <c r="X710" s="40"/>
      <c r="Y710" s="40"/>
      <c r="Z710" s="40"/>
      <c r="AA710" s="40"/>
      <c r="AB710" s="40"/>
    </row>
    <row r="711">
      <c r="A711" s="805"/>
      <c r="B711" s="40"/>
      <c r="C711" s="40"/>
      <c r="D711" s="40"/>
      <c r="E711" s="40"/>
      <c r="F711" s="40"/>
      <c r="G711" s="40"/>
      <c r="H711" s="40"/>
      <c r="I711" s="40"/>
      <c r="J711" s="216"/>
      <c r="K711" s="40"/>
      <c r="L711" s="40"/>
      <c r="M711" s="40"/>
      <c r="N711" s="40"/>
      <c r="O711" s="40"/>
      <c r="P711" s="40"/>
      <c r="Q711" s="40"/>
      <c r="R711" s="40"/>
      <c r="S711" s="40"/>
      <c r="T711" s="40"/>
      <c r="U711" s="40"/>
      <c r="V711" s="40"/>
      <c r="W711" s="40"/>
      <c r="X711" s="40"/>
      <c r="Y711" s="40"/>
      <c r="Z711" s="40"/>
      <c r="AA711" s="40"/>
      <c r="AB711" s="40"/>
    </row>
    <row r="712">
      <c r="A712" s="805"/>
      <c r="B712" s="40"/>
      <c r="C712" s="40"/>
      <c r="D712" s="40"/>
      <c r="E712" s="40"/>
      <c r="F712" s="40"/>
      <c r="G712" s="40"/>
      <c r="H712" s="40"/>
      <c r="I712" s="40"/>
      <c r="J712" s="216"/>
      <c r="K712" s="40"/>
      <c r="L712" s="40"/>
      <c r="M712" s="40"/>
      <c r="N712" s="40"/>
      <c r="O712" s="40"/>
      <c r="P712" s="40"/>
      <c r="Q712" s="40"/>
      <c r="R712" s="40"/>
      <c r="S712" s="40"/>
      <c r="T712" s="40"/>
      <c r="U712" s="40"/>
      <c r="V712" s="40"/>
      <c r="W712" s="40"/>
      <c r="X712" s="40"/>
      <c r="Y712" s="40"/>
      <c r="Z712" s="40"/>
      <c r="AA712" s="40"/>
      <c r="AB712" s="40"/>
    </row>
    <row r="713">
      <c r="A713" s="805"/>
      <c r="B713" s="40"/>
      <c r="C713" s="40"/>
      <c r="D713" s="40"/>
      <c r="E713" s="40"/>
      <c r="F713" s="40"/>
      <c r="G713" s="40"/>
      <c r="H713" s="40"/>
      <c r="I713" s="40"/>
      <c r="J713" s="216"/>
      <c r="K713" s="40"/>
      <c r="L713" s="40"/>
      <c r="M713" s="40"/>
      <c r="N713" s="40"/>
      <c r="O713" s="40"/>
      <c r="P713" s="40"/>
      <c r="Q713" s="40"/>
      <c r="R713" s="40"/>
      <c r="S713" s="40"/>
      <c r="T713" s="40"/>
      <c r="U713" s="40"/>
      <c r="V713" s="40"/>
      <c r="W713" s="40"/>
      <c r="X713" s="40"/>
      <c r="Y713" s="40"/>
      <c r="Z713" s="40"/>
      <c r="AA713" s="40"/>
      <c r="AB713" s="40"/>
    </row>
    <row r="714">
      <c r="A714" s="805"/>
      <c r="B714" s="40"/>
      <c r="C714" s="40"/>
      <c r="D714" s="40"/>
      <c r="E714" s="40"/>
      <c r="F714" s="40"/>
      <c r="G714" s="40"/>
      <c r="H714" s="40"/>
      <c r="I714" s="40"/>
      <c r="J714" s="216"/>
      <c r="K714" s="40"/>
      <c r="L714" s="40"/>
      <c r="M714" s="40"/>
      <c r="N714" s="40"/>
      <c r="O714" s="40"/>
      <c r="P714" s="40"/>
      <c r="Q714" s="40"/>
      <c r="R714" s="40"/>
      <c r="S714" s="40"/>
      <c r="T714" s="40"/>
      <c r="U714" s="40"/>
      <c r="V714" s="40"/>
      <c r="W714" s="40"/>
      <c r="X714" s="40"/>
      <c r="Y714" s="40"/>
      <c r="Z714" s="40"/>
      <c r="AA714" s="40"/>
      <c r="AB714" s="40"/>
    </row>
    <row r="715">
      <c r="A715" s="805"/>
      <c r="B715" s="40"/>
      <c r="C715" s="40"/>
      <c r="D715" s="40"/>
      <c r="E715" s="40"/>
      <c r="F715" s="40"/>
      <c r="G715" s="40"/>
      <c r="H715" s="40"/>
      <c r="I715" s="40"/>
      <c r="J715" s="216"/>
      <c r="K715" s="40"/>
      <c r="L715" s="40"/>
      <c r="M715" s="40"/>
      <c r="N715" s="40"/>
      <c r="O715" s="40"/>
      <c r="P715" s="40"/>
      <c r="Q715" s="40"/>
      <c r="R715" s="40"/>
      <c r="S715" s="40"/>
      <c r="T715" s="40"/>
      <c r="U715" s="40"/>
      <c r="V715" s="40"/>
      <c r="W715" s="40"/>
      <c r="X715" s="40"/>
      <c r="Y715" s="40"/>
      <c r="Z715" s="40"/>
      <c r="AA715" s="40"/>
      <c r="AB715" s="40"/>
    </row>
    <row r="716">
      <c r="A716" s="805"/>
      <c r="B716" s="40"/>
      <c r="C716" s="40"/>
      <c r="D716" s="40"/>
      <c r="E716" s="40"/>
      <c r="F716" s="40"/>
      <c r="G716" s="40"/>
      <c r="H716" s="40"/>
      <c r="I716" s="40"/>
      <c r="J716" s="216"/>
      <c r="K716" s="40"/>
      <c r="L716" s="40"/>
      <c r="M716" s="40"/>
      <c r="N716" s="40"/>
      <c r="O716" s="40"/>
      <c r="P716" s="40"/>
      <c r="Q716" s="40"/>
      <c r="R716" s="40"/>
      <c r="S716" s="40"/>
      <c r="T716" s="40"/>
      <c r="U716" s="40"/>
      <c r="V716" s="40"/>
      <c r="W716" s="40"/>
      <c r="X716" s="40"/>
      <c r="Y716" s="40"/>
      <c r="Z716" s="40"/>
      <c r="AA716" s="40"/>
      <c r="AB716" s="40"/>
    </row>
    <row r="717">
      <c r="A717" s="805"/>
      <c r="B717" s="40"/>
      <c r="C717" s="40"/>
      <c r="D717" s="40"/>
      <c r="E717" s="40"/>
      <c r="F717" s="40"/>
      <c r="G717" s="40"/>
      <c r="H717" s="40"/>
      <c r="I717" s="40"/>
      <c r="J717" s="216"/>
      <c r="K717" s="40"/>
      <c r="L717" s="40"/>
      <c r="M717" s="40"/>
      <c r="N717" s="40"/>
      <c r="O717" s="40"/>
      <c r="P717" s="40"/>
      <c r="Q717" s="40"/>
      <c r="R717" s="40"/>
      <c r="S717" s="40"/>
      <c r="T717" s="40"/>
      <c r="U717" s="40"/>
      <c r="V717" s="40"/>
      <c r="W717" s="40"/>
      <c r="X717" s="40"/>
      <c r="Y717" s="40"/>
      <c r="Z717" s="40"/>
      <c r="AA717" s="40"/>
      <c r="AB717" s="40"/>
    </row>
    <row r="718">
      <c r="A718" s="805"/>
      <c r="B718" s="40"/>
      <c r="C718" s="40"/>
      <c r="D718" s="40"/>
      <c r="E718" s="40"/>
      <c r="F718" s="40"/>
      <c r="G718" s="40"/>
      <c r="H718" s="40"/>
      <c r="I718" s="40"/>
      <c r="J718" s="216"/>
      <c r="K718" s="40"/>
      <c r="L718" s="40"/>
      <c r="M718" s="40"/>
      <c r="N718" s="40"/>
      <c r="O718" s="40"/>
      <c r="P718" s="40"/>
      <c r="Q718" s="40"/>
      <c r="R718" s="40"/>
      <c r="S718" s="40"/>
      <c r="T718" s="40"/>
      <c r="U718" s="40"/>
      <c r="V718" s="40"/>
      <c r="W718" s="40"/>
      <c r="X718" s="40"/>
      <c r="Y718" s="40"/>
      <c r="Z718" s="40"/>
      <c r="AA718" s="40"/>
      <c r="AB718" s="40"/>
    </row>
    <row r="719">
      <c r="A719" s="805"/>
      <c r="B719" s="40"/>
      <c r="C719" s="40"/>
      <c r="D719" s="40"/>
      <c r="E719" s="40"/>
      <c r="F719" s="40"/>
      <c r="G719" s="40"/>
      <c r="H719" s="40"/>
      <c r="I719" s="40"/>
      <c r="J719" s="216"/>
      <c r="K719" s="40"/>
      <c r="L719" s="40"/>
      <c r="M719" s="40"/>
      <c r="N719" s="40"/>
      <c r="O719" s="40"/>
      <c r="P719" s="40"/>
      <c r="Q719" s="40"/>
      <c r="R719" s="40"/>
      <c r="S719" s="40"/>
      <c r="T719" s="40"/>
      <c r="U719" s="40"/>
      <c r="V719" s="40"/>
      <c r="W719" s="40"/>
      <c r="X719" s="40"/>
      <c r="Y719" s="40"/>
      <c r="Z719" s="40"/>
      <c r="AA719" s="40"/>
      <c r="AB719" s="40"/>
    </row>
    <row r="720">
      <c r="A720" s="805"/>
      <c r="B720" s="40"/>
      <c r="C720" s="40"/>
      <c r="D720" s="40"/>
      <c r="E720" s="40"/>
      <c r="F720" s="40"/>
      <c r="G720" s="40"/>
      <c r="H720" s="40"/>
      <c r="I720" s="40"/>
      <c r="J720" s="216"/>
      <c r="K720" s="40"/>
      <c r="L720" s="40"/>
      <c r="M720" s="40"/>
      <c r="N720" s="40"/>
      <c r="O720" s="40"/>
      <c r="P720" s="40"/>
      <c r="Q720" s="40"/>
      <c r="R720" s="40"/>
      <c r="S720" s="40"/>
      <c r="T720" s="40"/>
      <c r="U720" s="40"/>
      <c r="V720" s="40"/>
      <c r="W720" s="40"/>
      <c r="X720" s="40"/>
      <c r="Y720" s="40"/>
      <c r="Z720" s="40"/>
      <c r="AA720" s="40"/>
      <c r="AB720" s="40"/>
    </row>
    <row r="721">
      <c r="A721" s="805"/>
      <c r="B721" s="40"/>
      <c r="C721" s="40"/>
      <c r="D721" s="40"/>
      <c r="E721" s="40"/>
      <c r="F721" s="40"/>
      <c r="G721" s="40"/>
      <c r="H721" s="40"/>
      <c r="I721" s="40"/>
      <c r="J721" s="216"/>
      <c r="K721" s="40"/>
      <c r="L721" s="40"/>
      <c r="M721" s="40"/>
      <c r="N721" s="40"/>
      <c r="O721" s="40"/>
      <c r="P721" s="40"/>
      <c r="Q721" s="40"/>
      <c r="R721" s="40"/>
      <c r="S721" s="40"/>
      <c r="T721" s="40"/>
      <c r="U721" s="40"/>
      <c r="V721" s="40"/>
      <c r="W721" s="40"/>
      <c r="X721" s="40"/>
      <c r="Y721" s="40"/>
      <c r="Z721" s="40"/>
      <c r="AA721" s="40"/>
      <c r="AB721" s="40"/>
    </row>
    <row r="722">
      <c r="A722" s="805"/>
      <c r="B722" s="40"/>
      <c r="C722" s="40"/>
      <c r="D722" s="40"/>
      <c r="E722" s="40"/>
      <c r="F722" s="40"/>
      <c r="G722" s="40"/>
      <c r="H722" s="40"/>
      <c r="I722" s="40"/>
      <c r="J722" s="216"/>
      <c r="K722" s="40"/>
      <c r="L722" s="40"/>
      <c r="M722" s="40"/>
      <c r="N722" s="40"/>
      <c r="O722" s="40"/>
      <c r="P722" s="40"/>
      <c r="Q722" s="40"/>
      <c r="R722" s="40"/>
      <c r="S722" s="40"/>
      <c r="T722" s="40"/>
      <c r="U722" s="40"/>
      <c r="V722" s="40"/>
      <c r="W722" s="40"/>
      <c r="X722" s="40"/>
      <c r="Y722" s="40"/>
      <c r="Z722" s="40"/>
      <c r="AA722" s="40"/>
      <c r="AB722" s="40"/>
    </row>
    <row r="723">
      <c r="A723" s="805"/>
      <c r="B723" s="40"/>
      <c r="C723" s="40"/>
      <c r="D723" s="40"/>
      <c r="E723" s="40"/>
      <c r="F723" s="40"/>
      <c r="G723" s="40"/>
      <c r="H723" s="40"/>
      <c r="I723" s="40"/>
      <c r="J723" s="216"/>
      <c r="K723" s="40"/>
      <c r="L723" s="40"/>
      <c r="M723" s="40"/>
      <c r="N723" s="40"/>
      <c r="O723" s="40"/>
      <c r="P723" s="40"/>
      <c r="Q723" s="40"/>
      <c r="R723" s="40"/>
      <c r="S723" s="40"/>
      <c r="T723" s="40"/>
      <c r="U723" s="40"/>
      <c r="V723" s="40"/>
      <c r="W723" s="40"/>
      <c r="X723" s="40"/>
      <c r="Y723" s="40"/>
      <c r="Z723" s="40"/>
      <c r="AA723" s="40"/>
      <c r="AB723" s="40"/>
    </row>
    <row r="724">
      <c r="A724" s="805"/>
      <c r="B724" s="40"/>
      <c r="C724" s="40"/>
      <c r="D724" s="40"/>
      <c r="E724" s="40"/>
      <c r="F724" s="40"/>
      <c r="G724" s="40"/>
      <c r="H724" s="40"/>
      <c r="I724" s="40"/>
      <c r="J724" s="216"/>
      <c r="K724" s="40"/>
      <c r="L724" s="40"/>
      <c r="M724" s="40"/>
      <c r="N724" s="40"/>
      <c r="O724" s="40"/>
      <c r="P724" s="40"/>
      <c r="Q724" s="40"/>
      <c r="R724" s="40"/>
      <c r="S724" s="40"/>
      <c r="T724" s="40"/>
      <c r="U724" s="40"/>
      <c r="V724" s="40"/>
      <c r="W724" s="40"/>
      <c r="X724" s="40"/>
      <c r="Y724" s="40"/>
      <c r="Z724" s="40"/>
      <c r="AA724" s="40"/>
      <c r="AB724" s="40"/>
    </row>
    <row r="725">
      <c r="A725" s="805"/>
      <c r="B725" s="40"/>
      <c r="C725" s="40"/>
      <c r="D725" s="40"/>
      <c r="E725" s="40"/>
      <c r="F725" s="40"/>
      <c r="G725" s="40"/>
      <c r="H725" s="40"/>
      <c r="I725" s="40"/>
      <c r="J725" s="216"/>
      <c r="K725" s="40"/>
      <c r="L725" s="40"/>
      <c r="M725" s="40"/>
      <c r="N725" s="40"/>
      <c r="O725" s="40"/>
      <c r="P725" s="40"/>
      <c r="Q725" s="40"/>
      <c r="R725" s="40"/>
      <c r="S725" s="40"/>
      <c r="T725" s="40"/>
      <c r="U725" s="40"/>
      <c r="V725" s="40"/>
      <c r="W725" s="40"/>
      <c r="X725" s="40"/>
      <c r="Y725" s="40"/>
      <c r="Z725" s="40"/>
      <c r="AA725" s="40"/>
      <c r="AB725" s="40"/>
    </row>
    <row r="726">
      <c r="A726" s="805"/>
      <c r="B726" s="40"/>
      <c r="C726" s="40"/>
      <c r="D726" s="40"/>
      <c r="E726" s="40"/>
      <c r="F726" s="40"/>
      <c r="G726" s="40"/>
      <c r="H726" s="40"/>
      <c r="I726" s="40"/>
      <c r="J726" s="216"/>
      <c r="K726" s="40"/>
      <c r="L726" s="40"/>
      <c r="M726" s="40"/>
      <c r="N726" s="40"/>
      <c r="O726" s="40"/>
      <c r="P726" s="40"/>
      <c r="Q726" s="40"/>
      <c r="R726" s="40"/>
      <c r="S726" s="40"/>
      <c r="T726" s="40"/>
      <c r="U726" s="40"/>
      <c r="V726" s="40"/>
      <c r="W726" s="40"/>
      <c r="X726" s="40"/>
      <c r="Y726" s="40"/>
      <c r="Z726" s="40"/>
      <c r="AA726" s="40"/>
      <c r="AB726" s="40"/>
    </row>
    <row r="727">
      <c r="A727" s="805"/>
      <c r="B727" s="40"/>
      <c r="C727" s="40"/>
      <c r="D727" s="40"/>
      <c r="E727" s="40"/>
      <c r="F727" s="40"/>
      <c r="G727" s="40"/>
      <c r="H727" s="40"/>
      <c r="I727" s="40"/>
      <c r="J727" s="216"/>
      <c r="K727" s="40"/>
      <c r="L727" s="40"/>
      <c r="M727" s="40"/>
      <c r="N727" s="40"/>
      <c r="O727" s="40"/>
      <c r="P727" s="40"/>
      <c r="Q727" s="40"/>
      <c r="R727" s="40"/>
      <c r="S727" s="40"/>
      <c r="T727" s="40"/>
      <c r="U727" s="40"/>
      <c r="V727" s="40"/>
      <c r="W727" s="40"/>
      <c r="X727" s="40"/>
      <c r="Y727" s="40"/>
      <c r="Z727" s="40"/>
      <c r="AA727" s="40"/>
      <c r="AB727" s="40"/>
    </row>
    <row r="728">
      <c r="A728" s="805"/>
      <c r="B728" s="40"/>
      <c r="C728" s="40"/>
      <c r="D728" s="40"/>
      <c r="E728" s="40"/>
      <c r="F728" s="40"/>
      <c r="G728" s="40"/>
      <c r="H728" s="40"/>
      <c r="I728" s="40"/>
      <c r="J728" s="216"/>
      <c r="K728" s="40"/>
      <c r="L728" s="40"/>
      <c r="M728" s="40"/>
      <c r="N728" s="40"/>
      <c r="O728" s="40"/>
      <c r="P728" s="40"/>
      <c r="Q728" s="40"/>
      <c r="R728" s="40"/>
      <c r="S728" s="40"/>
      <c r="T728" s="40"/>
      <c r="U728" s="40"/>
      <c r="V728" s="40"/>
      <c r="W728" s="40"/>
      <c r="X728" s="40"/>
      <c r="Y728" s="40"/>
      <c r="Z728" s="40"/>
      <c r="AA728" s="40"/>
      <c r="AB728" s="40"/>
    </row>
    <row r="729">
      <c r="A729" s="805"/>
      <c r="B729" s="40"/>
      <c r="C729" s="40"/>
      <c r="D729" s="40"/>
      <c r="E729" s="40"/>
      <c r="F729" s="40"/>
      <c r="G729" s="40"/>
      <c r="H729" s="40"/>
      <c r="I729" s="40"/>
      <c r="J729" s="216"/>
      <c r="K729" s="40"/>
      <c r="L729" s="40"/>
      <c r="M729" s="40"/>
      <c r="N729" s="40"/>
      <c r="O729" s="40"/>
      <c r="P729" s="40"/>
      <c r="Q729" s="40"/>
      <c r="R729" s="40"/>
      <c r="S729" s="40"/>
      <c r="T729" s="40"/>
      <c r="U729" s="40"/>
      <c r="V729" s="40"/>
      <c r="W729" s="40"/>
      <c r="X729" s="40"/>
      <c r="Y729" s="40"/>
      <c r="Z729" s="40"/>
      <c r="AA729" s="40"/>
      <c r="AB729" s="40"/>
    </row>
    <row r="730">
      <c r="A730" s="805"/>
      <c r="B730" s="40"/>
      <c r="C730" s="40"/>
      <c r="D730" s="40"/>
      <c r="E730" s="40"/>
      <c r="F730" s="40"/>
      <c r="G730" s="40"/>
      <c r="H730" s="40"/>
      <c r="I730" s="40"/>
      <c r="J730" s="216"/>
      <c r="K730" s="40"/>
      <c r="L730" s="40"/>
      <c r="M730" s="40"/>
      <c r="N730" s="40"/>
      <c r="O730" s="40"/>
      <c r="P730" s="40"/>
      <c r="Q730" s="40"/>
      <c r="R730" s="40"/>
      <c r="S730" s="40"/>
      <c r="T730" s="40"/>
      <c r="U730" s="40"/>
      <c r="V730" s="40"/>
      <c r="W730" s="40"/>
      <c r="X730" s="40"/>
      <c r="Y730" s="40"/>
      <c r="Z730" s="40"/>
      <c r="AA730" s="40"/>
      <c r="AB730" s="40"/>
    </row>
    <row r="731">
      <c r="A731" s="805"/>
      <c r="B731" s="40"/>
      <c r="C731" s="40"/>
      <c r="D731" s="40"/>
      <c r="E731" s="40"/>
      <c r="F731" s="40"/>
      <c r="G731" s="40"/>
      <c r="H731" s="40"/>
      <c r="I731" s="40"/>
      <c r="J731" s="216"/>
      <c r="K731" s="40"/>
      <c r="L731" s="40"/>
      <c r="M731" s="40"/>
      <c r="N731" s="40"/>
      <c r="O731" s="40"/>
      <c r="P731" s="40"/>
      <c r="Q731" s="40"/>
      <c r="R731" s="40"/>
      <c r="S731" s="40"/>
      <c r="T731" s="40"/>
      <c r="U731" s="40"/>
      <c r="V731" s="40"/>
      <c r="W731" s="40"/>
      <c r="X731" s="40"/>
      <c r="Y731" s="40"/>
      <c r="Z731" s="40"/>
      <c r="AA731" s="40"/>
      <c r="AB731" s="40"/>
    </row>
    <row r="732">
      <c r="A732" s="805"/>
      <c r="B732" s="40"/>
      <c r="C732" s="40"/>
      <c r="D732" s="40"/>
      <c r="E732" s="40"/>
      <c r="F732" s="40"/>
      <c r="G732" s="40"/>
      <c r="H732" s="40"/>
      <c r="I732" s="40"/>
      <c r="J732" s="216"/>
      <c r="K732" s="40"/>
      <c r="L732" s="40"/>
      <c r="M732" s="40"/>
      <c r="N732" s="40"/>
      <c r="O732" s="40"/>
      <c r="P732" s="40"/>
      <c r="Q732" s="40"/>
      <c r="R732" s="40"/>
      <c r="S732" s="40"/>
      <c r="T732" s="40"/>
      <c r="U732" s="40"/>
      <c r="V732" s="40"/>
      <c r="W732" s="40"/>
      <c r="X732" s="40"/>
      <c r="Y732" s="40"/>
      <c r="Z732" s="40"/>
      <c r="AA732" s="40"/>
      <c r="AB732" s="40"/>
    </row>
    <row r="733">
      <c r="A733" s="805"/>
      <c r="B733" s="40"/>
      <c r="C733" s="40"/>
      <c r="D733" s="40"/>
      <c r="E733" s="40"/>
      <c r="F733" s="40"/>
      <c r="G733" s="40"/>
      <c r="H733" s="40"/>
      <c r="I733" s="40"/>
      <c r="J733" s="216"/>
      <c r="K733" s="40"/>
      <c r="L733" s="40"/>
      <c r="M733" s="40"/>
      <c r="N733" s="40"/>
      <c r="O733" s="40"/>
      <c r="P733" s="40"/>
      <c r="Q733" s="40"/>
      <c r="R733" s="40"/>
      <c r="S733" s="40"/>
      <c r="T733" s="40"/>
      <c r="U733" s="40"/>
      <c r="V733" s="40"/>
      <c r="W733" s="40"/>
      <c r="X733" s="40"/>
      <c r="Y733" s="40"/>
      <c r="Z733" s="40"/>
      <c r="AA733" s="40"/>
      <c r="AB733" s="40"/>
    </row>
    <row r="734">
      <c r="A734" s="805"/>
      <c r="B734" s="40"/>
      <c r="C734" s="40"/>
      <c r="D734" s="40"/>
      <c r="E734" s="40"/>
      <c r="F734" s="40"/>
      <c r="G734" s="40"/>
      <c r="H734" s="40"/>
      <c r="I734" s="40"/>
      <c r="J734" s="216"/>
      <c r="K734" s="40"/>
      <c r="L734" s="40"/>
      <c r="M734" s="40"/>
      <c r="N734" s="40"/>
      <c r="O734" s="40"/>
      <c r="P734" s="40"/>
      <c r="Q734" s="40"/>
      <c r="R734" s="40"/>
      <c r="S734" s="40"/>
      <c r="T734" s="40"/>
      <c r="U734" s="40"/>
      <c r="V734" s="40"/>
      <c r="W734" s="40"/>
      <c r="X734" s="40"/>
      <c r="Y734" s="40"/>
      <c r="Z734" s="40"/>
      <c r="AA734" s="40"/>
      <c r="AB734" s="40"/>
    </row>
    <row r="735">
      <c r="A735" s="805"/>
      <c r="B735" s="40"/>
      <c r="C735" s="40"/>
      <c r="D735" s="40"/>
      <c r="E735" s="40"/>
      <c r="F735" s="40"/>
      <c r="G735" s="40"/>
      <c r="H735" s="40"/>
      <c r="I735" s="40"/>
      <c r="J735" s="216"/>
      <c r="K735" s="40"/>
      <c r="L735" s="40"/>
      <c r="M735" s="40"/>
      <c r="N735" s="40"/>
      <c r="O735" s="40"/>
      <c r="P735" s="40"/>
      <c r="Q735" s="40"/>
      <c r="R735" s="40"/>
      <c r="S735" s="40"/>
      <c r="T735" s="40"/>
      <c r="U735" s="40"/>
      <c r="V735" s="40"/>
      <c r="W735" s="40"/>
      <c r="X735" s="40"/>
      <c r="Y735" s="40"/>
      <c r="Z735" s="40"/>
      <c r="AA735" s="40"/>
      <c r="AB735" s="40"/>
    </row>
    <row r="736">
      <c r="A736" s="805"/>
      <c r="B736" s="40"/>
      <c r="C736" s="40"/>
      <c r="D736" s="40"/>
      <c r="E736" s="40"/>
      <c r="F736" s="40"/>
      <c r="G736" s="40"/>
      <c r="H736" s="40"/>
      <c r="I736" s="40"/>
      <c r="J736" s="216"/>
      <c r="K736" s="40"/>
      <c r="L736" s="40"/>
      <c r="M736" s="40"/>
      <c r="N736" s="40"/>
      <c r="O736" s="40"/>
      <c r="P736" s="40"/>
      <c r="Q736" s="40"/>
      <c r="R736" s="40"/>
      <c r="S736" s="40"/>
      <c r="T736" s="40"/>
      <c r="U736" s="40"/>
      <c r="V736" s="40"/>
      <c r="W736" s="40"/>
      <c r="X736" s="40"/>
      <c r="Y736" s="40"/>
      <c r="Z736" s="40"/>
      <c r="AA736" s="40"/>
      <c r="AB736" s="40"/>
    </row>
    <row r="737">
      <c r="A737" s="805"/>
      <c r="B737" s="40"/>
      <c r="C737" s="40"/>
      <c r="D737" s="40"/>
      <c r="E737" s="40"/>
      <c r="F737" s="40"/>
      <c r="G737" s="40"/>
      <c r="H737" s="40"/>
      <c r="I737" s="40"/>
      <c r="J737" s="216"/>
      <c r="K737" s="40"/>
      <c r="L737" s="40"/>
      <c r="M737" s="40"/>
      <c r="N737" s="40"/>
      <c r="O737" s="40"/>
      <c r="P737" s="40"/>
      <c r="Q737" s="40"/>
      <c r="R737" s="40"/>
      <c r="S737" s="40"/>
      <c r="T737" s="40"/>
      <c r="U737" s="40"/>
      <c r="V737" s="40"/>
      <c r="W737" s="40"/>
      <c r="X737" s="40"/>
      <c r="Y737" s="40"/>
      <c r="Z737" s="40"/>
      <c r="AA737" s="40"/>
      <c r="AB737" s="40"/>
    </row>
    <row r="738">
      <c r="A738" s="805"/>
      <c r="B738" s="40"/>
      <c r="C738" s="40"/>
      <c r="D738" s="40"/>
      <c r="E738" s="40"/>
      <c r="F738" s="40"/>
      <c r="G738" s="40"/>
      <c r="H738" s="40"/>
      <c r="I738" s="40"/>
      <c r="J738" s="216"/>
      <c r="K738" s="40"/>
      <c r="L738" s="40"/>
      <c r="M738" s="40"/>
      <c r="N738" s="40"/>
      <c r="O738" s="40"/>
      <c r="P738" s="40"/>
      <c r="Q738" s="40"/>
      <c r="R738" s="40"/>
      <c r="S738" s="40"/>
      <c r="T738" s="40"/>
      <c r="U738" s="40"/>
      <c r="V738" s="40"/>
      <c r="W738" s="40"/>
      <c r="X738" s="40"/>
      <c r="Y738" s="40"/>
      <c r="Z738" s="40"/>
      <c r="AA738" s="40"/>
      <c r="AB738" s="40"/>
    </row>
    <row r="739">
      <c r="A739" s="805"/>
      <c r="B739" s="40"/>
      <c r="C739" s="40"/>
      <c r="D739" s="40"/>
      <c r="E739" s="40"/>
      <c r="F739" s="40"/>
      <c r="G739" s="40"/>
      <c r="H739" s="40"/>
      <c r="I739" s="40"/>
      <c r="J739" s="216"/>
      <c r="K739" s="40"/>
      <c r="L739" s="40"/>
      <c r="M739" s="40"/>
      <c r="N739" s="40"/>
      <c r="O739" s="40"/>
      <c r="P739" s="40"/>
      <c r="Q739" s="40"/>
      <c r="R739" s="40"/>
      <c r="S739" s="40"/>
      <c r="T739" s="40"/>
      <c r="U739" s="40"/>
      <c r="V739" s="40"/>
      <c r="W739" s="40"/>
      <c r="X739" s="40"/>
      <c r="Y739" s="40"/>
      <c r="Z739" s="40"/>
      <c r="AA739" s="40"/>
      <c r="AB739" s="40"/>
    </row>
    <row r="740">
      <c r="A740" s="805"/>
      <c r="B740" s="40"/>
      <c r="C740" s="40"/>
      <c r="D740" s="40"/>
      <c r="E740" s="40"/>
      <c r="F740" s="40"/>
      <c r="G740" s="40"/>
      <c r="H740" s="40"/>
      <c r="I740" s="40"/>
      <c r="J740" s="216"/>
      <c r="K740" s="40"/>
      <c r="L740" s="40"/>
      <c r="M740" s="40"/>
      <c r="N740" s="40"/>
      <c r="O740" s="40"/>
      <c r="P740" s="40"/>
      <c r="Q740" s="40"/>
      <c r="R740" s="40"/>
      <c r="S740" s="40"/>
      <c r="T740" s="40"/>
      <c r="U740" s="40"/>
      <c r="V740" s="40"/>
      <c r="W740" s="40"/>
      <c r="X740" s="40"/>
      <c r="Y740" s="40"/>
      <c r="Z740" s="40"/>
      <c r="AA740" s="40"/>
      <c r="AB740" s="40"/>
    </row>
    <row r="741">
      <c r="A741" s="805"/>
      <c r="B741" s="40"/>
      <c r="C741" s="40"/>
      <c r="D741" s="40"/>
      <c r="E741" s="40"/>
      <c r="F741" s="40"/>
      <c r="G741" s="40"/>
      <c r="H741" s="40"/>
      <c r="I741" s="40"/>
      <c r="J741" s="216"/>
      <c r="K741" s="40"/>
      <c r="L741" s="40"/>
      <c r="M741" s="40"/>
      <c r="N741" s="40"/>
      <c r="O741" s="40"/>
      <c r="P741" s="40"/>
      <c r="Q741" s="40"/>
      <c r="R741" s="40"/>
      <c r="S741" s="40"/>
      <c r="T741" s="40"/>
      <c r="U741" s="40"/>
      <c r="V741" s="40"/>
      <c r="W741" s="40"/>
      <c r="X741" s="40"/>
      <c r="Y741" s="40"/>
      <c r="Z741" s="40"/>
      <c r="AA741" s="40"/>
      <c r="AB741" s="40"/>
    </row>
    <row r="742">
      <c r="A742" s="805"/>
      <c r="B742" s="40"/>
      <c r="C742" s="40"/>
      <c r="D742" s="40"/>
      <c r="E742" s="40"/>
      <c r="F742" s="40"/>
      <c r="G742" s="40"/>
      <c r="H742" s="40"/>
      <c r="I742" s="40"/>
      <c r="J742" s="216"/>
      <c r="K742" s="40"/>
      <c r="L742" s="40"/>
      <c r="M742" s="40"/>
      <c r="N742" s="40"/>
      <c r="O742" s="40"/>
      <c r="P742" s="40"/>
      <c r="Q742" s="40"/>
      <c r="R742" s="40"/>
      <c r="S742" s="40"/>
      <c r="T742" s="40"/>
      <c r="U742" s="40"/>
      <c r="V742" s="40"/>
      <c r="W742" s="40"/>
      <c r="X742" s="40"/>
      <c r="Y742" s="40"/>
      <c r="Z742" s="40"/>
      <c r="AA742" s="40"/>
      <c r="AB742" s="40"/>
    </row>
    <row r="743">
      <c r="A743" s="805"/>
      <c r="B743" s="40"/>
      <c r="C743" s="40"/>
      <c r="D743" s="40"/>
      <c r="E743" s="40"/>
      <c r="F743" s="40"/>
      <c r="G743" s="40"/>
      <c r="H743" s="40"/>
      <c r="I743" s="40"/>
      <c r="J743" s="216"/>
      <c r="K743" s="40"/>
      <c r="L743" s="40"/>
      <c r="M743" s="40"/>
      <c r="N743" s="40"/>
      <c r="O743" s="40"/>
      <c r="P743" s="40"/>
      <c r="Q743" s="40"/>
      <c r="R743" s="40"/>
      <c r="S743" s="40"/>
      <c r="T743" s="40"/>
      <c r="U743" s="40"/>
      <c r="V743" s="40"/>
      <c r="W743" s="40"/>
      <c r="X743" s="40"/>
      <c r="Y743" s="40"/>
      <c r="Z743" s="40"/>
      <c r="AA743" s="40"/>
      <c r="AB743" s="40"/>
    </row>
    <row r="744">
      <c r="A744" s="805"/>
      <c r="B744" s="40"/>
      <c r="C744" s="40"/>
      <c r="D744" s="40"/>
      <c r="E744" s="40"/>
      <c r="F744" s="40"/>
      <c r="G744" s="40"/>
      <c r="H744" s="40"/>
      <c r="I744" s="40"/>
      <c r="J744" s="216"/>
      <c r="K744" s="40"/>
      <c r="L744" s="40"/>
      <c r="M744" s="40"/>
      <c r="N744" s="40"/>
      <c r="O744" s="40"/>
      <c r="P744" s="40"/>
      <c r="Q744" s="40"/>
      <c r="R744" s="40"/>
      <c r="S744" s="40"/>
      <c r="T744" s="40"/>
      <c r="U744" s="40"/>
      <c r="V744" s="40"/>
      <c r="W744" s="40"/>
      <c r="X744" s="40"/>
      <c r="Y744" s="40"/>
      <c r="Z744" s="40"/>
      <c r="AA744" s="40"/>
      <c r="AB744" s="40"/>
    </row>
    <row r="745">
      <c r="A745" s="805"/>
      <c r="B745" s="40"/>
      <c r="C745" s="40"/>
      <c r="D745" s="40"/>
      <c r="E745" s="40"/>
      <c r="F745" s="40"/>
      <c r="G745" s="40"/>
      <c r="H745" s="40"/>
      <c r="I745" s="40"/>
      <c r="J745" s="216"/>
      <c r="K745" s="40"/>
      <c r="L745" s="40"/>
      <c r="M745" s="40"/>
      <c r="N745" s="40"/>
      <c r="O745" s="40"/>
      <c r="P745" s="40"/>
      <c r="Q745" s="40"/>
      <c r="R745" s="40"/>
      <c r="S745" s="40"/>
      <c r="T745" s="40"/>
      <c r="U745" s="40"/>
      <c r="V745" s="40"/>
      <c r="W745" s="40"/>
      <c r="X745" s="40"/>
      <c r="Y745" s="40"/>
      <c r="Z745" s="40"/>
      <c r="AA745" s="40"/>
      <c r="AB745" s="40"/>
    </row>
    <row r="746">
      <c r="A746" s="805"/>
      <c r="B746" s="40"/>
      <c r="C746" s="40"/>
      <c r="D746" s="40"/>
      <c r="E746" s="40"/>
      <c r="F746" s="40"/>
      <c r="G746" s="40"/>
      <c r="H746" s="40"/>
      <c r="I746" s="40"/>
      <c r="J746" s="216"/>
      <c r="K746" s="40"/>
      <c r="L746" s="40"/>
      <c r="M746" s="40"/>
      <c r="N746" s="40"/>
      <c r="O746" s="40"/>
      <c r="P746" s="40"/>
      <c r="Q746" s="40"/>
      <c r="R746" s="40"/>
      <c r="S746" s="40"/>
      <c r="T746" s="40"/>
      <c r="U746" s="40"/>
      <c r="V746" s="40"/>
      <c r="W746" s="40"/>
      <c r="X746" s="40"/>
      <c r="Y746" s="40"/>
      <c r="Z746" s="40"/>
      <c r="AA746" s="40"/>
      <c r="AB746" s="40"/>
    </row>
    <row r="747">
      <c r="A747" s="805"/>
      <c r="B747" s="40"/>
      <c r="C747" s="40"/>
      <c r="D747" s="40"/>
      <c r="E747" s="40"/>
      <c r="F747" s="40"/>
      <c r="G747" s="40"/>
      <c r="H747" s="40"/>
      <c r="I747" s="40"/>
      <c r="J747" s="216"/>
      <c r="K747" s="40"/>
      <c r="L747" s="40"/>
      <c r="M747" s="40"/>
      <c r="N747" s="40"/>
      <c r="O747" s="40"/>
      <c r="P747" s="40"/>
      <c r="Q747" s="40"/>
      <c r="R747" s="40"/>
      <c r="S747" s="40"/>
      <c r="T747" s="40"/>
      <c r="U747" s="40"/>
      <c r="V747" s="40"/>
      <c r="W747" s="40"/>
      <c r="X747" s="40"/>
      <c r="Y747" s="40"/>
      <c r="Z747" s="40"/>
      <c r="AA747" s="40"/>
      <c r="AB747" s="40"/>
    </row>
    <row r="748">
      <c r="A748" s="805"/>
      <c r="B748" s="40"/>
      <c r="C748" s="40"/>
      <c r="D748" s="40"/>
      <c r="E748" s="40"/>
      <c r="F748" s="40"/>
      <c r="G748" s="40"/>
      <c r="H748" s="40"/>
      <c r="I748" s="40"/>
      <c r="J748" s="216"/>
      <c r="K748" s="40"/>
      <c r="L748" s="40"/>
      <c r="M748" s="40"/>
      <c r="N748" s="40"/>
      <c r="O748" s="40"/>
      <c r="P748" s="40"/>
      <c r="Q748" s="40"/>
      <c r="R748" s="40"/>
      <c r="S748" s="40"/>
      <c r="T748" s="40"/>
      <c r="U748" s="40"/>
      <c r="V748" s="40"/>
      <c r="W748" s="40"/>
      <c r="X748" s="40"/>
      <c r="Y748" s="40"/>
      <c r="Z748" s="40"/>
      <c r="AA748" s="40"/>
      <c r="AB748" s="40"/>
    </row>
    <row r="749">
      <c r="A749" s="805"/>
      <c r="B749" s="40"/>
      <c r="C749" s="40"/>
      <c r="D749" s="40"/>
      <c r="E749" s="40"/>
      <c r="F749" s="40"/>
      <c r="G749" s="40"/>
      <c r="H749" s="40"/>
      <c r="I749" s="40"/>
      <c r="J749" s="216"/>
      <c r="K749" s="40"/>
      <c r="L749" s="40"/>
      <c r="M749" s="40"/>
      <c r="N749" s="40"/>
      <c r="O749" s="40"/>
      <c r="P749" s="40"/>
      <c r="Q749" s="40"/>
      <c r="R749" s="40"/>
      <c r="S749" s="40"/>
      <c r="T749" s="40"/>
      <c r="U749" s="40"/>
      <c r="V749" s="40"/>
      <c r="W749" s="40"/>
      <c r="X749" s="40"/>
      <c r="Y749" s="40"/>
      <c r="Z749" s="40"/>
      <c r="AA749" s="40"/>
      <c r="AB749" s="40"/>
    </row>
    <row r="750">
      <c r="A750" s="805"/>
      <c r="B750" s="40"/>
      <c r="C750" s="40"/>
      <c r="D750" s="40"/>
      <c r="E750" s="40"/>
      <c r="F750" s="40"/>
      <c r="G750" s="40"/>
      <c r="H750" s="40"/>
      <c r="I750" s="40"/>
      <c r="J750" s="216"/>
      <c r="K750" s="40"/>
      <c r="L750" s="40"/>
      <c r="M750" s="40"/>
      <c r="N750" s="40"/>
      <c r="O750" s="40"/>
      <c r="P750" s="40"/>
      <c r="Q750" s="40"/>
      <c r="R750" s="40"/>
      <c r="S750" s="40"/>
      <c r="T750" s="40"/>
      <c r="U750" s="40"/>
      <c r="V750" s="40"/>
      <c r="W750" s="40"/>
      <c r="X750" s="40"/>
      <c r="Y750" s="40"/>
      <c r="Z750" s="40"/>
      <c r="AA750" s="40"/>
      <c r="AB750" s="40"/>
    </row>
    <row r="751">
      <c r="A751" s="805"/>
      <c r="B751" s="40"/>
      <c r="C751" s="40"/>
      <c r="D751" s="40"/>
      <c r="E751" s="40"/>
      <c r="F751" s="40"/>
      <c r="G751" s="40"/>
      <c r="H751" s="40"/>
      <c r="I751" s="40"/>
      <c r="J751" s="216"/>
      <c r="K751" s="40"/>
      <c r="L751" s="40"/>
      <c r="M751" s="40"/>
      <c r="N751" s="40"/>
      <c r="O751" s="40"/>
      <c r="P751" s="40"/>
      <c r="Q751" s="40"/>
      <c r="R751" s="40"/>
      <c r="S751" s="40"/>
      <c r="T751" s="40"/>
      <c r="U751" s="40"/>
      <c r="V751" s="40"/>
      <c r="W751" s="40"/>
      <c r="X751" s="40"/>
      <c r="Y751" s="40"/>
      <c r="Z751" s="40"/>
      <c r="AA751" s="40"/>
      <c r="AB751" s="40"/>
    </row>
    <row r="752">
      <c r="A752" s="805"/>
      <c r="B752" s="40"/>
      <c r="C752" s="40"/>
      <c r="D752" s="40"/>
      <c r="E752" s="40"/>
      <c r="F752" s="40"/>
      <c r="G752" s="40"/>
      <c r="H752" s="40"/>
      <c r="I752" s="40"/>
      <c r="J752" s="216"/>
      <c r="K752" s="40"/>
      <c r="L752" s="40"/>
      <c r="M752" s="40"/>
      <c r="N752" s="40"/>
      <c r="O752" s="40"/>
      <c r="P752" s="40"/>
      <c r="Q752" s="40"/>
      <c r="R752" s="40"/>
      <c r="S752" s="40"/>
      <c r="T752" s="40"/>
      <c r="U752" s="40"/>
      <c r="V752" s="40"/>
      <c r="W752" s="40"/>
      <c r="X752" s="40"/>
      <c r="Y752" s="40"/>
      <c r="Z752" s="40"/>
      <c r="AA752" s="40"/>
      <c r="AB752" s="40"/>
    </row>
    <row r="753">
      <c r="A753" s="805"/>
      <c r="B753" s="40"/>
      <c r="C753" s="40"/>
      <c r="D753" s="40"/>
      <c r="E753" s="40"/>
      <c r="F753" s="40"/>
      <c r="G753" s="40"/>
      <c r="H753" s="40"/>
      <c r="I753" s="40"/>
      <c r="J753" s="216"/>
      <c r="K753" s="40"/>
      <c r="L753" s="40"/>
      <c r="M753" s="40"/>
      <c r="N753" s="40"/>
      <c r="O753" s="40"/>
      <c r="P753" s="40"/>
      <c r="Q753" s="40"/>
      <c r="R753" s="40"/>
      <c r="S753" s="40"/>
      <c r="T753" s="40"/>
      <c r="U753" s="40"/>
      <c r="V753" s="40"/>
      <c r="W753" s="40"/>
      <c r="X753" s="40"/>
      <c r="Y753" s="40"/>
      <c r="Z753" s="40"/>
      <c r="AA753" s="40"/>
      <c r="AB753" s="40"/>
    </row>
    <row r="754">
      <c r="A754" s="805"/>
      <c r="B754" s="40"/>
      <c r="C754" s="40"/>
      <c r="D754" s="40"/>
      <c r="E754" s="40"/>
      <c r="F754" s="40"/>
      <c r="G754" s="40"/>
      <c r="H754" s="40"/>
      <c r="I754" s="40"/>
      <c r="J754" s="216"/>
      <c r="K754" s="40"/>
      <c r="L754" s="40"/>
      <c r="M754" s="40"/>
      <c r="N754" s="40"/>
      <c r="O754" s="40"/>
      <c r="P754" s="40"/>
      <c r="Q754" s="40"/>
      <c r="R754" s="40"/>
      <c r="S754" s="40"/>
      <c r="T754" s="40"/>
      <c r="U754" s="40"/>
      <c r="V754" s="40"/>
      <c r="W754" s="40"/>
      <c r="X754" s="40"/>
      <c r="Y754" s="40"/>
      <c r="Z754" s="40"/>
      <c r="AA754" s="40"/>
      <c r="AB754" s="40"/>
    </row>
    <row r="755">
      <c r="A755" s="805"/>
      <c r="B755" s="40"/>
      <c r="C755" s="40"/>
      <c r="D755" s="40"/>
      <c r="E755" s="40"/>
      <c r="F755" s="40"/>
      <c r="G755" s="40"/>
      <c r="H755" s="40"/>
      <c r="I755" s="40"/>
      <c r="J755" s="216"/>
      <c r="K755" s="40"/>
      <c r="L755" s="40"/>
      <c r="M755" s="40"/>
      <c r="N755" s="40"/>
      <c r="O755" s="40"/>
      <c r="P755" s="40"/>
      <c r="Q755" s="40"/>
      <c r="R755" s="40"/>
      <c r="S755" s="40"/>
      <c r="T755" s="40"/>
      <c r="U755" s="40"/>
      <c r="V755" s="40"/>
      <c r="W755" s="40"/>
      <c r="X755" s="40"/>
      <c r="Y755" s="40"/>
      <c r="Z755" s="40"/>
      <c r="AA755" s="40"/>
      <c r="AB755" s="40"/>
    </row>
    <row r="756">
      <c r="A756" s="805"/>
      <c r="B756" s="40"/>
      <c r="C756" s="40"/>
      <c r="D756" s="40"/>
      <c r="E756" s="40"/>
      <c r="F756" s="40"/>
      <c r="G756" s="40"/>
      <c r="H756" s="40"/>
      <c r="I756" s="40"/>
      <c r="J756" s="216"/>
      <c r="K756" s="40"/>
      <c r="L756" s="40"/>
      <c r="M756" s="40"/>
      <c r="N756" s="40"/>
      <c r="O756" s="40"/>
      <c r="P756" s="40"/>
      <c r="Q756" s="40"/>
      <c r="R756" s="40"/>
      <c r="S756" s="40"/>
      <c r="T756" s="40"/>
      <c r="U756" s="40"/>
      <c r="V756" s="40"/>
      <c r="W756" s="40"/>
      <c r="X756" s="40"/>
      <c r="Y756" s="40"/>
      <c r="Z756" s="40"/>
      <c r="AA756" s="40"/>
      <c r="AB756" s="40"/>
    </row>
    <row r="757">
      <c r="A757" s="805"/>
      <c r="B757" s="40"/>
      <c r="C757" s="40"/>
      <c r="D757" s="40"/>
      <c r="E757" s="40"/>
      <c r="F757" s="40"/>
      <c r="G757" s="40"/>
      <c r="H757" s="40"/>
      <c r="I757" s="40"/>
      <c r="J757" s="216"/>
      <c r="K757" s="40"/>
      <c r="L757" s="40"/>
      <c r="M757" s="40"/>
      <c r="N757" s="40"/>
      <c r="O757" s="40"/>
      <c r="P757" s="40"/>
      <c r="Q757" s="40"/>
      <c r="R757" s="40"/>
      <c r="S757" s="40"/>
      <c r="T757" s="40"/>
      <c r="U757" s="40"/>
      <c r="V757" s="40"/>
      <c r="W757" s="40"/>
      <c r="X757" s="40"/>
      <c r="Y757" s="40"/>
      <c r="Z757" s="40"/>
      <c r="AA757" s="40"/>
      <c r="AB757" s="40"/>
    </row>
    <row r="758">
      <c r="A758" s="805"/>
      <c r="B758" s="40"/>
      <c r="C758" s="40"/>
      <c r="D758" s="40"/>
      <c r="E758" s="40"/>
      <c r="F758" s="40"/>
      <c r="G758" s="40"/>
      <c r="H758" s="40"/>
      <c r="I758" s="40"/>
      <c r="J758" s="216"/>
      <c r="K758" s="40"/>
      <c r="L758" s="40"/>
      <c r="M758" s="40"/>
      <c r="N758" s="40"/>
      <c r="O758" s="40"/>
      <c r="P758" s="40"/>
      <c r="Q758" s="40"/>
      <c r="R758" s="40"/>
      <c r="S758" s="40"/>
      <c r="T758" s="40"/>
      <c r="U758" s="40"/>
      <c r="V758" s="40"/>
      <c r="W758" s="40"/>
      <c r="X758" s="40"/>
      <c r="Y758" s="40"/>
      <c r="Z758" s="40"/>
      <c r="AA758" s="40"/>
      <c r="AB758" s="40"/>
    </row>
    <row r="759">
      <c r="A759" s="805"/>
      <c r="B759" s="40"/>
      <c r="C759" s="40"/>
      <c r="D759" s="40"/>
      <c r="E759" s="40"/>
      <c r="F759" s="40"/>
      <c r="G759" s="40"/>
      <c r="H759" s="40"/>
      <c r="I759" s="40"/>
      <c r="J759" s="216"/>
      <c r="K759" s="40"/>
      <c r="L759" s="40"/>
      <c r="M759" s="40"/>
      <c r="N759" s="40"/>
      <c r="O759" s="40"/>
      <c r="P759" s="40"/>
      <c r="Q759" s="40"/>
      <c r="R759" s="40"/>
      <c r="S759" s="40"/>
      <c r="T759" s="40"/>
      <c r="U759" s="40"/>
      <c r="V759" s="40"/>
      <c r="W759" s="40"/>
      <c r="X759" s="40"/>
      <c r="Y759" s="40"/>
      <c r="Z759" s="40"/>
      <c r="AA759" s="40"/>
      <c r="AB759" s="40"/>
    </row>
    <row r="760">
      <c r="A760" s="805"/>
      <c r="B760" s="40"/>
      <c r="C760" s="40"/>
      <c r="D760" s="40"/>
      <c r="E760" s="40"/>
      <c r="F760" s="40"/>
      <c r="G760" s="40"/>
      <c r="H760" s="40"/>
      <c r="I760" s="40"/>
      <c r="J760" s="216"/>
      <c r="K760" s="40"/>
      <c r="L760" s="40"/>
      <c r="M760" s="40"/>
      <c r="N760" s="40"/>
      <c r="O760" s="40"/>
      <c r="P760" s="40"/>
      <c r="Q760" s="40"/>
      <c r="R760" s="40"/>
      <c r="S760" s="40"/>
      <c r="T760" s="40"/>
      <c r="U760" s="40"/>
      <c r="V760" s="40"/>
      <c r="W760" s="40"/>
      <c r="X760" s="40"/>
      <c r="Y760" s="40"/>
      <c r="Z760" s="40"/>
      <c r="AA760" s="40"/>
      <c r="AB760" s="40"/>
    </row>
    <row r="761">
      <c r="A761" s="805"/>
      <c r="B761" s="40"/>
      <c r="C761" s="40"/>
      <c r="D761" s="40"/>
      <c r="E761" s="40"/>
      <c r="F761" s="40"/>
      <c r="G761" s="40"/>
      <c r="H761" s="40"/>
      <c r="I761" s="40"/>
      <c r="J761" s="216"/>
      <c r="K761" s="40"/>
      <c r="L761" s="40"/>
      <c r="M761" s="40"/>
      <c r="N761" s="40"/>
      <c r="O761" s="40"/>
      <c r="P761" s="40"/>
      <c r="Q761" s="40"/>
      <c r="R761" s="40"/>
      <c r="S761" s="40"/>
      <c r="T761" s="40"/>
      <c r="U761" s="40"/>
      <c r="V761" s="40"/>
      <c r="W761" s="40"/>
      <c r="X761" s="40"/>
      <c r="Y761" s="40"/>
      <c r="Z761" s="40"/>
      <c r="AA761" s="40"/>
      <c r="AB761" s="40"/>
    </row>
    <row r="762">
      <c r="A762" s="805"/>
      <c r="B762" s="40"/>
      <c r="C762" s="40"/>
      <c r="D762" s="40"/>
      <c r="E762" s="40"/>
      <c r="F762" s="40"/>
      <c r="G762" s="40"/>
      <c r="H762" s="40"/>
      <c r="I762" s="40"/>
      <c r="J762" s="216"/>
      <c r="K762" s="40"/>
      <c r="L762" s="40"/>
      <c r="M762" s="40"/>
      <c r="N762" s="40"/>
      <c r="O762" s="40"/>
      <c r="P762" s="40"/>
      <c r="Q762" s="40"/>
      <c r="R762" s="40"/>
      <c r="S762" s="40"/>
      <c r="T762" s="40"/>
      <c r="U762" s="40"/>
      <c r="V762" s="40"/>
      <c r="W762" s="40"/>
      <c r="X762" s="40"/>
      <c r="Y762" s="40"/>
      <c r="Z762" s="40"/>
      <c r="AA762" s="40"/>
      <c r="AB762" s="40"/>
    </row>
    <row r="763">
      <c r="A763" s="805"/>
      <c r="B763" s="40"/>
      <c r="C763" s="40"/>
      <c r="D763" s="40"/>
      <c r="E763" s="40"/>
      <c r="F763" s="40"/>
      <c r="G763" s="40"/>
      <c r="H763" s="40"/>
      <c r="I763" s="40"/>
      <c r="J763" s="216"/>
      <c r="K763" s="40"/>
      <c r="L763" s="40"/>
      <c r="M763" s="40"/>
      <c r="N763" s="40"/>
      <c r="O763" s="40"/>
      <c r="P763" s="40"/>
      <c r="Q763" s="40"/>
      <c r="R763" s="40"/>
      <c r="S763" s="40"/>
      <c r="T763" s="40"/>
      <c r="U763" s="40"/>
      <c r="V763" s="40"/>
      <c r="W763" s="40"/>
      <c r="X763" s="40"/>
      <c r="Y763" s="40"/>
      <c r="Z763" s="40"/>
      <c r="AA763" s="40"/>
      <c r="AB763" s="40"/>
    </row>
    <row r="764">
      <c r="A764" s="805"/>
      <c r="B764" s="40"/>
      <c r="C764" s="40"/>
      <c r="D764" s="40"/>
      <c r="E764" s="40"/>
      <c r="F764" s="40"/>
      <c r="G764" s="40"/>
      <c r="H764" s="40"/>
      <c r="I764" s="40"/>
      <c r="J764" s="216"/>
      <c r="K764" s="40"/>
      <c r="L764" s="40"/>
      <c r="M764" s="40"/>
      <c r="N764" s="40"/>
      <c r="O764" s="40"/>
      <c r="P764" s="40"/>
      <c r="Q764" s="40"/>
      <c r="R764" s="40"/>
      <c r="S764" s="40"/>
      <c r="T764" s="40"/>
      <c r="U764" s="40"/>
      <c r="V764" s="40"/>
      <c r="W764" s="40"/>
      <c r="X764" s="40"/>
      <c r="Y764" s="40"/>
      <c r="Z764" s="40"/>
      <c r="AA764" s="40"/>
      <c r="AB764" s="40"/>
    </row>
    <row r="765">
      <c r="A765" s="805"/>
      <c r="B765" s="40"/>
      <c r="C765" s="40"/>
      <c r="D765" s="40"/>
      <c r="E765" s="40"/>
      <c r="F765" s="40"/>
      <c r="G765" s="40"/>
      <c r="H765" s="40"/>
      <c r="I765" s="40"/>
      <c r="J765" s="216"/>
      <c r="K765" s="40"/>
      <c r="L765" s="40"/>
      <c r="M765" s="40"/>
      <c r="N765" s="40"/>
      <c r="O765" s="40"/>
      <c r="P765" s="40"/>
      <c r="Q765" s="40"/>
      <c r="R765" s="40"/>
      <c r="S765" s="40"/>
      <c r="T765" s="40"/>
      <c r="U765" s="40"/>
      <c r="V765" s="40"/>
      <c r="W765" s="40"/>
      <c r="X765" s="40"/>
      <c r="Y765" s="40"/>
      <c r="Z765" s="40"/>
      <c r="AA765" s="40"/>
      <c r="AB765" s="40"/>
    </row>
    <row r="766">
      <c r="A766" s="805"/>
      <c r="B766" s="40"/>
      <c r="C766" s="40"/>
      <c r="D766" s="40"/>
      <c r="E766" s="40"/>
      <c r="F766" s="40"/>
      <c r="G766" s="40"/>
      <c r="H766" s="40"/>
      <c r="I766" s="40"/>
      <c r="J766" s="216"/>
      <c r="K766" s="40"/>
      <c r="L766" s="40"/>
      <c r="M766" s="40"/>
      <c r="N766" s="40"/>
      <c r="O766" s="40"/>
      <c r="P766" s="40"/>
      <c r="Q766" s="40"/>
      <c r="R766" s="40"/>
      <c r="S766" s="40"/>
      <c r="T766" s="40"/>
      <c r="U766" s="40"/>
      <c r="V766" s="40"/>
      <c r="W766" s="40"/>
      <c r="X766" s="40"/>
      <c r="Y766" s="40"/>
      <c r="Z766" s="40"/>
      <c r="AA766" s="40"/>
      <c r="AB766" s="40"/>
    </row>
    <row r="767">
      <c r="A767" s="805"/>
      <c r="B767" s="40"/>
      <c r="C767" s="40"/>
      <c r="D767" s="40"/>
      <c r="E767" s="40"/>
      <c r="F767" s="40"/>
      <c r="G767" s="40"/>
      <c r="H767" s="40"/>
      <c r="I767" s="40"/>
      <c r="J767" s="216"/>
      <c r="K767" s="40"/>
      <c r="L767" s="40"/>
      <c r="M767" s="40"/>
      <c r="N767" s="40"/>
      <c r="O767" s="40"/>
      <c r="P767" s="40"/>
      <c r="Q767" s="40"/>
      <c r="R767" s="40"/>
      <c r="S767" s="40"/>
      <c r="T767" s="40"/>
      <c r="U767" s="40"/>
      <c r="V767" s="40"/>
      <c r="W767" s="40"/>
      <c r="X767" s="40"/>
      <c r="Y767" s="40"/>
      <c r="Z767" s="40"/>
      <c r="AA767" s="40"/>
      <c r="AB767" s="40"/>
    </row>
    <row r="768">
      <c r="A768" s="805"/>
      <c r="B768" s="40"/>
      <c r="C768" s="40"/>
      <c r="D768" s="40"/>
      <c r="E768" s="40"/>
      <c r="F768" s="40"/>
      <c r="G768" s="40"/>
      <c r="H768" s="40"/>
      <c r="I768" s="40"/>
      <c r="J768" s="216"/>
      <c r="K768" s="40"/>
      <c r="L768" s="40"/>
      <c r="M768" s="40"/>
      <c r="N768" s="40"/>
      <c r="O768" s="40"/>
      <c r="P768" s="40"/>
      <c r="Q768" s="40"/>
      <c r="R768" s="40"/>
      <c r="S768" s="40"/>
      <c r="T768" s="40"/>
      <c r="U768" s="40"/>
      <c r="V768" s="40"/>
      <c r="W768" s="40"/>
      <c r="X768" s="40"/>
      <c r="Y768" s="40"/>
      <c r="Z768" s="40"/>
      <c r="AA768" s="40"/>
      <c r="AB768" s="40"/>
    </row>
    <row r="769">
      <c r="A769" s="805"/>
      <c r="B769" s="40"/>
      <c r="C769" s="40"/>
      <c r="D769" s="40"/>
      <c r="E769" s="40"/>
      <c r="F769" s="40"/>
      <c r="G769" s="40"/>
      <c r="H769" s="40"/>
      <c r="I769" s="40"/>
      <c r="J769" s="216"/>
      <c r="K769" s="40"/>
      <c r="L769" s="40"/>
      <c r="M769" s="40"/>
      <c r="N769" s="40"/>
      <c r="O769" s="40"/>
      <c r="P769" s="40"/>
      <c r="Q769" s="40"/>
      <c r="R769" s="40"/>
      <c r="S769" s="40"/>
      <c r="T769" s="40"/>
      <c r="U769" s="40"/>
      <c r="V769" s="40"/>
      <c r="W769" s="40"/>
      <c r="X769" s="40"/>
      <c r="Y769" s="40"/>
      <c r="Z769" s="40"/>
      <c r="AA769" s="40"/>
      <c r="AB769" s="40"/>
    </row>
    <row r="770">
      <c r="A770" s="805"/>
      <c r="B770" s="40"/>
      <c r="C770" s="40"/>
      <c r="D770" s="40"/>
      <c r="E770" s="40"/>
      <c r="F770" s="40"/>
      <c r="G770" s="40"/>
      <c r="H770" s="40"/>
      <c r="I770" s="40"/>
      <c r="J770" s="216"/>
      <c r="K770" s="40"/>
      <c r="L770" s="40"/>
      <c r="M770" s="40"/>
      <c r="N770" s="40"/>
      <c r="O770" s="40"/>
      <c r="P770" s="40"/>
      <c r="Q770" s="40"/>
      <c r="R770" s="40"/>
      <c r="S770" s="40"/>
      <c r="T770" s="40"/>
      <c r="U770" s="40"/>
      <c r="V770" s="40"/>
      <c r="W770" s="40"/>
      <c r="X770" s="40"/>
      <c r="Y770" s="40"/>
      <c r="Z770" s="40"/>
      <c r="AA770" s="40"/>
      <c r="AB770" s="40"/>
    </row>
    <row r="771">
      <c r="A771" s="805"/>
      <c r="B771" s="40"/>
      <c r="C771" s="40"/>
      <c r="D771" s="40"/>
      <c r="E771" s="40"/>
      <c r="F771" s="40"/>
      <c r="G771" s="40"/>
      <c r="H771" s="40"/>
      <c r="I771" s="40"/>
      <c r="J771" s="216"/>
      <c r="K771" s="40"/>
      <c r="L771" s="40"/>
      <c r="M771" s="40"/>
      <c r="N771" s="40"/>
      <c r="O771" s="40"/>
      <c r="P771" s="40"/>
      <c r="Q771" s="40"/>
      <c r="R771" s="40"/>
      <c r="S771" s="40"/>
      <c r="T771" s="40"/>
      <c r="U771" s="40"/>
      <c r="V771" s="40"/>
      <c r="W771" s="40"/>
      <c r="X771" s="40"/>
      <c r="Y771" s="40"/>
      <c r="Z771" s="40"/>
      <c r="AA771" s="40"/>
      <c r="AB771" s="40"/>
    </row>
    <row r="772">
      <c r="A772" s="805"/>
      <c r="B772" s="40"/>
      <c r="C772" s="40"/>
      <c r="D772" s="40"/>
      <c r="E772" s="40"/>
      <c r="F772" s="40"/>
      <c r="G772" s="40"/>
      <c r="H772" s="40"/>
      <c r="I772" s="40"/>
      <c r="J772" s="216"/>
      <c r="K772" s="40"/>
      <c r="L772" s="40"/>
      <c r="M772" s="40"/>
      <c r="N772" s="40"/>
      <c r="O772" s="40"/>
      <c r="P772" s="40"/>
      <c r="Q772" s="40"/>
      <c r="R772" s="40"/>
      <c r="S772" s="40"/>
      <c r="T772" s="40"/>
      <c r="U772" s="40"/>
      <c r="V772" s="40"/>
      <c r="W772" s="40"/>
      <c r="X772" s="40"/>
      <c r="Y772" s="40"/>
      <c r="Z772" s="40"/>
      <c r="AA772" s="40"/>
      <c r="AB772" s="40"/>
    </row>
    <row r="773">
      <c r="A773" s="805"/>
      <c r="B773" s="40"/>
      <c r="C773" s="40"/>
      <c r="D773" s="40"/>
      <c r="E773" s="40"/>
      <c r="F773" s="40"/>
      <c r="G773" s="40"/>
      <c r="H773" s="40"/>
      <c r="I773" s="40"/>
      <c r="J773" s="216"/>
      <c r="K773" s="40"/>
      <c r="L773" s="40"/>
      <c r="M773" s="40"/>
      <c r="N773" s="40"/>
      <c r="O773" s="40"/>
      <c r="P773" s="40"/>
      <c r="Q773" s="40"/>
      <c r="R773" s="40"/>
      <c r="S773" s="40"/>
      <c r="T773" s="40"/>
      <c r="U773" s="40"/>
      <c r="V773" s="40"/>
      <c r="W773" s="40"/>
      <c r="X773" s="40"/>
      <c r="Y773" s="40"/>
      <c r="Z773" s="40"/>
      <c r="AA773" s="40"/>
      <c r="AB773" s="40"/>
    </row>
    <row r="774">
      <c r="A774" s="805"/>
      <c r="B774" s="40"/>
      <c r="C774" s="40"/>
      <c r="D774" s="40"/>
      <c r="E774" s="40"/>
      <c r="F774" s="40"/>
      <c r="G774" s="40"/>
      <c r="H774" s="40"/>
      <c r="I774" s="40"/>
      <c r="J774" s="216"/>
      <c r="K774" s="40"/>
      <c r="L774" s="40"/>
      <c r="M774" s="40"/>
      <c r="N774" s="40"/>
      <c r="O774" s="40"/>
      <c r="P774" s="40"/>
      <c r="Q774" s="40"/>
      <c r="R774" s="40"/>
      <c r="S774" s="40"/>
      <c r="T774" s="40"/>
      <c r="U774" s="40"/>
      <c r="V774" s="40"/>
      <c r="W774" s="40"/>
      <c r="X774" s="40"/>
      <c r="Y774" s="40"/>
      <c r="Z774" s="40"/>
      <c r="AA774" s="40"/>
      <c r="AB774" s="40"/>
    </row>
    <row r="775">
      <c r="A775" s="805"/>
      <c r="B775" s="40"/>
      <c r="C775" s="40"/>
      <c r="D775" s="40"/>
      <c r="E775" s="40"/>
      <c r="F775" s="40"/>
      <c r="G775" s="40"/>
      <c r="H775" s="40"/>
      <c r="I775" s="40"/>
      <c r="J775" s="216"/>
      <c r="K775" s="40"/>
      <c r="L775" s="40"/>
      <c r="M775" s="40"/>
      <c r="N775" s="40"/>
      <c r="O775" s="40"/>
      <c r="P775" s="40"/>
      <c r="Q775" s="40"/>
      <c r="R775" s="40"/>
      <c r="S775" s="40"/>
      <c r="T775" s="40"/>
      <c r="U775" s="40"/>
      <c r="V775" s="40"/>
      <c r="W775" s="40"/>
      <c r="X775" s="40"/>
      <c r="Y775" s="40"/>
      <c r="Z775" s="40"/>
      <c r="AA775" s="40"/>
      <c r="AB775" s="40"/>
    </row>
    <row r="776">
      <c r="A776" s="805"/>
      <c r="B776" s="40"/>
      <c r="C776" s="40"/>
      <c r="D776" s="40"/>
      <c r="E776" s="40"/>
      <c r="F776" s="40"/>
      <c r="G776" s="40"/>
      <c r="H776" s="40"/>
      <c r="I776" s="40"/>
      <c r="J776" s="216"/>
      <c r="K776" s="40"/>
      <c r="L776" s="40"/>
      <c r="M776" s="40"/>
      <c r="N776" s="40"/>
      <c r="O776" s="40"/>
      <c r="P776" s="40"/>
      <c r="Q776" s="40"/>
      <c r="R776" s="40"/>
      <c r="S776" s="40"/>
      <c r="T776" s="40"/>
      <c r="U776" s="40"/>
      <c r="V776" s="40"/>
      <c r="W776" s="40"/>
      <c r="X776" s="40"/>
      <c r="Y776" s="40"/>
      <c r="Z776" s="40"/>
      <c r="AA776" s="40"/>
      <c r="AB776" s="40"/>
    </row>
    <row r="777">
      <c r="A777" s="805"/>
      <c r="B777" s="40"/>
      <c r="C777" s="40"/>
      <c r="D777" s="40"/>
      <c r="E777" s="40"/>
      <c r="F777" s="40"/>
      <c r="G777" s="40"/>
      <c r="H777" s="40"/>
      <c r="I777" s="40"/>
      <c r="J777" s="216"/>
      <c r="K777" s="40"/>
      <c r="L777" s="40"/>
      <c r="M777" s="40"/>
      <c r="N777" s="40"/>
      <c r="O777" s="40"/>
      <c r="P777" s="40"/>
      <c r="Q777" s="40"/>
      <c r="R777" s="40"/>
      <c r="S777" s="40"/>
      <c r="T777" s="40"/>
      <c r="U777" s="40"/>
      <c r="V777" s="40"/>
      <c r="W777" s="40"/>
      <c r="X777" s="40"/>
      <c r="Y777" s="40"/>
      <c r="Z777" s="40"/>
      <c r="AA777" s="40"/>
      <c r="AB777" s="40"/>
    </row>
    <row r="778">
      <c r="A778" s="805"/>
      <c r="B778" s="40"/>
      <c r="C778" s="40"/>
      <c r="D778" s="40"/>
      <c r="E778" s="40"/>
      <c r="F778" s="40"/>
      <c r="G778" s="40"/>
      <c r="H778" s="40"/>
      <c r="I778" s="40"/>
      <c r="J778" s="216"/>
      <c r="K778" s="40"/>
      <c r="L778" s="40"/>
      <c r="M778" s="40"/>
      <c r="N778" s="40"/>
      <c r="O778" s="40"/>
      <c r="P778" s="40"/>
      <c r="Q778" s="40"/>
      <c r="R778" s="40"/>
      <c r="S778" s="40"/>
      <c r="T778" s="40"/>
      <c r="U778" s="40"/>
      <c r="V778" s="40"/>
      <c r="W778" s="40"/>
      <c r="X778" s="40"/>
      <c r="Y778" s="40"/>
      <c r="Z778" s="40"/>
      <c r="AA778" s="40"/>
      <c r="AB778" s="40"/>
    </row>
    <row r="779">
      <c r="A779" s="805"/>
      <c r="B779" s="40"/>
      <c r="C779" s="40"/>
      <c r="D779" s="40"/>
      <c r="E779" s="40"/>
      <c r="F779" s="40"/>
      <c r="G779" s="40"/>
      <c r="H779" s="40"/>
      <c r="I779" s="40"/>
      <c r="J779" s="216"/>
      <c r="K779" s="40"/>
      <c r="L779" s="40"/>
      <c r="M779" s="40"/>
      <c r="N779" s="40"/>
      <c r="O779" s="40"/>
      <c r="P779" s="40"/>
      <c r="Q779" s="40"/>
      <c r="R779" s="40"/>
      <c r="S779" s="40"/>
      <c r="T779" s="40"/>
      <c r="U779" s="40"/>
      <c r="V779" s="40"/>
      <c r="W779" s="40"/>
      <c r="X779" s="40"/>
      <c r="Y779" s="40"/>
      <c r="Z779" s="40"/>
      <c r="AA779" s="40"/>
      <c r="AB779" s="40"/>
    </row>
    <row r="780">
      <c r="A780" s="805"/>
      <c r="B780" s="40"/>
      <c r="C780" s="40"/>
      <c r="D780" s="40"/>
      <c r="E780" s="40"/>
      <c r="F780" s="40"/>
      <c r="G780" s="40"/>
      <c r="H780" s="40"/>
      <c r="I780" s="40"/>
      <c r="J780" s="216"/>
      <c r="K780" s="40"/>
      <c r="L780" s="40"/>
      <c r="M780" s="40"/>
      <c r="N780" s="40"/>
      <c r="O780" s="40"/>
      <c r="P780" s="40"/>
      <c r="Q780" s="40"/>
      <c r="R780" s="40"/>
      <c r="S780" s="40"/>
      <c r="T780" s="40"/>
      <c r="U780" s="40"/>
      <c r="V780" s="40"/>
      <c r="W780" s="40"/>
      <c r="X780" s="40"/>
      <c r="Y780" s="40"/>
      <c r="Z780" s="40"/>
      <c r="AA780" s="40"/>
      <c r="AB780" s="40"/>
    </row>
    <row r="781">
      <c r="A781" s="805"/>
      <c r="B781" s="40"/>
      <c r="C781" s="40"/>
      <c r="D781" s="40"/>
      <c r="E781" s="40"/>
      <c r="F781" s="40"/>
      <c r="G781" s="40"/>
      <c r="H781" s="40"/>
      <c r="I781" s="40"/>
      <c r="J781" s="216"/>
      <c r="K781" s="40"/>
      <c r="L781" s="40"/>
      <c r="M781" s="40"/>
      <c r="N781" s="40"/>
      <c r="O781" s="40"/>
      <c r="P781" s="40"/>
      <c r="Q781" s="40"/>
      <c r="R781" s="40"/>
      <c r="S781" s="40"/>
      <c r="T781" s="40"/>
      <c r="U781" s="40"/>
      <c r="V781" s="40"/>
      <c r="W781" s="40"/>
      <c r="X781" s="40"/>
      <c r="Y781" s="40"/>
      <c r="Z781" s="40"/>
      <c r="AA781" s="40"/>
      <c r="AB781" s="40"/>
    </row>
    <row r="782">
      <c r="A782" s="805"/>
      <c r="B782" s="40"/>
      <c r="C782" s="40"/>
      <c r="D782" s="40"/>
      <c r="E782" s="40"/>
      <c r="F782" s="40"/>
      <c r="G782" s="40"/>
      <c r="H782" s="40"/>
      <c r="I782" s="40"/>
      <c r="J782" s="216"/>
      <c r="K782" s="40"/>
      <c r="L782" s="40"/>
      <c r="M782" s="40"/>
      <c r="N782" s="40"/>
      <c r="O782" s="40"/>
      <c r="P782" s="40"/>
      <c r="Q782" s="40"/>
      <c r="R782" s="40"/>
      <c r="S782" s="40"/>
      <c r="T782" s="40"/>
      <c r="U782" s="40"/>
      <c r="V782" s="40"/>
      <c r="W782" s="40"/>
      <c r="X782" s="40"/>
      <c r="Y782" s="40"/>
      <c r="Z782" s="40"/>
      <c r="AA782" s="40"/>
      <c r="AB782" s="40"/>
    </row>
    <row r="783">
      <c r="A783" s="805"/>
      <c r="B783" s="40"/>
      <c r="C783" s="40"/>
      <c r="D783" s="40"/>
      <c r="E783" s="40"/>
      <c r="F783" s="40"/>
      <c r="G783" s="40"/>
      <c r="H783" s="40"/>
      <c r="I783" s="40"/>
      <c r="J783" s="216"/>
      <c r="K783" s="40"/>
      <c r="L783" s="40"/>
      <c r="M783" s="40"/>
      <c r="N783" s="40"/>
      <c r="O783" s="40"/>
      <c r="P783" s="40"/>
      <c r="Q783" s="40"/>
      <c r="R783" s="40"/>
      <c r="S783" s="40"/>
      <c r="T783" s="40"/>
      <c r="U783" s="40"/>
      <c r="V783" s="40"/>
      <c r="W783" s="40"/>
      <c r="X783" s="40"/>
      <c r="Y783" s="40"/>
      <c r="Z783" s="40"/>
      <c r="AA783" s="40"/>
      <c r="AB783" s="40"/>
    </row>
    <row r="784">
      <c r="A784" s="805"/>
      <c r="B784" s="40"/>
      <c r="C784" s="40"/>
      <c r="D784" s="40"/>
      <c r="E784" s="40"/>
      <c r="F784" s="40"/>
      <c r="G784" s="40"/>
      <c r="H784" s="40"/>
      <c r="I784" s="40"/>
      <c r="J784" s="216"/>
      <c r="K784" s="40"/>
      <c r="L784" s="40"/>
      <c r="M784" s="40"/>
      <c r="N784" s="40"/>
      <c r="O784" s="40"/>
      <c r="P784" s="40"/>
      <c r="Q784" s="40"/>
      <c r="R784" s="40"/>
      <c r="S784" s="40"/>
      <c r="T784" s="40"/>
      <c r="U784" s="40"/>
      <c r="V784" s="40"/>
      <c r="W784" s="40"/>
      <c r="X784" s="40"/>
      <c r="Y784" s="40"/>
      <c r="Z784" s="40"/>
      <c r="AA784" s="40"/>
      <c r="AB784" s="40"/>
    </row>
    <row r="785">
      <c r="A785" s="805"/>
      <c r="B785" s="40"/>
      <c r="C785" s="40"/>
      <c r="D785" s="40"/>
      <c r="E785" s="40"/>
      <c r="F785" s="40"/>
      <c r="G785" s="40"/>
      <c r="H785" s="40"/>
      <c r="I785" s="40"/>
      <c r="J785" s="216"/>
      <c r="K785" s="40"/>
      <c r="L785" s="40"/>
      <c r="M785" s="40"/>
      <c r="N785" s="40"/>
      <c r="O785" s="40"/>
      <c r="P785" s="40"/>
      <c r="Q785" s="40"/>
      <c r="R785" s="40"/>
      <c r="S785" s="40"/>
      <c r="T785" s="40"/>
      <c r="U785" s="40"/>
      <c r="V785" s="40"/>
      <c r="W785" s="40"/>
      <c r="X785" s="40"/>
      <c r="Y785" s="40"/>
      <c r="Z785" s="40"/>
      <c r="AA785" s="40"/>
      <c r="AB785" s="40"/>
    </row>
    <row r="786">
      <c r="A786" s="805"/>
      <c r="B786" s="40"/>
      <c r="C786" s="40"/>
      <c r="D786" s="40"/>
      <c r="E786" s="40"/>
      <c r="F786" s="40"/>
      <c r="G786" s="40"/>
      <c r="H786" s="40"/>
      <c r="I786" s="40"/>
      <c r="J786" s="216"/>
      <c r="K786" s="40"/>
      <c r="L786" s="40"/>
      <c r="M786" s="40"/>
      <c r="N786" s="40"/>
      <c r="O786" s="40"/>
      <c r="P786" s="40"/>
      <c r="Q786" s="40"/>
      <c r="R786" s="40"/>
      <c r="S786" s="40"/>
      <c r="T786" s="40"/>
      <c r="U786" s="40"/>
      <c r="V786" s="40"/>
      <c r="W786" s="40"/>
      <c r="X786" s="40"/>
      <c r="Y786" s="40"/>
      <c r="Z786" s="40"/>
      <c r="AA786" s="40"/>
      <c r="AB786" s="40"/>
    </row>
    <row r="787">
      <c r="A787" s="805"/>
      <c r="B787" s="40"/>
      <c r="C787" s="40"/>
      <c r="D787" s="40"/>
      <c r="E787" s="40"/>
      <c r="F787" s="40"/>
      <c r="G787" s="40"/>
      <c r="H787" s="40"/>
      <c r="I787" s="40"/>
      <c r="J787" s="216"/>
      <c r="K787" s="40"/>
      <c r="L787" s="40"/>
      <c r="M787" s="40"/>
      <c r="N787" s="40"/>
      <c r="O787" s="40"/>
      <c r="P787" s="40"/>
      <c r="Q787" s="40"/>
      <c r="R787" s="40"/>
      <c r="S787" s="40"/>
      <c r="T787" s="40"/>
      <c r="U787" s="40"/>
      <c r="V787" s="40"/>
      <c r="W787" s="40"/>
      <c r="X787" s="40"/>
      <c r="Y787" s="40"/>
      <c r="Z787" s="40"/>
      <c r="AA787" s="40"/>
      <c r="AB787" s="40"/>
    </row>
    <row r="788">
      <c r="A788" s="805"/>
      <c r="B788" s="40"/>
      <c r="C788" s="40"/>
      <c r="D788" s="40"/>
      <c r="E788" s="40"/>
      <c r="F788" s="40"/>
      <c r="G788" s="40"/>
      <c r="H788" s="40"/>
      <c r="I788" s="40"/>
      <c r="J788" s="216"/>
      <c r="K788" s="40"/>
      <c r="L788" s="40"/>
      <c r="M788" s="40"/>
      <c r="N788" s="40"/>
      <c r="O788" s="40"/>
      <c r="P788" s="40"/>
      <c r="Q788" s="40"/>
      <c r="R788" s="40"/>
      <c r="S788" s="40"/>
      <c r="T788" s="40"/>
      <c r="U788" s="40"/>
      <c r="V788" s="40"/>
      <c r="W788" s="40"/>
      <c r="X788" s="40"/>
      <c r="Y788" s="40"/>
      <c r="Z788" s="40"/>
      <c r="AA788" s="40"/>
      <c r="AB788" s="40"/>
    </row>
    <row r="789">
      <c r="A789" s="805"/>
      <c r="B789" s="40"/>
      <c r="C789" s="40"/>
      <c r="D789" s="40"/>
      <c r="E789" s="40"/>
      <c r="F789" s="40"/>
      <c r="G789" s="40"/>
      <c r="H789" s="40"/>
      <c r="I789" s="40"/>
      <c r="J789" s="216"/>
      <c r="K789" s="40"/>
      <c r="L789" s="40"/>
      <c r="M789" s="40"/>
      <c r="N789" s="40"/>
      <c r="O789" s="40"/>
      <c r="P789" s="40"/>
      <c r="Q789" s="40"/>
      <c r="R789" s="40"/>
      <c r="S789" s="40"/>
      <c r="T789" s="40"/>
      <c r="U789" s="40"/>
      <c r="V789" s="40"/>
      <c r="W789" s="40"/>
      <c r="X789" s="40"/>
      <c r="Y789" s="40"/>
      <c r="Z789" s="40"/>
      <c r="AA789" s="40"/>
      <c r="AB789" s="40"/>
    </row>
    <row r="790">
      <c r="A790" s="805"/>
      <c r="B790" s="40"/>
      <c r="C790" s="40"/>
      <c r="D790" s="40"/>
      <c r="E790" s="40"/>
      <c r="F790" s="40"/>
      <c r="G790" s="40"/>
      <c r="H790" s="40"/>
      <c r="I790" s="40"/>
      <c r="J790" s="216"/>
      <c r="K790" s="40"/>
      <c r="L790" s="40"/>
      <c r="M790" s="40"/>
      <c r="N790" s="40"/>
      <c r="O790" s="40"/>
      <c r="P790" s="40"/>
      <c r="Q790" s="40"/>
      <c r="R790" s="40"/>
      <c r="S790" s="40"/>
      <c r="T790" s="40"/>
      <c r="U790" s="40"/>
      <c r="V790" s="40"/>
      <c r="W790" s="40"/>
      <c r="X790" s="40"/>
      <c r="Y790" s="40"/>
      <c r="Z790" s="40"/>
      <c r="AA790" s="40"/>
      <c r="AB790" s="40"/>
    </row>
    <row r="791">
      <c r="A791" s="805"/>
      <c r="B791" s="40"/>
      <c r="C791" s="40"/>
      <c r="D791" s="40"/>
      <c r="E791" s="40"/>
      <c r="F791" s="40"/>
      <c r="G791" s="40"/>
      <c r="H791" s="40"/>
      <c r="I791" s="40"/>
      <c r="J791" s="216"/>
      <c r="K791" s="40"/>
      <c r="L791" s="40"/>
      <c r="M791" s="40"/>
      <c r="N791" s="40"/>
      <c r="O791" s="40"/>
      <c r="P791" s="40"/>
      <c r="Q791" s="40"/>
      <c r="R791" s="40"/>
      <c r="S791" s="40"/>
      <c r="T791" s="40"/>
      <c r="U791" s="40"/>
      <c r="V791" s="40"/>
      <c r="W791" s="40"/>
      <c r="X791" s="40"/>
      <c r="Y791" s="40"/>
      <c r="Z791" s="40"/>
      <c r="AA791" s="40"/>
      <c r="AB791" s="40"/>
    </row>
    <row r="792">
      <c r="A792" s="805"/>
      <c r="B792" s="40"/>
      <c r="C792" s="40"/>
      <c r="D792" s="40"/>
      <c r="E792" s="40"/>
      <c r="F792" s="40"/>
      <c r="G792" s="40"/>
      <c r="H792" s="40"/>
      <c r="I792" s="40"/>
      <c r="J792" s="216"/>
      <c r="K792" s="40"/>
      <c r="L792" s="40"/>
      <c r="M792" s="40"/>
      <c r="N792" s="40"/>
      <c r="O792" s="40"/>
      <c r="P792" s="40"/>
      <c r="Q792" s="40"/>
      <c r="R792" s="40"/>
      <c r="S792" s="40"/>
      <c r="T792" s="40"/>
      <c r="U792" s="40"/>
      <c r="V792" s="40"/>
      <c r="W792" s="40"/>
      <c r="X792" s="40"/>
      <c r="Y792" s="40"/>
      <c r="Z792" s="40"/>
      <c r="AA792" s="40"/>
      <c r="AB792" s="40"/>
    </row>
    <row r="793">
      <c r="A793" s="805"/>
      <c r="B793" s="40"/>
      <c r="C793" s="40"/>
      <c r="D793" s="40"/>
      <c r="E793" s="40"/>
      <c r="F793" s="40"/>
      <c r="G793" s="40"/>
      <c r="H793" s="40"/>
      <c r="I793" s="40"/>
      <c r="J793" s="216"/>
      <c r="K793" s="40"/>
      <c r="L793" s="40"/>
      <c r="M793" s="40"/>
      <c r="N793" s="40"/>
      <c r="O793" s="40"/>
      <c r="P793" s="40"/>
      <c r="Q793" s="40"/>
      <c r="R793" s="40"/>
      <c r="S793" s="40"/>
      <c r="T793" s="40"/>
      <c r="U793" s="40"/>
      <c r="V793" s="40"/>
      <c r="W793" s="40"/>
      <c r="X793" s="40"/>
      <c r="Y793" s="40"/>
      <c r="Z793" s="40"/>
      <c r="AA793" s="40"/>
      <c r="AB793" s="40"/>
    </row>
    <row r="794">
      <c r="A794" s="805"/>
      <c r="B794" s="40"/>
      <c r="C794" s="40"/>
      <c r="D794" s="40"/>
      <c r="E794" s="40"/>
      <c r="F794" s="40"/>
      <c r="G794" s="40"/>
      <c r="H794" s="40"/>
      <c r="I794" s="40"/>
      <c r="J794" s="216"/>
      <c r="K794" s="40"/>
      <c r="L794" s="40"/>
      <c r="M794" s="40"/>
      <c r="N794" s="40"/>
      <c r="O794" s="40"/>
      <c r="P794" s="40"/>
      <c r="Q794" s="40"/>
      <c r="R794" s="40"/>
      <c r="S794" s="40"/>
      <c r="T794" s="40"/>
      <c r="U794" s="40"/>
      <c r="V794" s="40"/>
      <c r="W794" s="40"/>
      <c r="X794" s="40"/>
      <c r="Y794" s="40"/>
      <c r="Z794" s="40"/>
      <c r="AA794" s="40"/>
      <c r="AB794" s="40"/>
    </row>
    <row r="795">
      <c r="A795" s="805"/>
      <c r="B795" s="40"/>
      <c r="C795" s="40"/>
      <c r="D795" s="40"/>
      <c r="E795" s="40"/>
      <c r="F795" s="40"/>
      <c r="G795" s="40"/>
      <c r="H795" s="40"/>
      <c r="I795" s="40"/>
      <c r="J795" s="216"/>
      <c r="K795" s="40"/>
      <c r="L795" s="40"/>
      <c r="M795" s="40"/>
      <c r="N795" s="40"/>
      <c r="O795" s="40"/>
      <c r="P795" s="40"/>
      <c r="Q795" s="40"/>
      <c r="R795" s="40"/>
      <c r="S795" s="40"/>
      <c r="T795" s="40"/>
      <c r="U795" s="40"/>
      <c r="V795" s="40"/>
      <c r="W795" s="40"/>
      <c r="X795" s="40"/>
      <c r="Y795" s="40"/>
      <c r="Z795" s="40"/>
      <c r="AA795" s="40"/>
      <c r="AB795" s="40"/>
    </row>
    <row r="796">
      <c r="A796" s="805"/>
      <c r="B796" s="40"/>
      <c r="C796" s="40"/>
      <c r="D796" s="40"/>
      <c r="E796" s="40"/>
      <c r="F796" s="40"/>
      <c r="G796" s="40"/>
      <c r="H796" s="40"/>
      <c r="I796" s="40"/>
      <c r="J796" s="216"/>
      <c r="K796" s="40"/>
      <c r="L796" s="40"/>
      <c r="M796" s="40"/>
      <c r="N796" s="40"/>
      <c r="O796" s="40"/>
      <c r="P796" s="40"/>
      <c r="Q796" s="40"/>
      <c r="R796" s="40"/>
      <c r="S796" s="40"/>
      <c r="T796" s="40"/>
      <c r="U796" s="40"/>
      <c r="V796" s="40"/>
      <c r="W796" s="40"/>
      <c r="X796" s="40"/>
      <c r="Y796" s="40"/>
      <c r="Z796" s="40"/>
      <c r="AA796" s="40"/>
      <c r="AB796" s="40"/>
    </row>
    <row r="797">
      <c r="A797" s="805"/>
      <c r="B797" s="40"/>
      <c r="C797" s="40"/>
      <c r="D797" s="40"/>
      <c r="E797" s="40"/>
      <c r="F797" s="40"/>
      <c r="G797" s="40"/>
      <c r="H797" s="40"/>
      <c r="I797" s="40"/>
      <c r="J797" s="216"/>
      <c r="K797" s="40"/>
      <c r="L797" s="40"/>
      <c r="M797" s="40"/>
      <c r="N797" s="40"/>
      <c r="O797" s="40"/>
      <c r="P797" s="40"/>
      <c r="Q797" s="40"/>
      <c r="R797" s="40"/>
      <c r="S797" s="40"/>
      <c r="T797" s="40"/>
      <c r="U797" s="40"/>
      <c r="V797" s="40"/>
      <c r="W797" s="40"/>
      <c r="X797" s="40"/>
      <c r="Y797" s="40"/>
      <c r="Z797" s="40"/>
      <c r="AA797" s="40"/>
      <c r="AB797" s="40"/>
    </row>
    <row r="798">
      <c r="A798" s="805"/>
      <c r="B798" s="40"/>
      <c r="C798" s="40"/>
      <c r="D798" s="40"/>
      <c r="E798" s="40"/>
      <c r="F798" s="40"/>
      <c r="G798" s="40"/>
      <c r="H798" s="40"/>
      <c r="I798" s="40"/>
      <c r="J798" s="216"/>
      <c r="K798" s="40"/>
      <c r="L798" s="40"/>
      <c r="M798" s="40"/>
      <c r="N798" s="40"/>
      <c r="O798" s="40"/>
      <c r="P798" s="40"/>
      <c r="Q798" s="40"/>
      <c r="R798" s="40"/>
      <c r="S798" s="40"/>
      <c r="T798" s="40"/>
      <c r="U798" s="40"/>
      <c r="V798" s="40"/>
      <c r="W798" s="40"/>
      <c r="X798" s="40"/>
      <c r="Y798" s="40"/>
      <c r="Z798" s="40"/>
      <c r="AA798" s="40"/>
      <c r="AB798" s="40"/>
    </row>
    <row r="799">
      <c r="A799" s="805"/>
      <c r="B799" s="40"/>
      <c r="C799" s="40"/>
      <c r="D799" s="40"/>
      <c r="E799" s="40"/>
      <c r="F799" s="40"/>
      <c r="G799" s="40"/>
      <c r="H799" s="40"/>
      <c r="I799" s="40"/>
      <c r="J799" s="216"/>
      <c r="K799" s="40"/>
      <c r="L799" s="40"/>
      <c r="M799" s="40"/>
      <c r="N799" s="40"/>
      <c r="O799" s="40"/>
      <c r="P799" s="40"/>
      <c r="Q799" s="40"/>
      <c r="R799" s="40"/>
      <c r="S799" s="40"/>
      <c r="T799" s="40"/>
      <c r="U799" s="40"/>
      <c r="V799" s="40"/>
      <c r="W799" s="40"/>
      <c r="X799" s="40"/>
      <c r="Y799" s="40"/>
      <c r="Z799" s="40"/>
      <c r="AA799" s="40"/>
      <c r="AB799" s="40"/>
    </row>
    <row r="800">
      <c r="A800" s="805"/>
      <c r="B800" s="40"/>
      <c r="C800" s="40"/>
      <c r="D800" s="40"/>
      <c r="E800" s="40"/>
      <c r="F800" s="40"/>
      <c r="G800" s="40"/>
      <c r="H800" s="40"/>
      <c r="I800" s="40"/>
      <c r="J800" s="216"/>
      <c r="K800" s="40"/>
      <c r="L800" s="40"/>
      <c r="M800" s="40"/>
      <c r="N800" s="40"/>
      <c r="O800" s="40"/>
      <c r="P800" s="40"/>
      <c r="Q800" s="40"/>
      <c r="R800" s="40"/>
      <c r="S800" s="40"/>
      <c r="T800" s="40"/>
      <c r="U800" s="40"/>
      <c r="V800" s="40"/>
      <c r="W800" s="40"/>
      <c r="X800" s="40"/>
      <c r="Y800" s="40"/>
      <c r="Z800" s="40"/>
      <c r="AA800" s="40"/>
      <c r="AB800" s="40"/>
    </row>
    <row r="801">
      <c r="A801" s="805"/>
      <c r="B801" s="40"/>
      <c r="C801" s="40"/>
      <c r="D801" s="40"/>
      <c r="E801" s="40"/>
      <c r="F801" s="40"/>
      <c r="G801" s="40"/>
      <c r="H801" s="40"/>
      <c r="I801" s="40"/>
      <c r="J801" s="216"/>
      <c r="K801" s="40"/>
      <c r="L801" s="40"/>
      <c r="M801" s="40"/>
      <c r="N801" s="40"/>
      <c r="O801" s="40"/>
      <c r="P801" s="40"/>
      <c r="Q801" s="40"/>
      <c r="R801" s="40"/>
      <c r="S801" s="40"/>
      <c r="T801" s="40"/>
      <c r="U801" s="40"/>
      <c r="V801" s="40"/>
      <c r="W801" s="40"/>
      <c r="X801" s="40"/>
      <c r="Y801" s="40"/>
      <c r="Z801" s="40"/>
      <c r="AA801" s="40"/>
      <c r="AB801" s="40"/>
    </row>
    <row r="802">
      <c r="A802" s="805"/>
      <c r="B802" s="40"/>
      <c r="C802" s="40"/>
      <c r="D802" s="40"/>
      <c r="E802" s="40"/>
      <c r="F802" s="40"/>
      <c r="G802" s="40"/>
      <c r="H802" s="40"/>
      <c r="I802" s="40"/>
      <c r="J802" s="216"/>
      <c r="K802" s="40"/>
      <c r="L802" s="40"/>
      <c r="M802" s="40"/>
      <c r="N802" s="40"/>
      <c r="O802" s="40"/>
      <c r="P802" s="40"/>
      <c r="Q802" s="40"/>
      <c r="R802" s="40"/>
      <c r="S802" s="40"/>
      <c r="T802" s="40"/>
      <c r="U802" s="40"/>
      <c r="V802" s="40"/>
      <c r="W802" s="40"/>
      <c r="X802" s="40"/>
      <c r="Y802" s="40"/>
      <c r="Z802" s="40"/>
      <c r="AA802" s="40"/>
      <c r="AB802" s="40"/>
    </row>
    <row r="803">
      <c r="A803" s="805"/>
      <c r="B803" s="40"/>
      <c r="C803" s="40"/>
      <c r="D803" s="40"/>
      <c r="E803" s="40"/>
      <c r="F803" s="40"/>
      <c r="G803" s="40"/>
      <c r="H803" s="40"/>
      <c r="I803" s="40"/>
      <c r="J803" s="216"/>
      <c r="K803" s="40"/>
      <c r="L803" s="40"/>
      <c r="M803" s="40"/>
      <c r="N803" s="40"/>
      <c r="O803" s="40"/>
      <c r="P803" s="40"/>
      <c r="Q803" s="40"/>
      <c r="R803" s="40"/>
      <c r="S803" s="40"/>
      <c r="T803" s="40"/>
      <c r="U803" s="40"/>
      <c r="V803" s="40"/>
      <c r="W803" s="40"/>
      <c r="X803" s="40"/>
      <c r="Y803" s="40"/>
      <c r="Z803" s="40"/>
      <c r="AA803" s="40"/>
      <c r="AB803" s="40"/>
    </row>
    <row r="804">
      <c r="A804" s="805"/>
      <c r="B804" s="40"/>
      <c r="C804" s="40"/>
      <c r="D804" s="40"/>
      <c r="E804" s="40"/>
      <c r="F804" s="40"/>
      <c r="G804" s="40"/>
      <c r="H804" s="40"/>
      <c r="I804" s="40"/>
      <c r="J804" s="216"/>
      <c r="K804" s="40"/>
      <c r="L804" s="40"/>
      <c r="M804" s="40"/>
      <c r="N804" s="40"/>
      <c r="O804" s="40"/>
      <c r="P804" s="40"/>
      <c r="Q804" s="40"/>
      <c r="R804" s="40"/>
      <c r="S804" s="40"/>
      <c r="T804" s="40"/>
      <c r="U804" s="40"/>
      <c r="V804" s="40"/>
      <c r="W804" s="40"/>
      <c r="X804" s="40"/>
      <c r="Y804" s="40"/>
      <c r="Z804" s="40"/>
      <c r="AA804" s="40"/>
      <c r="AB804" s="40"/>
    </row>
    <row r="805">
      <c r="A805" s="805"/>
      <c r="B805" s="40"/>
      <c r="C805" s="40"/>
      <c r="D805" s="40"/>
      <c r="E805" s="40"/>
      <c r="F805" s="40"/>
      <c r="G805" s="40"/>
      <c r="H805" s="40"/>
      <c r="I805" s="40"/>
      <c r="J805" s="216"/>
      <c r="K805" s="40"/>
      <c r="L805" s="40"/>
      <c r="M805" s="40"/>
      <c r="N805" s="40"/>
      <c r="O805" s="40"/>
      <c r="P805" s="40"/>
      <c r="Q805" s="40"/>
      <c r="R805" s="40"/>
      <c r="S805" s="40"/>
      <c r="T805" s="40"/>
      <c r="U805" s="40"/>
      <c r="V805" s="40"/>
      <c r="W805" s="40"/>
      <c r="X805" s="40"/>
      <c r="Y805" s="40"/>
      <c r="Z805" s="40"/>
      <c r="AA805" s="40"/>
      <c r="AB805" s="40"/>
    </row>
    <row r="806">
      <c r="A806" s="805"/>
      <c r="B806" s="40"/>
      <c r="C806" s="40"/>
      <c r="D806" s="40"/>
      <c r="E806" s="40"/>
      <c r="F806" s="40"/>
      <c r="G806" s="40"/>
      <c r="H806" s="40"/>
      <c r="I806" s="40"/>
      <c r="J806" s="216"/>
      <c r="K806" s="40"/>
      <c r="L806" s="40"/>
      <c r="M806" s="40"/>
      <c r="N806" s="40"/>
      <c r="O806" s="40"/>
      <c r="P806" s="40"/>
      <c r="Q806" s="40"/>
      <c r="R806" s="40"/>
      <c r="S806" s="40"/>
      <c r="T806" s="40"/>
      <c r="U806" s="40"/>
      <c r="V806" s="40"/>
      <c r="W806" s="40"/>
      <c r="X806" s="40"/>
      <c r="Y806" s="40"/>
      <c r="Z806" s="40"/>
      <c r="AA806" s="40"/>
      <c r="AB806" s="40"/>
    </row>
    <row r="807">
      <c r="A807" s="805"/>
      <c r="B807" s="40"/>
      <c r="C807" s="40"/>
      <c r="D807" s="40"/>
      <c r="E807" s="40"/>
      <c r="F807" s="40"/>
      <c r="G807" s="40"/>
      <c r="H807" s="40"/>
      <c r="I807" s="40"/>
      <c r="J807" s="216"/>
      <c r="K807" s="40"/>
      <c r="L807" s="40"/>
      <c r="M807" s="40"/>
      <c r="N807" s="40"/>
      <c r="O807" s="40"/>
      <c r="P807" s="40"/>
      <c r="Q807" s="40"/>
      <c r="R807" s="40"/>
      <c r="S807" s="40"/>
      <c r="T807" s="40"/>
      <c r="U807" s="40"/>
      <c r="V807" s="40"/>
      <c r="W807" s="40"/>
      <c r="X807" s="40"/>
      <c r="Y807" s="40"/>
      <c r="Z807" s="40"/>
      <c r="AA807" s="40"/>
      <c r="AB807" s="40"/>
    </row>
    <row r="808">
      <c r="A808" s="805"/>
      <c r="B808" s="40"/>
      <c r="C808" s="40"/>
      <c r="D808" s="40"/>
      <c r="E808" s="40"/>
      <c r="F808" s="40"/>
      <c r="G808" s="40"/>
      <c r="H808" s="40"/>
      <c r="I808" s="40"/>
      <c r="J808" s="216"/>
      <c r="K808" s="40"/>
      <c r="L808" s="40"/>
      <c r="M808" s="40"/>
      <c r="N808" s="40"/>
      <c r="O808" s="40"/>
      <c r="P808" s="40"/>
      <c r="Q808" s="40"/>
      <c r="R808" s="40"/>
      <c r="S808" s="40"/>
      <c r="T808" s="40"/>
      <c r="U808" s="40"/>
      <c r="V808" s="40"/>
      <c r="W808" s="40"/>
      <c r="X808" s="40"/>
      <c r="Y808" s="40"/>
      <c r="Z808" s="40"/>
      <c r="AA808" s="40"/>
      <c r="AB808" s="40"/>
    </row>
    <row r="809">
      <c r="A809" s="805"/>
      <c r="B809" s="40"/>
      <c r="C809" s="40"/>
      <c r="D809" s="40"/>
      <c r="E809" s="40"/>
      <c r="F809" s="40"/>
      <c r="G809" s="40"/>
      <c r="H809" s="40"/>
      <c r="I809" s="40"/>
      <c r="J809" s="216"/>
      <c r="K809" s="40"/>
      <c r="L809" s="40"/>
      <c r="M809" s="40"/>
      <c r="N809" s="40"/>
      <c r="O809" s="40"/>
      <c r="P809" s="40"/>
      <c r="Q809" s="40"/>
      <c r="R809" s="40"/>
      <c r="S809" s="40"/>
      <c r="T809" s="40"/>
      <c r="U809" s="40"/>
      <c r="V809" s="40"/>
      <c r="W809" s="40"/>
      <c r="X809" s="40"/>
      <c r="Y809" s="40"/>
      <c r="Z809" s="40"/>
      <c r="AA809" s="40"/>
      <c r="AB809" s="40"/>
    </row>
    <row r="810">
      <c r="A810" s="805"/>
      <c r="B810" s="40"/>
      <c r="C810" s="40"/>
      <c r="D810" s="40"/>
      <c r="E810" s="40"/>
      <c r="F810" s="40"/>
      <c r="G810" s="40"/>
      <c r="H810" s="40"/>
      <c r="I810" s="40"/>
      <c r="J810" s="216"/>
      <c r="K810" s="40"/>
      <c r="L810" s="40"/>
      <c r="M810" s="40"/>
      <c r="N810" s="40"/>
      <c r="O810" s="40"/>
      <c r="P810" s="40"/>
      <c r="Q810" s="40"/>
      <c r="R810" s="40"/>
      <c r="S810" s="40"/>
      <c r="T810" s="40"/>
      <c r="U810" s="40"/>
      <c r="V810" s="40"/>
      <c r="W810" s="40"/>
      <c r="X810" s="40"/>
      <c r="Y810" s="40"/>
      <c r="Z810" s="40"/>
      <c r="AA810" s="40"/>
      <c r="AB810" s="40"/>
    </row>
    <row r="811">
      <c r="A811" s="805"/>
      <c r="B811" s="40"/>
      <c r="C811" s="40"/>
      <c r="D811" s="40"/>
      <c r="E811" s="40"/>
      <c r="F811" s="40"/>
      <c r="G811" s="40"/>
      <c r="H811" s="40"/>
      <c r="I811" s="40"/>
      <c r="J811" s="216"/>
      <c r="K811" s="40"/>
      <c r="L811" s="40"/>
      <c r="M811" s="40"/>
      <c r="N811" s="40"/>
      <c r="O811" s="40"/>
      <c r="P811" s="40"/>
      <c r="Q811" s="40"/>
      <c r="R811" s="40"/>
      <c r="S811" s="40"/>
      <c r="T811" s="40"/>
      <c r="U811" s="40"/>
      <c r="V811" s="40"/>
      <c r="W811" s="40"/>
      <c r="X811" s="40"/>
      <c r="Y811" s="40"/>
      <c r="Z811" s="40"/>
      <c r="AA811" s="40"/>
      <c r="AB811" s="40"/>
    </row>
    <row r="812">
      <c r="A812" s="805"/>
      <c r="B812" s="40"/>
      <c r="C812" s="40"/>
      <c r="D812" s="40"/>
      <c r="E812" s="40"/>
      <c r="F812" s="40"/>
      <c r="G812" s="40"/>
      <c r="H812" s="40"/>
      <c r="I812" s="40"/>
      <c r="J812" s="216"/>
      <c r="K812" s="40"/>
      <c r="L812" s="40"/>
      <c r="M812" s="40"/>
      <c r="N812" s="40"/>
      <c r="O812" s="40"/>
      <c r="P812" s="40"/>
      <c r="Q812" s="40"/>
      <c r="R812" s="40"/>
      <c r="S812" s="40"/>
      <c r="T812" s="40"/>
      <c r="U812" s="40"/>
      <c r="V812" s="40"/>
      <c r="W812" s="40"/>
      <c r="X812" s="40"/>
      <c r="Y812" s="40"/>
      <c r="Z812" s="40"/>
      <c r="AA812" s="40"/>
      <c r="AB812" s="40"/>
    </row>
    <row r="813">
      <c r="A813" s="805"/>
      <c r="B813" s="40"/>
      <c r="C813" s="40"/>
      <c r="D813" s="40"/>
      <c r="E813" s="40"/>
      <c r="F813" s="40"/>
      <c r="G813" s="40"/>
      <c r="H813" s="40"/>
      <c r="I813" s="40"/>
      <c r="J813" s="216"/>
      <c r="K813" s="40"/>
      <c r="L813" s="40"/>
      <c r="M813" s="40"/>
      <c r="N813" s="40"/>
      <c r="O813" s="40"/>
      <c r="P813" s="40"/>
      <c r="Q813" s="40"/>
      <c r="R813" s="40"/>
      <c r="S813" s="40"/>
      <c r="T813" s="40"/>
      <c r="U813" s="40"/>
      <c r="V813" s="40"/>
      <c r="W813" s="40"/>
      <c r="X813" s="40"/>
      <c r="Y813" s="40"/>
      <c r="Z813" s="40"/>
      <c r="AA813" s="40"/>
      <c r="AB813" s="40"/>
    </row>
    <row r="814">
      <c r="A814" s="805"/>
      <c r="B814" s="40"/>
      <c r="C814" s="40"/>
      <c r="D814" s="40"/>
      <c r="E814" s="40"/>
      <c r="F814" s="40"/>
      <c r="G814" s="40"/>
      <c r="H814" s="40"/>
      <c r="I814" s="40"/>
      <c r="J814" s="216"/>
      <c r="K814" s="40"/>
      <c r="L814" s="40"/>
      <c r="M814" s="40"/>
      <c r="N814" s="40"/>
      <c r="O814" s="40"/>
      <c r="P814" s="40"/>
      <c r="Q814" s="40"/>
      <c r="R814" s="40"/>
      <c r="S814" s="40"/>
      <c r="T814" s="40"/>
      <c r="U814" s="40"/>
      <c r="V814" s="40"/>
      <c r="W814" s="40"/>
      <c r="X814" s="40"/>
      <c r="Y814" s="40"/>
      <c r="Z814" s="40"/>
      <c r="AA814" s="40"/>
      <c r="AB814" s="40"/>
    </row>
    <row r="815">
      <c r="A815" s="805"/>
      <c r="B815" s="40"/>
      <c r="C815" s="40"/>
      <c r="D815" s="40"/>
      <c r="E815" s="40"/>
      <c r="F815" s="40"/>
      <c r="G815" s="40"/>
      <c r="H815" s="40"/>
      <c r="I815" s="40"/>
      <c r="J815" s="216"/>
      <c r="K815" s="40"/>
      <c r="L815" s="40"/>
      <c r="M815" s="40"/>
      <c r="N815" s="40"/>
      <c r="O815" s="40"/>
      <c r="P815" s="40"/>
      <c r="Q815" s="40"/>
      <c r="R815" s="40"/>
      <c r="S815" s="40"/>
      <c r="T815" s="40"/>
      <c r="U815" s="40"/>
      <c r="V815" s="40"/>
      <c r="W815" s="40"/>
      <c r="X815" s="40"/>
      <c r="Y815" s="40"/>
      <c r="Z815" s="40"/>
      <c r="AA815" s="40"/>
      <c r="AB815" s="40"/>
    </row>
    <row r="816">
      <c r="A816" s="805"/>
      <c r="B816" s="40"/>
      <c r="C816" s="40"/>
      <c r="D816" s="40"/>
      <c r="E816" s="40"/>
      <c r="F816" s="40"/>
      <c r="G816" s="40"/>
      <c r="H816" s="40"/>
      <c r="I816" s="40"/>
      <c r="J816" s="216"/>
      <c r="K816" s="40"/>
      <c r="L816" s="40"/>
      <c r="M816" s="40"/>
      <c r="N816" s="40"/>
      <c r="O816" s="40"/>
      <c r="P816" s="40"/>
      <c r="Q816" s="40"/>
      <c r="R816" s="40"/>
      <c r="S816" s="40"/>
      <c r="T816" s="40"/>
      <c r="U816" s="40"/>
      <c r="V816" s="40"/>
      <c r="W816" s="40"/>
      <c r="X816" s="40"/>
      <c r="Y816" s="40"/>
      <c r="Z816" s="40"/>
      <c r="AA816" s="40"/>
      <c r="AB816" s="40"/>
    </row>
    <row r="817">
      <c r="A817" s="805"/>
      <c r="B817" s="40"/>
      <c r="C817" s="40"/>
      <c r="D817" s="40"/>
      <c r="E817" s="40"/>
      <c r="F817" s="40"/>
      <c r="G817" s="40"/>
      <c r="H817" s="40"/>
      <c r="I817" s="40"/>
      <c r="J817" s="216"/>
      <c r="K817" s="40"/>
      <c r="L817" s="40"/>
      <c r="M817" s="40"/>
      <c r="N817" s="40"/>
      <c r="O817" s="40"/>
      <c r="P817" s="40"/>
      <c r="Q817" s="40"/>
      <c r="R817" s="40"/>
      <c r="S817" s="40"/>
      <c r="T817" s="40"/>
      <c r="U817" s="40"/>
      <c r="V817" s="40"/>
      <c r="W817" s="40"/>
      <c r="X817" s="40"/>
      <c r="Y817" s="40"/>
      <c r="Z817" s="40"/>
      <c r="AA817" s="40"/>
      <c r="AB817" s="40"/>
    </row>
    <row r="818">
      <c r="A818" s="805"/>
      <c r="B818" s="40"/>
      <c r="C818" s="40"/>
      <c r="D818" s="40"/>
      <c r="E818" s="40"/>
      <c r="F818" s="40"/>
      <c r="G818" s="40"/>
      <c r="H818" s="40"/>
      <c r="I818" s="40"/>
      <c r="J818" s="216"/>
      <c r="K818" s="40"/>
      <c r="L818" s="40"/>
      <c r="M818" s="40"/>
      <c r="N818" s="40"/>
      <c r="O818" s="40"/>
      <c r="P818" s="40"/>
      <c r="Q818" s="40"/>
      <c r="R818" s="40"/>
      <c r="S818" s="40"/>
      <c r="T818" s="40"/>
      <c r="U818" s="40"/>
      <c r="V818" s="40"/>
      <c r="W818" s="40"/>
      <c r="X818" s="40"/>
      <c r="Y818" s="40"/>
      <c r="Z818" s="40"/>
      <c r="AA818" s="40"/>
      <c r="AB818" s="40"/>
    </row>
    <row r="819">
      <c r="A819" s="805"/>
      <c r="B819" s="40"/>
      <c r="C819" s="40"/>
      <c r="D819" s="40"/>
      <c r="E819" s="40"/>
      <c r="F819" s="40"/>
      <c r="G819" s="40"/>
      <c r="H819" s="40"/>
      <c r="I819" s="40"/>
      <c r="J819" s="216"/>
      <c r="K819" s="40"/>
      <c r="L819" s="40"/>
      <c r="M819" s="40"/>
      <c r="N819" s="40"/>
      <c r="O819" s="40"/>
      <c r="P819" s="40"/>
      <c r="Q819" s="40"/>
      <c r="R819" s="40"/>
      <c r="S819" s="40"/>
      <c r="T819" s="40"/>
      <c r="U819" s="40"/>
      <c r="V819" s="40"/>
      <c r="W819" s="40"/>
      <c r="X819" s="40"/>
      <c r="Y819" s="40"/>
      <c r="Z819" s="40"/>
      <c r="AA819" s="40"/>
      <c r="AB819" s="40"/>
    </row>
    <row r="820">
      <c r="A820" s="805"/>
      <c r="B820" s="40"/>
      <c r="C820" s="40"/>
      <c r="D820" s="40"/>
      <c r="E820" s="40"/>
      <c r="F820" s="40"/>
      <c r="G820" s="40"/>
      <c r="H820" s="40"/>
      <c r="I820" s="40"/>
      <c r="J820" s="216"/>
      <c r="K820" s="40"/>
      <c r="L820" s="40"/>
      <c r="M820" s="40"/>
      <c r="N820" s="40"/>
      <c r="O820" s="40"/>
      <c r="P820" s="40"/>
      <c r="Q820" s="40"/>
      <c r="R820" s="40"/>
      <c r="S820" s="40"/>
      <c r="T820" s="40"/>
      <c r="U820" s="40"/>
      <c r="V820" s="40"/>
      <c r="W820" s="40"/>
      <c r="X820" s="40"/>
      <c r="Y820" s="40"/>
      <c r="Z820" s="40"/>
      <c r="AA820" s="40"/>
      <c r="AB820" s="40"/>
    </row>
    <row r="821">
      <c r="A821" s="805"/>
      <c r="B821" s="40"/>
      <c r="C821" s="40"/>
      <c r="D821" s="40"/>
      <c r="E821" s="40"/>
      <c r="F821" s="40"/>
      <c r="G821" s="40"/>
      <c r="H821" s="40"/>
      <c r="I821" s="40"/>
      <c r="J821" s="216"/>
      <c r="K821" s="40"/>
      <c r="L821" s="40"/>
      <c r="M821" s="40"/>
      <c r="N821" s="40"/>
      <c r="O821" s="40"/>
      <c r="P821" s="40"/>
      <c r="Q821" s="40"/>
      <c r="R821" s="40"/>
      <c r="S821" s="40"/>
      <c r="T821" s="40"/>
      <c r="U821" s="40"/>
      <c r="V821" s="40"/>
      <c r="W821" s="40"/>
      <c r="X821" s="40"/>
      <c r="Y821" s="40"/>
      <c r="Z821" s="40"/>
      <c r="AA821" s="40"/>
      <c r="AB821" s="40"/>
    </row>
    <row r="822">
      <c r="A822" s="805"/>
      <c r="B822" s="40"/>
      <c r="C822" s="40"/>
      <c r="D822" s="40"/>
      <c r="E822" s="40"/>
      <c r="F822" s="40"/>
      <c r="G822" s="40"/>
      <c r="H822" s="40"/>
      <c r="I822" s="40"/>
      <c r="J822" s="216"/>
      <c r="K822" s="40"/>
      <c r="L822" s="40"/>
      <c r="M822" s="40"/>
      <c r="N822" s="40"/>
      <c r="O822" s="40"/>
      <c r="P822" s="40"/>
      <c r="Q822" s="40"/>
      <c r="R822" s="40"/>
      <c r="S822" s="40"/>
      <c r="T822" s="40"/>
      <c r="U822" s="40"/>
      <c r="V822" s="40"/>
      <c r="W822" s="40"/>
      <c r="X822" s="40"/>
      <c r="Y822" s="40"/>
      <c r="Z822" s="40"/>
      <c r="AA822" s="40"/>
      <c r="AB822" s="40"/>
    </row>
    <row r="823">
      <c r="A823" s="805"/>
      <c r="B823" s="40"/>
      <c r="C823" s="40"/>
      <c r="D823" s="40"/>
      <c r="E823" s="40"/>
      <c r="F823" s="40"/>
      <c r="G823" s="40"/>
      <c r="H823" s="40"/>
      <c r="I823" s="40"/>
      <c r="J823" s="216"/>
      <c r="K823" s="40"/>
      <c r="L823" s="40"/>
      <c r="M823" s="40"/>
      <c r="N823" s="40"/>
      <c r="O823" s="40"/>
      <c r="P823" s="40"/>
      <c r="Q823" s="40"/>
      <c r="R823" s="40"/>
      <c r="S823" s="40"/>
      <c r="T823" s="40"/>
      <c r="U823" s="40"/>
      <c r="V823" s="40"/>
      <c r="W823" s="40"/>
      <c r="X823" s="40"/>
      <c r="Y823" s="40"/>
      <c r="Z823" s="40"/>
      <c r="AA823" s="40"/>
      <c r="AB823" s="40"/>
    </row>
    <row r="824">
      <c r="A824" s="805"/>
      <c r="B824" s="40"/>
      <c r="C824" s="40"/>
      <c r="D824" s="40"/>
      <c r="E824" s="40"/>
      <c r="F824" s="40"/>
      <c r="G824" s="40"/>
      <c r="H824" s="40"/>
      <c r="I824" s="40"/>
      <c r="J824" s="216"/>
      <c r="K824" s="40"/>
      <c r="L824" s="40"/>
      <c r="M824" s="40"/>
      <c r="N824" s="40"/>
      <c r="O824" s="40"/>
      <c r="P824" s="40"/>
      <c r="Q824" s="40"/>
      <c r="R824" s="40"/>
      <c r="S824" s="40"/>
      <c r="T824" s="40"/>
      <c r="U824" s="40"/>
      <c r="V824" s="40"/>
      <c r="W824" s="40"/>
      <c r="X824" s="40"/>
      <c r="Y824" s="40"/>
      <c r="Z824" s="40"/>
      <c r="AA824" s="40"/>
      <c r="AB824" s="40"/>
    </row>
    <row r="825">
      <c r="A825" s="805"/>
      <c r="B825" s="40"/>
      <c r="C825" s="40"/>
      <c r="D825" s="40"/>
      <c r="E825" s="40"/>
      <c r="F825" s="40"/>
      <c r="G825" s="40"/>
      <c r="H825" s="40"/>
      <c r="I825" s="40"/>
      <c r="J825" s="216"/>
      <c r="K825" s="40"/>
      <c r="L825" s="40"/>
      <c r="M825" s="40"/>
      <c r="N825" s="40"/>
      <c r="O825" s="40"/>
      <c r="P825" s="40"/>
      <c r="Q825" s="40"/>
      <c r="R825" s="40"/>
      <c r="S825" s="40"/>
      <c r="T825" s="40"/>
      <c r="U825" s="40"/>
      <c r="V825" s="40"/>
      <c r="W825" s="40"/>
      <c r="X825" s="40"/>
      <c r="Y825" s="40"/>
      <c r="Z825" s="40"/>
      <c r="AA825" s="40"/>
      <c r="AB825" s="40"/>
    </row>
    <row r="826">
      <c r="A826" s="805"/>
      <c r="B826" s="40"/>
      <c r="C826" s="40"/>
      <c r="D826" s="40"/>
      <c r="E826" s="40"/>
      <c r="F826" s="40"/>
      <c r="G826" s="40"/>
      <c r="H826" s="40"/>
      <c r="I826" s="40"/>
      <c r="J826" s="216"/>
      <c r="K826" s="40"/>
      <c r="L826" s="40"/>
      <c r="M826" s="40"/>
      <c r="N826" s="40"/>
      <c r="O826" s="40"/>
      <c r="P826" s="40"/>
      <c r="Q826" s="40"/>
      <c r="R826" s="40"/>
      <c r="S826" s="40"/>
      <c r="T826" s="40"/>
      <c r="U826" s="40"/>
      <c r="V826" s="40"/>
      <c r="W826" s="40"/>
      <c r="X826" s="40"/>
      <c r="Y826" s="40"/>
      <c r="Z826" s="40"/>
      <c r="AA826" s="40"/>
      <c r="AB826" s="40"/>
    </row>
    <row r="827">
      <c r="A827" s="805"/>
      <c r="B827" s="40"/>
      <c r="C827" s="40"/>
      <c r="D827" s="40"/>
      <c r="E827" s="40"/>
      <c r="F827" s="40"/>
      <c r="G827" s="40"/>
      <c r="H827" s="40"/>
      <c r="I827" s="40"/>
      <c r="J827" s="216"/>
      <c r="K827" s="40"/>
      <c r="L827" s="40"/>
      <c r="M827" s="40"/>
      <c r="N827" s="40"/>
      <c r="O827" s="40"/>
      <c r="P827" s="40"/>
      <c r="Q827" s="40"/>
      <c r="R827" s="40"/>
      <c r="S827" s="40"/>
      <c r="T827" s="40"/>
      <c r="U827" s="40"/>
      <c r="V827" s="40"/>
      <c r="W827" s="40"/>
      <c r="X827" s="40"/>
      <c r="Y827" s="40"/>
      <c r="Z827" s="40"/>
      <c r="AA827" s="40"/>
      <c r="AB827" s="40"/>
    </row>
    <row r="828">
      <c r="A828" s="805"/>
      <c r="B828" s="40"/>
      <c r="C828" s="40"/>
      <c r="D828" s="40"/>
      <c r="E828" s="40"/>
      <c r="F828" s="40"/>
      <c r="G828" s="40"/>
      <c r="H828" s="40"/>
      <c r="I828" s="40"/>
      <c r="J828" s="216"/>
      <c r="K828" s="40"/>
      <c r="L828" s="40"/>
      <c r="M828" s="40"/>
      <c r="N828" s="40"/>
      <c r="O828" s="40"/>
      <c r="P828" s="40"/>
      <c r="Q828" s="40"/>
      <c r="R828" s="40"/>
      <c r="S828" s="40"/>
      <c r="T828" s="40"/>
      <c r="U828" s="40"/>
      <c r="V828" s="40"/>
      <c r="W828" s="40"/>
      <c r="X828" s="40"/>
      <c r="Y828" s="40"/>
      <c r="Z828" s="40"/>
      <c r="AA828" s="40"/>
      <c r="AB828" s="40"/>
    </row>
    <row r="829">
      <c r="A829" s="805"/>
      <c r="B829" s="40"/>
      <c r="C829" s="40"/>
      <c r="D829" s="40"/>
      <c r="E829" s="40"/>
      <c r="F829" s="40"/>
      <c r="G829" s="40"/>
      <c r="H829" s="40"/>
      <c r="I829" s="40"/>
      <c r="J829" s="216"/>
      <c r="K829" s="40"/>
      <c r="L829" s="40"/>
      <c r="M829" s="40"/>
      <c r="N829" s="40"/>
      <c r="O829" s="40"/>
      <c r="P829" s="40"/>
      <c r="Q829" s="40"/>
      <c r="R829" s="40"/>
      <c r="S829" s="40"/>
      <c r="T829" s="40"/>
      <c r="U829" s="40"/>
      <c r="V829" s="40"/>
      <c r="W829" s="40"/>
      <c r="X829" s="40"/>
      <c r="Y829" s="40"/>
      <c r="Z829" s="40"/>
      <c r="AA829" s="40"/>
      <c r="AB829" s="40"/>
    </row>
    <row r="830">
      <c r="A830" s="805"/>
      <c r="B830" s="40"/>
      <c r="C830" s="40"/>
      <c r="D830" s="40"/>
      <c r="E830" s="40"/>
      <c r="F830" s="40"/>
      <c r="G830" s="40"/>
      <c r="H830" s="40"/>
      <c r="I830" s="40"/>
      <c r="J830" s="216"/>
      <c r="K830" s="40"/>
      <c r="L830" s="40"/>
      <c r="M830" s="40"/>
      <c r="N830" s="40"/>
      <c r="O830" s="40"/>
      <c r="P830" s="40"/>
      <c r="Q830" s="40"/>
      <c r="R830" s="40"/>
      <c r="S830" s="40"/>
      <c r="T830" s="40"/>
      <c r="U830" s="40"/>
      <c r="V830" s="40"/>
      <c r="W830" s="40"/>
      <c r="X830" s="40"/>
      <c r="Y830" s="40"/>
      <c r="Z830" s="40"/>
      <c r="AA830" s="40"/>
      <c r="AB830" s="40"/>
    </row>
    <row r="831">
      <c r="A831" s="805"/>
      <c r="B831" s="40"/>
      <c r="C831" s="40"/>
      <c r="D831" s="40"/>
      <c r="E831" s="40"/>
      <c r="F831" s="40"/>
      <c r="G831" s="40"/>
      <c r="H831" s="40"/>
      <c r="I831" s="40"/>
      <c r="J831" s="216"/>
      <c r="K831" s="40"/>
      <c r="L831" s="40"/>
      <c r="M831" s="40"/>
      <c r="N831" s="40"/>
      <c r="O831" s="40"/>
      <c r="P831" s="40"/>
      <c r="Q831" s="40"/>
      <c r="R831" s="40"/>
      <c r="S831" s="40"/>
      <c r="T831" s="40"/>
      <c r="U831" s="40"/>
      <c r="V831" s="40"/>
      <c r="W831" s="40"/>
      <c r="X831" s="40"/>
      <c r="Y831" s="40"/>
      <c r="Z831" s="40"/>
      <c r="AA831" s="40"/>
      <c r="AB831" s="40"/>
    </row>
    <row r="832">
      <c r="A832" s="805"/>
      <c r="B832" s="40"/>
      <c r="C832" s="40"/>
      <c r="D832" s="40"/>
      <c r="E832" s="40"/>
      <c r="F832" s="40"/>
      <c r="G832" s="40"/>
      <c r="H832" s="40"/>
      <c r="I832" s="40"/>
      <c r="J832" s="216"/>
      <c r="K832" s="40"/>
      <c r="L832" s="40"/>
      <c r="M832" s="40"/>
      <c r="N832" s="40"/>
      <c r="O832" s="40"/>
      <c r="P832" s="40"/>
      <c r="Q832" s="40"/>
      <c r="R832" s="40"/>
      <c r="S832" s="40"/>
      <c r="T832" s="40"/>
      <c r="U832" s="40"/>
      <c r="V832" s="40"/>
      <c r="W832" s="40"/>
      <c r="X832" s="40"/>
      <c r="Y832" s="40"/>
      <c r="Z832" s="40"/>
      <c r="AA832" s="40"/>
      <c r="AB832" s="40"/>
    </row>
    <row r="833">
      <c r="A833" s="805"/>
      <c r="B833" s="40"/>
      <c r="C833" s="40"/>
      <c r="D833" s="40"/>
      <c r="E833" s="40"/>
      <c r="F833" s="40"/>
      <c r="G833" s="40"/>
      <c r="H833" s="40"/>
      <c r="I833" s="40"/>
      <c r="J833" s="216"/>
      <c r="K833" s="40"/>
      <c r="L833" s="40"/>
      <c r="M833" s="40"/>
      <c r="N833" s="40"/>
      <c r="O833" s="40"/>
      <c r="P833" s="40"/>
      <c r="Q833" s="40"/>
      <c r="R833" s="40"/>
      <c r="S833" s="40"/>
      <c r="T833" s="40"/>
      <c r="U833" s="40"/>
      <c r="V833" s="40"/>
      <c r="W833" s="40"/>
      <c r="X833" s="40"/>
      <c r="Y833" s="40"/>
      <c r="Z833" s="40"/>
      <c r="AA833" s="40"/>
      <c r="AB833" s="40"/>
    </row>
    <row r="834">
      <c r="A834" s="805"/>
      <c r="B834" s="40"/>
      <c r="C834" s="40"/>
      <c r="D834" s="40"/>
      <c r="E834" s="40"/>
      <c r="F834" s="40"/>
      <c r="G834" s="40"/>
      <c r="H834" s="40"/>
      <c r="I834" s="40"/>
      <c r="J834" s="216"/>
      <c r="K834" s="40"/>
      <c r="L834" s="40"/>
      <c r="M834" s="40"/>
      <c r="N834" s="40"/>
      <c r="O834" s="40"/>
      <c r="P834" s="40"/>
      <c r="Q834" s="40"/>
      <c r="R834" s="40"/>
      <c r="S834" s="40"/>
      <c r="T834" s="40"/>
      <c r="U834" s="40"/>
      <c r="V834" s="40"/>
      <c r="W834" s="40"/>
      <c r="X834" s="40"/>
      <c r="Y834" s="40"/>
      <c r="Z834" s="40"/>
      <c r="AA834" s="40"/>
      <c r="AB834" s="40"/>
    </row>
    <row r="835">
      <c r="A835" s="805"/>
      <c r="B835" s="40"/>
      <c r="C835" s="40"/>
      <c r="D835" s="40"/>
      <c r="E835" s="40"/>
      <c r="F835" s="40"/>
      <c r="G835" s="40"/>
      <c r="H835" s="40"/>
      <c r="I835" s="40"/>
      <c r="J835" s="216"/>
      <c r="K835" s="40"/>
      <c r="L835" s="40"/>
      <c r="M835" s="40"/>
      <c r="N835" s="40"/>
      <c r="O835" s="40"/>
      <c r="P835" s="40"/>
      <c r="Q835" s="40"/>
      <c r="R835" s="40"/>
      <c r="S835" s="40"/>
      <c r="T835" s="40"/>
      <c r="U835" s="40"/>
      <c r="V835" s="40"/>
      <c r="W835" s="40"/>
      <c r="X835" s="40"/>
      <c r="Y835" s="40"/>
      <c r="Z835" s="40"/>
      <c r="AA835" s="40"/>
      <c r="AB835" s="40"/>
    </row>
    <row r="836">
      <c r="A836" s="805"/>
      <c r="B836" s="40"/>
      <c r="C836" s="40"/>
      <c r="D836" s="40"/>
      <c r="E836" s="40"/>
      <c r="F836" s="40"/>
      <c r="G836" s="40"/>
      <c r="H836" s="40"/>
      <c r="I836" s="40"/>
      <c r="J836" s="216"/>
      <c r="K836" s="40"/>
      <c r="L836" s="40"/>
      <c r="M836" s="40"/>
      <c r="N836" s="40"/>
      <c r="O836" s="40"/>
      <c r="P836" s="40"/>
      <c r="Q836" s="40"/>
      <c r="R836" s="40"/>
      <c r="S836" s="40"/>
      <c r="T836" s="40"/>
      <c r="U836" s="40"/>
      <c r="V836" s="40"/>
      <c r="W836" s="40"/>
      <c r="X836" s="40"/>
      <c r="Y836" s="40"/>
      <c r="Z836" s="40"/>
      <c r="AA836" s="40"/>
      <c r="AB836" s="40"/>
    </row>
    <row r="837">
      <c r="A837" s="805"/>
      <c r="B837" s="40"/>
      <c r="C837" s="40"/>
      <c r="D837" s="40"/>
      <c r="E837" s="40"/>
      <c r="F837" s="40"/>
      <c r="G837" s="40"/>
      <c r="H837" s="40"/>
      <c r="I837" s="40"/>
      <c r="J837" s="216"/>
      <c r="K837" s="40"/>
      <c r="L837" s="40"/>
      <c r="M837" s="40"/>
      <c r="N837" s="40"/>
      <c r="O837" s="40"/>
      <c r="P837" s="40"/>
      <c r="Q837" s="40"/>
      <c r="R837" s="40"/>
      <c r="S837" s="40"/>
      <c r="T837" s="40"/>
      <c r="U837" s="40"/>
      <c r="V837" s="40"/>
      <c r="W837" s="40"/>
      <c r="X837" s="40"/>
      <c r="Y837" s="40"/>
      <c r="Z837" s="40"/>
      <c r="AA837" s="40"/>
      <c r="AB837" s="40"/>
    </row>
    <row r="838">
      <c r="A838" s="805"/>
      <c r="B838" s="40"/>
      <c r="C838" s="40"/>
      <c r="D838" s="40"/>
      <c r="E838" s="40"/>
      <c r="F838" s="40"/>
      <c r="G838" s="40"/>
      <c r="H838" s="40"/>
      <c r="I838" s="40"/>
      <c r="J838" s="216"/>
      <c r="K838" s="40"/>
      <c r="L838" s="40"/>
      <c r="M838" s="40"/>
      <c r="N838" s="40"/>
      <c r="O838" s="40"/>
      <c r="P838" s="40"/>
      <c r="Q838" s="40"/>
      <c r="R838" s="40"/>
      <c r="S838" s="40"/>
      <c r="T838" s="40"/>
      <c r="U838" s="40"/>
      <c r="V838" s="40"/>
      <c r="W838" s="40"/>
      <c r="X838" s="40"/>
      <c r="Y838" s="40"/>
      <c r="Z838" s="40"/>
      <c r="AA838" s="40"/>
      <c r="AB838" s="40"/>
    </row>
    <row r="839">
      <c r="A839" s="805"/>
      <c r="B839" s="40"/>
      <c r="C839" s="40"/>
      <c r="D839" s="40"/>
      <c r="E839" s="40"/>
      <c r="F839" s="40"/>
      <c r="G839" s="40"/>
      <c r="H839" s="40"/>
      <c r="I839" s="40"/>
      <c r="J839" s="216"/>
      <c r="K839" s="40"/>
      <c r="L839" s="40"/>
      <c r="M839" s="40"/>
      <c r="N839" s="40"/>
      <c r="O839" s="40"/>
      <c r="P839" s="40"/>
      <c r="Q839" s="40"/>
      <c r="R839" s="40"/>
      <c r="S839" s="40"/>
      <c r="T839" s="40"/>
      <c r="U839" s="40"/>
      <c r="V839" s="40"/>
      <c r="W839" s="40"/>
      <c r="X839" s="40"/>
      <c r="Y839" s="40"/>
      <c r="Z839" s="40"/>
      <c r="AA839" s="40"/>
      <c r="AB839" s="40"/>
    </row>
    <row r="840">
      <c r="A840" s="805"/>
      <c r="B840" s="40"/>
      <c r="C840" s="40"/>
      <c r="D840" s="40"/>
      <c r="E840" s="40"/>
      <c r="F840" s="40"/>
      <c r="G840" s="40"/>
      <c r="H840" s="40"/>
      <c r="I840" s="40"/>
      <c r="J840" s="216"/>
      <c r="K840" s="40"/>
      <c r="L840" s="40"/>
      <c r="M840" s="40"/>
      <c r="N840" s="40"/>
      <c r="O840" s="40"/>
      <c r="P840" s="40"/>
      <c r="Q840" s="40"/>
      <c r="R840" s="40"/>
      <c r="S840" s="40"/>
      <c r="T840" s="40"/>
      <c r="U840" s="40"/>
      <c r="V840" s="40"/>
      <c r="W840" s="40"/>
      <c r="X840" s="40"/>
      <c r="Y840" s="40"/>
      <c r="Z840" s="40"/>
      <c r="AA840" s="40"/>
      <c r="AB840" s="40"/>
    </row>
    <row r="841">
      <c r="A841" s="805"/>
      <c r="B841" s="40"/>
      <c r="C841" s="40"/>
      <c r="D841" s="40"/>
      <c r="E841" s="40"/>
      <c r="F841" s="40"/>
      <c r="G841" s="40"/>
      <c r="H841" s="40"/>
      <c r="I841" s="40"/>
      <c r="J841" s="216"/>
      <c r="K841" s="40"/>
      <c r="L841" s="40"/>
      <c r="M841" s="40"/>
      <c r="N841" s="40"/>
      <c r="O841" s="40"/>
      <c r="P841" s="40"/>
      <c r="Q841" s="40"/>
      <c r="R841" s="40"/>
      <c r="S841" s="40"/>
      <c r="T841" s="40"/>
      <c r="U841" s="40"/>
      <c r="V841" s="40"/>
      <c r="W841" s="40"/>
      <c r="X841" s="40"/>
      <c r="Y841" s="40"/>
      <c r="Z841" s="40"/>
      <c r="AA841" s="40"/>
      <c r="AB841" s="40"/>
    </row>
    <row r="842">
      <c r="A842" s="805"/>
      <c r="B842" s="40"/>
      <c r="C842" s="40"/>
      <c r="D842" s="40"/>
      <c r="E842" s="40"/>
      <c r="F842" s="40"/>
      <c r="G842" s="40"/>
      <c r="H842" s="40"/>
      <c r="I842" s="40"/>
      <c r="J842" s="216"/>
      <c r="K842" s="40"/>
      <c r="L842" s="40"/>
      <c r="M842" s="40"/>
      <c r="N842" s="40"/>
      <c r="O842" s="40"/>
      <c r="P842" s="40"/>
      <c r="Q842" s="40"/>
      <c r="R842" s="40"/>
      <c r="S842" s="40"/>
      <c r="T842" s="40"/>
      <c r="U842" s="40"/>
      <c r="V842" s="40"/>
      <c r="W842" s="40"/>
      <c r="X842" s="40"/>
      <c r="Y842" s="40"/>
      <c r="Z842" s="40"/>
      <c r="AA842" s="40"/>
      <c r="AB842" s="40"/>
    </row>
    <row r="843">
      <c r="A843" s="805"/>
      <c r="B843" s="40"/>
      <c r="C843" s="40"/>
      <c r="D843" s="40"/>
      <c r="E843" s="40"/>
      <c r="F843" s="40"/>
      <c r="G843" s="40"/>
      <c r="H843" s="40"/>
      <c r="I843" s="40"/>
      <c r="J843" s="216"/>
      <c r="K843" s="40"/>
      <c r="L843" s="40"/>
      <c r="M843" s="40"/>
      <c r="N843" s="40"/>
      <c r="O843" s="40"/>
      <c r="P843" s="40"/>
      <c r="Q843" s="40"/>
      <c r="R843" s="40"/>
      <c r="S843" s="40"/>
      <c r="T843" s="40"/>
      <c r="U843" s="40"/>
      <c r="V843" s="40"/>
      <c r="W843" s="40"/>
      <c r="X843" s="40"/>
      <c r="Y843" s="40"/>
      <c r="Z843" s="40"/>
      <c r="AA843" s="40"/>
      <c r="AB843" s="40"/>
    </row>
    <row r="844">
      <c r="A844" s="805"/>
      <c r="B844" s="40"/>
      <c r="C844" s="40"/>
      <c r="D844" s="40"/>
      <c r="E844" s="40"/>
      <c r="F844" s="40"/>
      <c r="G844" s="40"/>
      <c r="H844" s="40"/>
      <c r="I844" s="40"/>
      <c r="J844" s="216"/>
      <c r="K844" s="40"/>
      <c r="L844" s="40"/>
      <c r="M844" s="40"/>
      <c r="N844" s="40"/>
      <c r="O844" s="40"/>
      <c r="P844" s="40"/>
      <c r="Q844" s="40"/>
      <c r="R844" s="40"/>
      <c r="S844" s="40"/>
      <c r="T844" s="40"/>
      <c r="U844" s="40"/>
      <c r="V844" s="40"/>
      <c r="W844" s="40"/>
      <c r="X844" s="40"/>
      <c r="Y844" s="40"/>
      <c r="Z844" s="40"/>
      <c r="AA844" s="40"/>
      <c r="AB844" s="40"/>
    </row>
    <row r="845">
      <c r="A845" s="805"/>
      <c r="B845" s="40"/>
      <c r="C845" s="40"/>
      <c r="D845" s="40"/>
      <c r="E845" s="40"/>
      <c r="F845" s="40"/>
      <c r="G845" s="40"/>
      <c r="H845" s="40"/>
      <c r="I845" s="40"/>
      <c r="J845" s="216"/>
      <c r="K845" s="40"/>
      <c r="L845" s="40"/>
      <c r="M845" s="40"/>
      <c r="N845" s="40"/>
      <c r="O845" s="40"/>
      <c r="P845" s="40"/>
      <c r="Q845" s="40"/>
      <c r="R845" s="40"/>
      <c r="S845" s="40"/>
      <c r="T845" s="40"/>
      <c r="U845" s="40"/>
      <c r="V845" s="40"/>
      <c r="W845" s="40"/>
      <c r="X845" s="40"/>
      <c r="Y845" s="40"/>
      <c r="Z845" s="40"/>
      <c r="AA845" s="40"/>
      <c r="AB845" s="40"/>
    </row>
    <row r="846">
      <c r="A846" s="805"/>
      <c r="B846" s="40"/>
      <c r="C846" s="40"/>
      <c r="D846" s="40"/>
      <c r="E846" s="40"/>
      <c r="F846" s="40"/>
      <c r="G846" s="40"/>
      <c r="H846" s="40"/>
      <c r="I846" s="40"/>
      <c r="J846" s="216"/>
      <c r="K846" s="40"/>
      <c r="L846" s="40"/>
      <c r="M846" s="40"/>
      <c r="N846" s="40"/>
      <c r="O846" s="40"/>
      <c r="P846" s="40"/>
      <c r="Q846" s="40"/>
      <c r="R846" s="40"/>
      <c r="S846" s="40"/>
      <c r="T846" s="40"/>
      <c r="U846" s="40"/>
      <c r="V846" s="40"/>
      <c r="W846" s="40"/>
      <c r="X846" s="40"/>
      <c r="Y846" s="40"/>
      <c r="Z846" s="40"/>
      <c r="AA846" s="40"/>
      <c r="AB846" s="40"/>
    </row>
    <row r="847">
      <c r="A847" s="805"/>
      <c r="B847" s="40"/>
      <c r="C847" s="40"/>
      <c r="D847" s="40"/>
      <c r="E847" s="40"/>
      <c r="F847" s="40"/>
      <c r="G847" s="40"/>
      <c r="H847" s="40"/>
      <c r="I847" s="40"/>
      <c r="J847" s="216"/>
      <c r="K847" s="40"/>
      <c r="L847" s="40"/>
      <c r="M847" s="40"/>
      <c r="N847" s="40"/>
      <c r="O847" s="40"/>
      <c r="P847" s="40"/>
      <c r="Q847" s="40"/>
      <c r="R847" s="40"/>
      <c r="S847" s="40"/>
      <c r="T847" s="40"/>
      <c r="U847" s="40"/>
      <c r="V847" s="40"/>
      <c r="W847" s="40"/>
      <c r="X847" s="40"/>
      <c r="Y847" s="40"/>
      <c r="Z847" s="40"/>
      <c r="AA847" s="40"/>
      <c r="AB847" s="40"/>
    </row>
    <row r="848">
      <c r="A848" s="805"/>
      <c r="B848" s="40"/>
      <c r="C848" s="40"/>
      <c r="D848" s="40"/>
      <c r="E848" s="40"/>
      <c r="F848" s="40"/>
      <c r="G848" s="40"/>
      <c r="H848" s="40"/>
      <c r="I848" s="40"/>
      <c r="J848" s="216"/>
      <c r="K848" s="40"/>
      <c r="L848" s="40"/>
      <c r="M848" s="40"/>
      <c r="N848" s="40"/>
      <c r="O848" s="40"/>
      <c r="P848" s="40"/>
      <c r="Q848" s="40"/>
      <c r="R848" s="40"/>
      <c r="S848" s="40"/>
      <c r="T848" s="40"/>
      <c r="U848" s="40"/>
      <c r="V848" s="40"/>
      <c r="W848" s="40"/>
      <c r="X848" s="40"/>
      <c r="Y848" s="40"/>
      <c r="Z848" s="40"/>
      <c r="AA848" s="40"/>
      <c r="AB848" s="40"/>
    </row>
    <row r="849">
      <c r="A849" s="805"/>
      <c r="B849" s="40"/>
      <c r="C849" s="40"/>
      <c r="D849" s="40"/>
      <c r="E849" s="40"/>
      <c r="F849" s="40"/>
      <c r="G849" s="40"/>
      <c r="H849" s="40"/>
      <c r="I849" s="40"/>
      <c r="J849" s="216"/>
      <c r="K849" s="40"/>
      <c r="L849" s="40"/>
      <c r="M849" s="40"/>
      <c r="N849" s="40"/>
      <c r="O849" s="40"/>
      <c r="P849" s="40"/>
      <c r="Q849" s="40"/>
      <c r="R849" s="40"/>
      <c r="S849" s="40"/>
      <c r="T849" s="40"/>
      <c r="U849" s="40"/>
      <c r="V849" s="40"/>
      <c r="W849" s="40"/>
      <c r="X849" s="40"/>
      <c r="Y849" s="40"/>
      <c r="Z849" s="40"/>
      <c r="AA849" s="40"/>
      <c r="AB849" s="40"/>
    </row>
    <row r="850">
      <c r="A850" s="805"/>
      <c r="B850" s="40"/>
      <c r="C850" s="40"/>
      <c r="D850" s="40"/>
      <c r="E850" s="40"/>
      <c r="F850" s="40"/>
      <c r="G850" s="40"/>
      <c r="H850" s="40"/>
      <c r="I850" s="40"/>
      <c r="J850" s="216"/>
      <c r="K850" s="40"/>
      <c r="L850" s="40"/>
      <c r="M850" s="40"/>
      <c r="N850" s="40"/>
      <c r="O850" s="40"/>
      <c r="P850" s="40"/>
      <c r="Q850" s="40"/>
      <c r="R850" s="40"/>
      <c r="S850" s="40"/>
      <c r="T850" s="40"/>
      <c r="U850" s="40"/>
      <c r="V850" s="40"/>
      <c r="W850" s="40"/>
      <c r="X850" s="40"/>
      <c r="Y850" s="40"/>
      <c r="Z850" s="40"/>
      <c r="AA850" s="40"/>
      <c r="AB850" s="40"/>
    </row>
    <row r="851">
      <c r="A851" s="805"/>
      <c r="B851" s="40"/>
      <c r="C851" s="40"/>
      <c r="D851" s="40"/>
      <c r="E851" s="40"/>
      <c r="F851" s="40"/>
      <c r="G851" s="40"/>
      <c r="H851" s="40"/>
      <c r="I851" s="40"/>
      <c r="J851" s="216"/>
      <c r="K851" s="40"/>
      <c r="L851" s="40"/>
      <c r="M851" s="40"/>
      <c r="N851" s="40"/>
      <c r="O851" s="40"/>
      <c r="P851" s="40"/>
      <c r="Q851" s="40"/>
      <c r="R851" s="40"/>
      <c r="S851" s="40"/>
      <c r="T851" s="40"/>
      <c r="U851" s="40"/>
      <c r="V851" s="40"/>
      <c r="W851" s="40"/>
      <c r="X851" s="40"/>
      <c r="Y851" s="40"/>
      <c r="Z851" s="40"/>
      <c r="AA851" s="40"/>
      <c r="AB851" s="40"/>
    </row>
    <row r="852">
      <c r="A852" s="805"/>
      <c r="B852" s="40"/>
      <c r="C852" s="40"/>
      <c r="D852" s="40"/>
      <c r="E852" s="40"/>
      <c r="F852" s="40"/>
      <c r="G852" s="40"/>
      <c r="H852" s="40"/>
      <c r="I852" s="40"/>
      <c r="J852" s="216"/>
      <c r="K852" s="40"/>
      <c r="L852" s="40"/>
      <c r="M852" s="40"/>
      <c r="N852" s="40"/>
      <c r="O852" s="40"/>
      <c r="P852" s="40"/>
      <c r="Q852" s="40"/>
      <c r="R852" s="40"/>
      <c r="S852" s="40"/>
      <c r="T852" s="40"/>
      <c r="U852" s="40"/>
      <c r="V852" s="40"/>
      <c r="W852" s="40"/>
      <c r="X852" s="40"/>
      <c r="Y852" s="40"/>
      <c r="Z852" s="40"/>
      <c r="AA852" s="40"/>
      <c r="AB852" s="40"/>
    </row>
    <row r="853">
      <c r="A853" s="805"/>
      <c r="B853" s="40"/>
      <c r="C853" s="40"/>
      <c r="D853" s="40"/>
      <c r="E853" s="40"/>
      <c r="F853" s="40"/>
      <c r="G853" s="40"/>
      <c r="H853" s="40"/>
      <c r="I853" s="40"/>
      <c r="J853" s="216"/>
      <c r="K853" s="40"/>
      <c r="L853" s="40"/>
      <c r="M853" s="40"/>
      <c r="N853" s="40"/>
      <c r="O853" s="40"/>
      <c r="P853" s="40"/>
      <c r="Q853" s="40"/>
      <c r="R853" s="40"/>
      <c r="S853" s="40"/>
      <c r="T853" s="40"/>
      <c r="U853" s="40"/>
      <c r="V853" s="40"/>
      <c r="W853" s="40"/>
      <c r="X853" s="40"/>
      <c r="Y853" s="40"/>
      <c r="Z853" s="40"/>
      <c r="AA853" s="40"/>
      <c r="AB853" s="40"/>
    </row>
    <row r="854">
      <c r="A854" s="805"/>
      <c r="B854" s="40"/>
      <c r="C854" s="40"/>
      <c r="D854" s="40"/>
      <c r="E854" s="40"/>
      <c r="F854" s="40"/>
      <c r="G854" s="40"/>
      <c r="H854" s="40"/>
      <c r="I854" s="40"/>
      <c r="J854" s="216"/>
      <c r="K854" s="40"/>
      <c r="L854" s="40"/>
      <c r="M854" s="40"/>
      <c r="N854" s="40"/>
      <c r="O854" s="40"/>
      <c r="P854" s="40"/>
      <c r="Q854" s="40"/>
      <c r="R854" s="40"/>
      <c r="S854" s="40"/>
      <c r="T854" s="40"/>
      <c r="U854" s="40"/>
      <c r="V854" s="40"/>
      <c r="W854" s="40"/>
      <c r="X854" s="40"/>
      <c r="Y854" s="40"/>
      <c r="Z854" s="40"/>
      <c r="AA854" s="40"/>
      <c r="AB854" s="40"/>
    </row>
    <row r="855">
      <c r="A855" s="805"/>
      <c r="B855" s="40"/>
      <c r="C855" s="40"/>
      <c r="D855" s="40"/>
      <c r="E855" s="40"/>
      <c r="F855" s="40"/>
      <c r="G855" s="40"/>
      <c r="H855" s="40"/>
      <c r="I855" s="40"/>
      <c r="J855" s="216"/>
      <c r="K855" s="40"/>
      <c r="L855" s="40"/>
      <c r="M855" s="40"/>
      <c r="N855" s="40"/>
      <c r="O855" s="40"/>
      <c r="P855" s="40"/>
      <c r="Q855" s="40"/>
      <c r="R855" s="40"/>
      <c r="S855" s="40"/>
      <c r="T855" s="40"/>
      <c r="U855" s="40"/>
      <c r="V855" s="40"/>
      <c r="W855" s="40"/>
      <c r="X855" s="40"/>
      <c r="Y855" s="40"/>
      <c r="Z855" s="40"/>
      <c r="AA855" s="40"/>
      <c r="AB855" s="40"/>
    </row>
    <row r="856">
      <c r="A856" s="805"/>
      <c r="B856" s="40"/>
      <c r="C856" s="40"/>
      <c r="D856" s="40"/>
      <c r="E856" s="40"/>
      <c r="F856" s="40"/>
      <c r="G856" s="40"/>
      <c r="H856" s="40"/>
      <c r="I856" s="40"/>
      <c r="J856" s="216"/>
      <c r="K856" s="40"/>
      <c r="L856" s="40"/>
      <c r="M856" s="40"/>
      <c r="N856" s="40"/>
      <c r="O856" s="40"/>
      <c r="P856" s="40"/>
      <c r="Q856" s="40"/>
      <c r="R856" s="40"/>
      <c r="S856" s="40"/>
      <c r="T856" s="40"/>
      <c r="U856" s="40"/>
      <c r="V856" s="40"/>
      <c r="W856" s="40"/>
      <c r="X856" s="40"/>
      <c r="Y856" s="40"/>
      <c r="Z856" s="40"/>
      <c r="AA856" s="40"/>
      <c r="AB856" s="40"/>
    </row>
    <row r="857">
      <c r="A857" s="805"/>
      <c r="B857" s="40"/>
      <c r="C857" s="40"/>
      <c r="D857" s="40"/>
      <c r="E857" s="40"/>
      <c r="F857" s="40"/>
      <c r="G857" s="40"/>
      <c r="H857" s="40"/>
      <c r="I857" s="40"/>
      <c r="J857" s="216"/>
      <c r="K857" s="40"/>
      <c r="L857" s="40"/>
      <c r="M857" s="40"/>
      <c r="N857" s="40"/>
      <c r="O857" s="40"/>
      <c r="P857" s="40"/>
      <c r="Q857" s="40"/>
      <c r="R857" s="40"/>
      <c r="S857" s="40"/>
      <c r="T857" s="40"/>
      <c r="U857" s="40"/>
      <c r="V857" s="40"/>
      <c r="W857" s="40"/>
      <c r="X857" s="40"/>
      <c r="Y857" s="40"/>
      <c r="Z857" s="40"/>
      <c r="AA857" s="40"/>
      <c r="AB857" s="40"/>
    </row>
    <row r="858">
      <c r="A858" s="805"/>
      <c r="B858" s="40"/>
      <c r="C858" s="40"/>
      <c r="D858" s="40"/>
      <c r="E858" s="40"/>
      <c r="F858" s="40"/>
      <c r="G858" s="40"/>
      <c r="H858" s="40"/>
      <c r="I858" s="40"/>
      <c r="J858" s="216"/>
      <c r="K858" s="40"/>
      <c r="L858" s="40"/>
      <c r="M858" s="40"/>
      <c r="N858" s="40"/>
      <c r="O858" s="40"/>
      <c r="P858" s="40"/>
      <c r="Q858" s="40"/>
      <c r="R858" s="40"/>
      <c r="S858" s="40"/>
      <c r="T858" s="40"/>
      <c r="U858" s="40"/>
      <c r="V858" s="40"/>
      <c r="W858" s="40"/>
      <c r="X858" s="40"/>
      <c r="Y858" s="40"/>
      <c r="Z858" s="40"/>
      <c r="AA858" s="40"/>
      <c r="AB858" s="40"/>
    </row>
    <row r="859">
      <c r="A859" s="805"/>
      <c r="B859" s="40"/>
      <c r="C859" s="40"/>
      <c r="D859" s="40"/>
      <c r="E859" s="40"/>
      <c r="F859" s="40"/>
      <c r="G859" s="40"/>
      <c r="H859" s="40"/>
      <c r="I859" s="40"/>
      <c r="J859" s="216"/>
      <c r="K859" s="40"/>
      <c r="L859" s="40"/>
      <c r="M859" s="40"/>
      <c r="N859" s="40"/>
      <c r="O859" s="40"/>
      <c r="P859" s="40"/>
      <c r="Q859" s="40"/>
      <c r="R859" s="40"/>
      <c r="S859" s="40"/>
      <c r="T859" s="40"/>
      <c r="U859" s="40"/>
      <c r="V859" s="40"/>
      <c r="W859" s="40"/>
      <c r="X859" s="40"/>
      <c r="Y859" s="40"/>
      <c r="Z859" s="40"/>
      <c r="AA859" s="40"/>
      <c r="AB859" s="40"/>
    </row>
    <row r="860">
      <c r="A860" s="805"/>
      <c r="B860" s="40"/>
      <c r="C860" s="40"/>
      <c r="D860" s="40"/>
      <c r="E860" s="40"/>
      <c r="F860" s="40"/>
      <c r="G860" s="40"/>
      <c r="H860" s="40"/>
      <c r="I860" s="40"/>
      <c r="J860" s="216"/>
      <c r="K860" s="40"/>
      <c r="L860" s="40"/>
      <c r="M860" s="40"/>
      <c r="N860" s="40"/>
      <c r="O860" s="40"/>
      <c r="P860" s="40"/>
      <c r="Q860" s="40"/>
      <c r="R860" s="40"/>
      <c r="S860" s="40"/>
      <c r="T860" s="40"/>
      <c r="U860" s="40"/>
      <c r="V860" s="40"/>
      <c r="W860" s="40"/>
      <c r="X860" s="40"/>
      <c r="Y860" s="40"/>
      <c r="Z860" s="40"/>
      <c r="AA860" s="40"/>
      <c r="AB860" s="40"/>
    </row>
    <row r="861">
      <c r="A861" s="805"/>
      <c r="B861" s="40"/>
      <c r="C861" s="40"/>
      <c r="D861" s="40"/>
      <c r="E861" s="40"/>
      <c r="F861" s="40"/>
      <c r="G861" s="40"/>
      <c r="H861" s="40"/>
      <c r="I861" s="40"/>
      <c r="J861" s="216"/>
      <c r="K861" s="40"/>
      <c r="L861" s="40"/>
      <c r="M861" s="40"/>
      <c r="N861" s="40"/>
      <c r="O861" s="40"/>
      <c r="P861" s="40"/>
      <c r="Q861" s="40"/>
      <c r="R861" s="40"/>
      <c r="S861" s="40"/>
      <c r="T861" s="40"/>
      <c r="U861" s="40"/>
      <c r="V861" s="40"/>
      <c r="W861" s="40"/>
      <c r="X861" s="40"/>
      <c r="Y861" s="40"/>
      <c r="Z861" s="40"/>
      <c r="AA861" s="40"/>
      <c r="AB861" s="40"/>
    </row>
    <row r="862">
      <c r="A862" s="805"/>
      <c r="B862" s="40"/>
      <c r="C862" s="40"/>
      <c r="D862" s="40"/>
      <c r="E862" s="40"/>
      <c r="F862" s="40"/>
      <c r="G862" s="40"/>
      <c r="H862" s="40"/>
      <c r="I862" s="40"/>
      <c r="J862" s="216"/>
      <c r="K862" s="40"/>
      <c r="L862" s="40"/>
      <c r="M862" s="40"/>
      <c r="N862" s="40"/>
      <c r="O862" s="40"/>
      <c r="P862" s="40"/>
      <c r="Q862" s="40"/>
      <c r="R862" s="40"/>
      <c r="S862" s="40"/>
      <c r="T862" s="40"/>
      <c r="U862" s="40"/>
      <c r="V862" s="40"/>
      <c r="W862" s="40"/>
      <c r="X862" s="40"/>
      <c r="Y862" s="40"/>
      <c r="Z862" s="40"/>
      <c r="AA862" s="40"/>
      <c r="AB862" s="40"/>
    </row>
    <row r="863">
      <c r="A863" s="805"/>
      <c r="B863" s="40"/>
      <c r="C863" s="40"/>
      <c r="D863" s="40"/>
      <c r="E863" s="40"/>
      <c r="F863" s="40"/>
      <c r="G863" s="40"/>
      <c r="H863" s="40"/>
      <c r="I863" s="40"/>
      <c r="J863" s="216"/>
      <c r="K863" s="40"/>
      <c r="L863" s="40"/>
      <c r="M863" s="40"/>
      <c r="N863" s="40"/>
      <c r="O863" s="40"/>
      <c r="P863" s="40"/>
      <c r="Q863" s="40"/>
      <c r="R863" s="40"/>
      <c r="S863" s="40"/>
      <c r="T863" s="40"/>
      <c r="U863" s="40"/>
      <c r="V863" s="40"/>
      <c r="W863" s="40"/>
      <c r="X863" s="40"/>
      <c r="Y863" s="40"/>
      <c r="Z863" s="40"/>
      <c r="AA863" s="40"/>
      <c r="AB863" s="40"/>
    </row>
    <row r="864">
      <c r="A864" s="805"/>
      <c r="B864" s="40"/>
      <c r="C864" s="40"/>
      <c r="D864" s="40"/>
      <c r="E864" s="40"/>
      <c r="F864" s="40"/>
      <c r="G864" s="40"/>
      <c r="H864" s="40"/>
      <c r="I864" s="40"/>
      <c r="J864" s="216"/>
      <c r="K864" s="40"/>
      <c r="L864" s="40"/>
      <c r="M864" s="40"/>
      <c r="N864" s="40"/>
      <c r="O864" s="40"/>
      <c r="P864" s="40"/>
      <c r="Q864" s="40"/>
      <c r="R864" s="40"/>
      <c r="S864" s="40"/>
      <c r="T864" s="40"/>
      <c r="U864" s="40"/>
      <c r="V864" s="40"/>
      <c r="W864" s="40"/>
      <c r="X864" s="40"/>
      <c r="Y864" s="40"/>
      <c r="Z864" s="40"/>
      <c r="AA864" s="40"/>
      <c r="AB864" s="40"/>
    </row>
    <row r="865">
      <c r="A865" s="805"/>
      <c r="B865" s="40"/>
      <c r="C865" s="40"/>
      <c r="D865" s="40"/>
      <c r="E865" s="40"/>
      <c r="F865" s="40"/>
      <c r="G865" s="40"/>
      <c r="H865" s="40"/>
      <c r="I865" s="40"/>
      <c r="J865" s="216"/>
      <c r="K865" s="40"/>
      <c r="L865" s="40"/>
      <c r="M865" s="40"/>
      <c r="N865" s="40"/>
      <c r="O865" s="40"/>
      <c r="P865" s="40"/>
      <c r="Q865" s="40"/>
      <c r="R865" s="40"/>
      <c r="S865" s="40"/>
      <c r="T865" s="40"/>
      <c r="U865" s="40"/>
      <c r="V865" s="40"/>
      <c r="W865" s="40"/>
      <c r="X865" s="40"/>
      <c r="Y865" s="40"/>
      <c r="Z865" s="40"/>
      <c r="AA865" s="40"/>
      <c r="AB865" s="40"/>
    </row>
    <row r="866">
      <c r="A866" s="805"/>
      <c r="B866" s="40"/>
      <c r="C866" s="40"/>
      <c r="D866" s="40"/>
      <c r="E866" s="40"/>
      <c r="F866" s="40"/>
      <c r="G866" s="40"/>
      <c r="H866" s="40"/>
      <c r="I866" s="40"/>
      <c r="J866" s="216"/>
      <c r="K866" s="40"/>
      <c r="L866" s="40"/>
      <c r="M866" s="40"/>
      <c r="N866" s="40"/>
      <c r="O866" s="40"/>
      <c r="P866" s="40"/>
      <c r="Q866" s="40"/>
      <c r="R866" s="40"/>
      <c r="S866" s="40"/>
      <c r="T866" s="40"/>
      <c r="U866" s="40"/>
      <c r="V866" s="40"/>
      <c r="W866" s="40"/>
      <c r="X866" s="40"/>
      <c r="Y866" s="40"/>
      <c r="Z866" s="40"/>
      <c r="AA866" s="40"/>
      <c r="AB866" s="40"/>
    </row>
    <row r="867">
      <c r="A867" s="805"/>
      <c r="B867" s="40"/>
      <c r="C867" s="40"/>
      <c r="D867" s="40"/>
      <c r="E867" s="40"/>
      <c r="F867" s="40"/>
      <c r="G867" s="40"/>
      <c r="H867" s="40"/>
      <c r="I867" s="40"/>
      <c r="J867" s="216"/>
      <c r="K867" s="40"/>
      <c r="L867" s="40"/>
      <c r="M867" s="40"/>
      <c r="N867" s="40"/>
      <c r="O867" s="40"/>
      <c r="P867" s="40"/>
      <c r="Q867" s="40"/>
      <c r="R867" s="40"/>
      <c r="S867" s="40"/>
      <c r="T867" s="40"/>
      <c r="U867" s="40"/>
      <c r="V867" s="40"/>
      <c r="W867" s="40"/>
      <c r="X867" s="40"/>
      <c r="Y867" s="40"/>
      <c r="Z867" s="40"/>
      <c r="AA867" s="40"/>
      <c r="AB867" s="40"/>
    </row>
    <row r="868">
      <c r="A868" s="805"/>
      <c r="B868" s="40"/>
      <c r="C868" s="40"/>
      <c r="D868" s="40"/>
      <c r="E868" s="40"/>
      <c r="F868" s="40"/>
      <c r="G868" s="40"/>
      <c r="H868" s="40"/>
      <c r="I868" s="40"/>
      <c r="J868" s="216"/>
      <c r="K868" s="40"/>
      <c r="L868" s="40"/>
      <c r="M868" s="40"/>
      <c r="N868" s="40"/>
      <c r="O868" s="40"/>
      <c r="P868" s="40"/>
      <c r="Q868" s="40"/>
      <c r="R868" s="40"/>
      <c r="S868" s="40"/>
      <c r="T868" s="40"/>
      <c r="U868" s="40"/>
      <c r="V868" s="40"/>
      <c r="W868" s="40"/>
      <c r="X868" s="40"/>
      <c r="Y868" s="40"/>
      <c r="Z868" s="40"/>
      <c r="AA868" s="40"/>
      <c r="AB868" s="40"/>
    </row>
    <row r="869">
      <c r="A869" s="805"/>
      <c r="B869" s="40"/>
      <c r="C869" s="40"/>
      <c r="D869" s="40"/>
      <c r="E869" s="40"/>
      <c r="F869" s="40"/>
      <c r="G869" s="40"/>
      <c r="H869" s="40"/>
      <c r="I869" s="40"/>
      <c r="J869" s="216"/>
      <c r="K869" s="40"/>
      <c r="L869" s="40"/>
      <c r="M869" s="40"/>
      <c r="N869" s="40"/>
      <c r="O869" s="40"/>
      <c r="P869" s="40"/>
      <c r="Q869" s="40"/>
      <c r="R869" s="40"/>
      <c r="S869" s="40"/>
      <c r="T869" s="40"/>
      <c r="U869" s="40"/>
      <c r="V869" s="40"/>
      <c r="W869" s="40"/>
      <c r="X869" s="40"/>
      <c r="Y869" s="40"/>
      <c r="Z869" s="40"/>
      <c r="AA869" s="40"/>
      <c r="AB869" s="40"/>
    </row>
    <row r="870">
      <c r="A870" s="805"/>
      <c r="B870" s="40"/>
      <c r="C870" s="40"/>
      <c r="D870" s="40"/>
      <c r="E870" s="40"/>
      <c r="F870" s="40"/>
      <c r="G870" s="40"/>
      <c r="H870" s="40"/>
      <c r="I870" s="40"/>
      <c r="J870" s="216"/>
      <c r="K870" s="40"/>
      <c r="L870" s="40"/>
      <c r="M870" s="40"/>
      <c r="N870" s="40"/>
      <c r="O870" s="40"/>
      <c r="P870" s="40"/>
      <c r="Q870" s="40"/>
      <c r="R870" s="40"/>
      <c r="S870" s="40"/>
      <c r="T870" s="40"/>
      <c r="U870" s="40"/>
      <c r="V870" s="40"/>
      <c r="W870" s="40"/>
      <c r="X870" s="40"/>
      <c r="Y870" s="40"/>
      <c r="Z870" s="40"/>
      <c r="AA870" s="40"/>
      <c r="AB870" s="40"/>
    </row>
    <row r="871">
      <c r="A871" s="805"/>
      <c r="B871" s="40"/>
      <c r="C871" s="40"/>
      <c r="D871" s="40"/>
      <c r="E871" s="40"/>
      <c r="F871" s="40"/>
      <c r="G871" s="40"/>
      <c r="H871" s="40"/>
      <c r="I871" s="40"/>
      <c r="J871" s="216"/>
      <c r="K871" s="40"/>
      <c r="L871" s="40"/>
      <c r="M871" s="40"/>
      <c r="N871" s="40"/>
      <c r="O871" s="40"/>
      <c r="P871" s="40"/>
      <c r="Q871" s="40"/>
      <c r="R871" s="40"/>
      <c r="S871" s="40"/>
      <c r="T871" s="40"/>
      <c r="U871" s="40"/>
      <c r="V871" s="40"/>
      <c r="W871" s="40"/>
      <c r="X871" s="40"/>
      <c r="Y871" s="40"/>
      <c r="Z871" s="40"/>
      <c r="AA871" s="40"/>
      <c r="AB871" s="40"/>
    </row>
    <row r="872">
      <c r="A872" s="805"/>
      <c r="B872" s="40"/>
      <c r="C872" s="40"/>
      <c r="D872" s="40"/>
      <c r="E872" s="40"/>
      <c r="F872" s="40"/>
      <c r="G872" s="40"/>
      <c r="H872" s="40"/>
      <c r="I872" s="40"/>
      <c r="J872" s="216"/>
      <c r="K872" s="40"/>
      <c r="L872" s="40"/>
      <c r="M872" s="40"/>
      <c r="N872" s="40"/>
      <c r="O872" s="40"/>
      <c r="P872" s="40"/>
      <c r="Q872" s="40"/>
      <c r="R872" s="40"/>
      <c r="S872" s="40"/>
      <c r="T872" s="40"/>
      <c r="U872" s="40"/>
      <c r="V872" s="40"/>
      <c r="W872" s="40"/>
      <c r="X872" s="40"/>
      <c r="Y872" s="40"/>
      <c r="Z872" s="40"/>
      <c r="AA872" s="40"/>
      <c r="AB872" s="40"/>
    </row>
    <row r="873">
      <c r="A873" s="805"/>
      <c r="B873" s="40"/>
      <c r="C873" s="40"/>
      <c r="D873" s="40"/>
      <c r="E873" s="40"/>
      <c r="F873" s="40"/>
      <c r="G873" s="40"/>
      <c r="H873" s="40"/>
      <c r="I873" s="40"/>
      <c r="J873" s="216"/>
      <c r="K873" s="40"/>
      <c r="L873" s="40"/>
      <c r="M873" s="40"/>
      <c r="N873" s="40"/>
      <c r="O873" s="40"/>
      <c r="P873" s="40"/>
      <c r="Q873" s="40"/>
      <c r="R873" s="40"/>
      <c r="S873" s="40"/>
      <c r="T873" s="40"/>
      <c r="U873" s="40"/>
      <c r="V873" s="40"/>
      <c r="W873" s="40"/>
      <c r="X873" s="40"/>
      <c r="Y873" s="40"/>
      <c r="Z873" s="40"/>
      <c r="AA873" s="40"/>
      <c r="AB873" s="40"/>
    </row>
    <row r="874">
      <c r="A874" s="805"/>
      <c r="B874" s="40"/>
      <c r="C874" s="40"/>
      <c r="D874" s="40"/>
      <c r="E874" s="40"/>
      <c r="F874" s="40"/>
      <c r="G874" s="40"/>
      <c r="H874" s="40"/>
      <c r="I874" s="40"/>
      <c r="J874" s="216"/>
      <c r="K874" s="40"/>
      <c r="L874" s="40"/>
      <c r="M874" s="40"/>
      <c r="N874" s="40"/>
      <c r="O874" s="40"/>
      <c r="P874" s="40"/>
      <c r="Q874" s="40"/>
      <c r="R874" s="40"/>
      <c r="S874" s="40"/>
      <c r="T874" s="40"/>
      <c r="U874" s="40"/>
      <c r="V874" s="40"/>
      <c r="W874" s="40"/>
      <c r="X874" s="40"/>
      <c r="Y874" s="40"/>
      <c r="Z874" s="40"/>
      <c r="AA874" s="40"/>
      <c r="AB874" s="40"/>
    </row>
    <row r="875">
      <c r="A875" s="805"/>
      <c r="B875" s="40"/>
      <c r="C875" s="40"/>
      <c r="D875" s="40"/>
      <c r="E875" s="40"/>
      <c r="F875" s="40"/>
      <c r="G875" s="40"/>
      <c r="H875" s="40"/>
      <c r="I875" s="40"/>
      <c r="J875" s="216"/>
      <c r="K875" s="40"/>
      <c r="L875" s="40"/>
      <c r="M875" s="40"/>
      <c r="N875" s="40"/>
      <c r="O875" s="40"/>
      <c r="P875" s="40"/>
      <c r="Q875" s="40"/>
      <c r="R875" s="40"/>
      <c r="S875" s="40"/>
      <c r="T875" s="40"/>
      <c r="U875" s="40"/>
      <c r="V875" s="40"/>
      <c r="W875" s="40"/>
      <c r="X875" s="40"/>
      <c r="Y875" s="40"/>
      <c r="Z875" s="40"/>
      <c r="AA875" s="40"/>
      <c r="AB875" s="40"/>
    </row>
    <row r="876">
      <c r="A876" s="805"/>
      <c r="B876" s="40"/>
      <c r="C876" s="40"/>
      <c r="D876" s="40"/>
      <c r="E876" s="40"/>
      <c r="F876" s="40"/>
      <c r="G876" s="40"/>
      <c r="H876" s="40"/>
      <c r="I876" s="40"/>
      <c r="J876" s="216"/>
      <c r="K876" s="40"/>
      <c r="L876" s="40"/>
      <c r="M876" s="40"/>
      <c r="N876" s="40"/>
      <c r="O876" s="40"/>
      <c r="P876" s="40"/>
      <c r="Q876" s="40"/>
      <c r="R876" s="40"/>
      <c r="S876" s="40"/>
      <c r="T876" s="40"/>
      <c r="U876" s="40"/>
      <c r="V876" s="40"/>
      <c r="W876" s="40"/>
      <c r="X876" s="40"/>
      <c r="Y876" s="40"/>
      <c r="Z876" s="40"/>
      <c r="AA876" s="40"/>
      <c r="AB876" s="40"/>
    </row>
    <row r="877">
      <c r="A877" s="805"/>
      <c r="B877" s="40"/>
      <c r="C877" s="40"/>
      <c r="D877" s="40"/>
      <c r="E877" s="40"/>
      <c r="F877" s="40"/>
      <c r="G877" s="40"/>
      <c r="H877" s="40"/>
      <c r="I877" s="40"/>
      <c r="J877" s="216"/>
      <c r="K877" s="40"/>
      <c r="L877" s="40"/>
      <c r="M877" s="40"/>
      <c r="N877" s="40"/>
      <c r="O877" s="40"/>
      <c r="P877" s="40"/>
      <c r="Q877" s="40"/>
      <c r="R877" s="40"/>
      <c r="S877" s="40"/>
      <c r="T877" s="40"/>
      <c r="U877" s="40"/>
      <c r="V877" s="40"/>
      <c r="W877" s="40"/>
      <c r="X877" s="40"/>
      <c r="Y877" s="40"/>
      <c r="Z877" s="40"/>
      <c r="AA877" s="40"/>
      <c r="AB877" s="40"/>
    </row>
    <row r="878">
      <c r="A878" s="805"/>
      <c r="B878" s="40"/>
      <c r="C878" s="40"/>
      <c r="D878" s="40"/>
      <c r="E878" s="40"/>
      <c r="F878" s="40"/>
      <c r="G878" s="40"/>
      <c r="H878" s="40"/>
      <c r="I878" s="40"/>
      <c r="J878" s="216"/>
      <c r="K878" s="40"/>
      <c r="L878" s="40"/>
      <c r="M878" s="40"/>
      <c r="N878" s="40"/>
      <c r="O878" s="40"/>
      <c r="P878" s="40"/>
      <c r="Q878" s="40"/>
      <c r="R878" s="40"/>
      <c r="S878" s="40"/>
      <c r="T878" s="40"/>
      <c r="U878" s="40"/>
      <c r="V878" s="40"/>
      <c r="W878" s="40"/>
      <c r="X878" s="40"/>
      <c r="Y878" s="40"/>
      <c r="Z878" s="40"/>
      <c r="AA878" s="40"/>
      <c r="AB878" s="40"/>
    </row>
    <row r="879">
      <c r="A879" s="805"/>
      <c r="B879" s="40"/>
      <c r="C879" s="40"/>
      <c r="D879" s="40"/>
      <c r="E879" s="40"/>
      <c r="F879" s="40"/>
      <c r="G879" s="40"/>
      <c r="H879" s="40"/>
      <c r="I879" s="40"/>
      <c r="J879" s="216"/>
      <c r="K879" s="40"/>
      <c r="L879" s="40"/>
      <c r="M879" s="40"/>
      <c r="N879" s="40"/>
      <c r="O879" s="40"/>
      <c r="P879" s="40"/>
      <c r="Q879" s="40"/>
      <c r="R879" s="40"/>
      <c r="S879" s="40"/>
      <c r="T879" s="40"/>
      <c r="U879" s="40"/>
      <c r="V879" s="40"/>
      <c r="W879" s="40"/>
      <c r="X879" s="40"/>
      <c r="Y879" s="40"/>
      <c r="Z879" s="40"/>
      <c r="AA879" s="40"/>
      <c r="AB879" s="40"/>
    </row>
    <row r="880">
      <c r="A880" s="805"/>
      <c r="B880" s="40"/>
      <c r="C880" s="40"/>
      <c r="D880" s="40"/>
      <c r="E880" s="40"/>
      <c r="F880" s="40"/>
      <c r="G880" s="40"/>
      <c r="H880" s="40"/>
      <c r="I880" s="40"/>
      <c r="J880" s="216"/>
      <c r="K880" s="40"/>
      <c r="L880" s="40"/>
      <c r="M880" s="40"/>
      <c r="N880" s="40"/>
      <c r="O880" s="40"/>
      <c r="P880" s="40"/>
      <c r="Q880" s="40"/>
      <c r="R880" s="40"/>
      <c r="S880" s="40"/>
      <c r="T880" s="40"/>
      <c r="U880" s="40"/>
      <c r="V880" s="40"/>
      <c r="W880" s="40"/>
      <c r="X880" s="40"/>
      <c r="Y880" s="40"/>
      <c r="Z880" s="40"/>
      <c r="AA880" s="40"/>
      <c r="AB880" s="40"/>
    </row>
    <row r="881">
      <c r="A881" s="805"/>
      <c r="B881" s="40"/>
      <c r="C881" s="40"/>
      <c r="D881" s="40"/>
      <c r="E881" s="40"/>
      <c r="F881" s="40"/>
      <c r="G881" s="40"/>
      <c r="H881" s="40"/>
      <c r="I881" s="40"/>
      <c r="J881" s="216"/>
      <c r="K881" s="40"/>
      <c r="L881" s="40"/>
      <c r="M881" s="40"/>
      <c r="N881" s="40"/>
      <c r="O881" s="40"/>
      <c r="P881" s="40"/>
      <c r="Q881" s="40"/>
      <c r="R881" s="40"/>
      <c r="S881" s="40"/>
      <c r="T881" s="40"/>
      <c r="U881" s="40"/>
      <c r="V881" s="40"/>
      <c r="W881" s="40"/>
      <c r="X881" s="40"/>
      <c r="Y881" s="40"/>
      <c r="Z881" s="40"/>
      <c r="AA881" s="40"/>
      <c r="AB881" s="40"/>
    </row>
    <row r="882">
      <c r="A882" s="805"/>
      <c r="B882" s="40"/>
      <c r="C882" s="40"/>
      <c r="D882" s="40"/>
      <c r="E882" s="40"/>
      <c r="F882" s="40"/>
      <c r="G882" s="40"/>
      <c r="H882" s="40"/>
      <c r="I882" s="40"/>
      <c r="J882" s="216"/>
      <c r="K882" s="40"/>
      <c r="L882" s="40"/>
      <c r="M882" s="40"/>
      <c r="N882" s="40"/>
      <c r="O882" s="40"/>
      <c r="P882" s="40"/>
      <c r="Q882" s="40"/>
      <c r="R882" s="40"/>
      <c r="S882" s="40"/>
      <c r="T882" s="40"/>
      <c r="U882" s="40"/>
      <c r="V882" s="40"/>
      <c r="W882" s="40"/>
      <c r="X882" s="40"/>
      <c r="Y882" s="40"/>
      <c r="Z882" s="40"/>
      <c r="AA882" s="40"/>
      <c r="AB882" s="40"/>
    </row>
    <row r="883">
      <c r="A883" s="805"/>
      <c r="B883" s="40"/>
      <c r="C883" s="40"/>
      <c r="D883" s="40"/>
      <c r="E883" s="40"/>
      <c r="F883" s="40"/>
      <c r="G883" s="40"/>
      <c r="H883" s="40"/>
      <c r="I883" s="40"/>
      <c r="J883" s="216"/>
      <c r="K883" s="40"/>
      <c r="L883" s="40"/>
      <c r="M883" s="40"/>
      <c r="N883" s="40"/>
      <c r="O883" s="40"/>
      <c r="P883" s="40"/>
      <c r="Q883" s="40"/>
      <c r="R883" s="40"/>
      <c r="S883" s="40"/>
      <c r="T883" s="40"/>
      <c r="U883" s="40"/>
      <c r="V883" s="40"/>
      <c r="W883" s="40"/>
      <c r="X883" s="40"/>
      <c r="Y883" s="40"/>
      <c r="Z883" s="40"/>
      <c r="AA883" s="40"/>
      <c r="AB883" s="40"/>
    </row>
    <row r="884">
      <c r="A884" s="805"/>
      <c r="B884" s="40"/>
      <c r="C884" s="40"/>
      <c r="D884" s="40"/>
      <c r="E884" s="40"/>
      <c r="F884" s="40"/>
      <c r="G884" s="40"/>
      <c r="H884" s="40"/>
      <c r="I884" s="40"/>
      <c r="J884" s="216"/>
      <c r="K884" s="40"/>
      <c r="L884" s="40"/>
      <c r="M884" s="40"/>
      <c r="N884" s="40"/>
      <c r="O884" s="40"/>
      <c r="P884" s="40"/>
      <c r="Q884" s="40"/>
      <c r="R884" s="40"/>
      <c r="S884" s="40"/>
      <c r="T884" s="40"/>
      <c r="U884" s="40"/>
      <c r="V884" s="40"/>
      <c r="W884" s="40"/>
      <c r="X884" s="40"/>
      <c r="Y884" s="40"/>
      <c r="Z884" s="40"/>
      <c r="AA884" s="40"/>
      <c r="AB884" s="40"/>
    </row>
    <row r="885">
      <c r="A885" s="805"/>
      <c r="B885" s="40"/>
      <c r="C885" s="40"/>
      <c r="D885" s="40"/>
      <c r="E885" s="40"/>
      <c r="F885" s="40"/>
      <c r="G885" s="40"/>
      <c r="H885" s="40"/>
      <c r="I885" s="40"/>
      <c r="J885" s="216"/>
      <c r="K885" s="40"/>
      <c r="L885" s="40"/>
      <c r="M885" s="40"/>
      <c r="N885" s="40"/>
      <c r="O885" s="40"/>
      <c r="P885" s="40"/>
      <c r="Q885" s="40"/>
      <c r="R885" s="40"/>
      <c r="S885" s="40"/>
      <c r="T885" s="40"/>
      <c r="U885" s="40"/>
      <c r="V885" s="40"/>
      <c r="W885" s="40"/>
      <c r="X885" s="40"/>
      <c r="Y885" s="40"/>
      <c r="Z885" s="40"/>
      <c r="AA885" s="40"/>
      <c r="AB885" s="40"/>
    </row>
    <row r="886">
      <c r="A886" s="805"/>
      <c r="B886" s="40"/>
      <c r="C886" s="40"/>
      <c r="D886" s="40"/>
      <c r="E886" s="40"/>
      <c r="F886" s="40"/>
      <c r="G886" s="40"/>
      <c r="H886" s="40"/>
      <c r="I886" s="40"/>
      <c r="J886" s="216"/>
      <c r="K886" s="40"/>
      <c r="L886" s="40"/>
      <c r="M886" s="40"/>
      <c r="N886" s="40"/>
      <c r="O886" s="40"/>
      <c r="P886" s="40"/>
      <c r="Q886" s="40"/>
      <c r="R886" s="40"/>
      <c r="S886" s="40"/>
      <c r="T886" s="40"/>
      <c r="U886" s="40"/>
      <c r="V886" s="40"/>
      <c r="W886" s="40"/>
      <c r="X886" s="40"/>
      <c r="Y886" s="40"/>
      <c r="Z886" s="40"/>
      <c r="AA886" s="40"/>
      <c r="AB886" s="40"/>
    </row>
    <row r="887">
      <c r="A887" s="805"/>
      <c r="B887" s="40"/>
      <c r="C887" s="40"/>
      <c r="D887" s="40"/>
      <c r="E887" s="40"/>
      <c r="F887" s="40"/>
      <c r="G887" s="40"/>
      <c r="H887" s="40"/>
      <c r="I887" s="40"/>
      <c r="J887" s="216"/>
      <c r="K887" s="40"/>
      <c r="L887" s="40"/>
      <c r="M887" s="40"/>
      <c r="N887" s="40"/>
      <c r="O887" s="40"/>
      <c r="P887" s="40"/>
      <c r="Q887" s="40"/>
      <c r="R887" s="40"/>
      <c r="S887" s="40"/>
      <c r="T887" s="40"/>
      <c r="U887" s="40"/>
      <c r="V887" s="40"/>
      <c r="W887" s="40"/>
      <c r="X887" s="40"/>
      <c r="Y887" s="40"/>
      <c r="Z887" s="40"/>
      <c r="AA887" s="40"/>
      <c r="AB887" s="40"/>
    </row>
    <row r="888">
      <c r="A888" s="805"/>
      <c r="B888" s="40"/>
      <c r="C888" s="40"/>
      <c r="D888" s="40"/>
      <c r="E888" s="40"/>
      <c r="F888" s="40"/>
      <c r="G888" s="40"/>
      <c r="H888" s="40"/>
      <c r="I888" s="40"/>
      <c r="J888" s="216"/>
      <c r="K888" s="40"/>
      <c r="L888" s="40"/>
      <c r="M888" s="40"/>
      <c r="N888" s="40"/>
      <c r="O888" s="40"/>
      <c r="P888" s="40"/>
      <c r="Q888" s="40"/>
      <c r="R888" s="40"/>
      <c r="S888" s="40"/>
      <c r="T888" s="40"/>
      <c r="U888" s="40"/>
      <c r="V888" s="40"/>
      <c r="W888" s="40"/>
      <c r="X888" s="40"/>
      <c r="Y888" s="40"/>
      <c r="Z888" s="40"/>
      <c r="AA888" s="40"/>
      <c r="AB888" s="40"/>
    </row>
    <row r="889">
      <c r="A889" s="805"/>
      <c r="B889" s="40"/>
      <c r="C889" s="40"/>
      <c r="D889" s="40"/>
      <c r="E889" s="40"/>
      <c r="F889" s="40"/>
      <c r="G889" s="40"/>
      <c r="H889" s="40"/>
      <c r="I889" s="40"/>
      <c r="J889" s="216"/>
      <c r="K889" s="40"/>
      <c r="L889" s="40"/>
      <c r="M889" s="40"/>
      <c r="N889" s="40"/>
      <c r="O889" s="40"/>
      <c r="P889" s="40"/>
      <c r="Q889" s="40"/>
      <c r="R889" s="40"/>
      <c r="S889" s="40"/>
      <c r="T889" s="40"/>
      <c r="U889" s="40"/>
      <c r="V889" s="40"/>
      <c r="W889" s="40"/>
      <c r="X889" s="40"/>
      <c r="Y889" s="40"/>
      <c r="Z889" s="40"/>
      <c r="AA889" s="40"/>
      <c r="AB889" s="40"/>
    </row>
    <row r="890">
      <c r="A890" s="805"/>
      <c r="B890" s="40"/>
      <c r="C890" s="40"/>
      <c r="D890" s="40"/>
      <c r="E890" s="40"/>
      <c r="F890" s="40"/>
      <c r="G890" s="40"/>
      <c r="H890" s="40"/>
      <c r="I890" s="40"/>
      <c r="J890" s="216"/>
      <c r="K890" s="40"/>
      <c r="L890" s="40"/>
      <c r="M890" s="40"/>
      <c r="N890" s="40"/>
      <c r="O890" s="40"/>
      <c r="P890" s="40"/>
      <c r="Q890" s="40"/>
      <c r="R890" s="40"/>
      <c r="S890" s="40"/>
      <c r="T890" s="40"/>
      <c r="U890" s="40"/>
      <c r="V890" s="40"/>
      <c r="W890" s="40"/>
      <c r="X890" s="40"/>
      <c r="Y890" s="40"/>
      <c r="Z890" s="40"/>
      <c r="AA890" s="40"/>
      <c r="AB890" s="40"/>
    </row>
    <row r="891">
      <c r="A891" s="805"/>
      <c r="B891" s="40"/>
      <c r="C891" s="40"/>
      <c r="D891" s="40"/>
      <c r="E891" s="40"/>
      <c r="F891" s="40"/>
      <c r="G891" s="40"/>
      <c r="H891" s="40"/>
      <c r="I891" s="40"/>
      <c r="J891" s="216"/>
      <c r="K891" s="40"/>
      <c r="L891" s="40"/>
      <c r="M891" s="40"/>
      <c r="N891" s="40"/>
      <c r="O891" s="40"/>
      <c r="P891" s="40"/>
      <c r="Q891" s="40"/>
      <c r="R891" s="40"/>
      <c r="S891" s="40"/>
      <c r="T891" s="40"/>
      <c r="U891" s="40"/>
      <c r="V891" s="40"/>
      <c r="W891" s="40"/>
      <c r="X891" s="40"/>
      <c r="Y891" s="40"/>
      <c r="Z891" s="40"/>
      <c r="AA891" s="40"/>
      <c r="AB891" s="40"/>
    </row>
    <row r="892">
      <c r="A892" s="805"/>
      <c r="B892" s="40"/>
      <c r="C892" s="40"/>
      <c r="D892" s="40"/>
      <c r="E892" s="40"/>
      <c r="F892" s="40"/>
      <c r="G892" s="40"/>
      <c r="H892" s="40"/>
      <c r="I892" s="40"/>
      <c r="J892" s="216"/>
      <c r="K892" s="40"/>
      <c r="L892" s="40"/>
      <c r="M892" s="40"/>
      <c r="N892" s="40"/>
      <c r="O892" s="40"/>
      <c r="P892" s="40"/>
      <c r="Q892" s="40"/>
      <c r="R892" s="40"/>
      <c r="S892" s="40"/>
      <c r="T892" s="40"/>
      <c r="U892" s="40"/>
      <c r="V892" s="40"/>
      <c r="W892" s="40"/>
      <c r="X892" s="40"/>
      <c r="Y892" s="40"/>
      <c r="Z892" s="40"/>
      <c r="AA892" s="40"/>
      <c r="AB892" s="40"/>
    </row>
    <row r="893">
      <c r="A893" s="805"/>
      <c r="B893" s="40"/>
      <c r="C893" s="40"/>
      <c r="D893" s="40"/>
      <c r="E893" s="40"/>
      <c r="F893" s="40"/>
      <c r="G893" s="40"/>
      <c r="H893" s="40"/>
      <c r="I893" s="40"/>
      <c r="J893" s="216"/>
      <c r="K893" s="40"/>
      <c r="L893" s="40"/>
      <c r="M893" s="40"/>
      <c r="N893" s="40"/>
      <c r="O893" s="40"/>
      <c r="P893" s="40"/>
      <c r="Q893" s="40"/>
      <c r="R893" s="40"/>
      <c r="S893" s="40"/>
      <c r="T893" s="40"/>
      <c r="U893" s="40"/>
      <c r="V893" s="40"/>
      <c r="W893" s="40"/>
      <c r="X893" s="40"/>
      <c r="Y893" s="40"/>
      <c r="Z893" s="40"/>
      <c r="AA893" s="40"/>
      <c r="AB893" s="40"/>
    </row>
    <row r="894">
      <c r="A894" s="805"/>
      <c r="B894" s="40"/>
      <c r="C894" s="40"/>
      <c r="D894" s="40"/>
      <c r="E894" s="40"/>
      <c r="F894" s="40"/>
      <c r="G894" s="40"/>
      <c r="H894" s="40"/>
      <c r="I894" s="40"/>
      <c r="J894" s="216"/>
      <c r="K894" s="40"/>
      <c r="L894" s="40"/>
      <c r="M894" s="40"/>
      <c r="N894" s="40"/>
      <c r="O894" s="40"/>
      <c r="P894" s="40"/>
      <c r="Q894" s="40"/>
      <c r="R894" s="40"/>
      <c r="S894" s="40"/>
      <c r="T894" s="40"/>
      <c r="U894" s="40"/>
      <c r="V894" s="40"/>
      <c r="W894" s="40"/>
      <c r="X894" s="40"/>
      <c r="Y894" s="40"/>
      <c r="Z894" s="40"/>
      <c r="AA894" s="40"/>
      <c r="AB894" s="40"/>
    </row>
    <row r="895">
      <c r="A895" s="805"/>
      <c r="B895" s="40"/>
      <c r="C895" s="40"/>
      <c r="D895" s="40"/>
      <c r="E895" s="40"/>
      <c r="F895" s="40"/>
      <c r="G895" s="40"/>
      <c r="H895" s="40"/>
      <c r="I895" s="40"/>
      <c r="J895" s="216"/>
      <c r="K895" s="40"/>
      <c r="L895" s="40"/>
      <c r="M895" s="40"/>
      <c r="N895" s="40"/>
      <c r="O895" s="40"/>
      <c r="P895" s="40"/>
      <c r="Q895" s="40"/>
      <c r="R895" s="40"/>
      <c r="S895" s="40"/>
      <c r="T895" s="40"/>
      <c r="U895" s="40"/>
      <c r="V895" s="40"/>
      <c r="W895" s="40"/>
      <c r="X895" s="40"/>
      <c r="Y895" s="40"/>
      <c r="Z895" s="40"/>
      <c r="AA895" s="40"/>
      <c r="AB895" s="40"/>
    </row>
    <row r="896">
      <c r="A896" s="805"/>
      <c r="B896" s="40"/>
      <c r="C896" s="40"/>
      <c r="D896" s="40"/>
      <c r="E896" s="40"/>
      <c r="F896" s="40"/>
      <c r="G896" s="40"/>
      <c r="H896" s="40"/>
      <c r="I896" s="40"/>
      <c r="J896" s="216"/>
      <c r="K896" s="40"/>
      <c r="L896" s="40"/>
      <c r="M896" s="40"/>
      <c r="N896" s="40"/>
      <c r="O896" s="40"/>
      <c r="P896" s="40"/>
      <c r="Q896" s="40"/>
      <c r="R896" s="40"/>
      <c r="S896" s="40"/>
      <c r="T896" s="40"/>
      <c r="U896" s="40"/>
      <c r="V896" s="40"/>
      <c r="W896" s="40"/>
      <c r="X896" s="40"/>
      <c r="Y896" s="40"/>
      <c r="Z896" s="40"/>
      <c r="AA896" s="40"/>
      <c r="AB896" s="40"/>
    </row>
    <row r="897">
      <c r="A897" s="805"/>
      <c r="B897" s="40"/>
      <c r="C897" s="40"/>
      <c r="D897" s="40"/>
      <c r="E897" s="40"/>
      <c r="F897" s="40"/>
      <c r="G897" s="40"/>
      <c r="H897" s="40"/>
      <c r="I897" s="40"/>
      <c r="J897" s="216"/>
      <c r="K897" s="40"/>
      <c r="L897" s="40"/>
      <c r="M897" s="40"/>
      <c r="N897" s="40"/>
      <c r="O897" s="40"/>
      <c r="P897" s="40"/>
      <c r="Q897" s="40"/>
      <c r="R897" s="40"/>
      <c r="S897" s="40"/>
      <c r="T897" s="40"/>
      <c r="U897" s="40"/>
      <c r="V897" s="40"/>
      <c r="W897" s="40"/>
      <c r="X897" s="40"/>
      <c r="Y897" s="40"/>
      <c r="Z897" s="40"/>
      <c r="AA897" s="40"/>
      <c r="AB897" s="40"/>
    </row>
    <row r="898">
      <c r="A898" s="805"/>
      <c r="B898" s="40"/>
      <c r="C898" s="40"/>
      <c r="D898" s="40"/>
      <c r="E898" s="40"/>
      <c r="F898" s="40"/>
      <c r="G898" s="40"/>
      <c r="H898" s="40"/>
      <c r="I898" s="40"/>
      <c r="J898" s="216"/>
      <c r="K898" s="40"/>
      <c r="L898" s="40"/>
      <c r="M898" s="40"/>
      <c r="N898" s="40"/>
      <c r="O898" s="40"/>
      <c r="P898" s="40"/>
      <c r="Q898" s="40"/>
      <c r="R898" s="40"/>
      <c r="S898" s="40"/>
      <c r="T898" s="40"/>
      <c r="U898" s="40"/>
      <c r="V898" s="40"/>
      <c r="W898" s="40"/>
      <c r="X898" s="40"/>
      <c r="Y898" s="40"/>
      <c r="Z898" s="40"/>
      <c r="AA898" s="40"/>
      <c r="AB898" s="40"/>
    </row>
    <row r="899">
      <c r="A899" s="805"/>
      <c r="B899" s="40"/>
      <c r="C899" s="40"/>
      <c r="D899" s="40"/>
      <c r="E899" s="40"/>
      <c r="F899" s="40"/>
      <c r="G899" s="40"/>
      <c r="H899" s="40"/>
      <c r="I899" s="40"/>
      <c r="J899" s="216"/>
      <c r="K899" s="40"/>
      <c r="L899" s="40"/>
      <c r="M899" s="40"/>
      <c r="N899" s="40"/>
      <c r="O899" s="40"/>
      <c r="P899" s="40"/>
      <c r="Q899" s="40"/>
      <c r="R899" s="40"/>
      <c r="S899" s="40"/>
      <c r="T899" s="40"/>
      <c r="U899" s="40"/>
      <c r="V899" s="40"/>
      <c r="W899" s="40"/>
      <c r="X899" s="40"/>
      <c r="Y899" s="40"/>
      <c r="Z899" s="40"/>
      <c r="AA899" s="40"/>
      <c r="AB899" s="40"/>
    </row>
    <row r="900">
      <c r="A900" s="805"/>
      <c r="B900" s="40"/>
      <c r="C900" s="40"/>
      <c r="D900" s="40"/>
      <c r="E900" s="40"/>
      <c r="F900" s="40"/>
      <c r="G900" s="40"/>
      <c r="H900" s="40"/>
      <c r="I900" s="40"/>
      <c r="J900" s="216"/>
      <c r="K900" s="40"/>
      <c r="L900" s="40"/>
      <c r="M900" s="40"/>
      <c r="N900" s="40"/>
      <c r="O900" s="40"/>
      <c r="P900" s="40"/>
      <c r="Q900" s="40"/>
      <c r="R900" s="40"/>
      <c r="S900" s="40"/>
      <c r="T900" s="40"/>
      <c r="U900" s="40"/>
      <c r="V900" s="40"/>
      <c r="W900" s="40"/>
      <c r="X900" s="40"/>
      <c r="Y900" s="40"/>
      <c r="Z900" s="40"/>
      <c r="AA900" s="40"/>
      <c r="AB900" s="40"/>
    </row>
    <row r="901">
      <c r="A901" s="805"/>
      <c r="B901" s="40"/>
      <c r="C901" s="40"/>
      <c r="D901" s="40"/>
      <c r="E901" s="40"/>
      <c r="F901" s="40"/>
      <c r="G901" s="40"/>
      <c r="H901" s="40"/>
      <c r="I901" s="40"/>
      <c r="J901" s="216"/>
      <c r="K901" s="40"/>
      <c r="L901" s="40"/>
      <c r="M901" s="40"/>
      <c r="N901" s="40"/>
      <c r="O901" s="40"/>
      <c r="P901" s="40"/>
      <c r="Q901" s="40"/>
      <c r="R901" s="40"/>
      <c r="S901" s="40"/>
      <c r="T901" s="40"/>
      <c r="U901" s="40"/>
      <c r="V901" s="40"/>
      <c r="W901" s="40"/>
      <c r="X901" s="40"/>
      <c r="Y901" s="40"/>
      <c r="Z901" s="40"/>
      <c r="AA901" s="40"/>
      <c r="AB901" s="40"/>
    </row>
    <row r="902">
      <c r="A902" s="805"/>
      <c r="B902" s="40"/>
      <c r="C902" s="40"/>
      <c r="D902" s="40"/>
      <c r="E902" s="40"/>
      <c r="F902" s="40"/>
      <c r="G902" s="40"/>
      <c r="H902" s="40"/>
      <c r="I902" s="40"/>
      <c r="J902" s="216"/>
      <c r="K902" s="40"/>
      <c r="L902" s="40"/>
      <c r="M902" s="40"/>
      <c r="N902" s="40"/>
      <c r="O902" s="40"/>
      <c r="P902" s="40"/>
      <c r="Q902" s="40"/>
      <c r="R902" s="40"/>
      <c r="S902" s="40"/>
      <c r="T902" s="40"/>
      <c r="U902" s="40"/>
      <c r="V902" s="40"/>
      <c r="W902" s="40"/>
      <c r="X902" s="40"/>
      <c r="Y902" s="40"/>
      <c r="Z902" s="40"/>
      <c r="AA902" s="40"/>
      <c r="AB902" s="40"/>
    </row>
    <row r="903">
      <c r="A903" s="805"/>
      <c r="B903" s="40"/>
      <c r="C903" s="40"/>
      <c r="D903" s="40"/>
      <c r="E903" s="40"/>
      <c r="F903" s="40"/>
      <c r="G903" s="40"/>
      <c r="H903" s="40"/>
      <c r="I903" s="40"/>
      <c r="J903" s="216"/>
      <c r="K903" s="40"/>
      <c r="L903" s="40"/>
      <c r="M903" s="40"/>
      <c r="N903" s="40"/>
      <c r="O903" s="40"/>
      <c r="P903" s="40"/>
      <c r="Q903" s="40"/>
      <c r="R903" s="40"/>
      <c r="S903" s="40"/>
      <c r="T903" s="40"/>
      <c r="U903" s="40"/>
      <c r="V903" s="40"/>
      <c r="W903" s="40"/>
      <c r="X903" s="40"/>
      <c r="Y903" s="40"/>
      <c r="Z903" s="40"/>
      <c r="AA903" s="40"/>
      <c r="AB903" s="40"/>
    </row>
    <row r="904">
      <c r="A904" s="805"/>
      <c r="B904" s="40"/>
      <c r="C904" s="40"/>
      <c r="D904" s="40"/>
      <c r="E904" s="40"/>
      <c r="F904" s="40"/>
      <c r="G904" s="40"/>
      <c r="H904" s="40"/>
      <c r="I904" s="40"/>
      <c r="J904" s="216"/>
      <c r="K904" s="40"/>
      <c r="L904" s="40"/>
      <c r="M904" s="40"/>
      <c r="N904" s="40"/>
      <c r="O904" s="40"/>
      <c r="P904" s="40"/>
      <c r="Q904" s="40"/>
      <c r="R904" s="40"/>
      <c r="S904" s="40"/>
      <c r="T904" s="40"/>
      <c r="U904" s="40"/>
      <c r="V904" s="40"/>
      <c r="W904" s="40"/>
      <c r="X904" s="40"/>
      <c r="Y904" s="40"/>
      <c r="Z904" s="40"/>
      <c r="AA904" s="40"/>
      <c r="AB904" s="40"/>
    </row>
    <row r="905">
      <c r="A905" s="805"/>
      <c r="B905" s="40"/>
      <c r="C905" s="40"/>
      <c r="D905" s="40"/>
      <c r="E905" s="40"/>
      <c r="F905" s="40"/>
      <c r="G905" s="40"/>
      <c r="H905" s="40"/>
      <c r="I905" s="40"/>
      <c r="J905" s="216"/>
      <c r="K905" s="40"/>
      <c r="L905" s="40"/>
      <c r="M905" s="40"/>
      <c r="N905" s="40"/>
      <c r="O905" s="40"/>
      <c r="P905" s="40"/>
      <c r="Q905" s="40"/>
      <c r="R905" s="40"/>
      <c r="S905" s="40"/>
      <c r="T905" s="40"/>
      <c r="U905" s="40"/>
      <c r="V905" s="40"/>
      <c r="W905" s="40"/>
      <c r="X905" s="40"/>
      <c r="Y905" s="40"/>
      <c r="Z905" s="40"/>
      <c r="AA905" s="40"/>
      <c r="AB905" s="40"/>
    </row>
    <row r="906">
      <c r="A906" s="805"/>
      <c r="B906" s="40"/>
      <c r="C906" s="40"/>
      <c r="D906" s="40"/>
      <c r="E906" s="40"/>
      <c r="F906" s="40"/>
      <c r="G906" s="40"/>
      <c r="H906" s="40"/>
      <c r="I906" s="40"/>
      <c r="J906" s="216"/>
      <c r="K906" s="40"/>
      <c r="L906" s="40"/>
      <c r="M906" s="40"/>
      <c r="N906" s="40"/>
      <c r="O906" s="40"/>
      <c r="P906" s="40"/>
      <c r="Q906" s="40"/>
      <c r="R906" s="40"/>
      <c r="S906" s="40"/>
      <c r="T906" s="40"/>
      <c r="U906" s="40"/>
      <c r="V906" s="40"/>
      <c r="W906" s="40"/>
      <c r="X906" s="40"/>
      <c r="Y906" s="40"/>
      <c r="Z906" s="40"/>
      <c r="AA906" s="40"/>
      <c r="AB906" s="40"/>
    </row>
    <row r="907">
      <c r="A907" s="805"/>
      <c r="B907" s="40"/>
      <c r="C907" s="40"/>
      <c r="D907" s="40"/>
      <c r="E907" s="40"/>
      <c r="F907" s="40"/>
      <c r="G907" s="40"/>
      <c r="H907" s="40"/>
      <c r="I907" s="40"/>
      <c r="J907" s="216"/>
      <c r="K907" s="40"/>
      <c r="L907" s="40"/>
      <c r="M907" s="40"/>
      <c r="N907" s="40"/>
      <c r="O907" s="40"/>
      <c r="P907" s="40"/>
      <c r="Q907" s="40"/>
      <c r="R907" s="40"/>
      <c r="S907" s="40"/>
      <c r="T907" s="40"/>
      <c r="U907" s="40"/>
      <c r="V907" s="40"/>
      <c r="W907" s="40"/>
      <c r="X907" s="40"/>
      <c r="Y907" s="40"/>
      <c r="Z907" s="40"/>
      <c r="AA907" s="40"/>
      <c r="AB907" s="40"/>
    </row>
    <row r="908">
      <c r="A908" s="805"/>
      <c r="B908" s="40"/>
      <c r="C908" s="40"/>
      <c r="D908" s="40"/>
      <c r="E908" s="40"/>
      <c r="F908" s="40"/>
      <c r="G908" s="40"/>
      <c r="H908" s="40"/>
      <c r="I908" s="40"/>
      <c r="J908" s="216"/>
      <c r="K908" s="40"/>
      <c r="L908" s="40"/>
      <c r="M908" s="40"/>
      <c r="N908" s="40"/>
      <c r="O908" s="40"/>
      <c r="P908" s="40"/>
      <c r="Q908" s="40"/>
      <c r="R908" s="40"/>
      <c r="S908" s="40"/>
      <c r="T908" s="40"/>
      <c r="U908" s="40"/>
      <c r="V908" s="40"/>
      <c r="W908" s="40"/>
      <c r="X908" s="40"/>
      <c r="Y908" s="40"/>
      <c r="Z908" s="40"/>
      <c r="AA908" s="40"/>
      <c r="AB908" s="40"/>
    </row>
    <row r="909">
      <c r="A909" s="805"/>
      <c r="B909" s="40"/>
      <c r="C909" s="40"/>
      <c r="D909" s="40"/>
      <c r="E909" s="40"/>
      <c r="F909" s="40"/>
      <c r="G909" s="40"/>
      <c r="H909" s="40"/>
      <c r="I909" s="40"/>
      <c r="J909" s="216"/>
      <c r="K909" s="40"/>
      <c r="L909" s="40"/>
      <c r="M909" s="40"/>
      <c r="N909" s="40"/>
      <c r="O909" s="40"/>
      <c r="P909" s="40"/>
      <c r="Q909" s="40"/>
      <c r="R909" s="40"/>
      <c r="S909" s="40"/>
      <c r="T909" s="40"/>
      <c r="U909" s="40"/>
      <c r="V909" s="40"/>
      <c r="W909" s="40"/>
      <c r="X909" s="40"/>
      <c r="Y909" s="40"/>
      <c r="Z909" s="40"/>
      <c r="AA909" s="40"/>
      <c r="AB909" s="40"/>
    </row>
    <row r="910">
      <c r="A910" s="805"/>
      <c r="B910" s="40"/>
      <c r="C910" s="40"/>
      <c r="D910" s="40"/>
      <c r="E910" s="40"/>
      <c r="F910" s="40"/>
      <c r="G910" s="40"/>
      <c r="H910" s="40"/>
      <c r="I910" s="40"/>
      <c r="J910" s="216"/>
      <c r="K910" s="40"/>
      <c r="L910" s="40"/>
      <c r="M910" s="40"/>
      <c r="N910" s="40"/>
      <c r="O910" s="40"/>
      <c r="P910" s="40"/>
      <c r="Q910" s="40"/>
      <c r="R910" s="40"/>
      <c r="S910" s="40"/>
      <c r="T910" s="40"/>
      <c r="U910" s="40"/>
      <c r="V910" s="40"/>
      <c r="W910" s="40"/>
      <c r="X910" s="40"/>
      <c r="Y910" s="40"/>
      <c r="Z910" s="40"/>
      <c r="AA910" s="40"/>
      <c r="AB910" s="40"/>
    </row>
    <row r="911">
      <c r="A911" s="805"/>
      <c r="B911" s="40"/>
      <c r="C911" s="40"/>
      <c r="D911" s="40"/>
      <c r="E911" s="40"/>
      <c r="F911" s="40"/>
      <c r="G911" s="40"/>
      <c r="H911" s="40"/>
      <c r="I911" s="40"/>
      <c r="J911" s="216"/>
      <c r="K911" s="40"/>
      <c r="L911" s="40"/>
      <c r="M911" s="40"/>
      <c r="N911" s="40"/>
      <c r="O911" s="40"/>
      <c r="P911" s="40"/>
      <c r="Q911" s="40"/>
      <c r="R911" s="40"/>
      <c r="S911" s="40"/>
      <c r="T911" s="40"/>
      <c r="U911" s="40"/>
      <c r="V911" s="40"/>
      <c r="W911" s="40"/>
      <c r="X911" s="40"/>
      <c r="Y911" s="40"/>
      <c r="Z911" s="40"/>
      <c r="AA911" s="40"/>
      <c r="AB911" s="40"/>
    </row>
    <row r="912">
      <c r="A912" s="805"/>
      <c r="B912" s="40"/>
      <c r="C912" s="40"/>
      <c r="D912" s="40"/>
      <c r="E912" s="40"/>
      <c r="F912" s="40"/>
      <c r="G912" s="40"/>
      <c r="H912" s="40"/>
      <c r="I912" s="40"/>
      <c r="J912" s="216"/>
      <c r="K912" s="40"/>
      <c r="L912" s="40"/>
      <c r="M912" s="40"/>
      <c r="N912" s="40"/>
      <c r="O912" s="40"/>
      <c r="P912" s="40"/>
      <c r="Q912" s="40"/>
      <c r="R912" s="40"/>
      <c r="S912" s="40"/>
      <c r="T912" s="40"/>
      <c r="U912" s="40"/>
      <c r="V912" s="40"/>
      <c r="W912" s="40"/>
      <c r="X912" s="40"/>
      <c r="Y912" s="40"/>
      <c r="Z912" s="40"/>
      <c r="AA912" s="40"/>
      <c r="AB912" s="40"/>
    </row>
    <row r="913">
      <c r="A913" s="805"/>
      <c r="B913" s="40"/>
      <c r="C913" s="40"/>
      <c r="D913" s="40"/>
      <c r="E913" s="40"/>
      <c r="F913" s="40"/>
      <c r="G913" s="40"/>
      <c r="H913" s="40"/>
      <c r="I913" s="40"/>
      <c r="J913" s="216"/>
      <c r="K913" s="40"/>
      <c r="L913" s="40"/>
      <c r="M913" s="40"/>
      <c r="N913" s="40"/>
      <c r="O913" s="40"/>
      <c r="P913" s="40"/>
      <c r="Q913" s="40"/>
      <c r="R913" s="40"/>
      <c r="S913" s="40"/>
      <c r="T913" s="40"/>
      <c r="U913" s="40"/>
      <c r="V913" s="40"/>
      <c r="W913" s="40"/>
      <c r="X913" s="40"/>
      <c r="Y913" s="40"/>
      <c r="Z913" s="40"/>
      <c r="AA913" s="40"/>
      <c r="AB913" s="40"/>
    </row>
    <row r="914">
      <c r="A914" s="805"/>
      <c r="B914" s="40"/>
      <c r="C914" s="40"/>
      <c r="D914" s="40"/>
      <c r="E914" s="40"/>
      <c r="F914" s="40"/>
      <c r="G914" s="40"/>
      <c r="H914" s="40"/>
      <c r="I914" s="40"/>
      <c r="J914" s="216"/>
      <c r="K914" s="40"/>
      <c r="L914" s="40"/>
      <c r="M914" s="40"/>
      <c r="N914" s="40"/>
      <c r="O914" s="40"/>
      <c r="P914" s="40"/>
      <c r="Q914" s="40"/>
      <c r="R914" s="40"/>
      <c r="S914" s="40"/>
      <c r="T914" s="40"/>
      <c r="U914" s="40"/>
      <c r="V914" s="40"/>
      <c r="W914" s="40"/>
      <c r="X914" s="40"/>
      <c r="Y914" s="40"/>
      <c r="Z914" s="40"/>
      <c r="AA914" s="40"/>
      <c r="AB914" s="40"/>
    </row>
    <row r="915">
      <c r="A915" s="805"/>
      <c r="B915" s="40"/>
      <c r="C915" s="40"/>
      <c r="D915" s="40"/>
      <c r="E915" s="40"/>
      <c r="F915" s="40"/>
      <c r="G915" s="40"/>
      <c r="H915" s="40"/>
      <c r="I915" s="40"/>
      <c r="J915" s="216"/>
      <c r="K915" s="40"/>
      <c r="L915" s="40"/>
      <c r="M915" s="40"/>
      <c r="N915" s="40"/>
      <c r="O915" s="40"/>
      <c r="P915" s="40"/>
      <c r="Q915" s="40"/>
      <c r="R915" s="40"/>
      <c r="S915" s="40"/>
      <c r="T915" s="40"/>
      <c r="U915" s="40"/>
      <c r="V915" s="40"/>
      <c r="W915" s="40"/>
      <c r="X915" s="40"/>
      <c r="Y915" s="40"/>
      <c r="Z915" s="40"/>
      <c r="AA915" s="40"/>
      <c r="AB915" s="40"/>
    </row>
    <row r="916">
      <c r="A916" s="805"/>
      <c r="B916" s="40"/>
      <c r="C916" s="40"/>
      <c r="D916" s="40"/>
      <c r="E916" s="40"/>
      <c r="F916" s="40"/>
      <c r="G916" s="40"/>
      <c r="H916" s="40"/>
      <c r="I916" s="40"/>
      <c r="J916" s="216"/>
      <c r="K916" s="40"/>
      <c r="L916" s="40"/>
      <c r="M916" s="40"/>
      <c r="N916" s="40"/>
      <c r="O916" s="40"/>
      <c r="P916" s="40"/>
      <c r="Q916" s="40"/>
      <c r="R916" s="40"/>
      <c r="S916" s="40"/>
      <c r="T916" s="40"/>
      <c r="U916" s="40"/>
      <c r="V916" s="40"/>
      <c r="W916" s="40"/>
      <c r="X916" s="40"/>
      <c r="Y916" s="40"/>
      <c r="Z916" s="40"/>
      <c r="AA916" s="40"/>
      <c r="AB916" s="40"/>
    </row>
    <row r="917">
      <c r="A917" s="805"/>
      <c r="B917" s="40"/>
      <c r="C917" s="40"/>
      <c r="D917" s="40"/>
      <c r="E917" s="40"/>
      <c r="F917" s="40"/>
      <c r="G917" s="40"/>
      <c r="H917" s="40"/>
      <c r="I917" s="40"/>
      <c r="J917" s="216"/>
      <c r="K917" s="40"/>
      <c r="L917" s="40"/>
      <c r="M917" s="40"/>
      <c r="N917" s="40"/>
      <c r="O917" s="40"/>
      <c r="P917" s="40"/>
      <c r="Q917" s="40"/>
      <c r="R917" s="40"/>
      <c r="S917" s="40"/>
      <c r="T917" s="40"/>
      <c r="U917" s="40"/>
      <c r="V917" s="40"/>
      <c r="W917" s="40"/>
      <c r="X917" s="40"/>
      <c r="Y917" s="40"/>
      <c r="Z917" s="40"/>
      <c r="AA917" s="40"/>
      <c r="AB917" s="40"/>
    </row>
    <row r="918">
      <c r="A918" s="805"/>
      <c r="B918" s="40"/>
      <c r="C918" s="40"/>
      <c r="D918" s="40"/>
      <c r="E918" s="40"/>
      <c r="F918" s="40"/>
      <c r="G918" s="40"/>
      <c r="H918" s="40"/>
      <c r="I918" s="40"/>
      <c r="J918" s="216"/>
      <c r="K918" s="40"/>
      <c r="L918" s="40"/>
      <c r="M918" s="40"/>
      <c r="N918" s="40"/>
      <c r="O918" s="40"/>
      <c r="P918" s="40"/>
      <c r="Q918" s="40"/>
      <c r="R918" s="40"/>
      <c r="S918" s="40"/>
      <c r="T918" s="40"/>
      <c r="U918" s="40"/>
      <c r="V918" s="40"/>
      <c r="W918" s="40"/>
      <c r="X918" s="40"/>
      <c r="Y918" s="40"/>
      <c r="Z918" s="40"/>
      <c r="AA918" s="40"/>
      <c r="AB918" s="40"/>
    </row>
    <row r="919">
      <c r="A919" s="805"/>
      <c r="B919" s="40"/>
      <c r="C919" s="40"/>
      <c r="D919" s="40"/>
      <c r="E919" s="40"/>
      <c r="F919" s="40"/>
      <c r="G919" s="40"/>
      <c r="H919" s="40"/>
      <c r="I919" s="40"/>
      <c r="J919" s="216"/>
      <c r="K919" s="40"/>
      <c r="L919" s="40"/>
      <c r="M919" s="40"/>
      <c r="N919" s="40"/>
      <c r="O919" s="40"/>
      <c r="P919" s="40"/>
      <c r="Q919" s="40"/>
      <c r="R919" s="40"/>
      <c r="S919" s="40"/>
      <c r="T919" s="40"/>
      <c r="U919" s="40"/>
      <c r="V919" s="40"/>
      <c r="W919" s="40"/>
      <c r="X919" s="40"/>
      <c r="Y919" s="40"/>
      <c r="Z919" s="40"/>
      <c r="AA919" s="40"/>
      <c r="AB919" s="40"/>
    </row>
    <row r="920">
      <c r="A920" s="805"/>
      <c r="B920" s="40"/>
      <c r="C920" s="40"/>
      <c r="D920" s="40"/>
      <c r="E920" s="40"/>
      <c r="F920" s="40"/>
      <c r="G920" s="40"/>
      <c r="H920" s="40"/>
      <c r="I920" s="40"/>
      <c r="J920" s="216"/>
      <c r="K920" s="40"/>
      <c r="L920" s="40"/>
      <c r="M920" s="40"/>
      <c r="N920" s="40"/>
      <c r="O920" s="40"/>
      <c r="P920" s="40"/>
      <c r="Q920" s="40"/>
      <c r="R920" s="40"/>
      <c r="S920" s="40"/>
      <c r="T920" s="40"/>
      <c r="U920" s="40"/>
      <c r="V920" s="40"/>
      <c r="W920" s="40"/>
      <c r="X920" s="40"/>
      <c r="Y920" s="40"/>
      <c r="Z920" s="40"/>
      <c r="AA920" s="40"/>
      <c r="AB920" s="40"/>
    </row>
    <row r="921">
      <c r="A921" s="805"/>
      <c r="B921" s="40"/>
      <c r="C921" s="40"/>
      <c r="D921" s="40"/>
      <c r="E921" s="40"/>
      <c r="F921" s="40"/>
      <c r="G921" s="40"/>
      <c r="H921" s="40"/>
      <c r="I921" s="40"/>
      <c r="J921" s="216"/>
      <c r="K921" s="40"/>
      <c r="L921" s="40"/>
      <c r="M921" s="40"/>
      <c r="N921" s="40"/>
      <c r="O921" s="40"/>
      <c r="P921" s="40"/>
      <c r="Q921" s="40"/>
      <c r="R921" s="40"/>
      <c r="S921" s="40"/>
      <c r="T921" s="40"/>
      <c r="U921" s="40"/>
      <c r="V921" s="40"/>
      <c r="W921" s="40"/>
      <c r="X921" s="40"/>
      <c r="Y921" s="40"/>
      <c r="Z921" s="40"/>
      <c r="AA921" s="40"/>
      <c r="AB921" s="40"/>
    </row>
    <row r="922">
      <c r="A922" s="805"/>
      <c r="B922" s="40"/>
      <c r="C922" s="40"/>
      <c r="D922" s="40"/>
      <c r="E922" s="40"/>
      <c r="F922" s="40"/>
      <c r="G922" s="40"/>
      <c r="H922" s="40"/>
      <c r="I922" s="40"/>
      <c r="J922" s="216"/>
      <c r="K922" s="40"/>
      <c r="L922" s="40"/>
      <c r="M922" s="40"/>
      <c r="N922" s="40"/>
      <c r="O922" s="40"/>
      <c r="P922" s="40"/>
      <c r="Q922" s="40"/>
      <c r="R922" s="40"/>
      <c r="S922" s="40"/>
      <c r="T922" s="40"/>
      <c r="U922" s="40"/>
      <c r="V922" s="40"/>
      <c r="W922" s="40"/>
      <c r="X922" s="40"/>
      <c r="Y922" s="40"/>
      <c r="Z922" s="40"/>
      <c r="AA922" s="40"/>
      <c r="AB922" s="40"/>
    </row>
    <row r="923">
      <c r="A923" s="805"/>
      <c r="B923" s="40"/>
      <c r="C923" s="40"/>
      <c r="D923" s="40"/>
      <c r="E923" s="40"/>
      <c r="F923" s="40"/>
      <c r="G923" s="40"/>
      <c r="H923" s="40"/>
      <c r="I923" s="40"/>
      <c r="J923" s="216"/>
      <c r="K923" s="40"/>
      <c r="L923" s="40"/>
      <c r="M923" s="40"/>
      <c r="N923" s="40"/>
      <c r="O923" s="40"/>
      <c r="P923" s="40"/>
      <c r="Q923" s="40"/>
      <c r="R923" s="40"/>
      <c r="S923" s="40"/>
      <c r="T923" s="40"/>
      <c r="U923" s="40"/>
      <c r="V923" s="40"/>
      <c r="W923" s="40"/>
      <c r="X923" s="40"/>
      <c r="Y923" s="40"/>
      <c r="Z923" s="40"/>
      <c r="AA923" s="40"/>
      <c r="AB923" s="40"/>
    </row>
    <row r="924">
      <c r="A924" s="805"/>
      <c r="B924" s="40"/>
      <c r="C924" s="40"/>
      <c r="D924" s="40"/>
      <c r="E924" s="40"/>
      <c r="F924" s="40"/>
      <c r="G924" s="40"/>
      <c r="H924" s="40"/>
      <c r="I924" s="40"/>
      <c r="J924" s="216"/>
      <c r="K924" s="40"/>
      <c r="L924" s="40"/>
      <c r="M924" s="40"/>
      <c r="N924" s="40"/>
      <c r="O924" s="40"/>
      <c r="P924" s="40"/>
      <c r="Q924" s="40"/>
      <c r="R924" s="40"/>
      <c r="S924" s="40"/>
      <c r="T924" s="40"/>
      <c r="U924" s="40"/>
      <c r="V924" s="40"/>
      <c r="W924" s="40"/>
      <c r="X924" s="40"/>
      <c r="Y924" s="40"/>
      <c r="Z924" s="40"/>
      <c r="AA924" s="40"/>
      <c r="AB924" s="40"/>
    </row>
    <row r="925">
      <c r="A925" s="805"/>
      <c r="B925" s="40"/>
      <c r="C925" s="40"/>
      <c r="D925" s="40"/>
      <c r="E925" s="40"/>
      <c r="F925" s="40"/>
      <c r="G925" s="40"/>
      <c r="H925" s="40"/>
      <c r="I925" s="40"/>
      <c r="J925" s="216"/>
      <c r="K925" s="40"/>
      <c r="L925" s="40"/>
      <c r="M925" s="40"/>
      <c r="N925" s="40"/>
      <c r="O925" s="40"/>
      <c r="P925" s="40"/>
      <c r="Q925" s="40"/>
      <c r="R925" s="40"/>
      <c r="S925" s="40"/>
      <c r="T925" s="40"/>
      <c r="U925" s="40"/>
      <c r="V925" s="40"/>
      <c r="W925" s="40"/>
      <c r="X925" s="40"/>
      <c r="Y925" s="40"/>
      <c r="Z925" s="40"/>
      <c r="AA925" s="40"/>
      <c r="AB925" s="40"/>
    </row>
    <row r="926">
      <c r="A926" s="805"/>
      <c r="B926" s="40"/>
      <c r="C926" s="40"/>
      <c r="D926" s="40"/>
      <c r="E926" s="40"/>
      <c r="F926" s="40"/>
      <c r="G926" s="40"/>
      <c r="H926" s="40"/>
      <c r="I926" s="40"/>
      <c r="J926" s="216"/>
      <c r="K926" s="40"/>
      <c r="L926" s="40"/>
      <c r="M926" s="40"/>
      <c r="N926" s="40"/>
      <c r="O926" s="40"/>
      <c r="P926" s="40"/>
      <c r="Q926" s="40"/>
      <c r="R926" s="40"/>
      <c r="S926" s="40"/>
      <c r="T926" s="40"/>
      <c r="U926" s="40"/>
      <c r="V926" s="40"/>
      <c r="W926" s="40"/>
      <c r="X926" s="40"/>
      <c r="Y926" s="40"/>
      <c r="Z926" s="40"/>
      <c r="AA926" s="40"/>
      <c r="AB926" s="40"/>
    </row>
    <row r="927">
      <c r="A927" s="805"/>
      <c r="B927" s="40"/>
      <c r="C927" s="40"/>
      <c r="D927" s="40"/>
      <c r="E927" s="40"/>
      <c r="F927" s="40"/>
      <c r="G927" s="40"/>
      <c r="H927" s="40"/>
      <c r="I927" s="40"/>
      <c r="J927" s="216"/>
      <c r="K927" s="40"/>
      <c r="L927" s="40"/>
      <c r="M927" s="40"/>
      <c r="N927" s="40"/>
      <c r="O927" s="40"/>
      <c r="P927" s="40"/>
      <c r="Q927" s="40"/>
      <c r="R927" s="40"/>
      <c r="S927" s="40"/>
      <c r="T927" s="40"/>
      <c r="U927" s="40"/>
      <c r="V927" s="40"/>
      <c r="W927" s="40"/>
      <c r="X927" s="40"/>
      <c r="Y927" s="40"/>
      <c r="Z927" s="40"/>
      <c r="AA927" s="40"/>
      <c r="AB927" s="40"/>
    </row>
    <row r="928">
      <c r="A928" s="805"/>
      <c r="B928" s="40"/>
      <c r="C928" s="40"/>
      <c r="D928" s="40"/>
      <c r="E928" s="40"/>
      <c r="F928" s="40"/>
      <c r="G928" s="40"/>
      <c r="H928" s="40"/>
      <c r="I928" s="40"/>
      <c r="J928" s="216"/>
      <c r="K928" s="40"/>
      <c r="L928" s="40"/>
      <c r="M928" s="40"/>
      <c r="N928" s="40"/>
      <c r="O928" s="40"/>
      <c r="P928" s="40"/>
      <c r="Q928" s="40"/>
      <c r="R928" s="40"/>
      <c r="S928" s="40"/>
      <c r="T928" s="40"/>
      <c r="U928" s="40"/>
      <c r="V928" s="40"/>
      <c r="W928" s="40"/>
      <c r="X928" s="40"/>
      <c r="Y928" s="40"/>
      <c r="Z928" s="40"/>
      <c r="AA928" s="40"/>
      <c r="AB928" s="40"/>
    </row>
    <row r="929">
      <c r="A929" s="805"/>
      <c r="B929" s="40"/>
      <c r="C929" s="40"/>
      <c r="D929" s="40"/>
      <c r="E929" s="40"/>
      <c r="F929" s="40"/>
      <c r="G929" s="40"/>
      <c r="H929" s="40"/>
      <c r="I929" s="40"/>
      <c r="J929" s="216"/>
      <c r="K929" s="40"/>
      <c r="L929" s="40"/>
      <c r="M929" s="40"/>
      <c r="N929" s="40"/>
      <c r="O929" s="40"/>
      <c r="P929" s="40"/>
      <c r="Q929" s="40"/>
      <c r="R929" s="40"/>
      <c r="S929" s="40"/>
      <c r="T929" s="40"/>
      <c r="U929" s="40"/>
      <c r="V929" s="40"/>
      <c r="W929" s="40"/>
      <c r="X929" s="40"/>
      <c r="Y929" s="40"/>
      <c r="Z929" s="40"/>
      <c r="AA929" s="40"/>
      <c r="AB929" s="40"/>
    </row>
    <row r="930">
      <c r="A930" s="805"/>
      <c r="B930" s="40"/>
      <c r="C930" s="40"/>
      <c r="D930" s="40"/>
      <c r="E930" s="40"/>
      <c r="F930" s="40"/>
      <c r="G930" s="40"/>
      <c r="H930" s="40"/>
      <c r="I930" s="40"/>
      <c r="J930" s="216"/>
      <c r="K930" s="40"/>
      <c r="L930" s="40"/>
      <c r="M930" s="40"/>
      <c r="N930" s="40"/>
      <c r="O930" s="40"/>
      <c r="P930" s="40"/>
      <c r="Q930" s="40"/>
      <c r="R930" s="40"/>
      <c r="S930" s="40"/>
      <c r="T930" s="40"/>
      <c r="U930" s="40"/>
      <c r="V930" s="40"/>
      <c r="W930" s="40"/>
      <c r="X930" s="40"/>
      <c r="Y930" s="40"/>
      <c r="Z930" s="40"/>
      <c r="AA930" s="40"/>
      <c r="AB930" s="40"/>
    </row>
    <row r="931">
      <c r="A931" s="805"/>
      <c r="B931" s="40"/>
      <c r="C931" s="40"/>
      <c r="D931" s="40"/>
      <c r="E931" s="40"/>
      <c r="F931" s="40"/>
      <c r="G931" s="40"/>
      <c r="H931" s="40"/>
      <c r="I931" s="40"/>
      <c r="J931" s="216"/>
      <c r="K931" s="40"/>
      <c r="L931" s="40"/>
      <c r="M931" s="40"/>
      <c r="N931" s="40"/>
      <c r="O931" s="40"/>
      <c r="P931" s="40"/>
      <c r="Q931" s="40"/>
      <c r="R931" s="40"/>
      <c r="S931" s="40"/>
      <c r="T931" s="40"/>
      <c r="U931" s="40"/>
      <c r="V931" s="40"/>
      <c r="W931" s="40"/>
      <c r="X931" s="40"/>
      <c r="Y931" s="40"/>
      <c r="Z931" s="40"/>
      <c r="AA931" s="40"/>
      <c r="AB931" s="40"/>
    </row>
    <row r="932">
      <c r="A932" s="805"/>
      <c r="B932" s="40"/>
      <c r="C932" s="40"/>
      <c r="D932" s="40"/>
      <c r="E932" s="40"/>
      <c r="F932" s="40"/>
      <c r="G932" s="40"/>
      <c r="H932" s="40"/>
      <c r="I932" s="40"/>
      <c r="J932" s="216"/>
      <c r="K932" s="40"/>
      <c r="L932" s="40"/>
      <c r="M932" s="40"/>
      <c r="N932" s="40"/>
      <c r="O932" s="40"/>
      <c r="P932" s="40"/>
      <c r="Q932" s="40"/>
      <c r="R932" s="40"/>
      <c r="S932" s="40"/>
      <c r="T932" s="40"/>
      <c r="U932" s="40"/>
      <c r="V932" s="40"/>
      <c r="W932" s="40"/>
      <c r="X932" s="40"/>
      <c r="Y932" s="40"/>
      <c r="Z932" s="40"/>
      <c r="AA932" s="40"/>
      <c r="AB932" s="40"/>
    </row>
    <row r="933">
      <c r="A933" s="805"/>
      <c r="B933" s="40"/>
      <c r="C933" s="40"/>
      <c r="D933" s="40"/>
      <c r="E933" s="40"/>
      <c r="F933" s="40"/>
      <c r="G933" s="40"/>
      <c r="H933" s="40"/>
      <c r="I933" s="40"/>
      <c r="J933" s="216"/>
      <c r="K933" s="40"/>
      <c r="L933" s="40"/>
      <c r="M933" s="40"/>
      <c r="N933" s="40"/>
      <c r="O933" s="40"/>
      <c r="P933" s="40"/>
      <c r="Q933" s="40"/>
      <c r="R933" s="40"/>
      <c r="S933" s="40"/>
      <c r="T933" s="40"/>
      <c r="U933" s="40"/>
      <c r="V933" s="40"/>
      <c r="W933" s="40"/>
      <c r="X933" s="40"/>
      <c r="Y933" s="40"/>
      <c r="Z933" s="40"/>
      <c r="AA933" s="40"/>
      <c r="AB933" s="40"/>
    </row>
    <row r="934">
      <c r="A934" s="805"/>
      <c r="B934" s="40"/>
      <c r="C934" s="40"/>
      <c r="D934" s="40"/>
      <c r="E934" s="40"/>
      <c r="F934" s="40"/>
      <c r="G934" s="40"/>
      <c r="H934" s="40"/>
      <c r="I934" s="40"/>
      <c r="J934" s="216"/>
      <c r="K934" s="40"/>
      <c r="L934" s="40"/>
      <c r="M934" s="40"/>
      <c r="N934" s="40"/>
      <c r="O934" s="40"/>
      <c r="P934" s="40"/>
      <c r="Q934" s="40"/>
      <c r="R934" s="40"/>
      <c r="S934" s="40"/>
      <c r="T934" s="40"/>
      <c r="U934" s="40"/>
      <c r="V934" s="40"/>
      <c r="W934" s="40"/>
      <c r="X934" s="40"/>
      <c r="Y934" s="40"/>
      <c r="Z934" s="40"/>
      <c r="AA934" s="40"/>
      <c r="AB934" s="40"/>
    </row>
    <row r="935">
      <c r="A935" s="805"/>
      <c r="B935" s="40"/>
      <c r="C935" s="40"/>
      <c r="D935" s="40"/>
      <c r="E935" s="40"/>
      <c r="F935" s="40"/>
      <c r="G935" s="40"/>
      <c r="H935" s="40"/>
      <c r="I935" s="40"/>
      <c r="J935" s="216"/>
      <c r="K935" s="40"/>
      <c r="L935" s="40"/>
      <c r="M935" s="40"/>
      <c r="N935" s="40"/>
      <c r="O935" s="40"/>
      <c r="P935" s="40"/>
      <c r="Q935" s="40"/>
      <c r="R935" s="40"/>
      <c r="S935" s="40"/>
      <c r="T935" s="40"/>
      <c r="U935" s="40"/>
      <c r="V935" s="40"/>
      <c r="W935" s="40"/>
      <c r="X935" s="40"/>
      <c r="Y935" s="40"/>
      <c r="Z935" s="40"/>
      <c r="AA935" s="40"/>
      <c r="AB935" s="40"/>
    </row>
    <row r="936">
      <c r="A936" s="805"/>
      <c r="B936" s="40"/>
      <c r="C936" s="40"/>
      <c r="D936" s="40"/>
      <c r="E936" s="40"/>
      <c r="F936" s="40"/>
      <c r="G936" s="40"/>
      <c r="H936" s="40"/>
      <c r="I936" s="40"/>
      <c r="J936" s="216"/>
      <c r="K936" s="40"/>
      <c r="L936" s="40"/>
      <c r="M936" s="40"/>
      <c r="N936" s="40"/>
      <c r="O936" s="40"/>
      <c r="P936" s="40"/>
      <c r="Q936" s="40"/>
      <c r="R936" s="40"/>
      <c r="S936" s="40"/>
      <c r="T936" s="40"/>
      <c r="U936" s="40"/>
      <c r="V936" s="40"/>
      <c r="W936" s="40"/>
      <c r="X936" s="40"/>
      <c r="Y936" s="40"/>
      <c r="Z936" s="40"/>
      <c r="AA936" s="40"/>
      <c r="AB936" s="40"/>
    </row>
    <row r="937">
      <c r="A937" s="805"/>
      <c r="B937" s="40"/>
      <c r="C937" s="40"/>
      <c r="D937" s="40"/>
      <c r="E937" s="40"/>
      <c r="F937" s="40"/>
      <c r="G937" s="40"/>
      <c r="H937" s="40"/>
      <c r="I937" s="40"/>
      <c r="J937" s="216"/>
      <c r="K937" s="40"/>
      <c r="L937" s="40"/>
      <c r="M937" s="40"/>
      <c r="N937" s="40"/>
      <c r="O937" s="40"/>
      <c r="P937" s="40"/>
      <c r="Q937" s="40"/>
      <c r="R937" s="40"/>
      <c r="S937" s="40"/>
      <c r="T937" s="40"/>
      <c r="U937" s="40"/>
      <c r="V937" s="40"/>
      <c r="W937" s="40"/>
      <c r="X937" s="40"/>
      <c r="Y937" s="40"/>
      <c r="Z937" s="40"/>
      <c r="AA937" s="40"/>
      <c r="AB937" s="40"/>
    </row>
    <row r="938">
      <c r="A938" s="805"/>
      <c r="B938" s="40"/>
      <c r="C938" s="40"/>
      <c r="D938" s="40"/>
      <c r="E938" s="40"/>
      <c r="F938" s="40"/>
      <c r="G938" s="40"/>
      <c r="H938" s="40"/>
      <c r="I938" s="40"/>
      <c r="J938" s="216"/>
      <c r="K938" s="40"/>
      <c r="L938" s="40"/>
      <c r="M938" s="40"/>
      <c r="N938" s="40"/>
      <c r="O938" s="40"/>
      <c r="P938" s="40"/>
      <c r="Q938" s="40"/>
      <c r="R938" s="40"/>
      <c r="S938" s="40"/>
      <c r="T938" s="40"/>
      <c r="U938" s="40"/>
      <c r="V938" s="40"/>
      <c r="W938" s="40"/>
      <c r="X938" s="40"/>
      <c r="Y938" s="40"/>
      <c r="Z938" s="40"/>
      <c r="AA938" s="40"/>
      <c r="AB938" s="40"/>
    </row>
    <row r="939">
      <c r="A939" s="805"/>
      <c r="B939" s="40"/>
      <c r="C939" s="40"/>
      <c r="D939" s="40"/>
      <c r="E939" s="40"/>
      <c r="F939" s="40"/>
      <c r="G939" s="40"/>
      <c r="H939" s="40"/>
      <c r="I939" s="40"/>
      <c r="J939" s="216"/>
      <c r="K939" s="40"/>
      <c r="L939" s="40"/>
      <c r="M939" s="40"/>
      <c r="N939" s="40"/>
      <c r="O939" s="40"/>
      <c r="P939" s="40"/>
      <c r="Q939" s="40"/>
      <c r="R939" s="40"/>
      <c r="S939" s="40"/>
      <c r="T939" s="40"/>
      <c r="U939" s="40"/>
      <c r="V939" s="40"/>
      <c r="W939" s="40"/>
      <c r="X939" s="40"/>
      <c r="Y939" s="40"/>
      <c r="Z939" s="40"/>
      <c r="AA939" s="40"/>
      <c r="AB939" s="40"/>
    </row>
    <row r="940">
      <c r="A940" s="805"/>
      <c r="B940" s="40"/>
      <c r="C940" s="40"/>
      <c r="D940" s="40"/>
      <c r="E940" s="40"/>
      <c r="F940" s="40"/>
      <c r="G940" s="40"/>
      <c r="H940" s="40"/>
      <c r="I940" s="40"/>
      <c r="J940" s="216"/>
      <c r="K940" s="40"/>
      <c r="L940" s="40"/>
      <c r="M940" s="40"/>
      <c r="N940" s="40"/>
      <c r="O940" s="40"/>
      <c r="P940" s="40"/>
      <c r="Q940" s="40"/>
      <c r="R940" s="40"/>
      <c r="S940" s="40"/>
      <c r="T940" s="40"/>
      <c r="U940" s="40"/>
      <c r="V940" s="40"/>
      <c r="W940" s="40"/>
      <c r="X940" s="40"/>
      <c r="Y940" s="40"/>
      <c r="Z940" s="40"/>
      <c r="AA940" s="40"/>
      <c r="AB940" s="40"/>
    </row>
    <row r="941">
      <c r="A941" s="805"/>
      <c r="B941" s="40"/>
      <c r="C941" s="40"/>
      <c r="D941" s="40"/>
      <c r="E941" s="40"/>
      <c r="F941" s="40"/>
      <c r="G941" s="40"/>
      <c r="H941" s="40"/>
      <c r="I941" s="40"/>
      <c r="J941" s="216"/>
      <c r="K941" s="40"/>
      <c r="L941" s="40"/>
      <c r="M941" s="40"/>
      <c r="N941" s="40"/>
      <c r="O941" s="40"/>
      <c r="P941" s="40"/>
      <c r="Q941" s="40"/>
      <c r="R941" s="40"/>
      <c r="S941" s="40"/>
      <c r="T941" s="40"/>
      <c r="U941" s="40"/>
      <c r="V941" s="40"/>
      <c r="W941" s="40"/>
      <c r="X941" s="40"/>
      <c r="Y941" s="40"/>
      <c r="Z941" s="40"/>
      <c r="AA941" s="40"/>
      <c r="AB941" s="40"/>
    </row>
    <row r="942">
      <c r="A942" s="805"/>
      <c r="B942" s="40"/>
      <c r="C942" s="40"/>
      <c r="D942" s="40"/>
      <c r="E942" s="40"/>
      <c r="F942" s="40"/>
      <c r="G942" s="40"/>
      <c r="H942" s="40"/>
      <c r="I942" s="40"/>
      <c r="J942" s="216"/>
      <c r="K942" s="40"/>
      <c r="L942" s="40"/>
      <c r="M942" s="40"/>
      <c r="N942" s="40"/>
      <c r="O942" s="40"/>
      <c r="P942" s="40"/>
      <c r="Q942" s="40"/>
      <c r="R942" s="40"/>
      <c r="S942" s="40"/>
      <c r="T942" s="40"/>
      <c r="U942" s="40"/>
      <c r="V942" s="40"/>
      <c r="W942" s="40"/>
      <c r="X942" s="40"/>
      <c r="Y942" s="40"/>
      <c r="Z942" s="40"/>
      <c r="AA942" s="40"/>
      <c r="AB942" s="40"/>
    </row>
    <row r="943">
      <c r="A943" s="805"/>
      <c r="B943" s="40"/>
      <c r="C943" s="40"/>
      <c r="D943" s="40"/>
      <c r="E943" s="40"/>
      <c r="F943" s="40"/>
      <c r="G943" s="40"/>
      <c r="H943" s="40"/>
      <c r="I943" s="40"/>
      <c r="J943" s="216"/>
      <c r="K943" s="40"/>
      <c r="L943" s="40"/>
      <c r="M943" s="40"/>
      <c r="N943" s="40"/>
      <c r="O943" s="40"/>
      <c r="P943" s="40"/>
      <c r="Q943" s="40"/>
      <c r="R943" s="40"/>
      <c r="S943" s="40"/>
      <c r="T943" s="40"/>
      <c r="U943" s="40"/>
      <c r="V943" s="40"/>
      <c r="W943" s="40"/>
      <c r="X943" s="40"/>
      <c r="Y943" s="40"/>
      <c r="Z943" s="40"/>
      <c r="AA943" s="40"/>
      <c r="AB943" s="40"/>
    </row>
    <row r="944">
      <c r="A944" s="805"/>
      <c r="B944" s="40"/>
      <c r="C944" s="40"/>
      <c r="D944" s="40"/>
      <c r="E944" s="40"/>
      <c r="F944" s="40"/>
      <c r="G944" s="40"/>
      <c r="H944" s="40"/>
      <c r="I944" s="40"/>
      <c r="J944" s="216"/>
      <c r="K944" s="40"/>
      <c r="L944" s="40"/>
      <c r="M944" s="40"/>
      <c r="N944" s="40"/>
      <c r="O944" s="40"/>
      <c r="P944" s="40"/>
      <c r="Q944" s="40"/>
      <c r="R944" s="40"/>
      <c r="S944" s="40"/>
      <c r="T944" s="40"/>
      <c r="U944" s="40"/>
      <c r="V944" s="40"/>
      <c r="W944" s="40"/>
      <c r="X944" s="40"/>
      <c r="Y944" s="40"/>
      <c r="Z944" s="40"/>
      <c r="AA944" s="40"/>
      <c r="AB944" s="40"/>
    </row>
    <row r="945">
      <c r="A945" s="805"/>
      <c r="B945" s="40"/>
      <c r="C945" s="40"/>
      <c r="D945" s="40"/>
      <c r="E945" s="40"/>
      <c r="F945" s="40"/>
      <c r="G945" s="40"/>
      <c r="H945" s="40"/>
      <c r="I945" s="40"/>
      <c r="J945" s="216"/>
      <c r="K945" s="40"/>
      <c r="L945" s="40"/>
      <c r="M945" s="40"/>
      <c r="N945" s="40"/>
      <c r="O945" s="40"/>
      <c r="P945" s="40"/>
      <c r="Q945" s="40"/>
      <c r="R945" s="40"/>
      <c r="S945" s="40"/>
      <c r="T945" s="40"/>
      <c r="U945" s="40"/>
      <c r="V945" s="40"/>
      <c r="W945" s="40"/>
      <c r="X945" s="40"/>
      <c r="Y945" s="40"/>
      <c r="Z945" s="40"/>
      <c r="AA945" s="40"/>
      <c r="AB945" s="40"/>
    </row>
    <row r="946">
      <c r="A946" s="805"/>
      <c r="B946" s="40"/>
      <c r="C946" s="40"/>
      <c r="D946" s="40"/>
      <c r="E946" s="40"/>
      <c r="F946" s="40"/>
      <c r="G946" s="40"/>
      <c r="H946" s="40"/>
      <c r="I946" s="40"/>
      <c r="J946" s="216"/>
      <c r="K946" s="40"/>
      <c r="L946" s="40"/>
      <c r="M946" s="40"/>
      <c r="N946" s="40"/>
      <c r="O946" s="40"/>
      <c r="P946" s="40"/>
      <c r="Q946" s="40"/>
      <c r="R946" s="40"/>
      <c r="S946" s="40"/>
      <c r="T946" s="40"/>
      <c r="U946" s="40"/>
      <c r="V946" s="40"/>
      <c r="W946" s="40"/>
      <c r="X946" s="40"/>
      <c r="Y946" s="40"/>
      <c r="Z946" s="40"/>
      <c r="AA946" s="40"/>
      <c r="AB946" s="40"/>
    </row>
    <row r="947">
      <c r="A947" s="805"/>
      <c r="B947" s="40"/>
      <c r="C947" s="40"/>
      <c r="D947" s="40"/>
      <c r="E947" s="40"/>
      <c r="F947" s="40"/>
      <c r="G947" s="40"/>
      <c r="H947" s="40"/>
      <c r="I947" s="40"/>
      <c r="J947" s="216"/>
      <c r="K947" s="40"/>
      <c r="L947" s="40"/>
      <c r="M947" s="40"/>
      <c r="N947" s="40"/>
      <c r="O947" s="40"/>
      <c r="P947" s="40"/>
      <c r="Q947" s="40"/>
      <c r="R947" s="40"/>
      <c r="S947" s="40"/>
      <c r="T947" s="40"/>
      <c r="U947" s="40"/>
      <c r="V947" s="40"/>
      <c r="W947" s="40"/>
      <c r="X947" s="40"/>
      <c r="Y947" s="40"/>
      <c r="Z947" s="40"/>
      <c r="AA947" s="40"/>
      <c r="AB947" s="40"/>
    </row>
    <row r="948">
      <c r="A948" s="805"/>
      <c r="B948" s="40"/>
      <c r="C948" s="40"/>
      <c r="D948" s="40"/>
      <c r="E948" s="40"/>
      <c r="F948" s="40"/>
      <c r="G948" s="40"/>
      <c r="H948" s="40"/>
      <c r="I948" s="40"/>
      <c r="J948" s="216"/>
      <c r="K948" s="40"/>
      <c r="L948" s="40"/>
      <c r="M948" s="40"/>
      <c r="N948" s="40"/>
      <c r="O948" s="40"/>
      <c r="P948" s="40"/>
      <c r="Q948" s="40"/>
      <c r="R948" s="40"/>
      <c r="S948" s="40"/>
      <c r="T948" s="40"/>
      <c r="U948" s="40"/>
      <c r="V948" s="40"/>
      <c r="W948" s="40"/>
      <c r="X948" s="40"/>
      <c r="Y948" s="40"/>
      <c r="Z948" s="40"/>
      <c r="AA948" s="40"/>
      <c r="AB948" s="40"/>
    </row>
    <row r="949">
      <c r="A949" s="805"/>
      <c r="B949" s="40"/>
      <c r="C949" s="40"/>
      <c r="D949" s="40"/>
      <c r="E949" s="40"/>
      <c r="F949" s="40"/>
      <c r="G949" s="40"/>
      <c r="H949" s="40"/>
      <c r="I949" s="40"/>
      <c r="J949" s="216"/>
      <c r="K949" s="40"/>
      <c r="L949" s="40"/>
      <c r="M949" s="40"/>
      <c r="N949" s="40"/>
      <c r="O949" s="40"/>
      <c r="P949" s="40"/>
      <c r="Q949" s="40"/>
      <c r="R949" s="40"/>
      <c r="S949" s="40"/>
      <c r="T949" s="40"/>
      <c r="U949" s="40"/>
      <c r="V949" s="40"/>
      <c r="W949" s="40"/>
      <c r="X949" s="40"/>
      <c r="Y949" s="40"/>
      <c r="Z949" s="40"/>
      <c r="AA949" s="40"/>
      <c r="AB949" s="40"/>
    </row>
    <row r="950">
      <c r="A950" s="805"/>
      <c r="B950" s="40"/>
      <c r="C950" s="40"/>
      <c r="D950" s="40"/>
      <c r="E950" s="40"/>
      <c r="F950" s="40"/>
      <c r="G950" s="40"/>
      <c r="H950" s="40"/>
      <c r="I950" s="40"/>
      <c r="J950" s="216"/>
      <c r="K950" s="40"/>
      <c r="L950" s="40"/>
      <c r="M950" s="40"/>
      <c r="N950" s="40"/>
      <c r="O950" s="40"/>
      <c r="P950" s="40"/>
      <c r="Q950" s="40"/>
      <c r="R950" s="40"/>
      <c r="S950" s="40"/>
      <c r="T950" s="40"/>
      <c r="U950" s="40"/>
      <c r="V950" s="40"/>
      <c r="W950" s="40"/>
      <c r="X950" s="40"/>
      <c r="Y950" s="40"/>
      <c r="Z950" s="40"/>
      <c r="AA950" s="40"/>
      <c r="AB950" s="40"/>
    </row>
    <row r="951">
      <c r="A951" s="805"/>
      <c r="B951" s="40"/>
      <c r="C951" s="40"/>
      <c r="D951" s="40"/>
      <c r="E951" s="40"/>
      <c r="F951" s="40"/>
      <c r="G951" s="40"/>
      <c r="H951" s="40"/>
      <c r="I951" s="40"/>
      <c r="J951" s="216"/>
      <c r="K951" s="40"/>
      <c r="L951" s="40"/>
      <c r="M951" s="40"/>
      <c r="N951" s="40"/>
      <c r="O951" s="40"/>
      <c r="P951" s="40"/>
      <c r="Q951" s="40"/>
      <c r="R951" s="40"/>
      <c r="S951" s="40"/>
      <c r="T951" s="40"/>
      <c r="U951" s="40"/>
      <c r="V951" s="40"/>
      <c r="W951" s="40"/>
      <c r="X951" s="40"/>
      <c r="Y951" s="40"/>
      <c r="Z951" s="40"/>
      <c r="AA951" s="40"/>
      <c r="AB951" s="40"/>
    </row>
    <row r="952">
      <c r="A952" s="805"/>
      <c r="B952" s="40"/>
      <c r="C952" s="40"/>
      <c r="D952" s="40"/>
      <c r="E952" s="40"/>
      <c r="F952" s="40"/>
      <c r="G952" s="40"/>
      <c r="H952" s="40"/>
      <c r="I952" s="40"/>
      <c r="J952" s="216"/>
      <c r="K952" s="40"/>
      <c r="L952" s="40"/>
      <c r="M952" s="40"/>
      <c r="N952" s="40"/>
      <c r="O952" s="40"/>
      <c r="P952" s="40"/>
      <c r="Q952" s="40"/>
      <c r="R952" s="40"/>
      <c r="S952" s="40"/>
      <c r="T952" s="40"/>
      <c r="U952" s="40"/>
      <c r="V952" s="40"/>
      <c r="W952" s="40"/>
      <c r="X952" s="40"/>
      <c r="Y952" s="40"/>
      <c r="Z952" s="40"/>
      <c r="AA952" s="40"/>
      <c r="AB952" s="40"/>
    </row>
    <row r="953">
      <c r="A953" s="805"/>
      <c r="B953" s="40"/>
      <c r="C953" s="40"/>
      <c r="D953" s="40"/>
      <c r="E953" s="40"/>
      <c r="F953" s="40"/>
      <c r="G953" s="40"/>
      <c r="H953" s="40"/>
      <c r="I953" s="40"/>
      <c r="J953" s="216"/>
      <c r="K953" s="40"/>
      <c r="L953" s="40"/>
      <c r="M953" s="40"/>
      <c r="N953" s="40"/>
      <c r="O953" s="40"/>
      <c r="P953" s="40"/>
      <c r="Q953" s="40"/>
      <c r="R953" s="40"/>
      <c r="S953" s="40"/>
      <c r="T953" s="40"/>
      <c r="U953" s="40"/>
      <c r="V953" s="40"/>
      <c r="W953" s="40"/>
      <c r="X953" s="40"/>
      <c r="Y953" s="40"/>
      <c r="Z953" s="40"/>
      <c r="AA953" s="40"/>
      <c r="AB953" s="40"/>
    </row>
    <row r="954">
      <c r="A954" s="805"/>
      <c r="B954" s="40"/>
      <c r="C954" s="40"/>
      <c r="D954" s="40"/>
      <c r="E954" s="40"/>
      <c r="F954" s="40"/>
      <c r="G954" s="40"/>
      <c r="H954" s="40"/>
      <c r="I954" s="40"/>
      <c r="J954" s="216"/>
      <c r="K954" s="40"/>
      <c r="L954" s="40"/>
      <c r="M954" s="40"/>
      <c r="N954" s="40"/>
      <c r="O954" s="40"/>
      <c r="P954" s="40"/>
      <c r="Q954" s="40"/>
      <c r="R954" s="40"/>
      <c r="S954" s="40"/>
      <c r="T954" s="40"/>
      <c r="U954" s="40"/>
      <c r="V954" s="40"/>
      <c r="W954" s="40"/>
      <c r="X954" s="40"/>
      <c r="Y954" s="40"/>
      <c r="Z954" s="40"/>
      <c r="AA954" s="40"/>
      <c r="AB954" s="40"/>
    </row>
    <row r="955">
      <c r="A955" s="805"/>
      <c r="B955" s="40"/>
      <c r="C955" s="40"/>
      <c r="D955" s="40"/>
      <c r="E955" s="40"/>
      <c r="F955" s="40"/>
      <c r="G955" s="40"/>
      <c r="H955" s="40"/>
      <c r="I955" s="40"/>
      <c r="J955" s="216"/>
      <c r="K955" s="40"/>
      <c r="L955" s="40"/>
      <c r="M955" s="40"/>
      <c r="N955" s="40"/>
      <c r="O955" s="40"/>
      <c r="P955" s="40"/>
      <c r="Q955" s="40"/>
      <c r="R955" s="40"/>
      <c r="S955" s="40"/>
      <c r="T955" s="40"/>
      <c r="U955" s="40"/>
      <c r="V955" s="40"/>
      <c r="W955" s="40"/>
      <c r="X955" s="40"/>
      <c r="Y955" s="40"/>
      <c r="Z955" s="40"/>
      <c r="AA955" s="40"/>
      <c r="AB955" s="40"/>
    </row>
    <row r="956">
      <c r="A956" s="805"/>
      <c r="B956" s="40"/>
      <c r="C956" s="40"/>
      <c r="D956" s="40"/>
      <c r="E956" s="40"/>
      <c r="F956" s="40"/>
      <c r="G956" s="40"/>
      <c r="H956" s="40"/>
      <c r="I956" s="40"/>
      <c r="J956" s="216"/>
      <c r="K956" s="40"/>
      <c r="L956" s="40"/>
      <c r="M956" s="40"/>
      <c r="N956" s="40"/>
      <c r="O956" s="40"/>
      <c r="P956" s="40"/>
      <c r="Q956" s="40"/>
      <c r="R956" s="40"/>
      <c r="S956" s="40"/>
      <c r="T956" s="40"/>
      <c r="U956" s="40"/>
      <c r="V956" s="40"/>
      <c r="W956" s="40"/>
      <c r="X956" s="40"/>
      <c r="Y956" s="40"/>
      <c r="Z956" s="40"/>
      <c r="AA956" s="40"/>
      <c r="AB956" s="40"/>
    </row>
    <row r="957">
      <c r="A957" s="805"/>
      <c r="B957" s="40"/>
      <c r="C957" s="40"/>
      <c r="D957" s="40"/>
      <c r="E957" s="40"/>
      <c r="F957" s="40"/>
      <c r="G957" s="40"/>
      <c r="H957" s="40"/>
      <c r="I957" s="40"/>
      <c r="J957" s="216"/>
      <c r="K957" s="40"/>
      <c r="L957" s="40"/>
      <c r="M957" s="40"/>
      <c r="N957" s="40"/>
      <c r="O957" s="40"/>
      <c r="P957" s="40"/>
      <c r="Q957" s="40"/>
      <c r="R957" s="40"/>
      <c r="S957" s="40"/>
      <c r="T957" s="40"/>
      <c r="U957" s="40"/>
      <c r="V957" s="40"/>
      <c r="W957" s="40"/>
      <c r="X957" s="40"/>
      <c r="Y957" s="40"/>
      <c r="Z957" s="40"/>
      <c r="AA957" s="40"/>
      <c r="AB957" s="40"/>
    </row>
    <row r="958">
      <c r="A958" s="805"/>
      <c r="B958" s="40"/>
      <c r="C958" s="40"/>
      <c r="D958" s="40"/>
      <c r="E958" s="40"/>
      <c r="F958" s="40"/>
      <c r="G958" s="40"/>
      <c r="H958" s="40"/>
      <c r="I958" s="40"/>
      <c r="J958" s="216"/>
      <c r="K958" s="40"/>
      <c r="L958" s="40"/>
      <c r="M958" s="40"/>
      <c r="N958" s="40"/>
      <c r="O958" s="40"/>
      <c r="P958" s="40"/>
      <c r="Q958" s="40"/>
      <c r="R958" s="40"/>
      <c r="S958" s="40"/>
      <c r="T958" s="40"/>
      <c r="U958" s="40"/>
      <c r="V958" s="40"/>
      <c r="W958" s="40"/>
      <c r="X958" s="40"/>
      <c r="Y958" s="40"/>
      <c r="Z958" s="40"/>
      <c r="AA958" s="40"/>
      <c r="AB958" s="40"/>
    </row>
    <row r="959">
      <c r="A959" s="805"/>
      <c r="B959" s="40"/>
      <c r="C959" s="40"/>
      <c r="D959" s="40"/>
      <c r="E959" s="40"/>
      <c r="F959" s="40"/>
      <c r="G959" s="40"/>
      <c r="H959" s="40"/>
      <c r="I959" s="40"/>
      <c r="J959" s="216"/>
      <c r="K959" s="40"/>
      <c r="L959" s="40"/>
      <c r="M959" s="40"/>
      <c r="N959" s="40"/>
      <c r="O959" s="40"/>
      <c r="P959" s="40"/>
      <c r="Q959" s="40"/>
      <c r="R959" s="40"/>
      <c r="S959" s="40"/>
      <c r="T959" s="40"/>
      <c r="U959" s="40"/>
      <c r="V959" s="40"/>
      <c r="W959" s="40"/>
      <c r="X959" s="40"/>
      <c r="Y959" s="40"/>
      <c r="Z959" s="40"/>
      <c r="AA959" s="40"/>
      <c r="AB959" s="40"/>
    </row>
    <row r="960">
      <c r="A960" s="805"/>
      <c r="B960" s="40"/>
      <c r="C960" s="40"/>
      <c r="D960" s="40"/>
      <c r="E960" s="40"/>
      <c r="F960" s="40"/>
      <c r="G960" s="40"/>
      <c r="H960" s="40"/>
      <c r="I960" s="40"/>
      <c r="J960" s="216"/>
      <c r="K960" s="40"/>
      <c r="L960" s="40"/>
      <c r="M960" s="40"/>
      <c r="N960" s="40"/>
      <c r="O960" s="40"/>
      <c r="P960" s="40"/>
      <c r="Q960" s="40"/>
      <c r="R960" s="40"/>
      <c r="S960" s="40"/>
      <c r="T960" s="40"/>
      <c r="U960" s="40"/>
      <c r="V960" s="40"/>
      <c r="W960" s="40"/>
      <c r="X960" s="40"/>
      <c r="Y960" s="40"/>
      <c r="Z960" s="40"/>
      <c r="AA960" s="40"/>
      <c r="AB960" s="40"/>
    </row>
    <row r="961">
      <c r="A961" s="805"/>
      <c r="B961" s="40"/>
      <c r="C961" s="40"/>
      <c r="D961" s="40"/>
      <c r="E961" s="40"/>
      <c r="F961" s="40"/>
      <c r="G961" s="40"/>
      <c r="H961" s="40"/>
      <c r="I961" s="40"/>
      <c r="J961" s="216"/>
      <c r="K961" s="40"/>
      <c r="L961" s="40"/>
      <c r="M961" s="40"/>
      <c r="N961" s="40"/>
      <c r="O961" s="40"/>
      <c r="P961" s="40"/>
      <c r="Q961" s="40"/>
      <c r="R961" s="40"/>
      <c r="S961" s="40"/>
      <c r="T961" s="40"/>
      <c r="U961" s="40"/>
      <c r="V961" s="40"/>
      <c r="W961" s="40"/>
      <c r="X961" s="40"/>
      <c r="Y961" s="40"/>
      <c r="Z961" s="40"/>
      <c r="AA961" s="40"/>
      <c r="AB961" s="40"/>
    </row>
    <row r="962">
      <c r="A962" s="805"/>
      <c r="B962" s="40"/>
      <c r="C962" s="40"/>
      <c r="D962" s="40"/>
      <c r="E962" s="40"/>
      <c r="F962" s="40"/>
      <c r="G962" s="40"/>
      <c r="H962" s="40"/>
      <c r="I962" s="40"/>
      <c r="J962" s="216"/>
      <c r="K962" s="40"/>
      <c r="L962" s="40"/>
      <c r="M962" s="40"/>
      <c r="N962" s="40"/>
      <c r="O962" s="40"/>
      <c r="P962" s="40"/>
      <c r="Q962" s="40"/>
      <c r="R962" s="40"/>
      <c r="S962" s="40"/>
      <c r="T962" s="40"/>
      <c r="U962" s="40"/>
      <c r="V962" s="40"/>
      <c r="W962" s="40"/>
      <c r="X962" s="40"/>
      <c r="Y962" s="40"/>
      <c r="Z962" s="40"/>
      <c r="AA962" s="40"/>
      <c r="AB962" s="40"/>
    </row>
    <row r="963">
      <c r="A963" s="805"/>
      <c r="B963" s="40"/>
      <c r="C963" s="40"/>
      <c r="D963" s="40"/>
      <c r="E963" s="40"/>
      <c r="F963" s="40"/>
      <c r="G963" s="40"/>
      <c r="H963" s="40"/>
      <c r="I963" s="40"/>
      <c r="J963" s="216"/>
      <c r="K963" s="40"/>
      <c r="L963" s="40"/>
      <c r="M963" s="40"/>
      <c r="N963" s="40"/>
      <c r="O963" s="40"/>
      <c r="P963" s="40"/>
      <c r="Q963" s="40"/>
      <c r="R963" s="40"/>
      <c r="S963" s="40"/>
      <c r="T963" s="40"/>
      <c r="U963" s="40"/>
      <c r="V963" s="40"/>
      <c r="W963" s="40"/>
      <c r="X963" s="40"/>
      <c r="Y963" s="40"/>
      <c r="Z963" s="40"/>
      <c r="AA963" s="40"/>
      <c r="AB963" s="40"/>
    </row>
    <row r="964">
      <c r="A964" s="805"/>
      <c r="B964" s="40"/>
      <c r="C964" s="40"/>
      <c r="D964" s="40"/>
      <c r="E964" s="40"/>
      <c r="F964" s="40"/>
      <c r="G964" s="40"/>
      <c r="H964" s="40"/>
      <c r="I964" s="40"/>
      <c r="J964" s="216"/>
      <c r="K964" s="40"/>
      <c r="L964" s="40"/>
      <c r="M964" s="40"/>
      <c r="N964" s="40"/>
      <c r="O964" s="40"/>
      <c r="P964" s="40"/>
      <c r="Q964" s="40"/>
      <c r="R964" s="40"/>
      <c r="S964" s="40"/>
      <c r="T964" s="40"/>
      <c r="U964" s="40"/>
      <c r="V964" s="40"/>
      <c r="W964" s="40"/>
      <c r="X964" s="40"/>
      <c r="Y964" s="40"/>
      <c r="Z964" s="40"/>
      <c r="AA964" s="40"/>
      <c r="AB964" s="40"/>
    </row>
    <row r="965">
      <c r="A965" s="805"/>
      <c r="B965" s="40"/>
      <c r="C965" s="40"/>
      <c r="D965" s="40"/>
      <c r="E965" s="40"/>
      <c r="F965" s="40"/>
      <c r="G965" s="40"/>
      <c r="H965" s="40"/>
      <c r="I965" s="40"/>
      <c r="J965" s="216"/>
      <c r="K965" s="40"/>
      <c r="L965" s="40"/>
      <c r="M965" s="40"/>
      <c r="N965" s="40"/>
      <c r="O965" s="40"/>
      <c r="P965" s="40"/>
      <c r="Q965" s="40"/>
      <c r="R965" s="40"/>
      <c r="S965" s="40"/>
      <c r="T965" s="40"/>
      <c r="U965" s="40"/>
      <c r="V965" s="40"/>
      <c r="W965" s="40"/>
      <c r="X965" s="40"/>
      <c r="Y965" s="40"/>
      <c r="Z965" s="40"/>
      <c r="AA965" s="40"/>
      <c r="AB965" s="40"/>
    </row>
    <row r="966">
      <c r="A966" s="805"/>
      <c r="B966" s="40"/>
      <c r="C966" s="40"/>
      <c r="D966" s="40"/>
      <c r="E966" s="40"/>
      <c r="F966" s="40"/>
      <c r="G966" s="40"/>
      <c r="H966" s="40"/>
      <c r="I966" s="40"/>
      <c r="J966" s="216"/>
      <c r="K966" s="40"/>
      <c r="L966" s="40"/>
      <c r="M966" s="40"/>
      <c r="N966" s="40"/>
      <c r="O966" s="40"/>
      <c r="P966" s="40"/>
      <c r="Q966" s="40"/>
      <c r="R966" s="40"/>
      <c r="S966" s="40"/>
      <c r="T966" s="40"/>
      <c r="U966" s="40"/>
      <c r="V966" s="40"/>
      <c r="W966" s="40"/>
      <c r="X966" s="40"/>
      <c r="Y966" s="40"/>
      <c r="Z966" s="40"/>
      <c r="AA966" s="40"/>
      <c r="AB966" s="40"/>
    </row>
    <row r="967">
      <c r="A967" s="805"/>
      <c r="B967" s="40"/>
      <c r="C967" s="40"/>
      <c r="D967" s="40"/>
      <c r="E967" s="40"/>
      <c r="F967" s="40"/>
      <c r="G967" s="40"/>
      <c r="H967" s="40"/>
      <c r="I967" s="40"/>
      <c r="J967" s="216"/>
      <c r="K967" s="40"/>
      <c r="L967" s="40"/>
      <c r="M967" s="40"/>
      <c r="N967" s="40"/>
      <c r="O967" s="40"/>
      <c r="P967" s="40"/>
      <c r="Q967" s="40"/>
      <c r="R967" s="40"/>
      <c r="S967" s="40"/>
      <c r="T967" s="40"/>
      <c r="U967" s="40"/>
      <c r="V967" s="40"/>
      <c r="W967" s="40"/>
      <c r="X967" s="40"/>
      <c r="Y967" s="40"/>
      <c r="Z967" s="40"/>
      <c r="AA967" s="40"/>
      <c r="AB967" s="40"/>
    </row>
    <row r="968">
      <c r="A968" s="805"/>
      <c r="B968" s="40"/>
      <c r="C968" s="40"/>
      <c r="D968" s="40"/>
      <c r="E968" s="40"/>
      <c r="F968" s="40"/>
      <c r="G968" s="40"/>
      <c r="H968" s="40"/>
      <c r="I968" s="40"/>
      <c r="J968" s="216"/>
      <c r="K968" s="40"/>
      <c r="L968" s="40"/>
      <c r="M968" s="40"/>
      <c r="N968" s="40"/>
      <c r="O968" s="40"/>
      <c r="P968" s="40"/>
      <c r="Q968" s="40"/>
      <c r="R968" s="40"/>
      <c r="S968" s="40"/>
      <c r="T968" s="40"/>
      <c r="U968" s="40"/>
      <c r="V968" s="40"/>
      <c r="W968" s="40"/>
      <c r="X968" s="40"/>
      <c r="Y968" s="40"/>
      <c r="Z968" s="40"/>
      <c r="AA968" s="40"/>
      <c r="AB968" s="40"/>
    </row>
    <row r="969">
      <c r="A969" s="805"/>
      <c r="B969" s="40"/>
      <c r="C969" s="40"/>
      <c r="D969" s="40"/>
      <c r="E969" s="40"/>
      <c r="F969" s="40"/>
      <c r="G969" s="40"/>
      <c r="H969" s="40"/>
      <c r="I969" s="40"/>
      <c r="J969" s="216"/>
      <c r="K969" s="40"/>
      <c r="L969" s="40"/>
      <c r="M969" s="40"/>
      <c r="N969" s="40"/>
      <c r="O969" s="40"/>
      <c r="P969" s="40"/>
      <c r="Q969" s="40"/>
      <c r="R969" s="40"/>
      <c r="S969" s="40"/>
      <c r="T969" s="40"/>
      <c r="U969" s="40"/>
      <c r="V969" s="40"/>
      <c r="W969" s="40"/>
      <c r="X969" s="40"/>
      <c r="Y969" s="40"/>
      <c r="Z969" s="40"/>
      <c r="AA969" s="40"/>
      <c r="AB969" s="40"/>
    </row>
    <row r="970">
      <c r="A970" s="805"/>
      <c r="B970" s="40"/>
      <c r="C970" s="40"/>
      <c r="D970" s="40"/>
      <c r="E970" s="40"/>
      <c r="F970" s="40"/>
      <c r="G970" s="40"/>
      <c r="H970" s="40"/>
      <c r="I970" s="40"/>
      <c r="J970" s="216"/>
      <c r="K970" s="40"/>
      <c r="L970" s="40"/>
      <c r="M970" s="40"/>
      <c r="N970" s="40"/>
      <c r="O970" s="40"/>
      <c r="P970" s="40"/>
      <c r="Q970" s="40"/>
      <c r="R970" s="40"/>
      <c r="S970" s="40"/>
      <c r="T970" s="40"/>
      <c r="U970" s="40"/>
      <c r="V970" s="40"/>
      <c r="W970" s="40"/>
      <c r="X970" s="40"/>
      <c r="Y970" s="40"/>
      <c r="Z970" s="40"/>
      <c r="AA970" s="40"/>
      <c r="AB970" s="40"/>
    </row>
    <row r="971">
      <c r="A971" s="805"/>
      <c r="B971" s="40"/>
      <c r="C971" s="40"/>
      <c r="D971" s="40"/>
      <c r="E971" s="40"/>
      <c r="F971" s="40"/>
      <c r="G971" s="40"/>
      <c r="H971" s="40"/>
      <c r="I971" s="40"/>
      <c r="J971" s="216"/>
      <c r="K971" s="40"/>
      <c r="L971" s="40"/>
      <c r="M971" s="40"/>
      <c r="N971" s="40"/>
      <c r="O971" s="40"/>
      <c r="P971" s="40"/>
      <c r="Q971" s="40"/>
      <c r="R971" s="40"/>
      <c r="S971" s="40"/>
      <c r="T971" s="40"/>
      <c r="U971" s="40"/>
      <c r="V971" s="40"/>
      <c r="W971" s="40"/>
      <c r="X971" s="40"/>
      <c r="Y971" s="40"/>
      <c r="Z971" s="40"/>
      <c r="AA971" s="40"/>
      <c r="AB971" s="40"/>
    </row>
    <row r="972">
      <c r="A972" s="805"/>
      <c r="B972" s="40"/>
      <c r="C972" s="40"/>
      <c r="D972" s="40"/>
      <c r="E972" s="40"/>
      <c r="F972" s="40"/>
      <c r="G972" s="40"/>
      <c r="H972" s="40"/>
      <c r="I972" s="40"/>
      <c r="J972" s="216"/>
      <c r="K972" s="40"/>
      <c r="L972" s="40"/>
      <c r="M972" s="40"/>
      <c r="N972" s="40"/>
      <c r="O972" s="40"/>
      <c r="P972" s="40"/>
      <c r="Q972" s="40"/>
      <c r="R972" s="40"/>
      <c r="S972" s="40"/>
      <c r="T972" s="40"/>
      <c r="U972" s="40"/>
      <c r="V972" s="40"/>
      <c r="W972" s="40"/>
      <c r="X972" s="40"/>
      <c r="Y972" s="40"/>
      <c r="Z972" s="40"/>
      <c r="AA972" s="40"/>
      <c r="AB972" s="40"/>
    </row>
    <row r="973">
      <c r="A973" s="805"/>
      <c r="B973" s="40"/>
      <c r="C973" s="40"/>
      <c r="D973" s="40"/>
      <c r="E973" s="40"/>
      <c r="F973" s="40"/>
      <c r="G973" s="40"/>
      <c r="H973" s="40"/>
      <c r="I973" s="40"/>
      <c r="J973" s="216"/>
      <c r="K973" s="40"/>
      <c r="L973" s="40"/>
      <c r="M973" s="40"/>
      <c r="N973" s="40"/>
      <c r="O973" s="40"/>
      <c r="P973" s="40"/>
      <c r="Q973" s="40"/>
      <c r="R973" s="40"/>
      <c r="S973" s="40"/>
      <c r="T973" s="40"/>
      <c r="U973" s="40"/>
      <c r="V973" s="40"/>
      <c r="W973" s="40"/>
      <c r="X973" s="40"/>
      <c r="Y973" s="40"/>
      <c r="Z973" s="40"/>
      <c r="AA973" s="40"/>
      <c r="AB973" s="40"/>
    </row>
    <row r="974">
      <c r="A974" s="805"/>
      <c r="B974" s="40"/>
      <c r="C974" s="40"/>
      <c r="D974" s="40"/>
      <c r="E974" s="40"/>
      <c r="F974" s="40"/>
      <c r="G974" s="40"/>
      <c r="H974" s="40"/>
      <c r="I974" s="40"/>
      <c r="J974" s="216"/>
      <c r="K974" s="40"/>
      <c r="L974" s="40"/>
      <c r="M974" s="40"/>
      <c r="N974" s="40"/>
      <c r="O974" s="40"/>
      <c r="P974" s="40"/>
      <c r="Q974" s="40"/>
      <c r="R974" s="40"/>
      <c r="S974" s="40"/>
      <c r="T974" s="40"/>
      <c r="U974" s="40"/>
      <c r="V974" s="40"/>
      <c r="W974" s="40"/>
      <c r="X974" s="40"/>
      <c r="Y974" s="40"/>
      <c r="Z974" s="40"/>
      <c r="AA974" s="40"/>
      <c r="AB974" s="40"/>
    </row>
    <row r="975">
      <c r="A975" s="805"/>
      <c r="B975" s="40"/>
      <c r="C975" s="40"/>
      <c r="D975" s="40"/>
      <c r="E975" s="40"/>
      <c r="F975" s="40"/>
      <c r="G975" s="40"/>
      <c r="H975" s="40"/>
      <c r="I975" s="40"/>
      <c r="J975" s="216"/>
      <c r="K975" s="40"/>
      <c r="L975" s="40"/>
      <c r="M975" s="40"/>
      <c r="N975" s="40"/>
      <c r="O975" s="40"/>
      <c r="P975" s="40"/>
      <c r="Q975" s="40"/>
      <c r="R975" s="40"/>
      <c r="S975" s="40"/>
      <c r="T975" s="40"/>
      <c r="U975" s="40"/>
      <c r="V975" s="40"/>
      <c r="W975" s="40"/>
      <c r="X975" s="40"/>
      <c r="Y975" s="40"/>
      <c r="Z975" s="40"/>
      <c r="AA975" s="40"/>
      <c r="AB975" s="40"/>
    </row>
    <row r="976">
      <c r="A976" s="805"/>
      <c r="B976" s="40"/>
      <c r="C976" s="40"/>
      <c r="D976" s="40"/>
      <c r="E976" s="40"/>
      <c r="F976" s="40"/>
      <c r="G976" s="40"/>
      <c r="H976" s="40"/>
      <c r="I976" s="40"/>
      <c r="J976" s="216"/>
      <c r="K976" s="40"/>
      <c r="L976" s="40"/>
      <c r="M976" s="40"/>
      <c r="N976" s="40"/>
      <c r="O976" s="40"/>
      <c r="P976" s="40"/>
      <c r="Q976" s="40"/>
      <c r="R976" s="40"/>
      <c r="S976" s="40"/>
      <c r="T976" s="40"/>
      <c r="U976" s="40"/>
      <c r="V976" s="40"/>
      <c r="W976" s="40"/>
      <c r="X976" s="40"/>
      <c r="Y976" s="40"/>
      <c r="Z976" s="40"/>
      <c r="AA976" s="40"/>
      <c r="AB976" s="40"/>
    </row>
    <row r="977">
      <c r="A977" s="805"/>
      <c r="B977" s="40"/>
      <c r="C977" s="40"/>
      <c r="D977" s="40"/>
      <c r="E977" s="40"/>
      <c r="F977" s="40"/>
      <c r="G977" s="40"/>
      <c r="H977" s="40"/>
      <c r="I977" s="40"/>
      <c r="J977" s="216"/>
      <c r="K977" s="40"/>
      <c r="L977" s="40"/>
      <c r="M977" s="40"/>
      <c r="N977" s="40"/>
      <c r="O977" s="40"/>
      <c r="P977" s="40"/>
      <c r="Q977" s="40"/>
      <c r="R977" s="40"/>
      <c r="S977" s="40"/>
      <c r="T977" s="40"/>
      <c r="U977" s="40"/>
      <c r="V977" s="40"/>
      <c r="W977" s="40"/>
      <c r="X977" s="40"/>
      <c r="Y977" s="40"/>
      <c r="Z977" s="40"/>
      <c r="AA977" s="40"/>
      <c r="AB977" s="40"/>
    </row>
    <row r="978">
      <c r="A978" s="805"/>
      <c r="B978" s="40"/>
      <c r="C978" s="40"/>
      <c r="D978" s="40"/>
      <c r="E978" s="40"/>
      <c r="F978" s="40"/>
      <c r="G978" s="40"/>
      <c r="H978" s="40"/>
      <c r="I978" s="40"/>
      <c r="J978" s="216"/>
      <c r="K978" s="40"/>
      <c r="L978" s="40"/>
      <c r="M978" s="40"/>
      <c r="N978" s="40"/>
      <c r="O978" s="40"/>
      <c r="P978" s="40"/>
      <c r="Q978" s="40"/>
      <c r="R978" s="40"/>
      <c r="S978" s="40"/>
      <c r="T978" s="40"/>
      <c r="U978" s="40"/>
      <c r="V978" s="40"/>
      <c r="W978" s="40"/>
      <c r="X978" s="40"/>
      <c r="Y978" s="40"/>
      <c r="Z978" s="40"/>
      <c r="AA978" s="40"/>
      <c r="AB978" s="40"/>
    </row>
    <row r="979">
      <c r="A979" s="805"/>
      <c r="B979" s="40"/>
      <c r="C979" s="40"/>
      <c r="D979" s="40"/>
      <c r="E979" s="40"/>
      <c r="F979" s="40"/>
      <c r="G979" s="40"/>
      <c r="H979" s="40"/>
      <c r="I979" s="40"/>
      <c r="J979" s="216"/>
      <c r="K979" s="40"/>
      <c r="L979" s="40"/>
      <c r="M979" s="40"/>
      <c r="N979" s="40"/>
      <c r="O979" s="40"/>
      <c r="P979" s="40"/>
      <c r="Q979" s="40"/>
      <c r="R979" s="40"/>
      <c r="S979" s="40"/>
      <c r="T979" s="40"/>
      <c r="U979" s="40"/>
      <c r="V979" s="40"/>
      <c r="W979" s="40"/>
      <c r="X979" s="40"/>
      <c r="Y979" s="40"/>
      <c r="Z979" s="40"/>
      <c r="AA979" s="40"/>
      <c r="AB979" s="40"/>
    </row>
    <row r="980">
      <c r="A980" s="805"/>
      <c r="B980" s="40"/>
      <c r="C980" s="40"/>
      <c r="D980" s="40"/>
      <c r="E980" s="40"/>
      <c r="F980" s="40"/>
      <c r="G980" s="40"/>
      <c r="H980" s="40"/>
      <c r="I980" s="40"/>
      <c r="J980" s="216"/>
      <c r="K980" s="40"/>
      <c r="L980" s="40"/>
      <c r="M980" s="40"/>
      <c r="N980" s="40"/>
      <c r="O980" s="40"/>
      <c r="P980" s="40"/>
      <c r="Q980" s="40"/>
      <c r="R980" s="40"/>
      <c r="S980" s="40"/>
      <c r="T980" s="40"/>
      <c r="U980" s="40"/>
      <c r="V980" s="40"/>
      <c r="W980" s="40"/>
      <c r="X980" s="40"/>
      <c r="Y980" s="40"/>
      <c r="Z980" s="40"/>
      <c r="AA980" s="40"/>
      <c r="AB980" s="40"/>
    </row>
    <row r="981">
      <c r="A981" s="805"/>
      <c r="B981" s="40"/>
      <c r="C981" s="40"/>
      <c r="D981" s="40"/>
      <c r="E981" s="40"/>
      <c r="F981" s="40"/>
      <c r="G981" s="40"/>
      <c r="H981" s="40"/>
      <c r="I981" s="40"/>
      <c r="J981" s="216"/>
      <c r="K981" s="40"/>
      <c r="L981" s="40"/>
      <c r="M981" s="40"/>
      <c r="N981" s="40"/>
      <c r="O981" s="40"/>
      <c r="P981" s="40"/>
      <c r="Q981" s="40"/>
      <c r="R981" s="40"/>
      <c r="S981" s="40"/>
      <c r="T981" s="40"/>
      <c r="U981" s="40"/>
      <c r="V981" s="40"/>
      <c r="W981" s="40"/>
      <c r="X981" s="40"/>
      <c r="Y981" s="40"/>
      <c r="Z981" s="40"/>
      <c r="AA981" s="40"/>
      <c r="AB981" s="40"/>
    </row>
    <row r="982">
      <c r="A982" s="805"/>
      <c r="B982" s="40"/>
      <c r="C982" s="40"/>
      <c r="D982" s="40"/>
      <c r="E982" s="40"/>
      <c r="F982" s="40"/>
      <c r="G982" s="40"/>
      <c r="H982" s="40"/>
      <c r="I982" s="40"/>
      <c r="J982" s="216"/>
      <c r="K982" s="40"/>
      <c r="L982" s="40"/>
      <c r="M982" s="40"/>
      <c r="N982" s="40"/>
      <c r="O982" s="40"/>
      <c r="P982" s="40"/>
      <c r="Q982" s="40"/>
      <c r="R982" s="40"/>
      <c r="S982" s="40"/>
      <c r="T982" s="40"/>
      <c r="U982" s="40"/>
      <c r="V982" s="40"/>
      <c r="W982" s="40"/>
      <c r="X982" s="40"/>
      <c r="Y982" s="40"/>
      <c r="Z982" s="40"/>
      <c r="AA982" s="40"/>
      <c r="AB982" s="40"/>
    </row>
    <row r="983">
      <c r="A983" s="805"/>
      <c r="B983" s="40"/>
      <c r="C983" s="40"/>
      <c r="D983" s="40"/>
      <c r="E983" s="40"/>
      <c r="F983" s="40"/>
      <c r="G983" s="40"/>
      <c r="H983" s="40"/>
      <c r="I983" s="40"/>
      <c r="J983" s="216"/>
      <c r="K983" s="40"/>
      <c r="L983" s="40"/>
      <c r="M983" s="40"/>
      <c r="N983" s="40"/>
      <c r="O983" s="40"/>
      <c r="P983" s="40"/>
      <c r="Q983" s="40"/>
      <c r="R983" s="40"/>
      <c r="S983" s="40"/>
      <c r="T983" s="40"/>
      <c r="U983" s="40"/>
      <c r="V983" s="40"/>
      <c r="W983" s="40"/>
      <c r="X983" s="40"/>
      <c r="Y983" s="40"/>
      <c r="Z983" s="40"/>
      <c r="AA983" s="40"/>
      <c r="AB983" s="40"/>
    </row>
    <row r="984">
      <c r="A984" s="805"/>
      <c r="B984" s="40"/>
      <c r="C984" s="40"/>
      <c r="D984" s="40"/>
      <c r="E984" s="40"/>
      <c r="F984" s="40"/>
      <c r="G984" s="40"/>
      <c r="H984" s="40"/>
      <c r="I984" s="40"/>
      <c r="J984" s="216"/>
      <c r="K984" s="40"/>
      <c r="L984" s="40"/>
      <c r="M984" s="40"/>
      <c r="N984" s="40"/>
      <c r="O984" s="40"/>
      <c r="P984" s="40"/>
      <c r="Q984" s="40"/>
      <c r="R984" s="40"/>
      <c r="S984" s="40"/>
      <c r="T984" s="40"/>
      <c r="U984" s="40"/>
      <c r="V984" s="40"/>
      <c r="W984" s="40"/>
      <c r="X984" s="40"/>
      <c r="Y984" s="40"/>
      <c r="Z984" s="40"/>
      <c r="AA984" s="40"/>
      <c r="AB984" s="40"/>
    </row>
    <row r="985">
      <c r="A985" s="805"/>
      <c r="B985" s="40"/>
      <c r="C985" s="40"/>
      <c r="D985" s="40"/>
      <c r="E985" s="40"/>
      <c r="F985" s="40"/>
      <c r="G985" s="40"/>
      <c r="H985" s="40"/>
      <c r="I985" s="40"/>
      <c r="J985" s="216"/>
      <c r="K985" s="40"/>
      <c r="L985" s="40"/>
      <c r="M985" s="40"/>
      <c r="N985" s="40"/>
      <c r="O985" s="40"/>
      <c r="P985" s="40"/>
      <c r="Q985" s="40"/>
      <c r="R985" s="40"/>
      <c r="S985" s="40"/>
      <c r="T985" s="40"/>
      <c r="U985" s="40"/>
      <c r="V985" s="40"/>
      <c r="W985" s="40"/>
      <c r="X985" s="40"/>
      <c r="Y985" s="40"/>
      <c r="Z985" s="40"/>
      <c r="AA985" s="40"/>
      <c r="AB985" s="40"/>
    </row>
    <row r="986">
      <c r="A986" s="805"/>
      <c r="B986" s="40"/>
      <c r="C986" s="40"/>
      <c r="D986" s="40"/>
      <c r="E986" s="40"/>
      <c r="F986" s="40"/>
      <c r="G986" s="40"/>
      <c r="H986" s="40"/>
      <c r="I986" s="40"/>
      <c r="J986" s="216"/>
      <c r="K986" s="40"/>
      <c r="L986" s="40"/>
      <c r="M986" s="40"/>
      <c r="N986" s="40"/>
      <c r="O986" s="40"/>
      <c r="P986" s="40"/>
      <c r="Q986" s="40"/>
      <c r="R986" s="40"/>
      <c r="S986" s="40"/>
      <c r="T986" s="40"/>
      <c r="U986" s="40"/>
      <c r="V986" s="40"/>
      <c r="W986" s="40"/>
      <c r="X986" s="40"/>
      <c r="Y986" s="40"/>
      <c r="Z986" s="40"/>
      <c r="AA986" s="40"/>
      <c r="AB986" s="40"/>
    </row>
    <row r="987">
      <c r="A987" s="805"/>
      <c r="B987" s="40"/>
      <c r="C987" s="40"/>
      <c r="D987" s="40"/>
      <c r="E987" s="40"/>
      <c r="F987" s="40"/>
      <c r="G987" s="40"/>
      <c r="H987" s="40"/>
      <c r="I987" s="40"/>
      <c r="J987" s="216"/>
      <c r="K987" s="40"/>
      <c r="L987" s="40"/>
      <c r="M987" s="40"/>
      <c r="N987" s="40"/>
      <c r="O987" s="40"/>
      <c r="P987" s="40"/>
      <c r="Q987" s="40"/>
      <c r="R987" s="40"/>
      <c r="S987" s="40"/>
      <c r="T987" s="40"/>
      <c r="U987" s="40"/>
      <c r="V987" s="40"/>
      <c r="W987" s="40"/>
      <c r="X987" s="40"/>
      <c r="Y987" s="40"/>
      <c r="Z987" s="40"/>
      <c r="AA987" s="40"/>
      <c r="AB987" s="40"/>
    </row>
    <row r="988">
      <c r="A988" s="805"/>
      <c r="B988" s="40"/>
      <c r="C988" s="40"/>
      <c r="D988" s="40"/>
      <c r="E988" s="40"/>
      <c r="F988" s="40"/>
      <c r="G988" s="40"/>
      <c r="H988" s="40"/>
      <c r="I988" s="40"/>
      <c r="J988" s="216"/>
      <c r="K988" s="40"/>
      <c r="L988" s="40"/>
      <c r="M988" s="40"/>
      <c r="N988" s="40"/>
      <c r="O988" s="40"/>
      <c r="P988" s="40"/>
      <c r="Q988" s="40"/>
      <c r="R988" s="40"/>
      <c r="S988" s="40"/>
      <c r="T988" s="40"/>
      <c r="U988" s="40"/>
      <c r="V988" s="40"/>
      <c r="W988" s="40"/>
      <c r="X988" s="40"/>
      <c r="Y988" s="40"/>
      <c r="Z988" s="40"/>
      <c r="AA988" s="40"/>
      <c r="AB988" s="40"/>
    </row>
    <row r="989">
      <c r="A989" s="805"/>
      <c r="B989" s="40"/>
      <c r="C989" s="40"/>
      <c r="D989" s="40"/>
      <c r="E989" s="40"/>
      <c r="F989" s="40"/>
      <c r="G989" s="40"/>
      <c r="H989" s="40"/>
      <c r="I989" s="40"/>
      <c r="J989" s="216"/>
      <c r="K989" s="40"/>
      <c r="L989" s="40"/>
      <c r="M989" s="40"/>
      <c r="N989" s="40"/>
      <c r="O989" s="40"/>
      <c r="P989" s="40"/>
      <c r="Q989" s="40"/>
      <c r="R989" s="40"/>
      <c r="S989" s="40"/>
      <c r="T989" s="40"/>
      <c r="U989" s="40"/>
      <c r="V989" s="40"/>
      <c r="W989" s="40"/>
      <c r="X989" s="40"/>
      <c r="Y989" s="40"/>
      <c r="Z989" s="40"/>
      <c r="AA989" s="40"/>
      <c r="AB989" s="40"/>
    </row>
    <row r="990">
      <c r="A990" s="805"/>
      <c r="B990" s="40"/>
      <c r="C990" s="40"/>
      <c r="D990" s="40"/>
      <c r="E990" s="40"/>
      <c r="F990" s="40"/>
      <c r="G990" s="40"/>
      <c r="H990" s="40"/>
      <c r="I990" s="40"/>
      <c r="J990" s="216"/>
      <c r="K990" s="40"/>
      <c r="L990" s="40"/>
      <c r="M990" s="40"/>
      <c r="N990" s="40"/>
      <c r="O990" s="40"/>
      <c r="P990" s="40"/>
      <c r="Q990" s="40"/>
      <c r="R990" s="40"/>
      <c r="S990" s="40"/>
      <c r="T990" s="40"/>
      <c r="U990" s="40"/>
      <c r="V990" s="40"/>
      <c r="W990" s="40"/>
      <c r="X990" s="40"/>
      <c r="Y990" s="40"/>
      <c r="Z990" s="40"/>
      <c r="AA990" s="40"/>
      <c r="AB990" s="40"/>
    </row>
    <row r="991">
      <c r="A991" s="805"/>
      <c r="B991" s="40"/>
      <c r="C991" s="40"/>
      <c r="D991" s="40"/>
      <c r="E991" s="40"/>
      <c r="F991" s="40"/>
      <c r="G991" s="40"/>
      <c r="H991" s="40"/>
      <c r="I991" s="40"/>
      <c r="J991" s="216"/>
      <c r="K991" s="40"/>
      <c r="L991" s="40"/>
      <c r="M991" s="40"/>
      <c r="N991" s="40"/>
      <c r="O991" s="40"/>
      <c r="P991" s="40"/>
      <c r="Q991" s="40"/>
      <c r="R991" s="40"/>
      <c r="S991" s="40"/>
      <c r="T991" s="40"/>
      <c r="U991" s="40"/>
      <c r="V991" s="40"/>
      <c r="W991" s="40"/>
      <c r="X991" s="40"/>
      <c r="Y991" s="40"/>
      <c r="Z991" s="40"/>
      <c r="AA991" s="40"/>
      <c r="AB991" s="40"/>
    </row>
    <row r="992">
      <c r="A992" s="805"/>
      <c r="B992" s="40"/>
      <c r="C992" s="40"/>
      <c r="D992" s="40"/>
      <c r="E992" s="40"/>
      <c r="F992" s="40"/>
      <c r="G992" s="40"/>
      <c r="H992" s="40"/>
      <c r="I992" s="40"/>
      <c r="J992" s="216"/>
      <c r="K992" s="40"/>
      <c r="L992" s="40"/>
      <c r="M992" s="40"/>
      <c r="N992" s="40"/>
      <c r="O992" s="40"/>
      <c r="P992" s="40"/>
      <c r="Q992" s="40"/>
      <c r="R992" s="40"/>
      <c r="S992" s="40"/>
      <c r="T992" s="40"/>
      <c r="U992" s="40"/>
      <c r="V992" s="40"/>
      <c r="W992" s="40"/>
      <c r="X992" s="40"/>
      <c r="Y992" s="40"/>
      <c r="Z992" s="40"/>
      <c r="AA992" s="40"/>
      <c r="AB992" s="40"/>
    </row>
    <row r="993">
      <c r="A993" s="805"/>
      <c r="B993" s="40"/>
      <c r="C993" s="40"/>
      <c r="D993" s="40"/>
      <c r="E993" s="40"/>
      <c r="F993" s="40"/>
      <c r="G993" s="40"/>
      <c r="H993" s="40"/>
      <c r="I993" s="40"/>
      <c r="J993" s="216"/>
      <c r="K993" s="40"/>
      <c r="L993" s="40"/>
      <c r="M993" s="40"/>
      <c r="N993" s="40"/>
      <c r="O993" s="40"/>
      <c r="P993" s="40"/>
      <c r="Q993" s="40"/>
      <c r="R993" s="40"/>
      <c r="S993" s="40"/>
      <c r="T993" s="40"/>
      <c r="U993" s="40"/>
      <c r="V993" s="40"/>
      <c r="W993" s="40"/>
      <c r="X993" s="40"/>
      <c r="Y993" s="40"/>
      <c r="Z993" s="40"/>
      <c r="AA993" s="40"/>
      <c r="AB993" s="40"/>
    </row>
    <row r="994">
      <c r="A994" s="805"/>
      <c r="B994" s="40"/>
      <c r="C994" s="40"/>
      <c r="D994" s="40"/>
      <c r="E994" s="40"/>
      <c r="F994" s="40"/>
      <c r="G994" s="40"/>
      <c r="H994" s="40"/>
      <c r="I994" s="40"/>
      <c r="J994" s="216"/>
      <c r="K994" s="40"/>
      <c r="L994" s="40"/>
      <c r="M994" s="40"/>
      <c r="N994" s="40"/>
      <c r="O994" s="40"/>
      <c r="P994" s="40"/>
      <c r="Q994" s="40"/>
      <c r="R994" s="40"/>
      <c r="S994" s="40"/>
      <c r="T994" s="40"/>
      <c r="U994" s="40"/>
      <c r="V994" s="40"/>
      <c r="W994" s="40"/>
      <c r="X994" s="40"/>
      <c r="Y994" s="40"/>
      <c r="Z994" s="40"/>
      <c r="AA994" s="40"/>
      <c r="AB994" s="40"/>
    </row>
    <row r="995">
      <c r="A995" s="805"/>
      <c r="B995" s="40"/>
      <c r="C995" s="40"/>
      <c r="D995" s="40"/>
      <c r="E995" s="40"/>
      <c r="F995" s="40"/>
      <c r="G995" s="40"/>
      <c r="H995" s="40"/>
      <c r="I995" s="40"/>
      <c r="J995" s="216"/>
      <c r="K995" s="40"/>
      <c r="L995" s="40"/>
      <c r="M995" s="40"/>
      <c r="N995" s="40"/>
      <c r="O995" s="40"/>
      <c r="P995" s="40"/>
      <c r="Q995" s="40"/>
      <c r="R995" s="40"/>
      <c r="S995" s="40"/>
      <c r="T995" s="40"/>
      <c r="U995" s="40"/>
      <c r="V995" s="40"/>
      <c r="W995" s="40"/>
      <c r="X995" s="40"/>
      <c r="Y995" s="40"/>
      <c r="Z995" s="40"/>
      <c r="AA995" s="40"/>
      <c r="AB995" s="40"/>
    </row>
    <row r="996">
      <c r="A996" s="805"/>
      <c r="B996" s="40"/>
      <c r="C996" s="40"/>
      <c r="D996" s="40"/>
      <c r="E996" s="40"/>
      <c r="F996" s="40"/>
      <c r="G996" s="40"/>
      <c r="H996" s="40"/>
      <c r="I996" s="40"/>
      <c r="J996" s="216"/>
      <c r="K996" s="40"/>
      <c r="L996" s="40"/>
      <c r="M996" s="40"/>
      <c r="N996" s="40"/>
      <c r="O996" s="40"/>
      <c r="P996" s="40"/>
      <c r="Q996" s="40"/>
      <c r="R996" s="40"/>
      <c r="S996" s="40"/>
      <c r="T996" s="40"/>
      <c r="U996" s="40"/>
      <c r="V996" s="40"/>
      <c r="W996" s="40"/>
      <c r="X996" s="40"/>
      <c r="Y996" s="40"/>
      <c r="Z996" s="40"/>
      <c r="AA996" s="40"/>
      <c r="AB996" s="40"/>
    </row>
    <row r="997">
      <c r="A997" s="805"/>
      <c r="B997" s="40"/>
      <c r="C997" s="40"/>
      <c r="D997" s="40"/>
      <c r="E997" s="40"/>
      <c r="F997" s="40"/>
      <c r="G997" s="40"/>
      <c r="H997" s="40"/>
      <c r="I997" s="40"/>
      <c r="J997" s="216"/>
      <c r="K997" s="40"/>
      <c r="L997" s="40"/>
      <c r="M997" s="40"/>
      <c r="N997" s="40"/>
      <c r="O997" s="40"/>
      <c r="P997" s="40"/>
      <c r="Q997" s="40"/>
      <c r="R997" s="40"/>
      <c r="S997" s="40"/>
      <c r="T997" s="40"/>
      <c r="U997" s="40"/>
      <c r="V997" s="40"/>
      <c r="W997" s="40"/>
      <c r="X997" s="40"/>
      <c r="Y997" s="40"/>
      <c r="Z997" s="40"/>
      <c r="AA997" s="40"/>
      <c r="AB997" s="40"/>
    </row>
    <row r="998">
      <c r="A998" s="805"/>
      <c r="B998" s="40"/>
      <c r="C998" s="40"/>
      <c r="D998" s="40"/>
      <c r="E998" s="40"/>
      <c r="F998" s="40"/>
      <c r="G998" s="40"/>
      <c r="H998" s="40"/>
      <c r="I998" s="40"/>
      <c r="J998" s="216"/>
      <c r="K998" s="40"/>
      <c r="L998" s="40"/>
      <c r="M998" s="40"/>
      <c r="N998" s="40"/>
      <c r="O998" s="40"/>
      <c r="P998" s="40"/>
      <c r="Q998" s="40"/>
      <c r="R998" s="40"/>
      <c r="S998" s="40"/>
      <c r="T998" s="40"/>
      <c r="U998" s="40"/>
      <c r="V998" s="40"/>
      <c r="W998" s="40"/>
      <c r="X998" s="40"/>
      <c r="Y998" s="40"/>
      <c r="Z998" s="40"/>
      <c r="AA998" s="40"/>
      <c r="AB998" s="40"/>
    </row>
    <row r="999">
      <c r="A999" s="805"/>
      <c r="B999" s="40"/>
      <c r="C999" s="40"/>
      <c r="D999" s="40"/>
      <c r="E999" s="40"/>
      <c r="F999" s="40"/>
      <c r="G999" s="40"/>
      <c r="H999" s="40"/>
      <c r="I999" s="40"/>
      <c r="J999" s="216"/>
      <c r="K999" s="40"/>
      <c r="L999" s="40"/>
      <c r="M999" s="40"/>
      <c r="N999" s="40"/>
      <c r="O999" s="40"/>
      <c r="P999" s="40"/>
      <c r="Q999" s="40"/>
      <c r="R999" s="40"/>
      <c r="S999" s="40"/>
      <c r="T999" s="40"/>
      <c r="U999" s="40"/>
      <c r="V999" s="40"/>
      <c r="W999" s="40"/>
      <c r="X999" s="40"/>
      <c r="Y999" s="40"/>
      <c r="Z999" s="40"/>
      <c r="AA999" s="40"/>
      <c r="AB999" s="40"/>
    </row>
    <row r="1000">
      <c r="A1000" s="805"/>
      <c r="B1000" s="40"/>
      <c r="C1000" s="40"/>
      <c r="D1000" s="40"/>
      <c r="E1000" s="40"/>
      <c r="F1000" s="40"/>
      <c r="G1000" s="40"/>
      <c r="H1000" s="40"/>
      <c r="I1000" s="40"/>
      <c r="J1000" s="216"/>
      <c r="K1000" s="40"/>
      <c r="L1000" s="40"/>
      <c r="M1000" s="40"/>
      <c r="N1000" s="40"/>
      <c r="O1000" s="40"/>
      <c r="P1000" s="40"/>
      <c r="Q1000" s="40"/>
      <c r="R1000" s="40"/>
      <c r="S1000" s="40"/>
      <c r="T1000" s="40"/>
      <c r="U1000" s="40"/>
      <c r="V1000" s="40"/>
      <c r="W1000" s="40"/>
      <c r="X1000" s="40"/>
      <c r="Y1000" s="40"/>
      <c r="Z1000" s="40"/>
      <c r="AA1000" s="40"/>
      <c r="AB1000" s="40"/>
    </row>
    <row r="1001">
      <c r="A1001" s="805"/>
      <c r="B1001" s="40"/>
      <c r="C1001" s="40"/>
      <c r="D1001" s="40"/>
      <c r="E1001" s="40"/>
      <c r="F1001" s="40"/>
      <c r="G1001" s="40"/>
      <c r="H1001" s="40"/>
      <c r="I1001" s="40"/>
      <c r="J1001" s="216"/>
      <c r="K1001" s="40"/>
      <c r="L1001" s="40"/>
      <c r="M1001" s="40"/>
      <c r="N1001" s="40"/>
      <c r="O1001" s="40"/>
      <c r="P1001" s="40"/>
      <c r="Q1001" s="40"/>
      <c r="R1001" s="40"/>
      <c r="S1001" s="40"/>
      <c r="T1001" s="40"/>
      <c r="U1001" s="40"/>
      <c r="V1001" s="40"/>
      <c r="W1001" s="40"/>
      <c r="X1001" s="40"/>
      <c r="Y1001" s="40"/>
      <c r="Z1001" s="40"/>
      <c r="AA1001" s="40"/>
      <c r="AB1001" s="40"/>
    </row>
    <row r="1002">
      <c r="A1002" s="805"/>
      <c r="B1002" s="40"/>
      <c r="C1002" s="40"/>
      <c r="D1002" s="40"/>
      <c r="E1002" s="40"/>
      <c r="F1002" s="40"/>
      <c r="G1002" s="40"/>
      <c r="H1002" s="40"/>
      <c r="I1002" s="40"/>
      <c r="J1002" s="216"/>
      <c r="K1002" s="40"/>
      <c r="L1002" s="40"/>
      <c r="M1002" s="40"/>
      <c r="N1002" s="40"/>
      <c r="O1002" s="40"/>
      <c r="P1002" s="40"/>
      <c r="Q1002" s="40"/>
      <c r="R1002" s="40"/>
      <c r="S1002" s="40"/>
      <c r="T1002" s="40"/>
      <c r="U1002" s="40"/>
      <c r="V1002" s="40"/>
      <c r="W1002" s="40"/>
      <c r="X1002" s="40"/>
      <c r="Y1002" s="40"/>
      <c r="Z1002" s="40"/>
      <c r="AA1002" s="40"/>
      <c r="AB1002" s="40"/>
    </row>
    <row r="1003">
      <c r="A1003" s="805"/>
      <c r="B1003" s="40"/>
      <c r="C1003" s="40"/>
      <c r="D1003" s="40"/>
      <c r="E1003" s="40"/>
      <c r="F1003" s="40"/>
      <c r="G1003" s="40"/>
      <c r="H1003" s="40"/>
      <c r="I1003" s="40"/>
      <c r="J1003" s="216"/>
      <c r="K1003" s="40"/>
      <c r="L1003" s="40"/>
      <c r="M1003" s="40"/>
      <c r="N1003" s="40"/>
      <c r="O1003" s="40"/>
      <c r="P1003" s="40"/>
      <c r="Q1003" s="40"/>
      <c r="R1003" s="40"/>
      <c r="S1003" s="40"/>
      <c r="T1003" s="40"/>
      <c r="U1003" s="40"/>
      <c r="V1003" s="40"/>
      <c r="W1003" s="40"/>
      <c r="X1003" s="40"/>
      <c r="Y1003" s="40"/>
      <c r="Z1003" s="40"/>
      <c r="AA1003" s="40"/>
      <c r="AB1003" s="40"/>
    </row>
    <row r="1004">
      <c r="A1004" s="805"/>
      <c r="B1004" s="40"/>
      <c r="C1004" s="40"/>
      <c r="D1004" s="40"/>
      <c r="E1004" s="40"/>
      <c r="F1004" s="40"/>
      <c r="G1004" s="40"/>
      <c r="H1004" s="40"/>
      <c r="I1004" s="40"/>
      <c r="J1004" s="216"/>
      <c r="K1004" s="40"/>
      <c r="L1004" s="40"/>
      <c r="M1004" s="40"/>
      <c r="N1004" s="40"/>
      <c r="O1004" s="40"/>
      <c r="P1004" s="40"/>
      <c r="Q1004" s="40"/>
      <c r="R1004" s="40"/>
      <c r="S1004" s="40"/>
      <c r="T1004" s="40"/>
      <c r="U1004" s="40"/>
      <c r="V1004" s="40"/>
      <c r="W1004" s="40"/>
      <c r="X1004" s="40"/>
      <c r="Y1004" s="40"/>
      <c r="Z1004" s="40"/>
      <c r="AA1004" s="40"/>
      <c r="AB1004" s="40"/>
    </row>
    <row r="1005">
      <c r="A1005" s="805"/>
      <c r="B1005" s="40"/>
      <c r="C1005" s="40"/>
      <c r="D1005" s="40"/>
      <c r="E1005" s="40"/>
      <c r="F1005" s="40"/>
      <c r="G1005" s="40"/>
      <c r="H1005" s="40"/>
      <c r="I1005" s="40"/>
      <c r="J1005" s="216"/>
      <c r="K1005" s="40"/>
      <c r="L1005" s="40"/>
      <c r="M1005" s="40"/>
      <c r="N1005" s="40"/>
      <c r="O1005" s="40"/>
      <c r="P1005" s="40"/>
      <c r="Q1005" s="40"/>
      <c r="R1005" s="40"/>
      <c r="S1005" s="40"/>
      <c r="T1005" s="40"/>
      <c r="U1005" s="40"/>
      <c r="V1005" s="40"/>
      <c r="W1005" s="40"/>
      <c r="X1005" s="40"/>
      <c r="Y1005" s="40"/>
      <c r="Z1005" s="40"/>
      <c r="AA1005" s="40"/>
      <c r="AB1005" s="40"/>
    </row>
    <row r="1006">
      <c r="A1006" s="805"/>
      <c r="B1006" s="40"/>
      <c r="C1006" s="40"/>
      <c r="D1006" s="40"/>
      <c r="E1006" s="40"/>
      <c r="F1006" s="40"/>
      <c r="G1006" s="40"/>
      <c r="H1006" s="40"/>
      <c r="I1006" s="40"/>
      <c r="J1006" s="216"/>
      <c r="K1006" s="40"/>
      <c r="L1006" s="40"/>
      <c r="M1006" s="40"/>
      <c r="N1006" s="40"/>
      <c r="O1006" s="40"/>
      <c r="P1006" s="40"/>
      <c r="Q1006" s="40"/>
      <c r="R1006" s="40"/>
      <c r="S1006" s="40"/>
      <c r="T1006" s="40"/>
      <c r="U1006" s="40"/>
      <c r="V1006" s="40"/>
      <c r="W1006" s="40"/>
      <c r="X1006" s="40"/>
      <c r="Y1006" s="40"/>
      <c r="Z1006" s="40"/>
      <c r="AA1006" s="40"/>
      <c r="AB1006" s="40"/>
    </row>
    <row r="1007">
      <c r="A1007" s="805"/>
      <c r="B1007" s="40"/>
      <c r="C1007" s="40"/>
      <c r="D1007" s="40"/>
      <c r="E1007" s="40"/>
      <c r="F1007" s="40"/>
      <c r="G1007" s="40"/>
      <c r="H1007" s="40"/>
      <c r="I1007" s="40"/>
      <c r="J1007" s="216"/>
      <c r="K1007" s="40"/>
      <c r="L1007" s="40"/>
      <c r="M1007" s="40"/>
      <c r="N1007" s="40"/>
      <c r="O1007" s="40"/>
      <c r="P1007" s="40"/>
      <c r="Q1007" s="40"/>
      <c r="R1007" s="40"/>
      <c r="S1007" s="40"/>
      <c r="T1007" s="40"/>
      <c r="U1007" s="40"/>
      <c r="V1007" s="40"/>
      <c r="W1007" s="40"/>
      <c r="X1007" s="40"/>
      <c r="Y1007" s="40"/>
      <c r="Z1007" s="40"/>
      <c r="AA1007" s="40"/>
      <c r="AB1007" s="40"/>
    </row>
    <row r="1008">
      <c r="A1008" s="805"/>
      <c r="B1008" s="40"/>
      <c r="C1008" s="40"/>
      <c r="D1008" s="40"/>
      <c r="E1008" s="40"/>
      <c r="F1008" s="40"/>
      <c r="G1008" s="40"/>
      <c r="H1008" s="40"/>
      <c r="I1008" s="40"/>
      <c r="J1008" s="216"/>
      <c r="K1008" s="40"/>
      <c r="L1008" s="40"/>
      <c r="M1008" s="40"/>
      <c r="N1008" s="40"/>
      <c r="O1008" s="40"/>
      <c r="P1008" s="40"/>
      <c r="Q1008" s="40"/>
      <c r="R1008" s="40"/>
      <c r="S1008" s="40"/>
      <c r="T1008" s="40"/>
      <c r="U1008" s="40"/>
      <c r="V1008" s="40"/>
      <c r="W1008" s="40"/>
      <c r="X1008" s="40"/>
      <c r="Y1008" s="40"/>
      <c r="Z1008" s="40"/>
      <c r="AA1008" s="40"/>
      <c r="AB1008" s="40"/>
    </row>
    <row r="1009">
      <c r="A1009" s="805"/>
      <c r="B1009" s="40"/>
      <c r="C1009" s="40"/>
      <c r="D1009" s="40"/>
      <c r="E1009" s="40"/>
      <c r="F1009" s="40"/>
      <c r="G1009" s="40"/>
      <c r="H1009" s="40"/>
      <c r="I1009" s="40"/>
      <c r="J1009" s="216"/>
      <c r="K1009" s="40"/>
      <c r="L1009" s="40"/>
      <c r="M1009" s="40"/>
      <c r="N1009" s="40"/>
      <c r="O1009" s="40"/>
      <c r="P1009" s="40"/>
      <c r="Q1009" s="40"/>
      <c r="R1009" s="40"/>
      <c r="S1009" s="40"/>
      <c r="T1009" s="40"/>
      <c r="U1009" s="40"/>
      <c r="V1009" s="40"/>
      <c r="W1009" s="40"/>
      <c r="X1009" s="40"/>
      <c r="Y1009" s="40"/>
      <c r="Z1009" s="40"/>
      <c r="AA1009" s="40"/>
      <c r="AB1009" s="40"/>
    </row>
    <row r="1010">
      <c r="A1010" s="805"/>
      <c r="B1010" s="40"/>
      <c r="C1010" s="40"/>
      <c r="D1010" s="40"/>
      <c r="E1010" s="40"/>
      <c r="F1010" s="40"/>
      <c r="G1010" s="40"/>
      <c r="H1010" s="40"/>
      <c r="I1010" s="40"/>
      <c r="J1010" s="216"/>
      <c r="K1010" s="40"/>
      <c r="L1010" s="40"/>
      <c r="M1010" s="40"/>
      <c r="N1010" s="40"/>
      <c r="O1010" s="40"/>
      <c r="P1010" s="40"/>
      <c r="Q1010" s="40"/>
      <c r="R1010" s="40"/>
      <c r="S1010" s="40"/>
      <c r="T1010" s="40"/>
      <c r="U1010" s="40"/>
      <c r="V1010" s="40"/>
      <c r="W1010" s="40"/>
      <c r="X1010" s="40"/>
      <c r="Y1010" s="40"/>
      <c r="Z1010" s="40"/>
      <c r="AA1010" s="40"/>
      <c r="AB1010" s="40"/>
    </row>
    <row r="1011">
      <c r="A1011" s="805"/>
      <c r="B1011" s="40"/>
      <c r="C1011" s="40"/>
      <c r="D1011" s="40"/>
      <c r="E1011" s="40"/>
      <c r="F1011" s="40"/>
      <c r="G1011" s="40"/>
      <c r="H1011" s="40"/>
      <c r="I1011" s="40"/>
      <c r="J1011" s="216"/>
      <c r="K1011" s="40"/>
      <c r="L1011" s="40"/>
      <c r="M1011" s="40"/>
      <c r="N1011" s="40"/>
      <c r="O1011" s="40"/>
      <c r="P1011" s="40"/>
      <c r="Q1011" s="40"/>
      <c r="R1011" s="40"/>
      <c r="S1011" s="40"/>
      <c r="T1011" s="40"/>
      <c r="U1011" s="40"/>
      <c r="V1011" s="40"/>
      <c r="W1011" s="40"/>
      <c r="X1011" s="40"/>
      <c r="Y1011" s="40"/>
      <c r="Z1011" s="40"/>
      <c r="AA1011" s="40"/>
      <c r="AB1011" s="40"/>
    </row>
    <row r="1012">
      <c r="A1012" s="805"/>
      <c r="B1012" s="40"/>
      <c r="C1012" s="40"/>
      <c r="D1012" s="40"/>
      <c r="E1012" s="40"/>
      <c r="F1012" s="40"/>
      <c r="G1012" s="40"/>
      <c r="H1012" s="40"/>
      <c r="I1012" s="40"/>
      <c r="J1012" s="216"/>
      <c r="K1012" s="40"/>
      <c r="L1012" s="40"/>
      <c r="M1012" s="40"/>
      <c r="N1012" s="40"/>
      <c r="O1012" s="40"/>
      <c r="P1012" s="40"/>
      <c r="Q1012" s="40"/>
      <c r="R1012" s="40"/>
      <c r="S1012" s="40"/>
      <c r="T1012" s="40"/>
      <c r="U1012" s="40"/>
      <c r="V1012" s="40"/>
      <c r="W1012" s="40"/>
      <c r="X1012" s="40"/>
      <c r="Y1012" s="40"/>
      <c r="Z1012" s="40"/>
      <c r="AA1012" s="40"/>
      <c r="AB1012" s="40"/>
    </row>
    <row r="1013">
      <c r="A1013" s="805"/>
      <c r="B1013" s="40"/>
      <c r="C1013" s="40"/>
      <c r="D1013" s="40"/>
      <c r="E1013" s="40"/>
      <c r="F1013" s="40"/>
      <c r="G1013" s="40"/>
      <c r="H1013" s="40"/>
      <c r="I1013" s="40"/>
      <c r="J1013" s="216"/>
      <c r="K1013" s="40"/>
      <c r="L1013" s="40"/>
      <c r="M1013" s="40"/>
      <c r="N1013" s="40"/>
      <c r="O1013" s="40"/>
      <c r="P1013" s="40"/>
      <c r="Q1013" s="40"/>
      <c r="R1013" s="40"/>
      <c r="S1013" s="40"/>
      <c r="T1013" s="40"/>
      <c r="U1013" s="40"/>
      <c r="V1013" s="40"/>
      <c r="W1013" s="40"/>
      <c r="X1013" s="40"/>
      <c r="Y1013" s="40"/>
      <c r="Z1013" s="40"/>
      <c r="AA1013" s="40"/>
      <c r="AB1013" s="40"/>
    </row>
    <row r="1014">
      <c r="A1014" s="805"/>
      <c r="B1014" s="40"/>
      <c r="C1014" s="40"/>
      <c r="D1014" s="40"/>
      <c r="E1014" s="40"/>
      <c r="F1014" s="40"/>
      <c r="G1014" s="40"/>
      <c r="H1014" s="40"/>
      <c r="I1014" s="40"/>
      <c r="J1014" s="216"/>
      <c r="K1014" s="40"/>
      <c r="L1014" s="40"/>
      <c r="M1014" s="40"/>
      <c r="N1014" s="40"/>
      <c r="O1014" s="40"/>
      <c r="P1014" s="40"/>
      <c r="Q1014" s="40"/>
      <c r="R1014" s="40"/>
      <c r="S1014" s="40"/>
      <c r="T1014" s="40"/>
      <c r="U1014" s="40"/>
      <c r="V1014" s="40"/>
      <c r="W1014" s="40"/>
      <c r="X1014" s="40"/>
      <c r="Y1014" s="40"/>
      <c r="Z1014" s="40"/>
      <c r="AA1014" s="40"/>
      <c r="AB1014" s="40"/>
    </row>
    <row r="1015">
      <c r="A1015" s="805"/>
      <c r="B1015" s="40"/>
      <c r="C1015" s="40"/>
      <c r="D1015" s="40"/>
      <c r="E1015" s="40"/>
      <c r="F1015" s="40"/>
      <c r="G1015" s="40"/>
      <c r="H1015" s="40"/>
      <c r="I1015" s="40"/>
      <c r="J1015" s="216"/>
      <c r="K1015" s="40"/>
      <c r="L1015" s="40"/>
      <c r="M1015" s="40"/>
      <c r="N1015" s="40"/>
      <c r="O1015" s="40"/>
      <c r="P1015" s="40"/>
      <c r="Q1015" s="40"/>
      <c r="R1015" s="40"/>
      <c r="S1015" s="40"/>
      <c r="T1015" s="40"/>
      <c r="U1015" s="40"/>
      <c r="V1015" s="40"/>
      <c r="W1015" s="40"/>
      <c r="X1015" s="40"/>
      <c r="Y1015" s="40"/>
      <c r="Z1015" s="40"/>
      <c r="AA1015" s="40"/>
      <c r="AB1015" s="40"/>
    </row>
    <row r="1016">
      <c r="A1016" s="805"/>
      <c r="B1016" s="40"/>
      <c r="C1016" s="40"/>
      <c r="D1016" s="40"/>
      <c r="E1016" s="40"/>
      <c r="F1016" s="40"/>
      <c r="G1016" s="40"/>
      <c r="H1016" s="40"/>
      <c r="I1016" s="40"/>
      <c r="J1016" s="216"/>
      <c r="K1016" s="40"/>
      <c r="L1016" s="40"/>
      <c r="M1016" s="40"/>
      <c r="N1016" s="40"/>
      <c r="O1016" s="40"/>
      <c r="P1016" s="40"/>
      <c r="Q1016" s="40"/>
      <c r="R1016" s="40"/>
      <c r="S1016" s="40"/>
      <c r="T1016" s="40"/>
      <c r="U1016" s="40"/>
      <c r="V1016" s="40"/>
      <c r="W1016" s="40"/>
      <c r="X1016" s="40"/>
      <c r="Y1016" s="40"/>
      <c r="Z1016" s="40"/>
      <c r="AA1016" s="40"/>
      <c r="AB1016" s="40"/>
    </row>
    <row r="1017">
      <c r="A1017" s="805"/>
      <c r="B1017" s="40"/>
      <c r="C1017" s="40"/>
      <c r="D1017" s="40"/>
      <c r="E1017" s="40"/>
      <c r="F1017" s="40"/>
      <c r="G1017" s="40"/>
      <c r="H1017" s="40"/>
      <c r="I1017" s="40"/>
      <c r="J1017" s="216"/>
      <c r="K1017" s="40"/>
      <c r="L1017" s="40"/>
      <c r="M1017" s="40"/>
      <c r="N1017" s="40"/>
      <c r="O1017" s="40"/>
      <c r="P1017" s="40"/>
      <c r="Q1017" s="40"/>
      <c r="R1017" s="40"/>
      <c r="S1017" s="40"/>
      <c r="T1017" s="40"/>
      <c r="U1017" s="40"/>
      <c r="V1017" s="40"/>
      <c r="W1017" s="40"/>
      <c r="X1017" s="40"/>
      <c r="Y1017" s="40"/>
      <c r="Z1017" s="40"/>
      <c r="AA1017" s="40"/>
      <c r="AB1017" s="40"/>
    </row>
    <row r="1018">
      <c r="A1018" s="805"/>
      <c r="B1018" s="40"/>
      <c r="C1018" s="40"/>
      <c r="D1018" s="40"/>
      <c r="E1018" s="40"/>
      <c r="F1018" s="40"/>
      <c r="G1018" s="40"/>
      <c r="H1018" s="40"/>
      <c r="I1018" s="40"/>
      <c r="J1018" s="216"/>
      <c r="K1018" s="40"/>
      <c r="L1018" s="40"/>
      <c r="M1018" s="40"/>
      <c r="N1018" s="40"/>
      <c r="O1018" s="40"/>
      <c r="P1018" s="40"/>
      <c r="Q1018" s="40"/>
      <c r="R1018" s="40"/>
      <c r="S1018" s="40"/>
      <c r="T1018" s="40"/>
      <c r="U1018" s="40"/>
      <c r="V1018" s="40"/>
      <c r="W1018" s="40"/>
      <c r="X1018" s="40"/>
      <c r="Y1018" s="40"/>
      <c r="Z1018" s="40"/>
      <c r="AA1018" s="40"/>
      <c r="AB1018" s="40"/>
    </row>
    <row r="1019">
      <c r="A1019" s="805"/>
      <c r="B1019" s="40"/>
      <c r="C1019" s="40"/>
      <c r="D1019" s="40"/>
      <c r="E1019" s="40"/>
      <c r="F1019" s="40"/>
      <c r="G1019" s="40"/>
      <c r="H1019" s="40"/>
      <c r="I1019" s="40"/>
      <c r="J1019" s="216"/>
      <c r="K1019" s="40"/>
      <c r="L1019" s="40"/>
      <c r="M1019" s="40"/>
      <c r="N1019" s="40"/>
      <c r="O1019" s="40"/>
      <c r="P1019" s="40"/>
      <c r="Q1019" s="40"/>
      <c r="R1019" s="40"/>
      <c r="S1019" s="40"/>
      <c r="T1019" s="40"/>
      <c r="U1019" s="40"/>
      <c r="V1019" s="40"/>
      <c r="W1019" s="40"/>
      <c r="X1019" s="40"/>
      <c r="Y1019" s="40"/>
      <c r="Z1019" s="40"/>
      <c r="AA1019" s="40"/>
      <c r="AB1019" s="40"/>
    </row>
    <row r="1020">
      <c r="A1020" s="805"/>
      <c r="B1020" s="40"/>
      <c r="C1020" s="40"/>
      <c r="D1020" s="40"/>
      <c r="E1020" s="40"/>
      <c r="F1020" s="40"/>
      <c r="G1020" s="40"/>
      <c r="H1020" s="40"/>
      <c r="I1020" s="40"/>
      <c r="J1020" s="216"/>
      <c r="K1020" s="40"/>
      <c r="L1020" s="40"/>
      <c r="M1020" s="40"/>
      <c r="N1020" s="40"/>
      <c r="O1020" s="40"/>
      <c r="P1020" s="40"/>
      <c r="Q1020" s="40"/>
      <c r="R1020" s="40"/>
      <c r="S1020" s="40"/>
      <c r="T1020" s="40"/>
      <c r="U1020" s="40"/>
      <c r="V1020" s="40"/>
      <c r="W1020" s="40"/>
      <c r="X1020" s="40"/>
      <c r="Y1020" s="40"/>
      <c r="Z1020" s="40"/>
      <c r="AA1020" s="40"/>
      <c r="AB1020" s="40"/>
    </row>
    <row r="1021">
      <c r="A1021" s="805"/>
      <c r="B1021" s="40"/>
      <c r="C1021" s="40"/>
      <c r="D1021" s="40"/>
      <c r="E1021" s="40"/>
      <c r="F1021" s="40"/>
      <c r="G1021" s="40"/>
      <c r="H1021" s="40"/>
      <c r="I1021" s="40"/>
      <c r="J1021" s="216"/>
      <c r="K1021" s="40"/>
      <c r="L1021" s="40"/>
      <c r="M1021" s="40"/>
      <c r="N1021" s="40"/>
      <c r="O1021" s="40"/>
      <c r="P1021" s="40"/>
      <c r="Q1021" s="40"/>
      <c r="R1021" s="40"/>
      <c r="S1021" s="40"/>
      <c r="T1021" s="40"/>
      <c r="U1021" s="40"/>
      <c r="V1021" s="40"/>
      <c r="W1021" s="40"/>
      <c r="X1021" s="40"/>
      <c r="Y1021" s="40"/>
      <c r="Z1021" s="40"/>
      <c r="AA1021" s="40"/>
      <c r="AB1021" s="40"/>
    </row>
    <row r="1022">
      <c r="A1022" s="805"/>
      <c r="B1022" s="40"/>
      <c r="C1022" s="40"/>
      <c r="D1022" s="40"/>
      <c r="E1022" s="40"/>
      <c r="F1022" s="40"/>
      <c r="G1022" s="40"/>
      <c r="H1022" s="40"/>
      <c r="I1022" s="40"/>
      <c r="J1022" s="216"/>
      <c r="K1022" s="40"/>
      <c r="L1022" s="40"/>
      <c r="M1022" s="40"/>
      <c r="N1022" s="40"/>
      <c r="O1022" s="40"/>
      <c r="P1022" s="40"/>
      <c r="Q1022" s="40"/>
      <c r="R1022" s="40"/>
      <c r="S1022" s="40"/>
      <c r="T1022" s="40"/>
      <c r="U1022" s="40"/>
      <c r="V1022" s="40"/>
      <c r="W1022" s="40"/>
      <c r="X1022" s="40"/>
      <c r="Y1022" s="40"/>
      <c r="Z1022" s="40"/>
      <c r="AA1022" s="40"/>
      <c r="AB1022" s="40"/>
    </row>
    <row r="1023">
      <c r="A1023" s="805"/>
      <c r="B1023" s="40"/>
      <c r="C1023" s="40"/>
      <c r="D1023" s="40"/>
      <c r="E1023" s="40"/>
      <c r="F1023" s="40"/>
      <c r="G1023" s="40"/>
      <c r="H1023" s="40"/>
      <c r="I1023" s="40"/>
      <c r="J1023" s="216"/>
      <c r="K1023" s="40"/>
      <c r="L1023" s="40"/>
      <c r="M1023" s="40"/>
      <c r="N1023" s="40"/>
      <c r="O1023" s="40"/>
      <c r="P1023" s="40"/>
      <c r="Q1023" s="40"/>
      <c r="R1023" s="40"/>
      <c r="S1023" s="40"/>
      <c r="T1023" s="40"/>
      <c r="U1023" s="40"/>
      <c r="V1023" s="40"/>
      <c r="W1023" s="40"/>
      <c r="X1023" s="40"/>
      <c r="Y1023" s="40"/>
      <c r="Z1023" s="40"/>
      <c r="AA1023" s="40"/>
      <c r="AB1023" s="40"/>
    </row>
    <row r="1024">
      <c r="A1024" s="805"/>
      <c r="B1024" s="40"/>
      <c r="C1024" s="40"/>
      <c r="D1024" s="40"/>
      <c r="E1024" s="40"/>
      <c r="F1024" s="40"/>
      <c r="G1024" s="40"/>
      <c r="H1024" s="40"/>
      <c r="I1024" s="40"/>
      <c r="J1024" s="216"/>
      <c r="K1024" s="40"/>
      <c r="L1024" s="40"/>
      <c r="M1024" s="40"/>
      <c r="N1024" s="40"/>
      <c r="O1024" s="40"/>
      <c r="P1024" s="40"/>
      <c r="Q1024" s="40"/>
      <c r="R1024" s="40"/>
      <c r="S1024" s="40"/>
      <c r="T1024" s="40"/>
      <c r="U1024" s="40"/>
      <c r="V1024" s="40"/>
      <c r="W1024" s="40"/>
      <c r="X1024" s="40"/>
      <c r="Y1024" s="40"/>
      <c r="Z1024" s="40"/>
      <c r="AA1024" s="40"/>
      <c r="AB1024" s="40"/>
    </row>
    <row r="1025">
      <c r="A1025" s="805"/>
      <c r="B1025" s="40"/>
      <c r="C1025" s="40"/>
      <c r="D1025" s="40"/>
      <c r="E1025" s="40"/>
      <c r="F1025" s="40"/>
      <c r="G1025" s="40"/>
      <c r="H1025" s="40"/>
      <c r="I1025" s="40"/>
      <c r="J1025" s="216"/>
      <c r="K1025" s="40"/>
      <c r="L1025" s="40"/>
      <c r="M1025" s="40"/>
      <c r="N1025" s="40"/>
      <c r="O1025" s="40"/>
      <c r="P1025" s="40"/>
      <c r="Q1025" s="40"/>
      <c r="R1025" s="40"/>
      <c r="S1025" s="40"/>
      <c r="T1025" s="40"/>
      <c r="U1025" s="40"/>
      <c r="V1025" s="40"/>
      <c r="W1025" s="40"/>
      <c r="X1025" s="40"/>
      <c r="Y1025" s="40"/>
      <c r="Z1025" s="40"/>
      <c r="AA1025" s="40"/>
      <c r="AB1025" s="40"/>
    </row>
    <row r="1026">
      <c r="A1026" s="805"/>
      <c r="B1026" s="40"/>
      <c r="C1026" s="40"/>
      <c r="D1026" s="40"/>
      <c r="E1026" s="40"/>
      <c r="F1026" s="40"/>
      <c r="G1026" s="40"/>
      <c r="H1026" s="40"/>
      <c r="I1026" s="40"/>
      <c r="J1026" s="216"/>
      <c r="K1026" s="40"/>
      <c r="L1026" s="40"/>
      <c r="M1026" s="40"/>
      <c r="N1026" s="40"/>
      <c r="O1026" s="40"/>
      <c r="P1026" s="40"/>
      <c r="Q1026" s="40"/>
      <c r="R1026" s="40"/>
      <c r="S1026" s="40"/>
      <c r="T1026" s="40"/>
      <c r="U1026" s="40"/>
      <c r="V1026" s="40"/>
      <c r="W1026" s="40"/>
      <c r="X1026" s="40"/>
      <c r="Y1026" s="40"/>
      <c r="Z1026" s="40"/>
      <c r="AA1026" s="40"/>
      <c r="AB1026" s="40"/>
    </row>
    <row r="1027">
      <c r="A1027" s="805"/>
      <c r="B1027" s="40"/>
      <c r="C1027" s="40"/>
      <c r="D1027" s="40"/>
      <c r="E1027" s="40"/>
      <c r="F1027" s="40"/>
      <c r="G1027" s="40"/>
      <c r="H1027" s="40"/>
      <c r="I1027" s="40"/>
      <c r="J1027" s="216"/>
      <c r="K1027" s="40"/>
      <c r="L1027" s="40"/>
      <c r="M1027" s="40"/>
      <c r="N1027" s="40"/>
      <c r="O1027" s="40"/>
      <c r="P1027" s="40"/>
      <c r="Q1027" s="40"/>
      <c r="R1027" s="40"/>
      <c r="S1027" s="40"/>
      <c r="T1027" s="40"/>
      <c r="U1027" s="40"/>
      <c r="V1027" s="40"/>
      <c r="W1027" s="40"/>
      <c r="X1027" s="40"/>
      <c r="Y1027" s="40"/>
      <c r="Z1027" s="40"/>
      <c r="AA1027" s="40"/>
      <c r="AB1027" s="40"/>
    </row>
    <row r="1028">
      <c r="A1028" s="805"/>
      <c r="B1028" s="40"/>
      <c r="C1028" s="40"/>
      <c r="D1028" s="40"/>
      <c r="E1028" s="40"/>
      <c r="F1028" s="40"/>
      <c r="G1028" s="40"/>
      <c r="H1028" s="40"/>
      <c r="I1028" s="40"/>
      <c r="J1028" s="216"/>
      <c r="K1028" s="40"/>
      <c r="L1028" s="40"/>
      <c r="M1028" s="40"/>
      <c r="N1028" s="40"/>
      <c r="O1028" s="40"/>
      <c r="P1028" s="40"/>
      <c r="Q1028" s="40"/>
      <c r="R1028" s="40"/>
      <c r="S1028" s="40"/>
      <c r="T1028" s="40"/>
      <c r="U1028" s="40"/>
      <c r="V1028" s="40"/>
      <c r="W1028" s="40"/>
      <c r="X1028" s="40"/>
      <c r="Y1028" s="40"/>
      <c r="Z1028" s="40"/>
      <c r="AA1028" s="40"/>
      <c r="AB1028" s="40"/>
    </row>
    <row r="1029">
      <c r="A1029" s="805"/>
      <c r="B1029" s="40"/>
      <c r="C1029" s="40"/>
      <c r="D1029" s="40"/>
      <c r="E1029" s="40"/>
      <c r="F1029" s="40"/>
      <c r="G1029" s="40"/>
      <c r="H1029" s="40"/>
      <c r="I1029" s="40"/>
      <c r="J1029" s="216"/>
      <c r="K1029" s="40"/>
      <c r="L1029" s="40"/>
      <c r="M1029" s="40"/>
      <c r="N1029" s="40"/>
      <c r="O1029" s="40"/>
      <c r="P1029" s="40"/>
      <c r="Q1029" s="40"/>
      <c r="R1029" s="40"/>
      <c r="S1029" s="40"/>
      <c r="T1029" s="40"/>
      <c r="U1029" s="40"/>
      <c r="V1029" s="40"/>
      <c r="W1029" s="40"/>
      <c r="X1029" s="40"/>
      <c r="Y1029" s="40"/>
      <c r="Z1029" s="40"/>
      <c r="AA1029" s="40"/>
      <c r="AB1029" s="40"/>
    </row>
    <row r="1030">
      <c r="A1030" s="805"/>
      <c r="B1030" s="40"/>
      <c r="C1030" s="40"/>
      <c r="D1030" s="40"/>
      <c r="E1030" s="40"/>
      <c r="F1030" s="40"/>
      <c r="G1030" s="40"/>
      <c r="H1030" s="40"/>
      <c r="I1030" s="40"/>
      <c r="J1030" s="216"/>
      <c r="K1030" s="40"/>
      <c r="L1030" s="40"/>
      <c r="M1030" s="40"/>
      <c r="N1030" s="40"/>
      <c r="O1030" s="40"/>
      <c r="P1030" s="40"/>
      <c r="Q1030" s="40"/>
      <c r="R1030" s="40"/>
      <c r="S1030" s="40"/>
      <c r="T1030" s="40"/>
      <c r="U1030" s="40"/>
      <c r="V1030" s="40"/>
      <c r="W1030" s="40"/>
      <c r="X1030" s="40"/>
      <c r="Y1030" s="40"/>
      <c r="Z1030" s="40"/>
      <c r="AA1030" s="40"/>
      <c r="AB1030" s="40"/>
    </row>
    <row r="1031">
      <c r="A1031" s="805"/>
      <c r="B1031" s="40"/>
      <c r="C1031" s="40"/>
      <c r="D1031" s="40"/>
      <c r="E1031" s="40"/>
      <c r="F1031" s="40"/>
      <c r="G1031" s="40"/>
      <c r="H1031" s="40"/>
      <c r="I1031" s="40"/>
      <c r="J1031" s="216"/>
      <c r="K1031" s="40"/>
      <c r="L1031" s="40"/>
      <c r="M1031" s="40"/>
      <c r="N1031" s="40"/>
      <c r="O1031" s="40"/>
      <c r="P1031" s="40"/>
      <c r="Q1031" s="40"/>
      <c r="R1031" s="40"/>
      <c r="S1031" s="40"/>
      <c r="T1031" s="40"/>
      <c r="U1031" s="40"/>
      <c r="V1031" s="40"/>
      <c r="W1031" s="40"/>
      <c r="X1031" s="40"/>
      <c r="Y1031" s="40"/>
      <c r="Z1031" s="40"/>
      <c r="AA1031" s="40"/>
      <c r="AB1031" s="40"/>
    </row>
    <row r="1032">
      <c r="A1032" s="805"/>
      <c r="B1032" s="40"/>
      <c r="C1032" s="40"/>
      <c r="D1032" s="40"/>
      <c r="E1032" s="40"/>
      <c r="F1032" s="40"/>
      <c r="G1032" s="40"/>
      <c r="H1032" s="40"/>
      <c r="I1032" s="40"/>
      <c r="J1032" s="216"/>
      <c r="K1032" s="40"/>
      <c r="L1032" s="40"/>
      <c r="M1032" s="40"/>
      <c r="N1032" s="40"/>
      <c r="O1032" s="40"/>
      <c r="P1032" s="40"/>
      <c r="Q1032" s="40"/>
      <c r="R1032" s="40"/>
      <c r="S1032" s="40"/>
      <c r="T1032" s="40"/>
      <c r="U1032" s="40"/>
      <c r="V1032" s="40"/>
      <c r="W1032" s="40"/>
      <c r="X1032" s="40"/>
      <c r="Y1032" s="40"/>
      <c r="Z1032" s="40"/>
      <c r="AA1032" s="40"/>
      <c r="AB1032" s="40"/>
    </row>
    <row r="1033">
      <c r="A1033" s="805"/>
      <c r="B1033" s="40"/>
      <c r="C1033" s="40"/>
      <c r="D1033" s="40"/>
      <c r="E1033" s="40"/>
      <c r="F1033" s="40"/>
      <c r="G1033" s="40"/>
      <c r="H1033" s="40"/>
      <c r="I1033" s="40"/>
      <c r="J1033" s="216"/>
      <c r="K1033" s="40"/>
      <c r="L1033" s="40"/>
      <c r="M1033" s="40"/>
      <c r="N1033" s="40"/>
      <c r="O1033" s="40"/>
      <c r="P1033" s="40"/>
      <c r="Q1033" s="40"/>
      <c r="R1033" s="40"/>
      <c r="S1033" s="40"/>
      <c r="T1033" s="40"/>
      <c r="U1033" s="40"/>
      <c r="V1033" s="40"/>
      <c r="W1033" s="40"/>
      <c r="X1033" s="40"/>
      <c r="Y1033" s="40"/>
      <c r="Z1033" s="40"/>
      <c r="AA1033" s="40"/>
      <c r="AB1033" s="40"/>
    </row>
    <row r="1034">
      <c r="A1034" s="805"/>
      <c r="B1034" s="40"/>
      <c r="C1034" s="40"/>
      <c r="D1034" s="40"/>
      <c r="E1034" s="40"/>
      <c r="F1034" s="40"/>
      <c r="G1034" s="40"/>
      <c r="H1034" s="40"/>
      <c r="I1034" s="40"/>
      <c r="J1034" s="216"/>
      <c r="K1034" s="40"/>
      <c r="L1034" s="40"/>
      <c r="M1034" s="40"/>
      <c r="N1034" s="40"/>
      <c r="O1034" s="40"/>
      <c r="P1034" s="40"/>
      <c r="Q1034" s="40"/>
      <c r="R1034" s="40"/>
      <c r="S1034" s="40"/>
      <c r="T1034" s="40"/>
      <c r="U1034" s="40"/>
      <c r="V1034" s="40"/>
      <c r="W1034" s="40"/>
      <c r="X1034" s="40"/>
      <c r="Y1034" s="40"/>
      <c r="Z1034" s="40"/>
      <c r="AA1034" s="40"/>
      <c r="AB1034" s="40"/>
    </row>
    <row r="1035">
      <c r="A1035" s="805"/>
      <c r="B1035" s="40"/>
      <c r="C1035" s="40"/>
      <c r="D1035" s="40"/>
      <c r="E1035" s="40"/>
      <c r="F1035" s="40"/>
      <c r="G1035" s="40"/>
      <c r="H1035" s="40"/>
      <c r="I1035" s="40"/>
      <c r="J1035" s="216"/>
      <c r="K1035" s="40"/>
      <c r="L1035" s="40"/>
      <c r="M1035" s="40"/>
      <c r="N1035" s="40"/>
      <c r="O1035" s="40"/>
      <c r="P1035" s="40"/>
      <c r="Q1035" s="40"/>
      <c r="R1035" s="40"/>
      <c r="S1035" s="40"/>
      <c r="T1035" s="40"/>
      <c r="U1035" s="40"/>
      <c r="V1035" s="40"/>
      <c r="W1035" s="40"/>
      <c r="X1035" s="40"/>
      <c r="Y1035" s="40"/>
      <c r="Z1035" s="40"/>
      <c r="AA1035" s="40"/>
      <c r="AB1035" s="40"/>
    </row>
    <row r="1036">
      <c r="A1036" s="805"/>
      <c r="B1036" s="40"/>
      <c r="C1036" s="40"/>
      <c r="D1036" s="40"/>
      <c r="E1036" s="40"/>
      <c r="F1036" s="40"/>
      <c r="G1036" s="40"/>
      <c r="H1036" s="40"/>
      <c r="I1036" s="40"/>
      <c r="J1036" s="216"/>
      <c r="K1036" s="40"/>
      <c r="L1036" s="40"/>
      <c r="M1036" s="40"/>
      <c r="N1036" s="40"/>
      <c r="O1036" s="40"/>
      <c r="P1036" s="40"/>
      <c r="Q1036" s="40"/>
      <c r="R1036" s="40"/>
      <c r="S1036" s="40"/>
      <c r="T1036" s="40"/>
      <c r="U1036" s="40"/>
      <c r="V1036" s="40"/>
      <c r="W1036" s="40"/>
      <c r="X1036" s="40"/>
      <c r="Y1036" s="40"/>
      <c r="Z1036" s="40"/>
      <c r="AA1036" s="40"/>
      <c r="AB1036" s="40"/>
    </row>
    <row r="1037">
      <c r="A1037" s="805"/>
      <c r="B1037" s="40"/>
      <c r="C1037" s="40"/>
      <c r="D1037" s="40"/>
      <c r="E1037" s="40"/>
      <c r="F1037" s="40"/>
      <c r="G1037" s="40"/>
      <c r="H1037" s="40"/>
      <c r="I1037" s="40"/>
      <c r="J1037" s="216"/>
      <c r="K1037" s="40"/>
      <c r="L1037" s="40"/>
      <c r="M1037" s="40"/>
      <c r="N1037" s="40"/>
      <c r="O1037" s="40"/>
      <c r="P1037" s="40"/>
      <c r="Q1037" s="40"/>
      <c r="R1037" s="40"/>
      <c r="S1037" s="40"/>
      <c r="T1037" s="40"/>
      <c r="U1037" s="40"/>
      <c r="V1037" s="40"/>
      <c r="W1037" s="40"/>
      <c r="X1037" s="40"/>
      <c r="Y1037" s="40"/>
      <c r="Z1037" s="40"/>
      <c r="AA1037" s="40"/>
      <c r="AB1037" s="40"/>
    </row>
    <row r="1038">
      <c r="A1038" s="805"/>
      <c r="B1038" s="40"/>
      <c r="C1038" s="40"/>
      <c r="D1038" s="40"/>
      <c r="E1038" s="40"/>
      <c r="F1038" s="40"/>
      <c r="G1038" s="40"/>
      <c r="H1038" s="40"/>
      <c r="I1038" s="40"/>
      <c r="J1038" s="216"/>
      <c r="K1038" s="40"/>
      <c r="L1038" s="40"/>
      <c r="M1038" s="40"/>
      <c r="N1038" s="40"/>
      <c r="O1038" s="40"/>
      <c r="P1038" s="40"/>
      <c r="Q1038" s="40"/>
      <c r="R1038" s="40"/>
      <c r="S1038" s="40"/>
      <c r="T1038" s="40"/>
      <c r="U1038" s="40"/>
      <c r="V1038" s="40"/>
      <c r="W1038" s="40"/>
      <c r="X1038" s="40"/>
      <c r="Y1038" s="40"/>
      <c r="Z1038" s="40"/>
      <c r="AA1038" s="40"/>
      <c r="AB1038" s="40"/>
    </row>
    <row r="1039">
      <c r="A1039" s="805"/>
      <c r="B1039" s="40"/>
      <c r="C1039" s="40"/>
      <c r="D1039" s="40"/>
      <c r="E1039" s="40"/>
      <c r="F1039" s="40"/>
      <c r="G1039" s="40"/>
      <c r="H1039" s="40"/>
      <c r="I1039" s="40"/>
      <c r="J1039" s="216"/>
      <c r="K1039" s="40"/>
      <c r="L1039" s="40"/>
      <c r="M1039" s="40"/>
      <c r="N1039" s="40"/>
      <c r="O1039" s="40"/>
      <c r="P1039" s="40"/>
      <c r="Q1039" s="40"/>
      <c r="R1039" s="40"/>
      <c r="S1039" s="40"/>
      <c r="T1039" s="40"/>
      <c r="U1039" s="40"/>
      <c r="V1039" s="40"/>
      <c r="W1039" s="40"/>
      <c r="X1039" s="40"/>
      <c r="Y1039" s="40"/>
      <c r="Z1039" s="40"/>
      <c r="AA1039" s="40"/>
      <c r="AB1039" s="40"/>
    </row>
    <row r="1040">
      <c r="A1040" s="805"/>
      <c r="B1040" s="40"/>
      <c r="C1040" s="40"/>
      <c r="D1040" s="40"/>
      <c r="E1040" s="40"/>
      <c r="F1040" s="40"/>
      <c r="G1040" s="40"/>
      <c r="H1040" s="40"/>
      <c r="I1040" s="40"/>
      <c r="J1040" s="216"/>
      <c r="K1040" s="40"/>
      <c r="L1040" s="40"/>
      <c r="M1040" s="40"/>
      <c r="N1040" s="40"/>
      <c r="O1040" s="40"/>
      <c r="P1040" s="40"/>
      <c r="Q1040" s="40"/>
      <c r="R1040" s="40"/>
      <c r="S1040" s="40"/>
      <c r="T1040" s="40"/>
      <c r="U1040" s="40"/>
      <c r="V1040" s="40"/>
      <c r="W1040" s="40"/>
      <c r="X1040" s="40"/>
      <c r="Y1040" s="40"/>
      <c r="Z1040" s="40"/>
      <c r="AA1040" s="40"/>
      <c r="AB1040" s="40"/>
    </row>
    <row r="1041">
      <c r="A1041" s="805"/>
      <c r="B1041" s="40"/>
      <c r="C1041" s="40"/>
      <c r="D1041" s="40"/>
      <c r="E1041" s="40"/>
      <c r="F1041" s="40"/>
      <c r="G1041" s="40"/>
      <c r="H1041" s="40"/>
      <c r="I1041" s="40"/>
      <c r="J1041" s="216"/>
      <c r="K1041" s="40"/>
      <c r="L1041" s="40"/>
      <c r="M1041" s="40"/>
      <c r="N1041" s="40"/>
      <c r="O1041" s="40"/>
      <c r="P1041" s="40"/>
      <c r="Q1041" s="40"/>
      <c r="R1041" s="40"/>
      <c r="S1041" s="40"/>
      <c r="T1041" s="40"/>
      <c r="U1041" s="40"/>
      <c r="V1041" s="40"/>
      <c r="W1041" s="40"/>
      <c r="X1041" s="40"/>
      <c r="Y1041" s="40"/>
      <c r="Z1041" s="40"/>
      <c r="AA1041" s="40"/>
      <c r="AB1041" s="40"/>
    </row>
    <row r="1042">
      <c r="A1042" s="805"/>
      <c r="B1042" s="40"/>
      <c r="C1042" s="40"/>
      <c r="D1042" s="40"/>
      <c r="E1042" s="40"/>
      <c r="F1042" s="40"/>
      <c r="G1042" s="40"/>
      <c r="H1042" s="40"/>
      <c r="I1042" s="40"/>
      <c r="J1042" s="216"/>
      <c r="K1042" s="40"/>
      <c r="L1042" s="40"/>
      <c r="M1042" s="40"/>
      <c r="N1042" s="40"/>
      <c r="O1042" s="40"/>
      <c r="P1042" s="40"/>
      <c r="Q1042" s="40"/>
      <c r="R1042" s="40"/>
      <c r="S1042" s="40"/>
      <c r="T1042" s="40"/>
      <c r="U1042" s="40"/>
      <c r="V1042" s="40"/>
      <c r="W1042" s="40"/>
      <c r="X1042" s="40"/>
      <c r="Y1042" s="40"/>
      <c r="Z1042" s="40"/>
      <c r="AA1042" s="40"/>
      <c r="AB1042" s="40"/>
    </row>
    <row r="1043">
      <c r="A1043" s="805"/>
      <c r="B1043" s="40"/>
      <c r="C1043" s="40"/>
      <c r="D1043" s="40"/>
      <c r="E1043" s="40"/>
      <c r="F1043" s="40"/>
      <c r="G1043" s="40"/>
      <c r="H1043" s="40"/>
      <c r="I1043" s="40"/>
      <c r="J1043" s="216"/>
      <c r="K1043" s="40"/>
      <c r="L1043" s="40"/>
      <c r="M1043" s="40"/>
      <c r="N1043" s="40"/>
      <c r="O1043" s="40"/>
      <c r="P1043" s="40"/>
      <c r="Q1043" s="40"/>
      <c r="R1043" s="40"/>
      <c r="S1043" s="40"/>
      <c r="T1043" s="40"/>
      <c r="U1043" s="40"/>
      <c r="V1043" s="40"/>
      <c r="W1043" s="40"/>
      <c r="X1043" s="40"/>
      <c r="Y1043" s="40"/>
      <c r="Z1043" s="40"/>
      <c r="AA1043" s="40"/>
      <c r="AB1043" s="40"/>
    </row>
    <row r="1044">
      <c r="A1044" s="805"/>
      <c r="B1044" s="40"/>
      <c r="C1044" s="40"/>
      <c r="D1044" s="40"/>
      <c r="E1044" s="40"/>
      <c r="F1044" s="40"/>
      <c r="G1044" s="40"/>
      <c r="H1044" s="40"/>
      <c r="I1044" s="40"/>
      <c r="J1044" s="216"/>
      <c r="K1044" s="40"/>
      <c r="L1044" s="40"/>
      <c r="M1044" s="40"/>
      <c r="N1044" s="40"/>
      <c r="O1044" s="40"/>
      <c r="P1044" s="40"/>
      <c r="Q1044" s="40"/>
      <c r="R1044" s="40"/>
      <c r="S1044" s="40"/>
      <c r="T1044" s="40"/>
      <c r="U1044" s="40"/>
      <c r="V1044" s="40"/>
      <c r="W1044" s="40"/>
      <c r="X1044" s="40"/>
      <c r="Y1044" s="40"/>
      <c r="Z1044" s="40"/>
      <c r="AA1044" s="40"/>
      <c r="AB1044" s="40"/>
    </row>
    <row r="1045">
      <c r="A1045" s="805"/>
      <c r="B1045" s="40"/>
      <c r="C1045" s="40"/>
      <c r="D1045" s="40"/>
      <c r="E1045" s="40"/>
      <c r="F1045" s="40"/>
      <c r="G1045" s="40"/>
      <c r="H1045" s="40"/>
      <c r="I1045" s="40"/>
      <c r="J1045" s="216"/>
      <c r="K1045" s="40"/>
      <c r="L1045" s="40"/>
      <c r="M1045" s="40"/>
      <c r="N1045" s="40"/>
      <c r="O1045" s="40"/>
      <c r="P1045" s="40"/>
      <c r="Q1045" s="40"/>
      <c r="R1045" s="40"/>
      <c r="S1045" s="40"/>
      <c r="T1045" s="40"/>
      <c r="U1045" s="40"/>
      <c r="V1045" s="40"/>
      <c r="W1045" s="40"/>
      <c r="X1045" s="40"/>
      <c r="Y1045" s="40"/>
      <c r="Z1045" s="40"/>
      <c r="AA1045" s="40"/>
      <c r="AB1045" s="40"/>
    </row>
    <row r="1046">
      <c r="A1046" s="805"/>
      <c r="B1046" s="40"/>
      <c r="C1046" s="40"/>
      <c r="D1046" s="40"/>
      <c r="E1046" s="40"/>
      <c r="F1046" s="40"/>
      <c r="G1046" s="40"/>
      <c r="H1046" s="40"/>
      <c r="I1046" s="40"/>
      <c r="J1046" s="216"/>
      <c r="K1046" s="40"/>
      <c r="L1046" s="40"/>
      <c r="M1046" s="40"/>
      <c r="N1046" s="40"/>
      <c r="O1046" s="40"/>
      <c r="P1046" s="40"/>
      <c r="Q1046" s="40"/>
      <c r="R1046" s="40"/>
      <c r="S1046" s="40"/>
      <c r="T1046" s="40"/>
      <c r="U1046" s="40"/>
      <c r="V1046" s="40"/>
      <c r="W1046" s="40"/>
      <c r="X1046" s="40"/>
      <c r="Y1046" s="40"/>
      <c r="Z1046" s="40"/>
      <c r="AA1046" s="40"/>
      <c r="AB1046" s="40"/>
    </row>
    <row r="1047">
      <c r="A1047" s="805"/>
      <c r="B1047" s="40"/>
      <c r="C1047" s="40"/>
      <c r="D1047" s="40"/>
      <c r="E1047" s="40"/>
      <c r="F1047" s="40"/>
      <c r="G1047" s="40"/>
      <c r="H1047" s="40"/>
      <c r="I1047" s="40"/>
      <c r="J1047" s="216"/>
      <c r="K1047" s="40"/>
      <c r="L1047" s="40"/>
      <c r="M1047" s="40"/>
      <c r="N1047" s="40"/>
      <c r="O1047" s="40"/>
      <c r="P1047" s="40"/>
      <c r="Q1047" s="40"/>
      <c r="R1047" s="40"/>
      <c r="S1047" s="40"/>
      <c r="T1047" s="40"/>
      <c r="U1047" s="40"/>
      <c r="V1047" s="40"/>
      <c r="W1047" s="40"/>
      <c r="X1047" s="40"/>
      <c r="Y1047" s="40"/>
      <c r="Z1047" s="40"/>
      <c r="AA1047" s="40"/>
      <c r="AB1047" s="40"/>
    </row>
    <row r="1048">
      <c r="A1048" s="805"/>
      <c r="B1048" s="40"/>
      <c r="C1048" s="40"/>
      <c r="D1048" s="40"/>
      <c r="E1048" s="40"/>
      <c r="F1048" s="40"/>
      <c r="G1048" s="40"/>
      <c r="H1048" s="40"/>
      <c r="I1048" s="40"/>
      <c r="J1048" s="216"/>
      <c r="K1048" s="40"/>
      <c r="L1048" s="40"/>
      <c r="M1048" s="40"/>
      <c r="N1048" s="40"/>
      <c r="O1048" s="40"/>
      <c r="P1048" s="40"/>
      <c r="Q1048" s="40"/>
      <c r="R1048" s="40"/>
      <c r="S1048" s="40"/>
      <c r="T1048" s="40"/>
      <c r="U1048" s="40"/>
      <c r="V1048" s="40"/>
      <c r="W1048" s="40"/>
      <c r="X1048" s="40"/>
      <c r="Y1048" s="40"/>
      <c r="Z1048" s="40"/>
      <c r="AA1048" s="40"/>
      <c r="AB1048" s="40"/>
    </row>
    <row r="1049">
      <c r="A1049" s="805"/>
      <c r="B1049" s="40"/>
      <c r="C1049" s="40"/>
      <c r="D1049" s="40"/>
      <c r="E1049" s="40"/>
      <c r="F1049" s="40"/>
      <c r="G1049" s="40"/>
      <c r="H1049" s="40"/>
      <c r="I1049" s="40"/>
      <c r="J1049" s="216"/>
      <c r="K1049" s="40"/>
      <c r="L1049" s="40"/>
      <c r="M1049" s="40"/>
      <c r="N1049" s="40"/>
      <c r="O1049" s="40"/>
      <c r="P1049" s="40"/>
      <c r="Q1049" s="40"/>
      <c r="R1049" s="40"/>
      <c r="S1049" s="40"/>
      <c r="T1049" s="40"/>
      <c r="U1049" s="40"/>
      <c r="V1049" s="40"/>
      <c r="W1049" s="40"/>
      <c r="X1049" s="40"/>
      <c r="Y1049" s="40"/>
      <c r="Z1049" s="40"/>
      <c r="AA1049" s="40"/>
      <c r="AB1049" s="40"/>
    </row>
    <row r="1050">
      <c r="A1050" s="805"/>
      <c r="B1050" s="40"/>
      <c r="C1050" s="40"/>
      <c r="D1050" s="40"/>
      <c r="E1050" s="40"/>
      <c r="F1050" s="40"/>
      <c r="G1050" s="40"/>
      <c r="H1050" s="40"/>
      <c r="I1050" s="40"/>
      <c r="J1050" s="216"/>
      <c r="K1050" s="40"/>
      <c r="L1050" s="40"/>
      <c r="M1050" s="40"/>
      <c r="N1050" s="40"/>
      <c r="O1050" s="40"/>
      <c r="P1050" s="40"/>
      <c r="Q1050" s="40"/>
      <c r="R1050" s="40"/>
      <c r="S1050" s="40"/>
      <c r="T1050" s="40"/>
      <c r="U1050" s="40"/>
      <c r="V1050" s="40"/>
      <c r="W1050" s="40"/>
      <c r="X1050" s="40"/>
      <c r="Y1050" s="40"/>
      <c r="Z1050" s="40"/>
      <c r="AA1050" s="40"/>
      <c r="AB1050" s="40"/>
    </row>
    <row r="1051">
      <c r="A1051" s="805"/>
      <c r="B1051" s="40"/>
      <c r="C1051" s="40"/>
      <c r="D1051" s="40"/>
      <c r="E1051" s="40"/>
      <c r="F1051" s="40"/>
      <c r="G1051" s="40"/>
      <c r="H1051" s="40"/>
      <c r="I1051" s="40"/>
      <c r="J1051" s="216"/>
      <c r="K1051" s="40"/>
      <c r="L1051" s="40"/>
      <c r="M1051" s="40"/>
      <c r="N1051" s="40"/>
      <c r="O1051" s="40"/>
      <c r="P1051" s="40"/>
      <c r="Q1051" s="40"/>
      <c r="R1051" s="40"/>
      <c r="S1051" s="40"/>
      <c r="T1051" s="40"/>
      <c r="U1051" s="40"/>
      <c r="V1051" s="40"/>
      <c r="W1051" s="40"/>
      <c r="X1051" s="40"/>
      <c r="Y1051" s="40"/>
      <c r="Z1051" s="40"/>
      <c r="AA1051" s="40"/>
      <c r="AB1051" s="40"/>
    </row>
    <row r="1052">
      <c r="A1052" s="805"/>
      <c r="B1052" s="40"/>
      <c r="C1052" s="40"/>
      <c r="D1052" s="40"/>
      <c r="E1052" s="40"/>
      <c r="F1052" s="40"/>
      <c r="G1052" s="40"/>
      <c r="H1052" s="40"/>
      <c r="I1052" s="40"/>
      <c r="J1052" s="216"/>
      <c r="K1052" s="40"/>
      <c r="L1052" s="40"/>
      <c r="M1052" s="40"/>
      <c r="N1052" s="40"/>
      <c r="O1052" s="40"/>
      <c r="P1052" s="40"/>
      <c r="Q1052" s="40"/>
      <c r="R1052" s="40"/>
      <c r="S1052" s="40"/>
      <c r="T1052" s="40"/>
      <c r="U1052" s="40"/>
      <c r="V1052" s="40"/>
      <c r="W1052" s="40"/>
      <c r="X1052" s="40"/>
      <c r="Y1052" s="40"/>
      <c r="Z1052" s="40"/>
      <c r="AA1052" s="40"/>
      <c r="AB1052" s="40"/>
    </row>
    <row r="1053">
      <c r="A1053" s="805"/>
      <c r="B1053" s="40"/>
      <c r="C1053" s="40"/>
      <c r="D1053" s="40"/>
      <c r="E1053" s="40"/>
      <c r="F1053" s="40"/>
      <c r="G1053" s="40"/>
      <c r="H1053" s="40"/>
      <c r="I1053" s="40"/>
      <c r="J1053" s="216"/>
      <c r="K1053" s="40"/>
      <c r="L1053" s="40"/>
      <c r="M1053" s="40"/>
      <c r="N1053" s="40"/>
      <c r="O1053" s="40"/>
      <c r="P1053" s="40"/>
      <c r="Q1053" s="40"/>
      <c r="R1053" s="40"/>
      <c r="S1053" s="40"/>
      <c r="T1053" s="40"/>
      <c r="U1053" s="40"/>
      <c r="V1053" s="40"/>
      <c r="W1053" s="40"/>
      <c r="X1053" s="40"/>
      <c r="Y1053" s="40"/>
      <c r="Z1053" s="40"/>
      <c r="AA1053" s="40"/>
      <c r="AB1053" s="40"/>
    </row>
    <row r="1054">
      <c r="A1054" s="805"/>
      <c r="B1054" s="40"/>
      <c r="C1054" s="40"/>
      <c r="D1054" s="40"/>
      <c r="E1054" s="40"/>
      <c r="F1054" s="40"/>
      <c r="G1054" s="40"/>
      <c r="H1054" s="40"/>
      <c r="I1054" s="40"/>
      <c r="J1054" s="216"/>
      <c r="K1054" s="40"/>
      <c r="L1054" s="40"/>
      <c r="M1054" s="40"/>
      <c r="N1054" s="40"/>
      <c r="O1054" s="40"/>
      <c r="P1054" s="40"/>
      <c r="Q1054" s="40"/>
      <c r="R1054" s="40"/>
      <c r="S1054" s="40"/>
      <c r="T1054" s="40"/>
      <c r="U1054" s="40"/>
      <c r="V1054" s="40"/>
      <c r="W1054" s="40"/>
      <c r="X1054" s="40"/>
      <c r="Y1054" s="40"/>
      <c r="Z1054" s="40"/>
      <c r="AA1054" s="40"/>
      <c r="AB1054" s="40"/>
    </row>
    <row r="1055">
      <c r="A1055" s="805"/>
      <c r="B1055" s="40"/>
      <c r="C1055" s="40"/>
      <c r="D1055" s="40"/>
      <c r="E1055" s="40"/>
      <c r="F1055" s="40"/>
      <c r="G1055" s="40"/>
      <c r="H1055" s="40"/>
      <c r="I1055" s="40"/>
      <c r="J1055" s="216"/>
      <c r="K1055" s="40"/>
      <c r="L1055" s="40"/>
      <c r="M1055" s="40"/>
      <c r="N1055" s="40"/>
      <c r="O1055" s="40"/>
      <c r="P1055" s="40"/>
      <c r="Q1055" s="40"/>
      <c r="R1055" s="40"/>
      <c r="S1055" s="40"/>
      <c r="T1055" s="40"/>
      <c r="U1055" s="40"/>
      <c r="V1055" s="40"/>
      <c r="W1055" s="40"/>
      <c r="X1055" s="40"/>
      <c r="Y1055" s="40"/>
      <c r="Z1055" s="40"/>
      <c r="AA1055" s="40"/>
      <c r="AB1055" s="40"/>
    </row>
    <row r="1056">
      <c r="A1056" s="805"/>
      <c r="B1056" s="40"/>
      <c r="C1056" s="40"/>
      <c r="D1056" s="40"/>
      <c r="E1056" s="40"/>
      <c r="F1056" s="40"/>
      <c r="G1056" s="40"/>
      <c r="H1056" s="40"/>
      <c r="I1056" s="40"/>
      <c r="J1056" s="216"/>
      <c r="K1056" s="40"/>
      <c r="L1056" s="40"/>
      <c r="M1056" s="40"/>
      <c r="N1056" s="40"/>
      <c r="O1056" s="40"/>
      <c r="P1056" s="40"/>
      <c r="Q1056" s="40"/>
      <c r="R1056" s="40"/>
      <c r="S1056" s="40"/>
      <c r="T1056" s="40"/>
      <c r="U1056" s="40"/>
      <c r="V1056" s="40"/>
      <c r="W1056" s="40"/>
      <c r="X1056" s="40"/>
      <c r="Y1056" s="40"/>
      <c r="Z1056" s="40"/>
      <c r="AA1056" s="40"/>
      <c r="AB1056" s="40"/>
    </row>
    <row r="1057">
      <c r="A1057" s="805"/>
      <c r="B1057" s="40"/>
      <c r="C1057" s="40"/>
      <c r="D1057" s="40"/>
      <c r="E1057" s="40"/>
      <c r="F1057" s="40"/>
      <c r="G1057" s="40"/>
      <c r="H1057" s="40"/>
      <c r="I1057" s="40"/>
      <c r="J1057" s="216"/>
      <c r="K1057" s="40"/>
      <c r="L1057" s="40"/>
      <c r="M1057" s="40"/>
      <c r="N1057" s="40"/>
      <c r="O1057" s="40"/>
      <c r="P1057" s="40"/>
      <c r="Q1057" s="40"/>
      <c r="R1057" s="40"/>
      <c r="S1057" s="40"/>
      <c r="T1057" s="40"/>
      <c r="U1057" s="40"/>
      <c r="V1057" s="40"/>
      <c r="W1057" s="40"/>
      <c r="X1057" s="40"/>
      <c r="Y1057" s="40"/>
      <c r="Z1057" s="40"/>
      <c r="AA1057" s="40"/>
      <c r="AB1057" s="40"/>
    </row>
    <row r="1058">
      <c r="A1058" s="805"/>
      <c r="B1058" s="40"/>
      <c r="C1058" s="40"/>
      <c r="D1058" s="40"/>
      <c r="E1058" s="40"/>
      <c r="F1058" s="40"/>
      <c r="G1058" s="40"/>
      <c r="H1058" s="40"/>
      <c r="I1058" s="40"/>
      <c r="J1058" s="216"/>
      <c r="K1058" s="40"/>
      <c r="L1058" s="40"/>
      <c r="M1058" s="40"/>
      <c r="N1058" s="40"/>
      <c r="O1058" s="40"/>
      <c r="P1058" s="40"/>
      <c r="Q1058" s="40"/>
      <c r="R1058" s="40"/>
      <c r="S1058" s="40"/>
      <c r="T1058" s="40"/>
      <c r="U1058" s="40"/>
      <c r="V1058" s="40"/>
      <c r="W1058" s="40"/>
      <c r="X1058" s="40"/>
      <c r="Y1058" s="40"/>
      <c r="Z1058" s="40"/>
      <c r="AA1058" s="40"/>
      <c r="AB1058" s="40"/>
    </row>
    <row r="1059">
      <c r="A1059" s="805"/>
      <c r="B1059" s="40"/>
      <c r="C1059" s="40"/>
      <c r="D1059" s="40"/>
      <c r="E1059" s="40"/>
      <c r="F1059" s="40"/>
      <c r="G1059" s="40"/>
      <c r="H1059" s="40"/>
      <c r="I1059" s="40"/>
      <c r="J1059" s="216"/>
      <c r="K1059" s="40"/>
      <c r="L1059" s="40"/>
      <c r="M1059" s="40"/>
      <c r="N1059" s="40"/>
      <c r="O1059" s="40"/>
      <c r="P1059" s="40"/>
      <c r="Q1059" s="40"/>
      <c r="R1059" s="40"/>
      <c r="S1059" s="40"/>
      <c r="T1059" s="40"/>
      <c r="U1059" s="40"/>
      <c r="V1059" s="40"/>
      <c r="W1059" s="40"/>
      <c r="X1059" s="40"/>
      <c r="Y1059" s="40"/>
      <c r="Z1059" s="40"/>
      <c r="AA1059" s="40"/>
      <c r="AB1059" s="40"/>
    </row>
    <row r="1060">
      <c r="A1060" s="805"/>
      <c r="B1060" s="40"/>
      <c r="C1060" s="40"/>
      <c r="D1060" s="40"/>
      <c r="E1060" s="40"/>
      <c r="F1060" s="40"/>
      <c r="G1060" s="40"/>
      <c r="H1060" s="40"/>
      <c r="I1060" s="40"/>
      <c r="J1060" s="216"/>
      <c r="K1060" s="40"/>
      <c r="L1060" s="40"/>
      <c r="M1060" s="40"/>
      <c r="N1060" s="40"/>
      <c r="O1060" s="40"/>
      <c r="P1060" s="40"/>
      <c r="Q1060" s="40"/>
      <c r="R1060" s="40"/>
      <c r="S1060" s="40"/>
      <c r="T1060" s="40"/>
      <c r="U1060" s="40"/>
      <c r="V1060" s="40"/>
      <c r="W1060" s="40"/>
      <c r="X1060" s="40"/>
      <c r="Y1060" s="40"/>
      <c r="Z1060" s="40"/>
      <c r="AA1060" s="40"/>
      <c r="AB1060" s="40"/>
    </row>
    <row r="1061">
      <c r="A1061" s="805"/>
      <c r="B1061" s="40"/>
      <c r="C1061" s="40"/>
      <c r="D1061" s="40"/>
      <c r="E1061" s="40"/>
      <c r="F1061" s="40"/>
      <c r="G1061" s="40"/>
      <c r="H1061" s="40"/>
      <c r="I1061" s="40"/>
      <c r="J1061" s="216"/>
      <c r="K1061" s="40"/>
      <c r="L1061" s="40"/>
      <c r="M1061" s="40"/>
      <c r="N1061" s="40"/>
      <c r="O1061" s="40"/>
      <c r="P1061" s="40"/>
      <c r="Q1061" s="40"/>
      <c r="R1061" s="40"/>
      <c r="S1061" s="40"/>
      <c r="T1061" s="40"/>
      <c r="U1061" s="40"/>
      <c r="V1061" s="40"/>
      <c r="W1061" s="40"/>
      <c r="X1061" s="40"/>
      <c r="Y1061" s="40"/>
      <c r="Z1061" s="40"/>
      <c r="AA1061" s="40"/>
      <c r="AB1061" s="40"/>
    </row>
    <row r="1062">
      <c r="A1062" s="805"/>
      <c r="B1062" s="40"/>
      <c r="C1062" s="40"/>
      <c r="D1062" s="40"/>
      <c r="E1062" s="40"/>
      <c r="F1062" s="40"/>
      <c r="G1062" s="40"/>
      <c r="H1062" s="40"/>
      <c r="I1062" s="40"/>
      <c r="J1062" s="216"/>
      <c r="K1062" s="40"/>
      <c r="L1062" s="40"/>
      <c r="M1062" s="40"/>
      <c r="N1062" s="40"/>
      <c r="O1062" s="40"/>
      <c r="P1062" s="40"/>
      <c r="Q1062" s="40"/>
      <c r="R1062" s="40"/>
      <c r="S1062" s="40"/>
      <c r="T1062" s="40"/>
      <c r="U1062" s="40"/>
      <c r="V1062" s="40"/>
      <c r="W1062" s="40"/>
      <c r="X1062" s="40"/>
      <c r="Y1062" s="40"/>
      <c r="Z1062" s="40"/>
      <c r="AA1062" s="40"/>
      <c r="AB1062" s="40"/>
    </row>
    <row r="1063">
      <c r="A1063" s="805"/>
      <c r="B1063" s="40"/>
      <c r="C1063" s="40"/>
      <c r="D1063" s="40"/>
      <c r="E1063" s="40"/>
      <c r="F1063" s="40"/>
      <c r="G1063" s="40"/>
      <c r="H1063" s="40"/>
      <c r="I1063" s="40"/>
      <c r="J1063" s="216"/>
      <c r="K1063" s="40"/>
      <c r="L1063" s="40"/>
      <c r="M1063" s="40"/>
      <c r="N1063" s="40"/>
      <c r="O1063" s="40"/>
      <c r="P1063" s="40"/>
      <c r="Q1063" s="40"/>
      <c r="R1063" s="40"/>
      <c r="S1063" s="40"/>
      <c r="T1063" s="40"/>
      <c r="U1063" s="40"/>
      <c r="V1063" s="40"/>
      <c r="W1063" s="40"/>
      <c r="X1063" s="40"/>
      <c r="Y1063" s="40"/>
      <c r="Z1063" s="40"/>
      <c r="AA1063" s="40"/>
      <c r="AB1063" s="40"/>
    </row>
    <row r="1064">
      <c r="A1064" s="805"/>
      <c r="B1064" s="40"/>
      <c r="C1064" s="40"/>
      <c r="D1064" s="40"/>
      <c r="E1064" s="40"/>
      <c r="F1064" s="40"/>
      <c r="G1064" s="40"/>
      <c r="H1064" s="40"/>
      <c r="I1064" s="40"/>
      <c r="J1064" s="216"/>
      <c r="K1064" s="40"/>
      <c r="L1064" s="40"/>
      <c r="M1064" s="40"/>
      <c r="N1064" s="40"/>
      <c r="O1064" s="40"/>
      <c r="P1064" s="40"/>
      <c r="Q1064" s="40"/>
      <c r="R1064" s="40"/>
      <c r="S1064" s="40"/>
      <c r="T1064" s="40"/>
      <c r="U1064" s="40"/>
      <c r="V1064" s="40"/>
      <c r="W1064" s="40"/>
      <c r="X1064" s="40"/>
      <c r="Y1064" s="40"/>
      <c r="Z1064" s="40"/>
      <c r="AA1064" s="40"/>
      <c r="AB1064" s="40"/>
    </row>
    <row r="1065">
      <c r="A1065" s="805"/>
      <c r="B1065" s="40"/>
      <c r="C1065" s="40"/>
      <c r="D1065" s="40"/>
      <c r="E1065" s="40"/>
      <c r="F1065" s="40"/>
      <c r="G1065" s="40"/>
      <c r="H1065" s="40"/>
      <c r="I1065" s="40"/>
      <c r="J1065" s="216"/>
      <c r="K1065" s="40"/>
      <c r="L1065" s="40"/>
      <c r="M1065" s="40"/>
      <c r="N1065" s="40"/>
      <c r="O1065" s="40"/>
      <c r="P1065" s="40"/>
      <c r="Q1065" s="40"/>
      <c r="R1065" s="40"/>
      <c r="S1065" s="40"/>
      <c r="T1065" s="40"/>
      <c r="U1065" s="40"/>
      <c r="V1065" s="40"/>
      <c r="W1065" s="40"/>
      <c r="X1065" s="40"/>
      <c r="Y1065" s="40"/>
      <c r="Z1065" s="40"/>
      <c r="AA1065" s="40"/>
      <c r="AB1065" s="40"/>
    </row>
    <row r="1066">
      <c r="A1066" s="805"/>
      <c r="B1066" s="40"/>
      <c r="C1066" s="40"/>
      <c r="D1066" s="40"/>
      <c r="E1066" s="40"/>
      <c r="F1066" s="40"/>
      <c r="G1066" s="40"/>
      <c r="H1066" s="40"/>
      <c r="I1066" s="40"/>
      <c r="J1066" s="216"/>
      <c r="K1066" s="40"/>
      <c r="L1066" s="40"/>
      <c r="M1066" s="40"/>
      <c r="N1066" s="40"/>
      <c r="O1066" s="40"/>
      <c r="P1066" s="40"/>
      <c r="Q1066" s="40"/>
      <c r="R1066" s="40"/>
      <c r="S1066" s="40"/>
      <c r="T1066" s="40"/>
      <c r="U1066" s="40"/>
      <c r="V1066" s="40"/>
      <c r="W1066" s="40"/>
      <c r="X1066" s="40"/>
      <c r="Y1066" s="40"/>
      <c r="Z1066" s="40"/>
      <c r="AA1066" s="40"/>
      <c r="AB1066" s="40"/>
    </row>
    <row r="1067">
      <c r="A1067" s="805"/>
      <c r="B1067" s="40"/>
      <c r="C1067" s="40"/>
      <c r="D1067" s="40"/>
      <c r="E1067" s="40"/>
      <c r="F1067" s="40"/>
      <c r="G1067" s="40"/>
      <c r="H1067" s="40"/>
      <c r="I1067" s="40"/>
      <c r="J1067" s="216"/>
      <c r="K1067" s="40"/>
      <c r="L1067" s="40"/>
      <c r="M1067" s="40"/>
      <c r="N1067" s="40"/>
      <c r="O1067" s="40"/>
      <c r="P1067" s="40"/>
      <c r="Q1067" s="40"/>
      <c r="R1067" s="40"/>
      <c r="S1067" s="40"/>
      <c r="T1067" s="40"/>
      <c r="U1067" s="40"/>
      <c r="V1067" s="40"/>
      <c r="W1067" s="40"/>
      <c r="X1067" s="40"/>
      <c r="Y1067" s="40"/>
      <c r="Z1067" s="40"/>
      <c r="AA1067" s="40"/>
      <c r="AB1067" s="40"/>
    </row>
    <row r="1068">
      <c r="A1068" s="805"/>
      <c r="B1068" s="40"/>
      <c r="C1068" s="40"/>
      <c r="D1068" s="40"/>
      <c r="E1068" s="40"/>
      <c r="F1068" s="40"/>
      <c r="G1068" s="40"/>
      <c r="H1068" s="40"/>
      <c r="I1068" s="40"/>
      <c r="J1068" s="216"/>
      <c r="K1068" s="40"/>
      <c r="L1068" s="40"/>
      <c r="M1068" s="40"/>
      <c r="N1068" s="40"/>
      <c r="O1068" s="40"/>
      <c r="P1068" s="40"/>
      <c r="Q1068" s="40"/>
      <c r="R1068" s="40"/>
      <c r="S1068" s="40"/>
      <c r="T1068" s="40"/>
      <c r="U1068" s="40"/>
      <c r="V1068" s="40"/>
      <c r="W1068" s="40"/>
      <c r="X1068" s="40"/>
      <c r="Y1068" s="40"/>
      <c r="Z1068" s="40"/>
      <c r="AA1068" s="40"/>
      <c r="AB1068" s="40"/>
    </row>
    <row r="1069">
      <c r="A1069" s="805"/>
      <c r="B1069" s="40"/>
      <c r="C1069" s="40"/>
      <c r="D1069" s="40"/>
      <c r="E1069" s="40"/>
      <c r="F1069" s="40"/>
      <c r="G1069" s="40"/>
      <c r="H1069" s="40"/>
      <c r="I1069" s="40"/>
      <c r="J1069" s="216"/>
      <c r="K1069" s="40"/>
      <c r="L1069" s="40"/>
      <c r="M1069" s="40"/>
      <c r="N1069" s="40"/>
      <c r="O1069" s="40"/>
      <c r="P1069" s="40"/>
      <c r="Q1069" s="40"/>
      <c r="R1069" s="40"/>
      <c r="S1069" s="40"/>
      <c r="T1069" s="40"/>
      <c r="U1069" s="40"/>
      <c r="V1069" s="40"/>
      <c r="W1069" s="40"/>
      <c r="X1069" s="40"/>
      <c r="Y1069" s="40"/>
      <c r="Z1069" s="40"/>
      <c r="AA1069" s="40"/>
      <c r="AB1069" s="40"/>
    </row>
    <row r="1070">
      <c r="A1070" s="805"/>
      <c r="B1070" s="40"/>
      <c r="C1070" s="40"/>
      <c r="D1070" s="40"/>
      <c r="E1070" s="40"/>
      <c r="F1070" s="40"/>
      <c r="G1070" s="40"/>
      <c r="H1070" s="40"/>
      <c r="I1070" s="40"/>
      <c r="J1070" s="216"/>
      <c r="K1070" s="40"/>
      <c r="L1070" s="40"/>
      <c r="M1070" s="40"/>
      <c r="N1070" s="40"/>
      <c r="O1070" s="40"/>
      <c r="P1070" s="40"/>
      <c r="Q1070" s="40"/>
      <c r="R1070" s="40"/>
      <c r="S1070" s="40"/>
      <c r="T1070" s="40"/>
      <c r="U1070" s="40"/>
      <c r="V1070" s="40"/>
      <c r="W1070" s="40"/>
      <c r="X1070" s="40"/>
      <c r="Y1070" s="40"/>
      <c r="Z1070" s="40"/>
      <c r="AA1070" s="40"/>
      <c r="AB1070" s="40"/>
    </row>
    <row r="1071">
      <c r="A1071" s="805"/>
      <c r="B1071" s="40"/>
      <c r="C1071" s="40"/>
      <c r="D1071" s="40"/>
      <c r="E1071" s="40"/>
      <c r="F1071" s="40"/>
      <c r="G1071" s="40"/>
      <c r="H1071" s="40"/>
      <c r="I1071" s="40"/>
      <c r="J1071" s="216"/>
      <c r="K1071" s="40"/>
      <c r="L1071" s="40"/>
      <c r="M1071" s="40"/>
      <c r="N1071" s="40"/>
      <c r="O1071" s="40"/>
      <c r="P1071" s="40"/>
      <c r="Q1071" s="40"/>
      <c r="R1071" s="40"/>
      <c r="S1071" s="40"/>
      <c r="T1071" s="40"/>
      <c r="U1071" s="40"/>
      <c r="V1071" s="40"/>
      <c r="W1071" s="40"/>
      <c r="X1071" s="40"/>
      <c r="Y1071" s="40"/>
      <c r="Z1071" s="40"/>
      <c r="AA1071" s="40"/>
      <c r="AB1071" s="40"/>
    </row>
    <row r="1072">
      <c r="A1072" s="805"/>
      <c r="B1072" s="40"/>
      <c r="C1072" s="40"/>
      <c r="D1072" s="40"/>
      <c r="E1072" s="40"/>
      <c r="F1072" s="40"/>
      <c r="G1072" s="40"/>
      <c r="H1072" s="40"/>
      <c r="I1072" s="40"/>
      <c r="J1072" s="216"/>
      <c r="K1072" s="40"/>
      <c r="L1072" s="40"/>
      <c r="M1072" s="40"/>
      <c r="N1072" s="40"/>
      <c r="O1072" s="40"/>
      <c r="P1072" s="40"/>
      <c r="Q1072" s="40"/>
      <c r="R1072" s="40"/>
      <c r="S1072" s="40"/>
      <c r="T1072" s="40"/>
      <c r="U1072" s="40"/>
      <c r="V1072" s="40"/>
      <c r="W1072" s="40"/>
      <c r="X1072" s="40"/>
      <c r="Y1072" s="40"/>
      <c r="Z1072" s="40"/>
      <c r="AA1072" s="40"/>
      <c r="AB1072" s="40"/>
    </row>
    <row r="1073">
      <c r="A1073" s="805"/>
      <c r="B1073" s="40"/>
      <c r="C1073" s="40"/>
      <c r="D1073" s="40"/>
      <c r="E1073" s="40"/>
      <c r="F1073" s="40"/>
      <c r="G1073" s="40"/>
      <c r="H1073" s="40"/>
      <c r="I1073" s="40"/>
      <c r="J1073" s="216"/>
      <c r="K1073" s="40"/>
      <c r="L1073" s="40"/>
      <c r="M1073" s="40"/>
      <c r="N1073" s="40"/>
      <c r="O1073" s="40"/>
      <c r="P1073" s="40"/>
      <c r="Q1073" s="40"/>
      <c r="R1073" s="40"/>
      <c r="S1073" s="40"/>
      <c r="T1073" s="40"/>
      <c r="U1073" s="40"/>
      <c r="V1073" s="40"/>
      <c r="W1073" s="40"/>
      <c r="X1073" s="40"/>
      <c r="Y1073" s="40"/>
      <c r="Z1073" s="40"/>
      <c r="AA1073" s="40"/>
      <c r="AB1073" s="40"/>
    </row>
    <row r="1074">
      <c r="A1074" s="805"/>
      <c r="B1074" s="40"/>
      <c r="C1074" s="40"/>
      <c r="D1074" s="40"/>
      <c r="E1074" s="40"/>
      <c r="F1074" s="40"/>
      <c r="G1074" s="40"/>
      <c r="H1074" s="40"/>
      <c r="I1074" s="40"/>
      <c r="J1074" s="216"/>
      <c r="K1074" s="40"/>
      <c r="L1074" s="40"/>
      <c r="M1074" s="40"/>
      <c r="N1074" s="40"/>
      <c r="O1074" s="40"/>
      <c r="P1074" s="40"/>
      <c r="Q1074" s="40"/>
      <c r="R1074" s="40"/>
      <c r="S1074" s="40"/>
      <c r="T1074" s="40"/>
      <c r="U1074" s="40"/>
      <c r="V1074" s="40"/>
      <c r="W1074" s="40"/>
      <c r="X1074" s="40"/>
      <c r="Y1074" s="40"/>
      <c r="Z1074" s="40"/>
      <c r="AA1074" s="40"/>
      <c r="AB1074" s="40"/>
    </row>
    <row r="1075">
      <c r="A1075" s="805"/>
      <c r="B1075" s="40"/>
      <c r="C1075" s="40"/>
      <c r="D1075" s="40"/>
      <c r="E1075" s="40"/>
      <c r="F1075" s="40"/>
      <c r="G1075" s="40"/>
      <c r="H1075" s="40"/>
      <c r="I1075" s="40"/>
      <c r="J1075" s="216"/>
      <c r="K1075" s="40"/>
      <c r="L1075" s="40"/>
      <c r="M1075" s="40"/>
      <c r="N1075" s="40"/>
      <c r="O1075" s="40"/>
      <c r="P1075" s="40"/>
      <c r="Q1075" s="40"/>
      <c r="R1075" s="40"/>
      <c r="S1075" s="40"/>
      <c r="T1075" s="40"/>
      <c r="U1075" s="40"/>
      <c r="V1075" s="40"/>
      <c r="W1075" s="40"/>
      <c r="X1075" s="40"/>
      <c r="Y1075" s="40"/>
      <c r="Z1075" s="40"/>
      <c r="AA1075" s="40"/>
      <c r="AB1075" s="40"/>
    </row>
    <row r="1076">
      <c r="A1076" s="805"/>
      <c r="B1076" s="40"/>
      <c r="C1076" s="40"/>
      <c r="D1076" s="40"/>
      <c r="E1076" s="40"/>
      <c r="F1076" s="40"/>
      <c r="G1076" s="40"/>
      <c r="H1076" s="40"/>
      <c r="I1076" s="40"/>
      <c r="J1076" s="216"/>
      <c r="K1076" s="40"/>
      <c r="L1076" s="40"/>
      <c r="M1076" s="40"/>
      <c r="N1076" s="40"/>
      <c r="O1076" s="40"/>
      <c r="P1076" s="40"/>
      <c r="Q1076" s="40"/>
      <c r="R1076" s="40"/>
      <c r="S1076" s="40"/>
      <c r="T1076" s="40"/>
      <c r="U1076" s="40"/>
      <c r="V1076" s="40"/>
      <c r="W1076" s="40"/>
      <c r="X1076" s="40"/>
      <c r="Y1076" s="40"/>
      <c r="Z1076" s="40"/>
      <c r="AA1076" s="40"/>
      <c r="AB1076" s="40"/>
    </row>
    <row r="1077">
      <c r="A1077" s="805"/>
      <c r="B1077" s="40"/>
      <c r="C1077" s="40"/>
      <c r="D1077" s="40"/>
      <c r="E1077" s="40"/>
      <c r="F1077" s="40"/>
      <c r="G1077" s="40"/>
      <c r="H1077" s="40"/>
      <c r="I1077" s="40"/>
      <c r="J1077" s="216"/>
      <c r="K1077" s="40"/>
      <c r="L1077" s="40"/>
      <c r="M1077" s="40"/>
      <c r="N1077" s="40"/>
      <c r="O1077" s="40"/>
      <c r="P1077" s="40"/>
      <c r="Q1077" s="40"/>
      <c r="R1077" s="40"/>
      <c r="S1077" s="40"/>
      <c r="T1077" s="40"/>
      <c r="U1077" s="40"/>
      <c r="V1077" s="40"/>
      <c r="W1077" s="40"/>
      <c r="X1077" s="40"/>
      <c r="Y1077" s="40"/>
      <c r="Z1077" s="40"/>
      <c r="AA1077" s="40"/>
      <c r="AB1077" s="40"/>
    </row>
    <row r="1078">
      <c r="A1078" s="805"/>
      <c r="B1078" s="40"/>
      <c r="C1078" s="40"/>
      <c r="D1078" s="40"/>
      <c r="E1078" s="40"/>
      <c r="F1078" s="40"/>
      <c r="G1078" s="40"/>
      <c r="H1078" s="40"/>
      <c r="I1078" s="40"/>
      <c r="J1078" s="216"/>
      <c r="K1078" s="40"/>
      <c r="L1078" s="40"/>
      <c r="M1078" s="40"/>
      <c r="N1078" s="40"/>
      <c r="O1078" s="40"/>
      <c r="P1078" s="40"/>
      <c r="Q1078" s="40"/>
      <c r="R1078" s="40"/>
      <c r="S1078" s="40"/>
      <c r="T1078" s="40"/>
      <c r="U1078" s="40"/>
      <c r="V1078" s="40"/>
      <c r="W1078" s="40"/>
      <c r="X1078" s="40"/>
      <c r="Y1078" s="40"/>
      <c r="Z1078" s="40"/>
      <c r="AA1078" s="40"/>
      <c r="AB1078" s="40"/>
    </row>
    <row r="1079">
      <c r="A1079" s="805"/>
      <c r="B1079" s="40"/>
      <c r="C1079" s="40"/>
      <c r="D1079" s="40"/>
      <c r="E1079" s="40"/>
      <c r="F1079" s="40"/>
      <c r="G1079" s="40"/>
      <c r="H1079" s="40"/>
      <c r="I1079" s="40"/>
      <c r="J1079" s="216"/>
      <c r="K1079" s="40"/>
      <c r="L1079" s="40"/>
      <c r="M1079" s="40"/>
      <c r="N1079" s="40"/>
      <c r="O1079" s="40"/>
      <c r="P1079" s="40"/>
      <c r="Q1079" s="40"/>
      <c r="R1079" s="40"/>
      <c r="S1079" s="40"/>
      <c r="T1079" s="40"/>
      <c r="U1079" s="40"/>
      <c r="V1079" s="40"/>
      <c r="W1079" s="40"/>
      <c r="X1079" s="40"/>
      <c r="Y1079" s="40"/>
      <c r="Z1079" s="40"/>
      <c r="AA1079" s="40"/>
      <c r="AB1079" s="40"/>
    </row>
    <row r="1080">
      <c r="A1080" s="805"/>
      <c r="B1080" s="40"/>
      <c r="C1080" s="40"/>
      <c r="D1080" s="40"/>
      <c r="E1080" s="40"/>
      <c r="F1080" s="40"/>
      <c r="G1080" s="40"/>
      <c r="H1080" s="40"/>
      <c r="I1080" s="40"/>
      <c r="J1080" s="216"/>
      <c r="K1080" s="40"/>
      <c r="L1080" s="40"/>
      <c r="M1080" s="40"/>
      <c r="N1080" s="40"/>
      <c r="O1080" s="40"/>
      <c r="P1080" s="40"/>
      <c r="Q1080" s="40"/>
      <c r="R1080" s="40"/>
      <c r="S1080" s="40"/>
      <c r="T1080" s="40"/>
      <c r="U1080" s="40"/>
      <c r="V1080" s="40"/>
      <c r="W1080" s="40"/>
      <c r="X1080" s="40"/>
      <c r="Y1080" s="40"/>
      <c r="Z1080" s="40"/>
      <c r="AA1080" s="40"/>
      <c r="AB1080" s="40"/>
    </row>
    <row r="1081">
      <c r="A1081" s="805"/>
      <c r="B1081" s="40"/>
      <c r="C1081" s="40"/>
      <c r="D1081" s="40"/>
      <c r="E1081" s="40"/>
      <c r="F1081" s="40"/>
      <c r="G1081" s="40"/>
      <c r="H1081" s="40"/>
      <c r="I1081" s="40"/>
      <c r="J1081" s="216"/>
      <c r="K1081" s="40"/>
      <c r="L1081" s="40"/>
      <c r="M1081" s="40"/>
      <c r="N1081" s="40"/>
      <c r="O1081" s="40"/>
      <c r="P1081" s="40"/>
      <c r="Q1081" s="40"/>
      <c r="R1081" s="40"/>
      <c r="S1081" s="40"/>
      <c r="T1081" s="40"/>
      <c r="U1081" s="40"/>
      <c r="V1081" s="40"/>
      <c r="W1081" s="40"/>
      <c r="X1081" s="40"/>
      <c r="Y1081" s="40"/>
      <c r="Z1081" s="40"/>
      <c r="AA1081" s="40"/>
      <c r="AB1081" s="40"/>
    </row>
    <row r="1082">
      <c r="A1082" s="805"/>
      <c r="B1082" s="40"/>
      <c r="C1082" s="40"/>
      <c r="D1082" s="40"/>
      <c r="E1082" s="40"/>
      <c r="F1082" s="40"/>
      <c r="G1082" s="40"/>
      <c r="H1082" s="40"/>
      <c r="I1082" s="40"/>
      <c r="J1082" s="216"/>
      <c r="K1082" s="40"/>
      <c r="L1082" s="40"/>
      <c r="M1082" s="40"/>
      <c r="N1082" s="40"/>
      <c r="O1082" s="40"/>
      <c r="P1082" s="40"/>
      <c r="Q1082" s="40"/>
      <c r="R1082" s="40"/>
      <c r="S1082" s="40"/>
      <c r="T1082" s="40"/>
      <c r="U1082" s="40"/>
      <c r="V1082" s="40"/>
      <c r="W1082" s="40"/>
      <c r="X1082" s="40"/>
      <c r="Y1082" s="40"/>
      <c r="Z1082" s="40"/>
      <c r="AA1082" s="40"/>
      <c r="AB1082" s="40"/>
    </row>
    <row r="1083">
      <c r="A1083" s="805"/>
      <c r="B1083" s="40"/>
      <c r="C1083" s="40"/>
      <c r="D1083" s="40"/>
      <c r="E1083" s="40"/>
      <c r="F1083" s="40"/>
      <c r="G1083" s="40"/>
      <c r="H1083" s="40"/>
      <c r="I1083" s="40"/>
      <c r="J1083" s="216"/>
      <c r="K1083" s="40"/>
      <c r="L1083" s="40"/>
      <c r="M1083" s="40"/>
      <c r="N1083" s="40"/>
      <c r="O1083" s="40"/>
      <c r="P1083" s="40"/>
      <c r="Q1083" s="40"/>
      <c r="R1083" s="40"/>
      <c r="S1083" s="40"/>
      <c r="T1083" s="40"/>
      <c r="U1083" s="40"/>
      <c r="V1083" s="40"/>
      <c r="W1083" s="40"/>
      <c r="X1083" s="40"/>
      <c r="Y1083" s="40"/>
      <c r="Z1083" s="40"/>
      <c r="AA1083" s="40"/>
      <c r="AB1083" s="40"/>
    </row>
    <row r="1084">
      <c r="A1084" s="805"/>
      <c r="B1084" s="40"/>
      <c r="C1084" s="40"/>
      <c r="D1084" s="40"/>
      <c r="E1084" s="40"/>
      <c r="F1084" s="40"/>
      <c r="G1084" s="40"/>
      <c r="H1084" s="40"/>
      <c r="I1084" s="40"/>
      <c r="J1084" s="216"/>
      <c r="K1084" s="40"/>
      <c r="L1084" s="40"/>
      <c r="M1084" s="40"/>
      <c r="N1084" s="40"/>
      <c r="O1084" s="40"/>
      <c r="P1084" s="40"/>
      <c r="Q1084" s="40"/>
      <c r="R1084" s="40"/>
      <c r="S1084" s="40"/>
      <c r="T1084" s="40"/>
      <c r="U1084" s="40"/>
      <c r="V1084" s="40"/>
      <c r="W1084" s="40"/>
      <c r="X1084" s="40"/>
      <c r="Y1084" s="40"/>
      <c r="Z1084" s="40"/>
      <c r="AA1084" s="40"/>
      <c r="AB1084" s="40"/>
    </row>
    <row r="1085">
      <c r="A1085" s="805"/>
      <c r="B1085" s="40"/>
      <c r="C1085" s="40"/>
      <c r="D1085" s="40"/>
      <c r="E1085" s="40"/>
      <c r="F1085" s="40"/>
      <c r="G1085" s="40"/>
      <c r="H1085" s="40"/>
      <c r="I1085" s="40"/>
      <c r="J1085" s="216"/>
      <c r="K1085" s="40"/>
      <c r="L1085" s="40"/>
      <c r="M1085" s="40"/>
      <c r="N1085" s="40"/>
      <c r="O1085" s="40"/>
      <c r="P1085" s="40"/>
      <c r="Q1085" s="40"/>
      <c r="R1085" s="40"/>
      <c r="S1085" s="40"/>
      <c r="T1085" s="40"/>
      <c r="U1085" s="40"/>
      <c r="V1085" s="40"/>
      <c r="W1085" s="40"/>
      <c r="X1085" s="40"/>
      <c r="Y1085" s="40"/>
      <c r="Z1085" s="40"/>
      <c r="AA1085" s="40"/>
      <c r="AB1085" s="40"/>
    </row>
    <row r="1086">
      <c r="A1086" s="805"/>
      <c r="B1086" s="40"/>
      <c r="C1086" s="40"/>
      <c r="D1086" s="40"/>
      <c r="E1086" s="40"/>
      <c r="F1086" s="40"/>
      <c r="G1086" s="40"/>
      <c r="H1086" s="40"/>
      <c r="I1086" s="40"/>
      <c r="J1086" s="216"/>
      <c r="K1086" s="40"/>
      <c r="L1086" s="40"/>
      <c r="M1086" s="40"/>
      <c r="N1086" s="40"/>
      <c r="O1086" s="40"/>
      <c r="P1086" s="40"/>
      <c r="Q1086" s="40"/>
      <c r="R1086" s="40"/>
      <c r="S1086" s="40"/>
      <c r="T1086" s="40"/>
      <c r="U1086" s="40"/>
      <c r="V1086" s="40"/>
      <c r="W1086" s="40"/>
      <c r="X1086" s="40"/>
      <c r="Y1086" s="40"/>
      <c r="Z1086" s="40"/>
      <c r="AA1086" s="40"/>
      <c r="AB1086" s="40"/>
    </row>
    <row r="1087">
      <c r="A1087" s="805"/>
      <c r="B1087" s="40"/>
      <c r="C1087" s="40"/>
      <c r="D1087" s="40"/>
      <c r="E1087" s="40"/>
      <c r="F1087" s="40"/>
      <c r="G1087" s="40"/>
      <c r="H1087" s="40"/>
      <c r="I1087" s="40"/>
      <c r="J1087" s="216"/>
      <c r="K1087" s="40"/>
      <c r="L1087" s="40"/>
      <c r="M1087" s="40"/>
      <c r="N1087" s="40"/>
      <c r="O1087" s="40"/>
      <c r="P1087" s="40"/>
      <c r="Q1087" s="40"/>
      <c r="R1087" s="40"/>
      <c r="S1087" s="40"/>
      <c r="T1087" s="40"/>
      <c r="U1087" s="40"/>
      <c r="V1087" s="40"/>
      <c r="W1087" s="40"/>
      <c r="X1087" s="40"/>
      <c r="Y1087" s="40"/>
      <c r="Z1087" s="40"/>
      <c r="AA1087" s="40"/>
      <c r="AB1087" s="40"/>
    </row>
    <row r="1088">
      <c r="A1088" s="805"/>
      <c r="B1088" s="40"/>
      <c r="C1088" s="40"/>
      <c r="D1088" s="40"/>
      <c r="E1088" s="40"/>
      <c r="F1088" s="40"/>
      <c r="G1088" s="40"/>
      <c r="H1088" s="40"/>
      <c r="I1088" s="40"/>
      <c r="J1088" s="216"/>
      <c r="K1088" s="40"/>
      <c r="L1088" s="40"/>
      <c r="M1088" s="40"/>
      <c r="N1088" s="40"/>
      <c r="O1088" s="40"/>
      <c r="P1088" s="40"/>
      <c r="Q1088" s="40"/>
      <c r="R1088" s="40"/>
      <c r="S1088" s="40"/>
      <c r="T1088" s="40"/>
      <c r="U1088" s="40"/>
      <c r="V1088" s="40"/>
      <c r="W1088" s="40"/>
      <c r="X1088" s="40"/>
      <c r="Y1088" s="40"/>
      <c r="Z1088" s="40"/>
      <c r="AA1088" s="40"/>
      <c r="AB1088" s="40"/>
    </row>
    <row r="1089">
      <c r="A1089" s="805"/>
      <c r="B1089" s="40"/>
      <c r="C1089" s="40"/>
      <c r="D1089" s="40"/>
      <c r="E1089" s="40"/>
      <c r="F1089" s="40"/>
      <c r="G1089" s="40"/>
      <c r="H1089" s="40"/>
      <c r="I1089" s="40"/>
      <c r="J1089" s="216"/>
      <c r="K1089" s="40"/>
      <c r="L1089" s="40"/>
      <c r="M1089" s="40"/>
      <c r="N1089" s="40"/>
      <c r="O1089" s="40"/>
      <c r="P1089" s="40"/>
      <c r="Q1089" s="40"/>
      <c r="R1089" s="40"/>
      <c r="S1089" s="40"/>
      <c r="T1089" s="40"/>
      <c r="U1089" s="40"/>
      <c r="V1089" s="40"/>
      <c r="W1089" s="40"/>
      <c r="X1089" s="40"/>
      <c r="Y1089" s="40"/>
      <c r="Z1089" s="40"/>
      <c r="AA1089" s="40"/>
      <c r="AB1089" s="40"/>
    </row>
    <row r="1090">
      <c r="A1090" s="805"/>
      <c r="B1090" s="40"/>
      <c r="C1090" s="40"/>
      <c r="D1090" s="40"/>
      <c r="E1090" s="40"/>
      <c r="F1090" s="40"/>
      <c r="G1090" s="40"/>
      <c r="H1090" s="40"/>
      <c r="I1090" s="40"/>
      <c r="J1090" s="216"/>
      <c r="K1090" s="40"/>
      <c r="L1090" s="40"/>
      <c r="M1090" s="40"/>
      <c r="N1090" s="40"/>
      <c r="O1090" s="40"/>
      <c r="P1090" s="40"/>
      <c r="Q1090" s="40"/>
      <c r="R1090" s="40"/>
      <c r="S1090" s="40"/>
      <c r="T1090" s="40"/>
      <c r="U1090" s="40"/>
      <c r="V1090" s="40"/>
      <c r="W1090" s="40"/>
      <c r="X1090" s="40"/>
      <c r="Y1090" s="40"/>
      <c r="Z1090" s="40"/>
      <c r="AA1090" s="40"/>
      <c r="AB1090" s="40"/>
    </row>
    <row r="1091">
      <c r="A1091" s="805"/>
      <c r="B1091" s="40"/>
      <c r="C1091" s="40"/>
      <c r="D1091" s="40"/>
      <c r="E1091" s="40"/>
      <c r="F1091" s="40"/>
      <c r="G1091" s="40"/>
      <c r="H1091" s="40"/>
      <c r="I1091" s="40"/>
      <c r="J1091" s="216"/>
      <c r="K1091" s="40"/>
      <c r="L1091" s="40"/>
      <c r="M1091" s="40"/>
      <c r="N1091" s="40"/>
      <c r="O1091" s="40"/>
      <c r="P1091" s="40"/>
      <c r="Q1091" s="40"/>
      <c r="R1091" s="40"/>
      <c r="S1091" s="40"/>
      <c r="T1091" s="40"/>
      <c r="U1091" s="40"/>
      <c r="V1091" s="40"/>
      <c r="W1091" s="40"/>
      <c r="X1091" s="40"/>
      <c r="Y1091" s="40"/>
      <c r="Z1091" s="40"/>
      <c r="AA1091" s="40"/>
      <c r="AB1091" s="40"/>
    </row>
    <row r="1092">
      <c r="A1092" s="805"/>
      <c r="B1092" s="40"/>
      <c r="C1092" s="40"/>
      <c r="D1092" s="40"/>
      <c r="E1092" s="40"/>
      <c r="F1092" s="40"/>
      <c r="G1092" s="40"/>
      <c r="H1092" s="40"/>
      <c r="I1092" s="40"/>
      <c r="J1092" s="216"/>
      <c r="K1092" s="40"/>
      <c r="L1092" s="40"/>
      <c r="M1092" s="40"/>
      <c r="N1092" s="40"/>
      <c r="O1092" s="40"/>
      <c r="P1092" s="40"/>
      <c r="Q1092" s="40"/>
      <c r="R1092" s="40"/>
      <c r="S1092" s="40"/>
      <c r="T1092" s="40"/>
      <c r="U1092" s="40"/>
      <c r="V1092" s="40"/>
      <c r="W1092" s="40"/>
      <c r="X1092" s="40"/>
      <c r="Y1092" s="40"/>
      <c r="Z1092" s="40"/>
      <c r="AA1092" s="40"/>
      <c r="AB1092" s="40"/>
    </row>
    <row r="1093">
      <c r="A1093" s="805"/>
      <c r="B1093" s="40"/>
      <c r="C1093" s="40"/>
      <c r="D1093" s="40"/>
      <c r="E1093" s="40"/>
      <c r="F1093" s="40"/>
      <c r="G1093" s="40"/>
      <c r="H1093" s="40"/>
      <c r="I1093" s="40"/>
      <c r="J1093" s="216"/>
      <c r="K1093" s="40"/>
      <c r="L1093" s="40"/>
      <c r="M1093" s="40"/>
      <c r="N1093" s="40"/>
      <c r="O1093" s="40"/>
      <c r="P1093" s="40"/>
      <c r="Q1093" s="40"/>
      <c r="R1093" s="40"/>
      <c r="S1093" s="40"/>
      <c r="T1093" s="40"/>
      <c r="U1093" s="40"/>
      <c r="V1093" s="40"/>
      <c r="W1093" s="40"/>
      <c r="X1093" s="40"/>
      <c r="Y1093" s="40"/>
      <c r="Z1093" s="40"/>
      <c r="AA1093" s="40"/>
      <c r="AB1093" s="40"/>
    </row>
    <row r="1094">
      <c r="A1094" s="805"/>
      <c r="B1094" s="40"/>
      <c r="C1094" s="40"/>
      <c r="D1094" s="40"/>
      <c r="E1094" s="40"/>
      <c r="F1094" s="40"/>
      <c r="G1094" s="40"/>
      <c r="H1094" s="40"/>
      <c r="I1094" s="40"/>
      <c r="J1094" s="216"/>
      <c r="K1094" s="40"/>
      <c r="L1094" s="40"/>
      <c r="M1094" s="40"/>
      <c r="N1094" s="40"/>
      <c r="O1094" s="40"/>
      <c r="P1094" s="40"/>
      <c r="Q1094" s="40"/>
      <c r="R1094" s="40"/>
      <c r="S1094" s="40"/>
      <c r="T1094" s="40"/>
      <c r="U1094" s="40"/>
      <c r="V1094" s="40"/>
      <c r="W1094" s="40"/>
      <c r="X1094" s="40"/>
      <c r="Y1094" s="40"/>
      <c r="Z1094" s="40"/>
      <c r="AA1094" s="40"/>
      <c r="AB1094" s="40"/>
    </row>
    <row r="1095">
      <c r="A1095" s="805"/>
      <c r="B1095" s="40"/>
      <c r="C1095" s="40"/>
      <c r="D1095" s="40"/>
      <c r="E1095" s="40"/>
      <c r="F1095" s="40"/>
      <c r="G1095" s="40"/>
      <c r="H1095" s="40"/>
      <c r="I1095" s="40"/>
      <c r="J1095" s="216"/>
      <c r="K1095" s="40"/>
      <c r="L1095" s="40"/>
      <c r="M1095" s="40"/>
      <c r="N1095" s="40"/>
      <c r="O1095" s="40"/>
      <c r="P1095" s="40"/>
      <c r="Q1095" s="40"/>
      <c r="R1095" s="40"/>
      <c r="S1095" s="40"/>
      <c r="T1095" s="40"/>
      <c r="U1095" s="40"/>
      <c r="V1095" s="40"/>
      <c r="W1095" s="40"/>
      <c r="X1095" s="40"/>
      <c r="Y1095" s="40"/>
      <c r="Z1095" s="40"/>
      <c r="AA1095" s="40"/>
      <c r="AB1095" s="40"/>
    </row>
    <row r="1096">
      <c r="A1096" s="805"/>
      <c r="B1096" s="40"/>
      <c r="C1096" s="40"/>
      <c r="D1096" s="40"/>
      <c r="E1096" s="40"/>
      <c r="F1096" s="40"/>
      <c r="G1096" s="40"/>
      <c r="H1096" s="40"/>
      <c r="I1096" s="40"/>
      <c r="J1096" s="216"/>
      <c r="K1096" s="40"/>
      <c r="L1096" s="40"/>
      <c r="M1096" s="40"/>
      <c r="N1096" s="40"/>
      <c r="O1096" s="40"/>
      <c r="P1096" s="40"/>
      <c r="Q1096" s="40"/>
      <c r="R1096" s="40"/>
      <c r="S1096" s="40"/>
      <c r="T1096" s="40"/>
      <c r="U1096" s="40"/>
      <c r="V1096" s="40"/>
      <c r="W1096" s="40"/>
      <c r="X1096" s="40"/>
      <c r="Y1096" s="40"/>
      <c r="Z1096" s="40"/>
      <c r="AA1096" s="40"/>
      <c r="AB1096" s="40"/>
    </row>
    <row r="1097">
      <c r="A1097" s="805"/>
      <c r="B1097" s="40"/>
      <c r="C1097" s="40"/>
      <c r="D1097" s="40"/>
      <c r="E1097" s="40"/>
      <c r="F1097" s="40"/>
      <c r="G1097" s="40"/>
      <c r="H1097" s="40"/>
      <c r="I1097" s="40"/>
      <c r="J1097" s="216"/>
      <c r="K1097" s="40"/>
      <c r="L1097" s="40"/>
      <c r="M1097" s="40"/>
      <c r="N1097" s="40"/>
      <c r="O1097" s="40"/>
      <c r="P1097" s="40"/>
      <c r="Q1097" s="40"/>
      <c r="R1097" s="40"/>
      <c r="S1097" s="40"/>
      <c r="T1097" s="40"/>
      <c r="U1097" s="40"/>
      <c r="V1097" s="40"/>
      <c r="W1097" s="40"/>
      <c r="X1097" s="40"/>
      <c r="Y1097" s="40"/>
      <c r="Z1097" s="40"/>
      <c r="AA1097" s="40"/>
      <c r="AB1097" s="40"/>
    </row>
    <row r="1098">
      <c r="A1098" s="805"/>
      <c r="B1098" s="40"/>
      <c r="C1098" s="40"/>
      <c r="D1098" s="40"/>
      <c r="E1098" s="40"/>
      <c r="F1098" s="40"/>
      <c r="G1098" s="40"/>
      <c r="H1098" s="40"/>
      <c r="I1098" s="40"/>
      <c r="J1098" s="216"/>
      <c r="K1098" s="40"/>
      <c r="L1098" s="40"/>
      <c r="M1098" s="40"/>
      <c r="N1098" s="40"/>
      <c r="O1098" s="40"/>
      <c r="P1098" s="40"/>
      <c r="Q1098" s="40"/>
      <c r="R1098" s="40"/>
      <c r="S1098" s="40"/>
      <c r="T1098" s="40"/>
      <c r="U1098" s="40"/>
      <c r="V1098" s="40"/>
      <c r="W1098" s="40"/>
      <c r="X1098" s="40"/>
      <c r="Y1098" s="40"/>
      <c r="Z1098" s="40"/>
      <c r="AA1098" s="40"/>
      <c r="AB1098" s="40"/>
    </row>
    <row r="1099">
      <c r="A1099" s="805"/>
      <c r="B1099" s="40"/>
      <c r="C1099" s="40"/>
      <c r="D1099" s="40"/>
      <c r="E1099" s="40"/>
      <c r="F1099" s="40"/>
      <c r="G1099" s="40"/>
      <c r="H1099" s="40"/>
      <c r="I1099" s="40"/>
      <c r="J1099" s="216"/>
      <c r="K1099" s="40"/>
      <c r="L1099" s="40"/>
      <c r="M1099" s="40"/>
      <c r="N1099" s="40"/>
      <c r="O1099" s="40"/>
      <c r="P1099" s="40"/>
      <c r="Q1099" s="40"/>
      <c r="R1099" s="40"/>
      <c r="S1099" s="40"/>
      <c r="T1099" s="40"/>
      <c r="U1099" s="40"/>
      <c r="V1099" s="40"/>
      <c r="W1099" s="40"/>
      <c r="X1099" s="40"/>
      <c r="Y1099" s="40"/>
      <c r="Z1099" s="40"/>
      <c r="AA1099" s="40"/>
      <c r="AB1099" s="40"/>
    </row>
    <row r="1100">
      <c r="A1100" s="805"/>
      <c r="B1100" s="40"/>
      <c r="C1100" s="40"/>
      <c r="D1100" s="40"/>
      <c r="E1100" s="40"/>
      <c r="F1100" s="40"/>
      <c r="G1100" s="40"/>
      <c r="H1100" s="40"/>
      <c r="I1100" s="40"/>
      <c r="J1100" s="216"/>
      <c r="K1100" s="40"/>
      <c r="L1100" s="40"/>
      <c r="M1100" s="40"/>
      <c r="N1100" s="40"/>
      <c r="O1100" s="40"/>
      <c r="P1100" s="40"/>
      <c r="Q1100" s="40"/>
      <c r="R1100" s="40"/>
      <c r="S1100" s="40"/>
      <c r="T1100" s="40"/>
      <c r="U1100" s="40"/>
      <c r="V1100" s="40"/>
      <c r="W1100" s="40"/>
      <c r="X1100" s="40"/>
      <c r="Y1100" s="40"/>
      <c r="Z1100" s="40"/>
      <c r="AA1100" s="40"/>
      <c r="AB1100" s="40"/>
    </row>
    <row r="1101">
      <c r="A1101" s="805"/>
      <c r="B1101" s="40"/>
      <c r="C1101" s="40"/>
      <c r="D1101" s="40"/>
      <c r="E1101" s="40"/>
      <c r="F1101" s="40"/>
      <c r="G1101" s="40"/>
      <c r="H1101" s="40"/>
      <c r="I1101" s="40"/>
      <c r="J1101" s="216"/>
      <c r="K1101" s="40"/>
      <c r="L1101" s="40"/>
      <c r="M1101" s="40"/>
      <c r="N1101" s="40"/>
      <c r="O1101" s="40"/>
      <c r="P1101" s="40"/>
      <c r="Q1101" s="40"/>
      <c r="R1101" s="40"/>
      <c r="S1101" s="40"/>
      <c r="T1101" s="40"/>
      <c r="U1101" s="40"/>
      <c r="V1101" s="40"/>
      <c r="W1101" s="40"/>
      <c r="X1101" s="40"/>
      <c r="Y1101" s="40"/>
      <c r="Z1101" s="40"/>
      <c r="AA1101" s="40"/>
      <c r="AB1101" s="40"/>
    </row>
    <row r="1102">
      <c r="A1102" s="805"/>
      <c r="B1102" s="40"/>
      <c r="C1102" s="40"/>
      <c r="D1102" s="40"/>
      <c r="E1102" s="40"/>
      <c r="F1102" s="40"/>
      <c r="G1102" s="40"/>
      <c r="H1102" s="40"/>
      <c r="I1102" s="40"/>
      <c r="J1102" s="216"/>
      <c r="K1102" s="40"/>
      <c r="L1102" s="40"/>
      <c r="M1102" s="40"/>
      <c r="N1102" s="40"/>
      <c r="O1102" s="40"/>
      <c r="P1102" s="40"/>
      <c r="Q1102" s="40"/>
      <c r="R1102" s="40"/>
      <c r="S1102" s="40"/>
      <c r="T1102" s="40"/>
      <c r="U1102" s="40"/>
      <c r="V1102" s="40"/>
      <c r="W1102" s="40"/>
      <c r="X1102" s="40"/>
      <c r="Y1102" s="40"/>
      <c r="Z1102" s="40"/>
      <c r="AA1102" s="40"/>
      <c r="AB1102" s="40"/>
    </row>
    <row r="1103">
      <c r="A1103" s="805"/>
      <c r="B1103" s="40"/>
      <c r="C1103" s="40"/>
      <c r="D1103" s="40"/>
      <c r="E1103" s="40"/>
      <c r="F1103" s="40"/>
      <c r="G1103" s="40"/>
      <c r="H1103" s="40"/>
      <c r="I1103" s="40"/>
      <c r="J1103" s="216"/>
      <c r="K1103" s="40"/>
      <c r="L1103" s="40"/>
      <c r="M1103" s="40"/>
      <c r="N1103" s="40"/>
      <c r="O1103" s="40"/>
      <c r="P1103" s="40"/>
      <c r="Q1103" s="40"/>
      <c r="R1103" s="40"/>
      <c r="S1103" s="40"/>
      <c r="T1103" s="40"/>
      <c r="U1103" s="40"/>
      <c r="V1103" s="40"/>
      <c r="W1103" s="40"/>
      <c r="X1103" s="40"/>
      <c r="Y1103" s="40"/>
      <c r="Z1103" s="40"/>
      <c r="AA1103" s="40"/>
      <c r="AB1103" s="40"/>
    </row>
    <row r="1104">
      <c r="A1104" s="805"/>
      <c r="B1104" s="40"/>
      <c r="C1104" s="40"/>
      <c r="D1104" s="40"/>
      <c r="E1104" s="40"/>
      <c r="F1104" s="40"/>
      <c r="G1104" s="40"/>
      <c r="H1104" s="40"/>
      <c r="I1104" s="40"/>
      <c r="J1104" s="216"/>
      <c r="K1104" s="40"/>
      <c r="L1104" s="40"/>
      <c r="M1104" s="40"/>
      <c r="N1104" s="40"/>
      <c r="O1104" s="40"/>
      <c r="P1104" s="40"/>
      <c r="Q1104" s="40"/>
      <c r="R1104" s="40"/>
      <c r="S1104" s="40"/>
      <c r="T1104" s="40"/>
      <c r="U1104" s="40"/>
      <c r="V1104" s="40"/>
      <c r="W1104" s="40"/>
      <c r="X1104" s="40"/>
      <c r="Y1104" s="40"/>
      <c r="Z1104" s="40"/>
      <c r="AA1104" s="40"/>
      <c r="AB1104" s="40"/>
    </row>
    <row r="1105">
      <c r="A1105" s="805"/>
      <c r="B1105" s="40"/>
      <c r="C1105" s="40"/>
      <c r="D1105" s="40"/>
      <c r="E1105" s="40"/>
      <c r="F1105" s="40"/>
      <c r="G1105" s="40"/>
      <c r="H1105" s="40"/>
      <c r="I1105" s="40"/>
      <c r="J1105" s="216"/>
      <c r="K1105" s="40"/>
      <c r="L1105" s="40"/>
      <c r="M1105" s="40"/>
      <c r="N1105" s="40"/>
      <c r="O1105" s="40"/>
      <c r="P1105" s="40"/>
      <c r="Q1105" s="40"/>
      <c r="R1105" s="40"/>
      <c r="S1105" s="40"/>
      <c r="T1105" s="40"/>
      <c r="U1105" s="40"/>
      <c r="V1105" s="40"/>
      <c r="W1105" s="40"/>
      <c r="X1105" s="40"/>
      <c r="Y1105" s="40"/>
      <c r="Z1105" s="40"/>
      <c r="AA1105" s="40"/>
      <c r="AB1105" s="40"/>
    </row>
    <row r="1106">
      <c r="A1106" s="805"/>
      <c r="B1106" s="40"/>
      <c r="C1106" s="40"/>
      <c r="D1106" s="40"/>
      <c r="E1106" s="40"/>
      <c r="F1106" s="40"/>
      <c r="G1106" s="40"/>
      <c r="H1106" s="40"/>
      <c r="I1106" s="40"/>
      <c r="J1106" s="216"/>
      <c r="K1106" s="40"/>
      <c r="L1106" s="40"/>
      <c r="M1106" s="40"/>
      <c r="N1106" s="40"/>
      <c r="O1106" s="40"/>
      <c r="P1106" s="40"/>
      <c r="Q1106" s="40"/>
      <c r="R1106" s="40"/>
      <c r="S1106" s="40"/>
      <c r="T1106" s="40"/>
      <c r="U1106" s="40"/>
      <c r="V1106" s="40"/>
      <c r="W1106" s="40"/>
      <c r="X1106" s="40"/>
      <c r="Y1106" s="40"/>
      <c r="Z1106" s="40"/>
      <c r="AA1106" s="40"/>
      <c r="AB1106" s="40"/>
    </row>
    <row r="1107">
      <c r="A1107" s="805"/>
      <c r="B1107" s="40"/>
      <c r="C1107" s="40"/>
      <c r="D1107" s="40"/>
      <c r="E1107" s="40"/>
      <c r="F1107" s="40"/>
      <c r="G1107" s="40"/>
      <c r="H1107" s="40"/>
      <c r="I1107" s="40"/>
      <c r="J1107" s="216"/>
      <c r="K1107" s="40"/>
      <c r="L1107" s="40"/>
      <c r="M1107" s="40"/>
      <c r="N1107" s="40"/>
      <c r="O1107" s="40"/>
      <c r="P1107" s="40"/>
      <c r="Q1107" s="40"/>
      <c r="R1107" s="40"/>
      <c r="S1107" s="40"/>
      <c r="T1107" s="40"/>
      <c r="U1107" s="40"/>
      <c r="V1107" s="40"/>
      <c r="W1107" s="40"/>
      <c r="X1107" s="40"/>
      <c r="Y1107" s="40"/>
      <c r="Z1107" s="40"/>
      <c r="AA1107" s="40"/>
      <c r="AB1107" s="40"/>
    </row>
    <row r="1108">
      <c r="A1108" s="805"/>
      <c r="B1108" s="40"/>
      <c r="C1108" s="40"/>
      <c r="D1108" s="40"/>
      <c r="E1108" s="40"/>
      <c r="F1108" s="40"/>
      <c r="G1108" s="40"/>
      <c r="H1108" s="40"/>
      <c r="I1108" s="40"/>
      <c r="J1108" s="216"/>
      <c r="K1108" s="40"/>
      <c r="L1108" s="40"/>
      <c r="M1108" s="40"/>
      <c r="N1108" s="40"/>
      <c r="O1108" s="40"/>
      <c r="P1108" s="40"/>
      <c r="Q1108" s="40"/>
      <c r="R1108" s="40"/>
      <c r="S1108" s="40"/>
      <c r="T1108" s="40"/>
      <c r="U1108" s="40"/>
      <c r="V1108" s="40"/>
      <c r="W1108" s="40"/>
      <c r="X1108" s="40"/>
      <c r="Y1108" s="40"/>
      <c r="Z1108" s="40"/>
      <c r="AA1108" s="40"/>
      <c r="AB1108" s="40"/>
    </row>
    <row r="1109">
      <c r="A1109" s="805"/>
      <c r="B1109" s="40"/>
      <c r="C1109" s="40"/>
      <c r="D1109" s="40"/>
      <c r="E1109" s="40"/>
      <c r="F1109" s="40"/>
      <c r="G1109" s="40"/>
      <c r="H1109" s="40"/>
      <c r="I1109" s="40"/>
      <c r="J1109" s="216"/>
      <c r="K1109" s="40"/>
      <c r="L1109" s="40"/>
      <c r="M1109" s="40"/>
      <c r="N1109" s="40"/>
      <c r="O1109" s="40"/>
      <c r="P1109" s="40"/>
      <c r="Q1109" s="40"/>
      <c r="R1109" s="40"/>
      <c r="S1109" s="40"/>
      <c r="T1109" s="40"/>
      <c r="U1109" s="40"/>
      <c r="V1109" s="40"/>
      <c r="W1109" s="40"/>
      <c r="X1109" s="40"/>
      <c r="Y1109" s="40"/>
      <c r="Z1109" s="40"/>
      <c r="AA1109" s="40"/>
      <c r="AB1109" s="40"/>
    </row>
    <row r="1110">
      <c r="A1110" s="805"/>
      <c r="B1110" s="40"/>
      <c r="C1110" s="40"/>
      <c r="D1110" s="40"/>
      <c r="E1110" s="40"/>
      <c r="F1110" s="40"/>
      <c r="G1110" s="40"/>
      <c r="H1110" s="40"/>
      <c r="I1110" s="40"/>
      <c r="J1110" s="216"/>
      <c r="K1110" s="40"/>
      <c r="L1110" s="40"/>
      <c r="M1110" s="40"/>
      <c r="N1110" s="40"/>
      <c r="O1110" s="40"/>
      <c r="P1110" s="40"/>
      <c r="Q1110" s="40"/>
      <c r="R1110" s="40"/>
      <c r="S1110" s="40"/>
      <c r="T1110" s="40"/>
      <c r="U1110" s="40"/>
      <c r="V1110" s="40"/>
      <c r="W1110" s="40"/>
      <c r="X1110" s="40"/>
      <c r="Y1110" s="40"/>
      <c r="Z1110" s="40"/>
      <c r="AA1110" s="40"/>
      <c r="AB1110" s="40"/>
    </row>
    <row r="1111">
      <c r="A1111" s="805"/>
      <c r="B1111" s="40"/>
      <c r="C1111" s="40"/>
      <c r="D1111" s="40"/>
      <c r="E1111" s="40"/>
      <c r="F1111" s="40"/>
      <c r="G1111" s="40"/>
      <c r="H1111" s="40"/>
      <c r="I1111" s="40"/>
      <c r="J1111" s="216"/>
      <c r="K1111" s="40"/>
      <c r="L1111" s="40"/>
      <c r="M1111" s="40"/>
      <c r="N1111" s="40"/>
      <c r="O1111" s="40"/>
      <c r="P1111" s="40"/>
      <c r="Q1111" s="40"/>
      <c r="R1111" s="40"/>
      <c r="S1111" s="40"/>
      <c r="T1111" s="40"/>
      <c r="U1111" s="40"/>
      <c r="V1111" s="40"/>
      <c r="W1111" s="40"/>
      <c r="X1111" s="40"/>
      <c r="Y1111" s="40"/>
      <c r="Z1111" s="40"/>
      <c r="AA1111" s="40"/>
      <c r="AB1111" s="40"/>
    </row>
    <row r="1112">
      <c r="A1112" s="805"/>
      <c r="B1112" s="40"/>
      <c r="C1112" s="40"/>
      <c r="D1112" s="40"/>
      <c r="E1112" s="40"/>
      <c r="F1112" s="40"/>
      <c r="G1112" s="40"/>
      <c r="H1112" s="40"/>
      <c r="I1112" s="40"/>
      <c r="J1112" s="216"/>
      <c r="K1112" s="40"/>
      <c r="L1112" s="40"/>
      <c r="M1112" s="40"/>
      <c r="N1112" s="40"/>
      <c r="O1112" s="40"/>
      <c r="P1112" s="40"/>
      <c r="Q1112" s="40"/>
      <c r="R1112" s="40"/>
      <c r="S1112" s="40"/>
      <c r="T1112" s="40"/>
      <c r="U1112" s="40"/>
      <c r="V1112" s="40"/>
      <c r="W1112" s="40"/>
      <c r="X1112" s="40"/>
      <c r="Y1112" s="40"/>
      <c r="Z1112" s="40"/>
      <c r="AA1112" s="40"/>
      <c r="AB1112" s="40"/>
    </row>
    <row r="1113">
      <c r="A1113" s="805"/>
      <c r="B1113" s="40"/>
      <c r="C1113" s="40"/>
      <c r="D1113" s="40"/>
      <c r="E1113" s="40"/>
      <c r="F1113" s="40"/>
      <c r="G1113" s="40"/>
      <c r="H1113" s="40"/>
      <c r="I1113" s="40"/>
      <c r="J1113" s="216"/>
      <c r="K1113" s="40"/>
      <c r="L1113" s="40"/>
      <c r="M1113" s="40"/>
      <c r="N1113" s="40"/>
      <c r="O1113" s="40"/>
      <c r="P1113" s="40"/>
      <c r="Q1113" s="40"/>
      <c r="R1113" s="40"/>
      <c r="S1113" s="40"/>
      <c r="T1113" s="40"/>
      <c r="U1113" s="40"/>
      <c r="V1113" s="40"/>
      <c r="W1113" s="40"/>
      <c r="X1113" s="40"/>
      <c r="Y1113" s="40"/>
      <c r="Z1113" s="40"/>
      <c r="AA1113" s="40"/>
      <c r="AB1113" s="40"/>
    </row>
    <row r="1114">
      <c r="A1114" s="805"/>
      <c r="B1114" s="40"/>
      <c r="C1114" s="40"/>
      <c r="D1114" s="40"/>
      <c r="E1114" s="40"/>
      <c r="F1114" s="40"/>
      <c r="G1114" s="40"/>
      <c r="H1114" s="40"/>
      <c r="I1114" s="40"/>
      <c r="J1114" s="216"/>
      <c r="K1114" s="40"/>
      <c r="L1114" s="40"/>
      <c r="M1114" s="40"/>
      <c r="N1114" s="40"/>
      <c r="O1114" s="40"/>
      <c r="P1114" s="40"/>
      <c r="Q1114" s="40"/>
      <c r="R1114" s="40"/>
      <c r="S1114" s="40"/>
      <c r="T1114" s="40"/>
      <c r="U1114" s="40"/>
      <c r="V1114" s="40"/>
      <c r="W1114" s="40"/>
      <c r="X1114" s="40"/>
      <c r="Y1114" s="40"/>
      <c r="Z1114" s="40"/>
      <c r="AA1114" s="40"/>
      <c r="AB1114" s="40"/>
    </row>
    <row r="1115">
      <c r="A1115" s="805"/>
      <c r="B1115" s="40"/>
      <c r="C1115" s="40"/>
      <c r="D1115" s="40"/>
      <c r="E1115" s="40"/>
      <c r="F1115" s="40"/>
      <c r="G1115" s="40"/>
      <c r="H1115" s="40"/>
      <c r="I1115" s="40"/>
      <c r="J1115" s="216"/>
      <c r="K1115" s="40"/>
      <c r="L1115" s="40"/>
      <c r="M1115" s="40"/>
      <c r="N1115" s="40"/>
      <c r="O1115" s="40"/>
      <c r="P1115" s="40"/>
      <c r="Q1115" s="40"/>
      <c r="R1115" s="40"/>
      <c r="S1115" s="40"/>
      <c r="T1115" s="40"/>
      <c r="U1115" s="40"/>
      <c r="V1115" s="40"/>
      <c r="W1115" s="40"/>
      <c r="X1115" s="40"/>
      <c r="Y1115" s="40"/>
      <c r="Z1115" s="40"/>
      <c r="AA1115" s="40"/>
      <c r="AB1115" s="40"/>
    </row>
    <row r="1116">
      <c r="A1116" s="805"/>
      <c r="B1116" s="40"/>
      <c r="C1116" s="40"/>
      <c r="D1116" s="40"/>
      <c r="E1116" s="40"/>
      <c r="F1116" s="40"/>
      <c r="G1116" s="40"/>
      <c r="H1116" s="40"/>
      <c r="I1116" s="40"/>
      <c r="J1116" s="216"/>
      <c r="K1116" s="40"/>
      <c r="L1116" s="40"/>
      <c r="M1116" s="40"/>
      <c r="N1116" s="40"/>
      <c r="O1116" s="40"/>
      <c r="P1116" s="40"/>
      <c r="Q1116" s="40"/>
      <c r="R1116" s="40"/>
      <c r="S1116" s="40"/>
      <c r="T1116" s="40"/>
      <c r="U1116" s="40"/>
      <c r="V1116" s="40"/>
      <c r="W1116" s="40"/>
      <c r="X1116" s="40"/>
      <c r="Y1116" s="40"/>
      <c r="Z1116" s="40"/>
      <c r="AA1116" s="40"/>
      <c r="AB1116" s="40"/>
    </row>
    <row r="1117">
      <c r="A1117" s="805"/>
      <c r="B1117" s="40"/>
      <c r="C1117" s="40"/>
      <c r="D1117" s="40"/>
      <c r="E1117" s="40"/>
      <c r="F1117" s="40"/>
      <c r="G1117" s="40"/>
      <c r="H1117" s="40"/>
      <c r="I1117" s="40"/>
      <c r="J1117" s="216"/>
      <c r="K1117" s="40"/>
      <c r="L1117" s="40"/>
      <c r="M1117" s="40"/>
      <c r="N1117" s="40"/>
      <c r="O1117" s="40"/>
      <c r="P1117" s="40"/>
      <c r="Q1117" s="40"/>
      <c r="R1117" s="40"/>
      <c r="S1117" s="40"/>
      <c r="T1117" s="40"/>
      <c r="U1117" s="40"/>
      <c r="V1117" s="40"/>
      <c r="W1117" s="40"/>
      <c r="X1117" s="40"/>
      <c r="Y1117" s="40"/>
      <c r="Z1117" s="40"/>
      <c r="AA1117" s="40"/>
      <c r="AB1117" s="40"/>
    </row>
    <row r="1118">
      <c r="A1118" s="805"/>
      <c r="B1118" s="40"/>
      <c r="C1118" s="40"/>
      <c r="D1118" s="40"/>
      <c r="E1118" s="40"/>
      <c r="F1118" s="40"/>
      <c r="G1118" s="40"/>
      <c r="H1118" s="40"/>
      <c r="I1118" s="40"/>
      <c r="J1118" s="216"/>
      <c r="K1118" s="40"/>
      <c r="L1118" s="40"/>
      <c r="M1118" s="40"/>
      <c r="N1118" s="40"/>
      <c r="O1118" s="40"/>
      <c r="P1118" s="40"/>
      <c r="Q1118" s="40"/>
      <c r="R1118" s="40"/>
      <c r="S1118" s="40"/>
      <c r="T1118" s="40"/>
      <c r="U1118" s="40"/>
      <c r="V1118" s="40"/>
      <c r="W1118" s="40"/>
      <c r="X1118" s="40"/>
      <c r="Y1118" s="40"/>
      <c r="Z1118" s="40"/>
      <c r="AA1118" s="40"/>
      <c r="AB1118" s="40"/>
    </row>
    <row r="1119">
      <c r="A1119" s="805"/>
      <c r="B1119" s="40"/>
      <c r="C1119" s="40"/>
      <c r="D1119" s="40"/>
      <c r="E1119" s="40"/>
      <c r="F1119" s="40"/>
      <c r="G1119" s="40"/>
      <c r="H1119" s="40"/>
      <c r="I1119" s="40"/>
      <c r="J1119" s="216"/>
      <c r="K1119" s="40"/>
      <c r="L1119" s="40"/>
      <c r="M1119" s="40"/>
      <c r="N1119" s="40"/>
      <c r="O1119" s="40"/>
      <c r="P1119" s="40"/>
      <c r="Q1119" s="40"/>
      <c r="R1119" s="40"/>
      <c r="S1119" s="40"/>
      <c r="T1119" s="40"/>
      <c r="U1119" s="40"/>
      <c r="V1119" s="40"/>
      <c r="W1119" s="40"/>
      <c r="X1119" s="40"/>
      <c r="Y1119" s="40"/>
      <c r="Z1119" s="40"/>
      <c r="AA1119" s="40"/>
      <c r="AB1119" s="40"/>
    </row>
    <row r="1120">
      <c r="A1120" s="805"/>
      <c r="B1120" s="40"/>
      <c r="C1120" s="40"/>
      <c r="D1120" s="40"/>
      <c r="E1120" s="40"/>
      <c r="F1120" s="40"/>
      <c r="G1120" s="40"/>
      <c r="H1120" s="40"/>
      <c r="I1120" s="40"/>
      <c r="J1120" s="216"/>
      <c r="K1120" s="40"/>
      <c r="L1120" s="40"/>
      <c r="M1120" s="40"/>
      <c r="N1120" s="40"/>
      <c r="O1120" s="40"/>
      <c r="P1120" s="40"/>
      <c r="Q1120" s="40"/>
      <c r="R1120" s="40"/>
      <c r="S1120" s="40"/>
      <c r="T1120" s="40"/>
      <c r="U1120" s="40"/>
      <c r="V1120" s="40"/>
      <c r="W1120" s="40"/>
      <c r="X1120" s="40"/>
      <c r="Y1120" s="40"/>
      <c r="Z1120" s="40"/>
      <c r="AA1120" s="40"/>
      <c r="AB1120" s="40"/>
    </row>
    <row r="1121">
      <c r="A1121" s="805"/>
      <c r="B1121" s="40"/>
      <c r="C1121" s="40"/>
      <c r="D1121" s="40"/>
      <c r="E1121" s="40"/>
      <c r="F1121" s="40"/>
      <c r="G1121" s="40"/>
      <c r="H1121" s="40"/>
      <c r="I1121" s="40"/>
      <c r="J1121" s="216"/>
      <c r="K1121" s="40"/>
      <c r="L1121" s="40"/>
      <c r="M1121" s="40"/>
      <c r="N1121" s="40"/>
      <c r="O1121" s="40"/>
      <c r="P1121" s="40"/>
      <c r="Q1121" s="40"/>
      <c r="R1121" s="40"/>
      <c r="S1121" s="40"/>
      <c r="T1121" s="40"/>
      <c r="U1121" s="40"/>
      <c r="V1121" s="40"/>
      <c r="W1121" s="40"/>
      <c r="X1121" s="40"/>
      <c r="Y1121" s="40"/>
      <c r="Z1121" s="40"/>
      <c r="AA1121" s="40"/>
      <c r="AB1121" s="40"/>
    </row>
    <row r="1122">
      <c r="A1122" s="805"/>
      <c r="B1122" s="40"/>
      <c r="C1122" s="40"/>
      <c r="D1122" s="40"/>
      <c r="E1122" s="40"/>
      <c r="F1122" s="40"/>
      <c r="G1122" s="40"/>
      <c r="H1122" s="40"/>
      <c r="I1122" s="40"/>
      <c r="J1122" s="216"/>
      <c r="K1122" s="40"/>
      <c r="L1122" s="40"/>
      <c r="M1122" s="40"/>
      <c r="N1122" s="40"/>
      <c r="O1122" s="40"/>
      <c r="P1122" s="40"/>
      <c r="Q1122" s="40"/>
      <c r="R1122" s="40"/>
      <c r="S1122" s="40"/>
      <c r="T1122" s="40"/>
      <c r="U1122" s="40"/>
      <c r="V1122" s="40"/>
      <c r="W1122" s="40"/>
      <c r="X1122" s="40"/>
      <c r="Y1122" s="40"/>
      <c r="Z1122" s="40"/>
      <c r="AA1122" s="40"/>
      <c r="AB1122" s="40"/>
    </row>
    <row r="1123">
      <c r="A1123" s="805"/>
      <c r="B1123" s="40"/>
      <c r="C1123" s="40"/>
      <c r="D1123" s="40"/>
      <c r="E1123" s="40"/>
      <c r="F1123" s="40"/>
      <c r="G1123" s="40"/>
      <c r="H1123" s="40"/>
      <c r="I1123" s="40"/>
      <c r="J1123" s="216"/>
      <c r="K1123" s="40"/>
      <c r="L1123" s="40"/>
      <c r="M1123" s="40"/>
      <c r="N1123" s="40"/>
      <c r="O1123" s="40"/>
      <c r="P1123" s="40"/>
      <c r="Q1123" s="40"/>
      <c r="R1123" s="40"/>
      <c r="S1123" s="40"/>
      <c r="T1123" s="40"/>
      <c r="U1123" s="40"/>
      <c r="V1123" s="40"/>
      <c r="W1123" s="40"/>
      <c r="X1123" s="40"/>
      <c r="Y1123" s="40"/>
      <c r="Z1123" s="40"/>
      <c r="AA1123" s="40"/>
      <c r="AB1123" s="40"/>
    </row>
    <row r="1124">
      <c r="A1124" s="805"/>
      <c r="B1124" s="40"/>
      <c r="C1124" s="40"/>
      <c r="D1124" s="40"/>
      <c r="E1124" s="40"/>
      <c r="F1124" s="40"/>
      <c r="G1124" s="40"/>
      <c r="H1124" s="40"/>
      <c r="I1124" s="40"/>
      <c r="J1124" s="216"/>
      <c r="K1124" s="40"/>
      <c r="L1124" s="40"/>
      <c r="M1124" s="40"/>
      <c r="N1124" s="40"/>
      <c r="O1124" s="40"/>
      <c r="P1124" s="40"/>
      <c r="Q1124" s="40"/>
      <c r="R1124" s="40"/>
      <c r="S1124" s="40"/>
      <c r="T1124" s="40"/>
      <c r="U1124" s="40"/>
      <c r="V1124" s="40"/>
      <c r="W1124" s="40"/>
      <c r="X1124" s="40"/>
      <c r="Y1124" s="40"/>
      <c r="Z1124" s="40"/>
      <c r="AA1124" s="40"/>
      <c r="AB1124" s="40"/>
    </row>
    <row r="1125">
      <c r="A1125" s="805"/>
      <c r="B1125" s="40"/>
      <c r="C1125" s="40"/>
      <c r="D1125" s="40"/>
      <c r="E1125" s="40"/>
      <c r="F1125" s="40"/>
      <c r="G1125" s="40"/>
      <c r="H1125" s="40"/>
      <c r="I1125" s="40"/>
      <c r="J1125" s="216"/>
      <c r="K1125" s="40"/>
      <c r="L1125" s="40"/>
      <c r="M1125" s="40"/>
      <c r="N1125" s="40"/>
      <c r="O1125" s="40"/>
      <c r="P1125" s="40"/>
      <c r="Q1125" s="40"/>
      <c r="R1125" s="40"/>
      <c r="S1125" s="40"/>
      <c r="T1125" s="40"/>
      <c r="U1125" s="40"/>
      <c r="V1125" s="40"/>
      <c r="W1125" s="40"/>
      <c r="X1125" s="40"/>
      <c r="Y1125" s="40"/>
      <c r="Z1125" s="40"/>
      <c r="AA1125" s="40"/>
      <c r="AB1125" s="40"/>
    </row>
    <row r="1126">
      <c r="A1126" s="805"/>
      <c r="B1126" s="40"/>
      <c r="C1126" s="40"/>
      <c r="D1126" s="40"/>
      <c r="E1126" s="40"/>
      <c r="F1126" s="40"/>
      <c r="G1126" s="40"/>
      <c r="H1126" s="40"/>
      <c r="I1126" s="40"/>
      <c r="J1126" s="216"/>
      <c r="K1126" s="40"/>
      <c r="L1126" s="40"/>
      <c r="M1126" s="40"/>
      <c r="N1126" s="40"/>
      <c r="O1126" s="40"/>
      <c r="P1126" s="40"/>
      <c r="Q1126" s="40"/>
      <c r="R1126" s="40"/>
      <c r="S1126" s="40"/>
      <c r="T1126" s="40"/>
      <c r="U1126" s="40"/>
      <c r="V1126" s="40"/>
      <c r="W1126" s="40"/>
      <c r="X1126" s="40"/>
      <c r="Y1126" s="40"/>
      <c r="Z1126" s="40"/>
      <c r="AA1126" s="40"/>
      <c r="AB1126" s="40"/>
    </row>
    <row r="1127">
      <c r="A1127" s="805"/>
      <c r="B1127" s="40"/>
      <c r="C1127" s="40"/>
      <c r="D1127" s="40"/>
      <c r="E1127" s="40"/>
      <c r="F1127" s="40"/>
      <c r="G1127" s="40"/>
      <c r="H1127" s="40"/>
      <c r="I1127" s="40"/>
      <c r="J1127" s="216"/>
      <c r="K1127" s="40"/>
      <c r="L1127" s="40"/>
      <c r="M1127" s="40"/>
      <c r="N1127" s="40"/>
      <c r="O1127" s="40"/>
      <c r="P1127" s="40"/>
      <c r="Q1127" s="40"/>
      <c r="R1127" s="40"/>
      <c r="S1127" s="40"/>
      <c r="T1127" s="40"/>
      <c r="U1127" s="40"/>
      <c r="V1127" s="40"/>
      <c r="W1127" s="40"/>
      <c r="X1127" s="40"/>
      <c r="Y1127" s="40"/>
      <c r="Z1127" s="40"/>
      <c r="AA1127" s="40"/>
      <c r="AB1127" s="40"/>
    </row>
    <row r="1128">
      <c r="A1128" s="830"/>
      <c r="B1128" s="831"/>
      <c r="C1128" s="831"/>
      <c r="D1128" s="831"/>
      <c r="E1128" s="831"/>
      <c r="F1128" s="831"/>
      <c r="G1128" s="831"/>
      <c r="H1128" s="831"/>
      <c r="I1128" s="831"/>
      <c r="J1128" s="832"/>
      <c r="K1128" s="831"/>
      <c r="L1128" s="831"/>
      <c r="M1128" s="831"/>
      <c r="N1128" s="831"/>
      <c r="O1128" s="831"/>
      <c r="P1128" s="831"/>
      <c r="Q1128" s="831"/>
      <c r="R1128" s="831"/>
      <c r="S1128" s="831"/>
      <c r="T1128" s="831"/>
      <c r="U1128" s="831"/>
      <c r="V1128" s="831"/>
      <c r="W1128" s="831"/>
      <c r="X1128" s="831"/>
      <c r="Y1128" s="831"/>
      <c r="Z1128" s="831"/>
      <c r="AA1128" s="831"/>
      <c r="AB1128" s="831"/>
    </row>
  </sheetData>
  <autoFilter ref="$A$1:$Y$136"/>
  <customSheetViews>
    <customSheetView guid="{0518F6DB-8F79-454D-A977-62822FF88CC1}" filter="1" showAutoFilter="1">
      <autoFilter ref="$A$1:$Z$145">
        <filterColumn colId="5">
          <filters blank="1">
            <filter val="Albendazole &amp; DEC &amp; Placebo"/>
            <filter val="Albendazole placebo &amp; Ivermectin"/>
            <filter val="Albendazole &amp; Ivermectin"/>
          </filters>
        </filterColumn>
      </autoFilter>
    </customSheetView>
    <customSheetView guid="{848092C0-33EE-4CDB-8499-88018C8FB2F1}" filter="1" showAutoFilter="1">
      <autoFilter ref="$Q$149"/>
    </customSheetView>
    <customSheetView guid="{939A0E4C-59FF-48A1-AD57-CAEB9C91F444}" filter="1" showAutoFilter="1">
      <autoFilter ref="$A$1:$Z$145">
        <filterColumn colId="22">
          <filters blank="1">
            <filter val="2001"/>
            <filter val="2000"/>
            <filter val="2010"/>
            <filter val="2008"/>
            <filter val="2007"/>
            <filter val="2006"/>
            <filter val="2005"/>
            <filter val="2004"/>
            <filter val="2003"/>
            <filter val="2013"/>
            <filter val="2002"/>
          </filters>
        </filterColumn>
      </autoFilter>
    </customSheetView>
    <customSheetView guid="{57167D26-1697-4D30-84FE-3E489974EE87}" filter="1" showAutoFilter="1">
      <autoFilter ref="$A$1:$Z$145"/>
    </customSheetView>
    <customSheetView guid="{135D6B32-0874-4199-8D8C-B1CA9126395F}" filter="1" showAutoFilter="1">
      <autoFilter ref="$G$1:$G$1128"/>
    </customSheetView>
  </customSheetViews>
  <mergeCells count="16">
    <mergeCell ref="L161:M161"/>
    <mergeCell ref="V161:AB161"/>
    <mergeCell ref="L162:M162"/>
    <mergeCell ref="V162:AB162"/>
    <mergeCell ref="D163:E163"/>
    <mergeCell ref="P163:S163"/>
    <mergeCell ref="T163:U163"/>
    <mergeCell ref="W188:W189"/>
    <mergeCell ref="X188:X189"/>
    <mergeCell ref="V163:AB163"/>
    <mergeCell ref="V164:AB164"/>
    <mergeCell ref="V169:AB169"/>
    <mergeCell ref="O188:O189"/>
    <mergeCell ref="P188:P189"/>
    <mergeCell ref="S188:S189"/>
    <mergeCell ref="V188:V189"/>
  </mergeCells>
  <hyperlinks>
    <hyperlink r:id="rId1" ref="Z2"/>
    <hyperlink r:id="rId2" ref="Z3"/>
    <hyperlink r:id="rId3" ref="Z4"/>
    <hyperlink r:id="rId4" ref="Z5"/>
    <hyperlink r:id="rId5" ref="Z6"/>
    <hyperlink r:id="rId6" ref="Z7"/>
    <hyperlink r:id="rId7" ref="Z8"/>
    <hyperlink r:id="rId8" ref="Z9"/>
    <hyperlink r:id="rId9" ref="Z10"/>
    <hyperlink r:id="rId10" ref="Z11"/>
    <hyperlink r:id="rId11" ref="Z12"/>
    <hyperlink r:id="rId12" ref="Z13"/>
    <hyperlink r:id="rId13" ref="Z14"/>
    <hyperlink r:id="rId14" ref="Z15"/>
    <hyperlink r:id="rId15" ref="Z16"/>
    <hyperlink r:id="rId16" ref="Z17"/>
    <hyperlink r:id="rId17" ref="Z18"/>
    <hyperlink r:id="rId18" ref="Z19"/>
    <hyperlink r:id="rId19" ref="Z20"/>
    <hyperlink r:id="rId20" ref="Z21"/>
    <hyperlink r:id="rId21" ref="Z22"/>
    <hyperlink r:id="rId22" ref="Z23"/>
    <hyperlink r:id="rId23" ref="Z24"/>
    <hyperlink r:id="rId24" ref="Z25"/>
    <hyperlink r:id="rId25" ref="Z26"/>
    <hyperlink r:id="rId26" ref="Z27"/>
    <hyperlink r:id="rId27" ref="Z28"/>
    <hyperlink r:id="rId28" ref="Z29"/>
    <hyperlink r:id="rId29" ref="Z30"/>
    <hyperlink r:id="rId30" ref="Z31"/>
    <hyperlink r:id="rId31" ref="Z32"/>
    <hyperlink r:id="rId32" ref="Z33"/>
    <hyperlink r:id="rId33" ref="Z34"/>
    <hyperlink r:id="rId34" ref="Z35"/>
    <hyperlink r:id="rId35" ref="Z36"/>
    <hyperlink r:id="rId36" ref="Z37"/>
    <hyperlink r:id="rId37" ref="Z38"/>
    <hyperlink r:id="rId38" ref="Z39"/>
    <hyperlink r:id="rId39" ref="Z40"/>
    <hyperlink r:id="rId40" ref="Z41"/>
    <hyperlink r:id="rId41" ref="Z42"/>
    <hyperlink r:id="rId42" ref="Z43"/>
    <hyperlink r:id="rId43" ref="Z44"/>
    <hyperlink r:id="rId44" ref="Z45"/>
    <hyperlink r:id="rId45" ref="Z46"/>
    <hyperlink r:id="rId46" ref="Z47"/>
    <hyperlink r:id="rId47" ref="Z48"/>
    <hyperlink r:id="rId48" ref="Z49"/>
    <hyperlink r:id="rId49" ref="Z50"/>
    <hyperlink r:id="rId50" ref="Z51"/>
    <hyperlink r:id="rId51" ref="Z52"/>
    <hyperlink r:id="rId52" ref="Z53"/>
    <hyperlink r:id="rId53" ref="Z54"/>
    <hyperlink r:id="rId54" ref="Z55"/>
    <hyperlink r:id="rId55" ref="Z56"/>
    <hyperlink r:id="rId56" ref="Z57"/>
    <hyperlink r:id="rId57" ref="Z58"/>
    <hyperlink r:id="rId58" ref="Z59"/>
    <hyperlink r:id="rId59" ref="Z60"/>
    <hyperlink r:id="rId60" ref="Z61"/>
    <hyperlink r:id="rId61" ref="Z62"/>
    <hyperlink r:id="rId62" ref="Z63"/>
    <hyperlink r:id="rId63" ref="Z64"/>
    <hyperlink r:id="rId64" ref="Z65"/>
    <hyperlink r:id="rId65" ref="Z66"/>
    <hyperlink r:id="rId66" ref="Z67"/>
    <hyperlink r:id="rId67" ref="Z68"/>
    <hyperlink r:id="rId68" ref="Z69"/>
    <hyperlink r:id="rId69" ref="Z70"/>
    <hyperlink r:id="rId70" ref="Z71"/>
    <hyperlink r:id="rId71" ref="Z72"/>
    <hyperlink r:id="rId72" ref="Z73"/>
    <hyperlink r:id="rId73" ref="Z74"/>
    <hyperlink r:id="rId74" ref="Z75"/>
    <hyperlink r:id="rId75" ref="Z76"/>
    <hyperlink r:id="rId76" ref="Z77"/>
    <hyperlink r:id="rId77" ref="Z78"/>
    <hyperlink r:id="rId78" ref="Z79"/>
    <hyperlink r:id="rId79" ref="Z80"/>
    <hyperlink r:id="rId80" ref="Z81"/>
    <hyperlink r:id="rId81" ref="Z82"/>
    <hyperlink r:id="rId82" ref="Z83"/>
    <hyperlink r:id="rId83" ref="Z84"/>
    <hyperlink r:id="rId84" ref="Z85"/>
    <hyperlink r:id="rId85" ref="Z86"/>
    <hyperlink r:id="rId86" ref="Z87"/>
    <hyperlink r:id="rId87" ref="Z88"/>
    <hyperlink r:id="rId88" ref="Z89"/>
    <hyperlink r:id="rId89" ref="Z90"/>
    <hyperlink r:id="rId90" ref="Z91"/>
    <hyperlink r:id="rId91" ref="Z92"/>
    <hyperlink r:id="rId92" ref="Z93"/>
    <hyperlink r:id="rId93" ref="Z94"/>
    <hyperlink r:id="rId94" ref="Z95"/>
    <hyperlink r:id="rId95" ref="Z96"/>
    <hyperlink r:id="rId96" ref="Z97"/>
    <hyperlink r:id="rId97" ref="Z98"/>
    <hyperlink r:id="rId98" ref="Z99"/>
    <hyperlink r:id="rId99" ref="Z100"/>
    <hyperlink r:id="rId100" ref="Z101"/>
    <hyperlink r:id="rId101" ref="Z102"/>
    <hyperlink r:id="rId102" ref="Z103"/>
    <hyperlink r:id="rId103" ref="Z104"/>
    <hyperlink r:id="rId104" ref="Z105"/>
    <hyperlink r:id="rId105" ref="Z106"/>
    <hyperlink r:id="rId106" ref="Z107"/>
    <hyperlink r:id="rId107" ref="Z108"/>
    <hyperlink r:id="rId108" ref="Z109"/>
    <hyperlink r:id="rId109" ref="Z110"/>
    <hyperlink r:id="rId110" ref="Z111"/>
    <hyperlink r:id="rId111" ref="Z112"/>
    <hyperlink r:id="rId112" ref="Z113"/>
    <hyperlink r:id="rId113" ref="Z114"/>
    <hyperlink r:id="rId114" ref="Z115"/>
    <hyperlink r:id="rId115" ref="Z116"/>
    <hyperlink r:id="rId116" ref="Z117"/>
    <hyperlink r:id="rId117" ref="Z118"/>
    <hyperlink r:id="rId118" ref="Z119"/>
    <hyperlink r:id="rId119" ref="Z120"/>
    <hyperlink r:id="rId120" ref="Z121"/>
    <hyperlink r:id="rId121" ref="Z122"/>
    <hyperlink r:id="rId122" ref="Z123"/>
    <hyperlink r:id="rId123" ref="Z124"/>
    <hyperlink r:id="rId124" ref="Z125"/>
    <hyperlink r:id="rId125" ref="Z126"/>
    <hyperlink r:id="rId126" ref="Z127"/>
    <hyperlink r:id="rId127" ref="Z128"/>
    <hyperlink r:id="rId128" ref="Z129"/>
    <hyperlink r:id="rId129" ref="Z130"/>
    <hyperlink r:id="rId130" ref="Z131"/>
    <hyperlink r:id="rId131" ref="Z132"/>
    <hyperlink r:id="rId132" ref="Z133"/>
    <hyperlink r:id="rId133" ref="Z134"/>
    <hyperlink r:id="rId134" ref="Z135"/>
    <hyperlink r:id="rId135" ref="Z136"/>
    <hyperlink r:id="rId136" ref="Z140"/>
    <hyperlink r:id="rId137" ref="Z141"/>
    <hyperlink r:id="rId138" ref="Z142"/>
    <hyperlink r:id="rId139" ref="Z143"/>
    <hyperlink r:id="rId140" ref="Z144"/>
    <hyperlink r:id="rId141" ref="Z145"/>
    <hyperlink r:id="rId142" ref="Z146"/>
    <hyperlink r:id="rId143" ref="Z147"/>
    <hyperlink r:id="rId144" ref="Z148"/>
    <hyperlink r:id="rId145" ref="Z149"/>
    <hyperlink r:id="rId146" ref="Y150"/>
    <hyperlink r:id="rId147" ref="Z150"/>
    <hyperlink r:id="rId148" ref="Y151"/>
    <hyperlink r:id="rId149" ref="Z151"/>
    <hyperlink r:id="rId150" ref="Y152"/>
    <hyperlink r:id="rId151" ref="Z152"/>
    <hyperlink r:id="rId152" ref="Y153"/>
    <hyperlink r:id="rId153" ref="Z153"/>
    <hyperlink r:id="rId154" ref="Y154"/>
    <hyperlink r:id="rId155" ref="Z154"/>
    <hyperlink r:id="rId156" ref="Y155"/>
    <hyperlink r:id="rId157" ref="Z155"/>
    <hyperlink r:id="rId158" ref="Y156"/>
    <hyperlink r:id="rId159" ref="Z156"/>
    <hyperlink r:id="rId160" ref="Y157"/>
    <hyperlink r:id="rId161" ref="Z157"/>
    <hyperlink r:id="rId162" ref="Y158"/>
    <hyperlink r:id="rId163" ref="Z158"/>
    <hyperlink r:id="rId164" ref="Y159"/>
    <hyperlink r:id="rId165" ref="Z159"/>
    <hyperlink r:id="rId166" ref="Y160"/>
    <hyperlink r:id="rId167" ref="Z160"/>
    <hyperlink r:id="rId168" ref="Z165"/>
    <hyperlink r:id="rId169" ref="Z166"/>
    <hyperlink r:id="rId170" ref="Z167"/>
    <hyperlink r:id="rId171" ref="Z168"/>
    <hyperlink r:id="rId172" ref="Z170"/>
    <hyperlink r:id="rId173" ref="Y171"/>
    <hyperlink r:id="rId174" ref="Z171"/>
    <hyperlink r:id="rId175" ref="Y172"/>
    <hyperlink r:id="rId176" ref="Z172"/>
    <hyperlink r:id="rId177" ref="Y173"/>
    <hyperlink r:id="rId178" ref="Z173"/>
    <hyperlink r:id="rId179" ref="Y174"/>
    <hyperlink r:id="rId180" ref="Z174"/>
    <hyperlink r:id="rId181" ref="Y175"/>
    <hyperlink r:id="rId182" ref="Z175"/>
    <hyperlink r:id="rId183" ref="Y176"/>
    <hyperlink r:id="rId184" ref="Z176"/>
    <hyperlink r:id="rId185" ref="Y177"/>
    <hyperlink r:id="rId186" ref="Z177"/>
    <hyperlink r:id="rId187" ref="Y178"/>
    <hyperlink r:id="rId188" ref="Z178"/>
    <hyperlink r:id="rId189" ref="Z179"/>
    <hyperlink r:id="rId190" ref="Z180"/>
    <hyperlink r:id="rId191" ref="Z181"/>
    <hyperlink r:id="rId192" ref="Z182"/>
    <hyperlink r:id="rId193" ref="Y183"/>
    <hyperlink r:id="rId194" ref="Z183"/>
    <hyperlink r:id="rId195" ref="Y184"/>
    <hyperlink r:id="rId196" ref="Z184"/>
    <hyperlink r:id="rId197" ref="Y185"/>
    <hyperlink r:id="rId198" ref="Z185"/>
    <hyperlink r:id="rId199" ref="Y186"/>
    <hyperlink r:id="rId200" ref="Z186"/>
    <hyperlink r:id="rId201" ref="Y187"/>
    <hyperlink r:id="rId202" ref="Z187"/>
    <hyperlink r:id="rId203" ref="Y188"/>
    <hyperlink r:id="rId204" ref="Z188"/>
    <hyperlink r:id="rId205" ref="Y189"/>
    <hyperlink r:id="rId206" ref="Z189"/>
    <hyperlink r:id="rId207" ref="Y190"/>
    <hyperlink r:id="rId208" ref="Z190"/>
    <hyperlink r:id="rId209" ref="Y191"/>
    <hyperlink r:id="rId210" ref="Z191"/>
    <hyperlink r:id="rId211" ref="Y192"/>
    <hyperlink r:id="rId212" ref="Z192"/>
    <hyperlink r:id="rId213" ref="Y193"/>
    <hyperlink r:id="rId214" ref="Z193"/>
    <hyperlink r:id="rId215" ref="Y194"/>
    <hyperlink r:id="rId216" ref="Z194"/>
    <hyperlink r:id="rId217" ref="Y195"/>
    <hyperlink r:id="rId218" ref="Z195"/>
    <hyperlink r:id="rId219" ref="Y196"/>
    <hyperlink r:id="rId220" ref="Z196"/>
    <hyperlink r:id="rId221" ref="Y197"/>
    <hyperlink r:id="rId222" ref="Z197"/>
    <hyperlink r:id="rId223" ref="Y198"/>
    <hyperlink r:id="rId224" ref="Z198"/>
    <hyperlink r:id="rId225" ref="Y199"/>
    <hyperlink r:id="rId226" ref="Z199"/>
    <hyperlink r:id="rId227" ref="Y200"/>
    <hyperlink r:id="rId228" ref="Z200"/>
    <hyperlink r:id="rId229" ref="Y201"/>
    <hyperlink r:id="rId230" ref="Z201"/>
    <hyperlink r:id="rId231" ref="Y202"/>
    <hyperlink r:id="rId232" ref="Z202"/>
    <hyperlink r:id="rId233" ref="Y203"/>
    <hyperlink r:id="rId234" ref="Z203"/>
    <hyperlink r:id="rId235" ref="Y204"/>
    <hyperlink r:id="rId236" ref="Z204"/>
    <hyperlink r:id="rId237" ref="Y205"/>
    <hyperlink r:id="rId238" ref="Z205"/>
    <hyperlink r:id="rId239" ref="Y206"/>
    <hyperlink r:id="rId240" ref="Z206"/>
    <hyperlink r:id="rId241" ref="Y207"/>
    <hyperlink r:id="rId242" ref="Z207"/>
    <hyperlink r:id="rId243" ref="Y208"/>
    <hyperlink r:id="rId244" ref="Z208"/>
    <hyperlink r:id="rId245" ref="Y209"/>
    <hyperlink r:id="rId246" ref="Z209"/>
    <hyperlink r:id="rId247" ref="Y210"/>
    <hyperlink r:id="rId248" ref="Z210"/>
    <hyperlink r:id="rId249" ref="Z211"/>
    <hyperlink r:id="rId250" ref="Z212"/>
    <hyperlink r:id="rId251" ref="Z213"/>
    <hyperlink r:id="rId252" ref="Z214"/>
    <hyperlink r:id="rId253" ref="Z215"/>
    <hyperlink r:id="rId254" ref="Z258"/>
    <hyperlink r:id="rId255" ref="Z259"/>
    <hyperlink r:id="rId256" ref="Z260"/>
    <hyperlink r:id="rId257" ref="Z261"/>
    <hyperlink r:id="rId258" ref="Z262"/>
    <hyperlink r:id="rId259" ref="Z263"/>
    <hyperlink r:id="rId260" ref="Z264"/>
    <hyperlink r:id="rId261" ref="Z265"/>
    <hyperlink r:id="rId262" ref="Z266"/>
    <hyperlink r:id="rId263" ref="Z267"/>
    <hyperlink r:id="rId264" ref="Z268"/>
    <hyperlink r:id="rId265" ref="Z269"/>
    <hyperlink r:id="rId266" ref="Z270"/>
    <hyperlink r:id="rId267" ref="Z271"/>
    <hyperlink r:id="rId268" ref="Z272"/>
    <hyperlink r:id="rId269" ref="Z273"/>
    <hyperlink r:id="rId270" ref="Z274"/>
    <hyperlink r:id="rId271" ref="Z275"/>
    <hyperlink r:id="rId272" ref="Z276"/>
    <hyperlink r:id="rId273" ref="Z277"/>
    <hyperlink r:id="rId274" ref="Z278"/>
    <hyperlink r:id="rId275" ref="Z279"/>
    <hyperlink r:id="rId276" ref="Z280"/>
    <hyperlink r:id="rId277" ref="Z281"/>
    <hyperlink r:id="rId278" ref="Z282"/>
    <hyperlink r:id="rId279" ref="Z283"/>
    <hyperlink r:id="rId280" ref="Z284"/>
    <hyperlink r:id="rId281" ref="Z285"/>
    <hyperlink r:id="rId282" ref="Z286"/>
    <hyperlink r:id="rId283" ref="Z287"/>
    <hyperlink r:id="rId284" ref="Z288"/>
    <hyperlink r:id="rId285" ref="Z289"/>
    <hyperlink r:id="rId286" ref="Z290"/>
    <hyperlink r:id="rId287" ref="Z291"/>
    <hyperlink r:id="rId288" ref="Z292"/>
    <hyperlink r:id="rId289" ref="Z293"/>
    <hyperlink r:id="rId290" ref="Z294"/>
    <hyperlink r:id="rId291" ref="Z295"/>
    <hyperlink r:id="rId292" ref="Z296"/>
    <hyperlink r:id="rId293" ref="Z297"/>
    <hyperlink r:id="rId294" ref="Z298"/>
    <hyperlink r:id="rId295" ref="Z299"/>
    <hyperlink r:id="rId296" ref="Z300"/>
    <hyperlink r:id="rId297" ref="Z301"/>
    <hyperlink r:id="rId298" ref="Z302"/>
    <hyperlink r:id="rId299" ref="Z303"/>
    <hyperlink r:id="rId300" ref="Z304"/>
    <hyperlink r:id="rId301" ref="Z305"/>
    <hyperlink r:id="rId302" ref="Z306"/>
    <hyperlink r:id="rId303" ref="Z307"/>
    <hyperlink r:id="rId304" ref="Z308"/>
    <hyperlink r:id="rId305" ref="Z309"/>
    <hyperlink r:id="rId306" ref="Z310"/>
    <hyperlink r:id="rId307" ref="Z311"/>
    <hyperlink r:id="rId308" ref="Z312"/>
    <hyperlink r:id="rId309" ref="Z313"/>
    <hyperlink r:id="rId310" ref="Z314"/>
    <hyperlink r:id="rId311" ref="Z315"/>
    <hyperlink r:id="rId312" ref="Z316"/>
    <hyperlink r:id="rId313" ref="Z317"/>
    <hyperlink r:id="rId314" ref="Z318"/>
    <hyperlink r:id="rId315" ref="Z319"/>
    <hyperlink r:id="rId316" ref="Z320"/>
    <hyperlink r:id="rId317" ref="Z321"/>
    <hyperlink r:id="rId318" ref="Z322"/>
    <hyperlink r:id="rId319" ref="Z323"/>
    <hyperlink r:id="rId320" ref="Z324"/>
    <hyperlink r:id="rId321" ref="Z325"/>
    <hyperlink r:id="rId322" ref="Z326"/>
    <hyperlink r:id="rId323" ref="Z327"/>
    <hyperlink r:id="rId324" ref="Z328"/>
    <hyperlink r:id="rId325" ref="Z329"/>
    <hyperlink r:id="rId326" ref="Z330"/>
    <hyperlink r:id="rId327" ref="Z331"/>
    <hyperlink r:id="rId328" ref="Z332"/>
    <hyperlink r:id="rId329" ref="Z333"/>
    <hyperlink r:id="rId330" ref="Z334"/>
  </hyperlinks>
  <drawing r:id="rId33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hidden="1" min="6" max="8" width="12.63"/>
    <col hidden="1" min="15" max="33" width="12.63"/>
    <col customWidth="1" min="44" max="44" width="69.5"/>
    <col customWidth="1" min="49" max="49" width="63.0"/>
    <col customWidth="1" min="78" max="78" width="15.63"/>
  </cols>
  <sheetData>
    <row r="1">
      <c r="A1" s="833" t="s">
        <v>16</v>
      </c>
      <c r="B1" s="834"/>
      <c r="C1" s="834"/>
      <c r="D1" s="834"/>
      <c r="E1" s="834"/>
      <c r="F1" s="834"/>
      <c r="G1" s="834"/>
      <c r="H1" s="834"/>
      <c r="I1" s="834"/>
      <c r="J1" s="834"/>
      <c r="K1" s="834"/>
      <c r="L1" s="834"/>
      <c r="M1" s="834"/>
      <c r="N1" s="834"/>
      <c r="O1" s="834"/>
      <c r="P1" s="834"/>
      <c r="Q1" s="834"/>
      <c r="R1" s="834"/>
      <c r="S1" s="834"/>
      <c r="T1" s="834"/>
      <c r="U1" s="834"/>
      <c r="V1" s="834"/>
      <c r="W1" s="834"/>
      <c r="X1" s="834"/>
      <c r="Y1" s="834"/>
      <c r="Z1" s="834"/>
      <c r="AA1" s="834"/>
      <c r="AB1" s="834"/>
      <c r="AC1" s="834"/>
      <c r="AD1" s="834"/>
      <c r="AE1" s="834"/>
      <c r="AF1" s="834"/>
      <c r="AG1" s="834"/>
      <c r="AH1" s="834"/>
      <c r="AJ1" s="835" t="s">
        <v>17</v>
      </c>
      <c r="AK1" s="836"/>
      <c r="AL1" s="836"/>
      <c r="AM1" s="836"/>
      <c r="AN1" s="836"/>
      <c r="AO1" s="836"/>
      <c r="AP1" s="836"/>
      <c r="AQ1" s="836"/>
      <c r="AR1" s="836"/>
      <c r="AS1" s="836"/>
      <c r="AT1" s="836"/>
      <c r="AU1" s="836"/>
      <c r="AV1" s="836"/>
      <c r="AW1" s="836"/>
      <c r="AX1" s="836"/>
      <c r="AY1" s="836"/>
      <c r="AZ1" s="836"/>
      <c r="BA1" s="836"/>
      <c r="BB1" s="836"/>
      <c r="BC1" s="836"/>
      <c r="BD1" s="836"/>
      <c r="BE1" s="836"/>
      <c r="BF1" s="836"/>
      <c r="BG1" s="836"/>
      <c r="BH1" s="836"/>
      <c r="BI1" s="836"/>
      <c r="BJ1" s="836"/>
      <c r="BK1" s="836"/>
      <c r="BL1" s="836"/>
      <c r="BM1" s="836"/>
      <c r="BN1" s="836"/>
      <c r="BO1" s="836"/>
      <c r="BP1" s="836"/>
      <c r="BR1" s="837" t="s">
        <v>15</v>
      </c>
      <c r="BS1" s="838"/>
      <c r="BT1" s="838"/>
      <c r="BU1" s="838"/>
      <c r="BV1" s="838"/>
      <c r="BW1" s="838"/>
      <c r="BX1" s="838"/>
      <c r="BY1" s="838"/>
      <c r="BZ1" s="838"/>
      <c r="CA1" s="838"/>
      <c r="CB1" s="838"/>
      <c r="CC1" s="838"/>
      <c r="CD1" s="838"/>
      <c r="CE1" s="838"/>
      <c r="CF1" s="838"/>
      <c r="CG1" s="838"/>
      <c r="CH1" s="838"/>
      <c r="CI1" s="838"/>
      <c r="CJ1" s="838"/>
      <c r="CK1" s="838"/>
      <c r="CL1" s="838"/>
      <c r="CM1" s="838"/>
      <c r="CN1" s="838"/>
      <c r="CO1" s="838"/>
      <c r="CP1" s="838"/>
      <c r="CQ1" s="838"/>
      <c r="CR1" s="838"/>
      <c r="CS1" s="838"/>
      <c r="CT1" s="838"/>
      <c r="CU1" s="838"/>
    </row>
    <row r="2">
      <c r="A2" s="834" t="str">
        <f>IFERROR(__xludf.DUMMYFUNCTION("IMPORTRANGE(""https://docs.google.com/spreadsheets/d/1G50QvMEE94bW0fRLkEwEAncjg-lmXWGI3br3tm44Nkk/edit#gid=0"",""sheet1!A1:AH150"")"),"Author")</f>
        <v>Author</v>
      </c>
      <c r="B2" s="834" t="str">
        <f>IFERROR(__xludf.DUMMYFUNCTION("""COMPUTED_VALUE"""),"Country")</f>
        <v>Country</v>
      </c>
      <c r="C2" s="834" t="str">
        <f>IFERROR(__xludf.DUMMYFUNCTION("""COMPUTED_VALUE"""),"Comparator")</f>
        <v>Comparator</v>
      </c>
      <c r="D2" s="834" t="str">
        <f>IFERROR(__xludf.DUMMYFUNCTION("""COMPUTED_VALUE"""),"Number ")</f>
        <v>Number </v>
      </c>
      <c r="E2" s="834" t="str">
        <f>IFERROR(__xludf.DUMMYFUNCTION("""COMPUTED_VALUE"""),"Dose")</f>
        <v>Dose</v>
      </c>
      <c r="F2" s="834" t="str">
        <f>IFERROR(__xludf.DUMMYFUNCTION("""COMPUTED_VALUE"""),"Sample Size")</f>
        <v>Sample Size</v>
      </c>
      <c r="G2" s="834" t="str">
        <f>IFERROR(__xludf.DUMMYFUNCTION("""COMPUTED_VALUE"""),"Age")</f>
        <v>Age</v>
      </c>
      <c r="H2" s="834" t="str">
        <f>IFERROR(__xludf.DUMMYFUNCTION("""COMPUTED_VALUE"""),"Sex (M:F)")</f>
        <v>Sex (M:F)</v>
      </c>
      <c r="I2" s="834" t="str">
        <f>IFERROR(__xludf.DUMMYFUNCTION("""COMPUTED_VALUE"""),"Year")</f>
        <v>Year</v>
      </c>
      <c r="J2" s="834" t="str">
        <f>IFERROR(__xludf.DUMMYFUNCTION("""COMPUTED_VALUE"""),"Inclusion Criteria")</f>
        <v>Inclusion Criteria</v>
      </c>
      <c r="K2" s="839" t="str">
        <f>IFERROR(__xludf.DUMMYFUNCTION("""COMPUTED_VALUE"""),"Blind/Double Blind")</f>
        <v>Blind/Double Blind</v>
      </c>
      <c r="L2" s="839" t="str">
        <f>IFERROR(__xludf.DUMMYFUNCTION("""COMPUTED_VALUE"""),"Randomized?")</f>
        <v>Randomized?</v>
      </c>
      <c r="M2" s="839" t="str">
        <f>IFERROR(__xludf.DUMMYFUNCTION("""COMPUTED_VALUE"""),"Blind or Double Blind? (Yes/No)")</f>
        <v>Blind or Double Blind? (Yes/No)</v>
      </c>
      <c r="N2" s="840" t="str">
        <f>IFERROR(__xludf.DUMMYFUNCTION("""COMPUTED_VALUE"""),"CR")</f>
        <v>CR</v>
      </c>
      <c r="O2" s="834" t="str">
        <f>IFERROR(__xludf.DUMMYFUNCTION("""COMPUTED_VALUE"""),"Day 7-14")</f>
        <v>Day 7-14</v>
      </c>
      <c r="P2" s="834" t="str">
        <f>IFERROR(__xludf.DUMMYFUNCTION("""COMPUTED_VALUE"""),"Day 21")</f>
        <v>Day 21</v>
      </c>
      <c r="Q2" s="834" t="str">
        <f>IFERROR(__xludf.DUMMYFUNCTION("""COMPUTED_VALUE"""),"Day 30")</f>
        <v>Day 30</v>
      </c>
      <c r="R2" s="834" t="str">
        <f>IFERROR(__xludf.DUMMYFUNCTION("""COMPUTED_VALUE"""),"Day 42")</f>
        <v>Day 42</v>
      </c>
      <c r="S2" s="834" t="str">
        <f>IFERROR(__xludf.DUMMYFUNCTION("""COMPUTED_VALUE"""),"3 weeks")</f>
        <v>3 weeks</v>
      </c>
      <c r="T2" s="834" t="str">
        <f>IFERROR(__xludf.DUMMYFUNCTION("""COMPUTED_VALUE"""),"4 weeks ")</f>
        <v>4 weeks </v>
      </c>
      <c r="U2" s="834" t="str">
        <f>IFERROR(__xludf.DUMMYFUNCTION("""COMPUTED_VALUE"""),"5 weeks")</f>
        <v>5 weeks</v>
      </c>
      <c r="V2" s="834" t="str">
        <f>IFERROR(__xludf.DUMMYFUNCTION("""COMPUTED_VALUE"""),"4 months")</f>
        <v>4 months</v>
      </c>
      <c r="W2" s="834" t="str">
        <f>IFERROR(__xludf.DUMMYFUNCTION("""COMPUTED_VALUE"""),"ERR")</f>
        <v>ERR</v>
      </c>
      <c r="X2" s="840" t="str">
        <f>IFERROR(__xludf.DUMMYFUNCTION("""COMPUTED_VALUE"""),"2 weeks")</f>
        <v>2 weeks</v>
      </c>
      <c r="Y2" s="834" t="str">
        <f>IFERROR(__xludf.DUMMYFUNCTION("""COMPUTED_VALUE"""),"3 weeks ")</f>
        <v>3 weeks </v>
      </c>
      <c r="Z2" s="834" t="str">
        <f>IFERROR(__xludf.DUMMYFUNCTION("""COMPUTED_VALUE"""),"4 weeks ")</f>
        <v>4 weeks </v>
      </c>
      <c r="AA2" s="834" t="str">
        <f>IFERROR(__xludf.DUMMYFUNCTION("""COMPUTED_VALUE"""),"5 weeks ")</f>
        <v>5 weeks </v>
      </c>
      <c r="AB2" s="834" t="str">
        <f>IFERROR(__xludf.DUMMYFUNCTION("""COMPUTED_VALUE"""),"6 weeks")</f>
        <v>6 weeks</v>
      </c>
      <c r="AC2" s="834" t="str">
        <f>IFERROR(__xludf.DUMMYFUNCTION("""COMPUTED_VALUE"""),"4 months")</f>
        <v>4 months</v>
      </c>
      <c r="AD2" s="834" t="str">
        <f>IFERROR(__xludf.DUMMYFUNCTION("""COMPUTED_VALUE"""),"6 months")</f>
        <v>6 months</v>
      </c>
      <c r="AE2" s="834" t="str">
        <f>IFERROR(__xludf.DUMMYFUNCTION("""COMPUTED_VALUE"""),"Conclusion")</f>
        <v>Conclusion</v>
      </c>
      <c r="AF2" s="834" t="str">
        <f>IFERROR(__xludf.DUMMYFUNCTION("""COMPUTED_VALUE"""),"Notes")</f>
        <v>Notes</v>
      </c>
      <c r="AG2" s="834" t="str">
        <f>IFERROR(__xludf.DUMMYFUNCTION("""COMPUTED_VALUE"""),"Reference")</f>
        <v>Reference</v>
      </c>
      <c r="AH2" s="834" t="str">
        <f>IFERROR(__xludf.DUMMYFUNCTION("""COMPUTED_VALUE"""),"x=exclusion")</f>
        <v>x=exclusion</v>
      </c>
      <c r="AJ2" s="836" t="str">
        <f>IFERROR(__xludf.DUMMYFUNCTION("IMPORTRANGE(""https://docs.google.com/spreadsheets/d/1_WH2HrZWAn6vEX-TAv4DF_AXJ7HT_yDuSMQAoBiZHxQ/edit#gid=0"",""All Info!A2:AH200"")"),"Key - purple= checked by Allison; pale yellow = added by Allison")</f>
        <v>Key - purple= checked by Allison; pale yellow = added by Allison</v>
      </c>
      <c r="AK2" s="836" t="str">
        <f>IFERROR(__xludf.DUMMYFUNCTION("""COMPUTED_VALUE"""),"Reference")</f>
        <v>Reference</v>
      </c>
      <c r="AL2" s="836" t="str">
        <f>IFERROR(__xludf.DUMMYFUNCTION("""COMPUTED_VALUE"""),"Country")</f>
        <v>Country</v>
      </c>
      <c r="AM2" s="836" t="str">
        <f>IFERROR(__xludf.DUMMYFUNCTION("""COMPUTED_VALUE"""),"Comparator")</f>
        <v>Comparator</v>
      </c>
      <c r="AN2" s="836" t="str">
        <f>IFERROR(__xludf.DUMMYFUNCTION("""COMPUTED_VALUE"""),"Number")</f>
        <v>Number</v>
      </c>
      <c r="AO2" s="836" t="str">
        <f>IFERROR(__xludf.DUMMYFUNCTION("""COMPUTED_VALUE"""),"Dose")</f>
        <v>Dose</v>
      </c>
      <c r="AP2" s="836" t="str">
        <f>IFERROR(__xludf.DUMMYFUNCTION("""COMPUTED_VALUE"""),"Sample Size")</f>
        <v>Sample Size</v>
      </c>
      <c r="AQ2" s="836" t="str">
        <f>IFERROR(__xludf.DUMMYFUNCTION("""COMPUTED_VALUE"""),"Age")</f>
        <v>Age</v>
      </c>
      <c r="AR2" s="836" t="str">
        <f>IFERROR(__xludf.DUMMYFUNCTION("""COMPUTED_VALUE"""),"Sex")</f>
        <v>Sex</v>
      </c>
      <c r="AS2" s="836" t="str">
        <f>IFERROR(__xludf.DUMMYFUNCTION("""COMPUTED_VALUE"""),"Year")</f>
        <v>Year</v>
      </c>
      <c r="AT2" s="836" t="str">
        <f>IFERROR(__xludf.DUMMYFUNCTION("""COMPUTED_VALUE"""),"Inclusion Criteria")</f>
        <v>Inclusion Criteria</v>
      </c>
      <c r="AU2" s="836" t="str">
        <f>IFERROR(__xludf.DUMMYFUNCTION("""COMPUTED_VALUE"""),"Randomized? (Yes/No/Unknown)")</f>
        <v>Randomized? (Yes/No/Unknown)</v>
      </c>
      <c r="AV2" s="836" t="str">
        <f>IFERROR(__xludf.DUMMYFUNCTION("""COMPUTED_VALUE"""),"Blind: yes or no")</f>
        <v>Blind: yes or no</v>
      </c>
      <c r="AW2" s="836" t="str">
        <f>IFERROR(__xludf.DUMMYFUNCTION("""COMPUTED_VALUE"""),"Blind/Double Blind")</f>
        <v>Blind/Double Blind</v>
      </c>
      <c r="AX2" s="836" t="str">
        <f>IFERROR(__xludf.DUMMYFUNCTION("""COMPUTED_VALUE"""),"CR")</f>
        <v>CR</v>
      </c>
      <c r="AY2" s="836" t="str">
        <f>IFERROR(__xludf.DUMMYFUNCTION("""COMPUTED_VALUE"""),"Day 7-14")</f>
        <v>Day 7-14</v>
      </c>
      <c r="AZ2" s="836" t="str">
        <f>IFERROR(__xludf.DUMMYFUNCTION("""COMPUTED_VALUE"""),"Day 21")</f>
        <v>Day 21</v>
      </c>
      <c r="BA2" s="836" t="str">
        <f>IFERROR(__xludf.DUMMYFUNCTION("""COMPUTED_VALUE"""),"Day 30")</f>
        <v>Day 30</v>
      </c>
      <c r="BB2" s="836" t="str">
        <f>IFERROR(__xludf.DUMMYFUNCTION("""COMPUTED_VALUE"""),"Day 42")</f>
        <v>Day 42</v>
      </c>
      <c r="BC2" s="836" t="str">
        <f>IFERROR(__xludf.DUMMYFUNCTION("""COMPUTED_VALUE"""),"3-4 weeks")</f>
        <v>3-4 weeks</v>
      </c>
      <c r="BD2" s="841" t="str">
        <f>IFERROR(__xludf.DUMMYFUNCTION("""COMPUTED_VALUE"""),"5 weeks")</f>
        <v>5 weeks</v>
      </c>
      <c r="BE2" s="836" t="str">
        <f>IFERROR(__xludf.DUMMYFUNCTION("""COMPUTED_VALUE"""),"6 weeks")</f>
        <v>6 weeks</v>
      </c>
      <c r="BF2" s="836" t="str">
        <f>IFERROR(__xludf.DUMMYFUNCTION("""COMPUTED_VALUE"""),"4 months")</f>
        <v>4 months</v>
      </c>
      <c r="BG2" s="836" t="str">
        <f>IFERROR(__xludf.DUMMYFUNCTION("""COMPUTED_VALUE"""),"12 Months")</f>
        <v>12 Months</v>
      </c>
      <c r="BH2" s="836" t="str">
        <f>IFERROR(__xludf.DUMMYFUNCTION("""COMPUTED_VALUE"""),"ERR")</f>
        <v>ERR</v>
      </c>
      <c r="BI2" s="836" t="str">
        <f>IFERROR(__xludf.DUMMYFUNCTION("""COMPUTED_VALUE"""),"3 weeks ")</f>
        <v>3 weeks </v>
      </c>
      <c r="BJ2" s="836" t="str">
        <f>IFERROR(__xludf.DUMMYFUNCTION("""COMPUTED_VALUE"""),"4 weeks ")</f>
        <v>4 weeks </v>
      </c>
      <c r="BK2" s="836" t="str">
        <f>IFERROR(__xludf.DUMMYFUNCTION("""COMPUTED_VALUE"""),"5 weeks ")</f>
        <v>5 weeks </v>
      </c>
      <c r="BL2" s="836" t="str">
        <f>IFERROR(__xludf.DUMMYFUNCTION("""COMPUTED_VALUE"""),"4 months")</f>
        <v>4 months</v>
      </c>
      <c r="BM2" s="836" t="str">
        <f>IFERROR(__xludf.DUMMYFUNCTION("""COMPUTED_VALUE"""),"6 months")</f>
        <v>6 months</v>
      </c>
      <c r="BN2" s="836" t="str">
        <f>IFERROR(__xludf.DUMMYFUNCTION("""COMPUTED_VALUE"""),"Conclusion")</f>
        <v>Conclusion</v>
      </c>
      <c r="BO2" s="836" t="str">
        <f>IFERROR(__xludf.DUMMYFUNCTION("""COMPUTED_VALUE"""),"Notes")</f>
        <v>Notes</v>
      </c>
      <c r="BP2" s="836" t="str">
        <f>IFERROR(__xludf.DUMMYFUNCTION("""COMPUTED_VALUE"""),"x=exclusion")</f>
        <v>x=exclusion</v>
      </c>
      <c r="BQ2" s="697">
        <f>IFERROR(__xludf.DUMMYFUNCTION("""COMPUTED_VALUE"""),1.0)</f>
        <v>1</v>
      </c>
      <c r="BR2" s="838" t="str">
        <f>IFERROR(__xludf.DUMMYFUNCTION("IMPORTRANGE(""https://docs.google.com/spreadsheets/d/13Tpq2YdppmCFwiZ_UJWLO53A-tZiRQ0k7QBRCCXBJEo/edit#gid=0"",""Sheet1!$A$2:$AE$400"")"),"Key- purple = checked by Allison; blue=checked by Kinga; pale yellow authors = added by Allison, bright yellow=unclear about exclusion (Maia) -- row 2-213")</f>
        <v>Key- purple = checked by Allison; blue=checked by Kinga; pale yellow authors = added by Allison, bright yellow=unclear about exclusion (Maia) -- row 2-213</v>
      </c>
      <c r="BS2" s="838" t="str">
        <f>IFERROR(__xludf.DUMMYFUNCTION("""COMPUTED_VALUE"""),"Country")</f>
        <v>Country</v>
      </c>
      <c r="BT2" s="838" t="str">
        <f>IFERROR(__xludf.DUMMYFUNCTION("""COMPUTED_VALUE"""),"Comparator")</f>
        <v>Comparator</v>
      </c>
      <c r="BU2" s="838"/>
      <c r="BV2" s="838" t="str">
        <f>IFERROR(__xludf.DUMMYFUNCTION("""COMPUTED_VALUE"""),"Number")</f>
        <v>Number</v>
      </c>
      <c r="BW2" s="838" t="str">
        <f>IFERROR(__xludf.DUMMYFUNCTION("""COMPUTED_VALUE"""),"Dose")</f>
        <v>Dose</v>
      </c>
      <c r="BX2" s="838" t="str">
        <f>IFERROR(__xludf.DUMMYFUNCTION("""COMPUTED_VALUE"""),"Sample Size")</f>
        <v>Sample Size</v>
      </c>
      <c r="BY2" s="838" t="str">
        <f>IFERROR(__xludf.DUMMYFUNCTION("""COMPUTED_VALUE"""),"Age")</f>
        <v>Age</v>
      </c>
      <c r="BZ2" s="838" t="str">
        <f>IFERROR(__xludf.DUMMYFUNCTION("""COMPUTED_VALUE"""),"Year")</f>
        <v>Year</v>
      </c>
      <c r="CA2" s="838" t="str">
        <f>IFERROR(__xludf.DUMMYFUNCTION("""COMPUTED_VALUE"""),"Sex (M:F)")</f>
        <v>Sex (M:F)</v>
      </c>
      <c r="CB2" s="838" t="str">
        <f>IFERROR(__xludf.DUMMYFUNCTION("""COMPUTED_VALUE"""),"Inclusion Criteria")</f>
        <v>Inclusion Criteria</v>
      </c>
      <c r="CC2" s="838" t="str">
        <f>IFERROR(__xludf.DUMMYFUNCTION("""COMPUTED_VALUE"""),"Randomised?")</f>
        <v>Randomised?</v>
      </c>
      <c r="CD2" s="838" t="str">
        <f>IFERROR(__xludf.DUMMYFUNCTION("""COMPUTED_VALUE"""),"CR")</f>
        <v>CR</v>
      </c>
      <c r="CE2" s="838" t="str">
        <f>IFERROR(__xludf.DUMMYFUNCTION("""COMPUTED_VALUE"""),"Blind/Double Blind")</f>
        <v>Blind/Double Blind</v>
      </c>
      <c r="CF2" s="838" t="str">
        <f>IFERROR(__xludf.DUMMYFUNCTION("""COMPUTED_VALUE"""),"Day 7-14")</f>
        <v>Day 7-14</v>
      </c>
      <c r="CG2" s="838" t="str">
        <f>IFERROR(__xludf.DUMMYFUNCTION("""COMPUTED_VALUE"""),"Day 21")</f>
        <v>Day 21</v>
      </c>
      <c r="CH2" s="838" t="str">
        <f>IFERROR(__xludf.DUMMYFUNCTION("""COMPUTED_VALUE"""),"Day 30")</f>
        <v>Day 30</v>
      </c>
      <c r="CI2" s="838" t="str">
        <f>IFERROR(__xludf.DUMMYFUNCTION("""COMPUTED_VALUE"""),"Day 42")</f>
        <v>Day 42</v>
      </c>
      <c r="CJ2" s="838" t="str">
        <f>IFERROR(__xludf.DUMMYFUNCTION("""COMPUTED_VALUE"""),"3 weeks")</f>
        <v>3 weeks</v>
      </c>
      <c r="CK2" s="838" t="str">
        <f>IFERROR(__xludf.DUMMYFUNCTION("""COMPUTED_VALUE"""),"4 weeks ")</f>
        <v>4 weeks </v>
      </c>
      <c r="CL2" s="838" t="str">
        <f>IFERROR(__xludf.DUMMYFUNCTION("""COMPUTED_VALUE"""),"4 months")</f>
        <v>4 months</v>
      </c>
      <c r="CM2" s="838" t="str">
        <f>IFERROR(__xludf.DUMMYFUNCTION("""COMPUTED_VALUE"""),"ERR")</f>
        <v>ERR</v>
      </c>
      <c r="CN2" s="838" t="str">
        <f>IFERROR(__xludf.DUMMYFUNCTION("""COMPUTED_VALUE"""),"3 weeks ")</f>
        <v>3 weeks </v>
      </c>
      <c r="CO2" s="838" t="str">
        <f>IFERROR(__xludf.DUMMYFUNCTION("""COMPUTED_VALUE"""),"4 weeks ")</f>
        <v>4 weeks </v>
      </c>
      <c r="CP2" s="838" t="str">
        <f>IFERROR(__xludf.DUMMYFUNCTION("""COMPUTED_VALUE"""),"5 weeks ")</f>
        <v>5 weeks </v>
      </c>
      <c r="CQ2" s="838" t="str">
        <f>IFERROR(__xludf.DUMMYFUNCTION("""COMPUTED_VALUE"""),"4 months")</f>
        <v>4 months</v>
      </c>
      <c r="CR2" s="838" t="str">
        <f>IFERROR(__xludf.DUMMYFUNCTION("""COMPUTED_VALUE"""),"6 months")</f>
        <v>6 months</v>
      </c>
      <c r="CS2" s="838" t="str">
        <f>IFERROR(__xludf.DUMMYFUNCTION("""COMPUTED_VALUE"""),"Conclusion")</f>
        <v>Conclusion</v>
      </c>
      <c r="CT2" s="838" t="str">
        <f>IFERROR(__xludf.DUMMYFUNCTION("""COMPUTED_VALUE"""),"Notes")</f>
        <v>Notes</v>
      </c>
      <c r="CU2" s="838" t="str">
        <f>IFERROR(__xludf.DUMMYFUNCTION("""COMPUTED_VALUE"""),"x=exclusion")</f>
        <v>x=exclusion</v>
      </c>
      <c r="CV2" s="697" t="str">
        <f>IFERROR(__xludf.DUMMYFUNCTION("""COMPUTED_VALUE"""),"Reference")</f>
        <v>Reference</v>
      </c>
    </row>
    <row r="3">
      <c r="A3" s="842" t="str">
        <f>IFERROR(__xludf.DUMMYFUNCTION("""COMPUTED_VALUE"""),"Abadi, K.")</f>
        <v>Abadi, K.</v>
      </c>
      <c r="B3" s="834" t="str">
        <f>IFERROR(__xludf.DUMMYFUNCTION("""COMPUTED_VALUE"""),"Indonesia")</f>
        <v>Indonesia</v>
      </c>
      <c r="C3" s="834" t="str">
        <f>IFERROR(__xludf.DUMMYFUNCTION("""COMPUTED_VALUE"""),"Mebendazole")</f>
        <v>Mebendazole</v>
      </c>
      <c r="D3" s="834" t="str">
        <f>IFERROR(__xludf.DUMMYFUNCTION("""COMPUTED_VALUE"""),"Single")</f>
        <v>Single</v>
      </c>
      <c r="E3" s="834" t="str">
        <f>IFERROR(__xludf.DUMMYFUNCTION("""COMPUTED_VALUE"""),"500 mg")</f>
        <v>500 mg</v>
      </c>
      <c r="F3" s="834">
        <f>IFERROR(__xludf.DUMMYFUNCTION("""COMPUTED_VALUE"""),45.0)</f>
        <v>45</v>
      </c>
      <c r="G3" s="834" t="str">
        <f>IFERROR(__xludf.DUMMYFUNCTION("""COMPUTED_VALUE"""),"2-70 ")</f>
        <v>2-70 </v>
      </c>
      <c r="H3" s="834"/>
      <c r="I3" s="834">
        <f>IFERROR(__xludf.DUMMYFUNCTION("""COMPUTED_VALUE"""),1983.0)</f>
        <v>1983</v>
      </c>
      <c r="J3" s="834" t="str">
        <f>IFERROR(__xludf.DUMMYFUNCTION("""COMPUTED_VALUE"""),"included: patients between the ages of 2-70 with very light to severe hookworm infection
excluded: Patients with major organic and nervous disorders and pregnant women ")</f>
        <v>included: patients between the ages of 2-70 with very light to severe hookworm infection
excluded: Patients with major organic and nervous disorders and pregnant women </v>
      </c>
      <c r="K3" s="839" t="str">
        <f>IFERROR(__xludf.DUMMYFUNCTION("""COMPUTED_VALUE"""),"double-blind ")</f>
        <v>double-blind </v>
      </c>
      <c r="L3" s="839" t="str">
        <f>IFERROR(__xludf.DUMMYFUNCTION("""COMPUTED_VALUE"""),"No")</f>
        <v>No</v>
      </c>
      <c r="M3" s="839" t="str">
        <f>IFERROR(__xludf.DUMMYFUNCTION("""COMPUTED_VALUE"""),"Yes")</f>
        <v>Yes</v>
      </c>
      <c r="N3" s="840">
        <f>IFERROR(__xludf.DUMMYFUNCTION("""COMPUTED_VALUE"""),0.911)</f>
        <v>0.911</v>
      </c>
      <c r="O3" s="834"/>
      <c r="P3" s="834"/>
      <c r="Q3" s="834"/>
      <c r="R3" s="834"/>
      <c r="S3" s="834"/>
      <c r="T3" s="834"/>
      <c r="U3" s="834"/>
      <c r="V3" s="834"/>
      <c r="W3" s="840">
        <f>IFERROR(__xludf.DUMMYFUNCTION("""COMPUTED_VALUE"""),0.983)</f>
        <v>0.983</v>
      </c>
      <c r="X3" s="834"/>
      <c r="Y3" s="834"/>
      <c r="Z3" s="834"/>
      <c r="AA3" s="834"/>
      <c r="AB3" s="834"/>
      <c r="AC3" s="834"/>
      <c r="AD3" s="834"/>
      <c r="AE3" s="834" t="str">
        <f>IFERROR(__xludf.DUMMYFUNCTION("""COMPUTED_VALUE"""),"Single dose Mebendazoletreatment appears to be relatively inexpensive, convenient, and effective in mass treatment for the control of intestinal nematode infections, especially in highly infected communities.")</f>
        <v>Single dose Mebendazoletreatment appears to be relatively inexpensive, convenient, and effective in mass treatment for the control of intestinal nematode infections, especially in highly infected communities.</v>
      </c>
      <c r="AF3" s="839" t="str">
        <f>IFERROR(__xludf.DUMMYFUNCTION("""COMPUTED_VALUE"""),"• Of 45 subjects with hookworm infection, 88.9% were infected with N. americanus alone and 11. 1% had mixed infections of Necator amen canus and Ancylostoma duodenale.
• Stool samples examined using Kato-Katz Method")</f>
        <v>• Of 45 subjects with hookworm infection, 88.9% were infected with N. americanus alone and 11. 1% had mixed infections of Necator amen canus and Ancylostoma duodenale.
• Stool samples examined using Kato-Katz Method</v>
      </c>
      <c r="AG3" s="834" t="str">
        <f>IFERROR(__xludf.DUMMYFUNCTION("""COMPUTED_VALUE"""),"Abadi, K. “Single dose Mebendazoletherapy for soil-transmitted nematodes”. The American Journal of Tropical Medicine and Hygeine 34 (1985): 129-133. Web.")</f>
        <v>Abadi, K. “Single dose Mebendazoletherapy for soil-transmitted nematodes”. The American Journal of Tropical Medicine and Hygeine 34 (1985): 129-133. Web.</v>
      </c>
      <c r="AH3" s="834" t="str">
        <f>IFERROR(__xludf.DUMMYFUNCTION("""COMPUTED_VALUE"""),"x")</f>
        <v>x</v>
      </c>
      <c r="AJ3" s="843" t="str">
        <f>IFERROR(__xludf.DUMMYFUNCTION("""COMPUTED_VALUE"""),"Soukhathammavong et al.")</f>
        <v>Soukhathammavong et al.</v>
      </c>
      <c r="AK3" s="836" t="str">
        <f>IFERROR(__xludf.DUMMYFUNCTION("""COMPUTED_VALUE"""),"Aye Soukhathammavong, Phonepasong, Somphou Sayasone, Khampheng Phongluxa, Vilavanh Xayaseng, Jurg Utzinger, Penelope Vounatsou, Cristoph Hatz, Kongsap Akkhavong, Jennifer Keiser, and Peter Odermatt. ""Low Efficacy of Single-Dose Albendazolel and Mebendazo"&amp;"leagainst Hookworm and Effect on Concomitant Helminth Infection in Lao PDR."" PLOS Neglected Tropical Diseases 6.1 (2012): 1-8. Web.")</f>
        <v>Aye Soukhathammavong, Phonepasong, Somphou Sayasone, Khampheng Phongluxa, Vilavanh Xayaseng, Jurg Utzinger, Penelope Vounatsou, Cristoph Hatz, Kongsap Akkhavong, Jennifer Keiser, and Peter Odermatt. "Low Efficacy of Single-Dose Albendazolel and Mebendazoleagainst Hookworm and Effect on Concomitant Helminth Infection in Lao PDR." PLOS Neglected Tropical Diseases 6.1 (2012): 1-8. Web.</v>
      </c>
      <c r="AL3" s="836" t="str">
        <f>IFERROR(__xludf.DUMMYFUNCTION("""COMPUTED_VALUE"""),"Lao People's Democratic Republic")</f>
        <v>Lao People's Democratic Republic</v>
      </c>
      <c r="AM3" s="836" t="str">
        <f>IFERROR(__xludf.DUMMYFUNCTION("""COMPUTED_VALUE"""),"Albendazole")</f>
        <v>Albendazole</v>
      </c>
      <c r="AN3" s="836" t="str">
        <f>IFERROR(__xludf.DUMMYFUNCTION("""COMPUTED_VALUE"""),"Single")</f>
        <v>Single</v>
      </c>
      <c r="AO3" s="836" t="str">
        <f>IFERROR(__xludf.DUMMYFUNCTION("""COMPUTED_VALUE"""),"400 mg")</f>
        <v>400 mg</v>
      </c>
      <c r="AP3" s="836">
        <f>IFERROR(__xludf.DUMMYFUNCTION("""COMPUTED_VALUE"""),42.0)</f>
        <v>42</v>
      </c>
      <c r="AQ3" s="836">
        <f>IFERROR(__xludf.DUMMYFUNCTION("""COMPUTED_VALUE"""),9.0)</f>
        <v>9</v>
      </c>
      <c r="AR3" s="836" t="str">
        <f>IFERROR(__xludf.DUMMYFUNCTION("""COMPUTED_VALUE"""),"Male:56 Female:33")</f>
        <v>Male:56 Female:33</v>
      </c>
      <c r="AS3" s="836">
        <f>IFERROR(__xludf.DUMMYFUNCTION("""COMPUTED_VALUE"""),2009.0)</f>
        <v>2009</v>
      </c>
      <c r="AT3" s="836" t="str">
        <f>IFERROR(__xludf.DUMMYFUNCTION("""COMPUTED_VALUE"""),"Children were excluded if they had fever, or showed signs of severe malnutrion. Also the presence of any abnormal medical condition such as cardiac, vascular, pulmonary, gastrointestinal, endocrine, neurologic, hematologic, rheumatologic, psychiatric, or "&amp;"metabolic distrubances, recent history of anthelmintic treatment (albendazole, mebendazole, pyrantel pamoate, levamisole, ivermectin, and praziquental, attending other clinical trials during this study, or reported hypersensitivity to Albendazoleor mebend"&amp;"azole")</f>
        <v>Children were excluded if they had fever, or showed signs of severe malnutrion. Also the presence of any abnormal medical condition such as cardiac, vascular, pulmonary, gastrointestinal, endocrine, neurologic, hematologic, rheumatologic, psychiatric, or metabolic distrubances, recent history of anthelmintic treatment (albendazole, mebendazole, pyrantel pamoate, levamisole, ivermectin, and praziquental, attending other clinical trials during this study, or reported hypersensitivity to Albendazoleor mebendazole</v>
      </c>
      <c r="AU3" s="836" t="str">
        <f>IFERROR(__xludf.DUMMYFUNCTION("""COMPUTED_VALUE"""),"Yes")</f>
        <v>Yes</v>
      </c>
      <c r="AV3" s="836" t="str">
        <f>IFERROR(__xludf.DUMMYFUNCTION("""COMPUTED_VALUE"""),"No")</f>
        <v>No</v>
      </c>
      <c r="AW3" s="836" t="str">
        <f>IFERROR(__xludf.DUMMYFUNCTION("""COMPUTED_VALUE"""),"randomized open label two arm trial")</f>
        <v>randomized open label two arm trial</v>
      </c>
      <c r="AX3" s="841">
        <f>IFERROR(__xludf.DUMMYFUNCTION("""COMPUTED_VALUE"""),0.333)</f>
        <v>0.333</v>
      </c>
      <c r="AY3" s="836"/>
      <c r="AZ3" s="841">
        <f>IFERROR(__xludf.DUMMYFUNCTION("""COMPUTED_VALUE"""),0.333)</f>
        <v>0.333</v>
      </c>
      <c r="BA3" s="836"/>
      <c r="BB3" s="836"/>
      <c r="BC3" s="836"/>
      <c r="BD3" s="836"/>
      <c r="BE3" s="836"/>
      <c r="BF3" s="836"/>
      <c r="BG3" s="836"/>
      <c r="BH3" s="841">
        <f>IFERROR(__xludf.DUMMYFUNCTION("""COMPUTED_VALUE"""),0.67)</f>
        <v>0.67</v>
      </c>
      <c r="BI3" s="836"/>
      <c r="BJ3" s="836"/>
      <c r="BK3" s="836"/>
      <c r="BL3" s="836"/>
      <c r="BM3" s="836"/>
      <c r="BN3" s="836"/>
      <c r="BO3" s="836" t="str">
        <f>IFERROR(__xludf.DUMMYFUNCTION("""COMPUTED_VALUE"""),"Kato-Katz Method")</f>
        <v>Kato-Katz Method</v>
      </c>
      <c r="BP3" s="836"/>
      <c r="BQ3" s="697">
        <f>IFERROR(__xludf.DUMMYFUNCTION("""COMPUTED_VALUE"""),2.0)</f>
        <v>2</v>
      </c>
      <c r="BR3" s="844" t="str">
        <f>IFERROR(__xludf.DUMMYFUNCTION("""COMPUTED_VALUE"""),"Adgenika et al.")</f>
        <v>Adgenika et al.</v>
      </c>
      <c r="BS3" s="838" t="str">
        <f>IFERROR(__xludf.DUMMYFUNCTION("""COMPUTED_VALUE"""),"Gabon")</f>
        <v>Gabon</v>
      </c>
      <c r="BT3" s="838" t="str">
        <f>IFERROR(__xludf.DUMMYFUNCTION("""COMPUTED_VALUE"""),"Albendazole")</f>
        <v>Albendazole</v>
      </c>
      <c r="BU3" s="838"/>
      <c r="BV3" s="838" t="str">
        <f>IFERROR(__xludf.DUMMYFUNCTION("""COMPUTED_VALUE"""),"Single")</f>
        <v>Single</v>
      </c>
      <c r="BW3" s="838" t="str">
        <f>IFERROR(__xludf.DUMMYFUNCTION("""COMPUTED_VALUE"""),"400 mg")</f>
        <v>400 mg</v>
      </c>
      <c r="BX3" s="838">
        <f>IFERROR(__xludf.DUMMYFUNCTION("""COMPUTED_VALUE"""),39.0)</f>
        <v>39</v>
      </c>
      <c r="BY3" s="845">
        <f>IFERROR(__xludf.DUMMYFUNCTION("""COMPUTED_VALUE"""),42474.0)</f>
        <v>42474</v>
      </c>
      <c r="BZ3" s="838">
        <f>IFERROR(__xludf.DUMMYFUNCTION("""COMPUTED_VALUE"""),2011.0)</f>
        <v>2011</v>
      </c>
      <c r="CA3" s="838" t="str">
        <f>IFERROR(__xludf.DUMMYFUNCTION("""COMPUTED_VALUE"""),"1:1")</f>
        <v>1:1</v>
      </c>
      <c r="CB3" s="838" t="str">
        <f>IFERROR(__xludf.DUMMYFUNCTION("""COMPUTED_VALUE"""),"at least 5 eggs of larvae         Exclusion Criteria: HIV Infection, Allergy to albendazole, severe anemia, severe physcial condiiton")</f>
        <v>at least 5 eggs of larvae         Exclusion Criteria: HIV Infection, Allergy to albendazole, severe anemia, severe physcial condiiton</v>
      </c>
      <c r="CC3" s="838" t="str">
        <f>IFERROR(__xludf.DUMMYFUNCTION("""COMPUTED_VALUE"""),"Yes")</f>
        <v>Yes</v>
      </c>
      <c r="CD3" s="846">
        <f>IFERROR(__xludf.DUMMYFUNCTION("""COMPUTED_VALUE"""),0.85)</f>
        <v>0.85</v>
      </c>
      <c r="CE3" s="838" t="str">
        <f>IFERROR(__xludf.DUMMYFUNCTION("""COMPUTED_VALUE"""),"Yes")</f>
        <v>Yes</v>
      </c>
      <c r="CF3" s="838"/>
      <c r="CG3" s="838"/>
      <c r="CH3" s="838"/>
      <c r="CI3" s="846">
        <f>IFERROR(__xludf.DUMMYFUNCTION("""COMPUTED_VALUE"""),0.85)</f>
        <v>0.85</v>
      </c>
      <c r="CJ3" s="838"/>
      <c r="CK3" s="838"/>
      <c r="CL3" s="838"/>
      <c r="CM3" s="847">
        <f>IFERROR(__xludf.DUMMYFUNCTION("""COMPUTED_VALUE"""),0.94)</f>
        <v>0.94</v>
      </c>
      <c r="CN3" s="838"/>
      <c r="CO3" s="838"/>
      <c r="CP3" s="838"/>
      <c r="CQ3" s="838"/>
      <c r="CR3" s="838"/>
      <c r="CS3" s="838"/>
      <c r="CT3" s="838" t="str">
        <f>IFERROR(__xludf.DUMMYFUNCTION("""COMPUTED_VALUE"""),"Kato-Katz")</f>
        <v>Kato-Katz</v>
      </c>
      <c r="CU3" s="838"/>
      <c r="CV3" s="697" t="str">
        <f>IFERROR(__xludf.DUMMYFUNCTION("""COMPUTED_VALUE"""),"Adegnika, Ayola A., Jeannot F. Zinsou, Saadou Issifou, Ulysse Ateba-Ngoa, Roland F. Kassa, Eliane N. Feugap, Yabo J.Jonkpehedji, Jean-Claude Dejon Agobe, Hilaire M. Kenguele, Marguerite Massinga-Loembe, Selodji T. Agnandji, Benjamin Mordmuller, Michael Ra"&amp;"mharter, Maria Yazdanbaksh, Peter G. Kremsner, and Bertrand Lell. ""Randomized, Controlled, Assessor-Blind Clinical Trial To Assess the Efficacy of Single- versus Repeated-Dose Albendazole To Treat Ascaris Lumbricoides, Trichuris Trichiura, and Hookworm I"&amp;"nfection."" Antimicrobial Agents and Chemotherapy 58.5 (2014): 2535-540. PubMed. Web.")</f>
        <v>Adegnika, Ayola A., Jeannot F. Zinsou, Saadou Issifou, Ulysse Ateba-Ngoa, Roland F. Kassa, Eliane N. Feugap, Yabo J.Jonkpehedji, Jean-Claude Dejon Agobe, Hilaire M. Kenguele, Marguerite Massinga-Loembe, Selodji T. Agnandji, Benjamin Mordmuller, Michael Ramharter, Maria Yazdanbaksh, Peter G. Kremsner, and Bertrand Lell. "Randomized, Controlled, Assessor-Blind Clinical Trial To Assess the Efficacy of Single- versus Repeated-Dose Albendazole To Treat Ascaris Lumbricoides, Trichuris Trichiura, and Hookworm Infection." Antimicrobial Agents and Chemotherapy 58.5 (2014): 2535-540. PubMed. Web.</v>
      </c>
    </row>
    <row r="4">
      <c r="A4" s="842" t="str">
        <f>IFERROR(__xludf.DUMMYFUNCTION("""COMPUTED_VALUE"""),"Abadi, K.")</f>
        <v>Abadi, K.</v>
      </c>
      <c r="B4" s="834" t="str">
        <f>IFERROR(__xludf.DUMMYFUNCTION("""COMPUTED_VALUE"""),"Indonesia")</f>
        <v>Indonesia</v>
      </c>
      <c r="C4" s="834" t="str">
        <f>IFERROR(__xludf.DUMMYFUNCTION("""COMPUTED_VALUE"""),"Placebo")</f>
        <v>Placebo</v>
      </c>
      <c r="D4" s="834"/>
      <c r="E4" s="834"/>
      <c r="F4" s="834">
        <f>IFERROR(__xludf.DUMMYFUNCTION("""COMPUTED_VALUE"""),43.0)</f>
        <v>43</v>
      </c>
      <c r="G4" s="834" t="str">
        <f>IFERROR(__xludf.DUMMYFUNCTION("""COMPUTED_VALUE"""),"2-70 ")</f>
        <v>2-70 </v>
      </c>
      <c r="H4" s="834"/>
      <c r="I4" s="834">
        <f>IFERROR(__xludf.DUMMYFUNCTION("""COMPUTED_VALUE"""),1983.0)</f>
        <v>1983</v>
      </c>
      <c r="J4" s="834" t="str">
        <f>IFERROR(__xludf.DUMMYFUNCTION("""COMPUTED_VALUE"""),"included: patients between the ages of 2-70 with very light to severe hookworm infection
excluded: Patients with major organic and nervous disorders and pregnant women ")</f>
        <v>included: patients between the ages of 2-70 with very light to severe hookworm infection
excluded: Patients with major organic and nervous disorders and pregnant women </v>
      </c>
      <c r="K4" s="839" t="str">
        <f>IFERROR(__xludf.DUMMYFUNCTION("""COMPUTED_VALUE"""),"double-blind ")</f>
        <v>double-blind </v>
      </c>
      <c r="L4" s="839" t="str">
        <f>IFERROR(__xludf.DUMMYFUNCTION("""COMPUTED_VALUE"""),"No")</f>
        <v>No</v>
      </c>
      <c r="M4" s="839" t="str">
        <f>IFERROR(__xludf.DUMMYFUNCTION("""COMPUTED_VALUE"""),"Yes")</f>
        <v>Yes</v>
      </c>
      <c r="N4" s="840">
        <f>IFERROR(__xludf.DUMMYFUNCTION("""COMPUTED_VALUE"""),0.135)</f>
        <v>0.135</v>
      </c>
      <c r="O4" s="834"/>
      <c r="P4" s="834"/>
      <c r="Q4" s="834"/>
      <c r="R4" s="834"/>
      <c r="S4" s="834"/>
      <c r="T4" s="834"/>
      <c r="U4" s="834"/>
      <c r="V4" s="834"/>
      <c r="W4" s="840">
        <f>IFERROR(__xludf.DUMMYFUNCTION("""COMPUTED_VALUE"""),0.135)</f>
        <v>0.135</v>
      </c>
      <c r="X4" s="834"/>
      <c r="Y4" s="834"/>
      <c r="Z4" s="834"/>
      <c r="AA4" s="834"/>
      <c r="AB4" s="834"/>
      <c r="AC4" s="834"/>
      <c r="AD4" s="834"/>
      <c r="AE4" s="834" t="str">
        <f>IFERROR(__xludf.DUMMYFUNCTION("""COMPUTED_VALUE"""),"Single dose Mebendazoletreatment appears to be relatively inexpensive, convenient, and effective in mass treatment for the control of intestinal nematode infections, especially in highly infected communities.")</f>
        <v>Single dose Mebendazoletreatment appears to be relatively inexpensive, convenient, and effective in mass treatment for the control of intestinal nematode infections, especially in highly infected communities.</v>
      </c>
      <c r="AF4" s="839" t="str">
        <f>IFERROR(__xludf.DUMMYFUNCTION("""COMPUTED_VALUE"""),"Stool samples examined using Kato-Katz Method")</f>
        <v>Stool samples examined using Kato-Katz Method</v>
      </c>
      <c r="AG4" s="834" t="str">
        <f>IFERROR(__xludf.DUMMYFUNCTION("""COMPUTED_VALUE"""),"Abadi, K. “Single dose Mebendazoletherapy for soil-transmitted nematodes”. The American Journal of Tropical Medicine and Hygeine 34 (1985): 129-133. Web.")</f>
        <v>Abadi, K. “Single dose Mebendazoletherapy for soil-transmitted nematodes”. The American Journal of Tropical Medicine and Hygeine 34 (1985): 129-133. Web.</v>
      </c>
      <c r="AH4" s="834" t="str">
        <f>IFERROR(__xludf.DUMMYFUNCTION("""COMPUTED_VALUE"""),"x")</f>
        <v>x</v>
      </c>
      <c r="AJ4" s="843" t="str">
        <f>IFERROR(__xludf.DUMMYFUNCTION("""COMPUTED_VALUE"""),"Soukhathammavong et al.")</f>
        <v>Soukhathammavong et al.</v>
      </c>
      <c r="AK4" s="836"/>
      <c r="AL4" s="836" t="str">
        <f>IFERROR(__xludf.DUMMYFUNCTION("""COMPUTED_VALUE"""),"Lao People's Democratic Republic")</f>
        <v>Lao People's Democratic Republic</v>
      </c>
      <c r="AM4" s="836" t="str">
        <f>IFERROR(__xludf.DUMMYFUNCTION("""COMPUTED_VALUE"""),"Mebendazole")</f>
        <v>Mebendazole</v>
      </c>
      <c r="AN4" s="836" t="str">
        <f>IFERROR(__xludf.DUMMYFUNCTION("""COMPUTED_VALUE"""),"Single")</f>
        <v>Single</v>
      </c>
      <c r="AO4" s="836" t="str">
        <f>IFERROR(__xludf.DUMMYFUNCTION("""COMPUTED_VALUE"""),"500 mg")</f>
        <v>500 mg</v>
      </c>
      <c r="AP4" s="836">
        <f>IFERROR(__xludf.DUMMYFUNCTION("""COMPUTED_VALUE"""),43.0)</f>
        <v>43</v>
      </c>
      <c r="AQ4" s="836">
        <f>IFERROR(__xludf.DUMMYFUNCTION("""COMPUTED_VALUE"""),9.0)</f>
        <v>9</v>
      </c>
      <c r="AR4" s="836" t="str">
        <f>IFERROR(__xludf.DUMMYFUNCTION("""COMPUTED_VALUE"""),"Male:49 Female:33")</f>
        <v>Male:49 Female:33</v>
      </c>
      <c r="AS4" s="836">
        <f>IFERROR(__xludf.DUMMYFUNCTION("""COMPUTED_VALUE"""),2009.0)</f>
        <v>2009</v>
      </c>
      <c r="AT4" s="836" t="str">
        <f>IFERROR(__xludf.DUMMYFUNCTION("""COMPUTED_VALUE"""),"Children were excluded if they had fever, or showed signs of severe malnutrion. Also the presence of any abnormal medical condition such as cardiac, vascular, pulmonary, gastrointestinal, endocrine, neurologic, hematologic, rheumatologic, psychiatric, or "&amp;"metabolic distrubances, recent history of anthelmintic treatment (albendazole, mebendazole, pyrantel pamoate, levamisole, ivermectin, and praziquental, attending other clinical trials during this study, or reported hypersensitivity to Albendazoleor mebend"&amp;"azole")</f>
        <v>Children were excluded if they had fever, or showed signs of severe malnutrion. Also the presence of any abnormal medical condition such as cardiac, vascular, pulmonary, gastrointestinal, endocrine, neurologic, hematologic, rheumatologic, psychiatric, or metabolic distrubances, recent history of anthelmintic treatment (albendazole, mebendazole, pyrantel pamoate, levamisole, ivermectin, and praziquental, attending other clinical trials during this study, or reported hypersensitivity to Albendazoleor mebendazole</v>
      </c>
      <c r="AU4" s="836" t="str">
        <f>IFERROR(__xludf.DUMMYFUNCTION("""COMPUTED_VALUE"""),"Yes")</f>
        <v>Yes</v>
      </c>
      <c r="AV4" s="836" t="str">
        <f>IFERROR(__xludf.DUMMYFUNCTION("""COMPUTED_VALUE"""),"No")</f>
        <v>No</v>
      </c>
      <c r="AW4" s="836" t="str">
        <f>IFERROR(__xludf.DUMMYFUNCTION("""COMPUTED_VALUE"""),"randomized open label two arm trial")</f>
        <v>randomized open label two arm trial</v>
      </c>
      <c r="AX4" s="841">
        <f>IFERROR(__xludf.DUMMYFUNCTION("""COMPUTED_VALUE"""),0.279)</f>
        <v>0.279</v>
      </c>
      <c r="AY4" s="836"/>
      <c r="AZ4" s="841">
        <f>IFERROR(__xludf.DUMMYFUNCTION("""COMPUTED_VALUE"""),0.279)</f>
        <v>0.279</v>
      </c>
      <c r="BA4" s="836"/>
      <c r="BB4" s="836"/>
      <c r="BC4" s="836"/>
      <c r="BD4" s="836"/>
      <c r="BE4" s="836"/>
      <c r="BF4" s="836"/>
      <c r="BG4" s="836"/>
      <c r="BH4" s="841">
        <f>IFERROR(__xludf.DUMMYFUNCTION("""COMPUTED_VALUE"""),0.66)</f>
        <v>0.66</v>
      </c>
      <c r="BI4" s="836"/>
      <c r="BJ4" s="836"/>
      <c r="BK4" s="836"/>
      <c r="BL4" s="836"/>
      <c r="BM4" s="836"/>
      <c r="BN4" s="836"/>
      <c r="BO4" s="836"/>
      <c r="BP4" s="836"/>
      <c r="BQ4" s="697">
        <f>IFERROR(__xludf.DUMMYFUNCTION("""COMPUTED_VALUE"""),3.0)</f>
        <v>3</v>
      </c>
      <c r="BR4" s="844" t="str">
        <f>IFERROR(__xludf.DUMMYFUNCTION("""COMPUTED_VALUE"""),"Adgenika et al.")</f>
        <v>Adgenika et al.</v>
      </c>
      <c r="BS4" s="838" t="str">
        <f>IFERROR(__xludf.DUMMYFUNCTION("""COMPUTED_VALUE"""),"Gabon")</f>
        <v>Gabon</v>
      </c>
      <c r="BT4" s="838" t="str">
        <f>IFERROR(__xludf.DUMMYFUNCTION("""COMPUTED_VALUE"""),"Albendazole")</f>
        <v>Albendazole</v>
      </c>
      <c r="BU4" s="838"/>
      <c r="BV4" s="838" t="str">
        <f>IFERROR(__xludf.DUMMYFUNCTION("""COMPUTED_VALUE"""),"Two")</f>
        <v>Two</v>
      </c>
      <c r="BW4" s="838" t="str">
        <f>IFERROR(__xludf.DUMMYFUNCTION("""COMPUTED_VALUE"""),"400 mg")</f>
        <v>400 mg</v>
      </c>
      <c r="BX4" s="838">
        <f>IFERROR(__xludf.DUMMYFUNCTION("""COMPUTED_VALUE"""),32.0)</f>
        <v>32</v>
      </c>
      <c r="BY4" s="845">
        <f>IFERROR(__xludf.DUMMYFUNCTION("""COMPUTED_VALUE"""),42474.0)</f>
        <v>42474</v>
      </c>
      <c r="BZ4" s="838">
        <f>IFERROR(__xludf.DUMMYFUNCTION("""COMPUTED_VALUE"""),2011.0)</f>
        <v>2011</v>
      </c>
      <c r="CA4" s="838" t="str">
        <f>IFERROR(__xludf.DUMMYFUNCTION("""COMPUTED_VALUE"""),"1:1")</f>
        <v>1:1</v>
      </c>
      <c r="CB4" s="838"/>
      <c r="CC4" s="838" t="str">
        <f>IFERROR(__xludf.DUMMYFUNCTION("""COMPUTED_VALUE"""),"Yes")</f>
        <v>Yes</v>
      </c>
      <c r="CD4" s="846">
        <f>IFERROR(__xludf.DUMMYFUNCTION("""COMPUTED_VALUE"""),0.91)</f>
        <v>0.91</v>
      </c>
      <c r="CE4" s="838" t="str">
        <f>IFERROR(__xludf.DUMMYFUNCTION("""COMPUTED_VALUE"""),"Yes")</f>
        <v>Yes</v>
      </c>
      <c r="CF4" s="838"/>
      <c r="CG4" s="838"/>
      <c r="CH4" s="838"/>
      <c r="CI4" s="846">
        <f>IFERROR(__xludf.DUMMYFUNCTION("""COMPUTED_VALUE"""),0.91)</f>
        <v>0.91</v>
      </c>
      <c r="CJ4" s="838"/>
      <c r="CK4" s="838"/>
      <c r="CL4" s="838"/>
      <c r="CM4" s="846">
        <f>IFERROR(__xludf.DUMMYFUNCTION("""COMPUTED_VALUE"""),0.87)</f>
        <v>0.87</v>
      </c>
      <c r="CN4" s="838"/>
      <c r="CO4" s="838"/>
      <c r="CP4" s="838"/>
      <c r="CQ4" s="838"/>
      <c r="CR4" s="838"/>
      <c r="CS4" s="838"/>
      <c r="CT4" s="838"/>
      <c r="CU4" s="838"/>
      <c r="CV4" s="697" t="str">
        <f>IFERROR(__xludf.DUMMYFUNCTION("""COMPUTED_VALUE"""),"Adegnika, Ayola A., Jeannot F. Zinsou, Saadou Issifou, Ulysse Ateba-Ngoa, Roland F. Kassa, Eliane N. Feugap, Yabo J.Jonkpehedji, Jean-Claude Dejon Agobe, Hilaire M. Kenguele, Marguerite Massinga-Loembe, Selodji T. Agnandji, Benjamin Mordmuller, Michael Ra"&amp;"mharter, Maria Yazdanbaksh, Peter G. Kremsner, and Bertrand Lell. ""Randomized, Controlled, Assessor-Blind Clinical Trial To Assess the Efficacy of Single- versus Repeated-Dose Albendazole To Treat Ascaris Lumbricoides, Trichuris Trichiura, and Hookworm I"&amp;"nfection."" Antimicrobial Agents and Chemotherapy 58.5 (2014): 2535-540. PubMed. Web.")</f>
        <v>Adegnika, Ayola A., Jeannot F. Zinsou, Saadou Issifou, Ulysse Ateba-Ngoa, Roland F. Kassa, Eliane N. Feugap, Yabo J.Jonkpehedji, Jean-Claude Dejon Agobe, Hilaire M. Kenguele, Marguerite Massinga-Loembe, Selodji T. Agnandji, Benjamin Mordmuller, Michael Ramharter, Maria Yazdanbaksh, Peter G. Kremsner, and Bertrand Lell. "Randomized, Controlled, Assessor-Blind Clinical Trial To Assess the Efficacy of Single- versus Repeated-Dose Albendazole To Treat Ascaris Lumbricoides, Trichuris Trichiura, and Hookworm Infection." Antimicrobial Agents and Chemotherapy 58.5 (2014): 2535-540. PubMed. Web.</v>
      </c>
    </row>
    <row r="5">
      <c r="A5" s="842" t="str">
        <f>IFERROR(__xludf.DUMMYFUNCTION("""COMPUTED_VALUE"""),"Adegnika et al.")</f>
        <v>Adegnika et al.</v>
      </c>
      <c r="B5" s="834" t="str">
        <f>IFERROR(__xludf.DUMMYFUNCTION("""COMPUTED_VALUE"""),"Gabon")</f>
        <v>Gabon</v>
      </c>
      <c r="C5" s="834" t="str">
        <f>IFERROR(__xludf.DUMMYFUNCTION("""COMPUTED_VALUE"""),"Albendazole")</f>
        <v>Albendazole</v>
      </c>
      <c r="D5" s="834" t="str">
        <f>IFERROR(__xludf.DUMMYFUNCTION("""COMPUTED_VALUE"""),"Single")</f>
        <v>Single</v>
      </c>
      <c r="E5" s="834" t="str">
        <f>IFERROR(__xludf.DUMMYFUNCTION("""COMPUTED_VALUE"""),"400 mg")</f>
        <v>400 mg</v>
      </c>
      <c r="F5" s="834">
        <f>IFERROR(__xludf.DUMMYFUNCTION("""COMPUTED_VALUE"""),58.0)</f>
        <v>58</v>
      </c>
      <c r="G5" s="834">
        <f>IFERROR(__xludf.DUMMYFUNCTION("""COMPUTED_VALUE"""),9.1)</f>
        <v>9.1</v>
      </c>
      <c r="H5" s="834" t="str">
        <f>IFERROR(__xludf.DUMMYFUNCTION("""COMPUTED_VALUE"""),"1:1 ")</f>
        <v>1:1 </v>
      </c>
      <c r="I5" s="834">
        <f>IFERROR(__xludf.DUMMYFUNCTION("""COMPUTED_VALUE"""),2011.0)</f>
        <v>2011</v>
      </c>
      <c r="J5" s="834" t="str">
        <f>IFERROR(__xludf.DUMMYFUNCTION("""COMPUTED_VALUE"""),"included: age between 4 to 14 years and a total of at least 5 eggs or larvae of any of the three intestinal helminths, namely, Ascaris lum-bricoides, Trichuris trichiura, and hookworm.
excluded: known HIV infection, allergic to albendazole, severe anemia,"&amp;" and any other underlying severe physical condition")</f>
        <v>included: age between 4 to 14 years and a total of at least 5 eggs or larvae of any of the three intestinal helminths, namely, Ascaris lum-bricoides, Trichuris trichiura, and hookworm.
excluded: known HIV infection, allergic to albendazole, severe anemia, and any other underlying severe physical condition</v>
      </c>
      <c r="K5" s="839" t="str">
        <f>IFERROR(__xludf.DUMMYFUNCTION("""COMPUTED_VALUE"""),"single-centered randomized controlled assessor-blinded clinical trial")</f>
        <v>single-centered randomized controlled assessor-blinded clinical trial</v>
      </c>
      <c r="L5" s="839" t="str">
        <f>IFERROR(__xludf.DUMMYFUNCTION("""COMPUTED_VALUE"""),"Yes")</f>
        <v>Yes</v>
      </c>
      <c r="M5" s="839" t="str">
        <f>IFERROR(__xludf.DUMMYFUNCTION("""COMPUTED_VALUE"""),"Yes")</f>
        <v>Yes</v>
      </c>
      <c r="N5" s="840">
        <f>IFERROR(__xludf.DUMMYFUNCTION("""COMPUTED_VALUE"""),0.54)</f>
        <v>0.54</v>
      </c>
      <c r="O5" s="834"/>
      <c r="P5" s="834"/>
      <c r="Q5" s="834"/>
      <c r="R5" s="840">
        <f>IFERROR(__xludf.DUMMYFUNCTION("""COMPUTED_VALUE"""),0.54)</f>
        <v>0.54</v>
      </c>
      <c r="S5" s="834"/>
      <c r="T5" s="834"/>
      <c r="U5" s="834"/>
      <c r="V5" s="834"/>
      <c r="W5" s="840">
        <f>IFERROR(__xludf.DUMMYFUNCTION("""COMPUTED_VALUE"""),0.54)</f>
        <v>0.54</v>
      </c>
      <c r="X5" s="834"/>
      <c r="Y5" s="834"/>
      <c r="Z5" s="834"/>
      <c r="AA5" s="834"/>
      <c r="AB5" s="840">
        <f>IFERROR(__xludf.DUMMYFUNCTION("""COMPUTED_VALUE"""),0.54)</f>
        <v>0.54</v>
      </c>
      <c r="AC5" s="834"/>
      <c r="AD5" s="834"/>
      <c r="AE5" s="834" t="str">
        <f>IFERROR(__xludf.DUMMYFUNCTION("""COMPUTED_VALUE"""),"They found cure and egg reduction rates with single dose ALB 400 mg treatment to be somewhat lower than rates recently reported from other regions in africa. The three dose regiman of ALB let to considerable increases in the cure rates against these helmi"&amp;"nths.")</f>
        <v>They found cure and egg reduction rates with single dose ALB 400 mg treatment to be somewhat lower than rates recently reported from other regions in africa. The three dose regiman of ALB let to considerable increases in the cure rates against these helminths.</v>
      </c>
      <c r="AF5" s="834" t="str">
        <f>IFERROR(__xludf.DUMMYFUNCTION("""COMPUTED_VALUE"""),"• Among the 175 children included in this study, multispecies infections occurred in 56% of individuals, dual infections in 45%, and triple infections in 11%. The study looked at the following infections: Ascaris lumbricoides, Trichuris trichiura, and Hoo"&amp;"kworm Infection.
")</f>
        <v>• Among the 175 children included in this study, multispecies infections occurred in 56% of individuals, dual infections in 45%, and triple infections in 11%. The study looked at the following infections: Ascaris lumbricoides, Trichuris trichiura, and Hookworm Infection.
</v>
      </c>
      <c r="AG5" s="834" t="str">
        <f>IFERROR(__xludf.DUMMYFUNCTION("""COMPUTED_VALUE"""),"Aegnika, Ayola A., Jeannot F. Zinsou, Saadou Issifou, Ulysse Ateba-Ngoa, Roland F. Kassa, Eliane N. Feugap, Yabo J. Honkpehedji, Jean-Claude Dejon Agobe, Hilaire M. Kenguele, Marguerite Massinga-Loembe, Slidji T. Agnandji, Benjamin Mordmuller, Michael Ram"&amp;"harter, Maria Yazdanbakhsh, Peter G. Kremsner, and Bertrand Lell. ""Randomized Controlled, Assessor-Blind Clinical Trial to Assess the Efficacy of Single- versus Repeated Dose Albendazoleto Treat Ascaris Lumbricoides, Trichuris Trichiura, and Hookworm Inf"&amp;"ection."" Antimicrobial Agents and Chemotherapy 58.5 (2014): 2535-540. Web.")</f>
        <v>Aegnika, Ayola A., Jeannot F. Zinsou, Saadou Issifou, Ulysse Ateba-Ngoa, Roland F. Kassa, Eliane N. Feugap, Yabo J. Honkpehedji, Jean-Claude Dejon Agobe, Hilaire M. Kenguele, Marguerite Massinga-Loembe, Slidji T. Agnandji, Benjamin Mordmuller, Michael Ramharter, Maria Yazdanbakhsh, Peter G. Kremsner, and Bertrand Lell. "Randomized Controlled, Assessor-Blind Clinical Trial to Assess the Efficacy of Single- versus Repeated Dose Albendazoleto Treat Ascaris Lumbricoides, Trichuris Trichiura, and Hookworm Infection." Antimicrobial Agents and Chemotherapy 58.5 (2014): 2535-540. Web.</v>
      </c>
      <c r="AH5" s="834"/>
      <c r="AJ5" s="843" t="str">
        <f>IFERROR(__xludf.DUMMYFUNCTION("""COMPUTED_VALUE"""),"Albonico et al.")</f>
        <v>Albonico et al.</v>
      </c>
      <c r="AK5" s="836" t="str">
        <f>IFERROR(__xludf.DUMMYFUNCTION("""COMPUTED_VALUE"""),"Albonico, Marco, Pragya Mathema, Antonio Montresor, Balkrishna Khakurel, Valerio Reggi, Sharada Pandey, and Lorenzo Savioli. ""Comparative Study of the Quality and Efficacy of Originator and Generic Albendazolefor Mass Treatment of Soil Transmitted Nemato"&amp;"de Infections in Nepal."" Transactions of the Royal Society of Tropical Medicine and Hygiene 101 (2007): 454-60. Web.")</f>
        <v>Albonico, Marco, Pragya Mathema, Antonio Montresor, Balkrishna Khakurel, Valerio Reggi, Sharada Pandey, and Lorenzo Savioli. "Comparative Study of the Quality and Efficacy of Originator and Generic Albendazolefor Mass Treatment of Soil Transmitted Nematode Infections in Nepal." Transactions of the Royal Society of Tropical Medicine and Hygiene 101 (2007): 454-60. Web.</v>
      </c>
      <c r="AL5" s="836" t="str">
        <f>IFERROR(__xludf.DUMMYFUNCTION("""COMPUTED_VALUE"""),"Nepal")</f>
        <v>Nepal</v>
      </c>
      <c r="AM5" s="836" t="str">
        <f>IFERROR(__xludf.DUMMYFUNCTION("""COMPUTED_VALUE"""),"Albendazole")</f>
        <v>Albendazole</v>
      </c>
      <c r="AN5" s="836" t="str">
        <f>IFERROR(__xludf.DUMMYFUNCTION("""COMPUTED_VALUE"""),"Single")</f>
        <v>Single</v>
      </c>
      <c r="AO5" s="836" t="str">
        <f>IFERROR(__xludf.DUMMYFUNCTION("""COMPUTED_VALUE"""),"400 mg")</f>
        <v>400 mg</v>
      </c>
      <c r="AP5" s="836">
        <f>IFERROR(__xludf.DUMMYFUNCTION("""COMPUTED_VALUE"""),429.0)</f>
        <v>429</v>
      </c>
      <c r="AQ5" s="836">
        <f>IFERROR(__xludf.DUMMYFUNCTION("""COMPUTED_VALUE"""),11.6)</f>
        <v>11.6</v>
      </c>
      <c r="AR5" s="836" t="str">
        <f>IFERROR(__xludf.DUMMYFUNCTION("""COMPUTED_VALUE"""),"Male:53.4%")</f>
        <v>Male:53.4%</v>
      </c>
      <c r="AS5" s="836">
        <f>IFERROR(__xludf.DUMMYFUNCTION("""COMPUTED_VALUE"""),2004.0)</f>
        <v>2004</v>
      </c>
      <c r="AT5" s="836" t="str">
        <f>IFERROR(__xludf.DUMMYFUNCTION("""COMPUTED_VALUE"""),"Children were excluded to the trial if they were too sick (severe diarrhoea, severe anaemia, high fever), did not have parental/guardian permission to participate or did not provide stool sample")</f>
        <v>Children were excluded to the trial if they were too sick (severe diarrhoea, severe anaemia, high fever), did not have parental/guardian permission to participate or did not provide stool sample</v>
      </c>
      <c r="AU5" s="836" t="str">
        <f>IFERROR(__xludf.DUMMYFUNCTION("""COMPUTED_VALUE"""),"Yes")</f>
        <v>Yes</v>
      </c>
      <c r="AV5" s="836" t="str">
        <f>IFERROR(__xludf.DUMMYFUNCTION("""COMPUTED_VALUE"""),"Yes")</f>
        <v>Yes</v>
      </c>
      <c r="AW5" s="836" t="str">
        <f>IFERROR(__xludf.DUMMYFUNCTION("""COMPUTED_VALUE"""),"randomized single blind trial")</f>
        <v>randomized single blind trial</v>
      </c>
      <c r="AX5" s="841">
        <f>IFERROR(__xludf.DUMMYFUNCTION("""COMPUTED_VALUE"""),0.286)</f>
        <v>0.286</v>
      </c>
      <c r="AY5" s="836"/>
      <c r="AZ5" s="841">
        <f>IFERROR(__xludf.DUMMYFUNCTION("""COMPUTED_VALUE"""),0.286)</f>
        <v>0.286</v>
      </c>
      <c r="BA5" s="836"/>
      <c r="BB5" s="836"/>
      <c r="BC5" s="836"/>
      <c r="BD5" s="836"/>
      <c r="BE5" s="836"/>
      <c r="BF5" s="836"/>
      <c r="BG5" s="836"/>
      <c r="BH5" s="841">
        <f>IFERROR(__xludf.DUMMYFUNCTION("""COMPUTED_VALUE"""),0.717)</f>
        <v>0.717</v>
      </c>
      <c r="BI5" s="836"/>
      <c r="BJ5" s="836"/>
      <c r="BK5" s="836"/>
      <c r="BL5" s="836"/>
      <c r="BM5" s="836"/>
      <c r="BN5" s="836"/>
      <c r="BO5" s="836" t="str">
        <f>IFERROR(__xludf.DUMMYFUNCTION("""COMPUTED_VALUE"""),"Kato-Katz Method, GSK ABZ")</f>
        <v>Kato-Katz Method, GSK ABZ</v>
      </c>
      <c r="BP5" s="836"/>
      <c r="BQ5" s="697">
        <f>IFERROR(__xludf.DUMMYFUNCTION("""COMPUTED_VALUE"""),4.0)</f>
        <v>4</v>
      </c>
      <c r="BR5" s="844" t="str">
        <f>IFERROR(__xludf.DUMMYFUNCTION("""COMPUTED_VALUE"""),"Adgenika et al.")</f>
        <v>Adgenika et al.</v>
      </c>
      <c r="BS5" s="838" t="str">
        <f>IFERROR(__xludf.DUMMYFUNCTION("""COMPUTED_VALUE"""),"Gabon")</f>
        <v>Gabon</v>
      </c>
      <c r="BT5" s="838" t="str">
        <f>IFERROR(__xludf.DUMMYFUNCTION("""COMPUTED_VALUE"""),"Albendazole")</f>
        <v>Albendazole</v>
      </c>
      <c r="BU5" s="838"/>
      <c r="BV5" s="838" t="str">
        <f>IFERROR(__xludf.DUMMYFUNCTION("""COMPUTED_VALUE"""),"Three")</f>
        <v>Three</v>
      </c>
      <c r="BW5" s="838" t="str">
        <f>IFERROR(__xludf.DUMMYFUNCTION("""COMPUTED_VALUE"""),"400 mg ")</f>
        <v>400 mg </v>
      </c>
      <c r="BX5" s="838">
        <f>IFERROR(__xludf.DUMMYFUNCTION("""COMPUTED_VALUE"""),37.0)</f>
        <v>37</v>
      </c>
      <c r="BY5" s="845">
        <f>IFERROR(__xludf.DUMMYFUNCTION("""COMPUTED_VALUE"""),42474.0)</f>
        <v>42474</v>
      </c>
      <c r="BZ5" s="838">
        <f>IFERROR(__xludf.DUMMYFUNCTION("""COMPUTED_VALUE"""),2011.0)</f>
        <v>2011</v>
      </c>
      <c r="CA5" s="838" t="str">
        <f>IFERROR(__xludf.DUMMYFUNCTION("""COMPUTED_VALUE"""),"1:9")</f>
        <v>1:9</v>
      </c>
      <c r="CB5" s="838"/>
      <c r="CC5" s="838" t="str">
        <f>IFERROR(__xludf.DUMMYFUNCTION("""COMPUTED_VALUE"""),"Yes")</f>
        <v>Yes</v>
      </c>
      <c r="CD5" s="846">
        <f>IFERROR(__xludf.DUMMYFUNCTION("""COMPUTED_VALUE"""),0.92)</f>
        <v>0.92</v>
      </c>
      <c r="CE5" s="838" t="str">
        <f>IFERROR(__xludf.DUMMYFUNCTION("""COMPUTED_VALUE"""),"Yes")</f>
        <v>Yes</v>
      </c>
      <c r="CF5" s="838"/>
      <c r="CG5" s="838"/>
      <c r="CH5" s="838"/>
      <c r="CI5" s="846">
        <f>IFERROR(__xludf.DUMMYFUNCTION("""COMPUTED_VALUE"""),0.92)</f>
        <v>0.92</v>
      </c>
      <c r="CJ5" s="838"/>
      <c r="CK5" s="838"/>
      <c r="CL5" s="838"/>
      <c r="CM5" s="847">
        <f>IFERROR(__xludf.DUMMYFUNCTION("""COMPUTED_VALUE"""),0.99)</f>
        <v>0.99</v>
      </c>
      <c r="CN5" s="838"/>
      <c r="CO5" s="838"/>
      <c r="CP5" s="838"/>
      <c r="CQ5" s="838"/>
      <c r="CR5" s="838"/>
      <c r="CS5" s="838"/>
      <c r="CT5" s="838"/>
      <c r="CU5" s="838"/>
      <c r="CV5" s="697" t="str">
        <f>IFERROR(__xludf.DUMMYFUNCTION("""COMPUTED_VALUE"""),"Adegnika, Ayola A., Jeannot F. Zinsou, Saadou Issifou, Ulysse Ateba-Ngoa, Roland F. Kassa, Eliane N. Feugap, Yabo J.Jonkpehedji, Jean-Claude Dejon Agobe, Hilaire M. Kenguele, Marguerite Massinga-Loembe, Selodji T. Agnandji, Benjamin Mordmuller, Michael Ra"&amp;"mharter, Maria Yazdanbaksh, Peter G. Kremsner, and Bertrand Lell. ""Randomized, Controlled, Assessor-Blind Clinical Trial To Assess the Efficacy of Single- versus Repeated-Dose Albendazole To Treat Ascaris Lumbricoides, Trichuris Trichiura, and Hookworm I"&amp;"nfection."" Antimicrobial Agents and Chemotherapy 58.5 (2014): 2535-540. PubMed. Web.")</f>
        <v>Adegnika, Ayola A., Jeannot F. Zinsou, Saadou Issifou, Ulysse Ateba-Ngoa, Roland F. Kassa, Eliane N. Feugap, Yabo J.Jonkpehedji, Jean-Claude Dejon Agobe, Hilaire M. Kenguele, Marguerite Massinga-Loembe, Selodji T. Agnandji, Benjamin Mordmuller, Michael Ramharter, Maria Yazdanbaksh, Peter G. Kremsner, and Bertrand Lell. "Randomized, Controlled, Assessor-Blind Clinical Trial To Assess the Efficacy of Single- versus Repeated-Dose Albendazole To Treat Ascaris Lumbricoides, Trichuris Trichiura, and Hookworm Infection." Antimicrobial Agents and Chemotherapy 58.5 (2014): 2535-540. PubMed. Web.</v>
      </c>
    </row>
    <row r="6">
      <c r="A6" s="842" t="str">
        <f>IFERROR(__xludf.DUMMYFUNCTION("""COMPUTED_VALUE"""),"Adegnika et al.")</f>
        <v>Adegnika et al.</v>
      </c>
      <c r="B6" s="834" t="str">
        <f>IFERROR(__xludf.DUMMYFUNCTION("""COMPUTED_VALUE"""),"Gabon")</f>
        <v>Gabon</v>
      </c>
      <c r="C6" s="834" t="str">
        <f>IFERROR(__xludf.DUMMYFUNCTION("""COMPUTED_VALUE"""),"Albendazole")</f>
        <v>Albendazole</v>
      </c>
      <c r="D6" s="834" t="str">
        <f>IFERROR(__xludf.DUMMYFUNCTION("""COMPUTED_VALUE"""),"Two")</f>
        <v>Two</v>
      </c>
      <c r="E6" s="834" t="str">
        <f>IFERROR(__xludf.DUMMYFUNCTION("""COMPUTED_VALUE"""),"400 mg")</f>
        <v>400 mg</v>
      </c>
      <c r="F6" s="834">
        <f>IFERROR(__xludf.DUMMYFUNCTION("""COMPUTED_VALUE"""),53.0)</f>
        <v>53</v>
      </c>
      <c r="G6" s="834">
        <f>IFERROR(__xludf.DUMMYFUNCTION("""COMPUTED_VALUE"""),8.9)</f>
        <v>8.9</v>
      </c>
      <c r="H6" s="834" t="str">
        <f>IFERROR(__xludf.DUMMYFUNCTION("""COMPUTED_VALUE"""),"1:1")</f>
        <v>1:1</v>
      </c>
      <c r="I6" s="834">
        <f>IFERROR(__xludf.DUMMYFUNCTION("""COMPUTED_VALUE"""),2011.0)</f>
        <v>2011</v>
      </c>
      <c r="J6" s="834" t="str">
        <f>IFERROR(__xludf.DUMMYFUNCTION("""COMPUTED_VALUE"""),"included: age between 4 to 14 years and a total of at least 5 eggs or larvae of any of the three intestinal helminths, namely, Ascaris lum-bricoides, Trichuris trichiura, and hookworm.
excluded: known HIV infection, allergic to albendazole, severe anemia,"&amp;" and any other underlying severe physical condition")</f>
        <v>included: age between 4 to 14 years and a total of at least 5 eggs or larvae of any of the three intestinal helminths, namely, Ascaris lum-bricoides, Trichuris trichiura, and hookworm.
excluded: known HIV infection, allergic to albendazole, severe anemia, and any other underlying severe physical condition</v>
      </c>
      <c r="K6" s="839" t="str">
        <f>IFERROR(__xludf.DUMMYFUNCTION("""COMPUTED_VALUE"""),"single-centered randomized controlled assessor-blinded clinical trial")</f>
        <v>single-centered randomized controlled assessor-blinded clinical trial</v>
      </c>
      <c r="L6" s="839" t="str">
        <f>IFERROR(__xludf.DUMMYFUNCTION("""COMPUTED_VALUE"""),"Yes")</f>
        <v>Yes</v>
      </c>
      <c r="M6" s="839" t="str">
        <f>IFERROR(__xludf.DUMMYFUNCTION("""COMPUTED_VALUE"""),"Yes")</f>
        <v>Yes</v>
      </c>
      <c r="N6" s="840">
        <f>IFERROR(__xludf.DUMMYFUNCTION("""COMPUTED_VALUE"""),0.92)</f>
        <v>0.92</v>
      </c>
      <c r="O6" s="834"/>
      <c r="P6" s="834"/>
      <c r="Q6" s="834"/>
      <c r="R6" s="840">
        <f>IFERROR(__xludf.DUMMYFUNCTION("""COMPUTED_VALUE"""),0.92)</f>
        <v>0.92</v>
      </c>
      <c r="S6" s="834"/>
      <c r="T6" s="834"/>
      <c r="U6" s="834"/>
      <c r="V6" s="834"/>
      <c r="W6" s="840">
        <f>IFERROR(__xludf.DUMMYFUNCTION("""COMPUTED_VALUE"""),0.92)</f>
        <v>0.92</v>
      </c>
      <c r="X6" s="834"/>
      <c r="Y6" s="834"/>
      <c r="Z6" s="834"/>
      <c r="AA6" s="834"/>
      <c r="AB6" s="840">
        <f>IFERROR(__xludf.DUMMYFUNCTION("""COMPUTED_VALUE"""),0.92)</f>
        <v>0.92</v>
      </c>
      <c r="AC6" s="834"/>
      <c r="AD6" s="834"/>
      <c r="AE6" s="834" t="str">
        <f>IFERROR(__xludf.DUMMYFUNCTION("""COMPUTED_VALUE"""),"They found cure and egg reduction rates with single dose ALB 400 mg treatment to be somewhat lower than rates recently reported from other regions in africa. The three dose regiman of ALB let to considerable increases in the cure rates against these helmi"&amp;"nths.")</f>
        <v>They found cure and egg reduction rates with single dose ALB 400 mg treatment to be somewhat lower than rates recently reported from other regions in africa. The three dose regiman of ALB let to considerable increases in the cure rates against these helminths.</v>
      </c>
      <c r="AF6" s="834" t="str">
        <f>IFERROR(__xludf.DUMMYFUNCTION("""COMPUTED_VALUE"""),"• Among the 175 children included in this study, multispecies infections occurred in 56% of individuals, dual infections in 45%, and triple infections in 11%. Teh study looked at the following infections: Ascaris lumbricoides, Trichuris trichiura, and Hoo"&amp;"kworm Infection.
• Single dose over 2 days")</f>
        <v>• Among the 175 children included in this study, multispecies infections occurred in 56% of individuals, dual infections in 45%, and triple infections in 11%. Teh study looked at the following infections: Ascaris lumbricoides, Trichuris trichiura, and Hookworm Infection.
• Single dose over 2 days</v>
      </c>
      <c r="AG6" s="834" t="str">
        <f>IFERROR(__xludf.DUMMYFUNCTION("""COMPUTED_VALUE"""),"Aegnika, Ayola A., Jeannot F. Zinsou, Saadou Issifou, Ulysse Ateba-Ngoa, Roland F. Kassa, Eliane N. Feugap, Yabo J. Honkpehedji, Jean-Claude Dejon Agobe, Hilaire M. Kenguele, Marguerite Massinga-Loembe, Slidji T. Agnandji, Benjamin Mordmuller, Michael Ram"&amp;"harter, Maria Yazdanbakhsh, Peter G. Kremsner, and Bertrand Lell. ""Randomized Controlled, Assessor-Blind Clinical Trial to Assess the Efficacy of Single- versus Repeated Dose Albendazoleto Treat Ascaris Lumbricoides, Trichuris Trichiura, and Hookworm Inf"&amp;"ection."" Antimicrobial Agents and Chemotherapy 58.5 (2014): 2535-540. Web.")</f>
        <v>Aegnika, Ayola A., Jeannot F. Zinsou, Saadou Issifou, Ulysse Ateba-Ngoa, Roland F. Kassa, Eliane N. Feugap, Yabo J. Honkpehedji, Jean-Claude Dejon Agobe, Hilaire M. Kenguele, Marguerite Massinga-Loembe, Slidji T. Agnandji, Benjamin Mordmuller, Michael Ramharter, Maria Yazdanbakhsh, Peter G. Kremsner, and Bertrand Lell. "Randomized Controlled, Assessor-Blind Clinical Trial to Assess the Efficacy of Single- versus Repeated Dose Albendazoleto Treat Ascaris Lumbricoides, Trichuris Trichiura, and Hookworm Infection." Antimicrobial Agents and Chemotherapy 58.5 (2014): 2535-540. Web.</v>
      </c>
      <c r="AH6" s="834"/>
      <c r="AJ6" s="843" t="str">
        <f>IFERROR(__xludf.DUMMYFUNCTION("""COMPUTED_VALUE"""),"Albonico et al.")</f>
        <v>Albonico et al.</v>
      </c>
      <c r="AK6" s="836"/>
      <c r="AL6" s="836" t="str">
        <f>IFERROR(__xludf.DUMMYFUNCTION("""COMPUTED_VALUE"""),"Nepal")</f>
        <v>Nepal</v>
      </c>
      <c r="AM6" s="836" t="str">
        <f>IFERROR(__xludf.DUMMYFUNCTION("""COMPUTED_VALUE"""),"Albendazole")</f>
        <v>Albendazole</v>
      </c>
      <c r="AN6" s="836" t="str">
        <f>IFERROR(__xludf.DUMMYFUNCTION("""COMPUTED_VALUE"""),"Single")</f>
        <v>Single</v>
      </c>
      <c r="AO6" s="836" t="str">
        <f>IFERROR(__xludf.DUMMYFUNCTION("""COMPUTED_VALUE"""),"400 mg")</f>
        <v>400 mg</v>
      </c>
      <c r="AP6" s="836">
        <f>IFERROR(__xludf.DUMMYFUNCTION("""COMPUTED_VALUE"""),419.0)</f>
        <v>419</v>
      </c>
      <c r="AQ6" s="836">
        <f>IFERROR(__xludf.DUMMYFUNCTION("""COMPUTED_VALUE"""),11.6)</f>
        <v>11.6</v>
      </c>
      <c r="AR6" s="836" t="str">
        <f>IFERROR(__xludf.DUMMYFUNCTION("""COMPUTED_VALUE"""),"Male:53.4%")</f>
        <v>Male:53.4%</v>
      </c>
      <c r="AS6" s="836">
        <f>IFERROR(__xludf.DUMMYFUNCTION("""COMPUTED_VALUE"""),2004.0)</f>
        <v>2004</v>
      </c>
      <c r="AT6" s="836" t="str">
        <f>IFERROR(__xludf.DUMMYFUNCTION("""COMPUTED_VALUE"""),"Children were excluded to the trial if they were too sick (severe diarrhoea, severe anaemia, high fever), did not have parental/guardian permission to participate or did not provide stool sample")</f>
        <v>Children were excluded to the trial if they were too sick (severe diarrhoea, severe anaemia, high fever), did not have parental/guardian permission to participate or did not provide stool sample</v>
      </c>
      <c r="AU6" s="836" t="str">
        <f>IFERROR(__xludf.DUMMYFUNCTION("""COMPUTED_VALUE"""),"Yes")</f>
        <v>Yes</v>
      </c>
      <c r="AV6" s="836" t="str">
        <f>IFERROR(__xludf.DUMMYFUNCTION("""COMPUTED_VALUE"""),"Yes")</f>
        <v>Yes</v>
      </c>
      <c r="AW6" s="836" t="str">
        <f>IFERROR(__xludf.DUMMYFUNCTION("""COMPUTED_VALUE"""),"randomized single blind trial")</f>
        <v>randomized single blind trial</v>
      </c>
      <c r="AX6" s="841">
        <f>IFERROR(__xludf.DUMMYFUNCTION("""COMPUTED_VALUE"""),0.266)</f>
        <v>0.266</v>
      </c>
      <c r="AY6" s="836"/>
      <c r="AZ6" s="841">
        <f>IFERROR(__xludf.DUMMYFUNCTION("""COMPUTED_VALUE"""),0.266)</f>
        <v>0.266</v>
      </c>
      <c r="BA6" s="836"/>
      <c r="BB6" s="836"/>
      <c r="BC6" s="836"/>
      <c r="BD6" s="836"/>
      <c r="BE6" s="836"/>
      <c r="BF6" s="836"/>
      <c r="BG6" s="836"/>
      <c r="BH6" s="841">
        <f>IFERROR(__xludf.DUMMYFUNCTION("""COMPUTED_VALUE"""),0.714)</f>
        <v>0.714</v>
      </c>
      <c r="BI6" s="836"/>
      <c r="BJ6" s="836"/>
      <c r="BK6" s="836"/>
      <c r="BL6" s="836"/>
      <c r="BM6" s="836"/>
      <c r="BN6" s="836"/>
      <c r="BO6" s="836" t="str">
        <f>IFERROR(__xludf.DUMMYFUNCTION("""COMPUTED_VALUE"""),"Royal")</f>
        <v>Royal</v>
      </c>
      <c r="BP6" s="836"/>
      <c r="BQ6" s="697">
        <f>IFERROR(__xludf.DUMMYFUNCTION("""COMPUTED_VALUE"""),5.0)</f>
        <v>5</v>
      </c>
      <c r="BR6" s="844" t="str">
        <f>IFERROR(__xludf.DUMMYFUNCTION("""COMPUTED_VALUE"""),"Diawara et al.")</f>
        <v>Diawara et al.</v>
      </c>
      <c r="BS6" s="838" t="str">
        <f>IFERROR(__xludf.DUMMYFUNCTION("""COMPUTED_VALUE"""),"Haiti")</f>
        <v>Haiti</v>
      </c>
      <c r="BT6" s="838" t="str">
        <f>IFERROR(__xludf.DUMMYFUNCTION("""COMPUTED_VALUE"""),"Albendazole &amp; Diethylcarbamazine")</f>
        <v>Albendazole &amp; Diethylcarbamazine</v>
      </c>
      <c r="BU6" s="838"/>
      <c r="BV6" s="838" t="str">
        <f>IFERROR(__xludf.DUMMYFUNCTION("""COMPUTED_VALUE"""),"Single")</f>
        <v>Single</v>
      </c>
      <c r="BW6" s="838" t="str">
        <f>IFERROR(__xludf.DUMMYFUNCTION("""COMPUTED_VALUE"""),"400 mg; 6 mg")</f>
        <v>400 mg; 6 mg</v>
      </c>
      <c r="BX6" s="838">
        <f>IFERROR(__xludf.DUMMYFUNCTION("""COMPUTED_VALUE"""),317.0)</f>
        <v>317</v>
      </c>
      <c r="BY6" s="838" t="str">
        <f>IFERROR(__xludf.DUMMYFUNCTION("""COMPUTED_VALUE"""),"2+")</f>
        <v>2+</v>
      </c>
      <c r="BZ6" s="838">
        <f>IFERROR(__xludf.DUMMYFUNCTION("""COMPUTED_VALUE"""),2009.0)</f>
        <v>2009</v>
      </c>
      <c r="CA6" s="838"/>
      <c r="CB6" s="838"/>
      <c r="CC6" s="838" t="str">
        <f>IFERROR(__xludf.DUMMYFUNCTION("""COMPUTED_VALUE"""),"No")</f>
        <v>No</v>
      </c>
      <c r="CD6" s="838"/>
      <c r="CE6" s="838" t="str">
        <f>IFERROR(__xludf.DUMMYFUNCTION("""COMPUTED_VALUE"""),"No")</f>
        <v>No</v>
      </c>
      <c r="CF6" s="838"/>
      <c r="CG6" s="838"/>
      <c r="CH6" s="838"/>
      <c r="CI6" s="838"/>
      <c r="CJ6" s="838"/>
      <c r="CK6" s="838"/>
      <c r="CL6" s="838"/>
      <c r="CM6" s="847">
        <f>IFERROR(__xludf.DUMMYFUNCTION("""COMPUTED_VALUE"""),0.999)</f>
        <v>0.999</v>
      </c>
      <c r="CN6" s="838"/>
      <c r="CO6" s="838"/>
      <c r="CP6" s="838"/>
      <c r="CQ6" s="838"/>
      <c r="CR6" s="838"/>
      <c r="CS6" s="838"/>
      <c r="CT6" s="838" t="str">
        <f>IFERROR(__xludf.DUMMYFUNCTION("""COMPUTED_VALUE"""),"McMaster")</f>
        <v>McMaster</v>
      </c>
      <c r="CU6" s="838"/>
      <c r="CV6" s="697" t="str">
        <f>IFERROR(__xludf.DUMMYFUNCTION("""COMPUTED_VALUE"""),"Diawara, Aissatou, Carli M. Halpenny, Thomas S. Churcher, Charles Mwandawiro, Jimmy Kihara, Ray M. Kaplan, Thomas G. Streit, Youssef Idaghdour, Marilyn E. Scott, Maria-Gloria Basanez, and Roger K. Prichard. ""Association between Response to Albendazole Tr"&amp;"eatment and B-Tubulin Genotype Frequencies in Soil- Transmitted Helminths."" PLOS Neglected Tropical Diseases 7.5 (2013): 1-11. Web.")</f>
        <v>Diawara, Aissatou, Carli M. Halpenny, Thomas S. Churcher, Charles Mwandawiro, Jimmy Kihara, Ray M. Kaplan, Thomas G. Streit, Youssef Idaghdour, Marilyn E. Scott, Maria-Gloria Basanez, and Roger K. Prichard. "Association between Response to Albendazole Treatment and B-Tubulin Genotype Frequencies in Soil- Transmitted Helminths." PLOS Neglected Tropical Diseases 7.5 (2013): 1-11. Web.</v>
      </c>
    </row>
    <row r="7">
      <c r="A7" s="842" t="str">
        <f>IFERROR(__xludf.DUMMYFUNCTION("""COMPUTED_VALUE"""),"Adegnika et al.")</f>
        <v>Adegnika et al.</v>
      </c>
      <c r="B7" s="834" t="str">
        <f>IFERROR(__xludf.DUMMYFUNCTION("""COMPUTED_VALUE"""),"Gabon")</f>
        <v>Gabon</v>
      </c>
      <c r="C7" s="834" t="str">
        <f>IFERROR(__xludf.DUMMYFUNCTION("""COMPUTED_VALUE"""),"Albendazole")</f>
        <v>Albendazole</v>
      </c>
      <c r="D7" s="834" t="str">
        <f>IFERROR(__xludf.DUMMYFUNCTION("""COMPUTED_VALUE"""),"Three")</f>
        <v>Three</v>
      </c>
      <c r="E7" s="834" t="str">
        <f>IFERROR(__xludf.DUMMYFUNCTION("""COMPUTED_VALUE"""),"400 mg")</f>
        <v>400 mg</v>
      </c>
      <c r="F7" s="834">
        <f>IFERROR(__xludf.DUMMYFUNCTION("""COMPUTED_VALUE"""),64.0)</f>
        <v>64</v>
      </c>
      <c r="G7" s="834">
        <f>IFERROR(__xludf.DUMMYFUNCTION("""COMPUTED_VALUE"""),8.2)</f>
        <v>8.2</v>
      </c>
      <c r="H7" s="834" t="str">
        <f>IFERROR(__xludf.DUMMYFUNCTION("""COMPUTED_VALUE"""),"1:9")</f>
        <v>1:9</v>
      </c>
      <c r="I7" s="834">
        <f>IFERROR(__xludf.DUMMYFUNCTION("""COMPUTED_VALUE"""),2011.0)</f>
        <v>2011</v>
      </c>
      <c r="J7" s="834" t="str">
        <f>IFERROR(__xludf.DUMMYFUNCTION("""COMPUTED_VALUE"""),"included: age between 4 to 14 years and a total of at least 5 eggs or larvae of any of the three intestinal helminths, namely, Ascaris lum-bricoides, Trichuris trichiura, and hookworm.
excluded: known HIV infection, allergic to albendazole, severe anemia,"&amp;" and any other underlying severe physical condition")</f>
        <v>included: age between 4 to 14 years and a total of at least 5 eggs or larvae of any of the three intestinal helminths, namely, Ascaris lum-bricoides, Trichuris trichiura, and hookworm.
excluded: known HIV infection, allergic to albendazole, severe anemia, and any other underlying severe physical condition</v>
      </c>
      <c r="K7" s="839" t="str">
        <f>IFERROR(__xludf.DUMMYFUNCTION("""COMPUTED_VALUE"""),"single-centered randomized controlled assessor-blinded clinical trial")</f>
        <v>single-centered randomized controlled assessor-blinded clinical trial</v>
      </c>
      <c r="L7" s="839" t="str">
        <f>IFERROR(__xludf.DUMMYFUNCTION("""COMPUTED_VALUE"""),"Yes")</f>
        <v>Yes</v>
      </c>
      <c r="M7" s="839" t="str">
        <f>IFERROR(__xludf.DUMMYFUNCTION("""COMPUTED_VALUE"""),"Yes")</f>
        <v>Yes</v>
      </c>
      <c r="N7" s="840">
        <f>IFERROR(__xludf.DUMMYFUNCTION("""COMPUTED_VALUE"""),0.93)</f>
        <v>0.93</v>
      </c>
      <c r="O7" s="834"/>
      <c r="P7" s="834"/>
      <c r="Q7" s="834"/>
      <c r="R7" s="840">
        <f>IFERROR(__xludf.DUMMYFUNCTION("""COMPUTED_VALUE"""),0.93)</f>
        <v>0.93</v>
      </c>
      <c r="S7" s="834"/>
      <c r="T7" s="834"/>
      <c r="U7" s="834"/>
      <c r="V7" s="834"/>
      <c r="W7" s="840">
        <f>IFERROR(__xludf.DUMMYFUNCTION("""COMPUTED_VALUE"""),0.93)</f>
        <v>0.93</v>
      </c>
      <c r="X7" s="834"/>
      <c r="Y7" s="834"/>
      <c r="Z7" s="834"/>
      <c r="AA7" s="834"/>
      <c r="AB7" s="840">
        <f>IFERROR(__xludf.DUMMYFUNCTION("""COMPUTED_VALUE"""),0.93)</f>
        <v>0.93</v>
      </c>
      <c r="AC7" s="834"/>
      <c r="AD7" s="834"/>
      <c r="AE7" s="834" t="str">
        <f>IFERROR(__xludf.DUMMYFUNCTION("""COMPUTED_VALUE"""),"They found cure and egg reduction rates with single dose ALB 400 mg treatment to be somewhat lower than rates recently reported from other regions in africa. The three dose regiman of ALB let to considerable increases in the cure rates against these helmi"&amp;"nths.")</f>
        <v>They found cure and egg reduction rates with single dose ALB 400 mg treatment to be somewhat lower than rates recently reported from other regions in africa. The three dose regiman of ALB let to considerable increases in the cure rates against these helminths.</v>
      </c>
      <c r="AF7" s="834" t="str">
        <f>IFERROR(__xludf.DUMMYFUNCTION("""COMPUTED_VALUE"""),"• Among the 175 children included in this study, multispecies infections occurred in 56% of individuals, dual infections in 45%, and triple infections in 11%. Teh study looked at the following infections: Ascaris lumbricoides, Trichuris trichiura, and Hoo"&amp;"kworm Infection.
• Single dose over 3 days")</f>
        <v>• Among the 175 children included in this study, multispecies infections occurred in 56% of individuals, dual infections in 45%, and triple infections in 11%. Teh study looked at the following infections: Ascaris lumbricoides, Trichuris trichiura, and Hookworm Infection.
• Single dose over 3 days</v>
      </c>
      <c r="AG7" s="834" t="str">
        <f>IFERROR(__xludf.DUMMYFUNCTION("""COMPUTED_VALUE"""),"Aegnika, Ayola A., Jeannot F. Zinsou, Saadou Issifou, Ulysse Ateba-Ngoa, Roland F. Kassa, Eliane N. Feugap, Yabo J. Honkpehedji, Jean-Claude Dejon Agobe, Hilaire M. Kenguele, Marguerite Massinga-Loembe, Slidji T. Agnandji, Benjamin Mordmuller, Michael Ram"&amp;"harter, Maria Yazdanbakhsh, Peter G. Kremsner, and Bertrand Lell. ""Randomized Controlled, Assessor-Blind Clinical Trial to Assess the Efficacy of Single- versus Repeated Dose Albendazoleto Treat Ascaris Lumbricoides, Trichuris Trichiura, and Hookworm Inf"&amp;"ection."" Antimicrobial Agents and Chemotherapy 58.5 (2014): 2535-540. Web.")</f>
        <v>Aegnika, Ayola A., Jeannot F. Zinsou, Saadou Issifou, Ulysse Ateba-Ngoa, Roland F. Kassa, Eliane N. Feugap, Yabo J. Honkpehedji, Jean-Claude Dejon Agobe, Hilaire M. Kenguele, Marguerite Massinga-Loembe, Slidji T. Agnandji, Benjamin Mordmuller, Michael Ramharter, Maria Yazdanbakhsh, Peter G. Kremsner, and Bertrand Lell. "Randomized Controlled, Assessor-Blind Clinical Trial to Assess the Efficacy of Single- versus Repeated Dose Albendazoleto Treat Ascaris Lumbricoides, Trichuris Trichiura, and Hookworm Infection." Antimicrobial Agents and Chemotherapy 58.5 (2014): 2535-540. Web.</v>
      </c>
      <c r="AH7" s="834"/>
      <c r="AJ7" s="843" t="str">
        <f>IFERROR(__xludf.DUMMYFUNCTION("""COMPUTED_VALUE"""),"Albonico et al.")</f>
        <v>Albonico et al.</v>
      </c>
      <c r="AK7" s="836"/>
      <c r="AL7" s="836" t="str">
        <f>IFERROR(__xludf.DUMMYFUNCTION("""COMPUTED_VALUE"""),"Nepal")</f>
        <v>Nepal</v>
      </c>
      <c r="AM7" s="836" t="str">
        <f>IFERROR(__xludf.DUMMYFUNCTION("""COMPUTED_VALUE"""),"Albendazole")</f>
        <v>Albendazole</v>
      </c>
      <c r="AN7" s="836" t="str">
        <f>IFERROR(__xludf.DUMMYFUNCTION("""COMPUTED_VALUE"""),"Single")</f>
        <v>Single</v>
      </c>
      <c r="AO7" s="836" t="str">
        <f>IFERROR(__xludf.DUMMYFUNCTION("""COMPUTED_VALUE"""),"400 mg")</f>
        <v>400 mg</v>
      </c>
      <c r="AP7" s="836">
        <f>IFERROR(__xludf.DUMMYFUNCTION("""COMPUTED_VALUE"""),429.0)</f>
        <v>429</v>
      </c>
      <c r="AQ7" s="836">
        <f>IFERROR(__xludf.DUMMYFUNCTION("""COMPUTED_VALUE"""),11.6)</f>
        <v>11.6</v>
      </c>
      <c r="AR7" s="836" t="str">
        <f>IFERROR(__xludf.DUMMYFUNCTION("""COMPUTED_VALUE"""),"Male:53.4%")</f>
        <v>Male:53.4%</v>
      </c>
      <c r="AS7" s="836">
        <f>IFERROR(__xludf.DUMMYFUNCTION("""COMPUTED_VALUE"""),2004.0)</f>
        <v>2004</v>
      </c>
      <c r="AT7" s="836" t="str">
        <f>IFERROR(__xludf.DUMMYFUNCTION("""COMPUTED_VALUE"""),"Children were excluded to the trial if they were too sick (severe diarrhoea, severe anaemia, high fever), did not have parental/guardian permission to participate or did not provide stool sample")</f>
        <v>Children were excluded to the trial if they were too sick (severe diarrhoea, severe anaemia, high fever), did not have parental/guardian permission to participate or did not provide stool sample</v>
      </c>
      <c r="AU7" s="836" t="str">
        <f>IFERROR(__xludf.DUMMYFUNCTION("""COMPUTED_VALUE"""),"Yes")</f>
        <v>Yes</v>
      </c>
      <c r="AV7" s="836" t="str">
        <f>IFERROR(__xludf.DUMMYFUNCTION("""COMPUTED_VALUE"""),"Yes")</f>
        <v>Yes</v>
      </c>
      <c r="AW7" s="836" t="str">
        <f>IFERROR(__xludf.DUMMYFUNCTION("""COMPUTED_VALUE"""),"randomized single blind trial")</f>
        <v>randomized single blind trial</v>
      </c>
      <c r="AX7" s="841">
        <f>IFERROR(__xludf.DUMMYFUNCTION("""COMPUTED_VALUE"""),0.28)</f>
        <v>0.28</v>
      </c>
      <c r="AY7" s="836"/>
      <c r="AZ7" s="841">
        <f>IFERROR(__xludf.DUMMYFUNCTION("""COMPUTED_VALUE"""),0.28)</f>
        <v>0.28</v>
      </c>
      <c r="BA7" s="836"/>
      <c r="BB7" s="836"/>
      <c r="BC7" s="836"/>
      <c r="BD7" s="836"/>
      <c r="BE7" s="836"/>
      <c r="BF7" s="836"/>
      <c r="BG7" s="836"/>
      <c r="BH7" s="841">
        <f>IFERROR(__xludf.DUMMYFUNCTION("""COMPUTED_VALUE"""),0.632)</f>
        <v>0.632</v>
      </c>
      <c r="BI7" s="836"/>
      <c r="BJ7" s="836"/>
      <c r="BK7" s="836"/>
      <c r="BL7" s="836"/>
      <c r="BM7" s="836"/>
      <c r="BN7" s="836"/>
      <c r="BO7" s="836" t="str">
        <f>IFERROR(__xludf.DUMMYFUNCTION("""COMPUTED_VALUE"""),"Curex")</f>
        <v>Curex</v>
      </c>
      <c r="BP7" s="836"/>
      <c r="BQ7" s="697">
        <f>IFERROR(__xludf.DUMMYFUNCTION("""COMPUTED_VALUE"""),6.0)</f>
        <v>6</v>
      </c>
      <c r="BR7" s="844" t="str">
        <f>IFERROR(__xludf.DUMMYFUNCTION("""COMPUTED_VALUE"""),"Diawara et al.")</f>
        <v>Diawara et al.</v>
      </c>
      <c r="BS7" s="838" t="str">
        <f>IFERROR(__xludf.DUMMYFUNCTION("""COMPUTED_VALUE"""),"Kenya")</f>
        <v>Kenya</v>
      </c>
      <c r="BT7" s="838" t="str">
        <f>IFERROR(__xludf.DUMMYFUNCTION("""COMPUTED_VALUE"""),"Albendazole")</f>
        <v>Albendazole</v>
      </c>
      <c r="BU7" s="838"/>
      <c r="BV7" s="838" t="str">
        <f>IFERROR(__xludf.DUMMYFUNCTION("""COMPUTED_VALUE"""),"Single")</f>
        <v>Single</v>
      </c>
      <c r="BW7" s="838" t="str">
        <f>IFERROR(__xludf.DUMMYFUNCTION("""COMPUTED_VALUE"""),"400 mg")</f>
        <v>400 mg</v>
      </c>
      <c r="BX7" s="838">
        <f>IFERROR(__xludf.DUMMYFUNCTION("""COMPUTED_VALUE"""),92.0)</f>
        <v>92</v>
      </c>
      <c r="BY7" s="838" t="str">
        <f>IFERROR(__xludf.DUMMYFUNCTION("""COMPUTED_VALUE"""),"School Children")</f>
        <v>School Children</v>
      </c>
      <c r="BZ7" s="838">
        <f>IFERROR(__xludf.DUMMYFUNCTION("""COMPUTED_VALUE"""),2009.0)</f>
        <v>2009</v>
      </c>
      <c r="CA7" s="838"/>
      <c r="CB7" s="838"/>
      <c r="CC7" s="838" t="str">
        <f>IFERROR(__xludf.DUMMYFUNCTION("""COMPUTED_VALUE"""),"No")</f>
        <v>No</v>
      </c>
      <c r="CD7" s="838"/>
      <c r="CE7" s="838" t="str">
        <f>IFERROR(__xludf.DUMMYFUNCTION("""COMPUTED_VALUE"""),"No")</f>
        <v>No</v>
      </c>
      <c r="CF7" s="838"/>
      <c r="CG7" s="838"/>
      <c r="CH7" s="838"/>
      <c r="CI7" s="838"/>
      <c r="CJ7" s="838"/>
      <c r="CK7" s="838"/>
      <c r="CL7" s="838"/>
      <c r="CM7" s="838" t="str">
        <f>IFERROR(__xludf.DUMMYFUNCTION("""COMPUTED_VALUE"""),"97.3 % McMaster   80.3% Kato-Katz")</f>
        <v>97.3 % McMaster   80.3% Kato-Katz</v>
      </c>
      <c r="CN7" s="838"/>
      <c r="CO7" s="838"/>
      <c r="CP7" s="838"/>
      <c r="CQ7" s="838"/>
      <c r="CR7" s="838"/>
      <c r="CS7" s="838"/>
      <c r="CT7" s="838" t="str">
        <f>IFERROR(__xludf.DUMMYFUNCTION("""COMPUTED_VALUE"""),"McMaster and Kato-Katz")</f>
        <v>McMaster and Kato-Katz</v>
      </c>
      <c r="CU7" s="838"/>
      <c r="CV7" s="697" t="str">
        <f>IFERROR(__xludf.DUMMYFUNCTION("""COMPUTED_VALUE"""),"Diawara, Aissatou, Carli M. Halpenny, Thomas S. Churcher, Charles Mwandawiro, Jimmy Kihara, Ray M. Kaplan, Thomas G. Streit, Youssef Idaghdour, Marilyn E. Scott, Maria-Gloria Basanez, and Roger K. Prichard. ""Association between Response to Albendazole Tr"&amp;"eatment and B-Tubulin Genotype Frequencies in Soil- Transmitted Helminths."" PLOS Neglected Tropical Diseases 7.5 (2013): 1-11. Web.")</f>
        <v>Diawara, Aissatou, Carli M. Halpenny, Thomas S. Churcher, Charles Mwandawiro, Jimmy Kihara, Ray M. Kaplan, Thomas G. Streit, Youssef Idaghdour, Marilyn E. Scott, Maria-Gloria Basanez, and Roger K. Prichard. "Association between Response to Albendazole Treatment and B-Tubulin Genotype Frequencies in Soil- Transmitted Helminths." PLOS Neglected Tropical Diseases 7.5 (2013): 1-11. Web.</v>
      </c>
    </row>
    <row r="8">
      <c r="A8" s="842" t="str">
        <f>IFERROR(__xludf.DUMMYFUNCTION("""COMPUTED_VALUE"""),"Albonico et al.")</f>
        <v>Albonico et al.</v>
      </c>
      <c r="B8" s="834" t="str">
        <f>IFERROR(__xludf.DUMMYFUNCTION("""COMPUTED_VALUE"""),"Nepal")</f>
        <v>Nepal</v>
      </c>
      <c r="C8" s="834" t="str">
        <f>IFERROR(__xludf.DUMMYFUNCTION("""COMPUTED_VALUE"""),"Albendazole")</f>
        <v>Albendazole</v>
      </c>
      <c r="D8" s="834" t="str">
        <f>IFERROR(__xludf.DUMMYFUNCTION("""COMPUTED_VALUE"""),"Single")</f>
        <v>Single</v>
      </c>
      <c r="E8" s="834" t="str">
        <f>IFERROR(__xludf.DUMMYFUNCTION("""COMPUTED_VALUE"""),"400 mg")</f>
        <v>400 mg</v>
      </c>
      <c r="F8" s="834">
        <f>IFERROR(__xludf.DUMMYFUNCTION("""COMPUTED_VALUE"""),429.0)</f>
        <v>429</v>
      </c>
      <c r="G8" s="834">
        <f>IFERROR(__xludf.DUMMYFUNCTION("""COMPUTED_VALUE"""),11.6)</f>
        <v>11.6</v>
      </c>
      <c r="H8" s="839" t="str">
        <f>IFERROR(__xludf.DUMMYFUNCTION("""COMPUTED_VALUE"""),"53:47")</f>
        <v>53:47</v>
      </c>
      <c r="I8" s="834">
        <f>IFERROR(__xludf.DUMMYFUNCTION("""COMPUTED_VALUE"""),2004.0)</f>
        <v>2004</v>
      </c>
      <c r="J8" s="834" t="str">
        <f>IFERROR(__xludf.DUMMYFUNCTION("""COMPUTED_VALUE"""),"excluded:  too sick, did not have parental/guidance permission to participate or did not provide a stool sample")</f>
        <v>excluded:  too sick, did not have parental/guidance permission to participate or did not provide a stool sample</v>
      </c>
      <c r="K8" s="839" t="str">
        <f>IFERROR(__xludf.DUMMYFUNCTION("""COMPUTED_VALUE"""),"community-based randomized single-blind trial")</f>
        <v>community-based randomized single-blind trial</v>
      </c>
      <c r="L8" s="839" t="str">
        <f>IFERROR(__xludf.DUMMYFUNCTION("""COMPUTED_VALUE"""),"Yes")</f>
        <v>Yes</v>
      </c>
      <c r="M8" s="839" t="str">
        <f>IFERROR(__xludf.DUMMYFUNCTION("""COMPUTED_VALUE"""),"Yes")</f>
        <v>Yes</v>
      </c>
      <c r="N8" s="840">
        <f>IFERROR(__xludf.DUMMYFUNCTION("""COMPUTED_VALUE"""),0.743)</f>
        <v>0.743</v>
      </c>
      <c r="O8" s="834"/>
      <c r="P8" s="840">
        <f>IFERROR(__xludf.DUMMYFUNCTION("""COMPUTED_VALUE"""),0.743)</f>
        <v>0.743</v>
      </c>
      <c r="Q8" s="834"/>
      <c r="R8" s="834"/>
      <c r="S8" s="834"/>
      <c r="T8" s="834"/>
      <c r="U8" s="834"/>
      <c r="V8" s="834"/>
      <c r="W8" s="840">
        <f>IFERROR(__xludf.DUMMYFUNCTION("""COMPUTED_VALUE"""),0.871)</f>
        <v>0.871</v>
      </c>
      <c r="X8" s="834"/>
      <c r="Y8" s="840">
        <f>IFERROR(__xludf.DUMMYFUNCTION("""COMPUTED_VALUE"""),0.871)</f>
        <v>0.871</v>
      </c>
      <c r="Z8" s="834"/>
      <c r="AA8" s="834"/>
      <c r="AB8" s="834"/>
      <c r="AC8" s="834"/>
      <c r="AD8" s="834"/>
      <c r="AE8" s="834" t="str">
        <f>IFERROR(__xludf.DUMMYFUNCTION("""COMPUTED_VALUE"""),"Results indicate (with different degrees of significance) a descending gradient of efficacy from GSK’s product to Royal Drug’s and then Curex’s for the treatment of STH infections in Nepal, with a particularly significant difference for hookworm infection"&amp;".")</f>
        <v>Results indicate (with different degrees of significance) a descending gradient of efficacy from GSK’s product to Royal Drug’s and then Curex’s for the treatment of STH infections in Nepal, with a particularly significant difference for hookworm infection.</v>
      </c>
      <c r="AF8" s="834" t="str">
        <f>IFERROR(__xludf.DUMMYFUNCTION("""COMPUTED_VALUE"""),"• The ratio of M:F is based on the total number subjects in all three groups of the study.
• Stool samples examined using Kato-Katz Method
• GSK                                           ")</f>
        <v>• The ratio of M:F is based on the total number subjects in all three groups of the study.
• Stool samples examined using Kato-Katz Method
• GSK                                           </v>
      </c>
      <c r="AG8" s="834" t="str">
        <f>IFERROR(__xludf.DUMMYFUNCTION("""COMPUTED_VALUE"""),"Albonico, Marco, Pragya Mathema, Antonio Montresor, Balkrishna Khakurel, Valerio Reggi, Sharada Pandey, and Lorenzo Savioli. ""Comparative Study of the Quality and Efficacy of Originator and Generic Albendazolefor Mass Treatment of Soil Transmitted Nemato"&amp;"de Infections in Nepal."" Transactions of the Royal Society of Tropical Medicine and Hygiene 101 (2007): 454-60. Web.")</f>
        <v>Albonico, Marco, Pragya Mathema, Antonio Montresor, Balkrishna Khakurel, Valerio Reggi, Sharada Pandey, and Lorenzo Savioli. "Comparative Study of the Quality and Efficacy of Originator and Generic Albendazolefor Mass Treatment of Soil Transmitted Nematode Infections in Nepal." Transactions of the Royal Society of Tropical Medicine and Hygiene 101 (2007): 454-60. Web.</v>
      </c>
      <c r="AH8" s="834" t="str">
        <f>IFERROR(__xludf.DUMMYFUNCTION("""COMPUTED_VALUE"""),"x")</f>
        <v>x</v>
      </c>
      <c r="AJ8" s="843" t="str">
        <f>IFERROR(__xludf.DUMMYFUNCTION("""COMPUTED_VALUE"""),"Lyu et al.")</f>
        <v>Lyu et al.</v>
      </c>
      <c r="AK8" s="836" t="str">
        <f>IFERROR(__xludf.DUMMYFUNCTION("""COMPUTED_VALUE"""),"Lim, Jung-Kyoo, Kwang-sa Lyu, Il Hyun, Sun-dae Song, and Han-Jong Rim. ""Pyrantel Embonateand Bephenum Hydroxynaphthoate in the Treatment of Hookworm Infection."" The Korean Journal of Parasitology 13.1 (1975): 19-30. Web.")</f>
        <v>Lim, Jung-Kyoo, Kwang-sa Lyu, Il Hyun, Sun-dae Song, and Han-Jong Rim. "Pyrantel Embonateand Bephenum Hydroxynaphthoate in the Treatment of Hookworm Infection." The Korean Journal of Parasitology 13.1 (1975): 19-30. Web.</v>
      </c>
      <c r="AL8" s="836" t="str">
        <f>IFERROR(__xludf.DUMMYFUNCTION("""COMPUTED_VALUE"""),"Republic of Korea")</f>
        <v>Republic of Korea</v>
      </c>
      <c r="AM8" s="836" t="str">
        <f>IFERROR(__xludf.DUMMYFUNCTION("""COMPUTED_VALUE"""),"Pyrantel Embonate")</f>
        <v>Pyrantel Embonate</v>
      </c>
      <c r="AN8" s="836" t="str">
        <f>IFERROR(__xludf.DUMMYFUNCTION("""COMPUTED_VALUE"""),"Single")</f>
        <v>Single</v>
      </c>
      <c r="AO8" s="836" t="str">
        <f>IFERROR(__xludf.DUMMYFUNCTION("""COMPUTED_VALUE"""),"10 mg")</f>
        <v>10 mg</v>
      </c>
      <c r="AP8" s="836">
        <f>IFERROR(__xludf.DUMMYFUNCTION("""COMPUTED_VALUE"""),41.0)</f>
        <v>41</v>
      </c>
      <c r="AQ8" s="836" t="str">
        <f>IFERROR(__xludf.DUMMYFUNCTION("""COMPUTED_VALUE"""),"8-79")</f>
        <v>8-79</v>
      </c>
      <c r="AR8" s="836" t="str">
        <f>IFERROR(__xludf.DUMMYFUNCTION("""COMPUTED_VALUE"""),"Male: 24 Female:25")</f>
        <v>Male: 24 Female:25</v>
      </c>
      <c r="AS8" s="836">
        <f>IFERROR(__xludf.DUMMYFUNCTION("""COMPUTED_VALUE"""),1975.0)</f>
        <v>1975</v>
      </c>
      <c r="AT8" s="836"/>
      <c r="AU8" s="836" t="str">
        <f>IFERROR(__xludf.DUMMYFUNCTION("""COMPUTED_VALUE"""),"Yes")</f>
        <v>Yes</v>
      </c>
      <c r="AV8" s="836" t="str">
        <f>IFERROR(__xludf.DUMMYFUNCTION("""COMPUTED_VALUE"""),"Yes")</f>
        <v>Yes</v>
      </c>
      <c r="AW8" s="836" t="str">
        <f>IFERROR(__xludf.DUMMYFUNCTION("""COMPUTED_VALUE"""),"single blind randomized and non cross over comparison")</f>
        <v>single blind randomized and non cross over comparison</v>
      </c>
      <c r="AX8" s="841">
        <f>IFERROR(__xludf.DUMMYFUNCTION("""COMPUTED_VALUE"""),0.073)</f>
        <v>0.073</v>
      </c>
      <c r="AY8" s="836"/>
      <c r="AZ8" s="836"/>
      <c r="BA8" s="841">
        <f>IFERROR(__xludf.DUMMYFUNCTION("""COMPUTED_VALUE"""),0.073)</f>
        <v>0.073</v>
      </c>
      <c r="BB8" s="836"/>
      <c r="BC8" s="836"/>
      <c r="BD8" s="836"/>
      <c r="BE8" s="836"/>
      <c r="BF8" s="836"/>
      <c r="BG8" s="836"/>
      <c r="BH8" s="841">
        <f>IFERROR(__xludf.DUMMYFUNCTION("""COMPUTED_VALUE"""),0.698)</f>
        <v>0.698</v>
      </c>
      <c r="BI8" s="836"/>
      <c r="BJ8" s="836"/>
      <c r="BK8" s="836"/>
      <c r="BL8" s="836"/>
      <c r="BM8" s="836"/>
      <c r="BN8" s="836"/>
      <c r="BO8" s="836"/>
      <c r="BP8" s="836" t="str">
        <f>IFERROR(__xludf.DUMMYFUNCTION("""COMPUTED_VALUE"""),"x")</f>
        <v>x</v>
      </c>
      <c r="BQ8" s="697">
        <f>IFERROR(__xludf.DUMMYFUNCTION("""COMPUTED_VALUE"""),7.0)</f>
        <v>7</v>
      </c>
      <c r="BR8" s="844" t="str">
        <f>IFERROR(__xludf.DUMMYFUNCTION("""COMPUTED_VALUE"""),"Diawara et al.")</f>
        <v>Diawara et al.</v>
      </c>
      <c r="BS8" s="838" t="str">
        <f>IFERROR(__xludf.DUMMYFUNCTION("""COMPUTED_VALUE"""),"Panama")</f>
        <v>Panama</v>
      </c>
      <c r="BT8" s="838" t="str">
        <f>IFERROR(__xludf.DUMMYFUNCTION("""COMPUTED_VALUE"""),"Albendazole")</f>
        <v>Albendazole</v>
      </c>
      <c r="BU8" s="838"/>
      <c r="BV8" s="838" t="str">
        <f>IFERROR(__xludf.DUMMYFUNCTION("""COMPUTED_VALUE"""),"Single")</f>
        <v>Single</v>
      </c>
      <c r="BW8" s="838" t="str">
        <f>IFERROR(__xludf.DUMMYFUNCTION("""COMPUTED_VALUE"""),"200 mg")</f>
        <v>200 mg</v>
      </c>
      <c r="BX8" s="838">
        <f>IFERROR(__xludf.DUMMYFUNCTION("""COMPUTED_VALUE"""),222.0)</f>
        <v>222</v>
      </c>
      <c r="BY8" s="845">
        <f>IFERROR(__xludf.DUMMYFUNCTION("""COMPUTED_VALUE"""),42371.0)</f>
        <v>42371</v>
      </c>
      <c r="BZ8" s="838">
        <f>IFERROR(__xludf.DUMMYFUNCTION("""COMPUTED_VALUE"""),2009.0)</f>
        <v>2009</v>
      </c>
      <c r="CA8" s="838"/>
      <c r="CB8" s="838" t="str">
        <f>IFERROR(__xludf.DUMMYFUNCTION("""COMPUTED_VALUE""")," ")</f>
        <v> </v>
      </c>
      <c r="CC8" s="838" t="str">
        <f>IFERROR(__xludf.DUMMYFUNCTION("""COMPUTED_VALUE"""),"No")</f>
        <v>No</v>
      </c>
      <c r="CD8" s="838"/>
      <c r="CE8" s="838" t="str">
        <f>IFERROR(__xludf.DUMMYFUNCTION("""COMPUTED_VALUE"""),"No")</f>
        <v>No</v>
      </c>
      <c r="CF8" s="838"/>
      <c r="CG8" s="838"/>
      <c r="CH8" s="838"/>
      <c r="CI8" s="838"/>
      <c r="CJ8" s="838"/>
      <c r="CK8" s="838"/>
      <c r="CL8" s="838"/>
      <c r="CM8" s="838" t="str">
        <f>IFERROR(__xludf.DUMMYFUNCTION("""COMPUTED_VALUE"""),"60.0% Kato-Katz 89.8 FLOTAC")</f>
        <v>60.0% Kato-Katz 89.8 FLOTAC</v>
      </c>
      <c r="CN8" s="838"/>
      <c r="CO8" s="838"/>
      <c r="CP8" s="838"/>
      <c r="CQ8" s="838"/>
      <c r="CR8" s="838"/>
      <c r="CS8" s="838"/>
      <c r="CT8" s="838" t="str">
        <f>IFERROR(__xludf.DUMMYFUNCTION("""COMPUTED_VALUE"""),"Kato-Katz and FLOTAC")</f>
        <v>Kato-Katz and FLOTAC</v>
      </c>
      <c r="CU8" s="838"/>
      <c r="CV8" s="697" t="str">
        <f>IFERROR(__xludf.DUMMYFUNCTION("""COMPUTED_VALUE"""),"Diawara, Aissatou, Carli M. Halpenny, Thomas S. Churcher, Charles Mwandawiro, Jimmy Kihara, Ray M. Kaplan, Thomas G. Streit, Youssef Idaghdour, Marilyn E. Scott, Maria-Gloria Basanez, and Roger K. Prichard. ""Association between Response to Albendazole Tr"&amp;"eatment and B-Tubulin Genotype Frequencies in Soil- Transmitted Helminths."" PLOS Neglected Tropical Diseases 7.5 (2013): 1-11. Web.")</f>
        <v>Diawara, Aissatou, Carli M. Halpenny, Thomas S. Churcher, Charles Mwandawiro, Jimmy Kihara, Ray M. Kaplan, Thomas G. Streit, Youssef Idaghdour, Marilyn E. Scott, Maria-Gloria Basanez, and Roger K. Prichard. "Association between Response to Albendazole Treatment and B-Tubulin Genotype Frequencies in Soil- Transmitted Helminths." PLOS Neglected Tropical Diseases 7.5 (2013): 1-11. Web.</v>
      </c>
    </row>
    <row r="9">
      <c r="A9" s="842" t="str">
        <f>IFERROR(__xludf.DUMMYFUNCTION("""COMPUTED_VALUE"""),"Albonico et al.")</f>
        <v>Albonico et al.</v>
      </c>
      <c r="B9" s="834" t="str">
        <f>IFERROR(__xludf.DUMMYFUNCTION("""COMPUTED_VALUE"""),"Nepal")</f>
        <v>Nepal</v>
      </c>
      <c r="C9" s="834" t="str">
        <f>IFERROR(__xludf.DUMMYFUNCTION("""COMPUTED_VALUE"""),"Albendazole")</f>
        <v>Albendazole</v>
      </c>
      <c r="D9" s="834" t="str">
        <f>IFERROR(__xludf.DUMMYFUNCTION("""COMPUTED_VALUE"""),"Single")</f>
        <v>Single</v>
      </c>
      <c r="E9" s="834" t="str">
        <f>IFERROR(__xludf.DUMMYFUNCTION("""COMPUTED_VALUE"""),"400 mg")</f>
        <v>400 mg</v>
      </c>
      <c r="F9" s="834">
        <f>IFERROR(__xludf.DUMMYFUNCTION("""COMPUTED_VALUE"""),419.0)</f>
        <v>419</v>
      </c>
      <c r="G9" s="834">
        <f>IFERROR(__xludf.DUMMYFUNCTION("""COMPUTED_VALUE"""),11.6)</f>
        <v>11.6</v>
      </c>
      <c r="H9" s="839" t="str">
        <f>IFERROR(__xludf.DUMMYFUNCTION("""COMPUTED_VALUE"""),"53:47")</f>
        <v>53:47</v>
      </c>
      <c r="I9" s="834">
        <f>IFERROR(__xludf.DUMMYFUNCTION("""COMPUTED_VALUE"""),2004.0)</f>
        <v>2004</v>
      </c>
      <c r="J9" s="834" t="str">
        <f>IFERROR(__xludf.DUMMYFUNCTION("""COMPUTED_VALUE"""),"excluded:  too sick, did not have parental/guidance permission to participate or did not provide a stool sample")</f>
        <v>excluded:  too sick, did not have parental/guidance permission to participate or did not provide a stool sample</v>
      </c>
      <c r="K9" s="839" t="str">
        <f>IFERROR(__xludf.DUMMYFUNCTION("""COMPUTED_VALUE"""),"community-based randomized single-blind trial")</f>
        <v>community-based randomized single-blind trial</v>
      </c>
      <c r="L9" s="839" t="str">
        <f>IFERROR(__xludf.DUMMYFUNCTION("""COMPUTED_VALUE"""),"Yes")</f>
        <v>Yes</v>
      </c>
      <c r="M9" s="839" t="str">
        <f>IFERROR(__xludf.DUMMYFUNCTION("""COMPUTED_VALUE"""),"Yes")</f>
        <v>Yes</v>
      </c>
      <c r="N9" s="840">
        <f>IFERROR(__xludf.DUMMYFUNCTION("""COMPUTED_VALUE"""),0.533)</f>
        <v>0.533</v>
      </c>
      <c r="O9" s="834"/>
      <c r="P9" s="840">
        <f>IFERROR(__xludf.DUMMYFUNCTION("""COMPUTED_VALUE"""),0.533)</f>
        <v>0.533</v>
      </c>
      <c r="Q9" s="834"/>
      <c r="R9" s="834"/>
      <c r="S9" s="834"/>
      <c r="T9" s="834"/>
      <c r="U9" s="834"/>
      <c r="V9" s="834"/>
      <c r="W9" s="840">
        <f>IFERROR(__xludf.DUMMYFUNCTION("""COMPUTED_VALUE"""),0.808)</f>
        <v>0.808</v>
      </c>
      <c r="X9" s="834"/>
      <c r="Y9" s="840">
        <f>IFERROR(__xludf.DUMMYFUNCTION("""COMPUTED_VALUE"""),0.808)</f>
        <v>0.808</v>
      </c>
      <c r="Z9" s="834"/>
      <c r="AA9" s="834"/>
      <c r="AB9" s="834"/>
      <c r="AC9" s="834"/>
      <c r="AD9" s="834"/>
      <c r="AE9" s="834" t="str">
        <f>IFERROR(__xludf.DUMMYFUNCTION("""COMPUTED_VALUE"""),"Results indicate (with different degrees of significance) a descending gradient of efficacy from GSK’s product to Royal Drug’s and then Curex’s for the treatment of STH infections in Nepal, with a particularly significant difference for hookworm infection"&amp;".")</f>
        <v>Results indicate (with different degrees of significance) a descending gradient of efficacy from GSK’s product to Royal Drug’s and then Curex’s for the treatment of STH infections in Nepal, with a particularly significant difference for hookworm infection.</v>
      </c>
      <c r="AF9" s="834" t="str">
        <f>IFERROR(__xludf.DUMMYFUNCTION("""COMPUTED_VALUE"""),"• The ratio of M:F is based on the total number subjects in all three groups of the study.
• Stool samples examined using Kato-Katz Method  
• Royal Drug Co.                              ")</f>
        <v>• The ratio of M:F is based on the total number subjects in all three groups of the study.
• Stool samples examined using Kato-Katz Method  
• Royal Drug Co.                              </v>
      </c>
      <c r="AG9" s="834" t="str">
        <f>IFERROR(__xludf.DUMMYFUNCTION("""COMPUTED_VALUE"""),"Albonico, Marco, Pragya Mathema, Antonio Montresor, Balkrishna Khakurel, Valerio Reggi, Sharada Pandey, and Lorenzo Savioli. ""Comparative Study of the Quality and Efficacy of Originator and Generic Albendazolefor Mass Treatment of Soil Transmitted Nemato"&amp;"de Infections in Nepal."" Transactions of the Royal Society of Tropical Medicine and Hygiene 101 (2007): 454-60. Web.")</f>
        <v>Albonico, Marco, Pragya Mathema, Antonio Montresor, Balkrishna Khakurel, Valerio Reggi, Sharada Pandey, and Lorenzo Savioli. "Comparative Study of the Quality and Efficacy of Originator and Generic Albendazolefor Mass Treatment of Soil Transmitted Nematode Infections in Nepal." Transactions of the Royal Society of Tropical Medicine and Hygiene 101 (2007): 454-60. Web.</v>
      </c>
      <c r="AH9" s="834" t="str">
        <f>IFERROR(__xludf.DUMMYFUNCTION("""COMPUTED_VALUE"""),"x")</f>
        <v>x</v>
      </c>
      <c r="AJ9" s="843" t="str">
        <f>IFERROR(__xludf.DUMMYFUNCTION("""COMPUTED_VALUE"""),"Lyu et al.")</f>
        <v>Lyu et al.</v>
      </c>
      <c r="AK9" s="836"/>
      <c r="AL9" s="836" t="str">
        <f>IFERROR(__xludf.DUMMYFUNCTION("""COMPUTED_VALUE"""),"Republic of Korea")</f>
        <v>Republic of Korea</v>
      </c>
      <c r="AM9" s="836" t="str">
        <f>IFERROR(__xludf.DUMMYFUNCTION("""COMPUTED_VALUE"""),"Bephenium Hydroxynaphthoate ")</f>
        <v>Bephenium Hydroxynaphthoate </v>
      </c>
      <c r="AN9" s="836" t="str">
        <f>IFERROR(__xludf.DUMMYFUNCTION("""COMPUTED_VALUE"""),"Single")</f>
        <v>Single</v>
      </c>
      <c r="AO9" s="836" t="str">
        <f>IFERROR(__xludf.DUMMYFUNCTION("""COMPUTED_VALUE"""),"2.5 gm")</f>
        <v>2.5 gm</v>
      </c>
      <c r="AP9" s="836">
        <f>IFERROR(__xludf.DUMMYFUNCTION("""COMPUTED_VALUE"""),41.0)</f>
        <v>41</v>
      </c>
      <c r="AQ9" s="836" t="str">
        <f>IFERROR(__xludf.DUMMYFUNCTION("""COMPUTED_VALUE"""),"8-79")</f>
        <v>8-79</v>
      </c>
      <c r="AR9" s="836" t="str">
        <f>IFERROR(__xludf.DUMMYFUNCTION("""COMPUTED_VALUE"""),"Male: 30 Female: 21")</f>
        <v>Male: 30 Female: 21</v>
      </c>
      <c r="AS9" s="836">
        <f>IFERROR(__xludf.DUMMYFUNCTION("""COMPUTED_VALUE"""),1975.0)</f>
        <v>1975</v>
      </c>
      <c r="AT9" s="836"/>
      <c r="AU9" s="836" t="str">
        <f>IFERROR(__xludf.DUMMYFUNCTION("""COMPUTED_VALUE"""),"Yes")</f>
        <v>Yes</v>
      </c>
      <c r="AV9" s="836" t="str">
        <f>IFERROR(__xludf.DUMMYFUNCTION("""COMPUTED_VALUE"""),"Yes")</f>
        <v>Yes</v>
      </c>
      <c r="AW9" s="836" t="str">
        <f>IFERROR(__xludf.DUMMYFUNCTION("""COMPUTED_VALUE"""),"single blind randomized and non cross over comparison")</f>
        <v>single blind randomized and non cross over comparison</v>
      </c>
      <c r="AX9" s="841">
        <f>IFERROR(__xludf.DUMMYFUNCTION("""COMPUTED_VALUE"""),0.122)</f>
        <v>0.122</v>
      </c>
      <c r="AY9" s="836"/>
      <c r="AZ9" s="836"/>
      <c r="BA9" s="841">
        <f>IFERROR(__xludf.DUMMYFUNCTION("""COMPUTED_VALUE"""),0.122)</f>
        <v>0.122</v>
      </c>
      <c r="BB9" s="836"/>
      <c r="BC9" s="836"/>
      <c r="BD9" s="836"/>
      <c r="BE9" s="836"/>
      <c r="BF9" s="836"/>
      <c r="BG9" s="836"/>
      <c r="BH9" s="841">
        <f>IFERROR(__xludf.DUMMYFUNCTION("""COMPUTED_VALUE"""),0.647)</f>
        <v>0.647</v>
      </c>
      <c r="BI9" s="836"/>
      <c r="BJ9" s="836"/>
      <c r="BK9" s="836"/>
      <c r="BL9" s="836"/>
      <c r="BM9" s="836"/>
      <c r="BN9" s="836"/>
      <c r="BO9" s="836"/>
      <c r="BP9" s="836" t="str">
        <f>IFERROR(__xludf.DUMMYFUNCTION("""COMPUTED_VALUE"""),"x")</f>
        <v>x</v>
      </c>
      <c r="BQ9" s="697">
        <f>IFERROR(__xludf.DUMMYFUNCTION("""COMPUTED_VALUE"""),8.0)</f>
        <v>8</v>
      </c>
      <c r="BR9" s="844" t="str">
        <f>IFERROR(__xludf.DUMMYFUNCTION("""COMPUTED_VALUE"""),"Diawara et al.")</f>
        <v>Diawara et al.</v>
      </c>
      <c r="BS9" s="838" t="str">
        <f>IFERROR(__xludf.DUMMYFUNCTION("""COMPUTED_VALUE"""),"Panama")</f>
        <v>Panama</v>
      </c>
      <c r="BT9" s="838" t="str">
        <f>IFERROR(__xludf.DUMMYFUNCTION("""COMPUTED_VALUE"""),"Albendazole")</f>
        <v>Albendazole</v>
      </c>
      <c r="BU9" s="838"/>
      <c r="BV9" s="838" t="str">
        <f>IFERROR(__xludf.DUMMYFUNCTION("""COMPUTED_VALUE"""),"Single")</f>
        <v>Single</v>
      </c>
      <c r="BW9" s="838" t="str">
        <f>IFERROR(__xludf.DUMMYFUNCTION("""COMPUTED_VALUE"""),"400 mg")</f>
        <v>400 mg</v>
      </c>
      <c r="BX9" s="838">
        <f>IFERROR(__xludf.DUMMYFUNCTION("""COMPUTED_VALUE"""),222.0)</f>
        <v>222</v>
      </c>
      <c r="BY9" s="845">
        <f>IFERROR(__xludf.DUMMYFUNCTION("""COMPUTED_VALUE"""),42434.0)</f>
        <v>42434</v>
      </c>
      <c r="BZ9" s="838">
        <f>IFERROR(__xludf.DUMMYFUNCTION("""COMPUTED_VALUE"""),2009.0)</f>
        <v>2009</v>
      </c>
      <c r="CA9" s="838"/>
      <c r="CB9" s="838"/>
      <c r="CC9" s="838" t="str">
        <f>IFERROR(__xludf.DUMMYFUNCTION("""COMPUTED_VALUE"""),"No")</f>
        <v>No</v>
      </c>
      <c r="CD9" s="838"/>
      <c r="CE9" s="838" t="str">
        <f>IFERROR(__xludf.DUMMYFUNCTION("""COMPUTED_VALUE"""),"No")</f>
        <v>No</v>
      </c>
      <c r="CF9" s="838"/>
      <c r="CG9" s="838"/>
      <c r="CH9" s="838"/>
      <c r="CI9" s="838"/>
      <c r="CJ9" s="838"/>
      <c r="CK9" s="838"/>
      <c r="CL9" s="838"/>
      <c r="CM9" s="838"/>
      <c r="CN9" s="838"/>
      <c r="CO9" s="838"/>
      <c r="CP9" s="838"/>
      <c r="CQ9" s="838"/>
      <c r="CR9" s="838"/>
      <c r="CS9" s="838"/>
      <c r="CT9" s="838"/>
      <c r="CU9" s="838"/>
      <c r="CV9" s="697" t="str">
        <f>IFERROR(__xludf.DUMMYFUNCTION("""COMPUTED_VALUE"""),"Diawara, Aissatou, Carli M. Halpenny, Thomas S. Churcher, Charles Mwandawiro, Jimmy Kihara, Ray M. Kaplan, Thomas G. Streit, Youssef Idaghdour, Marilyn E. Scott, Maria-Gloria Basanez, and Roger K. Prichard. ""Association between Response to Albendazole Tr"&amp;"eatment and B-Tubulin Genotype Frequencies in Soil- Transmitted Helminths."" PLOS Neglected Tropical Diseases 7.5 (2013): 1-11. Web.")</f>
        <v>Diawara, Aissatou, Carli M. Halpenny, Thomas S. Churcher, Charles Mwandawiro, Jimmy Kihara, Ray M. Kaplan, Thomas G. Streit, Youssef Idaghdour, Marilyn E. Scott, Maria-Gloria Basanez, and Roger K. Prichard. "Association between Response to Albendazole Treatment and B-Tubulin Genotype Frequencies in Soil- Transmitted Helminths." PLOS Neglected Tropical Diseases 7.5 (2013): 1-11. Web.</v>
      </c>
    </row>
    <row r="10">
      <c r="A10" s="842" t="str">
        <f>IFERROR(__xludf.DUMMYFUNCTION("""COMPUTED_VALUE"""),"Albonico et al.")</f>
        <v>Albonico et al.</v>
      </c>
      <c r="B10" s="834" t="str">
        <f>IFERROR(__xludf.DUMMYFUNCTION("""COMPUTED_VALUE"""),"Nepal")</f>
        <v>Nepal</v>
      </c>
      <c r="C10" s="834" t="str">
        <f>IFERROR(__xludf.DUMMYFUNCTION("""COMPUTED_VALUE"""),"Albendazole")</f>
        <v>Albendazole</v>
      </c>
      <c r="D10" s="834" t="str">
        <f>IFERROR(__xludf.DUMMYFUNCTION("""COMPUTED_VALUE"""),"Single")</f>
        <v>Single</v>
      </c>
      <c r="E10" s="834" t="str">
        <f>IFERROR(__xludf.DUMMYFUNCTION("""COMPUTED_VALUE"""),"400 mg")</f>
        <v>400 mg</v>
      </c>
      <c r="F10" s="834">
        <f>IFERROR(__xludf.DUMMYFUNCTION("""COMPUTED_VALUE"""),429.0)</f>
        <v>429</v>
      </c>
      <c r="G10" s="834">
        <f>IFERROR(__xludf.DUMMYFUNCTION("""COMPUTED_VALUE"""),11.6)</f>
        <v>11.6</v>
      </c>
      <c r="H10" s="839" t="str">
        <f>IFERROR(__xludf.DUMMYFUNCTION("""COMPUTED_VALUE"""),"53:47")</f>
        <v>53:47</v>
      </c>
      <c r="I10" s="834">
        <f>IFERROR(__xludf.DUMMYFUNCTION("""COMPUTED_VALUE"""),2004.0)</f>
        <v>2004</v>
      </c>
      <c r="J10" s="834" t="str">
        <f>IFERROR(__xludf.DUMMYFUNCTION("""COMPUTED_VALUE"""),"excluded:  too sick, did not have parental/guidance permission to participate or did not provide a stool sample")</f>
        <v>excluded:  too sick, did not have parental/guidance permission to participate or did not provide a stool sample</v>
      </c>
      <c r="K10" s="839" t="str">
        <f>IFERROR(__xludf.DUMMYFUNCTION("""COMPUTED_VALUE"""),"community-based randomized single-blind trial")</f>
        <v>community-based randomized single-blind trial</v>
      </c>
      <c r="L10" s="839" t="str">
        <f>IFERROR(__xludf.DUMMYFUNCTION("""COMPUTED_VALUE"""),"Yes")</f>
        <v>Yes</v>
      </c>
      <c r="M10" s="839" t="str">
        <f>IFERROR(__xludf.DUMMYFUNCTION("""COMPUTED_VALUE"""),"Yes")</f>
        <v>Yes</v>
      </c>
      <c r="N10" s="840">
        <f>IFERROR(__xludf.DUMMYFUNCTION("""COMPUTED_VALUE"""),0.507)</f>
        <v>0.507</v>
      </c>
      <c r="O10" s="834"/>
      <c r="P10" s="840">
        <f>IFERROR(__xludf.DUMMYFUNCTION("""COMPUTED_VALUE"""),0.507)</f>
        <v>0.507</v>
      </c>
      <c r="Q10" s="834"/>
      <c r="R10" s="834"/>
      <c r="S10" s="834"/>
      <c r="T10" s="834"/>
      <c r="U10" s="834"/>
      <c r="V10" s="834"/>
      <c r="W10" s="840">
        <f>IFERROR(__xludf.DUMMYFUNCTION("""COMPUTED_VALUE"""),0.731)</f>
        <v>0.731</v>
      </c>
      <c r="X10" s="834"/>
      <c r="Y10" s="840">
        <f>IFERROR(__xludf.DUMMYFUNCTION("""COMPUTED_VALUE"""),0.731)</f>
        <v>0.731</v>
      </c>
      <c r="Z10" s="834"/>
      <c r="AA10" s="834"/>
      <c r="AB10" s="834"/>
      <c r="AC10" s="834"/>
      <c r="AD10" s="834"/>
      <c r="AE10" s="834" t="str">
        <f>IFERROR(__xludf.DUMMYFUNCTION("""COMPUTED_VALUE"""),"Results indicate (with different degrees of significance) a descending gradient of efficacy from GSK’s product to Royal Drug’s and then Curex’s for the treatment of STH infections in Nepal, with a particularly significant difference for hookworm infection"&amp;".")</f>
        <v>Results indicate (with different degrees of significance) a descending gradient of efficacy from GSK’s product to Royal Drug’s and then Curex’s for the treatment of STH infections in Nepal, with a particularly significant difference for hookworm infection.</v>
      </c>
      <c r="AF10" s="834" t="str">
        <f>IFERROR(__xludf.DUMMYFUNCTION("""COMPUTED_VALUE"""),"• The ratio of M:F is based on the total number subjects in all three groups of the study.
• Stool samples examined using Kato-Katz Method   
• Curex                                       ")</f>
        <v>• The ratio of M:F is based on the total number subjects in all three groups of the study.
• Stool samples examined using Kato-Katz Method   
• Curex                                       </v>
      </c>
      <c r="AG10" s="834" t="str">
        <f>IFERROR(__xludf.DUMMYFUNCTION("""COMPUTED_VALUE"""),"Albonico, Marco, Pragya Mathema, Antonio Montresor, Balkrishna Khakurel, Valerio Reggi, Sharada Pandey, and Lorenzo Savioli. ""Comparative Study of the Quality and Efficacy of Originator and Generic Albendazolefor Mass Treatment of Soil Transmitted Nemato"&amp;"de Infections in Nepal."" Transactions of the Royal Society of Tropical Medicine and Hygiene 101 (2007): 454-60. Web.")</f>
        <v>Albonico, Marco, Pragya Mathema, Antonio Montresor, Balkrishna Khakurel, Valerio Reggi, Sharada Pandey, and Lorenzo Savioli. "Comparative Study of the Quality and Efficacy of Originator and Generic Albendazolefor Mass Treatment of Soil Transmitted Nematode Infections in Nepal." Transactions of the Royal Society of Tropical Medicine and Hygiene 101 (2007): 454-60. Web.</v>
      </c>
      <c r="AH10" s="834" t="str">
        <f>IFERROR(__xludf.DUMMYFUNCTION("""COMPUTED_VALUE"""),"x")</f>
        <v>x</v>
      </c>
      <c r="AJ10" s="843" t="str">
        <f>IFERROR(__xludf.DUMMYFUNCTION("""COMPUTED_VALUE"""),"Norhayati et al.")</f>
        <v>Norhayati et al.</v>
      </c>
      <c r="AK10" s="836" t="str">
        <f>IFERROR(__xludf.DUMMYFUNCTION("""COMPUTED_VALUE"""),"Norhayati, M., P. Oothuman, O. Azizi, and MS Fatmah. ""Efficacy of Single Dose Albendazoleon the Prevalence and Intensity of Infection of Soil Transmitted Helminths in Orang Asli Children in Malaysia."" Department of Parasitology 28.3 (1997): 563-68. Web.")</f>
        <v>Norhayati, M., P. Oothuman, O. Azizi, and MS Fatmah. "Efficacy of Single Dose Albendazoleon the Prevalence and Intensity of Infection of Soil Transmitted Helminths in Orang Asli Children in Malaysia." Department of Parasitology 28.3 (1997): 563-68. Web.</v>
      </c>
      <c r="AL10" s="836" t="str">
        <f>IFERROR(__xludf.DUMMYFUNCTION("""COMPUTED_VALUE"""),"Malaysia")</f>
        <v>Malaysia</v>
      </c>
      <c r="AM10" s="836" t="str">
        <f>IFERROR(__xludf.DUMMYFUNCTION("""COMPUTED_VALUE"""),"Albendazole")</f>
        <v>Albendazole</v>
      </c>
      <c r="AN10" s="836" t="str">
        <f>IFERROR(__xludf.DUMMYFUNCTION("""COMPUTED_VALUE"""),"Single")</f>
        <v>Single</v>
      </c>
      <c r="AO10" s="836" t="str">
        <f>IFERROR(__xludf.DUMMYFUNCTION("""COMPUTED_VALUE"""),"400 mg")</f>
        <v>400 mg</v>
      </c>
      <c r="AP10" s="836">
        <f>IFERROR(__xludf.DUMMYFUNCTION("""COMPUTED_VALUE"""),123.0)</f>
        <v>123</v>
      </c>
      <c r="AQ10" s="836" t="str">
        <f>IFERROR(__xludf.DUMMYFUNCTION("""COMPUTED_VALUE"""),"1-13 years old")</f>
        <v>1-13 years old</v>
      </c>
      <c r="AR10" s="836" t="str">
        <f>IFERROR(__xludf.DUMMYFUNCTION("""COMPUTED_VALUE"""),"Male: 95 Female: 110")</f>
        <v>Male: 95 Female: 110</v>
      </c>
      <c r="AS10" s="836">
        <f>IFERROR(__xludf.DUMMYFUNCTION("""COMPUTED_VALUE"""),1997.0)</f>
        <v>1997</v>
      </c>
      <c r="AT10" s="836"/>
      <c r="AU10" s="836" t="str">
        <f>IFERROR(__xludf.DUMMYFUNCTION("""COMPUTED_VALUE"""),"No")</f>
        <v>No</v>
      </c>
      <c r="AV10" s="836" t="str">
        <f>IFERROR(__xludf.DUMMYFUNCTION("""COMPUTED_VALUE"""),"No")</f>
        <v>No</v>
      </c>
      <c r="AW10" s="836" t="str">
        <f>IFERROR(__xludf.DUMMYFUNCTION("""COMPUTED_VALUE"""),"non cross over comparison")</f>
        <v>non cross over comparison</v>
      </c>
      <c r="AX10" s="841">
        <f>IFERROR(__xludf.DUMMYFUNCTION("""COMPUTED_VALUE"""),0.055)</f>
        <v>0.055</v>
      </c>
      <c r="AY10" s="836"/>
      <c r="AZ10" s="836"/>
      <c r="BA10" s="841">
        <f>IFERROR(__xludf.DUMMYFUNCTION("""COMPUTED_VALUE"""),0.055)</f>
        <v>0.055</v>
      </c>
      <c r="BB10" s="836"/>
      <c r="BC10" s="836"/>
      <c r="BD10" s="836"/>
      <c r="BE10" s="836"/>
      <c r="BF10" s="841">
        <f>IFERROR(__xludf.DUMMYFUNCTION("""COMPUTED_VALUE"""),0.018)</f>
        <v>0.018</v>
      </c>
      <c r="BG10" s="836"/>
      <c r="BH10" s="841">
        <f>IFERROR(__xludf.DUMMYFUNCTION("""COMPUTED_VALUE"""),0.491)</f>
        <v>0.491</v>
      </c>
      <c r="BI10" s="836"/>
      <c r="BJ10" s="836"/>
      <c r="BK10" s="836"/>
      <c r="BL10" s="836"/>
      <c r="BM10" s="836"/>
      <c r="BN10" s="836"/>
      <c r="BO10" s="836" t="str">
        <f>IFERROR(__xludf.DUMMYFUNCTION("""COMPUTED_VALUE"""),"Kato-Katz Method")</f>
        <v>Kato-Katz Method</v>
      </c>
      <c r="BP10" s="836" t="str">
        <f>IFERROR(__xludf.DUMMYFUNCTION("""COMPUTED_VALUE"""),"x")</f>
        <v>x</v>
      </c>
      <c r="BQ10" s="697">
        <f>IFERROR(__xludf.DUMMYFUNCTION("""COMPUTED_VALUE"""),9.0)</f>
        <v>9</v>
      </c>
      <c r="BR10" s="844" t="str">
        <f>IFERROR(__xludf.DUMMYFUNCTION("""COMPUTED_VALUE"""),"Fikreslasie et al.")</f>
        <v>Fikreslasie et al.</v>
      </c>
      <c r="BS10" s="838" t="str">
        <f>IFERROR(__xludf.DUMMYFUNCTION("""COMPUTED_VALUE"""),"Ethiopia")</f>
        <v>Ethiopia</v>
      </c>
      <c r="BT10" s="838" t="str">
        <f>IFERROR(__xludf.DUMMYFUNCTION("""COMPUTED_VALUE"""),"Albendazole")</f>
        <v>Albendazole</v>
      </c>
      <c r="BU10" s="838"/>
      <c r="BV10" s="838" t="str">
        <f>IFERROR(__xludf.DUMMYFUNCTION("""COMPUTED_VALUE"""),"Single")</f>
        <v>Single</v>
      </c>
      <c r="BW10" s="838" t="str">
        <f>IFERROR(__xludf.DUMMYFUNCTION("""COMPUTED_VALUE"""),"400 mg")</f>
        <v>400 mg</v>
      </c>
      <c r="BX10" s="838">
        <f>IFERROR(__xludf.DUMMYFUNCTION("""COMPUTED_VALUE"""),197.0)</f>
        <v>197</v>
      </c>
      <c r="BY10" s="845">
        <f>IFERROR(__xludf.DUMMYFUNCTION("""COMPUTED_VALUE"""),42506.0)</f>
        <v>42506</v>
      </c>
      <c r="BZ10" s="838"/>
      <c r="CA10" s="848">
        <f>IFERROR(__xludf.DUMMYFUNCTION("""COMPUTED_VALUE"""),3.1756944444444444)</f>
        <v>3.175694444</v>
      </c>
      <c r="CB10" s="838" t="str">
        <f>IFERROR(__xludf.DUMMYFUNCTION("""COMPUTED_VALUE"""),"Only children (298) who did not take anthelminthic drugs within 3 month before screening were enrolled.")</f>
        <v>Only children (298) who did not take anthelminthic drugs within 3 month before screening were enrolled.</v>
      </c>
      <c r="CC10" s="838" t="str">
        <f>IFERROR(__xludf.DUMMYFUNCTION("""COMPUTED_VALUE"""),"No")</f>
        <v>No</v>
      </c>
      <c r="CD10" s="847">
        <f>IFERROR(__xludf.DUMMYFUNCTION("""COMPUTED_VALUE"""),0.966)</f>
        <v>0.966</v>
      </c>
      <c r="CE10" s="838" t="str">
        <f>IFERROR(__xludf.DUMMYFUNCTION("""COMPUTED_VALUE"""),"No")</f>
        <v>No</v>
      </c>
      <c r="CF10" s="838"/>
      <c r="CG10" s="847">
        <f>IFERROR(__xludf.DUMMYFUNCTION("""COMPUTED_VALUE"""),0.966)</f>
        <v>0.966</v>
      </c>
      <c r="CH10" s="838"/>
      <c r="CI10" s="838"/>
      <c r="CJ10" s="838"/>
      <c r="CK10" s="838"/>
      <c r="CL10" s="838"/>
      <c r="CM10" s="838"/>
      <c r="CN10" s="847">
        <f>IFERROR(__xludf.DUMMYFUNCTION("""COMPUTED_VALUE"""),0.999)</f>
        <v>0.999</v>
      </c>
      <c r="CO10" s="838"/>
      <c r="CP10" s="838"/>
      <c r="CQ10" s="838"/>
      <c r="CR10" s="838"/>
      <c r="CS10" s="838"/>
      <c r="CT10" s="838" t="str">
        <f>IFERROR(__xludf.DUMMYFUNCTION("""COMPUTED_VALUE"""),"Kato-Katz")</f>
        <v>Kato-Katz</v>
      </c>
      <c r="CU10" s="838"/>
      <c r="CV10" s="697" t="str">
        <f>IFERROR(__xludf.DUMMYFUNCTION("""COMPUTED_VALUE"""),"Fikreslasie, Samuel, Abraham Degarege, and Berhanu Erko. ""Efficacy and Side Effects of Albendazole Currently in Use against Ascaris, Trichuris and Hookworm among School Children in Wondo Genet, Southern Ethiopia."" Parasitology International 63 (2014): 4"&amp;"50-455. Web.")</f>
        <v>Fikreslasie, Samuel, Abraham Degarege, and Berhanu Erko. "Efficacy and Side Effects of Albendazole Currently in Use against Ascaris, Trichuris and Hookworm among School Children in Wondo Genet, Southern Ethiopia." Parasitology International 63 (2014): 450-455. Web.</v>
      </c>
    </row>
    <row r="11">
      <c r="A11" s="842" t="str">
        <f>IFERROR(__xludf.DUMMYFUNCTION("""COMPUTED_VALUE"""),"Albonico et al.")</f>
        <v>Albonico et al.</v>
      </c>
      <c r="B11" s="834" t="str">
        <f>IFERROR(__xludf.DUMMYFUNCTION("""COMPUTED_VALUE"""),"Tanzania")</f>
        <v>Tanzania</v>
      </c>
      <c r="C11" s="834" t="str">
        <f>IFERROR(__xludf.DUMMYFUNCTION("""COMPUTED_VALUE"""),"Albendazole")</f>
        <v>Albendazole</v>
      </c>
      <c r="D11" s="834" t="str">
        <f>IFERROR(__xludf.DUMMYFUNCTION("""COMPUTED_VALUE"""),"Single")</f>
        <v>Single</v>
      </c>
      <c r="E11" s="834" t="str">
        <f>IFERROR(__xludf.DUMMYFUNCTION("""COMPUTED_VALUE"""),"400 mg")</f>
        <v>400 mg</v>
      </c>
      <c r="F11" s="834">
        <f>IFERROR(__xludf.DUMMYFUNCTION("""COMPUTED_VALUE"""),377.0)</f>
        <v>377</v>
      </c>
      <c r="G11" s="849">
        <f>IFERROR(__xludf.DUMMYFUNCTION("""COMPUTED_VALUE"""),42533.0)</f>
        <v>42533</v>
      </c>
      <c r="H11" s="834"/>
      <c r="I11" s="834">
        <f>IFERROR(__xludf.DUMMYFUNCTION("""COMPUTED_VALUE"""),1993.0)</f>
        <v>1993</v>
      </c>
      <c r="J11" s="834" t="str">
        <f>IFERROR(__xludf.DUMMYFUNCTION("""COMPUTED_VALUE"""),"excluded: no egg in their stool specimens of any of the 3 nematodes which were the subject of study (Ascaris, Trichuris and hookworm infections)")</f>
        <v>excluded: no egg in their stool specimens of any of the 3 nematodes which were the subject of study (Ascaris, Trichuris and hookworm infections)</v>
      </c>
      <c r="K11" s="839" t="str">
        <f>IFERROR(__xludf.DUMMYFUNCTION("""COMPUTED_VALUE"""),"single-blind randomized controlled trial")</f>
        <v>single-blind randomized controlled trial</v>
      </c>
      <c r="L11" s="839" t="str">
        <f>IFERROR(__xludf.DUMMYFUNCTION("""COMPUTED_VALUE"""),"Yes")</f>
        <v>Yes</v>
      </c>
      <c r="M11" s="839" t="str">
        <f>IFERROR(__xludf.DUMMYFUNCTION("""COMPUTED_VALUE"""),"Yes")</f>
        <v>Yes</v>
      </c>
      <c r="N11" s="840">
        <f>IFERROR(__xludf.DUMMYFUNCTION("""COMPUTED_VALUE"""),0.974)</f>
        <v>0.974</v>
      </c>
      <c r="O11" s="834"/>
      <c r="P11" s="834"/>
      <c r="Q11" s="834"/>
      <c r="R11" s="834"/>
      <c r="S11" s="834"/>
      <c r="T11" s="834"/>
      <c r="U11" s="834"/>
      <c r="V11" s="834"/>
      <c r="W11" s="840">
        <f>IFERROR(__xludf.DUMMYFUNCTION("""COMPUTED_VALUE"""),0.974)</f>
        <v>0.974</v>
      </c>
      <c r="X11" s="834"/>
      <c r="Y11" s="840">
        <f>IFERROR(__xludf.DUMMYFUNCTION("""COMPUTED_VALUE"""),0.974)</f>
        <v>0.974</v>
      </c>
      <c r="Z11" s="834"/>
      <c r="AA11" s="834"/>
      <c r="AB11" s="834"/>
      <c r="AC11" s="840">
        <f>IFERROR(__xludf.DUMMYFUNCTION("""COMPUTED_VALUE"""),0.926)</f>
        <v>0.926</v>
      </c>
      <c r="AD11" s="840">
        <f>IFERROR(__xludf.DUMMYFUNCTION("""COMPUTED_VALUE"""),0.545)</f>
        <v>0.545</v>
      </c>
      <c r="AE11" s="834" t="str">
        <f>IFERROR(__xludf.DUMMYFUNCTION("""COMPUTED_VALUE"""),"The higher intesity of hookworm infection at 6 months could be related to higher transmission due to more favorable environmental conditions after the rainy season in april-may. It can also be said that neither drug was fully effectuve against hookworm.")</f>
        <v>The higher intesity of hookworm infection at 6 months could be related to higher transmission due to more favorable environmental conditions after the rainy season in april-may. It can also be said that neither drug was fully effectuve against hookworm.</v>
      </c>
      <c r="AF11" s="834" t="str">
        <f>IFERROR(__xludf.DUMMYFUNCTION("""COMPUTED_VALUE"""),"Stool samples examined using Kato-Katz Method                                           ")</f>
        <v>Stool samples examined using Kato-Katz Method                                           </v>
      </c>
      <c r="AG11" s="834" t="str">
        <f>IFERROR(__xludf.DUMMYFUNCTION("""COMPUTED_VALUE"""),"Albonico, Marco, Peter G. Smith, Elena Ercole, Andrew Hall, Hababu M. Chwaya, Kassim S. Alawi, and Lorenzo Savoli. ""Rate of Reinfection with Tenstinal Nematodes after Treatment of Children with Mebendazoleor Albendazolein a Highly Endemic Area."" Transac"&amp;"tions of the Royal Society of Tropical Medicine and Hygiene 89 (1995): 538-41. Web.")</f>
        <v>Albonico, Marco, Peter G. Smith, Elena Ercole, Andrew Hall, Hababu M. Chwaya, Kassim S. Alawi, and Lorenzo Savoli. "Rate of Reinfection with Tenstinal Nematodes after Treatment of Children with Mebendazoleor Albendazolein a Highly Endemic Area." Transactions of the Royal Society of Tropical Medicine and Hygiene 89 (1995): 538-41. Web.</v>
      </c>
      <c r="AH11" s="834"/>
      <c r="AJ11" s="843" t="str">
        <f>IFERROR(__xludf.DUMMYFUNCTION("""COMPUTED_VALUE"""),"Steinmann et al.")</f>
        <v>Steinmann et al.</v>
      </c>
      <c r="AK11" s="836" t="str">
        <f>IFERROR(__xludf.DUMMYFUNCTION("""COMPUTED_VALUE"""),"Steinmann, Peter, Jurg Utzinger, Zun-Wei Du, Jin-Yong Jiang, Jia-Xu Chen, Jan Hattendorf, Hui Zhou, and Xiao-Nong Zhou. ""Efficacy of Single Dose and Triple Dose Albendazoleand Mebendazoleagainst Soil Transmitted Helminths and Taenia Spp.: A Randomized Co"&amp;"ntrolled Trial."" PLOS Neglected Tropical Diseases 6.9 (2011): 1-8. Web.")</f>
        <v>Steinmann, Peter, Jurg Utzinger, Zun-Wei Du, Jin-Yong Jiang, Jia-Xu Chen, Jan Hattendorf, Hui Zhou, and Xiao-Nong Zhou. "Efficacy of Single Dose and Triple Dose Albendazoleand Mebendazoleagainst Soil Transmitted Helminths and Taenia Spp.: A Randomized Controlled Trial." PLOS Neglected Tropical Diseases 6.9 (2011): 1-8. Web.</v>
      </c>
      <c r="AL11" s="836" t="str">
        <f>IFERROR(__xludf.DUMMYFUNCTION("""COMPUTED_VALUE"""),"China")</f>
        <v>China</v>
      </c>
      <c r="AM11" s="836" t="str">
        <f>IFERROR(__xludf.DUMMYFUNCTION("""COMPUTED_VALUE"""),"Albendazole")</f>
        <v>Albendazole</v>
      </c>
      <c r="AN11" s="836" t="str">
        <f>IFERROR(__xludf.DUMMYFUNCTION("""COMPUTED_VALUE"""),"Single")</f>
        <v>Single</v>
      </c>
      <c r="AO11" s="836" t="str">
        <f>IFERROR(__xludf.DUMMYFUNCTION("""COMPUTED_VALUE"""),"400 mg")</f>
        <v>400 mg</v>
      </c>
      <c r="AP11" s="836">
        <f>IFERROR(__xludf.DUMMYFUNCTION("""COMPUTED_VALUE"""),65.0)</f>
        <v>65</v>
      </c>
      <c r="AQ11" s="836" t="str">
        <f>IFERROR(__xludf.DUMMYFUNCTION("""COMPUTED_VALUE"""),"5 years old or above")</f>
        <v>5 years old or above</v>
      </c>
      <c r="AR11" s="836" t="str">
        <f>IFERROR(__xludf.DUMMYFUNCTION("""COMPUTED_VALUE"""),"Female:35")</f>
        <v>Female:35</v>
      </c>
      <c r="AS11" s="836">
        <f>IFERROR(__xludf.DUMMYFUNCTION("""COMPUTED_VALUE"""),2008.0)</f>
        <v>2008</v>
      </c>
      <c r="AT11" s="836" t="str">
        <f>IFERROR(__xludf.DUMMYFUNCTION("""COMPUTED_VALUE"""),"Exclusions: Presence of diagnosed or percieved chronic disease or other conditions likely to interfere with anthelminthic treatment, pregnancy, recent history of anthelminthic treatment, and participation in other trials within 1 month")</f>
        <v>Exclusions: Presence of diagnosed or percieved chronic disease or other conditions likely to interfere with anthelminthic treatment, pregnancy, recent history of anthelminthic treatment, and participation in other trials within 1 month</v>
      </c>
      <c r="AU11" s="836" t="str">
        <f>IFERROR(__xludf.DUMMYFUNCTION("""COMPUTED_VALUE"""),"Yes")</f>
        <v>Yes</v>
      </c>
      <c r="AV11" s="836" t="str">
        <f>IFERROR(__xludf.DUMMYFUNCTION("""COMPUTED_VALUE"""),"Yes")</f>
        <v>Yes</v>
      </c>
      <c r="AW11" s="836" t="str">
        <f>IFERROR(__xludf.DUMMYFUNCTION("""COMPUTED_VALUE"""),"community based open label outcome assessors-blinded randomzied controlled trial")</f>
        <v>community based open label outcome assessors-blinded randomzied controlled trial</v>
      </c>
      <c r="AX11" s="841">
        <f>IFERROR(__xludf.DUMMYFUNCTION("""COMPUTED_VALUE"""),0.338)</f>
        <v>0.338</v>
      </c>
      <c r="AY11" s="836"/>
      <c r="AZ11" s="836"/>
      <c r="BA11" s="836"/>
      <c r="BB11" s="836"/>
      <c r="BC11" s="841">
        <f>IFERROR(__xludf.DUMMYFUNCTION("""COMPUTED_VALUE"""),0.338)</f>
        <v>0.338</v>
      </c>
      <c r="BD11" s="836"/>
      <c r="BE11" s="836"/>
      <c r="BF11" s="836"/>
      <c r="BG11" s="836"/>
      <c r="BH11" s="841">
        <f>IFERROR(__xludf.DUMMYFUNCTION("""COMPUTED_VALUE"""),0.77)</f>
        <v>0.77</v>
      </c>
      <c r="BI11" s="836"/>
      <c r="BJ11" s="836"/>
      <c r="BK11" s="836"/>
      <c r="BL11" s="836"/>
      <c r="BM11" s="836"/>
      <c r="BN11" s="836"/>
      <c r="BO11" s="836" t="str">
        <f>IFERROR(__xludf.DUMMYFUNCTION("""COMPUTED_VALUE"""),"Kato-katz Method")</f>
        <v>Kato-katz Method</v>
      </c>
      <c r="BP11" s="836"/>
      <c r="BQ11" s="697">
        <f>IFERROR(__xludf.DUMMYFUNCTION("""COMPUTED_VALUE"""),10.0)</f>
        <v>10</v>
      </c>
      <c r="BR11" s="844" t="str">
        <f>IFERROR(__xludf.DUMMYFUNCTION("""COMPUTED_VALUE"""),"Lubis et al.")</f>
        <v>Lubis et al.</v>
      </c>
      <c r="BS11" s="838" t="str">
        <f>IFERROR(__xludf.DUMMYFUNCTION("""COMPUTED_VALUE"""),"Indonesia")</f>
        <v>Indonesia</v>
      </c>
      <c r="BT11" s="838" t="str">
        <f>IFERROR(__xludf.DUMMYFUNCTION("""COMPUTED_VALUE"""),"Albendazole")</f>
        <v>Albendazole</v>
      </c>
      <c r="BU11" s="838"/>
      <c r="BV11" s="838" t="str">
        <f>IFERROR(__xludf.DUMMYFUNCTION("""COMPUTED_VALUE"""),"Single")</f>
        <v>Single</v>
      </c>
      <c r="BW11" s="838" t="str">
        <f>IFERROR(__xludf.DUMMYFUNCTION("""COMPUTED_VALUE"""),"400 mg")</f>
        <v>400 mg</v>
      </c>
      <c r="BX11" s="838">
        <f>IFERROR(__xludf.DUMMYFUNCTION("""COMPUTED_VALUE"""),123.0)</f>
        <v>123</v>
      </c>
      <c r="BY11" s="838" t="str">
        <f>IFERROR(__xludf.DUMMYFUNCTION("""COMPUTED_VALUE"""),"School Children")</f>
        <v>School Children</v>
      </c>
      <c r="BZ11" s="838"/>
      <c r="CA11" s="838"/>
      <c r="CB11" s="838"/>
      <c r="CC11" s="838" t="str">
        <f>IFERROR(__xludf.DUMMYFUNCTION("""COMPUTED_VALUE"""),"Yes")</f>
        <v>Yes</v>
      </c>
      <c r="CD11" s="847">
        <f>IFERROR(__xludf.DUMMYFUNCTION("""COMPUTED_VALUE"""),0.967)</f>
        <v>0.967</v>
      </c>
      <c r="CE11" s="838" t="str">
        <f>IFERROR(__xludf.DUMMYFUNCTION("""COMPUTED_VALUE"""),"Yes")</f>
        <v>Yes</v>
      </c>
      <c r="CF11" s="838"/>
      <c r="CG11" s="838"/>
      <c r="CH11" s="838"/>
      <c r="CI11" s="838"/>
      <c r="CJ11" s="838"/>
      <c r="CK11" s="838"/>
      <c r="CL11" s="838"/>
      <c r="CM11" s="847">
        <f>IFERROR(__xludf.DUMMYFUNCTION("""COMPUTED_VALUE"""),0.993)</f>
        <v>0.993</v>
      </c>
      <c r="CN11" s="838"/>
      <c r="CO11" s="838"/>
      <c r="CP11" s="838"/>
      <c r="CQ11" s="838"/>
      <c r="CR11" s="838"/>
      <c r="CS11" s="838"/>
      <c r="CT11" s="838" t="str">
        <f>IFERROR(__xludf.DUMMYFUNCTION("""COMPUTED_VALUE"""),"Kato-Katz")</f>
        <v>Kato-Katz</v>
      </c>
      <c r="CU11" s="838"/>
      <c r="CV11" s="697" t="str">
        <f>IFERROR(__xludf.DUMMYFUNCTION("""COMPUTED_VALUE"""),"Lubis, Inke Nadia Diniyanti, Syahril Pasaribu, and Chairuddin Panusunan Lubis. ""Current Status of the Efficacy and Effectiveness of Albendazole and Mebendazole for the Treatment of Ascaris Lumbricoides in North-Western Indonesia."" Asian Pacific Journal "&amp;"of Tropical Medicine (2012): 605-09. Web.")</f>
        <v>Lubis, Inke Nadia Diniyanti, Syahril Pasaribu, and Chairuddin Panusunan Lubis. "Current Status of the Efficacy and Effectiveness of Albendazole and Mebendazole for the Treatment of Ascaris Lumbricoides in North-Western Indonesia." Asian Pacific Journal of Tropical Medicine (2012): 605-09. Web.</v>
      </c>
    </row>
    <row r="12">
      <c r="A12" s="842" t="str">
        <f>IFERROR(__xludf.DUMMYFUNCTION("""COMPUTED_VALUE"""),"Albonico et al.")</f>
        <v>Albonico et al.</v>
      </c>
      <c r="B12" s="834" t="str">
        <f>IFERROR(__xludf.DUMMYFUNCTION("""COMPUTED_VALUE"""),"Tanzania")</f>
        <v>Tanzania</v>
      </c>
      <c r="C12" s="834" t="str">
        <f>IFERROR(__xludf.DUMMYFUNCTION("""COMPUTED_VALUE"""),"Mebendazole")</f>
        <v>Mebendazole</v>
      </c>
      <c r="D12" s="834" t="str">
        <f>IFERROR(__xludf.DUMMYFUNCTION("""COMPUTED_VALUE"""),"Single")</f>
        <v>Single</v>
      </c>
      <c r="E12" s="834" t="str">
        <f>IFERROR(__xludf.DUMMYFUNCTION("""COMPUTED_VALUE"""),"500 mg")</f>
        <v>500 mg</v>
      </c>
      <c r="F12" s="834">
        <f>IFERROR(__xludf.DUMMYFUNCTION("""COMPUTED_VALUE"""),354.0)</f>
        <v>354</v>
      </c>
      <c r="G12" s="849">
        <f>IFERROR(__xludf.DUMMYFUNCTION("""COMPUTED_VALUE"""),42533.0)</f>
        <v>42533</v>
      </c>
      <c r="H12" s="834"/>
      <c r="I12" s="834">
        <f>IFERROR(__xludf.DUMMYFUNCTION("""COMPUTED_VALUE"""),1993.0)</f>
        <v>1993</v>
      </c>
      <c r="J12" s="834" t="str">
        <f>IFERROR(__xludf.DUMMYFUNCTION("""COMPUTED_VALUE"""),"excluded: no egg in their stool specimens of any of the 3 nematodes which were the subject of study (Ascaris, Trichuris and hookworm infections)")</f>
        <v>excluded: no egg in their stool specimens of any of the 3 nematodes which were the subject of study (Ascaris, Trichuris and hookworm infections)</v>
      </c>
      <c r="K12" s="839" t="str">
        <f>IFERROR(__xludf.DUMMYFUNCTION("""COMPUTED_VALUE"""),"single-blind randomized controlled trial")</f>
        <v>single-blind randomized controlled trial</v>
      </c>
      <c r="L12" s="839" t="str">
        <f>IFERROR(__xludf.DUMMYFUNCTION("""COMPUTED_VALUE"""),"Yes")</f>
        <v>Yes</v>
      </c>
      <c r="M12" s="839" t="str">
        <f>IFERROR(__xludf.DUMMYFUNCTION("""COMPUTED_VALUE"""),"Yes")</f>
        <v>Yes</v>
      </c>
      <c r="N12" s="840">
        <f>IFERROR(__xludf.DUMMYFUNCTION("""COMPUTED_VALUE"""),0.83)</f>
        <v>0.83</v>
      </c>
      <c r="O12" s="834"/>
      <c r="P12" s="834"/>
      <c r="Q12" s="834"/>
      <c r="R12" s="834"/>
      <c r="S12" s="834"/>
      <c r="T12" s="834"/>
      <c r="U12" s="834"/>
      <c r="V12" s="834"/>
      <c r="W12" s="840">
        <f>IFERROR(__xludf.DUMMYFUNCTION("""COMPUTED_VALUE"""),0.83)</f>
        <v>0.83</v>
      </c>
      <c r="X12" s="834"/>
      <c r="Y12" s="840">
        <f>IFERROR(__xludf.DUMMYFUNCTION("""COMPUTED_VALUE"""),0.83)</f>
        <v>0.83</v>
      </c>
      <c r="Z12" s="834"/>
      <c r="AA12" s="834"/>
      <c r="AB12" s="834"/>
      <c r="AC12" s="840">
        <f>IFERROR(__xludf.DUMMYFUNCTION("""COMPUTED_VALUE"""),0.876)</f>
        <v>0.876</v>
      </c>
      <c r="AD12" s="840">
        <f>IFERROR(__xludf.DUMMYFUNCTION("""COMPUTED_VALUE"""),0.179)</f>
        <v>0.179</v>
      </c>
      <c r="AE12" s="834" t="str">
        <f>IFERROR(__xludf.DUMMYFUNCTION("""COMPUTED_VALUE"""),"The higher intesity of hookworm infection at 6 months could be related to higher transmission due to more favorable environmental conditions after the rainy season in april-may. It can also be said that neither drug was fully effectuve against hookworm.")</f>
        <v>The higher intesity of hookworm infection at 6 months could be related to higher transmission due to more favorable environmental conditions after the rainy season in april-may. It can also be said that neither drug was fully effectuve against hookworm.</v>
      </c>
      <c r="AF12" s="834" t="str">
        <f>IFERROR(__xludf.DUMMYFUNCTION("""COMPUTED_VALUE"""),"Stool samples examined using Kato-Katz Method                                           ")</f>
        <v>Stool samples examined using Kato-Katz Method                                           </v>
      </c>
      <c r="AG12" s="834" t="str">
        <f>IFERROR(__xludf.DUMMYFUNCTION("""COMPUTED_VALUE"""),"Albonico, Marco, Peter G. Smith, Elena Ercole, Andrew Hall, Hababu M. Chwaya, Kassim S. Alawi, and Lorenzo Savoli. ""Rate of Reinfection with Tenstinal Nematodes after Treatment of Children with Mebendazoleor Albendazolein a Highly Endemic Area."" Transac"&amp;"tions of the Royal Society of Tropical Medicine and Hygiene 89 (1995): 538-41. Web.")</f>
        <v>Albonico, Marco, Peter G. Smith, Elena Ercole, Andrew Hall, Hababu M. Chwaya, Kassim S. Alawi, and Lorenzo Savoli. "Rate of Reinfection with Tenstinal Nematodes after Treatment of Children with Mebendazoleor Albendazolein a Highly Endemic Area." Transactions of the Royal Society of Tropical Medicine and Hygiene 89 (1995): 538-41. Web.</v>
      </c>
      <c r="AH12" s="834"/>
      <c r="AJ12" s="843" t="str">
        <f>IFERROR(__xludf.DUMMYFUNCTION("""COMPUTED_VALUE"""),"Steinmann et al.")</f>
        <v>Steinmann et al.</v>
      </c>
      <c r="AK12" s="836"/>
      <c r="AL12" s="836" t="str">
        <f>IFERROR(__xludf.DUMMYFUNCTION("""COMPUTED_VALUE"""),"China")</f>
        <v>China</v>
      </c>
      <c r="AM12" s="836" t="str">
        <f>IFERROR(__xludf.DUMMYFUNCTION("""COMPUTED_VALUE"""),"Albendazole")</f>
        <v>Albendazole</v>
      </c>
      <c r="AN12" s="836" t="str">
        <f>IFERROR(__xludf.DUMMYFUNCTION("""COMPUTED_VALUE"""),"Three")</f>
        <v>Three</v>
      </c>
      <c r="AO12" s="836" t="str">
        <f>IFERROR(__xludf.DUMMYFUNCTION("""COMPUTED_VALUE"""),"400 mg")</f>
        <v>400 mg</v>
      </c>
      <c r="AP12" s="836">
        <f>IFERROR(__xludf.DUMMYFUNCTION("""COMPUTED_VALUE"""),48.0)</f>
        <v>48</v>
      </c>
      <c r="AQ12" s="836" t="str">
        <f>IFERROR(__xludf.DUMMYFUNCTION("""COMPUTED_VALUE"""),"5 years old or above")</f>
        <v>5 years old or above</v>
      </c>
      <c r="AR12" s="836" t="str">
        <f>IFERROR(__xludf.DUMMYFUNCTION("""COMPUTED_VALUE"""),"Female:36")</f>
        <v>Female:36</v>
      </c>
      <c r="AS12" s="836">
        <f>IFERROR(__xludf.DUMMYFUNCTION("""COMPUTED_VALUE"""),2008.0)</f>
        <v>2008</v>
      </c>
      <c r="AT12" s="836" t="str">
        <f>IFERROR(__xludf.DUMMYFUNCTION("""COMPUTED_VALUE"""),"Exclusions: Presence of diagnosed or percieved chronic disease or other conditions likely to interfere with anthelminthic treatment, pregnancy, recent history of anthelminthic treatment, and participation in other trials within 1 month")</f>
        <v>Exclusions: Presence of diagnosed or percieved chronic disease or other conditions likely to interfere with anthelminthic treatment, pregnancy, recent history of anthelminthic treatment, and participation in other trials within 1 month</v>
      </c>
      <c r="AU12" s="836" t="str">
        <f>IFERROR(__xludf.DUMMYFUNCTION("""COMPUTED_VALUE"""),"Yes")</f>
        <v>Yes</v>
      </c>
      <c r="AV12" s="836" t="str">
        <f>IFERROR(__xludf.DUMMYFUNCTION("""COMPUTED_VALUE"""),"Yes")</f>
        <v>Yes</v>
      </c>
      <c r="AW12" s="836" t="str">
        <f>IFERROR(__xludf.DUMMYFUNCTION("""COMPUTED_VALUE"""),"community based open label outcome assessors-blinded randomzied controlled trial")</f>
        <v>community based open label outcome assessors-blinded randomzied controlled trial</v>
      </c>
      <c r="AX12" s="841">
        <f>IFERROR(__xludf.DUMMYFUNCTION("""COMPUTED_VALUE"""),0.562)</f>
        <v>0.562</v>
      </c>
      <c r="AY12" s="836"/>
      <c r="AZ12" s="836"/>
      <c r="BA12" s="836"/>
      <c r="BB12" s="836"/>
      <c r="BC12" s="841">
        <f>IFERROR(__xludf.DUMMYFUNCTION("""COMPUTED_VALUE"""),0.562)</f>
        <v>0.562</v>
      </c>
      <c r="BD12" s="836"/>
      <c r="BE12" s="836"/>
      <c r="BF12" s="836"/>
      <c r="BG12" s="836"/>
      <c r="BH12" s="850">
        <f>IFERROR(__xludf.DUMMYFUNCTION("""COMPUTED_VALUE"""),0.94)</f>
        <v>0.94</v>
      </c>
      <c r="BI12" s="836"/>
      <c r="BJ12" s="836"/>
      <c r="BK12" s="836"/>
      <c r="BL12" s="836"/>
      <c r="BM12" s="836"/>
      <c r="BN12" s="836"/>
      <c r="BO12" s="836"/>
      <c r="BP12" s="836"/>
      <c r="BQ12" s="697">
        <f>IFERROR(__xludf.DUMMYFUNCTION("""COMPUTED_VALUE"""),11.0)</f>
        <v>11</v>
      </c>
      <c r="BR12" s="844" t="str">
        <f>IFERROR(__xludf.DUMMYFUNCTION("""COMPUTED_VALUE"""),"Lubis et al.")</f>
        <v>Lubis et al.</v>
      </c>
      <c r="BS12" s="838" t="str">
        <f>IFERROR(__xludf.DUMMYFUNCTION("""COMPUTED_VALUE"""),"Indonesia")</f>
        <v>Indonesia</v>
      </c>
      <c r="BT12" s="838" t="str">
        <f>IFERROR(__xludf.DUMMYFUNCTION("""COMPUTED_VALUE"""),"Mebendazole")</f>
        <v>Mebendazole</v>
      </c>
      <c r="BU12" s="838"/>
      <c r="BV12" s="838" t="str">
        <f>IFERROR(__xludf.DUMMYFUNCTION("""COMPUTED_VALUE"""),"Single")</f>
        <v>Single</v>
      </c>
      <c r="BW12" s="838" t="str">
        <f>IFERROR(__xludf.DUMMYFUNCTION("""COMPUTED_VALUE"""),"500 mg")</f>
        <v>500 mg</v>
      </c>
      <c r="BX12" s="838">
        <f>IFERROR(__xludf.DUMMYFUNCTION("""COMPUTED_VALUE"""),106.0)</f>
        <v>106</v>
      </c>
      <c r="BY12" s="838" t="str">
        <f>IFERROR(__xludf.DUMMYFUNCTION("""COMPUTED_VALUE"""),"School Children")</f>
        <v>School Children</v>
      </c>
      <c r="BZ12" s="838"/>
      <c r="CA12" s="838"/>
      <c r="CB12" s="838"/>
      <c r="CC12" s="838" t="str">
        <f>IFERROR(__xludf.DUMMYFUNCTION("""COMPUTED_VALUE"""),"Yes")</f>
        <v>Yes</v>
      </c>
      <c r="CD12" s="847">
        <f>IFERROR(__xludf.DUMMYFUNCTION("""COMPUTED_VALUE"""),1.0)</f>
        <v>1</v>
      </c>
      <c r="CE12" s="838" t="str">
        <f>IFERROR(__xludf.DUMMYFUNCTION("""COMPUTED_VALUE"""),"Yes")</f>
        <v>Yes</v>
      </c>
      <c r="CF12" s="838"/>
      <c r="CG12" s="838"/>
      <c r="CH12" s="838"/>
      <c r="CI12" s="838"/>
      <c r="CJ12" s="838"/>
      <c r="CK12" s="838"/>
      <c r="CL12" s="838"/>
      <c r="CM12" s="847">
        <f>IFERROR(__xludf.DUMMYFUNCTION("""COMPUTED_VALUE"""),1.0)</f>
        <v>1</v>
      </c>
      <c r="CN12" s="838"/>
      <c r="CO12" s="838"/>
      <c r="CP12" s="838"/>
      <c r="CQ12" s="838"/>
      <c r="CR12" s="838"/>
      <c r="CS12" s="838"/>
      <c r="CT12" s="838"/>
      <c r="CU12" s="838"/>
      <c r="CV12" s="697" t="str">
        <f>IFERROR(__xludf.DUMMYFUNCTION("""COMPUTED_VALUE"""),"Lubis, Inke Nadia Diniyanti, Syahril Pasaribu, and Chairuddin Panusunan Lubis. ""Current Status of the Efficacy and Effectiveness of Albendazole and Mebendazole for the Treatment of Ascaris Lumbricoides in North-Western Indonesia."" Asian Pacific Journal "&amp;"of Tropical Medicine (2012): 605-09. Web.")</f>
        <v>Lubis, Inke Nadia Diniyanti, Syahril Pasaribu, and Chairuddin Panusunan Lubis. "Current Status of the Efficacy and Effectiveness of Albendazole and Mebendazole for the Treatment of Ascaris Lumbricoides in North-Western Indonesia." Asian Pacific Journal of Tropical Medicine (2012): 605-09. Web.</v>
      </c>
    </row>
    <row r="13">
      <c r="A13" s="842" t="str">
        <f>IFERROR(__xludf.DUMMYFUNCTION("""COMPUTED_VALUE"""),"Albonico et al. ")</f>
        <v>Albonico et al. </v>
      </c>
      <c r="B13" s="834" t="str">
        <f>IFERROR(__xludf.DUMMYFUNCTION("""COMPUTED_VALUE"""),"Tanzania")</f>
        <v>Tanzania</v>
      </c>
      <c r="C13" s="834" t="str">
        <f>IFERROR(__xludf.DUMMYFUNCTION("""COMPUTED_VALUE"""),"Mebendazole")</f>
        <v>Mebendazole</v>
      </c>
      <c r="D13" s="834" t="str">
        <f>IFERROR(__xludf.DUMMYFUNCTION("""COMPUTED_VALUE"""),"Single")</f>
        <v>Single</v>
      </c>
      <c r="E13" s="834" t="str">
        <f>IFERROR(__xludf.DUMMYFUNCTION("""COMPUTED_VALUE"""),"500 mg")</f>
        <v>500 mg</v>
      </c>
      <c r="F13" s="834">
        <f>IFERROR(__xludf.DUMMYFUNCTION("""COMPUTED_VALUE"""),285.0)</f>
        <v>285</v>
      </c>
      <c r="G13" s="834">
        <f>IFERROR(__xludf.DUMMYFUNCTION("""COMPUTED_VALUE"""),11.5)</f>
        <v>11.5</v>
      </c>
      <c r="H13" s="851">
        <f>IFERROR(__xludf.DUMMYFUNCTION("""COMPUTED_VALUE"""),0.5173611111111112)</f>
        <v>0.5173611111</v>
      </c>
      <c r="I13" s="834">
        <f>IFERROR(__xludf.DUMMYFUNCTION("""COMPUTED_VALUE"""),1999.0)</f>
        <v>1999</v>
      </c>
      <c r="J13" s="834" t="str">
        <f>IFERROR(__xludf.DUMMYFUNCTION("""COMPUTED_VALUE"""),"excluded: did not have parental or guardian permission to participate, did not have a stool sample, had significant comorbidities, had recentely transferred to the school from an area outside of zanzibar")</f>
        <v>excluded: did not have parental or guardian permission to participate, did not have a stool sample, had significant comorbidities, had recentely transferred to the school from an area outside of zanzibar</v>
      </c>
      <c r="K13" s="839" t="str">
        <f>IFERROR(__xludf.DUMMYFUNCTION("""COMPUTED_VALUE"""),"single-blind randomized controlled trial")</f>
        <v>single-blind randomized controlled trial</v>
      </c>
      <c r="L13" s="839" t="str">
        <f>IFERROR(__xludf.DUMMYFUNCTION("""COMPUTED_VALUE"""),"Yes")</f>
        <v>Yes</v>
      </c>
      <c r="M13" s="839" t="str">
        <f>IFERROR(__xludf.DUMMYFUNCTION("""COMPUTED_VALUE"""),"Yes")</f>
        <v>Yes</v>
      </c>
      <c r="N13" s="840">
        <f>IFERROR(__xludf.DUMMYFUNCTION("""COMPUTED_VALUE"""),0.076)</f>
        <v>0.076</v>
      </c>
      <c r="O13" s="834"/>
      <c r="P13" s="840">
        <f>IFERROR(__xludf.DUMMYFUNCTION("""COMPUTED_VALUE"""),0.076)</f>
        <v>0.076</v>
      </c>
      <c r="Q13" s="834"/>
      <c r="R13" s="834"/>
      <c r="S13" s="834"/>
      <c r="T13" s="834"/>
      <c r="U13" s="834"/>
      <c r="V13" s="834"/>
      <c r="W13" s="840">
        <f>IFERROR(__xludf.DUMMYFUNCTION("""COMPUTED_VALUE"""),0.521)</f>
        <v>0.521</v>
      </c>
      <c r="X13" s="834"/>
      <c r="Y13" s="840">
        <f>IFERROR(__xludf.DUMMYFUNCTION("""COMPUTED_VALUE"""),0.521)</f>
        <v>0.521</v>
      </c>
      <c r="Z13" s="834"/>
      <c r="AA13" s="834"/>
      <c r="AB13" s="834"/>
      <c r="AC13" s="834"/>
      <c r="AD13" s="834"/>
      <c r="AE13" s="834" t="str">
        <f>IFERROR(__xludf.DUMMYFUNCTION("""COMPUTED_VALUE"""),"The efficacy of the combined administration of Mebendazole500 mg and levamisole 40 or 80 mg was evaluated for the first time in this study and showed higher efficacy than either drug alone against hookworm infections.")</f>
        <v>The efficacy of the combined administration of Mebendazole500 mg and levamisole 40 or 80 mg was evaluated for the first time in this study and showed higher efficacy than either drug alone against hookworm infections.</v>
      </c>
      <c r="AF13" s="834" t="str">
        <f>IFERROR(__xludf.DUMMYFUNCTION("""COMPUTED_VALUE"""),"• Children at Standard 1 (1st grade) had not yet been treated with Mebendazolein school, whereas children at Standard 5 (5th grade) had been exposed to 15 rounds of Mebendazoletreatment.
• Stool samples examined using Kato-Katz Method.                    "&amp;"                      ")</f>
        <v>• Children at Standard 1 (1st grade) had not yet been treated with Mebendazolein school, whereas children at Standard 5 (5th grade) had been exposed to 15 rounds of Mebendazoletreatment.
• Stool samples examined using Kato-Katz Method.                                          </v>
      </c>
      <c r="AG13" s="834" t="str">
        <f>IFERROR(__xludf.DUMMYFUNCTION("""COMPUTED_VALUE"""),"Albonico, M., Q. Bickle, M. Ramsan, A. Montresor, L. Savioli, and M. Taylor. ""Efficacy of Mebendazoleand Levamisole Alone or in Combination against Intestinal Nematode Infections after Repeated Targeted MebendazoleTreatment in Zanzibar."" Bulletin of the"&amp;" World Health Organization 81.5 (2003): 343-52. Web.")</f>
        <v>Albonico, M., Q. Bickle, M. Ramsan, A. Montresor, L. Savioli, and M. Taylor. "Efficacy of Mebendazoleand Levamisole Alone or in Combination against Intestinal Nematode Infections after Repeated Targeted MebendazoleTreatment in Zanzibar." Bulletin of the World Health Organization 81.5 (2003): 343-52. Web.</v>
      </c>
      <c r="AH13" s="834"/>
      <c r="AJ13" s="843" t="str">
        <f>IFERROR(__xludf.DUMMYFUNCTION("""COMPUTED_VALUE"""),"Steinmann et al.")</f>
        <v>Steinmann et al.</v>
      </c>
      <c r="AK13" s="836"/>
      <c r="AL13" s="836" t="str">
        <f>IFERROR(__xludf.DUMMYFUNCTION("""COMPUTED_VALUE"""),"China")</f>
        <v>China</v>
      </c>
      <c r="AM13" s="836" t="str">
        <f>IFERROR(__xludf.DUMMYFUNCTION("""COMPUTED_VALUE"""),"Mebendazole")</f>
        <v>Mebendazole</v>
      </c>
      <c r="AN13" s="836" t="str">
        <f>IFERROR(__xludf.DUMMYFUNCTION("""COMPUTED_VALUE"""),"Single")</f>
        <v>Single</v>
      </c>
      <c r="AO13" s="836" t="str">
        <f>IFERROR(__xludf.DUMMYFUNCTION("""COMPUTED_VALUE"""),"500 mg")</f>
        <v>500 mg</v>
      </c>
      <c r="AP13" s="836">
        <f>IFERROR(__xludf.DUMMYFUNCTION("""COMPUTED_VALUE"""),63.0)</f>
        <v>63</v>
      </c>
      <c r="AQ13" s="836" t="str">
        <f>IFERROR(__xludf.DUMMYFUNCTION("""COMPUTED_VALUE"""),"5 years old or above")</f>
        <v>5 years old or above</v>
      </c>
      <c r="AR13" s="836" t="str">
        <f>IFERROR(__xludf.DUMMYFUNCTION("""COMPUTED_VALUE"""),"Female:39")</f>
        <v>Female:39</v>
      </c>
      <c r="AS13" s="836">
        <f>IFERROR(__xludf.DUMMYFUNCTION("""COMPUTED_VALUE"""),2008.0)</f>
        <v>2008</v>
      </c>
      <c r="AT13" s="836" t="str">
        <f>IFERROR(__xludf.DUMMYFUNCTION("""COMPUTED_VALUE"""),"Exclusions: Presence of diagnosed or percieved chronic disease or other conditions likely to interfere with anthelminthic treatment, pregnancy, recent history of anthelminthic treatment, and participation in other trials within 1 month")</f>
        <v>Exclusions: Presence of diagnosed or percieved chronic disease or other conditions likely to interfere with anthelminthic treatment, pregnancy, recent history of anthelminthic treatment, and participation in other trials within 1 month</v>
      </c>
      <c r="AU13" s="836" t="str">
        <f>IFERROR(__xludf.DUMMYFUNCTION("""COMPUTED_VALUE"""),"Yes")</f>
        <v>Yes</v>
      </c>
      <c r="AV13" s="836" t="str">
        <f>IFERROR(__xludf.DUMMYFUNCTION("""COMPUTED_VALUE"""),"Yes")</f>
        <v>Yes</v>
      </c>
      <c r="AW13" s="836" t="str">
        <f>IFERROR(__xludf.DUMMYFUNCTION("""COMPUTED_VALUE"""),"community based open label outcome assessors-blinded randomzied controlled trial")</f>
        <v>community based open label outcome assessors-blinded randomzied controlled trial</v>
      </c>
      <c r="AX13" s="841">
        <f>IFERROR(__xludf.DUMMYFUNCTION("""COMPUTED_VALUE"""),0.397)</f>
        <v>0.397</v>
      </c>
      <c r="AY13" s="836"/>
      <c r="AZ13" s="836"/>
      <c r="BA13" s="836"/>
      <c r="BB13" s="836"/>
      <c r="BC13" s="841">
        <f>IFERROR(__xludf.DUMMYFUNCTION("""COMPUTED_VALUE"""),0.397)</f>
        <v>0.397</v>
      </c>
      <c r="BD13" s="836"/>
      <c r="BE13" s="836"/>
      <c r="BF13" s="836"/>
      <c r="BG13" s="836"/>
      <c r="BH13" s="841">
        <f>IFERROR(__xludf.DUMMYFUNCTION("""COMPUTED_VALUE"""),0.83)</f>
        <v>0.83</v>
      </c>
      <c r="BI13" s="836"/>
      <c r="BJ13" s="836"/>
      <c r="BK13" s="836"/>
      <c r="BL13" s="836"/>
      <c r="BM13" s="836"/>
      <c r="BN13" s="836"/>
      <c r="BO13" s="836"/>
      <c r="BP13" s="836"/>
      <c r="BQ13" s="697">
        <f>IFERROR(__xludf.DUMMYFUNCTION("""COMPUTED_VALUE"""),12.0)</f>
        <v>12</v>
      </c>
      <c r="BR13" s="844" t="str">
        <f>IFERROR(__xludf.DUMMYFUNCTION("""COMPUTED_VALUE"""),"Legesse et al.")</f>
        <v>Legesse et al.</v>
      </c>
      <c r="BS13" s="838" t="str">
        <f>IFERROR(__xludf.DUMMYFUNCTION("""COMPUTED_VALUE"""),"Ethiopia")</f>
        <v>Ethiopia</v>
      </c>
      <c r="BT13" s="838" t="str">
        <f>IFERROR(__xludf.DUMMYFUNCTION("""COMPUTED_VALUE"""),"Albendazole")</f>
        <v>Albendazole</v>
      </c>
      <c r="BU13" s="838"/>
      <c r="BV13" s="838" t="str">
        <f>IFERROR(__xludf.DUMMYFUNCTION("""COMPUTED_VALUE"""),"Single")</f>
        <v>Single</v>
      </c>
      <c r="BW13" s="838" t="str">
        <f>IFERROR(__xludf.DUMMYFUNCTION("""COMPUTED_VALUE"""),"400 mg")</f>
        <v>400 mg</v>
      </c>
      <c r="BX13" s="838">
        <f>IFERROR(__xludf.DUMMYFUNCTION("""COMPUTED_VALUE"""),127.0)</f>
        <v>127</v>
      </c>
      <c r="BY13" s="845">
        <f>IFERROR(__xludf.DUMMYFUNCTION("""COMPUTED_VALUE"""),42540.0)</f>
        <v>42540</v>
      </c>
      <c r="BZ13" s="838">
        <f>IFERROR(__xludf.DUMMYFUNCTION("""COMPUTED_VALUE"""),2013.0)</f>
        <v>2013</v>
      </c>
      <c r="CA13" s="838" t="str">
        <f>IFERROR(__xludf.DUMMYFUNCTION("""COMPUTED_VALUE"""),"Male:55")</f>
        <v>Male:55</v>
      </c>
      <c r="CB13" s="838"/>
      <c r="CC13" s="838" t="str">
        <f>IFERROR(__xludf.DUMMYFUNCTION("""COMPUTED_VALUE"""),"Yes")</f>
        <v>Yes</v>
      </c>
      <c r="CD13" s="847">
        <f>IFERROR(__xludf.DUMMYFUNCTION("""COMPUTED_VALUE"""),0.925)</f>
        <v>0.925</v>
      </c>
      <c r="CE13" s="838" t="str">
        <f>IFERROR(__xludf.DUMMYFUNCTION("""COMPUTED_VALUE"""),"Yes")</f>
        <v>Yes</v>
      </c>
      <c r="CF13" s="838"/>
      <c r="CG13" s="847">
        <f>IFERROR(__xludf.DUMMYFUNCTION("""COMPUTED_VALUE"""),0.925)</f>
        <v>0.925</v>
      </c>
      <c r="CH13" s="838"/>
      <c r="CI13" s="838"/>
      <c r="CJ13" s="838"/>
      <c r="CK13" s="838"/>
      <c r="CL13" s="838"/>
      <c r="CM13" s="847">
        <f>IFERROR(__xludf.DUMMYFUNCTION("""COMPUTED_VALUE"""),0.999)</f>
        <v>0.999</v>
      </c>
      <c r="CN13" s="847">
        <f>IFERROR(__xludf.DUMMYFUNCTION("""COMPUTED_VALUE"""),0.999)</f>
        <v>0.999</v>
      </c>
      <c r="CO13" s="838"/>
      <c r="CP13" s="838"/>
      <c r="CQ13" s="838"/>
      <c r="CR13" s="838"/>
      <c r="CS13" s="838"/>
      <c r="CT13" s="838" t="str">
        <f>IFERROR(__xludf.DUMMYFUNCTION("""COMPUTED_VALUE"""),"Kato-Katz")</f>
        <v>Kato-Katz</v>
      </c>
      <c r="CU13" s="838"/>
      <c r="CV13" s="697" t="str">
        <f>IFERROR(__xludf.DUMMYFUNCTION("""COMPUTED_VALUE"""),"Legesse, M., B. Erko, and G. Medhin. ""COMPARATIVE EFFICACY OF ALBENDAZOLE AND THREE BRANDS OF MEBENDAZOLE IN THE TREATMENT OF ASCARIASIS AND TRICHURIASIS."" EAST AFRICAN MEDICAL JOURNAL 81.3 (2014): 134-38. Web.")</f>
        <v>Legesse, M., B. Erko, and G. Medhin. "COMPARATIVE EFFICACY OF ALBENDAZOLE AND THREE BRANDS OF MEBENDAZOLE IN THE TREATMENT OF ASCARIASIS AND TRICHURIASIS." EAST AFRICAN MEDICAL JOURNAL 81.3 (2014): 134-38. Web.</v>
      </c>
    </row>
    <row r="14">
      <c r="A14" s="842" t="str">
        <f>IFERROR(__xludf.DUMMYFUNCTION("""COMPUTED_VALUE"""),"Albonico et al. ")</f>
        <v>Albonico et al. </v>
      </c>
      <c r="B14" s="834" t="str">
        <f>IFERROR(__xludf.DUMMYFUNCTION("""COMPUTED_VALUE"""),"Tanzania")</f>
        <v>Tanzania</v>
      </c>
      <c r="C14" s="834" t="str">
        <f>IFERROR(__xludf.DUMMYFUNCTION("""COMPUTED_VALUE"""),"Levamisole")</f>
        <v>Levamisole</v>
      </c>
      <c r="D14" s="834" t="str">
        <f>IFERROR(__xludf.DUMMYFUNCTION("""COMPUTED_VALUE"""),"Single")</f>
        <v>Single</v>
      </c>
      <c r="E14" s="834" t="str">
        <f>IFERROR(__xludf.DUMMYFUNCTION("""COMPUTED_VALUE"""),"40 or 80 mg")</f>
        <v>40 or 80 mg</v>
      </c>
      <c r="F14" s="834">
        <f>IFERROR(__xludf.DUMMYFUNCTION("""COMPUTED_VALUE"""),277.0)</f>
        <v>277</v>
      </c>
      <c r="G14" s="834">
        <f>IFERROR(__xludf.DUMMYFUNCTION("""COMPUTED_VALUE"""),11.7)</f>
        <v>11.7</v>
      </c>
      <c r="H14" s="839" t="str">
        <f>IFERROR(__xludf.DUMMYFUNCTION("""COMPUTED_VALUE"""),"27:50")</f>
        <v>27:50</v>
      </c>
      <c r="I14" s="834">
        <f>IFERROR(__xludf.DUMMYFUNCTION("""COMPUTED_VALUE"""),1999.0)</f>
        <v>1999</v>
      </c>
      <c r="J14" s="834" t="str">
        <f>IFERROR(__xludf.DUMMYFUNCTION("""COMPUTED_VALUE"""),"excluded: did not have parental or guardian permission to participate, did not have a stool sample, had significant comorbidities, had recentely transferred to the school from an area outside of zanzibar")</f>
        <v>excluded: did not have parental or guardian permission to participate, did not have a stool sample, had significant comorbidities, had recentely transferred to the school from an area outside of zanzibar</v>
      </c>
      <c r="K14" s="839" t="str">
        <f>IFERROR(__xludf.DUMMYFUNCTION("""COMPUTED_VALUE"""),"single-blind randomized controlled trial")</f>
        <v>single-blind randomized controlled trial</v>
      </c>
      <c r="L14" s="839" t="str">
        <f>IFERROR(__xludf.DUMMYFUNCTION("""COMPUTED_VALUE"""),"Yes")</f>
        <v>Yes</v>
      </c>
      <c r="M14" s="839" t="str">
        <f>IFERROR(__xludf.DUMMYFUNCTION("""COMPUTED_VALUE"""),"Yes")</f>
        <v>Yes</v>
      </c>
      <c r="N14" s="840">
        <f>IFERROR(__xludf.DUMMYFUNCTION("""COMPUTED_VALUE"""),0.119)</f>
        <v>0.119</v>
      </c>
      <c r="O14" s="834"/>
      <c r="P14" s="840">
        <f>IFERROR(__xludf.DUMMYFUNCTION("""COMPUTED_VALUE"""),0.119)</f>
        <v>0.119</v>
      </c>
      <c r="Q14" s="834"/>
      <c r="R14" s="834"/>
      <c r="S14" s="834"/>
      <c r="T14" s="834"/>
      <c r="U14" s="834"/>
      <c r="V14" s="834"/>
      <c r="W14" s="840">
        <f>IFERROR(__xludf.DUMMYFUNCTION("""COMPUTED_VALUE"""),0.613)</f>
        <v>0.613</v>
      </c>
      <c r="X14" s="834"/>
      <c r="Y14" s="840">
        <f>IFERROR(__xludf.DUMMYFUNCTION("""COMPUTED_VALUE"""),0.613)</f>
        <v>0.613</v>
      </c>
      <c r="Z14" s="834"/>
      <c r="AA14" s="834"/>
      <c r="AB14" s="834"/>
      <c r="AC14" s="834"/>
      <c r="AD14" s="834"/>
      <c r="AE14" s="834" t="str">
        <f>IFERROR(__xludf.DUMMYFUNCTION("""COMPUTED_VALUE"""),"The efficacy of the combined administration of Mebendazole500 mg and levamisole 40 or 80 mg was evaluated for the first time in this study and showed higher efficacy than either drug alone against hookworm infections.")</f>
        <v>The efficacy of the combined administration of Mebendazole500 mg and levamisole 40 or 80 mg was evaluated for the first time in this study and showed higher efficacy than either drug alone against hookworm infections.</v>
      </c>
      <c r="AF14" s="834" t="str">
        <f>IFERROR(__xludf.DUMMYFUNCTION("""COMPUTED_VALUE"""),"• Children at Standard 1 (1st grade) had not yet been treated with Mebendazolein school, whereas children at Standard 5 (5th grade) had been exposed to 15 rounds of Mebendazoletreatment.
• Stool samples examined using Kato-Katz Method.                    "&amp;"                      ")</f>
        <v>• Children at Standard 1 (1st grade) had not yet been treated with Mebendazolein school, whereas children at Standard 5 (5th grade) had been exposed to 15 rounds of Mebendazoletreatment.
• Stool samples examined using Kato-Katz Method.                                          </v>
      </c>
      <c r="AG14" s="834" t="str">
        <f>IFERROR(__xludf.DUMMYFUNCTION("""COMPUTED_VALUE"""),"Albonico, M., Q. Bickle, M. Ramsan, A. Montresor, L. Savioli, and M. Taylor. ""Efficacy of Mebendazoleand Levamisole Alone or in Combination against Intestinal Nematode Infections after Repeated Targeted MebendazoleTreatment in Zanzibar."" Bulletin of the"&amp;" World Health Organization 81.5 (2003): 343-52. Web.")</f>
        <v>Albonico, M., Q. Bickle, M. Ramsan, A. Montresor, L. Savioli, and M. Taylor. "Efficacy of Mebendazoleand Levamisole Alone or in Combination against Intestinal Nematode Infections after Repeated Targeted MebendazoleTreatment in Zanzibar." Bulletin of the World Health Organization 81.5 (2003): 343-52. Web.</v>
      </c>
      <c r="AH14" s="834"/>
      <c r="AJ14" s="843" t="str">
        <f>IFERROR(__xludf.DUMMYFUNCTION("""COMPUTED_VALUE"""),"Steinmann et al.")</f>
        <v>Steinmann et al.</v>
      </c>
      <c r="AK14" s="836"/>
      <c r="AL14" s="836" t="str">
        <f>IFERROR(__xludf.DUMMYFUNCTION("""COMPUTED_VALUE"""),"China")</f>
        <v>China</v>
      </c>
      <c r="AM14" s="836" t="str">
        <f>IFERROR(__xludf.DUMMYFUNCTION("""COMPUTED_VALUE"""),"Mebendazole")</f>
        <v>Mebendazole</v>
      </c>
      <c r="AN14" s="836" t="str">
        <f>IFERROR(__xludf.DUMMYFUNCTION("""COMPUTED_VALUE"""),"Three")</f>
        <v>Three</v>
      </c>
      <c r="AO14" s="836" t="str">
        <f>IFERROR(__xludf.DUMMYFUNCTION("""COMPUTED_VALUE"""),"500 mg")</f>
        <v>500 mg</v>
      </c>
      <c r="AP14" s="836">
        <f>IFERROR(__xludf.DUMMYFUNCTION("""COMPUTED_VALUE"""),58.0)</f>
        <v>58</v>
      </c>
      <c r="AQ14" s="836" t="str">
        <f>IFERROR(__xludf.DUMMYFUNCTION("""COMPUTED_VALUE"""),"5 years old or above")</f>
        <v>5 years old or above</v>
      </c>
      <c r="AR14" s="836" t="str">
        <f>IFERROR(__xludf.DUMMYFUNCTION("""COMPUTED_VALUE"""),"Female:41")</f>
        <v>Female:41</v>
      </c>
      <c r="AS14" s="836">
        <f>IFERROR(__xludf.DUMMYFUNCTION("""COMPUTED_VALUE"""),2008.0)</f>
        <v>2008</v>
      </c>
      <c r="AT14" s="836" t="str">
        <f>IFERROR(__xludf.DUMMYFUNCTION("""COMPUTED_VALUE"""),"Exclusions: Presence of diagnosed or percieved chronic disease or other conditions likely to interfere with anthelminthic treatment, pregnancy, recent history of anthelminthic treatment, and participation in other trials within 1 month")</f>
        <v>Exclusions: Presence of diagnosed or percieved chronic disease or other conditions likely to interfere with anthelminthic treatment, pregnancy, recent history of anthelminthic treatment, and participation in other trials within 1 month</v>
      </c>
      <c r="AU14" s="836" t="str">
        <f>IFERROR(__xludf.DUMMYFUNCTION("""COMPUTED_VALUE"""),"Yes")</f>
        <v>Yes</v>
      </c>
      <c r="AV14" s="836" t="str">
        <f>IFERROR(__xludf.DUMMYFUNCTION("""COMPUTED_VALUE"""),"Yes")</f>
        <v>Yes</v>
      </c>
      <c r="AW14" s="836" t="str">
        <f>IFERROR(__xludf.DUMMYFUNCTION("""COMPUTED_VALUE"""),"community based open label outcome assessors-blinded randomzied controlled trial")</f>
        <v>community based open label outcome assessors-blinded randomzied controlled trial</v>
      </c>
      <c r="AX14" s="841">
        <f>IFERROR(__xludf.DUMMYFUNCTION("""COMPUTED_VALUE"""),0.707)</f>
        <v>0.707</v>
      </c>
      <c r="AY14" s="836"/>
      <c r="AZ14" s="836"/>
      <c r="BA14" s="836"/>
      <c r="BB14" s="836"/>
      <c r="BC14" s="841">
        <f>IFERROR(__xludf.DUMMYFUNCTION("""COMPUTED_VALUE"""),0.707)</f>
        <v>0.707</v>
      </c>
      <c r="BD14" s="836"/>
      <c r="BE14" s="836"/>
      <c r="BF14" s="836"/>
      <c r="BG14" s="836"/>
      <c r="BH14" s="841">
        <f>IFERROR(__xludf.DUMMYFUNCTION("""COMPUTED_VALUE"""),0.97)</f>
        <v>0.97</v>
      </c>
      <c r="BI14" s="836"/>
      <c r="BJ14" s="836"/>
      <c r="BK14" s="836"/>
      <c r="BL14" s="836"/>
      <c r="BM14" s="836"/>
      <c r="BN14" s="836"/>
      <c r="BO14" s="836"/>
      <c r="BP14" s="836"/>
      <c r="BQ14" s="697">
        <f>IFERROR(__xludf.DUMMYFUNCTION("""COMPUTED_VALUE"""),13.0)</f>
        <v>13</v>
      </c>
      <c r="BR14" s="844" t="str">
        <f>IFERROR(__xludf.DUMMYFUNCTION("""COMPUTED_VALUE"""),"Legesse et al.")</f>
        <v>Legesse et al.</v>
      </c>
      <c r="BS14" s="838" t="str">
        <f>IFERROR(__xludf.DUMMYFUNCTION("""COMPUTED_VALUE"""),"Ethiopia")</f>
        <v>Ethiopia</v>
      </c>
      <c r="BT14" s="838" t="str">
        <f>IFERROR(__xludf.DUMMYFUNCTION("""COMPUTED_VALUE"""),"Mebendazole")</f>
        <v>Mebendazole</v>
      </c>
      <c r="BU14" s="838"/>
      <c r="BV14" s="838" t="str">
        <f>IFERROR(__xludf.DUMMYFUNCTION("""COMPUTED_VALUE"""),"Single")</f>
        <v>Single</v>
      </c>
      <c r="BW14" s="838" t="str">
        <f>IFERROR(__xludf.DUMMYFUNCTION("""COMPUTED_VALUE"""),"100 mg")</f>
        <v>100 mg</v>
      </c>
      <c r="BX14" s="838">
        <f>IFERROR(__xludf.DUMMYFUNCTION("""COMPUTED_VALUE"""),11.0)</f>
        <v>11</v>
      </c>
      <c r="BY14" s="838"/>
      <c r="BZ14" s="838">
        <f>IFERROR(__xludf.DUMMYFUNCTION("""COMPUTED_VALUE"""),2013.0)</f>
        <v>2013</v>
      </c>
      <c r="CA14" s="838" t="str">
        <f>IFERROR(__xludf.DUMMYFUNCTION("""COMPUTED_VALUE"""),"Male:53")</f>
        <v>Male:53</v>
      </c>
      <c r="CB14" s="838"/>
      <c r="CC14" s="838" t="str">
        <f>IFERROR(__xludf.DUMMYFUNCTION("""COMPUTED_VALUE"""),"Yes")</f>
        <v>Yes</v>
      </c>
      <c r="CD14" s="847">
        <f>IFERROR(__xludf.DUMMYFUNCTION("""COMPUTED_VALUE"""),0.93)</f>
        <v>0.93</v>
      </c>
      <c r="CE14" s="838" t="str">
        <f>IFERROR(__xludf.DUMMYFUNCTION("""COMPUTED_VALUE"""),"Yes")</f>
        <v>Yes</v>
      </c>
      <c r="CF14" s="838"/>
      <c r="CG14" s="847">
        <f>IFERROR(__xludf.DUMMYFUNCTION("""COMPUTED_VALUE"""),0.93)</f>
        <v>0.93</v>
      </c>
      <c r="CH14" s="838"/>
      <c r="CI14" s="838"/>
      <c r="CJ14" s="838"/>
      <c r="CK14" s="838"/>
      <c r="CL14" s="838"/>
      <c r="CM14" s="838"/>
      <c r="CN14" s="847">
        <f>IFERROR(__xludf.DUMMYFUNCTION("""COMPUTED_VALUE"""),0.999)</f>
        <v>0.999</v>
      </c>
      <c r="CO14" s="838"/>
      <c r="CP14" s="838"/>
      <c r="CQ14" s="838"/>
      <c r="CR14" s="838"/>
      <c r="CS14" s="838"/>
      <c r="CT14" s="838"/>
      <c r="CU14" s="838"/>
      <c r="CV14" s="697" t="str">
        <f>IFERROR(__xludf.DUMMYFUNCTION("""COMPUTED_VALUE"""),"Legesse, M., B. Erko, and G. Medhin. ""COMPARATIVE EFFICACY OF ALBENDAZOLE AND THREE BRANDS OF MEBENDAZOLE IN THE TREATMENT OF ASCARIASIS AND TRICHURIASIS."" EAST AFRICAN MEDICAL JOURNAL 81.3 (2014): 134-38. Web.")</f>
        <v>Legesse, M., B. Erko, and G. Medhin. "COMPARATIVE EFFICACY OF ALBENDAZOLE AND THREE BRANDS OF MEBENDAZOLE IN THE TREATMENT OF ASCARIASIS AND TRICHURIASIS." EAST AFRICAN MEDICAL JOURNAL 81.3 (2014): 134-38. Web.</v>
      </c>
    </row>
    <row r="15">
      <c r="A15" s="842" t="str">
        <f>IFERROR(__xludf.DUMMYFUNCTION("""COMPUTED_VALUE"""),"Albonico et al. ")</f>
        <v>Albonico et al. </v>
      </c>
      <c r="B15" s="834" t="str">
        <f>IFERROR(__xludf.DUMMYFUNCTION("""COMPUTED_VALUE"""),"Tanzania")</f>
        <v>Tanzania</v>
      </c>
      <c r="C15" s="834" t="str">
        <f>IFERROR(__xludf.DUMMYFUNCTION("""COMPUTED_VALUE"""),"Levamisole &amp; Mebendazole")</f>
        <v>Levamisole &amp; Mebendazole</v>
      </c>
      <c r="D15" s="834" t="str">
        <f>IFERROR(__xludf.DUMMYFUNCTION("""COMPUTED_VALUE"""),"Single")</f>
        <v>Single</v>
      </c>
      <c r="E15" s="834" t="str">
        <f>IFERROR(__xludf.DUMMYFUNCTION("""COMPUTED_VALUE"""),"80 mg; 40 mg")</f>
        <v>80 mg; 40 mg</v>
      </c>
      <c r="F15" s="834">
        <f>IFERROR(__xludf.DUMMYFUNCTION("""COMPUTED_VALUE"""),286.0)</f>
        <v>286</v>
      </c>
      <c r="G15" s="834">
        <f>IFERROR(__xludf.DUMMYFUNCTION("""COMPUTED_VALUE"""),11.7)</f>
        <v>11.7</v>
      </c>
      <c r="H15" s="839" t="str">
        <f>IFERROR(__xludf.DUMMYFUNCTION("""COMPUTED_VALUE"""),"43:57")</f>
        <v>43:57</v>
      </c>
      <c r="I15" s="834">
        <f>IFERROR(__xludf.DUMMYFUNCTION("""COMPUTED_VALUE"""),1999.0)</f>
        <v>1999</v>
      </c>
      <c r="J15" s="834" t="str">
        <f>IFERROR(__xludf.DUMMYFUNCTION("""COMPUTED_VALUE"""),"excluded: did not have parental or guardian permission to participate, did not have a stool sample, had significant comorbidities, had recentely transferred to the school from an area outside of zanzibar")</f>
        <v>excluded: did not have parental or guardian permission to participate, did not have a stool sample, had significant comorbidities, had recentely transferred to the school from an area outside of zanzibar</v>
      </c>
      <c r="K15" s="839" t="str">
        <f>IFERROR(__xludf.DUMMYFUNCTION("""COMPUTED_VALUE"""),"single-blind randomized controlled trial")</f>
        <v>single-blind randomized controlled trial</v>
      </c>
      <c r="L15" s="839" t="str">
        <f>IFERROR(__xludf.DUMMYFUNCTION("""COMPUTED_VALUE"""),"Yes")</f>
        <v>Yes</v>
      </c>
      <c r="M15" s="839" t="str">
        <f>IFERROR(__xludf.DUMMYFUNCTION("""COMPUTED_VALUE"""),"Yes")</f>
        <v>Yes</v>
      </c>
      <c r="N15" s="840">
        <f>IFERROR(__xludf.DUMMYFUNCTION("""COMPUTED_VALUE"""),0.261)</f>
        <v>0.261</v>
      </c>
      <c r="O15" s="834"/>
      <c r="P15" s="840">
        <f>IFERROR(__xludf.DUMMYFUNCTION("""COMPUTED_VALUE"""),0.261)</f>
        <v>0.261</v>
      </c>
      <c r="Q15" s="834"/>
      <c r="R15" s="834"/>
      <c r="S15" s="834"/>
      <c r="T15" s="834"/>
      <c r="U15" s="834"/>
      <c r="V15" s="834"/>
      <c r="W15" s="840">
        <f>IFERROR(__xludf.DUMMYFUNCTION("""COMPUTED_VALUE"""),0.887)</f>
        <v>0.887</v>
      </c>
      <c r="X15" s="834"/>
      <c r="Y15" s="840">
        <f>IFERROR(__xludf.DUMMYFUNCTION("""COMPUTED_VALUE"""),0.887)</f>
        <v>0.887</v>
      </c>
      <c r="Z15" s="834"/>
      <c r="AA15" s="834"/>
      <c r="AB15" s="834"/>
      <c r="AC15" s="834"/>
      <c r="AD15" s="834"/>
      <c r="AE15" s="834" t="str">
        <f>IFERROR(__xludf.DUMMYFUNCTION("""COMPUTED_VALUE"""),"The efficacy of the combined administration of Mebendazole500 mg and levamisole 40 or 80 mg was evaluated for the first time in this study and showed higher efficacy than either drug alone against hookworm infections.")</f>
        <v>The efficacy of the combined administration of Mebendazole500 mg and levamisole 40 or 80 mg was evaluated for the first time in this study and showed higher efficacy than either drug alone against hookworm infections.</v>
      </c>
      <c r="AF15" s="834" t="str">
        <f>IFERROR(__xludf.DUMMYFUNCTION("""COMPUTED_VALUE"""),"• Children at Standard 1 (1st grade) had not yet been treated with Mebendazolein school, whereas children at Standard 5 (5th grade) had been exposed to 15 rounds of Mebendazoletreatment.
• Stool samples examined using Kato-Katz Method.                    "&amp;"                      ")</f>
        <v>• Children at Standard 1 (1st grade) had not yet been treated with Mebendazolein school, whereas children at Standard 5 (5th grade) had been exposed to 15 rounds of Mebendazoletreatment.
• Stool samples examined using Kato-Katz Method.                                          </v>
      </c>
      <c r="AG15" s="834" t="str">
        <f>IFERROR(__xludf.DUMMYFUNCTION("""COMPUTED_VALUE"""),"Albonico, M., Q. Bickle, M. Ramsan, A. Montresor, L. Savioli, and M. Taylor. ""Efficacy of Mebendazoleand Levamisole Alone or in Combination against Intestinal Nematode Infections after Repeated Targeted MebendazoleTreatment in Zanzibar."" Bulletin of the"&amp;" World Health Organization 81.5 (2003): 343-52. Web.")</f>
        <v>Albonico, M., Q. Bickle, M. Ramsan, A. Montresor, L. Savioli, and M. Taylor. "Efficacy of Mebendazoleand Levamisole Alone or in Combination against Intestinal Nematode Infections after Repeated Targeted MebendazoleTreatment in Zanzibar." Bulletin of the World Health Organization 81.5 (2003): 343-52. Web.</v>
      </c>
      <c r="AH15" s="834"/>
      <c r="AJ15" s="843" t="str">
        <f>IFERROR(__xludf.DUMMYFUNCTION("""COMPUTED_VALUE"""),"Belizario et al.")</f>
        <v>Belizario et al.</v>
      </c>
      <c r="AK15" s="836" t="str">
        <f>IFERROR(__xludf.DUMMYFUNCTION("""COMPUTED_VALUE"""),"Belizario, V.Y., M.E. Amarillo, W.U. De Leon, A.E. De Los Reyes, M.G. Bugayong, and B.J.C. Macatangay. ""A Comparison of the Fficacy of Single Doses of Albendazole, Ivermectin, and Diethylcarbamazine Alone or in Combinations against Ascaris and Trichuris "&amp;"Spp."" Bulletin of the World Health Organization 81.1 (2003): 35-42. Web.")</f>
        <v>Belizario, V.Y., M.E. Amarillo, W.U. De Leon, A.E. De Los Reyes, M.G. Bugayong, and B.J.C. Macatangay. "A Comparison of the Fficacy of Single Doses of Albendazole, Ivermectin, and Diethylcarbamazine Alone or in Combinations against Ascaris and Trichuris Spp." Bulletin of the World Health Organization 81.1 (2003): 35-42. Web.</v>
      </c>
      <c r="AL15" s="836" t="str">
        <f>IFERROR(__xludf.DUMMYFUNCTION("""COMPUTED_VALUE"""),"Philippines")</f>
        <v>Philippines</v>
      </c>
      <c r="AM15" s="836" t="str">
        <f>IFERROR(__xludf.DUMMYFUNCTION("""COMPUTED_VALUE"""),"Albendazole")</f>
        <v>Albendazole</v>
      </c>
      <c r="AN15" s="836" t="str">
        <f>IFERROR(__xludf.DUMMYFUNCTION("""COMPUTED_VALUE"""),"Single")</f>
        <v>Single</v>
      </c>
      <c r="AO15" s="836" t="str">
        <f>IFERROR(__xludf.DUMMYFUNCTION("""COMPUTED_VALUE"""),"400 mg")</f>
        <v>400 mg</v>
      </c>
      <c r="AP15" s="836">
        <f>IFERROR(__xludf.DUMMYFUNCTION("""COMPUTED_VALUE"""),149.0)</f>
        <v>149</v>
      </c>
      <c r="AQ15" s="836" t="str">
        <f>IFERROR(__xludf.DUMMYFUNCTION("""COMPUTED_VALUE"""),"Elementary School age 6-12 years old")</f>
        <v>Elementary School age 6-12 years old</v>
      </c>
      <c r="AR15" s="836" t="str">
        <f>IFERROR(__xludf.DUMMYFUNCTION("""COMPUTED_VALUE"""),"Male: 1199 Female:1085")</f>
        <v>Male: 1199 Female:1085</v>
      </c>
      <c r="AS15" s="836">
        <f>IFERROR(__xludf.DUMMYFUNCTION("""COMPUTED_VALUE"""),1998.0)</f>
        <v>1998</v>
      </c>
      <c r="AT15" s="836" t="str">
        <f>IFERROR(__xludf.DUMMYFUNCTION("""COMPUTED_VALUE"""),"Inclusion: male or female, age 6-12 years old, informed consent, ascarisis or trichuris eggs in stool samples, and compliance with protocol, requiring stool samples at the specified times after treatment Exclusions: previous hypersensitivity reaction to b"&amp;"enzimidazole, ivermection, diethylcarbamazine, or any related compound. Other helminths without the target helminths listed. diarrhoeal disease, reciept of any anthelminth in the two weeks before enrollment, reciepit of an anthelminth during the study per"&amp;"iod and concomitant infection or underlying disease compromising evaluation of the response to the medications being studied")</f>
        <v>Inclusion: male or female, age 6-12 years old, informed consent, ascarisis or trichuris eggs in stool samples, and compliance with protocol, requiring stool samples at the specified times after treatment Exclusions: previous hypersensitivity reaction to benzimidazole, ivermection, diethylcarbamazine, or any related compound. Other helminths without the target helminths listed. diarrhoeal disease, reciept of any anthelminth in the two weeks before enrollment, reciepit of an anthelminth during the study period and concomitant infection or underlying disease compromising evaluation of the response to the medications being studied</v>
      </c>
      <c r="AU15" s="836" t="str">
        <f>IFERROR(__xludf.DUMMYFUNCTION("""COMPUTED_VALUE"""),"Yes")</f>
        <v>Yes</v>
      </c>
      <c r="AV15" s="836" t="str">
        <f>IFERROR(__xludf.DUMMYFUNCTION("""COMPUTED_VALUE"""),"Yes")</f>
        <v>Yes</v>
      </c>
      <c r="AW15" s="836" t="str">
        <f>IFERROR(__xludf.DUMMYFUNCTION("""COMPUTED_VALUE"""),"randomized, placebo controlled, single-blind study")</f>
        <v>randomized, placebo controlled, single-blind study</v>
      </c>
      <c r="AX15" s="850">
        <f>IFERROR(__xludf.DUMMYFUNCTION("""COMPUTED_VALUE"""),0.315)</f>
        <v>0.315</v>
      </c>
      <c r="AY15" s="850">
        <f>IFERROR(__xludf.DUMMYFUNCTION("""COMPUTED_VALUE"""),0.315)</f>
        <v>0.315</v>
      </c>
      <c r="AZ15" s="836"/>
      <c r="BA15" s="836"/>
      <c r="BB15" s="836"/>
      <c r="BC15" s="836"/>
      <c r="BD15" s="836"/>
      <c r="BE15" s="836"/>
      <c r="BF15" s="836"/>
      <c r="BG15" s="836"/>
      <c r="BH15" s="841">
        <f>IFERROR(__xludf.DUMMYFUNCTION("""COMPUTED_VALUE"""),0.54)</f>
        <v>0.54</v>
      </c>
      <c r="BI15" s="836"/>
      <c r="BJ15" s="836"/>
      <c r="BK15" s="836"/>
      <c r="BL15" s="836"/>
      <c r="BM15" s="836"/>
      <c r="BN15" s="836"/>
      <c r="BO15" s="836" t="str">
        <f>IFERROR(__xludf.DUMMYFUNCTION("""COMPUTED_VALUE"""),"Kato-Katz Method")</f>
        <v>Kato-Katz Method</v>
      </c>
      <c r="BP15" s="836"/>
      <c r="BQ15" s="697">
        <f>IFERROR(__xludf.DUMMYFUNCTION("""COMPUTED_VALUE"""),14.0)</f>
        <v>14</v>
      </c>
      <c r="BR15" s="844" t="str">
        <f>IFERROR(__xludf.DUMMYFUNCTION("""COMPUTED_VALUE"""),"Legesse et al.")</f>
        <v>Legesse et al.</v>
      </c>
      <c r="BS15" s="838" t="str">
        <f>IFERROR(__xludf.DUMMYFUNCTION("""COMPUTED_VALUE"""),"Ethiopia")</f>
        <v>Ethiopia</v>
      </c>
      <c r="BT15" s="838" t="str">
        <f>IFERROR(__xludf.DUMMYFUNCTION("""COMPUTED_VALUE"""),"Mebendazole")</f>
        <v>Mebendazole</v>
      </c>
      <c r="BU15" s="838"/>
      <c r="BV15" s="838" t="str">
        <f>IFERROR(__xludf.DUMMYFUNCTION("""COMPUTED_VALUE"""),"Single")</f>
        <v>Single</v>
      </c>
      <c r="BW15" s="838" t="str">
        <f>IFERROR(__xludf.DUMMYFUNCTION("""COMPUTED_VALUE"""),"100 mg")</f>
        <v>100 mg</v>
      </c>
      <c r="BX15" s="838">
        <f>IFERROR(__xludf.DUMMYFUNCTION("""COMPUTED_VALUE"""),21.0)</f>
        <v>21</v>
      </c>
      <c r="BY15" s="838"/>
      <c r="BZ15" s="838">
        <f>IFERROR(__xludf.DUMMYFUNCTION("""COMPUTED_VALUE"""),2013.0)</f>
        <v>2013</v>
      </c>
      <c r="CA15" s="838" t="str">
        <f>IFERROR(__xludf.DUMMYFUNCTION("""COMPUTED_VALUE"""),"Male:47")</f>
        <v>Male:47</v>
      </c>
      <c r="CB15" s="838"/>
      <c r="CC15" s="838" t="str">
        <f>IFERROR(__xludf.DUMMYFUNCTION("""COMPUTED_VALUE"""),"Yes")</f>
        <v>Yes</v>
      </c>
      <c r="CD15" s="847">
        <f>IFERROR(__xludf.DUMMYFUNCTION("""COMPUTED_VALUE"""),0.99)</f>
        <v>0.99</v>
      </c>
      <c r="CE15" s="838" t="str">
        <f>IFERROR(__xludf.DUMMYFUNCTION("""COMPUTED_VALUE"""),"Yes")</f>
        <v>Yes</v>
      </c>
      <c r="CF15" s="838"/>
      <c r="CG15" s="847">
        <f>IFERROR(__xludf.DUMMYFUNCTION("""COMPUTED_VALUE"""),0.99)</f>
        <v>0.99</v>
      </c>
      <c r="CH15" s="838"/>
      <c r="CI15" s="838"/>
      <c r="CJ15" s="838"/>
      <c r="CK15" s="838"/>
      <c r="CL15" s="838"/>
      <c r="CM15" s="838"/>
      <c r="CN15" s="847">
        <f>IFERROR(__xludf.DUMMYFUNCTION("""COMPUTED_VALUE"""),0.999)</f>
        <v>0.999</v>
      </c>
      <c r="CO15" s="838"/>
      <c r="CP15" s="838"/>
      <c r="CQ15" s="838"/>
      <c r="CR15" s="838"/>
      <c r="CS15" s="838"/>
      <c r="CT15" s="838"/>
      <c r="CU15" s="838"/>
      <c r="CV15" s="697" t="str">
        <f>IFERROR(__xludf.DUMMYFUNCTION("""COMPUTED_VALUE"""),"Legesse, M., B. Erko, and G. Medhin. ""COMPARATIVE EFFICACY OF ALBENDAZOLE AND THREE BRANDS OF MEBENDAZOLE IN THE TREATMENT OF ASCARIASIS AND TRICHURIASIS."" EAST AFRICAN MEDICAL JOURNAL 81.3 (2014): 134-38. Web.")</f>
        <v>Legesse, M., B. Erko, and G. Medhin. "COMPARATIVE EFFICACY OF ALBENDAZOLE AND THREE BRANDS OF MEBENDAZOLE IN THE TREATMENT OF ASCARIASIS AND TRICHURIASIS." EAST AFRICAN MEDICAL JOURNAL 81.3 (2014): 134-38. Web.</v>
      </c>
    </row>
    <row r="16">
      <c r="A16" s="842" t="str">
        <f>IFERROR(__xludf.DUMMYFUNCTION("""COMPUTED_VALUE"""),"Albonico et al. ")</f>
        <v>Albonico et al. </v>
      </c>
      <c r="B16" s="834" t="str">
        <f>IFERROR(__xludf.DUMMYFUNCTION("""COMPUTED_VALUE"""),"Tanzania")</f>
        <v>Tanzania</v>
      </c>
      <c r="C16" s="834" t="str">
        <f>IFERROR(__xludf.DUMMYFUNCTION("""COMPUTED_VALUE"""),"Placebo")</f>
        <v>Placebo</v>
      </c>
      <c r="D16" s="834"/>
      <c r="E16" s="834"/>
      <c r="F16" s="834">
        <f>IFERROR(__xludf.DUMMYFUNCTION("""COMPUTED_VALUE"""),289.0)</f>
        <v>289</v>
      </c>
      <c r="G16" s="834">
        <f>IFERROR(__xludf.DUMMYFUNCTION("""COMPUTED_VALUE"""),11.6)</f>
        <v>11.6</v>
      </c>
      <c r="H16" s="839" t="str">
        <f>IFERROR(__xludf.DUMMYFUNCTION("""COMPUTED_VALUE"""),"21:50")</f>
        <v>21:50</v>
      </c>
      <c r="I16" s="834">
        <f>IFERROR(__xludf.DUMMYFUNCTION("""COMPUTED_VALUE"""),1999.0)</f>
        <v>1999</v>
      </c>
      <c r="J16" s="834" t="str">
        <f>IFERROR(__xludf.DUMMYFUNCTION("""COMPUTED_VALUE"""),"excluded: did not have parental or guardian permission to participate, did not have a stool sample, had significant comorbidities, had recentely transferred to the school from an area outside of zanzibar")</f>
        <v>excluded: did not have parental or guardian permission to participate, did not have a stool sample, had significant comorbidities, had recentely transferred to the school from an area outside of zanzibar</v>
      </c>
      <c r="K16" s="839" t="str">
        <f>IFERROR(__xludf.DUMMYFUNCTION("""COMPUTED_VALUE"""),"single-blind randomized controlled trial")</f>
        <v>single-blind randomized controlled trial</v>
      </c>
      <c r="L16" s="839" t="str">
        <f>IFERROR(__xludf.DUMMYFUNCTION("""COMPUTED_VALUE"""),"Yes")</f>
        <v>Yes</v>
      </c>
      <c r="M16" s="839" t="str">
        <f>IFERROR(__xludf.DUMMYFUNCTION("""COMPUTED_VALUE"""),"Yes")</f>
        <v>Yes</v>
      </c>
      <c r="N16" s="840">
        <f>IFERROR(__xludf.DUMMYFUNCTION("""COMPUTED_VALUE"""),0.034)</f>
        <v>0.034</v>
      </c>
      <c r="O16" s="834"/>
      <c r="P16" s="840">
        <f>IFERROR(__xludf.DUMMYFUNCTION("""COMPUTED_VALUE"""),0.034)</f>
        <v>0.034</v>
      </c>
      <c r="Q16" s="834"/>
      <c r="R16" s="834"/>
      <c r="S16" s="834"/>
      <c r="T16" s="834"/>
      <c r="U16" s="834"/>
      <c r="V16" s="834"/>
      <c r="W16" s="840">
        <f>IFERROR(__xludf.DUMMYFUNCTION("""COMPUTED_VALUE"""),0.16)</f>
        <v>0.16</v>
      </c>
      <c r="X16" s="834"/>
      <c r="Y16" s="840">
        <f>IFERROR(__xludf.DUMMYFUNCTION("""COMPUTED_VALUE"""),0.16)</f>
        <v>0.16</v>
      </c>
      <c r="Z16" s="834"/>
      <c r="AA16" s="834"/>
      <c r="AB16" s="834"/>
      <c r="AC16" s="834"/>
      <c r="AD16" s="834"/>
      <c r="AE16" s="834" t="str">
        <f>IFERROR(__xludf.DUMMYFUNCTION("""COMPUTED_VALUE"""),"The efficacy of the combined administration of Mebendazole500 mg and levamisole 40 or 80 mg was evaluated for the first time in this study and showed higher efficacy than either drug alone against hookworm infections.")</f>
        <v>The efficacy of the combined administration of Mebendazole500 mg and levamisole 40 or 80 mg was evaluated for the first time in this study and showed higher efficacy than either drug alone against hookworm infections.</v>
      </c>
      <c r="AF16" s="834" t="str">
        <f>IFERROR(__xludf.DUMMYFUNCTION("""COMPUTED_VALUE"""),"• Children at Standard 1 (1st grade) had not yet been treated with Mebendazolein school, whereas children at Standard 5 (5th grade) had been exposed to 15 rounds of Mebendazoletreatment.
• Placebo pills resembled Mebendazolein colour, size, taste, and sha"&amp;"pe.
• Stool samples examined using Kato-Katz Method.")</f>
        <v>• Children at Standard 1 (1st grade) had not yet been treated with Mebendazolein school, whereas children at Standard 5 (5th grade) had been exposed to 15 rounds of Mebendazoletreatment.
• Placebo pills resembled Mebendazolein colour, size, taste, and shape.
• Stool samples examined using Kato-Katz Method.</v>
      </c>
      <c r="AG16" s="834" t="str">
        <f>IFERROR(__xludf.DUMMYFUNCTION("""COMPUTED_VALUE"""),"Albonico, M., Q. Bickle, M. Ramsan, A. Montresor, L. Savioli, and M. Taylor. ""Efficacy of Mebendazoleand Levamisole Alone or in Combination against Intestinal Nematode Infections after Repeated Targeted MebendazoleTreatment in Zanzibar."" Bulletin of the"&amp;" World Health Organization 81.5 (2003): 343-52. Web.")</f>
        <v>Albonico, M., Q. Bickle, M. Ramsan, A. Montresor, L. Savioli, and M. Taylor. "Efficacy of Mebendazoleand Levamisole Alone or in Combination against Intestinal Nematode Infections after Repeated Targeted MebendazoleTreatment in Zanzibar." Bulletin of the World Health Organization 81.5 (2003): 343-52. Web.</v>
      </c>
      <c r="AH16" s="834"/>
      <c r="AJ16" s="843" t="str">
        <f>IFERROR(__xludf.DUMMYFUNCTION("""COMPUTED_VALUE"""),"Belizario et al.")</f>
        <v>Belizario et al.</v>
      </c>
      <c r="AK16" s="836"/>
      <c r="AL16" s="836" t="str">
        <f>IFERROR(__xludf.DUMMYFUNCTION("""COMPUTED_VALUE"""),"Philippines")</f>
        <v>Philippines</v>
      </c>
      <c r="AM16" s="836" t="str">
        <f>IFERROR(__xludf.DUMMYFUNCTION("""COMPUTED_VALUE"""),"Ivermectin")</f>
        <v>Ivermectin</v>
      </c>
      <c r="AN16" s="836" t="str">
        <f>IFERROR(__xludf.DUMMYFUNCTION("""COMPUTED_VALUE"""),"Single")</f>
        <v>Single</v>
      </c>
      <c r="AO16" s="836" t="str">
        <f>IFERROR(__xludf.DUMMYFUNCTION("""COMPUTED_VALUE"""),"200 mg")</f>
        <v>200 mg</v>
      </c>
      <c r="AP16" s="836">
        <f>IFERROR(__xludf.DUMMYFUNCTION("""COMPUTED_VALUE"""),154.0)</f>
        <v>154</v>
      </c>
      <c r="AQ16" s="836" t="str">
        <f>IFERROR(__xludf.DUMMYFUNCTION("""COMPUTED_VALUE"""),"Elementary School age 6-12 years old")</f>
        <v>Elementary School age 6-12 years old</v>
      </c>
      <c r="AR16" s="836" t="str">
        <f>IFERROR(__xludf.DUMMYFUNCTION("""COMPUTED_VALUE"""),"Male: 1199 Female:1086")</f>
        <v>Male: 1199 Female:1086</v>
      </c>
      <c r="AS16" s="836">
        <f>IFERROR(__xludf.DUMMYFUNCTION("""COMPUTED_VALUE"""),1998.0)</f>
        <v>1998</v>
      </c>
      <c r="AT16" s="836" t="str">
        <f>IFERROR(__xludf.DUMMYFUNCTION("""COMPUTED_VALUE"""),"Inclusion: male or female, age 6-12 years old, informed consent, ascarisis or trichuris eggs in stool samples, and compliance with protocol, requiring stool samples at the specified times after treatment Exclusions: previous hypersensitivity reaction to b"&amp;"enzimidazole, ivermection, diethylcarbamazine, or any related compound. Other helminths without the target helminths listed. diarrhoeal disease, reciept of any anthelminth in the two weeks before enrollment, reciepit of an anthelminth during the study per"&amp;"iod and concomitant infection or underlying disease compromising evaluation of the response to the medications being studied")</f>
        <v>Inclusion: male or female, age 6-12 years old, informed consent, ascarisis or trichuris eggs in stool samples, and compliance with protocol, requiring stool samples at the specified times after treatment Exclusions: previous hypersensitivity reaction to benzimidazole, ivermection, diethylcarbamazine, or any related compound. Other helminths without the target helminths listed. diarrhoeal disease, reciept of any anthelminth in the two weeks before enrollment, reciepit of an anthelminth during the study period and concomitant infection or underlying disease compromising evaluation of the response to the medications being studied</v>
      </c>
      <c r="AU16" s="836" t="str">
        <f>IFERROR(__xludf.DUMMYFUNCTION("""COMPUTED_VALUE"""),"Yes")</f>
        <v>Yes</v>
      </c>
      <c r="AV16" s="836" t="str">
        <f>IFERROR(__xludf.DUMMYFUNCTION("""COMPUTED_VALUE"""),"Yes")</f>
        <v>Yes</v>
      </c>
      <c r="AW16" s="836" t="str">
        <f>IFERROR(__xludf.DUMMYFUNCTION("""COMPUTED_VALUE"""),"randomized, placebo controlled, single-blind study")</f>
        <v>randomized, placebo controlled, single-blind study</v>
      </c>
      <c r="AX16" s="841">
        <f>IFERROR(__xludf.DUMMYFUNCTION("""COMPUTED_VALUE"""),0.351)</f>
        <v>0.351</v>
      </c>
      <c r="AY16" s="841">
        <f>IFERROR(__xludf.DUMMYFUNCTION("""COMPUTED_VALUE"""),0.351)</f>
        <v>0.351</v>
      </c>
      <c r="AZ16" s="836"/>
      <c r="BA16" s="836"/>
      <c r="BB16" s="836"/>
      <c r="BC16" s="836"/>
      <c r="BD16" s="836"/>
      <c r="BE16" s="836"/>
      <c r="BF16" s="836"/>
      <c r="BG16" s="836"/>
      <c r="BH16" s="841">
        <f>IFERROR(__xludf.DUMMYFUNCTION("""COMPUTED_VALUE"""),0.868)</f>
        <v>0.868</v>
      </c>
      <c r="BI16" s="836"/>
      <c r="BJ16" s="836"/>
      <c r="BK16" s="836"/>
      <c r="BL16" s="836"/>
      <c r="BM16" s="836"/>
      <c r="BN16" s="836"/>
      <c r="BO16" s="836"/>
      <c r="BP16" s="836"/>
      <c r="BQ16" s="697">
        <f>IFERROR(__xludf.DUMMYFUNCTION("""COMPUTED_VALUE"""),15.0)</f>
        <v>15</v>
      </c>
      <c r="BR16" s="844" t="str">
        <f>IFERROR(__xludf.DUMMYFUNCTION("""COMPUTED_VALUE"""),"Legesse et al.")</f>
        <v>Legesse et al.</v>
      </c>
      <c r="BS16" s="838" t="str">
        <f>IFERROR(__xludf.DUMMYFUNCTION("""COMPUTED_VALUE"""),"Ethiopia")</f>
        <v>Ethiopia</v>
      </c>
      <c r="BT16" s="838" t="str">
        <f>IFERROR(__xludf.DUMMYFUNCTION("""COMPUTED_VALUE"""),"Mebendazole")</f>
        <v>Mebendazole</v>
      </c>
      <c r="BU16" s="838"/>
      <c r="BV16" s="838" t="str">
        <f>IFERROR(__xludf.DUMMYFUNCTION("""COMPUTED_VALUE"""),"Single")</f>
        <v>Single</v>
      </c>
      <c r="BW16" s="838" t="str">
        <f>IFERROR(__xludf.DUMMYFUNCTION("""COMPUTED_VALUE"""),"100 mg")</f>
        <v>100 mg</v>
      </c>
      <c r="BX16" s="838">
        <f>IFERROR(__xludf.DUMMYFUNCTION("""COMPUTED_VALUE"""),28.0)</f>
        <v>28</v>
      </c>
      <c r="BY16" s="838"/>
      <c r="BZ16" s="838">
        <f>IFERROR(__xludf.DUMMYFUNCTION("""COMPUTED_VALUE"""),2013.0)</f>
        <v>2013</v>
      </c>
      <c r="CA16" s="838" t="str">
        <f>IFERROR(__xludf.DUMMYFUNCTION("""COMPUTED_VALUE"""),"Male:54")</f>
        <v>Male:54</v>
      </c>
      <c r="CB16" s="838"/>
      <c r="CC16" s="838" t="str">
        <f>IFERROR(__xludf.DUMMYFUNCTION("""COMPUTED_VALUE"""),"Yes")</f>
        <v>Yes</v>
      </c>
      <c r="CD16" s="847">
        <f>IFERROR(__xludf.DUMMYFUNCTION("""COMPUTED_VALUE"""),0.965)</f>
        <v>0.965</v>
      </c>
      <c r="CE16" s="838" t="str">
        <f>IFERROR(__xludf.DUMMYFUNCTION("""COMPUTED_VALUE"""),"Yes")</f>
        <v>Yes</v>
      </c>
      <c r="CF16" s="838"/>
      <c r="CG16" s="847">
        <f>IFERROR(__xludf.DUMMYFUNCTION("""COMPUTED_VALUE"""),0.965)</f>
        <v>0.965</v>
      </c>
      <c r="CH16" s="838"/>
      <c r="CI16" s="838"/>
      <c r="CJ16" s="838"/>
      <c r="CK16" s="838"/>
      <c r="CL16" s="838"/>
      <c r="CM16" s="838"/>
      <c r="CN16" s="847">
        <f>IFERROR(__xludf.DUMMYFUNCTION("""COMPUTED_VALUE"""),0.999)</f>
        <v>0.999</v>
      </c>
      <c r="CO16" s="838"/>
      <c r="CP16" s="838"/>
      <c r="CQ16" s="838"/>
      <c r="CR16" s="838"/>
      <c r="CS16" s="838"/>
      <c r="CT16" s="838"/>
      <c r="CU16" s="838"/>
      <c r="CV16" s="697" t="str">
        <f>IFERROR(__xludf.DUMMYFUNCTION("""COMPUTED_VALUE"""),"Legesse, M., B. Erko, and G. Medhin. ""COMPARATIVE EFFICACY OF ALBENDAZOLE AND THREE BRANDS OF MEBENDAZOLE IN THE TREATMENT OF ASCARIASIS AND TRICHURIASIS."" EAST AFRICAN MEDICAL JOURNAL 81.3 (2014): 134-38. Web.")</f>
        <v>Legesse, M., B. Erko, and G. Medhin. "COMPARATIVE EFFICACY OF ALBENDAZOLE AND THREE BRANDS OF MEBENDAZOLE IN THE TREATMENT OF ASCARIASIS AND TRICHURIASIS." EAST AFRICAN MEDICAL JOURNAL 81.3 (2014): 134-38. Web.</v>
      </c>
    </row>
    <row r="17">
      <c r="A17" s="842" t="str">
        <f>IFERROR(__xludf.DUMMYFUNCTION("""COMPUTED_VALUE"""),"Anantaphruti et al.")</f>
        <v>Anantaphruti et al.</v>
      </c>
      <c r="B17" s="834" t="str">
        <f>IFERROR(__xludf.DUMMYFUNCTION("""COMPUTED_VALUE"""),"Thailand")</f>
        <v>Thailand</v>
      </c>
      <c r="C17" s="834" t="str">
        <f>IFERROR(__xludf.DUMMYFUNCTION("""COMPUTED_VALUE"""),"Albendazole")</f>
        <v>Albendazole</v>
      </c>
      <c r="D17" s="834" t="str">
        <f>IFERROR(__xludf.DUMMYFUNCTION("""COMPUTED_VALUE"""),"Single")</f>
        <v>Single</v>
      </c>
      <c r="E17" s="834" t="str">
        <f>IFERROR(__xludf.DUMMYFUNCTION("""COMPUTED_VALUE"""),"400 mg")</f>
        <v>400 mg</v>
      </c>
      <c r="F17" s="834">
        <f>IFERROR(__xludf.DUMMYFUNCTION("""COMPUTED_VALUE"""),211.0)</f>
        <v>211</v>
      </c>
      <c r="G17" s="834" t="str">
        <f>IFERROR(__xludf.DUMMYFUNCTION("""COMPUTED_VALUE"""),"5-78")</f>
        <v>5-78</v>
      </c>
      <c r="H17" s="834"/>
      <c r="I17" s="834">
        <f>IFERROR(__xludf.DUMMYFUNCTION("""COMPUTED_VALUE"""),2004.0)</f>
        <v>2004</v>
      </c>
      <c r="J17" s="834" t="str">
        <f>IFERROR(__xludf.DUMMYFUNCTION("""COMPUTED_VALUE"""),"excluded: Mixed hookworm and Trichuris-infected cases ")</f>
        <v>excluded: Mixed hookworm and Trichuris-infected cases </v>
      </c>
      <c r="K17" s="834"/>
      <c r="L17" s="839" t="str">
        <f>IFERROR(__xludf.DUMMYFUNCTION("""COMPUTED_VALUE"""),"No")</f>
        <v>No</v>
      </c>
      <c r="M17" s="839" t="str">
        <f>IFERROR(__xludf.DUMMYFUNCTION("""COMPUTED_VALUE"""),"No")</f>
        <v>No</v>
      </c>
      <c r="N17" s="840">
        <f>IFERROR(__xludf.DUMMYFUNCTION("""COMPUTED_VALUE"""),0.546)</f>
        <v>0.546</v>
      </c>
      <c r="O17" s="834"/>
      <c r="P17" s="834"/>
      <c r="Q17" s="834"/>
      <c r="R17" s="834"/>
      <c r="S17" s="834"/>
      <c r="T17" s="834"/>
      <c r="U17" s="834"/>
      <c r="V17" s="834"/>
      <c r="W17" s="840">
        <f>IFERROR(__xludf.DUMMYFUNCTION("""COMPUTED_VALUE"""),0.926)</f>
        <v>0.926</v>
      </c>
      <c r="X17" s="834"/>
      <c r="Y17" s="834"/>
      <c r="Z17" s="834"/>
      <c r="AA17" s="834"/>
      <c r="AB17" s="834"/>
      <c r="AC17" s="834"/>
      <c r="AD17" s="834"/>
      <c r="AE17" s="834" t="str">
        <f>IFERROR(__xludf.DUMMYFUNCTION("""COMPUTED_VALUE"""),"Cure rates were differed by racial grouping and were higher among the immigrants and lower among the Thais, ERR were relatively similar.")</f>
        <v>Cure rates were differed by racial grouping and were higher among the immigrants and lower among the Thais, ERR were relatively similar.</v>
      </c>
      <c r="AF17" s="834" t="str">
        <f>IFERROR(__xludf.DUMMYFUNCTION("""COMPUTED_VALUE"""),"• Kato-Katz method, polyethylene tube cultivation method, and Sasa’s modified Harada-Mori culture technique; Harada-Mori culture technique Thais: efficacy 27.8%
• Thais")</f>
        <v>• Kato-Katz method, polyethylene tube cultivation method, and Sasa’s modified Harada-Mori culture technique; Harada-Mori culture technique Thais: efficacy 27.8%
• Thais</v>
      </c>
      <c r="AG17" s="834" t="str">
        <f>IFERROR(__xludf.DUMMYFUNCTION("""COMPUTED_VALUE"""),"Anantaphruti M T, Nuamtanong S, Watthanakulpanich D, Maipanich W, Pubampen S, Sanguankiat S, et al. Responses to AlbendazoleTreatment for Hookworm Infection in Ethnic Thai and Immigrant in West-central Thailand. Journal of Health Science  [Internet]. 2003"&amp;"-2004 [cited 2015 Sep 29]: 53(4): 443-449.")</f>
        <v>Anantaphruti M T, Nuamtanong S, Watthanakulpanich D, Maipanich W, Pubampen S, Sanguankiat S, et al. Responses to AlbendazoleTreatment for Hookworm Infection in Ethnic Thai and Immigrant in West-central Thailand. Journal of Health Science  [Internet]. 2003-2004 [cited 2015 Sep 29]: 53(4): 443-449.</v>
      </c>
      <c r="AH17" s="834" t="str">
        <f>IFERROR(__xludf.DUMMYFUNCTION("""COMPUTED_VALUE"""),"x")</f>
        <v>x</v>
      </c>
      <c r="AJ17" s="843" t="str">
        <f>IFERROR(__xludf.DUMMYFUNCTION("""COMPUTED_VALUE"""),"Belizario et al.")</f>
        <v>Belizario et al.</v>
      </c>
      <c r="AK17" s="836"/>
      <c r="AL17" s="836" t="str">
        <f>IFERROR(__xludf.DUMMYFUNCTION("""COMPUTED_VALUE"""),"Philippines")</f>
        <v>Philippines</v>
      </c>
      <c r="AM17" s="836" t="str">
        <f>IFERROR(__xludf.DUMMYFUNCTION("""COMPUTED_VALUE"""),"Diethylcarbamazine")</f>
        <v>Diethylcarbamazine</v>
      </c>
      <c r="AN17" s="836" t="str">
        <f>IFERROR(__xludf.DUMMYFUNCTION("""COMPUTED_VALUE"""),"Single")</f>
        <v>Single</v>
      </c>
      <c r="AO17" s="836" t="str">
        <f>IFERROR(__xludf.DUMMYFUNCTION("""COMPUTED_VALUE"""),"150 mg")</f>
        <v>150 mg</v>
      </c>
      <c r="AP17" s="836">
        <f>IFERROR(__xludf.DUMMYFUNCTION("""COMPUTED_VALUE"""),151.0)</f>
        <v>151</v>
      </c>
      <c r="AQ17" s="836" t="str">
        <f>IFERROR(__xludf.DUMMYFUNCTION("""COMPUTED_VALUE"""),"Elementary School age 6-12 years old")</f>
        <v>Elementary School age 6-12 years old</v>
      </c>
      <c r="AR17" s="836" t="str">
        <f>IFERROR(__xludf.DUMMYFUNCTION("""COMPUTED_VALUE"""),"Male: 1199 Female:1087")</f>
        <v>Male: 1199 Female:1087</v>
      </c>
      <c r="AS17" s="836">
        <f>IFERROR(__xludf.DUMMYFUNCTION("""COMPUTED_VALUE"""),1998.0)</f>
        <v>1998</v>
      </c>
      <c r="AT17" s="836" t="str">
        <f>IFERROR(__xludf.DUMMYFUNCTION("""COMPUTED_VALUE"""),"Inclusion: male or female, age 6-12 years old, informed consent, ascarisis or trichuris eggs in stool samples, and compliance with protocol, requiring stool samples at the specified times after treatment Exclusions: previous hypersensitivity reaction to b"&amp;"enzimidazole, ivermection, diethylcarbamazine, or any related compound. Other helminths without the target helminths listed. diarrhoeal disease, reciept of any anthelminth in the two weeks before enrollment, reciepit of an anthelminth during the study per"&amp;"iod and concomitant infection or underlying disease compromising evaluation of the response to the medications being studied")</f>
        <v>Inclusion: male or female, age 6-12 years old, informed consent, ascarisis or trichuris eggs in stool samples, and compliance with protocol, requiring stool samples at the specified times after treatment Exclusions: previous hypersensitivity reaction to benzimidazole, ivermection, diethylcarbamazine, or any related compound. Other helminths without the target helminths listed. diarrhoeal disease, reciept of any anthelminth in the two weeks before enrollment, reciepit of an anthelminth during the study period and concomitant infection or underlying disease compromising evaluation of the response to the medications being studied</v>
      </c>
      <c r="AU17" s="836" t="str">
        <f>IFERROR(__xludf.DUMMYFUNCTION("""COMPUTED_VALUE"""),"Yes")</f>
        <v>Yes</v>
      </c>
      <c r="AV17" s="836" t="str">
        <f>IFERROR(__xludf.DUMMYFUNCTION("""COMPUTED_VALUE"""),"Yes")</f>
        <v>Yes</v>
      </c>
      <c r="AW17" s="836" t="str">
        <f>IFERROR(__xludf.DUMMYFUNCTION("""COMPUTED_VALUE"""),"randomized, placebo controlled, single-blind study")</f>
        <v>randomized, placebo controlled, single-blind study</v>
      </c>
      <c r="AX17" s="841">
        <f>IFERROR(__xludf.DUMMYFUNCTION("""COMPUTED_VALUE"""),0.026)</f>
        <v>0.026</v>
      </c>
      <c r="AY17" s="841">
        <f>IFERROR(__xludf.DUMMYFUNCTION("""COMPUTED_VALUE"""),0.026)</f>
        <v>0.026</v>
      </c>
      <c r="AZ17" s="836"/>
      <c r="BA17" s="836"/>
      <c r="BB17" s="836"/>
      <c r="BC17" s="836"/>
      <c r="BD17" s="836"/>
      <c r="BE17" s="836"/>
      <c r="BF17" s="836"/>
      <c r="BG17" s="836"/>
      <c r="BH17" s="841">
        <f>IFERROR(__xludf.DUMMYFUNCTION("""COMPUTED_VALUE"""),0.199)</f>
        <v>0.199</v>
      </c>
      <c r="BI17" s="836"/>
      <c r="BJ17" s="836"/>
      <c r="BK17" s="836"/>
      <c r="BL17" s="836"/>
      <c r="BM17" s="836"/>
      <c r="BN17" s="836"/>
      <c r="BO17" s="836"/>
      <c r="BP17" s="836"/>
      <c r="BQ17" s="697">
        <f>IFERROR(__xludf.DUMMYFUNCTION("""COMPUTED_VALUE"""),16.0)</f>
        <v>16</v>
      </c>
      <c r="BR17" s="844" t="str">
        <f>IFERROR(__xludf.DUMMYFUNCTION("""COMPUTED_VALUE"""),"Adugna et al.")</f>
        <v>Adugna et al.</v>
      </c>
      <c r="BS17" s="838" t="str">
        <f>IFERROR(__xludf.DUMMYFUNCTION("""COMPUTED_VALUE"""),"Ethiopia")</f>
        <v>Ethiopia</v>
      </c>
      <c r="BT17" s="838" t="str">
        <f>IFERROR(__xludf.DUMMYFUNCTION("""COMPUTED_VALUE"""),"Albendazole")</f>
        <v>Albendazole</v>
      </c>
      <c r="BU17" s="838"/>
      <c r="BV17" s="838" t="str">
        <f>IFERROR(__xludf.DUMMYFUNCTION("""COMPUTED_VALUE"""),"Single")</f>
        <v>Single</v>
      </c>
      <c r="BW17" s="838" t="str">
        <f>IFERROR(__xludf.DUMMYFUNCTION("""COMPUTED_VALUE"""),"400 mg")</f>
        <v>400 mg</v>
      </c>
      <c r="BX17" s="838">
        <f>IFERROR(__xludf.DUMMYFUNCTION("""COMPUTED_VALUE"""),162.0)</f>
        <v>162</v>
      </c>
      <c r="BY17" s="838" t="str">
        <f>IFERROR(__xludf.DUMMYFUNCTION("""COMPUTED_VALUE"""),"School Children")</f>
        <v>School Children</v>
      </c>
      <c r="BZ17" s="838">
        <f>IFERROR(__xludf.DUMMYFUNCTION("""COMPUTED_VALUE"""),2004.0)</f>
        <v>2004</v>
      </c>
      <c r="CA17" s="848">
        <f>IFERROR(__xludf.DUMMYFUNCTION("""COMPUTED_VALUE"""),3.636111111111111)</f>
        <v>3.636111111</v>
      </c>
      <c r="CB17" s="838" t="str">
        <f>IFERROR(__xludf.DUMMYFUNCTION("""COMPUTED_VALUE""")," ")</f>
        <v> </v>
      </c>
      <c r="CC17" s="838" t="str">
        <f>IFERROR(__xludf.DUMMYFUNCTION("""COMPUTED_VALUE"""),"Yes")</f>
        <v>Yes</v>
      </c>
      <c r="CD17" s="847">
        <f>IFERROR(__xludf.DUMMYFUNCTION("""COMPUTED_VALUE"""),0.839)</f>
        <v>0.839</v>
      </c>
      <c r="CE17" s="838" t="str">
        <f>IFERROR(__xludf.DUMMYFUNCTION("""COMPUTED_VALUE"""),"No")</f>
        <v>No</v>
      </c>
      <c r="CF17" s="838"/>
      <c r="CG17" s="838"/>
      <c r="CH17" s="838"/>
      <c r="CI17" s="838"/>
      <c r="CJ17" s="838"/>
      <c r="CK17" s="838"/>
      <c r="CL17" s="838"/>
      <c r="CM17" s="838" t="str">
        <f>IFERROR(__xludf.DUMMYFUNCTION("""COMPUTED_VALUE"""),"96.3%%")</f>
        <v>96.3%%</v>
      </c>
      <c r="CN17" s="838"/>
      <c r="CO17" s="838"/>
      <c r="CP17" s="838"/>
      <c r="CQ17" s="838"/>
      <c r="CR17" s="838"/>
      <c r="CS17" s="838"/>
      <c r="CT17" s="838"/>
      <c r="CU17" s="838"/>
      <c r="CV17" s="697" t="str">
        <f>IFERROR(__xludf.DUMMYFUNCTION("""COMPUTED_VALUE"""),"Adugna, Solomon, Yenew Kebede, Feleke Moges, and Moges Tiruneh. ""Efficacy of Mebendazole and Albendazole for Ascaris Lumbricoides and Hookworm Infections in an Area with Long Time Exposure for Antihelminthes, Northwest Ethiopia."" Ethiopian Medical Journ"&amp;"al 45.3 (2007): 301-06. Web.")</f>
        <v>Adugna, Solomon, Yenew Kebede, Feleke Moges, and Moges Tiruneh. "Efficacy of Mebendazole and Albendazole for Ascaris Lumbricoides and Hookworm Infections in an Area with Long Time Exposure for Antihelminthes, Northwest Ethiopia." Ethiopian Medical Journal 45.3 (2007): 301-06. Web.</v>
      </c>
    </row>
    <row r="18">
      <c r="A18" s="842" t="str">
        <f>IFERROR(__xludf.DUMMYFUNCTION("""COMPUTED_VALUE"""),"Anantaphruti et al.")</f>
        <v>Anantaphruti et al.</v>
      </c>
      <c r="B18" s="834" t="str">
        <f>IFERROR(__xludf.DUMMYFUNCTION("""COMPUTED_VALUE"""),"Thailand")</f>
        <v>Thailand</v>
      </c>
      <c r="C18" s="834" t="str">
        <f>IFERROR(__xludf.DUMMYFUNCTION("""COMPUTED_VALUE"""),"Albendazole")</f>
        <v>Albendazole</v>
      </c>
      <c r="D18" s="834" t="str">
        <f>IFERROR(__xludf.DUMMYFUNCTION("""COMPUTED_VALUE"""),"Single")</f>
        <v>Single</v>
      </c>
      <c r="E18" s="834" t="str">
        <f>IFERROR(__xludf.DUMMYFUNCTION("""COMPUTED_VALUE"""),"400 mg")</f>
        <v>400 mg</v>
      </c>
      <c r="F18" s="834"/>
      <c r="G18" s="834" t="str">
        <f>IFERROR(__xludf.DUMMYFUNCTION("""COMPUTED_VALUE"""),"5-78")</f>
        <v>5-78</v>
      </c>
      <c r="H18" s="834"/>
      <c r="I18" s="834">
        <f>IFERROR(__xludf.DUMMYFUNCTION("""COMPUTED_VALUE"""),2004.0)</f>
        <v>2004</v>
      </c>
      <c r="J18" s="834" t="str">
        <f>IFERROR(__xludf.DUMMYFUNCTION("""COMPUTED_VALUE"""),"excluded: Mixed hookworm and Trichuris-infected cases ")</f>
        <v>excluded: Mixed hookworm and Trichuris-infected cases </v>
      </c>
      <c r="K18" s="834"/>
      <c r="L18" s="839" t="str">
        <f>IFERROR(__xludf.DUMMYFUNCTION("""COMPUTED_VALUE"""),"No")</f>
        <v>No</v>
      </c>
      <c r="M18" s="839" t="str">
        <f>IFERROR(__xludf.DUMMYFUNCTION("""COMPUTED_VALUE"""),"No")</f>
        <v>No</v>
      </c>
      <c r="N18" s="840">
        <f>IFERROR(__xludf.DUMMYFUNCTION("""COMPUTED_VALUE"""),0.65)</f>
        <v>0.65</v>
      </c>
      <c r="O18" s="834"/>
      <c r="P18" s="834"/>
      <c r="Q18" s="834"/>
      <c r="R18" s="834"/>
      <c r="S18" s="834"/>
      <c r="T18" s="834"/>
      <c r="U18" s="834"/>
      <c r="V18" s="834"/>
      <c r="W18" s="840">
        <f>IFERROR(__xludf.DUMMYFUNCTION("""COMPUTED_VALUE"""),0.96)</f>
        <v>0.96</v>
      </c>
      <c r="X18" s="834"/>
      <c r="Y18" s="834"/>
      <c r="Z18" s="834"/>
      <c r="AA18" s="834"/>
      <c r="AB18" s="834"/>
      <c r="AC18" s="834"/>
      <c r="AD18" s="834"/>
      <c r="AE18" s="834" t="str">
        <f>IFERROR(__xludf.DUMMYFUNCTION("""COMPUTED_VALUE"""),"Cure rates were differed by racial grouping and were higher among the immigrants and lower among the Thais, ERR were relatively similar.")</f>
        <v>Cure rates were differed by racial grouping and were higher among the immigrants and lower among the Thais, ERR were relatively similar.</v>
      </c>
      <c r="AF18" s="834" t="str">
        <f>IFERROR(__xludf.DUMMYFUNCTION("""COMPUTED_VALUE"""),"• Kato-Katz method, polyethylene tube cultivation method, and Sasa’s modified Harada-Mori culture technique
• Immigrants")</f>
        <v>• Kato-Katz method, polyethylene tube cultivation method, and Sasa’s modified Harada-Mori culture technique
• Immigrants</v>
      </c>
      <c r="AG18" s="834" t="str">
        <f>IFERROR(__xludf.DUMMYFUNCTION("""COMPUTED_VALUE"""),"Anantaphruti M T, Nuamtanong S, Watthanakulpanich D, Maipanich W, Pubampen S, Sanguankiat S, et al. Responses to AlbendazoleTreatment for Hookworm Infection in Ethnic Thai and Immigrant in West-central Thailand. Journal of Health Science  [Internet]. 2003"&amp;"-2004 [cited 2015 Sep 29]: 53(4): 443-449.")</f>
        <v>Anantaphruti M T, Nuamtanong S, Watthanakulpanich D, Maipanich W, Pubampen S, Sanguankiat S, et al. Responses to AlbendazoleTreatment for Hookworm Infection in Ethnic Thai and Immigrant in West-central Thailand. Journal of Health Science  [Internet]. 2003-2004 [cited 2015 Sep 29]: 53(4): 443-449.</v>
      </c>
      <c r="AH18" s="834" t="str">
        <f>IFERROR(__xludf.DUMMYFUNCTION("""COMPUTED_VALUE"""),"x")</f>
        <v>x</v>
      </c>
      <c r="AJ18" s="843" t="str">
        <f>IFERROR(__xludf.DUMMYFUNCTION("""COMPUTED_VALUE"""),"Belizario et al.")</f>
        <v>Belizario et al.</v>
      </c>
      <c r="AK18" s="836"/>
      <c r="AL18" s="836" t="str">
        <f>IFERROR(__xludf.DUMMYFUNCTION("""COMPUTED_VALUE"""),"Philippines")</f>
        <v>Philippines</v>
      </c>
      <c r="AM18" s="836" t="str">
        <f>IFERROR(__xludf.DUMMYFUNCTION("""COMPUTED_VALUE"""),"Albendazole &amp; Ivermectin")</f>
        <v>Albendazole &amp; Ivermectin</v>
      </c>
      <c r="AN18" s="836" t="str">
        <f>IFERROR(__xludf.DUMMYFUNCTION("""COMPUTED_VALUE"""),"Single")</f>
        <v>Single</v>
      </c>
      <c r="AO18" s="836" t="str">
        <f>IFERROR(__xludf.DUMMYFUNCTION("""COMPUTED_VALUE"""),"400 mg; 200 mg")</f>
        <v>400 mg; 200 mg</v>
      </c>
      <c r="AP18" s="836">
        <f>IFERROR(__xludf.DUMMYFUNCTION("""COMPUTED_VALUE"""),149.0)</f>
        <v>149</v>
      </c>
      <c r="AQ18" s="836" t="str">
        <f>IFERROR(__xludf.DUMMYFUNCTION("""COMPUTED_VALUE"""),"Elementary School age 6-12 years old")</f>
        <v>Elementary School age 6-12 years old</v>
      </c>
      <c r="AR18" s="836" t="str">
        <f>IFERROR(__xludf.DUMMYFUNCTION("""COMPUTED_VALUE"""),"Male: 1199 Female:1088")</f>
        <v>Male: 1199 Female:1088</v>
      </c>
      <c r="AS18" s="836">
        <f>IFERROR(__xludf.DUMMYFUNCTION("""COMPUTED_VALUE"""),1998.0)</f>
        <v>1998</v>
      </c>
      <c r="AT18" s="836" t="str">
        <f>IFERROR(__xludf.DUMMYFUNCTION("""COMPUTED_VALUE"""),"Inclusion: male or female, age 6-12 years old, informed consent, ascarisis or trichuris eggs in stool samples, and compliance with protocol, requiring stool samples at the specified times after treatment Exclusions: previous hypersensitivity reaction to b"&amp;"enzimidazole, ivermection, diethylcarbamazine, or any related compound. Other helminths without the target helminths listed. diarrhoeal disease, reciept of any anthelminth in the two weeks before enrollment, reciepit of an anthelminth during the study per"&amp;"iod and concomitant infection or underlying disease compromising evaluation of the response to the medications being studied")</f>
        <v>Inclusion: male or female, age 6-12 years old, informed consent, ascarisis or trichuris eggs in stool samples, and compliance with protocol, requiring stool samples at the specified times after treatment Exclusions: previous hypersensitivity reaction to benzimidazole, ivermection, diethylcarbamazine, or any related compound. Other helminths without the target helminths listed. diarrhoeal disease, reciept of any anthelminth in the two weeks before enrollment, reciepit of an anthelminth during the study period and concomitant infection or underlying disease compromising evaluation of the response to the medications being studied</v>
      </c>
      <c r="AU18" s="836" t="str">
        <f>IFERROR(__xludf.DUMMYFUNCTION("""COMPUTED_VALUE"""),"Yes")</f>
        <v>Yes</v>
      </c>
      <c r="AV18" s="836" t="str">
        <f>IFERROR(__xludf.DUMMYFUNCTION("""COMPUTED_VALUE"""),"Yes")</f>
        <v>Yes</v>
      </c>
      <c r="AW18" s="836" t="str">
        <f>IFERROR(__xludf.DUMMYFUNCTION("""COMPUTED_VALUE"""),"randomized, placebo controlled, single-blind study")</f>
        <v>randomized, placebo controlled, single-blind study</v>
      </c>
      <c r="AX18" s="841">
        <f>IFERROR(__xludf.DUMMYFUNCTION("""COMPUTED_VALUE"""),0.651)</f>
        <v>0.651</v>
      </c>
      <c r="AY18" s="841">
        <f>IFERROR(__xludf.DUMMYFUNCTION("""COMPUTED_VALUE"""),0.651)</f>
        <v>0.651</v>
      </c>
      <c r="AZ18" s="836"/>
      <c r="BA18" s="836"/>
      <c r="BB18" s="836"/>
      <c r="BC18" s="836"/>
      <c r="BD18" s="836"/>
      <c r="BE18" s="836"/>
      <c r="BF18" s="836"/>
      <c r="BG18" s="836"/>
      <c r="BH18" s="841">
        <f>IFERROR(__xludf.DUMMYFUNCTION("""COMPUTED_VALUE"""),0.975)</f>
        <v>0.975</v>
      </c>
      <c r="BI18" s="836"/>
      <c r="BJ18" s="836"/>
      <c r="BK18" s="836"/>
      <c r="BL18" s="836"/>
      <c r="BM18" s="836"/>
      <c r="BN18" s="836"/>
      <c r="BO18" s="836"/>
      <c r="BP18" s="836"/>
      <c r="BQ18" s="697">
        <f>IFERROR(__xludf.DUMMYFUNCTION("""COMPUTED_VALUE"""),17.0)</f>
        <v>17</v>
      </c>
      <c r="BR18" s="844" t="str">
        <f>IFERROR(__xludf.DUMMYFUNCTION("""COMPUTED_VALUE"""),"Adugna et al.")</f>
        <v>Adugna et al.</v>
      </c>
      <c r="BS18" s="838" t="str">
        <f>IFERROR(__xludf.DUMMYFUNCTION("""COMPUTED_VALUE"""),"Ethiopia")</f>
        <v>Ethiopia</v>
      </c>
      <c r="BT18" s="838" t="str">
        <f>IFERROR(__xludf.DUMMYFUNCTION("""COMPUTED_VALUE"""),"Mebendazole")</f>
        <v>Mebendazole</v>
      </c>
      <c r="BU18" s="838"/>
      <c r="BV18" s="838" t="str">
        <f>IFERROR(__xludf.DUMMYFUNCTION("""COMPUTED_VALUE"""),"Two")</f>
        <v>Two</v>
      </c>
      <c r="BW18" s="838" t="str">
        <f>IFERROR(__xludf.DUMMYFUNCTION("""COMPUTED_VALUE"""),"100 mg")</f>
        <v>100 mg</v>
      </c>
      <c r="BX18" s="838">
        <f>IFERROR(__xludf.DUMMYFUNCTION("""COMPUTED_VALUE"""),136.0)</f>
        <v>136</v>
      </c>
      <c r="BY18" s="838" t="str">
        <f>IFERROR(__xludf.DUMMYFUNCTION("""COMPUTED_VALUE"""),"School Children")</f>
        <v>School Children</v>
      </c>
      <c r="BZ18" s="838">
        <f>IFERROR(__xludf.DUMMYFUNCTION("""COMPUTED_VALUE"""),2004.0)</f>
        <v>2004</v>
      </c>
      <c r="CA18" s="848">
        <f>IFERROR(__xludf.DUMMYFUNCTION("""COMPUTED_VALUE"""),2.7576388888888888)</f>
        <v>2.757638889</v>
      </c>
      <c r="CB18" s="838"/>
      <c r="CC18" s="838" t="str">
        <f>IFERROR(__xludf.DUMMYFUNCTION("""COMPUTED_VALUE"""),"Yes")</f>
        <v>Yes</v>
      </c>
      <c r="CD18" s="847">
        <f>IFERROR(__xludf.DUMMYFUNCTION("""COMPUTED_VALUE"""),0.906)</f>
        <v>0.906</v>
      </c>
      <c r="CE18" s="838" t="str">
        <f>IFERROR(__xludf.DUMMYFUNCTION("""COMPUTED_VALUE"""),"No")</f>
        <v>No</v>
      </c>
      <c r="CF18" s="838"/>
      <c r="CG18" s="838"/>
      <c r="CH18" s="838"/>
      <c r="CI18" s="838"/>
      <c r="CJ18" s="838"/>
      <c r="CK18" s="838"/>
      <c r="CL18" s="838"/>
      <c r="CM18" s="847">
        <f>IFERROR(__xludf.DUMMYFUNCTION("""COMPUTED_VALUE"""),0.967)</f>
        <v>0.967</v>
      </c>
      <c r="CN18" s="838"/>
      <c r="CO18" s="838"/>
      <c r="CP18" s="838"/>
      <c r="CQ18" s="838"/>
      <c r="CR18" s="838"/>
      <c r="CS18" s="838"/>
      <c r="CT18" s="838"/>
      <c r="CU18" s="838"/>
      <c r="CV18" s="697" t="str">
        <f>IFERROR(__xludf.DUMMYFUNCTION("""COMPUTED_VALUE"""),"Adugna, Solomon, Yenew Kebede, Feleke Moges, and Moges Tiruneh. ""Efficacy of Mebendazole and Albendazole for Ascaris Lumbricoides and Hookworm Infections in an Area with Long Time Exposure for Antihelminthes, Northwest Ethiopia."" Ethiopian Medical Journ"&amp;"al 45.3 (2007): 301-06. Web.")</f>
        <v>Adugna, Solomon, Yenew Kebede, Feleke Moges, and Moges Tiruneh. "Efficacy of Mebendazole and Albendazole for Ascaris Lumbricoides and Hookworm Infections in an Area with Long Time Exposure for Antihelminthes, Northwest Ethiopia." Ethiopian Medical Journal 45.3 (2007): 301-06. Web.</v>
      </c>
    </row>
    <row r="19">
      <c r="A19" s="842" t="str">
        <f>IFERROR(__xludf.DUMMYFUNCTION("""COMPUTED_VALUE"""),"Bartoloni et al.")</f>
        <v>Bartoloni et al.</v>
      </c>
      <c r="B19" s="834" t="str">
        <f>IFERROR(__xludf.DUMMYFUNCTION("""COMPUTED_VALUE"""),"Bolivia")</f>
        <v>Bolivia</v>
      </c>
      <c r="C19" s="834" t="str">
        <f>IFERROR(__xludf.DUMMYFUNCTION("""COMPUTED_VALUE"""),"Albendazole")</f>
        <v>Albendazole</v>
      </c>
      <c r="D19" s="834" t="str">
        <f>IFERROR(__xludf.DUMMYFUNCTION("""COMPUTED_VALUE"""),"Single")</f>
        <v>Single</v>
      </c>
      <c r="E19" s="834" t="str">
        <f>IFERROR(__xludf.DUMMYFUNCTION("""COMPUTED_VALUE"""),"400 mg")</f>
        <v>400 mg</v>
      </c>
      <c r="F19" s="834">
        <f>IFERROR(__xludf.DUMMYFUNCTION("""COMPUTED_VALUE"""),33.0)</f>
        <v>33</v>
      </c>
      <c r="G19" s="849">
        <f>IFERROR(__xludf.DUMMYFUNCTION("""COMPUTED_VALUE"""),42409.0)</f>
        <v>42409</v>
      </c>
      <c r="H19" s="834"/>
      <c r="I19" s="834">
        <f>IFERROR(__xludf.DUMMYFUNCTION("""COMPUTED_VALUE"""),1990.0)</f>
        <v>1990</v>
      </c>
      <c r="J19" s="834"/>
      <c r="K19" s="839" t="str">
        <f>IFERROR(__xludf.DUMMYFUNCTION("""COMPUTED_VALUE"""),"longitudinal study randomized")</f>
        <v>longitudinal study randomized</v>
      </c>
      <c r="L19" s="839" t="str">
        <f>IFERROR(__xludf.DUMMYFUNCTION("""COMPUTED_VALUE"""),"Yes")</f>
        <v>Yes</v>
      </c>
      <c r="M19" s="839" t="str">
        <f>IFERROR(__xludf.DUMMYFUNCTION("""COMPUTED_VALUE"""),"No")</f>
        <v>No</v>
      </c>
      <c r="N19" s="840">
        <f>IFERROR(__xludf.DUMMYFUNCTION("""COMPUTED_VALUE"""),0.818)</f>
        <v>0.818</v>
      </c>
      <c r="O19" s="834"/>
      <c r="P19" s="834"/>
      <c r="Q19" s="834"/>
      <c r="R19" s="834"/>
      <c r="S19" s="834"/>
      <c r="T19" s="834"/>
      <c r="U19" s="834"/>
      <c r="V19" s="834"/>
      <c r="W19" s="840">
        <f>IFERROR(__xludf.DUMMYFUNCTION("""COMPUTED_VALUE"""),0.928)</f>
        <v>0.928</v>
      </c>
      <c r="X19" s="834"/>
      <c r="Y19" s="834"/>
      <c r="Z19" s="834"/>
      <c r="AA19" s="834"/>
      <c r="AB19" s="834"/>
      <c r="AC19" s="834"/>
      <c r="AD19" s="834"/>
      <c r="AE19" s="834" t="str">
        <f>IFERROR(__xludf.DUMMYFUNCTION("""COMPUTED_VALUE"""),"Albendazoleshould be considered the drug of choice for mass deworming campaigns in the area.")</f>
        <v>Albendazoleshould be considered the drug of choice for mass deworming campaigns in the area.</v>
      </c>
      <c r="AF19" s="834" t="str">
        <f>IFERROR(__xludf.DUMMYFUNCTION("""COMPUTED_VALUE"""),"Kato-Katz method")</f>
        <v>Kato-Katz method</v>
      </c>
      <c r="AG19" s="834" t="str">
        <f>IFERROR(__xludf.DUMMYFUNCTION("""COMPUTED_VALUE"""),"Bartoloni A, Guglielmetti P, Cancrini G. “Comparitive efficacy of a single 400 mg dose of Albendazoleor Mebendazolein the treatment of nematode infections in children”. Tropical and Geographical Medicine (1993):114-116. Web.")</f>
        <v>Bartoloni A, Guglielmetti P, Cancrini G. “Comparitive efficacy of a single 400 mg dose of Albendazoleor Mebendazolein the treatment of nematode infections in children”. Tropical and Geographical Medicine (1993):114-116. Web.</v>
      </c>
      <c r="AH19" s="834"/>
      <c r="AJ19" s="843" t="str">
        <f>IFERROR(__xludf.DUMMYFUNCTION("""COMPUTED_VALUE"""),"Belizario et al.")</f>
        <v>Belizario et al.</v>
      </c>
      <c r="AK19" s="836"/>
      <c r="AL19" s="836" t="str">
        <f>IFERROR(__xludf.DUMMYFUNCTION("""COMPUTED_VALUE"""),"Philippines")</f>
        <v>Philippines</v>
      </c>
      <c r="AM19" s="836" t="str">
        <f>IFERROR(__xludf.DUMMYFUNCTION("""COMPUTED_VALUE"""),"Albendazole &amp; Diethylcarbamzine")</f>
        <v>Albendazole &amp; Diethylcarbamzine</v>
      </c>
      <c r="AN19" s="836" t="str">
        <f>IFERROR(__xludf.DUMMYFUNCTION("""COMPUTED_VALUE"""),"Single")</f>
        <v>Single</v>
      </c>
      <c r="AO19" s="836" t="str">
        <f>IFERROR(__xludf.DUMMYFUNCTION("""COMPUTED_VALUE"""),"400 mg; 150 mg")</f>
        <v>400 mg; 150 mg</v>
      </c>
      <c r="AP19" s="836">
        <f>IFERROR(__xludf.DUMMYFUNCTION("""COMPUTED_VALUE"""),156.0)</f>
        <v>156</v>
      </c>
      <c r="AQ19" s="836" t="str">
        <f>IFERROR(__xludf.DUMMYFUNCTION("""COMPUTED_VALUE"""),"Elementary School age 6-12 years old")</f>
        <v>Elementary School age 6-12 years old</v>
      </c>
      <c r="AR19" s="836" t="str">
        <f>IFERROR(__xludf.DUMMYFUNCTION("""COMPUTED_VALUE"""),"Male: 1199 Female:1089")</f>
        <v>Male: 1199 Female:1089</v>
      </c>
      <c r="AS19" s="836">
        <f>IFERROR(__xludf.DUMMYFUNCTION("""COMPUTED_VALUE"""),1998.0)</f>
        <v>1998</v>
      </c>
      <c r="AT19" s="836" t="str">
        <f>IFERROR(__xludf.DUMMYFUNCTION("""COMPUTED_VALUE"""),"Inclusion: male or female, age 6-12 years old, informed consent, ascarisis or trichuris eggs in stool samples, and compliance with protocol, requiring stool samples at the specified times after treatment Exclusions: previous hypersensitivity reaction to b"&amp;"enzimidazole, ivermection, diethylcarbamazine, or any related compound. Other helminths without the target helminths listed. diarrhoeal disease, reciept of any anthelminth in the two weeks before enrollment, reciepit of an anthelminth during the study per"&amp;"iod and concomitant infection or underlying disease compromising evaluation of the response to the medications being studied")</f>
        <v>Inclusion: male or female, age 6-12 years old, informed consent, ascarisis or trichuris eggs in stool samples, and compliance with protocol, requiring stool samples at the specified times after treatment Exclusions: previous hypersensitivity reaction to benzimidazole, ivermection, diethylcarbamazine, or any related compound. Other helminths without the target helminths listed. diarrhoeal disease, reciept of any anthelminth in the two weeks before enrollment, reciepit of an anthelminth during the study period and concomitant infection or underlying disease compromising evaluation of the response to the medications being studied</v>
      </c>
      <c r="AU19" s="836" t="str">
        <f>IFERROR(__xludf.DUMMYFUNCTION("""COMPUTED_VALUE"""),"Yes")</f>
        <v>Yes</v>
      </c>
      <c r="AV19" s="836" t="str">
        <f>IFERROR(__xludf.DUMMYFUNCTION("""COMPUTED_VALUE"""),"Yes")</f>
        <v>Yes</v>
      </c>
      <c r="AW19" s="836" t="str">
        <f>IFERROR(__xludf.DUMMYFUNCTION("""COMPUTED_VALUE"""),"randomized, placebo controlled, single-blind study")</f>
        <v>randomized, placebo controlled, single-blind study</v>
      </c>
      <c r="AX19" s="841">
        <f>IFERROR(__xludf.DUMMYFUNCTION("""COMPUTED_VALUE"""),0.192)</f>
        <v>0.192</v>
      </c>
      <c r="AY19" s="841">
        <f>IFERROR(__xludf.DUMMYFUNCTION("""COMPUTED_VALUE"""),0.192)</f>
        <v>0.192</v>
      </c>
      <c r="AZ19" s="836"/>
      <c r="BA19" s="836"/>
      <c r="BB19" s="836"/>
      <c r="BC19" s="836"/>
      <c r="BD19" s="836"/>
      <c r="BE19" s="836"/>
      <c r="BF19" s="836"/>
      <c r="BG19" s="836"/>
      <c r="BH19" s="841">
        <f>IFERROR(__xludf.DUMMYFUNCTION("""COMPUTED_VALUE"""),0.794)</f>
        <v>0.794</v>
      </c>
      <c r="BI19" s="836"/>
      <c r="BJ19" s="836"/>
      <c r="BK19" s="836"/>
      <c r="BL19" s="836"/>
      <c r="BM19" s="836"/>
      <c r="BN19" s="836"/>
      <c r="BO19" s="836"/>
      <c r="BP19" s="836"/>
      <c r="BQ19" s="697">
        <f>IFERROR(__xludf.DUMMYFUNCTION("""COMPUTED_VALUE"""),18.0)</f>
        <v>18</v>
      </c>
      <c r="BR19" s="844" t="str">
        <f>IFERROR(__xludf.DUMMYFUNCTION("""COMPUTED_VALUE"""),"Levecke et al.")</f>
        <v>Levecke et al.</v>
      </c>
      <c r="BS19" s="838" t="str">
        <f>IFERROR(__xludf.DUMMYFUNCTION("""COMPUTED_VALUE"""),"Brazil")</f>
        <v>Brazil</v>
      </c>
      <c r="BT19" s="838" t="str">
        <f>IFERROR(__xludf.DUMMYFUNCTION("""COMPUTED_VALUE"""),"Mebendazole")</f>
        <v>Mebendazole</v>
      </c>
      <c r="BU19" s="838"/>
      <c r="BV19" s="838" t="str">
        <f>IFERROR(__xludf.DUMMYFUNCTION("""COMPUTED_VALUE"""),"Single")</f>
        <v>Single</v>
      </c>
      <c r="BW19" s="838" t="str">
        <f>IFERROR(__xludf.DUMMYFUNCTION("""COMPUTED_VALUE"""),"500 mg")</f>
        <v>500 mg</v>
      </c>
      <c r="BX19" s="838">
        <f>IFERROR(__xludf.DUMMYFUNCTION("""COMPUTED_VALUE"""),133.0)</f>
        <v>133</v>
      </c>
      <c r="BY19" s="838">
        <f>IFERROR(__xludf.DUMMYFUNCTION("""COMPUTED_VALUE"""),9.3)</f>
        <v>9.3</v>
      </c>
      <c r="BZ19" s="838">
        <f>IFERROR(__xludf.DUMMYFUNCTION("""COMPUTED_VALUE"""),2012.0)</f>
        <v>2012</v>
      </c>
      <c r="CA19" s="852">
        <f>IFERROR(__xludf.DUMMYFUNCTION("""COMPUTED_VALUE"""),0.05416666666666667)</f>
        <v>0.05416666667</v>
      </c>
      <c r="CB19" s="838" t="str">
        <f>IFERROR(__xludf.DUMMYFUNCTION("""COMPUTED_VALUE""")," ")</f>
        <v> </v>
      </c>
      <c r="CC19" s="838" t="str">
        <f>IFERROR(__xludf.DUMMYFUNCTION("""COMPUTED_VALUE"""),"No")</f>
        <v>No</v>
      </c>
      <c r="CD19" s="838"/>
      <c r="CE19" s="838" t="str">
        <f>IFERROR(__xludf.DUMMYFUNCTION("""COMPUTED_VALUE"""),"No")</f>
        <v>No</v>
      </c>
      <c r="CF19" s="838"/>
      <c r="CG19" s="838"/>
      <c r="CH19" s="838"/>
      <c r="CI19" s="838"/>
      <c r="CJ19" s="838"/>
      <c r="CK19" s="838"/>
      <c r="CL19" s="838"/>
      <c r="CM19" s="847">
        <f>IFERROR(__xludf.DUMMYFUNCTION("""COMPUTED_VALUE"""),0.975)</f>
        <v>0.975</v>
      </c>
      <c r="CN19" s="838"/>
      <c r="CO19" s="838"/>
      <c r="CP19" s="838"/>
      <c r="CQ19" s="838"/>
      <c r="CR19" s="838"/>
      <c r="CS19" s="838"/>
      <c r="CT19" s="838" t="str">
        <f>IFERROR(__xludf.DUMMYFUNCTION("""COMPUTED_VALUE"""),"McMaster")</f>
        <v>McMaster</v>
      </c>
      <c r="CU19" s="838" t="str">
        <f>IFERROR(__xludf.DUMMYFUNCTION("""COMPUTED_VALUE"""),"x")</f>
        <v>x</v>
      </c>
      <c r="CV19" s="697" t="str">
        <f>IFERROR(__xludf.DUMMYFUNCTION("""COMPUTED_VALUE"""),"B.Levecke,. A. Montresor, M.Albonico et al. (2014) Assessment of Anthelmintic Efficacy of Mebendazole in School Children in Six Countries Where Soil-Transmitted Helminths Are Endemic. PLoS Neglected Tropical Diseases (10)8: e3204.doi:10.1371/journal.pntd."&amp;"0003204 ")</f>
        <v>B.Levecke,. A. Montresor, M.Albonico et al. (2014) Assessment of Anthelmintic Efficacy of Mebendazole in School Children in Six Countries Where Soil-Transmitted Helminths Are Endemic. PLoS Neglected Tropical Diseases (10)8: e3204.doi:10.1371/journal.pntd.0003204 </v>
      </c>
    </row>
    <row r="20">
      <c r="A20" s="842" t="str">
        <f>IFERROR(__xludf.DUMMYFUNCTION("""COMPUTED_VALUE"""),"Bartoloni et al.")</f>
        <v>Bartoloni et al.</v>
      </c>
      <c r="B20" s="834" t="str">
        <f>IFERROR(__xludf.DUMMYFUNCTION("""COMPUTED_VALUE"""),"Bolivia")</f>
        <v>Bolivia</v>
      </c>
      <c r="C20" s="834" t="str">
        <f>IFERROR(__xludf.DUMMYFUNCTION("""COMPUTED_VALUE"""),"Mebendazole")</f>
        <v>Mebendazole</v>
      </c>
      <c r="D20" s="834" t="str">
        <f>IFERROR(__xludf.DUMMYFUNCTION("""COMPUTED_VALUE"""),"Single")</f>
        <v>Single</v>
      </c>
      <c r="E20" s="834" t="str">
        <f>IFERROR(__xludf.DUMMYFUNCTION("""COMPUTED_VALUE"""),"400 mg")</f>
        <v>400 mg</v>
      </c>
      <c r="F20" s="834">
        <f>IFERROR(__xludf.DUMMYFUNCTION("""COMPUTED_VALUE"""),29.0)</f>
        <v>29</v>
      </c>
      <c r="G20" s="849">
        <f>IFERROR(__xludf.DUMMYFUNCTION("""COMPUTED_VALUE"""),42409.0)</f>
        <v>42409</v>
      </c>
      <c r="H20" s="834"/>
      <c r="I20" s="834">
        <f>IFERROR(__xludf.DUMMYFUNCTION("""COMPUTED_VALUE"""),1990.0)</f>
        <v>1990</v>
      </c>
      <c r="J20" s="834"/>
      <c r="K20" s="839" t="str">
        <f>IFERROR(__xludf.DUMMYFUNCTION("""COMPUTED_VALUE"""),"longitudinal study randomized")</f>
        <v>longitudinal study randomized</v>
      </c>
      <c r="L20" s="839" t="str">
        <f>IFERROR(__xludf.DUMMYFUNCTION("""COMPUTED_VALUE"""),"Yes")</f>
        <v>Yes</v>
      </c>
      <c r="M20" s="839" t="str">
        <f>IFERROR(__xludf.DUMMYFUNCTION("""COMPUTED_VALUE"""),"No")</f>
        <v>No</v>
      </c>
      <c r="N20" s="840">
        <f>IFERROR(__xludf.DUMMYFUNCTION("""COMPUTED_VALUE"""),0.172)</f>
        <v>0.172</v>
      </c>
      <c r="O20" s="834"/>
      <c r="P20" s="834"/>
      <c r="Q20" s="834"/>
      <c r="R20" s="834"/>
      <c r="S20" s="834"/>
      <c r="T20" s="834"/>
      <c r="U20" s="834"/>
      <c r="V20" s="834"/>
      <c r="W20" s="840">
        <f>IFERROR(__xludf.DUMMYFUNCTION("""COMPUTED_VALUE"""),0.624)</f>
        <v>0.624</v>
      </c>
      <c r="X20" s="834"/>
      <c r="Y20" s="834"/>
      <c r="Z20" s="834"/>
      <c r="AA20" s="834"/>
      <c r="AB20" s="834"/>
      <c r="AC20" s="834"/>
      <c r="AD20" s="834"/>
      <c r="AE20" s="834" t="str">
        <f>IFERROR(__xludf.DUMMYFUNCTION("""COMPUTED_VALUE"""),"Albendazoleshould be considered the drug of choice for mass deworming campaigns in the area.")</f>
        <v>Albendazoleshould be considered the drug of choice for mass deworming campaigns in the area.</v>
      </c>
      <c r="AF20" s="834" t="str">
        <f>IFERROR(__xludf.DUMMYFUNCTION("""COMPUTED_VALUE"""),"Kato-Katz method")</f>
        <v>Kato-Katz method</v>
      </c>
      <c r="AG20" s="834" t="str">
        <f>IFERROR(__xludf.DUMMYFUNCTION("""COMPUTED_VALUE"""),"Bartoloni A, Guglielmetti P, Cancrini G. “Comparitive efficacy of a single 400 mg dose of Albendazoleor Mebendazolein the treatment of nematode infections in children”. Tropical and Geographical Medicine (1993):114-116. Web.")</f>
        <v>Bartoloni A, Guglielmetti P, Cancrini G. “Comparitive efficacy of a single 400 mg dose of Albendazoleor Mebendazolein the treatment of nematode infections in children”. Tropical and Geographical Medicine (1993):114-116. Web.</v>
      </c>
      <c r="AH20" s="834"/>
      <c r="AJ20" s="843" t="str">
        <f>IFERROR(__xludf.DUMMYFUNCTION("""COMPUTED_VALUE"""),"Ndyomugyenyi et al.")</f>
        <v>Ndyomugyenyi et al.</v>
      </c>
      <c r="AK20" s="836" t="str">
        <f>IFERROR(__xludf.DUMMYFUNCTION("""COMPUTED_VALUE"""),"Ndyomugyenyi, Richard, Narcis Kabatereine, Annette Olsen, and Pascal Magnussen. ""Efficacy of Ivermectinand AlbendazoleAone and in Combination for Treatment of Soil-Transmitted Helminths in Pregnancy and Adverse Events: A Randomized Open Label Controlled "&amp;"Intervention Trial in Masindi District, Western Uganda."" The American Society of Tropical Medicine and Hygiene 79.6 (2008): 856-63. Web.")</f>
        <v>Ndyomugyenyi, Richard, Narcis Kabatereine, Annette Olsen, and Pascal Magnussen. "Efficacy of Ivermectinand AlbendazoleAone and in Combination for Treatment of Soil-Transmitted Helminths in Pregnancy and Adverse Events: A Randomized Open Label Controlled Intervention Trial in Masindi District, Western Uganda." The American Society of Tropical Medicine and Hygiene 79.6 (2008): 856-63. Web.</v>
      </c>
      <c r="AL20" s="836" t="str">
        <f>IFERROR(__xludf.DUMMYFUNCTION("""COMPUTED_VALUE"""),"Uganda")</f>
        <v>Uganda</v>
      </c>
      <c r="AM20" s="836" t="str">
        <f>IFERROR(__xludf.DUMMYFUNCTION("""COMPUTED_VALUE"""),"Albendazole")</f>
        <v>Albendazole</v>
      </c>
      <c r="AN20" s="836" t="str">
        <f>IFERROR(__xludf.DUMMYFUNCTION("""COMPUTED_VALUE"""),"Single")</f>
        <v>Single</v>
      </c>
      <c r="AO20" s="836" t="str">
        <f>IFERROR(__xludf.DUMMYFUNCTION("""COMPUTED_VALUE"""),"400 mg")</f>
        <v>400 mg</v>
      </c>
      <c r="AP20" s="836">
        <f>IFERROR(__xludf.DUMMYFUNCTION("""COMPUTED_VALUE"""),12.0)</f>
        <v>12</v>
      </c>
      <c r="AQ20" s="836">
        <f>IFERROR(__xludf.DUMMYFUNCTION("""COMPUTED_VALUE"""),24.0)</f>
        <v>24</v>
      </c>
      <c r="AR20" s="836" t="str">
        <f>IFERROR(__xludf.DUMMYFUNCTION("""COMPUTED_VALUE"""),"All Female")</f>
        <v>All Female</v>
      </c>
      <c r="AS20" s="836">
        <f>IFERROR(__xludf.DUMMYFUNCTION("""COMPUTED_VALUE"""),2008.0)</f>
        <v>2008</v>
      </c>
      <c r="AT20" s="836" t="str">
        <f>IFERROR(__xludf.DUMMYFUNCTION("""COMPUTED_VALUE"""),"Pregnant")</f>
        <v>Pregnant</v>
      </c>
      <c r="AU20" s="836" t="str">
        <f>IFERROR(__xludf.DUMMYFUNCTION("""COMPUTED_VALUE"""),"Yes")</f>
        <v>Yes</v>
      </c>
      <c r="AV20" s="836" t="str">
        <f>IFERROR(__xludf.DUMMYFUNCTION("""COMPUTED_VALUE"""),"No")</f>
        <v>No</v>
      </c>
      <c r="AW20" s="836" t="str">
        <f>IFERROR(__xludf.DUMMYFUNCTION("""COMPUTED_VALUE"""),"open label randomized controlled trial with four arms")</f>
        <v>open label randomized controlled trial with four arms</v>
      </c>
      <c r="AX20" s="841">
        <f>IFERROR(__xludf.DUMMYFUNCTION("""COMPUTED_VALUE"""),0.333)</f>
        <v>0.333</v>
      </c>
      <c r="AY20" s="836"/>
      <c r="AZ20" s="841">
        <f>IFERROR(__xludf.DUMMYFUNCTION("""COMPUTED_VALUE"""),0.333)</f>
        <v>0.333</v>
      </c>
      <c r="BA20" s="836"/>
      <c r="BB20" s="836"/>
      <c r="BC20" s="836"/>
      <c r="BD20" s="836"/>
      <c r="BE20" s="836"/>
      <c r="BF20" s="836"/>
      <c r="BG20" s="836"/>
      <c r="BH20" s="836"/>
      <c r="BI20" s="836"/>
      <c r="BJ20" s="836"/>
      <c r="BK20" s="836"/>
      <c r="BL20" s="836"/>
      <c r="BM20" s="836"/>
      <c r="BN20" s="836"/>
      <c r="BO20" s="836" t="str">
        <f>IFERROR(__xludf.DUMMYFUNCTION("""COMPUTED_VALUE"""),"Kato-Katz Method and Finger Pricked")</f>
        <v>Kato-Katz Method and Finger Pricked</v>
      </c>
      <c r="BP20" s="836"/>
      <c r="BQ20" s="697">
        <f>IFERROR(__xludf.DUMMYFUNCTION("""COMPUTED_VALUE"""),19.0)</f>
        <v>19</v>
      </c>
      <c r="BR20" s="844" t="str">
        <f>IFERROR(__xludf.DUMMYFUNCTION("""COMPUTED_VALUE"""),"Levecke et al.")</f>
        <v>Levecke et al.</v>
      </c>
      <c r="BS20" s="838" t="str">
        <f>IFERROR(__xludf.DUMMYFUNCTION("""COMPUTED_VALUE"""),"Brazil")</f>
        <v>Brazil</v>
      </c>
      <c r="BT20" s="838" t="str">
        <f>IFERROR(__xludf.DUMMYFUNCTION("""COMPUTED_VALUE"""),"Albendazole")</f>
        <v>Albendazole</v>
      </c>
      <c r="BU20" s="838"/>
      <c r="BV20" s="838" t="str">
        <f>IFERROR(__xludf.DUMMYFUNCTION("""COMPUTED_VALUE"""),"Single")</f>
        <v>Single</v>
      </c>
      <c r="BW20" s="838" t="str">
        <f>IFERROR(__xludf.DUMMYFUNCTION("""COMPUTED_VALUE"""),"400 mg")</f>
        <v>400 mg</v>
      </c>
      <c r="BX20" s="838">
        <f>IFERROR(__xludf.DUMMYFUNCTION("""COMPUTED_VALUE"""),50.0)</f>
        <v>50</v>
      </c>
      <c r="BY20" s="838">
        <f>IFERROR(__xludf.DUMMYFUNCTION("""COMPUTED_VALUE"""),9.8)</f>
        <v>9.8</v>
      </c>
      <c r="BZ20" s="838">
        <f>IFERROR(__xludf.DUMMYFUNCTION("""COMPUTED_VALUE"""),2012.0)</f>
        <v>2012</v>
      </c>
      <c r="CA20" s="838" t="str">
        <f>IFERROR(__xludf.DUMMYFUNCTION("""COMPUTED_VALUE"""),"Female:Male 1:00")</f>
        <v>Female:Male 1:00</v>
      </c>
      <c r="CB20" s="838"/>
      <c r="CC20" s="838" t="str">
        <f>IFERROR(__xludf.DUMMYFUNCTION("""COMPUTED_VALUE"""),"No")</f>
        <v>No</v>
      </c>
      <c r="CD20" s="838"/>
      <c r="CE20" s="838" t="str">
        <f>IFERROR(__xludf.DUMMYFUNCTION("""COMPUTED_VALUE"""),"No")</f>
        <v>No</v>
      </c>
      <c r="CF20" s="838"/>
      <c r="CG20" s="838"/>
      <c r="CH20" s="838"/>
      <c r="CI20" s="838"/>
      <c r="CJ20" s="838"/>
      <c r="CK20" s="838"/>
      <c r="CL20" s="838"/>
      <c r="CM20" s="847">
        <f>IFERROR(__xludf.DUMMYFUNCTION("""COMPUTED_VALUE"""),1.0)</f>
        <v>1</v>
      </c>
      <c r="CN20" s="838"/>
      <c r="CO20" s="838"/>
      <c r="CP20" s="838"/>
      <c r="CQ20" s="838"/>
      <c r="CR20" s="838"/>
      <c r="CS20" s="838"/>
      <c r="CT20" s="838"/>
      <c r="CU20" s="838" t="str">
        <f>IFERROR(__xludf.DUMMYFUNCTION("""COMPUTED_VALUE"""),"x")</f>
        <v>x</v>
      </c>
      <c r="CV20" s="697" t="str">
        <f>IFERROR(__xludf.DUMMYFUNCTION("""COMPUTED_VALUE"""),"B.Levecke,. A. Montresor, M.Albonico et al. (2014) Assessment of Anthelmintic Efficacy of Mebendazole in School Children in Six Countries Where Soil-Transmitted Helminths Are Endemic. PLoS Neglected Tropical Diseases (10)8: e3204.doi:10.1371/journal.pntd."&amp;"0003204 ")</f>
        <v>B.Levecke,. A. Montresor, M.Albonico et al. (2014) Assessment of Anthelmintic Efficacy of Mebendazole in School Children in Six Countries Where Soil-Transmitted Helminths Are Endemic. PLoS Neglected Tropical Diseases (10)8: e3204.doi:10.1371/journal.pntd.0003204 </v>
      </c>
    </row>
    <row r="21">
      <c r="A21" s="834" t="str">
        <f>IFERROR(__xludf.DUMMYFUNCTION("""COMPUTED_VALUE"""),"No")</f>
        <v>No</v>
      </c>
      <c r="B21" s="834" t="str">
        <f>IFERROR(__xludf.DUMMYFUNCTION("""COMPUTED_VALUE"""),"Haiti")</f>
        <v>Haiti</v>
      </c>
      <c r="C21" s="834" t="str">
        <f>IFERROR(__xludf.DUMMYFUNCTION("""COMPUTED_VALUE"""),"Placebo 250 mg Vitamin C")</f>
        <v>Placebo 250 mg Vitamin C</v>
      </c>
      <c r="D21" s="834"/>
      <c r="E21" s="834"/>
      <c r="F21" s="834">
        <f>IFERROR(__xludf.DUMMYFUNCTION("""COMPUTED_VALUE"""),200.0)</f>
        <v>200</v>
      </c>
      <c r="G21" s="834">
        <f>IFERROR(__xludf.DUMMYFUNCTION("""COMPUTED_VALUE"""),7.4)</f>
        <v>7.4</v>
      </c>
      <c r="H21" s="839" t="str">
        <f>IFERROR(__xludf.DUMMYFUNCTION("""COMPUTED_VALUE"""),"52:48")</f>
        <v>52:48</v>
      </c>
      <c r="I21" s="834">
        <f>IFERROR(__xludf.DUMMYFUNCTION("""COMPUTED_VALUE"""),1996.0)</f>
        <v>1996</v>
      </c>
      <c r="J21" s="834" t="str">
        <f>IFERROR(__xludf.DUMMYFUNCTION("""COMPUTED_VALUE"""),"Included : age -11 years, anthropometric measurements before and four months after treatment, stool specimans before and 5 weeks after treatment, random assignment to a treatment group and height weight and age within limits of the anthropometric databse")</f>
        <v>Included : age -11 years, anthropometric measurements before and four months after treatment, stool specimans before and 5 weeks after treatment, random assignment to a treatment group and height weight and age within limits of the anthropometric databse</v>
      </c>
      <c r="K21" s="839" t="str">
        <f>IFERROR(__xludf.DUMMYFUNCTION("""COMPUTED_VALUE"""),"randomized double-blind placebo controlled study")</f>
        <v>randomized double-blind placebo controlled study</v>
      </c>
      <c r="L21" s="839" t="str">
        <f>IFERROR(__xludf.DUMMYFUNCTION("""COMPUTED_VALUE"""),"Yes")</f>
        <v>Yes</v>
      </c>
      <c r="M21" s="839" t="str">
        <f>IFERROR(__xludf.DUMMYFUNCTION("""COMPUTED_VALUE"""),"Yes")</f>
        <v>Yes</v>
      </c>
      <c r="N21" s="840">
        <f>IFERROR(__xludf.DUMMYFUNCTION("""COMPUTED_VALUE"""),0.125)</f>
        <v>0.125</v>
      </c>
      <c r="O21" s="834"/>
      <c r="P21" s="834"/>
      <c r="Q21" s="834"/>
      <c r="R21" s="834"/>
      <c r="S21" s="834"/>
      <c r="T21" s="834"/>
      <c r="U21" s="840">
        <f>IFERROR(__xludf.DUMMYFUNCTION("""COMPUTED_VALUE"""),0.125)</f>
        <v>0.125</v>
      </c>
      <c r="V21" s="834"/>
      <c r="W21" s="834"/>
      <c r="X21" s="834"/>
      <c r="Y21" s="834"/>
      <c r="Z21" s="834"/>
      <c r="AA21" s="840">
        <f>IFERROR(__xludf.DUMMYFUNCTION("""COMPUTED_VALUE"""),0.125)</f>
        <v>0.125</v>
      </c>
      <c r="AB21" s="834"/>
      <c r="AC21" s="840">
        <f>IFERROR(__xludf.DUMMYFUNCTION("""COMPUTED_VALUE"""),0.615)</f>
        <v>0.615</v>
      </c>
      <c r="AD21" s="834"/>
      <c r="AE21" s="834" t="str">
        <f>IFERROR(__xludf.DUMMYFUNCTION("""COMPUTED_VALUE"""),"Combination of ALB and IVM reduced the prevalence and intesity of hookworm infection by 100 percent")</f>
        <v>Combination of ALB and IVM reduced the prevalence and intesity of hookworm infection by 100 percent</v>
      </c>
      <c r="AF21" s="834" t="str">
        <f>IFERROR(__xludf.DUMMYFUNCTION("""COMPUTED_VALUE"""),"• The ratio of M:F is based on the total number subjects in all three groups of the study.
• Kato-Katz Method       
• Children in combination therapy group who were infected with hookworm had significant increases in height and weight")</f>
        <v>• The ratio of M:F is based on the total number subjects in all three groups of the study.
• Kato-Katz Method       
• Children in combination therapy group who were infected with hookworm had significant increases in height and weight</v>
      </c>
      <c r="AG21" s="834" t="str">
        <f>IFERROR(__xludf.DUMMYFUNCTION("""COMPUTED_VALUE"""),"Beach, Michael J., Thomas G. Street, David G. Addiss, Rosette Prospere, Jacquelin M. Roberts, and Patrick J. Lammie. ""Assessment of Combined Ivermectin and Albendazolefor Treatment of Intestinal Helminth and Wuchereria Bancrofti Infections in Haitian Sch"&amp;"ool Children."" The American Society of Tropical Medicine and Hygiene 60.3 (1999): 479-86. Web.")</f>
        <v>Beach, Michael J., Thomas G. Street, David G. Addiss, Rosette Prospere, Jacquelin M. Roberts, and Patrick J. Lammie. "Assessment of Combined Ivermectin and Albendazolefor Treatment of Intestinal Helminth and Wuchereria Bancrofti Infections in Haitian School Children." The American Society of Tropical Medicine and Hygiene 60.3 (1999): 479-86. Web.</v>
      </c>
      <c r="AH21" s="834"/>
      <c r="AJ21" s="843" t="str">
        <f>IFERROR(__xludf.DUMMYFUNCTION("""COMPUTED_VALUE"""),"Ndyomugyenyi et al.")</f>
        <v>Ndyomugyenyi et al.</v>
      </c>
      <c r="AK21" s="836"/>
      <c r="AL21" s="836" t="str">
        <f>IFERROR(__xludf.DUMMYFUNCTION("""COMPUTED_VALUE"""),"Uganda")</f>
        <v>Uganda</v>
      </c>
      <c r="AM21" s="836" t="str">
        <f>IFERROR(__xludf.DUMMYFUNCTION("""COMPUTED_VALUE"""),"Ivermectin")</f>
        <v>Ivermectin</v>
      </c>
      <c r="AN21" s="836" t="str">
        <f>IFERROR(__xludf.DUMMYFUNCTION("""COMPUTED_VALUE"""),"Single")</f>
        <v>Single</v>
      </c>
      <c r="AO21" s="836" t="str">
        <f>IFERROR(__xludf.DUMMYFUNCTION("""COMPUTED_VALUE"""),"according to height")</f>
        <v>according to height</v>
      </c>
      <c r="AP21" s="836">
        <f>IFERROR(__xludf.DUMMYFUNCTION("""COMPUTED_VALUE"""),9.0)</f>
        <v>9</v>
      </c>
      <c r="AQ21" s="836">
        <f>IFERROR(__xludf.DUMMYFUNCTION("""COMPUTED_VALUE"""),23.1)</f>
        <v>23.1</v>
      </c>
      <c r="AR21" s="836" t="str">
        <f>IFERROR(__xludf.DUMMYFUNCTION("""COMPUTED_VALUE"""),"All Female")</f>
        <v>All Female</v>
      </c>
      <c r="AS21" s="836">
        <f>IFERROR(__xludf.DUMMYFUNCTION("""COMPUTED_VALUE"""),2008.0)</f>
        <v>2008</v>
      </c>
      <c r="AT21" s="836" t="str">
        <f>IFERROR(__xludf.DUMMYFUNCTION("""COMPUTED_VALUE"""),"Pregnant")</f>
        <v>Pregnant</v>
      </c>
      <c r="AU21" s="836" t="str">
        <f>IFERROR(__xludf.DUMMYFUNCTION("""COMPUTED_VALUE"""),"Yes")</f>
        <v>Yes</v>
      </c>
      <c r="AV21" s="836" t="str">
        <f>IFERROR(__xludf.DUMMYFUNCTION("""COMPUTED_VALUE"""),"No")</f>
        <v>No</v>
      </c>
      <c r="AW21" s="836" t="str">
        <f>IFERROR(__xludf.DUMMYFUNCTION("""COMPUTED_VALUE"""),"open label randomized controlled trial with four arms")</f>
        <v>open label randomized controlled trial with four arms</v>
      </c>
      <c r="AX21" s="841">
        <f>IFERROR(__xludf.DUMMYFUNCTION("""COMPUTED_VALUE"""),0.556)</f>
        <v>0.556</v>
      </c>
      <c r="AY21" s="836"/>
      <c r="AZ21" s="841">
        <f>IFERROR(__xludf.DUMMYFUNCTION("""COMPUTED_VALUE"""),0.556)</f>
        <v>0.556</v>
      </c>
      <c r="BA21" s="836"/>
      <c r="BB21" s="836"/>
      <c r="BC21" s="836"/>
      <c r="BD21" s="836"/>
      <c r="BE21" s="836"/>
      <c r="BF21" s="836"/>
      <c r="BG21" s="836"/>
      <c r="BH21" s="836"/>
      <c r="BI21" s="836"/>
      <c r="BJ21" s="836"/>
      <c r="BK21" s="836"/>
      <c r="BL21" s="836"/>
      <c r="BM21" s="836"/>
      <c r="BN21" s="836"/>
      <c r="BO21" s="836"/>
      <c r="BP21" s="836"/>
      <c r="BQ21" s="697">
        <f>IFERROR(__xludf.DUMMYFUNCTION("""COMPUTED_VALUE"""),20.0)</f>
        <v>20</v>
      </c>
      <c r="BR21" s="844" t="str">
        <f>IFERROR(__xludf.DUMMYFUNCTION("""COMPUTED_VALUE"""),"Levecke et al.")</f>
        <v>Levecke et al.</v>
      </c>
      <c r="BS21" s="838" t="str">
        <f>IFERROR(__xludf.DUMMYFUNCTION("""COMPUTED_VALUE"""),"Cameroon")</f>
        <v>Cameroon</v>
      </c>
      <c r="BT21" s="838" t="str">
        <f>IFERROR(__xludf.DUMMYFUNCTION("""COMPUTED_VALUE"""),"Mebendazole")</f>
        <v>Mebendazole</v>
      </c>
      <c r="BU21" s="838"/>
      <c r="BV21" s="838" t="str">
        <f>IFERROR(__xludf.DUMMYFUNCTION("""COMPUTED_VALUE"""),"Single")</f>
        <v>Single</v>
      </c>
      <c r="BW21" s="838" t="str">
        <f>IFERROR(__xludf.DUMMYFUNCTION("""COMPUTED_VALUE"""),"500 mg")</f>
        <v>500 mg</v>
      </c>
      <c r="BX21" s="838">
        <f>IFERROR(__xludf.DUMMYFUNCTION("""COMPUTED_VALUE"""),132.0)</f>
        <v>132</v>
      </c>
      <c r="BY21" s="838">
        <f>IFERROR(__xludf.DUMMYFUNCTION("""COMPUTED_VALUE"""),10.0)</f>
        <v>10</v>
      </c>
      <c r="BZ21" s="838">
        <f>IFERROR(__xludf.DUMMYFUNCTION("""COMPUTED_VALUE"""),2012.0)</f>
        <v>2012</v>
      </c>
      <c r="CA21" s="838" t="str">
        <f>IFERROR(__xludf.DUMMYFUNCTION("""COMPUTED_VALUE"""),"Female:Male 1:16")</f>
        <v>Female:Male 1:16</v>
      </c>
      <c r="CB21" s="838"/>
      <c r="CC21" s="838" t="str">
        <f>IFERROR(__xludf.DUMMYFUNCTION("""COMPUTED_VALUE"""),"No")</f>
        <v>No</v>
      </c>
      <c r="CD21" s="838"/>
      <c r="CE21" s="838" t="str">
        <f>IFERROR(__xludf.DUMMYFUNCTION("""COMPUTED_VALUE"""),"No")</f>
        <v>No</v>
      </c>
      <c r="CF21" s="838"/>
      <c r="CG21" s="838"/>
      <c r="CH21" s="838"/>
      <c r="CI21" s="838"/>
      <c r="CJ21" s="838"/>
      <c r="CK21" s="838"/>
      <c r="CL21" s="838"/>
      <c r="CM21" s="847">
        <f>IFERROR(__xludf.DUMMYFUNCTION("""COMPUTED_VALUE"""),0.998)</f>
        <v>0.998</v>
      </c>
      <c r="CN21" s="838"/>
      <c r="CO21" s="838"/>
      <c r="CP21" s="838"/>
      <c r="CQ21" s="838"/>
      <c r="CR21" s="838"/>
      <c r="CS21" s="838"/>
      <c r="CT21" s="838"/>
      <c r="CU21" s="838" t="str">
        <f>IFERROR(__xludf.DUMMYFUNCTION("""COMPUTED_VALUE"""),"x")</f>
        <v>x</v>
      </c>
      <c r="CV21" s="697" t="str">
        <f>IFERROR(__xludf.DUMMYFUNCTION("""COMPUTED_VALUE"""),"B.Levecke,. A. Montresor, M.Albonico et al. (2014) Assessment of Anthelmintic Efficacy of Mebendazole in School Children in Six Countries Where Soil-Transmitted Helminths Are Endemic. PLoS Neglected Tropical Diseases (10)8: e3204.doi:10.1371/journal.pntd."&amp;"0003204 ")</f>
        <v>B.Levecke,. A. Montresor, M.Albonico et al. (2014) Assessment of Anthelmintic Efficacy of Mebendazole in School Children in Six Countries Where Soil-Transmitted Helminths Are Endemic. PLoS Neglected Tropical Diseases (10)8: e3204.doi:10.1371/journal.pntd.0003204 </v>
      </c>
    </row>
    <row r="22">
      <c r="A22" s="842" t="str">
        <f>IFERROR(__xludf.DUMMYFUNCTION("""COMPUTED_VALUE"""),"Beach et al.")</f>
        <v>Beach et al.</v>
      </c>
      <c r="B22" s="834" t="str">
        <f>IFERROR(__xludf.DUMMYFUNCTION("""COMPUTED_VALUE"""),"Haiti")</f>
        <v>Haiti</v>
      </c>
      <c r="C22" s="834" t="str">
        <f>IFERROR(__xludf.DUMMYFUNCTION("""COMPUTED_VALUE"""),"Albendazole")</f>
        <v>Albendazole</v>
      </c>
      <c r="D22" s="834" t="str">
        <f>IFERROR(__xludf.DUMMYFUNCTION("""COMPUTED_VALUE"""),"Single")</f>
        <v>Single</v>
      </c>
      <c r="E22" s="834" t="str">
        <f>IFERROR(__xludf.DUMMYFUNCTION("""COMPUTED_VALUE"""),"400 mg")</f>
        <v>400 mg</v>
      </c>
      <c r="F22" s="834">
        <f>IFERROR(__xludf.DUMMYFUNCTION("""COMPUTED_VALUE"""),219.0)</f>
        <v>219</v>
      </c>
      <c r="G22" s="834">
        <f>IFERROR(__xludf.DUMMYFUNCTION("""COMPUTED_VALUE"""),7.4)</f>
        <v>7.4</v>
      </c>
      <c r="H22" s="839" t="str">
        <f>IFERROR(__xludf.DUMMYFUNCTION("""COMPUTED_VALUE"""),"52:48")</f>
        <v>52:48</v>
      </c>
      <c r="I22" s="834">
        <f>IFERROR(__xludf.DUMMYFUNCTION("""COMPUTED_VALUE"""),1996.0)</f>
        <v>1996</v>
      </c>
      <c r="J22" s="834" t="str">
        <f>IFERROR(__xludf.DUMMYFUNCTION("""COMPUTED_VALUE"""),"Included : age -11 years, anthropometric measurements before and four months after treatment, stool specimans before and 5 weeks after treatment, random assignment to a treatment group and height weight and age within limits of the anthropometric databse")</f>
        <v>Included : age -11 years, anthropometric measurements before and four months after treatment, stool specimans before and 5 weeks after treatment, random assignment to a treatment group and height weight and age within limits of the anthropometric databse</v>
      </c>
      <c r="K22" s="839" t="str">
        <f>IFERROR(__xludf.DUMMYFUNCTION("""COMPUTED_VALUE"""),"randomized double-blind placebo controlled study")</f>
        <v>randomized double-blind placebo controlled study</v>
      </c>
      <c r="L22" s="839" t="str">
        <f>IFERROR(__xludf.DUMMYFUNCTION("""COMPUTED_VALUE"""),"Yes")</f>
        <v>Yes</v>
      </c>
      <c r="M22" s="839" t="str">
        <f>IFERROR(__xludf.DUMMYFUNCTION("""COMPUTED_VALUE"""),"Yes")</f>
        <v>Yes</v>
      </c>
      <c r="N22" s="853">
        <f>IFERROR(__xludf.DUMMYFUNCTION("""COMPUTED_VALUE"""),1.0)</f>
        <v>1</v>
      </c>
      <c r="O22" s="834"/>
      <c r="P22" s="834"/>
      <c r="Q22" s="834"/>
      <c r="R22" s="834"/>
      <c r="S22" s="834"/>
      <c r="T22" s="834"/>
      <c r="U22" s="853">
        <f>IFERROR(__xludf.DUMMYFUNCTION("""COMPUTED_VALUE"""),1.0)</f>
        <v>1</v>
      </c>
      <c r="V22" s="834"/>
      <c r="W22" s="834"/>
      <c r="X22" s="834"/>
      <c r="Y22" s="834"/>
      <c r="Z22" s="834"/>
      <c r="AA22" s="853">
        <f>IFERROR(__xludf.DUMMYFUNCTION("""COMPUTED_VALUE"""),1.0)</f>
        <v>1</v>
      </c>
      <c r="AB22" s="834"/>
      <c r="AC22" s="853">
        <f>IFERROR(__xludf.DUMMYFUNCTION("""COMPUTED_VALUE"""),1.0)</f>
        <v>1</v>
      </c>
      <c r="AD22" s="834"/>
      <c r="AE22" s="834" t="str">
        <f>IFERROR(__xludf.DUMMYFUNCTION("""COMPUTED_VALUE"""),"Combination of ALB and IVM reduced the prevalence and intesity of hookworm infection by 100 percent")</f>
        <v>Combination of ALB and IVM reduced the prevalence and intesity of hookworm infection by 100 percent</v>
      </c>
      <c r="AF22" s="834" t="str">
        <f>IFERROR(__xludf.DUMMYFUNCTION("""COMPUTED_VALUE"""),"• The ratio of M:F is based on the total number subjects in all three groups of the study.
• Kato-Katz Method       
• Children in combination therapy group who were infected with hookworm had significant increases in height and weight")</f>
        <v>• The ratio of M:F is based on the total number subjects in all three groups of the study.
• Kato-Katz Method       
• Children in combination therapy group who were infected with hookworm had significant increases in height and weight</v>
      </c>
      <c r="AG22" s="834" t="str">
        <f>IFERROR(__xludf.DUMMYFUNCTION("""COMPUTED_VALUE"""),"Beach, Michael J., Thomas G. Street, David G. Addiss, Rosette Prospere, Jacquelin M. Roberts, and Patrick J. Lammie. ""Assessment of Combined Ivermectin and Albendazolefor Treatment of Intestinal Helminth and Wuchereria Bancrofti Infections in Haitian Sch"&amp;"ool Children."" The American Society of Tropical Medicine and Hygiene 60.3 (1999): 479-86. Web.")</f>
        <v>Beach, Michael J., Thomas G. Street, David G. Addiss, Rosette Prospere, Jacquelin M. Roberts, and Patrick J. Lammie. "Assessment of Combined Ivermectin and Albendazolefor Treatment of Intestinal Helminth and Wuchereria Bancrofti Infections in Haitian School Children." The American Society of Tropical Medicine and Hygiene 60.3 (1999): 479-86. Web.</v>
      </c>
      <c r="AH22" s="834"/>
      <c r="AJ22" s="843" t="str">
        <f>IFERROR(__xludf.DUMMYFUNCTION("""COMPUTED_VALUE"""),"Ndyomugyenyi et al.")</f>
        <v>Ndyomugyenyi et al.</v>
      </c>
      <c r="AK22" s="836"/>
      <c r="AL22" s="836" t="str">
        <f>IFERROR(__xludf.DUMMYFUNCTION("""COMPUTED_VALUE"""),"Uganda")</f>
        <v>Uganda</v>
      </c>
      <c r="AM22" s="836" t="str">
        <f>IFERROR(__xludf.DUMMYFUNCTION("""COMPUTED_VALUE"""),"Albendazole &amp; Ivermectin")</f>
        <v>Albendazole &amp; Ivermectin</v>
      </c>
      <c r="AN22" s="836" t="str">
        <f>IFERROR(__xludf.DUMMYFUNCTION("""COMPUTED_VALUE"""),"Single")</f>
        <v>Single</v>
      </c>
      <c r="AO22" s="836" t="str">
        <f>IFERROR(__xludf.DUMMYFUNCTION("""COMPUTED_VALUE"""),"400 mg; 400 mg")</f>
        <v>400 mg; 400 mg</v>
      </c>
      <c r="AP22" s="836">
        <f>IFERROR(__xludf.DUMMYFUNCTION("""COMPUTED_VALUE"""),17.0)</f>
        <v>17</v>
      </c>
      <c r="AQ22" s="836">
        <f>IFERROR(__xludf.DUMMYFUNCTION("""COMPUTED_VALUE"""),23.7)</f>
        <v>23.7</v>
      </c>
      <c r="AR22" s="836" t="str">
        <f>IFERROR(__xludf.DUMMYFUNCTION("""COMPUTED_VALUE"""),"All Female")</f>
        <v>All Female</v>
      </c>
      <c r="AS22" s="836">
        <f>IFERROR(__xludf.DUMMYFUNCTION("""COMPUTED_VALUE"""),2008.0)</f>
        <v>2008</v>
      </c>
      <c r="AT22" s="836" t="str">
        <f>IFERROR(__xludf.DUMMYFUNCTION("""COMPUTED_VALUE"""),"Pregnant")</f>
        <v>Pregnant</v>
      </c>
      <c r="AU22" s="836" t="str">
        <f>IFERROR(__xludf.DUMMYFUNCTION("""COMPUTED_VALUE"""),"Yes")</f>
        <v>Yes</v>
      </c>
      <c r="AV22" s="836" t="str">
        <f>IFERROR(__xludf.DUMMYFUNCTION("""COMPUTED_VALUE"""),"No")</f>
        <v>No</v>
      </c>
      <c r="AW22" s="836" t="str">
        <f>IFERROR(__xludf.DUMMYFUNCTION("""COMPUTED_VALUE"""),"open label randomized controlled trial with four arms")</f>
        <v>open label randomized controlled trial with four arms</v>
      </c>
      <c r="AX22" s="841">
        <f>IFERROR(__xludf.DUMMYFUNCTION("""COMPUTED_VALUE"""),0.706)</f>
        <v>0.706</v>
      </c>
      <c r="AY22" s="836"/>
      <c r="AZ22" s="841">
        <f>IFERROR(__xludf.DUMMYFUNCTION("""COMPUTED_VALUE"""),0.706)</f>
        <v>0.706</v>
      </c>
      <c r="BA22" s="836"/>
      <c r="BB22" s="836"/>
      <c r="BC22" s="836"/>
      <c r="BD22" s="836"/>
      <c r="BE22" s="836"/>
      <c r="BF22" s="836"/>
      <c r="BG22" s="836"/>
      <c r="BH22" s="836"/>
      <c r="BI22" s="836"/>
      <c r="BJ22" s="836"/>
      <c r="BK22" s="836"/>
      <c r="BL22" s="836"/>
      <c r="BM22" s="836"/>
      <c r="BN22" s="836"/>
      <c r="BO22" s="836"/>
      <c r="BP22" s="836"/>
      <c r="BQ22" s="697">
        <f>IFERROR(__xludf.DUMMYFUNCTION("""COMPUTED_VALUE"""),21.0)</f>
        <v>21</v>
      </c>
      <c r="BR22" s="844" t="str">
        <f>IFERROR(__xludf.DUMMYFUNCTION("""COMPUTED_VALUE"""),"Levecke et al.")</f>
        <v>Levecke et al.</v>
      </c>
      <c r="BS22" s="838" t="str">
        <f>IFERROR(__xludf.DUMMYFUNCTION("""COMPUTED_VALUE"""),"Cameroon")</f>
        <v>Cameroon</v>
      </c>
      <c r="BT22" s="838" t="str">
        <f>IFERROR(__xludf.DUMMYFUNCTION("""COMPUTED_VALUE"""),"Albendazole")</f>
        <v>Albendazole</v>
      </c>
      <c r="BU22" s="838"/>
      <c r="BV22" s="838" t="str">
        <f>IFERROR(__xludf.DUMMYFUNCTION("""COMPUTED_VALUE"""),"Single")</f>
        <v>Single</v>
      </c>
      <c r="BW22" s="838" t="str">
        <f>IFERROR(__xludf.DUMMYFUNCTION("""COMPUTED_VALUE"""),"400 mg")</f>
        <v>400 mg</v>
      </c>
      <c r="BX22" s="838">
        <f>IFERROR(__xludf.DUMMYFUNCTION("""COMPUTED_VALUE"""),298.0)</f>
        <v>298</v>
      </c>
      <c r="BY22" s="838">
        <f>IFERROR(__xludf.DUMMYFUNCTION("""COMPUTED_VALUE"""),10.4)</f>
        <v>10.4</v>
      </c>
      <c r="BZ22" s="838">
        <f>IFERROR(__xludf.DUMMYFUNCTION("""COMPUTED_VALUE"""),2012.0)</f>
        <v>2012</v>
      </c>
      <c r="CA22" s="838" t="str">
        <f>IFERROR(__xludf.DUMMYFUNCTION("""COMPUTED_VALUE"""),"Female: Male 0:77")</f>
        <v>Female: Male 0:77</v>
      </c>
      <c r="CB22" s="838"/>
      <c r="CC22" s="838" t="str">
        <f>IFERROR(__xludf.DUMMYFUNCTION("""COMPUTED_VALUE"""),"No")</f>
        <v>No</v>
      </c>
      <c r="CD22" s="838"/>
      <c r="CE22" s="838" t="str">
        <f>IFERROR(__xludf.DUMMYFUNCTION("""COMPUTED_VALUE"""),"No")</f>
        <v>No</v>
      </c>
      <c r="CF22" s="838"/>
      <c r="CG22" s="838"/>
      <c r="CH22" s="838"/>
      <c r="CI22" s="838"/>
      <c r="CJ22" s="838"/>
      <c r="CK22" s="838"/>
      <c r="CL22" s="838"/>
      <c r="CM22" s="847">
        <f>IFERROR(__xludf.DUMMYFUNCTION("""COMPUTED_VALUE"""),0.992)</f>
        <v>0.992</v>
      </c>
      <c r="CN22" s="838"/>
      <c r="CO22" s="838"/>
      <c r="CP22" s="838"/>
      <c r="CQ22" s="838"/>
      <c r="CR22" s="838"/>
      <c r="CS22" s="838"/>
      <c r="CT22" s="838"/>
      <c r="CU22" s="838" t="str">
        <f>IFERROR(__xludf.DUMMYFUNCTION("""COMPUTED_VALUE"""),"x")</f>
        <v>x</v>
      </c>
      <c r="CV22" s="697" t="str">
        <f>IFERROR(__xludf.DUMMYFUNCTION("""COMPUTED_VALUE"""),"B.Levecke,. A. Montresor, M.Albonico et al. (2014) Assessment of Anthelmintic Efficacy of Mebendazole in School Children in Six Countries Where Soil-Transmitted Helminths Are Endemic. PLoS Neglected Tropical Diseases (10)8: e3204.doi:10.1371/journal.pntd."&amp;"0003204 ")</f>
        <v>B.Levecke,. A. Montresor, M.Albonico et al. (2014) Assessment of Anthelmintic Efficacy of Mebendazole in School Children in Six Countries Where Soil-Transmitted Helminths Are Endemic. PLoS Neglected Tropical Diseases (10)8: e3204.doi:10.1371/journal.pntd.0003204 </v>
      </c>
    </row>
    <row r="23">
      <c r="A23" s="842" t="str">
        <f>IFERROR(__xludf.DUMMYFUNCTION("""COMPUTED_VALUE"""),"Beach et al.")</f>
        <v>Beach et al.</v>
      </c>
      <c r="B23" s="834" t="str">
        <f>IFERROR(__xludf.DUMMYFUNCTION("""COMPUTED_VALUE"""),"Haiti")</f>
        <v>Haiti</v>
      </c>
      <c r="C23" s="834" t="str">
        <f>IFERROR(__xludf.DUMMYFUNCTION("""COMPUTED_VALUE"""),"Ivermectin")</f>
        <v>Ivermectin</v>
      </c>
      <c r="D23" s="834" t="str">
        <f>IFERROR(__xludf.DUMMYFUNCTION("""COMPUTED_VALUE"""),"Single")</f>
        <v>Single</v>
      </c>
      <c r="E23" s="834" t="str">
        <f>IFERROR(__xludf.DUMMYFUNCTION("""COMPUTED_VALUE"""),"200-400 mg")</f>
        <v>200-400 mg</v>
      </c>
      <c r="F23" s="834">
        <f>IFERROR(__xludf.DUMMYFUNCTION("""COMPUTED_VALUE"""),216.0)</f>
        <v>216</v>
      </c>
      <c r="G23" s="834">
        <f>IFERROR(__xludf.DUMMYFUNCTION("""COMPUTED_VALUE"""),7.4)</f>
        <v>7.4</v>
      </c>
      <c r="H23" s="839" t="str">
        <f>IFERROR(__xludf.DUMMYFUNCTION("""COMPUTED_VALUE"""),"52:48")</f>
        <v>52:48</v>
      </c>
      <c r="I23" s="834">
        <f>IFERROR(__xludf.DUMMYFUNCTION("""COMPUTED_VALUE"""),1996.0)</f>
        <v>1996</v>
      </c>
      <c r="J23" s="834" t="str">
        <f>IFERROR(__xludf.DUMMYFUNCTION("""COMPUTED_VALUE"""),"Included : age -11 years, anthropometric measurements before and four months after treatment, stool specimans before and 5 weeks after treatment, random assignment to a treatment group and height weight and age within limits of the anthropometric databse")</f>
        <v>Included : age -11 years, anthropometric measurements before and four months after treatment, stool specimans before and 5 weeks after treatment, random assignment to a treatment group and height weight and age within limits of the anthropometric databse</v>
      </c>
      <c r="K23" s="839" t="str">
        <f>IFERROR(__xludf.DUMMYFUNCTION("""COMPUTED_VALUE"""),"community-based randomized single-blind trial")</f>
        <v>community-based randomized single-blind trial</v>
      </c>
      <c r="L23" s="839" t="str">
        <f>IFERROR(__xludf.DUMMYFUNCTION("""COMPUTED_VALUE"""),"Yes")</f>
        <v>Yes</v>
      </c>
      <c r="M23" s="839" t="str">
        <f>IFERROR(__xludf.DUMMYFUNCTION("""COMPUTED_VALUE"""),"Yes")</f>
        <v>Yes</v>
      </c>
      <c r="N23" s="840">
        <f>IFERROR(__xludf.DUMMYFUNCTION("""COMPUTED_VALUE"""),0.643)</f>
        <v>0.643</v>
      </c>
      <c r="O23" s="834"/>
      <c r="P23" s="834"/>
      <c r="Q23" s="834"/>
      <c r="R23" s="834"/>
      <c r="S23" s="834"/>
      <c r="T23" s="834"/>
      <c r="U23" s="840">
        <f>IFERROR(__xludf.DUMMYFUNCTION("""COMPUTED_VALUE"""),0.643)</f>
        <v>0.643</v>
      </c>
      <c r="V23" s="834"/>
      <c r="W23" s="834"/>
      <c r="X23" s="834"/>
      <c r="Y23" s="834"/>
      <c r="Z23" s="834"/>
      <c r="AA23" s="840">
        <f>IFERROR(__xludf.DUMMYFUNCTION("""COMPUTED_VALUE"""),0.643)</f>
        <v>0.643</v>
      </c>
      <c r="AB23" s="834"/>
      <c r="AC23" s="840">
        <f>IFERROR(__xludf.DUMMYFUNCTION("""COMPUTED_VALUE"""),0.777)</f>
        <v>0.777</v>
      </c>
      <c r="AD23" s="834"/>
      <c r="AE23" s="834" t="str">
        <f>IFERROR(__xludf.DUMMYFUNCTION("""COMPUTED_VALUE"""),"Combination of ALB and IVM reduced the prevalence and intesity of hookworm infection by 100 percent")</f>
        <v>Combination of ALB and IVM reduced the prevalence and intesity of hookworm infection by 100 percent</v>
      </c>
      <c r="AF23" s="834" t="str">
        <f>IFERROR(__xludf.DUMMYFUNCTION("""COMPUTED_VALUE"""),"• The ratio of M:F is based on the total number subjects in all three groups of the study.
• Kato-Katz Method       
• Children in combination therapy group who were infected with hookworm had significant increases in height and weight")</f>
        <v>• The ratio of M:F is based on the total number subjects in all three groups of the study.
• Kato-Katz Method       
• Children in combination therapy group who were infected with hookworm had significant increases in height and weight</v>
      </c>
      <c r="AG23" s="834" t="str">
        <f>IFERROR(__xludf.DUMMYFUNCTION("""COMPUTED_VALUE"""),"Beach, Michael J., Thomas G. Street, David G. Addiss, Rosette Prospere, Jacquelin M. Roberts, and Patrick J. Lammie. ""Assessment of Combined Ivermectin and Albendazolefor Treatment of Intestinal Helminth and Wuchereria Bancrofti Infections in Haitian Sch"&amp;"ool Children."" The American Society of Tropical Medicine and Hygiene 60.3 (1999): 479-86. Web.")</f>
        <v>Beach, Michael J., Thomas G. Street, David G. Addiss, Rosette Prospere, Jacquelin M. Roberts, and Patrick J. Lammie. "Assessment of Combined Ivermectin and Albendazolefor Treatment of Intestinal Helminth and Wuchereria Bancrofti Infections in Haitian School Children." The American Society of Tropical Medicine and Hygiene 60.3 (1999): 479-86. Web.</v>
      </c>
      <c r="AH23" s="834"/>
      <c r="AJ23" s="843" t="str">
        <f>IFERROR(__xludf.DUMMYFUNCTION("""COMPUTED_VALUE"""),"Adgenika et al.")</f>
        <v>Adgenika et al.</v>
      </c>
      <c r="AK23" s="836" t="str">
        <f>IFERROR(__xludf.DUMMYFUNCTION("""COMPUTED_VALUE"""),"Aegnika, Ayola A., Jeannot F. Zinsou, Saadou Issifou, Ulysse Ateba-Ngoa, Roland F. Kassa, Eliane N. Feugap, Yabo J. Honkpehedji, Jean-Claude Dejon Agobe, Hilaire M. Kenguele, Marguerite Massinga-Loembe, Slidji T. Agnandji, Benjamin Mordmuller, Michael Ram"&amp;"harter, Maria Yazdanbakhsh, Peter G. Kremsner, and Bertrand Lell. ""Randomized Controlled, Assessor-Blind Clinical Trial to Assess the Efficacy of Single- versus Repeated Dose Albendazoleto Treat Ascaris Lumbricoides, Trichuris Trichiura, and Hookworm Inf"&amp;"ection."" Antimicrobial Agents and Chemotherapy 58.5 (2014): 2535-540. Web.")</f>
        <v>Aegnika, Ayola A., Jeannot F. Zinsou, Saadou Issifou, Ulysse Ateba-Ngoa, Roland F. Kassa, Eliane N. Feugap, Yabo J. Honkpehedji, Jean-Claude Dejon Agobe, Hilaire M. Kenguele, Marguerite Massinga-Loembe, Slidji T. Agnandji, Benjamin Mordmuller, Michael Ramharter, Maria Yazdanbakhsh, Peter G. Kremsner, and Bertrand Lell. "Randomized Controlled, Assessor-Blind Clinical Trial to Assess the Efficacy of Single- versus Repeated Dose Albendazoleto Treat Ascaris Lumbricoides, Trichuris Trichiura, and Hookworm Infection." Antimicrobial Agents and Chemotherapy 58.5 (2014): 2535-540. Web.</v>
      </c>
      <c r="AL23" s="836" t="str">
        <f>IFERROR(__xludf.DUMMYFUNCTION("""COMPUTED_VALUE"""),"Gabon")</f>
        <v>Gabon</v>
      </c>
      <c r="AM23" s="836" t="str">
        <f>IFERROR(__xludf.DUMMYFUNCTION("""COMPUTED_VALUE"""),"Albendazole")</f>
        <v>Albendazole</v>
      </c>
      <c r="AN23" s="836" t="str">
        <f>IFERROR(__xludf.DUMMYFUNCTION("""COMPUTED_VALUE"""),"Single")</f>
        <v>Single</v>
      </c>
      <c r="AO23" s="836" t="str">
        <f>IFERROR(__xludf.DUMMYFUNCTION("""COMPUTED_VALUE"""),"400 mg")</f>
        <v>400 mg</v>
      </c>
      <c r="AP23" s="836">
        <f>IFERROR(__xludf.DUMMYFUNCTION("""COMPUTED_VALUE"""),50.0)</f>
        <v>50</v>
      </c>
      <c r="AQ23" s="836">
        <f>IFERROR(__xludf.DUMMYFUNCTION("""COMPUTED_VALUE"""),9.1)</f>
        <v>9.1</v>
      </c>
      <c r="AR23" s="836">
        <f>IFERROR(__xludf.DUMMYFUNCTION("""COMPUTED_VALUE"""),1.1)</f>
        <v>1.1</v>
      </c>
      <c r="AS23" s="836">
        <f>IFERROR(__xludf.DUMMYFUNCTION("""COMPUTED_VALUE"""),2011.0)</f>
        <v>2011</v>
      </c>
      <c r="AT23" s="836" t="str">
        <f>IFERROR(__xludf.DUMMYFUNCTION("""COMPUTED_VALUE"""),"Inclusion: age between 4 and 14 years old and a total of atleast 5 eggs or larvae of any of the three intestinal helminths, namely ascaris, trichuris, and hookworm. The cutoff of 5 eggs was chosen in order to improve specificity. Exclusion: known HIV infe"&amp;"ction, allergy to albendazole, severe anemia, and any other underlying severe physcial condition.")</f>
        <v>Inclusion: age between 4 and 14 years old and a total of atleast 5 eggs or larvae of any of the three intestinal helminths, namely ascaris, trichuris, and hookworm. The cutoff of 5 eggs was chosen in order to improve specificity. Exclusion: known HIV infection, allergy to albendazole, severe anemia, and any other underlying severe physcial condition.</v>
      </c>
      <c r="AU23" s="836" t="str">
        <f>IFERROR(__xludf.DUMMYFUNCTION("""COMPUTED_VALUE"""),"Yes")</f>
        <v>Yes</v>
      </c>
      <c r="AV23" s="836" t="str">
        <f>IFERROR(__xludf.DUMMYFUNCTION("""COMPUTED_VALUE"""),"Yes")</f>
        <v>Yes</v>
      </c>
      <c r="AW23" s="836" t="str">
        <f>IFERROR(__xludf.DUMMYFUNCTION("""COMPUTED_VALUE"""),"randomized controlled assessor blinded cliical trial")</f>
        <v>randomized controlled assessor blinded cliical trial</v>
      </c>
      <c r="AX23" s="850">
        <f>IFERROR(__xludf.DUMMYFUNCTION("""COMPUTED_VALUE"""),0.4)</f>
        <v>0.4</v>
      </c>
      <c r="AY23" s="836"/>
      <c r="AZ23" s="836"/>
      <c r="BA23" s="836"/>
      <c r="BB23" s="836"/>
      <c r="BC23" s="836"/>
      <c r="BD23" s="836"/>
      <c r="BE23" s="850">
        <f>IFERROR(__xludf.DUMMYFUNCTION("""COMPUTED_VALUE"""),0.4)</f>
        <v>0.4</v>
      </c>
      <c r="BF23" s="836"/>
      <c r="BG23" s="836"/>
      <c r="BH23" s="850">
        <f>IFERROR(__xludf.DUMMYFUNCTION("""COMPUTED_VALUE"""),0.07)</f>
        <v>0.07</v>
      </c>
      <c r="BI23" s="836"/>
      <c r="BJ23" s="836"/>
      <c r="BK23" s="836"/>
      <c r="BL23" s="836"/>
      <c r="BM23" s="836"/>
      <c r="BN23" s="836"/>
      <c r="BO23" s="836" t="str">
        <f>IFERROR(__xludf.DUMMYFUNCTION("""COMPUTED_VALUE"""),"Kato-Katz Method and Modifed Agar Protocol")</f>
        <v>Kato-Katz Method and Modifed Agar Protocol</v>
      </c>
      <c r="BP23" s="836"/>
      <c r="BQ23" s="697">
        <f>IFERROR(__xludf.DUMMYFUNCTION("""COMPUTED_VALUE"""),22.0)</f>
        <v>22</v>
      </c>
      <c r="BR23" s="844" t="str">
        <f>IFERROR(__xludf.DUMMYFUNCTION("""COMPUTED_VALUE"""),"Levecke et al.")</f>
        <v>Levecke et al.</v>
      </c>
      <c r="BS23" s="838" t="str">
        <f>IFERROR(__xludf.DUMMYFUNCTION("""COMPUTED_VALUE"""),"Ethiopia")</f>
        <v>Ethiopia</v>
      </c>
      <c r="BT23" s="838" t="str">
        <f>IFERROR(__xludf.DUMMYFUNCTION("""COMPUTED_VALUE"""),"Mebendazole")</f>
        <v>Mebendazole</v>
      </c>
      <c r="BU23" s="838"/>
      <c r="BV23" s="838" t="str">
        <f>IFERROR(__xludf.DUMMYFUNCTION("""COMPUTED_VALUE"""),"Single")</f>
        <v>Single</v>
      </c>
      <c r="BW23" s="838" t="str">
        <f>IFERROR(__xludf.DUMMYFUNCTION("""COMPUTED_VALUE"""),"500 mg")</f>
        <v>500 mg</v>
      </c>
      <c r="BX23" s="838">
        <f>IFERROR(__xludf.DUMMYFUNCTION("""COMPUTED_VALUE"""),279.0)</f>
        <v>279</v>
      </c>
      <c r="BY23" s="838">
        <f>IFERROR(__xludf.DUMMYFUNCTION("""COMPUTED_VALUE"""),11.5)</f>
        <v>11.5</v>
      </c>
      <c r="BZ23" s="838">
        <f>IFERROR(__xludf.DUMMYFUNCTION("""COMPUTED_VALUE"""),2012.0)</f>
        <v>2012</v>
      </c>
      <c r="CA23" s="838" t="str">
        <f>IFERROR(__xludf.DUMMYFUNCTION("""COMPUTED_VALUE"""),"Female:Male 0:89")</f>
        <v>Female:Male 0:89</v>
      </c>
      <c r="CB23" s="838"/>
      <c r="CC23" s="838" t="str">
        <f>IFERROR(__xludf.DUMMYFUNCTION("""COMPUTED_VALUE"""),"No")</f>
        <v>No</v>
      </c>
      <c r="CD23" s="838"/>
      <c r="CE23" s="838" t="str">
        <f>IFERROR(__xludf.DUMMYFUNCTION("""COMPUTED_VALUE"""),"No")</f>
        <v>No</v>
      </c>
      <c r="CF23" s="838"/>
      <c r="CG23" s="838"/>
      <c r="CH23" s="838"/>
      <c r="CI23" s="838"/>
      <c r="CJ23" s="838"/>
      <c r="CK23" s="838"/>
      <c r="CL23" s="838"/>
      <c r="CM23" s="847">
        <f>IFERROR(__xludf.DUMMYFUNCTION("""COMPUTED_VALUE"""),0.986)</f>
        <v>0.986</v>
      </c>
      <c r="CN23" s="838"/>
      <c r="CO23" s="838"/>
      <c r="CP23" s="838"/>
      <c r="CQ23" s="838"/>
      <c r="CR23" s="838"/>
      <c r="CS23" s="838"/>
      <c r="CT23" s="838"/>
      <c r="CU23" s="838" t="str">
        <f>IFERROR(__xludf.DUMMYFUNCTION("""COMPUTED_VALUE"""),"x")</f>
        <v>x</v>
      </c>
      <c r="CV23" s="697" t="str">
        <f>IFERROR(__xludf.DUMMYFUNCTION("""COMPUTED_VALUE"""),"B.Levecke,. A. Montresor, M.Albonico et al. (2014) Assessment of Anthelmintic Efficacy of Mebendazole in School Children in Six Countries Where Soil-Transmitted Helminths Are Endemic. PLoS Neglected Tropical Diseases (10)8: e3204.doi:10.1371/journal.pntd."&amp;"0003204 ")</f>
        <v>B.Levecke,. A. Montresor, M.Albonico et al. (2014) Assessment of Anthelmintic Efficacy of Mebendazole in School Children in Six Countries Where Soil-Transmitted Helminths Are Endemic. PLoS Neglected Tropical Diseases (10)8: e3204.doi:10.1371/journal.pntd.0003204 </v>
      </c>
    </row>
    <row r="24">
      <c r="A24" s="842" t="str">
        <f>IFERROR(__xludf.DUMMYFUNCTION("""COMPUTED_VALUE"""),"Beach et al.")</f>
        <v>Beach et al.</v>
      </c>
      <c r="B24" s="834" t="str">
        <f>IFERROR(__xludf.DUMMYFUNCTION("""COMPUTED_VALUE"""),"Haiti")</f>
        <v>Haiti</v>
      </c>
      <c r="C24" s="834" t="str">
        <f>IFERROR(__xludf.DUMMYFUNCTION("""COMPUTED_VALUE"""),"Albendazole &amp; Ivermectin")</f>
        <v>Albendazole &amp; Ivermectin</v>
      </c>
      <c r="D24" s="834" t="str">
        <f>IFERROR(__xludf.DUMMYFUNCTION("""COMPUTED_VALUE"""),"Single")</f>
        <v>Single</v>
      </c>
      <c r="E24" s="834" t="str">
        <f>IFERROR(__xludf.DUMMYFUNCTION("""COMPUTED_VALUE"""),"400 mg; 200-400 mg")</f>
        <v>400 mg; 200-400 mg</v>
      </c>
      <c r="F24" s="834">
        <f>IFERROR(__xludf.DUMMYFUNCTION("""COMPUTED_VALUE"""),218.0)</f>
        <v>218</v>
      </c>
      <c r="G24" s="834">
        <f>IFERROR(__xludf.DUMMYFUNCTION("""COMPUTED_VALUE"""),7.4)</f>
        <v>7.4</v>
      </c>
      <c r="H24" s="839" t="str">
        <f>IFERROR(__xludf.DUMMYFUNCTION("""COMPUTED_VALUE"""),"52:48")</f>
        <v>52:48</v>
      </c>
      <c r="I24" s="834">
        <f>IFERROR(__xludf.DUMMYFUNCTION("""COMPUTED_VALUE"""),1996.0)</f>
        <v>1996</v>
      </c>
      <c r="J24" s="834" t="str">
        <f>IFERROR(__xludf.DUMMYFUNCTION("""COMPUTED_VALUE"""),"Included : age -11 years, anthropometric measurements before and four months after treatment, stool specimans before and 5 weeks after treatment, random assignment to a treatment group and height weight and age within limits of the anthropometric databse")</f>
        <v>Included : age -11 years, anthropometric measurements before and four months after treatment, stool specimans before and 5 weeks after treatment, random assignment to a treatment group and height weight and age within limits of the anthropometric databse</v>
      </c>
      <c r="K24" s="839" t="str">
        <f>IFERROR(__xludf.DUMMYFUNCTION("""COMPUTED_VALUE"""),"randomized double-blind placebo controlled study")</f>
        <v>randomized double-blind placebo controlled study</v>
      </c>
      <c r="L24" s="839" t="str">
        <f>IFERROR(__xludf.DUMMYFUNCTION("""COMPUTED_VALUE"""),"Yes")</f>
        <v>Yes</v>
      </c>
      <c r="M24" s="839" t="str">
        <f>IFERROR(__xludf.DUMMYFUNCTION("""COMPUTED_VALUE"""),"Yes")</f>
        <v>Yes</v>
      </c>
      <c r="N24" s="853">
        <f>IFERROR(__xludf.DUMMYFUNCTION("""COMPUTED_VALUE"""),1.0)</f>
        <v>1</v>
      </c>
      <c r="O24" s="834"/>
      <c r="P24" s="834"/>
      <c r="Q24" s="834"/>
      <c r="R24" s="834"/>
      <c r="S24" s="834"/>
      <c r="T24" s="834"/>
      <c r="U24" s="853">
        <f>IFERROR(__xludf.DUMMYFUNCTION("""COMPUTED_VALUE"""),1.0)</f>
        <v>1</v>
      </c>
      <c r="V24" s="834"/>
      <c r="W24" s="834"/>
      <c r="X24" s="834"/>
      <c r="Y24" s="834"/>
      <c r="Z24" s="834"/>
      <c r="AA24" s="853">
        <f>IFERROR(__xludf.DUMMYFUNCTION("""COMPUTED_VALUE"""),1.0)</f>
        <v>1</v>
      </c>
      <c r="AB24" s="834"/>
      <c r="AC24" s="853">
        <f>IFERROR(__xludf.DUMMYFUNCTION("""COMPUTED_VALUE"""),1.0)</f>
        <v>1</v>
      </c>
      <c r="AD24" s="834"/>
      <c r="AE24" s="834" t="str">
        <f>IFERROR(__xludf.DUMMYFUNCTION("""COMPUTED_VALUE"""),"Combination of ALB and IVM reduced the prevalence and intesity of hookworm infection by 100 percent")</f>
        <v>Combination of ALB and IVM reduced the prevalence and intesity of hookworm infection by 100 percent</v>
      </c>
      <c r="AF24" s="834" t="str">
        <f>IFERROR(__xludf.DUMMYFUNCTION("""COMPUTED_VALUE"""),"• The ratio of M:F is based on the total number subjects in all three groups of the study.
• Kato-Katz Method       
• Children in combination therapy group who were infected with hookworm had significant increases in height and weight")</f>
        <v>• The ratio of M:F is based on the total number subjects in all three groups of the study.
• Kato-Katz Method       
• Children in combination therapy group who were infected with hookworm had significant increases in height and weight</v>
      </c>
      <c r="AG24" s="834" t="str">
        <f>IFERROR(__xludf.DUMMYFUNCTION("""COMPUTED_VALUE"""),"Beach, Michael J., Thomas G. Street, David G. Addiss, Rosette Prospere, Jacquelin M. Roberts, and Patrick J. Lammie. ""Assessment of Combined Ivermectin and Albendazolefor Treatment of Intestinal Helminth and Wuchereria Bancrofti Infections in Haitian Sch"&amp;"ool Children."" The American Society of Tropical Medicine and Hygiene 60.3 (1999): 479-86. Web.")</f>
        <v>Beach, Michael J., Thomas G. Street, David G. Addiss, Rosette Prospere, Jacquelin M. Roberts, and Patrick J. Lammie. "Assessment of Combined Ivermectin and Albendazolefor Treatment of Intestinal Helminth and Wuchereria Bancrofti Infections in Haitian School Children." The American Society of Tropical Medicine and Hygiene 60.3 (1999): 479-86. Web.</v>
      </c>
      <c r="AH24" s="834"/>
      <c r="AJ24" s="843" t="str">
        <f>IFERROR(__xludf.DUMMYFUNCTION("""COMPUTED_VALUE"""),"Adgenika et al.")</f>
        <v>Adgenika et al.</v>
      </c>
      <c r="AK24" s="836"/>
      <c r="AL24" s="836" t="str">
        <f>IFERROR(__xludf.DUMMYFUNCTION("""COMPUTED_VALUE"""),"Gabon")</f>
        <v>Gabon</v>
      </c>
      <c r="AM24" s="836" t="str">
        <f>IFERROR(__xludf.DUMMYFUNCTION("""COMPUTED_VALUE"""),"Albendazole")</f>
        <v>Albendazole</v>
      </c>
      <c r="AN24" s="836" t="str">
        <f>IFERROR(__xludf.DUMMYFUNCTION("""COMPUTED_VALUE"""),"Two")</f>
        <v>Two</v>
      </c>
      <c r="AO24" s="836" t="str">
        <f>IFERROR(__xludf.DUMMYFUNCTION("""COMPUTED_VALUE"""),"400 mg")</f>
        <v>400 mg</v>
      </c>
      <c r="AP24" s="836">
        <f>IFERROR(__xludf.DUMMYFUNCTION("""COMPUTED_VALUE"""),39.0)</f>
        <v>39</v>
      </c>
      <c r="AQ24" s="836">
        <f>IFERROR(__xludf.DUMMYFUNCTION("""COMPUTED_VALUE"""),8.9)</f>
        <v>8.9</v>
      </c>
      <c r="AR24" s="836">
        <f>IFERROR(__xludf.DUMMYFUNCTION("""COMPUTED_VALUE"""),1.1)</f>
        <v>1.1</v>
      </c>
      <c r="AS24" s="836">
        <f>IFERROR(__xludf.DUMMYFUNCTION("""COMPUTED_VALUE"""),2011.0)</f>
        <v>2011</v>
      </c>
      <c r="AT24" s="836" t="str">
        <f>IFERROR(__xludf.DUMMYFUNCTION("""COMPUTED_VALUE"""),"Inclusion: age between 4 and 14 years old and a total of atleast 5 eggs or larvae of any of the three intestinal helminths, namely ascaris, trichuris, and hookworm. The cutoff of 5 eggs was chosen in order to improve specificity. Exclusion: known HIV infe"&amp;"ction, allergy to albendazole, severe anemia, and any other underlying severe physcial condition.")</f>
        <v>Inclusion: age between 4 and 14 years old and a total of atleast 5 eggs or larvae of any of the three intestinal helminths, namely ascaris, trichuris, and hookworm. The cutoff of 5 eggs was chosen in order to improve specificity. Exclusion: known HIV infection, allergy to albendazole, severe anemia, and any other underlying severe physcial condition.</v>
      </c>
      <c r="AU24" s="836" t="str">
        <f>IFERROR(__xludf.DUMMYFUNCTION("""COMPUTED_VALUE"""),"Yes")</f>
        <v>Yes</v>
      </c>
      <c r="AV24" s="836" t="str">
        <f>IFERROR(__xludf.DUMMYFUNCTION("""COMPUTED_VALUE"""),"Yes")</f>
        <v>Yes</v>
      </c>
      <c r="AW24" s="836" t="str">
        <f>IFERROR(__xludf.DUMMYFUNCTION("""COMPUTED_VALUE"""),"randomized controlled assessor blinded cliical trial")</f>
        <v>randomized controlled assessor blinded cliical trial</v>
      </c>
      <c r="AX24" s="850">
        <f>IFERROR(__xludf.DUMMYFUNCTION("""COMPUTED_VALUE"""),0.67)</f>
        <v>0.67</v>
      </c>
      <c r="AY24" s="836"/>
      <c r="AZ24" s="836"/>
      <c r="BA24" s="836"/>
      <c r="BB24" s="836"/>
      <c r="BC24" s="836"/>
      <c r="BD24" s="836"/>
      <c r="BE24" s="850">
        <f>IFERROR(__xludf.DUMMYFUNCTION("""COMPUTED_VALUE"""),0.67)</f>
        <v>0.67</v>
      </c>
      <c r="BF24" s="836"/>
      <c r="BG24" s="836"/>
      <c r="BH24" s="850">
        <f>IFERROR(__xludf.DUMMYFUNCTION("""COMPUTED_VALUE"""),0.58)</f>
        <v>0.58</v>
      </c>
      <c r="BI24" s="836"/>
      <c r="BJ24" s="836"/>
      <c r="BK24" s="836"/>
      <c r="BL24" s="836"/>
      <c r="BM24" s="836"/>
      <c r="BN24" s="836"/>
      <c r="BO24" s="836"/>
      <c r="BP24" s="836"/>
      <c r="BQ24" s="697">
        <f>IFERROR(__xludf.DUMMYFUNCTION("""COMPUTED_VALUE"""),23.0)</f>
        <v>23</v>
      </c>
      <c r="BR24" s="844" t="str">
        <f>IFERROR(__xludf.DUMMYFUNCTION("""COMPUTED_VALUE"""),"Levecke et al.")</f>
        <v>Levecke et al.</v>
      </c>
      <c r="BS24" s="838" t="str">
        <f>IFERROR(__xludf.DUMMYFUNCTION("""COMPUTED_VALUE"""),"Ethiopia")</f>
        <v>Ethiopia</v>
      </c>
      <c r="BT24" s="838" t="str">
        <f>IFERROR(__xludf.DUMMYFUNCTION("""COMPUTED_VALUE"""),"Albendazole")</f>
        <v>Albendazole</v>
      </c>
      <c r="BU24" s="838"/>
      <c r="BV24" s="838" t="str">
        <f>IFERROR(__xludf.DUMMYFUNCTION("""COMPUTED_VALUE"""),"Single")</f>
        <v>Single</v>
      </c>
      <c r="BW24" s="838" t="str">
        <f>IFERROR(__xludf.DUMMYFUNCTION("""COMPUTED_VALUE"""),"400 mg")</f>
        <v>400 mg</v>
      </c>
      <c r="BX24" s="838">
        <f>IFERROR(__xludf.DUMMYFUNCTION("""COMPUTED_VALUE"""),151.0)</f>
        <v>151</v>
      </c>
      <c r="BY24" s="838">
        <f>IFERROR(__xludf.DUMMYFUNCTION("""COMPUTED_VALUE"""),11.3)</f>
        <v>11.3</v>
      </c>
      <c r="BZ24" s="838">
        <f>IFERROR(__xludf.DUMMYFUNCTION("""COMPUTED_VALUE"""),2012.0)</f>
        <v>2012</v>
      </c>
      <c r="CA24" s="838" t="str">
        <f>IFERROR(__xludf.DUMMYFUNCTION("""COMPUTED_VALUE"""),"Female:Male 1:60")</f>
        <v>Female:Male 1:60</v>
      </c>
      <c r="CB24" s="838"/>
      <c r="CC24" s="838" t="str">
        <f>IFERROR(__xludf.DUMMYFUNCTION("""COMPUTED_VALUE"""),"No")</f>
        <v>No</v>
      </c>
      <c r="CD24" s="838"/>
      <c r="CE24" s="838" t="str">
        <f>IFERROR(__xludf.DUMMYFUNCTION("""COMPUTED_VALUE"""),"No")</f>
        <v>No</v>
      </c>
      <c r="CF24" s="838"/>
      <c r="CG24" s="838"/>
      <c r="CH24" s="838"/>
      <c r="CI24" s="838"/>
      <c r="CJ24" s="838"/>
      <c r="CK24" s="838"/>
      <c r="CL24" s="838"/>
      <c r="CM24" s="847">
        <f>IFERROR(__xludf.DUMMYFUNCTION("""COMPUTED_VALUE"""),1.0)</f>
        <v>1</v>
      </c>
      <c r="CN24" s="838"/>
      <c r="CO24" s="838"/>
      <c r="CP24" s="838"/>
      <c r="CQ24" s="838"/>
      <c r="CR24" s="838"/>
      <c r="CS24" s="838"/>
      <c r="CT24" s="838"/>
      <c r="CU24" s="838" t="str">
        <f>IFERROR(__xludf.DUMMYFUNCTION("""COMPUTED_VALUE"""),"x")</f>
        <v>x</v>
      </c>
      <c r="CV24" s="697" t="str">
        <f>IFERROR(__xludf.DUMMYFUNCTION("""COMPUTED_VALUE"""),"B.Levecke,. A. Montresor, M.Albonico et al. (2014) Assessment of Anthelmintic Efficacy of Mebendazole in School Children in Six Countries Where Soil-Transmitted Helminths Are Endemic. PLoS Neglected Tropical Diseases (10)8: e3204.doi:10.1371/journal.pntd."&amp;"0003204 ")</f>
        <v>B.Levecke,. A. Montresor, M.Albonico et al. (2014) Assessment of Anthelmintic Efficacy of Mebendazole in School Children in Six Countries Where Soil-Transmitted Helminths Are Endemic. PLoS Neglected Tropical Diseases (10)8: e3204.doi:10.1371/journal.pntd.0003204 </v>
      </c>
    </row>
    <row r="25">
      <c r="A25" s="842" t="str">
        <f>IFERROR(__xludf.DUMMYFUNCTION("""COMPUTED_VALUE"""),"Clercq et al.")</f>
        <v>Clercq et al.</v>
      </c>
      <c r="B25" s="834" t="str">
        <f>IFERROR(__xludf.DUMMYFUNCTION("""COMPUTED_VALUE"""),"Mali")</f>
        <v>Mali</v>
      </c>
      <c r="C25" s="834" t="str">
        <f>IFERROR(__xludf.DUMMYFUNCTION("""COMPUTED_VALUE"""),"Mebendazole")</f>
        <v>Mebendazole</v>
      </c>
      <c r="D25" s="834" t="str">
        <f>IFERROR(__xludf.DUMMYFUNCTION("""COMPUTED_VALUE"""),"Single")</f>
        <v>Single</v>
      </c>
      <c r="E25" s="834" t="str">
        <f>IFERROR(__xludf.DUMMYFUNCTION("""COMPUTED_VALUE"""),"500 mg")</f>
        <v>500 mg</v>
      </c>
      <c r="F25" s="834">
        <f>IFERROR(__xludf.DUMMYFUNCTION("""COMPUTED_VALUE"""),95.0)</f>
        <v>95</v>
      </c>
      <c r="G25" s="834">
        <f>IFERROR(__xludf.DUMMYFUNCTION("""COMPUTED_VALUE"""),28.4)</f>
        <v>28.4</v>
      </c>
      <c r="H25" s="851">
        <f>IFERROR(__xludf.DUMMYFUNCTION("""COMPUTED_VALUE"""),0.9666666666666667)</f>
        <v>0.9666666667</v>
      </c>
      <c r="I25" s="834">
        <f>IFERROR(__xludf.DUMMYFUNCTION("""COMPUTED_VALUE"""),1995.0)</f>
        <v>1995</v>
      </c>
      <c r="J25" s="834" t="str">
        <f>IFERROR(__xludf.DUMMYFUNCTION("""COMPUTED_VALUE"""),"Pregnant women and children less than two years old were excluded from the study.")</f>
        <v>Pregnant women and children less than two years old were excluded from the study.</v>
      </c>
      <c r="K25" s="839" t="str">
        <f>IFERROR(__xludf.DUMMYFUNCTION("""COMPUTED_VALUE"""),"placebo controlled randomized")</f>
        <v>placebo controlled randomized</v>
      </c>
      <c r="L25" s="839" t="str">
        <f>IFERROR(__xludf.DUMMYFUNCTION("""COMPUTED_VALUE"""),"Yes")</f>
        <v>Yes</v>
      </c>
      <c r="M25" s="839" t="str">
        <f>IFERROR(__xludf.DUMMYFUNCTION("""COMPUTED_VALUE"""),"Yes")</f>
        <v>Yes</v>
      </c>
      <c r="N25" s="840">
        <f>IFERROR(__xludf.DUMMYFUNCTION("""COMPUTED_VALUE"""),0.229)</f>
        <v>0.229</v>
      </c>
      <c r="O25" s="834"/>
      <c r="P25" s="834"/>
      <c r="Q25" s="834"/>
      <c r="R25" s="834"/>
      <c r="S25" s="834"/>
      <c r="T25" s="834"/>
      <c r="U25" s="834"/>
      <c r="V25" s="834"/>
      <c r="W25" s="840">
        <f>IFERROR(__xludf.DUMMYFUNCTION("""COMPUTED_VALUE"""),0.065)</f>
        <v>0.065</v>
      </c>
      <c r="X25" s="834"/>
      <c r="Y25" s="834"/>
      <c r="Z25" s="834"/>
      <c r="AA25" s="834"/>
      <c r="AB25" s="834"/>
      <c r="AC25" s="834"/>
      <c r="AD25" s="834"/>
      <c r="AE25" s="834" t="str">
        <f>IFERROR(__xludf.DUMMYFUNCTION("""COMPUTED_VALUE"""),"The results confirmed the suspected poor efficacy of a single 500 mg dose of Mebendazoletreatment under local conditions.")</f>
        <v>The results confirmed the suspected poor efficacy of a single 500 mg dose of Mebendazoletreatment under local conditions.</v>
      </c>
      <c r="AF25" s="834" t="str">
        <f>IFERROR(__xludf.DUMMYFUNCTION("""COMPUTED_VALUE"""),"Kato-Katz method and during the month of ramadan ")</f>
        <v>Kato-Katz method and during the month of ramadan </v>
      </c>
      <c r="AG25" s="834" t="str">
        <f>IFERROR(__xludf.DUMMYFUNCTION("""COMPUTED_VALUE"""),"Clercq, D., Sacko, M., Behnke, J., Gilbert, F., Dorny, P., and Vercruysse, J. “Failure of Mebendazolein Treatment of Human Hookworm Infections in the Southern Region of Mali”. The American Society of Tropical Medicine and Hygeine 57 (1997): 25-30. Web.")</f>
        <v>Clercq, D., Sacko, M., Behnke, J., Gilbert, F., Dorny, P., and Vercruysse, J. “Failure of Mebendazolein Treatment of Human Hookworm Infections in the Southern Region of Mali”. The American Society of Tropical Medicine and Hygeine 57 (1997): 25-30. Web.</v>
      </c>
      <c r="AH25" s="834"/>
      <c r="AJ25" s="843" t="str">
        <f>IFERROR(__xludf.DUMMYFUNCTION("""COMPUTED_VALUE"""),"Adgenika et al.")</f>
        <v>Adgenika et al.</v>
      </c>
      <c r="AK25" s="836"/>
      <c r="AL25" s="836" t="str">
        <f>IFERROR(__xludf.DUMMYFUNCTION("""COMPUTED_VALUE"""),"Gabon")</f>
        <v>Gabon</v>
      </c>
      <c r="AM25" s="836" t="str">
        <f>IFERROR(__xludf.DUMMYFUNCTION("""COMPUTED_VALUE"""),"Albendazole")</f>
        <v>Albendazole</v>
      </c>
      <c r="AN25" s="836" t="str">
        <f>IFERROR(__xludf.DUMMYFUNCTION("""COMPUTED_VALUE"""),"Three")</f>
        <v>Three</v>
      </c>
      <c r="AO25" s="836" t="str">
        <f>IFERROR(__xludf.DUMMYFUNCTION("""COMPUTED_VALUE"""),"400 mg")</f>
        <v>400 mg</v>
      </c>
      <c r="AP25" s="836">
        <f>IFERROR(__xludf.DUMMYFUNCTION("""COMPUTED_VALUE"""),53.0)</f>
        <v>53</v>
      </c>
      <c r="AQ25" s="836">
        <f>IFERROR(__xludf.DUMMYFUNCTION("""COMPUTED_VALUE"""),8.2)</f>
        <v>8.2</v>
      </c>
      <c r="AR25" s="836">
        <f>IFERROR(__xludf.DUMMYFUNCTION("""COMPUTED_VALUE"""),1.9)</f>
        <v>1.9</v>
      </c>
      <c r="AS25" s="836">
        <f>IFERROR(__xludf.DUMMYFUNCTION("""COMPUTED_VALUE"""),2011.0)</f>
        <v>2011</v>
      </c>
      <c r="AT25" s="836" t="str">
        <f>IFERROR(__xludf.DUMMYFUNCTION("""COMPUTED_VALUE"""),"Inclusion: age between 4 and 14 years old and a total of atleast 5 eggs or larvae of any of the three intestinal helminths, namely ascaris, trichuris, and hookworm. The cutoff of 5 eggs was chosen in order to improve specificity. Exclusion: known HIV infe"&amp;"ction, allergy to albendazole, severe anemia, and any other underlying severe physcial condition.")</f>
        <v>Inclusion: age between 4 and 14 years old and a total of atleast 5 eggs or larvae of any of the three intestinal helminths, namely ascaris, trichuris, and hookworm. The cutoff of 5 eggs was chosen in order to improve specificity. Exclusion: known HIV infection, allergy to albendazole, severe anemia, and any other underlying severe physcial condition.</v>
      </c>
      <c r="AU25" s="836" t="str">
        <f>IFERROR(__xludf.DUMMYFUNCTION("""COMPUTED_VALUE"""),"Yes")</f>
        <v>Yes</v>
      </c>
      <c r="AV25" s="836" t="str">
        <f>IFERROR(__xludf.DUMMYFUNCTION("""COMPUTED_VALUE"""),"Yes")</f>
        <v>Yes</v>
      </c>
      <c r="AW25" s="836" t="str">
        <f>IFERROR(__xludf.DUMMYFUNCTION("""COMPUTED_VALUE"""),"randomized controlled assessor blinded cliical trial")</f>
        <v>randomized controlled assessor blinded cliical trial</v>
      </c>
      <c r="AX25" s="850">
        <f>IFERROR(__xludf.DUMMYFUNCTION("""COMPUTED_VALUE"""),0.83)</f>
        <v>0.83</v>
      </c>
      <c r="AY25" s="836"/>
      <c r="AZ25" s="836"/>
      <c r="BA25" s="836"/>
      <c r="BB25" s="836"/>
      <c r="BC25" s="836"/>
      <c r="BD25" s="836"/>
      <c r="BE25" s="850">
        <f>IFERROR(__xludf.DUMMYFUNCTION("""COMPUTED_VALUE"""),0.83)</f>
        <v>0.83</v>
      </c>
      <c r="BF25" s="836"/>
      <c r="BG25" s="836"/>
      <c r="BH25" s="850">
        <f>IFERROR(__xludf.DUMMYFUNCTION("""COMPUTED_VALUE"""),0.91)</f>
        <v>0.91</v>
      </c>
      <c r="BI25" s="836"/>
      <c r="BJ25" s="836"/>
      <c r="BK25" s="836"/>
      <c r="BL25" s="836"/>
      <c r="BM25" s="836"/>
      <c r="BN25" s="836"/>
      <c r="BO25" s="836"/>
      <c r="BP25" s="836"/>
      <c r="BQ25" s="697">
        <f>IFERROR(__xludf.DUMMYFUNCTION("""COMPUTED_VALUE"""),24.0)</f>
        <v>24</v>
      </c>
      <c r="BR25" s="844" t="str">
        <f>IFERROR(__xludf.DUMMYFUNCTION("""COMPUTED_VALUE"""),"Levecke et al.")</f>
        <v>Levecke et al.</v>
      </c>
      <c r="BS25" s="838" t="str">
        <f>IFERROR(__xludf.DUMMYFUNCTION("""COMPUTED_VALUE"""),"Tanzania")</f>
        <v>Tanzania</v>
      </c>
      <c r="BT25" s="838" t="str">
        <f>IFERROR(__xludf.DUMMYFUNCTION("""COMPUTED_VALUE"""),"Mebendazole")</f>
        <v>Mebendazole</v>
      </c>
      <c r="BU25" s="838"/>
      <c r="BV25" s="838" t="str">
        <f>IFERROR(__xludf.DUMMYFUNCTION("""COMPUTED_VALUE"""),"Single")</f>
        <v>Single</v>
      </c>
      <c r="BW25" s="838" t="str">
        <f>IFERROR(__xludf.DUMMYFUNCTION("""COMPUTED_VALUE"""),"500 mg")</f>
        <v>500 mg</v>
      </c>
      <c r="BX25" s="838">
        <f>IFERROR(__xludf.DUMMYFUNCTION("""COMPUTED_VALUE"""),378.0)</f>
        <v>378</v>
      </c>
      <c r="BY25" s="838">
        <f>IFERROR(__xludf.DUMMYFUNCTION("""COMPUTED_VALUE"""),10.7)</f>
        <v>10.7</v>
      </c>
      <c r="BZ25" s="838">
        <f>IFERROR(__xludf.DUMMYFUNCTION("""COMPUTED_VALUE"""),2012.0)</f>
        <v>2012</v>
      </c>
      <c r="CA25" s="838" t="str">
        <f>IFERROR(__xludf.DUMMYFUNCTION("""COMPUTED_VALUE"""),"Female:Male 1:20")</f>
        <v>Female:Male 1:20</v>
      </c>
      <c r="CB25" s="838"/>
      <c r="CC25" s="838" t="str">
        <f>IFERROR(__xludf.DUMMYFUNCTION("""COMPUTED_VALUE"""),"No")</f>
        <v>No</v>
      </c>
      <c r="CD25" s="838"/>
      <c r="CE25" s="838" t="str">
        <f>IFERROR(__xludf.DUMMYFUNCTION("""COMPUTED_VALUE"""),"No")</f>
        <v>No</v>
      </c>
      <c r="CF25" s="838"/>
      <c r="CG25" s="838"/>
      <c r="CH25" s="838"/>
      <c r="CI25" s="838"/>
      <c r="CJ25" s="838"/>
      <c r="CK25" s="838"/>
      <c r="CL25" s="838"/>
      <c r="CM25" s="847">
        <f>IFERROR(__xludf.DUMMYFUNCTION("""COMPUTED_VALUE"""),0.971)</f>
        <v>0.971</v>
      </c>
      <c r="CN25" s="838"/>
      <c r="CO25" s="838"/>
      <c r="CP25" s="838"/>
      <c r="CQ25" s="838"/>
      <c r="CR25" s="838"/>
      <c r="CS25" s="838"/>
      <c r="CT25" s="838"/>
      <c r="CU25" s="838" t="str">
        <f>IFERROR(__xludf.DUMMYFUNCTION("""COMPUTED_VALUE"""),"x")</f>
        <v>x</v>
      </c>
      <c r="CV25" s="697" t="str">
        <f>IFERROR(__xludf.DUMMYFUNCTION("""COMPUTED_VALUE"""),"B.Levecke,. A. Montresor, M.Albonico et al. (2014) Assessment of Anthelmintic Efficacy of Mebendazole in School Children in Six Countries Where Soil-Transmitted Helminths Are Endemic. PLoS Neglected Tropical Diseases (10)8: e3204.doi:10.1371/journal.pntd."&amp;"0003204 ")</f>
        <v>B.Levecke,. A. Montresor, M.Albonico et al. (2014) Assessment of Anthelmintic Efficacy of Mebendazole in School Children in Six Countries Where Soil-Transmitted Helminths Are Endemic. PLoS Neglected Tropical Diseases (10)8: e3204.doi:10.1371/journal.pntd.0003204 </v>
      </c>
    </row>
    <row r="26">
      <c r="A26" s="842" t="str">
        <f>IFERROR(__xludf.DUMMYFUNCTION("""COMPUTED_VALUE"""),"Clercq et al.")</f>
        <v>Clercq et al.</v>
      </c>
      <c r="B26" s="834" t="str">
        <f>IFERROR(__xludf.DUMMYFUNCTION("""COMPUTED_VALUE"""),"Mali")</f>
        <v>Mali</v>
      </c>
      <c r="C26" s="834" t="str">
        <f>IFERROR(__xludf.DUMMYFUNCTION("""COMPUTED_VALUE"""),"Pyrantel")</f>
        <v>Pyrantel</v>
      </c>
      <c r="D26" s="834"/>
      <c r="E26" s="834" t="str">
        <f>IFERROR(__xludf.DUMMYFUNCTION("""COMPUTED_VALUE"""),"20 mg/kg")</f>
        <v>20 mg/kg</v>
      </c>
      <c r="F26" s="834"/>
      <c r="G26" s="834">
        <f>IFERROR(__xludf.DUMMYFUNCTION("""COMPUTED_VALUE"""),24.8)</f>
        <v>24.8</v>
      </c>
      <c r="H26" s="834" t="str">
        <f>IFERROR(__xludf.DUMMYFUNCTION("""COMPUTED_VALUE"""),"Pyr: 6/23")</f>
        <v>Pyr: 6/23</v>
      </c>
      <c r="I26" s="834">
        <f>IFERROR(__xludf.DUMMYFUNCTION("""COMPUTED_VALUE"""),1995.0)</f>
        <v>1995</v>
      </c>
      <c r="J26" s="834"/>
      <c r="K26" s="839" t="str">
        <f>IFERROR(__xludf.DUMMYFUNCTION("""COMPUTED_VALUE"""),"placebo controlled randomized")</f>
        <v>placebo controlled randomized</v>
      </c>
      <c r="L26" s="839" t="str">
        <f>IFERROR(__xludf.DUMMYFUNCTION("""COMPUTED_VALUE"""),"Yes")</f>
        <v>Yes</v>
      </c>
      <c r="M26" s="839" t="str">
        <f>IFERROR(__xludf.DUMMYFUNCTION("""COMPUTED_VALUE"""),"Yes")</f>
        <v>Yes</v>
      </c>
      <c r="N26" s="840">
        <f>IFERROR(__xludf.DUMMYFUNCTION("""COMPUTED_VALUE"""),0.448)</f>
        <v>0.448</v>
      </c>
      <c r="O26" s="834"/>
      <c r="P26" s="834"/>
      <c r="Q26" s="834"/>
      <c r="R26" s="834"/>
      <c r="S26" s="834"/>
      <c r="T26" s="834"/>
      <c r="U26" s="834"/>
      <c r="V26" s="834"/>
      <c r="W26" s="853">
        <f>IFERROR(__xludf.DUMMYFUNCTION("""COMPUTED_VALUE"""),0.75)</f>
        <v>0.75</v>
      </c>
      <c r="X26" s="834"/>
      <c r="Y26" s="834"/>
      <c r="Z26" s="834"/>
      <c r="AA26" s="834"/>
      <c r="AB26" s="834"/>
      <c r="AC26" s="834"/>
      <c r="AD26" s="834"/>
      <c r="AE26" s="834" t="str">
        <f>IFERROR(__xludf.DUMMYFUNCTION("""COMPUTED_VALUE"""),"The results confirmed the suspected poor efficacy of a single 500 mg dose of Mebendazoletreatment under local conditions.")</f>
        <v>The results confirmed the suspected poor efficacy of a single 500 mg dose of Mebendazoletreatment under local conditions.</v>
      </c>
      <c r="AF26" s="834" t="str">
        <f>IFERROR(__xludf.DUMMYFUNCTION("""COMPUTED_VALUE"""),"Kato-Katz method and during the month of ramadan ")</f>
        <v>Kato-Katz method and during the month of ramadan </v>
      </c>
      <c r="AG26" s="834" t="str">
        <f>IFERROR(__xludf.DUMMYFUNCTION("""COMPUTED_VALUE"""),"Clercq, D., Sacko, M., Behnke, J., Gilbert, F., Dorny, P., and Vercruysse, J. “Failure of Mebendazolein Treatment of Human Hookworm Infections in the Southern Region of Mali”. The American Society of Tropical Medicine and Hygeine 57 (1997): 25-30. Web.")</f>
        <v>Clercq, D., Sacko, M., Behnke, J., Gilbert, F., Dorny, P., and Vercruysse, J. “Failure of Mebendazolein Treatment of Human Hookworm Infections in the Southern Region of Mali”. The American Society of Tropical Medicine and Hygeine 57 (1997): 25-30. Web.</v>
      </c>
      <c r="AH26" s="834"/>
      <c r="AJ26" s="843" t="str">
        <f>IFERROR(__xludf.DUMMYFUNCTION("""COMPUTED_VALUE"""),"Samuel et al.")</f>
        <v>Samuel et al.</v>
      </c>
      <c r="AK26" s="836" t="str">
        <f>IFERROR(__xludf.DUMMYFUNCTION("""COMPUTED_VALUE"""),"Samuel, AFikreslasie, Abraham Degarege, and Berhanu Erko. ""Efficacy and Side Effects of AlbendazoleCurrently in Use against Ascaris, Trichuris and Hookworm among School Children in Wondo Genet, Southern Ethiopia."" Parasitology International 63 (2014): 4"&amp;"50-55. Web.")</f>
        <v>Samuel, AFikreslasie, Abraham Degarege, and Berhanu Erko. "Efficacy and Side Effects of AlbendazoleCurrently in Use against Ascaris, Trichuris and Hookworm among School Children in Wondo Genet, Southern Ethiopia." Parasitology International 63 (2014): 450-55. Web.</v>
      </c>
      <c r="AL26" s="836" t="str">
        <f>IFERROR(__xludf.DUMMYFUNCTION("""COMPUTED_VALUE"""),"Ethiopia")</f>
        <v>Ethiopia</v>
      </c>
      <c r="AM26" s="836" t="str">
        <f>IFERROR(__xludf.DUMMYFUNCTION("""COMPUTED_VALUE"""),"Albendazole")</f>
        <v>Albendazole</v>
      </c>
      <c r="AN26" s="836" t="str">
        <f>IFERROR(__xludf.DUMMYFUNCTION("""COMPUTED_VALUE"""),"Single")</f>
        <v>Single</v>
      </c>
      <c r="AO26" s="836" t="str">
        <f>IFERROR(__xludf.DUMMYFUNCTION("""COMPUTED_VALUE"""),"400 mg")</f>
        <v>400 mg</v>
      </c>
      <c r="AP26" s="836">
        <f>IFERROR(__xludf.DUMMYFUNCTION("""COMPUTED_VALUE"""),245.0)</f>
        <v>245</v>
      </c>
      <c r="AQ26" s="836" t="str">
        <f>IFERROR(__xludf.DUMMYFUNCTION("""COMPUTED_VALUE"""),"5-16 years old")</f>
        <v>5-16 years old</v>
      </c>
      <c r="AR26" s="836" t="str">
        <f>IFERROR(__xludf.DUMMYFUNCTION("""COMPUTED_VALUE"""),"Male:167 Female:153")</f>
        <v>Male:167 Female:153</v>
      </c>
      <c r="AS26" s="836">
        <f>IFERROR(__xludf.DUMMYFUNCTION("""COMPUTED_VALUE"""),2011.0)</f>
        <v>2011</v>
      </c>
      <c r="AT26" s="836"/>
      <c r="AU26" s="836" t="str">
        <f>IFERROR(__xludf.DUMMYFUNCTION("""COMPUTED_VALUE"""),"No")</f>
        <v>No</v>
      </c>
      <c r="AV26" s="836" t="str">
        <f>IFERROR(__xludf.DUMMYFUNCTION("""COMPUTED_VALUE"""),"No")</f>
        <v>No</v>
      </c>
      <c r="AW26" s="836" t="str">
        <f>IFERROR(__xludf.DUMMYFUNCTION("""COMPUTED_VALUE"""),"MDA?")</f>
        <v>MDA?</v>
      </c>
      <c r="AX26" s="841">
        <f>IFERROR(__xludf.DUMMYFUNCTION("""COMPUTED_VALUE"""),0.308)</f>
        <v>0.308</v>
      </c>
      <c r="AY26" s="836"/>
      <c r="AZ26" s="841">
        <f>IFERROR(__xludf.DUMMYFUNCTION("""COMPUTED_VALUE"""),0.308)</f>
        <v>0.308</v>
      </c>
      <c r="BA26" s="836"/>
      <c r="BB26" s="836"/>
      <c r="BC26" s="836"/>
      <c r="BD26" s="836"/>
      <c r="BE26" s="836"/>
      <c r="BF26" s="836"/>
      <c r="BG26" s="836"/>
      <c r="BH26" s="841">
        <f>IFERROR(__xludf.DUMMYFUNCTION("""COMPUTED_VALUE"""),0.831)</f>
        <v>0.831</v>
      </c>
      <c r="BI26" s="836"/>
      <c r="BJ26" s="836"/>
      <c r="BK26" s="836"/>
      <c r="BL26" s="836"/>
      <c r="BM26" s="836"/>
      <c r="BN26" s="836"/>
      <c r="BO26" s="836" t="str">
        <f>IFERROR(__xludf.DUMMYFUNCTION("""COMPUTED_VALUE"""),"Kato-Katz Method")</f>
        <v>Kato-Katz Method</v>
      </c>
      <c r="BP26" s="836" t="str">
        <f>IFERROR(__xludf.DUMMYFUNCTION("""COMPUTED_VALUE"""),"x")</f>
        <v>x</v>
      </c>
      <c r="BQ26" s="697">
        <f>IFERROR(__xludf.DUMMYFUNCTION("""COMPUTED_VALUE"""),25.0)</f>
        <v>25</v>
      </c>
      <c r="BR26" s="844" t="str">
        <f>IFERROR(__xludf.DUMMYFUNCTION("""COMPUTED_VALUE"""),"Levecke et al.")</f>
        <v>Levecke et al.</v>
      </c>
      <c r="BS26" s="838" t="str">
        <f>IFERROR(__xludf.DUMMYFUNCTION("""COMPUTED_VALUE"""),"Tanzania")</f>
        <v>Tanzania</v>
      </c>
      <c r="BT26" s="838" t="str">
        <f>IFERROR(__xludf.DUMMYFUNCTION("""COMPUTED_VALUE"""),"Albendazole")</f>
        <v>Albendazole</v>
      </c>
      <c r="BU26" s="838"/>
      <c r="BV26" s="838" t="str">
        <f>IFERROR(__xludf.DUMMYFUNCTION("""COMPUTED_VALUE"""),"Single")</f>
        <v>Single</v>
      </c>
      <c r="BW26" s="838" t="str">
        <f>IFERROR(__xludf.DUMMYFUNCTION("""COMPUTED_VALUE"""),"400 mg")</f>
        <v>400 mg</v>
      </c>
      <c r="BX26" s="838">
        <f>IFERROR(__xludf.DUMMYFUNCTION("""COMPUTED_VALUE"""),279.0)</f>
        <v>279</v>
      </c>
      <c r="BY26" s="838">
        <f>IFERROR(__xludf.DUMMYFUNCTION("""COMPUTED_VALUE"""),9.7)</f>
        <v>9.7</v>
      </c>
      <c r="BZ26" s="838">
        <f>IFERROR(__xludf.DUMMYFUNCTION("""COMPUTED_VALUE"""),2012.0)</f>
        <v>2012</v>
      </c>
      <c r="CA26" s="838" t="str">
        <f>IFERROR(__xludf.DUMMYFUNCTION("""COMPUTED_VALUE"""),"Female:Male 0:87")</f>
        <v>Female:Male 0:87</v>
      </c>
      <c r="CB26" s="838"/>
      <c r="CC26" s="838" t="str">
        <f>IFERROR(__xludf.DUMMYFUNCTION("""COMPUTED_VALUE"""),"No")</f>
        <v>No</v>
      </c>
      <c r="CD26" s="838"/>
      <c r="CE26" s="838" t="str">
        <f>IFERROR(__xludf.DUMMYFUNCTION("""COMPUTED_VALUE"""),"No")</f>
        <v>No</v>
      </c>
      <c r="CF26" s="838"/>
      <c r="CG26" s="838"/>
      <c r="CH26" s="838"/>
      <c r="CI26" s="838"/>
      <c r="CJ26" s="838"/>
      <c r="CK26" s="838"/>
      <c r="CL26" s="838"/>
      <c r="CM26" s="847">
        <f>IFERROR(__xludf.DUMMYFUNCTION("""COMPUTED_VALUE"""),1.0)</f>
        <v>1</v>
      </c>
      <c r="CN26" s="838"/>
      <c r="CO26" s="838"/>
      <c r="CP26" s="838"/>
      <c r="CQ26" s="838"/>
      <c r="CR26" s="838"/>
      <c r="CS26" s="838"/>
      <c r="CT26" s="838"/>
      <c r="CU26" s="838" t="str">
        <f>IFERROR(__xludf.DUMMYFUNCTION("""COMPUTED_VALUE"""),"x")</f>
        <v>x</v>
      </c>
      <c r="CV26" s="697" t="str">
        <f>IFERROR(__xludf.DUMMYFUNCTION("""COMPUTED_VALUE"""),"B.Levecke,. A. Montresor, M.Albonico et al. (2014) Assessment of Anthelmintic Efficacy of Mebendazole in School Children in Six Countries Where Soil-Transmitted Helminths Are Endemic. PLoS Neglected Tropical Diseases (10)8: e3204.doi:10.1371/journal.pntd."&amp;"0003204 ")</f>
        <v>B.Levecke,. A. Montresor, M.Albonico et al. (2014) Assessment of Anthelmintic Efficacy of Mebendazole in School Children in Six Countries Where Soil-Transmitted Helminths Are Endemic. PLoS Neglected Tropical Diseases (10)8: e3204.doi:10.1371/journal.pntd.0003204 </v>
      </c>
    </row>
    <row r="27">
      <c r="A27" s="842" t="str">
        <f>IFERROR(__xludf.DUMMYFUNCTION("""COMPUTED_VALUE"""),"Clercq et al.")</f>
        <v>Clercq et al.</v>
      </c>
      <c r="B27" s="834" t="str">
        <f>IFERROR(__xludf.DUMMYFUNCTION("""COMPUTED_VALUE"""),"Mali")</f>
        <v>Mali</v>
      </c>
      <c r="C27" s="834" t="str">
        <f>IFERROR(__xludf.DUMMYFUNCTION("""COMPUTED_VALUE"""),"Placebo (Vit C)")</f>
        <v>Placebo (Vit C)</v>
      </c>
      <c r="D27" s="834"/>
      <c r="E27" s="834"/>
      <c r="F27" s="834"/>
      <c r="G27" s="834">
        <f>IFERROR(__xludf.DUMMYFUNCTION("""COMPUTED_VALUE"""),25.9)</f>
        <v>25.9</v>
      </c>
      <c r="H27" s="834" t="str">
        <f>IFERROR(__xludf.DUMMYFUNCTION("""COMPUTED_VALUE"""),"Placebo: 8/23")</f>
        <v>Placebo: 8/23</v>
      </c>
      <c r="I27" s="834">
        <f>IFERROR(__xludf.DUMMYFUNCTION("""COMPUTED_VALUE"""),1995.0)</f>
        <v>1995</v>
      </c>
      <c r="J27" s="834"/>
      <c r="K27" s="839" t="str">
        <f>IFERROR(__xludf.DUMMYFUNCTION("""COMPUTED_VALUE"""),"placebo controlled randomized")</f>
        <v>placebo controlled randomized</v>
      </c>
      <c r="L27" s="839" t="str">
        <f>IFERROR(__xludf.DUMMYFUNCTION("""COMPUTED_VALUE"""),"Yes")</f>
        <v>Yes</v>
      </c>
      <c r="M27" s="839" t="str">
        <f>IFERROR(__xludf.DUMMYFUNCTION("""COMPUTED_VALUE"""),"Yes")</f>
        <v>Yes</v>
      </c>
      <c r="N27" s="840">
        <f>IFERROR(__xludf.DUMMYFUNCTION("""COMPUTED_VALUE"""),0.226)</f>
        <v>0.226</v>
      </c>
      <c r="O27" s="834"/>
      <c r="P27" s="834"/>
      <c r="Q27" s="834"/>
      <c r="R27" s="834"/>
      <c r="S27" s="834"/>
      <c r="T27" s="834"/>
      <c r="U27" s="834"/>
      <c r="V27" s="834"/>
      <c r="W27" s="840">
        <f>IFERROR(__xludf.DUMMYFUNCTION("""COMPUTED_VALUE"""),0.327)</f>
        <v>0.327</v>
      </c>
      <c r="X27" s="834"/>
      <c r="Y27" s="834"/>
      <c r="Z27" s="834"/>
      <c r="AA27" s="834"/>
      <c r="AB27" s="834"/>
      <c r="AC27" s="834"/>
      <c r="AD27" s="834"/>
      <c r="AE27" s="834" t="str">
        <f>IFERROR(__xludf.DUMMYFUNCTION("""COMPUTED_VALUE"""),"The results confirmed the suspected poor efficacy of a single 500 mg dose of Mebendazoletreatment under local conditions.")</f>
        <v>The results confirmed the suspected poor efficacy of a single 500 mg dose of Mebendazoletreatment under local conditions.</v>
      </c>
      <c r="AF27" s="834" t="str">
        <f>IFERROR(__xludf.DUMMYFUNCTION("""COMPUTED_VALUE"""),"Kato-Katz method and during the month of ramadan ")</f>
        <v>Kato-Katz method and during the month of ramadan </v>
      </c>
      <c r="AG27" s="834" t="str">
        <f>IFERROR(__xludf.DUMMYFUNCTION("""COMPUTED_VALUE"""),"Clercq, D., Sacko, M., Behnke, J., Gilbert, F., Dorny, P., and Vercruysse, J. “Failure of Mebendazolein Treatment of Human Hookworm Infections in the Southern Region of Mali”. The American Society of Tropical Medicine and Hygeine 57 (1997): 25-30. Web.")</f>
        <v>Clercq, D., Sacko, M., Behnke, J., Gilbert, F., Dorny, P., and Vercruysse, J. “Failure of Mebendazolein Treatment of Human Hookworm Infections in the Southern Region of Mali”. The American Society of Tropical Medicine and Hygeine 57 (1997): 25-30. Web.</v>
      </c>
      <c r="AH27" s="834"/>
      <c r="AJ27" s="843" t="str">
        <f>IFERROR(__xludf.DUMMYFUNCTION("""COMPUTED_VALUE"""),"Legesse et al.")</f>
        <v>Legesse et al.</v>
      </c>
      <c r="AK27" s="836" t="str">
        <f>IFERROR(__xludf.DUMMYFUNCTION("""COMPUTED_VALUE"""),"Legesse, M., B. Erko, and G. Medhin. ""Comparative Efficacy of Albendazoleand Three Brands of Mebendazolein the Treatment of Ascariasis and Trichurasis."" East African Medical Journal 81.3 (2004): 134-38. Web.")</f>
        <v>Legesse, M., B. Erko, and G. Medhin. "Comparative Efficacy of Albendazoleand Three Brands of Mebendazolein the Treatment of Ascariasis and Trichurasis." East African Medical Journal 81.3 (2004): 134-38. Web.</v>
      </c>
      <c r="AL27" s="836" t="str">
        <f>IFERROR(__xludf.DUMMYFUNCTION("""COMPUTED_VALUE"""),"Ethiopia")</f>
        <v>Ethiopia</v>
      </c>
      <c r="AM27" s="836" t="str">
        <f>IFERROR(__xludf.DUMMYFUNCTION("""COMPUTED_VALUE"""),"Albendazole")</f>
        <v>Albendazole</v>
      </c>
      <c r="AN27" s="836" t="str">
        <f>IFERROR(__xludf.DUMMYFUNCTION("""COMPUTED_VALUE"""),"Single")</f>
        <v>Single</v>
      </c>
      <c r="AO27" s="836" t="str">
        <f>IFERROR(__xludf.DUMMYFUNCTION("""COMPUTED_VALUE"""),"400 mg")</f>
        <v>400 mg</v>
      </c>
      <c r="AP27" s="836">
        <f>IFERROR(__xludf.DUMMYFUNCTION("""COMPUTED_VALUE"""),130.0)</f>
        <v>130</v>
      </c>
      <c r="AQ27" s="836" t="str">
        <f>IFERROR(__xludf.DUMMYFUNCTION("""COMPUTED_VALUE"""),"6-19 years old")</f>
        <v>6-19 years old</v>
      </c>
      <c r="AR27" s="836" t="str">
        <f>IFERROR(__xludf.DUMMYFUNCTION("""COMPUTED_VALUE"""),"Male:387 Female:343")</f>
        <v>Male:387 Female:343</v>
      </c>
      <c r="AS27" s="836">
        <f>IFERROR(__xludf.DUMMYFUNCTION("""COMPUTED_VALUE"""),2003.0)</f>
        <v>2003</v>
      </c>
      <c r="AT27" s="836"/>
      <c r="AU27" s="836" t="str">
        <f>IFERROR(__xludf.DUMMYFUNCTION("""COMPUTED_VALUE"""),"Yes")</f>
        <v>Yes</v>
      </c>
      <c r="AV27" s="836" t="str">
        <f>IFERROR(__xludf.DUMMYFUNCTION("""COMPUTED_VALUE"""),"No")</f>
        <v>No</v>
      </c>
      <c r="AW27" s="836" t="str">
        <f>IFERROR(__xludf.DUMMYFUNCTION("""COMPUTED_VALUE"""),"randomized trial")</f>
        <v>randomized trial</v>
      </c>
      <c r="AX27" s="841">
        <f>IFERROR(__xludf.DUMMYFUNCTION("""COMPUTED_VALUE"""),0.171)</f>
        <v>0.171</v>
      </c>
      <c r="AY27" s="836"/>
      <c r="AZ27" s="841">
        <f>IFERROR(__xludf.DUMMYFUNCTION("""COMPUTED_VALUE"""),0.171)</f>
        <v>0.171</v>
      </c>
      <c r="BA27" s="836"/>
      <c r="BB27" s="836"/>
      <c r="BC27" s="836"/>
      <c r="BD27" s="836"/>
      <c r="BE27" s="836"/>
      <c r="BF27" s="836"/>
      <c r="BG27" s="836"/>
      <c r="BH27" s="841">
        <f>IFERROR(__xludf.DUMMYFUNCTION("""COMPUTED_VALUE"""),0.698)</f>
        <v>0.698</v>
      </c>
      <c r="BI27" s="836"/>
      <c r="BJ27" s="836"/>
      <c r="BK27" s="836"/>
      <c r="BL27" s="836"/>
      <c r="BM27" s="836"/>
      <c r="BN27" s="836"/>
      <c r="BO27" s="836" t="str">
        <f>IFERROR(__xludf.DUMMYFUNCTION("""COMPUTED_VALUE"""),"Kato Technique")</f>
        <v>Kato Technique</v>
      </c>
      <c r="BP27" s="836"/>
      <c r="BQ27" s="697">
        <f>IFERROR(__xludf.DUMMYFUNCTION("""COMPUTED_VALUE"""),26.0)</f>
        <v>26</v>
      </c>
      <c r="BR27" s="844" t="str">
        <f>IFERROR(__xludf.DUMMYFUNCTION("""COMPUTED_VALUE"""),"Levecke et al.")</f>
        <v>Levecke et al.</v>
      </c>
      <c r="BS27" s="838" t="str">
        <f>IFERROR(__xludf.DUMMYFUNCTION("""COMPUTED_VALUE"""),"Vietnam")</f>
        <v>Vietnam</v>
      </c>
      <c r="BT27" s="838" t="str">
        <f>IFERROR(__xludf.DUMMYFUNCTION("""COMPUTED_VALUE"""),"Mebendazole")</f>
        <v>Mebendazole</v>
      </c>
      <c r="BU27" s="838"/>
      <c r="BV27" s="838" t="str">
        <f>IFERROR(__xludf.DUMMYFUNCTION("""COMPUTED_VALUE"""),"Single")</f>
        <v>Single</v>
      </c>
      <c r="BW27" s="838" t="str">
        <f>IFERROR(__xludf.DUMMYFUNCTION("""COMPUTED_VALUE"""),"500 mg")</f>
        <v>500 mg</v>
      </c>
      <c r="BX27" s="838">
        <f>IFERROR(__xludf.DUMMYFUNCTION("""COMPUTED_VALUE"""),287.0)</f>
        <v>287</v>
      </c>
      <c r="BY27" s="838">
        <f>IFERROR(__xludf.DUMMYFUNCTION("""COMPUTED_VALUE"""),8.4)</f>
        <v>8.4</v>
      </c>
      <c r="BZ27" s="838">
        <f>IFERROR(__xludf.DUMMYFUNCTION("""COMPUTED_VALUE"""),2012.0)</f>
        <v>2012</v>
      </c>
      <c r="CA27" s="838" t="str">
        <f>IFERROR(__xludf.DUMMYFUNCTION("""COMPUTED_VALUE"""),"Female:Male 0:88")</f>
        <v>Female:Male 0:88</v>
      </c>
      <c r="CB27" s="838"/>
      <c r="CC27" s="838" t="str">
        <f>IFERROR(__xludf.DUMMYFUNCTION("""COMPUTED_VALUE"""),"No")</f>
        <v>No</v>
      </c>
      <c r="CD27" s="838"/>
      <c r="CE27" s="838" t="str">
        <f>IFERROR(__xludf.DUMMYFUNCTION("""COMPUTED_VALUE"""),"No")</f>
        <v>No</v>
      </c>
      <c r="CF27" s="838"/>
      <c r="CG27" s="838"/>
      <c r="CH27" s="838"/>
      <c r="CI27" s="838"/>
      <c r="CJ27" s="838"/>
      <c r="CK27" s="838"/>
      <c r="CL27" s="838"/>
      <c r="CM27" s="847">
        <f>IFERROR(__xludf.DUMMYFUNCTION("""COMPUTED_VALUE"""),0.939)</f>
        <v>0.939</v>
      </c>
      <c r="CN27" s="838"/>
      <c r="CO27" s="838"/>
      <c r="CP27" s="838"/>
      <c r="CQ27" s="838"/>
      <c r="CR27" s="838"/>
      <c r="CS27" s="838"/>
      <c r="CT27" s="838"/>
      <c r="CU27" s="838" t="str">
        <f>IFERROR(__xludf.DUMMYFUNCTION("""COMPUTED_VALUE"""),"x")</f>
        <v>x</v>
      </c>
      <c r="CV27" s="697" t="str">
        <f>IFERROR(__xludf.DUMMYFUNCTION("""COMPUTED_VALUE"""),"B.Levecke,. A. Montresor, M.Albonico et al. (2014) Assessment of Anthelmintic Efficacy of Mebendazole in School Children in Six Countries Where Soil-Transmitted Helminths Are Endemic. PLoS Neglected Tropical Diseases (10)8: e3204.doi:10.1371/journal.pntd."&amp;"0003204 ")</f>
        <v>B.Levecke,. A. Montresor, M.Albonico et al. (2014) Assessment of Anthelmintic Efficacy of Mebendazole in School Children in Six Countries Where Soil-Transmitted Helminths Are Endemic. PLoS Neglected Tropical Diseases (10)8: e3204.doi:10.1371/journal.pntd.0003204 </v>
      </c>
    </row>
    <row r="28">
      <c r="A28" s="842" t="str">
        <f>IFERROR(__xludf.DUMMYFUNCTION("""COMPUTED_VALUE"""),"Diawara et al.")</f>
        <v>Diawara et al.</v>
      </c>
      <c r="B28" s="834" t="str">
        <f>IFERROR(__xludf.DUMMYFUNCTION("""COMPUTED_VALUE"""),"Haiti")</f>
        <v>Haiti</v>
      </c>
      <c r="C28" s="834" t="str">
        <f>IFERROR(__xludf.DUMMYFUNCTION("""COMPUTED_VALUE"""),"Albendazole")</f>
        <v>Albendazole</v>
      </c>
      <c r="D28" s="834" t="str">
        <f>IFERROR(__xludf.DUMMYFUNCTION("""COMPUTED_VALUE"""),"Single")</f>
        <v>Single</v>
      </c>
      <c r="E28" s="834" t="str">
        <f>IFERROR(__xludf.DUMMYFUNCTION("""COMPUTED_VALUE"""),"400 mg")</f>
        <v>400 mg</v>
      </c>
      <c r="F28" s="834">
        <f>IFERROR(__xludf.DUMMYFUNCTION("""COMPUTED_VALUE"""),353.0)</f>
        <v>353</v>
      </c>
      <c r="G28" s="834" t="str">
        <f>IFERROR(__xludf.DUMMYFUNCTION("""COMPUTED_VALUE"""),"School aged older then 2 years old")</f>
        <v>School aged older then 2 years old</v>
      </c>
      <c r="H28" s="834"/>
      <c r="I28" s="834">
        <f>IFERROR(__xludf.DUMMYFUNCTION("""COMPUTED_VALUE"""),2009.0)</f>
        <v>2009</v>
      </c>
      <c r="J28" s="834" t="str">
        <f>IFERROR(__xludf.DUMMYFUNCTION("""COMPUTED_VALUE"""),"Method Used")</f>
        <v>Method Used</v>
      </c>
      <c r="K28" s="839" t="str">
        <f>IFERROR(__xludf.DUMMYFUNCTION("""COMPUTED_VALUE"""),"cross-sectional study")</f>
        <v>cross-sectional study</v>
      </c>
      <c r="L28" s="839" t="str">
        <f>IFERROR(__xludf.DUMMYFUNCTION("""COMPUTED_VALUE"""),"No")</f>
        <v>No</v>
      </c>
      <c r="M28" s="839" t="str">
        <f>IFERROR(__xludf.DUMMYFUNCTION("""COMPUTED_VALUE"""),"No")</f>
        <v>No</v>
      </c>
      <c r="N28" s="840">
        <f>IFERROR(__xludf.DUMMYFUNCTION("""COMPUTED_VALUE"""),0.986)</f>
        <v>0.986</v>
      </c>
      <c r="O28" s="834"/>
      <c r="P28" s="834"/>
      <c r="Q28" s="834"/>
      <c r="R28" s="834"/>
      <c r="S28" s="834"/>
      <c r="T28" s="834"/>
      <c r="U28" s="834"/>
      <c r="V28" s="834"/>
      <c r="W28" s="840">
        <f>IFERROR(__xludf.DUMMYFUNCTION("""COMPUTED_VALUE"""),0.986)</f>
        <v>0.986</v>
      </c>
      <c r="X28" s="834"/>
      <c r="Y28" s="834"/>
      <c r="Z28" s="834"/>
      <c r="AA28" s="834"/>
      <c r="AB28" s="834"/>
      <c r="AC28" s="834"/>
      <c r="AD28" s="834"/>
      <c r="AE28" s="834" t="str">
        <f>IFERROR(__xludf.DUMMYFUNCTION("""COMPUTED_VALUE"""),"ABZ was treatment was successful")</f>
        <v>ABZ was treatment was successful</v>
      </c>
      <c r="AF28" s="834" t="str">
        <f>IFERROR(__xludf.DUMMYFUNCTION("""COMPUTED_VALUE"""),"Modified McMaster method         It is important to note that the sample sizes were different for the two diagnoostic tests when performed in the same country")</f>
        <v>Modified McMaster method         It is important to note that the sample sizes were different for the two diagnoostic tests when performed in the same country</v>
      </c>
      <c r="AG28" s="834" t="str">
        <f>IFERROR(__xludf.DUMMYFUNCTION("""COMPUTED_VALUE"""),"Diawara, Aissatou, Carli M. Halpenny, Thomas S. Churcher, Charles Mwandawiro, Jimmy Kihara, Ray M. Kaplan, Thomas G. Streit, Youssef Idaghdour, Marilyn E. Scott, Maria-Gloria Basanez, and Roger K. Prichard. ""Association Between Response to AlbendazoleTre"&amp;"atment and B-Tubulin Genotype Frequencies in Soil Transmitted Helminths."" PLOS Neglected Tropical Diseases 7.5 (2013): 1-11. Web.")</f>
        <v>Diawara, Aissatou, Carli M. Halpenny, Thomas S. Churcher, Charles Mwandawiro, Jimmy Kihara, Ray M. Kaplan, Thomas G. Streit, Youssef Idaghdour, Marilyn E. Scott, Maria-Gloria Basanez, and Roger K. Prichard. "Association Between Response to AlbendazoleTreatment and B-Tubulin Genotype Frequencies in Soil Transmitted Helminths." PLOS Neglected Tropical Diseases 7.5 (2013): 1-11. Web.</v>
      </c>
      <c r="AH28" s="834" t="str">
        <f>IFERROR(__xludf.DUMMYFUNCTION("""COMPUTED_VALUE"""),"x")</f>
        <v>x</v>
      </c>
      <c r="AJ28" s="843" t="str">
        <f>IFERROR(__xludf.DUMMYFUNCTION("""COMPUTED_VALUE"""),"Legesse et al.")</f>
        <v>Legesse et al.</v>
      </c>
      <c r="AK28" s="836"/>
      <c r="AL28" s="836" t="str">
        <f>IFERROR(__xludf.DUMMYFUNCTION("""COMPUTED_VALUE"""),"Ethiopia")</f>
        <v>Ethiopia</v>
      </c>
      <c r="AM28" s="836" t="str">
        <f>IFERROR(__xludf.DUMMYFUNCTION("""COMPUTED_VALUE"""),"Mebendazole")</f>
        <v>Mebendazole</v>
      </c>
      <c r="AN28" s="836" t="str">
        <f>IFERROR(__xludf.DUMMYFUNCTION("""COMPUTED_VALUE"""),"Single")</f>
        <v>Single</v>
      </c>
      <c r="AO28" s="836" t="str">
        <f>IFERROR(__xludf.DUMMYFUNCTION("""COMPUTED_VALUE"""),"100 mg")</f>
        <v>100 mg</v>
      </c>
      <c r="AP28" s="836">
        <f>IFERROR(__xludf.DUMMYFUNCTION("""COMPUTED_VALUE"""),404.0)</f>
        <v>404</v>
      </c>
      <c r="AQ28" s="836" t="str">
        <f>IFERROR(__xludf.DUMMYFUNCTION("""COMPUTED_VALUE"""),"6-19 years old")</f>
        <v>6-19 years old</v>
      </c>
      <c r="AR28" s="836" t="str">
        <f>IFERROR(__xludf.DUMMYFUNCTION("""COMPUTED_VALUE"""),"Male:387 Female:344")</f>
        <v>Male:387 Female:344</v>
      </c>
      <c r="AS28" s="836">
        <f>IFERROR(__xludf.DUMMYFUNCTION("""COMPUTED_VALUE"""),2003.0)</f>
        <v>2003</v>
      </c>
      <c r="AT28" s="836"/>
      <c r="AU28" s="836" t="str">
        <f>IFERROR(__xludf.DUMMYFUNCTION("""COMPUTED_VALUE"""),"Yes")</f>
        <v>Yes</v>
      </c>
      <c r="AV28" s="836" t="str">
        <f>IFERROR(__xludf.DUMMYFUNCTION("""COMPUTED_VALUE"""),"No")</f>
        <v>No</v>
      </c>
      <c r="AW28" s="836" t="str">
        <f>IFERROR(__xludf.DUMMYFUNCTION("""COMPUTED_VALUE"""),"randomized trial")</f>
        <v>randomized trial</v>
      </c>
      <c r="AX28" s="841">
        <f>IFERROR(__xludf.DUMMYFUNCTION("""COMPUTED_VALUE"""),0.535)</f>
        <v>0.535</v>
      </c>
      <c r="AY28" s="836"/>
      <c r="AZ28" s="841">
        <f>IFERROR(__xludf.DUMMYFUNCTION("""COMPUTED_VALUE"""),0.535)</f>
        <v>0.535</v>
      </c>
      <c r="BA28" s="836"/>
      <c r="BB28" s="836"/>
      <c r="BC28" s="836"/>
      <c r="BD28" s="836"/>
      <c r="BE28" s="836"/>
      <c r="BF28" s="836"/>
      <c r="BG28" s="836"/>
      <c r="BH28" s="841">
        <f>IFERROR(__xludf.DUMMYFUNCTION("""COMPUTED_VALUE"""),0.9653)</f>
        <v>0.9653</v>
      </c>
      <c r="BI28" s="836"/>
      <c r="BJ28" s="836"/>
      <c r="BK28" s="836"/>
      <c r="BL28" s="836"/>
      <c r="BM28" s="836"/>
      <c r="BN28" s="836"/>
      <c r="BO28" s="836"/>
      <c r="BP28" s="836"/>
      <c r="BQ28" s="697">
        <f>IFERROR(__xludf.DUMMYFUNCTION("""COMPUTED_VALUE"""),27.0)</f>
        <v>27</v>
      </c>
      <c r="BR28" s="844" t="str">
        <f>IFERROR(__xludf.DUMMYFUNCTION("""COMPUTED_VALUE"""),"Levecke et al.")</f>
        <v>Levecke et al.</v>
      </c>
      <c r="BS28" s="838" t="str">
        <f>IFERROR(__xludf.DUMMYFUNCTION("""COMPUTED_VALUE"""),"Vietnam")</f>
        <v>Vietnam</v>
      </c>
      <c r="BT28" s="838" t="str">
        <f>IFERROR(__xludf.DUMMYFUNCTION("""COMPUTED_VALUE"""),"Albendazole")</f>
        <v>Albendazole</v>
      </c>
      <c r="BU28" s="838"/>
      <c r="BV28" s="838" t="str">
        <f>IFERROR(__xludf.DUMMYFUNCTION("""COMPUTED_VALUE"""),"Single")</f>
        <v>Single</v>
      </c>
      <c r="BW28" s="838" t="str">
        <f>IFERROR(__xludf.DUMMYFUNCTION("""COMPUTED_VALUE"""),"400 mg")</f>
        <v>400 mg</v>
      </c>
      <c r="BX28" s="838">
        <f>IFERROR(__xludf.DUMMYFUNCTION("""COMPUTED_VALUE"""),148.0)</f>
        <v>148</v>
      </c>
      <c r="BY28" s="838">
        <f>IFERROR(__xludf.DUMMYFUNCTION("""COMPUTED_VALUE"""),9.2)</f>
        <v>9.2</v>
      </c>
      <c r="BZ28" s="838">
        <f>IFERROR(__xludf.DUMMYFUNCTION("""COMPUTED_VALUE"""),2012.0)</f>
        <v>2012</v>
      </c>
      <c r="CA28" s="838" t="str">
        <f>IFERROR(__xludf.DUMMYFUNCTION("""COMPUTED_VALUE"""),"Female:Male 0:87")</f>
        <v>Female:Male 0:87</v>
      </c>
      <c r="CB28" s="838"/>
      <c r="CC28" s="838" t="str">
        <f>IFERROR(__xludf.DUMMYFUNCTION("""COMPUTED_VALUE"""),"No")</f>
        <v>No</v>
      </c>
      <c r="CD28" s="838"/>
      <c r="CE28" s="838" t="str">
        <f>IFERROR(__xludf.DUMMYFUNCTION("""COMPUTED_VALUE"""),"No")</f>
        <v>No</v>
      </c>
      <c r="CF28" s="838"/>
      <c r="CG28" s="838"/>
      <c r="CH28" s="838"/>
      <c r="CI28" s="838"/>
      <c r="CJ28" s="838"/>
      <c r="CK28" s="838"/>
      <c r="CL28" s="838"/>
      <c r="CM28" s="847">
        <f>IFERROR(__xludf.DUMMYFUNCTION("""COMPUTED_VALUE"""),1.0)</f>
        <v>1</v>
      </c>
      <c r="CN28" s="838"/>
      <c r="CO28" s="838"/>
      <c r="CP28" s="838"/>
      <c r="CQ28" s="838"/>
      <c r="CR28" s="838"/>
      <c r="CS28" s="838"/>
      <c r="CT28" s="838"/>
      <c r="CU28" s="838" t="str">
        <f>IFERROR(__xludf.DUMMYFUNCTION("""COMPUTED_VALUE"""),"x")</f>
        <v>x</v>
      </c>
      <c r="CV28" s="697" t="str">
        <f>IFERROR(__xludf.DUMMYFUNCTION("""COMPUTED_VALUE"""),"B.Levecke,. A. Montresor, M.Albonico et al. (2014) Assessment of Anthelmintic Efficacy of Mebendazole in School Children in Six Countries Where Soil-Transmitted Helminths Are Endemic. PLoS Neglected Tropical Diseases (10)8: e3204.doi:10.1371/journal.pntd."&amp;"0003204 ")</f>
        <v>B.Levecke,. A. Montresor, M.Albonico et al. (2014) Assessment of Anthelmintic Efficacy of Mebendazole in School Children in Six Countries Where Soil-Transmitted Helminths Are Endemic. PLoS Neglected Tropical Diseases (10)8: e3204.doi:10.1371/journal.pntd.0003204 </v>
      </c>
    </row>
    <row r="29">
      <c r="A29" s="842" t="str">
        <f>IFERROR(__xludf.DUMMYFUNCTION("""COMPUTED_VALUE"""),"Diawara et al.")</f>
        <v>Diawara et al.</v>
      </c>
      <c r="B29" s="834" t="str">
        <f>IFERROR(__xludf.DUMMYFUNCTION("""COMPUTED_VALUE"""),"Panama")</f>
        <v>Panama</v>
      </c>
      <c r="C29" s="834" t="str">
        <f>IFERROR(__xludf.DUMMYFUNCTION("""COMPUTED_VALUE"""),"Albendazole")</f>
        <v>Albendazole</v>
      </c>
      <c r="D29" s="834" t="str">
        <f>IFERROR(__xludf.DUMMYFUNCTION("""COMPUTED_VALUE"""),"Two")</f>
        <v>Two</v>
      </c>
      <c r="E29" s="834" t="str">
        <f>IFERROR(__xludf.DUMMYFUNCTION("""COMPUTED_VALUE"""),"200 mg")</f>
        <v>200 mg</v>
      </c>
      <c r="F29" s="834">
        <f>IFERROR(__xludf.DUMMYFUNCTION("""COMPUTED_VALUE"""),270.0)</f>
        <v>270</v>
      </c>
      <c r="G29" s="834" t="str">
        <f>IFERROR(__xludf.DUMMYFUNCTION("""COMPUTED_VALUE"""),"Pre-School Children 1-2 years old")</f>
        <v>Pre-School Children 1-2 years old</v>
      </c>
      <c r="H29" s="834"/>
      <c r="I29" s="834">
        <f>IFERROR(__xludf.DUMMYFUNCTION("""COMPUTED_VALUE"""),2009.0)</f>
        <v>2009</v>
      </c>
      <c r="J29" s="834" t="str">
        <f>IFERROR(__xludf.DUMMYFUNCTION("""COMPUTED_VALUE"""),"Method Used")</f>
        <v>Method Used</v>
      </c>
      <c r="K29" s="839" t="str">
        <f>IFERROR(__xludf.DUMMYFUNCTION("""COMPUTED_VALUE"""),"cross-sectional study")</f>
        <v>cross-sectional study</v>
      </c>
      <c r="L29" s="839" t="str">
        <f>IFERROR(__xludf.DUMMYFUNCTION("""COMPUTED_VALUE"""),"No")</f>
        <v>No</v>
      </c>
      <c r="M29" s="839" t="str">
        <f>IFERROR(__xludf.DUMMYFUNCTION("""COMPUTED_VALUE"""),"No")</f>
        <v>No</v>
      </c>
      <c r="N29" s="840">
        <f>IFERROR(__xludf.DUMMYFUNCTION("""COMPUTED_VALUE"""),0.998)</f>
        <v>0.998</v>
      </c>
      <c r="O29" s="834"/>
      <c r="P29" s="834"/>
      <c r="Q29" s="834"/>
      <c r="R29" s="834"/>
      <c r="S29" s="834"/>
      <c r="T29" s="834"/>
      <c r="U29" s="834"/>
      <c r="V29" s="834"/>
      <c r="W29" s="840">
        <f>IFERROR(__xludf.DUMMYFUNCTION("""COMPUTED_VALUE"""),0.998)</f>
        <v>0.998</v>
      </c>
      <c r="X29" s="834"/>
      <c r="Y29" s="834"/>
      <c r="Z29" s="834"/>
      <c r="AA29" s="834"/>
      <c r="AB29" s="834"/>
      <c r="AC29" s="834"/>
      <c r="AD29" s="834"/>
      <c r="AE29" s="834"/>
      <c r="AF29" s="834" t="str">
        <f>IFERROR(__xludf.DUMMYFUNCTION("""COMPUTED_VALUE"""),"Kato-Katz and FLOTAC method                        It is important to note that the sample sizes were different for the two diagnoostic tests when performed in the same country; FLOTAC:47.8% efficacy")</f>
        <v>Kato-Katz and FLOTAC method                        It is important to note that the sample sizes were different for the two diagnoostic tests when performed in the same country; FLOTAC:47.8% efficacy</v>
      </c>
      <c r="AG29" s="834" t="str">
        <f>IFERROR(__xludf.DUMMYFUNCTION("""COMPUTED_VALUE"""),"Diawara, Aissatou, Carli M. Halpenny, Thomas S. Churcher, Charles Mwandawiro, Jimmy Kihara, Ray M. Kaplan, Thomas G. Streit, Youssef Idaghdour, Marilyn E. Scott, Maria-Gloria Basanez, and Roger K. Prichard. ""Association Between Response to AlbendazoleTre"&amp;"atment and B-Tubulin Genotype Frequencies in Soil Transmitted Helminths."" PLOS Neglected Tropical Diseases 7.5 (2013): 1-11. Web.")</f>
        <v>Diawara, Aissatou, Carli M. Halpenny, Thomas S. Churcher, Charles Mwandawiro, Jimmy Kihara, Ray M. Kaplan, Thomas G. Streit, Youssef Idaghdour, Marilyn E. Scott, Maria-Gloria Basanez, and Roger K. Prichard. "Association Between Response to AlbendazoleTreatment and B-Tubulin Genotype Frequencies in Soil Transmitted Helminths." PLOS Neglected Tropical Diseases 7.5 (2013): 1-11. Web.</v>
      </c>
      <c r="AH29" s="834" t="str">
        <f>IFERROR(__xludf.DUMMYFUNCTION("""COMPUTED_VALUE"""),"x")</f>
        <v>x</v>
      </c>
      <c r="AJ29" s="843" t="str">
        <f>IFERROR(__xludf.DUMMYFUNCTION("""COMPUTED_VALUE"""),"Speich et al.")</f>
        <v>Speich et al.</v>
      </c>
      <c r="AK29" s="836" t="str">
        <f>IFERROR(__xludf.DUMMYFUNCTION("""COMPUTED_VALUE"""),"Speich, Benjamin, Shaali M. Ame, Said M. Ali, Rainer Alles, Janet Hattendorf, Jurg Utzinger, Marco Albonico, and Jennifer Keisler. ""Efficacy and Safety of Nitazoxanide, Albendazole, and Nitazoxanide-Albendazoleagainst Trichuris Trichiura Infection: A Ran"&amp;"domized Controlled Trial."" PLOS Neglected Tropical Diseases 6.6 (2012): 1-8. Web")</f>
        <v>Speich, Benjamin, Shaali M. Ame, Said M. Ali, Rainer Alles, Janet Hattendorf, Jurg Utzinger, Marco Albonico, and Jennifer Keisler. "Efficacy and Safety of Nitazoxanide, Albendazole, and Nitazoxanide-Albendazoleagainst Trichuris Trichiura Infection: A Randomized Controlled Trial." PLOS Neglected Tropical Diseases 6.6 (2012): 1-8. Web</v>
      </c>
      <c r="AL29" s="836" t="str">
        <f>IFERROR(__xludf.DUMMYFUNCTION("""COMPUTED_VALUE"""),"Tanzania")</f>
        <v>Tanzania</v>
      </c>
      <c r="AM29" s="836" t="str">
        <f>IFERROR(__xludf.DUMMYFUNCTION("""COMPUTED_VALUE"""),"Albendazole")</f>
        <v>Albendazole</v>
      </c>
      <c r="AN29" s="836" t="str">
        <f>IFERROR(__xludf.DUMMYFUNCTION("""COMPUTED_VALUE"""),"Single")</f>
        <v>Single</v>
      </c>
      <c r="AO29" s="836" t="str">
        <f>IFERROR(__xludf.DUMMYFUNCTION("""COMPUTED_VALUE"""),"400 mg")</f>
        <v>400 mg</v>
      </c>
      <c r="AP29" s="836">
        <f>IFERROR(__xludf.DUMMYFUNCTION("""COMPUTED_VALUE"""),131.0)</f>
        <v>131</v>
      </c>
      <c r="AQ29" s="836">
        <f>IFERROR(__xludf.DUMMYFUNCTION("""COMPUTED_VALUE"""),9.8)</f>
        <v>9.8</v>
      </c>
      <c r="AR29" s="836" t="str">
        <f>IFERROR(__xludf.DUMMYFUNCTION("""COMPUTED_VALUE"""),"Male:85 Female:92")</f>
        <v>Male:85 Female:92</v>
      </c>
      <c r="AS29" s="836">
        <f>IFERROR(__xludf.DUMMYFUNCTION("""COMPUTED_VALUE"""),2011.0)</f>
        <v>2011</v>
      </c>
      <c r="AT29" s="836" t="str">
        <f>IFERROR(__xludf.DUMMYFUNCTION("""COMPUTED_VALUE"""),"Exclusion Criteria: presence of any abnormal medical condition, judged by the study physician, history of acute or severe chronic disease (cancer, diabetes, chronic heart, liver, or renal disease) and recent use of anthelminthic drugs within the past 4 we"&amp;"eks")</f>
        <v>Exclusion Criteria: presence of any abnormal medical condition, judged by the study physician, history of acute or severe chronic disease (cancer, diabetes, chronic heart, liver, or renal disease) and recent use of anthelminthic drugs within the past 4 weeks</v>
      </c>
      <c r="AU29" s="836" t="str">
        <f>IFERROR(__xludf.DUMMYFUNCTION("""COMPUTED_VALUE"""),"Yes")</f>
        <v>Yes</v>
      </c>
      <c r="AV29" s="836" t="str">
        <f>IFERROR(__xludf.DUMMYFUNCTION("""COMPUTED_VALUE"""),"Yes")</f>
        <v>Yes</v>
      </c>
      <c r="AW29" s="836" t="str">
        <f>IFERROR(__xludf.DUMMYFUNCTION("""COMPUTED_VALUE"""),"double-blind randomized placebo controlled trial")</f>
        <v>double-blind randomized placebo controlled trial</v>
      </c>
      <c r="AX29" s="841">
        <f>IFERROR(__xludf.DUMMYFUNCTION("""COMPUTED_VALUE"""),0.145)</f>
        <v>0.145</v>
      </c>
      <c r="AY29" s="836"/>
      <c r="AZ29" s="841">
        <f>IFERROR(__xludf.DUMMYFUNCTION("""COMPUTED_VALUE"""),0.145)</f>
        <v>0.145</v>
      </c>
      <c r="BA29" s="836"/>
      <c r="BB29" s="836"/>
      <c r="BC29" s="836"/>
      <c r="BD29" s="836"/>
      <c r="BE29" s="836"/>
      <c r="BF29" s="836"/>
      <c r="BG29" s="836"/>
      <c r="BH29" s="841">
        <f>IFERROR(__xludf.DUMMYFUNCTION("""COMPUTED_VALUE"""),0.456)</f>
        <v>0.456</v>
      </c>
      <c r="BI29" s="836"/>
      <c r="BJ29" s="836"/>
      <c r="BK29" s="836"/>
      <c r="BL29" s="836"/>
      <c r="BM29" s="836"/>
      <c r="BN29" s="836"/>
      <c r="BO29" s="836" t="str">
        <f>IFERROR(__xludf.DUMMYFUNCTION("""COMPUTED_VALUE"""),"kato-Katz Method")</f>
        <v>kato-Katz Method</v>
      </c>
      <c r="BP29" s="836"/>
      <c r="BQ29" s="697">
        <f>IFERROR(__xludf.DUMMYFUNCTION("""COMPUTED_VALUE"""),28.0)</f>
        <v>28</v>
      </c>
      <c r="BR29" s="844" t="str">
        <f>IFERROR(__xludf.DUMMYFUNCTION("""COMPUTED_VALUE"""),"Steinmann et al.")</f>
        <v>Steinmann et al.</v>
      </c>
      <c r="BS29" s="838" t="str">
        <f>IFERROR(__xludf.DUMMYFUNCTION("""COMPUTED_VALUE"""),"China")</f>
        <v>China</v>
      </c>
      <c r="BT29" s="838" t="str">
        <f>IFERROR(__xludf.DUMMYFUNCTION("""COMPUTED_VALUE"""),"Albendazole")</f>
        <v>Albendazole</v>
      </c>
      <c r="BU29" s="838"/>
      <c r="BV29" s="838" t="str">
        <f>IFERROR(__xludf.DUMMYFUNCTION("""COMPUTED_VALUE"""),"Single")</f>
        <v>Single</v>
      </c>
      <c r="BW29" s="838" t="str">
        <f>IFERROR(__xludf.DUMMYFUNCTION("""COMPUTED_VALUE"""),"400 mg")</f>
        <v>400 mg</v>
      </c>
      <c r="BX29" s="838">
        <f>IFERROR(__xludf.DUMMYFUNCTION("""COMPUTED_VALUE"""),82.0)</f>
        <v>82</v>
      </c>
      <c r="BY29" s="845">
        <f>IFERROR(__xludf.DUMMYFUNCTION("""COMPUTED_VALUE"""),42515.0)</f>
        <v>42515</v>
      </c>
      <c r="BZ29" s="838">
        <f>IFERROR(__xludf.DUMMYFUNCTION("""COMPUTED_VALUE"""),2008.0)</f>
        <v>2008</v>
      </c>
      <c r="CA29" s="838"/>
      <c r="CB29" s="838" t="str">
        <f>IFERROR(__xludf.DUMMYFUNCTION("""COMPUTED_VALUE"""),"presence of diagnosed or perceived chronic disease or other conditions likely to interfere with anthelminthic treatment (e.g., hypersensitivity to anthelminthics), pregnancy (verbally assessed at enrolment and again before treatment), recent history of an"&amp;"thelminthic treatment, and participation in other trials (within 1 month).")</f>
        <v>presence of diagnosed or perceived chronic disease or other conditions likely to interfere with anthelminthic treatment (e.g., hypersensitivity to anthelminthics), pregnancy (verbally assessed at enrolment and again before treatment), recent history of anthelminthic treatment, and participation in other trials (within 1 month).</v>
      </c>
      <c r="CC29" s="838" t="str">
        <f>IFERROR(__xludf.DUMMYFUNCTION("""COMPUTED_VALUE"""),"Yes")</f>
        <v>Yes</v>
      </c>
      <c r="CD29" s="847">
        <f>IFERROR(__xludf.DUMMYFUNCTION("""COMPUTED_VALUE"""),0.961)</f>
        <v>0.961</v>
      </c>
      <c r="CE29" s="838" t="str">
        <f>IFERROR(__xludf.DUMMYFUNCTION("""COMPUTED_VALUE"""),"Yes")</f>
        <v>Yes</v>
      </c>
      <c r="CF29" s="838"/>
      <c r="CG29" s="847">
        <f>IFERROR(__xludf.DUMMYFUNCTION("""COMPUTED_VALUE"""),0.961)</f>
        <v>0.961</v>
      </c>
      <c r="CH29" s="838"/>
      <c r="CI29" s="838"/>
      <c r="CJ29" s="838"/>
      <c r="CK29" s="838"/>
      <c r="CL29" s="838"/>
      <c r="CM29" s="838"/>
      <c r="CN29" s="838" t="str">
        <f>IFERROR(__xludf.DUMMYFUNCTION("""COMPUTED_VALUE"""),"&gt;99.9% (3-4 weeks)")</f>
        <v>&gt;99.9% (3-4 weeks)</v>
      </c>
      <c r="CO29" s="838"/>
      <c r="CP29" s="838"/>
      <c r="CQ29" s="838"/>
      <c r="CR29" s="838"/>
      <c r="CS29" s="838"/>
      <c r="CT29" s="838" t="str">
        <f>IFERROR(__xludf.DUMMYFUNCTION("""COMPUTED_VALUE"""),"Kato-Katz")</f>
        <v>Kato-Katz</v>
      </c>
      <c r="CU29" s="838"/>
      <c r="CV29" s="697" t="str">
        <f>IFERROR(__xludf.DUMMYFUNCTION("""COMPUTED_VALUE"""),"P. Steinmann, J. Utzinger, Z. Du et al. (2011) Efficacy of single-dose and triple-dose albendazole and mebendazole against soil-transmitted helminths and taenia spp.: A randomized controlled trial. PLoS ONE 6(9) doi:10.1371/journal.pone.0025003")</f>
        <v>P. Steinmann, J. Utzinger, Z. Du et al. (2011) Efficacy of single-dose and triple-dose albendazole and mebendazole against soil-transmitted helminths and taenia spp.: A randomized controlled trial. PLoS ONE 6(9) doi:10.1371/journal.pone.0025003</v>
      </c>
    </row>
    <row r="30">
      <c r="A30" s="842" t="str">
        <f>IFERROR(__xludf.DUMMYFUNCTION("""COMPUTED_VALUE"""),"Diawara et al.")</f>
        <v>Diawara et al.</v>
      </c>
      <c r="B30" s="834" t="str">
        <f>IFERROR(__xludf.DUMMYFUNCTION("""COMPUTED_VALUE"""),"Kenya")</f>
        <v>Kenya</v>
      </c>
      <c r="C30" s="834" t="str">
        <f>IFERROR(__xludf.DUMMYFUNCTION("""COMPUTED_VALUE"""),"Albendazole")</f>
        <v>Albendazole</v>
      </c>
      <c r="D30" s="834" t="str">
        <f>IFERROR(__xludf.DUMMYFUNCTION("""COMPUTED_VALUE"""),"Single")</f>
        <v>Single</v>
      </c>
      <c r="E30" s="834" t="str">
        <f>IFERROR(__xludf.DUMMYFUNCTION("""COMPUTED_VALUE"""),"400 mg")</f>
        <v>400 mg</v>
      </c>
      <c r="F30" s="834">
        <f>IFERROR(__xludf.DUMMYFUNCTION("""COMPUTED_VALUE"""),128.0)</f>
        <v>128</v>
      </c>
      <c r="G30" s="834" t="str">
        <f>IFERROR(__xludf.DUMMYFUNCTION("""COMPUTED_VALUE"""),"School aged Children")</f>
        <v>School aged Children</v>
      </c>
      <c r="H30" s="834"/>
      <c r="I30" s="834">
        <f>IFERROR(__xludf.DUMMYFUNCTION("""COMPUTED_VALUE"""),2010.0)</f>
        <v>2010</v>
      </c>
      <c r="J30" s="834" t="str">
        <f>IFERROR(__xludf.DUMMYFUNCTION("""COMPUTED_VALUE"""),"Method Used")</f>
        <v>Method Used</v>
      </c>
      <c r="K30" s="839" t="str">
        <f>IFERROR(__xludf.DUMMYFUNCTION("""COMPUTED_VALUE"""),"cross-sectional study")</f>
        <v>cross-sectional study</v>
      </c>
      <c r="L30" s="839" t="str">
        <f>IFERROR(__xludf.DUMMYFUNCTION("""COMPUTED_VALUE"""),"No")</f>
        <v>No</v>
      </c>
      <c r="M30" s="839" t="str">
        <f>IFERROR(__xludf.DUMMYFUNCTION("""COMPUTED_VALUE"""),"No")</f>
        <v>No</v>
      </c>
      <c r="N30" s="840">
        <f>IFERROR(__xludf.DUMMYFUNCTION("""COMPUTED_VALUE"""),0.968)</f>
        <v>0.968</v>
      </c>
      <c r="O30" s="834"/>
      <c r="P30" s="834"/>
      <c r="Q30" s="834"/>
      <c r="R30" s="834"/>
      <c r="S30" s="834"/>
      <c r="T30" s="834"/>
      <c r="U30" s="834"/>
      <c r="V30" s="834"/>
      <c r="W30" s="840">
        <f>IFERROR(__xludf.DUMMYFUNCTION("""COMPUTED_VALUE"""),0.968)</f>
        <v>0.968</v>
      </c>
      <c r="X30" s="834"/>
      <c r="Y30" s="834"/>
      <c r="Z30" s="834"/>
      <c r="AA30" s="834"/>
      <c r="AB30" s="834"/>
      <c r="AC30" s="834"/>
      <c r="AD30" s="834"/>
      <c r="AE30" s="834"/>
      <c r="AF30" s="834" t="str">
        <f>IFERROR(__xludf.DUMMYFUNCTION("""COMPUTED_VALUE"""),"McMaster and Kato-Katz Method                      It is important to note that the sample sizes were different for the two diagnoostic tests when performed in the same country; McMaster:89.9% efficacy")</f>
        <v>McMaster and Kato-Katz Method                      It is important to note that the sample sizes were different for the two diagnoostic tests when performed in the same country; McMaster:89.9% efficacy</v>
      </c>
      <c r="AG30" s="834" t="str">
        <f>IFERROR(__xludf.DUMMYFUNCTION("""COMPUTED_VALUE"""),"Diawara, Aissatou, Carli M. Halpenny, Thomas S. Churcher, Charles Mwandawiro, Jimmy Kihara, Ray M. Kaplan, Thomas G. Streit, Youssef Idaghdour, Marilyn E. Scott, Maria-Gloria Basanez, and Roger K. Prichard. ""Association Between Response to AlbendazoleTre"&amp;"atment and B-Tubulin Genotype Frequencies in Soil Transmitted Helminths."" PLOS Neglected Tropical Diseases 7.5 (2013): 1-11. Web.")</f>
        <v>Diawara, Aissatou, Carli M. Halpenny, Thomas S. Churcher, Charles Mwandawiro, Jimmy Kihara, Ray M. Kaplan, Thomas G. Streit, Youssef Idaghdour, Marilyn E. Scott, Maria-Gloria Basanez, and Roger K. Prichard. "Association Between Response to AlbendazoleTreatment and B-Tubulin Genotype Frequencies in Soil Transmitted Helminths." PLOS Neglected Tropical Diseases 7.5 (2013): 1-11. Web.</v>
      </c>
      <c r="AH30" s="834" t="str">
        <f>IFERROR(__xludf.DUMMYFUNCTION("""COMPUTED_VALUE"""),"x")</f>
        <v>x</v>
      </c>
      <c r="AJ30" s="843" t="str">
        <f>IFERROR(__xludf.DUMMYFUNCTION("""COMPUTED_VALUE"""),"Speich et al.")</f>
        <v>Speich et al.</v>
      </c>
      <c r="AK30" s="836"/>
      <c r="AL30" s="836" t="str">
        <f>IFERROR(__xludf.DUMMYFUNCTION("""COMPUTED_VALUE"""),"Tanzania")</f>
        <v>Tanzania</v>
      </c>
      <c r="AM30" s="836" t="str">
        <f>IFERROR(__xludf.DUMMYFUNCTION("""COMPUTED_VALUE"""),"Nitazoxanide")</f>
        <v>Nitazoxanide</v>
      </c>
      <c r="AN30" s="836" t="str">
        <f>IFERROR(__xludf.DUMMYFUNCTION("""COMPUTED_VALUE"""),"Single")</f>
        <v>Single</v>
      </c>
      <c r="AO30" s="836" t="str">
        <f>IFERROR(__xludf.DUMMYFUNCTION("""COMPUTED_VALUE"""),"1000 mg")</f>
        <v>1000 mg</v>
      </c>
      <c r="AP30" s="836">
        <f>IFERROR(__xludf.DUMMYFUNCTION("""COMPUTED_VALUE"""),136.0)</f>
        <v>136</v>
      </c>
      <c r="AQ30" s="836">
        <f>IFERROR(__xludf.DUMMYFUNCTION("""COMPUTED_VALUE"""),9.4)</f>
        <v>9.4</v>
      </c>
      <c r="AR30" s="836" t="str">
        <f>IFERROR(__xludf.DUMMYFUNCTION("""COMPUTED_VALUE"""),"Male:94 Female:86")</f>
        <v>Male:94 Female:86</v>
      </c>
      <c r="AS30" s="836">
        <f>IFERROR(__xludf.DUMMYFUNCTION("""COMPUTED_VALUE"""),2011.0)</f>
        <v>2011</v>
      </c>
      <c r="AT30" s="836" t="str">
        <f>IFERROR(__xludf.DUMMYFUNCTION("""COMPUTED_VALUE"""),"Exclusion Criteria: presence of any abnormal medical condition, judged by the study physician, history of acute or severe chronic disease (cancer, diabetes, chronic heart, liver, or renal disease) and recent use of anthelminthic drugs within the past 4 we"&amp;"eks")</f>
        <v>Exclusion Criteria: presence of any abnormal medical condition, judged by the study physician, history of acute or severe chronic disease (cancer, diabetes, chronic heart, liver, or renal disease) and recent use of anthelminthic drugs within the past 4 weeks</v>
      </c>
      <c r="AU30" s="836" t="str">
        <f>IFERROR(__xludf.DUMMYFUNCTION("""COMPUTED_VALUE"""),"Yes")</f>
        <v>Yes</v>
      </c>
      <c r="AV30" s="836" t="str">
        <f>IFERROR(__xludf.DUMMYFUNCTION("""COMPUTED_VALUE"""),"Yes")</f>
        <v>Yes</v>
      </c>
      <c r="AW30" s="836" t="str">
        <f>IFERROR(__xludf.DUMMYFUNCTION("""COMPUTED_VALUE"""),"double-blind randomized placebo controlled trial")</f>
        <v>double-blind randomized placebo controlled trial</v>
      </c>
      <c r="AX30" s="841">
        <f>IFERROR(__xludf.DUMMYFUNCTION("""COMPUTED_VALUE"""),0.066)</f>
        <v>0.066</v>
      </c>
      <c r="AY30" s="836"/>
      <c r="AZ30" s="841">
        <f>IFERROR(__xludf.DUMMYFUNCTION("""COMPUTED_VALUE"""),0.066)</f>
        <v>0.066</v>
      </c>
      <c r="BA30" s="836"/>
      <c r="BB30" s="836"/>
      <c r="BC30" s="836"/>
      <c r="BD30" s="836"/>
      <c r="BE30" s="836"/>
      <c r="BF30" s="836"/>
      <c r="BG30" s="836"/>
      <c r="BH30" s="841">
        <f>IFERROR(__xludf.DUMMYFUNCTION("""COMPUTED_VALUE"""),0.134)</f>
        <v>0.134</v>
      </c>
      <c r="BI30" s="836"/>
      <c r="BJ30" s="836"/>
      <c r="BK30" s="836"/>
      <c r="BL30" s="836"/>
      <c r="BM30" s="836"/>
      <c r="BN30" s="836"/>
      <c r="BO30" s="836"/>
      <c r="BP30" s="836"/>
      <c r="BQ30" s="697">
        <f>IFERROR(__xludf.DUMMYFUNCTION("""COMPUTED_VALUE"""),29.0)</f>
        <v>29</v>
      </c>
      <c r="BR30" s="844" t="str">
        <f>IFERROR(__xludf.DUMMYFUNCTION("""COMPUTED_VALUE"""),"Steinmann et al.")</f>
        <v>Steinmann et al.</v>
      </c>
      <c r="BS30" s="838" t="str">
        <f>IFERROR(__xludf.DUMMYFUNCTION("""COMPUTED_VALUE"""),"China")</f>
        <v>China</v>
      </c>
      <c r="BT30" s="838" t="str">
        <f>IFERROR(__xludf.DUMMYFUNCTION("""COMPUTED_VALUE"""),"Albendazole")</f>
        <v>Albendazole</v>
      </c>
      <c r="BU30" s="838"/>
      <c r="BV30" s="838" t="str">
        <f>IFERROR(__xludf.DUMMYFUNCTION("""COMPUTED_VALUE"""),"Single")</f>
        <v>Single</v>
      </c>
      <c r="BW30" s="838" t="str">
        <f>IFERROR(__xludf.DUMMYFUNCTION("""COMPUTED_VALUE"""),"400 mg")</f>
        <v>400 mg</v>
      </c>
      <c r="BX30" s="838">
        <f>IFERROR(__xludf.DUMMYFUNCTION("""COMPUTED_VALUE"""),68.0)</f>
        <v>68</v>
      </c>
      <c r="BY30" s="838"/>
      <c r="BZ30" s="838">
        <f>IFERROR(__xludf.DUMMYFUNCTION("""COMPUTED_VALUE"""),2008.0)</f>
        <v>2008</v>
      </c>
      <c r="CA30" s="838"/>
      <c r="CB30" s="838"/>
      <c r="CC30" s="838" t="str">
        <f>IFERROR(__xludf.DUMMYFUNCTION("""COMPUTED_VALUE"""),"Yes")</f>
        <v>Yes</v>
      </c>
      <c r="CD30" s="847">
        <f>IFERROR(__xludf.DUMMYFUNCTION("""COMPUTED_VALUE"""),0.968)</f>
        <v>0.968</v>
      </c>
      <c r="CE30" s="838" t="str">
        <f>IFERROR(__xludf.DUMMYFUNCTION("""COMPUTED_VALUE"""),"Yes")</f>
        <v>Yes</v>
      </c>
      <c r="CF30" s="838"/>
      <c r="CG30" s="847">
        <f>IFERROR(__xludf.DUMMYFUNCTION("""COMPUTED_VALUE"""),0.968)</f>
        <v>0.968</v>
      </c>
      <c r="CH30" s="838"/>
      <c r="CI30" s="838"/>
      <c r="CJ30" s="838"/>
      <c r="CK30" s="838"/>
      <c r="CL30" s="838"/>
      <c r="CM30" s="838"/>
      <c r="CN30" s="838" t="str">
        <f>IFERROR(__xludf.DUMMYFUNCTION("""COMPUTED_VALUE"""),"&gt;99.9% (3-4 weeks)")</f>
        <v>&gt;99.9% (3-4 weeks)</v>
      </c>
      <c r="CO30" s="838"/>
      <c r="CP30" s="838"/>
      <c r="CQ30" s="838"/>
      <c r="CR30" s="838"/>
      <c r="CS30" s="838"/>
      <c r="CT30" s="838"/>
      <c r="CU30" s="838"/>
      <c r="CV30" s="697" t="str">
        <f>IFERROR(__xludf.DUMMYFUNCTION("""COMPUTED_VALUE"""),"P. Steinmann, J. Utzinger, Z. Du et al. (2011) Efficacy of single-dose and triple-dose albendazole and mebendazole against soil-transmitted helminths and taenia spp.: A randomized controlled trial. PLoS ONE 6(9) doi:10.1371/journal.pone.0025003")</f>
        <v>P. Steinmann, J. Utzinger, Z. Du et al. (2011) Efficacy of single-dose and triple-dose albendazole and mebendazole against soil-transmitted helminths and taenia spp.: A randomized controlled trial. PLoS ONE 6(9) doi:10.1371/journal.pone.0025003</v>
      </c>
    </row>
    <row r="31">
      <c r="A31" s="842" t="str">
        <f>IFERROR(__xludf.DUMMYFUNCTION("""COMPUTED_VALUE"""),"Ekenjoku et al.")</f>
        <v>Ekenjoku et al.</v>
      </c>
      <c r="B31" s="834" t="str">
        <f>IFERROR(__xludf.DUMMYFUNCTION("""COMPUTED_VALUE"""),"Nigeria")</f>
        <v>Nigeria</v>
      </c>
      <c r="C31" s="834" t="str">
        <f>IFERROR(__xludf.DUMMYFUNCTION("""COMPUTED_VALUE"""),"Mebendazole")</f>
        <v>Mebendazole</v>
      </c>
      <c r="D31" s="834" t="str">
        <f>IFERROR(__xludf.DUMMYFUNCTION("""COMPUTED_VALUE"""),"Single")</f>
        <v>Single</v>
      </c>
      <c r="E31" s="834" t="str">
        <f>IFERROR(__xludf.DUMMYFUNCTION("""COMPUTED_VALUE"""),"500 mg")</f>
        <v>500 mg</v>
      </c>
      <c r="F31" s="834">
        <f>IFERROR(__xludf.DUMMYFUNCTION("""COMPUTED_VALUE"""),49.0)</f>
        <v>49</v>
      </c>
      <c r="G31" s="849">
        <f>IFERROR(__xludf.DUMMYFUNCTION("""COMPUTED_VALUE"""),42472.0)</f>
        <v>42472</v>
      </c>
      <c r="H31" s="834"/>
      <c r="I31" s="834">
        <f>IFERROR(__xludf.DUMMYFUNCTION("""COMPUTED_VALUE"""),2005.0)</f>
        <v>2005</v>
      </c>
      <c r="J31" s="834" t="str">
        <f>IFERROR(__xludf.DUMMYFUNCTION("""COMPUTED_VALUE"""),"included: age between 4 and 12years (both males &amp; females), residence within the community for 6 months and above, written consent from parents/ guardian and ability to ingest tablet with water")</f>
        <v>included: age between 4 and 12years (both males &amp; females), residence within the community for 6 months and above, written consent from parents/ guardian and ability to ingest tablet with water</v>
      </c>
      <c r="K31" s="839" t="str">
        <f>IFERROR(__xludf.DUMMYFUNCTION("""COMPUTED_VALUE"""),"open-label randomized comparative study")</f>
        <v>open-label randomized comparative study</v>
      </c>
      <c r="L31" s="839" t="str">
        <f>IFERROR(__xludf.DUMMYFUNCTION("""COMPUTED_VALUE"""),"Yes")</f>
        <v>Yes</v>
      </c>
      <c r="M31" s="839" t="str">
        <f>IFERROR(__xludf.DUMMYFUNCTION("""COMPUTED_VALUE"""),"No")</f>
        <v>No</v>
      </c>
      <c r="N31" s="840">
        <f>IFERROR(__xludf.DUMMYFUNCTION("""COMPUTED_VALUE"""),0.9048)</f>
        <v>0.9048</v>
      </c>
      <c r="O31" s="840">
        <f>IFERROR(__xludf.DUMMYFUNCTION("""COMPUTED_VALUE"""),0.9048)</f>
        <v>0.9048</v>
      </c>
      <c r="P31" s="834"/>
      <c r="Q31" s="834"/>
      <c r="R31" s="834"/>
      <c r="S31" s="834"/>
      <c r="T31" s="834"/>
      <c r="U31" s="834"/>
      <c r="V31" s="834"/>
      <c r="W31" s="834"/>
      <c r="X31" s="834"/>
      <c r="Y31" s="834"/>
      <c r="Z31" s="834"/>
      <c r="AA31" s="834"/>
      <c r="AB31" s="834"/>
      <c r="AC31" s="834"/>
      <c r="AD31" s="834"/>
      <c r="AE31" s="834" t="str">
        <f>IFERROR(__xludf.DUMMYFUNCTION("""COMPUTED_VALUE"""),"The overall result indicates that Mebendazolewas the most efficacious agent against the three common intestinal worms.")</f>
        <v>The overall result indicates that Mebendazolewas the most efficacious agent against the three common intestinal worms.</v>
      </c>
      <c r="AF31" s="834" t="str">
        <f>IFERROR(__xludf.DUMMYFUNCTION("""COMPUTED_VALUE"""),"The efficacy of the drugs was determined by the level of clearance of worm egg/ova from fresh stool samples of the pupils on post-treatment examination.")</f>
        <v>The efficacy of the drugs was determined by the level of clearance of worm egg/ova from fresh stool samples of the pupils on post-treatment examination.</v>
      </c>
      <c r="AG31" s="834" t="str">
        <f>IFERROR(__xludf.DUMMYFUNCTION("""COMPUTED_VALUE"""),"Ekenjoku, A. J., C. Oringanje, and M. M. Meremikwu. ""Comparative Efficacy of Levamisole, Mebendazole, and Pyrantel Pamoate against Common Intestinal Nematodes among Children in Calabar, South-south Nigeria."" Institute of Tropical Diseases Research and P"&amp;"revention 40.3 (2013): 217-21. Web.")</f>
        <v>Ekenjoku, A. J., C. Oringanje, and M. M. Meremikwu. "Comparative Efficacy of Levamisole, Mebendazole, and Pyrantel Pamoate against Common Intestinal Nematodes among Children in Calabar, South-south Nigeria." Institute of Tropical Diseases Research and Prevention 40.3 (2013): 217-21. Web.</v>
      </c>
      <c r="AH31" s="834"/>
      <c r="AJ31" s="843" t="str">
        <f>IFERROR(__xludf.DUMMYFUNCTION("""COMPUTED_VALUE"""),"Speich et al.")</f>
        <v>Speich et al.</v>
      </c>
      <c r="AK31" s="836"/>
      <c r="AL31" s="836" t="str">
        <f>IFERROR(__xludf.DUMMYFUNCTION("""COMPUTED_VALUE"""),"Tanzania")</f>
        <v>Tanzania</v>
      </c>
      <c r="AM31" s="836" t="str">
        <f>IFERROR(__xludf.DUMMYFUNCTION("""COMPUTED_VALUE"""),"Albendazole &amp; Nitazoxanide")</f>
        <v>Albendazole &amp; Nitazoxanide</v>
      </c>
      <c r="AN31" s="836" t="str">
        <f>IFERROR(__xludf.DUMMYFUNCTION("""COMPUTED_VALUE"""),"Single")</f>
        <v>Single</v>
      </c>
      <c r="AO31" s="836" t="str">
        <f>IFERROR(__xludf.DUMMYFUNCTION("""COMPUTED_VALUE"""),"1000-4000 mg")</f>
        <v>1000-4000 mg</v>
      </c>
      <c r="AP31" s="836">
        <f>IFERROR(__xludf.DUMMYFUNCTION("""COMPUTED_VALUE"""),131.0)</f>
        <v>131</v>
      </c>
      <c r="AQ31" s="836">
        <f>IFERROR(__xludf.DUMMYFUNCTION("""COMPUTED_VALUE"""),9.7)</f>
        <v>9.7</v>
      </c>
      <c r="AR31" s="836" t="str">
        <f>IFERROR(__xludf.DUMMYFUNCTION("""COMPUTED_VALUE"""),"Male:82 Female:83")</f>
        <v>Male:82 Female:83</v>
      </c>
      <c r="AS31" s="836">
        <f>IFERROR(__xludf.DUMMYFUNCTION("""COMPUTED_VALUE"""),2011.0)</f>
        <v>2011</v>
      </c>
      <c r="AT31" s="836" t="str">
        <f>IFERROR(__xludf.DUMMYFUNCTION("""COMPUTED_VALUE"""),"Exclusion Criteria: presence of any abnormal medical condition, judged by the study physician, history of acute or severe chronic disease (cancer, diabetes, chronic heart, liver, or renal disease) and recent use of anthelminthic drugs within the past 4 we"&amp;"eks")</f>
        <v>Exclusion Criteria: presence of any abnormal medical condition, judged by the study physician, history of acute or severe chronic disease (cancer, diabetes, chronic heart, liver, or renal disease) and recent use of anthelminthic drugs within the past 4 weeks</v>
      </c>
      <c r="AU31" s="836" t="str">
        <f>IFERROR(__xludf.DUMMYFUNCTION("""COMPUTED_VALUE"""),"Yes")</f>
        <v>Yes</v>
      </c>
      <c r="AV31" s="836" t="str">
        <f>IFERROR(__xludf.DUMMYFUNCTION("""COMPUTED_VALUE"""),"Yes")</f>
        <v>Yes</v>
      </c>
      <c r="AW31" s="836" t="str">
        <f>IFERROR(__xludf.DUMMYFUNCTION("""COMPUTED_VALUE"""),"double-blind randomized placebo controlled trial")</f>
        <v>double-blind randomized placebo controlled trial</v>
      </c>
      <c r="AX31" s="841">
        <f>IFERROR(__xludf.DUMMYFUNCTION("""COMPUTED_VALUE"""),0.16)</f>
        <v>0.16</v>
      </c>
      <c r="AY31" s="836"/>
      <c r="AZ31" s="841">
        <f>IFERROR(__xludf.DUMMYFUNCTION("""COMPUTED_VALUE"""),0.16)</f>
        <v>0.16</v>
      </c>
      <c r="BA31" s="836"/>
      <c r="BB31" s="836"/>
      <c r="BC31" s="836"/>
      <c r="BD31" s="836"/>
      <c r="BE31" s="836"/>
      <c r="BF31" s="836"/>
      <c r="BG31" s="836"/>
      <c r="BH31" s="841">
        <f>IFERROR(__xludf.DUMMYFUNCTION("""COMPUTED_VALUE"""),0.549)</f>
        <v>0.549</v>
      </c>
      <c r="BI31" s="836"/>
      <c r="BJ31" s="836"/>
      <c r="BK31" s="836"/>
      <c r="BL31" s="836"/>
      <c r="BM31" s="836"/>
      <c r="BN31" s="836"/>
      <c r="BO31" s="836"/>
      <c r="BP31" s="836"/>
      <c r="BQ31" s="697">
        <f>IFERROR(__xludf.DUMMYFUNCTION("""COMPUTED_VALUE"""),30.0)</f>
        <v>30</v>
      </c>
      <c r="BR31" s="844" t="str">
        <f>IFERROR(__xludf.DUMMYFUNCTION("""COMPUTED_VALUE"""),"Steinmann et al.")</f>
        <v>Steinmann et al.</v>
      </c>
      <c r="BS31" s="838" t="str">
        <f>IFERROR(__xludf.DUMMYFUNCTION("""COMPUTED_VALUE"""),"China")</f>
        <v>China</v>
      </c>
      <c r="BT31" s="838" t="str">
        <f>IFERROR(__xludf.DUMMYFUNCTION("""COMPUTED_VALUE"""),"Mebendazole")</f>
        <v>Mebendazole</v>
      </c>
      <c r="BU31" s="838"/>
      <c r="BV31" s="838" t="str">
        <f>IFERROR(__xludf.DUMMYFUNCTION("""COMPUTED_VALUE"""),"Single")</f>
        <v>Single</v>
      </c>
      <c r="BW31" s="838" t="str">
        <f>IFERROR(__xludf.DUMMYFUNCTION("""COMPUTED_VALUE"""),"500 mg")</f>
        <v>500 mg</v>
      </c>
      <c r="BX31" s="838">
        <f>IFERROR(__xludf.DUMMYFUNCTION("""COMPUTED_VALUE"""),81.0)</f>
        <v>81</v>
      </c>
      <c r="BY31" s="838"/>
      <c r="BZ31" s="838">
        <f>IFERROR(__xludf.DUMMYFUNCTION("""COMPUTED_VALUE"""),2008.0)</f>
        <v>2008</v>
      </c>
      <c r="CA31" s="838"/>
      <c r="CB31" s="838"/>
      <c r="CC31" s="838" t="str">
        <f>IFERROR(__xludf.DUMMYFUNCTION("""COMPUTED_VALUE"""),"Yes")</f>
        <v>Yes</v>
      </c>
      <c r="CD31" s="846">
        <f>IFERROR(__xludf.DUMMYFUNCTION("""COMPUTED_VALUE"""),0.93)</f>
        <v>0.93</v>
      </c>
      <c r="CE31" s="838" t="str">
        <f>IFERROR(__xludf.DUMMYFUNCTION("""COMPUTED_VALUE"""),"Yes")</f>
        <v>Yes</v>
      </c>
      <c r="CF31" s="838"/>
      <c r="CG31" s="846">
        <f>IFERROR(__xludf.DUMMYFUNCTION("""COMPUTED_VALUE"""),0.93)</f>
        <v>0.93</v>
      </c>
      <c r="CH31" s="838"/>
      <c r="CI31" s="838"/>
      <c r="CJ31" s="838"/>
      <c r="CK31" s="838"/>
      <c r="CL31" s="838"/>
      <c r="CM31" s="838"/>
      <c r="CN31" s="838" t="str">
        <f>IFERROR(__xludf.DUMMYFUNCTION("""COMPUTED_VALUE"""),"&gt;99.9% (3-4 weeks)")</f>
        <v>&gt;99.9% (3-4 weeks)</v>
      </c>
      <c r="CO31" s="838"/>
      <c r="CP31" s="838"/>
      <c r="CQ31" s="838"/>
      <c r="CR31" s="838"/>
      <c r="CS31" s="838"/>
      <c r="CT31" s="838"/>
      <c r="CU31" s="838"/>
      <c r="CV31" s="697" t="str">
        <f>IFERROR(__xludf.DUMMYFUNCTION("""COMPUTED_VALUE"""),"P. Steinmann, J. Utzinger, Z. Du et al. (2011) Efficacy of single-dose and triple-dose albendazole and mebendazole against soil-transmitted helminths and taenia spp.: A randomized controlled trial. PLoS ONE 6(9) doi:10.1371/journal.pone.0025003")</f>
        <v>P. Steinmann, J. Utzinger, Z. Du et al. (2011) Efficacy of single-dose and triple-dose albendazole and mebendazole against soil-transmitted helminths and taenia spp.: A randomized controlled trial. PLoS ONE 6(9) doi:10.1371/journal.pone.0025003</v>
      </c>
    </row>
    <row r="32">
      <c r="A32" s="842" t="str">
        <f>IFERROR(__xludf.DUMMYFUNCTION("""COMPUTED_VALUE"""),"Ekenjoku et al.")</f>
        <v>Ekenjoku et al.</v>
      </c>
      <c r="B32" s="834" t="str">
        <f>IFERROR(__xludf.DUMMYFUNCTION("""COMPUTED_VALUE"""),"Nigeria")</f>
        <v>Nigeria</v>
      </c>
      <c r="C32" s="834" t="str">
        <f>IFERROR(__xludf.DUMMYFUNCTION("""COMPUTED_VALUE"""),"Pyrantel")</f>
        <v>Pyrantel</v>
      </c>
      <c r="D32" s="834" t="str">
        <f>IFERROR(__xludf.DUMMYFUNCTION("""COMPUTED_VALUE"""),"Single")</f>
        <v>Single</v>
      </c>
      <c r="E32" s="834" t="str">
        <f>IFERROR(__xludf.DUMMYFUNCTION("""COMPUTED_VALUE"""),"10 mg/kg")</f>
        <v>10 mg/kg</v>
      </c>
      <c r="F32" s="834">
        <f>IFERROR(__xludf.DUMMYFUNCTION("""COMPUTED_VALUE"""),47.0)</f>
        <v>47</v>
      </c>
      <c r="G32" s="849">
        <f>IFERROR(__xludf.DUMMYFUNCTION("""COMPUTED_VALUE"""),42472.0)</f>
        <v>42472</v>
      </c>
      <c r="H32" s="834"/>
      <c r="I32" s="834">
        <f>IFERROR(__xludf.DUMMYFUNCTION("""COMPUTED_VALUE"""),2005.0)</f>
        <v>2005</v>
      </c>
      <c r="J32" s="834" t="str">
        <f>IFERROR(__xludf.DUMMYFUNCTION("""COMPUTED_VALUE"""),"included: age between 4 and 12years (both males &amp; females), residence within the community for 6 months and above, written consent from parents/ guardian and ability to ingest tablet with water")</f>
        <v>included: age between 4 and 12years (both males &amp; females), residence within the community for 6 months and above, written consent from parents/ guardian and ability to ingest tablet with water</v>
      </c>
      <c r="K32" s="839" t="str">
        <f>IFERROR(__xludf.DUMMYFUNCTION("""COMPUTED_VALUE"""),"open-label randomized comparative study")</f>
        <v>open-label randomized comparative study</v>
      </c>
      <c r="L32" s="839" t="str">
        <f>IFERROR(__xludf.DUMMYFUNCTION("""COMPUTED_VALUE"""),"Yes")</f>
        <v>Yes</v>
      </c>
      <c r="M32" s="839" t="str">
        <f>IFERROR(__xludf.DUMMYFUNCTION("""COMPUTED_VALUE"""),"No")</f>
        <v>No</v>
      </c>
      <c r="N32" s="840">
        <f>IFERROR(__xludf.DUMMYFUNCTION("""COMPUTED_VALUE"""),0.4516)</f>
        <v>0.4516</v>
      </c>
      <c r="O32" s="840">
        <f>IFERROR(__xludf.DUMMYFUNCTION("""COMPUTED_VALUE"""),0.4516)</f>
        <v>0.4516</v>
      </c>
      <c r="P32" s="834"/>
      <c r="Q32" s="834"/>
      <c r="R32" s="834"/>
      <c r="S32" s="834"/>
      <c r="T32" s="834"/>
      <c r="U32" s="834"/>
      <c r="V32" s="834"/>
      <c r="W32" s="834"/>
      <c r="X32" s="834"/>
      <c r="Y32" s="834"/>
      <c r="Z32" s="834"/>
      <c r="AA32" s="834"/>
      <c r="AB32" s="834"/>
      <c r="AC32" s="834"/>
      <c r="AD32" s="834"/>
      <c r="AE32" s="834" t="str">
        <f>IFERROR(__xludf.DUMMYFUNCTION("""COMPUTED_VALUE"""),"The overall result indicates that Mebendazolewas the most efficacious agent against the three common intestinal worms.")</f>
        <v>The overall result indicates that Mebendazolewas the most efficacious agent against the three common intestinal worms.</v>
      </c>
      <c r="AF32" s="834" t="str">
        <f>IFERROR(__xludf.DUMMYFUNCTION("""COMPUTED_VALUE"""),"The efficacy of the drugs was determined by the level of clearance of worm egg/ova from fresh stool samples of the pupils on post-treatment examination.")</f>
        <v>The efficacy of the drugs was determined by the level of clearance of worm egg/ova from fresh stool samples of the pupils on post-treatment examination.</v>
      </c>
      <c r="AG32" s="834" t="str">
        <f>IFERROR(__xludf.DUMMYFUNCTION("""COMPUTED_VALUE"""),"Ekenjoku, A. J., C. Oringanje, and M. M. Meremikwu. ""Comparative Efficacy of Levamisole, Mebendazole, and Pyrantel Pamoate against Common Intestinal Nematodes among Children in Calabar, South-south Nigeria."" Institute of Tropical Diseases Research and P"&amp;"revention 40.3 (2013): 217-21. Web.")</f>
        <v>Ekenjoku, A. J., C. Oringanje, and M. M. Meremikwu. "Comparative Efficacy of Levamisole, Mebendazole, and Pyrantel Pamoate against Common Intestinal Nematodes among Children in Calabar, South-south Nigeria." Institute of Tropical Diseases Research and Prevention 40.3 (2013): 217-21. Web.</v>
      </c>
      <c r="AH32" s="834"/>
      <c r="AJ32" s="843" t="str">
        <f>IFERROR(__xludf.DUMMYFUNCTION("""COMPUTED_VALUE"""),"Speich et al.")</f>
        <v>Speich et al.</v>
      </c>
      <c r="AK32" s="836"/>
      <c r="AL32" s="836" t="str">
        <f>IFERROR(__xludf.DUMMYFUNCTION("""COMPUTED_VALUE"""),"Tanzania")</f>
        <v>Tanzania</v>
      </c>
      <c r="AM32" s="836" t="str">
        <f>IFERROR(__xludf.DUMMYFUNCTION("""COMPUTED_VALUE"""),"Placebo")</f>
        <v>Placebo</v>
      </c>
      <c r="AN32" s="836"/>
      <c r="AO32" s="836"/>
      <c r="AP32" s="836">
        <f>IFERROR(__xludf.DUMMYFUNCTION("""COMPUTED_VALUE"""),135.0)</f>
        <v>135</v>
      </c>
      <c r="AQ32" s="836">
        <f>IFERROR(__xludf.DUMMYFUNCTION("""COMPUTED_VALUE"""),9.9)</f>
        <v>9.9</v>
      </c>
      <c r="AR32" s="836" t="str">
        <f>IFERROR(__xludf.DUMMYFUNCTION("""COMPUTED_VALUE"""),"Male:87 Female:92")</f>
        <v>Male:87 Female:92</v>
      </c>
      <c r="AS32" s="836">
        <f>IFERROR(__xludf.DUMMYFUNCTION("""COMPUTED_VALUE"""),2011.0)</f>
        <v>2011</v>
      </c>
      <c r="AT32" s="836" t="str">
        <f>IFERROR(__xludf.DUMMYFUNCTION("""COMPUTED_VALUE"""),"Exclusion Criteria: presence of any abnormal medical condition, judged by the study physician, history of acute or severe chronic disease (cancer, diabetes, chronic heart, liver, or renal disease) and recent use of anthelminthic drugs within the past 4 we"&amp;"eks")</f>
        <v>Exclusion Criteria: presence of any abnormal medical condition, judged by the study physician, history of acute or severe chronic disease (cancer, diabetes, chronic heart, liver, or renal disease) and recent use of anthelminthic drugs within the past 4 weeks</v>
      </c>
      <c r="AU32" s="836" t="str">
        <f>IFERROR(__xludf.DUMMYFUNCTION("""COMPUTED_VALUE"""),"Yes")</f>
        <v>Yes</v>
      </c>
      <c r="AV32" s="836" t="str">
        <f>IFERROR(__xludf.DUMMYFUNCTION("""COMPUTED_VALUE"""),"Yes")</f>
        <v>Yes</v>
      </c>
      <c r="AW32" s="836" t="str">
        <f>IFERROR(__xludf.DUMMYFUNCTION("""COMPUTED_VALUE"""),"double-blind randomized placebo controlled trial")</f>
        <v>double-blind randomized placebo controlled trial</v>
      </c>
      <c r="AX32" s="841">
        <f>IFERROR(__xludf.DUMMYFUNCTION("""COMPUTED_VALUE"""),0.089)</f>
        <v>0.089</v>
      </c>
      <c r="AY32" s="836"/>
      <c r="AZ32" s="836"/>
      <c r="BA32" s="836"/>
      <c r="BB32" s="836"/>
      <c r="BC32" s="836"/>
      <c r="BD32" s="836"/>
      <c r="BE32" s="836"/>
      <c r="BF32" s="836"/>
      <c r="BG32" s="836"/>
      <c r="BH32" s="841">
        <f>IFERROR(__xludf.DUMMYFUNCTION("""COMPUTED_VALUE"""),0.176)</f>
        <v>0.176</v>
      </c>
      <c r="BI32" s="836"/>
      <c r="BJ32" s="836"/>
      <c r="BK32" s="836"/>
      <c r="BL32" s="836"/>
      <c r="BM32" s="836"/>
      <c r="BN32" s="836"/>
      <c r="BO32" s="836"/>
      <c r="BP32" s="836"/>
      <c r="BQ32" s="697">
        <f>IFERROR(__xludf.DUMMYFUNCTION("""COMPUTED_VALUE"""),31.0)</f>
        <v>31</v>
      </c>
      <c r="BR32" s="844" t="str">
        <f>IFERROR(__xludf.DUMMYFUNCTION("""COMPUTED_VALUE"""),"Steinmann et al.")</f>
        <v>Steinmann et al.</v>
      </c>
      <c r="BS32" s="838" t="str">
        <f>IFERROR(__xludf.DUMMYFUNCTION("""COMPUTED_VALUE"""),"China")</f>
        <v>China</v>
      </c>
      <c r="BT32" s="838" t="str">
        <f>IFERROR(__xludf.DUMMYFUNCTION("""COMPUTED_VALUE"""),"Mebendazole")</f>
        <v>Mebendazole</v>
      </c>
      <c r="BU32" s="838"/>
      <c r="BV32" s="838" t="str">
        <f>IFERROR(__xludf.DUMMYFUNCTION("""COMPUTED_VALUE"""),"Single")</f>
        <v>Single</v>
      </c>
      <c r="BW32" s="838" t="str">
        <f>IFERROR(__xludf.DUMMYFUNCTION("""COMPUTED_VALUE"""),"500 mg")</f>
        <v>500 mg</v>
      </c>
      <c r="BX32" s="838">
        <f>IFERROR(__xludf.DUMMYFUNCTION("""COMPUTED_VALUE"""),83.0)</f>
        <v>83</v>
      </c>
      <c r="BY32" s="838"/>
      <c r="BZ32" s="838">
        <f>IFERROR(__xludf.DUMMYFUNCTION("""COMPUTED_VALUE"""),2008.0)</f>
        <v>2008</v>
      </c>
      <c r="CA32" s="838"/>
      <c r="CB32" s="838"/>
      <c r="CC32" s="838" t="str">
        <f>IFERROR(__xludf.DUMMYFUNCTION("""COMPUTED_VALUE"""),"Yes")</f>
        <v>Yes</v>
      </c>
      <c r="CD32" s="847">
        <f>IFERROR(__xludf.DUMMYFUNCTION("""COMPUTED_VALUE"""),0.931)</f>
        <v>0.931</v>
      </c>
      <c r="CE32" s="838" t="str">
        <f>IFERROR(__xludf.DUMMYFUNCTION("""COMPUTED_VALUE"""),"Yes")</f>
        <v>Yes</v>
      </c>
      <c r="CF32" s="838"/>
      <c r="CG32" s="838" t="str">
        <f>IFERROR(__xludf.DUMMYFUNCTION("""COMPUTED_VALUE"""),"93.1% (3-4 weeks)")</f>
        <v>93.1% (3-4 weeks)</v>
      </c>
      <c r="CH32" s="838"/>
      <c r="CI32" s="838"/>
      <c r="CJ32" s="838"/>
      <c r="CK32" s="838"/>
      <c r="CL32" s="838"/>
      <c r="CM32" s="838"/>
      <c r="CN32" s="838" t="str">
        <f>IFERROR(__xludf.DUMMYFUNCTION("""COMPUTED_VALUE"""),"&gt;99.9% (3-4 weeks)")</f>
        <v>&gt;99.9% (3-4 weeks)</v>
      </c>
      <c r="CO32" s="838"/>
      <c r="CP32" s="838"/>
      <c r="CQ32" s="838"/>
      <c r="CR32" s="838"/>
      <c r="CS32" s="838"/>
      <c r="CT32" s="838"/>
      <c r="CU32" s="838"/>
      <c r="CV32" s="697" t="str">
        <f>IFERROR(__xludf.DUMMYFUNCTION("""COMPUTED_VALUE"""),"P. Steinmann, J. Utzinger, Z. Du et al. (2011) Efficacy of single-dose and triple-dose albendazole and mebendazole against soil-transmitted helminths and taenia spp.: A randomized controlled trial. PLoS ONE 6(9) doi:10.1371/journal.pone.0025003")</f>
        <v>P. Steinmann, J. Utzinger, Z. Du et al. (2011) Efficacy of single-dose and triple-dose albendazole and mebendazole against soil-transmitted helminths and taenia spp.: A randomized controlled trial. PLoS ONE 6(9) doi:10.1371/journal.pone.0025003</v>
      </c>
    </row>
    <row r="33">
      <c r="A33" s="842" t="str">
        <f>IFERROR(__xludf.DUMMYFUNCTION("""COMPUTED_VALUE"""),"Ekenjoku et al.")</f>
        <v>Ekenjoku et al.</v>
      </c>
      <c r="B33" s="834" t="str">
        <f>IFERROR(__xludf.DUMMYFUNCTION("""COMPUTED_VALUE"""),"Nigeria")</f>
        <v>Nigeria</v>
      </c>
      <c r="C33" s="834" t="str">
        <f>IFERROR(__xludf.DUMMYFUNCTION("""COMPUTED_VALUE"""),"Levamisole")</f>
        <v>Levamisole</v>
      </c>
      <c r="D33" s="834" t="str">
        <f>IFERROR(__xludf.DUMMYFUNCTION("""COMPUTED_VALUE"""),"Single")</f>
        <v>Single</v>
      </c>
      <c r="E33" s="834" t="str">
        <f>IFERROR(__xludf.DUMMYFUNCTION("""COMPUTED_VALUE"""),"2.5 mg/kg")</f>
        <v>2.5 mg/kg</v>
      </c>
      <c r="F33" s="834">
        <f>IFERROR(__xludf.DUMMYFUNCTION("""COMPUTED_VALUE"""),42.0)</f>
        <v>42</v>
      </c>
      <c r="G33" s="849">
        <f>IFERROR(__xludf.DUMMYFUNCTION("""COMPUTED_VALUE"""),42472.0)</f>
        <v>42472</v>
      </c>
      <c r="H33" s="834"/>
      <c r="I33" s="834">
        <f>IFERROR(__xludf.DUMMYFUNCTION("""COMPUTED_VALUE"""),2005.0)</f>
        <v>2005</v>
      </c>
      <c r="J33" s="834" t="str">
        <f>IFERROR(__xludf.DUMMYFUNCTION("""COMPUTED_VALUE"""),"included: age between 4 and 12years (both males &amp; females), residence within the community for 6 months and above, written consent from parents/ guardian and ability to ingest tablet with water")</f>
        <v>included: age between 4 and 12years (both males &amp; females), residence within the community for 6 months and above, written consent from parents/ guardian and ability to ingest tablet with water</v>
      </c>
      <c r="K33" s="839" t="str">
        <f>IFERROR(__xludf.DUMMYFUNCTION("""COMPUTED_VALUE"""),"open-label randomized comparative study")</f>
        <v>open-label randomized comparative study</v>
      </c>
      <c r="L33" s="839" t="str">
        <f>IFERROR(__xludf.DUMMYFUNCTION("""COMPUTED_VALUE"""),"Yes")</f>
        <v>Yes</v>
      </c>
      <c r="M33" s="839" t="str">
        <f>IFERROR(__xludf.DUMMYFUNCTION("""COMPUTED_VALUE"""),"No")</f>
        <v>No</v>
      </c>
      <c r="N33" s="840">
        <f>IFERROR(__xludf.DUMMYFUNCTION("""COMPUTED_VALUE"""),0.1786)</f>
        <v>0.1786</v>
      </c>
      <c r="O33" s="840">
        <f>IFERROR(__xludf.DUMMYFUNCTION("""COMPUTED_VALUE"""),0.1786)</f>
        <v>0.1786</v>
      </c>
      <c r="P33" s="834"/>
      <c r="Q33" s="834"/>
      <c r="R33" s="834"/>
      <c r="S33" s="834"/>
      <c r="T33" s="834"/>
      <c r="U33" s="834"/>
      <c r="V33" s="834"/>
      <c r="W33" s="834"/>
      <c r="X33" s="834"/>
      <c r="Y33" s="834"/>
      <c r="Z33" s="834"/>
      <c r="AA33" s="834"/>
      <c r="AB33" s="834"/>
      <c r="AC33" s="834"/>
      <c r="AD33" s="834"/>
      <c r="AE33" s="834" t="str">
        <f>IFERROR(__xludf.DUMMYFUNCTION("""COMPUTED_VALUE"""),"The overall result indicates that Mebendazolewas the most efficacious agent against the three common intestinal worms.")</f>
        <v>The overall result indicates that Mebendazolewas the most efficacious agent against the three common intestinal worms.</v>
      </c>
      <c r="AF33" s="834" t="str">
        <f>IFERROR(__xludf.DUMMYFUNCTION("""COMPUTED_VALUE"""),"The efficacy of the drugs was determined by the level of clearance of worm egg/ova from fresh stool samples of the pupils on post-treatment examination.")</f>
        <v>The efficacy of the drugs was determined by the level of clearance of worm egg/ova from fresh stool samples of the pupils on post-treatment examination.</v>
      </c>
      <c r="AG33" s="834" t="str">
        <f>IFERROR(__xludf.DUMMYFUNCTION("""COMPUTED_VALUE"""),"Ekenjoku, A. J., C. Oringanje, and M. M. Meremikwu. ""Comparative Efficacy of Levamisole, Mebendazole, and Pyrantel Pamoate against Common Intestinal Nematodes among Children in Calabar, South-south Nigeria."" Institute of Tropical Diseases Research and P"&amp;"revention 40.3 (2013): 217-21. Web.")</f>
        <v>Ekenjoku, A. J., C. Oringanje, and M. M. Meremikwu. "Comparative Efficacy of Levamisole, Mebendazole, and Pyrantel Pamoate against Common Intestinal Nematodes among Children in Calabar, South-south Nigeria." Institute of Tropical Diseases Research and Prevention 40.3 (2013): 217-21. Web.</v>
      </c>
      <c r="AH33" s="834"/>
      <c r="AJ33" s="843" t="str">
        <f>IFERROR(__xludf.DUMMYFUNCTION("""COMPUTED_VALUE"""),"Smith et al.")</f>
        <v>Smith et al.</v>
      </c>
      <c r="AK33" s="836" t="str">
        <f>IFERROR(__xludf.DUMMYFUNCTION("""COMPUTED_VALUE"""),"Albonico, Marco, Peter G. Smith, Elena Ercole, Andrew Hall, Hababu M. Chwaya, Kassim S. Alawi, and Lorenzo Savoli. ""Rate of Reinfection with Tenstinal Nematodes after Treatment of Children with Mebendazoleor Albendazolein a Highly Endemic Area."" Transac"&amp;"tions of the Royal Society of Tropical Medicine and Hygiene 89 (1995): 538-41. Web.")</f>
        <v>Albonico, Marco, Peter G. Smith, Elena Ercole, Andrew Hall, Hababu M. Chwaya, Kassim S. Alawi, and Lorenzo Savoli. "Rate of Reinfection with Tenstinal Nematodes after Treatment of Children with Mebendazoleor Albendazolein a Highly Endemic Area." Transactions of the Royal Society of Tropical Medicine and Hygiene 89 (1995): 538-41. Web.</v>
      </c>
      <c r="AL33" s="836" t="str">
        <f>IFERROR(__xludf.DUMMYFUNCTION("""COMPUTED_VALUE"""),"Tanzania")</f>
        <v>Tanzania</v>
      </c>
      <c r="AM33" s="836" t="str">
        <f>IFERROR(__xludf.DUMMYFUNCTION("""COMPUTED_VALUE"""),"Albendazole")</f>
        <v>Albendazole</v>
      </c>
      <c r="AN33" s="836" t="str">
        <f>IFERROR(__xludf.DUMMYFUNCTION("""COMPUTED_VALUE"""),"Single")</f>
        <v>Single</v>
      </c>
      <c r="AO33" s="836" t="str">
        <f>IFERROR(__xludf.DUMMYFUNCTION("""COMPUTED_VALUE"""),"400 mg")</f>
        <v>400 mg</v>
      </c>
      <c r="AP33" s="836">
        <f>IFERROR(__xludf.DUMMYFUNCTION("""COMPUTED_VALUE"""),377.0)</f>
        <v>377</v>
      </c>
      <c r="AQ33" s="836"/>
      <c r="AR33" s="836"/>
      <c r="AS33" s="836">
        <f>IFERROR(__xludf.DUMMYFUNCTION("""COMPUTED_VALUE"""),1994.0)</f>
        <v>1994</v>
      </c>
      <c r="AT33" s="836"/>
      <c r="AU33" s="836" t="str">
        <f>IFERROR(__xludf.DUMMYFUNCTION("""COMPUTED_VALUE"""),"Yes")</f>
        <v>Yes</v>
      </c>
      <c r="AV33" s="836" t="str">
        <f>IFERROR(__xludf.DUMMYFUNCTION("""COMPUTED_VALUE"""),"No")</f>
        <v>No</v>
      </c>
      <c r="AW33" s="836" t="str">
        <f>IFERROR(__xludf.DUMMYFUNCTION("""COMPUTED_VALUE"""),"randomized trial")</f>
        <v>randomized trial</v>
      </c>
      <c r="AX33" s="836"/>
      <c r="AY33" s="836"/>
      <c r="AZ33" s="836"/>
      <c r="BA33" s="836"/>
      <c r="BB33" s="836"/>
      <c r="BC33" s="836"/>
      <c r="BD33" s="836"/>
      <c r="BE33" s="836"/>
      <c r="BF33" s="836"/>
      <c r="BG33" s="836"/>
      <c r="BH33" s="841">
        <f>IFERROR(__xludf.DUMMYFUNCTION("""COMPUTED_VALUE"""),0.578)</f>
        <v>0.578</v>
      </c>
      <c r="BI33" s="836"/>
      <c r="BJ33" s="836"/>
      <c r="BK33" s="836"/>
      <c r="BL33" s="836"/>
      <c r="BM33" s="836"/>
      <c r="BN33" s="836"/>
      <c r="BO33" s="836" t="str">
        <f>IFERROR(__xludf.DUMMYFUNCTION("""COMPUTED_VALUE"""),"Kato-Katz Technique")</f>
        <v>Kato-Katz Technique</v>
      </c>
      <c r="BP33" s="836"/>
      <c r="BQ33" s="697">
        <f>IFERROR(__xludf.DUMMYFUNCTION("""COMPUTED_VALUE"""),32.0)</f>
        <v>32</v>
      </c>
      <c r="BR33" s="844" t="str">
        <f>IFERROR(__xludf.DUMMYFUNCTION("""COMPUTED_VALUE"""),"Speich et al. ")</f>
        <v>Speich et al. </v>
      </c>
      <c r="BS33" s="838" t="str">
        <f>IFERROR(__xludf.DUMMYFUNCTION("""COMPUTED_VALUE"""),"Tanzania")</f>
        <v>Tanzania</v>
      </c>
      <c r="BT33" s="838" t="str">
        <f>IFERROR(__xludf.DUMMYFUNCTION("""COMPUTED_VALUE"""),"Albendazole &amp; Nitazoxanide")</f>
        <v>Albendazole &amp; Nitazoxanide</v>
      </c>
      <c r="BU33" s="838"/>
      <c r="BV33" s="838" t="str">
        <f>IFERROR(__xludf.DUMMYFUNCTION("""COMPUTED_VALUE"""),"Single")</f>
        <v>Single</v>
      </c>
      <c r="BW33" s="838" t="str">
        <f>IFERROR(__xludf.DUMMYFUNCTION("""COMPUTED_VALUE"""),"1000 mg; 400 mg")</f>
        <v>1000 mg; 400 mg</v>
      </c>
      <c r="BX33" s="838">
        <f>IFERROR(__xludf.DUMMYFUNCTION("""COMPUTED_VALUE"""),6.0)</f>
        <v>6</v>
      </c>
      <c r="BY33" s="838">
        <f>IFERROR(__xludf.DUMMYFUNCTION("""COMPUTED_VALUE"""),9.7)</f>
        <v>9.7</v>
      </c>
      <c r="BZ33" s="838">
        <f>IFERROR(__xludf.DUMMYFUNCTION("""COMPUTED_VALUE"""),2011.0)</f>
        <v>2011</v>
      </c>
      <c r="CA33" s="838" t="str">
        <f>IFERROR(__xludf.DUMMYFUNCTION("""COMPUTED_VALUE"""),"Male:82 Female:83")</f>
        <v>Male:82 Female:83</v>
      </c>
      <c r="CB33" s="838" t="str">
        <f>IFERROR(__xludf.DUMMYFUNCTION("""COMPUTED_VALUE"""),"Exclusion criteria were: (i) presence of any abnormal medical condition, judged by the study physician; (ii) history of acute or severe chronic disease (cancer, diabetes, chronic heart, liver, or renal disease); and (iii) recent use of anthelmintic drugs "&amp;"(within past 4 weeks).")</f>
        <v>Exclusion criteria were: (i) presence of any abnormal medical condition, judged by the study physician; (ii) history of acute or severe chronic disease (cancer, diabetes, chronic heart, liver, or renal disease); and (iii) recent use of anthelmintic drugs (within past 4 weeks).</v>
      </c>
      <c r="CC33" s="838" t="str">
        <f>IFERROR(__xludf.DUMMYFUNCTION("""COMPUTED_VALUE"""),"Yes")</f>
        <v>Yes</v>
      </c>
      <c r="CD33" s="846">
        <f>IFERROR(__xludf.DUMMYFUNCTION("""COMPUTED_VALUE"""),1.0)</f>
        <v>1</v>
      </c>
      <c r="CE33" s="838" t="str">
        <f>IFERROR(__xludf.DUMMYFUNCTION("""COMPUTED_VALUE"""),"Yes")</f>
        <v>Yes</v>
      </c>
      <c r="CF33" s="838"/>
      <c r="CG33" s="846">
        <f>IFERROR(__xludf.DUMMYFUNCTION("""COMPUTED_VALUE"""),1.0)</f>
        <v>1</v>
      </c>
      <c r="CH33" s="838"/>
      <c r="CI33" s="838"/>
      <c r="CJ33" s="838"/>
      <c r="CK33" s="838"/>
      <c r="CL33" s="838"/>
      <c r="CM33" s="838"/>
      <c r="CN33" s="838"/>
      <c r="CO33" s="838"/>
      <c r="CP33" s="838"/>
      <c r="CQ33" s="838"/>
      <c r="CR33" s="838"/>
      <c r="CS33" s="838"/>
      <c r="CT33" s="838" t="str">
        <f>IFERROR(__xludf.DUMMYFUNCTION("""COMPUTED_VALUE"""),"Kato-Katz")</f>
        <v>Kato-Katz</v>
      </c>
      <c r="CU33" s="838"/>
      <c r="CV33" s="697" t="str">
        <f>IFERROR(__xludf.DUMMYFUNCTION("""COMPUTED_VALUE"""),"B. Speich, S. Ame, S.Ali et al. (2012) Efficacy and safety of nitazoxanide, albendazole, and nitazoxanide-albendazole against trichuris trichiura infection: A randomized controlled trial. PLoS Neglected Tropical Diseases 6(6). doi: 10.1371/journal.pntd.00"&amp;"01685")</f>
        <v>B. Speich, S. Ame, S.Ali et al. (2012) Efficacy and safety of nitazoxanide, albendazole, and nitazoxanide-albendazole against trichuris trichiura infection: A randomized controlled trial. PLoS Neglected Tropical Diseases 6(6). doi: 10.1371/journal.pntd.0001685</v>
      </c>
    </row>
    <row r="34">
      <c r="A34" s="842" t="str">
        <f>IFERROR(__xludf.DUMMYFUNCTION("""COMPUTED_VALUE"""),"Farid et al.")</f>
        <v>Farid et al.</v>
      </c>
      <c r="B34" s="834" t="str">
        <f>IFERROR(__xludf.DUMMYFUNCTION("""COMPUTED_VALUE"""),"Egypt")</f>
        <v>Egypt</v>
      </c>
      <c r="C34" s="834" t="str">
        <f>IFERROR(__xludf.DUMMYFUNCTION("""COMPUTED_VALUE"""),"Levamisole")</f>
        <v>Levamisole</v>
      </c>
      <c r="D34" s="834" t="str">
        <f>IFERROR(__xludf.DUMMYFUNCTION("""COMPUTED_VALUE"""),"Single")</f>
        <v>Single</v>
      </c>
      <c r="E34" s="834" t="str">
        <f>IFERROR(__xludf.DUMMYFUNCTION("""COMPUTED_VALUE"""),"150 mg")</f>
        <v>150 mg</v>
      </c>
      <c r="F34" s="834">
        <f>IFERROR(__xludf.DUMMYFUNCTION("""COMPUTED_VALUE"""),41.0)</f>
        <v>41</v>
      </c>
      <c r="G34" s="834">
        <f>IFERROR(__xludf.DUMMYFUNCTION("""COMPUTED_VALUE"""),21.6)</f>
        <v>21.6</v>
      </c>
      <c r="H34" s="834" t="str">
        <f>IFERROR(__xludf.DUMMYFUNCTION("""COMPUTED_VALUE"""),"male farmers")</f>
        <v>male farmers</v>
      </c>
      <c r="I34" s="839" t="str">
        <f>IFERROR(__xludf.DUMMYFUNCTION("""COMPUTED_VALUE"""),"1997")</f>
        <v>1997</v>
      </c>
      <c r="J34" s="834" t="str">
        <f>IFERROR(__xludf.DUMMYFUNCTION("""COMPUTED_VALUE"""),"Patients in each group were comparable with regard to age, intensity of infection, severity of illness as reflected by haemoglobin levels and nutritional status. ")</f>
        <v>Patients in each group were comparable with regard to age, intensity of infection, severity of illness as reflected by haemoglobin levels and nutritional status. </v>
      </c>
      <c r="K34" s="839" t="str">
        <f>IFERROR(__xludf.DUMMYFUNCTION("""COMPUTED_VALUE"""),"randomized controlled trial")</f>
        <v>randomized controlled trial</v>
      </c>
      <c r="L34" s="839" t="str">
        <f>IFERROR(__xludf.DUMMYFUNCTION("""COMPUTED_VALUE"""),"Yes")</f>
        <v>Yes</v>
      </c>
      <c r="M34" s="839" t="str">
        <f>IFERROR(__xludf.DUMMYFUNCTION("""COMPUTED_VALUE"""),"No")</f>
        <v>No</v>
      </c>
      <c r="N34" s="840">
        <f>IFERROR(__xludf.DUMMYFUNCTION("""COMPUTED_VALUE"""),0.93)</f>
        <v>0.93</v>
      </c>
      <c r="O34" s="834"/>
      <c r="P34" s="840">
        <f>IFERROR(__xludf.DUMMYFUNCTION("""COMPUTED_VALUE"""),0.93)</f>
        <v>0.93</v>
      </c>
      <c r="Q34" s="834"/>
      <c r="R34" s="834"/>
      <c r="S34" s="834"/>
      <c r="T34" s="834"/>
      <c r="U34" s="834"/>
      <c r="V34" s="834"/>
      <c r="W34" s="834"/>
      <c r="X34" s="834"/>
      <c r="Y34" s="834"/>
      <c r="Z34" s="834"/>
      <c r="AA34" s="834"/>
      <c r="AB34" s="834"/>
      <c r="AC34" s="834"/>
      <c r="AD34" s="834"/>
      <c r="AE34" s="834" t="str">
        <f>IFERROR(__xludf.DUMMYFUNCTION("""COMPUTED_VALUE"""),"Levamisole compares very favourably with Pyrantel and is superior to bephenium in the treatment of mixed hookworm and roundworm infections.")</f>
        <v>Levamisole compares very favourably with Pyrantel and is superior to bephenium in the treatment of mixed hookworm and roundworm infections.</v>
      </c>
      <c r="AF34" s="834" t="str">
        <f>IFERROR(__xludf.DUMMYFUNCTION("""COMPUTED_VALUE"""),"Stoll dilution technique")</f>
        <v>Stoll dilution technique</v>
      </c>
      <c r="AG34" s="834" t="str">
        <f>IFERROR(__xludf.DUMMYFUNCTION("""COMPUTED_VALUE"""),"Farid Z, Bassily S, Miner W F, Hassan A, Laughlin L W. (1977) Comparative Single/Dose Treatment of Hookworm and Roundworm Infections With Levamisol Pyrantel and Bephenium. US Naval Medical Research Unit No. 3 and Abbassia Fever Hospital, Ministry of Healt"&amp;"h. Web.")</f>
        <v>Farid Z, Bassily S, Miner W F, Hassan A, Laughlin L W. (1977) Comparative Single/Dose Treatment of Hookworm and Roundworm Infections With Levamisol Pyrantel and Bephenium. US Naval Medical Research Unit No. 3 and Abbassia Fever Hospital, Ministry of Health. Web.</v>
      </c>
      <c r="AH34" s="834" t="str">
        <f>IFERROR(__xludf.DUMMYFUNCTION("""COMPUTED_VALUE"""),"x")</f>
        <v>x</v>
      </c>
      <c r="AJ34" s="843" t="str">
        <f>IFERROR(__xludf.DUMMYFUNCTION("""COMPUTED_VALUE"""),"Smith et al.")</f>
        <v>Smith et al.</v>
      </c>
      <c r="AK34" s="836"/>
      <c r="AL34" s="836" t="str">
        <f>IFERROR(__xludf.DUMMYFUNCTION("""COMPUTED_VALUE"""),"Tanzania")</f>
        <v>Tanzania</v>
      </c>
      <c r="AM34" s="836" t="str">
        <f>IFERROR(__xludf.DUMMYFUNCTION("""COMPUTED_VALUE"""),"Mebendazole")</f>
        <v>Mebendazole</v>
      </c>
      <c r="AN34" s="836" t="str">
        <f>IFERROR(__xludf.DUMMYFUNCTION("""COMPUTED_VALUE"""),"Single")</f>
        <v>Single</v>
      </c>
      <c r="AO34" s="836" t="str">
        <f>IFERROR(__xludf.DUMMYFUNCTION("""COMPUTED_VALUE"""),"500 mg")</f>
        <v>500 mg</v>
      </c>
      <c r="AP34" s="836">
        <f>IFERROR(__xludf.DUMMYFUNCTION("""COMPUTED_VALUE"""),354.0)</f>
        <v>354</v>
      </c>
      <c r="AQ34" s="836"/>
      <c r="AR34" s="836"/>
      <c r="AS34" s="836">
        <f>IFERROR(__xludf.DUMMYFUNCTION("""COMPUTED_VALUE"""),1994.0)</f>
        <v>1994</v>
      </c>
      <c r="AT34" s="836"/>
      <c r="AU34" s="836" t="str">
        <f>IFERROR(__xludf.DUMMYFUNCTION("""COMPUTED_VALUE"""),"Yes")</f>
        <v>Yes</v>
      </c>
      <c r="AV34" s="836" t="str">
        <f>IFERROR(__xludf.DUMMYFUNCTION("""COMPUTED_VALUE"""),"No")</f>
        <v>No</v>
      </c>
      <c r="AW34" s="836" t="str">
        <f>IFERROR(__xludf.DUMMYFUNCTION("""COMPUTED_VALUE"""),"randomized trial")</f>
        <v>randomized trial</v>
      </c>
      <c r="AX34" s="836"/>
      <c r="AY34" s="836"/>
      <c r="AZ34" s="836"/>
      <c r="BA34" s="836"/>
      <c r="BB34" s="836"/>
      <c r="BC34" s="836"/>
      <c r="BD34" s="836"/>
      <c r="BE34" s="836"/>
      <c r="BF34" s="836"/>
      <c r="BG34" s="836"/>
      <c r="BH34" s="841">
        <f>IFERROR(__xludf.DUMMYFUNCTION("""COMPUTED_VALUE"""),0.772)</f>
        <v>0.772</v>
      </c>
      <c r="BI34" s="836"/>
      <c r="BJ34" s="836"/>
      <c r="BK34" s="836"/>
      <c r="BL34" s="836"/>
      <c r="BM34" s="836"/>
      <c r="BN34" s="836"/>
      <c r="BO34" s="836"/>
      <c r="BP34" s="836"/>
      <c r="BQ34" s="697">
        <f>IFERROR(__xludf.DUMMYFUNCTION("""COMPUTED_VALUE"""),33.0)</f>
        <v>33</v>
      </c>
      <c r="BR34" s="844" t="str">
        <f>IFERROR(__xludf.DUMMYFUNCTION("""COMPUTED_VALUE"""),"Speich et al. ")</f>
        <v>Speich et al. </v>
      </c>
      <c r="BS34" s="838" t="str">
        <f>IFERROR(__xludf.DUMMYFUNCTION("""COMPUTED_VALUE"""),"Tanzania")</f>
        <v>Tanzania</v>
      </c>
      <c r="BT34" s="838" t="str">
        <f>IFERROR(__xludf.DUMMYFUNCTION("""COMPUTED_VALUE"""),"Albendazole")</f>
        <v>Albendazole</v>
      </c>
      <c r="BU34" s="838"/>
      <c r="BV34" s="838" t="str">
        <f>IFERROR(__xludf.DUMMYFUNCTION("""COMPUTED_VALUE"""),"Single")</f>
        <v>Single</v>
      </c>
      <c r="BW34" s="838" t="str">
        <f>IFERROR(__xludf.DUMMYFUNCTION("""COMPUTED_VALUE"""),"400 mg")</f>
        <v>400 mg</v>
      </c>
      <c r="BX34" s="838">
        <f>IFERROR(__xludf.DUMMYFUNCTION("""COMPUTED_VALUE"""),9.0)</f>
        <v>9</v>
      </c>
      <c r="BY34" s="838">
        <f>IFERROR(__xludf.DUMMYFUNCTION("""COMPUTED_VALUE"""),9.8)</f>
        <v>9.8</v>
      </c>
      <c r="BZ34" s="838">
        <f>IFERROR(__xludf.DUMMYFUNCTION("""COMPUTED_VALUE"""),2011.0)</f>
        <v>2011</v>
      </c>
      <c r="CA34" s="838" t="str">
        <f>IFERROR(__xludf.DUMMYFUNCTION("""COMPUTED_VALUE"""),"Male:85 Female:92")</f>
        <v>Male:85 Female:92</v>
      </c>
      <c r="CB34" s="838"/>
      <c r="CC34" s="838" t="str">
        <f>IFERROR(__xludf.DUMMYFUNCTION("""COMPUTED_VALUE"""),"Yes")</f>
        <v>Yes</v>
      </c>
      <c r="CD34" s="846">
        <f>IFERROR(__xludf.DUMMYFUNCTION("""COMPUTED_VALUE"""),1.0)</f>
        <v>1</v>
      </c>
      <c r="CE34" s="838" t="str">
        <f>IFERROR(__xludf.DUMMYFUNCTION("""COMPUTED_VALUE"""),"Yes")</f>
        <v>Yes</v>
      </c>
      <c r="CF34" s="838"/>
      <c r="CG34" s="846">
        <f>IFERROR(__xludf.DUMMYFUNCTION("""COMPUTED_VALUE"""),1.0)</f>
        <v>1</v>
      </c>
      <c r="CH34" s="838"/>
      <c r="CI34" s="838"/>
      <c r="CJ34" s="838"/>
      <c r="CK34" s="838"/>
      <c r="CL34" s="838"/>
      <c r="CM34" s="838"/>
      <c r="CN34" s="838"/>
      <c r="CO34" s="838"/>
      <c r="CP34" s="838"/>
      <c r="CQ34" s="838"/>
      <c r="CR34" s="838"/>
      <c r="CS34" s="838"/>
      <c r="CT34" s="838"/>
      <c r="CU34" s="838"/>
      <c r="CV34" s="697" t="str">
        <f>IFERROR(__xludf.DUMMYFUNCTION("""COMPUTED_VALUE"""),"B. Speich, S. Ame, S.Ali et al. (2012) Efficacy and safety of nitazoxanide, albendazole, and nitazoxanide-albendazole against trichuris trichiura infection: A randomized controlled trial. PLoS Neglected Tropical Diseases 6(6). doi: 10.1371/journal.pntd.00"&amp;"01685")</f>
        <v>B. Speich, S. Ame, S.Ali et al. (2012) Efficacy and safety of nitazoxanide, albendazole, and nitazoxanide-albendazole against trichuris trichiura infection: A randomized controlled trial. PLoS Neglected Tropical Diseases 6(6). doi: 10.1371/journal.pntd.0001685</v>
      </c>
    </row>
    <row r="35">
      <c r="A35" s="842" t="str">
        <f>IFERROR(__xludf.DUMMYFUNCTION("""COMPUTED_VALUE"""),"Farid et al.")</f>
        <v>Farid et al.</v>
      </c>
      <c r="B35" s="834" t="str">
        <f>IFERROR(__xludf.DUMMYFUNCTION("""COMPUTED_VALUE"""),"Egypt")</f>
        <v>Egypt</v>
      </c>
      <c r="C35" s="834" t="str">
        <f>IFERROR(__xludf.DUMMYFUNCTION("""COMPUTED_VALUE"""),"Pyrantel")</f>
        <v>Pyrantel</v>
      </c>
      <c r="D35" s="834" t="str">
        <f>IFERROR(__xludf.DUMMYFUNCTION("""COMPUTED_VALUE"""),"Single")</f>
        <v>Single</v>
      </c>
      <c r="E35" s="834" t="str">
        <f>IFERROR(__xludf.DUMMYFUNCTION("""COMPUTED_VALUE"""),"750 mg")</f>
        <v>750 mg</v>
      </c>
      <c r="F35" s="834">
        <f>IFERROR(__xludf.DUMMYFUNCTION("""COMPUTED_VALUE"""),36.0)</f>
        <v>36</v>
      </c>
      <c r="G35" s="834">
        <f>IFERROR(__xludf.DUMMYFUNCTION("""COMPUTED_VALUE"""),18.2)</f>
        <v>18.2</v>
      </c>
      <c r="H35" s="834" t="str">
        <f>IFERROR(__xludf.DUMMYFUNCTION("""COMPUTED_VALUE"""),"male farmers")</f>
        <v>male farmers</v>
      </c>
      <c r="I35" s="839" t="str">
        <f>IFERROR(__xludf.DUMMYFUNCTION("""COMPUTED_VALUE"""),"1997")</f>
        <v>1997</v>
      </c>
      <c r="J35" s="834" t="str">
        <f>IFERROR(__xludf.DUMMYFUNCTION("""COMPUTED_VALUE"""),"Patients in each group were comparable with regard to age, intensity of infection, severity of illness as reflected by haemoglobin levels and nutritional status. ")</f>
        <v>Patients in each group were comparable with regard to age, intensity of infection, severity of illness as reflected by haemoglobin levels and nutritional status. </v>
      </c>
      <c r="K35" s="839" t="str">
        <f>IFERROR(__xludf.DUMMYFUNCTION("""COMPUTED_VALUE"""),"randomized controlled trial")</f>
        <v>randomized controlled trial</v>
      </c>
      <c r="L35" s="839" t="str">
        <f>IFERROR(__xludf.DUMMYFUNCTION("""COMPUTED_VALUE"""),"Yes")</f>
        <v>Yes</v>
      </c>
      <c r="M35" s="839" t="str">
        <f>IFERROR(__xludf.DUMMYFUNCTION("""COMPUTED_VALUE"""),"No")</f>
        <v>No</v>
      </c>
      <c r="N35" s="840">
        <f>IFERROR(__xludf.DUMMYFUNCTION("""COMPUTED_VALUE"""),0.78)</f>
        <v>0.78</v>
      </c>
      <c r="O35" s="834"/>
      <c r="P35" s="840">
        <f>IFERROR(__xludf.DUMMYFUNCTION("""COMPUTED_VALUE"""),0.78)</f>
        <v>0.78</v>
      </c>
      <c r="Q35" s="834"/>
      <c r="R35" s="834"/>
      <c r="S35" s="834"/>
      <c r="T35" s="834"/>
      <c r="U35" s="834"/>
      <c r="V35" s="834"/>
      <c r="W35" s="834"/>
      <c r="X35" s="834"/>
      <c r="Y35" s="834"/>
      <c r="Z35" s="834"/>
      <c r="AA35" s="834"/>
      <c r="AB35" s="834"/>
      <c r="AC35" s="834"/>
      <c r="AD35" s="834"/>
      <c r="AE35" s="834" t="str">
        <f>IFERROR(__xludf.DUMMYFUNCTION("""COMPUTED_VALUE"""),"Levamisole compares very favourably with Pyrantel and is superior to bephenium in the treatment of mixed hookworm and roundworm infections.")</f>
        <v>Levamisole compares very favourably with Pyrantel and is superior to bephenium in the treatment of mixed hookworm and roundworm infections.</v>
      </c>
      <c r="AF35" s="834" t="str">
        <f>IFERROR(__xludf.DUMMYFUNCTION("""COMPUTED_VALUE"""),"Stoll dilution technique")</f>
        <v>Stoll dilution technique</v>
      </c>
      <c r="AG35" s="834" t="str">
        <f>IFERROR(__xludf.DUMMYFUNCTION("""COMPUTED_VALUE"""),"Farid Z, Bassily S, Miner W F, Hassan A, Laughlin L W. (1977) Comparative Single/Dose Treatment of Hookworm and Roundworm Infections With Levamisol Pyrantel and Bephenium. US Naval Medical Research Unit No. 3 and Abbassia Fever Hospital, Ministry of Healt"&amp;"h. Web.")</f>
        <v>Farid Z, Bassily S, Miner W F, Hassan A, Laughlin L W. (1977) Comparative Single/Dose Treatment of Hookworm and Roundworm Infections With Levamisol Pyrantel and Bephenium. US Naval Medical Research Unit No. 3 and Abbassia Fever Hospital, Ministry of Health. Web.</v>
      </c>
      <c r="AH35" s="834" t="str">
        <f>IFERROR(__xludf.DUMMYFUNCTION("""COMPUTED_VALUE"""),"x")</f>
        <v>x</v>
      </c>
      <c r="AJ35" s="843" t="str">
        <f>IFERROR(__xludf.DUMMYFUNCTION("""COMPUTED_VALUE"""),"Albonico et al.")</f>
        <v>Albonico et al.</v>
      </c>
      <c r="AK35" s="836" t="str">
        <f>IFERROR(__xludf.DUMMYFUNCTION("""COMPUTED_VALUE"""),"Albonico, M., Q. Bickle, M. Ramsan, A. Montresor, L. Savioli, and M. Taylor. ""Efficacy of Mebendazoleand LevamisoleAlone or in Combination against Intestinal Nematode Infections after Repeated Targeted MebendazoleTreatment in Zanzibar."" Bulletin of the "&amp;"World Health Organization 81.5 (2003): 343-52. Web.")</f>
        <v>Albonico, M., Q. Bickle, M. Ramsan, A. Montresor, L. Savioli, and M. Taylor. "Efficacy of Mebendazoleand LevamisoleAlone or in Combination against Intestinal Nematode Infections after Repeated Targeted MebendazoleTreatment in Zanzibar." Bulletin of the World Health Organization 81.5 (2003): 343-52. Web.</v>
      </c>
      <c r="AL35" s="836" t="str">
        <f>IFERROR(__xludf.DUMMYFUNCTION("""COMPUTED_VALUE"""),"Tanzania")</f>
        <v>Tanzania</v>
      </c>
      <c r="AM35" s="836" t="str">
        <f>IFERROR(__xludf.DUMMYFUNCTION("""COMPUTED_VALUE"""),"Mebendazole")</f>
        <v>Mebendazole</v>
      </c>
      <c r="AN35" s="836" t="str">
        <f>IFERROR(__xludf.DUMMYFUNCTION("""COMPUTED_VALUE"""),"Single")</f>
        <v>Single</v>
      </c>
      <c r="AO35" s="836" t="str">
        <f>IFERROR(__xludf.DUMMYFUNCTION("""COMPUTED_VALUE"""),"500 mg")</f>
        <v>500 mg</v>
      </c>
      <c r="AP35" s="836">
        <f>IFERROR(__xludf.DUMMYFUNCTION("""COMPUTED_VALUE"""),914.0)</f>
        <v>914</v>
      </c>
      <c r="AQ35" s="836">
        <f>IFERROR(__xludf.DUMMYFUNCTION("""COMPUTED_VALUE"""),11.5)</f>
        <v>11.5</v>
      </c>
      <c r="AR35" s="836" t="str">
        <f>IFERROR(__xludf.DUMMYFUNCTION("""COMPUTED_VALUE"""),"Male:48.4%")</f>
        <v>Male:48.4%</v>
      </c>
      <c r="AS35" s="836">
        <f>IFERROR(__xludf.DUMMYFUNCTION("""COMPUTED_VALUE"""),1999.0)</f>
        <v>1999</v>
      </c>
      <c r="AT35" s="836" t="str">
        <f>IFERROR(__xludf.DUMMYFUNCTION("""COMPUTED_VALUE"""),"Excluded if children did not have parental or guardian permission to participate, did not provide a stool sample, had significant comorbidities (severe diarrhoea, severe anaemia, or high fever) or had recently transferred to the school from an area outsid"&amp;"e of Zanzibar")</f>
        <v>Excluded if children did not have parental or guardian permission to participate, did not provide a stool sample, had significant comorbidities (severe diarrhoea, severe anaemia, or high fever) or had recently transferred to the school from an area outside of Zanzibar</v>
      </c>
      <c r="AU35" s="836" t="str">
        <f>IFERROR(__xludf.DUMMYFUNCTION("""COMPUTED_VALUE"""),"Yes")</f>
        <v>Yes</v>
      </c>
      <c r="AV35" s="836" t="str">
        <f>IFERROR(__xludf.DUMMYFUNCTION("""COMPUTED_VALUE"""),"Yes")</f>
        <v>Yes</v>
      </c>
      <c r="AW35" s="836" t="str">
        <f>IFERROR(__xludf.DUMMYFUNCTION("""COMPUTED_VALUE"""),"randomized placebo controlled trial, single blind")</f>
        <v>randomized placebo controlled trial, single blind</v>
      </c>
      <c r="AX35" s="841">
        <f>IFERROR(__xludf.DUMMYFUNCTION("""COMPUTED_VALUE"""),0.229)</f>
        <v>0.229</v>
      </c>
      <c r="AY35" s="836"/>
      <c r="AZ35" s="841">
        <f>IFERROR(__xludf.DUMMYFUNCTION("""COMPUTED_VALUE"""),0.229)</f>
        <v>0.229</v>
      </c>
      <c r="BA35" s="836"/>
      <c r="BB35" s="836"/>
      <c r="BC35" s="836"/>
      <c r="BD35" s="836"/>
      <c r="BE35" s="836"/>
      <c r="BF35" s="836"/>
      <c r="BG35" s="836"/>
      <c r="BH35" s="841">
        <f>IFERROR(__xludf.DUMMYFUNCTION("""COMPUTED_VALUE"""),0.81)</f>
        <v>0.81</v>
      </c>
      <c r="BI35" s="836"/>
      <c r="BJ35" s="836"/>
      <c r="BK35" s="836"/>
      <c r="BL35" s="836"/>
      <c r="BM35" s="836"/>
      <c r="BN35" s="836"/>
      <c r="BO35" s="836" t="str">
        <f>IFERROR(__xludf.DUMMYFUNCTION("""COMPUTED_VALUE"""),"Kato-Katz Technique")</f>
        <v>Kato-Katz Technique</v>
      </c>
      <c r="BP35" s="836"/>
      <c r="BQ35" s="697">
        <f>IFERROR(__xludf.DUMMYFUNCTION("""COMPUTED_VALUE"""),34.0)</f>
        <v>34</v>
      </c>
      <c r="BR35" s="844" t="str">
        <f>IFERROR(__xludf.DUMMYFUNCTION("""COMPUTED_VALUE"""),"Speich et al. ")</f>
        <v>Speich et al. </v>
      </c>
      <c r="BS35" s="838" t="str">
        <f>IFERROR(__xludf.DUMMYFUNCTION("""COMPUTED_VALUE"""),"Tanzania")</f>
        <v>Tanzania</v>
      </c>
      <c r="BT35" s="838" t="str">
        <f>IFERROR(__xludf.DUMMYFUNCTION("""COMPUTED_VALUE"""),"Nitazoxanide")</f>
        <v>Nitazoxanide</v>
      </c>
      <c r="BU35" s="838"/>
      <c r="BV35" s="838" t="str">
        <f>IFERROR(__xludf.DUMMYFUNCTION("""COMPUTED_VALUE"""),"Single")</f>
        <v>Single</v>
      </c>
      <c r="BW35" s="838" t="str">
        <f>IFERROR(__xludf.DUMMYFUNCTION("""COMPUTED_VALUE"""),"1000 mg")</f>
        <v>1000 mg</v>
      </c>
      <c r="BX35" s="838">
        <f>IFERROR(__xludf.DUMMYFUNCTION("""COMPUTED_VALUE"""),8.0)</f>
        <v>8</v>
      </c>
      <c r="BY35" s="838">
        <f>IFERROR(__xludf.DUMMYFUNCTION("""COMPUTED_VALUE"""),9.4)</f>
        <v>9.4</v>
      </c>
      <c r="BZ35" s="838">
        <f>IFERROR(__xludf.DUMMYFUNCTION("""COMPUTED_VALUE"""),2011.0)</f>
        <v>2011</v>
      </c>
      <c r="CA35" s="838" t="str">
        <f>IFERROR(__xludf.DUMMYFUNCTION("""COMPUTED_VALUE"""),"Male:94 Female:86")</f>
        <v>Male:94 Female:86</v>
      </c>
      <c r="CB35" s="838"/>
      <c r="CC35" s="838" t="str">
        <f>IFERROR(__xludf.DUMMYFUNCTION("""COMPUTED_VALUE"""),"Yes")</f>
        <v>Yes</v>
      </c>
      <c r="CD35" s="847">
        <f>IFERROR(__xludf.DUMMYFUNCTION("""COMPUTED_VALUE"""),0.625)</f>
        <v>0.625</v>
      </c>
      <c r="CE35" s="838" t="str">
        <f>IFERROR(__xludf.DUMMYFUNCTION("""COMPUTED_VALUE"""),"Yes")</f>
        <v>Yes</v>
      </c>
      <c r="CF35" s="838"/>
      <c r="CG35" s="847">
        <f>IFERROR(__xludf.DUMMYFUNCTION("""COMPUTED_VALUE"""),0.625)</f>
        <v>0.625</v>
      </c>
      <c r="CH35" s="838"/>
      <c r="CI35" s="838"/>
      <c r="CJ35" s="838"/>
      <c r="CK35" s="838"/>
      <c r="CL35" s="838"/>
      <c r="CM35" s="838"/>
      <c r="CN35" s="838"/>
      <c r="CO35" s="838"/>
      <c r="CP35" s="838"/>
      <c r="CQ35" s="838"/>
      <c r="CR35" s="838"/>
      <c r="CS35" s="838"/>
      <c r="CT35" s="838"/>
      <c r="CU35" s="838"/>
      <c r="CV35" s="697" t="str">
        <f>IFERROR(__xludf.DUMMYFUNCTION("""COMPUTED_VALUE"""),"B. Speich, S. Ame, S.Ali et al. (2012) Efficacy and safety of nitazoxanide, albendazole, and nitazoxanide-albendazole against trichuris trichiura infection: A randomized controlled trial. PLoS Neglected Tropical Diseases 6(6). doi: 10.1371/journal.pntd.00"&amp;"01685")</f>
        <v>B. Speich, S. Ame, S.Ali et al. (2012) Efficacy and safety of nitazoxanide, albendazole, and nitazoxanide-albendazole against trichuris trichiura infection: A randomized controlled trial. PLoS Neglected Tropical Diseases 6(6). doi: 10.1371/journal.pntd.0001685</v>
      </c>
    </row>
    <row r="36">
      <c r="A36" s="842" t="str">
        <f>IFERROR(__xludf.DUMMYFUNCTION("""COMPUTED_VALUE"""),"Farid et al.")</f>
        <v>Farid et al.</v>
      </c>
      <c r="B36" s="834" t="str">
        <f>IFERROR(__xludf.DUMMYFUNCTION("""COMPUTED_VALUE"""),"Egypt")</f>
        <v>Egypt</v>
      </c>
      <c r="C36" s="834" t="str">
        <f>IFERROR(__xludf.DUMMYFUNCTION("""COMPUTED_VALUE"""),"Bephenium")</f>
        <v>Bephenium</v>
      </c>
      <c r="D36" s="834" t="str">
        <f>IFERROR(__xludf.DUMMYFUNCTION("""COMPUTED_VALUE"""),"Single")</f>
        <v>Single</v>
      </c>
      <c r="E36" s="834" t="str">
        <f>IFERROR(__xludf.DUMMYFUNCTION("""COMPUTED_VALUE"""),"5 g")</f>
        <v>5 g</v>
      </c>
      <c r="F36" s="834">
        <f>IFERROR(__xludf.DUMMYFUNCTION("""COMPUTED_VALUE"""),36.0)</f>
        <v>36</v>
      </c>
      <c r="G36" s="834">
        <f>IFERROR(__xludf.DUMMYFUNCTION("""COMPUTED_VALUE"""),20.1)</f>
        <v>20.1</v>
      </c>
      <c r="H36" s="834" t="str">
        <f>IFERROR(__xludf.DUMMYFUNCTION("""COMPUTED_VALUE"""),"male farmers")</f>
        <v>male farmers</v>
      </c>
      <c r="I36" s="839" t="str">
        <f>IFERROR(__xludf.DUMMYFUNCTION("""COMPUTED_VALUE"""),"1997")</f>
        <v>1997</v>
      </c>
      <c r="J36" s="834" t="str">
        <f>IFERROR(__xludf.DUMMYFUNCTION("""COMPUTED_VALUE"""),"Patients in each group were comparable with regard to age, intensity of infection, severity of illness as reflected by haemoglobin levels and nutritional status. ")</f>
        <v>Patients in each group were comparable with regard to age, intensity of infection, severity of illness as reflected by haemoglobin levels and nutritional status. </v>
      </c>
      <c r="K36" s="839" t="str">
        <f>IFERROR(__xludf.DUMMYFUNCTION("""COMPUTED_VALUE"""),"randomized controlled trial")</f>
        <v>randomized controlled trial</v>
      </c>
      <c r="L36" s="839" t="str">
        <f>IFERROR(__xludf.DUMMYFUNCTION("""COMPUTED_VALUE"""),"Yes")</f>
        <v>Yes</v>
      </c>
      <c r="M36" s="839" t="str">
        <f>IFERROR(__xludf.DUMMYFUNCTION("""COMPUTED_VALUE"""),"No")</f>
        <v>No</v>
      </c>
      <c r="N36" s="840">
        <f>IFERROR(__xludf.DUMMYFUNCTION("""COMPUTED_VALUE"""),0.81)</f>
        <v>0.81</v>
      </c>
      <c r="O36" s="834"/>
      <c r="P36" s="840">
        <f>IFERROR(__xludf.DUMMYFUNCTION("""COMPUTED_VALUE"""),0.81)</f>
        <v>0.81</v>
      </c>
      <c r="Q36" s="834"/>
      <c r="R36" s="834"/>
      <c r="S36" s="834"/>
      <c r="T36" s="834"/>
      <c r="U36" s="834"/>
      <c r="V36" s="834"/>
      <c r="W36" s="834"/>
      <c r="X36" s="834"/>
      <c r="Y36" s="834"/>
      <c r="Z36" s="834"/>
      <c r="AA36" s="834"/>
      <c r="AB36" s="834"/>
      <c r="AC36" s="834"/>
      <c r="AD36" s="834"/>
      <c r="AE36" s="834" t="str">
        <f>IFERROR(__xludf.DUMMYFUNCTION("""COMPUTED_VALUE"""),"Levamisole compares very favourably with Pyrantel and is superior to bephenium in the treatment of mixed hookworm and roundworm infections.")</f>
        <v>Levamisole compares very favourably with Pyrantel and is superior to bephenium in the treatment of mixed hookworm and roundworm infections.</v>
      </c>
      <c r="AF36" s="834" t="str">
        <f>IFERROR(__xludf.DUMMYFUNCTION("""COMPUTED_VALUE"""),"Stoll dilution technique")</f>
        <v>Stoll dilution technique</v>
      </c>
      <c r="AG36" s="834" t="str">
        <f>IFERROR(__xludf.DUMMYFUNCTION("""COMPUTED_VALUE"""),"Farid Z, Bassily S, Miner W F, Hassan A, Laughlin L W. (1977) Comparative Single/Dose Treatment of Hookworm and Roundworm Infections With Levamisol Pyrantel and Bephenium. US Naval Medical Research Unit No. 3 and Abbassia Fever Hospital, Ministry of Healt"&amp;"h. Web.")</f>
        <v>Farid Z, Bassily S, Miner W F, Hassan A, Laughlin L W. (1977) Comparative Single/Dose Treatment of Hookworm and Roundworm Infections With Levamisol Pyrantel and Bephenium. US Naval Medical Research Unit No. 3 and Abbassia Fever Hospital, Ministry of Health. Web.</v>
      </c>
      <c r="AH36" s="834" t="str">
        <f>IFERROR(__xludf.DUMMYFUNCTION("""COMPUTED_VALUE"""),"x")</f>
        <v>x</v>
      </c>
      <c r="AJ36" s="843" t="str">
        <f>IFERROR(__xludf.DUMMYFUNCTION("""COMPUTED_VALUE"""),"Albonico et al.")</f>
        <v>Albonico et al.</v>
      </c>
      <c r="AK36" s="836"/>
      <c r="AL36" s="836" t="str">
        <f>IFERROR(__xludf.DUMMYFUNCTION("""COMPUTED_VALUE"""),"Tanzania")</f>
        <v>Tanzania</v>
      </c>
      <c r="AM36" s="836" t="str">
        <f>IFERROR(__xludf.DUMMYFUNCTION("""COMPUTED_VALUE"""),"Levamisole")</f>
        <v>Levamisole</v>
      </c>
      <c r="AN36" s="836" t="str">
        <f>IFERROR(__xludf.DUMMYFUNCTION("""COMPUTED_VALUE"""),"Single")</f>
        <v>Single</v>
      </c>
      <c r="AO36" s="836" t="str">
        <f>IFERROR(__xludf.DUMMYFUNCTION("""COMPUTED_VALUE"""),"40/80 mg")</f>
        <v>40/80 mg</v>
      </c>
      <c r="AP36" s="836"/>
      <c r="AQ36" s="836">
        <f>IFERROR(__xludf.DUMMYFUNCTION("""COMPUTED_VALUE"""),11.7)</f>
        <v>11.7</v>
      </c>
      <c r="AR36" s="836" t="str">
        <f>IFERROR(__xludf.DUMMYFUNCTION("""COMPUTED_VALUE"""),"Male:48.4%")</f>
        <v>Male:48.4%</v>
      </c>
      <c r="AS36" s="836">
        <f>IFERROR(__xludf.DUMMYFUNCTION("""COMPUTED_VALUE"""),1999.0)</f>
        <v>1999</v>
      </c>
      <c r="AT36" s="836" t="str">
        <f>IFERROR(__xludf.DUMMYFUNCTION("""COMPUTED_VALUE"""),"Excluded if children did not have parental or guardian permission to participate, did not provide a stool sample, had significant comorbidities (severe diarrhoea, severe anaemia, or high fever) or had recently transferred to the school from an area outsid"&amp;"e of Zanzibar")</f>
        <v>Excluded if children did not have parental or guardian permission to participate, did not provide a stool sample, had significant comorbidities (severe diarrhoea, severe anaemia, or high fever) or had recently transferred to the school from an area outside of Zanzibar</v>
      </c>
      <c r="AU36" s="836" t="str">
        <f>IFERROR(__xludf.DUMMYFUNCTION("""COMPUTED_VALUE"""),"Yes")</f>
        <v>Yes</v>
      </c>
      <c r="AV36" s="836" t="str">
        <f>IFERROR(__xludf.DUMMYFUNCTION("""COMPUTED_VALUE"""),"Yes")</f>
        <v>Yes</v>
      </c>
      <c r="AW36" s="836" t="str">
        <f>IFERROR(__xludf.DUMMYFUNCTION("""COMPUTED_VALUE"""),"randomized placebo controlled trial, single blind")</f>
        <v>randomized placebo controlled trial, single blind</v>
      </c>
      <c r="AX36" s="841">
        <f>IFERROR(__xludf.DUMMYFUNCTION("""COMPUTED_VALUE"""),0.096)</f>
        <v>0.096</v>
      </c>
      <c r="AY36" s="836"/>
      <c r="AZ36" s="841">
        <f>IFERROR(__xludf.DUMMYFUNCTION("""COMPUTED_VALUE"""),0.096)</f>
        <v>0.096</v>
      </c>
      <c r="BA36" s="836"/>
      <c r="BB36" s="836"/>
      <c r="BC36" s="836"/>
      <c r="BD36" s="836"/>
      <c r="BE36" s="836"/>
      <c r="BF36" s="836"/>
      <c r="BG36" s="836"/>
      <c r="BH36" s="841">
        <f>IFERROR(__xludf.DUMMYFUNCTION("""COMPUTED_VALUE"""),0.415)</f>
        <v>0.415</v>
      </c>
      <c r="BI36" s="836"/>
      <c r="BJ36" s="836"/>
      <c r="BK36" s="836"/>
      <c r="BL36" s="836"/>
      <c r="BM36" s="836"/>
      <c r="BN36" s="836"/>
      <c r="BO36" s="836"/>
      <c r="BP36" s="836"/>
      <c r="BQ36" s="697">
        <f>IFERROR(__xludf.DUMMYFUNCTION("""COMPUTED_VALUE"""),35.0)</f>
        <v>35</v>
      </c>
      <c r="BR36" s="844" t="str">
        <f>IFERROR(__xludf.DUMMYFUNCTION("""COMPUTED_VALUE"""),"Speich et al. ")</f>
        <v>Speich et al. </v>
      </c>
      <c r="BS36" s="838" t="str">
        <f>IFERROR(__xludf.DUMMYFUNCTION("""COMPUTED_VALUE"""),"Tanzania")</f>
        <v>Tanzania</v>
      </c>
      <c r="BT36" s="838" t="str">
        <f>IFERROR(__xludf.DUMMYFUNCTION("""COMPUTED_VALUE"""),"Placebo")</f>
        <v>Placebo</v>
      </c>
      <c r="BU36" s="838"/>
      <c r="BV36" s="838"/>
      <c r="BW36" s="838"/>
      <c r="BX36" s="838">
        <f>IFERROR(__xludf.DUMMYFUNCTION("""COMPUTED_VALUE"""),8.0)</f>
        <v>8</v>
      </c>
      <c r="BY36" s="838">
        <f>IFERROR(__xludf.DUMMYFUNCTION("""COMPUTED_VALUE"""),9.9)</f>
        <v>9.9</v>
      </c>
      <c r="BZ36" s="838">
        <f>IFERROR(__xludf.DUMMYFUNCTION("""COMPUTED_VALUE"""),2011.0)</f>
        <v>2011</v>
      </c>
      <c r="CA36" s="838"/>
      <c r="CB36" s="838"/>
      <c r="CC36" s="838" t="str">
        <f>IFERROR(__xludf.DUMMYFUNCTION("""COMPUTED_VALUE"""),"Yes")</f>
        <v>Yes</v>
      </c>
      <c r="CD36" s="847">
        <f>IFERROR(__xludf.DUMMYFUNCTION("""COMPUTED_VALUE"""),0.0)</f>
        <v>0</v>
      </c>
      <c r="CE36" s="838" t="str">
        <f>IFERROR(__xludf.DUMMYFUNCTION("""COMPUTED_VALUE"""),"Yes")</f>
        <v>Yes</v>
      </c>
      <c r="CF36" s="838"/>
      <c r="CG36" s="847">
        <f>IFERROR(__xludf.DUMMYFUNCTION("""COMPUTED_VALUE"""),0.0)</f>
        <v>0</v>
      </c>
      <c r="CH36" s="838"/>
      <c r="CI36" s="838"/>
      <c r="CJ36" s="838"/>
      <c r="CK36" s="838"/>
      <c r="CL36" s="838"/>
      <c r="CM36" s="838"/>
      <c r="CN36" s="838"/>
      <c r="CO36" s="838"/>
      <c r="CP36" s="838"/>
      <c r="CQ36" s="838"/>
      <c r="CR36" s="838"/>
      <c r="CS36" s="838"/>
      <c r="CT36" s="838"/>
      <c r="CU36" s="838"/>
      <c r="CV36" s="697" t="str">
        <f>IFERROR(__xludf.DUMMYFUNCTION("""COMPUTED_VALUE"""),"B. Speich, S. Ame, S.Ali et al. (2012) Efficacy and safety of nitazoxanide, albendazole, and nitazoxanide-albendazole against trichuris trichiura infection: A randomized controlled trial. PLoS Neglected Tropical Diseases 6(6). doi: 10.1371/journal.pntd.00"&amp;"01685")</f>
        <v>B. Speich, S. Ame, S.Ali et al. (2012) Efficacy and safety of nitazoxanide, albendazole, and nitazoxanide-albendazole against trichuris trichiura infection: A randomized controlled trial. PLoS Neglected Tropical Diseases 6(6). doi: 10.1371/journal.pntd.0001685</v>
      </c>
    </row>
    <row r="37">
      <c r="A37" s="842" t="str">
        <f>IFERROR(__xludf.DUMMYFUNCTION("""COMPUTED_VALUE"""),"Flohr et al. Study 1 ")</f>
        <v>Flohr et al. Study 1 </v>
      </c>
      <c r="B37" s="834" t="str">
        <f>IFERROR(__xludf.DUMMYFUNCTION("""COMPUTED_VALUE"""),"Viet Nam")</f>
        <v>Viet Nam</v>
      </c>
      <c r="C37" s="834" t="str">
        <f>IFERROR(__xludf.DUMMYFUNCTION("""COMPUTED_VALUE"""),"Placebo")</f>
        <v>Placebo</v>
      </c>
      <c r="D37" s="834"/>
      <c r="E37" s="834"/>
      <c r="F37" s="834">
        <f>IFERROR(__xludf.DUMMYFUNCTION("""COMPUTED_VALUE"""),134.0)</f>
        <v>134</v>
      </c>
      <c r="G37" s="834">
        <f>IFERROR(__xludf.DUMMYFUNCTION("""COMPUTED_VALUE"""),9.0)</f>
        <v>9</v>
      </c>
      <c r="H37" s="834"/>
      <c r="I37" s="834">
        <f>IFERROR(__xludf.DUMMYFUNCTION("""COMPUTED_VALUE"""),2006.0)</f>
        <v>2006</v>
      </c>
      <c r="J37" s="834" t="str">
        <f>IFERROR(__xludf.DUMMYFUNCTION("""COMPUTED_VALUE"""),"Must not be systematically ill or known to be allergic to the trial intervention")</f>
        <v>Must not be systematically ill or known to be allergic to the trial intervention</v>
      </c>
      <c r="K37" s="839" t="str">
        <f>IFERROR(__xludf.DUMMYFUNCTION("""COMPUTED_VALUE"""),"randomized double-blind placebo controlled study")</f>
        <v>randomized double-blind placebo controlled study</v>
      </c>
      <c r="L37" s="839" t="str">
        <f>IFERROR(__xludf.DUMMYFUNCTION("""COMPUTED_VALUE"""),"Yes")</f>
        <v>Yes</v>
      </c>
      <c r="M37" s="839" t="str">
        <f>IFERROR(__xludf.DUMMYFUNCTION("""COMPUTED_VALUE"""),"Yes")</f>
        <v>Yes</v>
      </c>
      <c r="N37" s="840">
        <f>IFERROR(__xludf.DUMMYFUNCTION("""COMPUTED_VALUE"""),0.33)</f>
        <v>0.33</v>
      </c>
      <c r="O37" s="840">
        <f>IFERROR(__xludf.DUMMYFUNCTION("""COMPUTED_VALUE"""),0.33)</f>
        <v>0.33</v>
      </c>
      <c r="P37" s="834"/>
      <c r="Q37" s="834"/>
      <c r="R37" s="834"/>
      <c r="S37" s="834"/>
      <c r="T37" s="834"/>
      <c r="U37" s="834"/>
      <c r="V37" s="834"/>
      <c r="W37" s="840">
        <f>IFERROR(__xludf.DUMMYFUNCTION("""COMPUTED_VALUE"""),0.41)</f>
        <v>0.41</v>
      </c>
      <c r="X37" s="834"/>
      <c r="Y37" s="834"/>
      <c r="Z37" s="834"/>
      <c r="AA37" s="834"/>
      <c r="AB37" s="834"/>
      <c r="AC37" s="834"/>
      <c r="AD37" s="834"/>
      <c r="AE37" s="834" t="str">
        <f>IFERROR(__xludf.DUMMYFUNCTION("""COMPUTED_VALUE"""),"The first study showed that single dose generic MB was not significantly superior to placebo agaisnt hookworm in rural vietnamese children.")</f>
        <v>The first study showed that single dose generic MB was not significantly superior to placebo agaisnt hookworm in rural vietnamese children.</v>
      </c>
      <c r="AF37" s="834" t="str">
        <f>IFERROR(__xludf.DUMMYFUNCTION("""COMPUTED_VALUE"""),"Two controlled, randomized trials were carried out: 1) Study 1 tested the efficacy of single dose Mebendazole500 mg in the therapy of hookworm infection in a randomized double-blind placebo-controlled trial among 271 Vietnamese schoolchildren.  2) Study 2"&amp;" carried out a similar randomized trial comparing triple dose mebendazole, single dose albendazole, and triple dose Albendazoleagainst placebo in 209 adults in the same area.")</f>
        <v>Two controlled, randomized trials were carried out: 1) Study 1 tested the efficacy of single dose Mebendazole500 mg in the therapy of hookworm infection in a randomized double-blind placebo-controlled trial among 271 Vietnamese schoolchildren.  2) Study 2 carried out a similar randomized trial comparing triple dose mebendazole, single dose albendazole, and triple dose Albendazoleagainst placebo in 209 adults in the same area.</v>
      </c>
      <c r="AG37" s="834" t="str">
        <f>IFERROR(__xludf.DUMMYFUNCTION("""COMPUTED_VALUE"""),"Flohr, Carsten, Luc Nguyen Tuyen, Sarah Lewis, Truong Tan Minh, Jim Campbell, John Britton, Hywel Williams, Tran Tinh Hien, Jeremy Farrar, and Rupert J. Quinnell. ""Low Efficacy of MebendazoleAgainst Hookworm In Vietnam: Two Randomized Controlled Trials."&amp;""" The American Society of Tropical Medicine and Hygiene 76.4 (2007): 732-36. Web.")</f>
        <v>Flohr, Carsten, Luc Nguyen Tuyen, Sarah Lewis, Truong Tan Minh, Jim Campbell, John Britton, Hywel Williams, Tran Tinh Hien, Jeremy Farrar, and Rupert J. Quinnell. "Low Efficacy of MebendazoleAgainst Hookworm In Vietnam: Two Randomized Controlled Trials." The American Society of Tropical Medicine and Hygiene 76.4 (2007): 732-36. Web.</v>
      </c>
      <c r="AH37" s="834"/>
      <c r="AJ37" s="843" t="str">
        <f>IFERROR(__xludf.DUMMYFUNCTION("""COMPUTED_VALUE"""),"Albonico et al.")</f>
        <v>Albonico et al.</v>
      </c>
      <c r="AK37" s="836"/>
      <c r="AL37" s="836" t="str">
        <f>IFERROR(__xludf.DUMMYFUNCTION("""COMPUTED_VALUE"""),"Tanzania")</f>
        <v>Tanzania</v>
      </c>
      <c r="AM37" s="836" t="str">
        <f>IFERROR(__xludf.DUMMYFUNCTION("""COMPUTED_VALUE"""),"Levamisole &amp; Mebendazole")</f>
        <v>Levamisole &amp; Mebendazole</v>
      </c>
      <c r="AN37" s="836" t="str">
        <f>IFERROR(__xludf.DUMMYFUNCTION("""COMPUTED_VALUE"""),"Single")</f>
        <v>Single</v>
      </c>
      <c r="AO37" s="836" t="str">
        <f>IFERROR(__xludf.DUMMYFUNCTION("""COMPUTED_VALUE"""),"40/80 mg; 500 mg")</f>
        <v>40/80 mg; 500 mg</v>
      </c>
      <c r="AP37" s="836"/>
      <c r="AQ37" s="836">
        <f>IFERROR(__xludf.DUMMYFUNCTION("""COMPUTED_VALUE"""),11.7)</f>
        <v>11.7</v>
      </c>
      <c r="AR37" s="836" t="str">
        <f>IFERROR(__xludf.DUMMYFUNCTION("""COMPUTED_VALUE"""),"Male:48.4%")</f>
        <v>Male:48.4%</v>
      </c>
      <c r="AS37" s="836">
        <f>IFERROR(__xludf.DUMMYFUNCTION("""COMPUTED_VALUE"""),1999.0)</f>
        <v>1999</v>
      </c>
      <c r="AT37" s="836" t="str">
        <f>IFERROR(__xludf.DUMMYFUNCTION("""COMPUTED_VALUE"""),"Excluded if children did not have parental or guardian permission to participate, did not provide a stool sample, had significant comorbidities (severe diarrhoea, severe anaemia, or high fever) or had recently transferred to the school from an area outsid"&amp;"e of Zanzibar")</f>
        <v>Excluded if children did not have parental or guardian permission to participate, did not provide a stool sample, had significant comorbidities (severe diarrhoea, severe anaemia, or high fever) or had recently transferred to the school from an area outside of Zanzibar</v>
      </c>
      <c r="AU37" s="836" t="str">
        <f>IFERROR(__xludf.DUMMYFUNCTION("""COMPUTED_VALUE"""),"Yes")</f>
        <v>Yes</v>
      </c>
      <c r="AV37" s="836" t="str">
        <f>IFERROR(__xludf.DUMMYFUNCTION("""COMPUTED_VALUE"""),"Yes")</f>
        <v>Yes</v>
      </c>
      <c r="AW37" s="836" t="str">
        <f>IFERROR(__xludf.DUMMYFUNCTION("""COMPUTED_VALUE"""),"randomized placebo controlled trial, single blind")</f>
        <v>randomized placebo controlled trial, single blind</v>
      </c>
      <c r="AX37" s="841">
        <f>IFERROR(__xludf.DUMMYFUNCTION("""COMPUTED_VALUE"""),0.229)</f>
        <v>0.229</v>
      </c>
      <c r="AY37" s="836"/>
      <c r="AZ37" s="841">
        <f>IFERROR(__xludf.DUMMYFUNCTION("""COMPUTED_VALUE"""),0.229)</f>
        <v>0.229</v>
      </c>
      <c r="BA37" s="836"/>
      <c r="BB37" s="836"/>
      <c r="BC37" s="836"/>
      <c r="BD37" s="836"/>
      <c r="BE37" s="836"/>
      <c r="BF37" s="836"/>
      <c r="BG37" s="836"/>
      <c r="BH37" s="841">
        <f>IFERROR(__xludf.DUMMYFUNCTION("""COMPUTED_VALUE"""),0.85)</f>
        <v>0.85</v>
      </c>
      <c r="BI37" s="836"/>
      <c r="BJ37" s="836"/>
      <c r="BK37" s="836"/>
      <c r="BL37" s="836"/>
      <c r="BM37" s="836"/>
      <c r="BN37" s="836"/>
      <c r="BO37" s="836"/>
      <c r="BP37" s="836"/>
      <c r="BQ37" s="697">
        <f>IFERROR(__xludf.DUMMYFUNCTION("""COMPUTED_VALUE"""),36.0)</f>
        <v>36</v>
      </c>
      <c r="BR37" s="844" t="str">
        <f>IFERROR(__xludf.DUMMYFUNCTION("""COMPUTED_VALUE"""),"Raccurt et al. ")</f>
        <v>Raccurt et al. </v>
      </c>
      <c r="BS37" s="838" t="str">
        <f>IFERROR(__xludf.DUMMYFUNCTION("""COMPUTED_VALUE"""),"Cameroon")</f>
        <v>Cameroon</v>
      </c>
      <c r="BT37" s="838" t="str">
        <f>IFERROR(__xludf.DUMMYFUNCTION("""COMPUTED_VALUE"""),"Albendazole")</f>
        <v>Albendazole</v>
      </c>
      <c r="BU37" s="838"/>
      <c r="BV37" s="838" t="str">
        <f>IFERROR(__xludf.DUMMYFUNCTION("""COMPUTED_VALUE"""),"Single")</f>
        <v>Single</v>
      </c>
      <c r="BW37" s="838" t="str">
        <f>IFERROR(__xludf.DUMMYFUNCTION("""COMPUTED_VALUE"""),"400 mg")</f>
        <v>400 mg</v>
      </c>
      <c r="BX37" s="838">
        <f>IFERROR(__xludf.DUMMYFUNCTION("""COMPUTED_VALUE"""),140.0)</f>
        <v>140</v>
      </c>
      <c r="BY37" s="845">
        <f>IFERROR(__xludf.DUMMYFUNCTION("""COMPUTED_VALUE"""),42443.0)</f>
        <v>42443</v>
      </c>
      <c r="BZ37" s="838">
        <f>IFERROR(__xludf.DUMMYFUNCTION("""COMPUTED_VALUE"""),1986.0)</f>
        <v>1986</v>
      </c>
      <c r="CA37" s="838" t="str">
        <f>IFERROR(__xludf.DUMMYFUNCTION("""COMPUTED_VALUE"""),"Males:79 Females:61")</f>
        <v>Males:79 Females:61</v>
      </c>
      <c r="CB37" s="838"/>
      <c r="CC37" s="838" t="str">
        <f>IFERROR(__xludf.DUMMYFUNCTION("""COMPUTED_VALUE"""),"No")</f>
        <v>No</v>
      </c>
      <c r="CD37" s="846">
        <f>IFERROR(__xludf.DUMMYFUNCTION("""COMPUTED_VALUE"""),1.0)</f>
        <v>1</v>
      </c>
      <c r="CE37" s="838" t="str">
        <f>IFERROR(__xludf.DUMMYFUNCTION("""COMPUTED_VALUE"""),"No")</f>
        <v>No</v>
      </c>
      <c r="CF37" s="838"/>
      <c r="CG37" s="838"/>
      <c r="CH37" s="838"/>
      <c r="CI37" s="838"/>
      <c r="CJ37" s="838"/>
      <c r="CK37" s="838"/>
      <c r="CL37" s="838"/>
      <c r="CM37" s="838"/>
      <c r="CN37" s="838"/>
      <c r="CO37" s="838"/>
      <c r="CP37" s="838"/>
      <c r="CQ37" s="838"/>
      <c r="CR37" s="838"/>
      <c r="CS37" s="838"/>
      <c r="CT37" s="838" t="str">
        <f>IFERROR(__xludf.DUMMYFUNCTION("""COMPUTED_VALUE"""),"Kato-Katz Method")</f>
        <v>Kato-Katz Method</v>
      </c>
      <c r="CU37" s="838"/>
      <c r="CV37" s="697" t="str">
        <f>IFERROR(__xludf.DUMMYFUNCTION("""COMPUTED_VALUE"""),"C.P. Raccurt, M.-T Lambert, J. Bouloumie, C.Ripert (1990) Evaluation of the treatment of intestinal helminthiases with Albendazole in Djohong (North Cameroon). Trop. Med. Parasites. 41. 46-48")</f>
        <v>C.P. Raccurt, M.-T Lambert, J. Bouloumie, C.Ripert (1990) Evaluation of the treatment of intestinal helminthiases with Albendazole in Djohong (North Cameroon). Trop. Med. Parasites. 41. 46-48</v>
      </c>
    </row>
    <row r="38">
      <c r="A38" s="842" t="str">
        <f>IFERROR(__xludf.DUMMYFUNCTION("""COMPUTED_VALUE"""),"Flohr et al. Study 1 ")</f>
        <v>Flohr et al. Study 1 </v>
      </c>
      <c r="B38" s="834" t="str">
        <f>IFERROR(__xludf.DUMMYFUNCTION("""COMPUTED_VALUE"""),"Viet Nam")</f>
        <v>Viet Nam</v>
      </c>
      <c r="C38" s="834" t="str">
        <f>IFERROR(__xludf.DUMMYFUNCTION("""COMPUTED_VALUE"""),"Mebendazole")</f>
        <v>Mebendazole</v>
      </c>
      <c r="D38" s="834" t="str">
        <f>IFERROR(__xludf.DUMMYFUNCTION("""COMPUTED_VALUE"""),"Single")</f>
        <v>Single</v>
      </c>
      <c r="E38" s="834" t="str">
        <f>IFERROR(__xludf.DUMMYFUNCTION("""COMPUTED_VALUE"""),"500 mg")</f>
        <v>500 mg</v>
      </c>
      <c r="F38" s="834">
        <f>IFERROR(__xludf.DUMMYFUNCTION("""COMPUTED_VALUE"""),137.0)</f>
        <v>137</v>
      </c>
      <c r="G38" s="834">
        <f>IFERROR(__xludf.DUMMYFUNCTION("""COMPUTED_VALUE"""),9.0)</f>
        <v>9</v>
      </c>
      <c r="H38" s="834"/>
      <c r="I38" s="834">
        <f>IFERROR(__xludf.DUMMYFUNCTION("""COMPUTED_VALUE"""),2006.0)</f>
        <v>2006</v>
      </c>
      <c r="J38" s="834" t="str">
        <f>IFERROR(__xludf.DUMMYFUNCTION("""COMPUTED_VALUE"""),"Must not be systematically ill or known to be allergic to the trial intervention")</f>
        <v>Must not be systematically ill or known to be allergic to the trial intervention</v>
      </c>
      <c r="K38" s="839" t="str">
        <f>IFERROR(__xludf.DUMMYFUNCTION("""COMPUTED_VALUE"""),"randomized double-blind placebo controlled study")</f>
        <v>randomized double-blind placebo controlled study</v>
      </c>
      <c r="L38" s="839" t="str">
        <f>IFERROR(__xludf.DUMMYFUNCTION("""COMPUTED_VALUE"""),"Yes")</f>
        <v>Yes</v>
      </c>
      <c r="M38" s="839" t="str">
        <f>IFERROR(__xludf.DUMMYFUNCTION("""COMPUTED_VALUE"""),"Yes")</f>
        <v>Yes</v>
      </c>
      <c r="N38" s="840">
        <f>IFERROR(__xludf.DUMMYFUNCTION("""COMPUTED_VALUE"""),0.38)</f>
        <v>0.38</v>
      </c>
      <c r="O38" s="840">
        <f>IFERROR(__xludf.DUMMYFUNCTION("""COMPUTED_VALUE"""),0.38)</f>
        <v>0.38</v>
      </c>
      <c r="P38" s="834"/>
      <c r="Q38" s="834"/>
      <c r="R38" s="834"/>
      <c r="S38" s="834"/>
      <c r="T38" s="834"/>
      <c r="U38" s="834"/>
      <c r="V38" s="834"/>
      <c r="W38" s="840">
        <f>IFERROR(__xludf.DUMMYFUNCTION("""COMPUTED_VALUE"""),0.52)</f>
        <v>0.52</v>
      </c>
      <c r="X38" s="834"/>
      <c r="Y38" s="834"/>
      <c r="Z38" s="834"/>
      <c r="AA38" s="834"/>
      <c r="AB38" s="834"/>
      <c r="AC38" s="834"/>
      <c r="AD38" s="834"/>
      <c r="AE38" s="834" t="str">
        <f>IFERROR(__xludf.DUMMYFUNCTION("""COMPUTED_VALUE"""),"The first study showed that single dose generic MB was not significantly superior to placebo agaisnt hookworm in rural vietnamese children.")</f>
        <v>The first study showed that single dose generic MB was not significantly superior to placebo agaisnt hookworm in rural vietnamese children.</v>
      </c>
      <c r="AF38" s="834" t="str">
        <f>IFERROR(__xludf.DUMMYFUNCTION("""COMPUTED_VALUE"""),"Two controlled, randomized trials were carried out: 1) Study 1 tested the efficacy of single dose Mebendazole500 mg in the therapy of hookworm infection in a randomized double-blind placebo-controlled trial among 271 Vietnamese schoolchildren.  2) Study 2"&amp;" carried out a similar randomized trial comparing triple dose mebendazole, single dose albendazole, and triple dose Albendazoleagainst placebo in 209 adults in the same area.")</f>
        <v>Two controlled, randomized trials were carried out: 1) Study 1 tested the efficacy of single dose Mebendazole500 mg in the therapy of hookworm infection in a randomized double-blind placebo-controlled trial among 271 Vietnamese schoolchildren.  2) Study 2 carried out a similar randomized trial comparing triple dose mebendazole, single dose albendazole, and triple dose Albendazoleagainst placebo in 209 adults in the same area.</v>
      </c>
      <c r="AG38" s="834" t="str">
        <f>IFERROR(__xludf.DUMMYFUNCTION("""COMPUTED_VALUE"""),"Flohr, Carsten, Luc Nguyen Tuyen, Sarah Lewis, Truong Tan Minh, Jim Campbell, John Britton, Hywel Williams, Tran Tinh Hien, Jeremy Farrar, and Rupert J. Quinnell. ""Low Efficacy of MebendazoleAgainst Hookworm In Vietnam: Two Randomized Controlled Trials."&amp;""" The American Society of Tropical Medicine and Hygiene 76.4 (2007): 732-36. Web.")</f>
        <v>Flohr, Carsten, Luc Nguyen Tuyen, Sarah Lewis, Truong Tan Minh, Jim Campbell, John Britton, Hywel Williams, Tran Tinh Hien, Jeremy Farrar, and Rupert J. Quinnell. "Low Efficacy of MebendazoleAgainst Hookworm In Vietnam: Two Randomized Controlled Trials." The American Society of Tropical Medicine and Hygiene 76.4 (2007): 732-36. Web.</v>
      </c>
      <c r="AH38" s="834"/>
      <c r="AJ38" s="843" t="str">
        <f>IFERROR(__xludf.DUMMYFUNCTION("""COMPUTED_VALUE"""),"Albonico et al.")</f>
        <v>Albonico et al.</v>
      </c>
      <c r="AK38" s="836"/>
      <c r="AL38" s="836" t="str">
        <f>IFERROR(__xludf.DUMMYFUNCTION("""COMPUTED_VALUE"""),"Tanzania")</f>
        <v>Tanzania</v>
      </c>
      <c r="AM38" s="836" t="str">
        <f>IFERROR(__xludf.DUMMYFUNCTION("""COMPUTED_VALUE"""),"Placebo")</f>
        <v>Placebo</v>
      </c>
      <c r="AN38" s="836"/>
      <c r="AO38" s="836"/>
      <c r="AP38" s="836"/>
      <c r="AQ38" s="836">
        <f>IFERROR(__xludf.DUMMYFUNCTION("""COMPUTED_VALUE"""),11.6)</f>
        <v>11.6</v>
      </c>
      <c r="AR38" s="836" t="str">
        <f>IFERROR(__xludf.DUMMYFUNCTION("""COMPUTED_VALUE"""),"Male:48.4%")</f>
        <v>Male:48.4%</v>
      </c>
      <c r="AS38" s="836">
        <f>IFERROR(__xludf.DUMMYFUNCTION("""COMPUTED_VALUE"""),1999.0)</f>
        <v>1999</v>
      </c>
      <c r="AT38" s="836" t="str">
        <f>IFERROR(__xludf.DUMMYFUNCTION("""COMPUTED_VALUE"""),"Excluded if children did not have parental or guardian permission to participate, did not provide a stool sample, had significant comorbidities (severe diarrhoea, severe anaemia, or high fever) or had recently transferred to the school from an area outsid"&amp;"e of Zanzibar")</f>
        <v>Excluded if children did not have parental or guardian permission to participate, did not provide a stool sample, had significant comorbidities (severe diarrhoea, severe anaemia, or high fever) or had recently transferred to the school from an area outside of Zanzibar</v>
      </c>
      <c r="AU38" s="836" t="str">
        <f>IFERROR(__xludf.DUMMYFUNCTION("""COMPUTED_VALUE"""),"Yes")</f>
        <v>Yes</v>
      </c>
      <c r="AV38" s="836" t="str">
        <f>IFERROR(__xludf.DUMMYFUNCTION("""COMPUTED_VALUE"""),"Yes")</f>
        <v>Yes</v>
      </c>
      <c r="AW38" s="836" t="str">
        <f>IFERROR(__xludf.DUMMYFUNCTION("""COMPUTED_VALUE"""),"randomized placebo controlled trial, single blind")</f>
        <v>randomized placebo controlled trial, single blind</v>
      </c>
      <c r="AX38" s="841">
        <f>IFERROR(__xludf.DUMMYFUNCTION("""COMPUTED_VALUE"""),0.048)</f>
        <v>0.048</v>
      </c>
      <c r="AY38" s="836"/>
      <c r="AZ38" s="841">
        <f>IFERROR(__xludf.DUMMYFUNCTION("""COMPUTED_VALUE"""),0.048)</f>
        <v>0.048</v>
      </c>
      <c r="BA38" s="836"/>
      <c r="BB38" s="836"/>
      <c r="BC38" s="836"/>
      <c r="BD38" s="836"/>
      <c r="BE38" s="836"/>
      <c r="BF38" s="836"/>
      <c r="BG38" s="836"/>
      <c r="BH38" s="841">
        <f>IFERROR(__xludf.DUMMYFUNCTION("""COMPUTED_VALUE"""),0.183)</f>
        <v>0.183</v>
      </c>
      <c r="BI38" s="836"/>
      <c r="BJ38" s="836"/>
      <c r="BK38" s="836"/>
      <c r="BL38" s="836"/>
      <c r="BM38" s="836"/>
      <c r="BN38" s="836"/>
      <c r="BO38" s="836"/>
      <c r="BP38" s="836"/>
      <c r="BQ38" s="697">
        <f>IFERROR(__xludf.DUMMYFUNCTION("""COMPUTED_VALUE"""),37.0)</f>
        <v>37</v>
      </c>
      <c r="BR38" s="844" t="str">
        <f>IFERROR(__xludf.DUMMYFUNCTION("""COMPUTED_VALUE"""),"Raccurt et al. ")</f>
        <v>Raccurt et al. </v>
      </c>
      <c r="BS38" s="838" t="str">
        <f>IFERROR(__xludf.DUMMYFUNCTION("""COMPUTED_VALUE"""),"Cameroon")</f>
        <v>Cameroon</v>
      </c>
      <c r="BT38" s="838" t="str">
        <f>IFERROR(__xludf.DUMMYFUNCTION("""COMPUTED_VALUE"""),"Albendazole")</f>
        <v>Albendazole</v>
      </c>
      <c r="BU38" s="838"/>
      <c r="BV38" s="838" t="str">
        <f>IFERROR(__xludf.DUMMYFUNCTION("""COMPUTED_VALUE"""),"Single")</f>
        <v>Single</v>
      </c>
      <c r="BW38" s="838" t="str">
        <f>IFERROR(__xludf.DUMMYFUNCTION("""COMPUTED_VALUE"""),"400 mg")</f>
        <v>400 mg</v>
      </c>
      <c r="BX38" s="838">
        <f>IFERROR(__xludf.DUMMYFUNCTION("""COMPUTED_VALUE"""),56.0)</f>
        <v>56</v>
      </c>
      <c r="BY38" s="838" t="str">
        <f>IFERROR(__xludf.DUMMYFUNCTION("""COMPUTED_VALUE"""),"15-39 ")</f>
        <v>15-39 </v>
      </c>
      <c r="BZ38" s="838">
        <f>IFERROR(__xludf.DUMMYFUNCTION("""COMPUTED_VALUE"""),1986.0)</f>
        <v>1986</v>
      </c>
      <c r="CA38" s="838" t="str">
        <f>IFERROR(__xludf.DUMMYFUNCTION("""COMPUTED_VALUE"""),"Males:32 Females:24")</f>
        <v>Males:32 Females:24</v>
      </c>
      <c r="CB38" s="838"/>
      <c r="CC38" s="838" t="str">
        <f>IFERROR(__xludf.DUMMYFUNCTION("""COMPUTED_VALUE"""),"No")</f>
        <v>No</v>
      </c>
      <c r="CD38" s="838"/>
      <c r="CE38" s="838" t="str">
        <f>IFERROR(__xludf.DUMMYFUNCTION("""COMPUTED_VALUE"""),"No")</f>
        <v>No</v>
      </c>
      <c r="CF38" s="838"/>
      <c r="CG38" s="838"/>
      <c r="CH38" s="838"/>
      <c r="CI38" s="838"/>
      <c r="CJ38" s="838"/>
      <c r="CK38" s="838"/>
      <c r="CL38" s="838"/>
      <c r="CM38" s="838"/>
      <c r="CN38" s="838"/>
      <c r="CO38" s="838"/>
      <c r="CP38" s="838"/>
      <c r="CQ38" s="838"/>
      <c r="CR38" s="838"/>
      <c r="CS38" s="838"/>
      <c r="CT38" s="838"/>
      <c r="CU38" s="838"/>
      <c r="CV38" s="697" t="str">
        <f>IFERROR(__xludf.DUMMYFUNCTION("""COMPUTED_VALUE"""),"C.P. Raccurt, M.-T Lambert, J. Bouloumie, C.Ripert (1990) Evaluation of the treatment of intestinal helminthiases with Albendazole in Djohong (North Cameroon). Trop. Med. Parasites. 41. 46-48")</f>
        <v>C.P. Raccurt, M.-T Lambert, J. Bouloumie, C.Ripert (1990) Evaluation of the treatment of intestinal helminthiases with Albendazole in Djohong (North Cameroon). Trop. Med. Parasites. 41. 46-48</v>
      </c>
    </row>
    <row r="39">
      <c r="A39" s="842" t="str">
        <f>IFERROR(__xludf.DUMMYFUNCTION("""COMPUTED_VALUE"""),"Flohr et al. Study 1 ")</f>
        <v>Flohr et al. Study 1 </v>
      </c>
      <c r="B39" s="834" t="str">
        <f>IFERROR(__xludf.DUMMYFUNCTION("""COMPUTED_VALUE"""),"Viet Nam")</f>
        <v>Viet Nam</v>
      </c>
      <c r="C39" s="834" t="str">
        <f>IFERROR(__xludf.DUMMYFUNCTION("""COMPUTED_VALUE"""),"Placebo")</f>
        <v>Placebo</v>
      </c>
      <c r="D39" s="834"/>
      <c r="E39" s="834"/>
      <c r="F39" s="834">
        <f>IFERROR(__xludf.DUMMYFUNCTION("""COMPUTED_VALUE"""),54.0)</f>
        <v>54</v>
      </c>
      <c r="G39" s="834">
        <f>IFERROR(__xludf.DUMMYFUNCTION("""COMPUTED_VALUE"""),37.0)</f>
        <v>37</v>
      </c>
      <c r="H39" s="834"/>
      <c r="I39" s="834">
        <f>IFERROR(__xludf.DUMMYFUNCTION("""COMPUTED_VALUE"""),2006.0)</f>
        <v>2006</v>
      </c>
      <c r="J39" s="834" t="str">
        <f>IFERROR(__xludf.DUMMYFUNCTION("""COMPUTED_VALUE"""),"Must not be systematically ill or known to be allergic to the trial intervention")</f>
        <v>Must not be systematically ill or known to be allergic to the trial intervention</v>
      </c>
      <c r="K39" s="839" t="str">
        <f>IFERROR(__xludf.DUMMYFUNCTION("""COMPUTED_VALUE"""),"randomized double-blind placebo controlled study")</f>
        <v>randomized double-blind placebo controlled study</v>
      </c>
      <c r="L39" s="839" t="str">
        <f>IFERROR(__xludf.DUMMYFUNCTION("""COMPUTED_VALUE"""),"Yes")</f>
        <v>Yes</v>
      </c>
      <c r="M39" s="839" t="str">
        <f>IFERROR(__xludf.DUMMYFUNCTION("""COMPUTED_VALUE"""),"Yes")</f>
        <v>Yes</v>
      </c>
      <c r="N39" s="840">
        <f>IFERROR(__xludf.DUMMYFUNCTION("""COMPUTED_VALUE"""),0.35)</f>
        <v>0.35</v>
      </c>
      <c r="O39" s="840">
        <f>IFERROR(__xludf.DUMMYFUNCTION("""COMPUTED_VALUE"""),0.35)</f>
        <v>0.35</v>
      </c>
      <c r="P39" s="834"/>
      <c r="Q39" s="834"/>
      <c r="R39" s="834"/>
      <c r="S39" s="834"/>
      <c r="T39" s="834"/>
      <c r="U39" s="834"/>
      <c r="V39" s="834"/>
      <c r="W39" s="840">
        <f>IFERROR(__xludf.DUMMYFUNCTION("""COMPUTED_VALUE"""),0.13)</f>
        <v>0.13</v>
      </c>
      <c r="X39" s="834"/>
      <c r="Y39" s="834"/>
      <c r="Z39" s="834"/>
      <c r="AA39" s="834"/>
      <c r="AB39" s="834"/>
      <c r="AC39" s="834"/>
      <c r="AD39" s="834"/>
      <c r="AE39" s="834" t="str">
        <f>IFERROR(__xludf.DUMMYFUNCTION("""COMPUTED_VALUE"""),"As ALB has a higher efficacy against hookworm infection than MB, they also compared single and triple doses. They found that all three treatments were better than placebo in terms of reduction of fecal egg count, with triple dose ALB being the most effica"&amp;"cious")</f>
        <v>As ALB has a higher efficacy against hookworm infection than MB, they also compared single and triple doses. They found that all three treatments were better than placebo in terms of reduction of fecal egg count, with triple dose ALB being the most efficacious</v>
      </c>
      <c r="AF39" s="834" t="str">
        <f>IFERROR(__xludf.DUMMYFUNCTION("""COMPUTED_VALUE"""),"Two controlled, randomized trials were carried out: 1) Study 1 tested the efficacy of single dose Mebendazole500 mg in the therapy of hookworm infection in a randomized double-blind placebo-controlled trial among 271 Vietnamese schoolchildren.  2) Study 2"&amp;" carried out a similar randomized trial comparing triple dose mebendazole, single dose albendazole, and triple dose Albendazoleagainst placebo in 209 adults in the same area.")</f>
        <v>Two controlled, randomized trials were carried out: 1) Study 1 tested the efficacy of single dose Mebendazole500 mg in the therapy of hookworm infection in a randomized double-blind placebo-controlled trial among 271 Vietnamese schoolchildren.  2) Study 2 carried out a similar randomized trial comparing triple dose mebendazole, single dose albendazole, and triple dose Albendazoleagainst placebo in 209 adults in the same area.</v>
      </c>
      <c r="AG39" s="834" t="str">
        <f>IFERROR(__xludf.DUMMYFUNCTION("""COMPUTED_VALUE"""),"Flohr, Carsten, Luc Nguyen Tuyen, Sarah Lewis, Truong Tan Minh, Jim Campbell, John Britton, Hywel Williams, Tran Tinh Hien, Jeremy Farrar, and Rupert J. Quinnell. ""Low Efficacy of MebendazoleAgainst Hookworm In Vietnam: Two Randomized Controlled Trials."&amp;""" The American Society of Tropical Medicine and Hygiene 76.4 (2007): 732-36. Web.")</f>
        <v>Flohr, Carsten, Luc Nguyen Tuyen, Sarah Lewis, Truong Tan Minh, Jim Campbell, John Britton, Hywel Williams, Tran Tinh Hien, Jeremy Farrar, and Rupert J. Quinnell. "Low Efficacy of MebendazoleAgainst Hookworm In Vietnam: Two Randomized Controlled Trials." The American Society of Tropical Medicine and Hygiene 76.4 (2007): 732-36. Web.</v>
      </c>
      <c r="AH39" s="834"/>
      <c r="AJ39" s="843" t="str">
        <f>IFERROR(__xludf.DUMMYFUNCTION("""COMPUTED_VALUE"""),"Diawara et al.")</f>
        <v>Diawara et al.</v>
      </c>
      <c r="AK39" s="836" t="str">
        <f>IFERROR(__xludf.DUMMYFUNCTION("""COMPUTED_VALUE"""),"Diawara, Aissatou, Carli M. Halpenny, Thomas S. Churcher, Charles Mwandawiro, Jimmy Kihara, Ray M. Kaplan, Thomas G. Streit, Youssef Idaghdour, Marilyn E. Scott, Maria-Gloria Basanez, and Roger K. Prichard. ""Association Between Response to AlbendazoleTre"&amp;"atment and B-Tubulin Genotype Frequencies in Soil Transmitted Helminths."" PLOS Neglected Tropical Diseases 7.5 (2013): 1-11. Web.")</f>
        <v>Diawara, Aissatou, Carli M. Halpenny, Thomas S. Churcher, Charles Mwandawiro, Jimmy Kihara, Ray M. Kaplan, Thomas G. Streit, Youssef Idaghdour, Marilyn E. Scott, Maria-Gloria Basanez, and Roger K. Prichard. "Association Between Response to AlbendazoleTreatment and B-Tubulin Genotype Frequencies in Soil Transmitted Helminths." PLOS Neglected Tropical Diseases 7.5 (2013): 1-11. Web.</v>
      </c>
      <c r="AL39" s="836" t="str">
        <f>IFERROR(__xludf.DUMMYFUNCTION("""COMPUTED_VALUE"""),"Haiti")</f>
        <v>Haiti</v>
      </c>
      <c r="AM39" s="836" t="str">
        <f>IFERROR(__xludf.DUMMYFUNCTION("""COMPUTED_VALUE"""),"Albendazole")</f>
        <v>Albendazole</v>
      </c>
      <c r="AN39" s="836" t="str">
        <f>IFERROR(__xludf.DUMMYFUNCTION("""COMPUTED_VALUE"""),"Single")</f>
        <v>Single</v>
      </c>
      <c r="AO39" s="836" t="str">
        <f>IFERROR(__xludf.DUMMYFUNCTION("""COMPUTED_VALUE"""),"400 mg")</f>
        <v>400 mg</v>
      </c>
      <c r="AP39" s="836" t="str">
        <f>IFERROR(__xludf.DUMMYFUNCTION("""COMPUTED_VALUE"""),"73/353")</f>
        <v>73/353</v>
      </c>
      <c r="AQ39" s="836" t="str">
        <f>IFERROR(__xludf.DUMMYFUNCTION("""COMPUTED_VALUE"""),"pre-school age children")</f>
        <v>pre-school age children</v>
      </c>
      <c r="AR39" s="836"/>
      <c r="AS39" s="836">
        <f>IFERROR(__xludf.DUMMYFUNCTION("""COMPUTED_VALUE"""),2009.0)</f>
        <v>2009</v>
      </c>
      <c r="AT39" s="836"/>
      <c r="AU39" s="836" t="str">
        <f>IFERROR(__xludf.DUMMYFUNCTION("""COMPUTED_VALUE"""),"No")</f>
        <v>No</v>
      </c>
      <c r="AV39" s="836" t="str">
        <f>IFERROR(__xludf.DUMMYFUNCTION("""COMPUTED_VALUE"""),"No")</f>
        <v>No</v>
      </c>
      <c r="AW39" s="836" t="str">
        <f>IFERROR(__xludf.DUMMYFUNCTION("""COMPUTED_VALUE"""),"three cross-sectional studies, MDA?")</f>
        <v>three cross-sectional studies, MDA?</v>
      </c>
      <c r="AX39" s="836"/>
      <c r="AY39" s="836"/>
      <c r="AZ39" s="836"/>
      <c r="BA39" s="836"/>
      <c r="BB39" s="836"/>
      <c r="BC39" s="836"/>
      <c r="BD39" s="836"/>
      <c r="BE39" s="836"/>
      <c r="BF39" s="836"/>
      <c r="BG39" s="836"/>
      <c r="BH39" s="841">
        <f>IFERROR(__xludf.DUMMYFUNCTION("""COMPUTED_VALUE"""),0.497)</f>
        <v>0.497</v>
      </c>
      <c r="BI39" s="836"/>
      <c r="BJ39" s="836"/>
      <c r="BK39" s="836"/>
      <c r="BL39" s="836"/>
      <c r="BM39" s="836"/>
      <c r="BN39" s="836"/>
      <c r="BO39" s="836" t="str">
        <f>IFERROR(__xludf.DUMMYFUNCTION("""COMPUTED_VALUE"""),"Modified McMaster technique")</f>
        <v>Modified McMaster technique</v>
      </c>
      <c r="BP39" s="836" t="str">
        <f>IFERROR(__xludf.DUMMYFUNCTION("""COMPUTED_VALUE"""),"x")</f>
        <v>x</v>
      </c>
      <c r="BQ39" s="697">
        <f>IFERROR(__xludf.DUMMYFUNCTION("""COMPUTED_VALUE"""),38.0)</f>
        <v>38</v>
      </c>
      <c r="BR39" s="844" t="str">
        <f>IFERROR(__xludf.DUMMYFUNCTION("""COMPUTED_VALUE"""),"Raccurt et al. ")</f>
        <v>Raccurt et al. </v>
      </c>
      <c r="BS39" s="838" t="str">
        <f>IFERROR(__xludf.DUMMYFUNCTION("""COMPUTED_VALUE"""),"Cameroon")</f>
        <v>Cameroon</v>
      </c>
      <c r="BT39" s="838" t="str">
        <f>IFERROR(__xludf.DUMMYFUNCTION("""COMPUTED_VALUE"""),"Albendazole")</f>
        <v>Albendazole</v>
      </c>
      <c r="BU39" s="838"/>
      <c r="BV39" s="838" t="str">
        <f>IFERROR(__xludf.DUMMYFUNCTION("""COMPUTED_VALUE"""),"Single")</f>
        <v>Single</v>
      </c>
      <c r="BW39" s="838" t="str">
        <f>IFERROR(__xludf.DUMMYFUNCTION("""COMPUTED_VALUE"""),"400 mg")</f>
        <v>400 mg</v>
      </c>
      <c r="BX39" s="838">
        <f>IFERROR(__xludf.DUMMYFUNCTION("""COMPUTED_VALUE"""),50.0)</f>
        <v>50</v>
      </c>
      <c r="BY39" s="838" t="str">
        <f>IFERROR(__xludf.DUMMYFUNCTION("""COMPUTED_VALUE"""),"40-69 ")</f>
        <v>40-69 </v>
      </c>
      <c r="BZ39" s="838">
        <f>IFERROR(__xludf.DUMMYFUNCTION("""COMPUTED_VALUE"""),1986.0)</f>
        <v>1986</v>
      </c>
      <c r="CA39" s="838" t="str">
        <f>IFERROR(__xludf.DUMMYFUNCTION("""COMPUTED_VALUE"""),"Males:28 Females:22")</f>
        <v>Males:28 Females:22</v>
      </c>
      <c r="CB39" s="838"/>
      <c r="CC39" s="838" t="str">
        <f>IFERROR(__xludf.DUMMYFUNCTION("""COMPUTED_VALUE"""),"No")</f>
        <v>No</v>
      </c>
      <c r="CD39" s="838"/>
      <c r="CE39" s="838" t="str">
        <f>IFERROR(__xludf.DUMMYFUNCTION("""COMPUTED_VALUE"""),"No")</f>
        <v>No</v>
      </c>
      <c r="CF39" s="838"/>
      <c r="CG39" s="838"/>
      <c r="CH39" s="838"/>
      <c r="CI39" s="838"/>
      <c r="CJ39" s="838"/>
      <c r="CK39" s="838"/>
      <c r="CL39" s="838"/>
      <c r="CM39" s="838"/>
      <c r="CN39" s="838"/>
      <c r="CO39" s="838"/>
      <c r="CP39" s="838"/>
      <c r="CQ39" s="838"/>
      <c r="CR39" s="838"/>
      <c r="CS39" s="838"/>
      <c r="CT39" s="838"/>
      <c r="CU39" s="838"/>
      <c r="CV39" s="697" t="str">
        <f>IFERROR(__xludf.DUMMYFUNCTION("""COMPUTED_VALUE"""),"C.P. Raccurt, M.-T Lambert, J. Bouloumie, C.Ripert (1990) Evaluation of the treatment of intestinal helminthiases with Albendazole in Djohong (North Cameroon). Trop. Med. Parasites. 41. 46-48")</f>
        <v>C.P. Raccurt, M.-T Lambert, J. Bouloumie, C.Ripert (1990) Evaluation of the treatment of intestinal helminthiases with Albendazole in Djohong (North Cameroon). Trop. Med. Parasites. 41. 46-48</v>
      </c>
    </row>
    <row r="40">
      <c r="A40" s="842" t="str">
        <f>IFERROR(__xludf.DUMMYFUNCTION("""COMPUTED_VALUE"""),"Flohr et al. Study 1 ")</f>
        <v>Flohr et al. Study 1 </v>
      </c>
      <c r="B40" s="834" t="str">
        <f>IFERROR(__xludf.DUMMYFUNCTION("""COMPUTED_VALUE"""),"Viet Nam")</f>
        <v>Viet Nam</v>
      </c>
      <c r="C40" s="834" t="str">
        <f>IFERROR(__xludf.DUMMYFUNCTION("""COMPUTED_VALUE"""),"Mebendazole")</f>
        <v>Mebendazole</v>
      </c>
      <c r="D40" s="834" t="str">
        <f>IFERROR(__xludf.DUMMYFUNCTION("""COMPUTED_VALUE"""),"Three")</f>
        <v>Three</v>
      </c>
      <c r="E40" s="834" t="str">
        <f>IFERROR(__xludf.DUMMYFUNCTION("""COMPUTED_VALUE"""),"500 mg")</f>
        <v>500 mg</v>
      </c>
      <c r="F40" s="834">
        <f>IFERROR(__xludf.DUMMYFUNCTION("""COMPUTED_VALUE"""),54.0)</f>
        <v>54</v>
      </c>
      <c r="G40" s="834">
        <f>IFERROR(__xludf.DUMMYFUNCTION("""COMPUTED_VALUE"""),35.0)</f>
        <v>35</v>
      </c>
      <c r="H40" s="834"/>
      <c r="I40" s="834">
        <f>IFERROR(__xludf.DUMMYFUNCTION("""COMPUTED_VALUE"""),2006.0)</f>
        <v>2006</v>
      </c>
      <c r="J40" s="834" t="str">
        <f>IFERROR(__xludf.DUMMYFUNCTION("""COMPUTED_VALUE"""),"Must not be systematically ill or known to be allergic to the trial intervention")</f>
        <v>Must not be systematically ill or known to be allergic to the trial intervention</v>
      </c>
      <c r="K40" s="839" t="str">
        <f>IFERROR(__xludf.DUMMYFUNCTION("""COMPUTED_VALUE"""),"randomized double-blind placebo controlled study")</f>
        <v>randomized double-blind placebo controlled study</v>
      </c>
      <c r="L40" s="839" t="str">
        <f>IFERROR(__xludf.DUMMYFUNCTION("""COMPUTED_VALUE"""),"Yes")</f>
        <v>Yes</v>
      </c>
      <c r="M40" s="839" t="str">
        <f>IFERROR(__xludf.DUMMYFUNCTION("""COMPUTED_VALUE"""),"Yes")</f>
        <v>Yes</v>
      </c>
      <c r="N40" s="840">
        <f>IFERROR(__xludf.DUMMYFUNCTION("""COMPUTED_VALUE"""),0.26)</f>
        <v>0.26</v>
      </c>
      <c r="O40" s="840">
        <f>IFERROR(__xludf.DUMMYFUNCTION("""COMPUTED_VALUE"""),0.26)</f>
        <v>0.26</v>
      </c>
      <c r="P40" s="834"/>
      <c r="Q40" s="834"/>
      <c r="R40" s="834"/>
      <c r="S40" s="834"/>
      <c r="T40" s="834"/>
      <c r="U40" s="834"/>
      <c r="V40" s="834"/>
      <c r="W40" s="840">
        <f>IFERROR(__xludf.DUMMYFUNCTION("""COMPUTED_VALUE"""),0.85)</f>
        <v>0.85</v>
      </c>
      <c r="X40" s="834"/>
      <c r="Y40" s="834"/>
      <c r="Z40" s="834"/>
      <c r="AA40" s="834"/>
      <c r="AB40" s="834"/>
      <c r="AC40" s="834"/>
      <c r="AD40" s="834"/>
      <c r="AE40" s="834" t="str">
        <f>IFERROR(__xludf.DUMMYFUNCTION("""COMPUTED_VALUE"""),"As ALB has a higher efficacy against hookworm infection than MB, they also compared single and triple doses. They found that all three treatments were better than placebo in terms of reduction of fecal egg count, with triple dose ALB being the most effica"&amp;"cious")</f>
        <v>As ALB has a higher efficacy against hookworm infection than MB, they also compared single and triple doses. They found that all three treatments were better than placebo in terms of reduction of fecal egg count, with triple dose ALB being the most efficacious</v>
      </c>
      <c r="AF40" s="834" t="str">
        <f>IFERROR(__xludf.DUMMYFUNCTION("""COMPUTED_VALUE"""),"Two controlled, randomized trials were carried out: 1) Study 1 tested the efficacy of single dose Mebendazole500 mg in the therapy of hookworm infection in a randomized double-blind placebo-controlled trial among 271 Vietnamese schoolchildren.  2) Study 2"&amp;" carried out a similar randomized trial comparing triple dose mebendazole, single dose albendazole, and triple dose Albendazoleagainst placebo in 209 adults in the same area.")</f>
        <v>Two controlled, randomized trials were carried out: 1) Study 1 tested the efficacy of single dose Mebendazole500 mg in the therapy of hookworm infection in a randomized double-blind placebo-controlled trial among 271 Vietnamese schoolchildren.  2) Study 2 carried out a similar randomized trial comparing triple dose mebendazole, single dose albendazole, and triple dose Albendazoleagainst placebo in 209 adults in the same area.</v>
      </c>
      <c r="AG40" s="834" t="str">
        <f>IFERROR(__xludf.DUMMYFUNCTION("""COMPUTED_VALUE"""),"Flohr, Carsten, Luc Nguyen Tuyen, Sarah Lewis, Truong Tan Minh, Jim Campbell, John Britton, Hywel Williams, Tran Tinh Hien, Jeremy Farrar, and Rupert J. Quinnell. ""Low Efficacy of MebendazoleAgainst Hookworm In Vietnam: Two Randomized Controlled Trials."&amp;""" The American Society of Tropical Medicine and Hygiene 76.4 (2007): 732-36. Web.")</f>
        <v>Flohr, Carsten, Luc Nguyen Tuyen, Sarah Lewis, Truong Tan Minh, Jim Campbell, John Britton, Hywel Williams, Tran Tinh Hien, Jeremy Farrar, and Rupert J. Quinnell. "Low Efficacy of MebendazoleAgainst Hookworm In Vietnam: Two Randomized Controlled Trials." The American Society of Tropical Medicine and Hygiene 76.4 (2007): 732-36. Web.</v>
      </c>
      <c r="AH40" s="834"/>
      <c r="AJ40" s="843" t="str">
        <f>IFERROR(__xludf.DUMMYFUNCTION("""COMPUTED_VALUE"""),"Diawara et al.")</f>
        <v>Diawara et al.</v>
      </c>
      <c r="AK40" s="836"/>
      <c r="AL40" s="836" t="str">
        <f>IFERROR(__xludf.DUMMYFUNCTION("""COMPUTED_VALUE"""),"Haiti")</f>
        <v>Haiti</v>
      </c>
      <c r="AM40" s="836" t="str">
        <f>IFERROR(__xludf.DUMMYFUNCTION("""COMPUTED_VALUE"""),"Diethylcarbamazine")</f>
        <v>Diethylcarbamazine</v>
      </c>
      <c r="AN40" s="836" t="str">
        <f>IFERROR(__xludf.DUMMYFUNCTION("""COMPUTED_VALUE"""),"Single")</f>
        <v>Single</v>
      </c>
      <c r="AO40" s="836" t="str">
        <f>IFERROR(__xludf.DUMMYFUNCTION("""COMPUTED_VALUE"""),"6 mg")</f>
        <v>6 mg</v>
      </c>
      <c r="AP40" s="836"/>
      <c r="AQ40" s="836" t="str">
        <f>IFERROR(__xludf.DUMMYFUNCTION("""COMPUTED_VALUE"""),"pre-school age children")</f>
        <v>pre-school age children</v>
      </c>
      <c r="AR40" s="836"/>
      <c r="AS40" s="836">
        <f>IFERROR(__xludf.DUMMYFUNCTION("""COMPUTED_VALUE"""),2009.0)</f>
        <v>2009</v>
      </c>
      <c r="AT40" s="836"/>
      <c r="AU40" s="836" t="str">
        <f>IFERROR(__xludf.DUMMYFUNCTION("""COMPUTED_VALUE"""),"No")</f>
        <v>No</v>
      </c>
      <c r="AV40" s="836" t="str">
        <f>IFERROR(__xludf.DUMMYFUNCTION("""COMPUTED_VALUE"""),"No")</f>
        <v>No</v>
      </c>
      <c r="AW40" s="836" t="str">
        <f>IFERROR(__xludf.DUMMYFUNCTION("""COMPUTED_VALUE"""),"three cross-sectional studies, MDA?")</f>
        <v>three cross-sectional studies, MDA?</v>
      </c>
      <c r="AX40" s="836"/>
      <c r="AY40" s="836"/>
      <c r="AZ40" s="836"/>
      <c r="BA40" s="836"/>
      <c r="BB40" s="836"/>
      <c r="BC40" s="836"/>
      <c r="BD40" s="836"/>
      <c r="BE40" s="836"/>
      <c r="BF40" s="836"/>
      <c r="BG40" s="836"/>
      <c r="BH40" s="836"/>
      <c r="BI40" s="836"/>
      <c r="BJ40" s="836"/>
      <c r="BK40" s="836"/>
      <c r="BL40" s="836"/>
      <c r="BM40" s="836"/>
      <c r="BN40" s="836"/>
      <c r="BO40" s="836"/>
      <c r="BP40" s="836" t="str">
        <f>IFERROR(__xludf.DUMMYFUNCTION("""COMPUTED_VALUE"""),"x")</f>
        <v>x</v>
      </c>
      <c r="BQ40" s="697">
        <f>IFERROR(__xludf.DUMMYFUNCTION("""COMPUTED_VALUE"""),39.0)</f>
        <v>39</v>
      </c>
      <c r="BR40" s="844" t="str">
        <f>IFERROR(__xludf.DUMMYFUNCTION("""COMPUTED_VALUE"""),"Gyorkes et al")</f>
        <v>Gyorkes et al</v>
      </c>
      <c r="BS40" s="838" t="str">
        <f>IFERROR(__xludf.DUMMYFUNCTION("""COMPUTED_VALUE"""),"Peru")</f>
        <v>Peru</v>
      </c>
      <c r="BT40" s="838" t="str">
        <f>IFERROR(__xludf.DUMMYFUNCTION("""COMPUTED_VALUE"""),"Albendazole")</f>
        <v>Albendazole</v>
      </c>
      <c r="BU40" s="838"/>
      <c r="BV40" s="838" t="str">
        <f>IFERROR(__xludf.DUMMYFUNCTION("""COMPUTED_VALUE"""),"Single")</f>
        <v>Single</v>
      </c>
      <c r="BW40" s="838" t="str">
        <f>IFERROR(__xludf.DUMMYFUNCTION("""COMPUTED_VALUE"""),"400 mg")</f>
        <v>400 mg</v>
      </c>
      <c r="BX40" s="838">
        <f>IFERROR(__xludf.DUMMYFUNCTION("""COMPUTED_VALUE"""),385.0)</f>
        <v>385</v>
      </c>
      <c r="BY40" s="838" t="str">
        <f>IFERROR(__xludf.DUMMYFUNCTION("""COMPUTED_VALUE"""),"School children")</f>
        <v>School children</v>
      </c>
      <c r="BZ40" s="838">
        <f>IFERROR(__xludf.DUMMYFUNCTION("""COMPUTED_VALUE"""),2010.0)</f>
        <v>2010</v>
      </c>
      <c r="CA40" s="838" t="str">
        <f>IFERROR(__xludf.DUMMYFUNCTION("""COMPUTED_VALUE"""),"Male:176 Female:209")</f>
        <v>Male:176 Female:209</v>
      </c>
      <c r="CB40" s="838"/>
      <c r="CC40" s="838" t="str">
        <f>IFERROR(__xludf.DUMMYFUNCTION("""COMPUTED_VALUE"""),"Yes")</f>
        <v>Yes</v>
      </c>
      <c r="CD40" s="847">
        <f>IFERROR(__xludf.DUMMYFUNCTION("""COMPUTED_VALUE"""),0.996)</f>
        <v>0.996</v>
      </c>
      <c r="CE40" s="838" t="str">
        <f>IFERROR(__xludf.DUMMYFUNCTION("""COMPUTED_VALUE"""),"Yes")</f>
        <v>Yes</v>
      </c>
      <c r="CF40" s="838"/>
      <c r="CG40" s="838"/>
      <c r="CH40" s="838"/>
      <c r="CI40" s="838"/>
      <c r="CJ40" s="838"/>
      <c r="CK40" s="838"/>
      <c r="CL40" s="838"/>
      <c r="CM40" s="847">
        <f>IFERROR(__xludf.DUMMYFUNCTION("""COMPUTED_VALUE"""),0.998)</f>
        <v>0.998</v>
      </c>
      <c r="CN40" s="838"/>
      <c r="CO40" s="838"/>
      <c r="CP40" s="838"/>
      <c r="CQ40" s="838"/>
      <c r="CR40" s="838"/>
      <c r="CS40" s="838"/>
      <c r="CT40" s="838" t="str">
        <f>IFERROR(__xludf.DUMMYFUNCTION("""COMPUTED_VALUE"""),"Kato Katz Method")</f>
        <v>Kato Katz Method</v>
      </c>
      <c r="CU40" s="838"/>
      <c r="CV40" s="697" t="str">
        <f>IFERROR(__xludf.DUMMYFUNCTION("""COMPUTED_VALUE"""),"W. Gyorkos Theresa, Mathieu Maheu-Giroux, Brittany Blouin, Lilian Saavedra, Martin Casapía (2013) Efficacy of a single dose of Albendazole helminth infections Soil-transmitted among schoolchildren in a community of Iquitos, Peru")</f>
        <v>W. Gyorkos Theresa, Mathieu Maheu-Giroux, Brittany Blouin, Lilian Saavedra, Martin Casapía (2013) Efficacy of a single dose of Albendazole helminth infections Soil-transmitted among schoolchildren in a community of Iquitos, Peru</v>
      </c>
    </row>
    <row r="41">
      <c r="A41" s="842" t="str">
        <f>IFERROR(__xludf.DUMMYFUNCTION("""COMPUTED_VALUE"""),"Flohr et al. Study 1 ")</f>
        <v>Flohr et al. Study 1 </v>
      </c>
      <c r="B41" s="834" t="str">
        <f>IFERROR(__xludf.DUMMYFUNCTION("""COMPUTED_VALUE"""),"Viet Nam")</f>
        <v>Viet Nam</v>
      </c>
      <c r="C41" s="834" t="str">
        <f>IFERROR(__xludf.DUMMYFUNCTION("""COMPUTED_VALUE"""),"Albendazole")</f>
        <v>Albendazole</v>
      </c>
      <c r="D41" s="834" t="str">
        <f>IFERROR(__xludf.DUMMYFUNCTION("""COMPUTED_VALUE"""),"Single")</f>
        <v>Single</v>
      </c>
      <c r="E41" s="834" t="str">
        <f>IFERROR(__xludf.DUMMYFUNCTION("""COMPUTED_VALUE"""),"400 mg")</f>
        <v>400 mg</v>
      </c>
      <c r="F41" s="834">
        <f>IFERROR(__xludf.DUMMYFUNCTION("""COMPUTED_VALUE"""),54.0)</f>
        <v>54</v>
      </c>
      <c r="G41" s="834">
        <f>IFERROR(__xludf.DUMMYFUNCTION("""COMPUTED_VALUE"""),37.0)</f>
        <v>37</v>
      </c>
      <c r="H41" s="834"/>
      <c r="I41" s="834">
        <f>IFERROR(__xludf.DUMMYFUNCTION("""COMPUTED_VALUE"""),2006.0)</f>
        <v>2006</v>
      </c>
      <c r="J41" s="834" t="str">
        <f>IFERROR(__xludf.DUMMYFUNCTION("""COMPUTED_VALUE"""),"Must not be systematically ill or known to be allergic to the trial intervention")</f>
        <v>Must not be systematically ill or known to be allergic to the trial intervention</v>
      </c>
      <c r="K41" s="839" t="str">
        <f>IFERROR(__xludf.DUMMYFUNCTION("""COMPUTED_VALUE"""),"randomized double-blind placebo controlled study")</f>
        <v>randomized double-blind placebo controlled study</v>
      </c>
      <c r="L41" s="839" t="str">
        <f>IFERROR(__xludf.DUMMYFUNCTION("""COMPUTED_VALUE"""),"Yes")</f>
        <v>Yes</v>
      </c>
      <c r="M41" s="839" t="str">
        <f>IFERROR(__xludf.DUMMYFUNCTION("""COMPUTED_VALUE"""),"Yes")</f>
        <v>Yes</v>
      </c>
      <c r="N41" s="840">
        <f>IFERROR(__xludf.DUMMYFUNCTION("""COMPUTED_VALUE"""),0.45)</f>
        <v>0.45</v>
      </c>
      <c r="O41" s="840">
        <f>IFERROR(__xludf.DUMMYFUNCTION("""COMPUTED_VALUE"""),0.45)</f>
        <v>0.45</v>
      </c>
      <c r="P41" s="834"/>
      <c r="Q41" s="834"/>
      <c r="R41" s="834"/>
      <c r="S41" s="834"/>
      <c r="T41" s="834"/>
      <c r="U41" s="834"/>
      <c r="V41" s="834"/>
      <c r="W41" s="840">
        <f>IFERROR(__xludf.DUMMYFUNCTION("""COMPUTED_VALUE"""),0.79)</f>
        <v>0.79</v>
      </c>
      <c r="X41" s="834"/>
      <c r="Y41" s="834"/>
      <c r="Z41" s="834"/>
      <c r="AA41" s="834"/>
      <c r="AB41" s="834"/>
      <c r="AC41" s="834"/>
      <c r="AD41" s="834"/>
      <c r="AE41" s="834" t="str">
        <f>IFERROR(__xludf.DUMMYFUNCTION("""COMPUTED_VALUE"""),"As ALB has a higher efficacy against hookworm infection than MB, they also compared single and triple doses. They found that all three treatments were better than placebo in terms of reduction of fecal egg count, with triple dose ALB being the most effica"&amp;"cious")</f>
        <v>As ALB has a higher efficacy against hookworm infection than MB, they also compared single and triple doses. They found that all three treatments were better than placebo in terms of reduction of fecal egg count, with triple dose ALB being the most efficacious</v>
      </c>
      <c r="AF41" s="834" t="str">
        <f>IFERROR(__xludf.DUMMYFUNCTION("""COMPUTED_VALUE"""),"Two controlled, randomized trials were carried out: 1) Study 1 tested the efficacy of single dose Mebendazole500 mg in the therapy of hookworm infection in a randomized double-blind placebo-controlled trial among 271 Vietnamese schoolchildren.  2) Study 2"&amp;" carried out a similar randomized trial comparing triple dose mebendazole, single dose albendazole, and triple dose Albendazoleagainst placebo in 209 adults in the same area.")</f>
        <v>Two controlled, randomized trials were carried out: 1) Study 1 tested the efficacy of single dose Mebendazole500 mg in the therapy of hookworm infection in a randomized double-blind placebo-controlled trial among 271 Vietnamese schoolchildren.  2) Study 2 carried out a similar randomized trial comparing triple dose mebendazole, single dose albendazole, and triple dose Albendazoleagainst placebo in 209 adults in the same area.</v>
      </c>
      <c r="AG41" s="834" t="str">
        <f>IFERROR(__xludf.DUMMYFUNCTION("""COMPUTED_VALUE"""),"Flohr, Carsten, Luc Nguyen Tuyen, Sarah Lewis, Truong Tan Minh, Jim Campbell, John Britton, Hywel Williams, Tran Tinh Hien, Jeremy Farrar, and Rupert J. Quinnell. ""Low Efficacy of MebendazoleAgainst Hookworm In Vietnam: Two Randomized Controlled Trials."&amp;""" The American Society of Tropical Medicine and Hygiene 76.4 (2007): 732-36. Web.")</f>
        <v>Flohr, Carsten, Luc Nguyen Tuyen, Sarah Lewis, Truong Tan Minh, Jim Campbell, John Britton, Hywel Williams, Tran Tinh Hien, Jeremy Farrar, and Rupert J. Quinnell. "Low Efficacy of MebendazoleAgainst Hookworm In Vietnam: Two Randomized Controlled Trials." The American Society of Tropical Medicine and Hygiene 76.4 (2007): 732-36. Web.</v>
      </c>
      <c r="AH41" s="834"/>
      <c r="AJ41" s="843" t="str">
        <f>IFERROR(__xludf.DUMMYFUNCTION("""COMPUTED_VALUE"""),"Diawara et al.")</f>
        <v>Diawara et al.</v>
      </c>
      <c r="AK41" s="836" t="str">
        <f>IFERROR(__xludf.DUMMYFUNCTION("""COMPUTED_VALUE"""),"Diawara, Aissatou, Carli M. Halpenny, Thomas S. Churcher, Charles Mwandawiro, Jimmy Kihara, Ray M. Kaplan, Thomas G. Streit, Youssef Idaghdour, Marilyn E. Scott, Maria-Gloria Basanez, and Roger K. Prichard. ""Association Between Response to AlbendazoleTre"&amp;"atment and B-Tubulin Genotype Frequencies in Soil Transmitted Helminths."" PLOS Neglected Tropical Diseases 7.5 (2013): 1-11. Web.")</f>
        <v>Diawara, Aissatou, Carli M. Halpenny, Thomas S. Churcher, Charles Mwandawiro, Jimmy Kihara, Ray M. Kaplan, Thomas G. Streit, Youssef Idaghdour, Marilyn E. Scott, Maria-Gloria Basanez, and Roger K. Prichard. "Association Between Response to AlbendazoleTreatment and B-Tubulin Genotype Frequencies in Soil Transmitted Helminths." PLOS Neglected Tropical Diseases 7.5 (2013): 1-11. Web.</v>
      </c>
      <c r="AL41" s="836" t="str">
        <f>IFERROR(__xludf.DUMMYFUNCTION("""COMPUTED_VALUE"""),"Kenya")</f>
        <v>Kenya</v>
      </c>
      <c r="AM41" s="836" t="str">
        <f>IFERROR(__xludf.DUMMYFUNCTION("""COMPUTED_VALUE"""),"Albendazole")</f>
        <v>Albendazole</v>
      </c>
      <c r="AN41" s="836" t="str">
        <f>IFERROR(__xludf.DUMMYFUNCTION("""COMPUTED_VALUE"""),"Single")</f>
        <v>Single</v>
      </c>
      <c r="AO41" s="836" t="str">
        <f>IFERROR(__xludf.DUMMYFUNCTION("""COMPUTED_VALUE"""),"400 mg")</f>
        <v>400 mg</v>
      </c>
      <c r="AP41" s="836" t="str">
        <f>IFERROR(__xludf.DUMMYFUNCTION("""COMPUTED_VALUE"""),"57/128")</f>
        <v>57/128</v>
      </c>
      <c r="AQ41" s="836" t="str">
        <f>IFERROR(__xludf.DUMMYFUNCTION("""COMPUTED_VALUE"""),"pre-school age children")</f>
        <v>pre-school age children</v>
      </c>
      <c r="AR41" s="836"/>
      <c r="AS41" s="836">
        <f>IFERROR(__xludf.DUMMYFUNCTION("""COMPUTED_VALUE"""),2010.0)</f>
        <v>2010</v>
      </c>
      <c r="AT41" s="836"/>
      <c r="AU41" s="836" t="str">
        <f>IFERROR(__xludf.DUMMYFUNCTION("""COMPUTED_VALUE"""),"No")</f>
        <v>No</v>
      </c>
      <c r="AV41" s="836" t="str">
        <f>IFERROR(__xludf.DUMMYFUNCTION("""COMPUTED_VALUE"""),"No")</f>
        <v>No</v>
      </c>
      <c r="AW41" s="836" t="str">
        <f>IFERROR(__xludf.DUMMYFUNCTION("""COMPUTED_VALUE"""),"three cross-sectional studies")</f>
        <v>three cross-sectional studies</v>
      </c>
      <c r="AX41" s="836"/>
      <c r="AY41" s="836"/>
      <c r="AZ41" s="836"/>
      <c r="BA41" s="836"/>
      <c r="BB41" s="836"/>
      <c r="BC41" s="836"/>
      <c r="BD41" s="836"/>
      <c r="BE41" s="836"/>
      <c r="BF41" s="836"/>
      <c r="BG41" s="836"/>
      <c r="BH41" s="836" t="str">
        <f>IFERROR(__xludf.DUMMYFUNCTION("""COMPUTED_VALUE"""),"McMaster: 86.8% Kato-Katz: 10.1%")</f>
        <v>McMaster: 86.8% Kato-Katz: 10.1%</v>
      </c>
      <c r="BI41" s="836"/>
      <c r="BJ41" s="836"/>
      <c r="BK41" s="836"/>
      <c r="BL41" s="836"/>
      <c r="BM41" s="836"/>
      <c r="BN41" s="836"/>
      <c r="BO41" s="836" t="str">
        <f>IFERROR(__xludf.DUMMYFUNCTION("""COMPUTED_VALUE"""),"McMaster and Kato-katz method")</f>
        <v>McMaster and Kato-katz method</v>
      </c>
      <c r="BP41" s="836" t="str">
        <f>IFERROR(__xludf.DUMMYFUNCTION("""COMPUTED_VALUE"""),"x")</f>
        <v>x</v>
      </c>
      <c r="BQ41" s="697">
        <f>IFERROR(__xludf.DUMMYFUNCTION("""COMPUTED_VALUE"""),40.0)</f>
        <v>40</v>
      </c>
      <c r="BR41" s="844" t="str">
        <f>IFERROR(__xludf.DUMMYFUNCTION("""COMPUTED_VALUE"""),"Mihrshahi et al.")</f>
        <v>Mihrshahi et al.</v>
      </c>
      <c r="BS41" s="838" t="str">
        <f>IFERROR(__xludf.DUMMYFUNCTION("""COMPUTED_VALUE"""),"Vietnam")</f>
        <v>Vietnam</v>
      </c>
      <c r="BT41" s="838" t="str">
        <f>IFERROR(__xludf.DUMMYFUNCTION("""COMPUTED_VALUE"""),"Albendazole")</f>
        <v>Albendazole</v>
      </c>
      <c r="BU41" s="838"/>
      <c r="BV41" s="838" t="str">
        <f>IFERROR(__xludf.DUMMYFUNCTION("""COMPUTED_VALUE"""),"Single")</f>
        <v>Single</v>
      </c>
      <c r="BW41" s="838" t="str">
        <f>IFERROR(__xludf.DUMMYFUNCTION("""COMPUTED_VALUE"""),"400 mg")</f>
        <v>400 mg</v>
      </c>
      <c r="BX41" s="838">
        <f>IFERROR(__xludf.DUMMYFUNCTION("""COMPUTED_VALUE"""),70.0)</f>
        <v>70</v>
      </c>
      <c r="BY41" s="838">
        <f>IFERROR(__xludf.DUMMYFUNCTION("""COMPUTED_VALUE"""),31.0)</f>
        <v>31</v>
      </c>
      <c r="BZ41" s="838">
        <f>IFERROR(__xludf.DUMMYFUNCTION("""COMPUTED_VALUE"""),2007.0)</f>
        <v>2007</v>
      </c>
      <c r="CA41" s="838" t="str">
        <f>IFERROR(__xludf.DUMMYFUNCTION("""COMPUTED_VALUE"""),"Female")</f>
        <v>Female</v>
      </c>
      <c r="CB41" s="838"/>
      <c r="CC41" s="838" t="str">
        <f>IFERROR(__xludf.DUMMYFUNCTION("""COMPUTED_VALUE"""),"No")</f>
        <v>No</v>
      </c>
      <c r="CD41" s="846">
        <f>IFERROR(__xludf.DUMMYFUNCTION("""COMPUTED_VALUE"""),0.87)</f>
        <v>0.87</v>
      </c>
      <c r="CE41" s="838" t="str">
        <f>IFERROR(__xludf.DUMMYFUNCTION("""COMPUTED_VALUE"""),"No")</f>
        <v>No</v>
      </c>
      <c r="CF41" s="838"/>
      <c r="CG41" s="838"/>
      <c r="CH41" s="838"/>
      <c r="CI41" s="838"/>
      <c r="CJ41" s="838"/>
      <c r="CK41" s="838"/>
      <c r="CL41" s="838"/>
      <c r="CM41" s="838"/>
      <c r="CN41" s="838"/>
      <c r="CO41" s="838"/>
      <c r="CP41" s="838"/>
      <c r="CQ41" s="838"/>
      <c r="CR41" s="838"/>
      <c r="CS41" s="838"/>
      <c r="CT41" s="838" t="str">
        <f>IFERROR(__xludf.DUMMYFUNCTION("""COMPUTED_VALUE"""),"Kato-Katz Method")</f>
        <v>Kato-Katz Method</v>
      </c>
      <c r="CU41" s="838"/>
      <c r="CV41" s="697" t="str">
        <f>IFERROR(__xludf.DUMMYFUNCTION("""COMPUTED_VALUE"""),"Seema Mihrshahia, Gerard J. Caseya, Antonio Montresorb, Tran Q. Phucc, Dang Thi Cam Thachc, Nong T. Tienc, Beverley-Ann Biggsa (2009) The effectiveness of 4 monthly albendazole treatment in the reduction of soil-transmitted helminth infections in women of"&amp;" reproductive age in Viet Nam")</f>
        <v>Seema Mihrshahia, Gerard J. Caseya, Antonio Montresorb, Tran Q. Phucc, Dang Thi Cam Thachc, Nong T. Tienc, Beverley-Ann Biggsa (2009) The effectiveness of 4 monthly albendazole treatment in the reduction of soil-transmitted helminth infections in women of reproductive age in Viet Nam</v>
      </c>
    </row>
    <row r="42">
      <c r="A42" s="842" t="str">
        <f>IFERROR(__xludf.DUMMYFUNCTION("""COMPUTED_VALUE"""),"Flohr et al. Study 1 ")</f>
        <v>Flohr et al. Study 1 </v>
      </c>
      <c r="B42" s="834" t="str">
        <f>IFERROR(__xludf.DUMMYFUNCTION("""COMPUTED_VALUE"""),"Viet Nam")</f>
        <v>Viet Nam</v>
      </c>
      <c r="C42" s="834" t="str">
        <f>IFERROR(__xludf.DUMMYFUNCTION("""COMPUTED_VALUE"""),"Albendazole")</f>
        <v>Albendazole</v>
      </c>
      <c r="D42" s="834" t="str">
        <f>IFERROR(__xludf.DUMMYFUNCTION("""COMPUTED_VALUE"""),"Three")</f>
        <v>Three</v>
      </c>
      <c r="E42" s="834" t="str">
        <f>IFERROR(__xludf.DUMMYFUNCTION("""COMPUTED_VALUE"""),"400 mg")</f>
        <v>400 mg</v>
      </c>
      <c r="F42" s="834">
        <f>IFERROR(__xludf.DUMMYFUNCTION("""COMPUTED_VALUE"""),47.0)</f>
        <v>47</v>
      </c>
      <c r="G42" s="834">
        <f>IFERROR(__xludf.DUMMYFUNCTION("""COMPUTED_VALUE"""),33.0)</f>
        <v>33</v>
      </c>
      <c r="H42" s="834"/>
      <c r="I42" s="834">
        <f>IFERROR(__xludf.DUMMYFUNCTION("""COMPUTED_VALUE"""),2006.0)</f>
        <v>2006</v>
      </c>
      <c r="J42" s="834" t="str">
        <f>IFERROR(__xludf.DUMMYFUNCTION("""COMPUTED_VALUE"""),"Must not be systematically ill or known to be allergic to the trial intervention")</f>
        <v>Must not be systematically ill or known to be allergic to the trial intervention</v>
      </c>
      <c r="K42" s="839" t="str">
        <f>IFERROR(__xludf.DUMMYFUNCTION("""COMPUTED_VALUE"""),"randomized double-blind placebo controlled study")</f>
        <v>randomized double-blind placebo controlled study</v>
      </c>
      <c r="L42" s="839" t="str">
        <f>IFERROR(__xludf.DUMMYFUNCTION("""COMPUTED_VALUE"""),"Yes")</f>
        <v>Yes</v>
      </c>
      <c r="M42" s="839" t="str">
        <f>IFERROR(__xludf.DUMMYFUNCTION("""COMPUTED_VALUE"""),"Yes")</f>
        <v>Yes</v>
      </c>
      <c r="N42" s="840">
        <f>IFERROR(__xludf.DUMMYFUNCTION("""COMPUTED_VALUE"""),0.79)</f>
        <v>0.79</v>
      </c>
      <c r="O42" s="840">
        <f>IFERROR(__xludf.DUMMYFUNCTION("""COMPUTED_VALUE"""),0.79)</f>
        <v>0.79</v>
      </c>
      <c r="P42" s="834"/>
      <c r="Q42" s="834"/>
      <c r="R42" s="834"/>
      <c r="S42" s="834"/>
      <c r="T42" s="834"/>
      <c r="U42" s="834"/>
      <c r="V42" s="834"/>
      <c r="W42" s="840">
        <f>IFERROR(__xludf.DUMMYFUNCTION("""COMPUTED_VALUE"""),0.91)</f>
        <v>0.91</v>
      </c>
      <c r="X42" s="834"/>
      <c r="Y42" s="834"/>
      <c r="Z42" s="834"/>
      <c r="AA42" s="834"/>
      <c r="AB42" s="834"/>
      <c r="AC42" s="834"/>
      <c r="AD42" s="834"/>
      <c r="AE42" s="834" t="str">
        <f>IFERROR(__xludf.DUMMYFUNCTION("""COMPUTED_VALUE"""),"As ALB has a higher efficacy against hookworm infection than MB, they also compared single and triple doses. They found that all three treatments were better than placebo in terms of reduction of fecal egg count, with triple dose ALB being the most effica"&amp;"cious")</f>
        <v>As ALB has a higher efficacy against hookworm infection than MB, they also compared single and triple doses. They found that all three treatments were better than placebo in terms of reduction of fecal egg count, with triple dose ALB being the most efficacious</v>
      </c>
      <c r="AF42" s="834" t="str">
        <f>IFERROR(__xludf.DUMMYFUNCTION("""COMPUTED_VALUE"""),"Two controlled, randomized trials were carried out: 1) Study 1 tested the efficacy of single dose Mebendazole500 mg in the therapy of hookworm infection in a randomized double-blind placebo-controlled trial among 271 Vietnamese schoolchildren.  2) Study 2"&amp;" carried out a similar randomized trial comparing triple dose mebendazole, single dose albendazole, and triple dose Albendazoleagainst placebo in 209 adults in the same area.")</f>
        <v>Two controlled, randomized trials were carried out: 1) Study 1 tested the efficacy of single dose Mebendazole500 mg in the therapy of hookworm infection in a randomized double-blind placebo-controlled trial among 271 Vietnamese schoolchildren.  2) Study 2 carried out a similar randomized trial comparing triple dose mebendazole, single dose albendazole, and triple dose Albendazoleagainst placebo in 209 adults in the same area.</v>
      </c>
      <c r="AG42" s="834" t="str">
        <f>IFERROR(__xludf.DUMMYFUNCTION("""COMPUTED_VALUE"""),"Flohr, Carsten, Luc Nguyen Tuyen, Sarah Lewis, Truong Tan Minh, Jim Campbell, John Britton, Hywel Williams, Tran Tinh Hien, Jeremy Farrar, and Rupert J. Quinnell. ""Low Efficacy of MebendazoleAgainst Hookworm In Vietnam: Two Randomized Controlled Trials."&amp;""" The American Society of Tropical Medicine and Hygiene 76.4 (2007): 732-36. Web.")</f>
        <v>Flohr, Carsten, Luc Nguyen Tuyen, Sarah Lewis, Truong Tan Minh, Jim Campbell, John Britton, Hywel Williams, Tran Tinh Hien, Jeremy Farrar, and Rupert J. Quinnell. "Low Efficacy of MebendazoleAgainst Hookworm In Vietnam: Two Randomized Controlled Trials." The American Society of Tropical Medicine and Hygiene 76.4 (2007): 732-36. Web.</v>
      </c>
      <c r="AH42" s="834"/>
      <c r="AJ42" s="843" t="str">
        <f>IFERROR(__xludf.DUMMYFUNCTION("""COMPUTED_VALUE"""),"Diawara et al.")</f>
        <v>Diawara et al.</v>
      </c>
      <c r="AK42" s="836" t="str">
        <f>IFERROR(__xludf.DUMMYFUNCTION("""COMPUTED_VALUE"""),"Diawara, Aissatou, Carli M. Halpenny, Thomas S. Churcher, Charles Mwandawiro, Jimmy Kihara, Ray M. Kaplan, Thomas G. Streit, Youssef Idaghdour, Marilyn E. Scott, Maria-Gloria Basanez, and Roger K. Prichard. ""Association Between Response to AlbendazoleTre"&amp;"atment and B-Tubulin Genotype Frequencies in Soil Transmitted Helminths."" PLOS Neglected Tropical Diseases 7.5 (2013): 1-11. Web.")</f>
        <v>Diawara, Aissatou, Carli M. Halpenny, Thomas S. Churcher, Charles Mwandawiro, Jimmy Kihara, Ray M. Kaplan, Thomas G. Streit, Youssef Idaghdour, Marilyn E. Scott, Maria-Gloria Basanez, and Roger K. Prichard. "Association Between Response to AlbendazoleTreatment and B-Tubulin Genotype Frequencies in Soil Transmitted Helminths." PLOS Neglected Tropical Diseases 7.5 (2013): 1-11. Web.</v>
      </c>
      <c r="AL42" s="836" t="str">
        <f>IFERROR(__xludf.DUMMYFUNCTION("""COMPUTED_VALUE"""),"Panama")</f>
        <v>Panama</v>
      </c>
      <c r="AM42" s="836" t="str">
        <f>IFERROR(__xludf.DUMMYFUNCTION("""COMPUTED_VALUE"""),"Albendazole")</f>
        <v>Albendazole</v>
      </c>
      <c r="AN42" s="836" t="str">
        <f>IFERROR(__xludf.DUMMYFUNCTION("""COMPUTED_VALUE"""),"Two")</f>
        <v>Two</v>
      </c>
      <c r="AO42" s="836" t="str">
        <f>IFERROR(__xludf.DUMMYFUNCTION("""COMPUTED_VALUE"""),"200 mg")</f>
        <v>200 mg</v>
      </c>
      <c r="AP42" s="836" t="str">
        <f>IFERROR(__xludf.DUMMYFUNCTION("""COMPUTED_VALUE"""),"25/270")</f>
        <v>25/270</v>
      </c>
      <c r="AQ42" s="836" t="str">
        <f>IFERROR(__xludf.DUMMYFUNCTION("""COMPUTED_VALUE"""),"pre-school age children")</f>
        <v>pre-school age children</v>
      </c>
      <c r="AR42" s="836"/>
      <c r="AS42" s="836">
        <f>IFERROR(__xludf.DUMMYFUNCTION("""COMPUTED_VALUE"""),2009.0)</f>
        <v>2009</v>
      </c>
      <c r="AT42" s="836"/>
      <c r="AU42" s="836" t="str">
        <f>IFERROR(__xludf.DUMMYFUNCTION("""COMPUTED_VALUE"""),"No")</f>
        <v>No</v>
      </c>
      <c r="AV42" s="836" t="str">
        <f>IFERROR(__xludf.DUMMYFUNCTION("""COMPUTED_VALUE"""),"No")</f>
        <v>No</v>
      </c>
      <c r="AW42" s="836" t="str">
        <f>IFERROR(__xludf.DUMMYFUNCTION("""COMPUTED_VALUE"""),"three cross-sectional studies")</f>
        <v>three cross-sectional studies</v>
      </c>
      <c r="AX42" s="836"/>
      <c r="AY42" s="836"/>
      <c r="AZ42" s="836"/>
      <c r="BA42" s="836"/>
      <c r="BB42" s="836"/>
      <c r="BC42" s="836"/>
      <c r="BD42" s="836"/>
      <c r="BE42" s="836"/>
      <c r="BF42" s="836"/>
      <c r="BG42" s="836"/>
      <c r="BH42" s="836" t="str">
        <f>IFERROR(__xludf.DUMMYFUNCTION("""COMPUTED_VALUE"""),"Kato-Katz: 99.5% FLOTAC: 65.1%")</f>
        <v>Kato-Katz: 99.5% FLOTAC: 65.1%</v>
      </c>
      <c r="BI42" s="836"/>
      <c r="BJ42" s="836"/>
      <c r="BK42" s="836"/>
      <c r="BL42" s="836"/>
      <c r="BM42" s="836"/>
      <c r="BN42" s="836"/>
      <c r="BO42" s="836" t="str">
        <f>IFERROR(__xludf.DUMMYFUNCTION("""COMPUTED_VALUE"""),"Kato-katz method and FLOTAC")</f>
        <v>Kato-katz method and FLOTAC</v>
      </c>
      <c r="BP42" s="836" t="str">
        <f>IFERROR(__xludf.DUMMYFUNCTION("""COMPUTED_VALUE"""),"x")</f>
        <v>x</v>
      </c>
      <c r="BQ42" s="697">
        <f>IFERROR(__xludf.DUMMYFUNCTION("""COMPUTED_VALUE"""),41.0)</f>
        <v>41</v>
      </c>
      <c r="BR42" s="844" t="str">
        <f>IFERROR(__xludf.DUMMYFUNCTION("""COMPUTED_VALUE"""),"Beach et al.")</f>
        <v>Beach et al.</v>
      </c>
      <c r="BS42" s="838" t="str">
        <f>IFERROR(__xludf.DUMMYFUNCTION("""COMPUTED_VALUE"""),"Haiti")</f>
        <v>Haiti</v>
      </c>
      <c r="BT42" s="838" t="str">
        <f>IFERROR(__xludf.DUMMYFUNCTION("""COMPUTED_VALUE"""),"Albendazole")</f>
        <v>Albendazole</v>
      </c>
      <c r="BU42" s="838"/>
      <c r="BV42" s="838" t="str">
        <f>IFERROR(__xludf.DUMMYFUNCTION("""COMPUTED_VALUE"""),"Single")</f>
        <v>Single</v>
      </c>
      <c r="BW42" s="838" t="str">
        <f>IFERROR(__xludf.DUMMYFUNCTION("""COMPUTED_VALUE"""),"400 mg")</f>
        <v>400 mg</v>
      </c>
      <c r="BX42" s="838">
        <f>IFERROR(__xludf.DUMMYFUNCTION("""COMPUTED_VALUE"""),62.0)</f>
        <v>62</v>
      </c>
      <c r="BY42" s="845">
        <f>IFERROR(__xludf.DUMMYFUNCTION("""COMPUTED_VALUE"""),42501.0)</f>
        <v>42501</v>
      </c>
      <c r="BZ42" s="838">
        <f>IFERROR(__xludf.DUMMYFUNCTION("""COMPUTED_VALUE"""),1996.0)</f>
        <v>1996</v>
      </c>
      <c r="CA42" s="838" t="str">
        <f>IFERROR(__xludf.DUMMYFUNCTION("""COMPUTED_VALUE"""),"Female: 47.7%")</f>
        <v>Female: 47.7%</v>
      </c>
      <c r="CB42" s="838"/>
      <c r="CC42" s="838" t="str">
        <f>IFERROR(__xludf.DUMMYFUNCTION("""COMPUTED_VALUE"""),"Yes")</f>
        <v>Yes</v>
      </c>
      <c r="CD42" s="847">
        <f>IFERROR(__xludf.DUMMYFUNCTION("""COMPUTED_VALUE"""),0.9848)</f>
        <v>0.9848</v>
      </c>
      <c r="CE42" s="838" t="str">
        <f>IFERROR(__xludf.DUMMYFUNCTION("""COMPUTED_VALUE"""),"Yes")</f>
        <v>Yes</v>
      </c>
      <c r="CF42" s="838"/>
      <c r="CG42" s="838"/>
      <c r="CH42" s="838"/>
      <c r="CI42" s="838"/>
      <c r="CJ42" s="838"/>
      <c r="CK42" s="838"/>
      <c r="CL42" s="847">
        <f>IFERROR(__xludf.DUMMYFUNCTION("""COMPUTED_VALUE"""),0.804)</f>
        <v>0.804</v>
      </c>
      <c r="CM42" s="838"/>
      <c r="CN42" s="838"/>
      <c r="CO42" s="838"/>
      <c r="CP42" s="846">
        <f>IFERROR(__xludf.DUMMYFUNCTION("""COMPUTED_VALUE"""),1.0)</f>
        <v>1</v>
      </c>
      <c r="CQ42" s="847">
        <f>IFERROR(__xludf.DUMMYFUNCTION("""COMPUTED_VALUE"""),0.786)</f>
        <v>0.786</v>
      </c>
      <c r="CR42" s="838"/>
      <c r="CS42" s="838"/>
      <c r="CT42" s="838" t="str">
        <f>IFERROR(__xludf.DUMMYFUNCTION("""COMPUTED_VALUE"""),"Kato-Katz Method")</f>
        <v>Kato-Katz Method</v>
      </c>
      <c r="CU42" s="838"/>
      <c r="CV42" s="697" t="str">
        <f>IFERROR(__xludf.DUMMYFUNCTION("""COMPUTED_VALUE"""),"Beach, MIchael J.; Streit, David G.; Addiss, David G.; Prospere, Rosette; Roberts, Jacquelin M.; Lammie, Patrick J. (1996) ASSESSMENT OF COMBINED IVERMECTIN AND ALBENDAZOLE FOR TREATMENT OF INTESTINAL HELMINTH AND WUCHERERIA BANCROFTI INFECTIONS IN HAITIA"&amp;"N SCHOOLCHILDREN ")</f>
        <v>Beach, MIchael J.; Streit, David G.; Addiss, David G.; Prospere, Rosette; Roberts, Jacquelin M.; Lammie, Patrick J. (1996) ASSESSMENT OF COMBINED IVERMECTIN AND ALBENDAZOLE FOR TREATMENT OF INTESTINAL HELMINTH AND WUCHERERIA BANCROFTI INFECTIONS IN HAITIAN SCHOOLCHILDREN </v>
      </c>
    </row>
    <row r="43">
      <c r="A43" s="842" t="str">
        <f>IFERROR(__xludf.DUMMYFUNCTION("""COMPUTED_VALUE"""),"Fox et al. ")</f>
        <v>Fox et al. </v>
      </c>
      <c r="B43" s="834" t="str">
        <f>IFERROR(__xludf.DUMMYFUNCTION("""COMPUTED_VALUE"""),"Haiti")</f>
        <v>Haiti</v>
      </c>
      <c r="C43" s="834" t="str">
        <f>IFERROR(__xludf.DUMMYFUNCTION("""COMPUTED_VALUE"""),"Placebo (Vit C)")</f>
        <v>Placebo (Vit C)</v>
      </c>
      <c r="D43" s="834"/>
      <c r="E43" s="834"/>
      <c r="F43" s="834">
        <f>IFERROR(__xludf.DUMMYFUNCTION("""COMPUTED_VALUE"""),306.0)</f>
        <v>306</v>
      </c>
      <c r="G43" s="849">
        <f>IFERROR(__xludf.DUMMYFUNCTION("""COMPUTED_VALUE"""),42501.0)</f>
        <v>42501</v>
      </c>
      <c r="H43" s="834"/>
      <c r="I43" s="834">
        <f>IFERROR(__xludf.DUMMYFUNCTION("""COMPUTED_VALUE"""),1998.0)</f>
        <v>1998</v>
      </c>
      <c r="J43" s="834" t="str">
        <f>IFERROR(__xludf.DUMMYFUNCTION("""COMPUTED_VALUE"""),"included: an age of 5–11 years, anthropometric measurements collected before and six months after treatment, stool specimens collected before and five weeks after treatment, MF smears prepared before and six months after treatment, and random assignment t"&amp;"o a treatment group.")</f>
        <v>included: an age of 5–11 years, anthropometric measurements collected before and six months after treatment, stool specimens collected before and five weeks after treatment, MF smears prepared before and six months after treatment, and random assignment to a treatment group.</v>
      </c>
      <c r="K43" s="839" t="str">
        <f>IFERROR(__xludf.DUMMYFUNCTION("""COMPUTED_VALUE"""),"double-blind placebo controlled study")</f>
        <v>double-blind placebo controlled study</v>
      </c>
      <c r="L43" s="839" t="str">
        <f>IFERROR(__xludf.DUMMYFUNCTION("""COMPUTED_VALUE"""),"Yes")</f>
        <v>Yes</v>
      </c>
      <c r="M43" s="839" t="str">
        <f>IFERROR(__xludf.DUMMYFUNCTION("""COMPUTED_VALUE"""),"Yes")</f>
        <v>Yes</v>
      </c>
      <c r="N43" s="840">
        <f>IFERROR(__xludf.DUMMYFUNCTION("""COMPUTED_VALUE"""),0.287)</f>
        <v>0.287</v>
      </c>
      <c r="O43" s="834"/>
      <c r="P43" s="834"/>
      <c r="Q43" s="834"/>
      <c r="R43" s="834"/>
      <c r="S43" s="834"/>
      <c r="T43" s="834"/>
      <c r="U43" s="840">
        <f>IFERROR(__xludf.DUMMYFUNCTION("""COMPUTED_VALUE"""),0.287)</f>
        <v>0.287</v>
      </c>
      <c r="V43" s="834"/>
      <c r="W43" s="840">
        <f>IFERROR(__xludf.DUMMYFUNCTION("""COMPUTED_VALUE"""),0.488)</f>
        <v>0.488</v>
      </c>
      <c r="X43" s="834"/>
      <c r="Y43" s="834"/>
      <c r="Z43" s="834"/>
      <c r="AA43" s="840">
        <f>IFERROR(__xludf.DUMMYFUNCTION("""COMPUTED_VALUE"""),0.488)</f>
        <v>0.488</v>
      </c>
      <c r="AB43" s="834"/>
      <c r="AC43" s="834"/>
      <c r="AD43" s="834"/>
      <c r="AE43" s="834" t="str">
        <f>IFERROR(__xludf.DUMMYFUNCTION("""COMPUTED_VALUE"""),"Combination of DEC and ALB was most effective in all studies conducted. The four treatment groups didn’t differ significantly by age, sex, pretreatment density or circulating filarial antigen density.")</f>
        <v>Combination of DEC and ALB was most effective in all studies conducted. The four treatment groups didn’t differ significantly by age, sex, pretreatment density or circulating filarial antigen density.</v>
      </c>
      <c r="AF43" s="834" t="str">
        <f>IFERROR(__xludf.DUMMYFUNCTION("""COMPUTED_VALUE"""),"Kato-Katz method         The infection was categorized as light (100)")</f>
        <v>Kato-Katz method         The infection was categorized as light (100)</v>
      </c>
      <c r="AG43" s="834" t="str">
        <f>IFERROR(__xludf.DUMMYFUNCTION("""COMPUTED_VALUE"""),"Fox, Leanne M., Bruce W. Furness, Jennifer K. Haser, Dardith Desire, Jean-Marc Brissau, Marie-Denise Milford, Jack Lafontant, Patrick J. Lammie, and Michael J. Beach. ""Tolerance and Efficacy of Combined Diethlcarbamazine and Albendazolefor Treatment of W"&amp;"uchereria Bancrofti and Intestinal Helminth Infections in Haitian Children."" The American Socie of Tropical Medicine and Hygiene 73.1 (2005): 115-21. Web.")</f>
        <v>Fox, Leanne M., Bruce W. Furness, Jennifer K. Haser, Dardith Desire, Jean-Marc Brissau, Marie-Denise Milford, Jack Lafontant, Patrick J. Lammie, and Michael J. Beach. "Tolerance and Efficacy of Combined Diethlcarbamazine and Albendazolefor Treatment of Wuchereria Bancrofti and Intestinal Helminth Infections in Haitian Children." The American Socie of Tropical Medicine and Hygiene 73.1 (2005): 115-21. Web.</v>
      </c>
      <c r="AH43" s="834"/>
      <c r="AJ43" s="843" t="str">
        <f>IFERROR(__xludf.DUMMYFUNCTION("""COMPUTED_VALUE"""),"Diawara et al.")</f>
        <v>Diawara et al.</v>
      </c>
      <c r="AK43" s="836"/>
      <c r="AL43" s="836" t="str">
        <f>IFERROR(__xludf.DUMMYFUNCTION("""COMPUTED_VALUE"""),"Panama")</f>
        <v>Panama</v>
      </c>
      <c r="AM43" s="836" t="str">
        <f>IFERROR(__xludf.DUMMYFUNCTION("""COMPUTED_VALUE"""),"Albendazole")</f>
        <v>Albendazole</v>
      </c>
      <c r="AN43" s="836" t="str">
        <f>IFERROR(__xludf.DUMMYFUNCTION("""COMPUTED_VALUE"""),"Two")</f>
        <v>Two</v>
      </c>
      <c r="AO43" s="836" t="str">
        <f>IFERROR(__xludf.DUMMYFUNCTION("""COMPUTED_VALUE"""),"400 mg")</f>
        <v>400 mg</v>
      </c>
      <c r="AP43" s="836"/>
      <c r="AQ43" s="836" t="str">
        <f>IFERROR(__xludf.DUMMYFUNCTION("""COMPUTED_VALUE"""),"pre-school age children")</f>
        <v>pre-school age children</v>
      </c>
      <c r="AR43" s="836"/>
      <c r="AS43" s="836">
        <f>IFERROR(__xludf.DUMMYFUNCTION("""COMPUTED_VALUE"""),2009.0)</f>
        <v>2009</v>
      </c>
      <c r="AT43" s="836"/>
      <c r="AU43" s="836" t="str">
        <f>IFERROR(__xludf.DUMMYFUNCTION("""COMPUTED_VALUE"""),"No")</f>
        <v>No</v>
      </c>
      <c r="AV43" s="836" t="str">
        <f>IFERROR(__xludf.DUMMYFUNCTION("""COMPUTED_VALUE"""),"No")</f>
        <v>No</v>
      </c>
      <c r="AW43" s="836" t="str">
        <f>IFERROR(__xludf.DUMMYFUNCTION("""COMPUTED_VALUE"""),"three cross-sectional studies")</f>
        <v>three cross-sectional studies</v>
      </c>
      <c r="AX43" s="836"/>
      <c r="AY43" s="836"/>
      <c r="AZ43" s="836"/>
      <c r="BA43" s="836"/>
      <c r="BB43" s="836"/>
      <c r="BC43" s="836"/>
      <c r="BD43" s="836"/>
      <c r="BE43" s="836"/>
      <c r="BF43" s="836"/>
      <c r="BG43" s="836"/>
      <c r="BH43" s="836"/>
      <c r="BI43" s="836"/>
      <c r="BJ43" s="836"/>
      <c r="BK43" s="836"/>
      <c r="BL43" s="836"/>
      <c r="BM43" s="836"/>
      <c r="BN43" s="836"/>
      <c r="BO43" s="836"/>
      <c r="BP43" s="836" t="str">
        <f>IFERROR(__xludf.DUMMYFUNCTION("""COMPUTED_VALUE"""),"x")</f>
        <v>x</v>
      </c>
      <c r="BQ43" s="697">
        <f>IFERROR(__xludf.DUMMYFUNCTION("""COMPUTED_VALUE"""),42.0)</f>
        <v>42</v>
      </c>
      <c r="BR43" s="844" t="str">
        <f>IFERROR(__xludf.DUMMYFUNCTION("""COMPUTED_VALUE"""),"Beach et al.")</f>
        <v>Beach et al.</v>
      </c>
      <c r="BS43" s="838" t="str">
        <f>IFERROR(__xludf.DUMMYFUNCTION("""COMPUTED_VALUE"""),"Haiti")</f>
        <v>Haiti</v>
      </c>
      <c r="BT43" s="838" t="str">
        <f>IFERROR(__xludf.DUMMYFUNCTION("""COMPUTED_VALUE"""),"Ivermectin")</f>
        <v>Ivermectin</v>
      </c>
      <c r="BU43" s="838"/>
      <c r="BV43" s="838" t="str">
        <f>IFERROR(__xludf.DUMMYFUNCTION("""COMPUTED_VALUE"""),"Single")</f>
        <v>Single</v>
      </c>
      <c r="BW43" s="838" t="str">
        <f>IFERROR(__xludf.DUMMYFUNCTION("""COMPUTED_VALUE"""),"200 mg; 400 mg")</f>
        <v>200 mg; 400 mg</v>
      </c>
      <c r="BX43" s="838">
        <f>IFERROR(__xludf.DUMMYFUNCTION("""COMPUTED_VALUE"""),52.0)</f>
        <v>52</v>
      </c>
      <c r="BY43" s="838"/>
      <c r="BZ43" s="838">
        <f>IFERROR(__xludf.DUMMYFUNCTION("""COMPUTED_VALUE"""),1996.0)</f>
        <v>1996</v>
      </c>
      <c r="CA43" s="838"/>
      <c r="CB43" s="838"/>
      <c r="CC43" s="838" t="str">
        <f>IFERROR(__xludf.DUMMYFUNCTION("""COMPUTED_VALUE"""),"Yes")</f>
        <v>Yes</v>
      </c>
      <c r="CD43" s="847">
        <f>IFERROR(__xludf.DUMMYFUNCTION("""COMPUTED_VALUE"""),0.9428)</f>
        <v>0.9428</v>
      </c>
      <c r="CE43" s="838" t="str">
        <f>IFERROR(__xludf.DUMMYFUNCTION("""COMPUTED_VALUE"""),"Yes")</f>
        <v>Yes</v>
      </c>
      <c r="CF43" s="838"/>
      <c r="CG43" s="838"/>
      <c r="CH43" s="838"/>
      <c r="CI43" s="838"/>
      <c r="CJ43" s="838"/>
      <c r="CK43" s="838"/>
      <c r="CL43" s="847">
        <f>IFERROR(__xludf.DUMMYFUNCTION("""COMPUTED_VALUE"""),0.82)</f>
        <v>0.82</v>
      </c>
      <c r="CM43" s="838"/>
      <c r="CN43" s="838"/>
      <c r="CO43" s="838"/>
      <c r="CP43" s="846">
        <f>IFERROR(__xludf.DUMMYFUNCTION("""COMPUTED_VALUE"""),1.0)</f>
        <v>1</v>
      </c>
      <c r="CQ43" s="847">
        <f>IFERROR(__xludf.DUMMYFUNCTION("""COMPUTED_VALUE"""),0.754)</f>
        <v>0.754</v>
      </c>
      <c r="CR43" s="838"/>
      <c r="CS43" s="838"/>
      <c r="CT43" s="838"/>
      <c r="CU43" s="838"/>
      <c r="CV43" s="697" t="str">
        <f>IFERROR(__xludf.DUMMYFUNCTION("""COMPUTED_VALUE"""),"Beach, MIchael J.; Streit, David G.; Addiss, David G.; Prospere, Rosette; Roberts, Jacquelin M.; Lammie, Patrick J. (1996) ASSESSMENT OF COMBINED IVERMECTIN AND ALBENDAZOLE FOR TREATMENT OF INTESTINAL HELMINTH AND WUCHERERIA BANCROFTI INFECTIONS IN HAITIA"&amp;"N SCHOOLCHILDREN ")</f>
        <v>Beach, MIchael J.; Streit, David G.; Addiss, David G.; Prospere, Rosette; Roberts, Jacquelin M.; Lammie, Patrick J. (1996) ASSESSMENT OF COMBINED IVERMECTIN AND ALBENDAZOLE FOR TREATMENT OF INTESTINAL HELMINTH AND WUCHERERIA BANCROFTI INFECTIONS IN HAITIAN SCHOOLCHILDREN </v>
      </c>
    </row>
    <row r="44">
      <c r="A44" s="842" t="str">
        <f>IFERROR(__xludf.DUMMYFUNCTION("""COMPUTED_VALUE"""),"Fox et al. ")</f>
        <v>Fox et al. </v>
      </c>
      <c r="B44" s="834" t="str">
        <f>IFERROR(__xludf.DUMMYFUNCTION("""COMPUTED_VALUE"""),"Haiti")</f>
        <v>Haiti</v>
      </c>
      <c r="C44" s="834" t="str">
        <f>IFERROR(__xludf.DUMMYFUNCTION("""COMPUTED_VALUE"""),"Albendazole")</f>
        <v>Albendazole</v>
      </c>
      <c r="D44" s="834" t="str">
        <f>IFERROR(__xludf.DUMMYFUNCTION("""COMPUTED_VALUE"""),"Single")</f>
        <v>Single</v>
      </c>
      <c r="E44" s="834" t="str">
        <f>IFERROR(__xludf.DUMMYFUNCTION("""COMPUTED_VALUE"""),"400 mg")</f>
        <v>400 mg</v>
      </c>
      <c r="F44" s="834">
        <f>IFERROR(__xludf.DUMMYFUNCTION("""COMPUTED_VALUE"""),320.0)</f>
        <v>320</v>
      </c>
      <c r="G44" s="849">
        <f>IFERROR(__xludf.DUMMYFUNCTION("""COMPUTED_VALUE"""),42501.0)</f>
        <v>42501</v>
      </c>
      <c r="H44" s="834"/>
      <c r="I44" s="834">
        <f>IFERROR(__xludf.DUMMYFUNCTION("""COMPUTED_VALUE"""),1998.0)</f>
        <v>1998</v>
      </c>
      <c r="J44" s="834" t="str">
        <f>IFERROR(__xludf.DUMMYFUNCTION("""COMPUTED_VALUE"""),"included: an age of 5–11 years, anthropometric measurements collected before and six months after treatment, stool specimens collected before and five weeks after treatment, MF smears prepared before and six months after treatment, and random assignment t"&amp;"o a treatment group.")</f>
        <v>included: an age of 5–11 years, anthropometric measurements collected before and six months after treatment, stool specimens collected before and five weeks after treatment, MF smears prepared before and six months after treatment, and random assignment to a treatment group.</v>
      </c>
      <c r="K44" s="839" t="str">
        <f>IFERROR(__xludf.DUMMYFUNCTION("""COMPUTED_VALUE"""),"double-blind placebo controlled study")</f>
        <v>double-blind placebo controlled study</v>
      </c>
      <c r="L44" s="839" t="str">
        <f>IFERROR(__xludf.DUMMYFUNCTION("""COMPUTED_VALUE"""),"Yes")</f>
        <v>Yes</v>
      </c>
      <c r="M44" s="839" t="str">
        <f>IFERROR(__xludf.DUMMYFUNCTION("""COMPUTED_VALUE"""),"Yes")</f>
        <v>Yes</v>
      </c>
      <c r="N44" s="840">
        <f>IFERROR(__xludf.DUMMYFUNCTION("""COMPUTED_VALUE"""),0.84)</f>
        <v>0.84</v>
      </c>
      <c r="O44" s="834"/>
      <c r="P44" s="834"/>
      <c r="Q44" s="834"/>
      <c r="R44" s="834"/>
      <c r="S44" s="834"/>
      <c r="T44" s="834"/>
      <c r="U44" s="840">
        <f>IFERROR(__xludf.DUMMYFUNCTION("""COMPUTED_VALUE"""),0.84)</f>
        <v>0.84</v>
      </c>
      <c r="V44" s="834"/>
      <c r="W44" s="840">
        <f>IFERROR(__xludf.DUMMYFUNCTION("""COMPUTED_VALUE"""),0.827)</f>
        <v>0.827</v>
      </c>
      <c r="X44" s="834"/>
      <c r="Y44" s="834"/>
      <c r="Z44" s="834"/>
      <c r="AA44" s="840">
        <f>IFERROR(__xludf.DUMMYFUNCTION("""COMPUTED_VALUE"""),0.827)</f>
        <v>0.827</v>
      </c>
      <c r="AB44" s="834"/>
      <c r="AC44" s="834"/>
      <c r="AD44" s="834"/>
      <c r="AE44" s="834" t="str">
        <f>IFERROR(__xludf.DUMMYFUNCTION("""COMPUTED_VALUE"""),"Combination of DEC and ALB was most effective in all studies conducted. The four treatment groups didn’t differ significantly by age, sex, pretreatment density or circulating filarial antigen density.")</f>
        <v>Combination of DEC and ALB was most effective in all studies conducted. The four treatment groups didn’t differ significantly by age, sex, pretreatment density or circulating filarial antigen density.</v>
      </c>
      <c r="AF44" s="834" t="str">
        <f>IFERROR(__xludf.DUMMYFUNCTION("""COMPUTED_VALUE"""),"Kato-Katz method         The infection was categorized as light (100)")</f>
        <v>Kato-Katz method         The infection was categorized as light (100)</v>
      </c>
      <c r="AG44" s="834" t="str">
        <f>IFERROR(__xludf.DUMMYFUNCTION("""COMPUTED_VALUE"""),"Fox, Leanne M., Bruce W. Furness, Jennifer K. Haser, Dardith Desire, Jean-Marc Brissau, Marie-Denise Milford, Jack Lafontant, Patrick J. Lammie, and Michael J. Beach. ""Tolerance and Efficacy of Combined Diethlcarbamazine and Albendazolefor Treatment of W"&amp;"uchereria Bancrofti and Intestinal Helminth Infections in Haitian Children."" The American Socie of Tropical Medicine and Hygiene 73.1 (2005): 115-21. Web.")</f>
        <v>Fox, Leanne M., Bruce W. Furness, Jennifer K. Haser, Dardith Desire, Jean-Marc Brissau, Marie-Denise Milford, Jack Lafontant, Patrick J. Lammie, and Michael J. Beach. "Tolerance and Efficacy of Combined Diethlcarbamazine and Albendazolefor Treatment of Wuchereria Bancrofti and Intestinal Helminth Infections in Haitian Children." The American Socie of Tropical Medicine and Hygiene 73.1 (2005): 115-21. Web.</v>
      </c>
      <c r="AH44" s="834"/>
      <c r="AJ44" s="843" t="str">
        <f>IFERROR(__xludf.DUMMYFUNCTION("""COMPUTED_VALUE"""),"Beach et al.")</f>
        <v>Beach et al.</v>
      </c>
      <c r="AK44" s="836" t="str">
        <f>IFERROR(__xludf.DUMMYFUNCTION("""COMPUTED_VALUE"""),"Beach, Michael J., Thomas G. Street, David G. Addiss, Rosette Prospere, Jacquelin M. Roberts, and Patrick J. Lammie. ""Assessment of Combined Ivermectinand Albendazolefor Treatment of Intestinal Helminth and Wuchereria Bancrofti Infections in Haitian Scho"&amp;"ol Children."" The American Society of Tropical Medicine and Hygiene 60.3 (1999): 479-86. Web.")</f>
        <v>Beach, Michael J., Thomas G. Street, David G. Addiss, Rosette Prospere, Jacquelin M. Roberts, and Patrick J. Lammie. "Assessment of Combined Ivermectinand Albendazolefor Treatment of Intestinal Helminth and Wuchereria Bancrofti Infections in Haitian School Children." The American Society of Tropical Medicine and Hygiene 60.3 (1999): 479-86. Web.</v>
      </c>
      <c r="AL44" s="836" t="str">
        <f>IFERROR(__xludf.DUMMYFUNCTION("""COMPUTED_VALUE"""),"Haiti")</f>
        <v>Haiti</v>
      </c>
      <c r="AM44" s="836" t="str">
        <f>IFERROR(__xludf.DUMMYFUNCTION("""COMPUTED_VALUE"""),"Placebo 250 mg Vitamin C")</f>
        <v>Placebo 250 mg Vitamin C</v>
      </c>
      <c r="AN44" s="836"/>
      <c r="AO44" s="836"/>
      <c r="AP44" s="836">
        <f>IFERROR(__xludf.DUMMYFUNCTION("""COMPUTED_VALUE"""),200.0)</f>
        <v>200</v>
      </c>
      <c r="AQ44" s="836" t="str">
        <f>IFERROR(__xludf.DUMMYFUNCTION("""COMPUTED_VALUE"""),"7.4 years old")</f>
        <v>7.4 years old</v>
      </c>
      <c r="AR44" s="836" t="str">
        <f>IFERROR(__xludf.DUMMYFUNCTION("""COMPUTED_VALUE"""),"Female:407")</f>
        <v>Female:407</v>
      </c>
      <c r="AS44" s="836">
        <f>IFERROR(__xludf.DUMMYFUNCTION("""COMPUTED_VALUE"""),1996.0)</f>
        <v>1996</v>
      </c>
      <c r="AT44" s="836" t="str">
        <f>IFERROR(__xludf.DUMMYFUNCTION("""COMPUTED_VALUE"""),"Criteria for inclusion: age 5-11 years old, anthropometric measurments before and four months after treatment, stool specimens before and 5 weeks after treatment, random assignment to a treatment group and height, weight, and age within limits if the anth"&amp;"ropometric database.")</f>
        <v>Criteria for inclusion: age 5-11 years old, anthropometric measurments before and four months after treatment, stool specimens before and 5 weeks after treatment, random assignment to a treatment group and height, weight, and age within limits if the anthropometric database.</v>
      </c>
      <c r="AU44" s="836" t="str">
        <f>IFERROR(__xludf.DUMMYFUNCTION("""COMPUTED_VALUE"""),"Yes")</f>
        <v>Yes</v>
      </c>
      <c r="AV44" s="836" t="str">
        <f>IFERROR(__xludf.DUMMYFUNCTION("""COMPUTED_VALUE"""),"Yes")</f>
        <v>Yes</v>
      </c>
      <c r="AW44" s="836" t="str">
        <f>IFERROR(__xludf.DUMMYFUNCTION("""COMPUTED_VALUE"""),"double-blind placebo controlled study")</f>
        <v>double-blind placebo controlled study</v>
      </c>
      <c r="AX44" s="841">
        <f>IFERROR(__xludf.DUMMYFUNCTION("""COMPUTED_VALUE"""),0.279)</f>
        <v>0.279</v>
      </c>
      <c r="AY44" s="836"/>
      <c r="AZ44" s="836"/>
      <c r="BA44" s="836"/>
      <c r="BB44" s="836"/>
      <c r="BC44" s="836"/>
      <c r="BD44" s="841">
        <f>IFERROR(__xludf.DUMMYFUNCTION("""COMPUTED_VALUE"""),0.279)</f>
        <v>0.279</v>
      </c>
      <c r="BE44" s="836"/>
      <c r="BF44" s="836">
        <f>IFERROR(__xludf.DUMMYFUNCTION("""COMPUTED_VALUE"""),27.3)</f>
        <v>27.3</v>
      </c>
      <c r="BG44" s="836"/>
      <c r="BH44" s="836"/>
      <c r="BI44" s="836"/>
      <c r="BJ44" s="836"/>
      <c r="BK44" s="836"/>
      <c r="BL44" s="836"/>
      <c r="BM44" s="836"/>
      <c r="BN44" s="836"/>
      <c r="BO44" s="836" t="str">
        <f>IFERROR(__xludf.DUMMYFUNCTION("""COMPUTED_VALUE"""),"Kato-Katz Method and drug was taken between 8 am and noon under direct investigator observation")</f>
        <v>Kato-Katz Method and drug was taken between 8 am and noon under direct investigator observation</v>
      </c>
      <c r="BP44" s="836"/>
      <c r="BQ44" s="697">
        <f>IFERROR(__xludf.DUMMYFUNCTION("""COMPUTED_VALUE"""),43.0)</f>
        <v>43</v>
      </c>
      <c r="BR44" s="844" t="str">
        <f>IFERROR(__xludf.DUMMYFUNCTION("""COMPUTED_VALUE"""),"Beach et al.")</f>
        <v>Beach et al.</v>
      </c>
      <c r="BS44" s="838" t="str">
        <f>IFERROR(__xludf.DUMMYFUNCTION("""COMPUTED_VALUE"""),"Haiti")</f>
        <v>Haiti</v>
      </c>
      <c r="BT44" s="838" t="str">
        <f>IFERROR(__xludf.DUMMYFUNCTION("""COMPUTED_VALUE"""),"Albendazole &amp; Ivermectin")</f>
        <v>Albendazole &amp; Ivermectin</v>
      </c>
      <c r="BU44" s="838"/>
      <c r="BV44" s="838" t="str">
        <f>IFERROR(__xludf.DUMMYFUNCTION("""COMPUTED_VALUE"""),"Single")</f>
        <v>Single</v>
      </c>
      <c r="BW44" s="838" t="str">
        <f>IFERROR(__xludf.DUMMYFUNCTION("""COMPUTED_VALUE"""),"200 mg; 400 mg")</f>
        <v>200 mg; 400 mg</v>
      </c>
      <c r="BX44" s="838">
        <f>IFERROR(__xludf.DUMMYFUNCTION("""COMPUTED_VALUE"""),73.0)</f>
        <v>73</v>
      </c>
      <c r="BY44" s="838"/>
      <c r="BZ44" s="838">
        <f>IFERROR(__xludf.DUMMYFUNCTION("""COMPUTED_VALUE"""),1996.0)</f>
        <v>1996</v>
      </c>
      <c r="CA44" s="838"/>
      <c r="CB44" s="838"/>
      <c r="CC44" s="838" t="str">
        <f>IFERROR(__xludf.DUMMYFUNCTION("""COMPUTED_VALUE"""),"Yes")</f>
        <v>Yes</v>
      </c>
      <c r="CD44" s="846">
        <f>IFERROR(__xludf.DUMMYFUNCTION("""COMPUTED_VALUE"""),1.0)</f>
        <v>1</v>
      </c>
      <c r="CE44" s="838" t="str">
        <f>IFERROR(__xludf.DUMMYFUNCTION("""COMPUTED_VALUE"""),"Yes")</f>
        <v>Yes</v>
      </c>
      <c r="CF44" s="838"/>
      <c r="CG44" s="838"/>
      <c r="CH44" s="838"/>
      <c r="CI44" s="838"/>
      <c r="CJ44" s="838"/>
      <c r="CK44" s="838"/>
      <c r="CL44" s="846">
        <f>IFERROR(__xludf.DUMMYFUNCTION("""COMPUTED_VALUE"""),0.818)</f>
        <v>0.818</v>
      </c>
      <c r="CM44" s="838"/>
      <c r="CN44" s="838"/>
      <c r="CO44" s="838"/>
      <c r="CP44" s="846">
        <f>IFERROR(__xludf.DUMMYFUNCTION("""COMPUTED_VALUE"""),1.0)</f>
        <v>1</v>
      </c>
      <c r="CQ44" s="846">
        <f>IFERROR(__xludf.DUMMYFUNCTION("""COMPUTED_VALUE"""),0.76)</f>
        <v>0.76</v>
      </c>
      <c r="CR44" s="838"/>
      <c r="CS44" s="838"/>
      <c r="CT44" s="838"/>
      <c r="CU44" s="838"/>
      <c r="CV44" s="697" t="str">
        <f>IFERROR(__xludf.DUMMYFUNCTION("""COMPUTED_VALUE"""),"Beach, MIchael J.; Streit, David G.; Addiss, David G.; Prospere, Rosette; Roberts, Jacquelin M.; Lammie, Patrick J. (1996) ASSESSMENT OF COMBINED IVERMECTIN AND ALBENDAZOLE FOR TREATMENT OF INTESTINAL HELMINTH AND WUCHERERIA BANCROFTI INFECTIONS IN HAITIA"&amp;"N SCHOOLCHILDREN ")</f>
        <v>Beach, MIchael J.; Streit, David G.; Addiss, David G.; Prospere, Rosette; Roberts, Jacquelin M.; Lammie, Patrick J. (1996) ASSESSMENT OF COMBINED IVERMECTIN AND ALBENDAZOLE FOR TREATMENT OF INTESTINAL HELMINTH AND WUCHERERIA BANCROFTI INFECTIONS IN HAITIAN SCHOOLCHILDREN </v>
      </c>
    </row>
    <row r="45">
      <c r="A45" s="842" t="str">
        <f>IFERROR(__xludf.DUMMYFUNCTION("""COMPUTED_VALUE"""),"Fox et al. ")</f>
        <v>Fox et al. </v>
      </c>
      <c r="B45" s="834" t="str">
        <f>IFERROR(__xludf.DUMMYFUNCTION("""COMPUTED_VALUE"""),"Haiti")</f>
        <v>Haiti</v>
      </c>
      <c r="C45" s="834" t="str">
        <f>IFERROR(__xludf.DUMMYFUNCTION("""COMPUTED_VALUE"""),"Diethylcarbamazine")</f>
        <v>Diethylcarbamazine</v>
      </c>
      <c r="D45" s="834" t="str">
        <f>IFERROR(__xludf.DUMMYFUNCTION("""COMPUTED_VALUE"""),"Single")</f>
        <v>Single</v>
      </c>
      <c r="E45" s="834" t="str">
        <f>IFERROR(__xludf.DUMMYFUNCTION("""COMPUTED_VALUE"""),"6 mg/kg")</f>
        <v>6 mg/kg</v>
      </c>
      <c r="F45" s="834">
        <f>IFERROR(__xludf.DUMMYFUNCTION("""COMPUTED_VALUE"""),313.0)</f>
        <v>313</v>
      </c>
      <c r="G45" s="849">
        <f>IFERROR(__xludf.DUMMYFUNCTION("""COMPUTED_VALUE"""),42501.0)</f>
        <v>42501</v>
      </c>
      <c r="H45" s="834"/>
      <c r="I45" s="834">
        <f>IFERROR(__xludf.DUMMYFUNCTION("""COMPUTED_VALUE"""),1998.0)</f>
        <v>1998</v>
      </c>
      <c r="J45" s="834" t="str">
        <f>IFERROR(__xludf.DUMMYFUNCTION("""COMPUTED_VALUE"""),"included: an age of 5–11 years, anthropometric measurements collected before and six months after treatment, stool specimens collected before and five weeks after treatment, MF smears prepared before and six months after treatment, and random assignment t"&amp;"o a treatment group.")</f>
        <v>included: an age of 5–11 years, anthropometric measurements collected before and six months after treatment, stool specimens collected before and five weeks after treatment, MF smears prepared before and six months after treatment, and random assignment to a treatment group.</v>
      </c>
      <c r="K45" s="839" t="str">
        <f>IFERROR(__xludf.DUMMYFUNCTION("""COMPUTED_VALUE"""),"double-blind placebo controlled study")</f>
        <v>double-blind placebo controlled study</v>
      </c>
      <c r="L45" s="839" t="str">
        <f>IFERROR(__xludf.DUMMYFUNCTION("""COMPUTED_VALUE"""),"Yes")</f>
        <v>Yes</v>
      </c>
      <c r="M45" s="839" t="str">
        <f>IFERROR(__xludf.DUMMYFUNCTION("""COMPUTED_VALUE"""),"Yes")</f>
        <v>Yes</v>
      </c>
      <c r="N45" s="840">
        <f>IFERROR(__xludf.DUMMYFUNCTION("""COMPUTED_VALUE"""),0.216)</f>
        <v>0.216</v>
      </c>
      <c r="O45" s="834"/>
      <c r="P45" s="834"/>
      <c r="Q45" s="834"/>
      <c r="R45" s="834"/>
      <c r="S45" s="834"/>
      <c r="T45" s="834"/>
      <c r="U45" s="840">
        <f>IFERROR(__xludf.DUMMYFUNCTION("""COMPUTED_VALUE"""),0.216)</f>
        <v>0.216</v>
      </c>
      <c r="V45" s="834"/>
      <c r="W45" s="840">
        <f>IFERROR(__xludf.DUMMYFUNCTION("""COMPUTED_VALUE"""),0.191)</f>
        <v>0.191</v>
      </c>
      <c r="X45" s="834"/>
      <c r="Y45" s="834"/>
      <c r="Z45" s="834"/>
      <c r="AA45" s="840">
        <f>IFERROR(__xludf.DUMMYFUNCTION("""COMPUTED_VALUE"""),0.191)</f>
        <v>0.191</v>
      </c>
      <c r="AB45" s="834"/>
      <c r="AC45" s="834"/>
      <c r="AD45" s="834"/>
      <c r="AE45" s="834" t="str">
        <f>IFERROR(__xludf.DUMMYFUNCTION("""COMPUTED_VALUE"""),"Combination of DEC and ALB was most effective in all studies conducted. The four treatment groups didn’t differ significantly by age, sex, pretreatment density or circulating filarial antigen density.")</f>
        <v>Combination of DEC and ALB was most effective in all studies conducted. The four treatment groups didn’t differ significantly by age, sex, pretreatment density or circulating filarial antigen density.</v>
      </c>
      <c r="AF45" s="834" t="str">
        <f>IFERROR(__xludf.DUMMYFUNCTION("""COMPUTED_VALUE"""),"Kato-Katz method         The infection was categorized as light (100)")</f>
        <v>Kato-Katz method         The infection was categorized as light (100)</v>
      </c>
      <c r="AG45" s="834" t="str">
        <f>IFERROR(__xludf.DUMMYFUNCTION("""COMPUTED_VALUE"""),"Fox, Leanne M., Bruce W. Furness, Jennifer K. Haser, Dardith Desire, Jean-Marc Brissau, Marie-Denise Milford, Jack Lafontant, Patrick J. Lammie, and Michael J. Beach. ""Tolerance and Efficacy of Combined Diethlcarbamazine and Albendazolefor Treatment of W"&amp;"uchereria Bancrofti and Intestinal Helminth Infections in Haitian Children."" The American Socie of Tropical Medicine and Hygiene 73.1 (2005): 115-21. Web.")</f>
        <v>Fox, Leanne M., Bruce W. Furness, Jennifer K. Haser, Dardith Desire, Jean-Marc Brissau, Marie-Denise Milford, Jack Lafontant, Patrick J. Lammie, and Michael J. Beach. "Tolerance and Efficacy of Combined Diethlcarbamazine and Albendazolefor Treatment of Wuchereria Bancrofti and Intestinal Helminth Infections in Haitian Children." The American Socie of Tropical Medicine and Hygiene 73.1 (2005): 115-21. Web.</v>
      </c>
      <c r="AH45" s="834"/>
      <c r="AJ45" s="843" t="str">
        <f>IFERROR(__xludf.DUMMYFUNCTION("""COMPUTED_VALUE"""),"Beach et al.")</f>
        <v>Beach et al.</v>
      </c>
      <c r="AK45" s="836"/>
      <c r="AL45" s="836" t="str">
        <f>IFERROR(__xludf.DUMMYFUNCTION("""COMPUTED_VALUE"""),"Haiti")</f>
        <v>Haiti</v>
      </c>
      <c r="AM45" s="836" t="str">
        <f>IFERROR(__xludf.DUMMYFUNCTION("""COMPUTED_VALUE"""),"Albendazole")</f>
        <v>Albendazole</v>
      </c>
      <c r="AN45" s="836" t="str">
        <f>IFERROR(__xludf.DUMMYFUNCTION("""COMPUTED_VALUE"""),"Single")</f>
        <v>Single</v>
      </c>
      <c r="AO45" s="836" t="str">
        <f>IFERROR(__xludf.DUMMYFUNCTION("""COMPUTED_VALUE"""),"400 mg")</f>
        <v>400 mg</v>
      </c>
      <c r="AP45" s="836">
        <f>IFERROR(__xludf.DUMMYFUNCTION("""COMPUTED_VALUE"""),219.0)</f>
        <v>219</v>
      </c>
      <c r="AQ45" s="836" t="str">
        <f>IFERROR(__xludf.DUMMYFUNCTION("""COMPUTED_VALUE"""),"7.4 years old")</f>
        <v>7.4 years old</v>
      </c>
      <c r="AR45" s="836" t="str">
        <f>IFERROR(__xludf.DUMMYFUNCTION("""COMPUTED_VALUE"""),"Female:407")</f>
        <v>Female:407</v>
      </c>
      <c r="AS45" s="836">
        <f>IFERROR(__xludf.DUMMYFUNCTION("""COMPUTED_VALUE"""),1996.0)</f>
        <v>1996</v>
      </c>
      <c r="AT45" s="836" t="str">
        <f>IFERROR(__xludf.DUMMYFUNCTION("""COMPUTED_VALUE"""),"Criteria for inclusion: age 5-11 years old, anthropometric measurments before and four months after treatment, stool specimens before and 5 weeks after treatment, random assignment to a treatment group and height, weight, and age within limits if the anth"&amp;"ropometric database.")</f>
        <v>Criteria for inclusion: age 5-11 years old, anthropometric measurments before and four months after treatment, stool specimens before and 5 weeks after treatment, random assignment to a treatment group and height, weight, and age within limits if the anthropometric database.</v>
      </c>
      <c r="AU45" s="836" t="str">
        <f>IFERROR(__xludf.DUMMYFUNCTION("""COMPUTED_VALUE"""),"Yes")</f>
        <v>Yes</v>
      </c>
      <c r="AV45" s="836" t="str">
        <f>IFERROR(__xludf.DUMMYFUNCTION("""COMPUTED_VALUE"""),"Yes")</f>
        <v>Yes</v>
      </c>
      <c r="AW45" s="836" t="str">
        <f>IFERROR(__xludf.DUMMYFUNCTION("""COMPUTED_VALUE"""),"double-blind placebo controlled study")</f>
        <v>double-blind placebo controlled study</v>
      </c>
      <c r="AX45" s="841">
        <f>IFERROR(__xludf.DUMMYFUNCTION("""COMPUTED_VALUE"""),0.527)</f>
        <v>0.527</v>
      </c>
      <c r="AY45" s="836"/>
      <c r="AZ45" s="836"/>
      <c r="BA45" s="836"/>
      <c r="BB45" s="836"/>
      <c r="BC45" s="836"/>
      <c r="BD45" s="841">
        <f>IFERROR(__xludf.DUMMYFUNCTION("""COMPUTED_VALUE"""),0.527)</f>
        <v>0.527</v>
      </c>
      <c r="BE45" s="836"/>
      <c r="BF45" s="836">
        <f>IFERROR(__xludf.DUMMYFUNCTION("""COMPUTED_VALUE"""),57.5)</f>
        <v>57.5</v>
      </c>
      <c r="BG45" s="836"/>
      <c r="BH45" s="836"/>
      <c r="BI45" s="836"/>
      <c r="BJ45" s="836"/>
      <c r="BK45" s="836"/>
      <c r="BL45" s="836"/>
      <c r="BM45" s="836"/>
      <c r="BN45" s="836"/>
      <c r="BO45" s="836"/>
      <c r="BP45" s="836"/>
      <c r="BQ45" s="697">
        <f>IFERROR(__xludf.DUMMYFUNCTION("""COMPUTED_VALUE"""),44.0)</f>
        <v>44</v>
      </c>
      <c r="BR45" s="844" t="str">
        <f>IFERROR(__xludf.DUMMYFUNCTION("""COMPUTED_VALUE"""),"Beach et al.")</f>
        <v>Beach et al.</v>
      </c>
      <c r="BS45" s="838" t="str">
        <f>IFERROR(__xludf.DUMMYFUNCTION("""COMPUTED_VALUE"""),"Haiti")</f>
        <v>Haiti</v>
      </c>
      <c r="BT45" s="838" t="str">
        <f>IFERROR(__xludf.DUMMYFUNCTION("""COMPUTED_VALUE"""),"Placebo")</f>
        <v>Placebo</v>
      </c>
      <c r="BU45" s="838"/>
      <c r="BV45" s="838"/>
      <c r="BW45" s="838"/>
      <c r="BX45" s="838">
        <f>IFERROR(__xludf.DUMMYFUNCTION("""COMPUTED_VALUE"""),62.0)</f>
        <v>62</v>
      </c>
      <c r="BY45" s="838"/>
      <c r="BZ45" s="838">
        <f>IFERROR(__xludf.DUMMYFUNCTION("""COMPUTED_VALUE"""),1996.0)</f>
        <v>1996</v>
      </c>
      <c r="CA45" s="838"/>
      <c r="CB45" s="838"/>
      <c r="CC45" s="838" t="str">
        <f>IFERROR(__xludf.DUMMYFUNCTION("""COMPUTED_VALUE"""),"Yes")</f>
        <v>Yes</v>
      </c>
      <c r="CD45" s="846">
        <f>IFERROR(__xludf.DUMMYFUNCTION("""COMPUTED_VALUE"""),0.37)</f>
        <v>0.37</v>
      </c>
      <c r="CE45" s="838" t="str">
        <f>IFERROR(__xludf.DUMMYFUNCTION("""COMPUTED_VALUE"""),"Yes")</f>
        <v>Yes</v>
      </c>
      <c r="CF45" s="838"/>
      <c r="CG45" s="838"/>
      <c r="CH45" s="838"/>
      <c r="CI45" s="838"/>
      <c r="CJ45" s="838"/>
      <c r="CK45" s="838"/>
      <c r="CL45" s="846">
        <f>IFERROR(__xludf.DUMMYFUNCTION("""COMPUTED_VALUE"""),0.404)</f>
        <v>0.404</v>
      </c>
      <c r="CM45" s="838"/>
      <c r="CN45" s="838"/>
      <c r="CO45" s="838"/>
      <c r="CP45" s="847">
        <f>IFERROR(__xludf.DUMMYFUNCTION("""COMPUTED_VALUE"""),0.329)</f>
        <v>0.329</v>
      </c>
      <c r="CQ45" s="847">
        <f>IFERROR(__xludf.DUMMYFUNCTION("""COMPUTED_VALUE"""),0.345)</f>
        <v>0.345</v>
      </c>
      <c r="CR45" s="838"/>
      <c r="CS45" s="838"/>
      <c r="CT45" s="838"/>
      <c r="CU45" s="838"/>
      <c r="CV45" s="697" t="str">
        <f>IFERROR(__xludf.DUMMYFUNCTION("""COMPUTED_VALUE"""),"Beach, MIchael J.; Streit, David G.; Addiss, David G.; Prospere, Rosette; Roberts, Jacquelin M.; Lammie, Patrick J. (1996) ASSESSMENT OF COMBINED IVERMECTIN AND ALBENDAZOLE FOR TREATMENT OF INTESTINAL HELMINTH AND WUCHERERIA BANCROFTI INFECTIONS IN HAITIA"&amp;"N SCHOOLCHILDREN ")</f>
        <v>Beach, MIchael J.; Streit, David G.; Addiss, David G.; Prospere, Rosette; Roberts, Jacquelin M.; Lammie, Patrick J. (1996) ASSESSMENT OF COMBINED IVERMECTIN AND ALBENDAZOLE FOR TREATMENT OF INTESTINAL HELMINTH AND WUCHERERIA BANCROFTI INFECTIONS IN HAITIAN SCHOOLCHILDREN </v>
      </c>
    </row>
    <row r="46">
      <c r="A46" s="842" t="str">
        <f>IFERROR(__xludf.DUMMYFUNCTION("""COMPUTED_VALUE"""),"Fox et al. ")</f>
        <v>Fox et al. </v>
      </c>
      <c r="B46" s="834" t="str">
        <f>IFERROR(__xludf.DUMMYFUNCTION("""COMPUTED_VALUE"""),"Haiti")</f>
        <v>Haiti</v>
      </c>
      <c r="C46" s="834" t="str">
        <f>IFERROR(__xludf.DUMMYFUNCTION("""COMPUTED_VALUE"""),"Albendazole &amp; Mebendazole")</f>
        <v>Albendazole &amp; Mebendazole</v>
      </c>
      <c r="D46" s="834" t="str">
        <f>IFERROR(__xludf.DUMMYFUNCTION("""COMPUTED_VALUE"""),"Single")</f>
        <v>Single</v>
      </c>
      <c r="E46" s="834" t="str">
        <f>IFERROR(__xludf.DUMMYFUNCTION("""COMPUTED_VALUE"""),"400 mg; 500 mg")</f>
        <v>400 mg; 500 mg</v>
      </c>
      <c r="F46" s="834">
        <f>IFERROR(__xludf.DUMMYFUNCTION("""COMPUTED_VALUE"""),310.0)</f>
        <v>310</v>
      </c>
      <c r="G46" s="849">
        <f>IFERROR(__xludf.DUMMYFUNCTION("""COMPUTED_VALUE"""),42501.0)</f>
        <v>42501</v>
      </c>
      <c r="H46" s="834"/>
      <c r="I46" s="834">
        <f>IFERROR(__xludf.DUMMYFUNCTION("""COMPUTED_VALUE"""),1998.0)</f>
        <v>1998</v>
      </c>
      <c r="J46" s="834" t="str">
        <f>IFERROR(__xludf.DUMMYFUNCTION("""COMPUTED_VALUE"""),"included: an age of 5–11 years, anthropometric measurements collected before and six months after treatment, stool specimens collected before and five weeks after treatment, MF smears prepared before and six months after treatment, and random assignment t"&amp;"o a treatment group.")</f>
        <v>included: an age of 5–11 years, anthropometric measurements collected before and six months after treatment, stool specimens collected before and five weeks after treatment, MF smears prepared before and six months after treatment, and random assignment to a treatment group.</v>
      </c>
      <c r="K46" s="839" t="str">
        <f>IFERROR(__xludf.DUMMYFUNCTION("""COMPUTED_VALUE"""),"double-blind placebo controlled study")</f>
        <v>double-blind placebo controlled study</v>
      </c>
      <c r="L46" s="839" t="str">
        <f>IFERROR(__xludf.DUMMYFUNCTION("""COMPUTED_VALUE"""),"Yes")</f>
        <v>Yes</v>
      </c>
      <c r="M46" s="839" t="str">
        <f>IFERROR(__xludf.DUMMYFUNCTION("""COMPUTED_VALUE"""),"Yes")</f>
        <v>Yes</v>
      </c>
      <c r="N46" s="840">
        <f>IFERROR(__xludf.DUMMYFUNCTION("""COMPUTED_VALUE"""),0.816)</f>
        <v>0.816</v>
      </c>
      <c r="O46" s="834"/>
      <c r="P46" s="834"/>
      <c r="Q46" s="834"/>
      <c r="R46" s="834"/>
      <c r="S46" s="834"/>
      <c r="T46" s="834"/>
      <c r="U46" s="840">
        <f>IFERROR(__xludf.DUMMYFUNCTION("""COMPUTED_VALUE"""),0.816)</f>
        <v>0.816</v>
      </c>
      <c r="V46" s="834"/>
      <c r="W46" s="840">
        <f>IFERROR(__xludf.DUMMYFUNCTION("""COMPUTED_VALUE"""),0.992)</f>
        <v>0.992</v>
      </c>
      <c r="X46" s="834"/>
      <c r="Y46" s="834"/>
      <c r="Z46" s="834"/>
      <c r="AA46" s="840">
        <f>IFERROR(__xludf.DUMMYFUNCTION("""COMPUTED_VALUE"""),0.992)</f>
        <v>0.992</v>
      </c>
      <c r="AB46" s="834"/>
      <c r="AC46" s="834"/>
      <c r="AD46" s="834"/>
      <c r="AE46" s="834" t="str">
        <f>IFERROR(__xludf.DUMMYFUNCTION("""COMPUTED_VALUE"""),"Combination of DEC and ALB was most effective in all studies conducted. The four treatment groups didn’t differ significantly by age, sex, pretreatment density or circulating filarial antigen density.")</f>
        <v>Combination of DEC and ALB was most effective in all studies conducted. The four treatment groups didn’t differ significantly by age, sex, pretreatment density or circulating filarial antigen density.</v>
      </c>
      <c r="AF46" s="834" t="str">
        <f>IFERROR(__xludf.DUMMYFUNCTION("""COMPUTED_VALUE"""),"Kato-Katz method         The infection was categorized as light (100)")</f>
        <v>Kato-Katz method         The infection was categorized as light (100)</v>
      </c>
      <c r="AG46" s="834" t="str">
        <f>IFERROR(__xludf.DUMMYFUNCTION("""COMPUTED_VALUE"""),"Fox, Leanne M., Bruce W. Furness, Jennifer K. Haser, Dardith Desire, Jean-Marc Brissau, Marie-Denise Milford, Jack Lafontant, Patrick J. Lammie, and Michael J. Beach. ""Tolerance and Efficacy of Combined Diethlcarbamazine and Albendazolefor Treatment of W"&amp;"uchereria Bancrofti and Intestinal Helminth Infections in Haitian Children."" The American Socie of Tropical Medicine and Hygiene 73.1 (2005): 115-21. Web.")</f>
        <v>Fox, Leanne M., Bruce W. Furness, Jennifer K. Haser, Dardith Desire, Jean-Marc Brissau, Marie-Denise Milford, Jack Lafontant, Patrick J. Lammie, and Michael J. Beach. "Tolerance and Efficacy of Combined Diethlcarbamazine and Albendazolefor Treatment of Wuchereria Bancrofti and Intestinal Helminth Infections in Haitian Children." The American Socie of Tropical Medicine and Hygiene 73.1 (2005): 115-21. Web.</v>
      </c>
      <c r="AH46" s="834"/>
      <c r="AJ46" s="843" t="str">
        <f>IFERROR(__xludf.DUMMYFUNCTION("""COMPUTED_VALUE"""),"Beach et al.")</f>
        <v>Beach et al.</v>
      </c>
      <c r="AK46" s="836"/>
      <c r="AL46" s="836" t="str">
        <f>IFERROR(__xludf.DUMMYFUNCTION("""COMPUTED_VALUE"""),"Haiti")</f>
        <v>Haiti</v>
      </c>
      <c r="AM46" s="836" t="str">
        <f>IFERROR(__xludf.DUMMYFUNCTION("""COMPUTED_VALUE"""),"Ivermectin")</f>
        <v>Ivermectin</v>
      </c>
      <c r="AN46" s="836" t="str">
        <f>IFERROR(__xludf.DUMMYFUNCTION("""COMPUTED_VALUE"""),"Single")</f>
        <v>Single</v>
      </c>
      <c r="AO46" s="836" t="str">
        <f>IFERROR(__xludf.DUMMYFUNCTION("""COMPUTED_VALUE"""),"200-400 mg")</f>
        <v>200-400 mg</v>
      </c>
      <c r="AP46" s="836">
        <f>IFERROR(__xludf.DUMMYFUNCTION("""COMPUTED_VALUE"""),216.0)</f>
        <v>216</v>
      </c>
      <c r="AQ46" s="836" t="str">
        <f>IFERROR(__xludf.DUMMYFUNCTION("""COMPUTED_VALUE"""),"7.4 years old")</f>
        <v>7.4 years old</v>
      </c>
      <c r="AR46" s="836" t="str">
        <f>IFERROR(__xludf.DUMMYFUNCTION("""COMPUTED_VALUE"""),"Female:407")</f>
        <v>Female:407</v>
      </c>
      <c r="AS46" s="836">
        <f>IFERROR(__xludf.DUMMYFUNCTION("""COMPUTED_VALUE"""),1996.0)</f>
        <v>1996</v>
      </c>
      <c r="AT46" s="836" t="str">
        <f>IFERROR(__xludf.DUMMYFUNCTION("""COMPUTED_VALUE"""),"Criteria for inclusion: age 5-11 years old, anthropometric measurments before and four months after treatment, stool specimens before and 5 weeks after treatment, random assignment to a treatment group and height, weight, and age within limits if the anth"&amp;"ropometric database.")</f>
        <v>Criteria for inclusion: age 5-11 years old, anthropometric measurments before and four months after treatment, stool specimens before and 5 weeks after treatment, random assignment to a treatment group and height, weight, and age within limits if the anthropometric database.</v>
      </c>
      <c r="AU46" s="836" t="str">
        <f>IFERROR(__xludf.DUMMYFUNCTION("""COMPUTED_VALUE"""),"Yes")</f>
        <v>Yes</v>
      </c>
      <c r="AV46" s="836" t="str">
        <f>IFERROR(__xludf.DUMMYFUNCTION("""COMPUTED_VALUE"""),"Yes")</f>
        <v>Yes</v>
      </c>
      <c r="AW46" s="836" t="str">
        <f>IFERROR(__xludf.DUMMYFUNCTION("""COMPUTED_VALUE"""),"double-blind placebo controlled study")</f>
        <v>double-blind placebo controlled study</v>
      </c>
      <c r="AX46" s="841">
        <f>IFERROR(__xludf.DUMMYFUNCTION("""COMPUTED_VALUE"""),0.443)</f>
        <v>0.443</v>
      </c>
      <c r="AY46" s="836"/>
      <c r="AZ46" s="836"/>
      <c r="BA46" s="836"/>
      <c r="BB46" s="836"/>
      <c r="BC46" s="836"/>
      <c r="BD46" s="841">
        <f>IFERROR(__xludf.DUMMYFUNCTION("""COMPUTED_VALUE"""),0.443)</f>
        <v>0.443</v>
      </c>
      <c r="BE46" s="836"/>
      <c r="BF46" s="836">
        <f>IFERROR(__xludf.DUMMYFUNCTION("""COMPUTED_VALUE"""),55.2)</f>
        <v>55.2</v>
      </c>
      <c r="BG46" s="836"/>
      <c r="BH46" s="836"/>
      <c r="BI46" s="836"/>
      <c r="BJ46" s="836"/>
      <c r="BK46" s="836"/>
      <c r="BL46" s="836"/>
      <c r="BM46" s="836"/>
      <c r="BN46" s="836"/>
      <c r="BO46" s="836"/>
      <c r="BP46" s="836"/>
      <c r="BQ46" s="697">
        <f>IFERROR(__xludf.DUMMYFUNCTION("""COMPUTED_VALUE"""),45.0)</f>
        <v>45</v>
      </c>
      <c r="BR46" s="844" t="str">
        <f>IFERROR(__xludf.DUMMYFUNCTION("""COMPUTED_VALUE"""),"Albonico et al.")</f>
        <v>Albonico et al.</v>
      </c>
      <c r="BS46" s="838" t="str">
        <f>IFERROR(__xludf.DUMMYFUNCTION("""COMPUTED_VALUE"""),"Nepal")</f>
        <v>Nepal</v>
      </c>
      <c r="BT46" s="838" t="str">
        <f>IFERROR(__xludf.DUMMYFUNCTION("""COMPUTED_VALUE"""),"Albendazole")</f>
        <v>Albendazole</v>
      </c>
      <c r="BU46" s="838"/>
      <c r="BV46" s="838" t="str">
        <f>IFERROR(__xludf.DUMMYFUNCTION("""COMPUTED_VALUE"""),"Single")</f>
        <v>Single</v>
      </c>
      <c r="BW46" s="838" t="str">
        <f>IFERROR(__xludf.DUMMYFUNCTION("""COMPUTED_VALUE"""),"400 mg")</f>
        <v>400 mg</v>
      </c>
      <c r="BX46" s="838">
        <f>IFERROR(__xludf.DUMMYFUNCTION("""COMPUTED_VALUE"""),429.0)</f>
        <v>429</v>
      </c>
      <c r="BY46" s="838">
        <f>IFERROR(__xludf.DUMMYFUNCTION("""COMPUTED_VALUE"""),11.6)</f>
        <v>11.6</v>
      </c>
      <c r="BZ46" s="838"/>
      <c r="CA46" s="838"/>
      <c r="CB46" s="838"/>
      <c r="CC46" s="838" t="str">
        <f>IFERROR(__xludf.DUMMYFUNCTION("""COMPUTED_VALUE"""),"Yes")</f>
        <v>Yes</v>
      </c>
      <c r="CD46" s="847">
        <f>IFERROR(__xludf.DUMMYFUNCTION("""COMPUTED_VALUE"""),0.826)</f>
        <v>0.826</v>
      </c>
      <c r="CE46" s="838" t="str">
        <f>IFERROR(__xludf.DUMMYFUNCTION("""COMPUTED_VALUE"""),"Yes")</f>
        <v>Yes</v>
      </c>
      <c r="CF46" s="838"/>
      <c r="CG46" s="838"/>
      <c r="CH46" s="838"/>
      <c r="CI46" s="838"/>
      <c r="CJ46" s="838"/>
      <c r="CK46" s="838"/>
      <c r="CL46" s="838"/>
      <c r="CM46" s="847">
        <f>IFERROR(__xludf.DUMMYFUNCTION("""COMPUTED_VALUE"""),0.919)</f>
        <v>0.919</v>
      </c>
      <c r="CN46" s="838"/>
      <c r="CO46" s="838"/>
      <c r="CP46" s="838"/>
      <c r="CQ46" s="838"/>
      <c r="CR46" s="838"/>
      <c r="CS46" s="838"/>
      <c r="CT46" s="838" t="str">
        <f>IFERROR(__xludf.DUMMYFUNCTION("""COMPUTED_VALUE"""),"Kato-Katz Method")</f>
        <v>Kato-Katz Method</v>
      </c>
      <c r="CU46" s="838"/>
      <c r="CV46" s="697" t="str">
        <f>IFERROR(__xludf.DUMMYFUNCTION("""COMPUTED_VALUE"""),"Albonico M1, Mathema P, Montresor A, Khakurel B, Reggi V, Pandey S, Savioli L. Comparative study of the quality and efficacy of originator and generic albendazole for mass treatment of soil-transmitted nematode infections in Nepal")</f>
        <v>Albonico M1, Mathema P, Montresor A, Khakurel B, Reggi V, Pandey S, Savioli L. Comparative study of the quality and efficacy of originator and generic albendazole for mass treatment of soil-transmitted nematode infections in Nepal</v>
      </c>
    </row>
    <row r="47">
      <c r="A47" s="842" t="str">
        <f>IFERROR(__xludf.DUMMYFUNCTION("""COMPUTED_VALUE"""),"Gunawardena et al.")</f>
        <v>Gunawardena et al.</v>
      </c>
      <c r="B47" s="834" t="str">
        <f>IFERROR(__xludf.DUMMYFUNCTION("""COMPUTED_VALUE"""),"Sri Lanka")</f>
        <v>Sri Lanka</v>
      </c>
      <c r="C47" s="834" t="str">
        <f>IFERROR(__xludf.DUMMYFUNCTION("""COMPUTED_VALUE"""),"Mebendazole")</f>
        <v>Mebendazole</v>
      </c>
      <c r="D47" s="834" t="str">
        <f>IFERROR(__xludf.DUMMYFUNCTION("""COMPUTED_VALUE"""),"Single")</f>
        <v>Single</v>
      </c>
      <c r="E47" s="834" t="str">
        <f>IFERROR(__xludf.DUMMYFUNCTION("""COMPUTED_VALUE"""),"500 mg")</f>
        <v>500 mg</v>
      </c>
      <c r="F47" s="834">
        <f>IFERROR(__xludf.DUMMYFUNCTION("""COMPUTED_VALUE"""),74.0)</f>
        <v>74</v>
      </c>
      <c r="G47" s="834" t="str">
        <f>IFERROR(__xludf.DUMMYFUNCTION("""COMPUTED_VALUE"""),"3 years and older; Average Age: 34")</f>
        <v>3 years and older; Average Age: 34</v>
      </c>
      <c r="H47" s="839" t="str">
        <f>IFERROR(__xludf.DUMMYFUNCTION("""COMPUTED_VALUE"""),"100:114")</f>
        <v>100:114</v>
      </c>
      <c r="I47" s="834">
        <f>IFERROR(__xludf.DUMMYFUNCTION("""COMPUTED_VALUE"""),2011.0)</f>
        <v>2011</v>
      </c>
      <c r="J47" s="834" t="str">
        <f>IFERROR(__xludf.DUMMYFUNCTION("""COMPUTED_VALUE"""),"Infants below the age of 2 years, pregnant women, and those with diarrhea on the day of recruitment were excluded from the study.")</f>
        <v>Infants below the age of 2 years, pregnant women, and those with diarrhea on the day of recruitment were excluded from the study.</v>
      </c>
      <c r="K47" s="839" t="str">
        <f>IFERROR(__xludf.DUMMYFUNCTION("""COMPUTED_VALUE"""),"double-blind randomized placebo controlled study")</f>
        <v>double-blind randomized placebo controlled study</v>
      </c>
      <c r="L47" s="839" t="str">
        <f>IFERROR(__xludf.DUMMYFUNCTION("""COMPUTED_VALUE"""),"Yes")</f>
        <v>Yes</v>
      </c>
      <c r="M47" s="839" t="str">
        <f>IFERROR(__xludf.DUMMYFUNCTION("""COMPUTED_VALUE"""),"Yes")</f>
        <v>Yes</v>
      </c>
      <c r="N47" s="840">
        <f>IFERROR(__xludf.DUMMYFUNCTION("""COMPUTED_VALUE"""),0.188)</f>
        <v>0.188</v>
      </c>
      <c r="O47" s="840">
        <f>IFERROR(__xludf.DUMMYFUNCTION("""COMPUTED_VALUE"""),0.188)</f>
        <v>0.188</v>
      </c>
      <c r="P47" s="834"/>
      <c r="Q47" s="834"/>
      <c r="R47" s="834"/>
      <c r="S47" s="834"/>
      <c r="T47" s="834"/>
      <c r="U47" s="834"/>
      <c r="V47" s="834"/>
      <c r="W47" s="840">
        <f>IFERROR(__xludf.DUMMYFUNCTION("""COMPUTED_VALUE"""),0.845)</f>
        <v>0.845</v>
      </c>
      <c r="X47" s="840">
        <f>IFERROR(__xludf.DUMMYFUNCTION("""COMPUTED_VALUE"""),0.845)</f>
        <v>0.845</v>
      </c>
      <c r="Y47" s="834"/>
      <c r="Z47" s="834"/>
      <c r="AA47" s="834"/>
      <c r="AB47" s="834"/>
      <c r="AC47" s="834"/>
      <c r="AD47" s="834"/>
      <c r="AE47" s="834" t="str">
        <f>IFERROR(__xludf.DUMMYFUNCTION("""COMPUTED_VALUE"""),"A single 500mg dose of mebendazole, either as Polymorph C alone, or as a mixture of Polymorphs A and C, has little efficacy in curing hookworm infections. However, both formulations are significantly better than placebo in reducing the intensity of infect"&amp;"ion, with no statistically significant difference between the two formulations.")</f>
        <v>A single 500mg dose of mebendazole, either as Polymorph C alone, or as a mixture of Polymorphs A and C, has little efficacy in curing hookworm infections. However, both formulations are significantly better than placebo in reducing the intensity of infection, with no statistically significant difference between the two formulations.</v>
      </c>
      <c r="AF47" s="834" t="str">
        <f>IFERROR(__xludf.DUMMYFUNCTION("""COMPUTED_VALUE"""),"Kato-Katz Method")</f>
        <v>Kato-Katz Method</v>
      </c>
      <c r="AG47" s="834" t="str">
        <f>IFERROR(__xludf.DUMMYFUNCTION("""COMPUTED_VALUE"""),"Gunawardena N., Kumarendran B., Manamperi N., Senarathna B., Silva M., Pathmeswaran A., and De Silva N. “Randomized Placebo-Controlled Trial of the Efficacy of MebendazolePolymorphs in the Treatment of Hookworm Infections”. The Bulletin of the Sri Lanka C"&amp;"ollege of Microbiologists 11 (2013): 12-13. Web.")</f>
        <v>Gunawardena N., Kumarendran B., Manamperi N., Senarathna B., Silva M., Pathmeswaran A., and De Silva N. “Randomized Placebo-Controlled Trial of the Efficacy of MebendazolePolymorphs in the Treatment of Hookworm Infections”. The Bulletin of the Sri Lanka College of Microbiologists 11 (2013): 12-13. Web.</v>
      </c>
      <c r="AH47" s="834"/>
      <c r="AJ47" s="843" t="str">
        <f>IFERROR(__xludf.DUMMYFUNCTION("""COMPUTED_VALUE"""),"Beach et al.")</f>
        <v>Beach et al.</v>
      </c>
      <c r="AK47" s="836"/>
      <c r="AL47" s="836" t="str">
        <f>IFERROR(__xludf.DUMMYFUNCTION("""COMPUTED_VALUE"""),"Haiti")</f>
        <v>Haiti</v>
      </c>
      <c r="AM47" s="836" t="str">
        <f>IFERROR(__xludf.DUMMYFUNCTION("""COMPUTED_VALUE"""),"Albendazole &amp; Ivermectin")</f>
        <v>Albendazole &amp; Ivermectin</v>
      </c>
      <c r="AN47" s="836" t="str">
        <f>IFERROR(__xludf.DUMMYFUNCTION("""COMPUTED_VALUE"""),"Single")</f>
        <v>Single</v>
      </c>
      <c r="AO47" s="836" t="str">
        <f>IFERROR(__xludf.DUMMYFUNCTION("""COMPUTED_VALUE"""),"400 mg; 200-400 mg")</f>
        <v>400 mg; 200-400 mg</v>
      </c>
      <c r="AP47" s="836">
        <f>IFERROR(__xludf.DUMMYFUNCTION("""COMPUTED_VALUE"""),218.0)</f>
        <v>218</v>
      </c>
      <c r="AQ47" s="836" t="str">
        <f>IFERROR(__xludf.DUMMYFUNCTION("""COMPUTED_VALUE"""),"7.4 years old")</f>
        <v>7.4 years old</v>
      </c>
      <c r="AR47" s="836" t="str">
        <f>IFERROR(__xludf.DUMMYFUNCTION("""COMPUTED_VALUE"""),"Female:407")</f>
        <v>Female:407</v>
      </c>
      <c r="AS47" s="836">
        <f>IFERROR(__xludf.DUMMYFUNCTION("""COMPUTED_VALUE"""),1996.0)</f>
        <v>1996</v>
      </c>
      <c r="AT47" s="836" t="str">
        <f>IFERROR(__xludf.DUMMYFUNCTION("""COMPUTED_VALUE"""),"Criteria for inclusion: age 5-11 years old, anthropometric measurments before and four months after treatment, stool specimens before and 5 weeks after treatment, random assignment to a treatment group and height, weight, and age within limits if the anth"&amp;"ropometric database.")</f>
        <v>Criteria for inclusion: age 5-11 years old, anthropometric measurments before and four months after treatment, stool specimens before and 5 weeks after treatment, random assignment to a treatment group and height, weight, and age within limits if the anthropometric database.</v>
      </c>
      <c r="AU47" s="836" t="str">
        <f>IFERROR(__xludf.DUMMYFUNCTION("""COMPUTED_VALUE"""),"Yes")</f>
        <v>Yes</v>
      </c>
      <c r="AV47" s="836" t="str">
        <f>IFERROR(__xludf.DUMMYFUNCTION("""COMPUTED_VALUE"""),"Yes")</f>
        <v>Yes</v>
      </c>
      <c r="AW47" s="836" t="str">
        <f>IFERROR(__xludf.DUMMYFUNCTION("""COMPUTED_VALUE"""),"double-blind placebo controlled study")</f>
        <v>double-blind placebo controlled study</v>
      </c>
      <c r="AX47" s="841">
        <f>IFERROR(__xludf.DUMMYFUNCTION("""COMPUTED_VALUE"""),0.796)</f>
        <v>0.796</v>
      </c>
      <c r="AY47" s="836"/>
      <c r="AZ47" s="836"/>
      <c r="BA47" s="836"/>
      <c r="BB47" s="836"/>
      <c r="BC47" s="836"/>
      <c r="BD47" s="841">
        <f>IFERROR(__xludf.DUMMYFUNCTION("""COMPUTED_VALUE"""),0.796)</f>
        <v>0.796</v>
      </c>
      <c r="BE47" s="836"/>
      <c r="BF47" s="836">
        <f>IFERROR(__xludf.DUMMYFUNCTION("""COMPUTED_VALUE"""),79.1)</f>
        <v>79.1</v>
      </c>
      <c r="BG47" s="836"/>
      <c r="BH47" s="836"/>
      <c r="BI47" s="836"/>
      <c r="BJ47" s="836"/>
      <c r="BK47" s="836"/>
      <c r="BL47" s="836"/>
      <c r="BM47" s="836"/>
      <c r="BN47" s="836"/>
      <c r="BO47" s="836"/>
      <c r="BP47" s="836"/>
      <c r="BQ47" s="697">
        <f>IFERROR(__xludf.DUMMYFUNCTION("""COMPUTED_VALUE"""),46.0)</f>
        <v>46</v>
      </c>
      <c r="BR47" s="844" t="str">
        <f>IFERROR(__xludf.DUMMYFUNCTION("""COMPUTED_VALUE"""),"Albonico et al.")</f>
        <v>Albonico et al.</v>
      </c>
      <c r="BS47" s="838" t="str">
        <f>IFERROR(__xludf.DUMMYFUNCTION("""COMPUTED_VALUE"""),"Nepal")</f>
        <v>Nepal</v>
      </c>
      <c r="BT47" s="838" t="str">
        <f>IFERROR(__xludf.DUMMYFUNCTION("""COMPUTED_VALUE"""),"Albendazole")</f>
        <v>Albendazole</v>
      </c>
      <c r="BU47" s="838"/>
      <c r="BV47" s="838" t="str">
        <f>IFERROR(__xludf.DUMMYFUNCTION("""COMPUTED_VALUE"""),"Single")</f>
        <v>Single</v>
      </c>
      <c r="BW47" s="838" t="str">
        <f>IFERROR(__xludf.DUMMYFUNCTION("""COMPUTED_VALUE"""),"400 mg")</f>
        <v>400 mg</v>
      </c>
      <c r="BX47" s="838">
        <f>IFERROR(__xludf.DUMMYFUNCTION("""COMPUTED_VALUE"""),419.0)</f>
        <v>419</v>
      </c>
      <c r="BY47" s="838">
        <f>IFERROR(__xludf.DUMMYFUNCTION("""COMPUTED_VALUE"""),11.6)</f>
        <v>11.6</v>
      </c>
      <c r="BZ47" s="838"/>
      <c r="CA47" s="838"/>
      <c r="CB47" s="838"/>
      <c r="CC47" s="838" t="str">
        <f>IFERROR(__xludf.DUMMYFUNCTION("""COMPUTED_VALUE"""),"Yes")</f>
        <v>Yes</v>
      </c>
      <c r="CD47" s="846">
        <f>IFERROR(__xludf.DUMMYFUNCTION("""COMPUTED_VALUE"""),0.95)</f>
        <v>0.95</v>
      </c>
      <c r="CE47" s="838" t="str">
        <f>IFERROR(__xludf.DUMMYFUNCTION("""COMPUTED_VALUE"""),"Yes")</f>
        <v>Yes</v>
      </c>
      <c r="CF47" s="838"/>
      <c r="CG47" s="838"/>
      <c r="CH47" s="838"/>
      <c r="CI47" s="838"/>
      <c r="CJ47" s="838"/>
      <c r="CK47" s="838"/>
      <c r="CL47" s="838"/>
      <c r="CM47" s="847">
        <f>IFERROR(__xludf.DUMMYFUNCTION("""COMPUTED_VALUE"""),0.938)</f>
        <v>0.938</v>
      </c>
      <c r="CN47" s="838"/>
      <c r="CO47" s="838"/>
      <c r="CP47" s="838"/>
      <c r="CQ47" s="838"/>
      <c r="CR47" s="838"/>
      <c r="CS47" s="838"/>
      <c r="CT47" s="838" t="str">
        <f>IFERROR(__xludf.DUMMYFUNCTION("""COMPUTED_VALUE"""),"Kato-Katz Method")</f>
        <v>Kato-Katz Method</v>
      </c>
      <c r="CU47" s="838"/>
      <c r="CV47" s="697" t="str">
        <f>IFERROR(__xludf.DUMMYFUNCTION("""COMPUTED_VALUE"""),"Albonico M1, Mathema P, Montresor A, Khakurel B, Reggi V, Pandey S, Savioli L. Comparative study of the quality and efficacy of originator and generic albendazole for mass treatment of soil-transmitted nematode infections in Nepal")</f>
        <v>Albonico M1, Mathema P, Montresor A, Khakurel B, Reggi V, Pandey S, Savioli L. Comparative study of the quality and efficacy of originator and generic albendazole for mass treatment of soil-transmitted nematode infections in Nepal</v>
      </c>
    </row>
    <row r="48">
      <c r="A48" s="842" t="str">
        <f>IFERROR(__xludf.DUMMYFUNCTION("""COMPUTED_VALUE"""),"Gunawardena et al.")</f>
        <v>Gunawardena et al.</v>
      </c>
      <c r="B48" s="834" t="str">
        <f>IFERROR(__xludf.DUMMYFUNCTION("""COMPUTED_VALUE"""),"Sri Lanka")</f>
        <v>Sri Lanka</v>
      </c>
      <c r="C48" s="834" t="str">
        <f>IFERROR(__xludf.DUMMYFUNCTION("""COMPUTED_VALUE"""),"Mebendazole")</f>
        <v>Mebendazole</v>
      </c>
      <c r="D48" s="834" t="str">
        <f>IFERROR(__xludf.DUMMYFUNCTION("""COMPUTED_VALUE"""),"Single")</f>
        <v>Single</v>
      </c>
      <c r="E48" s="834" t="str">
        <f>IFERROR(__xludf.DUMMYFUNCTION("""COMPUTED_VALUE"""),"500 mg")</f>
        <v>500 mg</v>
      </c>
      <c r="F48" s="834">
        <f>IFERROR(__xludf.DUMMYFUNCTION("""COMPUTED_VALUE"""),70.0)</f>
        <v>70</v>
      </c>
      <c r="G48" s="834"/>
      <c r="H48" s="834"/>
      <c r="I48" s="834">
        <f>IFERROR(__xludf.DUMMYFUNCTION("""COMPUTED_VALUE"""),2011.0)</f>
        <v>2011</v>
      </c>
      <c r="J48" s="834" t="str">
        <f>IFERROR(__xludf.DUMMYFUNCTION("""COMPUTED_VALUE"""),"Infants below the age of 2 years, pregnant women, and those with diarrhea on the day of recruitment were excluded from the study.")</f>
        <v>Infants below the age of 2 years, pregnant women, and those with diarrhea on the day of recruitment were excluded from the study.</v>
      </c>
      <c r="K48" s="839" t="str">
        <f>IFERROR(__xludf.DUMMYFUNCTION("""COMPUTED_VALUE"""),"double-blind randomized placebo controlled study")</f>
        <v>double-blind randomized placebo controlled study</v>
      </c>
      <c r="L48" s="839" t="str">
        <f>IFERROR(__xludf.DUMMYFUNCTION("""COMPUTED_VALUE"""),"Yes")</f>
        <v>Yes</v>
      </c>
      <c r="M48" s="839" t="str">
        <f>IFERROR(__xludf.DUMMYFUNCTION("""COMPUTED_VALUE"""),"Yes")</f>
        <v>Yes</v>
      </c>
      <c r="N48" s="840">
        <f>IFERROR(__xludf.DUMMYFUNCTION("""COMPUTED_VALUE"""),0.283)</f>
        <v>0.283</v>
      </c>
      <c r="O48" s="840">
        <f>IFERROR(__xludf.DUMMYFUNCTION("""COMPUTED_VALUE"""),0.283)</f>
        <v>0.283</v>
      </c>
      <c r="P48" s="834"/>
      <c r="Q48" s="834"/>
      <c r="R48" s="834"/>
      <c r="S48" s="834"/>
      <c r="T48" s="834"/>
      <c r="U48" s="834"/>
      <c r="V48" s="834"/>
      <c r="W48" s="840">
        <f>IFERROR(__xludf.DUMMYFUNCTION("""COMPUTED_VALUE"""),0.861)</f>
        <v>0.861</v>
      </c>
      <c r="X48" s="840">
        <f>IFERROR(__xludf.DUMMYFUNCTION("""COMPUTED_VALUE"""),0.861)</f>
        <v>0.861</v>
      </c>
      <c r="Y48" s="834"/>
      <c r="Z48" s="834"/>
      <c r="AA48" s="834"/>
      <c r="AB48" s="834"/>
      <c r="AC48" s="834"/>
      <c r="AD48" s="834"/>
      <c r="AE48" s="834" t="str">
        <f>IFERROR(__xludf.DUMMYFUNCTION("""COMPUTED_VALUE"""),"A single 500mg dose of mebendazole, either as Polymorph C alone, or as a mixture of Polymorphs A and C, has little efficacy in curing hookworm infections. However, both formulations are significantly better than placebo in reducing the intensity of infect"&amp;"ion, with no statistically significant difference between the two formulations.")</f>
        <v>A single 500mg dose of mebendazole, either as Polymorph C alone, or as a mixture of Polymorphs A and C, has little efficacy in curing hookworm infections. However, both formulations are significantly better than placebo in reducing the intensity of infection, with no statistically significant difference between the two formulations.</v>
      </c>
      <c r="AF48" s="834" t="str">
        <f>IFERROR(__xludf.DUMMYFUNCTION("""COMPUTED_VALUE"""),"Kato-Katz Method")</f>
        <v>Kato-Katz Method</v>
      </c>
      <c r="AG48" s="834" t="str">
        <f>IFERROR(__xludf.DUMMYFUNCTION("""COMPUTED_VALUE"""),"Gunawardena N., Kumarendran B., Manamperi N., Senarathna B., Silva M., Pathmeswaran A., and De Silva N. “Randomized Placebo-Controlled Trial of the Efficacy of MebendazolePolymorphs in the Treatment of Hookworm Infections”. The Bulletin of the Sri Lanka C"&amp;"ollege of Microbiologists 11 (2013): 12-13. Web.")</f>
        <v>Gunawardena N., Kumarendran B., Manamperi N., Senarathna B., Silva M., Pathmeswaran A., and De Silva N. “Randomized Placebo-Controlled Trial of the Efficacy of MebendazolePolymorphs in the Treatment of Hookworm Infections”. The Bulletin of the Sri Lanka College of Microbiologists 11 (2013): 12-13. Web.</v>
      </c>
      <c r="AH48" s="834"/>
      <c r="AJ48" s="843" t="str">
        <f>IFERROR(__xludf.DUMMYFUNCTION("""COMPUTED_VALUE"""),"Fox et al.")</f>
        <v>Fox et al.</v>
      </c>
      <c r="AK48" s="836" t="str">
        <f>IFERROR(__xludf.DUMMYFUNCTION("""COMPUTED_VALUE"""),"Fox, Leanne M., Bruce W. Furness, Jennifer K. Haser, Dardith Desire, Jean-Marc Brissau, Marie-Denise Milford, Jack Lafontant, Patrick J. Lammie, and Michael J. Beach. ""Tolerance and Efficacy of Combined Diethlcarbamazine and Albendazolefor Treatment of W"&amp;"uchereria Bancrofti and Intestinal Helminth Infections in Haitian Children."" The American Socie of Tropical Medicine and Hygiene 73.1 (2005): 115-21. Web.")</f>
        <v>Fox, Leanne M., Bruce W. Furness, Jennifer K. Haser, Dardith Desire, Jean-Marc Brissau, Marie-Denise Milford, Jack Lafontant, Patrick J. Lammie, and Michael J. Beach. "Tolerance and Efficacy of Combined Diethlcarbamazine and Albendazolefor Treatment of Wuchereria Bancrofti and Intestinal Helminth Infections in Haitian Children." The American Socie of Tropical Medicine and Hygiene 73.1 (2005): 115-21. Web.</v>
      </c>
      <c r="AL48" s="836" t="str">
        <f>IFERROR(__xludf.DUMMYFUNCTION("""COMPUTED_VALUE"""),"Haiti")</f>
        <v>Haiti</v>
      </c>
      <c r="AM48" s="836" t="str">
        <f>IFERROR(__xludf.DUMMYFUNCTION("""COMPUTED_VALUE"""),"Placebo 250 mg Vitamin C")</f>
        <v>Placebo 250 mg Vitamin C</v>
      </c>
      <c r="AN48" s="836"/>
      <c r="AO48" s="836"/>
      <c r="AP48" s="836">
        <f>IFERROR(__xludf.DUMMYFUNCTION("""COMPUTED_VALUE"""),306.0)</f>
        <v>306</v>
      </c>
      <c r="AQ48" s="836" t="str">
        <f>IFERROR(__xludf.DUMMYFUNCTION("""COMPUTED_VALUE"""),"5-11 years old")</f>
        <v>5-11 years old</v>
      </c>
      <c r="AR48" s="836" t="str">
        <f>IFERROR(__xludf.DUMMYFUNCTION("""COMPUTED_VALUE"""),"Female:656")</f>
        <v>Female:656</v>
      </c>
      <c r="AS48" s="836">
        <f>IFERROR(__xludf.DUMMYFUNCTION("""COMPUTED_VALUE"""),1998.0)</f>
        <v>1998</v>
      </c>
      <c r="AT48" s="836"/>
      <c r="AU48" s="836" t="str">
        <f>IFERROR(__xludf.DUMMYFUNCTION("""COMPUTED_VALUE"""),"Yes")</f>
        <v>Yes</v>
      </c>
      <c r="AV48" s="836" t="str">
        <f>IFERROR(__xludf.DUMMYFUNCTION("""COMPUTED_VALUE"""),"Yes")</f>
        <v>Yes</v>
      </c>
      <c r="AW48" s="836" t="str">
        <f>IFERROR(__xludf.DUMMYFUNCTION("""COMPUTED_VALUE"""),"clinical trial, double blind")</f>
        <v>clinical trial, double blind</v>
      </c>
      <c r="AX48" s="841">
        <f>IFERROR(__xludf.DUMMYFUNCTION("""COMPUTED_VALUE"""),0.0)</f>
        <v>0</v>
      </c>
      <c r="AY48" s="836"/>
      <c r="AZ48" s="836"/>
      <c r="BA48" s="836"/>
      <c r="BB48" s="836"/>
      <c r="BC48" s="836"/>
      <c r="BD48" s="841">
        <f>IFERROR(__xludf.DUMMYFUNCTION("""COMPUTED_VALUE"""),0.0)</f>
        <v>0</v>
      </c>
      <c r="BE48" s="836"/>
      <c r="BF48" s="836"/>
      <c r="BG48" s="836"/>
      <c r="BH48" s="836" t="str">
        <f>IFERROR(__xludf.DUMMYFUNCTION("""COMPUTED_VALUE"""),"increase 9.6%")</f>
        <v>increase 9.6%</v>
      </c>
      <c r="BI48" s="836"/>
      <c r="BJ48" s="836"/>
      <c r="BK48" s="836"/>
      <c r="BL48" s="836"/>
      <c r="BM48" s="836"/>
      <c r="BN48" s="836"/>
      <c r="BO48" s="836" t="str">
        <f>IFERROR(__xludf.DUMMYFUNCTION("""COMPUTED_VALUE"""),"Kato-Katz Method and Finger Prick")</f>
        <v>Kato-Katz Method and Finger Prick</v>
      </c>
      <c r="BP48" s="836"/>
      <c r="BQ48" s="697">
        <f>IFERROR(__xludf.DUMMYFUNCTION("""COMPUTED_VALUE"""),47.0)</f>
        <v>47</v>
      </c>
      <c r="BR48" s="844" t="str">
        <f>IFERROR(__xludf.DUMMYFUNCTION("""COMPUTED_VALUE"""),"Albonico et al.")</f>
        <v>Albonico et al.</v>
      </c>
      <c r="BS48" s="838" t="str">
        <f>IFERROR(__xludf.DUMMYFUNCTION("""COMPUTED_VALUE"""),"Nepal")</f>
        <v>Nepal</v>
      </c>
      <c r="BT48" s="838" t="str">
        <f>IFERROR(__xludf.DUMMYFUNCTION("""COMPUTED_VALUE"""),"Albendazole")</f>
        <v>Albendazole</v>
      </c>
      <c r="BU48" s="838"/>
      <c r="BV48" s="838" t="str">
        <f>IFERROR(__xludf.DUMMYFUNCTION("""COMPUTED_VALUE"""),"Single")</f>
        <v>Single</v>
      </c>
      <c r="BW48" s="838" t="str">
        <f>IFERROR(__xludf.DUMMYFUNCTION("""COMPUTED_VALUE"""),"400 mg")</f>
        <v>400 mg</v>
      </c>
      <c r="BX48" s="838">
        <f>IFERROR(__xludf.DUMMYFUNCTION("""COMPUTED_VALUE"""),429.0)</f>
        <v>429</v>
      </c>
      <c r="BY48" s="838">
        <f>IFERROR(__xludf.DUMMYFUNCTION("""COMPUTED_VALUE"""),11.6)</f>
        <v>11.6</v>
      </c>
      <c r="BZ48" s="838"/>
      <c r="CA48" s="838"/>
      <c r="CB48" s="838"/>
      <c r="CC48" s="838" t="str">
        <f>IFERROR(__xludf.DUMMYFUNCTION("""COMPUTED_VALUE"""),"Yes")</f>
        <v>Yes</v>
      </c>
      <c r="CD48" s="846">
        <f>IFERROR(__xludf.DUMMYFUNCTION("""COMPUTED_VALUE"""),0.97)</f>
        <v>0.97</v>
      </c>
      <c r="CE48" s="838" t="str">
        <f>IFERROR(__xludf.DUMMYFUNCTION("""COMPUTED_VALUE"""),"Yes")</f>
        <v>Yes</v>
      </c>
      <c r="CF48" s="838"/>
      <c r="CG48" s="838"/>
      <c r="CH48" s="838"/>
      <c r="CI48" s="838"/>
      <c r="CJ48" s="838"/>
      <c r="CK48" s="838"/>
      <c r="CL48" s="838"/>
      <c r="CM48" s="847">
        <f>IFERROR(__xludf.DUMMYFUNCTION("""COMPUTED_VALUE"""),0.926)</f>
        <v>0.926</v>
      </c>
      <c r="CN48" s="838"/>
      <c r="CO48" s="838"/>
      <c r="CP48" s="838"/>
      <c r="CQ48" s="838"/>
      <c r="CR48" s="838"/>
      <c r="CS48" s="838"/>
      <c r="CT48" s="838" t="str">
        <f>IFERROR(__xludf.DUMMYFUNCTION("""COMPUTED_VALUE"""),"Kato-Katz Method")</f>
        <v>Kato-Katz Method</v>
      </c>
      <c r="CU48" s="838"/>
      <c r="CV48" s="697" t="str">
        <f>IFERROR(__xludf.DUMMYFUNCTION("""COMPUTED_VALUE"""),"Albonico M1, Mathema P, Montresor A, Khakurel B, Reggi V, Pandey S, Savioli L. Comparative study of the quality and efficacy of originator and generic albendazole for mass treatment of soil-transmitted nematode infections in Nepal")</f>
        <v>Albonico M1, Mathema P, Montresor A, Khakurel B, Reggi V, Pandey S, Savioli L. Comparative study of the quality and efficacy of originator and generic albendazole for mass treatment of soil-transmitted nematode infections in Nepal</v>
      </c>
    </row>
    <row r="49">
      <c r="A49" s="842" t="str">
        <f>IFERROR(__xludf.DUMMYFUNCTION("""COMPUTED_VALUE"""),"Gunawardena et al.")</f>
        <v>Gunawardena et al.</v>
      </c>
      <c r="B49" s="834" t="str">
        <f>IFERROR(__xludf.DUMMYFUNCTION("""COMPUTED_VALUE"""),"Sri Lanka")</f>
        <v>Sri Lanka</v>
      </c>
      <c r="C49" s="834" t="str">
        <f>IFERROR(__xludf.DUMMYFUNCTION("""COMPUTED_VALUE"""),"Placebo")</f>
        <v>Placebo</v>
      </c>
      <c r="D49" s="834"/>
      <c r="E49" s="834"/>
      <c r="F49" s="834">
        <f>IFERROR(__xludf.DUMMYFUNCTION("""COMPUTED_VALUE"""),70.0)</f>
        <v>70</v>
      </c>
      <c r="G49" s="834"/>
      <c r="H49" s="834"/>
      <c r="I49" s="834">
        <f>IFERROR(__xludf.DUMMYFUNCTION("""COMPUTED_VALUE"""),2011.0)</f>
        <v>2011</v>
      </c>
      <c r="J49" s="834" t="str">
        <f>IFERROR(__xludf.DUMMYFUNCTION("""COMPUTED_VALUE"""),"Infants below the age of 2 years, pregnant women, and those with diarrhea on the day of recruitment were excluded from the study.")</f>
        <v>Infants below the age of 2 years, pregnant women, and those with diarrhea on the day of recruitment were excluded from the study.</v>
      </c>
      <c r="K49" s="839" t="str">
        <f>IFERROR(__xludf.DUMMYFUNCTION("""COMPUTED_VALUE"""),"double-blind randomized placebo controlled study")</f>
        <v>double-blind randomized placebo controlled study</v>
      </c>
      <c r="L49" s="839" t="str">
        <f>IFERROR(__xludf.DUMMYFUNCTION("""COMPUTED_VALUE"""),"Yes")</f>
        <v>Yes</v>
      </c>
      <c r="M49" s="839" t="str">
        <f>IFERROR(__xludf.DUMMYFUNCTION("""COMPUTED_VALUE"""),"Yes")</f>
        <v>Yes</v>
      </c>
      <c r="N49" s="840">
        <f>IFERROR(__xludf.DUMMYFUNCTION("""COMPUTED_VALUE"""),0.163)</f>
        <v>0.163</v>
      </c>
      <c r="O49" s="840">
        <f>IFERROR(__xludf.DUMMYFUNCTION("""COMPUTED_VALUE"""),0.163)</f>
        <v>0.163</v>
      </c>
      <c r="P49" s="834"/>
      <c r="Q49" s="834"/>
      <c r="R49" s="834"/>
      <c r="S49" s="834"/>
      <c r="T49" s="834"/>
      <c r="U49" s="834"/>
      <c r="V49" s="834"/>
      <c r="W49" s="840">
        <f>IFERROR(__xludf.DUMMYFUNCTION("""COMPUTED_VALUE"""),-0.066)</f>
        <v>-0.066</v>
      </c>
      <c r="X49" s="840">
        <f>IFERROR(__xludf.DUMMYFUNCTION("""COMPUTED_VALUE"""),-0.066)</f>
        <v>-0.066</v>
      </c>
      <c r="Y49" s="834"/>
      <c r="Z49" s="834"/>
      <c r="AA49" s="834"/>
      <c r="AB49" s="834"/>
      <c r="AC49" s="834"/>
      <c r="AD49" s="834"/>
      <c r="AE49" s="834" t="str">
        <f>IFERROR(__xludf.DUMMYFUNCTION("""COMPUTED_VALUE"""),"A single 500mg dose of mebendazole, either as Polymorph C alone, or as a mixture of Polymorphs A and C, has little efficacy in curing hookworm infections. However, both formulations are significantly better than placebo in reducing the intensity of infect"&amp;"ion, with no statistically significant difference between the two formulations.")</f>
        <v>A single 500mg dose of mebendazole, either as Polymorph C alone, or as a mixture of Polymorphs A and C, has little efficacy in curing hookworm infections. However, both formulations are significantly better than placebo in reducing the intensity of infection, with no statistically significant difference between the two formulations.</v>
      </c>
      <c r="AF49" s="834" t="str">
        <f>IFERROR(__xludf.DUMMYFUNCTION("""COMPUTED_VALUE"""),"Kato-Katz Method")</f>
        <v>Kato-Katz Method</v>
      </c>
      <c r="AG49" s="834" t="str">
        <f>IFERROR(__xludf.DUMMYFUNCTION("""COMPUTED_VALUE"""),"Gunawardena N., Kumarendran B., Manamperi N., Senarathna B., Silva M., Pathmeswaran A., and De Silva N. “Randomized Placebo-Controlled Trial of the Efficacy of MebendazolePolymorphs in the Treatment of Hookworm Infections”. The Bulletin of the Sri Lanka C"&amp;"ollege of Microbiologists 11 (2013): 12-13. Web.")</f>
        <v>Gunawardena N., Kumarendran B., Manamperi N., Senarathna B., Silva M., Pathmeswaran A., and De Silva N. “Randomized Placebo-Controlled Trial of the Efficacy of MebendazolePolymorphs in the Treatment of Hookworm Infections”. The Bulletin of the Sri Lanka College of Microbiologists 11 (2013): 12-13. Web.</v>
      </c>
      <c r="AH49" s="834"/>
      <c r="AJ49" s="843" t="str">
        <f>IFERROR(__xludf.DUMMYFUNCTION("""COMPUTED_VALUE"""),"Fox et al.")</f>
        <v>Fox et al.</v>
      </c>
      <c r="AK49" s="836"/>
      <c r="AL49" s="836" t="str">
        <f>IFERROR(__xludf.DUMMYFUNCTION("""COMPUTED_VALUE"""),"Haiti")</f>
        <v>Haiti</v>
      </c>
      <c r="AM49" s="836" t="str">
        <f>IFERROR(__xludf.DUMMYFUNCTION("""COMPUTED_VALUE"""),"Albendazole")</f>
        <v>Albendazole</v>
      </c>
      <c r="AN49" s="836" t="str">
        <f>IFERROR(__xludf.DUMMYFUNCTION("""COMPUTED_VALUE"""),"Single")</f>
        <v>Single</v>
      </c>
      <c r="AO49" s="836" t="str">
        <f>IFERROR(__xludf.DUMMYFUNCTION("""COMPUTED_VALUE"""),"400 mg")</f>
        <v>400 mg</v>
      </c>
      <c r="AP49" s="836">
        <f>IFERROR(__xludf.DUMMYFUNCTION("""COMPUTED_VALUE"""),320.0)</f>
        <v>320</v>
      </c>
      <c r="AQ49" s="836" t="str">
        <f>IFERROR(__xludf.DUMMYFUNCTION("""COMPUTED_VALUE"""),"5-11 years old")</f>
        <v>5-11 years old</v>
      </c>
      <c r="AR49" s="836" t="str">
        <f>IFERROR(__xludf.DUMMYFUNCTION("""COMPUTED_VALUE"""),"Female:657")</f>
        <v>Female:657</v>
      </c>
      <c r="AS49" s="836">
        <f>IFERROR(__xludf.DUMMYFUNCTION("""COMPUTED_VALUE"""),1998.0)</f>
        <v>1998</v>
      </c>
      <c r="AT49" s="836"/>
      <c r="AU49" s="836" t="str">
        <f>IFERROR(__xludf.DUMMYFUNCTION("""COMPUTED_VALUE"""),"Yes")</f>
        <v>Yes</v>
      </c>
      <c r="AV49" s="836" t="str">
        <f>IFERROR(__xludf.DUMMYFUNCTION("""COMPUTED_VALUE"""),"Yes")</f>
        <v>Yes</v>
      </c>
      <c r="AW49" s="836" t="str">
        <f>IFERROR(__xludf.DUMMYFUNCTION("""COMPUTED_VALUE"""),"clinical trial, double blind")</f>
        <v>clinical trial, double blind</v>
      </c>
      <c r="AX49" s="841">
        <f>IFERROR(__xludf.DUMMYFUNCTION("""COMPUTED_VALUE"""),0.385)</f>
        <v>0.385</v>
      </c>
      <c r="AY49" s="836"/>
      <c r="AZ49" s="836"/>
      <c r="BA49" s="836"/>
      <c r="BB49" s="836"/>
      <c r="BC49" s="836"/>
      <c r="BD49" s="841">
        <f>IFERROR(__xludf.DUMMYFUNCTION("""COMPUTED_VALUE"""),0.385)</f>
        <v>0.385</v>
      </c>
      <c r="BE49" s="836"/>
      <c r="BF49" s="836"/>
      <c r="BG49" s="836"/>
      <c r="BH49" s="841">
        <f>IFERROR(__xludf.DUMMYFUNCTION("""COMPUTED_VALUE"""),0.385)</f>
        <v>0.385</v>
      </c>
      <c r="BI49" s="836"/>
      <c r="BJ49" s="836"/>
      <c r="BK49" s="836"/>
      <c r="BL49" s="836"/>
      <c r="BM49" s="836"/>
      <c r="BN49" s="836"/>
      <c r="BO49" s="836"/>
      <c r="BP49" s="836"/>
      <c r="BQ49" s="697">
        <f>IFERROR(__xludf.DUMMYFUNCTION("""COMPUTED_VALUE"""),48.0)</f>
        <v>48</v>
      </c>
      <c r="BR49" s="844" t="str">
        <f>IFERROR(__xludf.DUMMYFUNCTION("""COMPUTED_VALUE"""),"Van der Werff et al.")</f>
        <v>Van der Werff et al.</v>
      </c>
      <c r="BS49" s="838" t="str">
        <f>IFERROR(__xludf.DUMMYFUNCTION("""COMPUTED_VALUE"""),"Cuba")</f>
        <v>Cuba</v>
      </c>
      <c r="BT49" s="838" t="str">
        <f>IFERROR(__xludf.DUMMYFUNCTION("""COMPUTED_VALUE"""),"Mebendazole")</f>
        <v>Mebendazole</v>
      </c>
      <c r="BU49" s="838"/>
      <c r="BV49" s="838" t="str">
        <f>IFERROR(__xludf.DUMMYFUNCTION("""COMPUTED_VALUE"""),"Single")</f>
        <v>Single</v>
      </c>
      <c r="BW49" s="838" t="str">
        <f>IFERROR(__xludf.DUMMYFUNCTION("""COMPUTED_VALUE"""),"500 mg")</f>
        <v>500 mg</v>
      </c>
      <c r="BX49" s="838">
        <f>IFERROR(__xludf.DUMMYFUNCTION("""COMPUTED_VALUE"""),55.0)</f>
        <v>55</v>
      </c>
      <c r="BY49" s="845">
        <f>IFERROR(__xludf.DUMMYFUNCTION("""COMPUTED_VALUE"""),42504.0)</f>
        <v>42504</v>
      </c>
      <c r="BZ49" s="838">
        <f>IFERROR(__xludf.DUMMYFUNCTION("""COMPUTED_VALUE"""),2007.0)</f>
        <v>2007</v>
      </c>
      <c r="CA49" s="838"/>
      <c r="CB49" s="838"/>
      <c r="CC49" s="838" t="str">
        <f>IFERROR(__xludf.DUMMYFUNCTION("""COMPUTED_VALUE"""),"No")</f>
        <v>No</v>
      </c>
      <c r="CD49" s="847">
        <f>IFERROR(__xludf.DUMMYFUNCTION("""COMPUTED_VALUE"""),0.769)</f>
        <v>0.769</v>
      </c>
      <c r="CE49" s="838" t="str">
        <f>IFERROR(__xludf.DUMMYFUNCTION("""COMPUTED_VALUE"""),"No")</f>
        <v>No</v>
      </c>
      <c r="CF49" s="838"/>
      <c r="CG49" s="838"/>
      <c r="CH49" s="838"/>
      <c r="CI49" s="838"/>
      <c r="CJ49" s="838"/>
      <c r="CK49" s="838"/>
      <c r="CL49" s="838"/>
      <c r="CM49" s="847">
        <f>IFERROR(__xludf.DUMMYFUNCTION("""COMPUTED_VALUE"""),0.98)</f>
        <v>0.98</v>
      </c>
      <c r="CN49" s="838"/>
      <c r="CO49" s="838"/>
      <c r="CP49" s="838"/>
      <c r="CQ49" s="838"/>
      <c r="CR49" s="838"/>
      <c r="CS49" s="838"/>
      <c r="CT49" s="838" t="str">
        <f>IFERROR(__xludf.DUMMYFUNCTION("""COMPUTED_VALUE"""),"Kato-Katz Method")</f>
        <v>Kato-Katz Method</v>
      </c>
      <c r="CU49" s="838"/>
      <c r="CV49" s="697" t="str">
        <f>IFERROR(__xludf.DUMMYFUNCTION("""COMPUTED_VALUE"""),"van der Werff SD1, Vereecken K, van der Laan K, Campos Ponce M, Junco Díaz R, Núñez FA, Rojas Rivero L, Bonet Gorbea M, Polman K. Impact of periodic selective mebendazole treatment on soil-transmitted helminth infections in Cuban schoolchildren")</f>
        <v>van der Werff SD1, Vereecken K, van der Laan K, Campos Ponce M, Junco Díaz R, Núñez FA, Rojas Rivero L, Bonet Gorbea M, Polman K. Impact of periodic selective mebendazole treatment on soil-transmitted helminth infections in Cuban schoolchildren</v>
      </c>
    </row>
    <row r="50">
      <c r="A50" s="842" t="str">
        <f>IFERROR(__xludf.DUMMYFUNCTION("""COMPUTED_VALUE"""),"Heukelbach et al.")</f>
        <v>Heukelbach et al.</v>
      </c>
      <c r="B50" s="834" t="str">
        <f>IFERROR(__xludf.DUMMYFUNCTION("""COMPUTED_VALUE"""),"Brazil")</f>
        <v>Brazil</v>
      </c>
      <c r="C50" s="834" t="str">
        <f>IFERROR(__xludf.DUMMYFUNCTION("""COMPUTED_VALUE"""),"Ivermectin")</f>
        <v>Ivermectin</v>
      </c>
      <c r="D50" s="834" t="str">
        <f>IFERROR(__xludf.DUMMYFUNCTION("""COMPUTED_VALUE"""),"Two")</f>
        <v>Two</v>
      </c>
      <c r="E50" s="834" t="str">
        <f>IFERROR(__xludf.DUMMYFUNCTION("""COMPUTED_VALUE"""),"200 ug/kg")</f>
        <v>200 ug/kg</v>
      </c>
      <c r="F50" s="834">
        <f>IFERROR(__xludf.DUMMYFUNCTION("""COMPUTED_VALUE"""),124.0)</f>
        <v>124</v>
      </c>
      <c r="G50" s="834">
        <f>IFERROR(__xludf.DUMMYFUNCTION("""COMPUTED_VALUE"""),33.2)</f>
        <v>33.2</v>
      </c>
      <c r="H50" s="839" t="str">
        <f>IFERROR(__xludf.DUMMYFUNCTION("""COMPUTED_VALUE"""),"79:45")</f>
        <v>79:45</v>
      </c>
      <c r="I50" s="834">
        <f>IFERROR(__xludf.DUMMYFUNCTION("""COMPUTED_VALUE"""),2004.0)</f>
        <v>2004</v>
      </c>
      <c r="J50" s="834" t="str">
        <f>IFERROR(__xludf.DUMMYFUNCTION("""COMPUTED_VALUE"""),"Children &lt;5 years of age or &lt;15 kg body weight, pregnant, or breastfeeding women and individuals with known renal or hepatic disease were excluded")</f>
        <v>Children &lt;5 years of age or &lt;15 kg body weight, pregnant, or breastfeeding women and individuals with known renal or hepatic disease were excluded</v>
      </c>
      <c r="K50" s="839" t="str">
        <f>IFERROR(__xludf.DUMMYFUNCTION("""COMPUTED_VALUE"""),"open trial")</f>
        <v>open trial</v>
      </c>
      <c r="L50" s="839" t="str">
        <f>IFERROR(__xludf.DUMMYFUNCTION("""COMPUTED_VALUE"""),"No")</f>
        <v>No</v>
      </c>
      <c r="M50" s="839" t="str">
        <f>IFERROR(__xludf.DUMMYFUNCTION("""COMPUTED_VALUE"""),"No")</f>
        <v>No</v>
      </c>
      <c r="N50" s="840">
        <f>IFERROR(__xludf.DUMMYFUNCTION("""COMPUTED_VALUE"""),0.677)</f>
        <v>0.677</v>
      </c>
      <c r="O50" s="840">
        <f>IFERROR(__xludf.DUMMYFUNCTION("""COMPUTED_VALUE"""),0.677)</f>
        <v>0.677</v>
      </c>
      <c r="P50" s="834"/>
      <c r="Q50" s="834"/>
      <c r="R50" s="834"/>
      <c r="S50" s="834"/>
      <c r="T50" s="834"/>
      <c r="U50" s="834"/>
      <c r="V50" s="834"/>
      <c r="W50" s="834"/>
      <c r="X50" s="834"/>
      <c r="Y50" s="834"/>
      <c r="Z50" s="834"/>
      <c r="AA50" s="834"/>
      <c r="AB50" s="834"/>
      <c r="AC50" s="834"/>
      <c r="AD50" s="834"/>
      <c r="AE50" s="834" t="str">
        <f>IFERROR(__xludf.DUMMYFUNCTION("""COMPUTED_VALUE"""),"IVM has been reported to be rather ineffective in hookworm infection with low cure rates but in contrast this study had higher cure rates and that could hace resulted in the fact that two doses were given instead of the usual single dose")</f>
        <v>IVM has been reported to be rather ineffective in hookworm infection with low cure rates but in contrast this study had higher cure rates and that could hace resulted in the fact that two doses were given instead of the usual single dose</v>
      </c>
      <c r="AF50" s="834" t="str">
        <f>IFERROR(__xludf.DUMMYFUNCTION("""COMPUTED_VALUE"""),"Baermann Method")</f>
        <v>Baermann Method</v>
      </c>
      <c r="AG50" s="834" t="str">
        <f>IFERROR(__xludf.DUMMYFUNCTION("""COMPUTED_VALUE"""),"Heukelbach, Jurg, Thomas Wilcke, Benedikt Winter, Fabiola Araujo Sales De Oliveira, Romulo Cesar Sabola Moura, Gundel Harms, Oliver Liesenfeld, and Hermann Feldmier. ""Efficacy of Ivermectin in a Patient Population Concomitantly Infected with Intestinal H"&amp;"elminths and Ectoparasites."" Arzneimittelforschung 54.7 (2004): 416-21. Web.")</f>
        <v>Heukelbach, Jurg, Thomas Wilcke, Benedikt Winter, Fabiola Araujo Sales De Oliveira, Romulo Cesar Sabola Moura, Gundel Harms, Oliver Liesenfeld, and Hermann Feldmier. "Efficacy of Ivermectin in a Patient Population Concomitantly Infected with Intestinal Helminths and Ectoparasites." Arzneimittelforschung 54.7 (2004): 416-21. Web.</v>
      </c>
      <c r="AH50" s="834" t="str">
        <f>IFERROR(__xludf.DUMMYFUNCTION("""COMPUTED_VALUE"""),"x")</f>
        <v>x</v>
      </c>
      <c r="AJ50" s="843" t="str">
        <f>IFERROR(__xludf.DUMMYFUNCTION("""COMPUTED_VALUE"""),"Fox et al.")</f>
        <v>Fox et al.</v>
      </c>
      <c r="AK50" s="836"/>
      <c r="AL50" s="836" t="str">
        <f>IFERROR(__xludf.DUMMYFUNCTION("""COMPUTED_VALUE"""),"Haiti")</f>
        <v>Haiti</v>
      </c>
      <c r="AM50" s="836" t="str">
        <f>IFERROR(__xludf.DUMMYFUNCTION("""COMPUTED_VALUE"""),"Diethylcarbamazine")</f>
        <v>Diethylcarbamazine</v>
      </c>
      <c r="AN50" s="836" t="str">
        <f>IFERROR(__xludf.DUMMYFUNCTION("""COMPUTED_VALUE"""),"Single")</f>
        <v>Single</v>
      </c>
      <c r="AO50" s="836" t="str">
        <f>IFERROR(__xludf.DUMMYFUNCTION("""COMPUTED_VALUE"""),"6 mg")</f>
        <v>6 mg</v>
      </c>
      <c r="AP50" s="836">
        <f>IFERROR(__xludf.DUMMYFUNCTION("""COMPUTED_VALUE"""),313.0)</f>
        <v>313</v>
      </c>
      <c r="AQ50" s="836" t="str">
        <f>IFERROR(__xludf.DUMMYFUNCTION("""COMPUTED_VALUE"""),"5-11 years old")</f>
        <v>5-11 years old</v>
      </c>
      <c r="AR50" s="836" t="str">
        <f>IFERROR(__xludf.DUMMYFUNCTION("""COMPUTED_VALUE"""),"Female:658")</f>
        <v>Female:658</v>
      </c>
      <c r="AS50" s="836">
        <f>IFERROR(__xludf.DUMMYFUNCTION("""COMPUTED_VALUE"""),1998.0)</f>
        <v>1998</v>
      </c>
      <c r="AT50" s="836"/>
      <c r="AU50" s="836" t="str">
        <f>IFERROR(__xludf.DUMMYFUNCTION("""COMPUTED_VALUE"""),"Yes")</f>
        <v>Yes</v>
      </c>
      <c r="AV50" s="836" t="str">
        <f>IFERROR(__xludf.DUMMYFUNCTION("""COMPUTED_VALUE"""),"Yes")</f>
        <v>Yes</v>
      </c>
      <c r="AW50" s="836" t="str">
        <f>IFERROR(__xludf.DUMMYFUNCTION("""COMPUTED_VALUE"""),"clinical trial, double blind")</f>
        <v>clinical trial, double blind</v>
      </c>
      <c r="AX50" s="841">
        <f>IFERROR(__xludf.DUMMYFUNCTION("""COMPUTED_VALUE"""),0.051)</f>
        <v>0.051</v>
      </c>
      <c r="AY50" s="836"/>
      <c r="AZ50" s="836"/>
      <c r="BA50" s="836"/>
      <c r="BB50" s="836"/>
      <c r="BC50" s="836"/>
      <c r="BD50" s="841">
        <f>IFERROR(__xludf.DUMMYFUNCTION("""COMPUTED_VALUE"""),0.051)</f>
        <v>0.051</v>
      </c>
      <c r="BE50" s="836"/>
      <c r="BF50" s="836"/>
      <c r="BG50" s="836"/>
      <c r="BH50" s="836" t="str">
        <f>IFERROR(__xludf.DUMMYFUNCTION("""COMPUTED_VALUE"""),"increase 5.1%")</f>
        <v>increase 5.1%</v>
      </c>
      <c r="BI50" s="836"/>
      <c r="BJ50" s="836"/>
      <c r="BK50" s="836"/>
      <c r="BL50" s="836"/>
      <c r="BM50" s="836"/>
      <c r="BN50" s="836"/>
      <c r="BO50" s="836"/>
      <c r="BP50" s="836"/>
      <c r="BQ50" s="697">
        <f>IFERROR(__xludf.DUMMYFUNCTION("""COMPUTED_VALUE"""),49.0)</f>
        <v>49</v>
      </c>
      <c r="BR50" s="844" t="str">
        <f>IFERROR(__xludf.DUMMYFUNCTION("""COMPUTED_VALUE"""),"Albonico et al.")</f>
        <v>Albonico et al.</v>
      </c>
      <c r="BS50" s="838" t="str">
        <f>IFERROR(__xludf.DUMMYFUNCTION("""COMPUTED_VALUE"""),"Zanzibar")</f>
        <v>Zanzibar</v>
      </c>
      <c r="BT50" s="838" t="str">
        <f>IFERROR(__xludf.DUMMYFUNCTION("""COMPUTED_VALUE"""),"Mebendazole")</f>
        <v>Mebendazole</v>
      </c>
      <c r="BU50" s="838"/>
      <c r="BV50" s="838" t="str">
        <f>IFERROR(__xludf.DUMMYFUNCTION("""COMPUTED_VALUE"""),"Single")</f>
        <v>Single</v>
      </c>
      <c r="BW50" s="838" t="str">
        <f>IFERROR(__xludf.DUMMYFUNCTION("""COMPUTED_VALUE"""),"500 mg")</f>
        <v>500 mg</v>
      </c>
      <c r="BX50" s="838">
        <f>IFERROR(__xludf.DUMMYFUNCTION("""COMPUTED_VALUE"""),1120.0)</f>
        <v>1120</v>
      </c>
      <c r="BY50" s="845">
        <f>IFERROR(__xludf.DUMMYFUNCTION("""COMPUTED_VALUE"""),42533.0)</f>
        <v>42533</v>
      </c>
      <c r="BZ50" s="838"/>
      <c r="CA50" s="838"/>
      <c r="CB50" s="838"/>
      <c r="CC50" s="838" t="str">
        <f>IFERROR(__xludf.DUMMYFUNCTION("""COMPUTED_VALUE"""),"Yes")</f>
        <v>Yes</v>
      </c>
      <c r="CD50" s="846">
        <f>IFERROR(__xludf.DUMMYFUNCTION("""COMPUTED_VALUE"""),0.978)</f>
        <v>0.978</v>
      </c>
      <c r="CE50" s="838" t="str">
        <f>IFERROR(__xludf.DUMMYFUNCTION("""COMPUTED_VALUE"""),"Yes")</f>
        <v>Yes</v>
      </c>
      <c r="CF50" s="838"/>
      <c r="CG50" s="838"/>
      <c r="CH50" s="838"/>
      <c r="CI50" s="838"/>
      <c r="CJ50" s="838"/>
      <c r="CK50" s="838"/>
      <c r="CL50" s="838"/>
      <c r="CM50" s="846">
        <f>IFERROR(__xludf.DUMMYFUNCTION("""COMPUTED_VALUE"""),0.993)</f>
        <v>0.993</v>
      </c>
      <c r="CN50" s="838"/>
      <c r="CO50" s="838"/>
      <c r="CP50" s="838"/>
      <c r="CQ50" s="838"/>
      <c r="CR50" s="838"/>
      <c r="CS50" s="838"/>
      <c r="CT50" s="838"/>
      <c r="CU50" s="838" t="str">
        <f>IFERROR(__xludf.DUMMYFUNCTION("""COMPUTED_VALUE""")," ")</f>
        <v> </v>
      </c>
      <c r="CV50" s="697" t="str">
        <f>IFERROR(__xludf.DUMMYFUNCTION("""COMPUTED_VALUE"""),"Albonico, M., Smith, P. G., Hall, A., Chwaya, H. M.,Alawi, K. S. &amp; Savioli, L. (1994). A randomizedcontrolled trial comparing mebendazole andalbendazole against Ascaris, Trichuris and hookworminfections. Transactions of the Royal Society ofTropical Medici"&amp;"ne and Hygiene 88, 585–589")</f>
        <v>Albonico, M., Smith, P. G., Hall, A., Chwaya, H. M.,Alawi, K. S. &amp; Savioli, L. (1994). A randomizedcontrolled trial comparing mebendazole andalbendazole against Ascaris, Trichuris and hookworminfections. Transactions of the Royal Society ofTropical Medicine and Hygiene 88, 585–589</v>
      </c>
    </row>
    <row r="51">
      <c r="A51" s="842" t="str">
        <f>IFERROR(__xludf.DUMMYFUNCTION("""COMPUTED_VALUE"""),"Huang W, Brown H W.")</f>
        <v>Huang W, Brown H W.</v>
      </c>
      <c r="B51" s="834" t="str">
        <f>IFERROR(__xludf.DUMMYFUNCTION("""COMPUTED_VALUE"""),"Taiwan")</f>
        <v>Taiwan</v>
      </c>
      <c r="C51" s="834" t="str">
        <f>IFERROR(__xludf.DUMMYFUNCTION("""COMPUTED_VALUE"""),"Thiabendazole")</f>
        <v>Thiabendazole</v>
      </c>
      <c r="D51" s="834" t="str">
        <f>IFERROR(__xludf.DUMMYFUNCTION("""COMPUTED_VALUE"""),"Single")</f>
        <v>Single</v>
      </c>
      <c r="E51" s="834" t="str">
        <f>IFERROR(__xludf.DUMMYFUNCTION("""COMPUTED_VALUE"""),"40 mg/kg")</f>
        <v>40 mg/kg</v>
      </c>
      <c r="F51" s="834">
        <f>IFERROR(__xludf.DUMMYFUNCTION("""COMPUTED_VALUE"""),16.0)</f>
        <v>16</v>
      </c>
      <c r="G51" s="834" t="str">
        <f>IFERROR(__xludf.DUMMYFUNCTION("""COMPUTED_VALUE"""),"20-66 ")</f>
        <v>20-66 </v>
      </c>
      <c r="H51" s="834" t="str">
        <f>IFERROR(__xludf.DUMMYFUNCTION("""COMPUTED_VALUE"""),"55:3")</f>
        <v>55:3</v>
      </c>
      <c r="I51" s="834">
        <f>IFERROR(__xludf.DUMMYFUNCTION("""COMPUTED_VALUE"""),1963.0)</f>
        <v>1963</v>
      </c>
      <c r="J51" s="834" t="str">
        <f>IFERROR(__xludf.DUMMYFUNCTION("""COMPUTED_VALUE"""),"The participants in this study were inpatients of the Miners' Hospital in Taiwan (Formosa).")</f>
        <v>The participants in this study were inpatients of the Miners' Hospital in Taiwan (Formosa).</v>
      </c>
      <c r="K51" s="839" t="str">
        <f>IFERROR(__xludf.DUMMYFUNCTION("""COMPUTED_VALUE"""),"randomized controlled trial")</f>
        <v>randomized controlled trial</v>
      </c>
      <c r="L51" s="839" t="str">
        <f>IFERROR(__xludf.DUMMYFUNCTION("""COMPUTED_VALUE"""),"Yes")</f>
        <v>Yes</v>
      </c>
      <c r="M51" s="839" t="str">
        <f>IFERROR(__xludf.DUMMYFUNCTION("""COMPUTED_VALUE"""),"No")</f>
        <v>No</v>
      </c>
      <c r="N51" s="853">
        <f>IFERROR(__xludf.DUMMYFUNCTION("""COMPUTED_VALUE"""),0.0)</f>
        <v>0</v>
      </c>
      <c r="O51" s="853">
        <f>IFERROR(__xludf.DUMMYFUNCTION("""COMPUTED_VALUE"""),0.0)</f>
        <v>0</v>
      </c>
      <c r="P51" s="834"/>
      <c r="Q51" s="834"/>
      <c r="R51" s="834"/>
      <c r="S51" s="834"/>
      <c r="T51" s="834"/>
      <c r="U51" s="834"/>
      <c r="V51" s="834"/>
      <c r="W51" s="840">
        <f>IFERROR(__xludf.DUMMYFUNCTION("""COMPUTED_VALUE"""),0.763)</f>
        <v>0.763</v>
      </c>
      <c r="X51" s="840">
        <f>IFERROR(__xludf.DUMMYFUNCTION("""COMPUTED_VALUE"""),0.763)</f>
        <v>0.763</v>
      </c>
      <c r="Y51" s="834"/>
      <c r="Z51" s="834"/>
      <c r="AA51" s="834"/>
      <c r="AB51" s="834"/>
      <c r="AC51" s="834"/>
      <c r="AD51" s="834"/>
      <c r="AE51" s="834" t="str">
        <f>IFERROR(__xludf.DUMMYFUNCTION("""COMPUTED_VALUE"""),"25 mg/kg was less effective than 2 g of Thiabendazole 40 mg/kg.")</f>
        <v>25 mg/kg was less effective than 2 g of Thiabendazole 40 mg/kg.</v>
      </c>
      <c r="AF51" s="834" t="str">
        <f>IFERROR(__xludf.DUMMYFUNCTION("""COMPUTED_VALUE"""),"• The ratio of M:F is based on the original number of participants in the study, including the ones who did not show up (i.e. 58)
• Direct smears, the brine flotation, and Stoll egg-counting technique")</f>
        <v>• The ratio of M:F is based on the original number of participants in the study, including the ones who did not show up (i.e. 58)
• Direct smears, the brine flotation, and Stoll egg-counting technique</v>
      </c>
      <c r="AG51" s="834" t="str">
        <f>IFERROR(__xludf.DUMMYFUNCTION("""COMPUTED_VALUE"""),"Huang W, Brown H W. The Efficacy of Thiabendazole against Hookworm and Ascaris of Man. The Journal of Parasitology JSTOR [Internet]. 1963 [cited 2015 Sep 29]; 49(6): 1014-1018.")</f>
        <v>Huang W, Brown H W. The Efficacy of Thiabendazole against Hookworm and Ascaris of Man. The Journal of Parasitology JSTOR [Internet]. 1963 [cited 2015 Sep 29]; 49(6): 1014-1018.</v>
      </c>
      <c r="AH51" s="834" t="str">
        <f>IFERROR(__xludf.DUMMYFUNCTION("""COMPUTED_VALUE"""),"x")</f>
        <v>x</v>
      </c>
      <c r="AJ51" s="843" t="str">
        <f>IFERROR(__xludf.DUMMYFUNCTION("""COMPUTED_VALUE"""),"Fox et al.")</f>
        <v>Fox et al.</v>
      </c>
      <c r="AK51" s="836"/>
      <c r="AL51" s="836" t="str">
        <f>IFERROR(__xludf.DUMMYFUNCTION("""COMPUTED_VALUE"""),"Haiti")</f>
        <v>Haiti</v>
      </c>
      <c r="AM51" s="836" t="str">
        <f>IFERROR(__xludf.DUMMYFUNCTION("""COMPUTED_VALUE"""),"Albendazole &amp; Mebendazole")</f>
        <v>Albendazole &amp; Mebendazole</v>
      </c>
      <c r="AN51" s="836" t="str">
        <f>IFERROR(__xludf.DUMMYFUNCTION("""COMPUTED_VALUE"""),"Single")</f>
        <v>Single</v>
      </c>
      <c r="AO51" s="836" t="str">
        <f>IFERROR(__xludf.DUMMYFUNCTION("""COMPUTED_VALUE"""),"400 mg; 500 mg")</f>
        <v>400 mg; 500 mg</v>
      </c>
      <c r="AP51" s="836">
        <f>IFERROR(__xludf.DUMMYFUNCTION("""COMPUTED_VALUE"""),310.0)</f>
        <v>310</v>
      </c>
      <c r="AQ51" s="836" t="str">
        <f>IFERROR(__xludf.DUMMYFUNCTION("""COMPUTED_VALUE"""),"5-11 years old")</f>
        <v>5-11 years old</v>
      </c>
      <c r="AR51" s="836" t="str">
        <f>IFERROR(__xludf.DUMMYFUNCTION("""COMPUTED_VALUE"""),"Female:659")</f>
        <v>Female:659</v>
      </c>
      <c r="AS51" s="836">
        <f>IFERROR(__xludf.DUMMYFUNCTION("""COMPUTED_VALUE"""),1998.0)</f>
        <v>1998</v>
      </c>
      <c r="AT51" s="836"/>
      <c r="AU51" s="836" t="str">
        <f>IFERROR(__xludf.DUMMYFUNCTION("""COMPUTED_VALUE"""),"Yes")</f>
        <v>Yes</v>
      </c>
      <c r="AV51" s="836" t="str">
        <f>IFERROR(__xludf.DUMMYFUNCTION("""COMPUTED_VALUE"""),"Yes")</f>
        <v>Yes</v>
      </c>
      <c r="AW51" s="836" t="str">
        <f>IFERROR(__xludf.DUMMYFUNCTION("""COMPUTED_VALUE"""),"clinical trial, double blind")</f>
        <v>clinical trial, double blind</v>
      </c>
      <c r="AX51" s="841">
        <f>IFERROR(__xludf.DUMMYFUNCTION("""COMPUTED_VALUE"""),0.274)</f>
        <v>0.274</v>
      </c>
      <c r="AY51" s="836"/>
      <c r="AZ51" s="836"/>
      <c r="BA51" s="836"/>
      <c r="BB51" s="836"/>
      <c r="BC51" s="836"/>
      <c r="BD51" s="841">
        <f>IFERROR(__xludf.DUMMYFUNCTION("""COMPUTED_VALUE"""),0.274)</f>
        <v>0.274</v>
      </c>
      <c r="BE51" s="836"/>
      <c r="BF51" s="836"/>
      <c r="BG51" s="836"/>
      <c r="BH51" s="841">
        <f>IFERROR(__xludf.DUMMYFUNCTION("""COMPUTED_VALUE"""),0.274)</f>
        <v>0.274</v>
      </c>
      <c r="BI51" s="836"/>
      <c r="BJ51" s="836"/>
      <c r="BK51" s="836"/>
      <c r="BL51" s="836"/>
      <c r="BM51" s="836"/>
      <c r="BN51" s="836"/>
      <c r="BO51" s="836"/>
      <c r="BP51" s="836"/>
      <c r="BQ51" s="697">
        <f>IFERROR(__xludf.DUMMYFUNCTION("""COMPUTED_VALUE"""),50.0)</f>
        <v>50</v>
      </c>
      <c r="BR51" s="844" t="str">
        <f>IFERROR(__xludf.DUMMYFUNCTION("""COMPUTED_VALUE"""),"Albonico et al.")</f>
        <v>Albonico et al.</v>
      </c>
      <c r="BS51" s="838" t="str">
        <f>IFERROR(__xludf.DUMMYFUNCTION("""COMPUTED_VALUE"""),"Zanzibar")</f>
        <v>Zanzibar</v>
      </c>
      <c r="BT51" s="838" t="str">
        <f>IFERROR(__xludf.DUMMYFUNCTION("""COMPUTED_VALUE"""),"Albendazole")</f>
        <v>Albendazole</v>
      </c>
      <c r="BU51" s="838"/>
      <c r="BV51" s="838" t="str">
        <f>IFERROR(__xludf.DUMMYFUNCTION("""COMPUTED_VALUE"""),"Single")</f>
        <v>Single</v>
      </c>
      <c r="BW51" s="838" t="str">
        <f>IFERROR(__xludf.DUMMYFUNCTION("""COMPUTED_VALUE"""),"400 mg")</f>
        <v>400 mg</v>
      </c>
      <c r="BX51" s="838">
        <f>IFERROR(__xludf.DUMMYFUNCTION("""COMPUTED_VALUE"""),1174.0)</f>
        <v>1174</v>
      </c>
      <c r="BY51" s="838"/>
      <c r="BZ51" s="838"/>
      <c r="CA51" s="838"/>
      <c r="CB51" s="838"/>
      <c r="CC51" s="838" t="str">
        <f>IFERROR(__xludf.DUMMYFUNCTION("""COMPUTED_VALUE"""),"Yes")</f>
        <v>Yes</v>
      </c>
      <c r="CD51" s="838">
        <f>IFERROR(__xludf.DUMMYFUNCTION("""COMPUTED_VALUE"""),98.9)</f>
        <v>98.9</v>
      </c>
      <c r="CE51" s="838" t="str">
        <f>IFERROR(__xludf.DUMMYFUNCTION("""COMPUTED_VALUE"""),"Yes")</f>
        <v>Yes</v>
      </c>
      <c r="CF51" s="838"/>
      <c r="CG51" s="838"/>
      <c r="CH51" s="838"/>
      <c r="CI51" s="838"/>
      <c r="CJ51" s="838"/>
      <c r="CK51" s="838"/>
      <c r="CL51" s="838"/>
      <c r="CM51" s="846">
        <f>IFERROR(__xludf.DUMMYFUNCTION("""COMPUTED_VALUE"""),0.996)</f>
        <v>0.996</v>
      </c>
      <c r="CN51" s="838"/>
      <c r="CO51" s="838"/>
      <c r="CP51" s="838"/>
      <c r="CQ51" s="838"/>
      <c r="CR51" s="838"/>
      <c r="CS51" s="838"/>
      <c r="CT51" s="838"/>
      <c r="CU51" s="838"/>
      <c r="CV51" s="697" t="str">
        <f>IFERROR(__xludf.DUMMYFUNCTION("""COMPUTED_VALUE"""),"Albonico, M., Smith, P. G., Hall, A., Chwaya, H. M.,Alawi, K. S. &amp; Savioli, L. (1994). A randomizedcontrolled trial comparing mebendazole andalbendazole against Ascaris, Trichuris and hookworminfections. Transactions of the Royal Society ofTropical Medici"&amp;"ne and Hygiene 88, 585–589")</f>
        <v>Albonico, M., Smith, P. G., Hall, A., Chwaya, H. M.,Alawi, K. S. &amp; Savioli, L. (1994). A randomizedcontrolled trial comparing mebendazole andalbendazole against Ascaris, Trichuris and hookworminfections. Transactions of the Royal Society ofTropical Medicine and Hygiene 88, 585–589</v>
      </c>
    </row>
    <row r="52">
      <c r="A52" s="842" t="str">
        <f>IFERROR(__xludf.DUMMYFUNCTION("""COMPUTED_VALUE"""),"Huang W, Brown H W.")</f>
        <v>Huang W, Brown H W.</v>
      </c>
      <c r="B52" s="834" t="str">
        <f>IFERROR(__xludf.DUMMYFUNCTION("""COMPUTED_VALUE"""),"Taiwan")</f>
        <v>Taiwan</v>
      </c>
      <c r="C52" s="834" t="str">
        <f>IFERROR(__xludf.DUMMYFUNCTION("""COMPUTED_VALUE"""),"Thiabendazole")</f>
        <v>Thiabendazole</v>
      </c>
      <c r="D52" s="834" t="str">
        <f>IFERROR(__xludf.DUMMYFUNCTION("""COMPUTED_VALUE"""),"Single")</f>
        <v>Single</v>
      </c>
      <c r="E52" s="834" t="str">
        <f>IFERROR(__xludf.DUMMYFUNCTION("""COMPUTED_VALUE"""),"25 mg/kg")</f>
        <v>25 mg/kg</v>
      </c>
      <c r="F52" s="834">
        <f>IFERROR(__xludf.DUMMYFUNCTION("""COMPUTED_VALUE"""),30.0)</f>
        <v>30</v>
      </c>
      <c r="G52" s="834" t="str">
        <f>IFERROR(__xludf.DUMMYFUNCTION("""COMPUTED_VALUE"""),"14-59")</f>
        <v>14-59</v>
      </c>
      <c r="H52" s="834" t="str">
        <f>IFERROR(__xludf.DUMMYFUNCTION("""COMPUTED_VALUE"""),"55:3")</f>
        <v>55:3</v>
      </c>
      <c r="I52" s="834">
        <f>IFERROR(__xludf.DUMMYFUNCTION("""COMPUTED_VALUE"""),1963.0)</f>
        <v>1963</v>
      </c>
      <c r="J52" s="834" t="str">
        <f>IFERROR(__xludf.DUMMYFUNCTION("""COMPUTED_VALUE"""),"The participants in this study were inpatients of the Miners' Hospital in Taiwan (Formosa).")</f>
        <v>The participants in this study were inpatients of the Miners' Hospital in Taiwan (Formosa).</v>
      </c>
      <c r="K52" s="839" t="str">
        <f>IFERROR(__xludf.DUMMYFUNCTION("""COMPUTED_VALUE"""),"randomized controlled trial")</f>
        <v>randomized controlled trial</v>
      </c>
      <c r="L52" s="839" t="str">
        <f>IFERROR(__xludf.DUMMYFUNCTION("""COMPUTED_VALUE"""),"Yes")</f>
        <v>Yes</v>
      </c>
      <c r="M52" s="839" t="str">
        <f>IFERROR(__xludf.DUMMYFUNCTION("""COMPUTED_VALUE"""),"No")</f>
        <v>No</v>
      </c>
      <c r="N52" s="840">
        <f>IFERROR(__xludf.DUMMYFUNCTION("""COMPUTED_VALUE"""),0.0333)</f>
        <v>0.0333</v>
      </c>
      <c r="O52" s="840">
        <f>IFERROR(__xludf.DUMMYFUNCTION("""COMPUTED_VALUE"""),0.0333)</f>
        <v>0.0333</v>
      </c>
      <c r="P52" s="834"/>
      <c r="Q52" s="834"/>
      <c r="R52" s="834"/>
      <c r="S52" s="834"/>
      <c r="T52" s="834"/>
      <c r="U52" s="834"/>
      <c r="V52" s="834"/>
      <c r="W52" s="840">
        <f>IFERROR(__xludf.DUMMYFUNCTION("""COMPUTED_VALUE"""),0.537)</f>
        <v>0.537</v>
      </c>
      <c r="X52" s="840">
        <f>IFERROR(__xludf.DUMMYFUNCTION("""COMPUTED_VALUE"""),0.537)</f>
        <v>0.537</v>
      </c>
      <c r="Y52" s="834"/>
      <c r="Z52" s="834"/>
      <c r="AA52" s="834"/>
      <c r="AB52" s="834"/>
      <c r="AC52" s="834"/>
      <c r="AD52" s="834"/>
      <c r="AE52" s="834" t="str">
        <f>IFERROR(__xludf.DUMMYFUNCTION("""COMPUTED_VALUE"""),"25 mg/kg was less effective than 2 g of Thiabendazole 40 mg/kg.")</f>
        <v>25 mg/kg was less effective than 2 g of Thiabendazole 40 mg/kg.</v>
      </c>
      <c r="AF52" s="834" t="str">
        <f>IFERROR(__xludf.DUMMYFUNCTION("""COMPUTED_VALUE"""),"• The ratio of M:F is based on the original number of participants in the study, including the ones who did not show up (i.e. 58)
• Direct smears, the brine flotation, and Stoll egg-counting technique")</f>
        <v>• The ratio of M:F is based on the original number of participants in the study, including the ones who did not show up (i.e. 58)
• Direct smears, the brine flotation, and Stoll egg-counting technique</v>
      </c>
      <c r="AG52" s="834" t="str">
        <f>IFERROR(__xludf.DUMMYFUNCTION("""COMPUTED_VALUE"""),"Huang W, Brown H W. The Efficacy of Thiabendazole against Hookworm and Ascaris of Man. The Journal of Parasitology JSTOR [Internet]. 1963 [cited 2015 Sep 29]; 49(6): 1014-1018.")</f>
        <v>Huang W, Brown H W. The Efficacy of Thiabendazole against Hookworm and Ascaris of Man. The Journal of Parasitology JSTOR [Internet]. 1963 [cited 2015 Sep 29]; 49(6): 1014-1018.</v>
      </c>
      <c r="AH52" s="834" t="str">
        <f>IFERROR(__xludf.DUMMYFUNCTION("""COMPUTED_VALUE"""),"x")</f>
        <v>x</v>
      </c>
      <c r="AJ52" s="843" t="str">
        <f>IFERROR(__xludf.DUMMYFUNCTION("""COMPUTED_VALUE"""),"Levecke et al")</f>
        <v>Levecke et al</v>
      </c>
      <c r="AK52" s="836" t="str">
        <f>IFERROR(__xludf.DUMMYFUNCTION("""COMPUTED_VALUE"""),"Levecke, Bruno, Antonio Montresor, Marco Albonico, Shaali M. Ame, Jerzy M. Behnke, Jeffrey M. Bethony, Calvine D. Noumedem, Dirk Engels, Bertrand Guillard, Andrew C. Kotze, Alejandro J. Krolewiecki, James S. McCarthy, Zeleke Mekonnen, Maria V. Periago, He"&amp;"m Sopheak, Louis Albert Tchuem-Tchuente, Tran Thanh Duong, Nguyen Thu Huong, Ahmed Zeynudin, and Jozef Vercuysse. ""Assessment of Anthelmintic Efficacy of Mebendazolein School Children in Six Countries Where Soil Transmitted Helminths Are Endemic."" PLOS "&amp;"Neglected Tropical Diseases 8.10 (2014): 1-11. Web.")</f>
        <v>Levecke, Bruno, Antonio Montresor, Marco Albonico, Shaali M. Ame, Jerzy M. Behnke, Jeffrey M. Bethony, Calvine D. Noumedem, Dirk Engels, Bertrand Guillard, Andrew C. Kotze, Alejandro J. Krolewiecki, James S. McCarthy, Zeleke Mekonnen, Maria V. Periago, Hem Sopheak, Louis Albert Tchuem-Tchuente, Tran Thanh Duong, Nguyen Thu Huong, Ahmed Zeynudin, and Jozef Vercuysse. "Assessment of Anthelmintic Efficacy of Mebendazolein School Children in Six Countries Where Soil Transmitted Helminths Are Endemic." PLOS Neglected Tropical Diseases 8.10 (2014): 1-11. Web.</v>
      </c>
      <c r="AL52" s="836" t="str">
        <f>IFERROR(__xludf.DUMMYFUNCTION("""COMPUTED_VALUE"""),"Ethiopia")</f>
        <v>Ethiopia</v>
      </c>
      <c r="AM52" s="836" t="str">
        <f>IFERROR(__xludf.DUMMYFUNCTION("""COMPUTED_VALUE"""),"Albendazole")</f>
        <v>Albendazole</v>
      </c>
      <c r="AN52" s="836" t="str">
        <f>IFERROR(__xludf.DUMMYFUNCTION("""COMPUTED_VALUE"""),"Single")</f>
        <v>Single</v>
      </c>
      <c r="AO52" s="836" t="str">
        <f>IFERROR(__xludf.DUMMYFUNCTION("""COMPUTED_VALUE"""),"400 mg")</f>
        <v>400 mg</v>
      </c>
      <c r="AP52" s="836">
        <f>IFERROR(__xludf.DUMMYFUNCTION("""COMPUTED_VALUE"""),105.0)</f>
        <v>105</v>
      </c>
      <c r="AQ52" s="836">
        <f>IFERROR(__xludf.DUMMYFUNCTION("""COMPUTED_VALUE"""),11.1)</f>
        <v>11.1</v>
      </c>
      <c r="AR52" s="854">
        <f>IFERROR(__xludf.DUMMYFUNCTION("""COMPUTED_VALUE"""),0.04861111111111111)</f>
        <v>0.04861111111</v>
      </c>
      <c r="AS52" s="836">
        <f>IFERROR(__xludf.DUMMYFUNCTION("""COMPUTED_VALUE"""),2012.0)</f>
        <v>2012</v>
      </c>
      <c r="AT52" s="836"/>
      <c r="AU52" s="836" t="str">
        <f>IFERROR(__xludf.DUMMYFUNCTION("""COMPUTED_VALUE"""),"No")</f>
        <v>No</v>
      </c>
      <c r="AV52" s="836" t="str">
        <f>IFERROR(__xludf.DUMMYFUNCTION("""COMPUTED_VALUE"""),"No")</f>
        <v>No</v>
      </c>
      <c r="AW52" s="836" t="str">
        <f>IFERROR(__xludf.DUMMYFUNCTION("""COMPUTED_VALUE"""),"multi-center study")</f>
        <v>multi-center study</v>
      </c>
      <c r="AX52" s="836"/>
      <c r="AY52" s="836"/>
      <c r="AZ52" s="836"/>
      <c r="BA52" s="836"/>
      <c r="BB52" s="836"/>
      <c r="BC52" s="836"/>
      <c r="BD52" s="836"/>
      <c r="BE52" s="836"/>
      <c r="BF52" s="836"/>
      <c r="BG52" s="836"/>
      <c r="BH52" s="841">
        <f>IFERROR(__xludf.DUMMYFUNCTION("""COMPUTED_VALUE"""),0.924)</f>
        <v>0.924</v>
      </c>
      <c r="BI52" s="836"/>
      <c r="BJ52" s="836"/>
      <c r="BK52" s="836"/>
      <c r="BL52" s="836"/>
      <c r="BM52" s="836"/>
      <c r="BN52" s="836"/>
      <c r="BO52" s="836" t="str">
        <f>IFERROR(__xludf.DUMMYFUNCTION("""COMPUTED_VALUE"""),"McMaster technique")</f>
        <v>McMaster technique</v>
      </c>
      <c r="BP52" s="836" t="str">
        <f>IFERROR(__xludf.DUMMYFUNCTION("""COMPUTED_VALUE"""),"x")</f>
        <v>x</v>
      </c>
      <c r="BQ52" s="697">
        <f>IFERROR(__xludf.DUMMYFUNCTION("""COMPUTED_VALUE"""),51.0)</f>
        <v>51</v>
      </c>
      <c r="BR52" s="844" t="str">
        <f>IFERROR(__xludf.DUMMYFUNCTION("""COMPUTED_VALUE"""),"Chan et al.")</f>
        <v>Chan et al.</v>
      </c>
      <c r="BS52" s="838" t="str">
        <f>IFERROR(__xludf.DUMMYFUNCTION("""COMPUTED_VALUE"""),"Malaysia")</f>
        <v>Malaysia</v>
      </c>
      <c r="BT52" s="838" t="str">
        <f>IFERROR(__xludf.DUMMYFUNCTION("""COMPUTED_VALUE"""),"Albendazole")</f>
        <v>Albendazole</v>
      </c>
      <c r="BU52" s="838"/>
      <c r="BV52" s="838" t="str">
        <f>IFERROR(__xludf.DUMMYFUNCTION("""COMPUTED_VALUE"""),"Single")</f>
        <v>Single</v>
      </c>
      <c r="BW52" s="838" t="str">
        <f>IFERROR(__xludf.DUMMYFUNCTION("""COMPUTED_VALUE"""),"400 mg")</f>
        <v>400 mg</v>
      </c>
      <c r="BX52" s="838">
        <f>IFERROR(__xludf.DUMMYFUNCTION("""COMPUTED_VALUE"""),415.0)</f>
        <v>415</v>
      </c>
      <c r="BY52" s="838" t="str">
        <f>IFERROR(__xludf.DUMMYFUNCTION("""COMPUTED_VALUE"""),"2-40+")</f>
        <v>2-40+</v>
      </c>
      <c r="BZ52" s="838">
        <f>IFERROR(__xludf.DUMMYFUNCTION("""COMPUTED_VALUE"""),1990.0)</f>
        <v>1990</v>
      </c>
      <c r="CA52" s="838"/>
      <c r="CB52" s="838" t="str">
        <f>IFERROR(__xludf.DUMMYFUNCTION("""COMPUTED_VALUE"""),"1) Indian families living under slum or squatter conditions who are not likely to move out of the area for a year; 2) families with 3 to 7 children below 15 years of age")</f>
        <v>1) Indian families living under slum or squatter conditions who are not likely to move out of the area for a year; 2) families with 3 to 7 children below 15 years of age</v>
      </c>
      <c r="CC52" s="838" t="str">
        <f>IFERROR(__xludf.DUMMYFUNCTION("""COMPUTED_VALUE"""),"No")</f>
        <v>No</v>
      </c>
      <c r="CD52" s="846">
        <f>IFERROR(__xludf.DUMMYFUNCTION("""COMPUTED_VALUE"""),1.0)</f>
        <v>1</v>
      </c>
      <c r="CE52" s="838" t="str">
        <f>IFERROR(__xludf.DUMMYFUNCTION("""COMPUTED_VALUE"""),"No")</f>
        <v>No</v>
      </c>
      <c r="CF52" s="838"/>
      <c r="CG52" s="838"/>
      <c r="CH52" s="838"/>
      <c r="CI52" s="838"/>
      <c r="CJ52" s="838"/>
      <c r="CK52" s="838"/>
      <c r="CL52" s="838"/>
      <c r="CM52" s="838"/>
      <c r="CN52" s="838"/>
      <c r="CO52" s="838"/>
      <c r="CP52" s="838"/>
      <c r="CQ52" s="838"/>
      <c r="CR52" s="838"/>
      <c r="CS52" s="838"/>
      <c r="CT52" s="838" t="str">
        <f>IFERROR(__xludf.DUMMYFUNCTION("""COMPUTED_VALUE"""),"Kato-Katz technique")</f>
        <v>Kato-Katz technique</v>
      </c>
      <c r="CU52" s="838" t="str">
        <f>IFERROR(__xludf.DUMMYFUNCTION("""COMPUTED_VALUE""")," ")</f>
        <v> </v>
      </c>
      <c r="CV52" s="697" t="str">
        <f>IFERROR(__xludf.DUMMYFUNCTION("""COMPUTED_VALUE"""),"Chan, l., kan, s. p. &amp; bundy, d. a. (1992b). The effect ofrepeated chemotherapy on age-related predispositionto Ascaris lumbricoides and Trichuris trichiura.Parasitology 104, 371–377")</f>
        <v>Chan, l., kan, s. p. &amp; bundy, d. a. (1992b). The effect ofrepeated chemotherapy on age-related predispositionto Ascaris lumbricoides and Trichuris trichiura.Parasitology 104, 371–377</v>
      </c>
    </row>
    <row r="53">
      <c r="A53" s="842" t="str">
        <f>IFERROR(__xludf.DUMMYFUNCTION("""COMPUTED_VALUE"""),"Humphries et. al.")</f>
        <v>Humphries et. al.</v>
      </c>
      <c r="B53" s="834" t="str">
        <f>IFERROR(__xludf.DUMMYFUNCTION("""COMPUTED_VALUE"""),"Ghana")</f>
        <v>Ghana</v>
      </c>
      <c r="C53" s="834" t="str">
        <f>IFERROR(__xludf.DUMMYFUNCTION("""COMPUTED_VALUE"""),"Albendazole")</f>
        <v>Albendazole</v>
      </c>
      <c r="D53" s="834" t="str">
        <f>IFERROR(__xludf.DUMMYFUNCTION("""COMPUTED_VALUE"""),"Single")</f>
        <v>Single</v>
      </c>
      <c r="E53" s="834" t="str">
        <f>IFERROR(__xludf.DUMMYFUNCTION("""COMPUTED_VALUE"""),"400 mg")</f>
        <v>400 mg</v>
      </c>
      <c r="F53" s="834">
        <f>IFERROR(__xludf.DUMMYFUNCTION("""COMPUTED_VALUE"""),107.0)</f>
        <v>107</v>
      </c>
      <c r="G53" s="849">
        <f>IFERROR(__xludf.DUMMYFUNCTION("""COMPUTED_VALUE"""),42532.0)</f>
        <v>42532</v>
      </c>
      <c r="H53" s="834"/>
      <c r="I53" s="839" t="str">
        <f>IFERROR(__xludf.DUMMYFUNCTION("""COMPUTED_VALUE""")," 2010")</f>
        <v> 2010</v>
      </c>
      <c r="J53" s="834" t="str">
        <f>IFERROR(__xludf.DUMMYFUNCTION("""COMPUTED_VALUE"""),"Students with HAZ ≤ −1.80 or HAZ ≥ −0.10 were invited to participate in the study. One child was randomly selected from each household to eliminate the potential for clustering effects at the household level.")</f>
        <v>Students with HAZ ≤ −1.80 or HAZ ≥ −0.10 were invited to participate in the study. One child was randomly selected from each household to eliminate the potential for clustering effects at the household level.</v>
      </c>
      <c r="K53" s="839" t="str">
        <f>IFERROR(__xludf.DUMMYFUNCTION("""COMPUTED_VALUE"""),"randomized controlled trial")</f>
        <v>randomized controlled trial</v>
      </c>
      <c r="L53" s="839" t="str">
        <f>IFERROR(__xludf.DUMMYFUNCTION("""COMPUTED_VALUE"""),"Yes")</f>
        <v>Yes</v>
      </c>
      <c r="M53" s="839" t="str">
        <f>IFERROR(__xludf.DUMMYFUNCTION("""COMPUTED_VALUE"""),"No")</f>
        <v>No</v>
      </c>
      <c r="N53" s="840">
        <f>IFERROR(__xludf.DUMMYFUNCTION("""COMPUTED_VALUE"""),0.43)</f>
        <v>0.43</v>
      </c>
      <c r="O53" s="840">
        <f>IFERROR(__xludf.DUMMYFUNCTION("""COMPUTED_VALUE"""),0.43)</f>
        <v>0.43</v>
      </c>
      <c r="P53" s="834"/>
      <c r="Q53" s="834"/>
      <c r="R53" s="834"/>
      <c r="S53" s="834"/>
      <c r="T53" s="834"/>
      <c r="U53" s="834"/>
      <c r="V53" s="834"/>
      <c r="W53" s="840">
        <f>IFERROR(__xludf.DUMMYFUNCTION("""COMPUTED_VALUE"""),0.873)</f>
        <v>0.873</v>
      </c>
      <c r="X53" s="840">
        <f>IFERROR(__xludf.DUMMYFUNCTION("""COMPUTED_VALUE"""),0.873)</f>
        <v>0.873</v>
      </c>
      <c r="Y53" s="834"/>
      <c r="Z53" s="834"/>
      <c r="AA53" s="834"/>
      <c r="AB53" s="834"/>
      <c r="AC53" s="834"/>
      <c r="AD53" s="834"/>
      <c r="AE53" s="834" t="str">
        <f>IFERROR(__xludf.DUMMYFUNCTION("""COMPUTED_VALUE"""),"Although no specific host factors were associated with treatment failure, we observed that post-treatment isolates of N. americanus exhibited reduced in vitro susceptibility to albendazole.")</f>
        <v>Although no specific host factors were associated with treatment failure, we observed that post-treatment isolates of N. americanus exhibited reduced in vitro susceptibility to albendazole.</v>
      </c>
      <c r="AF53" s="834" t="str">
        <f>IFERROR(__xludf.DUMMYFUNCTION("""COMPUTED_VALUE"""),"Kato-Katz Method")</f>
        <v>Kato-Katz Method</v>
      </c>
      <c r="AG53" s="834" t="str">
        <f>IFERROR(__xludf.DUMMYFUNCTION("""COMPUTED_VALUE"""),"Humphries, D., Simms, B., Davey, D., Otchere, J., Quagraine, J., Terryah, S., . . . Cappello, M. (2013). Hookworm Infection among School Age Children in Kintampo North Municipality, Ghana: Nutritional Risk Factors and Response to AlbendazoleTreatment. Ame"&amp;"rican Journal of Tropical Medicine and Hygiene, 8(39), 540-548.")</f>
        <v>Humphries, D., Simms, B., Davey, D., Otchere, J., Quagraine, J., Terryah, S., . . . Cappello, M. (2013). Hookworm Infection among School Age Children in Kintampo North Municipality, Ghana: Nutritional Risk Factors and Response to AlbendazoleTreatment. American Journal of Tropical Medicine and Hygiene, 8(39), 540-548.</v>
      </c>
      <c r="AH53" s="834" t="str">
        <f>IFERROR(__xludf.DUMMYFUNCTION("""COMPUTED_VALUE"""),"x")</f>
        <v>x</v>
      </c>
      <c r="AJ53" s="843" t="str">
        <f>IFERROR(__xludf.DUMMYFUNCTION("""COMPUTED_VALUE"""),"Levecke et al")</f>
        <v>Levecke et al</v>
      </c>
      <c r="AK53" s="836"/>
      <c r="AL53" s="836" t="str">
        <f>IFERROR(__xludf.DUMMYFUNCTION("""COMPUTED_VALUE"""),"Ethiopia")</f>
        <v>Ethiopia</v>
      </c>
      <c r="AM53" s="836" t="str">
        <f>IFERROR(__xludf.DUMMYFUNCTION("""COMPUTED_VALUE"""),"Mebendazole")</f>
        <v>Mebendazole</v>
      </c>
      <c r="AN53" s="836" t="str">
        <f>IFERROR(__xludf.DUMMYFUNCTION("""COMPUTED_VALUE"""),"Single")</f>
        <v>Single</v>
      </c>
      <c r="AO53" s="836" t="str">
        <f>IFERROR(__xludf.DUMMYFUNCTION("""COMPUTED_VALUE"""),"500 mg")</f>
        <v>500 mg</v>
      </c>
      <c r="AP53" s="836">
        <f>IFERROR(__xludf.DUMMYFUNCTION("""COMPUTED_VALUE"""),326.0)</f>
        <v>326</v>
      </c>
      <c r="AQ53" s="836">
        <f>IFERROR(__xludf.DUMMYFUNCTION("""COMPUTED_VALUE"""),11.4)</f>
        <v>11.4</v>
      </c>
      <c r="AR53" s="854">
        <f>IFERROR(__xludf.DUMMYFUNCTION("""COMPUTED_VALUE"""),0.05277777777777778)</f>
        <v>0.05277777778</v>
      </c>
      <c r="AS53" s="836">
        <f>IFERROR(__xludf.DUMMYFUNCTION("""COMPUTED_VALUE"""),2012.0)</f>
        <v>2012</v>
      </c>
      <c r="AT53" s="836"/>
      <c r="AU53" s="836" t="str">
        <f>IFERROR(__xludf.DUMMYFUNCTION("""COMPUTED_VALUE"""),"No")</f>
        <v>No</v>
      </c>
      <c r="AV53" s="836" t="str">
        <f>IFERROR(__xludf.DUMMYFUNCTION("""COMPUTED_VALUE"""),"No")</f>
        <v>No</v>
      </c>
      <c r="AW53" s="836" t="str">
        <f>IFERROR(__xludf.DUMMYFUNCTION("""COMPUTED_VALUE"""),"multi-center study")</f>
        <v>multi-center study</v>
      </c>
      <c r="AX53" s="836"/>
      <c r="AY53" s="836"/>
      <c r="AZ53" s="836"/>
      <c r="BA53" s="836"/>
      <c r="BB53" s="836"/>
      <c r="BC53" s="836"/>
      <c r="BD53" s="836"/>
      <c r="BE53" s="836"/>
      <c r="BF53" s="836"/>
      <c r="BG53" s="836"/>
      <c r="BH53" s="841">
        <f>IFERROR(__xludf.DUMMYFUNCTION("""COMPUTED_VALUE"""),0.659)</f>
        <v>0.659</v>
      </c>
      <c r="BI53" s="836"/>
      <c r="BJ53" s="836"/>
      <c r="BK53" s="836"/>
      <c r="BL53" s="836"/>
      <c r="BM53" s="836"/>
      <c r="BN53" s="836"/>
      <c r="BO53" s="836"/>
      <c r="BP53" s="836" t="str">
        <f>IFERROR(__xludf.DUMMYFUNCTION("""COMPUTED_VALUE"""),"x")</f>
        <v>x</v>
      </c>
      <c r="BQ53" s="697">
        <f>IFERROR(__xludf.DUMMYFUNCTION("""COMPUTED_VALUE"""),52.0)</f>
        <v>52</v>
      </c>
      <c r="BR53" s="844" t="str">
        <f>IFERROR(__xludf.DUMMYFUNCTION("""COMPUTED_VALUE"""),"Hall &amp; Nahar")</f>
        <v>Hall &amp; Nahar</v>
      </c>
      <c r="BS53" s="838" t="str">
        <f>IFERROR(__xludf.DUMMYFUNCTION("""COMPUTED_VALUE"""),"Bengladesh")</f>
        <v>Bengladesh</v>
      </c>
      <c r="BT53" s="838" t="str">
        <f>IFERROR(__xludf.DUMMYFUNCTION("""COMPUTED_VALUE"""),"Albendazole")</f>
        <v>Albendazole</v>
      </c>
      <c r="BU53" s="838"/>
      <c r="BV53" s="838" t="str">
        <f>IFERROR(__xludf.DUMMYFUNCTION("""COMPUTED_VALUE"""),"Single")</f>
        <v>Single</v>
      </c>
      <c r="BW53" s="838" t="str">
        <f>IFERROR(__xludf.DUMMYFUNCTION("""COMPUTED_VALUE"""),"600 mg")</f>
        <v>600 mg</v>
      </c>
      <c r="BX53" s="838">
        <f>IFERROR(__xludf.DUMMYFUNCTION("""COMPUTED_VALUE"""),143.0)</f>
        <v>143</v>
      </c>
      <c r="BY53" s="838" t="str">
        <f>IFERROR(__xludf.DUMMYFUNCTION("""COMPUTED_VALUE"""),"School children")</f>
        <v>School children</v>
      </c>
      <c r="BZ53" s="838"/>
      <c r="CA53" s="838"/>
      <c r="CB53" s="838"/>
      <c r="CC53" s="838" t="str">
        <f>IFERROR(__xludf.DUMMYFUNCTION("""COMPUTED_VALUE"""),"Yes")</f>
        <v>Yes</v>
      </c>
      <c r="CD53" s="846">
        <f>IFERROR(__xludf.DUMMYFUNCTION("""COMPUTED_VALUE"""),0.92)</f>
        <v>0.92</v>
      </c>
      <c r="CE53" s="838" t="str">
        <f>IFERROR(__xludf.DUMMYFUNCTION("""COMPUTED_VALUE"""),"No")</f>
        <v>No</v>
      </c>
      <c r="CF53" s="838" t="str">
        <f>IFERROR(__xludf.DUMMYFUNCTION("""COMPUTED_VALUE"""),"92% (Day 7)")</f>
        <v>92% (Day 7)</v>
      </c>
      <c r="CG53" s="838"/>
      <c r="CH53" s="838"/>
      <c r="CI53" s="838"/>
      <c r="CJ53" s="838"/>
      <c r="CK53" s="838"/>
      <c r="CL53" s="838"/>
      <c r="CM53" s="846">
        <f>IFERROR(__xludf.DUMMYFUNCTION("""COMPUTED_VALUE"""),0.88)</f>
        <v>0.88</v>
      </c>
      <c r="CN53" s="838"/>
      <c r="CO53" s="838"/>
      <c r="CP53" s="838"/>
      <c r="CQ53" s="838"/>
      <c r="CR53" s="838"/>
      <c r="CS53" s="838"/>
      <c r="CT53" s="838" t="str">
        <f>IFERROR(__xludf.DUMMYFUNCTION("""COMPUTED_VALUE"""),"Quantitative microscopical technique.")</f>
        <v>Quantitative microscopical technique.</v>
      </c>
      <c r="CU53" s="838" t="str">
        <f>IFERROR(__xludf.DUMMYFUNCTION("""COMPUTED_VALUE""")," ")</f>
        <v> </v>
      </c>
      <c r="CV53" s="697" t="str">
        <f>IFERROR(__xludf.DUMMYFUNCTION("""COMPUTED_VALUE"""),"Hall, a. &amp; nahar, q. (1994). Albendazole and infectionswith Ascaris lumbricoides and Trichuris trichiura inchildren in Bangladesh. Transactions of the RoyalSociety of Tropical Medicine and Hygiene 88, 110–112.")</f>
        <v>Hall, a. &amp; nahar, q. (1994). Albendazole and infectionswith Ascaris lumbricoides and Trichuris trichiura inchildren in Bangladesh. Transactions of the RoyalSociety of Tropical Medicine and Hygiene 88, 110–112.</v>
      </c>
    </row>
    <row r="54">
      <c r="A54" s="842" t="str">
        <f>IFERROR(__xludf.DUMMYFUNCTION("""COMPUTED_VALUE"""),"Kihara et al.")</f>
        <v>Kihara et al.</v>
      </c>
      <c r="B54" s="834" t="str">
        <f>IFERROR(__xludf.DUMMYFUNCTION("""COMPUTED_VALUE"""),"Kenya")</f>
        <v>Kenya</v>
      </c>
      <c r="C54" s="834" t="str">
        <f>IFERROR(__xludf.DUMMYFUNCTION("""COMPUTED_VALUE"""),"Albendazole")</f>
        <v>Albendazole</v>
      </c>
      <c r="D54" s="834" t="str">
        <f>IFERROR(__xludf.DUMMYFUNCTION("""COMPUTED_VALUE"""),"Single")</f>
        <v>Single</v>
      </c>
      <c r="E54" s="834" t="str">
        <f>IFERROR(__xludf.DUMMYFUNCTION("""COMPUTED_VALUE"""),"400 mg")</f>
        <v>400 mg</v>
      </c>
      <c r="F54" s="834">
        <f>IFERROR(__xludf.DUMMYFUNCTION("""COMPUTED_VALUE"""),453.0)</f>
        <v>453</v>
      </c>
      <c r="G54" s="849">
        <f>IFERROR(__xludf.DUMMYFUNCTION("""COMPUTED_VALUE"""),42478.0)</f>
        <v>42478</v>
      </c>
      <c r="H54" s="834"/>
      <c r="I54" s="834">
        <f>IFERROR(__xludf.DUMMYFUNCTION("""COMPUTED_VALUE"""),2004.0)</f>
        <v>2004</v>
      </c>
      <c r="J54" s="834" t="str">
        <f>IFERROR(__xludf.DUMMYFUNCTION("""COMPUTED_VALUE"""),"In total 2300 children aged between 4 and 18 years in five primary schools were selected for the study.")</f>
        <v>In total 2300 children aged between 4 and 18 years in five primary schools were selected for the study.</v>
      </c>
      <c r="K54" s="839" t="str">
        <f>IFERROR(__xludf.DUMMYFUNCTION("""COMPUTED_VALUE"""),"randomized trial")</f>
        <v>randomized trial</v>
      </c>
      <c r="L54" s="839" t="str">
        <f>IFERROR(__xludf.DUMMYFUNCTION("""COMPUTED_VALUE"""),"Yes")</f>
        <v>Yes</v>
      </c>
      <c r="M54" s="839" t="str">
        <f>IFERROR(__xludf.DUMMYFUNCTION("""COMPUTED_VALUE"""),"No")</f>
        <v>No</v>
      </c>
      <c r="N54" s="840">
        <f>IFERROR(__xludf.DUMMYFUNCTION("""COMPUTED_VALUE"""),0.957)</f>
        <v>0.957</v>
      </c>
      <c r="O54" s="834"/>
      <c r="P54" s="834"/>
      <c r="Q54" s="834"/>
      <c r="R54" s="840">
        <f>IFERROR(__xludf.DUMMYFUNCTION("""COMPUTED_VALUE"""),0.957)</f>
        <v>0.957</v>
      </c>
      <c r="S54" s="834"/>
      <c r="T54" s="834"/>
      <c r="U54" s="834"/>
      <c r="V54" s="834"/>
      <c r="W54" s="853">
        <f>IFERROR(__xludf.DUMMYFUNCTION("""COMPUTED_VALUE"""),0.96)</f>
        <v>0.96</v>
      </c>
      <c r="X54" s="834"/>
      <c r="Y54" s="834"/>
      <c r="Z54" s="834"/>
      <c r="AA54" s="834"/>
      <c r="AB54" s="834"/>
      <c r="AC54" s="834"/>
      <c r="AD54" s="834"/>
      <c r="AE54" s="834" t="str">
        <f>IFERROR(__xludf.DUMMYFUNCTION("""COMPUTED_VALUE"""),"Albendazolewas very effective against hookworm.")</f>
        <v>Albendazolewas very effective against hookworm.</v>
      </c>
      <c r="AF54" s="834" t="str">
        <f>IFERROR(__xludf.DUMMYFUNCTION("""COMPUTED_VALUE"""),"Kato-Katz method")</f>
        <v>Kato-Katz method</v>
      </c>
      <c r="AG54" s="834" t="str">
        <f>IFERROR(__xludf.DUMMYFUNCTION("""COMPUTED_VALUE"""),"Kihara J H, Muhoho N, Njomo D, Mwobobia I K, Josyline K, Mitsui T, et al. (2007) Drug efficacy of praziquantel and Albendazolein school children in Mwea Division, Central Province, Kenya. Acta Tropica 102(3): 1873-6254.")</f>
        <v>Kihara J H, Muhoho N, Njomo D, Mwobobia I K, Josyline K, Mitsui T, et al. (2007) Drug efficacy of praziquantel and Albendazolein school children in Mwea Division, Central Province, Kenya. Acta Tropica 102(3): 1873-6254.</v>
      </c>
      <c r="AH54" s="834" t="str">
        <f>IFERROR(__xludf.DUMMYFUNCTION("""COMPUTED_VALUE"""),"x")</f>
        <v>x</v>
      </c>
      <c r="AJ54" s="843" t="str">
        <f>IFERROR(__xludf.DUMMYFUNCTION("""COMPUTED_VALUE"""),"Levecke et al")</f>
        <v>Levecke et al</v>
      </c>
      <c r="AK54" s="836" t="str">
        <f>IFERROR(__xludf.DUMMYFUNCTION("""COMPUTED_VALUE"""),"Levecke, Bruno, Antonio Montresor, Marco Albonico, Shaali M. Ame, Jerzy M. Behnke, Jeffrey M. Bethony, Calvine D. Noumedem, Dirk Engels, Bertrand Guillard, Andrew C. Kotze, Alejandro J. Krolewiecki, James S. McCarthy, Zeleke Mekonnen, Maria V. Periago, He"&amp;"m Sopheak, Louis Albert Tchuem-Tchuente, Tran Thanh Duong, Nguyen Thu Huong, Ahmed Zeynudin, and Jozef Vercuysse. ""Assessment of Anthelmintic Efficacy of Mebendazolein School Children in Six Countries Where Soil Transmitted Helminths Are Endemic."" PLOS "&amp;"Neglected Tropical Diseases 8.10 (2014): 1-11. Web.")</f>
        <v>Levecke, Bruno, Antonio Montresor, Marco Albonico, Shaali M. Ame, Jerzy M. Behnke, Jeffrey M. Bethony, Calvine D. Noumedem, Dirk Engels, Bertrand Guillard, Andrew C. Kotze, Alejandro J. Krolewiecki, James S. McCarthy, Zeleke Mekonnen, Maria V. Periago, Hem Sopheak, Louis Albert Tchuem-Tchuente, Tran Thanh Duong, Nguyen Thu Huong, Ahmed Zeynudin, and Jozef Vercuysse. "Assessment of Anthelmintic Efficacy of Mebendazolein School Children in Six Countries Where Soil Transmitted Helminths Are Endemic." PLOS Neglected Tropical Diseases 8.10 (2014): 1-11. Web.</v>
      </c>
      <c r="AL54" s="836" t="str">
        <f>IFERROR(__xludf.DUMMYFUNCTION("""COMPUTED_VALUE"""),"Cameroon")</f>
        <v>Cameroon</v>
      </c>
      <c r="AM54" s="836" t="str">
        <f>IFERROR(__xludf.DUMMYFUNCTION("""COMPUTED_VALUE"""),"Albendazole")</f>
        <v>Albendazole</v>
      </c>
      <c r="AN54" s="836" t="str">
        <f>IFERROR(__xludf.DUMMYFUNCTION("""COMPUTED_VALUE"""),"Single")</f>
        <v>Single</v>
      </c>
      <c r="AO54" s="836" t="str">
        <f>IFERROR(__xludf.DUMMYFUNCTION("""COMPUTED_VALUE"""),"400 mg")</f>
        <v>400 mg</v>
      </c>
      <c r="AP54" s="836">
        <f>IFERROR(__xludf.DUMMYFUNCTION("""COMPUTED_VALUE"""),386.0)</f>
        <v>386</v>
      </c>
      <c r="AQ54" s="836">
        <f>IFERROR(__xludf.DUMMYFUNCTION("""COMPUTED_VALUE"""),10.7)</f>
        <v>10.7</v>
      </c>
      <c r="AR54" s="836">
        <f>IFERROR(__xludf.DUMMYFUNCTION("""COMPUTED_VALUE"""),0.85)</f>
        <v>0.85</v>
      </c>
      <c r="AS54" s="836">
        <f>IFERROR(__xludf.DUMMYFUNCTION("""COMPUTED_VALUE"""),2012.0)</f>
        <v>2012</v>
      </c>
      <c r="AT54" s="836"/>
      <c r="AU54" s="836" t="str">
        <f>IFERROR(__xludf.DUMMYFUNCTION("""COMPUTED_VALUE"""),"No")</f>
        <v>No</v>
      </c>
      <c r="AV54" s="836" t="str">
        <f>IFERROR(__xludf.DUMMYFUNCTION("""COMPUTED_VALUE"""),"No")</f>
        <v>No</v>
      </c>
      <c r="AW54" s="836" t="str">
        <f>IFERROR(__xludf.DUMMYFUNCTION("""COMPUTED_VALUE"""),"multi-center study")</f>
        <v>multi-center study</v>
      </c>
      <c r="AX54" s="836"/>
      <c r="AY54" s="836"/>
      <c r="AZ54" s="836"/>
      <c r="BA54" s="836"/>
      <c r="BB54" s="836"/>
      <c r="BC54" s="836"/>
      <c r="BD54" s="836"/>
      <c r="BE54" s="836"/>
      <c r="BF54" s="836"/>
      <c r="BG54" s="836"/>
      <c r="BH54" s="841">
        <f>IFERROR(__xludf.DUMMYFUNCTION("""COMPUTED_VALUE"""),0.392)</f>
        <v>0.392</v>
      </c>
      <c r="BI54" s="836"/>
      <c r="BJ54" s="836"/>
      <c r="BK54" s="836"/>
      <c r="BL54" s="836"/>
      <c r="BM54" s="836"/>
      <c r="BN54" s="836"/>
      <c r="BO54" s="836" t="str">
        <f>IFERROR(__xludf.DUMMYFUNCTION("""COMPUTED_VALUE"""),"McMaster technique")</f>
        <v>McMaster technique</v>
      </c>
      <c r="BP54" s="836" t="str">
        <f>IFERROR(__xludf.DUMMYFUNCTION("""COMPUTED_VALUE"""),"x")</f>
        <v>x</v>
      </c>
      <c r="BQ54" s="697">
        <f>IFERROR(__xludf.DUMMYFUNCTION("""COMPUTED_VALUE"""),53.0)</f>
        <v>53</v>
      </c>
      <c r="BR54" s="844" t="str">
        <f>IFERROR(__xludf.DUMMYFUNCTION("""COMPUTED_VALUE"""),"Hall &amp; Nahar")</f>
        <v>Hall &amp; Nahar</v>
      </c>
      <c r="BS54" s="838" t="str">
        <f>IFERROR(__xludf.DUMMYFUNCTION("""COMPUTED_VALUE"""),"Bengladesh")</f>
        <v>Bengladesh</v>
      </c>
      <c r="BT54" s="838" t="str">
        <f>IFERROR(__xludf.DUMMYFUNCTION("""COMPUTED_VALUE"""),"Albendazole")</f>
        <v>Albendazole</v>
      </c>
      <c r="BU54" s="838"/>
      <c r="BV54" s="838" t="str">
        <f>IFERROR(__xludf.DUMMYFUNCTION("""COMPUTED_VALUE"""),"Single")</f>
        <v>Single</v>
      </c>
      <c r="BW54" s="838" t="str">
        <f>IFERROR(__xludf.DUMMYFUNCTION("""COMPUTED_VALUE"""),"800 mg")</f>
        <v>800 mg</v>
      </c>
      <c r="BX54" s="838"/>
      <c r="BY54" s="838"/>
      <c r="BZ54" s="838"/>
      <c r="CA54" s="838"/>
      <c r="CB54" s="838"/>
      <c r="CC54" s="838" t="str">
        <f>IFERROR(__xludf.DUMMYFUNCTION("""COMPUTED_VALUE"""),"Yes")</f>
        <v>Yes</v>
      </c>
      <c r="CD54" s="838"/>
      <c r="CE54" s="838" t="str">
        <f>IFERROR(__xludf.DUMMYFUNCTION("""COMPUTED_VALUE"""),"No")</f>
        <v>No</v>
      </c>
      <c r="CF54" s="838"/>
      <c r="CG54" s="838"/>
      <c r="CH54" s="838"/>
      <c r="CI54" s="838"/>
      <c r="CJ54" s="838"/>
      <c r="CK54" s="838"/>
      <c r="CL54" s="838"/>
      <c r="CM54" s="838"/>
      <c r="CN54" s="838"/>
      <c r="CO54" s="838"/>
      <c r="CP54" s="838"/>
      <c r="CQ54" s="838"/>
      <c r="CR54" s="838"/>
      <c r="CS54" s="838"/>
      <c r="CT54" s="838"/>
      <c r="CU54" s="838"/>
      <c r="CV54" s="697" t="str">
        <f>IFERROR(__xludf.DUMMYFUNCTION("""COMPUTED_VALUE"""),"Hall, a. &amp; nahar, q. (1994). Albendazole and infectionswith Ascaris lumbricoides and Trichuris trichiura inchildren in Bangladesh. Transactions of the RoyalSociety of Tropical Medicine and Hygiene 88, 110–112.")</f>
        <v>Hall, a. &amp; nahar, q. (1994). Albendazole and infectionswith Ascaris lumbricoides and Trichuris trichiura inchildren in Bangladesh. Transactions of the RoyalSociety of Tropical Medicine and Hygiene 88, 110–112.</v>
      </c>
    </row>
    <row r="55">
      <c r="A55" s="842" t="str">
        <f>IFERROR(__xludf.DUMMYFUNCTION("""COMPUTED_VALUE"""),"Kihara et al.")</f>
        <v>Kihara et al.</v>
      </c>
      <c r="B55" s="834" t="str">
        <f>IFERROR(__xludf.DUMMYFUNCTION("""COMPUTED_VALUE"""),"Kenya")</f>
        <v>Kenya</v>
      </c>
      <c r="C55" s="834" t="str">
        <f>IFERROR(__xludf.DUMMYFUNCTION("""COMPUTED_VALUE"""),"Albendazole")</f>
        <v>Albendazole</v>
      </c>
      <c r="D55" s="834" t="str">
        <f>IFERROR(__xludf.DUMMYFUNCTION("""COMPUTED_VALUE"""),"Single")</f>
        <v>Single</v>
      </c>
      <c r="E55" s="834" t="str">
        <f>IFERROR(__xludf.DUMMYFUNCTION("""COMPUTED_VALUE"""),"400 mg")</f>
        <v>400 mg</v>
      </c>
      <c r="F55" s="834">
        <f>IFERROR(__xludf.DUMMYFUNCTION("""COMPUTED_VALUE"""),325.0)</f>
        <v>325</v>
      </c>
      <c r="G55" s="849">
        <f>IFERROR(__xludf.DUMMYFUNCTION("""COMPUTED_VALUE"""),42478.0)</f>
        <v>42478</v>
      </c>
      <c r="H55" s="834"/>
      <c r="I55" s="834">
        <f>IFERROR(__xludf.DUMMYFUNCTION("""COMPUTED_VALUE"""),2004.0)</f>
        <v>2004</v>
      </c>
      <c r="J55" s="834" t="str">
        <f>IFERROR(__xludf.DUMMYFUNCTION("""COMPUTED_VALUE"""),"In total 2300 children aged between 4 and 18 years in five primary schools were selected for the study.")</f>
        <v>In total 2300 children aged between 4 and 18 years in five primary schools were selected for the study.</v>
      </c>
      <c r="K55" s="839" t="str">
        <f>IFERROR(__xludf.DUMMYFUNCTION("""COMPUTED_VALUE"""),"randomized trial")</f>
        <v>randomized trial</v>
      </c>
      <c r="L55" s="839" t="str">
        <f>IFERROR(__xludf.DUMMYFUNCTION("""COMPUTED_VALUE"""),"Yes")</f>
        <v>Yes</v>
      </c>
      <c r="M55" s="839" t="str">
        <f>IFERROR(__xludf.DUMMYFUNCTION("""COMPUTED_VALUE"""),"No")</f>
        <v>No</v>
      </c>
      <c r="N55" s="840">
        <f>IFERROR(__xludf.DUMMYFUNCTION("""COMPUTED_VALUE"""),0.947)</f>
        <v>0.947</v>
      </c>
      <c r="O55" s="834"/>
      <c r="P55" s="834"/>
      <c r="Q55" s="834"/>
      <c r="R55" s="840">
        <f>IFERROR(__xludf.DUMMYFUNCTION("""COMPUTED_VALUE"""),0.947)</f>
        <v>0.947</v>
      </c>
      <c r="S55" s="834"/>
      <c r="T55" s="834"/>
      <c r="U55" s="834"/>
      <c r="V55" s="834"/>
      <c r="W55" s="834"/>
      <c r="X55" s="834"/>
      <c r="Y55" s="834"/>
      <c r="Z55" s="834"/>
      <c r="AA55" s="834"/>
      <c r="AB55" s="834"/>
      <c r="AC55" s="834"/>
      <c r="AD55" s="834"/>
      <c r="AE55" s="834" t="str">
        <f>IFERROR(__xludf.DUMMYFUNCTION("""COMPUTED_VALUE"""),"Albendazolewas very effective against hookworm.")</f>
        <v>Albendazolewas very effective against hookworm.</v>
      </c>
      <c r="AF55" s="834" t="str">
        <f>IFERROR(__xludf.DUMMYFUNCTION("""COMPUTED_VALUE"""),"Kato-Katz method")</f>
        <v>Kato-Katz method</v>
      </c>
      <c r="AG55" s="834" t="str">
        <f>IFERROR(__xludf.DUMMYFUNCTION("""COMPUTED_VALUE"""),"Kihara J H, Muhoho N, Njomo D, Mwobobia I K, Josyline K, Mitsui T, et al. (2007) Drug efficacy of praziquantel and Albendazolein school children in Mwea Division, Central Province, Kenya. Acta Tropica 102(3): 1873-6254.")</f>
        <v>Kihara J H, Muhoho N, Njomo D, Mwobobia I K, Josyline K, Mitsui T, et al. (2007) Drug efficacy of praziquantel and Albendazolein school children in Mwea Division, Central Province, Kenya. Acta Tropica 102(3): 1873-6254.</v>
      </c>
      <c r="AH55" s="834" t="str">
        <f>IFERROR(__xludf.DUMMYFUNCTION("""COMPUTED_VALUE"""),"x")</f>
        <v>x</v>
      </c>
      <c r="AJ55" s="843" t="str">
        <f>IFERROR(__xludf.DUMMYFUNCTION("""COMPUTED_VALUE"""),"Levecke et al")</f>
        <v>Levecke et al</v>
      </c>
      <c r="AK55" s="836"/>
      <c r="AL55" s="836" t="str">
        <f>IFERROR(__xludf.DUMMYFUNCTION("""COMPUTED_VALUE"""),"Cameroon")</f>
        <v>Cameroon</v>
      </c>
      <c r="AM55" s="836" t="str">
        <f>IFERROR(__xludf.DUMMYFUNCTION("""COMPUTED_VALUE"""),"Mebendazole")</f>
        <v>Mebendazole</v>
      </c>
      <c r="AN55" s="836" t="str">
        <f>IFERROR(__xludf.DUMMYFUNCTION("""COMPUTED_VALUE"""),"Single")</f>
        <v>Single</v>
      </c>
      <c r="AO55" s="836" t="str">
        <f>IFERROR(__xludf.DUMMYFUNCTION("""COMPUTED_VALUE"""),"500 mg")</f>
        <v>500 mg</v>
      </c>
      <c r="AP55" s="836">
        <f>IFERROR(__xludf.DUMMYFUNCTION("""COMPUTED_VALUE"""),175.0)</f>
        <v>175</v>
      </c>
      <c r="AQ55" s="836">
        <f>IFERROR(__xludf.DUMMYFUNCTION("""COMPUTED_VALUE"""),9.9)</f>
        <v>9.9</v>
      </c>
      <c r="AR55" s="836">
        <f>IFERROR(__xludf.DUMMYFUNCTION("""COMPUTED_VALUE"""),0.82)</f>
        <v>0.82</v>
      </c>
      <c r="AS55" s="836">
        <f>IFERROR(__xludf.DUMMYFUNCTION("""COMPUTED_VALUE"""),2012.0)</f>
        <v>2012</v>
      </c>
      <c r="AT55" s="836"/>
      <c r="AU55" s="836" t="str">
        <f>IFERROR(__xludf.DUMMYFUNCTION("""COMPUTED_VALUE"""),"No")</f>
        <v>No</v>
      </c>
      <c r="AV55" s="836" t="str">
        <f>IFERROR(__xludf.DUMMYFUNCTION("""COMPUTED_VALUE"""),"No")</f>
        <v>No</v>
      </c>
      <c r="AW55" s="836" t="str">
        <f>IFERROR(__xludf.DUMMYFUNCTION("""COMPUTED_VALUE"""),"multi-center study")</f>
        <v>multi-center study</v>
      </c>
      <c r="AX55" s="836"/>
      <c r="AY55" s="836"/>
      <c r="AZ55" s="836"/>
      <c r="BA55" s="836"/>
      <c r="BB55" s="836"/>
      <c r="BC55" s="836"/>
      <c r="BD55" s="836"/>
      <c r="BE55" s="836"/>
      <c r="BF55" s="836"/>
      <c r="BG55" s="836"/>
      <c r="BH55" s="841">
        <f>IFERROR(__xludf.DUMMYFUNCTION("""COMPUTED_VALUE"""),0.562)</f>
        <v>0.562</v>
      </c>
      <c r="BI55" s="836"/>
      <c r="BJ55" s="836"/>
      <c r="BK55" s="836"/>
      <c r="BL55" s="836"/>
      <c r="BM55" s="836"/>
      <c r="BN55" s="836"/>
      <c r="BO55" s="836"/>
      <c r="BP55" s="836" t="str">
        <f>IFERROR(__xludf.DUMMYFUNCTION("""COMPUTED_VALUE"""),"x")</f>
        <v>x</v>
      </c>
      <c r="BQ55" s="697">
        <f>IFERROR(__xludf.DUMMYFUNCTION("""COMPUTED_VALUE"""),54.0)</f>
        <v>54</v>
      </c>
      <c r="BR55" s="844" t="str">
        <f>IFERROR(__xludf.DUMMYFUNCTION("""COMPUTED_VALUE"""),"Hall &amp; Nahar")</f>
        <v>Hall &amp; Nahar</v>
      </c>
      <c r="BS55" s="838" t="str">
        <f>IFERROR(__xludf.DUMMYFUNCTION("""COMPUTED_VALUE"""),"Bengladesh")</f>
        <v>Bengladesh</v>
      </c>
      <c r="BT55" s="838" t="str">
        <f>IFERROR(__xludf.DUMMYFUNCTION("""COMPUTED_VALUE"""),"Albendazole")</f>
        <v>Albendazole</v>
      </c>
      <c r="BU55" s="838"/>
      <c r="BV55" s="838" t="str">
        <f>IFERROR(__xludf.DUMMYFUNCTION("""COMPUTED_VALUE"""),"Single")</f>
        <v>Single</v>
      </c>
      <c r="BW55" s="838" t="str">
        <f>IFERROR(__xludf.DUMMYFUNCTION("""COMPUTED_VALUE"""),"400 mg")</f>
        <v>400 mg</v>
      </c>
      <c r="BX55" s="838" t="str">
        <f>IFERROR(__xludf.DUMMYFUNCTION("""COMPUTED_VALUE""")," ")</f>
        <v> </v>
      </c>
      <c r="BY55" s="838"/>
      <c r="BZ55" s="838"/>
      <c r="CA55" s="838"/>
      <c r="CB55" s="838"/>
      <c r="CC55" s="838" t="str">
        <f>IFERROR(__xludf.DUMMYFUNCTION("""COMPUTED_VALUE"""),"Yes")</f>
        <v>Yes</v>
      </c>
      <c r="CD55" s="838"/>
      <c r="CE55" s="838" t="str">
        <f>IFERROR(__xludf.DUMMYFUNCTION("""COMPUTED_VALUE"""),"No")</f>
        <v>No</v>
      </c>
      <c r="CF55" s="838"/>
      <c r="CG55" s="838"/>
      <c r="CH55" s="838"/>
      <c r="CI55" s="838"/>
      <c r="CJ55" s="838"/>
      <c r="CK55" s="838"/>
      <c r="CL55" s="838"/>
      <c r="CM55" s="838"/>
      <c r="CN55" s="838"/>
      <c r="CO55" s="838"/>
      <c r="CP55" s="838"/>
      <c r="CQ55" s="838"/>
      <c r="CR55" s="838"/>
      <c r="CS55" s="838"/>
      <c r="CT55" s="838"/>
      <c r="CU55" s="838"/>
      <c r="CV55" s="697" t="str">
        <f>IFERROR(__xludf.DUMMYFUNCTION("""COMPUTED_VALUE"""),"Hall, a. &amp; nahar, q. (1994). Albendazole and infectionswith Ascaris lumbricoides and Trichuris trichiura inchildren in Bangladesh. Transactions of the RoyalSociety of Tropical Medicine and Hygiene 88, 110–112.")</f>
        <v>Hall, a. &amp; nahar, q. (1994). Albendazole and infectionswith Ascaris lumbricoides and Trichuris trichiura inchildren in Bangladesh. Transactions of the RoyalSociety of Tropical Medicine and Hygiene 88, 110–112.</v>
      </c>
    </row>
    <row r="56">
      <c r="A56" s="842" t="str">
        <f>IFERROR(__xludf.DUMMYFUNCTION("""COMPUTED_VALUE"""),"Kihara et al.")</f>
        <v>Kihara et al.</v>
      </c>
      <c r="B56" s="834" t="str">
        <f>IFERROR(__xludf.DUMMYFUNCTION("""COMPUTED_VALUE"""),"Kenya")</f>
        <v>Kenya</v>
      </c>
      <c r="C56" s="834" t="str">
        <f>IFERROR(__xludf.DUMMYFUNCTION("""COMPUTED_VALUE"""),"Albendazole")</f>
        <v>Albendazole</v>
      </c>
      <c r="D56" s="834" t="str">
        <f>IFERROR(__xludf.DUMMYFUNCTION("""COMPUTED_VALUE"""),"Single")</f>
        <v>Single</v>
      </c>
      <c r="E56" s="834" t="str">
        <f>IFERROR(__xludf.DUMMYFUNCTION("""COMPUTED_VALUE"""),"400 mg")</f>
        <v>400 mg</v>
      </c>
      <c r="F56" s="834">
        <f>IFERROR(__xludf.DUMMYFUNCTION("""COMPUTED_VALUE"""),374.0)</f>
        <v>374</v>
      </c>
      <c r="G56" s="849">
        <f>IFERROR(__xludf.DUMMYFUNCTION("""COMPUTED_VALUE"""),42478.0)</f>
        <v>42478</v>
      </c>
      <c r="H56" s="834"/>
      <c r="I56" s="834">
        <f>IFERROR(__xludf.DUMMYFUNCTION("""COMPUTED_VALUE"""),2004.0)</f>
        <v>2004</v>
      </c>
      <c r="J56" s="834" t="str">
        <f>IFERROR(__xludf.DUMMYFUNCTION("""COMPUTED_VALUE"""),"In total 2300 children aged between 4 and 18 years in five primary schools were selected for the study.")</f>
        <v>In total 2300 children aged between 4 and 18 years in five primary schools were selected for the study.</v>
      </c>
      <c r="K56" s="839" t="str">
        <f>IFERROR(__xludf.DUMMYFUNCTION("""COMPUTED_VALUE"""),"randomized trial")</f>
        <v>randomized trial</v>
      </c>
      <c r="L56" s="839" t="str">
        <f>IFERROR(__xludf.DUMMYFUNCTION("""COMPUTED_VALUE"""),"Yes")</f>
        <v>Yes</v>
      </c>
      <c r="M56" s="839" t="str">
        <f>IFERROR(__xludf.DUMMYFUNCTION("""COMPUTED_VALUE"""),"No")</f>
        <v>No</v>
      </c>
      <c r="N56" s="840">
        <f>IFERROR(__xludf.DUMMYFUNCTION("""COMPUTED_VALUE"""),0.942)</f>
        <v>0.942</v>
      </c>
      <c r="O56" s="834"/>
      <c r="P56" s="834"/>
      <c r="Q56" s="834"/>
      <c r="R56" s="840">
        <f>IFERROR(__xludf.DUMMYFUNCTION("""COMPUTED_VALUE"""),0.942)</f>
        <v>0.942</v>
      </c>
      <c r="S56" s="834"/>
      <c r="T56" s="834"/>
      <c r="U56" s="834"/>
      <c r="V56" s="834"/>
      <c r="W56" s="834"/>
      <c r="X56" s="834"/>
      <c r="Y56" s="834"/>
      <c r="Z56" s="834"/>
      <c r="AA56" s="834"/>
      <c r="AB56" s="834"/>
      <c r="AC56" s="834"/>
      <c r="AD56" s="834"/>
      <c r="AE56" s="834" t="str">
        <f>IFERROR(__xludf.DUMMYFUNCTION("""COMPUTED_VALUE"""),"Albendazolewas very effective against hookworm.")</f>
        <v>Albendazolewas very effective against hookworm.</v>
      </c>
      <c r="AF56" s="834" t="str">
        <f>IFERROR(__xludf.DUMMYFUNCTION("""COMPUTED_VALUE"""),"Kato-Katz method")</f>
        <v>Kato-Katz method</v>
      </c>
      <c r="AG56" s="834" t="str">
        <f>IFERROR(__xludf.DUMMYFUNCTION("""COMPUTED_VALUE"""),"Kihara J H, Muhoho N, Njomo D, Mwobobia I K, Josyline K, Mitsui T, et al. (2007) Drug efficacy of praziquantel and Albendazolein school children in Mwea Division, Central Province, Kenya. Acta Tropica 102(3): 1873-6254.")</f>
        <v>Kihara J H, Muhoho N, Njomo D, Mwobobia I K, Josyline K, Mitsui T, et al. (2007) Drug efficacy of praziquantel and Albendazolein school children in Mwea Division, Central Province, Kenya. Acta Tropica 102(3): 1873-6254.</v>
      </c>
      <c r="AH56" s="834" t="str">
        <f>IFERROR(__xludf.DUMMYFUNCTION("""COMPUTED_VALUE"""),"x")</f>
        <v>x</v>
      </c>
      <c r="AJ56" s="843" t="str">
        <f>IFERROR(__xludf.DUMMYFUNCTION("""COMPUTED_VALUE"""),"Levecke et al")</f>
        <v>Levecke et al</v>
      </c>
      <c r="AK56" s="836" t="str">
        <f>IFERROR(__xludf.DUMMYFUNCTION("""COMPUTED_VALUE"""),"Levecke, Bruno, Antonio Montresor, Marco Albonico, Shaali M. Ame, Jerzy M. Behnke, Jeffrey M. Bethony, Calvine D. Noumedem, Dirk Engels, Bertrand Guillard, Andrew C. Kotze, Alejandro J. Krolewiecki, James S. McCarthy, Zeleke Mekonnen, Maria V. Periago, He"&amp;"m Sopheak, Louis Albert Tchuem-Tchuente, Tran Thanh Duong, Nguyen Thu Huong, Ahmed Zeynudin, and Jozef Vercuysse. ""Assessment of Anthelmintic Efficacy of Mebendazolein School Children in Six Countries Where Soil Transmitted Helminths Are Endemic."" PLOS "&amp;"Neglected Tropical Diseases 8.10 (2014): 1-11. Web.")</f>
        <v>Levecke, Bruno, Antonio Montresor, Marco Albonico, Shaali M. Ame, Jerzy M. Behnke, Jeffrey M. Bethony, Calvine D. Noumedem, Dirk Engels, Bertrand Guillard, Andrew C. Kotze, Alejandro J. Krolewiecki, James S. McCarthy, Zeleke Mekonnen, Maria V. Periago, Hem Sopheak, Louis Albert Tchuem-Tchuente, Tran Thanh Duong, Nguyen Thu Huong, Ahmed Zeynudin, and Jozef Vercuysse. "Assessment of Anthelmintic Efficacy of Mebendazolein School Children in Six Countries Where Soil Transmitted Helminths Are Endemic." PLOS Neglected Tropical Diseases 8.10 (2014): 1-11. Web.</v>
      </c>
      <c r="AL56" s="836" t="str">
        <f>IFERROR(__xludf.DUMMYFUNCTION("""COMPUTED_VALUE"""),"Tanzania")</f>
        <v>Tanzania</v>
      </c>
      <c r="AM56" s="836" t="str">
        <f>IFERROR(__xludf.DUMMYFUNCTION("""COMPUTED_VALUE"""),"Albendazole")</f>
        <v>Albendazole</v>
      </c>
      <c r="AN56" s="836" t="str">
        <f>IFERROR(__xludf.DUMMYFUNCTION("""COMPUTED_VALUE"""),"Single")</f>
        <v>Single</v>
      </c>
      <c r="AO56" s="836" t="str">
        <f>IFERROR(__xludf.DUMMYFUNCTION("""COMPUTED_VALUE"""),"400 mg")</f>
        <v>400 mg</v>
      </c>
      <c r="AP56" s="836">
        <f>IFERROR(__xludf.DUMMYFUNCTION("""COMPUTED_VALUE"""),396.0)</f>
        <v>396</v>
      </c>
      <c r="AQ56" s="836">
        <f>IFERROR(__xludf.DUMMYFUNCTION("""COMPUTED_VALUE"""),9.7)</f>
        <v>9.7</v>
      </c>
      <c r="AR56" s="836">
        <f>IFERROR(__xludf.DUMMYFUNCTION("""COMPUTED_VALUE"""),0.91)</f>
        <v>0.91</v>
      </c>
      <c r="AS56" s="836">
        <f>IFERROR(__xludf.DUMMYFUNCTION("""COMPUTED_VALUE"""),2012.0)</f>
        <v>2012</v>
      </c>
      <c r="AT56" s="836"/>
      <c r="AU56" s="836" t="str">
        <f>IFERROR(__xludf.DUMMYFUNCTION("""COMPUTED_VALUE"""),"No")</f>
        <v>No</v>
      </c>
      <c r="AV56" s="836" t="str">
        <f>IFERROR(__xludf.DUMMYFUNCTION("""COMPUTED_VALUE"""),"No")</f>
        <v>No</v>
      </c>
      <c r="AW56" s="836" t="str">
        <f>IFERROR(__xludf.DUMMYFUNCTION("""COMPUTED_VALUE"""),"multi-center study")</f>
        <v>multi-center study</v>
      </c>
      <c r="AX56" s="836"/>
      <c r="AY56" s="836"/>
      <c r="AZ56" s="836"/>
      <c r="BA56" s="836"/>
      <c r="BB56" s="836"/>
      <c r="BC56" s="836"/>
      <c r="BD56" s="836"/>
      <c r="BE56" s="836"/>
      <c r="BF56" s="836"/>
      <c r="BG56" s="836"/>
      <c r="BH56" s="841">
        <f>IFERROR(__xludf.DUMMYFUNCTION("""COMPUTED_VALUE"""),0.52)</f>
        <v>0.52</v>
      </c>
      <c r="BI56" s="836"/>
      <c r="BJ56" s="836"/>
      <c r="BK56" s="836"/>
      <c r="BL56" s="836"/>
      <c r="BM56" s="836"/>
      <c r="BN56" s="836"/>
      <c r="BO56" s="836" t="str">
        <f>IFERROR(__xludf.DUMMYFUNCTION("""COMPUTED_VALUE"""),"McMaster technique")</f>
        <v>McMaster technique</v>
      </c>
      <c r="BP56" s="836" t="str">
        <f>IFERROR(__xludf.DUMMYFUNCTION("""COMPUTED_VALUE"""),"x")</f>
        <v>x</v>
      </c>
      <c r="BQ56" s="697">
        <f>IFERROR(__xludf.DUMMYFUNCTION("""COMPUTED_VALUE"""),55.0)</f>
        <v>55</v>
      </c>
      <c r="BR56" s="844" t="str">
        <f>IFERROR(__xludf.DUMMYFUNCTION("""COMPUTED_VALUE""")," Jongsuksuntigul et al.")</f>
        <v> Jongsuksuntigul et al.</v>
      </c>
      <c r="BS56" s="838" t="str">
        <f>IFERROR(__xludf.DUMMYFUNCTION("""COMPUTED_VALUE"""),"Thailand")</f>
        <v>Thailand</v>
      </c>
      <c r="BT56" s="838" t="str">
        <f>IFERROR(__xludf.DUMMYFUNCTION("""COMPUTED_VALUE"""),"Mebendazole")</f>
        <v>Mebendazole</v>
      </c>
      <c r="BU56" s="838"/>
      <c r="BV56" s="838" t="str">
        <f>IFERROR(__xludf.DUMMYFUNCTION("""COMPUTED_VALUE"""),"Single")</f>
        <v>Single</v>
      </c>
      <c r="BW56" s="838" t="str">
        <f>IFERROR(__xludf.DUMMYFUNCTION("""COMPUTED_VALUE"""),"300 mg")</f>
        <v>300 mg</v>
      </c>
      <c r="BX56" s="838">
        <f>IFERROR(__xludf.DUMMYFUNCTION("""COMPUTED_VALUE"""),12.0)</f>
        <v>12</v>
      </c>
      <c r="BY56" s="838" t="str">
        <f>IFERROR(__xludf.DUMMYFUNCTION("""COMPUTED_VALUE"""),"3-80")</f>
        <v>3-80</v>
      </c>
      <c r="BZ56" s="838">
        <f>IFERROR(__xludf.DUMMYFUNCTION("""COMPUTED_VALUE"""),1991.0)</f>
        <v>1991</v>
      </c>
      <c r="CA56" s="838" t="str">
        <f>IFERROR(__xludf.DUMMYFUNCTION("""COMPUTED_VALUE"""),"Male and Female")</f>
        <v>Male and Female</v>
      </c>
      <c r="CB56" s="838"/>
      <c r="CC56" s="838" t="str">
        <f>IFERROR(__xludf.DUMMYFUNCTION("""COMPUTED_VALUE"""),"Yes")</f>
        <v>Yes</v>
      </c>
      <c r="CD56" s="838" t="str">
        <f>IFERROR(__xludf.DUMMYFUNCTION("""COMPUTED_VALUE"""),"50%%")</f>
        <v>50%%</v>
      </c>
      <c r="CE56" s="838" t="str">
        <f>IFERROR(__xludf.DUMMYFUNCTION("""COMPUTED_VALUE"""),"Yes")</f>
        <v>Yes</v>
      </c>
      <c r="CF56" s="838" t="str">
        <f>IFERROR(__xludf.DUMMYFUNCTION("""COMPUTED_VALUE"""),"50% (Day 14)")</f>
        <v>50% (Day 14)</v>
      </c>
      <c r="CG56" s="838"/>
      <c r="CH56" s="838"/>
      <c r="CI56" s="838"/>
      <c r="CJ56" s="838"/>
      <c r="CK56" s="838"/>
      <c r="CL56" s="838"/>
      <c r="CM56" s="838" t="str">
        <f>IFERROR(__xludf.DUMMYFUNCTION("""COMPUTED_VALUE"""),"87.3% (Day 14)")</f>
        <v>87.3% (Day 14)</v>
      </c>
      <c r="CN56" s="838"/>
      <c r="CO56" s="838"/>
      <c r="CP56" s="838"/>
      <c r="CQ56" s="838"/>
      <c r="CR56" s="838"/>
      <c r="CS56" s="838" t="str">
        <f>IFERROR(__xludf.DUMMYFUNCTION("""COMPUTED_VALUE"""),"Both mebendazole and albendazole are safe and no side effects were observed. The results of this study suggested that albendazole is the preferred benzimidazole derivative for mass treatment of multiple infections with Ascaris.")</f>
        <v>Both mebendazole and albendazole are safe and no side effects were observed. The results of this study suggested that albendazole is the preferred benzimidazole derivative for mass treatment of multiple infections with Ascaris.</v>
      </c>
      <c r="CT56" s="838" t="str">
        <f>IFERROR(__xludf.DUMMYFUNCTION("""COMPUTED_VALUE"""),"Kato-Katz method")</f>
        <v>Kato-Katz method</v>
      </c>
      <c r="CU56" s="838" t="str">
        <f>IFERROR(__xludf.DUMMYFUNCTION("""COMPUTED_VALUE""")," ")</f>
        <v> </v>
      </c>
      <c r="CV56" s="697" t="str">
        <f>IFERROR(__xludf.DUMMYFUNCTION("""COMPUTED_VALUE"""),"Jongsuksuntigul, p., jeradit, c., pornpattanankul, s.&amp; charanasri, u. (1993). A comparative study on the efficacy of albendazole and mebendazole in the treatment of ascariasis, hookworm infection and trichuriasis. Southeast Asian Journal of Tropical Medic"&amp;"ine and Public Health 24, 724–729.")</f>
        <v>Jongsuksuntigul, p., jeradit, c., pornpattanankul, s.&amp; charanasri, u. (1993). A comparative study on the efficacy of albendazole and mebendazole in the treatment of ascariasis, hookworm infection and trichuriasis. Southeast Asian Journal of Tropical Medicine and Public Health 24, 724–729.</v>
      </c>
    </row>
    <row r="57">
      <c r="A57" s="842" t="str">
        <f>IFERROR(__xludf.DUMMYFUNCTION("""COMPUTED_VALUE"""),"Kihara et al.")</f>
        <v>Kihara et al.</v>
      </c>
      <c r="B57" s="834" t="str">
        <f>IFERROR(__xludf.DUMMYFUNCTION("""COMPUTED_VALUE"""),"Kenya")</f>
        <v>Kenya</v>
      </c>
      <c r="C57" s="834" t="str">
        <f>IFERROR(__xludf.DUMMYFUNCTION("""COMPUTED_VALUE"""),"Albendazole")</f>
        <v>Albendazole</v>
      </c>
      <c r="D57" s="834" t="str">
        <f>IFERROR(__xludf.DUMMYFUNCTION("""COMPUTED_VALUE"""),"Single")</f>
        <v>Single</v>
      </c>
      <c r="E57" s="834" t="str">
        <f>IFERROR(__xludf.DUMMYFUNCTION("""COMPUTED_VALUE"""),"400 mg")</f>
        <v>400 mg</v>
      </c>
      <c r="F57" s="834">
        <f>IFERROR(__xludf.DUMMYFUNCTION("""COMPUTED_VALUE"""),462.0)</f>
        <v>462</v>
      </c>
      <c r="G57" s="849">
        <f>IFERROR(__xludf.DUMMYFUNCTION("""COMPUTED_VALUE"""),42478.0)</f>
        <v>42478</v>
      </c>
      <c r="H57" s="834"/>
      <c r="I57" s="834">
        <f>IFERROR(__xludf.DUMMYFUNCTION("""COMPUTED_VALUE"""),2004.0)</f>
        <v>2004</v>
      </c>
      <c r="J57" s="834" t="str">
        <f>IFERROR(__xludf.DUMMYFUNCTION("""COMPUTED_VALUE"""),"In total 2300 children aged between 4 and 18 years in five primary schools were selected for the study.")</f>
        <v>In total 2300 children aged between 4 and 18 years in five primary schools were selected for the study.</v>
      </c>
      <c r="K57" s="839" t="str">
        <f>IFERROR(__xludf.DUMMYFUNCTION("""COMPUTED_VALUE"""),"randomized trial")</f>
        <v>randomized trial</v>
      </c>
      <c r="L57" s="839" t="str">
        <f>IFERROR(__xludf.DUMMYFUNCTION("""COMPUTED_VALUE"""),"Yes")</f>
        <v>Yes</v>
      </c>
      <c r="M57" s="839" t="str">
        <f>IFERROR(__xludf.DUMMYFUNCTION("""COMPUTED_VALUE"""),"No")</f>
        <v>No</v>
      </c>
      <c r="N57" s="840">
        <f>IFERROR(__xludf.DUMMYFUNCTION("""COMPUTED_VALUE"""),0.948)</f>
        <v>0.948</v>
      </c>
      <c r="O57" s="834"/>
      <c r="P57" s="834"/>
      <c r="Q57" s="834"/>
      <c r="R57" s="840">
        <f>IFERROR(__xludf.DUMMYFUNCTION("""COMPUTED_VALUE"""),0.948)</f>
        <v>0.948</v>
      </c>
      <c r="S57" s="834"/>
      <c r="T57" s="834"/>
      <c r="U57" s="834"/>
      <c r="V57" s="834"/>
      <c r="W57" s="834"/>
      <c r="X57" s="834"/>
      <c r="Y57" s="834"/>
      <c r="Z57" s="834"/>
      <c r="AA57" s="834"/>
      <c r="AB57" s="834"/>
      <c r="AC57" s="834"/>
      <c r="AD57" s="834"/>
      <c r="AE57" s="834" t="str">
        <f>IFERROR(__xludf.DUMMYFUNCTION("""COMPUTED_VALUE"""),"Albendazolewas very effective against hookworm.")</f>
        <v>Albendazolewas very effective against hookworm.</v>
      </c>
      <c r="AF57" s="834" t="str">
        <f>IFERROR(__xludf.DUMMYFUNCTION("""COMPUTED_VALUE"""),"Kato-Katz method")</f>
        <v>Kato-Katz method</v>
      </c>
      <c r="AG57" s="834" t="str">
        <f>IFERROR(__xludf.DUMMYFUNCTION("""COMPUTED_VALUE"""),"Kihara J H, Muhoho N, Njomo D, Mwobobia I K, Josyline K, Mitsui T, et al. (2007) Drug efficacy of praziquantel and Albendazolein school children in Mwea Division, Central Province, Kenya. Acta Tropica 102(3): 1873-6254.")</f>
        <v>Kihara J H, Muhoho N, Njomo D, Mwobobia I K, Josyline K, Mitsui T, et al. (2007) Drug efficacy of praziquantel and Albendazolein school children in Mwea Division, Central Province, Kenya. Acta Tropica 102(3): 1873-6254.</v>
      </c>
      <c r="AH57" s="834" t="str">
        <f>IFERROR(__xludf.DUMMYFUNCTION("""COMPUTED_VALUE"""),"x")</f>
        <v>x</v>
      </c>
      <c r="AJ57" s="843" t="str">
        <f>IFERROR(__xludf.DUMMYFUNCTION("""COMPUTED_VALUE"""),"Levecke et al")</f>
        <v>Levecke et al</v>
      </c>
      <c r="AK57" s="836"/>
      <c r="AL57" s="836" t="str">
        <f>IFERROR(__xludf.DUMMYFUNCTION("""COMPUTED_VALUE"""),"Tanzania")</f>
        <v>Tanzania</v>
      </c>
      <c r="AM57" s="836" t="str">
        <f>IFERROR(__xludf.DUMMYFUNCTION("""COMPUTED_VALUE"""),"Mebendazole")</f>
        <v>Mebendazole</v>
      </c>
      <c r="AN57" s="836" t="str">
        <f>IFERROR(__xludf.DUMMYFUNCTION("""COMPUTED_VALUE"""),"Single")</f>
        <v>Single</v>
      </c>
      <c r="AO57" s="836" t="str">
        <f>IFERROR(__xludf.DUMMYFUNCTION("""COMPUTED_VALUE"""),"500 mg")</f>
        <v>500 mg</v>
      </c>
      <c r="AP57" s="836">
        <f>IFERROR(__xludf.DUMMYFUNCTION("""COMPUTED_VALUE"""),505.0)</f>
        <v>505</v>
      </c>
      <c r="AQ57" s="836">
        <f>IFERROR(__xludf.DUMMYFUNCTION("""COMPUTED_VALUE"""),10.7)</f>
        <v>10.7</v>
      </c>
      <c r="AR57" s="854">
        <f>IFERROR(__xludf.DUMMYFUNCTION("""COMPUTED_VALUE"""),0.05625)</f>
        <v>0.05625</v>
      </c>
      <c r="AS57" s="836">
        <f>IFERROR(__xludf.DUMMYFUNCTION("""COMPUTED_VALUE"""),2012.0)</f>
        <v>2012</v>
      </c>
      <c r="AT57" s="836"/>
      <c r="AU57" s="836" t="str">
        <f>IFERROR(__xludf.DUMMYFUNCTION("""COMPUTED_VALUE"""),"No")</f>
        <v>No</v>
      </c>
      <c r="AV57" s="836" t="str">
        <f>IFERROR(__xludf.DUMMYFUNCTION("""COMPUTED_VALUE"""),"No")</f>
        <v>No</v>
      </c>
      <c r="AW57" s="836" t="str">
        <f>IFERROR(__xludf.DUMMYFUNCTION("""COMPUTED_VALUE"""),"multi-center study")</f>
        <v>multi-center study</v>
      </c>
      <c r="AX57" s="836"/>
      <c r="AY57" s="836"/>
      <c r="AZ57" s="836"/>
      <c r="BA57" s="836"/>
      <c r="BB57" s="836"/>
      <c r="BC57" s="836"/>
      <c r="BD57" s="836"/>
      <c r="BE57" s="836"/>
      <c r="BF57" s="836"/>
      <c r="BG57" s="836"/>
      <c r="BH57" s="841">
        <f>IFERROR(__xludf.DUMMYFUNCTION("""COMPUTED_VALUE"""),0.512)</f>
        <v>0.512</v>
      </c>
      <c r="BI57" s="836"/>
      <c r="BJ57" s="836"/>
      <c r="BK57" s="836"/>
      <c r="BL57" s="836"/>
      <c r="BM57" s="836"/>
      <c r="BN57" s="836"/>
      <c r="BO57" s="836"/>
      <c r="BP57" s="836" t="str">
        <f>IFERROR(__xludf.DUMMYFUNCTION("""COMPUTED_VALUE"""),"x")</f>
        <v>x</v>
      </c>
      <c r="BQ57" s="697">
        <f>IFERROR(__xludf.DUMMYFUNCTION("""COMPUTED_VALUE"""),56.0)</f>
        <v>56</v>
      </c>
      <c r="BR57" s="844" t="str">
        <f>IFERROR(__xludf.DUMMYFUNCTION("""COMPUTED_VALUE""")," Jongsuksuntigul et al.")</f>
        <v> Jongsuksuntigul et al.</v>
      </c>
      <c r="BS57" s="838" t="str">
        <f>IFERROR(__xludf.DUMMYFUNCTION("""COMPUTED_VALUE"""),"Thailand")</f>
        <v>Thailand</v>
      </c>
      <c r="BT57" s="838" t="str">
        <f>IFERROR(__xludf.DUMMYFUNCTION("""COMPUTED_VALUE"""),"Mebendazole")</f>
        <v>Mebendazole</v>
      </c>
      <c r="BU57" s="838"/>
      <c r="BV57" s="838" t="str">
        <f>IFERROR(__xludf.DUMMYFUNCTION("""COMPUTED_VALUE"""),"Single")</f>
        <v>Single</v>
      </c>
      <c r="BW57" s="838" t="str">
        <f>IFERROR(__xludf.DUMMYFUNCTION("""COMPUTED_VALUE"""),"300 mg")</f>
        <v>300 mg</v>
      </c>
      <c r="BX57" s="838">
        <f>IFERROR(__xludf.DUMMYFUNCTION("""COMPUTED_VALUE"""),17.0)</f>
        <v>17</v>
      </c>
      <c r="BY57" s="838" t="str">
        <f>IFERROR(__xludf.DUMMYFUNCTION("""COMPUTED_VALUE"""),"3-80")</f>
        <v>3-80</v>
      </c>
      <c r="BZ57" s="838">
        <f>IFERROR(__xludf.DUMMYFUNCTION("""COMPUTED_VALUE"""),1991.0)</f>
        <v>1991</v>
      </c>
      <c r="CA57" s="838" t="str">
        <f>IFERROR(__xludf.DUMMYFUNCTION("""COMPUTED_VALUE"""),"Male and Female")</f>
        <v>Male and Female</v>
      </c>
      <c r="CB57" s="838"/>
      <c r="CC57" s="838" t="str">
        <f>IFERROR(__xludf.DUMMYFUNCTION("""COMPUTED_VALUE"""),"Yes")</f>
        <v>Yes</v>
      </c>
      <c r="CD57" s="846">
        <f>IFERROR(__xludf.DUMMYFUNCTION("""COMPUTED_VALUE"""),1.0)</f>
        <v>1</v>
      </c>
      <c r="CE57" s="838" t="str">
        <f>IFERROR(__xludf.DUMMYFUNCTION("""COMPUTED_VALUE"""),"Yes")</f>
        <v>Yes</v>
      </c>
      <c r="CF57" s="838" t="str">
        <f>IFERROR(__xludf.DUMMYFUNCTION("""COMPUTED_VALUE"""),"100% (Day 14)")</f>
        <v>100% (Day 14)</v>
      </c>
      <c r="CG57" s="838"/>
      <c r="CH57" s="838"/>
      <c r="CI57" s="838"/>
      <c r="CJ57" s="838"/>
      <c r="CK57" s="838"/>
      <c r="CL57" s="838"/>
      <c r="CM57" s="838" t="str">
        <f>IFERROR(__xludf.DUMMYFUNCTION("""COMPUTED_VALUE"""),"100% (Day 14)")</f>
        <v>100% (Day 14)</v>
      </c>
      <c r="CN57" s="838"/>
      <c r="CO57" s="838"/>
      <c r="CP57" s="838"/>
      <c r="CQ57" s="838"/>
      <c r="CR57" s="838"/>
      <c r="CS57" s="838"/>
      <c r="CT57" s="838" t="str">
        <f>IFERROR(__xludf.DUMMYFUNCTION("""COMPUTED_VALUE"""),"Kato-Katz method")</f>
        <v>Kato-Katz method</v>
      </c>
      <c r="CU57" s="838"/>
      <c r="CV57" s="697" t="str">
        <f>IFERROR(__xludf.DUMMYFUNCTION("""COMPUTED_VALUE"""),"Jongsuksuntigul, p., jeradit, c., pornpattanankul, s.&amp; charanasri, u. (1993). A comparative study on the efficacy of albendazole and mebendazole in the treatment of ascariasis, hookworm infection and trichuriasis. Southeast Asian Journal of Tropical Medic"&amp;"ine and Public Health 24, 724–729.")</f>
        <v>Jongsuksuntigul, p., jeradit, c., pornpattanankul, s.&amp; charanasri, u. (1993). A comparative study on the efficacy of albendazole and mebendazole in the treatment of ascariasis, hookworm infection and trichuriasis. Southeast Asian Journal of Tropical Medicine and Public Health 24, 724–729.</v>
      </c>
    </row>
    <row r="58">
      <c r="A58" s="842" t="str">
        <f>IFERROR(__xludf.DUMMYFUNCTION("""COMPUTED_VALUE"""),"Kihara et al.")</f>
        <v>Kihara et al.</v>
      </c>
      <c r="B58" s="834" t="str">
        <f>IFERROR(__xludf.DUMMYFUNCTION("""COMPUTED_VALUE"""),"Kenya")</f>
        <v>Kenya</v>
      </c>
      <c r="C58" s="834" t="str">
        <f>IFERROR(__xludf.DUMMYFUNCTION("""COMPUTED_VALUE"""),"Albendazole")</f>
        <v>Albendazole</v>
      </c>
      <c r="D58" s="834" t="str">
        <f>IFERROR(__xludf.DUMMYFUNCTION("""COMPUTED_VALUE"""),"Single")</f>
        <v>Single</v>
      </c>
      <c r="E58" s="834" t="str">
        <f>IFERROR(__xludf.DUMMYFUNCTION("""COMPUTED_VALUE"""),"400 mg")</f>
        <v>400 mg</v>
      </c>
      <c r="F58" s="834">
        <f>IFERROR(__xludf.DUMMYFUNCTION("""COMPUTED_VALUE"""),328.0)</f>
        <v>328</v>
      </c>
      <c r="G58" s="849">
        <f>IFERROR(__xludf.DUMMYFUNCTION("""COMPUTED_VALUE"""),42478.0)</f>
        <v>42478</v>
      </c>
      <c r="H58" s="834"/>
      <c r="I58" s="834">
        <f>IFERROR(__xludf.DUMMYFUNCTION("""COMPUTED_VALUE"""),2004.0)</f>
        <v>2004</v>
      </c>
      <c r="J58" s="834" t="str">
        <f>IFERROR(__xludf.DUMMYFUNCTION("""COMPUTED_VALUE"""),"In total 2300 children aged between 4 and 18 years in five primary schools were selected for the study.")</f>
        <v>In total 2300 children aged between 4 and 18 years in five primary schools were selected for the study.</v>
      </c>
      <c r="K58" s="839" t="str">
        <f>IFERROR(__xludf.DUMMYFUNCTION("""COMPUTED_VALUE"""),"randomized trial")</f>
        <v>randomized trial</v>
      </c>
      <c r="L58" s="839" t="str">
        <f>IFERROR(__xludf.DUMMYFUNCTION("""COMPUTED_VALUE"""),"Yes")</f>
        <v>Yes</v>
      </c>
      <c r="M58" s="839" t="str">
        <f>IFERROR(__xludf.DUMMYFUNCTION("""COMPUTED_VALUE"""),"No")</f>
        <v>No</v>
      </c>
      <c r="N58" s="840">
        <f>IFERROR(__xludf.DUMMYFUNCTION("""COMPUTED_VALUE"""),0.958)</f>
        <v>0.958</v>
      </c>
      <c r="O58" s="834"/>
      <c r="P58" s="834"/>
      <c r="Q58" s="834"/>
      <c r="R58" s="840">
        <f>IFERROR(__xludf.DUMMYFUNCTION("""COMPUTED_VALUE"""),0.958)</f>
        <v>0.958</v>
      </c>
      <c r="S58" s="834"/>
      <c r="T58" s="834"/>
      <c r="U58" s="834"/>
      <c r="V58" s="834"/>
      <c r="W58" s="834"/>
      <c r="X58" s="834"/>
      <c r="Y58" s="834"/>
      <c r="Z58" s="834"/>
      <c r="AA58" s="834"/>
      <c r="AB58" s="834"/>
      <c r="AC58" s="834"/>
      <c r="AD58" s="834"/>
      <c r="AE58" s="834" t="str">
        <f>IFERROR(__xludf.DUMMYFUNCTION("""COMPUTED_VALUE"""),"Albendazolewas very effective against hookworm.")</f>
        <v>Albendazolewas very effective against hookworm.</v>
      </c>
      <c r="AF58" s="834" t="str">
        <f>IFERROR(__xludf.DUMMYFUNCTION("""COMPUTED_VALUE"""),"Kato-Katz method")</f>
        <v>Kato-Katz method</v>
      </c>
      <c r="AG58" s="834" t="str">
        <f>IFERROR(__xludf.DUMMYFUNCTION("""COMPUTED_VALUE"""),"Kihara J H, Muhoho N, Njomo D, Mwobobia I K, Josyline K, Mitsui T, et al. (2007) Drug efficacy of praziquantel and Albendazolein school children in Mwea Division, Central Province, Kenya. Acta Tropica 102(3): 1873-6254.")</f>
        <v>Kihara J H, Muhoho N, Njomo D, Mwobobia I K, Josyline K, Mitsui T, et al. (2007) Drug efficacy of praziquantel and Albendazolein school children in Mwea Division, Central Province, Kenya. Acta Tropica 102(3): 1873-6254.</v>
      </c>
      <c r="AH58" s="834" t="str">
        <f>IFERROR(__xludf.DUMMYFUNCTION("""COMPUTED_VALUE"""),"x")</f>
        <v>x</v>
      </c>
      <c r="AJ58" s="843" t="str">
        <f>IFERROR(__xludf.DUMMYFUNCTION("""COMPUTED_VALUE"""),"Levecke et al")</f>
        <v>Levecke et al</v>
      </c>
      <c r="AK58" s="836" t="str">
        <f>IFERROR(__xludf.DUMMYFUNCTION("""COMPUTED_VALUE"""),"Levecke, Bruno, Antonio Montresor, Marco Albonico, Shaali M. Ame, Jerzy M. Behnke, Jeffrey M. Bethony, Calvine D. Noumedem, Dirk Engels, Bertrand Guillard, Andrew C. Kotze, Alejandro J. Krolewiecki, James S. McCarthy, Zeleke Mekonnen, Maria V. Periago, He"&amp;"m Sopheak, Louis Albert Tchuem-Tchuente, Tran Thanh Duong, Nguyen Thu Huong, Ahmed Zeynudin, and Jozef Vercuysse. ""Assessment of Anthelmintic Efficacy of Mebendazolein School Children in Six Countries Where Soil Transmitted Helminths Are Endemic."" PLOS "&amp;"Neglected Tropical Diseases 8.10 (2014): 1-11. Web.")</f>
        <v>Levecke, Bruno, Antonio Montresor, Marco Albonico, Shaali M. Ame, Jerzy M. Behnke, Jeffrey M. Bethony, Calvine D. Noumedem, Dirk Engels, Bertrand Guillard, Andrew C. Kotze, Alejandro J. Krolewiecki, James S. McCarthy, Zeleke Mekonnen, Maria V. Periago, Hem Sopheak, Louis Albert Tchuem-Tchuente, Tran Thanh Duong, Nguyen Thu Huong, Ahmed Zeynudin, and Jozef Vercuysse. "Assessment of Anthelmintic Efficacy of Mebendazolein School Children in Six Countries Where Soil Transmitted Helminths Are Endemic." PLOS Neglected Tropical Diseases 8.10 (2014): 1-11. Web.</v>
      </c>
      <c r="AL58" s="836" t="str">
        <f>IFERROR(__xludf.DUMMYFUNCTION("""COMPUTED_VALUE"""),"Viet Nam")</f>
        <v>Viet Nam</v>
      </c>
      <c r="AM58" s="836" t="str">
        <f>IFERROR(__xludf.DUMMYFUNCTION("""COMPUTED_VALUE"""),"Albendazole")</f>
        <v>Albendazole</v>
      </c>
      <c r="AN58" s="836" t="str">
        <f>IFERROR(__xludf.DUMMYFUNCTION("""COMPUTED_VALUE"""),"Single")</f>
        <v>Single</v>
      </c>
      <c r="AO58" s="836" t="str">
        <f>IFERROR(__xludf.DUMMYFUNCTION("""COMPUTED_VALUE"""),"400 mg")</f>
        <v>400 mg</v>
      </c>
      <c r="AP58" s="836">
        <f>IFERROR(__xludf.DUMMYFUNCTION("""COMPUTED_VALUE"""),138.0)</f>
        <v>138</v>
      </c>
      <c r="AQ58" s="836">
        <f>IFERROR(__xludf.DUMMYFUNCTION("""COMPUTED_VALUE"""),9.4)</f>
        <v>9.4</v>
      </c>
      <c r="AR58" s="854">
        <f>IFERROR(__xludf.DUMMYFUNCTION("""COMPUTED_VALUE"""),0.04375)</f>
        <v>0.04375</v>
      </c>
      <c r="AS58" s="836">
        <f>IFERROR(__xludf.DUMMYFUNCTION("""COMPUTED_VALUE"""),2012.0)</f>
        <v>2012</v>
      </c>
      <c r="AT58" s="836"/>
      <c r="AU58" s="836" t="str">
        <f>IFERROR(__xludf.DUMMYFUNCTION("""COMPUTED_VALUE"""),"No")</f>
        <v>No</v>
      </c>
      <c r="AV58" s="836" t="str">
        <f>IFERROR(__xludf.DUMMYFUNCTION("""COMPUTED_VALUE"""),"No")</f>
        <v>No</v>
      </c>
      <c r="AW58" s="836" t="str">
        <f>IFERROR(__xludf.DUMMYFUNCTION("""COMPUTED_VALUE"""),"multi-center study")</f>
        <v>multi-center study</v>
      </c>
      <c r="AX58" s="836"/>
      <c r="AY58" s="836"/>
      <c r="AZ58" s="836"/>
      <c r="BA58" s="836"/>
      <c r="BB58" s="836"/>
      <c r="BC58" s="836"/>
      <c r="BD58" s="836"/>
      <c r="BE58" s="836"/>
      <c r="BF58" s="836"/>
      <c r="BG58" s="836"/>
      <c r="BH58" s="841">
        <f>IFERROR(__xludf.DUMMYFUNCTION("""COMPUTED_VALUE"""),0.923)</f>
        <v>0.923</v>
      </c>
      <c r="BI58" s="836"/>
      <c r="BJ58" s="836"/>
      <c r="BK58" s="836"/>
      <c r="BL58" s="836"/>
      <c r="BM58" s="836"/>
      <c r="BN58" s="836"/>
      <c r="BO58" s="836" t="str">
        <f>IFERROR(__xludf.DUMMYFUNCTION("""COMPUTED_VALUE"""),"McMaster technique")</f>
        <v>McMaster technique</v>
      </c>
      <c r="BP58" s="836" t="str">
        <f>IFERROR(__xludf.DUMMYFUNCTION("""COMPUTED_VALUE"""),"x")</f>
        <v>x</v>
      </c>
      <c r="BQ58" s="697">
        <f>IFERROR(__xludf.DUMMYFUNCTION("""COMPUTED_VALUE"""),57.0)</f>
        <v>57</v>
      </c>
      <c r="BR58" s="844" t="str">
        <f>IFERROR(__xludf.DUMMYFUNCTION("""COMPUTED_VALUE""")," Jongsuksuntigul et al.")</f>
        <v> Jongsuksuntigul et al.</v>
      </c>
      <c r="BS58" s="838" t="str">
        <f>IFERROR(__xludf.DUMMYFUNCTION("""COMPUTED_VALUE"""),"Thailand")</f>
        <v>Thailand</v>
      </c>
      <c r="BT58" s="838" t="str">
        <f>IFERROR(__xludf.DUMMYFUNCTION("""COMPUTED_VALUE"""),"Mebendazole")</f>
        <v>Mebendazole</v>
      </c>
      <c r="BU58" s="838"/>
      <c r="BV58" s="838" t="str">
        <f>IFERROR(__xludf.DUMMYFUNCTION("""COMPUTED_VALUE"""),"Single")</f>
        <v>Single</v>
      </c>
      <c r="BW58" s="838" t="str">
        <f>IFERROR(__xludf.DUMMYFUNCTION("""COMPUTED_VALUE"""),"500 mg")</f>
        <v>500 mg</v>
      </c>
      <c r="BX58" s="838">
        <f>IFERROR(__xludf.DUMMYFUNCTION("""COMPUTED_VALUE"""),14.0)</f>
        <v>14</v>
      </c>
      <c r="BY58" s="838" t="str">
        <f>IFERROR(__xludf.DUMMYFUNCTION("""COMPUTED_VALUE"""),"3-80")</f>
        <v>3-80</v>
      </c>
      <c r="BZ58" s="838">
        <f>IFERROR(__xludf.DUMMYFUNCTION("""COMPUTED_VALUE"""),1991.0)</f>
        <v>1991</v>
      </c>
      <c r="CA58" s="838" t="str">
        <f>IFERROR(__xludf.DUMMYFUNCTION("""COMPUTED_VALUE"""),"Male and Female")</f>
        <v>Male and Female</v>
      </c>
      <c r="CB58" s="838"/>
      <c r="CC58" s="838" t="str">
        <f>IFERROR(__xludf.DUMMYFUNCTION("""COMPUTED_VALUE"""),"Yes")</f>
        <v>Yes</v>
      </c>
      <c r="CD58" s="846">
        <f>IFERROR(__xludf.DUMMYFUNCTION("""COMPUTED_VALUE"""),1.0)</f>
        <v>1</v>
      </c>
      <c r="CE58" s="838" t="str">
        <f>IFERROR(__xludf.DUMMYFUNCTION("""COMPUTED_VALUE"""),"Yes")</f>
        <v>Yes</v>
      </c>
      <c r="CF58" s="838" t="str">
        <f>IFERROR(__xludf.DUMMYFUNCTION("""COMPUTED_VALUE"""),"100% (Day 14)")</f>
        <v>100% (Day 14)</v>
      </c>
      <c r="CG58" s="838"/>
      <c r="CH58" s="838"/>
      <c r="CI58" s="838"/>
      <c r="CJ58" s="838"/>
      <c r="CK58" s="838"/>
      <c r="CL58" s="838"/>
      <c r="CM58" s="838" t="str">
        <f>IFERROR(__xludf.DUMMYFUNCTION("""COMPUTED_VALUE"""),"100% (Day 14)")</f>
        <v>100% (Day 14)</v>
      </c>
      <c r="CN58" s="838"/>
      <c r="CO58" s="838"/>
      <c r="CP58" s="838"/>
      <c r="CQ58" s="838"/>
      <c r="CR58" s="838"/>
      <c r="CS58" s="838"/>
      <c r="CT58" s="838" t="str">
        <f>IFERROR(__xludf.DUMMYFUNCTION("""COMPUTED_VALUE"""),"Kato-Katz method")</f>
        <v>Kato-Katz method</v>
      </c>
      <c r="CU58" s="838"/>
      <c r="CV58" s="697" t="str">
        <f>IFERROR(__xludf.DUMMYFUNCTION("""COMPUTED_VALUE"""),"Jongsuksuntigul, p., jeradit, c., pornpattanankul, s.&amp; charanasri, u. (1993). A comparative study on the efficacy of albendazole and mebendazole in the treatment of ascariasis, hookworm infection and trichuriasis. Southeast Asian Journal of Tropical Medic"&amp;"ine and Public Health 24, 724–729.")</f>
        <v>Jongsuksuntigul, p., jeradit, c., pornpattanankul, s.&amp; charanasri, u. (1993). A comparative study on the efficacy of albendazole and mebendazole in the treatment of ascariasis, hookworm infection and trichuriasis. Southeast Asian Journal of Tropical Medicine and Public Health 24, 724–729.</v>
      </c>
    </row>
    <row r="59">
      <c r="A59" s="842" t="str">
        <f>IFERROR(__xludf.DUMMYFUNCTION("""COMPUTED_VALUE"""),"Jongsuksuntigul et al.")</f>
        <v>Jongsuksuntigul et al.</v>
      </c>
      <c r="B59" s="834" t="str">
        <f>IFERROR(__xludf.DUMMYFUNCTION("""COMPUTED_VALUE"""),"Thailand")</f>
        <v>Thailand</v>
      </c>
      <c r="C59" s="834" t="str">
        <f>IFERROR(__xludf.DUMMYFUNCTION("""COMPUTED_VALUE"""),"Mebendazole")</f>
        <v>Mebendazole</v>
      </c>
      <c r="D59" s="834" t="str">
        <f>IFERROR(__xludf.DUMMYFUNCTION("""COMPUTED_VALUE"""),"Single")</f>
        <v>Single</v>
      </c>
      <c r="E59" s="834" t="str">
        <f>IFERROR(__xludf.DUMMYFUNCTION("""COMPUTED_VALUE"""),"300 mg")</f>
        <v>300 mg</v>
      </c>
      <c r="F59" s="834">
        <f>IFERROR(__xludf.DUMMYFUNCTION("""COMPUTED_VALUE"""),39.0)</f>
        <v>39</v>
      </c>
      <c r="G59" s="834" t="str">
        <f>IFERROR(__xludf.DUMMYFUNCTION("""COMPUTED_VALUE"""),"3-80 ")</f>
        <v>3-80 </v>
      </c>
      <c r="H59" s="834" t="str">
        <f>IFERROR(__xludf.DUMMYFUNCTION("""COMPUTED_VALUE"""),"1:1")</f>
        <v>1:1</v>
      </c>
      <c r="I59" s="834">
        <f>IFERROR(__xludf.DUMMYFUNCTION("""COMPUTED_VALUE"""),1991.0)</f>
        <v>1991</v>
      </c>
      <c r="J59" s="834" t="str">
        <f>IFERROR(__xludf.DUMMYFUNCTION("""COMPUTED_VALUE"""),"Had single or multiple infections of hookworm")</f>
        <v>Had single or multiple infections of hookworm</v>
      </c>
      <c r="K59" s="839" t="str">
        <f>IFERROR(__xludf.DUMMYFUNCTION("""COMPUTED_VALUE"""),"randomized comparative")</f>
        <v>randomized comparative</v>
      </c>
      <c r="L59" s="839" t="str">
        <f>IFERROR(__xludf.DUMMYFUNCTION("""COMPUTED_VALUE"""),"Yes")</f>
        <v>Yes</v>
      </c>
      <c r="M59" s="839" t="str">
        <f>IFERROR(__xludf.DUMMYFUNCTION("""COMPUTED_VALUE"""),"Yes")</f>
        <v>Yes</v>
      </c>
      <c r="N59" s="840">
        <f>IFERROR(__xludf.DUMMYFUNCTION("""COMPUTED_VALUE"""),0.0)</f>
        <v>0</v>
      </c>
      <c r="O59" s="840">
        <f>IFERROR(__xludf.DUMMYFUNCTION("""COMPUTED_VALUE"""),0.0)</f>
        <v>0</v>
      </c>
      <c r="P59" s="834"/>
      <c r="Q59" s="834"/>
      <c r="R59" s="834"/>
      <c r="S59" s="834"/>
      <c r="T59" s="834"/>
      <c r="U59" s="834"/>
      <c r="V59" s="834"/>
      <c r="W59" s="840">
        <f>IFERROR(__xludf.DUMMYFUNCTION("""COMPUTED_VALUE"""),0.153)</f>
        <v>0.153</v>
      </c>
      <c r="X59" s="840">
        <f>IFERROR(__xludf.DUMMYFUNCTION("""COMPUTED_VALUE"""),0.153)</f>
        <v>0.153</v>
      </c>
      <c r="Y59" s="834"/>
      <c r="Z59" s="834"/>
      <c r="AA59" s="834"/>
      <c r="AB59" s="834"/>
      <c r="AC59" s="834"/>
      <c r="AD59" s="834"/>
      <c r="AE59" s="834" t="str">
        <f>IFERROR(__xludf.DUMMYFUNCTION("""COMPUTED_VALUE"""),"Both MB and ALB are safe and no side effects were observed. Albendazoleis the preferred benzimidazole derivative for hookworm. ")</f>
        <v>Both MB and ALB are safe and no side effects were observed. Albendazoleis the preferred benzimidazole derivative for hookworm. </v>
      </c>
      <c r="AF59" s="834" t="str">
        <f>IFERROR(__xludf.DUMMYFUNCTION("""COMPUTED_VALUE"""),"Kato-Katz technique")</f>
        <v>Kato-Katz technique</v>
      </c>
      <c r="AG59" s="834" t="str">
        <f>IFERROR(__xludf.DUMMYFUNCTION("""COMPUTED_VALUE"""),"Jongsuksuntigul, P., Jeradit, C., Pornpattanakul, S., and Charanasri, U. “A comparative study on the efficacy of Albendazoleand Mebendazolein the treatment of ascariasis, hookworm infection and trichuriasis.” The Southest Asian Journey of Tropical Medicin"&amp;"e and Public Health 24(4) (1994) 724-9. Web.")</f>
        <v>Jongsuksuntigul, P., Jeradit, C., Pornpattanakul, S., and Charanasri, U. “A comparative study on the efficacy of Albendazoleand Mebendazolein the treatment of ascariasis, hookworm infection and trichuriasis.” The Southest Asian Journey of Tropical Medicine and Public Health 24(4) (1994) 724-9. Web.</v>
      </c>
      <c r="AH59" s="834"/>
      <c r="AJ59" s="843" t="str">
        <f>IFERROR(__xludf.DUMMYFUNCTION("""COMPUTED_VALUE"""),"Levecke et al")</f>
        <v>Levecke et al</v>
      </c>
      <c r="AK59" s="836"/>
      <c r="AL59" s="836" t="str">
        <f>IFERROR(__xludf.DUMMYFUNCTION("""COMPUTED_VALUE"""),"Viet Nam")</f>
        <v>Viet Nam</v>
      </c>
      <c r="AM59" s="836" t="str">
        <f>IFERROR(__xludf.DUMMYFUNCTION("""COMPUTED_VALUE"""),"Mebendazole")</f>
        <v>Mebendazole</v>
      </c>
      <c r="AN59" s="836" t="str">
        <f>IFERROR(__xludf.DUMMYFUNCTION("""COMPUTED_VALUE"""),"Single")</f>
        <v>Single</v>
      </c>
      <c r="AO59" s="836" t="str">
        <f>IFERROR(__xludf.DUMMYFUNCTION("""COMPUTED_VALUE"""),"500 mg")</f>
        <v>500 mg</v>
      </c>
      <c r="AP59" s="836">
        <f>IFERROR(__xludf.DUMMYFUNCTION("""COMPUTED_VALUE"""),69.0)</f>
        <v>69</v>
      </c>
      <c r="AQ59" s="836">
        <f>IFERROR(__xludf.DUMMYFUNCTION("""COMPUTED_VALUE"""),8.3)</f>
        <v>8.3</v>
      </c>
      <c r="AR59" s="836">
        <f>IFERROR(__xludf.DUMMYFUNCTION("""COMPUTED_VALUE"""),0.97)</f>
        <v>0.97</v>
      </c>
      <c r="AS59" s="836">
        <f>IFERROR(__xludf.DUMMYFUNCTION("""COMPUTED_VALUE"""),2012.0)</f>
        <v>2012</v>
      </c>
      <c r="AT59" s="836"/>
      <c r="AU59" s="836" t="str">
        <f>IFERROR(__xludf.DUMMYFUNCTION("""COMPUTED_VALUE"""),"No")</f>
        <v>No</v>
      </c>
      <c r="AV59" s="836" t="str">
        <f>IFERROR(__xludf.DUMMYFUNCTION("""COMPUTED_VALUE"""),"No")</f>
        <v>No</v>
      </c>
      <c r="AW59" s="836" t="str">
        <f>IFERROR(__xludf.DUMMYFUNCTION("""COMPUTED_VALUE"""),"multi-center study")</f>
        <v>multi-center study</v>
      </c>
      <c r="AX59" s="836"/>
      <c r="AY59" s="836"/>
      <c r="AZ59" s="836"/>
      <c r="BA59" s="836"/>
      <c r="BB59" s="836"/>
      <c r="BC59" s="836"/>
      <c r="BD59" s="836"/>
      <c r="BE59" s="836"/>
      <c r="BF59" s="836"/>
      <c r="BG59" s="836"/>
      <c r="BH59" s="841">
        <f>IFERROR(__xludf.DUMMYFUNCTION("""COMPUTED_VALUE"""),0.768)</f>
        <v>0.768</v>
      </c>
      <c r="BI59" s="836"/>
      <c r="BJ59" s="836"/>
      <c r="BK59" s="836"/>
      <c r="BL59" s="836"/>
      <c r="BM59" s="836"/>
      <c r="BN59" s="836"/>
      <c r="BO59" s="836"/>
      <c r="BP59" s="836" t="str">
        <f>IFERROR(__xludf.DUMMYFUNCTION("""COMPUTED_VALUE"""),"x")</f>
        <v>x</v>
      </c>
      <c r="BQ59" s="697">
        <f>IFERROR(__xludf.DUMMYFUNCTION("""COMPUTED_VALUE"""),58.0)</f>
        <v>58</v>
      </c>
      <c r="BR59" s="844" t="str">
        <f>IFERROR(__xludf.DUMMYFUNCTION("""COMPUTED_VALUE""")," Jongsuksuntigul et al.")</f>
        <v> Jongsuksuntigul et al.</v>
      </c>
      <c r="BS59" s="838" t="str">
        <f>IFERROR(__xludf.DUMMYFUNCTION("""COMPUTED_VALUE"""),"Thailand")</f>
        <v>Thailand</v>
      </c>
      <c r="BT59" s="838" t="str">
        <f>IFERROR(__xludf.DUMMYFUNCTION("""COMPUTED_VALUE"""),"Albendazole")</f>
        <v>Albendazole</v>
      </c>
      <c r="BU59" s="838"/>
      <c r="BV59" s="838" t="str">
        <f>IFERROR(__xludf.DUMMYFUNCTION("""COMPUTED_VALUE"""),"Single")</f>
        <v>Single</v>
      </c>
      <c r="BW59" s="838" t="str">
        <f>IFERROR(__xludf.DUMMYFUNCTION("""COMPUTED_VALUE"""),"400 mg")</f>
        <v>400 mg</v>
      </c>
      <c r="BX59" s="838">
        <f>IFERROR(__xludf.DUMMYFUNCTION("""COMPUTED_VALUE"""),13.0)</f>
        <v>13</v>
      </c>
      <c r="BY59" s="838" t="str">
        <f>IFERROR(__xludf.DUMMYFUNCTION("""COMPUTED_VALUE"""),"3-80")</f>
        <v>3-80</v>
      </c>
      <c r="BZ59" s="838">
        <f>IFERROR(__xludf.DUMMYFUNCTION("""COMPUTED_VALUE"""),1991.0)</f>
        <v>1991</v>
      </c>
      <c r="CA59" s="838" t="str">
        <f>IFERROR(__xludf.DUMMYFUNCTION("""COMPUTED_VALUE"""),"Male and Female")</f>
        <v>Male and Female</v>
      </c>
      <c r="CB59" s="838"/>
      <c r="CC59" s="838" t="str">
        <f>IFERROR(__xludf.DUMMYFUNCTION("""COMPUTED_VALUE"""),"Yes")</f>
        <v>Yes</v>
      </c>
      <c r="CD59" s="846">
        <f>IFERROR(__xludf.DUMMYFUNCTION("""COMPUTED_VALUE"""),1.0)</f>
        <v>1</v>
      </c>
      <c r="CE59" s="838" t="str">
        <f>IFERROR(__xludf.DUMMYFUNCTION("""COMPUTED_VALUE"""),"Yes")</f>
        <v>Yes</v>
      </c>
      <c r="CF59" s="838" t="str">
        <f>IFERROR(__xludf.DUMMYFUNCTION("""COMPUTED_VALUE"""),"100% (Day 14)")</f>
        <v>100% (Day 14)</v>
      </c>
      <c r="CG59" s="838"/>
      <c r="CH59" s="838"/>
      <c r="CI59" s="838"/>
      <c r="CJ59" s="838"/>
      <c r="CK59" s="838"/>
      <c r="CL59" s="838"/>
      <c r="CM59" s="838" t="str">
        <f>IFERROR(__xludf.DUMMYFUNCTION("""COMPUTED_VALUE"""),"100% (Day 14)")</f>
        <v>100% (Day 14)</v>
      </c>
      <c r="CN59" s="838"/>
      <c r="CO59" s="838"/>
      <c r="CP59" s="838"/>
      <c r="CQ59" s="838"/>
      <c r="CR59" s="838"/>
      <c r="CS59" s="838"/>
      <c r="CT59" s="838" t="str">
        <f>IFERROR(__xludf.DUMMYFUNCTION("""COMPUTED_VALUE"""),"Kato-Katz method")</f>
        <v>Kato-Katz method</v>
      </c>
      <c r="CU59" s="838"/>
      <c r="CV59" s="697" t="str">
        <f>IFERROR(__xludf.DUMMYFUNCTION("""COMPUTED_VALUE"""),"Jongsuksuntigul, p., jeradit, c., pornpattanankul, s.&amp; charanasri, u. (1993). A comparative study on the efficacy of albendazole and mebendazole in the treatment of ascariasis, hookworm infection and trichuriasis. Southeast Asian Journal of Tropical Medic"&amp;"ine and Public Health 24, 724–729.")</f>
        <v>Jongsuksuntigul, p., jeradit, c., pornpattanankul, s.&amp; charanasri, u. (1993). A comparative study on the efficacy of albendazole and mebendazole in the treatment of ascariasis, hookworm infection and trichuriasis. Southeast Asian Journal of Tropical Medicine and Public Health 24, 724–729.</v>
      </c>
    </row>
    <row r="60">
      <c r="A60" s="842" t="str">
        <f>IFERROR(__xludf.DUMMYFUNCTION("""COMPUTED_VALUE"""),"Jongsuksuntigul et al.")</f>
        <v>Jongsuksuntigul et al.</v>
      </c>
      <c r="B60" s="834" t="str">
        <f>IFERROR(__xludf.DUMMYFUNCTION("""COMPUTED_VALUE"""),"Thailand")</f>
        <v>Thailand</v>
      </c>
      <c r="C60" s="834" t="str">
        <f>IFERROR(__xludf.DUMMYFUNCTION("""COMPUTED_VALUE"""),"Mebendazole")</f>
        <v>Mebendazole</v>
      </c>
      <c r="D60" s="834" t="str">
        <f>IFERROR(__xludf.DUMMYFUNCTION("""COMPUTED_VALUE"""),"Single")</f>
        <v>Single</v>
      </c>
      <c r="E60" s="834" t="str">
        <f>IFERROR(__xludf.DUMMYFUNCTION("""COMPUTED_VALUE"""),"300 mg")</f>
        <v>300 mg</v>
      </c>
      <c r="F60" s="834">
        <f>IFERROR(__xludf.DUMMYFUNCTION("""COMPUTED_VALUE"""),44.0)</f>
        <v>44</v>
      </c>
      <c r="G60" s="834" t="str">
        <f>IFERROR(__xludf.DUMMYFUNCTION("""COMPUTED_VALUE"""),"3-80 ")</f>
        <v>3-80 </v>
      </c>
      <c r="H60" s="834" t="str">
        <f>IFERROR(__xludf.DUMMYFUNCTION("""COMPUTED_VALUE"""),"1:1")</f>
        <v>1:1</v>
      </c>
      <c r="I60" s="834">
        <f>IFERROR(__xludf.DUMMYFUNCTION("""COMPUTED_VALUE"""),1991.0)</f>
        <v>1991</v>
      </c>
      <c r="J60" s="834" t="str">
        <f>IFERROR(__xludf.DUMMYFUNCTION("""COMPUTED_VALUE"""),"Had single or multiple infections of hookworm")</f>
        <v>Had single or multiple infections of hookworm</v>
      </c>
      <c r="K60" s="839" t="str">
        <f>IFERROR(__xludf.DUMMYFUNCTION("""COMPUTED_VALUE"""),"randomized comparative")</f>
        <v>randomized comparative</v>
      </c>
      <c r="L60" s="839" t="str">
        <f>IFERROR(__xludf.DUMMYFUNCTION("""COMPUTED_VALUE"""),"Yes")</f>
        <v>Yes</v>
      </c>
      <c r="M60" s="839" t="str">
        <f>IFERROR(__xludf.DUMMYFUNCTION("""COMPUTED_VALUE"""),"Yes")</f>
        <v>Yes</v>
      </c>
      <c r="N60" s="840">
        <f>IFERROR(__xludf.DUMMYFUNCTION("""COMPUTED_VALUE"""),0.091)</f>
        <v>0.091</v>
      </c>
      <c r="O60" s="840">
        <f>IFERROR(__xludf.DUMMYFUNCTION("""COMPUTED_VALUE"""),0.091)</f>
        <v>0.091</v>
      </c>
      <c r="P60" s="834"/>
      <c r="Q60" s="834"/>
      <c r="R60" s="834"/>
      <c r="S60" s="834"/>
      <c r="T60" s="834"/>
      <c r="U60" s="834"/>
      <c r="V60" s="834"/>
      <c r="W60" s="840">
        <f>IFERROR(__xludf.DUMMYFUNCTION("""COMPUTED_VALUE"""),0.72)</f>
        <v>0.72</v>
      </c>
      <c r="X60" s="840">
        <f>IFERROR(__xludf.DUMMYFUNCTION("""COMPUTED_VALUE"""),0.72)</f>
        <v>0.72</v>
      </c>
      <c r="Y60" s="834"/>
      <c r="Z60" s="834"/>
      <c r="AA60" s="834"/>
      <c r="AB60" s="834"/>
      <c r="AC60" s="834"/>
      <c r="AD60" s="834"/>
      <c r="AE60" s="834" t="str">
        <f>IFERROR(__xludf.DUMMYFUNCTION("""COMPUTED_VALUE"""),"Both MB and ALB are safe and no side effects were observed. Albendazoleis the preferred benzimidazole derivative for hookworm. ")</f>
        <v>Both MB and ALB are safe and no side effects were observed. Albendazoleis the preferred benzimidazole derivative for hookworm. </v>
      </c>
      <c r="AF60" s="834" t="str">
        <f>IFERROR(__xludf.DUMMYFUNCTION("""COMPUTED_VALUE"""),"Kato-Katz technique")</f>
        <v>Kato-Katz technique</v>
      </c>
      <c r="AG60" s="834" t="str">
        <f>IFERROR(__xludf.DUMMYFUNCTION("""COMPUTED_VALUE"""),"Jongsuksuntigul, P., Jeradit, C., Pornpattanakul, S., and Charanasri, U. “A comparative study on the efficacy of Albendazoleand Mebendazolein the treatment of ascariasis, hookworm infection and trichuriasis.” The Southest Asian Journey of Tropical Medicin"&amp;"e and Public Health 24(4) (1994) 724-9. Web.")</f>
        <v>Jongsuksuntigul, P., Jeradit, C., Pornpattanakul, S., and Charanasri, U. “A comparative study on the efficacy of Albendazoleand Mebendazolein the treatment of ascariasis, hookworm infection and trichuriasis.” The Southest Asian Journey of Tropical Medicine and Public Health 24(4) (1994) 724-9. Web.</v>
      </c>
      <c r="AH60" s="834"/>
      <c r="AJ60" s="843" t="str">
        <f>IFERROR(__xludf.DUMMYFUNCTION("""COMPUTED_VALUE"""),"Heukelbach et al.")</f>
        <v>Heukelbach et al.</v>
      </c>
      <c r="AK60" s="836" t="str">
        <f>IFERROR(__xludf.DUMMYFUNCTION("""COMPUTED_VALUE"""),"Heukelbach, Jurg, Thomas Wilcke, Benedikt Winter, Fabiola Araujo Sales De Oliveira, Romulo Cesar Sabola Moura, Gundel Harms, Oliver Liesenfeld, and Hermann Feldmier. ""Efficacy of Ivermectinin a Patient Population Concomitantly Infected with Intestinal He"&amp;"lminths and Ectoparasites."" Arzneimittelforschung 54.7 (2004): 416-21. Web.")</f>
        <v>Heukelbach, Jurg, Thomas Wilcke, Benedikt Winter, Fabiola Araujo Sales De Oliveira, Romulo Cesar Sabola Moura, Gundel Harms, Oliver Liesenfeld, and Hermann Feldmier. "Efficacy of Ivermectinin a Patient Population Concomitantly Infected with Intestinal Helminths and Ectoparasites." Arzneimittelforschung 54.7 (2004): 416-21. Web.</v>
      </c>
      <c r="AL60" s="836" t="str">
        <f>IFERROR(__xludf.DUMMYFUNCTION("""COMPUTED_VALUE"""),"Brazil")</f>
        <v>Brazil</v>
      </c>
      <c r="AM60" s="836" t="str">
        <f>IFERROR(__xludf.DUMMYFUNCTION("""COMPUTED_VALUE"""),"Ivermectin")</f>
        <v>Ivermectin</v>
      </c>
      <c r="AN60" s="836" t="str">
        <f>IFERROR(__xludf.DUMMYFUNCTION("""COMPUTED_VALUE"""),"Two")</f>
        <v>Two</v>
      </c>
      <c r="AO60" s="836" t="str">
        <f>IFERROR(__xludf.DUMMYFUNCTION("""COMPUTED_VALUE"""),"200 mg")</f>
        <v>200 mg</v>
      </c>
      <c r="AP60" s="836">
        <f>IFERROR(__xludf.DUMMYFUNCTION("""COMPUTED_VALUE"""),63.0)</f>
        <v>63</v>
      </c>
      <c r="AQ60" s="836" t="str">
        <f>IFERROR(__xludf.DUMMYFUNCTION("""COMPUTED_VALUE"""),"5-69 years average:25.3")</f>
        <v>5-69 years average:25.3</v>
      </c>
      <c r="AR60" s="836" t="str">
        <f>IFERROR(__xludf.DUMMYFUNCTION("""COMPUTED_VALUE"""),"Male:25 Female:38")</f>
        <v>Male:25 Female:38</v>
      </c>
      <c r="AS60" s="836">
        <f>IFERROR(__xludf.DUMMYFUNCTION("""COMPUTED_VALUE"""),2004.0)</f>
        <v>2004</v>
      </c>
      <c r="AT60" s="836" t="str">
        <f>IFERROR(__xludf.DUMMYFUNCTION("""COMPUTED_VALUE"""),"All individuals infected with at least one intestinal helminth species or suffering from at least one parasitic skin disease were eligible for the study. Children 5 years old or younger or less than 15 kg body weight, pregnant, or breastfeeding women and "&amp;"individuals with known renal or hepatic disease were excluded.")</f>
        <v>All individuals infected with at least one intestinal helminth species or suffering from at least one parasitic skin disease were eligible for the study. Children 5 years old or younger or less than 15 kg body weight, pregnant, or breastfeeding women and individuals with known renal or hepatic disease were excluded.</v>
      </c>
      <c r="AU60" s="836" t="str">
        <f>IFERROR(__xludf.DUMMYFUNCTION("""COMPUTED_VALUE"""),"No")</f>
        <v>No</v>
      </c>
      <c r="AV60" s="836" t="str">
        <f>IFERROR(__xludf.DUMMYFUNCTION("""COMPUTED_VALUE"""),"No")</f>
        <v>No</v>
      </c>
      <c r="AW60" s="836" t="str">
        <f>IFERROR(__xludf.DUMMYFUNCTION("""COMPUTED_VALUE"""),"open trial")</f>
        <v>open trial</v>
      </c>
      <c r="AX60" s="841">
        <f>IFERROR(__xludf.DUMMYFUNCTION("""COMPUTED_VALUE"""),0.841)</f>
        <v>0.841</v>
      </c>
      <c r="AY60" s="836"/>
      <c r="AZ60" s="836"/>
      <c r="BA60" s="836"/>
      <c r="BB60" s="836"/>
      <c r="BC60" s="841">
        <f>IFERROR(__xludf.DUMMYFUNCTION("""COMPUTED_VALUE"""),0.841)</f>
        <v>0.841</v>
      </c>
      <c r="BD60" s="836"/>
      <c r="BE60" s="836"/>
      <c r="BF60" s="836"/>
      <c r="BG60" s="836"/>
      <c r="BH60" s="836"/>
      <c r="BI60" s="836"/>
      <c r="BJ60" s="836"/>
      <c r="BK60" s="836"/>
      <c r="BL60" s="836"/>
      <c r="BM60" s="836"/>
      <c r="BN60" s="836"/>
      <c r="BO60" s="836" t="str">
        <f>IFERROR(__xludf.DUMMYFUNCTION("""COMPUTED_VALUE"""),"Hoffman and Baermann method")</f>
        <v>Hoffman and Baermann method</v>
      </c>
      <c r="BP60" s="836" t="str">
        <f>IFERROR(__xludf.DUMMYFUNCTION("""COMPUTED_VALUE"""),"x")</f>
        <v>x</v>
      </c>
      <c r="BQ60" s="697">
        <f>IFERROR(__xludf.DUMMYFUNCTION("""COMPUTED_VALUE"""),59.0)</f>
        <v>59</v>
      </c>
      <c r="BR60" s="844" t="str">
        <f>IFERROR(__xludf.DUMMYFUNCTION("""COMPUTED_VALUE"""),"Oyewole et al.")</f>
        <v>Oyewole et al.</v>
      </c>
      <c r="BS60" s="838" t="str">
        <f>IFERROR(__xludf.DUMMYFUNCTION("""COMPUTED_VALUE"""),"Nigeria")</f>
        <v>Nigeria</v>
      </c>
      <c r="BT60" s="838" t="str">
        <f>IFERROR(__xludf.DUMMYFUNCTION("""COMPUTED_VALUE"""),"Albendazole")</f>
        <v>Albendazole</v>
      </c>
      <c r="BU60" s="838"/>
      <c r="BV60" s="838" t="str">
        <f>IFERROR(__xludf.DUMMYFUNCTION("""COMPUTED_VALUE"""),"Single")</f>
        <v>Single</v>
      </c>
      <c r="BW60" s="838" t="str">
        <f>IFERROR(__xludf.DUMMYFUNCTION("""COMPUTED_VALUE"""),"200 mg")</f>
        <v>200 mg</v>
      </c>
      <c r="BX60" s="838" t="str">
        <f>IFERROR(__xludf.DUMMYFUNCTION("""COMPUTED_VALUE"""),"903 (randomly selected)")</f>
        <v>903 (randomly selected)</v>
      </c>
      <c r="BY60" s="845">
        <f>IFERROR(__xludf.DUMMYFUNCTION("""COMPUTED_VALUE"""),42476.0)</f>
        <v>42476</v>
      </c>
      <c r="BZ60" s="838"/>
      <c r="CA60" s="838"/>
      <c r="CB60" s="838"/>
      <c r="CC60" s="838" t="str">
        <f>IFERROR(__xludf.DUMMYFUNCTION("""COMPUTED_VALUE"""),"No")</f>
        <v>No</v>
      </c>
      <c r="CD60" s="838"/>
      <c r="CE60" s="838" t="str">
        <f>IFERROR(__xludf.DUMMYFUNCTION("""COMPUTED_VALUE"""),"No")</f>
        <v>No</v>
      </c>
      <c r="CF60" s="838"/>
      <c r="CG60" s="838"/>
      <c r="CH60" s="838"/>
      <c r="CI60" s="838"/>
      <c r="CJ60" s="838"/>
      <c r="CK60" s="838"/>
      <c r="CL60" s="838"/>
      <c r="CM60" s="838" t="str">
        <f>IFERROR(__xludf.DUMMYFUNCTION("""COMPUTED_VALUE"""),"95.6% (2 weeks)")</f>
        <v>95.6% (2 weeks)</v>
      </c>
      <c r="CN60" s="838"/>
      <c r="CO60" s="838"/>
      <c r="CP60" s="838"/>
      <c r="CQ60" s="838"/>
      <c r="CR60" s="838"/>
      <c r="CS60" s="838"/>
      <c r="CT60" s="838" t="str">
        <f>IFERROR(__xludf.DUMMYFUNCTION("""COMPUTED_VALUE"""),"Kato-Katz Method")</f>
        <v>Kato-Katz Method</v>
      </c>
      <c r="CU60" s="838"/>
      <c r="CV60" s="697" t="str">
        <f>IFERROR(__xludf.DUMMYFUNCTION("""COMPUTED_VALUE"""),"Oyewole, F; Ariyo, F; Oyibo, WA; Sanyaolu, A; Faweya, T; Monye, P; Ukpong, M; Soremekun, B; Okoro, C; Fagbenro-Beyioku, AF; Olufunlayo, TF. Helminthic reduction with albendazole among school children in
riverine communities of Nigeria ")</f>
        <v>Oyewole, F; Ariyo, F; Oyibo, WA; Sanyaolu, A; Faweya, T; Monye, P; Ukpong, M; Soremekun, B; Okoro, C; Fagbenro-Beyioku, AF; Olufunlayo, TF. Helminthic reduction with albendazole among school children in
riverine communities of Nigeria </v>
      </c>
    </row>
    <row r="61">
      <c r="A61" s="842" t="str">
        <f>IFERROR(__xludf.DUMMYFUNCTION("""COMPUTED_VALUE"""),"Jongsuksuntigul et al.")</f>
        <v>Jongsuksuntigul et al.</v>
      </c>
      <c r="B61" s="834" t="str">
        <f>IFERROR(__xludf.DUMMYFUNCTION("""COMPUTED_VALUE"""),"Thailand")</f>
        <v>Thailand</v>
      </c>
      <c r="C61" s="834" t="str">
        <f>IFERROR(__xludf.DUMMYFUNCTION("""COMPUTED_VALUE"""),"Mebendazole")</f>
        <v>Mebendazole</v>
      </c>
      <c r="D61" s="834" t="str">
        <f>IFERROR(__xludf.DUMMYFUNCTION("""COMPUTED_VALUE"""),"Single")</f>
        <v>Single</v>
      </c>
      <c r="E61" s="834" t="str">
        <f>IFERROR(__xludf.DUMMYFUNCTION("""COMPUTED_VALUE"""),"500 mg")</f>
        <v>500 mg</v>
      </c>
      <c r="F61" s="834">
        <f>IFERROR(__xludf.DUMMYFUNCTION("""COMPUTED_VALUE"""),53.0)</f>
        <v>53</v>
      </c>
      <c r="G61" s="834" t="str">
        <f>IFERROR(__xludf.DUMMYFUNCTION("""COMPUTED_VALUE"""),"3-80 ")</f>
        <v>3-80 </v>
      </c>
      <c r="H61" s="834" t="str">
        <f>IFERROR(__xludf.DUMMYFUNCTION("""COMPUTED_VALUE"""),"1:1")</f>
        <v>1:1</v>
      </c>
      <c r="I61" s="834">
        <f>IFERROR(__xludf.DUMMYFUNCTION("""COMPUTED_VALUE"""),1991.0)</f>
        <v>1991</v>
      </c>
      <c r="J61" s="834" t="str">
        <f>IFERROR(__xludf.DUMMYFUNCTION("""COMPUTED_VALUE"""),"Had single or multiple infections of hookworm")</f>
        <v>Had single or multiple infections of hookworm</v>
      </c>
      <c r="K61" s="839" t="str">
        <f>IFERROR(__xludf.DUMMYFUNCTION("""COMPUTED_VALUE"""),"randomized comparative")</f>
        <v>randomized comparative</v>
      </c>
      <c r="L61" s="839" t="str">
        <f>IFERROR(__xludf.DUMMYFUNCTION("""COMPUTED_VALUE"""),"Yes")</f>
        <v>Yes</v>
      </c>
      <c r="M61" s="839" t="str">
        <f>IFERROR(__xludf.DUMMYFUNCTION("""COMPUTED_VALUE"""),"Yes")</f>
        <v>Yes</v>
      </c>
      <c r="N61" s="840">
        <f>IFERROR(__xludf.DUMMYFUNCTION("""COMPUTED_VALUE"""),0.302)</f>
        <v>0.302</v>
      </c>
      <c r="O61" s="840">
        <f>IFERROR(__xludf.DUMMYFUNCTION("""COMPUTED_VALUE"""),0.302)</f>
        <v>0.302</v>
      </c>
      <c r="P61" s="834"/>
      <c r="Q61" s="834"/>
      <c r="R61" s="834"/>
      <c r="S61" s="834"/>
      <c r="T61" s="834"/>
      <c r="U61" s="834"/>
      <c r="V61" s="834"/>
      <c r="W61" s="840">
        <f>IFERROR(__xludf.DUMMYFUNCTION("""COMPUTED_VALUE"""),0.704)</f>
        <v>0.704</v>
      </c>
      <c r="X61" s="840">
        <f>IFERROR(__xludf.DUMMYFUNCTION("""COMPUTED_VALUE"""),0.704)</f>
        <v>0.704</v>
      </c>
      <c r="Y61" s="834"/>
      <c r="Z61" s="834"/>
      <c r="AA61" s="834"/>
      <c r="AB61" s="834"/>
      <c r="AC61" s="834"/>
      <c r="AD61" s="834"/>
      <c r="AE61" s="834" t="str">
        <f>IFERROR(__xludf.DUMMYFUNCTION("""COMPUTED_VALUE"""),"Both MB and ALB are safe and no side effects were observed. Albendazoleis the preferred benzimidazole derivative for hookworm. ")</f>
        <v>Both MB and ALB are safe and no side effects were observed. Albendazoleis the preferred benzimidazole derivative for hookworm. </v>
      </c>
      <c r="AF61" s="834" t="str">
        <f>IFERROR(__xludf.DUMMYFUNCTION("""COMPUTED_VALUE"""),"Kato-Katz technique")</f>
        <v>Kato-Katz technique</v>
      </c>
      <c r="AG61" s="834" t="str">
        <f>IFERROR(__xludf.DUMMYFUNCTION("""COMPUTED_VALUE"""),"Jongsuksuntigul, P., Jeradit, C., Pornpattanakul, S., and Charanasri, U. “A comparative study on the efficacy of Albendazoleand Mebendazolein the treatment of ascariasis, hookworm infection and trichuriasis.” The Southest Asian Journey of Tropical Medicin"&amp;"e and Public Health 24(4) (1994) 724-9. Web.")</f>
        <v>Jongsuksuntigul, P., Jeradit, C., Pornpattanakul, S., and Charanasri, U. “A comparative study on the efficacy of Albendazoleand Mebendazolein the treatment of ascariasis, hookworm infection and trichuriasis.” The Southest Asian Journey of Tropical Medicine and Public Health 24(4) (1994) 724-9. Web.</v>
      </c>
      <c r="AH61" s="834"/>
      <c r="AJ61" s="843" t="str">
        <f>IFERROR(__xludf.DUMMYFUNCTION("""COMPUTED_VALUE"""),"Kurup et al.")</f>
        <v>Kurup et al.</v>
      </c>
      <c r="AK61" s="836" t="str">
        <f>IFERROR(__xludf.DUMMYFUNCTION("""COMPUTED_VALUE"""),"Kurup, Rajini, and Gurdip S. Hunjan. ""Epidemiology and Control of Schistosomiasis and Other Intestinal Parasitic Infections among School Children in Three Rural Villages of South Saint Lucia."" J Vector Borne Dis 47 (2010): 228-34. Web.")</f>
        <v>Kurup, Rajini, and Gurdip S. Hunjan. "Epidemiology and Control of Schistosomiasis and Other Intestinal Parasitic Infections among School Children in Three Rural Villages of South Saint Lucia." J Vector Borne Dis 47 (2010): 228-34. Web.</v>
      </c>
      <c r="AL61" s="836" t="str">
        <f>IFERROR(__xludf.DUMMYFUNCTION("""COMPUTED_VALUE"""),"Saint Lucia")</f>
        <v>Saint Lucia</v>
      </c>
      <c r="AM61" s="836" t="str">
        <f>IFERROR(__xludf.DUMMYFUNCTION("""COMPUTED_VALUE"""),"Albendazole")</f>
        <v>Albendazole</v>
      </c>
      <c r="AN61" s="836" t="str">
        <f>IFERROR(__xludf.DUMMYFUNCTION("""COMPUTED_VALUE"""),"Single")</f>
        <v>Single</v>
      </c>
      <c r="AO61" s="836" t="str">
        <f>IFERROR(__xludf.DUMMYFUNCTION("""COMPUTED_VALUE"""),"400 mg")</f>
        <v>400 mg</v>
      </c>
      <c r="AP61" s="836">
        <f>IFERROR(__xludf.DUMMYFUNCTION("""COMPUTED_VALUE"""),29.0)</f>
        <v>29</v>
      </c>
      <c r="AQ61" s="836" t="str">
        <f>IFERROR(__xludf.DUMMYFUNCTION("""COMPUTED_VALUE"""),"5- 14 years old")</f>
        <v>5- 14 years old</v>
      </c>
      <c r="AR61" s="836" t="str">
        <f>IFERROR(__xludf.DUMMYFUNCTION("""COMPUTED_VALUE"""),"Male:9 Female:20")</f>
        <v>Male:9 Female:20</v>
      </c>
      <c r="AS61" s="836">
        <f>IFERROR(__xludf.DUMMYFUNCTION("""COMPUTED_VALUE"""),2010.0)</f>
        <v>2010</v>
      </c>
      <c r="AT61" s="836"/>
      <c r="AU61" s="836" t="str">
        <f>IFERROR(__xludf.DUMMYFUNCTION("""COMPUTED_VALUE"""),"No")</f>
        <v>No</v>
      </c>
      <c r="AV61" s="836" t="str">
        <f>IFERROR(__xludf.DUMMYFUNCTION("""COMPUTED_VALUE"""),"No")</f>
        <v>No</v>
      </c>
      <c r="AW61" s="836" t="str">
        <f>IFERROR(__xludf.DUMMYFUNCTION("""COMPUTED_VALUE"""),"trial, no control")</f>
        <v>trial, no control</v>
      </c>
      <c r="AX61" s="836"/>
      <c r="AY61" s="836"/>
      <c r="AZ61" s="836"/>
      <c r="BA61" s="836"/>
      <c r="BB61" s="836"/>
      <c r="BC61" s="836"/>
      <c r="BD61" s="836"/>
      <c r="BE61" s="836"/>
      <c r="BF61" s="841">
        <f>IFERROR(__xludf.DUMMYFUNCTION("""COMPUTED_VALUE"""),0.827)</f>
        <v>0.827</v>
      </c>
      <c r="BG61" s="836"/>
      <c r="BH61" s="841">
        <f>IFERROR(__xludf.DUMMYFUNCTION("""COMPUTED_VALUE"""),0.84)</f>
        <v>0.84</v>
      </c>
      <c r="BI61" s="836"/>
      <c r="BJ61" s="836"/>
      <c r="BK61" s="836"/>
      <c r="BL61" s="836"/>
      <c r="BM61" s="836"/>
      <c r="BN61" s="836"/>
      <c r="BO61" s="836" t="str">
        <f>IFERROR(__xludf.DUMMYFUNCTION("""COMPUTED_VALUE"""),"Kato-Katz Method and Parasep concentration")</f>
        <v>Kato-Katz Method and Parasep concentration</v>
      </c>
      <c r="BP61" s="836" t="str">
        <f>IFERROR(__xludf.DUMMYFUNCTION("""COMPUTED_VALUE"""),"x")</f>
        <v>x</v>
      </c>
      <c r="BQ61" s="697">
        <f>IFERROR(__xludf.DUMMYFUNCTION("""COMPUTED_VALUE"""),60.0)</f>
        <v>60</v>
      </c>
      <c r="BR61" s="844" t="str">
        <f>IFERROR(__xludf.DUMMYFUNCTION("""COMPUTED_VALUE"""),"Roccignol et al.")</f>
        <v>Roccignol et al.</v>
      </c>
      <c r="BS61" s="838" t="str">
        <f>IFERROR(__xludf.DUMMYFUNCTION("""COMPUTED_VALUE"""),"Multi-centre: France, Morocco, Mali, Sengal, Nigeria, Central African Republic, Kenya, Brazil, Peru, Mexico, Phillipines")</f>
        <v>Multi-centre: France, Morocco, Mali, Sengal, Nigeria, Central African Republic, Kenya, Brazil, Peru, Mexico, Phillipines</v>
      </c>
      <c r="BT61" s="838" t="str">
        <f>IFERROR(__xludf.DUMMYFUNCTION("""COMPUTED_VALUE"""),"Albendazole")</f>
        <v>Albendazole</v>
      </c>
      <c r="BU61" s="838"/>
      <c r="BV61" s="838" t="str">
        <f>IFERROR(__xludf.DUMMYFUNCTION("""COMPUTED_VALUE"""),"Single")</f>
        <v>Single</v>
      </c>
      <c r="BW61" s="838" t="str">
        <f>IFERROR(__xludf.DUMMYFUNCTION("""COMPUTED_VALUE"""),"400 mg")</f>
        <v>400 mg</v>
      </c>
      <c r="BX61" s="838">
        <f>IFERROR(__xludf.DUMMYFUNCTION("""COMPUTED_VALUE"""),58.0)</f>
        <v>58</v>
      </c>
      <c r="BY61" s="838" t="str">
        <f>IFERROR(__xludf.DUMMYFUNCTION("""COMPUTED_VALUE"""),"Adults")</f>
        <v>Adults</v>
      </c>
      <c r="BZ61" s="838"/>
      <c r="CA61" s="838" t="str">
        <f>IFERROR(__xludf.DUMMYFUNCTION("""COMPUTED_VALUE"""),"Both Males and Females")</f>
        <v>Both Males and Females</v>
      </c>
      <c r="CB61" s="838"/>
      <c r="CC61" s="838" t="str">
        <f>IFERROR(__xludf.DUMMYFUNCTION("""COMPUTED_VALUE"""),"Yes")</f>
        <v>Yes</v>
      </c>
      <c r="CD61" s="847">
        <f>IFERROR(__xludf.DUMMYFUNCTION("""COMPUTED_VALUE"""),0.965)</f>
        <v>0.965</v>
      </c>
      <c r="CE61" s="838" t="str">
        <f>IFERROR(__xludf.DUMMYFUNCTION("""COMPUTED_VALUE"""),"Yes")</f>
        <v>Yes</v>
      </c>
      <c r="CF61" s="838"/>
      <c r="CG61" s="847">
        <f>IFERROR(__xludf.DUMMYFUNCTION("""COMPUTED_VALUE"""),0.965)</f>
        <v>0.965</v>
      </c>
      <c r="CH61" s="838"/>
      <c r="CI61" s="838"/>
      <c r="CJ61" s="838"/>
      <c r="CK61" s="838"/>
      <c r="CL61" s="838"/>
      <c r="CM61" s="838"/>
      <c r="CN61" s="847">
        <f>IFERROR(__xludf.DUMMYFUNCTION("""COMPUTED_VALUE"""),0.999)</f>
        <v>0.999</v>
      </c>
      <c r="CO61" s="838"/>
      <c r="CP61" s="838"/>
      <c r="CQ61" s="838"/>
      <c r="CR61" s="838"/>
      <c r="CS61" s="838"/>
      <c r="CT61" s="838" t="str">
        <f>IFERROR(__xludf.DUMMYFUNCTION("""COMPUTED_VALUE""")," Cluster randomisation, Kato technique")</f>
        <v> Cluster randomisation, Kato technique</v>
      </c>
      <c r="CU61" s="838" t="str">
        <f>IFERROR(__xludf.DUMMYFUNCTION("""COMPUTED_VALUE""")," ")</f>
        <v> </v>
      </c>
      <c r="CV61" s="697" t="str">
        <f>IFERROR(__xludf.DUMMYFUNCTION("""COMPUTED_VALUE"""),"Rossignol, J. F. ; Maisonneuve, H. (1983). Albendazole:placebo-controlled study in 870 patients withintestinal helminthiasis. Transactions of the RoyalSociety of Tropical Medicine and Hygiene 77, 707–711.")</f>
        <v>Rossignol, J. F. ; Maisonneuve, H. (1983). Albendazole:placebo-controlled study in 870 patients withintestinal helminthiasis. Transactions of the RoyalSociety of Tropical Medicine and Hygiene 77, 707–711.</v>
      </c>
    </row>
    <row r="62">
      <c r="A62" s="842" t="str">
        <f>IFERROR(__xludf.DUMMYFUNCTION("""COMPUTED_VALUE"""),"Jongsuksuntigul et al.")</f>
        <v>Jongsuksuntigul et al.</v>
      </c>
      <c r="B62" s="834" t="str">
        <f>IFERROR(__xludf.DUMMYFUNCTION("""COMPUTED_VALUE"""),"Thailand")</f>
        <v>Thailand</v>
      </c>
      <c r="C62" s="834" t="str">
        <f>IFERROR(__xludf.DUMMYFUNCTION("""COMPUTED_VALUE"""),"Albendazole")</f>
        <v>Albendazole</v>
      </c>
      <c r="D62" s="834" t="str">
        <f>IFERROR(__xludf.DUMMYFUNCTION("""COMPUTED_VALUE"""),"Single")</f>
        <v>Single</v>
      </c>
      <c r="E62" s="834" t="str">
        <f>IFERROR(__xludf.DUMMYFUNCTION("""COMPUTED_VALUE"""),"400 mg")</f>
        <v>400 mg</v>
      </c>
      <c r="F62" s="834">
        <f>IFERROR(__xludf.DUMMYFUNCTION("""COMPUTED_VALUE"""),51.0)</f>
        <v>51</v>
      </c>
      <c r="G62" s="834" t="str">
        <f>IFERROR(__xludf.DUMMYFUNCTION("""COMPUTED_VALUE"""),"3-80 ")</f>
        <v>3-80 </v>
      </c>
      <c r="H62" s="834" t="str">
        <f>IFERROR(__xludf.DUMMYFUNCTION("""COMPUTED_VALUE"""),"1:1")</f>
        <v>1:1</v>
      </c>
      <c r="I62" s="834">
        <f>IFERROR(__xludf.DUMMYFUNCTION("""COMPUTED_VALUE"""),1991.0)</f>
        <v>1991</v>
      </c>
      <c r="J62" s="834" t="str">
        <f>IFERROR(__xludf.DUMMYFUNCTION("""COMPUTED_VALUE"""),"Had single or multiple infections of hookworm")</f>
        <v>Had single or multiple infections of hookworm</v>
      </c>
      <c r="K62" s="839" t="str">
        <f>IFERROR(__xludf.DUMMYFUNCTION("""COMPUTED_VALUE"""),"randomized comparative")</f>
        <v>randomized comparative</v>
      </c>
      <c r="L62" s="839" t="str">
        <f>IFERROR(__xludf.DUMMYFUNCTION("""COMPUTED_VALUE"""),"Yes")</f>
        <v>Yes</v>
      </c>
      <c r="M62" s="839" t="str">
        <f>IFERROR(__xludf.DUMMYFUNCTION("""COMPUTED_VALUE"""),"Yes")</f>
        <v>Yes</v>
      </c>
      <c r="N62" s="840">
        <f>IFERROR(__xludf.DUMMYFUNCTION("""COMPUTED_VALUE"""),0.843)</f>
        <v>0.843</v>
      </c>
      <c r="O62" s="840">
        <f>IFERROR(__xludf.DUMMYFUNCTION("""COMPUTED_VALUE"""),0.843)</f>
        <v>0.843</v>
      </c>
      <c r="P62" s="834"/>
      <c r="Q62" s="834"/>
      <c r="R62" s="834"/>
      <c r="S62" s="834"/>
      <c r="T62" s="834"/>
      <c r="U62" s="834"/>
      <c r="V62" s="834"/>
      <c r="W62" s="840">
        <f>IFERROR(__xludf.DUMMYFUNCTION("""COMPUTED_VALUE"""),0.96)</f>
        <v>0.96</v>
      </c>
      <c r="X62" s="840">
        <f>IFERROR(__xludf.DUMMYFUNCTION("""COMPUTED_VALUE"""),0.96)</f>
        <v>0.96</v>
      </c>
      <c r="Y62" s="834"/>
      <c r="Z62" s="834"/>
      <c r="AA62" s="834"/>
      <c r="AB62" s="834"/>
      <c r="AC62" s="834"/>
      <c r="AD62" s="834"/>
      <c r="AE62" s="834" t="str">
        <f>IFERROR(__xludf.DUMMYFUNCTION("""COMPUTED_VALUE"""),"Both MB and ALB are safe and no side effects were observed. Albendazoleis the preferred benzimidazole derivative for hookworm. ")</f>
        <v>Both MB and ALB are safe and no side effects were observed. Albendazoleis the preferred benzimidazole derivative for hookworm. </v>
      </c>
      <c r="AF62" s="834" t="str">
        <f>IFERROR(__xludf.DUMMYFUNCTION("""COMPUTED_VALUE"""),"Kato-Katz technique")</f>
        <v>Kato-Katz technique</v>
      </c>
      <c r="AG62" s="834" t="str">
        <f>IFERROR(__xludf.DUMMYFUNCTION("""COMPUTED_VALUE"""),"Jongsuksuntigul, P., Jeradit, C., Pornpattanakul, S., and Charanasri, U. “A comparative study on the efficacy of Albendazoleand Mebendazolein the treatment of ascariasis, hookworm infection and trichuriasis.” The Southest Asian Journey of Tropical Medicin"&amp;"e and Public Health 24(4) (1994) 724-9. Web.")</f>
        <v>Jongsuksuntigul, P., Jeradit, C., Pornpattanakul, S., and Charanasri, U. “A comparative study on the efficacy of Albendazoleand Mebendazolein the treatment of ascariasis, hookworm infection and trichuriasis.” The Southest Asian Journey of Tropical Medicine and Public Health 24(4) (1994) 724-9. Web.</v>
      </c>
      <c r="AH62" s="834"/>
      <c r="AJ62" s="843" t="str">
        <f>IFERROR(__xludf.DUMMYFUNCTION("""COMPUTED_VALUE"""),"Vercruysse et al.")</f>
        <v>Vercruysse et al.</v>
      </c>
      <c r="AK62" s="836" t="str">
        <f>IFERROR(__xludf.DUMMYFUNCTION("""COMPUTED_VALUE"""),"Vercruysse, Jozef, Jerzy M. Behnke, Marco Albonico, Shaali Makame Ame, Cecile Angelbault, Jeffrey M. Bethony, Dirk Engels, Bertrand Guillard, Nuyen Thi Viet Hoa, Gagandeep Kang, Deepthi Kattula, Andrew C. Kotze, James S. McCarthy, Zeleke Mekonnen, Antonio"&amp;" Montresor, Maria Victoria Periago, Laurentine Sumo, Louis-Albert Tchuem Tchuente, Dang Thi Cam Thach, Ahmed Zeynudin, and Bruno Levecke. ""Assessment of the Anthelmintic Efficacy of Albendazolein School Children in Seven Countries Where Soil-transmitted "&amp;"Helminths Are Endemic."" PLOS Neglected Tropical Diseases. N.p., n.d. Web. March 2011, Volume 5 Issue 3, Pages 1-10")</f>
        <v>Vercruysse, Jozef, Jerzy M. Behnke, Marco Albonico, Shaali Makame Ame, Cecile Angelbault, Jeffrey M. Bethony, Dirk Engels, Bertrand Guillard, Nuyen Thi Viet Hoa, Gagandeep Kang, Deepthi Kattula, Andrew C. Kotze, James S. McCarthy, Zeleke Mekonnen, Antonio Montresor, Maria Victoria Periago, Laurentine Sumo, Louis-Albert Tchuem Tchuente, Dang Thi Cam Thach, Ahmed Zeynudin, and Bruno Levecke. "Assessment of the Anthelmintic Efficacy of Albendazolein School Children in Seven Countries Where Soil-transmitted Helminths Are Endemic." PLOS Neglected Tropical Diseases. N.p., n.d. Web. March 2011, Volume 5 Issue 3, Pages 1-10</v>
      </c>
      <c r="AL62" s="836" t="str">
        <f>IFERROR(__xludf.DUMMYFUNCTION("""COMPUTED_VALUE"""),"Brazil")</f>
        <v>Brazil</v>
      </c>
      <c r="AM62" s="836" t="str">
        <f>IFERROR(__xludf.DUMMYFUNCTION("""COMPUTED_VALUE"""),"Albendazole")</f>
        <v>Albendazole</v>
      </c>
      <c r="AN62" s="836" t="str">
        <f>IFERROR(__xludf.DUMMYFUNCTION("""COMPUTED_VALUE"""),"Single")</f>
        <v>Single</v>
      </c>
      <c r="AO62" s="836" t="str">
        <f>IFERROR(__xludf.DUMMYFUNCTION("""COMPUTED_VALUE"""),"400 mg")</f>
        <v>400 mg</v>
      </c>
      <c r="AP62" s="836">
        <f>IFERROR(__xludf.DUMMYFUNCTION("""COMPUTED_VALUE"""),94.0)</f>
        <v>94</v>
      </c>
      <c r="AQ62" s="836" t="str">
        <f>IFERROR(__xludf.DUMMYFUNCTION("""COMPUTED_VALUE"""),"4-18 years old")</f>
        <v>4-18 years old</v>
      </c>
      <c r="AR62" s="836" t="str">
        <f>IFERROR(__xludf.DUMMYFUNCTION("""COMPUTED_VALUE"""),"Male:543 Female:503")</f>
        <v>Male:543 Female:503</v>
      </c>
      <c r="AS62" s="836">
        <f>IFERROR(__xludf.DUMMYFUNCTION("""COMPUTED_VALUE"""),2009.0)</f>
        <v>2009</v>
      </c>
      <c r="AT62" s="836"/>
      <c r="AU62" s="836" t="str">
        <f>IFERROR(__xludf.DUMMYFUNCTION("""COMPUTED_VALUE"""),"No")</f>
        <v>No</v>
      </c>
      <c r="AV62" s="836" t="str">
        <f>IFERROR(__xludf.DUMMYFUNCTION("""COMPUTED_VALUE"""),"No")</f>
        <v>No</v>
      </c>
      <c r="AW62" s="836" t="str">
        <f>IFERROR(__xludf.DUMMYFUNCTION("""COMPUTED_VALUE"""),"trial, no control")</f>
        <v>trial, no control</v>
      </c>
      <c r="AX62" s="850">
        <f>IFERROR(__xludf.DUMMYFUNCTION("""COMPUTED_VALUE"""),1.0)</f>
        <v>1</v>
      </c>
      <c r="AY62" s="836"/>
      <c r="AZ62" s="850">
        <f>IFERROR(__xludf.DUMMYFUNCTION("""COMPUTED_VALUE"""),1.0)</f>
        <v>1</v>
      </c>
      <c r="BA62" s="836"/>
      <c r="BB62" s="836"/>
      <c r="BC62" s="836"/>
      <c r="BD62" s="836"/>
      <c r="BE62" s="836"/>
      <c r="BF62" s="836"/>
      <c r="BG62" s="836"/>
      <c r="BH62" s="850">
        <f>IFERROR(__xludf.DUMMYFUNCTION("""COMPUTED_VALUE"""),1.0)</f>
        <v>1</v>
      </c>
      <c r="BI62" s="836"/>
      <c r="BJ62" s="836"/>
      <c r="BK62" s="836"/>
      <c r="BL62" s="836"/>
      <c r="BM62" s="836"/>
      <c r="BN62" s="836"/>
      <c r="BO62" s="836" t="str">
        <f>IFERROR(__xludf.DUMMYFUNCTION("""COMPUTED_VALUE"""),"McMaster Method")</f>
        <v>McMaster Method</v>
      </c>
      <c r="BP62" s="836" t="str">
        <f>IFERROR(__xludf.DUMMYFUNCTION("""COMPUTED_VALUE"""),"x")</f>
        <v>x</v>
      </c>
      <c r="BQ62" s="697">
        <f>IFERROR(__xludf.DUMMYFUNCTION("""COMPUTED_VALUE"""),61.0)</f>
        <v>61</v>
      </c>
      <c r="BR62" s="844" t="str">
        <f>IFERROR(__xludf.DUMMYFUNCTION("""COMPUTED_VALUE"""),"Roccignol et al.")</f>
        <v>Roccignol et al.</v>
      </c>
      <c r="BS62" s="838" t="str">
        <f>IFERROR(__xludf.DUMMYFUNCTION("""COMPUTED_VALUE"""),"Multi-centre: France, Morocco, Mali, Sengal, Nigeria, Central African Republic, Kenya, Brazil, Peru, Mexico, Phillipines")</f>
        <v>Multi-centre: France, Morocco, Mali, Sengal, Nigeria, Central African Republic, Kenya, Brazil, Peru, Mexico, Phillipines</v>
      </c>
      <c r="BT62" s="838" t="str">
        <f>IFERROR(__xludf.DUMMYFUNCTION("""COMPUTED_VALUE"""),"Albendazole")</f>
        <v>Albendazole</v>
      </c>
      <c r="BU62" s="838"/>
      <c r="BV62" s="838" t="str">
        <f>IFERROR(__xludf.DUMMYFUNCTION("""COMPUTED_VALUE"""),"Single")</f>
        <v>Single</v>
      </c>
      <c r="BW62" s="838" t="str">
        <f>IFERROR(__xludf.DUMMYFUNCTION("""COMPUTED_VALUE"""),"400 mg")</f>
        <v>400 mg</v>
      </c>
      <c r="BX62" s="838">
        <f>IFERROR(__xludf.DUMMYFUNCTION("""COMPUTED_VALUE"""),7.0)</f>
        <v>7</v>
      </c>
      <c r="BY62" s="838" t="str">
        <f>IFERROR(__xludf.DUMMYFUNCTION("""COMPUTED_VALUE"""),"School Children")</f>
        <v>School Children</v>
      </c>
      <c r="BZ62" s="838"/>
      <c r="CA62" s="838"/>
      <c r="CB62" s="838"/>
      <c r="CC62" s="838" t="str">
        <f>IFERROR(__xludf.DUMMYFUNCTION("""COMPUTED_VALUE"""),"Yes")</f>
        <v>Yes</v>
      </c>
      <c r="CD62" s="846">
        <f>IFERROR(__xludf.DUMMYFUNCTION("""COMPUTED_VALUE"""),1.0)</f>
        <v>1</v>
      </c>
      <c r="CE62" s="838" t="str">
        <f>IFERROR(__xludf.DUMMYFUNCTION("""COMPUTED_VALUE"""),"Yes")</f>
        <v>Yes</v>
      </c>
      <c r="CF62" s="838"/>
      <c r="CG62" s="846">
        <f>IFERROR(__xludf.DUMMYFUNCTION("""COMPUTED_VALUE"""),1.0)</f>
        <v>1</v>
      </c>
      <c r="CH62" s="838"/>
      <c r="CI62" s="838"/>
      <c r="CJ62" s="838"/>
      <c r="CK62" s="838"/>
      <c r="CL62" s="838"/>
      <c r="CM62" s="838"/>
      <c r="CN62" s="847">
        <f>IFERROR(__xludf.DUMMYFUNCTION("""COMPUTED_VALUE"""),1.0)</f>
        <v>1</v>
      </c>
      <c r="CO62" s="838"/>
      <c r="CP62" s="838"/>
      <c r="CQ62" s="838"/>
      <c r="CR62" s="838"/>
      <c r="CS62" s="838"/>
      <c r="CT62" s="838"/>
      <c r="CU62" s="838"/>
      <c r="CV62" s="697" t="str">
        <f>IFERROR(__xludf.DUMMYFUNCTION("""COMPUTED_VALUE"""),"Rossignol, J. F. ; Maisonneuve, H. (1983). Albendazole:placebo-controlled study in 870 patients withintestinal helminthiasis. Transactions of the RoyalSociety of Tropical Medicine and Hygiene 77, 707–711.")</f>
        <v>Rossignol, J. F. ; Maisonneuve, H. (1983). Albendazole:placebo-controlled study in 870 patients withintestinal helminthiasis. Transactions of the RoyalSociety of Tropical Medicine and Hygiene 77, 707–711.</v>
      </c>
    </row>
    <row r="63">
      <c r="A63" s="842" t="str">
        <f>IFERROR(__xludf.DUMMYFUNCTION("""COMPUTED_VALUE"""),"Kurup et al. ")</f>
        <v>Kurup et al. </v>
      </c>
      <c r="B63" s="834" t="str">
        <f>IFERROR(__xludf.DUMMYFUNCTION("""COMPUTED_VALUE"""),"Saint Lucia")</f>
        <v>Saint Lucia</v>
      </c>
      <c r="C63" s="834" t="str">
        <f>IFERROR(__xludf.DUMMYFUNCTION("""COMPUTED_VALUE"""),"Albendazole &amp; Praziquantel")</f>
        <v>Albendazole &amp; Praziquantel</v>
      </c>
      <c r="D63" s="834" t="str">
        <f>IFERROR(__xludf.DUMMYFUNCTION("""COMPUTED_VALUE"""),"Single")</f>
        <v>Single</v>
      </c>
      <c r="E63" s="834" t="str">
        <f>IFERROR(__xludf.DUMMYFUNCTION("""COMPUTED_VALUE"""),"400 mg; 40 mg")</f>
        <v>400 mg; 40 mg</v>
      </c>
      <c r="F63" s="834">
        <f>IFERROR(__xludf.DUMMYFUNCTION("""COMPUTED_VALUE"""),73.0)</f>
        <v>73</v>
      </c>
      <c r="G63" s="849">
        <f>IFERROR(__xludf.DUMMYFUNCTION("""COMPUTED_VALUE"""),42509.0)</f>
        <v>42509</v>
      </c>
      <c r="H63" s="839" t="str">
        <f>IFERROR(__xludf.DUMMYFUNCTION("""COMPUTED_VALUE"""),"37:36")</f>
        <v>37:36</v>
      </c>
      <c r="I63" s="834">
        <f>IFERROR(__xludf.DUMMYFUNCTION("""COMPUTED_VALUE"""),2006.0)</f>
        <v>2006</v>
      </c>
      <c r="J63" s="834" t="str">
        <f>IFERROR(__xludf.DUMMYFUNCTION("""COMPUTED_VALUE"""),"Bellvue village has one secondary school and 2 day care centers, Grace has one secondary school and Vigier has one primary school. A total of 554 children attending the schools were examined.")</f>
        <v>Bellvue village has one secondary school and 2 day care centers, Grace has one secondary school and Vigier has one primary school. A total of 554 children attending the schools were examined.</v>
      </c>
      <c r="K63" s="839" t="str">
        <f>IFERROR(__xludf.DUMMYFUNCTION("""COMPUTED_VALUE"""),"randomized controlled trial")</f>
        <v>randomized controlled trial</v>
      </c>
      <c r="L63" s="839" t="str">
        <f>IFERROR(__xludf.DUMMYFUNCTION("""COMPUTED_VALUE"""),"Yes")</f>
        <v>Yes</v>
      </c>
      <c r="M63" s="839" t="str">
        <f>IFERROR(__xludf.DUMMYFUNCTION("""COMPUTED_VALUE"""),"No")</f>
        <v>No</v>
      </c>
      <c r="N63" s="840">
        <f>IFERROR(__xludf.DUMMYFUNCTION("""COMPUTED_VALUE"""),1.0)</f>
        <v>1</v>
      </c>
      <c r="O63" s="834"/>
      <c r="P63" s="834"/>
      <c r="Q63" s="834"/>
      <c r="R63" s="834"/>
      <c r="S63" s="834"/>
      <c r="T63" s="834"/>
      <c r="U63" s="834"/>
      <c r="V63" s="840">
        <f>IFERROR(__xludf.DUMMYFUNCTION("""COMPUTED_VALUE"""),1.0)</f>
        <v>1</v>
      </c>
      <c r="W63" s="834"/>
      <c r="X63" s="834"/>
      <c r="Y63" s="834"/>
      <c r="Z63" s="834"/>
      <c r="AA63" s="834"/>
      <c r="AB63" s="834"/>
      <c r="AC63" s="840">
        <f>IFERROR(__xludf.DUMMYFUNCTION("""COMPUTED_VALUE"""),1.0)</f>
        <v>1</v>
      </c>
      <c r="AD63" s="834"/>
      <c r="AE63" s="834" t="str">
        <f>IFERROR(__xludf.DUMMYFUNCTION("""COMPUTED_VALUE"""),"Body weight plays a large role in effectiveness ")</f>
        <v>Body weight plays a large role in effectiveness </v>
      </c>
      <c r="AF63" s="834" t="str">
        <f>IFERROR(__xludf.DUMMYFUNCTION("""COMPUTED_VALUE"""),"Kato-Katz Method and Parasep concentration method")</f>
        <v>Kato-Katz Method and Parasep concentration method</v>
      </c>
      <c r="AG63" s="834" t="str">
        <f>IFERROR(__xludf.DUMMYFUNCTION("""COMPUTED_VALUE"""),"Kurup, Rajini, and Gurdip S. Hunjan. ""Epidemiology and Control of Schistosomiasis and Other Intestinal Parasitic Infections among School Children in Three Rural Villages of South Saint Lucia."" Epidemiology and Control of Schistosomiasis and Other Intest"&amp;"inal Parasitic Infections among School Children in Three Rural Villages of South Saint Lucia 46 (2012): 228-34. PubMed. Web.")</f>
        <v>Kurup, Rajini, and Gurdip S. Hunjan. "Epidemiology and Control of Schistosomiasis and Other Intestinal Parasitic Infections among School Children in Three Rural Villages of South Saint Lucia." Epidemiology and Control of Schistosomiasis and Other Intestinal Parasitic Infections among School Children in Three Rural Villages of South Saint Lucia 46 (2012): 228-34. PubMed. Web.</v>
      </c>
      <c r="AH63" s="834" t="str">
        <f>IFERROR(__xludf.DUMMYFUNCTION("""COMPUTED_VALUE"""),"x")</f>
        <v>x</v>
      </c>
      <c r="AJ63" s="843" t="str">
        <f>IFERROR(__xludf.DUMMYFUNCTION("""COMPUTED_VALUE"""),"Vercruysse et al.")</f>
        <v>Vercruysse et al.</v>
      </c>
      <c r="AK63" s="836"/>
      <c r="AL63" s="836" t="str">
        <f>IFERROR(__xludf.DUMMYFUNCTION("""COMPUTED_VALUE"""),"Cambodia")</f>
        <v>Cambodia</v>
      </c>
      <c r="AM63" s="836" t="str">
        <f>IFERROR(__xludf.DUMMYFUNCTION("""COMPUTED_VALUE"""),"Albendazole")</f>
        <v>Albendazole</v>
      </c>
      <c r="AN63" s="836" t="str">
        <f>IFERROR(__xludf.DUMMYFUNCTION("""COMPUTED_VALUE"""),"Single")</f>
        <v>Single</v>
      </c>
      <c r="AO63" s="836" t="str">
        <f>IFERROR(__xludf.DUMMYFUNCTION("""COMPUTED_VALUE"""),"400 mg")</f>
        <v>400 mg</v>
      </c>
      <c r="AP63" s="836">
        <f>IFERROR(__xludf.DUMMYFUNCTION("""COMPUTED_VALUE"""),129.0)</f>
        <v>129</v>
      </c>
      <c r="AQ63" s="836" t="str">
        <f>IFERROR(__xludf.DUMMYFUNCTION("""COMPUTED_VALUE"""),"4-18 years old")</f>
        <v>4-18 years old</v>
      </c>
      <c r="AR63" s="836" t="str">
        <f>IFERROR(__xludf.DUMMYFUNCTION("""COMPUTED_VALUE"""),"Male:543 Female:504")</f>
        <v>Male:543 Female:504</v>
      </c>
      <c r="AS63" s="836">
        <f>IFERROR(__xludf.DUMMYFUNCTION("""COMPUTED_VALUE"""),2009.0)</f>
        <v>2009</v>
      </c>
      <c r="AT63" s="836"/>
      <c r="AU63" s="836" t="str">
        <f>IFERROR(__xludf.DUMMYFUNCTION("""COMPUTED_VALUE"""),"No")</f>
        <v>No</v>
      </c>
      <c r="AV63" s="836" t="str">
        <f>IFERROR(__xludf.DUMMYFUNCTION("""COMPUTED_VALUE"""),"No")</f>
        <v>No</v>
      </c>
      <c r="AW63" s="836" t="str">
        <f>IFERROR(__xludf.DUMMYFUNCTION("""COMPUTED_VALUE"""),"trial, no control")</f>
        <v>trial, no control</v>
      </c>
      <c r="AX63" s="850">
        <f>IFERROR(__xludf.DUMMYFUNCTION("""COMPUTED_VALUE"""),1.0)</f>
        <v>1</v>
      </c>
      <c r="AY63" s="836"/>
      <c r="AZ63" s="850">
        <f>IFERROR(__xludf.DUMMYFUNCTION("""COMPUTED_VALUE"""),1.0)</f>
        <v>1</v>
      </c>
      <c r="BA63" s="836"/>
      <c r="BB63" s="836"/>
      <c r="BC63" s="836"/>
      <c r="BD63" s="836"/>
      <c r="BE63" s="836"/>
      <c r="BF63" s="836"/>
      <c r="BG63" s="836"/>
      <c r="BH63" s="850">
        <f>IFERROR(__xludf.DUMMYFUNCTION("""COMPUTED_VALUE"""),1.0)</f>
        <v>1</v>
      </c>
      <c r="BI63" s="836"/>
      <c r="BJ63" s="836"/>
      <c r="BK63" s="836"/>
      <c r="BL63" s="836"/>
      <c r="BM63" s="836"/>
      <c r="BN63" s="836"/>
      <c r="BO63" s="836" t="str">
        <f>IFERROR(__xludf.DUMMYFUNCTION("""COMPUTED_VALUE"""),"McMaster Method")</f>
        <v>McMaster Method</v>
      </c>
      <c r="BP63" s="836" t="str">
        <f>IFERROR(__xludf.DUMMYFUNCTION("""COMPUTED_VALUE"""),"x")</f>
        <v>x</v>
      </c>
      <c r="BQ63" s="697">
        <f>IFERROR(__xludf.DUMMYFUNCTION("""COMPUTED_VALUE"""),62.0)</f>
        <v>62</v>
      </c>
      <c r="BR63" s="844" t="str">
        <f>IFERROR(__xludf.DUMMYFUNCTION("""COMPUTED_VALUE"""),"Roccignol et al.")</f>
        <v>Roccignol et al.</v>
      </c>
      <c r="BS63" s="838" t="str">
        <f>IFERROR(__xludf.DUMMYFUNCTION("""COMPUTED_VALUE"""),"Multi-centre: France, Morocco, Mali, Sengal, Nigeria, Central African Republic, Kenya, Brazil, Peru, Mexico, Phillipines")</f>
        <v>Multi-centre: France, Morocco, Mali, Sengal, Nigeria, Central African Republic, Kenya, Brazil, Peru, Mexico, Phillipines</v>
      </c>
      <c r="BT63" s="838" t="str">
        <f>IFERROR(__xludf.DUMMYFUNCTION("""COMPUTED_VALUE"""),"Albendazole")</f>
        <v>Albendazole</v>
      </c>
      <c r="BU63" s="838"/>
      <c r="BV63" s="838" t="str">
        <f>IFERROR(__xludf.DUMMYFUNCTION("""COMPUTED_VALUE"""),"Single")</f>
        <v>Single</v>
      </c>
      <c r="BW63" s="838" t="str">
        <f>IFERROR(__xludf.DUMMYFUNCTION("""COMPUTED_VALUE"""),"400 mg")</f>
        <v>400 mg</v>
      </c>
      <c r="BX63" s="838">
        <f>IFERROR(__xludf.DUMMYFUNCTION("""COMPUTED_VALUE"""),40.0)</f>
        <v>40</v>
      </c>
      <c r="BY63" s="838" t="str">
        <f>IFERROR(__xludf.DUMMYFUNCTION("""COMPUTED_VALUE"""),"Adults")</f>
        <v>Adults</v>
      </c>
      <c r="BZ63" s="838"/>
      <c r="CA63" s="838"/>
      <c r="CB63" s="838"/>
      <c r="CC63" s="838" t="str">
        <f>IFERROR(__xludf.DUMMYFUNCTION("""COMPUTED_VALUE"""),"Yes")</f>
        <v>Yes</v>
      </c>
      <c r="CD63" s="846">
        <f>IFERROR(__xludf.DUMMYFUNCTION("""COMPUTED_VALUE"""),0.95)</f>
        <v>0.95</v>
      </c>
      <c r="CE63" s="838" t="str">
        <f>IFERROR(__xludf.DUMMYFUNCTION("""COMPUTED_VALUE"""),"Yes")</f>
        <v>Yes</v>
      </c>
      <c r="CF63" s="838"/>
      <c r="CG63" s="846">
        <f>IFERROR(__xludf.DUMMYFUNCTION("""COMPUTED_VALUE"""),0.95)</f>
        <v>0.95</v>
      </c>
      <c r="CH63" s="838"/>
      <c r="CI63" s="838"/>
      <c r="CJ63" s="838"/>
      <c r="CK63" s="838"/>
      <c r="CL63" s="838"/>
      <c r="CM63" s="838"/>
      <c r="CN63" s="847">
        <f>IFERROR(__xludf.DUMMYFUNCTION("""COMPUTED_VALUE"""),0.999)</f>
        <v>0.999</v>
      </c>
      <c r="CO63" s="838"/>
      <c r="CP63" s="838"/>
      <c r="CQ63" s="838"/>
      <c r="CR63" s="838"/>
      <c r="CS63" s="838"/>
      <c r="CT63" s="838"/>
      <c r="CU63" s="838"/>
      <c r="CV63" s="697" t="str">
        <f>IFERROR(__xludf.DUMMYFUNCTION("""COMPUTED_VALUE"""),"Rossignol, J. F. ; Maisonneuve, H. (1983). Albendazole:placebo-controlled study in 870 patients withintestinal helminthiasis. Transactions of the RoyalSociety of Tropical Medicine and Hygiene 77, 707–711.")</f>
        <v>Rossignol, J. F. ; Maisonneuve, H. (1983). Albendazole:placebo-controlled study in 870 patients withintestinal helminthiasis. Transactions of the RoyalSociety of Tropical Medicine and Hygiene 77, 707–711.</v>
      </c>
    </row>
    <row r="64">
      <c r="A64" s="842" t="str">
        <f>IFERROR(__xludf.DUMMYFUNCTION("""COMPUTED_VALUE"""),"Levecke et al.")</f>
        <v>Levecke et al.</v>
      </c>
      <c r="B64" s="834" t="str">
        <f>IFERROR(__xludf.DUMMYFUNCTION("""COMPUTED_VALUE"""),"Tanzania")</f>
        <v>Tanzania</v>
      </c>
      <c r="C64" s="834" t="str">
        <f>IFERROR(__xludf.DUMMYFUNCTION("""COMPUTED_VALUE"""),"Albendazole")</f>
        <v>Albendazole</v>
      </c>
      <c r="D64" s="834" t="str">
        <f>IFERROR(__xludf.DUMMYFUNCTION("""COMPUTED_VALUE"""),"Single")</f>
        <v>Single</v>
      </c>
      <c r="E64" s="834" t="str">
        <f>IFERROR(__xludf.DUMMYFUNCTION("""COMPUTED_VALUE"""),"400 mg")</f>
        <v>400 mg</v>
      </c>
      <c r="F64" s="834">
        <f>IFERROR(__xludf.DUMMYFUNCTION("""COMPUTED_VALUE"""),349.0)</f>
        <v>349</v>
      </c>
      <c r="G64" s="834">
        <f>IFERROR(__xludf.DUMMYFUNCTION("""COMPUTED_VALUE"""),10.8)</f>
        <v>10.8</v>
      </c>
      <c r="H64" s="834" t="str">
        <f>IFERROR(__xludf.DUMMYFUNCTION("""COMPUTED_VALUE"""),"93:0 ")</f>
        <v>93:0 </v>
      </c>
      <c r="I64" s="834">
        <f>IFERROR(__xludf.DUMMYFUNCTION("""COMPUTED_VALUE"""),2012.0)</f>
        <v>2012</v>
      </c>
      <c r="J64" s="834" t="str">
        <f>IFERROR(__xludf.DUMMYFUNCTION("""COMPUTED_VALUE"""),"excluded: Subjects who were not able to provide a stool sample for the follow-up, or who were experiencing a severe intercurrent medical condition or had diarrhea at the time of the first sampling, were excluded from the trial.")</f>
        <v>excluded: Subjects who were not able to provide a stool sample for the follow-up, or who were experiencing a severe intercurrent medical condition or had diarrhea at the time of the first sampling, were excluded from the trial.</v>
      </c>
      <c r="K64" s="839" t="str">
        <f>IFERROR(__xludf.DUMMYFUNCTION("""COMPUTED_VALUE"""),"randomized controlled trial")</f>
        <v>randomized controlled trial</v>
      </c>
      <c r="L64" s="839" t="str">
        <f>IFERROR(__xludf.DUMMYFUNCTION("""COMPUTED_VALUE"""),"Yes")</f>
        <v>Yes</v>
      </c>
      <c r="M64" s="839" t="str">
        <f>IFERROR(__xludf.DUMMYFUNCTION("""COMPUTED_VALUE"""),"No")</f>
        <v>No</v>
      </c>
      <c r="N64" s="840">
        <f>IFERROR(__xludf.DUMMYFUNCTION("""COMPUTED_VALUE"""),0.953)</f>
        <v>0.953</v>
      </c>
      <c r="O64" s="834"/>
      <c r="P64" s="834"/>
      <c r="Q64" s="834"/>
      <c r="R64" s="834"/>
      <c r="S64" s="834"/>
      <c r="T64" s="834"/>
      <c r="U64" s="834"/>
      <c r="V64" s="834"/>
      <c r="W64" s="834"/>
      <c r="X64" s="834"/>
      <c r="Y64" s="834"/>
      <c r="Z64" s="834"/>
      <c r="AA64" s="834"/>
      <c r="AB64" s="834"/>
      <c r="AC64" s="834"/>
      <c r="AD64" s="834"/>
      <c r="AE64" s="834" t="str">
        <f>IFERROR(__xludf.DUMMYFUNCTION("""COMPUTED_VALUE"""),"Overall, ALB resulted in statistically higher FECR rate against hookworm infections verse MEB")</f>
        <v>Overall, ALB resulted in statistically higher FECR rate against hookworm infections verse MEB</v>
      </c>
      <c r="AF64" s="834" t="str">
        <f>IFERROR(__xludf.DUMMYFUNCTION("""COMPUTED_VALUE"""),"McMaster Method                                          For hookworm the FECR of both drugs did not depend significantly on the mean FEC at pre-intervention")</f>
        <v>McMaster Method                                          For hookworm the FECR of both drugs did not depend significantly on the mean FEC at pre-intervention</v>
      </c>
      <c r="AG64" s="834" t="str">
        <f>IFERROR(__xludf.DUMMYFUNCTION("""COMPUTED_VALUE"""),"Levecke, Bruno, Antonio Montresor, Marco Albonico, Shaali M. Ame, Jerzy M. Behnke, Jeffrey M. Bethony, Calvine D. Noumedem, Dirk Engels, Bertrand Guillard, Andrew C. Kotze, Alejandro J. Krolewiecki, James S. McCarthy, Zeleke Mekonnen, Maria V. Periago, He"&amp;"m Sopheak, Louis Albert Tchuem-Tchuente, Tran Thanh Duong, Nguyen Thu Huong, Ahmed Zeynudin, and Jozef Vercuysse. ""Assessment of Anthelmintic Efficacy of Mebendazolein School Children in Six Countries Where Soil Transmitted Helminths Are Endemic."" PLOS "&amp;"Neglected Tropical Diseases 8.10 (2014): 1-11. Web.")</f>
        <v>Levecke, Bruno, Antonio Montresor, Marco Albonico, Shaali M. Ame, Jerzy M. Behnke, Jeffrey M. Bethony, Calvine D. Noumedem, Dirk Engels, Bertrand Guillard, Andrew C. Kotze, Alejandro J. Krolewiecki, James S. McCarthy, Zeleke Mekonnen, Maria V. Periago, Hem Sopheak, Louis Albert Tchuem-Tchuente, Tran Thanh Duong, Nguyen Thu Huong, Ahmed Zeynudin, and Jozef Vercuysse. "Assessment of Anthelmintic Efficacy of Mebendazolein School Children in Six Countries Where Soil Transmitted Helminths Are Endemic." PLOS Neglected Tropical Diseases 8.10 (2014): 1-11. Web.</v>
      </c>
      <c r="AH64" s="834" t="str">
        <f>IFERROR(__xludf.DUMMYFUNCTION("""COMPUTED_VALUE"""),"x")</f>
        <v>x</v>
      </c>
      <c r="AJ64" s="843" t="str">
        <f>IFERROR(__xludf.DUMMYFUNCTION("""COMPUTED_VALUE"""),"Vercruysse et al.")</f>
        <v>Vercruysse et al.</v>
      </c>
      <c r="AK64" s="836"/>
      <c r="AL64" s="836" t="str">
        <f>IFERROR(__xludf.DUMMYFUNCTION("""COMPUTED_VALUE"""),"Cameroon")</f>
        <v>Cameroon</v>
      </c>
      <c r="AM64" s="836" t="str">
        <f>IFERROR(__xludf.DUMMYFUNCTION("""COMPUTED_VALUE"""),"Albendazole")</f>
        <v>Albendazole</v>
      </c>
      <c r="AN64" s="836" t="str">
        <f>IFERROR(__xludf.DUMMYFUNCTION("""COMPUTED_VALUE"""),"Single")</f>
        <v>Single</v>
      </c>
      <c r="AO64" s="836" t="str">
        <f>IFERROR(__xludf.DUMMYFUNCTION("""COMPUTED_VALUE"""),"400 mg")</f>
        <v>400 mg</v>
      </c>
      <c r="AP64" s="836">
        <f>IFERROR(__xludf.DUMMYFUNCTION("""COMPUTED_VALUE"""),564.0)</f>
        <v>564</v>
      </c>
      <c r="AQ64" s="836" t="str">
        <f>IFERROR(__xludf.DUMMYFUNCTION("""COMPUTED_VALUE"""),"4-18 years old")</f>
        <v>4-18 years old</v>
      </c>
      <c r="AR64" s="836" t="str">
        <f>IFERROR(__xludf.DUMMYFUNCTION("""COMPUTED_VALUE"""),"Male:543 Female:505")</f>
        <v>Male:543 Female:505</v>
      </c>
      <c r="AS64" s="836">
        <f>IFERROR(__xludf.DUMMYFUNCTION("""COMPUTED_VALUE"""),2009.0)</f>
        <v>2009</v>
      </c>
      <c r="AT64" s="836"/>
      <c r="AU64" s="836" t="str">
        <f>IFERROR(__xludf.DUMMYFUNCTION("""COMPUTED_VALUE"""),"No")</f>
        <v>No</v>
      </c>
      <c r="AV64" s="836" t="str">
        <f>IFERROR(__xludf.DUMMYFUNCTION("""COMPUTED_VALUE"""),"No")</f>
        <v>No</v>
      </c>
      <c r="AW64" s="836" t="str">
        <f>IFERROR(__xludf.DUMMYFUNCTION("""COMPUTED_VALUE"""),"trial, no control")</f>
        <v>trial, no control</v>
      </c>
      <c r="AX64" s="841">
        <f>IFERROR(__xludf.DUMMYFUNCTION("""COMPUTED_VALUE"""),0.474)</f>
        <v>0.474</v>
      </c>
      <c r="AY64" s="836"/>
      <c r="AZ64" s="841">
        <f>IFERROR(__xludf.DUMMYFUNCTION("""COMPUTED_VALUE"""),0.474)</f>
        <v>0.474</v>
      </c>
      <c r="BA64" s="836"/>
      <c r="BB64" s="836"/>
      <c r="BC64" s="836"/>
      <c r="BD64" s="836"/>
      <c r="BE64" s="836"/>
      <c r="BF64" s="836"/>
      <c r="BG64" s="836"/>
      <c r="BH64" s="841">
        <f>IFERROR(__xludf.DUMMYFUNCTION("""COMPUTED_VALUE"""),0.392)</f>
        <v>0.392</v>
      </c>
      <c r="BI64" s="836"/>
      <c r="BJ64" s="836"/>
      <c r="BK64" s="836"/>
      <c r="BL64" s="836"/>
      <c r="BM64" s="836"/>
      <c r="BN64" s="836"/>
      <c r="BO64" s="836" t="str">
        <f>IFERROR(__xludf.DUMMYFUNCTION("""COMPUTED_VALUE"""),"McMaster Method")</f>
        <v>McMaster Method</v>
      </c>
      <c r="BP64" s="836" t="str">
        <f>IFERROR(__xludf.DUMMYFUNCTION("""COMPUTED_VALUE"""),"x")</f>
        <v>x</v>
      </c>
      <c r="BQ64" s="697">
        <f>IFERROR(__xludf.DUMMYFUNCTION("""COMPUTED_VALUE"""),63.0)</f>
        <v>63</v>
      </c>
      <c r="BR64" s="844" t="str">
        <f>IFERROR(__xludf.DUMMYFUNCTION("""COMPUTED_VALUE"""),"Roccignol et al.")</f>
        <v>Roccignol et al.</v>
      </c>
      <c r="BS64" s="838" t="str">
        <f>IFERROR(__xludf.DUMMYFUNCTION("""COMPUTED_VALUE"""),"Multi-centre: France, Morocco, Mali, Sengal, Nigeria, Central African Republic, Kenya, Brazil, Peru, Mexico, Phillipines")</f>
        <v>Multi-centre: France, Morocco, Mali, Sengal, Nigeria, Central African Republic, Kenya, Brazil, Peru, Mexico, Phillipines</v>
      </c>
      <c r="BT64" s="838" t="str">
        <f>IFERROR(__xludf.DUMMYFUNCTION("""COMPUTED_VALUE"""),"Albendazole")</f>
        <v>Albendazole</v>
      </c>
      <c r="BU64" s="838"/>
      <c r="BV64" s="838" t="str">
        <f>IFERROR(__xludf.DUMMYFUNCTION("""COMPUTED_VALUE"""),"Single")</f>
        <v>Single</v>
      </c>
      <c r="BW64" s="838" t="str">
        <f>IFERROR(__xludf.DUMMYFUNCTION("""COMPUTED_VALUE"""),"400 mg")</f>
        <v>400 mg</v>
      </c>
      <c r="BX64" s="838">
        <f>IFERROR(__xludf.DUMMYFUNCTION("""COMPUTED_VALUE"""),15.0)</f>
        <v>15</v>
      </c>
      <c r="BY64" s="838" t="str">
        <f>IFERROR(__xludf.DUMMYFUNCTION("""COMPUTED_VALUE"""),"School Children")</f>
        <v>School Children</v>
      </c>
      <c r="BZ64" s="838"/>
      <c r="CA64" s="838"/>
      <c r="CB64" s="838"/>
      <c r="CC64" s="838" t="str">
        <f>IFERROR(__xludf.DUMMYFUNCTION("""COMPUTED_VALUE"""),"Yes")</f>
        <v>Yes</v>
      </c>
      <c r="CD64" s="846">
        <f>IFERROR(__xludf.DUMMYFUNCTION("""COMPUTED_VALUE"""),0.8)</f>
        <v>0.8</v>
      </c>
      <c r="CE64" s="838" t="str">
        <f>IFERROR(__xludf.DUMMYFUNCTION("""COMPUTED_VALUE"""),"Yes")</f>
        <v>Yes</v>
      </c>
      <c r="CF64" s="838"/>
      <c r="CG64" s="846">
        <f>IFERROR(__xludf.DUMMYFUNCTION("""COMPUTED_VALUE"""),0.8)</f>
        <v>0.8</v>
      </c>
      <c r="CH64" s="838"/>
      <c r="CI64" s="838"/>
      <c r="CJ64" s="838"/>
      <c r="CK64" s="838"/>
      <c r="CL64" s="838"/>
      <c r="CM64" s="838"/>
      <c r="CN64" s="847">
        <f>IFERROR(__xludf.DUMMYFUNCTION("""COMPUTED_VALUE"""),0.917)</f>
        <v>0.917</v>
      </c>
      <c r="CO64" s="838"/>
      <c r="CP64" s="838"/>
      <c r="CQ64" s="838"/>
      <c r="CR64" s="838"/>
      <c r="CS64" s="838"/>
      <c r="CT64" s="838"/>
      <c r="CU64" s="838"/>
      <c r="CV64" s="697" t="str">
        <f>IFERROR(__xludf.DUMMYFUNCTION("""COMPUTED_VALUE"""),"Rossignol, J. F. ; Maisonneuve, H. (1983). Albendazole:placebo-controlled study in 870 patients withintestinal helminthiasis. Transactions of the RoyalSociety of Tropical Medicine and Hygiene 77, 707–711.")</f>
        <v>Rossignol, J. F. ; Maisonneuve, H. (1983). Albendazole:placebo-controlled study in 870 patients withintestinal helminthiasis. Transactions of the RoyalSociety of Tropical Medicine and Hygiene 77, 707–711.</v>
      </c>
    </row>
    <row r="65">
      <c r="A65" s="842" t="str">
        <f>IFERROR(__xludf.DUMMYFUNCTION("""COMPUTED_VALUE"""),"Levecke et al.")</f>
        <v>Levecke et al.</v>
      </c>
      <c r="B65" s="834" t="str">
        <f>IFERROR(__xludf.DUMMYFUNCTION("""COMPUTED_VALUE"""),"Tanzania")</f>
        <v>Tanzania</v>
      </c>
      <c r="C65" s="834" t="str">
        <f>IFERROR(__xludf.DUMMYFUNCTION("""COMPUTED_VALUE"""),"Mebendazole")</f>
        <v>Mebendazole</v>
      </c>
      <c r="D65" s="834" t="str">
        <f>IFERROR(__xludf.DUMMYFUNCTION("""COMPUTED_VALUE"""),"Single")</f>
        <v>Single</v>
      </c>
      <c r="E65" s="834" t="str">
        <f>IFERROR(__xludf.DUMMYFUNCTION("""COMPUTED_VALUE"""),"500 mg")</f>
        <v>500 mg</v>
      </c>
      <c r="F65" s="834">
        <f>IFERROR(__xludf.DUMMYFUNCTION("""COMPUTED_VALUE"""),226.0)</f>
        <v>226</v>
      </c>
      <c r="G65" s="834">
        <f>IFERROR(__xludf.DUMMYFUNCTION("""COMPUTED_VALUE"""),10.8)</f>
        <v>10.8</v>
      </c>
      <c r="H65" s="851">
        <f>IFERROR(__xludf.DUMMYFUNCTION("""COMPUTED_VALUE"""),0.06597222222222222)</f>
        <v>0.06597222222</v>
      </c>
      <c r="I65" s="834">
        <f>IFERROR(__xludf.DUMMYFUNCTION("""COMPUTED_VALUE"""),2012.0)</f>
        <v>2012</v>
      </c>
      <c r="J65" s="834"/>
      <c r="K65" s="839" t="str">
        <f>IFERROR(__xludf.DUMMYFUNCTION("""COMPUTED_VALUE"""),"open trial")</f>
        <v>open trial</v>
      </c>
      <c r="L65" s="839" t="str">
        <f>IFERROR(__xludf.DUMMYFUNCTION("""COMPUTED_VALUE"""),"No")</f>
        <v>No</v>
      </c>
      <c r="M65" s="839" t="str">
        <f>IFERROR(__xludf.DUMMYFUNCTION("""COMPUTED_VALUE"""),"No")</f>
        <v>No</v>
      </c>
      <c r="N65" s="840">
        <f>IFERROR(__xludf.DUMMYFUNCTION("""COMPUTED_VALUE"""),0.746)</f>
        <v>0.746</v>
      </c>
      <c r="O65" s="834"/>
      <c r="P65" s="834"/>
      <c r="Q65" s="834"/>
      <c r="R65" s="834"/>
      <c r="S65" s="834"/>
      <c r="T65" s="834"/>
      <c r="U65" s="834"/>
      <c r="V65" s="834"/>
      <c r="W65" s="834"/>
      <c r="X65" s="834"/>
      <c r="Y65" s="834"/>
      <c r="Z65" s="834"/>
      <c r="AA65" s="834"/>
      <c r="AB65" s="834"/>
      <c r="AC65" s="834"/>
      <c r="AD65" s="834"/>
      <c r="AE65" s="834" t="str">
        <f>IFERROR(__xludf.DUMMYFUNCTION("""COMPUTED_VALUE"""),"Overall, ALB resulted in statistically higher FECR rate against hookworm infections verse MEB")</f>
        <v>Overall, ALB resulted in statistically higher FECR rate against hookworm infections verse MEB</v>
      </c>
      <c r="AF65" s="834" t="str">
        <f>IFERROR(__xludf.DUMMYFUNCTION("""COMPUTED_VALUE"""),"McMaster Method                                          For hookworm the FECR of both drugs did not depend significantly on the mean FEC at pre-intervention")</f>
        <v>McMaster Method                                          For hookworm the FECR of both drugs did not depend significantly on the mean FEC at pre-intervention</v>
      </c>
      <c r="AG65" s="834" t="str">
        <f>IFERROR(__xludf.DUMMYFUNCTION("""COMPUTED_VALUE"""),"Levecke, Bruno, Antonio Montresor, Marco Albonico, Shaali M. Ame, Jerzy M. Behnke, Jeffrey M. Bethony, Calvine D. Noumedem, Dirk Engels, Bertrand Guillard, Andrew C. Kotze, Alejandro J. Krolewiecki, James S. McCarthy, Zeleke Mekonnen, Maria V. Periago, He"&amp;"m Sopheak, Louis Albert Tchuem-Tchuente, Tran Thanh Duong, Nguyen Thu Huong, Ahmed Zeynudin, and Jozef Vercuysse. ""Assessment of Anthelmintic Efficacy of Mebendazolein School Children in Six Countries Where Soil Transmitted Helminths Are Endemic."" PLOS "&amp;"Neglected Tropical Diseases 8.10 (2014): 1-11. Web.")</f>
        <v>Levecke, Bruno, Antonio Montresor, Marco Albonico, Shaali M. Ame, Jerzy M. Behnke, Jeffrey M. Bethony, Calvine D. Noumedem, Dirk Engels, Bertrand Guillard, Andrew C. Kotze, Alejandro J. Krolewiecki, James S. McCarthy, Zeleke Mekonnen, Maria V. Periago, Hem Sopheak, Louis Albert Tchuem-Tchuente, Tran Thanh Duong, Nguyen Thu Huong, Ahmed Zeynudin, and Jozef Vercuysse. "Assessment of Anthelmintic Efficacy of Mebendazolein School Children in Six Countries Where Soil Transmitted Helminths Are Endemic." PLOS Neglected Tropical Diseases 8.10 (2014): 1-11. Web.</v>
      </c>
      <c r="AH65" s="834" t="str">
        <f>IFERROR(__xludf.DUMMYFUNCTION("""COMPUTED_VALUE"""),"x")</f>
        <v>x</v>
      </c>
      <c r="AJ65" s="843" t="str">
        <f>IFERROR(__xludf.DUMMYFUNCTION("""COMPUTED_VALUE"""),"Vercruysse et al.")</f>
        <v>Vercruysse et al.</v>
      </c>
      <c r="AK65" s="836"/>
      <c r="AL65" s="836" t="str">
        <f>IFERROR(__xludf.DUMMYFUNCTION("""COMPUTED_VALUE"""),"Ethiopia")</f>
        <v>Ethiopia</v>
      </c>
      <c r="AM65" s="836" t="str">
        <f>IFERROR(__xludf.DUMMYFUNCTION("""COMPUTED_VALUE"""),"Albendazole")</f>
        <v>Albendazole</v>
      </c>
      <c r="AN65" s="836" t="str">
        <f>IFERROR(__xludf.DUMMYFUNCTION("""COMPUTED_VALUE"""),"Single")</f>
        <v>Single</v>
      </c>
      <c r="AO65" s="836" t="str">
        <f>IFERROR(__xludf.DUMMYFUNCTION("""COMPUTED_VALUE"""),"400 mg")</f>
        <v>400 mg</v>
      </c>
      <c r="AP65" s="836">
        <f>IFERROR(__xludf.DUMMYFUNCTION("""COMPUTED_VALUE"""),249.0)</f>
        <v>249</v>
      </c>
      <c r="AQ65" s="836" t="str">
        <f>IFERROR(__xludf.DUMMYFUNCTION("""COMPUTED_VALUE"""),"4-18 years old")</f>
        <v>4-18 years old</v>
      </c>
      <c r="AR65" s="836" t="str">
        <f>IFERROR(__xludf.DUMMYFUNCTION("""COMPUTED_VALUE"""),"Male:543 Female:506")</f>
        <v>Male:543 Female:506</v>
      </c>
      <c r="AS65" s="836">
        <f>IFERROR(__xludf.DUMMYFUNCTION("""COMPUTED_VALUE"""),2009.0)</f>
        <v>2009</v>
      </c>
      <c r="AT65" s="836"/>
      <c r="AU65" s="836" t="str">
        <f>IFERROR(__xludf.DUMMYFUNCTION("""COMPUTED_VALUE"""),"No")</f>
        <v>No</v>
      </c>
      <c r="AV65" s="836" t="str">
        <f>IFERROR(__xludf.DUMMYFUNCTION("""COMPUTED_VALUE"""),"No")</f>
        <v>No</v>
      </c>
      <c r="AW65" s="836" t="str">
        <f>IFERROR(__xludf.DUMMYFUNCTION("""COMPUTED_VALUE"""),"trial, no control")</f>
        <v>trial, no control</v>
      </c>
      <c r="AX65" s="841">
        <f>IFERROR(__xludf.DUMMYFUNCTION("""COMPUTED_VALUE"""),0.857)</f>
        <v>0.857</v>
      </c>
      <c r="AY65" s="836"/>
      <c r="AZ65" s="841">
        <f>IFERROR(__xludf.DUMMYFUNCTION("""COMPUTED_VALUE"""),0.857)</f>
        <v>0.857</v>
      </c>
      <c r="BA65" s="836"/>
      <c r="BB65" s="836"/>
      <c r="BC65" s="836"/>
      <c r="BD65" s="836"/>
      <c r="BE65" s="836"/>
      <c r="BF65" s="836"/>
      <c r="BG65" s="836"/>
      <c r="BH65" s="841">
        <f>IFERROR(__xludf.DUMMYFUNCTION("""COMPUTED_VALUE"""),0.924)</f>
        <v>0.924</v>
      </c>
      <c r="BI65" s="836"/>
      <c r="BJ65" s="836"/>
      <c r="BK65" s="836"/>
      <c r="BL65" s="836"/>
      <c r="BM65" s="836"/>
      <c r="BN65" s="836"/>
      <c r="BO65" s="836" t="str">
        <f>IFERROR(__xludf.DUMMYFUNCTION("""COMPUTED_VALUE"""),"McMaster Method")</f>
        <v>McMaster Method</v>
      </c>
      <c r="BP65" s="836" t="str">
        <f>IFERROR(__xludf.DUMMYFUNCTION("""COMPUTED_VALUE"""),"x")</f>
        <v>x</v>
      </c>
      <c r="BQ65" s="697">
        <f>IFERROR(__xludf.DUMMYFUNCTION("""COMPUTED_VALUE"""),64.0)</f>
        <v>64</v>
      </c>
      <c r="BR65" s="844" t="str">
        <f>IFERROR(__xludf.DUMMYFUNCTION("""COMPUTED_VALUE"""),"Roccignol et al.")</f>
        <v>Roccignol et al.</v>
      </c>
      <c r="BS65" s="838" t="str">
        <f>IFERROR(__xludf.DUMMYFUNCTION("""COMPUTED_VALUE"""),"Multi-centre: France, Morocco, Mali, Sengal, Nigeria, Central African Republic, Kenya, Brazil, Peru, Mexico, Phillipines")</f>
        <v>Multi-centre: France, Morocco, Mali, Sengal, Nigeria, Central African Republic, Kenya, Brazil, Peru, Mexico, Phillipines</v>
      </c>
      <c r="BT65" s="838" t="str">
        <f>IFERROR(__xludf.DUMMYFUNCTION("""COMPUTED_VALUE"""),"Albendazole")</f>
        <v>Albendazole</v>
      </c>
      <c r="BU65" s="838"/>
      <c r="BV65" s="838" t="str">
        <f>IFERROR(__xludf.DUMMYFUNCTION("""COMPUTED_VALUE"""),"Single")</f>
        <v>Single</v>
      </c>
      <c r="BW65" s="838" t="str">
        <f>IFERROR(__xludf.DUMMYFUNCTION("""COMPUTED_VALUE"""),"400 mg")</f>
        <v>400 mg</v>
      </c>
      <c r="BX65" s="838">
        <f>IFERROR(__xludf.DUMMYFUNCTION("""COMPUTED_VALUE"""),44.0)</f>
        <v>44</v>
      </c>
      <c r="BY65" s="838" t="str">
        <f>IFERROR(__xludf.DUMMYFUNCTION("""COMPUTED_VALUE"""),"Adults")</f>
        <v>Adults</v>
      </c>
      <c r="BZ65" s="838"/>
      <c r="CA65" s="838"/>
      <c r="CB65" s="838"/>
      <c r="CC65" s="838" t="str">
        <f>IFERROR(__xludf.DUMMYFUNCTION("""COMPUTED_VALUE"""),"Yes")</f>
        <v>Yes</v>
      </c>
      <c r="CD65" s="847">
        <f>IFERROR(__xludf.DUMMYFUNCTION("""COMPUTED_VALUE"""),0.886)</f>
        <v>0.886</v>
      </c>
      <c r="CE65" s="838" t="str">
        <f>IFERROR(__xludf.DUMMYFUNCTION("""COMPUTED_VALUE"""),"Yes")</f>
        <v>Yes</v>
      </c>
      <c r="CF65" s="838"/>
      <c r="CG65" s="847">
        <f>IFERROR(__xludf.DUMMYFUNCTION("""COMPUTED_VALUE"""),0.886)</f>
        <v>0.886</v>
      </c>
      <c r="CH65" s="838"/>
      <c r="CI65" s="838"/>
      <c r="CJ65" s="838"/>
      <c r="CK65" s="838"/>
      <c r="CL65" s="838"/>
      <c r="CM65" s="838"/>
      <c r="CN65" s="847">
        <f>IFERROR(__xludf.DUMMYFUNCTION("""COMPUTED_VALUE"""),0.999)</f>
        <v>0.999</v>
      </c>
      <c r="CO65" s="838"/>
      <c r="CP65" s="838"/>
      <c r="CQ65" s="838"/>
      <c r="CR65" s="838"/>
      <c r="CS65" s="838"/>
      <c r="CT65" s="838"/>
      <c r="CU65" s="838"/>
      <c r="CV65" s="697" t="str">
        <f>IFERROR(__xludf.DUMMYFUNCTION("""COMPUTED_VALUE"""),"Rossignol, J. F. ; Maisonneuve, H. (1983). Albendazole:placebo-controlled study in 870 patients withintestinal helminthiasis. Transactions of the RoyalSociety of Tropical Medicine and Hygiene 77, 707–711.")</f>
        <v>Rossignol, J. F. ; Maisonneuve, H. (1983). Albendazole:placebo-controlled study in 870 patients withintestinal helminthiasis. Transactions of the RoyalSociety of Tropical Medicine and Hygiene 77, 707–711.</v>
      </c>
    </row>
    <row r="66">
      <c r="A66" s="842" t="str">
        <f>IFERROR(__xludf.DUMMYFUNCTION("""COMPUTED_VALUE"""),"Levecke et al.")</f>
        <v>Levecke et al.</v>
      </c>
      <c r="B66" s="834" t="str">
        <f>IFERROR(__xludf.DUMMYFUNCTION("""COMPUTED_VALUE"""),"Brazil")</f>
        <v>Brazil</v>
      </c>
      <c r="C66" s="834" t="str">
        <f>IFERROR(__xludf.DUMMYFUNCTION("""COMPUTED_VALUE"""),"Albendazole")</f>
        <v>Albendazole</v>
      </c>
      <c r="D66" s="834" t="str">
        <f>IFERROR(__xludf.DUMMYFUNCTION("""COMPUTED_VALUE"""),"Single")</f>
        <v>Single</v>
      </c>
      <c r="E66" s="834" t="str">
        <f>IFERROR(__xludf.DUMMYFUNCTION("""COMPUTED_VALUE"""),"400 mg")</f>
        <v>400 mg</v>
      </c>
      <c r="F66" s="834">
        <f>IFERROR(__xludf.DUMMYFUNCTION("""COMPUTED_VALUE"""),52.0)</f>
        <v>52</v>
      </c>
      <c r="G66" s="834">
        <f>IFERROR(__xludf.DUMMYFUNCTION("""COMPUTED_VALUE"""),9.9)</f>
        <v>9.9</v>
      </c>
      <c r="H66" s="834" t="str">
        <f>IFERROR(__xludf.DUMMYFUNCTION("""COMPUTED_VALUE"""),"44:0 ")</f>
        <v>44:0 </v>
      </c>
      <c r="I66" s="834">
        <f>IFERROR(__xludf.DUMMYFUNCTION("""COMPUTED_VALUE"""),2012.0)</f>
        <v>2012</v>
      </c>
      <c r="J66" s="834"/>
      <c r="K66" s="839" t="str">
        <f>IFERROR(__xludf.DUMMYFUNCTION("""COMPUTED_VALUE"""),"open trial")</f>
        <v>open trial</v>
      </c>
      <c r="L66" s="839" t="str">
        <f>IFERROR(__xludf.DUMMYFUNCTION("""COMPUTED_VALUE"""),"No")</f>
        <v>No</v>
      </c>
      <c r="M66" s="839" t="str">
        <f>IFERROR(__xludf.DUMMYFUNCTION("""COMPUTED_VALUE"""),"No")</f>
        <v>No</v>
      </c>
      <c r="N66" s="840">
        <f>IFERROR(__xludf.DUMMYFUNCTION("""COMPUTED_VALUE"""),0.975)</f>
        <v>0.975</v>
      </c>
      <c r="O66" s="834"/>
      <c r="P66" s="834"/>
      <c r="Q66" s="834"/>
      <c r="R66" s="834"/>
      <c r="S66" s="834"/>
      <c r="T66" s="834"/>
      <c r="U66" s="834"/>
      <c r="V66" s="834"/>
      <c r="W66" s="834"/>
      <c r="X66" s="834"/>
      <c r="Y66" s="834"/>
      <c r="Z66" s="834"/>
      <c r="AA66" s="834"/>
      <c r="AB66" s="834"/>
      <c r="AC66" s="834"/>
      <c r="AD66" s="834"/>
      <c r="AE66" s="834" t="str">
        <f>IFERROR(__xludf.DUMMYFUNCTION("""COMPUTED_VALUE"""),"Overall, ALB resulted in statistically higher FECR rate against hookworm infections verse MEB")</f>
        <v>Overall, ALB resulted in statistically higher FECR rate against hookworm infections verse MEB</v>
      </c>
      <c r="AF66" s="834" t="str">
        <f>IFERROR(__xludf.DUMMYFUNCTION("""COMPUTED_VALUE"""),"McMaster Method; For hookworm the FECR of both drugs did not depend significantly on the mean FEC at pre-intervention")</f>
        <v>McMaster Method; For hookworm the FECR of both drugs did not depend significantly on the mean FEC at pre-intervention</v>
      </c>
      <c r="AG66" s="834" t="str">
        <f>IFERROR(__xludf.DUMMYFUNCTION("""COMPUTED_VALUE"""),"Levecke, Bruno, Antonio Montresor, Marco Albonico, Shaali M. Ame, Jerzy M. Behnke, Jeffrey M. Bethony, Calvine D. Noumedem, Dirk Engels, Bertrand Guillard, Andrew C. Kotze, Alejandro J. Krolewiecki, James S. McCarthy, Zeleke Mekonnen, Maria V. Periago, He"&amp;"m Sopheak, Louis Albert Tchuem-Tchuente, Tran Thanh Duong, Nguyen Thu Huong, Ahmed Zeynudin, and Jozef Vercuysse. ""Assessment of Anthelmintic Efficacy of Mebendazolein School Children in Six Countries Where Soil Transmitted Helminths Are Endemic."" PLOS "&amp;"Neglected Tropical Diseases 8.10 (2014): 1-11. Web.")</f>
        <v>Levecke, Bruno, Antonio Montresor, Marco Albonico, Shaali M. Ame, Jerzy M. Behnke, Jeffrey M. Bethony, Calvine D. Noumedem, Dirk Engels, Bertrand Guillard, Andrew C. Kotze, Alejandro J. Krolewiecki, James S. McCarthy, Zeleke Mekonnen, Maria V. Periago, Hem Sopheak, Louis Albert Tchuem-Tchuente, Tran Thanh Duong, Nguyen Thu Huong, Ahmed Zeynudin, and Jozef Vercuysse. "Assessment of Anthelmintic Efficacy of Mebendazolein School Children in Six Countries Where Soil Transmitted Helminths Are Endemic." PLOS Neglected Tropical Diseases 8.10 (2014): 1-11. Web.</v>
      </c>
      <c r="AH66" s="834" t="str">
        <f>IFERROR(__xludf.DUMMYFUNCTION("""COMPUTED_VALUE"""),"x")</f>
        <v>x</v>
      </c>
      <c r="AJ66" s="843" t="str">
        <f>IFERROR(__xludf.DUMMYFUNCTION("""COMPUTED_VALUE"""),"Vercruysse et al.")</f>
        <v>Vercruysse et al.</v>
      </c>
      <c r="AK66" s="836"/>
      <c r="AL66" s="836" t="str">
        <f>IFERROR(__xludf.DUMMYFUNCTION("""COMPUTED_VALUE"""),"India")</f>
        <v>India</v>
      </c>
      <c r="AM66" s="836" t="str">
        <f>IFERROR(__xludf.DUMMYFUNCTION("""COMPUTED_VALUE"""),"Albendazole")</f>
        <v>Albendazole</v>
      </c>
      <c r="AN66" s="836" t="str">
        <f>IFERROR(__xludf.DUMMYFUNCTION("""COMPUTED_VALUE"""),"Single")</f>
        <v>Single</v>
      </c>
      <c r="AO66" s="836" t="str">
        <f>IFERROR(__xludf.DUMMYFUNCTION("""COMPUTED_VALUE"""),"400 mg")</f>
        <v>400 mg</v>
      </c>
      <c r="AP66" s="836">
        <f>IFERROR(__xludf.DUMMYFUNCTION("""COMPUTED_VALUE"""),121.0)</f>
        <v>121</v>
      </c>
      <c r="AQ66" s="836" t="str">
        <f>IFERROR(__xludf.DUMMYFUNCTION("""COMPUTED_VALUE"""),"4-18 years old")</f>
        <v>4-18 years old</v>
      </c>
      <c r="AR66" s="836" t="str">
        <f>IFERROR(__xludf.DUMMYFUNCTION("""COMPUTED_VALUE"""),"Male:543 Female:507")</f>
        <v>Male:543 Female:507</v>
      </c>
      <c r="AS66" s="836">
        <f>IFERROR(__xludf.DUMMYFUNCTION("""COMPUTED_VALUE"""),2009.0)</f>
        <v>2009</v>
      </c>
      <c r="AT66" s="836"/>
      <c r="AU66" s="836" t="str">
        <f>IFERROR(__xludf.DUMMYFUNCTION("""COMPUTED_VALUE"""),"No")</f>
        <v>No</v>
      </c>
      <c r="AV66" s="836" t="str">
        <f>IFERROR(__xludf.DUMMYFUNCTION("""COMPUTED_VALUE"""),"No")</f>
        <v>No</v>
      </c>
      <c r="AW66" s="836" t="str">
        <f>IFERROR(__xludf.DUMMYFUNCTION("""COMPUTED_VALUE"""),"trial, no control")</f>
        <v>trial, no control</v>
      </c>
      <c r="AX66" s="841">
        <f>IFERROR(__xludf.DUMMYFUNCTION("""COMPUTED_VALUE"""),0.889)</f>
        <v>0.889</v>
      </c>
      <c r="AY66" s="836"/>
      <c r="AZ66" s="841">
        <f>IFERROR(__xludf.DUMMYFUNCTION("""COMPUTED_VALUE"""),0.889)</f>
        <v>0.889</v>
      </c>
      <c r="BA66" s="836"/>
      <c r="BB66" s="836"/>
      <c r="BC66" s="836"/>
      <c r="BD66" s="836"/>
      <c r="BE66" s="836"/>
      <c r="BF66" s="836"/>
      <c r="BG66" s="836"/>
      <c r="BH66" s="841">
        <f>IFERROR(__xludf.DUMMYFUNCTION("""COMPUTED_VALUE"""),0.745)</f>
        <v>0.745</v>
      </c>
      <c r="BI66" s="836"/>
      <c r="BJ66" s="836"/>
      <c r="BK66" s="836"/>
      <c r="BL66" s="836"/>
      <c r="BM66" s="836"/>
      <c r="BN66" s="836"/>
      <c r="BO66" s="836" t="str">
        <f>IFERROR(__xludf.DUMMYFUNCTION("""COMPUTED_VALUE"""),"McMaster Method")</f>
        <v>McMaster Method</v>
      </c>
      <c r="BP66" s="836" t="str">
        <f>IFERROR(__xludf.DUMMYFUNCTION("""COMPUTED_VALUE"""),"x")</f>
        <v>x</v>
      </c>
      <c r="BQ66" s="697">
        <f>IFERROR(__xludf.DUMMYFUNCTION("""COMPUTED_VALUE"""),65.0)</f>
        <v>65</v>
      </c>
      <c r="BR66" s="844" t="str">
        <f>IFERROR(__xludf.DUMMYFUNCTION("""COMPUTED_VALUE"""),"Roccignol et al.")</f>
        <v>Roccignol et al.</v>
      </c>
      <c r="BS66" s="838" t="str">
        <f>IFERROR(__xludf.DUMMYFUNCTION("""COMPUTED_VALUE"""),"Multi-centre: France, Morocco, Mali, Sengal, Nigeria, Central African Republic, Kenya, Brazil, Peru, Mexico, Phillipines")</f>
        <v>Multi-centre: France, Morocco, Mali, Sengal, Nigeria, Central African Republic, Kenya, Brazil, Peru, Mexico, Phillipines</v>
      </c>
      <c r="BT66" s="838" t="str">
        <f>IFERROR(__xludf.DUMMYFUNCTION("""COMPUTED_VALUE"""),"Albendazole")</f>
        <v>Albendazole</v>
      </c>
      <c r="BU66" s="838"/>
      <c r="BV66" s="838" t="str">
        <f>IFERROR(__xludf.DUMMYFUNCTION("""COMPUTED_VALUE"""),"Single")</f>
        <v>Single</v>
      </c>
      <c r="BW66" s="838" t="str">
        <f>IFERROR(__xludf.DUMMYFUNCTION("""COMPUTED_VALUE"""),"400 mg")</f>
        <v>400 mg</v>
      </c>
      <c r="BX66" s="838">
        <f>IFERROR(__xludf.DUMMYFUNCTION("""COMPUTED_VALUE"""),34.0)</f>
        <v>34</v>
      </c>
      <c r="BY66" s="838" t="str">
        <f>IFERROR(__xludf.DUMMYFUNCTION("""COMPUTED_VALUE"""),"School Children")</f>
        <v>School Children</v>
      </c>
      <c r="BZ66" s="838"/>
      <c r="CA66" s="838"/>
      <c r="CB66" s="838"/>
      <c r="CC66" s="838" t="str">
        <f>IFERROR(__xludf.DUMMYFUNCTION("""COMPUTED_VALUE"""),"Yes")</f>
        <v>Yes</v>
      </c>
      <c r="CD66" s="847">
        <f>IFERROR(__xludf.DUMMYFUNCTION("""COMPUTED_VALUE"""),0.975)</f>
        <v>0.975</v>
      </c>
      <c r="CE66" s="838" t="str">
        <f>IFERROR(__xludf.DUMMYFUNCTION("""COMPUTED_VALUE"""),"Yes")</f>
        <v>Yes</v>
      </c>
      <c r="CF66" s="838"/>
      <c r="CG66" s="847">
        <f>IFERROR(__xludf.DUMMYFUNCTION("""COMPUTED_VALUE"""),0.975)</f>
        <v>0.975</v>
      </c>
      <c r="CH66" s="838"/>
      <c r="CI66" s="838"/>
      <c r="CJ66" s="838"/>
      <c r="CK66" s="838"/>
      <c r="CL66" s="838"/>
      <c r="CM66" s="838"/>
      <c r="CN66" s="847">
        <f>IFERROR(__xludf.DUMMYFUNCTION("""COMPUTED_VALUE"""),0.999)</f>
        <v>0.999</v>
      </c>
      <c r="CO66" s="838"/>
      <c r="CP66" s="838"/>
      <c r="CQ66" s="838"/>
      <c r="CR66" s="838"/>
      <c r="CS66" s="838"/>
      <c r="CT66" s="838"/>
      <c r="CU66" s="838"/>
      <c r="CV66" s="697" t="str">
        <f>IFERROR(__xludf.DUMMYFUNCTION("""COMPUTED_VALUE"""),"Rossignol, J. F. ; Maisonneuve, H. (1983). Albendazole:placebo-controlled study in 870 patients withintestinal helminthiasis. Transactions of the RoyalSociety of Tropical Medicine and Hygiene 77, 707–711.")</f>
        <v>Rossignol, J. F. ; Maisonneuve, H. (1983). Albendazole:placebo-controlled study in 870 patients withintestinal helminthiasis. Transactions of the RoyalSociety of Tropical Medicine and Hygiene 77, 707–711.</v>
      </c>
    </row>
    <row r="67">
      <c r="A67" s="842" t="str">
        <f>IFERROR(__xludf.DUMMYFUNCTION("""COMPUTED_VALUE"""),"Levecke et al.")</f>
        <v>Levecke et al.</v>
      </c>
      <c r="B67" s="834" t="str">
        <f>IFERROR(__xludf.DUMMYFUNCTION("""COMPUTED_VALUE"""),"Brazil")</f>
        <v>Brazil</v>
      </c>
      <c r="C67" s="834" t="str">
        <f>IFERROR(__xludf.DUMMYFUNCTION("""COMPUTED_VALUE"""),"Mebendazole")</f>
        <v>Mebendazole</v>
      </c>
      <c r="D67" s="834" t="str">
        <f>IFERROR(__xludf.DUMMYFUNCTION("""COMPUTED_VALUE"""),"Single")</f>
        <v>Single</v>
      </c>
      <c r="E67" s="834" t="str">
        <f>IFERROR(__xludf.DUMMYFUNCTION("""COMPUTED_VALUE"""),"500 mg")</f>
        <v>500 mg</v>
      </c>
      <c r="F67" s="834">
        <f>IFERROR(__xludf.DUMMYFUNCTION("""COMPUTED_VALUE"""),172.0)</f>
        <v>172</v>
      </c>
      <c r="G67" s="834">
        <f>IFERROR(__xludf.DUMMYFUNCTION("""COMPUTED_VALUE"""),9.9)</f>
        <v>9.9</v>
      </c>
      <c r="H67" s="839" t="str">
        <f>IFERROR(__xludf.DUMMYFUNCTION("""COMPUTED_VALUE"""),"0:62")</f>
        <v>0:62</v>
      </c>
      <c r="I67" s="834">
        <f>IFERROR(__xludf.DUMMYFUNCTION("""COMPUTED_VALUE"""),2012.0)</f>
        <v>2012</v>
      </c>
      <c r="J67" s="834"/>
      <c r="K67" s="839" t="str">
        <f>IFERROR(__xludf.DUMMYFUNCTION("""COMPUTED_VALUE"""),"open trial")</f>
        <v>open trial</v>
      </c>
      <c r="L67" s="839" t="str">
        <f>IFERROR(__xludf.DUMMYFUNCTION("""COMPUTED_VALUE"""),"No")</f>
        <v>No</v>
      </c>
      <c r="M67" s="839" t="str">
        <f>IFERROR(__xludf.DUMMYFUNCTION("""COMPUTED_VALUE"""),"No")</f>
        <v>No</v>
      </c>
      <c r="N67" s="840">
        <f>IFERROR(__xludf.DUMMYFUNCTION("""COMPUTED_VALUE"""),0.84)</f>
        <v>0.84</v>
      </c>
      <c r="O67" s="834"/>
      <c r="P67" s="834"/>
      <c r="Q67" s="834"/>
      <c r="R67" s="834"/>
      <c r="S67" s="834"/>
      <c r="T67" s="834"/>
      <c r="U67" s="834"/>
      <c r="V67" s="834"/>
      <c r="W67" s="834"/>
      <c r="X67" s="834"/>
      <c r="Y67" s="834"/>
      <c r="Z67" s="834"/>
      <c r="AA67" s="834"/>
      <c r="AB67" s="834"/>
      <c r="AC67" s="834"/>
      <c r="AD67" s="834"/>
      <c r="AE67" s="834" t="str">
        <f>IFERROR(__xludf.DUMMYFUNCTION("""COMPUTED_VALUE"""),"Overall, ALB resulted in statistically higher FECR rate against hookworm infections verse MEB")</f>
        <v>Overall, ALB resulted in statistically higher FECR rate against hookworm infections verse MEB</v>
      </c>
      <c r="AF67" s="834" t="str">
        <f>IFERROR(__xludf.DUMMYFUNCTION("""COMPUTED_VALUE"""),"McMaster Method                                          For hookworm the FECR of both drugs did not depend significantly on the mean FEC at pre-intervention")</f>
        <v>McMaster Method                                          For hookworm the FECR of both drugs did not depend significantly on the mean FEC at pre-intervention</v>
      </c>
      <c r="AG67" s="834" t="str">
        <f>IFERROR(__xludf.DUMMYFUNCTION("""COMPUTED_VALUE"""),"Levecke, Bruno, Antonio Montresor, Marco Albonico, Shaali M. Ame, Jerzy M. Behnke, Jeffrey M. Bethony, Calvine D. Noumedem, Dirk Engels, Bertrand Guillard, Andrew C. Kotze, Alejandro J. Krolewiecki, James S. McCarthy, Zeleke Mekonnen, Maria V. Periago, He"&amp;"m Sopheak, Louis Albert Tchuem-Tchuente, Tran Thanh Duong, Nguyen Thu Huong, Ahmed Zeynudin, and Jozef Vercuysse. ""Assessment of Anthelmintic Efficacy of Mebendazolein School Children in Six Countries Where Soil Transmitted Helminths Are Endemic."" PLOS "&amp;"Neglected Tropical Diseases 8.10 (2014): 1-11. Web.")</f>
        <v>Levecke, Bruno, Antonio Montresor, Marco Albonico, Shaali M. Ame, Jerzy M. Behnke, Jeffrey M. Bethony, Calvine D. Noumedem, Dirk Engels, Bertrand Guillard, Andrew C. Kotze, Alejandro J. Krolewiecki, James S. McCarthy, Zeleke Mekonnen, Maria V. Periago, Hem Sopheak, Louis Albert Tchuem-Tchuente, Tran Thanh Duong, Nguyen Thu Huong, Ahmed Zeynudin, and Jozef Vercuysse. "Assessment of Anthelmintic Efficacy of Mebendazolein School Children in Six Countries Where Soil Transmitted Helminths Are Endemic." PLOS Neglected Tropical Diseases 8.10 (2014): 1-11. Web.</v>
      </c>
      <c r="AH67" s="834" t="str">
        <f>IFERROR(__xludf.DUMMYFUNCTION("""COMPUTED_VALUE"""),"x")</f>
        <v>x</v>
      </c>
      <c r="AJ67" s="843" t="str">
        <f>IFERROR(__xludf.DUMMYFUNCTION("""COMPUTED_VALUE"""),"Vercruysse et al.")</f>
        <v>Vercruysse et al.</v>
      </c>
      <c r="AK67" s="836"/>
      <c r="AL67" s="836" t="str">
        <f>IFERROR(__xludf.DUMMYFUNCTION("""COMPUTED_VALUE"""),"Tanzania")</f>
        <v>Tanzania</v>
      </c>
      <c r="AM67" s="836" t="str">
        <f>IFERROR(__xludf.DUMMYFUNCTION("""COMPUTED_VALUE"""),"Albendazole")</f>
        <v>Albendazole</v>
      </c>
      <c r="AN67" s="836" t="str">
        <f>IFERROR(__xludf.DUMMYFUNCTION("""COMPUTED_VALUE"""),"Single")</f>
        <v>Single</v>
      </c>
      <c r="AO67" s="836" t="str">
        <f>IFERROR(__xludf.DUMMYFUNCTION("""COMPUTED_VALUE"""),"400 mg")</f>
        <v>400 mg</v>
      </c>
      <c r="AP67" s="836">
        <f>IFERROR(__xludf.DUMMYFUNCTION("""COMPUTED_VALUE"""),419.0)</f>
        <v>419</v>
      </c>
      <c r="AQ67" s="836" t="str">
        <f>IFERROR(__xludf.DUMMYFUNCTION("""COMPUTED_VALUE"""),"4-18 years old")</f>
        <v>4-18 years old</v>
      </c>
      <c r="AR67" s="836" t="str">
        <f>IFERROR(__xludf.DUMMYFUNCTION("""COMPUTED_VALUE"""),"Male:543 Female:508")</f>
        <v>Male:543 Female:508</v>
      </c>
      <c r="AS67" s="836">
        <f>IFERROR(__xludf.DUMMYFUNCTION("""COMPUTED_VALUE"""),2009.0)</f>
        <v>2009</v>
      </c>
      <c r="AT67" s="836"/>
      <c r="AU67" s="836" t="str">
        <f>IFERROR(__xludf.DUMMYFUNCTION("""COMPUTED_VALUE"""),"No")</f>
        <v>No</v>
      </c>
      <c r="AV67" s="836" t="str">
        <f>IFERROR(__xludf.DUMMYFUNCTION("""COMPUTED_VALUE"""),"No")</f>
        <v>No</v>
      </c>
      <c r="AW67" s="836" t="str">
        <f>IFERROR(__xludf.DUMMYFUNCTION("""COMPUTED_VALUE"""),"trial, no control")</f>
        <v>trial, no control</v>
      </c>
      <c r="AX67" s="841">
        <f>IFERROR(__xludf.DUMMYFUNCTION("""COMPUTED_VALUE"""),0.21)</f>
        <v>0.21</v>
      </c>
      <c r="AY67" s="836"/>
      <c r="AZ67" s="841">
        <f>IFERROR(__xludf.DUMMYFUNCTION("""COMPUTED_VALUE"""),0.21)</f>
        <v>0.21</v>
      </c>
      <c r="BA67" s="836"/>
      <c r="BB67" s="836"/>
      <c r="BC67" s="836"/>
      <c r="BD67" s="836"/>
      <c r="BE67" s="836"/>
      <c r="BF67" s="836"/>
      <c r="BG67" s="836"/>
      <c r="BH67" s="850">
        <f>IFERROR(__xludf.DUMMYFUNCTION("""COMPUTED_VALUE"""),0.52)</f>
        <v>0.52</v>
      </c>
      <c r="BI67" s="836"/>
      <c r="BJ67" s="836"/>
      <c r="BK67" s="836"/>
      <c r="BL67" s="836"/>
      <c r="BM67" s="836"/>
      <c r="BN67" s="836"/>
      <c r="BO67" s="836" t="str">
        <f>IFERROR(__xludf.DUMMYFUNCTION("""COMPUTED_VALUE"""),"McMaster Method")</f>
        <v>McMaster Method</v>
      </c>
      <c r="BP67" s="836" t="str">
        <f>IFERROR(__xludf.DUMMYFUNCTION("""COMPUTED_VALUE"""),"x")</f>
        <v>x</v>
      </c>
      <c r="BQ67" s="697">
        <f>IFERROR(__xludf.DUMMYFUNCTION("""COMPUTED_VALUE"""),66.0)</f>
        <v>66</v>
      </c>
      <c r="BR67" s="844" t="str">
        <f>IFERROR(__xludf.DUMMYFUNCTION("""COMPUTED_VALUE"""),"Roccignol et al.")</f>
        <v>Roccignol et al.</v>
      </c>
      <c r="BS67" s="838" t="str">
        <f>IFERROR(__xludf.DUMMYFUNCTION("""COMPUTED_VALUE"""),"Multi-centre: France, Morocco, Mali, Sengal, Nigeria, Central African Republic, Kenya, Brazil, Peru, Mexico, Phillipines")</f>
        <v>Multi-centre: France, Morocco, Mali, Sengal, Nigeria, Central African Republic, Kenya, Brazil, Peru, Mexico, Phillipines</v>
      </c>
      <c r="BT67" s="838" t="str">
        <f>IFERROR(__xludf.DUMMYFUNCTION("""COMPUTED_VALUE"""),"Placebo")</f>
        <v>Placebo</v>
      </c>
      <c r="BU67" s="838"/>
      <c r="BV67" s="838"/>
      <c r="BW67" s="838"/>
      <c r="BX67" s="838">
        <f>IFERROR(__xludf.DUMMYFUNCTION("""COMPUTED_VALUE"""),413.0)</f>
        <v>413</v>
      </c>
      <c r="BY67" s="838"/>
      <c r="BZ67" s="838"/>
      <c r="CA67" s="838"/>
      <c r="CB67" s="838"/>
      <c r="CC67" s="838" t="str">
        <f>IFERROR(__xludf.DUMMYFUNCTION("""COMPUTED_VALUE"""),"Yes")</f>
        <v>Yes</v>
      </c>
      <c r="CD67" s="838"/>
      <c r="CE67" s="838" t="str">
        <f>IFERROR(__xludf.DUMMYFUNCTION("""COMPUTED_VALUE"""),"Yes")</f>
        <v>Yes</v>
      </c>
      <c r="CF67" s="838"/>
      <c r="CG67" s="838"/>
      <c r="CH67" s="838"/>
      <c r="CI67" s="838"/>
      <c r="CJ67" s="838"/>
      <c r="CK67" s="838"/>
      <c r="CL67" s="838"/>
      <c r="CM67" s="838"/>
      <c r="CN67" s="838"/>
      <c r="CO67" s="838"/>
      <c r="CP67" s="838"/>
      <c r="CQ67" s="838"/>
      <c r="CR67" s="838"/>
      <c r="CS67" s="838"/>
      <c r="CT67" s="838"/>
      <c r="CU67" s="838"/>
      <c r="CV67" s="697" t="str">
        <f>IFERROR(__xludf.DUMMYFUNCTION("""COMPUTED_VALUE"""),"Rossignol, J. F. ; Maisonneuve, H. (1983). Albendazole:placebo-controlled study in 870 patients withintestinal helminthiasis. Transactions of the RoyalSociety of Tropical Medicine and Hygiene 77, 707–711.")</f>
        <v>Rossignol, J. F. ; Maisonneuve, H. (1983). Albendazole:placebo-controlled study in 870 patients withintestinal helminthiasis. Transactions of the RoyalSociety of Tropical Medicine and Hygiene 77, 707–711.</v>
      </c>
    </row>
    <row r="68">
      <c r="A68" s="842" t="str">
        <f>IFERROR(__xludf.DUMMYFUNCTION("""COMPUTED_VALUE"""),"Levecke et al.")</f>
        <v>Levecke et al.</v>
      </c>
      <c r="B68" s="834" t="str">
        <f>IFERROR(__xludf.DUMMYFUNCTION("""COMPUTED_VALUE"""),"Viet Nam")</f>
        <v>Viet Nam</v>
      </c>
      <c r="C68" s="834" t="str">
        <f>IFERROR(__xludf.DUMMYFUNCTION("""COMPUTED_VALUE"""),"Albendazole")</f>
        <v>Albendazole</v>
      </c>
      <c r="D68" s="834" t="str">
        <f>IFERROR(__xludf.DUMMYFUNCTION("""COMPUTED_VALUE"""),"Single")</f>
        <v>Single</v>
      </c>
      <c r="E68" s="834" t="str">
        <f>IFERROR(__xludf.DUMMYFUNCTION("""COMPUTED_VALUE"""),"400 mg")</f>
        <v>400 mg</v>
      </c>
      <c r="F68" s="834">
        <f>IFERROR(__xludf.DUMMYFUNCTION("""COMPUTED_VALUE"""),58.0)</f>
        <v>58</v>
      </c>
      <c r="G68" s="834">
        <f>IFERROR(__xludf.DUMMYFUNCTION("""COMPUTED_VALUE"""),8.9)</f>
        <v>8.9</v>
      </c>
      <c r="H68" s="834" t="str">
        <f>IFERROR(__xludf.DUMMYFUNCTION("""COMPUTED_VALUE"""),"71:0 ")</f>
        <v>71:0 </v>
      </c>
      <c r="I68" s="834">
        <f>IFERROR(__xludf.DUMMYFUNCTION("""COMPUTED_VALUE"""),2012.0)</f>
        <v>2012</v>
      </c>
      <c r="J68" s="834"/>
      <c r="K68" s="839" t="str">
        <f>IFERROR(__xludf.DUMMYFUNCTION("""COMPUTED_VALUE"""),"open trial")</f>
        <v>open trial</v>
      </c>
      <c r="L68" s="839" t="str">
        <f>IFERROR(__xludf.DUMMYFUNCTION("""COMPUTED_VALUE"""),"No")</f>
        <v>No</v>
      </c>
      <c r="M68" s="839" t="str">
        <f>IFERROR(__xludf.DUMMYFUNCTION("""COMPUTED_VALUE"""),"No")</f>
        <v>No</v>
      </c>
      <c r="N68" s="840">
        <f>IFERROR(__xludf.DUMMYFUNCTION("""COMPUTED_VALUE"""),1.0)</f>
        <v>1</v>
      </c>
      <c r="O68" s="834"/>
      <c r="P68" s="834"/>
      <c r="Q68" s="834"/>
      <c r="R68" s="834"/>
      <c r="S68" s="834"/>
      <c r="T68" s="834"/>
      <c r="U68" s="834"/>
      <c r="V68" s="834"/>
      <c r="W68" s="834"/>
      <c r="X68" s="834"/>
      <c r="Y68" s="834"/>
      <c r="Z68" s="834"/>
      <c r="AA68" s="834"/>
      <c r="AB68" s="834"/>
      <c r="AC68" s="834"/>
      <c r="AD68" s="834"/>
      <c r="AE68" s="834" t="str">
        <f>IFERROR(__xludf.DUMMYFUNCTION("""COMPUTED_VALUE"""),"Overall, ALB resulted in statistically higher FECR rate against hookworm infections verse MEB")</f>
        <v>Overall, ALB resulted in statistically higher FECR rate against hookworm infections verse MEB</v>
      </c>
      <c r="AF68" s="834" t="str">
        <f>IFERROR(__xludf.DUMMYFUNCTION("""COMPUTED_VALUE"""),"McMaster Method                                          For hookworm the FECR of both drugs did not depend significantly on the mean FEC at pre-intervention")</f>
        <v>McMaster Method                                          For hookworm the FECR of both drugs did not depend significantly on the mean FEC at pre-intervention</v>
      </c>
      <c r="AG68" s="834" t="str">
        <f>IFERROR(__xludf.DUMMYFUNCTION("""COMPUTED_VALUE"""),"Levecke, Bruno, Antonio Montresor, Marco Albonico, Shaali M. Ame, Jerzy M. Behnke, Jeffrey M. Bethony, Calvine D. Noumedem, Dirk Engels, Bertrand Guillard, Andrew C. Kotze, Alejandro J. Krolewiecki, James S. McCarthy, Zeleke Mekonnen, Maria V. Periago, He"&amp;"m Sopheak, Louis Albert Tchuem-Tchuente, Tran Thanh Duong, Nguyen Thu Huong, Ahmed Zeynudin, and Jozef Vercuysse. ""Assessment of Anthelmintic Efficacy of Mebendazolein School Children in Six Countries Where Soil Transmitted Helminths Are Endemic."" PLOS "&amp;"Neglected Tropical Diseases 8.10 (2014): 1-11. Web.")</f>
        <v>Levecke, Bruno, Antonio Montresor, Marco Albonico, Shaali M. Ame, Jerzy M. Behnke, Jeffrey M. Bethony, Calvine D. Noumedem, Dirk Engels, Bertrand Guillard, Andrew C. Kotze, Alejandro J. Krolewiecki, James S. McCarthy, Zeleke Mekonnen, Maria V. Periago, Hem Sopheak, Louis Albert Tchuem-Tchuente, Tran Thanh Duong, Nguyen Thu Huong, Ahmed Zeynudin, and Jozef Vercuysse. "Assessment of Anthelmintic Efficacy of Mebendazolein School Children in Six Countries Where Soil Transmitted Helminths Are Endemic." PLOS Neglected Tropical Diseases 8.10 (2014): 1-11. Web.</v>
      </c>
      <c r="AH68" s="834" t="str">
        <f>IFERROR(__xludf.DUMMYFUNCTION("""COMPUTED_VALUE"""),"x")</f>
        <v>x</v>
      </c>
      <c r="AJ68" s="843" t="str">
        <f>IFERROR(__xludf.DUMMYFUNCTION("""COMPUTED_VALUE"""),"Vercruysse et al.")</f>
        <v>Vercruysse et al.</v>
      </c>
      <c r="AK68" s="836"/>
      <c r="AL68" s="836" t="str">
        <f>IFERROR(__xludf.DUMMYFUNCTION("""COMPUTED_VALUE"""),"Viet Nam")</f>
        <v>Viet Nam</v>
      </c>
      <c r="AM68" s="836" t="str">
        <f>IFERROR(__xludf.DUMMYFUNCTION("""COMPUTED_VALUE"""),"Albendazole")</f>
        <v>Albendazole</v>
      </c>
      <c r="AN68" s="836" t="str">
        <f>IFERROR(__xludf.DUMMYFUNCTION("""COMPUTED_VALUE"""),"Single")</f>
        <v>Single</v>
      </c>
      <c r="AO68" s="836" t="str">
        <f>IFERROR(__xludf.DUMMYFUNCTION("""COMPUTED_VALUE"""),"400 mg")</f>
        <v>400 mg</v>
      </c>
      <c r="AP68" s="836">
        <f>IFERROR(__xludf.DUMMYFUNCTION("""COMPUTED_VALUE"""),258.0)</f>
        <v>258</v>
      </c>
      <c r="AQ68" s="836" t="str">
        <f>IFERROR(__xludf.DUMMYFUNCTION("""COMPUTED_VALUE"""),"4-18 years old")</f>
        <v>4-18 years old</v>
      </c>
      <c r="AR68" s="836" t="str">
        <f>IFERROR(__xludf.DUMMYFUNCTION("""COMPUTED_VALUE"""),"Male:543 Female:509")</f>
        <v>Male:543 Female:509</v>
      </c>
      <c r="AS68" s="836">
        <f>IFERROR(__xludf.DUMMYFUNCTION("""COMPUTED_VALUE"""),2009.0)</f>
        <v>2009</v>
      </c>
      <c r="AT68" s="836"/>
      <c r="AU68" s="836" t="str">
        <f>IFERROR(__xludf.DUMMYFUNCTION("""COMPUTED_VALUE"""),"No")</f>
        <v>No</v>
      </c>
      <c r="AV68" s="836" t="str">
        <f>IFERROR(__xludf.DUMMYFUNCTION("""COMPUTED_VALUE"""),"No")</f>
        <v>No</v>
      </c>
      <c r="AW68" s="836" t="str">
        <f>IFERROR(__xludf.DUMMYFUNCTION("""COMPUTED_VALUE"""),"trial, no control")</f>
        <v>trial, no control</v>
      </c>
      <c r="AX68" s="841">
        <f>IFERROR(__xludf.DUMMYFUNCTION("""COMPUTED_VALUE"""),0.812)</f>
        <v>0.812</v>
      </c>
      <c r="AY68" s="836"/>
      <c r="AZ68" s="841">
        <f>IFERROR(__xludf.DUMMYFUNCTION("""COMPUTED_VALUE"""),0.812)</f>
        <v>0.812</v>
      </c>
      <c r="BA68" s="836"/>
      <c r="BB68" s="836"/>
      <c r="BC68" s="836"/>
      <c r="BD68" s="836"/>
      <c r="BE68" s="836"/>
      <c r="BF68" s="836"/>
      <c r="BG68" s="836"/>
      <c r="BH68" s="841">
        <f>IFERROR(__xludf.DUMMYFUNCTION("""COMPUTED_VALUE"""),0.923)</f>
        <v>0.923</v>
      </c>
      <c r="BI68" s="836"/>
      <c r="BJ68" s="836"/>
      <c r="BK68" s="836"/>
      <c r="BL68" s="836"/>
      <c r="BM68" s="836"/>
      <c r="BN68" s="836"/>
      <c r="BO68" s="836" t="str">
        <f>IFERROR(__xludf.DUMMYFUNCTION("""COMPUTED_VALUE"""),"McMaster Method")</f>
        <v>McMaster Method</v>
      </c>
      <c r="BP68" s="836" t="str">
        <f>IFERROR(__xludf.DUMMYFUNCTION("""COMPUTED_VALUE"""),"x")</f>
        <v>x</v>
      </c>
      <c r="BQ68" s="697">
        <f>IFERROR(__xludf.DUMMYFUNCTION("""COMPUTED_VALUE"""),67.0)</f>
        <v>67</v>
      </c>
      <c r="BR68" s="844" t="str">
        <f>IFERROR(__xludf.DUMMYFUNCTION("""COMPUTED_VALUE"""),"Sinniah et al.")</f>
        <v>Sinniah et al.</v>
      </c>
      <c r="BS68" s="838" t="str">
        <f>IFERROR(__xludf.DUMMYFUNCTION("""COMPUTED_VALUE"""),"Malaysia")</f>
        <v>Malaysia</v>
      </c>
      <c r="BT68" s="838" t="str">
        <f>IFERROR(__xludf.DUMMYFUNCTION("""COMPUTED_VALUE"""),"Pyrantel Pamoate")</f>
        <v>Pyrantel Pamoate</v>
      </c>
      <c r="BU68" s="838"/>
      <c r="BV68" s="838" t="str">
        <f>IFERROR(__xludf.DUMMYFUNCTION("""COMPUTED_VALUE"""),"Single")</f>
        <v>Single</v>
      </c>
      <c r="BW68" s="838" t="str">
        <f>IFERROR(__xludf.DUMMYFUNCTION("""COMPUTED_VALUE"""),"10 mg")</f>
        <v>10 mg</v>
      </c>
      <c r="BX68" s="838">
        <f>IFERROR(__xludf.DUMMYFUNCTION("""COMPUTED_VALUE"""),510.0)</f>
        <v>510</v>
      </c>
      <c r="BY68" s="845">
        <f>IFERROR(__xludf.DUMMYFUNCTION("""COMPUTED_VALUE"""),42534.0)</f>
        <v>42534</v>
      </c>
      <c r="BZ68" s="838"/>
      <c r="CA68" s="838"/>
      <c r="CB68" s="838"/>
      <c r="CC68" s="838" t="str">
        <f>IFERROR(__xludf.DUMMYFUNCTION("""COMPUTED_VALUE"""),"Yes")</f>
        <v>Yes</v>
      </c>
      <c r="CD68" s="847">
        <f>IFERROR(__xludf.DUMMYFUNCTION("""COMPUTED_VALUE"""),0.851)</f>
        <v>0.851</v>
      </c>
      <c r="CE68" s="838" t="str">
        <f>IFERROR(__xludf.DUMMYFUNCTION("""COMPUTED_VALUE"""),"No")</f>
        <v>No</v>
      </c>
      <c r="CF68" s="838"/>
      <c r="CG68" s="838"/>
      <c r="CH68" s="838"/>
      <c r="CI68" s="838"/>
      <c r="CJ68" s="838"/>
      <c r="CK68" s="838"/>
      <c r="CL68" s="838"/>
      <c r="CM68" s="847">
        <f>IFERROR(__xludf.DUMMYFUNCTION("""COMPUTED_VALUE"""),0.879)</f>
        <v>0.879</v>
      </c>
      <c r="CN68" s="838"/>
      <c r="CO68" s="838"/>
      <c r="CP68" s="838"/>
      <c r="CQ68" s="838"/>
      <c r="CR68" s="838"/>
      <c r="CS68" s="838"/>
      <c r="CT68" s="838"/>
      <c r="CU68" s="838" t="str">
        <f>IFERROR(__xludf.DUMMYFUNCTION("""COMPUTED_VALUE""")," ")</f>
        <v> </v>
      </c>
      <c r="CV68" s="697" t="str">
        <f>IFERROR(__xludf.DUMMYFUNCTION("""COMPUTED_VALUE"""),"Sinniah, b., chew, p. i. &amp; subramaniam, k. (1990). Acomparative trial of albendazole, mebendazole,pyrantel pamoate and oxantel pyrantel pamoateagainst soil-transmitted helminthiases in schoolchildren. Tropical Biomedicine 7, 129–134.")</f>
        <v>Sinniah, b., chew, p. i. &amp; subramaniam, k. (1990). Acomparative trial of albendazole, mebendazole,pyrantel pamoate and oxantel pyrantel pamoateagainst soil-transmitted helminthiases in schoolchildren. Tropical Biomedicine 7, 129–134.</v>
      </c>
    </row>
    <row r="69">
      <c r="A69" s="842" t="str">
        <f>IFERROR(__xludf.DUMMYFUNCTION("""COMPUTED_VALUE"""),"Levecke et al.")</f>
        <v>Levecke et al.</v>
      </c>
      <c r="B69" s="834" t="str">
        <f>IFERROR(__xludf.DUMMYFUNCTION("""COMPUTED_VALUE"""),"Viet Nam")</f>
        <v>Viet Nam</v>
      </c>
      <c r="C69" s="834" t="str">
        <f>IFERROR(__xludf.DUMMYFUNCTION("""COMPUTED_VALUE"""),"Mebendazole")</f>
        <v>Mebendazole</v>
      </c>
      <c r="D69" s="834" t="str">
        <f>IFERROR(__xludf.DUMMYFUNCTION("""COMPUTED_VALUE"""),"Single")</f>
        <v>Single</v>
      </c>
      <c r="E69" s="834" t="str">
        <f>IFERROR(__xludf.DUMMYFUNCTION("""COMPUTED_VALUE"""),"500 mg")</f>
        <v>500 mg</v>
      </c>
      <c r="F69" s="834">
        <f>IFERROR(__xludf.DUMMYFUNCTION("""COMPUTED_VALUE"""),80.0)</f>
        <v>80</v>
      </c>
      <c r="G69" s="834">
        <f>IFERROR(__xludf.DUMMYFUNCTION("""COMPUTED_VALUE"""),8.9)</f>
        <v>8.9</v>
      </c>
      <c r="H69" s="851">
        <f>IFERROR(__xludf.DUMMYFUNCTION("""COMPUTED_VALUE"""),0.05416666666666667)</f>
        <v>0.05416666667</v>
      </c>
      <c r="I69" s="834">
        <f>IFERROR(__xludf.DUMMYFUNCTION("""COMPUTED_VALUE"""),2012.0)</f>
        <v>2012</v>
      </c>
      <c r="J69" s="834"/>
      <c r="K69" s="839" t="str">
        <f>IFERROR(__xludf.DUMMYFUNCTION("""COMPUTED_VALUE"""),"open trial")</f>
        <v>open trial</v>
      </c>
      <c r="L69" s="839" t="str">
        <f>IFERROR(__xludf.DUMMYFUNCTION("""COMPUTED_VALUE"""),"No")</f>
        <v>No</v>
      </c>
      <c r="M69" s="839" t="str">
        <f>IFERROR(__xludf.DUMMYFUNCTION("""COMPUTED_VALUE"""),"No")</f>
        <v>No</v>
      </c>
      <c r="N69" s="840">
        <f>IFERROR(__xludf.DUMMYFUNCTION("""COMPUTED_VALUE"""),0.95)</f>
        <v>0.95</v>
      </c>
      <c r="O69" s="834"/>
      <c r="P69" s="834"/>
      <c r="Q69" s="834"/>
      <c r="R69" s="834"/>
      <c r="S69" s="834"/>
      <c r="T69" s="834"/>
      <c r="U69" s="834"/>
      <c r="V69" s="834"/>
      <c r="W69" s="834"/>
      <c r="X69" s="834"/>
      <c r="Y69" s="834"/>
      <c r="Z69" s="834"/>
      <c r="AA69" s="834"/>
      <c r="AB69" s="834"/>
      <c r="AC69" s="834"/>
      <c r="AD69" s="834"/>
      <c r="AE69" s="834" t="str">
        <f>IFERROR(__xludf.DUMMYFUNCTION("""COMPUTED_VALUE"""),"Overall, ALB resulted in statistically higher FECR rate against hookworm infections verse MEB")</f>
        <v>Overall, ALB resulted in statistically higher FECR rate against hookworm infections verse MEB</v>
      </c>
      <c r="AF69" s="834" t="str">
        <f>IFERROR(__xludf.DUMMYFUNCTION("""COMPUTED_VALUE"""),"McMaster Method                                          For hookworm the FECR of both drugs did not depend significantly on the mean FEC at pre-intervention")</f>
        <v>McMaster Method                                          For hookworm the FECR of both drugs did not depend significantly on the mean FEC at pre-intervention</v>
      </c>
      <c r="AG69" s="834" t="str">
        <f>IFERROR(__xludf.DUMMYFUNCTION("""COMPUTED_VALUE"""),"Levecke, Bruno, Antonio Montresor, Marco Albonico, Shaali M. Ame, Jerzy M. Behnke, Jeffrey M. Bethony, Calvine D. Noumedem, Dirk Engels, Bertrand Guillard, Andrew C. Kotze, Alejandro J. Krolewiecki, James S. McCarthy, Zeleke Mekonnen, Maria V. Periago, He"&amp;"m Sopheak, Louis Albert Tchuem-Tchuente, Tran Thanh Duong, Nguyen Thu Huong, Ahmed Zeynudin, and Jozef Vercuysse. ""Assessment of Anthelmintic Efficacy of Mebendazolein School Children in Six Countries Where Soil Transmitted Helminths Are Endemic."" PLOS "&amp;"Neglected Tropical Diseases 8.10 (2014): 1-11. Web.")</f>
        <v>Levecke, Bruno, Antonio Montresor, Marco Albonico, Shaali M. Ame, Jerzy M. Behnke, Jeffrey M. Bethony, Calvine D. Noumedem, Dirk Engels, Bertrand Guillard, Andrew C. Kotze, Alejandro J. Krolewiecki, James S. McCarthy, Zeleke Mekonnen, Maria V. Periago, Hem Sopheak, Louis Albert Tchuem-Tchuente, Tran Thanh Duong, Nguyen Thu Huong, Ahmed Zeynudin, and Jozef Vercuysse. "Assessment of Anthelmintic Efficacy of Mebendazolein School Children in Six Countries Where Soil Transmitted Helminths Are Endemic." PLOS Neglected Tropical Diseases 8.10 (2014): 1-11. Web.</v>
      </c>
      <c r="AH69" s="834" t="str">
        <f>IFERROR(__xludf.DUMMYFUNCTION("""COMPUTED_VALUE"""),"x")</f>
        <v>x</v>
      </c>
      <c r="AJ69" s="843" t="str">
        <f>IFERROR(__xludf.DUMMYFUNCTION("""COMPUTED_VALUE"""),"Ekenjoku et al.")</f>
        <v>Ekenjoku et al.</v>
      </c>
      <c r="AK69" s="836" t="str">
        <f>IFERROR(__xludf.DUMMYFUNCTION("""COMPUTED_VALUE"""),"Ekenjoku, A. J., C. Oringanje, and M. M. Meremikwu. ""Comparative Efficacy of Levamisole, Mebendazole, and Pyrantel Pamoate against Common Intestinal Nematodes among Children in Calabar, South-south Nigeria."" Institute of Tropical Diseases Research and P"&amp;"revention 40.3 (2013): 217-21. Web.")</f>
        <v>Ekenjoku, A. J., C. Oringanje, and M. M. Meremikwu. "Comparative Efficacy of Levamisole, Mebendazole, and Pyrantel Pamoate against Common Intestinal Nematodes among Children in Calabar, South-south Nigeria." Institute of Tropical Diseases Research and Prevention 40.3 (2013): 217-21. Web.</v>
      </c>
      <c r="AL69" s="836" t="str">
        <f>IFERROR(__xludf.DUMMYFUNCTION("""COMPUTED_VALUE"""),"Nigeria")</f>
        <v>Nigeria</v>
      </c>
      <c r="AM69" s="836" t="str">
        <f>IFERROR(__xludf.DUMMYFUNCTION("""COMPUTED_VALUE"""),"Mebendazole")</f>
        <v>Mebendazole</v>
      </c>
      <c r="AN69" s="836" t="str">
        <f>IFERROR(__xludf.DUMMYFUNCTION("""COMPUTED_VALUE"""),"Single")</f>
        <v>Single</v>
      </c>
      <c r="AO69" s="836" t="str">
        <f>IFERROR(__xludf.DUMMYFUNCTION("""COMPUTED_VALUE"""),"500 mg")</f>
        <v>500 mg</v>
      </c>
      <c r="AP69" s="836" t="str">
        <f>IFERROR(__xludf.DUMMYFUNCTION("""COMPUTED_VALUE"""),"7/49")</f>
        <v>7/49</v>
      </c>
      <c r="AQ69" s="836" t="str">
        <f>IFERROR(__xludf.DUMMYFUNCTION("""COMPUTED_VALUE"""),"4-12 years old")</f>
        <v>4-12 years old</v>
      </c>
      <c r="AR69" s="836" t="str">
        <f>IFERROR(__xludf.DUMMYFUNCTION("""COMPUTED_VALUE"""),"Both")</f>
        <v>Both</v>
      </c>
      <c r="AS69" s="836">
        <f>IFERROR(__xludf.DUMMYFUNCTION("""COMPUTED_VALUE"""),2005.0)</f>
        <v>2005</v>
      </c>
      <c r="AT69" s="836"/>
      <c r="AU69" s="836" t="str">
        <f>IFERROR(__xludf.DUMMYFUNCTION("""COMPUTED_VALUE"""),"Yes")</f>
        <v>Yes</v>
      </c>
      <c r="AV69" s="836" t="str">
        <f>IFERROR(__xludf.DUMMYFUNCTION("""COMPUTED_VALUE"""),"No")</f>
        <v>No</v>
      </c>
      <c r="AW69" s="836" t="str">
        <f>IFERROR(__xludf.DUMMYFUNCTION("""COMPUTED_VALUE"""),"open-label randomized comparative study")</f>
        <v>open-label randomized comparative study</v>
      </c>
      <c r="AX69" s="850">
        <f>IFERROR(__xludf.DUMMYFUNCTION("""COMPUTED_VALUE"""),1.0)</f>
        <v>1</v>
      </c>
      <c r="AY69" s="850">
        <f>IFERROR(__xludf.DUMMYFUNCTION("""COMPUTED_VALUE"""),1.0)</f>
        <v>1</v>
      </c>
      <c r="AZ69" s="836"/>
      <c r="BA69" s="836"/>
      <c r="BB69" s="836"/>
      <c r="BC69" s="836"/>
      <c r="BD69" s="836"/>
      <c r="BE69" s="836"/>
      <c r="BF69" s="836"/>
      <c r="BG69" s="836"/>
      <c r="BH69" s="836"/>
      <c r="BI69" s="836"/>
      <c r="BJ69" s="836"/>
      <c r="BK69" s="836"/>
      <c r="BL69" s="836"/>
      <c r="BM69" s="836"/>
      <c r="BN69" s="836"/>
      <c r="BO69" s="836"/>
      <c r="BP69" s="836"/>
      <c r="BQ69" s="697">
        <f>IFERROR(__xludf.DUMMYFUNCTION("""COMPUTED_VALUE"""),68.0)</f>
        <v>68</v>
      </c>
      <c r="BR69" s="844" t="str">
        <f>IFERROR(__xludf.DUMMYFUNCTION("""COMPUTED_VALUE"""),"Sinniah et al.")</f>
        <v>Sinniah et al.</v>
      </c>
      <c r="BS69" s="838" t="str">
        <f>IFERROR(__xludf.DUMMYFUNCTION("""COMPUTED_VALUE"""),"Malaysia")</f>
        <v>Malaysia</v>
      </c>
      <c r="BT69" s="838" t="str">
        <f>IFERROR(__xludf.DUMMYFUNCTION("""COMPUTED_VALUE"""),"Oxantel Pyrantel Pamoate")</f>
        <v>Oxantel Pyrantel Pamoate</v>
      </c>
      <c r="BU69" s="838"/>
      <c r="BV69" s="838" t="str">
        <f>IFERROR(__xludf.DUMMYFUNCTION("""COMPUTED_VALUE"""),"Single")</f>
        <v>Single</v>
      </c>
      <c r="BW69" s="838" t="str">
        <f>IFERROR(__xludf.DUMMYFUNCTION("""COMPUTED_VALUE"""),"10 mg")</f>
        <v>10 mg</v>
      </c>
      <c r="BX69" s="838"/>
      <c r="BY69" s="845">
        <f>IFERROR(__xludf.DUMMYFUNCTION("""COMPUTED_VALUE"""),42534.0)</f>
        <v>42534</v>
      </c>
      <c r="BZ69" s="838"/>
      <c r="CA69" s="838"/>
      <c r="CB69" s="838"/>
      <c r="CC69" s="838" t="str">
        <f>IFERROR(__xludf.DUMMYFUNCTION("""COMPUTED_VALUE"""),"Yes")</f>
        <v>Yes</v>
      </c>
      <c r="CD69" s="846">
        <f>IFERROR(__xludf.DUMMYFUNCTION("""COMPUTED_VALUE"""),0.95)</f>
        <v>0.95</v>
      </c>
      <c r="CE69" s="838" t="str">
        <f>IFERROR(__xludf.DUMMYFUNCTION("""COMPUTED_VALUE"""),"No")</f>
        <v>No</v>
      </c>
      <c r="CF69" s="838"/>
      <c r="CG69" s="838"/>
      <c r="CH69" s="838"/>
      <c r="CI69" s="838"/>
      <c r="CJ69" s="838"/>
      <c r="CK69" s="838"/>
      <c r="CL69" s="838"/>
      <c r="CM69" s="847">
        <f>IFERROR(__xludf.DUMMYFUNCTION("""COMPUTED_VALUE"""),0.996)</f>
        <v>0.996</v>
      </c>
      <c r="CN69" s="838"/>
      <c r="CO69" s="838"/>
      <c r="CP69" s="838"/>
      <c r="CQ69" s="838"/>
      <c r="CR69" s="838"/>
      <c r="CS69" s="838"/>
      <c r="CT69" s="838"/>
      <c r="CU69" s="838"/>
      <c r="CV69" s="697" t="str">
        <f>IFERROR(__xludf.DUMMYFUNCTION("""COMPUTED_VALUE"""),"Sinniah, b., chew, p. i. &amp; subramaniam, k. (1990). Acomparative trial of albendazole, mebendazole,pyrantel pamoate and oxantel pyrantel pamoateagainst soil-transmitted helminthiases in schoolchildren. Tropical Biomedicine 7, 129–134.")</f>
        <v>Sinniah, b., chew, p. i. &amp; subramaniam, k. (1990). Acomparative trial of albendazole, mebendazole,pyrantel pamoate and oxantel pyrantel pamoateagainst soil-transmitted helminthiases in schoolchildren. Tropical Biomedicine 7, 129–134.</v>
      </c>
    </row>
    <row r="70">
      <c r="A70" s="842" t="str">
        <f>IFERROR(__xludf.DUMMYFUNCTION("""COMPUTED_VALUE"""),"Levecke et al.")</f>
        <v>Levecke et al.</v>
      </c>
      <c r="B70" s="834" t="str">
        <f>IFERROR(__xludf.DUMMYFUNCTION("""COMPUTED_VALUE"""),"Cambodia")</f>
        <v>Cambodia</v>
      </c>
      <c r="C70" s="834" t="str">
        <f>IFERROR(__xludf.DUMMYFUNCTION("""COMPUTED_VALUE"""),"Albendazole")</f>
        <v>Albendazole</v>
      </c>
      <c r="D70" s="834" t="str">
        <f>IFERROR(__xludf.DUMMYFUNCTION("""COMPUTED_VALUE"""),"Single")</f>
        <v>Single</v>
      </c>
      <c r="E70" s="834" t="str">
        <f>IFERROR(__xludf.DUMMYFUNCTION("""COMPUTED_VALUE"""),"400 mg")</f>
        <v>400 mg</v>
      </c>
      <c r="F70" s="834">
        <f>IFERROR(__xludf.DUMMYFUNCTION("""COMPUTED_VALUE"""),127.0)</f>
        <v>127</v>
      </c>
      <c r="G70" s="834">
        <f>IFERROR(__xludf.DUMMYFUNCTION("""COMPUTED_VALUE"""),9.4)</f>
        <v>9.4</v>
      </c>
      <c r="H70" s="834" t="str">
        <f>IFERROR(__xludf.DUMMYFUNCTION("""COMPUTED_VALUE"""),"63:0 ")</f>
        <v>63:0 </v>
      </c>
      <c r="I70" s="834">
        <f>IFERROR(__xludf.DUMMYFUNCTION("""COMPUTED_VALUE"""),2012.0)</f>
        <v>2012</v>
      </c>
      <c r="J70" s="834"/>
      <c r="K70" s="839" t="str">
        <f>IFERROR(__xludf.DUMMYFUNCTION("""COMPUTED_VALUE"""),"open trial")</f>
        <v>open trial</v>
      </c>
      <c r="L70" s="839" t="str">
        <f>IFERROR(__xludf.DUMMYFUNCTION("""COMPUTED_VALUE"""),"No")</f>
        <v>No</v>
      </c>
      <c r="M70" s="839" t="str">
        <f>IFERROR(__xludf.DUMMYFUNCTION("""COMPUTED_VALUE"""),"No")</f>
        <v>No</v>
      </c>
      <c r="N70" s="840">
        <f>IFERROR(__xludf.DUMMYFUNCTION("""COMPUTED_VALUE"""),0.976)</f>
        <v>0.976</v>
      </c>
      <c r="O70" s="834"/>
      <c r="P70" s="834"/>
      <c r="Q70" s="834"/>
      <c r="R70" s="834"/>
      <c r="S70" s="834"/>
      <c r="T70" s="834"/>
      <c r="U70" s="834"/>
      <c r="V70" s="834"/>
      <c r="W70" s="834"/>
      <c r="X70" s="834"/>
      <c r="Y70" s="834"/>
      <c r="Z70" s="834"/>
      <c r="AA70" s="834"/>
      <c r="AB70" s="834"/>
      <c r="AC70" s="834"/>
      <c r="AD70" s="834"/>
      <c r="AE70" s="834" t="str">
        <f>IFERROR(__xludf.DUMMYFUNCTION("""COMPUTED_VALUE"""),"Overall, ALB resulted in statistically higher FECR rate against hookworm infections verse MEB")</f>
        <v>Overall, ALB resulted in statistically higher FECR rate against hookworm infections verse MEB</v>
      </c>
      <c r="AF70" s="834" t="str">
        <f>IFERROR(__xludf.DUMMYFUNCTION("""COMPUTED_VALUE"""),"McMaster Method                                          For hookworm the FECR of both drugs did not depend significantly on the mean FEC at pre-intervention")</f>
        <v>McMaster Method                                          For hookworm the FECR of both drugs did not depend significantly on the mean FEC at pre-intervention</v>
      </c>
      <c r="AG70" s="834" t="str">
        <f>IFERROR(__xludf.DUMMYFUNCTION("""COMPUTED_VALUE"""),"Levecke, Bruno, Antonio Montresor, Marco Albonico, Shaali M. Ame, Jerzy M. Behnke, Jeffrey M. Bethony, Calvine D. Noumedem, Dirk Engels, Bertrand Guillard, Andrew C. Kotze, Alejandro J. Krolewiecki, James S. McCarthy, Zeleke Mekonnen, Maria V. Periago, He"&amp;"m Sopheak, Louis Albert Tchuem-Tchuente, Tran Thanh Duong, Nguyen Thu Huong, Ahmed Zeynudin, and Jozef Vercuysse. ""Assessment of Anthelmintic Efficacy of Mebendazolein School Children in Six Countries Where Soil Transmitted Helminths Are Endemic."" PLOS "&amp;"Neglected Tropical Diseases 8.10 (2014): 1-11. Web.")</f>
        <v>Levecke, Bruno, Antonio Montresor, Marco Albonico, Shaali M. Ame, Jerzy M. Behnke, Jeffrey M. Bethony, Calvine D. Noumedem, Dirk Engels, Bertrand Guillard, Andrew C. Kotze, Alejandro J. Krolewiecki, James S. McCarthy, Zeleke Mekonnen, Maria V. Periago, Hem Sopheak, Louis Albert Tchuem-Tchuente, Tran Thanh Duong, Nguyen Thu Huong, Ahmed Zeynudin, and Jozef Vercuysse. "Assessment of Anthelmintic Efficacy of Mebendazolein School Children in Six Countries Where Soil Transmitted Helminths Are Endemic." PLOS Neglected Tropical Diseases 8.10 (2014): 1-11. Web.</v>
      </c>
      <c r="AH70" s="834" t="str">
        <f>IFERROR(__xludf.DUMMYFUNCTION("""COMPUTED_VALUE"""),"x")</f>
        <v>x</v>
      </c>
      <c r="AJ70" s="843" t="str">
        <f>IFERROR(__xludf.DUMMYFUNCTION("""COMPUTED_VALUE"""),"Ekenjoku et al.")</f>
        <v>Ekenjoku et al.</v>
      </c>
      <c r="AK70" s="836"/>
      <c r="AL70" s="836" t="str">
        <f>IFERROR(__xludf.DUMMYFUNCTION("""COMPUTED_VALUE"""),"Nigeria")</f>
        <v>Nigeria</v>
      </c>
      <c r="AM70" s="836" t="str">
        <f>IFERROR(__xludf.DUMMYFUNCTION("""COMPUTED_VALUE"""),"Pyrantel Embonate")</f>
        <v>Pyrantel Embonate</v>
      </c>
      <c r="AN70" s="836" t="str">
        <f>IFERROR(__xludf.DUMMYFUNCTION("""COMPUTED_VALUE"""),"Single")</f>
        <v>Single</v>
      </c>
      <c r="AO70" s="836" t="str">
        <f>IFERROR(__xludf.DUMMYFUNCTION("""COMPUTED_VALUE"""),"10 mg")</f>
        <v>10 mg</v>
      </c>
      <c r="AP70" s="836" t="str">
        <f>IFERROR(__xludf.DUMMYFUNCTION("""COMPUTED_VALUE"""),"6/47")</f>
        <v>6/47</v>
      </c>
      <c r="AQ70" s="836" t="str">
        <f>IFERROR(__xludf.DUMMYFUNCTION("""COMPUTED_VALUE"""),"4-12 years old")</f>
        <v>4-12 years old</v>
      </c>
      <c r="AR70" s="836" t="str">
        <f>IFERROR(__xludf.DUMMYFUNCTION("""COMPUTED_VALUE"""),"Both")</f>
        <v>Both</v>
      </c>
      <c r="AS70" s="836">
        <f>IFERROR(__xludf.DUMMYFUNCTION("""COMPUTED_VALUE"""),2005.0)</f>
        <v>2005</v>
      </c>
      <c r="AT70" s="836"/>
      <c r="AU70" s="836" t="str">
        <f>IFERROR(__xludf.DUMMYFUNCTION("""COMPUTED_VALUE"""),"Yes")</f>
        <v>Yes</v>
      </c>
      <c r="AV70" s="836" t="str">
        <f>IFERROR(__xludf.DUMMYFUNCTION("""COMPUTED_VALUE"""),"No")</f>
        <v>No</v>
      </c>
      <c r="AW70" s="836" t="str">
        <f>IFERROR(__xludf.DUMMYFUNCTION("""COMPUTED_VALUE"""),"open-label randomized comparative study")</f>
        <v>open-label randomized comparative study</v>
      </c>
      <c r="AX70" s="850">
        <f>IFERROR(__xludf.DUMMYFUNCTION("""COMPUTED_VALUE"""),1.0)</f>
        <v>1</v>
      </c>
      <c r="AY70" s="850">
        <f>IFERROR(__xludf.DUMMYFUNCTION("""COMPUTED_VALUE"""),1.0)</f>
        <v>1</v>
      </c>
      <c r="AZ70" s="836"/>
      <c r="BA70" s="836"/>
      <c r="BB70" s="836"/>
      <c r="BC70" s="836"/>
      <c r="BD70" s="836"/>
      <c r="BE70" s="836"/>
      <c r="BF70" s="836"/>
      <c r="BG70" s="836"/>
      <c r="BH70" s="836"/>
      <c r="BI70" s="836"/>
      <c r="BJ70" s="836"/>
      <c r="BK70" s="836"/>
      <c r="BL70" s="836"/>
      <c r="BM70" s="836"/>
      <c r="BN70" s="836"/>
      <c r="BO70" s="836"/>
      <c r="BP70" s="836"/>
      <c r="BQ70" s="697">
        <f>IFERROR(__xludf.DUMMYFUNCTION("""COMPUTED_VALUE"""),69.0)</f>
        <v>69</v>
      </c>
      <c r="BR70" s="844" t="str">
        <f>IFERROR(__xludf.DUMMYFUNCTION("""COMPUTED_VALUE"""),"Sinniah et al.")</f>
        <v>Sinniah et al.</v>
      </c>
      <c r="BS70" s="838" t="str">
        <f>IFERROR(__xludf.DUMMYFUNCTION("""COMPUTED_VALUE"""),"Malaysia")</f>
        <v>Malaysia</v>
      </c>
      <c r="BT70" s="838" t="str">
        <f>IFERROR(__xludf.DUMMYFUNCTION("""COMPUTED_VALUE"""),"Mebendazole")</f>
        <v>Mebendazole</v>
      </c>
      <c r="BU70" s="838"/>
      <c r="BV70" s="838" t="str">
        <f>IFERROR(__xludf.DUMMYFUNCTION("""COMPUTED_VALUE"""),"Single")</f>
        <v>Single</v>
      </c>
      <c r="BW70" s="838" t="str">
        <f>IFERROR(__xludf.DUMMYFUNCTION("""COMPUTED_VALUE"""),"200 mg")</f>
        <v>200 mg</v>
      </c>
      <c r="BX70" s="838"/>
      <c r="BY70" s="845">
        <f>IFERROR(__xludf.DUMMYFUNCTION("""COMPUTED_VALUE"""),42534.0)</f>
        <v>42534</v>
      </c>
      <c r="BZ70" s="838"/>
      <c r="CA70" s="838"/>
      <c r="CB70" s="838"/>
      <c r="CC70" s="838" t="str">
        <f>IFERROR(__xludf.DUMMYFUNCTION("""COMPUTED_VALUE"""),"Yes")</f>
        <v>Yes</v>
      </c>
      <c r="CD70" s="847">
        <f>IFERROR(__xludf.DUMMYFUNCTION("""COMPUTED_VALUE"""),0.983)</f>
        <v>0.983</v>
      </c>
      <c r="CE70" s="838" t="str">
        <f>IFERROR(__xludf.DUMMYFUNCTION("""COMPUTED_VALUE"""),"No")</f>
        <v>No</v>
      </c>
      <c r="CF70" s="838"/>
      <c r="CG70" s="838"/>
      <c r="CH70" s="838"/>
      <c r="CI70" s="838"/>
      <c r="CJ70" s="838"/>
      <c r="CK70" s="838"/>
      <c r="CL70" s="838"/>
      <c r="CM70" s="847">
        <f>IFERROR(__xludf.DUMMYFUNCTION("""COMPUTED_VALUE"""),0.999)</f>
        <v>0.999</v>
      </c>
      <c r="CN70" s="838"/>
      <c r="CO70" s="838"/>
      <c r="CP70" s="838"/>
      <c r="CQ70" s="838"/>
      <c r="CR70" s="838"/>
      <c r="CS70" s="838"/>
      <c r="CT70" s="838"/>
      <c r="CU70" s="838"/>
      <c r="CV70" s="697" t="str">
        <f>IFERROR(__xludf.DUMMYFUNCTION("""COMPUTED_VALUE"""),"Sinniah, b., chew, p. i. &amp; subramaniam, k. (1990). Acomparative trial of albendazole, mebendazole,pyrantel pamoate and oxantel pyrantel pamoateagainst soil-transmitted helminthiases in schoolchildren. Tropical Biomedicine 7, 129–134.")</f>
        <v>Sinniah, b., chew, p. i. &amp; subramaniam, k. (1990). Acomparative trial of albendazole, mebendazole,pyrantel pamoate and oxantel pyrantel pamoateagainst soil-transmitted helminthiases in schoolchildren. Tropical Biomedicine 7, 129–134.</v>
      </c>
    </row>
    <row r="71">
      <c r="A71" s="842" t="str">
        <f>IFERROR(__xludf.DUMMYFUNCTION("""COMPUTED_VALUE"""),"Levecke et al.")</f>
        <v>Levecke et al.</v>
      </c>
      <c r="B71" s="834" t="str">
        <f>IFERROR(__xludf.DUMMYFUNCTION("""COMPUTED_VALUE"""),"Cambodia")</f>
        <v>Cambodia</v>
      </c>
      <c r="C71" s="834" t="str">
        <f>IFERROR(__xludf.DUMMYFUNCTION("""COMPUTED_VALUE"""),"Mebendazole")</f>
        <v>Mebendazole</v>
      </c>
      <c r="D71" s="834" t="str">
        <f>IFERROR(__xludf.DUMMYFUNCTION("""COMPUTED_VALUE"""),"Single")</f>
        <v>Single</v>
      </c>
      <c r="E71" s="834" t="str">
        <f>IFERROR(__xludf.DUMMYFUNCTION("""COMPUTED_VALUE"""),"500 mg")</f>
        <v>500 mg</v>
      </c>
      <c r="F71" s="834">
        <f>IFERROR(__xludf.DUMMYFUNCTION("""COMPUTED_VALUE"""),160.0)</f>
        <v>160</v>
      </c>
      <c r="G71" s="834">
        <f>IFERROR(__xludf.DUMMYFUNCTION("""COMPUTED_VALUE"""),9.4)</f>
        <v>9.4</v>
      </c>
      <c r="H71" s="839" t="str">
        <f>IFERROR(__xludf.DUMMYFUNCTION("""COMPUTED_VALUE"""),"0:74")</f>
        <v>0:74</v>
      </c>
      <c r="I71" s="834">
        <f>IFERROR(__xludf.DUMMYFUNCTION("""COMPUTED_VALUE"""),2012.0)</f>
        <v>2012</v>
      </c>
      <c r="J71" s="834"/>
      <c r="K71" s="839" t="str">
        <f>IFERROR(__xludf.DUMMYFUNCTION("""COMPUTED_VALUE"""),"open trial")</f>
        <v>open trial</v>
      </c>
      <c r="L71" s="839" t="str">
        <f>IFERROR(__xludf.DUMMYFUNCTION("""COMPUTED_VALUE"""),"No")</f>
        <v>No</v>
      </c>
      <c r="M71" s="839" t="str">
        <f>IFERROR(__xludf.DUMMYFUNCTION("""COMPUTED_VALUE"""),"No")</f>
        <v>No</v>
      </c>
      <c r="N71" s="840">
        <f>IFERROR(__xludf.DUMMYFUNCTION("""COMPUTED_VALUE"""),0.797)</f>
        <v>0.797</v>
      </c>
      <c r="O71" s="834"/>
      <c r="P71" s="834"/>
      <c r="Q71" s="834"/>
      <c r="R71" s="834"/>
      <c r="S71" s="834"/>
      <c r="T71" s="834"/>
      <c r="U71" s="834"/>
      <c r="V71" s="834"/>
      <c r="W71" s="834"/>
      <c r="X71" s="834"/>
      <c r="Y71" s="834"/>
      <c r="Z71" s="834"/>
      <c r="AA71" s="834"/>
      <c r="AB71" s="834"/>
      <c r="AC71" s="834"/>
      <c r="AD71" s="834"/>
      <c r="AE71" s="834" t="str">
        <f>IFERROR(__xludf.DUMMYFUNCTION("""COMPUTED_VALUE"""),"Overall, ALB resulted in statistically higher FECR rate against hookworm infections verse MEB")</f>
        <v>Overall, ALB resulted in statistically higher FECR rate against hookworm infections verse MEB</v>
      </c>
      <c r="AF71" s="834" t="str">
        <f>IFERROR(__xludf.DUMMYFUNCTION("""COMPUTED_VALUE"""),"McMaster Method                                          For hookworm the FECR of both drugs did not depend significantly on the mean FEC at pre-intervention")</f>
        <v>McMaster Method                                          For hookworm the FECR of both drugs did not depend significantly on the mean FEC at pre-intervention</v>
      </c>
      <c r="AG71" s="834" t="str">
        <f>IFERROR(__xludf.DUMMYFUNCTION("""COMPUTED_VALUE"""),"Levecke, Bruno, Antonio Montresor, Marco Albonico, Shaali M. Ame, Jerzy M. Behnke, Jeffrey M. Bethony, Calvine D. Noumedem, Dirk Engels, Bertrand Guillard, Andrew C. Kotze, Alejandro J. Krolewiecki, James S. McCarthy, Zeleke Mekonnen, Maria V. Periago, He"&amp;"m Sopheak, Louis Albert Tchuem-Tchuente, Tran Thanh Duong, Nguyen Thu Huong, Ahmed Zeynudin, and Jozef Vercuysse. ""Assessment of Anthelmintic Efficacy of Mebendazolein School Children in Six Countries Where Soil Transmitted Helminths Are Endemic."" PLOS "&amp;"Neglected Tropical Diseases 8.10 (2014): 1-11. Web.")</f>
        <v>Levecke, Bruno, Antonio Montresor, Marco Albonico, Shaali M. Ame, Jerzy M. Behnke, Jeffrey M. Bethony, Calvine D. Noumedem, Dirk Engels, Bertrand Guillard, Andrew C. Kotze, Alejandro J. Krolewiecki, James S. McCarthy, Zeleke Mekonnen, Maria V. Periago, Hem Sopheak, Louis Albert Tchuem-Tchuente, Tran Thanh Duong, Nguyen Thu Huong, Ahmed Zeynudin, and Jozef Vercuysse. "Assessment of Anthelmintic Efficacy of Mebendazolein School Children in Six Countries Where Soil Transmitted Helminths Are Endemic." PLOS Neglected Tropical Diseases 8.10 (2014): 1-11. Web.</v>
      </c>
      <c r="AH71" s="834" t="str">
        <f>IFERROR(__xludf.DUMMYFUNCTION("""COMPUTED_VALUE"""),"x")</f>
        <v>x</v>
      </c>
      <c r="AJ71" s="843" t="str">
        <f>IFERROR(__xludf.DUMMYFUNCTION("""COMPUTED_VALUE"""),"Ekenjoku et al.")</f>
        <v>Ekenjoku et al.</v>
      </c>
      <c r="AK71" s="836"/>
      <c r="AL71" s="836" t="str">
        <f>IFERROR(__xludf.DUMMYFUNCTION("""COMPUTED_VALUE"""),"Nigeria")</f>
        <v>Nigeria</v>
      </c>
      <c r="AM71" s="836" t="str">
        <f>IFERROR(__xludf.DUMMYFUNCTION("""COMPUTED_VALUE"""),"Levamisole")</f>
        <v>Levamisole</v>
      </c>
      <c r="AN71" s="836" t="str">
        <f>IFERROR(__xludf.DUMMYFUNCTION("""COMPUTED_VALUE"""),"Single")</f>
        <v>Single</v>
      </c>
      <c r="AO71" s="836" t="str">
        <f>IFERROR(__xludf.DUMMYFUNCTION("""COMPUTED_VALUE"""),"2.5 mg")</f>
        <v>2.5 mg</v>
      </c>
      <c r="AP71" s="836" t="str">
        <f>IFERROR(__xludf.DUMMYFUNCTION("""COMPUTED_VALUE"""),"6/42")</f>
        <v>6/42</v>
      </c>
      <c r="AQ71" s="836" t="str">
        <f>IFERROR(__xludf.DUMMYFUNCTION("""COMPUTED_VALUE"""),"4-12 years old")</f>
        <v>4-12 years old</v>
      </c>
      <c r="AR71" s="836" t="str">
        <f>IFERROR(__xludf.DUMMYFUNCTION("""COMPUTED_VALUE"""),"Both")</f>
        <v>Both</v>
      </c>
      <c r="AS71" s="836">
        <f>IFERROR(__xludf.DUMMYFUNCTION("""COMPUTED_VALUE"""),2005.0)</f>
        <v>2005</v>
      </c>
      <c r="AT71" s="836"/>
      <c r="AU71" s="836" t="str">
        <f>IFERROR(__xludf.DUMMYFUNCTION("""COMPUTED_VALUE"""),"Yes")</f>
        <v>Yes</v>
      </c>
      <c r="AV71" s="836" t="str">
        <f>IFERROR(__xludf.DUMMYFUNCTION("""COMPUTED_VALUE"""),"No")</f>
        <v>No</v>
      </c>
      <c r="AW71" s="836" t="str">
        <f>IFERROR(__xludf.DUMMYFUNCTION("""COMPUTED_VALUE"""),"open-label randomized comparative study")</f>
        <v>open-label randomized comparative study</v>
      </c>
      <c r="AX71" s="850">
        <f>IFERROR(__xludf.DUMMYFUNCTION("""COMPUTED_VALUE"""),1.0)</f>
        <v>1</v>
      </c>
      <c r="AY71" s="850">
        <f>IFERROR(__xludf.DUMMYFUNCTION("""COMPUTED_VALUE"""),1.0)</f>
        <v>1</v>
      </c>
      <c r="AZ71" s="836"/>
      <c r="BA71" s="836"/>
      <c r="BB71" s="836"/>
      <c r="BC71" s="836"/>
      <c r="BD71" s="836"/>
      <c r="BE71" s="836"/>
      <c r="BF71" s="836"/>
      <c r="BG71" s="836"/>
      <c r="BH71" s="836"/>
      <c r="BI71" s="836"/>
      <c r="BJ71" s="836"/>
      <c r="BK71" s="836"/>
      <c r="BL71" s="836"/>
      <c r="BM71" s="836"/>
      <c r="BN71" s="836"/>
      <c r="BO71" s="836"/>
      <c r="BP71" s="836"/>
      <c r="BQ71" s="697">
        <f>IFERROR(__xludf.DUMMYFUNCTION("""COMPUTED_VALUE"""),70.0)</f>
        <v>70</v>
      </c>
      <c r="BR71" s="844" t="str">
        <f>IFERROR(__xludf.DUMMYFUNCTION("""COMPUTED_VALUE"""),"Sinniah et al.")</f>
        <v>Sinniah et al.</v>
      </c>
      <c r="BS71" s="838" t="str">
        <f>IFERROR(__xludf.DUMMYFUNCTION("""COMPUTED_VALUE"""),"Malaysia")</f>
        <v>Malaysia</v>
      </c>
      <c r="BT71" s="838" t="str">
        <f>IFERROR(__xludf.DUMMYFUNCTION("""COMPUTED_VALUE"""),"Mebendazole")</f>
        <v>Mebendazole</v>
      </c>
      <c r="BU71" s="838"/>
      <c r="BV71" s="838" t="str">
        <f>IFERROR(__xludf.DUMMYFUNCTION("""COMPUTED_VALUE"""),"Single")</f>
        <v>Single</v>
      </c>
      <c r="BW71" s="838" t="str">
        <f>IFERROR(__xludf.DUMMYFUNCTION("""COMPUTED_VALUE"""),"400 mg")</f>
        <v>400 mg</v>
      </c>
      <c r="BX71" s="838"/>
      <c r="BY71" s="845">
        <f>IFERROR(__xludf.DUMMYFUNCTION("""COMPUTED_VALUE"""),42534.0)</f>
        <v>42534</v>
      </c>
      <c r="BZ71" s="838"/>
      <c r="CA71" s="838"/>
      <c r="CB71" s="838"/>
      <c r="CC71" s="838" t="str">
        <f>IFERROR(__xludf.DUMMYFUNCTION("""COMPUTED_VALUE"""),"Yes")</f>
        <v>Yes</v>
      </c>
      <c r="CD71" s="847">
        <f>IFERROR(__xludf.DUMMYFUNCTION("""COMPUTED_VALUE"""),0.861)</f>
        <v>0.861</v>
      </c>
      <c r="CE71" s="838" t="str">
        <f>IFERROR(__xludf.DUMMYFUNCTION("""COMPUTED_VALUE"""),"No")</f>
        <v>No</v>
      </c>
      <c r="CF71" s="838"/>
      <c r="CG71" s="838"/>
      <c r="CH71" s="838"/>
      <c r="CI71" s="838"/>
      <c r="CJ71" s="838"/>
      <c r="CK71" s="838"/>
      <c r="CL71" s="838"/>
      <c r="CM71" s="838" t="str">
        <f>IFERROR(__xludf.DUMMYFUNCTION("""COMPUTED_VALUE"""),"99.2%%")</f>
        <v>99.2%%</v>
      </c>
      <c r="CN71" s="838"/>
      <c r="CO71" s="838"/>
      <c r="CP71" s="838"/>
      <c r="CQ71" s="838"/>
      <c r="CR71" s="838"/>
      <c r="CS71" s="838"/>
      <c r="CT71" s="838"/>
      <c r="CU71" s="838"/>
      <c r="CV71" s="697" t="str">
        <f>IFERROR(__xludf.DUMMYFUNCTION("""COMPUTED_VALUE"""),"Sinniah, b., chew, p. i. &amp; subramaniam, k. (1990). Acomparative trial of albendazole, mebendazole,pyrantel pamoate and oxantel pyrantel pamoateagainst soil-transmitted helminthiases in schoolchildren. Tropical Biomedicine 7, 129–134.")</f>
        <v>Sinniah, b., chew, p. i. &amp; subramaniam, k. (1990). Acomparative trial of albendazole, mebendazole,pyrantel pamoate and oxantel pyrantel pamoateagainst soil-transmitted helminthiases in schoolchildren. Tropical Biomedicine 7, 129–134.</v>
      </c>
    </row>
    <row r="72">
      <c r="A72" s="842" t="str">
        <f>IFERROR(__xludf.DUMMYFUNCTION("""COMPUTED_VALUE"""),"Levecke et al.")</f>
        <v>Levecke et al.</v>
      </c>
      <c r="B72" s="834" t="str">
        <f>IFERROR(__xludf.DUMMYFUNCTION("""COMPUTED_VALUE"""),"Cameroon")</f>
        <v>Cameroon</v>
      </c>
      <c r="C72" s="834" t="str">
        <f>IFERROR(__xludf.DUMMYFUNCTION("""COMPUTED_VALUE"""),"Albendazole")</f>
        <v>Albendazole</v>
      </c>
      <c r="D72" s="834" t="str">
        <f>IFERROR(__xludf.DUMMYFUNCTION("""COMPUTED_VALUE"""),"Single")</f>
        <v>Single</v>
      </c>
      <c r="E72" s="834" t="str">
        <f>IFERROR(__xludf.DUMMYFUNCTION("""COMPUTED_VALUE"""),"400 mg")</f>
        <v>400 mg</v>
      </c>
      <c r="F72" s="834">
        <f>IFERROR(__xludf.DUMMYFUNCTION("""COMPUTED_VALUE"""),140.0)</f>
        <v>140</v>
      </c>
      <c r="G72" s="834">
        <f>IFERROR(__xludf.DUMMYFUNCTION("""COMPUTED_VALUE"""),10.3)</f>
        <v>10.3</v>
      </c>
      <c r="H72" s="834" t="str">
        <f>IFERROR(__xludf.DUMMYFUNCTION("""COMPUTED_VALUE"""),"54:0")</f>
        <v>54:0</v>
      </c>
      <c r="I72" s="834">
        <f>IFERROR(__xludf.DUMMYFUNCTION("""COMPUTED_VALUE"""),2012.0)</f>
        <v>2012</v>
      </c>
      <c r="J72" s="834"/>
      <c r="K72" s="839" t="str">
        <f>IFERROR(__xludf.DUMMYFUNCTION("""COMPUTED_VALUE"""),"open trial")</f>
        <v>open trial</v>
      </c>
      <c r="L72" s="839" t="str">
        <f>IFERROR(__xludf.DUMMYFUNCTION("""COMPUTED_VALUE"""),"No")</f>
        <v>No</v>
      </c>
      <c r="M72" s="839" t="str">
        <f>IFERROR(__xludf.DUMMYFUNCTION("""COMPUTED_VALUE"""),"No")</f>
        <v>No</v>
      </c>
      <c r="N72" s="840">
        <f>IFERROR(__xludf.DUMMYFUNCTION("""COMPUTED_VALUE"""),0.93)</f>
        <v>0.93</v>
      </c>
      <c r="O72" s="834"/>
      <c r="P72" s="834"/>
      <c r="Q72" s="834"/>
      <c r="R72" s="834"/>
      <c r="S72" s="834"/>
      <c r="T72" s="834"/>
      <c r="U72" s="834"/>
      <c r="V72" s="834"/>
      <c r="W72" s="834"/>
      <c r="X72" s="834"/>
      <c r="Y72" s="834"/>
      <c r="Z72" s="834"/>
      <c r="AA72" s="834"/>
      <c r="AB72" s="834"/>
      <c r="AC72" s="834"/>
      <c r="AD72" s="834"/>
      <c r="AE72" s="834" t="str">
        <f>IFERROR(__xludf.DUMMYFUNCTION("""COMPUTED_VALUE"""),"Overall, ALB resulted in statistically higher FECR rate against hookworm infections verse MEB")</f>
        <v>Overall, ALB resulted in statistically higher FECR rate against hookworm infections verse MEB</v>
      </c>
      <c r="AF72" s="834" t="str">
        <f>IFERROR(__xludf.DUMMYFUNCTION("""COMPUTED_VALUE"""),"McMaster Method                                          For hookworm the FECR of both drugs did not depend significantly on the mean FEC at pre-intervention")</f>
        <v>McMaster Method                                          For hookworm the FECR of both drugs did not depend significantly on the mean FEC at pre-intervention</v>
      </c>
      <c r="AG72" s="834" t="str">
        <f>IFERROR(__xludf.DUMMYFUNCTION("""COMPUTED_VALUE"""),"Levecke, Bruno, Antonio Montresor, Marco Albonico, Shaali M. Ame, Jerzy M. Behnke, Jeffrey M. Bethony, Calvine D. Noumedem, Dirk Engels, Bertrand Guillard, Andrew C. Kotze, Alejandro J. Krolewiecki, James S. McCarthy, Zeleke Mekonnen, Maria V. Periago, He"&amp;"m Sopheak, Louis Albert Tchuem-Tchuente, Tran Thanh Duong, Nguyen Thu Huong, Ahmed Zeynudin, and Jozef Vercuysse. ""Assessment of Anthelmintic Efficacy of Mebendazolein School Children in Six Countries Where Soil Transmitted Helminths Are Endemic."" PLOS "&amp;"Neglected Tropical Diseases 8.10 (2014): 1-11. Web.")</f>
        <v>Levecke, Bruno, Antonio Montresor, Marco Albonico, Shaali M. Ame, Jerzy M. Behnke, Jeffrey M. Bethony, Calvine D. Noumedem, Dirk Engels, Bertrand Guillard, Andrew C. Kotze, Alejandro J. Krolewiecki, James S. McCarthy, Zeleke Mekonnen, Maria V. Periago, Hem Sopheak, Louis Albert Tchuem-Tchuente, Tran Thanh Duong, Nguyen Thu Huong, Ahmed Zeynudin, and Jozef Vercuysse. "Assessment of Anthelmintic Efficacy of Mebendazolein School Children in Six Countries Where Soil Transmitted Helminths Are Endemic." PLOS Neglected Tropical Diseases 8.10 (2014): 1-11. Web.</v>
      </c>
      <c r="AH72" s="834" t="str">
        <f>IFERROR(__xludf.DUMMYFUNCTION("""COMPUTED_VALUE"""),"x")</f>
        <v>x</v>
      </c>
      <c r="AJ72" s="843" t="str">
        <f>IFERROR(__xludf.DUMMYFUNCTION("""COMPUTED_VALUE"""),"Adams et al.")</f>
        <v>Adams et al.</v>
      </c>
      <c r="AK72" s="836" t="str">
        <f>IFERROR(__xludf.DUMMYFUNCTION("""COMPUTED_VALUE"""),"Adams, V. J., C. J. Lombard, M. A. Dhansay, M. B. Markus, and J. E. Fincham. ""Efficy of Albendazoleagainst the Whipworm Trichuris Trichiura- A Randomized Controlled Trial."" Medical Research Council 94.12 (2004): 972-76. Web.")</f>
        <v>Adams, V. J., C. J. Lombard, M. A. Dhansay, M. B. Markus, and J. E. Fincham. "Efficy of Albendazoleagainst the Whipworm Trichuris Trichiura- A Randomized Controlled Trial." Medical Research Council 94.12 (2004): 972-76. Web.</v>
      </c>
      <c r="AL72" s="836" t="str">
        <f>IFERROR(__xludf.DUMMYFUNCTION("""COMPUTED_VALUE"""),"South Africa")</f>
        <v>South Africa</v>
      </c>
      <c r="AM72" s="836" t="str">
        <f>IFERROR(__xludf.DUMMYFUNCTION("""COMPUTED_VALUE"""),"Albendazole")</f>
        <v>Albendazole</v>
      </c>
      <c r="AN72" s="836" t="str">
        <f>IFERROR(__xludf.DUMMYFUNCTION("""COMPUTED_VALUE"""),"Single")</f>
        <v>Single</v>
      </c>
      <c r="AO72" s="836" t="str">
        <f>IFERROR(__xludf.DUMMYFUNCTION("""COMPUTED_VALUE"""),"400 mg")</f>
        <v>400 mg</v>
      </c>
      <c r="AP72" s="836">
        <f>IFERROR(__xludf.DUMMYFUNCTION("""COMPUTED_VALUE"""),50.0)</f>
        <v>50</v>
      </c>
      <c r="AQ72" s="836" t="str">
        <f>IFERROR(__xludf.DUMMYFUNCTION("""COMPUTED_VALUE"""),"6-16 years old Mean age: 10 years old")</f>
        <v>6-16 years old Mean age: 10 years old</v>
      </c>
      <c r="AR72" s="836" t="str">
        <f>IFERROR(__xludf.DUMMYFUNCTION("""COMPUTED_VALUE"""),"Boy/Girl Ratio was 1. Gender did not influence the prevelance or intensity of worm infestation")</f>
        <v>Boy/Girl Ratio was 1. Gender did not influence the prevelance or intensity of worm infestation</v>
      </c>
      <c r="AS72" s="836">
        <f>IFERROR(__xludf.DUMMYFUNCTION("""COMPUTED_VALUE"""),2004.0)</f>
        <v>2004</v>
      </c>
      <c r="AT72" s="836" t="str">
        <f>IFERROR(__xludf.DUMMYFUNCTION("""COMPUTED_VALUE"""),"Exclusion: Chronic prescription medication and/or clinically evident illness")</f>
        <v>Exclusion: Chronic prescription medication and/or clinically evident illness</v>
      </c>
      <c r="AU72" s="836" t="str">
        <f>IFERROR(__xludf.DUMMYFUNCTION("""COMPUTED_VALUE"""),"Yes")</f>
        <v>Yes</v>
      </c>
      <c r="AV72" s="836" t="str">
        <f>IFERROR(__xludf.DUMMYFUNCTION("""COMPUTED_VALUE"""),"Yes")</f>
        <v>Yes</v>
      </c>
      <c r="AW72" s="836" t="str">
        <f>IFERROR(__xludf.DUMMYFUNCTION("""COMPUTED_VALUE"""),"randomized controlled trial, blind")</f>
        <v>randomized controlled trial, blind</v>
      </c>
      <c r="AX72" s="850">
        <f>IFERROR(__xludf.DUMMYFUNCTION("""COMPUTED_VALUE"""),0.226)</f>
        <v>0.226</v>
      </c>
      <c r="AY72" s="836"/>
      <c r="AZ72" s="836"/>
      <c r="BA72" s="836"/>
      <c r="BB72" s="836"/>
      <c r="BC72" s="836"/>
      <c r="BD72" s="836"/>
      <c r="BE72" s="836"/>
      <c r="BF72" s="836"/>
      <c r="BG72" s="836"/>
      <c r="BH72" s="841">
        <f>IFERROR(__xludf.DUMMYFUNCTION("""COMPUTED_VALUE"""),0.968)</f>
        <v>0.968</v>
      </c>
      <c r="BI72" s="836"/>
      <c r="BJ72" s="836"/>
      <c r="BK72" s="836"/>
      <c r="BL72" s="836"/>
      <c r="BM72" s="836"/>
      <c r="BN72" s="836" t="str">
        <f>IFERROR(__xludf.DUMMYFUNCTION("""COMPUTED_VALUE"""),"the 400 mg stat dose had a low cure rate. To repeat the dose on 2 or 3 days would increase cost, reduce compliance, and complicate management. Albedazole cannot be used in deworming pregrammes in south africa because it is a schedule 4 prescription medici"&amp;"ne. De-scheduling is needed urgently, becasue of high efficacy against hookworm in Kwazulu-Natal and neighboring countries")</f>
        <v>the 400 mg stat dose had a low cure rate. To repeat the dose on 2 or 3 days would increase cost, reduce compliance, and complicate management. Albedazole cannot be used in deworming pregrammes in south africa because it is a schedule 4 prescription medicine. De-scheduling is needed urgently, becasue of high efficacy against hookworm in Kwazulu-Natal and neighboring countries</v>
      </c>
      <c r="BO72" s="836"/>
      <c r="BP72" s="836"/>
      <c r="BQ72" s="697">
        <f>IFERROR(__xludf.DUMMYFUNCTION("""COMPUTED_VALUE"""),71.0)</f>
        <v>71</v>
      </c>
      <c r="BR72" s="844" t="str">
        <f>IFERROR(__xludf.DUMMYFUNCTION("""COMPUTED_VALUE"""),"Sinniah et al.")</f>
        <v>Sinniah et al.</v>
      </c>
      <c r="BS72" s="838" t="str">
        <f>IFERROR(__xludf.DUMMYFUNCTION("""COMPUTED_VALUE"""),"Malaysia")</f>
        <v>Malaysia</v>
      </c>
      <c r="BT72" s="838" t="str">
        <f>IFERROR(__xludf.DUMMYFUNCTION("""COMPUTED_VALUE"""),"Albendazole")</f>
        <v>Albendazole</v>
      </c>
      <c r="BU72" s="838"/>
      <c r="BV72" s="838" t="str">
        <f>IFERROR(__xludf.DUMMYFUNCTION("""COMPUTED_VALUE"""),"Single")</f>
        <v>Single</v>
      </c>
      <c r="BW72" s="838" t="str">
        <f>IFERROR(__xludf.DUMMYFUNCTION("""COMPUTED_VALUE"""),"200 mg")</f>
        <v>200 mg</v>
      </c>
      <c r="BX72" s="838"/>
      <c r="BY72" s="845">
        <f>IFERROR(__xludf.DUMMYFUNCTION("""COMPUTED_VALUE"""),42534.0)</f>
        <v>42534</v>
      </c>
      <c r="BZ72" s="838"/>
      <c r="CA72" s="838"/>
      <c r="CB72" s="838"/>
      <c r="CC72" s="838" t="str">
        <f>IFERROR(__xludf.DUMMYFUNCTION("""COMPUTED_VALUE"""),"Yes")</f>
        <v>Yes</v>
      </c>
      <c r="CD72" s="838" t="str">
        <f>IFERROR(__xludf.DUMMYFUNCTION("""COMPUTED_VALUE"""),"91.1.%")</f>
        <v>91.1.%</v>
      </c>
      <c r="CE72" s="838" t="str">
        <f>IFERROR(__xludf.DUMMYFUNCTION("""COMPUTED_VALUE"""),"No")</f>
        <v>No</v>
      </c>
      <c r="CF72" s="838"/>
      <c r="CG72" s="838"/>
      <c r="CH72" s="838"/>
      <c r="CI72" s="838"/>
      <c r="CJ72" s="838"/>
      <c r="CK72" s="838"/>
      <c r="CL72" s="838"/>
      <c r="CM72" s="847">
        <f>IFERROR(__xludf.DUMMYFUNCTION("""COMPUTED_VALUE"""),0.988)</f>
        <v>0.988</v>
      </c>
      <c r="CN72" s="838"/>
      <c r="CO72" s="838"/>
      <c r="CP72" s="838"/>
      <c r="CQ72" s="838"/>
      <c r="CR72" s="838"/>
      <c r="CS72" s="838"/>
      <c r="CT72" s="838"/>
      <c r="CU72" s="838"/>
      <c r="CV72" s="697" t="str">
        <f>IFERROR(__xludf.DUMMYFUNCTION("""COMPUTED_VALUE"""),"Sinniah, b., chew, p. i. &amp; subramaniam, k. (1990). Acomparative trial of albendazole, mebendazole,pyrantel pamoate and oxantel pyrantel pamoateagainst soil-transmitted helminthiases in schoolchildren. Tropical Biomedicine 7, 129–134.")</f>
        <v>Sinniah, b., chew, p. i. &amp; subramaniam, k. (1990). Acomparative trial of albendazole, mebendazole,pyrantel pamoate and oxantel pyrantel pamoateagainst soil-transmitted helminthiases in schoolchildren. Tropical Biomedicine 7, 129–134.</v>
      </c>
    </row>
    <row r="73">
      <c r="A73" s="842" t="str">
        <f>IFERROR(__xludf.DUMMYFUNCTION("""COMPUTED_VALUE"""),"Levecke et al.")</f>
        <v>Levecke et al.</v>
      </c>
      <c r="B73" s="834" t="str">
        <f>IFERROR(__xludf.DUMMYFUNCTION("""COMPUTED_VALUE"""),"Cameroon")</f>
        <v>Cameroon</v>
      </c>
      <c r="C73" s="834" t="str">
        <f>IFERROR(__xludf.DUMMYFUNCTION("""COMPUTED_VALUE"""),"Mebendazole")</f>
        <v>Mebendazole</v>
      </c>
      <c r="D73" s="834" t="str">
        <f>IFERROR(__xludf.DUMMYFUNCTION("""COMPUTED_VALUE"""),"Single")</f>
        <v>Single</v>
      </c>
      <c r="E73" s="834" t="str">
        <f>IFERROR(__xludf.DUMMYFUNCTION("""COMPUTED_VALUE"""),"500 mg")</f>
        <v>500 mg</v>
      </c>
      <c r="F73" s="834">
        <f>IFERROR(__xludf.DUMMYFUNCTION("""COMPUTED_VALUE"""),161.0)</f>
        <v>161</v>
      </c>
      <c r="G73" s="834">
        <f>IFERROR(__xludf.DUMMYFUNCTION("""COMPUTED_VALUE"""),10.3)</f>
        <v>10.3</v>
      </c>
      <c r="H73" s="839" t="str">
        <f>IFERROR(__xludf.DUMMYFUNCTION("""COMPUTED_VALUE"""),"0:85")</f>
        <v>0:85</v>
      </c>
      <c r="I73" s="834">
        <f>IFERROR(__xludf.DUMMYFUNCTION("""COMPUTED_VALUE"""),2012.0)</f>
        <v>2012</v>
      </c>
      <c r="J73" s="834"/>
      <c r="K73" s="839" t="str">
        <f>IFERROR(__xludf.DUMMYFUNCTION("""COMPUTED_VALUE"""),"open trial")</f>
        <v>open trial</v>
      </c>
      <c r="L73" s="839" t="str">
        <f>IFERROR(__xludf.DUMMYFUNCTION("""COMPUTED_VALUE"""),"No")</f>
        <v>No</v>
      </c>
      <c r="M73" s="839" t="str">
        <f>IFERROR(__xludf.DUMMYFUNCTION("""COMPUTED_VALUE"""),"No")</f>
        <v>No</v>
      </c>
      <c r="N73" s="840">
        <f>IFERROR(__xludf.DUMMYFUNCTION("""COMPUTED_VALUE"""),0.719)</f>
        <v>0.719</v>
      </c>
      <c r="O73" s="834"/>
      <c r="P73" s="834"/>
      <c r="Q73" s="834"/>
      <c r="R73" s="834"/>
      <c r="S73" s="834"/>
      <c r="T73" s="834"/>
      <c r="U73" s="834"/>
      <c r="V73" s="834"/>
      <c r="W73" s="834"/>
      <c r="X73" s="834"/>
      <c r="Y73" s="834"/>
      <c r="Z73" s="834"/>
      <c r="AA73" s="834"/>
      <c r="AB73" s="834"/>
      <c r="AC73" s="834"/>
      <c r="AD73" s="834"/>
      <c r="AE73" s="834" t="str">
        <f>IFERROR(__xludf.DUMMYFUNCTION("""COMPUTED_VALUE"""),"Overall, ALB resulted in statistically higher FECR rate against hookworm infections verse MEB")</f>
        <v>Overall, ALB resulted in statistically higher FECR rate against hookworm infections verse MEB</v>
      </c>
      <c r="AF73" s="834" t="str">
        <f>IFERROR(__xludf.DUMMYFUNCTION("""COMPUTED_VALUE"""),"McMaster Method                                          For hookworm the FECR of both drugs did not depend significantly on the mean FEC at pre-intervention")</f>
        <v>McMaster Method                                          For hookworm the FECR of both drugs did not depend significantly on the mean FEC at pre-intervention</v>
      </c>
      <c r="AG73" s="834" t="str">
        <f>IFERROR(__xludf.DUMMYFUNCTION("""COMPUTED_VALUE"""),"Levecke, Bruno, Antonio Montresor, Marco Albonico, Shaali M. Ame, Jerzy M. Behnke, Jeffrey M. Bethony, Calvine D. Noumedem, Dirk Engels, Bertrand Guillard, Andrew C. Kotze, Alejandro J. Krolewiecki, James S. McCarthy, Zeleke Mekonnen, Maria V. Periago, He"&amp;"m Sopheak, Louis Albert Tchuem-Tchuente, Tran Thanh Duong, Nguyen Thu Huong, Ahmed Zeynudin, and Jozef Vercuysse. ""Assessment of Anthelmintic Efficacy of Mebendazolein School Children in Six Countries Where Soil Transmitted Helminths Are Endemic."" PLOS "&amp;"Neglected Tropical Diseases 8.10 (2014): 1-11. Web.")</f>
        <v>Levecke, Bruno, Antonio Montresor, Marco Albonico, Shaali M. Ame, Jerzy M. Behnke, Jeffrey M. Bethony, Calvine D. Noumedem, Dirk Engels, Bertrand Guillard, Andrew C. Kotze, Alejandro J. Krolewiecki, James S. McCarthy, Zeleke Mekonnen, Maria V. Periago, Hem Sopheak, Louis Albert Tchuem-Tchuente, Tran Thanh Duong, Nguyen Thu Huong, Ahmed Zeynudin, and Jozef Vercuysse. "Assessment of Anthelmintic Efficacy of Mebendazolein School Children in Six Countries Where Soil Transmitted Helminths Are Endemic." PLOS Neglected Tropical Diseases 8.10 (2014): 1-11. Web.</v>
      </c>
      <c r="AH73" s="834" t="str">
        <f>IFERROR(__xludf.DUMMYFUNCTION("""COMPUTED_VALUE"""),"x")</f>
        <v>x</v>
      </c>
      <c r="AJ73" s="843" t="str">
        <f>IFERROR(__xludf.DUMMYFUNCTION("""COMPUTED_VALUE"""),"Adams et al.")</f>
        <v>Adams et al.</v>
      </c>
      <c r="AK73" s="836"/>
      <c r="AL73" s="836" t="str">
        <f>IFERROR(__xludf.DUMMYFUNCTION("""COMPUTED_VALUE"""),"South Africa")</f>
        <v>South Africa</v>
      </c>
      <c r="AM73" s="836" t="str">
        <f>IFERROR(__xludf.DUMMYFUNCTION("""COMPUTED_VALUE"""),"Albendazole")</f>
        <v>Albendazole</v>
      </c>
      <c r="AN73" s="836" t="str">
        <f>IFERROR(__xludf.DUMMYFUNCTION("""COMPUTED_VALUE"""),"Two")</f>
        <v>Two</v>
      </c>
      <c r="AO73" s="836" t="str">
        <f>IFERROR(__xludf.DUMMYFUNCTION("""COMPUTED_VALUE"""),"800 mg")</f>
        <v>800 mg</v>
      </c>
      <c r="AP73" s="836">
        <f>IFERROR(__xludf.DUMMYFUNCTION("""COMPUTED_VALUE"""),50.0)</f>
        <v>50</v>
      </c>
      <c r="AQ73" s="836" t="str">
        <f>IFERROR(__xludf.DUMMYFUNCTION("""COMPUTED_VALUE"""),"6-16 years old Mean age: 10 years old")</f>
        <v>6-16 years old Mean age: 10 years old</v>
      </c>
      <c r="AR73" s="836"/>
      <c r="AS73" s="836">
        <f>IFERROR(__xludf.DUMMYFUNCTION("""COMPUTED_VALUE"""),2004.0)</f>
        <v>2004</v>
      </c>
      <c r="AT73" s="836" t="str">
        <f>IFERROR(__xludf.DUMMYFUNCTION("""COMPUTED_VALUE"""),"Exclusion: Chronic prescription medication and/or clinically evident illness")</f>
        <v>Exclusion: Chronic prescription medication and/or clinically evident illness</v>
      </c>
      <c r="AU73" s="836" t="str">
        <f>IFERROR(__xludf.DUMMYFUNCTION("""COMPUTED_VALUE"""),"Yes")</f>
        <v>Yes</v>
      </c>
      <c r="AV73" s="836" t="str">
        <f>IFERROR(__xludf.DUMMYFUNCTION("""COMPUTED_VALUE"""),"Yes")</f>
        <v>Yes</v>
      </c>
      <c r="AW73" s="836" t="str">
        <f>IFERROR(__xludf.DUMMYFUNCTION("""COMPUTED_VALUE"""),"randomized controlled trial, blind")</f>
        <v>randomized controlled trial, blind</v>
      </c>
      <c r="AX73" s="850">
        <f>IFERROR(__xludf.DUMMYFUNCTION("""COMPUTED_VALUE"""),0.56)</f>
        <v>0.56</v>
      </c>
      <c r="AY73" s="836"/>
      <c r="AZ73" s="836"/>
      <c r="BA73" s="836"/>
      <c r="BB73" s="836"/>
      <c r="BC73" s="836"/>
      <c r="BD73" s="836"/>
      <c r="BE73" s="836"/>
      <c r="BF73" s="836"/>
      <c r="BG73" s="836"/>
      <c r="BH73" s="841">
        <f>IFERROR(__xludf.DUMMYFUNCTION("""COMPUTED_VALUE"""),0.993)</f>
        <v>0.993</v>
      </c>
      <c r="BI73" s="836"/>
      <c r="BJ73" s="836"/>
      <c r="BK73" s="836"/>
      <c r="BL73" s="836"/>
      <c r="BM73" s="836"/>
      <c r="BN73" s="836"/>
      <c r="BO73" s="836"/>
      <c r="BP73" s="836"/>
      <c r="BQ73" s="697">
        <f>IFERROR(__xludf.DUMMYFUNCTION("""COMPUTED_VALUE"""),72.0)</f>
        <v>72</v>
      </c>
      <c r="BR73" s="844" t="str">
        <f>IFERROR(__xludf.DUMMYFUNCTION("""COMPUTED_VALUE"""),"Sinniah et al.")</f>
        <v>Sinniah et al.</v>
      </c>
      <c r="BS73" s="838" t="str">
        <f>IFERROR(__xludf.DUMMYFUNCTION("""COMPUTED_VALUE"""),"Malaysia")</f>
        <v>Malaysia</v>
      </c>
      <c r="BT73" s="838" t="str">
        <f>IFERROR(__xludf.DUMMYFUNCTION("""COMPUTED_VALUE"""),"Albendazole")</f>
        <v>Albendazole</v>
      </c>
      <c r="BU73" s="838"/>
      <c r="BV73" s="838" t="str">
        <f>IFERROR(__xludf.DUMMYFUNCTION("""COMPUTED_VALUE"""),"Single")</f>
        <v>Single</v>
      </c>
      <c r="BW73" s="838" t="str">
        <f>IFERROR(__xludf.DUMMYFUNCTION("""COMPUTED_VALUE"""),"400 mg")</f>
        <v>400 mg</v>
      </c>
      <c r="BX73" s="838"/>
      <c r="BY73" s="845">
        <f>IFERROR(__xludf.DUMMYFUNCTION("""COMPUTED_VALUE"""),42534.0)</f>
        <v>42534</v>
      </c>
      <c r="BZ73" s="838"/>
      <c r="CA73" s="838"/>
      <c r="CB73" s="838"/>
      <c r="CC73" s="838" t="str">
        <f>IFERROR(__xludf.DUMMYFUNCTION("""COMPUTED_VALUE"""),"Yes")</f>
        <v>Yes</v>
      </c>
      <c r="CD73" s="838" t="str">
        <f>IFERROR(__xludf.DUMMYFUNCTION("""COMPUTED_VALUE"""),"91.1.%")</f>
        <v>91.1.%</v>
      </c>
      <c r="CE73" s="838" t="str">
        <f>IFERROR(__xludf.DUMMYFUNCTION("""COMPUTED_VALUE"""),"No")</f>
        <v>No</v>
      </c>
      <c r="CF73" s="838"/>
      <c r="CG73" s="838"/>
      <c r="CH73" s="838"/>
      <c r="CI73" s="838"/>
      <c r="CJ73" s="838"/>
      <c r="CK73" s="838"/>
      <c r="CL73" s="838"/>
      <c r="CM73" s="847">
        <f>IFERROR(__xludf.DUMMYFUNCTION("""COMPUTED_VALUE"""),0.992)</f>
        <v>0.992</v>
      </c>
      <c r="CN73" s="838"/>
      <c r="CO73" s="838"/>
      <c r="CP73" s="838"/>
      <c r="CQ73" s="838"/>
      <c r="CR73" s="838"/>
      <c r="CS73" s="838"/>
      <c r="CT73" s="838"/>
      <c r="CU73" s="838"/>
      <c r="CV73" s="697" t="str">
        <f>IFERROR(__xludf.DUMMYFUNCTION("""COMPUTED_VALUE"""),"Sinniah, b., chew, p. i. &amp; subramaniam, k. (1990). Acomparative trial of albendazole, mebendazole,pyrantel pamoate and oxantel pyrantel pamoateagainst soil-transmitted helminthiases in schoolchildren. Tropical Biomedicine 7, 129–134.")</f>
        <v>Sinniah, b., chew, p. i. &amp; subramaniam, k. (1990). Acomparative trial of albendazole, mebendazole,pyrantel pamoate and oxantel pyrantel pamoateagainst soil-transmitted helminthiases in schoolchildren. Tropical Biomedicine 7, 129–134.</v>
      </c>
    </row>
    <row r="74">
      <c r="A74" s="842" t="str">
        <f>IFERROR(__xludf.DUMMYFUNCTION("""COMPUTED_VALUE"""),"Levecke et al.")</f>
        <v>Levecke et al.</v>
      </c>
      <c r="B74" s="834" t="str">
        <f>IFERROR(__xludf.DUMMYFUNCTION("""COMPUTED_VALUE"""),"Ethiopia")</f>
        <v>Ethiopia</v>
      </c>
      <c r="C74" s="834" t="str">
        <f>IFERROR(__xludf.DUMMYFUNCTION("""COMPUTED_VALUE"""),"Albendazole")</f>
        <v>Albendazole</v>
      </c>
      <c r="D74" s="834" t="str">
        <f>IFERROR(__xludf.DUMMYFUNCTION("""COMPUTED_VALUE"""),"Single")</f>
        <v>Single</v>
      </c>
      <c r="E74" s="834" t="str">
        <f>IFERROR(__xludf.DUMMYFUNCTION("""COMPUTED_VALUE"""),"400 mg")</f>
        <v>400 mg</v>
      </c>
      <c r="F74" s="834">
        <f>IFERROR(__xludf.DUMMYFUNCTION("""COMPUTED_VALUE"""),91.0)</f>
        <v>91</v>
      </c>
      <c r="G74" s="834">
        <f>IFERROR(__xludf.DUMMYFUNCTION("""COMPUTED_VALUE"""),11.7)</f>
        <v>11.7</v>
      </c>
      <c r="H74" s="839" t="str">
        <f>IFERROR(__xludf.DUMMYFUNCTION("""COMPUTED_VALUE"""),"90:0 ")</f>
        <v>90:0 </v>
      </c>
      <c r="I74" s="834">
        <f>IFERROR(__xludf.DUMMYFUNCTION("""COMPUTED_VALUE"""),2012.0)</f>
        <v>2012</v>
      </c>
      <c r="J74" s="834"/>
      <c r="K74" s="839" t="str">
        <f>IFERROR(__xludf.DUMMYFUNCTION("""COMPUTED_VALUE"""),"open trial")</f>
        <v>open trial</v>
      </c>
      <c r="L74" s="839" t="str">
        <f>IFERROR(__xludf.DUMMYFUNCTION("""COMPUTED_VALUE"""),"No")</f>
        <v>No</v>
      </c>
      <c r="M74" s="839" t="str">
        <f>IFERROR(__xludf.DUMMYFUNCTION("""COMPUTED_VALUE"""),"No")</f>
        <v>No</v>
      </c>
      <c r="N74" s="840">
        <f>IFERROR(__xludf.DUMMYFUNCTION("""COMPUTED_VALUE"""),0.997)</f>
        <v>0.997</v>
      </c>
      <c r="O74" s="834"/>
      <c r="P74" s="834"/>
      <c r="Q74" s="834"/>
      <c r="R74" s="834"/>
      <c r="S74" s="834"/>
      <c r="T74" s="834"/>
      <c r="U74" s="834"/>
      <c r="V74" s="834"/>
      <c r="W74" s="834"/>
      <c r="X74" s="834"/>
      <c r="Y74" s="834"/>
      <c r="Z74" s="834"/>
      <c r="AA74" s="834"/>
      <c r="AB74" s="834"/>
      <c r="AC74" s="834"/>
      <c r="AD74" s="834"/>
      <c r="AE74" s="834" t="str">
        <f>IFERROR(__xludf.DUMMYFUNCTION("""COMPUTED_VALUE"""),"Overall, ALB resulted in statistically higher FECR rate against hookworm infections verse MEB")</f>
        <v>Overall, ALB resulted in statistically higher FECR rate against hookworm infections verse MEB</v>
      </c>
      <c r="AF74" s="834" t="str">
        <f>IFERROR(__xludf.DUMMYFUNCTION("""COMPUTED_VALUE"""),"McMaster Method                                          For hookworm the FECR of both drugs did not depend significantly on the mean FEC at pre-intervention")</f>
        <v>McMaster Method                                          For hookworm the FECR of both drugs did not depend significantly on the mean FEC at pre-intervention</v>
      </c>
      <c r="AG74" s="834" t="str">
        <f>IFERROR(__xludf.DUMMYFUNCTION("""COMPUTED_VALUE"""),"Levecke, Bruno, Antonio Montresor, Marco Albonico, Shaali M. Ame, Jerzy M. Behnke, Jeffrey M. Bethony, Calvine D. Noumedem, Dirk Engels, Bertrand Guillard, Andrew C. Kotze, Alejandro J. Krolewiecki, James S. McCarthy, Zeleke Mekonnen, Maria V. Periago, He"&amp;"m Sopheak, Louis Albert Tchuem-Tchuente, Tran Thanh Duong, Nguyen Thu Huong, Ahmed Zeynudin, and Jozef Vercuysse. ""Assessment of Anthelmintic Efficacy of Mebendazolein School Children in Six Countries Where Soil Transmitted Helminths Are Endemic."" PLOS "&amp;"Neglected Tropical Diseases 8.10 (2014): 1-11. Web.")</f>
        <v>Levecke, Bruno, Antonio Montresor, Marco Albonico, Shaali M. Ame, Jerzy M. Behnke, Jeffrey M. Bethony, Calvine D. Noumedem, Dirk Engels, Bertrand Guillard, Andrew C. Kotze, Alejandro J. Krolewiecki, James S. McCarthy, Zeleke Mekonnen, Maria V. Periago, Hem Sopheak, Louis Albert Tchuem-Tchuente, Tran Thanh Duong, Nguyen Thu Huong, Ahmed Zeynudin, and Jozef Vercuysse. "Assessment of Anthelmintic Efficacy of Mebendazolein School Children in Six Countries Where Soil Transmitted Helminths Are Endemic." PLOS Neglected Tropical Diseases 8.10 (2014): 1-11. Web.</v>
      </c>
      <c r="AH74" s="834" t="str">
        <f>IFERROR(__xludf.DUMMYFUNCTION("""COMPUTED_VALUE"""),"x")</f>
        <v>x</v>
      </c>
      <c r="AJ74" s="843" t="str">
        <f>IFERROR(__xludf.DUMMYFUNCTION("""COMPUTED_VALUE"""),"Adams et al.")</f>
        <v>Adams et al.</v>
      </c>
      <c r="AK74" s="836"/>
      <c r="AL74" s="836" t="str">
        <f>IFERROR(__xludf.DUMMYFUNCTION("""COMPUTED_VALUE"""),"South Africa")</f>
        <v>South Africa</v>
      </c>
      <c r="AM74" s="836" t="str">
        <f>IFERROR(__xludf.DUMMYFUNCTION("""COMPUTED_VALUE"""),"Albendazole")</f>
        <v>Albendazole</v>
      </c>
      <c r="AN74" s="836" t="str">
        <f>IFERROR(__xludf.DUMMYFUNCTION("""COMPUTED_VALUE"""),"Three")</f>
        <v>Three</v>
      </c>
      <c r="AO74" s="836" t="str">
        <f>IFERROR(__xludf.DUMMYFUNCTION("""COMPUTED_VALUE"""),"1200 mg")</f>
        <v>1200 mg</v>
      </c>
      <c r="AP74" s="836">
        <f>IFERROR(__xludf.DUMMYFUNCTION("""COMPUTED_VALUE"""),50.0)</f>
        <v>50</v>
      </c>
      <c r="AQ74" s="836" t="str">
        <f>IFERROR(__xludf.DUMMYFUNCTION("""COMPUTED_VALUE"""),"6-16 years old Mean age: 10 years old")</f>
        <v>6-16 years old Mean age: 10 years old</v>
      </c>
      <c r="AR74" s="836"/>
      <c r="AS74" s="836">
        <f>IFERROR(__xludf.DUMMYFUNCTION("""COMPUTED_VALUE"""),2004.0)</f>
        <v>2004</v>
      </c>
      <c r="AT74" s="836" t="str">
        <f>IFERROR(__xludf.DUMMYFUNCTION("""COMPUTED_VALUE"""),"Exclusion: Chronic prescription medication and/or clinically evident illness")</f>
        <v>Exclusion: Chronic prescription medication and/or clinically evident illness</v>
      </c>
      <c r="AU74" s="836" t="str">
        <f>IFERROR(__xludf.DUMMYFUNCTION("""COMPUTED_VALUE"""),"Yes")</f>
        <v>Yes</v>
      </c>
      <c r="AV74" s="836" t="str">
        <f>IFERROR(__xludf.DUMMYFUNCTION("""COMPUTED_VALUE"""),"Yes")</f>
        <v>Yes</v>
      </c>
      <c r="AW74" s="836" t="str">
        <f>IFERROR(__xludf.DUMMYFUNCTION("""COMPUTED_VALUE"""),"randomized controlled trial, blind")</f>
        <v>randomized controlled trial, blind</v>
      </c>
      <c r="AX74" s="850">
        <f>IFERROR(__xludf.DUMMYFUNCTION("""COMPUTED_VALUE"""),0.67)</f>
        <v>0.67</v>
      </c>
      <c r="AY74" s="836"/>
      <c r="AZ74" s="836"/>
      <c r="BA74" s="836"/>
      <c r="BB74" s="836"/>
      <c r="BC74" s="836"/>
      <c r="BD74" s="836"/>
      <c r="BE74" s="836"/>
      <c r="BF74" s="836"/>
      <c r="BG74" s="836"/>
      <c r="BH74" s="841">
        <f>IFERROR(__xludf.DUMMYFUNCTION("""COMPUTED_VALUE"""),0.997)</f>
        <v>0.997</v>
      </c>
      <c r="BI74" s="836"/>
      <c r="BJ74" s="836"/>
      <c r="BK74" s="836"/>
      <c r="BL74" s="836"/>
      <c r="BM74" s="836"/>
      <c r="BN74" s="836"/>
      <c r="BO74" s="836"/>
      <c r="BP74" s="836"/>
      <c r="BQ74" s="697">
        <f>IFERROR(__xludf.DUMMYFUNCTION("""COMPUTED_VALUE"""),73.0)</f>
        <v>73</v>
      </c>
      <c r="BR74" s="844" t="str">
        <f>IFERROR(__xludf.DUMMYFUNCTION("""COMPUTED_VALUE"""),"Sinniah et al.")</f>
        <v>Sinniah et al.</v>
      </c>
      <c r="BS74" s="838" t="str">
        <f>IFERROR(__xludf.DUMMYFUNCTION("""COMPUTED_VALUE"""),"Malaysia")</f>
        <v>Malaysia</v>
      </c>
      <c r="BT74" s="838" t="str">
        <f>IFERROR(__xludf.DUMMYFUNCTION("""COMPUTED_VALUE"""),"Placebo")</f>
        <v>Placebo</v>
      </c>
      <c r="BU74" s="838"/>
      <c r="BV74" s="838"/>
      <c r="BW74" s="838"/>
      <c r="BX74" s="838"/>
      <c r="BY74" s="845">
        <f>IFERROR(__xludf.DUMMYFUNCTION("""COMPUTED_VALUE"""),42534.0)</f>
        <v>42534</v>
      </c>
      <c r="BZ74" s="838"/>
      <c r="CA74" s="838"/>
      <c r="CB74" s="838"/>
      <c r="CC74" s="838" t="str">
        <f>IFERROR(__xludf.DUMMYFUNCTION("""COMPUTED_VALUE"""),"Yes")</f>
        <v>Yes</v>
      </c>
      <c r="CD74" s="846">
        <f>IFERROR(__xludf.DUMMYFUNCTION("""COMPUTED_VALUE"""),0.0)</f>
        <v>0</v>
      </c>
      <c r="CE74" s="838" t="str">
        <f>IFERROR(__xludf.DUMMYFUNCTION("""COMPUTED_VALUE"""),"No")</f>
        <v>No</v>
      </c>
      <c r="CF74" s="838"/>
      <c r="CG74" s="838"/>
      <c r="CH74" s="838"/>
      <c r="CI74" s="838"/>
      <c r="CJ74" s="838"/>
      <c r="CK74" s="838"/>
      <c r="CL74" s="838"/>
      <c r="CM74" s="838" t="str">
        <f>IFERROR(__xludf.DUMMYFUNCTION("""COMPUTED_VALUE"""),"3.12%%")</f>
        <v>3.12%%</v>
      </c>
      <c r="CN74" s="838"/>
      <c r="CO74" s="838"/>
      <c r="CP74" s="838"/>
      <c r="CQ74" s="838"/>
      <c r="CR74" s="838"/>
      <c r="CS74" s="838"/>
      <c r="CT74" s="838"/>
      <c r="CU74" s="838"/>
      <c r="CV74" s="697" t="str">
        <f>IFERROR(__xludf.DUMMYFUNCTION("""COMPUTED_VALUE"""),"Sinniah, b., chew, p. i. &amp; subramaniam, k. (1990). Acomparative trial of albendazole, mebendazole,pyrantel pamoate and oxantel pyrantel pamoateagainst soil-transmitted helminthiases in schoolchildren. Tropical Biomedicine 7, 129–134.")</f>
        <v>Sinniah, b., chew, p. i. &amp; subramaniam, k. (1990). Acomparative trial of albendazole, mebendazole,pyrantel pamoate and oxantel pyrantel pamoateagainst soil-transmitted helminthiases in schoolchildren. Tropical Biomedicine 7, 129–134.</v>
      </c>
    </row>
    <row r="75">
      <c r="A75" s="842" t="str">
        <f>IFERROR(__xludf.DUMMYFUNCTION("""COMPUTED_VALUE"""),"Levecke et al.")</f>
        <v>Levecke et al.</v>
      </c>
      <c r="B75" s="834" t="str">
        <f>IFERROR(__xludf.DUMMYFUNCTION("""COMPUTED_VALUE"""),"Ethiopia")</f>
        <v>Ethiopia</v>
      </c>
      <c r="C75" s="834" t="str">
        <f>IFERROR(__xludf.DUMMYFUNCTION("""COMPUTED_VALUE"""),"Mebendazole")</f>
        <v>Mebendazole</v>
      </c>
      <c r="D75" s="834" t="str">
        <f>IFERROR(__xludf.DUMMYFUNCTION("""COMPUTED_VALUE"""),"Single")</f>
        <v>Single</v>
      </c>
      <c r="E75" s="834" t="str">
        <f>IFERROR(__xludf.DUMMYFUNCTION("""COMPUTED_VALUE"""),"500 mg")</f>
        <v>500 mg</v>
      </c>
      <c r="F75" s="834">
        <f>IFERROR(__xludf.DUMMYFUNCTION("""COMPUTED_VALUE"""),100.0)</f>
        <v>100</v>
      </c>
      <c r="G75" s="834">
        <f>IFERROR(__xludf.DUMMYFUNCTION("""COMPUTED_VALUE"""),11.7)</f>
        <v>11.7</v>
      </c>
      <c r="H75" s="851">
        <f>IFERROR(__xludf.DUMMYFUNCTION("""COMPUTED_VALUE"""),0.04097222222222222)</f>
        <v>0.04097222222</v>
      </c>
      <c r="I75" s="834">
        <f>IFERROR(__xludf.DUMMYFUNCTION("""COMPUTED_VALUE"""),2012.0)</f>
        <v>2012</v>
      </c>
      <c r="J75" s="834"/>
      <c r="K75" s="839" t="str">
        <f>IFERROR(__xludf.DUMMYFUNCTION("""COMPUTED_VALUE"""),"open trial")</f>
        <v>open trial</v>
      </c>
      <c r="L75" s="839" t="str">
        <f>IFERROR(__xludf.DUMMYFUNCTION("""COMPUTED_VALUE"""),"No")</f>
        <v>No</v>
      </c>
      <c r="M75" s="839" t="str">
        <f>IFERROR(__xludf.DUMMYFUNCTION("""COMPUTED_VALUE"""),"No")</f>
        <v>No</v>
      </c>
      <c r="N75" s="840">
        <f>IFERROR(__xludf.DUMMYFUNCTION("""COMPUTED_VALUE"""),0.654)</f>
        <v>0.654</v>
      </c>
      <c r="O75" s="834"/>
      <c r="P75" s="834"/>
      <c r="Q75" s="834"/>
      <c r="R75" s="834"/>
      <c r="S75" s="834"/>
      <c r="T75" s="834"/>
      <c r="U75" s="834"/>
      <c r="V75" s="834"/>
      <c r="W75" s="834"/>
      <c r="X75" s="834"/>
      <c r="Y75" s="834"/>
      <c r="Z75" s="834"/>
      <c r="AA75" s="834"/>
      <c r="AB75" s="834"/>
      <c r="AC75" s="834"/>
      <c r="AD75" s="834"/>
      <c r="AE75" s="834" t="str">
        <f>IFERROR(__xludf.DUMMYFUNCTION("""COMPUTED_VALUE"""),"Overall, ALB resulted in statistically higher FECR rate against hookworm infections verse MEB")</f>
        <v>Overall, ALB resulted in statistically higher FECR rate against hookworm infections verse MEB</v>
      </c>
      <c r="AF75" s="834" t="str">
        <f>IFERROR(__xludf.DUMMYFUNCTION("""COMPUTED_VALUE"""),"McMaster Method                                          For hookworm the FECR of both drugs did not depend significantly on the mean FEC at pre-intervention")</f>
        <v>McMaster Method                                          For hookworm the FECR of both drugs did not depend significantly on the mean FEC at pre-intervention</v>
      </c>
      <c r="AG75" s="834" t="str">
        <f>IFERROR(__xludf.DUMMYFUNCTION("""COMPUTED_VALUE"""),"Levecke, Bruno, Antonio Montresor, Marco Albonico, Shaali M. Ame, Jerzy M. Behnke, Jeffrey M. Bethony, Calvine D. Noumedem, Dirk Engels, Bertrand Guillard, Andrew C. Kotze, Alejandro J. Krolewiecki, James S. McCarthy, Zeleke Mekonnen, Maria V. Periago, He"&amp;"m Sopheak, Louis Albert Tchuem-Tchuente, Tran Thanh Duong, Nguyen Thu Huong, Ahmed Zeynudin, and Jozef Vercuysse. ""Assessment of Anthelmintic Efficacy of Mebendazolein School Children in Six Countries Where Soil Transmitted Helminths Are Endemic."" PLOS "&amp;"Neglected Tropical Diseases 8.10 (2014): 1-11. Web.")</f>
        <v>Levecke, Bruno, Antonio Montresor, Marco Albonico, Shaali M. Ame, Jerzy M. Behnke, Jeffrey M. Bethony, Calvine D. Noumedem, Dirk Engels, Bertrand Guillard, Andrew C. Kotze, Alejandro J. Krolewiecki, James S. McCarthy, Zeleke Mekonnen, Maria V. Periago, Hem Sopheak, Louis Albert Tchuem-Tchuente, Tran Thanh Duong, Nguyen Thu Huong, Ahmed Zeynudin, and Jozef Vercuysse. "Assessment of Anthelmintic Efficacy of Mebendazolein School Children in Six Countries Where Soil Transmitted Helminths Are Endemic." PLOS Neglected Tropical Diseases 8.10 (2014): 1-11. Web.</v>
      </c>
      <c r="AH75" s="834" t="str">
        <f>IFERROR(__xludf.DUMMYFUNCTION("""COMPUTED_VALUE"""),"x")</f>
        <v>x</v>
      </c>
      <c r="AJ75" s="843" t="str">
        <f>IFERROR(__xludf.DUMMYFUNCTION("""COMPUTED_VALUE"""),"Steinmann et al.")</f>
        <v>Steinmann et al.</v>
      </c>
      <c r="AK75" s="836" t="str">
        <f>IFERROR(__xludf.DUMMYFUNCTION("""COMPUTED_VALUE"""),"Steinmann, Peter, Xiao-Nong Zhou, Zun-Wei Du, Jin-Yong Jiang, Shu-Hua Xiao, Zhong-Xing Wu, Hui Zhou, and Jurg Utzinger. ""Tribendimidineand Albendazolefor Treating Soil-transmitted Helminths, Strongyloides Stercoralis and Taena Spp.: Open-lable Randomized"&amp;" Trial."" PLOS Neglected Tropical Diseases 2.10 (2008): 1-10. Web.")</f>
        <v>Steinmann, Peter, Xiao-Nong Zhou, Zun-Wei Du, Jin-Yong Jiang, Shu-Hua Xiao, Zhong-Xing Wu, Hui Zhou, and Jurg Utzinger. "Tribendimidineand Albendazolefor Treating Soil-transmitted Helminths, Strongyloides Stercoralis and Taena Spp.: Open-lable Randomized Trial." PLOS Neglected Tropical Diseases 2.10 (2008): 1-10. Web.</v>
      </c>
      <c r="AL75" s="836" t="str">
        <f>IFERROR(__xludf.DUMMYFUNCTION("""COMPUTED_VALUE"""),"China")</f>
        <v>China</v>
      </c>
      <c r="AM75" s="836" t="str">
        <f>IFERROR(__xludf.DUMMYFUNCTION("""COMPUTED_VALUE"""),"Albendazole")</f>
        <v>Albendazole</v>
      </c>
      <c r="AN75" s="836" t="str">
        <f>IFERROR(__xludf.DUMMYFUNCTION("""COMPUTED_VALUE"""),"Single")</f>
        <v>Single</v>
      </c>
      <c r="AO75" s="836" t="str">
        <f>IFERROR(__xludf.DUMMYFUNCTION("""COMPUTED_VALUE"""),"200 mg")</f>
        <v>200 mg</v>
      </c>
      <c r="AP75" s="836" t="str">
        <f>IFERROR(__xludf.DUMMYFUNCTION("""COMPUTED_VALUE"""),"66/123")</f>
        <v>66/123</v>
      </c>
      <c r="AQ75" s="836" t="str">
        <f>IFERROR(__xludf.DUMMYFUNCTION("""COMPUTED_VALUE"""),"5-14 year old")</f>
        <v>5-14 year old</v>
      </c>
      <c r="AR75" s="836" t="str">
        <f>IFERROR(__xludf.DUMMYFUNCTION("""COMPUTED_VALUE"""),"Male:51 Female:57")</f>
        <v>Male:51 Female:57</v>
      </c>
      <c r="AS75" s="836">
        <f>IFERROR(__xludf.DUMMYFUNCTION("""COMPUTED_VALUE"""),2007.0)</f>
        <v>2007</v>
      </c>
      <c r="AT75" s="836"/>
      <c r="AU75" s="836" t="str">
        <f>IFERROR(__xludf.DUMMYFUNCTION("""COMPUTED_VALUE"""),"Yes")</f>
        <v>Yes</v>
      </c>
      <c r="AV75" s="836" t="str">
        <f>IFERROR(__xludf.DUMMYFUNCTION("""COMPUTED_VALUE"""),"No")</f>
        <v>No</v>
      </c>
      <c r="AW75" s="836" t="str">
        <f>IFERROR(__xludf.DUMMYFUNCTION("""COMPUTED_VALUE"""),"open label randomized controlled trial with arms")</f>
        <v>open label randomized controlled trial with arms</v>
      </c>
      <c r="AX75" s="841">
        <f>IFERROR(__xludf.DUMMYFUNCTION("""COMPUTED_VALUE"""),0.117)</f>
        <v>0.117</v>
      </c>
      <c r="AY75" s="836"/>
      <c r="AZ75" s="836"/>
      <c r="BA75" s="836"/>
      <c r="BB75" s="836"/>
      <c r="BC75" s="836"/>
      <c r="BD75" s="836"/>
      <c r="BE75" s="836"/>
      <c r="BF75" s="836"/>
      <c r="BG75" s="836"/>
      <c r="BH75" s="841">
        <f>IFERROR(__xludf.DUMMYFUNCTION("""COMPUTED_VALUE"""),0.106)</f>
        <v>0.106</v>
      </c>
      <c r="BI75" s="836"/>
      <c r="BJ75" s="836"/>
      <c r="BK75" s="836"/>
      <c r="BL75" s="836"/>
      <c r="BM75" s="836"/>
      <c r="BN75" s="836"/>
      <c r="BO75" s="836" t="str">
        <f>IFERROR(__xludf.DUMMYFUNCTION("""COMPUTED_VALUE"""),"Kato-Katz method, koga agar plate, and baermann test")</f>
        <v>Kato-Katz method, koga agar plate, and baermann test</v>
      </c>
      <c r="BP75" s="836"/>
      <c r="BQ75" s="697">
        <f>IFERROR(__xludf.DUMMYFUNCTION("""COMPUTED_VALUE"""),74.0)</f>
        <v>74</v>
      </c>
      <c r="BR75" s="844" t="str">
        <f>IFERROR(__xludf.DUMMYFUNCTION("""COMPUTED_VALUE"""),"Stephenson et al. ")</f>
        <v>Stephenson et al. </v>
      </c>
      <c r="BS75" s="838" t="str">
        <f>IFERROR(__xludf.DUMMYFUNCTION("""COMPUTED_VALUE"""),"Kenya")</f>
        <v>Kenya</v>
      </c>
      <c r="BT75" s="838" t="str">
        <f>IFERROR(__xludf.DUMMYFUNCTION("""COMPUTED_VALUE"""),"Albendazole")</f>
        <v>Albendazole</v>
      </c>
      <c r="BU75" s="838"/>
      <c r="BV75" s="838" t="str">
        <f>IFERROR(__xludf.DUMMYFUNCTION("""COMPUTED_VALUE"""),"Single")</f>
        <v>Single</v>
      </c>
      <c r="BW75" s="838" t="str">
        <f>IFERROR(__xludf.DUMMYFUNCTION("""COMPUTED_VALUE"""),"400 mg")</f>
        <v>400 mg</v>
      </c>
      <c r="BX75" s="838">
        <f>IFERROR(__xludf.DUMMYFUNCTION("""COMPUTED_VALUE"""),36.0)</f>
        <v>36</v>
      </c>
      <c r="BY75" s="845">
        <f>IFERROR(__xludf.DUMMYFUNCTION("""COMPUTED_VALUE"""),42533.0)</f>
        <v>42533</v>
      </c>
      <c r="BZ75" s="838">
        <f>IFERROR(__xludf.DUMMYFUNCTION("""COMPUTED_VALUE"""),1986.0)</f>
        <v>1986</v>
      </c>
      <c r="CA75" s="838" t="str">
        <f>IFERROR(__xludf.DUMMYFUNCTION("""COMPUTED_VALUE"""),"schoolboys")</f>
        <v>schoolboys</v>
      </c>
      <c r="CB75" s="838"/>
      <c r="CC75" s="838" t="str">
        <f>IFERROR(__xludf.DUMMYFUNCTION("""COMPUTED_VALUE"""),"Yes")</f>
        <v>Yes</v>
      </c>
      <c r="CD75" s="846">
        <f>IFERROR(__xludf.DUMMYFUNCTION("""COMPUTED_VALUE"""),1.0)</f>
        <v>1</v>
      </c>
      <c r="CE75" s="838" t="str">
        <f>IFERROR(__xludf.DUMMYFUNCTION("""COMPUTED_VALUE"""),"Yes")</f>
        <v>Yes</v>
      </c>
      <c r="CF75" s="838"/>
      <c r="CG75" s="838"/>
      <c r="CH75" s="838"/>
      <c r="CI75" s="838"/>
      <c r="CJ75" s="838"/>
      <c r="CK75" s="838"/>
      <c r="CL75" s="838"/>
      <c r="CM75" s="846">
        <f>IFERROR(__xludf.DUMMYFUNCTION("""COMPUTED_VALUE"""),1.0)</f>
        <v>1</v>
      </c>
      <c r="CN75" s="838"/>
      <c r="CO75" s="838"/>
      <c r="CP75" s="838"/>
      <c r="CQ75" s="838"/>
      <c r="CR75" s="838"/>
      <c r="CS75" s="838" t="str">
        <f>IFERROR(__xludf.DUMMYFUNCTION("""COMPUTED_VALUE"""),"single dose treatment with albendazole, despite continual exposure to reinfection, can allow improved physical fitness in schoolboys in areas where soil-transmitted helminths and protein-energy malnutrition are highly prevalent.")</f>
        <v>single dose treatment with albendazole, despite continual exposure to reinfection, can allow improved physical fitness in schoolboys in areas where soil-transmitted helminths and protein-energy malnutrition are highly prevalent.</v>
      </c>
      <c r="CT75" s="838" t="str">
        <f>IFERROR(__xludf.DUMMYFUNCTION("""COMPUTED_VALUE""")," ")</f>
        <v> </v>
      </c>
      <c r="CU75" s="838" t="str">
        <f>IFERROR(__xludf.DUMMYFUNCTION("""COMPUTED_VALUE"""),"
")</f>
        <v>
</v>
      </c>
      <c r="CV75" s="697" t="str">
        <f>IFERROR(__xludf.DUMMYFUNCTION("""COMPUTED_VALUE"""),"stephenson, l. s., latham, m. c., kinoti, s. n., kurz,k. m. &amp; brigham, h. (1990). Improvements in physicalfitness of Kenyan schoolboys infected with hookworm,Trichuris trichiura and Ascaris lumbricoides following asingle dose of albendazole. Transactions "&amp;"of the RoyalSociety of Tropical Medicine and Hygiene 84, 277–282.")</f>
        <v>stephenson, l. s., latham, m. c., kinoti, s. n., kurz,k. m. &amp; brigham, h. (1990). Improvements in physicalfitness of Kenyan schoolboys infected with hookworm,Trichuris trichiura and Ascaris lumbricoides following asingle dose of albendazole. Transactions of the RoyalSociety of Tropical Medicine and Hygiene 84, 277–282.</v>
      </c>
    </row>
    <row r="76">
      <c r="A76" s="842" t="str">
        <f>IFERROR(__xludf.DUMMYFUNCTION("""COMPUTED_VALUE"""),"Lyu et al. ")</f>
        <v>Lyu et al. </v>
      </c>
      <c r="B76" s="834" t="str">
        <f>IFERROR(__xludf.DUMMYFUNCTION("""COMPUTED_VALUE"""),"Republic of Korea")</f>
        <v>Republic of Korea</v>
      </c>
      <c r="C76" s="834" t="str">
        <f>IFERROR(__xludf.DUMMYFUNCTION("""COMPUTED_VALUE"""),"Pyrantel Embonate")</f>
        <v>Pyrantel Embonate</v>
      </c>
      <c r="D76" s="834" t="str">
        <f>IFERROR(__xludf.DUMMYFUNCTION("""COMPUTED_VALUE"""),"Single")</f>
        <v>Single</v>
      </c>
      <c r="E76" s="834" t="str">
        <f>IFERROR(__xludf.DUMMYFUNCTION("""COMPUTED_VALUE"""),"10 mg/kg")</f>
        <v>10 mg/kg</v>
      </c>
      <c r="F76" s="834" t="str">
        <f>IFERROR(__xludf.DUMMYFUNCTION("""COMPUTED_VALUE"""),"49/100")</f>
        <v>49/100</v>
      </c>
      <c r="G76" s="834" t="str">
        <f>IFERROR(__xludf.DUMMYFUNCTION("""COMPUTED_VALUE"""),"8-76 ")</f>
        <v>8-76 </v>
      </c>
      <c r="H76" s="839" t="str">
        <f>IFERROR(__xludf.DUMMYFUNCTION("""COMPUTED_VALUE"""),"54:46")</f>
        <v>54:46</v>
      </c>
      <c r="I76" s="834">
        <f>IFERROR(__xludf.DUMMYFUNCTION("""COMPUTED_VALUE"""),1975.0)</f>
        <v>1975</v>
      </c>
      <c r="J76" s="834"/>
      <c r="K76" s="839" t="str">
        <f>IFERROR(__xludf.DUMMYFUNCTION("""COMPUTED_VALUE"""),"single-blind non cross over randomized")</f>
        <v>single-blind non cross over randomized</v>
      </c>
      <c r="L76" s="839" t="str">
        <f>IFERROR(__xludf.DUMMYFUNCTION("""COMPUTED_VALUE"""),"Yes")</f>
        <v>Yes</v>
      </c>
      <c r="M76" s="839" t="str">
        <f>IFERROR(__xludf.DUMMYFUNCTION("""COMPUTED_VALUE"""),"Yes")</f>
        <v>Yes</v>
      </c>
      <c r="N76" s="840">
        <f>IFERROR(__xludf.DUMMYFUNCTION("""COMPUTED_VALUE"""),0.857)</f>
        <v>0.857</v>
      </c>
      <c r="O76" s="834"/>
      <c r="P76" s="834"/>
      <c r="Q76" s="834"/>
      <c r="R76" s="834"/>
      <c r="S76" s="834"/>
      <c r="T76" s="834"/>
      <c r="U76" s="834"/>
      <c r="V76" s="834"/>
      <c r="W76" s="840">
        <f>IFERROR(__xludf.DUMMYFUNCTION("""COMPUTED_VALUE"""),0.999)</f>
        <v>0.999</v>
      </c>
      <c r="X76" s="834"/>
      <c r="Y76" s="834"/>
      <c r="Z76" s="834"/>
      <c r="AA76" s="834"/>
      <c r="AB76" s="834"/>
      <c r="AC76" s="834"/>
      <c r="AD76" s="834"/>
      <c r="AE76" s="834" t="str">
        <f>IFERROR(__xludf.DUMMYFUNCTION("""COMPUTED_VALUE"""),"Pyrantel is ideal for patients with multople helminth infections")</f>
        <v>Pyrantel is ideal for patients with multople helminth infections</v>
      </c>
      <c r="AF76" s="834" t="str">
        <f>IFERROR(__xludf.DUMMYFUNCTION("""COMPUTED_VALUE"""),"1.Given on empty stomach")</f>
        <v>1.Given on empty stomach</v>
      </c>
      <c r="AG76" s="834" t="str">
        <f>IFERROR(__xludf.DUMMYFUNCTION("""COMPUTED_VALUE"""),"Lim, Jung-Kyoo, Kwang-sa Lyu, Il Hyun, Sun-dae Song, and Han-Jong Rim. ""Pyrantel Embonate and Bephenum Hydroxynaphthoate in the Treatment of Hookworm Infection."" The Korean Journal of Parasitology 13.1 (1975): 19-30. Web.")</f>
        <v>Lim, Jung-Kyoo, Kwang-sa Lyu, Il Hyun, Sun-dae Song, and Han-Jong Rim. "Pyrantel Embonate and Bephenum Hydroxynaphthoate in the Treatment of Hookworm Infection." The Korean Journal of Parasitology 13.1 (1975): 19-30. Web.</v>
      </c>
      <c r="AH76" s="834"/>
      <c r="AJ76" s="843" t="str">
        <f>IFERROR(__xludf.DUMMYFUNCTION("""COMPUTED_VALUE"""),"Steinmann et al.")</f>
        <v>Steinmann et al.</v>
      </c>
      <c r="AK76" s="836"/>
      <c r="AL76" s="836" t="str">
        <f>IFERROR(__xludf.DUMMYFUNCTION("""COMPUTED_VALUE"""),"China")</f>
        <v>China</v>
      </c>
      <c r="AM76" s="836" t="str">
        <f>IFERROR(__xludf.DUMMYFUNCTION("""COMPUTED_VALUE"""),"Albendazole")</f>
        <v>Albendazole</v>
      </c>
      <c r="AN76" s="836" t="str">
        <f>IFERROR(__xludf.DUMMYFUNCTION("""COMPUTED_VALUE"""),"Single")</f>
        <v>Single</v>
      </c>
      <c r="AO76" s="836" t="str">
        <f>IFERROR(__xludf.DUMMYFUNCTION("""COMPUTED_VALUE"""),"400 mg")</f>
        <v>400 mg</v>
      </c>
      <c r="AP76" s="836"/>
      <c r="AQ76" s="836" t="str">
        <f>IFERROR(__xludf.DUMMYFUNCTION("""COMPUTED_VALUE"""),"15 years old or older")</f>
        <v>15 years old or older</v>
      </c>
      <c r="AR76" s="836" t="str">
        <f>IFERROR(__xludf.DUMMYFUNCTION("""COMPUTED_VALUE"""),"Male:51 Female:58")</f>
        <v>Male:51 Female:58</v>
      </c>
      <c r="AS76" s="836">
        <f>IFERROR(__xludf.DUMMYFUNCTION("""COMPUTED_VALUE"""),2007.0)</f>
        <v>2007</v>
      </c>
      <c r="AT76" s="836"/>
      <c r="AU76" s="836" t="str">
        <f>IFERROR(__xludf.DUMMYFUNCTION("""COMPUTED_VALUE"""),"Yes")</f>
        <v>Yes</v>
      </c>
      <c r="AV76" s="836" t="str">
        <f>IFERROR(__xludf.DUMMYFUNCTION("""COMPUTED_VALUE"""),"No")</f>
        <v>No</v>
      </c>
      <c r="AW76" s="836" t="str">
        <f>IFERROR(__xludf.DUMMYFUNCTION("""COMPUTED_VALUE"""),"open label randomized controlled trial with arms")</f>
        <v>open label randomized controlled trial with arms</v>
      </c>
      <c r="AX76" s="836"/>
      <c r="AY76" s="836"/>
      <c r="AZ76" s="836"/>
      <c r="BA76" s="836"/>
      <c r="BB76" s="836"/>
      <c r="BC76" s="836"/>
      <c r="BD76" s="836"/>
      <c r="BE76" s="836"/>
      <c r="BF76" s="836"/>
      <c r="BG76" s="836"/>
      <c r="BH76" s="836"/>
      <c r="BI76" s="836"/>
      <c r="BJ76" s="836"/>
      <c r="BK76" s="836"/>
      <c r="BL76" s="836"/>
      <c r="BM76" s="836"/>
      <c r="BN76" s="836"/>
      <c r="BO76" s="836"/>
      <c r="BP76" s="836"/>
      <c r="BQ76" s="697">
        <f>IFERROR(__xludf.DUMMYFUNCTION("""COMPUTED_VALUE"""),75.0)</f>
        <v>75</v>
      </c>
      <c r="BR76" s="844" t="str">
        <f>IFERROR(__xludf.DUMMYFUNCTION("""COMPUTED_VALUE"""),"Stephenson et al. ")</f>
        <v>Stephenson et al. </v>
      </c>
      <c r="BS76" s="838" t="str">
        <f>IFERROR(__xludf.DUMMYFUNCTION("""COMPUTED_VALUE"""),"Kenya")</f>
        <v>Kenya</v>
      </c>
      <c r="BT76" s="838" t="str">
        <f>IFERROR(__xludf.DUMMYFUNCTION("""COMPUTED_VALUE"""),"Placebo")</f>
        <v>Placebo</v>
      </c>
      <c r="BU76" s="838"/>
      <c r="BV76" s="838"/>
      <c r="BW76" s="838"/>
      <c r="BX76" s="838"/>
      <c r="BY76" s="845">
        <f>IFERROR(__xludf.DUMMYFUNCTION("""COMPUTED_VALUE"""),42533.0)</f>
        <v>42533</v>
      </c>
      <c r="BZ76" s="838">
        <f>IFERROR(__xludf.DUMMYFUNCTION("""COMPUTED_VALUE"""),1986.0)</f>
        <v>1986</v>
      </c>
      <c r="CA76" s="838"/>
      <c r="CB76" s="838"/>
      <c r="CC76" s="838" t="str">
        <f>IFERROR(__xludf.DUMMYFUNCTION("""COMPUTED_VALUE"""),"Yes")</f>
        <v>Yes</v>
      </c>
      <c r="CD76" s="846">
        <f>IFERROR(__xludf.DUMMYFUNCTION("""COMPUTED_VALUE"""),0.0)</f>
        <v>0</v>
      </c>
      <c r="CE76" s="838" t="str">
        <f>IFERROR(__xludf.DUMMYFUNCTION("""COMPUTED_VALUE"""),"Yes")</f>
        <v>Yes</v>
      </c>
      <c r="CF76" s="838"/>
      <c r="CG76" s="838"/>
      <c r="CH76" s="838"/>
      <c r="CI76" s="838"/>
      <c r="CJ76" s="838"/>
      <c r="CK76" s="838"/>
      <c r="CL76" s="838"/>
      <c r="CM76" s="846">
        <f>IFERROR(__xludf.DUMMYFUNCTION("""COMPUTED_VALUE"""),-0.2)</f>
        <v>-0.2</v>
      </c>
      <c r="CN76" s="838"/>
      <c r="CO76" s="838"/>
      <c r="CP76" s="838"/>
      <c r="CQ76" s="838"/>
      <c r="CR76" s="838"/>
      <c r="CS76" s="838"/>
      <c r="CT76" s="838"/>
      <c r="CU76" s="838"/>
      <c r="CV76" s="697" t="str">
        <f>IFERROR(__xludf.DUMMYFUNCTION("""COMPUTED_VALUE"""),"stephenson, l. s., latham, m. c., kinoti, s. n., kurz,k. m. &amp; brigham, h. (1990). Improvements in physicalfitness of Kenyan schoolboys infected with hookworm,Trichuris trichiura and Ascaris lumbricoides following asingle dose of albendazole. Transactions "&amp;"of the RoyalSociety of Tropical Medicine and Hygiene 84, 277–282.")</f>
        <v>stephenson, l. s., latham, m. c., kinoti, s. n., kurz,k. m. &amp; brigham, h. (1990). Improvements in physicalfitness of Kenyan schoolboys infected with hookworm,Trichuris trichiura and Ascaris lumbricoides following asingle dose of albendazole. Transactions of the RoyalSociety of Tropical Medicine and Hygiene 84, 277–282.</v>
      </c>
    </row>
    <row r="77">
      <c r="A77" s="842" t="str">
        <f>IFERROR(__xludf.DUMMYFUNCTION("""COMPUTED_VALUE"""),"Mani et al.")</f>
        <v>Mani et al.</v>
      </c>
      <c r="B77" s="834" t="str">
        <f>IFERROR(__xludf.DUMMYFUNCTION("""COMPUTED_VALUE"""),"India")</f>
        <v>India</v>
      </c>
      <c r="C77" s="834" t="str">
        <f>IFERROR(__xludf.DUMMYFUNCTION("""COMPUTED_VALUE"""),"Albendazole &amp; Diethylcarbamazine")</f>
        <v>Albendazole &amp; Diethylcarbamazine</v>
      </c>
      <c r="D77" s="834" t="str">
        <f>IFERROR(__xludf.DUMMYFUNCTION("""COMPUTED_VALUE"""),"Single")</f>
        <v>Single</v>
      </c>
      <c r="E77" s="834" t="str">
        <f>IFERROR(__xludf.DUMMYFUNCTION("""COMPUTED_VALUE"""),"600 mg; 6 mg")</f>
        <v>600 mg; 6 mg</v>
      </c>
      <c r="F77" s="834">
        <f>IFERROR(__xludf.DUMMYFUNCTION("""COMPUTED_VALUE"""),321.0)</f>
        <v>321</v>
      </c>
      <c r="G77" s="849">
        <f>IFERROR(__xludf.DUMMYFUNCTION("""COMPUTED_VALUE"""),42384.0)</f>
        <v>42384</v>
      </c>
      <c r="H77" s="839" t="str">
        <f>IFERROR(__xludf.DUMMYFUNCTION("""COMPUTED_VALUE"""),"144:177")</f>
        <v>144:177</v>
      </c>
      <c r="I77" s="834">
        <f>IFERROR(__xludf.DUMMYFUNCTION("""COMPUTED_VALUE"""),2001.0)</f>
        <v>2001</v>
      </c>
      <c r="J77" s="834"/>
      <c r="K77" s="839" t="str">
        <f>IFERROR(__xludf.DUMMYFUNCTION("""COMPUTED_VALUE"""),"randomized controlled trial")</f>
        <v>randomized controlled trial</v>
      </c>
      <c r="L77" s="839" t="str">
        <f>IFERROR(__xludf.DUMMYFUNCTION("""COMPUTED_VALUE"""),"Yes")</f>
        <v>Yes</v>
      </c>
      <c r="M77" s="839" t="str">
        <f>IFERROR(__xludf.DUMMYFUNCTION("""COMPUTED_VALUE"""),"No")</f>
        <v>No</v>
      </c>
      <c r="N77" s="840">
        <f>IFERROR(__xludf.DUMMYFUNCTION("""COMPUTED_VALUE"""),0.8952)</f>
        <v>0.8952</v>
      </c>
      <c r="O77" s="834"/>
      <c r="P77" s="834"/>
      <c r="Q77" s="834"/>
      <c r="R77" s="834"/>
      <c r="S77" s="834"/>
      <c r="T77" s="834"/>
      <c r="U77" s="834"/>
      <c r="V77" s="834"/>
      <c r="W77" s="840">
        <f>IFERROR(__xludf.DUMMYFUNCTION("""COMPUTED_VALUE"""),0.9418)</f>
        <v>0.9418</v>
      </c>
      <c r="X77" s="834"/>
      <c r="Y77" s="834"/>
      <c r="Z77" s="834"/>
      <c r="AA77" s="834"/>
      <c r="AB77" s="834"/>
      <c r="AC77" s="834"/>
      <c r="AD77" s="834"/>
      <c r="AE77" s="834" t="str">
        <f>IFERROR(__xludf.DUMMYFUNCTION("""COMPUTED_VALUE"""),"DEC alone gave a poor cure (26%) and egg reduction rate (36%) for hookworm infection and was definitely inferior to combination drug therapy.")</f>
        <v>DEC alone gave a poor cure (26%) and egg reduction rate (36%) for hookworm infection and was definitely inferior to combination drug therapy.</v>
      </c>
      <c r="AF77" s="834" t="str">
        <f>IFERROR(__xludf.DUMMYFUNCTION("""COMPUTED_VALUE"""),"Kato-Katz Method")</f>
        <v>Kato-Katz Method</v>
      </c>
      <c r="AG77" s="834" t="str">
        <f>IFERROR(__xludf.DUMMYFUNCTION("""COMPUTED_VALUE"""),"Mani, T. R., Rajendran, R., Munirathinam, A., Sunish, I. P., Abdullah, S. Md., Augustin, D. J., Satyanaryana, K. “Efficacy of co-administration of Albendazoleand diethylcarbamazine against geohelminthiases: a study from South India”. Tropical Medicine and"&amp;" International Health 7 (2002): 541-548. Web.")</f>
        <v>Mani, T. R., Rajendran, R., Munirathinam, A., Sunish, I. P., Abdullah, S. Md., Augustin, D. J., Satyanaryana, K. “Efficacy of co-administration of Albendazoleand diethylcarbamazine against geohelminthiases: a study from South India”. Tropical Medicine and International Health 7 (2002): 541-548. Web.</v>
      </c>
      <c r="AH77" s="834" t="str">
        <f>IFERROR(__xludf.DUMMYFUNCTION("""COMPUTED_VALUE"""),"x")</f>
        <v>x</v>
      </c>
      <c r="AJ77" s="843" t="str">
        <f>IFERROR(__xludf.DUMMYFUNCTION("""COMPUTED_VALUE"""),"Steinmann et al.")</f>
        <v>Steinmann et al.</v>
      </c>
      <c r="AK77" s="836"/>
      <c r="AL77" s="836" t="str">
        <f>IFERROR(__xludf.DUMMYFUNCTION("""COMPUTED_VALUE"""),"China")</f>
        <v>China</v>
      </c>
      <c r="AM77" s="836" t="str">
        <f>IFERROR(__xludf.DUMMYFUNCTION("""COMPUTED_VALUE"""),"Tribendimidine")</f>
        <v>Tribendimidine</v>
      </c>
      <c r="AN77" s="836" t="str">
        <f>IFERROR(__xludf.DUMMYFUNCTION("""COMPUTED_VALUE"""),"Single")</f>
        <v>Single</v>
      </c>
      <c r="AO77" s="836" t="str">
        <f>IFERROR(__xludf.DUMMYFUNCTION("""COMPUTED_VALUE"""),"200 mg")</f>
        <v>200 mg</v>
      </c>
      <c r="AP77" s="836" t="str">
        <f>IFERROR(__xludf.DUMMYFUNCTION("""COMPUTED_VALUE"""),"57/123")</f>
        <v>57/123</v>
      </c>
      <c r="AQ77" s="836" t="str">
        <f>IFERROR(__xludf.DUMMYFUNCTION("""COMPUTED_VALUE"""),"5- 14 years old")</f>
        <v>5- 14 years old</v>
      </c>
      <c r="AR77" s="836" t="str">
        <f>IFERROR(__xludf.DUMMYFUNCTION("""COMPUTED_VALUE"""),"Male:51 Female:59")</f>
        <v>Male:51 Female:59</v>
      </c>
      <c r="AS77" s="836">
        <f>IFERROR(__xludf.DUMMYFUNCTION("""COMPUTED_VALUE"""),2007.0)</f>
        <v>2007</v>
      </c>
      <c r="AT77" s="836"/>
      <c r="AU77" s="836" t="str">
        <f>IFERROR(__xludf.DUMMYFUNCTION("""COMPUTED_VALUE"""),"Yes")</f>
        <v>Yes</v>
      </c>
      <c r="AV77" s="836" t="str">
        <f>IFERROR(__xludf.DUMMYFUNCTION("""COMPUTED_VALUE"""),"No")</f>
        <v>No</v>
      </c>
      <c r="AW77" s="836" t="str">
        <f>IFERROR(__xludf.DUMMYFUNCTION("""COMPUTED_VALUE"""),"open label randomized controlled trial with arms")</f>
        <v>open label randomized controlled trial with arms</v>
      </c>
      <c r="AX77" s="850">
        <f>IFERROR(__xludf.DUMMYFUNCTION("""COMPUTED_VALUE"""),0.0)</f>
        <v>0</v>
      </c>
      <c r="AY77" s="836"/>
      <c r="AZ77" s="836"/>
      <c r="BA77" s="836"/>
      <c r="BB77" s="836"/>
      <c r="BC77" s="836"/>
      <c r="BD77" s="836"/>
      <c r="BE77" s="836"/>
      <c r="BF77" s="836"/>
      <c r="BG77" s="836"/>
      <c r="BH77" s="850">
        <f>IFERROR(__xludf.DUMMYFUNCTION("""COMPUTED_VALUE"""),0.0)</f>
        <v>0</v>
      </c>
      <c r="BI77" s="836"/>
      <c r="BJ77" s="836"/>
      <c r="BK77" s="836"/>
      <c r="BL77" s="836"/>
      <c r="BM77" s="836"/>
      <c r="BN77" s="836"/>
      <c r="BO77" s="836"/>
      <c r="BP77" s="836"/>
      <c r="BQ77" s="697">
        <f>IFERROR(__xludf.DUMMYFUNCTION("""COMPUTED_VALUE"""),76.0)</f>
        <v>76</v>
      </c>
      <c r="BR77" s="844" t="str">
        <f>IFERROR(__xludf.DUMMYFUNCTION("""COMPUTED_VALUE"""),"Upatham et al.")</f>
        <v>Upatham et al.</v>
      </c>
      <c r="BS77" s="838" t="str">
        <f>IFERROR(__xludf.DUMMYFUNCTION("""COMPUTED_VALUE"""),"Thiland")</f>
        <v>Thiland</v>
      </c>
      <c r="BT77" s="838" t="str">
        <f>IFERROR(__xludf.DUMMYFUNCTION("""COMPUTED_VALUE"""),"Albendazole")</f>
        <v>Albendazole</v>
      </c>
      <c r="BU77" s="838"/>
      <c r="BV77" s="838" t="str">
        <f>IFERROR(__xludf.DUMMYFUNCTION("""COMPUTED_VALUE"""),"Single")</f>
        <v>Single</v>
      </c>
      <c r="BW77" s="838" t="str">
        <f>IFERROR(__xludf.DUMMYFUNCTION("""COMPUTED_VALUE"""),"200 mg; 400 mg")</f>
        <v>200 mg; 400 mg</v>
      </c>
      <c r="BX77" s="838">
        <f>IFERROR(__xludf.DUMMYFUNCTION("""COMPUTED_VALUE"""),1144.0)</f>
        <v>1144</v>
      </c>
      <c r="BY77" s="838" t="str">
        <f>IFERROR(__xludf.DUMMYFUNCTION("""COMPUTED_VALUE"""),"School Children &amp; Adults")</f>
        <v>School Children &amp; Adults</v>
      </c>
      <c r="BZ77" s="838"/>
      <c r="CA77" s="838"/>
      <c r="CB77" s="838"/>
      <c r="CC77" s="838" t="str">
        <f>IFERROR(__xludf.DUMMYFUNCTION("""COMPUTED_VALUE"""),"No")</f>
        <v>No</v>
      </c>
      <c r="CD77" s="847">
        <f>IFERROR(__xludf.DUMMYFUNCTION("""COMPUTED_VALUE"""),0.924)</f>
        <v>0.924</v>
      </c>
      <c r="CE77" s="838" t="str">
        <f>IFERROR(__xludf.DUMMYFUNCTION("""COMPUTED_VALUE"""),"Yes")</f>
        <v>Yes</v>
      </c>
      <c r="CF77" s="838"/>
      <c r="CG77" s="838"/>
      <c r="CH77" s="838"/>
      <c r="CI77" s="838"/>
      <c r="CJ77" s="838"/>
      <c r="CK77" s="838"/>
      <c r="CL77" s="838"/>
      <c r="CM77" s="846">
        <f>IFERROR(__xludf.DUMMYFUNCTION("""COMPUTED_VALUE"""),0.978)</f>
        <v>0.978</v>
      </c>
      <c r="CN77" s="838"/>
      <c r="CO77" s="838"/>
      <c r="CP77" s="838"/>
      <c r="CQ77" s="838"/>
      <c r="CR77" s="838"/>
      <c r="CS77" s="838"/>
      <c r="CT77" s="838" t="str">
        <f>IFERROR(__xludf.DUMMYFUNCTION("""COMPUTED_VALUE"""),"Kato-Katz Method")</f>
        <v>Kato-Katz Method</v>
      </c>
      <c r="CU77" s="838" t="str">
        <f>IFERROR(__xludf.DUMMYFUNCTION("""COMPUTED_VALUE""")," ")</f>
        <v> </v>
      </c>
      <c r="CV77" s="697" t="str">
        <f>IFERROR(__xludf.DUMMYFUNCTION("""COMPUTED_VALUE"""),"upatham, e. s., viyanant, v., brockelman, w. y.,kurathong, s., lee, p. &amp; chindaphol, u. (1989).Prevalence, incidence, intensity and associatedmorbidity of intestinal helminths in southThailand. International Journal of Parasitology 19,217–228.")</f>
        <v>upatham, e. s., viyanant, v., brockelman, w. y.,kurathong, s., lee, p. &amp; chindaphol, u. (1989).Prevalence, incidence, intensity and associatedmorbidity of intestinal helminths in southThailand. International Journal of Parasitology 19,217–228.</v>
      </c>
    </row>
    <row r="78">
      <c r="A78" s="842" t="str">
        <f>IFERROR(__xludf.DUMMYFUNCTION("""COMPUTED_VALUE"""),"Mani et al.")</f>
        <v>Mani et al.</v>
      </c>
      <c r="B78" s="834" t="str">
        <f>IFERROR(__xludf.DUMMYFUNCTION("""COMPUTED_VALUE"""),"India")</f>
        <v>India</v>
      </c>
      <c r="C78" s="834" t="str">
        <f>IFERROR(__xludf.DUMMYFUNCTION("""COMPUTED_VALUE"""),"Diethylcarbamazine")</f>
        <v>Diethylcarbamazine</v>
      </c>
      <c r="D78" s="834" t="str">
        <f>IFERROR(__xludf.DUMMYFUNCTION("""COMPUTED_VALUE"""),"Single")</f>
        <v>Single</v>
      </c>
      <c r="E78" s="834" t="str">
        <f>IFERROR(__xludf.DUMMYFUNCTION("""COMPUTED_VALUE"""),"6 mg/kg")</f>
        <v>6 mg/kg</v>
      </c>
      <c r="F78" s="834"/>
      <c r="G78" s="834"/>
      <c r="H78" s="839" t="str">
        <f>IFERROR(__xludf.DUMMYFUNCTION("""COMPUTED_VALUE"""),"145:180")</f>
        <v>145:180</v>
      </c>
      <c r="I78" s="834">
        <f>IFERROR(__xludf.DUMMYFUNCTION("""COMPUTED_VALUE"""),2001.0)</f>
        <v>2001</v>
      </c>
      <c r="J78" s="834"/>
      <c r="K78" s="839" t="str">
        <f>IFERROR(__xludf.DUMMYFUNCTION("""COMPUTED_VALUE"""),"randomized controlled trial")</f>
        <v>randomized controlled trial</v>
      </c>
      <c r="L78" s="839" t="str">
        <f>IFERROR(__xludf.DUMMYFUNCTION("""COMPUTED_VALUE"""),"Yes")</f>
        <v>Yes</v>
      </c>
      <c r="M78" s="839" t="str">
        <f>IFERROR(__xludf.DUMMYFUNCTION("""COMPUTED_VALUE"""),"No")</f>
        <v>No</v>
      </c>
      <c r="N78" s="840">
        <f>IFERROR(__xludf.DUMMYFUNCTION("""COMPUTED_VALUE"""),0.2599)</f>
        <v>0.2599</v>
      </c>
      <c r="O78" s="834"/>
      <c r="P78" s="834"/>
      <c r="Q78" s="834"/>
      <c r="R78" s="834"/>
      <c r="S78" s="834"/>
      <c r="T78" s="834"/>
      <c r="U78" s="834"/>
      <c r="V78" s="834"/>
      <c r="W78" s="840">
        <f>IFERROR(__xludf.DUMMYFUNCTION("""COMPUTED_VALUE"""),0.3605)</f>
        <v>0.3605</v>
      </c>
      <c r="X78" s="834"/>
      <c r="Y78" s="834"/>
      <c r="Z78" s="834"/>
      <c r="AA78" s="834"/>
      <c r="AB78" s="834"/>
      <c r="AC78" s="834"/>
      <c r="AD78" s="834"/>
      <c r="AE78" s="834" t="str">
        <f>IFERROR(__xludf.DUMMYFUNCTION("""COMPUTED_VALUE"""),"DEC alone gave a poor cure (26%) and egg reduction rate (36%) for hookworm infection and was definitely inferior to combination drug therapy.")</f>
        <v>DEC alone gave a poor cure (26%) and egg reduction rate (36%) for hookworm infection and was definitely inferior to combination drug therapy.</v>
      </c>
      <c r="AF78" s="834" t="str">
        <f>IFERROR(__xludf.DUMMYFUNCTION("""COMPUTED_VALUE"""),"Kato-Katz Method")</f>
        <v>Kato-Katz Method</v>
      </c>
      <c r="AG78" s="834" t="str">
        <f>IFERROR(__xludf.DUMMYFUNCTION("""COMPUTED_VALUE"""),"Mani, T. R., Rajendran, R., Munirathinam, A., Sunish, I. P., Abdullah, S. Md., Augustin, D. J., Satyanaryana, K. “Efficacy of co-administration of Albendazoleand diethylcarbamazine against geohelminthiases: a study from South India”. Tropical Medicine and"&amp;" International Health 7 (2002): 541-548. Web.")</f>
        <v>Mani, T. R., Rajendran, R., Munirathinam, A., Sunish, I. P., Abdullah, S. Md., Augustin, D. J., Satyanaryana, K. “Efficacy of co-administration of Albendazoleand diethylcarbamazine against geohelminthiases: a study from South India”. Tropical Medicine and International Health 7 (2002): 541-548. Web.</v>
      </c>
      <c r="AH78" s="834"/>
      <c r="AJ78" s="843" t="str">
        <f>IFERROR(__xludf.DUMMYFUNCTION("""COMPUTED_VALUE"""),"Steinmann et al.")</f>
        <v>Steinmann et al.</v>
      </c>
      <c r="AK78" s="836"/>
      <c r="AL78" s="836" t="str">
        <f>IFERROR(__xludf.DUMMYFUNCTION("""COMPUTED_VALUE"""),"China")</f>
        <v>China</v>
      </c>
      <c r="AM78" s="836" t="str">
        <f>IFERROR(__xludf.DUMMYFUNCTION("""COMPUTED_VALUE"""),"Tribendimidine")</f>
        <v>Tribendimidine</v>
      </c>
      <c r="AN78" s="836" t="str">
        <f>IFERROR(__xludf.DUMMYFUNCTION("""COMPUTED_VALUE"""),"Single")</f>
        <v>Single</v>
      </c>
      <c r="AO78" s="836" t="str">
        <f>IFERROR(__xludf.DUMMYFUNCTION("""COMPUTED_VALUE"""),"400 mg")</f>
        <v>400 mg</v>
      </c>
      <c r="AP78" s="836"/>
      <c r="AQ78" s="836" t="str">
        <f>IFERROR(__xludf.DUMMYFUNCTION("""COMPUTED_VALUE"""),"15 years old or older")</f>
        <v>15 years old or older</v>
      </c>
      <c r="AR78" s="836" t="str">
        <f>IFERROR(__xludf.DUMMYFUNCTION("""COMPUTED_VALUE"""),"Male:51 Female:60")</f>
        <v>Male:51 Female:60</v>
      </c>
      <c r="AS78" s="836">
        <f>IFERROR(__xludf.DUMMYFUNCTION("""COMPUTED_VALUE"""),2007.0)</f>
        <v>2007</v>
      </c>
      <c r="AT78" s="836"/>
      <c r="AU78" s="836" t="str">
        <f>IFERROR(__xludf.DUMMYFUNCTION("""COMPUTED_VALUE"""),"Yes")</f>
        <v>Yes</v>
      </c>
      <c r="AV78" s="836" t="str">
        <f>IFERROR(__xludf.DUMMYFUNCTION("""COMPUTED_VALUE"""),"No")</f>
        <v>No</v>
      </c>
      <c r="AW78" s="836" t="str">
        <f>IFERROR(__xludf.DUMMYFUNCTION("""COMPUTED_VALUE"""),"open label randomized controlled trial with arms")</f>
        <v>open label randomized controlled trial with arms</v>
      </c>
      <c r="AX78" s="836"/>
      <c r="AY78" s="836"/>
      <c r="AZ78" s="836"/>
      <c r="BA78" s="836"/>
      <c r="BB78" s="836"/>
      <c r="BC78" s="836"/>
      <c r="BD78" s="836"/>
      <c r="BE78" s="836"/>
      <c r="BF78" s="836"/>
      <c r="BG78" s="836"/>
      <c r="BH78" s="836"/>
      <c r="BI78" s="836"/>
      <c r="BJ78" s="836"/>
      <c r="BK78" s="836"/>
      <c r="BL78" s="836"/>
      <c r="BM78" s="836"/>
      <c r="BN78" s="836"/>
      <c r="BO78" s="836"/>
      <c r="BP78" s="836"/>
      <c r="BQ78" s="697">
        <f>IFERROR(__xludf.DUMMYFUNCTION("""COMPUTED_VALUE"""),77.0)</f>
        <v>77</v>
      </c>
      <c r="BR78" s="844" t="str">
        <f>IFERROR(__xludf.DUMMYFUNCTION("""COMPUTED_VALUE"""),"Upatham et al.")</f>
        <v>Upatham et al.</v>
      </c>
      <c r="BS78" s="838" t="str">
        <f>IFERROR(__xludf.DUMMYFUNCTION("""COMPUTED_VALUE"""),"Thiland")</f>
        <v>Thiland</v>
      </c>
      <c r="BT78" s="838" t="str">
        <f>IFERROR(__xludf.DUMMYFUNCTION("""COMPUTED_VALUE"""),"Placebo")</f>
        <v>Placebo</v>
      </c>
      <c r="BU78" s="838"/>
      <c r="BV78" s="838"/>
      <c r="BW78" s="838"/>
      <c r="BX78" s="838"/>
      <c r="BY78" s="838" t="str">
        <f>IFERROR(__xludf.DUMMYFUNCTION("""COMPUTED_VALUE"""),"School Children &amp; Adults")</f>
        <v>School Children &amp; Adults</v>
      </c>
      <c r="BZ78" s="838"/>
      <c r="CA78" s="838"/>
      <c r="CB78" s="838"/>
      <c r="CC78" s="838" t="str">
        <f>IFERROR(__xludf.DUMMYFUNCTION("""COMPUTED_VALUE"""),"No")</f>
        <v>No</v>
      </c>
      <c r="CD78" s="847">
        <f>IFERROR(__xludf.DUMMYFUNCTION("""COMPUTED_VALUE"""),0.352)</f>
        <v>0.352</v>
      </c>
      <c r="CE78" s="838" t="str">
        <f>IFERROR(__xludf.DUMMYFUNCTION("""COMPUTED_VALUE"""),"Yes")</f>
        <v>Yes</v>
      </c>
      <c r="CF78" s="838"/>
      <c r="CG78" s="838"/>
      <c r="CH78" s="838"/>
      <c r="CI78" s="838"/>
      <c r="CJ78" s="838"/>
      <c r="CK78" s="838"/>
      <c r="CL78" s="838"/>
      <c r="CM78" s="846">
        <f>IFERROR(__xludf.DUMMYFUNCTION("""COMPUTED_VALUE"""),0.452)</f>
        <v>0.452</v>
      </c>
      <c r="CN78" s="838"/>
      <c r="CO78" s="838"/>
      <c r="CP78" s="838"/>
      <c r="CQ78" s="838"/>
      <c r="CR78" s="838"/>
      <c r="CS78" s="838"/>
      <c r="CT78" s="838"/>
      <c r="CU78" s="838"/>
      <c r="CV78" s="697" t="str">
        <f>IFERROR(__xludf.DUMMYFUNCTION("""COMPUTED_VALUE"""),"upatham, e. s., viyanant, v., brockelman, w. y.,kurathong, s., lee, p. &amp; chindaphol, u. (1989).Prevalence, incidence, intensity and associatedmorbidity of intestinal helminths in southThailand. International Journal of Parasitology 19,217–228.")</f>
        <v>upatham, e. s., viyanant, v., brockelman, w. y.,kurathong, s., lee, p. &amp; chindaphol, u. (1989).Prevalence, incidence, intensity and associatedmorbidity of intestinal helminths in southThailand. International Journal of Parasitology 19,217–228.</v>
      </c>
    </row>
    <row r="79">
      <c r="A79" s="842" t="str">
        <f>IFERROR(__xludf.DUMMYFUNCTION("""COMPUTED_VALUE"""),"Morgan et al.")</f>
        <v>Morgan et al.</v>
      </c>
      <c r="B79" s="834" t="str">
        <f>IFERROR(__xludf.DUMMYFUNCTION("""COMPUTED_VALUE"""),"Malawi")</f>
        <v>Malawi</v>
      </c>
      <c r="C79" s="834" t="str">
        <f>IFERROR(__xludf.DUMMYFUNCTION("""COMPUTED_VALUE"""),"Placebo")</f>
        <v>Placebo</v>
      </c>
      <c r="D79" s="834"/>
      <c r="E79" s="834"/>
      <c r="F79" s="834">
        <f>IFERROR(__xludf.DUMMYFUNCTION("""COMPUTED_VALUE"""),25.0)</f>
        <v>25</v>
      </c>
      <c r="G79" s="834">
        <f>IFERROR(__xludf.DUMMYFUNCTION("""COMPUTED_VALUE"""),11.2)</f>
        <v>11.2</v>
      </c>
      <c r="H79" s="839" t="str">
        <f>IFERROR(__xludf.DUMMYFUNCTION("""COMPUTED_VALUE"""),"73:35")</f>
        <v>73:35</v>
      </c>
      <c r="I79" s="834">
        <f>IFERROR(__xludf.DUMMYFUNCTION("""COMPUTED_VALUE"""),1983.0)</f>
        <v>1983</v>
      </c>
      <c r="J79" s="834"/>
      <c r="K79" s="839" t="str">
        <f>IFERROR(__xludf.DUMMYFUNCTION("""COMPUTED_VALUE"""),"double-blind")</f>
        <v>double-blind</v>
      </c>
      <c r="L79" s="839" t="str">
        <f>IFERROR(__xludf.DUMMYFUNCTION("""COMPUTED_VALUE"""),"Yes")</f>
        <v>Yes</v>
      </c>
      <c r="M79" s="839" t="str">
        <f>IFERROR(__xludf.DUMMYFUNCTION("""COMPUTED_VALUE"""),"Yes")</f>
        <v>Yes</v>
      </c>
      <c r="N79" s="840">
        <f>IFERROR(__xludf.DUMMYFUNCTION("""COMPUTED_VALUE"""),0.0)</f>
        <v>0</v>
      </c>
      <c r="O79" s="834"/>
      <c r="P79" s="834"/>
      <c r="Q79" s="834"/>
      <c r="R79" s="834"/>
      <c r="S79" s="834"/>
      <c r="T79" s="834"/>
      <c r="U79" s="834"/>
      <c r="V79" s="834"/>
      <c r="W79" s="840">
        <f>IFERROR(__xludf.DUMMYFUNCTION("""COMPUTED_VALUE"""),0.05)</f>
        <v>0.05</v>
      </c>
      <c r="X79" s="834"/>
      <c r="Y79" s="834"/>
      <c r="Z79" s="834"/>
      <c r="AA79" s="834"/>
      <c r="AB79" s="834"/>
      <c r="AC79" s="834"/>
      <c r="AD79" s="834"/>
      <c r="AE79" s="834" t="str">
        <f>IFERROR(__xludf.DUMMYFUNCTION("""COMPUTED_VALUE"""),"In the study Albendazolewas highly effective in the treatment of hookworm infection. Levamisole was less effective in lowering the egg count within 3 weeks of treatment, although Levamisole was significantly superior to placebo.")</f>
        <v>In the study Albendazolewas highly effective in the treatment of hookworm infection. Levamisole was less effective in lowering the egg count within 3 weeks of treatment, although Levamisole was significantly superior to placebo.</v>
      </c>
      <c r="AF79" s="834" t="str">
        <f>IFERROR(__xludf.DUMMYFUNCTION("""COMPUTED_VALUE"""),"Kato-Katz method")</f>
        <v>Kato-Katz method</v>
      </c>
      <c r="AG79" s="834" t="str">
        <f>IFERROR(__xludf.DUMMYFUNCTION("""COMPUTED_VALUE"""),"Morgan PRF, Yamanmoto M, Teesdale CH, &amp; Pugh RNH. “Albendazole: a new treatment for hookworm”. Medical quarterly: Journal of the Medical Association of Malawi (1983) 4-5. Web.")</f>
        <v>Morgan PRF, Yamanmoto M, Teesdale CH, &amp; Pugh RNH. “Albendazole: a new treatment for hookworm”. Medical quarterly: Journal of the Medical Association of Malawi (1983) 4-5. Web.</v>
      </c>
      <c r="AH79" s="834"/>
      <c r="AJ79" s="843" t="str">
        <f>IFERROR(__xludf.DUMMYFUNCTION("""COMPUTED_VALUE"""),"Mekonnen et al.")</f>
        <v>Mekonnen et al.</v>
      </c>
      <c r="AK79" s="836" t="str">
        <f>IFERROR(__xludf.DUMMYFUNCTION("""COMPUTED_VALUE"""),"Mekonnen, Z., B. Levecke, G. Boulet, J. P. Bogers, and J. Vercruysse. ""Efficacy of Different Albendazoleand MebendazoleRegimens against Heavy-intensity Trichuris Trichiura Infections in School Children, Jimma Town, Rthiopia."" Pathogens and Global Health"&amp;" 107.4 (2013): 207-09. Web.")</f>
        <v>Mekonnen, Z., B. Levecke, G. Boulet, J. P. Bogers, and J. Vercruysse. "Efficacy of Different Albendazoleand MebendazoleRegimens against Heavy-intensity Trichuris Trichiura Infections in School Children, Jimma Town, Rthiopia." Pathogens and Global Health 107.4 (2013): 207-09. Web.</v>
      </c>
      <c r="AL79" s="836" t="str">
        <f>IFERROR(__xludf.DUMMYFUNCTION("""COMPUTED_VALUE"""),"Ethiopia")</f>
        <v>Ethiopia</v>
      </c>
      <c r="AM79" s="836" t="str">
        <f>IFERROR(__xludf.DUMMYFUNCTION("""COMPUTED_VALUE"""),"Albendazole")</f>
        <v>Albendazole</v>
      </c>
      <c r="AN79" s="836" t="str">
        <f>IFERROR(__xludf.DUMMYFUNCTION("""COMPUTED_VALUE"""),"Single")</f>
        <v>Single</v>
      </c>
      <c r="AO79" s="836" t="str">
        <f>IFERROR(__xludf.DUMMYFUNCTION("""COMPUTED_VALUE"""),"400 mg")</f>
        <v>400 mg</v>
      </c>
      <c r="AP79" s="836">
        <f>IFERROR(__xludf.DUMMYFUNCTION("""COMPUTED_VALUE"""),107.0)</f>
        <v>107</v>
      </c>
      <c r="AQ79" s="836" t="str">
        <f>IFERROR(__xludf.DUMMYFUNCTION("""COMPUTED_VALUE"""),"10.8-11.2 years")</f>
        <v>10.8-11.2 years</v>
      </c>
      <c r="AR79" s="854">
        <f>IFERROR(__xludf.DUMMYFUNCTION("""COMPUTED_VALUE"""),0.06597222222222222)</f>
        <v>0.06597222222</v>
      </c>
      <c r="AS79" s="836">
        <f>IFERROR(__xludf.DUMMYFUNCTION("""COMPUTED_VALUE"""),2011.0)</f>
        <v>2011</v>
      </c>
      <c r="AT79" s="836" t="str">
        <f>IFERROR(__xludf.DUMMYFUNCTION("""COMPUTED_VALUE"""),"Subjects who were unable to provide a stool sample at baseine, experiencing a severe concurrent medical condition, had diarrhea at time of the first sampling, hand known history of allergic reaction to benzimidazoles or were pregnant were excluded from st"&amp;"udy")</f>
        <v>Subjects who were unable to provide a stool sample at baseine, experiencing a severe concurrent medical condition, had diarrhea at time of the first sampling, hand known history of allergic reaction to benzimidazoles or were pregnant were excluded from study</v>
      </c>
      <c r="AU79" s="836" t="str">
        <f>IFERROR(__xludf.DUMMYFUNCTION("""COMPUTED_VALUE"""),"Yes")</f>
        <v>Yes</v>
      </c>
      <c r="AV79" s="836" t="str">
        <f>IFERROR(__xludf.DUMMYFUNCTION("""COMPUTED_VALUE"""),"No")</f>
        <v>No</v>
      </c>
      <c r="AW79" s="836" t="str">
        <f>IFERROR(__xludf.DUMMYFUNCTION("""COMPUTED_VALUE"""),"Randomized multi-arm efficacy trial")</f>
        <v>Randomized multi-arm efficacy trial</v>
      </c>
      <c r="AX79" s="836"/>
      <c r="AY79" s="836"/>
      <c r="AZ79" s="836"/>
      <c r="BA79" s="836"/>
      <c r="BB79" s="836"/>
      <c r="BC79" s="836"/>
      <c r="BD79" s="836"/>
      <c r="BE79" s="836"/>
      <c r="BF79" s="836"/>
      <c r="BG79" s="836"/>
      <c r="BH79" s="841">
        <f>IFERROR(__xludf.DUMMYFUNCTION("""COMPUTED_VALUE"""),0.293)</f>
        <v>0.293</v>
      </c>
      <c r="BI79" s="836"/>
      <c r="BJ79" s="836"/>
      <c r="BK79" s="836"/>
      <c r="BL79" s="836"/>
      <c r="BM79" s="836"/>
      <c r="BN79" s="836"/>
      <c r="BO79" s="836" t="str">
        <f>IFERROR(__xludf.DUMMYFUNCTION("""COMPUTED_VALUE"""),"McMaster Method")</f>
        <v>McMaster Method</v>
      </c>
      <c r="BP79" s="836"/>
      <c r="BQ79" s="697">
        <f>IFERROR(__xludf.DUMMYFUNCTION("""COMPUTED_VALUE"""),78.0)</f>
        <v>78</v>
      </c>
      <c r="BR79" s="844" t="str">
        <f>IFERROR(__xludf.DUMMYFUNCTION("""COMPUTED_VALUE""")," Wang et al.")</f>
        <v> Wang et al.</v>
      </c>
      <c r="BS79" s="838" t="str">
        <f>IFERROR(__xludf.DUMMYFUNCTION("""COMPUTED_VALUE"""),"China")</f>
        <v>China</v>
      </c>
      <c r="BT79" s="838"/>
      <c r="BU79" s="838"/>
      <c r="BV79" s="838"/>
      <c r="BW79" s="838"/>
      <c r="BX79" s="838" t="str">
        <f>IFERROR(__xludf.DUMMYFUNCTION("""COMPUTED_VALUE"""),"360 students")</f>
        <v>360 students</v>
      </c>
      <c r="BY79" s="838" t="str">
        <f>IFERROR(__xludf.DUMMYFUNCTION("""COMPUTED_VALUE"""),"16-25")</f>
        <v>16-25</v>
      </c>
      <c r="BZ79" s="838"/>
      <c r="CA79" s="838" t="str">
        <f>IFERROR(__xludf.DUMMYFUNCTION("""COMPUTED_VALUE"""),"172 Females, 188 Males")</f>
        <v>172 Females, 188 Males</v>
      </c>
      <c r="CB79" s="838"/>
      <c r="CC79" s="838" t="str">
        <f>IFERROR(__xludf.DUMMYFUNCTION("""COMPUTED_VALUE"""),"No")</f>
        <v>No</v>
      </c>
      <c r="CD79" s="838"/>
      <c r="CE79" s="838" t="str">
        <f>IFERROR(__xludf.DUMMYFUNCTION("""COMPUTED_VALUE"""),"No")</f>
        <v>No</v>
      </c>
      <c r="CF79" s="838"/>
      <c r="CG79" s="838"/>
      <c r="CH79" s="838"/>
      <c r="CI79" s="838"/>
      <c r="CJ79" s="838"/>
      <c r="CK79" s="838"/>
      <c r="CL79" s="838"/>
      <c r="CM79" s="838"/>
      <c r="CN79" s="838"/>
      <c r="CO79" s="838"/>
      <c r="CP79" s="838"/>
      <c r="CQ79" s="838"/>
      <c r="CR79" s="838"/>
      <c r="CS79" s="838"/>
      <c r="CT79" s="838"/>
      <c r="CU79" s="838"/>
      <c r="CV79" s="697" t="str">
        <f>IFERROR(__xludf.DUMMYFUNCTION("""COMPUTED_VALUE"""),"wang, b., wang, h., li, l., zhang, x., yue, j., wang, g.,shi, x. &amp; xiao, f. (1987). Comparative efficacy ofthienpydin, pyrantel pamoate, mebendazole andalbendazole in treating ascariasis and enterobiasis.Chinese Medical Journal 100, 928–930.")</f>
        <v>wang, b., wang, h., li, l., zhang, x., yue, j., wang, g.,shi, x. &amp; xiao, f. (1987). Comparative efficacy ofthienpydin, pyrantel pamoate, mebendazole andalbendazole in treating ascariasis and enterobiasis.Chinese Medical Journal 100, 928–930.</v>
      </c>
    </row>
    <row r="80">
      <c r="A80" s="842" t="str">
        <f>IFERROR(__xludf.DUMMYFUNCTION("""COMPUTED_VALUE"""),"Morgan et al.")</f>
        <v>Morgan et al.</v>
      </c>
      <c r="B80" s="834" t="str">
        <f>IFERROR(__xludf.DUMMYFUNCTION("""COMPUTED_VALUE"""),"Malawi")</f>
        <v>Malawi</v>
      </c>
      <c r="C80" s="834" t="str">
        <f>IFERROR(__xludf.DUMMYFUNCTION("""COMPUTED_VALUE"""),"Albendazole")</f>
        <v>Albendazole</v>
      </c>
      <c r="D80" s="834" t="str">
        <f>IFERROR(__xludf.DUMMYFUNCTION("""COMPUTED_VALUE"""),"Single")</f>
        <v>Single</v>
      </c>
      <c r="E80" s="834" t="str">
        <f>IFERROR(__xludf.DUMMYFUNCTION("""COMPUTED_VALUE"""),"200 mg")</f>
        <v>200 mg</v>
      </c>
      <c r="F80" s="834">
        <f>IFERROR(__xludf.DUMMYFUNCTION("""COMPUTED_VALUE"""),25.0)</f>
        <v>25</v>
      </c>
      <c r="G80" s="834">
        <f>IFERROR(__xludf.DUMMYFUNCTION("""COMPUTED_VALUE"""),12.6)</f>
        <v>12.6</v>
      </c>
      <c r="H80" s="834"/>
      <c r="I80" s="834">
        <f>IFERROR(__xludf.DUMMYFUNCTION("""COMPUTED_VALUE"""),1983.0)</f>
        <v>1983</v>
      </c>
      <c r="J80" s="834"/>
      <c r="K80" s="839" t="str">
        <f>IFERROR(__xludf.DUMMYFUNCTION("""COMPUTED_VALUE"""),"double-blind")</f>
        <v>double-blind</v>
      </c>
      <c r="L80" s="839" t="str">
        <f>IFERROR(__xludf.DUMMYFUNCTION("""COMPUTED_VALUE"""),"Yes")</f>
        <v>Yes</v>
      </c>
      <c r="M80" s="839" t="str">
        <f>IFERROR(__xludf.DUMMYFUNCTION("""COMPUTED_VALUE"""),"Yes")</f>
        <v>Yes</v>
      </c>
      <c r="N80" s="840">
        <f>IFERROR(__xludf.DUMMYFUNCTION("""COMPUTED_VALUE"""),0.8)</f>
        <v>0.8</v>
      </c>
      <c r="O80" s="834"/>
      <c r="P80" s="834"/>
      <c r="Q80" s="834"/>
      <c r="R80" s="834"/>
      <c r="S80" s="834"/>
      <c r="T80" s="834"/>
      <c r="U80" s="834"/>
      <c r="V80" s="834"/>
      <c r="W80" s="840">
        <f>IFERROR(__xludf.DUMMYFUNCTION("""COMPUTED_VALUE"""),0.89)</f>
        <v>0.89</v>
      </c>
      <c r="X80" s="834"/>
      <c r="Y80" s="834"/>
      <c r="Z80" s="834"/>
      <c r="AA80" s="834"/>
      <c r="AB80" s="834"/>
      <c r="AC80" s="834"/>
      <c r="AD80" s="834"/>
      <c r="AE80" s="834" t="str">
        <f>IFERROR(__xludf.DUMMYFUNCTION("""COMPUTED_VALUE"""),"In the study Albendazolewas highly effective in the treatment of hookworm infection. Levamisole was less effective in lowering the egg count within 3 weeks of treatment, although Levamisole was significantly superior to placebo.")</f>
        <v>In the study Albendazolewas highly effective in the treatment of hookworm infection. Levamisole was less effective in lowering the egg count within 3 weeks of treatment, although Levamisole was significantly superior to placebo.</v>
      </c>
      <c r="AF80" s="834" t="str">
        <f>IFERROR(__xludf.DUMMYFUNCTION("""COMPUTED_VALUE"""),"Kato-Katz method")</f>
        <v>Kato-Katz method</v>
      </c>
      <c r="AG80" s="834" t="str">
        <f>IFERROR(__xludf.DUMMYFUNCTION("""COMPUTED_VALUE"""),"Morgan PRF, Yamanmoto M, Teesdale CH, &amp; Pugh RNH. “Albendazole: a new treatment for hookworm”. Medical quarterly: Journal of the Medical Association of Malawi (1983) 4-5. Web.")</f>
        <v>Morgan PRF, Yamanmoto M, Teesdale CH, &amp; Pugh RNH. “Albendazole: a new treatment for hookworm”. Medical quarterly: Journal of the Medical Association of Malawi (1983) 4-5. Web.</v>
      </c>
      <c r="AH80" s="834"/>
      <c r="AJ80" s="843" t="str">
        <f>IFERROR(__xludf.DUMMYFUNCTION("""COMPUTED_VALUE"""),"Mekonnen et al.")</f>
        <v>Mekonnen et al.</v>
      </c>
      <c r="AK80" s="836"/>
      <c r="AL80" s="836" t="str">
        <f>IFERROR(__xludf.DUMMYFUNCTION("""COMPUTED_VALUE"""),"Ethiopia")</f>
        <v>Ethiopia</v>
      </c>
      <c r="AM80" s="836" t="str">
        <f>IFERROR(__xludf.DUMMYFUNCTION("""COMPUTED_VALUE"""),"Albendazole")</f>
        <v>Albendazole</v>
      </c>
      <c r="AN80" s="836" t="str">
        <f>IFERROR(__xludf.DUMMYFUNCTION("""COMPUTED_VALUE"""),"Single")</f>
        <v>Single</v>
      </c>
      <c r="AO80" s="836" t="str">
        <f>IFERROR(__xludf.DUMMYFUNCTION("""COMPUTED_VALUE"""),"400 mg")</f>
        <v>400 mg</v>
      </c>
      <c r="AP80" s="836">
        <f>IFERROR(__xludf.DUMMYFUNCTION("""COMPUTED_VALUE"""),106.0)</f>
        <v>106</v>
      </c>
      <c r="AQ80" s="836" t="str">
        <f>IFERROR(__xludf.DUMMYFUNCTION("""COMPUTED_VALUE"""),"10.8-11.2 years")</f>
        <v>10.8-11.2 years</v>
      </c>
      <c r="AR80" s="854">
        <f>IFERROR(__xludf.DUMMYFUNCTION("""COMPUTED_VALUE"""),0.1076388888888889)</f>
        <v>0.1076388889</v>
      </c>
      <c r="AS80" s="836">
        <f>IFERROR(__xludf.DUMMYFUNCTION("""COMPUTED_VALUE"""),2011.0)</f>
        <v>2011</v>
      </c>
      <c r="AT80" s="836" t="str">
        <f>IFERROR(__xludf.DUMMYFUNCTION("""COMPUTED_VALUE"""),"Subjects who were unable to provide a stool sample at baseine, experiencing a severe concurrent medical condition, had diarrhea at time of the first sampling, hand known history of allergic reaction to benzimidazoles or were pregnant were excluded from st"&amp;"udy")</f>
        <v>Subjects who were unable to provide a stool sample at baseine, experiencing a severe concurrent medical condition, had diarrhea at time of the first sampling, hand known history of allergic reaction to benzimidazoles or were pregnant were excluded from study</v>
      </c>
      <c r="AU80" s="836" t="str">
        <f>IFERROR(__xludf.DUMMYFUNCTION("""COMPUTED_VALUE"""),"Yes")</f>
        <v>Yes</v>
      </c>
      <c r="AV80" s="836" t="str">
        <f>IFERROR(__xludf.DUMMYFUNCTION("""COMPUTED_VALUE"""),"No")</f>
        <v>No</v>
      </c>
      <c r="AW80" s="836" t="str">
        <f>IFERROR(__xludf.DUMMYFUNCTION("""COMPUTED_VALUE"""),"Randomized multi-arm efficacy trial")</f>
        <v>Randomized multi-arm efficacy trial</v>
      </c>
      <c r="AX80" s="836"/>
      <c r="AY80" s="836"/>
      <c r="AZ80" s="836"/>
      <c r="BA80" s="836"/>
      <c r="BB80" s="836"/>
      <c r="BC80" s="836"/>
      <c r="BD80" s="836"/>
      <c r="BE80" s="836"/>
      <c r="BF80" s="836"/>
      <c r="BG80" s="836"/>
      <c r="BH80" s="841">
        <f>IFERROR(__xludf.DUMMYFUNCTION("""COMPUTED_VALUE"""),0.735)</f>
        <v>0.735</v>
      </c>
      <c r="BI80" s="836"/>
      <c r="BJ80" s="836"/>
      <c r="BK80" s="836"/>
      <c r="BL80" s="836"/>
      <c r="BM80" s="836"/>
      <c r="BN80" s="836"/>
      <c r="BO80" s="836" t="str">
        <f>IFERROR(__xludf.DUMMYFUNCTION("""COMPUTED_VALUE"""),"McMaster Method")</f>
        <v>McMaster Method</v>
      </c>
      <c r="BP80" s="836"/>
      <c r="BQ80" s="697">
        <f>IFERROR(__xludf.DUMMYFUNCTION("""COMPUTED_VALUE"""),79.0)</f>
        <v>79</v>
      </c>
      <c r="BR80" s="844" t="str">
        <f>IFERROR(__xludf.DUMMYFUNCTION("""COMPUTED_VALUE""")," Wang et al.")</f>
        <v> Wang et al.</v>
      </c>
      <c r="BS80" s="838" t="str">
        <f>IFERROR(__xludf.DUMMYFUNCTION("""COMPUTED_VALUE"""),"China")</f>
        <v>China</v>
      </c>
      <c r="BT80" s="838" t="str">
        <f>IFERROR(__xludf.DUMMYFUNCTION("""COMPUTED_VALUE"""),"Thienpydin")</f>
        <v>Thienpydin</v>
      </c>
      <c r="BU80" s="838"/>
      <c r="BV80" s="838" t="str">
        <f>IFERROR(__xludf.DUMMYFUNCTION("""COMPUTED_VALUE"""),"Single")</f>
        <v>Single</v>
      </c>
      <c r="BW80" s="838" t="str">
        <f>IFERROR(__xludf.DUMMYFUNCTION("""COMPUTED_VALUE"""),"250 mg")</f>
        <v>250 mg</v>
      </c>
      <c r="BX80" s="838">
        <f>IFERROR(__xludf.DUMMYFUNCTION("""COMPUTED_VALUE"""),40.0)</f>
        <v>40</v>
      </c>
      <c r="BY80" s="838" t="str">
        <f>IFERROR(__xludf.DUMMYFUNCTION("""COMPUTED_VALUE"""),"16-25")</f>
        <v>16-25</v>
      </c>
      <c r="BZ80" s="838"/>
      <c r="CA80" s="838"/>
      <c r="CB80" s="838"/>
      <c r="CC80" s="838" t="str">
        <f>IFERROR(__xludf.DUMMYFUNCTION("""COMPUTED_VALUE"""),"No")</f>
        <v>No</v>
      </c>
      <c r="CD80" s="847">
        <f>IFERROR(__xludf.DUMMYFUNCTION("""COMPUTED_VALUE"""),0.875)</f>
        <v>0.875</v>
      </c>
      <c r="CE80" s="838" t="str">
        <f>IFERROR(__xludf.DUMMYFUNCTION("""COMPUTED_VALUE"""),"No")</f>
        <v>No</v>
      </c>
      <c r="CF80" s="838" t="str">
        <f>IFERROR(__xludf.DUMMYFUNCTION("""COMPUTED_VALUE"""),"87.5% (Day 10)")</f>
        <v>87.5% (Day 10)</v>
      </c>
      <c r="CG80" s="838"/>
      <c r="CH80" s="838"/>
      <c r="CI80" s="838"/>
      <c r="CJ80" s="838"/>
      <c r="CK80" s="838"/>
      <c r="CL80" s="838"/>
      <c r="CM80" s="838"/>
      <c r="CN80" s="838"/>
      <c r="CO80" s="838"/>
      <c r="CP80" s="838"/>
      <c r="CQ80" s="838"/>
      <c r="CR80" s="838"/>
      <c r="CS80" s="838"/>
      <c r="CT80" s="838"/>
      <c r="CU80" s="838"/>
      <c r="CV80" s="697" t="str">
        <f>IFERROR(__xludf.DUMMYFUNCTION("""COMPUTED_VALUE"""),"wang, b., wang, h., li, l., zhang, x., yue, j., wang, g.,shi, x. &amp; xiao, f. (1987). Comparative efficacy ofthienpydin, pyrantel pamoate, mebendazole andalbendazole in treating ascariasis and enterobiasis.Chinese Medical Journal 100, 928–930.")</f>
        <v>wang, b., wang, h., li, l., zhang, x., yue, j., wang, g.,shi, x. &amp; xiao, f. (1987). Comparative efficacy ofthienpydin, pyrantel pamoate, mebendazole andalbendazole in treating ascariasis and enterobiasis.Chinese Medical Journal 100, 928–930.</v>
      </c>
    </row>
    <row r="81">
      <c r="A81" s="842" t="str">
        <f>IFERROR(__xludf.DUMMYFUNCTION("""COMPUTED_VALUE"""),"Morgan et al.")</f>
        <v>Morgan et al.</v>
      </c>
      <c r="B81" s="834" t="str">
        <f>IFERROR(__xludf.DUMMYFUNCTION("""COMPUTED_VALUE"""),"Malawi")</f>
        <v>Malawi</v>
      </c>
      <c r="C81" s="834" t="str">
        <f>IFERROR(__xludf.DUMMYFUNCTION("""COMPUTED_VALUE"""),"Albendazole")</f>
        <v>Albendazole</v>
      </c>
      <c r="D81" s="834" t="str">
        <f>IFERROR(__xludf.DUMMYFUNCTION("""COMPUTED_VALUE"""),"Single")</f>
        <v>Single</v>
      </c>
      <c r="E81" s="834" t="str">
        <f>IFERROR(__xludf.DUMMYFUNCTION("""COMPUTED_VALUE"""),"400 mg")</f>
        <v>400 mg</v>
      </c>
      <c r="F81" s="834">
        <f>IFERROR(__xludf.DUMMYFUNCTION("""COMPUTED_VALUE"""),26.0)</f>
        <v>26</v>
      </c>
      <c r="G81" s="834">
        <f>IFERROR(__xludf.DUMMYFUNCTION("""COMPUTED_VALUE"""),12.4)</f>
        <v>12.4</v>
      </c>
      <c r="H81" s="834"/>
      <c r="I81" s="834">
        <f>IFERROR(__xludf.DUMMYFUNCTION("""COMPUTED_VALUE"""),1983.0)</f>
        <v>1983</v>
      </c>
      <c r="J81" s="834"/>
      <c r="K81" s="839" t="str">
        <f>IFERROR(__xludf.DUMMYFUNCTION("""COMPUTED_VALUE"""),"double-blind")</f>
        <v>double-blind</v>
      </c>
      <c r="L81" s="839" t="str">
        <f>IFERROR(__xludf.DUMMYFUNCTION("""COMPUTED_VALUE"""),"Yes")</f>
        <v>Yes</v>
      </c>
      <c r="M81" s="839" t="str">
        <f>IFERROR(__xludf.DUMMYFUNCTION("""COMPUTED_VALUE"""),"Yes")</f>
        <v>Yes</v>
      </c>
      <c r="N81" s="840">
        <f>IFERROR(__xludf.DUMMYFUNCTION("""COMPUTED_VALUE"""),0.85)</f>
        <v>0.85</v>
      </c>
      <c r="O81" s="834"/>
      <c r="P81" s="834"/>
      <c r="Q81" s="834"/>
      <c r="R81" s="834"/>
      <c r="S81" s="834"/>
      <c r="T81" s="834"/>
      <c r="U81" s="834"/>
      <c r="V81" s="834"/>
      <c r="W81" s="840">
        <f>IFERROR(__xludf.DUMMYFUNCTION("""COMPUTED_VALUE"""),0.95)</f>
        <v>0.95</v>
      </c>
      <c r="X81" s="834"/>
      <c r="Y81" s="834"/>
      <c r="Z81" s="834"/>
      <c r="AA81" s="834"/>
      <c r="AB81" s="834"/>
      <c r="AC81" s="834"/>
      <c r="AD81" s="834"/>
      <c r="AE81" s="834" t="str">
        <f>IFERROR(__xludf.DUMMYFUNCTION("""COMPUTED_VALUE"""),"In the study Albendazolewas highly effective in the treatment of hookworm infection. Levamisole was less effective in lowering the egg count within 3 weeks of treatment, although Levamisole was significantly superior to placebo.")</f>
        <v>In the study Albendazolewas highly effective in the treatment of hookworm infection. Levamisole was less effective in lowering the egg count within 3 weeks of treatment, although Levamisole was significantly superior to placebo.</v>
      </c>
      <c r="AF81" s="834" t="str">
        <f>IFERROR(__xludf.DUMMYFUNCTION("""COMPUTED_VALUE"""),"Kato-Katz method")</f>
        <v>Kato-Katz method</v>
      </c>
      <c r="AG81" s="834" t="str">
        <f>IFERROR(__xludf.DUMMYFUNCTION("""COMPUTED_VALUE"""),"Morgan PRF, Yamanmoto M, Teesdale CH, &amp; Pugh RNH. “Albendazole: a new treatment for hookworm”. Medical quarterly: Journal of the Medical Association of Malawi (1983) 4-5. Web.")</f>
        <v>Morgan PRF, Yamanmoto M, Teesdale CH, &amp; Pugh RNH. “Albendazole: a new treatment for hookworm”. Medical quarterly: Journal of the Medical Association of Malawi (1983) 4-5. Web.</v>
      </c>
      <c r="AH81" s="834"/>
      <c r="AJ81" s="843" t="str">
        <f>IFERROR(__xludf.DUMMYFUNCTION("""COMPUTED_VALUE"""),"Mekonnen et al.")</f>
        <v>Mekonnen et al.</v>
      </c>
      <c r="AK81" s="836"/>
      <c r="AL81" s="836" t="str">
        <f>IFERROR(__xludf.DUMMYFUNCTION("""COMPUTED_VALUE"""),"Ethiopia")</f>
        <v>Ethiopia</v>
      </c>
      <c r="AM81" s="836" t="str">
        <f>IFERROR(__xludf.DUMMYFUNCTION("""COMPUTED_VALUE"""),"Mebendazole")</f>
        <v>Mebendazole</v>
      </c>
      <c r="AN81" s="836" t="str">
        <f>IFERROR(__xludf.DUMMYFUNCTION("""COMPUTED_VALUE"""),"Single")</f>
        <v>Single</v>
      </c>
      <c r="AO81" s="836" t="str">
        <f>IFERROR(__xludf.DUMMYFUNCTION("""COMPUTED_VALUE"""),"500 mg")</f>
        <v>500 mg</v>
      </c>
      <c r="AP81" s="836">
        <f>IFERROR(__xludf.DUMMYFUNCTION("""COMPUTED_VALUE"""),106.0)</f>
        <v>106</v>
      </c>
      <c r="AQ81" s="836" t="str">
        <f>IFERROR(__xludf.DUMMYFUNCTION("""COMPUTED_VALUE"""),"10.8-11.2 years")</f>
        <v>10.8-11.2 years</v>
      </c>
      <c r="AR81" s="854">
        <f>IFERROR(__xludf.DUMMYFUNCTION("""COMPUTED_VALUE"""),0.14930555555555555)</f>
        <v>0.1493055556</v>
      </c>
      <c r="AS81" s="836">
        <f>IFERROR(__xludf.DUMMYFUNCTION("""COMPUTED_VALUE"""),2011.0)</f>
        <v>2011</v>
      </c>
      <c r="AT81" s="836" t="str">
        <f>IFERROR(__xludf.DUMMYFUNCTION("""COMPUTED_VALUE"""),"Subjects who were unable to provide a stool sample at baseine, experiencing a severe concurrent medical condition, had diarrhea at time of the first sampling, hand known history of allergic reaction to benzimidazoles or were pregnant were excluded from st"&amp;"udy")</f>
        <v>Subjects who were unable to provide a stool sample at baseine, experiencing a severe concurrent medical condition, had diarrhea at time of the first sampling, hand known history of allergic reaction to benzimidazoles or were pregnant were excluded from study</v>
      </c>
      <c r="AU81" s="836" t="str">
        <f>IFERROR(__xludf.DUMMYFUNCTION("""COMPUTED_VALUE"""),"Yes")</f>
        <v>Yes</v>
      </c>
      <c r="AV81" s="836" t="str">
        <f>IFERROR(__xludf.DUMMYFUNCTION("""COMPUTED_VALUE"""),"No")</f>
        <v>No</v>
      </c>
      <c r="AW81" s="836" t="str">
        <f>IFERROR(__xludf.DUMMYFUNCTION("""COMPUTED_VALUE"""),"Randomized multi-arm efficacy trial")</f>
        <v>Randomized multi-arm efficacy trial</v>
      </c>
      <c r="AX81" s="836"/>
      <c r="AY81" s="836"/>
      <c r="AZ81" s="836"/>
      <c r="BA81" s="836"/>
      <c r="BB81" s="836"/>
      <c r="BC81" s="836"/>
      <c r="BD81" s="836"/>
      <c r="BE81" s="836"/>
      <c r="BF81" s="836"/>
      <c r="BG81" s="836"/>
      <c r="BH81" s="841">
        <f>IFERROR(__xludf.DUMMYFUNCTION("""COMPUTED_VALUE"""),0.6)</f>
        <v>0.6</v>
      </c>
      <c r="BI81" s="836"/>
      <c r="BJ81" s="836"/>
      <c r="BK81" s="836"/>
      <c r="BL81" s="836"/>
      <c r="BM81" s="836"/>
      <c r="BN81" s="836"/>
      <c r="BO81" s="836" t="str">
        <f>IFERROR(__xludf.DUMMYFUNCTION("""COMPUTED_VALUE"""),"McMaster Method")</f>
        <v>McMaster Method</v>
      </c>
      <c r="BP81" s="836"/>
      <c r="BQ81" s="697">
        <f>IFERROR(__xludf.DUMMYFUNCTION("""COMPUTED_VALUE"""),80.0)</f>
        <v>80</v>
      </c>
      <c r="BR81" s="844" t="str">
        <f>IFERROR(__xludf.DUMMYFUNCTION("""COMPUTED_VALUE""")," Wang et al.")</f>
        <v> Wang et al.</v>
      </c>
      <c r="BS81" s="838" t="str">
        <f>IFERROR(__xludf.DUMMYFUNCTION("""COMPUTED_VALUE"""),"China")</f>
        <v>China</v>
      </c>
      <c r="BT81" s="838" t="str">
        <f>IFERROR(__xludf.DUMMYFUNCTION("""COMPUTED_VALUE"""),"Pyrantel Pamoate")</f>
        <v>Pyrantel Pamoate</v>
      </c>
      <c r="BU81" s="838"/>
      <c r="BV81" s="838" t="str">
        <f>IFERROR(__xludf.DUMMYFUNCTION("""COMPUTED_VALUE"""),"Single")</f>
        <v>Single</v>
      </c>
      <c r="BW81" s="838" t="str">
        <f>IFERROR(__xludf.DUMMYFUNCTION("""COMPUTED_VALUE"""),"500 mg")</f>
        <v>500 mg</v>
      </c>
      <c r="BX81" s="838">
        <f>IFERROR(__xludf.DUMMYFUNCTION("""COMPUTED_VALUE"""),42.0)</f>
        <v>42</v>
      </c>
      <c r="BY81" s="838" t="str">
        <f>IFERROR(__xludf.DUMMYFUNCTION("""COMPUTED_VALUE"""),"16-25")</f>
        <v>16-25</v>
      </c>
      <c r="BZ81" s="838"/>
      <c r="CA81" s="838"/>
      <c r="CB81" s="838"/>
      <c r="CC81" s="838" t="str">
        <f>IFERROR(__xludf.DUMMYFUNCTION("""COMPUTED_VALUE"""),"No")</f>
        <v>No</v>
      </c>
      <c r="CD81" s="847">
        <f>IFERROR(__xludf.DUMMYFUNCTION("""COMPUTED_VALUE"""),0.952)</f>
        <v>0.952</v>
      </c>
      <c r="CE81" s="838" t="str">
        <f>IFERROR(__xludf.DUMMYFUNCTION("""COMPUTED_VALUE"""),"No")</f>
        <v>No</v>
      </c>
      <c r="CF81" s="838" t="str">
        <f>IFERROR(__xludf.DUMMYFUNCTION("""COMPUTED_VALUE"""),"95.2% (Day 10)")</f>
        <v>95.2% (Day 10)</v>
      </c>
      <c r="CG81" s="838"/>
      <c r="CH81" s="838"/>
      <c r="CI81" s="838"/>
      <c r="CJ81" s="838"/>
      <c r="CK81" s="838"/>
      <c r="CL81" s="838"/>
      <c r="CM81" s="838"/>
      <c r="CN81" s="838"/>
      <c r="CO81" s="838"/>
      <c r="CP81" s="838"/>
      <c r="CQ81" s="838"/>
      <c r="CR81" s="838"/>
      <c r="CS81" s="838"/>
      <c r="CT81" s="838"/>
      <c r="CU81" s="838"/>
      <c r="CV81" s="697" t="str">
        <f>IFERROR(__xludf.DUMMYFUNCTION("""COMPUTED_VALUE"""),"wang, b., wang, h., li, l., zhang, x., yue, j., wang, g.,shi, x. &amp; xiao, f. (1987). Comparative efficacy ofthienpydin, pyrantel pamoate, mebendazole andalbendazole in treating ascariasis and enterobiasis.Chinese Medical Journal 100, 928–930.")</f>
        <v>wang, b., wang, h., li, l., zhang, x., yue, j., wang, g.,shi, x. &amp; xiao, f. (1987). Comparative efficacy ofthienpydin, pyrantel pamoate, mebendazole andalbendazole in treating ascariasis and enterobiasis.Chinese Medical Journal 100, 928–930.</v>
      </c>
    </row>
    <row r="82">
      <c r="A82" s="842" t="str">
        <f>IFERROR(__xludf.DUMMYFUNCTION("""COMPUTED_VALUE"""),"Morgan et al.")</f>
        <v>Morgan et al.</v>
      </c>
      <c r="B82" s="834" t="str">
        <f>IFERROR(__xludf.DUMMYFUNCTION("""COMPUTED_VALUE"""),"Malawi")</f>
        <v>Malawi</v>
      </c>
      <c r="C82" s="834" t="str">
        <f>IFERROR(__xludf.DUMMYFUNCTION("""COMPUTED_VALUE"""),"Levamisole")</f>
        <v>Levamisole</v>
      </c>
      <c r="D82" s="834" t="str">
        <f>IFERROR(__xludf.DUMMYFUNCTION("""COMPUTED_VALUE"""),"Single")</f>
        <v>Single</v>
      </c>
      <c r="E82" s="834" t="str">
        <f>IFERROR(__xludf.DUMMYFUNCTION("""COMPUTED_VALUE"""),"80 mg (or 120 if older than 16 years old)")</f>
        <v>80 mg (or 120 if older than 16 years old)</v>
      </c>
      <c r="F82" s="834">
        <f>IFERROR(__xludf.DUMMYFUNCTION("""COMPUTED_VALUE"""),30.0)</f>
        <v>30</v>
      </c>
      <c r="G82" s="834">
        <f>IFERROR(__xludf.DUMMYFUNCTION("""COMPUTED_VALUE"""),13.7)</f>
        <v>13.7</v>
      </c>
      <c r="H82" s="834"/>
      <c r="I82" s="834">
        <f>IFERROR(__xludf.DUMMYFUNCTION("""COMPUTED_VALUE"""),1983.0)</f>
        <v>1983</v>
      </c>
      <c r="J82" s="834"/>
      <c r="K82" s="839" t="str">
        <f>IFERROR(__xludf.DUMMYFUNCTION("""COMPUTED_VALUE"""),"double-blind")</f>
        <v>double-blind</v>
      </c>
      <c r="L82" s="839" t="str">
        <f>IFERROR(__xludf.DUMMYFUNCTION("""COMPUTED_VALUE"""),"Yes")</f>
        <v>Yes</v>
      </c>
      <c r="M82" s="839" t="str">
        <f>IFERROR(__xludf.DUMMYFUNCTION("""COMPUTED_VALUE"""),"Yes")</f>
        <v>Yes</v>
      </c>
      <c r="N82" s="840">
        <f>IFERROR(__xludf.DUMMYFUNCTION("""COMPUTED_VALUE"""),0.1)</f>
        <v>0.1</v>
      </c>
      <c r="O82" s="834"/>
      <c r="P82" s="834"/>
      <c r="Q82" s="834"/>
      <c r="R82" s="834"/>
      <c r="S82" s="834"/>
      <c r="T82" s="834"/>
      <c r="U82" s="834"/>
      <c r="V82" s="834"/>
      <c r="W82" s="840">
        <f>IFERROR(__xludf.DUMMYFUNCTION("""COMPUTED_VALUE"""),0.64)</f>
        <v>0.64</v>
      </c>
      <c r="X82" s="834"/>
      <c r="Y82" s="834"/>
      <c r="Z82" s="834"/>
      <c r="AA82" s="834"/>
      <c r="AB82" s="834"/>
      <c r="AC82" s="834"/>
      <c r="AD82" s="834"/>
      <c r="AE82" s="834" t="str">
        <f>IFERROR(__xludf.DUMMYFUNCTION("""COMPUTED_VALUE"""),"In the study Albendazolewas highly effective in the treatment of hookworm infection. Levamisole was less effective in lowering the egg count within 3 weeks of treatment, although Levamisole was significantly superior to placebo.")</f>
        <v>In the study Albendazolewas highly effective in the treatment of hookworm infection. Levamisole was less effective in lowering the egg count within 3 weeks of treatment, although Levamisole was significantly superior to placebo.</v>
      </c>
      <c r="AF82" s="834" t="str">
        <f>IFERROR(__xludf.DUMMYFUNCTION("""COMPUTED_VALUE"""),"Kato-Katz method")</f>
        <v>Kato-Katz method</v>
      </c>
      <c r="AG82" s="834" t="str">
        <f>IFERROR(__xludf.DUMMYFUNCTION("""COMPUTED_VALUE"""),"Morgan PRF, Yamanmoto M, Teesdale CH, &amp; Pugh RNH. “Albendazole: a new treatment for hookworm”. Medical quarterly: Journal of the Medical Association of Malawi (1983) 4-5. Web.")</f>
        <v>Morgan PRF, Yamanmoto M, Teesdale CH, &amp; Pugh RNH. “Albendazole: a new treatment for hookworm”. Medical quarterly: Journal of the Medical Association of Malawi (1983) 4-5. Web.</v>
      </c>
      <c r="AH82" s="834"/>
      <c r="AJ82" s="843" t="str">
        <f>IFERROR(__xludf.DUMMYFUNCTION("""COMPUTED_VALUE"""),"Mekonnen et al.")</f>
        <v>Mekonnen et al.</v>
      </c>
      <c r="AK82" s="836"/>
      <c r="AL82" s="836" t="str">
        <f>IFERROR(__xludf.DUMMYFUNCTION("""COMPUTED_VALUE"""),"Ethiopia")</f>
        <v>Ethiopia</v>
      </c>
      <c r="AM82" s="836" t="str">
        <f>IFERROR(__xludf.DUMMYFUNCTION("""COMPUTED_VALUE"""),"Mebendazole")</f>
        <v>Mebendazole</v>
      </c>
      <c r="AN82" s="836" t="str">
        <f>IFERROR(__xludf.DUMMYFUNCTION("""COMPUTED_VALUE"""),"Single")</f>
        <v>Single</v>
      </c>
      <c r="AO82" s="836" t="str">
        <f>IFERROR(__xludf.DUMMYFUNCTION("""COMPUTED_VALUE"""),"500 mg")</f>
        <v>500 mg</v>
      </c>
      <c r="AP82" s="836">
        <f>IFERROR(__xludf.DUMMYFUNCTION("""COMPUTED_VALUE"""),106.0)</f>
        <v>106</v>
      </c>
      <c r="AQ82" s="836" t="str">
        <f>IFERROR(__xludf.DUMMYFUNCTION("""COMPUTED_VALUE"""),"10.8-11.2 years")</f>
        <v>10.8-11.2 years</v>
      </c>
      <c r="AR82" s="854">
        <f>IFERROR(__xludf.DUMMYFUNCTION("""COMPUTED_VALUE"""),0.1909722222222222)</f>
        <v>0.1909722222</v>
      </c>
      <c r="AS82" s="836">
        <f>IFERROR(__xludf.DUMMYFUNCTION("""COMPUTED_VALUE"""),2011.0)</f>
        <v>2011</v>
      </c>
      <c r="AT82" s="836" t="str">
        <f>IFERROR(__xludf.DUMMYFUNCTION("""COMPUTED_VALUE"""),"Subjects who were unable to provide a stool sample at baseine, experiencing a severe concurrent medical condition, had diarrhea at time of the first sampling, hand known history of allergic reaction to benzimidazoles or were pregnant were excluded from st"&amp;"udy")</f>
        <v>Subjects who were unable to provide a stool sample at baseine, experiencing a severe concurrent medical condition, had diarrhea at time of the first sampling, hand known history of allergic reaction to benzimidazoles or were pregnant were excluded from study</v>
      </c>
      <c r="AU82" s="836" t="str">
        <f>IFERROR(__xludf.DUMMYFUNCTION("""COMPUTED_VALUE"""),"Yes")</f>
        <v>Yes</v>
      </c>
      <c r="AV82" s="836" t="str">
        <f>IFERROR(__xludf.DUMMYFUNCTION("""COMPUTED_VALUE"""),"No")</f>
        <v>No</v>
      </c>
      <c r="AW82" s="836" t="str">
        <f>IFERROR(__xludf.DUMMYFUNCTION("""COMPUTED_VALUE"""),"Randomized multi-arm efficacy trial")</f>
        <v>Randomized multi-arm efficacy trial</v>
      </c>
      <c r="AX82" s="836"/>
      <c r="AY82" s="836"/>
      <c r="AZ82" s="836"/>
      <c r="BA82" s="836"/>
      <c r="BB82" s="836"/>
      <c r="BC82" s="836"/>
      <c r="BD82" s="836"/>
      <c r="BE82" s="836"/>
      <c r="BF82" s="836"/>
      <c r="BG82" s="836"/>
      <c r="BH82" s="841">
        <f>IFERROR(__xludf.DUMMYFUNCTION("""COMPUTED_VALUE"""),0.871)</f>
        <v>0.871</v>
      </c>
      <c r="BI82" s="836"/>
      <c r="BJ82" s="836"/>
      <c r="BK82" s="836"/>
      <c r="BL82" s="836"/>
      <c r="BM82" s="836"/>
      <c r="BN82" s="836"/>
      <c r="BO82" s="836" t="str">
        <f>IFERROR(__xludf.DUMMYFUNCTION("""COMPUTED_VALUE"""),"McMaster Method")</f>
        <v>McMaster Method</v>
      </c>
      <c r="BP82" s="836"/>
      <c r="BQ82" s="697">
        <f>IFERROR(__xludf.DUMMYFUNCTION("""COMPUTED_VALUE"""),81.0)</f>
        <v>81</v>
      </c>
      <c r="BR82" s="844" t="str">
        <f>IFERROR(__xludf.DUMMYFUNCTION("""COMPUTED_VALUE""")," Wang et al.")</f>
        <v> Wang et al.</v>
      </c>
      <c r="BS82" s="838" t="str">
        <f>IFERROR(__xludf.DUMMYFUNCTION("""COMPUTED_VALUE"""),"China")</f>
        <v>China</v>
      </c>
      <c r="BT82" s="838" t="str">
        <f>IFERROR(__xludf.DUMMYFUNCTION("""COMPUTED_VALUE"""),"Mebendazole")</f>
        <v>Mebendazole</v>
      </c>
      <c r="BU82" s="838"/>
      <c r="BV82" s="838" t="str">
        <f>IFERROR(__xludf.DUMMYFUNCTION("""COMPUTED_VALUE"""),"Single")</f>
        <v>Single</v>
      </c>
      <c r="BW82" s="838" t="str">
        <f>IFERROR(__xludf.DUMMYFUNCTION("""COMPUTED_VALUE"""),"200 mg")</f>
        <v>200 mg</v>
      </c>
      <c r="BX82" s="838">
        <f>IFERROR(__xludf.DUMMYFUNCTION("""COMPUTED_VALUE"""),34.0)</f>
        <v>34</v>
      </c>
      <c r="BY82" s="838" t="str">
        <f>IFERROR(__xludf.DUMMYFUNCTION("""COMPUTED_VALUE"""),"16-25")</f>
        <v>16-25</v>
      </c>
      <c r="BZ82" s="838"/>
      <c r="CA82" s="838"/>
      <c r="CB82" s="838"/>
      <c r="CC82" s="838" t="str">
        <f>IFERROR(__xludf.DUMMYFUNCTION("""COMPUTED_VALUE"""),"No")</f>
        <v>No</v>
      </c>
      <c r="CD82" s="847">
        <f>IFERROR(__xludf.DUMMYFUNCTION("""COMPUTED_VALUE"""),0.765)</f>
        <v>0.765</v>
      </c>
      <c r="CE82" s="838" t="str">
        <f>IFERROR(__xludf.DUMMYFUNCTION("""COMPUTED_VALUE"""),"No")</f>
        <v>No</v>
      </c>
      <c r="CF82" s="838" t="str">
        <f>IFERROR(__xludf.DUMMYFUNCTION("""COMPUTED_VALUE"""),"76.5% (Day 10)")</f>
        <v>76.5% (Day 10)</v>
      </c>
      <c r="CG82" s="838"/>
      <c r="CH82" s="838"/>
      <c r="CI82" s="838"/>
      <c r="CJ82" s="838"/>
      <c r="CK82" s="838"/>
      <c r="CL82" s="838"/>
      <c r="CM82" s="838"/>
      <c r="CN82" s="838"/>
      <c r="CO82" s="838"/>
      <c r="CP82" s="838"/>
      <c r="CQ82" s="838"/>
      <c r="CR82" s="838"/>
      <c r="CS82" s="838"/>
      <c r="CT82" s="838"/>
      <c r="CU82" s="838"/>
      <c r="CV82" s="697" t="str">
        <f>IFERROR(__xludf.DUMMYFUNCTION("""COMPUTED_VALUE"""),"wang, b., wang, h., li, l., zhang, x., yue, j., wang, g.,shi, x. &amp; xiao, f. (1987). Comparative efficacy ofthienpydin, pyrantel pamoate, mebendazole andalbendazole in treating ascariasis and enterobiasis.Chinese Medical Journal 100, 928–930.")</f>
        <v>wang, b., wang, h., li, l., zhang, x., yue, j., wang, g.,shi, x. &amp; xiao, f. (1987). Comparative efficacy ofthienpydin, pyrantel pamoate, mebendazole andalbendazole in treating ascariasis and enterobiasis.Chinese Medical Journal 100, 928–930.</v>
      </c>
    </row>
    <row r="83">
      <c r="A83" s="842" t="str">
        <f>IFERROR(__xludf.DUMMYFUNCTION("""COMPUTED_VALUE"""),"Mihrshahi et al.")</f>
        <v>Mihrshahi et al.</v>
      </c>
      <c r="B83" s="834" t="str">
        <f>IFERROR(__xludf.DUMMYFUNCTION("""COMPUTED_VALUE"""),"Viet Nam")</f>
        <v>Viet Nam</v>
      </c>
      <c r="C83" s="834" t="str">
        <f>IFERROR(__xludf.DUMMYFUNCTION("""COMPUTED_VALUE"""),"Albendazole")</f>
        <v>Albendazole</v>
      </c>
      <c r="D83" s="834" t="str">
        <f>IFERROR(__xludf.DUMMYFUNCTION("""COMPUTED_VALUE"""),"Three")</f>
        <v>Three</v>
      </c>
      <c r="E83" s="834" t="str">
        <f>IFERROR(__xludf.DUMMYFUNCTION("""COMPUTED_VALUE"""),"400 mg")</f>
        <v>400 mg</v>
      </c>
      <c r="F83" s="834">
        <f>IFERROR(__xludf.DUMMYFUNCTION("""COMPUTED_VALUE"""),118.0)</f>
        <v>118</v>
      </c>
      <c r="G83" s="834" t="str">
        <f>IFERROR(__xludf.DUMMYFUNCTION("""COMPUTED_VALUE"""),"16-45 ")</f>
        <v>16-45 </v>
      </c>
      <c r="H83" s="839" t="str">
        <f>IFERROR(__xludf.DUMMYFUNCTION("""COMPUTED_VALUE"""),"0:1")</f>
        <v>0:1</v>
      </c>
      <c r="I83" s="834">
        <f>IFERROR(__xludf.DUMMYFUNCTION("""COMPUTED_VALUE"""),2007.0)</f>
        <v>2007</v>
      </c>
      <c r="J83" s="834"/>
      <c r="K83" s="839" t="str">
        <f>IFERROR(__xludf.DUMMYFUNCTION("""COMPUTED_VALUE"""),"randomized trial")</f>
        <v>randomized trial</v>
      </c>
      <c r="L83" s="839" t="str">
        <f>IFERROR(__xludf.DUMMYFUNCTION("""COMPUTED_VALUE"""),"Yes")</f>
        <v>Yes</v>
      </c>
      <c r="M83" s="839" t="str">
        <f>IFERROR(__xludf.DUMMYFUNCTION("""COMPUTED_VALUE"""),"No")</f>
        <v>No</v>
      </c>
      <c r="N83" s="840">
        <f>IFERROR(__xludf.DUMMYFUNCTION("""COMPUTED_VALUE"""),0.713)</f>
        <v>0.713</v>
      </c>
      <c r="O83" s="834"/>
      <c r="P83" s="834"/>
      <c r="Q83" s="834"/>
      <c r="R83" s="834"/>
      <c r="S83" s="834"/>
      <c r="T83" s="834"/>
      <c r="U83" s="834"/>
      <c r="V83" s="834"/>
      <c r="W83" s="834"/>
      <c r="X83" s="834"/>
      <c r="Y83" s="834"/>
      <c r="Z83" s="834"/>
      <c r="AA83" s="834"/>
      <c r="AB83" s="834"/>
      <c r="AC83" s="834"/>
      <c r="AD83" s="834"/>
      <c r="AE83" s="834" t="str">
        <f>IFERROR(__xludf.DUMMYFUNCTION("""COMPUTED_VALUE"""),"This study confirms the high prevalence of STH infection, particularly hookworm infection, among women of reproductive age in north-west Viet Nam and shows a significant reduction in both the prevalence and intensity of STH infection with a single dose of"&amp;" Albendazole(400 mg) given every 4 months over a 12 month period.")</f>
        <v>This study confirms the high prevalence of STH infection, particularly hookworm infection, among women of reproductive age in north-west Viet Nam and shows a significant reduction in both the prevalence and intensity of STH infection with a single dose of Albendazole(400 mg) given every 4 months over a 12 month period.</v>
      </c>
      <c r="AF83" s="834" t="str">
        <f>IFERROR(__xludf.DUMMYFUNCTION("""COMPUTED_VALUE"""),"Kato Katz Method. Albendazole400mg over a 12 month study period and weekly supplementation with ferrous sulphate–folic acid tablets 60/0.4 mg ")</f>
        <v>Kato Katz Method. Albendazole400mg over a 12 month study period and weekly supplementation with ferrous sulphate–folic acid tablets 60/0.4 mg </v>
      </c>
      <c r="AG83" s="834" t="str">
        <f>IFERROR(__xludf.DUMMYFUNCTION("""COMPUTED_VALUE"""),"Mihrshahi, S., Casey, G. J., Montresor, A., Phuc, T. Q., Thach, D. T. C., Tien, N. T., Biggs, B. “The effectiveness of 4 monthly Albendazoletreatment in the reduction of soil-transmitted helminth infections in women of reproductive age in Viet Nam.” Inter"&amp;"national Journal for Parasitology 39 (2009): 1037–1043. Web.")</f>
        <v>Mihrshahi, S., Casey, G. J., Montresor, A., Phuc, T. Q., Thach, D. T. C., Tien, N. T., Biggs, B. “The effectiveness of 4 monthly Albendazoletreatment in the reduction of soil-transmitted helminth infections in women of reproductive age in Viet Nam.” International Journal for Parasitology 39 (2009): 1037–1043. Web.</v>
      </c>
      <c r="AH83" s="834" t="str">
        <f>IFERROR(__xludf.DUMMYFUNCTION("""COMPUTED_VALUE"""),"x")</f>
        <v>x</v>
      </c>
      <c r="AJ83" s="843" t="str">
        <f>IFERROR(__xludf.DUMMYFUNCTION("""COMPUTED_VALUE"""),"Abadi, K")</f>
        <v>Abadi, K</v>
      </c>
      <c r="AK83" s="836" t="str">
        <f>IFERROR(__xludf.DUMMYFUNCTION("""COMPUTED_VALUE"""),"Abadi, K. “Single dose Mebendazoletherapy for soil-transmitted nematodes”. The American Journal of Tropical Medicine and Hygeine 34 (1985): 129-133. Web.")</f>
        <v>Abadi, K. “Single dose Mebendazoletherapy for soil-transmitted nematodes”. The American Journal of Tropical Medicine and Hygeine 34 (1985): 129-133. Web.</v>
      </c>
      <c r="AL83" s="836" t="str">
        <f>IFERROR(__xludf.DUMMYFUNCTION("""COMPUTED_VALUE"""),"Indonesia")</f>
        <v>Indonesia</v>
      </c>
      <c r="AM83" s="836" t="str">
        <f>IFERROR(__xludf.DUMMYFUNCTION("""COMPUTED_VALUE"""),"Mebendazole")</f>
        <v>Mebendazole</v>
      </c>
      <c r="AN83" s="836" t="str">
        <f>IFERROR(__xludf.DUMMYFUNCTION("""COMPUTED_VALUE"""),"Single")</f>
        <v>Single</v>
      </c>
      <c r="AO83" s="836" t="str">
        <f>IFERROR(__xludf.DUMMYFUNCTION("""COMPUTED_VALUE"""),"500 mg")</f>
        <v>500 mg</v>
      </c>
      <c r="AP83" s="836">
        <f>IFERROR(__xludf.DUMMYFUNCTION("""COMPUTED_VALUE"""),67.0)</f>
        <v>67</v>
      </c>
      <c r="AQ83" s="836" t="str">
        <f>IFERROR(__xludf.DUMMYFUNCTION("""COMPUTED_VALUE"""),"2-70 years old")</f>
        <v>2-70 years old</v>
      </c>
      <c r="AR83" s="836" t="str">
        <f>IFERROR(__xludf.DUMMYFUNCTION("""COMPUTED_VALUE"""),"N/A")</f>
        <v>N/A</v>
      </c>
      <c r="AS83" s="836">
        <f>IFERROR(__xludf.DUMMYFUNCTION("""COMPUTED_VALUE"""),1983.0)</f>
        <v>1983</v>
      </c>
      <c r="AT83" s="836"/>
      <c r="AU83" s="836" t="str">
        <f>IFERROR(__xludf.DUMMYFUNCTION("""COMPUTED_VALUE"""),"Yes")</f>
        <v>Yes</v>
      </c>
      <c r="AV83" s="836" t="str">
        <f>IFERROR(__xludf.DUMMYFUNCTION("""COMPUTED_VALUE"""),"Yes")</f>
        <v>Yes</v>
      </c>
      <c r="AW83" s="836" t="str">
        <f>IFERROR(__xludf.DUMMYFUNCTION("""COMPUTED_VALUE"""),"double-blind")</f>
        <v>double-blind</v>
      </c>
      <c r="AX83" s="841">
        <f>IFERROR(__xludf.DUMMYFUNCTION("""COMPUTED_VALUE"""),0.776)</f>
        <v>0.776</v>
      </c>
      <c r="AY83" s="836"/>
      <c r="AZ83" s="841">
        <f>IFERROR(__xludf.DUMMYFUNCTION("""COMPUTED_VALUE"""),0.776)</f>
        <v>0.776</v>
      </c>
      <c r="BA83" s="836"/>
      <c r="BB83" s="836"/>
      <c r="BC83" s="836"/>
      <c r="BD83" s="836"/>
      <c r="BE83" s="836"/>
      <c r="BF83" s="836"/>
      <c r="BG83" s="836"/>
      <c r="BH83" s="841">
        <f>IFERROR(__xludf.DUMMYFUNCTION("""COMPUTED_VALUE"""),0.928)</f>
        <v>0.928</v>
      </c>
      <c r="BI83" s="836"/>
      <c r="BJ83" s="836"/>
      <c r="BK83" s="836"/>
      <c r="BL83" s="836"/>
      <c r="BM83" s="836"/>
      <c r="BN83" s="836"/>
      <c r="BO83" s="836" t="str">
        <f>IFERROR(__xludf.DUMMYFUNCTION("""COMPUTED_VALUE"""),"Kato-Katz Method")</f>
        <v>Kato-Katz Method</v>
      </c>
      <c r="BP83" s="836" t="str">
        <f>IFERROR(__xludf.DUMMYFUNCTION("""COMPUTED_VALUE"""),"x")</f>
        <v>x</v>
      </c>
      <c r="BQ83" s="697">
        <f>IFERROR(__xludf.DUMMYFUNCTION("""COMPUTED_VALUE"""),82.0)</f>
        <v>82</v>
      </c>
      <c r="BR83" s="844" t="str">
        <f>IFERROR(__xludf.DUMMYFUNCTION("""COMPUTED_VALUE""")," Wang et al.")</f>
        <v> Wang et al.</v>
      </c>
      <c r="BS83" s="838" t="str">
        <f>IFERROR(__xludf.DUMMYFUNCTION("""COMPUTED_VALUE"""),"China")</f>
        <v>China</v>
      </c>
      <c r="BT83" s="838" t="str">
        <f>IFERROR(__xludf.DUMMYFUNCTION("""COMPUTED_VALUE"""),"Mebendazole")</f>
        <v>Mebendazole</v>
      </c>
      <c r="BU83" s="838"/>
      <c r="BV83" s="838" t="str">
        <f>IFERROR(__xludf.DUMMYFUNCTION("""COMPUTED_VALUE"""),"Single")</f>
        <v>Single</v>
      </c>
      <c r="BW83" s="838" t="str">
        <f>IFERROR(__xludf.DUMMYFUNCTION("""COMPUTED_VALUE"""),"200 mg")</f>
        <v>200 mg</v>
      </c>
      <c r="BX83" s="838">
        <f>IFERROR(__xludf.DUMMYFUNCTION("""COMPUTED_VALUE"""),42.0)</f>
        <v>42</v>
      </c>
      <c r="BY83" s="838" t="str">
        <f>IFERROR(__xludf.DUMMYFUNCTION("""COMPUTED_VALUE"""),"16-25")</f>
        <v>16-25</v>
      </c>
      <c r="BZ83" s="838"/>
      <c r="CA83" s="838"/>
      <c r="CB83" s="838"/>
      <c r="CC83" s="838" t="str">
        <f>IFERROR(__xludf.DUMMYFUNCTION("""COMPUTED_VALUE"""),"No")</f>
        <v>No</v>
      </c>
      <c r="CD83" s="847">
        <f>IFERROR(__xludf.DUMMYFUNCTION("""COMPUTED_VALUE"""),0.81)</f>
        <v>0.81</v>
      </c>
      <c r="CE83" s="838" t="str">
        <f>IFERROR(__xludf.DUMMYFUNCTION("""COMPUTED_VALUE"""),"No")</f>
        <v>No</v>
      </c>
      <c r="CF83" s="838" t="str">
        <f>IFERROR(__xludf.DUMMYFUNCTION("""COMPUTED_VALUE"""),"81.0% (Day 10)")</f>
        <v>81.0% (Day 10)</v>
      </c>
      <c r="CG83" s="838"/>
      <c r="CH83" s="838"/>
      <c r="CI83" s="838"/>
      <c r="CJ83" s="838"/>
      <c r="CK83" s="838"/>
      <c r="CL83" s="838"/>
      <c r="CM83" s="838"/>
      <c r="CN83" s="838"/>
      <c r="CO83" s="838"/>
      <c r="CP83" s="838"/>
      <c r="CQ83" s="838"/>
      <c r="CR83" s="838"/>
      <c r="CS83" s="838"/>
      <c r="CT83" s="838"/>
      <c r="CU83" s="838"/>
      <c r="CV83" s="697" t="str">
        <f>IFERROR(__xludf.DUMMYFUNCTION("""COMPUTED_VALUE"""),"wang, b., wang, h., li, l., zhang, x., yue, j., wang, g.,shi, x. &amp; xiao, f. (1987). Comparative efficacy ofthienpydin, pyrantel pamoate, mebendazole andalbendazole in treating ascariasis and enterobiasis.Chinese Medical Journal 100, 928–930.")</f>
        <v>wang, b., wang, h., li, l., zhang, x., yue, j., wang, g.,shi, x. &amp; xiao, f. (1987). Comparative efficacy ofthienpydin, pyrantel pamoate, mebendazole andalbendazole in treating ascariasis and enterobiasis.Chinese Medical Journal 100, 928–930.</v>
      </c>
    </row>
    <row r="84">
      <c r="A84" s="842" t="str">
        <f>IFERROR(__xludf.DUMMYFUNCTION("""COMPUTED_VALUE"""),"Muchiri et al.")</f>
        <v>Muchiri et al.</v>
      </c>
      <c r="B84" s="834" t="str">
        <f>IFERROR(__xludf.DUMMYFUNCTION("""COMPUTED_VALUE"""),"Kenya")</f>
        <v>Kenya</v>
      </c>
      <c r="C84" s="834" t="str">
        <f>IFERROR(__xludf.DUMMYFUNCTION("""COMPUTED_VALUE"""),"Albendazole")</f>
        <v>Albendazole</v>
      </c>
      <c r="D84" s="834" t="str">
        <f>IFERROR(__xludf.DUMMYFUNCTION("""COMPUTED_VALUE"""),"Single")</f>
        <v>Single</v>
      </c>
      <c r="E84" s="834" t="str">
        <f>IFERROR(__xludf.DUMMYFUNCTION("""COMPUTED_VALUE"""),"600 mg")</f>
        <v>600 mg</v>
      </c>
      <c r="F84" s="834" t="str">
        <f>IFERROR(__xludf.DUMMYFUNCTION("""COMPUTED_VALUE"""),"212/373")</f>
        <v>212/373</v>
      </c>
      <c r="G84" s="834">
        <f>IFERROR(__xludf.DUMMYFUNCTION("""COMPUTED_VALUE"""),11.2)</f>
        <v>11.2</v>
      </c>
      <c r="H84" s="839" t="str">
        <f>IFERROR(__xludf.DUMMYFUNCTION("""COMPUTED_VALUE"""),"209:164")</f>
        <v>209:164</v>
      </c>
      <c r="I84" s="834">
        <f>IFERROR(__xludf.DUMMYFUNCTION("""COMPUTED_VALUE"""),1997.0)</f>
        <v>1997</v>
      </c>
      <c r="J84" s="834"/>
      <c r="K84" s="839" t="str">
        <f>IFERROR(__xludf.DUMMYFUNCTION("""COMPUTED_VALUE"""),"randomized trial")</f>
        <v>randomized trial</v>
      </c>
      <c r="L84" s="839" t="str">
        <f>IFERROR(__xludf.DUMMYFUNCTION("""COMPUTED_VALUE"""),"Yes")</f>
        <v>Yes</v>
      </c>
      <c r="M84" s="839" t="str">
        <f>IFERROR(__xludf.DUMMYFUNCTION("""COMPUTED_VALUE"""),"No")</f>
        <v>No</v>
      </c>
      <c r="N84" s="840">
        <f>IFERROR(__xludf.DUMMYFUNCTION("""COMPUTED_VALUE"""),0.924)</f>
        <v>0.924</v>
      </c>
      <c r="O84" s="834"/>
      <c r="P84" s="834"/>
      <c r="Q84" s="840">
        <f>IFERROR(__xludf.DUMMYFUNCTION("""COMPUTED_VALUE"""),0.79)</f>
        <v>0.79</v>
      </c>
      <c r="R84" s="834"/>
      <c r="S84" s="834"/>
      <c r="T84" s="834"/>
      <c r="U84" s="834"/>
      <c r="V84" s="834"/>
      <c r="W84" s="840">
        <f>IFERROR(__xludf.DUMMYFUNCTION("""COMPUTED_VALUE"""),0.985)</f>
        <v>0.985</v>
      </c>
      <c r="X84" s="834"/>
      <c r="Y84" s="834"/>
      <c r="Z84" s="834"/>
      <c r="AA84" s="834"/>
      <c r="AB84" s="834"/>
      <c r="AC84" s="834"/>
      <c r="AD84" s="834"/>
      <c r="AE84" s="834" t="str">
        <f>IFERROR(__xludf.DUMMYFUNCTION("""COMPUTED_VALUE"""),"Overall, ALB resulted in staistically higher FECR and CR rates than MB even after 2 single doses of ALB given at 6-mo intervals, was compared with 2 or 3 doses of mebendazole.")</f>
        <v>Overall, ALB resulted in staistically higher FECR and CR rates than MB even after 2 single doses of ALB given at 6-mo intervals, was compared with 2 or 3 doses of mebendazole.</v>
      </c>
      <c r="AF84" s="834" t="str">
        <f>IFERROR(__xludf.DUMMYFUNCTION("""COMPUTED_VALUE"""),"Modified Kato–Katz method")</f>
        <v>Modified Kato–Katz method</v>
      </c>
      <c r="AG84" s="834" t="str">
        <f>IFERROR(__xludf.DUMMYFUNCTION("""COMPUTED_VALUE"""),"Muchiri, Eric M., Thiong'o, Fredrick W., Magnussen, Pascal and Ouma, John H. “A Comparative Study of Different Albendazoleand MebendazoleRegiments for the Treatment of Intestinal Infections in School Children of Usigu Division, Western Kenya”. Journal of "&amp;"Parasitology 87 (2001): 413-418. Web.")</f>
        <v>Muchiri, Eric M., Thiong'o, Fredrick W., Magnussen, Pascal and Ouma, John H. “A Comparative Study of Different Albendazoleand MebendazoleRegiments for the Treatment of Intestinal Infections in School Children of Usigu Division, Western Kenya”. Journal of Parasitology 87 (2001): 413-418. Web.</v>
      </c>
      <c r="AH84" s="834" t="str">
        <f>IFERROR(__xludf.DUMMYFUNCTION("""COMPUTED_VALUE"""),"x")</f>
        <v>x</v>
      </c>
      <c r="AJ84" s="843" t="str">
        <f>IFERROR(__xludf.DUMMYFUNCTION("""COMPUTED_VALUE"""),"Abadi, K")</f>
        <v>Abadi, K</v>
      </c>
      <c r="AK84" s="836"/>
      <c r="AL84" s="836" t="str">
        <f>IFERROR(__xludf.DUMMYFUNCTION("""COMPUTED_VALUE"""),"Indonesia")</f>
        <v>Indonesia</v>
      </c>
      <c r="AM84" s="836" t="str">
        <f>IFERROR(__xludf.DUMMYFUNCTION("""COMPUTED_VALUE"""),"Placebo")</f>
        <v>Placebo</v>
      </c>
      <c r="AN84" s="836"/>
      <c r="AO84" s="836"/>
      <c r="AP84" s="836">
        <f>IFERROR(__xludf.DUMMYFUNCTION("""COMPUTED_VALUE"""),38.0)</f>
        <v>38</v>
      </c>
      <c r="AQ84" s="836" t="str">
        <f>IFERROR(__xludf.DUMMYFUNCTION("""COMPUTED_VALUE"""),"2-70 years old")</f>
        <v>2-70 years old</v>
      </c>
      <c r="AR84" s="836" t="str">
        <f>IFERROR(__xludf.DUMMYFUNCTION("""COMPUTED_VALUE"""),"N/A")</f>
        <v>N/A</v>
      </c>
      <c r="AS84" s="836">
        <f>IFERROR(__xludf.DUMMYFUNCTION("""COMPUTED_VALUE"""),1983.0)</f>
        <v>1983</v>
      </c>
      <c r="AT84" s="836"/>
      <c r="AU84" s="836" t="str">
        <f>IFERROR(__xludf.DUMMYFUNCTION("""COMPUTED_VALUE"""),"Yes")</f>
        <v>Yes</v>
      </c>
      <c r="AV84" s="836" t="str">
        <f>IFERROR(__xludf.DUMMYFUNCTION("""COMPUTED_VALUE"""),"Yes")</f>
        <v>Yes</v>
      </c>
      <c r="AW84" s="836" t="str">
        <f>IFERROR(__xludf.DUMMYFUNCTION("""COMPUTED_VALUE"""),"double-blind")</f>
        <v>double-blind</v>
      </c>
      <c r="AX84" s="836"/>
      <c r="AY84" s="836"/>
      <c r="AZ84" s="836"/>
      <c r="BA84" s="836"/>
      <c r="BB84" s="836"/>
      <c r="BC84" s="836"/>
      <c r="BD84" s="836"/>
      <c r="BE84" s="836"/>
      <c r="BF84" s="836"/>
      <c r="BG84" s="836"/>
      <c r="BH84" s="841">
        <f>IFERROR(__xludf.DUMMYFUNCTION("""COMPUTED_VALUE"""),0.107)</f>
        <v>0.107</v>
      </c>
      <c r="BI84" s="836"/>
      <c r="BJ84" s="836"/>
      <c r="BK84" s="836"/>
      <c r="BL84" s="836"/>
      <c r="BM84" s="836"/>
      <c r="BN84" s="836"/>
      <c r="BO84" s="836"/>
      <c r="BP84" s="836" t="str">
        <f>IFERROR(__xludf.DUMMYFUNCTION("""COMPUTED_VALUE"""),"x")</f>
        <v>x</v>
      </c>
      <c r="BQ84" s="697">
        <f>IFERROR(__xludf.DUMMYFUNCTION("""COMPUTED_VALUE"""),83.0)</f>
        <v>83</v>
      </c>
      <c r="BR84" s="844" t="str">
        <f>IFERROR(__xludf.DUMMYFUNCTION("""COMPUTED_VALUE""")," Wang et al.")</f>
        <v> Wang et al.</v>
      </c>
      <c r="BS84" s="838" t="str">
        <f>IFERROR(__xludf.DUMMYFUNCTION("""COMPUTED_VALUE"""),"China")</f>
        <v>China</v>
      </c>
      <c r="BT84" s="838" t="str">
        <f>IFERROR(__xludf.DUMMYFUNCTION("""COMPUTED_VALUE"""),"Mebendazole")</f>
        <v>Mebendazole</v>
      </c>
      <c r="BU84" s="838"/>
      <c r="BV84" s="838" t="str">
        <f>IFERROR(__xludf.DUMMYFUNCTION("""COMPUTED_VALUE"""),"Single")</f>
        <v>Single</v>
      </c>
      <c r="BW84" s="838" t="str">
        <f>IFERROR(__xludf.DUMMYFUNCTION("""COMPUTED_VALUE"""),"200 mg")</f>
        <v>200 mg</v>
      </c>
      <c r="BX84" s="838">
        <f>IFERROR(__xludf.DUMMYFUNCTION("""COMPUTED_VALUE"""),38.0)</f>
        <v>38</v>
      </c>
      <c r="BY84" s="838" t="str">
        <f>IFERROR(__xludf.DUMMYFUNCTION("""COMPUTED_VALUE"""),"16-25")</f>
        <v>16-25</v>
      </c>
      <c r="BZ84" s="838"/>
      <c r="CA84" s="838"/>
      <c r="CB84" s="838"/>
      <c r="CC84" s="838" t="str">
        <f>IFERROR(__xludf.DUMMYFUNCTION("""COMPUTED_VALUE"""),"No")</f>
        <v>No</v>
      </c>
      <c r="CD84" s="847">
        <f>IFERROR(__xludf.DUMMYFUNCTION("""COMPUTED_VALUE"""),1.0)</f>
        <v>1</v>
      </c>
      <c r="CE84" s="838" t="str">
        <f>IFERROR(__xludf.DUMMYFUNCTION("""COMPUTED_VALUE"""),"No")</f>
        <v>No</v>
      </c>
      <c r="CF84" s="838" t="str">
        <f>IFERROR(__xludf.DUMMYFUNCTION("""COMPUTED_VALUE"""),"100.0% (Day 10)")</f>
        <v>100.0% (Day 10)</v>
      </c>
      <c r="CG84" s="838"/>
      <c r="CH84" s="838"/>
      <c r="CI84" s="838"/>
      <c r="CJ84" s="838"/>
      <c r="CK84" s="838"/>
      <c r="CL84" s="838"/>
      <c r="CM84" s="838"/>
      <c r="CN84" s="838"/>
      <c r="CO84" s="838"/>
      <c r="CP84" s="838"/>
      <c r="CQ84" s="838"/>
      <c r="CR84" s="838"/>
      <c r="CS84" s="838"/>
      <c r="CT84" s="838"/>
      <c r="CU84" s="838"/>
      <c r="CV84" s="697" t="str">
        <f>IFERROR(__xludf.DUMMYFUNCTION("""COMPUTED_VALUE"""),"wang, b., wang, h., li, l., zhang, x., yue, j., wang, g.,shi, x. &amp; xiao, f. (1987). Comparative efficacy ofthienpydin, pyrantel pamoate, mebendazole andalbendazole in treating ascariasis and enterobiasis.Chinese Medical Journal 100, 928–930.")</f>
        <v>wang, b., wang, h., li, l., zhang, x., yue, j., wang, g.,shi, x. &amp; xiao, f. (1987). Comparative efficacy ofthienpydin, pyrantel pamoate, mebendazole andalbendazole in treating ascariasis and enterobiasis.Chinese Medical Journal 100, 928–930.</v>
      </c>
    </row>
    <row r="85">
      <c r="A85" s="842" t="str">
        <f>IFERROR(__xludf.DUMMYFUNCTION("""COMPUTED_VALUE"""),"Muchiri et al.")</f>
        <v>Muchiri et al.</v>
      </c>
      <c r="B85" s="834" t="str">
        <f>IFERROR(__xludf.DUMMYFUNCTION("""COMPUTED_VALUE"""),"Kenya")</f>
        <v>Kenya</v>
      </c>
      <c r="C85" s="834" t="str">
        <f>IFERROR(__xludf.DUMMYFUNCTION("""COMPUTED_VALUE"""),"Mebendazole")</f>
        <v>Mebendazole</v>
      </c>
      <c r="D85" s="834" t="str">
        <f>IFERROR(__xludf.DUMMYFUNCTION("""COMPUTED_VALUE"""),"Single")</f>
        <v>Single</v>
      </c>
      <c r="E85" s="834" t="str">
        <f>IFERROR(__xludf.DUMMYFUNCTION("""COMPUTED_VALUE"""),"600 mg")</f>
        <v>600 mg</v>
      </c>
      <c r="F85" s="834" t="str">
        <f>IFERROR(__xludf.DUMMYFUNCTION("""COMPUTED_VALUE"""),"256/416")</f>
        <v>256/416</v>
      </c>
      <c r="G85" s="834">
        <f>IFERROR(__xludf.DUMMYFUNCTION("""COMPUTED_VALUE"""),10.9)</f>
        <v>10.9</v>
      </c>
      <c r="H85" s="839" t="str">
        <f>IFERROR(__xludf.DUMMYFUNCTION("""COMPUTED_VALUE"""),"221:195")</f>
        <v>221:195</v>
      </c>
      <c r="I85" s="834">
        <f>IFERROR(__xludf.DUMMYFUNCTION("""COMPUTED_VALUE"""),1997.0)</f>
        <v>1997</v>
      </c>
      <c r="J85" s="834"/>
      <c r="K85" s="839" t="str">
        <f>IFERROR(__xludf.DUMMYFUNCTION("""COMPUTED_VALUE"""),"randomized trial")</f>
        <v>randomized trial</v>
      </c>
      <c r="L85" s="839" t="str">
        <f>IFERROR(__xludf.DUMMYFUNCTION("""COMPUTED_VALUE"""),"Yes")</f>
        <v>Yes</v>
      </c>
      <c r="M85" s="839" t="str">
        <f>IFERROR(__xludf.DUMMYFUNCTION("""COMPUTED_VALUE"""),"No")</f>
        <v>No</v>
      </c>
      <c r="N85" s="840">
        <f>IFERROR(__xludf.DUMMYFUNCTION("""COMPUTED_VALUE"""),0.5)</f>
        <v>0.5</v>
      </c>
      <c r="O85" s="834"/>
      <c r="P85" s="834"/>
      <c r="Q85" s="840">
        <f>IFERROR(__xludf.DUMMYFUNCTION("""COMPUTED_VALUE"""),0.438)</f>
        <v>0.438</v>
      </c>
      <c r="R85" s="834"/>
      <c r="S85" s="834"/>
      <c r="T85" s="834"/>
      <c r="U85" s="834"/>
      <c r="V85" s="834"/>
      <c r="W85" s="840">
        <f>IFERROR(__xludf.DUMMYFUNCTION("""COMPUTED_VALUE"""),0.863)</f>
        <v>0.863</v>
      </c>
      <c r="X85" s="834"/>
      <c r="Y85" s="834"/>
      <c r="Z85" s="834"/>
      <c r="AA85" s="834"/>
      <c r="AB85" s="834"/>
      <c r="AC85" s="834"/>
      <c r="AD85" s="834"/>
      <c r="AE85" s="834" t="str">
        <f>IFERROR(__xludf.DUMMYFUNCTION("""COMPUTED_VALUE"""),"Overall, ALB resulted in staistically higher FECR and CR rates than MB even after 2 single doses of ALB given at 6-mo intervals, was compared with 2 or 3 doses of mebendazole.")</f>
        <v>Overall, ALB resulted in staistically higher FECR and CR rates than MB even after 2 single doses of ALB given at 6-mo intervals, was compared with 2 or 3 doses of mebendazole.</v>
      </c>
      <c r="AF85" s="834" t="str">
        <f>IFERROR(__xludf.DUMMYFUNCTION("""COMPUTED_VALUE"""),"Mebendazole600 mg 6 mo interval 2x")</f>
        <v>Mebendazole600 mg 6 mo interval 2x</v>
      </c>
      <c r="AG85" s="834" t="str">
        <f>IFERROR(__xludf.DUMMYFUNCTION("""COMPUTED_VALUE"""),"Muchiri, Eric M., Thiong'o, Fredrick W., Magnussen, Pascal and Ouma, John H. “A Comparative Study of Different Albendazoleand MebendazoleRegiments for the Treatment of Intestinal Infections in School Children of Usigu Division, Western Kenya”. Journal of "&amp;"Parasitology 87 (2001): 413-418. Web.")</f>
        <v>Muchiri, Eric M., Thiong'o, Fredrick W., Magnussen, Pascal and Ouma, John H. “A Comparative Study of Different Albendazoleand MebendazoleRegiments for the Treatment of Intestinal Infections in School Children of Usigu Division, Western Kenya”. Journal of Parasitology 87 (2001): 413-418. Web.</v>
      </c>
      <c r="AH85" s="834" t="str">
        <f>IFERROR(__xludf.DUMMYFUNCTION("""COMPUTED_VALUE"""),"x")</f>
        <v>x</v>
      </c>
      <c r="AJ85" s="843" t="str">
        <f>IFERROR(__xludf.DUMMYFUNCTION("""COMPUTED_VALUE"""),"Bartoloni et al.")</f>
        <v>Bartoloni et al.</v>
      </c>
      <c r="AK85" s="836" t="str">
        <f>IFERROR(__xludf.DUMMYFUNCTION("""COMPUTED_VALUE"""),"Bartoloni A, Guglielmetti P, Cancrini G. “Comparitive efficacy of a single 400 mg dose of Albendazoleor Mebendazolein the treatment of nematode infections in children”. Tropical and Geographical Medicine (1993):114-116. Web.")</f>
        <v>Bartoloni A, Guglielmetti P, Cancrini G. “Comparitive efficacy of a single 400 mg dose of Albendazoleor Mebendazolein the treatment of nematode infections in children”. Tropical and Geographical Medicine (1993):114-116. Web.</v>
      </c>
      <c r="AL85" s="836" t="str">
        <f>IFERROR(__xludf.DUMMYFUNCTION("""COMPUTED_VALUE"""),"Bolivia")</f>
        <v>Bolivia</v>
      </c>
      <c r="AM85" s="836" t="str">
        <f>IFERROR(__xludf.DUMMYFUNCTION("""COMPUTED_VALUE"""),"Albendazole")</f>
        <v>Albendazole</v>
      </c>
      <c r="AN85" s="836" t="str">
        <f>IFERROR(__xludf.DUMMYFUNCTION("""COMPUTED_VALUE"""),"Single")</f>
        <v>Single</v>
      </c>
      <c r="AO85" s="836" t="str">
        <f>IFERROR(__xludf.DUMMYFUNCTION("""COMPUTED_VALUE"""),"400 mg")</f>
        <v>400 mg</v>
      </c>
      <c r="AP85" s="836">
        <f>IFERROR(__xludf.DUMMYFUNCTION("""COMPUTED_VALUE"""),15.0)</f>
        <v>15</v>
      </c>
      <c r="AQ85" s="836" t="str">
        <f>IFERROR(__xludf.DUMMYFUNCTION("""COMPUTED_VALUE"""),"2-9 years old")</f>
        <v>2-9 years old</v>
      </c>
      <c r="AR85" s="836"/>
      <c r="AS85" s="836">
        <f>IFERROR(__xludf.DUMMYFUNCTION("""COMPUTED_VALUE"""),1990.0)</f>
        <v>1990</v>
      </c>
      <c r="AT85" s="836"/>
      <c r="AU85" s="836" t="str">
        <f>IFERROR(__xludf.DUMMYFUNCTION("""COMPUTED_VALUE"""),"Yes")</f>
        <v>Yes</v>
      </c>
      <c r="AV85" s="836" t="str">
        <f>IFERROR(__xludf.DUMMYFUNCTION("""COMPUTED_VALUE"""),"No")</f>
        <v>No</v>
      </c>
      <c r="AW85" s="836" t="str">
        <f>IFERROR(__xludf.DUMMYFUNCTION("""COMPUTED_VALUE"""),"longitudinal study, randomized")</f>
        <v>longitudinal study, randomized</v>
      </c>
      <c r="AX85" s="841">
        <f>IFERROR(__xludf.DUMMYFUNCTION("""COMPUTED_VALUE"""),0.333)</f>
        <v>0.333</v>
      </c>
      <c r="AY85" s="836"/>
      <c r="AZ85" s="841">
        <f>IFERROR(__xludf.DUMMYFUNCTION("""COMPUTED_VALUE"""),0.333)</f>
        <v>0.333</v>
      </c>
      <c r="BA85" s="836"/>
      <c r="BB85" s="836"/>
      <c r="BC85" s="836"/>
      <c r="BD85" s="836"/>
      <c r="BE85" s="836"/>
      <c r="BF85" s="836"/>
      <c r="BG85" s="836"/>
      <c r="BH85" s="841">
        <f>IFERROR(__xludf.DUMMYFUNCTION("""COMPUTED_VALUE"""),0.457)</f>
        <v>0.457</v>
      </c>
      <c r="BI85" s="836"/>
      <c r="BJ85" s="836"/>
      <c r="BK85" s="836"/>
      <c r="BL85" s="836"/>
      <c r="BM85" s="836"/>
      <c r="BN85" s="836"/>
      <c r="BO85" s="836" t="str">
        <f>IFERROR(__xludf.DUMMYFUNCTION("""COMPUTED_VALUE"""),"Kato-Katz Method")</f>
        <v>Kato-Katz Method</v>
      </c>
      <c r="BP85" s="836"/>
      <c r="BQ85" s="697">
        <f>IFERROR(__xludf.DUMMYFUNCTION("""COMPUTED_VALUE"""),84.0)</f>
        <v>84</v>
      </c>
      <c r="BR85" s="844" t="str">
        <f>IFERROR(__xludf.DUMMYFUNCTION("""COMPUTED_VALUE""")," Wang et al.")</f>
        <v> Wang et al.</v>
      </c>
      <c r="BS85" s="838" t="str">
        <f>IFERROR(__xludf.DUMMYFUNCTION("""COMPUTED_VALUE"""),"China")</f>
        <v>China</v>
      </c>
      <c r="BT85" s="838" t="str">
        <f>IFERROR(__xludf.DUMMYFUNCTION("""COMPUTED_VALUE"""),"Mebendazole &amp; Thienpydin")</f>
        <v>Mebendazole &amp; Thienpydin</v>
      </c>
      <c r="BU85" s="838"/>
      <c r="BV85" s="838" t="str">
        <f>IFERROR(__xludf.DUMMYFUNCTION("""COMPUTED_VALUE"""),"Single")</f>
        <v>Single</v>
      </c>
      <c r="BW85" s="838" t="str">
        <f>IFERROR(__xludf.DUMMYFUNCTION("""COMPUTED_VALUE"""),"125 mg; 100 mg")</f>
        <v>125 mg; 100 mg</v>
      </c>
      <c r="BX85" s="838">
        <f>IFERROR(__xludf.DUMMYFUNCTION("""COMPUTED_VALUE"""),42.0)</f>
        <v>42</v>
      </c>
      <c r="BY85" s="838" t="str">
        <f>IFERROR(__xludf.DUMMYFUNCTION("""COMPUTED_VALUE"""),"16-25")</f>
        <v>16-25</v>
      </c>
      <c r="BZ85" s="838"/>
      <c r="CA85" s="838"/>
      <c r="CB85" s="838"/>
      <c r="CC85" s="838" t="str">
        <f>IFERROR(__xludf.DUMMYFUNCTION("""COMPUTED_VALUE"""),"No")</f>
        <v>No</v>
      </c>
      <c r="CD85" s="847">
        <f>IFERROR(__xludf.DUMMYFUNCTION("""COMPUTED_VALUE"""),0.976)</f>
        <v>0.976</v>
      </c>
      <c r="CE85" s="838" t="str">
        <f>IFERROR(__xludf.DUMMYFUNCTION("""COMPUTED_VALUE"""),"No")</f>
        <v>No</v>
      </c>
      <c r="CF85" s="838" t="str">
        <f>IFERROR(__xludf.DUMMYFUNCTION("""COMPUTED_VALUE"""),"97.6% (Day 10)")</f>
        <v>97.6% (Day 10)</v>
      </c>
      <c r="CG85" s="838"/>
      <c r="CH85" s="838"/>
      <c r="CI85" s="838"/>
      <c r="CJ85" s="838"/>
      <c r="CK85" s="838"/>
      <c r="CL85" s="838"/>
      <c r="CM85" s="838"/>
      <c r="CN85" s="838"/>
      <c r="CO85" s="838"/>
      <c r="CP85" s="838"/>
      <c r="CQ85" s="838"/>
      <c r="CR85" s="838"/>
      <c r="CS85" s="838"/>
      <c r="CT85" s="838"/>
      <c r="CU85" s="838"/>
      <c r="CV85" s="697" t="str">
        <f>IFERROR(__xludf.DUMMYFUNCTION("""COMPUTED_VALUE"""),"wang, b., wang, h., li, l., zhang, x., yue, j., wang, g.,shi, x. &amp; xiao, f. (1987). Comparative efficacy ofthienpydin, pyrantel pamoate, mebendazole andalbendazole in treating ascariasis and enterobiasis.Chinese Medical Journal 100, 928–930.")</f>
        <v>wang, b., wang, h., li, l., zhang, x., yue, j., wang, g.,shi, x. &amp; xiao, f. (1987). Comparative efficacy ofthienpydin, pyrantel pamoate, mebendazole andalbendazole in treating ascariasis and enterobiasis.Chinese Medical Journal 100, 928–930.</v>
      </c>
    </row>
    <row r="86">
      <c r="A86" s="842" t="str">
        <f>IFERROR(__xludf.DUMMYFUNCTION("""COMPUTED_VALUE"""),"Muchiri et al.")</f>
        <v>Muchiri et al.</v>
      </c>
      <c r="B86" s="834" t="str">
        <f>IFERROR(__xludf.DUMMYFUNCTION("""COMPUTED_VALUE"""),"Kenya")</f>
        <v>Kenya</v>
      </c>
      <c r="C86" s="834" t="str">
        <f>IFERROR(__xludf.DUMMYFUNCTION("""COMPUTED_VALUE"""),"Mebendazole")</f>
        <v>Mebendazole</v>
      </c>
      <c r="D86" s="834" t="str">
        <f>IFERROR(__xludf.DUMMYFUNCTION("""COMPUTED_VALUE"""),"Single")</f>
        <v>Single</v>
      </c>
      <c r="E86" s="834" t="str">
        <f>IFERROR(__xludf.DUMMYFUNCTION("""COMPUTED_VALUE"""),"600 mg")</f>
        <v>600 mg</v>
      </c>
      <c r="F86" s="834" t="str">
        <f>IFERROR(__xludf.DUMMYFUNCTION("""COMPUTED_VALUE"""),"258/397")</f>
        <v>258/397</v>
      </c>
      <c r="G86" s="834">
        <f>IFERROR(__xludf.DUMMYFUNCTION("""COMPUTED_VALUE"""),10.3)</f>
        <v>10.3</v>
      </c>
      <c r="H86" s="839" t="str">
        <f>IFERROR(__xludf.DUMMYFUNCTION("""COMPUTED_VALUE"""),"196:201")</f>
        <v>196:201</v>
      </c>
      <c r="I86" s="834">
        <f>IFERROR(__xludf.DUMMYFUNCTION("""COMPUTED_VALUE"""),1997.0)</f>
        <v>1997</v>
      </c>
      <c r="J86" s="834"/>
      <c r="K86" s="839" t="str">
        <f>IFERROR(__xludf.DUMMYFUNCTION("""COMPUTED_VALUE"""),"randomized trial")</f>
        <v>randomized trial</v>
      </c>
      <c r="L86" s="839" t="str">
        <f>IFERROR(__xludf.DUMMYFUNCTION("""COMPUTED_VALUE"""),"Yes")</f>
        <v>Yes</v>
      </c>
      <c r="M86" s="839" t="str">
        <f>IFERROR(__xludf.DUMMYFUNCTION("""COMPUTED_VALUE"""),"No")</f>
        <v>No</v>
      </c>
      <c r="N86" s="840">
        <f>IFERROR(__xludf.DUMMYFUNCTION("""COMPUTED_VALUE"""),0.55)</f>
        <v>0.55</v>
      </c>
      <c r="O86" s="834"/>
      <c r="P86" s="834"/>
      <c r="Q86" s="840">
        <f>IFERROR(__xludf.DUMMYFUNCTION("""COMPUTED_VALUE"""),0.466)</f>
        <v>0.466</v>
      </c>
      <c r="R86" s="834"/>
      <c r="S86" s="834"/>
      <c r="T86" s="834"/>
      <c r="U86" s="834"/>
      <c r="V86" s="834"/>
      <c r="W86" s="840">
        <f>IFERROR(__xludf.DUMMYFUNCTION("""COMPUTED_VALUE"""),0.985)</f>
        <v>0.985</v>
      </c>
      <c r="X86" s="834"/>
      <c r="Y86" s="834"/>
      <c r="Z86" s="834"/>
      <c r="AA86" s="834"/>
      <c r="AB86" s="834"/>
      <c r="AC86" s="834"/>
      <c r="AD86" s="834"/>
      <c r="AE86" s="834" t="str">
        <f>IFERROR(__xludf.DUMMYFUNCTION("""COMPUTED_VALUE"""),"Overall, ALB resulted in staistically higher FECR and CR rates than MB even after 2 single doses of ALB given at 6-mo intervals, was compared with 2 or 3 doses of mebendazole.")</f>
        <v>Overall, ALB resulted in staistically higher FECR and CR rates than MB even after 2 single doses of ALB given at 6-mo intervals, was compared with 2 or 3 doses of mebendazole.</v>
      </c>
      <c r="AF86" s="834" t="str">
        <f>IFERROR(__xludf.DUMMYFUNCTION("""COMPUTED_VALUE"""),"Mebendazole600 mg 4 mo interval 3x")</f>
        <v>Mebendazole600 mg 4 mo interval 3x</v>
      </c>
      <c r="AG86" s="834" t="str">
        <f>IFERROR(__xludf.DUMMYFUNCTION("""COMPUTED_VALUE"""),"Muchiri, Eric M., Thiong'o, Fredrick W., Magnussen, Pascal and Ouma, John H. “A Comparative Study of Different Albendazoleand MebendazoleRegiments for the Treatment of Intestinal Infections in School Children of Usigu Division, Western Kenya”. Journal of "&amp;"Parasitology 87 (2001): 413-418. Web.")</f>
        <v>Muchiri, Eric M., Thiong'o, Fredrick W., Magnussen, Pascal and Ouma, John H. “A Comparative Study of Different Albendazoleand MebendazoleRegiments for the Treatment of Intestinal Infections in School Children of Usigu Division, Western Kenya”. Journal of Parasitology 87 (2001): 413-418. Web.</v>
      </c>
      <c r="AH86" s="834" t="str">
        <f>IFERROR(__xludf.DUMMYFUNCTION("""COMPUTED_VALUE"""),"x")</f>
        <v>x</v>
      </c>
      <c r="AJ86" s="843" t="str">
        <f>IFERROR(__xludf.DUMMYFUNCTION("""COMPUTED_VALUE"""),"Bartoloni et al.")</f>
        <v>Bartoloni et al.</v>
      </c>
      <c r="AK86" s="836"/>
      <c r="AL86" s="836" t="str">
        <f>IFERROR(__xludf.DUMMYFUNCTION("""COMPUTED_VALUE"""),"Bolivia")</f>
        <v>Bolivia</v>
      </c>
      <c r="AM86" s="836" t="str">
        <f>IFERROR(__xludf.DUMMYFUNCTION("""COMPUTED_VALUE"""),"Mebendazole")</f>
        <v>Mebendazole</v>
      </c>
      <c r="AN86" s="836" t="str">
        <f>IFERROR(__xludf.DUMMYFUNCTION("""COMPUTED_VALUE"""),"Single")</f>
        <v>Single</v>
      </c>
      <c r="AO86" s="836" t="str">
        <f>IFERROR(__xludf.DUMMYFUNCTION("""COMPUTED_VALUE"""),"500 mg")</f>
        <v>500 mg</v>
      </c>
      <c r="AP86" s="836">
        <f>IFERROR(__xludf.DUMMYFUNCTION("""COMPUTED_VALUE"""),10.0)</f>
        <v>10</v>
      </c>
      <c r="AQ86" s="836" t="str">
        <f>IFERROR(__xludf.DUMMYFUNCTION("""COMPUTED_VALUE"""),"2-9 years old")</f>
        <v>2-9 years old</v>
      </c>
      <c r="AR86" s="836"/>
      <c r="AS86" s="836">
        <f>IFERROR(__xludf.DUMMYFUNCTION("""COMPUTED_VALUE"""),1990.0)</f>
        <v>1990</v>
      </c>
      <c r="AT86" s="836"/>
      <c r="AU86" s="836" t="str">
        <f>IFERROR(__xludf.DUMMYFUNCTION("""COMPUTED_VALUE"""),"Yes")</f>
        <v>Yes</v>
      </c>
      <c r="AV86" s="836" t="str">
        <f>IFERROR(__xludf.DUMMYFUNCTION("""COMPUTED_VALUE"""),"No")</f>
        <v>No</v>
      </c>
      <c r="AW86" s="836" t="str">
        <f>IFERROR(__xludf.DUMMYFUNCTION("""COMPUTED_VALUE"""),"longitudinal study, randomized")</f>
        <v>longitudinal study, randomized</v>
      </c>
      <c r="AX86" s="850">
        <f>IFERROR(__xludf.DUMMYFUNCTION("""COMPUTED_VALUE"""),0.6)</f>
        <v>0.6</v>
      </c>
      <c r="AY86" s="836"/>
      <c r="AZ86" s="850">
        <f>IFERROR(__xludf.DUMMYFUNCTION("""COMPUTED_VALUE"""),0.6)</f>
        <v>0.6</v>
      </c>
      <c r="BA86" s="836"/>
      <c r="BB86" s="836"/>
      <c r="BC86" s="836"/>
      <c r="BD86" s="836"/>
      <c r="BE86" s="836"/>
      <c r="BF86" s="836"/>
      <c r="BG86" s="836"/>
      <c r="BH86" s="850">
        <f>IFERROR(__xludf.DUMMYFUNCTION("""COMPUTED_VALUE"""),0.15)</f>
        <v>0.15</v>
      </c>
      <c r="BI86" s="836"/>
      <c r="BJ86" s="836"/>
      <c r="BK86" s="836"/>
      <c r="BL86" s="836"/>
      <c r="BM86" s="836"/>
      <c r="BN86" s="836"/>
      <c r="BO86" s="836"/>
      <c r="BP86" s="836"/>
      <c r="BQ86" s="697">
        <f>IFERROR(__xludf.DUMMYFUNCTION("""COMPUTED_VALUE"""),85.0)</f>
        <v>85</v>
      </c>
      <c r="BR86" s="844" t="str">
        <f>IFERROR(__xludf.DUMMYFUNCTION("""COMPUTED_VALUE""")," Wang et al.")</f>
        <v> Wang et al.</v>
      </c>
      <c r="BS86" s="838" t="str">
        <f>IFERROR(__xludf.DUMMYFUNCTION("""COMPUTED_VALUE"""),"China")</f>
        <v>China</v>
      </c>
      <c r="BT86" s="838" t="str">
        <f>IFERROR(__xludf.DUMMYFUNCTION("""COMPUTED_VALUE"""),"Mebendazole &amp; Pyrantel Pamoate")</f>
        <v>Mebendazole &amp; Pyrantel Pamoate</v>
      </c>
      <c r="BU86" s="838"/>
      <c r="BV86" s="838" t="str">
        <f>IFERROR(__xludf.DUMMYFUNCTION("""COMPUTED_VALUE"""),"Single")</f>
        <v>Single</v>
      </c>
      <c r="BW86" s="838" t="str">
        <f>IFERROR(__xludf.DUMMYFUNCTION("""COMPUTED_VALUE"""),"100 mg; 200 mg ")</f>
        <v>100 mg; 200 mg </v>
      </c>
      <c r="BX86" s="838">
        <f>IFERROR(__xludf.DUMMYFUNCTION("""COMPUTED_VALUE"""),43.0)</f>
        <v>43</v>
      </c>
      <c r="BY86" s="838" t="str">
        <f>IFERROR(__xludf.DUMMYFUNCTION("""COMPUTED_VALUE"""),"16-25")</f>
        <v>16-25</v>
      </c>
      <c r="BZ86" s="838"/>
      <c r="CA86" s="838"/>
      <c r="CB86" s="838"/>
      <c r="CC86" s="838" t="str">
        <f>IFERROR(__xludf.DUMMYFUNCTION("""COMPUTED_VALUE"""),"No")</f>
        <v>No</v>
      </c>
      <c r="CD86" s="847">
        <f>IFERROR(__xludf.DUMMYFUNCTION("""COMPUTED_VALUE"""),0.977)</f>
        <v>0.977</v>
      </c>
      <c r="CE86" s="838" t="str">
        <f>IFERROR(__xludf.DUMMYFUNCTION("""COMPUTED_VALUE"""),"No")</f>
        <v>No</v>
      </c>
      <c r="CF86" s="838" t="str">
        <f>IFERROR(__xludf.DUMMYFUNCTION("""COMPUTED_VALUE"""),"97.7% (Day 10)")</f>
        <v>97.7% (Day 10)</v>
      </c>
      <c r="CG86" s="838"/>
      <c r="CH86" s="838"/>
      <c r="CI86" s="838"/>
      <c r="CJ86" s="838"/>
      <c r="CK86" s="838"/>
      <c r="CL86" s="838"/>
      <c r="CM86" s="838"/>
      <c r="CN86" s="838"/>
      <c r="CO86" s="838"/>
      <c r="CP86" s="838"/>
      <c r="CQ86" s="838"/>
      <c r="CR86" s="838"/>
      <c r="CS86" s="838"/>
      <c r="CT86" s="838"/>
      <c r="CU86" s="838"/>
      <c r="CV86" s="697" t="str">
        <f>IFERROR(__xludf.DUMMYFUNCTION("""COMPUTED_VALUE"""),"wang, b., wang, h., li, l., zhang, x., yue, j., wang, g.,shi, x. &amp; xiao, f. (1987). Comparative efficacy ofthienpydin, pyrantel pamoate, mebendazole andalbendazole in treating ascariasis and enterobiasis.Chinese Medical Journal 100, 928–930.")</f>
        <v>wang, b., wang, h., li, l., zhang, x., yue, j., wang, g.,shi, x. &amp; xiao, f. (1987). Comparative efficacy ofthienpydin, pyrantel pamoate, mebendazole andalbendazole in treating ascariasis and enterobiasis.Chinese Medical Journal 100, 928–930.</v>
      </c>
    </row>
    <row r="87">
      <c r="A87" s="842" t="str">
        <f>IFERROR(__xludf.DUMMYFUNCTION("""COMPUTED_VALUE"""),"Ndyomugyenyi et al.")</f>
        <v>Ndyomugyenyi et al.</v>
      </c>
      <c r="B87" s="834" t="str">
        <f>IFERROR(__xludf.DUMMYFUNCTION("""COMPUTED_VALUE"""),"Uganda")</f>
        <v>Uganda</v>
      </c>
      <c r="C87" s="834" t="str">
        <f>IFERROR(__xludf.DUMMYFUNCTION("""COMPUTED_VALUE"""),"Albendazole")</f>
        <v>Albendazole</v>
      </c>
      <c r="D87" s="834" t="str">
        <f>IFERROR(__xludf.DUMMYFUNCTION("""COMPUTED_VALUE"""),"Single")</f>
        <v>Single</v>
      </c>
      <c r="E87" s="834" t="str">
        <f>IFERROR(__xludf.DUMMYFUNCTION("""COMPUTED_VALUE"""),"400 mg")</f>
        <v>400 mg</v>
      </c>
      <c r="F87" s="834" t="str">
        <f>IFERROR(__xludf.DUMMYFUNCTION("""COMPUTED_VALUE"""),"186/834")</f>
        <v>186/834</v>
      </c>
      <c r="G87" s="834" t="str">
        <f>IFERROR(__xludf.DUMMYFUNCTION("""COMPUTED_VALUE"""),"Pregnant Women")</f>
        <v>Pregnant Women</v>
      </c>
      <c r="H87" s="839" t="str">
        <f>IFERROR(__xludf.DUMMYFUNCTION("""COMPUTED_VALUE"""),"0:1")</f>
        <v>0:1</v>
      </c>
      <c r="I87" s="834">
        <f>IFERROR(__xludf.DUMMYFUNCTION("""COMPUTED_VALUE"""),2008.0)</f>
        <v>2008</v>
      </c>
      <c r="J87" s="834" t="str">
        <f>IFERROR(__xludf.DUMMYFUNCTION("""COMPUTED_VALUE"""),"Pregnant Women of any parity attending prenatal care in their second trimester ")</f>
        <v>Pregnant Women of any parity attending prenatal care in their second trimester </v>
      </c>
      <c r="K87" s="839" t="str">
        <f>IFERROR(__xludf.DUMMYFUNCTION("""COMPUTED_VALUE"""),"open label ")</f>
        <v>open label </v>
      </c>
      <c r="L87" s="839" t="str">
        <f>IFERROR(__xludf.DUMMYFUNCTION("""COMPUTED_VALUE"""),"Yes")</f>
        <v>Yes</v>
      </c>
      <c r="M87" s="839" t="str">
        <f>IFERROR(__xludf.DUMMYFUNCTION("""COMPUTED_VALUE"""),"No")</f>
        <v>No</v>
      </c>
      <c r="N87" s="840">
        <f>IFERROR(__xludf.DUMMYFUNCTION("""COMPUTED_VALUE"""),0.955)</f>
        <v>0.955</v>
      </c>
      <c r="O87" s="834"/>
      <c r="P87" s="840">
        <f>IFERROR(__xludf.DUMMYFUNCTION("""COMPUTED_VALUE"""),0.955)</f>
        <v>0.955</v>
      </c>
      <c r="Q87" s="834"/>
      <c r="R87" s="834"/>
      <c r="S87" s="834"/>
      <c r="T87" s="834"/>
      <c r="U87" s="834"/>
      <c r="V87" s="834"/>
      <c r="W87" s="834"/>
      <c r="X87" s="834"/>
      <c r="Y87" s="834"/>
      <c r="Z87" s="834"/>
      <c r="AA87" s="834"/>
      <c r="AB87" s="834"/>
      <c r="AC87" s="834"/>
      <c r="AD87" s="834"/>
      <c r="AE87" s="834" t="str">
        <f>IFERROR(__xludf.DUMMYFUNCTION("""COMPUTED_VALUE"""),"Safe in pregnant women in the first trimester. No adverse reactions occurred in this study. IVM and ALB showed no signs of abnormalities or problems with the birth process. ")</f>
        <v>Safe in pregnant women in the first trimester. No adverse reactions occurred in this study. IVM and ALB showed no signs of abnormalities or problems with the birth process. </v>
      </c>
      <c r="AF87" s="834"/>
      <c r="AG87" s="834" t="str">
        <f>IFERROR(__xludf.DUMMYFUNCTION("""COMPUTED_VALUE"""),"Ndyomugyenyi, Richard, Narcis Kabatereine, Annette Olsen, and Pascal Magnussen. ""Efficacy of Ivermectin and AlbendazoleAone and in Combination for Treatment of Soil-Transmitted Helminths in Pregnancy and Adverse Events: A Randomized Open Label Controlled"&amp;" Intervention Trial in Masindi District, Western Uganda."" The American Society of Tropical Medicine and Hygiene 79.6 (2008): 856-63. Web.")</f>
        <v>Ndyomugyenyi, Richard, Narcis Kabatereine, Annette Olsen, and Pascal Magnussen. "Efficacy of Ivermectin and AlbendazoleAone and in Combination for Treatment of Soil-Transmitted Helminths in Pregnancy and Adverse Events: A Randomized Open Label Controlled Intervention Trial in Masindi District, Western Uganda." The American Society of Tropical Medicine and Hygiene 79.6 (2008): 856-63. Web.</v>
      </c>
      <c r="AH87" s="834" t="str">
        <f>IFERROR(__xludf.DUMMYFUNCTION("""COMPUTED_VALUE"""),"x")</f>
        <v>x</v>
      </c>
      <c r="AJ87" s="843" t="str">
        <f>IFERROR(__xludf.DUMMYFUNCTION("""COMPUTED_VALUE"""),"Jongsuksuntigul et al.")</f>
        <v>Jongsuksuntigul et al.</v>
      </c>
      <c r="AK87" s="836" t="str">
        <f>IFERROR(__xludf.DUMMYFUNCTION("""COMPUTED_VALUE"""),"Jongsuksuntigul, P., Jeradit, C., Pornpattanakul, S., and Charanasri, U. “A comparative study on the efficacy of Albendazoleand Mebendazolein the treatment of ascariasis, hookworm infection and trichuriasis.” The Southest Asian Journey of Tropical Medicin"&amp;"e and Public Health 24(4) (1994) 724-9. Web.")</f>
        <v>Jongsuksuntigul, P., Jeradit, C., Pornpattanakul, S., and Charanasri, U. “A comparative study on the efficacy of Albendazoleand Mebendazolein the treatment of ascariasis, hookworm infection and trichuriasis.” The Southest Asian Journey of Tropical Medicine and Public Health 24(4) (1994) 724-9. Web.</v>
      </c>
      <c r="AL87" s="836" t="str">
        <f>IFERROR(__xludf.DUMMYFUNCTION("""COMPUTED_VALUE"""),"Thailand")</f>
        <v>Thailand</v>
      </c>
      <c r="AM87" s="836" t="str">
        <f>IFERROR(__xludf.DUMMYFUNCTION("""COMPUTED_VALUE"""),"Mebendazole")</f>
        <v>Mebendazole</v>
      </c>
      <c r="AN87" s="836" t="str">
        <f>IFERROR(__xludf.DUMMYFUNCTION("""COMPUTED_VALUE"""),"Single")</f>
        <v>Single</v>
      </c>
      <c r="AO87" s="836" t="str">
        <f>IFERROR(__xludf.DUMMYFUNCTION("""COMPUTED_VALUE"""),"300 mg")</f>
        <v>300 mg</v>
      </c>
      <c r="AP87" s="836">
        <f>IFERROR(__xludf.DUMMYFUNCTION("""COMPUTED_VALUE"""),33.0)</f>
        <v>33</v>
      </c>
      <c r="AQ87" s="836" t="str">
        <f>IFERROR(__xludf.DUMMYFUNCTION("""COMPUTED_VALUE"""),"3-80 years old")</f>
        <v>3-80 years old</v>
      </c>
      <c r="AR87" s="836" t="str">
        <f>IFERROR(__xludf.DUMMYFUNCTION("""COMPUTED_VALUE"""),"98 males 98 females")</f>
        <v>98 males 98 females</v>
      </c>
      <c r="AS87" s="836">
        <f>IFERROR(__xludf.DUMMYFUNCTION("""COMPUTED_VALUE"""),1991.0)</f>
        <v>1991</v>
      </c>
      <c r="AT87" s="836"/>
      <c r="AU87" s="836" t="str">
        <f>IFERROR(__xludf.DUMMYFUNCTION("""COMPUTED_VALUE"""),"Yes")</f>
        <v>Yes</v>
      </c>
      <c r="AV87" s="836" t="str">
        <f>IFERROR(__xludf.DUMMYFUNCTION("""COMPUTED_VALUE"""),"No")</f>
        <v>No</v>
      </c>
      <c r="AW87" s="836" t="str">
        <f>IFERROR(__xludf.DUMMYFUNCTION("""COMPUTED_VALUE"""),"Randomized trial")</f>
        <v>Randomized trial</v>
      </c>
      <c r="AX87" s="850">
        <f>IFERROR(__xludf.DUMMYFUNCTION("""COMPUTED_VALUE"""),0.0)</f>
        <v>0</v>
      </c>
      <c r="AY87" s="850">
        <f>IFERROR(__xludf.DUMMYFUNCTION("""COMPUTED_VALUE"""),0.0)</f>
        <v>0</v>
      </c>
      <c r="AZ87" s="836"/>
      <c r="BA87" s="836"/>
      <c r="BB87" s="836"/>
      <c r="BC87" s="836"/>
      <c r="BD87" s="836"/>
      <c r="BE87" s="836"/>
      <c r="BF87" s="836"/>
      <c r="BG87" s="836"/>
      <c r="BH87" s="841">
        <f>IFERROR(__xludf.DUMMYFUNCTION("""COMPUTED_VALUE"""),0.283)</f>
        <v>0.283</v>
      </c>
      <c r="BI87" s="836"/>
      <c r="BJ87" s="836"/>
      <c r="BK87" s="836"/>
      <c r="BL87" s="836"/>
      <c r="BM87" s="836"/>
      <c r="BN87" s="836"/>
      <c r="BO87" s="836"/>
      <c r="BP87" s="836"/>
      <c r="BQ87" s="697">
        <f>IFERROR(__xludf.DUMMYFUNCTION("""COMPUTED_VALUE"""),86.0)</f>
        <v>86</v>
      </c>
      <c r="BR87" s="844" t="str">
        <f>IFERROR(__xludf.DUMMYFUNCTION("""COMPUTED_VALUE""")," Wang et al.")</f>
        <v> Wang et al.</v>
      </c>
      <c r="BS87" s="838" t="str">
        <f>IFERROR(__xludf.DUMMYFUNCTION("""COMPUTED_VALUE"""),"China")</f>
        <v>China</v>
      </c>
      <c r="BT87" s="838" t="str">
        <f>IFERROR(__xludf.DUMMYFUNCTION("""COMPUTED_VALUE"""),"Albendazole")</f>
        <v>Albendazole</v>
      </c>
      <c r="BU87" s="838"/>
      <c r="BV87" s="838" t="str">
        <f>IFERROR(__xludf.DUMMYFUNCTION("""COMPUTED_VALUE"""),"Single")</f>
        <v>Single</v>
      </c>
      <c r="BW87" s="838" t="str">
        <f>IFERROR(__xludf.DUMMYFUNCTION("""COMPUTED_VALUE"""),"400 mg")</f>
        <v>400 mg</v>
      </c>
      <c r="BX87" s="838">
        <f>IFERROR(__xludf.DUMMYFUNCTION("""COMPUTED_VALUE"""),41.0)</f>
        <v>41</v>
      </c>
      <c r="BY87" s="838" t="str">
        <f>IFERROR(__xludf.DUMMYFUNCTION("""COMPUTED_VALUE"""),"16-25")</f>
        <v>16-25</v>
      </c>
      <c r="BZ87" s="838"/>
      <c r="CA87" s="838"/>
      <c r="CB87" s="838"/>
      <c r="CC87" s="838" t="str">
        <f>IFERROR(__xludf.DUMMYFUNCTION("""COMPUTED_VALUE"""),"No")</f>
        <v>No</v>
      </c>
      <c r="CD87" s="847">
        <f>IFERROR(__xludf.DUMMYFUNCTION("""COMPUTED_VALUE"""),0.951)</f>
        <v>0.951</v>
      </c>
      <c r="CE87" s="838" t="str">
        <f>IFERROR(__xludf.DUMMYFUNCTION("""COMPUTED_VALUE"""),"No")</f>
        <v>No</v>
      </c>
      <c r="CF87" s="838" t="str">
        <f>IFERROR(__xludf.DUMMYFUNCTION("""COMPUTED_VALUE"""),"95.1% (Day 10)")</f>
        <v>95.1% (Day 10)</v>
      </c>
      <c r="CG87" s="838"/>
      <c r="CH87" s="838"/>
      <c r="CI87" s="838"/>
      <c r="CJ87" s="838"/>
      <c r="CK87" s="838"/>
      <c r="CL87" s="838"/>
      <c r="CM87" s="838"/>
      <c r="CN87" s="838"/>
      <c r="CO87" s="838"/>
      <c r="CP87" s="838"/>
      <c r="CQ87" s="838"/>
      <c r="CR87" s="838"/>
      <c r="CS87" s="838"/>
      <c r="CT87" s="838"/>
      <c r="CU87" s="838"/>
      <c r="CV87" s="697" t="str">
        <f>IFERROR(__xludf.DUMMYFUNCTION("""COMPUTED_VALUE"""),"wang, b., wang, h., li, l., zhang, x., yue, j., wang, g.,shi, x. &amp; xiao, f. (1987). Comparative efficacy ofthienpydin, pyrantel pamoate, mebendazole andalbendazole in treating ascariasis and enterobiasis.Chinese Medical Journal 100, 928–930.")</f>
        <v>wang, b., wang, h., li, l., zhang, x., yue, j., wang, g.,shi, x. &amp; xiao, f. (1987). Comparative efficacy ofthienpydin, pyrantel pamoate, mebendazole andalbendazole in treating ascariasis and enterobiasis.Chinese Medical Journal 100, 928–930.</v>
      </c>
    </row>
    <row r="88">
      <c r="A88" s="842" t="str">
        <f>IFERROR(__xludf.DUMMYFUNCTION("""COMPUTED_VALUE"""),"Ndyomugyenyi et al.")</f>
        <v>Ndyomugyenyi et al.</v>
      </c>
      <c r="B88" s="834" t="str">
        <f>IFERROR(__xludf.DUMMYFUNCTION("""COMPUTED_VALUE"""),"Uganda")</f>
        <v>Uganda</v>
      </c>
      <c r="C88" s="834" t="str">
        <f>IFERROR(__xludf.DUMMYFUNCTION("""COMPUTED_VALUE"""),"Ivermectin")</f>
        <v>Ivermectin</v>
      </c>
      <c r="D88" s="834" t="str">
        <f>IFERROR(__xludf.DUMMYFUNCTION("""COMPUTED_VALUE"""),"Single")</f>
        <v>Single</v>
      </c>
      <c r="E88" s="834" t="str">
        <f>IFERROR(__xludf.DUMMYFUNCTION("""COMPUTED_VALUE"""),"mg according to height")</f>
        <v>mg according to height</v>
      </c>
      <c r="F88" s="834" t="str">
        <f>IFERROR(__xludf.DUMMYFUNCTION("""COMPUTED_VALUE"""),"178/834")</f>
        <v>178/834</v>
      </c>
      <c r="G88" s="834"/>
      <c r="H88" s="834"/>
      <c r="I88" s="834">
        <f>IFERROR(__xludf.DUMMYFUNCTION("""COMPUTED_VALUE"""),2008.0)</f>
        <v>2008</v>
      </c>
      <c r="J88" s="834"/>
      <c r="K88" s="839" t="str">
        <f>IFERROR(__xludf.DUMMYFUNCTION("""COMPUTED_VALUE"""),"open label ")</f>
        <v>open label </v>
      </c>
      <c r="L88" s="839" t="str">
        <f>IFERROR(__xludf.DUMMYFUNCTION("""COMPUTED_VALUE"""),"Yes")</f>
        <v>Yes</v>
      </c>
      <c r="M88" s="839" t="str">
        <f>IFERROR(__xludf.DUMMYFUNCTION("""COMPUTED_VALUE"""),"No")</f>
        <v>No</v>
      </c>
      <c r="N88" s="840">
        <f>IFERROR(__xludf.DUMMYFUNCTION("""COMPUTED_VALUE"""),0.294)</f>
        <v>0.294</v>
      </c>
      <c r="O88" s="834"/>
      <c r="P88" s="840">
        <f>IFERROR(__xludf.DUMMYFUNCTION("""COMPUTED_VALUE"""),0.294)</f>
        <v>0.294</v>
      </c>
      <c r="Q88" s="834"/>
      <c r="R88" s="834"/>
      <c r="S88" s="834"/>
      <c r="T88" s="834"/>
      <c r="U88" s="834"/>
      <c r="V88" s="834"/>
      <c r="W88" s="834"/>
      <c r="X88" s="834"/>
      <c r="Y88" s="834"/>
      <c r="Z88" s="834"/>
      <c r="AA88" s="834"/>
      <c r="AB88" s="834"/>
      <c r="AC88" s="834"/>
      <c r="AD88" s="834"/>
      <c r="AE88" s="834" t="str">
        <f>IFERROR(__xludf.DUMMYFUNCTION("""COMPUTED_VALUE"""),"Safe in pregnant women in the first trimester. No adverse reactions occurred in this study. IVM and ALB showed no signs of abnormalities or problems with the birth process. ")</f>
        <v>Safe in pregnant women in the first trimester. No adverse reactions occurred in this study. IVM and ALB showed no signs of abnormalities or problems with the birth process. </v>
      </c>
      <c r="AF88" s="834"/>
      <c r="AG88" s="834" t="str">
        <f>IFERROR(__xludf.DUMMYFUNCTION("""COMPUTED_VALUE"""),"Ndyomugyenyi, Richard, Narcis Kabatereine, Annette Olsen, and Pascal Magnussen. ""Efficacy of Ivermectin and AlbendazoleAone and in Combination for Treatment of Soil-Transmitted Helminths in Pregnancy and Adverse Events: A Randomized Open Label Controlled"&amp;" Intervention Trial in Masindi District, Western Uganda."" The American Society of Tropical Medicine and Hygiene 79.6 (2008): 856-63. Web.")</f>
        <v>Ndyomugyenyi, Richard, Narcis Kabatereine, Annette Olsen, and Pascal Magnussen. "Efficacy of Ivermectin and AlbendazoleAone and in Combination for Treatment of Soil-Transmitted Helminths in Pregnancy and Adverse Events: A Randomized Open Label Controlled Intervention Trial in Masindi District, Western Uganda." The American Society of Tropical Medicine and Hygiene 79.6 (2008): 856-63. Web.</v>
      </c>
      <c r="AH88" s="834" t="str">
        <f>IFERROR(__xludf.DUMMYFUNCTION("""COMPUTED_VALUE"""),"x")</f>
        <v>x</v>
      </c>
      <c r="AJ88" s="843" t="str">
        <f>IFERROR(__xludf.DUMMYFUNCTION("""COMPUTED_VALUE"""),"Jongsuksuntigul et al.")</f>
        <v>Jongsuksuntigul et al.</v>
      </c>
      <c r="AK88" s="836"/>
      <c r="AL88" s="836" t="str">
        <f>IFERROR(__xludf.DUMMYFUNCTION("""COMPUTED_VALUE"""),"Thailand")</f>
        <v>Thailand</v>
      </c>
      <c r="AM88" s="836" t="str">
        <f>IFERROR(__xludf.DUMMYFUNCTION("""COMPUTED_VALUE"""),"Mebendazole")</f>
        <v>Mebendazole</v>
      </c>
      <c r="AN88" s="836" t="str">
        <f>IFERROR(__xludf.DUMMYFUNCTION("""COMPUTED_VALUE"""),"Single")</f>
        <v>Single</v>
      </c>
      <c r="AO88" s="836" t="str">
        <f>IFERROR(__xludf.DUMMYFUNCTION("""COMPUTED_VALUE"""),"300 mg")</f>
        <v>300 mg</v>
      </c>
      <c r="AP88" s="836">
        <f>IFERROR(__xludf.DUMMYFUNCTION("""COMPUTED_VALUE"""),30.0)</f>
        <v>30</v>
      </c>
      <c r="AQ88" s="836" t="str">
        <f>IFERROR(__xludf.DUMMYFUNCTION("""COMPUTED_VALUE"""),"3-80 years old")</f>
        <v>3-80 years old</v>
      </c>
      <c r="AR88" s="836" t="str">
        <f>IFERROR(__xludf.DUMMYFUNCTION("""COMPUTED_VALUE"""),"99 males 98 females")</f>
        <v>99 males 98 females</v>
      </c>
      <c r="AS88" s="836">
        <f>IFERROR(__xludf.DUMMYFUNCTION("""COMPUTED_VALUE"""),1991.0)</f>
        <v>1991</v>
      </c>
      <c r="AT88" s="836"/>
      <c r="AU88" s="836" t="str">
        <f>IFERROR(__xludf.DUMMYFUNCTION("""COMPUTED_VALUE"""),"Yes")</f>
        <v>Yes</v>
      </c>
      <c r="AV88" s="836" t="str">
        <f>IFERROR(__xludf.DUMMYFUNCTION("""COMPUTED_VALUE"""),"No")</f>
        <v>No</v>
      </c>
      <c r="AW88" s="836" t="str">
        <f>IFERROR(__xludf.DUMMYFUNCTION("""COMPUTED_VALUE"""),"Randomized trial")</f>
        <v>Randomized trial</v>
      </c>
      <c r="AX88" s="841">
        <f>IFERROR(__xludf.DUMMYFUNCTION("""COMPUTED_VALUE"""),0.433)</f>
        <v>0.433</v>
      </c>
      <c r="AY88" s="841">
        <f>IFERROR(__xludf.DUMMYFUNCTION("""COMPUTED_VALUE"""),0.433)</f>
        <v>0.433</v>
      </c>
      <c r="AZ88" s="836"/>
      <c r="BA88" s="836"/>
      <c r="BB88" s="836"/>
      <c r="BC88" s="836"/>
      <c r="BD88" s="836"/>
      <c r="BE88" s="836"/>
      <c r="BF88" s="836"/>
      <c r="BG88" s="836"/>
      <c r="BH88" s="841">
        <f>IFERROR(__xludf.DUMMYFUNCTION("""COMPUTED_VALUE"""),0.779)</f>
        <v>0.779</v>
      </c>
      <c r="BI88" s="836"/>
      <c r="BJ88" s="836"/>
      <c r="BK88" s="836"/>
      <c r="BL88" s="836"/>
      <c r="BM88" s="836"/>
      <c r="BN88" s="836"/>
      <c r="BO88" s="836"/>
      <c r="BP88" s="836"/>
      <c r="BQ88" s="697">
        <f>IFERROR(__xludf.DUMMYFUNCTION("""COMPUTED_VALUE"""),87.0)</f>
        <v>87</v>
      </c>
      <c r="BR88" s="844" t="str">
        <f>IFERROR(__xludf.DUMMYFUNCTION("""COMPUTED_VALUE""")," Wang et al.")</f>
        <v> Wang et al.</v>
      </c>
      <c r="BS88" s="838" t="str">
        <f>IFERROR(__xludf.DUMMYFUNCTION("""COMPUTED_VALUE"""),"China")</f>
        <v>China</v>
      </c>
      <c r="BT88" s="838" t="str">
        <f>IFERROR(__xludf.DUMMYFUNCTION("""COMPUTED_VALUE"""),"Albendazole")</f>
        <v>Albendazole</v>
      </c>
      <c r="BU88" s="838"/>
      <c r="BV88" s="838" t="str">
        <f>IFERROR(__xludf.DUMMYFUNCTION("""COMPUTED_VALUE"""),"Single")</f>
        <v>Single</v>
      </c>
      <c r="BW88" s="838" t="str">
        <f>IFERROR(__xludf.DUMMYFUNCTION("""COMPUTED_VALUE"""),"400 mg")</f>
        <v>400 mg</v>
      </c>
      <c r="BX88" s="838">
        <f>IFERROR(__xludf.DUMMYFUNCTION("""COMPUTED_VALUE"""),38.0)</f>
        <v>38</v>
      </c>
      <c r="BY88" s="838" t="str">
        <f>IFERROR(__xludf.DUMMYFUNCTION("""COMPUTED_VALUE"""),"16-25")</f>
        <v>16-25</v>
      </c>
      <c r="BZ88" s="838"/>
      <c r="CA88" s="838"/>
      <c r="CB88" s="838"/>
      <c r="CC88" s="838" t="str">
        <f>IFERROR(__xludf.DUMMYFUNCTION("""COMPUTED_VALUE"""),"No")</f>
        <v>No</v>
      </c>
      <c r="CD88" s="847">
        <f>IFERROR(__xludf.DUMMYFUNCTION("""COMPUTED_VALUE"""),0.895)</f>
        <v>0.895</v>
      </c>
      <c r="CE88" s="838" t="str">
        <f>IFERROR(__xludf.DUMMYFUNCTION("""COMPUTED_VALUE"""),"No")</f>
        <v>No</v>
      </c>
      <c r="CF88" s="838" t="str">
        <f>IFERROR(__xludf.DUMMYFUNCTION("""COMPUTED_VALUE"""),"89.5% (Day 10)")</f>
        <v>89.5% (Day 10)</v>
      </c>
      <c r="CG88" s="838"/>
      <c r="CH88" s="838"/>
      <c r="CI88" s="838"/>
      <c r="CJ88" s="838"/>
      <c r="CK88" s="838"/>
      <c r="CL88" s="838"/>
      <c r="CM88" s="838"/>
      <c r="CN88" s="838"/>
      <c r="CO88" s="838"/>
      <c r="CP88" s="838"/>
      <c r="CQ88" s="838"/>
      <c r="CR88" s="838"/>
      <c r="CS88" s="838"/>
      <c r="CT88" s="838"/>
      <c r="CU88" s="838"/>
      <c r="CV88" s="697" t="str">
        <f>IFERROR(__xludf.DUMMYFUNCTION("""COMPUTED_VALUE"""),"wang, b., wang, h., li, l., zhang, x., yue, j., wang, g.,shi, x. &amp; xiao, f. (1987). Comparative efficacy ofthienpydin, pyrantel pamoate, mebendazole andalbendazole in treating ascariasis and enterobiasis.Chinese Medical Journal 100, 928–930.")</f>
        <v>wang, b., wang, h., li, l., zhang, x., yue, j., wang, g.,shi, x. &amp; xiao, f. (1987). Comparative efficacy ofthienpydin, pyrantel pamoate, mebendazole andalbendazole in treating ascariasis and enterobiasis.Chinese Medical Journal 100, 928–930.</v>
      </c>
    </row>
    <row r="89">
      <c r="A89" s="842" t="str">
        <f>IFERROR(__xludf.DUMMYFUNCTION("""COMPUTED_VALUE"""),"Ndyomugyenyi et al.")</f>
        <v>Ndyomugyenyi et al.</v>
      </c>
      <c r="B89" s="834" t="str">
        <f>IFERROR(__xludf.DUMMYFUNCTION("""COMPUTED_VALUE"""),"Uganda")</f>
        <v>Uganda</v>
      </c>
      <c r="C89" s="834" t="str">
        <f>IFERROR(__xludf.DUMMYFUNCTION("""COMPUTED_VALUE"""),"Albendazole &amp; Ivermectin")</f>
        <v>Albendazole &amp; Ivermectin</v>
      </c>
      <c r="D89" s="834" t="str">
        <f>IFERROR(__xludf.DUMMYFUNCTION("""COMPUTED_VALUE"""),"Single")</f>
        <v>Single</v>
      </c>
      <c r="E89" s="834" t="str">
        <f>IFERROR(__xludf.DUMMYFUNCTION("""COMPUTED_VALUE"""),"400 mg; mg according to height")</f>
        <v>400 mg; mg according to height</v>
      </c>
      <c r="F89" s="834" t="str">
        <f>IFERROR(__xludf.DUMMYFUNCTION("""COMPUTED_VALUE"""),"190/834")</f>
        <v>190/834</v>
      </c>
      <c r="G89" s="834"/>
      <c r="H89" s="834"/>
      <c r="I89" s="834">
        <f>IFERROR(__xludf.DUMMYFUNCTION("""COMPUTED_VALUE"""),2008.0)</f>
        <v>2008</v>
      </c>
      <c r="J89" s="834"/>
      <c r="K89" s="839" t="str">
        <f>IFERROR(__xludf.DUMMYFUNCTION("""COMPUTED_VALUE"""),"open label ")</f>
        <v>open label </v>
      </c>
      <c r="L89" s="839" t="str">
        <f>IFERROR(__xludf.DUMMYFUNCTION("""COMPUTED_VALUE"""),"Yes")</f>
        <v>Yes</v>
      </c>
      <c r="M89" s="839" t="str">
        <f>IFERROR(__xludf.DUMMYFUNCTION("""COMPUTED_VALUE"""),"No")</f>
        <v>No</v>
      </c>
      <c r="N89" s="840">
        <f>IFERROR(__xludf.DUMMYFUNCTION("""COMPUTED_VALUE"""),0.926)</f>
        <v>0.926</v>
      </c>
      <c r="O89" s="834"/>
      <c r="P89" s="840">
        <f>IFERROR(__xludf.DUMMYFUNCTION("""COMPUTED_VALUE"""),0.926)</f>
        <v>0.926</v>
      </c>
      <c r="Q89" s="834"/>
      <c r="R89" s="834"/>
      <c r="S89" s="834"/>
      <c r="T89" s="834"/>
      <c r="U89" s="834"/>
      <c r="V89" s="834"/>
      <c r="W89" s="834"/>
      <c r="X89" s="834"/>
      <c r="Y89" s="834"/>
      <c r="Z89" s="834"/>
      <c r="AA89" s="834"/>
      <c r="AB89" s="834"/>
      <c r="AC89" s="834"/>
      <c r="AD89" s="834"/>
      <c r="AE89" s="834" t="str">
        <f>IFERROR(__xludf.DUMMYFUNCTION("""COMPUTED_VALUE"""),"Safe in pregnant women in the first trimester. No adverse reactions occurred in this study. IVM and ALB showed no signs of abnormalities or problems with the birth process. ")</f>
        <v>Safe in pregnant women in the first trimester. No adverse reactions occurred in this study. IVM and ALB showed no signs of abnormalities or problems with the birth process. </v>
      </c>
      <c r="AF89" s="834"/>
      <c r="AG89" s="834" t="str">
        <f>IFERROR(__xludf.DUMMYFUNCTION("""COMPUTED_VALUE"""),"Ndyomugyenyi, Richard, Narcis Kabatereine, Annette Olsen, and Pascal Magnussen. ""Efficacy of Ivermectin and AlbendazoleAone and in Combination for Treatment of Soil-Transmitted Helminths in Pregnancy and Adverse Events: A Randomized Open Label Controlled"&amp;" Intervention Trial in Masindi District, Western Uganda."" The American Society of Tropical Medicine and Hygiene 79.6 (2008): 856-63. Web.")</f>
        <v>Ndyomugyenyi, Richard, Narcis Kabatereine, Annette Olsen, and Pascal Magnussen. "Efficacy of Ivermectin and AlbendazoleAone and in Combination for Treatment of Soil-Transmitted Helminths in Pregnancy and Adverse Events: A Randomized Open Label Controlled Intervention Trial in Masindi District, Western Uganda." The American Society of Tropical Medicine and Hygiene 79.6 (2008): 856-63. Web.</v>
      </c>
      <c r="AH89" s="834" t="str">
        <f>IFERROR(__xludf.DUMMYFUNCTION("""COMPUTED_VALUE"""),"x")</f>
        <v>x</v>
      </c>
      <c r="AJ89" s="843" t="str">
        <f>IFERROR(__xludf.DUMMYFUNCTION("""COMPUTED_VALUE"""),"Jongsuksuntigul et al.")</f>
        <v>Jongsuksuntigul et al.</v>
      </c>
      <c r="AK89" s="836"/>
      <c r="AL89" s="836" t="str">
        <f>IFERROR(__xludf.DUMMYFUNCTION("""COMPUTED_VALUE"""),"Thailand")</f>
        <v>Thailand</v>
      </c>
      <c r="AM89" s="836" t="str">
        <f>IFERROR(__xludf.DUMMYFUNCTION("""COMPUTED_VALUE"""),"Mebendazole")</f>
        <v>Mebendazole</v>
      </c>
      <c r="AN89" s="836" t="str">
        <f>IFERROR(__xludf.DUMMYFUNCTION("""COMPUTED_VALUE"""),"Single")</f>
        <v>Single</v>
      </c>
      <c r="AO89" s="836" t="str">
        <f>IFERROR(__xludf.DUMMYFUNCTION("""COMPUTED_VALUE"""),"500 mg")</f>
        <v>500 mg</v>
      </c>
      <c r="AP89" s="836">
        <f>IFERROR(__xludf.DUMMYFUNCTION("""COMPUTED_VALUE"""),37.0)</f>
        <v>37</v>
      </c>
      <c r="AQ89" s="836" t="str">
        <f>IFERROR(__xludf.DUMMYFUNCTION("""COMPUTED_VALUE"""),"3-80 years old")</f>
        <v>3-80 years old</v>
      </c>
      <c r="AR89" s="836" t="str">
        <f>IFERROR(__xludf.DUMMYFUNCTION("""COMPUTED_VALUE"""),"100 males 98 females")</f>
        <v>100 males 98 females</v>
      </c>
      <c r="AS89" s="836">
        <f>IFERROR(__xludf.DUMMYFUNCTION("""COMPUTED_VALUE"""),1991.0)</f>
        <v>1991</v>
      </c>
      <c r="AT89" s="836"/>
      <c r="AU89" s="836" t="str">
        <f>IFERROR(__xludf.DUMMYFUNCTION("""COMPUTED_VALUE"""),"Yes")</f>
        <v>Yes</v>
      </c>
      <c r="AV89" s="836" t="str">
        <f>IFERROR(__xludf.DUMMYFUNCTION("""COMPUTED_VALUE"""),"No")</f>
        <v>No</v>
      </c>
      <c r="AW89" s="836" t="str">
        <f>IFERROR(__xludf.DUMMYFUNCTION("""COMPUTED_VALUE"""),"Randomized trial")</f>
        <v>Randomized trial</v>
      </c>
      <c r="AX89" s="841">
        <f>IFERROR(__xludf.DUMMYFUNCTION("""COMPUTED_VALUE"""),0.703)</f>
        <v>0.703</v>
      </c>
      <c r="AY89" s="841">
        <f>IFERROR(__xludf.DUMMYFUNCTION("""COMPUTED_VALUE"""),0.703)</f>
        <v>0.703</v>
      </c>
      <c r="AZ89" s="836"/>
      <c r="BA89" s="836"/>
      <c r="BB89" s="836"/>
      <c r="BC89" s="836"/>
      <c r="BD89" s="836"/>
      <c r="BE89" s="836"/>
      <c r="BF89" s="836"/>
      <c r="BG89" s="836"/>
      <c r="BH89" s="841">
        <f>IFERROR(__xludf.DUMMYFUNCTION("""COMPUTED_VALUE"""),0.899)</f>
        <v>0.899</v>
      </c>
      <c r="BI89" s="836"/>
      <c r="BJ89" s="836"/>
      <c r="BK89" s="836"/>
      <c r="BL89" s="836"/>
      <c r="BM89" s="836"/>
      <c r="BN89" s="836"/>
      <c r="BO89" s="836"/>
      <c r="BP89" s="836"/>
      <c r="BQ89" s="697">
        <f>IFERROR(__xludf.DUMMYFUNCTION("""COMPUTED_VALUE"""),88.0)</f>
        <v>88</v>
      </c>
      <c r="BR89" s="844" t="str">
        <f>IFERROR(__xludf.DUMMYFUNCTION("""COMPUTED_VALUE"""),"Fox et al.")</f>
        <v>Fox et al.</v>
      </c>
      <c r="BS89" s="838" t="str">
        <f>IFERROR(__xludf.DUMMYFUNCTION("""COMPUTED_VALUE"""),"Haiti")</f>
        <v>Haiti</v>
      </c>
      <c r="BT89" s="838" t="str">
        <f>IFERROR(__xludf.DUMMYFUNCTION("""COMPUTED_VALUE"""),"Placebo")</f>
        <v>Placebo</v>
      </c>
      <c r="BU89" s="838"/>
      <c r="BV89" s="838"/>
      <c r="BW89" s="838"/>
      <c r="BX89" s="838" t="str">
        <f>IFERROR(__xludf.DUMMYFUNCTION("""COMPUTED_VALUE"""),"97/306")</f>
        <v>97/306</v>
      </c>
      <c r="BY89" s="845">
        <f>IFERROR(__xludf.DUMMYFUNCTION("""COMPUTED_VALUE"""),42501.0)</f>
        <v>42501</v>
      </c>
      <c r="BZ89" s="838">
        <f>IFERROR(__xludf.DUMMYFUNCTION("""COMPUTED_VALUE"""),1998.0)</f>
        <v>1998</v>
      </c>
      <c r="CA89" s="838"/>
      <c r="CB89" s="838"/>
      <c r="CC89" s="838" t="str">
        <f>IFERROR(__xludf.DUMMYFUNCTION("""COMPUTED_VALUE"""),"Yes")</f>
        <v>Yes</v>
      </c>
      <c r="CD89" s="846">
        <f>IFERROR(__xludf.DUMMYFUNCTION("""COMPUTED_VALUE"""),0.05)</f>
        <v>0.05</v>
      </c>
      <c r="CE89" s="838" t="str">
        <f>IFERROR(__xludf.DUMMYFUNCTION("""COMPUTED_VALUE"""),"Yes")</f>
        <v>Yes</v>
      </c>
      <c r="CF89" s="838"/>
      <c r="CG89" s="838"/>
      <c r="CH89" s="838"/>
      <c r="CI89" s="838"/>
      <c r="CJ89" s="838"/>
      <c r="CK89" s="838"/>
      <c r="CL89" s="838"/>
      <c r="CM89" s="846">
        <f>IFERROR(__xludf.DUMMYFUNCTION("""COMPUTED_VALUE"""),0.117)</f>
        <v>0.117</v>
      </c>
      <c r="CN89" s="838"/>
      <c r="CO89" s="838"/>
      <c r="CP89" s="838"/>
      <c r="CQ89" s="838"/>
      <c r="CR89" s="838"/>
      <c r="CS89" s="838"/>
      <c r="CT89" s="838" t="str">
        <f>IFERROR(__xludf.DUMMYFUNCTION("""COMPUTED_VALUE"""),"Kato-Katz Method")</f>
        <v>Kato-Katz Method</v>
      </c>
      <c r="CU89" s="838"/>
      <c r="CV89" s="697" t="str">
        <f>IFERROR(__xludf.DUMMYFUNCTION("""COMPUTED_VALUE"""),"Fox, Leanne M., Bruce W. Furness, Jennifer K. Haser, Dardith Desire, Jean-Marc Brissau, Marie-Denise Milford, Jack Lafontant, Patrick J. Lammie, and Michael J. Beach. ""Tolerance and Efficacy of Combined Diethlcarbamazine and Albendazole for Treatment of "&amp;"Wuchereria Bancrofti and Intestinal Helminth Infections in Haitian Children."" The American Socie of Tropical Medicine and Hygiene 73.1 (2005): 115-21. Web.")</f>
        <v>Fox, Leanne M., Bruce W. Furness, Jennifer K. Haser, Dardith Desire, Jean-Marc Brissau, Marie-Denise Milford, Jack Lafontant, Patrick J. Lammie, and Michael J. Beach. "Tolerance and Efficacy of Combined Diethlcarbamazine and Albendazole for Treatment of Wuchereria Bancrofti and Intestinal Helminth Infections in Haitian Children." The American Socie of Tropical Medicine and Hygiene 73.1 (2005): 115-21. Web.</v>
      </c>
    </row>
    <row r="90">
      <c r="A90" s="842" t="str">
        <f>IFERROR(__xludf.DUMMYFUNCTION("""COMPUTED_VALUE"""),"Norhayati et al.")</f>
        <v>Norhayati et al.</v>
      </c>
      <c r="B90" s="834" t="str">
        <f>IFERROR(__xludf.DUMMYFUNCTION("""COMPUTED_VALUE"""),"Malaysia")</f>
        <v>Malaysia</v>
      </c>
      <c r="C90" s="834" t="str">
        <f>IFERROR(__xludf.DUMMYFUNCTION("""COMPUTED_VALUE"""),"Albendazole")</f>
        <v>Albendazole</v>
      </c>
      <c r="D90" s="834" t="str">
        <f>IFERROR(__xludf.DUMMYFUNCTION("""COMPUTED_VALUE"""),"Single")</f>
        <v>Single</v>
      </c>
      <c r="E90" s="834" t="str">
        <f>IFERROR(__xludf.DUMMYFUNCTION("""COMPUTED_VALUE"""),"400 mg")</f>
        <v>400 mg</v>
      </c>
      <c r="F90" s="834" t="str">
        <f>IFERROR(__xludf.DUMMYFUNCTION("""COMPUTED_VALUE"""),"123/205")</f>
        <v>123/205</v>
      </c>
      <c r="G90" s="849">
        <f>IFERROR(__xludf.DUMMYFUNCTION("""COMPUTED_VALUE"""),42382.0)</f>
        <v>42382</v>
      </c>
      <c r="H90" s="839" t="str">
        <f>IFERROR(__xludf.DUMMYFUNCTION("""COMPUTED_VALUE"""),"95:110")</f>
        <v>95:110</v>
      </c>
      <c r="I90" s="834">
        <f>IFERROR(__xludf.DUMMYFUNCTION("""COMPUTED_VALUE"""),1997.0)</f>
        <v>1997</v>
      </c>
      <c r="J90" s="834"/>
      <c r="K90" s="839" t="str">
        <f>IFERROR(__xludf.DUMMYFUNCTION("""COMPUTED_VALUE"""),"open trial")</f>
        <v>open trial</v>
      </c>
      <c r="L90" s="839" t="str">
        <f>IFERROR(__xludf.DUMMYFUNCTION("""COMPUTED_VALUE"""),"No")</f>
        <v>No</v>
      </c>
      <c r="M90" s="839" t="str">
        <f>IFERROR(__xludf.DUMMYFUNCTION("""COMPUTED_VALUE"""),"No")</f>
        <v>No</v>
      </c>
      <c r="N90" s="840">
        <f>IFERROR(__xludf.DUMMYFUNCTION("""COMPUTED_VALUE"""),0.931)</f>
        <v>0.931</v>
      </c>
      <c r="O90" s="834"/>
      <c r="P90" s="834"/>
      <c r="Q90" s="834" t="str">
        <f>IFERROR(__xludf.DUMMYFUNCTION("""COMPUTED_VALUE"""),"mild: 92.3%")</f>
        <v>mild: 92.3%</v>
      </c>
      <c r="R90" s="834"/>
      <c r="S90" s="834"/>
      <c r="T90" s="834"/>
      <c r="U90" s="834"/>
      <c r="V90" s="834" t="str">
        <f>IFERROR(__xludf.DUMMYFUNCTION("""COMPUTED_VALUE"""),"98.9%; mild: 80%, moderate: 100%")</f>
        <v>98.9%; mild: 80%, moderate: 100%</v>
      </c>
      <c r="W90" s="840">
        <f>IFERROR(__xludf.DUMMYFUNCTION("""COMPUTED_VALUE"""),0.966)</f>
        <v>0.966</v>
      </c>
      <c r="X90" s="834"/>
      <c r="Y90" s="834"/>
      <c r="Z90" s="834"/>
      <c r="AA90" s="834"/>
      <c r="AB90" s="834"/>
      <c r="AC90" s="834"/>
      <c r="AD90" s="834"/>
      <c r="AE90" s="834" t="str">
        <f>IFERROR(__xludf.DUMMYFUNCTION("""COMPUTED_VALUE"""),"Single dose ALB is the usual and comparable to other studies and most effective. It is also seen the single dose ALB is more effective in egg reduction rates rather then cure rates.")</f>
        <v>Single dose ALB is the usual and comparable to other studies and most effective. It is also seen the single dose ALB is more effective in egg reduction rates rather then cure rates.</v>
      </c>
      <c r="AF90" s="834" t="str">
        <f>IFERROR(__xludf.DUMMYFUNCTION("""COMPUTED_VALUE"""),"Kato-Katz Method")</f>
        <v>Kato-Katz Method</v>
      </c>
      <c r="AG90" s="834" t="str">
        <f>IFERROR(__xludf.DUMMYFUNCTION("""COMPUTED_VALUE"""),"Norhayati, M., P. Oothuman, O. Azizi, and MS Fatmah. ""Efficacy of Single Dose Albendazoleon the Prevalence and Intensity of Infection of Soil Transmitted Helminths in Orang Asli Children in Malaysia."" Department of Parasitology 28.3 (1997): 563-68. Web.")</f>
        <v>Norhayati, M., P. Oothuman, O. Azizi, and MS Fatmah. "Efficacy of Single Dose Albendazoleon the Prevalence and Intensity of Infection of Soil Transmitted Helminths in Orang Asli Children in Malaysia." Department of Parasitology 28.3 (1997): 563-68. Web.</v>
      </c>
      <c r="AH90" s="834" t="str">
        <f>IFERROR(__xludf.DUMMYFUNCTION("""COMPUTED_VALUE"""),"x")</f>
        <v>x</v>
      </c>
      <c r="AJ90" s="843" t="str">
        <f>IFERROR(__xludf.DUMMYFUNCTION("""COMPUTED_VALUE"""),"Jongsuksuntigul et al.")</f>
        <v>Jongsuksuntigul et al.</v>
      </c>
      <c r="AK90" s="836"/>
      <c r="AL90" s="836" t="str">
        <f>IFERROR(__xludf.DUMMYFUNCTION("""COMPUTED_VALUE"""),"Thailand")</f>
        <v>Thailand</v>
      </c>
      <c r="AM90" s="836" t="str">
        <f>IFERROR(__xludf.DUMMYFUNCTION("""COMPUTED_VALUE"""),"Albendazole")</f>
        <v>Albendazole</v>
      </c>
      <c r="AN90" s="836" t="str">
        <f>IFERROR(__xludf.DUMMYFUNCTION("""COMPUTED_VALUE"""),"Single")</f>
        <v>Single</v>
      </c>
      <c r="AO90" s="836" t="str">
        <f>IFERROR(__xludf.DUMMYFUNCTION("""COMPUTED_VALUE"""),"400 mg")</f>
        <v>400 mg</v>
      </c>
      <c r="AP90" s="836">
        <f>IFERROR(__xludf.DUMMYFUNCTION("""COMPUTED_VALUE"""),43.0)</f>
        <v>43</v>
      </c>
      <c r="AQ90" s="836" t="str">
        <f>IFERROR(__xludf.DUMMYFUNCTION("""COMPUTED_VALUE"""),"3-80 years old")</f>
        <v>3-80 years old</v>
      </c>
      <c r="AR90" s="836" t="str">
        <f>IFERROR(__xludf.DUMMYFUNCTION("""COMPUTED_VALUE"""),"101 males 98 females")</f>
        <v>101 males 98 females</v>
      </c>
      <c r="AS90" s="836">
        <f>IFERROR(__xludf.DUMMYFUNCTION("""COMPUTED_VALUE"""),1991.0)</f>
        <v>1991</v>
      </c>
      <c r="AT90" s="836"/>
      <c r="AU90" s="836" t="str">
        <f>IFERROR(__xludf.DUMMYFUNCTION("""COMPUTED_VALUE"""),"Yes")</f>
        <v>Yes</v>
      </c>
      <c r="AV90" s="836" t="str">
        <f>IFERROR(__xludf.DUMMYFUNCTION("""COMPUTED_VALUE"""),"No")</f>
        <v>No</v>
      </c>
      <c r="AW90" s="836" t="str">
        <f>IFERROR(__xludf.DUMMYFUNCTION("""COMPUTED_VALUE"""),"Randomized trial")</f>
        <v>Randomized trial</v>
      </c>
      <c r="AX90" s="841">
        <f>IFERROR(__xludf.DUMMYFUNCTION("""COMPUTED_VALUE"""),0.674)</f>
        <v>0.674</v>
      </c>
      <c r="AY90" s="841">
        <f>IFERROR(__xludf.DUMMYFUNCTION("""COMPUTED_VALUE"""),0.674)</f>
        <v>0.674</v>
      </c>
      <c r="AZ90" s="836"/>
      <c r="BA90" s="836"/>
      <c r="BB90" s="836"/>
      <c r="BC90" s="836"/>
      <c r="BD90" s="836"/>
      <c r="BE90" s="836"/>
      <c r="BF90" s="836"/>
      <c r="BG90" s="836"/>
      <c r="BH90" s="850">
        <f>IFERROR(__xludf.DUMMYFUNCTION("""COMPUTED_VALUE"""),0.87)</f>
        <v>0.87</v>
      </c>
      <c r="BI90" s="836"/>
      <c r="BJ90" s="836"/>
      <c r="BK90" s="836"/>
      <c r="BL90" s="836"/>
      <c r="BM90" s="836"/>
      <c r="BN90" s="836"/>
      <c r="BO90" s="836"/>
      <c r="BP90" s="836"/>
      <c r="BQ90" s="697">
        <f>IFERROR(__xludf.DUMMYFUNCTION("""COMPUTED_VALUE"""),89.0)</f>
        <v>89</v>
      </c>
      <c r="BR90" s="844" t="str">
        <f>IFERROR(__xludf.DUMMYFUNCTION("""COMPUTED_VALUE"""),"Fox et al.")</f>
        <v>Fox et al.</v>
      </c>
      <c r="BS90" s="838" t="str">
        <f>IFERROR(__xludf.DUMMYFUNCTION("""COMPUTED_VALUE"""),"Haiti")</f>
        <v>Haiti</v>
      </c>
      <c r="BT90" s="838" t="str">
        <f>IFERROR(__xludf.DUMMYFUNCTION("""COMPUTED_VALUE"""),"Albendazole")</f>
        <v>Albendazole</v>
      </c>
      <c r="BU90" s="838"/>
      <c r="BV90" s="838" t="str">
        <f>IFERROR(__xludf.DUMMYFUNCTION("""COMPUTED_VALUE"""),"Single")</f>
        <v>Single</v>
      </c>
      <c r="BW90" s="838" t="str">
        <f>IFERROR(__xludf.DUMMYFUNCTION("""COMPUTED_VALUE"""),"400 mg")</f>
        <v>400 mg</v>
      </c>
      <c r="BX90" s="838" t="str">
        <f>IFERROR(__xludf.DUMMYFUNCTION("""COMPUTED_VALUE"""),"91/320")</f>
        <v>91/320</v>
      </c>
      <c r="BY90" s="845">
        <f>IFERROR(__xludf.DUMMYFUNCTION("""COMPUTED_VALUE"""),42501.0)</f>
        <v>42501</v>
      </c>
      <c r="BZ90" s="838">
        <f>IFERROR(__xludf.DUMMYFUNCTION("""COMPUTED_VALUE"""),1998.0)</f>
        <v>1998</v>
      </c>
      <c r="CA90" s="838"/>
      <c r="CB90" s="838"/>
      <c r="CC90" s="838" t="str">
        <f>IFERROR(__xludf.DUMMYFUNCTION("""COMPUTED_VALUE"""),"Yes")</f>
        <v>Yes</v>
      </c>
      <c r="CD90" s="847">
        <f>IFERROR(__xludf.DUMMYFUNCTION("""COMPUTED_VALUE"""),0.968)</f>
        <v>0.968</v>
      </c>
      <c r="CE90" s="838" t="str">
        <f>IFERROR(__xludf.DUMMYFUNCTION("""COMPUTED_VALUE"""),"Yes")</f>
        <v>Yes</v>
      </c>
      <c r="CF90" s="838"/>
      <c r="CG90" s="838"/>
      <c r="CH90" s="838"/>
      <c r="CI90" s="838"/>
      <c r="CJ90" s="838"/>
      <c r="CK90" s="838"/>
      <c r="CL90" s="838"/>
      <c r="CM90" s="847">
        <f>IFERROR(__xludf.DUMMYFUNCTION("""COMPUTED_VALUE"""),0.998)</f>
        <v>0.998</v>
      </c>
      <c r="CN90" s="838"/>
      <c r="CO90" s="838"/>
      <c r="CP90" s="838"/>
      <c r="CQ90" s="838"/>
      <c r="CR90" s="838"/>
      <c r="CS90" s="838"/>
      <c r="CT90" s="838"/>
      <c r="CU90" s="838"/>
      <c r="CV90" s="697" t="str">
        <f>IFERROR(__xludf.DUMMYFUNCTION("""COMPUTED_VALUE"""),"Fox, Leanne M., Bruce W. Furness, Jennifer K. Haser, Dardith Desire, Jean-Marc Brissau, Marie-Denise Milford, Jack Lafontant, Patrick J. Lammie, and Michael J. Beach. ""Tolerance and Efficacy of Combined Diethlcarbamazine and Albendazole for Treatment of "&amp;"Wuchereria Bancrofti and Intestinal Helminth Infections in Haitian Children."" The American Socie of Tropical Medicine and Hygiene 73.1 (2005): 115-21. Web.")</f>
        <v>Fox, Leanne M., Bruce W. Furness, Jennifer K. Haser, Dardith Desire, Jean-Marc Brissau, Marie-Denise Milford, Jack Lafontant, Patrick J. Lammie, and Michael J. Beach. "Tolerance and Efficacy of Combined Diethlcarbamazine and Albendazole for Treatment of Wuchereria Bancrofti and Intestinal Helminth Infections in Haitian Children." The American Socie of Tropical Medicine and Hygiene 73.1 (2005): 115-21. Web.</v>
      </c>
    </row>
    <row r="91">
      <c r="A91" s="842" t="str">
        <f>IFERROR(__xludf.DUMMYFUNCTION("""COMPUTED_VALUE"""),"Prasad et al.")</f>
        <v>Prasad et al.</v>
      </c>
      <c r="B91" s="834" t="str">
        <f>IFERROR(__xludf.DUMMYFUNCTION("""COMPUTED_VALUE"""),"India")</f>
        <v>India</v>
      </c>
      <c r="C91" s="834" t="str">
        <f>IFERROR(__xludf.DUMMYFUNCTION("""COMPUTED_VALUE"""),"Albendazole")</f>
        <v>Albendazole</v>
      </c>
      <c r="D91" s="834" t="str">
        <f>IFERROR(__xludf.DUMMYFUNCTION("""COMPUTED_VALUE"""),"Single")</f>
        <v>Single</v>
      </c>
      <c r="E91" s="834" t="str">
        <f>IFERROR(__xludf.DUMMYFUNCTION("""COMPUTED_VALUE"""),"400 mg")</f>
        <v>400 mg</v>
      </c>
      <c r="F91" s="834" t="str">
        <f>IFERROR(__xludf.DUMMYFUNCTION("""COMPUTED_VALUE"""),"39/116")</f>
        <v>39/116</v>
      </c>
      <c r="G91" s="849">
        <f>IFERROR(__xludf.DUMMYFUNCTION("""COMPUTED_VALUE"""),42415.0)</f>
        <v>42415</v>
      </c>
      <c r="H91" s="839" t="str">
        <f>IFERROR(__xludf.DUMMYFUNCTION("""COMPUTED_VALUE"""),"75:41")</f>
        <v>75:41</v>
      </c>
      <c r="I91" s="834">
        <f>IFERROR(__xludf.DUMMYFUNCTION("""COMPUTED_VALUE"""),1985.0)</f>
        <v>1985</v>
      </c>
      <c r="J91" s="834" t="str">
        <f>IFERROR(__xludf.DUMMYFUNCTION("""COMPUTED_VALUE"""),"People who had received anthelmintics seven days before commencement of the present study, those who were acutely ill, and those having proteinura, allergic disorders, or hypersensitivity to any drug were excluded from the study.")</f>
        <v>People who had received anthelmintics seven days before commencement of the present study, those who were acutely ill, and those having proteinura, allergic disorders, or hypersensitivity to any drug were excluded from the study.</v>
      </c>
      <c r="K91" s="839" t="str">
        <f>IFERROR(__xludf.DUMMYFUNCTION("""COMPUTED_VALUE"""),"clinical trial")</f>
        <v>clinical trial</v>
      </c>
      <c r="L91" s="839" t="str">
        <f>IFERROR(__xludf.DUMMYFUNCTION("""COMPUTED_VALUE"""),"No")</f>
        <v>No</v>
      </c>
      <c r="M91" s="839" t="str">
        <f>IFERROR(__xludf.DUMMYFUNCTION("""COMPUTED_VALUE"""),"No")</f>
        <v>No</v>
      </c>
      <c r="N91" s="840">
        <f>IFERROR(__xludf.DUMMYFUNCTION("""COMPUTED_VALUE"""),0.872)</f>
        <v>0.872</v>
      </c>
      <c r="O91" s="834"/>
      <c r="P91" s="834"/>
      <c r="Q91" s="834"/>
      <c r="R91" s="834"/>
      <c r="S91" s="834"/>
      <c r="T91" s="834"/>
      <c r="U91" s="834"/>
      <c r="V91" s="834"/>
      <c r="W91" s="834" t="str">
        <f>IFERROR(__xludf.DUMMYFUNCTION("""COMPUTED_VALUE"""),"90-95%")</f>
        <v>90-95%</v>
      </c>
      <c r="X91" s="834"/>
      <c r="Y91" s="834"/>
      <c r="Z91" s="834"/>
      <c r="AA91" s="834"/>
      <c r="AB91" s="834"/>
      <c r="AC91" s="834"/>
      <c r="AD91" s="834"/>
      <c r="AE91" s="834" t="str">
        <f>IFERROR(__xludf.DUMMYFUNCTION("""COMPUTED_VALUE"""),"Albendazolesuspension was found to be a well tolerated and effective anthelmintic in single-dose theraphy against common helminthic infections.")</f>
        <v>Albendazolesuspension was found to be a well tolerated and effective anthelmintic in single-dose theraphy against common helminthic infections.</v>
      </c>
      <c r="AF91" s="834" t="str">
        <f>IFERROR(__xludf.DUMMYFUNCTION("""COMPUTED_VALUE"""),"Kato-Katz Method")</f>
        <v>Kato-Katz Method</v>
      </c>
      <c r="AG91" s="834" t="str">
        <f>IFERROR(__xludf.DUMMYFUNCTION("""COMPUTED_VALUE"""),"Prasad R, Mathur PP, Tanega VK &amp; Jagota SC. ""Albendazolein the Treatment of Intestinal Helminthiasis in Children:"". Clinical Therapeutics (1985): 164-168. Web.")</f>
        <v>Prasad R, Mathur PP, Tanega VK &amp; Jagota SC. "Albendazolein the Treatment of Intestinal Helminthiasis in Children:". Clinical Therapeutics (1985): 164-168. Web.</v>
      </c>
      <c r="AH91" s="834" t="str">
        <f>IFERROR(__xludf.DUMMYFUNCTION("""COMPUTED_VALUE"""),"x")</f>
        <v>x</v>
      </c>
      <c r="AJ91" s="843" t="str">
        <f>IFERROR(__xludf.DUMMYFUNCTION("""COMPUTED_VALUE"""),"Muchiri et al.")</f>
        <v>Muchiri et al.</v>
      </c>
      <c r="AK91" s="836" t="str">
        <f>IFERROR(__xludf.DUMMYFUNCTION("""COMPUTED_VALUE"""),"Muchiri, Eric M., Thiong'o, Fredrick W., Magnussen, Pascal and Ouma, John H. “A Comparative Study of Different Albendazoleand MebendazoleRegiments for the Treatment of Intestinal Infections in School Children of Usigu Division, Western Kenya”. Journal of "&amp;"Parasitology 87 (2001): 413-418. Web.")</f>
        <v>Muchiri, Eric M., Thiong'o, Fredrick W., Magnussen, Pascal and Ouma, John H. “A Comparative Study of Different Albendazoleand MebendazoleRegiments for the Treatment of Intestinal Infections in School Children of Usigu Division, Western Kenya”. Journal of Parasitology 87 (2001): 413-418. Web.</v>
      </c>
      <c r="AL91" s="836" t="str">
        <f>IFERROR(__xludf.DUMMYFUNCTION("""COMPUTED_VALUE"""),"Kenya")</f>
        <v>Kenya</v>
      </c>
      <c r="AM91" s="836" t="str">
        <f>IFERROR(__xludf.DUMMYFUNCTION("""COMPUTED_VALUE"""),"Albendazole")</f>
        <v>Albendazole</v>
      </c>
      <c r="AN91" s="836" t="str">
        <f>IFERROR(__xludf.DUMMYFUNCTION("""COMPUTED_VALUE"""),"Single")</f>
        <v>Single</v>
      </c>
      <c r="AO91" s="836" t="str">
        <f>IFERROR(__xludf.DUMMYFUNCTION("""COMPUTED_VALUE"""),"600 mg")</f>
        <v>600 mg</v>
      </c>
      <c r="AP91" s="836" t="str">
        <f>IFERROR(__xludf.DUMMYFUNCTION("""COMPUTED_VALUE"""),"87/373")</f>
        <v>87/373</v>
      </c>
      <c r="AQ91" s="836" t="str">
        <f>IFERROR(__xludf.DUMMYFUNCTION("""COMPUTED_VALUE"""),"4-19 years old")</f>
        <v>4-19 years old</v>
      </c>
      <c r="AR91" s="836" t="str">
        <f>IFERROR(__xludf.DUMMYFUNCTION("""COMPUTED_VALUE"""),"164 female; 209 male")</f>
        <v>164 female; 209 male</v>
      </c>
      <c r="AS91" s="836">
        <f>IFERROR(__xludf.DUMMYFUNCTION("""COMPUTED_VALUE"""),1997.0)</f>
        <v>1997</v>
      </c>
      <c r="AT91" s="836"/>
      <c r="AU91" s="836" t="str">
        <f>IFERROR(__xludf.DUMMYFUNCTION("""COMPUTED_VALUE"""),"Yes")</f>
        <v>Yes</v>
      </c>
      <c r="AV91" s="836" t="str">
        <f>IFERROR(__xludf.DUMMYFUNCTION("""COMPUTED_VALUE"""),"No")</f>
        <v>No</v>
      </c>
      <c r="AW91" s="836" t="str">
        <f>IFERROR(__xludf.DUMMYFUNCTION("""COMPUTED_VALUE"""),"randomized trial (by school)")</f>
        <v>randomized trial (by school)</v>
      </c>
      <c r="AX91" s="836"/>
      <c r="AY91" s="836"/>
      <c r="AZ91" s="836"/>
      <c r="BA91" s="836"/>
      <c r="BB91" s="836"/>
      <c r="BC91" s="836"/>
      <c r="BD91" s="836"/>
      <c r="BE91" s="836"/>
      <c r="BF91" s="836"/>
      <c r="BG91" s="841">
        <f>IFERROR(__xludf.DUMMYFUNCTION("""COMPUTED_VALUE"""),0.678)</f>
        <v>0.678</v>
      </c>
      <c r="BH91" s="850">
        <f>IFERROR(__xludf.DUMMYFUNCTION("""COMPUTED_VALUE"""),0.905)</f>
        <v>0.905</v>
      </c>
      <c r="BI91" s="836"/>
      <c r="BJ91" s="836"/>
      <c r="BK91" s="836"/>
      <c r="BL91" s="836"/>
      <c r="BM91" s="836"/>
      <c r="BN91" s="836"/>
      <c r="BO91" s="836" t="str">
        <f>IFERROR(__xludf.DUMMYFUNCTION("""COMPUTED_VALUE"""),"Modified Kato-Katz Method")</f>
        <v>Modified Kato-Katz Method</v>
      </c>
      <c r="BP91" s="836"/>
      <c r="BQ91" s="697">
        <f>IFERROR(__xludf.DUMMYFUNCTION("""COMPUTED_VALUE"""),90.0)</f>
        <v>90</v>
      </c>
      <c r="BR91" s="844" t="str">
        <f>IFERROR(__xludf.DUMMYFUNCTION("""COMPUTED_VALUE"""),"Fox et al.")</f>
        <v>Fox et al.</v>
      </c>
      <c r="BS91" s="838" t="str">
        <f>IFERROR(__xludf.DUMMYFUNCTION("""COMPUTED_VALUE"""),"Haiti")</f>
        <v>Haiti</v>
      </c>
      <c r="BT91" s="838" t="str">
        <f>IFERROR(__xludf.DUMMYFUNCTION("""COMPUTED_VALUE"""),"Diethylcarbamazine")</f>
        <v>Diethylcarbamazine</v>
      </c>
      <c r="BU91" s="838"/>
      <c r="BV91" s="838" t="str">
        <f>IFERROR(__xludf.DUMMYFUNCTION("""COMPUTED_VALUE"""),"Single")</f>
        <v>Single</v>
      </c>
      <c r="BW91" s="838" t="str">
        <f>IFERROR(__xludf.DUMMYFUNCTION("""COMPUTED_VALUE"""),"6 mg")</f>
        <v>6 mg</v>
      </c>
      <c r="BX91" s="838" t="str">
        <f>IFERROR(__xludf.DUMMYFUNCTION("""COMPUTED_VALUE"""),"88/313")</f>
        <v>88/313</v>
      </c>
      <c r="BY91" s="845">
        <f>IFERROR(__xludf.DUMMYFUNCTION("""COMPUTED_VALUE"""),42501.0)</f>
        <v>42501</v>
      </c>
      <c r="BZ91" s="838">
        <f>IFERROR(__xludf.DUMMYFUNCTION("""COMPUTED_VALUE"""),1998.0)</f>
        <v>1998</v>
      </c>
      <c r="CA91" s="838"/>
      <c r="CB91" s="838"/>
      <c r="CC91" s="838" t="str">
        <f>IFERROR(__xludf.DUMMYFUNCTION("""COMPUTED_VALUE"""),"Yes")</f>
        <v>Yes</v>
      </c>
      <c r="CD91" s="847">
        <f>IFERROR(__xludf.DUMMYFUNCTION("""COMPUTED_VALUE"""),0.171)</f>
        <v>0.171</v>
      </c>
      <c r="CE91" s="838" t="str">
        <f>IFERROR(__xludf.DUMMYFUNCTION("""COMPUTED_VALUE"""),"Yes")</f>
        <v>Yes</v>
      </c>
      <c r="CF91" s="838"/>
      <c r="CG91" s="838"/>
      <c r="CH91" s="838"/>
      <c r="CI91" s="838"/>
      <c r="CJ91" s="838"/>
      <c r="CK91" s="838"/>
      <c r="CL91" s="838"/>
      <c r="CM91" s="847">
        <f>IFERROR(__xludf.DUMMYFUNCTION("""COMPUTED_VALUE"""),0.18)</f>
        <v>0.18</v>
      </c>
      <c r="CN91" s="838"/>
      <c r="CO91" s="838"/>
      <c r="CP91" s="838"/>
      <c r="CQ91" s="838"/>
      <c r="CR91" s="838"/>
      <c r="CS91" s="838"/>
      <c r="CT91" s="838"/>
      <c r="CU91" s="838"/>
      <c r="CV91" s="697" t="str">
        <f>IFERROR(__xludf.DUMMYFUNCTION("""COMPUTED_VALUE"""),"Fox, Leanne M., Bruce W. Furness, Jennifer K. Haser, Dardith Desire, Jean-Marc Brissau, Marie-Denise Milford, Jack Lafontant, Patrick J. Lammie, and Michael J. Beach. ""Tolerance and Efficacy of Combined Diethlcarbamazine and Albendazole for Treatment of "&amp;"Wuchereria Bancrofti and Intestinal Helminth Infections in Haitian Children."" The American Socie of Tropical Medicine and Hygiene 73.1 (2005): 115-21. Web.")</f>
        <v>Fox, Leanne M., Bruce W. Furness, Jennifer K. Haser, Dardith Desire, Jean-Marc Brissau, Marie-Denise Milford, Jack Lafontant, Patrick J. Lammie, and Michael J. Beach. "Tolerance and Efficacy of Combined Diethlcarbamazine and Albendazole for Treatment of Wuchereria Bancrofti and Intestinal Helminth Infections in Haitian Children." The American Socie of Tropical Medicine and Hygiene 73.1 (2005): 115-21. Web.</v>
      </c>
    </row>
    <row r="92">
      <c r="A92" s="842" t="str">
        <f>IFERROR(__xludf.DUMMYFUNCTION("""COMPUTED_VALUE"""),"Pugh et al.")</f>
        <v>Pugh et al.</v>
      </c>
      <c r="B92" s="834" t="str">
        <f>IFERROR(__xludf.DUMMYFUNCTION("""COMPUTED_VALUE"""),"Malawi")</f>
        <v>Malawi</v>
      </c>
      <c r="C92" s="834" t="str">
        <f>IFERROR(__xludf.DUMMYFUNCTION("""COMPUTED_VALUE"""),"Placebo (Vit C)")</f>
        <v>Placebo (Vit C)</v>
      </c>
      <c r="D92" s="834"/>
      <c r="E92" s="834"/>
      <c r="F92" s="834">
        <f>IFERROR(__xludf.DUMMYFUNCTION("""COMPUTED_VALUE"""),25.0)</f>
        <v>25</v>
      </c>
      <c r="G92" s="834">
        <f>IFERROR(__xludf.DUMMYFUNCTION("""COMPUTED_VALUE"""),11.2)</f>
        <v>11.2</v>
      </c>
      <c r="H92" s="834"/>
      <c r="I92" s="834">
        <f>IFERROR(__xludf.DUMMYFUNCTION("""COMPUTED_VALUE"""),1986.0)</f>
        <v>1986</v>
      </c>
      <c r="J92" s="834"/>
      <c r="K92" s="839" t="str">
        <f>IFERROR(__xludf.DUMMYFUNCTION("""COMPUTED_VALUE"""),"Blind trial randomized")</f>
        <v>Blind trial randomized</v>
      </c>
      <c r="L92" s="839" t="str">
        <f>IFERROR(__xludf.DUMMYFUNCTION("""COMPUTED_VALUE"""),"Yes")</f>
        <v>Yes</v>
      </c>
      <c r="M92" s="839" t="str">
        <f>IFERROR(__xludf.DUMMYFUNCTION("""COMPUTED_VALUE"""),"Yes")</f>
        <v>Yes</v>
      </c>
      <c r="N92" s="834" t="str">
        <f>IFERROR(__xludf.DUMMYFUNCTION("""COMPUTED_VALUE"""),"4.6% (increase)")</f>
        <v>4.6% (increase)</v>
      </c>
      <c r="O92" s="834"/>
      <c r="P92" s="834"/>
      <c r="Q92" s="834"/>
      <c r="R92" s="834"/>
      <c r="S92" s="834"/>
      <c r="T92" s="834"/>
      <c r="U92" s="834"/>
      <c r="V92" s="834"/>
      <c r="W92" s="834" t="str">
        <f>IFERROR(__xludf.DUMMYFUNCTION("""COMPUTED_VALUE"""),"4.6% (increase)")</f>
        <v>4.6% (increase)</v>
      </c>
      <c r="X92" s="834"/>
      <c r="Y92" s="834"/>
      <c r="Z92" s="834"/>
      <c r="AA92" s="834"/>
      <c r="AB92" s="834"/>
      <c r="AC92" s="834"/>
      <c r="AD92" s="834"/>
      <c r="AE92" s="834" t="str">
        <f>IFERROR(__xludf.DUMMYFUNCTION("""COMPUTED_VALUE"""),"We conclude that AlbendazoleIs hlghly recommended for the convenient treatment of intestinal helminth infections, particularly those that include hookworm.")</f>
        <v>We conclude that AlbendazoleIs hlghly recommended for the convenient treatment of intestinal helminth infections, particularly those that include hookworm.</v>
      </c>
      <c r="AF92" s="834" t="str">
        <f>IFERROR(__xludf.DUMMYFUNCTION("""COMPUTED_VALUE"""),"Kato-Katz Method")</f>
        <v>Kato-Katz Method</v>
      </c>
      <c r="AG92" s="834" t="str">
        <f>IFERROR(__xludf.DUMMYFUNCTION("""COMPUTED_VALUE"""),"Pugh RN, Teesdale CH, &amp; Burnham GM. “Albendazolein children with hookworm infection”. Anna Trop Med Parasitol (1986): 565-567. Web.")</f>
        <v>Pugh RN, Teesdale CH, &amp; Burnham GM. “Albendazolein children with hookworm infection”. Anna Trop Med Parasitol (1986): 565-567. Web.</v>
      </c>
      <c r="AH92" s="834"/>
      <c r="AJ92" s="843" t="str">
        <f>IFERROR(__xludf.DUMMYFUNCTION("""COMPUTED_VALUE"""),"Muchiri et al.")</f>
        <v>Muchiri et al.</v>
      </c>
      <c r="AK92" s="836"/>
      <c r="AL92" s="836" t="str">
        <f>IFERROR(__xludf.DUMMYFUNCTION("""COMPUTED_VALUE"""),"Kenya")</f>
        <v>Kenya</v>
      </c>
      <c r="AM92" s="836" t="str">
        <f>IFERROR(__xludf.DUMMYFUNCTION("""COMPUTED_VALUE"""),"Mebendazole")</f>
        <v>Mebendazole</v>
      </c>
      <c r="AN92" s="836" t="str">
        <f>IFERROR(__xludf.DUMMYFUNCTION("""COMPUTED_VALUE"""),"Single")</f>
        <v>Single</v>
      </c>
      <c r="AO92" s="836" t="str">
        <f>IFERROR(__xludf.DUMMYFUNCTION("""COMPUTED_VALUE"""),"600 mg")</f>
        <v>600 mg</v>
      </c>
      <c r="AP92" s="836" t="str">
        <f>IFERROR(__xludf.DUMMYFUNCTION("""COMPUTED_VALUE"""),"127/416")</f>
        <v>127/416</v>
      </c>
      <c r="AQ92" s="836" t="str">
        <f>IFERROR(__xludf.DUMMYFUNCTION("""COMPUTED_VALUE"""),"4-19 years old")</f>
        <v>4-19 years old</v>
      </c>
      <c r="AR92" s="836" t="str">
        <f>IFERROR(__xludf.DUMMYFUNCTION("""COMPUTED_VALUE"""),"195 female; 221 male")</f>
        <v>195 female; 221 male</v>
      </c>
      <c r="AS92" s="836">
        <f>IFERROR(__xludf.DUMMYFUNCTION("""COMPUTED_VALUE"""),1997.0)</f>
        <v>1997</v>
      </c>
      <c r="AT92" s="836"/>
      <c r="AU92" s="836" t="str">
        <f>IFERROR(__xludf.DUMMYFUNCTION("""COMPUTED_VALUE"""),"Yes")</f>
        <v>Yes</v>
      </c>
      <c r="AV92" s="836" t="str">
        <f>IFERROR(__xludf.DUMMYFUNCTION("""COMPUTED_VALUE"""),"No")</f>
        <v>No</v>
      </c>
      <c r="AW92" s="836" t="str">
        <f>IFERROR(__xludf.DUMMYFUNCTION("""COMPUTED_VALUE"""),"randomized trial (by school)")</f>
        <v>randomized trial (by school)</v>
      </c>
      <c r="AX92" s="836"/>
      <c r="AY92" s="836"/>
      <c r="AZ92" s="836"/>
      <c r="BA92" s="836"/>
      <c r="BB92" s="836"/>
      <c r="BC92" s="836"/>
      <c r="BD92" s="836"/>
      <c r="BE92" s="836"/>
      <c r="BF92" s="836"/>
      <c r="BG92" s="841">
        <f>IFERROR(__xludf.DUMMYFUNCTION("""COMPUTED_VALUE"""),0.606)</f>
        <v>0.606</v>
      </c>
      <c r="BH92" s="850">
        <f>IFERROR(__xludf.DUMMYFUNCTION("""COMPUTED_VALUE"""),0.934)</f>
        <v>0.934</v>
      </c>
      <c r="BI92" s="836"/>
      <c r="BJ92" s="836"/>
      <c r="BK92" s="836"/>
      <c r="BL92" s="836"/>
      <c r="BM92" s="836"/>
      <c r="BN92" s="836"/>
      <c r="BO92" s="836"/>
      <c r="BP92" s="836"/>
      <c r="BQ92" s="697">
        <f>IFERROR(__xludf.DUMMYFUNCTION("""COMPUTED_VALUE"""),91.0)</f>
        <v>91</v>
      </c>
      <c r="BR92" s="844" t="str">
        <f>IFERROR(__xludf.DUMMYFUNCTION("""COMPUTED_VALUE"""),"Fox et al.")</f>
        <v>Fox et al.</v>
      </c>
      <c r="BS92" s="838" t="str">
        <f>IFERROR(__xludf.DUMMYFUNCTION("""COMPUTED_VALUE"""),"Haiti")</f>
        <v>Haiti</v>
      </c>
      <c r="BT92" s="838" t="str">
        <f>IFERROR(__xludf.DUMMYFUNCTION("""COMPUTED_VALUE"""),"Albendazole &amp; Diethylcarbamazine")</f>
        <v>Albendazole &amp; Diethylcarbamazine</v>
      </c>
      <c r="BU92" s="838"/>
      <c r="BV92" s="838" t="str">
        <f>IFERROR(__xludf.DUMMYFUNCTION("""COMPUTED_VALUE"""),"Single")</f>
        <v>Single</v>
      </c>
      <c r="BW92" s="838" t="str">
        <f>IFERROR(__xludf.DUMMYFUNCTION("""COMPUTED_VALUE"""),"400 mg; 6 mg")</f>
        <v>400 mg; 6 mg</v>
      </c>
      <c r="BX92" s="838" t="str">
        <f>IFERROR(__xludf.DUMMYFUNCTION("""COMPUTED_VALUE"""),"107/310")</f>
        <v>107/310</v>
      </c>
      <c r="BY92" s="845">
        <f>IFERROR(__xludf.DUMMYFUNCTION("""COMPUTED_VALUE"""),42501.0)</f>
        <v>42501</v>
      </c>
      <c r="BZ92" s="838">
        <f>IFERROR(__xludf.DUMMYFUNCTION("""COMPUTED_VALUE"""),1998.0)</f>
        <v>1998</v>
      </c>
      <c r="CA92" s="838"/>
      <c r="CB92" s="838"/>
      <c r="CC92" s="838" t="str">
        <f>IFERROR(__xludf.DUMMYFUNCTION("""COMPUTED_VALUE"""),"Yes")</f>
        <v>Yes</v>
      </c>
      <c r="CD92" s="847">
        <f>IFERROR(__xludf.DUMMYFUNCTION("""COMPUTED_VALUE"""),0.933)</f>
        <v>0.933</v>
      </c>
      <c r="CE92" s="838" t="str">
        <f>IFERROR(__xludf.DUMMYFUNCTION("""COMPUTED_VALUE"""),"Yes")</f>
        <v>Yes</v>
      </c>
      <c r="CF92" s="838"/>
      <c r="CG92" s="838"/>
      <c r="CH92" s="838"/>
      <c r="CI92" s="838"/>
      <c r="CJ92" s="838"/>
      <c r="CK92" s="838"/>
      <c r="CL92" s="838"/>
      <c r="CM92" s="847">
        <f>IFERROR(__xludf.DUMMYFUNCTION("""COMPUTED_VALUE"""),0.93)</f>
        <v>0.93</v>
      </c>
      <c r="CN92" s="838"/>
      <c r="CO92" s="838"/>
      <c r="CP92" s="838"/>
      <c r="CQ92" s="838"/>
      <c r="CR92" s="838"/>
      <c r="CS92" s="838"/>
      <c r="CT92" s="838"/>
      <c r="CU92" s="838"/>
      <c r="CV92" s="697" t="str">
        <f>IFERROR(__xludf.DUMMYFUNCTION("""COMPUTED_VALUE"""),"Fox, Leanne M., Bruce W. Furness, Jennifer K. Haser, Dardith Desire, Jean-Marc Brissau, Marie-Denise Milford, Jack Lafontant, Patrick J. Lammie, and Michael J. Beach. ""Tolerance and Efficacy of Combined Diethlcarbamazine and Albendazole for Treatment of "&amp;"Wuchereria Bancrofti and Intestinal Helminth Infections in Haitian Children."" The American Socie of Tropical Medicine and Hygiene 73.1 (2005): 115-21. Web.")</f>
        <v>Fox, Leanne M., Bruce W. Furness, Jennifer K. Haser, Dardith Desire, Jean-Marc Brissau, Marie-Denise Milford, Jack Lafontant, Patrick J. Lammie, and Michael J. Beach. "Tolerance and Efficacy of Combined Diethlcarbamazine and Albendazole for Treatment of Wuchereria Bancrofti and Intestinal Helminth Infections in Haitian Children." The American Socie of Tropical Medicine and Hygiene 73.1 (2005): 115-21. Web.</v>
      </c>
    </row>
    <row r="93">
      <c r="A93" s="842" t="str">
        <f>IFERROR(__xludf.DUMMYFUNCTION("""COMPUTED_VALUE"""),"Pugh et al.")</f>
        <v>Pugh et al.</v>
      </c>
      <c r="B93" s="834" t="str">
        <f>IFERROR(__xludf.DUMMYFUNCTION("""COMPUTED_VALUE"""),"Malawi")</f>
        <v>Malawi</v>
      </c>
      <c r="C93" s="834" t="str">
        <f>IFERROR(__xludf.DUMMYFUNCTION("""COMPUTED_VALUE"""),"Albendazole")</f>
        <v>Albendazole</v>
      </c>
      <c r="D93" s="834" t="str">
        <f>IFERROR(__xludf.DUMMYFUNCTION("""COMPUTED_VALUE"""),"Single")</f>
        <v>Single</v>
      </c>
      <c r="E93" s="834" t="str">
        <f>IFERROR(__xludf.DUMMYFUNCTION("""COMPUTED_VALUE"""),"200 mg")</f>
        <v>200 mg</v>
      </c>
      <c r="F93" s="834">
        <f>IFERROR(__xludf.DUMMYFUNCTION("""COMPUTED_VALUE"""),25.0)</f>
        <v>25</v>
      </c>
      <c r="G93" s="834">
        <f>IFERROR(__xludf.DUMMYFUNCTION("""COMPUTED_VALUE"""),12.6)</f>
        <v>12.6</v>
      </c>
      <c r="H93" s="834"/>
      <c r="I93" s="834">
        <f>IFERROR(__xludf.DUMMYFUNCTION("""COMPUTED_VALUE"""),1986.0)</f>
        <v>1986</v>
      </c>
      <c r="J93" s="834"/>
      <c r="K93" s="839" t="str">
        <f>IFERROR(__xludf.DUMMYFUNCTION("""COMPUTED_VALUE"""),"Blind trial randomized")</f>
        <v>Blind trial randomized</v>
      </c>
      <c r="L93" s="839" t="str">
        <f>IFERROR(__xludf.DUMMYFUNCTION("""COMPUTED_VALUE"""),"Yes")</f>
        <v>Yes</v>
      </c>
      <c r="M93" s="839" t="str">
        <f>IFERROR(__xludf.DUMMYFUNCTION("""COMPUTED_VALUE"""),"Yes")</f>
        <v>Yes</v>
      </c>
      <c r="N93" s="840">
        <f>IFERROR(__xludf.DUMMYFUNCTION("""COMPUTED_VALUE"""),0.891)</f>
        <v>0.891</v>
      </c>
      <c r="O93" s="834"/>
      <c r="P93" s="834"/>
      <c r="Q93" s="834"/>
      <c r="R93" s="834"/>
      <c r="S93" s="834"/>
      <c r="T93" s="834"/>
      <c r="U93" s="834"/>
      <c r="V93" s="834"/>
      <c r="W93" s="840">
        <f>IFERROR(__xludf.DUMMYFUNCTION("""COMPUTED_VALUE"""),0.891)</f>
        <v>0.891</v>
      </c>
      <c r="X93" s="834"/>
      <c r="Y93" s="834"/>
      <c r="Z93" s="834"/>
      <c r="AA93" s="834"/>
      <c r="AB93" s="834"/>
      <c r="AC93" s="834"/>
      <c r="AD93" s="834"/>
      <c r="AE93" s="834" t="str">
        <f>IFERROR(__xludf.DUMMYFUNCTION("""COMPUTED_VALUE"""),"We conclude that AlbendazoleIs hlghly recommended for the convenient treatment of intestinal helminth infections, particularly those that include hookworm.")</f>
        <v>We conclude that AlbendazoleIs hlghly recommended for the convenient treatment of intestinal helminth infections, particularly those that include hookworm.</v>
      </c>
      <c r="AF93" s="834" t="str">
        <f>IFERROR(__xludf.DUMMYFUNCTION("""COMPUTED_VALUE"""),"Kato-Katz Method")</f>
        <v>Kato-Katz Method</v>
      </c>
      <c r="AG93" s="834" t="str">
        <f>IFERROR(__xludf.DUMMYFUNCTION("""COMPUTED_VALUE"""),"Pugh RN, Teesdale CH, &amp; Burnham GM. “Albendazolein children with hookworm infection”. Anna Trop Med Parasitol (1986): 565-567. Web.")</f>
        <v>Pugh RN, Teesdale CH, &amp; Burnham GM. “Albendazolein children with hookworm infection”. Anna Trop Med Parasitol (1986): 565-567. Web.</v>
      </c>
      <c r="AH93" s="834"/>
      <c r="AJ93" s="843" t="str">
        <f>IFERROR(__xludf.DUMMYFUNCTION("""COMPUTED_VALUE"""),"Muchiri et al.")</f>
        <v>Muchiri et al.</v>
      </c>
      <c r="AK93" s="836"/>
      <c r="AL93" s="836" t="str">
        <f>IFERROR(__xludf.DUMMYFUNCTION("""COMPUTED_VALUE"""),"Kenya")</f>
        <v>Kenya</v>
      </c>
      <c r="AM93" s="836" t="str">
        <f>IFERROR(__xludf.DUMMYFUNCTION("""COMPUTED_VALUE"""),"Mebendazole")</f>
        <v>Mebendazole</v>
      </c>
      <c r="AN93" s="836" t="str">
        <f>IFERROR(__xludf.DUMMYFUNCTION("""COMPUTED_VALUE"""),"Single")</f>
        <v>Single</v>
      </c>
      <c r="AO93" s="836" t="str">
        <f>IFERROR(__xludf.DUMMYFUNCTION("""COMPUTED_VALUE"""),"600 mg")</f>
        <v>600 mg</v>
      </c>
      <c r="AP93" s="836" t="str">
        <f>IFERROR(__xludf.DUMMYFUNCTION("""COMPUTED_VALUE"""),"155/397")</f>
        <v>155/397</v>
      </c>
      <c r="AQ93" s="836" t="str">
        <f>IFERROR(__xludf.DUMMYFUNCTION("""COMPUTED_VALUE"""),"4-19 years old")</f>
        <v>4-19 years old</v>
      </c>
      <c r="AR93" s="836" t="str">
        <f>IFERROR(__xludf.DUMMYFUNCTION("""COMPUTED_VALUE"""),"201 female; 196 male")</f>
        <v>201 female; 196 male</v>
      </c>
      <c r="AS93" s="836">
        <f>IFERROR(__xludf.DUMMYFUNCTION("""COMPUTED_VALUE"""),1997.0)</f>
        <v>1997</v>
      </c>
      <c r="AT93" s="836"/>
      <c r="AU93" s="836" t="str">
        <f>IFERROR(__xludf.DUMMYFUNCTION("""COMPUTED_VALUE"""),"Yes")</f>
        <v>Yes</v>
      </c>
      <c r="AV93" s="836" t="str">
        <f>IFERROR(__xludf.DUMMYFUNCTION("""COMPUTED_VALUE"""),"No")</f>
        <v>No</v>
      </c>
      <c r="AW93" s="836" t="str">
        <f>IFERROR(__xludf.DUMMYFUNCTION("""COMPUTED_VALUE"""),"randomized trial (by school)")</f>
        <v>randomized trial (by school)</v>
      </c>
      <c r="AX93" s="836"/>
      <c r="AY93" s="836"/>
      <c r="AZ93" s="836"/>
      <c r="BA93" s="836"/>
      <c r="BB93" s="836"/>
      <c r="BC93" s="836"/>
      <c r="BD93" s="836"/>
      <c r="BE93" s="836"/>
      <c r="BF93" s="836"/>
      <c r="BG93" s="841">
        <f>IFERROR(__xludf.DUMMYFUNCTION("""COMPUTED_VALUE"""),0.683)</f>
        <v>0.683</v>
      </c>
      <c r="BH93" s="850">
        <f>IFERROR(__xludf.DUMMYFUNCTION("""COMPUTED_VALUE"""),0.94)</f>
        <v>0.94</v>
      </c>
      <c r="BI93" s="836"/>
      <c r="BJ93" s="836"/>
      <c r="BK93" s="836"/>
      <c r="BL93" s="836"/>
      <c r="BM93" s="836"/>
      <c r="BN93" s="836"/>
      <c r="BO93" s="836"/>
      <c r="BP93" s="836"/>
      <c r="BQ93" s="697">
        <f>IFERROR(__xludf.DUMMYFUNCTION("""COMPUTED_VALUE"""),92.0)</f>
        <v>92</v>
      </c>
      <c r="BR93" s="844" t="str">
        <f>IFERROR(__xludf.DUMMYFUNCTION("""COMPUTED_VALUE"""),"Belew et al.")</f>
        <v>Belew et al.</v>
      </c>
      <c r="BS93" s="838" t="str">
        <f>IFERROR(__xludf.DUMMYFUNCTION("""COMPUTED_VALUE"""),"Ethiopia")</f>
        <v>Ethiopia</v>
      </c>
      <c r="BT93" s="838" t="str">
        <f>IFERROR(__xludf.DUMMYFUNCTION("""COMPUTED_VALUE"""),"Albendazole")</f>
        <v>Albendazole</v>
      </c>
      <c r="BU93" s="838"/>
      <c r="BV93" s="838" t="str">
        <f>IFERROR(__xludf.DUMMYFUNCTION("""COMPUTED_VALUE"""),"Single")</f>
        <v>Single</v>
      </c>
      <c r="BW93" s="838" t="str">
        <f>IFERROR(__xludf.DUMMYFUNCTION("""COMPUTED_VALUE"""),"400 mg")</f>
        <v>400 mg</v>
      </c>
      <c r="BX93" s="838">
        <f>IFERROR(__xludf.DUMMYFUNCTION("""COMPUTED_VALUE"""),106.0)</f>
        <v>106</v>
      </c>
      <c r="BY93" s="845">
        <f>IFERROR(__xludf.DUMMYFUNCTION("""COMPUTED_VALUE"""),42508.0)</f>
        <v>42508</v>
      </c>
      <c r="BZ93" s="838"/>
      <c r="CA93" s="838"/>
      <c r="CB93" s="838"/>
      <c r="CC93" s="838" t="str">
        <f>IFERROR(__xludf.DUMMYFUNCTION("""COMPUTED_VALUE"""),"Yes")</f>
        <v>Yes</v>
      </c>
      <c r="CD93" s="838"/>
      <c r="CE93" s="838" t="str">
        <f>IFERROR(__xludf.DUMMYFUNCTION("""COMPUTED_VALUE"""),"Yes")</f>
        <v>Yes</v>
      </c>
      <c r="CF93" s="838"/>
      <c r="CG93" s="838"/>
      <c r="CH93" s="838"/>
      <c r="CI93" s="838"/>
      <c r="CJ93" s="838"/>
      <c r="CK93" s="838"/>
      <c r="CL93" s="838"/>
      <c r="CM93" s="838" t="str">
        <f>IFERROR(__xludf.DUMMYFUNCTION("""COMPUTED_VALUE"""),"98.7% (2 weeks)")</f>
        <v>98.7% (2 weeks)</v>
      </c>
      <c r="CN93" s="838"/>
      <c r="CO93" s="838"/>
      <c r="CP93" s="838"/>
      <c r="CQ93" s="838"/>
      <c r="CR93" s="838"/>
      <c r="CS93" s="838"/>
      <c r="CT93" s="838" t="str">
        <f>IFERROR(__xludf.DUMMYFUNCTION("""COMPUTED_VALUE"""),"McMaster Method")</f>
        <v>McMaster Method</v>
      </c>
      <c r="CU93" s="838"/>
      <c r="CV93" s="697" t="str">
        <f>IFERROR(__xludf.DUMMYFUNCTION("""COMPUTED_VALUE"""),"Belew, S; Getachew, M; Suleman, S; Mohammed, T; Deti, H; D'Hondt, M; Wynendaele, E; Mekonnen, Z; Vercruysse, J; Duchateau, L; De Spiegeleer,B; Levecke, B. Assessment of Efficacy and Quality of Two Albendazole Brands Commonly Used against Soil-Transmitted "&amp;"Helminth Infections in School Children in Jimma Town, Ethiopia")</f>
        <v>Belew, S; Getachew, M; Suleman, S; Mohammed, T; Deti, H; D'Hondt, M; Wynendaele, E; Mekonnen, Z; Vercruysse, J; Duchateau, L; De Spiegeleer,B; Levecke, B. Assessment of Efficacy and Quality of Two Albendazole Brands Commonly Used against Soil-Transmitted Helminth Infections in School Children in Jimma Town, Ethiopia</v>
      </c>
    </row>
    <row r="94">
      <c r="A94" s="842" t="str">
        <f>IFERROR(__xludf.DUMMYFUNCTION("""COMPUTED_VALUE"""),"Pugh et al.")</f>
        <v>Pugh et al.</v>
      </c>
      <c r="B94" s="834" t="str">
        <f>IFERROR(__xludf.DUMMYFUNCTION("""COMPUTED_VALUE"""),"Malawi")</f>
        <v>Malawi</v>
      </c>
      <c r="C94" s="834" t="str">
        <f>IFERROR(__xludf.DUMMYFUNCTION("""COMPUTED_VALUE"""),"Albendazole")</f>
        <v>Albendazole</v>
      </c>
      <c r="D94" s="834" t="str">
        <f>IFERROR(__xludf.DUMMYFUNCTION("""COMPUTED_VALUE"""),"Single")</f>
        <v>Single</v>
      </c>
      <c r="E94" s="834" t="str">
        <f>IFERROR(__xludf.DUMMYFUNCTION("""COMPUTED_VALUE"""),"400 mg")</f>
        <v>400 mg</v>
      </c>
      <c r="F94" s="834">
        <f>IFERROR(__xludf.DUMMYFUNCTION("""COMPUTED_VALUE"""),26.0)</f>
        <v>26</v>
      </c>
      <c r="G94" s="834">
        <f>IFERROR(__xludf.DUMMYFUNCTION("""COMPUTED_VALUE"""),12.4)</f>
        <v>12.4</v>
      </c>
      <c r="H94" s="834"/>
      <c r="I94" s="834">
        <f>IFERROR(__xludf.DUMMYFUNCTION("""COMPUTED_VALUE"""),1986.0)</f>
        <v>1986</v>
      </c>
      <c r="J94" s="834"/>
      <c r="K94" s="839" t="str">
        <f>IFERROR(__xludf.DUMMYFUNCTION("""COMPUTED_VALUE"""),"open trial")</f>
        <v>open trial</v>
      </c>
      <c r="L94" s="839" t="str">
        <f>IFERROR(__xludf.DUMMYFUNCTION("""COMPUTED_VALUE"""),"No")</f>
        <v>No</v>
      </c>
      <c r="M94" s="839" t="str">
        <f>IFERROR(__xludf.DUMMYFUNCTION("""COMPUTED_VALUE"""),"No")</f>
        <v>No</v>
      </c>
      <c r="N94" s="840">
        <f>IFERROR(__xludf.DUMMYFUNCTION("""COMPUTED_VALUE"""),0.949)</f>
        <v>0.949</v>
      </c>
      <c r="O94" s="834"/>
      <c r="P94" s="834"/>
      <c r="Q94" s="834"/>
      <c r="R94" s="834"/>
      <c r="S94" s="834"/>
      <c r="T94" s="834"/>
      <c r="U94" s="834"/>
      <c r="V94" s="834"/>
      <c r="W94" s="840">
        <f>IFERROR(__xludf.DUMMYFUNCTION("""COMPUTED_VALUE"""),0.949)</f>
        <v>0.949</v>
      </c>
      <c r="X94" s="834"/>
      <c r="Y94" s="834"/>
      <c r="Z94" s="834"/>
      <c r="AA94" s="834"/>
      <c r="AB94" s="834"/>
      <c r="AC94" s="834"/>
      <c r="AD94" s="834"/>
      <c r="AE94" s="834" t="str">
        <f>IFERROR(__xludf.DUMMYFUNCTION("""COMPUTED_VALUE"""),"We conclude that AlbendazoleIs hlghly recommended for the convenient treatment of intestinal helminth infections, particularly those that include hookworm.")</f>
        <v>We conclude that AlbendazoleIs hlghly recommended for the convenient treatment of intestinal helminth infections, particularly those that include hookworm.</v>
      </c>
      <c r="AF94" s="834" t="str">
        <f>IFERROR(__xludf.DUMMYFUNCTION("""COMPUTED_VALUE"""),"Kato-Katz Method")</f>
        <v>Kato-Katz Method</v>
      </c>
      <c r="AG94" s="834" t="str">
        <f>IFERROR(__xludf.DUMMYFUNCTION("""COMPUTED_VALUE"""),"Pugh RN, Teesdale CH, &amp; Burnham GM. “Albendazolein children with hookworm infection”. Anna Trop Med Parasitol (1986): 565-567. Web.")</f>
        <v>Pugh RN, Teesdale CH, &amp; Burnham GM. “Albendazolein children with hookworm infection”. Anna Trop Med Parasitol (1986): 565-567. Web.</v>
      </c>
      <c r="AH94" s="834"/>
      <c r="AJ94" s="843" t="str">
        <f>IFERROR(__xludf.DUMMYFUNCTION("""COMPUTED_VALUE"""),"Wen et al. ")</f>
        <v>Wen et al. </v>
      </c>
      <c r="AK94" s="836" t="str">
        <f>IFERROR(__xludf.DUMMYFUNCTION("""COMPUTED_VALUE"""),"Wen, L., Yan, X., Sun, F., Fang, Y., Yang, M., Lou, L. “A randomized, double-blind, multicenter clinical trial on the efficacy of Ivermectinagainst intestinal nematode infections in China”. Acta Tropica 106 (2008): 190-194. Web.")</f>
        <v>Wen, L., Yan, X., Sun, F., Fang, Y., Yang, M., Lou, L. “A randomized, double-blind, multicenter clinical trial on the efficacy of Ivermectinagainst intestinal nematode infections in China”. Acta Tropica 106 (2008): 190-194. Web.</v>
      </c>
      <c r="AL94" s="836" t="str">
        <f>IFERROR(__xludf.DUMMYFUNCTION("""COMPUTED_VALUE"""),"China")</f>
        <v>China</v>
      </c>
      <c r="AM94" s="836" t="str">
        <f>IFERROR(__xludf.DUMMYFUNCTION("""COMPUTED_VALUE"""),"Ivermectin")</f>
        <v>Ivermectin</v>
      </c>
      <c r="AN94" s="836" t="str">
        <f>IFERROR(__xludf.DUMMYFUNCTION("""COMPUTED_VALUE"""),"Single")</f>
        <v>Single</v>
      </c>
      <c r="AO94" s="836" t="str">
        <f>IFERROR(__xludf.DUMMYFUNCTION("""COMPUTED_VALUE"""),"0.2 mg")</f>
        <v>0.2 mg</v>
      </c>
      <c r="AP94" s="836">
        <f>IFERROR(__xludf.DUMMYFUNCTION("""COMPUTED_VALUE"""),102.0)</f>
        <v>102</v>
      </c>
      <c r="AQ94" s="836" t="str">
        <f>IFERROR(__xludf.DUMMYFUNCTION("""COMPUTED_VALUE"""),"8-70 years old")</f>
        <v>8-70 years old</v>
      </c>
      <c r="AR94" s="836" t="str">
        <f>IFERROR(__xludf.DUMMYFUNCTION("""COMPUTED_VALUE"""),"43 male; 59 female")</f>
        <v>43 male; 59 female</v>
      </c>
      <c r="AS94" s="836">
        <f>IFERROR(__xludf.DUMMYFUNCTION("""COMPUTED_VALUE"""),2006.0)</f>
        <v>2006</v>
      </c>
      <c r="AT94" s="836" t="str">
        <f>IFERROR(__xludf.DUMMYFUNCTION("""COMPUTED_VALUE"""),"Excluded from the study were those with other diseases such as hepatic, renal, cardiovascular diseases, and pregnant or lactating women")</f>
        <v>Excluded from the study were those with other diseases such as hepatic, renal, cardiovascular diseases, and pregnant or lactating women</v>
      </c>
      <c r="AU94" s="836" t="str">
        <f>IFERROR(__xludf.DUMMYFUNCTION("""COMPUTED_VALUE"""),"Yes")</f>
        <v>Yes</v>
      </c>
      <c r="AV94" s="836" t="str">
        <f>IFERROR(__xludf.DUMMYFUNCTION("""COMPUTED_VALUE"""),"Yes")</f>
        <v>Yes</v>
      </c>
      <c r="AW94" s="836" t="str">
        <f>IFERROR(__xludf.DUMMYFUNCTION("""COMPUTED_VALUE"""),"A randomized, double bind, multicenter clinical trial")</f>
        <v>A randomized, double bind, multicenter clinical trial</v>
      </c>
      <c r="AX94" s="841">
        <f>IFERROR(__xludf.DUMMYFUNCTION("""COMPUTED_VALUE"""),0.667)</f>
        <v>0.667</v>
      </c>
      <c r="AY94" s="836"/>
      <c r="AZ94" s="836"/>
      <c r="BA94" s="841">
        <f>IFERROR(__xludf.DUMMYFUNCTION("""COMPUTED_VALUE"""),0.667)</f>
        <v>0.667</v>
      </c>
      <c r="BB94" s="836"/>
      <c r="BC94" s="836"/>
      <c r="BD94" s="836"/>
      <c r="BE94" s="836"/>
      <c r="BF94" s="836"/>
      <c r="BG94" s="836"/>
      <c r="BH94" s="850">
        <f>IFERROR(__xludf.DUMMYFUNCTION("""COMPUTED_VALUE"""),0.8)</f>
        <v>0.8</v>
      </c>
      <c r="BI94" s="836"/>
      <c r="BJ94" s="836"/>
      <c r="BK94" s="836"/>
      <c r="BL94" s="836"/>
      <c r="BM94" s="836"/>
      <c r="BN94" s="836"/>
      <c r="BO94" s="836" t="str">
        <f>IFERROR(__xludf.DUMMYFUNCTION("""COMPUTED_VALUE"""),"Kato-Katz Method")</f>
        <v>Kato-Katz Method</v>
      </c>
      <c r="BP94" s="836"/>
      <c r="BQ94" s="697">
        <f>IFERROR(__xludf.DUMMYFUNCTION("""COMPUTED_VALUE"""),93.0)</f>
        <v>93</v>
      </c>
      <c r="BR94" s="844" t="str">
        <f>IFERROR(__xludf.DUMMYFUNCTION("""COMPUTED_VALUE"""),"Belew et al.")</f>
        <v>Belew et al.</v>
      </c>
      <c r="BS94" s="838" t="str">
        <f>IFERROR(__xludf.DUMMYFUNCTION("""COMPUTED_VALUE"""),"Ethiopia")</f>
        <v>Ethiopia</v>
      </c>
      <c r="BT94" s="838" t="str">
        <f>IFERROR(__xludf.DUMMYFUNCTION("""COMPUTED_VALUE"""),"Albendazole")</f>
        <v>Albendazole</v>
      </c>
      <c r="BU94" s="838"/>
      <c r="BV94" s="838" t="str">
        <f>IFERROR(__xludf.DUMMYFUNCTION("""COMPUTED_VALUE"""),"Single")</f>
        <v>Single</v>
      </c>
      <c r="BW94" s="838" t="str">
        <f>IFERROR(__xludf.DUMMYFUNCTION("""COMPUTED_VALUE"""),"400 mg")</f>
        <v>400 mg</v>
      </c>
      <c r="BX94" s="838">
        <f>IFERROR(__xludf.DUMMYFUNCTION("""COMPUTED_VALUE"""),101.0)</f>
        <v>101</v>
      </c>
      <c r="BY94" s="845">
        <f>IFERROR(__xludf.DUMMYFUNCTION("""COMPUTED_VALUE"""),42508.0)</f>
        <v>42508</v>
      </c>
      <c r="BZ94" s="838"/>
      <c r="CA94" s="838"/>
      <c r="CB94" s="838"/>
      <c r="CC94" s="838" t="str">
        <f>IFERROR(__xludf.DUMMYFUNCTION("""COMPUTED_VALUE"""),"Yes")</f>
        <v>Yes</v>
      </c>
      <c r="CD94" s="838"/>
      <c r="CE94" s="838" t="str">
        <f>IFERROR(__xludf.DUMMYFUNCTION("""COMPUTED_VALUE"""),"Yes")</f>
        <v>Yes</v>
      </c>
      <c r="CF94" s="838"/>
      <c r="CG94" s="838"/>
      <c r="CH94" s="838"/>
      <c r="CI94" s="838"/>
      <c r="CJ94" s="838"/>
      <c r="CK94" s="838"/>
      <c r="CL94" s="838"/>
      <c r="CM94" s="838" t="str">
        <f>IFERROR(__xludf.DUMMYFUNCTION("""COMPUTED_VALUE"""),"97.8% (2 weeks)")</f>
        <v>97.8% (2 weeks)</v>
      </c>
      <c r="CN94" s="838"/>
      <c r="CO94" s="838"/>
      <c r="CP94" s="838"/>
      <c r="CQ94" s="838"/>
      <c r="CR94" s="838"/>
      <c r="CS94" s="838"/>
      <c r="CT94" s="838"/>
      <c r="CU94" s="838"/>
      <c r="CV94" s="697" t="str">
        <f>IFERROR(__xludf.DUMMYFUNCTION("""COMPUTED_VALUE"""),"Belew, S; Getachew, M; Suleman, S; Mohammed, T; Deti, H; D'Hondt, M; Wynendaele, E; Mekonnen, Z; Vercruysse, J; Duchateau, L; De Spiegeleer,B; Levecke, B. Assessment of Efficacy and Quality of Two Albendazole Brands Commonly Used against Soil-Transmitted "&amp;"Helminth Infections in School Children in Jimma Town, Ethiopia")</f>
        <v>Belew, S; Getachew, M; Suleman, S; Mohammed, T; Deti, H; D'Hondt, M; Wynendaele, E; Mekonnen, Z; Vercruysse, J; Duchateau, L; De Spiegeleer,B; Levecke, B. Assessment of Efficacy and Quality of Two Albendazole Brands Commonly Used against Soil-Transmitted Helminth Infections in School Children in Jimma Town, Ethiopia</v>
      </c>
    </row>
    <row r="95">
      <c r="A95" s="842" t="str">
        <f>IFERROR(__xludf.DUMMYFUNCTION("""COMPUTED_VALUE"""),"Pugh et al.")</f>
        <v>Pugh et al.</v>
      </c>
      <c r="B95" s="834" t="str">
        <f>IFERROR(__xludf.DUMMYFUNCTION("""COMPUTED_VALUE"""),"Malawi")</f>
        <v>Malawi</v>
      </c>
      <c r="C95" s="834" t="str">
        <f>IFERROR(__xludf.DUMMYFUNCTION("""COMPUTED_VALUE"""),"Levamisole")</f>
        <v>Levamisole</v>
      </c>
      <c r="D95" s="834" t="str">
        <f>IFERROR(__xludf.DUMMYFUNCTION("""COMPUTED_VALUE"""),"Single")</f>
        <v>Single</v>
      </c>
      <c r="E95" s="834" t="str">
        <f>IFERROR(__xludf.DUMMYFUNCTION("""COMPUTED_VALUE"""),"80 mg (or 120 if older than 16 years old)")</f>
        <v>80 mg (or 120 if older than 16 years old)</v>
      </c>
      <c r="F95" s="834">
        <f>IFERROR(__xludf.DUMMYFUNCTION("""COMPUTED_VALUE"""),30.0)</f>
        <v>30</v>
      </c>
      <c r="G95" s="834">
        <f>IFERROR(__xludf.DUMMYFUNCTION("""COMPUTED_VALUE"""),13.7)</f>
        <v>13.7</v>
      </c>
      <c r="H95" s="834"/>
      <c r="I95" s="834">
        <f>IFERROR(__xludf.DUMMYFUNCTION("""COMPUTED_VALUE"""),1986.0)</f>
        <v>1986</v>
      </c>
      <c r="J95" s="834"/>
      <c r="K95" s="839" t="str">
        <f>IFERROR(__xludf.DUMMYFUNCTION("""COMPUTED_VALUE"""),"Blind trial randomized")</f>
        <v>Blind trial randomized</v>
      </c>
      <c r="L95" s="839" t="str">
        <f>IFERROR(__xludf.DUMMYFUNCTION("""COMPUTED_VALUE"""),"Yes")</f>
        <v>Yes</v>
      </c>
      <c r="M95" s="839" t="str">
        <f>IFERROR(__xludf.DUMMYFUNCTION("""COMPUTED_VALUE"""),"Yes")</f>
        <v>Yes</v>
      </c>
      <c r="N95" s="840">
        <f>IFERROR(__xludf.DUMMYFUNCTION("""COMPUTED_VALUE"""),0.639)</f>
        <v>0.639</v>
      </c>
      <c r="O95" s="834"/>
      <c r="P95" s="834"/>
      <c r="Q95" s="834"/>
      <c r="R95" s="834"/>
      <c r="S95" s="834"/>
      <c r="T95" s="834"/>
      <c r="U95" s="834"/>
      <c r="V95" s="834"/>
      <c r="W95" s="840">
        <f>IFERROR(__xludf.DUMMYFUNCTION("""COMPUTED_VALUE"""),0.639)</f>
        <v>0.639</v>
      </c>
      <c r="X95" s="834"/>
      <c r="Y95" s="834"/>
      <c r="Z95" s="834"/>
      <c r="AA95" s="834"/>
      <c r="AB95" s="834"/>
      <c r="AC95" s="834"/>
      <c r="AD95" s="834"/>
      <c r="AE95" s="834" t="str">
        <f>IFERROR(__xludf.DUMMYFUNCTION("""COMPUTED_VALUE"""),"We conclude that AlbendazoleIs hlghly recommended for the convenient treatment of intestinal helminth infections, particularly those that include hookworm.")</f>
        <v>We conclude that AlbendazoleIs hlghly recommended for the convenient treatment of intestinal helminth infections, particularly those that include hookworm.</v>
      </c>
      <c r="AF95" s="834" t="str">
        <f>IFERROR(__xludf.DUMMYFUNCTION("""COMPUTED_VALUE"""),"Kato-Katz Method")</f>
        <v>Kato-Katz Method</v>
      </c>
      <c r="AG95" s="834" t="str">
        <f>IFERROR(__xludf.DUMMYFUNCTION("""COMPUTED_VALUE"""),"Pugh RN, Teesdale CH, &amp; Burnham GM. “Albendazolein children with hookworm infection”. Anna Trop Med Parasitol (1986): 565-567. Web.")</f>
        <v>Pugh RN, Teesdale CH, &amp; Burnham GM. “Albendazolein children with hookworm infection”. Anna Trop Med Parasitol (1986): 565-567. Web.</v>
      </c>
      <c r="AH95" s="834"/>
      <c r="AJ95" s="843" t="str">
        <f>IFERROR(__xludf.DUMMYFUNCTION("""COMPUTED_VALUE"""),"Wen et al. ")</f>
        <v>Wen et al. </v>
      </c>
      <c r="AK95" s="836"/>
      <c r="AL95" s="836" t="str">
        <f>IFERROR(__xludf.DUMMYFUNCTION("""COMPUTED_VALUE"""),"China")</f>
        <v>China</v>
      </c>
      <c r="AM95" s="836" t="str">
        <f>IFERROR(__xludf.DUMMYFUNCTION("""COMPUTED_VALUE"""),"Albendazole")</f>
        <v>Albendazole</v>
      </c>
      <c r="AN95" s="836" t="str">
        <f>IFERROR(__xludf.DUMMYFUNCTION("""COMPUTED_VALUE"""),"Single")</f>
        <v>Single</v>
      </c>
      <c r="AO95" s="836" t="str">
        <f>IFERROR(__xludf.DUMMYFUNCTION("""COMPUTED_VALUE"""),"6.7 mg")</f>
        <v>6.7 mg</v>
      </c>
      <c r="AP95" s="836">
        <f>IFERROR(__xludf.DUMMYFUNCTION("""COMPUTED_VALUE"""),102.0)</f>
        <v>102</v>
      </c>
      <c r="AQ95" s="836" t="str">
        <f>IFERROR(__xludf.DUMMYFUNCTION("""COMPUTED_VALUE"""),"8-70 years old")</f>
        <v>8-70 years old</v>
      </c>
      <c r="AR95" s="836" t="str">
        <f>IFERROR(__xludf.DUMMYFUNCTION("""COMPUTED_VALUE"""),"48 male; 54 female")</f>
        <v>48 male; 54 female</v>
      </c>
      <c r="AS95" s="836">
        <f>IFERROR(__xludf.DUMMYFUNCTION("""COMPUTED_VALUE"""),2006.0)</f>
        <v>2006</v>
      </c>
      <c r="AT95" s="836" t="str">
        <f>IFERROR(__xludf.DUMMYFUNCTION("""COMPUTED_VALUE"""),"Excluded from the study were those with other diseases such as hepatic, renal, cardiovascular diseases, and pregnant or lactating women")</f>
        <v>Excluded from the study were those with other diseases such as hepatic, renal, cardiovascular diseases, and pregnant or lactating women</v>
      </c>
      <c r="AU95" s="836" t="str">
        <f>IFERROR(__xludf.DUMMYFUNCTION("""COMPUTED_VALUE"""),"Yes")</f>
        <v>Yes</v>
      </c>
      <c r="AV95" s="836" t="str">
        <f>IFERROR(__xludf.DUMMYFUNCTION("""COMPUTED_VALUE"""),"Yes")</f>
        <v>Yes</v>
      </c>
      <c r="AW95" s="836" t="str">
        <f>IFERROR(__xludf.DUMMYFUNCTION("""COMPUTED_VALUE"""),"A randomized, double bind, multicenter clinical trial")</f>
        <v>A randomized, double bind, multicenter clinical trial</v>
      </c>
      <c r="AX95" s="841">
        <f>IFERROR(__xludf.DUMMYFUNCTION("""COMPUTED_VALUE"""),0.677)</f>
        <v>0.677</v>
      </c>
      <c r="AY95" s="836"/>
      <c r="AZ95" s="836"/>
      <c r="BA95" s="841">
        <f>IFERROR(__xludf.DUMMYFUNCTION("""COMPUTED_VALUE"""),0.677)</f>
        <v>0.677</v>
      </c>
      <c r="BB95" s="836"/>
      <c r="BC95" s="836"/>
      <c r="BD95" s="836"/>
      <c r="BE95" s="836"/>
      <c r="BF95" s="836"/>
      <c r="BG95" s="836"/>
      <c r="BH95" s="850">
        <f>IFERROR(__xludf.DUMMYFUNCTION("""COMPUTED_VALUE"""),0.9)</f>
        <v>0.9</v>
      </c>
      <c r="BI95" s="836"/>
      <c r="BJ95" s="836"/>
      <c r="BK95" s="836"/>
      <c r="BL95" s="836"/>
      <c r="BM95" s="836"/>
      <c r="BN95" s="836"/>
      <c r="BO95" s="836"/>
      <c r="BP95" s="836"/>
      <c r="BQ95" s="697">
        <f>IFERROR(__xludf.DUMMYFUNCTION("""COMPUTED_VALUE"""),94.0)</f>
        <v>94</v>
      </c>
      <c r="BR95" s="844" t="str">
        <f>IFERROR(__xludf.DUMMYFUNCTION("""COMPUTED_VALUE"""),"Rafi et al.")</f>
        <v>Rafi et al.</v>
      </c>
      <c r="BS95" s="838" t="str">
        <f>IFERROR(__xludf.DUMMYFUNCTION("""COMPUTED_VALUE"""),"Pakistan")</f>
        <v>Pakistan</v>
      </c>
      <c r="BT95" s="838" t="str">
        <f>IFERROR(__xludf.DUMMYFUNCTION("""COMPUTED_VALUE"""),"Mebendazole")</f>
        <v>Mebendazole</v>
      </c>
      <c r="BU95" s="838"/>
      <c r="BV95" s="838" t="str">
        <f>IFERROR(__xludf.DUMMYFUNCTION("""COMPUTED_VALUE"""),"Two")</f>
        <v>Two</v>
      </c>
      <c r="BW95" s="838" t="str">
        <f>IFERROR(__xludf.DUMMYFUNCTION("""COMPUTED_VALUE"""),"100 mg")</f>
        <v>100 mg</v>
      </c>
      <c r="BX95" s="838">
        <f>IFERROR(__xludf.DUMMYFUNCTION("""COMPUTED_VALUE"""),50.0)</f>
        <v>50</v>
      </c>
      <c r="BY95" s="845">
        <f>IFERROR(__xludf.DUMMYFUNCTION("""COMPUTED_VALUE"""),42416.0)</f>
        <v>42416</v>
      </c>
      <c r="BZ95" s="838">
        <f>IFERROR(__xludf.DUMMYFUNCTION("""COMPUTED_VALUE"""),1994.0)</f>
        <v>1994</v>
      </c>
      <c r="CA95" s="838" t="str">
        <f>IFERROR(__xludf.DUMMYFUNCTION("""COMPUTED_VALUE"""),"Females: 13 Males: 37")</f>
        <v>Females: 13 Males: 37</v>
      </c>
      <c r="CB95" s="838"/>
      <c r="CC95" s="838" t="str">
        <f>IFERROR(__xludf.DUMMYFUNCTION("""COMPUTED_VALUE"""),"No")</f>
        <v>No</v>
      </c>
      <c r="CD95" s="846">
        <f>IFERROR(__xludf.DUMMYFUNCTION("""COMPUTED_VALUE"""),1.0)</f>
        <v>1</v>
      </c>
      <c r="CE95" s="838" t="str">
        <f>IFERROR(__xludf.DUMMYFUNCTION("""COMPUTED_VALUE"""),"No")</f>
        <v>No</v>
      </c>
      <c r="CF95" s="838"/>
      <c r="CG95" s="838" t="str">
        <f>IFERROR(__xludf.DUMMYFUNCTION("""COMPUTED_VALUE"""),"100% (15 days)")</f>
        <v>100% (15 days)</v>
      </c>
      <c r="CH95" s="838"/>
      <c r="CI95" s="838"/>
      <c r="CJ95" s="838"/>
      <c r="CK95" s="838"/>
      <c r="CL95" s="838"/>
      <c r="CM95" s="838"/>
      <c r="CN95" s="838"/>
      <c r="CO95" s="838"/>
      <c r="CP95" s="838"/>
      <c r="CQ95" s="838"/>
      <c r="CR95" s="838"/>
      <c r="CS95" s="838"/>
      <c r="CT95" s="838"/>
      <c r="CU95" s="838"/>
      <c r="CV95" s="697" t="str">
        <f>IFERROR(__xludf.DUMMYFUNCTION("""COMPUTED_VALUE"""),"Rafi, Sadia;Memon, Ashraf; Billo,Abdul Ghaffar(1994) Efficacy and Safety of Mebendazole in Children with Worm Infestation")</f>
        <v>Rafi, Sadia;Memon, Ashraf; Billo,Abdul Ghaffar(1994) Efficacy and Safety of Mebendazole in Children with Worm Infestation</v>
      </c>
    </row>
    <row r="96">
      <c r="A96" s="842" t="str">
        <f>IFERROR(__xludf.DUMMYFUNCTION("""COMPUTED_VALUE"""),"Pugh et al.")</f>
        <v>Pugh et al.</v>
      </c>
      <c r="B96" s="834" t="str">
        <f>IFERROR(__xludf.DUMMYFUNCTION("""COMPUTED_VALUE"""),"Malawi")</f>
        <v>Malawi</v>
      </c>
      <c r="C96" s="834" t="str">
        <f>IFERROR(__xludf.DUMMYFUNCTION("""COMPUTED_VALUE"""),"Albendazole")</f>
        <v>Albendazole</v>
      </c>
      <c r="D96" s="834" t="str">
        <f>IFERROR(__xludf.DUMMYFUNCTION("""COMPUTED_VALUE"""),"Single")</f>
        <v>Single</v>
      </c>
      <c r="E96" s="834" t="str">
        <f>IFERROR(__xludf.DUMMYFUNCTION("""COMPUTED_VALUE"""),"400 mg")</f>
        <v>400 mg</v>
      </c>
      <c r="F96" s="834">
        <f>IFERROR(__xludf.DUMMYFUNCTION("""COMPUTED_VALUE"""),15.0)</f>
        <v>15</v>
      </c>
      <c r="G96" s="834">
        <f>IFERROR(__xludf.DUMMYFUNCTION("""COMPUTED_VALUE"""),11.8)</f>
        <v>11.8</v>
      </c>
      <c r="H96" s="834"/>
      <c r="I96" s="834">
        <f>IFERROR(__xludf.DUMMYFUNCTION("""COMPUTED_VALUE"""),1986.0)</f>
        <v>1986</v>
      </c>
      <c r="J96" s="834"/>
      <c r="K96" s="839" t="str">
        <f>IFERROR(__xludf.DUMMYFUNCTION("""COMPUTED_VALUE"""),"Blind trial randomized")</f>
        <v>Blind trial randomized</v>
      </c>
      <c r="L96" s="839" t="str">
        <f>IFERROR(__xludf.DUMMYFUNCTION("""COMPUTED_VALUE"""),"Yes")</f>
        <v>Yes</v>
      </c>
      <c r="M96" s="839" t="str">
        <f>IFERROR(__xludf.DUMMYFUNCTION("""COMPUTED_VALUE"""),"Yes")</f>
        <v>Yes</v>
      </c>
      <c r="N96" s="840">
        <f>IFERROR(__xludf.DUMMYFUNCTION("""COMPUTED_VALUE"""),0.994)</f>
        <v>0.994</v>
      </c>
      <c r="O96" s="834"/>
      <c r="P96" s="834"/>
      <c r="Q96" s="834"/>
      <c r="R96" s="834"/>
      <c r="S96" s="834"/>
      <c r="T96" s="834"/>
      <c r="U96" s="834"/>
      <c r="V96" s="834"/>
      <c r="W96" s="840">
        <f>IFERROR(__xludf.DUMMYFUNCTION("""COMPUTED_VALUE"""),0.994)</f>
        <v>0.994</v>
      </c>
      <c r="X96" s="834"/>
      <c r="Y96" s="834"/>
      <c r="Z96" s="834"/>
      <c r="AA96" s="834"/>
      <c r="AB96" s="834"/>
      <c r="AC96" s="834"/>
      <c r="AD96" s="834"/>
      <c r="AE96" s="834" t="str">
        <f>IFERROR(__xludf.DUMMYFUNCTION("""COMPUTED_VALUE"""),"We conclude that AlbendazoleIs hlghly recommended for the convenient treatment of intestinal helminth infections, particularly those that include hookworm.")</f>
        <v>We conclude that AlbendazoleIs hlghly recommended for the convenient treatment of intestinal helminth infections, particularly those that include hookworm.</v>
      </c>
      <c r="AF96" s="834" t="str">
        <f>IFERROR(__xludf.DUMMYFUNCTION("""COMPUTED_VALUE"""),"Kato-Katz Method")</f>
        <v>Kato-Katz Method</v>
      </c>
      <c r="AG96" s="834" t="str">
        <f>IFERROR(__xludf.DUMMYFUNCTION("""COMPUTED_VALUE"""),"Pugh RN, Teesdale CH, &amp; Burnham GM. “Albendazolein children with hookworm infection”. Anna Trop Med Parasitol (1986): 565-567. Web.")</f>
        <v>Pugh RN, Teesdale CH, &amp; Burnham GM. “Albendazolein children with hookworm infection”. Anna Trop Med Parasitol (1986): 565-567. Web.</v>
      </c>
      <c r="AH96" s="834"/>
      <c r="AJ96" s="836"/>
      <c r="AK96" s="836"/>
      <c r="AL96" s="836"/>
      <c r="AM96" s="836"/>
      <c r="AN96" s="836"/>
      <c r="AO96" s="836"/>
      <c r="AP96" s="836"/>
      <c r="AQ96" s="836"/>
      <c r="AR96" s="836"/>
      <c r="AS96" s="836"/>
      <c r="AT96" s="836"/>
      <c r="AU96" s="836"/>
      <c r="AV96" s="836"/>
      <c r="AW96" s="836"/>
      <c r="AX96" s="836"/>
      <c r="AY96" s="836"/>
      <c r="AZ96" s="836"/>
      <c r="BA96" s="836"/>
      <c r="BB96" s="836"/>
      <c r="BC96" s="836"/>
      <c r="BD96" s="836"/>
      <c r="BE96" s="836"/>
      <c r="BF96" s="836"/>
      <c r="BG96" s="836"/>
      <c r="BH96" s="836"/>
      <c r="BI96" s="836"/>
      <c r="BJ96" s="836"/>
      <c r="BK96" s="836"/>
      <c r="BL96" s="836"/>
      <c r="BM96" s="836"/>
      <c r="BN96" s="836"/>
      <c r="BO96" s="836"/>
      <c r="BP96" s="836"/>
      <c r="BQ96" s="697">
        <f>IFERROR(__xludf.DUMMYFUNCTION("""COMPUTED_VALUE"""),95.0)</f>
        <v>95</v>
      </c>
      <c r="BR96" s="844" t="str">
        <f>IFERROR(__xludf.DUMMYFUNCTION("""COMPUTED_VALUE"""),"Kirwan et al.")</f>
        <v>Kirwan et al.</v>
      </c>
      <c r="BS96" s="838" t="str">
        <f>IFERROR(__xludf.DUMMYFUNCTION("""COMPUTED_VALUE"""),"Nigeria")</f>
        <v>Nigeria</v>
      </c>
      <c r="BT96" s="838" t="str">
        <f>IFERROR(__xludf.DUMMYFUNCTION("""COMPUTED_VALUE"""),"Albendazole")</f>
        <v>Albendazole</v>
      </c>
      <c r="BU96" s="838"/>
      <c r="BV96" s="838" t="str">
        <f>IFERROR(__xludf.DUMMYFUNCTION("""COMPUTED_VALUE"""),"Single")</f>
        <v>Single</v>
      </c>
      <c r="BW96" s="838" t="str">
        <f>IFERROR(__xludf.DUMMYFUNCTION("""COMPUTED_VALUE"""),"200 mg")</f>
        <v>200 mg</v>
      </c>
      <c r="BX96" s="838">
        <f>IFERROR(__xludf.DUMMYFUNCTION("""COMPUTED_VALUE"""),194.0)</f>
        <v>194</v>
      </c>
      <c r="BY96" s="838" t="str">
        <f>IFERROR(__xludf.DUMMYFUNCTION("""COMPUTED_VALUE"""),"&lt;1")</f>
        <v>&lt;1</v>
      </c>
      <c r="BZ96" s="838">
        <f>IFERROR(__xludf.DUMMYFUNCTION("""COMPUTED_VALUE"""),2007.0)</f>
        <v>2007</v>
      </c>
      <c r="CA96" s="838" t="str">
        <f>IFERROR(__xludf.DUMMYFUNCTION("""COMPUTED_VALUE"""),"103 Males; 91 Females")</f>
        <v>103 Males; 91 Females</v>
      </c>
      <c r="CB96" s="838"/>
      <c r="CC96" s="838" t="str">
        <f>IFERROR(__xludf.DUMMYFUNCTION("""COMPUTED_VALUE"""),"Yes")</f>
        <v>Yes</v>
      </c>
      <c r="CD96" s="838"/>
      <c r="CE96" s="838" t="str">
        <f>IFERROR(__xludf.DUMMYFUNCTION("""COMPUTED_VALUE"""),"Yes")</f>
        <v>Yes</v>
      </c>
      <c r="CF96" s="838"/>
      <c r="CG96" s="838"/>
      <c r="CH96" s="838"/>
      <c r="CI96" s="838"/>
      <c r="CJ96" s="838"/>
      <c r="CK96" s="838"/>
      <c r="CL96" s="838"/>
      <c r="CM96" s="838">
        <f>IFERROR(__xludf.DUMMYFUNCTION("""COMPUTED_VALUE"""),89.3)</f>
        <v>89.3</v>
      </c>
      <c r="CN96" s="838"/>
      <c r="CO96" s="838"/>
      <c r="CP96" s="838"/>
      <c r="CQ96" s="838"/>
      <c r="CR96" s="838"/>
      <c r="CS96" s="838" t="str">
        <f>IFERROR(__xludf.DUMMYFUNCTION("""COMPUTED_VALUE"""),"double-blind, placebo-controlled, randomized")</f>
        <v>double-blind, placebo-controlled, randomized</v>
      </c>
      <c r="CT96" s="838"/>
      <c r="CU96" s="838"/>
      <c r="CV96" s="697" t="str">
        <f>IFERROR(__xludf.DUMMYFUNCTION("""COMPUTED_VALUE"""),"Kirwan,Patrick ;Asaolu,Samuel O; Molloy,Síle F; Abiona,Titilayo C;  Jackson,Andrew L; Holland,Celia V (2006-2007) Patterns of soil-transmitted helminth infection and impact of four-monthly albendazole treatments in preschool children from semi-urban commu"&amp;"nities in Nigeria: a double-blind placebo-controlled randomised trial.")</f>
        <v>Kirwan,Patrick ;Asaolu,Samuel O; Molloy,Síle F; Abiona,Titilayo C;  Jackson,Andrew L; Holland,Celia V (2006-2007) Patterns of soil-transmitted helminth infection and impact of four-monthly albendazole treatments in preschool children from semi-urban communities in Nigeria: a double-blind placebo-controlled randomised trial.</v>
      </c>
    </row>
    <row r="97">
      <c r="A97" s="842" t="str">
        <f>IFERROR(__xludf.DUMMYFUNCTION("""COMPUTED_VALUE"""),"Pugh et al.")</f>
        <v>Pugh et al.</v>
      </c>
      <c r="B97" s="834" t="str">
        <f>IFERROR(__xludf.DUMMYFUNCTION("""COMPUTED_VALUE"""),"Malawi")</f>
        <v>Malawi</v>
      </c>
      <c r="C97" s="834" t="str">
        <f>IFERROR(__xludf.DUMMYFUNCTION("""COMPUTED_VALUE"""),"Mebendazole")</f>
        <v>Mebendazole</v>
      </c>
      <c r="D97" s="834" t="str">
        <f>IFERROR(__xludf.DUMMYFUNCTION("""COMPUTED_VALUE"""),"Single")</f>
        <v>Single</v>
      </c>
      <c r="E97" s="834" t="str">
        <f>IFERROR(__xludf.DUMMYFUNCTION("""COMPUTED_VALUE"""),"600 mg")</f>
        <v>600 mg</v>
      </c>
      <c r="F97" s="834">
        <f>IFERROR(__xludf.DUMMYFUNCTION("""COMPUTED_VALUE"""),19.0)</f>
        <v>19</v>
      </c>
      <c r="G97" s="834">
        <f>IFERROR(__xludf.DUMMYFUNCTION("""COMPUTED_VALUE"""),13.4)</f>
        <v>13.4</v>
      </c>
      <c r="H97" s="834"/>
      <c r="I97" s="834">
        <f>IFERROR(__xludf.DUMMYFUNCTION("""COMPUTED_VALUE"""),1986.0)</f>
        <v>1986</v>
      </c>
      <c r="J97" s="834"/>
      <c r="K97" s="839" t="str">
        <f>IFERROR(__xludf.DUMMYFUNCTION("""COMPUTED_VALUE"""),"Blind trial randomized")</f>
        <v>Blind trial randomized</v>
      </c>
      <c r="L97" s="839" t="str">
        <f>IFERROR(__xludf.DUMMYFUNCTION("""COMPUTED_VALUE"""),"Yes")</f>
        <v>Yes</v>
      </c>
      <c r="M97" s="839" t="str">
        <f>IFERROR(__xludf.DUMMYFUNCTION("""COMPUTED_VALUE"""),"Yes")</f>
        <v>Yes</v>
      </c>
      <c r="N97" s="840">
        <f>IFERROR(__xludf.DUMMYFUNCTION("""COMPUTED_VALUE"""),0.982)</f>
        <v>0.982</v>
      </c>
      <c r="O97" s="834"/>
      <c r="P97" s="834"/>
      <c r="Q97" s="834"/>
      <c r="R97" s="834"/>
      <c r="S97" s="834"/>
      <c r="T97" s="834"/>
      <c r="U97" s="834"/>
      <c r="V97" s="834"/>
      <c r="W97" s="840">
        <f>IFERROR(__xludf.DUMMYFUNCTION("""COMPUTED_VALUE"""),0.982)</f>
        <v>0.982</v>
      </c>
      <c r="X97" s="834"/>
      <c r="Y97" s="834"/>
      <c r="Z97" s="834"/>
      <c r="AA97" s="834"/>
      <c r="AB97" s="834"/>
      <c r="AC97" s="834"/>
      <c r="AD97" s="834"/>
      <c r="AE97" s="834" t="str">
        <f>IFERROR(__xludf.DUMMYFUNCTION("""COMPUTED_VALUE"""),"We conclude that AlbendazoleIs hlghly recommended for the convenient treatment of intestinal helminth infections, particularly those that include hookworm.")</f>
        <v>We conclude that AlbendazoleIs hlghly recommended for the convenient treatment of intestinal helminth infections, particularly those that include hookworm.</v>
      </c>
      <c r="AF97" s="834" t="str">
        <f>IFERROR(__xludf.DUMMYFUNCTION("""COMPUTED_VALUE"""),"Kato-Katz Method. Mebendazole600 mg (100 mg tablets twice daily over three consecutive days)")</f>
        <v>Kato-Katz Method. Mebendazole600 mg (100 mg tablets twice daily over three consecutive days)</v>
      </c>
      <c r="AG97" s="834" t="str">
        <f>IFERROR(__xludf.DUMMYFUNCTION("""COMPUTED_VALUE"""),"Pugh RN, Teesdale CH, &amp; Burnham GM. “Albendazolein children with hookworm infection”. Anna Trop Med Parasitol (1986): 565-567. Web.")</f>
        <v>Pugh RN, Teesdale CH, &amp; Burnham GM. “Albendazolein children with hookworm infection”. Anna Trop Med Parasitol (1986): 565-567. Web.</v>
      </c>
      <c r="AH97" s="834"/>
      <c r="AJ97" s="843" t="str">
        <f>IFERROR(__xludf.DUMMYFUNCTION("""COMPUTED_VALUE"""),"Horton et al.")</f>
        <v>Horton et al.</v>
      </c>
      <c r="AK97" s="836" t="str">
        <f>IFERROR(__xludf.DUMMYFUNCTION("""COMPUTED_VALUE"""),"Horton, J. ""Albendazole: A Review of Anthelmintic Efficacy and Safety in Humans."" Parasitology (2000): S113-132. Web.")</f>
        <v>Horton, J. "Albendazole: A Review of Anthelmintic Efficacy and Safety in Humans." Parasitology (2000): S113-132. Web.</v>
      </c>
      <c r="AL97" s="836" t="str">
        <f>IFERROR(__xludf.DUMMYFUNCTION("""COMPUTED_VALUE"""),"Unknown")</f>
        <v>Unknown</v>
      </c>
      <c r="AM97" s="836" t="str">
        <f>IFERROR(__xludf.DUMMYFUNCTION("""COMPUTED_VALUE"""),"Albendazole")</f>
        <v>Albendazole</v>
      </c>
      <c r="AN97" s="836" t="str">
        <f>IFERROR(__xludf.DUMMYFUNCTION("""COMPUTED_VALUE"""),"Single")</f>
        <v>Single</v>
      </c>
      <c r="AO97" s="836" t="str">
        <f>IFERROR(__xludf.DUMMYFUNCTION("""COMPUTED_VALUE"""),"400 mg/day for one day")</f>
        <v>400 mg/day for one day</v>
      </c>
      <c r="AP97" s="836">
        <f>IFERROR(__xludf.DUMMYFUNCTION("""COMPUTED_VALUE"""),57.0)</f>
        <v>57</v>
      </c>
      <c r="AQ97" s="836" t="str">
        <f>IFERROR(__xludf.DUMMYFUNCTION("""COMPUTED_VALUE"""),"2-15 years old")</f>
        <v>2-15 years old</v>
      </c>
      <c r="AR97" s="836"/>
      <c r="AS97" s="836">
        <f>IFERROR(__xludf.DUMMYFUNCTION("""COMPUTED_VALUE"""),1998.0)</f>
        <v>1998</v>
      </c>
      <c r="AT97" s="836"/>
      <c r="AU97" s="836" t="str">
        <f>IFERROR(__xludf.DUMMYFUNCTION("""COMPUTED_VALUE"""),"No")</f>
        <v>No</v>
      </c>
      <c r="AV97" s="836"/>
      <c r="AW97" s="836" t="str">
        <f>IFERROR(__xludf.DUMMYFUNCTION("""COMPUTED_VALUE"""),"review")</f>
        <v>review</v>
      </c>
      <c r="AX97" s="836"/>
      <c r="AY97" s="836"/>
      <c r="AZ97" s="836"/>
      <c r="BA97" s="836"/>
      <c r="BB97" s="836"/>
      <c r="BC97" s="836"/>
      <c r="BD97" s="836"/>
      <c r="BE97" s="836"/>
      <c r="BF97" s="836"/>
      <c r="BG97" s="836"/>
      <c r="BH97" s="836"/>
      <c r="BI97" s="836"/>
      <c r="BJ97" s="836"/>
      <c r="BK97" s="836"/>
      <c r="BL97" s="836"/>
      <c r="BM97" s="836"/>
      <c r="BN97" s="836"/>
      <c r="BO97" s="836" t="str">
        <f>IFERROR(__xludf.DUMMYFUNCTION("""COMPUTED_VALUE"""),"kato-Katz method, Baermanns, and Scotch Tape (grahams) test")</f>
        <v>kato-Katz method, Baermanns, and Scotch Tape (grahams) test</v>
      </c>
      <c r="BP97" s="836"/>
      <c r="BQ97" s="697">
        <f>IFERROR(__xludf.DUMMYFUNCTION("""COMPUTED_VALUE"""),96.0)</f>
        <v>96</v>
      </c>
      <c r="BR97" s="844" t="str">
        <f>IFERROR(__xludf.DUMMYFUNCTION("""COMPUTED_VALUE"""),"Kirwan et al.")</f>
        <v>Kirwan et al.</v>
      </c>
      <c r="BS97" s="838" t="str">
        <f>IFERROR(__xludf.DUMMYFUNCTION("""COMPUTED_VALUE"""),"Nigeria")</f>
        <v>Nigeria</v>
      </c>
      <c r="BT97" s="838" t="str">
        <f>IFERROR(__xludf.DUMMYFUNCTION("""COMPUTED_VALUE"""),"Albendazole")</f>
        <v>Albendazole</v>
      </c>
      <c r="BU97" s="838"/>
      <c r="BV97" s="838" t="str">
        <f>IFERROR(__xludf.DUMMYFUNCTION("""COMPUTED_VALUE"""),"Single")</f>
        <v>Single</v>
      </c>
      <c r="BW97" s="838" t="str">
        <f>IFERROR(__xludf.DUMMYFUNCTION("""COMPUTED_VALUE"""),"400 mg")</f>
        <v>400 mg</v>
      </c>
      <c r="BX97" s="838">
        <f>IFERROR(__xludf.DUMMYFUNCTION("""COMPUTED_VALUE"""),158.0)</f>
        <v>158</v>
      </c>
      <c r="BY97" s="838" t="str">
        <f>IFERROR(__xludf.DUMMYFUNCTION("""COMPUTED_VALUE"""),"24-59 months")</f>
        <v>24-59 months</v>
      </c>
      <c r="BZ97" s="838">
        <f>IFERROR(__xludf.DUMMYFUNCTION("""COMPUTED_VALUE"""),2007.0)</f>
        <v>2007</v>
      </c>
      <c r="CA97" s="838"/>
      <c r="CB97" s="838"/>
      <c r="CC97" s="838" t="str">
        <f>IFERROR(__xludf.DUMMYFUNCTION("""COMPUTED_VALUE"""),"Yes")</f>
        <v>Yes</v>
      </c>
      <c r="CD97" s="838"/>
      <c r="CE97" s="838" t="str">
        <f>IFERROR(__xludf.DUMMYFUNCTION("""COMPUTED_VALUE"""),"Yes")</f>
        <v>Yes</v>
      </c>
      <c r="CF97" s="838"/>
      <c r="CG97" s="838"/>
      <c r="CH97" s="838"/>
      <c r="CI97" s="838"/>
      <c r="CJ97" s="838"/>
      <c r="CK97" s="838"/>
      <c r="CL97" s="838"/>
      <c r="CM97" s="838"/>
      <c r="CN97" s="838"/>
      <c r="CO97" s="838"/>
      <c r="CP97" s="838"/>
      <c r="CQ97" s="838"/>
      <c r="CR97" s="838"/>
      <c r="CS97" s="838"/>
      <c r="CT97" s="838"/>
      <c r="CU97" s="838"/>
      <c r="CV97" s="697" t="str">
        <f>IFERROR(__xludf.DUMMYFUNCTION("""COMPUTED_VALUE"""),"Kirwan,Patrick ;Asaolu,Samuel O; Molloy,Síle F; Abiona,Titilayo C;  Jackson,Andrew L; Holland,Celia V (2006-2007) Patterns of soil-transmitted helminth infection and impact of four-monthly albendazole treatments in preschool children from semi-urban commu"&amp;"nities in Nigeria: a double-blind placebo-controlled randomised trial.")</f>
        <v>Kirwan,Patrick ;Asaolu,Samuel O; Molloy,Síle F; Abiona,Titilayo C;  Jackson,Andrew L; Holland,Celia V (2006-2007) Patterns of soil-transmitted helminth infection and impact of four-monthly albendazole treatments in preschool children from semi-urban communities in Nigeria: a double-blind placebo-controlled randomised trial.</v>
      </c>
    </row>
    <row r="98">
      <c r="A98" s="842" t="str">
        <f>IFERROR(__xludf.DUMMYFUNCTION("""COMPUTED_VALUE"""),"Pugh et al.")</f>
        <v>Pugh et al.</v>
      </c>
      <c r="B98" s="834" t="str">
        <f>IFERROR(__xludf.DUMMYFUNCTION("""COMPUTED_VALUE"""),"Malawi")</f>
        <v>Malawi</v>
      </c>
      <c r="C98" s="834" t="str">
        <f>IFERROR(__xludf.DUMMYFUNCTION("""COMPUTED_VALUE"""),"Albendazole")</f>
        <v>Albendazole</v>
      </c>
      <c r="D98" s="834" t="str">
        <f>IFERROR(__xludf.DUMMYFUNCTION("""COMPUTED_VALUE"""),"Single")</f>
        <v>Single</v>
      </c>
      <c r="E98" s="834" t="str">
        <f>IFERROR(__xludf.DUMMYFUNCTION("""COMPUTED_VALUE"""),"400 mg")</f>
        <v>400 mg</v>
      </c>
      <c r="F98" s="834">
        <f>IFERROR(__xludf.DUMMYFUNCTION("""COMPUTED_VALUE"""),27.0)</f>
        <v>27</v>
      </c>
      <c r="G98" s="834">
        <f>IFERROR(__xludf.DUMMYFUNCTION("""COMPUTED_VALUE"""),11.9)</f>
        <v>11.9</v>
      </c>
      <c r="H98" s="834"/>
      <c r="I98" s="834">
        <f>IFERROR(__xludf.DUMMYFUNCTION("""COMPUTED_VALUE"""),1986.0)</f>
        <v>1986</v>
      </c>
      <c r="J98" s="834"/>
      <c r="K98" s="839" t="str">
        <f>IFERROR(__xludf.DUMMYFUNCTION("""COMPUTED_VALUE"""),"open trial")</f>
        <v>open trial</v>
      </c>
      <c r="L98" s="839" t="str">
        <f>IFERROR(__xludf.DUMMYFUNCTION("""COMPUTED_VALUE"""),"No")</f>
        <v>No</v>
      </c>
      <c r="M98" s="839" t="str">
        <f>IFERROR(__xludf.DUMMYFUNCTION("""COMPUTED_VALUE"""),"No")</f>
        <v>No</v>
      </c>
      <c r="N98" s="840">
        <f>IFERROR(__xludf.DUMMYFUNCTION("""COMPUTED_VALUE"""),0.985)</f>
        <v>0.985</v>
      </c>
      <c r="O98" s="834"/>
      <c r="P98" s="834"/>
      <c r="Q98" s="834"/>
      <c r="R98" s="834"/>
      <c r="S98" s="834"/>
      <c r="T98" s="834"/>
      <c r="U98" s="834"/>
      <c r="V98" s="834"/>
      <c r="W98" s="840">
        <f>IFERROR(__xludf.DUMMYFUNCTION("""COMPUTED_VALUE"""),0.985)</f>
        <v>0.985</v>
      </c>
      <c r="X98" s="834"/>
      <c r="Y98" s="834"/>
      <c r="Z98" s="834"/>
      <c r="AA98" s="834"/>
      <c r="AB98" s="834"/>
      <c r="AC98" s="834"/>
      <c r="AD98" s="834"/>
      <c r="AE98" s="834" t="str">
        <f>IFERROR(__xludf.DUMMYFUNCTION("""COMPUTED_VALUE"""),"We conclude that AlbendazoleIs hlghly recommended for the convenient treatment of intestinal helminth infections, particularly those that include hookworm.")</f>
        <v>We conclude that AlbendazoleIs hlghly recommended for the convenient treatment of intestinal helminth infections, particularly those that include hookworm.</v>
      </c>
      <c r="AF98" s="834" t="str">
        <f>IFERROR(__xludf.DUMMYFUNCTION("""COMPUTED_VALUE"""),"Kato-Katz Method")</f>
        <v>Kato-Katz Method</v>
      </c>
      <c r="AG98" s="834" t="str">
        <f>IFERROR(__xludf.DUMMYFUNCTION("""COMPUTED_VALUE"""),"Pugh RN, Teesdale CH, &amp; Burnham GM. “Albendazolein children with hookworm infection”. Anna Trop Med Parasitol (1986): 565-567. Web.")</f>
        <v>Pugh RN, Teesdale CH, &amp; Burnham GM. “Albendazolein children with hookworm infection”. Anna Trop Med Parasitol (1986): 565-567. Web.</v>
      </c>
      <c r="AH98" s="834"/>
      <c r="AJ98" s="843" t="str">
        <f>IFERROR(__xludf.DUMMYFUNCTION("""COMPUTED_VALUE"""),"Horton et al.")</f>
        <v>Horton et al.</v>
      </c>
      <c r="AK98" s="836"/>
      <c r="AL98" s="836" t="str">
        <f>IFERROR(__xludf.DUMMYFUNCTION("""COMPUTED_VALUE"""),"Unknown")</f>
        <v>Unknown</v>
      </c>
      <c r="AM98" s="836" t="str">
        <f>IFERROR(__xludf.DUMMYFUNCTION("""COMPUTED_VALUE"""),"Albendazole")</f>
        <v>Albendazole</v>
      </c>
      <c r="AN98" s="836" t="str">
        <f>IFERROR(__xludf.DUMMYFUNCTION("""COMPUTED_VALUE"""),"Single")</f>
        <v>Single</v>
      </c>
      <c r="AO98" s="836" t="str">
        <f>IFERROR(__xludf.DUMMYFUNCTION("""COMPUTED_VALUE"""),"400 mg/day for two days")</f>
        <v>400 mg/day for two days</v>
      </c>
      <c r="AP98" s="836"/>
      <c r="AQ98" s="836" t="str">
        <f>IFERROR(__xludf.DUMMYFUNCTION("""COMPUTED_VALUE"""),"2-15 years old")</f>
        <v>2-15 years old</v>
      </c>
      <c r="AR98" s="836"/>
      <c r="AS98" s="836">
        <f>IFERROR(__xludf.DUMMYFUNCTION("""COMPUTED_VALUE"""),1998.0)</f>
        <v>1998</v>
      </c>
      <c r="AT98" s="836"/>
      <c r="AU98" s="836" t="str">
        <f>IFERROR(__xludf.DUMMYFUNCTION("""COMPUTED_VALUE"""),"No")</f>
        <v>No</v>
      </c>
      <c r="AV98" s="836"/>
      <c r="AW98" s="836" t="str">
        <f>IFERROR(__xludf.DUMMYFUNCTION("""COMPUTED_VALUE"""),"review")</f>
        <v>review</v>
      </c>
      <c r="AX98" s="841">
        <f>IFERROR(__xludf.DUMMYFUNCTION("""COMPUTED_VALUE"""),0.982)</f>
        <v>0.982</v>
      </c>
      <c r="AY98" s="836"/>
      <c r="AZ98" s="836"/>
      <c r="BA98" s="836"/>
      <c r="BB98" s="836"/>
      <c r="BC98" s="836"/>
      <c r="BD98" s="836"/>
      <c r="BE98" s="836"/>
      <c r="BF98" s="836"/>
      <c r="BG98" s="836"/>
      <c r="BH98" s="836"/>
      <c r="BI98" s="836"/>
      <c r="BJ98" s="836"/>
      <c r="BK98" s="836"/>
      <c r="BL98" s="836"/>
      <c r="BM98" s="836"/>
      <c r="BN98" s="836"/>
      <c r="BO98" s="836"/>
      <c r="BP98" s="836"/>
      <c r="BQ98" s="697">
        <f>IFERROR(__xludf.DUMMYFUNCTION("""COMPUTED_VALUE"""),97.0)</f>
        <v>97</v>
      </c>
      <c r="BR98" s="844" t="str">
        <f>IFERROR(__xludf.DUMMYFUNCTION("""COMPUTED_VALUE"""),"Kirwan et al.")</f>
        <v>Kirwan et al.</v>
      </c>
      <c r="BS98" s="838" t="str">
        <f>IFERROR(__xludf.DUMMYFUNCTION("""COMPUTED_VALUE"""),"Nigeria")</f>
        <v>Nigeria</v>
      </c>
      <c r="BT98" s="838" t="str">
        <f>IFERROR(__xludf.DUMMYFUNCTION("""COMPUTED_VALUE"""),"Placebo")</f>
        <v>Placebo</v>
      </c>
      <c r="BU98" s="838"/>
      <c r="BV98" s="838"/>
      <c r="BW98" s="838"/>
      <c r="BX98" s="838">
        <f>IFERROR(__xludf.DUMMYFUNCTION("""COMPUTED_VALUE"""),162.0)</f>
        <v>162</v>
      </c>
      <c r="BY98" s="838"/>
      <c r="BZ98" s="838">
        <f>IFERROR(__xludf.DUMMYFUNCTION("""COMPUTED_VALUE"""),2007.0)</f>
        <v>2007</v>
      </c>
      <c r="CA98" s="838" t="str">
        <f>IFERROR(__xludf.DUMMYFUNCTION("""COMPUTED_VALUE"""),"90 Males; 104 Females")</f>
        <v>90 Males; 104 Females</v>
      </c>
      <c r="CB98" s="838"/>
      <c r="CC98" s="838" t="str">
        <f>IFERROR(__xludf.DUMMYFUNCTION("""COMPUTED_VALUE"""),"Yes")</f>
        <v>Yes</v>
      </c>
      <c r="CD98" s="838"/>
      <c r="CE98" s="838" t="str">
        <f>IFERROR(__xludf.DUMMYFUNCTION("""COMPUTED_VALUE"""),"Yes")</f>
        <v>Yes</v>
      </c>
      <c r="CF98" s="838"/>
      <c r="CG98" s="838"/>
      <c r="CH98" s="838"/>
      <c r="CI98" s="838"/>
      <c r="CJ98" s="838"/>
      <c r="CK98" s="838"/>
      <c r="CL98" s="838"/>
      <c r="CM98" s="838"/>
      <c r="CN98" s="838"/>
      <c r="CO98" s="838"/>
      <c r="CP98" s="838"/>
      <c r="CQ98" s="838"/>
      <c r="CR98" s="838"/>
      <c r="CS98" s="838"/>
      <c r="CT98" s="838"/>
      <c r="CU98" s="838"/>
      <c r="CV98" s="697" t="str">
        <f>IFERROR(__xludf.DUMMYFUNCTION("""COMPUTED_VALUE"""),"Kirwan,Patrick ;Asaolu,Samuel O; Molloy,Síle F; Abiona,Titilayo C;  Jackson,Andrew L; Holland,Celia V (2006-2007) Patterns of soil-transmitted helminth infection and impact of four-monthly albendazole treatments in preschool children from semi-urban commu"&amp;"nities in Nigeria: a double-blind placebo-controlled randomised trial.")</f>
        <v>Kirwan,Patrick ;Asaolu,Samuel O; Molloy,Síle F; Abiona,Titilayo C;  Jackson,Andrew L; Holland,Celia V (2006-2007) Patterns of soil-transmitted helminth infection and impact of four-monthly albendazole treatments in preschool children from semi-urban communities in Nigeria: a double-blind placebo-controlled randomised trial.</v>
      </c>
    </row>
    <row r="99">
      <c r="A99" s="842" t="str">
        <f>IFERROR(__xludf.DUMMYFUNCTION("""COMPUTED_VALUE"""),"Pugh et al.")</f>
        <v>Pugh et al.</v>
      </c>
      <c r="B99" s="834" t="str">
        <f>IFERROR(__xludf.DUMMYFUNCTION("""COMPUTED_VALUE"""),"Malawi")</f>
        <v>Malawi</v>
      </c>
      <c r="C99" s="834" t="str">
        <f>IFERROR(__xludf.DUMMYFUNCTION("""COMPUTED_VALUE"""),"Albendazole")</f>
        <v>Albendazole</v>
      </c>
      <c r="D99" s="834" t="str">
        <f>IFERROR(__xludf.DUMMYFUNCTION("""COMPUTED_VALUE"""),"Single")</f>
        <v>Single</v>
      </c>
      <c r="E99" s="834" t="str">
        <f>IFERROR(__xludf.DUMMYFUNCTION("""COMPUTED_VALUE"""),"200 mg")</f>
        <v>200 mg</v>
      </c>
      <c r="F99" s="834">
        <f>IFERROR(__xludf.DUMMYFUNCTION("""COMPUTED_VALUE"""),30.0)</f>
        <v>30</v>
      </c>
      <c r="G99" s="834">
        <f>IFERROR(__xludf.DUMMYFUNCTION("""COMPUTED_VALUE"""),1.5)</f>
        <v>1.5</v>
      </c>
      <c r="H99" s="834"/>
      <c r="I99" s="834">
        <f>IFERROR(__xludf.DUMMYFUNCTION("""COMPUTED_VALUE"""),1986.0)</f>
        <v>1986</v>
      </c>
      <c r="J99" s="834"/>
      <c r="K99" s="839" t="str">
        <f>IFERROR(__xludf.DUMMYFUNCTION("""COMPUTED_VALUE"""),"open trial")</f>
        <v>open trial</v>
      </c>
      <c r="L99" s="839" t="str">
        <f>IFERROR(__xludf.DUMMYFUNCTION("""COMPUTED_VALUE"""),"No")</f>
        <v>No</v>
      </c>
      <c r="M99" s="839" t="str">
        <f>IFERROR(__xludf.DUMMYFUNCTION("""COMPUTED_VALUE"""),"No")</f>
        <v>No</v>
      </c>
      <c r="N99" s="840">
        <f>IFERROR(__xludf.DUMMYFUNCTION("""COMPUTED_VALUE"""),0.992)</f>
        <v>0.992</v>
      </c>
      <c r="O99" s="834"/>
      <c r="P99" s="834"/>
      <c r="Q99" s="834"/>
      <c r="R99" s="834"/>
      <c r="S99" s="834"/>
      <c r="T99" s="834"/>
      <c r="U99" s="834"/>
      <c r="V99" s="834"/>
      <c r="W99" s="840">
        <f>IFERROR(__xludf.DUMMYFUNCTION("""COMPUTED_VALUE"""),0.992)</f>
        <v>0.992</v>
      </c>
      <c r="X99" s="834"/>
      <c r="Y99" s="834"/>
      <c r="Z99" s="834"/>
      <c r="AA99" s="834"/>
      <c r="AB99" s="834"/>
      <c r="AC99" s="834"/>
      <c r="AD99" s="834"/>
      <c r="AE99" s="834" t="str">
        <f>IFERROR(__xludf.DUMMYFUNCTION("""COMPUTED_VALUE"""),"We conclude that AlbendazoleIs hlghly recommended for the convenient treatment of intestinal helminth infections, particularly those that include hookworm.")</f>
        <v>We conclude that AlbendazoleIs hlghly recommended for the convenient treatment of intestinal helminth infections, particularly those that include hookworm.</v>
      </c>
      <c r="AF99" s="834" t="str">
        <f>IFERROR(__xludf.DUMMYFUNCTION("""COMPUTED_VALUE"""),"Kato-Katz Method. Albendazole(syrup)")</f>
        <v>Kato-Katz Method. Albendazole(syrup)</v>
      </c>
      <c r="AG99" s="834" t="str">
        <f>IFERROR(__xludf.DUMMYFUNCTION("""COMPUTED_VALUE"""),"Pugh RN, Teesdale CH, &amp; Burnham GM. “Albendazolein children with hookworm infection”. Anna Trop Med Parasitol (1986): 565-567. Web.")</f>
        <v>Pugh RN, Teesdale CH, &amp; Burnham GM. “Albendazolein children with hookworm infection”. Anna Trop Med Parasitol (1986): 565-567. Web.</v>
      </c>
      <c r="AH99" s="834"/>
      <c r="AJ99" s="843" t="str">
        <f>IFERROR(__xludf.DUMMYFUNCTION("""COMPUTED_VALUE"""),"Horton et al.")</f>
        <v>Horton et al.</v>
      </c>
      <c r="AK99" s="836"/>
      <c r="AL99" s="836" t="str">
        <f>IFERROR(__xludf.DUMMYFUNCTION("""COMPUTED_VALUE"""),"Unknown")</f>
        <v>Unknown</v>
      </c>
      <c r="AM99" s="836" t="str">
        <f>IFERROR(__xludf.DUMMYFUNCTION("""COMPUTED_VALUE"""),"Albendazole")</f>
        <v>Albendazole</v>
      </c>
      <c r="AN99" s="836" t="str">
        <f>IFERROR(__xludf.DUMMYFUNCTION("""COMPUTED_VALUE"""),"Single")</f>
        <v>Single</v>
      </c>
      <c r="AO99" s="836" t="str">
        <f>IFERROR(__xludf.DUMMYFUNCTION("""COMPUTED_VALUE"""),"400 mg/day for three days")</f>
        <v>400 mg/day for three days</v>
      </c>
      <c r="AP99" s="836"/>
      <c r="AQ99" s="836" t="str">
        <f>IFERROR(__xludf.DUMMYFUNCTION("""COMPUTED_VALUE"""),"2-15 years old")</f>
        <v>2-15 years old</v>
      </c>
      <c r="AR99" s="836"/>
      <c r="AS99" s="836">
        <f>IFERROR(__xludf.DUMMYFUNCTION("""COMPUTED_VALUE"""),1998.0)</f>
        <v>1998</v>
      </c>
      <c r="AT99" s="836"/>
      <c r="AU99" s="836" t="str">
        <f>IFERROR(__xludf.DUMMYFUNCTION("""COMPUTED_VALUE"""),"No")</f>
        <v>No</v>
      </c>
      <c r="AV99" s="836"/>
      <c r="AW99" s="836" t="str">
        <f>IFERROR(__xludf.DUMMYFUNCTION("""COMPUTED_VALUE"""),"review")</f>
        <v>review</v>
      </c>
      <c r="AX99" s="841">
        <f>IFERROR(__xludf.DUMMYFUNCTION("""COMPUTED_VALUE"""),0.791)</f>
        <v>0.791</v>
      </c>
      <c r="AY99" s="836"/>
      <c r="AZ99" s="836"/>
      <c r="BA99" s="836"/>
      <c r="BB99" s="836"/>
      <c r="BC99" s="836"/>
      <c r="BD99" s="836"/>
      <c r="BE99" s="836"/>
      <c r="BF99" s="836"/>
      <c r="BG99" s="836"/>
      <c r="BH99" s="836"/>
      <c r="BI99" s="836"/>
      <c r="BJ99" s="836"/>
      <c r="BK99" s="836"/>
      <c r="BL99" s="836"/>
      <c r="BM99" s="836"/>
      <c r="BN99" s="836"/>
      <c r="BO99" s="836"/>
      <c r="BP99" s="836"/>
      <c r="BQ99" s="697">
        <f>IFERROR(__xludf.DUMMYFUNCTION("""COMPUTED_VALUE"""),98.0)</f>
        <v>98</v>
      </c>
      <c r="BR99" s="844" t="str">
        <f>IFERROR(__xludf.DUMMYFUNCTION("""COMPUTED_VALUE"""),"Bennett et al.")</f>
        <v>Bennett et al.</v>
      </c>
      <c r="BS99" s="838"/>
      <c r="BT99" s="838" t="str">
        <f>IFERROR(__xludf.DUMMYFUNCTION("""COMPUTED_VALUE"""),"Albendazole")</f>
        <v>Albendazole</v>
      </c>
      <c r="BU99" s="838"/>
      <c r="BV99" s="838" t="str">
        <f>IFERROR(__xludf.DUMMYFUNCTION("""COMPUTED_VALUE"""),"Single")</f>
        <v>Single</v>
      </c>
      <c r="BW99" s="838" t="str">
        <f>IFERROR(__xludf.DUMMYFUNCTION("""COMPUTED_VALUE"""),"400 mg")</f>
        <v>400 mg</v>
      </c>
      <c r="BX99" s="838">
        <f>IFERROR(__xludf.DUMMYFUNCTION("""COMPUTED_VALUE"""),146.0)</f>
        <v>146</v>
      </c>
      <c r="BY99" s="838"/>
      <c r="BZ99" s="838">
        <f>IFERROR(__xludf.DUMMYFUNCTION("""COMPUTED_VALUE"""),2000.0)</f>
        <v>2000</v>
      </c>
      <c r="CA99" s="838"/>
      <c r="CB99" s="838"/>
      <c r="CC99" s="838" t="str">
        <f>IFERROR(__xludf.DUMMYFUNCTION("""COMPUTED_VALUE"""),"No")</f>
        <v>No</v>
      </c>
      <c r="CD99" s="846">
        <f>IFERROR(__xludf.DUMMYFUNCTION("""COMPUTED_VALUE"""),0.97)</f>
        <v>0.97</v>
      </c>
      <c r="CE99" s="838" t="str">
        <f>IFERROR(__xludf.DUMMYFUNCTION("""COMPUTED_VALUE"""),"No")</f>
        <v>No</v>
      </c>
      <c r="CF99" s="838"/>
      <c r="CG99" s="838"/>
      <c r="CH99" s="838"/>
      <c r="CI99" s="838"/>
      <c r="CJ99" s="838"/>
      <c r="CK99" s="838"/>
      <c r="CL99" s="838"/>
      <c r="CM99" s="846">
        <f>IFERROR(__xludf.DUMMYFUNCTION("""COMPUTED_VALUE"""),0.98)</f>
        <v>0.98</v>
      </c>
      <c r="CN99" s="838"/>
      <c r="CO99" s="838"/>
      <c r="CP99" s="838"/>
      <c r="CQ99" s="838"/>
      <c r="CR99" s="838"/>
      <c r="CS99" s="838"/>
      <c r="CT99" s="838" t="str">
        <f>IFERROR(__xludf.DUMMYFUNCTION("""COMPUTED_VALUE"""),"Kato-based Methods")</f>
        <v>Kato-based Methods</v>
      </c>
      <c r="CU99" s="838" t="str">
        <f>IFERROR(__xludf.DUMMYFUNCTION("""COMPUTED_VALUE"""),"x")</f>
        <v>x</v>
      </c>
      <c r="CV99" s="697" t="str">
        <f>IFERROR(__xludf.DUMMYFUNCTION("""COMPUTED_VALUE"""),"Bennett, A., and H. Guyatt. ""Reducing Intestinal Nematode Infection: Efficacy of Albendazole and Mebendazole."" Parasitology Today 16.2 (2000): 71-74. Web.")</f>
        <v>Bennett, A., and H. Guyatt. "Reducing Intestinal Nematode Infection: Efficacy of Albendazole and Mebendazole." Parasitology Today 16.2 (2000): 71-74. Web.</v>
      </c>
    </row>
    <row r="100">
      <c r="A100" s="842" t="str">
        <f>IFERROR(__xludf.DUMMYFUNCTION("""COMPUTED_VALUE"""),"Rossignol J F &amp; Maisonneuve H")</f>
        <v>Rossignol J F &amp; Maisonneuve H</v>
      </c>
      <c r="B100" s="834" t="str">
        <f>IFERROR(__xludf.DUMMYFUNCTION("""COMPUTED_VALUE"""),"Multi-centre: France, Morocco, Mali, Senegal, Nigeria, Central African Republic, Kenya, Brazil, Peru, Mexico, and the Philippines")</f>
        <v>Multi-centre: France, Morocco, Mali, Senegal, Nigeria, Central African Republic, Kenya, Brazil, Peru, Mexico, and the Philippines</v>
      </c>
      <c r="C100" s="834" t="str">
        <f>IFERROR(__xludf.DUMMYFUNCTION("""COMPUTED_VALUE"""),"Albendazole")</f>
        <v>Albendazole</v>
      </c>
      <c r="D100" s="834" t="str">
        <f>IFERROR(__xludf.DUMMYFUNCTION("""COMPUTED_VALUE"""),"Single")</f>
        <v>Single</v>
      </c>
      <c r="E100" s="834" t="str">
        <f>IFERROR(__xludf.DUMMYFUNCTION("""COMPUTED_VALUE"""),"400 mg")</f>
        <v>400 mg</v>
      </c>
      <c r="F100" s="834">
        <f>IFERROR(__xludf.DUMMYFUNCTION("""COMPUTED_VALUE"""),870.0)</f>
        <v>870</v>
      </c>
      <c r="G100" s="834" t="str">
        <f>IFERROR(__xludf.DUMMYFUNCTION("""COMPUTED_VALUE"""),"3-79 ")</f>
        <v>3-79 </v>
      </c>
      <c r="H100" s="839" t="str">
        <f>IFERROR(__xludf.DUMMYFUNCTION("""COMPUTED_VALUE"""),"525:345")</f>
        <v>525:345</v>
      </c>
      <c r="I100" s="834">
        <f>IFERROR(__xludf.DUMMYFUNCTION("""COMPUTED_VALUE"""),1983.0)</f>
        <v>1983</v>
      </c>
      <c r="J100" s="834" t="str">
        <f>IFERROR(__xludf.DUMMYFUNCTION("""COMPUTED_VALUE"""),"Patients receiving or who had received anthelmintics during the 21 days before commencing the study were excluded, as were those with an acute illness (with or without fever), pregnant females, nursing mothers, children under three years of age, diagnosed"&amp;" epilepsy cases and persons with generalized active skin conditions. In general, patients who experienced high sensitivity to any drug or those receiving long-term therapy or having chronic illnesses or proteinuria also were excluded.")</f>
        <v>Patients receiving or who had received anthelmintics during the 21 days before commencing the study were excluded, as were those with an acute illness (with or without fever), pregnant females, nursing mothers, children under three years of age, diagnosed epilepsy cases and persons with generalized active skin conditions. In general, patients who experienced high sensitivity to any drug or those receiving long-term therapy or having chronic illnesses or proteinuria also were excluded.</v>
      </c>
      <c r="K100" s="839" t="str">
        <f>IFERROR(__xludf.DUMMYFUNCTION("""COMPUTED_VALUE"""),"randomized double-blind placebo controlled study")</f>
        <v>randomized double-blind placebo controlled study</v>
      </c>
      <c r="L100" s="839" t="str">
        <f>IFERROR(__xludf.DUMMYFUNCTION("""COMPUTED_VALUE"""),"Yes")</f>
        <v>Yes</v>
      </c>
      <c r="M100" s="839" t="str">
        <f>IFERROR(__xludf.DUMMYFUNCTION("""COMPUTED_VALUE"""),"Yes")</f>
        <v>Yes</v>
      </c>
      <c r="N100" s="840" t="str">
        <f>IFERROR(__xludf.DUMMYFUNCTION("""COMPUTED_VALUE"""),"81-86%")</f>
        <v>81-86%</v>
      </c>
      <c r="O100" s="834"/>
      <c r="P100" s="834"/>
      <c r="Q100" s="834"/>
      <c r="R100" s="834"/>
      <c r="S100" s="834"/>
      <c r="T100" s="834"/>
      <c r="U100" s="834"/>
      <c r="V100" s="834"/>
      <c r="W100" s="834"/>
      <c r="X100" s="834"/>
      <c r="Y100" s="834"/>
      <c r="Z100" s="834"/>
      <c r="AA100" s="834"/>
      <c r="AB100" s="834"/>
      <c r="AC100" s="834"/>
      <c r="AD100" s="834"/>
      <c r="AE100" s="834" t="str">
        <f>IFERROR(__xludf.DUMMYFUNCTION("""COMPUTED_VALUE"""),"Albendazole, therefore, which produces satisfactory cure rates and egg count reductions is certainly very interesting as a single dose treatment.")</f>
        <v>Albendazole, therefore, which produces satisfactory cure rates and egg count reductions is certainly very interesting as a single dose treatment.</v>
      </c>
      <c r="AF100" s="834" t="str">
        <f>IFERROR(__xludf.DUMMYFUNCTION("""COMPUTED_VALUE"""),"Kato technique")</f>
        <v>Kato technique</v>
      </c>
      <c r="AG100" s="834" t="str">
        <f>IFERROR(__xludf.DUMMYFUNCTION("""COMPUTED_VALUE"""),"Rossignol J F, Maisonneuve H. (1983) Albendazole: placebo-controlled study in 870 patients with intestinal helminthiasis. Transactions of the Royal Society of Tropical Medicine and Hygiene 77 707-711. Web.")</f>
        <v>Rossignol J F, Maisonneuve H. (1983) Albendazole: placebo-controlled study in 870 patients with intestinal helminthiasis. Transactions of the Royal Society of Tropical Medicine and Hygiene 77 707-711. Web.</v>
      </c>
      <c r="AH100" s="834"/>
      <c r="AJ100" s="843" t="str">
        <f>IFERROR(__xludf.DUMMYFUNCTION("""COMPUTED_VALUE"""),"Horton et al.")</f>
        <v>Horton et al.</v>
      </c>
      <c r="AK100" s="836"/>
      <c r="AL100" s="836" t="str">
        <f>IFERROR(__xludf.DUMMYFUNCTION("""COMPUTED_VALUE"""),"Unknown")</f>
        <v>Unknown</v>
      </c>
      <c r="AM100" s="836" t="str">
        <f>IFERROR(__xludf.DUMMYFUNCTION("""COMPUTED_VALUE"""),"Albendazole")</f>
        <v>Albendazole</v>
      </c>
      <c r="AN100" s="836" t="str">
        <f>IFERROR(__xludf.DUMMYFUNCTION("""COMPUTED_VALUE"""),"Single")</f>
        <v>Single</v>
      </c>
      <c r="AO100" s="836" t="str">
        <f>IFERROR(__xludf.DUMMYFUNCTION("""COMPUTED_VALUE"""),"400 mg/day for five days")</f>
        <v>400 mg/day for five days</v>
      </c>
      <c r="AP100" s="836"/>
      <c r="AQ100" s="836" t="str">
        <f>IFERROR(__xludf.DUMMYFUNCTION("""COMPUTED_VALUE"""),"2-15 years old")</f>
        <v>2-15 years old</v>
      </c>
      <c r="AR100" s="836"/>
      <c r="AS100" s="836">
        <f>IFERROR(__xludf.DUMMYFUNCTION("""COMPUTED_VALUE"""),1998.0)</f>
        <v>1998</v>
      </c>
      <c r="AT100" s="836"/>
      <c r="AU100" s="836" t="str">
        <f>IFERROR(__xludf.DUMMYFUNCTION("""COMPUTED_VALUE"""),"No")</f>
        <v>No</v>
      </c>
      <c r="AV100" s="836"/>
      <c r="AW100" s="836" t="str">
        <f>IFERROR(__xludf.DUMMYFUNCTION("""COMPUTED_VALUE"""),"review")</f>
        <v>review</v>
      </c>
      <c r="AX100" s="841">
        <f>IFERROR(__xludf.DUMMYFUNCTION("""COMPUTED_VALUE"""),0.89)</f>
        <v>0.89</v>
      </c>
      <c r="AY100" s="836"/>
      <c r="AZ100" s="836"/>
      <c r="BA100" s="836"/>
      <c r="BB100" s="836"/>
      <c r="BC100" s="836"/>
      <c r="BD100" s="836"/>
      <c r="BE100" s="836"/>
      <c r="BF100" s="836"/>
      <c r="BG100" s="836"/>
      <c r="BH100" s="836"/>
      <c r="BI100" s="836"/>
      <c r="BJ100" s="836"/>
      <c r="BK100" s="836"/>
      <c r="BL100" s="836"/>
      <c r="BM100" s="836"/>
      <c r="BN100" s="836"/>
      <c r="BO100" s="836"/>
      <c r="BP100" s="836"/>
      <c r="BQ100" s="697">
        <f>IFERROR(__xludf.DUMMYFUNCTION("""COMPUTED_VALUE"""),99.0)</f>
        <v>99</v>
      </c>
      <c r="BR100" s="844" t="str">
        <f>IFERROR(__xludf.DUMMYFUNCTION("""COMPUTED_VALUE"""),"Bennett et al.")</f>
        <v>Bennett et al.</v>
      </c>
      <c r="BS100" s="838"/>
      <c r="BT100" s="838" t="str">
        <f>IFERROR(__xludf.DUMMYFUNCTION("""COMPUTED_VALUE"""),"Mebendazole")</f>
        <v>Mebendazole</v>
      </c>
      <c r="BU100" s="838"/>
      <c r="BV100" s="838" t="str">
        <f>IFERROR(__xludf.DUMMYFUNCTION("""COMPUTED_VALUE"""),"Single")</f>
        <v>Single</v>
      </c>
      <c r="BW100" s="838" t="str">
        <f>IFERROR(__xludf.DUMMYFUNCTION("""COMPUTED_VALUE"""),"500 mg")</f>
        <v>500 mg</v>
      </c>
      <c r="BX100" s="838"/>
      <c r="BY100" s="838"/>
      <c r="BZ100" s="838">
        <f>IFERROR(__xludf.DUMMYFUNCTION("""COMPUTED_VALUE"""),2000.0)</f>
        <v>2000</v>
      </c>
      <c r="CA100" s="838"/>
      <c r="CB100" s="838"/>
      <c r="CC100" s="838" t="str">
        <f>IFERROR(__xludf.DUMMYFUNCTION("""COMPUTED_VALUE"""),"No")</f>
        <v>No</v>
      </c>
      <c r="CD100" s="846">
        <f>IFERROR(__xludf.DUMMYFUNCTION("""COMPUTED_VALUE"""),0.97)</f>
        <v>0.97</v>
      </c>
      <c r="CE100" s="838" t="str">
        <f>IFERROR(__xludf.DUMMYFUNCTION("""COMPUTED_VALUE"""),"No")</f>
        <v>No</v>
      </c>
      <c r="CF100" s="838"/>
      <c r="CG100" s="838"/>
      <c r="CH100" s="838"/>
      <c r="CI100" s="838"/>
      <c r="CJ100" s="838"/>
      <c r="CK100" s="838"/>
      <c r="CL100" s="838"/>
      <c r="CM100" s="846">
        <f>IFERROR(__xludf.DUMMYFUNCTION("""COMPUTED_VALUE"""),0.99)</f>
        <v>0.99</v>
      </c>
      <c r="CN100" s="838"/>
      <c r="CO100" s="838"/>
      <c r="CP100" s="838"/>
      <c r="CQ100" s="838"/>
      <c r="CR100" s="838"/>
      <c r="CS100" s="838"/>
      <c r="CT100" s="838"/>
      <c r="CU100" s="838" t="str">
        <f>IFERROR(__xludf.DUMMYFUNCTION("""COMPUTED_VALUE"""),"x")</f>
        <v>x</v>
      </c>
      <c r="CV100" s="697" t="str">
        <f>IFERROR(__xludf.DUMMYFUNCTION("""COMPUTED_VALUE"""),"Bennett, A., and H. Guyatt. ""Reducing Intestinal Nematode Infection: Efficacy of Albendazole and Mebendazole."" Parasitology Today 16.2 (2000): 71-74. Web.")</f>
        <v>Bennett, A., and H. Guyatt. "Reducing Intestinal Nematode Infection: Efficacy of Albendazole and Mebendazole." Parasitology Today 16.2 (2000): 71-74. Web.</v>
      </c>
    </row>
    <row r="101">
      <c r="A101" s="842" t="str">
        <f>IFERROR(__xludf.DUMMYFUNCTION("""COMPUTED_VALUE"""),"Rossignol J F &amp; Maisonneuve H")</f>
        <v>Rossignol J F &amp; Maisonneuve H</v>
      </c>
      <c r="B101" s="834" t="str">
        <f>IFERROR(__xludf.DUMMYFUNCTION("""COMPUTED_VALUE"""),"Multi-centre: France, Morocco, Mali, Senegal, Nigeria, Central African Republic, Kenya, Brazil, Peru, Mexico, and the Philippines")</f>
        <v>Multi-centre: France, Morocco, Mali, Senegal, Nigeria, Central African Republic, Kenya, Brazil, Peru, Mexico, and the Philippines</v>
      </c>
      <c r="C101" s="834" t="str">
        <f>IFERROR(__xludf.DUMMYFUNCTION("""COMPUTED_VALUE"""),"Placebo")</f>
        <v>Placebo</v>
      </c>
      <c r="D101" s="834"/>
      <c r="E101" s="834"/>
      <c r="F101" s="834"/>
      <c r="G101" s="834"/>
      <c r="H101" s="834"/>
      <c r="I101" s="834">
        <f>IFERROR(__xludf.DUMMYFUNCTION("""COMPUTED_VALUE"""),1983.0)</f>
        <v>1983</v>
      </c>
      <c r="J101" s="834"/>
      <c r="K101" s="839" t="str">
        <f>IFERROR(__xludf.DUMMYFUNCTION("""COMPUTED_VALUE"""),"randomized double-blind placebo controlled study")</f>
        <v>randomized double-blind placebo controlled study</v>
      </c>
      <c r="L101" s="839" t="str">
        <f>IFERROR(__xludf.DUMMYFUNCTION("""COMPUTED_VALUE"""),"Yes")</f>
        <v>Yes</v>
      </c>
      <c r="M101" s="839" t="str">
        <f>IFERROR(__xludf.DUMMYFUNCTION("""COMPUTED_VALUE"""),"Yes")</f>
        <v>Yes</v>
      </c>
      <c r="N101" s="840" t="str">
        <f>IFERROR(__xludf.DUMMYFUNCTION("""COMPUTED_VALUE"""),"0-16%")</f>
        <v>0-16%</v>
      </c>
      <c r="O101" s="834"/>
      <c r="P101" s="834"/>
      <c r="Q101" s="834"/>
      <c r="R101" s="834"/>
      <c r="S101" s="834"/>
      <c r="T101" s="834"/>
      <c r="U101" s="834"/>
      <c r="V101" s="834"/>
      <c r="W101" s="834"/>
      <c r="X101" s="834"/>
      <c r="Y101" s="834"/>
      <c r="Z101" s="834"/>
      <c r="AA101" s="834"/>
      <c r="AB101" s="834"/>
      <c r="AC101" s="834"/>
      <c r="AD101" s="834"/>
      <c r="AE101" s="834" t="str">
        <f>IFERROR(__xludf.DUMMYFUNCTION("""COMPUTED_VALUE"""),"Albendazole, therefore, which produces satisfactory cure rates and egg count reductions is certainly very interesting as a single dose treatment.")</f>
        <v>Albendazole, therefore, which produces satisfactory cure rates and egg count reductions is certainly very interesting as a single dose treatment.</v>
      </c>
      <c r="AF101" s="834" t="str">
        <f>IFERROR(__xludf.DUMMYFUNCTION("""COMPUTED_VALUE"""),"Kato technique")</f>
        <v>Kato technique</v>
      </c>
      <c r="AG101" s="834" t="str">
        <f>IFERROR(__xludf.DUMMYFUNCTION("""COMPUTED_VALUE"""),"Rossignol J F, Maisonneuve H. (1983) Albendazole: placebo-controlled study in 870 patients with intestinal helminthiasis. Transactions of the Royal Society of Tropical Medicine and Hygiene 77 707-711. Web.")</f>
        <v>Rossignol J F, Maisonneuve H. (1983) Albendazole: placebo-controlled study in 870 patients with intestinal helminthiasis. Transactions of the Royal Society of Tropical Medicine and Hygiene 77 707-711. Web.</v>
      </c>
      <c r="AH101" s="834"/>
      <c r="AJ101" s="843" t="str">
        <f>IFERROR(__xludf.DUMMYFUNCTION("""COMPUTED_VALUE"""),"Horton et al.")</f>
        <v>Horton et al.</v>
      </c>
      <c r="AK101" s="836"/>
      <c r="AL101" s="836" t="str">
        <f>IFERROR(__xludf.DUMMYFUNCTION("""COMPUTED_VALUE"""),"Unknown")</f>
        <v>Unknown</v>
      </c>
      <c r="AM101" s="836" t="str">
        <f>IFERROR(__xludf.DUMMYFUNCTION("""COMPUTED_VALUE"""),"Albendazole")</f>
        <v>Albendazole</v>
      </c>
      <c r="AN101" s="836" t="str">
        <f>IFERROR(__xludf.DUMMYFUNCTION("""COMPUTED_VALUE"""),"Single")</f>
        <v>Single</v>
      </c>
      <c r="AO101" s="836" t="str">
        <f>IFERROR(__xludf.DUMMYFUNCTION("""COMPUTED_VALUE"""),"200 mg stat")</f>
        <v>200 mg stat</v>
      </c>
      <c r="AP101" s="836"/>
      <c r="AQ101" s="836" t="str">
        <f>IFERROR(__xludf.DUMMYFUNCTION("""COMPUTED_VALUE"""),"2-15 years old")</f>
        <v>2-15 years old</v>
      </c>
      <c r="AR101" s="836"/>
      <c r="AS101" s="836">
        <f>IFERROR(__xludf.DUMMYFUNCTION("""COMPUTED_VALUE"""),1998.0)</f>
        <v>1998</v>
      </c>
      <c r="AT101" s="836"/>
      <c r="AU101" s="836" t="str">
        <f>IFERROR(__xludf.DUMMYFUNCTION("""COMPUTED_VALUE"""),"No")</f>
        <v>No</v>
      </c>
      <c r="AV101" s="836"/>
      <c r="AW101" s="836" t="str">
        <f>IFERROR(__xludf.DUMMYFUNCTION("""COMPUTED_VALUE"""),"review")</f>
        <v>review</v>
      </c>
      <c r="AX101" s="841">
        <f>IFERROR(__xludf.DUMMYFUNCTION("""COMPUTED_VALUE"""),0.251)</f>
        <v>0.251</v>
      </c>
      <c r="AY101" s="836"/>
      <c r="AZ101" s="836"/>
      <c r="BA101" s="836"/>
      <c r="BB101" s="836"/>
      <c r="BC101" s="836"/>
      <c r="BD101" s="836"/>
      <c r="BE101" s="836"/>
      <c r="BF101" s="836"/>
      <c r="BG101" s="836"/>
      <c r="BH101" s="841">
        <f>IFERROR(__xludf.DUMMYFUNCTION("""COMPUTED_VALUE"""),0.753)</f>
        <v>0.753</v>
      </c>
      <c r="BI101" s="836"/>
      <c r="BJ101" s="836"/>
      <c r="BK101" s="836"/>
      <c r="BL101" s="836"/>
      <c r="BM101" s="836"/>
      <c r="BN101" s="836"/>
      <c r="BO101" s="836"/>
      <c r="BP101" s="836"/>
      <c r="BQ101" s="697">
        <f>IFERROR(__xludf.DUMMYFUNCTION("""COMPUTED_VALUE"""),100.0)</f>
        <v>100</v>
      </c>
      <c r="BR101" s="844" t="str">
        <f>IFERROR(__xludf.DUMMYFUNCTION("""COMPUTED_VALUE"""),"Bennett et al.")</f>
        <v>Bennett et al.</v>
      </c>
      <c r="BS101" s="838"/>
      <c r="BT101" s="838" t="str">
        <f>IFERROR(__xludf.DUMMYFUNCTION("""COMPUTED_VALUE"""),"Mebendazole")</f>
        <v>Mebendazole</v>
      </c>
      <c r="BU101" s="838"/>
      <c r="BV101" s="838" t="str">
        <f>IFERROR(__xludf.DUMMYFUNCTION("""COMPUTED_VALUE"""),"Two")</f>
        <v>Two</v>
      </c>
      <c r="BW101" s="838" t="str">
        <f>IFERROR(__xludf.DUMMYFUNCTION("""COMPUTED_VALUE"""),"100 mg")</f>
        <v>100 mg</v>
      </c>
      <c r="BX101" s="838"/>
      <c r="BY101" s="838"/>
      <c r="BZ101" s="838">
        <f>IFERROR(__xludf.DUMMYFUNCTION("""COMPUTED_VALUE"""),2000.0)</f>
        <v>2000</v>
      </c>
      <c r="CA101" s="838"/>
      <c r="CB101" s="838"/>
      <c r="CC101" s="838" t="str">
        <f>IFERROR(__xludf.DUMMYFUNCTION("""COMPUTED_VALUE"""),"No")</f>
        <v>No</v>
      </c>
      <c r="CD101" s="846">
        <f>IFERROR(__xludf.DUMMYFUNCTION("""COMPUTED_VALUE"""),0.99)</f>
        <v>0.99</v>
      </c>
      <c r="CE101" s="838" t="str">
        <f>IFERROR(__xludf.DUMMYFUNCTION("""COMPUTED_VALUE"""),"No")</f>
        <v>No</v>
      </c>
      <c r="CF101" s="838"/>
      <c r="CG101" s="838"/>
      <c r="CH101" s="838"/>
      <c r="CI101" s="838"/>
      <c r="CJ101" s="838"/>
      <c r="CK101" s="838"/>
      <c r="CL101" s="838"/>
      <c r="CM101" s="846">
        <f>IFERROR(__xludf.DUMMYFUNCTION("""COMPUTED_VALUE"""),0.98)</f>
        <v>0.98</v>
      </c>
      <c r="CN101" s="838"/>
      <c r="CO101" s="838"/>
      <c r="CP101" s="838"/>
      <c r="CQ101" s="838"/>
      <c r="CR101" s="838"/>
      <c r="CS101" s="838"/>
      <c r="CT101" s="838"/>
      <c r="CU101" s="838" t="str">
        <f>IFERROR(__xludf.DUMMYFUNCTION("""COMPUTED_VALUE"""),"x")</f>
        <v>x</v>
      </c>
      <c r="CV101" s="697" t="str">
        <f>IFERROR(__xludf.DUMMYFUNCTION("""COMPUTED_VALUE"""),"Bennett, A., and H. Guyatt. ""Reducing Intestinal Nematode Infection: Efficacy of Albendazole and Mebendazole."" Parasitology Today 16.2 (2000): 71-74. Web.")</f>
        <v>Bennett, A., and H. Guyatt. "Reducing Intestinal Nematode Infection: Efficacy of Albendazole and Mebendazole." Parasitology Today 16.2 (2000): 71-74. Web.</v>
      </c>
    </row>
    <row r="102">
      <c r="A102" s="842" t="str">
        <f>IFERROR(__xludf.DUMMYFUNCTION("""COMPUTED_VALUE"""),"Sacko et al.")</f>
        <v>Sacko et al.</v>
      </c>
      <c r="B102" s="834" t="str">
        <f>IFERROR(__xludf.DUMMYFUNCTION("""COMPUTED_VALUE"""),"Mali")</f>
        <v>Mali</v>
      </c>
      <c r="C102" s="834" t="str">
        <f>IFERROR(__xludf.DUMMYFUNCTION("""COMPUTED_VALUE"""),"Pyrantel")</f>
        <v>Pyrantel</v>
      </c>
      <c r="D102" s="834" t="str">
        <f>IFERROR(__xludf.DUMMYFUNCTION("""COMPUTED_VALUE"""),"Single")</f>
        <v>Single</v>
      </c>
      <c r="E102" s="834" t="str">
        <f>IFERROR(__xludf.DUMMYFUNCTION("""COMPUTED_VALUE"""),"125 mg")</f>
        <v>125 mg</v>
      </c>
      <c r="F102" s="834">
        <f>IFERROR(__xludf.DUMMYFUNCTION("""COMPUTED_VALUE"""),37.0)</f>
        <v>37</v>
      </c>
      <c r="G102" s="834" t="str">
        <f>IFERROR(__xludf.DUMMYFUNCTION("""COMPUTED_VALUE"""),"4-71")</f>
        <v>4-71</v>
      </c>
      <c r="H102" s="839" t="str">
        <f>IFERROR(__xludf.DUMMYFUNCTION("""COMPUTED_VALUE"""),"21:16")</f>
        <v>21:16</v>
      </c>
      <c r="I102" s="834">
        <f>IFERROR(__xludf.DUMMYFUNCTION("""COMPUTED_VALUE"""),1998.0)</f>
        <v>1998</v>
      </c>
      <c r="J102" s="834" t="str">
        <f>IFERROR(__xludf.DUMMYFUNCTION("""COMPUTED_VALUE"""),"Pregnant women were excluded from the study. Children under 2 years old were excluded as well")</f>
        <v>Pregnant women were excluded from the study. Children under 2 years old were excluded as well</v>
      </c>
      <c r="K102" s="839" t="str">
        <f>IFERROR(__xludf.DUMMYFUNCTION("""COMPUTED_VALUE"""),"placebo controlled randomized")</f>
        <v>placebo controlled randomized</v>
      </c>
      <c r="L102" s="839" t="str">
        <f>IFERROR(__xludf.DUMMYFUNCTION("""COMPUTED_VALUE"""),"Yes")</f>
        <v>Yes</v>
      </c>
      <c r="M102" s="839" t="str">
        <f>IFERROR(__xludf.DUMMYFUNCTION("""COMPUTED_VALUE"""),"Yes")</f>
        <v>Yes</v>
      </c>
      <c r="N102" s="840">
        <f>IFERROR(__xludf.DUMMYFUNCTION("""COMPUTED_VALUE"""),0.378)</f>
        <v>0.378</v>
      </c>
      <c r="O102" s="834"/>
      <c r="P102" s="834"/>
      <c r="Q102" s="834"/>
      <c r="R102" s="834"/>
      <c r="S102" s="834"/>
      <c r="T102" s="834"/>
      <c r="U102" s="834"/>
      <c r="V102" s="834"/>
      <c r="W102" s="834"/>
      <c r="X102" s="834"/>
      <c r="Y102" s="834"/>
      <c r="Z102" s="834"/>
      <c r="AA102" s="834"/>
      <c r="AB102" s="834"/>
      <c r="AC102" s="834"/>
      <c r="AD102" s="834"/>
      <c r="AE102" s="834" t="str">
        <f>IFERROR(__xludf.DUMMYFUNCTION("""COMPUTED_VALUE"""),"The main conclusion from this trial is that Albendazoleand pyrantel in the treatment of N. americanus infections in southern Mali.")</f>
        <v>The main conclusion from this trial is that Albendazoleand pyrantel in the treatment of N. americanus infections in southern Mali.</v>
      </c>
      <c r="AF102" s="834" t="str">
        <f>IFERROR(__xludf.DUMMYFUNCTION("""COMPUTED_VALUE"""),"Kato-Katz Method")</f>
        <v>Kato-Katz Method</v>
      </c>
      <c r="AG102" s="834" t="str">
        <f>IFERROR(__xludf.DUMMYFUNCTION("""COMPUTED_VALUE"""),"Sacko, M., D. De Clercq, J. M. Behnke, F. S. Gilbert, P. Dorny, and J. Vercuysse. ""Comparison of the Efficacy of Mebendazole, Albendazoleand Pyrantel in Treatment of Human Hookworm Infections in the Southern Region of Mali, West Africa."" Transactions of"&amp;" the Royal Society of Tropical Medicine and Hygiene 93 (1999): 195-203. Web.")</f>
        <v>Sacko, M., D. De Clercq, J. M. Behnke, F. S. Gilbert, P. Dorny, and J. Vercuysse. "Comparison of the Efficacy of Mebendazole, Albendazoleand Pyrantel in Treatment of Human Hookworm Infections in the Southern Region of Mali, West Africa." Transactions of the Royal Society of Tropical Medicine and Hygiene 93 (1999): 195-203. Web.</v>
      </c>
      <c r="AH102" s="834"/>
      <c r="AJ102" s="843" t="str">
        <f>IFERROR(__xludf.DUMMYFUNCTION("""COMPUTED_VALUE"""),"Horton et al.")</f>
        <v>Horton et al.</v>
      </c>
      <c r="AK102" s="836"/>
      <c r="AL102" s="836" t="str">
        <f>IFERROR(__xludf.DUMMYFUNCTION("""COMPUTED_VALUE"""),"Unknown")</f>
        <v>Unknown</v>
      </c>
      <c r="AM102" s="836" t="str">
        <f>IFERROR(__xludf.DUMMYFUNCTION("""COMPUTED_VALUE"""),"Albendazole")</f>
        <v>Albendazole</v>
      </c>
      <c r="AN102" s="836" t="str">
        <f>IFERROR(__xludf.DUMMYFUNCTION("""COMPUTED_VALUE"""),"Single")</f>
        <v>Single</v>
      </c>
      <c r="AO102" s="836" t="str">
        <f>IFERROR(__xludf.DUMMYFUNCTION("""COMPUTED_VALUE"""),"600 mg stat")</f>
        <v>600 mg stat</v>
      </c>
      <c r="AP102" s="836"/>
      <c r="AQ102" s="836" t="str">
        <f>IFERROR(__xludf.DUMMYFUNCTION("""COMPUTED_VALUE"""),"2-15 years old")</f>
        <v>2-15 years old</v>
      </c>
      <c r="AR102" s="836"/>
      <c r="AS102" s="836">
        <f>IFERROR(__xludf.DUMMYFUNCTION("""COMPUTED_VALUE"""),1998.0)</f>
        <v>1998</v>
      </c>
      <c r="AT102" s="836"/>
      <c r="AU102" s="836" t="str">
        <f>IFERROR(__xludf.DUMMYFUNCTION("""COMPUTED_VALUE"""),"No")</f>
        <v>No</v>
      </c>
      <c r="AV102" s="836"/>
      <c r="AW102" s="836" t="str">
        <f>IFERROR(__xludf.DUMMYFUNCTION("""COMPUTED_VALUE"""),"review")</f>
        <v>review</v>
      </c>
      <c r="AX102" s="841">
        <f>IFERROR(__xludf.DUMMYFUNCTION("""COMPUTED_VALUE"""),0.511)</f>
        <v>0.511</v>
      </c>
      <c r="AY102" s="836"/>
      <c r="AZ102" s="836"/>
      <c r="BA102" s="836"/>
      <c r="BB102" s="836"/>
      <c r="BC102" s="836"/>
      <c r="BD102" s="836"/>
      <c r="BE102" s="836"/>
      <c r="BF102" s="836"/>
      <c r="BG102" s="836"/>
      <c r="BH102" s="841">
        <f>IFERROR(__xludf.DUMMYFUNCTION("""COMPUTED_VALUE"""),0.846)</f>
        <v>0.846</v>
      </c>
      <c r="BI102" s="836"/>
      <c r="BJ102" s="836"/>
      <c r="BK102" s="836"/>
      <c r="BL102" s="836"/>
      <c r="BM102" s="836"/>
      <c r="BN102" s="836"/>
      <c r="BO102" s="836"/>
      <c r="BP102" s="836"/>
      <c r="BQ102" s="697">
        <f>IFERROR(__xludf.DUMMYFUNCTION("""COMPUTED_VALUE"""),101.0)</f>
        <v>101</v>
      </c>
      <c r="BR102" s="844" t="str">
        <f>IFERROR(__xludf.DUMMYFUNCTION("""COMPUTED_VALUE"""),"Kumar et al.")</f>
        <v>Kumar et al.</v>
      </c>
      <c r="BS102" s="838" t="str">
        <f>IFERROR(__xludf.DUMMYFUNCTION("""COMPUTED_VALUE"""),"India")</f>
        <v>India</v>
      </c>
      <c r="BT102" s="838" t="str">
        <f>IFERROR(__xludf.DUMMYFUNCTION("""COMPUTED_VALUE"""),"Albendazole")</f>
        <v>Albendazole</v>
      </c>
      <c r="BU102" s="838"/>
      <c r="BV102" s="838" t="str">
        <f>IFERROR(__xludf.DUMMYFUNCTION("""COMPUTED_VALUE"""),"Single")</f>
        <v>Single</v>
      </c>
      <c r="BW102" s="838" t="str">
        <f>IFERROR(__xludf.DUMMYFUNCTION("""COMPUTED_VALUE"""),"400 mg")</f>
        <v>400 mg</v>
      </c>
      <c r="BX102" s="838">
        <f>IFERROR(__xludf.DUMMYFUNCTION("""COMPUTED_VALUE"""),2732.0)</f>
        <v>2732</v>
      </c>
      <c r="BY102" s="838" t="str">
        <f>IFERROR(__xludf.DUMMYFUNCTION("""COMPUTED_VALUE"""),"1-50+ years old ")</f>
        <v>1-50+ years old </v>
      </c>
      <c r="BZ102" s="838">
        <f>IFERROR(__xludf.DUMMYFUNCTION("""COMPUTED_VALUE"""),2013.0)</f>
        <v>2013</v>
      </c>
      <c r="CA102" s="838" t="str">
        <f>IFERROR(__xludf.DUMMYFUNCTION("""COMPUTED_VALUE"""),"2656 Males, 76 Females, 6 children")</f>
        <v>2656 Males, 76 Females, 6 children</v>
      </c>
      <c r="CB102" s="838"/>
      <c r="CC102" s="838" t="str">
        <f>IFERROR(__xludf.DUMMYFUNCTION("""COMPUTED_VALUE"""),"No")</f>
        <v>No</v>
      </c>
      <c r="CD102" s="846">
        <f>IFERROR(__xludf.DUMMYFUNCTION("""COMPUTED_VALUE"""),0.66)</f>
        <v>0.66</v>
      </c>
      <c r="CE102" s="838" t="str">
        <f>IFERROR(__xludf.DUMMYFUNCTION("""COMPUTED_VALUE"""),"No")</f>
        <v>No</v>
      </c>
      <c r="CF102" s="838"/>
      <c r="CG102" s="838"/>
      <c r="CH102" s="838"/>
      <c r="CI102" s="838"/>
      <c r="CJ102" s="838"/>
      <c r="CK102" s="838"/>
      <c r="CL102" s="838"/>
      <c r="CM102" s="838"/>
      <c r="CN102" s="838"/>
      <c r="CO102" s="838"/>
      <c r="CP102" s="838"/>
      <c r="CQ102" s="838"/>
      <c r="CR102" s="838"/>
      <c r="CS102" s="838"/>
      <c r="CT102" s="838"/>
      <c r="CU102" s="838"/>
      <c r="CV102" s="697" t="str">
        <f>IFERROR(__xludf.DUMMYFUNCTION("""COMPUTED_VALUE"""),"Kumar,Brig Hemant; Jain, Capt Kalpana; Jain,Maj Rahul (2012)A study of prevalence of intestinal worm infestation and efficacy of anthelminthic drugs")</f>
        <v>Kumar,Brig Hemant; Jain, Capt Kalpana; Jain,Maj Rahul (2012)A study of prevalence of intestinal worm infestation and efficacy of anthelminthic drugs</v>
      </c>
    </row>
    <row r="103">
      <c r="A103" s="842" t="str">
        <f>IFERROR(__xludf.DUMMYFUNCTION("""COMPUTED_VALUE"""),"Sacko et al.")</f>
        <v>Sacko et al.</v>
      </c>
      <c r="B103" s="834" t="str">
        <f>IFERROR(__xludf.DUMMYFUNCTION("""COMPUTED_VALUE"""),"Mali")</f>
        <v>Mali</v>
      </c>
      <c r="C103" s="834" t="str">
        <f>IFERROR(__xludf.DUMMYFUNCTION("""COMPUTED_VALUE"""),"Mebendazole")</f>
        <v>Mebendazole</v>
      </c>
      <c r="D103" s="834" t="str">
        <f>IFERROR(__xludf.DUMMYFUNCTION("""COMPUTED_VALUE"""),"Single")</f>
        <v>Single</v>
      </c>
      <c r="E103" s="834" t="str">
        <f>IFERROR(__xludf.DUMMYFUNCTION("""COMPUTED_VALUE"""),"500 mg")</f>
        <v>500 mg</v>
      </c>
      <c r="F103" s="834">
        <f>IFERROR(__xludf.DUMMYFUNCTION("""COMPUTED_VALUE"""),35.0)</f>
        <v>35</v>
      </c>
      <c r="G103" s="834" t="str">
        <f>IFERROR(__xludf.DUMMYFUNCTION("""COMPUTED_VALUE"""),"3-67")</f>
        <v>3-67</v>
      </c>
      <c r="H103" s="839" t="str">
        <f>IFERROR(__xludf.DUMMYFUNCTION("""COMPUTED_VALUE"""),"19:16")</f>
        <v>19:16</v>
      </c>
      <c r="I103" s="834">
        <f>IFERROR(__xludf.DUMMYFUNCTION("""COMPUTED_VALUE"""),1998.0)</f>
        <v>1998</v>
      </c>
      <c r="J103" s="834"/>
      <c r="K103" s="839" t="str">
        <f>IFERROR(__xludf.DUMMYFUNCTION("""COMPUTED_VALUE"""),"placebo controlled randomized")</f>
        <v>placebo controlled randomized</v>
      </c>
      <c r="L103" s="839" t="str">
        <f>IFERROR(__xludf.DUMMYFUNCTION("""COMPUTED_VALUE"""),"Yes")</f>
        <v>Yes</v>
      </c>
      <c r="M103" s="839" t="str">
        <f>IFERROR(__xludf.DUMMYFUNCTION("""COMPUTED_VALUE"""),"Yes")</f>
        <v>Yes</v>
      </c>
      <c r="N103" s="840">
        <f>IFERROR(__xludf.DUMMYFUNCTION("""COMPUTED_VALUE"""),0.514)</f>
        <v>0.514</v>
      </c>
      <c r="O103" s="834"/>
      <c r="P103" s="834"/>
      <c r="Q103" s="834"/>
      <c r="R103" s="834"/>
      <c r="S103" s="834"/>
      <c r="T103" s="834"/>
      <c r="U103" s="834"/>
      <c r="V103" s="834"/>
      <c r="W103" s="834"/>
      <c r="X103" s="834"/>
      <c r="Y103" s="834"/>
      <c r="Z103" s="834"/>
      <c r="AA103" s="834"/>
      <c r="AB103" s="834"/>
      <c r="AC103" s="834"/>
      <c r="AD103" s="834"/>
      <c r="AE103" s="834" t="str">
        <f>IFERROR(__xludf.DUMMYFUNCTION("""COMPUTED_VALUE"""),"The main conclusion from this trial is that Albendazoleand pyrantel in the treatment of N. americanus infections in southern Mali.")</f>
        <v>The main conclusion from this trial is that Albendazoleand pyrantel in the treatment of N. americanus infections in southern Mali.</v>
      </c>
      <c r="AF103" s="834" t="str">
        <f>IFERROR(__xludf.DUMMYFUNCTION("""COMPUTED_VALUE"""),"Kato-Katz Method")</f>
        <v>Kato-Katz Method</v>
      </c>
      <c r="AG103" s="834" t="str">
        <f>IFERROR(__xludf.DUMMYFUNCTION("""COMPUTED_VALUE"""),"Sacko, M., D. De Clercq, J. M. Behnke, F. S. Gilbert, P. Dorny, and J. Vercuysse. ""Comparison of the Efficacy of Mebendazole, Albendazoleand Pyrantel in Treatment of Human Hookworm Infections in the Southern Region of Mali, West Africa."" Transactions of"&amp;" the Royal Society of Tropical Medicine and Hygiene 93 (1999): 195-203. Web.")</f>
        <v>Sacko, M., D. De Clercq, J. M. Behnke, F. S. Gilbert, P. Dorny, and J. Vercuysse. "Comparison of the Efficacy of Mebendazole, Albendazoleand Pyrantel in Treatment of Human Hookworm Infections in the Southern Region of Mali, West Africa." Transactions of the Royal Society of Tropical Medicine and Hygiene 93 (1999): 195-203. Web.</v>
      </c>
      <c r="AH103" s="834"/>
      <c r="AJ103" s="836"/>
      <c r="AK103" s="836"/>
      <c r="AL103" s="836"/>
      <c r="AM103" s="836"/>
      <c r="AN103" s="836"/>
      <c r="AO103" s="836"/>
      <c r="AP103" s="836"/>
      <c r="AQ103" s="836"/>
      <c r="AR103" s="836"/>
      <c r="AS103" s="836"/>
      <c r="AT103" s="836"/>
      <c r="AU103" s="836"/>
      <c r="AV103" s="836"/>
      <c r="AW103" s="836"/>
      <c r="AX103" s="836"/>
      <c r="AY103" s="836"/>
      <c r="AZ103" s="836"/>
      <c r="BA103" s="836"/>
      <c r="BB103" s="836"/>
      <c r="BC103" s="836"/>
      <c r="BD103" s="836"/>
      <c r="BE103" s="836"/>
      <c r="BF103" s="836"/>
      <c r="BG103" s="836"/>
      <c r="BH103" s="836"/>
      <c r="BI103" s="836"/>
      <c r="BJ103" s="836"/>
      <c r="BK103" s="836"/>
      <c r="BL103" s="836"/>
      <c r="BM103" s="836"/>
      <c r="BN103" s="836"/>
      <c r="BO103" s="836"/>
      <c r="BP103" s="836"/>
      <c r="BQ103" s="697">
        <f>IFERROR(__xludf.DUMMYFUNCTION("""COMPUTED_VALUE"""),102.0)</f>
        <v>102</v>
      </c>
      <c r="BR103" s="844" t="str">
        <f>IFERROR(__xludf.DUMMYFUNCTION("""COMPUTED_VALUE"""),"Seo et al.")</f>
        <v>Seo et al.</v>
      </c>
      <c r="BS103" s="838" t="str">
        <f>IFERROR(__xludf.DUMMYFUNCTION("""COMPUTED_VALUE"""),"Korea")</f>
        <v>Korea</v>
      </c>
      <c r="BT103" s="838" t="str">
        <f>IFERROR(__xludf.DUMMYFUNCTION("""COMPUTED_VALUE"""),"Mebendazole")</f>
        <v>Mebendazole</v>
      </c>
      <c r="BU103" s="838"/>
      <c r="BV103" s="838" t="str">
        <f>IFERROR(__xludf.DUMMYFUNCTION("""COMPUTED_VALUE"""),"Single")</f>
        <v>Single</v>
      </c>
      <c r="BW103" s="838" t="str">
        <f>IFERROR(__xludf.DUMMYFUNCTION("""COMPUTED_VALUE"""),"100 mg")</f>
        <v>100 mg</v>
      </c>
      <c r="BX103" s="838">
        <f>IFERROR(__xludf.DUMMYFUNCTION("""COMPUTED_VALUE"""),32.0)</f>
        <v>32</v>
      </c>
      <c r="BY103" s="838" t="str">
        <f>IFERROR(__xludf.DUMMYFUNCTION("""COMPUTED_VALUE"""),"1-50+ years old ")</f>
        <v>1-50+ years old </v>
      </c>
      <c r="BZ103" s="838">
        <f>IFERROR(__xludf.DUMMYFUNCTION("""COMPUTED_VALUE"""),1978.0)</f>
        <v>1978</v>
      </c>
      <c r="CA103" s="838"/>
      <c r="CB103" s="838"/>
      <c r="CC103" s="838" t="str">
        <f>IFERROR(__xludf.DUMMYFUNCTION("""COMPUTED_VALUE"""),"No")</f>
        <v>No</v>
      </c>
      <c r="CD103" s="847">
        <f>IFERROR(__xludf.DUMMYFUNCTION("""COMPUTED_VALUE"""),0.875)</f>
        <v>0.875</v>
      </c>
      <c r="CE103" s="838" t="str">
        <f>IFERROR(__xludf.DUMMYFUNCTION("""COMPUTED_VALUE"""),"No")</f>
        <v>No</v>
      </c>
      <c r="CF103" s="838"/>
      <c r="CG103" s="838"/>
      <c r="CH103" s="838"/>
      <c r="CI103" s="838"/>
      <c r="CJ103" s="838"/>
      <c r="CK103" s="838"/>
      <c r="CL103" s="838"/>
      <c r="CM103" s="847">
        <f>IFERROR(__xludf.DUMMYFUNCTION("""COMPUTED_VALUE"""),0.986)</f>
        <v>0.986</v>
      </c>
      <c r="CN103" s="838"/>
      <c r="CO103" s="838"/>
      <c r="CP103" s="838"/>
      <c r="CQ103" s="838"/>
      <c r="CR103" s="838"/>
      <c r="CS103" s="838"/>
      <c r="CT103" s="838" t="str">
        <f>IFERROR(__xludf.DUMMYFUNCTION("""COMPUTED_VALUE"""),"Stroll Techique")</f>
        <v>Stroll Techique</v>
      </c>
      <c r="CU103" s="838"/>
      <c r="CV103" s="697" t="str">
        <f>IFERROR(__xludf.DUMMYFUNCTION("""COMPUTED_VALUE"""),"Byong Seol Seo, Seung Yull Cho, Jong Yil Chai. Reduced Single Dose of Mebendazole in Treatment of Ascaris Lumbricoides Infection")</f>
        <v>Byong Seol Seo, Seung Yull Cho, Jong Yil Chai. Reduced Single Dose of Mebendazole in Treatment of Ascaris Lumbricoides Infection</v>
      </c>
    </row>
    <row r="104">
      <c r="A104" s="842" t="str">
        <f>IFERROR(__xludf.DUMMYFUNCTION("""COMPUTED_VALUE"""),"Sacko et al.")</f>
        <v>Sacko et al.</v>
      </c>
      <c r="B104" s="834" t="str">
        <f>IFERROR(__xludf.DUMMYFUNCTION("""COMPUTED_VALUE"""),"Mali")</f>
        <v>Mali</v>
      </c>
      <c r="C104" s="834" t="str">
        <f>IFERROR(__xludf.DUMMYFUNCTION("""COMPUTED_VALUE"""),"Albendazole")</f>
        <v>Albendazole</v>
      </c>
      <c r="D104" s="834" t="str">
        <f>IFERROR(__xludf.DUMMYFUNCTION("""COMPUTED_VALUE"""),"Single")</f>
        <v>Single</v>
      </c>
      <c r="E104" s="834" t="str">
        <f>IFERROR(__xludf.DUMMYFUNCTION("""COMPUTED_VALUE"""),"400 mg")</f>
        <v>400 mg</v>
      </c>
      <c r="F104" s="834">
        <f>IFERROR(__xludf.DUMMYFUNCTION("""COMPUTED_VALUE"""),37.0)</f>
        <v>37</v>
      </c>
      <c r="G104" s="834" t="str">
        <f>IFERROR(__xludf.DUMMYFUNCTION("""COMPUTED_VALUE"""),"3-70")</f>
        <v>3-70</v>
      </c>
      <c r="H104" s="839" t="str">
        <f>IFERROR(__xludf.DUMMYFUNCTION("""COMPUTED_VALUE"""),"22:15")</f>
        <v>22:15</v>
      </c>
      <c r="I104" s="834">
        <f>IFERROR(__xludf.DUMMYFUNCTION("""COMPUTED_VALUE"""),1998.0)</f>
        <v>1998</v>
      </c>
      <c r="J104" s="834"/>
      <c r="K104" s="839" t="str">
        <f>IFERROR(__xludf.DUMMYFUNCTION("""COMPUTED_VALUE"""),"placebo controlled randomized")</f>
        <v>placebo controlled randomized</v>
      </c>
      <c r="L104" s="839" t="str">
        <f>IFERROR(__xludf.DUMMYFUNCTION("""COMPUTED_VALUE"""),"Yes")</f>
        <v>Yes</v>
      </c>
      <c r="M104" s="839" t="str">
        <f>IFERROR(__xludf.DUMMYFUNCTION("""COMPUTED_VALUE"""),"Yes")</f>
        <v>Yes</v>
      </c>
      <c r="N104" s="840">
        <f>IFERROR(__xludf.DUMMYFUNCTION("""COMPUTED_VALUE"""),0.838)</f>
        <v>0.838</v>
      </c>
      <c r="O104" s="834"/>
      <c r="P104" s="834"/>
      <c r="Q104" s="834"/>
      <c r="R104" s="834"/>
      <c r="S104" s="834"/>
      <c r="T104" s="834"/>
      <c r="U104" s="834"/>
      <c r="V104" s="834"/>
      <c r="W104" s="834"/>
      <c r="X104" s="834"/>
      <c r="Y104" s="834"/>
      <c r="Z104" s="834"/>
      <c r="AA104" s="834"/>
      <c r="AB104" s="834"/>
      <c r="AC104" s="834"/>
      <c r="AD104" s="834"/>
      <c r="AE104" s="834" t="str">
        <f>IFERROR(__xludf.DUMMYFUNCTION("""COMPUTED_VALUE"""),"The main conclusion from this trial is that Albendazoleand pyrantel in the treatment of N. americanus infections in southern Mali.")</f>
        <v>The main conclusion from this trial is that Albendazoleand pyrantel in the treatment of N. americanus infections in southern Mali.</v>
      </c>
      <c r="AF104" s="834" t="str">
        <f>IFERROR(__xludf.DUMMYFUNCTION("""COMPUTED_VALUE"""),"Kato-Katz Method")</f>
        <v>Kato-Katz Method</v>
      </c>
      <c r="AG104" s="834" t="str">
        <f>IFERROR(__xludf.DUMMYFUNCTION("""COMPUTED_VALUE"""),"Sacko, M., D. De Clercq, J. M. Behnke, F. S. Gilbert, P. Dorny, and J. Vercuysse. ""Comparison of the Efficacy of Mebendazole, Albendazoleand Pyrantel in Treatment of Human Hookworm Infections in the Southern Region of Mali, West Africa."" Transactions of"&amp;" the Royal Society of Tropical Medicine and Hygiene 93 (1999): 195-203. Web.")</f>
        <v>Sacko, M., D. De Clercq, J. M. Behnke, F. S. Gilbert, P. Dorny, and J. Vercuysse. "Comparison of the Efficacy of Mebendazole, Albendazoleand Pyrantel in Treatment of Human Hookworm Infections in the Southern Region of Mali, West Africa." Transactions of the Royal Society of Tropical Medicine and Hygiene 93 (1999): 195-203. Web.</v>
      </c>
      <c r="AH104" s="834"/>
      <c r="AJ104" s="843" t="str">
        <f>IFERROR(__xludf.DUMMYFUNCTION("""COMPUTED_VALUE"""),"Keiser et al.")</f>
        <v>Keiser et al.</v>
      </c>
      <c r="AK104" s="836" t="str">
        <f>IFERROR(__xludf.DUMMYFUNCTION("""COMPUTED_VALUE"""),"Keiser, Jennifer, and Jurg Utzinger. ""Efficacy of Current Drugs Against Soil-Transmitted Helminth Infections."" American Medical Associaton 299.16 (2008): 1937-947. Web.")</f>
        <v>Keiser, Jennifer, and Jurg Utzinger. "Efficacy of Current Drugs Against Soil-Transmitted Helminth Infections." American Medical Associaton 299.16 (2008): 1937-947. Web.</v>
      </c>
      <c r="AL104" s="836" t="str">
        <f>IFERROR(__xludf.DUMMYFUNCTION("""COMPUTED_VALUE"""),"Various locations")</f>
        <v>Various locations</v>
      </c>
      <c r="AM104" s="836" t="str">
        <f>IFERROR(__xludf.DUMMYFUNCTION("""COMPUTED_VALUE"""),"Albendazole")</f>
        <v>Albendazole</v>
      </c>
      <c r="AN104" s="836" t="str">
        <f>IFERROR(__xludf.DUMMYFUNCTION("""COMPUTED_VALUE"""),"Single")</f>
        <v>Single</v>
      </c>
      <c r="AO104" s="836" t="str">
        <f>IFERROR(__xludf.DUMMYFUNCTION("""COMPUTED_VALUE"""),"400 mg")</f>
        <v>400 mg</v>
      </c>
      <c r="AP104" s="836">
        <f>IFERROR(__xludf.DUMMYFUNCTION("""COMPUTED_VALUE"""),5147.0)</f>
        <v>5147</v>
      </c>
      <c r="AQ104" s="836" t="str">
        <f>IFERROR(__xludf.DUMMYFUNCTION("""COMPUTED_VALUE"""),"School Children and Adults")</f>
        <v>School Children and Adults</v>
      </c>
      <c r="AR104" s="836"/>
      <c r="AS104" s="836" t="str">
        <f>IFERROR(__xludf.DUMMYFUNCTION("""COMPUTED_VALUE"""),"1974-2007")</f>
        <v>1974-2007</v>
      </c>
      <c r="AT104" s="836"/>
      <c r="AU104" s="836" t="str">
        <f>IFERROR(__xludf.DUMMYFUNCTION("""COMPUTED_VALUE"""),"No")</f>
        <v>No</v>
      </c>
      <c r="AV104" s="836"/>
      <c r="AW104" s="836" t="str">
        <f>IFERROR(__xludf.DUMMYFUNCTION("""COMPUTED_VALUE"""),"Systematic review")</f>
        <v>Systematic review</v>
      </c>
      <c r="AX104" s="841">
        <f>IFERROR(__xludf.DUMMYFUNCTION("""COMPUTED_VALUE"""),0.436)</f>
        <v>0.436</v>
      </c>
      <c r="AY104" s="836"/>
      <c r="AZ104" s="836"/>
      <c r="BA104" s="836"/>
      <c r="BB104" s="836"/>
      <c r="BC104" s="836"/>
      <c r="BD104" s="836"/>
      <c r="BE104" s="836"/>
      <c r="BF104" s="836"/>
      <c r="BG104" s="836"/>
      <c r="BH104" s="836"/>
      <c r="BI104" s="836"/>
      <c r="BJ104" s="836"/>
      <c r="BK104" s="836"/>
      <c r="BL104" s="836"/>
      <c r="BM104" s="836"/>
      <c r="BN104" s="836"/>
      <c r="BO104" s="836"/>
      <c r="BP104" s="836" t="str">
        <f>IFERROR(__xludf.DUMMYFUNCTION("""COMPUTED_VALUE"""),"x")</f>
        <v>x</v>
      </c>
      <c r="BQ104" s="697">
        <f>IFERROR(__xludf.DUMMYFUNCTION("""COMPUTED_VALUE"""),103.0)</f>
        <v>103</v>
      </c>
      <c r="BR104" s="844" t="str">
        <f>IFERROR(__xludf.DUMMYFUNCTION("""COMPUTED_VALUE"""),"Seo et al.")</f>
        <v>Seo et al.</v>
      </c>
      <c r="BS104" s="838" t="str">
        <f>IFERROR(__xludf.DUMMYFUNCTION("""COMPUTED_VALUE"""),"Korea")</f>
        <v>Korea</v>
      </c>
      <c r="BT104" s="838" t="str">
        <f>IFERROR(__xludf.DUMMYFUNCTION("""COMPUTED_VALUE"""),"Mebendazole")</f>
        <v>Mebendazole</v>
      </c>
      <c r="BU104" s="838"/>
      <c r="BV104" s="838" t="str">
        <f>IFERROR(__xludf.DUMMYFUNCTION("""COMPUTED_VALUE"""),"Single")</f>
        <v>Single</v>
      </c>
      <c r="BW104" s="838" t="str">
        <f>IFERROR(__xludf.DUMMYFUNCTION("""COMPUTED_VALUE"""),"200 mg")</f>
        <v>200 mg</v>
      </c>
      <c r="BX104" s="838">
        <f>IFERROR(__xludf.DUMMYFUNCTION("""COMPUTED_VALUE"""),25.0)</f>
        <v>25</v>
      </c>
      <c r="BY104" s="838" t="str">
        <f>IFERROR(__xludf.DUMMYFUNCTION("""COMPUTED_VALUE"""),"1-50+ years old ")</f>
        <v>1-50+ years old </v>
      </c>
      <c r="BZ104" s="838">
        <f>IFERROR(__xludf.DUMMYFUNCTION("""COMPUTED_VALUE"""),1978.0)</f>
        <v>1978</v>
      </c>
      <c r="CA104" s="838"/>
      <c r="CB104" s="838"/>
      <c r="CC104" s="838" t="str">
        <f>IFERROR(__xludf.DUMMYFUNCTION("""COMPUTED_VALUE"""),"No")</f>
        <v>No</v>
      </c>
      <c r="CD104" s="846">
        <f>IFERROR(__xludf.DUMMYFUNCTION("""COMPUTED_VALUE"""),0.92)</f>
        <v>0.92</v>
      </c>
      <c r="CE104" s="838" t="str">
        <f>IFERROR(__xludf.DUMMYFUNCTION("""COMPUTED_VALUE"""),"No")</f>
        <v>No</v>
      </c>
      <c r="CF104" s="838"/>
      <c r="CG104" s="838"/>
      <c r="CH104" s="838"/>
      <c r="CI104" s="838"/>
      <c r="CJ104" s="838"/>
      <c r="CK104" s="838"/>
      <c r="CL104" s="838"/>
      <c r="CM104" s="847">
        <f>IFERROR(__xludf.DUMMYFUNCTION("""COMPUTED_VALUE"""),0.986)</f>
        <v>0.986</v>
      </c>
      <c r="CN104" s="838"/>
      <c r="CO104" s="838"/>
      <c r="CP104" s="838"/>
      <c r="CQ104" s="838"/>
      <c r="CR104" s="838"/>
      <c r="CS104" s="838"/>
      <c r="CT104" s="838"/>
      <c r="CU104" s="838"/>
      <c r="CV104" s="697" t="str">
        <f>IFERROR(__xludf.DUMMYFUNCTION("""COMPUTED_VALUE"""),"Byong Seol Seo, Seung Yull Cho, Jong Yil Chai. Reduced Single Dose of Mebendazole in Treatment of Ascaris Lumbricoides Infection")</f>
        <v>Byong Seol Seo, Seung Yull Cho, Jong Yil Chai. Reduced Single Dose of Mebendazole in Treatment of Ascaris Lumbricoides Infection</v>
      </c>
    </row>
    <row r="105">
      <c r="A105" s="842" t="str">
        <f>IFERROR(__xludf.DUMMYFUNCTION("""COMPUTED_VALUE"""),"Sacko et al.")</f>
        <v>Sacko et al.</v>
      </c>
      <c r="B105" s="834" t="str">
        <f>IFERROR(__xludf.DUMMYFUNCTION("""COMPUTED_VALUE"""),"Mali")</f>
        <v>Mali</v>
      </c>
      <c r="C105" s="834" t="str">
        <f>IFERROR(__xludf.DUMMYFUNCTION("""COMPUTED_VALUE"""),"Placebo")</f>
        <v>Placebo</v>
      </c>
      <c r="D105" s="834"/>
      <c r="E105" s="834"/>
      <c r="F105" s="834">
        <f>IFERROR(__xludf.DUMMYFUNCTION("""COMPUTED_VALUE"""),36.0)</f>
        <v>36</v>
      </c>
      <c r="G105" s="834" t="str">
        <f>IFERROR(__xludf.DUMMYFUNCTION("""COMPUTED_VALUE"""),"3-65")</f>
        <v>3-65</v>
      </c>
      <c r="H105" s="839" t="str">
        <f>IFERROR(__xludf.DUMMYFUNCTION("""COMPUTED_VALUE"""),"22:14")</f>
        <v>22:14</v>
      </c>
      <c r="I105" s="834">
        <f>IFERROR(__xludf.DUMMYFUNCTION("""COMPUTED_VALUE"""),1998.0)</f>
        <v>1998</v>
      </c>
      <c r="J105" s="834"/>
      <c r="K105" s="839" t="str">
        <f>IFERROR(__xludf.DUMMYFUNCTION("""COMPUTED_VALUE"""),"placebo controlled randomized")</f>
        <v>placebo controlled randomized</v>
      </c>
      <c r="L105" s="839" t="str">
        <f>IFERROR(__xludf.DUMMYFUNCTION("""COMPUTED_VALUE"""),"Yes")</f>
        <v>Yes</v>
      </c>
      <c r="M105" s="839" t="str">
        <f>IFERROR(__xludf.DUMMYFUNCTION("""COMPUTED_VALUE"""),"Yes")</f>
        <v>Yes</v>
      </c>
      <c r="N105" s="840">
        <f>IFERROR(__xludf.DUMMYFUNCTION("""COMPUTED_VALUE"""),0.167)</f>
        <v>0.167</v>
      </c>
      <c r="O105" s="834"/>
      <c r="P105" s="834"/>
      <c r="Q105" s="834"/>
      <c r="R105" s="834"/>
      <c r="S105" s="834"/>
      <c r="T105" s="834"/>
      <c r="U105" s="834"/>
      <c r="V105" s="834"/>
      <c r="W105" s="834"/>
      <c r="X105" s="834"/>
      <c r="Y105" s="834"/>
      <c r="Z105" s="834"/>
      <c r="AA105" s="834"/>
      <c r="AB105" s="834"/>
      <c r="AC105" s="834"/>
      <c r="AD105" s="834"/>
      <c r="AE105" s="834" t="str">
        <f>IFERROR(__xludf.DUMMYFUNCTION("""COMPUTED_VALUE"""),"The main conclusion from this trial is that Albendazoleand pyrantel in the treatment of N. americanus infections in southern Mali.")</f>
        <v>The main conclusion from this trial is that Albendazoleand pyrantel in the treatment of N. americanus infections in southern Mali.</v>
      </c>
      <c r="AF105" s="834" t="str">
        <f>IFERROR(__xludf.DUMMYFUNCTION("""COMPUTED_VALUE"""),"Kato-Katz Method")</f>
        <v>Kato-Katz Method</v>
      </c>
      <c r="AG105" s="834" t="str">
        <f>IFERROR(__xludf.DUMMYFUNCTION("""COMPUTED_VALUE"""),"Sacko, M., D. De Clercq, J. M. Behnke, F. S. Gilbert, P. Dorny, and J. Vercuysse. ""Comparison of the Efficacy of Mebendazole, Albendazoleand Pyrantel in Treatment of Human Hookworm Infections in the Southern Region of Mali, West Africa."" Transactions of"&amp;" the Royal Society of Tropical Medicine and Hygiene 93 (1999): 195-203. Web.")</f>
        <v>Sacko, M., D. De Clercq, J. M. Behnke, F. S. Gilbert, P. Dorny, and J. Vercuysse. "Comparison of the Efficacy of Mebendazole, Albendazoleand Pyrantel in Treatment of Human Hookworm Infections in the Southern Region of Mali, West Africa." Transactions of the Royal Society of Tropical Medicine and Hygiene 93 (1999): 195-203. Web.</v>
      </c>
      <c r="AH105" s="834"/>
      <c r="AJ105" s="843" t="str">
        <f>IFERROR(__xludf.DUMMYFUNCTION("""COMPUTED_VALUE"""),"Keiser et al.")</f>
        <v>Keiser et al.</v>
      </c>
      <c r="AK105" s="836"/>
      <c r="AL105" s="836" t="str">
        <f>IFERROR(__xludf.DUMMYFUNCTION("""COMPUTED_VALUE"""),"Various locations")</f>
        <v>Various locations</v>
      </c>
      <c r="AM105" s="836" t="str">
        <f>IFERROR(__xludf.DUMMYFUNCTION("""COMPUTED_VALUE"""),"Mebendazole")</f>
        <v>Mebendazole</v>
      </c>
      <c r="AN105" s="836" t="str">
        <f>IFERROR(__xludf.DUMMYFUNCTION("""COMPUTED_VALUE"""),"Single")</f>
        <v>Single</v>
      </c>
      <c r="AO105" s="836" t="str">
        <f>IFERROR(__xludf.DUMMYFUNCTION("""COMPUTED_VALUE"""),"500 mg")</f>
        <v>500 mg</v>
      </c>
      <c r="AP105" s="836">
        <f>IFERROR(__xludf.DUMMYFUNCTION("""COMPUTED_VALUE"""),3112.0)</f>
        <v>3112</v>
      </c>
      <c r="AQ105" s="836" t="str">
        <f>IFERROR(__xludf.DUMMYFUNCTION("""COMPUTED_VALUE"""),"School Children and Adults")</f>
        <v>School Children and Adults</v>
      </c>
      <c r="AR105" s="836"/>
      <c r="AS105" s="836" t="str">
        <f>IFERROR(__xludf.DUMMYFUNCTION("""COMPUTED_VALUE"""),"1974-2007")</f>
        <v>1974-2007</v>
      </c>
      <c r="AT105" s="836"/>
      <c r="AU105" s="836" t="str">
        <f>IFERROR(__xludf.DUMMYFUNCTION("""COMPUTED_VALUE"""),"No")</f>
        <v>No</v>
      </c>
      <c r="AV105" s="836"/>
      <c r="AW105" s="836" t="str">
        <f>IFERROR(__xludf.DUMMYFUNCTION("""COMPUTED_VALUE"""),"Systematic review")</f>
        <v>Systematic review</v>
      </c>
      <c r="AX105" s="841">
        <f>IFERROR(__xludf.DUMMYFUNCTION("""COMPUTED_VALUE"""),0.23)</f>
        <v>0.23</v>
      </c>
      <c r="AY105" s="836"/>
      <c r="AZ105" s="836"/>
      <c r="BA105" s="836"/>
      <c r="BB105" s="836"/>
      <c r="BC105" s="836"/>
      <c r="BD105" s="836"/>
      <c r="BE105" s="836"/>
      <c r="BF105" s="836"/>
      <c r="BG105" s="836"/>
      <c r="BH105" s="836"/>
      <c r="BI105" s="836"/>
      <c r="BJ105" s="836"/>
      <c r="BK105" s="836"/>
      <c r="BL105" s="836"/>
      <c r="BM105" s="836"/>
      <c r="BN105" s="836"/>
      <c r="BO105" s="836"/>
      <c r="BP105" s="836" t="str">
        <f>IFERROR(__xludf.DUMMYFUNCTION("""COMPUTED_VALUE"""),"x")</f>
        <v>x</v>
      </c>
      <c r="BQ105" s="697">
        <f>IFERROR(__xludf.DUMMYFUNCTION("""COMPUTED_VALUE"""),104.0)</f>
        <v>104</v>
      </c>
      <c r="BR105" s="844" t="str">
        <f>IFERROR(__xludf.DUMMYFUNCTION("""COMPUTED_VALUE"""),"Seo et al.")</f>
        <v>Seo et al.</v>
      </c>
      <c r="BS105" s="838" t="str">
        <f>IFERROR(__xludf.DUMMYFUNCTION("""COMPUTED_VALUE"""),"Korea")</f>
        <v>Korea</v>
      </c>
      <c r="BT105" s="838" t="str">
        <f>IFERROR(__xludf.DUMMYFUNCTION("""COMPUTED_VALUE"""),"Mebendazole")</f>
        <v>Mebendazole</v>
      </c>
      <c r="BU105" s="838"/>
      <c r="BV105" s="838" t="str">
        <f>IFERROR(__xludf.DUMMYFUNCTION("""COMPUTED_VALUE"""),"Single")</f>
        <v>Single</v>
      </c>
      <c r="BW105" s="838" t="str">
        <f>IFERROR(__xludf.DUMMYFUNCTION("""COMPUTED_VALUE"""),"300 mg")</f>
        <v>300 mg</v>
      </c>
      <c r="BX105" s="838">
        <f>IFERROR(__xludf.DUMMYFUNCTION("""COMPUTED_VALUE"""),17.0)</f>
        <v>17</v>
      </c>
      <c r="BY105" s="838" t="str">
        <f>IFERROR(__xludf.DUMMYFUNCTION("""COMPUTED_VALUE"""),"1-50+ years old ")</f>
        <v>1-50+ years old </v>
      </c>
      <c r="BZ105" s="838">
        <f>IFERROR(__xludf.DUMMYFUNCTION("""COMPUTED_VALUE"""),1978.0)</f>
        <v>1978</v>
      </c>
      <c r="CA105" s="838"/>
      <c r="CB105" s="838"/>
      <c r="CC105" s="838" t="str">
        <f>IFERROR(__xludf.DUMMYFUNCTION("""COMPUTED_VALUE"""),"No")</f>
        <v>No</v>
      </c>
      <c r="CD105" s="847">
        <f>IFERROR(__xludf.DUMMYFUNCTION("""COMPUTED_VALUE"""),0.941)</f>
        <v>0.941</v>
      </c>
      <c r="CE105" s="838" t="str">
        <f>IFERROR(__xludf.DUMMYFUNCTION("""COMPUTED_VALUE"""),"No")</f>
        <v>No</v>
      </c>
      <c r="CF105" s="838"/>
      <c r="CG105" s="838"/>
      <c r="CH105" s="838"/>
      <c r="CI105" s="838"/>
      <c r="CJ105" s="838"/>
      <c r="CK105" s="838"/>
      <c r="CL105" s="838"/>
      <c r="CM105" s="847">
        <f>IFERROR(__xludf.DUMMYFUNCTION("""COMPUTED_VALUE"""),0.999)</f>
        <v>0.999</v>
      </c>
      <c r="CN105" s="838"/>
      <c r="CO105" s="838"/>
      <c r="CP105" s="838"/>
      <c r="CQ105" s="838"/>
      <c r="CR105" s="838"/>
      <c r="CS105" s="838"/>
      <c r="CT105" s="838"/>
      <c r="CU105" s="838"/>
      <c r="CV105" s="697" t="str">
        <f>IFERROR(__xludf.DUMMYFUNCTION("""COMPUTED_VALUE"""),"Byong Seol Seo, Seung Yull Cho, Jong Yil Chai. Reduced Single Dose of Mebendazole in Treatment of Ascaris Lumbricoides Infection")</f>
        <v>Byong Seol Seo, Seung Yull Cho, Jong Yil Chai. Reduced Single Dose of Mebendazole in Treatment of Ascaris Lumbricoides Infection</v>
      </c>
    </row>
    <row r="106">
      <c r="A106" s="842" t="str">
        <f>IFERROR(__xludf.DUMMYFUNCTION("""COMPUTED_VALUE"""),"Samuel et al.")</f>
        <v>Samuel et al.</v>
      </c>
      <c r="B106" s="834" t="str">
        <f>IFERROR(__xludf.DUMMYFUNCTION("""COMPUTED_VALUE"""),"Ethiopia")</f>
        <v>Ethiopia</v>
      </c>
      <c r="C106" s="834" t="str">
        <f>IFERROR(__xludf.DUMMYFUNCTION("""COMPUTED_VALUE"""),"Albendazole")</f>
        <v>Albendazole</v>
      </c>
      <c r="D106" s="834" t="str">
        <f>IFERROR(__xludf.DUMMYFUNCTION("""COMPUTED_VALUE"""),"Single")</f>
        <v>Single</v>
      </c>
      <c r="E106" s="834" t="str">
        <f>IFERROR(__xludf.DUMMYFUNCTION("""COMPUTED_VALUE"""),"400 mg")</f>
        <v>400 mg</v>
      </c>
      <c r="F106" s="834" t="str">
        <f>IFERROR(__xludf.DUMMYFUNCTION("""COMPUTED_VALUE"""),"197/320 screened out of 298")</f>
        <v>197/320 screened out of 298</v>
      </c>
      <c r="G106" s="849">
        <f>IFERROR(__xludf.DUMMYFUNCTION("""COMPUTED_VALUE"""),42506.0)</f>
        <v>42506</v>
      </c>
      <c r="H106" s="839" t="str">
        <f>IFERROR(__xludf.DUMMYFUNCTION("""COMPUTED_VALUE"""),"167:153")</f>
        <v>167:153</v>
      </c>
      <c r="I106" s="834">
        <f>IFERROR(__xludf.DUMMYFUNCTION("""COMPUTED_VALUE"""),2011.0)</f>
        <v>2011</v>
      </c>
      <c r="J106" s="834" t="str">
        <f>IFERROR(__xludf.DUMMYFUNCTION("""COMPUTED_VALUE"""),"Only Children who did not take anthelminthic drugs within 3 months before screening were enrolled")</f>
        <v>Only Children who did not take anthelminthic drugs within 3 months before screening were enrolled</v>
      </c>
      <c r="K106" s="839" t="str">
        <f>IFERROR(__xludf.DUMMYFUNCTION("""COMPUTED_VALUE"""),"open trial")</f>
        <v>open trial</v>
      </c>
      <c r="L106" s="839" t="str">
        <f>IFERROR(__xludf.DUMMYFUNCTION("""COMPUTED_VALUE"""),"No")</f>
        <v>No</v>
      </c>
      <c r="M106" s="839" t="str">
        <f>IFERROR(__xludf.DUMMYFUNCTION("""COMPUTED_VALUE"""),"No")</f>
        <v>No</v>
      </c>
      <c r="N106" s="840">
        <f>IFERROR(__xludf.DUMMYFUNCTION("""COMPUTED_VALUE"""),0.974)</f>
        <v>0.974</v>
      </c>
      <c r="O106" s="834"/>
      <c r="P106" s="834"/>
      <c r="Q106" s="834"/>
      <c r="R106" s="834"/>
      <c r="S106" s="834"/>
      <c r="T106" s="834"/>
      <c r="U106" s="834"/>
      <c r="V106" s="834"/>
      <c r="W106" s="840">
        <f>IFERROR(__xludf.DUMMYFUNCTION("""COMPUTED_VALUE"""),0.998)</f>
        <v>0.998</v>
      </c>
      <c r="X106" s="834"/>
      <c r="Y106" s="834"/>
      <c r="Z106" s="834"/>
      <c r="AA106" s="834"/>
      <c r="AB106" s="834"/>
      <c r="AC106" s="834"/>
      <c r="AD106" s="834"/>
      <c r="AE106" s="834" t="str">
        <f>IFERROR(__xludf.DUMMYFUNCTION("""COMPUTED_VALUE"""),"Notes: Kato technique")</f>
        <v>Notes: Kato technique</v>
      </c>
      <c r="AF106" s="834" t="str">
        <f>IFERROR(__xludf.DUMMYFUNCTION("""COMPUTED_VALUE"""),"Kato-Katz Method")</f>
        <v>Kato-Katz Method</v>
      </c>
      <c r="AG106" s="834" t="str">
        <f>IFERROR(__xludf.DUMMYFUNCTION("""COMPUTED_VALUE"""),"Samuel, AFikreslasie, Abraham Degarege, and Berhanu Erko. ""Efficacy and Side Effects of AlbendazoleCurrently in Use against Ascaris, Trichuris and Hookworm among School Children in Wondo Genet, Southern Ethiopia."" Parasitology International 63 (2014): 4"&amp;"50-55. Web.")</f>
        <v>Samuel, AFikreslasie, Abraham Degarege, and Berhanu Erko. "Efficacy and Side Effects of AlbendazoleCurrently in Use against Ascaris, Trichuris and Hookworm among School Children in Wondo Genet, Southern Ethiopia." Parasitology International 63 (2014): 450-55. Web.</v>
      </c>
      <c r="AH106" s="834" t="str">
        <f>IFERROR(__xludf.DUMMYFUNCTION("""COMPUTED_VALUE"""),"x")</f>
        <v>x</v>
      </c>
      <c r="AJ106" s="843" t="str">
        <f>IFERROR(__xludf.DUMMYFUNCTION("""COMPUTED_VALUE"""),"Keiser et al.")</f>
        <v>Keiser et al.</v>
      </c>
      <c r="AK106" s="836"/>
      <c r="AL106" s="836" t="str">
        <f>IFERROR(__xludf.DUMMYFUNCTION("""COMPUTED_VALUE"""),"Various locations")</f>
        <v>Various locations</v>
      </c>
      <c r="AM106" s="836" t="str">
        <f>IFERROR(__xludf.DUMMYFUNCTION("""COMPUTED_VALUE"""),"Pyrantel Embonate")</f>
        <v>Pyrantel Embonate</v>
      </c>
      <c r="AN106" s="836" t="str">
        <f>IFERROR(__xludf.DUMMYFUNCTION("""COMPUTED_VALUE"""),"Single")</f>
        <v>Single</v>
      </c>
      <c r="AO106" s="836" t="str">
        <f>IFERROR(__xludf.DUMMYFUNCTION("""COMPUTED_VALUE"""),"10 mg/kg")</f>
        <v>10 mg/kg</v>
      </c>
      <c r="AP106" s="836">
        <f>IFERROR(__xludf.DUMMYFUNCTION("""COMPUTED_VALUE"""),458.0)</f>
        <v>458</v>
      </c>
      <c r="AQ106" s="836" t="str">
        <f>IFERROR(__xludf.DUMMYFUNCTION("""COMPUTED_VALUE"""),"School Children and Adults")</f>
        <v>School Children and Adults</v>
      </c>
      <c r="AR106" s="836"/>
      <c r="AS106" s="836"/>
      <c r="AT106" s="836"/>
      <c r="AU106" s="836" t="str">
        <f>IFERROR(__xludf.DUMMYFUNCTION("""COMPUTED_VALUE"""),"No")</f>
        <v>No</v>
      </c>
      <c r="AV106" s="836"/>
      <c r="AW106" s="836" t="str">
        <f>IFERROR(__xludf.DUMMYFUNCTION("""COMPUTED_VALUE"""),"Systematic review")</f>
        <v>Systematic review</v>
      </c>
      <c r="AX106" s="841">
        <f>IFERROR(__xludf.DUMMYFUNCTION("""COMPUTED_VALUE"""),0.281)</f>
        <v>0.281</v>
      </c>
      <c r="AY106" s="836"/>
      <c r="AZ106" s="836"/>
      <c r="BA106" s="836"/>
      <c r="BB106" s="836"/>
      <c r="BC106" s="836"/>
      <c r="BD106" s="836"/>
      <c r="BE106" s="836"/>
      <c r="BF106" s="836"/>
      <c r="BG106" s="836"/>
      <c r="BH106" s="836"/>
      <c r="BI106" s="836"/>
      <c r="BJ106" s="836"/>
      <c r="BK106" s="836"/>
      <c r="BL106" s="836"/>
      <c r="BM106" s="836"/>
      <c r="BN106" s="836"/>
      <c r="BO106" s="836"/>
      <c r="BP106" s="836" t="str">
        <f>IFERROR(__xludf.DUMMYFUNCTION("""COMPUTED_VALUE"""),"x")</f>
        <v>x</v>
      </c>
      <c r="BQ106" s="697">
        <f>IFERROR(__xludf.DUMMYFUNCTION("""COMPUTED_VALUE"""),105.0)</f>
        <v>105</v>
      </c>
      <c r="BR106" s="844" t="str">
        <f>IFERROR(__xludf.DUMMYFUNCTION("""COMPUTED_VALUE"""),"Seo et al.")</f>
        <v>Seo et al.</v>
      </c>
      <c r="BS106" s="838" t="str">
        <f>IFERROR(__xludf.DUMMYFUNCTION("""COMPUTED_VALUE"""),"Korea")</f>
        <v>Korea</v>
      </c>
      <c r="BT106" s="838" t="str">
        <f>IFERROR(__xludf.DUMMYFUNCTION("""COMPUTED_VALUE"""),"Mebendazole")</f>
        <v>Mebendazole</v>
      </c>
      <c r="BU106" s="838"/>
      <c r="BV106" s="838" t="str">
        <f>IFERROR(__xludf.DUMMYFUNCTION("""COMPUTED_VALUE"""),"Four")</f>
        <v>Four</v>
      </c>
      <c r="BW106" s="838" t="str">
        <f>IFERROR(__xludf.DUMMYFUNCTION("""COMPUTED_VALUE"""),"400 mg")</f>
        <v>400 mg</v>
      </c>
      <c r="BX106" s="838">
        <f>IFERROR(__xludf.DUMMYFUNCTION("""COMPUTED_VALUE"""),17.0)</f>
        <v>17</v>
      </c>
      <c r="BY106" s="838" t="str">
        <f>IFERROR(__xludf.DUMMYFUNCTION("""COMPUTED_VALUE"""),"1-50+ years old ")</f>
        <v>1-50+ years old </v>
      </c>
      <c r="BZ106" s="838">
        <f>IFERROR(__xludf.DUMMYFUNCTION("""COMPUTED_VALUE"""),1978.0)</f>
        <v>1978</v>
      </c>
      <c r="CA106" s="838"/>
      <c r="CB106" s="838"/>
      <c r="CC106" s="838" t="str">
        <f>IFERROR(__xludf.DUMMYFUNCTION("""COMPUTED_VALUE"""),"No")</f>
        <v>No</v>
      </c>
      <c r="CD106" s="846">
        <f>IFERROR(__xludf.DUMMYFUNCTION("""COMPUTED_VALUE"""),1.0)</f>
        <v>1</v>
      </c>
      <c r="CE106" s="838" t="str">
        <f>IFERROR(__xludf.DUMMYFUNCTION("""COMPUTED_VALUE"""),"No")</f>
        <v>No</v>
      </c>
      <c r="CF106" s="838"/>
      <c r="CG106" s="838"/>
      <c r="CH106" s="838"/>
      <c r="CI106" s="838"/>
      <c r="CJ106" s="838"/>
      <c r="CK106" s="838"/>
      <c r="CL106" s="838"/>
      <c r="CM106" s="846">
        <f>IFERROR(__xludf.DUMMYFUNCTION("""COMPUTED_VALUE"""),1.0)</f>
        <v>1</v>
      </c>
      <c r="CN106" s="838"/>
      <c r="CO106" s="838"/>
      <c r="CP106" s="838"/>
      <c r="CQ106" s="838"/>
      <c r="CR106" s="838"/>
      <c r="CS106" s="838"/>
      <c r="CT106" s="838"/>
      <c r="CU106" s="838"/>
      <c r="CV106" s="697" t="str">
        <f>IFERROR(__xludf.DUMMYFUNCTION("""COMPUTED_VALUE"""),"Byong Seol Seo, Seung Yull Cho, Jong Yil Chai. Reduced Single Dose of Mebendazole in Treatment of Ascaris Lumbricoides Infection")</f>
        <v>Byong Seol Seo, Seung Yull Cho, Jong Yil Chai. Reduced Single Dose of Mebendazole in Treatment of Ascaris Lumbricoides Infection</v>
      </c>
    </row>
    <row r="107">
      <c r="A107" s="842" t="str">
        <f>IFERROR(__xludf.DUMMYFUNCTION("""COMPUTED_VALUE"""),"Scherrer et al.")</f>
        <v>Scherrer et al.</v>
      </c>
      <c r="B107" s="834" t="str">
        <f>IFERROR(__xludf.DUMMYFUNCTION("""COMPUTED_VALUE"""),"Cote d'Ivoire")</f>
        <v>Cote d'Ivoire</v>
      </c>
      <c r="C107" s="834" t="str">
        <f>IFERROR(__xludf.DUMMYFUNCTION("""COMPUTED_VALUE"""),"Albendazole")</f>
        <v>Albendazole</v>
      </c>
      <c r="D107" s="834" t="str">
        <f>IFERROR(__xludf.DUMMYFUNCTION("""COMPUTED_VALUE"""),"Single")</f>
        <v>Single</v>
      </c>
      <c r="E107" s="834" t="str">
        <f>IFERROR(__xludf.DUMMYFUNCTION("""COMPUTED_VALUE"""),"400 mg")</f>
        <v>400 mg</v>
      </c>
      <c r="F107" s="834">
        <f>IFERROR(__xludf.DUMMYFUNCTION("""COMPUTED_VALUE"""),52.0)</f>
        <v>52</v>
      </c>
      <c r="G107" s="834">
        <f>IFERROR(__xludf.DUMMYFUNCTION("""COMPUTED_VALUE"""),8.1)</f>
        <v>8.1</v>
      </c>
      <c r="H107" s="839" t="str">
        <f>IFERROR(__xludf.DUMMYFUNCTION("""COMPUTED_VALUE"""),"31:21")</f>
        <v>31:21</v>
      </c>
      <c r="I107" s="834">
        <f>IFERROR(__xludf.DUMMYFUNCTION("""COMPUTED_VALUE"""),2007.0)</f>
        <v>2007</v>
      </c>
      <c r="J107" s="834"/>
      <c r="K107" s="839" t="str">
        <f>IFERROR(__xludf.DUMMYFUNCTION("""COMPUTED_VALUE"""),"randomized trial")</f>
        <v>randomized trial</v>
      </c>
      <c r="L107" s="839" t="str">
        <f>IFERROR(__xludf.DUMMYFUNCTION("""COMPUTED_VALUE"""),"Yes")</f>
        <v>Yes</v>
      </c>
      <c r="M107" s="839" t="str">
        <f>IFERROR(__xludf.DUMMYFUNCTION("""COMPUTED_VALUE"""),"Yes")</f>
        <v>Yes</v>
      </c>
      <c r="N107" s="840">
        <f>IFERROR(__xludf.DUMMYFUNCTION("""COMPUTED_VALUE"""),0.55)</f>
        <v>0.55</v>
      </c>
      <c r="O107" s="834"/>
      <c r="P107" s="834"/>
      <c r="Q107" s="834"/>
      <c r="R107" s="834"/>
      <c r="S107" s="834"/>
      <c r="T107" s="834"/>
      <c r="U107" s="834"/>
      <c r="V107" s="834"/>
      <c r="W107" s="834" t="str">
        <f>IFERROR(__xludf.DUMMYFUNCTION("""COMPUTED_VALUE"""),"44 day trial: 95.2–97.9%")</f>
        <v>44 day trial: 95.2–97.9%</v>
      </c>
      <c r="X107" s="834"/>
      <c r="Y107" s="834"/>
      <c r="Z107" s="834"/>
      <c r="AA107" s="834"/>
      <c r="AB107" s="834"/>
      <c r="AC107" s="834"/>
      <c r="AD107" s="834"/>
      <c r="AE107" s="834" t="str">
        <f>IFERROR(__xludf.DUMMYFUNCTION("""COMPUTED_VALUE"""),"In spite of the rather low cure rates obtained, Albendazoleis appropriate in the large-scale morbidity control of hookworm infections, owing to the high egg reduction rates observed.")</f>
        <v>In spite of the rather low cure rates obtained, Albendazoleis appropriate in the large-scale morbidity control of hookworm infections, owing to the high egg reduction rates observed.</v>
      </c>
      <c r="AF107" s="834" t="str">
        <f>IFERROR(__xludf.DUMMYFUNCTION("""COMPUTED_VALUE"""),"Kato-Katz method")</f>
        <v>Kato-Katz method</v>
      </c>
      <c r="AG107" s="834" t="str">
        <f>IFERROR(__xludf.DUMMYFUNCTION("""COMPUTED_VALUE"""),"Scherrer A U, Sjöberg M K, Allangba A, Traoré M, Lohourignon L K, Tschannen A B, et al. Sequential analysis of helminth egg output in human stool samples following Albendazoleand praziquantel administration. Acta Tropica Elsevier BV [Internet]. 2009 [cite"&amp;"d 2015 Sep 29];109(3): 226-231.")</f>
        <v>Scherrer A U, Sjöberg M K, Allangba A, Traoré M, Lohourignon L K, Tschannen A B, et al. Sequential analysis of helminth egg output in human stool samples following Albendazoleand praziquantel administration. Acta Tropica Elsevier BV [Internet]. 2009 [cited 2015 Sep 29];109(3): 226-231.</v>
      </c>
      <c r="AH107" s="834" t="str">
        <f>IFERROR(__xludf.DUMMYFUNCTION("""COMPUTED_VALUE"""),"x")</f>
        <v>x</v>
      </c>
      <c r="AJ107" s="843" t="str">
        <f>IFERROR(__xludf.DUMMYFUNCTION("""COMPUTED_VALUE"""),"Keiser et al.")</f>
        <v>Keiser et al.</v>
      </c>
      <c r="AK107" s="836"/>
      <c r="AL107" s="836" t="str">
        <f>IFERROR(__xludf.DUMMYFUNCTION("""COMPUTED_VALUE"""),"Various locations")</f>
        <v>Various locations</v>
      </c>
      <c r="AM107" s="836" t="str">
        <f>IFERROR(__xludf.DUMMYFUNCTION("""COMPUTED_VALUE"""),"Levamisole")</f>
        <v>Levamisole</v>
      </c>
      <c r="AN107" s="836" t="str">
        <f>IFERROR(__xludf.DUMMYFUNCTION("""COMPUTED_VALUE"""),"Single")</f>
        <v>Single</v>
      </c>
      <c r="AO107" s="836" t="str">
        <f>IFERROR(__xludf.DUMMYFUNCTION("""COMPUTED_VALUE"""),"2.5 mg/kg or 80 mg")</f>
        <v>2.5 mg/kg or 80 mg</v>
      </c>
      <c r="AP107" s="836">
        <f>IFERROR(__xludf.DUMMYFUNCTION("""COMPUTED_VALUE"""),186.0)</f>
        <v>186</v>
      </c>
      <c r="AQ107" s="836" t="str">
        <f>IFERROR(__xludf.DUMMYFUNCTION("""COMPUTED_VALUE"""),"School Children and Adults")</f>
        <v>School Children and Adults</v>
      </c>
      <c r="AR107" s="836"/>
      <c r="AS107" s="836"/>
      <c r="AT107" s="836"/>
      <c r="AU107" s="836" t="str">
        <f>IFERROR(__xludf.DUMMYFUNCTION("""COMPUTED_VALUE"""),"No")</f>
        <v>No</v>
      </c>
      <c r="AV107" s="836"/>
      <c r="AW107" s="836" t="str">
        <f>IFERROR(__xludf.DUMMYFUNCTION("""COMPUTED_VALUE"""),"Systematic review")</f>
        <v>Systematic review</v>
      </c>
      <c r="AX107" s="841">
        <f>IFERROR(__xludf.DUMMYFUNCTION("""COMPUTED_VALUE"""),0.086)</f>
        <v>0.086</v>
      </c>
      <c r="AY107" s="836"/>
      <c r="AZ107" s="836"/>
      <c r="BA107" s="836"/>
      <c r="BB107" s="836"/>
      <c r="BC107" s="836"/>
      <c r="BD107" s="836"/>
      <c r="BE107" s="836"/>
      <c r="BF107" s="836"/>
      <c r="BG107" s="836"/>
      <c r="BH107" s="836"/>
      <c r="BI107" s="836"/>
      <c r="BJ107" s="836"/>
      <c r="BK107" s="836"/>
      <c r="BL107" s="836"/>
      <c r="BM107" s="836"/>
      <c r="BN107" s="836"/>
      <c r="BO107" s="836"/>
      <c r="BP107" s="836" t="str">
        <f>IFERROR(__xludf.DUMMYFUNCTION("""COMPUTED_VALUE"""),"x")</f>
        <v>x</v>
      </c>
      <c r="BQ107" s="697">
        <f>IFERROR(__xludf.DUMMYFUNCTION("""COMPUTED_VALUE"""),106.0)</f>
        <v>106</v>
      </c>
      <c r="BR107" s="844" t="str">
        <f>IFERROR(__xludf.DUMMYFUNCTION("""COMPUTED_VALUE"""),"Seo et al.")</f>
        <v>Seo et al.</v>
      </c>
      <c r="BS107" s="838" t="str">
        <f>IFERROR(__xludf.DUMMYFUNCTION("""COMPUTED_VALUE"""),"Korea")</f>
        <v>Korea</v>
      </c>
      <c r="BT107" s="838" t="str">
        <f>IFERROR(__xludf.DUMMYFUNCTION("""COMPUTED_VALUE"""),"Mebendazole")</f>
        <v>Mebendazole</v>
      </c>
      <c r="BU107" s="838"/>
      <c r="BV107" s="838" t="str">
        <f>IFERROR(__xludf.DUMMYFUNCTION("""COMPUTED_VALUE"""),"Six")</f>
        <v>Six</v>
      </c>
      <c r="BW107" s="838" t="str">
        <f>IFERROR(__xludf.DUMMYFUNCTION("""COMPUTED_VALUE"""),"600 mg")</f>
        <v>600 mg</v>
      </c>
      <c r="BX107" s="838">
        <f>IFERROR(__xludf.DUMMYFUNCTION("""COMPUTED_VALUE"""),20.0)</f>
        <v>20</v>
      </c>
      <c r="BY107" s="838" t="str">
        <f>IFERROR(__xludf.DUMMYFUNCTION("""COMPUTED_VALUE"""),"1-50+ years old ")</f>
        <v>1-50+ years old </v>
      </c>
      <c r="BZ107" s="838">
        <f>IFERROR(__xludf.DUMMYFUNCTION("""COMPUTED_VALUE"""),1978.0)</f>
        <v>1978</v>
      </c>
      <c r="CA107" s="838"/>
      <c r="CB107" s="838"/>
      <c r="CC107" s="838" t="str">
        <f>IFERROR(__xludf.DUMMYFUNCTION("""COMPUTED_VALUE"""),"No")</f>
        <v>No</v>
      </c>
      <c r="CD107" s="846">
        <f>IFERROR(__xludf.DUMMYFUNCTION("""COMPUTED_VALUE"""),1.0)</f>
        <v>1</v>
      </c>
      <c r="CE107" s="838" t="str">
        <f>IFERROR(__xludf.DUMMYFUNCTION("""COMPUTED_VALUE"""),"No")</f>
        <v>No</v>
      </c>
      <c r="CF107" s="838"/>
      <c r="CG107" s="838"/>
      <c r="CH107" s="838"/>
      <c r="CI107" s="838"/>
      <c r="CJ107" s="838"/>
      <c r="CK107" s="838"/>
      <c r="CL107" s="838"/>
      <c r="CM107" s="846">
        <f>IFERROR(__xludf.DUMMYFUNCTION("""COMPUTED_VALUE"""),1.0)</f>
        <v>1</v>
      </c>
      <c r="CN107" s="838"/>
      <c r="CO107" s="838"/>
      <c r="CP107" s="838"/>
      <c r="CQ107" s="838"/>
      <c r="CR107" s="838"/>
      <c r="CS107" s="838"/>
      <c r="CT107" s="838"/>
      <c r="CU107" s="838"/>
      <c r="CV107" s="697" t="str">
        <f>IFERROR(__xludf.DUMMYFUNCTION("""COMPUTED_VALUE"""),"Byong Seol Seo, Seung Yull Cho, Jong Yil Chai. Reduced Single Dose of Mebendazole in Treatment of Ascaris Lumbricoides Infection")</f>
        <v>Byong Seol Seo, Seung Yull Cho, Jong Yil Chai. Reduced Single Dose of Mebendazole in Treatment of Ascaris Lumbricoides Infection</v>
      </c>
    </row>
    <row r="108">
      <c r="A108" s="842" t="str">
        <f>IFERROR(__xludf.DUMMYFUNCTION("""COMPUTED_VALUE"""),"Shaw et al.")</f>
        <v>Shaw et al.</v>
      </c>
      <c r="B108" s="834" t="str">
        <f>IFERROR(__xludf.DUMMYFUNCTION("""COMPUTED_VALUE"""),"Philippines")</f>
        <v>Philippines</v>
      </c>
      <c r="C108" s="834" t="str">
        <f>IFERROR(__xludf.DUMMYFUNCTION("""COMPUTED_VALUE"""),"Praziquantel")</f>
        <v>Praziquantel</v>
      </c>
      <c r="D108" s="834" t="str">
        <f>IFERROR(__xludf.DUMMYFUNCTION("""COMPUTED_VALUE"""),"Single")</f>
        <v>Single</v>
      </c>
      <c r="E108" s="834" t="str">
        <f>IFERROR(__xludf.DUMMYFUNCTION("""COMPUTED_VALUE"""),"60 mg")</f>
        <v>60 mg</v>
      </c>
      <c r="F108" s="834">
        <f>IFERROR(__xludf.DUMMYFUNCTION("""COMPUTED_VALUE"""),607.0)</f>
        <v>607</v>
      </c>
      <c r="G108" s="834">
        <f>IFERROR(__xludf.DUMMYFUNCTION("""COMPUTED_VALUE"""),15.0)</f>
        <v>15</v>
      </c>
      <c r="H108" s="839" t="str">
        <f>IFERROR(__xludf.DUMMYFUNCTION("""COMPUTED_VALUE"""),"63.1% male")</f>
        <v>63.1% male</v>
      </c>
      <c r="I108" s="834">
        <f>IFERROR(__xludf.DUMMYFUNCTION("""COMPUTED_VALUE"""),2009.0)</f>
        <v>2009</v>
      </c>
      <c r="J108" s="834" t="str">
        <f>IFERROR(__xludf.DUMMYFUNCTION("""COMPUTED_VALUE"""),"S. japonicum infected 7- to 30-year-old males and non-pregnant females in Leyte, the Philippines were included. Subjects with severe hepatomegaly or grade II or higher hepatic fibrosis on ultrasound examination, as well as subjects with severe anemia (hem"&amp;"oglobin &lt; 7.0 g/dL) or severe wasting (weight for height Z score &lt; −3.0), were excluded from participation.")</f>
        <v>S. japonicum infected 7- to 30-year-old males and non-pregnant females in Leyte, the Philippines were included. Subjects with severe hepatomegaly or grade II or higher hepatic fibrosis on ultrasound examination, as well as subjects with severe anemia (hemoglobin &lt; 7.0 g/dL) or severe wasting (weight for height Z score &lt; −3.0), were excluded from participation.</v>
      </c>
      <c r="K108" s="839" t="str">
        <f>IFERROR(__xludf.DUMMYFUNCTION("""COMPUTED_VALUE"""),"randomized longitudinal")</f>
        <v>randomized longitudinal</v>
      </c>
      <c r="L108" s="839" t="str">
        <f>IFERROR(__xludf.DUMMYFUNCTION("""COMPUTED_VALUE"""),"Yes")</f>
        <v>Yes</v>
      </c>
      <c r="M108" s="839" t="str">
        <f>IFERROR(__xludf.DUMMYFUNCTION("""COMPUTED_VALUE"""),"No")</f>
        <v>No</v>
      </c>
      <c r="N108" s="840">
        <f>IFERROR(__xludf.DUMMYFUNCTION("""COMPUTED_VALUE"""),0.237)</f>
        <v>0.237</v>
      </c>
      <c r="O108" s="834"/>
      <c r="P108" s="834"/>
      <c r="Q108" s="834"/>
      <c r="R108" s="834"/>
      <c r="S108" s="834"/>
      <c r="T108" s="834"/>
      <c r="U108" s="834"/>
      <c r="V108" s="834"/>
      <c r="W108" s="840">
        <f>IFERROR(__xludf.DUMMYFUNCTION("""COMPUTED_VALUE"""),0.408)</f>
        <v>0.408</v>
      </c>
      <c r="X108" s="834"/>
      <c r="Y108" s="834"/>
      <c r="Z108" s="834"/>
      <c r="AA108" s="834"/>
      <c r="AB108" s="834"/>
      <c r="AC108" s="834"/>
      <c r="AD108" s="834"/>
      <c r="AE108" s="834" t="str">
        <f>IFERROR(__xludf.DUMMYFUNCTION("""COMPUTED_VALUE"""),"Treatment with praziquantel was followed by a reduction in hookworm prevalence and intensity of infection for up to 12 months, with prevalence and intensity at consistently lower levels than baseline for 12 months after treatment.")</f>
        <v>Treatment with praziquantel was followed by a reduction in hookworm prevalence and intensity of infection for up to 12 months, with prevalence and intensity at consistently lower levels than baseline for 12 months after treatment.</v>
      </c>
      <c r="AF108" s="834" t="str">
        <f>IFERROR(__xludf.DUMMYFUNCTION("""COMPUTED_VALUE"""),"Kato Katz method")</f>
        <v>Kato Katz method</v>
      </c>
      <c r="AG108" s="834" t="str">
        <f>IFERROR(__xludf.DUMMYFUNCTION("""COMPUTED_VALUE"""),"Shaw, J. G., Aggarwal, N., Acosta, L. P., Jiz, M. A., Wu, H., Leenstra, T., Coutinho, H. M., Olveda, R. M., Kurtis, J. D., McGarvey, S. T., and Friedman, J. F. “Reduction in Hookworm Infection after Praziquantel Treatment among Children and Young Adults i"&amp;"n Leyte, the Philippines”. The American Society of Tropical Medicine and Hygiene 83 (2010): 416–421. Web.")</f>
        <v>Shaw, J. G., Aggarwal, N., Acosta, L. P., Jiz, M. A., Wu, H., Leenstra, T., Coutinho, H. M., Olveda, R. M., Kurtis, J. D., McGarvey, S. T., and Friedman, J. F. “Reduction in Hookworm Infection after Praziquantel Treatment among Children and Young Adults in Leyte, the Philippines”. The American Society of Tropical Medicine and Hygiene 83 (2010): 416–421. Web.</v>
      </c>
      <c r="AH108" s="834" t="str">
        <f>IFERROR(__xludf.DUMMYFUNCTION("""COMPUTED_VALUE"""),"x")</f>
        <v>x</v>
      </c>
      <c r="AJ108" s="843" t="str">
        <f>IFERROR(__xludf.DUMMYFUNCTION("""COMPUTED_VALUE"""),"Bennet et al.")</f>
        <v>Bennet et al.</v>
      </c>
      <c r="AK108" s="836" t="str">
        <f>IFERROR(__xludf.DUMMYFUNCTION("""COMPUTED_VALUE"""),"Bennett, A., and H. Guyatt. ""Reducing Intestinal Nematode Infection: Efficacy of Albendazoleand Mebendazole."" Parasitology Today 16.2 (2000): 71-74. Web.")</f>
        <v>Bennett, A., and H. Guyatt. "Reducing Intestinal Nematode Infection: Efficacy of Albendazoleand Mebendazole." Parasitology Today 16.2 (2000): 71-74. Web.</v>
      </c>
      <c r="AL108" s="836" t="str">
        <f>IFERROR(__xludf.DUMMYFUNCTION("""COMPUTED_VALUE"""),"Asia")</f>
        <v>Asia</v>
      </c>
      <c r="AM108" s="836" t="str">
        <f>IFERROR(__xludf.DUMMYFUNCTION("""COMPUTED_VALUE"""),"Albendazole")</f>
        <v>Albendazole</v>
      </c>
      <c r="AN108" s="836" t="str">
        <f>IFERROR(__xludf.DUMMYFUNCTION("""COMPUTED_VALUE"""),"Single")</f>
        <v>Single</v>
      </c>
      <c r="AO108" s="836" t="str">
        <f>IFERROR(__xludf.DUMMYFUNCTION("""COMPUTED_VALUE"""),"400 mg")</f>
        <v>400 mg</v>
      </c>
      <c r="AP108" s="836">
        <f>IFERROR(__xludf.DUMMYFUNCTION("""COMPUTED_VALUE"""),161.0)</f>
        <v>161</v>
      </c>
      <c r="AQ108" s="836"/>
      <c r="AR108" s="836"/>
      <c r="AS108" s="836">
        <f>IFERROR(__xludf.DUMMYFUNCTION("""COMPUTED_VALUE"""),2000.0)</f>
        <v>2000</v>
      </c>
      <c r="AT108" s="836"/>
      <c r="AU108" s="836" t="str">
        <f>IFERROR(__xludf.DUMMYFUNCTION("""COMPUTED_VALUE"""),"No")</f>
        <v>No</v>
      </c>
      <c r="AV108" s="836"/>
      <c r="AW108" s="836" t="str">
        <f>IFERROR(__xludf.DUMMYFUNCTION("""COMPUTED_VALUE"""),"review")</f>
        <v>review</v>
      </c>
      <c r="AX108" s="841">
        <f>IFERROR(__xludf.DUMMYFUNCTION("""COMPUTED_VALUE"""),0.31)</f>
        <v>0.31</v>
      </c>
      <c r="AY108" s="836"/>
      <c r="AZ108" s="836"/>
      <c r="BA108" s="836"/>
      <c r="BB108" s="836"/>
      <c r="BC108" s="836"/>
      <c r="BD108" s="836"/>
      <c r="BE108" s="836"/>
      <c r="BF108" s="836"/>
      <c r="BG108" s="836"/>
      <c r="BH108" s="850">
        <f>IFERROR(__xludf.DUMMYFUNCTION("""COMPUTED_VALUE"""),0.8)</f>
        <v>0.8</v>
      </c>
      <c r="BI108" s="836"/>
      <c r="BJ108" s="836"/>
      <c r="BK108" s="836"/>
      <c r="BL108" s="836"/>
      <c r="BM108" s="836"/>
      <c r="BN108" s="836"/>
      <c r="BO108" s="836" t="str">
        <f>IFERROR(__xludf.DUMMYFUNCTION("""COMPUTED_VALUE"""),"Kato-Based Methods")</f>
        <v>Kato-Based Methods</v>
      </c>
      <c r="BP108" s="836" t="str">
        <f>IFERROR(__xludf.DUMMYFUNCTION("""COMPUTED_VALUE"""),"x")</f>
        <v>x</v>
      </c>
      <c r="BQ108" s="697">
        <f>IFERROR(__xludf.DUMMYFUNCTION("""COMPUTED_VALUE"""),107.0)</f>
        <v>107</v>
      </c>
      <c r="BR108" s="844" t="str">
        <f>IFERROR(__xludf.DUMMYFUNCTION("""COMPUTED_VALUE"""),"Albonico et al.")</f>
        <v>Albonico et al.</v>
      </c>
      <c r="BS108" s="838" t="str">
        <f>IFERROR(__xludf.DUMMYFUNCTION("""COMPUTED_VALUE"""),"Zanzibar")</f>
        <v>Zanzibar</v>
      </c>
      <c r="BT108" s="838" t="str">
        <f>IFERROR(__xludf.DUMMYFUNCTION("""COMPUTED_VALUE"""),"Mebendazole")</f>
        <v>Mebendazole</v>
      </c>
      <c r="BU108" s="838"/>
      <c r="BV108" s="838" t="str">
        <f>IFERROR(__xludf.DUMMYFUNCTION("""COMPUTED_VALUE"""),"Single")</f>
        <v>Single</v>
      </c>
      <c r="BW108" s="838" t="str">
        <f>IFERROR(__xludf.DUMMYFUNCTION("""COMPUTED_VALUE"""),"500 mg")</f>
        <v>500 mg</v>
      </c>
      <c r="BX108" s="838">
        <f>IFERROR(__xludf.DUMMYFUNCTION("""COMPUTED_VALUE"""),116.0)</f>
        <v>116</v>
      </c>
      <c r="BY108" s="838" t="str">
        <f>IFERROR(__xludf.DUMMYFUNCTION("""COMPUTED_VALUE"""),"School children")</f>
        <v>School children</v>
      </c>
      <c r="BZ108" s="838">
        <f>IFERROR(__xludf.DUMMYFUNCTION("""COMPUTED_VALUE"""),2003.0)</f>
        <v>2003</v>
      </c>
      <c r="CA108" s="838"/>
      <c r="CB108" s="838"/>
      <c r="CC108" s="838" t="str">
        <f>IFERROR(__xludf.DUMMYFUNCTION("""COMPUTED_VALUE"""),"No")</f>
        <v>No</v>
      </c>
      <c r="CD108" s="847">
        <f>IFERROR(__xludf.DUMMYFUNCTION("""COMPUTED_VALUE"""),1.0)</f>
        <v>1</v>
      </c>
      <c r="CE108" s="838" t="str">
        <f>IFERROR(__xludf.DUMMYFUNCTION("""COMPUTED_VALUE"""),"Yes")</f>
        <v>Yes</v>
      </c>
      <c r="CF108" s="838"/>
      <c r="CG108" s="838"/>
      <c r="CH108" s="838"/>
      <c r="CI108" s="838"/>
      <c r="CJ108" s="838"/>
      <c r="CK108" s="838"/>
      <c r="CL108" s="838"/>
      <c r="CM108" s="838">
        <f>IFERROR(__xludf.DUMMYFUNCTION("""COMPUTED_VALUE"""),97.9)</f>
        <v>97.9</v>
      </c>
      <c r="CN108" s="838"/>
      <c r="CO108" s="838"/>
      <c r="CP108" s="838"/>
      <c r="CQ108" s="838"/>
      <c r="CR108" s="838"/>
      <c r="CS108" s="838"/>
      <c r="CT108" s="838" t="str">
        <f>IFERROR(__xludf.DUMMYFUNCTION("""COMPUTED_VALUE""")," Kato–Katz technique")</f>
        <v> Kato–Katz technique</v>
      </c>
      <c r="CU108" s="838"/>
      <c r="CV108" s="697" t="str">
        <f>IFERROR(__xludf.DUMMYFUNCTION("""COMPUTED_VALUE"""),"Albonico M, Bickle Q, Ramsan M, Montresor A, Savioli L, Taylor M. Efficacy of mebendazole and levamisole alone or in combination against intestinal nematode infections after repeated targeted mebendazole treatment in Zanzibar. Bull World Health Organ. 200"&amp;"3;81(5):343-352.")</f>
        <v>Albonico M, Bickle Q, Ramsan M, Montresor A, Savioli L, Taylor M. Efficacy of mebendazole and levamisole alone or in combination against intestinal nematode infections after repeated targeted mebendazole treatment in Zanzibar. Bull World Health Organ. 2003;81(5):343-352.</v>
      </c>
    </row>
    <row r="109">
      <c r="A109" s="842" t="str">
        <f>IFERROR(__xludf.DUMMYFUNCTION("""COMPUTED_VALUE"""),"Smith et al.")</f>
        <v>Smith et al.</v>
      </c>
      <c r="B109" s="834" t="str">
        <f>IFERROR(__xludf.DUMMYFUNCTION("""COMPUTED_VALUE"""),"Tanzania")</f>
        <v>Tanzania</v>
      </c>
      <c r="C109" s="834" t="str">
        <f>IFERROR(__xludf.DUMMYFUNCTION("""COMPUTED_VALUE"""),"Albendazole")</f>
        <v>Albendazole</v>
      </c>
      <c r="D109" s="834" t="str">
        <f>IFERROR(__xludf.DUMMYFUNCTION("""COMPUTED_VALUE"""),"Single")</f>
        <v>Single</v>
      </c>
      <c r="E109" s="834" t="str">
        <f>IFERROR(__xludf.DUMMYFUNCTION("""COMPUTED_VALUE"""),"400 mg")</f>
        <v>400 mg</v>
      </c>
      <c r="F109" s="834">
        <f>IFERROR(__xludf.DUMMYFUNCTION("""COMPUTED_VALUE"""),377.0)</f>
        <v>377</v>
      </c>
      <c r="G109" s="834"/>
      <c r="H109" s="834"/>
      <c r="I109" s="834">
        <f>IFERROR(__xludf.DUMMYFUNCTION("""COMPUTED_VALUE"""),1994.0)</f>
        <v>1994</v>
      </c>
      <c r="J109" s="834"/>
      <c r="K109" s="839" t="str">
        <f>IFERROR(__xludf.DUMMYFUNCTION("""COMPUTED_VALUE"""),"randomized trial")</f>
        <v>randomized trial</v>
      </c>
      <c r="L109" s="839" t="str">
        <f>IFERROR(__xludf.DUMMYFUNCTION("""COMPUTED_VALUE"""),"Yes")</f>
        <v>Yes</v>
      </c>
      <c r="M109" s="839" t="str">
        <f>IFERROR(__xludf.DUMMYFUNCTION("""COMPUTED_VALUE"""),"No")</f>
        <v>No</v>
      </c>
      <c r="N109" s="840">
        <f>IFERROR(__xludf.DUMMYFUNCTION("""COMPUTED_VALUE"""),0.974)</f>
        <v>0.974</v>
      </c>
      <c r="O109" s="834"/>
      <c r="P109" s="834"/>
      <c r="Q109" s="834"/>
      <c r="R109" s="834"/>
      <c r="S109" s="834"/>
      <c r="T109" s="834"/>
      <c r="U109" s="834"/>
      <c r="V109" s="834"/>
      <c r="W109" s="840">
        <f>IFERROR(__xludf.DUMMYFUNCTION("""COMPUTED_VALUE"""),0.974)</f>
        <v>0.974</v>
      </c>
      <c r="X109" s="834"/>
      <c r="Y109" s="834"/>
      <c r="Z109" s="834"/>
      <c r="AA109" s="834"/>
      <c r="AB109" s="834"/>
      <c r="AC109" s="834"/>
      <c r="AD109" s="834"/>
      <c r="AE109" s="834"/>
      <c r="AF109" s="834" t="str">
        <f>IFERROR(__xludf.DUMMYFUNCTION("""COMPUTED_VALUE"""),"Kato-Katz Technique")</f>
        <v>Kato-Katz Technique</v>
      </c>
      <c r="AG109" s="834" t="str">
        <f>IFERROR(__xludf.DUMMYFUNCTION("""COMPUTED_VALUE"""),"Albonico, Marco, Peter G. Smith, Elena Ercole, Andrew Hall, Hababu M. Chwaya, Kassim S. Alawi, and Lorenzo Savoli. ""Rate of Reinfection with Tenstinal Nematodes after Treatment of Children with Mebendazoleor Albendazolein a Highly Endemic Area."" Transac"&amp;"tions of the Royal Society of Tropical Medicine and Hygiene 89 (1995): 538-41. Web.")</f>
        <v>Albonico, Marco, Peter G. Smith, Elena Ercole, Andrew Hall, Hababu M. Chwaya, Kassim S. Alawi, and Lorenzo Savoli. "Rate of Reinfection with Tenstinal Nematodes after Treatment of Children with Mebendazoleor Albendazolein a Highly Endemic Area." Transactions of the Royal Society of Tropical Medicine and Hygiene 89 (1995): 538-41. Web.</v>
      </c>
      <c r="AH109" s="834"/>
      <c r="AJ109" s="843" t="str">
        <f>IFERROR(__xludf.DUMMYFUNCTION("""COMPUTED_VALUE"""),"Bennet et al.")</f>
        <v>Bennet et al.</v>
      </c>
      <c r="AK109" s="836"/>
      <c r="AL109" s="836" t="str">
        <f>IFERROR(__xludf.DUMMYFUNCTION("""COMPUTED_VALUE"""),"Asia")</f>
        <v>Asia</v>
      </c>
      <c r="AM109" s="836" t="str">
        <f>IFERROR(__xludf.DUMMYFUNCTION("""COMPUTED_VALUE"""),"Mebendazole")</f>
        <v>Mebendazole</v>
      </c>
      <c r="AN109" s="836" t="str">
        <f>IFERROR(__xludf.DUMMYFUNCTION("""COMPUTED_VALUE"""),"Single")</f>
        <v>Single</v>
      </c>
      <c r="AO109" s="836" t="str">
        <f>IFERROR(__xludf.DUMMYFUNCTION("""COMPUTED_VALUE"""),"500 mg")</f>
        <v>500 mg</v>
      </c>
      <c r="AP109" s="836"/>
      <c r="AQ109" s="836"/>
      <c r="AR109" s="836"/>
      <c r="AS109" s="836">
        <f>IFERROR(__xludf.DUMMYFUNCTION("""COMPUTED_VALUE"""),2000.0)</f>
        <v>2000</v>
      </c>
      <c r="AT109" s="836"/>
      <c r="AU109" s="836" t="str">
        <f>IFERROR(__xludf.DUMMYFUNCTION("""COMPUTED_VALUE"""),"No")</f>
        <v>No</v>
      </c>
      <c r="AV109" s="836"/>
      <c r="AW109" s="836" t="str">
        <f>IFERROR(__xludf.DUMMYFUNCTION("""COMPUTED_VALUE"""),"review")</f>
        <v>review</v>
      </c>
      <c r="AX109" s="850">
        <f>IFERROR(__xludf.DUMMYFUNCTION("""COMPUTED_VALUE"""),0.35)</f>
        <v>0.35</v>
      </c>
      <c r="AY109" s="836"/>
      <c r="AZ109" s="836"/>
      <c r="BA109" s="836"/>
      <c r="BB109" s="836"/>
      <c r="BC109" s="836"/>
      <c r="BD109" s="836"/>
      <c r="BE109" s="836"/>
      <c r="BF109" s="836"/>
      <c r="BG109" s="836"/>
      <c r="BH109" s="850">
        <f>IFERROR(__xludf.DUMMYFUNCTION("""COMPUTED_VALUE"""),0.81)</f>
        <v>0.81</v>
      </c>
      <c r="BI109" s="836"/>
      <c r="BJ109" s="836"/>
      <c r="BK109" s="836"/>
      <c r="BL109" s="836"/>
      <c r="BM109" s="836"/>
      <c r="BN109" s="836"/>
      <c r="BO109" s="836"/>
      <c r="BP109" s="836" t="str">
        <f>IFERROR(__xludf.DUMMYFUNCTION("""COMPUTED_VALUE"""),"x")</f>
        <v>x</v>
      </c>
      <c r="BQ109" s="697">
        <f>IFERROR(__xludf.DUMMYFUNCTION("""COMPUTED_VALUE"""),108.0)</f>
        <v>108</v>
      </c>
      <c r="BR109" s="844" t="str">
        <f>IFERROR(__xludf.DUMMYFUNCTION("""COMPUTED_VALUE"""),"Albonico et al.")</f>
        <v>Albonico et al.</v>
      </c>
      <c r="BS109" s="838" t="str">
        <f>IFERROR(__xludf.DUMMYFUNCTION("""COMPUTED_VALUE"""),"Zanzibar")</f>
        <v>Zanzibar</v>
      </c>
      <c r="BT109" s="838" t="str">
        <f>IFERROR(__xludf.DUMMYFUNCTION("""COMPUTED_VALUE"""),"Levamisole")</f>
        <v>Levamisole</v>
      </c>
      <c r="BU109" s="838"/>
      <c r="BV109" s="838" t="str">
        <f>IFERROR(__xludf.DUMMYFUNCTION("""COMPUTED_VALUE"""),"Single")</f>
        <v>Single</v>
      </c>
      <c r="BW109" s="838" t="str">
        <f>IFERROR(__xludf.DUMMYFUNCTION("""COMPUTED_VALUE"""),"40 mg; 80 mg")</f>
        <v>40 mg; 80 mg</v>
      </c>
      <c r="BX109" s="838">
        <f>IFERROR(__xludf.DUMMYFUNCTION("""COMPUTED_VALUE"""),112.0)</f>
        <v>112</v>
      </c>
      <c r="BY109" s="838" t="str">
        <f>IFERROR(__xludf.DUMMYFUNCTION("""COMPUTED_VALUE"""),"School children")</f>
        <v>School children</v>
      </c>
      <c r="BZ109" s="838">
        <f>IFERROR(__xludf.DUMMYFUNCTION("""COMPUTED_VALUE"""),2003.0)</f>
        <v>2003</v>
      </c>
      <c r="CA109" s="838"/>
      <c r="CB109" s="838"/>
      <c r="CC109" s="838" t="str">
        <f>IFERROR(__xludf.DUMMYFUNCTION("""COMPUTED_VALUE"""),"No")</f>
        <v>No</v>
      </c>
      <c r="CD109" s="847">
        <f>IFERROR(__xludf.DUMMYFUNCTION("""COMPUTED_VALUE"""),0.875)</f>
        <v>0.875</v>
      </c>
      <c r="CE109" s="838" t="str">
        <f>IFERROR(__xludf.DUMMYFUNCTION("""COMPUTED_VALUE"""),"Yes")</f>
        <v>Yes</v>
      </c>
      <c r="CF109" s="838"/>
      <c r="CG109" s="838"/>
      <c r="CH109" s="838"/>
      <c r="CI109" s="838"/>
      <c r="CJ109" s="838"/>
      <c r="CK109" s="838"/>
      <c r="CL109" s="838"/>
      <c r="CM109" s="838">
        <f>IFERROR(__xludf.DUMMYFUNCTION("""COMPUTED_VALUE"""),96.1)</f>
        <v>96.1</v>
      </c>
      <c r="CN109" s="838"/>
      <c r="CO109" s="838"/>
      <c r="CP109" s="838"/>
      <c r="CQ109" s="838"/>
      <c r="CR109" s="838"/>
      <c r="CS109" s="838"/>
      <c r="CT109" s="838"/>
      <c r="CU109" s="838"/>
      <c r="CV109" s="697" t="str">
        <f>IFERROR(__xludf.DUMMYFUNCTION("""COMPUTED_VALUE"""),"Albonico M, Bickle Q, Ramsan M, Montresor A, Savioli L, Taylor M. Efficacy of mebendazole and levamisole alone or in combination against intestinal nematode infections after repeated targeted mebendazole treatment in Zanzibar. Bull World Health Organ. 200"&amp;"3;81(5):343-352.")</f>
        <v>Albonico M, Bickle Q, Ramsan M, Montresor A, Savioli L, Taylor M. Efficacy of mebendazole and levamisole alone or in combination against intestinal nematode infections after repeated targeted mebendazole treatment in Zanzibar. Bull World Health Organ. 2003;81(5):343-352.</v>
      </c>
    </row>
    <row r="110">
      <c r="A110" s="842" t="str">
        <f>IFERROR(__xludf.DUMMYFUNCTION("""COMPUTED_VALUE"""),"Smith et al.")</f>
        <v>Smith et al.</v>
      </c>
      <c r="B110" s="834" t="str">
        <f>IFERROR(__xludf.DUMMYFUNCTION("""COMPUTED_VALUE"""),"Tanzania")</f>
        <v>Tanzania</v>
      </c>
      <c r="C110" s="834" t="str">
        <f>IFERROR(__xludf.DUMMYFUNCTION("""COMPUTED_VALUE"""),"Mebendazole")</f>
        <v>Mebendazole</v>
      </c>
      <c r="D110" s="834" t="str">
        <f>IFERROR(__xludf.DUMMYFUNCTION("""COMPUTED_VALUE"""),"Single")</f>
        <v>Single</v>
      </c>
      <c r="E110" s="834" t="str">
        <f>IFERROR(__xludf.DUMMYFUNCTION("""COMPUTED_VALUE"""),"500 mg")</f>
        <v>500 mg</v>
      </c>
      <c r="F110" s="834">
        <f>IFERROR(__xludf.DUMMYFUNCTION("""COMPUTED_VALUE"""),354.0)</f>
        <v>354</v>
      </c>
      <c r="G110" s="834"/>
      <c r="H110" s="834"/>
      <c r="I110" s="834">
        <f>IFERROR(__xludf.DUMMYFUNCTION("""COMPUTED_VALUE"""),1994.0)</f>
        <v>1994</v>
      </c>
      <c r="J110" s="834"/>
      <c r="K110" s="839" t="str">
        <f>IFERROR(__xludf.DUMMYFUNCTION("""COMPUTED_VALUE"""),"randomized trial")</f>
        <v>randomized trial</v>
      </c>
      <c r="L110" s="839" t="str">
        <f>IFERROR(__xludf.DUMMYFUNCTION("""COMPUTED_VALUE"""),"Yes")</f>
        <v>Yes</v>
      </c>
      <c r="M110" s="839" t="str">
        <f>IFERROR(__xludf.DUMMYFUNCTION("""COMPUTED_VALUE"""),"No")</f>
        <v>No</v>
      </c>
      <c r="N110" s="840">
        <f>IFERROR(__xludf.DUMMYFUNCTION("""COMPUTED_VALUE"""),0.83)</f>
        <v>0.83</v>
      </c>
      <c r="O110" s="834"/>
      <c r="P110" s="834"/>
      <c r="Q110" s="834"/>
      <c r="R110" s="834"/>
      <c r="S110" s="834"/>
      <c r="T110" s="834"/>
      <c r="U110" s="834"/>
      <c r="V110" s="834"/>
      <c r="W110" s="840">
        <f>IFERROR(__xludf.DUMMYFUNCTION("""COMPUTED_VALUE"""),0.83)</f>
        <v>0.83</v>
      </c>
      <c r="X110" s="834"/>
      <c r="Y110" s="834"/>
      <c r="Z110" s="834"/>
      <c r="AA110" s="834"/>
      <c r="AB110" s="834"/>
      <c r="AC110" s="834"/>
      <c r="AD110" s="834"/>
      <c r="AE110" s="834"/>
      <c r="AF110" s="834" t="str">
        <f>IFERROR(__xludf.DUMMYFUNCTION("""COMPUTED_VALUE"""),"Kato-Katz Technique")</f>
        <v>Kato-Katz Technique</v>
      </c>
      <c r="AG110" s="834" t="str">
        <f>IFERROR(__xludf.DUMMYFUNCTION("""COMPUTED_VALUE"""),"Albonico, Marco, Peter G. Smith, Elena Ercole, Andrew Hall, Hababu M. Chwaya, Kassim S. Alawi, and Lorenzo Savoli. ""Rate of Reinfection with Tenstinal Nematodes after Treatment of Children with Mebendazoleor Albendazolein a Highly Endemic Area."" Transac"&amp;"tions of the Royal Society of Tropical Medicine and Hygiene 89 (1995): 538-41. Web.")</f>
        <v>Albonico, Marco, Peter G. Smith, Elena Ercole, Andrew Hall, Hababu M. Chwaya, Kassim S. Alawi, and Lorenzo Savoli. "Rate of Reinfection with Tenstinal Nematodes after Treatment of Children with Mebendazoleor Albendazolein a Highly Endemic Area." Transactions of the Royal Society of Tropical Medicine and Hygiene 89 (1995): 538-41. Web.</v>
      </c>
      <c r="AH110" s="834"/>
      <c r="AJ110" s="843" t="str">
        <f>IFERROR(__xludf.DUMMYFUNCTION("""COMPUTED_VALUE"""),"Bennet et al.")</f>
        <v>Bennet et al.</v>
      </c>
      <c r="AK110" s="836"/>
      <c r="AL110" s="836" t="str">
        <f>IFERROR(__xludf.DUMMYFUNCTION("""COMPUTED_VALUE"""),"Asia")</f>
        <v>Asia</v>
      </c>
      <c r="AM110" s="836" t="str">
        <f>IFERROR(__xludf.DUMMYFUNCTION("""COMPUTED_VALUE"""),"Mebendazole")</f>
        <v>Mebendazole</v>
      </c>
      <c r="AN110" s="836" t="str">
        <f>IFERROR(__xludf.DUMMYFUNCTION("""COMPUTED_VALUE"""),"Multiple Dose")</f>
        <v>Multiple Dose</v>
      </c>
      <c r="AO110" s="836" t="str">
        <f>IFERROR(__xludf.DUMMYFUNCTION("""COMPUTED_VALUE"""),"(100 mg dose twice daily for three days)")</f>
        <v>(100 mg dose twice daily for three days)</v>
      </c>
      <c r="AP110" s="836"/>
      <c r="AQ110" s="836"/>
      <c r="AR110" s="836"/>
      <c r="AS110" s="836">
        <f>IFERROR(__xludf.DUMMYFUNCTION("""COMPUTED_VALUE"""),2000.0)</f>
        <v>2000</v>
      </c>
      <c r="AT110" s="836"/>
      <c r="AU110" s="836" t="str">
        <f>IFERROR(__xludf.DUMMYFUNCTION("""COMPUTED_VALUE"""),"No")</f>
        <v>No</v>
      </c>
      <c r="AV110" s="836"/>
      <c r="AW110" s="836" t="str">
        <f>IFERROR(__xludf.DUMMYFUNCTION("""COMPUTED_VALUE"""),"review")</f>
        <v>review</v>
      </c>
      <c r="AX110" s="850">
        <f>IFERROR(__xludf.DUMMYFUNCTION("""COMPUTED_VALUE"""),0.75)</f>
        <v>0.75</v>
      </c>
      <c r="AY110" s="836"/>
      <c r="AZ110" s="836"/>
      <c r="BA110" s="836"/>
      <c r="BB110" s="836"/>
      <c r="BC110" s="836"/>
      <c r="BD110" s="836"/>
      <c r="BE110" s="836"/>
      <c r="BF110" s="836"/>
      <c r="BG110" s="836"/>
      <c r="BH110" s="850">
        <f>IFERROR(__xludf.DUMMYFUNCTION("""COMPUTED_VALUE"""),0.95)</f>
        <v>0.95</v>
      </c>
      <c r="BI110" s="836"/>
      <c r="BJ110" s="836"/>
      <c r="BK110" s="836"/>
      <c r="BL110" s="836"/>
      <c r="BM110" s="836"/>
      <c r="BN110" s="836"/>
      <c r="BO110" s="836"/>
      <c r="BP110" s="836" t="str">
        <f>IFERROR(__xludf.DUMMYFUNCTION("""COMPUTED_VALUE"""),"x")</f>
        <v>x</v>
      </c>
      <c r="BQ110" s="697">
        <f>IFERROR(__xludf.DUMMYFUNCTION("""COMPUTED_VALUE"""),109.0)</f>
        <v>109</v>
      </c>
      <c r="BR110" s="844" t="str">
        <f>IFERROR(__xludf.DUMMYFUNCTION("""COMPUTED_VALUE"""),"Albonico et al.")</f>
        <v>Albonico et al.</v>
      </c>
      <c r="BS110" s="838" t="str">
        <f>IFERROR(__xludf.DUMMYFUNCTION("""COMPUTED_VALUE"""),"Zanzibar")</f>
        <v>Zanzibar</v>
      </c>
      <c r="BT110" s="838" t="str">
        <f>IFERROR(__xludf.DUMMYFUNCTION("""COMPUTED_VALUE"""),"Levamisole &amp; Mebendazole")</f>
        <v>Levamisole &amp; Mebendazole</v>
      </c>
      <c r="BU110" s="838"/>
      <c r="BV110" s="838" t="str">
        <f>IFERROR(__xludf.DUMMYFUNCTION("""COMPUTED_VALUE"""),"Single")</f>
        <v>Single</v>
      </c>
      <c r="BW110" s="838" t="str">
        <f>IFERROR(__xludf.DUMMYFUNCTION("""COMPUTED_VALUE"""),"40 mg; 80 mg &amp; 500 mg")</f>
        <v>40 mg; 80 mg &amp; 500 mg</v>
      </c>
      <c r="BX110" s="838">
        <f>IFERROR(__xludf.DUMMYFUNCTION("""COMPUTED_VALUE"""),108.0)</f>
        <v>108</v>
      </c>
      <c r="BY110" s="838" t="str">
        <f>IFERROR(__xludf.DUMMYFUNCTION("""COMPUTED_VALUE"""),"School children")</f>
        <v>School children</v>
      </c>
      <c r="BZ110" s="838">
        <f>IFERROR(__xludf.DUMMYFUNCTION("""COMPUTED_VALUE"""),2003.0)</f>
        <v>2003</v>
      </c>
      <c r="CA110" s="838"/>
      <c r="CB110" s="838"/>
      <c r="CC110" s="838" t="str">
        <f>IFERROR(__xludf.DUMMYFUNCTION("""COMPUTED_VALUE"""),"No")</f>
        <v>No</v>
      </c>
      <c r="CD110" s="847">
        <f>IFERROR(__xludf.DUMMYFUNCTION("""COMPUTED_VALUE"""),0.967)</f>
        <v>0.967</v>
      </c>
      <c r="CE110" s="838" t="str">
        <f>IFERROR(__xludf.DUMMYFUNCTION("""COMPUTED_VALUE"""),"Yes")</f>
        <v>Yes</v>
      </c>
      <c r="CF110" s="838"/>
      <c r="CG110" s="838"/>
      <c r="CH110" s="838"/>
      <c r="CI110" s="838"/>
      <c r="CJ110" s="838"/>
      <c r="CK110" s="838"/>
      <c r="CL110" s="838"/>
      <c r="CM110" s="838">
        <f>IFERROR(__xludf.DUMMYFUNCTION("""COMPUTED_VALUE"""),98.0)</f>
        <v>98</v>
      </c>
      <c r="CN110" s="838"/>
      <c r="CO110" s="838"/>
      <c r="CP110" s="838"/>
      <c r="CQ110" s="838"/>
      <c r="CR110" s="838"/>
      <c r="CS110" s="838"/>
      <c r="CT110" s="838"/>
      <c r="CU110" s="838"/>
      <c r="CV110" s="697" t="str">
        <f>IFERROR(__xludf.DUMMYFUNCTION("""COMPUTED_VALUE"""),"Albonico M, Bickle Q, Ramsan M, Montresor A, Savioli L, Taylor M. Efficacy of mebendazole and levamisole alone or in combination against intestinal nematode infections after repeated targeted mebendazole treatment in Zanzibar. Bull World Health Organ. 200"&amp;"3;81(5):343-352.")</f>
        <v>Albonico M, Bickle Q, Ramsan M, Montresor A, Savioli L, Taylor M. Efficacy of mebendazole and levamisole alone or in combination against intestinal nematode infections after repeated targeted mebendazole treatment in Zanzibar. Bull World Health Organ. 2003;81(5):343-352.</v>
      </c>
    </row>
    <row r="111">
      <c r="A111" s="842" t="str">
        <f>IFERROR(__xludf.DUMMYFUNCTION("""COMPUTED_VALUE"""),"Sorensen et al.")</f>
        <v>Sorensen et al.</v>
      </c>
      <c r="B111" s="834" t="str">
        <f>IFERROR(__xludf.DUMMYFUNCTION("""COMPUTED_VALUE"""),"Sri Lanka")</f>
        <v>Sri Lanka</v>
      </c>
      <c r="C111" s="834" t="str">
        <f>IFERROR(__xludf.DUMMYFUNCTION("""COMPUTED_VALUE"""),"Mebendazole")</f>
        <v>Mebendazole</v>
      </c>
      <c r="D111" s="834" t="str">
        <f>IFERROR(__xludf.DUMMYFUNCTION("""COMPUTED_VALUE"""),"Single")</f>
        <v>Single</v>
      </c>
      <c r="E111" s="834" t="str">
        <f>IFERROR(__xludf.DUMMYFUNCTION("""COMPUTED_VALUE"""),"500 mg")</f>
        <v>500 mg</v>
      </c>
      <c r="F111" s="834">
        <f>IFERROR(__xludf.DUMMYFUNCTION("""COMPUTED_VALUE"""),399.0)</f>
        <v>399</v>
      </c>
      <c r="G111" s="849">
        <f>IFERROR(__xludf.DUMMYFUNCTION("""COMPUTED_VALUE"""),42444.0)</f>
        <v>42444</v>
      </c>
      <c r="H111" s="834"/>
      <c r="I111" s="834">
        <f>IFERROR(__xludf.DUMMYFUNCTION("""COMPUTED_VALUE"""),1994.0)</f>
        <v>1994</v>
      </c>
      <c r="J111" s="834"/>
      <c r="K111" s="839" t="str">
        <f>IFERROR(__xludf.DUMMYFUNCTION("""COMPUTED_VALUE"""),"randomized controlled trial")</f>
        <v>randomized controlled trial</v>
      </c>
      <c r="L111" s="839" t="str">
        <f>IFERROR(__xludf.DUMMYFUNCTION("""COMPUTED_VALUE"""),"Yes")</f>
        <v>Yes</v>
      </c>
      <c r="M111" s="839" t="str">
        <f>IFERROR(__xludf.DUMMYFUNCTION("""COMPUTED_VALUE"""),"No")</f>
        <v>No</v>
      </c>
      <c r="N111" s="840">
        <f>IFERROR(__xludf.DUMMYFUNCTION("""COMPUTED_VALUE"""),0.287)</f>
        <v>0.287</v>
      </c>
      <c r="O111" s="834"/>
      <c r="P111" s="834"/>
      <c r="Q111" s="834"/>
      <c r="R111" s="834"/>
      <c r="S111" s="834"/>
      <c r="T111" s="834"/>
      <c r="U111" s="834"/>
      <c r="V111" s="834"/>
      <c r="W111" s="840">
        <f>IFERROR(__xludf.DUMMYFUNCTION("""COMPUTED_VALUE"""),0.72)</f>
        <v>0.72</v>
      </c>
      <c r="X111" s="834"/>
      <c r="Y111" s="834"/>
      <c r="Z111" s="834"/>
      <c r="AA111" s="834"/>
      <c r="AB111" s="834"/>
      <c r="AC111" s="834"/>
      <c r="AD111" s="834"/>
      <c r="AE111" s="834" t="str">
        <f>IFERROR(__xludf.DUMMYFUNCTION("""COMPUTED_VALUE"""),"Albendazoleis the drug of choice for mass deworming where hookworm disease is prominent. There was no statistically significant difference between the original and locally produced mebendazole.")</f>
        <v>Albendazoleis the drug of choice for mass deworming where hookworm disease is prominent. There was no statistically significant difference between the original and locally produced mebendazole.</v>
      </c>
      <c r="AF111" s="834" t="str">
        <f>IFERROR(__xludf.DUMMYFUNCTION("""COMPUTED_VALUE"""),"Kato-Katz Technique")</f>
        <v>Kato-Katz Technique</v>
      </c>
      <c r="AG111" s="834" t="str">
        <f>IFERROR(__xludf.DUMMYFUNCTION("""COMPUTED_VALUE"""),"Albonico, Marco, Peter G. Smith, Elena Ercole, Andrew Hall, Hababu M. Chwaya, Kassim S. Alawi, and Lorenzo Savoli. ""Rate of Reinfection with Tenstinal Nematodes after Treatment of Children with Mebendazoleor Albendazolein a Highly Endemic Area."" Transac"&amp;"tions of the Royal Society of Tropical Medicine and Hygiene 89 (1995): 538-41. Web.")</f>
        <v>Albonico, Marco, Peter G. Smith, Elena Ercole, Andrew Hall, Hababu M. Chwaya, Kassim S. Alawi, and Lorenzo Savoli. "Rate of Reinfection with Tenstinal Nematodes after Treatment of Children with Mebendazoleor Albendazolein a Highly Endemic Area." Transactions of the Royal Society of Tropical Medicine and Hygiene 89 (1995): 538-41. Web.</v>
      </c>
      <c r="AH111" s="834"/>
      <c r="AJ111" s="843" t="str">
        <f>IFERROR(__xludf.DUMMYFUNCTION("""COMPUTED_VALUE"""),"Bennet et al.")</f>
        <v>Bennet et al.</v>
      </c>
      <c r="AK111" s="836" t="str">
        <f>IFERROR(__xludf.DUMMYFUNCTION("""COMPUTED_VALUE"""),"Bennett, A., and H. Guyatt. ""Reducing Intestinal Nematode Infection: Efficacy of Albendazoleand Mebendazole."" Parasitology Today 16.2 (2000): 71-74. Web.")</f>
        <v>Bennett, A., and H. Guyatt. "Reducing Intestinal Nematode Infection: Efficacy of Albendazoleand Mebendazole." Parasitology Today 16.2 (2000): 71-74. Web.</v>
      </c>
      <c r="AL111" s="836" t="str">
        <f>IFERROR(__xludf.DUMMYFUNCTION("""COMPUTED_VALUE"""),"America (c&amp;S)")</f>
        <v>America (c&amp;S)</v>
      </c>
      <c r="AM111" s="836" t="str">
        <f>IFERROR(__xludf.DUMMYFUNCTION("""COMPUTED_VALUE"""),"Albendazole")</f>
        <v>Albendazole</v>
      </c>
      <c r="AN111" s="836" t="str">
        <f>IFERROR(__xludf.DUMMYFUNCTION("""COMPUTED_VALUE"""),"Single")</f>
        <v>Single</v>
      </c>
      <c r="AO111" s="836" t="str">
        <f>IFERROR(__xludf.DUMMYFUNCTION("""COMPUTED_VALUE"""),"400 mg")</f>
        <v>400 mg</v>
      </c>
      <c r="AP111" s="836">
        <f>IFERROR(__xludf.DUMMYFUNCTION("""COMPUTED_VALUE"""),161.0)</f>
        <v>161</v>
      </c>
      <c r="AQ111" s="836"/>
      <c r="AR111" s="836"/>
      <c r="AS111" s="836">
        <f>IFERROR(__xludf.DUMMYFUNCTION("""COMPUTED_VALUE"""),2000.0)</f>
        <v>2000</v>
      </c>
      <c r="AT111" s="836"/>
      <c r="AU111" s="836" t="str">
        <f>IFERROR(__xludf.DUMMYFUNCTION("""COMPUTED_VALUE"""),"No")</f>
        <v>No</v>
      </c>
      <c r="AV111" s="836"/>
      <c r="AW111" s="836" t="str">
        <f>IFERROR(__xludf.DUMMYFUNCTION("""COMPUTED_VALUE"""),"review")</f>
        <v>review</v>
      </c>
      <c r="AX111" s="841">
        <f>IFERROR(__xludf.DUMMYFUNCTION("""COMPUTED_VALUE"""),0.31)</f>
        <v>0.31</v>
      </c>
      <c r="AY111" s="836"/>
      <c r="AZ111" s="836"/>
      <c r="BA111" s="836"/>
      <c r="BB111" s="836"/>
      <c r="BC111" s="836"/>
      <c r="BD111" s="836"/>
      <c r="BE111" s="836"/>
      <c r="BF111" s="836"/>
      <c r="BG111" s="836"/>
      <c r="BH111" s="850">
        <f>IFERROR(__xludf.DUMMYFUNCTION("""COMPUTED_VALUE"""),0.8)</f>
        <v>0.8</v>
      </c>
      <c r="BI111" s="836"/>
      <c r="BJ111" s="836"/>
      <c r="BK111" s="836"/>
      <c r="BL111" s="836"/>
      <c r="BM111" s="836"/>
      <c r="BN111" s="836"/>
      <c r="BO111" s="836" t="str">
        <f>IFERROR(__xludf.DUMMYFUNCTION("""COMPUTED_VALUE"""),"Kato-Based Methods")</f>
        <v>Kato-Based Methods</v>
      </c>
      <c r="BP111" s="836" t="str">
        <f>IFERROR(__xludf.DUMMYFUNCTION("""COMPUTED_VALUE"""),"x")</f>
        <v>x</v>
      </c>
      <c r="BQ111" s="697">
        <f>IFERROR(__xludf.DUMMYFUNCTION("""COMPUTED_VALUE"""),110.0)</f>
        <v>110</v>
      </c>
      <c r="BR111" s="844" t="str">
        <f>IFERROR(__xludf.DUMMYFUNCTION("""COMPUTED_VALUE"""),"Albonico et al.")</f>
        <v>Albonico et al.</v>
      </c>
      <c r="BS111" s="838" t="str">
        <f>IFERROR(__xludf.DUMMYFUNCTION("""COMPUTED_VALUE"""),"Zanzibar")</f>
        <v>Zanzibar</v>
      </c>
      <c r="BT111" s="838" t="str">
        <f>IFERROR(__xludf.DUMMYFUNCTION("""COMPUTED_VALUE"""),"Placebo")</f>
        <v>Placebo</v>
      </c>
      <c r="BU111" s="838"/>
      <c r="BV111" s="838"/>
      <c r="BW111" s="838"/>
      <c r="BX111" s="838">
        <f>IFERROR(__xludf.DUMMYFUNCTION("""COMPUTED_VALUE"""),122.0)</f>
        <v>122</v>
      </c>
      <c r="BY111" s="838" t="str">
        <f>IFERROR(__xludf.DUMMYFUNCTION("""COMPUTED_VALUE"""),"School children")</f>
        <v>School children</v>
      </c>
      <c r="BZ111" s="838">
        <f>IFERROR(__xludf.DUMMYFUNCTION("""COMPUTED_VALUE"""),2003.0)</f>
        <v>2003</v>
      </c>
      <c r="CA111" s="838"/>
      <c r="CB111" s="838"/>
      <c r="CC111" s="838" t="str">
        <f>IFERROR(__xludf.DUMMYFUNCTION("""COMPUTED_VALUE"""),"No")</f>
        <v>No</v>
      </c>
      <c r="CD111" s="847">
        <f>IFERROR(__xludf.DUMMYFUNCTION("""COMPUTED_VALUE"""),0.283)</f>
        <v>0.283</v>
      </c>
      <c r="CE111" s="838" t="str">
        <f>IFERROR(__xludf.DUMMYFUNCTION("""COMPUTED_VALUE"""),"Yes")</f>
        <v>Yes</v>
      </c>
      <c r="CF111" s="838"/>
      <c r="CG111" s="838"/>
      <c r="CH111" s="838"/>
      <c r="CI111" s="838"/>
      <c r="CJ111" s="838"/>
      <c r="CK111" s="838"/>
      <c r="CL111" s="838"/>
      <c r="CM111" s="847">
        <f>IFERROR(__xludf.DUMMYFUNCTION("""COMPUTED_VALUE"""),0.339)</f>
        <v>0.339</v>
      </c>
      <c r="CN111" s="838"/>
      <c r="CO111" s="838"/>
      <c r="CP111" s="838"/>
      <c r="CQ111" s="838"/>
      <c r="CR111" s="838"/>
      <c r="CS111" s="838"/>
      <c r="CT111" s="838"/>
      <c r="CU111" s="838"/>
      <c r="CV111" s="697" t="str">
        <f>IFERROR(__xludf.DUMMYFUNCTION("""COMPUTED_VALUE"""),"Albonico M, Bickle Q, Ramsan M, Montresor A, Savioli L, Taylor M. Efficacy of mebendazole and levamisole alone or in combination against intestinal nematode infections after repeated targeted mebendazole treatment in Zanzibar. Bull World Health Organ. 200"&amp;"3;81(5):343-352.")</f>
        <v>Albonico M, Bickle Q, Ramsan M, Montresor A, Savioli L, Taylor M. Efficacy of mebendazole and levamisole alone or in combination against intestinal nematode infections after repeated targeted mebendazole treatment in Zanzibar. Bull World Health Organ. 2003;81(5):343-352.</v>
      </c>
    </row>
    <row r="112">
      <c r="A112" s="842" t="str">
        <f>IFERROR(__xludf.DUMMYFUNCTION("""COMPUTED_VALUE"""),"Sorensen et al.")</f>
        <v>Sorensen et al.</v>
      </c>
      <c r="B112" s="834" t="str">
        <f>IFERROR(__xludf.DUMMYFUNCTION("""COMPUTED_VALUE"""),"Sri Lanka")</f>
        <v>Sri Lanka</v>
      </c>
      <c r="C112" s="834" t="str">
        <f>IFERROR(__xludf.DUMMYFUNCTION("""COMPUTED_VALUE"""),"Mebendazole")</f>
        <v>Mebendazole</v>
      </c>
      <c r="D112" s="834" t="str">
        <f>IFERROR(__xludf.DUMMYFUNCTION("""COMPUTED_VALUE"""),"Single")</f>
        <v>Single</v>
      </c>
      <c r="E112" s="834" t="str">
        <f>IFERROR(__xludf.DUMMYFUNCTION("""COMPUTED_VALUE"""),"500 mg")</f>
        <v>500 mg</v>
      </c>
      <c r="F112" s="834"/>
      <c r="G112" s="834"/>
      <c r="H112" s="834"/>
      <c r="I112" s="834">
        <f>IFERROR(__xludf.DUMMYFUNCTION("""COMPUTED_VALUE"""),1994.0)</f>
        <v>1994</v>
      </c>
      <c r="J112" s="834"/>
      <c r="K112" s="839" t="str">
        <f>IFERROR(__xludf.DUMMYFUNCTION("""COMPUTED_VALUE"""),"randomized controlled trial")</f>
        <v>randomized controlled trial</v>
      </c>
      <c r="L112" s="839" t="str">
        <f>IFERROR(__xludf.DUMMYFUNCTION("""COMPUTED_VALUE"""),"Yes")</f>
        <v>Yes</v>
      </c>
      <c r="M112" s="839" t="str">
        <f>IFERROR(__xludf.DUMMYFUNCTION("""COMPUTED_VALUE"""),"No")</f>
        <v>No</v>
      </c>
      <c r="N112" s="840">
        <f>IFERROR(__xludf.DUMMYFUNCTION("""COMPUTED_VALUE"""),0.358)</f>
        <v>0.358</v>
      </c>
      <c r="O112" s="834"/>
      <c r="P112" s="834"/>
      <c r="Q112" s="834"/>
      <c r="R112" s="834"/>
      <c r="S112" s="834"/>
      <c r="T112" s="834"/>
      <c r="U112" s="834"/>
      <c r="V112" s="834"/>
      <c r="W112" s="840">
        <f>IFERROR(__xludf.DUMMYFUNCTION("""COMPUTED_VALUE"""),0.745)</f>
        <v>0.745</v>
      </c>
      <c r="X112" s="834"/>
      <c r="Y112" s="834"/>
      <c r="Z112" s="834"/>
      <c r="AA112" s="834"/>
      <c r="AB112" s="834"/>
      <c r="AC112" s="834"/>
      <c r="AD112" s="834"/>
      <c r="AE112" s="834" t="str">
        <f>IFERROR(__xludf.DUMMYFUNCTION("""COMPUTED_VALUE"""),"Albendazoleis the drug of choice for mass deworming where hookworm disease is prominent. There was no statistically significant difference between the original and locally produced mebendazole.")</f>
        <v>Albendazoleis the drug of choice for mass deworming where hookworm disease is prominent. There was no statistically significant difference between the original and locally produced mebendazole.</v>
      </c>
      <c r="AF112" s="834" t="str">
        <f>IFERROR(__xludf.DUMMYFUNCTION("""COMPUTED_VALUE"""),"Kato-Katz Technique")</f>
        <v>Kato-Katz Technique</v>
      </c>
      <c r="AG112" s="834" t="str">
        <f>IFERROR(__xludf.DUMMYFUNCTION("""COMPUTED_VALUE"""),"Albonico, Marco, Peter G. Smith, Elena Ercole, Andrew Hall, Hababu M. Chwaya, Kassim S. Alawi, and Lorenzo Savoli. ""Rate of Reinfection with Tenstinal Nematodes after Treatment of Children with Mebendazoleor Albendazolein a Highly Endemic Area."" Transac"&amp;"tions of the Royal Society of Tropical Medicine and Hygiene 89 (1995): 538-41. Web.")</f>
        <v>Albonico, Marco, Peter G. Smith, Elena Ercole, Andrew Hall, Hababu M. Chwaya, Kassim S. Alawi, and Lorenzo Savoli. "Rate of Reinfection with Tenstinal Nematodes after Treatment of Children with Mebendazoleor Albendazolein a Highly Endemic Area." Transactions of the Royal Society of Tropical Medicine and Hygiene 89 (1995): 538-41. Web.</v>
      </c>
      <c r="AH112" s="834"/>
      <c r="AJ112" s="843" t="str">
        <f>IFERROR(__xludf.DUMMYFUNCTION("""COMPUTED_VALUE"""),"Bennet et al.")</f>
        <v>Bennet et al.</v>
      </c>
      <c r="AK112" s="836"/>
      <c r="AL112" s="836" t="str">
        <f>IFERROR(__xludf.DUMMYFUNCTION("""COMPUTED_VALUE"""),"America (c&amp;S)")</f>
        <v>America (c&amp;S)</v>
      </c>
      <c r="AM112" s="836" t="str">
        <f>IFERROR(__xludf.DUMMYFUNCTION("""COMPUTED_VALUE"""),"Mebendazole")</f>
        <v>Mebendazole</v>
      </c>
      <c r="AN112" s="836" t="str">
        <f>IFERROR(__xludf.DUMMYFUNCTION("""COMPUTED_VALUE"""),"Single")</f>
        <v>Single</v>
      </c>
      <c r="AO112" s="836" t="str">
        <f>IFERROR(__xludf.DUMMYFUNCTION("""COMPUTED_VALUE"""),"500 mg")</f>
        <v>500 mg</v>
      </c>
      <c r="AP112" s="836"/>
      <c r="AQ112" s="836"/>
      <c r="AR112" s="836"/>
      <c r="AS112" s="836">
        <f>IFERROR(__xludf.DUMMYFUNCTION("""COMPUTED_VALUE"""),2000.0)</f>
        <v>2000</v>
      </c>
      <c r="AT112" s="836"/>
      <c r="AU112" s="836" t="str">
        <f>IFERROR(__xludf.DUMMYFUNCTION("""COMPUTED_VALUE"""),"No")</f>
        <v>No</v>
      </c>
      <c r="AV112" s="836"/>
      <c r="AW112" s="836" t="str">
        <f>IFERROR(__xludf.DUMMYFUNCTION("""COMPUTED_VALUE"""),"review")</f>
        <v>review</v>
      </c>
      <c r="AX112" s="850">
        <f>IFERROR(__xludf.DUMMYFUNCTION("""COMPUTED_VALUE"""),0.35)</f>
        <v>0.35</v>
      </c>
      <c r="AY112" s="836"/>
      <c r="AZ112" s="836"/>
      <c r="BA112" s="836"/>
      <c r="BB112" s="836"/>
      <c r="BC112" s="836"/>
      <c r="BD112" s="836"/>
      <c r="BE112" s="836"/>
      <c r="BF112" s="836"/>
      <c r="BG112" s="836"/>
      <c r="BH112" s="850">
        <f>IFERROR(__xludf.DUMMYFUNCTION("""COMPUTED_VALUE"""),0.81)</f>
        <v>0.81</v>
      </c>
      <c r="BI112" s="836"/>
      <c r="BJ112" s="836"/>
      <c r="BK112" s="836"/>
      <c r="BL112" s="836"/>
      <c r="BM112" s="836"/>
      <c r="BN112" s="836"/>
      <c r="BO112" s="836"/>
      <c r="BP112" s="836" t="str">
        <f>IFERROR(__xludf.DUMMYFUNCTION("""COMPUTED_VALUE"""),"x")</f>
        <v>x</v>
      </c>
      <c r="BQ112" s="697">
        <f>IFERROR(__xludf.DUMMYFUNCTION("""COMPUTED_VALUE"""),111.0)</f>
        <v>111</v>
      </c>
      <c r="BR112" s="844" t="str">
        <f>IFERROR(__xludf.DUMMYFUNCTION("""COMPUTED_VALUE"""),"Prasad et al.")</f>
        <v>Prasad et al.</v>
      </c>
      <c r="BS112" s="838"/>
      <c r="BT112" s="838" t="str">
        <f>IFERROR(__xludf.DUMMYFUNCTION("""COMPUTED_VALUE"""),"Albendazole")</f>
        <v>Albendazole</v>
      </c>
      <c r="BU112" s="838"/>
      <c r="BV112" s="838" t="str">
        <f>IFERROR(__xludf.DUMMYFUNCTION("""COMPUTED_VALUE"""),"Single")</f>
        <v>Single</v>
      </c>
      <c r="BW112" s="838" t="str">
        <f>IFERROR(__xludf.DUMMYFUNCTION("""COMPUTED_VALUE"""),"400 mg")</f>
        <v>400 mg</v>
      </c>
      <c r="BX112" s="838">
        <f>IFERROR(__xludf.DUMMYFUNCTION("""COMPUTED_VALUE"""),74.0)</f>
        <v>74</v>
      </c>
      <c r="BY112" s="845">
        <f>IFERROR(__xludf.DUMMYFUNCTION("""COMPUTED_VALUE"""),42415.0)</f>
        <v>42415</v>
      </c>
      <c r="BZ112" s="838"/>
      <c r="CA112" s="838"/>
      <c r="CB112" s="838"/>
      <c r="CC112" s="838" t="str">
        <f>IFERROR(__xludf.DUMMYFUNCTION("""COMPUTED_VALUE"""),"No")</f>
        <v>No</v>
      </c>
      <c r="CD112" s="847">
        <f>IFERROR(__xludf.DUMMYFUNCTION("""COMPUTED_VALUE"""),0.919)</f>
        <v>0.919</v>
      </c>
      <c r="CE112" s="838" t="str">
        <f>IFERROR(__xludf.DUMMYFUNCTION("""COMPUTED_VALUE"""),"No")</f>
        <v>No</v>
      </c>
      <c r="CF112" s="838"/>
      <c r="CG112" s="838"/>
      <c r="CH112" s="838"/>
      <c r="CI112" s="838"/>
      <c r="CJ112" s="838"/>
      <c r="CK112" s="838"/>
      <c r="CL112" s="838"/>
      <c r="CM112" s="838" t="str">
        <f>IFERROR(__xludf.DUMMYFUNCTION("""COMPUTED_VALUE"""),"85% - 90%")</f>
        <v>85% - 90%</v>
      </c>
      <c r="CN112" s="838"/>
      <c r="CO112" s="838"/>
      <c r="CP112" s="838"/>
      <c r="CQ112" s="838"/>
      <c r="CR112" s="838"/>
      <c r="CS112" s="838" t="str">
        <f>IFERROR(__xludf.DUMMYFUNCTION("""COMPUTED_VALUE"""),"Since the drug is safe and effective as a single-dose treatment of common helminthic infections, it should be considered for mass therapy in the community.")</f>
        <v>Since the drug is safe and effective as a single-dose treatment of common helminthic infections, it should be considered for mass therapy in the community.</v>
      </c>
      <c r="CT112" s="838" t="str">
        <f>IFERROR(__xludf.DUMMYFUNCTION("""COMPUTED_VALUE""")," ")</f>
        <v> </v>
      </c>
      <c r="CU112" s="838"/>
      <c r="CV112" s="697" t="str">
        <f>IFERROR(__xludf.DUMMYFUNCTION("""COMPUTED_VALUE"""),"Prasad, R, Mathur PP, Taneja VK. &amp; Jagota, SC. (1985). Albendazole in the treatment of intestinal
helminthiasis in children. Current Medical Research
and Opinion 9, 516–519.")</f>
        <v>Prasad, R, Mathur PP, Taneja VK. &amp; Jagota, SC. (1985). Albendazole in the treatment of intestinal
helminthiasis in children. Current Medical Research
and Opinion 9, 516–519.</v>
      </c>
    </row>
    <row r="113">
      <c r="A113" s="842" t="str">
        <f>IFERROR(__xludf.DUMMYFUNCTION("""COMPUTED_VALUE"""),"Sorensen et al.")</f>
        <v>Sorensen et al.</v>
      </c>
      <c r="B113" s="834" t="str">
        <f>IFERROR(__xludf.DUMMYFUNCTION("""COMPUTED_VALUE"""),"Sri Lanka")</f>
        <v>Sri Lanka</v>
      </c>
      <c r="C113" s="834" t="str">
        <f>IFERROR(__xludf.DUMMYFUNCTION("""COMPUTED_VALUE"""),"Albendazole")</f>
        <v>Albendazole</v>
      </c>
      <c r="D113" s="834" t="str">
        <f>IFERROR(__xludf.DUMMYFUNCTION("""COMPUTED_VALUE"""),"Single")</f>
        <v>Single</v>
      </c>
      <c r="E113" s="834" t="str">
        <f>IFERROR(__xludf.DUMMYFUNCTION("""COMPUTED_VALUE"""),"200 mg")</f>
        <v>200 mg</v>
      </c>
      <c r="F113" s="834"/>
      <c r="G113" s="834"/>
      <c r="H113" s="834"/>
      <c r="I113" s="834">
        <f>IFERROR(__xludf.DUMMYFUNCTION("""COMPUTED_VALUE"""),1994.0)</f>
        <v>1994</v>
      </c>
      <c r="J113" s="834"/>
      <c r="K113" s="839" t="str">
        <f>IFERROR(__xludf.DUMMYFUNCTION("""COMPUTED_VALUE"""),"randomized controlled trial")</f>
        <v>randomized controlled trial</v>
      </c>
      <c r="L113" s="839" t="str">
        <f>IFERROR(__xludf.DUMMYFUNCTION("""COMPUTED_VALUE"""),"Yes")</f>
        <v>Yes</v>
      </c>
      <c r="M113" s="839" t="str">
        <f>IFERROR(__xludf.DUMMYFUNCTION("""COMPUTED_VALUE"""),"No")</f>
        <v>No</v>
      </c>
      <c r="N113" s="840">
        <f>IFERROR(__xludf.DUMMYFUNCTION("""COMPUTED_VALUE"""),0.779)</f>
        <v>0.779</v>
      </c>
      <c r="O113" s="834"/>
      <c r="P113" s="834"/>
      <c r="Q113" s="834"/>
      <c r="R113" s="834"/>
      <c r="S113" s="834"/>
      <c r="T113" s="834"/>
      <c r="U113" s="834"/>
      <c r="V113" s="834"/>
      <c r="W113" s="840">
        <f>IFERROR(__xludf.DUMMYFUNCTION("""COMPUTED_VALUE"""),0.954)</f>
        <v>0.954</v>
      </c>
      <c r="X113" s="834"/>
      <c r="Y113" s="834"/>
      <c r="Z113" s="834"/>
      <c r="AA113" s="834"/>
      <c r="AB113" s="834"/>
      <c r="AC113" s="834"/>
      <c r="AD113" s="834"/>
      <c r="AE113" s="834" t="str">
        <f>IFERROR(__xludf.DUMMYFUNCTION("""COMPUTED_VALUE"""),"Albendazoleis the drug of choice for mass deworming where hookworm disease is prominent. There was no statistically significant difference between the original and locally produced mebendazole.")</f>
        <v>Albendazoleis the drug of choice for mass deworming where hookworm disease is prominent. There was no statistically significant difference between the original and locally produced mebendazole.</v>
      </c>
      <c r="AF113" s="834" t="str">
        <f>IFERROR(__xludf.DUMMYFUNCTION("""COMPUTED_VALUE"""),"Kato-Katz Technique")</f>
        <v>Kato-Katz Technique</v>
      </c>
      <c r="AG113" s="834" t="str">
        <f>IFERROR(__xludf.DUMMYFUNCTION("""COMPUTED_VALUE"""),"Albonico, Marco, Peter G. Smith, Elena Ercole, Andrew Hall, Hababu M. Chwaya, Kassim S. Alawi, and Lorenzo Savoli. ""Rate of Reinfection with Tenstinal Nematodes after Treatment of Children with Mebendazoleor Albendazolein a Highly Endemic Area."" Transac"&amp;"tions of the Royal Society of Tropical Medicine and Hygiene 89 (1995): 538-41. Web.")</f>
        <v>Albonico, Marco, Peter G. Smith, Elena Ercole, Andrew Hall, Hababu M. Chwaya, Kassim S. Alawi, and Lorenzo Savoli. "Rate of Reinfection with Tenstinal Nematodes after Treatment of Children with Mebendazoleor Albendazolein a Highly Endemic Area." Transactions of the Royal Society of Tropical Medicine and Hygiene 89 (1995): 538-41. Web.</v>
      </c>
      <c r="AH113" s="834"/>
      <c r="AJ113" s="843" t="str">
        <f>IFERROR(__xludf.DUMMYFUNCTION("""COMPUTED_VALUE"""),"Bennet et al.")</f>
        <v>Bennet et al.</v>
      </c>
      <c r="AK113" s="836"/>
      <c r="AL113" s="836" t="str">
        <f>IFERROR(__xludf.DUMMYFUNCTION("""COMPUTED_VALUE"""),"America (c&amp;S)")</f>
        <v>America (c&amp;S)</v>
      </c>
      <c r="AM113" s="836" t="str">
        <f>IFERROR(__xludf.DUMMYFUNCTION("""COMPUTED_VALUE"""),"Mebendazole")</f>
        <v>Mebendazole</v>
      </c>
      <c r="AN113" s="836" t="str">
        <f>IFERROR(__xludf.DUMMYFUNCTION("""COMPUTED_VALUE"""),"Multiple Dose")</f>
        <v>Multiple Dose</v>
      </c>
      <c r="AO113" s="836" t="str">
        <f>IFERROR(__xludf.DUMMYFUNCTION("""COMPUTED_VALUE"""),"(100 mg dose twice daily for three days)")</f>
        <v>(100 mg dose twice daily for three days)</v>
      </c>
      <c r="AP113" s="836"/>
      <c r="AQ113" s="836"/>
      <c r="AR113" s="836"/>
      <c r="AS113" s="836">
        <f>IFERROR(__xludf.DUMMYFUNCTION("""COMPUTED_VALUE"""),2000.0)</f>
        <v>2000</v>
      </c>
      <c r="AT113" s="836"/>
      <c r="AU113" s="836" t="str">
        <f>IFERROR(__xludf.DUMMYFUNCTION("""COMPUTED_VALUE"""),"No")</f>
        <v>No</v>
      </c>
      <c r="AV113" s="836"/>
      <c r="AW113" s="836" t="str">
        <f>IFERROR(__xludf.DUMMYFUNCTION("""COMPUTED_VALUE"""),"review")</f>
        <v>review</v>
      </c>
      <c r="AX113" s="850">
        <f>IFERROR(__xludf.DUMMYFUNCTION("""COMPUTED_VALUE"""),0.75)</f>
        <v>0.75</v>
      </c>
      <c r="AY113" s="836"/>
      <c r="AZ113" s="836"/>
      <c r="BA113" s="836"/>
      <c r="BB113" s="836"/>
      <c r="BC113" s="836"/>
      <c r="BD113" s="836"/>
      <c r="BE113" s="836"/>
      <c r="BF113" s="836"/>
      <c r="BG113" s="836"/>
      <c r="BH113" s="850">
        <f>IFERROR(__xludf.DUMMYFUNCTION("""COMPUTED_VALUE"""),0.95)</f>
        <v>0.95</v>
      </c>
      <c r="BI113" s="836"/>
      <c r="BJ113" s="836"/>
      <c r="BK113" s="836"/>
      <c r="BL113" s="836"/>
      <c r="BM113" s="836"/>
      <c r="BN113" s="836"/>
      <c r="BO113" s="836"/>
      <c r="BP113" s="836" t="str">
        <f>IFERROR(__xludf.DUMMYFUNCTION("""COMPUTED_VALUE"""),"x")</f>
        <v>x</v>
      </c>
      <c r="BQ113" s="697">
        <f>IFERROR(__xludf.DUMMYFUNCTION("""COMPUTED_VALUE"""),112.0)</f>
        <v>112</v>
      </c>
      <c r="BR113" s="844" t="str">
        <f>IFERROR(__xludf.DUMMYFUNCTION("""COMPUTED_VALUE"""),"Ramalingam, s et al.")</f>
        <v>Ramalingam, s et al.</v>
      </c>
      <c r="BS113" s="838" t="str">
        <f>IFERROR(__xludf.DUMMYFUNCTION("""COMPUTED_VALUE"""),"Malaysia")</f>
        <v>Malaysia</v>
      </c>
      <c r="BT113" s="838" t="str">
        <f>IFERROR(__xludf.DUMMYFUNCTION("""COMPUTED_VALUE"""),"Albendazole")</f>
        <v>Albendazole</v>
      </c>
      <c r="BU113" s="838"/>
      <c r="BV113" s="838" t="str">
        <f>IFERROR(__xludf.DUMMYFUNCTION("""COMPUTED_VALUE"""),"Single")</f>
        <v>Single</v>
      </c>
      <c r="BW113" s="838" t="str">
        <f>IFERROR(__xludf.DUMMYFUNCTION("""COMPUTED_VALUE"""),"400 mg")</f>
        <v>400 mg</v>
      </c>
      <c r="BX113" s="838">
        <f>IFERROR(__xludf.DUMMYFUNCTION("""COMPUTED_VALUE"""),6.0)</f>
        <v>6</v>
      </c>
      <c r="BY113" s="845">
        <f>IFERROR(__xludf.DUMMYFUNCTION("""COMPUTED_VALUE"""),42533.0)</f>
        <v>42533</v>
      </c>
      <c r="BZ113" s="838"/>
      <c r="CA113" s="838" t="str">
        <f>IFERROR(__xludf.DUMMYFUNCTION("""COMPUTED_VALUE"""),"M:12F:15, M:13F:39, M:38F:98, M:66F:61")</f>
        <v>M:12F:15, M:13F:39, M:38F:98, M:66F:61</v>
      </c>
      <c r="CB113" s="838"/>
      <c r="CC113" s="838" t="str">
        <f>IFERROR(__xludf.DUMMYFUNCTION("""COMPUTED_VALUE"""),"No")</f>
        <v>No</v>
      </c>
      <c r="CD113" s="846">
        <f>IFERROR(__xludf.DUMMYFUNCTION("""COMPUTED_VALUE"""),1.0)</f>
        <v>1</v>
      </c>
      <c r="CE113" s="838" t="str">
        <f>IFERROR(__xludf.DUMMYFUNCTION("""COMPUTED_VALUE"""),"No")</f>
        <v>No</v>
      </c>
      <c r="CF113" s="846">
        <f>IFERROR(__xludf.DUMMYFUNCTION("""COMPUTED_VALUE"""),1.0)</f>
        <v>1</v>
      </c>
      <c r="CG113" s="846">
        <f>IFERROR(__xludf.DUMMYFUNCTION("""COMPUTED_VALUE"""),1.0)</f>
        <v>1</v>
      </c>
      <c r="CH113" s="838"/>
      <c r="CI113" s="838"/>
      <c r="CJ113" s="838"/>
      <c r="CK113" s="838"/>
      <c r="CL113" s="838"/>
      <c r="CM113" s="846">
        <f>IFERROR(__xludf.DUMMYFUNCTION("""COMPUTED_VALUE"""),1.0)</f>
        <v>1</v>
      </c>
      <c r="CN113" s="838"/>
      <c r="CO113" s="838"/>
      <c r="CP113" s="838"/>
      <c r="CQ113" s="838"/>
      <c r="CR113" s="838"/>
      <c r="CS113" s="838" t="str">
        <f>IFERROR(__xludf.DUMMYFUNCTION("""COMPUTED_VALUE"""),"There were no side effects, and biochemical examination of blood and urine did not indicate any unfavourable changes. Based on this trial, the recommended dosage for Ascaris and hookworm is a 400 mg single dose,")</f>
        <v>There were no side effects, and biochemical examination of blood and urine did not indicate any unfavourable changes. Based on this trial, the recommended dosage for Ascaris and hookworm is a 400 mg single dose,</v>
      </c>
      <c r="CT113" s="838"/>
      <c r="CU113" s="838"/>
      <c r="CV113" s="697" t="str">
        <f>IFERROR(__xludf.DUMMYFUNCTION("""COMPUTED_VALUE"""),"ramalingam, s., sinniah, b. &amp; krishnan, u. (1983).Albendazole, an effective single dose, broad spectrumanthelmintic drug. American Journal of TropicalMedicine and Hygiene 32, 984–989.")</f>
        <v>ramalingam, s., sinniah, b. &amp; krishnan, u. (1983).Albendazole, an effective single dose, broad spectrumanthelmintic drug. American Journal of TropicalMedicine and Hygiene 32, 984–989.</v>
      </c>
    </row>
    <row r="114">
      <c r="A114" s="842" t="str">
        <f>IFERROR(__xludf.DUMMYFUNCTION("""COMPUTED_VALUE"""),"Soukhathammavong et al. ")</f>
        <v>Soukhathammavong et al. </v>
      </c>
      <c r="B114" s="834" t="str">
        <f>IFERROR(__xludf.DUMMYFUNCTION("""COMPUTED_VALUE"""),"Lao People's Democratic Republic")</f>
        <v>Lao People's Democratic Republic</v>
      </c>
      <c r="C114" s="834" t="str">
        <f>IFERROR(__xludf.DUMMYFUNCTION("""COMPUTED_VALUE"""),"Albendazole")</f>
        <v>Albendazole</v>
      </c>
      <c r="D114" s="834" t="str">
        <f>IFERROR(__xludf.DUMMYFUNCTION("""COMPUTED_VALUE"""),"Single")</f>
        <v>Single</v>
      </c>
      <c r="E114" s="834" t="str">
        <f>IFERROR(__xludf.DUMMYFUNCTION("""COMPUTED_VALUE"""),"400 mg")</f>
        <v>400 mg</v>
      </c>
      <c r="F114" s="834" t="str">
        <f>IFERROR(__xludf.DUMMYFUNCTION("""COMPUTED_VALUE"""),"89/100")</f>
        <v>89/100</v>
      </c>
      <c r="G114" s="834">
        <f>IFERROR(__xludf.DUMMYFUNCTION("""COMPUTED_VALUE"""),9.0)</f>
        <v>9</v>
      </c>
      <c r="H114" s="839" t="str">
        <f>IFERROR(__xludf.DUMMYFUNCTION("""COMPUTED_VALUE"""),"56:33")</f>
        <v>56:33</v>
      </c>
      <c r="I114" s="834">
        <f>IFERROR(__xludf.DUMMYFUNCTION("""COMPUTED_VALUE"""),2009.0)</f>
        <v>2009</v>
      </c>
      <c r="J114" s="834" t="str">
        <f>IFERROR(__xludf.DUMMYFUNCTION("""COMPUTED_VALUE"""),"Children were excluded who had no hookworm eggs in their stool (n = 235) or provided only a single stool sample (n = 30).")</f>
        <v>Children were excluded who had no hookworm eggs in their stool (n = 235) or provided only a single stool sample (n = 30).</v>
      </c>
      <c r="K114" s="839" t="str">
        <f>IFERROR(__xludf.DUMMYFUNCTION("""COMPUTED_VALUE"""),"randomized open-label two-arm trial")</f>
        <v>randomized open-label two-arm trial</v>
      </c>
      <c r="L114" s="839" t="str">
        <f>IFERROR(__xludf.DUMMYFUNCTION("""COMPUTED_VALUE"""),"Yes")</f>
        <v>Yes</v>
      </c>
      <c r="M114" s="839" t="str">
        <f>IFERROR(__xludf.DUMMYFUNCTION("""COMPUTED_VALUE"""),"No")</f>
        <v>No</v>
      </c>
      <c r="N114" s="840">
        <f>IFERROR(__xludf.DUMMYFUNCTION("""COMPUTED_VALUE"""),0.36)</f>
        <v>0.36</v>
      </c>
      <c r="O114" s="834"/>
      <c r="P114" s="834"/>
      <c r="Q114" s="834"/>
      <c r="R114" s="834"/>
      <c r="S114" s="834"/>
      <c r="T114" s="834"/>
      <c r="U114" s="834"/>
      <c r="V114" s="834"/>
      <c r="W114" s="840">
        <f>IFERROR(__xludf.DUMMYFUNCTION("""COMPUTED_VALUE"""),0.867)</f>
        <v>0.867</v>
      </c>
      <c r="X114" s="834"/>
      <c r="Y114" s="834"/>
      <c r="Z114" s="834"/>
      <c r="AA114" s="834"/>
      <c r="AB114" s="834"/>
      <c r="AC114" s="834"/>
      <c r="AD114" s="834"/>
      <c r="AE114" s="834" t="str">
        <f>IFERROR(__xludf.DUMMYFUNCTION("""COMPUTED_VALUE"""),"Both Albendazoleand Mebendazoleshowed disappointing CRs against hookworm, but Albendazolecured infection and reduced intensity of infection with a higher efficacy than mebendazole.")</f>
        <v>Both Albendazoleand Mebendazoleshowed disappointing CRs against hookworm, but Albendazolecured infection and reduced intensity of infection with a higher efficacy than mebendazole.</v>
      </c>
      <c r="AF114" s="834" t="str">
        <f>IFERROR(__xludf.DUMMYFUNCTION("""COMPUTED_VALUE"""),"Kato-Katz Method")</f>
        <v>Kato-Katz Method</v>
      </c>
      <c r="AG114" s="834" t="str">
        <f>IFERROR(__xludf.DUMMYFUNCTION("""COMPUTED_VALUE"""),"Aye Soukhathammavong, Phonepasong, Somphou Sayasone, Khampheng Phongluxa, Vilavanh Xayaseng, Jurg Utzinger, Penelope Vounatsou, Cristoph Hatz, Kongsap Akkhavong, Jennifer Keiser, and Peter Odermatt. ""Low Efficacy of Single-Dose Albendazolel and Mebendazo"&amp;"leagainst Hookworm and Effect on Concomitant Helminth Infection in Lao PDR."" PLOS Neglected Tropical Diseases 6.1 (2012): 1-8. Web.")</f>
        <v>Aye Soukhathammavong, Phonepasong, Somphou Sayasone, Khampheng Phongluxa, Vilavanh Xayaseng, Jurg Utzinger, Penelope Vounatsou, Cristoph Hatz, Kongsap Akkhavong, Jennifer Keiser, and Peter Odermatt. "Low Efficacy of Single-Dose Albendazolel and Mebendazoleagainst Hookworm and Effect on Concomitant Helminth Infection in Lao PDR." PLOS Neglected Tropical Diseases 6.1 (2012): 1-8. Web.</v>
      </c>
      <c r="AH114" s="834"/>
      <c r="AJ114" s="836"/>
      <c r="AK114" s="836"/>
      <c r="AL114" s="836"/>
      <c r="AM114" s="836"/>
      <c r="AN114" s="836"/>
      <c r="AO114" s="836"/>
      <c r="AP114" s="836"/>
      <c r="AQ114" s="836"/>
      <c r="AR114" s="836"/>
      <c r="AS114" s="836"/>
      <c r="AT114" s="836"/>
      <c r="AU114" s="836"/>
      <c r="AV114" s="836"/>
      <c r="AW114" s="836"/>
      <c r="AX114" s="836"/>
      <c r="AY114" s="836"/>
      <c r="AZ114" s="836"/>
      <c r="BA114" s="836"/>
      <c r="BB114" s="836"/>
      <c r="BC114" s="836"/>
      <c r="BD114" s="836"/>
      <c r="BE114" s="836"/>
      <c r="BF114" s="836"/>
      <c r="BG114" s="836"/>
      <c r="BH114" s="836"/>
      <c r="BI114" s="836"/>
      <c r="BJ114" s="836"/>
      <c r="BK114" s="836"/>
      <c r="BL114" s="836"/>
      <c r="BM114" s="836"/>
      <c r="BN114" s="836"/>
      <c r="BO114" s="836"/>
      <c r="BP114" s="836"/>
      <c r="BQ114" s="697">
        <f>IFERROR(__xludf.DUMMYFUNCTION("""COMPUTED_VALUE"""),113.0)</f>
        <v>113</v>
      </c>
      <c r="BR114" s="844" t="str">
        <f>IFERROR(__xludf.DUMMYFUNCTION("""COMPUTED_VALUE"""),"Ramalingam, s et al.")</f>
        <v>Ramalingam, s et al.</v>
      </c>
      <c r="BS114" s="838" t="str">
        <f>IFERROR(__xludf.DUMMYFUNCTION("""COMPUTED_VALUE"""),"Malaysia")</f>
        <v>Malaysia</v>
      </c>
      <c r="BT114" s="838" t="str">
        <f>IFERROR(__xludf.DUMMYFUNCTION("""COMPUTED_VALUE"""),"Albendazole")</f>
        <v>Albendazole</v>
      </c>
      <c r="BU114" s="838"/>
      <c r="BV114" s="838" t="str">
        <f>IFERROR(__xludf.DUMMYFUNCTION("""COMPUTED_VALUE"""),"Single")</f>
        <v>Single</v>
      </c>
      <c r="BW114" s="838" t="str">
        <f>IFERROR(__xludf.DUMMYFUNCTION("""COMPUTED_VALUE"""),"600 mg")</f>
        <v>600 mg</v>
      </c>
      <c r="BX114" s="838">
        <f>IFERROR(__xludf.DUMMYFUNCTION("""COMPUTED_VALUE"""),14.0)</f>
        <v>14</v>
      </c>
      <c r="BY114" s="838" t="str">
        <f>IFERROR(__xludf.DUMMYFUNCTION("""COMPUTED_VALUE"""),"13-20")</f>
        <v>13-20</v>
      </c>
      <c r="BZ114" s="838"/>
      <c r="CA114" s="838"/>
      <c r="CB114" s="838"/>
      <c r="CC114" s="838" t="str">
        <f>IFERROR(__xludf.DUMMYFUNCTION("""COMPUTED_VALUE"""),"No")</f>
        <v>No</v>
      </c>
      <c r="CD114" s="846">
        <f>IFERROR(__xludf.DUMMYFUNCTION("""COMPUTED_VALUE"""),1.0)</f>
        <v>1</v>
      </c>
      <c r="CE114" s="838" t="str">
        <f>IFERROR(__xludf.DUMMYFUNCTION("""COMPUTED_VALUE"""),"No")</f>
        <v>No</v>
      </c>
      <c r="CF114" s="846">
        <f>IFERROR(__xludf.DUMMYFUNCTION("""COMPUTED_VALUE"""),1.0)</f>
        <v>1</v>
      </c>
      <c r="CG114" s="846">
        <f>IFERROR(__xludf.DUMMYFUNCTION("""COMPUTED_VALUE"""),1.0)</f>
        <v>1</v>
      </c>
      <c r="CH114" s="838"/>
      <c r="CI114" s="838"/>
      <c r="CJ114" s="838"/>
      <c r="CK114" s="838"/>
      <c r="CL114" s="838"/>
      <c r="CM114" s="846">
        <f>IFERROR(__xludf.DUMMYFUNCTION("""COMPUTED_VALUE"""),1.0)</f>
        <v>1</v>
      </c>
      <c r="CN114" s="838"/>
      <c r="CO114" s="838"/>
      <c r="CP114" s="838"/>
      <c r="CQ114" s="838"/>
      <c r="CR114" s="838"/>
      <c r="CS114" s="838"/>
      <c r="CT114" s="838"/>
      <c r="CU114" s="838"/>
      <c r="CV114" s="697" t="str">
        <f>IFERROR(__xludf.DUMMYFUNCTION("""COMPUTED_VALUE"""),"ramalingam, s., sinniah, b. &amp; krishnan, u. (1983).Albendazole, an effective single dose, broad spectrumanthelmintic drug. American Journal of TropicalMedicine and Hygiene 32, 984–989.")</f>
        <v>ramalingam, s., sinniah, b. &amp; krishnan, u. (1983).Albendazole, an effective single dose, broad spectrumanthelmintic drug. American Journal of TropicalMedicine and Hygiene 32, 984–989.</v>
      </c>
    </row>
    <row r="115">
      <c r="A115" s="842" t="str">
        <f>IFERROR(__xludf.DUMMYFUNCTION("""COMPUTED_VALUE"""),"Soukhathammavong et al. ")</f>
        <v>Soukhathammavong et al. </v>
      </c>
      <c r="B115" s="834" t="str">
        <f>IFERROR(__xludf.DUMMYFUNCTION("""COMPUTED_VALUE"""),"Lao People's Democratic Republic")</f>
        <v>Lao People's Democratic Republic</v>
      </c>
      <c r="C115" s="834" t="str">
        <f>IFERROR(__xludf.DUMMYFUNCTION("""COMPUTED_VALUE"""),"Mebendazole")</f>
        <v>Mebendazole</v>
      </c>
      <c r="D115" s="834" t="str">
        <f>IFERROR(__xludf.DUMMYFUNCTION("""COMPUTED_VALUE"""),"Single")</f>
        <v>Single</v>
      </c>
      <c r="E115" s="834" t="str">
        <f>IFERROR(__xludf.DUMMYFUNCTION("""COMPUTED_VALUE"""),"500 mg")</f>
        <v>500 mg</v>
      </c>
      <c r="F115" s="834" t="str">
        <f>IFERROR(__xludf.DUMMYFUNCTION("""COMPUTED_VALUE"""),"82/100")</f>
        <v>82/100</v>
      </c>
      <c r="G115" s="834">
        <f>IFERROR(__xludf.DUMMYFUNCTION("""COMPUTED_VALUE"""),9.0)</f>
        <v>9</v>
      </c>
      <c r="H115" s="839" t="str">
        <f>IFERROR(__xludf.DUMMYFUNCTION("""COMPUTED_VALUE"""),"49:33")</f>
        <v>49:33</v>
      </c>
      <c r="I115" s="834">
        <f>IFERROR(__xludf.DUMMYFUNCTION("""COMPUTED_VALUE"""),2009.0)</f>
        <v>2009</v>
      </c>
      <c r="J115" s="834"/>
      <c r="K115" s="839" t="str">
        <f>IFERROR(__xludf.DUMMYFUNCTION("""COMPUTED_VALUE"""),"randomized open-label two-arm trial")</f>
        <v>randomized open-label two-arm trial</v>
      </c>
      <c r="L115" s="839" t="str">
        <f>IFERROR(__xludf.DUMMYFUNCTION("""COMPUTED_VALUE"""),"Yes")</f>
        <v>Yes</v>
      </c>
      <c r="M115" s="839" t="str">
        <f>IFERROR(__xludf.DUMMYFUNCTION("""COMPUTED_VALUE"""),"No")</f>
        <v>No</v>
      </c>
      <c r="N115" s="840">
        <f>IFERROR(__xludf.DUMMYFUNCTION("""COMPUTED_VALUE"""),0.176)</f>
        <v>0.176</v>
      </c>
      <c r="O115" s="834"/>
      <c r="P115" s="834"/>
      <c r="Q115" s="834"/>
      <c r="R115" s="834"/>
      <c r="S115" s="834"/>
      <c r="T115" s="834"/>
      <c r="U115" s="834"/>
      <c r="V115" s="834"/>
      <c r="W115" s="840">
        <f>IFERROR(__xludf.DUMMYFUNCTION("""COMPUTED_VALUE"""),0.763)</f>
        <v>0.763</v>
      </c>
      <c r="X115" s="834"/>
      <c r="Y115" s="834"/>
      <c r="Z115" s="834"/>
      <c r="AA115" s="834"/>
      <c r="AB115" s="834"/>
      <c r="AC115" s="834"/>
      <c r="AD115" s="834"/>
      <c r="AE115" s="834" t="str">
        <f>IFERROR(__xludf.DUMMYFUNCTION("""COMPUTED_VALUE"""),"Both Albendazoleand Mebendazoleshowed disappointing CRs against hookworm, but Albendazolecured infection and reduced intensity of infection with a higher efficacy than mebendazole.")</f>
        <v>Both Albendazoleand Mebendazoleshowed disappointing CRs against hookworm, but Albendazolecured infection and reduced intensity of infection with a higher efficacy than mebendazole.</v>
      </c>
      <c r="AF115" s="834" t="str">
        <f>IFERROR(__xludf.DUMMYFUNCTION("""COMPUTED_VALUE"""),"Kato-Katz Method")</f>
        <v>Kato-Katz Method</v>
      </c>
      <c r="AG115" s="834" t="str">
        <f>IFERROR(__xludf.DUMMYFUNCTION("""COMPUTED_VALUE"""),"Aye Soukhathammavong, Phonepasong, Somphou Sayasone, Khampheng Phongluxa, Vilavanh Xayaseng, Jurg Utzinger, Penelope Vounatsou, Cristoph Hatz, Kongsap Akkhavong, Jennifer Keiser, and Peter Odermatt. ""Low Efficacy of Single-Dose Albendazolel and Mebendazo"&amp;"leagainst Hookworm and Effect on Concomitant Helminth Infection in Lao PDR."" PLOS Neglected Tropical Diseases 6.1 (2012): 1-8. Web.")</f>
        <v>Aye Soukhathammavong, Phonepasong, Somphou Sayasone, Khampheng Phongluxa, Vilavanh Xayaseng, Jurg Utzinger, Penelope Vounatsou, Cristoph Hatz, Kongsap Akkhavong, Jennifer Keiser, and Peter Odermatt. "Low Efficacy of Single-Dose Albendazolel and Mebendazoleagainst Hookworm and Effect on Concomitant Helminth Infection in Lao PDR." PLOS Neglected Tropical Diseases 6.1 (2012): 1-8. Web.</v>
      </c>
      <c r="AH115" s="834"/>
      <c r="AJ115" s="843" t="str">
        <f>IFERROR(__xludf.DUMMYFUNCTION("""COMPUTED_VALUE"""),"Speich")</f>
        <v>Speich</v>
      </c>
      <c r="AK115" s="836" t="str">
        <f>IFERROR(__xludf.DUMMYFUNCTION("""COMPUTED_VALUE"""),"Speich, Benjamin, et al. ""Efficacy and safety of Albendazoleplus ivermectin, Albendazoleplus mebendazole, Albendazoleplus oxantel pamoate, and Mebendazolealone against Trichuris trichiura and concomitant soil-transmitted helminth infections: a four-arm, "&amp;"randomised controlled trial."" The Lancet Infectious Diseases 15.3 (2015): 277-284.")</f>
        <v>Speich, Benjamin, et al. "Efficacy and safety of Albendazoleplus ivermectin, Albendazoleplus mebendazole, Albendazoleplus oxantel pamoate, and Mebendazolealone against Trichuris trichiura and concomitant soil-transmitted helminth infections: a four-arm, randomised controlled trial." The Lancet Infectious Diseases 15.3 (2015): 277-284.</v>
      </c>
      <c r="AL115" s="836" t="str">
        <f>IFERROR(__xludf.DUMMYFUNCTION("""COMPUTED_VALUE"""),"Tanzania")</f>
        <v>Tanzania</v>
      </c>
      <c r="AM115" s="836" t="str">
        <f>IFERROR(__xludf.DUMMYFUNCTION("""COMPUTED_VALUE"""),"Albendazole &amp; Ivermectin")</f>
        <v>Albendazole &amp; Ivermectin</v>
      </c>
      <c r="AN115" s="836" t="str">
        <f>IFERROR(__xludf.DUMMYFUNCTION("""COMPUTED_VALUE"""),"Single")</f>
        <v>Single</v>
      </c>
      <c r="AO115" s="836" t="str">
        <f>IFERROR(__xludf.DUMMYFUNCTION("""COMPUTED_VALUE"""),"400 mg; 200 μg/kg")</f>
        <v>400 mg; 200 μg/kg</v>
      </c>
      <c r="AP115" s="836">
        <f>IFERROR(__xludf.DUMMYFUNCTION("""COMPUTED_VALUE"""),110.0)</f>
        <v>110</v>
      </c>
      <c r="AQ115" s="836" t="str">
        <f>IFERROR(__xludf.DUMMYFUNCTION("""COMPUTED_VALUE"""),"9·0")</f>
        <v>9·0</v>
      </c>
      <c r="AR115" s="836" t="str">
        <f>IFERROR(__xludf.DUMMYFUNCTION("""COMPUTED_VALUE"""),"56/54")</f>
        <v>56/54</v>
      </c>
      <c r="AS115" s="836">
        <f>IFERROR(__xludf.DUMMYFUNCTION("""COMPUTED_VALUE"""),2010.0)</f>
        <v>2010</v>
      </c>
      <c r="AT115" s="836" t="str">
        <f>IFERROR(__xludf.DUMMYFUNCTION("""COMPUTED_VALUE"""),"We screened children aged 6–14 years for eligibility. We obtained written informed consent from their parents or guardians; the children themselves gave assent orally. Children who tested positive for T trichiura were deemed eligible for the trial. Oral m"&amp;"edical history and physical examinations were obtained from each child meeting the inclusion criteria.")</f>
        <v>We screened children aged 6–14 years for eligibility. We obtained written informed consent from their parents or guardians; the children themselves gave assent orally. Children who tested positive for T trichiura were deemed eligible for the trial. Oral medical history and physical examinations were obtained from each child meeting the inclusion criteria.</v>
      </c>
      <c r="AU115" s="836" t="str">
        <f>IFERROR(__xludf.DUMMYFUNCTION("""COMPUTED_VALUE"""),"Yes")</f>
        <v>Yes</v>
      </c>
      <c r="AV115" s="836"/>
      <c r="AW115" s="836"/>
      <c r="AX115" s="836" t="str">
        <f>IFERROR(__xludf.DUMMYFUNCTION("""COMPUTED_VALUE"""),"27·5%")</f>
        <v>27·5%</v>
      </c>
      <c r="AY115" s="836"/>
      <c r="AZ115" s="836"/>
      <c r="BA115" s="836"/>
      <c r="BB115" s="836"/>
      <c r="BC115" s="836"/>
      <c r="BD115" s="836"/>
      <c r="BE115" s="836"/>
      <c r="BF115" s="836"/>
      <c r="BG115" s="836"/>
      <c r="BH115" s="836"/>
      <c r="BI115" s="836"/>
      <c r="BJ115" s="836"/>
      <c r="BK115" s="836"/>
      <c r="BL115" s="836"/>
      <c r="BM115" s="836"/>
      <c r="BN115" s="836" t="str">
        <f>IFERROR(__xludf.DUMMYFUNCTION("""COMPUTED_VALUE"""),"In conclusion, we identifi ed two combination therapies against T trichiura that have signifi cantly higher efficacy than the standard treatment of Mebendazolealone: Albendazoleplus oxantel pamoate and Albendazoleplus ivermectin. On one hand, the combinat"&amp;"ion including oxantel pamoate cured a larger proportion of patients than the combination with ivermectin. On the other hand, Ivermectinhas the advantage of also being the standard treatment against S stercoralis, We identified strong evidence, including a"&amp;" systematic review and meta-analysis 7 and some clinical trials,8–12 for the low efficacy of the existing drugs Albendazoleand Mebendazoleagainst T trichiura. We identified three albendazole-based drug combinations (Albendazole[400 mg] plus Ivermectin[200"&amp;" μg/kg],9,15,16 Albendazole[400 mg] plus Mebendazole[500 mg],10 and Albendazole[400 mg] plus oxantel pamoate [20 mg/kg])12 that showed high effi cacy against T trichiura. However, the effi cacy and safety of these three drug combinations had not been asse"&amp;"ssed within a head-to-head clinical trial. Our study provides the first evidence that a combination of Albendazoleplus oxantel pamoate is the most eff ective treatment for infections with T trichiura. By contrast with previous work, our study directly com"&amp;"pared three combined treatments. Our results suggest that Mebendazolealone or combined with Albendazolecannot be recommended as treatment for these infections. The frequency and severity of adverse events noted after combination chemotherapy were similar "&amp;"to those reported for Mebendazolealone.")</f>
        <v>In conclusion, we identifi ed two combination therapies against T trichiura that have signifi cantly higher efficacy than the standard treatment of Mebendazolealone: Albendazoleplus oxantel pamoate and Albendazoleplus ivermectin. On one hand, the combination including oxantel pamoate cured a larger proportion of patients than the combination with ivermectin. On the other hand, Ivermectinhas the advantage of also being the standard treatment against S stercoralis, We identified strong evidence, including a systematic review and meta-analysis 7 and some clinical trials,8–12 for the low efficacy of the existing drugs Albendazoleand Mebendazoleagainst T trichiura. We identified three albendazole-based drug combinations (Albendazole[400 mg] plus Ivermectin[200 μg/kg],9,15,16 Albendazole[400 mg] plus Mebendazole[500 mg],10 and Albendazole[400 mg] plus oxantel pamoate [20 mg/kg])12 that showed high effi cacy against T trichiura. However, the effi cacy and safety of these three drug combinations had not been assessed within a head-to-head clinical trial. Our study provides the first evidence that a combination of Albendazoleplus oxantel pamoate is the most eff ective treatment for infections with T trichiura. By contrast with previous work, our study directly compared three combined treatments. Our results suggest that Mebendazolealone or combined with Albendazolecannot be recommended as treatment for these infections. The frequency and severity of adverse events noted after combination chemotherapy were similar to those reported for Mebendazolealone.</v>
      </c>
      <c r="BO115" s="836"/>
      <c r="BP115" s="836"/>
      <c r="BQ115" s="697">
        <f>IFERROR(__xludf.DUMMYFUNCTION("""COMPUTED_VALUE"""),114.0)</f>
        <v>114</v>
      </c>
      <c r="BR115" s="844" t="str">
        <f>IFERROR(__xludf.DUMMYFUNCTION("""COMPUTED_VALUE"""),"Ramalingam, s et al.")</f>
        <v>Ramalingam, s et al.</v>
      </c>
      <c r="BS115" s="838" t="str">
        <f>IFERROR(__xludf.DUMMYFUNCTION("""COMPUTED_VALUE"""),"Malaysia")</f>
        <v>Malaysia</v>
      </c>
      <c r="BT115" s="838" t="str">
        <f>IFERROR(__xludf.DUMMYFUNCTION("""COMPUTED_VALUE"""),"Albendazole")</f>
        <v>Albendazole</v>
      </c>
      <c r="BU115" s="838"/>
      <c r="BV115" s="838" t="str">
        <f>IFERROR(__xludf.DUMMYFUNCTION("""COMPUTED_VALUE"""),"Single")</f>
        <v>Single</v>
      </c>
      <c r="BW115" s="838" t="str">
        <f>IFERROR(__xludf.DUMMYFUNCTION("""COMPUTED_VALUE"""),"800 mg")</f>
        <v>800 mg</v>
      </c>
      <c r="BX115" s="838">
        <f>IFERROR(__xludf.DUMMYFUNCTION("""COMPUTED_VALUE"""),12.0)</f>
        <v>12</v>
      </c>
      <c r="BY115" s="838" t="str">
        <f>IFERROR(__xludf.DUMMYFUNCTION("""COMPUTED_VALUE"""),"21-40")</f>
        <v>21-40</v>
      </c>
      <c r="BZ115" s="838"/>
      <c r="CA115" s="838"/>
      <c r="CB115" s="838"/>
      <c r="CC115" s="838" t="str">
        <f>IFERROR(__xludf.DUMMYFUNCTION("""COMPUTED_VALUE"""),"No")</f>
        <v>No</v>
      </c>
      <c r="CD115" s="846">
        <f>IFERROR(__xludf.DUMMYFUNCTION("""COMPUTED_VALUE"""),1.0)</f>
        <v>1</v>
      </c>
      <c r="CE115" s="838" t="str">
        <f>IFERROR(__xludf.DUMMYFUNCTION("""COMPUTED_VALUE"""),"No")</f>
        <v>No</v>
      </c>
      <c r="CF115" s="846">
        <f>IFERROR(__xludf.DUMMYFUNCTION("""COMPUTED_VALUE"""),1.0)</f>
        <v>1</v>
      </c>
      <c r="CG115" s="846">
        <f>IFERROR(__xludf.DUMMYFUNCTION("""COMPUTED_VALUE"""),1.0)</f>
        <v>1</v>
      </c>
      <c r="CH115" s="838"/>
      <c r="CI115" s="838"/>
      <c r="CJ115" s="838"/>
      <c r="CK115" s="838"/>
      <c r="CL115" s="838"/>
      <c r="CM115" s="846">
        <f>IFERROR(__xludf.DUMMYFUNCTION("""COMPUTED_VALUE"""),1.0)</f>
        <v>1</v>
      </c>
      <c r="CN115" s="838"/>
      <c r="CO115" s="838"/>
      <c r="CP115" s="838"/>
      <c r="CQ115" s="838"/>
      <c r="CR115" s="838"/>
      <c r="CS115" s="838"/>
      <c r="CT115" s="838"/>
      <c r="CU115" s="838"/>
      <c r="CV115" s="697" t="str">
        <f>IFERROR(__xludf.DUMMYFUNCTION("""COMPUTED_VALUE"""),"ramalingam, s., sinniah, b. &amp; krishnan, u. (1983).Albendazole, an effective single dose, broad spectrumanthelmintic drug. American Journal of TropicalMedicine and Hygiene 32, 984–989.")</f>
        <v>ramalingam, s., sinniah, b. &amp; krishnan, u. (1983).Albendazole, an effective single dose, broad spectrumanthelmintic drug. American Journal of TropicalMedicine and Hygiene 32, 984–989.</v>
      </c>
    </row>
    <row r="116">
      <c r="A116" s="842" t="str">
        <f>IFERROR(__xludf.DUMMYFUNCTION("""COMPUTED_VALUE"""),"Speich et al. ")</f>
        <v>Speich et al. </v>
      </c>
      <c r="B116" s="834" t="str">
        <f>IFERROR(__xludf.DUMMYFUNCTION("""COMPUTED_VALUE"""),"Tanzania")</f>
        <v>Tanzania</v>
      </c>
      <c r="C116" s="834" t="str">
        <f>IFERROR(__xludf.DUMMYFUNCTION("""COMPUTED_VALUE"""),"Albendazole")</f>
        <v>Albendazole</v>
      </c>
      <c r="D116" s="834" t="str">
        <f>IFERROR(__xludf.DUMMYFUNCTION("""COMPUTED_VALUE"""),"Single")</f>
        <v>Single</v>
      </c>
      <c r="E116" s="834" t="str">
        <f>IFERROR(__xludf.DUMMYFUNCTION("""COMPUTED_VALUE"""),"400 mg")</f>
        <v>400 mg</v>
      </c>
      <c r="F116" s="834" t="str">
        <f>IFERROR(__xludf.DUMMYFUNCTION("""COMPUTED_VALUE"""),"11/48")</f>
        <v>11/48</v>
      </c>
      <c r="G116" s="849">
        <f>IFERROR(__xludf.DUMMYFUNCTION("""COMPUTED_VALUE"""),42566.0)</f>
        <v>42566</v>
      </c>
      <c r="H116" s="839" t="str">
        <f>IFERROR(__xludf.DUMMYFUNCTION("""COMPUTED_VALUE"""),"85:92")</f>
        <v>85:92</v>
      </c>
      <c r="I116" s="834">
        <f>IFERROR(__xludf.DUMMYFUNCTION("""COMPUTED_VALUE"""),2011.0)</f>
        <v>2011</v>
      </c>
      <c r="J116" s="834" t="str">
        <f>IFERROR(__xludf.DUMMYFUNCTION("""COMPUTED_VALUE"""),"Exclusion criteria were: presence of any abnormal medical condition, judged by the study physcian, history of acute or severe chronic disease and recent use of anthelminitic drugs within the past 4 weeks")</f>
        <v>Exclusion criteria were: presence of any abnormal medical condition, judged by the study physcian, history of acute or severe chronic disease and recent use of anthelminitic drugs within the past 4 weeks</v>
      </c>
      <c r="K116" s="839" t="str">
        <f>IFERROR(__xludf.DUMMYFUNCTION("""COMPUTED_VALUE"""),"double-blind randomized placebo controlled study")</f>
        <v>double-blind randomized placebo controlled study</v>
      </c>
      <c r="L116" s="839" t="str">
        <f>IFERROR(__xludf.DUMMYFUNCTION("""COMPUTED_VALUE"""),"Yes")</f>
        <v>Yes</v>
      </c>
      <c r="M116" s="839" t="str">
        <f>IFERROR(__xludf.DUMMYFUNCTION("""COMPUTED_VALUE"""),"Yes")</f>
        <v>Yes</v>
      </c>
      <c r="N116" s="840">
        <f>IFERROR(__xludf.DUMMYFUNCTION("""COMPUTED_VALUE"""),0.818)</f>
        <v>0.818</v>
      </c>
      <c r="O116" s="834"/>
      <c r="P116" s="834"/>
      <c r="Q116" s="834"/>
      <c r="R116" s="834"/>
      <c r="S116" s="834"/>
      <c r="T116" s="834"/>
      <c r="U116" s="834"/>
      <c r="V116" s="834"/>
      <c r="W116" s="834"/>
      <c r="X116" s="834"/>
      <c r="Y116" s="834"/>
      <c r="Z116" s="834"/>
      <c r="AA116" s="834"/>
      <c r="AB116" s="834"/>
      <c r="AC116" s="834"/>
      <c r="AD116" s="834"/>
      <c r="AE116" s="834"/>
      <c r="AF116" s="834" t="str">
        <f>IFERROR(__xludf.DUMMYFUNCTION("""COMPUTED_VALUE"""),"Kato-Katz Method and less then 10 percent of the children were infected with hookworm")</f>
        <v>Kato-Katz Method and less then 10 percent of the children were infected with hookworm</v>
      </c>
      <c r="AG116" s="834" t="str">
        <f>IFERROR(__xludf.DUMMYFUNCTION("""COMPUTED_VALUE"""),"Speich, Benjamin, Shaali M. Ame, Said M. Ali, Rainer Alles, Janet Hattendorf, Jurg Utzinger, Marco Albonico, and Jennifer Keisler. ""Efficacy and Safety of Nitazoxanide, Albendazole, and Nitazoxanide-Albendazoleagainst Trichuris Trichiura Infection: A Ran"&amp;"domized Controlled Trial."" PLOS Neglected Tropical Diseases 6.6 (2012): 1-8. Web.")</f>
        <v>Speich, Benjamin, Shaali M. Ame, Said M. Ali, Rainer Alles, Janet Hattendorf, Jurg Utzinger, Marco Albonico, and Jennifer Keisler. "Efficacy and Safety of Nitazoxanide, Albendazole, and Nitazoxanide-Albendazoleagainst Trichuris Trichiura Infection: A Randomized Controlled Trial." PLOS Neglected Tropical Diseases 6.6 (2012): 1-8. Web.</v>
      </c>
      <c r="AH116" s="834"/>
      <c r="AJ116" s="843" t="str">
        <f>IFERROR(__xludf.DUMMYFUNCTION("""COMPUTED_VALUE"""),"Speich")</f>
        <v>Speich</v>
      </c>
      <c r="AK116" s="836" t="str">
        <f>IFERROR(__xludf.DUMMYFUNCTION("""COMPUTED_VALUE"""),"Speich, Benjamin, et al. ""Efficacy and safety of Albendazoleplus ivermectin, Albendazoleplus mebendazole, Albendazoleplus oxantel pamoate, and Mebendazolealone against Trichuris trichiura and concomitant soil-transmitted helminth infections: a four-arm, "&amp;"randomised controlled trial."" The Lancet Infectious Diseases 15.3 (2015): 277-284.")</f>
        <v>Speich, Benjamin, et al. "Efficacy and safety of Albendazoleplus ivermectin, Albendazoleplus mebendazole, Albendazoleplus oxantel pamoate, and Mebendazolealone against Trichuris trichiura and concomitant soil-transmitted helminth infections: a four-arm, randomised controlled trial." The Lancet Infectious Diseases 15.3 (2015): 277-284.</v>
      </c>
      <c r="AL116" s="836" t="str">
        <f>IFERROR(__xludf.DUMMYFUNCTION("""COMPUTED_VALUE"""),"Tanzania")</f>
        <v>Tanzania</v>
      </c>
      <c r="AM116" s="836" t="str">
        <f>IFERROR(__xludf.DUMMYFUNCTION("""COMPUTED_VALUE"""),"Albendazole &amp; Mebendazole")</f>
        <v>Albendazole &amp; Mebendazole</v>
      </c>
      <c r="AN116" s="836" t="str">
        <f>IFERROR(__xludf.DUMMYFUNCTION("""COMPUTED_VALUE"""),"Single")</f>
        <v>Single</v>
      </c>
      <c r="AO116" s="836" t="str">
        <f>IFERROR(__xludf.DUMMYFUNCTION("""COMPUTED_VALUE"""),"400 mg; 500 mg")</f>
        <v>400 mg; 500 mg</v>
      </c>
      <c r="AP116" s="836">
        <f>IFERROR(__xludf.DUMMYFUNCTION("""COMPUTED_VALUE"""),110.0)</f>
        <v>110</v>
      </c>
      <c r="AQ116" s="836" t="str">
        <f>IFERROR(__xludf.DUMMYFUNCTION("""COMPUTED_VALUE"""),"8·9")</f>
        <v>8·9</v>
      </c>
      <c r="AR116" s="836" t="str">
        <f>IFERROR(__xludf.DUMMYFUNCTION("""COMPUTED_VALUE"""),"57/53")</f>
        <v>57/53</v>
      </c>
      <c r="AS116" s="836">
        <f>IFERROR(__xludf.DUMMYFUNCTION("""COMPUTED_VALUE"""),2010.0)</f>
        <v>2010</v>
      </c>
      <c r="AT116" s="836" t="str">
        <f>IFERROR(__xludf.DUMMYFUNCTION("""COMPUTED_VALUE"""),"We screened children aged 6–14 years for eligibility. We obtained written informed consent from their parents or guardians; the children themselves gave assent orally. Children who tested positive for T trichiura were deemed eligible for the trial. Oral m"&amp;"edical history and physical examinations were obtained from each child meeting the inclusion criteria.")</f>
        <v>We screened children aged 6–14 years for eligibility. We obtained written informed consent from their parents or guardians; the children themselves gave assent orally. Children who tested positive for T trichiura were deemed eligible for the trial. Oral medical history and physical examinations were obtained from each child meeting the inclusion criteria.</v>
      </c>
      <c r="AU116" s="836" t="str">
        <f>IFERROR(__xludf.DUMMYFUNCTION("""COMPUTED_VALUE"""),"Yes")</f>
        <v>Yes</v>
      </c>
      <c r="AV116" s="836"/>
      <c r="AW116" s="836"/>
      <c r="AX116" s="836" t="str">
        <f>IFERROR(__xludf.DUMMYFUNCTION("""COMPUTED_VALUE"""),"8·4%")</f>
        <v>8·4%</v>
      </c>
      <c r="AY116" s="836"/>
      <c r="AZ116" s="836"/>
      <c r="BA116" s="836"/>
      <c r="BB116" s="836"/>
      <c r="BC116" s="836"/>
      <c r="BD116" s="836"/>
      <c r="BE116" s="836"/>
      <c r="BF116" s="836"/>
      <c r="BG116" s="836"/>
      <c r="BH116" s="836"/>
      <c r="BI116" s="836"/>
      <c r="BJ116" s="836"/>
      <c r="BK116" s="836"/>
      <c r="BL116" s="836"/>
      <c r="BM116" s="836"/>
      <c r="BN116" s="836" t="str">
        <f>IFERROR(__xludf.DUMMYFUNCTION("""COMPUTED_VALUE"""),"In conclusion, we identifi ed two combination therapies against T trichiura that have signifi cantly higher efficacy than the standard treatment of Mebendazolealone: Albendazoleplus oxantel pamoate and Albendazoleplus ivermectin. On one hand, the combinat"&amp;"ion including oxantel pamoate cured a larger proportion of patients than the combination with ivermectin. On the other hand, Ivermectinhas the advantage of also being the standard treatment against S stercoralis, We identified strong evidence, including a"&amp;" systematic review and meta-analysis 7 and some clinical trials,8–12 for the low efficacy of the existing drugs Albendazoleand Mebendazoleagainst T trichiura. We identified three albendazole-based drug combinations (Albendazole[400 mg] plus Ivermectin[200"&amp;" μg/kg],9,15,16 Albendazole[400 mg] plus Mebendazole[500 mg],10 and Albendazole[400 mg] plus oxantel pamoate [20 mg/kg])12 that showed high effi cacy against T trichiura. However, the effi cacy and safety of these three drug combinations had not been asse"&amp;"ssed within a head-to-head clinical trial. Our study provides the first evidence that a combination of Albendazoleplus oxantel pamoate is the most eff ective treatment for infections with T trichiura. By contrast with previous work, our study directly com"&amp;"pared three combined treatments. Our results suggest that Mebendazolealone or combined with Albendazolecannot be recommended as treatment for these infections. The frequency and severity of adverse events noted after combination chemotherapy were similar "&amp;"to those reported for Mebendazolealone.")</f>
        <v>In conclusion, we identifi ed two combination therapies against T trichiura that have signifi cantly higher efficacy than the standard treatment of Mebendazolealone: Albendazoleplus oxantel pamoate and Albendazoleplus ivermectin. On one hand, the combination including oxantel pamoate cured a larger proportion of patients than the combination with ivermectin. On the other hand, Ivermectinhas the advantage of also being the standard treatment against S stercoralis, We identified strong evidence, including a systematic review and meta-analysis 7 and some clinical trials,8–12 for the low efficacy of the existing drugs Albendazoleand Mebendazoleagainst T trichiura. We identified three albendazole-based drug combinations (Albendazole[400 mg] plus Ivermectin[200 μg/kg],9,15,16 Albendazole[400 mg] plus Mebendazole[500 mg],10 and Albendazole[400 mg] plus oxantel pamoate [20 mg/kg])12 that showed high effi cacy against T trichiura. However, the effi cacy and safety of these three drug combinations had not been assessed within a head-to-head clinical trial. Our study provides the first evidence that a combination of Albendazoleplus oxantel pamoate is the most eff ective treatment for infections with T trichiura. By contrast with previous work, our study directly compared three combined treatments. Our results suggest that Mebendazolealone or combined with Albendazolecannot be recommended as treatment for these infections. The frequency and severity of adverse events noted after combination chemotherapy were similar to those reported for Mebendazolealone.</v>
      </c>
      <c r="BO116" s="836"/>
      <c r="BP116" s="836"/>
      <c r="BQ116" s="697">
        <f>IFERROR(__xludf.DUMMYFUNCTION("""COMPUTED_VALUE"""),115.0)</f>
        <v>115</v>
      </c>
      <c r="BR116" s="844" t="str">
        <f>IFERROR(__xludf.DUMMYFUNCTION("""COMPUTED_VALUE"""),"Abadi K. ")</f>
        <v>Abadi K. </v>
      </c>
      <c r="BS116" s="838" t="str">
        <f>IFERROR(__xludf.DUMMYFUNCTION("""COMPUTED_VALUE"""),"Indonesia")</f>
        <v>Indonesia</v>
      </c>
      <c r="BT116" s="838" t="str">
        <f>IFERROR(__xludf.DUMMYFUNCTION("""COMPUTED_VALUE"""),"Mebendazole")</f>
        <v>Mebendazole</v>
      </c>
      <c r="BU116" s="838"/>
      <c r="BV116" s="838" t="str">
        <f>IFERROR(__xludf.DUMMYFUNCTION("""COMPUTED_VALUE"""),"Single")</f>
        <v>Single</v>
      </c>
      <c r="BW116" s="838" t="str">
        <f>IFERROR(__xludf.DUMMYFUNCTION("""COMPUTED_VALUE"""),"500 mg")</f>
        <v>500 mg</v>
      </c>
      <c r="BX116" s="838">
        <f>IFERROR(__xludf.DUMMYFUNCTION("""COMPUTED_VALUE"""),156.0)</f>
        <v>156</v>
      </c>
      <c r="BY116" s="838" t="str">
        <f>IFERROR(__xludf.DUMMYFUNCTION("""COMPUTED_VALUE"""),"40+")</f>
        <v>40+</v>
      </c>
      <c r="BZ116" s="838"/>
      <c r="CA116" s="838"/>
      <c r="CB116" s="838"/>
      <c r="CC116" s="838" t="str">
        <f>IFERROR(__xludf.DUMMYFUNCTION("""COMPUTED_VALUE"""),"No")</f>
        <v>No</v>
      </c>
      <c r="CD116" s="847">
        <f>IFERROR(__xludf.DUMMYFUNCTION("""COMPUTED_VALUE"""),0.934)</f>
        <v>0.934</v>
      </c>
      <c r="CE116" s="838" t="str">
        <f>IFERROR(__xludf.DUMMYFUNCTION("""COMPUTED_VALUE"""),"Yes")</f>
        <v>Yes</v>
      </c>
      <c r="CF116" s="838"/>
      <c r="CG116" s="838"/>
      <c r="CH116" s="838"/>
      <c r="CI116" s="838"/>
      <c r="CJ116" s="838"/>
      <c r="CK116" s="838"/>
      <c r="CL116" s="838"/>
      <c r="CM116" s="847">
        <f>IFERROR(__xludf.DUMMYFUNCTION("""COMPUTED_VALUE"""),0.99)</f>
        <v>0.99</v>
      </c>
      <c r="CN116" s="838"/>
      <c r="CO116" s="838"/>
      <c r="CP116" s="838"/>
      <c r="CQ116" s="838"/>
      <c r="CR116" s="838"/>
      <c r="CS116" s="838"/>
      <c r="CT116" s="838"/>
      <c r="CU116" s="838"/>
      <c r="CV116" s="697" t="str">
        <f>IFERROR(__xludf.DUMMYFUNCTION("""COMPUTED_VALUE"""),"Abadi K. Single dose mebendazole therapy for soiltransmitted nematodes. Am J Trop Med Hyg. 1985; 34(1):129-133.")</f>
        <v>Abadi K. Single dose mebendazole therapy for soiltransmitted nematodes. Am J Trop Med Hyg. 1985; 34(1):129-133.</v>
      </c>
    </row>
    <row r="117">
      <c r="A117" s="842" t="str">
        <f>IFERROR(__xludf.DUMMYFUNCTION("""COMPUTED_VALUE"""),"Speich et al. ")</f>
        <v>Speich et al. </v>
      </c>
      <c r="B117" s="834" t="str">
        <f>IFERROR(__xludf.DUMMYFUNCTION("""COMPUTED_VALUE"""),"Tanzania")</f>
        <v>Tanzania</v>
      </c>
      <c r="C117" s="834" t="str">
        <f>IFERROR(__xludf.DUMMYFUNCTION("""COMPUTED_VALUE"""),"Nitazoxanide")</f>
        <v>Nitazoxanide</v>
      </c>
      <c r="D117" s="834" t="str">
        <f>IFERROR(__xludf.DUMMYFUNCTION("""COMPUTED_VALUE"""),"Single")</f>
        <v>Single</v>
      </c>
      <c r="E117" s="834" t="str">
        <f>IFERROR(__xludf.DUMMYFUNCTION("""COMPUTED_VALUE"""),"1000 mg")</f>
        <v>1000 mg</v>
      </c>
      <c r="F117" s="834" t="str">
        <f>IFERROR(__xludf.DUMMYFUNCTION("""COMPUTED_VALUE"""),"12/48")</f>
        <v>12/48</v>
      </c>
      <c r="G117" s="834"/>
      <c r="H117" s="834"/>
      <c r="I117" s="834">
        <f>IFERROR(__xludf.DUMMYFUNCTION("""COMPUTED_VALUE"""),2011.0)</f>
        <v>2011</v>
      </c>
      <c r="J117" s="834"/>
      <c r="K117" s="839" t="str">
        <f>IFERROR(__xludf.DUMMYFUNCTION("""COMPUTED_VALUE"""),"double-blind randomized placebo controlled study")</f>
        <v>double-blind randomized placebo controlled study</v>
      </c>
      <c r="L117" s="839" t="str">
        <f>IFERROR(__xludf.DUMMYFUNCTION("""COMPUTED_VALUE"""),"Yes")</f>
        <v>Yes</v>
      </c>
      <c r="M117" s="839" t="str">
        <f>IFERROR(__xludf.DUMMYFUNCTION("""COMPUTED_VALUE"""),"Yes")</f>
        <v>Yes</v>
      </c>
      <c r="N117" s="840">
        <f>IFERROR(__xludf.DUMMYFUNCTION("""COMPUTED_VALUE"""),0.667)</f>
        <v>0.667</v>
      </c>
      <c r="O117" s="834"/>
      <c r="P117" s="834"/>
      <c r="Q117" s="834"/>
      <c r="R117" s="834"/>
      <c r="S117" s="834"/>
      <c r="T117" s="834"/>
      <c r="U117" s="834"/>
      <c r="V117" s="834"/>
      <c r="W117" s="834"/>
      <c r="X117" s="834"/>
      <c r="Y117" s="834"/>
      <c r="Z117" s="834"/>
      <c r="AA117" s="834"/>
      <c r="AB117" s="834"/>
      <c r="AC117" s="834"/>
      <c r="AD117" s="834"/>
      <c r="AE117" s="834"/>
      <c r="AF117" s="834" t="str">
        <f>IFERROR(__xludf.DUMMYFUNCTION("""COMPUTED_VALUE"""),"Kato-Katz Method and less then 10 percent of the children were infected with hookworm")</f>
        <v>Kato-Katz Method and less then 10 percent of the children were infected with hookworm</v>
      </c>
      <c r="AG117" s="834" t="str">
        <f>IFERROR(__xludf.DUMMYFUNCTION("""COMPUTED_VALUE"""),"Speich, Benjamin, Shaali M. Ame, Said M. Ali, Rainer Alles, Janet Hattendorf, Jurg Utzinger, Marco Albonico, and Jennifer Keisler. ""Efficacy and Safety of Nitazoxanide, Albendazole, and Nitazoxanide-Albendazoleagainst Trichuris Trichiura Infection: A Ran"&amp;"domized Controlled Trial."" PLOS Neglected Tropical Diseases 6.6 (2012): 1-8. Web.")</f>
        <v>Speich, Benjamin, Shaali M. Ame, Said M. Ali, Rainer Alles, Janet Hattendorf, Jurg Utzinger, Marco Albonico, and Jennifer Keisler. "Efficacy and Safety of Nitazoxanide, Albendazole, and Nitazoxanide-Albendazoleagainst Trichuris Trichiura Infection: A Randomized Controlled Trial." PLOS Neglected Tropical Diseases 6.6 (2012): 1-8. Web.</v>
      </c>
      <c r="AH117" s="834"/>
      <c r="AJ117" s="843" t="str">
        <f>IFERROR(__xludf.DUMMYFUNCTION("""COMPUTED_VALUE"""),"Speich")</f>
        <v>Speich</v>
      </c>
      <c r="AK117" s="836" t="str">
        <f>IFERROR(__xludf.DUMMYFUNCTION("""COMPUTED_VALUE"""),"Speich, Benjamin, et al. ""Efficacy and safety of Albendazoleplus ivermectin, Albendazoleplus mebendazole, Albendazoleplus oxantel pamoate, and Mebendazolealone against Trichuris trichiura and concomitant soil-transmitted helminth infections: a four-arm, "&amp;"randomised controlled trial."" The Lancet Infectious Diseases 15.3 (2015): 277-284.")</f>
        <v>Speich, Benjamin, et al. "Efficacy and safety of Albendazoleplus ivermectin, Albendazoleplus mebendazole, Albendazoleplus oxantel pamoate, and Mebendazolealone against Trichuris trichiura and concomitant soil-transmitted helminth infections: a four-arm, randomised controlled trial." The Lancet Infectious Diseases 15.3 (2015): 277-284.</v>
      </c>
      <c r="AL117" s="836" t="str">
        <f>IFERROR(__xludf.DUMMYFUNCTION("""COMPUTED_VALUE"""),"Tanzania")</f>
        <v>Tanzania</v>
      </c>
      <c r="AM117" s="836" t="str">
        <f>IFERROR(__xludf.DUMMYFUNCTION("""COMPUTED_VALUE"""),"Albendazole &amp; Oxantel pamoate")</f>
        <v>Albendazole &amp; Oxantel pamoate</v>
      </c>
      <c r="AN117" s="836" t="str">
        <f>IFERROR(__xludf.DUMMYFUNCTION("""COMPUTED_VALUE"""),"Single")</f>
        <v>Single</v>
      </c>
      <c r="AO117" s="836" t="str">
        <f>IFERROR(__xludf.DUMMYFUNCTION("""COMPUTED_VALUE"""),"400 mg; 20 mg/kg")</f>
        <v>400 mg; 20 mg/kg</v>
      </c>
      <c r="AP117" s="836">
        <f>IFERROR(__xludf.DUMMYFUNCTION("""COMPUTED_VALUE"""),110.0)</f>
        <v>110</v>
      </c>
      <c r="AQ117" s="836" t="str">
        <f>IFERROR(__xludf.DUMMYFUNCTION("""COMPUTED_VALUE"""),"8·9")</f>
        <v>8·9</v>
      </c>
      <c r="AR117" s="836" t="str">
        <f>IFERROR(__xludf.DUMMYFUNCTION("""COMPUTED_VALUE"""),"57/58")</f>
        <v>57/58</v>
      </c>
      <c r="AS117" s="836">
        <f>IFERROR(__xludf.DUMMYFUNCTION("""COMPUTED_VALUE"""),2010.0)</f>
        <v>2010</v>
      </c>
      <c r="AT117" s="836" t="str">
        <f>IFERROR(__xludf.DUMMYFUNCTION("""COMPUTED_VALUE"""),"We screened children aged 6–14 years for eligibility. We obtained written informed consent from their parents or guardians; the children themselves gave assent orally. Children who tested positive for T trichiura were deemed eligible for the trial. Oral m"&amp;"edical history and physical examinations were obtained from each child meeting the inclusion criteria.")</f>
        <v>We screened children aged 6–14 years for eligibility. We obtained written informed consent from their parents or guardians; the children themselves gave assent orally. Children who tested positive for T trichiura were deemed eligible for the trial. Oral medical history and physical examinations were obtained from each child meeting the inclusion criteria.</v>
      </c>
      <c r="AU117" s="836" t="str">
        <f>IFERROR(__xludf.DUMMYFUNCTION("""COMPUTED_VALUE"""),"Yes")</f>
        <v>Yes</v>
      </c>
      <c r="AV117" s="836"/>
      <c r="AW117" s="836"/>
      <c r="AX117" s="836" t="str">
        <f>IFERROR(__xludf.DUMMYFUNCTION("""COMPUTED_VALUE"""),"68·5%")</f>
        <v>68·5%</v>
      </c>
      <c r="AY117" s="836"/>
      <c r="AZ117" s="836"/>
      <c r="BA117" s="836"/>
      <c r="BB117" s="836"/>
      <c r="BC117" s="836"/>
      <c r="BD117" s="836"/>
      <c r="BE117" s="836"/>
      <c r="BF117" s="836"/>
      <c r="BG117" s="836"/>
      <c r="BH117" s="836"/>
      <c r="BI117" s="836"/>
      <c r="BJ117" s="836"/>
      <c r="BK117" s="836"/>
      <c r="BL117" s="836"/>
      <c r="BM117" s="836"/>
      <c r="BN117" s="836" t="str">
        <f>IFERROR(__xludf.DUMMYFUNCTION("""COMPUTED_VALUE"""),"In conclusion, we identifi ed two combination therapies against T trichiura that have signifi cantly higher efficacy than the standard treatment of Mebendazolealone: Albendazoleplus oxantel pamoate and Albendazoleplus ivermectin. On one hand, the combinat"&amp;"ion including oxantel pamoate cured a larger proportion of patients than the combination with ivermectin. On the other hand, Ivermectinhas the advantage of also being the standard treatment against S stercoralis, We identified strong evidence, including a"&amp;" systematic review and meta-analysis 7 and some clinical trials,8–12 for the low efficacy of the existing drugs Albendazoleand Mebendazoleagainst T trichiura. We identified three albendazole-based drug combinations (Albendazole[400 mg] plus Ivermectin[200"&amp;" μg/kg],9,15,16 Albendazole[400 mg] plus Mebendazole[500 mg],10 and Albendazole[400 mg] plus oxantel pamoate [20 mg/kg])12 that showed high effi cacy against T trichiura. However, the effi cacy and safety of these three drug combinations had not been asse"&amp;"ssed within a head-to-head clinical trial. Our study provides the first evidence that a combination of Albendazoleplus oxantel pamoate is the most eff ective treatment for infections with T trichiura. By contrast with previous work, our study directly com"&amp;"pared three combined treatments. Our results suggest that Mebendazolealone or combined with Albendazolecannot be recommended as treatment for these infections. The frequency and severity of adverse events noted after combination chemotherapy were similar "&amp;"to those reported for Mebendazolealone.")</f>
        <v>In conclusion, we identifi ed two combination therapies against T trichiura that have signifi cantly higher efficacy than the standard treatment of Mebendazolealone: Albendazoleplus oxantel pamoate and Albendazoleplus ivermectin. On one hand, the combination including oxantel pamoate cured a larger proportion of patients than the combination with ivermectin. On the other hand, Ivermectinhas the advantage of also being the standard treatment against S stercoralis, We identified strong evidence, including a systematic review and meta-analysis 7 and some clinical trials,8–12 for the low efficacy of the existing drugs Albendazoleand Mebendazoleagainst T trichiura. We identified three albendazole-based drug combinations (Albendazole[400 mg] plus Ivermectin[200 μg/kg],9,15,16 Albendazole[400 mg] plus Mebendazole[500 mg],10 and Albendazole[400 mg] plus oxantel pamoate [20 mg/kg])12 that showed high effi cacy against T trichiura. However, the effi cacy and safety of these three drug combinations had not been assessed within a head-to-head clinical trial. Our study provides the first evidence that a combination of Albendazoleplus oxantel pamoate is the most eff ective treatment for infections with T trichiura. By contrast with previous work, our study directly compared three combined treatments. Our results suggest that Mebendazolealone or combined with Albendazolecannot be recommended as treatment for these infections. The frequency and severity of adverse events noted after combination chemotherapy were similar to those reported for Mebendazolealone.</v>
      </c>
      <c r="BO117" s="836"/>
      <c r="BP117" s="836"/>
      <c r="BQ117" s="697">
        <f>IFERROR(__xludf.DUMMYFUNCTION("""COMPUTED_VALUE"""),116.0)</f>
        <v>116</v>
      </c>
      <c r="BR117" s="844" t="str">
        <f>IFERROR(__xludf.DUMMYFUNCTION("""COMPUTED_VALUE"""),"Abadi K. ")</f>
        <v>Abadi K. </v>
      </c>
      <c r="BS117" s="838" t="str">
        <f>IFERROR(__xludf.DUMMYFUNCTION("""COMPUTED_VALUE"""),"Indonesia")</f>
        <v>Indonesia</v>
      </c>
      <c r="BT117" s="838" t="str">
        <f>IFERROR(__xludf.DUMMYFUNCTION("""COMPUTED_VALUE"""),"Placebo")</f>
        <v>Placebo</v>
      </c>
      <c r="BU117" s="838"/>
      <c r="BV117" s="838"/>
      <c r="BW117" s="838"/>
      <c r="BX117" s="838">
        <f>IFERROR(__xludf.DUMMYFUNCTION("""COMPUTED_VALUE"""),44.0)</f>
        <v>44</v>
      </c>
      <c r="BY117" s="838"/>
      <c r="BZ117" s="838"/>
      <c r="CA117" s="838"/>
      <c r="CB117" s="838"/>
      <c r="CC117" s="838" t="str">
        <f>IFERROR(__xludf.DUMMYFUNCTION("""COMPUTED_VALUE"""),"No")</f>
        <v>No</v>
      </c>
      <c r="CD117" s="847">
        <f>IFERROR(__xludf.DUMMYFUNCTION("""COMPUTED_VALUE"""),0.0)</f>
        <v>0</v>
      </c>
      <c r="CE117" s="838" t="str">
        <f>IFERROR(__xludf.DUMMYFUNCTION("""COMPUTED_VALUE"""),"Yes")</f>
        <v>Yes</v>
      </c>
      <c r="CF117" s="838"/>
      <c r="CG117" s="838"/>
      <c r="CH117" s="838"/>
      <c r="CI117" s="838"/>
      <c r="CJ117" s="838"/>
      <c r="CK117" s="838"/>
      <c r="CL117" s="838"/>
      <c r="CM117" s="847">
        <f>IFERROR(__xludf.DUMMYFUNCTION("""COMPUTED_VALUE"""),0.06)</f>
        <v>0.06</v>
      </c>
      <c r="CN117" s="838"/>
      <c r="CO117" s="838"/>
      <c r="CP117" s="838"/>
      <c r="CQ117" s="838"/>
      <c r="CR117" s="838"/>
      <c r="CS117" s="838"/>
      <c r="CT117" s="838"/>
      <c r="CU117" s="838"/>
      <c r="CV117" s="697" t="str">
        <f>IFERROR(__xludf.DUMMYFUNCTION("""COMPUTED_VALUE"""),"Abadi K. Single dose mebendazole therapy for soiltransmitted nematodes. Am J Trop Med Hyg. 1985; 34(1):129-133.")</f>
        <v>Abadi K. Single dose mebendazole therapy for soiltransmitted nematodes. Am J Trop Med Hyg. 1985; 34(1):129-133.</v>
      </c>
    </row>
    <row r="118">
      <c r="A118" s="842" t="str">
        <f>IFERROR(__xludf.DUMMYFUNCTION("""COMPUTED_VALUE"""),"Speich et al. ")</f>
        <v>Speich et al. </v>
      </c>
      <c r="B118" s="834" t="str">
        <f>IFERROR(__xludf.DUMMYFUNCTION("""COMPUTED_VALUE"""),"Tanzania")</f>
        <v>Tanzania</v>
      </c>
      <c r="C118" s="834" t="str">
        <f>IFERROR(__xludf.DUMMYFUNCTION("""COMPUTED_VALUE"""),"Albendazole &amp; Nitazoxanide")</f>
        <v>Albendazole &amp; Nitazoxanide</v>
      </c>
      <c r="D118" s="834" t="str">
        <f>IFERROR(__xludf.DUMMYFUNCTION("""COMPUTED_VALUE"""),"Single")</f>
        <v>Single</v>
      </c>
      <c r="E118" s="834" t="str">
        <f>IFERROR(__xludf.DUMMYFUNCTION("""COMPUTED_VALUE"""),"400 mg; 1000 mg")</f>
        <v>400 mg; 1000 mg</v>
      </c>
      <c r="F118" s="834" t="str">
        <f>IFERROR(__xludf.DUMMYFUNCTION("""COMPUTED_VALUE"""),"14/48")</f>
        <v>14/48</v>
      </c>
      <c r="G118" s="834"/>
      <c r="H118" s="834"/>
      <c r="I118" s="834">
        <f>IFERROR(__xludf.DUMMYFUNCTION("""COMPUTED_VALUE"""),2011.0)</f>
        <v>2011</v>
      </c>
      <c r="J118" s="834"/>
      <c r="K118" s="839" t="str">
        <f>IFERROR(__xludf.DUMMYFUNCTION("""COMPUTED_VALUE"""),"double-blind randomized placebo controlled study")</f>
        <v>double-blind randomized placebo controlled study</v>
      </c>
      <c r="L118" s="839" t="str">
        <f>IFERROR(__xludf.DUMMYFUNCTION("""COMPUTED_VALUE"""),"Yes")</f>
        <v>Yes</v>
      </c>
      <c r="M118" s="839" t="str">
        <f>IFERROR(__xludf.DUMMYFUNCTION("""COMPUTED_VALUE"""),"Yes")</f>
        <v>Yes</v>
      </c>
      <c r="N118" s="840">
        <f>IFERROR(__xludf.DUMMYFUNCTION("""COMPUTED_VALUE"""),0.857)</f>
        <v>0.857</v>
      </c>
      <c r="O118" s="834"/>
      <c r="P118" s="834"/>
      <c r="Q118" s="834"/>
      <c r="R118" s="834"/>
      <c r="S118" s="834"/>
      <c r="T118" s="834"/>
      <c r="U118" s="834"/>
      <c r="V118" s="834"/>
      <c r="W118" s="834"/>
      <c r="X118" s="834"/>
      <c r="Y118" s="834"/>
      <c r="Z118" s="834"/>
      <c r="AA118" s="834"/>
      <c r="AB118" s="834"/>
      <c r="AC118" s="834"/>
      <c r="AD118" s="834"/>
      <c r="AE118" s="834"/>
      <c r="AF118" s="834" t="str">
        <f>IFERROR(__xludf.DUMMYFUNCTION("""COMPUTED_VALUE"""),"Kato-Katz Method and less then 10 percent of the children were infected with hookworm")</f>
        <v>Kato-Katz Method and less then 10 percent of the children were infected with hookworm</v>
      </c>
      <c r="AG118" s="834" t="str">
        <f>IFERROR(__xludf.DUMMYFUNCTION("""COMPUTED_VALUE"""),"Speich, Benjamin, Shaali M. Ame, Said M. Ali, Rainer Alles, Janet Hattendorf, Jurg Utzinger, Marco Albonico, and Jennifer Keisler. ""Efficacy and Safety of Nitazoxanide, Albendazole, and Nitazoxanide-Albendazoleagainst Trichuris Trichiura Infection: A Ran"&amp;"domized Controlled Trial."" PLOS Neglected Tropical Diseases 6.6 (2012): 1-8. Web.")</f>
        <v>Speich, Benjamin, Shaali M. Ame, Said M. Ali, Rainer Alles, Janet Hattendorf, Jurg Utzinger, Marco Albonico, and Jennifer Keisler. "Efficacy and Safety of Nitazoxanide, Albendazole, and Nitazoxanide-Albendazoleagainst Trichuris Trichiura Infection: A Randomized Controlled Trial." PLOS Neglected Tropical Diseases 6.6 (2012): 1-8. Web.</v>
      </c>
      <c r="AH118" s="834"/>
      <c r="AJ118" s="843" t="str">
        <f>IFERROR(__xludf.DUMMYFUNCTION("""COMPUTED_VALUE"""),"Speich")</f>
        <v>Speich</v>
      </c>
      <c r="AK118" s="836" t="str">
        <f>IFERROR(__xludf.DUMMYFUNCTION("""COMPUTED_VALUE"""),"Speich, Benjamin, et al. ""Efficacy and safety of Albendazoleplus ivermectin, Albendazoleplus mebendazole, Albendazoleplus oxantel pamoate, and Mebendazolealone against Trichuris trichiura and concomitant soil-transmitted helminth infections: a four-arm, "&amp;"randomised controlled trial."" The Lancet Infectious Diseases 15.3 (2015): 277-284.")</f>
        <v>Speich, Benjamin, et al. "Efficacy and safety of Albendazoleplus ivermectin, Albendazoleplus mebendazole, Albendazoleplus oxantel pamoate, and Mebendazolealone against Trichuris trichiura and concomitant soil-transmitted helminth infections: a four-arm, randomised controlled trial." The Lancet Infectious Diseases 15.3 (2015): 277-284.</v>
      </c>
      <c r="AL118" s="836" t="str">
        <f>IFERROR(__xludf.DUMMYFUNCTION("""COMPUTED_VALUE"""),"Tanzania")</f>
        <v>Tanzania</v>
      </c>
      <c r="AM118" s="836" t="str">
        <f>IFERROR(__xludf.DUMMYFUNCTION("""COMPUTED_VALUE"""),"Mebendazole")</f>
        <v>Mebendazole</v>
      </c>
      <c r="AN118" s="836" t="str">
        <f>IFERROR(__xludf.DUMMYFUNCTION("""COMPUTED_VALUE"""),"Single")</f>
        <v>Single</v>
      </c>
      <c r="AO118" s="836" t="str">
        <f>IFERROR(__xludf.DUMMYFUNCTION("""COMPUTED_VALUE"""),"500 mg")</f>
        <v>500 mg</v>
      </c>
      <c r="AP118" s="836">
        <f>IFERROR(__xludf.DUMMYFUNCTION("""COMPUTED_VALUE"""),110.0)</f>
        <v>110</v>
      </c>
      <c r="AQ118" s="836" t="str">
        <f>IFERROR(__xludf.DUMMYFUNCTION("""COMPUTED_VALUE"""),"8·8")</f>
        <v>8·8</v>
      </c>
      <c r="AR118" s="836" t="str">
        <f>IFERROR(__xludf.DUMMYFUNCTION("""COMPUTED_VALUE"""),"55/55")</f>
        <v>55/55</v>
      </c>
      <c r="AS118" s="836">
        <f>IFERROR(__xludf.DUMMYFUNCTION("""COMPUTED_VALUE"""),2010.0)</f>
        <v>2010</v>
      </c>
      <c r="AT118" s="836" t="str">
        <f>IFERROR(__xludf.DUMMYFUNCTION("""COMPUTED_VALUE"""),"We screened children aged 6–14 years for eligibility. We obtained written informed consent from their parents or guardians; the children themselves gave assent orally. Children who tested positive for T trichiura were deemed eligible for the trial. Oral m"&amp;"edical history and physical examinations were obtained from each child meeting the inclusion criteria.")</f>
        <v>We screened children aged 6–14 years for eligibility. We obtained written informed consent from their parents or guardians; the children themselves gave assent orally. Children who tested positive for T trichiura were deemed eligible for the trial. Oral medical history and physical examinations were obtained from each child meeting the inclusion criteria.</v>
      </c>
      <c r="AU118" s="836" t="str">
        <f>IFERROR(__xludf.DUMMYFUNCTION("""COMPUTED_VALUE"""),"Yes")</f>
        <v>Yes</v>
      </c>
      <c r="AV118" s="836"/>
      <c r="AW118" s="836"/>
      <c r="AX118" s="836" t="str">
        <f>IFERROR(__xludf.DUMMYFUNCTION("""COMPUTED_VALUE"""),"8·4%")</f>
        <v>8·4%</v>
      </c>
      <c r="AY118" s="836"/>
      <c r="AZ118" s="836"/>
      <c r="BA118" s="836"/>
      <c r="BB118" s="836"/>
      <c r="BC118" s="836"/>
      <c r="BD118" s="836"/>
      <c r="BE118" s="836"/>
      <c r="BF118" s="836"/>
      <c r="BG118" s="836"/>
      <c r="BH118" s="836"/>
      <c r="BI118" s="836"/>
      <c r="BJ118" s="836"/>
      <c r="BK118" s="836"/>
      <c r="BL118" s="836"/>
      <c r="BM118" s="836"/>
      <c r="BN118" s="836" t="str">
        <f>IFERROR(__xludf.DUMMYFUNCTION("""COMPUTED_VALUE"""),"In conclusion, we identifi ed two combination therapies against T trichiura that have signifi cantly higher efficacy than the standard treatment of Mebendazolealone: Albendazoleplus oxantel pamoate and Albendazoleplus ivermectin. On one hand, the combinat"&amp;"ion including oxantel pamoate cured a larger proportion of patients than the combination with ivermectin. On the other hand, Ivermectinhas the advantage of also being the standard treatment against S stercoralis, We identified strong evidence, including a"&amp;" systematic review and meta-analysis 7 and some clinical trials,8–12 for the low efficacy of the existing drugs Albendazoleand Mebendazoleagainst T trichiura. We identified three albendazole-based drug combinations (Albendazole[400 mg] plus Ivermectin[200"&amp;" μg/kg],9,15,16 Albendazole[400 mg] plus Mebendazole[500 mg],10 and Albendazole[400 mg] plus oxantel pamoate [20 mg/kg])12 that showed high effi cacy against T trichiura. However, the effi cacy and safety of these three drug combinations had not been asse"&amp;"ssed within a head-to-head clinical trial. Our study provides the first evidence that a combination of Albendazoleplus oxantel pamoate is the most eff ective treatment for infections with T trichiura. By contrast with previous work, our study directly com"&amp;"pared three combined treatments. Our results suggest that Mebendazolealone or combined with Albendazolecannot be recommended as treatment for these infections. The frequency and severity of adverse events noted after combination chemotherapy were similar "&amp;"to those reported for Mebendazolealone.")</f>
        <v>In conclusion, we identifi ed two combination therapies against T trichiura that have signifi cantly higher efficacy than the standard treatment of Mebendazolealone: Albendazoleplus oxantel pamoate and Albendazoleplus ivermectin. On one hand, the combination including oxantel pamoate cured a larger proportion of patients than the combination with ivermectin. On the other hand, Ivermectinhas the advantage of also being the standard treatment against S stercoralis, We identified strong evidence, including a systematic review and meta-analysis 7 and some clinical trials,8–12 for the low efficacy of the existing drugs Albendazoleand Mebendazoleagainst T trichiura. We identified three albendazole-based drug combinations (Albendazole[400 mg] plus Ivermectin[200 μg/kg],9,15,16 Albendazole[400 mg] plus Mebendazole[500 mg],10 and Albendazole[400 mg] plus oxantel pamoate [20 mg/kg])12 that showed high effi cacy against T trichiura. However, the effi cacy and safety of these three drug combinations had not been assessed within a head-to-head clinical trial. Our study provides the first evidence that a combination of Albendazoleplus oxantel pamoate is the most eff ective treatment for infections with T trichiura. By contrast with previous work, our study directly compared three combined treatments. Our results suggest that Mebendazolealone or combined with Albendazolecannot be recommended as treatment for these infections. The frequency and severity of adverse events noted after combination chemotherapy were similar to those reported for Mebendazolealone.</v>
      </c>
      <c r="BO118" s="836"/>
      <c r="BP118" s="836"/>
      <c r="BQ118" s="697">
        <f>IFERROR(__xludf.DUMMYFUNCTION("""COMPUTED_VALUE"""),117.0)</f>
        <v>117</v>
      </c>
      <c r="BR118" s="844" t="str">
        <f>IFERROR(__xludf.DUMMYFUNCTION("""COMPUTED_VALUE"""),"N Ayad El-Masry et al.")</f>
        <v>N Ayad El-Masry et al.</v>
      </c>
      <c r="BS118" s="838" t="str">
        <f>IFERROR(__xludf.DUMMYFUNCTION("""COMPUTED_VALUE""")," ")</f>
        <v> </v>
      </c>
      <c r="BT118" s="838" t="str">
        <f>IFERROR(__xludf.DUMMYFUNCTION("""COMPUTED_VALUE"""),"Albendazole")</f>
        <v>Albendazole</v>
      </c>
      <c r="BU118" s="838"/>
      <c r="BV118" s="838" t="str">
        <f>IFERROR(__xludf.DUMMYFUNCTION("""COMPUTED_VALUE"""),"Single")</f>
        <v>Single</v>
      </c>
      <c r="BW118" s="838" t="str">
        <f>IFERROR(__xludf.DUMMYFUNCTION("""COMPUTED_VALUE"""),"400 mg")</f>
        <v>400 mg</v>
      </c>
      <c r="BX118" s="838">
        <f>IFERROR(__xludf.DUMMYFUNCTION("""COMPUTED_VALUE"""),30.0)</f>
        <v>30</v>
      </c>
      <c r="BY118" s="838">
        <f>IFERROR(__xludf.DUMMYFUNCTION("""COMPUTED_VALUE"""),25.7)</f>
        <v>25.7</v>
      </c>
      <c r="BZ118" s="838">
        <f>IFERROR(__xludf.DUMMYFUNCTION("""COMPUTED_VALUE"""),1982.0)</f>
        <v>1982</v>
      </c>
      <c r="CA118" s="838"/>
      <c r="CB118" s="838"/>
      <c r="CC118" s="838" t="str">
        <f>IFERROR(__xludf.DUMMYFUNCTION("""COMPUTED_VALUE"""),"No")</f>
        <v>No</v>
      </c>
      <c r="CD118" s="846">
        <f>IFERROR(__xludf.DUMMYFUNCTION("""COMPUTED_VALUE"""),1.0)</f>
        <v>1</v>
      </c>
      <c r="CE118" s="838" t="str">
        <f>IFERROR(__xludf.DUMMYFUNCTION("""COMPUTED_VALUE"""),"Yes")</f>
        <v>Yes</v>
      </c>
      <c r="CF118" s="838"/>
      <c r="CG118" s="838"/>
      <c r="CH118" s="838"/>
      <c r="CI118" s="838"/>
      <c r="CJ118" s="838"/>
      <c r="CK118" s="838"/>
      <c r="CL118" s="838"/>
      <c r="CM118" s="838"/>
      <c r="CN118" s="838"/>
      <c r="CO118" s="838"/>
      <c r="CP118" s="838"/>
      <c r="CQ118" s="838"/>
      <c r="CR118" s="838"/>
      <c r="CS118" s="838"/>
      <c r="CT118" s="838"/>
      <c r="CU118" s="838"/>
      <c r="CV118" s="697" t="str">
        <f>IFERROR(__xludf.DUMMYFUNCTION("""COMPUTED_VALUE"""),"El-Masry NA, Trabolsi B, Bassily S, Farid Z. Albendazole in the treatment of Ancylostoma duodenale and Ascaris lumbricoides infections. Trans R Soc Trop Med Hyg. 1983;77(2):160-161.")</f>
        <v>El-Masry NA, Trabolsi B, Bassily S, Farid Z. Albendazole in the treatment of Ancylostoma duodenale and Ascaris lumbricoides infections. Trans R Soc Trop Med Hyg. 1983;77(2):160-161.</v>
      </c>
    </row>
    <row r="119">
      <c r="A119" s="842" t="str">
        <f>IFERROR(__xludf.DUMMYFUNCTION("""COMPUTED_VALUE"""),"Speich et al. ")</f>
        <v>Speich et al. </v>
      </c>
      <c r="B119" s="834" t="str">
        <f>IFERROR(__xludf.DUMMYFUNCTION("""COMPUTED_VALUE"""),"Tanzania")</f>
        <v>Tanzania</v>
      </c>
      <c r="C119" s="834" t="str">
        <f>IFERROR(__xludf.DUMMYFUNCTION("""COMPUTED_VALUE"""),"Placebo")</f>
        <v>Placebo</v>
      </c>
      <c r="D119" s="834"/>
      <c r="E119" s="834"/>
      <c r="F119" s="834" t="str">
        <f>IFERROR(__xludf.DUMMYFUNCTION("""COMPUTED_VALUE"""),"9/48")</f>
        <v>9/48</v>
      </c>
      <c r="G119" s="834"/>
      <c r="H119" s="834"/>
      <c r="I119" s="834">
        <f>IFERROR(__xludf.DUMMYFUNCTION("""COMPUTED_VALUE"""),2011.0)</f>
        <v>2011</v>
      </c>
      <c r="J119" s="834"/>
      <c r="K119" s="839" t="str">
        <f>IFERROR(__xludf.DUMMYFUNCTION("""COMPUTED_VALUE"""),"double-blind randomized placebo controlled study")</f>
        <v>double-blind randomized placebo controlled study</v>
      </c>
      <c r="L119" s="839" t="str">
        <f>IFERROR(__xludf.DUMMYFUNCTION("""COMPUTED_VALUE"""),"Yes")</f>
        <v>Yes</v>
      </c>
      <c r="M119" s="839" t="str">
        <f>IFERROR(__xludf.DUMMYFUNCTION("""COMPUTED_VALUE"""),"Yes")</f>
        <v>Yes</v>
      </c>
      <c r="N119" s="840">
        <f>IFERROR(__xludf.DUMMYFUNCTION("""COMPUTED_VALUE"""),0.556)</f>
        <v>0.556</v>
      </c>
      <c r="O119" s="834"/>
      <c r="P119" s="834"/>
      <c r="Q119" s="834"/>
      <c r="R119" s="834"/>
      <c r="S119" s="834"/>
      <c r="T119" s="834"/>
      <c r="U119" s="834"/>
      <c r="V119" s="834"/>
      <c r="W119" s="834"/>
      <c r="X119" s="834"/>
      <c r="Y119" s="834"/>
      <c r="Z119" s="834"/>
      <c r="AA119" s="834"/>
      <c r="AB119" s="834"/>
      <c r="AC119" s="834"/>
      <c r="AD119" s="834"/>
      <c r="AE119" s="834"/>
      <c r="AF119" s="834" t="str">
        <f>IFERROR(__xludf.DUMMYFUNCTION("""COMPUTED_VALUE"""),"Kato-Katz Method and less then 10 percent of the children were infected with hookworm")</f>
        <v>Kato-Katz Method and less then 10 percent of the children were infected with hookworm</v>
      </c>
      <c r="AG119" s="834" t="str">
        <f>IFERROR(__xludf.DUMMYFUNCTION("""COMPUTED_VALUE"""),"Speich, Benjamin, Shaali M. Ame, Said M. Ali, Rainer Alles, Janet Hattendorf, Jurg Utzinger, Marco Albonico, and Jennifer Keisler. ""Efficacy and Safety of Nitazoxanide, Albendazole, and Nitazoxanide-Albendazoleagainst Trichuris Trichiura Infection: A Ran"&amp;"domized Controlled Trial."" PLOS Neglected Tropical Diseases 6.6 (2012): 1-8. Web.")</f>
        <v>Speich, Benjamin, Shaali M. Ame, Said M. Ali, Rainer Alles, Janet Hattendorf, Jurg Utzinger, Marco Albonico, and Jennifer Keisler. "Efficacy and Safety of Nitazoxanide, Albendazole, and Nitazoxanide-Albendazoleagainst Trichuris Trichiura Infection: A Randomized Controlled Trial." PLOS Neglected Tropical Diseases 6.6 (2012): 1-8. Web.</v>
      </c>
      <c r="AH119" s="834"/>
      <c r="AJ119" s="843" t="str">
        <f>IFERROR(__xludf.DUMMYFUNCTION("""COMPUTED_VALUE"""),"Knopp")</f>
        <v>Knopp</v>
      </c>
      <c r="AK119" s="836" t="str">
        <f>IFERROR(__xludf.DUMMYFUNCTION("""COMPUTED_VALUE"""),"Knopp, Stefanie, et al. ""Albendazoleand Mebendazoleadministered alone or in combination with Ivermectinagainst Trichuris trichiura: a randomized controlled trial."" Clinical infectious diseases 51.12 (2010): 1420-1428.")</f>
        <v>Knopp, Stefanie, et al. "Albendazoleand Mebendazoleadministered alone or in combination with Ivermectinagainst Trichuris trichiura: a randomized controlled trial." Clinical infectious diseases 51.12 (2010): 1420-1428.</v>
      </c>
      <c r="AL119" s="836" t="str">
        <f>IFERROR(__xludf.DUMMYFUNCTION("""COMPUTED_VALUE"""),"Tanzania")</f>
        <v>Tanzania</v>
      </c>
      <c r="AM119" s="836"/>
      <c r="AN119" s="836"/>
      <c r="AO119" s="836"/>
      <c r="AP119" s="836"/>
      <c r="AQ119" s="836"/>
      <c r="AR119" s="836"/>
      <c r="AS119" s="836"/>
      <c r="AT119" s="836"/>
      <c r="AU119" s="836"/>
      <c r="AV119" s="836"/>
      <c r="AW119" s="836"/>
      <c r="AX119" s="836"/>
      <c r="AY119" s="836"/>
      <c r="AZ119" s="836"/>
      <c r="BA119" s="836"/>
      <c r="BB119" s="836"/>
      <c r="BC119" s="836"/>
      <c r="BD119" s="836"/>
      <c r="BE119" s="836"/>
      <c r="BF119" s="836"/>
      <c r="BG119" s="836"/>
      <c r="BH119" s="836"/>
      <c r="BI119" s="836"/>
      <c r="BJ119" s="836"/>
      <c r="BK119" s="836"/>
      <c r="BL119" s="836"/>
      <c r="BM119" s="836"/>
      <c r="BN119" s="836"/>
      <c r="BO119" s="836"/>
      <c r="BP119" s="836"/>
      <c r="BQ119" s="697">
        <f>IFERROR(__xludf.DUMMYFUNCTION("""COMPUTED_VALUE"""),118.0)</f>
        <v>118</v>
      </c>
      <c r="BR119" s="844" t="str">
        <f>IFERROR(__xludf.DUMMYFUNCTION("""COMPUTED_VALUE"""),"N Ayad El-Masry et al.")</f>
        <v>N Ayad El-Masry et al.</v>
      </c>
      <c r="BS119" s="838"/>
      <c r="BT119" s="838" t="str">
        <f>IFERROR(__xludf.DUMMYFUNCTION("""COMPUTED_VALUE"""),"Placebo")</f>
        <v>Placebo</v>
      </c>
      <c r="BU119" s="838"/>
      <c r="BV119" s="838"/>
      <c r="BW119" s="838"/>
      <c r="BX119" s="838">
        <f>IFERROR(__xludf.DUMMYFUNCTION("""COMPUTED_VALUE"""),30.0)</f>
        <v>30</v>
      </c>
      <c r="BY119" s="838">
        <f>IFERROR(__xludf.DUMMYFUNCTION("""COMPUTED_VALUE"""),23.4)</f>
        <v>23.4</v>
      </c>
      <c r="BZ119" s="838">
        <f>IFERROR(__xludf.DUMMYFUNCTION("""COMPUTED_VALUE"""),1982.0)</f>
        <v>1982</v>
      </c>
      <c r="CA119" s="838"/>
      <c r="CB119" s="838"/>
      <c r="CC119" s="838" t="str">
        <f>IFERROR(__xludf.DUMMYFUNCTION("""COMPUTED_VALUE"""),"No")</f>
        <v>No</v>
      </c>
      <c r="CD119" s="846">
        <f>IFERROR(__xludf.DUMMYFUNCTION("""COMPUTED_VALUE"""),0.0)</f>
        <v>0</v>
      </c>
      <c r="CE119" s="838" t="str">
        <f>IFERROR(__xludf.DUMMYFUNCTION("""COMPUTED_VALUE"""),"Yes")</f>
        <v>Yes</v>
      </c>
      <c r="CF119" s="838"/>
      <c r="CG119" s="838"/>
      <c r="CH119" s="838"/>
      <c r="CI119" s="838"/>
      <c r="CJ119" s="838"/>
      <c r="CK119" s="838"/>
      <c r="CL119" s="838"/>
      <c r="CM119" s="838"/>
      <c r="CN119" s="838"/>
      <c r="CO119" s="838"/>
      <c r="CP119" s="838"/>
      <c r="CQ119" s="838"/>
      <c r="CR119" s="838"/>
      <c r="CS119" s="838"/>
      <c r="CT119" s="838"/>
      <c r="CU119" s="838"/>
      <c r="CV119" s="697" t="str">
        <f>IFERROR(__xludf.DUMMYFUNCTION("""COMPUTED_VALUE"""),"El-Masry NA, Trabolsi B, Bassily S, Farid Z. Albendazole in the treatment of Ancylostoma duodenale and Ascaris lumbricoides infections. Trans R Soc Trop Med Hyg. 1983;77(2):160-161.")</f>
        <v>El-Masry NA, Trabolsi B, Bassily S, Farid Z. Albendazole in the treatment of Ancylostoma duodenale and Ascaris lumbricoides infections. Trans R Soc Trop Med Hyg. 1983;77(2):160-161.</v>
      </c>
    </row>
    <row r="120">
      <c r="A120" s="842" t="str">
        <f>IFERROR(__xludf.DUMMYFUNCTION("""COMPUTED_VALUE"""),"Steinmann et al.")</f>
        <v>Steinmann et al.</v>
      </c>
      <c r="B120" s="834" t="str">
        <f>IFERROR(__xludf.DUMMYFUNCTION("""COMPUTED_VALUE"""),"China")</f>
        <v>China</v>
      </c>
      <c r="C120" s="834" t="str">
        <f>IFERROR(__xludf.DUMMYFUNCTION("""COMPUTED_VALUE"""),"Albendazole")</f>
        <v>Albendazole</v>
      </c>
      <c r="D120" s="834" t="str">
        <f>IFERROR(__xludf.DUMMYFUNCTION("""COMPUTED_VALUE"""),"Single")</f>
        <v>Single</v>
      </c>
      <c r="E120" s="834" t="str">
        <f>IFERROR(__xludf.DUMMYFUNCTION("""COMPUTED_VALUE"""),"400 mg")</f>
        <v>400 mg</v>
      </c>
      <c r="F120" s="834" t="str">
        <f>IFERROR(__xludf.DUMMYFUNCTION("""COMPUTED_VALUE"""),"55/82")</f>
        <v>55/82</v>
      </c>
      <c r="G120" s="834" t="str">
        <f>IFERROR(__xludf.DUMMYFUNCTION("""COMPUTED_VALUE"""),"5 years old or older")</f>
        <v>5 years old or older</v>
      </c>
      <c r="H120" s="839" t="str">
        <f>IFERROR(__xludf.DUMMYFUNCTION("""COMPUTED_VALUE"""),"47:35")</f>
        <v>47:35</v>
      </c>
      <c r="I120" s="834">
        <f>IFERROR(__xludf.DUMMYFUNCTION("""COMPUTED_VALUE"""),2008.0)</f>
        <v>2008</v>
      </c>
      <c r="J120" s="834" t="str">
        <f>IFERROR(__xludf.DUMMYFUNCTION("""COMPUTED_VALUE"""),"Does not have: Pregnant, chronic disease, other conditions likely to interfere with helminths, recent history of treatment,  or participation in another trial within 1 month")</f>
        <v>Does not have: Pregnant, chronic disease, other conditions likely to interfere with helminths, recent history of treatment,  or participation in another trial within 1 month</v>
      </c>
      <c r="K120" s="839" t="str">
        <f>IFERROR(__xludf.DUMMYFUNCTION("""COMPUTED_VALUE"""),"community-based open-label outcome assessors-blinded randomized controlled trial")</f>
        <v>community-based open-label outcome assessors-blinded randomized controlled trial</v>
      </c>
      <c r="L120" s="839" t="str">
        <f>IFERROR(__xludf.DUMMYFUNCTION("""COMPUTED_VALUE"""),"Yes")</f>
        <v>Yes</v>
      </c>
      <c r="M120" s="839" t="str">
        <f>IFERROR(__xludf.DUMMYFUNCTION("""COMPUTED_VALUE"""),"Yes")</f>
        <v>Yes</v>
      </c>
      <c r="N120" s="840">
        <f>IFERROR(__xludf.DUMMYFUNCTION("""COMPUTED_VALUE"""),0.691)</f>
        <v>0.691</v>
      </c>
      <c r="O120" s="834"/>
      <c r="P120" s="834"/>
      <c r="Q120" s="834"/>
      <c r="R120" s="834"/>
      <c r="S120" s="834"/>
      <c r="T120" s="834"/>
      <c r="U120" s="834"/>
      <c r="V120" s="834"/>
      <c r="W120" s="840">
        <f>IFERROR(__xludf.DUMMYFUNCTION("""COMPUTED_VALUE"""),0.973)</f>
        <v>0.973</v>
      </c>
      <c r="X120" s="834"/>
      <c r="Y120" s="834"/>
      <c r="Z120" s="834"/>
      <c r="AA120" s="834"/>
      <c r="AB120" s="834"/>
      <c r="AC120" s="834"/>
      <c r="AD120" s="834"/>
      <c r="AE120" s="834" t="str">
        <f>IFERROR(__xludf.DUMMYFUNCTION("""COMPUTED_VALUE"""),"Single oral ALB is more efficacious then single oral MB against hookowrm infection")</f>
        <v>Single oral ALB is more efficacious then single oral MB against hookowrm infection</v>
      </c>
      <c r="AF120" s="834" t="str">
        <f>IFERROR(__xludf.DUMMYFUNCTION("""COMPUTED_VALUE"""),"Kato-Katz thick smear")</f>
        <v>Kato-Katz thick smear</v>
      </c>
      <c r="AG120" s="834" t="str">
        <f>IFERROR(__xludf.DUMMYFUNCTION("""COMPUTED_VALUE"""),"Steinmann, Peter, Jurg Utzinger, Zun-Wei Du, Jin-Yong Jiang, Jia-Xu Chen, Jan Hattendorf, Hui Zhou, and Xiao-Nong Zhou. ""Efficacy of Single Dose and Triple Dose Albendazoleand Mebendazoleagainst Soil Transmitted Helminths and Taenia Spp.: A Randomized Co"&amp;"ntrolled Trial."" PLOS Neglected Tropical Diseases 6.9 (2011): 1-8. Web.")</f>
        <v>Steinmann, Peter, Jurg Utzinger, Zun-Wei Du, Jin-Yong Jiang, Jia-Xu Chen, Jan Hattendorf, Hui Zhou, and Xiao-Nong Zhou. "Efficacy of Single Dose and Triple Dose Albendazoleand Mebendazoleagainst Soil Transmitted Helminths and Taenia Spp.: A Randomized Controlled Trial." PLOS Neglected Tropical Diseases 6.9 (2011): 1-8. Web.</v>
      </c>
      <c r="AH120" s="834"/>
      <c r="AJ120" s="836" t="str">
        <f>IFERROR(__xludf.DUMMYFUNCTION("""COMPUTED_VALUE"""),"Olsen")</f>
        <v>Olsen</v>
      </c>
      <c r="AK120" s="836" t="str">
        <f>IFERROR(__xludf.DUMMYFUNCTION("""COMPUTED_VALUE"""),"Olsen, Annette, et al. ""Albendazoleand Mebendazolehave low efficacy against Trichuris trichiura in school-age children in Kabale District, Uganda."" Transactions of the Royal Society of Tropical Medicine and Hygiene 103.5 (2009): 443-446.")</f>
        <v>Olsen, Annette, et al. "Albendazoleand Mebendazolehave low efficacy against Trichuris trichiura in school-age children in Kabale District, Uganda." Transactions of the Royal Society of Tropical Medicine and Hygiene 103.5 (2009): 443-446.</v>
      </c>
      <c r="AL120" s="836" t="str">
        <f>IFERROR(__xludf.DUMMYFUNCTION("""COMPUTED_VALUE"""),"Uganda")</f>
        <v>Uganda</v>
      </c>
      <c r="AM120" s="836"/>
      <c r="AN120" s="836"/>
      <c r="AO120" s="836"/>
      <c r="AP120" s="836"/>
      <c r="AQ120" s="836"/>
      <c r="AR120" s="836"/>
      <c r="AS120" s="836"/>
      <c r="AT120" s="836"/>
      <c r="AU120" s="836"/>
      <c r="AV120" s="836"/>
      <c r="AW120" s="836"/>
      <c r="AX120" s="836"/>
      <c r="AY120" s="836"/>
      <c r="AZ120" s="836"/>
      <c r="BA120" s="836"/>
      <c r="BB120" s="836"/>
      <c r="BC120" s="836"/>
      <c r="BD120" s="836"/>
      <c r="BE120" s="836"/>
      <c r="BF120" s="836"/>
      <c r="BG120" s="836"/>
      <c r="BH120" s="836"/>
      <c r="BI120" s="836"/>
      <c r="BJ120" s="836"/>
      <c r="BK120" s="836"/>
      <c r="BL120" s="836"/>
      <c r="BM120" s="836"/>
      <c r="BN120" s="836"/>
      <c r="BO120" s="836"/>
      <c r="BP120" s="836"/>
      <c r="BQ120" s="697">
        <f>IFERROR(__xludf.DUMMYFUNCTION("""COMPUTED_VALUE"""),119.0)</f>
        <v>119</v>
      </c>
      <c r="BR120" s="844" t="str">
        <f>IFERROR(__xludf.DUMMYFUNCTION("""COMPUTED_VALUE"""),"Ash et al.")</f>
        <v>Ash et al.</v>
      </c>
      <c r="BS120" s="838" t="str">
        <f>IFERROR(__xludf.DUMMYFUNCTION("""COMPUTED_VALUE"""),"Laos")</f>
        <v>Laos</v>
      </c>
      <c r="BT120" s="838" t="str">
        <f>IFERROR(__xludf.DUMMYFUNCTION("""COMPUTED_VALUE"""),"Albendazole")</f>
        <v>Albendazole</v>
      </c>
      <c r="BU120" s="838"/>
      <c r="BV120" s="838" t="str">
        <f>IFERROR(__xludf.DUMMYFUNCTION("""COMPUTED_VALUE"""),"Three")</f>
        <v>Three</v>
      </c>
      <c r="BW120" s="838" t="str">
        <f>IFERROR(__xludf.DUMMYFUNCTION("""COMPUTED_VALUE"""),"400 mg")</f>
        <v>400 mg</v>
      </c>
      <c r="BX120" s="838">
        <f>IFERROR(__xludf.DUMMYFUNCTION("""COMPUTED_VALUE"""),43.0)</f>
        <v>43</v>
      </c>
      <c r="BY120" s="838" t="str">
        <f>IFERROR(__xludf.DUMMYFUNCTION("""COMPUTED_VALUE"""),"6+")</f>
        <v>6+</v>
      </c>
      <c r="BZ120" s="838">
        <f>IFERROR(__xludf.DUMMYFUNCTION("""COMPUTED_VALUE"""),2013.0)</f>
        <v>2013</v>
      </c>
      <c r="CA120" s="838"/>
      <c r="CB120" s="838" t="str">
        <f>IFERROR(__xludf.DUMMYFUNCTION("""COMPUTED_VALUE"""),"Excluded pregnant women and children under 6 yrs old")</f>
        <v>Excluded pregnant women and children under 6 yrs old</v>
      </c>
      <c r="CC120" s="838" t="str">
        <f>IFERROR(__xludf.DUMMYFUNCTION("""COMPUTED_VALUE"""),"No")</f>
        <v>No</v>
      </c>
      <c r="CD120" s="838"/>
      <c r="CE120" s="838" t="str">
        <f>IFERROR(__xludf.DUMMYFUNCTION("""COMPUTED_VALUE"""),"No")</f>
        <v>No</v>
      </c>
      <c r="CF120" s="838"/>
      <c r="CG120" s="838"/>
      <c r="CH120" s="838"/>
      <c r="CI120" s="838"/>
      <c r="CJ120" s="838"/>
      <c r="CK120" s="838"/>
      <c r="CL120" s="838"/>
      <c r="CM120" s="847">
        <f>IFERROR(__xludf.DUMMYFUNCTION("""COMPUTED_VALUE"""),0.994)</f>
        <v>0.994</v>
      </c>
      <c r="CN120" s="838"/>
      <c r="CO120" s="838"/>
      <c r="CP120" s="838"/>
      <c r="CQ120" s="838"/>
      <c r="CR120" s="838"/>
      <c r="CS120" s="838"/>
      <c r="CT120" s="838" t="str">
        <f>IFERROR(__xludf.DUMMYFUNCTION("""COMPUTED_VALUE"""),"McMaster technique")</f>
        <v>McMaster technique</v>
      </c>
      <c r="CU120" s="838" t="str">
        <f>IFERROR(__xludf.DUMMYFUNCTION("""COMPUTED_VALUE"""),"x")</f>
        <v>x</v>
      </c>
      <c r="CV120" s="697" t="str">
        <f>IFERROR(__xludf.DUMMYFUNCTION("""COMPUTED_VALUE"""),"Amanda Asha, , , Anna Okellob, c, Boualam Khamlomee, Phouth Inthavongd, John Allenb, R.C. Andrew Thompsona. Controlling Taenia solium and soil transmitted helminths in a northern Lao PDR village: Impact of a triple dose albendazole regime")</f>
        <v>Amanda Asha, , , Anna Okellob, c, Boualam Khamlomee, Phouth Inthavongd, John Allenb, R.C. Andrew Thompsona. Controlling Taenia solium and soil transmitted helminths in a northern Lao PDR village: Impact of a triple dose albendazole regime</v>
      </c>
    </row>
    <row r="121">
      <c r="A121" s="842" t="str">
        <f>IFERROR(__xludf.DUMMYFUNCTION("""COMPUTED_VALUE"""),"Steinmann et al.")</f>
        <v>Steinmann et al.</v>
      </c>
      <c r="B121" s="834" t="str">
        <f>IFERROR(__xludf.DUMMYFUNCTION("""COMPUTED_VALUE"""),"China")</f>
        <v>China</v>
      </c>
      <c r="C121" s="834" t="str">
        <f>IFERROR(__xludf.DUMMYFUNCTION("""COMPUTED_VALUE"""),"Mebendazole")</f>
        <v>Mebendazole</v>
      </c>
      <c r="D121" s="834" t="str">
        <f>IFERROR(__xludf.DUMMYFUNCTION("""COMPUTED_VALUE"""),"Single")</f>
        <v>Single</v>
      </c>
      <c r="E121" s="834" t="str">
        <f>IFERROR(__xludf.DUMMYFUNCTION("""COMPUTED_VALUE"""),"500 mg")</f>
        <v>500 mg</v>
      </c>
      <c r="F121" s="834" t="str">
        <f>IFERROR(__xludf.DUMMYFUNCTION("""COMPUTED_VALUE"""),"58/81")</f>
        <v>58/81</v>
      </c>
      <c r="G121" s="834"/>
      <c r="H121" s="839" t="str">
        <f>IFERROR(__xludf.DUMMYFUNCTION("""COMPUTED_VALUE"""),"42:39")</f>
        <v>42:39</v>
      </c>
      <c r="I121" s="834">
        <f>IFERROR(__xludf.DUMMYFUNCTION("""COMPUTED_VALUE"""),2008.0)</f>
        <v>2008</v>
      </c>
      <c r="J121" s="834"/>
      <c r="K121" s="839" t="str">
        <f>IFERROR(__xludf.DUMMYFUNCTION("""COMPUTED_VALUE"""),"community-based open-label outcome assessors-blinded randomized controlled trial")</f>
        <v>community-based open-label outcome assessors-blinded randomized controlled trial</v>
      </c>
      <c r="L121" s="839" t="str">
        <f>IFERROR(__xludf.DUMMYFUNCTION("""COMPUTED_VALUE"""),"Yes")</f>
        <v>Yes</v>
      </c>
      <c r="M121" s="839" t="str">
        <f>IFERROR(__xludf.DUMMYFUNCTION("""COMPUTED_VALUE"""),"Yes")</f>
        <v>Yes</v>
      </c>
      <c r="N121" s="840">
        <f>IFERROR(__xludf.DUMMYFUNCTION("""COMPUTED_VALUE"""),0.31)</f>
        <v>0.31</v>
      </c>
      <c r="O121" s="834"/>
      <c r="P121" s="834"/>
      <c r="Q121" s="834"/>
      <c r="R121" s="834"/>
      <c r="S121" s="834"/>
      <c r="T121" s="834"/>
      <c r="U121" s="834"/>
      <c r="V121" s="834"/>
      <c r="W121" s="840">
        <f>IFERROR(__xludf.DUMMYFUNCTION("""COMPUTED_VALUE"""),0.836)</f>
        <v>0.836</v>
      </c>
      <c r="X121" s="834"/>
      <c r="Y121" s="834"/>
      <c r="Z121" s="834"/>
      <c r="AA121" s="834"/>
      <c r="AB121" s="834"/>
      <c r="AC121" s="834"/>
      <c r="AD121" s="834"/>
      <c r="AE121" s="834" t="str">
        <f>IFERROR(__xludf.DUMMYFUNCTION("""COMPUTED_VALUE"""),"Single oral ALB is more efficacious then single oral MB against hookowrm infection")</f>
        <v>Single oral ALB is more efficacious then single oral MB against hookowrm infection</v>
      </c>
      <c r="AF121" s="834" t="str">
        <f>IFERROR(__xludf.DUMMYFUNCTION("""COMPUTED_VALUE"""),"Kato-Katz thick smear")</f>
        <v>Kato-Katz thick smear</v>
      </c>
      <c r="AG121" s="834" t="str">
        <f>IFERROR(__xludf.DUMMYFUNCTION("""COMPUTED_VALUE"""),"Steinmann, Peter, Jurg Utzinger, Zun-Wei Du, Jin-Yong Jiang, Jia-Xu Chen, Jan Hattendorf, Hui Zhou, and Xiao-Nong Zhou. ""Efficacy of Single Dose and Triple Dose Albendazoleand Mebendazoleagainst Soil Transmitted Helminths and Taenia Spp.: A Randomized Co"&amp;"ntrolled Trial."" PLOS Neglected Tropical Diseases 6.9 (2011): 1-8. Web.")</f>
        <v>Steinmann, Peter, Jurg Utzinger, Zun-Wei Du, Jin-Yong Jiang, Jia-Xu Chen, Jan Hattendorf, Hui Zhou, and Xiao-Nong Zhou. "Efficacy of Single Dose and Triple Dose Albendazoleand Mebendazoleagainst Soil Transmitted Helminths and Taenia Spp.: A Randomized Controlled Trial." PLOS Neglected Tropical Diseases 6.9 (2011): 1-8. Web.</v>
      </c>
      <c r="AH121" s="834"/>
      <c r="AJ121" s="836" t="str">
        <f>IFERROR(__xludf.DUMMYFUNCTION("""COMPUTED_VALUE"""),"Ramalingam")</f>
        <v>Ramalingam</v>
      </c>
      <c r="AK121" s="836" t="str">
        <f>IFERROR(__xludf.DUMMYFUNCTION("""COMPUTED_VALUE"""),"Ramalingam, Shivaji, B. Sinniah, and Uma Krishnan. ""Albendazole, an effective single dose, broad spectrum anthelmintic drug."" The American journal of tropical medicine and hygiene 32.5 (1983): 984-989.")</f>
        <v>Ramalingam, Shivaji, B. Sinniah, and Uma Krishnan. "Albendazole, an effective single dose, broad spectrum anthelmintic drug." The American journal of tropical medicine and hygiene 32.5 (1983): 984-989.</v>
      </c>
      <c r="AL121" s="836" t="str">
        <f>IFERROR(__xludf.DUMMYFUNCTION("""COMPUTED_VALUE"""),"Malaysia")</f>
        <v>Malaysia</v>
      </c>
      <c r="AM121" s="836"/>
      <c r="AN121" s="836"/>
      <c r="AO121" s="836"/>
      <c r="AP121" s="836"/>
      <c r="AQ121" s="836"/>
      <c r="AR121" s="836"/>
      <c r="AS121" s="836"/>
      <c r="AT121" s="836"/>
      <c r="AU121" s="836"/>
      <c r="AV121" s="836"/>
      <c r="AW121" s="836"/>
      <c r="AX121" s="836"/>
      <c r="AY121" s="836"/>
      <c r="AZ121" s="836"/>
      <c r="BA121" s="836"/>
      <c r="BB121" s="836"/>
      <c r="BC121" s="836"/>
      <c r="BD121" s="836"/>
      <c r="BE121" s="836"/>
      <c r="BF121" s="836"/>
      <c r="BG121" s="836"/>
      <c r="BH121" s="836"/>
      <c r="BI121" s="836"/>
      <c r="BJ121" s="836"/>
      <c r="BK121" s="836"/>
      <c r="BL121" s="836"/>
      <c r="BM121" s="836"/>
      <c r="BN121" s="836"/>
      <c r="BO121" s="836"/>
      <c r="BP121" s="836"/>
      <c r="BQ121" s="697">
        <f>IFERROR(__xludf.DUMMYFUNCTION("""COMPUTED_VALUE"""),120.0)</f>
        <v>120</v>
      </c>
      <c r="BR121" s="844" t="str">
        <f>IFERROR(__xludf.DUMMYFUNCTION("""COMPUTED_VALUE"""),"Ash et al.")</f>
        <v>Ash et al.</v>
      </c>
      <c r="BS121" s="838" t="str">
        <f>IFERROR(__xludf.DUMMYFUNCTION("""COMPUTED_VALUE"""),"Laos")</f>
        <v>Laos</v>
      </c>
      <c r="BT121" s="838" t="str">
        <f>IFERROR(__xludf.DUMMYFUNCTION("""COMPUTED_VALUE"""),"Albendazole")</f>
        <v>Albendazole</v>
      </c>
      <c r="BU121" s="838"/>
      <c r="BV121" s="838" t="str">
        <f>IFERROR(__xludf.DUMMYFUNCTION("""COMPUTED_VALUE"""),"Three")</f>
        <v>Three</v>
      </c>
      <c r="BW121" s="838" t="str">
        <f>IFERROR(__xludf.DUMMYFUNCTION("""COMPUTED_VALUE"""),"400 mg")</f>
        <v>400 mg</v>
      </c>
      <c r="BX121" s="838">
        <f>IFERROR(__xludf.DUMMYFUNCTION("""COMPUTED_VALUE"""),19.0)</f>
        <v>19</v>
      </c>
      <c r="BY121" s="838" t="str">
        <f>IFERROR(__xludf.DUMMYFUNCTION("""COMPUTED_VALUE"""),"6+")</f>
        <v>6+</v>
      </c>
      <c r="BZ121" s="838">
        <f>IFERROR(__xludf.DUMMYFUNCTION("""COMPUTED_VALUE"""),2014.0)</f>
        <v>2014</v>
      </c>
      <c r="CA121" s="838"/>
      <c r="CB121" s="838"/>
      <c r="CC121" s="838" t="str">
        <f>IFERROR(__xludf.DUMMYFUNCTION("""COMPUTED_VALUE"""),"No")</f>
        <v>No</v>
      </c>
      <c r="CD121" s="838"/>
      <c r="CE121" s="838" t="str">
        <f>IFERROR(__xludf.DUMMYFUNCTION("""COMPUTED_VALUE"""),"No")</f>
        <v>No</v>
      </c>
      <c r="CF121" s="838"/>
      <c r="CG121" s="838"/>
      <c r="CH121" s="838"/>
      <c r="CI121" s="838"/>
      <c r="CJ121" s="838"/>
      <c r="CK121" s="838"/>
      <c r="CL121" s="838"/>
      <c r="CM121" s="847">
        <f>IFERROR(__xludf.DUMMYFUNCTION("""COMPUTED_VALUE"""),0.993)</f>
        <v>0.993</v>
      </c>
      <c r="CN121" s="838"/>
      <c r="CO121" s="838"/>
      <c r="CP121" s="838"/>
      <c r="CQ121" s="838"/>
      <c r="CR121" s="838"/>
      <c r="CS121" s="838"/>
      <c r="CT121" s="838" t="str">
        <f>IFERROR(__xludf.DUMMYFUNCTION("""COMPUTED_VALUE"""),"McMaster technique")</f>
        <v>McMaster technique</v>
      </c>
      <c r="CU121" s="838" t="str">
        <f>IFERROR(__xludf.DUMMYFUNCTION("""COMPUTED_VALUE"""),"x")</f>
        <v>x</v>
      </c>
      <c r="CV121" s="697" t="str">
        <f>IFERROR(__xludf.DUMMYFUNCTION("""COMPUTED_VALUE"""),"Amanda Asha, , , Anna Okellob, c, Boualam Khamlomee, Phouth Inthavongd, John Allenb, R.C. Andrew Thompsona. Controlling Taenia solium and soil transmitted helminths in a northern Lao PDR village: Impact of a triple dose albendazole regime")</f>
        <v>Amanda Asha, , , Anna Okellob, c, Boualam Khamlomee, Phouth Inthavongd, John Allenb, R.C. Andrew Thompsona. Controlling Taenia solium and soil transmitted helminths in a northern Lao PDR village: Impact of a triple dose albendazole regime</v>
      </c>
    </row>
    <row r="122">
      <c r="A122" s="842" t="str">
        <f>IFERROR(__xludf.DUMMYFUNCTION("""COMPUTED_VALUE"""),"Steinmann et al.")</f>
        <v>Steinmann et al.</v>
      </c>
      <c r="B122" s="834" t="str">
        <f>IFERROR(__xludf.DUMMYFUNCTION("""COMPUTED_VALUE"""),"China")</f>
        <v>China</v>
      </c>
      <c r="C122" s="834" t="str">
        <f>IFERROR(__xludf.DUMMYFUNCTION("""COMPUTED_VALUE"""),"Albendazole")</f>
        <v>Albendazole</v>
      </c>
      <c r="D122" s="834" t="str">
        <f>IFERROR(__xludf.DUMMYFUNCTION("""COMPUTED_VALUE"""),"Three")</f>
        <v>Three</v>
      </c>
      <c r="E122" s="834" t="str">
        <f>IFERROR(__xludf.DUMMYFUNCTION("""COMPUTED_VALUE"""),"400 mg")</f>
        <v>400 mg</v>
      </c>
      <c r="F122" s="834" t="str">
        <f>IFERROR(__xludf.DUMMYFUNCTION("""COMPUTED_VALUE"""),"50/68")</f>
        <v>50/68</v>
      </c>
      <c r="G122" s="834"/>
      <c r="H122" s="839" t="str">
        <f>IFERROR(__xludf.DUMMYFUNCTION("""COMPUTED_VALUE"""),"32:36")</f>
        <v>32:36</v>
      </c>
      <c r="I122" s="834">
        <f>IFERROR(__xludf.DUMMYFUNCTION("""COMPUTED_VALUE"""),2008.0)</f>
        <v>2008</v>
      </c>
      <c r="J122" s="834"/>
      <c r="K122" s="839" t="str">
        <f>IFERROR(__xludf.DUMMYFUNCTION("""COMPUTED_VALUE"""),"community-based open-label outcome assessors-blinded randomized controlled trial")</f>
        <v>community-based open-label outcome assessors-blinded randomized controlled trial</v>
      </c>
      <c r="L122" s="839" t="str">
        <f>IFERROR(__xludf.DUMMYFUNCTION("""COMPUTED_VALUE"""),"Yes")</f>
        <v>Yes</v>
      </c>
      <c r="M122" s="839" t="str">
        <f>IFERROR(__xludf.DUMMYFUNCTION("""COMPUTED_VALUE"""),"Yes")</f>
        <v>Yes</v>
      </c>
      <c r="N122" s="840">
        <f>IFERROR(__xludf.DUMMYFUNCTION("""COMPUTED_VALUE"""),0.92)</f>
        <v>0.92</v>
      </c>
      <c r="O122" s="834"/>
      <c r="P122" s="834"/>
      <c r="Q122" s="834"/>
      <c r="R122" s="834"/>
      <c r="S122" s="834"/>
      <c r="T122" s="834"/>
      <c r="U122" s="834"/>
      <c r="V122" s="834"/>
      <c r="W122" s="840">
        <f>IFERROR(__xludf.DUMMYFUNCTION("""COMPUTED_VALUE"""),0.997)</f>
        <v>0.997</v>
      </c>
      <c r="X122" s="834"/>
      <c r="Y122" s="834"/>
      <c r="Z122" s="834"/>
      <c r="AA122" s="834"/>
      <c r="AB122" s="834"/>
      <c r="AC122" s="834"/>
      <c r="AD122" s="834"/>
      <c r="AE122" s="834" t="str">
        <f>IFERROR(__xludf.DUMMYFUNCTION("""COMPUTED_VALUE"""),"Single oral ALB is more efficacious then single oral MB against hookowrm infection")</f>
        <v>Single oral ALB is more efficacious then single oral MB against hookowrm infection</v>
      </c>
      <c r="AF122" s="834" t="str">
        <f>IFERROR(__xludf.DUMMYFUNCTION("""COMPUTED_VALUE"""),"Kato-Katz thick smear")</f>
        <v>Kato-Katz thick smear</v>
      </c>
      <c r="AG122" s="834" t="str">
        <f>IFERROR(__xludf.DUMMYFUNCTION("""COMPUTED_VALUE"""),"Steinmann, Peter, Jurg Utzinger, Zun-Wei Du, Jin-Yong Jiang, Jia-Xu Chen, Jan Hattendorf, Hui Zhou, and Xiao-Nong Zhou. ""Efficacy of Single Dose and Triple Dose Albendazoleand Mebendazoleagainst Soil Transmitted Helminths and Taenia Spp.: A Randomized Co"&amp;"ntrolled Trial."" PLOS Neglected Tropical Diseases 6.9 (2011): 1-8. Web.")</f>
        <v>Steinmann, Peter, Jurg Utzinger, Zun-Wei Du, Jin-Yong Jiang, Jia-Xu Chen, Jan Hattendorf, Hui Zhou, and Xiao-Nong Zhou. "Efficacy of Single Dose and Triple Dose Albendazoleand Mebendazoleagainst Soil Transmitted Helminths and Taenia Spp.: A Randomized Controlled Trial." PLOS Neglected Tropical Diseases 6.9 (2011): 1-8. Web.</v>
      </c>
      <c r="AH122" s="834"/>
      <c r="AJ122" s="836"/>
      <c r="AK122" s="836"/>
      <c r="AL122" s="836"/>
      <c r="AM122" s="836"/>
      <c r="AN122" s="836"/>
      <c r="AO122" s="836"/>
      <c r="AP122" s="836"/>
      <c r="AQ122" s="836"/>
      <c r="AR122" s="836"/>
      <c r="AS122" s="836"/>
      <c r="AT122" s="836"/>
      <c r="AU122" s="836"/>
      <c r="AV122" s="836"/>
      <c r="AW122" s="836"/>
      <c r="AX122" s="836"/>
      <c r="AY122" s="836"/>
      <c r="AZ122" s="836"/>
      <c r="BA122" s="836"/>
      <c r="BB122" s="836"/>
      <c r="BC122" s="836"/>
      <c r="BD122" s="836"/>
      <c r="BE122" s="836"/>
      <c r="BF122" s="836"/>
      <c r="BG122" s="836"/>
      <c r="BH122" s="836"/>
      <c r="BI122" s="836"/>
      <c r="BJ122" s="836"/>
      <c r="BK122" s="836"/>
      <c r="BL122" s="836"/>
      <c r="BM122" s="836"/>
      <c r="BN122" s="836"/>
      <c r="BO122" s="836"/>
      <c r="BP122" s="836"/>
      <c r="BQ122" s="697">
        <f>IFERROR(__xludf.DUMMYFUNCTION("""COMPUTED_VALUE"""),121.0)</f>
        <v>121</v>
      </c>
      <c r="BR122" s="844" t="str">
        <f>IFERROR(__xludf.DUMMYFUNCTION("""COMPUTED_VALUE"""),"Bwibo &amp; Pamba")</f>
        <v>Bwibo &amp; Pamba</v>
      </c>
      <c r="BS122" s="838" t="str">
        <f>IFERROR(__xludf.DUMMYFUNCTION("""COMPUTED_VALUE"""),"Kenya")</f>
        <v>Kenya</v>
      </c>
      <c r="BT122" s="838" t="str">
        <f>IFERROR(__xludf.DUMMYFUNCTION("""COMPUTED_VALUE"""),"Albendazole")</f>
        <v>Albendazole</v>
      </c>
      <c r="BU122" s="838"/>
      <c r="BV122" s="838" t="str">
        <f>IFERROR(__xludf.DUMMYFUNCTION("""COMPUTED_VALUE"""),"Single")</f>
        <v>Single</v>
      </c>
      <c r="BW122" s="838" t="str">
        <f>IFERROR(__xludf.DUMMYFUNCTION("""COMPUTED_VALUE"""),"400 mg")</f>
        <v>400 mg</v>
      </c>
      <c r="BX122" s="838">
        <f>IFERROR(__xludf.DUMMYFUNCTION("""COMPUTED_VALUE"""),26.0)</f>
        <v>26</v>
      </c>
      <c r="BY122" s="838" t="str">
        <f>IFERROR(__xludf.DUMMYFUNCTION("""COMPUTED_VALUE"""),"12+")</f>
        <v>12+</v>
      </c>
      <c r="BZ122" s="838"/>
      <c r="CA122" s="838" t="str">
        <f>IFERROR(__xludf.DUMMYFUNCTION("""COMPUTED_VALUE"""),"M &amp; F")</f>
        <v>M &amp; F</v>
      </c>
      <c r="CB122" s="838"/>
      <c r="CC122" s="838" t="str">
        <f>IFERROR(__xludf.DUMMYFUNCTION("""COMPUTED_VALUE"""),"Yes")</f>
        <v>Yes</v>
      </c>
      <c r="CD122" s="847">
        <f>IFERROR(__xludf.DUMMYFUNCTION("""COMPUTED_VALUE"""),0.923)</f>
        <v>0.923</v>
      </c>
      <c r="CE122" s="838" t="str">
        <f>IFERROR(__xludf.DUMMYFUNCTION("""COMPUTED_VALUE"""),"Yes")</f>
        <v>Yes</v>
      </c>
      <c r="CF122" s="838" t="str">
        <f>IFERROR(__xludf.DUMMYFUNCTION("""COMPUTED_VALUE"""),"(Day 7) 69.23%")</f>
        <v>(Day 7) 69.23%</v>
      </c>
      <c r="CG122" s="838"/>
      <c r="CH122" s="838"/>
      <c r="CI122" s="838"/>
      <c r="CJ122" s="838"/>
      <c r="CK122" s="838"/>
      <c r="CL122" s="838"/>
      <c r="CM122" s="847">
        <f>IFERROR(__xludf.DUMMYFUNCTION("""COMPUTED_VALUE"""),0.933)</f>
        <v>0.933</v>
      </c>
      <c r="CN122" s="838"/>
      <c r="CO122" s="838"/>
      <c r="CP122" s="838"/>
      <c r="CQ122" s="838"/>
      <c r="CR122" s="838"/>
      <c r="CS122" s="838"/>
      <c r="CT122" s="838" t="str">
        <f>IFERROR(__xludf.DUMMYFUNCTION("""COMPUTED_VALUE"""),"Kato-Katz Method")</f>
        <v>Kato-Katz Method</v>
      </c>
      <c r="CU122" s="838"/>
      <c r="CV122" s="697" t="str">
        <f>IFERROR(__xludf.DUMMYFUNCTION("""COMPUTED_VALUE"""),"Bwibo NO, Pamba HO. Double-blind comparativestudy of albendazole and placebo in the treatmentof intestinal helminths. In: Firth M, ed. Albendazolein Helminthiasis: Royal Society of MedicineInternational Congress and Symposium Series No. 61.London, England"&amp;": Royal Society of Medicine; 1984:47-53.")</f>
        <v>Bwibo NO, Pamba HO. Double-blind comparativestudy of albendazole and placebo in the treatmentof intestinal helminths. In: Firth M, ed. Albendazolein Helminthiasis: Royal Society of MedicineInternational Congress and Symposium Series No. 61.London, England: Royal Society of Medicine; 1984:47-53.</v>
      </c>
    </row>
    <row r="123">
      <c r="A123" s="842" t="str">
        <f>IFERROR(__xludf.DUMMYFUNCTION("""COMPUTED_VALUE"""),"Steinmann et al.")</f>
        <v>Steinmann et al.</v>
      </c>
      <c r="B123" s="834" t="str">
        <f>IFERROR(__xludf.DUMMYFUNCTION("""COMPUTED_VALUE"""),"China")</f>
        <v>China</v>
      </c>
      <c r="C123" s="834" t="str">
        <f>IFERROR(__xludf.DUMMYFUNCTION("""COMPUTED_VALUE"""),"Mebendazole")</f>
        <v>Mebendazole</v>
      </c>
      <c r="D123" s="834" t="str">
        <f>IFERROR(__xludf.DUMMYFUNCTION("""COMPUTED_VALUE"""),"Three")</f>
        <v>Three</v>
      </c>
      <c r="E123" s="834" t="str">
        <f>IFERROR(__xludf.DUMMYFUNCTION("""COMPUTED_VALUE"""),"500 mg")</f>
        <v>500 mg</v>
      </c>
      <c r="F123" s="834" t="str">
        <f>IFERROR(__xludf.DUMMYFUNCTION("""COMPUTED_VALUE"""),"65/83")</f>
        <v>65/83</v>
      </c>
      <c r="G123" s="834"/>
      <c r="H123" s="839" t="str">
        <f>IFERROR(__xludf.DUMMYFUNCTION("""COMPUTED_VALUE"""),"42:41")</f>
        <v>42:41</v>
      </c>
      <c r="I123" s="834">
        <f>IFERROR(__xludf.DUMMYFUNCTION("""COMPUTED_VALUE"""),2008.0)</f>
        <v>2008</v>
      </c>
      <c r="J123" s="834"/>
      <c r="K123" s="839" t="str">
        <f>IFERROR(__xludf.DUMMYFUNCTION("""COMPUTED_VALUE"""),"community-based open-label outcome assessors-blinded randomized controlled trial")</f>
        <v>community-based open-label outcome assessors-blinded randomized controlled trial</v>
      </c>
      <c r="L123" s="839" t="str">
        <f>IFERROR(__xludf.DUMMYFUNCTION("""COMPUTED_VALUE"""),"Yes")</f>
        <v>Yes</v>
      </c>
      <c r="M123" s="839" t="str">
        <f>IFERROR(__xludf.DUMMYFUNCTION("""COMPUTED_VALUE"""),"Yes")</f>
        <v>Yes</v>
      </c>
      <c r="N123" s="840">
        <f>IFERROR(__xludf.DUMMYFUNCTION("""COMPUTED_VALUE"""),0.585)</f>
        <v>0.585</v>
      </c>
      <c r="O123" s="834"/>
      <c r="P123" s="834"/>
      <c r="Q123" s="834"/>
      <c r="R123" s="834"/>
      <c r="S123" s="834"/>
      <c r="T123" s="834"/>
      <c r="U123" s="834"/>
      <c r="V123" s="834"/>
      <c r="W123" s="840">
        <f>IFERROR(__xludf.DUMMYFUNCTION("""COMPUTED_VALUE"""),0.964)</f>
        <v>0.964</v>
      </c>
      <c r="X123" s="834"/>
      <c r="Y123" s="834"/>
      <c r="Z123" s="834"/>
      <c r="AA123" s="834"/>
      <c r="AB123" s="834"/>
      <c r="AC123" s="834"/>
      <c r="AD123" s="834"/>
      <c r="AE123" s="834" t="str">
        <f>IFERROR(__xludf.DUMMYFUNCTION("""COMPUTED_VALUE"""),"Single oral ALB is more efficacious then single oral MB against hookowrm infection")</f>
        <v>Single oral ALB is more efficacious then single oral MB against hookowrm infection</v>
      </c>
      <c r="AF123" s="834" t="str">
        <f>IFERROR(__xludf.DUMMYFUNCTION("""COMPUTED_VALUE"""),"Kato-Katz thick smear")</f>
        <v>Kato-Katz thick smear</v>
      </c>
      <c r="AG123" s="834" t="str">
        <f>IFERROR(__xludf.DUMMYFUNCTION("""COMPUTED_VALUE"""),"Steinmann, Peter, Jurg Utzinger, Zun-Wei Du, Jin-Yong Jiang, Jia-Xu Chen, Jan Hattendorf, Hui Zhou, and Xiao-Nong Zhou. ""Efficacy of Single Dose and Triple Dose Albendazoleand Mebendazoleagainst Soil Transmitted Helminths and Taenia Spp.: A Randomized Co"&amp;"ntrolled Trial."" PLOS Neglected Tropical Diseases 6.9 (2011): 1-8. Web.")</f>
        <v>Steinmann, Peter, Jurg Utzinger, Zun-Wei Du, Jin-Yong Jiang, Jia-Xu Chen, Jan Hattendorf, Hui Zhou, and Xiao-Nong Zhou. "Efficacy of Single Dose and Triple Dose Albendazoleand Mebendazoleagainst Soil Transmitted Helminths and Taenia Spp.: A Randomized Controlled Trial." PLOS Neglected Tropical Diseases 6.9 (2011): 1-8. Web.</v>
      </c>
      <c r="AH123" s="834"/>
      <c r="AJ123" s="836"/>
      <c r="AK123" s="836"/>
      <c r="AL123" s="836"/>
      <c r="AM123" s="836"/>
      <c r="AN123" s="836"/>
      <c r="AO123" s="836"/>
      <c r="AP123" s="836"/>
      <c r="AQ123" s="836"/>
      <c r="AR123" s="836"/>
      <c r="AS123" s="836"/>
      <c r="AT123" s="836"/>
      <c r="AU123" s="836"/>
      <c r="AV123" s="836"/>
      <c r="AW123" s="836"/>
      <c r="AX123" s="836"/>
      <c r="AY123" s="836"/>
      <c r="AZ123" s="836"/>
      <c r="BA123" s="836"/>
      <c r="BB123" s="836"/>
      <c r="BC123" s="836"/>
      <c r="BD123" s="836"/>
      <c r="BE123" s="836"/>
      <c r="BF123" s="836"/>
      <c r="BG123" s="836"/>
      <c r="BH123" s="836"/>
      <c r="BI123" s="836"/>
      <c r="BJ123" s="836"/>
      <c r="BK123" s="836"/>
      <c r="BL123" s="836"/>
      <c r="BM123" s="836"/>
      <c r="BN123" s="836"/>
      <c r="BO123" s="836"/>
      <c r="BP123" s="836"/>
      <c r="BQ123" s="697"/>
      <c r="BR123" s="844" t="str">
        <f>IFERROR(__xludf.DUMMYFUNCTION("""COMPUTED_VALUE"""),"Bwibo &amp; Pamba")</f>
        <v>Bwibo &amp; Pamba</v>
      </c>
      <c r="BS123" s="838" t="str">
        <f>IFERROR(__xludf.DUMMYFUNCTION("""COMPUTED_VALUE"""),"Kenya")</f>
        <v>Kenya</v>
      </c>
      <c r="BT123" s="838" t="str">
        <f>IFERROR(__xludf.DUMMYFUNCTION("""COMPUTED_VALUE"""),"Albendazole")</f>
        <v>Albendazole</v>
      </c>
      <c r="BU123" s="838"/>
      <c r="BV123" s="838" t="str">
        <f>IFERROR(__xludf.DUMMYFUNCTION("""COMPUTED_VALUE"""),"Single")</f>
        <v>Single</v>
      </c>
      <c r="BW123" s="838" t="str">
        <f>IFERROR(__xludf.DUMMYFUNCTION("""COMPUTED_VALUE"""),"400 mg")</f>
        <v>400 mg</v>
      </c>
      <c r="BX123" s="838">
        <f>IFERROR(__xludf.DUMMYFUNCTION("""COMPUTED_VALUE"""),14.0)</f>
        <v>14</v>
      </c>
      <c r="BY123" s="838" t="str">
        <f>IFERROR(__xludf.DUMMYFUNCTION("""COMPUTED_VALUE"""),"12+")</f>
        <v>12+</v>
      </c>
      <c r="BZ123" s="838"/>
      <c r="CA123" s="838"/>
      <c r="CB123" s="838"/>
      <c r="CC123" s="838" t="str">
        <f>IFERROR(__xludf.DUMMYFUNCTION("""COMPUTED_VALUE"""),"Yes")</f>
        <v>Yes</v>
      </c>
      <c r="CD123" s="847">
        <f>IFERROR(__xludf.DUMMYFUNCTION("""COMPUTED_VALUE"""),0.857)</f>
        <v>0.857</v>
      </c>
      <c r="CE123" s="838" t="str">
        <f>IFERROR(__xludf.DUMMYFUNCTION("""COMPUTED_VALUE"""),"Yes")</f>
        <v>Yes</v>
      </c>
      <c r="CF123" s="838" t="str">
        <f>IFERROR(__xludf.DUMMYFUNCTION("""COMPUTED_VALUE"""),"(Day 7) 64.29%")</f>
        <v>(Day 7) 64.29%</v>
      </c>
      <c r="CG123" s="838"/>
      <c r="CH123" s="838"/>
      <c r="CI123" s="838"/>
      <c r="CJ123" s="838"/>
      <c r="CK123" s="838"/>
      <c r="CL123" s="838"/>
      <c r="CM123" s="847">
        <f>IFERROR(__xludf.DUMMYFUNCTION("""COMPUTED_VALUE"""),0.929)</f>
        <v>0.929</v>
      </c>
      <c r="CN123" s="838"/>
      <c r="CO123" s="838"/>
      <c r="CP123" s="838"/>
      <c r="CQ123" s="838"/>
      <c r="CR123" s="838"/>
      <c r="CS123" s="838"/>
      <c r="CT123" s="838"/>
      <c r="CU123" s="838"/>
      <c r="CV123" s="697" t="str">
        <f>IFERROR(__xludf.DUMMYFUNCTION("""COMPUTED_VALUE"""),"Bwibo NO, Pamba HO. Double-blind comparativestudy of albendazole and placebo in the treatmentof intestinal helminths. In: Firth M, ed. Albendazolein Helminthiasis: Royal Society of MedicineInternational Congress and Symposium Series No. 61.London, England"&amp;": Royal Society of Medicine; 1984:47-53.")</f>
        <v>Bwibo NO, Pamba HO. Double-blind comparativestudy of albendazole and placebo in the treatmentof intestinal helminths. In: Firth M, ed. Albendazolein Helminthiasis: Royal Society of MedicineInternational Congress and Symposium Series No. 61.London, England: Royal Society of Medicine; 1984:47-53.</v>
      </c>
    </row>
    <row r="124">
      <c r="A124" s="842" t="str">
        <f>IFERROR(__xludf.DUMMYFUNCTION("""COMPUTED_VALUE"""),"Steinmann et al.")</f>
        <v>Steinmann et al.</v>
      </c>
      <c r="B124" s="834" t="str">
        <f>IFERROR(__xludf.DUMMYFUNCTION("""COMPUTED_VALUE"""),"China")</f>
        <v>China</v>
      </c>
      <c r="C124" s="834" t="str">
        <f>IFERROR(__xludf.DUMMYFUNCTION("""COMPUTED_VALUE"""),"Albendazole")</f>
        <v>Albendazole</v>
      </c>
      <c r="D124" s="834" t="str">
        <f>IFERROR(__xludf.DUMMYFUNCTION("""COMPUTED_VALUE"""),"Single")</f>
        <v>Single</v>
      </c>
      <c r="E124" s="834" t="str">
        <f>IFERROR(__xludf.DUMMYFUNCTION("""COMPUTED_VALUE"""),"200 mg")</f>
        <v>200 mg</v>
      </c>
      <c r="F124" s="834">
        <f>IFERROR(__xludf.DUMMYFUNCTION("""COMPUTED_VALUE"""),46.0)</f>
        <v>46</v>
      </c>
      <c r="G124" s="849">
        <f>IFERROR(__xludf.DUMMYFUNCTION("""COMPUTED_VALUE"""),42504.0)</f>
        <v>42504</v>
      </c>
      <c r="H124" s="834"/>
      <c r="I124" s="834">
        <f>IFERROR(__xludf.DUMMYFUNCTION("""COMPUTED_VALUE"""),2007.0)</f>
        <v>2007</v>
      </c>
      <c r="J124" s="834"/>
      <c r="K124" s="839" t="str">
        <f>IFERROR(__xludf.DUMMYFUNCTION("""COMPUTED_VALUE"""),"open label randomized controlled trial with  arms")</f>
        <v>open label randomized controlled trial with  arms</v>
      </c>
      <c r="L124" s="839" t="str">
        <f>IFERROR(__xludf.DUMMYFUNCTION("""COMPUTED_VALUE"""),"Yes")</f>
        <v>Yes</v>
      </c>
      <c r="M124" s="839" t="str">
        <f>IFERROR(__xludf.DUMMYFUNCTION("""COMPUTED_VALUE"""),"No")</f>
        <v>No</v>
      </c>
      <c r="N124" s="840">
        <f>IFERROR(__xludf.DUMMYFUNCTION("""COMPUTED_VALUE"""),0.696)</f>
        <v>0.696</v>
      </c>
      <c r="O124" s="834"/>
      <c r="P124" s="834"/>
      <c r="Q124" s="834"/>
      <c r="R124" s="834"/>
      <c r="S124" s="834"/>
      <c r="T124" s="834"/>
      <c r="U124" s="834"/>
      <c r="V124" s="834"/>
      <c r="W124" s="840">
        <f>IFERROR(__xludf.DUMMYFUNCTION("""COMPUTED_VALUE"""),0.485)</f>
        <v>0.485</v>
      </c>
      <c r="X124" s="834"/>
      <c r="Y124" s="834"/>
      <c r="Z124" s="834"/>
      <c r="AA124" s="834"/>
      <c r="AB124" s="834"/>
      <c r="AC124" s="834"/>
      <c r="AD124" s="834"/>
      <c r="AE124" s="834"/>
      <c r="AF124" s="834" t="str">
        <f>IFERROR(__xludf.DUMMYFUNCTION("""COMPUTED_VALUE"""),"Kato-Katz method, koga agar plate, and baermann test")</f>
        <v>Kato-Katz method, koga agar plate, and baermann test</v>
      </c>
      <c r="AG124" s="834" t="str">
        <f>IFERROR(__xludf.DUMMYFUNCTION("""COMPUTED_VALUE"""),"Steinmann, Peter, Xiao-Nong Zhou, Zun-Wei Du, Jin-Yong Jiang, Shu-Hua Xiao, Zhong-Xing Wu, Hui Zhou, and Jurg Utzinger. ""Tribendimidine and Albendazolefor Treating Soil-transmitted Helminths, Strongyloides Stercoralis and Taena Spp.: Open-lable Randomize"&amp;"d Trial."" PLOS Neglected Tropical Diseases 2.10 (2008): 1-10. Web.")</f>
        <v>Steinmann, Peter, Xiao-Nong Zhou, Zun-Wei Du, Jin-Yong Jiang, Shu-Hua Xiao, Zhong-Xing Wu, Hui Zhou, and Jurg Utzinger. "Tribendimidine and Albendazolefor Treating Soil-transmitted Helminths, Strongyloides Stercoralis and Taena Spp.: Open-lable Randomized Trial." PLOS Neglected Tropical Diseases 2.10 (2008): 1-10. Web.</v>
      </c>
      <c r="AH124" s="834"/>
      <c r="AJ124" s="836" t="str">
        <f>IFERROR(__xludf.DUMMYFUNCTION("""COMPUTED_VALUE"""),"Winter 2020-21")</f>
        <v>Winter 2020-21</v>
      </c>
      <c r="AK124" s="836"/>
      <c r="AL124" s="836"/>
      <c r="AM124" s="836"/>
      <c r="AN124" s="836"/>
      <c r="AO124" s="836"/>
      <c r="AP124" s="836"/>
      <c r="AQ124" s="836"/>
      <c r="AR124" s="836"/>
      <c r="AS124" s="836"/>
      <c r="AT124" s="836"/>
      <c r="AU124" s="836"/>
      <c r="AV124" s="836"/>
      <c r="AW124" s="836"/>
      <c r="AX124" s="836"/>
      <c r="AY124" s="836"/>
      <c r="AZ124" s="836"/>
      <c r="BA124" s="836"/>
      <c r="BB124" s="836"/>
      <c r="BC124" s="836"/>
      <c r="BD124" s="836"/>
      <c r="BE124" s="836"/>
      <c r="BF124" s="836"/>
      <c r="BG124" s="836"/>
      <c r="BH124" s="836"/>
      <c r="BI124" s="836"/>
      <c r="BJ124" s="836"/>
      <c r="BK124" s="836"/>
      <c r="BL124" s="836"/>
      <c r="BM124" s="836"/>
      <c r="BN124" s="836"/>
      <c r="BO124" s="836"/>
      <c r="BP124" s="836"/>
      <c r="BQ124" s="697"/>
      <c r="BR124" s="844" t="str">
        <f>IFERROR(__xludf.DUMMYFUNCTION("""COMPUTED_VALUE"""),"Bwibo &amp; Pamba")</f>
        <v>Bwibo &amp; Pamba</v>
      </c>
      <c r="BS124" s="838" t="str">
        <f>IFERROR(__xludf.DUMMYFUNCTION("""COMPUTED_VALUE"""),"Kenya")</f>
        <v>Kenya</v>
      </c>
      <c r="BT124" s="838" t="str">
        <f>IFERROR(__xludf.DUMMYFUNCTION("""COMPUTED_VALUE"""),"Placebo")</f>
        <v>Placebo</v>
      </c>
      <c r="BU124" s="838"/>
      <c r="BV124" s="838"/>
      <c r="BW124" s="838"/>
      <c r="BX124" s="838">
        <f>IFERROR(__xludf.DUMMYFUNCTION("""COMPUTED_VALUE"""),23.0)</f>
        <v>23</v>
      </c>
      <c r="BY124" s="838" t="str">
        <f>IFERROR(__xludf.DUMMYFUNCTION("""COMPUTED_VALUE"""),"12+")</f>
        <v>12+</v>
      </c>
      <c r="BZ124" s="838"/>
      <c r="CA124" s="838"/>
      <c r="CB124" s="838"/>
      <c r="CC124" s="838" t="str">
        <f>IFERROR(__xludf.DUMMYFUNCTION("""COMPUTED_VALUE"""),"Yes")</f>
        <v>Yes</v>
      </c>
      <c r="CD124" s="847">
        <f>IFERROR(__xludf.DUMMYFUNCTION("""COMPUTED_VALUE"""),0.217)</f>
        <v>0.217</v>
      </c>
      <c r="CE124" s="838" t="str">
        <f>IFERROR(__xludf.DUMMYFUNCTION("""COMPUTED_VALUE"""),"Yes")</f>
        <v>Yes</v>
      </c>
      <c r="CF124" s="838" t="str">
        <f>IFERROR(__xludf.DUMMYFUNCTION("""COMPUTED_VALUE"""),"(Day 7) 17.4%")</f>
        <v>(Day 7) 17.4%</v>
      </c>
      <c r="CG124" s="838"/>
      <c r="CH124" s="838"/>
      <c r="CI124" s="838"/>
      <c r="CJ124" s="838"/>
      <c r="CK124" s="838"/>
      <c r="CL124" s="838"/>
      <c r="CM124" s="847">
        <f>IFERROR(__xludf.DUMMYFUNCTION("""COMPUTED_VALUE"""),0.101)</f>
        <v>0.101</v>
      </c>
      <c r="CN124" s="838"/>
      <c r="CO124" s="838"/>
      <c r="CP124" s="838"/>
      <c r="CQ124" s="838"/>
      <c r="CR124" s="838"/>
      <c r="CS124" s="838"/>
      <c r="CT124" s="838"/>
      <c r="CU124" s="838"/>
      <c r="CV124" s="697" t="str">
        <f>IFERROR(__xludf.DUMMYFUNCTION("""COMPUTED_VALUE"""),"Bwibo NO, Pamba HO. Double-blind comparativestudy of albendazole and placebo in the treatmentof intestinal helminths. In: Firth M, ed. Albendazolein Helminthiasis: Royal Society of MedicineInternational Congress and Symposium Series No. 61.London, England"&amp;": Royal Society of Medicine; 1984:47-53.")</f>
        <v>Bwibo NO, Pamba HO. Double-blind comparativestudy of albendazole and placebo in the treatmentof intestinal helminths. In: Firth M, ed. Albendazolein Helminthiasis: Royal Society of MedicineInternational Congress and Symposium Series No. 61.London, England: Royal Society of Medicine; 1984:47-53.</v>
      </c>
    </row>
    <row r="125">
      <c r="A125" s="842" t="str">
        <f>IFERROR(__xludf.DUMMYFUNCTION("""COMPUTED_VALUE"""),"Steinmann et al.")</f>
        <v>Steinmann et al.</v>
      </c>
      <c r="B125" s="834" t="str">
        <f>IFERROR(__xludf.DUMMYFUNCTION("""COMPUTED_VALUE"""),"China")</f>
        <v>China</v>
      </c>
      <c r="C125" s="834" t="str">
        <f>IFERROR(__xludf.DUMMYFUNCTION("""COMPUTED_VALUE"""),"Tribendimidine")</f>
        <v>Tribendimidine</v>
      </c>
      <c r="D125" s="834" t="str">
        <f>IFERROR(__xludf.DUMMYFUNCTION("""COMPUTED_VALUE"""),"Single")</f>
        <v>Single</v>
      </c>
      <c r="E125" s="834" t="str">
        <f>IFERROR(__xludf.DUMMYFUNCTION("""COMPUTED_VALUE"""),"200 mg")</f>
        <v>200 mg</v>
      </c>
      <c r="F125" s="834">
        <f>IFERROR(__xludf.DUMMYFUNCTION("""COMPUTED_VALUE"""),46.0)</f>
        <v>46</v>
      </c>
      <c r="G125" s="849">
        <f>IFERROR(__xludf.DUMMYFUNCTION("""COMPUTED_VALUE"""),42504.0)</f>
        <v>42504</v>
      </c>
      <c r="H125" s="834"/>
      <c r="I125" s="834">
        <f>IFERROR(__xludf.DUMMYFUNCTION("""COMPUTED_VALUE"""),2007.0)</f>
        <v>2007</v>
      </c>
      <c r="J125" s="834"/>
      <c r="K125" s="839" t="str">
        <f>IFERROR(__xludf.DUMMYFUNCTION("""COMPUTED_VALUE"""),"open label randomized controlled trial with  arms")</f>
        <v>open label randomized controlled trial with  arms</v>
      </c>
      <c r="L125" s="839" t="str">
        <f>IFERROR(__xludf.DUMMYFUNCTION("""COMPUTED_VALUE"""),"Yes")</f>
        <v>Yes</v>
      </c>
      <c r="M125" s="839" t="str">
        <f>IFERROR(__xludf.DUMMYFUNCTION("""COMPUTED_VALUE"""),"No")</f>
        <v>No</v>
      </c>
      <c r="N125" s="840">
        <f>IFERROR(__xludf.DUMMYFUNCTION("""COMPUTED_VALUE"""),0.522)</f>
        <v>0.522</v>
      </c>
      <c r="O125" s="834"/>
      <c r="P125" s="834"/>
      <c r="Q125" s="834"/>
      <c r="R125" s="834"/>
      <c r="S125" s="834"/>
      <c r="T125" s="834"/>
      <c r="U125" s="834"/>
      <c r="V125" s="834"/>
      <c r="W125" s="840">
        <f>IFERROR(__xludf.DUMMYFUNCTION("""COMPUTED_VALUE"""),0.421)</f>
        <v>0.421</v>
      </c>
      <c r="X125" s="834"/>
      <c r="Y125" s="834"/>
      <c r="Z125" s="834"/>
      <c r="AA125" s="834"/>
      <c r="AB125" s="834"/>
      <c r="AC125" s="834"/>
      <c r="AD125" s="834"/>
      <c r="AE125" s="834"/>
      <c r="AF125" s="834" t="str">
        <f>IFERROR(__xludf.DUMMYFUNCTION("""COMPUTED_VALUE"""),"Kato-Katz method, koga agar plate, and baermann test")</f>
        <v>Kato-Katz method, koga agar plate, and baermann test</v>
      </c>
      <c r="AG125" s="834" t="str">
        <f>IFERROR(__xludf.DUMMYFUNCTION("""COMPUTED_VALUE"""),"Steinmann, Peter, Xiao-Nong Zhou, Zun-Wei Du, Jin-Yong Jiang, Shu-Hua Xiao, Zhong-Xing Wu, Hui Zhou, and Jurg Utzinger. ""Tribendimidine and Albendazolefor Treating Soil-transmitted Helminths, Strongyloides Stercoralis and Taena Spp.: Open-lable Randomize"&amp;"d Trial."" PLOS Neglected Tropical Diseases 2.10 (2008): 1-10. Web.")</f>
        <v>Steinmann, Peter, Xiao-Nong Zhou, Zun-Wei Du, Jin-Yong Jiang, Shu-Hua Xiao, Zhong-Xing Wu, Hui Zhou, and Jurg Utzinger. "Tribendimidine and Albendazolefor Treating Soil-transmitted Helminths, Strongyloides Stercoralis and Taena Spp.: Open-lable Randomized Trial." PLOS Neglected Tropical Diseases 2.10 (2008): 1-10. Web.</v>
      </c>
      <c r="AH125" s="834"/>
      <c r="AJ125" s="843" t="str">
        <f>IFERROR(__xludf.DUMMYFUNCTION("""COMPUTED_VALUE"""),"Efficacy and Safety of a Single-Dose Mebendazole 500 mg Chewable, Rapidly-Disintegrating Tablet for Ascaris lumbricoides and Trichuris trichiura Infection Treatment in Pediatric Patients: A Double-Blind, Randomized, Placebo-Controlled, Phase 3 Study")</f>
        <v>Efficacy and Safety of a Single-Dose Mebendazole 500 mg Chewable, Rapidly-Disintegrating Tablet for Ascaris lumbricoides and Trichuris trichiura Infection Treatment in Pediatric Patients: A Double-Blind, Randomized, Placebo-Controlled, Phase 3 Study</v>
      </c>
      <c r="AK125" s="836" t="str">
        <f>IFERROR(__xludf.DUMMYFUNCTION("""COMPUTED_VALUE"""),"Silber SA, Diro E, Workneh N, Mekonnen Z, Levecke B, Steinmann P, Umulisa I, Alemu H, Baeten B, Engelen M, Hu P, Friedman A, Baseman A, Mrus J. Efficacy and Safety of a Single-Dose Mebendazole 500 mg Chewable, Rapidly-Disintegrating Tablet for Ascaris lum"&amp;"bricoides and Trichuris trichiura Infection Treatment in Pediatric Patients: A Double-Blind, Randomized, Placebo-Controlled, Phase 3 Study. Am J Trop Med Hyg. 2017 Dec;97(6):1851-1856. doi: 10.4269/ajtmh.17-0108. Epub 2017 Aug 31. PMID: 29016336; PMCID: P"&amp;"MC5805036.")</f>
        <v>Silber SA, Diro E, Workneh N, Mekonnen Z, Levecke B, Steinmann P, Umulisa I, Alemu H, Baeten B, Engelen M, Hu P, Friedman A, Baseman A, Mrus J. Efficacy and Safety of a Single-Dose Mebendazole 500 mg Chewable, Rapidly-Disintegrating Tablet for Ascaris lumbricoides and Trichuris trichiura Infection Treatment in Pediatric Patients: A Double-Blind, Randomized, Placebo-Controlled, Phase 3 Study. Am J Trop Med Hyg. 2017 Dec;97(6):1851-1856. doi: 10.4269/ajtmh.17-0108. Epub 2017 Aug 31. PMID: 29016336; PMCID: PMC5805036.</v>
      </c>
      <c r="AL125" s="836" t="str">
        <f>IFERROR(__xludf.DUMMYFUNCTION("""COMPUTED_VALUE"""),"Ethiopia")</f>
        <v>Ethiopia</v>
      </c>
      <c r="AM125" s="836" t="str">
        <f>IFERROR(__xludf.DUMMYFUNCTION("""COMPUTED_VALUE"""),"Mebendazole")</f>
        <v>Mebendazole</v>
      </c>
      <c r="AN125" s="836" t="str">
        <f>IFERROR(__xludf.DUMMYFUNCTION("""COMPUTED_VALUE"""),"Single")</f>
        <v>Single</v>
      </c>
      <c r="AO125" s="836" t="str">
        <f>IFERROR(__xludf.DUMMYFUNCTION("""COMPUTED_VALUE"""),"500 mg")</f>
        <v>500 mg</v>
      </c>
      <c r="AP125" s="836">
        <f>IFERROR(__xludf.DUMMYFUNCTION("""COMPUTED_VALUE"""),149.0)</f>
        <v>149</v>
      </c>
      <c r="AQ125" s="836">
        <f>IFERROR(__xludf.DUMMYFUNCTION("""COMPUTED_VALUE"""),7.9)</f>
        <v>7.9</v>
      </c>
      <c r="AR125" s="836" t="str">
        <f>IFERROR(__xludf.DUMMYFUNCTION("""COMPUTED_VALUE"""),"71M:78F")</f>
        <v>71M:78F</v>
      </c>
      <c r="AS125" s="836">
        <f>IFERROR(__xludf.DUMMYFUNCTION("""COMPUTED_VALUE"""),2014.0)</f>
        <v>2014</v>
      </c>
      <c r="AT125" s="836" t="str">
        <f>IFERROR(__xludf.DUMMYFUNCTION("""COMPUTED_VALUE"""),"Boys and girls (1–16 years of age) living in high STH-prevalence areas in Ethiopia or Rwanda were screened for STH eggs in stools. Children with A. lumbricoides and/or T. trichiura eggs in their stools were eligible for randomization. Children positive fo"&amp;"r hookworm along with one or both of the previously mentioned STH species were also eligible. Children had to be otherwise healthy based on medical history, physical examination, vital signs, hemoglobin, and concomitant medications for inclusion.")</f>
        <v>Boys and girls (1–16 years of age) living in high STH-prevalence areas in Ethiopia or Rwanda were screened for STH eggs in stools. Children with A. lumbricoides and/or T. trichiura eggs in their stools were eligible for randomization. Children positive for hookworm along with one or both of the previously mentioned STH species were also eligible. Children had to be otherwise healthy based on medical history, physical examination, vital signs, hemoglobin, and concomitant medications for inclusion.</v>
      </c>
      <c r="AU125" s="836" t="str">
        <f>IFERROR(__xludf.DUMMYFUNCTION("""COMPUTED_VALUE"""),"Yes")</f>
        <v>Yes</v>
      </c>
      <c r="AV125" s="836" t="str">
        <f>IFERROR(__xludf.DUMMYFUNCTION("""COMPUTED_VALUE"""),"Yes")</f>
        <v>Yes</v>
      </c>
      <c r="AW125" s="836" t="str">
        <f>IFERROR(__xludf.DUMMYFUNCTION("""COMPUTED_VALUE"""),"Double blind")</f>
        <v>Double blind</v>
      </c>
      <c r="AX125" s="850">
        <f>IFERROR(__xludf.DUMMYFUNCTION("""COMPUTED_VALUE"""),0.339)</f>
        <v>0.339</v>
      </c>
      <c r="AY125" s="836"/>
      <c r="AZ125" s="836"/>
      <c r="BA125" s="836"/>
      <c r="BB125" s="836"/>
      <c r="BC125" s="836"/>
      <c r="BD125" s="836"/>
      <c r="BE125" s="836"/>
      <c r="BF125" s="836"/>
      <c r="BG125" s="836"/>
      <c r="BH125" s="841">
        <f>IFERROR(__xludf.DUMMYFUNCTION("""COMPUTED_VALUE"""),0.597)</f>
        <v>0.597</v>
      </c>
      <c r="BI125" s="836"/>
      <c r="BJ125" s="836"/>
      <c r="BK125" s="836"/>
      <c r="BL125" s="836"/>
      <c r="BM125" s="836"/>
      <c r="BN125" s="836" t="str">
        <f>IFERROR(__xludf.DUMMYFUNCTION("""COMPUTED_VALUE"""),"This chewable, rapidly-disintegrating formulation has a safety and tolerability profile consistent with previous formulations and could facilitate the treatment of young children who have difficulty swallowing a tablet, thus potentially expanding the popu"&amp;"lation of at-risk children that can be effectively treated in mass drug administration programs for STH infections.")</f>
        <v>This chewable, rapidly-disintegrating formulation has a safety and tolerability profile consistent with previous formulations and could facilitate the treatment of young children who have difficulty swallowing a tablet, thus potentially expanding the population of at-risk children that can be effectively treated in mass drug administration programs for STH infections.</v>
      </c>
      <c r="BO125" s="836" t="str">
        <f>IFERROR(__xludf.DUMMYFUNCTION("""COMPUTED_VALUE"""),"Kato-Katz technique")</f>
        <v>Kato-Katz technique</v>
      </c>
      <c r="BP125" s="836"/>
      <c r="BQ125" s="697"/>
      <c r="BR125" s="844" t="str">
        <f>IFERROR(__xludf.DUMMYFUNCTION("""COMPUTED_VALUE"""),"Bwibo &amp; Pamba")</f>
        <v>Bwibo &amp; Pamba</v>
      </c>
      <c r="BS125" s="838" t="str">
        <f>IFERROR(__xludf.DUMMYFUNCTION("""COMPUTED_VALUE"""),"Kenya")</f>
        <v>Kenya</v>
      </c>
      <c r="BT125" s="838" t="str">
        <f>IFERROR(__xludf.DUMMYFUNCTION("""COMPUTED_VALUE"""),"Placebo")</f>
        <v>Placebo</v>
      </c>
      <c r="BU125" s="838"/>
      <c r="BV125" s="838"/>
      <c r="BW125" s="838"/>
      <c r="BX125" s="838">
        <f>IFERROR(__xludf.DUMMYFUNCTION("""COMPUTED_VALUE"""),13.0)</f>
        <v>13</v>
      </c>
      <c r="BY125" s="838" t="str">
        <f>IFERROR(__xludf.DUMMYFUNCTION("""COMPUTED_VALUE"""),"12+")</f>
        <v>12+</v>
      </c>
      <c r="BZ125" s="838"/>
      <c r="CA125" s="838"/>
      <c r="CB125" s="838"/>
      <c r="CC125" s="838" t="str">
        <f>IFERROR(__xludf.DUMMYFUNCTION("""COMPUTED_VALUE"""),"Yes")</f>
        <v>Yes</v>
      </c>
      <c r="CD125" s="846">
        <f>IFERROR(__xludf.DUMMYFUNCTION("""COMPUTED_VALUE"""),0.0)</f>
        <v>0</v>
      </c>
      <c r="CE125" s="838" t="str">
        <f>IFERROR(__xludf.DUMMYFUNCTION("""COMPUTED_VALUE"""),"Yes")</f>
        <v>Yes</v>
      </c>
      <c r="CF125" s="838" t="str">
        <f>IFERROR(__xludf.DUMMYFUNCTION("""COMPUTED_VALUE"""),"(Day 7) 0%")</f>
        <v>(Day 7) 0%</v>
      </c>
      <c r="CG125" s="838"/>
      <c r="CH125" s="838"/>
      <c r="CI125" s="838"/>
      <c r="CJ125" s="838"/>
      <c r="CK125" s="838"/>
      <c r="CL125" s="838"/>
      <c r="CM125" s="847">
        <f>IFERROR(__xludf.DUMMYFUNCTION("""COMPUTED_VALUE"""),0.288)</f>
        <v>0.288</v>
      </c>
      <c r="CN125" s="838"/>
      <c r="CO125" s="838"/>
      <c r="CP125" s="838"/>
      <c r="CQ125" s="838"/>
      <c r="CR125" s="838"/>
      <c r="CS125" s="838"/>
      <c r="CT125" s="838"/>
      <c r="CU125" s="838"/>
      <c r="CV125" s="697" t="str">
        <f>IFERROR(__xludf.DUMMYFUNCTION("""COMPUTED_VALUE"""),"Bwibo NO, Pamba HO. Double-blind comparativestudy of albendazole and placebo in the treatmentof intestinal helminths. In: Firth M, ed. Albendazolein Helminthiasis: Royal Society of MedicineInternational Congress and Symposium Series No. 61.London, England"&amp;": Royal Society of Medicine; 1984:47-53.")</f>
        <v>Bwibo NO, Pamba HO. Double-blind comparativestudy of albendazole and placebo in the treatmentof intestinal helminths. In: Firth M, ed. Albendazolein Helminthiasis: Royal Society of MedicineInternational Congress and Symposium Series No. 61.London, England: Royal Society of Medicine; 1984:47-53.</v>
      </c>
    </row>
    <row r="126">
      <c r="A126" s="842" t="str">
        <f>IFERROR(__xludf.DUMMYFUNCTION("""COMPUTED_VALUE""")," Udonsi et al.")</f>
        <v> Udonsi et al.</v>
      </c>
      <c r="B126" s="834" t="str">
        <f>IFERROR(__xludf.DUMMYFUNCTION("""COMPUTED_VALUE"""),"Nigeria")</f>
        <v>Nigeria</v>
      </c>
      <c r="C126" s="834" t="str">
        <f>IFERROR(__xludf.DUMMYFUNCTION("""COMPUTED_VALUE"""),"Albendazole &amp; Bephenium")</f>
        <v>Albendazole &amp; Bephenium</v>
      </c>
      <c r="D126" s="834" t="str">
        <f>IFERROR(__xludf.DUMMYFUNCTION("""COMPUTED_VALUE"""),"Single")</f>
        <v>Single</v>
      </c>
      <c r="E126" s="834" t="str">
        <f>IFERROR(__xludf.DUMMYFUNCTION("""COMPUTED_VALUE"""),"400 mg; 5 gm")</f>
        <v>400 mg; 5 gm</v>
      </c>
      <c r="F126" s="834" t="str">
        <f>IFERROR(__xludf.DUMMYFUNCTION("""COMPUTED_VALUE"""),"470 ")</f>
        <v>470 </v>
      </c>
      <c r="G126" s="849">
        <f>IFERROR(__xludf.DUMMYFUNCTION("""COMPUTED_VALUE"""),42546.0)</f>
        <v>42546</v>
      </c>
      <c r="H126" s="834"/>
      <c r="I126" s="834">
        <f>IFERROR(__xludf.DUMMYFUNCTION("""COMPUTED_VALUE"""),1985.0)</f>
        <v>1985</v>
      </c>
      <c r="J126" s="834"/>
      <c r="K126" s="839" t="str">
        <f>IFERROR(__xludf.DUMMYFUNCTION("""COMPUTED_VALUE"""),"randomized longitudinal")</f>
        <v>randomized longitudinal</v>
      </c>
      <c r="L126" s="839" t="str">
        <f>IFERROR(__xludf.DUMMYFUNCTION("""COMPUTED_VALUE"""),"Yes")</f>
        <v>Yes</v>
      </c>
      <c r="M126" s="839" t="str">
        <f>IFERROR(__xludf.DUMMYFUNCTION("""COMPUTED_VALUE"""),"No")</f>
        <v>No</v>
      </c>
      <c r="N126" s="834" t="str">
        <f>IFERROR(__xludf.DUMMYFUNCTION("""COMPUTED_VALUE"""),"Age 6-10 80%, 11-15 88%, 16-20 85%, 21-25 94%")</f>
        <v>Age 6-10 80%, 11-15 88%, 16-20 85%, 21-25 94%</v>
      </c>
      <c r="O126" s="834"/>
      <c r="P126" s="834"/>
      <c r="Q126" s="834"/>
      <c r="R126" s="834"/>
      <c r="S126" s="834"/>
      <c r="T126" s="834"/>
      <c r="U126" s="834"/>
      <c r="V126" s="834"/>
      <c r="W126" s="834" t="str">
        <f>IFERROR(__xludf.DUMMYFUNCTION("""COMPUTED_VALUE"""),"Age 6-10 80%, 11-15 88%, 16-20 85%, 21-25 94%")</f>
        <v>Age 6-10 80%, 11-15 88%, 16-20 85%, 21-25 94%</v>
      </c>
      <c r="X126" s="834"/>
      <c r="Y126" s="834"/>
      <c r="Z126" s="834"/>
      <c r="AA126" s="834"/>
      <c r="AB126" s="834"/>
      <c r="AC126" s="834"/>
      <c r="AD126" s="834"/>
      <c r="AE126" s="834" t="str">
        <f>IFERROR(__xludf.DUMMYFUNCTION("""COMPUTED_VALUE"""),"Continuous MEC in combination with adequate environmental sanitation and health education for a period of 3 years is recommended for the control of human hookworm in any endemic area.")</f>
        <v>Continuous MEC in combination with adequate environmental sanitation and health education for a period of 3 years is recommended for the control of human hookworm in any endemic area.</v>
      </c>
      <c r="AF126" s="834" t="str">
        <f>IFERROR(__xludf.DUMMYFUNCTION("""COMPUTED_VALUE"""),"Kato &amp; Mirua thick smear technique")</f>
        <v>Kato &amp; Mirua thick smear technique</v>
      </c>
      <c r="AG126" s="834" t="str">
        <f>IFERROR(__xludf.DUMMYFUNCTION("""COMPUTED_VALUE"""),"Udonsi J K (1985) Effectiveness of Seasonal Community-based Mass-Expulsion Chemotherapy in the Control of Human Hookworm Infections in Endemic Communities. Publ. Hlth, Lond. 99 295-301. Web. ")</f>
        <v>Udonsi J K (1985) Effectiveness of Seasonal Community-based Mass-Expulsion Chemotherapy in the Control of Human Hookworm Infections in Endemic Communities. Publ. Hlth, Lond. 99 295-301. Web. </v>
      </c>
      <c r="AH126" s="834" t="str">
        <f>IFERROR(__xludf.DUMMYFUNCTION("""COMPUTED_VALUE"""),"x")</f>
        <v>x</v>
      </c>
      <c r="AJ126" s="843" t="str">
        <f>IFERROR(__xludf.DUMMYFUNCTION("""COMPUTED_VALUE"""),"Efficacy and Safety of a Single-Dose Mebendazole 500 mg Chewable, Rapidly-Disintegrating Tablet for Ascaris lumbricoides and Trichuris trichiura Infection Treatment in Pediatric Patients: A Double-Blind, Randomized, Placebo-Controlled, Phase 3 Study")</f>
        <v>Efficacy and Safety of a Single-Dose Mebendazole 500 mg Chewable, Rapidly-Disintegrating Tablet for Ascaris lumbricoides and Trichuris trichiura Infection Treatment in Pediatric Patients: A Double-Blind, Randomized, Placebo-Controlled, Phase 3 Study</v>
      </c>
      <c r="AK126" s="836" t="str">
        <f>IFERROR(__xludf.DUMMYFUNCTION("""COMPUTED_VALUE"""),"Silber SA, Diro E, Workneh N, Mekonnen Z, Levecke B, Steinmann P, Umulisa I, Alemu H, Baeten B, Engelen M, Hu P, Friedman A, Baseman A, Mrus J. Efficacy and Safety of a Single-Dose Mebendazole 500 mg Chewable, Rapidly-Disintegrating Tablet for Ascaris lum"&amp;"bricoides and Trichuris trichiura Infection Treatment in Pediatric Patients: A Double-Blind, Randomized, Placebo-Controlled, Phase 3 Study. Am J Trop Med Hyg. 2017 Dec;97(6):1851-1856. doi: 10.4269/ajtmh.17-0108. Epub 2017 Aug 31. PMID: 29016336; PMCID: P"&amp;"MC5805036.")</f>
        <v>Silber SA, Diro E, Workneh N, Mekonnen Z, Levecke B, Steinmann P, Umulisa I, Alemu H, Baeten B, Engelen M, Hu P, Friedman A, Baseman A, Mrus J. Efficacy and Safety of a Single-Dose Mebendazole 500 mg Chewable, Rapidly-Disintegrating Tablet for Ascaris lumbricoides and Trichuris trichiura Infection Treatment in Pediatric Patients: A Double-Blind, Randomized, Placebo-Controlled, Phase 3 Study. Am J Trop Med Hyg. 2017 Dec;97(6):1851-1856. doi: 10.4269/ajtmh.17-0108. Epub 2017 Aug 31. PMID: 29016336; PMCID: PMC5805036.</v>
      </c>
      <c r="AL126" s="836" t="str">
        <f>IFERROR(__xludf.DUMMYFUNCTION("""COMPUTED_VALUE"""),"Rwanda")</f>
        <v>Rwanda</v>
      </c>
      <c r="AM126" s="836" t="str">
        <f>IFERROR(__xludf.DUMMYFUNCTION("""COMPUTED_VALUE"""),"Mebendazole")</f>
        <v>Mebendazole</v>
      </c>
      <c r="AN126" s="836" t="str">
        <f>IFERROR(__xludf.DUMMYFUNCTION("""COMPUTED_VALUE"""),"Single")</f>
        <v>Single</v>
      </c>
      <c r="AO126" s="836" t="str">
        <f>IFERROR(__xludf.DUMMYFUNCTION("""COMPUTED_VALUE"""),"500 mg")</f>
        <v>500 mg</v>
      </c>
      <c r="AP126" s="836">
        <f>IFERROR(__xludf.DUMMYFUNCTION("""COMPUTED_VALUE"""),149.0)</f>
        <v>149</v>
      </c>
      <c r="AQ126" s="836">
        <f>IFERROR(__xludf.DUMMYFUNCTION("""COMPUTED_VALUE"""),7.9)</f>
        <v>7.9</v>
      </c>
      <c r="AR126" s="836" t="str">
        <f>IFERROR(__xludf.DUMMYFUNCTION("""COMPUTED_VALUE"""),"71M:78F")</f>
        <v>71M:78F</v>
      </c>
      <c r="AS126" s="836">
        <f>IFERROR(__xludf.DUMMYFUNCTION("""COMPUTED_VALUE"""),2014.0)</f>
        <v>2014</v>
      </c>
      <c r="AT126" s="836" t="str">
        <f>IFERROR(__xludf.DUMMYFUNCTION("""COMPUTED_VALUE"""),"Boys and girls (1–16 years of age) living in high STH-prevalence areas in Ethiopia or Rwanda were screened for STH eggs in stools. Children with A. lumbricoides and/or T. trichiura eggs in their stools were eligible for randomization. Children positive fo"&amp;"r hookworm along with one or both of the previously mentioned STH species were also eligible. Children had to be otherwise healthy based on medical history, physical examination, vital signs, hemoglobin, and concomitant medications for inclusion.")</f>
        <v>Boys and girls (1–16 years of age) living in high STH-prevalence areas in Ethiopia or Rwanda were screened for STH eggs in stools. Children with A. lumbricoides and/or T. trichiura eggs in their stools were eligible for randomization. Children positive for hookworm along with one or both of the previously mentioned STH species were also eligible. Children had to be otherwise healthy based on medical history, physical examination, vital signs, hemoglobin, and concomitant medications for inclusion.</v>
      </c>
      <c r="AU126" s="836" t="str">
        <f>IFERROR(__xludf.DUMMYFUNCTION("""COMPUTED_VALUE"""),"Yes")</f>
        <v>Yes</v>
      </c>
      <c r="AV126" s="836" t="str">
        <f>IFERROR(__xludf.DUMMYFUNCTION("""COMPUTED_VALUE"""),"Yes")</f>
        <v>Yes</v>
      </c>
      <c r="AW126" s="836" t="str">
        <f>IFERROR(__xludf.DUMMYFUNCTION("""COMPUTED_VALUE"""),"Double blind")</f>
        <v>Double blind</v>
      </c>
      <c r="AX126" s="850">
        <f>IFERROR(__xludf.DUMMYFUNCTION("""COMPUTED_VALUE"""),0.339)</f>
        <v>0.339</v>
      </c>
      <c r="AY126" s="836"/>
      <c r="AZ126" s="836"/>
      <c r="BA126" s="836"/>
      <c r="BB126" s="836"/>
      <c r="BC126" s="836"/>
      <c r="BD126" s="836"/>
      <c r="BE126" s="836"/>
      <c r="BF126" s="836"/>
      <c r="BG126" s="836"/>
      <c r="BH126" s="841">
        <f>IFERROR(__xludf.DUMMYFUNCTION("""COMPUTED_VALUE"""),0.902)</f>
        <v>0.902</v>
      </c>
      <c r="BI126" s="836"/>
      <c r="BJ126" s="836"/>
      <c r="BK126" s="836"/>
      <c r="BL126" s="836"/>
      <c r="BM126" s="836"/>
      <c r="BN126" s="836" t="str">
        <f>IFERROR(__xludf.DUMMYFUNCTION("""COMPUTED_VALUE"""),"This chewable, rapidly-disintegrating formulation has a safety and tolerability profile consistent with previous formulations and could facilitate the treatment of young children who have difficulty swallowing a tablet, thus potentially expanding the popu"&amp;"lation of at-risk children that can be effectively treated in mass drug administration programs for STH infections.")</f>
        <v>This chewable, rapidly-disintegrating formulation has a safety and tolerability profile consistent with previous formulations and could facilitate the treatment of young children who have difficulty swallowing a tablet, thus potentially expanding the population of at-risk children that can be effectively treated in mass drug administration programs for STH infections.</v>
      </c>
      <c r="BO126" s="836" t="str">
        <f>IFERROR(__xludf.DUMMYFUNCTION("""COMPUTED_VALUE"""),"Kato-Katz technique")</f>
        <v>Kato-Katz technique</v>
      </c>
      <c r="BP126" s="836"/>
      <c r="BQ126" s="697"/>
      <c r="BR126" s="844" t="str">
        <f>IFERROR(__xludf.DUMMYFUNCTION("""COMPUTED_VALUE"""),"Bwibo &amp; Pamba")</f>
        <v>Bwibo &amp; Pamba</v>
      </c>
      <c r="BS126" s="838" t="str">
        <f>IFERROR(__xludf.DUMMYFUNCTION("""COMPUTED_VALUE"""),"Kenya")</f>
        <v>Kenya</v>
      </c>
      <c r="BT126" s="838" t="str">
        <f>IFERROR(__xludf.DUMMYFUNCTION("""COMPUTED_VALUE"""),"Albendazole")</f>
        <v>Albendazole</v>
      </c>
      <c r="BU126" s="838"/>
      <c r="BV126" s="838" t="str">
        <f>IFERROR(__xludf.DUMMYFUNCTION("""COMPUTED_VALUE"""),"Single")</f>
        <v>Single</v>
      </c>
      <c r="BW126" s="838" t="str">
        <f>IFERROR(__xludf.DUMMYFUNCTION("""COMPUTED_VALUE"""),"200 mg")</f>
        <v>200 mg</v>
      </c>
      <c r="BX126" s="838">
        <f>IFERROR(__xludf.DUMMYFUNCTION("""COMPUTED_VALUE"""),1.0)</f>
        <v>1</v>
      </c>
      <c r="BY126" s="838" t="str">
        <f>IFERROR(__xludf.DUMMYFUNCTION("""COMPUTED_VALUE"""),"12+")</f>
        <v>12+</v>
      </c>
      <c r="BZ126" s="838"/>
      <c r="CA126" s="838"/>
      <c r="CB126" s="838"/>
      <c r="CC126" s="838" t="str">
        <f>IFERROR(__xludf.DUMMYFUNCTION("""COMPUTED_VALUE"""),"Yes")</f>
        <v>Yes</v>
      </c>
      <c r="CD126" s="846">
        <f>IFERROR(__xludf.DUMMYFUNCTION("""COMPUTED_VALUE"""),1.0)</f>
        <v>1</v>
      </c>
      <c r="CE126" s="838" t="str">
        <f>IFERROR(__xludf.DUMMYFUNCTION("""COMPUTED_VALUE"""),"Yes")</f>
        <v>Yes</v>
      </c>
      <c r="CF126" s="838" t="str">
        <f>IFERROR(__xludf.DUMMYFUNCTION("""COMPUTED_VALUE"""),"(Day 7) 0%")</f>
        <v>(Day 7) 0%</v>
      </c>
      <c r="CG126" s="838"/>
      <c r="CH126" s="838"/>
      <c r="CI126" s="838"/>
      <c r="CJ126" s="838"/>
      <c r="CK126" s="838"/>
      <c r="CL126" s="838"/>
      <c r="CM126" s="846">
        <f>IFERROR(__xludf.DUMMYFUNCTION("""COMPUTED_VALUE"""),1.0)</f>
        <v>1</v>
      </c>
      <c r="CN126" s="838"/>
      <c r="CO126" s="838"/>
      <c r="CP126" s="838"/>
      <c r="CQ126" s="838"/>
      <c r="CR126" s="838"/>
      <c r="CS126" s="838"/>
      <c r="CT126" s="838"/>
      <c r="CU126" s="838"/>
      <c r="CV126" s="697" t="str">
        <f>IFERROR(__xludf.DUMMYFUNCTION("""COMPUTED_VALUE"""),"Bwibo NO, Pamba HO. Double-blind comparativestudy of albendazole and placebo in the treatmentof intestinal helminths. In: Firth M, ed. Albendazolein Helminthiasis: Royal Society of MedicineInternational Congress and Symposium Series No. 61.London, England"&amp;": Royal Society of Medicine; 1984:47-53.")</f>
        <v>Bwibo NO, Pamba HO. Double-blind comparativestudy of albendazole and placebo in the treatmentof intestinal helminths. In: Firth M, ed. Albendazolein Helminthiasis: Royal Society of MedicineInternational Congress and Symposium Series No. 61.London, England: Royal Society of Medicine; 1984:47-53.</v>
      </c>
    </row>
    <row r="127">
      <c r="A127" s="842" t="str">
        <f>IFERROR(__xludf.DUMMYFUNCTION("""COMPUTED_VALUE""")," Udonsi et al.")</f>
        <v> Udonsi et al.</v>
      </c>
      <c r="B127" s="834" t="str">
        <f>IFERROR(__xludf.DUMMYFUNCTION("""COMPUTED_VALUE"""),"Nigeria")</f>
        <v>Nigeria</v>
      </c>
      <c r="C127" s="834" t="str">
        <f>IFERROR(__xludf.DUMMYFUNCTION("""COMPUTED_VALUE"""),"Albendazole &amp; Bephenium")</f>
        <v>Albendazole &amp; Bephenium</v>
      </c>
      <c r="D127" s="834" t="str">
        <f>IFERROR(__xludf.DUMMYFUNCTION("""COMPUTED_VALUE"""),"Single")</f>
        <v>Single</v>
      </c>
      <c r="E127" s="834" t="str">
        <f>IFERROR(__xludf.DUMMYFUNCTION("""COMPUTED_VALUE"""),"400 mg; 5 gm")</f>
        <v>400 mg; 5 gm</v>
      </c>
      <c r="F127" s="834">
        <f>IFERROR(__xludf.DUMMYFUNCTION("""COMPUTED_VALUE"""),465.0)</f>
        <v>465</v>
      </c>
      <c r="G127" s="834"/>
      <c r="H127" s="834"/>
      <c r="I127" s="834">
        <f>IFERROR(__xludf.DUMMYFUNCTION("""COMPUTED_VALUE"""),1985.0)</f>
        <v>1985</v>
      </c>
      <c r="J127" s="834"/>
      <c r="K127" s="839" t="str">
        <f>IFERROR(__xludf.DUMMYFUNCTION("""COMPUTED_VALUE"""),"randomized longitudinal")</f>
        <v>randomized longitudinal</v>
      </c>
      <c r="L127" s="839" t="str">
        <f>IFERROR(__xludf.DUMMYFUNCTION("""COMPUTED_VALUE"""),"Yes")</f>
        <v>Yes</v>
      </c>
      <c r="M127" s="839" t="str">
        <f>IFERROR(__xludf.DUMMYFUNCTION("""COMPUTED_VALUE"""),"No")</f>
        <v>No</v>
      </c>
      <c r="N127" s="834" t="str">
        <f>IFERROR(__xludf.DUMMYFUNCTION("""COMPUTED_VALUE"""),"Age 6-10 83%, 11-15 88%, 16-20 89%, 21-25 95%")</f>
        <v>Age 6-10 83%, 11-15 88%, 16-20 89%, 21-25 95%</v>
      </c>
      <c r="O127" s="834"/>
      <c r="P127" s="834"/>
      <c r="Q127" s="834"/>
      <c r="R127" s="834"/>
      <c r="S127" s="834"/>
      <c r="T127" s="834"/>
      <c r="U127" s="834"/>
      <c r="V127" s="834"/>
      <c r="W127" s="834" t="str">
        <f>IFERROR(__xludf.DUMMYFUNCTION("""COMPUTED_VALUE"""),"Age 6-10 83%, 11-15 88%, 16-20 89%, 21-25 95%")</f>
        <v>Age 6-10 83%, 11-15 88%, 16-20 89%, 21-25 95%</v>
      </c>
      <c r="X127" s="834"/>
      <c r="Y127" s="834"/>
      <c r="Z127" s="834"/>
      <c r="AA127" s="834"/>
      <c r="AB127" s="834"/>
      <c r="AC127" s="834"/>
      <c r="AD127" s="834"/>
      <c r="AE127" s="834" t="str">
        <f>IFERROR(__xludf.DUMMYFUNCTION("""COMPUTED_VALUE"""),"Continuous MEC in combination with adequate environmental sanitation and health education for a period of 3 years is recommended for the control of human hookworm in any endemic area.")</f>
        <v>Continuous MEC in combination with adequate environmental sanitation and health education for a period of 3 years is recommended for the control of human hookworm in any endemic area.</v>
      </c>
      <c r="AF127" s="834" t="str">
        <f>IFERROR(__xludf.DUMMYFUNCTION("""COMPUTED_VALUE"""),"Kato &amp; Mirua thick smear technique")</f>
        <v>Kato &amp; Mirua thick smear technique</v>
      </c>
      <c r="AG127" s="834" t="str">
        <f>IFERROR(__xludf.DUMMYFUNCTION("""COMPUTED_VALUE"""),"Udonsi J K (1985) Effectiveness of Seasonal Community-based Mass-Expulsion Chemotherapy in the Control of Human Hookworm Infections in Endemic Communities. Publ. Hlth, Lond. 99 295-301. Web. ")</f>
        <v>Udonsi J K (1985) Effectiveness of Seasonal Community-based Mass-Expulsion Chemotherapy in the Control of Human Hookworm Infections in Endemic Communities. Publ. Hlth, Lond. 99 295-301. Web. </v>
      </c>
      <c r="AH127" s="834" t="str">
        <f>IFERROR(__xludf.DUMMYFUNCTION("""COMPUTED_VALUE"""),"x")</f>
        <v>x</v>
      </c>
      <c r="AJ127" s="843" t="str">
        <f>IFERROR(__xludf.DUMMYFUNCTION("""COMPUTED_VALUE"""),"Efficacy and reinfection with soil-transmitted helminths 18-weeks post-treatment with albendazole-ivermectin, albendazole-mebendazole, albendazole-oxantel pamoate and mebendazole")</f>
        <v>Efficacy and reinfection with soil-transmitted helminths 18-weeks post-treatment with albendazole-ivermectin, albendazole-mebendazole, albendazole-oxantel pamoate and mebendazole</v>
      </c>
      <c r="AK127" s="836" t="str">
        <f>IFERROR(__xludf.DUMMYFUNCTION("""COMPUTED_VALUE"""),"Speich B, Moser W, Ali SM, Ame SM, Albonico M, Hattendorf J, Keiser J. Efficacy and reinfection with soil-transmitted helminths 18-weeks post-treatment with albendazole-ivermectin, albendazole-mebendazole, albendazole-oxantel pamoate and mebendazole. Para"&amp;"sit Vectors. 2016 Mar 2;9:123. doi: 10.1186/s13071-016-1406-8. PMID: 26935065; PMCID: PMC4776366.")</f>
        <v>Speich B, Moser W, Ali SM, Ame SM, Albonico M, Hattendorf J, Keiser J. Efficacy and reinfection with soil-transmitted helminths 18-weeks post-treatment with albendazole-ivermectin, albendazole-mebendazole, albendazole-oxantel pamoate and mebendazole. Parasit Vectors. 2016 Mar 2;9:123. doi: 10.1186/s13071-016-1406-8. PMID: 26935065; PMCID: PMC4776366.</v>
      </c>
      <c r="AL127" s="836" t="str">
        <f>IFERROR(__xludf.DUMMYFUNCTION("""COMPUTED_VALUE"""),"Tanzania")</f>
        <v>Tanzania</v>
      </c>
      <c r="AM127" s="836" t="str">
        <f>IFERROR(__xludf.DUMMYFUNCTION("""COMPUTED_VALUE"""),"Albendazole &amp; Ivermectin")</f>
        <v>Albendazole &amp; Ivermectin</v>
      </c>
      <c r="AN127" s="836" t="str">
        <f>IFERROR(__xludf.DUMMYFUNCTION("""COMPUTED_VALUE"""),"Single")</f>
        <v>Single</v>
      </c>
      <c r="AO127" s="836" t="str">
        <f>IFERROR(__xludf.DUMMYFUNCTION("""COMPUTED_VALUE"""),"400 mg;200 μg/kg")</f>
        <v>400 mg;200 μg/kg</v>
      </c>
      <c r="AP127" s="836">
        <f>IFERROR(__xludf.DUMMYFUNCTION("""COMPUTED_VALUE"""),100.0)</f>
        <v>100</v>
      </c>
      <c r="AQ127" s="836"/>
      <c r="AR127" s="836"/>
      <c r="AS127" s="836">
        <f>IFERROR(__xludf.DUMMYFUNCTION("""COMPUTED_VALUE"""),2013.0)</f>
        <v>2013</v>
      </c>
      <c r="AT127" s="836" t="str">
        <f>IFERROR(__xludf.DUMMYFUNCTION("""COMPUTED_VALUE"""),"School-aged children diagnosed positive for T. trichiura")</f>
        <v>School-aged children diagnosed positive for T. trichiura</v>
      </c>
      <c r="AU127" s="836" t="str">
        <f>IFERROR(__xludf.DUMMYFUNCTION("""COMPUTED_VALUE"""),"Yes")</f>
        <v>Yes</v>
      </c>
      <c r="AV127" s="836" t="str">
        <f>IFERROR(__xludf.DUMMYFUNCTION("""COMPUTED_VALUE"""),"No")</f>
        <v>No</v>
      </c>
      <c r="AW127" s="836" t="str">
        <f>IFERROR(__xludf.DUMMYFUNCTION("""COMPUTED_VALUE"""),"No")</f>
        <v>No</v>
      </c>
      <c r="AX127" s="850">
        <f>IFERROR(__xludf.DUMMYFUNCTION("""COMPUTED_VALUE"""),0.2)</f>
        <v>0.2</v>
      </c>
      <c r="AY127" s="836"/>
      <c r="AZ127" s="850">
        <f>IFERROR(__xludf.DUMMYFUNCTION("""COMPUTED_VALUE"""),0.28)</f>
        <v>0.28</v>
      </c>
      <c r="BA127" s="836"/>
      <c r="BB127" s="836"/>
      <c r="BC127" s="836"/>
      <c r="BD127" s="836"/>
      <c r="BE127" s="836"/>
      <c r="BF127" s="850">
        <f>IFERROR(__xludf.DUMMYFUNCTION("""COMPUTED_VALUE"""),0.2)</f>
        <v>0.2</v>
      </c>
      <c r="BG127" s="836"/>
      <c r="BH127" s="841">
        <f>IFERROR(__xludf.DUMMYFUNCTION("""COMPUTED_VALUE"""),0.672)</f>
        <v>0.672</v>
      </c>
      <c r="BI127" s="836"/>
      <c r="BJ127" s="836"/>
      <c r="BK127" s="836"/>
      <c r="BL127" s="836"/>
      <c r="BM127" s="836"/>
      <c r="BN127" s="836" t="str">
        <f>IFERROR(__xludf.DUMMYFUNCTION("""COMPUTED_VALUE"""),"18 weeks after treatment albendazole-oxantel pamoate showed a significantly higher efficacy against T. trichiura. Children treated with albendazole-oxantel pamoate or albendazole-ivermectin had fewer moderate infections compared to children treated with a"&amp;"lbendazole.")</f>
        <v>18 weeks after treatment albendazole-oxantel pamoate showed a significantly higher efficacy against T. trichiura. Children treated with albendazole-oxantel pamoate or albendazole-ivermectin had fewer moderate infections compared to children treated with albendazole.</v>
      </c>
      <c r="BO127" s="836" t="str">
        <f>IFERROR(__xludf.DUMMYFUNCTION("""COMPUTED_VALUE"""),"Kato-Katz technique")</f>
        <v>Kato-Katz technique</v>
      </c>
      <c r="BP127" s="836"/>
      <c r="BQ127" s="697"/>
      <c r="BR127" s="844" t="str">
        <f>IFERROR(__xludf.DUMMYFUNCTION("""COMPUTED_VALUE"""),"Bwibo &amp; Pamba")</f>
        <v>Bwibo &amp; Pamba</v>
      </c>
      <c r="BS127" s="838" t="str">
        <f>IFERROR(__xludf.DUMMYFUNCTION("""COMPUTED_VALUE"""),"Kenya")</f>
        <v>Kenya</v>
      </c>
      <c r="BT127" s="838" t="str">
        <f>IFERROR(__xludf.DUMMYFUNCTION("""COMPUTED_VALUE"""),"Albendazole")</f>
        <v>Albendazole</v>
      </c>
      <c r="BU127" s="838"/>
      <c r="BV127" s="838" t="str">
        <f>IFERROR(__xludf.DUMMYFUNCTION("""COMPUTED_VALUE"""),"Single")</f>
        <v>Single</v>
      </c>
      <c r="BW127" s="838" t="str">
        <f>IFERROR(__xludf.DUMMYFUNCTION("""COMPUTED_VALUE"""),"200 mg")</f>
        <v>200 mg</v>
      </c>
      <c r="BX127" s="838">
        <f>IFERROR(__xludf.DUMMYFUNCTION("""COMPUTED_VALUE"""),1.0)</f>
        <v>1</v>
      </c>
      <c r="BY127" s="838" t="str">
        <f>IFERROR(__xludf.DUMMYFUNCTION("""COMPUTED_VALUE"""),"12+")</f>
        <v>12+</v>
      </c>
      <c r="BZ127" s="838"/>
      <c r="CA127" s="838"/>
      <c r="CB127" s="838"/>
      <c r="CC127" s="838" t="str">
        <f>IFERROR(__xludf.DUMMYFUNCTION("""COMPUTED_VALUE"""),"Yes")</f>
        <v>Yes</v>
      </c>
      <c r="CD127" s="846">
        <f>IFERROR(__xludf.DUMMYFUNCTION("""COMPUTED_VALUE"""),1.0)</f>
        <v>1</v>
      </c>
      <c r="CE127" s="838" t="str">
        <f>IFERROR(__xludf.DUMMYFUNCTION("""COMPUTED_VALUE"""),"Yes")</f>
        <v>Yes</v>
      </c>
      <c r="CF127" s="838" t="str">
        <f>IFERROR(__xludf.DUMMYFUNCTION("""COMPUTED_VALUE"""),"(Day 7) 0%")</f>
        <v>(Day 7) 0%</v>
      </c>
      <c r="CG127" s="838"/>
      <c r="CH127" s="838"/>
      <c r="CI127" s="838"/>
      <c r="CJ127" s="838"/>
      <c r="CK127" s="838"/>
      <c r="CL127" s="838"/>
      <c r="CM127" s="847">
        <f>IFERROR(__xludf.DUMMYFUNCTION("""COMPUTED_VALUE"""),0.972)</f>
        <v>0.972</v>
      </c>
      <c r="CN127" s="838"/>
      <c r="CO127" s="838"/>
      <c r="CP127" s="838"/>
      <c r="CQ127" s="838"/>
      <c r="CR127" s="838"/>
      <c r="CS127" s="838"/>
      <c r="CT127" s="838"/>
      <c r="CU127" s="838"/>
      <c r="CV127" s="697" t="str">
        <f>IFERROR(__xludf.DUMMYFUNCTION("""COMPUTED_VALUE"""),"Bwibo NO, Pamba HO. Double-blind comparativestudy of albendazole and placebo in the treatmentof intestinal helminths. In: Firth M, ed. Albendazolein Helminthiasis: Royal Society of MedicineInternational Congress and Symposium Series No. 61.London, England"&amp;": Royal Society of Medicine; 1984:47-53.")</f>
        <v>Bwibo NO, Pamba HO. Double-blind comparativestudy of albendazole and placebo in the treatmentof intestinal helminths. In: Firth M, ed. Albendazolein Helminthiasis: Royal Society of MedicineInternational Congress and Symposium Series No. 61.London, England: Royal Society of Medicine; 1984:47-53.</v>
      </c>
    </row>
    <row r="128">
      <c r="A128" s="842" t="str">
        <f>IFERROR(__xludf.DUMMYFUNCTION("""COMPUTED_VALUE""")," Udonsi et al.")</f>
        <v> Udonsi et al.</v>
      </c>
      <c r="B128" s="834" t="str">
        <f>IFERROR(__xludf.DUMMYFUNCTION("""COMPUTED_VALUE"""),"Nigeria")</f>
        <v>Nigeria</v>
      </c>
      <c r="C128" s="834" t="str">
        <f>IFERROR(__xludf.DUMMYFUNCTION("""COMPUTED_VALUE"""),"Albendazole &amp; Bephenium")</f>
        <v>Albendazole &amp; Bephenium</v>
      </c>
      <c r="D128" s="834" t="str">
        <f>IFERROR(__xludf.DUMMYFUNCTION("""COMPUTED_VALUE"""),"Single")</f>
        <v>Single</v>
      </c>
      <c r="E128" s="834" t="str">
        <f>IFERROR(__xludf.DUMMYFUNCTION("""COMPUTED_VALUE"""),"400 mg; 5 gm")</f>
        <v>400 mg; 5 gm</v>
      </c>
      <c r="F128" s="834">
        <f>IFERROR(__xludf.DUMMYFUNCTION("""COMPUTED_VALUE"""),478.0)</f>
        <v>478</v>
      </c>
      <c r="G128" s="834"/>
      <c r="H128" s="834"/>
      <c r="I128" s="834">
        <f>IFERROR(__xludf.DUMMYFUNCTION("""COMPUTED_VALUE"""),1985.0)</f>
        <v>1985</v>
      </c>
      <c r="J128" s="834"/>
      <c r="K128" s="839" t="str">
        <f>IFERROR(__xludf.DUMMYFUNCTION("""COMPUTED_VALUE"""),"randomized longitudinal")</f>
        <v>randomized longitudinal</v>
      </c>
      <c r="L128" s="839" t="str">
        <f>IFERROR(__xludf.DUMMYFUNCTION("""COMPUTED_VALUE"""),"Yes")</f>
        <v>Yes</v>
      </c>
      <c r="M128" s="839" t="str">
        <f>IFERROR(__xludf.DUMMYFUNCTION("""COMPUTED_VALUE"""),"No")</f>
        <v>No</v>
      </c>
      <c r="N128" s="834" t="str">
        <f>IFERROR(__xludf.DUMMYFUNCTION("""COMPUTED_VALUE"""),"Age 6-10 82%, 11-15 90%, 16-20 94% 21-25 96%")</f>
        <v>Age 6-10 82%, 11-15 90%, 16-20 94% 21-25 96%</v>
      </c>
      <c r="O128" s="834"/>
      <c r="P128" s="834"/>
      <c r="Q128" s="834"/>
      <c r="R128" s="834"/>
      <c r="S128" s="834"/>
      <c r="T128" s="834"/>
      <c r="U128" s="834"/>
      <c r="V128" s="834"/>
      <c r="W128" s="834" t="str">
        <f>IFERROR(__xludf.DUMMYFUNCTION("""COMPUTED_VALUE"""),"Age 6-10 82%, 11-15 90%, 16-20 94% 21-25 96%")</f>
        <v>Age 6-10 82%, 11-15 90%, 16-20 94% 21-25 96%</v>
      </c>
      <c r="X128" s="834"/>
      <c r="Y128" s="834"/>
      <c r="Z128" s="834"/>
      <c r="AA128" s="834"/>
      <c r="AB128" s="834"/>
      <c r="AC128" s="834"/>
      <c r="AD128" s="834"/>
      <c r="AE128" s="834" t="str">
        <f>IFERROR(__xludf.DUMMYFUNCTION("""COMPUTED_VALUE"""),"Continuous MEC in combination with adequate environmental sanitation and health education for a period of 3 years is recommended for the control of human hookworm in any endemic area.")</f>
        <v>Continuous MEC in combination with adequate environmental sanitation and health education for a period of 3 years is recommended for the control of human hookworm in any endemic area.</v>
      </c>
      <c r="AF128" s="834" t="str">
        <f>IFERROR(__xludf.DUMMYFUNCTION("""COMPUTED_VALUE"""),"Kato &amp; Mirua thick smear technique")</f>
        <v>Kato &amp; Mirua thick smear technique</v>
      </c>
      <c r="AG128" s="834" t="str">
        <f>IFERROR(__xludf.DUMMYFUNCTION("""COMPUTED_VALUE"""),"Udonsi J K (1985) Effectiveness of Seasonal Community-based Mass-Expulsion Chemotherapy in the Control of Human Hookworm Infections in Endemic Communities. Publ. Hlth, Lond. 99 295-301. Web. ")</f>
        <v>Udonsi J K (1985) Effectiveness of Seasonal Community-based Mass-Expulsion Chemotherapy in the Control of Human Hookworm Infections in Endemic Communities. Publ. Hlth, Lond. 99 295-301. Web. </v>
      </c>
      <c r="AH128" s="834" t="str">
        <f>IFERROR(__xludf.DUMMYFUNCTION("""COMPUTED_VALUE"""),"x")</f>
        <v>x</v>
      </c>
      <c r="AJ128" s="843" t="str">
        <f>IFERROR(__xludf.DUMMYFUNCTION("""COMPUTED_VALUE"""),"Efficacy and reinfection with soil-transmitted helminths 18-weeks post-treatment with albendazole-ivermectin, albendazole-mebendazole, albendazole-oxantel pamoate and mebendazole")</f>
        <v>Efficacy and reinfection with soil-transmitted helminths 18-weeks post-treatment with albendazole-ivermectin, albendazole-mebendazole, albendazole-oxantel pamoate and mebendazole</v>
      </c>
      <c r="AK128" s="836" t="str">
        <f>IFERROR(__xludf.DUMMYFUNCTION("""COMPUTED_VALUE"""),"Speich B, Moser W, Ali SM, Ame SM, Albonico M, Hattendorf J, Keiser J. Efficacy and reinfection with soil-transmitted helminths 18-weeks post-treatment with albendazole-ivermectin, albendazole-mebendazole, albendazole-oxantel pamoate and mebendazole. Para"&amp;"sit Vectors. 2016 Mar 2;9:123. doi: 10.1186/s13071-016-1406-8. PMID: 26935065; PMCID: PMC4776366.")</f>
        <v>Speich B, Moser W, Ali SM, Ame SM, Albonico M, Hattendorf J, Keiser J. Efficacy and reinfection with soil-transmitted helminths 18-weeks post-treatment with albendazole-ivermectin, albendazole-mebendazole, albendazole-oxantel pamoate and mebendazole. Parasit Vectors. 2016 Mar 2;9:123. doi: 10.1186/s13071-016-1406-8. PMID: 26935065; PMCID: PMC4776366.</v>
      </c>
      <c r="AL128" s="836" t="str">
        <f>IFERROR(__xludf.DUMMYFUNCTION("""COMPUTED_VALUE"""),"Tanzania")</f>
        <v>Tanzania</v>
      </c>
      <c r="AM128" s="836" t="str">
        <f>IFERROR(__xludf.DUMMYFUNCTION("""COMPUTED_VALUE"""),"Albendazole &amp; Mebendazole")</f>
        <v>Albendazole &amp; Mebendazole</v>
      </c>
      <c r="AN128" s="836" t="str">
        <f>IFERROR(__xludf.DUMMYFUNCTION("""COMPUTED_VALUE"""),"Single")</f>
        <v>Single</v>
      </c>
      <c r="AO128" s="836" t="str">
        <f>IFERROR(__xludf.DUMMYFUNCTION("""COMPUTED_VALUE"""),"400 mg; 500 mg")</f>
        <v>400 mg; 500 mg</v>
      </c>
      <c r="AP128" s="836">
        <f>IFERROR(__xludf.DUMMYFUNCTION("""COMPUTED_VALUE"""),101.0)</f>
        <v>101</v>
      </c>
      <c r="AQ128" s="836"/>
      <c r="AR128" s="836"/>
      <c r="AS128" s="836">
        <f>IFERROR(__xludf.DUMMYFUNCTION("""COMPUTED_VALUE"""),2013.0)</f>
        <v>2013</v>
      </c>
      <c r="AT128" s="836" t="str">
        <f>IFERROR(__xludf.DUMMYFUNCTION("""COMPUTED_VALUE"""),"School-aged children diagnosed positive for T. trichiura")</f>
        <v>School-aged children diagnosed positive for T. trichiura</v>
      </c>
      <c r="AU128" s="836" t="str">
        <f>IFERROR(__xludf.DUMMYFUNCTION("""COMPUTED_VALUE"""),"Yes")</f>
        <v>Yes</v>
      </c>
      <c r="AV128" s="836" t="str">
        <f>IFERROR(__xludf.DUMMYFUNCTION("""COMPUTED_VALUE"""),"No")</f>
        <v>No</v>
      </c>
      <c r="AW128" s="836" t="str">
        <f>IFERROR(__xludf.DUMMYFUNCTION("""COMPUTED_VALUE"""),"No")</f>
        <v>No</v>
      </c>
      <c r="AX128" s="841">
        <f>IFERROR(__xludf.DUMMYFUNCTION("""COMPUTED_VALUE"""),0.139)</f>
        <v>0.139</v>
      </c>
      <c r="AY128" s="836"/>
      <c r="AZ128" s="841">
        <f>IFERROR(__xludf.DUMMYFUNCTION("""COMPUTED_VALUE"""),0.089)</f>
        <v>0.089</v>
      </c>
      <c r="BA128" s="836"/>
      <c r="BB128" s="836"/>
      <c r="BC128" s="836"/>
      <c r="BD128" s="836"/>
      <c r="BE128" s="836"/>
      <c r="BF128" s="841">
        <f>IFERROR(__xludf.DUMMYFUNCTION("""COMPUTED_VALUE"""),0.139)</f>
        <v>0.139</v>
      </c>
      <c r="BG128" s="836"/>
      <c r="BH128" s="841">
        <f>IFERROR(__xludf.DUMMYFUNCTION("""COMPUTED_VALUE"""),0.986)</f>
        <v>0.986</v>
      </c>
      <c r="BI128" s="836"/>
      <c r="BJ128" s="836"/>
      <c r="BK128" s="836"/>
      <c r="BL128" s="836"/>
      <c r="BM128" s="836"/>
      <c r="BN128" s="836" t="str">
        <f>IFERROR(__xludf.DUMMYFUNCTION("""COMPUTED_VALUE"""),"18 weeks after treatment albendazole-oxantel pamoate showed a significantly higher efficacy against T. trichiura. Children treated with albendazole-oxantel pamoate or albendazole-ivermectin had fewer moderate infections compared to children treated with a"&amp;"lbendazole.")</f>
        <v>18 weeks after treatment albendazole-oxantel pamoate showed a significantly higher efficacy against T. trichiura. Children treated with albendazole-oxantel pamoate or albendazole-ivermectin had fewer moderate infections compared to children treated with albendazole.</v>
      </c>
      <c r="BO128" s="836" t="str">
        <f>IFERROR(__xludf.DUMMYFUNCTION("""COMPUTED_VALUE"""),"Kato-Katz technique")</f>
        <v>Kato-Katz technique</v>
      </c>
      <c r="BP128" s="836"/>
      <c r="BQ128" s="697"/>
      <c r="BR128" s="844" t="str">
        <f>IFERROR(__xludf.DUMMYFUNCTION("""COMPUTED_VALUE"""),"Bwibo &amp; Pamba")</f>
        <v>Bwibo &amp; Pamba</v>
      </c>
      <c r="BS128" s="838" t="str">
        <f>IFERROR(__xludf.DUMMYFUNCTION("""COMPUTED_VALUE"""),"Kenya")</f>
        <v>Kenya</v>
      </c>
      <c r="BT128" s="838" t="str">
        <f>IFERROR(__xludf.DUMMYFUNCTION("""COMPUTED_VALUE"""),"Placebo")</f>
        <v>Placebo</v>
      </c>
      <c r="BU128" s="838"/>
      <c r="BV128" s="838"/>
      <c r="BW128" s="838"/>
      <c r="BX128" s="838">
        <f>IFERROR(__xludf.DUMMYFUNCTION("""COMPUTED_VALUE"""),5.0)</f>
        <v>5</v>
      </c>
      <c r="BY128" s="838" t="str">
        <f>IFERROR(__xludf.DUMMYFUNCTION("""COMPUTED_VALUE"""),"12+")</f>
        <v>12+</v>
      </c>
      <c r="BZ128" s="838"/>
      <c r="CA128" s="838"/>
      <c r="CB128" s="838"/>
      <c r="CC128" s="838" t="str">
        <f>IFERROR(__xludf.DUMMYFUNCTION("""COMPUTED_VALUE"""),"Yes")</f>
        <v>Yes</v>
      </c>
      <c r="CD128" s="846">
        <f>IFERROR(__xludf.DUMMYFUNCTION("""COMPUTED_VALUE"""),0.4)</f>
        <v>0.4</v>
      </c>
      <c r="CE128" s="838" t="str">
        <f>IFERROR(__xludf.DUMMYFUNCTION("""COMPUTED_VALUE"""),"Yes")</f>
        <v>Yes</v>
      </c>
      <c r="CF128" s="838" t="str">
        <f>IFERROR(__xludf.DUMMYFUNCTION("""COMPUTED_VALUE"""),"(Day 7) 20%")</f>
        <v>(Day 7) 20%</v>
      </c>
      <c r="CG128" s="838"/>
      <c r="CH128" s="838"/>
      <c r="CI128" s="838"/>
      <c r="CJ128" s="838"/>
      <c r="CK128" s="838"/>
      <c r="CL128" s="838"/>
      <c r="CM128" s="847">
        <f>IFERROR(__xludf.DUMMYFUNCTION("""COMPUTED_VALUE"""),0.555)</f>
        <v>0.555</v>
      </c>
      <c r="CN128" s="838"/>
      <c r="CO128" s="838"/>
      <c r="CP128" s="838"/>
      <c r="CQ128" s="838"/>
      <c r="CR128" s="838"/>
      <c r="CS128" s="838"/>
      <c r="CT128" s="838"/>
      <c r="CU128" s="838"/>
      <c r="CV128" s="697" t="str">
        <f>IFERROR(__xludf.DUMMYFUNCTION("""COMPUTED_VALUE"""),"Bwibo NO, Pamba HO. Double-blind comparativestudy of albendazole and placebo in the treatmentof intestinal helminths. In: Firth M, ed. Albendazolein Helminthiasis: Royal Society of MedicineInternational Congress and Symposium Series No. 61.London, England"&amp;": Royal Society of Medicine; 1984:47-53.")</f>
        <v>Bwibo NO, Pamba HO. Double-blind comparativestudy of albendazole and placebo in the treatmentof intestinal helminths. In: Firth M, ed. Albendazolein Helminthiasis: Royal Society of MedicineInternational Congress and Symposium Series No. 61.London, England: Royal Society of Medicine; 1984:47-53.</v>
      </c>
    </row>
    <row r="129">
      <c r="A129" s="842" t="str">
        <f>IFERROR(__xludf.DUMMYFUNCTION("""COMPUTED_VALUE"""),"Vercruysse et al.")</f>
        <v>Vercruysse et al.</v>
      </c>
      <c r="B129" s="834" t="str">
        <f>IFERROR(__xludf.DUMMYFUNCTION("""COMPUTED_VALUE"""),"Brazil")</f>
        <v>Brazil</v>
      </c>
      <c r="C129" s="834" t="str">
        <f>IFERROR(__xludf.DUMMYFUNCTION("""COMPUTED_VALUE"""),"Albendazole")</f>
        <v>Albendazole</v>
      </c>
      <c r="D129" s="834" t="str">
        <f>IFERROR(__xludf.DUMMYFUNCTION("""COMPUTED_VALUE"""),"Single")</f>
        <v>Single</v>
      </c>
      <c r="E129" s="834" t="str">
        <f>IFERROR(__xludf.DUMMYFUNCTION("""COMPUTED_VALUE"""),"400 mg")</f>
        <v>400 mg</v>
      </c>
      <c r="F129" s="834">
        <f>IFERROR(__xludf.DUMMYFUNCTION("""COMPUTED_VALUE"""),52.0)</f>
        <v>52</v>
      </c>
      <c r="G129" s="849">
        <f>IFERROR(__xludf.DUMMYFUNCTION("""COMPUTED_VALUE"""),42478.0)</f>
        <v>42478</v>
      </c>
      <c r="H129" s="834"/>
      <c r="I129" s="834">
        <f>IFERROR(__xludf.DUMMYFUNCTION("""COMPUTED_VALUE"""),2009.0)</f>
        <v>2009</v>
      </c>
      <c r="J129" s="834" t="str">
        <f>IFERROR(__xludf.DUMMYFUNCTION("""COMPUTED_VALUE"""),"All of the trials Subjects who were unable to provide a stool sample at follow-up, or who were experiencing a severe concurrent medical condition or had diarrhea at time of the first sampling, were excluded from the study")</f>
        <v>All of the trials Subjects who were unable to provide a stool sample at follow-up, or who were experiencing a severe concurrent medical condition or had diarrhea at time of the first sampling, were excluded from the study</v>
      </c>
      <c r="K129" s="839" t="str">
        <f>IFERROR(__xludf.DUMMYFUNCTION("""COMPUTED_VALUE"""),"randomized clinical trial")</f>
        <v>randomized clinical trial</v>
      </c>
      <c r="L129" s="839" t="str">
        <f>IFERROR(__xludf.DUMMYFUNCTION("""COMPUTED_VALUE"""),"Yes")</f>
        <v>Yes</v>
      </c>
      <c r="M129" s="839" t="str">
        <f>IFERROR(__xludf.DUMMYFUNCTION("""COMPUTED_VALUE"""),"No")</f>
        <v>No</v>
      </c>
      <c r="N129" s="840">
        <f>IFERROR(__xludf.DUMMYFUNCTION("""COMPUTED_VALUE"""),0.885)</f>
        <v>0.885</v>
      </c>
      <c r="O129" s="834"/>
      <c r="P129" s="834"/>
      <c r="Q129" s="834"/>
      <c r="R129" s="834"/>
      <c r="S129" s="834"/>
      <c r="T129" s="834"/>
      <c r="U129" s="834"/>
      <c r="V129" s="834"/>
      <c r="W129" s="840">
        <f>IFERROR(__xludf.DUMMYFUNCTION("""COMPUTED_VALUE"""),0.975)</f>
        <v>0.975</v>
      </c>
      <c r="X129" s="834"/>
      <c r="Y129" s="834" t="str">
        <f>IFERROR(__xludf.DUMMYFUNCTION("""COMPUTED_VALUE"""),"Between 14 and 30 days: 99.6%, 97.8%")</f>
        <v>Between 14 and 30 days: 99.6%, 97.8%</v>
      </c>
      <c r="Z129" s="834"/>
      <c r="AA129" s="834"/>
      <c r="AB129" s="834"/>
      <c r="AC129" s="834"/>
      <c r="AD129" s="834"/>
      <c r="AE129" s="834" t="str">
        <f>IFERROR(__xludf.DUMMYFUNCTION("""COMPUTED_VALUE"""),"The results confirm the therapeutic efficacy of this treatment against and hookworms...our findings emphasize the need to revise the WHO recommended efficacy threshold for single dose ALB treatments.")</f>
        <v>The results confirm the therapeutic efficacy of this treatment against and hookworms...our findings emphasize the need to revise the WHO recommended efficacy threshold for single dose ALB treatments.</v>
      </c>
      <c r="AF129" s="834" t="str">
        <f>IFERROR(__xludf.DUMMYFUNCTION("""COMPUTED_VALUE"""),"McMaster Method")</f>
        <v>McMaster Method</v>
      </c>
      <c r="AG129" s="834" t="str">
        <f>IFERROR(__xludf.DUMMYFUNCTION("""COMPUTED_VALUE"""),"Vercruysse, Jozef, Jerzy M. Behnke, Marco Albonico, Shaali Makame Ame, Cecile Angelbault, Jeffrey M. Bethony, Dirk Engels, Bertrand Guillard, Nuyen Thi Viet Hoa, Gagandeep Kang, Deepthi Kattula, Andrew C. Kotze, James S. McCarthy, Zeleke Mekonnen, Antonio"&amp;" Montresor, Maria Victoria Periago, Laurentine Sumo, Louis-Albert Tchuem Tchuente, Dang Thi Cam Thach, Ahmed Zeynudin, and Bruno Levecke. ""Assessment of the Anthelmintic Efficacy of Albendazolein School Children in Seven Countries Where Soil-transmitted "&amp;"Helminths Are Endemic."" PLOS Neglected Tropical Diseases. N.p., n.d. Web. March 2011, Volume 5 Issue 3, Pages 1-10")</f>
        <v>Vercruysse, Jozef, Jerzy M. Behnke, Marco Albonico, Shaali Makame Ame, Cecile Angelbault, Jeffrey M. Bethony, Dirk Engels, Bertrand Guillard, Nuyen Thi Viet Hoa, Gagandeep Kang, Deepthi Kattula, Andrew C. Kotze, James S. McCarthy, Zeleke Mekonnen, Antonio Montresor, Maria Victoria Periago, Laurentine Sumo, Louis-Albert Tchuem Tchuente, Dang Thi Cam Thach, Ahmed Zeynudin, and Bruno Levecke. "Assessment of the Anthelmintic Efficacy of Albendazolein School Children in Seven Countries Where Soil-transmitted Helminths Are Endemic." PLOS Neglected Tropical Diseases. N.p., n.d. Web. March 2011, Volume 5 Issue 3, Pages 1-10</v>
      </c>
      <c r="AH129" s="834" t="str">
        <f>IFERROR(__xludf.DUMMYFUNCTION("""COMPUTED_VALUE"""),"x")</f>
        <v>x</v>
      </c>
      <c r="AJ129" s="843" t="str">
        <f>IFERROR(__xludf.DUMMYFUNCTION("""COMPUTED_VALUE"""),"Efficacy and reinfection with soil-transmitted helminths 18-weeks post-treatment with albendazole-ivermectin, albendazole-mebendazole, albendazole-oxantel pamoate and mebendazole")</f>
        <v>Efficacy and reinfection with soil-transmitted helminths 18-weeks post-treatment with albendazole-ivermectin, albendazole-mebendazole, albendazole-oxantel pamoate and mebendazole</v>
      </c>
      <c r="AK129" s="836" t="str">
        <f>IFERROR(__xludf.DUMMYFUNCTION("""COMPUTED_VALUE"""),"Speich B, Moser W, Ali SM, Ame SM, Albonico M, Hattendorf J, Keiser J. Efficacy and reinfection with soil-transmitted helminths 18-weeks post-treatment with albendazole-ivermectin, albendazole-mebendazole, albendazole-oxantel pamoate and mebendazole. Para"&amp;"sit Vectors. 2016 Mar 2;9:123. doi: 10.1186/s13071-016-1406-8. PMID: 26935065; PMCID: PMC4776366.")</f>
        <v>Speich B, Moser W, Ali SM, Ame SM, Albonico M, Hattendorf J, Keiser J. Efficacy and reinfection with soil-transmitted helminths 18-weeks post-treatment with albendazole-ivermectin, albendazole-mebendazole, albendazole-oxantel pamoate and mebendazole. Parasit Vectors. 2016 Mar 2;9:123. doi: 10.1186/s13071-016-1406-8. PMID: 26935065; PMCID: PMC4776366.</v>
      </c>
      <c r="AL129" s="836" t="str">
        <f>IFERROR(__xludf.DUMMYFUNCTION("""COMPUTED_VALUE"""),"Tanzania")</f>
        <v>Tanzania</v>
      </c>
      <c r="AM129" s="836" t="str">
        <f>IFERROR(__xludf.DUMMYFUNCTION("""COMPUTED_VALUE"""),"Albendazole &amp; Oxantel pamoate")</f>
        <v>Albendazole &amp; Oxantel pamoate</v>
      </c>
      <c r="AN129" s="836" t="str">
        <f>IFERROR(__xludf.DUMMYFUNCTION("""COMPUTED_VALUE"""),"Single")</f>
        <v>Single</v>
      </c>
      <c r="AO129" s="836" t="str">
        <f>IFERROR(__xludf.DUMMYFUNCTION("""COMPUTED_VALUE"""),"400 mg; 20 mg/kg ")</f>
        <v>400 mg; 20 mg/kg </v>
      </c>
      <c r="AP129" s="836">
        <f>IFERROR(__xludf.DUMMYFUNCTION("""COMPUTED_VALUE"""),100.0)</f>
        <v>100</v>
      </c>
      <c r="AQ129" s="836"/>
      <c r="AR129" s="836"/>
      <c r="AS129" s="836">
        <f>IFERROR(__xludf.DUMMYFUNCTION("""COMPUTED_VALUE"""),2013.0)</f>
        <v>2013</v>
      </c>
      <c r="AT129" s="836" t="str">
        <f>IFERROR(__xludf.DUMMYFUNCTION("""COMPUTED_VALUE"""),"School-aged children diagnosed positive for T. trichiura")</f>
        <v>School-aged children diagnosed positive for T. trichiura</v>
      </c>
      <c r="AU129" s="836" t="str">
        <f>IFERROR(__xludf.DUMMYFUNCTION("""COMPUTED_VALUE"""),"Yes")</f>
        <v>Yes</v>
      </c>
      <c r="AV129" s="836" t="str">
        <f>IFERROR(__xludf.DUMMYFUNCTION("""COMPUTED_VALUE"""),"No")</f>
        <v>No</v>
      </c>
      <c r="AW129" s="836" t="str">
        <f>IFERROR(__xludf.DUMMYFUNCTION("""COMPUTED_VALUE"""),"No")</f>
        <v>No</v>
      </c>
      <c r="AX129" s="850">
        <f>IFERROR(__xludf.DUMMYFUNCTION("""COMPUTED_VALUE"""),0.54)</f>
        <v>0.54</v>
      </c>
      <c r="AY129" s="836"/>
      <c r="AZ129" s="850">
        <f>IFERROR(__xludf.DUMMYFUNCTION("""COMPUTED_VALUE"""),0.68)</f>
        <v>0.68</v>
      </c>
      <c r="BA129" s="836"/>
      <c r="BB129" s="836"/>
      <c r="BC129" s="836"/>
      <c r="BD129" s="836"/>
      <c r="BE129" s="836"/>
      <c r="BF129" s="850">
        <f>IFERROR(__xludf.DUMMYFUNCTION("""COMPUTED_VALUE"""),0.54)</f>
        <v>0.54</v>
      </c>
      <c r="BG129" s="836"/>
      <c r="BH129" s="841">
        <f>IFERROR(__xludf.DUMMYFUNCTION("""COMPUTED_VALUE"""),0.661)</f>
        <v>0.661</v>
      </c>
      <c r="BI129" s="836"/>
      <c r="BJ129" s="836"/>
      <c r="BK129" s="836"/>
      <c r="BL129" s="836"/>
      <c r="BM129" s="836"/>
      <c r="BN129" s="836" t="str">
        <f>IFERROR(__xludf.DUMMYFUNCTION("""COMPUTED_VALUE"""),"18 weeks after treatment albendazole-oxantel pamoate showed a significantly higher efficacy against T. trichiura. Children treated with albendazole-oxantel pamoate or albendazole-ivermectin had fewer moderate infections compared to children treated with a"&amp;"lbendazole.")</f>
        <v>18 weeks after treatment albendazole-oxantel pamoate showed a significantly higher efficacy against T. trichiura. Children treated with albendazole-oxantel pamoate or albendazole-ivermectin had fewer moderate infections compared to children treated with albendazole.</v>
      </c>
      <c r="BO129" s="836" t="str">
        <f>IFERROR(__xludf.DUMMYFUNCTION("""COMPUTED_VALUE"""),"Kato-Katz technique")</f>
        <v>Kato-Katz technique</v>
      </c>
      <c r="BP129" s="836"/>
      <c r="BQ129" s="697"/>
      <c r="BR129" s="844" t="str">
        <f>IFERROR(__xludf.DUMMYFUNCTION("""COMPUTED_VALUE"""),"Bwibo &amp; Pamba")</f>
        <v>Bwibo &amp; Pamba</v>
      </c>
      <c r="BS129" s="838" t="str">
        <f>IFERROR(__xludf.DUMMYFUNCTION("""COMPUTED_VALUE"""),"Kenya")</f>
        <v>Kenya</v>
      </c>
      <c r="BT129" s="838" t="str">
        <f>IFERROR(__xludf.DUMMYFUNCTION("""COMPUTED_VALUE"""),"Placebo")</f>
        <v>Placebo</v>
      </c>
      <c r="BU129" s="838"/>
      <c r="BV129" s="838"/>
      <c r="BW129" s="838"/>
      <c r="BX129" s="838">
        <f>IFERROR(__xludf.DUMMYFUNCTION("""COMPUTED_VALUE"""),4.0)</f>
        <v>4</v>
      </c>
      <c r="BY129" s="838" t="str">
        <f>IFERROR(__xludf.DUMMYFUNCTION("""COMPUTED_VALUE"""),"12+")</f>
        <v>12+</v>
      </c>
      <c r="BZ129" s="838"/>
      <c r="CA129" s="838"/>
      <c r="CB129" s="838"/>
      <c r="CC129" s="838" t="str">
        <f>IFERROR(__xludf.DUMMYFUNCTION("""COMPUTED_VALUE"""),"Yes")</f>
        <v>Yes</v>
      </c>
      <c r="CD129" s="846">
        <f>IFERROR(__xludf.DUMMYFUNCTION("""COMPUTED_VALUE"""),0.0)</f>
        <v>0</v>
      </c>
      <c r="CE129" s="838" t="str">
        <f>IFERROR(__xludf.DUMMYFUNCTION("""COMPUTED_VALUE"""),"Yes")</f>
        <v>Yes</v>
      </c>
      <c r="CF129" s="838" t="str">
        <f>IFERROR(__xludf.DUMMYFUNCTION("""COMPUTED_VALUE"""),"(Day 7) 0%")</f>
        <v>(Day 7) 0%</v>
      </c>
      <c r="CG129" s="838"/>
      <c r="CH129" s="838"/>
      <c r="CI129" s="838"/>
      <c r="CJ129" s="838"/>
      <c r="CK129" s="838"/>
      <c r="CL129" s="838"/>
      <c r="CM129" s="846">
        <f>IFERROR(__xludf.DUMMYFUNCTION("""COMPUTED_VALUE"""),0.19)</f>
        <v>0.19</v>
      </c>
      <c r="CN129" s="838"/>
      <c r="CO129" s="838"/>
      <c r="CP129" s="838"/>
      <c r="CQ129" s="838"/>
      <c r="CR129" s="838"/>
      <c r="CS129" s="838"/>
      <c r="CT129" s="838"/>
      <c r="CU129" s="838"/>
      <c r="CV129" s="697" t="str">
        <f>IFERROR(__xludf.DUMMYFUNCTION("""COMPUTED_VALUE"""),"Bwibo NO, Pamba HO. Double-blind comparativestudy of albendazole and placebo in the treatmentof intestinal helminths. In: Firth M, ed. Albendazolein Helminthiasis: Royal Society of MedicineInternational Congress and Symposium Series No. 61.London, England"&amp;": Royal Society of Medicine; 1984:47-53.")</f>
        <v>Bwibo NO, Pamba HO. Double-blind comparativestudy of albendazole and placebo in the treatmentof intestinal helminths. In: Firth M, ed. Albendazolein Helminthiasis: Royal Society of MedicineInternational Congress and Symposium Series No. 61.London, England: Royal Society of Medicine; 1984:47-53.</v>
      </c>
    </row>
    <row r="130">
      <c r="A130" s="842" t="str">
        <f>IFERROR(__xludf.DUMMYFUNCTION("""COMPUTED_VALUE"""),"Vercruysse et al.")</f>
        <v>Vercruysse et al.</v>
      </c>
      <c r="B130" s="834" t="str">
        <f>IFERROR(__xludf.DUMMYFUNCTION("""COMPUTED_VALUE"""),"Cambodia")</f>
        <v>Cambodia</v>
      </c>
      <c r="C130" s="834" t="str">
        <f>IFERROR(__xludf.DUMMYFUNCTION("""COMPUTED_VALUE"""),"Albendazole")</f>
        <v>Albendazole</v>
      </c>
      <c r="D130" s="834" t="str">
        <f>IFERROR(__xludf.DUMMYFUNCTION("""COMPUTED_VALUE"""),"Single")</f>
        <v>Single</v>
      </c>
      <c r="E130" s="834" t="str">
        <f>IFERROR(__xludf.DUMMYFUNCTION("""COMPUTED_VALUE"""),"400 mg")</f>
        <v>400 mg</v>
      </c>
      <c r="F130" s="834">
        <f>IFERROR(__xludf.DUMMYFUNCTION("""COMPUTED_VALUE"""),127.0)</f>
        <v>127</v>
      </c>
      <c r="G130" s="849">
        <f>IFERROR(__xludf.DUMMYFUNCTION("""COMPUTED_VALUE"""),42478.0)</f>
        <v>42478</v>
      </c>
      <c r="H130" s="834"/>
      <c r="I130" s="834">
        <f>IFERROR(__xludf.DUMMYFUNCTION("""COMPUTED_VALUE"""),2009.0)</f>
        <v>2009</v>
      </c>
      <c r="J130" s="834"/>
      <c r="K130" s="839" t="str">
        <f>IFERROR(__xludf.DUMMYFUNCTION("""COMPUTED_VALUE"""),"randomized clinical trial")</f>
        <v>randomized clinical trial</v>
      </c>
      <c r="L130" s="839" t="str">
        <f>IFERROR(__xludf.DUMMYFUNCTION("""COMPUTED_VALUE"""),"Yes")</f>
        <v>Yes</v>
      </c>
      <c r="M130" s="839" t="str">
        <f>IFERROR(__xludf.DUMMYFUNCTION("""COMPUTED_VALUE"""),"No")</f>
        <v>No</v>
      </c>
      <c r="N130" s="840">
        <f>IFERROR(__xludf.DUMMYFUNCTION("""COMPUTED_VALUE"""),0.874)</f>
        <v>0.874</v>
      </c>
      <c r="O130" s="834"/>
      <c r="P130" s="834"/>
      <c r="Q130" s="834"/>
      <c r="R130" s="834"/>
      <c r="S130" s="834"/>
      <c r="T130" s="834"/>
      <c r="U130" s="834"/>
      <c r="V130" s="834"/>
      <c r="W130" s="840">
        <f>IFERROR(__xludf.DUMMYFUNCTION("""COMPUTED_VALUE"""),0.976)</f>
        <v>0.976</v>
      </c>
      <c r="X130" s="834"/>
      <c r="Y130" s="834" t="str">
        <f>IFERROR(__xludf.DUMMYFUNCTION("""COMPUTED_VALUE"""),"Between 14 and 30 days: 99.5%, 96.6% ")</f>
        <v>Between 14 and 30 days: 99.5%, 96.6% </v>
      </c>
      <c r="Z130" s="834"/>
      <c r="AA130" s="834"/>
      <c r="AB130" s="834"/>
      <c r="AC130" s="834"/>
      <c r="AD130" s="834"/>
      <c r="AE130" s="834" t="str">
        <f>IFERROR(__xludf.DUMMYFUNCTION("""COMPUTED_VALUE"""),"The results confirm the therapeutic efficacy of this treatment against and hookworms...our findings emphasize the need to revise the WHO recommended efficacy threshold for single dose ALB treatments.")</f>
        <v>The results confirm the therapeutic efficacy of this treatment against and hookworms...our findings emphasize the need to revise the WHO recommended efficacy threshold for single dose ALB treatments.</v>
      </c>
      <c r="AF130" s="834" t="str">
        <f>IFERROR(__xludf.DUMMYFUNCTION("""COMPUTED_VALUE"""),"McMaster Method")</f>
        <v>McMaster Method</v>
      </c>
      <c r="AG130" s="834" t="str">
        <f>IFERROR(__xludf.DUMMYFUNCTION("""COMPUTED_VALUE"""),"Vercruysse, Jozef, Jerzy M. Behnke, Marco Albonico, Shaali Makame Ame, Cecile Angelbault, Jeffrey M. Bethony, Dirk Engels, Bertrand Guillard, Nuyen Thi Viet Hoa, Gagandeep Kang, Deepthi Kattula, Andrew C. Kotze, James S. McCarthy, Zeleke Mekonnen, Antonio"&amp;" Montresor, Maria Victoria Periago, Laurentine Sumo, Louis-Albert Tchuem Tchuente, Dang Thi Cam Thach, Ahmed Zeynudin, and Bruno Levecke. ""Assessment of the Anthelmintic Efficacy of Albendazolein School Children in Seven Countries Where Soil-transmitted "&amp;"Helminths Are Endemic."" PLOS Neglected Tropical Diseases. N.p., n.d. Web. March 2011, Volume 5 Issue 3, Pages 1-11")</f>
        <v>Vercruysse, Jozef, Jerzy M. Behnke, Marco Albonico, Shaali Makame Ame, Cecile Angelbault, Jeffrey M. Bethony, Dirk Engels, Bertrand Guillard, Nuyen Thi Viet Hoa, Gagandeep Kang, Deepthi Kattula, Andrew C. Kotze, James S. McCarthy, Zeleke Mekonnen, Antonio Montresor, Maria Victoria Periago, Laurentine Sumo, Louis-Albert Tchuem Tchuente, Dang Thi Cam Thach, Ahmed Zeynudin, and Bruno Levecke. "Assessment of the Anthelmintic Efficacy of Albendazolein School Children in Seven Countries Where Soil-transmitted Helminths Are Endemic." PLOS Neglected Tropical Diseases. N.p., n.d. Web. March 2011, Volume 5 Issue 3, Pages 1-11</v>
      </c>
      <c r="AH130" s="834" t="str">
        <f>IFERROR(__xludf.DUMMYFUNCTION("""COMPUTED_VALUE"""),"x")</f>
        <v>x</v>
      </c>
      <c r="AJ130" s="843" t="str">
        <f>IFERROR(__xludf.DUMMYFUNCTION("""COMPUTED_VALUE"""),"Efficacy and reinfection with soil-transmitted helminths 18-weeks post-treatment with albendazole-ivermectin, albendazole-mebendazole, albendazole-oxantel pamoate and mebendazole")</f>
        <v>Efficacy and reinfection with soil-transmitted helminths 18-weeks post-treatment with albendazole-ivermectin, albendazole-mebendazole, albendazole-oxantel pamoate and mebendazole</v>
      </c>
      <c r="AK130" s="836" t="str">
        <f>IFERROR(__xludf.DUMMYFUNCTION("""COMPUTED_VALUE"""),"Speich B, Moser W, Ali SM, Ame SM, Albonico M, Hattendorf J, Keiser J. Efficacy and reinfection with soil-transmitted helminths 18-weeks post-treatment with albendazole-ivermectin, albendazole-mebendazole, albendazole-oxantel pamoate and mebendazole. Para"&amp;"sit Vectors. 2016 Mar 2;9:123. doi: 10.1186/s13071-016-1406-8. PMID: 26935065; PMCID: PMC4776366.")</f>
        <v>Speich B, Moser W, Ali SM, Ame SM, Albonico M, Hattendorf J, Keiser J. Efficacy and reinfection with soil-transmitted helminths 18-weeks post-treatment with albendazole-ivermectin, albendazole-mebendazole, albendazole-oxantel pamoate and mebendazole. Parasit Vectors. 2016 Mar 2;9:123. doi: 10.1186/s13071-016-1406-8. PMID: 26935065; PMCID: PMC4776366.</v>
      </c>
      <c r="AL130" s="836" t="str">
        <f>IFERROR(__xludf.DUMMYFUNCTION("""COMPUTED_VALUE"""),"Tanzania")</f>
        <v>Tanzania</v>
      </c>
      <c r="AM130" s="836" t="str">
        <f>IFERROR(__xludf.DUMMYFUNCTION("""COMPUTED_VALUE"""),"Mebendazole")</f>
        <v>Mebendazole</v>
      </c>
      <c r="AN130" s="836" t="str">
        <f>IFERROR(__xludf.DUMMYFUNCTION("""COMPUTED_VALUE"""),"Single")</f>
        <v>Single</v>
      </c>
      <c r="AO130" s="836" t="str">
        <f>IFERROR(__xludf.DUMMYFUNCTION("""COMPUTED_VALUE"""),"500 mg")</f>
        <v>500 mg</v>
      </c>
      <c r="AP130" s="836">
        <f>IFERROR(__xludf.DUMMYFUNCTION("""COMPUTED_VALUE"""),104.0)</f>
        <v>104</v>
      </c>
      <c r="AQ130" s="836"/>
      <c r="AR130" s="836"/>
      <c r="AS130" s="836">
        <f>IFERROR(__xludf.DUMMYFUNCTION("""COMPUTED_VALUE"""),2013.0)</f>
        <v>2013</v>
      </c>
      <c r="AT130" s="836" t="str">
        <f>IFERROR(__xludf.DUMMYFUNCTION("""COMPUTED_VALUE"""),"School-aged children diagnosed positive for T. trichiura")</f>
        <v>School-aged children diagnosed positive for T. trichiura</v>
      </c>
      <c r="AU130" s="836" t="str">
        <f>IFERROR(__xludf.DUMMYFUNCTION("""COMPUTED_VALUE"""),"Yes")</f>
        <v>Yes</v>
      </c>
      <c r="AV130" s="836" t="str">
        <f>IFERROR(__xludf.DUMMYFUNCTION("""COMPUTED_VALUE"""),"No")</f>
        <v>No</v>
      </c>
      <c r="AW130" s="836" t="str">
        <f>IFERROR(__xludf.DUMMYFUNCTION("""COMPUTED_VALUE"""),"No")</f>
        <v>No</v>
      </c>
      <c r="AX130" s="841">
        <f>IFERROR(__xludf.DUMMYFUNCTION("""COMPUTED_VALUE"""),0.106)</f>
        <v>0.106</v>
      </c>
      <c r="AY130" s="836"/>
      <c r="AZ130" s="841">
        <f>IFERROR(__xludf.DUMMYFUNCTION("""COMPUTED_VALUE"""),0.077)</f>
        <v>0.077</v>
      </c>
      <c r="BA130" s="836"/>
      <c r="BB130" s="836"/>
      <c r="BC130" s="836"/>
      <c r="BD130" s="836"/>
      <c r="BE130" s="836"/>
      <c r="BF130" s="841">
        <f>IFERROR(__xludf.DUMMYFUNCTION("""COMPUTED_VALUE"""),0.106)</f>
        <v>0.106</v>
      </c>
      <c r="BG130" s="836"/>
      <c r="BH130" s="841">
        <f>IFERROR(__xludf.DUMMYFUNCTION("""COMPUTED_VALUE"""),0.985)</f>
        <v>0.985</v>
      </c>
      <c r="BI130" s="836"/>
      <c r="BJ130" s="836"/>
      <c r="BK130" s="836"/>
      <c r="BL130" s="836"/>
      <c r="BM130" s="836"/>
      <c r="BN130" s="836" t="str">
        <f>IFERROR(__xludf.DUMMYFUNCTION("""COMPUTED_VALUE"""),"18 weeks after treatment albendazole-oxantel pamoate showed a significantly higher efficacy against T. trichiura. Children treated with albendazole-oxantel pamoate or albendazole-ivermectin had fewer moderate infections compared to children treated with a"&amp;"lbendazole.")</f>
        <v>18 weeks after treatment albendazole-oxantel pamoate showed a significantly higher efficacy against T. trichiura. Children treated with albendazole-oxantel pamoate or albendazole-ivermectin had fewer moderate infections compared to children treated with albendazole.</v>
      </c>
      <c r="BO130" s="836" t="str">
        <f>IFERROR(__xludf.DUMMYFUNCTION("""COMPUTED_VALUE"""),"Kato-Katz technique")</f>
        <v>Kato-Katz technique</v>
      </c>
      <c r="BP130" s="836"/>
      <c r="BQ130" s="697"/>
      <c r="BR130" s="844" t="str">
        <f>IFERROR(__xludf.DUMMYFUNCTION("""COMPUTED_VALUE"""),"Mekonnen et al.")</f>
        <v>Mekonnen et al.</v>
      </c>
      <c r="BS130" s="838" t="str">
        <f>IFERROR(__xludf.DUMMYFUNCTION("""COMPUTED_VALUE"""),"Ethiopia")</f>
        <v>Ethiopia</v>
      </c>
      <c r="BT130" s="838" t="str">
        <f>IFERROR(__xludf.DUMMYFUNCTION("""COMPUTED_VALUE"""),"Mebendazole")</f>
        <v>Mebendazole</v>
      </c>
      <c r="BU130" s="838"/>
      <c r="BV130" s="838" t="str">
        <f>IFERROR(__xludf.DUMMYFUNCTION("""COMPUTED_VALUE"""),"Single")</f>
        <v>Single</v>
      </c>
      <c r="BW130" s="838" t="str">
        <f>IFERROR(__xludf.DUMMYFUNCTION("""COMPUTED_VALUE"""),"500 mg")</f>
        <v>500 mg</v>
      </c>
      <c r="BX130" s="838">
        <f>IFERROR(__xludf.DUMMYFUNCTION("""COMPUTED_VALUE"""),201.0)</f>
        <v>201</v>
      </c>
      <c r="BY130" s="845">
        <f>IFERROR(__xludf.DUMMYFUNCTION("""COMPUTED_VALUE"""),42508.0)</f>
        <v>42508</v>
      </c>
      <c r="BZ130" s="838">
        <f>IFERROR(__xludf.DUMMYFUNCTION("""COMPUTED_VALUE"""),2011.0)</f>
        <v>2011</v>
      </c>
      <c r="CA130" s="838"/>
      <c r="CB130" s="838"/>
      <c r="CC130" s="838" t="str">
        <f>IFERROR(__xludf.DUMMYFUNCTION("""COMPUTED_VALUE"""),"No")</f>
        <v>No</v>
      </c>
      <c r="CD130" s="847">
        <f>IFERROR(__xludf.DUMMYFUNCTION("""COMPUTED_VALUE"""),0.972)</f>
        <v>0.972</v>
      </c>
      <c r="CE130" s="838" t="str">
        <f>IFERROR(__xludf.DUMMYFUNCTION("""COMPUTED_VALUE"""),"No")</f>
        <v>No</v>
      </c>
      <c r="CF130" s="838"/>
      <c r="CG130" s="838"/>
      <c r="CH130" s="838"/>
      <c r="CI130" s="838"/>
      <c r="CJ130" s="838"/>
      <c r="CK130" s="838"/>
      <c r="CL130" s="838"/>
      <c r="CM130" s="838"/>
      <c r="CN130" s="838"/>
      <c r="CO130" s="838"/>
      <c r="CP130" s="838"/>
      <c r="CQ130" s="838"/>
      <c r="CR130" s="838"/>
      <c r="CS130" s="838"/>
      <c r="CT130" s="838" t="str">
        <f>IFERROR(__xludf.DUMMYFUNCTION("""COMPUTED_VALUE"""),"McMaster Method")</f>
        <v>McMaster Method</v>
      </c>
      <c r="CU130" s="838"/>
      <c r="CV130" s="697" t="str">
        <f>IFERROR(__xludf.DUMMYFUNCTION("""COMPUTED_VALUE"""),"Zeleke Mekonnen,1,2 Selima Meka,1 Mio Ayana,1 Johannes Bogers,3 Jozef Vercruysse,2 and Bruno Levecke2. Comparison of Individual and Pooled Stool Samples for the Assessment of Soil-Transmitted Helminth Infection Intensity and Drug Efficacy")</f>
        <v>Zeleke Mekonnen,1,2 Selima Meka,1 Mio Ayana,1 Johannes Bogers,3 Jozef Vercruysse,2 and Bruno Levecke2. Comparison of Individual and Pooled Stool Samples for the Assessment of Soil-Transmitted Helminth Infection Intensity and Drug Efficacy</v>
      </c>
    </row>
    <row r="131">
      <c r="A131" s="842" t="str">
        <f>IFERROR(__xludf.DUMMYFUNCTION("""COMPUTED_VALUE"""),"Vercruysse et al.")</f>
        <v>Vercruysse et al.</v>
      </c>
      <c r="B131" s="834" t="str">
        <f>IFERROR(__xludf.DUMMYFUNCTION("""COMPUTED_VALUE"""),"Cameroon")</f>
        <v>Cameroon</v>
      </c>
      <c r="C131" s="834" t="str">
        <f>IFERROR(__xludf.DUMMYFUNCTION("""COMPUTED_VALUE"""),"Albendazole")</f>
        <v>Albendazole</v>
      </c>
      <c r="D131" s="834" t="str">
        <f>IFERROR(__xludf.DUMMYFUNCTION("""COMPUTED_VALUE"""),"Single")</f>
        <v>Single</v>
      </c>
      <c r="E131" s="834" t="str">
        <f>IFERROR(__xludf.DUMMYFUNCTION("""COMPUTED_VALUE"""),"400 mg")</f>
        <v>400 mg</v>
      </c>
      <c r="F131" s="834">
        <f>IFERROR(__xludf.DUMMYFUNCTION("""COMPUTED_VALUE"""),140.0)</f>
        <v>140</v>
      </c>
      <c r="G131" s="849">
        <f>IFERROR(__xludf.DUMMYFUNCTION("""COMPUTED_VALUE"""),42478.0)</f>
        <v>42478</v>
      </c>
      <c r="H131" s="834"/>
      <c r="I131" s="834">
        <f>IFERROR(__xludf.DUMMYFUNCTION("""COMPUTED_VALUE"""),2009.0)</f>
        <v>2009</v>
      </c>
      <c r="J131" s="834"/>
      <c r="K131" s="839" t="str">
        <f>IFERROR(__xludf.DUMMYFUNCTION("""COMPUTED_VALUE"""),"randomized clinical trial")</f>
        <v>randomized clinical trial</v>
      </c>
      <c r="L131" s="839" t="str">
        <f>IFERROR(__xludf.DUMMYFUNCTION("""COMPUTED_VALUE"""),"Yes")</f>
        <v>Yes</v>
      </c>
      <c r="M131" s="839" t="str">
        <f>IFERROR(__xludf.DUMMYFUNCTION("""COMPUTED_VALUE"""),"No")</f>
        <v>No</v>
      </c>
      <c r="N131" s="840">
        <f>IFERROR(__xludf.DUMMYFUNCTION("""COMPUTED_VALUE"""),0.871)</f>
        <v>0.871</v>
      </c>
      <c r="O131" s="834"/>
      <c r="P131" s="834"/>
      <c r="Q131" s="834"/>
      <c r="R131" s="834"/>
      <c r="S131" s="834"/>
      <c r="T131" s="834"/>
      <c r="U131" s="834"/>
      <c r="V131" s="834"/>
      <c r="W131" s="840">
        <f>IFERROR(__xludf.DUMMYFUNCTION("""COMPUTED_VALUE"""),0.93)</f>
        <v>0.93</v>
      </c>
      <c r="X131" s="834"/>
      <c r="Y131" s="834" t="str">
        <f>IFERROR(__xludf.DUMMYFUNCTION("""COMPUTED_VALUE"""),"Between 14 and 30 days: 99.2%, 91.9%")</f>
        <v>Between 14 and 30 days: 99.2%, 91.9%</v>
      </c>
      <c r="Z131" s="834"/>
      <c r="AA131" s="834"/>
      <c r="AB131" s="834"/>
      <c r="AC131" s="834"/>
      <c r="AD131" s="834"/>
      <c r="AE131" s="834" t="str">
        <f>IFERROR(__xludf.DUMMYFUNCTION("""COMPUTED_VALUE"""),"The results confirm the therapeutic efficacy of this treatment against and hookworms...our findings emphasize the need to revise the WHO recommended efficacy threshold for single dose ALB treatments.")</f>
        <v>The results confirm the therapeutic efficacy of this treatment against and hookworms...our findings emphasize the need to revise the WHO recommended efficacy threshold for single dose ALB treatments.</v>
      </c>
      <c r="AF131" s="834" t="str">
        <f>IFERROR(__xludf.DUMMYFUNCTION("""COMPUTED_VALUE"""),"McMaster Method")</f>
        <v>McMaster Method</v>
      </c>
      <c r="AG131" s="834" t="str">
        <f>IFERROR(__xludf.DUMMYFUNCTION("""COMPUTED_VALUE"""),"Vercruysse, Jozef, Jerzy M. Behnke, Marco Albonico, Shaali Makame Ame, Cecile Angelbault, Jeffrey M. Bethony, Dirk Engels, Bertrand Guillard, Nuyen Thi Viet Hoa, Gagandeep Kang, Deepthi Kattula, Andrew C. Kotze, James S. McCarthy, Zeleke Mekonnen, Antonio"&amp;" Montresor, Maria Victoria Periago, Laurentine Sumo, Louis-Albert Tchuem Tchuente, Dang Thi Cam Thach, Ahmed Zeynudin, and Bruno Levecke. ""Assessment of the Anthelmintic Efficacy of Albendazolein School Children in Seven Countries Where Soil-transmitted "&amp;"Helminths Are Endemic."" PLOS Neglected Tropical Diseases. N.p., n.d. Web. March 2011, Volume 5 Issue 3, Pages 1-12")</f>
        <v>Vercruysse, Jozef, Jerzy M. Behnke, Marco Albonico, Shaali Makame Ame, Cecile Angelbault, Jeffrey M. Bethony, Dirk Engels, Bertrand Guillard, Nuyen Thi Viet Hoa, Gagandeep Kang, Deepthi Kattula, Andrew C. Kotze, James S. McCarthy, Zeleke Mekonnen, Antonio Montresor, Maria Victoria Periago, Laurentine Sumo, Louis-Albert Tchuem Tchuente, Dang Thi Cam Thach, Ahmed Zeynudin, and Bruno Levecke. "Assessment of the Anthelmintic Efficacy of Albendazolein School Children in Seven Countries Where Soil-transmitted Helminths Are Endemic." PLOS Neglected Tropical Diseases. N.p., n.d. Web. March 2011, Volume 5 Issue 3, Pages 1-12</v>
      </c>
      <c r="AH131" s="834" t="str">
        <f>IFERROR(__xludf.DUMMYFUNCTION("""COMPUTED_VALUE"""),"x")</f>
        <v>x</v>
      </c>
      <c r="AJ131" s="843" t="str">
        <f>IFERROR(__xludf.DUMMYFUNCTION("""COMPUTED_VALUE"""),"Efficacy and tolerability of moxidectin alone and in co-administration with albendazole and tribendimidine versus albendazole plus oxantel pamoate against Trichuris trichiura infections: a randomised, non-inferiority, single-blind trial")</f>
        <v>Efficacy and tolerability of moxidectin alone and in co-administration with albendazole and tribendimidine versus albendazole plus oxantel pamoate against Trichuris trichiura infections: a randomised, non-inferiority, single-blind trial</v>
      </c>
      <c r="AK131" s="836" t="str">
        <f>IFERROR(__xludf.DUMMYFUNCTION("""COMPUTED_VALUE"""),"Barda B, Ame SM, Ali SM, Albonico M, Puchkov M, Huwyler J, Hattendorf J, Keiser J. Efficacy and tolerability of moxidectin alone and in co-administration with albendazole and tribendimidine versus albendazole plus oxantel pamoate against Trichuris trichiu"&amp;"ra infections: a randomised, non-inferiority, single-blind trial. Lancet Infect Dis. 2018 Aug;18(8):864-873. doi: 10.1016/S1473-3099(18)30233-0. Epub 2018 May 29. PMID: 29858149.")</f>
        <v>Barda B, Ame SM, Ali SM, Albonico M, Puchkov M, Huwyler J, Hattendorf J, Keiser J. Efficacy and tolerability of moxidectin alone and in co-administration with albendazole and tribendimidine versus albendazole plus oxantel pamoate against Trichuris trichiura infections: a randomised, non-inferiority, single-blind trial. Lancet Infect Dis. 2018 Aug;18(8):864-873. doi: 10.1016/S1473-3099(18)30233-0. Epub 2018 May 29. PMID: 29858149.</v>
      </c>
      <c r="AL131" s="836" t="str">
        <f>IFERROR(__xludf.DUMMYFUNCTION("""COMPUTED_VALUE"""),"Tanzania")</f>
        <v>Tanzania</v>
      </c>
      <c r="AM131" s="836" t="str">
        <f>IFERROR(__xludf.DUMMYFUNCTION("""COMPUTED_VALUE"""),"Moxidectin &amp; Albendazole")</f>
        <v>Moxidectin &amp; Albendazole</v>
      </c>
      <c r="AN131" s="836" t="str">
        <f>IFERROR(__xludf.DUMMYFUNCTION("""COMPUTED_VALUE"""),"Single")</f>
        <v>Single</v>
      </c>
      <c r="AO131" s="836" t="str">
        <f>IFERROR(__xludf.DUMMYFUNCTION("""COMPUTED_VALUE"""),"8 mg; 400 mg")</f>
        <v>8 mg; 400 mg</v>
      </c>
      <c r="AP131" s="836">
        <f>IFERROR(__xludf.DUMMYFUNCTION("""COMPUTED_VALUE"""),197.0)</f>
        <v>197</v>
      </c>
      <c r="AQ131" s="836">
        <f>IFERROR(__xludf.DUMMYFUNCTION("""COMPUTED_VALUE"""),14.0)</f>
        <v>14</v>
      </c>
      <c r="AR131" s="836" t="str">
        <f>IFERROR(__xludf.DUMMYFUNCTION("""COMPUTED_VALUE"""),"88M:130F")</f>
        <v>88M:130F</v>
      </c>
      <c r="AS131" s="836">
        <f>IFERROR(__xludf.DUMMYFUNCTION("""COMPUTED_VALUE"""),2017.0)</f>
        <v>2017</v>
      </c>
      <c r="AT131" s="836" t="str">
        <f>IFERROR(__xludf.DUMMYFUNCTION("""COMPUTED_VALUE"""),"Adolescents aged 12–18 years who tested positive for T trichiura")</f>
        <v>Adolescents aged 12–18 years who tested positive for T trichiura</v>
      </c>
      <c r="AU131" s="836" t="str">
        <f>IFERROR(__xludf.DUMMYFUNCTION("""COMPUTED_VALUE"""),"Yes")</f>
        <v>Yes</v>
      </c>
      <c r="AV131" s="836" t="str">
        <f>IFERROR(__xludf.DUMMYFUNCTION("""COMPUTED_VALUE"""),"Yes")</f>
        <v>Yes</v>
      </c>
      <c r="AW131" s="836" t="str">
        <f>IFERROR(__xludf.DUMMYFUNCTION("""COMPUTED_VALUE"""),"Single-blind")</f>
        <v>Single-blind</v>
      </c>
      <c r="AX131" s="841">
        <f>IFERROR(__xludf.DUMMYFUNCTION("""COMPUTED_VALUE"""),0.508)</f>
        <v>0.508</v>
      </c>
      <c r="AY131" s="836"/>
      <c r="AZ131" s="836"/>
      <c r="BA131" s="836"/>
      <c r="BB131" s="836"/>
      <c r="BC131" s="836"/>
      <c r="BD131" s="836"/>
      <c r="BE131" s="836"/>
      <c r="BF131" s="836"/>
      <c r="BG131" s="836"/>
      <c r="BH131" s="841">
        <f>IFERROR(__xludf.DUMMYFUNCTION("""COMPUTED_VALUE"""),0.998)</f>
        <v>0.998</v>
      </c>
      <c r="BI131" s="836"/>
      <c r="BJ131" s="836"/>
      <c r="BK131" s="836"/>
      <c r="BL131" s="836"/>
      <c r="BM131" s="836"/>
      <c r="BN131" s="836" t="str">
        <f>IFERROR(__xludf.DUMMYFUNCTION("""COMPUTED_VALUE"""),"Moxidectin plus albendazole showed non-inferiority to albendazole plus oxantel pamoate in terms of ERR; however, albendazole plus oxantel pamoate showed a considerably higher cure rate.")</f>
        <v>Moxidectin plus albendazole showed non-inferiority to albendazole plus oxantel pamoate in terms of ERR; however, albendazole plus oxantel pamoate showed a considerably higher cure rate.</v>
      </c>
      <c r="BO131" s="836" t="str">
        <f>IFERROR(__xludf.DUMMYFUNCTION("""COMPUTED_VALUE"""),"Kato-Katz technique")</f>
        <v>Kato-Katz technique</v>
      </c>
      <c r="BP131" s="836"/>
      <c r="BQ131" s="697"/>
      <c r="BR131" s="844" t="str">
        <f>IFERROR(__xludf.DUMMYFUNCTION("""COMPUTED_VALUE"""),"Kale")</f>
        <v>Kale</v>
      </c>
      <c r="BS131" s="838" t="str">
        <f>IFERROR(__xludf.DUMMYFUNCTION("""COMPUTED_VALUE"""),"Nigeria")</f>
        <v>Nigeria</v>
      </c>
      <c r="BT131" s="838" t="str">
        <f>IFERROR(__xludf.DUMMYFUNCTION("""COMPUTED_VALUE"""),"Pyrantel Pamoate")</f>
        <v>Pyrantel Pamoate</v>
      </c>
      <c r="BU131" s="838"/>
      <c r="BV131" s="838" t="str">
        <f>IFERROR(__xludf.DUMMYFUNCTION("""COMPUTED_VALUE"""),"Single")</f>
        <v>Single</v>
      </c>
      <c r="BW131" s="838" t="str">
        <f>IFERROR(__xludf.DUMMYFUNCTION("""COMPUTED_VALUE"""),"10 mg")</f>
        <v>10 mg</v>
      </c>
      <c r="BX131" s="838">
        <f>IFERROR(__xludf.DUMMYFUNCTION("""COMPUTED_VALUE"""),40.0)</f>
        <v>40</v>
      </c>
      <c r="BY131" s="845">
        <f>IFERROR(__xludf.DUMMYFUNCTION("""COMPUTED_VALUE"""),42538.0)</f>
        <v>42538</v>
      </c>
      <c r="BZ131" s="838"/>
      <c r="CA131" s="838"/>
      <c r="CB131" s="838"/>
      <c r="CC131" s="838" t="str">
        <f>IFERROR(__xludf.DUMMYFUNCTION("""COMPUTED_VALUE"""),"Yes")</f>
        <v>Yes</v>
      </c>
      <c r="CD131" s="847">
        <f>IFERROR(__xludf.DUMMYFUNCTION("""COMPUTED_VALUE"""),0.828)</f>
        <v>0.828</v>
      </c>
      <c r="CE131" s="838" t="str">
        <f>IFERROR(__xludf.DUMMYFUNCTION("""COMPUTED_VALUE"""),"Yes")</f>
        <v>Yes</v>
      </c>
      <c r="CF131" s="838" t="str">
        <f>IFERROR(__xludf.DUMMYFUNCTION("""COMPUTED_VALUE"""),"(Day 15) 82.8%")</f>
        <v>(Day 15) 82.8%</v>
      </c>
      <c r="CG131" s="838"/>
      <c r="CH131" s="838"/>
      <c r="CI131" s="847">
        <f>IFERROR(__xludf.DUMMYFUNCTION("""COMPUTED_VALUE"""),0.938)</f>
        <v>0.938</v>
      </c>
      <c r="CJ131" s="838"/>
      <c r="CK131" s="838"/>
      <c r="CL131" s="838"/>
      <c r="CM131" s="838"/>
      <c r="CN131" s="838"/>
      <c r="CO131" s="838"/>
      <c r="CP131" s="838"/>
      <c r="CQ131" s="838"/>
      <c r="CR131" s="838"/>
      <c r="CS131" s="838"/>
      <c r="CT131" s="838"/>
      <c r="CU131" s="838"/>
      <c r="CV131" s="697" t="str">
        <f>IFERROR(__xludf.DUMMYFUNCTION("""COMPUTED_VALUE"""),"Kale OO. Comparative trial of anthelmintic efficacyof pyrantel pamoate (Combantrin) and thiabendazole(Mintezol). Afr J Med Med Sci. 1977;6(2):89-93.")</f>
        <v>Kale OO. Comparative trial of anthelmintic efficacyof pyrantel pamoate (Combantrin) and thiabendazole(Mintezol). Afr J Med Med Sci. 1977;6(2):89-93.</v>
      </c>
    </row>
    <row r="132">
      <c r="A132" s="842" t="str">
        <f>IFERROR(__xludf.DUMMYFUNCTION("""COMPUTED_VALUE"""),"Vercruysse et al.")</f>
        <v>Vercruysse et al.</v>
      </c>
      <c r="B132" s="834" t="str">
        <f>IFERROR(__xludf.DUMMYFUNCTION("""COMPUTED_VALUE"""),"Ethiopia")</f>
        <v>Ethiopia</v>
      </c>
      <c r="C132" s="834" t="str">
        <f>IFERROR(__xludf.DUMMYFUNCTION("""COMPUTED_VALUE"""),"Albendazole")</f>
        <v>Albendazole</v>
      </c>
      <c r="D132" s="834" t="str">
        <f>IFERROR(__xludf.DUMMYFUNCTION("""COMPUTED_VALUE"""),"Single")</f>
        <v>Single</v>
      </c>
      <c r="E132" s="834" t="str">
        <f>IFERROR(__xludf.DUMMYFUNCTION("""COMPUTED_VALUE"""),"400 mg")</f>
        <v>400 mg</v>
      </c>
      <c r="F132" s="834">
        <f>IFERROR(__xludf.DUMMYFUNCTION("""COMPUTED_VALUE"""),91.0)</f>
        <v>91</v>
      </c>
      <c r="G132" s="849">
        <f>IFERROR(__xludf.DUMMYFUNCTION("""COMPUTED_VALUE"""),42478.0)</f>
        <v>42478</v>
      </c>
      <c r="H132" s="834"/>
      <c r="I132" s="834">
        <f>IFERROR(__xludf.DUMMYFUNCTION("""COMPUTED_VALUE"""),2009.0)</f>
        <v>2009</v>
      </c>
      <c r="J132" s="834"/>
      <c r="K132" s="839" t="str">
        <f>IFERROR(__xludf.DUMMYFUNCTION("""COMPUTED_VALUE"""),"randomized clinical trial")</f>
        <v>randomized clinical trial</v>
      </c>
      <c r="L132" s="839" t="str">
        <f>IFERROR(__xludf.DUMMYFUNCTION("""COMPUTED_VALUE"""),"Yes")</f>
        <v>Yes</v>
      </c>
      <c r="M132" s="839" t="str">
        <f>IFERROR(__xludf.DUMMYFUNCTION("""COMPUTED_VALUE"""),"No")</f>
        <v>No</v>
      </c>
      <c r="N132" s="840">
        <f>IFERROR(__xludf.DUMMYFUNCTION("""COMPUTED_VALUE"""),0.989)</f>
        <v>0.989</v>
      </c>
      <c r="O132" s="834"/>
      <c r="P132" s="834"/>
      <c r="Q132" s="834"/>
      <c r="R132" s="834"/>
      <c r="S132" s="834"/>
      <c r="T132" s="834"/>
      <c r="U132" s="834"/>
      <c r="V132" s="834"/>
      <c r="W132" s="840">
        <f>IFERROR(__xludf.DUMMYFUNCTION("""COMPUTED_VALUE"""),0.997)</f>
        <v>0.997</v>
      </c>
      <c r="X132" s="834"/>
      <c r="Y132" s="834" t="str">
        <f>IFERROR(__xludf.DUMMYFUNCTION("""COMPUTED_VALUE"""),"Between 14 and 30 days: 99.6%, 99.9%")</f>
        <v>Between 14 and 30 days: 99.6%, 99.9%</v>
      </c>
      <c r="Z132" s="834"/>
      <c r="AA132" s="834"/>
      <c r="AB132" s="834"/>
      <c r="AC132" s="834"/>
      <c r="AD132" s="834"/>
      <c r="AE132" s="834" t="str">
        <f>IFERROR(__xludf.DUMMYFUNCTION("""COMPUTED_VALUE"""),"The results confirm the therapeutic efficacy of this treatment against and hookworms...our findings emphasize the need to revise the WHO recommended efficacy threshold for single dose ALB treatments.")</f>
        <v>The results confirm the therapeutic efficacy of this treatment against and hookworms...our findings emphasize the need to revise the WHO recommended efficacy threshold for single dose ALB treatments.</v>
      </c>
      <c r="AF132" s="834" t="str">
        <f>IFERROR(__xludf.DUMMYFUNCTION("""COMPUTED_VALUE"""),"McMaster Method")</f>
        <v>McMaster Method</v>
      </c>
      <c r="AG132" s="834" t="str">
        <f>IFERROR(__xludf.DUMMYFUNCTION("""COMPUTED_VALUE"""),"Vercruysse, Jozef, Jerzy M. Behnke, Marco Albonico, Shaali Makame Ame, Cecile Angelbault, Jeffrey M. Bethony, Dirk Engels, Bertrand Guillard, Nuyen Thi Viet Hoa, Gagandeep Kang, Deepthi Kattula, Andrew C. Kotze, James S. McCarthy, Zeleke Mekonnen, Antonio"&amp;" Montresor, Maria Victoria Periago, Laurentine Sumo, Louis-Albert Tchuem Tchuente, Dang Thi Cam Thach, Ahmed Zeynudin, and Bruno Levecke. ""Assessment of the Anthelmintic Efficacy of Albendazolein School Children in Seven Countries Where Soil-transmitted "&amp;"Helminths Are Endemic."" PLOS Neglected Tropical Diseases. N.p., n.d. Web. March 2011, Volume 5 Issue 3, Pages 1-13")</f>
        <v>Vercruysse, Jozef, Jerzy M. Behnke, Marco Albonico, Shaali Makame Ame, Cecile Angelbault, Jeffrey M. Bethony, Dirk Engels, Bertrand Guillard, Nuyen Thi Viet Hoa, Gagandeep Kang, Deepthi Kattula, Andrew C. Kotze, James S. McCarthy, Zeleke Mekonnen, Antonio Montresor, Maria Victoria Periago, Laurentine Sumo, Louis-Albert Tchuem Tchuente, Dang Thi Cam Thach, Ahmed Zeynudin, and Bruno Levecke. "Assessment of the Anthelmintic Efficacy of Albendazolein School Children in Seven Countries Where Soil-transmitted Helminths Are Endemic." PLOS Neglected Tropical Diseases. N.p., n.d. Web. March 2011, Volume 5 Issue 3, Pages 1-13</v>
      </c>
      <c r="AH132" s="834" t="str">
        <f>IFERROR(__xludf.DUMMYFUNCTION("""COMPUTED_VALUE"""),"x")</f>
        <v>x</v>
      </c>
      <c r="AJ132" s="843" t="str">
        <f>IFERROR(__xludf.DUMMYFUNCTION("""COMPUTED_VALUE"""),"Efficacy and tolerability of moxidectin alone and in co-administration with albendazole and tribendimidine versus albendazole plus oxantel pamoate against Trichuris trichiura infections: a randomised, non-inferiority, single-blind trial")</f>
        <v>Efficacy and tolerability of moxidectin alone and in co-administration with albendazole and tribendimidine versus albendazole plus oxantel pamoate against Trichuris trichiura infections: a randomised, non-inferiority, single-blind trial</v>
      </c>
      <c r="AK132" s="836" t="str">
        <f>IFERROR(__xludf.DUMMYFUNCTION("""COMPUTED_VALUE"""),"Barda B, Ame SM, Ali SM, Albonico M, Puchkov M, Huwyler J, Hattendorf J, Keiser J. Efficacy and tolerability of moxidectin alone and in co-administration with albendazole and tribendimidine versus albendazole plus oxantel pamoate against Trichuris trichiu"&amp;"ra infections: a randomised, non-inferiority, single-blind trial. Lancet Infect Dis. 2018 Aug;18(8):864-873. doi: 10.1016/S1473-3099(18)30233-0. Epub 2018 May 29. PMID: 29858149.")</f>
        <v>Barda B, Ame SM, Ali SM, Albonico M, Puchkov M, Huwyler J, Hattendorf J, Keiser J. Efficacy and tolerability of moxidectin alone and in co-administration with albendazole and tribendimidine versus albendazole plus oxantel pamoate against Trichuris trichiura infections: a randomised, non-inferiority, single-blind trial. Lancet Infect Dis. 2018 Aug;18(8):864-873. doi: 10.1016/S1473-3099(18)30233-0. Epub 2018 May 29. PMID: 29858149.</v>
      </c>
      <c r="AL132" s="836" t="str">
        <f>IFERROR(__xludf.DUMMYFUNCTION("""COMPUTED_VALUE"""),"Tanzania")</f>
        <v>Tanzania</v>
      </c>
      <c r="AM132" s="836" t="str">
        <f>IFERROR(__xludf.DUMMYFUNCTION("""COMPUTED_VALUE"""),"Albendazole &amp; Oxantel pamoate")</f>
        <v>Albendazole &amp; Oxantel pamoate</v>
      </c>
      <c r="AN132" s="836" t="str">
        <f>IFERROR(__xludf.DUMMYFUNCTION("""COMPUTED_VALUE"""),"Single")</f>
        <v>Single</v>
      </c>
      <c r="AO132" s="836" t="str">
        <f>IFERROR(__xludf.DUMMYFUNCTION("""COMPUTED_VALUE"""),"400 mg; 25 mg/kg ")</f>
        <v>400 mg; 25 mg/kg </v>
      </c>
      <c r="AP132" s="836">
        <f>IFERROR(__xludf.DUMMYFUNCTION("""COMPUTED_VALUE"""),200.0)</f>
        <v>200</v>
      </c>
      <c r="AQ132" s="836">
        <f>IFERROR(__xludf.DUMMYFUNCTION("""COMPUTED_VALUE"""),13.9)</f>
        <v>13.9</v>
      </c>
      <c r="AR132" s="836" t="str">
        <f>IFERROR(__xludf.DUMMYFUNCTION("""COMPUTED_VALUE"""),"96M:124F")</f>
        <v>96M:124F</v>
      </c>
      <c r="AS132" s="836">
        <f>IFERROR(__xludf.DUMMYFUNCTION("""COMPUTED_VALUE"""),2017.0)</f>
        <v>2017</v>
      </c>
      <c r="AT132" s="836" t="str">
        <f>IFERROR(__xludf.DUMMYFUNCTION("""COMPUTED_VALUE"""),"Adolescents aged 12–18 years who tested positive for T trichiura")</f>
        <v>Adolescents aged 12–18 years who tested positive for T trichiura</v>
      </c>
      <c r="AU132" s="836" t="str">
        <f>IFERROR(__xludf.DUMMYFUNCTION("""COMPUTED_VALUE"""),"Yes")</f>
        <v>Yes</v>
      </c>
      <c r="AV132" s="836" t="str">
        <f>IFERROR(__xludf.DUMMYFUNCTION("""COMPUTED_VALUE"""),"Yes")</f>
        <v>Yes</v>
      </c>
      <c r="AW132" s="836" t="str">
        <f>IFERROR(__xludf.DUMMYFUNCTION("""COMPUTED_VALUE"""),"Single-blind")</f>
        <v>Single-blind</v>
      </c>
      <c r="AX132" s="850">
        <f>IFERROR(__xludf.DUMMYFUNCTION("""COMPUTED_VALUE"""),0.83)</f>
        <v>0.83</v>
      </c>
      <c r="AY132" s="836"/>
      <c r="AZ132" s="836"/>
      <c r="BA132" s="836"/>
      <c r="BB132" s="836"/>
      <c r="BC132" s="836"/>
      <c r="BD132" s="836"/>
      <c r="BE132" s="836"/>
      <c r="BF132" s="836"/>
      <c r="BG132" s="836"/>
      <c r="BH132" s="841">
        <f>IFERROR(__xludf.DUMMYFUNCTION("""COMPUTED_VALUE"""),0.916)</f>
        <v>0.916</v>
      </c>
      <c r="BI132" s="836"/>
      <c r="BJ132" s="836"/>
      <c r="BK132" s="836"/>
      <c r="BL132" s="836"/>
      <c r="BM132" s="836"/>
      <c r="BN132" s="836" t="str">
        <f>IFERROR(__xludf.DUMMYFUNCTION("""COMPUTED_VALUE"""),"Moxidectin plus albendazole showed non-inferiority to albendazole plus oxantel pamoate in terms of ERR; however, albendazole plus oxantel pamoate showed a considerably higher cure rate.")</f>
        <v>Moxidectin plus albendazole showed non-inferiority to albendazole plus oxantel pamoate in terms of ERR; however, albendazole plus oxantel pamoate showed a considerably higher cure rate.</v>
      </c>
      <c r="BO132" s="836" t="str">
        <f>IFERROR(__xludf.DUMMYFUNCTION("""COMPUTED_VALUE"""),"Kato-Katz technique")</f>
        <v>Kato-Katz technique</v>
      </c>
      <c r="BP132" s="836"/>
      <c r="BQ132" s="697"/>
      <c r="BR132" s="844" t="str">
        <f>IFERROR(__xludf.DUMMYFUNCTION("""COMPUTED_VALUE"""),"Kale")</f>
        <v>Kale</v>
      </c>
      <c r="BS132" s="838" t="str">
        <f>IFERROR(__xludf.DUMMYFUNCTION("""COMPUTED_VALUE"""),"Nigeria")</f>
        <v>Nigeria</v>
      </c>
      <c r="BT132" s="838" t="str">
        <f>IFERROR(__xludf.DUMMYFUNCTION("""COMPUTED_VALUE"""),"Thiabendazole")</f>
        <v>Thiabendazole</v>
      </c>
      <c r="BU132" s="838"/>
      <c r="BV132" s="838" t="str">
        <f>IFERROR(__xludf.DUMMYFUNCTION("""COMPUTED_VALUE"""),"Single")</f>
        <v>Single</v>
      </c>
      <c r="BW132" s="838" t="str">
        <f>IFERROR(__xludf.DUMMYFUNCTION("""COMPUTED_VALUE"""),"25 mg")</f>
        <v>25 mg</v>
      </c>
      <c r="BX132" s="838">
        <f>IFERROR(__xludf.DUMMYFUNCTION("""COMPUTED_VALUE"""),61.0)</f>
        <v>61</v>
      </c>
      <c r="BY132" s="845">
        <f>IFERROR(__xludf.DUMMYFUNCTION("""COMPUTED_VALUE"""),42538.0)</f>
        <v>42538</v>
      </c>
      <c r="BZ132" s="838"/>
      <c r="CA132" s="838"/>
      <c r="CB132" s="838"/>
      <c r="CC132" s="838" t="str">
        <f>IFERROR(__xludf.DUMMYFUNCTION("""COMPUTED_VALUE"""),"Yes")</f>
        <v>Yes</v>
      </c>
      <c r="CD132" s="847">
        <f>IFERROR(__xludf.DUMMYFUNCTION("""COMPUTED_VALUE"""),0.459)</f>
        <v>0.459</v>
      </c>
      <c r="CE132" s="838" t="str">
        <f>IFERROR(__xludf.DUMMYFUNCTION("""COMPUTED_VALUE"""),"Yes")</f>
        <v>Yes</v>
      </c>
      <c r="CF132" s="838" t="str">
        <f>IFERROR(__xludf.DUMMYFUNCTION("""COMPUTED_VALUE"""),"(Day 15)45.9%")</f>
        <v>(Day 15)45.9%</v>
      </c>
      <c r="CG132" s="838"/>
      <c r="CH132" s="838"/>
      <c r="CI132" s="847">
        <f>IFERROR(__xludf.DUMMYFUNCTION("""COMPUTED_VALUE"""),0.443)</f>
        <v>0.443</v>
      </c>
      <c r="CJ132" s="838"/>
      <c r="CK132" s="838"/>
      <c r="CL132" s="838"/>
      <c r="CM132" s="838"/>
      <c r="CN132" s="838"/>
      <c r="CO132" s="838"/>
      <c r="CP132" s="838"/>
      <c r="CQ132" s="838"/>
      <c r="CR132" s="838"/>
      <c r="CS132" s="838"/>
      <c r="CT132" s="838"/>
      <c r="CU132" s="838"/>
      <c r="CV132" s="697" t="str">
        <f>IFERROR(__xludf.DUMMYFUNCTION("""COMPUTED_VALUE"""),"Kale OO. Comparative trial of anthelmintic efficacyof pyrantel pamoate (Combantrin) and thiabendazole(Mintezol). Afr J Med Med Sci. 1977;6(2):89-93.")</f>
        <v>Kale OO. Comparative trial of anthelmintic efficacyof pyrantel pamoate (Combantrin) and thiabendazole(Mintezol). Afr J Med Med Sci. 1977;6(2):89-93.</v>
      </c>
    </row>
    <row r="133">
      <c r="A133" s="842" t="str">
        <f>IFERROR(__xludf.DUMMYFUNCTION("""COMPUTED_VALUE"""),"Vercruysse et al.")</f>
        <v>Vercruysse et al.</v>
      </c>
      <c r="B133" s="834" t="str">
        <f>IFERROR(__xludf.DUMMYFUNCTION("""COMPUTED_VALUE"""),"India")</f>
        <v>India</v>
      </c>
      <c r="C133" s="834" t="str">
        <f>IFERROR(__xludf.DUMMYFUNCTION("""COMPUTED_VALUE"""),"Albendazole")</f>
        <v>Albendazole</v>
      </c>
      <c r="D133" s="834" t="str">
        <f>IFERROR(__xludf.DUMMYFUNCTION("""COMPUTED_VALUE"""),"Single")</f>
        <v>Single</v>
      </c>
      <c r="E133" s="834" t="str">
        <f>IFERROR(__xludf.DUMMYFUNCTION("""COMPUTED_VALUE"""),"400 mg")</f>
        <v>400 mg</v>
      </c>
      <c r="F133" s="834">
        <f>IFERROR(__xludf.DUMMYFUNCTION("""COMPUTED_VALUE"""),95.0)</f>
        <v>95</v>
      </c>
      <c r="G133" s="849">
        <f>IFERROR(__xludf.DUMMYFUNCTION("""COMPUTED_VALUE"""),42478.0)</f>
        <v>42478</v>
      </c>
      <c r="H133" s="834"/>
      <c r="I133" s="834">
        <f>IFERROR(__xludf.DUMMYFUNCTION("""COMPUTED_VALUE"""),2009.0)</f>
        <v>2009</v>
      </c>
      <c r="J133" s="834"/>
      <c r="K133" s="839" t="str">
        <f>IFERROR(__xludf.DUMMYFUNCTION("""COMPUTED_VALUE"""),"randomized clinical trial")</f>
        <v>randomized clinical trial</v>
      </c>
      <c r="L133" s="839" t="str">
        <f>IFERROR(__xludf.DUMMYFUNCTION("""COMPUTED_VALUE"""),"Yes")</f>
        <v>Yes</v>
      </c>
      <c r="M133" s="839" t="str">
        <f>IFERROR(__xludf.DUMMYFUNCTION("""COMPUTED_VALUE"""),"No")</f>
        <v>No</v>
      </c>
      <c r="N133" s="840">
        <f>IFERROR(__xludf.DUMMYFUNCTION("""COMPUTED_VALUE"""),0.747)</f>
        <v>0.747</v>
      </c>
      <c r="O133" s="834"/>
      <c r="P133" s="834"/>
      <c r="Q133" s="834"/>
      <c r="R133" s="834"/>
      <c r="S133" s="834"/>
      <c r="T133" s="834"/>
      <c r="U133" s="834"/>
      <c r="V133" s="834"/>
      <c r="W133" s="840">
        <f>IFERROR(__xludf.DUMMYFUNCTION("""COMPUTED_VALUE"""),0.871)</f>
        <v>0.871</v>
      </c>
      <c r="X133" s="834"/>
      <c r="Y133" s="834" t="str">
        <f>IFERROR(__xludf.DUMMYFUNCTION("""COMPUTED_VALUE"""),"Between 14 and 30 days: 99.2%, 81.6%")</f>
        <v>Between 14 and 30 days: 99.2%, 81.6%</v>
      </c>
      <c r="Z133" s="834"/>
      <c r="AA133" s="834"/>
      <c r="AB133" s="834"/>
      <c r="AC133" s="834"/>
      <c r="AD133" s="834"/>
      <c r="AE133" s="834" t="str">
        <f>IFERROR(__xludf.DUMMYFUNCTION("""COMPUTED_VALUE"""),"The results confirm the therapeutic efficacy of this treatment against and hookworms...our findings emphasize the need to revise the WHO recommended efficacy threshold for single dose ALB treatments.")</f>
        <v>The results confirm the therapeutic efficacy of this treatment against and hookworms...our findings emphasize the need to revise the WHO recommended efficacy threshold for single dose ALB treatments.</v>
      </c>
      <c r="AF133" s="834" t="str">
        <f>IFERROR(__xludf.DUMMYFUNCTION("""COMPUTED_VALUE"""),"McMaster Method")</f>
        <v>McMaster Method</v>
      </c>
      <c r="AG133" s="834" t="str">
        <f>IFERROR(__xludf.DUMMYFUNCTION("""COMPUTED_VALUE"""),"Vercruysse, Jozef, Jerzy M. Behnke, Marco Albonico, Shaali Makame Ame, Cecile Angelbault, Jeffrey M. Bethony, Dirk Engels, Bertrand Guillard, Nuyen Thi Viet Hoa, Gagandeep Kang, Deepthi Kattula, Andrew C. Kotze, James S. McCarthy, Zeleke Mekonnen, Antonio"&amp;" Montresor, Maria Victoria Periago, Laurentine Sumo, Louis-Albert Tchuem Tchuente, Dang Thi Cam Thach, Ahmed Zeynudin, and Bruno Levecke. ""Assessment of the Anthelmintic Efficacy of Albendazolein School Children in Seven Countries Where Soil-transmitted "&amp;"Helminths Are Endemic."" PLOS Neglected Tropical Diseases. N.p., n.d. Web. March 2011, Volume 5 Issue 3, Pages 1-14")</f>
        <v>Vercruysse, Jozef, Jerzy M. Behnke, Marco Albonico, Shaali Makame Ame, Cecile Angelbault, Jeffrey M. Bethony, Dirk Engels, Bertrand Guillard, Nuyen Thi Viet Hoa, Gagandeep Kang, Deepthi Kattula, Andrew C. Kotze, James S. McCarthy, Zeleke Mekonnen, Antonio Montresor, Maria Victoria Periago, Laurentine Sumo, Louis-Albert Tchuem Tchuente, Dang Thi Cam Thach, Ahmed Zeynudin, and Bruno Levecke. "Assessment of the Anthelmintic Efficacy of Albendazolein School Children in Seven Countries Where Soil-transmitted Helminths Are Endemic." PLOS Neglected Tropical Diseases. N.p., n.d. Web. March 2011, Volume 5 Issue 3, Pages 1-14</v>
      </c>
      <c r="AH133" s="834" t="str">
        <f>IFERROR(__xludf.DUMMYFUNCTION("""COMPUTED_VALUE"""),"x")</f>
        <v>x</v>
      </c>
      <c r="AJ133" s="843" t="str">
        <f>IFERROR(__xludf.DUMMYFUNCTION("""COMPUTED_VALUE"""),"Efficacy and tolerability of moxidectin alone and in co-administration with albendazole and tribendimidine versus albendazole plus oxantel pamoate against Trichuris trichiura infections: a randomised, non-inferiority, single-blind trial")</f>
        <v>Efficacy and tolerability of moxidectin alone and in co-administration with albendazole and tribendimidine versus albendazole plus oxantel pamoate against Trichuris trichiura infections: a randomised, non-inferiority, single-blind trial</v>
      </c>
      <c r="AK133" s="836" t="str">
        <f>IFERROR(__xludf.DUMMYFUNCTION("""COMPUTED_VALUE"""),"Barda B, Ame SM, Ali SM, Albonico M, Puchkov M, Huwyler J, Hattendorf J, Keiser J. Efficacy and tolerability of moxidectin alone and in co-administration with albendazole and tribendimidine versus albendazole plus oxantel pamoate against Trichuris trichiu"&amp;"ra infections: a randomised, non-inferiority, single-blind trial. Lancet Infect Dis. 2018 Aug;18(8):864-873. doi: 10.1016/S1473-3099(18)30233-0. Epub 2018 May 29. PMID: 29858149.")</f>
        <v>Barda B, Ame SM, Ali SM, Albonico M, Puchkov M, Huwyler J, Hattendorf J, Keiser J. Efficacy and tolerability of moxidectin alone and in co-administration with albendazole and tribendimidine versus albendazole plus oxantel pamoate against Trichuris trichiura infections: a randomised, non-inferiority, single-blind trial. Lancet Infect Dis. 2018 Aug;18(8):864-873. doi: 10.1016/S1473-3099(18)30233-0. Epub 2018 May 29. PMID: 29858149.</v>
      </c>
      <c r="AL133" s="836" t="str">
        <f>IFERROR(__xludf.DUMMYFUNCTION("""COMPUTED_VALUE"""),"Tanzania")</f>
        <v>Tanzania</v>
      </c>
      <c r="AM133" s="836" t="str">
        <f>IFERROR(__xludf.DUMMYFUNCTION("""COMPUTED_VALUE"""),"Moxidectin &amp; Tribendimidine")</f>
        <v>Moxidectin &amp; Tribendimidine</v>
      </c>
      <c r="AN133" s="836" t="str">
        <f>IFERROR(__xludf.DUMMYFUNCTION("""COMPUTED_VALUE"""),"Single")</f>
        <v>Single</v>
      </c>
      <c r="AO133" s="836" t="str">
        <f>IFERROR(__xludf.DUMMYFUNCTION("""COMPUTED_VALUE"""),"8 mg; 200 mg for students younger than 15 years or 400 mg for those older than 15 years)")</f>
        <v>8 mg; 200 mg for students younger than 15 years or 400 mg for those older than 15 years)</v>
      </c>
      <c r="AP133" s="836">
        <f>IFERROR(__xludf.DUMMYFUNCTION("""COMPUTED_VALUE"""),119.0)</f>
        <v>119</v>
      </c>
      <c r="AQ133" s="836">
        <f>IFERROR(__xludf.DUMMYFUNCTION("""COMPUTED_VALUE"""),14.2)</f>
        <v>14.2</v>
      </c>
      <c r="AR133" s="836" t="str">
        <f>IFERROR(__xludf.DUMMYFUNCTION("""COMPUTED_VALUE"""),"59M:71F")</f>
        <v>59M:71F</v>
      </c>
      <c r="AS133" s="836">
        <f>IFERROR(__xludf.DUMMYFUNCTION("""COMPUTED_VALUE"""),2017.0)</f>
        <v>2017</v>
      </c>
      <c r="AT133" s="836" t="str">
        <f>IFERROR(__xludf.DUMMYFUNCTION("""COMPUTED_VALUE"""),"Adolescents aged 12–18 years who tested positive for T trichiura")</f>
        <v>Adolescents aged 12–18 years who tested positive for T trichiura</v>
      </c>
      <c r="AU133" s="836" t="str">
        <f>IFERROR(__xludf.DUMMYFUNCTION("""COMPUTED_VALUE"""),"Yes")</f>
        <v>Yes</v>
      </c>
      <c r="AV133" s="836" t="str">
        <f>IFERROR(__xludf.DUMMYFUNCTION("""COMPUTED_VALUE"""),"Yes")</f>
        <v>Yes</v>
      </c>
      <c r="AW133" s="836" t="str">
        <f>IFERROR(__xludf.DUMMYFUNCTION("""COMPUTED_VALUE"""),"Single-blind")</f>
        <v>Single-blind</v>
      </c>
      <c r="AX133" s="841">
        <f>IFERROR(__xludf.DUMMYFUNCTION("""COMPUTED_VALUE"""),0.227)</f>
        <v>0.227</v>
      </c>
      <c r="AY133" s="836"/>
      <c r="AZ133" s="836"/>
      <c r="BA133" s="836"/>
      <c r="BB133" s="836"/>
      <c r="BC133" s="836"/>
      <c r="BD133" s="836"/>
      <c r="BE133" s="836"/>
      <c r="BF133" s="836"/>
      <c r="BG133" s="836"/>
      <c r="BH133" s="841">
        <f>IFERROR(__xludf.DUMMYFUNCTION("""COMPUTED_VALUE"""),0.832)</f>
        <v>0.832</v>
      </c>
      <c r="BI133" s="836"/>
      <c r="BJ133" s="836"/>
      <c r="BK133" s="836"/>
      <c r="BL133" s="836"/>
      <c r="BM133" s="836"/>
      <c r="BN133" s="836" t="str">
        <f>IFERROR(__xludf.DUMMYFUNCTION("""COMPUTED_VALUE"""),"Moxidectin plus albendazole showed non-inferiority to albendazole plus oxantel pamoate in terms of ERR; however, albendazole plus oxantel pamoate showed a considerably higher cure rate.")</f>
        <v>Moxidectin plus albendazole showed non-inferiority to albendazole plus oxantel pamoate in terms of ERR; however, albendazole plus oxantel pamoate showed a considerably higher cure rate.</v>
      </c>
      <c r="BO133" s="836" t="str">
        <f>IFERROR(__xludf.DUMMYFUNCTION("""COMPUTED_VALUE"""),"Kato-Katz technique")</f>
        <v>Kato-Katz technique</v>
      </c>
      <c r="BP133" s="836"/>
      <c r="BQ133" s="697"/>
      <c r="BR133" s="844" t="str">
        <f>IFERROR(__xludf.DUMMYFUNCTION("""COMPUTED_VALUE"""),"Kale")</f>
        <v>Kale</v>
      </c>
      <c r="BS133" s="838" t="str">
        <f>IFERROR(__xludf.DUMMYFUNCTION("""COMPUTED_VALUE"""),"Nigeria")</f>
        <v>Nigeria</v>
      </c>
      <c r="BT133" s="838" t="str">
        <f>IFERROR(__xludf.DUMMYFUNCTION("""COMPUTED_VALUE"""),"Control")</f>
        <v>Control</v>
      </c>
      <c r="BU133" s="838"/>
      <c r="BV133" s="838"/>
      <c r="BW133" s="838"/>
      <c r="BX133" s="838">
        <f>IFERROR(__xludf.DUMMYFUNCTION("""COMPUTED_VALUE"""),35.0)</f>
        <v>35</v>
      </c>
      <c r="BY133" s="845">
        <f>IFERROR(__xludf.DUMMYFUNCTION("""COMPUTED_VALUE"""),42538.0)</f>
        <v>42538</v>
      </c>
      <c r="BZ133" s="838"/>
      <c r="CA133" s="838"/>
      <c r="CB133" s="838"/>
      <c r="CC133" s="838" t="str">
        <f>IFERROR(__xludf.DUMMYFUNCTION("""COMPUTED_VALUE"""),"Yes")</f>
        <v>Yes</v>
      </c>
      <c r="CD133" s="847">
        <f>IFERROR(__xludf.DUMMYFUNCTION("""COMPUTED_VALUE"""),0.143)</f>
        <v>0.143</v>
      </c>
      <c r="CE133" s="838" t="str">
        <f>IFERROR(__xludf.DUMMYFUNCTION("""COMPUTED_VALUE"""),"Yes")</f>
        <v>Yes</v>
      </c>
      <c r="CF133" s="838"/>
      <c r="CG133" s="838"/>
      <c r="CH133" s="838"/>
      <c r="CI133" s="847">
        <f>IFERROR(__xludf.DUMMYFUNCTION("""COMPUTED_VALUE"""),0.143)</f>
        <v>0.143</v>
      </c>
      <c r="CJ133" s="838"/>
      <c r="CK133" s="838"/>
      <c r="CL133" s="838"/>
      <c r="CM133" s="838"/>
      <c r="CN133" s="838"/>
      <c r="CO133" s="838"/>
      <c r="CP133" s="838"/>
      <c r="CQ133" s="838"/>
      <c r="CR133" s="838"/>
      <c r="CS133" s="838"/>
      <c r="CT133" s="838"/>
      <c r="CU133" s="838"/>
      <c r="CV133" s="697" t="str">
        <f>IFERROR(__xludf.DUMMYFUNCTION("""COMPUTED_VALUE"""),"Kale OO. Comparative trial of anthelmintic efficacyof pyrantel pamoate (Combantrin) and thiabendazole(Mintezol). Afr J Med Med Sci. 1977;6(2):89-93.")</f>
        <v>Kale OO. Comparative trial of anthelmintic efficacyof pyrantel pamoate (Combantrin) and thiabendazole(Mintezol). Afr J Med Med Sci. 1977;6(2):89-93.</v>
      </c>
    </row>
    <row r="134">
      <c r="A134" s="842" t="str">
        <f>IFERROR(__xludf.DUMMYFUNCTION("""COMPUTED_VALUE"""),"Vercruysse et al.")</f>
        <v>Vercruysse et al.</v>
      </c>
      <c r="B134" s="834" t="str">
        <f>IFERROR(__xludf.DUMMYFUNCTION("""COMPUTED_VALUE"""),"Tanzania")</f>
        <v>Tanzania</v>
      </c>
      <c r="C134" s="834" t="str">
        <f>IFERROR(__xludf.DUMMYFUNCTION("""COMPUTED_VALUE"""),"Albendazole")</f>
        <v>Albendazole</v>
      </c>
      <c r="D134" s="834" t="str">
        <f>IFERROR(__xludf.DUMMYFUNCTION("""COMPUTED_VALUE"""),"Single")</f>
        <v>Single</v>
      </c>
      <c r="E134" s="834" t="str">
        <f>IFERROR(__xludf.DUMMYFUNCTION("""COMPUTED_VALUE"""),"400 mg")</f>
        <v>400 mg</v>
      </c>
      <c r="F134" s="834">
        <f>IFERROR(__xludf.DUMMYFUNCTION("""COMPUTED_VALUE"""),349.0)</f>
        <v>349</v>
      </c>
      <c r="G134" s="849">
        <f>IFERROR(__xludf.DUMMYFUNCTION("""COMPUTED_VALUE"""),42478.0)</f>
        <v>42478</v>
      </c>
      <c r="H134" s="834"/>
      <c r="I134" s="834">
        <f>IFERROR(__xludf.DUMMYFUNCTION("""COMPUTED_VALUE"""),2009.0)</f>
        <v>2009</v>
      </c>
      <c r="J134" s="834"/>
      <c r="K134" s="839" t="str">
        <f>IFERROR(__xludf.DUMMYFUNCTION("""COMPUTED_VALUE"""),"randomized clinical trial")</f>
        <v>randomized clinical trial</v>
      </c>
      <c r="L134" s="839" t="str">
        <f>IFERROR(__xludf.DUMMYFUNCTION("""COMPUTED_VALUE"""),"Yes")</f>
        <v>Yes</v>
      </c>
      <c r="M134" s="839" t="str">
        <f>IFERROR(__xludf.DUMMYFUNCTION("""COMPUTED_VALUE"""),"No")</f>
        <v>No</v>
      </c>
      <c r="N134" s="840">
        <f>IFERROR(__xludf.DUMMYFUNCTION("""COMPUTED_VALUE"""),0.868)</f>
        <v>0.868</v>
      </c>
      <c r="O134" s="834"/>
      <c r="P134" s="834"/>
      <c r="Q134" s="834"/>
      <c r="R134" s="834"/>
      <c r="S134" s="834"/>
      <c r="T134" s="834"/>
      <c r="U134" s="834"/>
      <c r="V134" s="834"/>
      <c r="W134" s="840">
        <f>IFERROR(__xludf.DUMMYFUNCTION("""COMPUTED_VALUE"""),0.953)</f>
        <v>0.953</v>
      </c>
      <c r="X134" s="834"/>
      <c r="Y134" s="834" t="str">
        <f>IFERROR(__xludf.DUMMYFUNCTION("""COMPUTED_VALUE"""),"Between 14 and 30 days: 99.6%, 92.6%")</f>
        <v>Between 14 and 30 days: 99.6%, 92.6%</v>
      </c>
      <c r="Z134" s="834"/>
      <c r="AA134" s="834"/>
      <c r="AB134" s="834"/>
      <c r="AC134" s="834"/>
      <c r="AD134" s="834"/>
      <c r="AE134" s="834" t="str">
        <f>IFERROR(__xludf.DUMMYFUNCTION("""COMPUTED_VALUE"""),"The results confirm the therapeutic efficacy of this treatment against and hookworms...our findings emphasize the need to revise the WHO recommended efficacy threshold for single dose ALB treatments.")</f>
        <v>The results confirm the therapeutic efficacy of this treatment against and hookworms...our findings emphasize the need to revise the WHO recommended efficacy threshold for single dose ALB treatments.</v>
      </c>
      <c r="AF134" s="834" t="str">
        <f>IFERROR(__xludf.DUMMYFUNCTION("""COMPUTED_VALUE"""),"McMaster Method")</f>
        <v>McMaster Method</v>
      </c>
      <c r="AG134" s="834" t="str">
        <f>IFERROR(__xludf.DUMMYFUNCTION("""COMPUTED_VALUE"""),"Vercruysse, Jozef, Jerzy M. Behnke, Marco Albonico, Shaali Makame Ame, Cecile Angelbault, Jeffrey M. Bethony, Dirk Engels, Bertrand Guillard, Nuyen Thi Viet Hoa, Gagandeep Kang, Deepthi Kattula, Andrew C. Kotze, James S. McCarthy, Zeleke Mekonnen, Antonio"&amp;" Montresor, Maria Victoria Periago, Laurentine Sumo, Louis-Albert Tchuem Tchuente, Dang Thi Cam Thach, Ahmed Zeynudin, and Bruno Levecke. ""Assessment of the Anthelmintic Efficacy of Albendazolein School Children in Seven Countries Where Soil-transmitted "&amp;"Helminths Are Endemic."" PLOS Neglected Tropical Diseases. N.p., n.d. Web. March 2011, Volume 5 Issue 3, Pages 1-15")</f>
        <v>Vercruysse, Jozef, Jerzy M. Behnke, Marco Albonico, Shaali Makame Ame, Cecile Angelbault, Jeffrey M. Bethony, Dirk Engels, Bertrand Guillard, Nuyen Thi Viet Hoa, Gagandeep Kang, Deepthi Kattula, Andrew C. Kotze, James S. McCarthy, Zeleke Mekonnen, Antonio Montresor, Maria Victoria Periago, Laurentine Sumo, Louis-Albert Tchuem Tchuente, Dang Thi Cam Thach, Ahmed Zeynudin, and Bruno Levecke. "Assessment of the Anthelmintic Efficacy of Albendazolein School Children in Seven Countries Where Soil-transmitted Helminths Are Endemic." PLOS Neglected Tropical Diseases. N.p., n.d. Web. March 2011, Volume 5 Issue 3, Pages 1-15</v>
      </c>
      <c r="AH134" s="834" t="str">
        <f>IFERROR(__xludf.DUMMYFUNCTION("""COMPUTED_VALUE"""),"x")</f>
        <v>x</v>
      </c>
      <c r="AJ134" s="843" t="str">
        <f>IFERROR(__xludf.DUMMYFUNCTION("""COMPUTED_VALUE"""),"Efficacy and tolerability of moxidectin alone and in co-administration with albendazole and tribendimidine versus albendazole plus oxantel pamoate against Trichuris trichiura infections: a randomised, non-inferiority, single-blind trial")</f>
        <v>Efficacy and tolerability of moxidectin alone and in co-administration with albendazole and tribendimidine versus albendazole plus oxantel pamoate against Trichuris trichiura infections: a randomised, non-inferiority, single-blind trial</v>
      </c>
      <c r="AK134" s="836" t="str">
        <f>IFERROR(__xludf.DUMMYFUNCTION("""COMPUTED_VALUE"""),"Barda B, Ame SM, Ali SM, Albonico M, Puchkov M, Huwyler J, Hattendorf J, Keiser J. Efficacy and tolerability of moxidectin alone and in co-administration with albendazole and tribendimidine versus albendazole plus oxantel pamoate against Trichuris trichiu"&amp;"ra infections: a randomised, non-inferiority, single-blind trial. Lancet Infect Dis. 2018 Aug;18(8):864-873. doi: 10.1016/S1473-3099(18)30233-0. Epub 2018 May 29. PMID: 29858149.")</f>
        <v>Barda B, Ame SM, Ali SM, Albonico M, Puchkov M, Huwyler J, Hattendorf J, Keiser J. Efficacy and tolerability of moxidectin alone and in co-administration with albendazole and tribendimidine versus albendazole plus oxantel pamoate against Trichuris trichiura infections: a randomised, non-inferiority, single-blind trial. Lancet Infect Dis. 2018 Aug;18(8):864-873. doi: 10.1016/S1473-3099(18)30233-0. Epub 2018 May 29. PMID: 29858149.</v>
      </c>
      <c r="AL134" s="836" t="str">
        <f>IFERROR(__xludf.DUMMYFUNCTION("""COMPUTED_VALUE"""),"Tanzania")</f>
        <v>Tanzania</v>
      </c>
      <c r="AM134" s="836" t="str">
        <f>IFERROR(__xludf.DUMMYFUNCTION("""COMPUTED_VALUE"""),"Moxidectin")</f>
        <v>Moxidectin</v>
      </c>
      <c r="AN134" s="836" t="str">
        <f>IFERROR(__xludf.DUMMYFUNCTION("""COMPUTED_VALUE"""),"Single")</f>
        <v>Single</v>
      </c>
      <c r="AO134" s="836" t="str">
        <f>IFERROR(__xludf.DUMMYFUNCTION("""COMPUTED_VALUE"""),"500 mg")</f>
        <v>500 mg</v>
      </c>
      <c r="AP134" s="836">
        <f>IFERROR(__xludf.DUMMYFUNCTION("""COMPUTED_VALUE"""),118.0)</f>
        <v>118</v>
      </c>
      <c r="AQ134" s="836">
        <f>IFERROR(__xludf.DUMMYFUNCTION("""COMPUTED_VALUE"""),13.9)</f>
        <v>13.9</v>
      </c>
      <c r="AR134" s="836" t="str">
        <f>IFERROR(__xludf.DUMMYFUNCTION("""COMPUTED_VALUE"""),"56M:76F")</f>
        <v>56M:76F</v>
      </c>
      <c r="AS134" s="836">
        <f>IFERROR(__xludf.DUMMYFUNCTION("""COMPUTED_VALUE"""),2017.0)</f>
        <v>2017</v>
      </c>
      <c r="AT134" s="836" t="str">
        <f>IFERROR(__xludf.DUMMYFUNCTION("""COMPUTED_VALUE"""),"Adolescents aged 12–18 years who tested positive for T trichiura")</f>
        <v>Adolescents aged 12–18 years who tested positive for T trichiura</v>
      </c>
      <c r="AU134" s="836" t="str">
        <f>IFERROR(__xludf.DUMMYFUNCTION("""COMPUTED_VALUE"""),"Yes")</f>
        <v>Yes</v>
      </c>
      <c r="AV134" s="836" t="str">
        <f>IFERROR(__xludf.DUMMYFUNCTION("""COMPUTED_VALUE"""),"Yes")</f>
        <v>Yes</v>
      </c>
      <c r="AW134" s="836" t="str">
        <f>IFERROR(__xludf.DUMMYFUNCTION("""COMPUTED_VALUE"""),"Single-blind")</f>
        <v>Single-blind</v>
      </c>
      <c r="AX134" s="841">
        <f>IFERROR(__xludf.DUMMYFUNCTION("""COMPUTED_VALUE"""),0.144)</f>
        <v>0.144</v>
      </c>
      <c r="AY134" s="836"/>
      <c r="AZ134" s="836"/>
      <c r="BA134" s="836"/>
      <c r="BB134" s="836"/>
      <c r="BC134" s="836"/>
      <c r="BD134" s="836"/>
      <c r="BE134" s="836"/>
      <c r="BF134" s="836"/>
      <c r="BG134" s="836"/>
      <c r="BH134" s="836" t="str">
        <f>IFERROR(__xludf.DUMMYFUNCTION("""COMPUTED_VALUE"""),"21st day: 20.40/g")</f>
        <v>21st day: 20.40/g</v>
      </c>
      <c r="BI134" s="836"/>
      <c r="BJ134" s="836"/>
      <c r="BK134" s="836"/>
      <c r="BL134" s="836"/>
      <c r="BM134" s="836"/>
      <c r="BN134" s="836" t="str">
        <f>IFERROR(__xludf.DUMMYFUNCTION("""COMPUTED_VALUE"""),"Moxidectin plus albendazole showed non-inferiority to albendazole plus oxantel pamoate in terms of ERR; however, albendazole plus oxantel pamoate showed a considerably higher cure rate.")</f>
        <v>Moxidectin plus albendazole showed non-inferiority to albendazole plus oxantel pamoate in terms of ERR; however, albendazole plus oxantel pamoate showed a considerably higher cure rate.</v>
      </c>
      <c r="BO134" s="836" t="str">
        <f>IFERROR(__xludf.DUMMYFUNCTION("""COMPUTED_VALUE"""),"Kato-Katz technique")</f>
        <v>Kato-Katz technique</v>
      </c>
      <c r="BP134" s="836"/>
      <c r="BQ134" s="697"/>
      <c r="BR134" s="844" t="str">
        <f>IFERROR(__xludf.DUMMYFUNCTION("""COMPUTED_VALUE"""),"Chege et al.")</f>
        <v>Chege et al.</v>
      </c>
      <c r="BS134" s="838" t="str">
        <f>IFERROR(__xludf.DUMMYFUNCTION("""COMPUTED_VALUE"""),"Kenya")</f>
        <v>Kenya</v>
      </c>
      <c r="BT134" s="838" t="str">
        <f>IFERROR(__xludf.DUMMYFUNCTION("""COMPUTED_VALUE"""),"Bephenium")</f>
        <v>Bephenium</v>
      </c>
      <c r="BU134" s="838"/>
      <c r="BV134" s="838" t="str">
        <f>IFERROR(__xludf.DUMMYFUNCTION("""COMPUTED_VALUE"""),"Single")</f>
        <v>Single</v>
      </c>
      <c r="BW134" s="838" t="str">
        <f>IFERROR(__xludf.DUMMYFUNCTION("""COMPUTED_VALUE"""),"5 gm")</f>
        <v>5 gm</v>
      </c>
      <c r="BX134" s="838">
        <f>IFERROR(__xludf.DUMMYFUNCTION("""COMPUTED_VALUE"""),19.0)</f>
        <v>19</v>
      </c>
      <c r="BY134" s="838" t="str">
        <f>IFERROR(__xludf.DUMMYFUNCTION("""COMPUTED_VALUE"""),"School Children")</f>
        <v>School Children</v>
      </c>
      <c r="BZ134" s="838"/>
      <c r="CA134" s="838" t="str">
        <f>IFERROR(__xludf.DUMMYFUNCTION("""COMPUTED_VALUE"""),"M &amp; F")</f>
        <v>M &amp; F</v>
      </c>
      <c r="CB134" s="838"/>
      <c r="CC134" s="838" t="str">
        <f>IFERROR(__xludf.DUMMYFUNCTION("""COMPUTED_VALUE"""),"Yes")</f>
        <v>Yes</v>
      </c>
      <c r="CD134" s="846">
        <f>IFERROR(__xludf.DUMMYFUNCTION("""COMPUTED_VALUE"""),0.74)</f>
        <v>0.74</v>
      </c>
      <c r="CE134" s="838" t="str">
        <f>IFERROR(__xludf.DUMMYFUNCTION("""COMPUTED_VALUE"""),"Yes")</f>
        <v>Yes</v>
      </c>
      <c r="CF134" s="838"/>
      <c r="CG134" s="838"/>
      <c r="CH134" s="838"/>
      <c r="CI134" s="838"/>
      <c r="CJ134" s="838"/>
      <c r="CK134" s="838"/>
      <c r="CL134" s="838"/>
      <c r="CM134" s="838" t="str">
        <f>IFERROR(__xludf.DUMMYFUNCTION("""COMPUTED_VALUE"""),"Mean Slide: 1.5")</f>
        <v>Mean Slide: 1.5</v>
      </c>
      <c r="CN134" s="838"/>
      <c r="CO134" s="838"/>
      <c r="CP134" s="838"/>
      <c r="CQ134" s="838"/>
      <c r="CR134" s="838"/>
      <c r="CS134" s="838"/>
      <c r="CT134" s="838"/>
      <c r="CU134" s="838"/>
      <c r="CV134" s="697" t="str">
        <f>IFERROR(__xludf.DUMMYFUNCTION("""COMPUTED_VALUE"""),"Chege SW, Gitoho F, Wanene GS, Mwega VJ, ReesPH, Kinyanjui H. Single dose treatment of hookwormin Murang’a district. East Afr Med J. 1974;51(1):60-62.")</f>
        <v>Chege SW, Gitoho F, Wanene GS, Mwega VJ, ReesPH, Kinyanjui H. Single dose treatment of hookwormin Murang’a district. East Afr Med J. 1974;51(1):60-62.</v>
      </c>
    </row>
    <row r="135">
      <c r="A135" s="842" t="str">
        <f>IFERROR(__xludf.DUMMYFUNCTION("""COMPUTED_VALUE"""),"Vercruysse et al.")</f>
        <v>Vercruysse et al.</v>
      </c>
      <c r="B135" s="834" t="str">
        <f>IFERROR(__xludf.DUMMYFUNCTION("""COMPUTED_VALUE"""),"Viet Nam")</f>
        <v>Viet Nam</v>
      </c>
      <c r="C135" s="834" t="str">
        <f>IFERROR(__xludf.DUMMYFUNCTION("""COMPUTED_VALUE"""),"Albendazole")</f>
        <v>Albendazole</v>
      </c>
      <c r="D135" s="834" t="str">
        <f>IFERROR(__xludf.DUMMYFUNCTION("""COMPUTED_VALUE"""),"Single")</f>
        <v>Single</v>
      </c>
      <c r="E135" s="834" t="str">
        <f>IFERROR(__xludf.DUMMYFUNCTION("""COMPUTED_VALUE"""),"400 mg")</f>
        <v>400 mg</v>
      </c>
      <c r="F135" s="834">
        <f>IFERROR(__xludf.DUMMYFUNCTION("""COMPUTED_VALUE"""),58.0)</f>
        <v>58</v>
      </c>
      <c r="G135" s="849">
        <f>IFERROR(__xludf.DUMMYFUNCTION("""COMPUTED_VALUE"""),42478.0)</f>
        <v>42478</v>
      </c>
      <c r="H135" s="834"/>
      <c r="I135" s="834">
        <f>IFERROR(__xludf.DUMMYFUNCTION("""COMPUTED_VALUE"""),2009.0)</f>
        <v>2009</v>
      </c>
      <c r="J135" s="834"/>
      <c r="K135" s="839" t="str">
        <f>IFERROR(__xludf.DUMMYFUNCTION("""COMPUTED_VALUE"""),"randomized clinical trial")</f>
        <v>randomized clinical trial</v>
      </c>
      <c r="L135" s="839" t="str">
        <f>IFERROR(__xludf.DUMMYFUNCTION("""COMPUTED_VALUE"""),"Yes")</f>
        <v>Yes</v>
      </c>
      <c r="M135" s="839" t="str">
        <f>IFERROR(__xludf.DUMMYFUNCTION("""COMPUTED_VALUE"""),"No")</f>
        <v>No</v>
      </c>
      <c r="N135" s="840">
        <f>IFERROR(__xludf.DUMMYFUNCTION("""COMPUTED_VALUE"""),1.0)</f>
        <v>1</v>
      </c>
      <c r="O135" s="834"/>
      <c r="P135" s="834"/>
      <c r="Q135" s="834"/>
      <c r="R135" s="834"/>
      <c r="S135" s="834"/>
      <c r="T135" s="834"/>
      <c r="U135" s="834"/>
      <c r="V135" s="834"/>
      <c r="W135" s="840">
        <f>IFERROR(__xludf.DUMMYFUNCTION("""COMPUTED_VALUE"""),1.0)</f>
        <v>1</v>
      </c>
      <c r="X135" s="834"/>
      <c r="Y135" s="834" t="str">
        <f>IFERROR(__xludf.DUMMYFUNCTION("""COMPUTED_VALUE"""),"Between 14 and 30 days: 99.3%, 100%")</f>
        <v>Between 14 and 30 days: 99.3%, 100%</v>
      </c>
      <c r="Z135" s="834"/>
      <c r="AA135" s="834"/>
      <c r="AB135" s="834"/>
      <c r="AC135" s="834"/>
      <c r="AD135" s="834"/>
      <c r="AE135" s="834" t="str">
        <f>IFERROR(__xludf.DUMMYFUNCTION("""COMPUTED_VALUE"""),"The results confirm the therapeutic efficacy of this treatment against and hookworms...our findings emphasize the need to revise the WHO recommended efficacy threshold for single dose ALB treatments.")</f>
        <v>The results confirm the therapeutic efficacy of this treatment against and hookworms...our findings emphasize the need to revise the WHO recommended efficacy threshold for single dose ALB treatments.</v>
      </c>
      <c r="AF135" s="834" t="str">
        <f>IFERROR(__xludf.DUMMYFUNCTION("""COMPUTED_VALUE"""),"McMaster Method")</f>
        <v>McMaster Method</v>
      </c>
      <c r="AG135" s="834" t="str">
        <f>IFERROR(__xludf.DUMMYFUNCTION("""COMPUTED_VALUE"""),"Vercruysse, Jozef, Jerzy M. Behnke, Marco Albonico, Shaali Makame Ame, Cecile Angelbault, Jeffrey M. Bethony, Dirk Engels, Bertrand Guillard, Nuyen Thi Viet Hoa, Gagandeep Kang, Deepthi Kattula, Andrew C. Kotze, James S. McCarthy, Zeleke Mekonnen, Antonio"&amp;" Montresor, Maria Victoria Periago, Laurentine Sumo, Louis-Albert Tchuem Tchuente, Dang Thi Cam Thach, Ahmed Zeynudin, and Bruno Levecke. ""Assessment of the Anthelmintic Efficacy of Albendazolein School Children in Seven Countries Where Soil-transmitted "&amp;"Helminths Are Endemic."" PLOS Neglected Tropical Diseases. N.p., n.d. Web. March 2011, Volume 5 Issue 3, Pages 1-16")</f>
        <v>Vercruysse, Jozef, Jerzy M. Behnke, Marco Albonico, Shaali Makame Ame, Cecile Angelbault, Jeffrey M. Bethony, Dirk Engels, Bertrand Guillard, Nuyen Thi Viet Hoa, Gagandeep Kang, Deepthi Kattula, Andrew C. Kotze, James S. McCarthy, Zeleke Mekonnen, Antonio Montresor, Maria Victoria Periago, Laurentine Sumo, Louis-Albert Tchuem Tchuente, Dang Thi Cam Thach, Ahmed Zeynudin, and Bruno Levecke. "Assessment of the Anthelmintic Efficacy of Albendazolein School Children in Seven Countries Where Soil-transmitted Helminths Are Endemic." PLOS Neglected Tropical Diseases. N.p., n.d. Web. March 2011, Volume 5 Issue 3, Pages 1-16</v>
      </c>
      <c r="AH135" s="834" t="str">
        <f>IFERROR(__xludf.DUMMYFUNCTION("""COMPUTED_VALUE"""),"x")</f>
        <v>x</v>
      </c>
      <c r="AJ135" s="843" t="str">
        <f>IFERROR(__xludf.DUMMYFUNCTION("""COMPUTED_VALUE"""),"Efficacy of Albendazole and Mebendazole With or Without Levamisole for Ascariasis and Trichuriasis")</f>
        <v>Efficacy of Albendazole and Mebendazole With or Without Levamisole for Ascariasis and Trichuriasis</v>
      </c>
      <c r="AK135" s="836" t="str">
        <f>IFERROR(__xludf.DUMMYFUNCTION("""COMPUTED_VALUE"""),"Anto EJ, Nugraha SE. Efficacy of Albendazole and Mebendazole With or Without Levamisole for Ascariasis and Trichuriasis. Open Access Maced J Med Sci. 2019 Apr 28;7(8):1299-1302. doi: 10.3889/oamjms.2019.299. PMID: 31110573; PMCID: PMC6514329.")</f>
        <v>Anto EJ, Nugraha SE. Efficacy of Albendazole and Mebendazole With or Without Levamisole for Ascariasis and Trichuriasis. Open Access Maced J Med Sci. 2019 Apr 28;7(8):1299-1302. doi: 10.3889/oamjms.2019.299. PMID: 31110573; PMCID: PMC6514329.</v>
      </c>
      <c r="AL135" s="836" t="str">
        <f>IFERROR(__xludf.DUMMYFUNCTION("""COMPUTED_VALUE"""),"Indonesia")</f>
        <v>Indonesia</v>
      </c>
      <c r="AM135" s="836" t="str">
        <f>IFERROR(__xludf.DUMMYFUNCTION("""COMPUTED_VALUE"""),"Albendazole")</f>
        <v>Albendazole</v>
      </c>
      <c r="AN135" s="836" t="str">
        <f>IFERROR(__xludf.DUMMYFUNCTION("""COMPUTED_VALUE"""),"Single")</f>
        <v>Single</v>
      </c>
      <c r="AO135" s="836" t="str">
        <f>IFERROR(__xludf.DUMMYFUNCTION("""COMPUTED_VALUE"""),"400 mg")</f>
        <v>400 mg</v>
      </c>
      <c r="AP135" s="836">
        <f>IFERROR(__xludf.DUMMYFUNCTION("""COMPUTED_VALUE"""),60.0)</f>
        <v>60</v>
      </c>
      <c r="AQ135" s="836">
        <f>IFERROR(__xludf.DUMMYFUNCTION("""COMPUTED_VALUE"""),9.2)</f>
        <v>9.2</v>
      </c>
      <c r="AR135" s="836" t="str">
        <f>IFERROR(__xludf.DUMMYFUNCTION("""COMPUTED_VALUE"""),"35M:25F")</f>
        <v>35M:25F</v>
      </c>
      <c r="AS135" s="836">
        <f>IFERROR(__xludf.DUMMYFUNCTION("""COMPUTED_VALUE"""),2015.0)</f>
        <v>2015</v>
      </c>
      <c r="AT135" s="836" t="str">
        <f>IFERROR(__xludf.DUMMYFUNCTION("""COMPUTED_VALUE"""),"The sample of this study were 180 elementary-school students at Deli Serdang Regency State Elementary School, Medan, Indonesia")</f>
        <v>The sample of this study were 180 elementary-school students at Deli Serdang Regency State Elementary School, Medan, Indonesia</v>
      </c>
      <c r="AU135" s="836" t="str">
        <f>IFERROR(__xludf.DUMMYFUNCTION("""COMPUTED_VALUE"""),"Yes")</f>
        <v>Yes</v>
      </c>
      <c r="AV135" s="836" t="str">
        <f>IFERROR(__xludf.DUMMYFUNCTION("""COMPUTED_VALUE"""),"Yes")</f>
        <v>Yes</v>
      </c>
      <c r="AW135" s="836" t="str">
        <f>IFERROR(__xludf.DUMMYFUNCTION("""COMPUTED_VALUE"""),"Double blind")</f>
        <v>Double blind</v>
      </c>
      <c r="AX135" s="841">
        <f>IFERROR(__xludf.DUMMYFUNCTION("""COMPUTED_VALUE"""),0.667)</f>
        <v>0.667</v>
      </c>
      <c r="AY135" s="836"/>
      <c r="AZ135" s="836"/>
      <c r="BA135" s="836"/>
      <c r="BB135" s="836"/>
      <c r="BC135" s="836"/>
      <c r="BD135" s="836"/>
      <c r="BE135" s="836"/>
      <c r="BF135" s="836"/>
      <c r="BG135" s="836"/>
      <c r="BH135" s="836" t="str">
        <f>IFERROR(__xludf.DUMMYFUNCTION("""COMPUTED_VALUE"""),"21st day: 7.60/g")</f>
        <v>21st day: 7.60/g</v>
      </c>
      <c r="BI135" s="836"/>
      <c r="BJ135" s="836"/>
      <c r="BK135" s="836"/>
      <c r="BL135" s="836"/>
      <c r="BM135" s="836"/>
      <c r="BN135" s="836" t="str">
        <f>IFERROR(__xludf.DUMMYFUNCTION("""COMPUTED_VALUE"""),"Combination of albendazole and levamisole showed better cure rate for mild trichuriasis and mixed infections. Side effects were similar in all treatment groups.")</f>
        <v>Combination of albendazole and levamisole showed better cure rate for mild trichuriasis and mixed infections. Side effects were similar in all treatment groups.</v>
      </c>
      <c r="BO135" s="836" t="str">
        <f>IFERROR(__xludf.DUMMYFUNCTION("""COMPUTED_VALUE"""),"Kato-Katz technique")</f>
        <v>Kato-Katz technique</v>
      </c>
      <c r="BP135" s="836"/>
      <c r="BQ135" s="697"/>
      <c r="BR135" s="844" t="str">
        <f>IFERROR(__xludf.DUMMYFUNCTION("""COMPUTED_VALUE"""),"Chege et al.")</f>
        <v>Chege et al.</v>
      </c>
      <c r="BS135" s="838" t="str">
        <f>IFERROR(__xludf.DUMMYFUNCTION("""COMPUTED_VALUE"""),"Kenya")</f>
        <v>Kenya</v>
      </c>
      <c r="BT135" s="838" t="str">
        <f>IFERROR(__xludf.DUMMYFUNCTION("""COMPUTED_VALUE"""),"Levamisole")</f>
        <v>Levamisole</v>
      </c>
      <c r="BU135" s="838"/>
      <c r="BV135" s="838" t="str">
        <f>IFERROR(__xludf.DUMMYFUNCTION("""COMPUTED_VALUE"""),"Single")</f>
        <v>Single</v>
      </c>
      <c r="BW135" s="838" t="str">
        <f>IFERROR(__xludf.DUMMYFUNCTION("""COMPUTED_VALUE"""),"8 mg")</f>
        <v>8 mg</v>
      </c>
      <c r="BX135" s="838">
        <f>IFERROR(__xludf.DUMMYFUNCTION("""COMPUTED_VALUE"""),22.0)</f>
        <v>22</v>
      </c>
      <c r="BY135" s="838" t="str">
        <f>IFERROR(__xludf.DUMMYFUNCTION("""COMPUTED_VALUE"""),"School Children")</f>
        <v>School Children</v>
      </c>
      <c r="BZ135" s="838"/>
      <c r="CA135" s="838" t="str">
        <f>IFERROR(__xludf.DUMMYFUNCTION("""COMPUTED_VALUE"""),"M &amp; F")</f>
        <v>M &amp; F</v>
      </c>
      <c r="CB135" s="838"/>
      <c r="CC135" s="838" t="str">
        <f>IFERROR(__xludf.DUMMYFUNCTION("""COMPUTED_VALUE"""),"Yes")</f>
        <v>Yes</v>
      </c>
      <c r="CD135" s="846">
        <f>IFERROR(__xludf.DUMMYFUNCTION("""COMPUTED_VALUE"""),0.86)</f>
        <v>0.86</v>
      </c>
      <c r="CE135" s="838" t="str">
        <f>IFERROR(__xludf.DUMMYFUNCTION("""COMPUTED_VALUE"""),"Yes")</f>
        <v>Yes</v>
      </c>
      <c r="CF135" s="838"/>
      <c r="CG135" s="838"/>
      <c r="CH135" s="838"/>
      <c r="CI135" s="838"/>
      <c r="CJ135" s="838"/>
      <c r="CK135" s="838"/>
      <c r="CL135" s="838"/>
      <c r="CM135" s="838" t="str">
        <f>IFERROR(__xludf.DUMMYFUNCTION("""COMPUTED_VALUE"""),"Mean Slide: 1.9")</f>
        <v>Mean Slide: 1.9</v>
      </c>
      <c r="CN135" s="838"/>
      <c r="CO135" s="838"/>
      <c r="CP135" s="838"/>
      <c r="CQ135" s="838"/>
      <c r="CR135" s="838"/>
      <c r="CS135" s="838"/>
      <c r="CT135" s="838"/>
      <c r="CU135" s="838"/>
      <c r="CV135" s="697" t="str">
        <f>IFERROR(__xludf.DUMMYFUNCTION("""COMPUTED_VALUE"""),"Chege SW, Gitoho F, Wanene GS, Mwega VJ, ReesPH, Kinyanjui H. Single dose treatment of hookwormin Murang’a district. East Afr Med J. 1974;51(1):60-62.")</f>
        <v>Chege SW, Gitoho F, Wanene GS, Mwega VJ, ReesPH, Kinyanjui H. Single dose treatment of hookwormin Murang’a district. East Afr Med J. 1974;51(1):60-62.</v>
      </c>
    </row>
    <row r="136">
      <c r="A136" s="842" t="str">
        <f>IFERROR(__xludf.DUMMYFUNCTION("""COMPUTED_VALUE"""),"Viravan et al.")</f>
        <v>Viravan et al.</v>
      </c>
      <c r="B136" s="834" t="str">
        <f>IFERROR(__xludf.DUMMYFUNCTION("""COMPUTED_VALUE"""),"Thailand")</f>
        <v>Thailand</v>
      </c>
      <c r="C136" s="834" t="str">
        <f>IFERROR(__xludf.DUMMYFUNCTION("""COMPUTED_VALUE"""),"Albendazole")</f>
        <v>Albendazole</v>
      </c>
      <c r="D136" s="834" t="str">
        <f>IFERROR(__xludf.DUMMYFUNCTION("""COMPUTED_VALUE"""),"Single")</f>
        <v>Single</v>
      </c>
      <c r="E136" s="834" t="str">
        <f>IFERROR(__xludf.DUMMYFUNCTION("""COMPUTED_VALUE"""),"400 mg")</f>
        <v>400 mg</v>
      </c>
      <c r="F136" s="834">
        <f>IFERROR(__xludf.DUMMYFUNCTION("""COMPUTED_VALUE"""),22.0)</f>
        <v>22</v>
      </c>
      <c r="G136" s="834" t="str">
        <f>IFERROR(__xludf.DUMMYFUNCTION("""COMPUTED_VALUE"""),"12-57 ")</f>
        <v>12-57 </v>
      </c>
      <c r="H136" s="834" t="str">
        <f>IFERROR(__xludf.DUMMYFUNCTION("""COMPUTED_VALUE"""),"15:7")</f>
        <v>15:7</v>
      </c>
      <c r="I136" s="834">
        <f>IFERROR(__xludf.DUMMYFUNCTION("""COMPUTED_VALUE"""),1981.0)</f>
        <v>1981</v>
      </c>
      <c r="J136" s="834"/>
      <c r="K136" s="839" t="str">
        <f>IFERROR(__xludf.DUMMYFUNCTION("""COMPUTED_VALUE"""),"clinical trial")</f>
        <v>clinical trial</v>
      </c>
      <c r="L136" s="839" t="str">
        <f>IFERROR(__xludf.DUMMYFUNCTION("""COMPUTED_VALUE"""),"No")</f>
        <v>No</v>
      </c>
      <c r="M136" s="839" t="str">
        <f>IFERROR(__xludf.DUMMYFUNCTION("""COMPUTED_VALUE"""),"No")</f>
        <v>No</v>
      </c>
      <c r="N136" s="853">
        <f>IFERROR(__xludf.DUMMYFUNCTION("""COMPUTED_VALUE"""),0.64)</f>
        <v>0.64</v>
      </c>
      <c r="O136" s="853">
        <f>IFERROR(__xludf.DUMMYFUNCTION("""COMPUTED_VALUE"""),0.57)</f>
        <v>0.57</v>
      </c>
      <c r="P136" s="853">
        <f>IFERROR(__xludf.DUMMYFUNCTION("""COMPUTED_VALUE"""),0.64)</f>
        <v>0.64</v>
      </c>
      <c r="Q136" s="834"/>
      <c r="R136" s="834"/>
      <c r="S136" s="834"/>
      <c r="T136" s="834"/>
      <c r="U136" s="834"/>
      <c r="V136" s="834"/>
      <c r="W136" s="834" t="str">
        <f>IFERROR(__xludf.DUMMYFUNCTION("""COMPUTED_VALUE"""),"Day 14: 95.04%, Day 21: 92.79% ")</f>
        <v>Day 14: 95.04%, Day 21: 92.79% </v>
      </c>
      <c r="X136" s="834"/>
      <c r="Y136" s="834"/>
      <c r="Z136" s="834"/>
      <c r="AA136" s="834"/>
      <c r="AB136" s="834"/>
      <c r="AC136" s="834"/>
      <c r="AD136" s="834"/>
      <c r="AE136" s="834"/>
      <c r="AF136" s="834" t="str">
        <f>IFERROR(__xludf.DUMMYFUNCTION("""COMPUTED_VALUE"""),"Stoll egg count")</f>
        <v>Stoll egg count</v>
      </c>
      <c r="AG136" s="834" t="str">
        <f>IFERROR(__xludf.DUMMYFUNCTION("""COMPUTED_VALUE"""),"Viravan C, Migasena S, Bunnag D, Tranakchit H. “Clinical Trial of Albendazolein Hookworm Infection”. The Southeast Asian Journal of Tropical Medicine and Public Health (1982): 654-657. Web.")</f>
        <v>Viravan C, Migasena S, Bunnag D, Tranakchit H. “Clinical Trial of Albendazolein Hookworm Infection”. The Southeast Asian Journal of Tropical Medicine and Public Health (1982): 654-657. Web.</v>
      </c>
      <c r="AH136" s="834"/>
      <c r="AJ136" s="843" t="str">
        <f>IFERROR(__xludf.DUMMYFUNCTION("""COMPUTED_VALUE"""),"Efficacy of Albendazole and Mebendazole With or Without Levamisole for Ascariasis and Trichuriasis")</f>
        <v>Efficacy of Albendazole and Mebendazole With or Without Levamisole for Ascariasis and Trichuriasis</v>
      </c>
      <c r="AK136" s="836" t="str">
        <f>IFERROR(__xludf.DUMMYFUNCTION("""COMPUTED_VALUE"""),"Anto EJ, Nugraha SE. Efficacy of Albendazole and Mebendazole With or Without Levamisole for Ascariasis and Trichuriasis. Open Access Maced J Med Sci. 2019 Apr 28;7(8):1299-1302. doi: 10.3889/oamjms.2019.299. PMID: 31110573; PMCID: PMC6514329.")</f>
        <v>Anto EJ, Nugraha SE. Efficacy of Albendazole and Mebendazole With or Without Levamisole for Ascariasis and Trichuriasis. Open Access Maced J Med Sci. 2019 Apr 28;7(8):1299-1302. doi: 10.3889/oamjms.2019.299. PMID: 31110573; PMCID: PMC6514329.</v>
      </c>
      <c r="AL136" s="836" t="str">
        <f>IFERROR(__xludf.DUMMYFUNCTION("""COMPUTED_VALUE"""),"Indonesia")</f>
        <v>Indonesia</v>
      </c>
      <c r="AM136" s="836" t="str">
        <f>IFERROR(__xludf.DUMMYFUNCTION("""COMPUTED_VALUE"""),"Albendazole &amp; Levamisole")</f>
        <v>Albendazole &amp; Levamisole</v>
      </c>
      <c r="AN136" s="836" t="str">
        <f>IFERROR(__xludf.DUMMYFUNCTION("""COMPUTED_VALUE"""),"Single")</f>
        <v>Single</v>
      </c>
      <c r="AO136" s="836" t="str">
        <f>IFERROR(__xludf.DUMMYFUNCTION("""COMPUTED_VALUE"""),"400 mg; 2 tablets of 25 mg (for children weighed 10 – 20 kg), 400 mg; 4 tablets of 25 mg(for children weighed 21 – 40 kg), 400 mg; 6 tablets of 25 mg (for children weighed &gt; 40 kg)")</f>
        <v>400 mg; 2 tablets of 25 mg (for children weighed 10 – 20 kg), 400 mg; 4 tablets of 25 mg(for children weighed 21 – 40 kg), 400 mg; 6 tablets of 25 mg (for children weighed &gt; 40 kg)</v>
      </c>
      <c r="AP136" s="836">
        <f>IFERROR(__xludf.DUMMYFUNCTION("""COMPUTED_VALUE"""),60.0)</f>
        <v>60</v>
      </c>
      <c r="AQ136" s="836">
        <f>IFERROR(__xludf.DUMMYFUNCTION("""COMPUTED_VALUE"""),8.9)</f>
        <v>8.9</v>
      </c>
      <c r="AR136" s="836" t="str">
        <f>IFERROR(__xludf.DUMMYFUNCTION("""COMPUTED_VALUE"""),"28M:32F")</f>
        <v>28M:32F</v>
      </c>
      <c r="AS136" s="836">
        <f>IFERROR(__xludf.DUMMYFUNCTION("""COMPUTED_VALUE"""),2015.0)</f>
        <v>2015</v>
      </c>
      <c r="AT136" s="836" t="str">
        <f>IFERROR(__xludf.DUMMYFUNCTION("""COMPUTED_VALUE"""),"The sample of this study were 180 elementary-school students at Deli Serdang Regency State Elementary School, Medan, Indonesia")</f>
        <v>The sample of this study were 180 elementary-school students at Deli Serdang Regency State Elementary School, Medan, Indonesia</v>
      </c>
      <c r="AU136" s="836" t="str">
        <f>IFERROR(__xludf.DUMMYFUNCTION("""COMPUTED_VALUE"""),"Yes")</f>
        <v>Yes</v>
      </c>
      <c r="AV136" s="836" t="str">
        <f>IFERROR(__xludf.DUMMYFUNCTION("""COMPUTED_VALUE"""),"Yes")</f>
        <v>Yes</v>
      </c>
      <c r="AW136" s="836" t="str">
        <f>IFERROR(__xludf.DUMMYFUNCTION("""COMPUTED_VALUE"""),"Double blind")</f>
        <v>Double blind</v>
      </c>
      <c r="AX136" s="841">
        <f>IFERROR(__xludf.DUMMYFUNCTION("""COMPUTED_VALUE"""),0.947)</f>
        <v>0.947</v>
      </c>
      <c r="AY136" s="836"/>
      <c r="AZ136" s="836"/>
      <c r="BA136" s="836"/>
      <c r="BB136" s="836"/>
      <c r="BC136" s="836"/>
      <c r="BD136" s="836"/>
      <c r="BE136" s="836"/>
      <c r="BF136" s="836"/>
      <c r="BG136" s="836"/>
      <c r="BH136" s="836" t="str">
        <f>IFERROR(__xludf.DUMMYFUNCTION("""COMPUTED_VALUE"""),"21st day: 8.80/g")</f>
        <v>21st day: 8.80/g</v>
      </c>
      <c r="BI136" s="836"/>
      <c r="BJ136" s="836"/>
      <c r="BK136" s="836"/>
      <c r="BL136" s="836"/>
      <c r="BM136" s="836"/>
      <c r="BN136" s="836" t="str">
        <f>IFERROR(__xludf.DUMMYFUNCTION("""COMPUTED_VALUE"""),"Combination of albendazole and levamisole showed better cure rate for mild trichuriasis and mixed infections. Side effects were similar in all treatment groups.")</f>
        <v>Combination of albendazole and levamisole showed better cure rate for mild trichuriasis and mixed infections. Side effects were similar in all treatment groups.</v>
      </c>
      <c r="BO136" s="836" t="str">
        <f>IFERROR(__xludf.DUMMYFUNCTION("""COMPUTED_VALUE"""),"Kato-Katz technique")</f>
        <v>Kato-Katz technique</v>
      </c>
      <c r="BP136" s="836"/>
      <c r="BQ136" s="697"/>
      <c r="BR136" s="844" t="str">
        <f>IFERROR(__xludf.DUMMYFUNCTION("""COMPUTED_VALUE"""),"Chege et al.")</f>
        <v>Chege et al.</v>
      </c>
      <c r="BS136" s="838" t="str">
        <f>IFERROR(__xludf.DUMMYFUNCTION("""COMPUTED_VALUE"""),"Kenya")</f>
        <v>Kenya</v>
      </c>
      <c r="BT136" s="838" t="str">
        <f>IFERROR(__xludf.DUMMYFUNCTION("""COMPUTED_VALUE"""),"Pyrantel Pamoate")</f>
        <v>Pyrantel Pamoate</v>
      </c>
      <c r="BU136" s="838"/>
      <c r="BV136" s="838" t="str">
        <f>IFERROR(__xludf.DUMMYFUNCTION("""COMPUTED_VALUE"""),"Single")</f>
        <v>Single</v>
      </c>
      <c r="BW136" s="838" t="str">
        <f>IFERROR(__xludf.DUMMYFUNCTION("""COMPUTED_VALUE"""),"10 mg")</f>
        <v>10 mg</v>
      </c>
      <c r="BX136" s="838">
        <f>IFERROR(__xludf.DUMMYFUNCTION("""COMPUTED_VALUE"""),20.0)</f>
        <v>20</v>
      </c>
      <c r="BY136" s="838" t="str">
        <f>IFERROR(__xludf.DUMMYFUNCTION("""COMPUTED_VALUE"""),"School Children")</f>
        <v>School Children</v>
      </c>
      <c r="BZ136" s="838"/>
      <c r="CA136" s="838" t="str">
        <f>IFERROR(__xludf.DUMMYFUNCTION("""COMPUTED_VALUE"""),"M &amp; F")</f>
        <v>M &amp; F</v>
      </c>
      <c r="CB136" s="838"/>
      <c r="CC136" s="838" t="str">
        <f>IFERROR(__xludf.DUMMYFUNCTION("""COMPUTED_VALUE"""),"Yes")</f>
        <v>Yes</v>
      </c>
      <c r="CD136" s="846">
        <f>IFERROR(__xludf.DUMMYFUNCTION("""COMPUTED_VALUE"""),0.9)</f>
        <v>0.9</v>
      </c>
      <c r="CE136" s="838" t="str">
        <f>IFERROR(__xludf.DUMMYFUNCTION("""COMPUTED_VALUE"""),"Yes")</f>
        <v>Yes</v>
      </c>
      <c r="CF136" s="838"/>
      <c r="CG136" s="838"/>
      <c r="CH136" s="838"/>
      <c r="CI136" s="838"/>
      <c r="CJ136" s="838"/>
      <c r="CK136" s="838"/>
      <c r="CL136" s="838"/>
      <c r="CM136" s="838" t="str">
        <f>IFERROR(__xludf.DUMMYFUNCTION("""COMPUTED_VALUE"""),"Mean Slide: 1.0")</f>
        <v>Mean Slide: 1.0</v>
      </c>
      <c r="CN136" s="838"/>
      <c r="CO136" s="838"/>
      <c r="CP136" s="838"/>
      <c r="CQ136" s="838"/>
      <c r="CR136" s="838"/>
      <c r="CS136" s="838"/>
      <c r="CT136" s="838"/>
      <c r="CU136" s="838"/>
      <c r="CV136" s="697" t="str">
        <f>IFERROR(__xludf.DUMMYFUNCTION("""COMPUTED_VALUE"""),"Chege SW, Gitoho F, Wanene GS, Mwega VJ, ReesPH, Kinyanjui H. Single dose treatment of hookwormin Murang’a district. East Afr Med J. 1974;51(1):60-62.")</f>
        <v>Chege SW, Gitoho F, Wanene GS, Mwega VJ, ReesPH, Kinyanjui H. Single dose treatment of hookwormin Murang’a district. East Afr Med J. 1974;51(1):60-62.</v>
      </c>
    </row>
    <row r="137">
      <c r="A137" s="842" t="str">
        <f>IFERROR(__xludf.DUMMYFUNCTION("""COMPUTED_VALUE"""),"Viravan et al.")</f>
        <v>Viravan et al.</v>
      </c>
      <c r="B137" s="834" t="str">
        <f>IFERROR(__xludf.DUMMYFUNCTION("""COMPUTED_VALUE"""),"Thailand")</f>
        <v>Thailand</v>
      </c>
      <c r="C137" s="834" t="str">
        <f>IFERROR(__xludf.DUMMYFUNCTION("""COMPUTED_VALUE"""),"Albendazole")</f>
        <v>Albendazole</v>
      </c>
      <c r="D137" s="834" t="str">
        <f>IFERROR(__xludf.DUMMYFUNCTION("""COMPUTED_VALUE"""),"Single")</f>
        <v>Single</v>
      </c>
      <c r="E137" s="834" t="str">
        <f>IFERROR(__xludf.DUMMYFUNCTION("""COMPUTED_VALUE"""),"600 mg")</f>
        <v>600 mg</v>
      </c>
      <c r="F137" s="834">
        <f>IFERROR(__xludf.DUMMYFUNCTION("""COMPUTED_VALUE"""),13.0)</f>
        <v>13</v>
      </c>
      <c r="G137" s="834" t="str">
        <f>IFERROR(__xludf.DUMMYFUNCTION("""COMPUTED_VALUE"""),"12-66 ")</f>
        <v>12-66 </v>
      </c>
      <c r="H137" s="834" t="str">
        <f>IFERROR(__xludf.DUMMYFUNCTION("""COMPUTED_VALUE"""),"6:7")</f>
        <v>6:7</v>
      </c>
      <c r="I137" s="834">
        <f>IFERROR(__xludf.DUMMYFUNCTION("""COMPUTED_VALUE"""),1981.0)</f>
        <v>1981</v>
      </c>
      <c r="J137" s="834"/>
      <c r="K137" s="839" t="str">
        <f>IFERROR(__xludf.DUMMYFUNCTION("""COMPUTED_VALUE"""),"clinical trial")</f>
        <v>clinical trial</v>
      </c>
      <c r="L137" s="839" t="str">
        <f>IFERROR(__xludf.DUMMYFUNCTION("""COMPUTED_VALUE"""),"No")</f>
        <v>No</v>
      </c>
      <c r="M137" s="839" t="str">
        <f>IFERROR(__xludf.DUMMYFUNCTION("""COMPUTED_VALUE"""),"No")</f>
        <v>No</v>
      </c>
      <c r="N137" s="853">
        <f>IFERROR(__xludf.DUMMYFUNCTION("""COMPUTED_VALUE"""),0.46)</f>
        <v>0.46</v>
      </c>
      <c r="O137" s="853">
        <f>IFERROR(__xludf.DUMMYFUNCTION("""COMPUTED_VALUE"""),0.62)</f>
        <v>0.62</v>
      </c>
      <c r="P137" s="853">
        <f>IFERROR(__xludf.DUMMYFUNCTION("""COMPUTED_VALUE"""),0.46)</f>
        <v>0.46</v>
      </c>
      <c r="Q137" s="834"/>
      <c r="R137" s="834"/>
      <c r="S137" s="834"/>
      <c r="T137" s="834"/>
      <c r="U137" s="834"/>
      <c r="V137" s="834"/>
      <c r="W137" s="834" t="str">
        <f>IFERROR(__xludf.DUMMYFUNCTION("""COMPUTED_VALUE"""),"Day 14: 95.2%, Day 21: 95.62 %")</f>
        <v>Day 14: 95.2%, Day 21: 95.62 %</v>
      </c>
      <c r="X137" s="834"/>
      <c r="Y137" s="834"/>
      <c r="Z137" s="834"/>
      <c r="AA137" s="834"/>
      <c r="AB137" s="834"/>
      <c r="AC137" s="834"/>
      <c r="AD137" s="834"/>
      <c r="AE137" s="834"/>
      <c r="AF137" s="834" t="str">
        <f>IFERROR(__xludf.DUMMYFUNCTION("""COMPUTED_VALUE"""),"Stoll egg count")</f>
        <v>Stoll egg count</v>
      </c>
      <c r="AG137" s="834" t="str">
        <f>IFERROR(__xludf.DUMMYFUNCTION("""COMPUTED_VALUE"""),"Viravan C, Migasena S, Bunnag D, Tranakchit H. “Clinical Trial of Albendazolein Hookworm Infection”. The Southeast Asian Journal of Tropical Medicine and Public Health (1982): 654-657. Web.")</f>
        <v>Viravan C, Migasena S, Bunnag D, Tranakchit H. “Clinical Trial of Albendazolein Hookworm Infection”. The Southeast Asian Journal of Tropical Medicine and Public Health (1982): 654-657. Web.</v>
      </c>
      <c r="AH137" s="834"/>
      <c r="AJ137" s="843" t="str">
        <f>IFERROR(__xludf.DUMMYFUNCTION("""COMPUTED_VALUE"""),"Efficacy of Albendazole and Mebendazole With or Without Levamisole for Ascariasis and Trichuriasis")</f>
        <v>Efficacy of Albendazole and Mebendazole With or Without Levamisole for Ascariasis and Trichuriasis</v>
      </c>
      <c r="AK137" s="836" t="str">
        <f>IFERROR(__xludf.DUMMYFUNCTION("""COMPUTED_VALUE"""),"Anto EJ, Nugraha SE. Efficacy of Albendazole and Mebendazole With or Without Levamisole for Ascariasis and Trichuriasis. Open Access Maced J Med Sci. 2019 Apr 28;7(8):1299-1302. doi: 10.3889/oamjms.2019.299. PMID: 31110573; PMCID: PMC6514329.")</f>
        <v>Anto EJ, Nugraha SE. Efficacy of Albendazole and Mebendazole With or Without Levamisole for Ascariasis and Trichuriasis. Open Access Maced J Med Sci. 2019 Apr 28;7(8):1299-1302. doi: 10.3889/oamjms.2019.299. PMID: 31110573; PMCID: PMC6514329.</v>
      </c>
      <c r="AL137" s="836" t="str">
        <f>IFERROR(__xludf.DUMMYFUNCTION("""COMPUTED_VALUE"""),"Indonesia")</f>
        <v>Indonesia</v>
      </c>
      <c r="AM137" s="836" t="str">
        <f>IFERROR(__xludf.DUMMYFUNCTION("""COMPUTED_VALUE"""),"Mebendazole &amp; Levamisole")</f>
        <v>Mebendazole &amp; Levamisole</v>
      </c>
      <c r="AN137" s="836" t="str">
        <f>IFERROR(__xludf.DUMMYFUNCTION("""COMPUTED_VALUE"""),"Single")</f>
        <v>Single</v>
      </c>
      <c r="AO137" s="836" t="str">
        <f>IFERROR(__xludf.DUMMYFUNCTION("""COMPUTED_VALUE"""),"500 mg; 2 tablets of 25 mg (for children weighed 10 – 20 kg), 500 mg; 4 tablets of 25 mg (for children weighed 21 – 40 kg), 500 mg; 6 tablets of 25 mg (for children weighed &gt; 40 kg)")</f>
        <v>500 mg; 2 tablets of 25 mg (for children weighed 10 – 20 kg), 500 mg; 4 tablets of 25 mg (for children weighed 21 – 40 kg), 500 mg; 6 tablets of 25 mg (for children weighed &gt; 40 kg)</v>
      </c>
      <c r="AP137" s="836">
        <f>IFERROR(__xludf.DUMMYFUNCTION("""COMPUTED_VALUE"""),60.0)</f>
        <v>60</v>
      </c>
      <c r="AQ137" s="836">
        <f>IFERROR(__xludf.DUMMYFUNCTION("""COMPUTED_VALUE"""),9.1)</f>
        <v>9.1</v>
      </c>
      <c r="AR137" s="836" t="str">
        <f>IFERROR(__xludf.DUMMYFUNCTION("""COMPUTED_VALUE"""),"31M:29F")</f>
        <v>31M:29F</v>
      </c>
      <c r="AS137" s="836">
        <f>IFERROR(__xludf.DUMMYFUNCTION("""COMPUTED_VALUE"""),2015.0)</f>
        <v>2015</v>
      </c>
      <c r="AT137" s="836" t="str">
        <f>IFERROR(__xludf.DUMMYFUNCTION("""COMPUTED_VALUE"""),"The sample of this study were 180 elementary-school students at Deli Serdang Regency State Elementary School, Medan, Indonesia")</f>
        <v>The sample of this study were 180 elementary-school students at Deli Serdang Regency State Elementary School, Medan, Indonesia</v>
      </c>
      <c r="AU137" s="836" t="str">
        <f>IFERROR(__xludf.DUMMYFUNCTION("""COMPUTED_VALUE"""),"Yes")</f>
        <v>Yes</v>
      </c>
      <c r="AV137" s="836" t="str">
        <f>IFERROR(__xludf.DUMMYFUNCTION("""COMPUTED_VALUE"""),"Yes")</f>
        <v>Yes</v>
      </c>
      <c r="AW137" s="836" t="str">
        <f>IFERROR(__xludf.DUMMYFUNCTION("""COMPUTED_VALUE"""),"Double blind")</f>
        <v>Double blind</v>
      </c>
      <c r="AX137" s="841">
        <f>IFERROR(__xludf.DUMMYFUNCTION("""COMPUTED_VALUE"""),0.923)</f>
        <v>0.923</v>
      </c>
      <c r="AY137" s="836"/>
      <c r="AZ137" s="836"/>
      <c r="BA137" s="836"/>
      <c r="BB137" s="836"/>
      <c r="BC137" s="836"/>
      <c r="BD137" s="836"/>
      <c r="BE137" s="836"/>
      <c r="BF137" s="836"/>
      <c r="BG137" s="836"/>
      <c r="BH137" s="841">
        <f>IFERROR(__xludf.DUMMYFUNCTION("""COMPUTED_VALUE"""),0.531)</f>
        <v>0.531</v>
      </c>
      <c r="BI137" s="836"/>
      <c r="BJ137" s="836"/>
      <c r="BK137" s="836"/>
      <c r="BL137" s="836"/>
      <c r="BM137" s="836"/>
      <c r="BN137" s="836" t="str">
        <f>IFERROR(__xludf.DUMMYFUNCTION("""COMPUTED_VALUE"""),"Combination of albendazole and levamisole showed better cure rate for mild trichuriasis and mixed infections. Side effects were similar in all treatment groups.")</f>
        <v>Combination of albendazole and levamisole showed better cure rate for mild trichuriasis and mixed infections. Side effects were similar in all treatment groups.</v>
      </c>
      <c r="BO137" s="836" t="str">
        <f>IFERROR(__xludf.DUMMYFUNCTION("""COMPUTED_VALUE"""),"Kato-Katz technique")</f>
        <v>Kato-Katz technique</v>
      </c>
      <c r="BP137" s="836"/>
      <c r="BQ137" s="697"/>
      <c r="BR137" s="844" t="str">
        <f>IFERROR(__xludf.DUMMYFUNCTION("""COMPUTED_VALUE"""),"Chege et al.")</f>
        <v>Chege et al.</v>
      </c>
      <c r="BS137" s="838" t="str">
        <f>IFERROR(__xludf.DUMMYFUNCTION("""COMPUTED_VALUE"""),"Kenya")</f>
        <v>Kenya</v>
      </c>
      <c r="BT137" s="838" t="str">
        <f>IFERROR(__xludf.DUMMYFUNCTION("""COMPUTED_VALUE"""),"Phenylene Diisothiocyanate")</f>
        <v>Phenylene Diisothiocyanate</v>
      </c>
      <c r="BU137" s="838"/>
      <c r="BV137" s="838" t="str">
        <f>IFERROR(__xludf.DUMMYFUNCTION("""COMPUTED_VALUE"""),"Single")</f>
        <v>Single</v>
      </c>
      <c r="BW137" s="838" t="str">
        <f>IFERROR(__xludf.DUMMYFUNCTION("""COMPUTED_VALUE"""),"3 mg")</f>
        <v>3 mg</v>
      </c>
      <c r="BX137" s="838">
        <f>IFERROR(__xludf.DUMMYFUNCTION("""COMPUTED_VALUE"""),17.0)</f>
        <v>17</v>
      </c>
      <c r="BY137" s="838" t="str">
        <f>IFERROR(__xludf.DUMMYFUNCTION("""COMPUTED_VALUE"""),"School Children")</f>
        <v>School Children</v>
      </c>
      <c r="BZ137" s="838"/>
      <c r="CA137" s="838" t="str">
        <f>IFERROR(__xludf.DUMMYFUNCTION("""COMPUTED_VALUE"""),"M &amp; F")</f>
        <v>M &amp; F</v>
      </c>
      <c r="CB137" s="838"/>
      <c r="CC137" s="838" t="str">
        <f>IFERROR(__xludf.DUMMYFUNCTION("""COMPUTED_VALUE"""),"Yes")</f>
        <v>Yes</v>
      </c>
      <c r="CD137" s="846">
        <f>IFERROR(__xludf.DUMMYFUNCTION("""COMPUTED_VALUE"""),0.24)</f>
        <v>0.24</v>
      </c>
      <c r="CE137" s="838" t="str">
        <f>IFERROR(__xludf.DUMMYFUNCTION("""COMPUTED_VALUE"""),"Yes")</f>
        <v>Yes</v>
      </c>
      <c r="CF137" s="838"/>
      <c r="CG137" s="838"/>
      <c r="CH137" s="838"/>
      <c r="CI137" s="838"/>
      <c r="CJ137" s="838"/>
      <c r="CK137" s="838"/>
      <c r="CL137" s="838"/>
      <c r="CM137" s="838" t="str">
        <f>IFERROR(__xludf.DUMMYFUNCTION("""COMPUTED_VALUE"""),"Mean Slide: 75.9")</f>
        <v>Mean Slide: 75.9</v>
      </c>
      <c r="CN137" s="838"/>
      <c r="CO137" s="838"/>
      <c r="CP137" s="838"/>
      <c r="CQ137" s="838"/>
      <c r="CR137" s="838"/>
      <c r="CS137" s="838"/>
      <c r="CT137" s="838"/>
      <c r="CU137" s="838"/>
      <c r="CV137" s="697" t="str">
        <f>IFERROR(__xludf.DUMMYFUNCTION("""COMPUTED_VALUE"""),"Chege SW, Gitoho F, Wanene GS, Mwega VJ, ReesPH, Kinyanjui H. Single dose treatment of hookwormin Murang’a district. East Afr Med J. 1974;51(1):60-62.")</f>
        <v>Chege SW, Gitoho F, Wanene GS, Mwega VJ, ReesPH, Kinyanjui H. Single dose treatment of hookwormin Murang’a district. East Afr Med J. 1974;51(1):60-62.</v>
      </c>
    </row>
    <row r="138">
      <c r="A138" s="842" t="str">
        <f>IFERROR(__xludf.DUMMYFUNCTION("""COMPUTED_VALUE"""),"Wen et al.")</f>
        <v>Wen et al.</v>
      </c>
      <c r="B138" s="834" t="str">
        <f>IFERROR(__xludf.DUMMYFUNCTION("""COMPUTED_VALUE"""),"China")</f>
        <v>China</v>
      </c>
      <c r="C138" s="834" t="str">
        <f>IFERROR(__xludf.DUMMYFUNCTION("""COMPUTED_VALUE"""),"Ivermectin")</f>
        <v>Ivermectin</v>
      </c>
      <c r="D138" s="834" t="str">
        <f>IFERROR(__xludf.DUMMYFUNCTION("""COMPUTED_VALUE"""),"Single")</f>
        <v>Single</v>
      </c>
      <c r="E138" s="834" t="str">
        <f>IFERROR(__xludf.DUMMYFUNCTION("""COMPUTED_VALUE"""),"0.2 mg")</f>
        <v>0.2 mg</v>
      </c>
      <c r="F138" s="834">
        <f>IFERROR(__xludf.DUMMYFUNCTION("""COMPUTED_VALUE"""),102.0)</f>
        <v>102</v>
      </c>
      <c r="G138" s="834">
        <f>IFERROR(__xludf.DUMMYFUNCTION("""COMPUTED_VALUE"""),47.4)</f>
        <v>47.4</v>
      </c>
      <c r="H138" s="839" t="str">
        <f>IFERROR(__xludf.DUMMYFUNCTION("""COMPUTED_VALUE"""),"49:53")</f>
        <v>49:53</v>
      </c>
      <c r="I138" s="834">
        <f>IFERROR(__xludf.DUMMYFUNCTION("""COMPUTED_VALUE"""),2005.0)</f>
        <v>2005</v>
      </c>
      <c r="J138" s="834" t="str">
        <f>IFERROR(__xludf.DUMMYFUNCTION("""COMPUTED_VALUE"""),"Excluded from the study were those with other diseases such as hepatic, renal, cardiovascular diseases, and pregnant or lactating women")</f>
        <v>Excluded from the study were those with other diseases such as hepatic, renal, cardiovascular diseases, and pregnant or lactating women</v>
      </c>
      <c r="K138" s="839" t="str">
        <f>IFERROR(__xludf.DUMMYFUNCTION("""COMPUTED_VALUE"""),"randomized double-blind multi-center clinical trial")</f>
        <v>randomized double-blind multi-center clinical trial</v>
      </c>
      <c r="L138" s="839" t="str">
        <f>IFERROR(__xludf.DUMMYFUNCTION("""COMPUTED_VALUE"""),"Yes")</f>
        <v>Yes</v>
      </c>
      <c r="M138" s="839" t="str">
        <f>IFERROR(__xludf.DUMMYFUNCTION("""COMPUTED_VALUE"""),"Yes")</f>
        <v>Yes</v>
      </c>
      <c r="N138" s="840">
        <f>IFERROR(__xludf.DUMMYFUNCTION("""COMPUTED_VALUE"""),0.333)</f>
        <v>0.333</v>
      </c>
      <c r="O138" s="834"/>
      <c r="P138" s="834"/>
      <c r="Q138" s="834"/>
      <c r="R138" s="834"/>
      <c r="S138" s="834"/>
      <c r="T138" s="834"/>
      <c r="U138" s="834"/>
      <c r="V138" s="834"/>
      <c r="W138" s="853">
        <f>IFERROR(__xludf.DUMMYFUNCTION("""COMPUTED_VALUE"""),0.8)</f>
        <v>0.8</v>
      </c>
      <c r="X138" s="834"/>
      <c r="Y138" s="834"/>
      <c r="Z138" s="834"/>
      <c r="AA138" s="834"/>
      <c r="AB138" s="834"/>
      <c r="AC138" s="834"/>
      <c r="AD138" s="834"/>
      <c r="AE138" s="834" t="str">
        <f>IFERROR(__xludf.DUMMYFUNCTION("""COMPUTED_VALUE"""),"The study showed that ivermectin, with few side effects, could be used as an additional treatment tool for intestinal nematodes.")</f>
        <v>The study showed that ivermectin, with few side effects, could be used as an additional treatment tool for intestinal nematodes.</v>
      </c>
      <c r="AF138" s="834" t="str">
        <f>IFERROR(__xludf.DUMMYFUNCTION("""COMPUTED_VALUE"""),"Kato-Katz method")</f>
        <v>Kato-Katz method</v>
      </c>
      <c r="AG138" s="834" t="str">
        <f>IFERROR(__xludf.DUMMYFUNCTION("""COMPUTED_VALUE"""),"Wen, L., Yan, X., Sun, F., Fang, Y., Yang, M., Lou, L. “A randomized, double-blind, multicenter clinical trial on the efficacy of ivermectin against intestinal nematode infections in China”. Acta Tropica 106 (2008): 190-194. Web.")</f>
        <v>Wen, L., Yan, X., Sun, F., Fang, Y., Yang, M., Lou, L. “A randomized, double-blind, multicenter clinical trial on the efficacy of ivermectin against intestinal nematode infections in China”. Acta Tropica 106 (2008): 190-194. Web.</v>
      </c>
      <c r="AH138" s="834"/>
      <c r="AJ138" s="843" t="str">
        <f>IFERROR(__xludf.DUMMYFUNCTION("""COMPUTED_VALUE"""),"Efficacy and safety of tribendimidine, tribendimidine plus ivermectin, tribendimidine plus oxantel pamoate, and albendazole plus oxantel pamoate against hookworm and concomitant soil-transmitted helminth infections in Tanzania and Côte d'Ivoire: a randomi"&amp;"sed, controlled, single-blinded, non-inferiority trial")</f>
        <v>Efficacy and safety of tribendimidine, tribendimidine plus ivermectin, tribendimidine plus oxantel pamoate, and albendazole plus oxantel pamoate against hookworm and concomitant soil-transmitted helminth infections in Tanzania and Côte d'Ivoire: a randomised, controlled, single-blinded, non-inferiority trial</v>
      </c>
      <c r="AK138" s="836" t="str">
        <f>IFERROR(__xludf.DUMMYFUNCTION("""COMPUTED_VALUE"""),"Moser W, Coulibaly JT, Ali SM, Ame SM, Amour AK, Yapi RB, Albonico M, Puchkov M, Huwyler J, Hattendorf J, Keiser J. Efficacy and safety of tribendimidine, tribendimidine plus ivermectin, tribendimidine plus oxantel pamoate, and albendazole plus oxantel pa"&amp;"moate against hookworm and concomitant soil-transmitted helminth infections in Tanzania and Côte d'Ivoire: a randomised, controlled, single-blinded, non-inferiority trial. Lancet Infect Dis. 2017 Nov;17(11):1162-1171. doi: 10.1016/S1473-3099(17)30487-5. E"&amp;"pub 2017 Aug 29. PMID: 28864027.")</f>
        <v>Moser W, Coulibaly JT, Ali SM, Ame SM, Amour AK, Yapi RB, Albonico M, Puchkov M, Huwyler J, Hattendorf J, Keiser J. Efficacy and safety of tribendimidine, tribendimidine plus ivermectin, tribendimidine plus oxantel pamoate, and albendazole plus oxantel pamoate against hookworm and concomitant soil-transmitted helminth infections in Tanzania and Côte d'Ivoire: a randomised, controlled, single-blinded, non-inferiority trial. Lancet Infect Dis. 2017 Nov;17(11):1162-1171. doi: 10.1016/S1473-3099(17)30487-5. Epub 2017 Aug 29. PMID: 28864027.</v>
      </c>
      <c r="AL138" s="836" t="str">
        <f>IFERROR(__xludf.DUMMYFUNCTION("""COMPUTED_VALUE"""),"Tanzania")</f>
        <v>Tanzania</v>
      </c>
      <c r="AM138" s="836" t="str">
        <f>IFERROR(__xludf.DUMMYFUNCTION("""COMPUTED_VALUE"""),"Tribendimidine")</f>
        <v>Tribendimidine</v>
      </c>
      <c r="AN138" s="836" t="str">
        <f>IFERROR(__xludf.DUMMYFUNCTION("""COMPUTED_VALUE"""),"Single")</f>
        <v>Single</v>
      </c>
      <c r="AO138" s="836" t="str">
        <f>IFERROR(__xludf.DUMMYFUNCTION("""COMPUTED_VALUE"""),"400 mg")</f>
        <v>400 mg</v>
      </c>
      <c r="AP138" s="836">
        <f>IFERROR(__xludf.DUMMYFUNCTION("""COMPUTED_VALUE"""),159.0)</f>
        <v>159</v>
      </c>
      <c r="AQ138" s="836">
        <f>IFERROR(__xludf.DUMMYFUNCTION("""COMPUTED_VALUE"""),15.8)</f>
        <v>15.8</v>
      </c>
      <c r="AR138" s="836" t="str">
        <f>IFERROR(__xludf.DUMMYFUNCTION("""COMPUTED_VALUE"""),"74M:85F")</f>
        <v>74M:85F</v>
      </c>
      <c r="AS138" s="836">
        <f>IFERROR(__xludf.DUMMYFUNCTION("""COMPUTED_VALUE"""),2016.0)</f>
        <v>2016</v>
      </c>
      <c r="AT138" s="836" t="str">
        <f>IFERROR(__xludf.DUMMYFUNCTION("""COMPUTED_VALUE"""),"We recruited adolescents aged 15–18 years from four primary schools on Pemba, and school attendees and non-schoolers from two districts in Côte d’Ivoire")</f>
        <v>We recruited adolescents aged 15–18 years from four primary schools on Pemba, and school attendees and non-schoolers from two districts in Côte d’Ivoire</v>
      </c>
      <c r="AU138" s="836" t="str">
        <f>IFERROR(__xludf.DUMMYFUNCTION("""COMPUTED_VALUE"""),"Yes")</f>
        <v>Yes</v>
      </c>
      <c r="AV138" s="836" t="str">
        <f>IFERROR(__xludf.DUMMYFUNCTION("""COMPUTED_VALUE"""),"Yes")</f>
        <v>Yes</v>
      </c>
      <c r="AW138" s="836" t="str">
        <f>IFERROR(__xludf.DUMMYFUNCTION("""COMPUTED_VALUE"""),"Single-blind")</f>
        <v>Single-blind</v>
      </c>
      <c r="AX138" s="841">
        <f>IFERROR(__xludf.DUMMYFUNCTION("""COMPUTED_VALUE"""),0.082)</f>
        <v>0.082</v>
      </c>
      <c r="AY138" s="836"/>
      <c r="AZ138" s="836"/>
      <c r="BA138" s="836"/>
      <c r="BB138" s="836"/>
      <c r="BC138" s="836"/>
      <c r="BD138" s="836"/>
      <c r="BE138" s="836"/>
      <c r="BF138" s="836"/>
      <c r="BG138" s="836"/>
      <c r="BH138" s="841">
        <f>IFERROR(__xludf.DUMMYFUNCTION("""COMPUTED_VALUE"""),0.964)</f>
        <v>0.964</v>
      </c>
      <c r="BI138" s="836"/>
      <c r="BJ138" s="836"/>
      <c r="BK138" s="836"/>
      <c r="BL138" s="836"/>
      <c r="BM138" s="836"/>
      <c r="BN138" s="836" t="str">
        <f>IFERROR(__xludf.DUMMYFUNCTION("""COMPUTED_VALUE"""),"Tribendimidine showed a similar efficacy profile as albendazole. We recommend tribendimidine to complement albendazole in preventive chemotherapy interventions, to decrease drug pressure on soil-transmitted helminths and avoid the emergence of drug resist"&amp;"ance against benzimidazoles. Moreover, the coadministration of tribendimidine with ivermectin or oxantel pamoate could broaden the spectrum of activity.")</f>
        <v>Tribendimidine showed a similar efficacy profile as albendazole. We recommend tribendimidine to complement albendazole in preventive chemotherapy interventions, to decrease drug pressure on soil-transmitted helminths and avoid the emergence of drug resistance against benzimidazoles. Moreover, the coadministration of tribendimidine with ivermectin or oxantel pamoate could broaden the spectrum of activity.</v>
      </c>
      <c r="BO138" s="836" t="str">
        <f>IFERROR(__xludf.DUMMYFUNCTION("""COMPUTED_VALUE"""),"Kato-Katz technique")</f>
        <v>Kato-Katz technique</v>
      </c>
      <c r="BP138" s="836"/>
      <c r="BQ138" s="697"/>
      <c r="BR138" s="844" t="str">
        <f>IFERROR(__xludf.DUMMYFUNCTION("""COMPUTED_VALUE"""),"Chege et al.")</f>
        <v>Chege et al.</v>
      </c>
      <c r="BS138" s="838" t="str">
        <f>IFERROR(__xludf.DUMMYFUNCTION("""COMPUTED_VALUE"""),"Kenya")</f>
        <v>Kenya</v>
      </c>
      <c r="BT138" s="838" t="str">
        <f>IFERROR(__xludf.DUMMYFUNCTION("""COMPUTED_VALUE"""),"Placebo")</f>
        <v>Placebo</v>
      </c>
      <c r="BU138" s="838"/>
      <c r="BV138" s="838"/>
      <c r="BW138" s="838"/>
      <c r="BX138" s="838">
        <f>IFERROR(__xludf.DUMMYFUNCTION("""COMPUTED_VALUE"""),18.0)</f>
        <v>18</v>
      </c>
      <c r="BY138" s="838" t="str">
        <f>IFERROR(__xludf.DUMMYFUNCTION("""COMPUTED_VALUE"""),"School Children")</f>
        <v>School Children</v>
      </c>
      <c r="BZ138" s="838"/>
      <c r="CA138" s="838" t="str">
        <f>IFERROR(__xludf.DUMMYFUNCTION("""COMPUTED_VALUE"""),"M &amp; F")</f>
        <v>M &amp; F</v>
      </c>
      <c r="CB138" s="838"/>
      <c r="CC138" s="838" t="str">
        <f>IFERROR(__xludf.DUMMYFUNCTION("""COMPUTED_VALUE"""),"Yes")</f>
        <v>Yes</v>
      </c>
      <c r="CD138" s="846">
        <f>IFERROR(__xludf.DUMMYFUNCTION("""COMPUTED_VALUE"""),0.16)</f>
        <v>0.16</v>
      </c>
      <c r="CE138" s="838" t="str">
        <f>IFERROR(__xludf.DUMMYFUNCTION("""COMPUTED_VALUE"""),"Yes")</f>
        <v>Yes</v>
      </c>
      <c r="CF138" s="838"/>
      <c r="CG138" s="838"/>
      <c r="CH138" s="838"/>
      <c r="CI138" s="838"/>
      <c r="CJ138" s="838"/>
      <c r="CK138" s="838"/>
      <c r="CL138" s="838"/>
      <c r="CM138" s="838" t="str">
        <f>IFERROR(__xludf.DUMMYFUNCTION("""COMPUTED_VALUE"""),"Mean Slide: 54.9")</f>
        <v>Mean Slide: 54.9</v>
      </c>
      <c r="CN138" s="838"/>
      <c r="CO138" s="838"/>
      <c r="CP138" s="838"/>
      <c r="CQ138" s="838"/>
      <c r="CR138" s="838"/>
      <c r="CS138" s="838"/>
      <c r="CT138" s="838"/>
      <c r="CU138" s="838"/>
      <c r="CV138" s="697" t="str">
        <f>IFERROR(__xludf.DUMMYFUNCTION("""COMPUTED_VALUE"""),"Chege SW, Gitoho F, Wanene GS, Mwega VJ, ReesPH, Kinyanjui H. Single dose treatment of hookwormin Murang’a district. East Afr Med J. 1974;51(1):60-62.")</f>
        <v>Chege SW, Gitoho F, Wanene GS, Mwega VJ, ReesPH, Kinyanjui H. Single dose treatment of hookwormin Murang’a district. East Afr Med J. 1974;51(1):60-62.</v>
      </c>
    </row>
    <row r="139">
      <c r="A139" s="842" t="str">
        <f>IFERROR(__xludf.DUMMYFUNCTION("""COMPUTED_VALUE"""),"Wen et al.")</f>
        <v>Wen et al.</v>
      </c>
      <c r="B139" s="834" t="str">
        <f>IFERROR(__xludf.DUMMYFUNCTION("""COMPUTED_VALUE"""),"China")</f>
        <v>China</v>
      </c>
      <c r="C139" s="834" t="str">
        <f>IFERROR(__xludf.DUMMYFUNCTION("""COMPUTED_VALUE"""),"Albendazole")</f>
        <v>Albendazole</v>
      </c>
      <c r="D139" s="834" t="str">
        <f>IFERROR(__xludf.DUMMYFUNCTION("""COMPUTED_VALUE"""),"Single")</f>
        <v>Single</v>
      </c>
      <c r="E139" s="834" t="str">
        <f>IFERROR(__xludf.DUMMYFUNCTION("""COMPUTED_VALUE"""),"6.7 mg")</f>
        <v>6.7 mg</v>
      </c>
      <c r="F139" s="834">
        <f>IFERROR(__xludf.DUMMYFUNCTION("""COMPUTED_VALUE"""),102.0)</f>
        <v>102</v>
      </c>
      <c r="G139" s="834">
        <f>IFERROR(__xludf.DUMMYFUNCTION("""COMPUTED_VALUE"""),45.7)</f>
        <v>45.7</v>
      </c>
      <c r="H139" s="834" t="str">
        <f>IFERROR(__xludf.DUMMYFUNCTION("""COMPUTED_VALUE"""),"1:1")</f>
        <v>1:1</v>
      </c>
      <c r="I139" s="834">
        <f>IFERROR(__xludf.DUMMYFUNCTION("""COMPUTED_VALUE"""),2005.0)</f>
        <v>2005</v>
      </c>
      <c r="J139" s="834" t="str">
        <f>IFERROR(__xludf.DUMMYFUNCTION("""COMPUTED_VALUE"""),"Excluded from the study were those with other diseases such as hepatic, renal, cardiovascular diseases, and pregnant or lactating women.")</f>
        <v>Excluded from the study were those with other diseases such as hepatic, renal, cardiovascular diseases, and pregnant or lactating women.</v>
      </c>
      <c r="K139" s="839" t="str">
        <f>IFERROR(__xludf.DUMMYFUNCTION("""COMPUTED_VALUE"""),"randomized double-blind multi-center clinical trial")</f>
        <v>randomized double-blind multi-center clinical trial</v>
      </c>
      <c r="L139" s="839" t="str">
        <f>IFERROR(__xludf.DUMMYFUNCTION("""COMPUTED_VALUE"""),"Yes")</f>
        <v>Yes</v>
      </c>
      <c r="M139" s="839" t="str">
        <f>IFERROR(__xludf.DUMMYFUNCTION("""COMPUTED_VALUE"""),"Yes")</f>
        <v>Yes</v>
      </c>
      <c r="N139" s="840">
        <f>IFERROR(__xludf.DUMMYFUNCTION("""COMPUTED_VALUE"""),0.696)</f>
        <v>0.696</v>
      </c>
      <c r="O139" s="834"/>
      <c r="P139" s="834"/>
      <c r="Q139" s="834"/>
      <c r="R139" s="834"/>
      <c r="S139" s="834"/>
      <c r="T139" s="834"/>
      <c r="U139" s="834"/>
      <c r="V139" s="834"/>
      <c r="W139" s="853">
        <f>IFERROR(__xludf.DUMMYFUNCTION("""COMPUTED_VALUE"""),0.9)</f>
        <v>0.9</v>
      </c>
      <c r="X139" s="834"/>
      <c r="Y139" s="834"/>
      <c r="Z139" s="834"/>
      <c r="AA139" s="834"/>
      <c r="AB139" s="834"/>
      <c r="AC139" s="834"/>
      <c r="AD139" s="834"/>
      <c r="AE139" s="834" t="str">
        <f>IFERROR(__xludf.DUMMYFUNCTION("""COMPUTED_VALUE"""),"The study showed that ivermectin, with few side effects, could be used as an additional treatment tool for intestinal nematodes.")</f>
        <v>The study showed that ivermectin, with few side effects, could be used as an additional treatment tool for intestinal nematodes.</v>
      </c>
      <c r="AF139" s="834" t="str">
        <f>IFERROR(__xludf.DUMMYFUNCTION("""COMPUTED_VALUE"""),"Kato-Katz method")</f>
        <v>Kato-Katz method</v>
      </c>
      <c r="AG139" s="834" t="str">
        <f>IFERROR(__xludf.DUMMYFUNCTION("""COMPUTED_VALUE"""),"Wen, L., Yan, X., Sun, F., Fang, Y., Yang, M., Lou, L. “A randomized, double-blind, multicenter clinical trial on the efficacy of ivermectin against intestinal nematode infections in China”. Acta Tropica 106 (2008): 190-194. Web.")</f>
        <v>Wen, L., Yan, X., Sun, F., Fang, Y., Yang, M., Lou, L. “A randomized, double-blind, multicenter clinical trial on the efficacy of ivermectin against intestinal nematode infections in China”. Acta Tropica 106 (2008): 190-194. Web.</v>
      </c>
      <c r="AH139" s="834"/>
      <c r="AJ139" s="843" t="str">
        <f>IFERROR(__xludf.DUMMYFUNCTION("""COMPUTED_VALUE"""),"Efficacy and safety of tribendimidine, tribendimidine plus ivermectin, tribendimidine plus oxantel pamoate, and albendazole plus oxantel pamoate against hookworm and concomitant soil-transmitted helminth infections in Tanzania and Côte d'Ivoire: a randomi"&amp;"sed, controlled, single-blinded, non-inferiority trial")</f>
        <v>Efficacy and safety of tribendimidine, tribendimidine plus ivermectin, tribendimidine plus oxantel pamoate, and albendazole plus oxantel pamoate against hookworm and concomitant soil-transmitted helminth infections in Tanzania and Côte d'Ivoire: a randomised, controlled, single-blinded, non-inferiority trial</v>
      </c>
      <c r="AK139" s="836" t="str">
        <f>IFERROR(__xludf.DUMMYFUNCTION("""COMPUTED_VALUE"""),"Moser W, Coulibaly JT, Ali SM, Ame SM, Amour AK, Yapi RB, Albonico M, Puchkov M, Huwyler J, Hattendorf J, Keiser J. Efficacy and safety of tribendimidine, tribendimidine plus ivermectin, tribendimidine plus oxantel pamoate, and albendazole plus oxantel pa"&amp;"moate against hookworm and concomitant soil-transmitted helminth infections in Tanzania and Côte d'Ivoire: a randomised, controlled, single-blinded, non-inferiority trial. Lancet Infect Dis. 2017 Nov;17(11):1162-1171. doi: 10.1016/S1473-3099(17)30487-5. E"&amp;"pub 2017 Aug 29. PMID: 28864027.")</f>
        <v>Moser W, Coulibaly JT, Ali SM, Ame SM, Amour AK, Yapi RB, Albonico M, Puchkov M, Huwyler J, Hattendorf J, Keiser J. Efficacy and safety of tribendimidine, tribendimidine plus ivermectin, tribendimidine plus oxantel pamoate, and albendazole plus oxantel pamoate against hookworm and concomitant soil-transmitted helminth infections in Tanzania and Côte d'Ivoire: a randomised, controlled, single-blinded, non-inferiority trial. Lancet Infect Dis. 2017 Nov;17(11):1162-1171. doi: 10.1016/S1473-3099(17)30487-5. Epub 2017 Aug 29. PMID: 28864027.</v>
      </c>
      <c r="AL139" s="836" t="str">
        <f>IFERROR(__xludf.DUMMYFUNCTION("""COMPUTED_VALUE"""),"Tanzania")</f>
        <v>Tanzania</v>
      </c>
      <c r="AM139" s="836" t="str">
        <f>IFERROR(__xludf.DUMMYFUNCTION("""COMPUTED_VALUE"""),"Tribendimidine &amp; Ivermectin")</f>
        <v>Tribendimidine &amp; Ivermectin</v>
      </c>
      <c r="AN139" s="836" t="str">
        <f>IFERROR(__xludf.DUMMYFUNCTION("""COMPUTED_VALUE"""),"Single")</f>
        <v>Single</v>
      </c>
      <c r="AO139" s="836" t="str">
        <f>IFERROR(__xludf.DUMMYFUNCTION("""COMPUTED_VALUE"""),"400 mg; 200 µg/kg")</f>
        <v>400 mg; 200 µg/kg</v>
      </c>
      <c r="AP139" s="836">
        <f>IFERROR(__xludf.DUMMYFUNCTION("""COMPUTED_VALUE"""),159.0)</f>
        <v>159</v>
      </c>
      <c r="AQ139" s="836">
        <f>IFERROR(__xludf.DUMMYFUNCTION("""COMPUTED_VALUE"""),15.9)</f>
        <v>15.9</v>
      </c>
      <c r="AR139" s="836" t="str">
        <f>IFERROR(__xludf.DUMMYFUNCTION("""COMPUTED_VALUE"""),"65M:94F")</f>
        <v>65M:94F</v>
      </c>
      <c r="AS139" s="836">
        <f>IFERROR(__xludf.DUMMYFUNCTION("""COMPUTED_VALUE"""),2016.0)</f>
        <v>2016</v>
      </c>
      <c r="AT139" s="836" t="str">
        <f>IFERROR(__xludf.DUMMYFUNCTION("""COMPUTED_VALUE"""),"We recruited adolescents aged 15–18 years from four primary schools on Pemba, and school attendees and non-schoolers from two districts in Côte d’Ivoire")</f>
        <v>We recruited adolescents aged 15–18 years from four primary schools on Pemba, and school attendees and non-schoolers from two districts in Côte d’Ivoire</v>
      </c>
      <c r="AU139" s="836" t="str">
        <f>IFERROR(__xludf.DUMMYFUNCTION("""COMPUTED_VALUE"""),"Yes")</f>
        <v>Yes</v>
      </c>
      <c r="AV139" s="836" t="str">
        <f>IFERROR(__xludf.DUMMYFUNCTION("""COMPUTED_VALUE"""),"Yes")</f>
        <v>Yes</v>
      </c>
      <c r="AW139" s="836" t="str">
        <f>IFERROR(__xludf.DUMMYFUNCTION("""COMPUTED_VALUE"""),"Single-blind")</f>
        <v>Single-blind</v>
      </c>
      <c r="AX139" s="841">
        <f>IFERROR(__xludf.DUMMYFUNCTION("""COMPUTED_VALUE"""),0.337)</f>
        <v>0.337</v>
      </c>
      <c r="AY139" s="836"/>
      <c r="AZ139" s="836"/>
      <c r="BA139" s="836"/>
      <c r="BB139" s="836"/>
      <c r="BC139" s="836"/>
      <c r="BD139" s="836"/>
      <c r="BE139" s="836"/>
      <c r="BF139" s="836"/>
      <c r="BG139" s="836"/>
      <c r="BH139" s="841">
        <f>IFERROR(__xludf.DUMMYFUNCTION("""COMPUTED_VALUE"""),0.995)</f>
        <v>0.995</v>
      </c>
      <c r="BI139" s="836"/>
      <c r="BJ139" s="836"/>
      <c r="BK139" s="836"/>
      <c r="BL139" s="836"/>
      <c r="BM139" s="836"/>
      <c r="BN139" s="836" t="str">
        <f>IFERROR(__xludf.DUMMYFUNCTION("""COMPUTED_VALUE"""),"Tribendimidine showed a similar efficacy profile as albendazole. We recommend tribendimidine to complement albendazole in preventive chemotherapy interventions, to decrease drug pressure on soil-transmitted helminths and avoid the emergence of drug resist"&amp;"ance against benzimidazoles. Moreover, the coadministration of tribendimidine with ivermectin or oxantel pamoate could broaden the spectrum of activity.")</f>
        <v>Tribendimidine showed a similar efficacy profile as albendazole. We recommend tribendimidine to complement albendazole in preventive chemotherapy interventions, to decrease drug pressure on soil-transmitted helminths and avoid the emergence of drug resistance against benzimidazoles. Moreover, the coadministration of tribendimidine with ivermectin or oxantel pamoate could broaden the spectrum of activity.</v>
      </c>
      <c r="BO139" s="836" t="str">
        <f>IFERROR(__xludf.DUMMYFUNCTION("""COMPUTED_VALUE"""),"Kato-Katz technique")</f>
        <v>Kato-Katz technique</v>
      </c>
      <c r="BP139" s="836"/>
      <c r="BQ139" s="697"/>
      <c r="BR139" s="844" t="str">
        <f>IFERROR(__xludf.DUMMYFUNCTION("""COMPUTED_VALUE"""),"VY Belizario et al.")</f>
        <v>VY Belizario et al.</v>
      </c>
      <c r="BS139" s="838" t="str">
        <f>IFERROR(__xludf.DUMMYFUNCTION("""COMPUTED_VALUE"""),"Phillipines")</f>
        <v>Phillipines</v>
      </c>
      <c r="BT139" s="838" t="str">
        <f>IFERROR(__xludf.DUMMYFUNCTION("""COMPUTED_VALUE"""),"Albendazole")</f>
        <v>Albendazole</v>
      </c>
      <c r="BU139" s="838"/>
      <c r="BV139" s="838" t="str">
        <f>IFERROR(__xludf.DUMMYFUNCTION("""COMPUTED_VALUE"""),"Single")</f>
        <v>Single</v>
      </c>
      <c r="BW139" s="838" t="str">
        <f>IFERROR(__xludf.DUMMYFUNCTION("""COMPUTED_VALUE"""),"400 mg")</f>
        <v>400 mg</v>
      </c>
      <c r="BX139" s="838">
        <f>IFERROR(__xludf.DUMMYFUNCTION("""COMPUTED_VALUE"""),99.0)</f>
        <v>99</v>
      </c>
      <c r="BY139" s="845">
        <f>IFERROR(__xludf.DUMMYFUNCTION("""COMPUTED_VALUE"""),42533.0)</f>
        <v>42533</v>
      </c>
      <c r="BZ139" s="838">
        <f>IFERROR(__xludf.DUMMYFUNCTION("""COMPUTED_VALUE"""),1998.0)</f>
        <v>1998</v>
      </c>
      <c r="CA139" s="838" t="str">
        <f>IFERROR(__xludf.DUMMYFUNCTION("""COMPUTED_VALUE"""),"M &amp; F")</f>
        <v>M &amp; F</v>
      </c>
      <c r="CB139" s="838"/>
      <c r="CC139" s="838" t="str">
        <f>IFERROR(__xludf.DUMMYFUNCTION("""COMPUTED_VALUE"""),"Yes")</f>
        <v>Yes</v>
      </c>
      <c r="CD139" s="847">
        <f>IFERROR(__xludf.DUMMYFUNCTION("""COMPUTED_VALUE"""),0.697)</f>
        <v>0.697</v>
      </c>
      <c r="CE139" s="838" t="str">
        <f>IFERROR(__xludf.DUMMYFUNCTION("""COMPUTED_VALUE"""),"Yes")</f>
        <v>Yes</v>
      </c>
      <c r="CF139" s="847">
        <f>IFERROR(__xludf.DUMMYFUNCTION("""COMPUTED_VALUE"""),0.697)</f>
        <v>0.697</v>
      </c>
      <c r="CG139" s="838"/>
      <c r="CH139" s="838"/>
      <c r="CI139" s="838"/>
      <c r="CJ139" s="838"/>
      <c r="CK139" s="838"/>
      <c r="CL139" s="838"/>
      <c r="CM139" s="846">
        <f>IFERROR(__xludf.DUMMYFUNCTION("""COMPUTED_VALUE"""),0.93)</f>
        <v>0.93</v>
      </c>
      <c r="CN139" s="838"/>
      <c r="CO139" s="838"/>
      <c r="CP139" s="838"/>
      <c r="CQ139" s="838"/>
      <c r="CR139" s="838"/>
      <c r="CS139" s="838"/>
      <c r="CT139" s="838" t="str">
        <f>IFERROR(__xludf.DUMMYFUNCTION("""COMPUTED_VALUE"""),"Kato-Katz Method")</f>
        <v>Kato-Katz Method</v>
      </c>
      <c r="CU139" s="838"/>
      <c r="CV139" s="697" t="str">
        <f>IFERROR(__xludf.DUMMYFUNCTION("""COMPUTED_VALUE"""),"Belizario, V.Y.; Amarillo, M.E.; Leon de W.U.; Reyes de los, A.E.; BUgayong, M.G.; Macatangay ( ) A comparison of the efficacy of single doses of albendazole, ivermectin, and diethylcarbamazine alone or in combinations against Ascaris and Trichuris spp.")</f>
        <v>Belizario, V.Y.; Amarillo, M.E.; Leon de W.U.; Reyes de los, A.E.; BUgayong, M.G.; Macatangay ( ) A comparison of the efficacy of single doses of albendazole, ivermectin, and diethylcarbamazine alone or in combinations against Ascaris and Trichuris spp.</v>
      </c>
    </row>
    <row r="140">
      <c r="A140" s="842" t="str">
        <f>IFERROR(__xludf.DUMMYFUNCTION("""COMPUTED_VALUE"""),"Xiao et al.")</f>
        <v>Xiao et al.</v>
      </c>
      <c r="B140" s="834" t="str">
        <f>IFERROR(__xludf.DUMMYFUNCTION("""COMPUTED_VALUE"""),"China")</f>
        <v>China</v>
      </c>
      <c r="C140" s="834" t="str">
        <f>IFERROR(__xludf.DUMMYFUNCTION("""COMPUTED_VALUE"""),"Tribendimidine")</f>
        <v>Tribendimidine</v>
      </c>
      <c r="D140" s="834" t="str">
        <f>IFERROR(__xludf.DUMMYFUNCTION("""COMPUTED_VALUE"""),"Single")</f>
        <v>Single</v>
      </c>
      <c r="E140" s="834" t="str">
        <f>IFERROR(__xludf.DUMMYFUNCTION("""COMPUTED_VALUE"""),"200 mg")</f>
        <v>200 mg</v>
      </c>
      <c r="F140" s="834">
        <f>IFERROR(__xludf.DUMMYFUNCTION("""COMPUTED_VALUE"""),528.0)</f>
        <v>528</v>
      </c>
      <c r="G140" s="834" t="str">
        <f>IFERROR(__xludf.DUMMYFUNCTION("""COMPUTED_VALUE"""),"4- 14 ")</f>
        <v>4- 14 </v>
      </c>
      <c r="H140" s="834"/>
      <c r="I140" s="834">
        <f>IFERROR(__xludf.DUMMYFUNCTION("""COMPUTED_VALUE"""),2007.0)</f>
        <v>2007</v>
      </c>
      <c r="J140" s="834"/>
      <c r="K140" s="839" t="str">
        <f>IFERROR(__xludf.DUMMYFUNCTION("""COMPUTED_VALUE"""),"open multi-center clinical trial")</f>
        <v>open multi-center clinical trial</v>
      </c>
      <c r="L140" s="839" t="str">
        <f>IFERROR(__xludf.DUMMYFUNCTION("""COMPUTED_VALUE"""),"No")</f>
        <v>No</v>
      </c>
      <c r="M140" s="839" t="str">
        <f>IFERROR(__xludf.DUMMYFUNCTION("""COMPUTED_VALUE"""),"No")</f>
        <v>No</v>
      </c>
      <c r="N140" s="840">
        <f>IFERROR(__xludf.DUMMYFUNCTION("""COMPUTED_VALUE"""),0.82)</f>
        <v>0.82</v>
      </c>
      <c r="O140" s="834"/>
      <c r="P140" s="834"/>
      <c r="Q140" s="834"/>
      <c r="R140" s="834"/>
      <c r="S140" s="834" t="str">
        <f>IFERROR(__xludf.DUMMYFUNCTION("""COMPUTED_VALUE"""),"3-4 weeks: 82%")</f>
        <v>3-4 weeks: 82%</v>
      </c>
      <c r="T140" s="834"/>
      <c r="U140" s="834"/>
      <c r="V140" s="834"/>
      <c r="W140" s="834"/>
      <c r="X140" s="834"/>
      <c r="Y140" s="834"/>
      <c r="Z140" s="834"/>
      <c r="AA140" s="834"/>
      <c r="AB140" s="834"/>
      <c r="AC140" s="834"/>
      <c r="AD140" s="834"/>
      <c r="AE140" s="834" t="str">
        <f>IFERROR(__xludf.DUMMYFUNCTION("""COMPUTED_VALUE"""),"Tribendimidine given at a single dose of 200 mg exhibits lower adverse effect rate and potential efficacy in the treatment of children with hookworm.")</f>
        <v>Tribendimidine given at a single dose of 200 mg exhibits lower adverse effect rate and potential efficacy in the treatment of children with hookworm.</v>
      </c>
      <c r="AF140" s="834" t="str">
        <f>IFERROR(__xludf.DUMMYFUNCTION("""COMPUTED_VALUE"""),"Kato-Katz Method")</f>
        <v>Kato-Katz Method</v>
      </c>
      <c r="AG140" s="834" t="str">
        <f>IFERROR(__xludf.DUMMYFUNCTION("""COMPUTED_VALUE"""),"Xiao, S. H., Whu, Z. X., Zhang, J. H., Wang S. Q., Wang S. H., Qiu, D.C., and Wang, C. “[Clinical observation on 899 children infected with intestinal nematodes and treated with tribendimidine enteric coated tablets]”. Chinese Journal of Parasitology &amp; Pa"&amp;"rasitic Diseases 25 (2007): 372-375. Web.")</f>
        <v>Xiao, S. H., Whu, Z. X., Zhang, J. H., Wang S. Q., Wang S. H., Qiu, D.C., and Wang, C. “[Clinical observation on 899 children infected with intestinal nematodes and treated with tribendimidine enteric coated tablets]”. Chinese Journal of Parasitology &amp; Parasitic Diseases 25 (2007): 372-375. Web.</v>
      </c>
      <c r="AH140" s="834" t="str">
        <f>IFERROR(__xludf.DUMMYFUNCTION("""COMPUTED_VALUE"""),"x")</f>
        <v>x</v>
      </c>
      <c r="AJ140" s="843" t="str">
        <f>IFERROR(__xludf.DUMMYFUNCTION("""COMPUTED_VALUE"""),"Efficacy and safety of tribendimidine, tribendimidine plus ivermectin, tribendimidine plus oxantel pamoate, and albendazole plus oxantel pamoate against hookworm and concomitant soil-transmitted helminth infections in Tanzania and Côte d'Ivoire: a randomi"&amp;"sed, controlled, single-blinded, non-inferiority trial")</f>
        <v>Efficacy and safety of tribendimidine, tribendimidine plus ivermectin, tribendimidine plus oxantel pamoate, and albendazole plus oxantel pamoate against hookworm and concomitant soil-transmitted helminth infections in Tanzania and Côte d'Ivoire: a randomised, controlled, single-blinded, non-inferiority trial</v>
      </c>
      <c r="AK140" s="836" t="str">
        <f>IFERROR(__xludf.DUMMYFUNCTION("""COMPUTED_VALUE"""),"Moser W, Coulibaly JT, Ali SM, Ame SM, Amour AK, Yapi RB, Albonico M, Puchkov M, Huwyler J, Hattendorf J, Keiser J. Efficacy and safety of tribendimidine, tribendimidine plus ivermectin, tribendimidine plus oxantel pamoate, and albendazole plus oxantel pa"&amp;"moate against hookworm and concomitant soil-transmitted helminth infections in Tanzania and Côte d'Ivoire: a randomised, controlled, single-blinded, non-inferiority trial. Lancet Infect Dis. 2017 Nov;17(11):1162-1171. doi: 10.1016/S1473-3099(17)30487-5. E"&amp;"pub 2017 Aug 29. PMID: 28864027.")</f>
        <v>Moser W, Coulibaly JT, Ali SM, Ame SM, Amour AK, Yapi RB, Albonico M, Puchkov M, Huwyler J, Hattendorf J, Keiser J. Efficacy and safety of tribendimidine, tribendimidine plus ivermectin, tribendimidine plus oxantel pamoate, and albendazole plus oxantel pamoate against hookworm and concomitant soil-transmitted helminth infections in Tanzania and Côte d'Ivoire: a randomised, controlled, single-blinded, non-inferiority trial. Lancet Infect Dis. 2017 Nov;17(11):1162-1171. doi: 10.1016/S1473-3099(17)30487-5. Epub 2017 Aug 29. PMID: 28864027.</v>
      </c>
      <c r="AL140" s="836" t="str">
        <f>IFERROR(__xludf.DUMMYFUNCTION("""COMPUTED_VALUE"""),"Tanzania")</f>
        <v>Tanzania</v>
      </c>
      <c r="AM140" s="836" t="str">
        <f>IFERROR(__xludf.DUMMYFUNCTION("""COMPUTED_VALUE"""),"Tribendimidine &amp; Oxantel pamoate")</f>
        <v>Tribendimidine &amp; Oxantel pamoate</v>
      </c>
      <c r="AN140" s="836" t="str">
        <f>IFERROR(__xludf.DUMMYFUNCTION("""COMPUTED_VALUE"""),"Single")</f>
        <v>Single</v>
      </c>
      <c r="AO140" s="836" t="str">
        <f>IFERROR(__xludf.DUMMYFUNCTION("""COMPUTED_VALUE"""),"400 mg; 25 mg/kg")</f>
        <v>400 mg; 25 mg/kg</v>
      </c>
      <c r="AP140" s="836">
        <f>IFERROR(__xludf.DUMMYFUNCTION("""COMPUTED_VALUE"""),157.0)</f>
        <v>157</v>
      </c>
      <c r="AQ140" s="836">
        <f>IFERROR(__xludf.DUMMYFUNCTION("""COMPUTED_VALUE"""),15.9)</f>
        <v>15.9</v>
      </c>
      <c r="AR140" s="836" t="str">
        <f>IFERROR(__xludf.DUMMYFUNCTION("""COMPUTED_VALUE"""),"84M:73F")</f>
        <v>84M:73F</v>
      </c>
      <c r="AS140" s="836">
        <f>IFERROR(__xludf.DUMMYFUNCTION("""COMPUTED_VALUE"""),2016.0)</f>
        <v>2016</v>
      </c>
      <c r="AT140" s="836" t="str">
        <f>IFERROR(__xludf.DUMMYFUNCTION("""COMPUTED_VALUE"""),"We recruited adolescents aged 15–18 years from four primary schools on Pemba, and school attendees and non-schoolers from two districts in Côte d’Ivoire")</f>
        <v>We recruited adolescents aged 15–18 years from four primary schools on Pemba, and school attendees and non-schoolers from two districts in Côte d’Ivoire</v>
      </c>
      <c r="AU140" s="836" t="str">
        <f>IFERROR(__xludf.DUMMYFUNCTION("""COMPUTED_VALUE"""),"Yes")</f>
        <v>Yes</v>
      </c>
      <c r="AV140" s="836" t="str">
        <f>IFERROR(__xludf.DUMMYFUNCTION("""COMPUTED_VALUE"""),"Yes")</f>
        <v>Yes</v>
      </c>
      <c r="AW140" s="836" t="str">
        <f>IFERROR(__xludf.DUMMYFUNCTION("""COMPUTED_VALUE"""),"Single-blind")</f>
        <v>Single-blind</v>
      </c>
      <c r="AX140" s="841">
        <f>IFERROR(__xludf.DUMMYFUNCTION("""COMPUTED_VALUE"""),0.663)</f>
        <v>0.663</v>
      </c>
      <c r="AY140" s="836"/>
      <c r="AZ140" s="836"/>
      <c r="BA140" s="836"/>
      <c r="BB140" s="836"/>
      <c r="BC140" s="836"/>
      <c r="BD140" s="836"/>
      <c r="BE140" s="836"/>
      <c r="BF140" s="836"/>
      <c r="BG140" s="836"/>
      <c r="BH140" s="841">
        <f>IFERROR(__xludf.DUMMYFUNCTION("""COMPUTED_VALUE"""),0.998)</f>
        <v>0.998</v>
      </c>
      <c r="BI140" s="836"/>
      <c r="BJ140" s="836"/>
      <c r="BK140" s="836"/>
      <c r="BL140" s="836"/>
      <c r="BM140" s="836"/>
      <c r="BN140" s="836" t="str">
        <f>IFERROR(__xludf.DUMMYFUNCTION("""COMPUTED_VALUE"""),"Tribendimidine showed a similar efficacy profile as albendazole. We recommend tribendimidine to complement albendazole in preventive chemotherapy interventions, to decrease drug pressure on soil-transmitted helminths and avoid the emergence of drug resist"&amp;"ance against benzimidazoles. Moreover, the coadministration of tribendimidine with ivermectin or oxantel pamoate could broaden the spectrum of activity.")</f>
        <v>Tribendimidine showed a similar efficacy profile as albendazole. We recommend tribendimidine to complement albendazole in preventive chemotherapy interventions, to decrease drug pressure on soil-transmitted helminths and avoid the emergence of drug resistance against benzimidazoles. Moreover, the coadministration of tribendimidine with ivermectin or oxantel pamoate could broaden the spectrum of activity.</v>
      </c>
      <c r="BO140" s="836" t="str">
        <f>IFERROR(__xludf.DUMMYFUNCTION("""COMPUTED_VALUE"""),"Kato-Katz technique")</f>
        <v>Kato-Katz technique</v>
      </c>
      <c r="BP140" s="836"/>
      <c r="BQ140" s="697"/>
      <c r="BR140" s="844" t="str">
        <f>IFERROR(__xludf.DUMMYFUNCTION("""COMPUTED_VALUE"""),"VY Belizario et al.")</f>
        <v>VY Belizario et al.</v>
      </c>
      <c r="BS140" s="838" t="str">
        <f>IFERROR(__xludf.DUMMYFUNCTION("""COMPUTED_VALUE"""),"Phillipines")</f>
        <v>Phillipines</v>
      </c>
      <c r="BT140" s="838" t="str">
        <f>IFERROR(__xludf.DUMMYFUNCTION("""COMPUTED_VALUE"""),"Ivermectin")</f>
        <v>Ivermectin</v>
      </c>
      <c r="BU140" s="838"/>
      <c r="BV140" s="838" t="str">
        <f>IFERROR(__xludf.DUMMYFUNCTION("""COMPUTED_VALUE"""),"Single")</f>
        <v>Single</v>
      </c>
      <c r="BW140" s="838" t="str">
        <f>IFERROR(__xludf.DUMMYFUNCTION("""COMPUTED_VALUE"""),"200 mg")</f>
        <v>200 mg</v>
      </c>
      <c r="BX140" s="838">
        <f>IFERROR(__xludf.DUMMYFUNCTION("""COMPUTED_VALUE"""),102.0)</f>
        <v>102</v>
      </c>
      <c r="BY140" s="845">
        <f>IFERROR(__xludf.DUMMYFUNCTION("""COMPUTED_VALUE"""),42533.0)</f>
        <v>42533</v>
      </c>
      <c r="BZ140" s="838">
        <f>IFERROR(__xludf.DUMMYFUNCTION("""COMPUTED_VALUE"""),1998.0)</f>
        <v>1998</v>
      </c>
      <c r="CA140" s="838"/>
      <c r="CB140" s="838"/>
      <c r="CC140" s="838" t="str">
        <f>IFERROR(__xludf.DUMMYFUNCTION("""COMPUTED_VALUE"""),"Yes")</f>
        <v>Yes</v>
      </c>
      <c r="CD140" s="847">
        <f>IFERROR(__xludf.DUMMYFUNCTION("""COMPUTED_VALUE"""),0.784)</f>
        <v>0.784</v>
      </c>
      <c r="CE140" s="838" t="str">
        <f>IFERROR(__xludf.DUMMYFUNCTION("""COMPUTED_VALUE"""),"Yes")</f>
        <v>Yes</v>
      </c>
      <c r="CF140" s="847">
        <f>IFERROR(__xludf.DUMMYFUNCTION("""COMPUTED_VALUE"""),0.784)</f>
        <v>0.784</v>
      </c>
      <c r="CG140" s="838"/>
      <c r="CH140" s="838"/>
      <c r="CI140" s="838"/>
      <c r="CJ140" s="838"/>
      <c r="CK140" s="838"/>
      <c r="CL140" s="838"/>
      <c r="CM140" s="847">
        <f>IFERROR(__xludf.DUMMYFUNCTION("""COMPUTED_VALUE"""),0.943)</f>
        <v>0.943</v>
      </c>
      <c r="CN140" s="838"/>
      <c r="CO140" s="838"/>
      <c r="CP140" s="838"/>
      <c r="CQ140" s="838"/>
      <c r="CR140" s="838"/>
      <c r="CS140" s="838"/>
      <c r="CT140" s="838"/>
      <c r="CU140" s="838"/>
      <c r="CV140" s="697" t="str">
        <f>IFERROR(__xludf.DUMMYFUNCTION("""COMPUTED_VALUE"""),"Belizario, V.Y.; Amarillo, M.E.; Leon de W.U.; Reyes de los, A.E.; BUgayong, M.G.; Macatangay ( ) A comparison of the efficacy of single doses of albendazole, ivermectin, and diethylcarbamazine alone or in combinations against Ascaris and Trichuris spp.")</f>
        <v>Belizario, V.Y.; Amarillo, M.E.; Leon de W.U.; Reyes de los, A.E.; BUgayong, M.G.; Macatangay ( ) A comparison of the efficacy of single doses of albendazole, ivermectin, and diethylcarbamazine alone or in combinations against Ascaris and Trichuris spp.</v>
      </c>
    </row>
    <row r="141">
      <c r="A141" s="842" t="str">
        <f>IFERROR(__xludf.DUMMYFUNCTION("""COMPUTED_VALUE"""),"Khieu")</f>
        <v>Khieu</v>
      </c>
      <c r="B141" s="834" t="str">
        <f>IFERROR(__xludf.DUMMYFUNCTION("""COMPUTED_VALUE"""),"Cambodia")</f>
        <v>Cambodia</v>
      </c>
      <c r="C141" s="834" t="str">
        <f>IFERROR(__xludf.DUMMYFUNCTION("""COMPUTED_VALUE"""),"Ivermectin")</f>
        <v>Ivermectin</v>
      </c>
      <c r="D141" s="834" t="str">
        <f>IFERROR(__xludf.DUMMYFUNCTION("""COMPUTED_VALUE"""),"Single")</f>
        <v>Single</v>
      </c>
      <c r="E141" s="834" t="str">
        <f>IFERROR(__xludf.DUMMYFUNCTION("""COMPUTED_VALUE"""),"100 mg")</f>
        <v>100 mg</v>
      </c>
      <c r="F141" s="834">
        <f>IFERROR(__xludf.DUMMYFUNCTION("""COMPUTED_VALUE"""),458.0)</f>
        <v>458</v>
      </c>
      <c r="G141" s="849">
        <f>IFERROR(__xludf.DUMMYFUNCTION("""COMPUTED_VALUE"""),42540.0)</f>
        <v>42540</v>
      </c>
      <c r="H141" s="834" t="str">
        <f>IFERROR(__xludf.DUMMYFUNCTION("""COMPUTED_VALUE"""),"227 were girls, 49.6%")</f>
        <v>227 were girls, 49.6%</v>
      </c>
      <c r="I141" s="834">
        <f>IFERROR(__xludf.DUMMYFUNCTION("""COMPUTED_VALUE"""),2009.0)</f>
        <v>2009</v>
      </c>
      <c r="J141" s="834" t="str">
        <f>IFERROR(__xludf.DUMMYFUNCTION("""COMPUTED_VALUE"""),"Many of the cases of s. stercoralis were co-infected with hookworm, then after being treated with ivermectin with s. stercoralis, were treated with mebendazole")</f>
        <v>Many of the cases of s. stercoralis were co-infected with hookworm, then after being treated with ivermectin with s. stercoralis, were treated with mebendazole</v>
      </c>
      <c r="K141" s="839" t="str">
        <f>IFERROR(__xludf.DUMMYFUNCTION("""COMPUTED_VALUE"""),"cross-sectional study")</f>
        <v>cross-sectional study</v>
      </c>
      <c r="L141" s="839" t="str">
        <f>IFERROR(__xludf.DUMMYFUNCTION("""COMPUTED_VALUE"""),"No")</f>
        <v>No</v>
      </c>
      <c r="M141" s="839" t="str">
        <f>IFERROR(__xludf.DUMMYFUNCTION("""COMPUTED_VALUE"""),"No")</f>
        <v>No</v>
      </c>
      <c r="N141" s="840">
        <f>IFERROR(__xludf.DUMMYFUNCTION("""COMPUTED_VALUE"""),0.33)</f>
        <v>0.33</v>
      </c>
      <c r="O141" s="834"/>
      <c r="P141" s="834"/>
      <c r="Q141" s="834"/>
      <c r="R141" s="834"/>
      <c r="S141" s="834"/>
      <c r="T141" s="834"/>
      <c r="U141" s="834"/>
      <c r="V141" s="834"/>
      <c r="W141" s="834"/>
      <c r="X141" s="834"/>
      <c r="Y141" s="834"/>
      <c r="Z141" s="834"/>
      <c r="AA141" s="834"/>
      <c r="AB141" s="834"/>
      <c r="AC141" s="834"/>
      <c r="AD141" s="834"/>
      <c r="AE141" s="834" t="str">
        <f>IFERROR(__xludf.DUMMYFUNCTION("""COMPUTED_VALUE"""),"One third of cases were clear of hookworm after three weeks of single dose Mebendazoletreatment. Our observed low cure rate of single dose Mebendazoleis coinciding with the recent control trial study among school-aged children in Lao PDR [52]. Our study d"&amp;"id not determine the efficacy of ivermectin against other STH infections. Nevertheless, ivermectin has shown low efficacy against hookworm and T. trichiura infections, except A. lumbricoides")</f>
        <v>One third of cases were clear of hookworm after three weeks of single dose Mebendazoletreatment. Our observed low cure rate of single dose Mebendazoleis coinciding with the recent control trial study among school-aged children in Lao PDR [52]. Our study did not determine the efficacy of ivermectin against other STH infections. Nevertheless, ivermectin has shown low efficacy against hookworm and T. trichiura infections, except A. lumbricoides</v>
      </c>
      <c r="AF141" s="834" t="str">
        <f>IFERROR(__xludf.DUMMYFUNCTION("""COMPUTED_VALUE"""),"We performed a cross-sectional study in 458 children from four primary schools in semi-rural villages in Kandal province. Ivermectin  100 ug/kg/  two days Kato-Katz")</f>
        <v>We performed a cross-sectional study in 458 children from four primary schools in semi-rural villages in Kandal province. Ivermectin  100 ug/kg/  two days Kato-Katz</v>
      </c>
      <c r="AG141" s="834" t="str">
        <f>IFERROR(__xludf.DUMMYFUNCTION("""COMPUTED_VALUE"""),"Khieu, V., Schär, F., Marti, H., Sayasone, S., Duong, S., Muth, S., &amp; Odermatt, P. (2013). Diagnosis, Treatment and Risk Factors of Strongyloides stercoralis in Schoolchildren in Cambodia. PLoS Negl Trop Dis PLoS Neglected Tropical Diseases,7(2), E2035-E2"&amp;"035.")</f>
        <v>Khieu, V., Schär, F., Marti, H., Sayasone, S., Duong, S., Muth, S., &amp; Odermatt, P. (2013). Diagnosis, Treatment and Risk Factors of Strongyloides stercoralis in Schoolchildren in Cambodia. PLoS Negl Trop Dis PLoS Neglected Tropical Diseases,7(2), E2035-E2035.</v>
      </c>
      <c r="AH141" s="834" t="str">
        <f>IFERROR(__xludf.DUMMYFUNCTION("""COMPUTED_VALUE"""),"x")</f>
        <v>x</v>
      </c>
      <c r="AJ141" s="843" t="str">
        <f>IFERROR(__xludf.DUMMYFUNCTION("""COMPUTED_VALUE"""),"Efficacy and safety of tribendimidine, tribendimidine plus ivermectin, tribendimidine plus oxantel pamoate, and albendazole plus oxantel pamoate against hookworm and concomitant soil-transmitted helminth infections in Tanzania and Côte d'Ivoire: a randomi"&amp;"sed, controlled, single-blinded, non-inferiority trial")</f>
        <v>Efficacy and safety of tribendimidine, tribendimidine plus ivermectin, tribendimidine plus oxantel pamoate, and albendazole plus oxantel pamoate against hookworm and concomitant soil-transmitted helminth infections in Tanzania and Côte d'Ivoire: a randomised, controlled, single-blinded, non-inferiority trial</v>
      </c>
      <c r="AK141" s="836" t="str">
        <f>IFERROR(__xludf.DUMMYFUNCTION("""COMPUTED_VALUE"""),"Moser W, Coulibaly JT, Ali SM, Ame SM, Amour AK, Yapi RB, Albonico M, Puchkov M, Huwyler J, Hattendorf J, Keiser J. Efficacy and safety of tribendimidine, tribendimidine plus ivermectin, tribendimidine plus oxantel pamoate, and albendazole plus oxantel pa"&amp;"moate against hookworm and concomitant soil-transmitted helminth infections in Tanzania and Côte d'Ivoire: a randomised, controlled, single-blinded, non-inferiority trial. Lancet Infect Dis. 2017 Nov;17(11):1162-1171. doi: 10.1016/S1473-3099(17)30487-5. E"&amp;"pub 2017 Aug 29. PMID: 28864027.")</f>
        <v>Moser W, Coulibaly JT, Ali SM, Ame SM, Amour AK, Yapi RB, Albonico M, Puchkov M, Huwyler J, Hattendorf J, Keiser J. Efficacy and safety of tribendimidine, tribendimidine plus ivermectin, tribendimidine plus oxantel pamoate, and albendazole plus oxantel pamoate against hookworm and concomitant soil-transmitted helminth infections in Tanzania and Côte d'Ivoire: a randomised, controlled, single-blinded, non-inferiority trial. Lancet Infect Dis. 2017 Nov;17(11):1162-1171. doi: 10.1016/S1473-3099(17)30487-5. Epub 2017 Aug 29. PMID: 28864027.</v>
      </c>
      <c r="AL141" s="836" t="str">
        <f>IFERROR(__xludf.DUMMYFUNCTION("""COMPUTED_VALUE"""),"Tanzania")</f>
        <v>Tanzania</v>
      </c>
      <c r="AM141" s="836" t="str">
        <f>IFERROR(__xludf.DUMMYFUNCTION("""COMPUTED_VALUE"""),"Albendazole &amp; Oxantel pamoate")</f>
        <v>Albendazole &amp; Oxantel pamoate</v>
      </c>
      <c r="AN141" s="836" t="str">
        <f>IFERROR(__xludf.DUMMYFUNCTION("""COMPUTED_VALUE"""),"Single")</f>
        <v>Single</v>
      </c>
      <c r="AO141" s="836" t="str">
        <f>IFERROR(__xludf.DUMMYFUNCTION("""COMPUTED_VALUE"""),"400 mg; 25 mg/kg")</f>
        <v>400 mg; 25 mg/kg</v>
      </c>
      <c r="AP141" s="836">
        <f>IFERROR(__xludf.DUMMYFUNCTION("""COMPUTED_VALUE"""),161.0)</f>
        <v>161</v>
      </c>
      <c r="AQ141" s="836">
        <f>IFERROR(__xludf.DUMMYFUNCTION("""COMPUTED_VALUE"""),15.8)</f>
        <v>15.8</v>
      </c>
      <c r="AR141" s="836" t="str">
        <f>IFERROR(__xludf.DUMMYFUNCTION("""COMPUTED_VALUE"""),"75M:86F")</f>
        <v>75M:86F</v>
      </c>
      <c r="AS141" s="836">
        <f>IFERROR(__xludf.DUMMYFUNCTION("""COMPUTED_VALUE"""),2016.0)</f>
        <v>2016</v>
      </c>
      <c r="AT141" s="836" t="str">
        <f>IFERROR(__xludf.DUMMYFUNCTION("""COMPUTED_VALUE"""),"We recruited adolescents aged 15–18 years from four primary schools on Pemba, and school attendees and non-schoolers from two districts in Côte d’Ivoire")</f>
        <v>We recruited adolescents aged 15–18 years from four primary schools on Pemba, and school attendees and non-schoolers from two districts in Côte d’Ivoire</v>
      </c>
      <c r="AU141" s="836" t="str">
        <f>IFERROR(__xludf.DUMMYFUNCTION("""COMPUTED_VALUE"""),"Yes")</f>
        <v>Yes</v>
      </c>
      <c r="AV141" s="836" t="str">
        <f>IFERROR(__xludf.DUMMYFUNCTION("""COMPUTED_VALUE"""),"Yes")</f>
        <v>Yes</v>
      </c>
      <c r="AW141" s="836" t="str">
        <f>IFERROR(__xludf.DUMMYFUNCTION("""COMPUTED_VALUE"""),"Single-blind")</f>
        <v>Single-blind</v>
      </c>
      <c r="AX141" s="841">
        <f>IFERROR(__xludf.DUMMYFUNCTION("""COMPUTED_VALUE"""),0.828)</f>
        <v>0.828</v>
      </c>
      <c r="AY141" s="836"/>
      <c r="AZ141" s="836"/>
      <c r="BA141" s="836"/>
      <c r="BB141" s="836"/>
      <c r="BC141" s="836"/>
      <c r="BD141" s="836"/>
      <c r="BE141" s="836"/>
      <c r="BF141" s="836"/>
      <c r="BG141" s="836"/>
      <c r="BH141" s="841">
        <f>IFERROR(__xludf.DUMMYFUNCTION("""COMPUTED_VALUE"""),0.531)</f>
        <v>0.531</v>
      </c>
      <c r="BI141" s="836"/>
      <c r="BJ141" s="836"/>
      <c r="BK141" s="836"/>
      <c r="BL141" s="836"/>
      <c r="BM141" s="836"/>
      <c r="BN141" s="836" t="str">
        <f>IFERROR(__xludf.DUMMYFUNCTION("""COMPUTED_VALUE"""),"Tribendimidine showed a similar efficacy profile as albendazole. We recommend tribendimidine to complement albendazole in preventive chemotherapy interventions, to decrease drug pressure on soil-transmitted helminths and avoid the emergence of drug resist"&amp;"ance against benzimidazoles. Moreover, the coadministration of tribendimidine with ivermectin or oxantel pamoate could broaden the spectrum of activity.")</f>
        <v>Tribendimidine showed a similar efficacy profile as albendazole. We recommend tribendimidine to complement albendazole in preventive chemotherapy interventions, to decrease drug pressure on soil-transmitted helminths and avoid the emergence of drug resistance against benzimidazoles. Moreover, the coadministration of tribendimidine with ivermectin or oxantel pamoate could broaden the spectrum of activity.</v>
      </c>
      <c r="BO141" s="836" t="str">
        <f>IFERROR(__xludf.DUMMYFUNCTION("""COMPUTED_VALUE"""),"Kato-Katz technique")</f>
        <v>Kato-Katz technique</v>
      </c>
      <c r="BP141" s="836"/>
      <c r="BQ141" s="697"/>
      <c r="BR141" s="844" t="str">
        <f>IFERROR(__xludf.DUMMYFUNCTION("""COMPUTED_VALUE"""),"VY Belizario et al.")</f>
        <v>VY Belizario et al.</v>
      </c>
      <c r="BS141" s="838" t="str">
        <f>IFERROR(__xludf.DUMMYFUNCTION("""COMPUTED_VALUE"""),"Phillipines")</f>
        <v>Phillipines</v>
      </c>
      <c r="BT141" s="838" t="str">
        <f>IFERROR(__xludf.DUMMYFUNCTION("""COMPUTED_VALUE"""),"Diethylcarbamazine")</f>
        <v>Diethylcarbamazine</v>
      </c>
      <c r="BU141" s="838"/>
      <c r="BV141" s="838" t="str">
        <f>IFERROR(__xludf.DUMMYFUNCTION("""COMPUTED_VALUE"""),"Single")</f>
        <v>Single</v>
      </c>
      <c r="BW141" s="838" t="str">
        <f>IFERROR(__xludf.DUMMYFUNCTION("""COMPUTED_VALUE"""),"150 mg")</f>
        <v>150 mg</v>
      </c>
      <c r="BX141" s="838">
        <f>IFERROR(__xludf.DUMMYFUNCTION("""COMPUTED_VALUE"""),102.0)</f>
        <v>102</v>
      </c>
      <c r="BY141" s="845">
        <f>IFERROR(__xludf.DUMMYFUNCTION("""COMPUTED_VALUE"""),42533.0)</f>
        <v>42533</v>
      </c>
      <c r="BZ141" s="838">
        <f>IFERROR(__xludf.DUMMYFUNCTION("""COMPUTED_VALUE"""),1998.0)</f>
        <v>1998</v>
      </c>
      <c r="CA141" s="838"/>
      <c r="CB141" s="838"/>
      <c r="CC141" s="838" t="str">
        <f>IFERROR(__xludf.DUMMYFUNCTION("""COMPUTED_VALUE"""),"Yes")</f>
        <v>Yes</v>
      </c>
      <c r="CD141" s="847">
        <f>IFERROR(__xludf.DUMMYFUNCTION("""COMPUTED_VALUE"""),0.235)</f>
        <v>0.235</v>
      </c>
      <c r="CE141" s="838" t="str">
        <f>IFERROR(__xludf.DUMMYFUNCTION("""COMPUTED_VALUE"""),"Yes")</f>
        <v>Yes</v>
      </c>
      <c r="CF141" s="847">
        <f>IFERROR(__xludf.DUMMYFUNCTION("""COMPUTED_VALUE"""),0.235)</f>
        <v>0.235</v>
      </c>
      <c r="CG141" s="838"/>
      <c r="CH141" s="838"/>
      <c r="CI141" s="838"/>
      <c r="CJ141" s="838"/>
      <c r="CK141" s="838"/>
      <c r="CL141" s="838"/>
      <c r="CM141" s="847">
        <f>IFERROR(__xludf.DUMMYFUNCTION("""COMPUTED_VALUE"""),0.335)</f>
        <v>0.335</v>
      </c>
      <c r="CN141" s="838"/>
      <c r="CO141" s="838"/>
      <c r="CP141" s="838"/>
      <c r="CQ141" s="838"/>
      <c r="CR141" s="838"/>
      <c r="CS141" s="838"/>
      <c r="CT141" s="838"/>
      <c r="CU141" s="838"/>
      <c r="CV141" s="697" t="str">
        <f>IFERROR(__xludf.DUMMYFUNCTION("""COMPUTED_VALUE"""),"Belizario, V.Y.; Amarillo, M.E.; Leon de W.U.; Reyes de los, A.E.; BUgayong, M.G.; Macatangay ( ) A comparison of the efficacy of single doses of albendazole, ivermectin, and diethylcarbamazine alone or in combinations against Ascaris and Trichuris spp.")</f>
        <v>Belizario, V.Y.; Amarillo, M.E.; Leon de W.U.; Reyes de los, A.E.; BUgayong, M.G.; Macatangay ( ) A comparison of the efficacy of single doses of albendazole, ivermectin, and diethylcarbamazine alone or in combinations against Ascaris and Trichuris spp.</v>
      </c>
    </row>
    <row r="142">
      <c r="A142" s="834"/>
      <c r="B142" s="834"/>
      <c r="C142" s="834"/>
      <c r="D142" s="834"/>
      <c r="E142" s="834"/>
      <c r="F142" s="834"/>
      <c r="G142" s="834"/>
      <c r="H142" s="834"/>
      <c r="I142" s="834"/>
      <c r="J142" s="834"/>
      <c r="K142" s="834"/>
      <c r="L142" s="834"/>
      <c r="M142" s="834"/>
      <c r="N142" s="834"/>
      <c r="O142" s="834"/>
      <c r="P142" s="834"/>
      <c r="Q142" s="834"/>
      <c r="R142" s="834"/>
      <c r="S142" s="834"/>
      <c r="T142" s="834"/>
      <c r="U142" s="834"/>
      <c r="V142" s="834"/>
      <c r="W142" s="834"/>
      <c r="X142" s="834"/>
      <c r="Y142" s="834"/>
      <c r="Z142" s="834"/>
      <c r="AA142" s="834"/>
      <c r="AB142" s="834"/>
      <c r="AC142" s="834"/>
      <c r="AD142" s="834"/>
      <c r="AE142" s="834"/>
      <c r="AF142" s="834"/>
      <c r="AG142" s="834"/>
      <c r="AH142" s="834"/>
      <c r="AJ142" s="843" t="str">
        <f>IFERROR(__xludf.DUMMYFUNCTION("""COMPUTED_VALUE"""),"Efficacy and safety of tribendimidine, tribendimidine plus ivermectin, tribendimidine plus oxantel pamoate, and albendazole plus oxantel pamoate against hookworm and concomitant soil-transmitted helminth infections in Tanzania and Côte d'Ivoire: a randomi"&amp;"sed, controlled, single-blinded, non-inferiority trial")</f>
        <v>Efficacy and safety of tribendimidine, tribendimidine plus ivermectin, tribendimidine plus oxantel pamoate, and albendazole plus oxantel pamoate against hookworm and concomitant soil-transmitted helminth infections in Tanzania and Côte d'Ivoire: a randomised, controlled, single-blinded, non-inferiority trial</v>
      </c>
      <c r="AK142" s="836" t="str">
        <f>IFERROR(__xludf.DUMMYFUNCTION("""COMPUTED_VALUE"""),"Moser W, Coulibaly JT, Ali SM, Ame SM, Amour AK, Yapi RB, Albonico M, Puchkov M, Huwyler J, Hattendorf J, Keiser J. Efficacy and safety of tribendimidine, tribendimidine plus ivermectin, tribendimidine plus oxantel pamoate, and albendazole plus oxantel pa"&amp;"moate against hookworm and concomitant soil-transmitted helminth infections in Tanzania and Côte d'Ivoire: a randomised, controlled, single-blinded, non-inferiority trial. Lancet Infect Dis. 2017 Nov;17(11):1162-1171. doi: 10.1016/S1473-3099(17)30487-5. E"&amp;"pub 2017 Aug 29. PMID: 28864027.")</f>
        <v>Moser W, Coulibaly JT, Ali SM, Ame SM, Amour AK, Yapi RB, Albonico M, Puchkov M, Huwyler J, Hattendorf J, Keiser J. Efficacy and safety of tribendimidine, tribendimidine plus ivermectin, tribendimidine plus oxantel pamoate, and albendazole plus oxantel pamoate against hookworm and concomitant soil-transmitted helminth infections in Tanzania and Côte d'Ivoire: a randomised, controlled, single-blinded, non-inferiority trial. Lancet Infect Dis. 2017 Nov;17(11):1162-1171. doi: 10.1016/S1473-3099(17)30487-5. Epub 2017 Aug 29. PMID: 28864027.</v>
      </c>
      <c r="AL142" s="836" t="str">
        <f>IFERROR(__xludf.DUMMYFUNCTION("""COMPUTED_VALUE"""),"Côte d’Ivoire")</f>
        <v>Côte d’Ivoire</v>
      </c>
      <c r="AM142" s="836" t="str">
        <f>IFERROR(__xludf.DUMMYFUNCTION("""COMPUTED_VALUE"""),"Tribendimidine")</f>
        <v>Tribendimidine</v>
      </c>
      <c r="AN142" s="836" t="str">
        <f>IFERROR(__xludf.DUMMYFUNCTION("""COMPUTED_VALUE"""),"Single")</f>
        <v>Single</v>
      </c>
      <c r="AO142" s="836" t="str">
        <f>IFERROR(__xludf.DUMMYFUNCTION("""COMPUTED_VALUE"""),"400 mg")</f>
        <v>400 mg</v>
      </c>
      <c r="AP142" s="836">
        <f>IFERROR(__xludf.DUMMYFUNCTION("""COMPUTED_VALUE"""),159.0)</f>
        <v>159</v>
      </c>
      <c r="AQ142" s="836">
        <f>IFERROR(__xludf.DUMMYFUNCTION("""COMPUTED_VALUE"""),15.8)</f>
        <v>15.8</v>
      </c>
      <c r="AR142" s="836" t="str">
        <f>IFERROR(__xludf.DUMMYFUNCTION("""COMPUTED_VALUE"""),"74M:85F")</f>
        <v>74M:85F</v>
      </c>
      <c r="AS142" s="836">
        <f>IFERROR(__xludf.DUMMYFUNCTION("""COMPUTED_VALUE"""),2016.0)</f>
        <v>2016</v>
      </c>
      <c r="AT142" s="836" t="str">
        <f>IFERROR(__xludf.DUMMYFUNCTION("""COMPUTED_VALUE"""),"We recruited adolescents aged 15–18 years from four primary schools on Pemba, and school attendees and non-schoolers from two districts in Côte d’Ivoire")</f>
        <v>We recruited adolescents aged 15–18 years from four primary schools on Pemba, and school attendees and non-schoolers from two districts in Côte d’Ivoire</v>
      </c>
      <c r="AU142" s="836" t="str">
        <f>IFERROR(__xludf.DUMMYFUNCTION("""COMPUTED_VALUE"""),"Yes")</f>
        <v>Yes</v>
      </c>
      <c r="AV142" s="836" t="str">
        <f>IFERROR(__xludf.DUMMYFUNCTION("""COMPUTED_VALUE"""),"Yes")</f>
        <v>Yes</v>
      </c>
      <c r="AW142" s="836" t="str">
        <f>IFERROR(__xludf.DUMMYFUNCTION("""COMPUTED_VALUE"""),"Single-blind")</f>
        <v>Single-blind</v>
      </c>
      <c r="AX142" s="841">
        <f>IFERROR(__xludf.DUMMYFUNCTION("""COMPUTED_VALUE"""),0.082)</f>
        <v>0.082</v>
      </c>
      <c r="AY142" s="836"/>
      <c r="AZ142" s="836"/>
      <c r="BA142" s="836"/>
      <c r="BB142" s="836"/>
      <c r="BC142" s="836"/>
      <c r="BD142" s="836"/>
      <c r="BE142" s="836"/>
      <c r="BF142" s="836"/>
      <c r="BG142" s="836"/>
      <c r="BH142" s="841">
        <f>IFERROR(__xludf.DUMMYFUNCTION("""COMPUTED_VALUE"""),0.964)</f>
        <v>0.964</v>
      </c>
      <c r="BI142" s="836"/>
      <c r="BJ142" s="836"/>
      <c r="BK142" s="836"/>
      <c r="BL142" s="836"/>
      <c r="BM142" s="836"/>
      <c r="BN142" s="836" t="str">
        <f>IFERROR(__xludf.DUMMYFUNCTION("""COMPUTED_VALUE"""),"Tribendimidine showed a similar efficacy profile as albendazole. We recommend tribendimidine to complement albendazole in preventive chemotherapy interventions, to decrease drug pressure on soil-transmitted helminths and avoid the emergence of drug resist"&amp;"ance against benzimidazoles. Moreover, the coadministration of tribendimidine with ivermectin or oxantel pamoate could broaden the spectrum of activity.")</f>
        <v>Tribendimidine showed a similar efficacy profile as albendazole. We recommend tribendimidine to complement albendazole in preventive chemotherapy interventions, to decrease drug pressure on soil-transmitted helminths and avoid the emergence of drug resistance against benzimidazoles. Moreover, the coadministration of tribendimidine with ivermectin or oxantel pamoate could broaden the spectrum of activity.</v>
      </c>
      <c r="BO142" s="836" t="str">
        <f>IFERROR(__xludf.DUMMYFUNCTION("""COMPUTED_VALUE"""),"Kato-Katz technique")</f>
        <v>Kato-Katz technique</v>
      </c>
      <c r="BP142" s="836"/>
      <c r="BQ142" s="697"/>
      <c r="BR142" s="844" t="str">
        <f>IFERROR(__xludf.DUMMYFUNCTION("""COMPUTED_VALUE"""),"VY Belizario et al.")</f>
        <v>VY Belizario et al.</v>
      </c>
      <c r="BS142" s="838" t="str">
        <f>IFERROR(__xludf.DUMMYFUNCTION("""COMPUTED_VALUE"""),"Phillipines")</f>
        <v>Phillipines</v>
      </c>
      <c r="BT142" s="838" t="str">
        <f>IFERROR(__xludf.DUMMYFUNCTION("""COMPUTED_VALUE"""),"Albendazole &amp; Ivermectin")</f>
        <v>Albendazole &amp; Ivermectin</v>
      </c>
      <c r="BU142" s="838"/>
      <c r="BV142" s="838" t="str">
        <f>IFERROR(__xludf.DUMMYFUNCTION("""COMPUTED_VALUE"""),"Single")</f>
        <v>Single</v>
      </c>
      <c r="BW142" s="838" t="str">
        <f>IFERROR(__xludf.DUMMYFUNCTION("""COMPUTED_VALUE"""),"400 mg; 200 mg")</f>
        <v>400 mg; 200 mg</v>
      </c>
      <c r="BX142" s="838">
        <f>IFERROR(__xludf.DUMMYFUNCTION("""COMPUTED_VALUE"""),105.0)</f>
        <v>105</v>
      </c>
      <c r="BY142" s="845">
        <f>IFERROR(__xludf.DUMMYFUNCTION("""COMPUTED_VALUE"""),42533.0)</f>
        <v>42533</v>
      </c>
      <c r="BZ142" s="838">
        <f>IFERROR(__xludf.DUMMYFUNCTION("""COMPUTED_VALUE"""),1998.0)</f>
        <v>1998</v>
      </c>
      <c r="CA142" s="838"/>
      <c r="CB142" s="838"/>
      <c r="CC142" s="838" t="str">
        <f>IFERROR(__xludf.DUMMYFUNCTION("""COMPUTED_VALUE"""),"Yes")</f>
        <v>Yes</v>
      </c>
      <c r="CD142" s="847">
        <f>IFERROR(__xludf.DUMMYFUNCTION("""COMPUTED_VALUE"""),0.781)</f>
        <v>0.781</v>
      </c>
      <c r="CE142" s="838" t="str">
        <f>IFERROR(__xludf.DUMMYFUNCTION("""COMPUTED_VALUE"""),"Yes")</f>
        <v>Yes</v>
      </c>
      <c r="CF142" s="847">
        <f>IFERROR(__xludf.DUMMYFUNCTION("""COMPUTED_VALUE"""),0.781)</f>
        <v>0.781</v>
      </c>
      <c r="CG142" s="838"/>
      <c r="CH142" s="838"/>
      <c r="CI142" s="838"/>
      <c r="CJ142" s="838"/>
      <c r="CK142" s="838"/>
      <c r="CL142" s="838"/>
      <c r="CM142" s="847">
        <f>IFERROR(__xludf.DUMMYFUNCTION("""COMPUTED_VALUE"""),0.995)</f>
        <v>0.995</v>
      </c>
      <c r="CN142" s="838"/>
      <c r="CO142" s="838"/>
      <c r="CP142" s="838"/>
      <c r="CQ142" s="838"/>
      <c r="CR142" s="838"/>
      <c r="CS142" s="838"/>
      <c r="CT142" s="838"/>
      <c r="CU142" s="838"/>
      <c r="CV142" s="697" t="str">
        <f>IFERROR(__xludf.DUMMYFUNCTION("""COMPUTED_VALUE"""),"Belizario, V.Y.; Amarillo, M.E.; Leon de W.U.; Reyes de los, A.E.; BUgayong, M.G.; Macatangay ( ) A comparison of the efficacy of single doses of albendazole, ivermectin, and diethylcarbamazine alone or in combinations against Ascaris and Trichuris spp.")</f>
        <v>Belizario, V.Y.; Amarillo, M.E.; Leon de W.U.; Reyes de los, A.E.; BUgayong, M.G.; Macatangay ( ) A comparison of the efficacy of single doses of albendazole, ivermectin, and diethylcarbamazine alone or in combinations against Ascaris and Trichuris spp.</v>
      </c>
    </row>
    <row r="143">
      <c r="A143" s="834"/>
      <c r="B143" s="834"/>
      <c r="C143" s="834"/>
      <c r="D143" s="834"/>
      <c r="E143" s="834"/>
      <c r="F143" s="834"/>
      <c r="G143" s="834"/>
      <c r="H143" s="834"/>
      <c r="I143" s="834"/>
      <c r="J143" s="834"/>
      <c r="K143" s="834"/>
      <c r="L143" s="834"/>
      <c r="M143" s="834"/>
      <c r="N143" s="834"/>
      <c r="O143" s="834"/>
      <c r="P143" s="834"/>
      <c r="Q143" s="834"/>
      <c r="R143" s="834"/>
      <c r="S143" s="834"/>
      <c r="T143" s="834"/>
      <c r="U143" s="834"/>
      <c r="V143" s="834"/>
      <c r="W143" s="834"/>
      <c r="X143" s="834"/>
      <c r="Y143" s="834"/>
      <c r="Z143" s="834"/>
      <c r="AA143" s="834"/>
      <c r="AB143" s="834"/>
      <c r="AC143" s="834"/>
      <c r="AD143" s="834"/>
      <c r="AE143" s="834"/>
      <c r="AF143" s="834"/>
      <c r="AG143" s="834"/>
      <c r="AH143" s="834"/>
      <c r="AJ143" s="843" t="str">
        <f>IFERROR(__xludf.DUMMYFUNCTION("""COMPUTED_VALUE"""),"Efficacy and safety of tribendimidine, tribendimidine plus ivermectin, tribendimidine plus oxantel pamoate, and albendazole plus oxantel pamoate against hookworm and concomitant soil-transmitted helminth infections in Tanzania and Côte d'Ivoire: a randomi"&amp;"sed, controlled, single-blinded, non-inferiority trial")</f>
        <v>Efficacy and safety of tribendimidine, tribendimidine plus ivermectin, tribendimidine plus oxantel pamoate, and albendazole plus oxantel pamoate against hookworm and concomitant soil-transmitted helminth infections in Tanzania and Côte d'Ivoire: a randomised, controlled, single-blinded, non-inferiority trial</v>
      </c>
      <c r="AK143" s="836" t="str">
        <f>IFERROR(__xludf.DUMMYFUNCTION("""COMPUTED_VALUE"""),"Moser W, Coulibaly JT, Ali SM, Ame SM, Amour AK, Yapi RB, Albonico M, Puchkov M, Huwyler J, Hattendorf J, Keiser J. Efficacy and safety of tribendimidine, tribendimidine plus ivermectin, tribendimidine plus oxantel pamoate, and albendazole plus oxantel pa"&amp;"moate against hookworm and concomitant soil-transmitted helminth infections in Tanzania and Côte d'Ivoire: a randomised, controlled, single-blinded, non-inferiority trial. Lancet Infect Dis. 2017 Nov;17(11):1162-1171. doi: 10.1016/S1473-3099(17)30487-5. E"&amp;"pub 2017 Aug 29. PMID: 28864027.")</f>
        <v>Moser W, Coulibaly JT, Ali SM, Ame SM, Amour AK, Yapi RB, Albonico M, Puchkov M, Huwyler J, Hattendorf J, Keiser J. Efficacy and safety of tribendimidine, tribendimidine plus ivermectin, tribendimidine plus oxantel pamoate, and albendazole plus oxantel pamoate against hookworm and concomitant soil-transmitted helminth infections in Tanzania and Côte d'Ivoire: a randomised, controlled, single-blinded, non-inferiority trial. Lancet Infect Dis. 2017 Nov;17(11):1162-1171. doi: 10.1016/S1473-3099(17)30487-5. Epub 2017 Aug 29. PMID: 28864027.</v>
      </c>
      <c r="AL143" s="836" t="str">
        <f>IFERROR(__xludf.DUMMYFUNCTION("""COMPUTED_VALUE"""),"Côte d’Ivoire")</f>
        <v>Côte d’Ivoire</v>
      </c>
      <c r="AM143" s="836" t="str">
        <f>IFERROR(__xludf.DUMMYFUNCTION("""COMPUTED_VALUE"""),"Tribendimidine &amp; Ivermectin")</f>
        <v>Tribendimidine &amp; Ivermectin</v>
      </c>
      <c r="AN143" s="836" t="str">
        <f>IFERROR(__xludf.DUMMYFUNCTION("""COMPUTED_VALUE"""),"Single")</f>
        <v>Single</v>
      </c>
      <c r="AO143" s="836" t="str">
        <f>IFERROR(__xludf.DUMMYFUNCTION("""COMPUTED_VALUE"""),"400 mg; 200 µg/kg")</f>
        <v>400 mg; 200 µg/kg</v>
      </c>
      <c r="AP143" s="836">
        <f>IFERROR(__xludf.DUMMYFUNCTION("""COMPUTED_VALUE"""),159.0)</f>
        <v>159</v>
      </c>
      <c r="AQ143" s="836">
        <f>IFERROR(__xludf.DUMMYFUNCTION("""COMPUTED_VALUE"""),15.9)</f>
        <v>15.9</v>
      </c>
      <c r="AR143" s="836" t="str">
        <f>IFERROR(__xludf.DUMMYFUNCTION("""COMPUTED_VALUE"""),"65M:94F")</f>
        <v>65M:94F</v>
      </c>
      <c r="AS143" s="836">
        <f>IFERROR(__xludf.DUMMYFUNCTION("""COMPUTED_VALUE"""),2016.0)</f>
        <v>2016</v>
      </c>
      <c r="AT143" s="836" t="str">
        <f>IFERROR(__xludf.DUMMYFUNCTION("""COMPUTED_VALUE"""),"We recruited adolescents aged 15–18 years from four primary schools on Pemba, and school attendees and non-schoolers from two districts in Côte d’Ivoire")</f>
        <v>We recruited adolescents aged 15–18 years from four primary schools on Pemba, and school attendees and non-schoolers from two districts in Côte d’Ivoire</v>
      </c>
      <c r="AU143" s="836" t="str">
        <f>IFERROR(__xludf.DUMMYFUNCTION("""COMPUTED_VALUE"""),"Yes")</f>
        <v>Yes</v>
      </c>
      <c r="AV143" s="836" t="str">
        <f>IFERROR(__xludf.DUMMYFUNCTION("""COMPUTED_VALUE"""),"Yes")</f>
        <v>Yes</v>
      </c>
      <c r="AW143" s="836" t="str">
        <f>IFERROR(__xludf.DUMMYFUNCTION("""COMPUTED_VALUE"""),"Single-blind")</f>
        <v>Single-blind</v>
      </c>
      <c r="AX143" s="841">
        <f>IFERROR(__xludf.DUMMYFUNCTION("""COMPUTED_VALUE"""),0.337)</f>
        <v>0.337</v>
      </c>
      <c r="AY143" s="836"/>
      <c r="AZ143" s="836"/>
      <c r="BA143" s="836"/>
      <c r="BB143" s="836"/>
      <c r="BC143" s="836"/>
      <c r="BD143" s="836"/>
      <c r="BE143" s="836"/>
      <c r="BF143" s="836"/>
      <c r="BG143" s="836"/>
      <c r="BH143" s="841">
        <f>IFERROR(__xludf.DUMMYFUNCTION("""COMPUTED_VALUE"""),0.995)</f>
        <v>0.995</v>
      </c>
      <c r="BI143" s="836"/>
      <c r="BJ143" s="836"/>
      <c r="BK143" s="836"/>
      <c r="BL143" s="836"/>
      <c r="BM143" s="836"/>
      <c r="BN143" s="836" t="str">
        <f>IFERROR(__xludf.DUMMYFUNCTION("""COMPUTED_VALUE"""),"Tribendimidine showed a similar efficacy profile as albendazole. We recommend tribendimidine to complement albendazole in preventive chemotherapy interventions, to decrease drug pressure on soil-transmitted helminths and avoid the emergence of drug resist"&amp;"ance against benzimidazoles. Moreover, the coadministration of tribendimidine with ivermectin or oxantel pamoate could broaden the spectrum of activity.")</f>
        <v>Tribendimidine showed a similar efficacy profile as albendazole. We recommend tribendimidine to complement albendazole in preventive chemotherapy interventions, to decrease drug pressure on soil-transmitted helminths and avoid the emergence of drug resistance against benzimidazoles. Moreover, the coadministration of tribendimidine with ivermectin or oxantel pamoate could broaden the spectrum of activity.</v>
      </c>
      <c r="BO143" s="836" t="str">
        <f>IFERROR(__xludf.DUMMYFUNCTION("""COMPUTED_VALUE"""),"Kato-Katz technique")</f>
        <v>Kato-Katz technique</v>
      </c>
      <c r="BP143" s="836"/>
      <c r="BQ143" s="697"/>
      <c r="BR143" s="844" t="str">
        <f>IFERROR(__xludf.DUMMYFUNCTION("""COMPUTED_VALUE"""),"VY Belizario et al.")</f>
        <v>VY Belizario et al.</v>
      </c>
      <c r="BS143" s="838" t="str">
        <f>IFERROR(__xludf.DUMMYFUNCTION("""COMPUTED_VALUE"""),"Phillipines")</f>
        <v>Phillipines</v>
      </c>
      <c r="BT143" s="838" t="str">
        <f>IFERROR(__xludf.DUMMYFUNCTION("""COMPUTED_VALUE"""),"Albendazole &amp; Diethylcarbamazine")</f>
        <v>Albendazole &amp; Diethylcarbamazine</v>
      </c>
      <c r="BU143" s="838"/>
      <c r="BV143" s="838" t="str">
        <f>IFERROR(__xludf.DUMMYFUNCTION("""COMPUTED_VALUE"""),"Single")</f>
        <v>Single</v>
      </c>
      <c r="BW143" s="838" t="str">
        <f>IFERROR(__xludf.DUMMYFUNCTION("""COMPUTED_VALUE"""),"400 mg; 150 mg")</f>
        <v>400 mg; 150 mg</v>
      </c>
      <c r="BX143" s="838">
        <f>IFERROR(__xludf.DUMMYFUNCTION("""COMPUTED_VALUE"""),120.0)</f>
        <v>120</v>
      </c>
      <c r="BY143" s="845">
        <f>IFERROR(__xludf.DUMMYFUNCTION("""COMPUTED_VALUE"""),42533.0)</f>
        <v>42533</v>
      </c>
      <c r="BZ143" s="838">
        <f>IFERROR(__xludf.DUMMYFUNCTION("""COMPUTED_VALUE"""),1998.0)</f>
        <v>1998</v>
      </c>
      <c r="CA143" s="838"/>
      <c r="CB143" s="838"/>
      <c r="CC143" s="838" t="str">
        <f>IFERROR(__xludf.DUMMYFUNCTION("""COMPUTED_VALUE"""),"Yes")</f>
        <v>Yes</v>
      </c>
      <c r="CD143" s="847">
        <f>IFERROR(__xludf.DUMMYFUNCTION("""COMPUTED_VALUE"""),0.775)</f>
        <v>0.775</v>
      </c>
      <c r="CE143" s="838" t="str">
        <f>IFERROR(__xludf.DUMMYFUNCTION("""COMPUTED_VALUE"""),"Yes")</f>
        <v>Yes</v>
      </c>
      <c r="CF143" s="847">
        <f>IFERROR(__xludf.DUMMYFUNCTION("""COMPUTED_VALUE"""),0.775)</f>
        <v>0.775</v>
      </c>
      <c r="CG143" s="838"/>
      <c r="CH143" s="838"/>
      <c r="CI143" s="838"/>
      <c r="CJ143" s="838"/>
      <c r="CK143" s="838"/>
      <c r="CL143" s="838"/>
      <c r="CM143" s="847">
        <f>IFERROR(__xludf.DUMMYFUNCTION("""COMPUTED_VALUE"""),0.966)</f>
        <v>0.966</v>
      </c>
      <c r="CN143" s="838"/>
      <c r="CO143" s="838"/>
      <c r="CP143" s="838"/>
      <c r="CQ143" s="838"/>
      <c r="CR143" s="838"/>
      <c r="CS143" s="838"/>
      <c r="CT143" s="838"/>
      <c r="CU143" s="838"/>
      <c r="CV143" s="697" t="str">
        <f>IFERROR(__xludf.DUMMYFUNCTION("""COMPUTED_VALUE"""),"Belizario, V.Y.; Amarillo, M.E.; Leon de W.U.; Reyes de los, A.E.; BUgayong, M.G.; Macatangay ( ) A comparison of the efficacy of single doses of albendazole, ivermectin, and diethylcarbamazine alone or in combinations against Ascaris and Trichuris spp.")</f>
        <v>Belizario, V.Y.; Amarillo, M.E.; Leon de W.U.; Reyes de los, A.E.; BUgayong, M.G.; Macatangay ( ) A comparison of the efficacy of single doses of albendazole, ivermectin, and diethylcarbamazine alone or in combinations against Ascaris and Trichuris spp.</v>
      </c>
    </row>
    <row r="144">
      <c r="A144" s="834"/>
      <c r="B144" s="834"/>
      <c r="C144" s="834"/>
      <c r="D144" s="834"/>
      <c r="E144" s="834"/>
      <c r="F144" s="834"/>
      <c r="G144" s="834"/>
      <c r="H144" s="834"/>
      <c r="I144" s="834"/>
      <c r="J144" s="834"/>
      <c r="K144" s="834"/>
      <c r="L144" s="834"/>
      <c r="M144" s="834"/>
      <c r="N144" s="834"/>
      <c r="O144" s="834"/>
      <c r="P144" s="834"/>
      <c r="Q144" s="834"/>
      <c r="R144" s="834"/>
      <c r="S144" s="834"/>
      <c r="T144" s="834"/>
      <c r="U144" s="834"/>
      <c r="V144" s="834"/>
      <c r="W144" s="834"/>
      <c r="X144" s="834"/>
      <c r="Y144" s="834"/>
      <c r="Z144" s="834"/>
      <c r="AA144" s="834"/>
      <c r="AB144" s="834"/>
      <c r="AC144" s="834"/>
      <c r="AD144" s="834"/>
      <c r="AE144" s="834"/>
      <c r="AF144" s="834"/>
      <c r="AG144" s="834"/>
      <c r="AH144" s="834"/>
      <c r="AJ144" s="843" t="str">
        <f>IFERROR(__xludf.DUMMYFUNCTION("""COMPUTED_VALUE"""),"Efficacy and safety of tribendimidine, tribendimidine plus ivermectin, tribendimidine plus oxantel pamoate, and albendazole plus oxantel pamoate against hookworm and concomitant soil-transmitted helminth infections in Tanzania and Côte d'Ivoire: a randomi"&amp;"sed, controlled, single-blinded, non-inferiority trial")</f>
        <v>Efficacy and safety of tribendimidine, tribendimidine plus ivermectin, tribendimidine plus oxantel pamoate, and albendazole plus oxantel pamoate against hookworm and concomitant soil-transmitted helminth infections in Tanzania and Côte d'Ivoire: a randomised, controlled, single-blinded, non-inferiority trial</v>
      </c>
      <c r="AK144" s="836" t="str">
        <f>IFERROR(__xludf.DUMMYFUNCTION("""COMPUTED_VALUE"""),"Moser W, Coulibaly JT, Ali SM, Ame SM, Amour AK, Yapi RB, Albonico M, Puchkov M, Huwyler J, Hattendorf J, Keiser J. Efficacy and safety of tribendimidine, tribendimidine plus ivermectin, tribendimidine plus oxantel pamoate, and albendazole plus oxantel pa"&amp;"moate against hookworm and concomitant soil-transmitted helminth infections in Tanzania and Côte d'Ivoire: a randomised, controlled, single-blinded, non-inferiority trial. Lancet Infect Dis. 2017 Nov;17(11):1162-1171. doi: 10.1016/S1473-3099(17)30487-5. E"&amp;"pub 2017 Aug 29. PMID: 28864027.")</f>
        <v>Moser W, Coulibaly JT, Ali SM, Ame SM, Amour AK, Yapi RB, Albonico M, Puchkov M, Huwyler J, Hattendorf J, Keiser J. Efficacy and safety of tribendimidine, tribendimidine plus ivermectin, tribendimidine plus oxantel pamoate, and albendazole plus oxantel pamoate against hookworm and concomitant soil-transmitted helminth infections in Tanzania and Côte d'Ivoire: a randomised, controlled, single-blinded, non-inferiority trial. Lancet Infect Dis. 2017 Nov;17(11):1162-1171. doi: 10.1016/S1473-3099(17)30487-5. Epub 2017 Aug 29. PMID: 28864027.</v>
      </c>
      <c r="AL144" s="836" t="str">
        <f>IFERROR(__xludf.DUMMYFUNCTION("""COMPUTED_VALUE"""),"Côte d’Ivoire")</f>
        <v>Côte d’Ivoire</v>
      </c>
      <c r="AM144" s="836" t="str">
        <f>IFERROR(__xludf.DUMMYFUNCTION("""COMPUTED_VALUE"""),"Tribendimidine &amp; Oxantel pamoate")</f>
        <v>Tribendimidine &amp; Oxantel pamoate</v>
      </c>
      <c r="AN144" s="836" t="str">
        <f>IFERROR(__xludf.DUMMYFUNCTION("""COMPUTED_VALUE"""),"Single")</f>
        <v>Single</v>
      </c>
      <c r="AO144" s="836" t="str">
        <f>IFERROR(__xludf.DUMMYFUNCTION("""COMPUTED_VALUE"""),"400 mg; 25 mg/kg")</f>
        <v>400 mg; 25 mg/kg</v>
      </c>
      <c r="AP144" s="836">
        <f>IFERROR(__xludf.DUMMYFUNCTION("""COMPUTED_VALUE"""),157.0)</f>
        <v>157</v>
      </c>
      <c r="AQ144" s="836">
        <f>IFERROR(__xludf.DUMMYFUNCTION("""COMPUTED_VALUE"""),15.9)</f>
        <v>15.9</v>
      </c>
      <c r="AR144" s="836" t="str">
        <f>IFERROR(__xludf.DUMMYFUNCTION("""COMPUTED_VALUE"""),"84M:73F")</f>
        <v>84M:73F</v>
      </c>
      <c r="AS144" s="836">
        <f>IFERROR(__xludf.DUMMYFUNCTION("""COMPUTED_VALUE"""),2016.0)</f>
        <v>2016</v>
      </c>
      <c r="AT144" s="836" t="str">
        <f>IFERROR(__xludf.DUMMYFUNCTION("""COMPUTED_VALUE"""),"We recruited adolescents aged 15–18 years from four primary schools on Pemba, and school attendees and non-schoolers from two districts in Côte d’Ivoire")</f>
        <v>We recruited adolescents aged 15–18 years from four primary schools on Pemba, and school attendees and non-schoolers from two districts in Côte d’Ivoire</v>
      </c>
      <c r="AU144" s="836" t="str">
        <f>IFERROR(__xludf.DUMMYFUNCTION("""COMPUTED_VALUE"""),"Yes")</f>
        <v>Yes</v>
      </c>
      <c r="AV144" s="836" t="str">
        <f>IFERROR(__xludf.DUMMYFUNCTION("""COMPUTED_VALUE"""),"Yes")</f>
        <v>Yes</v>
      </c>
      <c r="AW144" s="836" t="str">
        <f>IFERROR(__xludf.DUMMYFUNCTION("""COMPUTED_VALUE"""),"Single-blind")</f>
        <v>Single-blind</v>
      </c>
      <c r="AX144" s="841">
        <f>IFERROR(__xludf.DUMMYFUNCTION("""COMPUTED_VALUE"""),0.663)</f>
        <v>0.663</v>
      </c>
      <c r="AY144" s="836"/>
      <c r="AZ144" s="836"/>
      <c r="BA144" s="836"/>
      <c r="BB144" s="836"/>
      <c r="BC144" s="836"/>
      <c r="BD144" s="836"/>
      <c r="BE144" s="836"/>
      <c r="BF144" s="836"/>
      <c r="BG144" s="836"/>
      <c r="BH144" s="841">
        <f>IFERROR(__xludf.DUMMYFUNCTION("""COMPUTED_VALUE"""),0.998)</f>
        <v>0.998</v>
      </c>
      <c r="BI144" s="836"/>
      <c r="BJ144" s="836"/>
      <c r="BK144" s="836"/>
      <c r="BL144" s="836"/>
      <c r="BM144" s="836"/>
      <c r="BN144" s="836" t="str">
        <f>IFERROR(__xludf.DUMMYFUNCTION("""COMPUTED_VALUE"""),"Tribendimidine showed a similar efficacy profile as albendazole. We recommend tribendimidine to complement albendazole in preventive chemotherapy interventions, to decrease drug pressure on soil-transmitted helminths and avoid the emergence of drug resist"&amp;"ance against benzimidazoles. Moreover, the coadministration of tribendimidine with ivermectin or oxantel pamoate could broaden the spectrum of activity.")</f>
        <v>Tribendimidine showed a similar efficacy profile as albendazole. We recommend tribendimidine to complement albendazole in preventive chemotherapy interventions, to decrease drug pressure on soil-transmitted helminths and avoid the emergence of drug resistance against benzimidazoles. Moreover, the coadministration of tribendimidine with ivermectin or oxantel pamoate could broaden the spectrum of activity.</v>
      </c>
      <c r="BO144" s="836" t="str">
        <f>IFERROR(__xludf.DUMMYFUNCTION("""COMPUTED_VALUE"""),"Kato-Katz technique")</f>
        <v>Kato-Katz technique</v>
      </c>
      <c r="BP144" s="836"/>
      <c r="BQ144" s="697"/>
      <c r="BR144" s="844" t="str">
        <f>IFERROR(__xludf.DUMMYFUNCTION("""COMPUTED_VALUE"""),"Ismail MM et al.")</f>
        <v>Ismail MM et al.</v>
      </c>
      <c r="BS144" s="838"/>
      <c r="BT144" s="838" t="str">
        <f>IFERROR(__xludf.DUMMYFUNCTION("""COMPUTED_VALUE"""),"Albendazole")</f>
        <v>Albendazole</v>
      </c>
      <c r="BU144" s="838"/>
      <c r="BV144" s="838" t="str">
        <f>IFERROR(__xludf.DUMMYFUNCTION("""COMPUTED_VALUE"""),"Single")</f>
        <v>Single</v>
      </c>
      <c r="BW144" s="838" t="str">
        <f>IFERROR(__xludf.DUMMYFUNCTION("""COMPUTED_VALUE"""),"400 mg")</f>
        <v>400 mg</v>
      </c>
      <c r="BX144" s="838">
        <f>IFERROR(__xludf.DUMMYFUNCTION("""COMPUTED_VALUE"""),667.0)</f>
        <v>667</v>
      </c>
      <c r="BY144" s="845">
        <f>IFERROR(__xludf.DUMMYFUNCTION("""COMPUTED_VALUE"""),42441.0)</f>
        <v>42441</v>
      </c>
      <c r="BZ144" s="838"/>
      <c r="CA144" s="838" t="str">
        <f>IFERROR(__xludf.DUMMYFUNCTION("""COMPUTED_VALUE"""),"M &amp; F")</f>
        <v>M &amp; F</v>
      </c>
      <c r="CB144" s="838"/>
      <c r="CC144" s="838" t="str">
        <f>IFERROR(__xludf.DUMMYFUNCTION("""COMPUTED_VALUE"""),"No")</f>
        <v>No</v>
      </c>
      <c r="CD144" s="847">
        <f>IFERROR(__xludf.DUMMYFUNCTION("""COMPUTED_VALUE"""),0.956)</f>
        <v>0.956</v>
      </c>
      <c r="CE144" s="838" t="str">
        <f>IFERROR(__xludf.DUMMYFUNCTION("""COMPUTED_VALUE"""),"No")</f>
        <v>No</v>
      </c>
      <c r="CF144" s="838"/>
      <c r="CG144" s="838"/>
      <c r="CH144" s="838"/>
      <c r="CI144" s="838"/>
      <c r="CJ144" s="838"/>
      <c r="CK144" s="838"/>
      <c r="CL144" s="838"/>
      <c r="CM144" s="847">
        <f>IFERROR(__xludf.DUMMYFUNCTION("""COMPUTED_VALUE"""),0.997)</f>
        <v>0.997</v>
      </c>
      <c r="CN144" s="838"/>
      <c r="CO144" s="838"/>
      <c r="CP144" s="838"/>
      <c r="CQ144" s="838"/>
      <c r="CR144" s="838"/>
      <c r="CS144" s="838"/>
      <c r="CT144" s="838"/>
      <c r="CU144" s="838"/>
      <c r="CV144" s="697" t="str">
        <f>IFERROR(__xludf.DUMMYFUNCTION("""COMPUTED_VALUE"""),"Ismail,Premaratne UN, Suraweera MG. Comparative efficacy of single dose anthelmintics in relation to intensity of geohelminth infections. Ceylon Med J. 1991;36(4):162-167.")</f>
        <v>Ismail,Premaratne UN, Suraweera MG. Comparative efficacy of single dose anthelmintics in relation to intensity of geohelminth infections. Ceylon Med J. 1991;36(4):162-167.</v>
      </c>
    </row>
    <row r="145">
      <c r="A145" s="834"/>
      <c r="B145" s="834"/>
      <c r="C145" s="834"/>
      <c r="D145" s="834"/>
      <c r="E145" s="834"/>
      <c r="F145" s="834"/>
      <c r="G145" s="834"/>
      <c r="H145" s="834"/>
      <c r="I145" s="834"/>
      <c r="J145" s="834"/>
      <c r="K145" s="834"/>
      <c r="L145" s="834"/>
      <c r="M145" s="834"/>
      <c r="N145" s="834"/>
      <c r="O145" s="834"/>
      <c r="P145" s="834"/>
      <c r="Q145" s="834"/>
      <c r="R145" s="834"/>
      <c r="S145" s="834"/>
      <c r="T145" s="834"/>
      <c r="U145" s="834"/>
      <c r="V145" s="834"/>
      <c r="W145" s="834"/>
      <c r="X145" s="834"/>
      <c r="Y145" s="834"/>
      <c r="Z145" s="834"/>
      <c r="AA145" s="834"/>
      <c r="AB145" s="834"/>
      <c r="AC145" s="834"/>
      <c r="AD145" s="834"/>
      <c r="AE145" s="834"/>
      <c r="AF145" s="834"/>
      <c r="AG145" s="834"/>
      <c r="AH145" s="834"/>
      <c r="AJ145" s="843" t="str">
        <f>IFERROR(__xludf.DUMMYFUNCTION("""COMPUTED_VALUE"""),"Efficacy and safety of tribendimidine, tribendimidine plus ivermectin, tribendimidine plus oxantel pamoate, and albendazole plus oxantel pamoate against hookworm and concomitant soil-transmitted helminth infections in Tanzania and Côte d'Ivoire: a randomi"&amp;"sed, controlled, single-blinded, non-inferiority trial")</f>
        <v>Efficacy and safety of tribendimidine, tribendimidine plus ivermectin, tribendimidine plus oxantel pamoate, and albendazole plus oxantel pamoate against hookworm and concomitant soil-transmitted helminth infections in Tanzania and Côte d'Ivoire: a randomised, controlled, single-blinded, non-inferiority trial</v>
      </c>
      <c r="AK145" s="836" t="str">
        <f>IFERROR(__xludf.DUMMYFUNCTION("""COMPUTED_VALUE"""),"Moser W, Coulibaly JT, Ali SM, Ame SM, Amour AK, Yapi RB, Albonico M, Puchkov M, Huwyler J, Hattendorf J, Keiser J. Efficacy and safety of tribendimidine, tribendimidine plus ivermectin, tribendimidine plus oxantel pamoate, and albendazole plus oxantel pa"&amp;"moate against hookworm and concomitant soil-transmitted helminth infections in Tanzania and Côte d'Ivoire: a randomised, controlled, single-blinded, non-inferiority trial. Lancet Infect Dis. 2017 Nov;17(11):1162-1171. doi: 10.1016/S1473-3099(17)30487-5. E"&amp;"pub 2017 Aug 29. PMID: 28864027.")</f>
        <v>Moser W, Coulibaly JT, Ali SM, Ame SM, Amour AK, Yapi RB, Albonico M, Puchkov M, Huwyler J, Hattendorf J, Keiser J. Efficacy and safety of tribendimidine, tribendimidine plus ivermectin, tribendimidine plus oxantel pamoate, and albendazole plus oxantel pamoate against hookworm and concomitant soil-transmitted helminth infections in Tanzania and Côte d'Ivoire: a randomised, controlled, single-blinded, non-inferiority trial. Lancet Infect Dis. 2017 Nov;17(11):1162-1171. doi: 10.1016/S1473-3099(17)30487-5. Epub 2017 Aug 29. PMID: 28864027.</v>
      </c>
      <c r="AL145" s="836" t="str">
        <f>IFERROR(__xludf.DUMMYFUNCTION("""COMPUTED_VALUE"""),"Côte d’Ivoire")</f>
        <v>Côte d’Ivoire</v>
      </c>
      <c r="AM145" s="836" t="str">
        <f>IFERROR(__xludf.DUMMYFUNCTION("""COMPUTED_VALUE"""),"Albendazole &amp; Oxantel pamoate")</f>
        <v>Albendazole &amp; Oxantel pamoate</v>
      </c>
      <c r="AN145" s="836" t="str">
        <f>IFERROR(__xludf.DUMMYFUNCTION("""COMPUTED_VALUE"""),"Single")</f>
        <v>Single</v>
      </c>
      <c r="AO145" s="836" t="str">
        <f>IFERROR(__xludf.DUMMYFUNCTION("""COMPUTED_VALUE"""),"400 mg; 25 mg/kg")</f>
        <v>400 mg; 25 mg/kg</v>
      </c>
      <c r="AP145" s="836">
        <f>IFERROR(__xludf.DUMMYFUNCTION("""COMPUTED_VALUE"""),161.0)</f>
        <v>161</v>
      </c>
      <c r="AQ145" s="836">
        <f>IFERROR(__xludf.DUMMYFUNCTION("""COMPUTED_VALUE"""),15.8)</f>
        <v>15.8</v>
      </c>
      <c r="AR145" s="836" t="str">
        <f>IFERROR(__xludf.DUMMYFUNCTION("""COMPUTED_VALUE"""),"75M:86F")</f>
        <v>75M:86F</v>
      </c>
      <c r="AS145" s="836">
        <f>IFERROR(__xludf.DUMMYFUNCTION("""COMPUTED_VALUE"""),2016.0)</f>
        <v>2016</v>
      </c>
      <c r="AT145" s="836" t="str">
        <f>IFERROR(__xludf.DUMMYFUNCTION("""COMPUTED_VALUE"""),"We recruited adolescents aged 15–18 years from four primary schools on Pemba, and school attendees and non-schoolers from two districts in Côte d’Ivoire")</f>
        <v>We recruited adolescents aged 15–18 years from four primary schools on Pemba, and school attendees and non-schoolers from two districts in Côte d’Ivoire</v>
      </c>
      <c r="AU145" s="836" t="str">
        <f>IFERROR(__xludf.DUMMYFUNCTION("""COMPUTED_VALUE"""),"Yes")</f>
        <v>Yes</v>
      </c>
      <c r="AV145" s="836" t="str">
        <f>IFERROR(__xludf.DUMMYFUNCTION("""COMPUTED_VALUE"""),"Yes")</f>
        <v>Yes</v>
      </c>
      <c r="AW145" s="836" t="str">
        <f>IFERROR(__xludf.DUMMYFUNCTION("""COMPUTED_VALUE"""),"Single-blind")</f>
        <v>Single-blind</v>
      </c>
      <c r="AX145" s="841">
        <f>IFERROR(__xludf.DUMMYFUNCTION("""COMPUTED_VALUE"""),0.828)</f>
        <v>0.828</v>
      </c>
      <c r="AY145" s="836"/>
      <c r="AZ145" s="836"/>
      <c r="BA145" s="836"/>
      <c r="BB145" s="836"/>
      <c r="BC145" s="836"/>
      <c r="BD145" s="836"/>
      <c r="BE145" s="836"/>
      <c r="BF145" s="836"/>
      <c r="BG145" s="836"/>
      <c r="BH145" s="850">
        <f>IFERROR(__xludf.DUMMYFUNCTION("""COMPUTED_VALUE"""),0.85)</f>
        <v>0.85</v>
      </c>
      <c r="BI145" s="836"/>
      <c r="BJ145" s="836"/>
      <c r="BK145" s="836"/>
      <c r="BL145" s="836"/>
      <c r="BM145" s="836"/>
      <c r="BN145" s="836" t="str">
        <f>IFERROR(__xludf.DUMMYFUNCTION("""COMPUTED_VALUE"""),"Tribendimidine showed a similar efficacy profile as albendazole. We recommend tribendimidine to complement albendazole in preventive chemotherapy interventions, to decrease drug pressure on soil-transmitted helminths and avoid the emergence of drug resist"&amp;"ance against benzimidazoles. Moreover, the coadministration of tribendimidine with ivermectin or oxantel pamoate could broaden the spectrum of activity.")</f>
        <v>Tribendimidine showed a similar efficacy profile as albendazole. We recommend tribendimidine to complement albendazole in preventive chemotherapy interventions, to decrease drug pressure on soil-transmitted helminths and avoid the emergence of drug resistance against benzimidazoles. Moreover, the coadministration of tribendimidine with ivermectin or oxantel pamoate could broaden the spectrum of activity.</v>
      </c>
      <c r="BO145" s="836" t="str">
        <f>IFERROR(__xludf.DUMMYFUNCTION("""COMPUTED_VALUE"""),"Kato-Katz technique")</f>
        <v>Kato-Katz technique</v>
      </c>
      <c r="BP145" s="836"/>
      <c r="BQ145" s="697"/>
      <c r="BR145" s="844" t="str">
        <f>IFERROR(__xludf.DUMMYFUNCTION("""COMPUTED_VALUE"""),"Ismail MM et al.")</f>
        <v>Ismail MM et al.</v>
      </c>
      <c r="BS145" s="838"/>
      <c r="BT145" s="838" t="str">
        <f>IFERROR(__xludf.DUMMYFUNCTION("""COMPUTED_VALUE"""),"Levamisole")</f>
        <v>Levamisole</v>
      </c>
      <c r="BU145" s="838"/>
      <c r="BV145" s="838" t="str">
        <f>IFERROR(__xludf.DUMMYFUNCTION("""COMPUTED_VALUE"""),"Single")</f>
        <v>Single</v>
      </c>
      <c r="BW145" s="838" t="str">
        <f>IFERROR(__xludf.DUMMYFUNCTION("""COMPUTED_VALUE"""),"2.5 mg")</f>
        <v>2.5 mg</v>
      </c>
      <c r="BX145" s="838"/>
      <c r="BY145" s="845">
        <f>IFERROR(__xludf.DUMMYFUNCTION("""COMPUTED_VALUE"""),42441.0)</f>
        <v>42441</v>
      </c>
      <c r="BZ145" s="838"/>
      <c r="CA145" s="838"/>
      <c r="CB145" s="838"/>
      <c r="CC145" s="838" t="str">
        <f>IFERROR(__xludf.DUMMYFUNCTION("""COMPUTED_VALUE"""),"No")</f>
        <v>No</v>
      </c>
      <c r="CD145" s="847">
        <f>IFERROR(__xludf.DUMMYFUNCTION("""COMPUTED_VALUE"""),0.863)</f>
        <v>0.863</v>
      </c>
      <c r="CE145" s="838" t="str">
        <f>IFERROR(__xludf.DUMMYFUNCTION("""COMPUTED_VALUE"""),"No")</f>
        <v>No</v>
      </c>
      <c r="CF145" s="838"/>
      <c r="CG145" s="838"/>
      <c r="CH145" s="838"/>
      <c r="CI145" s="838"/>
      <c r="CJ145" s="838"/>
      <c r="CK145" s="838"/>
      <c r="CL145" s="838"/>
      <c r="CM145" s="847">
        <f>IFERROR(__xludf.DUMMYFUNCTION("""COMPUTED_VALUE"""),0.959)</f>
        <v>0.959</v>
      </c>
      <c r="CN145" s="838"/>
      <c r="CO145" s="838"/>
      <c r="CP145" s="838"/>
      <c r="CQ145" s="838"/>
      <c r="CR145" s="838"/>
      <c r="CS145" s="838"/>
      <c r="CT145" s="838"/>
      <c r="CU145" s="838"/>
      <c r="CV145" s="697" t="str">
        <f>IFERROR(__xludf.DUMMYFUNCTION("""COMPUTED_VALUE"""),"Ismail,Premaratne UN, Suraweera MG. Comparative efficacy of single dose anthelmintics in relation to intensity of geohelminth infections. Ceylon Med J. 1991;36(4):162-167.")</f>
        <v>Ismail,Premaratne UN, Suraweera MG. Comparative efficacy of single dose anthelmintics in relation to intensity of geohelminth infections. Ceylon Med J. 1991;36(4):162-167.</v>
      </c>
    </row>
    <row r="146">
      <c r="A146" s="834"/>
      <c r="B146" s="834"/>
      <c r="C146" s="834"/>
      <c r="D146" s="834"/>
      <c r="E146" s="834"/>
      <c r="F146" s="834"/>
      <c r="G146" s="834"/>
      <c r="H146" s="834"/>
      <c r="I146" s="834"/>
      <c r="J146" s="834"/>
      <c r="K146" s="834"/>
      <c r="L146" s="834"/>
      <c r="M146" s="834"/>
      <c r="N146" s="834"/>
      <c r="O146" s="834"/>
      <c r="P146" s="834"/>
      <c r="Q146" s="834"/>
      <c r="R146" s="834"/>
      <c r="S146" s="834"/>
      <c r="T146" s="834"/>
      <c r="U146" s="834"/>
      <c r="V146" s="834"/>
      <c r="W146" s="834"/>
      <c r="X146" s="834"/>
      <c r="Y146" s="834"/>
      <c r="Z146" s="834"/>
      <c r="AA146" s="834"/>
      <c r="AB146" s="834"/>
      <c r="AC146" s="834"/>
      <c r="AD146" s="834"/>
      <c r="AE146" s="834"/>
      <c r="AF146" s="834"/>
      <c r="AG146" s="834"/>
      <c r="AH146" s="834"/>
      <c r="AJ146" s="843" t="str">
        <f>IFERROR(__xludf.DUMMYFUNCTION("""COMPUTED_VALUE"""),"Efficacy and safety of oxantel pamoate in school-aged children infected with Trichuris trichiura on Pemba Island, Tanzania: a parallel, randomised, controlled, dose-ranging study")</f>
        <v>Efficacy and safety of oxantel pamoate in school-aged children infected with Trichuris trichiura on Pemba Island, Tanzania: a parallel, randomised, controlled, dose-ranging study</v>
      </c>
      <c r="AK146" s="836" t="str">
        <f>IFERROR(__xludf.DUMMYFUNCTION("""COMPUTED_VALUE"""),"Moser W, Ali SM, Ame SM, Speich B, Puchkov M, Huwyler J, Albonico M, Hattendorf J, Keiser J. Efficacy and safety of oxantel pamoate in school-aged children infected with Trichuris trichiura on Pemba Island, Tanzania: a parallel, randomised, controlled, do"&amp;"se-ranging study. Lancet Infect Dis. 2016 Jan;16(1):53-60. doi: 10.1016/S1473-3099(15)00271-6. Epub 2015 Sep 18. PMID: 26388169.")</f>
        <v>Moser W, Ali SM, Ame SM, Speich B, Puchkov M, Huwyler J, Albonico M, Hattendorf J, Keiser J. Efficacy and safety of oxantel pamoate in school-aged children infected with Trichuris trichiura on Pemba Island, Tanzania: a parallel, randomised, controlled, dose-ranging study. Lancet Infect Dis. 2016 Jan;16(1):53-60. doi: 10.1016/S1473-3099(15)00271-6. Epub 2015 Sep 18. PMID: 26388169.</v>
      </c>
      <c r="AL146" s="836" t="str">
        <f>IFERROR(__xludf.DUMMYFUNCTION("""COMPUTED_VALUE"""),"Tanzania")</f>
        <v>Tanzania</v>
      </c>
      <c r="AM146" s="836" t="str">
        <f>IFERROR(__xludf.DUMMYFUNCTION("""COMPUTED_VALUE"""),"Oxantel pamoate")</f>
        <v>Oxantel pamoate</v>
      </c>
      <c r="AN146" s="836" t="str">
        <f>IFERROR(__xludf.DUMMYFUNCTION("""COMPUTED_VALUE"""),"Single")</f>
        <v>Single</v>
      </c>
      <c r="AO146" s="836" t="str">
        <f>IFERROR(__xludf.DUMMYFUNCTION("""COMPUTED_VALUE"""),"5 mg/kg")</f>
        <v>5 mg/kg</v>
      </c>
      <c r="AP146" s="836">
        <f>IFERROR(__xludf.DUMMYFUNCTION("""COMPUTED_VALUE"""),48.0)</f>
        <v>48</v>
      </c>
      <c r="AQ146" s="836">
        <f>IFERROR(__xludf.DUMMYFUNCTION("""COMPUTED_VALUE"""),10.6)</f>
        <v>10.6</v>
      </c>
      <c r="AR146" s="836" t="str">
        <f>IFERROR(__xludf.DUMMYFUNCTION("""COMPUTED_VALUE"""),"20M:28F")</f>
        <v>20M:28F</v>
      </c>
      <c r="AS146" s="836">
        <f>IFERROR(__xludf.DUMMYFUNCTION("""COMPUTED_VALUE"""),2014.0)</f>
        <v>2014</v>
      </c>
      <c r="AT146" s="836" t="str">
        <f>IFERROR(__xludf.DUMMYFUNCTION("""COMPUTED_VALUE"""),"School-aged children (aged 6–14 years) infected with T trichiura on Pemba Island, Tanzania.")</f>
        <v>School-aged children (aged 6–14 years) infected with T trichiura on Pemba Island, Tanzania.</v>
      </c>
      <c r="AU146" s="836" t="str">
        <f>IFERROR(__xludf.DUMMYFUNCTION("""COMPUTED_VALUE"""),"Yes")</f>
        <v>Yes</v>
      </c>
      <c r="AV146" s="836" t="str">
        <f>IFERROR(__xludf.DUMMYFUNCTION("""COMPUTED_VALUE"""),"Yes")</f>
        <v>Yes</v>
      </c>
      <c r="AW146" s="836" t="str">
        <f>IFERROR(__xludf.DUMMYFUNCTION("""COMPUTED_VALUE"""),"Single-blind")</f>
        <v>Single-blind</v>
      </c>
      <c r="AX146" s="850">
        <f>IFERROR(__xludf.DUMMYFUNCTION("""COMPUTED_VALUE"""),0.22)</f>
        <v>0.22</v>
      </c>
      <c r="AY146" s="836"/>
      <c r="AZ146" s="836"/>
      <c r="BA146" s="836"/>
      <c r="BB146" s="836"/>
      <c r="BC146" s="836"/>
      <c r="BD146" s="836"/>
      <c r="BE146" s="836"/>
      <c r="BF146" s="836"/>
      <c r="BG146" s="836"/>
      <c r="BH146" s="841">
        <f>IFERROR(__xludf.DUMMYFUNCTION("""COMPUTED_VALUE"""),0.864)</f>
        <v>0.864</v>
      </c>
      <c r="BI146" s="836"/>
      <c r="BJ146" s="836"/>
      <c r="BK146" s="836"/>
      <c r="BL146" s="836"/>
      <c r="BM146" s="836"/>
      <c r="BN146" s="836" t="str">
        <f>IFERROR(__xludf.DUMMYFUNCTION("""COMPUTED_VALUE"""),"Our dose-finding study revealed an excellent tolerability profile of oxantel pamoate in children infected with T trichiura. An optimum therapeutic dose range of 15–30 mg/kg oxantel pamoate was defined.")</f>
        <v>Our dose-finding study revealed an excellent tolerability profile of oxantel pamoate in children infected with T trichiura. An optimum therapeutic dose range of 15–30 mg/kg oxantel pamoate was defined.</v>
      </c>
      <c r="BO146" s="836"/>
      <c r="BP146" s="836"/>
      <c r="BQ146" s="697"/>
      <c r="BR146" s="844" t="str">
        <f>IFERROR(__xludf.DUMMYFUNCTION("""COMPUTED_VALUE"""),"Ismail MM et al.")</f>
        <v>Ismail MM et al.</v>
      </c>
      <c r="BS146" s="838"/>
      <c r="BT146" s="838" t="str">
        <f>IFERROR(__xludf.DUMMYFUNCTION("""COMPUTED_VALUE"""),"Mebendazole")</f>
        <v>Mebendazole</v>
      </c>
      <c r="BU146" s="838"/>
      <c r="BV146" s="838" t="str">
        <f>IFERROR(__xludf.DUMMYFUNCTION("""COMPUTED_VALUE"""),"Single")</f>
        <v>Single</v>
      </c>
      <c r="BW146" s="838" t="str">
        <f>IFERROR(__xludf.DUMMYFUNCTION("""COMPUTED_VALUE"""),"200 mg")</f>
        <v>200 mg</v>
      </c>
      <c r="BX146" s="838"/>
      <c r="BY146" s="845">
        <f>IFERROR(__xludf.DUMMYFUNCTION("""COMPUTED_VALUE"""),42441.0)</f>
        <v>42441</v>
      </c>
      <c r="BZ146" s="838"/>
      <c r="CA146" s="838"/>
      <c r="CB146" s="838"/>
      <c r="CC146" s="838" t="str">
        <f>IFERROR(__xludf.DUMMYFUNCTION("""COMPUTED_VALUE"""),"No")</f>
        <v>No</v>
      </c>
      <c r="CD146" s="847">
        <f>IFERROR(__xludf.DUMMYFUNCTION("""COMPUTED_VALUE"""),0.934)</f>
        <v>0.934</v>
      </c>
      <c r="CE146" s="838" t="str">
        <f>IFERROR(__xludf.DUMMYFUNCTION("""COMPUTED_VALUE"""),"No")</f>
        <v>No</v>
      </c>
      <c r="CF146" s="838"/>
      <c r="CG146" s="838"/>
      <c r="CH146" s="838"/>
      <c r="CI146" s="838"/>
      <c r="CJ146" s="838"/>
      <c r="CK146" s="838"/>
      <c r="CL146" s="838"/>
      <c r="CM146" s="847">
        <f>IFERROR(__xludf.DUMMYFUNCTION("""COMPUTED_VALUE"""),0.992)</f>
        <v>0.992</v>
      </c>
      <c r="CN146" s="838"/>
      <c r="CO146" s="838"/>
      <c r="CP146" s="838"/>
      <c r="CQ146" s="838"/>
      <c r="CR146" s="838"/>
      <c r="CS146" s="838"/>
      <c r="CT146" s="838"/>
      <c r="CU146" s="838"/>
      <c r="CV146" s="697" t="str">
        <f>IFERROR(__xludf.DUMMYFUNCTION("""COMPUTED_VALUE"""),"Ismail,Premaratne UN, Suraweera MG. Comparative efficacy of single dose anthelmintics in relation to intensity of geohelminth infections. Ceylon Med J. 1991;36(4):162-167.")</f>
        <v>Ismail,Premaratne UN, Suraweera MG. Comparative efficacy of single dose anthelmintics in relation to intensity of geohelminth infections. Ceylon Med J. 1991;36(4):162-167.</v>
      </c>
    </row>
    <row r="147">
      <c r="A147" s="834"/>
      <c r="B147" s="834"/>
      <c r="C147" s="834"/>
      <c r="D147" s="834"/>
      <c r="E147" s="834"/>
      <c r="F147" s="834"/>
      <c r="G147" s="834"/>
      <c r="H147" s="834"/>
      <c r="I147" s="834"/>
      <c r="J147" s="834"/>
      <c r="K147" s="834"/>
      <c r="L147" s="834"/>
      <c r="M147" s="834"/>
      <c r="N147" s="834"/>
      <c r="O147" s="834"/>
      <c r="P147" s="834"/>
      <c r="Q147" s="834"/>
      <c r="R147" s="834"/>
      <c r="S147" s="834"/>
      <c r="T147" s="834"/>
      <c r="U147" s="834"/>
      <c r="V147" s="834"/>
      <c r="W147" s="834"/>
      <c r="X147" s="834"/>
      <c r="Y147" s="834"/>
      <c r="Z147" s="834"/>
      <c r="AA147" s="834"/>
      <c r="AB147" s="834"/>
      <c r="AC147" s="834"/>
      <c r="AD147" s="834"/>
      <c r="AE147" s="834"/>
      <c r="AF147" s="834"/>
      <c r="AG147" s="834"/>
      <c r="AH147" s="834"/>
      <c r="AJ147" s="843" t="str">
        <f>IFERROR(__xludf.DUMMYFUNCTION("""COMPUTED_VALUE"""),"Efficacy and safety of oxantel pamoate in school-aged children infected with Trichuris trichiura on Pemba Island, Tanzania: a parallel, randomised, controlled, dose-ranging study")</f>
        <v>Efficacy and safety of oxantel pamoate in school-aged children infected with Trichuris trichiura on Pemba Island, Tanzania: a parallel, randomised, controlled, dose-ranging study</v>
      </c>
      <c r="AK147" s="836" t="str">
        <f>IFERROR(__xludf.DUMMYFUNCTION("""COMPUTED_VALUE"""),"Moser W, Ali SM, Ame SM, Speich B, Puchkov M, Huwyler J, Albonico M, Hattendorf J, Keiser J. Efficacy and safety of oxantel pamoate in school-aged children infected with Trichuris trichiura on Pemba Island, Tanzania: a parallel, randomised, controlled, do"&amp;"se-ranging study. Lancet Infect Dis. 2016 Jan;16(1):53-60. doi: 10.1016/S1473-3099(15)00271-6. Epub 2015 Sep 18. PMID: 26388169.")</f>
        <v>Moser W, Ali SM, Ame SM, Speich B, Puchkov M, Huwyler J, Albonico M, Hattendorf J, Keiser J. Efficacy and safety of oxantel pamoate in school-aged children infected with Trichuris trichiura on Pemba Island, Tanzania: a parallel, randomised, controlled, dose-ranging study. Lancet Infect Dis. 2016 Jan;16(1):53-60. doi: 10.1016/S1473-3099(15)00271-6. Epub 2015 Sep 18. PMID: 26388169.</v>
      </c>
      <c r="AL147" s="836" t="str">
        <f>IFERROR(__xludf.DUMMYFUNCTION("""COMPUTED_VALUE"""),"Tanzania")</f>
        <v>Tanzania</v>
      </c>
      <c r="AM147" s="836" t="str">
        <f>IFERROR(__xludf.DUMMYFUNCTION("""COMPUTED_VALUE"""),"Oxantel pamoate")</f>
        <v>Oxantel pamoate</v>
      </c>
      <c r="AN147" s="836" t="str">
        <f>IFERROR(__xludf.DUMMYFUNCTION("""COMPUTED_VALUE"""),"Single")</f>
        <v>Single</v>
      </c>
      <c r="AO147" s="836" t="str">
        <f>IFERROR(__xludf.DUMMYFUNCTION("""COMPUTED_VALUE"""),"10 mg/kg")</f>
        <v>10 mg/kg</v>
      </c>
      <c r="AP147" s="836">
        <f>IFERROR(__xludf.DUMMYFUNCTION("""COMPUTED_VALUE"""),51.0)</f>
        <v>51</v>
      </c>
      <c r="AQ147" s="836">
        <f>IFERROR(__xludf.DUMMYFUNCTION("""COMPUTED_VALUE"""),10.2)</f>
        <v>10.2</v>
      </c>
      <c r="AR147" s="836" t="str">
        <f>IFERROR(__xludf.DUMMYFUNCTION("""COMPUTED_VALUE"""),"25M:26F")</f>
        <v>25M:26F</v>
      </c>
      <c r="AS147" s="836">
        <f>IFERROR(__xludf.DUMMYFUNCTION("""COMPUTED_VALUE"""),2014.0)</f>
        <v>2014</v>
      </c>
      <c r="AT147" s="836" t="str">
        <f>IFERROR(__xludf.DUMMYFUNCTION("""COMPUTED_VALUE"""),"School-aged children (aged 6–14 years) infected with T trichiura on Pemba Island, Tanzania.")</f>
        <v>School-aged children (aged 6–14 years) infected with T trichiura on Pemba Island, Tanzania.</v>
      </c>
      <c r="AU147" s="836" t="str">
        <f>IFERROR(__xludf.DUMMYFUNCTION("""COMPUTED_VALUE"""),"Yes")</f>
        <v>Yes</v>
      </c>
      <c r="AV147" s="836" t="str">
        <f>IFERROR(__xludf.DUMMYFUNCTION("""COMPUTED_VALUE"""),"Yes")</f>
        <v>Yes</v>
      </c>
      <c r="AW147" s="836" t="str">
        <f>IFERROR(__xludf.DUMMYFUNCTION("""COMPUTED_VALUE"""),"Single-blind")</f>
        <v>Single-blind</v>
      </c>
      <c r="AX147" s="850">
        <f>IFERROR(__xludf.DUMMYFUNCTION("""COMPUTED_VALUE"""),0.22)</f>
        <v>0.22</v>
      </c>
      <c r="AY147" s="836"/>
      <c r="AZ147" s="836"/>
      <c r="BA147" s="836"/>
      <c r="BB147" s="836"/>
      <c r="BC147" s="836"/>
      <c r="BD147" s="836"/>
      <c r="BE147" s="836"/>
      <c r="BF147" s="836"/>
      <c r="BG147" s="836"/>
      <c r="BH147" s="841">
        <f>IFERROR(__xludf.DUMMYFUNCTION("""COMPUTED_VALUE"""),0.971)</f>
        <v>0.971</v>
      </c>
      <c r="BI147" s="836"/>
      <c r="BJ147" s="836"/>
      <c r="BK147" s="836"/>
      <c r="BL147" s="836"/>
      <c r="BM147" s="836"/>
      <c r="BN147" s="836" t="str">
        <f>IFERROR(__xludf.DUMMYFUNCTION("""COMPUTED_VALUE"""),"Our dose-finding study revealed an excellent tolerability profile of oxantel pamoate in children infected with T trichiura. An optimum therapeutic dose range of 15–30 mg/kg oxantel pamoate was defined.")</f>
        <v>Our dose-finding study revealed an excellent tolerability profile of oxantel pamoate in children infected with T trichiura. An optimum therapeutic dose range of 15–30 mg/kg oxantel pamoate was defined.</v>
      </c>
      <c r="BO147" s="836"/>
      <c r="BP147" s="836"/>
      <c r="BQ147" s="697"/>
      <c r="BR147" s="844" t="str">
        <f>IFERROR(__xludf.DUMMYFUNCTION("""COMPUTED_VALUE"""),"Ismail MM et al.")</f>
        <v>Ismail MM et al.</v>
      </c>
      <c r="BS147" s="838"/>
      <c r="BT147" s="838" t="str">
        <f>IFERROR(__xludf.DUMMYFUNCTION("""COMPUTED_VALUE"""),"Mebendazole")</f>
        <v>Mebendazole</v>
      </c>
      <c r="BU147" s="838"/>
      <c r="BV147" s="838" t="str">
        <f>IFERROR(__xludf.DUMMYFUNCTION("""COMPUTED_VALUE"""),"Single")</f>
        <v>Single</v>
      </c>
      <c r="BW147" s="838" t="str">
        <f>IFERROR(__xludf.DUMMYFUNCTION("""COMPUTED_VALUE"""),"500 mg")</f>
        <v>500 mg</v>
      </c>
      <c r="BX147" s="838"/>
      <c r="BY147" s="845">
        <f>IFERROR(__xludf.DUMMYFUNCTION("""COMPUTED_VALUE"""),42441.0)</f>
        <v>42441</v>
      </c>
      <c r="BZ147" s="838"/>
      <c r="CA147" s="838"/>
      <c r="CB147" s="838"/>
      <c r="CC147" s="838" t="str">
        <f>IFERROR(__xludf.DUMMYFUNCTION("""COMPUTED_VALUE"""),"No")</f>
        <v>No</v>
      </c>
      <c r="CD147" s="847">
        <f>IFERROR(__xludf.DUMMYFUNCTION("""COMPUTED_VALUE"""),0.974)</f>
        <v>0.974</v>
      </c>
      <c r="CE147" s="838" t="str">
        <f>IFERROR(__xludf.DUMMYFUNCTION("""COMPUTED_VALUE"""),"No")</f>
        <v>No</v>
      </c>
      <c r="CF147" s="838"/>
      <c r="CG147" s="838"/>
      <c r="CH147" s="838"/>
      <c r="CI147" s="838"/>
      <c r="CJ147" s="838"/>
      <c r="CK147" s="838"/>
      <c r="CL147" s="838"/>
      <c r="CM147" s="847">
        <f>IFERROR(__xludf.DUMMYFUNCTION("""COMPUTED_VALUE"""),0.99)</f>
        <v>0.99</v>
      </c>
      <c r="CN147" s="838"/>
      <c r="CO147" s="838"/>
      <c r="CP147" s="838"/>
      <c r="CQ147" s="838"/>
      <c r="CR147" s="838"/>
      <c r="CS147" s="838"/>
      <c r="CT147" s="838"/>
      <c r="CU147" s="838"/>
      <c r="CV147" s="697" t="str">
        <f>IFERROR(__xludf.DUMMYFUNCTION("""COMPUTED_VALUE"""),"Ismail,Premaratne UN, Suraweera MG. Comparative efficacy of single dose anthelmintics in relation to intensity of geohelminth infections. Ceylon Med J. 1991;36(4):162-167.")</f>
        <v>Ismail,Premaratne UN, Suraweera MG. Comparative efficacy of single dose anthelmintics in relation to intensity of geohelminth infections. Ceylon Med J. 1991;36(4):162-167.</v>
      </c>
    </row>
    <row r="148">
      <c r="A148" s="834"/>
      <c r="B148" s="834"/>
      <c r="C148" s="834"/>
      <c r="D148" s="834"/>
      <c r="E148" s="834"/>
      <c r="F148" s="834"/>
      <c r="G148" s="834"/>
      <c r="H148" s="834"/>
      <c r="I148" s="834"/>
      <c r="J148" s="834"/>
      <c r="K148" s="834"/>
      <c r="L148" s="834"/>
      <c r="M148" s="834"/>
      <c r="N148" s="834"/>
      <c r="O148" s="834"/>
      <c r="P148" s="834"/>
      <c r="Q148" s="834"/>
      <c r="R148" s="834"/>
      <c r="S148" s="834"/>
      <c r="T148" s="834"/>
      <c r="U148" s="834"/>
      <c r="V148" s="834"/>
      <c r="W148" s="834"/>
      <c r="X148" s="834"/>
      <c r="Y148" s="834"/>
      <c r="Z148" s="834"/>
      <c r="AA148" s="834"/>
      <c r="AB148" s="834"/>
      <c r="AC148" s="834"/>
      <c r="AD148" s="834"/>
      <c r="AE148" s="834"/>
      <c r="AF148" s="834"/>
      <c r="AG148" s="834"/>
      <c r="AH148" s="834"/>
      <c r="AJ148" s="843" t="str">
        <f>IFERROR(__xludf.DUMMYFUNCTION("""COMPUTED_VALUE"""),"Efficacy and safety of oxantel pamoate in school-aged children infected with Trichuris trichiura on Pemba Island, Tanzania: a parallel, randomised, controlled, dose-ranging study")</f>
        <v>Efficacy and safety of oxantel pamoate in school-aged children infected with Trichuris trichiura on Pemba Island, Tanzania: a parallel, randomised, controlled, dose-ranging study</v>
      </c>
      <c r="AK148" s="836" t="str">
        <f>IFERROR(__xludf.DUMMYFUNCTION("""COMPUTED_VALUE"""),"Moser W, Ali SM, Ame SM, Speich B, Puchkov M, Huwyler J, Albonico M, Hattendorf J, Keiser J. Efficacy and safety of oxantel pamoate in school-aged children infected with Trichuris trichiura on Pemba Island, Tanzania: a parallel, randomised, controlled, do"&amp;"se-ranging study. Lancet Infect Dis. 2016 Jan;16(1):53-60. doi: 10.1016/S1473-3099(15)00271-6. Epub 2015 Sep 18. PMID: 26388169.")</f>
        <v>Moser W, Ali SM, Ame SM, Speich B, Puchkov M, Huwyler J, Albonico M, Hattendorf J, Keiser J. Efficacy and safety of oxantel pamoate in school-aged children infected with Trichuris trichiura on Pemba Island, Tanzania: a parallel, randomised, controlled, dose-ranging study. Lancet Infect Dis. 2016 Jan;16(1):53-60. doi: 10.1016/S1473-3099(15)00271-6. Epub 2015 Sep 18. PMID: 26388169.</v>
      </c>
      <c r="AL148" s="836" t="str">
        <f>IFERROR(__xludf.DUMMYFUNCTION("""COMPUTED_VALUE"""),"Tanzania")</f>
        <v>Tanzania</v>
      </c>
      <c r="AM148" s="836" t="str">
        <f>IFERROR(__xludf.DUMMYFUNCTION("""COMPUTED_VALUE"""),"Oxantel pamoate")</f>
        <v>Oxantel pamoate</v>
      </c>
      <c r="AN148" s="836" t="str">
        <f>IFERROR(__xludf.DUMMYFUNCTION("""COMPUTED_VALUE"""),"Single")</f>
        <v>Single</v>
      </c>
      <c r="AO148" s="836" t="str">
        <f>IFERROR(__xludf.DUMMYFUNCTION("""COMPUTED_VALUE"""),"15 mg/kg")</f>
        <v>15 mg/kg</v>
      </c>
      <c r="AP148" s="836">
        <f>IFERROR(__xludf.DUMMYFUNCTION("""COMPUTED_VALUE"""),51.0)</f>
        <v>51</v>
      </c>
      <c r="AQ148" s="836">
        <f>IFERROR(__xludf.DUMMYFUNCTION("""COMPUTED_VALUE"""),10.4)</f>
        <v>10.4</v>
      </c>
      <c r="AR148" s="836" t="str">
        <f>IFERROR(__xludf.DUMMYFUNCTION("""COMPUTED_VALUE"""),"22M:29F")</f>
        <v>22M:29F</v>
      </c>
      <c r="AS148" s="836">
        <f>IFERROR(__xludf.DUMMYFUNCTION("""COMPUTED_VALUE"""),2014.0)</f>
        <v>2014</v>
      </c>
      <c r="AT148" s="836" t="str">
        <f>IFERROR(__xludf.DUMMYFUNCTION("""COMPUTED_VALUE"""),"School-aged children (aged 6–14 years) infected with T trichiura on Pemba Island, Tanzania.")</f>
        <v>School-aged children (aged 6–14 years) infected with T trichiura on Pemba Island, Tanzania.</v>
      </c>
      <c r="AU148" s="836" t="str">
        <f>IFERROR(__xludf.DUMMYFUNCTION("""COMPUTED_VALUE"""),"Yes")</f>
        <v>Yes</v>
      </c>
      <c r="AV148" s="836" t="str">
        <f>IFERROR(__xludf.DUMMYFUNCTION("""COMPUTED_VALUE"""),"Yes")</f>
        <v>Yes</v>
      </c>
      <c r="AW148" s="836" t="str">
        <f>IFERROR(__xludf.DUMMYFUNCTION("""COMPUTED_VALUE"""),"Single-blind")</f>
        <v>Single-blind</v>
      </c>
      <c r="AX148" s="850">
        <f>IFERROR(__xludf.DUMMYFUNCTION("""COMPUTED_VALUE"""),0.49)</f>
        <v>0.49</v>
      </c>
      <c r="AY148" s="836"/>
      <c r="AZ148" s="836"/>
      <c r="BA148" s="836"/>
      <c r="BB148" s="836"/>
      <c r="BC148" s="836"/>
      <c r="BD148" s="836"/>
      <c r="BE148" s="836"/>
      <c r="BF148" s="836"/>
      <c r="BG148" s="836"/>
      <c r="BH148" s="841">
        <f>IFERROR(__xludf.DUMMYFUNCTION("""COMPUTED_VALUE"""),0.977)</f>
        <v>0.977</v>
      </c>
      <c r="BI148" s="836"/>
      <c r="BJ148" s="836"/>
      <c r="BK148" s="836"/>
      <c r="BL148" s="836"/>
      <c r="BM148" s="836"/>
      <c r="BN148" s="836" t="str">
        <f>IFERROR(__xludf.DUMMYFUNCTION("""COMPUTED_VALUE"""),"Our dose-finding study revealed an excellent tolerability profile of oxantel pamoate in children infected with T trichiura. An optimum therapeutic dose range of 15–30 mg/kg oxantel pamoate was defined.")</f>
        <v>Our dose-finding study revealed an excellent tolerability profile of oxantel pamoate in children infected with T trichiura. An optimum therapeutic dose range of 15–30 mg/kg oxantel pamoate was defined.</v>
      </c>
      <c r="BO148" s="836"/>
      <c r="BP148" s="836"/>
      <c r="BQ148" s="697"/>
      <c r="BR148" s="844" t="str">
        <f>IFERROR(__xludf.DUMMYFUNCTION("""COMPUTED_VALUE"""),"Ismail MM et al.")</f>
        <v>Ismail MM et al.</v>
      </c>
      <c r="BS148" s="838"/>
      <c r="BT148" s="838" t="str">
        <f>IFERROR(__xludf.DUMMYFUNCTION("""COMPUTED_VALUE"""),"Pyrantel Pamoate")</f>
        <v>Pyrantel Pamoate</v>
      </c>
      <c r="BU148" s="838"/>
      <c r="BV148" s="838" t="str">
        <f>IFERROR(__xludf.DUMMYFUNCTION("""COMPUTED_VALUE"""),"Single")</f>
        <v>Single</v>
      </c>
      <c r="BW148" s="838" t="str">
        <f>IFERROR(__xludf.DUMMYFUNCTION("""COMPUTED_VALUE"""),"10 mg")</f>
        <v>10 mg</v>
      </c>
      <c r="BX148" s="838"/>
      <c r="BY148" s="845">
        <f>IFERROR(__xludf.DUMMYFUNCTION("""COMPUTED_VALUE"""),42441.0)</f>
        <v>42441</v>
      </c>
      <c r="BZ148" s="838"/>
      <c r="CA148" s="838"/>
      <c r="CB148" s="838"/>
      <c r="CC148" s="838" t="str">
        <f>IFERROR(__xludf.DUMMYFUNCTION("""COMPUTED_VALUE"""),"No")</f>
        <v>No</v>
      </c>
      <c r="CD148" s="847">
        <f>IFERROR(__xludf.DUMMYFUNCTION("""COMPUTED_VALUE"""),0.941)</f>
        <v>0.941</v>
      </c>
      <c r="CE148" s="838" t="str">
        <f>IFERROR(__xludf.DUMMYFUNCTION("""COMPUTED_VALUE"""),"No")</f>
        <v>No</v>
      </c>
      <c r="CF148" s="838"/>
      <c r="CG148" s="838"/>
      <c r="CH148" s="838"/>
      <c r="CI148" s="838"/>
      <c r="CJ148" s="838"/>
      <c r="CK148" s="838"/>
      <c r="CL148" s="838"/>
      <c r="CM148" s="847">
        <f>IFERROR(__xludf.DUMMYFUNCTION("""COMPUTED_VALUE"""),0.989)</f>
        <v>0.989</v>
      </c>
      <c r="CN148" s="838"/>
      <c r="CO148" s="838"/>
      <c r="CP148" s="838"/>
      <c r="CQ148" s="838"/>
      <c r="CR148" s="838"/>
      <c r="CS148" s="838"/>
      <c r="CT148" s="838"/>
      <c r="CU148" s="838"/>
      <c r="CV148" s="697" t="str">
        <f>IFERROR(__xludf.DUMMYFUNCTION("""COMPUTED_VALUE"""),"Ismail,Premaratne UN, Suraweera MG. Comparative efficacy of single dose anthelmintics in relation to intensity of geohelminth infections. Ceylon Med J. 1991;36(4):162-167.")</f>
        <v>Ismail,Premaratne UN, Suraweera MG. Comparative efficacy of single dose anthelmintics in relation to intensity of geohelminth infections. Ceylon Med J. 1991;36(4):162-167.</v>
      </c>
    </row>
    <row r="149">
      <c r="A149" s="834"/>
      <c r="B149" s="834"/>
      <c r="C149" s="834"/>
      <c r="D149" s="834"/>
      <c r="E149" s="834"/>
      <c r="F149" s="834"/>
      <c r="G149" s="834"/>
      <c r="H149" s="834"/>
      <c r="I149" s="834"/>
      <c r="J149" s="834"/>
      <c r="K149" s="834"/>
      <c r="L149" s="834"/>
      <c r="M149" s="834"/>
      <c r="N149" s="834"/>
      <c r="O149" s="834"/>
      <c r="P149" s="834"/>
      <c r="Q149" s="834"/>
      <c r="R149" s="834"/>
      <c r="S149" s="834"/>
      <c r="T149" s="834"/>
      <c r="U149" s="834"/>
      <c r="V149" s="834"/>
      <c r="W149" s="834"/>
      <c r="X149" s="834"/>
      <c r="Y149" s="834"/>
      <c r="Z149" s="834"/>
      <c r="AA149" s="834"/>
      <c r="AB149" s="834"/>
      <c r="AC149" s="834"/>
      <c r="AD149" s="834"/>
      <c r="AE149" s="834"/>
      <c r="AF149" s="834"/>
      <c r="AG149" s="834"/>
      <c r="AH149" s="834"/>
      <c r="AJ149" s="843" t="str">
        <f>IFERROR(__xludf.DUMMYFUNCTION("""COMPUTED_VALUE"""),"Efficacy and safety of oxantel pamoate in school-aged children infected with Trichuris trichiura on Pemba Island, Tanzania: a parallel, randomised, controlled, dose-ranging study")</f>
        <v>Efficacy and safety of oxantel pamoate in school-aged children infected with Trichuris trichiura on Pemba Island, Tanzania: a parallel, randomised, controlled, dose-ranging study</v>
      </c>
      <c r="AK149" s="836" t="str">
        <f>IFERROR(__xludf.DUMMYFUNCTION("""COMPUTED_VALUE"""),"Moser W, Ali SM, Ame SM, Speich B, Puchkov M, Huwyler J, Albonico M, Hattendorf J, Keiser J. Efficacy and safety of oxantel pamoate in school-aged children infected with Trichuris trichiura on Pemba Island, Tanzania: a parallel, randomised, controlled, do"&amp;"se-ranging study. Lancet Infect Dis. 2016 Jan;16(1):53-60. doi: 10.1016/S1473-3099(15)00271-6. Epub 2015 Sep 18. PMID: 26388169.")</f>
        <v>Moser W, Ali SM, Ame SM, Speich B, Puchkov M, Huwyler J, Albonico M, Hattendorf J, Keiser J. Efficacy and safety of oxantel pamoate in school-aged children infected with Trichuris trichiura on Pemba Island, Tanzania: a parallel, randomised, controlled, dose-ranging study. Lancet Infect Dis. 2016 Jan;16(1):53-60. doi: 10.1016/S1473-3099(15)00271-6. Epub 2015 Sep 18. PMID: 26388169.</v>
      </c>
      <c r="AL149" s="836" t="str">
        <f>IFERROR(__xludf.DUMMYFUNCTION("""COMPUTED_VALUE"""),"Tanzania")</f>
        <v>Tanzania</v>
      </c>
      <c r="AM149" s="836" t="str">
        <f>IFERROR(__xludf.DUMMYFUNCTION("""COMPUTED_VALUE"""),"Oxantel pamoate")</f>
        <v>Oxantel pamoate</v>
      </c>
      <c r="AN149" s="836" t="str">
        <f>IFERROR(__xludf.DUMMYFUNCTION("""COMPUTED_VALUE"""),"Single")</f>
        <v>Single</v>
      </c>
      <c r="AO149" s="836" t="str">
        <f>IFERROR(__xludf.DUMMYFUNCTION("""COMPUTED_VALUE"""),"20 mg/kg")</f>
        <v>20 mg/kg</v>
      </c>
      <c r="AP149" s="836">
        <f>IFERROR(__xludf.DUMMYFUNCTION("""COMPUTED_VALUE"""),50.0)</f>
        <v>50</v>
      </c>
      <c r="AQ149" s="836">
        <f>IFERROR(__xludf.DUMMYFUNCTION("""COMPUTED_VALUE"""),10.5)</f>
        <v>10.5</v>
      </c>
      <c r="AR149" s="836" t="str">
        <f>IFERROR(__xludf.DUMMYFUNCTION("""COMPUTED_VALUE"""),"20M:30F")</f>
        <v>20M:30F</v>
      </c>
      <c r="AS149" s="836">
        <f>IFERROR(__xludf.DUMMYFUNCTION("""COMPUTED_VALUE"""),2014.0)</f>
        <v>2014</v>
      </c>
      <c r="AT149" s="836" t="str">
        <f>IFERROR(__xludf.DUMMYFUNCTION("""COMPUTED_VALUE"""),"School-aged children (aged 6–14 years) infected with T trichiura on Pemba Island, Tanzania.")</f>
        <v>School-aged children (aged 6–14 years) infected with T trichiura on Pemba Island, Tanzania.</v>
      </c>
      <c r="AU149" s="836" t="str">
        <f>IFERROR(__xludf.DUMMYFUNCTION("""COMPUTED_VALUE"""),"Yes")</f>
        <v>Yes</v>
      </c>
      <c r="AV149" s="836" t="str">
        <f>IFERROR(__xludf.DUMMYFUNCTION("""COMPUTED_VALUE"""),"Yes")</f>
        <v>Yes</v>
      </c>
      <c r="AW149" s="836" t="str">
        <f>IFERROR(__xludf.DUMMYFUNCTION("""COMPUTED_VALUE"""),"Single-blind")</f>
        <v>Single-blind</v>
      </c>
      <c r="AX149" s="850">
        <f>IFERROR(__xludf.DUMMYFUNCTION("""COMPUTED_VALUE"""),0.5)</f>
        <v>0.5</v>
      </c>
      <c r="AY149" s="836"/>
      <c r="AZ149" s="836"/>
      <c r="BA149" s="836"/>
      <c r="BB149" s="836"/>
      <c r="BC149" s="836"/>
      <c r="BD149" s="836"/>
      <c r="BE149" s="836"/>
      <c r="BF149" s="836"/>
      <c r="BG149" s="836"/>
      <c r="BH149" s="841">
        <f>IFERROR(__xludf.DUMMYFUNCTION("""COMPUTED_VALUE"""),0.975)</f>
        <v>0.975</v>
      </c>
      <c r="BI149" s="836"/>
      <c r="BJ149" s="836"/>
      <c r="BK149" s="836"/>
      <c r="BL149" s="836"/>
      <c r="BM149" s="836"/>
      <c r="BN149" s="836" t="str">
        <f>IFERROR(__xludf.DUMMYFUNCTION("""COMPUTED_VALUE"""),"Our dose-finding study revealed an excellent tolerability profile of oxantel pamoate in children infected with T trichiura. An optimum therapeutic dose range of 15–30 mg/kg oxantel pamoate was defined.")</f>
        <v>Our dose-finding study revealed an excellent tolerability profile of oxantel pamoate in children infected with T trichiura. An optimum therapeutic dose range of 15–30 mg/kg oxantel pamoate was defined.</v>
      </c>
      <c r="BO149" s="836"/>
      <c r="BP149" s="836"/>
      <c r="BQ149" s="697"/>
      <c r="BR149" s="844" t="str">
        <f>IFERROR(__xludf.DUMMYFUNCTION("""COMPUTED_VALUE"""),"Ekenjoku et al.")</f>
        <v>Ekenjoku et al.</v>
      </c>
      <c r="BS149" s="838" t="str">
        <f>IFERROR(__xludf.DUMMYFUNCTION("""COMPUTED_VALUE"""),"Nigeria")</f>
        <v>Nigeria</v>
      </c>
      <c r="BT149" s="838" t="str">
        <f>IFERROR(__xludf.DUMMYFUNCTION("""COMPUTED_VALUE"""),"Mebendazole")</f>
        <v>Mebendazole</v>
      </c>
      <c r="BU149" s="838"/>
      <c r="BV149" s="838" t="str">
        <f>IFERROR(__xludf.DUMMYFUNCTION("""COMPUTED_VALUE"""),"Single")</f>
        <v>Single</v>
      </c>
      <c r="BW149" s="838" t="str">
        <f>IFERROR(__xludf.DUMMYFUNCTION("""COMPUTED_VALUE"""),"500 mg")</f>
        <v>500 mg</v>
      </c>
      <c r="BX149" s="838">
        <f>IFERROR(__xludf.DUMMYFUNCTION("""COMPUTED_VALUE"""),19.0)</f>
        <v>19</v>
      </c>
      <c r="BY149" s="845">
        <f>IFERROR(__xludf.DUMMYFUNCTION("""COMPUTED_VALUE"""),42472.0)</f>
        <v>42472</v>
      </c>
      <c r="BZ149" s="838">
        <f>IFERROR(__xludf.DUMMYFUNCTION("""COMPUTED_VALUE"""),2005.0)</f>
        <v>2005</v>
      </c>
      <c r="CA149" s="838"/>
      <c r="CB149" s="838"/>
      <c r="CC149" s="838" t="str">
        <f>IFERROR(__xludf.DUMMYFUNCTION("""COMPUTED_VALUE"""),"Yes")</f>
        <v>Yes</v>
      </c>
      <c r="CD149" s="846">
        <f>IFERROR(__xludf.DUMMYFUNCTION("""COMPUTED_VALUE"""),1.0)</f>
        <v>1</v>
      </c>
      <c r="CE149" s="838" t="str">
        <f>IFERROR(__xludf.DUMMYFUNCTION("""COMPUTED_VALUE"""),"Yes")</f>
        <v>Yes</v>
      </c>
      <c r="CF149" s="838"/>
      <c r="CG149" s="838"/>
      <c r="CH149" s="838"/>
      <c r="CI149" s="838"/>
      <c r="CJ149" s="838"/>
      <c r="CK149" s="838"/>
      <c r="CL149" s="838"/>
      <c r="CM149" s="838"/>
      <c r="CN149" s="838"/>
      <c r="CO149" s="838"/>
      <c r="CP149" s="838"/>
      <c r="CQ149" s="838"/>
      <c r="CR149" s="838"/>
      <c r="CS149" s="838"/>
      <c r="CT149" s="838"/>
      <c r="CU149" s="838"/>
      <c r="CV149" s="697" t="str">
        <f>IFERROR(__xludf.DUMMYFUNCTION("""COMPUTED_VALUE"""),"Ekenjoku, A. J., C. Oringanje, and M. M. Meremikwu. ""Comparative Efficacy of Levamisole, Mebendazole, and Pyrantel Pamoate against Common Intestinal Nematodes among Children in Calabar, South-south Nigeria."" Institute of Tropical Diseases Research and P"&amp;"revention 40.3 (2013): 217-21. Web.")</f>
        <v>Ekenjoku, A. J., C. Oringanje, and M. M. Meremikwu. "Comparative Efficacy of Levamisole, Mebendazole, and Pyrantel Pamoate against Common Intestinal Nematodes among Children in Calabar, South-south Nigeria." Institute of Tropical Diseases Research and Prevention 40.3 (2013): 217-21. Web.</v>
      </c>
    </row>
    <row r="150">
      <c r="A150" s="834"/>
      <c r="B150" s="834"/>
      <c r="C150" s="834"/>
      <c r="D150" s="834"/>
      <c r="E150" s="834"/>
      <c r="F150" s="834"/>
      <c r="G150" s="834"/>
      <c r="H150" s="834"/>
      <c r="I150" s="834"/>
      <c r="J150" s="834"/>
      <c r="K150" s="834"/>
      <c r="L150" s="834"/>
      <c r="M150" s="834"/>
      <c r="N150" s="834"/>
      <c r="O150" s="834"/>
      <c r="P150" s="834"/>
      <c r="Q150" s="834"/>
      <c r="R150" s="834"/>
      <c r="S150" s="834"/>
      <c r="T150" s="834"/>
      <c r="U150" s="834"/>
      <c r="V150" s="834"/>
      <c r="W150" s="834"/>
      <c r="X150" s="834"/>
      <c r="Y150" s="834"/>
      <c r="Z150" s="834"/>
      <c r="AA150" s="834"/>
      <c r="AB150" s="834"/>
      <c r="AC150" s="834"/>
      <c r="AD150" s="834"/>
      <c r="AE150" s="834"/>
      <c r="AF150" s="834"/>
      <c r="AG150" s="834"/>
      <c r="AH150" s="834"/>
      <c r="AJ150" s="843" t="str">
        <f>IFERROR(__xludf.DUMMYFUNCTION("""COMPUTED_VALUE"""),"Efficacy and safety of oxantel pamoate in school-aged children infected with Trichuris trichiura on Pemba Island, Tanzania: a parallel, randomised, controlled, dose-ranging study")</f>
        <v>Efficacy and safety of oxantel pamoate in school-aged children infected with Trichuris trichiura on Pemba Island, Tanzania: a parallel, randomised, controlled, dose-ranging study</v>
      </c>
      <c r="AK150" s="836" t="str">
        <f>IFERROR(__xludf.DUMMYFUNCTION("""COMPUTED_VALUE"""),"Moser W, Ali SM, Ame SM, Speich B, Puchkov M, Huwyler J, Albonico M, Hattendorf J, Keiser J. Efficacy and safety of oxantel pamoate in school-aged children infected with Trichuris trichiura on Pemba Island, Tanzania: a parallel, randomised, controlled, do"&amp;"se-ranging study. Lancet Infect Dis. 2016 Jan;16(1):53-60. doi: 10.1016/S1473-3099(15)00271-6. Epub 2015 Sep 18. PMID: 26388169.")</f>
        <v>Moser W, Ali SM, Ame SM, Speich B, Puchkov M, Huwyler J, Albonico M, Hattendorf J, Keiser J. Efficacy and safety of oxantel pamoate in school-aged children infected with Trichuris trichiura on Pemba Island, Tanzania: a parallel, randomised, controlled, dose-ranging study. Lancet Infect Dis. 2016 Jan;16(1):53-60. doi: 10.1016/S1473-3099(15)00271-6. Epub 2015 Sep 18. PMID: 26388169.</v>
      </c>
      <c r="AL150" s="836" t="str">
        <f>IFERROR(__xludf.DUMMYFUNCTION("""COMPUTED_VALUE"""),"Tanzania")</f>
        <v>Tanzania</v>
      </c>
      <c r="AM150" s="836" t="str">
        <f>IFERROR(__xludf.DUMMYFUNCTION("""COMPUTED_VALUE"""),"Oxantel pamoate")</f>
        <v>Oxantel pamoate</v>
      </c>
      <c r="AN150" s="836" t="str">
        <f>IFERROR(__xludf.DUMMYFUNCTION("""COMPUTED_VALUE"""),"Single")</f>
        <v>Single</v>
      </c>
      <c r="AO150" s="836" t="str">
        <f>IFERROR(__xludf.DUMMYFUNCTION("""COMPUTED_VALUE"""),"25 mg/kg")</f>
        <v>25 mg/kg</v>
      </c>
      <c r="AP150" s="836">
        <f>IFERROR(__xludf.DUMMYFUNCTION("""COMPUTED_VALUE"""),50.0)</f>
        <v>50</v>
      </c>
      <c r="AQ150" s="836">
        <f>IFERROR(__xludf.DUMMYFUNCTION("""COMPUTED_VALUE"""),10.7)</f>
        <v>10.7</v>
      </c>
      <c r="AR150" s="836" t="str">
        <f>IFERROR(__xludf.DUMMYFUNCTION("""COMPUTED_VALUE"""),"22M:28F")</f>
        <v>22M:28F</v>
      </c>
      <c r="AS150" s="836">
        <f>IFERROR(__xludf.DUMMYFUNCTION("""COMPUTED_VALUE"""),2014.0)</f>
        <v>2014</v>
      </c>
      <c r="AT150" s="836" t="str">
        <f>IFERROR(__xludf.DUMMYFUNCTION("""COMPUTED_VALUE"""),"School-aged children (aged 6–14 years) infected with T trichiura on Pemba Island, Tanzania.")</f>
        <v>School-aged children (aged 6–14 years) infected with T trichiura on Pemba Island, Tanzania.</v>
      </c>
      <c r="AU150" s="836" t="str">
        <f>IFERROR(__xludf.DUMMYFUNCTION("""COMPUTED_VALUE"""),"Yes")</f>
        <v>Yes</v>
      </c>
      <c r="AV150" s="836" t="str">
        <f>IFERROR(__xludf.DUMMYFUNCTION("""COMPUTED_VALUE"""),"Yes")</f>
        <v>Yes</v>
      </c>
      <c r="AW150" s="836" t="str">
        <f>IFERROR(__xludf.DUMMYFUNCTION("""COMPUTED_VALUE"""),"Single-blind")</f>
        <v>Single-blind</v>
      </c>
      <c r="AX150" s="850">
        <f>IFERROR(__xludf.DUMMYFUNCTION("""COMPUTED_VALUE"""),0.6)</f>
        <v>0.6</v>
      </c>
      <c r="AY150" s="836"/>
      <c r="AZ150" s="836"/>
      <c r="BA150" s="836"/>
      <c r="BB150" s="836"/>
      <c r="BC150" s="836"/>
      <c r="BD150" s="836"/>
      <c r="BE150" s="836"/>
      <c r="BF150" s="836"/>
      <c r="BG150" s="836"/>
      <c r="BH150" s="841">
        <f>IFERROR(__xludf.DUMMYFUNCTION("""COMPUTED_VALUE"""),0.988)</f>
        <v>0.988</v>
      </c>
      <c r="BI150" s="836"/>
      <c r="BJ150" s="836"/>
      <c r="BK150" s="836"/>
      <c r="BL150" s="836"/>
      <c r="BM150" s="836"/>
      <c r="BN150" s="836" t="str">
        <f>IFERROR(__xludf.DUMMYFUNCTION("""COMPUTED_VALUE"""),"Our dose-finding study revealed an excellent tolerability profile of oxantel pamoate in children infected with T trichiura. An optimum therapeutic dose range of 15–30 mg/kg oxantel pamoate was defined.")</f>
        <v>Our dose-finding study revealed an excellent tolerability profile of oxantel pamoate in children infected with T trichiura. An optimum therapeutic dose range of 15–30 mg/kg oxantel pamoate was defined.</v>
      </c>
      <c r="BO150" s="836"/>
      <c r="BP150" s="836"/>
      <c r="BQ150" s="697"/>
      <c r="BR150" s="844" t="str">
        <f>IFERROR(__xludf.DUMMYFUNCTION("""COMPUTED_VALUE"""),"Ekenjoku et al.")</f>
        <v>Ekenjoku et al.</v>
      </c>
      <c r="BS150" s="838" t="str">
        <f>IFERROR(__xludf.DUMMYFUNCTION("""COMPUTED_VALUE"""),"Nigeria")</f>
        <v>Nigeria</v>
      </c>
      <c r="BT150" s="838" t="str">
        <f>IFERROR(__xludf.DUMMYFUNCTION("""COMPUTED_VALUE"""),"Pyrantel Pamoate")</f>
        <v>Pyrantel Pamoate</v>
      </c>
      <c r="BU150" s="838"/>
      <c r="BV150" s="838" t="str">
        <f>IFERROR(__xludf.DUMMYFUNCTION("""COMPUTED_VALUE"""),"Single")</f>
        <v>Single</v>
      </c>
      <c r="BW150" s="838" t="str">
        <f>IFERROR(__xludf.DUMMYFUNCTION("""COMPUTED_VALUE"""),"10 mg")</f>
        <v>10 mg</v>
      </c>
      <c r="BX150" s="838">
        <f>IFERROR(__xludf.DUMMYFUNCTION("""COMPUTED_VALUE"""),31.0)</f>
        <v>31</v>
      </c>
      <c r="BY150" s="845">
        <f>IFERROR(__xludf.DUMMYFUNCTION("""COMPUTED_VALUE"""),42472.0)</f>
        <v>42472</v>
      </c>
      <c r="BZ150" s="838">
        <f>IFERROR(__xludf.DUMMYFUNCTION("""COMPUTED_VALUE"""),2005.0)</f>
        <v>2005</v>
      </c>
      <c r="CA150" s="838"/>
      <c r="CB150" s="838"/>
      <c r="CC150" s="838" t="str">
        <f>IFERROR(__xludf.DUMMYFUNCTION("""COMPUTED_VALUE"""),"Yes")</f>
        <v>Yes</v>
      </c>
      <c r="CD150" s="846">
        <f>IFERROR(__xludf.DUMMYFUNCTION("""COMPUTED_VALUE"""),1.0)</f>
        <v>1</v>
      </c>
      <c r="CE150" s="838" t="str">
        <f>IFERROR(__xludf.DUMMYFUNCTION("""COMPUTED_VALUE"""),"Yes")</f>
        <v>Yes</v>
      </c>
      <c r="CF150" s="838"/>
      <c r="CG150" s="838"/>
      <c r="CH150" s="838"/>
      <c r="CI150" s="838"/>
      <c r="CJ150" s="838"/>
      <c r="CK150" s="838"/>
      <c r="CL150" s="838"/>
      <c r="CM150" s="838"/>
      <c r="CN150" s="838"/>
      <c r="CO150" s="838"/>
      <c r="CP150" s="838"/>
      <c r="CQ150" s="838"/>
      <c r="CR150" s="838"/>
      <c r="CS150" s="838"/>
      <c r="CT150" s="838"/>
      <c r="CU150" s="838"/>
      <c r="CV150" s="697" t="str">
        <f>IFERROR(__xludf.DUMMYFUNCTION("""COMPUTED_VALUE"""),"Ekenjoku, A. J., C. Oringanje, and M. M. Meremikwu. ""Comparative Efficacy of Levamisole, Mebendazole, and Pyrantel Pamoate against Common Intestinal Nematodes among Children in Calabar, South-south Nigeria."" Institute of Tropical Diseases Research and P"&amp;"revention 40.3 (2013): 217-21. Web.")</f>
        <v>Ekenjoku, A. J., C. Oringanje, and M. M. Meremikwu. "Comparative Efficacy of Levamisole, Mebendazole, and Pyrantel Pamoate against Common Intestinal Nematodes among Children in Calabar, South-south Nigeria." Institute of Tropical Diseases Research and Prevention 40.3 (2013): 217-21. Web.</v>
      </c>
    </row>
    <row r="151">
      <c r="A151" s="834"/>
      <c r="B151" s="834"/>
      <c r="C151" s="834"/>
      <c r="D151" s="834"/>
      <c r="E151" s="834"/>
      <c r="F151" s="834"/>
      <c r="G151" s="834"/>
      <c r="H151" s="834"/>
      <c r="I151" s="834"/>
      <c r="J151" s="834"/>
      <c r="K151" s="834"/>
      <c r="L151" s="834"/>
      <c r="M151" s="834"/>
      <c r="N151" s="834"/>
      <c r="O151" s="834"/>
      <c r="P151" s="834"/>
      <c r="Q151" s="834"/>
      <c r="R151" s="834"/>
      <c r="S151" s="834"/>
      <c r="T151" s="834"/>
      <c r="U151" s="834"/>
      <c r="V151" s="834"/>
      <c r="W151" s="834"/>
      <c r="X151" s="834"/>
      <c r="Y151" s="834"/>
      <c r="Z151" s="834"/>
      <c r="AA151" s="834"/>
      <c r="AB151" s="834"/>
      <c r="AC151" s="834"/>
      <c r="AD151" s="834"/>
      <c r="AE151" s="834"/>
      <c r="AF151" s="834"/>
      <c r="AG151" s="834"/>
      <c r="AH151" s="834"/>
      <c r="AJ151" s="843" t="str">
        <f>IFERROR(__xludf.DUMMYFUNCTION("""COMPUTED_VALUE"""),"Efficacy and safety of oxantel pamoate in school-aged children infected with Trichuris trichiura on Pemba Island, Tanzania: a parallel, randomised, controlled, dose-ranging study")</f>
        <v>Efficacy and safety of oxantel pamoate in school-aged children infected with Trichuris trichiura on Pemba Island, Tanzania: a parallel, randomised, controlled, dose-ranging study</v>
      </c>
      <c r="AK151" s="836" t="str">
        <f>IFERROR(__xludf.DUMMYFUNCTION("""COMPUTED_VALUE"""),"Moser W, Ali SM, Ame SM, Speich B, Puchkov M, Huwyler J, Albonico M, Hattendorf J, Keiser J. Efficacy and safety of oxantel pamoate in school-aged children infected with Trichuris trichiura on Pemba Island, Tanzania: a parallel, randomised, controlled, do"&amp;"se-ranging study. Lancet Infect Dis. 2016 Jan;16(1):53-60. doi: 10.1016/S1473-3099(15)00271-6. Epub 2015 Sep 18. PMID: 26388169.")</f>
        <v>Moser W, Ali SM, Ame SM, Speich B, Puchkov M, Huwyler J, Albonico M, Hattendorf J, Keiser J. Efficacy and safety of oxantel pamoate in school-aged children infected with Trichuris trichiura on Pemba Island, Tanzania: a parallel, randomised, controlled, dose-ranging study. Lancet Infect Dis. 2016 Jan;16(1):53-60. doi: 10.1016/S1473-3099(15)00271-6. Epub 2015 Sep 18. PMID: 26388169.</v>
      </c>
      <c r="AL151" s="836" t="str">
        <f>IFERROR(__xludf.DUMMYFUNCTION("""COMPUTED_VALUE"""),"Tanzania")</f>
        <v>Tanzania</v>
      </c>
      <c r="AM151" s="836" t="str">
        <f>IFERROR(__xludf.DUMMYFUNCTION("""COMPUTED_VALUE"""),"Oxantel pamoate")</f>
        <v>Oxantel pamoate</v>
      </c>
      <c r="AN151" s="836" t="str">
        <f>IFERROR(__xludf.DUMMYFUNCTION("""COMPUTED_VALUE"""),"Single")</f>
        <v>Single</v>
      </c>
      <c r="AO151" s="836" t="str">
        <f>IFERROR(__xludf.DUMMYFUNCTION("""COMPUTED_VALUE"""),"30 mg/kg")</f>
        <v>30 mg/kg</v>
      </c>
      <c r="AP151" s="836">
        <f>IFERROR(__xludf.DUMMYFUNCTION("""COMPUTED_VALUE"""),50.0)</f>
        <v>50</v>
      </c>
      <c r="AQ151" s="836">
        <f>IFERROR(__xludf.DUMMYFUNCTION("""COMPUTED_VALUE"""),10.7)</f>
        <v>10.7</v>
      </c>
      <c r="AR151" s="836" t="str">
        <f>IFERROR(__xludf.DUMMYFUNCTION("""COMPUTED_VALUE"""),"25M:25F")</f>
        <v>25M:25F</v>
      </c>
      <c r="AS151" s="836">
        <f>IFERROR(__xludf.DUMMYFUNCTION("""COMPUTED_VALUE"""),2014.0)</f>
        <v>2014</v>
      </c>
      <c r="AT151" s="836" t="str">
        <f>IFERROR(__xludf.DUMMYFUNCTION("""COMPUTED_VALUE"""),"School-aged children (aged 6–14 years) infected with T trichiura on Pemba Island, Tanzania.")</f>
        <v>School-aged children (aged 6–14 years) infected with T trichiura on Pemba Island, Tanzania.</v>
      </c>
      <c r="AU151" s="836" t="str">
        <f>IFERROR(__xludf.DUMMYFUNCTION("""COMPUTED_VALUE"""),"Yes")</f>
        <v>Yes</v>
      </c>
      <c r="AV151" s="836" t="str">
        <f>IFERROR(__xludf.DUMMYFUNCTION("""COMPUTED_VALUE"""),"Yes")</f>
        <v>Yes</v>
      </c>
      <c r="AW151" s="836" t="str">
        <f>IFERROR(__xludf.DUMMYFUNCTION("""COMPUTED_VALUE"""),"Single-blind")</f>
        <v>Single-blind</v>
      </c>
      <c r="AX151" s="850">
        <f>IFERROR(__xludf.DUMMYFUNCTION("""COMPUTED_VALUE"""),0.59)</f>
        <v>0.59</v>
      </c>
      <c r="AY151" s="836"/>
      <c r="AZ151" s="836"/>
      <c r="BA151" s="836"/>
      <c r="BB151" s="836"/>
      <c r="BC151" s="836"/>
      <c r="BD151" s="836"/>
      <c r="BE151" s="836"/>
      <c r="BF151" s="836"/>
      <c r="BG151" s="836"/>
      <c r="BH151" s="841">
        <f>IFERROR(__xludf.DUMMYFUNCTION("""COMPUTED_VALUE"""),0.945)</f>
        <v>0.945</v>
      </c>
      <c r="BI151" s="836"/>
      <c r="BJ151" s="836"/>
      <c r="BK151" s="836"/>
      <c r="BL151" s="836"/>
      <c r="BM151" s="836"/>
      <c r="BN151" s="836" t="str">
        <f>IFERROR(__xludf.DUMMYFUNCTION("""COMPUTED_VALUE"""),"Our dose-finding study revealed an excellent tolerability profile of oxantel pamoate in children infected with T trichiura. An optimum therapeutic dose range of 15–30 mg/kg oxantel pamoate was defined.")</f>
        <v>Our dose-finding study revealed an excellent tolerability profile of oxantel pamoate in children infected with T trichiura. An optimum therapeutic dose range of 15–30 mg/kg oxantel pamoate was defined.</v>
      </c>
      <c r="BO151" s="836"/>
      <c r="BP151" s="836"/>
      <c r="BQ151" s="697"/>
      <c r="BR151" s="844" t="str">
        <f>IFERROR(__xludf.DUMMYFUNCTION("""COMPUTED_VALUE"""),"Ekenjoku et al.")</f>
        <v>Ekenjoku et al.</v>
      </c>
      <c r="BS151" s="838" t="str">
        <f>IFERROR(__xludf.DUMMYFUNCTION("""COMPUTED_VALUE"""),"Nigeria")</f>
        <v>Nigeria</v>
      </c>
      <c r="BT151" s="838" t="str">
        <f>IFERROR(__xludf.DUMMYFUNCTION("""COMPUTED_VALUE"""),"Levamisole")</f>
        <v>Levamisole</v>
      </c>
      <c r="BU151" s="838"/>
      <c r="BV151" s="838" t="str">
        <f>IFERROR(__xludf.DUMMYFUNCTION("""COMPUTED_VALUE"""),"Single")</f>
        <v>Single</v>
      </c>
      <c r="BW151" s="838" t="str">
        <f>IFERROR(__xludf.DUMMYFUNCTION("""COMPUTED_VALUE"""),"2.5 mg")</f>
        <v>2.5 mg</v>
      </c>
      <c r="BX151" s="838">
        <f>IFERROR(__xludf.DUMMYFUNCTION("""COMPUTED_VALUE"""),24.0)</f>
        <v>24</v>
      </c>
      <c r="BY151" s="845">
        <f>IFERROR(__xludf.DUMMYFUNCTION("""COMPUTED_VALUE"""),42472.0)</f>
        <v>42472</v>
      </c>
      <c r="BZ151" s="838">
        <f>IFERROR(__xludf.DUMMYFUNCTION("""COMPUTED_VALUE"""),2005.0)</f>
        <v>2005</v>
      </c>
      <c r="CA151" s="838"/>
      <c r="CB151" s="838"/>
      <c r="CC151" s="838" t="str">
        <f>IFERROR(__xludf.DUMMYFUNCTION("""COMPUTED_VALUE"""),"Yes")</f>
        <v>Yes</v>
      </c>
      <c r="CD151" s="846">
        <f>IFERROR(__xludf.DUMMYFUNCTION("""COMPUTED_VALUE"""),1.0)</f>
        <v>1</v>
      </c>
      <c r="CE151" s="838" t="str">
        <f>IFERROR(__xludf.DUMMYFUNCTION("""COMPUTED_VALUE"""),"Yes")</f>
        <v>Yes</v>
      </c>
      <c r="CF151" s="838"/>
      <c r="CG151" s="838"/>
      <c r="CH151" s="838"/>
      <c r="CI151" s="838"/>
      <c r="CJ151" s="838"/>
      <c r="CK151" s="838"/>
      <c r="CL151" s="838"/>
      <c r="CM151" s="838"/>
      <c r="CN151" s="838"/>
      <c r="CO151" s="838"/>
      <c r="CP151" s="838"/>
      <c r="CQ151" s="838"/>
      <c r="CR151" s="838"/>
      <c r="CS151" s="838"/>
      <c r="CT151" s="838"/>
      <c r="CU151" s="838"/>
      <c r="CV151" s="697" t="str">
        <f>IFERROR(__xludf.DUMMYFUNCTION("""COMPUTED_VALUE"""),"Ekenjoku, A. J., C. Oringanje, and M. M. Meremikwu. ""Comparative Efficacy of Levamisole, Mebendazole, and Pyrantel Pamoate against Common Intestinal Nematodes among Children in Calabar, South-south Nigeria."" Institute of Tropical Diseases Research and P"&amp;"revention 40.3 (2013): 217-21. Web.")</f>
        <v>Ekenjoku, A. J., C. Oringanje, and M. M. Meremikwu. "Comparative Efficacy of Levamisole, Mebendazole, and Pyrantel Pamoate against Common Intestinal Nematodes among Children in Calabar, South-south Nigeria." Institute of Tropical Diseases Research and Prevention 40.3 (2013): 217-21. Web.</v>
      </c>
    </row>
    <row r="152">
      <c r="A152" s="834"/>
      <c r="B152" s="834"/>
      <c r="C152" s="834"/>
      <c r="D152" s="834"/>
      <c r="E152" s="834"/>
      <c r="F152" s="834"/>
      <c r="G152" s="834"/>
      <c r="H152" s="834"/>
      <c r="I152" s="834"/>
      <c r="J152" s="834"/>
      <c r="K152" s="834"/>
      <c r="L152" s="834"/>
      <c r="M152" s="834"/>
      <c r="N152" s="834"/>
      <c r="O152" s="834"/>
      <c r="P152" s="834"/>
      <c r="Q152" s="834"/>
      <c r="R152" s="834"/>
      <c r="S152" s="834"/>
      <c r="T152" s="834"/>
      <c r="U152" s="834"/>
      <c r="V152" s="834"/>
      <c r="W152" s="834"/>
      <c r="X152" s="834"/>
      <c r="Y152" s="834"/>
      <c r="Z152" s="834"/>
      <c r="AA152" s="834"/>
      <c r="AB152" s="834"/>
      <c r="AC152" s="834"/>
      <c r="AD152" s="834"/>
      <c r="AE152" s="834"/>
      <c r="AF152" s="834"/>
      <c r="AG152" s="834"/>
      <c r="AH152" s="834"/>
      <c r="AJ152" s="843" t="str">
        <f>IFERROR(__xludf.DUMMYFUNCTION("""COMPUTED_VALUE"""),"Efficacy and safety of albendazole plus ivermectin, albendazole plus mebendazole, albendazole plus oxantel pamoate, and mebendazole alone against Trichuris trichiura and concomitant soil-transmitted helminth infections: a four-arm, randomised controlled t"&amp;"rial")</f>
        <v>Efficacy and safety of albendazole plus ivermectin, albendazole plus mebendazole, albendazole plus oxantel pamoate, and mebendazole alone against Trichuris trichiura and concomitant soil-transmitted helminth infections: a four-arm, randomised controlled trial</v>
      </c>
      <c r="AK152" s="836" t="str">
        <f>IFERROR(__xludf.DUMMYFUNCTION("""COMPUTED_VALUE"""),"Speich B, Ali SM, Ame SM, Bogoch II, Alles R, Huwyler J, Albonico M, Hattendorf J, Utzinger J, Keiser J. Efficacy and safety of albendazole plus ivermectin, albendazole plus mebendazole, albendazole plus oxantel pamoate, and mebendazole alone against Tric"&amp;"huris trichiura and concomitant soil-transmitted helminth infections: a four-arm, randomised controlled trial. Lancet Infect Dis. 2015 Mar;15(3):277-84. doi: 10.1016/S1473-3099(14)71050-3. Epub 2015 Jan 12. PMID: 25589326.")</f>
        <v>Speich B, Ali SM, Ame SM, Bogoch II, Alles R, Huwyler J, Albonico M, Hattendorf J, Utzinger J, Keiser J. Efficacy and safety of albendazole plus ivermectin, albendazole plus mebendazole, albendazole plus oxantel pamoate, and mebendazole alone against Trichuris trichiura and concomitant soil-transmitted helminth infections: a four-arm, randomised controlled trial. Lancet Infect Dis. 2015 Mar;15(3):277-84. doi: 10.1016/S1473-3099(14)71050-3. Epub 2015 Jan 12. PMID: 25589326.</v>
      </c>
      <c r="AL152" s="836" t="str">
        <f>IFERROR(__xludf.DUMMYFUNCTION("""COMPUTED_VALUE"""),"Tanzania")</f>
        <v>Tanzania</v>
      </c>
      <c r="AM152" s="836" t="str">
        <f>IFERROR(__xludf.DUMMYFUNCTION("""COMPUTED_VALUE"""),"Albendazole &amp; Ivermectin")</f>
        <v>Albendazole &amp; Ivermectin</v>
      </c>
      <c r="AN152" s="836" t="str">
        <f>IFERROR(__xludf.DUMMYFUNCTION("""COMPUTED_VALUE"""),"Single")</f>
        <v>Single</v>
      </c>
      <c r="AO152" s="836" t="str">
        <f>IFERROR(__xludf.DUMMYFUNCTION("""COMPUTED_VALUE"""),"400 mg; 200 μg/kg")</f>
        <v>400 mg; 200 μg/kg</v>
      </c>
      <c r="AP152" s="836">
        <f>IFERROR(__xludf.DUMMYFUNCTION("""COMPUTED_VALUE"""),110.0)</f>
        <v>110</v>
      </c>
      <c r="AQ152" s="836">
        <f>IFERROR(__xludf.DUMMYFUNCTION("""COMPUTED_VALUE"""),9.0)</f>
        <v>9</v>
      </c>
      <c r="AR152" s="836" t="str">
        <f>IFERROR(__xludf.DUMMYFUNCTION("""COMPUTED_VALUE"""),"56M:54F")</f>
        <v>56M:54F</v>
      </c>
      <c r="AS152" s="836">
        <f>IFERROR(__xludf.DUMMYFUNCTION("""COMPUTED_VALUE"""),2013.0)</f>
        <v>2013</v>
      </c>
      <c r="AT152" s="836" t="str">
        <f>IFERROR(__xludf.DUMMYFUNCTION("""COMPUTED_VALUE"""),"Children who tested positive for T trichiura were deemed eligible for the trial. Oral medical history and physical examinations were obtained from each child meeting the inclusion criteria.")</f>
        <v>Children who tested positive for T trichiura were deemed eligible for the trial. Oral medical history and physical examinations were obtained from each child meeting the inclusion criteria.</v>
      </c>
      <c r="AU152" s="836" t="str">
        <f>IFERROR(__xludf.DUMMYFUNCTION("""COMPUTED_VALUE"""),"Yes")</f>
        <v>Yes</v>
      </c>
      <c r="AV152" s="836" t="str">
        <f>IFERROR(__xludf.DUMMYFUNCTION("""COMPUTED_VALUE"""),"No")</f>
        <v>No</v>
      </c>
      <c r="AW152" s="836" t="str">
        <f>IFERROR(__xludf.DUMMYFUNCTION("""COMPUTED_VALUE"""),"No")</f>
        <v>No</v>
      </c>
      <c r="AX152" s="841">
        <f>IFERROR(__xludf.DUMMYFUNCTION("""COMPUTED_VALUE"""),0.275)</f>
        <v>0.275</v>
      </c>
      <c r="AY152" s="836"/>
      <c r="AZ152" s="836"/>
      <c r="BA152" s="836"/>
      <c r="BB152" s="836"/>
      <c r="BC152" s="836"/>
      <c r="BD152" s="836"/>
      <c r="BE152" s="836"/>
      <c r="BF152" s="836"/>
      <c r="BG152" s="836"/>
      <c r="BH152" s="841">
        <f>IFERROR(__xludf.DUMMYFUNCTION("""COMPUTED_VALUE"""),0.516)</f>
        <v>0.516</v>
      </c>
      <c r="BI152" s="836"/>
      <c r="BJ152" s="836"/>
      <c r="BK152" s="836"/>
      <c r="BL152" s="836"/>
      <c r="BM152" s="836"/>
      <c r="BN152" s="836" t="str">
        <f>IFERROR(__xludf.DUMMYFUNCTION("""COMPUTED_VALUE"""),"Our head-to-head comparison of three combination chemotherapies showed the highest effi cacy for albendazole plus oxantel pamoate for the treatment of infection with T trichiura.")</f>
        <v>Our head-to-head comparison of three combination chemotherapies showed the highest effi cacy for albendazole plus oxantel pamoate for the treatment of infection with T trichiura.</v>
      </c>
      <c r="BO152" s="836"/>
      <c r="BP152" s="836"/>
      <c r="BQ152" s="697"/>
      <c r="BR152" s="844" t="str">
        <f>IFERROR(__xludf.DUMMYFUNCTION("""COMPUTED_VALUE"""),"Farid et al.")</f>
        <v>Farid et al.</v>
      </c>
      <c r="BS152" s="838" t="str">
        <f>IFERROR(__xludf.DUMMYFUNCTION("""COMPUTED_VALUE"""),"Egypt")</f>
        <v>Egypt</v>
      </c>
      <c r="BT152" s="838" t="str">
        <f>IFERROR(__xludf.DUMMYFUNCTION("""COMPUTED_VALUE"""),"Levamisole")</f>
        <v>Levamisole</v>
      </c>
      <c r="BU152" s="838"/>
      <c r="BV152" s="838" t="str">
        <f>IFERROR(__xludf.DUMMYFUNCTION("""COMPUTED_VALUE"""),"Single")</f>
        <v>Single</v>
      </c>
      <c r="BW152" s="838" t="str">
        <f>IFERROR(__xludf.DUMMYFUNCTION("""COMPUTED_VALUE"""),"150 mg")</f>
        <v>150 mg</v>
      </c>
      <c r="BX152" s="838">
        <f>IFERROR(__xludf.DUMMYFUNCTION("""COMPUTED_VALUE"""),20.0)</f>
        <v>20</v>
      </c>
      <c r="BY152" s="838" t="str">
        <f>IFERROR(__xludf.DUMMYFUNCTION("""COMPUTED_VALUE"""),"7-45")</f>
        <v>7-45</v>
      </c>
      <c r="BZ152" s="838">
        <f>IFERROR(__xludf.DUMMYFUNCTION("""COMPUTED_VALUE"""),1997.0)</f>
        <v>1997</v>
      </c>
      <c r="CA152" s="838" t="str">
        <f>IFERROR(__xludf.DUMMYFUNCTION("""COMPUTED_VALUE"""),"male farmers")</f>
        <v>male farmers</v>
      </c>
      <c r="CB152" s="838"/>
      <c r="CC152" s="838" t="str">
        <f>IFERROR(__xludf.DUMMYFUNCTION("""COMPUTED_VALUE"""),"No")</f>
        <v>No</v>
      </c>
      <c r="CD152" s="846">
        <f>IFERROR(__xludf.DUMMYFUNCTION("""COMPUTED_VALUE"""),1.0)</f>
        <v>1</v>
      </c>
      <c r="CE152" s="838" t="str">
        <f>IFERROR(__xludf.DUMMYFUNCTION("""COMPUTED_VALUE"""),"No")</f>
        <v>No</v>
      </c>
      <c r="CF152" s="838"/>
      <c r="CG152" s="846">
        <f>IFERROR(__xludf.DUMMYFUNCTION("""COMPUTED_VALUE"""),1.0)</f>
        <v>1</v>
      </c>
      <c r="CH152" s="838"/>
      <c r="CI152" s="838"/>
      <c r="CJ152" s="838"/>
      <c r="CK152" s="838"/>
      <c r="CL152" s="838"/>
      <c r="CM152" s="838"/>
      <c r="CN152" s="838"/>
      <c r="CO152" s="838"/>
      <c r="CP152" s="838"/>
      <c r="CQ152" s="838"/>
      <c r="CR152" s="838"/>
      <c r="CS152" s="838"/>
      <c r="CT152" s="838"/>
      <c r="CU152" s="838"/>
      <c r="CV152" s="697" t="str">
        <f>IFERROR(__xludf.DUMMYFUNCTION("""COMPUTED_VALUE"""),"Farid Z, Bassily S, Miner W F, Hassan A, Laughlin L W. (1977) Comparative Single/Dose Treatment of Hookworm and Roundworm Infections With Levamisol Pyrantel and Bephenium. US Naval Medical Research Unit No. 3 and Abbassia Fever Hospital, Ministry of Healt"&amp;"h. Web.")</f>
        <v>Farid Z, Bassily S, Miner W F, Hassan A, Laughlin L W. (1977) Comparative Single/Dose Treatment of Hookworm and Roundworm Infections With Levamisol Pyrantel and Bephenium. US Naval Medical Research Unit No. 3 and Abbassia Fever Hospital, Ministry of Health. Web.</v>
      </c>
    </row>
    <row r="153">
      <c r="A153" s="834"/>
      <c r="B153" s="834"/>
      <c r="C153" s="834"/>
      <c r="D153" s="834"/>
      <c r="E153" s="834"/>
      <c r="F153" s="834"/>
      <c r="G153" s="834"/>
      <c r="H153" s="834"/>
      <c r="I153" s="834"/>
      <c r="J153" s="834"/>
      <c r="K153" s="834"/>
      <c r="L153" s="834"/>
      <c r="M153" s="834"/>
      <c r="N153" s="834"/>
      <c r="O153" s="834"/>
      <c r="P153" s="834"/>
      <c r="Q153" s="834"/>
      <c r="R153" s="834"/>
      <c r="S153" s="834"/>
      <c r="T153" s="834"/>
      <c r="U153" s="834"/>
      <c r="V153" s="834"/>
      <c r="W153" s="834"/>
      <c r="X153" s="834"/>
      <c r="Y153" s="834"/>
      <c r="Z153" s="834"/>
      <c r="AA153" s="834"/>
      <c r="AB153" s="834"/>
      <c r="AC153" s="834"/>
      <c r="AD153" s="834"/>
      <c r="AE153" s="834"/>
      <c r="AF153" s="834"/>
      <c r="AG153" s="834"/>
      <c r="AH153" s="834"/>
      <c r="AJ153" s="843" t="str">
        <f>IFERROR(__xludf.DUMMYFUNCTION("""COMPUTED_VALUE"""),"Efficacy and safety of albendazole plus ivermectin, albendazole plus mebendazole, albendazole plus oxantel pamoate, and mebendazole alone against Trichuris trichiura and concomitant soil-transmitted helminth infections: a four-arm, randomised controlled t"&amp;"rial")</f>
        <v>Efficacy and safety of albendazole plus ivermectin, albendazole plus mebendazole, albendazole plus oxantel pamoate, and mebendazole alone against Trichuris trichiura and concomitant soil-transmitted helminth infections: a four-arm, randomised controlled trial</v>
      </c>
      <c r="AK153" s="836" t="str">
        <f>IFERROR(__xludf.DUMMYFUNCTION("""COMPUTED_VALUE"""),"Speich B, Ali SM, Ame SM, Bogoch II, Alles R, Huwyler J, Albonico M, Hattendorf J, Utzinger J, Keiser J. Efficacy and safety of albendazole plus ivermectin, albendazole plus mebendazole, albendazole plus oxantel pamoate, and mebendazole alone against Tric"&amp;"huris trichiura and concomitant soil-transmitted helminth infections: a four-arm, randomised controlled trial. Lancet Infect Dis. 2015 Mar;15(3):277-84. doi: 10.1016/S1473-3099(14)71050-3. Epub 2015 Jan 12. PMID: 25589326.")</f>
        <v>Speich B, Ali SM, Ame SM, Bogoch II, Alles R, Huwyler J, Albonico M, Hattendorf J, Utzinger J, Keiser J. Efficacy and safety of albendazole plus ivermectin, albendazole plus mebendazole, albendazole plus oxantel pamoate, and mebendazole alone against Trichuris trichiura and concomitant soil-transmitted helminth infections: a four-arm, randomised controlled trial. Lancet Infect Dis. 2015 Mar;15(3):277-84. doi: 10.1016/S1473-3099(14)71050-3. Epub 2015 Jan 12. PMID: 25589326.</v>
      </c>
      <c r="AL153" s="836" t="str">
        <f>IFERROR(__xludf.DUMMYFUNCTION("""COMPUTED_VALUE"""),"Tanzania")</f>
        <v>Tanzania</v>
      </c>
      <c r="AM153" s="836" t="str">
        <f>IFERROR(__xludf.DUMMYFUNCTION("""COMPUTED_VALUE"""),"Albendazole &amp; Mebendazole")</f>
        <v>Albendazole &amp; Mebendazole</v>
      </c>
      <c r="AN153" s="836" t="str">
        <f>IFERROR(__xludf.DUMMYFUNCTION("""COMPUTED_VALUE"""),"Single")</f>
        <v>Single</v>
      </c>
      <c r="AO153" s="836" t="str">
        <f>IFERROR(__xludf.DUMMYFUNCTION("""COMPUTED_VALUE"""),"400 mg; 500 mg")</f>
        <v>400 mg; 500 mg</v>
      </c>
      <c r="AP153" s="836">
        <f>IFERROR(__xludf.DUMMYFUNCTION("""COMPUTED_VALUE"""),110.0)</f>
        <v>110</v>
      </c>
      <c r="AQ153" s="836">
        <f>IFERROR(__xludf.DUMMYFUNCTION("""COMPUTED_VALUE"""),8.9)</f>
        <v>8.9</v>
      </c>
      <c r="AR153" s="836" t="str">
        <f>IFERROR(__xludf.DUMMYFUNCTION("""COMPUTED_VALUE"""),"57M:53F")</f>
        <v>57M:53F</v>
      </c>
      <c r="AS153" s="836">
        <f>IFERROR(__xludf.DUMMYFUNCTION("""COMPUTED_VALUE"""),2013.0)</f>
        <v>2013</v>
      </c>
      <c r="AT153" s="836" t="str">
        <f>IFERROR(__xludf.DUMMYFUNCTION("""COMPUTED_VALUE"""),"Children who tested positive for T trichiura were deemed eligible for the trial. Oral medical history and physical examinations were obtained from each child meeting the inclusion criteria.")</f>
        <v>Children who tested positive for T trichiura were deemed eligible for the trial. Oral medical history and physical examinations were obtained from each child meeting the inclusion criteria.</v>
      </c>
      <c r="AU153" s="836" t="str">
        <f>IFERROR(__xludf.DUMMYFUNCTION("""COMPUTED_VALUE"""),"Yes")</f>
        <v>Yes</v>
      </c>
      <c r="AV153" s="836" t="str">
        <f>IFERROR(__xludf.DUMMYFUNCTION("""COMPUTED_VALUE"""),"No")</f>
        <v>No</v>
      </c>
      <c r="AW153" s="836" t="str">
        <f>IFERROR(__xludf.DUMMYFUNCTION("""COMPUTED_VALUE"""),"No")</f>
        <v>No</v>
      </c>
      <c r="AX153" s="841">
        <f>IFERROR(__xludf.DUMMYFUNCTION("""COMPUTED_VALUE"""),0.084)</f>
        <v>0.084</v>
      </c>
      <c r="AY153" s="836"/>
      <c r="AZ153" s="836"/>
      <c r="BA153" s="836"/>
      <c r="BB153" s="836"/>
      <c r="BC153" s="836"/>
      <c r="BD153" s="836"/>
      <c r="BE153" s="836"/>
      <c r="BF153" s="836"/>
      <c r="BG153" s="836"/>
      <c r="BH153" s="841">
        <f>IFERROR(__xludf.DUMMYFUNCTION("""COMPUTED_VALUE"""),0.992)</f>
        <v>0.992</v>
      </c>
      <c r="BI153" s="836"/>
      <c r="BJ153" s="836"/>
      <c r="BK153" s="836"/>
      <c r="BL153" s="836"/>
      <c r="BM153" s="836"/>
      <c r="BN153" s="836" t="str">
        <f>IFERROR(__xludf.DUMMYFUNCTION("""COMPUTED_VALUE"""),"Our head-to-head comparison of three combination chemotherapies showed the highest effi cacy for albendazole plus oxantel pamoate for the treatment of infection with T trichiura.")</f>
        <v>Our head-to-head comparison of three combination chemotherapies showed the highest effi cacy for albendazole plus oxantel pamoate for the treatment of infection with T trichiura.</v>
      </c>
      <c r="BO153" s="836"/>
      <c r="BP153" s="836"/>
      <c r="BQ153" s="697"/>
      <c r="BR153" s="844" t="str">
        <f>IFERROR(__xludf.DUMMYFUNCTION("""COMPUTED_VALUE"""),"Farid et al.")</f>
        <v>Farid et al.</v>
      </c>
      <c r="BS153" s="838" t="str">
        <f>IFERROR(__xludf.DUMMYFUNCTION("""COMPUTED_VALUE"""),"Egypt")</f>
        <v>Egypt</v>
      </c>
      <c r="BT153" s="838" t="str">
        <f>IFERROR(__xludf.DUMMYFUNCTION("""COMPUTED_VALUE"""),"Pyrantel Pamoate")</f>
        <v>Pyrantel Pamoate</v>
      </c>
      <c r="BU153" s="838"/>
      <c r="BV153" s="838" t="str">
        <f>IFERROR(__xludf.DUMMYFUNCTION("""COMPUTED_VALUE"""),"Single")</f>
        <v>Single</v>
      </c>
      <c r="BW153" s="838" t="str">
        <f>IFERROR(__xludf.DUMMYFUNCTION("""COMPUTED_VALUE"""),"750 mg")</f>
        <v>750 mg</v>
      </c>
      <c r="BX153" s="838">
        <f>IFERROR(__xludf.DUMMYFUNCTION("""COMPUTED_VALUE"""),20.0)</f>
        <v>20</v>
      </c>
      <c r="BY153" s="838" t="str">
        <f>IFERROR(__xludf.DUMMYFUNCTION("""COMPUTED_VALUE"""),"7-45")</f>
        <v>7-45</v>
      </c>
      <c r="BZ153" s="838">
        <f>IFERROR(__xludf.DUMMYFUNCTION("""COMPUTED_VALUE"""),1997.0)</f>
        <v>1997</v>
      </c>
      <c r="CA153" s="838"/>
      <c r="CB153" s="838"/>
      <c r="CC153" s="838" t="str">
        <f>IFERROR(__xludf.DUMMYFUNCTION("""COMPUTED_VALUE"""),"No")</f>
        <v>No</v>
      </c>
      <c r="CD153" s="846">
        <f>IFERROR(__xludf.DUMMYFUNCTION("""COMPUTED_VALUE"""),0.9)</f>
        <v>0.9</v>
      </c>
      <c r="CE153" s="838" t="str">
        <f>IFERROR(__xludf.DUMMYFUNCTION("""COMPUTED_VALUE"""),"No")</f>
        <v>No</v>
      </c>
      <c r="CF153" s="838"/>
      <c r="CG153" s="846">
        <f>IFERROR(__xludf.DUMMYFUNCTION("""COMPUTED_VALUE"""),0.9)</f>
        <v>0.9</v>
      </c>
      <c r="CH153" s="838"/>
      <c r="CI153" s="838"/>
      <c r="CJ153" s="838"/>
      <c r="CK153" s="838"/>
      <c r="CL153" s="838"/>
      <c r="CM153" s="838"/>
      <c r="CN153" s="838"/>
      <c r="CO153" s="838"/>
      <c r="CP153" s="838"/>
      <c r="CQ153" s="838"/>
      <c r="CR153" s="838"/>
      <c r="CS153" s="838"/>
      <c r="CT153" s="838"/>
      <c r="CU153" s="838"/>
      <c r="CV153" s="697" t="str">
        <f>IFERROR(__xludf.DUMMYFUNCTION("""COMPUTED_VALUE"""),"Farid Z, Bassily S, Miner W F, Hassan A, Laughlin L W. (1977) Comparative Single/Dose Treatment of Hookworm and Roundworm Infections With Levamisol Pyrantel and Bephenium. US Naval Medical Research Unit No. 3 and Abbassia Fever Hospital, Ministry of Healt"&amp;"h. Web.")</f>
        <v>Farid Z, Bassily S, Miner W F, Hassan A, Laughlin L W. (1977) Comparative Single/Dose Treatment of Hookworm and Roundworm Infections With Levamisol Pyrantel and Bephenium. US Naval Medical Research Unit No. 3 and Abbassia Fever Hospital, Ministry of Health. Web.</v>
      </c>
    </row>
    <row r="154">
      <c r="A154" s="834"/>
      <c r="B154" s="834"/>
      <c r="C154" s="834"/>
      <c r="D154" s="834"/>
      <c r="E154" s="834"/>
      <c r="F154" s="834"/>
      <c r="G154" s="834"/>
      <c r="H154" s="834"/>
      <c r="I154" s="834"/>
      <c r="J154" s="834"/>
      <c r="K154" s="834"/>
      <c r="L154" s="834"/>
      <c r="M154" s="834"/>
      <c r="N154" s="834"/>
      <c r="O154" s="834"/>
      <c r="P154" s="834"/>
      <c r="Q154" s="834"/>
      <c r="R154" s="834"/>
      <c r="S154" s="834"/>
      <c r="T154" s="834"/>
      <c r="U154" s="834"/>
      <c r="V154" s="834"/>
      <c r="W154" s="834"/>
      <c r="X154" s="834"/>
      <c r="Y154" s="834"/>
      <c r="Z154" s="834"/>
      <c r="AA154" s="834"/>
      <c r="AB154" s="834"/>
      <c r="AC154" s="834"/>
      <c r="AD154" s="834"/>
      <c r="AE154" s="834"/>
      <c r="AF154" s="834"/>
      <c r="AG154" s="834"/>
      <c r="AH154" s="834"/>
      <c r="AJ154" s="843" t="str">
        <f>IFERROR(__xludf.DUMMYFUNCTION("""COMPUTED_VALUE"""),"Efficacy and safety of albendazole plus ivermectin, albendazole plus mebendazole, albendazole plus oxantel pamoate, and mebendazole alone against Trichuris trichiura and concomitant soil-transmitted helminth infections: a four-arm, randomised controlled t"&amp;"rial")</f>
        <v>Efficacy and safety of albendazole plus ivermectin, albendazole plus mebendazole, albendazole plus oxantel pamoate, and mebendazole alone against Trichuris trichiura and concomitant soil-transmitted helminth infections: a four-arm, randomised controlled trial</v>
      </c>
      <c r="AK154" s="836" t="str">
        <f>IFERROR(__xludf.DUMMYFUNCTION("""COMPUTED_VALUE"""),"Speich B, Ali SM, Ame SM, Bogoch II, Alles R, Huwyler J, Albonico M, Hattendorf J, Utzinger J, Keiser J. Efficacy and safety of albendazole plus ivermectin, albendazole plus mebendazole, albendazole plus oxantel pamoate, and mebendazole alone against Tric"&amp;"huris trichiura and concomitant soil-transmitted helminth infections: a four-arm, randomised controlled trial. Lancet Infect Dis. 2015 Mar;15(3):277-84. doi: 10.1016/S1473-3099(14)71050-3. Epub 2015 Jan 12. PMID: 25589326.")</f>
        <v>Speich B, Ali SM, Ame SM, Bogoch II, Alles R, Huwyler J, Albonico M, Hattendorf J, Utzinger J, Keiser J. Efficacy and safety of albendazole plus ivermectin, albendazole plus mebendazole, albendazole plus oxantel pamoate, and mebendazole alone against Trichuris trichiura and concomitant soil-transmitted helminth infections: a four-arm, randomised controlled trial. Lancet Infect Dis. 2015 Mar;15(3):277-84. doi: 10.1016/S1473-3099(14)71050-3. Epub 2015 Jan 12. PMID: 25589326.</v>
      </c>
      <c r="AL154" s="836" t="str">
        <f>IFERROR(__xludf.DUMMYFUNCTION("""COMPUTED_VALUE"""),"Tanzania")</f>
        <v>Tanzania</v>
      </c>
      <c r="AM154" s="836" t="str">
        <f>IFERROR(__xludf.DUMMYFUNCTION("""COMPUTED_VALUE"""),"Albendazole &amp; Oxantel pamoate")</f>
        <v>Albendazole &amp; Oxantel pamoate</v>
      </c>
      <c r="AN154" s="836" t="str">
        <f>IFERROR(__xludf.DUMMYFUNCTION("""COMPUTED_VALUE"""),"Single")</f>
        <v>Single</v>
      </c>
      <c r="AO154" s="836" t="str">
        <f>IFERROR(__xludf.DUMMYFUNCTION("""COMPUTED_VALUE"""),"400 mg; 20 mg/kg")</f>
        <v>400 mg; 20 mg/kg</v>
      </c>
      <c r="AP154" s="836">
        <f>IFERROR(__xludf.DUMMYFUNCTION("""COMPUTED_VALUE"""),110.0)</f>
        <v>110</v>
      </c>
      <c r="AQ154" s="836">
        <f>IFERROR(__xludf.DUMMYFUNCTION("""COMPUTED_VALUE"""),8.9)</f>
        <v>8.9</v>
      </c>
      <c r="AR154" s="836" t="str">
        <f>IFERROR(__xludf.DUMMYFUNCTION("""COMPUTED_VALUE"""),"58M:52F")</f>
        <v>58M:52F</v>
      </c>
      <c r="AS154" s="836">
        <f>IFERROR(__xludf.DUMMYFUNCTION("""COMPUTED_VALUE"""),2013.0)</f>
        <v>2013</v>
      </c>
      <c r="AT154" s="836" t="str">
        <f>IFERROR(__xludf.DUMMYFUNCTION("""COMPUTED_VALUE"""),"Children who tested positive for T trichiura were deemed eligible for the trial. Oral medical history and physical examinations were obtained from each child meeting the inclusion criteria.")</f>
        <v>Children who tested positive for T trichiura were deemed eligible for the trial. Oral medical history and physical examinations were obtained from each child meeting the inclusion criteria.</v>
      </c>
      <c r="AU154" s="836" t="str">
        <f>IFERROR(__xludf.DUMMYFUNCTION("""COMPUTED_VALUE"""),"Yes")</f>
        <v>Yes</v>
      </c>
      <c r="AV154" s="836" t="str">
        <f>IFERROR(__xludf.DUMMYFUNCTION("""COMPUTED_VALUE"""),"No")</f>
        <v>No</v>
      </c>
      <c r="AW154" s="836" t="str">
        <f>IFERROR(__xludf.DUMMYFUNCTION("""COMPUTED_VALUE"""),"No")</f>
        <v>No</v>
      </c>
      <c r="AX154" s="841">
        <f>IFERROR(__xludf.DUMMYFUNCTION("""COMPUTED_VALUE"""),0.685)</f>
        <v>0.685</v>
      </c>
      <c r="AY154" s="836"/>
      <c r="AZ154" s="836"/>
      <c r="BA154" s="836"/>
      <c r="BB154" s="836"/>
      <c r="BC154" s="836"/>
      <c r="BD154" s="836"/>
      <c r="BE154" s="836"/>
      <c r="BF154" s="836"/>
      <c r="BG154" s="836"/>
      <c r="BH154" s="841">
        <f>IFERROR(__xludf.DUMMYFUNCTION("""COMPUTED_VALUE"""),0.585)</f>
        <v>0.585</v>
      </c>
      <c r="BI154" s="836"/>
      <c r="BJ154" s="836"/>
      <c r="BK154" s="836"/>
      <c r="BL154" s="836"/>
      <c r="BM154" s="836"/>
      <c r="BN154" s="836" t="str">
        <f>IFERROR(__xludf.DUMMYFUNCTION("""COMPUTED_VALUE"""),"Our head-to-head comparison of three combination chemotherapies showed the highest effi cacy for albendazole plus oxantel pamoate for the treatment of infection with T trichiura.")</f>
        <v>Our head-to-head comparison of three combination chemotherapies showed the highest effi cacy for albendazole plus oxantel pamoate for the treatment of infection with T trichiura.</v>
      </c>
      <c r="BO154" s="836"/>
      <c r="BP154" s="836"/>
      <c r="BQ154" s="697"/>
      <c r="BR154" s="844" t="str">
        <f>IFERROR(__xludf.DUMMYFUNCTION("""COMPUTED_VALUE"""),"Farid et al.")</f>
        <v>Farid et al.</v>
      </c>
      <c r="BS154" s="838" t="str">
        <f>IFERROR(__xludf.DUMMYFUNCTION("""COMPUTED_VALUE"""),"Egypt")</f>
        <v>Egypt</v>
      </c>
      <c r="BT154" s="838" t="str">
        <f>IFERROR(__xludf.DUMMYFUNCTION("""COMPUTED_VALUE"""),"Bephenium")</f>
        <v>Bephenium</v>
      </c>
      <c r="BU154" s="838"/>
      <c r="BV154" s="838" t="str">
        <f>IFERROR(__xludf.DUMMYFUNCTION("""COMPUTED_VALUE"""),"Single")</f>
        <v>Single</v>
      </c>
      <c r="BW154" s="838" t="str">
        <f>IFERROR(__xludf.DUMMYFUNCTION("""COMPUTED_VALUE"""),"5 gm")</f>
        <v>5 gm</v>
      </c>
      <c r="BX154" s="838">
        <f>IFERROR(__xludf.DUMMYFUNCTION("""COMPUTED_VALUE"""),15.0)</f>
        <v>15</v>
      </c>
      <c r="BY154" s="838" t="str">
        <f>IFERROR(__xludf.DUMMYFUNCTION("""COMPUTED_VALUE"""),"7-45")</f>
        <v>7-45</v>
      </c>
      <c r="BZ154" s="838">
        <f>IFERROR(__xludf.DUMMYFUNCTION("""COMPUTED_VALUE"""),1997.0)</f>
        <v>1997</v>
      </c>
      <c r="CA154" s="838"/>
      <c r="CB154" s="838"/>
      <c r="CC154" s="838" t="str">
        <f>IFERROR(__xludf.DUMMYFUNCTION("""COMPUTED_VALUE"""),"No")</f>
        <v>No</v>
      </c>
      <c r="CD154" s="846">
        <f>IFERROR(__xludf.DUMMYFUNCTION("""COMPUTED_VALUE"""),0.73)</f>
        <v>0.73</v>
      </c>
      <c r="CE154" s="838" t="str">
        <f>IFERROR(__xludf.DUMMYFUNCTION("""COMPUTED_VALUE"""),"No")</f>
        <v>No</v>
      </c>
      <c r="CF154" s="838"/>
      <c r="CG154" s="846">
        <f>IFERROR(__xludf.DUMMYFUNCTION("""COMPUTED_VALUE"""),0.73)</f>
        <v>0.73</v>
      </c>
      <c r="CH154" s="838"/>
      <c r="CI154" s="838"/>
      <c r="CJ154" s="838"/>
      <c r="CK154" s="838"/>
      <c r="CL154" s="838"/>
      <c r="CM154" s="838"/>
      <c r="CN154" s="838"/>
      <c r="CO154" s="838"/>
      <c r="CP154" s="838"/>
      <c r="CQ154" s="838"/>
      <c r="CR154" s="838"/>
      <c r="CS154" s="838"/>
      <c r="CT154" s="838"/>
      <c r="CU154" s="838"/>
      <c r="CV154" s="697" t="str">
        <f>IFERROR(__xludf.DUMMYFUNCTION("""COMPUTED_VALUE"""),"Farid Z, Bassily S, Miner W F, Hassan A, Laughlin L W. (1977) Comparative Single/Dose Treatment of Hookworm and Roundworm Infections With Levamisol Pyrantel and Bephenium. US Naval Medical Research Unit No. 3 and Abbassia Fever Hospital, Ministry of Healt"&amp;"h. Web.")</f>
        <v>Farid Z, Bassily S, Miner W F, Hassan A, Laughlin L W. (1977) Comparative Single/Dose Treatment of Hookworm and Roundworm Infections With Levamisol Pyrantel and Bephenium. US Naval Medical Research Unit No. 3 and Abbassia Fever Hospital, Ministry of Health. Web.</v>
      </c>
    </row>
    <row r="155">
      <c r="A155" s="834"/>
      <c r="B155" s="834"/>
      <c r="C155" s="834"/>
      <c r="D155" s="834"/>
      <c r="E155" s="834"/>
      <c r="F155" s="834"/>
      <c r="G155" s="834"/>
      <c r="H155" s="834"/>
      <c r="I155" s="834"/>
      <c r="J155" s="834"/>
      <c r="K155" s="834"/>
      <c r="L155" s="834"/>
      <c r="M155" s="834"/>
      <c r="N155" s="834"/>
      <c r="O155" s="834"/>
      <c r="P155" s="834"/>
      <c r="Q155" s="834"/>
      <c r="R155" s="834"/>
      <c r="S155" s="834"/>
      <c r="T155" s="834"/>
      <c r="U155" s="834"/>
      <c r="V155" s="834"/>
      <c r="W155" s="834"/>
      <c r="X155" s="834"/>
      <c r="Y155" s="834"/>
      <c r="Z155" s="834"/>
      <c r="AA155" s="834"/>
      <c r="AB155" s="834"/>
      <c r="AC155" s="834"/>
      <c r="AD155" s="834"/>
      <c r="AE155" s="834"/>
      <c r="AF155" s="834"/>
      <c r="AG155" s="834"/>
      <c r="AH155" s="834"/>
      <c r="AJ155" s="843" t="str">
        <f>IFERROR(__xludf.DUMMYFUNCTION("""COMPUTED_VALUE"""),"Efficacy and safety of albendazole plus ivermectin, albendazole plus mebendazole, albendazole plus oxantel pamoate, and mebendazole alone against Trichuris trichiura and concomitant soil-transmitted helminth infections: a four-arm, randomised controlled t"&amp;"rial")</f>
        <v>Efficacy and safety of albendazole plus ivermectin, albendazole plus mebendazole, albendazole plus oxantel pamoate, and mebendazole alone against Trichuris trichiura and concomitant soil-transmitted helminth infections: a four-arm, randomised controlled trial</v>
      </c>
      <c r="AK155" s="836" t="str">
        <f>IFERROR(__xludf.DUMMYFUNCTION("""COMPUTED_VALUE"""),"Speich B, Ali SM, Ame SM, Bogoch II, Alles R, Huwyler J, Albonico M, Hattendorf J, Utzinger J, Keiser J. Efficacy and safety of albendazole plus ivermectin, albendazole plus mebendazole, albendazole plus oxantel pamoate, and mebendazole alone against Tric"&amp;"huris trichiura and concomitant soil-transmitted helminth infections: a four-arm, randomised controlled trial. Lancet Infect Dis. 2015 Mar;15(3):277-84. doi: 10.1016/S1473-3099(14)71050-3. Epub 2015 Jan 12. PMID: 25589326.")</f>
        <v>Speich B, Ali SM, Ame SM, Bogoch II, Alles R, Huwyler J, Albonico M, Hattendorf J, Utzinger J, Keiser J. Efficacy and safety of albendazole plus ivermectin, albendazole plus mebendazole, albendazole plus oxantel pamoate, and mebendazole alone against Trichuris trichiura and concomitant soil-transmitted helminth infections: a four-arm, randomised controlled trial. Lancet Infect Dis. 2015 Mar;15(3):277-84. doi: 10.1016/S1473-3099(14)71050-3. Epub 2015 Jan 12. PMID: 25589326.</v>
      </c>
      <c r="AL155" s="836" t="str">
        <f>IFERROR(__xludf.DUMMYFUNCTION("""COMPUTED_VALUE"""),"Tanzania")</f>
        <v>Tanzania</v>
      </c>
      <c r="AM155" s="836" t="str">
        <f>IFERROR(__xludf.DUMMYFUNCTION("""COMPUTED_VALUE"""),"Mebendazole")</f>
        <v>Mebendazole</v>
      </c>
      <c r="AN155" s="836" t="str">
        <f>IFERROR(__xludf.DUMMYFUNCTION("""COMPUTED_VALUE"""),"Single")</f>
        <v>Single</v>
      </c>
      <c r="AO155" s="836" t="str">
        <f>IFERROR(__xludf.DUMMYFUNCTION("""COMPUTED_VALUE"""),"500 mg")</f>
        <v>500 mg</v>
      </c>
      <c r="AP155" s="836">
        <f>IFERROR(__xludf.DUMMYFUNCTION("""COMPUTED_VALUE"""),110.0)</f>
        <v>110</v>
      </c>
      <c r="AQ155" s="836">
        <f>IFERROR(__xludf.DUMMYFUNCTION("""COMPUTED_VALUE"""),8.8)</f>
        <v>8.8</v>
      </c>
      <c r="AR155" s="836" t="str">
        <f>IFERROR(__xludf.DUMMYFUNCTION("""COMPUTED_VALUE"""),"55M:55F")</f>
        <v>55M:55F</v>
      </c>
      <c r="AS155" s="836">
        <f>IFERROR(__xludf.DUMMYFUNCTION("""COMPUTED_VALUE"""),2013.0)</f>
        <v>2013</v>
      </c>
      <c r="AT155" s="836" t="str">
        <f>IFERROR(__xludf.DUMMYFUNCTION("""COMPUTED_VALUE"""),"Children who tested positive for T trichiura were deemed eligible for the trial. Oral medical history and physical examinations were obtained from each child meeting the inclusion criteria.")</f>
        <v>Children who tested positive for T trichiura were deemed eligible for the trial. Oral medical history and physical examinations were obtained from each child meeting the inclusion criteria.</v>
      </c>
      <c r="AU155" s="836" t="str">
        <f>IFERROR(__xludf.DUMMYFUNCTION("""COMPUTED_VALUE"""),"Yes")</f>
        <v>Yes</v>
      </c>
      <c r="AV155" s="836" t="str">
        <f>IFERROR(__xludf.DUMMYFUNCTION("""COMPUTED_VALUE"""),"No")</f>
        <v>No</v>
      </c>
      <c r="AW155" s="836" t="str">
        <f>IFERROR(__xludf.DUMMYFUNCTION("""COMPUTED_VALUE"""),"No")</f>
        <v>No</v>
      </c>
      <c r="AX155" s="841">
        <f>IFERROR(__xludf.DUMMYFUNCTION("""COMPUTED_VALUE"""),0.084)</f>
        <v>0.084</v>
      </c>
      <c r="AY155" s="836"/>
      <c r="AZ155" s="836"/>
      <c r="BA155" s="836"/>
      <c r="BB155" s="836"/>
      <c r="BC155" s="836"/>
      <c r="BD155" s="836"/>
      <c r="BE155" s="836"/>
      <c r="BF155" s="836"/>
      <c r="BG155" s="836"/>
      <c r="BH155" s="841">
        <f>IFERROR(__xludf.DUMMYFUNCTION("""COMPUTED_VALUE"""),0.634)</f>
        <v>0.634</v>
      </c>
      <c r="BI155" s="836"/>
      <c r="BJ155" s="836"/>
      <c r="BK155" s="836"/>
      <c r="BL155" s="836"/>
      <c r="BM155" s="836"/>
      <c r="BN155" s="836" t="str">
        <f>IFERROR(__xludf.DUMMYFUNCTION("""COMPUTED_VALUE"""),"Our head-to-head comparison of three combination chemotherapies showed the highest effi cacy for albendazole plus oxantel pamoate for the treatment of infection with T trichiura.")</f>
        <v>Our head-to-head comparison of three combination chemotherapies showed the highest effi cacy for albendazole plus oxantel pamoate for the treatment of infection with T trichiura.</v>
      </c>
      <c r="BO155" s="836"/>
      <c r="BP155" s="836"/>
      <c r="BQ155" s="697"/>
      <c r="BR155" s="844" t="str">
        <f>IFERROR(__xludf.DUMMYFUNCTION("""COMPUTED_VALUE"""),"Kurup et al.")</f>
        <v>Kurup et al.</v>
      </c>
      <c r="BS155" s="838" t="str">
        <f>IFERROR(__xludf.DUMMYFUNCTION("""COMPUTED_VALUE"""),"Saint Lucia")</f>
        <v>Saint Lucia</v>
      </c>
      <c r="BT155" s="838" t="str">
        <f>IFERROR(__xludf.DUMMYFUNCTION("""COMPUTED_VALUE"""),"Albendazole &amp; Praziquental")</f>
        <v>Albendazole &amp; Praziquental</v>
      </c>
      <c r="BU155" s="838"/>
      <c r="BV155" s="838" t="str">
        <f>IFERROR(__xludf.DUMMYFUNCTION("""COMPUTED_VALUE"""),"Single")</f>
        <v>Single</v>
      </c>
      <c r="BW155" s="838" t="str">
        <f>IFERROR(__xludf.DUMMYFUNCTION("""COMPUTED_VALUE"""),"400 mg; 40 mg")</f>
        <v>400 mg; 40 mg</v>
      </c>
      <c r="BX155" s="838">
        <f>IFERROR(__xludf.DUMMYFUNCTION("""COMPUTED_VALUE"""),97.0)</f>
        <v>97</v>
      </c>
      <c r="BY155" s="845">
        <f>IFERROR(__xludf.DUMMYFUNCTION("""COMPUTED_VALUE"""),42448.0)</f>
        <v>42448</v>
      </c>
      <c r="BZ155" s="838">
        <f>IFERROR(__xludf.DUMMYFUNCTION("""COMPUTED_VALUE"""),2006.0)</f>
        <v>2006</v>
      </c>
      <c r="CA155" s="838" t="str">
        <f>IFERROR(__xludf.DUMMYFUNCTION("""COMPUTED_VALUE"""),"31 males; 66 females")</f>
        <v>31 males; 66 females</v>
      </c>
      <c r="CB155" s="838"/>
      <c r="CC155" s="838" t="str">
        <f>IFERROR(__xludf.DUMMYFUNCTION("""COMPUTED_VALUE"""),"No")</f>
        <v>No</v>
      </c>
      <c r="CD155" s="847">
        <f>IFERROR(__xludf.DUMMYFUNCTION("""COMPUTED_VALUE"""),0.969)</f>
        <v>0.969</v>
      </c>
      <c r="CE155" s="838" t="str">
        <f>IFERROR(__xludf.DUMMYFUNCTION("""COMPUTED_VALUE"""),"No")</f>
        <v>No</v>
      </c>
      <c r="CF155" s="838"/>
      <c r="CG155" s="838"/>
      <c r="CH155" s="838"/>
      <c r="CI155" s="838"/>
      <c r="CJ155" s="838"/>
      <c r="CK155" s="838"/>
      <c r="CL155" s="847">
        <f>IFERROR(__xludf.DUMMYFUNCTION("""COMPUTED_VALUE"""),0.969)</f>
        <v>0.969</v>
      </c>
      <c r="CM155" s="838"/>
      <c r="CN155" s="838"/>
      <c r="CO155" s="838"/>
      <c r="CP155" s="838"/>
      <c r="CQ155" s="846">
        <f>IFERROR(__xludf.DUMMYFUNCTION("""COMPUTED_VALUE"""),0.96)</f>
        <v>0.96</v>
      </c>
      <c r="CR155" s="838"/>
      <c r="CS155" s="838"/>
      <c r="CT155" s="838"/>
      <c r="CU155" s="838"/>
      <c r="CV155" s="697" t="str">
        <f>IFERROR(__xludf.DUMMYFUNCTION("""COMPUTED_VALUE"""),"Kurup, Rajini; Hunjan, Gurdip (2010) Epidemiology and control of Schistosomiasis and other intestinal
parasitic infections among school children in three rural villages of south Saint Lucia.Web.")</f>
        <v>Kurup, Rajini; Hunjan, Gurdip (2010) Epidemiology and control of Schistosomiasis and other intestinal
parasitic infections among school children in three rural villages of south Saint Lucia.Web.</v>
      </c>
    </row>
    <row r="156">
      <c r="A156" s="834"/>
      <c r="B156" s="834"/>
      <c r="C156" s="834"/>
      <c r="D156" s="834"/>
      <c r="E156" s="834"/>
      <c r="F156" s="834"/>
      <c r="G156" s="834"/>
      <c r="H156" s="834"/>
      <c r="I156" s="834"/>
      <c r="J156" s="834"/>
      <c r="K156" s="834"/>
      <c r="L156" s="834"/>
      <c r="M156" s="834"/>
      <c r="N156" s="834"/>
      <c r="O156" s="834"/>
      <c r="P156" s="834"/>
      <c r="Q156" s="834"/>
      <c r="R156" s="834"/>
      <c r="S156" s="834"/>
      <c r="T156" s="834"/>
      <c r="U156" s="834"/>
      <c r="V156" s="834"/>
      <c r="W156" s="834"/>
      <c r="X156" s="834"/>
      <c r="Y156" s="834"/>
      <c r="Z156" s="834"/>
      <c r="AA156" s="834"/>
      <c r="AB156" s="834"/>
      <c r="AC156" s="834"/>
      <c r="AD156" s="834"/>
      <c r="AE156" s="834"/>
      <c r="AF156" s="834"/>
      <c r="AG156" s="834"/>
      <c r="AH156" s="834"/>
      <c r="AJ156" s="843" t="str">
        <f>IFERROR(__xludf.DUMMYFUNCTION("""COMPUTED_VALUE"""),"Efficacy and Safety of Ivermectin Against Trichuris trichiura in Preschool-aged and School-aged Children: A Randomized Controlled Dose-finding Trial")</f>
        <v>Efficacy and Safety of Ivermectin Against Trichuris trichiura in Preschool-aged and School-aged Children: A Randomized Controlled Dose-finding Trial</v>
      </c>
      <c r="AK156" s="836" t="str">
        <f>IFERROR(__xludf.DUMMYFUNCTION("""COMPUTED_VALUE"""),"Wimmersberger D, Coulibaly JT, Schulz JD, Puchkow M, Huwyler J, N'Gbesso Y, Hattendorf J, Keiser J. Efficacy and Safety of Ivermectin Against Trichuris trichiura in Preschool-aged and School-aged Children: A Randomized Controlled Dose-finding Trial. Clin "&amp;"Infect Dis. 2018 Sep 28;67(8):1247-1255. doi: 10.1093/cid/ciy246. PMID: 29617737.")</f>
        <v>Wimmersberger D, Coulibaly JT, Schulz JD, Puchkow M, Huwyler J, N'Gbesso Y, Hattendorf J, Keiser J. Efficacy and Safety of Ivermectin Against Trichuris trichiura in Preschool-aged and School-aged Children: A Randomized Controlled Dose-finding Trial. Clin Infect Dis. 2018 Sep 28;67(8):1247-1255. doi: 10.1093/cid/ciy246. PMID: 29617737.</v>
      </c>
      <c r="AL156" s="836" t="str">
        <f>IFERROR(__xludf.DUMMYFUNCTION("""COMPUTED_VALUE"""),"Côte d’Ivoire")</f>
        <v>Côte d’Ivoire</v>
      </c>
      <c r="AM156" s="836" t="str">
        <f>IFERROR(__xludf.DUMMYFUNCTION("""COMPUTED_VALUE"""),"Ivermectin")</f>
        <v>Ivermectin</v>
      </c>
      <c r="AN156" s="836" t="str">
        <f>IFERROR(__xludf.DUMMYFUNCTION("""COMPUTED_VALUE"""),"Single")</f>
        <v>Single</v>
      </c>
      <c r="AO156" s="836" t="str">
        <f>IFERROR(__xludf.DUMMYFUNCTION("""COMPUTED_VALUE"""),"100 µg/kg")</f>
        <v>100 µg/kg</v>
      </c>
      <c r="AP156" s="836">
        <f>IFERROR(__xludf.DUMMYFUNCTION("""COMPUTED_VALUE"""),44.0)</f>
        <v>44</v>
      </c>
      <c r="AQ156" s="836">
        <f>IFERROR(__xludf.DUMMYFUNCTION("""COMPUTED_VALUE"""),4.0)</f>
        <v>4</v>
      </c>
      <c r="AR156" s="836" t="str">
        <f>IFERROR(__xludf.DUMMYFUNCTION("""COMPUTED_VALUE"""),"21M:23F")</f>
        <v>21M:23F</v>
      </c>
      <c r="AS156" s="836">
        <f>IFERROR(__xludf.DUMMYFUNCTION("""COMPUTED_VALUE"""),2017.0)</f>
        <v>2017</v>
      </c>
      <c r="AT156" s="836" t="str">
        <f>IFERROR(__xludf.DUMMYFUNCTION("""COMPUTED_VALUE"""),"Children 2–12 years of age who were T. trichiura positive were considered eligible for the trial. To avoid high CRs in the placebo arms [25], only children with T. trichiura infection intensities of &gt;60 eggs per gram of stool (EPG) in PSAC and 100 EPG in "&amp;"SAC were included.")</f>
        <v>Children 2–12 years of age who were T. trichiura positive were considered eligible for the trial. To avoid high CRs in the placebo arms [25], only children with T. trichiura infection intensities of &gt;60 eggs per gram of stool (EPG) in PSAC and 100 EPG in SAC were included.</v>
      </c>
      <c r="AU156" s="836" t="str">
        <f>IFERROR(__xludf.DUMMYFUNCTION("""COMPUTED_VALUE"""),"Yes")</f>
        <v>Yes</v>
      </c>
      <c r="AV156" s="836" t="str">
        <f>IFERROR(__xludf.DUMMYFUNCTION("""COMPUTED_VALUE"""),"Yes")</f>
        <v>Yes</v>
      </c>
      <c r="AW156" s="836" t="str">
        <f>IFERROR(__xludf.DUMMYFUNCTION("""COMPUTED_VALUE"""),"Single-blind")</f>
        <v>Single-blind</v>
      </c>
      <c r="AX156" s="841">
        <f>IFERROR(__xludf.DUMMYFUNCTION("""COMPUTED_VALUE"""),0.119)</f>
        <v>0.119</v>
      </c>
      <c r="AY156" s="836"/>
      <c r="AZ156" s="836"/>
      <c r="BA156" s="836"/>
      <c r="BB156" s="836"/>
      <c r="BC156" s="836"/>
      <c r="BD156" s="836"/>
      <c r="BE156" s="836"/>
      <c r="BF156" s="836"/>
      <c r="BG156" s="836"/>
      <c r="BH156" s="841">
        <f>IFERROR(__xludf.DUMMYFUNCTION("""COMPUTED_VALUE"""),0.786)</f>
        <v>0.786</v>
      </c>
      <c r="BI156" s="836"/>
      <c r="BJ156" s="836"/>
      <c r="BK156" s="836"/>
      <c r="BL156" s="836"/>
      <c r="BM156" s="836"/>
      <c r="BN156" s="836" t="str">
        <f>IFERROR(__xludf.DUMMYFUNCTION("""COMPUTED_VALUE"""),"Ivermectin can be administered safely to PSAC with trichuriasis. Given the low efficacy of ivermectin monotherapy against T. trichiura infection, further research should investigate the optimal drug combinations and dosages with ivermectin against soil-tr"&amp;"ansmitted helminthiasis.")</f>
        <v>Ivermectin can be administered safely to PSAC with trichuriasis. Given the low efficacy of ivermectin monotherapy against T. trichiura infection, further research should investigate the optimal drug combinations and dosages with ivermectin against soil-transmitted helminthiasis.</v>
      </c>
      <c r="BO156" s="836" t="str">
        <f>IFERROR(__xludf.DUMMYFUNCTION("""COMPUTED_VALUE"""),"Kato-Katz technique")</f>
        <v>Kato-Katz technique</v>
      </c>
      <c r="BP156" s="836"/>
      <c r="BQ156" s="697"/>
      <c r="BR156" s="844" t="str">
        <f>IFERROR(__xludf.DUMMYFUNCTION("""COMPUTED_VALUE"""),"Mani et al. ")</f>
        <v>Mani et al. </v>
      </c>
      <c r="BS156" s="838" t="str">
        <f>IFERROR(__xludf.DUMMYFUNCTION("""COMPUTED_VALUE"""),"India")</f>
        <v>India</v>
      </c>
      <c r="BT156" s="838" t="str">
        <f>IFERROR(__xludf.DUMMYFUNCTION("""COMPUTED_VALUE"""),"Albendazole &amp; Diethylcarbamazine")</f>
        <v>Albendazole &amp; Diethylcarbamazine</v>
      </c>
      <c r="BU156" s="838"/>
      <c r="BV156" s="838" t="str">
        <f>IFERROR(__xludf.DUMMYFUNCTION("""COMPUTED_VALUE"""),"Single")</f>
        <v>Single</v>
      </c>
      <c r="BW156" s="838" t="str">
        <f>IFERROR(__xludf.DUMMYFUNCTION("""COMPUTED_VALUE"""),"600 mg; 6 mg")</f>
        <v>600 mg; 6 mg</v>
      </c>
      <c r="BX156" s="838">
        <f>IFERROR(__xludf.DUMMYFUNCTION("""COMPUTED_VALUE"""),321.0)</f>
        <v>321</v>
      </c>
      <c r="BY156" s="838" t="str">
        <f>IFERROR(__xludf.DUMMYFUNCTION("""COMPUTED_VALUE"""),"0-15")</f>
        <v>0-15</v>
      </c>
      <c r="BZ156" s="838">
        <f>IFERROR(__xludf.DUMMYFUNCTION("""COMPUTED_VALUE"""),2001.0)</f>
        <v>2001</v>
      </c>
      <c r="CA156" s="838"/>
      <c r="CB156" s="838"/>
      <c r="CC156" s="838" t="str">
        <f>IFERROR(__xludf.DUMMYFUNCTION("""COMPUTED_VALUE"""),"No")</f>
        <v>No</v>
      </c>
      <c r="CD156" s="847">
        <f>IFERROR(__xludf.DUMMYFUNCTION("""COMPUTED_VALUE"""),0.7425)</f>
        <v>0.7425</v>
      </c>
      <c r="CE156" s="838" t="str">
        <f>IFERROR(__xludf.DUMMYFUNCTION("""COMPUTED_VALUE"""),"No")</f>
        <v>No</v>
      </c>
      <c r="CF156" s="838"/>
      <c r="CG156" s="838"/>
      <c r="CH156" s="838"/>
      <c r="CI156" s="838"/>
      <c r="CJ156" s="838"/>
      <c r="CK156" s="838"/>
      <c r="CL156" s="838"/>
      <c r="CM156" s="847">
        <f>IFERROR(__xludf.DUMMYFUNCTION("""COMPUTED_VALUE"""),0.9655)</f>
        <v>0.9655</v>
      </c>
      <c r="CN156" s="838"/>
      <c r="CO156" s="838"/>
      <c r="CP156" s="838"/>
      <c r="CQ156" s="838"/>
      <c r="CR156" s="838"/>
      <c r="CS156" s="838"/>
      <c r="CT156" s="838"/>
      <c r="CU156" s="838" t="str">
        <f>IFERROR(__xludf.DUMMYFUNCTION("""COMPUTED_VALUE"""),"x")</f>
        <v>x</v>
      </c>
      <c r="CV156" s="697" t="str">
        <f>IFERROR(__xludf.DUMMYFUNCTION("""COMPUTED_VALUE"""),"Mani; Rajendran;Munirathinam; Sunish; Abdullah;Augustin;Satyanarayana. (2001) Efficacy of co-administration of albendazole and diethylcarbamazine against geohelminthiases: a study from South India.")</f>
        <v>Mani; Rajendran;Munirathinam; Sunish; Abdullah;Augustin;Satyanarayana. (2001) Efficacy of co-administration of albendazole and diethylcarbamazine against geohelminthiases: a study from South India.</v>
      </c>
    </row>
    <row r="157">
      <c r="A157" s="834"/>
      <c r="B157" s="834"/>
      <c r="C157" s="834"/>
      <c r="D157" s="834"/>
      <c r="E157" s="834"/>
      <c r="F157" s="834"/>
      <c r="G157" s="834"/>
      <c r="H157" s="834"/>
      <c r="I157" s="834"/>
      <c r="J157" s="834"/>
      <c r="K157" s="834"/>
      <c r="L157" s="834"/>
      <c r="M157" s="834"/>
      <c r="N157" s="834"/>
      <c r="O157" s="834"/>
      <c r="P157" s="834"/>
      <c r="Q157" s="834"/>
      <c r="R157" s="834"/>
      <c r="S157" s="834"/>
      <c r="T157" s="834"/>
      <c r="U157" s="834"/>
      <c r="V157" s="834"/>
      <c r="W157" s="834"/>
      <c r="X157" s="834"/>
      <c r="Y157" s="834"/>
      <c r="Z157" s="834"/>
      <c r="AA157" s="834"/>
      <c r="AB157" s="834"/>
      <c r="AC157" s="834"/>
      <c r="AD157" s="834"/>
      <c r="AE157" s="834"/>
      <c r="AF157" s="834"/>
      <c r="AG157" s="834"/>
      <c r="AH157" s="834"/>
      <c r="AJ157" s="843" t="str">
        <f>IFERROR(__xludf.DUMMYFUNCTION("""COMPUTED_VALUE"""),"Efficacy and Safety of Ivermectin Against Trichuris trichiura in Preschool-aged and School-aged Children: A Randomized Controlled Dose-finding Trial")</f>
        <v>Efficacy and Safety of Ivermectin Against Trichuris trichiura in Preschool-aged and School-aged Children: A Randomized Controlled Dose-finding Trial</v>
      </c>
      <c r="AK157" s="836" t="str">
        <f>IFERROR(__xludf.DUMMYFUNCTION("""COMPUTED_VALUE"""),"Wimmersberger D, Coulibaly JT, Schulz JD, Puchkow M, Huwyler J, N'Gbesso Y, Hattendorf J, Keiser J. Efficacy and Safety of Ivermectin Against Trichuris trichiura in Preschool-aged and School-aged Children: A Randomized Controlled Dose-finding Trial. Clin "&amp;"Infect Dis. 2018 Sep 28;67(8):1247-1255. doi: 10.1093/cid/ciy246. PMID: 29617737.")</f>
        <v>Wimmersberger D, Coulibaly JT, Schulz JD, Puchkow M, Huwyler J, N'Gbesso Y, Hattendorf J, Keiser J. Efficacy and Safety of Ivermectin Against Trichuris trichiura in Preschool-aged and School-aged Children: A Randomized Controlled Dose-finding Trial. Clin Infect Dis. 2018 Sep 28;67(8):1247-1255. doi: 10.1093/cid/ciy246. PMID: 29617737.</v>
      </c>
      <c r="AL157" s="836" t="str">
        <f>IFERROR(__xludf.DUMMYFUNCTION("""COMPUTED_VALUE"""),"Côte d’Ivoire")</f>
        <v>Côte d’Ivoire</v>
      </c>
      <c r="AM157" s="836" t="str">
        <f>IFERROR(__xludf.DUMMYFUNCTION("""COMPUTED_VALUE"""),"Ivermectin")</f>
        <v>Ivermectin</v>
      </c>
      <c r="AN157" s="836" t="str">
        <f>IFERROR(__xludf.DUMMYFUNCTION("""COMPUTED_VALUE"""),"Single")</f>
        <v>Single</v>
      </c>
      <c r="AO157" s="836" t="str">
        <f>IFERROR(__xludf.DUMMYFUNCTION("""COMPUTED_VALUE"""),"200 µg/kg")</f>
        <v>200 µg/kg</v>
      </c>
      <c r="AP157" s="836">
        <f>IFERROR(__xludf.DUMMYFUNCTION("""COMPUTED_VALUE"""),45.0)</f>
        <v>45</v>
      </c>
      <c r="AQ157" s="836">
        <f>IFERROR(__xludf.DUMMYFUNCTION("""COMPUTED_VALUE"""),3.7)</f>
        <v>3.7</v>
      </c>
      <c r="AR157" s="836" t="str">
        <f>IFERROR(__xludf.DUMMYFUNCTION("""COMPUTED_VALUE"""),"24M:21F")</f>
        <v>24M:21F</v>
      </c>
      <c r="AS157" s="836">
        <f>IFERROR(__xludf.DUMMYFUNCTION("""COMPUTED_VALUE"""),2017.0)</f>
        <v>2017</v>
      </c>
      <c r="AT157" s="836" t="str">
        <f>IFERROR(__xludf.DUMMYFUNCTION("""COMPUTED_VALUE"""),"Children 2–12 years of age who were T. trichiura positive were considered eligible for the trial. To avoid high CRs in the placebo arms [25], only children with T. trichiura infection intensities of &gt;60 eggs per gram of stool (EPG) in PSAC and 100 EPG in "&amp;"SAC were included.")</f>
        <v>Children 2–12 years of age who were T. trichiura positive were considered eligible for the trial. To avoid high CRs in the placebo arms [25], only children with T. trichiura infection intensities of &gt;60 eggs per gram of stool (EPG) in PSAC and 100 EPG in SAC were included.</v>
      </c>
      <c r="AU157" s="836" t="str">
        <f>IFERROR(__xludf.DUMMYFUNCTION("""COMPUTED_VALUE"""),"Yes")</f>
        <v>Yes</v>
      </c>
      <c r="AV157" s="836" t="str">
        <f>IFERROR(__xludf.DUMMYFUNCTION("""COMPUTED_VALUE"""),"Yes")</f>
        <v>Yes</v>
      </c>
      <c r="AW157" s="836" t="str">
        <f>IFERROR(__xludf.DUMMYFUNCTION("""COMPUTED_VALUE"""),"Single-blind")</f>
        <v>Single-blind</v>
      </c>
      <c r="AX157" s="841">
        <f>IFERROR(__xludf.DUMMYFUNCTION("""COMPUTED_VALUE"""),0.209)</f>
        <v>0.209</v>
      </c>
      <c r="AY157" s="836"/>
      <c r="AZ157" s="836"/>
      <c r="BA157" s="836"/>
      <c r="BB157" s="836"/>
      <c r="BC157" s="836"/>
      <c r="BD157" s="836"/>
      <c r="BE157" s="836"/>
      <c r="BF157" s="836"/>
      <c r="BG157" s="836"/>
      <c r="BH157" s="841">
        <f>IFERROR(__xludf.DUMMYFUNCTION("""COMPUTED_VALUE"""),0.542)</f>
        <v>0.542</v>
      </c>
      <c r="BI157" s="836"/>
      <c r="BJ157" s="836"/>
      <c r="BK157" s="836"/>
      <c r="BL157" s="836"/>
      <c r="BM157" s="836"/>
      <c r="BN157" s="836" t="str">
        <f>IFERROR(__xludf.DUMMYFUNCTION("""COMPUTED_VALUE"""),"Ivermectin can be administered safely to PSAC with trichuriasis. Given the low efficacy of ivermectin monotherapy against T. trichiura infection, further research should investigate the optimal drug combinations and dosages with ivermectin against soil-tr"&amp;"ansmitted helminthiasis.")</f>
        <v>Ivermectin can be administered safely to PSAC with trichuriasis. Given the low efficacy of ivermectin monotherapy against T. trichiura infection, further research should investigate the optimal drug combinations and dosages with ivermectin against soil-transmitted helminthiasis.</v>
      </c>
      <c r="BO157" s="836" t="str">
        <f>IFERROR(__xludf.DUMMYFUNCTION("""COMPUTED_VALUE"""),"Kato-Katz technique")</f>
        <v>Kato-Katz technique</v>
      </c>
      <c r="BP157" s="836"/>
      <c r="BQ157" s="697"/>
      <c r="BR157" s="844" t="str">
        <f>IFERROR(__xludf.DUMMYFUNCTION("""COMPUTED_VALUE"""),"Mani et al. ")</f>
        <v>Mani et al. </v>
      </c>
      <c r="BS157" s="838" t="str">
        <f>IFERROR(__xludf.DUMMYFUNCTION("""COMPUTED_VALUE"""),"India")</f>
        <v>India</v>
      </c>
      <c r="BT157" s="838" t="str">
        <f>IFERROR(__xludf.DUMMYFUNCTION("""COMPUTED_VALUE"""),"Diethylcarbamazine")</f>
        <v>Diethylcarbamazine</v>
      </c>
      <c r="BU157" s="838"/>
      <c r="BV157" s="838" t="str">
        <f>IFERROR(__xludf.DUMMYFUNCTION("""COMPUTED_VALUE"""),"Single")</f>
        <v>Single</v>
      </c>
      <c r="BW157" s="838" t="str">
        <f>IFERROR(__xludf.DUMMYFUNCTION("""COMPUTED_VALUE"""),"6 mg")</f>
        <v>6 mg</v>
      </c>
      <c r="BX157" s="838"/>
      <c r="BY157" s="838" t="str">
        <f>IFERROR(__xludf.DUMMYFUNCTION("""COMPUTED_VALUE"""),"0-15")</f>
        <v>0-15</v>
      </c>
      <c r="BZ157" s="838">
        <f>IFERROR(__xludf.DUMMYFUNCTION("""COMPUTED_VALUE"""),2001.0)</f>
        <v>2001</v>
      </c>
      <c r="CA157" s="838"/>
      <c r="CB157" s="838"/>
      <c r="CC157" s="838" t="str">
        <f>IFERROR(__xludf.DUMMYFUNCTION("""COMPUTED_VALUE"""),"No")</f>
        <v>No</v>
      </c>
      <c r="CD157" s="847">
        <f>IFERROR(__xludf.DUMMYFUNCTION("""COMPUTED_VALUE"""),0.308)</f>
        <v>0.308</v>
      </c>
      <c r="CE157" s="838" t="str">
        <f>IFERROR(__xludf.DUMMYFUNCTION("""COMPUTED_VALUE"""),"No")</f>
        <v>No</v>
      </c>
      <c r="CF157" s="838"/>
      <c r="CG157" s="838"/>
      <c r="CH157" s="838"/>
      <c r="CI157" s="838"/>
      <c r="CJ157" s="838"/>
      <c r="CK157" s="838"/>
      <c r="CL157" s="838"/>
      <c r="CM157" s="847">
        <f>IFERROR(__xludf.DUMMYFUNCTION("""COMPUTED_VALUE"""),0.7664)</f>
        <v>0.7664</v>
      </c>
      <c r="CN157" s="838"/>
      <c r="CO157" s="838"/>
      <c r="CP157" s="838"/>
      <c r="CQ157" s="838"/>
      <c r="CR157" s="838"/>
      <c r="CS157" s="838"/>
      <c r="CT157" s="838"/>
      <c r="CU157" s="838" t="str">
        <f>IFERROR(__xludf.DUMMYFUNCTION("""COMPUTED_VALUE"""),"x")</f>
        <v>x</v>
      </c>
      <c r="CV157" s="697" t="str">
        <f>IFERROR(__xludf.DUMMYFUNCTION("""COMPUTED_VALUE"""),"Mani; Rajendran;Munirathinam; Sunish; Abdullah;Augustin;Satyanarayana. (2001) Efficacy of co-administration of albendazole and diethylcarbamazine against geohelminthiases: a study from South India.")</f>
        <v>Mani; Rajendran;Munirathinam; Sunish; Abdullah;Augustin;Satyanarayana. (2001) Efficacy of co-administration of albendazole and diethylcarbamazine against geohelminthiases: a study from South India.</v>
      </c>
    </row>
    <row r="158">
      <c r="A158" s="834"/>
      <c r="B158" s="834"/>
      <c r="C158" s="834"/>
      <c r="D158" s="834"/>
      <c r="E158" s="834"/>
      <c r="F158" s="834"/>
      <c r="G158" s="834"/>
      <c r="H158" s="834"/>
      <c r="I158" s="834"/>
      <c r="J158" s="834"/>
      <c r="K158" s="834"/>
      <c r="L158" s="834"/>
      <c r="M158" s="834"/>
      <c r="N158" s="834"/>
      <c r="O158" s="834"/>
      <c r="P158" s="834"/>
      <c r="Q158" s="834"/>
      <c r="R158" s="834"/>
      <c r="S158" s="834"/>
      <c r="T158" s="834"/>
      <c r="U158" s="834"/>
      <c r="V158" s="834"/>
      <c r="W158" s="834"/>
      <c r="X158" s="834"/>
      <c r="Y158" s="834"/>
      <c r="Z158" s="834"/>
      <c r="AA158" s="834"/>
      <c r="AB158" s="834"/>
      <c r="AC158" s="834"/>
      <c r="AD158" s="834"/>
      <c r="AE158" s="834"/>
      <c r="AF158" s="834"/>
      <c r="AG158" s="834"/>
      <c r="AH158" s="834"/>
      <c r="AJ158" s="843" t="str">
        <f>IFERROR(__xludf.DUMMYFUNCTION("""COMPUTED_VALUE"""),"Efficacy and Safety of Ivermectin Against Trichuris trichiura in Preschool-aged and School-aged Children: A Randomized Controlled Dose-finding Trial")</f>
        <v>Efficacy and Safety of Ivermectin Against Trichuris trichiura in Preschool-aged and School-aged Children: A Randomized Controlled Dose-finding Trial</v>
      </c>
      <c r="AK158" s="836" t="str">
        <f>IFERROR(__xludf.DUMMYFUNCTION("""COMPUTED_VALUE"""),"Wimmersberger D, Coulibaly JT, Schulz JD, Puchkow M, Huwyler J, N'Gbesso Y, Hattendorf J, Keiser J. Efficacy and Safety of Ivermectin Against Trichuris trichiura in Preschool-aged and School-aged Children: A Randomized Controlled Dose-finding Trial. Clin "&amp;"Infect Dis. 2018 Sep 28;67(8):1247-1255. doi: 10.1093/cid/ciy246. PMID: 29617737.")</f>
        <v>Wimmersberger D, Coulibaly JT, Schulz JD, Puchkow M, Huwyler J, N'Gbesso Y, Hattendorf J, Keiser J. Efficacy and Safety of Ivermectin Against Trichuris trichiura in Preschool-aged and School-aged Children: A Randomized Controlled Dose-finding Trial. Clin Infect Dis. 2018 Sep 28;67(8):1247-1255. doi: 10.1093/cid/ciy246. PMID: 29617737.</v>
      </c>
      <c r="AL158" s="836" t="str">
        <f>IFERROR(__xludf.DUMMYFUNCTION("""COMPUTED_VALUE"""),"Côte d’Ivoire")</f>
        <v>Côte d’Ivoire</v>
      </c>
      <c r="AM158" s="836" t="str">
        <f>IFERROR(__xludf.DUMMYFUNCTION("""COMPUTED_VALUE"""),"Ivermectin")</f>
        <v>Ivermectin</v>
      </c>
      <c r="AN158" s="836" t="str">
        <f>IFERROR(__xludf.DUMMYFUNCTION("""COMPUTED_VALUE"""),"Single")</f>
        <v>Single</v>
      </c>
      <c r="AO158" s="836" t="str">
        <f>IFERROR(__xludf.DUMMYFUNCTION("""COMPUTED_VALUE"""),"200 µg/kg")</f>
        <v>200 µg/kg</v>
      </c>
      <c r="AP158" s="836">
        <f>IFERROR(__xludf.DUMMYFUNCTION("""COMPUTED_VALUE"""),43.0)</f>
        <v>43</v>
      </c>
      <c r="AQ158" s="836">
        <f>IFERROR(__xludf.DUMMYFUNCTION("""COMPUTED_VALUE"""),8.5)</f>
        <v>8.5</v>
      </c>
      <c r="AR158" s="836" t="str">
        <f>IFERROR(__xludf.DUMMYFUNCTION("""COMPUTED_VALUE"""),"28M:15F")</f>
        <v>28M:15F</v>
      </c>
      <c r="AS158" s="836">
        <f>IFERROR(__xludf.DUMMYFUNCTION("""COMPUTED_VALUE"""),2017.0)</f>
        <v>2017</v>
      </c>
      <c r="AT158" s="836" t="str">
        <f>IFERROR(__xludf.DUMMYFUNCTION("""COMPUTED_VALUE"""),"Children 2–12 years of age who were T. trichiura positive were considered eligible for the trial. To avoid high CRs in the placebo arms [25], only children with T. trichiura infection intensities of &gt;60 eggs per gram of stool (EPG) in PSAC and 100 EPG in "&amp;"SAC were included.")</f>
        <v>Children 2–12 years of age who were T. trichiura positive were considered eligible for the trial. To avoid high CRs in the placebo arms [25], only children with T. trichiura infection intensities of &gt;60 eggs per gram of stool (EPG) in PSAC and 100 EPG in SAC were included.</v>
      </c>
      <c r="AU158" s="836" t="str">
        <f>IFERROR(__xludf.DUMMYFUNCTION("""COMPUTED_VALUE"""),"Yes")</f>
        <v>Yes</v>
      </c>
      <c r="AV158" s="836" t="str">
        <f>IFERROR(__xludf.DUMMYFUNCTION("""COMPUTED_VALUE"""),"Yes")</f>
        <v>Yes</v>
      </c>
      <c r="AW158" s="836" t="str">
        <f>IFERROR(__xludf.DUMMYFUNCTION("""COMPUTED_VALUE"""),"Single-blind")</f>
        <v>Single-blind</v>
      </c>
      <c r="AX158" s="841">
        <f>IFERROR(__xludf.DUMMYFUNCTION("""COMPUTED_VALUE"""),0.024)</f>
        <v>0.024</v>
      </c>
      <c r="AY158" s="836"/>
      <c r="AZ158" s="836"/>
      <c r="BA158" s="836"/>
      <c r="BB158" s="836"/>
      <c r="BC158" s="836"/>
      <c r="BD158" s="836"/>
      <c r="BE158" s="836"/>
      <c r="BF158" s="836"/>
      <c r="BG158" s="836"/>
      <c r="BH158" s="841">
        <f>IFERROR(__xludf.DUMMYFUNCTION("""COMPUTED_VALUE"""),0.476)</f>
        <v>0.476</v>
      </c>
      <c r="BI158" s="836"/>
      <c r="BJ158" s="836"/>
      <c r="BK158" s="836"/>
      <c r="BL158" s="836"/>
      <c r="BM158" s="836"/>
      <c r="BN158" s="836" t="str">
        <f>IFERROR(__xludf.DUMMYFUNCTION("""COMPUTED_VALUE"""),"Ivermectin can be administered safely to PSAC with trichuriasis. Given the low efficacy of ivermectin monotherapy against T. trichiura infection, further research should investigate the optimal drug combinations and dosages with ivermectin against soil-tr"&amp;"ansmitted helminthiasis.")</f>
        <v>Ivermectin can be administered safely to PSAC with trichuriasis. Given the low efficacy of ivermectin monotherapy against T. trichiura infection, further research should investigate the optimal drug combinations and dosages with ivermectin against soil-transmitted helminthiasis.</v>
      </c>
      <c r="BO158" s="836" t="str">
        <f>IFERROR(__xludf.DUMMYFUNCTION("""COMPUTED_VALUE"""),"Kato-Katz technique")</f>
        <v>Kato-Katz technique</v>
      </c>
      <c r="BP158" s="836"/>
      <c r="BQ158" s="697"/>
      <c r="BR158" s="844" t="str">
        <f>IFERROR(__xludf.DUMMYFUNCTION("""COMPUTED_VALUE"""),"Muchiri et al.")</f>
        <v>Muchiri et al.</v>
      </c>
      <c r="BS158" s="838" t="str">
        <f>IFERROR(__xludf.DUMMYFUNCTION("""COMPUTED_VALUE"""),"Kenya")</f>
        <v>Kenya</v>
      </c>
      <c r="BT158" s="838" t="str">
        <f>IFERROR(__xludf.DUMMYFUNCTION("""COMPUTED_VALUE"""),"Albendazole")</f>
        <v>Albendazole</v>
      </c>
      <c r="BU158" s="838"/>
      <c r="BV158" s="838" t="str">
        <f>IFERROR(__xludf.DUMMYFUNCTION("""COMPUTED_VALUE"""),"Single")</f>
        <v>Single</v>
      </c>
      <c r="BW158" s="838" t="str">
        <f>IFERROR(__xludf.DUMMYFUNCTION("""COMPUTED_VALUE"""),"600 mg")</f>
        <v>600 mg</v>
      </c>
      <c r="BX158" s="838">
        <f>IFERROR(__xludf.DUMMYFUNCTION("""COMPUTED_VALUE"""),139.0)</f>
        <v>139</v>
      </c>
      <c r="BY158" s="845">
        <f>IFERROR(__xludf.DUMMYFUNCTION("""COMPUTED_VALUE"""),42479.0)</f>
        <v>42479</v>
      </c>
      <c r="BZ158" s="838">
        <f>IFERROR(__xludf.DUMMYFUNCTION("""COMPUTED_VALUE"""),1997.0)</f>
        <v>1997</v>
      </c>
      <c r="CA158" s="838"/>
      <c r="CB158" s="838"/>
      <c r="CC158" s="838" t="str">
        <f>IFERROR(__xludf.DUMMYFUNCTION("""COMPUTED_VALUE"""),"Yes")</f>
        <v>Yes</v>
      </c>
      <c r="CD158" s="847">
        <f>IFERROR(__xludf.DUMMYFUNCTION("""COMPUTED_VALUE"""),0.758)</f>
        <v>0.758</v>
      </c>
      <c r="CE158" s="838" t="str">
        <f>IFERROR(__xludf.DUMMYFUNCTION("""COMPUTED_VALUE"""),"No")</f>
        <v>No</v>
      </c>
      <c r="CF158" s="838"/>
      <c r="CG158" s="838"/>
      <c r="CH158" s="847">
        <f>IFERROR(__xludf.DUMMYFUNCTION("""COMPUTED_VALUE"""),0.909)</f>
        <v>0.909</v>
      </c>
      <c r="CI158" s="838"/>
      <c r="CJ158" s="838"/>
      <c r="CK158" s="838"/>
      <c r="CL158" s="838"/>
      <c r="CM158" s="847">
        <f>IFERROR(__xludf.DUMMYFUNCTION("""COMPUTED_VALUE"""),0.996)</f>
        <v>0.996</v>
      </c>
      <c r="CN158" s="838"/>
      <c r="CO158" s="838"/>
      <c r="CP158" s="838"/>
      <c r="CQ158" s="838"/>
      <c r="CR158" s="838"/>
      <c r="CS158" s="838"/>
      <c r="CT158" s="838" t="str">
        <f>IFERROR(__xludf.DUMMYFUNCTION("""COMPUTED_VALUE"""),"Kato-Katz Method")</f>
        <v>Kato-Katz Method</v>
      </c>
      <c r="CU158" s="838"/>
      <c r="CV158" s="697" t="str">
        <f>IFERROR(__xludf.DUMMYFUNCTION("""COMPUTED_VALUE"""),"Muchiri, Eric M., Thiongo'o, Fredrick W. , Magnussen, Pascal, Ouma, John H. (1996-97) A COMPARATIVE STUDY OF DIFFERENT ALBENDAZOLE ANDMEBENDAZOLE REGIMENS FOR THE TREATMENT OF INTESTINALINFECTIONS IN SCHOOL CHILDREN OF USIGU DIVISION, WESTERN KENYA. DOI: "&amp;"http://dx.doi.org/10.1645/0022-3395(2001)087[0413:ACSODA]2.0.CO;2")</f>
        <v>Muchiri, Eric M., Thiongo'o, Fredrick W. , Magnussen, Pascal, Ouma, John H. (1996-97) A COMPARATIVE STUDY OF DIFFERENT ALBENDAZOLE ANDMEBENDAZOLE REGIMENS FOR THE TREATMENT OF INTESTINALINFECTIONS IN SCHOOL CHILDREN OF USIGU DIVISION, WESTERN KENYA. DOI: http://dx.doi.org/10.1645/0022-3395(2001)087[0413:ACSODA]2.0.CO;2</v>
      </c>
    </row>
    <row r="159">
      <c r="A159" s="834"/>
      <c r="B159" s="834"/>
      <c r="C159" s="834"/>
      <c r="D159" s="834"/>
      <c r="E159" s="834"/>
      <c r="F159" s="834"/>
      <c r="G159" s="834"/>
      <c r="H159" s="834"/>
      <c r="I159" s="834"/>
      <c r="J159" s="834"/>
      <c r="K159" s="834"/>
      <c r="L159" s="834"/>
      <c r="M159" s="834"/>
      <c r="N159" s="834"/>
      <c r="O159" s="834"/>
      <c r="P159" s="834"/>
      <c r="Q159" s="834"/>
      <c r="R159" s="834"/>
      <c r="S159" s="834"/>
      <c r="T159" s="834"/>
      <c r="U159" s="834"/>
      <c r="V159" s="834"/>
      <c r="W159" s="834"/>
      <c r="X159" s="834"/>
      <c r="Y159" s="834"/>
      <c r="Z159" s="834"/>
      <c r="AA159" s="834"/>
      <c r="AB159" s="834"/>
      <c r="AC159" s="834"/>
      <c r="AD159" s="834"/>
      <c r="AE159" s="834"/>
      <c r="AF159" s="834"/>
      <c r="AG159" s="834"/>
      <c r="AH159" s="834"/>
      <c r="AJ159" s="843" t="str">
        <f>IFERROR(__xludf.DUMMYFUNCTION("""COMPUTED_VALUE"""),"Efficacy and Safety of Ivermectin Against Trichuris trichiura in Preschool-aged and School-aged Children: A Randomized Controlled Dose-finding Trial")</f>
        <v>Efficacy and Safety of Ivermectin Against Trichuris trichiura in Preschool-aged and School-aged Children: A Randomized Controlled Dose-finding Trial</v>
      </c>
      <c r="AK159" s="836" t="str">
        <f>IFERROR(__xludf.DUMMYFUNCTION("""COMPUTED_VALUE"""),"Wimmersberger D, Coulibaly JT, Schulz JD, Puchkow M, Huwyler J, N'Gbesso Y, Hattendorf J, Keiser J. Efficacy and Safety of Ivermectin Against Trichuris trichiura in Preschool-aged and School-aged Children: A Randomized Controlled Dose-finding Trial. Clin "&amp;"Infect Dis. 2018 Sep 28;67(8):1247-1255. doi: 10.1093/cid/ciy246. PMID: 29617737.")</f>
        <v>Wimmersberger D, Coulibaly JT, Schulz JD, Puchkow M, Huwyler J, N'Gbesso Y, Hattendorf J, Keiser J. Efficacy and Safety of Ivermectin Against Trichuris trichiura in Preschool-aged and School-aged Children: A Randomized Controlled Dose-finding Trial. Clin Infect Dis. 2018 Sep 28;67(8):1247-1255. doi: 10.1093/cid/ciy246. PMID: 29617737.</v>
      </c>
      <c r="AL159" s="836" t="str">
        <f>IFERROR(__xludf.DUMMYFUNCTION("""COMPUTED_VALUE"""),"Côte d’Ivoire")</f>
        <v>Côte d’Ivoire</v>
      </c>
      <c r="AM159" s="836" t="str">
        <f>IFERROR(__xludf.DUMMYFUNCTION("""COMPUTED_VALUE"""),"Ivermectin")</f>
        <v>Ivermectin</v>
      </c>
      <c r="AN159" s="836" t="str">
        <f>IFERROR(__xludf.DUMMYFUNCTION("""COMPUTED_VALUE"""),"Single")</f>
        <v>Single</v>
      </c>
      <c r="AO159" s="836" t="str">
        <f>IFERROR(__xludf.DUMMYFUNCTION("""COMPUTED_VALUE"""),"400 µg/kg")</f>
        <v>400 µg/kg</v>
      </c>
      <c r="AP159" s="836">
        <f>IFERROR(__xludf.DUMMYFUNCTION("""COMPUTED_VALUE"""),43.0)</f>
        <v>43</v>
      </c>
      <c r="AQ159" s="836">
        <f>IFERROR(__xludf.DUMMYFUNCTION("""COMPUTED_VALUE"""),8.4)</f>
        <v>8.4</v>
      </c>
      <c r="AR159" s="836" t="str">
        <f>IFERROR(__xludf.DUMMYFUNCTION("""COMPUTED_VALUE"""),"23M:20F")</f>
        <v>23M:20F</v>
      </c>
      <c r="AS159" s="836">
        <f>IFERROR(__xludf.DUMMYFUNCTION("""COMPUTED_VALUE"""),2017.0)</f>
        <v>2017</v>
      </c>
      <c r="AT159" s="836" t="str">
        <f>IFERROR(__xludf.DUMMYFUNCTION("""COMPUTED_VALUE"""),"Children 2–12 years of age who were T. trichiura positive were considered eligible for the trial. To avoid high CRs in the placebo arms [25], only children with T. trichiura infection intensities of &gt;60 eggs per gram of stool (EPG) in PSAC and 100 EPG in "&amp;"SAC were included.")</f>
        <v>Children 2–12 years of age who were T. trichiura positive were considered eligible for the trial. To avoid high CRs in the placebo arms [25], only children with T. trichiura infection intensities of &gt;60 eggs per gram of stool (EPG) in PSAC and 100 EPG in SAC were included.</v>
      </c>
      <c r="AU159" s="836" t="str">
        <f>IFERROR(__xludf.DUMMYFUNCTION("""COMPUTED_VALUE"""),"Yes")</f>
        <v>Yes</v>
      </c>
      <c r="AV159" s="836" t="str">
        <f>IFERROR(__xludf.DUMMYFUNCTION("""COMPUTED_VALUE"""),"Yes")</f>
        <v>Yes</v>
      </c>
      <c r="AW159" s="836" t="str">
        <f>IFERROR(__xludf.DUMMYFUNCTION("""COMPUTED_VALUE"""),"Single-blind")</f>
        <v>Single-blind</v>
      </c>
      <c r="AX159" s="841">
        <f>IFERROR(__xludf.DUMMYFUNCTION("""COMPUTED_VALUE"""),0.024)</f>
        <v>0.024</v>
      </c>
      <c r="AY159" s="836"/>
      <c r="AZ159" s="836"/>
      <c r="BA159" s="836"/>
      <c r="BB159" s="836"/>
      <c r="BC159" s="836"/>
      <c r="BD159" s="836"/>
      <c r="BE159" s="836"/>
      <c r="BF159" s="836"/>
      <c r="BG159" s="836"/>
      <c r="BH159" s="841">
        <f>IFERROR(__xludf.DUMMYFUNCTION("""COMPUTED_VALUE"""),0.663)</f>
        <v>0.663</v>
      </c>
      <c r="BI159" s="836"/>
      <c r="BJ159" s="836"/>
      <c r="BK159" s="836"/>
      <c r="BL159" s="836"/>
      <c r="BM159" s="836"/>
      <c r="BN159" s="836" t="str">
        <f>IFERROR(__xludf.DUMMYFUNCTION("""COMPUTED_VALUE"""),"Ivermectin can be administered safely to PSAC with trichuriasis. Given the low efficacy of ivermectin monotherapy against T. trichiura infection, further research should investigate the optimal drug combinations and dosages with ivermectin against soil-tr"&amp;"ansmitted helminthiasis.")</f>
        <v>Ivermectin can be administered safely to PSAC with trichuriasis. Given the low efficacy of ivermectin monotherapy against T. trichiura infection, further research should investigate the optimal drug combinations and dosages with ivermectin against soil-transmitted helminthiasis.</v>
      </c>
      <c r="BO159" s="836" t="str">
        <f>IFERROR(__xludf.DUMMYFUNCTION("""COMPUTED_VALUE"""),"Kato-Katz technique")</f>
        <v>Kato-Katz technique</v>
      </c>
      <c r="BP159" s="836"/>
      <c r="BQ159" s="697"/>
      <c r="BR159" s="844" t="str">
        <f>IFERROR(__xludf.DUMMYFUNCTION("""COMPUTED_VALUE"""),"Muchiri et al.")</f>
        <v>Muchiri et al.</v>
      </c>
      <c r="BS159" s="838" t="str">
        <f>IFERROR(__xludf.DUMMYFUNCTION("""COMPUTED_VALUE"""),"Kenya")</f>
        <v>Kenya</v>
      </c>
      <c r="BT159" s="838" t="str">
        <f>IFERROR(__xludf.DUMMYFUNCTION("""COMPUTED_VALUE"""),"Mebendazole")</f>
        <v>Mebendazole</v>
      </c>
      <c r="BU159" s="838"/>
      <c r="BV159" s="838" t="str">
        <f>IFERROR(__xludf.DUMMYFUNCTION("""COMPUTED_VALUE"""),"Two")</f>
        <v>Two</v>
      </c>
      <c r="BW159" s="838" t="str">
        <f>IFERROR(__xludf.DUMMYFUNCTION("""COMPUTED_VALUE"""),"600 mg")</f>
        <v>600 mg</v>
      </c>
      <c r="BX159" s="838">
        <f>IFERROR(__xludf.DUMMYFUNCTION("""COMPUTED_VALUE"""),197.0)</f>
        <v>197</v>
      </c>
      <c r="BY159" s="845">
        <f>IFERROR(__xludf.DUMMYFUNCTION("""COMPUTED_VALUE"""),42479.0)</f>
        <v>42479</v>
      </c>
      <c r="BZ159" s="838">
        <f>IFERROR(__xludf.DUMMYFUNCTION("""COMPUTED_VALUE"""),1997.0)</f>
        <v>1997</v>
      </c>
      <c r="CA159" s="838"/>
      <c r="CB159" s="838"/>
      <c r="CC159" s="838" t="str">
        <f>IFERROR(__xludf.DUMMYFUNCTION("""COMPUTED_VALUE"""),"Yes")</f>
        <v>Yes</v>
      </c>
      <c r="CD159" s="847">
        <f>IFERROR(__xludf.DUMMYFUNCTION("""COMPUTED_VALUE"""),0.754)</f>
        <v>0.754</v>
      </c>
      <c r="CE159" s="838" t="str">
        <f>IFERROR(__xludf.DUMMYFUNCTION("""COMPUTED_VALUE"""),"No")</f>
        <v>No</v>
      </c>
      <c r="CF159" s="838"/>
      <c r="CG159" s="838"/>
      <c r="CH159" s="847">
        <f>IFERROR(__xludf.DUMMYFUNCTION("""COMPUTED_VALUE"""),0.912)</f>
        <v>0.912</v>
      </c>
      <c r="CI159" s="838"/>
      <c r="CJ159" s="838"/>
      <c r="CK159" s="838"/>
      <c r="CL159" s="838"/>
      <c r="CM159" s="847">
        <f>IFERROR(__xludf.DUMMYFUNCTION("""COMPUTED_VALUE"""),0.994)</f>
        <v>0.994</v>
      </c>
      <c r="CN159" s="838"/>
      <c r="CO159" s="838"/>
      <c r="CP159" s="838"/>
      <c r="CQ159" s="838"/>
      <c r="CR159" s="838"/>
      <c r="CS159" s="838"/>
      <c r="CT159" s="838"/>
      <c r="CU159" s="838"/>
      <c r="CV159" s="697" t="str">
        <f>IFERROR(__xludf.DUMMYFUNCTION("""COMPUTED_VALUE"""),"Muchiri, Eric M., Thiongo'o, Fredrick W. , Magnussen, Pascal, Ouma, John H. (1996-97) A COMPARATIVE STUDY OF DIFFERENT ALBENDAZOLE ANDMEBENDAZOLE REGIMENS FOR THE TREATMENT OF INTESTINALINFECTIONS IN SCHOOL CHILDREN OF USIGU DIVISION, WESTERN KENYA. DOI: "&amp;"http://dx.doi.org/10.1645/0022-3395(2001)087[0413:ACSODA]2.0.CO;3")</f>
        <v>Muchiri, Eric M., Thiongo'o, Fredrick W. , Magnussen, Pascal, Ouma, John H. (1996-97) A COMPARATIVE STUDY OF DIFFERENT ALBENDAZOLE ANDMEBENDAZOLE REGIMENS FOR THE TREATMENT OF INTESTINALINFECTIONS IN SCHOOL CHILDREN OF USIGU DIVISION, WESTERN KENYA. DOI: http://dx.doi.org/10.1645/0022-3395(2001)087[0413:ACSODA]2.0.CO;3</v>
      </c>
    </row>
    <row r="160">
      <c r="A160" s="834"/>
      <c r="B160" s="834"/>
      <c r="C160" s="834"/>
      <c r="D160" s="834"/>
      <c r="E160" s="834"/>
      <c r="F160" s="834"/>
      <c r="G160" s="834"/>
      <c r="H160" s="834"/>
      <c r="I160" s="834"/>
      <c r="J160" s="834"/>
      <c r="K160" s="834"/>
      <c r="L160" s="834"/>
      <c r="M160" s="834"/>
      <c r="N160" s="834"/>
      <c r="O160" s="834"/>
      <c r="P160" s="834"/>
      <c r="Q160" s="834"/>
      <c r="R160" s="834"/>
      <c r="S160" s="834"/>
      <c r="T160" s="834"/>
      <c r="U160" s="834"/>
      <c r="V160" s="834"/>
      <c r="W160" s="834"/>
      <c r="X160" s="834"/>
      <c r="Y160" s="834"/>
      <c r="Z160" s="834"/>
      <c r="AA160" s="834"/>
      <c r="AB160" s="834"/>
      <c r="AC160" s="834"/>
      <c r="AD160" s="834"/>
      <c r="AE160" s="834"/>
      <c r="AF160" s="834"/>
      <c r="AG160" s="834"/>
      <c r="AH160" s="834"/>
      <c r="AJ160" s="843" t="str">
        <f>IFERROR(__xludf.DUMMYFUNCTION("""COMPUTED_VALUE"""),"Efficacy and Safety of Ivermectin Against Trichuris trichiura in Preschool-aged and School-aged Children: A Randomized Controlled Dose-finding Trial")</f>
        <v>Efficacy and Safety of Ivermectin Against Trichuris trichiura in Preschool-aged and School-aged Children: A Randomized Controlled Dose-finding Trial</v>
      </c>
      <c r="AK160" s="836" t="str">
        <f>IFERROR(__xludf.DUMMYFUNCTION("""COMPUTED_VALUE"""),"Wimmersberger D, Coulibaly JT, Schulz JD, Puchkow M, Huwyler J, N'Gbesso Y, Hattendorf J, Keiser J. Efficacy and Safety of Ivermectin Against Trichuris trichiura in Preschool-aged and School-aged Children: A Randomized Controlled Dose-finding Trial. Clin "&amp;"Infect Dis. 2018 Sep 28;67(8):1247-1255. doi: 10.1093/cid/ciy246. PMID: 29617737.")</f>
        <v>Wimmersberger D, Coulibaly JT, Schulz JD, Puchkow M, Huwyler J, N'Gbesso Y, Hattendorf J, Keiser J. Efficacy and Safety of Ivermectin Against Trichuris trichiura in Preschool-aged and School-aged Children: A Randomized Controlled Dose-finding Trial. Clin Infect Dis. 2018 Sep 28;67(8):1247-1255. doi: 10.1093/cid/ciy246. PMID: 29617737.</v>
      </c>
      <c r="AL160" s="836" t="str">
        <f>IFERROR(__xludf.DUMMYFUNCTION("""COMPUTED_VALUE"""),"Côte d’Ivoire")</f>
        <v>Côte d’Ivoire</v>
      </c>
      <c r="AM160" s="836" t="str">
        <f>IFERROR(__xludf.DUMMYFUNCTION("""COMPUTED_VALUE"""),"Ivermectin")</f>
        <v>Ivermectin</v>
      </c>
      <c r="AN160" s="836" t="str">
        <f>IFERROR(__xludf.DUMMYFUNCTION("""COMPUTED_VALUE"""),"Single")</f>
        <v>Single</v>
      </c>
      <c r="AO160" s="836" t="str">
        <f>IFERROR(__xludf.DUMMYFUNCTION("""COMPUTED_VALUE"""),"600 µg/kg")</f>
        <v>600 µg/kg</v>
      </c>
      <c r="AP160" s="836">
        <f>IFERROR(__xludf.DUMMYFUNCTION("""COMPUTED_VALUE"""),42.0)</f>
        <v>42</v>
      </c>
      <c r="AQ160" s="836">
        <f>IFERROR(__xludf.DUMMYFUNCTION("""COMPUTED_VALUE"""),8.4)</f>
        <v>8.4</v>
      </c>
      <c r="AR160" s="836" t="str">
        <f>IFERROR(__xludf.DUMMYFUNCTION("""COMPUTED_VALUE"""),"24M:18F")</f>
        <v>24M:18F</v>
      </c>
      <c r="AS160" s="836">
        <f>IFERROR(__xludf.DUMMYFUNCTION("""COMPUTED_VALUE"""),2017.0)</f>
        <v>2017</v>
      </c>
      <c r="AT160" s="836" t="str">
        <f>IFERROR(__xludf.DUMMYFUNCTION("""COMPUTED_VALUE"""),"Children 2–12 years of age who were T. trichiura positive were considered eligible for the trial. To avoid high CRs in the placebo arms [25], only children with T. trichiura infection intensities of &gt;60 eggs per gram of stool (EPG) in PSAC and 100 EPG in "&amp;"SAC were included.")</f>
        <v>Children 2–12 years of age who were T. trichiura positive were considered eligible for the trial. To avoid high CRs in the placebo arms [25], only children with T. trichiura infection intensities of &gt;60 eggs per gram of stool (EPG) in PSAC and 100 EPG in SAC were included.</v>
      </c>
      <c r="AU160" s="836" t="str">
        <f>IFERROR(__xludf.DUMMYFUNCTION("""COMPUTED_VALUE"""),"Yes")</f>
        <v>Yes</v>
      </c>
      <c r="AV160" s="836" t="str">
        <f>IFERROR(__xludf.DUMMYFUNCTION("""COMPUTED_VALUE"""),"Yes")</f>
        <v>Yes</v>
      </c>
      <c r="AW160" s="836" t="str">
        <f>IFERROR(__xludf.DUMMYFUNCTION("""COMPUTED_VALUE"""),"Single-blind")</f>
        <v>Single-blind</v>
      </c>
      <c r="AX160" s="841">
        <f>IFERROR(__xludf.DUMMYFUNCTION("""COMPUTED_VALUE"""),0.122)</f>
        <v>0.122</v>
      </c>
      <c r="AY160" s="836"/>
      <c r="AZ160" s="836"/>
      <c r="BA160" s="836"/>
      <c r="BB160" s="836"/>
      <c r="BC160" s="836"/>
      <c r="BD160" s="836"/>
      <c r="BE160" s="836"/>
      <c r="BF160" s="836"/>
      <c r="BG160" s="836"/>
      <c r="BH160" s="841">
        <f>IFERROR(__xludf.DUMMYFUNCTION("""COMPUTED_VALUE"""),0.717)</f>
        <v>0.717</v>
      </c>
      <c r="BI160" s="836"/>
      <c r="BJ160" s="836"/>
      <c r="BK160" s="836"/>
      <c r="BL160" s="836"/>
      <c r="BM160" s="836"/>
      <c r="BN160" s="836" t="str">
        <f>IFERROR(__xludf.DUMMYFUNCTION("""COMPUTED_VALUE"""),"Ivermectin can be administered safely to PSAC with trichuriasis. Given the low efficacy of ivermectin monotherapy against T. trichiura infection, further research should investigate the optimal drug combinations and dosages with ivermectin against soil-tr"&amp;"ansmitted helminthiasis.")</f>
        <v>Ivermectin can be administered safely to PSAC with trichuriasis. Given the low efficacy of ivermectin monotherapy against T. trichiura infection, further research should investigate the optimal drug combinations and dosages with ivermectin against soil-transmitted helminthiasis.</v>
      </c>
      <c r="BO160" s="836" t="str">
        <f>IFERROR(__xludf.DUMMYFUNCTION("""COMPUTED_VALUE"""),"Kato-Katz technique")</f>
        <v>Kato-Katz technique</v>
      </c>
      <c r="BP160" s="836"/>
      <c r="BQ160" s="697"/>
      <c r="BR160" s="844" t="str">
        <f>IFERROR(__xludf.DUMMYFUNCTION("""COMPUTED_VALUE"""),"Muchiri et al.")</f>
        <v>Muchiri et al.</v>
      </c>
      <c r="BS160" s="838" t="str">
        <f>IFERROR(__xludf.DUMMYFUNCTION("""COMPUTED_VALUE"""),"Kenya")</f>
        <v>Kenya</v>
      </c>
      <c r="BT160" s="838" t="str">
        <f>IFERROR(__xludf.DUMMYFUNCTION("""COMPUTED_VALUE"""),"Mebendazole")</f>
        <v>Mebendazole</v>
      </c>
      <c r="BU160" s="838"/>
      <c r="BV160" s="838" t="str">
        <f>IFERROR(__xludf.DUMMYFUNCTION("""COMPUTED_VALUE"""),"Three")</f>
        <v>Three</v>
      </c>
      <c r="BW160" s="838" t="str">
        <f>IFERROR(__xludf.DUMMYFUNCTION("""COMPUTED_VALUE"""),"600 mg")</f>
        <v>600 mg</v>
      </c>
      <c r="BX160" s="838">
        <f>IFERROR(__xludf.DUMMYFUNCTION("""COMPUTED_VALUE"""),161.0)</f>
        <v>161</v>
      </c>
      <c r="BY160" s="845">
        <f>IFERROR(__xludf.DUMMYFUNCTION("""COMPUTED_VALUE"""),42479.0)</f>
        <v>42479</v>
      </c>
      <c r="BZ160" s="838">
        <f>IFERROR(__xludf.DUMMYFUNCTION("""COMPUTED_VALUE"""),1997.0)</f>
        <v>1997</v>
      </c>
      <c r="CA160" s="838"/>
      <c r="CB160" s="838"/>
      <c r="CC160" s="838" t="str">
        <f>IFERROR(__xludf.DUMMYFUNCTION("""COMPUTED_VALUE"""),"Yes")</f>
        <v>Yes</v>
      </c>
      <c r="CD160" s="847">
        <f>IFERROR(__xludf.DUMMYFUNCTION("""COMPUTED_VALUE"""),0.956)</f>
        <v>0.956</v>
      </c>
      <c r="CE160" s="838" t="str">
        <f>IFERROR(__xludf.DUMMYFUNCTION("""COMPUTED_VALUE"""),"No")</f>
        <v>No</v>
      </c>
      <c r="CF160" s="838"/>
      <c r="CG160" s="838"/>
      <c r="CH160" s="847">
        <f>IFERROR(__xludf.DUMMYFUNCTION("""COMPUTED_VALUE"""),0.897)</f>
        <v>0.897</v>
      </c>
      <c r="CI160" s="838"/>
      <c r="CJ160" s="838"/>
      <c r="CK160" s="838"/>
      <c r="CL160" s="838"/>
      <c r="CM160" s="847">
        <f>IFERROR(__xludf.DUMMYFUNCTION("""COMPUTED_VALUE"""),0.999)</f>
        <v>0.999</v>
      </c>
      <c r="CN160" s="838"/>
      <c r="CO160" s="838"/>
      <c r="CP160" s="838"/>
      <c r="CQ160" s="838"/>
      <c r="CR160" s="838"/>
      <c r="CS160" s="838"/>
      <c r="CT160" s="838"/>
      <c r="CU160" s="838"/>
      <c r="CV160" s="697" t="str">
        <f>IFERROR(__xludf.DUMMYFUNCTION("""COMPUTED_VALUE"""),"Muchiri, Eric M., Thiongo'o, Fredrick W. , Magnussen, Pascal, Ouma, John H. (1996-97) A COMPARATIVE STUDY OF DIFFERENT ALBENDAZOLE ANDMEBENDAZOLE REGIMENS FOR THE TREATMENT OF INTESTINALINFECTIONS IN SCHOOL CHILDREN OF USIGU DIVISION, WESTERN KENYA. DOI: "&amp;"http://dx.doi.org/10.1645/0022-3395(2001)087[0413:ACSODA]2.0.CO;4")</f>
        <v>Muchiri, Eric M., Thiongo'o, Fredrick W. , Magnussen, Pascal, Ouma, John H. (1996-97) A COMPARATIVE STUDY OF DIFFERENT ALBENDAZOLE ANDMEBENDAZOLE REGIMENS FOR THE TREATMENT OF INTESTINALINFECTIONS IN SCHOOL CHILDREN OF USIGU DIVISION, WESTERN KENYA. DOI: http://dx.doi.org/10.1645/0022-3395(2001)087[0413:ACSODA]2.0.CO;4</v>
      </c>
    </row>
    <row r="161">
      <c r="A161" s="834"/>
      <c r="B161" s="834"/>
      <c r="C161" s="834"/>
      <c r="D161" s="834"/>
      <c r="E161" s="834"/>
      <c r="F161" s="834"/>
      <c r="G161" s="834"/>
      <c r="H161" s="834"/>
      <c r="I161" s="834"/>
      <c r="J161" s="834"/>
      <c r="K161" s="834"/>
      <c r="L161" s="834"/>
      <c r="M161" s="834"/>
      <c r="N161" s="834"/>
      <c r="O161" s="834"/>
      <c r="P161" s="834"/>
      <c r="Q161" s="834"/>
      <c r="R161" s="834"/>
      <c r="S161" s="834"/>
      <c r="T161" s="834"/>
      <c r="U161" s="834"/>
      <c r="V161" s="834"/>
      <c r="W161" s="834"/>
      <c r="X161" s="834"/>
      <c r="Y161" s="834"/>
      <c r="Z161" s="834"/>
      <c r="AA161" s="834"/>
      <c r="AB161" s="834"/>
      <c r="AC161" s="834"/>
      <c r="AD161" s="834"/>
      <c r="AE161" s="834"/>
      <c r="AF161" s="834"/>
      <c r="AG161" s="834"/>
      <c r="AH161" s="834"/>
      <c r="AJ161" s="843" t="str">
        <f>IFERROR(__xludf.DUMMYFUNCTION("""COMPUTED_VALUE"""),"Efficacy and Safety of a Single Dose versus a Multiple Dose Regimen of Mebendazole against Hookworm Infections in Children: A Randomised, Double-blind Trial")</f>
        <v>Efficacy and Safety of a Single Dose versus a Multiple Dose Regimen of Mebendazole against Hookworm Infections in Children: A Randomised, Double-blind Trial</v>
      </c>
      <c r="AK161" s="836" t="str">
        <f>IFERROR(__xludf.DUMMYFUNCTION("""COMPUTED_VALUE"""),"Palmeirim MS, Ame SM, Ali SM, Hattendorf J, Keiser J. Efficacy and Safety of a Single Dose versus a Multiple Dose Regimen of Mebendazole against Hookworm Infections in Children: A Randomised, Double-blind Trial. EClinicalMedicine. 2018 Jul 11;1:7-13. doi:"&amp;" 10.1016/j.eclinm.2018.06.004. PMID: 31193620; PMCID: PMC6537524.")</f>
        <v>Palmeirim MS, Ame SM, Ali SM, Hattendorf J, Keiser J. Efficacy and Safety of a Single Dose versus a Multiple Dose Regimen of Mebendazole against Hookworm Infections in Children: A Randomised, Double-blind Trial. EClinicalMedicine. 2018 Jul 11;1:7-13. doi: 10.1016/j.eclinm.2018.06.004. PMID: 31193620; PMCID: PMC6537524.</v>
      </c>
      <c r="AL161" s="836" t="str">
        <f>IFERROR(__xludf.DUMMYFUNCTION("""COMPUTED_VALUE"""),"Tanzania")</f>
        <v>Tanzania</v>
      </c>
      <c r="AM161" s="836" t="str">
        <f>IFERROR(__xludf.DUMMYFUNCTION("""COMPUTED_VALUE"""),"Mebendazole")</f>
        <v>Mebendazole</v>
      </c>
      <c r="AN161" s="836" t="str">
        <f>IFERROR(__xludf.DUMMYFUNCTION("""COMPUTED_VALUE"""),"Single")</f>
        <v>Single</v>
      </c>
      <c r="AO161" s="836" t="str">
        <f>IFERROR(__xludf.DUMMYFUNCTION("""COMPUTED_VALUE"""),"500 mg")</f>
        <v>500 mg</v>
      </c>
      <c r="AP161" s="836">
        <f>IFERROR(__xludf.DUMMYFUNCTION("""COMPUTED_VALUE"""),93.0)</f>
        <v>93</v>
      </c>
      <c r="AQ161" s="836">
        <f>IFERROR(__xludf.DUMMYFUNCTION("""COMPUTED_VALUE"""),10.1)</f>
        <v>10.1</v>
      </c>
      <c r="AR161" s="836" t="str">
        <f>IFERROR(__xludf.DUMMYFUNCTION("""COMPUTED_VALUE"""),"54M:39F")</f>
        <v>54M:39F</v>
      </c>
      <c r="AS161" s="836">
        <f>IFERROR(__xludf.DUMMYFUNCTION("""COMPUTED_VALUE"""),2017.0)</f>
        <v>2017</v>
      </c>
      <c r="AT161" s="836" t="str">
        <f>IFERROR(__xludf.DUMMYFUNCTION("""COMPUTED_VALUE"""),"Consenting school-aged children (6-12 yrs) were eligible if they had provided two stool samples, were positive for hookworm eggs in the stool (≥ 100 eggs per gram [EPG] or at least two Kato-Katz thick smears slides with more than one hookworm egg).")</f>
        <v>Consenting school-aged children (6-12 yrs) were eligible if they had provided two stool samples, were positive for hookworm eggs in the stool (≥ 100 eggs per gram [EPG] or at least two Kato-Katz thick smears slides with more than one hookworm egg).</v>
      </c>
      <c r="AU161" s="836" t="str">
        <f>IFERROR(__xludf.DUMMYFUNCTION("""COMPUTED_VALUE"""),"Yes")</f>
        <v>Yes</v>
      </c>
      <c r="AV161" s="836" t="str">
        <f>IFERROR(__xludf.DUMMYFUNCTION("""COMPUTED_VALUE"""),"Yes")</f>
        <v>Yes</v>
      </c>
      <c r="AW161" s="836" t="str">
        <f>IFERROR(__xludf.DUMMYFUNCTION("""COMPUTED_VALUE"""),"Double blind")</f>
        <v>Double blind</v>
      </c>
      <c r="AX161" s="841">
        <f>IFERROR(__xludf.DUMMYFUNCTION("""COMPUTED_VALUE"""),0.068)</f>
        <v>0.068</v>
      </c>
      <c r="AY161" s="836"/>
      <c r="AZ161" s="836"/>
      <c r="BA161" s="836"/>
      <c r="BB161" s="836"/>
      <c r="BC161" s="836"/>
      <c r="BD161" s="836"/>
      <c r="BE161" s="836"/>
      <c r="BF161" s="836"/>
      <c r="BG161" s="836"/>
      <c r="BH161" s="841">
        <f>IFERROR(__xludf.DUMMYFUNCTION("""COMPUTED_VALUE"""),0.981)</f>
        <v>0.981</v>
      </c>
      <c r="BI161" s="836"/>
      <c r="BJ161" s="836"/>
      <c r="BK161" s="836"/>
      <c r="BL161" s="836"/>
      <c r="BM161" s="836"/>
      <c r="BN161" s="836" t="str">
        <f>IFERROR(__xludf.DUMMYFUNCTION("""COMPUTED_VALUE"""),"In conclusion, our study has shown that the multiple dose regimen of mebendazole is unarguably more effective against hookworm and concomitant T. trichiura infections.")</f>
        <v>In conclusion, our study has shown that the multiple dose regimen of mebendazole is unarguably more effective against hookworm and concomitant T. trichiura infections.</v>
      </c>
      <c r="BO161" s="836" t="str">
        <f>IFERROR(__xludf.DUMMYFUNCTION("""COMPUTED_VALUE"""),"Kato-Katz technique")</f>
        <v>Kato-Katz technique</v>
      </c>
      <c r="BP161" s="836"/>
      <c r="BQ161" s="697"/>
      <c r="BR161" s="844" t="str">
        <f>IFERROR(__xludf.DUMMYFUNCTION("""COMPUTED_VALUE"""),"Soukhathammavong et al.")</f>
        <v>Soukhathammavong et al.</v>
      </c>
      <c r="BS161" s="838" t="str">
        <f>IFERROR(__xludf.DUMMYFUNCTION("""COMPUTED_VALUE"""),"Laos")</f>
        <v>Laos</v>
      </c>
      <c r="BT161" s="838" t="str">
        <f>IFERROR(__xludf.DUMMYFUNCTION("""COMPUTED_VALUE"""),"Albendazole")</f>
        <v>Albendazole</v>
      </c>
      <c r="BU161" s="838"/>
      <c r="BV161" s="838" t="str">
        <f>IFERROR(__xludf.DUMMYFUNCTION("""COMPUTED_VALUE"""),"Single")</f>
        <v>Single</v>
      </c>
      <c r="BW161" s="838" t="str">
        <f>IFERROR(__xludf.DUMMYFUNCTION("""COMPUTED_VALUE"""),"400 mg")</f>
        <v>400 mg</v>
      </c>
      <c r="BX161" s="838" t="str">
        <f>IFERROR(__xludf.DUMMYFUNCTION("""COMPUTED_VALUE"""),"28/100")</f>
        <v>28/100</v>
      </c>
      <c r="BY161" s="838">
        <f>IFERROR(__xludf.DUMMYFUNCTION("""COMPUTED_VALUE"""),9.0)</f>
        <v>9</v>
      </c>
      <c r="BZ161" s="838">
        <f>IFERROR(__xludf.DUMMYFUNCTION("""COMPUTED_VALUE"""),2009.0)</f>
        <v>2009</v>
      </c>
      <c r="CA161" s="838" t="str">
        <f>IFERROR(__xludf.DUMMYFUNCTION("""COMPUTED_VALUE"""),"Male:56 Female:33")</f>
        <v>Male:56 Female:33</v>
      </c>
      <c r="CB161" s="838" t="str">
        <f>IFERROR(__xludf.DUMMYFUNCTION("""COMPUTED_VALUE"""),"Children were excluded if they had fever, or showed signs of severe malnutrion. Also the presence of any abnormal medical condition such as cardiac, vascular, pulmonary, gastrointestinal, endocrine, neurologic, hematologic, rheumatologic, psychiatric, or "&amp;"metabolic distrubances, recent history of anthelmintic treatment (albendazole, mebendazole, pyrantel pamoate, levamisole, ivermectin, and praziquental, attending other clinical trials during this study, or reported hypersensitivity to albendazole or meben"&amp;"dazole")</f>
        <v>Children were excluded if they had fever, or showed signs of severe malnutrion. Also the presence of any abnormal medical condition such as cardiac, vascular, pulmonary, gastrointestinal, endocrine, neurologic, hematologic, rheumatologic, psychiatric, or metabolic distrubances, recent history of anthelmintic treatment (albendazole, mebendazole, pyrantel pamoate, levamisole, ivermectin, and praziquental, attending other clinical trials during this study, or reported hypersensitivity to albendazole or mebendazole</v>
      </c>
      <c r="CC161" s="838" t="str">
        <f>IFERROR(__xludf.DUMMYFUNCTION("""COMPUTED_VALUE"""),"Yes")</f>
        <v>Yes</v>
      </c>
      <c r="CD161" s="847">
        <f>IFERROR(__xludf.DUMMYFUNCTION("""COMPUTED_VALUE"""),0.929)</f>
        <v>0.929</v>
      </c>
      <c r="CE161" s="838" t="str">
        <f>IFERROR(__xludf.DUMMYFUNCTION("""COMPUTED_VALUE"""),"Yes")</f>
        <v>Yes</v>
      </c>
      <c r="CF161" s="838"/>
      <c r="CG161" s="838" t="str">
        <f>IFERROR(__xludf.DUMMYFUNCTION("""COMPUTED_VALUE"""),"92.9% (Day 21–23)")</f>
        <v>92.9% (Day 21–23)</v>
      </c>
      <c r="CH161" s="838"/>
      <c r="CI161" s="838"/>
      <c r="CJ161" s="838"/>
      <c r="CK161" s="838"/>
      <c r="CL161" s="838"/>
      <c r="CM161" s="847">
        <f>IFERROR(__xludf.DUMMYFUNCTION("""COMPUTED_VALUE"""),1.0)</f>
        <v>1</v>
      </c>
      <c r="CN161" s="838"/>
      <c r="CO161" s="838"/>
      <c r="CP161" s="838"/>
      <c r="CQ161" s="838"/>
      <c r="CR161" s="838"/>
      <c r="CS161" s="838"/>
      <c r="CT161" s="838" t="str">
        <f>IFERROR(__xludf.DUMMYFUNCTION("""COMPUTED_VALUE"""),"Kato-Katz Method")</f>
        <v>Kato-Katz Method</v>
      </c>
      <c r="CU161" s="838"/>
      <c r="CV161" s="697" t="str">
        <f>IFERROR(__xludf.DUMMYFUNCTION("""COMPUTED_VALUE"""),"Aye Soukhathammavong, Phonepasong, Somphou Sayasone, Khampheng Phongluxa, Vilavanh Xayaseng, Jurg Utzinger, Penelope Vounatsou, Cristoph Hatz, Kongsap Akkhavong, Jennifer Keiser, and Peter Odermatt. ""Low Efficacy of Single-Dose Albendazolel and Mebendazo"&amp;"le against Hookworm and Effect on Concomitant Helminth Infection in Lao PDR."" PLOS Neglected Tropical Diseases 6.1 (2012): 1-8. Web.")</f>
        <v>Aye Soukhathammavong, Phonepasong, Somphou Sayasone, Khampheng Phongluxa, Vilavanh Xayaseng, Jurg Utzinger, Penelope Vounatsou, Cristoph Hatz, Kongsap Akkhavong, Jennifer Keiser, and Peter Odermatt. "Low Efficacy of Single-Dose Albendazolel and Mebendazole against Hookworm and Effect on Concomitant Helminth Infection in Lao PDR." PLOS Neglected Tropical Diseases 6.1 (2012): 1-8. Web.</v>
      </c>
    </row>
    <row r="162">
      <c r="A162" s="834"/>
      <c r="B162" s="834"/>
      <c r="C162" s="834"/>
      <c r="D162" s="834"/>
      <c r="E162" s="834"/>
      <c r="F162" s="834"/>
      <c r="G162" s="834"/>
      <c r="H162" s="834"/>
      <c r="I162" s="834"/>
      <c r="J162" s="834"/>
      <c r="K162" s="834"/>
      <c r="L162" s="834"/>
      <c r="M162" s="834"/>
      <c r="N162" s="834"/>
      <c r="O162" s="834"/>
      <c r="P162" s="834"/>
      <c r="Q162" s="834"/>
      <c r="R162" s="834"/>
      <c r="S162" s="834"/>
      <c r="T162" s="834"/>
      <c r="U162" s="834"/>
      <c r="V162" s="834"/>
      <c r="W162" s="834"/>
      <c r="X162" s="834"/>
      <c r="Y162" s="834"/>
      <c r="Z162" s="834"/>
      <c r="AA162" s="834"/>
      <c r="AB162" s="834"/>
      <c r="AC162" s="834"/>
      <c r="AD162" s="834"/>
      <c r="AE162" s="834"/>
      <c r="AF162" s="834"/>
      <c r="AG162" s="834"/>
      <c r="AH162" s="834"/>
      <c r="AJ162" s="843" t="str">
        <f>IFERROR(__xludf.DUMMYFUNCTION("""COMPUTED_VALUE"""),"Efficacy and Safety of a Single Dose versus a Multiple Dose Regimen of Mebendazole against Hookworm Infections in Children: A Randomised, Double-blind Trial")</f>
        <v>Efficacy and Safety of a Single Dose versus a Multiple Dose Regimen of Mebendazole against Hookworm Infections in Children: A Randomised, Double-blind Trial</v>
      </c>
      <c r="AK162" s="836" t="str">
        <f>IFERROR(__xludf.DUMMYFUNCTION("""COMPUTED_VALUE"""),"Palmeirim MS, Ame SM, Ali SM, Hattendorf J, Keiser J. Efficacy and Safety of a Single Dose versus a Multiple Dose Regimen of Mebendazole against Hookworm Infections in Children: A Randomised, Double-blind Trial. EClinicalMedicine. 2018 Jul 11;1:7-13. doi:"&amp;" 10.1016/j.eclinm.2018.06.004. PMID: 31193620; PMCID: PMC6537524.")</f>
        <v>Palmeirim MS, Ame SM, Ali SM, Hattendorf J, Keiser J. Efficacy and Safety of a Single Dose versus a Multiple Dose Regimen of Mebendazole against Hookworm Infections in Children: A Randomised, Double-blind Trial. EClinicalMedicine. 2018 Jul 11;1:7-13. doi: 10.1016/j.eclinm.2018.06.004. PMID: 31193620; PMCID: PMC6537524.</v>
      </c>
      <c r="AL162" s="836" t="str">
        <f>IFERROR(__xludf.DUMMYFUNCTION("""COMPUTED_VALUE"""),"Tanzania")</f>
        <v>Tanzania</v>
      </c>
      <c r="AM162" s="836" t="str">
        <f>IFERROR(__xludf.DUMMYFUNCTION("""COMPUTED_VALUE"""),"Mebendazole")</f>
        <v>Mebendazole</v>
      </c>
      <c r="AN162" s="836" t="str">
        <f>IFERROR(__xludf.DUMMYFUNCTION("""COMPUTED_VALUE"""),"Multiple Dose: 3")</f>
        <v>Multiple Dose: 3</v>
      </c>
      <c r="AO162" s="836" t="str">
        <f>IFERROR(__xludf.DUMMYFUNCTION("""COMPUTED_VALUE"""),"200 mg (100 mg 2x/day)")</f>
        <v>200 mg (100 mg 2x/day)</v>
      </c>
      <c r="AP162" s="836">
        <f>IFERROR(__xludf.DUMMYFUNCTION("""COMPUTED_VALUE"""),93.0)</f>
        <v>93</v>
      </c>
      <c r="AQ162" s="836">
        <f>IFERROR(__xludf.DUMMYFUNCTION("""COMPUTED_VALUE"""),10.1)</f>
        <v>10.1</v>
      </c>
      <c r="AR162" s="836" t="str">
        <f>IFERROR(__xludf.DUMMYFUNCTION("""COMPUTED_VALUE"""),"47M:46F")</f>
        <v>47M:46F</v>
      </c>
      <c r="AS162" s="836">
        <f>IFERROR(__xludf.DUMMYFUNCTION("""COMPUTED_VALUE"""),2017.0)</f>
        <v>2017</v>
      </c>
      <c r="AT162" s="836" t="str">
        <f>IFERROR(__xludf.DUMMYFUNCTION("""COMPUTED_VALUE"""),"Consenting school-aged children (6-12 yrs) were eligible if they had provided two stool samples, were positive for hookworm eggs in the stool (≥ 100 eggs per gram [EPG] or at least two Kato-Katz thick smears slides with more than one hookworm egg).")</f>
        <v>Consenting school-aged children (6-12 yrs) were eligible if they had provided two stool samples, were positive for hookworm eggs in the stool (≥ 100 eggs per gram [EPG] or at least two Kato-Katz thick smears slides with more than one hookworm egg).</v>
      </c>
      <c r="AU162" s="836" t="str">
        <f>IFERROR(__xludf.DUMMYFUNCTION("""COMPUTED_VALUE"""),"Yes")</f>
        <v>Yes</v>
      </c>
      <c r="AV162" s="836" t="str">
        <f>IFERROR(__xludf.DUMMYFUNCTION("""COMPUTED_VALUE"""),"Yes")</f>
        <v>Yes</v>
      </c>
      <c r="AW162" s="836" t="str">
        <f>IFERROR(__xludf.DUMMYFUNCTION("""COMPUTED_VALUE"""),"Double blind")</f>
        <v>Double blind</v>
      </c>
      <c r="AX162" s="841">
        <f>IFERROR(__xludf.DUMMYFUNCTION("""COMPUTED_VALUE"""),0.429)</f>
        <v>0.429</v>
      </c>
      <c r="AY162" s="836"/>
      <c r="AZ162" s="836"/>
      <c r="BA162" s="836"/>
      <c r="BB162" s="836"/>
      <c r="BC162" s="836"/>
      <c r="BD162" s="836"/>
      <c r="BE162" s="836"/>
      <c r="BF162" s="836"/>
      <c r="BG162" s="836"/>
      <c r="BH162" s="841">
        <f>IFERROR(__xludf.DUMMYFUNCTION("""COMPUTED_VALUE"""),0.943)</f>
        <v>0.943</v>
      </c>
      <c r="BI162" s="836"/>
      <c r="BJ162" s="836"/>
      <c r="BK162" s="836"/>
      <c r="BL162" s="836"/>
      <c r="BM162" s="836"/>
      <c r="BN162" s="836" t="str">
        <f>IFERROR(__xludf.DUMMYFUNCTION("""COMPUTED_VALUE"""),"In conclusion, our study has shown that the multiple dose regimen of mebendazole is unarguably more effective against hookworm and concomitant T. trichiura infections.")</f>
        <v>In conclusion, our study has shown that the multiple dose regimen of mebendazole is unarguably more effective against hookworm and concomitant T. trichiura infections.</v>
      </c>
      <c r="BO162" s="836" t="str">
        <f>IFERROR(__xludf.DUMMYFUNCTION("""COMPUTED_VALUE"""),"Kato-Katz technique")</f>
        <v>Kato-Katz technique</v>
      </c>
      <c r="BP162" s="836"/>
      <c r="BQ162" s="697"/>
      <c r="BR162" s="844" t="str">
        <f>IFERROR(__xludf.DUMMYFUNCTION("""COMPUTED_VALUE"""),"Soukhathammavong et al.")</f>
        <v>Soukhathammavong et al.</v>
      </c>
      <c r="BS162" s="838" t="str">
        <f>IFERROR(__xludf.DUMMYFUNCTION("""COMPUTED_VALUE"""),"Laos")</f>
        <v>Laos</v>
      </c>
      <c r="BT162" s="838" t="str">
        <f>IFERROR(__xludf.DUMMYFUNCTION("""COMPUTED_VALUE"""),"Mebendazole")</f>
        <v>Mebendazole</v>
      </c>
      <c r="BU162" s="838"/>
      <c r="BV162" s="838" t="str">
        <f>IFERROR(__xludf.DUMMYFUNCTION("""COMPUTED_VALUE"""),"Single")</f>
        <v>Single</v>
      </c>
      <c r="BW162" s="838" t="str">
        <f>IFERROR(__xludf.DUMMYFUNCTION("""COMPUTED_VALUE"""),"500 mg")</f>
        <v>500 mg</v>
      </c>
      <c r="BX162" s="838" t="str">
        <f>IFERROR(__xludf.DUMMYFUNCTION("""COMPUTED_VALUE"""),"30/100")</f>
        <v>30/100</v>
      </c>
      <c r="BY162" s="838">
        <f>IFERROR(__xludf.DUMMYFUNCTION("""COMPUTED_VALUE"""),9.0)</f>
        <v>9</v>
      </c>
      <c r="BZ162" s="838">
        <f>IFERROR(__xludf.DUMMYFUNCTION("""COMPUTED_VALUE"""),2009.0)</f>
        <v>2009</v>
      </c>
      <c r="CA162" s="838" t="str">
        <f>IFERROR(__xludf.DUMMYFUNCTION("""COMPUTED_VALUE"""),"Male:49 Female:33")</f>
        <v>Male:49 Female:33</v>
      </c>
      <c r="CB162" s="838"/>
      <c r="CC162" s="838" t="str">
        <f>IFERROR(__xludf.DUMMYFUNCTION("""COMPUTED_VALUE"""),"Yes")</f>
        <v>Yes</v>
      </c>
      <c r="CD162" s="847">
        <f>IFERROR(__xludf.DUMMYFUNCTION("""COMPUTED_VALUE"""),0.933)</f>
        <v>0.933</v>
      </c>
      <c r="CE162" s="838" t="str">
        <f>IFERROR(__xludf.DUMMYFUNCTION("""COMPUTED_VALUE"""),"Yes")</f>
        <v>Yes</v>
      </c>
      <c r="CF162" s="838"/>
      <c r="CG162" s="838" t="str">
        <f>IFERROR(__xludf.DUMMYFUNCTION("""COMPUTED_VALUE"""),"93.3% (Day 21-23) ")</f>
        <v>93.3% (Day 21-23) </v>
      </c>
      <c r="CH162" s="838"/>
      <c r="CI162" s="838"/>
      <c r="CJ162" s="838"/>
      <c r="CK162" s="838"/>
      <c r="CL162" s="838"/>
      <c r="CM162" s="847">
        <f>IFERROR(__xludf.DUMMYFUNCTION("""COMPUTED_VALUE"""),0.67)</f>
        <v>0.67</v>
      </c>
      <c r="CN162" s="838"/>
      <c r="CO162" s="838"/>
      <c r="CP162" s="838"/>
      <c r="CQ162" s="838"/>
      <c r="CR162" s="838"/>
      <c r="CS162" s="838"/>
      <c r="CT162" s="838"/>
      <c r="CU162" s="838"/>
      <c r="CV162" s="697" t="str">
        <f>IFERROR(__xludf.DUMMYFUNCTION("""COMPUTED_VALUE"""),"Aye Soukhathammavong, Phonepasong, Somphou Sayasone, Khampheng Phongluxa, Vilavanh Xayaseng, Jurg Utzinger, Penelope Vounatsou, Cristoph Hatz, Kongsap Akkhavong, Jennifer Keiser, and Peter Odermatt. ""Low Efficacy of Single-Dose Albendazolel and Mebendazo"&amp;"le against Hookworm and Effect on Concomitant Helminth Infection in Lao PDR."" PLOS Neglected Tropical Diseases 6.1 (2012): 1-8. Web.")</f>
        <v>Aye Soukhathammavong, Phonepasong, Somphou Sayasone, Khampheng Phongluxa, Vilavanh Xayaseng, Jurg Utzinger, Penelope Vounatsou, Cristoph Hatz, Kongsap Akkhavong, Jennifer Keiser, and Peter Odermatt. "Low Efficacy of Single-Dose Albendazolel and Mebendazole against Hookworm and Effect on Concomitant Helminth Infection in Lao PDR." PLOS Neglected Tropical Diseases 6.1 (2012): 1-8. Web.</v>
      </c>
    </row>
    <row r="163">
      <c r="A163" s="834"/>
      <c r="B163" s="834"/>
      <c r="C163" s="834"/>
      <c r="D163" s="834"/>
      <c r="E163" s="834"/>
      <c r="F163" s="834"/>
      <c r="G163" s="834"/>
      <c r="H163" s="834"/>
      <c r="I163" s="834"/>
      <c r="J163" s="834"/>
      <c r="K163" s="834"/>
      <c r="L163" s="834"/>
      <c r="M163" s="834"/>
      <c r="N163" s="834"/>
      <c r="O163" s="834"/>
      <c r="P163" s="834"/>
      <c r="Q163" s="834"/>
      <c r="R163" s="834"/>
      <c r="S163" s="834"/>
      <c r="T163" s="834"/>
      <c r="U163" s="834"/>
      <c r="V163" s="834"/>
      <c r="W163" s="834"/>
      <c r="X163" s="834"/>
      <c r="Y163" s="834"/>
      <c r="Z163" s="834"/>
      <c r="AA163" s="834"/>
      <c r="AB163" s="834"/>
      <c r="AC163" s="834"/>
      <c r="AD163" s="834"/>
      <c r="AE163" s="834"/>
      <c r="AF163" s="834"/>
      <c r="AG163" s="834"/>
      <c r="AH163" s="834"/>
      <c r="AJ163" s="843" t="str">
        <f>IFERROR(__xludf.DUMMYFUNCTION("""COMPUTED_VALUE"""),"Efficacy and Safety of Ascending Dosages of Moxidectin and Moxidectin-albendazole Against Trichuris trichiura in Adolescents: A Randomized Controlled Trial")</f>
        <v>Efficacy and Safety of Ascending Dosages of Moxidectin and Moxidectin-albendazole Against Trichuris trichiura in Adolescents: A Randomized Controlled Trial</v>
      </c>
      <c r="AK163" s="836" t="str">
        <f>IFERROR(__xludf.DUMMYFUNCTION("""COMPUTED_VALUE"""),"Keller L, Palmeirim MS, Ame SM, Ali SM, Puchkov M, Huwyler J, Hattendorf J, Keiser J. Efficacy and Safety of Ascending Dosages of Moxidectin and Moxidectin-albendazole Against Trichuris trichiura in Adolescents: A Randomized Controlled Trial. Clin Infect "&amp;"Dis. 2020 Mar 3;70(6):1193-1201. doi: 10.1093/cid/ciz326. PMID: 31044235.")</f>
        <v>Keller L, Palmeirim MS, Ame SM, Ali SM, Puchkov M, Huwyler J, Hattendorf J, Keiser J. Efficacy and Safety of Ascending Dosages of Moxidectin and Moxidectin-albendazole Against Trichuris trichiura in Adolescents: A Randomized Controlled Trial. Clin Infect Dis. 2020 Mar 3;70(6):1193-1201. doi: 10.1093/cid/ciz326. PMID: 31044235.</v>
      </c>
      <c r="AL163" s="836" t="str">
        <f>IFERROR(__xludf.DUMMYFUNCTION("""COMPUTED_VALUE"""),"Tanzania")</f>
        <v>Tanzania</v>
      </c>
      <c r="AM163" s="836" t="str">
        <f>IFERROR(__xludf.DUMMYFUNCTION("""COMPUTED_VALUE"""),"Moxidectin")</f>
        <v>Moxidectin</v>
      </c>
      <c r="AN163" s="836" t="str">
        <f>IFERROR(__xludf.DUMMYFUNCTION("""COMPUTED_VALUE"""),"Single")</f>
        <v>Single</v>
      </c>
      <c r="AO163" s="836" t="str">
        <f>IFERROR(__xludf.DUMMYFUNCTION("""COMPUTED_VALUE"""),"8 mg")</f>
        <v>8 mg</v>
      </c>
      <c r="AP163" s="836">
        <f>IFERROR(__xludf.DUMMYFUNCTION("""COMPUTED_VALUE"""),42.0)</f>
        <v>42</v>
      </c>
      <c r="AQ163" s="836">
        <f>IFERROR(__xludf.DUMMYFUNCTION("""COMPUTED_VALUE"""),16.7)</f>
        <v>16.7</v>
      </c>
      <c r="AR163" s="836" t="str">
        <f>IFERROR(__xludf.DUMMYFUNCTION("""COMPUTED_VALUE"""),"26M:16F")</f>
        <v>26M:16F</v>
      </c>
      <c r="AS163" s="836">
        <f>IFERROR(__xludf.DUMMYFUNCTION("""COMPUTED_VALUE"""),2018.0)</f>
        <v>2018</v>
      </c>
      <c r="AT163" s="836" t="str">
        <f>IFERROR(__xludf.DUMMYFUNCTION("""COMPUTED_VALUE"""),"Adolescents (16–18  years old) were eligible if they provided 2 stool samples and were positive for T. trichiura.")</f>
        <v>Adolescents (16–18  years old) were eligible if they provided 2 stool samples and were positive for T. trichiura.</v>
      </c>
      <c r="AU163" s="836" t="str">
        <f>IFERROR(__xludf.DUMMYFUNCTION("""COMPUTED_VALUE"""),"Yes")</f>
        <v>Yes</v>
      </c>
      <c r="AV163" s="836" t="str">
        <f>IFERROR(__xludf.DUMMYFUNCTION("""COMPUTED_VALUE"""),"Yes")</f>
        <v>Yes</v>
      </c>
      <c r="AW163" s="836" t="str">
        <f>IFERROR(__xludf.DUMMYFUNCTION("""COMPUTED_VALUE"""),"Single-blind")</f>
        <v>Single-blind</v>
      </c>
      <c r="AX163" s="841">
        <f>IFERROR(__xludf.DUMMYFUNCTION("""COMPUTED_VALUE"""),0.463)</f>
        <v>0.463</v>
      </c>
      <c r="AY163" s="836"/>
      <c r="AZ163" s="836"/>
      <c r="BA163" s="836"/>
      <c r="BB163" s="836"/>
      <c r="BC163" s="836"/>
      <c r="BD163" s="836"/>
      <c r="BE163" s="836"/>
      <c r="BF163" s="836"/>
      <c r="BG163" s="836"/>
      <c r="BH163" s="841">
        <f>IFERROR(__xludf.DUMMYFUNCTION("""COMPUTED_VALUE"""),0.95)</f>
        <v>0.95</v>
      </c>
      <c r="BI163" s="836"/>
      <c r="BJ163" s="836"/>
      <c r="BK163" s="836"/>
      <c r="BL163" s="836"/>
      <c r="BM163" s="836"/>
      <c r="BN163" s="836" t="str">
        <f>IFERROR(__xludf.DUMMYFUNCTION("""COMPUTED_VALUE"""),"Moxidectin-albendazole is superior to moxidectin. There is no benefit of using doses above 8 mg, which is the recommended dose for onchocerciasis. The moxidectin-albendazole combination of 8 mg plus 400 mg should be investigated further to develop recomme"&amp;"ndations for appropriate control of STH infections.")</f>
        <v>Moxidectin-albendazole is superior to moxidectin. There is no benefit of using doses above 8 mg, which is the recommended dose for onchocerciasis. The moxidectin-albendazole combination of 8 mg plus 400 mg should be investigated further to develop recommendations for appropriate control of STH infections.</v>
      </c>
      <c r="BO163" s="836" t="str">
        <f>IFERROR(__xludf.DUMMYFUNCTION("""COMPUTED_VALUE"""),"Kato-Katz technique")</f>
        <v>Kato-Katz technique</v>
      </c>
      <c r="BP163" s="836"/>
      <c r="BQ163" s="697"/>
      <c r="BR163" s="844" t="str">
        <f>IFERROR(__xludf.DUMMYFUNCTION("""COMPUTED_VALUE"""),"Lyu et al.")</f>
        <v>Lyu et al.</v>
      </c>
      <c r="BS163" s="838" t="str">
        <f>IFERROR(__xludf.DUMMYFUNCTION("""COMPUTED_VALUE"""),"North Korea")</f>
        <v>North Korea</v>
      </c>
      <c r="BT163" s="838" t="str">
        <f>IFERROR(__xludf.DUMMYFUNCTION("""COMPUTED_VALUE"""),"Pyrantel Embonate")</f>
        <v>Pyrantel Embonate</v>
      </c>
      <c r="BU163" s="838"/>
      <c r="BV163" s="838" t="str">
        <f>IFERROR(__xludf.DUMMYFUNCTION("""COMPUTED_VALUE"""),"Single")</f>
        <v>Single</v>
      </c>
      <c r="BW163" s="838" t="str">
        <f>IFERROR(__xludf.DUMMYFUNCTION("""COMPUTED_VALUE"""),"10 mg")</f>
        <v>10 mg</v>
      </c>
      <c r="BX163" s="838">
        <f>IFERROR(__xludf.DUMMYFUNCTION("""COMPUTED_VALUE"""),39.0)</f>
        <v>39</v>
      </c>
      <c r="BY163" s="838" t="str">
        <f>IFERROR(__xludf.DUMMYFUNCTION("""COMPUTED_VALUE"""),"1-81")</f>
        <v>1-81</v>
      </c>
      <c r="BZ163" s="838">
        <f>IFERROR(__xludf.DUMMYFUNCTION("""COMPUTED_VALUE"""),1975.0)</f>
        <v>1975</v>
      </c>
      <c r="CA163" s="838"/>
      <c r="CB163" s="838"/>
      <c r="CC163" s="838" t="str">
        <f>IFERROR(__xludf.DUMMYFUNCTION("""COMPUTED_VALUE"""),"Yes")</f>
        <v>Yes</v>
      </c>
      <c r="CD163" s="847">
        <f>IFERROR(__xludf.DUMMYFUNCTION("""COMPUTED_VALUE"""),1.0)</f>
        <v>1</v>
      </c>
      <c r="CE163" s="838" t="str">
        <f>IFERROR(__xludf.DUMMYFUNCTION("""COMPUTED_VALUE"""),"Yes")</f>
        <v>Yes</v>
      </c>
      <c r="CF163" s="838"/>
      <c r="CG163" s="838"/>
      <c r="CH163" s="847">
        <f>IFERROR(__xludf.DUMMYFUNCTION("""COMPUTED_VALUE"""),1.0)</f>
        <v>1</v>
      </c>
      <c r="CI163" s="838"/>
      <c r="CJ163" s="838"/>
      <c r="CK163" s="838"/>
      <c r="CL163" s="838"/>
      <c r="CM163" s="847">
        <f>IFERROR(__xludf.DUMMYFUNCTION("""COMPUTED_VALUE"""),1.0)</f>
        <v>1</v>
      </c>
      <c r="CN163" s="838"/>
      <c r="CO163" s="838"/>
      <c r="CP163" s="838"/>
      <c r="CQ163" s="838"/>
      <c r="CR163" s="838"/>
      <c r="CS163" s="838"/>
      <c r="CT163" s="838"/>
      <c r="CU163" s="838"/>
      <c r="CV163" s="697" t="str">
        <f>IFERROR(__xludf.DUMMYFUNCTION("""COMPUTED_VALUE"""),"Lim, Jung-Kyoo, Kwang-sa Lyu, Il Hyun, Sun-dae Song, and Han-Jong Rim. ""Pyrantel Embonate and Bephenum Hydroxynaphthoate in the Treatment of Hookworm Infection."" The Korean Journal of Parasitology 13.1 (1975): 19-30. Web.")</f>
        <v>Lim, Jung-Kyoo, Kwang-sa Lyu, Il Hyun, Sun-dae Song, and Han-Jong Rim. "Pyrantel Embonate and Bephenum Hydroxynaphthoate in the Treatment of Hookworm Infection." The Korean Journal of Parasitology 13.1 (1975): 19-30. Web.</v>
      </c>
    </row>
    <row r="164">
      <c r="A164" s="834"/>
      <c r="B164" s="834"/>
      <c r="C164" s="834"/>
      <c r="D164" s="834"/>
      <c r="E164" s="834"/>
      <c r="F164" s="834"/>
      <c r="G164" s="834"/>
      <c r="H164" s="834"/>
      <c r="I164" s="834"/>
      <c r="J164" s="834"/>
      <c r="K164" s="834"/>
      <c r="L164" s="834"/>
      <c r="M164" s="834"/>
      <c r="N164" s="834"/>
      <c r="O164" s="834"/>
      <c r="P164" s="834"/>
      <c r="Q164" s="834"/>
      <c r="R164" s="834"/>
      <c r="S164" s="834"/>
      <c r="T164" s="834"/>
      <c r="U164" s="834"/>
      <c r="V164" s="834"/>
      <c r="W164" s="834"/>
      <c r="X164" s="834"/>
      <c r="Y164" s="834"/>
      <c r="Z164" s="834"/>
      <c r="AA164" s="834"/>
      <c r="AB164" s="834"/>
      <c r="AC164" s="834"/>
      <c r="AD164" s="834"/>
      <c r="AE164" s="834"/>
      <c r="AF164" s="834"/>
      <c r="AG164" s="834"/>
      <c r="AH164" s="834"/>
      <c r="AJ164" s="843" t="str">
        <f>IFERROR(__xludf.DUMMYFUNCTION("""COMPUTED_VALUE"""),"Efficacy and Safety of Ascending Dosages of Moxidectin and Moxidectin-albendazole Against Trichuris trichiura in Adolescents: A Randomized Controlled Trial")</f>
        <v>Efficacy and Safety of Ascending Dosages of Moxidectin and Moxidectin-albendazole Against Trichuris trichiura in Adolescents: A Randomized Controlled Trial</v>
      </c>
      <c r="AK164" s="836" t="str">
        <f>IFERROR(__xludf.DUMMYFUNCTION("""COMPUTED_VALUE"""),"Keller L, Palmeirim MS, Ame SM, Ali SM, Puchkov M, Huwyler J, Hattendorf J, Keiser J. Efficacy and Safety of Ascending Dosages of Moxidectin and Moxidectin-albendazole Against Trichuris trichiura in Adolescents: A Randomized Controlled Trial. Clin Infect "&amp;"Dis. 2020 Mar 3;70(6):1193-1201. doi: 10.1093/cid/ciz326. PMID: 31044235.")</f>
        <v>Keller L, Palmeirim MS, Ame SM, Ali SM, Puchkov M, Huwyler J, Hattendorf J, Keiser J. Efficacy and Safety of Ascending Dosages of Moxidectin and Moxidectin-albendazole Against Trichuris trichiura in Adolescents: A Randomized Controlled Trial. Clin Infect Dis. 2020 Mar 3;70(6):1193-1201. doi: 10.1093/cid/ciz326. PMID: 31044235.</v>
      </c>
      <c r="AL164" s="836" t="str">
        <f>IFERROR(__xludf.DUMMYFUNCTION("""COMPUTED_VALUE"""),"Tanzania")</f>
        <v>Tanzania</v>
      </c>
      <c r="AM164" s="836" t="str">
        <f>IFERROR(__xludf.DUMMYFUNCTION("""COMPUTED_VALUE"""),"Moxidectin")</f>
        <v>Moxidectin</v>
      </c>
      <c r="AN164" s="836" t="str">
        <f>IFERROR(__xludf.DUMMYFUNCTION("""COMPUTED_VALUE"""),"Single")</f>
        <v>Single</v>
      </c>
      <c r="AO164" s="836" t="str">
        <f>IFERROR(__xludf.DUMMYFUNCTION("""COMPUTED_VALUE"""),"16 mg")</f>
        <v>16 mg</v>
      </c>
      <c r="AP164" s="836">
        <f>IFERROR(__xludf.DUMMYFUNCTION("""COMPUTED_VALUE"""),41.0)</f>
        <v>41</v>
      </c>
      <c r="AQ164" s="836">
        <f>IFERROR(__xludf.DUMMYFUNCTION("""COMPUTED_VALUE"""),16.9)</f>
        <v>16.9</v>
      </c>
      <c r="AR164" s="836" t="str">
        <f>IFERROR(__xludf.DUMMYFUNCTION("""COMPUTED_VALUE"""),"29M:12F")</f>
        <v>29M:12F</v>
      </c>
      <c r="AS164" s="836">
        <f>IFERROR(__xludf.DUMMYFUNCTION("""COMPUTED_VALUE"""),2018.0)</f>
        <v>2018</v>
      </c>
      <c r="AT164" s="836" t="str">
        <f>IFERROR(__xludf.DUMMYFUNCTION("""COMPUTED_VALUE"""),"Adolescents (16–18  years old) were eligible if they provided 2 stool samples and were positive for T. trichiura.")</f>
        <v>Adolescents (16–18  years old) were eligible if they provided 2 stool samples and were positive for T. trichiura.</v>
      </c>
      <c r="AU164" s="836" t="str">
        <f>IFERROR(__xludf.DUMMYFUNCTION("""COMPUTED_VALUE"""),"Yes")</f>
        <v>Yes</v>
      </c>
      <c r="AV164" s="836" t="str">
        <f>IFERROR(__xludf.DUMMYFUNCTION("""COMPUTED_VALUE"""),"Yes")</f>
        <v>Yes</v>
      </c>
      <c r="AW164" s="836" t="str">
        <f>IFERROR(__xludf.DUMMYFUNCTION("""COMPUTED_VALUE"""),"Single-blind")</f>
        <v>Single-blind</v>
      </c>
      <c r="AX164" s="850">
        <f>IFERROR(__xludf.DUMMYFUNCTION("""COMPUTED_VALUE"""),0.5)</f>
        <v>0.5</v>
      </c>
      <c r="AY164" s="836"/>
      <c r="AZ164" s="836"/>
      <c r="BA164" s="836"/>
      <c r="BB164" s="836"/>
      <c r="BC164" s="836"/>
      <c r="BD164" s="836"/>
      <c r="BE164" s="836"/>
      <c r="BF164" s="836"/>
      <c r="BG164" s="836"/>
      <c r="BH164" s="841">
        <f>IFERROR(__xludf.DUMMYFUNCTION("""COMPUTED_VALUE"""),0.957)</f>
        <v>0.957</v>
      </c>
      <c r="BI164" s="836"/>
      <c r="BJ164" s="836"/>
      <c r="BK164" s="836"/>
      <c r="BL164" s="836"/>
      <c r="BM164" s="836"/>
      <c r="BN164" s="836" t="str">
        <f>IFERROR(__xludf.DUMMYFUNCTION("""COMPUTED_VALUE"""),"Moxidectin-albendazole is superior to moxidectin. There is no benefit of using doses above 8 mg, which is the recommended dose for onchocerciasis. The moxidectin-albendazole combination of 8 mg plus 400 mg should be investigated further to develop recomme"&amp;"ndations for appropriate control of STH infections.")</f>
        <v>Moxidectin-albendazole is superior to moxidectin. There is no benefit of using doses above 8 mg, which is the recommended dose for onchocerciasis. The moxidectin-albendazole combination of 8 mg plus 400 mg should be investigated further to develop recommendations for appropriate control of STH infections.</v>
      </c>
      <c r="BO164" s="836" t="str">
        <f>IFERROR(__xludf.DUMMYFUNCTION("""COMPUTED_VALUE"""),"Kato-Katz technique")</f>
        <v>Kato-Katz technique</v>
      </c>
      <c r="BP164" s="836"/>
      <c r="BQ164" s="697"/>
      <c r="BR164" s="844" t="str">
        <f>IFERROR(__xludf.DUMMYFUNCTION("""COMPUTED_VALUE"""),"Lyu et al.")</f>
        <v>Lyu et al.</v>
      </c>
      <c r="BS164" s="838" t="str">
        <f>IFERROR(__xludf.DUMMYFUNCTION("""COMPUTED_VALUE"""),"North Korea")</f>
        <v>North Korea</v>
      </c>
      <c r="BT164" s="838" t="str">
        <f>IFERROR(__xludf.DUMMYFUNCTION("""COMPUTED_VALUE"""),"Bephenium")</f>
        <v>Bephenium</v>
      </c>
      <c r="BU164" s="838"/>
      <c r="BV164" s="838" t="str">
        <f>IFERROR(__xludf.DUMMYFUNCTION("""COMPUTED_VALUE"""),"Single")</f>
        <v>Single</v>
      </c>
      <c r="BW164" s="838" t="str">
        <f>IFERROR(__xludf.DUMMYFUNCTION("""COMPUTED_VALUE"""),"2.5 gm")</f>
        <v>2.5 gm</v>
      </c>
      <c r="BX164" s="838">
        <f>IFERROR(__xludf.DUMMYFUNCTION("""COMPUTED_VALUE"""),28.0)</f>
        <v>28</v>
      </c>
      <c r="BY164" s="838" t="str">
        <f>IFERROR(__xludf.DUMMYFUNCTION("""COMPUTED_VALUE"""),"1-81")</f>
        <v>1-81</v>
      </c>
      <c r="BZ164" s="838">
        <f>IFERROR(__xludf.DUMMYFUNCTION("""COMPUTED_VALUE"""),1975.0)</f>
        <v>1975</v>
      </c>
      <c r="CA164" s="838"/>
      <c r="CB164" s="838"/>
      <c r="CC164" s="838" t="str">
        <f>IFERROR(__xludf.DUMMYFUNCTION("""COMPUTED_VALUE"""),"Yes")</f>
        <v>Yes</v>
      </c>
      <c r="CD164" s="847">
        <f>IFERROR(__xludf.DUMMYFUNCTION("""COMPUTED_VALUE"""),0.607)</f>
        <v>0.607</v>
      </c>
      <c r="CE164" s="838" t="str">
        <f>IFERROR(__xludf.DUMMYFUNCTION("""COMPUTED_VALUE"""),"Yes")</f>
        <v>Yes</v>
      </c>
      <c r="CF164" s="838"/>
      <c r="CG164" s="838"/>
      <c r="CH164" s="847">
        <f>IFERROR(__xludf.DUMMYFUNCTION("""COMPUTED_VALUE"""),0.607)</f>
        <v>0.607</v>
      </c>
      <c r="CI164" s="838"/>
      <c r="CJ164" s="838"/>
      <c r="CK164" s="838"/>
      <c r="CL164" s="838"/>
      <c r="CM164" s="847">
        <f>IFERROR(__xludf.DUMMYFUNCTION("""COMPUTED_VALUE"""),0.74)</f>
        <v>0.74</v>
      </c>
      <c r="CN164" s="838"/>
      <c r="CO164" s="838"/>
      <c r="CP164" s="838"/>
      <c r="CQ164" s="838"/>
      <c r="CR164" s="838"/>
      <c r="CS164" s="838"/>
      <c r="CT164" s="838"/>
      <c r="CU164" s="838"/>
      <c r="CV164" s="697" t="str">
        <f>IFERROR(__xludf.DUMMYFUNCTION("""COMPUTED_VALUE"""),"Lim, Jung-Kyoo, Kwang-sa Lyu, Il Hyun, Sun-dae Song, and Han-Jong Rim. ""Pyrantel Embonate and Bephenum Hydroxynaphthoate in the Treatment of Hookworm Infection."" The Korean Journal of Parasitology 13.1 (1975): 19-30. Web.")</f>
        <v>Lim, Jung-Kyoo, Kwang-sa Lyu, Il Hyun, Sun-dae Song, and Han-Jong Rim. "Pyrantel Embonate and Bephenum Hydroxynaphthoate in the Treatment of Hookworm Infection." The Korean Journal of Parasitology 13.1 (1975): 19-30. Web.</v>
      </c>
    </row>
    <row r="165">
      <c r="A165" s="834"/>
      <c r="B165" s="834"/>
      <c r="C165" s="834"/>
      <c r="D165" s="834"/>
      <c r="E165" s="834"/>
      <c r="F165" s="834"/>
      <c r="G165" s="834"/>
      <c r="H165" s="834"/>
      <c r="I165" s="834"/>
      <c r="J165" s="834"/>
      <c r="K165" s="834"/>
      <c r="L165" s="834"/>
      <c r="M165" s="834"/>
      <c r="N165" s="834"/>
      <c r="O165" s="834"/>
      <c r="P165" s="834"/>
      <c r="Q165" s="834"/>
      <c r="R165" s="834"/>
      <c r="S165" s="834"/>
      <c r="T165" s="834"/>
      <c r="U165" s="834"/>
      <c r="V165" s="834"/>
      <c r="W165" s="834"/>
      <c r="X165" s="834"/>
      <c r="Y165" s="834"/>
      <c r="Z165" s="834"/>
      <c r="AA165" s="834"/>
      <c r="AB165" s="834"/>
      <c r="AC165" s="834"/>
      <c r="AD165" s="834"/>
      <c r="AE165" s="834"/>
      <c r="AF165" s="834"/>
      <c r="AG165" s="834"/>
      <c r="AH165" s="834"/>
      <c r="AJ165" s="843" t="str">
        <f>IFERROR(__xludf.DUMMYFUNCTION("""COMPUTED_VALUE"""),"Efficacy and Safety of Ascending Dosages of Moxidectin and Moxidectin-albendazole Against Trichuris trichiura in Adolescents: A Randomized Controlled Trial")</f>
        <v>Efficacy and Safety of Ascending Dosages of Moxidectin and Moxidectin-albendazole Against Trichuris trichiura in Adolescents: A Randomized Controlled Trial</v>
      </c>
      <c r="AK165" s="836" t="str">
        <f>IFERROR(__xludf.DUMMYFUNCTION("""COMPUTED_VALUE"""),"Keller L, Palmeirim MS, Ame SM, Ali SM, Puchkov M, Huwyler J, Hattendorf J, Keiser J. Efficacy and Safety of Ascending Dosages of Moxidectin and Moxidectin-albendazole Against Trichuris trichiura in Adolescents: A Randomized Controlled Trial. Clin Infect "&amp;"Dis. 2020 Mar 3;70(6):1193-1201. doi: 10.1093/cid/ciz326. PMID: 31044235.")</f>
        <v>Keller L, Palmeirim MS, Ame SM, Ali SM, Puchkov M, Huwyler J, Hattendorf J, Keiser J. Efficacy and Safety of Ascending Dosages of Moxidectin and Moxidectin-albendazole Against Trichuris trichiura in Adolescents: A Randomized Controlled Trial. Clin Infect Dis. 2020 Mar 3;70(6):1193-1201. doi: 10.1093/cid/ciz326. PMID: 31044235.</v>
      </c>
      <c r="AL165" s="836" t="str">
        <f>IFERROR(__xludf.DUMMYFUNCTION("""COMPUTED_VALUE"""),"Tanzania")</f>
        <v>Tanzania</v>
      </c>
      <c r="AM165" s="836" t="str">
        <f>IFERROR(__xludf.DUMMYFUNCTION("""COMPUTED_VALUE"""),"Moxidectin")</f>
        <v>Moxidectin</v>
      </c>
      <c r="AN165" s="836" t="str">
        <f>IFERROR(__xludf.DUMMYFUNCTION("""COMPUTED_VALUE"""),"Single")</f>
        <v>Single</v>
      </c>
      <c r="AO165" s="836" t="str">
        <f>IFERROR(__xludf.DUMMYFUNCTION("""COMPUTED_VALUE"""),"24 mg")</f>
        <v>24 mg</v>
      </c>
      <c r="AP165" s="836">
        <f>IFERROR(__xludf.DUMMYFUNCTION("""COMPUTED_VALUE"""),41.0)</f>
        <v>41</v>
      </c>
      <c r="AQ165" s="836">
        <f>IFERROR(__xludf.DUMMYFUNCTION("""COMPUTED_VALUE"""),16.9)</f>
        <v>16.9</v>
      </c>
      <c r="AR165" s="836" t="str">
        <f>IFERROR(__xludf.DUMMYFUNCTION("""COMPUTED_VALUE"""),"29M:12F")</f>
        <v>29M:12F</v>
      </c>
      <c r="AS165" s="836">
        <f>IFERROR(__xludf.DUMMYFUNCTION("""COMPUTED_VALUE"""),2018.0)</f>
        <v>2018</v>
      </c>
      <c r="AT165" s="836" t="str">
        <f>IFERROR(__xludf.DUMMYFUNCTION("""COMPUTED_VALUE"""),"Adolescents (16–18  years old) were eligible if they provided 2 stool samples and were positive for T. trichiura.")</f>
        <v>Adolescents (16–18  years old) were eligible if they provided 2 stool samples and were positive for T. trichiura.</v>
      </c>
      <c r="AU165" s="836" t="str">
        <f>IFERROR(__xludf.DUMMYFUNCTION("""COMPUTED_VALUE"""),"Yes")</f>
        <v>Yes</v>
      </c>
      <c r="AV165" s="836" t="str">
        <f>IFERROR(__xludf.DUMMYFUNCTION("""COMPUTED_VALUE"""),"Yes")</f>
        <v>Yes</v>
      </c>
      <c r="AW165" s="836" t="str">
        <f>IFERROR(__xludf.DUMMYFUNCTION("""COMPUTED_VALUE"""),"Single-blind")</f>
        <v>Single-blind</v>
      </c>
      <c r="AX165" s="841">
        <f>IFERROR(__xludf.DUMMYFUNCTION("""COMPUTED_VALUE"""),0.439)</f>
        <v>0.439</v>
      </c>
      <c r="AY165" s="836"/>
      <c r="AZ165" s="836"/>
      <c r="BA165" s="836"/>
      <c r="BB165" s="836"/>
      <c r="BC165" s="836"/>
      <c r="BD165" s="836"/>
      <c r="BE165" s="836"/>
      <c r="BF165" s="836"/>
      <c r="BG165" s="836"/>
      <c r="BH165" s="841">
        <f>IFERROR(__xludf.DUMMYFUNCTION("""COMPUTED_VALUE"""),0.974)</f>
        <v>0.974</v>
      </c>
      <c r="BI165" s="836"/>
      <c r="BJ165" s="836"/>
      <c r="BK165" s="836"/>
      <c r="BL165" s="836"/>
      <c r="BM165" s="836"/>
      <c r="BN165" s="836" t="str">
        <f>IFERROR(__xludf.DUMMYFUNCTION("""COMPUTED_VALUE"""),"Moxidectin-albendazole is superior to moxidectin. There is no benefit of using doses above 8 mg, which is the recommended dose for onchocerciasis. The moxidectin-albendazole combination of 8 mg plus 400 mg should be investigated further to develop recomme"&amp;"ndations for appropriate control of STH infections.")</f>
        <v>Moxidectin-albendazole is superior to moxidectin. There is no benefit of using doses above 8 mg, which is the recommended dose for onchocerciasis. The moxidectin-albendazole combination of 8 mg plus 400 mg should be investigated further to develop recommendations for appropriate control of STH infections.</v>
      </c>
      <c r="BO165" s="836" t="str">
        <f>IFERROR(__xludf.DUMMYFUNCTION("""COMPUTED_VALUE"""),"Kato-Katz technique")</f>
        <v>Kato-Katz technique</v>
      </c>
      <c r="BP165" s="836"/>
      <c r="BQ165" s="697"/>
      <c r="BR165" s="844" t="str">
        <f>IFERROR(__xludf.DUMMYFUNCTION("""COMPUTED_VALUE"""),"Vercruysse et al.")</f>
        <v>Vercruysse et al.</v>
      </c>
      <c r="BS165" s="838" t="str">
        <f>IFERROR(__xludf.DUMMYFUNCTION("""COMPUTED_VALUE"""),"Brazil")</f>
        <v>Brazil</v>
      </c>
      <c r="BT165" s="838" t="str">
        <f>IFERROR(__xludf.DUMMYFUNCTION("""COMPUTED_VALUE"""),"Albendazole")</f>
        <v>Albendazole</v>
      </c>
      <c r="BU165" s="838"/>
      <c r="BV165" s="838" t="str">
        <f>IFERROR(__xludf.DUMMYFUNCTION("""COMPUTED_VALUE"""),"Single")</f>
        <v>Single</v>
      </c>
      <c r="BW165" s="838" t="str">
        <f>IFERROR(__xludf.DUMMYFUNCTION("""COMPUTED_VALUE"""),"400 mg")</f>
        <v>400 mg</v>
      </c>
      <c r="BX165" s="838">
        <f>IFERROR(__xludf.DUMMYFUNCTION("""COMPUTED_VALUE"""),50.0)</f>
        <v>50</v>
      </c>
      <c r="BY165" s="845">
        <f>IFERROR(__xludf.DUMMYFUNCTION("""COMPUTED_VALUE"""),42478.0)</f>
        <v>42478</v>
      </c>
      <c r="BZ165" s="838"/>
      <c r="CA165" s="838" t="str">
        <f>IFERROR(__xludf.DUMMYFUNCTION("""COMPUTED_VALUE"""),"Male:462 Female:490")</f>
        <v>Male:462 Female:490</v>
      </c>
      <c r="CB165" s="838"/>
      <c r="CC165" s="838" t="str">
        <f>IFERROR(__xludf.DUMMYFUNCTION("""COMPUTED_VALUE"""),"No")</f>
        <v>No</v>
      </c>
      <c r="CD165" s="846">
        <f>IFERROR(__xludf.DUMMYFUNCTION("""COMPUTED_VALUE"""),0.98)</f>
        <v>0.98</v>
      </c>
      <c r="CE165" s="838" t="str">
        <f>IFERROR(__xludf.DUMMYFUNCTION("""COMPUTED_VALUE"""),"No")</f>
        <v>No</v>
      </c>
      <c r="CF165" s="838"/>
      <c r="CG165" s="838" t="str">
        <f>IFERROR(__xludf.DUMMYFUNCTION("""COMPUTED_VALUE"""),"98% (Day 14-30)")</f>
        <v>98% (Day 14-30)</v>
      </c>
      <c r="CH165" s="838"/>
      <c r="CI165" s="838"/>
      <c r="CJ165" s="838"/>
      <c r="CK165" s="838"/>
      <c r="CL165" s="838"/>
      <c r="CM165" s="846">
        <f>IFERROR(__xludf.DUMMYFUNCTION("""COMPUTED_VALUE"""),1.0)</f>
        <v>1</v>
      </c>
      <c r="CN165" s="838"/>
      <c r="CO165" s="838"/>
      <c r="CP165" s="838"/>
      <c r="CQ165" s="838"/>
      <c r="CR165" s="838"/>
      <c r="CS165" s="838"/>
      <c r="CT165" s="838" t="str">
        <f>IFERROR(__xludf.DUMMYFUNCTION("""COMPUTED_VALUE"""),"McMaster Method")</f>
        <v>McMaster Method</v>
      </c>
      <c r="CU165" s="838"/>
      <c r="CV165" s="697" t="str">
        <f>IFERROR(__xludf.DUMMYFUNCTION("""COMPUTED_VALUE"""),"Vercruysse, Jozef, Jerzy M. Behnke, Marco Albonico, Shaali Makame Ame, Cecile Angelbault, Jeffrey M. Bethony, Dirk Engels, Bertrand Guillard, Nuyen Thi Viet Hoa, Gagandeep Kang, Deepthi Kattula, Andrew C. Kotze, James S. McCarthy, Zeleke Mekonnen, Antonio"&amp;" Montresor, Maria Victoria Periago, Laurentine Sumo, Louis-Albert Tchuem Tchuente, Dang Thi Cam Thach, Ahmed Zeynudin, and Bruno Levecke. ""Assessment of the Anthelmintic Efficacy of Albendazole in School Children in Seven Countries Where Soil-transmitted"&amp;" Helminths Are Endemic."" PLOS Neglected Tropical Diseases. N.p., n.d. Web. March 2011, Volume 5 Issue 3, Pages 1-10")</f>
        <v>Vercruysse, Jozef, Jerzy M. Behnke, Marco Albonico, Shaali Makame Ame, Cecile Angelbault, Jeffrey M. Bethony, Dirk Engels, Bertrand Guillard, Nuyen Thi Viet Hoa, Gagandeep Kang, Deepthi Kattula, Andrew C. Kotze, James S. McCarthy, Zeleke Mekonnen, Antonio Montresor, Maria Victoria Periago, Laurentine Sumo, Louis-Albert Tchuem Tchuente, Dang Thi Cam Thach, Ahmed Zeynudin, and Bruno Levecke. "Assessment of the Anthelmintic Efficacy of Albendazole in School Children in Seven Countries Where Soil-transmitted Helminths Are Endemic." PLOS Neglected Tropical Diseases. N.p., n.d. Web. March 2011, Volume 5 Issue 3, Pages 1-10</v>
      </c>
    </row>
    <row r="166">
      <c r="A166" s="834"/>
      <c r="B166" s="834"/>
      <c r="C166" s="834"/>
      <c r="D166" s="834"/>
      <c r="E166" s="834"/>
      <c r="F166" s="834"/>
      <c r="G166" s="834"/>
      <c r="H166" s="834"/>
      <c r="I166" s="834"/>
      <c r="J166" s="834"/>
      <c r="K166" s="834"/>
      <c r="L166" s="834"/>
      <c r="M166" s="834"/>
      <c r="N166" s="834"/>
      <c r="O166" s="834"/>
      <c r="P166" s="834"/>
      <c r="Q166" s="834"/>
      <c r="R166" s="834"/>
      <c r="S166" s="834"/>
      <c r="T166" s="834"/>
      <c r="U166" s="834"/>
      <c r="V166" s="834"/>
      <c r="W166" s="834"/>
      <c r="X166" s="834"/>
      <c r="Y166" s="834"/>
      <c r="Z166" s="834"/>
      <c r="AA166" s="834"/>
      <c r="AB166" s="834"/>
      <c r="AC166" s="834"/>
      <c r="AD166" s="834"/>
      <c r="AE166" s="834"/>
      <c r="AF166" s="834"/>
      <c r="AG166" s="834"/>
      <c r="AH166" s="834"/>
      <c r="AJ166" s="843" t="str">
        <f>IFERROR(__xludf.DUMMYFUNCTION("""COMPUTED_VALUE"""),"Efficacy and Safety of Ascending Dosages of Moxidectin and Moxidectin-albendazole Against Trichuris trichiura in Adolescents: A Randomized Controlled Trial")</f>
        <v>Efficacy and Safety of Ascending Dosages of Moxidectin and Moxidectin-albendazole Against Trichuris trichiura in Adolescents: A Randomized Controlled Trial</v>
      </c>
      <c r="AK166" s="836" t="str">
        <f>IFERROR(__xludf.DUMMYFUNCTION("""COMPUTED_VALUE"""),"Keller L, Palmeirim MS, Ame SM, Ali SM, Puchkov M, Huwyler J, Hattendorf J, Keiser J. Efficacy and Safety of Ascending Dosages of Moxidectin and Moxidectin-albendazole Against Trichuris trichiura in Adolescents: A Randomized Controlled Trial. Clin Infect "&amp;"Dis. 2020 Mar 3;70(6):1193-1201. doi: 10.1093/cid/ciz326. PMID: 31044235.")</f>
        <v>Keller L, Palmeirim MS, Ame SM, Ali SM, Puchkov M, Huwyler J, Hattendorf J, Keiser J. Efficacy and Safety of Ascending Dosages of Moxidectin and Moxidectin-albendazole Against Trichuris trichiura in Adolescents: A Randomized Controlled Trial. Clin Infect Dis. 2020 Mar 3;70(6):1193-1201. doi: 10.1093/cid/ciz326. PMID: 31044235.</v>
      </c>
      <c r="AL166" s="836" t="str">
        <f>IFERROR(__xludf.DUMMYFUNCTION("""COMPUTED_VALUE"""),"Tanzania")</f>
        <v>Tanzania</v>
      </c>
      <c r="AM166" s="836" t="str">
        <f>IFERROR(__xludf.DUMMYFUNCTION("""COMPUTED_VALUE"""),"Moxidectin &amp; Albendazole")</f>
        <v>Moxidectin &amp; Albendazole</v>
      </c>
      <c r="AN166" s="836" t="str">
        <f>IFERROR(__xludf.DUMMYFUNCTION("""COMPUTED_VALUE"""),"Single")</f>
        <v>Single</v>
      </c>
      <c r="AO166" s="836" t="str">
        <f>IFERROR(__xludf.DUMMYFUNCTION("""COMPUTED_VALUE"""),"8 mg; 400 mg")</f>
        <v>8 mg; 400 mg</v>
      </c>
      <c r="AP166" s="836">
        <f>IFERROR(__xludf.DUMMYFUNCTION("""COMPUTED_VALUE"""),42.0)</f>
        <v>42</v>
      </c>
      <c r="AQ166" s="836">
        <f>IFERROR(__xludf.DUMMYFUNCTION("""COMPUTED_VALUE"""),16.8)</f>
        <v>16.8</v>
      </c>
      <c r="AR166" s="836" t="str">
        <f>IFERROR(__xludf.DUMMYFUNCTION("""COMPUTED_VALUE"""),"30M:12F")</f>
        <v>30M:12F</v>
      </c>
      <c r="AS166" s="836">
        <f>IFERROR(__xludf.DUMMYFUNCTION("""COMPUTED_VALUE"""),2018.0)</f>
        <v>2018</v>
      </c>
      <c r="AT166" s="836" t="str">
        <f>IFERROR(__xludf.DUMMYFUNCTION("""COMPUTED_VALUE"""),"Adolescents (16–18  years old) were eligible if they provided 2 stool samples and were positive for T. trichiura.")</f>
        <v>Adolescents (16–18  years old) were eligible if they provided 2 stool samples and were positive for T. trichiura.</v>
      </c>
      <c r="AU166" s="836" t="str">
        <f>IFERROR(__xludf.DUMMYFUNCTION("""COMPUTED_VALUE"""),"Yes")</f>
        <v>Yes</v>
      </c>
      <c r="AV166" s="836" t="str">
        <f>IFERROR(__xludf.DUMMYFUNCTION("""COMPUTED_VALUE"""),"Yes")</f>
        <v>Yes</v>
      </c>
      <c r="AW166" s="836" t="str">
        <f>IFERROR(__xludf.DUMMYFUNCTION("""COMPUTED_VALUE"""),"Single-blind")</f>
        <v>Single-blind</v>
      </c>
      <c r="AX166" s="841">
        <f>IFERROR(__xludf.DUMMYFUNCTION("""COMPUTED_VALUE"""),0.625)</f>
        <v>0.625</v>
      </c>
      <c r="AY166" s="836"/>
      <c r="AZ166" s="836"/>
      <c r="BA166" s="836"/>
      <c r="BB166" s="836"/>
      <c r="BC166" s="836"/>
      <c r="BD166" s="836"/>
      <c r="BE166" s="836"/>
      <c r="BF166" s="836"/>
      <c r="BG166" s="836"/>
      <c r="BH166" s="841">
        <f>IFERROR(__xludf.DUMMYFUNCTION("""COMPUTED_VALUE"""),0.984)</f>
        <v>0.984</v>
      </c>
      <c r="BI166" s="836"/>
      <c r="BJ166" s="836"/>
      <c r="BK166" s="836"/>
      <c r="BL166" s="836"/>
      <c r="BM166" s="836"/>
      <c r="BN166" s="836" t="str">
        <f>IFERROR(__xludf.DUMMYFUNCTION("""COMPUTED_VALUE"""),"Moxidectin-albendazole is superior to moxidectin. There is no benefit of using doses above 8 mg, which is the recommended dose for onchocerciasis. The moxidectin-albendazole combination of 8 mg plus 400 mg should be investigated further to develop recomme"&amp;"ndations for appropriate control of STH infections.")</f>
        <v>Moxidectin-albendazole is superior to moxidectin. There is no benefit of using doses above 8 mg, which is the recommended dose for onchocerciasis. The moxidectin-albendazole combination of 8 mg plus 400 mg should be investigated further to develop recommendations for appropriate control of STH infections.</v>
      </c>
      <c r="BO166" s="836" t="str">
        <f>IFERROR(__xludf.DUMMYFUNCTION("""COMPUTED_VALUE"""),"Kato-Katz technique")</f>
        <v>Kato-Katz technique</v>
      </c>
      <c r="BP166" s="836"/>
      <c r="BQ166" s="697"/>
      <c r="BR166" s="844" t="str">
        <f>IFERROR(__xludf.DUMMYFUNCTION("""COMPUTED_VALUE"""),"Vercruysse et al.")</f>
        <v>Vercruysse et al.</v>
      </c>
      <c r="BS166" s="838" t="str">
        <f>IFERROR(__xludf.DUMMYFUNCTION("""COMPUTED_VALUE"""),"Cambodia")</f>
        <v>Cambodia</v>
      </c>
      <c r="BT166" s="838" t="str">
        <f>IFERROR(__xludf.DUMMYFUNCTION("""COMPUTED_VALUE"""),"Albendazole")</f>
        <v>Albendazole</v>
      </c>
      <c r="BU166" s="838"/>
      <c r="BV166" s="838" t="str">
        <f>IFERROR(__xludf.DUMMYFUNCTION("""COMPUTED_VALUE"""),"Single")</f>
        <v>Single</v>
      </c>
      <c r="BW166" s="838" t="str">
        <f>IFERROR(__xludf.DUMMYFUNCTION("""COMPUTED_VALUE"""),"400 mg")</f>
        <v>400 mg</v>
      </c>
      <c r="BX166" s="838">
        <f>IFERROR(__xludf.DUMMYFUNCTION("""COMPUTED_VALUE"""),5.0)</f>
        <v>5</v>
      </c>
      <c r="BY166" s="845">
        <f>IFERROR(__xludf.DUMMYFUNCTION("""COMPUTED_VALUE"""),42478.0)</f>
        <v>42478</v>
      </c>
      <c r="BZ166" s="838"/>
      <c r="CA166" s="838"/>
      <c r="CB166" s="838"/>
      <c r="CC166" s="838" t="str">
        <f>IFERROR(__xludf.DUMMYFUNCTION("""COMPUTED_VALUE"""),"No")</f>
        <v>No</v>
      </c>
      <c r="CD166" s="846">
        <f>IFERROR(__xludf.DUMMYFUNCTION("""COMPUTED_VALUE"""),1.0)</f>
        <v>1</v>
      </c>
      <c r="CE166" s="838" t="str">
        <f>IFERROR(__xludf.DUMMYFUNCTION("""COMPUTED_VALUE"""),"No")</f>
        <v>No</v>
      </c>
      <c r="CF166" s="838"/>
      <c r="CG166" s="838" t="str">
        <f>IFERROR(__xludf.DUMMYFUNCTION("""COMPUTED_VALUE"""),"100% (Day 14-30)")</f>
        <v>100% (Day 14-30)</v>
      </c>
      <c r="CH166" s="838"/>
      <c r="CI166" s="838"/>
      <c r="CJ166" s="838"/>
      <c r="CK166" s="838"/>
      <c r="CL166" s="838"/>
      <c r="CM166" s="846">
        <f>IFERROR(__xludf.DUMMYFUNCTION("""COMPUTED_VALUE"""),1.0)</f>
        <v>1</v>
      </c>
      <c r="CN166" s="838"/>
      <c r="CO166" s="838"/>
      <c r="CP166" s="838"/>
      <c r="CQ166" s="838"/>
      <c r="CR166" s="838"/>
      <c r="CS166" s="838"/>
      <c r="CT166" s="838"/>
      <c r="CU166" s="838"/>
      <c r="CV166" s="697" t="str">
        <f>IFERROR(__xludf.DUMMYFUNCTION("""COMPUTED_VALUE"""),"Vercruysse, Jozef, Jerzy M. Behnke, Marco Albonico, Shaali Makame Ame, Cecile Angelbault, Jeffrey M. Bethony, Dirk Engels, Bertrand Guillard, Nuyen Thi Viet Hoa, Gagandeep Kang, Deepthi Kattula, Andrew C. Kotze, James S. McCarthy, Zeleke Mekonnen, Antonio"&amp;" Montresor, Maria Victoria Periago, Laurentine Sumo, Louis-Albert Tchuem Tchuente, Dang Thi Cam Thach, Ahmed Zeynudin, and Bruno Levecke. ""Assessment of the Anthelmintic Efficacy of Albendazole in School Children in Seven Countries Where Soil-transmitted"&amp;" Helminths Are Endemic."" PLOS Neglected Tropical Diseases. N.p., n.d. Web. March 2011, Volume 5 Issue 3, Pages 1-11")</f>
        <v>Vercruysse, Jozef, Jerzy M. Behnke, Marco Albonico, Shaali Makame Ame, Cecile Angelbault, Jeffrey M. Bethony, Dirk Engels, Bertrand Guillard, Nuyen Thi Viet Hoa, Gagandeep Kang, Deepthi Kattula, Andrew C. Kotze, James S. McCarthy, Zeleke Mekonnen, Antonio Montresor, Maria Victoria Periago, Laurentine Sumo, Louis-Albert Tchuem Tchuente, Dang Thi Cam Thach, Ahmed Zeynudin, and Bruno Levecke. "Assessment of the Anthelmintic Efficacy of Albendazole in School Children in Seven Countries Where Soil-transmitted Helminths Are Endemic." PLOS Neglected Tropical Diseases. N.p., n.d. Web. March 2011, Volume 5 Issue 3, Pages 1-11</v>
      </c>
    </row>
    <row r="167">
      <c r="A167" s="834"/>
      <c r="B167" s="834"/>
      <c r="C167" s="834"/>
      <c r="D167" s="834"/>
      <c r="E167" s="834"/>
      <c r="F167" s="834"/>
      <c r="G167" s="834"/>
      <c r="H167" s="834"/>
      <c r="I167" s="834"/>
      <c r="J167" s="834"/>
      <c r="K167" s="834"/>
      <c r="L167" s="834"/>
      <c r="M167" s="834"/>
      <c r="N167" s="834"/>
      <c r="O167" s="834"/>
      <c r="P167" s="834"/>
      <c r="Q167" s="834"/>
      <c r="R167" s="834"/>
      <c r="S167" s="834"/>
      <c r="T167" s="834"/>
      <c r="U167" s="834"/>
      <c r="V167" s="834"/>
      <c r="W167" s="834"/>
      <c r="X167" s="834"/>
      <c r="Y167" s="834"/>
      <c r="Z167" s="834"/>
      <c r="AA167" s="834"/>
      <c r="AB167" s="834"/>
      <c r="AC167" s="834"/>
      <c r="AD167" s="834"/>
      <c r="AE167" s="834"/>
      <c r="AF167" s="834"/>
      <c r="AG167" s="834"/>
      <c r="AH167" s="834"/>
      <c r="AJ167" s="843" t="str">
        <f>IFERROR(__xludf.DUMMYFUNCTION("""COMPUTED_VALUE"""),"Efficacy and Safety of Ascending Dosages of Moxidectin and Moxidectin-albendazole Against Trichuris trichiura in Adolescents: A Randomized Controlled Trial")</f>
        <v>Efficacy and Safety of Ascending Dosages of Moxidectin and Moxidectin-albendazole Against Trichuris trichiura in Adolescents: A Randomized Controlled Trial</v>
      </c>
      <c r="AK167" s="836" t="str">
        <f>IFERROR(__xludf.DUMMYFUNCTION("""COMPUTED_VALUE"""),"Keller L, Palmeirim MS, Ame SM, Ali SM, Puchkov M, Huwyler J, Hattendorf J, Keiser J. Efficacy and Safety of Ascending Dosages of Moxidectin and Moxidectin-albendazole Against Trichuris trichiura in Adolescents: A Randomized Controlled Trial. Clin Infect "&amp;"Dis. 2020 Mar 3;70(6):1193-1201. doi: 10.1093/cid/ciz326. PMID: 31044235.")</f>
        <v>Keller L, Palmeirim MS, Ame SM, Ali SM, Puchkov M, Huwyler J, Hattendorf J, Keiser J. Efficacy and Safety of Ascending Dosages of Moxidectin and Moxidectin-albendazole Against Trichuris trichiura in Adolescents: A Randomized Controlled Trial. Clin Infect Dis. 2020 Mar 3;70(6):1193-1201. doi: 10.1093/cid/ciz326. PMID: 31044235.</v>
      </c>
      <c r="AL167" s="836" t="str">
        <f>IFERROR(__xludf.DUMMYFUNCTION("""COMPUTED_VALUE"""),"Tanzania")</f>
        <v>Tanzania</v>
      </c>
      <c r="AM167" s="836" t="str">
        <f>IFERROR(__xludf.DUMMYFUNCTION("""COMPUTED_VALUE"""),"Moxidectin &amp; Albendazole")</f>
        <v>Moxidectin &amp; Albendazole</v>
      </c>
      <c r="AN167" s="836" t="str">
        <f>IFERROR(__xludf.DUMMYFUNCTION("""COMPUTED_VALUE"""),"Single")</f>
        <v>Single</v>
      </c>
      <c r="AO167" s="836" t="str">
        <f>IFERROR(__xludf.DUMMYFUNCTION("""COMPUTED_VALUE"""),"16 mg; 400 mg")</f>
        <v>16 mg; 400 mg</v>
      </c>
      <c r="AP167" s="836">
        <f>IFERROR(__xludf.DUMMYFUNCTION("""COMPUTED_VALUE"""),42.0)</f>
        <v>42</v>
      </c>
      <c r="AQ167" s="836">
        <f>IFERROR(__xludf.DUMMYFUNCTION("""COMPUTED_VALUE"""),16.8)</f>
        <v>16.8</v>
      </c>
      <c r="AR167" s="836" t="str">
        <f>IFERROR(__xludf.DUMMYFUNCTION("""COMPUTED_VALUE"""),"26M:16F")</f>
        <v>26M:16F</v>
      </c>
      <c r="AS167" s="836">
        <f>IFERROR(__xludf.DUMMYFUNCTION("""COMPUTED_VALUE"""),2018.0)</f>
        <v>2018</v>
      </c>
      <c r="AT167" s="836" t="str">
        <f>IFERROR(__xludf.DUMMYFUNCTION("""COMPUTED_VALUE"""),"Adolescents (16–18  years old) were eligible if they provided 2 stool samples and were positive for T. trichiura.")</f>
        <v>Adolescents (16–18  years old) were eligible if they provided 2 stool samples and were positive for T. trichiura.</v>
      </c>
      <c r="AU167" s="836" t="str">
        <f>IFERROR(__xludf.DUMMYFUNCTION("""COMPUTED_VALUE"""),"Yes")</f>
        <v>Yes</v>
      </c>
      <c r="AV167" s="836" t="str">
        <f>IFERROR(__xludf.DUMMYFUNCTION("""COMPUTED_VALUE"""),"Yes")</f>
        <v>Yes</v>
      </c>
      <c r="AW167" s="836" t="str">
        <f>IFERROR(__xludf.DUMMYFUNCTION("""COMPUTED_VALUE"""),"Single-blind")</f>
        <v>Single-blind</v>
      </c>
      <c r="AX167" s="841">
        <f>IFERROR(__xludf.DUMMYFUNCTION("""COMPUTED_VALUE"""),0.619)</f>
        <v>0.619</v>
      </c>
      <c r="AY167" s="836"/>
      <c r="AZ167" s="836"/>
      <c r="BA167" s="836"/>
      <c r="BB167" s="836"/>
      <c r="BC167" s="836"/>
      <c r="BD167" s="836"/>
      <c r="BE167" s="836"/>
      <c r="BF167" s="836"/>
      <c r="BG167" s="836"/>
      <c r="BH167" s="841">
        <f>IFERROR(__xludf.DUMMYFUNCTION("""COMPUTED_VALUE"""),0.986)</f>
        <v>0.986</v>
      </c>
      <c r="BI167" s="836"/>
      <c r="BJ167" s="836"/>
      <c r="BK167" s="836"/>
      <c r="BL167" s="836"/>
      <c r="BM167" s="836"/>
      <c r="BN167" s="836" t="str">
        <f>IFERROR(__xludf.DUMMYFUNCTION("""COMPUTED_VALUE"""),"Moxidectin-albendazole is superior to moxidectin. There is no benefit of using doses above 8 mg, which is the recommended dose for onchocerciasis. The moxidectin-albendazole combination of 8 mg plus 400 mg should be investigated further to develop recomme"&amp;"ndations for appropriate control of STH infections.")</f>
        <v>Moxidectin-albendazole is superior to moxidectin. There is no benefit of using doses above 8 mg, which is the recommended dose for onchocerciasis. The moxidectin-albendazole combination of 8 mg plus 400 mg should be investigated further to develop recommendations for appropriate control of STH infections.</v>
      </c>
      <c r="BO167" s="836" t="str">
        <f>IFERROR(__xludf.DUMMYFUNCTION("""COMPUTED_VALUE"""),"Kato-Katz technique")</f>
        <v>Kato-Katz technique</v>
      </c>
      <c r="BP167" s="836"/>
      <c r="BQ167" s="697"/>
      <c r="BR167" s="844" t="str">
        <f>IFERROR(__xludf.DUMMYFUNCTION("""COMPUTED_VALUE"""),"Vercruysse et al.")</f>
        <v>Vercruysse et al.</v>
      </c>
      <c r="BS167" s="838" t="str">
        <f>IFERROR(__xludf.DUMMYFUNCTION("""COMPUTED_VALUE"""),"Cameroon")</f>
        <v>Cameroon</v>
      </c>
      <c r="BT167" s="838" t="str">
        <f>IFERROR(__xludf.DUMMYFUNCTION("""COMPUTED_VALUE"""),"Albendazole")</f>
        <v>Albendazole</v>
      </c>
      <c r="BU167" s="838"/>
      <c r="BV167" s="838" t="str">
        <f>IFERROR(__xludf.DUMMYFUNCTION("""COMPUTED_VALUE"""),"Single")</f>
        <v>Single</v>
      </c>
      <c r="BW167" s="838" t="str">
        <f>IFERROR(__xludf.DUMMYFUNCTION("""COMPUTED_VALUE"""),"400 mg")</f>
        <v>400 mg</v>
      </c>
      <c r="BX167" s="838">
        <f>IFERROR(__xludf.DUMMYFUNCTION("""COMPUTED_VALUE"""),298.0)</f>
        <v>298</v>
      </c>
      <c r="BY167" s="845">
        <f>IFERROR(__xludf.DUMMYFUNCTION("""COMPUTED_VALUE"""),42478.0)</f>
        <v>42478</v>
      </c>
      <c r="BZ167" s="838"/>
      <c r="CA167" s="838"/>
      <c r="CB167" s="838"/>
      <c r="CC167" s="838" t="str">
        <f>IFERROR(__xludf.DUMMYFUNCTION("""COMPUTED_VALUE"""),"No")</f>
        <v>No</v>
      </c>
      <c r="CD167" s="846">
        <f>IFERROR(__xludf.DUMMYFUNCTION("""COMPUTED_VALUE"""),0.99)</f>
        <v>0.99</v>
      </c>
      <c r="CE167" s="838" t="str">
        <f>IFERROR(__xludf.DUMMYFUNCTION("""COMPUTED_VALUE"""),"No")</f>
        <v>No</v>
      </c>
      <c r="CF167" s="838"/>
      <c r="CG167" s="838" t="str">
        <f>IFERROR(__xludf.DUMMYFUNCTION("""COMPUTED_VALUE"""),"99% (Day 14-30)")</f>
        <v>99% (Day 14-30)</v>
      </c>
      <c r="CH167" s="838"/>
      <c r="CI167" s="838"/>
      <c r="CJ167" s="838"/>
      <c r="CK167" s="838"/>
      <c r="CL167" s="838"/>
      <c r="CM167" s="846">
        <f>IFERROR(__xludf.DUMMYFUNCTION("""COMPUTED_VALUE"""),0.992)</f>
        <v>0.992</v>
      </c>
      <c r="CN167" s="838"/>
      <c r="CO167" s="838"/>
      <c r="CP167" s="838"/>
      <c r="CQ167" s="838"/>
      <c r="CR167" s="838"/>
      <c r="CS167" s="838"/>
      <c r="CT167" s="838"/>
      <c r="CU167" s="838"/>
      <c r="CV167" s="697" t="str">
        <f>IFERROR(__xludf.DUMMYFUNCTION("""COMPUTED_VALUE"""),"Vercruysse, Jozef, Jerzy M. Behnke, Marco Albonico, Shaali Makame Ame, Cecile Angelbault, Jeffrey M. Bethony, Dirk Engels, Bertrand Guillard, Nuyen Thi Viet Hoa, Gagandeep Kang, Deepthi Kattula, Andrew C. Kotze, James S. McCarthy, Zeleke Mekonnen, Antonio"&amp;" Montresor, Maria Victoria Periago, Laurentine Sumo, Louis-Albert Tchuem Tchuente, Dang Thi Cam Thach, Ahmed Zeynudin, and Bruno Levecke. ""Assessment of the Anthelmintic Efficacy of Albendazole in School Children in Seven Countries Where Soil-transmitted"&amp;" Helminths Are Endemic."" PLOS Neglected Tropical Diseases. N.p., n.d. Web. March 2011, Volume 5 Issue 3, Pages 1-12")</f>
        <v>Vercruysse, Jozef, Jerzy M. Behnke, Marco Albonico, Shaali Makame Ame, Cecile Angelbault, Jeffrey M. Bethony, Dirk Engels, Bertrand Guillard, Nuyen Thi Viet Hoa, Gagandeep Kang, Deepthi Kattula, Andrew C. Kotze, James S. McCarthy, Zeleke Mekonnen, Antonio Montresor, Maria Victoria Periago, Laurentine Sumo, Louis-Albert Tchuem Tchuente, Dang Thi Cam Thach, Ahmed Zeynudin, and Bruno Levecke. "Assessment of the Anthelmintic Efficacy of Albendazole in School Children in Seven Countries Where Soil-transmitted Helminths Are Endemic." PLOS Neglected Tropical Diseases. N.p., n.d. Web. March 2011, Volume 5 Issue 3, Pages 1-12</v>
      </c>
    </row>
    <row r="168">
      <c r="A168" s="834"/>
      <c r="B168" s="834"/>
      <c r="C168" s="834"/>
      <c r="D168" s="834"/>
      <c r="E168" s="834"/>
      <c r="F168" s="834"/>
      <c r="G168" s="834"/>
      <c r="H168" s="834"/>
      <c r="I168" s="834"/>
      <c r="J168" s="834"/>
      <c r="K168" s="834"/>
      <c r="L168" s="834"/>
      <c r="M168" s="834"/>
      <c r="N168" s="834"/>
      <c r="O168" s="834"/>
      <c r="P168" s="834"/>
      <c r="Q168" s="834"/>
      <c r="R168" s="834"/>
      <c r="S168" s="834"/>
      <c r="T168" s="834"/>
      <c r="U168" s="834"/>
      <c r="V168" s="834"/>
      <c r="W168" s="834"/>
      <c r="X168" s="834"/>
      <c r="Y168" s="834"/>
      <c r="Z168" s="834"/>
      <c r="AA168" s="834"/>
      <c r="AB168" s="834"/>
      <c r="AC168" s="834"/>
      <c r="AD168" s="834"/>
      <c r="AE168" s="834"/>
      <c r="AF168" s="834"/>
      <c r="AG168" s="834"/>
      <c r="AH168" s="834"/>
      <c r="AJ168" s="843" t="str">
        <f>IFERROR(__xludf.DUMMYFUNCTION("""COMPUTED_VALUE"""),"Efficacy and Safety of Ascending Dosages of Moxidectin and Moxidectin-albendazole Against Trichuris trichiura in Adolescents: A Randomized Controlled Trial")</f>
        <v>Efficacy and Safety of Ascending Dosages of Moxidectin and Moxidectin-albendazole Against Trichuris trichiura in Adolescents: A Randomized Controlled Trial</v>
      </c>
      <c r="AK168" s="836" t="str">
        <f>IFERROR(__xludf.DUMMYFUNCTION("""COMPUTED_VALUE"""),"Keller L, Palmeirim MS, Ame SM, Ali SM, Puchkov M, Huwyler J, Hattendorf J, Keiser J. Efficacy and Safety of Ascending Dosages of Moxidectin and Moxidectin-albendazole Against Trichuris trichiura in Adolescents: A Randomized Controlled Trial. Clin Infect "&amp;"Dis. 2020 Mar 3;70(6):1193-1201. doi: 10.1093/cid/ciz326. PMID: 31044235.")</f>
        <v>Keller L, Palmeirim MS, Ame SM, Ali SM, Puchkov M, Huwyler J, Hattendorf J, Keiser J. Efficacy and Safety of Ascending Dosages of Moxidectin and Moxidectin-albendazole Against Trichuris trichiura in Adolescents: A Randomized Controlled Trial. Clin Infect Dis. 2020 Mar 3;70(6):1193-1201. doi: 10.1093/cid/ciz326. PMID: 31044235.</v>
      </c>
      <c r="AL168" s="836" t="str">
        <f>IFERROR(__xludf.DUMMYFUNCTION("""COMPUTED_VALUE"""),"Tanzania")</f>
        <v>Tanzania</v>
      </c>
      <c r="AM168" s="836" t="str">
        <f>IFERROR(__xludf.DUMMYFUNCTION("""COMPUTED_VALUE"""),"Moxidectin &amp; Albendazole")</f>
        <v>Moxidectin &amp; Albendazole</v>
      </c>
      <c r="AN168" s="836" t="str">
        <f>IFERROR(__xludf.DUMMYFUNCTION("""COMPUTED_VALUE"""),"Single")</f>
        <v>Single</v>
      </c>
      <c r="AO168" s="836" t="str">
        <f>IFERROR(__xludf.DUMMYFUNCTION("""COMPUTED_VALUE"""),"24 mg; 400 mg ")</f>
        <v>24 mg; 400 mg </v>
      </c>
      <c r="AP168" s="836">
        <f>IFERROR(__xludf.DUMMYFUNCTION("""COMPUTED_VALUE"""),41.0)</f>
        <v>41</v>
      </c>
      <c r="AQ168" s="836">
        <f>IFERROR(__xludf.DUMMYFUNCTION("""COMPUTED_VALUE"""),17.0)</f>
        <v>17</v>
      </c>
      <c r="AR168" s="836" t="str">
        <f>IFERROR(__xludf.DUMMYFUNCTION("""COMPUTED_VALUE"""),"28M:13F")</f>
        <v>28M:13F</v>
      </c>
      <c r="AS168" s="836">
        <f>IFERROR(__xludf.DUMMYFUNCTION("""COMPUTED_VALUE"""),2018.0)</f>
        <v>2018</v>
      </c>
      <c r="AT168" s="836" t="str">
        <f>IFERROR(__xludf.DUMMYFUNCTION("""COMPUTED_VALUE"""),"Adolescents (16–18  years old) were eligible if they provided 2 stool samples and were positive for T. trichiura.")</f>
        <v>Adolescents (16–18  years old) were eligible if they provided 2 stool samples and were positive for T. trichiura.</v>
      </c>
      <c r="AU168" s="836" t="str">
        <f>IFERROR(__xludf.DUMMYFUNCTION("""COMPUTED_VALUE"""),"Yes")</f>
        <v>Yes</v>
      </c>
      <c r="AV168" s="836" t="str">
        <f>IFERROR(__xludf.DUMMYFUNCTION("""COMPUTED_VALUE"""),"Yes")</f>
        <v>Yes</v>
      </c>
      <c r="AW168" s="836" t="str">
        <f>IFERROR(__xludf.DUMMYFUNCTION("""COMPUTED_VALUE"""),"Single-blind")</f>
        <v>Single-blind</v>
      </c>
      <c r="AX168" s="841">
        <f>IFERROR(__xludf.DUMMYFUNCTION("""COMPUTED_VALUE"""),0.692)</f>
        <v>0.692</v>
      </c>
      <c r="AY168" s="836"/>
      <c r="AZ168" s="836"/>
      <c r="BA168" s="836"/>
      <c r="BB168" s="836"/>
      <c r="BC168" s="836"/>
      <c r="BD168" s="836"/>
      <c r="BE168" s="836"/>
      <c r="BF168" s="836"/>
      <c r="BG168" s="836"/>
      <c r="BH168" s="841">
        <f>IFERROR(__xludf.DUMMYFUNCTION("""COMPUTED_VALUE"""),0.638)</f>
        <v>0.638</v>
      </c>
      <c r="BI168" s="836"/>
      <c r="BJ168" s="836"/>
      <c r="BK168" s="836"/>
      <c r="BL168" s="836"/>
      <c r="BM168" s="836"/>
      <c r="BN168" s="836" t="str">
        <f>IFERROR(__xludf.DUMMYFUNCTION("""COMPUTED_VALUE"""),"Moxidectin-albendazole is superior to moxidectin. There is no benefit of using doses above 8 mg, which is the recommended dose for onchocerciasis. The moxidectin-albendazole combination of 8 mg plus 400 mg should be investigated further to develop recomme"&amp;"ndations for appropriate control of STH infections.")</f>
        <v>Moxidectin-albendazole is superior to moxidectin. There is no benefit of using doses above 8 mg, which is the recommended dose for onchocerciasis. The moxidectin-albendazole combination of 8 mg plus 400 mg should be investigated further to develop recommendations for appropriate control of STH infections.</v>
      </c>
      <c r="BO168" s="836" t="str">
        <f>IFERROR(__xludf.DUMMYFUNCTION("""COMPUTED_VALUE"""),"Kato-Katz technique")</f>
        <v>Kato-Katz technique</v>
      </c>
      <c r="BP168" s="836"/>
      <c r="BQ168" s="697"/>
      <c r="BR168" s="844" t="str">
        <f>IFERROR(__xludf.DUMMYFUNCTION("""COMPUTED_VALUE"""),"Vercruysse et al.")</f>
        <v>Vercruysse et al.</v>
      </c>
      <c r="BS168" s="838" t="str">
        <f>IFERROR(__xludf.DUMMYFUNCTION("""COMPUTED_VALUE"""),"Ethiopia")</f>
        <v>Ethiopia</v>
      </c>
      <c r="BT168" s="838" t="str">
        <f>IFERROR(__xludf.DUMMYFUNCTION("""COMPUTED_VALUE"""),"Albendazole")</f>
        <v>Albendazole</v>
      </c>
      <c r="BU168" s="838"/>
      <c r="BV168" s="838" t="str">
        <f>IFERROR(__xludf.DUMMYFUNCTION("""COMPUTED_VALUE"""),"Single")</f>
        <v>Single</v>
      </c>
      <c r="BW168" s="838" t="str">
        <f>IFERROR(__xludf.DUMMYFUNCTION("""COMPUTED_VALUE"""),"400 mg")</f>
        <v>400 mg</v>
      </c>
      <c r="BX168" s="838">
        <f>IFERROR(__xludf.DUMMYFUNCTION("""COMPUTED_VALUE"""),151.0)</f>
        <v>151</v>
      </c>
      <c r="BY168" s="845">
        <f>IFERROR(__xludf.DUMMYFUNCTION("""COMPUTED_VALUE"""),42478.0)</f>
        <v>42478</v>
      </c>
      <c r="BZ168" s="838"/>
      <c r="CA168" s="838"/>
      <c r="CB168" s="838"/>
      <c r="CC168" s="838" t="str">
        <f>IFERROR(__xludf.DUMMYFUNCTION("""COMPUTED_VALUE"""),"No")</f>
        <v>No</v>
      </c>
      <c r="CD168" s="846">
        <f>IFERROR(__xludf.DUMMYFUNCTION("""COMPUTED_VALUE"""),0.99)</f>
        <v>0.99</v>
      </c>
      <c r="CE168" s="838" t="str">
        <f>IFERROR(__xludf.DUMMYFUNCTION("""COMPUTED_VALUE"""),"No")</f>
        <v>No</v>
      </c>
      <c r="CF168" s="838"/>
      <c r="CG168" s="838" t="str">
        <f>IFERROR(__xludf.DUMMYFUNCTION("""COMPUTED_VALUE"""),"99% (Day 14-30)")</f>
        <v>99% (Day 14-30)</v>
      </c>
      <c r="CH168" s="838"/>
      <c r="CI168" s="838"/>
      <c r="CJ168" s="838"/>
      <c r="CK168" s="838"/>
      <c r="CL168" s="838"/>
      <c r="CM168" s="846">
        <f>IFERROR(__xludf.DUMMYFUNCTION("""COMPUTED_VALUE"""),1.0)</f>
        <v>1</v>
      </c>
      <c r="CN168" s="838"/>
      <c r="CO168" s="838"/>
      <c r="CP168" s="838"/>
      <c r="CQ168" s="838"/>
      <c r="CR168" s="838"/>
      <c r="CS168" s="838"/>
      <c r="CT168" s="838"/>
      <c r="CU168" s="838"/>
      <c r="CV168" s="697" t="str">
        <f>IFERROR(__xludf.DUMMYFUNCTION("""COMPUTED_VALUE"""),"Vercruysse, Jozef, Jerzy M. Behnke, Marco Albonico, Shaali Makame Ame, Cecile Angelbault, Jeffrey M. Bethony, Dirk Engels, Bertrand Guillard, Nuyen Thi Viet Hoa, Gagandeep Kang, Deepthi Kattula, Andrew C. Kotze, James S. McCarthy, Zeleke Mekonnen, Antonio"&amp;" Montresor, Maria Victoria Periago, Laurentine Sumo, Louis-Albert Tchuem Tchuente, Dang Thi Cam Thach, Ahmed Zeynudin, and Bruno Levecke. ""Assessment of the Anthelmintic Efficacy of Albendazole in School Children in Seven Countries Where Soil-transmitted"&amp;" Helminths Are Endemic."" PLOS Neglected Tropical Diseases. N.p., n.d. Web. March 2011, Volume 5 Issue 3, Pages 1-13")</f>
        <v>Vercruysse, Jozef, Jerzy M. Behnke, Marco Albonico, Shaali Makame Ame, Cecile Angelbault, Jeffrey M. Bethony, Dirk Engels, Bertrand Guillard, Nuyen Thi Viet Hoa, Gagandeep Kang, Deepthi Kattula, Andrew C. Kotze, James S. McCarthy, Zeleke Mekonnen, Antonio Montresor, Maria Victoria Periago, Laurentine Sumo, Louis-Albert Tchuem Tchuente, Dang Thi Cam Thach, Ahmed Zeynudin, and Bruno Levecke. "Assessment of the Anthelmintic Efficacy of Albendazole in School Children in Seven Countries Where Soil-transmitted Helminths Are Endemic." PLOS Neglected Tropical Diseases. N.p., n.d. Web. March 2011, Volume 5 Issue 3, Pages 1-13</v>
      </c>
    </row>
    <row r="169">
      <c r="A169" s="834"/>
      <c r="B169" s="834"/>
      <c r="C169" s="834"/>
      <c r="D169" s="834"/>
      <c r="E169" s="834"/>
      <c r="F169" s="834"/>
      <c r="G169" s="834"/>
      <c r="H169" s="834"/>
      <c r="I169" s="834"/>
      <c r="J169" s="834"/>
      <c r="K169" s="834"/>
      <c r="L169" s="834"/>
      <c r="M169" s="834"/>
      <c r="N169" s="834"/>
      <c r="O169" s="834"/>
      <c r="P169" s="834"/>
      <c r="Q169" s="834"/>
      <c r="R169" s="834"/>
      <c r="S169" s="834"/>
      <c r="T169" s="834"/>
      <c r="U169" s="834"/>
      <c r="V169" s="834"/>
      <c r="W169" s="834"/>
      <c r="X169" s="834"/>
      <c r="Y169" s="834"/>
      <c r="Z169" s="834"/>
      <c r="AA169" s="834"/>
      <c r="AB169" s="834"/>
      <c r="AC169" s="834"/>
      <c r="AD169" s="834"/>
      <c r="AE169" s="834"/>
      <c r="AF169" s="834"/>
      <c r="AG169" s="834"/>
      <c r="AH169" s="834"/>
      <c r="AJ169" s="843" t="str">
        <f>IFERROR(__xludf.DUMMYFUNCTION("""COMPUTED_VALUE"""),"Efficacy and safety of ascending dosages of albendazole against Trichuris trichiura in preschool-aged children, school-aged children and adults: A multi-cohort randomized controlled trial")</f>
        <v>Efficacy and safety of ascending dosages of albendazole against Trichuris trichiura in preschool-aged children, school-aged children and adults: A multi-cohort randomized controlled trial</v>
      </c>
      <c r="AK169" s="836" t="str">
        <f>IFERROR(__xludf.DUMMYFUNCTION("""COMPUTED_VALUE"""),"Patel C, Coulibaly JT, Schulz JD, N'Gbesso Y, Hattendorf J, Keiser J. Efficacy and safety of ascending dosages of albendazole against Trichuris trichiura in preschool-aged children, school-aged children and adults: A multi-cohort randomized controlled tri"&amp;"al. EClinicalMedicine. 2020 May 5;22:100335. doi: 10.1016/j.eclinm.2020.100335. PMID: 32405623; PMCID: PMC7210508.")</f>
        <v>Patel C, Coulibaly JT, Schulz JD, N'Gbesso Y, Hattendorf J, Keiser J. Efficacy and safety of ascending dosages of albendazole against Trichuris trichiura in preschool-aged children, school-aged children and adults: A multi-cohort randomized controlled trial. EClinicalMedicine. 2020 May 5;22:100335. doi: 10.1016/j.eclinm.2020.100335. PMID: 32405623; PMCID: PMC7210508.</v>
      </c>
      <c r="AL169" s="836" t="str">
        <f>IFERROR(__xludf.DUMMYFUNCTION("""COMPUTED_VALUE"""),"Côte d'Ivoire")</f>
        <v>Côte d'Ivoire</v>
      </c>
      <c r="AM169" s="836" t="str">
        <f>IFERROR(__xludf.DUMMYFUNCTION("""COMPUTED_VALUE"""),"Albendazole")</f>
        <v>Albendazole</v>
      </c>
      <c r="AN169" s="836" t="str">
        <f>IFERROR(__xludf.DUMMYFUNCTION("""COMPUTED_VALUE"""),"Single")</f>
        <v>Single</v>
      </c>
      <c r="AO169" s="836" t="str">
        <f>IFERROR(__xludf.DUMMYFUNCTION("""COMPUTED_VALUE"""),"200 mg")</f>
        <v>200 mg</v>
      </c>
      <c r="AP169" s="836">
        <f>IFERROR(__xludf.DUMMYFUNCTION("""COMPUTED_VALUE"""),27.0)</f>
        <v>27</v>
      </c>
      <c r="AQ169" s="836">
        <f>IFERROR(__xludf.DUMMYFUNCTION("""COMPUTED_VALUE"""),4.0)</f>
        <v>4</v>
      </c>
      <c r="AR169" s="836" t="str">
        <f>IFERROR(__xludf.DUMMYFUNCTION("""COMPUTED_VALUE"""),"9M:18F")</f>
        <v>9M:18F</v>
      </c>
      <c r="AS169" s="836">
        <f>IFERROR(__xludf.DUMMYFUNCTION("""COMPUTED_VALUE"""),2018.0)</f>
        <v>2018</v>
      </c>
      <c r="AT169" s="836" t="str">
        <f>IFERROR(__xludf.DUMMYFUNCTION("""COMPUTED_VALUE"""),"PSAC, SAC, and adults were eligible if they provided two stool samples and were positive for T. trichiura. Only PSAC with T. trichiura infection intensities 60 eggs per gram of stool (EPG) and SAC and adults with T. trichiura infection intensities 100 EPG"&amp;" were included in the trial.")</f>
        <v>PSAC, SAC, and adults were eligible if they provided two stool samples and were positive for T. trichiura. Only PSAC with T. trichiura infection intensities 60 eggs per gram of stool (EPG) and SAC and adults with T. trichiura infection intensities 100 EPG were included in the trial.</v>
      </c>
      <c r="AU169" s="836" t="str">
        <f>IFERROR(__xludf.DUMMYFUNCTION("""COMPUTED_VALUE"""),"Yes")</f>
        <v>Yes</v>
      </c>
      <c r="AV169" s="836" t="str">
        <f>IFERROR(__xludf.DUMMYFUNCTION("""COMPUTED_VALUE"""),"Yes")</f>
        <v>Yes</v>
      </c>
      <c r="AW169" s="836" t="str">
        <f>IFERROR(__xludf.DUMMYFUNCTION("""COMPUTED_VALUE"""),"Single-blind")</f>
        <v>Single-blind</v>
      </c>
      <c r="AX169" s="841">
        <f>IFERROR(__xludf.DUMMYFUNCTION("""COMPUTED_VALUE"""),0.095)</f>
        <v>0.095</v>
      </c>
      <c r="AY169" s="836"/>
      <c r="AZ169" s="836"/>
      <c r="BA169" s="836"/>
      <c r="BB169" s="836"/>
      <c r="BC169" s="836"/>
      <c r="BD169" s="836"/>
      <c r="BE169" s="836"/>
      <c r="BF169" s="836"/>
      <c r="BG169" s="836"/>
      <c r="BH169" s="841">
        <f>IFERROR(__xludf.DUMMYFUNCTION("""COMPUTED_VALUE"""),0.871)</f>
        <v>0.871</v>
      </c>
      <c r="BI169" s="836"/>
      <c r="BJ169" s="836"/>
      <c r="BK169" s="836"/>
      <c r="BL169" s="836"/>
      <c r="BM169" s="836"/>
      <c r="BN169" s="836" t="str">
        <f>IFERROR(__xludf.DUMMYFUNCTION("""COMPUTED_VALUE"""),"Albendazole shows low efficacy against T. trichiura in all populations and doses studied, though findings for PSAC and adults should be carefully interpreted as recruitment targets were not met. New drugs, treatment regimens, and combinations are needed i"&amp;"n the management of T. trichiura infections")</f>
        <v>Albendazole shows low efficacy against T. trichiura in all populations and doses studied, though findings for PSAC and adults should be carefully interpreted as recruitment targets were not met. New drugs, treatment regimens, and combinations are needed in the management of T. trichiura infections</v>
      </c>
      <c r="BO169" s="836" t="str">
        <f>IFERROR(__xludf.DUMMYFUNCTION("""COMPUTED_VALUE"""),"Kato-Katz technique")</f>
        <v>Kato-Katz technique</v>
      </c>
      <c r="BP169" s="836"/>
      <c r="BQ169" s="697"/>
      <c r="BR169" s="844" t="str">
        <f>IFERROR(__xludf.DUMMYFUNCTION("""COMPUTED_VALUE"""),"Vercruysse et al.")</f>
        <v>Vercruysse et al.</v>
      </c>
      <c r="BS169" s="838" t="str">
        <f>IFERROR(__xludf.DUMMYFUNCTION("""COMPUTED_VALUE"""),"India")</f>
        <v>India</v>
      </c>
      <c r="BT169" s="838" t="str">
        <f>IFERROR(__xludf.DUMMYFUNCTION("""COMPUTED_VALUE"""),"Albendazole")</f>
        <v>Albendazole</v>
      </c>
      <c r="BU169" s="838"/>
      <c r="BV169" s="838" t="str">
        <f>IFERROR(__xludf.DUMMYFUNCTION("""COMPUTED_VALUE"""),"Single")</f>
        <v>Single</v>
      </c>
      <c r="BW169" s="838" t="str">
        <f>IFERROR(__xludf.DUMMYFUNCTION("""COMPUTED_VALUE"""),"400 mg")</f>
        <v>400 mg</v>
      </c>
      <c r="BX169" s="838">
        <f>IFERROR(__xludf.DUMMYFUNCTION("""COMPUTED_VALUE"""),21.0)</f>
        <v>21</v>
      </c>
      <c r="BY169" s="845">
        <f>IFERROR(__xludf.DUMMYFUNCTION("""COMPUTED_VALUE"""),42478.0)</f>
        <v>42478</v>
      </c>
      <c r="BZ169" s="838"/>
      <c r="CA169" s="838"/>
      <c r="CB169" s="838"/>
      <c r="CC169" s="838" t="str">
        <f>IFERROR(__xludf.DUMMYFUNCTION("""COMPUTED_VALUE"""),"No")</f>
        <v>No</v>
      </c>
      <c r="CD169" s="846">
        <f>IFERROR(__xludf.DUMMYFUNCTION("""COMPUTED_VALUE"""),0.95)</f>
        <v>0.95</v>
      </c>
      <c r="CE169" s="838" t="str">
        <f>IFERROR(__xludf.DUMMYFUNCTION("""COMPUTED_VALUE"""),"No")</f>
        <v>No</v>
      </c>
      <c r="CF169" s="838"/>
      <c r="CG169" s="838" t="str">
        <f>IFERROR(__xludf.DUMMYFUNCTION("""COMPUTED_VALUE"""),"95% (Day 14-30)")</f>
        <v>95% (Day 14-30)</v>
      </c>
      <c r="CH169" s="838"/>
      <c r="CI169" s="838"/>
      <c r="CJ169" s="838"/>
      <c r="CK169" s="838"/>
      <c r="CL169" s="838"/>
      <c r="CM169" s="846">
        <f>IFERROR(__xludf.DUMMYFUNCTION("""COMPUTED_VALUE"""),0.989)</f>
        <v>0.989</v>
      </c>
      <c r="CN169" s="838"/>
      <c r="CO169" s="838"/>
      <c r="CP169" s="838"/>
      <c r="CQ169" s="838"/>
      <c r="CR169" s="838"/>
      <c r="CS169" s="838"/>
      <c r="CT169" s="838"/>
      <c r="CU169" s="838"/>
      <c r="CV169" s="697" t="str">
        <f>IFERROR(__xludf.DUMMYFUNCTION("""COMPUTED_VALUE"""),"Vercruysse, Jozef, Jerzy M. Behnke, Marco Albonico, Shaali Makame Ame, Cecile Angelbault, Jeffrey M. Bethony, Dirk Engels, Bertrand Guillard, Nuyen Thi Viet Hoa, Gagandeep Kang, Deepthi Kattula, Andrew C. Kotze, James S. McCarthy, Zeleke Mekonnen, Antonio"&amp;" Montresor, Maria Victoria Periago, Laurentine Sumo, Louis-Albert Tchuem Tchuente, Dang Thi Cam Thach, Ahmed Zeynudin, and Bruno Levecke. ""Assessment of the Anthelmintic Efficacy of Albendazole in School Children in Seven Countries Where Soil-transmitted"&amp;" Helminths Are Endemic."" PLOS Neglected Tropical Diseases. N.p., n.d. Web. March 2011, Volume 5 Issue 3, Pages 1-14")</f>
        <v>Vercruysse, Jozef, Jerzy M. Behnke, Marco Albonico, Shaali Makame Ame, Cecile Angelbault, Jeffrey M. Bethony, Dirk Engels, Bertrand Guillard, Nuyen Thi Viet Hoa, Gagandeep Kang, Deepthi Kattula, Andrew C. Kotze, James S. McCarthy, Zeleke Mekonnen, Antonio Montresor, Maria Victoria Periago, Laurentine Sumo, Louis-Albert Tchuem Tchuente, Dang Thi Cam Thach, Ahmed Zeynudin, and Bruno Levecke. "Assessment of the Anthelmintic Efficacy of Albendazole in School Children in Seven Countries Where Soil-transmitted Helminths Are Endemic." PLOS Neglected Tropical Diseases. N.p., n.d. Web. March 2011, Volume 5 Issue 3, Pages 1-14</v>
      </c>
    </row>
    <row r="170">
      <c r="A170" s="834"/>
      <c r="B170" s="834"/>
      <c r="C170" s="834"/>
      <c r="D170" s="834"/>
      <c r="E170" s="834"/>
      <c r="F170" s="834"/>
      <c r="G170" s="834"/>
      <c r="H170" s="834"/>
      <c r="I170" s="834"/>
      <c r="J170" s="834"/>
      <c r="K170" s="834"/>
      <c r="L170" s="834"/>
      <c r="M170" s="834"/>
      <c r="N170" s="834"/>
      <c r="O170" s="834"/>
      <c r="P170" s="834"/>
      <c r="Q170" s="834"/>
      <c r="R170" s="834"/>
      <c r="S170" s="834"/>
      <c r="T170" s="834"/>
      <c r="U170" s="834"/>
      <c r="V170" s="834"/>
      <c r="W170" s="834"/>
      <c r="X170" s="834"/>
      <c r="Y170" s="834"/>
      <c r="Z170" s="834"/>
      <c r="AA170" s="834"/>
      <c r="AB170" s="834"/>
      <c r="AC170" s="834"/>
      <c r="AD170" s="834"/>
      <c r="AE170" s="834"/>
      <c r="AF170" s="834"/>
      <c r="AG170" s="834"/>
      <c r="AH170" s="834"/>
      <c r="AJ170" s="843" t="str">
        <f>IFERROR(__xludf.DUMMYFUNCTION("""COMPUTED_VALUE"""),"Efficacy and safety of ascending dosages of albendazole against Trichuris trichiura in preschool-aged children, school-aged children and adults: A multi-cohort randomized controlled trial")</f>
        <v>Efficacy and safety of ascending dosages of albendazole against Trichuris trichiura in preschool-aged children, school-aged children and adults: A multi-cohort randomized controlled trial</v>
      </c>
      <c r="AK170" s="836" t="str">
        <f>IFERROR(__xludf.DUMMYFUNCTION("""COMPUTED_VALUE"""),"Patel C, Coulibaly JT, Schulz JD, N'Gbesso Y, Hattendorf J, Keiser J. Efficacy and safety of ascending dosages of albendazole against Trichuris trichiura in preschool-aged children, school-aged children and adults: A multi-cohort randomized controlled tri"&amp;"al. EClinicalMedicine. 2020 May 5;22:100335. doi: 10.1016/j.eclinm.2020.100335. PMID: 32405623; PMCID: PMC7210508.")</f>
        <v>Patel C, Coulibaly JT, Schulz JD, N'Gbesso Y, Hattendorf J, Keiser J. Efficacy and safety of ascending dosages of albendazole against Trichuris trichiura in preschool-aged children, school-aged children and adults: A multi-cohort randomized controlled trial. EClinicalMedicine. 2020 May 5;22:100335. doi: 10.1016/j.eclinm.2020.100335. PMID: 32405623; PMCID: PMC7210508.</v>
      </c>
      <c r="AL170" s="836" t="str">
        <f>IFERROR(__xludf.DUMMYFUNCTION("""COMPUTED_VALUE"""),"Côte d'Ivoire")</f>
        <v>Côte d'Ivoire</v>
      </c>
      <c r="AM170" s="836" t="str">
        <f>IFERROR(__xludf.DUMMYFUNCTION("""COMPUTED_VALUE"""),"Albendazole")</f>
        <v>Albendazole</v>
      </c>
      <c r="AN170" s="836" t="str">
        <f>IFERROR(__xludf.DUMMYFUNCTION("""COMPUTED_VALUE"""),"Single")</f>
        <v>Single</v>
      </c>
      <c r="AO170" s="836" t="str">
        <f>IFERROR(__xludf.DUMMYFUNCTION("""COMPUTED_VALUE"""),"400 mg")</f>
        <v>400 mg</v>
      </c>
      <c r="AP170" s="836">
        <f>IFERROR(__xludf.DUMMYFUNCTION("""COMPUTED_VALUE"""),30.0)</f>
        <v>30</v>
      </c>
      <c r="AQ170" s="836">
        <f>IFERROR(__xludf.DUMMYFUNCTION("""COMPUTED_VALUE"""),3.8)</f>
        <v>3.8</v>
      </c>
      <c r="AR170" s="836" t="str">
        <f>IFERROR(__xludf.DUMMYFUNCTION("""COMPUTED_VALUE"""),"14M:16F")</f>
        <v>14M:16F</v>
      </c>
      <c r="AS170" s="836">
        <f>IFERROR(__xludf.DUMMYFUNCTION("""COMPUTED_VALUE"""),2018.0)</f>
        <v>2018</v>
      </c>
      <c r="AT170" s="836" t="str">
        <f>IFERROR(__xludf.DUMMYFUNCTION("""COMPUTED_VALUE"""),"PSAC, SAC, and adults were eligible if they provided two stool samples and were positive for T. trichiura. Only PSAC with T. trichiura infection intensities 60 eggs per gram of stool (EPG) and SAC and adults with T. trichiura infection intensities 100 EPG"&amp;" were included in the trial.")</f>
        <v>PSAC, SAC, and adults were eligible if they provided two stool samples and were positive for T. trichiura. Only PSAC with T. trichiura infection intensities 60 eggs per gram of stool (EPG) and SAC and adults with T. trichiura infection intensities 100 EPG were included in the trial.</v>
      </c>
      <c r="AU170" s="836" t="str">
        <f>IFERROR(__xludf.DUMMYFUNCTION("""COMPUTED_VALUE"""),"Yes")</f>
        <v>Yes</v>
      </c>
      <c r="AV170" s="836" t="str">
        <f>IFERROR(__xludf.DUMMYFUNCTION("""COMPUTED_VALUE"""),"Yes")</f>
        <v>Yes</v>
      </c>
      <c r="AW170" s="836" t="str">
        <f>IFERROR(__xludf.DUMMYFUNCTION("""COMPUTED_VALUE"""),"Single-blind")</f>
        <v>Single-blind</v>
      </c>
      <c r="AX170" s="841">
        <f>IFERROR(__xludf.DUMMYFUNCTION("""COMPUTED_VALUE"""),0.174)</f>
        <v>0.174</v>
      </c>
      <c r="AY170" s="836"/>
      <c r="AZ170" s="836"/>
      <c r="BA170" s="836"/>
      <c r="BB170" s="836"/>
      <c r="BC170" s="836"/>
      <c r="BD170" s="836"/>
      <c r="BE170" s="836"/>
      <c r="BF170" s="836"/>
      <c r="BG170" s="836"/>
      <c r="BH170" s="841">
        <f>IFERROR(__xludf.DUMMYFUNCTION("""COMPUTED_VALUE"""),0.885)</f>
        <v>0.885</v>
      </c>
      <c r="BI170" s="836"/>
      <c r="BJ170" s="836"/>
      <c r="BK170" s="836"/>
      <c r="BL170" s="836"/>
      <c r="BM170" s="836"/>
      <c r="BN170" s="836" t="str">
        <f>IFERROR(__xludf.DUMMYFUNCTION("""COMPUTED_VALUE"""),"Albendazole shows low efficacy against T. trichiura in all populations and doses studied, though findings for PSAC and adults should be carefully interpreted as recruitment targets were not met. New drugs, treatment regimens, and combinations are needed i"&amp;"n the management of T. trichiura infections")</f>
        <v>Albendazole shows low efficacy against T. trichiura in all populations and doses studied, though findings for PSAC and adults should be carefully interpreted as recruitment targets were not met. New drugs, treatment regimens, and combinations are needed in the management of T. trichiura infections</v>
      </c>
      <c r="BO170" s="836" t="str">
        <f>IFERROR(__xludf.DUMMYFUNCTION("""COMPUTED_VALUE"""),"Kato-Katz technique")</f>
        <v>Kato-Katz technique</v>
      </c>
      <c r="BP170" s="836"/>
      <c r="BQ170" s="697"/>
      <c r="BR170" s="844" t="str">
        <f>IFERROR(__xludf.DUMMYFUNCTION("""COMPUTED_VALUE"""),"Vercruysse et al.")</f>
        <v>Vercruysse et al.</v>
      </c>
      <c r="BS170" s="838" t="str">
        <f>IFERROR(__xludf.DUMMYFUNCTION("""COMPUTED_VALUE"""),"Tanzania")</f>
        <v>Tanzania</v>
      </c>
      <c r="BT170" s="838" t="str">
        <f>IFERROR(__xludf.DUMMYFUNCTION("""COMPUTED_VALUE"""),"Albendazole")</f>
        <v>Albendazole</v>
      </c>
      <c r="BU170" s="838"/>
      <c r="BV170" s="838" t="str">
        <f>IFERROR(__xludf.DUMMYFUNCTION("""COMPUTED_VALUE"""),"Single")</f>
        <v>Single</v>
      </c>
      <c r="BW170" s="838" t="str">
        <f>IFERROR(__xludf.DUMMYFUNCTION("""COMPUTED_VALUE"""),"400 mg")</f>
        <v>400 mg</v>
      </c>
      <c r="BX170" s="838">
        <f>IFERROR(__xludf.DUMMYFUNCTION("""COMPUTED_VALUE"""),279.0)</f>
        <v>279</v>
      </c>
      <c r="BY170" s="845">
        <f>IFERROR(__xludf.DUMMYFUNCTION("""COMPUTED_VALUE"""),42478.0)</f>
        <v>42478</v>
      </c>
      <c r="BZ170" s="838"/>
      <c r="CA170" s="838"/>
      <c r="CB170" s="838"/>
      <c r="CC170" s="838" t="str">
        <f>IFERROR(__xludf.DUMMYFUNCTION("""COMPUTED_VALUE"""),"No")</f>
        <v>No</v>
      </c>
      <c r="CD170" s="846">
        <f>IFERROR(__xludf.DUMMYFUNCTION("""COMPUTED_VALUE"""),0.96)</f>
        <v>0.96</v>
      </c>
      <c r="CE170" s="838" t="str">
        <f>IFERROR(__xludf.DUMMYFUNCTION("""COMPUTED_VALUE"""),"No")</f>
        <v>No</v>
      </c>
      <c r="CF170" s="838"/>
      <c r="CG170" s="838" t="str">
        <f>IFERROR(__xludf.DUMMYFUNCTION("""COMPUTED_VALUE"""),"96% (Day 14-30)")</f>
        <v>96% (Day 14-30)</v>
      </c>
      <c r="CH170" s="838"/>
      <c r="CI170" s="838"/>
      <c r="CJ170" s="838"/>
      <c r="CK170" s="838"/>
      <c r="CL170" s="838"/>
      <c r="CM170" s="846">
        <f>IFERROR(__xludf.DUMMYFUNCTION("""COMPUTED_VALUE"""),1.0)</f>
        <v>1</v>
      </c>
      <c r="CN170" s="838"/>
      <c r="CO170" s="838"/>
      <c r="CP170" s="838"/>
      <c r="CQ170" s="838"/>
      <c r="CR170" s="838"/>
      <c r="CS170" s="838"/>
      <c r="CT170" s="838"/>
      <c r="CU170" s="838"/>
      <c r="CV170" s="697" t="str">
        <f>IFERROR(__xludf.DUMMYFUNCTION("""COMPUTED_VALUE"""),"Vercruysse, Jozef, Jerzy M. Behnke, Marco Albonico, Shaali Makame Ame, Cecile Angelbault, Jeffrey M. Bethony, Dirk Engels, Bertrand Guillard, Nuyen Thi Viet Hoa, Gagandeep Kang, Deepthi Kattula, Andrew C. Kotze, James S. McCarthy, Zeleke Mekonnen, Antonio"&amp;" Montresor, Maria Victoria Periago, Laurentine Sumo, Louis-Albert Tchuem Tchuente, Dang Thi Cam Thach, Ahmed Zeynudin, and Bruno Levecke. ""Assessment of the Anthelmintic Efficacy of Albendazole in School Children in Seven Countries Where Soil-transmitted"&amp;" Helminths Are Endemic."" PLOS Neglected Tropical Diseases. N.p., n.d. Web. March 2011, Volume 5 Issue 3, Pages 1-15")</f>
        <v>Vercruysse, Jozef, Jerzy M. Behnke, Marco Albonico, Shaali Makame Ame, Cecile Angelbault, Jeffrey M. Bethony, Dirk Engels, Bertrand Guillard, Nuyen Thi Viet Hoa, Gagandeep Kang, Deepthi Kattula, Andrew C. Kotze, James S. McCarthy, Zeleke Mekonnen, Antonio Montresor, Maria Victoria Periago, Laurentine Sumo, Louis-Albert Tchuem Tchuente, Dang Thi Cam Thach, Ahmed Zeynudin, and Bruno Levecke. "Assessment of the Anthelmintic Efficacy of Albendazole in School Children in Seven Countries Where Soil-transmitted Helminths Are Endemic." PLOS Neglected Tropical Diseases. N.p., n.d. Web. March 2011, Volume 5 Issue 3, Pages 1-15</v>
      </c>
    </row>
    <row r="171">
      <c r="A171" s="834"/>
      <c r="B171" s="834"/>
      <c r="C171" s="834"/>
      <c r="D171" s="834"/>
      <c r="E171" s="834"/>
      <c r="F171" s="834"/>
      <c r="G171" s="834"/>
      <c r="H171" s="834"/>
      <c r="I171" s="834"/>
      <c r="J171" s="834"/>
      <c r="K171" s="834"/>
      <c r="L171" s="834"/>
      <c r="M171" s="834"/>
      <c r="N171" s="834"/>
      <c r="O171" s="834"/>
      <c r="P171" s="834"/>
      <c r="Q171" s="834"/>
      <c r="R171" s="834"/>
      <c r="S171" s="834"/>
      <c r="T171" s="834"/>
      <c r="U171" s="834"/>
      <c r="V171" s="834"/>
      <c r="W171" s="834"/>
      <c r="X171" s="834"/>
      <c r="Y171" s="834"/>
      <c r="Z171" s="834"/>
      <c r="AA171" s="834"/>
      <c r="AB171" s="834"/>
      <c r="AC171" s="834"/>
      <c r="AD171" s="834"/>
      <c r="AE171" s="834"/>
      <c r="AF171" s="834"/>
      <c r="AG171" s="834"/>
      <c r="AH171" s="834"/>
      <c r="AJ171" s="843" t="str">
        <f>IFERROR(__xludf.DUMMYFUNCTION("""COMPUTED_VALUE"""),"Efficacy and safety of ascending dosages of albendazole against Trichuris trichiura in preschool-aged children, school-aged children and adults: A multi-cohort randomized controlled trial")</f>
        <v>Efficacy and safety of ascending dosages of albendazole against Trichuris trichiura in preschool-aged children, school-aged children and adults: A multi-cohort randomized controlled trial</v>
      </c>
      <c r="AK171" s="836" t="str">
        <f>IFERROR(__xludf.DUMMYFUNCTION("""COMPUTED_VALUE"""),"Patel C, Coulibaly JT, Schulz JD, N'Gbesso Y, Hattendorf J, Keiser J. Efficacy and safety of ascending dosages of albendazole against Trichuris trichiura in preschool-aged children, school-aged children and adults: A multi-cohort randomized controlled tri"&amp;"al. EClinicalMedicine. 2020 May 5;22:100335. doi: 10.1016/j.eclinm.2020.100335. PMID: 32405623; PMCID: PMC7210508.")</f>
        <v>Patel C, Coulibaly JT, Schulz JD, N'Gbesso Y, Hattendorf J, Keiser J. Efficacy and safety of ascending dosages of albendazole against Trichuris trichiura in preschool-aged children, school-aged children and adults: A multi-cohort randomized controlled trial. EClinicalMedicine. 2020 May 5;22:100335. doi: 10.1016/j.eclinm.2020.100335. PMID: 32405623; PMCID: PMC7210508.</v>
      </c>
      <c r="AL171" s="836" t="str">
        <f>IFERROR(__xludf.DUMMYFUNCTION("""COMPUTED_VALUE"""),"Côte d'Ivoire")</f>
        <v>Côte d'Ivoire</v>
      </c>
      <c r="AM171" s="836" t="str">
        <f>IFERROR(__xludf.DUMMYFUNCTION("""COMPUTED_VALUE"""),"Albendazole")</f>
        <v>Albendazole</v>
      </c>
      <c r="AN171" s="836" t="str">
        <f>IFERROR(__xludf.DUMMYFUNCTION("""COMPUTED_VALUE"""),"Single")</f>
        <v>Single</v>
      </c>
      <c r="AO171" s="836" t="str">
        <f>IFERROR(__xludf.DUMMYFUNCTION("""COMPUTED_VALUE"""),"600 mg")</f>
        <v>600 mg</v>
      </c>
      <c r="AP171" s="836">
        <f>IFERROR(__xludf.DUMMYFUNCTION("""COMPUTED_VALUE"""),27.0)</f>
        <v>27</v>
      </c>
      <c r="AQ171" s="836">
        <f>IFERROR(__xludf.DUMMYFUNCTION("""COMPUTED_VALUE"""),4.0)</f>
        <v>4</v>
      </c>
      <c r="AR171" s="836" t="str">
        <f>IFERROR(__xludf.DUMMYFUNCTION("""COMPUTED_VALUE"""),"9M:18F")</f>
        <v>9M:18F</v>
      </c>
      <c r="AS171" s="836">
        <f>IFERROR(__xludf.DUMMYFUNCTION("""COMPUTED_VALUE"""),2018.0)</f>
        <v>2018</v>
      </c>
      <c r="AT171" s="836" t="str">
        <f>IFERROR(__xludf.DUMMYFUNCTION("""COMPUTED_VALUE"""),"PSAC, SAC, and adults were eligible if they provided two stool samples and were positive for T. trichiura. Only PSAC with T. trichiura infection intensities 60 eggs per gram of stool (EPG) and SAC and adults with T. trichiura infection intensities 100 EPG"&amp;" were included in the trial.")</f>
        <v>PSAC, SAC, and adults were eligible if they provided two stool samples and were positive for T. trichiura. Only PSAC with T. trichiura infection intensities 60 eggs per gram of stool (EPG) and SAC and adults with T. trichiura infection intensities 100 EPG were included in the trial.</v>
      </c>
      <c r="AU171" s="836" t="str">
        <f>IFERROR(__xludf.DUMMYFUNCTION("""COMPUTED_VALUE"""),"Yes")</f>
        <v>Yes</v>
      </c>
      <c r="AV171" s="836" t="str">
        <f>IFERROR(__xludf.DUMMYFUNCTION("""COMPUTED_VALUE"""),"Yes")</f>
        <v>Yes</v>
      </c>
      <c r="AW171" s="836" t="str">
        <f>IFERROR(__xludf.DUMMYFUNCTION("""COMPUTED_VALUE"""),"Single-blind")</f>
        <v>Single-blind</v>
      </c>
      <c r="AX171" s="841">
        <f>IFERROR(__xludf.DUMMYFUNCTION("""COMPUTED_VALUE"""),0.278)</f>
        <v>0.278</v>
      </c>
      <c r="AY171" s="836"/>
      <c r="AZ171" s="836"/>
      <c r="BA171" s="836"/>
      <c r="BB171" s="836"/>
      <c r="BC171" s="836"/>
      <c r="BD171" s="836"/>
      <c r="BE171" s="836"/>
      <c r="BF171" s="836"/>
      <c r="BG171" s="836"/>
      <c r="BH171" s="841">
        <f>IFERROR(__xludf.DUMMYFUNCTION("""COMPUTED_VALUE"""),0.82)</f>
        <v>0.82</v>
      </c>
      <c r="BI171" s="836"/>
      <c r="BJ171" s="836"/>
      <c r="BK171" s="836"/>
      <c r="BL171" s="836"/>
      <c r="BM171" s="836"/>
      <c r="BN171" s="836" t="str">
        <f>IFERROR(__xludf.DUMMYFUNCTION("""COMPUTED_VALUE"""),"Albendazole shows low efficacy against T. trichiura in all populations and doses studied, though findings for PSAC and adults should be carefully interpreted as recruitment targets were not met. New drugs, treatment regimens, and combinations are needed i"&amp;"n the management of T. trichiura infections")</f>
        <v>Albendazole shows low efficacy against T. trichiura in all populations and doses studied, though findings for PSAC and adults should be carefully interpreted as recruitment targets were not met. New drugs, treatment regimens, and combinations are needed in the management of T. trichiura infections</v>
      </c>
      <c r="BO171" s="836" t="str">
        <f>IFERROR(__xludf.DUMMYFUNCTION("""COMPUTED_VALUE"""),"Kato-Katz technique")</f>
        <v>Kato-Katz technique</v>
      </c>
      <c r="BP171" s="836"/>
      <c r="BQ171" s="697"/>
      <c r="BR171" s="844" t="str">
        <f>IFERROR(__xludf.DUMMYFUNCTION("""COMPUTED_VALUE"""),"Vercruysse et al.")</f>
        <v>Vercruysse et al.</v>
      </c>
      <c r="BS171" s="838" t="str">
        <f>IFERROR(__xludf.DUMMYFUNCTION("""COMPUTED_VALUE"""),"Vietnam")</f>
        <v>Vietnam</v>
      </c>
      <c r="BT171" s="838" t="str">
        <f>IFERROR(__xludf.DUMMYFUNCTION("""COMPUTED_VALUE"""),"Albendazole")</f>
        <v>Albendazole</v>
      </c>
      <c r="BU171" s="838"/>
      <c r="BV171" s="838" t="str">
        <f>IFERROR(__xludf.DUMMYFUNCTION("""COMPUTED_VALUE"""),"Single")</f>
        <v>Single</v>
      </c>
      <c r="BW171" s="838" t="str">
        <f>IFERROR(__xludf.DUMMYFUNCTION("""COMPUTED_VALUE"""),"400 mg")</f>
        <v>400 mg</v>
      </c>
      <c r="BX171" s="838">
        <f>IFERROR(__xludf.DUMMYFUNCTION("""COMPUTED_VALUE"""),148.0)</f>
        <v>148</v>
      </c>
      <c r="BY171" s="845">
        <f>IFERROR(__xludf.DUMMYFUNCTION("""COMPUTED_VALUE"""),42478.0)</f>
        <v>42478</v>
      </c>
      <c r="BZ171" s="838"/>
      <c r="CA171" s="838"/>
      <c r="CB171" s="838"/>
      <c r="CC171" s="838" t="str">
        <f>IFERROR(__xludf.DUMMYFUNCTION("""COMPUTED_VALUE"""),"No")</f>
        <v>No</v>
      </c>
      <c r="CD171" s="846">
        <f>IFERROR(__xludf.DUMMYFUNCTION("""COMPUTED_VALUE"""),0.99)</f>
        <v>0.99</v>
      </c>
      <c r="CE171" s="838" t="str">
        <f>IFERROR(__xludf.DUMMYFUNCTION("""COMPUTED_VALUE"""),"No")</f>
        <v>No</v>
      </c>
      <c r="CF171" s="838"/>
      <c r="CG171" s="838" t="str">
        <f>IFERROR(__xludf.DUMMYFUNCTION("""COMPUTED_VALUE"""),"99% (Day 14-30)")</f>
        <v>99% (Day 14-30)</v>
      </c>
      <c r="CH171" s="838"/>
      <c r="CI171" s="838"/>
      <c r="CJ171" s="838"/>
      <c r="CK171" s="838"/>
      <c r="CL171" s="838"/>
      <c r="CM171" s="846">
        <f>IFERROR(__xludf.DUMMYFUNCTION("""COMPUTED_VALUE"""),1.0)</f>
        <v>1</v>
      </c>
      <c r="CN171" s="838"/>
      <c r="CO171" s="838"/>
      <c r="CP171" s="838"/>
      <c r="CQ171" s="838"/>
      <c r="CR171" s="838"/>
      <c r="CS171" s="838"/>
      <c r="CT171" s="838"/>
      <c r="CU171" s="838"/>
      <c r="CV171" s="697" t="str">
        <f>IFERROR(__xludf.DUMMYFUNCTION("""COMPUTED_VALUE"""),"Vercruysse, Jozef, Jerzy M. Behnke, Marco Albonico, Shaali Makame Ame, Cecile Angelbault, Jeffrey M. Bethony, Dirk Engels, Bertrand Guillard, Nuyen Thi Viet Hoa, Gagandeep Kang, Deepthi Kattula, Andrew C. Kotze, James S. McCarthy, Zeleke Mekonnen, Antonio"&amp;" Montresor, Maria Victoria Periago, Laurentine Sumo, Louis-Albert Tchuem Tchuente, Dang Thi Cam Thach, Ahmed Zeynudin, and Bruno Levecke. ""Assessment of the Anthelmintic Efficacy of Albendazole in School Children in Seven Countries Where Soil-transmitted"&amp;" Helminths Are Endemic."" PLOS Neglected Tropical Diseases. N.p., n.d. Web. March 2011, Volume 5 Issue 3, Pages 1-16")</f>
        <v>Vercruysse, Jozef, Jerzy M. Behnke, Marco Albonico, Shaali Makame Ame, Cecile Angelbault, Jeffrey M. Bethony, Dirk Engels, Bertrand Guillard, Nuyen Thi Viet Hoa, Gagandeep Kang, Deepthi Kattula, Andrew C. Kotze, James S. McCarthy, Zeleke Mekonnen, Antonio Montresor, Maria Victoria Periago, Laurentine Sumo, Louis-Albert Tchuem Tchuente, Dang Thi Cam Thach, Ahmed Zeynudin, and Bruno Levecke. "Assessment of the Anthelmintic Efficacy of Albendazole in School Children in Seven Countries Where Soil-transmitted Helminths Are Endemic." PLOS Neglected Tropical Diseases. N.p., n.d. Web. March 2011, Volume 5 Issue 3, Pages 1-16</v>
      </c>
    </row>
    <row r="172">
      <c r="A172" s="834"/>
      <c r="B172" s="834"/>
      <c r="C172" s="834"/>
      <c r="D172" s="834"/>
      <c r="E172" s="834"/>
      <c r="F172" s="834"/>
      <c r="G172" s="834"/>
      <c r="H172" s="834"/>
      <c r="I172" s="834"/>
      <c r="J172" s="834"/>
      <c r="K172" s="834"/>
      <c r="L172" s="834"/>
      <c r="M172" s="834"/>
      <c r="N172" s="834"/>
      <c r="O172" s="834"/>
      <c r="P172" s="834"/>
      <c r="Q172" s="834"/>
      <c r="R172" s="834"/>
      <c r="S172" s="834"/>
      <c r="T172" s="834"/>
      <c r="U172" s="834"/>
      <c r="V172" s="834"/>
      <c r="W172" s="834"/>
      <c r="X172" s="834"/>
      <c r="Y172" s="834"/>
      <c r="Z172" s="834"/>
      <c r="AA172" s="834"/>
      <c r="AB172" s="834"/>
      <c r="AC172" s="834"/>
      <c r="AD172" s="834"/>
      <c r="AE172" s="834"/>
      <c r="AF172" s="834"/>
      <c r="AG172" s="834"/>
      <c r="AH172" s="834"/>
      <c r="AJ172" s="843" t="str">
        <f>IFERROR(__xludf.DUMMYFUNCTION("""COMPUTED_VALUE"""),"Efficacy and safety of ascending dosages of albendazole against Trichuris trichiura in preschool-aged children, school-aged children and adults: A multi-cohort randomized controlled trial")</f>
        <v>Efficacy and safety of ascending dosages of albendazole against Trichuris trichiura in preschool-aged children, school-aged children and adults: A multi-cohort randomized controlled trial</v>
      </c>
      <c r="AK172" s="836" t="str">
        <f>IFERROR(__xludf.DUMMYFUNCTION("""COMPUTED_VALUE"""),"Patel C, Coulibaly JT, Schulz JD, N'Gbesso Y, Hattendorf J, Keiser J. Efficacy and safety of ascending dosages of albendazole against Trichuris trichiura in preschool-aged children, school-aged children and adults: A multi-cohort randomized controlled tri"&amp;"al. EClinicalMedicine. 2020 May 5;22:100335. doi: 10.1016/j.eclinm.2020.100335. PMID: 32405623; PMCID: PMC7210508.")</f>
        <v>Patel C, Coulibaly JT, Schulz JD, N'Gbesso Y, Hattendorf J, Keiser J. Efficacy and safety of ascending dosages of albendazole against Trichuris trichiura in preschool-aged children, school-aged children and adults: A multi-cohort randomized controlled trial. EClinicalMedicine. 2020 May 5;22:100335. doi: 10.1016/j.eclinm.2020.100335. PMID: 32405623; PMCID: PMC7210508.</v>
      </c>
      <c r="AL172" s="836" t="str">
        <f>IFERROR(__xludf.DUMMYFUNCTION("""COMPUTED_VALUE"""),"Côte d'Ivoire")</f>
        <v>Côte d'Ivoire</v>
      </c>
      <c r="AM172" s="836" t="str">
        <f>IFERROR(__xludf.DUMMYFUNCTION("""COMPUTED_VALUE"""),"Albendazole")</f>
        <v>Albendazole</v>
      </c>
      <c r="AN172" s="836" t="str">
        <f>IFERROR(__xludf.DUMMYFUNCTION("""COMPUTED_VALUE"""),"Single")</f>
        <v>Single</v>
      </c>
      <c r="AO172" s="836" t="str">
        <f>IFERROR(__xludf.DUMMYFUNCTION("""COMPUTED_VALUE"""),"400 mg")</f>
        <v>400 mg</v>
      </c>
      <c r="AP172" s="836">
        <f>IFERROR(__xludf.DUMMYFUNCTION("""COMPUTED_VALUE"""),45.0)</f>
        <v>45</v>
      </c>
      <c r="AQ172" s="836">
        <f>IFERROR(__xludf.DUMMYFUNCTION("""COMPUTED_VALUE"""),8.9)</f>
        <v>8.9</v>
      </c>
      <c r="AR172" s="836" t="str">
        <f>IFERROR(__xludf.DUMMYFUNCTION("""COMPUTED_VALUE"""),"30M:15F")</f>
        <v>30M:15F</v>
      </c>
      <c r="AS172" s="836">
        <f>IFERROR(__xludf.DUMMYFUNCTION("""COMPUTED_VALUE"""),2018.0)</f>
        <v>2018</v>
      </c>
      <c r="AT172" s="836" t="str">
        <f>IFERROR(__xludf.DUMMYFUNCTION("""COMPUTED_VALUE"""),"PSAC, SAC, and adults were eligible if they provided two stool samples and were positive for T. trichiura. Only PSAC with T. trichiura infection intensities 60 eggs per gram of stool (EPG) and SAC and adults with T. trichiura infection intensities 100 EPG"&amp;" were included in the trial.")</f>
        <v>PSAC, SAC, and adults were eligible if they provided two stool samples and were positive for T. trichiura. Only PSAC with T. trichiura infection intensities 60 eggs per gram of stool (EPG) and SAC and adults with T. trichiura infection intensities 100 EPG were included in the trial.</v>
      </c>
      <c r="AU172" s="836" t="str">
        <f>IFERROR(__xludf.DUMMYFUNCTION("""COMPUTED_VALUE"""),"Yes")</f>
        <v>Yes</v>
      </c>
      <c r="AV172" s="836" t="str">
        <f>IFERROR(__xludf.DUMMYFUNCTION("""COMPUTED_VALUE"""),"Yes")</f>
        <v>Yes</v>
      </c>
      <c r="AW172" s="836" t="str">
        <f>IFERROR(__xludf.DUMMYFUNCTION("""COMPUTED_VALUE"""),"Single-blind")</f>
        <v>Single-blind</v>
      </c>
      <c r="AX172" s="841">
        <f>IFERROR(__xludf.DUMMYFUNCTION("""COMPUTED_VALUE"""),0.163)</f>
        <v>0.163</v>
      </c>
      <c r="AY172" s="836"/>
      <c r="AZ172" s="836"/>
      <c r="BA172" s="836"/>
      <c r="BB172" s="836"/>
      <c r="BC172" s="836"/>
      <c r="BD172" s="836"/>
      <c r="BE172" s="836"/>
      <c r="BF172" s="836"/>
      <c r="BG172" s="836"/>
      <c r="BH172" s="841">
        <f>IFERROR(__xludf.DUMMYFUNCTION("""COMPUTED_VALUE"""),0.884)</f>
        <v>0.884</v>
      </c>
      <c r="BI172" s="836"/>
      <c r="BJ172" s="836"/>
      <c r="BK172" s="836"/>
      <c r="BL172" s="836"/>
      <c r="BM172" s="836"/>
      <c r="BN172" s="836" t="str">
        <f>IFERROR(__xludf.DUMMYFUNCTION("""COMPUTED_VALUE"""),"Albendazole shows low efficacy against T. trichiura in all populations and doses studied, though findings for PSAC and adults should be carefully interpreted as recruitment targets were not met. New drugs, treatment regimens, and combinations are needed i"&amp;"n the management of T. trichiura infections")</f>
        <v>Albendazole shows low efficacy against T. trichiura in all populations and doses studied, though findings for PSAC and adults should be carefully interpreted as recruitment targets were not met. New drugs, treatment regimens, and combinations are needed in the management of T. trichiura infections</v>
      </c>
      <c r="BO172" s="836" t="str">
        <f>IFERROR(__xludf.DUMMYFUNCTION("""COMPUTED_VALUE"""),"Kato-Katz technique")</f>
        <v>Kato-Katz technique</v>
      </c>
      <c r="BP172" s="836"/>
      <c r="BQ172" s="697"/>
      <c r="BR172" s="844" t="str">
        <f>IFERROR(__xludf.DUMMYFUNCTION("""COMPUTED_VALUE"""),"Norhayati et al.")</f>
        <v>Norhayati et al.</v>
      </c>
      <c r="BS172" s="838" t="str">
        <f>IFERROR(__xludf.DUMMYFUNCTION("""COMPUTED_VALUE"""),"Malaysia")</f>
        <v>Malaysia</v>
      </c>
      <c r="BT172" s="838" t="str">
        <f>IFERROR(__xludf.DUMMYFUNCTION("""COMPUTED_VALUE"""),"Albendazole")</f>
        <v>Albendazole</v>
      </c>
      <c r="BU172" s="838"/>
      <c r="BV172" s="838" t="str">
        <f>IFERROR(__xludf.DUMMYFUNCTION("""COMPUTED_VALUE"""),"Single")</f>
        <v>Single</v>
      </c>
      <c r="BW172" s="838" t="str">
        <f>IFERROR(__xludf.DUMMYFUNCTION("""COMPUTED_VALUE"""),"400 mg")</f>
        <v>400 mg</v>
      </c>
      <c r="BX172" s="838">
        <f>IFERROR(__xludf.DUMMYFUNCTION("""COMPUTED_VALUE"""),123.0)</f>
        <v>123</v>
      </c>
      <c r="BY172" s="845">
        <f>IFERROR(__xludf.DUMMYFUNCTION("""COMPUTED_VALUE"""),42382.0)</f>
        <v>42382</v>
      </c>
      <c r="BZ172" s="838">
        <f>IFERROR(__xludf.DUMMYFUNCTION("""COMPUTED_VALUE"""),1997.0)</f>
        <v>1997</v>
      </c>
      <c r="CA172" s="838"/>
      <c r="CB172" s="838"/>
      <c r="CC172" s="838" t="str">
        <f>IFERROR(__xludf.DUMMYFUNCTION("""COMPUTED_VALUE"""),"No")</f>
        <v>No</v>
      </c>
      <c r="CD172" s="847">
        <f>IFERROR(__xludf.DUMMYFUNCTION("""COMPUTED_VALUE"""),0.974)</f>
        <v>0.974</v>
      </c>
      <c r="CE172" s="838" t="str">
        <f>IFERROR(__xludf.DUMMYFUNCTION("""COMPUTED_VALUE"""),"No")</f>
        <v>No</v>
      </c>
      <c r="CF172" s="838"/>
      <c r="CG172" s="838"/>
      <c r="CH172" s="847">
        <f>IFERROR(__xludf.DUMMYFUNCTION("""COMPUTED_VALUE"""),0.974)</f>
        <v>0.974</v>
      </c>
      <c r="CI172" s="838"/>
      <c r="CJ172" s="838"/>
      <c r="CK172" s="838"/>
      <c r="CL172" s="847">
        <f>IFERROR(__xludf.DUMMYFUNCTION("""COMPUTED_VALUE"""),0.4286)</f>
        <v>0.4286</v>
      </c>
      <c r="CM172" s="847">
        <f>IFERROR(__xludf.DUMMYFUNCTION("""COMPUTED_VALUE"""),0.999)</f>
        <v>0.999</v>
      </c>
      <c r="CN172" s="838"/>
      <c r="CO172" s="838"/>
      <c r="CP172" s="838"/>
      <c r="CQ172" s="838"/>
      <c r="CR172" s="838"/>
      <c r="CS172" s="838"/>
      <c r="CT172" s="838" t="str">
        <f>IFERROR(__xludf.DUMMYFUNCTION("""COMPUTED_VALUE"""),"Kato-Katz Method")</f>
        <v>Kato-Katz Method</v>
      </c>
      <c r="CU172" s="838"/>
      <c r="CV172" s="697" t="str">
        <f>IFERROR(__xludf.DUMMYFUNCTION("""COMPUTED_VALUE"""),"Norhayati, M., P. Oothuman, O. Azizi, and MS Fatmah. ""Efficacy of Single Dose Albendazole on the Prevalence and Intensity of Infection of Soil Transmitted Helminths in Orang Asli Children in Malaysia."" Department of Parasitology 28.3 (1997): 563-68. Web"&amp;".")</f>
        <v>Norhayati, M., P. Oothuman, O. Azizi, and MS Fatmah. "Efficacy of Single Dose Albendazole on the Prevalence and Intensity of Infection of Soil Transmitted Helminths in Orang Asli Children in Malaysia." Department of Parasitology 28.3 (1997): 563-68. Web.</v>
      </c>
    </row>
    <row r="173">
      <c r="A173" s="834"/>
      <c r="B173" s="834"/>
      <c r="C173" s="834"/>
      <c r="D173" s="834"/>
      <c r="E173" s="834"/>
      <c r="F173" s="834"/>
      <c r="G173" s="834"/>
      <c r="H173" s="834"/>
      <c r="I173" s="834"/>
      <c r="J173" s="834"/>
      <c r="K173" s="834"/>
      <c r="L173" s="834"/>
      <c r="M173" s="834"/>
      <c r="N173" s="834"/>
      <c r="O173" s="834"/>
      <c r="P173" s="834"/>
      <c r="Q173" s="834"/>
      <c r="R173" s="834"/>
      <c r="S173" s="834"/>
      <c r="T173" s="834"/>
      <c r="U173" s="834"/>
      <c r="V173" s="834"/>
      <c r="W173" s="834"/>
      <c r="X173" s="834"/>
      <c r="Y173" s="834"/>
      <c r="Z173" s="834"/>
      <c r="AA173" s="834"/>
      <c r="AB173" s="834"/>
      <c r="AC173" s="834"/>
      <c r="AD173" s="834"/>
      <c r="AE173" s="834"/>
      <c r="AF173" s="834"/>
      <c r="AG173" s="834"/>
      <c r="AH173" s="834"/>
      <c r="AJ173" s="843" t="str">
        <f>IFERROR(__xludf.DUMMYFUNCTION("""COMPUTED_VALUE"""),"Efficacy and safety of ascending dosages of albendazole against Trichuris trichiura in preschool-aged children, school-aged children and adults: A multi-cohort randomized controlled trial")</f>
        <v>Efficacy and safety of ascending dosages of albendazole against Trichuris trichiura in preschool-aged children, school-aged children and adults: A multi-cohort randomized controlled trial</v>
      </c>
      <c r="AK173" s="836" t="str">
        <f>IFERROR(__xludf.DUMMYFUNCTION("""COMPUTED_VALUE"""),"Patel C, Coulibaly JT, Schulz JD, N'Gbesso Y, Hattendorf J, Keiser J. Efficacy and safety of ascending dosages of albendazole against Trichuris trichiura in preschool-aged children, school-aged children and adults: A multi-cohort randomized controlled tri"&amp;"al. EClinicalMedicine. 2020 May 5;22:100335. doi: 10.1016/j.eclinm.2020.100335. PMID: 32405623; PMCID: PMC7210508.")</f>
        <v>Patel C, Coulibaly JT, Schulz JD, N'Gbesso Y, Hattendorf J, Keiser J. Efficacy and safety of ascending dosages of albendazole against Trichuris trichiura in preschool-aged children, school-aged children and adults: A multi-cohort randomized controlled trial. EClinicalMedicine. 2020 May 5;22:100335. doi: 10.1016/j.eclinm.2020.100335. PMID: 32405623; PMCID: PMC7210508.</v>
      </c>
      <c r="AL173" s="836" t="str">
        <f>IFERROR(__xludf.DUMMYFUNCTION("""COMPUTED_VALUE"""),"Côte d'Ivoire")</f>
        <v>Côte d'Ivoire</v>
      </c>
      <c r="AM173" s="836" t="str">
        <f>IFERROR(__xludf.DUMMYFUNCTION("""COMPUTED_VALUE"""),"Albendazole")</f>
        <v>Albendazole</v>
      </c>
      <c r="AN173" s="836" t="str">
        <f>IFERROR(__xludf.DUMMYFUNCTION("""COMPUTED_VALUE"""),"Single")</f>
        <v>Single</v>
      </c>
      <c r="AO173" s="836" t="str">
        <f>IFERROR(__xludf.DUMMYFUNCTION("""COMPUTED_VALUE"""),"600 mg")</f>
        <v>600 mg</v>
      </c>
      <c r="AP173" s="836">
        <f>IFERROR(__xludf.DUMMYFUNCTION("""COMPUTED_VALUE"""),46.0)</f>
        <v>46</v>
      </c>
      <c r="AQ173" s="836">
        <f>IFERROR(__xludf.DUMMYFUNCTION("""COMPUTED_VALUE"""),8.7)</f>
        <v>8.7</v>
      </c>
      <c r="AR173" s="836" t="str">
        <f>IFERROR(__xludf.DUMMYFUNCTION("""COMPUTED_VALUE"""),"27M:19F")</f>
        <v>27M:19F</v>
      </c>
      <c r="AS173" s="836">
        <f>IFERROR(__xludf.DUMMYFUNCTION("""COMPUTED_VALUE"""),2018.0)</f>
        <v>2018</v>
      </c>
      <c r="AT173" s="836" t="str">
        <f>IFERROR(__xludf.DUMMYFUNCTION("""COMPUTED_VALUE"""),"PSAC, SAC, and adults were eligible if they provided two stool samples and were positive for T. trichiura. Only PSAC with T. trichiura infection intensities 60 eggs per gram of stool (EPG) and SAC and adults with T. trichiura infection intensities 100 EPG"&amp;" were included in the trial.")</f>
        <v>PSAC, SAC, and adults were eligible if they provided two stool samples and were positive for T. trichiura. Only PSAC with T. trichiura infection intensities 60 eggs per gram of stool (EPG) and SAC and adults with T. trichiura infection intensities 100 EPG were included in the trial.</v>
      </c>
      <c r="AU173" s="836" t="str">
        <f>IFERROR(__xludf.DUMMYFUNCTION("""COMPUTED_VALUE"""),"Yes")</f>
        <v>Yes</v>
      </c>
      <c r="AV173" s="836" t="str">
        <f>IFERROR(__xludf.DUMMYFUNCTION("""COMPUTED_VALUE"""),"Yes")</f>
        <v>Yes</v>
      </c>
      <c r="AW173" s="836" t="str">
        <f>IFERROR(__xludf.DUMMYFUNCTION("""COMPUTED_VALUE"""),"Single-blind")</f>
        <v>Single-blind</v>
      </c>
      <c r="AX173" s="841">
        <f>IFERROR(__xludf.DUMMYFUNCTION("""COMPUTED_VALUE"""),0.256)</f>
        <v>0.256</v>
      </c>
      <c r="AY173" s="836"/>
      <c r="AZ173" s="836"/>
      <c r="BA173" s="836"/>
      <c r="BB173" s="836"/>
      <c r="BC173" s="836"/>
      <c r="BD173" s="836"/>
      <c r="BE173" s="836"/>
      <c r="BF173" s="836"/>
      <c r="BG173" s="836"/>
      <c r="BH173" s="841">
        <f>IFERROR(__xludf.DUMMYFUNCTION("""COMPUTED_VALUE"""),0.788)</f>
        <v>0.788</v>
      </c>
      <c r="BI173" s="836"/>
      <c r="BJ173" s="836"/>
      <c r="BK173" s="836"/>
      <c r="BL173" s="836"/>
      <c r="BM173" s="836"/>
      <c r="BN173" s="836" t="str">
        <f>IFERROR(__xludf.DUMMYFUNCTION("""COMPUTED_VALUE"""),"Albendazole shows low efficacy against T. trichiura in all populations and doses studied, though findings for PSAC and adults should be carefully interpreted as recruitment targets were not met. New drugs, treatment regimens, and combinations are needed i"&amp;"n the management of T. trichiura infections")</f>
        <v>Albendazole shows low efficacy against T. trichiura in all populations and doses studied, though findings for PSAC and adults should be carefully interpreted as recruitment targets were not met. New drugs, treatment regimens, and combinations are needed in the management of T. trichiura infections</v>
      </c>
      <c r="BO173" s="836" t="str">
        <f>IFERROR(__xludf.DUMMYFUNCTION("""COMPUTED_VALUE"""),"Kato-Katz technique")</f>
        <v>Kato-Katz technique</v>
      </c>
      <c r="BP173" s="836"/>
      <c r="BQ173" s="697"/>
      <c r="BR173" s="844" t="str">
        <f>IFERROR(__xludf.DUMMYFUNCTION("""COMPUTED_VALUE"""),"Wen et al.")</f>
        <v>Wen et al.</v>
      </c>
      <c r="BS173" s="838" t="str">
        <f>IFERROR(__xludf.DUMMYFUNCTION("""COMPUTED_VALUE"""),"China")</f>
        <v>China</v>
      </c>
      <c r="BT173" s="838" t="str">
        <f>IFERROR(__xludf.DUMMYFUNCTION("""COMPUTED_VALUE"""),"Ivermectin")</f>
        <v>Ivermectin</v>
      </c>
      <c r="BU173" s="838"/>
      <c r="BV173" s="838" t="str">
        <f>IFERROR(__xludf.DUMMYFUNCTION("""COMPUTED_VALUE"""),"Single")</f>
        <v>Single</v>
      </c>
      <c r="BW173" s="838" t="str">
        <f>IFERROR(__xludf.DUMMYFUNCTION("""COMPUTED_VALUE"""),"0.2 mg")</f>
        <v>0.2 mg</v>
      </c>
      <c r="BX173" s="838">
        <f>IFERROR(__xludf.DUMMYFUNCTION("""COMPUTED_VALUE"""),102.0)</f>
        <v>102</v>
      </c>
      <c r="BY173" s="845">
        <f>IFERROR(__xludf.DUMMYFUNCTION("""COMPUTED_VALUE"""),42382.0)</f>
        <v>42382</v>
      </c>
      <c r="BZ173" s="838"/>
      <c r="CA173" s="838" t="str">
        <f>IFERROR(__xludf.DUMMYFUNCTION("""COMPUTED_VALUE"""),"36 male; 66 female")</f>
        <v>36 male; 66 female</v>
      </c>
      <c r="CB173" s="838"/>
      <c r="CC173" s="838" t="str">
        <f>IFERROR(__xludf.DUMMYFUNCTION("""COMPUTED_VALUE"""),"Yes")</f>
        <v>Yes</v>
      </c>
      <c r="CD173" s="847">
        <f>IFERROR(__xludf.DUMMYFUNCTION("""COMPUTED_VALUE"""),1.0)</f>
        <v>1</v>
      </c>
      <c r="CE173" s="838" t="str">
        <f>IFERROR(__xludf.DUMMYFUNCTION("""COMPUTED_VALUE"""),"Yes")</f>
        <v>Yes</v>
      </c>
      <c r="CF173" s="838"/>
      <c r="CG173" s="838"/>
      <c r="CH173" s="838"/>
      <c r="CI173" s="838"/>
      <c r="CJ173" s="838"/>
      <c r="CK173" s="838"/>
      <c r="CL173" s="838"/>
      <c r="CM173" s="847">
        <f>IFERROR(__xludf.DUMMYFUNCTION("""COMPUTED_VALUE"""),1.0)</f>
        <v>1</v>
      </c>
      <c r="CN173" s="838"/>
      <c r="CO173" s="838"/>
      <c r="CP173" s="838"/>
      <c r="CQ173" s="838"/>
      <c r="CR173" s="838"/>
      <c r="CS173" s="838"/>
      <c r="CT173" s="838" t="str">
        <f>IFERROR(__xludf.DUMMYFUNCTION("""COMPUTED_VALUE"""),"Kato-Katz Method")</f>
        <v>Kato-Katz Method</v>
      </c>
      <c r="CU173" s="838"/>
      <c r="CV173" s="697" t="str">
        <f>IFERROR(__xludf.DUMMYFUNCTION("""COMPUTED_VALUE"""),"Wen, L., Yan, X., Sun, F., Fang, Y., Yang, M., Lou, L. “A randomized, double-blind, multicenter clinical trial on the efficacy of ivermectin against intestinal nematode infections in China”. Acta Tropica 106 (2008): 190-194. Web.")</f>
        <v>Wen, L., Yan, X., Sun, F., Fang, Y., Yang, M., Lou, L. “A randomized, double-blind, multicenter clinical trial on the efficacy of ivermectin against intestinal nematode infections in China”. Acta Tropica 106 (2008): 190-194. Web.</v>
      </c>
    </row>
    <row r="174">
      <c r="A174" s="834"/>
      <c r="B174" s="834"/>
      <c r="C174" s="834"/>
      <c r="D174" s="834"/>
      <c r="E174" s="834"/>
      <c r="F174" s="834"/>
      <c r="G174" s="834"/>
      <c r="H174" s="834"/>
      <c r="I174" s="834"/>
      <c r="J174" s="834"/>
      <c r="K174" s="834"/>
      <c r="L174" s="834"/>
      <c r="M174" s="834"/>
      <c r="N174" s="834"/>
      <c r="O174" s="834"/>
      <c r="P174" s="834"/>
      <c r="Q174" s="834"/>
      <c r="R174" s="834"/>
      <c r="S174" s="834"/>
      <c r="T174" s="834"/>
      <c r="U174" s="834"/>
      <c r="V174" s="834"/>
      <c r="W174" s="834"/>
      <c r="X174" s="834"/>
      <c r="Y174" s="834"/>
      <c r="Z174" s="834"/>
      <c r="AA174" s="834"/>
      <c r="AB174" s="834"/>
      <c r="AC174" s="834"/>
      <c r="AD174" s="834"/>
      <c r="AE174" s="834"/>
      <c r="AF174" s="834"/>
      <c r="AG174" s="834"/>
      <c r="AH174" s="834"/>
      <c r="AJ174" s="843" t="str">
        <f>IFERROR(__xludf.DUMMYFUNCTION("""COMPUTED_VALUE"""),"Efficacy and safety of ascending dosages of albendazole against Trichuris trichiura in preschool-aged children, school-aged children and adults: A multi-cohort randomized controlled trial")</f>
        <v>Efficacy and safety of ascending dosages of albendazole against Trichuris trichiura in preschool-aged children, school-aged children and adults: A multi-cohort randomized controlled trial</v>
      </c>
      <c r="AK174" s="836" t="str">
        <f>IFERROR(__xludf.DUMMYFUNCTION("""COMPUTED_VALUE"""),"Patel C, Coulibaly JT, Schulz JD, N'Gbesso Y, Hattendorf J, Keiser J. Efficacy and safety of ascending dosages of albendazole against Trichuris trichiura in preschool-aged children, school-aged children and adults: A multi-cohort randomized controlled tri"&amp;"al. EClinicalMedicine. 2020 May 5;22:100335. doi: 10.1016/j.eclinm.2020.100335. PMID: 32405623; PMCID: PMC7210508.")</f>
        <v>Patel C, Coulibaly JT, Schulz JD, N'Gbesso Y, Hattendorf J, Keiser J. Efficacy and safety of ascending dosages of albendazole against Trichuris trichiura in preschool-aged children, school-aged children and adults: A multi-cohort randomized controlled trial. EClinicalMedicine. 2020 May 5;22:100335. doi: 10.1016/j.eclinm.2020.100335. PMID: 32405623; PMCID: PMC7210508.</v>
      </c>
      <c r="AL174" s="836" t="str">
        <f>IFERROR(__xludf.DUMMYFUNCTION("""COMPUTED_VALUE"""),"Côte d'Ivoire")</f>
        <v>Côte d'Ivoire</v>
      </c>
      <c r="AM174" s="836" t="str">
        <f>IFERROR(__xludf.DUMMYFUNCTION("""COMPUTED_VALUE"""),"Albendazole")</f>
        <v>Albendazole</v>
      </c>
      <c r="AN174" s="836" t="str">
        <f>IFERROR(__xludf.DUMMYFUNCTION("""COMPUTED_VALUE"""),"Single")</f>
        <v>Single</v>
      </c>
      <c r="AO174" s="836" t="str">
        <f>IFERROR(__xludf.DUMMYFUNCTION("""COMPUTED_VALUE"""),"800 mg")</f>
        <v>800 mg</v>
      </c>
      <c r="AP174" s="836">
        <f>IFERROR(__xludf.DUMMYFUNCTION("""COMPUTED_VALUE"""),43.0)</f>
        <v>43</v>
      </c>
      <c r="AQ174" s="836">
        <f>IFERROR(__xludf.DUMMYFUNCTION("""COMPUTED_VALUE"""),8.8)</f>
        <v>8.8</v>
      </c>
      <c r="AR174" s="836" t="str">
        <f>IFERROR(__xludf.DUMMYFUNCTION("""COMPUTED_VALUE"""),"26M:17F")</f>
        <v>26M:17F</v>
      </c>
      <c r="AS174" s="836">
        <f>IFERROR(__xludf.DUMMYFUNCTION("""COMPUTED_VALUE"""),2018.0)</f>
        <v>2018</v>
      </c>
      <c r="AT174" s="836" t="str">
        <f>IFERROR(__xludf.DUMMYFUNCTION("""COMPUTED_VALUE"""),"PSAC, SAC, and adults were eligible if they provided two stool samples and were positive for T. trichiura. Only PSAC with T. trichiura infection intensities 60 eggs per gram of stool (EPG) and SAC and adults with T. trichiura infection intensities 100 EPG"&amp;" were included in the trial.")</f>
        <v>PSAC, SAC, and adults were eligible if they provided two stool samples and were positive for T. trichiura. Only PSAC with T. trichiura infection intensities 60 eggs per gram of stool (EPG) and SAC and adults with T. trichiura infection intensities 100 EPG were included in the trial.</v>
      </c>
      <c r="AU174" s="836" t="str">
        <f>IFERROR(__xludf.DUMMYFUNCTION("""COMPUTED_VALUE"""),"Yes")</f>
        <v>Yes</v>
      </c>
      <c r="AV174" s="836" t="str">
        <f>IFERROR(__xludf.DUMMYFUNCTION("""COMPUTED_VALUE"""),"Yes")</f>
        <v>Yes</v>
      </c>
      <c r="AW174" s="836" t="str">
        <f>IFERROR(__xludf.DUMMYFUNCTION("""COMPUTED_VALUE"""),"Single-blind")</f>
        <v>Single-blind</v>
      </c>
      <c r="AX174" s="841">
        <f>IFERROR(__xludf.DUMMYFUNCTION("""COMPUTED_VALUE"""),0.171)</f>
        <v>0.171</v>
      </c>
      <c r="AY174" s="836"/>
      <c r="AZ174" s="836"/>
      <c r="BA174" s="836"/>
      <c r="BB174" s="836"/>
      <c r="BC174" s="836"/>
      <c r="BD174" s="836"/>
      <c r="BE174" s="836"/>
      <c r="BF174" s="836"/>
      <c r="BG174" s="836"/>
      <c r="BH174" s="841">
        <f>IFERROR(__xludf.DUMMYFUNCTION("""COMPUTED_VALUE"""),0.977)</f>
        <v>0.977</v>
      </c>
      <c r="BI174" s="836"/>
      <c r="BJ174" s="836"/>
      <c r="BK174" s="836"/>
      <c r="BL174" s="836"/>
      <c r="BM174" s="836"/>
      <c r="BN174" s="836" t="str">
        <f>IFERROR(__xludf.DUMMYFUNCTION("""COMPUTED_VALUE"""),"Albendazole shows low efficacy against T. trichiura in all populations and doses studied, though findings for PSAC and adults should be carefully interpreted as recruitment targets were not met. New drugs, treatment regimens, and combinations are needed i"&amp;"n the management of T. trichiura infections")</f>
        <v>Albendazole shows low efficacy against T. trichiura in all populations and doses studied, though findings for PSAC and adults should be carefully interpreted as recruitment targets were not met. New drugs, treatment regimens, and combinations are needed in the management of T. trichiura infections</v>
      </c>
      <c r="BO174" s="836" t="str">
        <f>IFERROR(__xludf.DUMMYFUNCTION("""COMPUTED_VALUE"""),"Kato-Katz technique")</f>
        <v>Kato-Katz technique</v>
      </c>
      <c r="BP174" s="836"/>
      <c r="BQ174" s="697"/>
      <c r="BR174" s="844" t="str">
        <f>IFERROR(__xludf.DUMMYFUNCTION("""COMPUTED_VALUE"""),"Wen et al.")</f>
        <v>Wen et al.</v>
      </c>
      <c r="BS174" s="838" t="str">
        <f>IFERROR(__xludf.DUMMYFUNCTION("""COMPUTED_VALUE"""),"China")</f>
        <v>China</v>
      </c>
      <c r="BT174" s="838" t="str">
        <f>IFERROR(__xludf.DUMMYFUNCTION("""COMPUTED_VALUE"""),"Albendazole")</f>
        <v>Albendazole</v>
      </c>
      <c r="BU174" s="838"/>
      <c r="BV174" s="838" t="str">
        <f>IFERROR(__xludf.DUMMYFUNCTION("""COMPUTED_VALUE"""),"Single")</f>
        <v>Single</v>
      </c>
      <c r="BW174" s="838" t="str">
        <f>IFERROR(__xludf.DUMMYFUNCTION("""COMPUTED_VALUE"""),"6.7 mg")</f>
        <v>6.7 mg</v>
      </c>
      <c r="BX174" s="838">
        <f>IFERROR(__xludf.DUMMYFUNCTION("""COMPUTED_VALUE"""),102.0)</f>
        <v>102</v>
      </c>
      <c r="BY174" s="845">
        <f>IFERROR(__xludf.DUMMYFUNCTION("""COMPUTED_VALUE"""),42382.0)</f>
        <v>42382</v>
      </c>
      <c r="BZ174" s="838"/>
      <c r="CA174" s="838" t="str">
        <f>IFERROR(__xludf.DUMMYFUNCTION("""COMPUTED_VALUE"""),"43 male; 59 female")</f>
        <v>43 male; 59 female</v>
      </c>
      <c r="CB174" s="838"/>
      <c r="CC174" s="838" t="str">
        <f>IFERROR(__xludf.DUMMYFUNCTION("""COMPUTED_VALUE"""),"Yes")</f>
        <v>Yes</v>
      </c>
      <c r="CD174" s="846">
        <f>IFERROR(__xludf.DUMMYFUNCTION("""COMPUTED_VALUE"""),0.99)</f>
        <v>0.99</v>
      </c>
      <c r="CE174" s="838" t="str">
        <f>IFERROR(__xludf.DUMMYFUNCTION("""COMPUTED_VALUE"""),"Yes")</f>
        <v>Yes</v>
      </c>
      <c r="CF174" s="838"/>
      <c r="CG174" s="838"/>
      <c r="CH174" s="838"/>
      <c r="CI174" s="838"/>
      <c r="CJ174" s="838"/>
      <c r="CK174" s="838"/>
      <c r="CL174" s="838"/>
      <c r="CM174" s="847">
        <f>IFERROR(__xludf.DUMMYFUNCTION("""COMPUTED_VALUE"""),0.985)</f>
        <v>0.985</v>
      </c>
      <c r="CN174" s="838"/>
      <c r="CO174" s="838"/>
      <c r="CP174" s="838"/>
      <c r="CQ174" s="838"/>
      <c r="CR174" s="838"/>
      <c r="CS174" s="838"/>
      <c r="CT174" s="838"/>
      <c r="CU174" s="838"/>
      <c r="CV174" s="697" t="str">
        <f>IFERROR(__xludf.DUMMYFUNCTION("""COMPUTED_VALUE"""),"Wen, L., Yan, X., Sun, F., Fang, Y., Yang, M., Lou, L. “A randomized, double-blind, multicenter clinical trial on the efficacy of ivermectin against intestinal nematode infections in China”. Acta Tropica 106 (2008): 190-194. Web.")</f>
        <v>Wen, L., Yan, X., Sun, F., Fang, Y., Yang, M., Lou, L. “A randomized, double-blind, multicenter clinical trial on the efficacy of ivermectin against intestinal nematode infections in China”. Acta Tropica 106 (2008): 190-194. Web.</v>
      </c>
    </row>
    <row r="175">
      <c r="A175" s="834"/>
      <c r="B175" s="834"/>
      <c r="C175" s="834"/>
      <c r="D175" s="834"/>
      <c r="E175" s="834"/>
      <c r="F175" s="834"/>
      <c r="G175" s="834"/>
      <c r="H175" s="834"/>
      <c r="I175" s="834"/>
      <c r="J175" s="834"/>
      <c r="K175" s="834"/>
      <c r="L175" s="834"/>
      <c r="M175" s="834"/>
      <c r="N175" s="834"/>
      <c r="O175" s="834"/>
      <c r="P175" s="834"/>
      <c r="Q175" s="834"/>
      <c r="R175" s="834"/>
      <c r="S175" s="834"/>
      <c r="T175" s="834"/>
      <c r="U175" s="834"/>
      <c r="V175" s="834"/>
      <c r="W175" s="834"/>
      <c r="X175" s="834"/>
      <c r="Y175" s="834"/>
      <c r="Z175" s="834"/>
      <c r="AA175" s="834"/>
      <c r="AB175" s="834"/>
      <c r="AC175" s="834"/>
      <c r="AD175" s="834"/>
      <c r="AE175" s="834"/>
      <c r="AF175" s="834"/>
      <c r="AG175" s="834"/>
      <c r="AH175" s="834"/>
      <c r="AJ175" s="843" t="str">
        <f>IFERROR(__xludf.DUMMYFUNCTION("""COMPUTED_VALUE"""),"Efficacy and safety of ascending dosages of albendazole against Trichuris trichiura in preschool-aged children, school-aged children and adults: A multi-cohort randomized controlled trial")</f>
        <v>Efficacy and safety of ascending dosages of albendazole against Trichuris trichiura in preschool-aged children, school-aged children and adults: A multi-cohort randomized controlled trial</v>
      </c>
      <c r="AK175" s="836" t="str">
        <f>IFERROR(__xludf.DUMMYFUNCTION("""COMPUTED_VALUE"""),"Patel C, Coulibaly JT, Schulz JD, N'Gbesso Y, Hattendorf J, Keiser J. Efficacy and safety of ascending dosages of albendazole against Trichuris trichiura in preschool-aged children, school-aged children and adults: A multi-cohort randomized controlled tri"&amp;"al. EClinicalMedicine. 2020 May 5;22:100335. doi: 10.1016/j.eclinm.2020.100335. PMID: 32405623; PMCID: PMC7210508.")</f>
        <v>Patel C, Coulibaly JT, Schulz JD, N'Gbesso Y, Hattendorf J, Keiser J. Efficacy and safety of ascending dosages of albendazole against Trichuris trichiura in preschool-aged children, school-aged children and adults: A multi-cohort randomized controlled trial. EClinicalMedicine. 2020 May 5;22:100335. doi: 10.1016/j.eclinm.2020.100335. PMID: 32405623; PMCID: PMC7210508.</v>
      </c>
      <c r="AL175" s="836" t="str">
        <f>IFERROR(__xludf.DUMMYFUNCTION("""COMPUTED_VALUE"""),"Côte d'Ivoire")</f>
        <v>Côte d'Ivoire</v>
      </c>
      <c r="AM175" s="836" t="str">
        <f>IFERROR(__xludf.DUMMYFUNCTION("""COMPUTED_VALUE"""),"Albendazole")</f>
        <v>Albendazole</v>
      </c>
      <c r="AN175" s="836" t="str">
        <f>IFERROR(__xludf.DUMMYFUNCTION("""COMPUTED_VALUE"""),"Single")</f>
        <v>Single</v>
      </c>
      <c r="AO175" s="836" t="str">
        <f>IFERROR(__xludf.DUMMYFUNCTION("""COMPUTED_VALUE"""),"400 mg")</f>
        <v>400 mg</v>
      </c>
      <c r="AP175" s="836">
        <f>IFERROR(__xludf.DUMMYFUNCTION("""COMPUTED_VALUE"""),11.0)</f>
        <v>11</v>
      </c>
      <c r="AQ175" s="836">
        <f>IFERROR(__xludf.DUMMYFUNCTION("""COMPUTED_VALUE"""),40.5)</f>
        <v>40.5</v>
      </c>
      <c r="AR175" s="836" t="str">
        <f>IFERROR(__xludf.DUMMYFUNCTION("""COMPUTED_VALUE"""),"2M:9F")</f>
        <v>2M:9F</v>
      </c>
      <c r="AS175" s="836">
        <f>IFERROR(__xludf.DUMMYFUNCTION("""COMPUTED_VALUE"""),2018.0)</f>
        <v>2018</v>
      </c>
      <c r="AT175" s="836" t="str">
        <f>IFERROR(__xludf.DUMMYFUNCTION("""COMPUTED_VALUE"""),"PSAC, SAC, and adults were eligible if they provided two stool samples and were positive for T. trichiura. Only PSAC with T. trichiura infection intensities 60 eggs per gram of stool (EPG) and SAC and adults with T. trichiura infection intensities 100 EPG"&amp;" were included in the trial.")</f>
        <v>PSAC, SAC, and adults were eligible if they provided two stool samples and were positive for T. trichiura. Only PSAC with T. trichiura infection intensities 60 eggs per gram of stool (EPG) and SAC and adults with T. trichiura infection intensities 100 EPG were included in the trial.</v>
      </c>
      <c r="AU175" s="836" t="str">
        <f>IFERROR(__xludf.DUMMYFUNCTION("""COMPUTED_VALUE"""),"Yes")</f>
        <v>Yes</v>
      </c>
      <c r="AV175" s="836" t="str">
        <f>IFERROR(__xludf.DUMMYFUNCTION("""COMPUTED_VALUE"""),"Yes")</f>
        <v>Yes</v>
      </c>
      <c r="AW175" s="836" t="str">
        <f>IFERROR(__xludf.DUMMYFUNCTION("""COMPUTED_VALUE"""),"Single-blind")</f>
        <v>Single-blind</v>
      </c>
      <c r="AX175" s="841">
        <f>IFERROR(__xludf.DUMMYFUNCTION("""COMPUTED_VALUE"""),0.556)</f>
        <v>0.556</v>
      </c>
      <c r="AY175" s="836"/>
      <c r="AZ175" s="836"/>
      <c r="BA175" s="836"/>
      <c r="BB175" s="836"/>
      <c r="BC175" s="836"/>
      <c r="BD175" s="836"/>
      <c r="BE175" s="836"/>
      <c r="BF175" s="836"/>
      <c r="BG175" s="836"/>
      <c r="BH175" s="841">
        <f>IFERROR(__xludf.DUMMYFUNCTION("""COMPUTED_VALUE"""),0.947)</f>
        <v>0.947</v>
      </c>
      <c r="BI175" s="836"/>
      <c r="BJ175" s="836"/>
      <c r="BK175" s="836"/>
      <c r="BL175" s="836"/>
      <c r="BM175" s="836"/>
      <c r="BN175" s="836" t="str">
        <f>IFERROR(__xludf.DUMMYFUNCTION("""COMPUTED_VALUE"""),"Albendazole shows low efficacy against T. trichiura in all populations and doses studied, though findings for PSAC and adults should be carefully interpreted as recruitment targets were not met. New drugs, treatment regimens, and combinations are needed i"&amp;"n the management of T. trichiura infections")</f>
        <v>Albendazole shows low efficacy against T. trichiura in all populations and doses studied, though findings for PSAC and adults should be carefully interpreted as recruitment targets were not met. New drugs, treatment regimens, and combinations are needed in the management of T. trichiura infections</v>
      </c>
      <c r="BO175" s="836" t="str">
        <f>IFERROR(__xludf.DUMMYFUNCTION("""COMPUTED_VALUE"""),"Kato-Katz technique")</f>
        <v>Kato-Katz technique</v>
      </c>
      <c r="BP175" s="836"/>
      <c r="BQ175" s="697"/>
      <c r="BR175" s="844" t="str">
        <f>IFERROR(__xludf.DUMMYFUNCTION("""COMPUTED_VALUE"""),"Das et al")</f>
        <v>Das et al</v>
      </c>
      <c r="BS175" s="838" t="str">
        <f>IFERROR(__xludf.DUMMYFUNCTION("""COMPUTED_VALUE"""),"India ")</f>
        <v>India </v>
      </c>
      <c r="BT175" s="838" t="str">
        <f>IFERROR(__xludf.DUMMYFUNCTION("""COMPUTED_VALUE"""),"Diethylcarbamazine")</f>
        <v>Diethylcarbamazine</v>
      </c>
      <c r="BU175" s="838"/>
      <c r="BV175" s="838" t="str">
        <f>IFERROR(__xludf.DUMMYFUNCTION("""COMPUTED_VALUE"""),"Single")</f>
        <v>Single</v>
      </c>
      <c r="BW175" s="838" t="str">
        <f>IFERROR(__xludf.DUMMYFUNCTION("""COMPUTED_VALUE"""),"6 mg")</f>
        <v>6 mg</v>
      </c>
      <c r="BX175" s="838">
        <f>IFERROR(__xludf.DUMMYFUNCTION("""COMPUTED_VALUE"""),711.0)</f>
        <v>711</v>
      </c>
      <c r="BY175" s="838"/>
      <c r="BZ175" s="838">
        <f>IFERROR(__xludf.DUMMYFUNCTION("""COMPUTED_VALUE"""),1998.0)</f>
        <v>1998</v>
      </c>
      <c r="CA175" s="838"/>
      <c r="CB175" s="838"/>
      <c r="CC175" s="838" t="str">
        <f>IFERROR(__xludf.DUMMYFUNCTION("""COMPUTED_VALUE"""),"Yes")</f>
        <v>Yes</v>
      </c>
      <c r="CD175" s="846">
        <f>IFERROR(__xludf.DUMMYFUNCTION("""COMPUTED_VALUE"""),0.48)</f>
        <v>0.48</v>
      </c>
      <c r="CE175" s="838" t="str">
        <f>IFERROR(__xludf.DUMMYFUNCTION("""COMPUTED_VALUE"""),"Yes")</f>
        <v>Yes</v>
      </c>
      <c r="CF175" s="838"/>
      <c r="CG175" s="838"/>
      <c r="CH175" s="838"/>
      <c r="CI175" s="838"/>
      <c r="CJ175" s="838"/>
      <c r="CK175" s="838"/>
      <c r="CL175" s="838"/>
      <c r="CM175" s="846">
        <f>IFERROR(__xludf.DUMMYFUNCTION("""COMPUTED_VALUE"""),0.65)</f>
        <v>0.65</v>
      </c>
      <c r="CN175" s="838"/>
      <c r="CO175" s="838"/>
      <c r="CP175" s="838"/>
      <c r="CQ175" s="838"/>
      <c r="CR175" s="838"/>
      <c r="CS175" s="838"/>
      <c r="CT175" s="838"/>
      <c r="CU175" s="838"/>
      <c r="CV175" s="697" t="str">
        <f>IFERROR(__xludf.DUMMYFUNCTION("""COMPUTED_VALUE"""),"P. K. Das, K. D. Ramaiah, P. Vanamail, S. P. Pani, J. Yuvaraj, K. Balarajan and D. A. P. Bundy. V. ’ Vector Control Research Centre, Medical Complex, Indira Nagar, Pondichery 605006, India; ’ Wellcome Trust Centre for the Epidemiology of Infectious Diseas"&amp;"e, University of Oxford, South Parks Road, Oxford OX1 3FY, UK")</f>
        <v>P. K. Das, K. D. Ramaiah, P. Vanamail, S. P. Pani, J. Yuvaraj, K. Balarajan and D. A. P. Bundy. V. ’ Vector Control Research Centre, Medical Complex, Indira Nagar, Pondichery 605006, India; ’ Wellcome Trust Centre for the Epidemiology of Infectious Disease, University of Oxford, South Parks Road, Oxford OX1 3FY, UK</v>
      </c>
    </row>
    <row r="176">
      <c r="A176" s="834"/>
      <c r="B176" s="834"/>
      <c r="C176" s="834"/>
      <c r="D176" s="834"/>
      <c r="E176" s="834"/>
      <c r="F176" s="834"/>
      <c r="G176" s="834"/>
      <c r="H176" s="834"/>
      <c r="I176" s="834"/>
      <c r="J176" s="834"/>
      <c r="K176" s="834"/>
      <c r="L176" s="834"/>
      <c r="M176" s="834"/>
      <c r="N176" s="834"/>
      <c r="O176" s="834"/>
      <c r="P176" s="834"/>
      <c r="Q176" s="834"/>
      <c r="R176" s="834"/>
      <c r="S176" s="834"/>
      <c r="T176" s="834"/>
      <c r="U176" s="834"/>
      <c r="V176" s="834"/>
      <c r="W176" s="834"/>
      <c r="X176" s="834"/>
      <c r="Y176" s="834"/>
      <c r="Z176" s="834"/>
      <c r="AA176" s="834"/>
      <c r="AB176" s="834"/>
      <c r="AC176" s="834"/>
      <c r="AD176" s="834"/>
      <c r="AE176" s="834"/>
      <c r="AF176" s="834"/>
      <c r="AG176" s="834"/>
      <c r="AH176" s="834"/>
      <c r="AJ176" s="843" t="str">
        <f>IFERROR(__xludf.DUMMYFUNCTION("""COMPUTED_VALUE"""),"Efficacy and safety of ascending dosages of albendazole against Trichuris trichiura in preschool-aged children, school-aged children and adults: A multi-cohort randomized controlled trial")</f>
        <v>Efficacy and safety of ascending dosages of albendazole against Trichuris trichiura in preschool-aged children, school-aged children and adults: A multi-cohort randomized controlled trial</v>
      </c>
      <c r="AK176" s="836" t="str">
        <f>IFERROR(__xludf.DUMMYFUNCTION("""COMPUTED_VALUE"""),"Patel C, Coulibaly JT, Schulz JD, N'Gbesso Y, Hattendorf J, Keiser J. Efficacy and safety of ascending dosages of albendazole against Trichuris trichiura in preschool-aged children, school-aged children and adults: A multi-cohort randomized controlled tri"&amp;"al. EClinicalMedicine. 2020 May 5;22:100335. doi: 10.1016/j.eclinm.2020.100335. PMID: 32405623; PMCID: PMC7210508.")</f>
        <v>Patel C, Coulibaly JT, Schulz JD, N'Gbesso Y, Hattendorf J, Keiser J. Efficacy and safety of ascending dosages of albendazole against Trichuris trichiura in preschool-aged children, school-aged children and adults: A multi-cohort randomized controlled trial. EClinicalMedicine. 2020 May 5;22:100335. doi: 10.1016/j.eclinm.2020.100335. PMID: 32405623; PMCID: PMC7210508.</v>
      </c>
      <c r="AL176" s="836" t="str">
        <f>IFERROR(__xludf.DUMMYFUNCTION("""COMPUTED_VALUE"""),"Côte d'Ivoire")</f>
        <v>Côte d'Ivoire</v>
      </c>
      <c r="AM176" s="836" t="str">
        <f>IFERROR(__xludf.DUMMYFUNCTION("""COMPUTED_VALUE"""),"Albendazole")</f>
        <v>Albendazole</v>
      </c>
      <c r="AN176" s="836" t="str">
        <f>IFERROR(__xludf.DUMMYFUNCTION("""COMPUTED_VALUE"""),"Single")</f>
        <v>Single</v>
      </c>
      <c r="AO176" s="836" t="str">
        <f>IFERROR(__xludf.DUMMYFUNCTION("""COMPUTED_VALUE"""),"600 mg")</f>
        <v>600 mg</v>
      </c>
      <c r="AP176" s="836">
        <f>IFERROR(__xludf.DUMMYFUNCTION("""COMPUTED_VALUE"""),9.0)</f>
        <v>9</v>
      </c>
      <c r="AQ176" s="836">
        <f>IFERROR(__xludf.DUMMYFUNCTION("""COMPUTED_VALUE"""),36.6)</f>
        <v>36.6</v>
      </c>
      <c r="AR176" s="836" t="str">
        <f>IFERROR(__xludf.DUMMYFUNCTION("""COMPUTED_VALUE"""),"2M:7F")</f>
        <v>2M:7F</v>
      </c>
      <c r="AS176" s="836">
        <f>IFERROR(__xludf.DUMMYFUNCTION("""COMPUTED_VALUE"""),2018.0)</f>
        <v>2018</v>
      </c>
      <c r="AT176" s="836" t="str">
        <f>IFERROR(__xludf.DUMMYFUNCTION("""COMPUTED_VALUE"""),"PSAC, SAC, and adults were eligible if they provided two stool samples and were positive for T. trichiura. Only PSAC with T. trichiura infection intensities 60 eggs per gram of stool (EPG) and SAC and adults with T. trichiura infection intensities 100 EPG"&amp;" were included in the trial.")</f>
        <v>PSAC, SAC, and adults were eligible if they provided two stool samples and were positive for T. trichiura. Only PSAC with T. trichiura infection intensities 60 eggs per gram of stool (EPG) and SAC and adults with T. trichiura infection intensities 100 EPG were included in the trial.</v>
      </c>
      <c r="AU176" s="836" t="str">
        <f>IFERROR(__xludf.DUMMYFUNCTION("""COMPUTED_VALUE"""),"Yes")</f>
        <v>Yes</v>
      </c>
      <c r="AV176" s="836" t="str">
        <f>IFERROR(__xludf.DUMMYFUNCTION("""COMPUTED_VALUE"""),"Yes")</f>
        <v>Yes</v>
      </c>
      <c r="AW176" s="836" t="str">
        <f>IFERROR(__xludf.DUMMYFUNCTION("""COMPUTED_VALUE"""),"Single-blind")</f>
        <v>Single-blind</v>
      </c>
      <c r="AX176" s="850">
        <f>IFERROR(__xludf.DUMMYFUNCTION("""COMPUTED_VALUE"""),0.5)</f>
        <v>0.5</v>
      </c>
      <c r="AY176" s="836"/>
      <c r="AZ176" s="836"/>
      <c r="BA176" s="836"/>
      <c r="BB176" s="836"/>
      <c r="BC176" s="836"/>
      <c r="BD176" s="836"/>
      <c r="BE176" s="836"/>
      <c r="BF176" s="836"/>
      <c r="BG176" s="836"/>
      <c r="BH176" s="841">
        <f>IFERROR(__xludf.DUMMYFUNCTION("""COMPUTED_VALUE"""),0.926)</f>
        <v>0.926</v>
      </c>
      <c r="BI176" s="836"/>
      <c r="BJ176" s="836"/>
      <c r="BK176" s="836"/>
      <c r="BL176" s="836"/>
      <c r="BM176" s="836"/>
      <c r="BN176" s="836" t="str">
        <f>IFERROR(__xludf.DUMMYFUNCTION("""COMPUTED_VALUE"""),"Albendazole shows low efficacy against T. trichiura in all populations and doses studied, though findings for PSAC and adults should be carefully interpreted as recruitment targets were not met. New drugs, treatment regimens, and combinations are needed i"&amp;"n the management of T. trichiura infections")</f>
        <v>Albendazole shows low efficacy against T. trichiura in all populations and doses studied, though findings for PSAC and adults should be carefully interpreted as recruitment targets were not met. New drugs, treatment regimens, and combinations are needed in the management of T. trichiura infections</v>
      </c>
      <c r="BO176" s="836" t="str">
        <f>IFERROR(__xludf.DUMMYFUNCTION("""COMPUTED_VALUE"""),"Kato-Katz technique")</f>
        <v>Kato-Katz technique</v>
      </c>
      <c r="BP176" s="836"/>
      <c r="BQ176" s="697"/>
      <c r="BR176" s="844" t="str">
        <f>IFERROR(__xludf.DUMMYFUNCTION("""COMPUTED_VALUE"""),"Das et al")</f>
        <v>Das et al</v>
      </c>
      <c r="BS176" s="838" t="str">
        <f>IFERROR(__xludf.DUMMYFUNCTION("""COMPUTED_VALUE"""),"India")</f>
        <v>India</v>
      </c>
      <c r="BT176" s="838" t="str">
        <f>IFERROR(__xludf.DUMMYFUNCTION("""COMPUTED_VALUE"""),"Ivermectin")</f>
        <v>Ivermectin</v>
      </c>
      <c r="BU176" s="838"/>
      <c r="BV176" s="838" t="str">
        <f>IFERROR(__xludf.DUMMYFUNCTION("""COMPUTED_VALUE"""),"Single")</f>
        <v>Single</v>
      </c>
      <c r="BW176" s="838" t="str">
        <f>IFERROR(__xludf.DUMMYFUNCTION("""COMPUTED_VALUE"""),"400 mg")</f>
        <v>400 mg</v>
      </c>
      <c r="BX176" s="838">
        <f>IFERROR(__xludf.DUMMYFUNCTION("""COMPUTED_VALUE"""),614.0)</f>
        <v>614</v>
      </c>
      <c r="BY176" s="838"/>
      <c r="BZ176" s="838">
        <f>IFERROR(__xludf.DUMMYFUNCTION("""COMPUTED_VALUE"""),1998.0)</f>
        <v>1998</v>
      </c>
      <c r="CA176" s="838"/>
      <c r="CB176" s="838"/>
      <c r="CC176" s="838" t="str">
        <f>IFERROR(__xludf.DUMMYFUNCTION("""COMPUTED_VALUE"""),"Yes")</f>
        <v>Yes</v>
      </c>
      <c r="CD176" s="846">
        <f>IFERROR(__xludf.DUMMYFUNCTION("""COMPUTED_VALUE"""),0.6)</f>
        <v>0.6</v>
      </c>
      <c r="CE176" s="838" t="str">
        <f>IFERROR(__xludf.DUMMYFUNCTION("""COMPUTED_VALUE"""),"Yes")</f>
        <v>Yes</v>
      </c>
      <c r="CF176" s="838"/>
      <c r="CG176" s="838"/>
      <c r="CH176" s="838"/>
      <c r="CI176" s="838"/>
      <c r="CJ176" s="838"/>
      <c r="CK176" s="838"/>
      <c r="CL176" s="838"/>
      <c r="CM176" s="846">
        <f>IFERROR(__xludf.DUMMYFUNCTION("""COMPUTED_VALUE"""),0.8)</f>
        <v>0.8</v>
      </c>
      <c r="CN176" s="838"/>
      <c r="CO176" s="838"/>
      <c r="CP176" s="838"/>
      <c r="CQ176" s="838"/>
      <c r="CR176" s="838"/>
      <c r="CS176" s="838"/>
      <c r="CT176" s="838"/>
      <c r="CU176" s="838"/>
      <c r="CV176" s="697" t="str">
        <f>IFERROR(__xludf.DUMMYFUNCTION("""COMPUTED_VALUE"""),"P. K. Das, K. D. Ramaiah, P. Vanamail, S. P. Pani, J. Yuvaraj, K. Balarajan and D. A. P. Bundy. V. ’ Vector Control Research Centre, Medical Complex, Indira Nagar, Pondichery 605006, India; ’ Wellcome Trust Centre for the Epidemiology of Infectious Diseas"&amp;"e, University of Oxford, South Parks Road, Oxford OX1 3FY, UK")</f>
        <v>P. K. Das, K. D. Ramaiah, P. Vanamail, S. P. Pani, J. Yuvaraj, K. Balarajan and D. A. P. Bundy. V. ’ Vector Control Research Centre, Medical Complex, Indira Nagar, Pondichery 605006, India; ’ Wellcome Trust Centre for the Epidemiology of Infectious Disease, University of Oxford, South Parks Road, Oxford OX1 3FY, UK</v>
      </c>
    </row>
    <row r="177">
      <c r="A177" s="834"/>
      <c r="B177" s="834"/>
      <c r="C177" s="834"/>
      <c r="D177" s="834"/>
      <c r="E177" s="834"/>
      <c r="F177" s="834"/>
      <c r="G177" s="834"/>
      <c r="H177" s="834"/>
      <c r="I177" s="834"/>
      <c r="J177" s="834"/>
      <c r="K177" s="834"/>
      <c r="L177" s="834"/>
      <c r="M177" s="834"/>
      <c r="N177" s="834"/>
      <c r="O177" s="834"/>
      <c r="P177" s="834"/>
      <c r="Q177" s="834"/>
      <c r="R177" s="834"/>
      <c r="S177" s="834"/>
      <c r="T177" s="834"/>
      <c r="U177" s="834"/>
      <c r="V177" s="834"/>
      <c r="W177" s="834"/>
      <c r="X177" s="834"/>
      <c r="Y177" s="834"/>
      <c r="Z177" s="834"/>
      <c r="AA177" s="834"/>
      <c r="AB177" s="834"/>
      <c r="AC177" s="834"/>
      <c r="AD177" s="834"/>
      <c r="AE177" s="834"/>
      <c r="AF177" s="834"/>
      <c r="AG177" s="834"/>
      <c r="AH177" s="834"/>
      <c r="AJ177" s="843" t="str">
        <f>IFERROR(__xludf.DUMMYFUNCTION("""COMPUTED_VALUE"""),"Efficacy and safety of ascending dosages of albendazole against Trichuris trichiura in preschool-aged children, school-aged children and adults: A multi-cohort randomized controlled trial")</f>
        <v>Efficacy and safety of ascending dosages of albendazole against Trichuris trichiura in preschool-aged children, school-aged children and adults: A multi-cohort randomized controlled trial</v>
      </c>
      <c r="AK177" s="836" t="str">
        <f>IFERROR(__xludf.DUMMYFUNCTION("""COMPUTED_VALUE"""),"Patel C, Coulibaly JT, Schulz JD, N'Gbesso Y, Hattendorf J, Keiser J. Efficacy and safety of ascending dosages of albendazole against Trichuris trichiura in preschool-aged children, school-aged children and adults: A multi-cohort randomized controlled tri"&amp;"al. EClinicalMedicine. 2020 May 5;22:100335. doi: 10.1016/j.eclinm.2020.100335. PMID: 32405623; PMCID: PMC7210508.")</f>
        <v>Patel C, Coulibaly JT, Schulz JD, N'Gbesso Y, Hattendorf J, Keiser J. Efficacy and safety of ascending dosages of albendazole against Trichuris trichiura in preschool-aged children, school-aged children and adults: A multi-cohort randomized controlled trial. EClinicalMedicine. 2020 May 5;22:100335. doi: 10.1016/j.eclinm.2020.100335. PMID: 32405623; PMCID: PMC7210508.</v>
      </c>
      <c r="AL177" s="836" t="str">
        <f>IFERROR(__xludf.DUMMYFUNCTION("""COMPUTED_VALUE"""),"Côte d'Ivoire")</f>
        <v>Côte d'Ivoire</v>
      </c>
      <c r="AM177" s="836" t="str">
        <f>IFERROR(__xludf.DUMMYFUNCTION("""COMPUTED_VALUE"""),"Albendazole")</f>
        <v>Albendazole</v>
      </c>
      <c r="AN177" s="836" t="str">
        <f>IFERROR(__xludf.DUMMYFUNCTION("""COMPUTED_VALUE"""),"Single")</f>
        <v>Single</v>
      </c>
      <c r="AO177" s="836" t="str">
        <f>IFERROR(__xludf.DUMMYFUNCTION("""COMPUTED_VALUE"""),"800 mg")</f>
        <v>800 mg</v>
      </c>
      <c r="AP177" s="836">
        <f>IFERROR(__xludf.DUMMYFUNCTION("""COMPUTED_VALUE"""),12.0)</f>
        <v>12</v>
      </c>
      <c r="AQ177" s="836">
        <f>IFERROR(__xludf.DUMMYFUNCTION("""COMPUTED_VALUE"""),44.8)</f>
        <v>44.8</v>
      </c>
      <c r="AR177" s="836" t="str">
        <f>IFERROR(__xludf.DUMMYFUNCTION("""COMPUTED_VALUE"""),"4M:8F")</f>
        <v>4M:8F</v>
      </c>
      <c r="AS177" s="836">
        <f>IFERROR(__xludf.DUMMYFUNCTION("""COMPUTED_VALUE"""),2018.0)</f>
        <v>2018</v>
      </c>
      <c r="AT177" s="836" t="str">
        <f>IFERROR(__xludf.DUMMYFUNCTION("""COMPUTED_VALUE"""),"PSAC, SAC, and adults were eligible if they provided two stool samples and were positive for T. trichiura. Only PSAC with T. trichiura infection intensities 60 eggs per gram of stool (EPG) and SAC and adults with T. trichiura infection intensities 100 EPG"&amp;" were included in the trial.")</f>
        <v>PSAC, SAC, and adults were eligible if they provided two stool samples and were positive for T. trichiura. Only PSAC with T. trichiura infection intensities 60 eggs per gram of stool (EPG) and SAC and adults with T. trichiura infection intensities 100 EPG were included in the trial.</v>
      </c>
      <c r="AU177" s="836" t="str">
        <f>IFERROR(__xludf.DUMMYFUNCTION("""COMPUTED_VALUE"""),"Yes")</f>
        <v>Yes</v>
      </c>
      <c r="AV177" s="836" t="str">
        <f>IFERROR(__xludf.DUMMYFUNCTION("""COMPUTED_VALUE"""),"Yes")</f>
        <v>Yes</v>
      </c>
      <c r="AW177" s="836" t="str">
        <f>IFERROR(__xludf.DUMMYFUNCTION("""COMPUTED_VALUE"""),"Single-blind")</f>
        <v>Single-blind</v>
      </c>
      <c r="AX177" s="841">
        <f>IFERROR(__xludf.DUMMYFUNCTION("""COMPUTED_VALUE"""),0.273)</f>
        <v>0.273</v>
      </c>
      <c r="AY177" s="836"/>
      <c r="AZ177" s="836"/>
      <c r="BA177" s="836"/>
      <c r="BB177" s="836"/>
      <c r="BC177" s="836"/>
      <c r="BD177" s="836"/>
      <c r="BE177" s="836"/>
      <c r="BF177" s="836"/>
      <c r="BG177" s="836"/>
      <c r="BH177" s="841">
        <f>IFERROR(__xludf.DUMMYFUNCTION("""COMPUTED_VALUE"""),0.836)</f>
        <v>0.836</v>
      </c>
      <c r="BI177" s="836"/>
      <c r="BJ177" s="836"/>
      <c r="BK177" s="836"/>
      <c r="BL177" s="836"/>
      <c r="BM177" s="836"/>
      <c r="BN177" s="836" t="str">
        <f>IFERROR(__xludf.DUMMYFUNCTION("""COMPUTED_VALUE"""),"Albendazole shows low efficacy against T. trichiura in all populations and doses studied, though findings for PSAC and adults should be carefully interpreted as recruitment targets were not met. New drugs, treatment regimens, and combinations are needed i"&amp;"n the management of T. trichiura infections")</f>
        <v>Albendazole shows low efficacy against T. trichiura in all populations and doses studied, though findings for PSAC and adults should be carefully interpreted as recruitment targets were not met. New drugs, treatment regimens, and combinations are needed in the management of T. trichiura infections</v>
      </c>
      <c r="BO177" s="836" t="str">
        <f>IFERROR(__xludf.DUMMYFUNCTION("""COMPUTED_VALUE"""),"Kato-Katz technique")</f>
        <v>Kato-Katz technique</v>
      </c>
      <c r="BP177" s="836"/>
      <c r="BQ177" s="697"/>
      <c r="BR177" s="844" t="str">
        <f>IFERROR(__xludf.DUMMYFUNCTION("""COMPUTED_VALUE"""),"Das et al")</f>
        <v>Das et al</v>
      </c>
      <c r="BS177" s="838" t="str">
        <f>IFERROR(__xludf.DUMMYFUNCTION("""COMPUTED_VALUE"""),"India ")</f>
        <v>India </v>
      </c>
      <c r="BT177" s="838" t="str">
        <f>IFERROR(__xludf.DUMMYFUNCTION("""COMPUTED_VALUE"""),"Placebo")</f>
        <v>Placebo</v>
      </c>
      <c r="BU177" s="838"/>
      <c r="BV177" s="838"/>
      <c r="BW177" s="838"/>
      <c r="BX177" s="838">
        <f>IFERROR(__xludf.DUMMYFUNCTION("""COMPUTED_VALUE"""),605.0)</f>
        <v>605</v>
      </c>
      <c r="BY177" s="838"/>
      <c r="BZ177" s="838">
        <f>IFERROR(__xludf.DUMMYFUNCTION("""COMPUTED_VALUE"""),1998.0)</f>
        <v>1998</v>
      </c>
      <c r="CA177" s="838"/>
      <c r="CB177" s="838"/>
      <c r="CC177" s="838" t="str">
        <f>IFERROR(__xludf.DUMMYFUNCTION("""COMPUTED_VALUE"""),"Yes")</f>
        <v>Yes</v>
      </c>
      <c r="CD177" s="846">
        <f>IFERROR(__xludf.DUMMYFUNCTION("""COMPUTED_VALUE"""),0.28)</f>
        <v>0.28</v>
      </c>
      <c r="CE177" s="838" t="str">
        <f>IFERROR(__xludf.DUMMYFUNCTION("""COMPUTED_VALUE"""),"Yes")</f>
        <v>Yes</v>
      </c>
      <c r="CF177" s="838"/>
      <c r="CG177" s="838"/>
      <c r="CH177" s="838"/>
      <c r="CI177" s="838"/>
      <c r="CJ177" s="838"/>
      <c r="CK177" s="838"/>
      <c r="CL177" s="838"/>
      <c r="CM177" s="846">
        <f>IFERROR(__xludf.DUMMYFUNCTION("""COMPUTED_VALUE"""),0.35)</f>
        <v>0.35</v>
      </c>
      <c r="CN177" s="838"/>
      <c r="CO177" s="838"/>
      <c r="CP177" s="838"/>
      <c r="CQ177" s="838"/>
      <c r="CR177" s="838"/>
      <c r="CS177" s="838"/>
      <c r="CT177" s="838"/>
      <c r="CU177" s="838"/>
      <c r="CV177" s="697" t="str">
        <f>IFERROR(__xludf.DUMMYFUNCTION("""COMPUTED_VALUE"""),"P. K. Das, K. D. Ramaiah, P. Vanamail, S. P. Pani, J. Yuvaraj, K. Balarajan and D. A. P. Bundy. V. ’ Vector Control Research Centre, Medical Complex, Indira Nagar, Pondichery 605006, India; ’ Wellcome Trust Centre for the Epidemiology of Infectious Diseas"&amp;"e, University of Oxford, South Parks Road, Oxford OX1 3FY, UK")</f>
        <v>P. K. Das, K. D. Ramaiah, P. Vanamail, S. P. Pani, J. Yuvaraj, K. Balarajan and D. A. P. Bundy. V. ’ Vector Control Research Centre, Medical Complex, Indira Nagar, Pondichery 605006, India; ’ Wellcome Trust Centre for the Epidemiology of Infectious Disease, University of Oxford, South Parks Road, Oxford OX1 3FY, UK</v>
      </c>
    </row>
    <row r="178">
      <c r="A178" s="834"/>
      <c r="B178" s="834"/>
      <c r="C178" s="834"/>
      <c r="D178" s="834"/>
      <c r="E178" s="834"/>
      <c r="F178" s="834"/>
      <c r="G178" s="834"/>
      <c r="H178" s="834"/>
      <c r="I178" s="834"/>
      <c r="J178" s="834"/>
      <c r="K178" s="834"/>
      <c r="L178" s="834"/>
      <c r="M178" s="834"/>
      <c r="N178" s="834"/>
      <c r="O178" s="834"/>
      <c r="P178" s="834"/>
      <c r="Q178" s="834"/>
      <c r="R178" s="834"/>
      <c r="S178" s="834"/>
      <c r="T178" s="834"/>
      <c r="U178" s="834"/>
      <c r="V178" s="834"/>
      <c r="W178" s="834"/>
      <c r="X178" s="834"/>
      <c r="Y178" s="834"/>
      <c r="Z178" s="834"/>
      <c r="AA178" s="834"/>
      <c r="AB178" s="834"/>
      <c r="AC178" s="834"/>
      <c r="AD178" s="834"/>
      <c r="AE178" s="834"/>
      <c r="AF178" s="834"/>
      <c r="AG178" s="834"/>
      <c r="AH178" s="834"/>
      <c r="AJ178" s="843" t="str">
        <f>IFERROR(__xludf.DUMMYFUNCTION("""COMPUTED_VALUE"""),"Evaluation of the efficacy of pyrantel-oxantel for the treatment of soil-transmitted nematode infections")</f>
        <v>Evaluation of the efficacy of pyrantel-oxantel for the treatment of soil-transmitted nematode infections</v>
      </c>
      <c r="AK178" s="836" t="str">
        <f>IFERROR(__xludf.DUMMYFUNCTION("""COMPUTED_VALUE"""),"Albonico, M., Bickle, Q., Haji, H. J., Ramsan, M., Khatib, K. J., Montresor, A., Savioli, L., &amp; Taylor, M. (2002). Evaluation of the efficacy of pyrantel-oxantel for the treatment of soil-transmitted nematode infections. Transactions of the Royal Society "&amp;"of Tropical Medicine and Hygiene, 96(6), 685–690. https://doi.org/10.1016/s0035-9203(02)90352-4")</f>
        <v>Albonico, M., Bickle, Q., Haji, H. J., Ramsan, M., Khatib, K. J., Montresor, A., Savioli, L., &amp; Taylor, M. (2002). Evaluation of the efficacy of pyrantel-oxantel for the treatment of soil-transmitted nematode infections. Transactions of the Royal Society of Tropical Medicine and Hygiene, 96(6), 685–690. https://doi.org/10.1016/s0035-9203(02)90352-4</v>
      </c>
      <c r="AL178" s="836" t="str">
        <f>IFERROR(__xludf.DUMMYFUNCTION("""COMPUTED_VALUE"""),"Tanzania")</f>
        <v>Tanzania</v>
      </c>
      <c r="AM178" s="836" t="str">
        <f>IFERROR(__xludf.DUMMYFUNCTION("""COMPUTED_VALUE"""),"Mebendazole")</f>
        <v>Mebendazole</v>
      </c>
      <c r="AN178" s="836" t="str">
        <f>IFERROR(__xludf.DUMMYFUNCTION("""COMPUTED_VALUE"""),"Single")</f>
        <v>Single</v>
      </c>
      <c r="AO178" s="836" t="str">
        <f>IFERROR(__xludf.DUMMYFUNCTION("""COMPUTED_VALUE"""),"500 mg")</f>
        <v>500 mg</v>
      </c>
      <c r="AP178" s="836">
        <f>IFERROR(__xludf.DUMMYFUNCTION("""COMPUTED_VALUE"""),448.0)</f>
        <v>448</v>
      </c>
      <c r="AQ178" s="836">
        <f>IFERROR(__xludf.DUMMYFUNCTION("""COMPUTED_VALUE"""),9.5)</f>
        <v>9.5</v>
      </c>
      <c r="AR178" s="836" t="str">
        <f>IFERROR(__xludf.DUMMYFUNCTION("""COMPUTED_VALUE"""),"46.4M:53.6F")</f>
        <v>46.4M:53.6F</v>
      </c>
      <c r="AS178" s="836">
        <f>IFERROR(__xludf.DUMMYFUNCTION("""COMPUTED_VALUE"""),2000.0)</f>
        <v>2000</v>
      </c>
      <c r="AT178" s="836" t="str">
        <f>IFERROR(__xludf.DUMMYFUNCTION("""COMPUTED_VALUE"""),"The schools were randomly selected from the 72 schools on the island. All children were included in the national helminth control programme and Standard 1 children had received 1 round of treatment with mebendazole 500 mg in March 2000. Standard 2 childre"&amp;"n had received 2 doses of mebendazole in 1999 and a third dose in March 2000. not have parental or guardian permission to participate; (ii) did not provide a stool sample; (iii) had significant co-morbidities (e.g. severe diarrhoea, severe anaemia, high f"&amp;"ever); and (iv) had received anthelminthic treatment in the previous month.")</f>
        <v>The schools were randomly selected from the 72 schools on the island. All children were included in the national helminth control programme and Standard 1 children had received 1 round of treatment with mebendazole 500 mg in March 2000. Standard 2 children had received 2 doses of mebendazole in 1999 and a third dose in March 2000. not have parental or guardian permission to participate; (ii) did not provide a stool sample; (iii) had significant co-morbidities (e.g. severe diarrhoea, severe anaemia, high fever); and (iv) had received anthelminthic treatment in the previous month.</v>
      </c>
      <c r="AU178" s="836" t="str">
        <f>IFERROR(__xludf.DUMMYFUNCTION("""COMPUTED_VALUE"""),"Yes")</f>
        <v>Yes</v>
      </c>
      <c r="AV178" s="836" t="str">
        <f>IFERROR(__xludf.DUMMYFUNCTION("""COMPUTED_VALUE"""),"Yes")</f>
        <v>Yes</v>
      </c>
      <c r="AW178" s="836" t="str">
        <f>IFERROR(__xludf.DUMMYFUNCTION("""COMPUTED_VALUE"""),"Laboratory Assesor Blind")</f>
        <v>Laboratory Assesor Blind</v>
      </c>
      <c r="AX178" s="841">
        <f>IFERROR(__xludf.DUMMYFUNCTION("""COMPUTED_VALUE"""),0.252)</f>
        <v>0.252</v>
      </c>
      <c r="AY178" s="836"/>
      <c r="AZ178" s="841">
        <f>IFERROR(__xludf.DUMMYFUNCTION("""COMPUTED_VALUE"""),0.836)</f>
        <v>0.836</v>
      </c>
      <c r="BA178" s="836"/>
      <c r="BB178" s="836"/>
      <c r="BC178" s="836"/>
      <c r="BD178" s="836"/>
      <c r="BE178" s="836"/>
      <c r="BF178" s="836"/>
      <c r="BG178" s="836"/>
      <c r="BH178" s="841">
        <f>IFERROR(__xludf.DUMMYFUNCTION("""COMPUTED_VALUE"""),0.869)</f>
        <v>0.869</v>
      </c>
      <c r="BI178" s="836"/>
      <c r="BJ178" s="836"/>
      <c r="BK178" s="836"/>
      <c r="BL178" s="836"/>
      <c r="BM178" s="836"/>
      <c r="BN178" s="836" t="str">
        <f>IFERROR(__xludf.DUMMYFUNCTION("""COMPUTED_VALUE"""),"The results of this trial have significant implications for the use of targeted chemotherapy at the community and at school level for the control of STHs. Pyrantel-oxantel has been shown to have comparable efficacy to mebendazole (500 mg) in treating STHs"&amp;", and to have a better efficacy in curing T. trichiura infections. Pyrantel-oxantel is available in Indonesia for targeted treatment of schoolchildren at a cost of only few US cents per tablet (A. Sasongko, personal communication) and competes with the ve"&amp;"ry low cost of mebendazole as a generic product (ALBONICO et al., 1994). A possible disadvantage of pyrantel-oxantel *is that patients need to be weighed, though the producing company does give alternative indications to treat based on weight and/or age. "&amp;"Furthermore, pyrantel-oxantel is not contraindicated in young children, and prescribing information indicates administration of 1 tablet of 150 mg to children between 6 months and 2 years. Pyrantel-oxantel is also available as a suspension containing 20 m"&amp;"g of each base drug (pyrantel pamoate and oxantel pamoate) per mL.")</f>
        <v>The results of this trial have significant implications for the use of targeted chemotherapy at the community and at school level for the control of STHs. Pyrantel-oxantel has been shown to have comparable efficacy to mebendazole (500 mg) in treating STHs, and to have a better efficacy in curing T. trichiura infections. Pyrantel-oxantel is available in Indonesia for targeted treatment of schoolchildren at a cost of only few US cents per tablet (A. Sasongko, personal communication) and competes with the very low cost of mebendazole as a generic product (ALBONICO et al., 1994). A possible disadvantage of pyrantel-oxantel *is that patients need to be weighed, though the producing company does give alternative indications to treat based on weight and/or age. Furthermore, pyrantel-oxantel is not contraindicated in young children, and prescribing information indicates administration of 1 tablet of 150 mg to children between 6 months and 2 years. Pyrantel-oxantel is also available as a suspension containing 20 mg of each base drug (pyrantel pamoate and oxantel pamoate) per mL.</v>
      </c>
      <c r="BO178" s="836" t="str">
        <f>IFERROR(__xludf.DUMMYFUNCTION("""COMPUTED_VALUE"""),"Kato-Katz technique")</f>
        <v>Kato-Katz technique</v>
      </c>
      <c r="BP178" s="836"/>
      <c r="BQ178" s="697"/>
      <c r="BR178" s="844" t="str">
        <f>IFERROR(__xludf.DUMMYFUNCTION("""COMPUTED_VALUE"""),"Ahmad et al.")</f>
        <v>Ahmad et al.</v>
      </c>
      <c r="BS178" s="838"/>
      <c r="BT178" s="838" t="str">
        <f>IFERROR(__xludf.DUMMYFUNCTION("""COMPUTED_VALUE"""),"Albendazole")</f>
        <v>Albendazole</v>
      </c>
      <c r="BU178" s="838"/>
      <c r="BV178" s="838" t="str">
        <f>IFERROR(__xludf.DUMMYFUNCTION("""COMPUTED_VALUE"""),"Single")</f>
        <v>Single</v>
      </c>
      <c r="BW178" s="838" t="str">
        <f>IFERROR(__xludf.DUMMYFUNCTION("""COMPUTED_VALUE"""),"400 mg")</f>
        <v>400 mg</v>
      </c>
      <c r="BX178" s="838" t="str">
        <f>IFERROR(__xludf.DUMMYFUNCTION("""COMPUTED_VALUE"""),"37/100")</f>
        <v>37/100</v>
      </c>
      <c r="BY178" s="845">
        <f>IFERROR(__xludf.DUMMYFUNCTION("""COMPUTED_VALUE"""),42414.0)</f>
        <v>42414</v>
      </c>
      <c r="BZ178" s="838"/>
      <c r="CA178" s="838" t="str">
        <f>IFERROR(__xludf.DUMMYFUNCTION("""COMPUTED_VALUE"""),"65 male; 35 female")</f>
        <v>65 male; 35 female</v>
      </c>
      <c r="CB178" s="838"/>
      <c r="CC178" s="838" t="str">
        <f>IFERROR(__xludf.DUMMYFUNCTION("""COMPUTED_VALUE"""),"No")</f>
        <v>No</v>
      </c>
      <c r="CD178" s="847">
        <f>IFERROR(__xludf.DUMMYFUNCTION("""COMPUTED_VALUE"""),1.0)</f>
        <v>1</v>
      </c>
      <c r="CE178" s="838" t="str">
        <f>IFERROR(__xludf.DUMMYFUNCTION("""COMPUTED_VALUE"""),"No")</f>
        <v>No</v>
      </c>
      <c r="CF178" s="847">
        <f>IFERROR(__xludf.DUMMYFUNCTION("""COMPUTED_VALUE"""),0.8927)</f>
        <v>0.8927</v>
      </c>
      <c r="CG178" s="846">
        <f>IFERROR(__xludf.DUMMYFUNCTION("""COMPUTED_VALUE"""),1.0)</f>
        <v>1</v>
      </c>
      <c r="CH178" s="838"/>
      <c r="CI178" s="838"/>
      <c r="CJ178" s="838"/>
      <c r="CK178" s="838"/>
      <c r="CL178" s="838"/>
      <c r="CM178" s="838"/>
      <c r="CN178" s="838"/>
      <c r="CO178" s="838"/>
      <c r="CP178" s="838"/>
      <c r="CQ178" s="838"/>
      <c r="CR178" s="838"/>
      <c r="CS178" s="838"/>
      <c r="CT178" s="838"/>
      <c r="CU178" s="838"/>
      <c r="CV178" s="697" t="str">
        <f>IFERROR(__xludf.DUMMYFUNCTION("""COMPUTED_VALUE"""),"Ahmad, A. Zohra, A. &amp; Yasmin, N. ""Albendazole in Intestinal Helminthiasis"". Journal of Pakistan Medical Assocation. 1986. 114-117")</f>
        <v>Ahmad, A. Zohra, A. &amp; Yasmin, N. "Albendazole in Intestinal Helminthiasis". Journal of Pakistan Medical Assocation. 1986. 114-117</v>
      </c>
    </row>
    <row r="179">
      <c r="A179" s="834"/>
      <c r="B179" s="834"/>
      <c r="C179" s="834"/>
      <c r="D179" s="834"/>
      <c r="E179" s="834"/>
      <c r="F179" s="834"/>
      <c r="G179" s="834"/>
      <c r="H179" s="834"/>
      <c r="I179" s="834"/>
      <c r="J179" s="834"/>
      <c r="K179" s="834"/>
      <c r="L179" s="834"/>
      <c r="M179" s="834"/>
      <c r="N179" s="834"/>
      <c r="O179" s="834"/>
      <c r="P179" s="834"/>
      <c r="Q179" s="834"/>
      <c r="R179" s="834"/>
      <c r="S179" s="834"/>
      <c r="T179" s="834"/>
      <c r="U179" s="834"/>
      <c r="V179" s="834"/>
      <c r="W179" s="834"/>
      <c r="X179" s="834"/>
      <c r="Y179" s="834"/>
      <c r="Z179" s="834"/>
      <c r="AA179" s="834"/>
      <c r="AB179" s="834"/>
      <c r="AC179" s="834"/>
      <c r="AD179" s="834"/>
      <c r="AE179" s="834"/>
      <c r="AF179" s="834"/>
      <c r="AG179" s="834"/>
      <c r="AH179" s="834"/>
      <c r="AJ179" s="843" t="str">
        <f>IFERROR(__xludf.DUMMYFUNCTION("""COMPUTED_VALUE"""),"Evaluation of the efficacy of pyrantel-oxantel for the treatment of soil-transmitted nematode infections")</f>
        <v>Evaluation of the efficacy of pyrantel-oxantel for the treatment of soil-transmitted nematode infections</v>
      </c>
      <c r="AK179" s="836" t="str">
        <f>IFERROR(__xludf.DUMMYFUNCTION("""COMPUTED_VALUE"""),"Albonico, M., Bickle, Q., Haji, H. J., Ramsan, M., Khatib, K. J., Montresor, A., Savioli, L., &amp; Taylor, M. (2002). Evaluation of the efficacy of pyrantel-oxantel for the treatment of soil-transmitted nematode infections. Transactions of the Royal Society "&amp;"of Tropical Medicine and Hygiene, 96(6), 685–690. https://doi.org/10.1016/s0035-9203(02)90352-5")</f>
        <v>Albonico, M., Bickle, Q., Haji, H. J., Ramsan, M., Khatib, K. J., Montresor, A., Savioli, L., &amp; Taylor, M. (2002). Evaluation of the efficacy of pyrantel-oxantel for the treatment of soil-transmitted nematode infections. Transactions of the Royal Society of Tropical Medicine and Hygiene, 96(6), 685–690. https://doi.org/10.1016/s0035-9203(02)90352-5</v>
      </c>
      <c r="AL179" s="836" t="str">
        <f>IFERROR(__xludf.DUMMYFUNCTION("""COMPUTED_VALUE"""),"Tanzania")</f>
        <v>Tanzania</v>
      </c>
      <c r="AM179" s="836" t="str">
        <f>IFERROR(__xludf.DUMMYFUNCTION("""COMPUTED_VALUE"""),"Pyrantel oxantel")</f>
        <v>Pyrantel oxantel</v>
      </c>
      <c r="AN179" s="836" t="str">
        <f>IFERROR(__xludf.DUMMYFUNCTION("""COMPUTED_VALUE"""),"Single")</f>
        <v>Single</v>
      </c>
      <c r="AO179" s="836" t="str">
        <f>IFERROR(__xludf.DUMMYFUNCTION("""COMPUTED_VALUE"""),"10 mg/kg [15-20 kg receiving one tablet (150 mg), 21-30 kg receiving 2 tablets (300 mg), 31-40 kg receiving 3 tablets (450 mg)]")</f>
        <v>10 mg/kg [15-20 kg receiving one tablet (150 mg), 21-30 kg receiving 2 tablets (300 mg), 31-40 kg receiving 3 tablets (450 mg)]</v>
      </c>
      <c r="AP179" s="836">
        <f>IFERROR(__xludf.DUMMYFUNCTION("""COMPUTED_VALUE"""),440.0)</f>
        <v>440</v>
      </c>
      <c r="AQ179" s="836">
        <f>IFERROR(__xludf.DUMMYFUNCTION("""COMPUTED_VALUE"""),9.5)</f>
        <v>9.5</v>
      </c>
      <c r="AR179" s="836" t="str">
        <f>IFERROR(__xludf.DUMMYFUNCTION("""COMPUTED_VALUE"""),"47.5M:52.5F")</f>
        <v>47.5M:52.5F</v>
      </c>
      <c r="AS179" s="836">
        <f>IFERROR(__xludf.DUMMYFUNCTION("""COMPUTED_VALUE"""),2000.0)</f>
        <v>2000</v>
      </c>
      <c r="AT179" s="836" t="str">
        <f>IFERROR(__xludf.DUMMYFUNCTION("""COMPUTED_VALUE"""),"The schools were randomly selected from the 72 schools on the island. All children were included in the national helminth control programme and Standard 1 children had received 1 round of treatment with mebendazole 500 mg in March 2000. Standard 2 childre"&amp;"n had received 2 doses of mebendazole in 1999 and a third dose in March 2000. not have parental or guardian permission to participate; (ii) did not provide a stool sample; (iii) had significant co-morbidities (e.g. severe diarrhoea, severe anaemia, high f"&amp;"ever); and (iv) had received anthelminthic treatment in the previous month.")</f>
        <v>The schools were randomly selected from the 72 schools on the island. All children were included in the national helminth control programme and Standard 1 children had received 1 round of treatment with mebendazole 500 mg in March 2000. Standard 2 children had received 2 doses of mebendazole in 1999 and a third dose in March 2000. not have parental or guardian permission to participate; (ii) did not provide a stool sample; (iii) had significant co-morbidities (e.g. severe diarrhoea, severe anaemia, high fever); and (iv) had received anthelminthic treatment in the previous month.</v>
      </c>
      <c r="AU179" s="836" t="str">
        <f>IFERROR(__xludf.DUMMYFUNCTION("""COMPUTED_VALUE"""),"Yes")</f>
        <v>Yes</v>
      </c>
      <c r="AV179" s="836" t="str">
        <f>IFERROR(__xludf.DUMMYFUNCTION("""COMPUTED_VALUE"""),"Yes")</f>
        <v>Yes</v>
      </c>
      <c r="AW179" s="836" t="str">
        <f>IFERROR(__xludf.DUMMYFUNCTION("""COMPUTED_VALUE"""),"Laboratory Assesor Blind")</f>
        <v>Laboratory Assesor Blind</v>
      </c>
      <c r="AX179" s="841">
        <f>IFERROR(__xludf.DUMMYFUNCTION("""COMPUTED_VALUE"""),0.315)</f>
        <v>0.315</v>
      </c>
      <c r="AY179" s="836"/>
      <c r="AZ179" s="841">
        <f>IFERROR(__xludf.DUMMYFUNCTION("""COMPUTED_VALUE"""),0.869)</f>
        <v>0.869</v>
      </c>
      <c r="BA179" s="836"/>
      <c r="BB179" s="836"/>
      <c r="BC179" s="836"/>
      <c r="BD179" s="836"/>
      <c r="BE179" s="836"/>
      <c r="BF179" s="836"/>
      <c r="BG179" s="836"/>
      <c r="BH179" s="850">
        <f>IFERROR(__xludf.DUMMYFUNCTION("""COMPUTED_VALUE"""),0.99)</f>
        <v>0.99</v>
      </c>
      <c r="BI179" s="836"/>
      <c r="BJ179" s="836"/>
      <c r="BK179" s="836"/>
      <c r="BL179" s="836"/>
      <c r="BM179" s="836"/>
      <c r="BN179" s="836" t="str">
        <f>IFERROR(__xludf.DUMMYFUNCTION("""COMPUTED_VALUE"""),"The results of this trial have significant implications for the use of targeted chemotherapy at the community and at school level for the control of STHs. Pyrantel-oxantel has been shown to have comparable efficacy to mebendazole (500 mg) in treating STHs"&amp;", and to have a better efficacy in curing T. trichiura infections. Pyrantel-oxantel is available in Indonesia for targeted treatment of schoolchildren at a cost of only few US cents per tablet (A. Sasongko, personal communication) and competes with the ve"&amp;"ry low cost of mebendazole as a generic product (ALBONICO et al., 1994). A possible disadvantage of pyrantel-oxantel *is that patients need to be weighed, though the producing company does give alternative indications to treat based on weight and/or age. "&amp;"Furthermore, pyrantel-oxantel is not contraindicated in young children, and prescribing information indicates administration of 1 tablet of 150 mg to children between 6 months and 2 years. Pyrantel-oxantel is also available as a suspension containing 20 m"&amp;"g of each base drug (pyrantel pamoate and oxantel pamoate) per mL.")</f>
        <v>The results of this trial have significant implications for the use of targeted chemotherapy at the community and at school level for the control of STHs. Pyrantel-oxantel has been shown to have comparable efficacy to mebendazole (500 mg) in treating STHs, and to have a better efficacy in curing T. trichiura infections. Pyrantel-oxantel is available in Indonesia for targeted treatment of schoolchildren at a cost of only few US cents per tablet (A. Sasongko, personal communication) and competes with the very low cost of mebendazole as a generic product (ALBONICO et al., 1994). A possible disadvantage of pyrantel-oxantel *is that patients need to be weighed, though the producing company does give alternative indications to treat based on weight and/or age. Furthermore, pyrantel-oxantel is not contraindicated in young children, and prescribing information indicates administration of 1 tablet of 150 mg to children between 6 months and 2 years. Pyrantel-oxantel is also available as a suspension containing 20 mg of each base drug (pyrantel pamoate and oxantel pamoate) per mL.</v>
      </c>
      <c r="BO179" s="836" t="str">
        <f>IFERROR(__xludf.DUMMYFUNCTION("""COMPUTED_VALUE"""),"Kato-Katz technique")</f>
        <v>Kato-Katz technique</v>
      </c>
      <c r="BP179" s="836"/>
      <c r="BQ179" s="697"/>
      <c r="BR179" s="844" t="str">
        <f>IFERROR(__xludf.DUMMYFUNCTION("""COMPUTED_VALUE"""),"Maisonneuve et al.")</f>
        <v>Maisonneuve et al.</v>
      </c>
      <c r="BS179" s="838" t="str">
        <f>IFERROR(__xludf.DUMMYFUNCTION("""COMPUTED_VALUE"""),"Tunisia")</f>
        <v>Tunisia</v>
      </c>
      <c r="BT179" s="838" t="str">
        <f>IFERROR(__xludf.DUMMYFUNCTION("""COMPUTED_VALUE"""),"Albendazole")</f>
        <v>Albendazole</v>
      </c>
      <c r="BU179" s="838"/>
      <c r="BV179" s="838" t="str">
        <f>IFERROR(__xludf.DUMMYFUNCTION("""COMPUTED_VALUE"""),"Single")</f>
        <v>Single</v>
      </c>
      <c r="BW179" s="838" t="str">
        <f>IFERROR(__xludf.DUMMYFUNCTION("""COMPUTED_VALUE"""),"400 mg")</f>
        <v>400 mg</v>
      </c>
      <c r="BX179" s="838">
        <f>IFERROR(__xludf.DUMMYFUNCTION("""COMPUTED_VALUE"""),76.0)</f>
        <v>76</v>
      </c>
      <c r="BY179" s="838" t="str">
        <f>IFERROR(__xludf.DUMMYFUNCTION("""COMPUTED_VALUE"""),"School Children &amp; Adults")</f>
        <v>School Children &amp; Adults</v>
      </c>
      <c r="BZ179" s="838"/>
      <c r="CA179" s="838"/>
      <c r="CB179" s="838"/>
      <c r="CC179" s="838" t="str">
        <f>IFERROR(__xludf.DUMMYFUNCTION("""COMPUTED_VALUE"""),"No")</f>
        <v>No</v>
      </c>
      <c r="CD179" s="846">
        <f>IFERROR(__xludf.DUMMYFUNCTION("""COMPUTED_VALUE"""),0.88)</f>
        <v>0.88</v>
      </c>
      <c r="CE179" s="838" t="str">
        <f>IFERROR(__xludf.DUMMYFUNCTION("""COMPUTED_VALUE"""),"No")</f>
        <v>No</v>
      </c>
      <c r="CF179" s="838"/>
      <c r="CG179" s="838"/>
      <c r="CH179" s="838"/>
      <c r="CI179" s="838"/>
      <c r="CJ179" s="838"/>
      <c r="CK179" s="838"/>
      <c r="CL179" s="838"/>
      <c r="CM179" s="846">
        <f>IFERROR(__xludf.DUMMYFUNCTION("""COMPUTED_VALUE"""),0.93)</f>
        <v>0.93</v>
      </c>
      <c r="CN179" s="838"/>
      <c r="CO179" s="838"/>
      <c r="CP179" s="838"/>
      <c r="CQ179" s="838"/>
      <c r="CR179" s="838"/>
      <c r="CS179" s="838"/>
      <c r="CT179" s="838" t="str">
        <f>IFERROR(__xludf.DUMMYFUNCTION("""COMPUTED_VALUE"""),"Kato-Katz Method")</f>
        <v>Kato-Katz Method</v>
      </c>
      <c r="CU179" s="838"/>
      <c r="CV179" s="697" t="str">
        <f>IFERROR(__xludf.DUMMYFUNCTION("""COMPUTED_VALUE"""),"Maissonneuve, H.; Zribi M.; &amp; Peyron, F. ""A Pediatric Suspension of Albendazole in the Treatment of Ascariasis Ancylostomiasis and Trichuriasis (167 Patients)."" Current Therapeutic Research. 1984 36(3): 404-408. Web.")</f>
        <v>Maissonneuve, H.; Zribi M.; &amp; Peyron, F. "A Pediatric Suspension of Albendazole in the Treatment of Ascariasis Ancylostomiasis and Trichuriasis (167 Patients)." Current Therapeutic Research. 1984 36(3): 404-408. Web.</v>
      </c>
    </row>
    <row r="180">
      <c r="A180" s="834"/>
      <c r="B180" s="834"/>
      <c r="C180" s="834"/>
      <c r="D180" s="834"/>
      <c r="E180" s="834"/>
      <c r="F180" s="834"/>
      <c r="G180" s="834"/>
      <c r="H180" s="834"/>
      <c r="I180" s="834"/>
      <c r="J180" s="834"/>
      <c r="K180" s="834"/>
      <c r="L180" s="834"/>
      <c r="M180" s="834"/>
      <c r="N180" s="834"/>
      <c r="O180" s="834"/>
      <c r="P180" s="834"/>
      <c r="Q180" s="834"/>
      <c r="R180" s="834"/>
      <c r="S180" s="834"/>
      <c r="T180" s="834"/>
      <c r="U180" s="834"/>
      <c r="V180" s="834"/>
      <c r="W180" s="834"/>
      <c r="X180" s="834"/>
      <c r="Y180" s="834"/>
      <c r="Z180" s="834"/>
      <c r="AA180" s="834"/>
      <c r="AB180" s="834"/>
      <c r="AC180" s="834"/>
      <c r="AD180" s="834"/>
      <c r="AE180" s="834"/>
      <c r="AF180" s="834"/>
      <c r="AG180" s="834"/>
      <c r="AH180" s="834"/>
      <c r="AJ180" s="843" t="str">
        <f>IFERROR(__xludf.DUMMYFUNCTION("""COMPUTED_VALUE"""),"Comparative Efficacy and Reinfection of Albendazole-mebendazole, Albendazole-pyrantel Pamoate, and Mebendazole on Soil-transmitted Helminths")</f>
        <v>Comparative Efficacy and Reinfection of Albendazole-mebendazole, Albendazole-pyrantel Pamoate, and Mebendazole on Soil-transmitted Helminths</v>
      </c>
      <c r="AK180" s="836" t="str">
        <f>IFERROR(__xludf.DUMMYFUNCTION("""COMPUTED_VALUE"""),"Husin N, Pasaribu AP, Ali M, Suteno E, Wijaya W, Pasaribu S. Comparative Efficacy and Reinfection of Albendazole-mebendazole, Albendazole-pyrantel Pamoate, and Mebendazole on Soil-transmitted Helminths. Open Access Maced J Med Sci [Internet]. 2020Nov.19 ["&amp;"cited 2021Jan.15];8(B):978-82. Available from: https://www.id-press.eu/mjms/article/view/5110")</f>
        <v>Husin N, Pasaribu AP, Ali M, Suteno E, Wijaya W, Pasaribu S. Comparative Efficacy and Reinfection of Albendazole-mebendazole, Albendazole-pyrantel Pamoate, and Mebendazole on Soil-transmitted Helminths. Open Access Maced J Med Sci [Internet]. 2020Nov.19 [cited 2021Jan.15];8(B):978-82. Available from: https://www.id-press.eu/mjms/article/view/5110</v>
      </c>
      <c r="AL180" s="836" t="str">
        <f>IFERROR(__xludf.DUMMYFUNCTION("""COMPUTED_VALUE"""),"Indonesia")</f>
        <v>Indonesia</v>
      </c>
      <c r="AM180" s="836" t="str">
        <f>IFERROR(__xludf.DUMMYFUNCTION("""COMPUTED_VALUE"""),"Albendazole &amp; Mebendazole")</f>
        <v>Albendazole &amp; Mebendazole</v>
      </c>
      <c r="AN180" s="836" t="str">
        <f>IFERROR(__xludf.DUMMYFUNCTION("""COMPUTED_VALUE"""),"Single")</f>
        <v>Single</v>
      </c>
      <c r="AO180" s="836" t="str">
        <f>IFERROR(__xludf.DUMMYFUNCTION("""COMPUTED_VALUE"""),"400 mg; 500 mg ")</f>
        <v>400 mg; 500 mg </v>
      </c>
      <c r="AP180" s="836">
        <f>IFERROR(__xludf.DUMMYFUNCTION("""COMPUTED_VALUE"""),103.0)</f>
        <v>103</v>
      </c>
      <c r="AQ180" s="836">
        <f>IFERROR(__xludf.DUMMYFUNCTION("""COMPUTED_VALUE"""),8.3)</f>
        <v>8.3</v>
      </c>
      <c r="AR180" s="836"/>
      <c r="AS180" s="836">
        <f>IFERROR(__xludf.DUMMYFUNCTION("""COMPUTED_VALUE"""),2018.0)</f>
        <v>2018</v>
      </c>
      <c r="AT180" s="836" t="str">
        <f>IFERROR(__xludf.DUMMYFUNCTION("""COMPUTED_VALUE"""),"Children  between  6  and  12  years  of  age whose stool samples were positive for single infection or co-infection with either A. lumbricoides, T. trichiura, or and hookworm were considered eligible. Exclusion: Children who have used anthemintics 1 mont"&amp;"h before the study were excluded from the study.")</f>
        <v>Children  between  6  and  12  years  of  age whose stool samples were positive for single infection or co-infection with either A. lumbricoides, T. trichiura, or and hookworm were considered eligible. Exclusion: Children who have used anthemintics 1 month before the study were excluded from the study.</v>
      </c>
      <c r="AU180" s="836" t="str">
        <f>IFERROR(__xludf.DUMMYFUNCTION("""COMPUTED_VALUE"""),"Yes")</f>
        <v>Yes</v>
      </c>
      <c r="AV180" s="836" t="str">
        <f>IFERROR(__xludf.DUMMYFUNCTION("""COMPUTED_VALUE"""),"No")</f>
        <v>No</v>
      </c>
      <c r="AW180" s="836" t="str">
        <f>IFERROR(__xludf.DUMMYFUNCTION("""COMPUTED_VALUE"""),"No")</f>
        <v>No</v>
      </c>
      <c r="AX180" s="841">
        <f>IFERROR(__xludf.DUMMYFUNCTION("""COMPUTED_VALUE"""),0.692)</f>
        <v>0.692</v>
      </c>
      <c r="AY180" s="836"/>
      <c r="AZ180" s="836"/>
      <c r="BA180" s="836"/>
      <c r="BB180" s="836"/>
      <c r="BC180" s="836"/>
      <c r="BD180" s="836"/>
      <c r="BE180" s="836"/>
      <c r="BF180" s="836"/>
      <c r="BG180" s="836"/>
      <c r="BH180" s="850">
        <f>IFERROR(__xludf.DUMMYFUNCTION("""COMPUTED_VALUE"""),0.99)</f>
        <v>0.99</v>
      </c>
      <c r="BI180" s="836"/>
      <c r="BJ180" s="836"/>
      <c r="BK180" s="836"/>
      <c r="BL180" s="836"/>
      <c r="BM180" s="836"/>
      <c r="BN180" s="836" t="str">
        <f>IFERROR(__xludf.DUMMYFUNCTION("""COMPUTED_VALUE"""),"This study showed the excellent efficacy of an albendazole-pyrantel pamoate combination against STHs  infections. The  highest  reinfection  rate  was  found  in  albendazole-pyrantel  pamoate  group  for T.  trichiurainfection.")</f>
        <v>This study showed the excellent efficacy of an albendazole-pyrantel pamoate combination against STHs  infections. The  highest  reinfection  rate  was  found  in  albendazole-pyrantel  pamoate  group  for T.  trichiurainfection.</v>
      </c>
      <c r="BO180" s="836" t="str">
        <f>IFERROR(__xludf.DUMMYFUNCTION("""COMPUTED_VALUE"""),"Kato-Katz technique")</f>
        <v>Kato-Katz technique</v>
      </c>
      <c r="BP180" s="836"/>
      <c r="BQ180" s="697"/>
      <c r="BR180" s="844" t="str">
        <f>IFERROR(__xludf.DUMMYFUNCTION("""COMPUTED_VALUE"""),"Maisonneuve et al.")</f>
        <v>Maisonneuve et al.</v>
      </c>
      <c r="BS180" s="838" t="str">
        <f>IFERROR(__xludf.DUMMYFUNCTION("""COMPUTED_VALUE"""),"Tunisia")</f>
        <v>Tunisia</v>
      </c>
      <c r="BT180" s="838" t="str">
        <f>IFERROR(__xludf.DUMMYFUNCTION("""COMPUTED_VALUE"""),"Albendazole")</f>
        <v>Albendazole</v>
      </c>
      <c r="BU180" s="838"/>
      <c r="BV180" s="838" t="str">
        <f>IFERROR(__xludf.DUMMYFUNCTION("""COMPUTED_VALUE"""),"Single")</f>
        <v>Single</v>
      </c>
      <c r="BW180" s="838" t="str">
        <f>IFERROR(__xludf.DUMMYFUNCTION("""COMPUTED_VALUE"""),"400 mg")</f>
        <v>400 mg</v>
      </c>
      <c r="BX180" s="838">
        <f>IFERROR(__xludf.DUMMYFUNCTION("""COMPUTED_VALUE"""),57.0)</f>
        <v>57</v>
      </c>
      <c r="BY180" s="838" t="str">
        <f>IFERROR(__xludf.DUMMYFUNCTION("""COMPUTED_VALUE"""),"School Children &amp; Adults")</f>
        <v>School Children &amp; Adults</v>
      </c>
      <c r="BZ180" s="838"/>
      <c r="CA180" s="838"/>
      <c r="CB180" s="838"/>
      <c r="CC180" s="838" t="str">
        <f>IFERROR(__xludf.DUMMYFUNCTION("""COMPUTED_VALUE"""),"No")</f>
        <v>No</v>
      </c>
      <c r="CD180" s="846">
        <f>IFERROR(__xludf.DUMMYFUNCTION("""COMPUTED_VALUE"""),0.93)</f>
        <v>0.93</v>
      </c>
      <c r="CE180" s="838" t="str">
        <f>IFERROR(__xludf.DUMMYFUNCTION("""COMPUTED_VALUE"""),"No")</f>
        <v>No</v>
      </c>
      <c r="CF180" s="838"/>
      <c r="CG180" s="838"/>
      <c r="CH180" s="838"/>
      <c r="CI180" s="838"/>
      <c r="CJ180" s="838"/>
      <c r="CK180" s="838"/>
      <c r="CL180" s="838"/>
      <c r="CM180" s="846">
        <f>IFERROR(__xludf.DUMMYFUNCTION("""COMPUTED_VALUE"""),0.99)</f>
        <v>0.99</v>
      </c>
      <c r="CN180" s="838"/>
      <c r="CO180" s="838"/>
      <c r="CP180" s="838"/>
      <c r="CQ180" s="838"/>
      <c r="CR180" s="838"/>
      <c r="CS180" s="838"/>
      <c r="CT180" s="838" t="str">
        <f>IFERROR(__xludf.DUMMYFUNCTION("""COMPUTED_VALUE"""),"Kato-Katz Method")</f>
        <v>Kato-Katz Method</v>
      </c>
      <c r="CU180" s="838"/>
      <c r="CV180" s="697" t="str">
        <f>IFERROR(__xludf.DUMMYFUNCTION("""COMPUTED_VALUE"""),"Maissonneuve, H.; Zribi M.; &amp; Peyron, F. ""A Pediatric Suspension of Albendazole in the Treatment of Ascariasis Ancylostomiasis and Trichuriasis (167 Patients)."" Current Therapeutic Research. 1984 36(3): 404-408. Web.")</f>
        <v>Maissonneuve, H.; Zribi M.; &amp; Peyron, F. "A Pediatric Suspension of Albendazole in the Treatment of Ascariasis Ancylostomiasis and Trichuriasis (167 Patients)." Current Therapeutic Research. 1984 36(3): 404-408. Web.</v>
      </c>
    </row>
    <row r="181">
      <c r="A181" s="834"/>
      <c r="B181" s="834"/>
      <c r="C181" s="834"/>
      <c r="D181" s="834"/>
      <c r="E181" s="834"/>
      <c r="F181" s="834"/>
      <c r="G181" s="834"/>
      <c r="H181" s="834"/>
      <c r="I181" s="834"/>
      <c r="J181" s="834"/>
      <c r="K181" s="834"/>
      <c r="L181" s="834"/>
      <c r="M181" s="834"/>
      <c r="N181" s="834"/>
      <c r="O181" s="834"/>
      <c r="P181" s="834"/>
      <c r="Q181" s="834"/>
      <c r="R181" s="834"/>
      <c r="S181" s="834"/>
      <c r="T181" s="834"/>
      <c r="U181" s="834"/>
      <c r="V181" s="834"/>
      <c r="W181" s="834"/>
      <c r="X181" s="834"/>
      <c r="Y181" s="834"/>
      <c r="Z181" s="834"/>
      <c r="AA181" s="834"/>
      <c r="AB181" s="834"/>
      <c r="AC181" s="834"/>
      <c r="AD181" s="834"/>
      <c r="AE181" s="834"/>
      <c r="AF181" s="834"/>
      <c r="AG181" s="834"/>
      <c r="AH181" s="834"/>
      <c r="AJ181" s="843" t="str">
        <f>IFERROR(__xludf.DUMMYFUNCTION("""COMPUTED_VALUE"""),"Comparative Efficacy and Reinfection of Albendazole-mebendazole, Albendazole-pyrantel Pamoate, and Mebendazole on Soil-transmitted Helminths")</f>
        <v>Comparative Efficacy and Reinfection of Albendazole-mebendazole, Albendazole-pyrantel Pamoate, and Mebendazole on Soil-transmitted Helminths</v>
      </c>
      <c r="AK181" s="836" t="str">
        <f>IFERROR(__xludf.DUMMYFUNCTION("""COMPUTED_VALUE"""),"Husin N, Pasaribu AP, Ali M, Suteno E, Wijaya W, Pasaribu S. Comparative Efficacy and Reinfection of Albendazole-mebendazole, Albendazole-pyrantel Pamoate, and Mebendazole on Soil-transmitted Helminths. Open Access Maced J Med Sci [Internet]. 2020Nov.19 ["&amp;"cited 2021Jan.15];8(B):978-82. Available from: https://www.id-press.eu/mjms/article/view/5110")</f>
        <v>Husin N, Pasaribu AP, Ali M, Suteno E, Wijaya W, Pasaribu S. Comparative Efficacy and Reinfection of Albendazole-mebendazole, Albendazole-pyrantel Pamoate, and Mebendazole on Soil-transmitted Helminths. Open Access Maced J Med Sci [Internet]. 2020Nov.19 [cited 2021Jan.15];8(B):978-82. Available from: https://www.id-press.eu/mjms/article/view/5110</v>
      </c>
      <c r="AL181" s="836" t="str">
        <f>IFERROR(__xludf.DUMMYFUNCTION("""COMPUTED_VALUE"""),"Indonesia")</f>
        <v>Indonesia</v>
      </c>
      <c r="AM181" s="836" t="str">
        <f>IFERROR(__xludf.DUMMYFUNCTION("""COMPUTED_VALUE"""),"Albendazole &amp; Pyrantel pamoate")</f>
        <v>Albendazole &amp; Pyrantel pamoate</v>
      </c>
      <c r="AN181" s="836" t="str">
        <f>IFERROR(__xludf.DUMMYFUNCTION("""COMPUTED_VALUE"""),"Single")</f>
        <v>Single</v>
      </c>
      <c r="AO181" s="836" t="str">
        <f>IFERROR(__xludf.DUMMYFUNCTION("""COMPUTED_VALUE"""),"400 mg; 10 mg/kg")</f>
        <v>400 mg; 10 mg/kg</v>
      </c>
      <c r="AP181" s="836">
        <f>IFERROR(__xludf.DUMMYFUNCTION("""COMPUTED_VALUE"""),97.0)</f>
        <v>97</v>
      </c>
      <c r="AQ181" s="836">
        <f>IFERROR(__xludf.DUMMYFUNCTION("""COMPUTED_VALUE"""),8.9)</f>
        <v>8.9</v>
      </c>
      <c r="AR181" s="836"/>
      <c r="AS181" s="836">
        <f>IFERROR(__xludf.DUMMYFUNCTION("""COMPUTED_VALUE"""),2018.0)</f>
        <v>2018</v>
      </c>
      <c r="AT181" s="836" t="str">
        <f>IFERROR(__xludf.DUMMYFUNCTION("""COMPUTED_VALUE"""),"Children  between  6  and  12  years  of  age whose stool samples were positive for single infection or co-infection with either A. lumbricoides, T. trichiura, or and hookworm were considered eligible. Exclusion: Children who have used anthemintics 1 mont"&amp;"h before the study were excluded from the study.")</f>
        <v>Children  between  6  and  12  years  of  age whose stool samples were positive for single infection or co-infection with either A. lumbricoides, T. trichiura, or and hookworm were considered eligible. Exclusion: Children who have used anthemintics 1 month before the study were excluded from the study.</v>
      </c>
      <c r="AU181" s="836" t="str">
        <f>IFERROR(__xludf.DUMMYFUNCTION("""COMPUTED_VALUE"""),"Yes")</f>
        <v>Yes</v>
      </c>
      <c r="AV181" s="836" t="str">
        <f>IFERROR(__xludf.DUMMYFUNCTION("""COMPUTED_VALUE"""),"No")</f>
        <v>No</v>
      </c>
      <c r="AW181" s="836" t="str">
        <f>IFERROR(__xludf.DUMMYFUNCTION("""COMPUTED_VALUE"""),"No")</f>
        <v>No</v>
      </c>
      <c r="AX181" s="841">
        <f>IFERROR(__xludf.DUMMYFUNCTION("""COMPUTED_VALUE"""),0.814)</f>
        <v>0.814</v>
      </c>
      <c r="AY181" s="836"/>
      <c r="AZ181" s="836"/>
      <c r="BA181" s="836"/>
      <c r="BB181" s="836"/>
      <c r="BC181" s="836"/>
      <c r="BD181" s="836"/>
      <c r="BE181" s="836"/>
      <c r="BF181" s="836"/>
      <c r="BG181" s="836"/>
      <c r="BH181" s="850">
        <f>IFERROR(__xludf.DUMMYFUNCTION("""COMPUTED_VALUE"""),1.0)</f>
        <v>1</v>
      </c>
      <c r="BI181" s="836"/>
      <c r="BJ181" s="836"/>
      <c r="BK181" s="836"/>
      <c r="BL181" s="836"/>
      <c r="BM181" s="836"/>
      <c r="BN181" s="836" t="str">
        <f>IFERROR(__xludf.DUMMYFUNCTION("""COMPUTED_VALUE"""),"This study showed the excellent efficacy of an albendazole-pyrantel pamoate combination against STHs  infections. The  highest  reinfection  rate  was  found  in  albendazole-pyrantel  pamoate  group  for T.  trichiurainfection.")</f>
        <v>This study showed the excellent efficacy of an albendazole-pyrantel pamoate combination against STHs  infections. The  highest  reinfection  rate  was  found  in  albendazole-pyrantel  pamoate  group  for T.  trichiurainfection.</v>
      </c>
      <c r="BO181" s="836" t="str">
        <f>IFERROR(__xludf.DUMMYFUNCTION("""COMPUTED_VALUE"""),"Kato-Katz technique")</f>
        <v>Kato-Katz technique</v>
      </c>
      <c r="BP181" s="836"/>
      <c r="BQ181" s="697"/>
      <c r="BR181" s="844" t="str">
        <f>IFERROR(__xludf.DUMMYFUNCTION("""COMPUTED_VALUE"""),"Maisonneuve et al.")</f>
        <v>Maisonneuve et al.</v>
      </c>
      <c r="BS181" s="838" t="str">
        <f>IFERROR(__xludf.DUMMYFUNCTION("""COMPUTED_VALUE"""),"Tunisia")</f>
        <v>Tunisia</v>
      </c>
      <c r="BT181" s="838" t="str">
        <f>IFERROR(__xludf.DUMMYFUNCTION("""COMPUTED_VALUE"""),"Albendazole")</f>
        <v>Albendazole</v>
      </c>
      <c r="BU181" s="838"/>
      <c r="BV181" s="838" t="str">
        <f>IFERROR(__xludf.DUMMYFUNCTION("""COMPUTED_VALUE"""),"Single")</f>
        <v>Single</v>
      </c>
      <c r="BW181" s="838" t="str">
        <f>IFERROR(__xludf.DUMMYFUNCTION("""COMPUTED_VALUE"""),"400 mg")</f>
        <v>400 mg</v>
      </c>
      <c r="BX181" s="838">
        <f>IFERROR(__xludf.DUMMYFUNCTION("""COMPUTED_VALUE"""),14.0)</f>
        <v>14</v>
      </c>
      <c r="BY181" s="838" t="str">
        <f>IFERROR(__xludf.DUMMYFUNCTION("""COMPUTED_VALUE"""),"School Children &amp; Adults")</f>
        <v>School Children &amp; Adults</v>
      </c>
      <c r="BZ181" s="838"/>
      <c r="CA181" s="838"/>
      <c r="CB181" s="838"/>
      <c r="CC181" s="838" t="str">
        <f>IFERROR(__xludf.DUMMYFUNCTION("""COMPUTED_VALUE"""),"No")</f>
        <v>No</v>
      </c>
      <c r="CD181" s="846">
        <f>IFERROR(__xludf.DUMMYFUNCTION("""COMPUTED_VALUE"""),0.86)</f>
        <v>0.86</v>
      </c>
      <c r="CE181" s="838" t="str">
        <f>IFERROR(__xludf.DUMMYFUNCTION("""COMPUTED_VALUE"""),"No")</f>
        <v>No</v>
      </c>
      <c r="CF181" s="838"/>
      <c r="CG181" s="838"/>
      <c r="CH181" s="838"/>
      <c r="CI181" s="838"/>
      <c r="CJ181" s="838"/>
      <c r="CK181" s="838"/>
      <c r="CL181" s="838"/>
      <c r="CM181" s="846">
        <f>IFERROR(__xludf.DUMMYFUNCTION("""COMPUTED_VALUE"""),0.99)</f>
        <v>0.99</v>
      </c>
      <c r="CN181" s="838"/>
      <c r="CO181" s="838"/>
      <c r="CP181" s="838"/>
      <c r="CQ181" s="838"/>
      <c r="CR181" s="838"/>
      <c r="CS181" s="838"/>
      <c r="CT181" s="838" t="str">
        <f>IFERROR(__xludf.DUMMYFUNCTION("""COMPUTED_VALUE"""),"Kato-Katz Method")</f>
        <v>Kato-Katz Method</v>
      </c>
      <c r="CU181" s="838"/>
      <c r="CV181" s="697" t="str">
        <f>IFERROR(__xludf.DUMMYFUNCTION("""COMPUTED_VALUE"""),"Maissonneuve, H.; Zribi M.; &amp; Peyron, F. ""A Pediatric Suspension of Albendazole in the Treatment of Ascariasis Ancylostomiasis and Trichuriasis (167 Patients)."" Current Therapeutic Research. 1984 36(3): 404-408. Web.")</f>
        <v>Maissonneuve, H.; Zribi M.; &amp; Peyron, F. "A Pediatric Suspension of Albendazole in the Treatment of Ascariasis Ancylostomiasis and Trichuriasis (167 Patients)." Current Therapeutic Research. 1984 36(3): 404-408. Web.</v>
      </c>
    </row>
    <row r="182">
      <c r="A182" s="834"/>
      <c r="B182" s="834"/>
      <c r="C182" s="834"/>
      <c r="D182" s="834"/>
      <c r="E182" s="834"/>
      <c r="F182" s="834"/>
      <c r="G182" s="834"/>
      <c r="H182" s="834"/>
      <c r="I182" s="834"/>
      <c r="J182" s="834"/>
      <c r="K182" s="834"/>
      <c r="L182" s="834"/>
      <c r="M182" s="834"/>
      <c r="N182" s="834"/>
      <c r="O182" s="834"/>
      <c r="P182" s="834"/>
      <c r="Q182" s="834"/>
      <c r="R182" s="834"/>
      <c r="S182" s="834"/>
      <c r="T182" s="834"/>
      <c r="U182" s="834"/>
      <c r="V182" s="834"/>
      <c r="W182" s="834"/>
      <c r="X182" s="834"/>
      <c r="Y182" s="834"/>
      <c r="Z182" s="834"/>
      <c r="AA182" s="834"/>
      <c r="AB182" s="834"/>
      <c r="AC182" s="834"/>
      <c r="AD182" s="834"/>
      <c r="AE182" s="834"/>
      <c r="AF182" s="834"/>
      <c r="AG182" s="834"/>
      <c r="AH182" s="834"/>
      <c r="AJ182" s="843" t="str">
        <f>IFERROR(__xludf.DUMMYFUNCTION("""COMPUTED_VALUE"""),"Comparative Efficacy and Reinfection of Albendazole-mebendazole, Albendazole-pyrantel Pamoate, and Mebendazole on Soil-transmitted Helminths")</f>
        <v>Comparative Efficacy and Reinfection of Albendazole-mebendazole, Albendazole-pyrantel Pamoate, and Mebendazole on Soil-transmitted Helminths</v>
      </c>
      <c r="AK182" s="836" t="str">
        <f>IFERROR(__xludf.DUMMYFUNCTION("""COMPUTED_VALUE"""),"Husin N, Pasaribu AP, Ali M, Suteno E, Wijaya W, Pasaribu S. Comparative Efficacy and Reinfection of Albendazole-mebendazole, Albendazole-pyrantel Pamoate, and Mebendazole on Soil-transmitted Helminths. Open Access Maced J Med Sci [Internet]. 2020Nov.19 ["&amp;"cited 2021Jan.15];8(B):978-82. Available from: https://www.id-press.eu/mjms/article/view/5110")</f>
        <v>Husin N, Pasaribu AP, Ali M, Suteno E, Wijaya W, Pasaribu S. Comparative Efficacy and Reinfection of Albendazole-mebendazole, Albendazole-pyrantel Pamoate, and Mebendazole on Soil-transmitted Helminths. Open Access Maced J Med Sci [Internet]. 2020Nov.19 [cited 2021Jan.15];8(B):978-82. Available from: https://www.id-press.eu/mjms/article/view/5110</v>
      </c>
      <c r="AL182" s="836" t="str">
        <f>IFERROR(__xludf.DUMMYFUNCTION("""COMPUTED_VALUE"""),"Indonesia")</f>
        <v>Indonesia</v>
      </c>
      <c r="AM182" s="836" t="str">
        <f>IFERROR(__xludf.DUMMYFUNCTION("""COMPUTED_VALUE"""),"Mebendazole")</f>
        <v>Mebendazole</v>
      </c>
      <c r="AN182" s="836" t="str">
        <f>IFERROR(__xludf.DUMMYFUNCTION("""COMPUTED_VALUE"""),"Single")</f>
        <v>Single</v>
      </c>
      <c r="AO182" s="836" t="str">
        <f>IFERROR(__xludf.DUMMYFUNCTION("""COMPUTED_VALUE"""),"500 mg")</f>
        <v>500 mg</v>
      </c>
      <c r="AP182" s="836">
        <f>IFERROR(__xludf.DUMMYFUNCTION("""COMPUTED_VALUE"""),93.0)</f>
        <v>93</v>
      </c>
      <c r="AQ182" s="836">
        <f>IFERROR(__xludf.DUMMYFUNCTION("""COMPUTED_VALUE"""),8.8)</f>
        <v>8.8</v>
      </c>
      <c r="AR182" s="836"/>
      <c r="AS182" s="836">
        <f>IFERROR(__xludf.DUMMYFUNCTION("""COMPUTED_VALUE"""),2018.0)</f>
        <v>2018</v>
      </c>
      <c r="AT182" s="836" t="str">
        <f>IFERROR(__xludf.DUMMYFUNCTION("""COMPUTED_VALUE"""),"Children  between  6  and  12  years  of  age whose stool samples were positive for single infection or co-infection with either A. lumbricoides, T. trichiura, or and hookworm were considered eligible. Exclusion: Children who have used anthemintics 1 mont"&amp;"h before the study were excluded from the study.")</f>
        <v>Children  between  6  and  12  years  of  age whose stool samples were positive for single infection or co-infection with either A. lumbricoides, T. trichiura, or and hookworm were considered eligible. Exclusion: Children who have used anthemintics 1 month before the study were excluded from the study.</v>
      </c>
      <c r="AU182" s="836" t="str">
        <f>IFERROR(__xludf.DUMMYFUNCTION("""COMPUTED_VALUE"""),"Yes")</f>
        <v>Yes</v>
      </c>
      <c r="AV182" s="836" t="str">
        <f>IFERROR(__xludf.DUMMYFUNCTION("""COMPUTED_VALUE"""),"No")</f>
        <v>No</v>
      </c>
      <c r="AW182" s="836" t="str">
        <f>IFERROR(__xludf.DUMMYFUNCTION("""COMPUTED_VALUE"""),"No")</f>
        <v>No</v>
      </c>
      <c r="AX182" s="841">
        <f>IFERROR(__xludf.DUMMYFUNCTION("""COMPUTED_VALUE"""),0.656)</f>
        <v>0.656</v>
      </c>
      <c r="AY182" s="836"/>
      <c r="AZ182" s="836"/>
      <c r="BA182" s="836"/>
      <c r="BB182" s="836"/>
      <c r="BC182" s="836"/>
      <c r="BD182" s="836"/>
      <c r="BE182" s="836"/>
      <c r="BF182" s="836"/>
      <c r="BG182" s="836"/>
      <c r="BH182" s="841">
        <f>IFERROR(__xludf.DUMMYFUNCTION("""COMPUTED_VALUE"""),0.447)</f>
        <v>0.447</v>
      </c>
      <c r="BI182" s="836"/>
      <c r="BJ182" s="836"/>
      <c r="BK182" s="836"/>
      <c r="BL182" s="836"/>
      <c r="BM182" s="836"/>
      <c r="BN182" s="836" t="str">
        <f>IFERROR(__xludf.DUMMYFUNCTION("""COMPUTED_VALUE"""),"This study showed the excellent efficacy of an albendazole-pyrantel pamoate combination against STHs  infections. The  highest  reinfection  rate  was  found  in  albendazole-pyrantel  pamoate  group  for T.  trichiurainfection.")</f>
        <v>This study showed the excellent efficacy of an albendazole-pyrantel pamoate combination against STHs  infections. The  highest  reinfection  rate  was  found  in  albendazole-pyrantel  pamoate  group  for T.  trichiurainfection.</v>
      </c>
      <c r="BO182" s="836" t="str">
        <f>IFERROR(__xludf.DUMMYFUNCTION("""COMPUTED_VALUE"""),"Kato-Katz technique")</f>
        <v>Kato-Katz technique</v>
      </c>
      <c r="BP182" s="836"/>
      <c r="BQ182" s="697"/>
      <c r="BR182" s="844" t="str">
        <f>IFERROR(__xludf.DUMMYFUNCTION("""COMPUTED_VALUE"""),"Gazder &amp; Roy")</f>
        <v>Gazder &amp; Roy</v>
      </c>
      <c r="BS182" s="838" t="str">
        <f>IFERROR(__xludf.DUMMYFUNCTION("""COMPUTED_VALUE"""),"India ")</f>
        <v>India </v>
      </c>
      <c r="BT182" s="838" t="str">
        <f>IFERROR(__xludf.DUMMYFUNCTION("""COMPUTED_VALUE"""),"Albendazole")</f>
        <v>Albendazole</v>
      </c>
      <c r="BU182" s="838"/>
      <c r="BV182" s="838" t="str">
        <f>IFERROR(__xludf.DUMMYFUNCTION("""COMPUTED_VALUE"""),"Single")</f>
        <v>Single</v>
      </c>
      <c r="BW182" s="838" t="str">
        <f>IFERROR(__xludf.DUMMYFUNCTION("""COMPUTED_VALUE"""),"400 mg")</f>
        <v>400 mg</v>
      </c>
      <c r="BX182" s="838">
        <f>IFERROR(__xludf.DUMMYFUNCTION("""COMPUTED_VALUE"""),7.0)</f>
        <v>7</v>
      </c>
      <c r="BY182" s="845">
        <f>IFERROR(__xludf.DUMMYFUNCTION("""COMPUTED_VALUE"""),42412.0)</f>
        <v>42412</v>
      </c>
      <c r="BZ182" s="838"/>
      <c r="CA182" s="838"/>
      <c r="CB182" s="838" t="str">
        <f>IFERROR(__xludf.DUMMYFUNCTION("""COMPUTED_VALUE"""),"Patients who had received anthelmintics over the seven days prior to commencing the study or who had an acute illness, epilepsy, known hypoersensitivty to any drug, generalized active skin lesions, long-term drug therapy, or proteinura were excluded from "&amp;"this study.")</f>
        <v>Patients who had received anthelmintics over the seven days prior to commencing the study or who had an acute illness, epilepsy, known hypoersensitivty to any drug, generalized active skin lesions, long-term drug therapy, or proteinura were excluded from this study.</v>
      </c>
      <c r="CC182" s="838" t="str">
        <f>IFERROR(__xludf.DUMMYFUNCTION("""COMPUTED_VALUE"""),"Yes")</f>
        <v>Yes</v>
      </c>
      <c r="CD182" s="846">
        <f>IFERROR(__xludf.DUMMYFUNCTION("""COMPUTED_VALUE"""),1.0)</f>
        <v>1</v>
      </c>
      <c r="CE182" s="838" t="str">
        <f>IFERROR(__xludf.DUMMYFUNCTION("""COMPUTED_VALUE"""),"No")</f>
        <v>No</v>
      </c>
      <c r="CF182" s="838"/>
      <c r="CG182" s="846">
        <f>IFERROR(__xludf.DUMMYFUNCTION("""COMPUTED_VALUE"""),1.0)</f>
        <v>1</v>
      </c>
      <c r="CH182" s="838"/>
      <c r="CI182" s="838"/>
      <c r="CJ182" s="838"/>
      <c r="CK182" s="838"/>
      <c r="CL182" s="838"/>
      <c r="CM182" s="838"/>
      <c r="CN182" s="838"/>
      <c r="CO182" s="838"/>
      <c r="CP182" s="838"/>
      <c r="CQ182" s="838"/>
      <c r="CR182" s="838"/>
      <c r="CS182" s="838" t="str">
        <f>IFERROR(__xludf.DUMMYFUNCTION("""COMPUTED_VALUE"""),"The drug appears to be a safe and active treatment for intestinal helminthiasis in pediatric patients.")</f>
        <v>The drug appears to be a safe and active treatment for intestinal helminthiasis in pediatric patients.</v>
      </c>
      <c r="CT182" s="838"/>
      <c r="CU182" s="838"/>
      <c r="CV182" s="697" t="str">
        <f>IFERROR(__xludf.DUMMYFUNCTION("""COMPUTED_VALUE"""),"Gazder, A.J.; Roy, J. ""Albendazole Suspension in the Treatment of Intestinal Helminthiasis in Children"". Current Therapeutic Research. 1987 41(3): 324-327.")</f>
        <v>Gazder, A.J.; Roy, J. "Albendazole Suspension in the Treatment of Intestinal Helminthiasis in Children". Current Therapeutic Research. 1987 41(3): 324-327.</v>
      </c>
    </row>
    <row r="183">
      <c r="A183" s="834"/>
      <c r="B183" s="834"/>
      <c r="C183" s="834"/>
      <c r="D183" s="834"/>
      <c r="E183" s="834"/>
      <c r="F183" s="834"/>
      <c r="G183" s="834"/>
      <c r="H183" s="834"/>
      <c r="I183" s="834"/>
      <c r="J183" s="834"/>
      <c r="K183" s="834"/>
      <c r="L183" s="834"/>
      <c r="M183" s="834"/>
      <c r="N183" s="834"/>
      <c r="O183" s="834"/>
      <c r="P183" s="834"/>
      <c r="Q183" s="834"/>
      <c r="R183" s="834"/>
      <c r="S183" s="834"/>
      <c r="T183" s="834"/>
      <c r="U183" s="834"/>
      <c r="V183" s="834"/>
      <c r="W183" s="834"/>
      <c r="X183" s="834"/>
      <c r="Y183" s="834"/>
      <c r="Z183" s="834"/>
      <c r="AA183" s="834"/>
      <c r="AB183" s="834"/>
      <c r="AC183" s="834"/>
      <c r="AD183" s="834"/>
      <c r="AE183" s="834"/>
      <c r="AF183" s="834"/>
      <c r="AG183" s="834"/>
      <c r="AH183" s="834"/>
      <c r="AJ183" s="843" t="str">
        <f>IFERROR(__xludf.DUMMYFUNCTION("""COMPUTED_VALUE"""),"Efficacy of Albendazole-Pyrantel Pamoate Compared to Albendazole Alone for Trichuris trichiura Infection in Children: A Double Blind Randomised Controlled Trial")</f>
        <v>Efficacy of Albendazole-Pyrantel Pamoate Compared to Albendazole Alone for Trichuris trichiura Infection in Children: A Double Blind Randomised Controlled Trial</v>
      </c>
      <c r="AK183" s="836" t="str">
        <f>IFERROR(__xludf.DUMMYFUNCTION("""COMPUTED_VALUE"""),"Sapulete, E., de Dwi Lingga Utama, I., Sanjaya Putra, I., Kanya Wati, D., Arimbawa, I. M., &amp; Gustawan, I. W. (2020). Efficacy of Albendazole-Pyrantel Pamoate Compared to Albendazole Alone for Trichuris trichiura Infection in Children: A Double Blind Rando"&amp;"mised Controlled Trial. The Malaysian journal of medical sciences : MJMS, 27(3), 67–74. https://doi.org/10.21315/mjms2020.27.3.7")</f>
        <v>Sapulete, E., de Dwi Lingga Utama, I., Sanjaya Putra, I., Kanya Wati, D., Arimbawa, I. M., &amp; Gustawan, I. W. (2020). Efficacy of Albendazole-Pyrantel Pamoate Compared to Albendazole Alone for Trichuris trichiura Infection in Children: A Double Blind Randomised Controlled Trial. The Malaysian journal of medical sciences : MJMS, 27(3), 67–74. https://doi.org/10.21315/mjms2020.27.3.7</v>
      </c>
      <c r="AL183" s="836" t="str">
        <f>IFERROR(__xludf.DUMMYFUNCTION("""COMPUTED_VALUE"""),"Indonesia")</f>
        <v>Indonesia</v>
      </c>
      <c r="AM183" s="836" t="str">
        <f>IFERROR(__xludf.DUMMYFUNCTION("""COMPUTED_VALUE"""),"Albendazole &amp; Pyrantel pamoate")</f>
        <v>Albendazole &amp; Pyrantel pamoate</v>
      </c>
      <c r="AN183" s="836" t="str">
        <f>IFERROR(__xludf.DUMMYFUNCTION("""COMPUTED_VALUE"""),"Multiple Dose: 3")</f>
        <v>Multiple Dose: 3</v>
      </c>
      <c r="AO183" s="836" t="str">
        <f>IFERROR(__xludf.DUMMYFUNCTION("""COMPUTED_VALUE"""),"400 mg;10 mg/kg body weight")</f>
        <v>400 mg;10 mg/kg body weight</v>
      </c>
      <c r="AP183" s="836">
        <f>IFERROR(__xludf.DUMMYFUNCTION("""COMPUTED_VALUE"""),30.0)</f>
        <v>30</v>
      </c>
      <c r="AQ183" s="836">
        <f>IFERROR(__xludf.DUMMYFUNCTION("""COMPUTED_VALUE"""),9.43)</f>
        <v>9.43</v>
      </c>
      <c r="AR183" s="836" t="str">
        <f>IFERROR(__xludf.DUMMYFUNCTION("""COMPUTED_VALUE"""),"14M:16F")</f>
        <v>14M:16F</v>
      </c>
      <c r="AS183" s="836">
        <f>IFERROR(__xludf.DUMMYFUNCTION("""COMPUTED_VALUE"""),2017.0)</f>
        <v>2017</v>
      </c>
      <c r="AT183" s="836" t="str">
        <f>IFERROR(__xludf.DUMMYFUNCTION("""COMPUTED_VALUE"""),"Children who were 8–12 years old were invited to provide stool samples, and children who tested positive for Trichuris trichiura were considered eligible for inclusion in the trial. Exclusion: Children who had diarrhoea, combination of STH infection, were"&amp;" taking STH medication within the past two months, vomiting within one hour after admiration of the drug, and the usage of certain drugs (benzimidazole and tetrahydropyrimidine) related to an allergic history were excluded.")</f>
        <v>Children who were 8–12 years old were invited to provide stool samples, and children who tested positive for Trichuris trichiura were considered eligible for inclusion in the trial. Exclusion: Children who had diarrhoea, combination of STH infection, were taking STH medication within the past two months, vomiting within one hour after admiration of the drug, and the usage of certain drugs (benzimidazole and tetrahydropyrimidine) related to an allergic history were excluded.</v>
      </c>
      <c r="AU183" s="836" t="str">
        <f>IFERROR(__xludf.DUMMYFUNCTION("""COMPUTED_VALUE"""),"Yes")</f>
        <v>Yes</v>
      </c>
      <c r="AV183" s="836" t="str">
        <f>IFERROR(__xludf.DUMMYFUNCTION("""COMPUTED_VALUE"""),"Yes")</f>
        <v>Yes</v>
      </c>
      <c r="AW183" s="836" t="str">
        <f>IFERROR(__xludf.DUMMYFUNCTION("""COMPUTED_VALUE"""),"Double blind")</f>
        <v>Double blind</v>
      </c>
      <c r="AX183" s="850">
        <f>IFERROR(__xludf.DUMMYFUNCTION("""COMPUTED_VALUE"""),0.4)</f>
        <v>0.4</v>
      </c>
      <c r="AY183" s="836"/>
      <c r="AZ183" s="836"/>
      <c r="BA183" s="836"/>
      <c r="BB183" s="836"/>
      <c r="BC183" s="836"/>
      <c r="BD183" s="836"/>
      <c r="BE183" s="836"/>
      <c r="BF183" s="836"/>
      <c r="BG183" s="836"/>
      <c r="BH183" s="841">
        <f>IFERROR(__xludf.DUMMYFUNCTION("""COMPUTED_VALUE"""),0.553)</f>
        <v>0.553</v>
      </c>
      <c r="BI183" s="836"/>
      <c r="BJ183" s="836"/>
      <c r="BK183" s="836"/>
      <c r="BL183" s="836"/>
      <c r="BM183" s="836"/>
      <c r="BN183" s="836" t="str">
        <f>IFERROR(__xludf.DUMMYFUNCTION("""COMPUTED_VALUE"""),"The study indicated that a combination of albendazole and pyrantel pamoate does not improve cure rate or egg reduction rate in 8–12 years old children with Trichuris trichiura infection.")</f>
        <v>The study indicated that a combination of albendazole and pyrantel pamoate does not improve cure rate or egg reduction rate in 8–12 years old children with Trichuris trichiura infection.</v>
      </c>
      <c r="BO183" s="836" t="str">
        <f>IFERROR(__xludf.DUMMYFUNCTION("""COMPUTED_VALUE"""),"Kato-Katz technique")</f>
        <v>Kato-Katz technique</v>
      </c>
      <c r="BP183" s="836"/>
      <c r="BQ183" s="697"/>
      <c r="BR183" s="844" t="str">
        <f>IFERROR(__xludf.DUMMYFUNCTION("""COMPUTED_VALUE"""),"Gazder &amp; Roy")</f>
        <v>Gazder &amp; Roy</v>
      </c>
      <c r="BS183" s="838" t="str">
        <f>IFERROR(__xludf.DUMMYFUNCTION("""COMPUTED_VALUE"""),"India ")</f>
        <v>India </v>
      </c>
      <c r="BT183" s="838" t="str">
        <f>IFERROR(__xludf.DUMMYFUNCTION("""COMPUTED_VALUE"""),"Albendazole")</f>
        <v>Albendazole</v>
      </c>
      <c r="BU183" s="838"/>
      <c r="BV183" s="838" t="str">
        <f>IFERROR(__xludf.DUMMYFUNCTION("""COMPUTED_VALUE"""),"Single")</f>
        <v>Single</v>
      </c>
      <c r="BW183" s="838" t="str">
        <f>IFERROR(__xludf.DUMMYFUNCTION("""COMPUTED_VALUE"""),"400 mg")</f>
        <v>400 mg</v>
      </c>
      <c r="BX183" s="838">
        <f>IFERROR(__xludf.DUMMYFUNCTION("""COMPUTED_VALUE"""),34.0)</f>
        <v>34</v>
      </c>
      <c r="BY183" s="845">
        <f>IFERROR(__xludf.DUMMYFUNCTION("""COMPUTED_VALUE"""),42412.0)</f>
        <v>42412</v>
      </c>
      <c r="BZ183" s="838"/>
      <c r="CA183" s="838"/>
      <c r="CB183" s="838" t="str">
        <f>IFERROR(__xludf.DUMMYFUNCTION("""COMPUTED_VALUE"""),"Patients who had received anthelmintics over the seven days prior to commencing the study or who had an acute illness, epilepsy, known hypoersensitivty to any drug, generalized active skin lesions, long-term drug therapy, or proteinura were excluded from "&amp;"this study.")</f>
        <v>Patients who had received anthelmintics over the seven days prior to commencing the study or who had an acute illness, epilepsy, known hypoersensitivty to any drug, generalized active skin lesions, long-term drug therapy, or proteinura were excluded from this study.</v>
      </c>
      <c r="CC183" s="838" t="str">
        <f>IFERROR(__xludf.DUMMYFUNCTION("""COMPUTED_VALUE"""),"Yes")</f>
        <v>Yes</v>
      </c>
      <c r="CD183" s="846">
        <f>IFERROR(__xludf.DUMMYFUNCTION("""COMPUTED_VALUE"""),0.94)</f>
        <v>0.94</v>
      </c>
      <c r="CE183" s="838" t="str">
        <f>IFERROR(__xludf.DUMMYFUNCTION("""COMPUTED_VALUE"""),"No")</f>
        <v>No</v>
      </c>
      <c r="CF183" s="838"/>
      <c r="CG183" s="846">
        <f>IFERROR(__xludf.DUMMYFUNCTION("""COMPUTED_VALUE"""),0.941)</f>
        <v>0.941</v>
      </c>
      <c r="CH183" s="838"/>
      <c r="CI183" s="838"/>
      <c r="CJ183" s="838"/>
      <c r="CK183" s="838"/>
      <c r="CL183" s="838"/>
      <c r="CM183" s="838"/>
      <c r="CN183" s="838"/>
      <c r="CO183" s="838"/>
      <c r="CP183" s="838"/>
      <c r="CQ183" s="838"/>
      <c r="CR183" s="838"/>
      <c r="CS183" s="838" t="str">
        <f>IFERROR(__xludf.DUMMYFUNCTION("""COMPUTED_VALUE"""),"The drug appears to be a safe and active treatment for intestinal helminthiasis in pediatric patients.")</f>
        <v>The drug appears to be a safe and active treatment for intestinal helminthiasis in pediatric patients.</v>
      </c>
      <c r="CT183" s="838"/>
      <c r="CU183" s="838"/>
      <c r="CV183" s="697" t="str">
        <f>IFERROR(__xludf.DUMMYFUNCTION("""COMPUTED_VALUE"""),"Gazder, A.J.; Roy, J. ""Albendazole Suspension in the Treatment of Intestinal Helminthiasis in Children"". Current Therapeutic Research. 1987 41(3): 324-327.")</f>
        <v>Gazder, A.J.; Roy, J. "Albendazole Suspension in the Treatment of Intestinal Helminthiasis in Children". Current Therapeutic Research. 1987 41(3): 324-327.</v>
      </c>
    </row>
    <row r="184">
      <c r="A184" s="834"/>
      <c r="B184" s="834"/>
      <c r="C184" s="834"/>
      <c r="D184" s="834"/>
      <c r="E184" s="834"/>
      <c r="F184" s="834"/>
      <c r="G184" s="834"/>
      <c r="H184" s="834"/>
      <c r="I184" s="834"/>
      <c r="J184" s="834"/>
      <c r="K184" s="834"/>
      <c r="L184" s="834"/>
      <c r="M184" s="834"/>
      <c r="N184" s="834"/>
      <c r="O184" s="834"/>
      <c r="P184" s="834"/>
      <c r="Q184" s="834"/>
      <c r="R184" s="834"/>
      <c r="S184" s="834"/>
      <c r="T184" s="834"/>
      <c r="U184" s="834"/>
      <c r="V184" s="834"/>
      <c r="W184" s="834"/>
      <c r="X184" s="834"/>
      <c r="Y184" s="834"/>
      <c r="Z184" s="834"/>
      <c r="AA184" s="834"/>
      <c r="AB184" s="834"/>
      <c r="AC184" s="834"/>
      <c r="AD184" s="834"/>
      <c r="AE184" s="834"/>
      <c r="AF184" s="834"/>
      <c r="AG184" s="834"/>
      <c r="AH184" s="834"/>
      <c r="AJ184" s="843" t="str">
        <f>IFERROR(__xludf.DUMMYFUNCTION("""COMPUTED_VALUE"""),"Efficacy of Albendazole-Pyrantel Pamoate Compared to Albendazole Alone for Trichuris trichiura Infection in Children: A Double Blind Randomised Controlled Trial")</f>
        <v>Efficacy of Albendazole-Pyrantel Pamoate Compared to Albendazole Alone for Trichuris trichiura Infection in Children: A Double Blind Randomised Controlled Trial</v>
      </c>
      <c r="AK184" s="836" t="str">
        <f>IFERROR(__xludf.DUMMYFUNCTION("""COMPUTED_VALUE"""),"Sapulete, E., de Dwi Lingga Utama, I., Sanjaya Putra, I., Kanya Wati, D., Arimbawa, I. M., &amp; Gustawan, I. W. (2020). Efficacy of Albendazole-Pyrantel Pamoate Compared to Albendazole Alone for Trichuris trichiura Infection in Children: A Double Blind Rando"&amp;"mised Controlled Trial. The Malaysian journal of medical sciences : MJMS, 27(3), 67–74. https://doi.org/10.21315/mjms2020.27.3.7")</f>
        <v>Sapulete, E., de Dwi Lingga Utama, I., Sanjaya Putra, I., Kanya Wati, D., Arimbawa, I. M., &amp; Gustawan, I. W. (2020). Efficacy of Albendazole-Pyrantel Pamoate Compared to Albendazole Alone for Trichuris trichiura Infection in Children: A Double Blind Randomised Controlled Trial. The Malaysian journal of medical sciences : MJMS, 27(3), 67–74. https://doi.org/10.21315/mjms2020.27.3.7</v>
      </c>
      <c r="AL184" s="836" t="str">
        <f>IFERROR(__xludf.DUMMYFUNCTION("""COMPUTED_VALUE"""),"Indonesia")</f>
        <v>Indonesia</v>
      </c>
      <c r="AM184" s="836" t="str">
        <f>IFERROR(__xludf.DUMMYFUNCTION("""COMPUTED_VALUE"""),"Albendazole")</f>
        <v>Albendazole</v>
      </c>
      <c r="AN184" s="836" t="str">
        <f>IFERROR(__xludf.DUMMYFUNCTION("""COMPUTED_VALUE"""),"Multiple Dose: 3")</f>
        <v>Multiple Dose: 3</v>
      </c>
      <c r="AO184" s="836" t="str">
        <f>IFERROR(__xludf.DUMMYFUNCTION("""COMPUTED_VALUE"""),"400 mg")</f>
        <v>400 mg</v>
      </c>
      <c r="AP184" s="836">
        <f>IFERROR(__xludf.DUMMYFUNCTION("""COMPUTED_VALUE"""),30.0)</f>
        <v>30</v>
      </c>
      <c r="AQ184" s="836">
        <f>IFERROR(__xludf.DUMMYFUNCTION("""COMPUTED_VALUE"""),9.33)</f>
        <v>9.33</v>
      </c>
      <c r="AR184" s="836" t="str">
        <f>IFERROR(__xludf.DUMMYFUNCTION("""COMPUTED_VALUE"""),"19M:11F")</f>
        <v>19M:11F</v>
      </c>
      <c r="AS184" s="836">
        <f>IFERROR(__xludf.DUMMYFUNCTION("""COMPUTED_VALUE"""),2017.0)</f>
        <v>2017</v>
      </c>
      <c r="AT184" s="836" t="str">
        <f>IFERROR(__xludf.DUMMYFUNCTION("""COMPUTED_VALUE"""),"Children who were 8–12 years old were invited to provide stool samples, and children who tested positive for Trichuris trichiura were considered eligible for inclusion in the trial. Exclusion: Children who had diarrhoea, combination of STH infection, were"&amp;" taking STH medication within the past two months, vomiting within one hour after admiration of the drug, and the usage of certain drugs (benzimidazole and tetrahydropyrimidine) related to an allergic history were excluded.")</f>
        <v>Children who were 8–12 years old were invited to provide stool samples, and children who tested positive for Trichuris trichiura were considered eligible for inclusion in the trial. Exclusion: Children who had diarrhoea, combination of STH infection, were taking STH medication within the past two months, vomiting within one hour after admiration of the drug, and the usage of certain drugs (benzimidazole and tetrahydropyrimidine) related to an allergic history were excluded.</v>
      </c>
      <c r="AU184" s="836" t="str">
        <f>IFERROR(__xludf.DUMMYFUNCTION("""COMPUTED_VALUE"""),"Yes")</f>
        <v>Yes</v>
      </c>
      <c r="AV184" s="836" t="str">
        <f>IFERROR(__xludf.DUMMYFUNCTION("""COMPUTED_VALUE"""),"Yes")</f>
        <v>Yes</v>
      </c>
      <c r="AW184" s="836" t="str">
        <f>IFERROR(__xludf.DUMMYFUNCTION("""COMPUTED_VALUE"""),"Double blind")</f>
        <v>Double blind</v>
      </c>
      <c r="AX184" s="850">
        <f>IFERROR(__xludf.DUMMYFUNCTION("""COMPUTED_VALUE"""),0.6)</f>
        <v>0.6</v>
      </c>
      <c r="AY184" s="836"/>
      <c r="AZ184" s="836"/>
      <c r="BA184" s="836"/>
      <c r="BB184" s="836"/>
      <c r="BC184" s="836"/>
      <c r="BD184" s="836"/>
      <c r="BE184" s="836"/>
      <c r="BF184" s="836"/>
      <c r="BG184" s="836"/>
      <c r="BH184" s="841">
        <f>IFERROR(__xludf.DUMMYFUNCTION("""COMPUTED_VALUE"""),0.961)</f>
        <v>0.961</v>
      </c>
      <c r="BI184" s="836"/>
      <c r="BJ184" s="836"/>
      <c r="BK184" s="836"/>
      <c r="BL184" s="836"/>
      <c r="BM184" s="836"/>
      <c r="BN184" s="836" t="str">
        <f>IFERROR(__xludf.DUMMYFUNCTION("""COMPUTED_VALUE"""),"The study indicated that a combination of albendazole and pyrantel pamoate does not improve cure rate or egg reduction rate in 8–12 years old children with Trichuris trichiura infection.")</f>
        <v>The study indicated that a combination of albendazole and pyrantel pamoate does not improve cure rate or egg reduction rate in 8–12 years old children with Trichuris trichiura infection.</v>
      </c>
      <c r="BO184" s="836" t="str">
        <f>IFERROR(__xludf.DUMMYFUNCTION("""COMPUTED_VALUE"""),"Kato-Katz technique")</f>
        <v>Kato-Katz technique</v>
      </c>
      <c r="BP184" s="836"/>
      <c r="BQ184" s="697"/>
      <c r="BR184" s="844" t="str">
        <f>IFERROR(__xludf.DUMMYFUNCTION("""COMPUTED_VALUE"""),"Gazder &amp; Roy")</f>
        <v>Gazder &amp; Roy</v>
      </c>
      <c r="BS184" s="838" t="str">
        <f>IFERROR(__xludf.DUMMYFUNCTION("""COMPUTED_VALUE"""),"India ")</f>
        <v>India </v>
      </c>
      <c r="BT184" s="838" t="str">
        <f>IFERROR(__xludf.DUMMYFUNCTION("""COMPUTED_VALUE"""),"Albendazole")</f>
        <v>Albendazole</v>
      </c>
      <c r="BU184" s="838"/>
      <c r="BV184" s="838" t="str">
        <f>IFERROR(__xludf.DUMMYFUNCTION("""COMPUTED_VALUE"""),"Single")</f>
        <v>Single</v>
      </c>
      <c r="BW184" s="838" t="str">
        <f>IFERROR(__xludf.DUMMYFUNCTION("""COMPUTED_VALUE"""),"400 mg")</f>
        <v>400 mg</v>
      </c>
      <c r="BX184" s="838">
        <f>IFERROR(__xludf.DUMMYFUNCTION("""COMPUTED_VALUE"""),2.0)</f>
        <v>2</v>
      </c>
      <c r="BY184" s="845">
        <f>IFERROR(__xludf.DUMMYFUNCTION("""COMPUTED_VALUE"""),42412.0)</f>
        <v>42412</v>
      </c>
      <c r="BZ184" s="838"/>
      <c r="CA184" s="838"/>
      <c r="CB184" s="838" t="str">
        <f>IFERROR(__xludf.DUMMYFUNCTION("""COMPUTED_VALUE"""),"Patients who had received anthelmintics over the seven days prior to commencing the study or who had an acute illness, epilepsy, known hypoersensitivty to any drug, generalized active skin lesions, long-term drug therapy, or proteinura were excluded from "&amp;"this study.")</f>
        <v>Patients who had received anthelmintics over the seven days prior to commencing the study or who had an acute illness, epilepsy, known hypoersensitivty to any drug, generalized active skin lesions, long-term drug therapy, or proteinura were excluded from this study.</v>
      </c>
      <c r="CC184" s="838" t="str">
        <f>IFERROR(__xludf.DUMMYFUNCTION("""COMPUTED_VALUE"""),"Yes")</f>
        <v>Yes</v>
      </c>
      <c r="CD184" s="846">
        <f>IFERROR(__xludf.DUMMYFUNCTION("""COMPUTED_VALUE"""),1.0)</f>
        <v>1</v>
      </c>
      <c r="CE184" s="838" t="str">
        <f>IFERROR(__xludf.DUMMYFUNCTION("""COMPUTED_VALUE"""),"No")</f>
        <v>No</v>
      </c>
      <c r="CF184" s="838"/>
      <c r="CG184" s="846">
        <f>IFERROR(__xludf.DUMMYFUNCTION("""COMPUTED_VALUE"""),1.0)</f>
        <v>1</v>
      </c>
      <c r="CH184" s="838"/>
      <c r="CI184" s="838"/>
      <c r="CJ184" s="838"/>
      <c r="CK184" s="838"/>
      <c r="CL184" s="838"/>
      <c r="CM184" s="838"/>
      <c r="CN184" s="838"/>
      <c r="CO184" s="838"/>
      <c r="CP184" s="838"/>
      <c r="CQ184" s="838"/>
      <c r="CR184" s="838"/>
      <c r="CS184" s="838" t="str">
        <f>IFERROR(__xludf.DUMMYFUNCTION("""COMPUTED_VALUE"""),"The drug appears to be a safe and active treatment for intestinal helminthiasis in pediatric patients.")</f>
        <v>The drug appears to be a safe and active treatment for intestinal helminthiasis in pediatric patients.</v>
      </c>
      <c r="CT184" s="838"/>
      <c r="CU184" s="838"/>
      <c r="CV184" s="697" t="str">
        <f>IFERROR(__xludf.DUMMYFUNCTION("""COMPUTED_VALUE"""),"Gazder, A.J.; Roy, J. ""Albendazole Suspension in the Treatment of Intestinal Helminthiasis in Children"". Current Therapeutic Research. 1987 41(3): 324-327.")</f>
        <v>Gazder, A.J.; Roy, J. "Albendazole Suspension in the Treatment of Intestinal Helminthiasis in Children". Current Therapeutic Research. 1987 41(3): 324-327.</v>
      </c>
    </row>
    <row r="185">
      <c r="A185" s="834"/>
      <c r="B185" s="834"/>
      <c r="C185" s="834"/>
      <c r="D185" s="834"/>
      <c r="E185" s="834"/>
      <c r="F185" s="834"/>
      <c r="G185" s="834"/>
      <c r="H185" s="834"/>
      <c r="I185" s="834"/>
      <c r="J185" s="834"/>
      <c r="K185" s="834"/>
      <c r="L185" s="834"/>
      <c r="M185" s="834"/>
      <c r="N185" s="834"/>
      <c r="O185" s="834"/>
      <c r="P185" s="834"/>
      <c r="Q185" s="834"/>
      <c r="R185" s="834"/>
      <c r="S185" s="834"/>
      <c r="T185" s="834"/>
      <c r="U185" s="834"/>
      <c r="V185" s="834"/>
      <c r="W185" s="834"/>
      <c r="X185" s="834"/>
      <c r="Y185" s="834"/>
      <c r="Z185" s="834"/>
      <c r="AA185" s="834"/>
      <c r="AB185" s="834"/>
      <c r="AC185" s="834"/>
      <c r="AD185" s="834"/>
      <c r="AE185" s="834"/>
      <c r="AF185" s="834"/>
      <c r="AG185" s="834"/>
      <c r="AH185" s="834"/>
      <c r="AJ185" s="843" t="str">
        <f>IFERROR(__xludf.DUMMYFUNCTION("""COMPUTED_VALUE"""),"The effectiveness of triple-dose albendazole in comparison with mebendazole for the treatment of trichuriasis in children")</f>
        <v>The effectiveness of triple-dose albendazole in comparison with mebendazole for the treatment of trichuriasis in children</v>
      </c>
      <c r="AK185" s="836" t="str">
        <f>IFERROR(__xludf.DUMMYFUNCTION("""COMPUTED_VALUE"""),"SUNGKAR S, IRMAWATI FP, HASWINZKY RA, DWINASTITI YA, WAHDINI S, FIRMANSYAH NE, ADAWIYAH R, BUNTARAN S, KEKALIH A, KUSUMOWIDAGDO G. THE EFFECTIVENESS OF TRIPLE-DOSE ALBENDAZOLE IN COMPARISON WITH MEBENDAZOLE FOR THE TREATMENT OF TRICHURIASIS IN CHILDREN. I"&amp;"nt J App Pharm [Internet]. 2019Dec.15 [cited 2021Jan.15];11(6):104-7. Available from: https://innovareacademics.in/journals/index.php/ijap/article/view/33559")</f>
        <v>SUNGKAR S, IRMAWATI FP, HASWINZKY RA, DWINASTITI YA, WAHDINI S, FIRMANSYAH NE, ADAWIYAH R, BUNTARAN S, KEKALIH A, KUSUMOWIDAGDO G. THE EFFECTIVENESS OF TRIPLE-DOSE ALBENDAZOLE IN COMPARISON WITH MEBENDAZOLE FOR THE TREATMENT OF TRICHURIASIS IN CHILDREN. Int J App Pharm [Internet]. 2019Dec.15 [cited 2021Jan.15];11(6):104-7. Available from: https://innovareacademics.in/journals/index.php/ijap/article/view/33559</v>
      </c>
      <c r="AL185" s="836" t="str">
        <f>IFERROR(__xludf.DUMMYFUNCTION("""COMPUTED_VALUE"""),"Indonesia")</f>
        <v>Indonesia</v>
      </c>
      <c r="AM185" s="836" t="str">
        <f>IFERROR(__xludf.DUMMYFUNCTION("""COMPUTED_VALUE"""),"Albendazole")</f>
        <v>Albendazole</v>
      </c>
      <c r="AN185" s="836" t="str">
        <f>IFERROR(__xludf.DUMMYFUNCTION("""COMPUTED_VALUE"""),"Multiple Dose: 3")</f>
        <v>Multiple Dose: 3</v>
      </c>
      <c r="AO185" s="836" t="str">
        <f>IFERROR(__xludf.DUMMYFUNCTION("""COMPUTED_VALUE"""),"400 mg")</f>
        <v>400 mg</v>
      </c>
      <c r="AP185" s="836"/>
      <c r="AQ185" s="836"/>
      <c r="AR185" s="836"/>
      <c r="AS185" s="836">
        <f>IFERROR(__xludf.DUMMYFUNCTION("""COMPUTED_VALUE"""),2018.0)</f>
        <v>2018</v>
      </c>
      <c r="AT185" s="836" t="str">
        <f>IFERROR(__xludf.DUMMYFUNCTION("""COMPUTED_VALUE"""),"Subjects  were  children  aged  6–12   y   who   tested   positive   for   T. trichiura eggs based on fecal examination Exclusion: Children with fever were excluded. ")</f>
        <v>Subjects  were  children  aged  6–12   y   who   tested   positive   for   T. trichiura eggs based on fecal examination Exclusion: Children with fever were excluded. </v>
      </c>
      <c r="AU185" s="836" t="str">
        <f>IFERROR(__xludf.DUMMYFUNCTION("""COMPUTED_VALUE"""),"Yes")</f>
        <v>Yes</v>
      </c>
      <c r="AV185" s="836" t="str">
        <f>IFERROR(__xludf.DUMMYFUNCTION("""COMPUTED_VALUE"""),"Yes")</f>
        <v>Yes</v>
      </c>
      <c r="AW185" s="836" t="str">
        <f>IFERROR(__xludf.DUMMYFUNCTION("""COMPUTED_VALUE"""),"Single-blind")</f>
        <v>Single-blind</v>
      </c>
      <c r="AX185" s="841">
        <f>IFERROR(__xludf.DUMMYFUNCTION("""COMPUTED_VALUE"""),0.854)</f>
        <v>0.854</v>
      </c>
      <c r="AY185" s="836"/>
      <c r="AZ185" s="836"/>
      <c r="BA185" s="836"/>
      <c r="BB185" s="836"/>
      <c r="BC185" s="836"/>
      <c r="BD185" s="836"/>
      <c r="BE185" s="836"/>
      <c r="BF185" s="836"/>
      <c r="BG185" s="836"/>
      <c r="BH185" s="841">
        <f>IFERROR(__xludf.DUMMYFUNCTION("""COMPUTED_VALUE"""),0.992)</f>
        <v>0.992</v>
      </c>
      <c r="BI185" s="836"/>
      <c r="BJ185" s="836"/>
      <c r="BK185" s="836"/>
      <c r="BL185" s="836"/>
      <c r="BM185" s="836"/>
      <c r="BN185" s="836" t="str">
        <f>IFERROR(__xludf.DUMMYFUNCTION("""COMPUTED_VALUE"""),"Triple-dose albendazole was as effective as triple-dose mebendazole in treating trichuriasis.")</f>
        <v>Triple-dose albendazole was as effective as triple-dose mebendazole in treating trichuriasis.</v>
      </c>
      <c r="BO185" s="836" t="str">
        <f>IFERROR(__xludf.DUMMYFUNCTION("""COMPUTED_VALUE"""),"Kato-Katz technique")</f>
        <v>Kato-Katz technique</v>
      </c>
      <c r="BP185" s="836"/>
      <c r="BQ185" s="697"/>
      <c r="BR185" s="844" t="str">
        <f>IFERROR(__xludf.DUMMYFUNCTION("""COMPUTED_VALUE"""),"Misra et al.")</f>
        <v>Misra et al.</v>
      </c>
      <c r="BS185" s="838" t="str">
        <f>IFERROR(__xludf.DUMMYFUNCTION("""COMPUTED_VALUE"""),"India ")</f>
        <v>India </v>
      </c>
      <c r="BT185" s="838" t="str">
        <f>IFERROR(__xludf.DUMMYFUNCTION("""COMPUTED_VALUE"""),"Albendazole")</f>
        <v>Albendazole</v>
      </c>
      <c r="BU185" s="838"/>
      <c r="BV185" s="838" t="str">
        <f>IFERROR(__xludf.DUMMYFUNCTION("""COMPUTED_VALUE"""),"Single")</f>
        <v>Single</v>
      </c>
      <c r="BW185" s="838" t="str">
        <f>IFERROR(__xludf.DUMMYFUNCTION("""COMPUTED_VALUE"""),"400 mg")</f>
        <v>400 mg</v>
      </c>
      <c r="BX185" s="838">
        <f>IFERROR(__xludf.DUMMYFUNCTION("""COMPUTED_VALUE"""),41.0)</f>
        <v>41</v>
      </c>
      <c r="BY185" s="845">
        <f>IFERROR(__xludf.DUMMYFUNCTION("""COMPUTED_VALUE"""),42412.0)</f>
        <v>42412</v>
      </c>
      <c r="BZ185" s="838"/>
      <c r="CA185" s="838" t="str">
        <f>IFERROR(__xludf.DUMMYFUNCTION("""COMPUTED_VALUE"""),"MF")</f>
        <v>MF</v>
      </c>
      <c r="CB185" s="838" t="str">
        <f>IFERROR(__xludf.DUMMYFUNCTION("""COMPUTED_VALUE"""),"Patients below 2 years of age, patients receiving or already treated with an anthelmintic 7 days prior to te commencement of the present therapy, patients with any acute illness, patients with proteinuria, patients with known hypersensitivity to other dru"&amp;"gs, and patients who had generalized skin conditions were excluded from the study.")</f>
        <v>Patients below 2 years of age, patients receiving or already treated with an anthelmintic 7 days prior to te commencement of the present therapy, patients with any acute illness, patients with proteinuria, patients with known hypersensitivity to other drugs, and patients who had generalized skin conditions were excluded from the study.</v>
      </c>
      <c r="CC185" s="838" t="str">
        <f>IFERROR(__xludf.DUMMYFUNCTION("""COMPUTED_VALUE"""),"No")</f>
        <v>No</v>
      </c>
      <c r="CD185" s="846">
        <f>IFERROR(__xludf.DUMMYFUNCTION("""COMPUTED_VALUE"""),1.0)</f>
        <v>1</v>
      </c>
      <c r="CE185" s="838" t="str">
        <f>IFERROR(__xludf.DUMMYFUNCTION("""COMPUTED_VALUE"""),"No")</f>
        <v>No</v>
      </c>
      <c r="CF185" s="838"/>
      <c r="CG185" s="846">
        <f>IFERROR(__xludf.DUMMYFUNCTION("""COMPUTED_VALUE"""),1.0)</f>
        <v>1</v>
      </c>
      <c r="CH185" s="838"/>
      <c r="CI185" s="838"/>
      <c r="CJ185" s="838"/>
      <c r="CK185" s="838"/>
      <c r="CL185" s="838"/>
      <c r="CM185" s="846">
        <f>IFERROR(__xludf.DUMMYFUNCTION("""COMPUTED_VALUE"""),1.0)</f>
        <v>1</v>
      </c>
      <c r="CN185" s="838"/>
      <c r="CO185" s="838"/>
      <c r="CP185" s="838"/>
      <c r="CQ185" s="838"/>
      <c r="CR185" s="838"/>
      <c r="CS185" s="838" t="str">
        <f>IFERROR(__xludf.DUMMYFUNCTION("""COMPUTED_VALUE"""),"The results of our study are consistent with the findings of earlier investigators that albendazole is a well-tolerated and effective anthelmintic in treating infections caused by round worms, hook worms, pin worms and whip worms when given as a single 40"&amp;"0 mg dose.")</f>
        <v>The results of our study are consistent with the findings of earlier investigators that albendazole is a well-tolerated and effective anthelmintic in treating infections caused by round worms, hook worms, pin worms and whip worms when given as a single 400 mg dose.</v>
      </c>
      <c r="CT185" s="838" t="str">
        <f>IFERROR(__xludf.DUMMYFUNCTION("""COMPUTED_VALUE"""),"Kato-Katz Method")</f>
        <v>Kato-Katz Method</v>
      </c>
      <c r="CU185" s="838"/>
      <c r="CV185" s="697" t="str">
        <f>IFERROR(__xludf.DUMMYFUNCTION("""COMPUTED_VALUE"""),"Misra, P.K.; Pande, N.K.; Jagota, S.C. ""Albendazole in the treatment of inestinal helminthiasis in children"". Curr. Med. Res. Opin. 1985 9(8): 516-519.")</f>
        <v>Misra, P.K.; Pande, N.K.; Jagota, S.C. "Albendazole in the treatment of inestinal helminthiasis in children". Curr. Med. Res. Opin. 1985 9(8): 516-519.</v>
      </c>
    </row>
    <row r="186">
      <c r="A186" s="834"/>
      <c r="B186" s="834"/>
      <c r="C186" s="834"/>
      <c r="D186" s="834"/>
      <c r="E186" s="834"/>
      <c r="F186" s="834"/>
      <c r="G186" s="834"/>
      <c r="H186" s="834"/>
      <c r="I186" s="834"/>
      <c r="J186" s="834"/>
      <c r="K186" s="834"/>
      <c r="L186" s="834"/>
      <c r="M186" s="834"/>
      <c r="N186" s="834"/>
      <c r="O186" s="834"/>
      <c r="P186" s="834"/>
      <c r="Q186" s="834"/>
      <c r="R186" s="834"/>
      <c r="S186" s="834"/>
      <c r="T186" s="834"/>
      <c r="U186" s="834"/>
      <c r="V186" s="834"/>
      <c r="W186" s="834"/>
      <c r="X186" s="834"/>
      <c r="Y186" s="834"/>
      <c r="Z186" s="834"/>
      <c r="AA186" s="834"/>
      <c r="AB186" s="834"/>
      <c r="AC186" s="834"/>
      <c r="AD186" s="834"/>
      <c r="AE186" s="834"/>
      <c r="AF186" s="834"/>
      <c r="AG186" s="834"/>
      <c r="AH186" s="834"/>
      <c r="AJ186" s="843" t="str">
        <f>IFERROR(__xludf.DUMMYFUNCTION("""COMPUTED_VALUE"""),"The effectiveness of triple-dose albendazole in comparison with mebendazole for the treatment of trichuriasis in children")</f>
        <v>The effectiveness of triple-dose albendazole in comparison with mebendazole for the treatment of trichuriasis in children</v>
      </c>
      <c r="AK186" s="836" t="str">
        <f>IFERROR(__xludf.DUMMYFUNCTION("""COMPUTED_VALUE"""),"SUNGKAR S, IRMAWATI FP, HASWINZKY RA, DWINASTITI YA, WAHDINI S, FIRMANSYAH NE, ADAWIYAH R, BUNTARAN S, KEKALIH A, KUSUMOWIDAGDO G. THE EFFECTIVENESS OF TRIPLE-DOSE ALBENDAZOLE IN COMPARISON WITH MEBENDAZOLE FOR THE TREATMENT OF TRICHURIASIS IN CHILDREN. I"&amp;"nt J App Pharm [Internet]. 2019Dec.15 [cited 2021Jan.15];11(6):104-7. Available from: https://innovareacademics.in/journals/index.php/ijap/article/view/33559")</f>
        <v>SUNGKAR S, IRMAWATI FP, HASWINZKY RA, DWINASTITI YA, WAHDINI S, FIRMANSYAH NE, ADAWIYAH R, BUNTARAN S, KEKALIH A, KUSUMOWIDAGDO G. THE EFFECTIVENESS OF TRIPLE-DOSE ALBENDAZOLE IN COMPARISON WITH MEBENDAZOLE FOR THE TREATMENT OF TRICHURIASIS IN CHILDREN. Int J App Pharm [Internet]. 2019Dec.15 [cited 2021Jan.15];11(6):104-7. Available from: https://innovareacademics.in/journals/index.php/ijap/article/view/33559</v>
      </c>
      <c r="AL186" s="836" t="str">
        <f>IFERROR(__xludf.DUMMYFUNCTION("""COMPUTED_VALUE"""),"Indonesia")</f>
        <v>Indonesia</v>
      </c>
      <c r="AM186" s="836" t="str">
        <f>IFERROR(__xludf.DUMMYFUNCTION("""COMPUTED_VALUE"""),"Mebendazole")</f>
        <v>Mebendazole</v>
      </c>
      <c r="AN186" s="836" t="str">
        <f>IFERROR(__xludf.DUMMYFUNCTION("""COMPUTED_VALUE"""),"Multiple Dose: 3")</f>
        <v>Multiple Dose: 3</v>
      </c>
      <c r="AO186" s="836" t="str">
        <f>IFERROR(__xludf.DUMMYFUNCTION("""COMPUTED_VALUE"""),"500 mg")</f>
        <v>500 mg</v>
      </c>
      <c r="AP186" s="836"/>
      <c r="AQ186" s="836"/>
      <c r="AR186" s="836"/>
      <c r="AS186" s="836">
        <f>IFERROR(__xludf.DUMMYFUNCTION("""COMPUTED_VALUE"""),2018.0)</f>
        <v>2018</v>
      </c>
      <c r="AT186" s="836" t="str">
        <f>IFERROR(__xludf.DUMMYFUNCTION("""COMPUTED_VALUE"""),"Subjects  were  children  aged  6–12   y   who   tested   positive   for   T. trichiura eggs based on fecal examination Exclusion: Children with fever were excluded. ")</f>
        <v>Subjects  were  children  aged  6–12   y   who   tested   positive   for   T. trichiura eggs based on fecal examination Exclusion: Children with fever were excluded. </v>
      </c>
      <c r="AU186" s="836" t="str">
        <f>IFERROR(__xludf.DUMMYFUNCTION("""COMPUTED_VALUE"""),"Yes")</f>
        <v>Yes</v>
      </c>
      <c r="AV186" s="836" t="str">
        <f>IFERROR(__xludf.DUMMYFUNCTION("""COMPUTED_VALUE"""),"Yes")</f>
        <v>Yes</v>
      </c>
      <c r="AW186" s="836" t="str">
        <f>IFERROR(__xludf.DUMMYFUNCTION("""COMPUTED_VALUE"""),"Single-blind")</f>
        <v>Single-blind</v>
      </c>
      <c r="AX186" s="841">
        <f>IFERROR(__xludf.DUMMYFUNCTION("""COMPUTED_VALUE"""),0.959)</f>
        <v>0.959</v>
      </c>
      <c r="AY186" s="836"/>
      <c r="AZ186" s="836"/>
      <c r="BA186" s="836"/>
      <c r="BB186" s="836"/>
      <c r="BC186" s="836"/>
      <c r="BD186" s="836"/>
      <c r="BE186" s="836"/>
      <c r="BF186" s="836"/>
      <c r="BG186" s="836"/>
      <c r="BH186" s="841">
        <f>IFERROR(__xludf.DUMMYFUNCTION("""COMPUTED_VALUE"""),0.974)</f>
        <v>0.974</v>
      </c>
      <c r="BI186" s="836"/>
      <c r="BJ186" s="836"/>
      <c r="BK186" s="836"/>
      <c r="BL186" s="836"/>
      <c r="BM186" s="836"/>
      <c r="BN186" s="836" t="str">
        <f>IFERROR(__xludf.DUMMYFUNCTION("""COMPUTED_VALUE"""),"Triple-dose albendazole was as effective as triple-dose mebendazole in treating trichuriasis.")</f>
        <v>Triple-dose albendazole was as effective as triple-dose mebendazole in treating trichuriasis.</v>
      </c>
      <c r="BO186" s="836" t="str">
        <f>IFERROR(__xludf.DUMMYFUNCTION("""COMPUTED_VALUE"""),"Kato-Katz technique")</f>
        <v>Kato-Katz technique</v>
      </c>
      <c r="BP186" s="836"/>
      <c r="BQ186" s="697"/>
      <c r="BR186" s="844" t="str">
        <f>IFERROR(__xludf.DUMMYFUNCTION("""COMPUTED_VALUE"""),"Misra et al.")</f>
        <v>Misra et al.</v>
      </c>
      <c r="BS186" s="838" t="str">
        <f>IFERROR(__xludf.DUMMYFUNCTION("""COMPUTED_VALUE"""),"India ")</f>
        <v>India </v>
      </c>
      <c r="BT186" s="838" t="str">
        <f>IFERROR(__xludf.DUMMYFUNCTION("""COMPUTED_VALUE"""),"Albendazole")</f>
        <v>Albendazole</v>
      </c>
      <c r="BU186" s="838"/>
      <c r="BV186" s="838" t="str">
        <f>IFERROR(__xludf.DUMMYFUNCTION("""COMPUTED_VALUE"""),"Single")</f>
        <v>Single</v>
      </c>
      <c r="BW186" s="838" t="str">
        <f>IFERROR(__xludf.DUMMYFUNCTION("""COMPUTED_VALUE"""),"400 mg")</f>
        <v>400 mg</v>
      </c>
      <c r="BX186" s="838">
        <f>IFERROR(__xludf.DUMMYFUNCTION("""COMPUTED_VALUE"""),13.0)</f>
        <v>13</v>
      </c>
      <c r="BY186" s="845">
        <f>IFERROR(__xludf.DUMMYFUNCTION("""COMPUTED_VALUE"""),42412.0)</f>
        <v>42412</v>
      </c>
      <c r="BZ186" s="838"/>
      <c r="CA186" s="838" t="str">
        <f>IFERROR(__xludf.DUMMYFUNCTION("""COMPUTED_VALUE"""),"MF")</f>
        <v>MF</v>
      </c>
      <c r="CB186" s="838" t="str">
        <f>IFERROR(__xludf.DUMMYFUNCTION("""COMPUTED_VALUE"""),"Patients below 2 years of age, patients receiving or already treated with an anthelmintic 7 days prior to te commencement of the present therapy, patients with any acute illness, patients with proteinuria, patients with known hypersensitivity to other dru"&amp;"gs, and patients who had generalized skin conditions were excluded from the study.")</f>
        <v>Patients below 2 years of age, patients receiving or already treated with an anthelmintic 7 days prior to te commencement of the present therapy, patients with any acute illness, patients with proteinuria, patients with known hypersensitivity to other drugs, and patients who had generalized skin conditions were excluded from the study.</v>
      </c>
      <c r="CC186" s="838" t="str">
        <f>IFERROR(__xludf.DUMMYFUNCTION("""COMPUTED_VALUE"""),"No")</f>
        <v>No</v>
      </c>
      <c r="CD186" s="847">
        <f>IFERROR(__xludf.DUMMYFUNCTION("""COMPUTED_VALUE"""),0.846)</f>
        <v>0.846</v>
      </c>
      <c r="CE186" s="838" t="str">
        <f>IFERROR(__xludf.DUMMYFUNCTION("""COMPUTED_VALUE"""),"No")</f>
        <v>No</v>
      </c>
      <c r="CF186" s="838"/>
      <c r="CG186" s="847">
        <f>IFERROR(__xludf.DUMMYFUNCTION("""COMPUTED_VALUE"""),0.846)</f>
        <v>0.846</v>
      </c>
      <c r="CH186" s="838"/>
      <c r="CI186" s="838"/>
      <c r="CJ186" s="838"/>
      <c r="CK186" s="838"/>
      <c r="CL186" s="838"/>
      <c r="CM186" s="847">
        <f>IFERROR(__xludf.DUMMYFUNCTION("""COMPUTED_VALUE"""),0.909)</f>
        <v>0.909</v>
      </c>
      <c r="CN186" s="838"/>
      <c r="CO186" s="838"/>
      <c r="CP186" s="838"/>
      <c r="CQ186" s="838"/>
      <c r="CR186" s="838"/>
      <c r="CS186" s="838" t="str">
        <f>IFERROR(__xludf.DUMMYFUNCTION("""COMPUTED_VALUE"""),"The results of our study are consistent with the findings of earlier investigators that albendazole is a well-tolerated and effective anthelmintic in treating infections caused by round worms, hook worms, pin worms and whip worms when given as a single 40"&amp;"0 mg dose.")</f>
        <v>The results of our study are consistent with the findings of earlier investigators that albendazole is a well-tolerated and effective anthelmintic in treating infections caused by round worms, hook worms, pin worms and whip worms when given as a single 400 mg dose.</v>
      </c>
      <c r="CT186" s="838" t="str">
        <f>IFERROR(__xludf.DUMMYFUNCTION("""COMPUTED_VALUE"""),"Kato-Katz Method")</f>
        <v>Kato-Katz Method</v>
      </c>
      <c r="CU186" s="838"/>
      <c r="CV186" s="697" t="str">
        <f>IFERROR(__xludf.DUMMYFUNCTION("""COMPUTED_VALUE"""),"Misra, P.K.; Pande, N.K.; Jagota, S.C. ""Albendazole in the treatment of inestinal helminthiasis in children"". Curr. Med. Res. Opin. 1985 9(8): 516-519.")</f>
        <v>Misra, P.K.; Pande, N.K.; Jagota, S.C. "Albendazole in the treatment of inestinal helminthiasis in children". Curr. Med. Res. Opin. 1985 9(8): 516-519.</v>
      </c>
    </row>
    <row r="187">
      <c r="A187" s="834"/>
      <c r="B187" s="834"/>
      <c r="C187" s="834"/>
      <c r="D187" s="834"/>
      <c r="E187" s="834"/>
      <c r="F187" s="834"/>
      <c r="G187" s="834"/>
      <c r="H187" s="834"/>
      <c r="I187" s="834"/>
      <c r="J187" s="834"/>
      <c r="K187" s="834"/>
      <c r="L187" s="834"/>
      <c r="M187" s="834"/>
      <c r="N187" s="834"/>
      <c r="O187" s="834"/>
      <c r="P187" s="834"/>
      <c r="Q187" s="834"/>
      <c r="R187" s="834"/>
      <c r="S187" s="834"/>
      <c r="T187" s="834"/>
      <c r="U187" s="834"/>
      <c r="V187" s="834"/>
      <c r="W187" s="834"/>
      <c r="X187" s="834"/>
      <c r="Y187" s="834"/>
      <c r="Z187" s="834"/>
      <c r="AA187" s="834"/>
      <c r="AB187" s="834"/>
      <c r="AC187" s="834"/>
      <c r="AD187" s="834"/>
      <c r="AE187" s="834"/>
      <c r="AF187" s="834"/>
      <c r="AG187" s="834"/>
      <c r="AH187" s="834"/>
      <c r="AJ187" s="843" t="str">
        <f>IFERROR(__xludf.DUMMYFUNCTION("""COMPUTED_VALUE"""),"Two or Three Consecutive Days Albendazole Treatment Has Better Efficacy than Single-Dose Albendazole Treatment for Trichuriasis")</f>
        <v>Two or Three Consecutive Days Albendazole Treatment Has Better Efficacy than Single-Dose Albendazole Treatment for Trichuriasis</v>
      </c>
      <c r="AK187" s="836" t="str">
        <f>IFERROR(__xludf.DUMMYFUNCTION("""COMPUTED_VALUE"""),"Gultom DE, Ali M, Pasaribu AP, Pasaribu S. Two or Three Consecutive Days Albendazole Treatment Has Better Efficacy than Single-Dose Albendazole Treatment for Trichuriasis [Internet]. The Indonesian Biomedical Journal. [cited 2021Jan15]. Available from: ht"&amp;"tps://www.inabj.org/index.php/ibj/article/view/920 ")</f>
        <v>Gultom DE, Ali M, Pasaribu AP, Pasaribu S. Two or Three Consecutive Days Albendazole Treatment Has Better Efficacy than Single-Dose Albendazole Treatment for Trichuriasis [Internet]. The Indonesian Biomedical Journal. [cited 2021Jan15]. Available from: https://www.inabj.org/index.php/ibj/article/view/920 </v>
      </c>
      <c r="AL187" s="836" t="str">
        <f>IFERROR(__xludf.DUMMYFUNCTION("""COMPUTED_VALUE"""),"Indonesia")</f>
        <v>Indonesia</v>
      </c>
      <c r="AM187" s="836" t="str">
        <f>IFERROR(__xludf.DUMMYFUNCTION("""COMPUTED_VALUE"""),"Albendazole")</f>
        <v>Albendazole</v>
      </c>
      <c r="AN187" s="836" t="str">
        <f>IFERROR(__xludf.DUMMYFUNCTION("""COMPUTED_VALUE"""),"Multiple Dose: 3")</f>
        <v>Multiple Dose: 3</v>
      </c>
      <c r="AO187" s="836" t="str">
        <f>IFERROR(__xludf.DUMMYFUNCTION("""COMPUTED_VALUE"""),"400 mg")</f>
        <v>400 mg</v>
      </c>
      <c r="AP187" s="836">
        <f>IFERROR(__xludf.DUMMYFUNCTION("""COMPUTED_VALUE"""),3.0)</f>
        <v>3</v>
      </c>
      <c r="AQ187" s="836">
        <f>IFERROR(__xludf.DUMMYFUNCTION("""COMPUTED_VALUE"""),8.2)</f>
        <v>8.2</v>
      </c>
      <c r="AR187" s="836"/>
      <c r="AS187" s="836">
        <f>IFERROR(__xludf.DUMMYFUNCTION("""COMPUTED_VALUE"""),2018.0)</f>
        <v>2018</v>
      </c>
      <c r="AT187" s="836" t="str">
        <f>IFERROR(__xludf.DUMMYFUNCTION("""COMPUTED_VALUE"""),"The inclusion criteria were children aged 6 to 12 years, one or a combination of STH (A. lumbricoides, T. trichiura or hookworms) eggs were found from Kato-Katz methods stool examination and did not consume any anthelmintic for one month before and during"&amp;" the study. Exclusion: Children that were not following research procedures, such as not collecting stool samples or refusing to take anthelmintic were excluded from this study.")</f>
        <v>The inclusion criteria were children aged 6 to 12 years, one or a combination of STH (A. lumbricoides, T. trichiura or hookworms) eggs were found from Kato-Katz methods stool examination and did not consume any anthelmintic for one month before and during the study. Exclusion: Children that were not following research procedures, such as not collecting stool samples or refusing to take anthelmintic were excluded from this study.</v>
      </c>
      <c r="AU187" s="836" t="str">
        <f>IFERROR(__xludf.DUMMYFUNCTION("""COMPUTED_VALUE"""),"Yes")</f>
        <v>Yes</v>
      </c>
      <c r="AV187" s="836" t="str">
        <f>IFERROR(__xludf.DUMMYFUNCTION("""COMPUTED_VALUE"""),"Yes")</f>
        <v>Yes</v>
      </c>
      <c r="AW187" s="836" t="str">
        <f>IFERROR(__xludf.DUMMYFUNCTION("""COMPUTED_VALUE"""),"Laboratory Assesor Blind")</f>
        <v>Laboratory Assesor Blind</v>
      </c>
      <c r="AX187" s="841">
        <f>IFERROR(__xludf.DUMMYFUNCTION("""COMPUTED_VALUE"""),0.795)</f>
        <v>0.795</v>
      </c>
      <c r="AY187" s="836"/>
      <c r="AZ187" s="836"/>
      <c r="BA187" s="836"/>
      <c r="BB187" s="836"/>
      <c r="BC187" s="836"/>
      <c r="BD187" s="836"/>
      <c r="BE187" s="836"/>
      <c r="BF187" s="836"/>
      <c r="BG187" s="836"/>
      <c r="BH187" s="841">
        <f>IFERROR(__xludf.DUMMYFUNCTION("""COMPUTED_VALUE"""),0.919)</f>
        <v>0.919</v>
      </c>
      <c r="BI187" s="836"/>
      <c r="BJ187" s="836"/>
      <c r="BK187" s="836"/>
      <c r="BL187" s="836"/>
      <c r="BM187" s="836"/>
      <c r="BN187" s="836" t="str">
        <f>IFERROR(__xludf.DUMMYFUNCTION("""COMPUTED_VALUE"""),"Three and two consecutive days albendazole have better efficacy than single-dose of albendazole for trichuriasis, but not for ascariasis or hookworm infection. Two consecutive days albendazole is better choice for treating trichuriasis with more adherence"&amp;" and less side effect than three consecutive days regimen.")</f>
        <v>Three and two consecutive days albendazole have better efficacy than single-dose of albendazole for trichuriasis, but not for ascariasis or hookworm infection. Two consecutive days albendazole is better choice for treating trichuriasis with more adherence and less side effect than three consecutive days regimen.</v>
      </c>
      <c r="BO187" s="836" t="str">
        <f>IFERROR(__xludf.DUMMYFUNCTION("""COMPUTED_VALUE"""),"Kato-Katz technique")</f>
        <v>Kato-Katz technique</v>
      </c>
      <c r="BP187" s="836"/>
      <c r="BQ187" s="697"/>
      <c r="BR187" s="844" t="str">
        <f>IFERROR(__xludf.DUMMYFUNCTION("""COMPUTED_VALUE"""),"Misra et al.")</f>
        <v>Misra et al.</v>
      </c>
      <c r="BS187" s="838" t="str">
        <f>IFERROR(__xludf.DUMMYFUNCTION("""COMPUTED_VALUE"""),"India ")</f>
        <v>India </v>
      </c>
      <c r="BT187" s="838" t="str">
        <f>IFERROR(__xludf.DUMMYFUNCTION("""COMPUTED_VALUE"""),"Albendazole")</f>
        <v>Albendazole</v>
      </c>
      <c r="BU187" s="838"/>
      <c r="BV187" s="838" t="str">
        <f>IFERROR(__xludf.DUMMYFUNCTION("""COMPUTED_VALUE"""),"Single")</f>
        <v>Single</v>
      </c>
      <c r="BW187" s="838" t="str">
        <f>IFERROR(__xludf.DUMMYFUNCTION("""COMPUTED_VALUE"""),"400 mg")</f>
        <v>400 mg</v>
      </c>
      <c r="BX187" s="838">
        <f>IFERROR(__xludf.DUMMYFUNCTION("""COMPUTED_VALUE"""),2.0)</f>
        <v>2</v>
      </c>
      <c r="BY187" s="845">
        <f>IFERROR(__xludf.DUMMYFUNCTION("""COMPUTED_VALUE"""),42412.0)</f>
        <v>42412</v>
      </c>
      <c r="BZ187" s="838"/>
      <c r="CA187" s="838" t="str">
        <f>IFERROR(__xludf.DUMMYFUNCTION("""COMPUTED_VALUE"""),"MF")</f>
        <v>MF</v>
      </c>
      <c r="CB187" s="838" t="str">
        <f>IFERROR(__xludf.DUMMYFUNCTION("""COMPUTED_VALUE"""),"Patients below 2 years of age, patients receiving or already treated with an anthelmintic 7 days prior to te commencement of the present therapy, patients with any acute illness, patients with proteinuria, patients with known hypersensitivity to other dru"&amp;"gs, and patients who had generalized skin conditions were excluded from the study.")</f>
        <v>Patients below 2 years of age, patients receiving or already treated with an anthelmintic 7 days prior to te commencement of the present therapy, patients with any acute illness, patients with proteinuria, patients with known hypersensitivity to other drugs, and patients who had generalized skin conditions were excluded from the study.</v>
      </c>
      <c r="CC187" s="838" t="str">
        <f>IFERROR(__xludf.DUMMYFUNCTION("""COMPUTED_VALUE"""),"No")</f>
        <v>No</v>
      </c>
      <c r="CD187" s="846">
        <f>IFERROR(__xludf.DUMMYFUNCTION("""COMPUTED_VALUE"""),1.0)</f>
        <v>1</v>
      </c>
      <c r="CE187" s="838" t="str">
        <f>IFERROR(__xludf.DUMMYFUNCTION("""COMPUTED_VALUE"""),"No")</f>
        <v>No</v>
      </c>
      <c r="CF187" s="838"/>
      <c r="CG187" s="846">
        <f>IFERROR(__xludf.DUMMYFUNCTION("""COMPUTED_VALUE"""),1.0)</f>
        <v>1</v>
      </c>
      <c r="CH187" s="838"/>
      <c r="CI187" s="838"/>
      <c r="CJ187" s="838"/>
      <c r="CK187" s="838"/>
      <c r="CL187" s="838"/>
      <c r="CM187" s="846">
        <f>IFERROR(__xludf.DUMMYFUNCTION("""COMPUTED_VALUE"""),1.0)</f>
        <v>1</v>
      </c>
      <c r="CN187" s="838"/>
      <c r="CO187" s="838"/>
      <c r="CP187" s="838"/>
      <c r="CQ187" s="838"/>
      <c r="CR187" s="838"/>
      <c r="CS187" s="838" t="str">
        <f>IFERROR(__xludf.DUMMYFUNCTION("""COMPUTED_VALUE"""),"The results of our study are consistent with the findings of earlier investigators that albendazole is a well-tolerated and effective anthelmintic in treating infections caused by round worms, hook worms, pin worms and whip worms when given as a single 40"&amp;"0 mg dose.")</f>
        <v>The results of our study are consistent with the findings of earlier investigators that albendazole is a well-tolerated and effective anthelmintic in treating infections caused by round worms, hook worms, pin worms and whip worms when given as a single 400 mg dose.</v>
      </c>
      <c r="CT187" s="838" t="str">
        <f>IFERROR(__xludf.DUMMYFUNCTION("""COMPUTED_VALUE"""),"Kato-Katz Method")</f>
        <v>Kato-Katz Method</v>
      </c>
      <c r="CU187" s="838"/>
      <c r="CV187" s="697" t="str">
        <f>IFERROR(__xludf.DUMMYFUNCTION("""COMPUTED_VALUE"""),"Misra, P.K.; Pande, N.K.; Jagota, S.C. ""Albendazole in the treatment of inestinal helminthiasis in children"". Curr. Med. Res. Opin. 1985 9(8): 516-519.")</f>
        <v>Misra, P.K.; Pande, N.K.; Jagota, S.C. "Albendazole in the treatment of inestinal helminthiasis in children". Curr. Med. Res. Opin. 1985 9(8): 516-519.</v>
      </c>
    </row>
    <row r="188">
      <c r="A188" s="834"/>
      <c r="B188" s="834"/>
      <c r="C188" s="834"/>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4"/>
      <c r="AE188" s="834"/>
      <c r="AF188" s="834"/>
      <c r="AG188" s="834"/>
      <c r="AH188" s="834"/>
      <c r="AJ188" s="843" t="str">
        <f>IFERROR(__xludf.DUMMYFUNCTION("""COMPUTED_VALUE"""),"Two or Three Consecutive Days Albendazole Treatment Has Better Efficacy than Single-Dose Albendazole Treatment for Trichuriasis")</f>
        <v>Two or Three Consecutive Days Albendazole Treatment Has Better Efficacy than Single-Dose Albendazole Treatment for Trichuriasis</v>
      </c>
      <c r="AK188" s="836" t="str">
        <f>IFERROR(__xludf.DUMMYFUNCTION("""COMPUTED_VALUE"""),"Gultom DE, Ali M, Pasaribu AP, Pasaribu S. Two or Three Consecutive Days Albendazole Treatment Has Better Efficacy than Single-Dose Albendazole Treatment for Trichuriasis [Internet]. The Indonesian Biomedical Journal. [cited 2021Jan15]. Available from: ht"&amp;"tps://www.inabj.org/index.php/ibj/article/view/920 ")</f>
        <v>Gultom DE, Ali M, Pasaribu AP, Pasaribu S. Two or Three Consecutive Days Albendazole Treatment Has Better Efficacy than Single-Dose Albendazole Treatment for Trichuriasis [Internet]. The Indonesian Biomedical Journal. [cited 2021Jan15]. Available from: https://www.inabj.org/index.php/ibj/article/view/920 </v>
      </c>
      <c r="AL188" s="836" t="str">
        <f>IFERROR(__xludf.DUMMYFUNCTION("""COMPUTED_VALUE"""),"Indonesia")</f>
        <v>Indonesia</v>
      </c>
      <c r="AM188" s="836" t="str">
        <f>IFERROR(__xludf.DUMMYFUNCTION("""COMPUTED_VALUE"""),"Albendazole")</f>
        <v>Albendazole</v>
      </c>
      <c r="AN188" s="836" t="str">
        <f>IFERROR(__xludf.DUMMYFUNCTION("""COMPUTED_VALUE"""),"Multiple Dose: 2")</f>
        <v>Multiple Dose: 2</v>
      </c>
      <c r="AO188" s="836" t="str">
        <f>IFERROR(__xludf.DUMMYFUNCTION("""COMPUTED_VALUE"""),"400 mg")</f>
        <v>400 mg</v>
      </c>
      <c r="AP188" s="836">
        <f>IFERROR(__xludf.DUMMYFUNCTION("""COMPUTED_VALUE"""),3.0)</f>
        <v>3</v>
      </c>
      <c r="AQ188" s="836">
        <f>IFERROR(__xludf.DUMMYFUNCTION("""COMPUTED_VALUE"""),8.9)</f>
        <v>8.9</v>
      </c>
      <c r="AR188" s="836"/>
      <c r="AS188" s="836">
        <f>IFERROR(__xludf.DUMMYFUNCTION("""COMPUTED_VALUE"""),2018.0)</f>
        <v>2018</v>
      </c>
      <c r="AT188" s="836" t="str">
        <f>IFERROR(__xludf.DUMMYFUNCTION("""COMPUTED_VALUE"""),"The inclusion criteria were children aged 6 to 12 years, one or a combination of STH (A. lumbricoides, T. trichiura or hookworms) eggs were found from Kato-Katz methods stool examination and did not consume any anthelmintic for one month before and during"&amp;" the study. Exclusion: Children that were not following research procedures, such as not collecting stool samples or refusing to take anthelmintic were excluded from this study.")</f>
        <v>The inclusion criteria were children aged 6 to 12 years, one or a combination of STH (A. lumbricoides, T. trichiura or hookworms) eggs were found from Kato-Katz methods stool examination and did not consume any anthelmintic for one month before and during the study. Exclusion: Children that were not following research procedures, such as not collecting stool samples or refusing to take anthelmintic were excluded from this study.</v>
      </c>
      <c r="AU188" s="836" t="str">
        <f>IFERROR(__xludf.DUMMYFUNCTION("""COMPUTED_VALUE"""),"Yes")</f>
        <v>Yes</v>
      </c>
      <c r="AV188" s="836" t="str">
        <f>IFERROR(__xludf.DUMMYFUNCTION("""COMPUTED_VALUE"""),"Yes")</f>
        <v>Yes</v>
      </c>
      <c r="AW188" s="836" t="str">
        <f>IFERROR(__xludf.DUMMYFUNCTION("""COMPUTED_VALUE"""),"Laboratory Assesor Blind")</f>
        <v>Laboratory Assesor Blind</v>
      </c>
      <c r="AX188" s="841">
        <f>IFERROR(__xludf.DUMMYFUNCTION("""COMPUTED_VALUE"""),0.703)</f>
        <v>0.703</v>
      </c>
      <c r="AY188" s="836"/>
      <c r="AZ188" s="836"/>
      <c r="BA188" s="836"/>
      <c r="BB188" s="836"/>
      <c r="BC188" s="836"/>
      <c r="BD188" s="836"/>
      <c r="BE188" s="836"/>
      <c r="BF188" s="836"/>
      <c r="BG188" s="836"/>
      <c r="BH188" s="841">
        <f>IFERROR(__xludf.DUMMYFUNCTION("""COMPUTED_VALUE"""),0.746)</f>
        <v>0.746</v>
      </c>
      <c r="BI188" s="836"/>
      <c r="BJ188" s="836"/>
      <c r="BK188" s="836"/>
      <c r="BL188" s="836"/>
      <c r="BM188" s="836"/>
      <c r="BN188" s="836" t="str">
        <f>IFERROR(__xludf.DUMMYFUNCTION("""COMPUTED_VALUE"""),"Three and two consecutive days albendazole have better efficacy than single-dose of albendazole for trichuriasis, but not for ascariasis or hookworm infection. Two consecutive days albendazole is better choice for treating trichuriasis with more adherence"&amp;" and less side effect than three consecutive days regimen.")</f>
        <v>Three and two consecutive days albendazole have better efficacy than single-dose of albendazole for trichuriasis, but not for ascariasis or hookworm infection. Two consecutive days albendazole is better choice for treating trichuriasis with more adherence and less side effect than three consecutive days regimen.</v>
      </c>
      <c r="BO188" s="836" t="str">
        <f>IFERROR(__xludf.DUMMYFUNCTION("""COMPUTED_VALUE"""),"Kato-Katz technique")</f>
        <v>Kato-Katz technique</v>
      </c>
      <c r="BP188" s="836"/>
      <c r="BQ188" s="697"/>
      <c r="BR188" s="844" t="str">
        <f>IFERROR(__xludf.DUMMYFUNCTION("""COMPUTED_VALUE"""),"Rahman et al.")</f>
        <v>Rahman et al.</v>
      </c>
      <c r="BS188" s="838" t="str">
        <f>IFERROR(__xludf.DUMMYFUNCTION("""COMPUTED_VALUE"""),"Malayisa")</f>
        <v>Malayisa</v>
      </c>
      <c r="BT188" s="838" t="str">
        <f>IFERROR(__xludf.DUMMYFUNCTION("""COMPUTED_VALUE"""),"Albendazole")</f>
        <v>Albendazole</v>
      </c>
      <c r="BU188" s="838"/>
      <c r="BV188" s="838" t="str">
        <f>IFERROR(__xludf.DUMMYFUNCTION("""COMPUTED_VALUE"""),"Single")</f>
        <v>Single</v>
      </c>
      <c r="BW188" s="838" t="str">
        <f>IFERROR(__xludf.DUMMYFUNCTION("""COMPUTED_VALUE"""),"400 mg")</f>
        <v>400 mg</v>
      </c>
      <c r="BX188" s="838">
        <f>IFERROR(__xludf.DUMMYFUNCTION("""COMPUTED_VALUE"""),96.0)</f>
        <v>96</v>
      </c>
      <c r="BY188" s="838" t="str">
        <f>IFERROR(__xludf.DUMMYFUNCTION("""COMPUTED_VALUE"""),"School Children")</f>
        <v>School Children</v>
      </c>
      <c r="BZ188" s="838">
        <f>IFERROR(__xludf.DUMMYFUNCTION("""COMPUTED_VALUE"""),1990.0)</f>
        <v>1990</v>
      </c>
      <c r="CA188" s="838"/>
      <c r="CB188" s="838"/>
      <c r="CC188" s="838" t="str">
        <f>IFERROR(__xludf.DUMMYFUNCTION("""COMPUTED_VALUE"""),"Yes")</f>
        <v>Yes</v>
      </c>
      <c r="CD188" s="847">
        <f>IFERROR(__xludf.DUMMYFUNCTION("""COMPUTED_VALUE"""),0.873)</f>
        <v>0.873</v>
      </c>
      <c r="CE188" s="838" t="str">
        <f>IFERROR(__xludf.DUMMYFUNCTION("""COMPUTED_VALUE"""),"No")</f>
        <v>No</v>
      </c>
      <c r="CF188" s="838"/>
      <c r="CG188" s="838"/>
      <c r="CH188" s="847">
        <f>IFERROR(__xludf.DUMMYFUNCTION("""COMPUTED_VALUE"""),0.873)</f>
        <v>0.873</v>
      </c>
      <c r="CI188" s="838"/>
      <c r="CJ188" s="838"/>
      <c r="CK188" s="838"/>
      <c r="CL188" s="838"/>
      <c r="CM188" s="838"/>
      <c r="CN188" s="838"/>
      <c r="CO188" s="838"/>
      <c r="CP188" s="838"/>
      <c r="CQ188" s="838"/>
      <c r="CR188" s="838"/>
      <c r="CS188" s="838" t="str">
        <f>IFERROR(__xludf.DUMMYFUNCTION("""COMPUTED_VALUE"""),"Albendazole and mebendazole were eqully effective in treating trichuriasis and ascariasis.")</f>
        <v>Albendazole and mebendazole were eqully effective in treating trichuriasis and ascariasis.</v>
      </c>
      <c r="CT188" s="838"/>
      <c r="CU188" s="838" t="str">
        <f>IFERROR(__xludf.DUMMYFUNCTION("""COMPUTED_VALUE"""),"x")</f>
        <v>x</v>
      </c>
      <c r="CV188" s="697" t="str">
        <f>IFERROR(__xludf.DUMMYFUNCTION("""COMPUTED_VALUE"""),"Rahman, W.A. ""Comparative Trials Using Albendazole and Mebendazole in the Treatment of Soil-Transmitted Helminths in Schoolchildren on Penang, Malaysia"". Southeast Asian J Trop Med Public Health. 1996 27(4): 765-767.")</f>
        <v>Rahman, W.A. "Comparative Trials Using Albendazole and Mebendazole in the Treatment of Soil-Transmitted Helminths in Schoolchildren on Penang, Malaysia". Southeast Asian J Trop Med Public Health. 1996 27(4): 765-767.</v>
      </c>
    </row>
    <row r="189">
      <c r="A189" s="834"/>
      <c r="B189" s="834"/>
      <c r="C189" s="834"/>
      <c r="D189" s="834"/>
      <c r="E189" s="834"/>
      <c r="F189" s="834"/>
      <c r="G189" s="834"/>
      <c r="H189" s="834"/>
      <c r="I189" s="834"/>
      <c r="J189" s="834"/>
      <c r="K189" s="834"/>
      <c r="L189" s="834"/>
      <c r="M189" s="834"/>
      <c r="N189" s="834"/>
      <c r="O189" s="834"/>
      <c r="P189" s="834"/>
      <c r="Q189" s="834"/>
      <c r="R189" s="834"/>
      <c r="S189" s="834"/>
      <c r="T189" s="834"/>
      <c r="U189" s="834"/>
      <c r="V189" s="834"/>
      <c r="W189" s="834"/>
      <c r="X189" s="834"/>
      <c r="Y189" s="834"/>
      <c r="Z189" s="834"/>
      <c r="AA189" s="834"/>
      <c r="AB189" s="834"/>
      <c r="AC189" s="834"/>
      <c r="AD189" s="834"/>
      <c r="AE189" s="834"/>
      <c r="AF189" s="834"/>
      <c r="AG189" s="834"/>
      <c r="AH189" s="834"/>
      <c r="AJ189" s="843" t="str">
        <f>IFERROR(__xludf.DUMMYFUNCTION("""COMPUTED_VALUE"""),"Two or Three Consecutive Days Albendazole Treatment Has Better Efficacy than Single-Dose Albendazole Treatment for Trichuriasis")</f>
        <v>Two or Three Consecutive Days Albendazole Treatment Has Better Efficacy than Single-Dose Albendazole Treatment for Trichuriasis</v>
      </c>
      <c r="AK189" s="836" t="str">
        <f>IFERROR(__xludf.DUMMYFUNCTION("""COMPUTED_VALUE"""),"Gultom DE, Ali M, Pasaribu AP, Pasaribu S. Two or Three Consecutive Days Albendazole Treatment Has Better Efficacy than Single-Dose Albendazole Treatment for Trichuriasis [Internet]. The Indonesian Biomedical Journal. [cited 2021Jan15]. Available from: ht"&amp;"tps://www.inabj.org/index.php/ibj/article/view/920 ")</f>
        <v>Gultom DE, Ali M, Pasaribu AP, Pasaribu S. Two or Three Consecutive Days Albendazole Treatment Has Better Efficacy than Single-Dose Albendazole Treatment for Trichuriasis [Internet]. The Indonesian Biomedical Journal. [cited 2021Jan15]. Available from: https://www.inabj.org/index.php/ibj/article/view/920 </v>
      </c>
      <c r="AL189" s="836" t="str">
        <f>IFERROR(__xludf.DUMMYFUNCTION("""COMPUTED_VALUE"""),"Indonesia")</f>
        <v>Indonesia</v>
      </c>
      <c r="AM189" s="836" t="str">
        <f>IFERROR(__xludf.DUMMYFUNCTION("""COMPUTED_VALUE"""),"Albendazole")</f>
        <v>Albendazole</v>
      </c>
      <c r="AN189" s="836" t="str">
        <f>IFERROR(__xludf.DUMMYFUNCTION("""COMPUTED_VALUE"""),"Single")</f>
        <v>Single</v>
      </c>
      <c r="AO189" s="836" t="str">
        <f>IFERROR(__xludf.DUMMYFUNCTION("""COMPUTED_VALUE"""),"400 mg")</f>
        <v>400 mg</v>
      </c>
      <c r="AP189" s="836">
        <f>IFERROR(__xludf.DUMMYFUNCTION("""COMPUTED_VALUE"""),4.0)</f>
        <v>4</v>
      </c>
      <c r="AQ189" s="836">
        <f>IFERROR(__xludf.DUMMYFUNCTION("""COMPUTED_VALUE"""),9.2)</f>
        <v>9.2</v>
      </c>
      <c r="AR189" s="836"/>
      <c r="AS189" s="836">
        <f>IFERROR(__xludf.DUMMYFUNCTION("""COMPUTED_VALUE"""),2018.0)</f>
        <v>2018</v>
      </c>
      <c r="AT189" s="836" t="str">
        <f>IFERROR(__xludf.DUMMYFUNCTION("""COMPUTED_VALUE"""),"The inclusion criteria were children aged 6 to 12 years, one or a combination of STH (A. lumbricoides, T. trichiura or hookworms) eggs were found from Kato-Katz methods stool examination and did not consume any anthelmintic for one month before and during"&amp;" the study. Exclusion: Children that were not following research procedures, such as not collecting stool samples or refusing to take anthelmintic were excluded from this study.")</f>
        <v>The inclusion criteria were children aged 6 to 12 years, one or a combination of STH (A. lumbricoides, T. trichiura or hookworms) eggs were found from Kato-Katz methods stool examination and did not consume any anthelmintic for one month before and during the study. Exclusion: Children that were not following research procedures, such as not collecting stool samples or refusing to take anthelmintic were excluded from this study.</v>
      </c>
      <c r="AU189" s="836" t="str">
        <f>IFERROR(__xludf.DUMMYFUNCTION("""COMPUTED_VALUE"""),"Yes")</f>
        <v>Yes</v>
      </c>
      <c r="AV189" s="836" t="str">
        <f>IFERROR(__xludf.DUMMYFUNCTION("""COMPUTED_VALUE"""),"Yes")</f>
        <v>Yes</v>
      </c>
      <c r="AW189" s="836" t="str">
        <f>IFERROR(__xludf.DUMMYFUNCTION("""COMPUTED_VALUE"""),"Laboratory Assesor Blind")</f>
        <v>Laboratory Assesor Blind</v>
      </c>
      <c r="AX189" s="841">
        <f>IFERROR(__xludf.DUMMYFUNCTION("""COMPUTED_VALUE"""),0.323)</f>
        <v>0.323</v>
      </c>
      <c r="AY189" s="836"/>
      <c r="AZ189" s="836"/>
      <c r="BA189" s="836"/>
      <c r="BB189" s="836"/>
      <c r="BC189" s="836"/>
      <c r="BD189" s="836"/>
      <c r="BE189" s="836"/>
      <c r="BF189" s="836"/>
      <c r="BG189" s="836"/>
      <c r="BH189" s="841">
        <f>IFERROR(__xludf.DUMMYFUNCTION("""COMPUTED_VALUE"""),0.996)</f>
        <v>0.996</v>
      </c>
      <c r="BI189" s="836"/>
      <c r="BJ189" s="836"/>
      <c r="BK189" s="836"/>
      <c r="BL189" s="836"/>
      <c r="BM189" s="836"/>
      <c r="BN189" s="836" t="str">
        <f>IFERROR(__xludf.DUMMYFUNCTION("""COMPUTED_VALUE"""),"Three and two consecutive days albendazole have better efficacy than single-dose of albendazole for trichuriasis, but not for ascariasis or hookworm infection. Two consecutive days albendazole is better choice for treating trichuriasis with more adherence"&amp;" and less side effect than three consecutive days regimen.")</f>
        <v>Three and two consecutive days albendazole have better efficacy than single-dose of albendazole for trichuriasis, but not for ascariasis or hookworm infection. Two consecutive days albendazole is better choice for treating trichuriasis with more adherence and less side effect than three consecutive days regimen.</v>
      </c>
      <c r="BO189" s="836" t="str">
        <f>IFERROR(__xludf.DUMMYFUNCTION("""COMPUTED_VALUE"""),"Kato-Katz technique")</f>
        <v>Kato-Katz technique</v>
      </c>
      <c r="BP189" s="836"/>
      <c r="BQ189" s="697"/>
      <c r="BR189" s="844" t="str">
        <f>IFERROR(__xludf.DUMMYFUNCTION("""COMPUTED_VALUE"""),"Rahman et al.")</f>
        <v>Rahman et al.</v>
      </c>
      <c r="BS189" s="838" t="str">
        <f>IFERROR(__xludf.DUMMYFUNCTION("""COMPUTED_VALUE"""),"Malayisa")</f>
        <v>Malayisa</v>
      </c>
      <c r="BT189" s="838" t="str">
        <f>IFERROR(__xludf.DUMMYFUNCTION("""COMPUTED_VALUE"""),"Mebendazole")</f>
        <v>Mebendazole</v>
      </c>
      <c r="BU189" s="838"/>
      <c r="BV189" s="838" t="str">
        <f>IFERROR(__xludf.DUMMYFUNCTION("""COMPUTED_VALUE"""),"Single")</f>
        <v>Single</v>
      </c>
      <c r="BW189" s="838" t="str">
        <f>IFERROR(__xludf.DUMMYFUNCTION("""COMPUTED_VALUE"""),"400 mg")</f>
        <v>400 mg</v>
      </c>
      <c r="BX189" s="838">
        <f>IFERROR(__xludf.DUMMYFUNCTION("""COMPUTED_VALUE"""),96.0)</f>
        <v>96</v>
      </c>
      <c r="BY189" s="838" t="str">
        <f>IFERROR(__xludf.DUMMYFUNCTION("""COMPUTED_VALUE"""),"School Children")</f>
        <v>School Children</v>
      </c>
      <c r="BZ189" s="838">
        <f>IFERROR(__xludf.DUMMYFUNCTION("""COMPUTED_VALUE"""),1990.0)</f>
        <v>1990</v>
      </c>
      <c r="CA189" s="838"/>
      <c r="CB189" s="838"/>
      <c r="CC189" s="838" t="str">
        <f>IFERROR(__xludf.DUMMYFUNCTION("""COMPUTED_VALUE"""),"Yes")</f>
        <v>Yes</v>
      </c>
      <c r="CD189" s="847">
        <f>IFERROR(__xludf.DUMMYFUNCTION("""COMPUTED_VALUE"""),0.812)</f>
        <v>0.812</v>
      </c>
      <c r="CE189" s="838" t="str">
        <f>IFERROR(__xludf.DUMMYFUNCTION("""COMPUTED_VALUE"""),"No")</f>
        <v>No</v>
      </c>
      <c r="CF189" s="838"/>
      <c r="CG189" s="838"/>
      <c r="CH189" s="847">
        <f>IFERROR(__xludf.DUMMYFUNCTION("""COMPUTED_VALUE"""),0.812)</f>
        <v>0.812</v>
      </c>
      <c r="CI189" s="838"/>
      <c r="CJ189" s="838"/>
      <c r="CK189" s="838"/>
      <c r="CL189" s="838"/>
      <c r="CM189" s="838"/>
      <c r="CN189" s="838"/>
      <c r="CO189" s="838"/>
      <c r="CP189" s="838"/>
      <c r="CQ189" s="838"/>
      <c r="CR189" s="838"/>
      <c r="CS189" s="838" t="str">
        <f>IFERROR(__xludf.DUMMYFUNCTION("""COMPUTED_VALUE"""),"Albendazole and mebendazole were eqully effective in treating trichuriasis and ascariasis.")</f>
        <v>Albendazole and mebendazole were eqully effective in treating trichuriasis and ascariasis.</v>
      </c>
      <c r="CT189" s="838"/>
      <c r="CU189" s="838" t="str">
        <f>IFERROR(__xludf.DUMMYFUNCTION("""COMPUTED_VALUE"""),"x")</f>
        <v>x</v>
      </c>
      <c r="CV189" s="697" t="str">
        <f>IFERROR(__xludf.DUMMYFUNCTION("""COMPUTED_VALUE"""),"Rahman, W.A. ""Comparative Trials Using Albendazole and Mebendazole in the Treatment of Soil-Transmitted Helminths in Schoolchildren on Penang, Malaysia"". Southeast Asian J Trop Med Public Health. 1996 27(4): 765-767.")</f>
        <v>Rahman, W.A. "Comparative Trials Using Albendazole and Mebendazole in the Treatment of Soil-Transmitted Helminths in Schoolchildren on Penang, Malaysia". Southeast Asian J Trop Med Public Health. 1996 27(4): 765-767.</v>
      </c>
    </row>
    <row r="190">
      <c r="A190" s="834"/>
      <c r="B190" s="834"/>
      <c r="C190" s="834"/>
      <c r="D190" s="834"/>
      <c r="E190" s="834"/>
      <c r="F190" s="834"/>
      <c r="G190" s="834"/>
      <c r="H190" s="834"/>
      <c r="I190" s="834"/>
      <c r="J190" s="834"/>
      <c r="K190" s="834"/>
      <c r="L190" s="834"/>
      <c r="M190" s="834"/>
      <c r="N190" s="834"/>
      <c r="O190" s="834"/>
      <c r="P190" s="834"/>
      <c r="Q190" s="834"/>
      <c r="R190" s="834"/>
      <c r="S190" s="834"/>
      <c r="T190" s="834"/>
      <c r="U190" s="834"/>
      <c r="V190" s="834"/>
      <c r="W190" s="834"/>
      <c r="X190" s="834"/>
      <c r="Y190" s="834"/>
      <c r="Z190" s="834"/>
      <c r="AA190" s="834"/>
      <c r="AB190" s="834"/>
      <c r="AC190" s="834"/>
      <c r="AD190" s="834"/>
      <c r="AE190" s="834"/>
      <c r="AF190" s="834"/>
      <c r="AG190" s="834"/>
      <c r="AH190" s="834"/>
      <c r="AJ190" s="843" t="str">
        <f>IFERROR(__xludf.DUMMYFUNCTION("""COMPUTED_VALUE"""),"Efficacy and tolerability of triple drug therapy with albendazole, pyrantel pamoate, and oxantel pamoate compared with albendazole plus oxantel pamoate, pyrantel pamoate plus oxantel pamoate, and mebendazole plus pyrantel pamoate and oxantel pamoate again"&amp;"st hookworm infections in school-aged children in Laos: a randomised, single-blind trial")</f>
        <v>Efficacy and tolerability of triple drug therapy with albendazole, pyrantel pamoate, and oxantel pamoate compared with albendazole plus oxantel pamoate, pyrantel pamoate plus oxantel pamoate, and mebendazole plus pyrantel pamoate and oxantel pamoate against hookworm infections in school-aged children in Laos: a randomised, single-blind trial</v>
      </c>
      <c r="AK190" s="836" t="str">
        <f>IFERROR(__xludf.DUMMYFUNCTION("""COMPUTED_VALUE"""),"Moser W, Sayasone S, Xayavong S, Bounheuang B, Puchkov M, Huwyler J, et al. Efficacy and tolerability of triple drug therapy with albendazole, pyrantel pamoate, and oxantel pamoate compared with albendazole plus oxantel pamoate, pyrantel pamoate plus oxan"&amp;"tel pamoate, and mebendazole plus pyrantel pamoate and oxantel pamoate against hookworm infections in school-aged children in Laos: a randomised, single-blind trial [Internet]. The Lancet Infectious Diseases. Elsevier; 2018 [cited 2021Jan15]. Available fr"&amp;"om: https://www.sciencedirect.coM:science/article/pii/S1473309918302202 ")</f>
        <v>Moser W, Sayasone S, Xayavong S, Bounheuang B, Puchkov M, Huwyler J, et al. Efficacy and tolerability of triple drug therapy with albendazole, pyrantel pamoate, and oxantel pamoate compared with albendazole plus oxantel pamoate, pyrantel pamoate plus oxantel pamoate, and mebendazole plus pyrantel pamoate and oxantel pamoate against hookworm infections in school-aged children in Laos: a randomised, single-blind trial [Internet]. The Lancet Infectious Diseases. Elsevier; 2018 [cited 2021Jan15]. Available from: https://www.sciencedirect.coM:science/article/pii/S1473309918302202 </v>
      </c>
      <c r="AL190" s="836" t="str">
        <f>IFERROR(__xludf.DUMMYFUNCTION("""COMPUTED_VALUE"""),"Laos")</f>
        <v>Laos</v>
      </c>
      <c r="AM190" s="836" t="str">
        <f>IFERROR(__xludf.DUMMYFUNCTION("""COMPUTED_VALUE"""),"Albendazole &amp; Pyrantel pamoate &amp; Oxantel pamoate")</f>
        <v>Albendazole &amp; Pyrantel pamoate &amp; Oxantel pamoate</v>
      </c>
      <c r="AN190" s="836" t="str">
        <f>IFERROR(__xludf.DUMMYFUNCTION("""COMPUTED_VALUE"""),"Single")</f>
        <v>Single</v>
      </c>
      <c r="AO190" s="836" t="str">
        <f>IFERROR(__xludf.DUMMYFUNCTION("""COMPUTED_VALUE"""),"400 mg; 20 mg/kg; 20 mg/kg")</f>
        <v>400 mg; 20 mg/kg; 20 mg/kg</v>
      </c>
      <c r="AP190" s="836">
        <f>IFERROR(__xludf.DUMMYFUNCTION("""COMPUTED_VALUE"""),43.0)</f>
        <v>43</v>
      </c>
      <c r="AQ190" s="836">
        <f>IFERROR(__xludf.DUMMYFUNCTION("""COMPUTED_VALUE"""),12.3)</f>
        <v>12.3</v>
      </c>
      <c r="AR190" s="836"/>
      <c r="AS190" s="836">
        <f>IFERROR(__xludf.DUMMYFUNCTION("""COMPUTED_VALUE"""),2017.0)</f>
        <v>2017</v>
      </c>
      <c r="AT190" s="836" t="str">
        <f>IFERROR(__xludf.DUMMYFUNCTION("""COMPUTED_VALUE"""),"Children were deemed eligible if they provided two stool samples and were hookworm positive (eggs per gram of stool [EPG] &gt;100), passed a physical and clinical examination, had no chronic illness, had no anthelmintic treatment in the past 4 weeks, and, if"&amp;" female, were not pregnant (≥12 years)")</f>
        <v>Children were deemed eligible if they provided two stool samples and were hookworm positive (eggs per gram of stool [EPG] &gt;100), passed a physical and clinical examination, had no chronic illness, had no anthelmintic treatment in the past 4 weeks, and, if female, were not pregnant (≥12 years)</v>
      </c>
      <c r="AU190" s="836" t="str">
        <f>IFERROR(__xludf.DUMMYFUNCTION("""COMPUTED_VALUE"""),"Yes")</f>
        <v>Yes</v>
      </c>
      <c r="AV190" s="836" t="str">
        <f>IFERROR(__xludf.DUMMYFUNCTION("""COMPUTED_VALUE"""),"Yes")</f>
        <v>Yes</v>
      </c>
      <c r="AW190" s="836" t="str">
        <f>IFERROR(__xludf.DUMMYFUNCTION("""COMPUTED_VALUE"""),"Single-blind")</f>
        <v>Single-blind</v>
      </c>
      <c r="AX190" s="850">
        <f>IFERROR(__xludf.DUMMYFUNCTION("""COMPUTED_VALUE"""),0.93)</f>
        <v>0.93</v>
      </c>
      <c r="AY190" s="836"/>
      <c r="AZ190" s="836"/>
      <c r="BA190" s="836"/>
      <c r="BB190" s="836"/>
      <c r="BC190" s="836"/>
      <c r="BD190" s="836"/>
      <c r="BE190" s="836"/>
      <c r="BF190" s="836"/>
      <c r="BG190" s="836"/>
      <c r="BH190" s="850">
        <f>IFERROR(__xludf.DUMMYFUNCTION("""COMPUTED_VALUE"""),1.0)</f>
        <v>1</v>
      </c>
      <c r="BI190" s="836"/>
      <c r="BJ190" s="836"/>
      <c r="BK190" s="836"/>
      <c r="BL190" s="836"/>
      <c r="BM190" s="836"/>
      <c r="BN190" s="836" t="str">
        <f>IFERROR(__xludf.DUMMYFUNCTION("""COMPUTED_VALUE"""),"TDT with albendazole, pyrantel pamoate, and oxantel pamoate could make a difference, in particular in the context of soil-transmitted helminth elimination. Pyrantel pamoate might be a useful alternative to prevent benzimidazole resistance; however, larger"&amp;" trials are needed to confirm this finding.")</f>
        <v>TDT with albendazole, pyrantel pamoate, and oxantel pamoate could make a difference, in particular in the context of soil-transmitted helminth elimination. Pyrantel pamoate might be a useful alternative to prevent benzimidazole resistance; however, larger trials are needed to confirm this finding.</v>
      </c>
      <c r="BO190" s="836" t="str">
        <f>IFERROR(__xludf.DUMMYFUNCTION("""COMPUTED_VALUE"""),"Kato-Katz technique")</f>
        <v>Kato-Katz technique</v>
      </c>
      <c r="BP190" s="836"/>
      <c r="BQ190" s="697"/>
      <c r="BR190" s="844" t="str">
        <f>IFERROR(__xludf.DUMMYFUNCTION("""COMPUTED_VALUE"""),"Maissonneuve &amp; Rossignol")</f>
        <v>Maissonneuve &amp; Rossignol</v>
      </c>
      <c r="BS190" s="838"/>
      <c r="BT190" s="838" t="str">
        <f>IFERROR(__xludf.DUMMYFUNCTION("""COMPUTED_VALUE"""),"Albendazole")</f>
        <v>Albendazole</v>
      </c>
      <c r="BU190" s="838"/>
      <c r="BV190" s="838" t="str">
        <f>IFERROR(__xludf.DUMMYFUNCTION("""COMPUTED_VALUE"""),"Single")</f>
        <v>Single</v>
      </c>
      <c r="BW190" s="838" t="str">
        <f>IFERROR(__xludf.DUMMYFUNCTION("""COMPUTED_VALUE"""),"400 mg")</f>
        <v>400 mg</v>
      </c>
      <c r="BX190" s="838">
        <f>IFERROR(__xludf.DUMMYFUNCTION("""COMPUTED_VALUE"""),10.0)</f>
        <v>10</v>
      </c>
      <c r="BY190" s="838" t="str">
        <f>IFERROR(__xludf.DUMMYFUNCTION("""COMPUTED_VALUE"""),"6-50")</f>
        <v>6-50</v>
      </c>
      <c r="BZ190" s="838"/>
      <c r="CA190" s="838" t="str">
        <f>IFERROR(__xludf.DUMMYFUNCTION("""COMPUTED_VALUE"""),"MF")</f>
        <v>MF</v>
      </c>
      <c r="CB190" s="838"/>
      <c r="CC190" s="838" t="str">
        <f>IFERROR(__xludf.DUMMYFUNCTION("""COMPUTED_VALUE"""),"No")</f>
        <v>No</v>
      </c>
      <c r="CD190" s="846">
        <f>IFERROR(__xludf.DUMMYFUNCTION("""COMPUTED_VALUE"""),1.0)</f>
        <v>1</v>
      </c>
      <c r="CE190" s="838" t="str">
        <f>IFERROR(__xludf.DUMMYFUNCTION("""COMPUTED_VALUE"""),"No")</f>
        <v>No</v>
      </c>
      <c r="CF190" s="838"/>
      <c r="CG190" s="838"/>
      <c r="CH190" s="838"/>
      <c r="CI190" s="838"/>
      <c r="CJ190" s="838"/>
      <c r="CK190" s="838"/>
      <c r="CL190" s="838"/>
      <c r="CM190" s="838"/>
      <c r="CN190" s="838"/>
      <c r="CO190" s="838"/>
      <c r="CP190" s="838"/>
      <c r="CQ190" s="838"/>
      <c r="CR190" s="838"/>
      <c r="CS190" s="838"/>
      <c r="CT190" s="838" t="str">
        <f>IFERROR(__xludf.DUMMYFUNCTION("""COMPUTED_VALUE"""),"Kato-Katz Method")</f>
        <v>Kato-Katz Method</v>
      </c>
      <c r="CU190" s="838"/>
      <c r="CV190" s="697" t="str">
        <f>IFERROR(__xludf.DUMMYFUNCTION("""COMPUTED_VALUE"""),"Maissonneuve, H.; Rossignol, J.F. ""Ovicidal effects of albendazole in human ascariasis ancylostomiasis and trichuriasis"". Annals of Tropical Medicine and Parasitology. 1985. 79(1): 79-82")</f>
        <v>Maissonneuve, H.; Rossignol, J.F. "Ovicidal effects of albendazole in human ascariasis ancylostomiasis and trichuriasis". Annals of Tropical Medicine and Parasitology. 1985. 79(1): 79-82</v>
      </c>
    </row>
    <row r="191">
      <c r="A191" s="834"/>
      <c r="B191" s="834"/>
      <c r="C191" s="834"/>
      <c r="D191" s="834"/>
      <c r="E191" s="834"/>
      <c r="F191" s="834"/>
      <c r="G191" s="834"/>
      <c r="H191" s="834"/>
      <c r="I191" s="834"/>
      <c r="J191" s="834"/>
      <c r="K191" s="834"/>
      <c r="L191" s="834"/>
      <c r="M191" s="834"/>
      <c r="N191" s="834"/>
      <c r="O191" s="834"/>
      <c r="P191" s="834"/>
      <c r="Q191" s="834"/>
      <c r="R191" s="834"/>
      <c r="S191" s="834"/>
      <c r="T191" s="834"/>
      <c r="U191" s="834"/>
      <c r="V191" s="834"/>
      <c r="W191" s="834"/>
      <c r="X191" s="834"/>
      <c r="Y191" s="834"/>
      <c r="Z191" s="834"/>
      <c r="AA191" s="834"/>
      <c r="AB191" s="834"/>
      <c r="AC191" s="834"/>
      <c r="AD191" s="834"/>
      <c r="AE191" s="834"/>
      <c r="AF191" s="834"/>
      <c r="AG191" s="834"/>
      <c r="AH191" s="834"/>
      <c r="AJ191" s="843" t="str">
        <f>IFERROR(__xludf.DUMMYFUNCTION("""COMPUTED_VALUE"""),"Efficacy and tolerability of triple drug therapy with albendazole, pyrantel pamoate, and oxantel pamoate compared with albendazole plus oxantel pamoate, pyrantel pamoate plus oxantel pamoate, and mebendazole plus pyrantel pamoate and oxantel pamoate again"&amp;"st hookworm infections in school-aged children in Laos: a randomised, single-blind trial")</f>
        <v>Efficacy and tolerability of triple drug therapy with albendazole, pyrantel pamoate, and oxantel pamoate compared with albendazole plus oxantel pamoate, pyrantel pamoate plus oxantel pamoate, and mebendazole plus pyrantel pamoate and oxantel pamoate against hookworm infections in school-aged children in Laos: a randomised, single-blind trial</v>
      </c>
      <c r="AK191" s="836" t="str">
        <f>IFERROR(__xludf.DUMMYFUNCTION("""COMPUTED_VALUE"""),"Moser W, Sayasone S, Xayavong S, Bounheuang B, Puchkov M, Huwyler J, et al. Efficacy and tolerability of triple drug therapy with albendazole, pyrantel pamoate, and oxantel pamoate compared with albendazole plus oxantel pamoate, pyrantel pamoate plus oxan"&amp;"tel pamoate, and mebendazole plus pyrantel pamoate and oxantel pamoate against hookworm infections in school-aged children in Laos: a randomised, single-blind trial [Internet]. The Lancet Infectious Diseases. Elsevier; 2018 [cited 2021Jan15]. Available fr"&amp;"om: https://www.sciencedirect.coM:science/article/pii/S1473309918302202 ")</f>
        <v>Moser W, Sayasone S, Xayavong S, Bounheuang B, Puchkov M, Huwyler J, et al. Efficacy and tolerability of triple drug therapy with albendazole, pyrantel pamoate, and oxantel pamoate compared with albendazole plus oxantel pamoate, pyrantel pamoate plus oxantel pamoate, and mebendazole plus pyrantel pamoate and oxantel pamoate against hookworm infections in school-aged children in Laos: a randomised, single-blind trial [Internet]. The Lancet Infectious Diseases. Elsevier; 2018 [cited 2021Jan15]. Available from: https://www.sciencedirect.coM:science/article/pii/S1473309918302202 </v>
      </c>
      <c r="AL191" s="836" t="str">
        <f>IFERROR(__xludf.DUMMYFUNCTION("""COMPUTED_VALUE"""),"Laos")</f>
        <v>Laos</v>
      </c>
      <c r="AM191" s="836" t="str">
        <f>IFERROR(__xludf.DUMMYFUNCTION("""COMPUTED_VALUE"""),"Albendazole &amp; Oxantel pamoate")</f>
        <v>Albendazole &amp; Oxantel pamoate</v>
      </c>
      <c r="AN191" s="836" t="str">
        <f>IFERROR(__xludf.DUMMYFUNCTION("""COMPUTED_VALUE"""),"Single")</f>
        <v>Single</v>
      </c>
      <c r="AO191" s="836" t="str">
        <f>IFERROR(__xludf.DUMMYFUNCTION("""COMPUTED_VALUE"""),"400 mg; 20 mg/kg")</f>
        <v>400 mg; 20 mg/kg</v>
      </c>
      <c r="AP191" s="836">
        <f>IFERROR(__xludf.DUMMYFUNCTION("""COMPUTED_VALUE"""),52.0)</f>
        <v>52</v>
      </c>
      <c r="AQ191" s="836">
        <f>IFERROR(__xludf.DUMMYFUNCTION("""COMPUTED_VALUE"""),12.4)</f>
        <v>12.4</v>
      </c>
      <c r="AR191" s="836"/>
      <c r="AS191" s="836">
        <f>IFERROR(__xludf.DUMMYFUNCTION("""COMPUTED_VALUE"""),2017.0)</f>
        <v>2017</v>
      </c>
      <c r="AT191" s="836" t="str">
        <f>IFERROR(__xludf.DUMMYFUNCTION("""COMPUTED_VALUE"""),"Children were deemed eligible if they provided two stool samples and were hookworm positive (eggs per gram of stool [EPG] &gt;100), passed a physical and clinical examination, had no chronic illness, had no anthelmintic treatment in the past 4 weeks, and, if"&amp;" female, were not pregnant (≥12 years)")</f>
        <v>Children were deemed eligible if they provided two stool samples and were hookworm positive (eggs per gram of stool [EPG] &gt;100), passed a physical and clinical examination, had no chronic illness, had no anthelmintic treatment in the past 4 weeks, and, if female, were not pregnant (≥12 years)</v>
      </c>
      <c r="AU191" s="836" t="str">
        <f>IFERROR(__xludf.DUMMYFUNCTION("""COMPUTED_VALUE"""),"Yes")</f>
        <v>Yes</v>
      </c>
      <c r="AV191" s="836" t="str">
        <f>IFERROR(__xludf.DUMMYFUNCTION("""COMPUTED_VALUE"""),"Yes")</f>
        <v>Yes</v>
      </c>
      <c r="AW191" s="836" t="str">
        <f>IFERROR(__xludf.DUMMYFUNCTION("""COMPUTED_VALUE"""),"Single-blind")</f>
        <v>Single-blind</v>
      </c>
      <c r="AX191" s="850">
        <f>IFERROR(__xludf.DUMMYFUNCTION("""COMPUTED_VALUE"""),1.0)</f>
        <v>1</v>
      </c>
      <c r="AY191" s="836"/>
      <c r="AZ191" s="836"/>
      <c r="BA191" s="836"/>
      <c r="BB191" s="836"/>
      <c r="BC191" s="836"/>
      <c r="BD191" s="836"/>
      <c r="BE191" s="836"/>
      <c r="BF191" s="836"/>
      <c r="BG191" s="836"/>
      <c r="BH191" s="841">
        <f>IFERROR(__xludf.DUMMYFUNCTION("""COMPUTED_VALUE"""),0.979)</f>
        <v>0.979</v>
      </c>
      <c r="BI191" s="836"/>
      <c r="BJ191" s="836"/>
      <c r="BK191" s="836"/>
      <c r="BL191" s="836"/>
      <c r="BM191" s="836"/>
      <c r="BN191" s="836" t="str">
        <f>IFERROR(__xludf.DUMMYFUNCTION("""COMPUTED_VALUE"""),"TDT with albendazole, pyrantel pamoate, and oxantel pamoate could make a difference, in particular in the context of soil-transmitted helminth elimination. Pyrantel pamoate might be a useful alternative to prevent benzimidazole resistance; however, larger"&amp;" trials are needed to confirm this finding.")</f>
        <v>TDT with albendazole, pyrantel pamoate, and oxantel pamoate could make a difference, in particular in the context of soil-transmitted helminth elimination. Pyrantel pamoate might be a useful alternative to prevent benzimidazole resistance; however, larger trials are needed to confirm this finding.</v>
      </c>
      <c r="BO191" s="836" t="str">
        <f>IFERROR(__xludf.DUMMYFUNCTION("""COMPUTED_VALUE"""),"Kato-Katz technique")</f>
        <v>Kato-Katz technique</v>
      </c>
      <c r="BP191" s="836"/>
      <c r="BQ191" s="697"/>
      <c r="BR191" s="844" t="str">
        <f>IFERROR(__xludf.DUMMYFUNCTION("""COMPUTED_VALUE"""),"Bassily et al.")</f>
        <v>Bassily et al.</v>
      </c>
      <c r="BS191" s="838" t="str">
        <f>IFERROR(__xludf.DUMMYFUNCTION("""COMPUTED_VALUE"""),"Egypt")</f>
        <v>Egypt</v>
      </c>
      <c r="BT191" s="838" t="str">
        <f>IFERROR(__xludf.DUMMYFUNCTION("""COMPUTED_VALUE"""),"Albendazole")</f>
        <v>Albendazole</v>
      </c>
      <c r="BU191" s="838"/>
      <c r="BV191" s="838" t="str">
        <f>IFERROR(__xludf.DUMMYFUNCTION("""COMPUTED_VALUE"""),"Single")</f>
        <v>Single</v>
      </c>
      <c r="BW191" s="838" t="str">
        <f>IFERROR(__xludf.DUMMYFUNCTION("""COMPUTED_VALUE"""),"400 mg")</f>
        <v>400 mg</v>
      </c>
      <c r="BX191" s="838">
        <f>IFERROR(__xludf.DUMMYFUNCTION("""COMPUTED_VALUE"""),14.0)</f>
        <v>14</v>
      </c>
      <c r="BY191" s="838"/>
      <c r="BZ191" s="838"/>
      <c r="CA191" s="838"/>
      <c r="CB191" s="838"/>
      <c r="CC191" s="838" t="str">
        <f>IFERROR(__xludf.DUMMYFUNCTION("""COMPUTED_VALUE"""),"No")</f>
        <v>No</v>
      </c>
      <c r="CD191" s="846">
        <f>IFERROR(__xludf.DUMMYFUNCTION("""COMPUTED_VALUE"""),0.93)</f>
        <v>0.93</v>
      </c>
      <c r="CE191" s="838" t="str">
        <f>IFERROR(__xludf.DUMMYFUNCTION("""COMPUTED_VALUE"""),"Yes")</f>
        <v>Yes</v>
      </c>
      <c r="CF191" s="838"/>
      <c r="CG191" s="838"/>
      <c r="CH191" s="838"/>
      <c r="CI191" s="838"/>
      <c r="CJ191" s="838"/>
      <c r="CK191" s="838"/>
      <c r="CL191" s="838"/>
      <c r="CM191" s="846">
        <f>IFERROR(__xludf.DUMMYFUNCTION("""COMPUTED_VALUE"""),0.95)</f>
        <v>0.95</v>
      </c>
      <c r="CN191" s="838"/>
      <c r="CO191" s="838"/>
      <c r="CP191" s="838"/>
      <c r="CQ191" s="838"/>
      <c r="CR191" s="838"/>
      <c r="CS191" s="838"/>
      <c r="CT191" s="838"/>
      <c r="CU191" s="838"/>
      <c r="CV191" s="697" t="str">
        <f>IFERROR(__xludf.DUMMYFUNCTION("""COMPUTED_VALUE"""),"Bassily S., El-Masry N. A., Trabolsi B., Farid Z. ""Treatment of ancylostomiasis and ascariasis with albendazole"". Annals of Tropical Medicine and Parasitology. 1984 78(1):81-82.")</f>
        <v>Bassily S., El-Masry N. A., Trabolsi B., Farid Z. "Treatment of ancylostomiasis and ascariasis with albendazole". Annals of Tropical Medicine and Parasitology. 1984 78(1):81-82.</v>
      </c>
    </row>
    <row r="192">
      <c r="A192" s="834"/>
      <c r="B192" s="834"/>
      <c r="C192" s="834"/>
      <c r="D192" s="834"/>
      <c r="E192" s="834"/>
      <c r="F192" s="834"/>
      <c r="G192" s="834"/>
      <c r="H192" s="834"/>
      <c r="I192" s="834"/>
      <c r="J192" s="834"/>
      <c r="K192" s="834"/>
      <c r="L192" s="834"/>
      <c r="M192" s="834"/>
      <c r="N192" s="834"/>
      <c r="O192" s="834"/>
      <c r="P192" s="834"/>
      <c r="Q192" s="834"/>
      <c r="R192" s="834"/>
      <c r="S192" s="834"/>
      <c r="T192" s="834"/>
      <c r="U192" s="834"/>
      <c r="V192" s="834"/>
      <c r="W192" s="834"/>
      <c r="X192" s="834"/>
      <c r="Y192" s="834"/>
      <c r="Z192" s="834"/>
      <c r="AA192" s="834"/>
      <c r="AB192" s="834"/>
      <c r="AC192" s="834"/>
      <c r="AD192" s="834"/>
      <c r="AE192" s="834"/>
      <c r="AF192" s="834"/>
      <c r="AG192" s="834"/>
      <c r="AH192" s="834"/>
      <c r="AJ192" s="843" t="str">
        <f>IFERROR(__xludf.DUMMYFUNCTION("""COMPUTED_VALUE"""),"Efficacy and tolerability of triple drug therapy with albendazole, pyrantel pamoate, and oxantel pamoate compared with albendazole plus oxantel pamoate, pyrantel pamoate plus oxantel pamoate, and mebendazole plus pyrantel pamoate and oxantel pamoate again"&amp;"st hookworm infections in school-aged children in Laos: a randomised, single-blind trial")</f>
        <v>Efficacy and tolerability of triple drug therapy with albendazole, pyrantel pamoate, and oxantel pamoate compared with albendazole plus oxantel pamoate, pyrantel pamoate plus oxantel pamoate, and mebendazole plus pyrantel pamoate and oxantel pamoate against hookworm infections in school-aged children in Laos: a randomised, single-blind trial</v>
      </c>
      <c r="AK192" s="836" t="str">
        <f>IFERROR(__xludf.DUMMYFUNCTION("""COMPUTED_VALUE"""),"Moser W, Sayasone S, Xayavong S, Bounheuang B, Puchkov M, Huwyler J, et al. Efficacy and tolerability of triple drug therapy with albendazole, pyrantel pamoate, and oxantel pamoate compared with albendazole plus oxantel pamoate, pyrantel pamoate plus oxan"&amp;"tel pamoate, and mebendazole plus pyrantel pamoate and oxantel pamoate against hookworm infections in school-aged children in Laos: a randomised, single-blind trial [Internet]. The Lancet Infectious Diseases. Elsevier; 2018 [cited 2021Jan15]. Available fr"&amp;"om: https://www.sciencedirect.coM:science/article/pii/S1473309918302202 ")</f>
        <v>Moser W, Sayasone S, Xayavong S, Bounheuang B, Puchkov M, Huwyler J, et al. Efficacy and tolerability of triple drug therapy with albendazole, pyrantel pamoate, and oxantel pamoate compared with albendazole plus oxantel pamoate, pyrantel pamoate plus oxantel pamoate, and mebendazole plus pyrantel pamoate and oxantel pamoate against hookworm infections in school-aged children in Laos: a randomised, single-blind trial [Internet]. The Lancet Infectious Diseases. Elsevier; 2018 [cited 2021Jan15]. Available from: https://www.sciencedirect.coM:science/article/pii/S1473309918302202 </v>
      </c>
      <c r="AL192" s="836" t="str">
        <f>IFERROR(__xludf.DUMMYFUNCTION("""COMPUTED_VALUE"""),"Laos")</f>
        <v>Laos</v>
      </c>
      <c r="AM192" s="836" t="str">
        <f>IFERROR(__xludf.DUMMYFUNCTION("""COMPUTED_VALUE"""),"Pyrantel pamoate &amp; Oxantel pamoate")</f>
        <v>Pyrantel pamoate &amp; Oxantel pamoate</v>
      </c>
      <c r="AN192" s="836" t="str">
        <f>IFERROR(__xludf.DUMMYFUNCTION("""COMPUTED_VALUE"""),"Single")</f>
        <v>Single</v>
      </c>
      <c r="AO192" s="836" t="str">
        <f>IFERROR(__xludf.DUMMYFUNCTION("""COMPUTED_VALUE"""),"20 mg/kg; 20 mg/kg")</f>
        <v>20 mg/kg; 20 mg/kg</v>
      </c>
      <c r="AP192" s="836">
        <f>IFERROR(__xludf.DUMMYFUNCTION("""COMPUTED_VALUE"""),31.0)</f>
        <v>31</v>
      </c>
      <c r="AQ192" s="836">
        <f>IFERROR(__xludf.DUMMYFUNCTION("""COMPUTED_VALUE"""),12.4)</f>
        <v>12.4</v>
      </c>
      <c r="AR192" s="836"/>
      <c r="AS192" s="836">
        <f>IFERROR(__xludf.DUMMYFUNCTION("""COMPUTED_VALUE"""),2017.0)</f>
        <v>2017</v>
      </c>
      <c r="AT192" s="836" t="str">
        <f>IFERROR(__xludf.DUMMYFUNCTION("""COMPUTED_VALUE"""),"Children were deemed eligible if they provided two stool samples and were hookworm positive (eggs per gram of stool [EPG] &gt;100), passed a physical and clinical examination, had no chronic illness, had no anthelmintic treatment in the past 4 weeks, and, if"&amp;" female, were not pregnant (≥12 years)")</f>
        <v>Children were deemed eligible if they provided two stool samples and were hookworm positive (eggs per gram of stool [EPG] &gt;100), passed a physical and clinical examination, had no chronic illness, had no anthelmintic treatment in the past 4 weeks, and, if female, were not pregnant (≥12 years)</v>
      </c>
      <c r="AU192" s="836" t="str">
        <f>IFERROR(__xludf.DUMMYFUNCTION("""COMPUTED_VALUE"""),"Yes")</f>
        <v>Yes</v>
      </c>
      <c r="AV192" s="836" t="str">
        <f>IFERROR(__xludf.DUMMYFUNCTION("""COMPUTED_VALUE"""),"Yes")</f>
        <v>Yes</v>
      </c>
      <c r="AW192" s="836" t="str">
        <f>IFERROR(__xludf.DUMMYFUNCTION("""COMPUTED_VALUE"""),"Single-blind")</f>
        <v>Single-blind</v>
      </c>
      <c r="AX192" s="841">
        <f>IFERROR(__xludf.DUMMYFUNCTION("""COMPUTED_VALUE"""),0.742)</f>
        <v>0.742</v>
      </c>
      <c r="AY192" s="836"/>
      <c r="AZ192" s="836"/>
      <c r="BA192" s="836"/>
      <c r="BB192" s="836"/>
      <c r="BC192" s="836"/>
      <c r="BD192" s="836"/>
      <c r="BE192" s="836"/>
      <c r="BF192" s="836"/>
      <c r="BG192" s="836"/>
      <c r="BH192" s="841">
        <f>IFERROR(__xludf.DUMMYFUNCTION("""COMPUTED_VALUE"""),0.988)</f>
        <v>0.988</v>
      </c>
      <c r="BI192" s="836"/>
      <c r="BJ192" s="836"/>
      <c r="BK192" s="836"/>
      <c r="BL192" s="836"/>
      <c r="BM192" s="836"/>
      <c r="BN192" s="836" t="str">
        <f>IFERROR(__xludf.DUMMYFUNCTION("""COMPUTED_VALUE"""),"TDT with albendazole, pyrantel pamoate, and oxantel pamoate could make a difference, in particular in the context of soil-transmitted helminth elimination. Pyrantel pamoate might be a useful alternative to prevent benzimidazole resistance; however, larger"&amp;" trials are needed to confirm this finding.")</f>
        <v>TDT with albendazole, pyrantel pamoate, and oxantel pamoate could make a difference, in particular in the context of soil-transmitted helminth elimination. Pyrantel pamoate might be a useful alternative to prevent benzimidazole resistance; however, larger trials are needed to confirm this finding.</v>
      </c>
      <c r="BO192" s="836" t="str">
        <f>IFERROR(__xludf.DUMMYFUNCTION("""COMPUTED_VALUE"""),"Kato-Katz technique")</f>
        <v>Kato-Katz technique</v>
      </c>
      <c r="BP192" s="836"/>
      <c r="BQ192" s="697"/>
      <c r="BR192" s="844" t="str">
        <f>IFERROR(__xludf.DUMMYFUNCTION("""COMPUTED_VALUE"""),"Bassily et al.")</f>
        <v>Bassily et al.</v>
      </c>
      <c r="BS192" s="838" t="str">
        <f>IFERROR(__xludf.DUMMYFUNCTION("""COMPUTED_VALUE"""),"Egypt")</f>
        <v>Egypt</v>
      </c>
      <c r="BT192" s="838" t="str">
        <f>IFERROR(__xludf.DUMMYFUNCTION("""COMPUTED_VALUE"""),"Albendazole")</f>
        <v>Albendazole</v>
      </c>
      <c r="BU192" s="838"/>
      <c r="BV192" s="838" t="str">
        <f>IFERROR(__xludf.DUMMYFUNCTION("""COMPUTED_VALUE"""),"Three")</f>
        <v>Three</v>
      </c>
      <c r="BW192" s="838" t="str">
        <f>IFERROR(__xludf.DUMMYFUNCTION("""COMPUTED_VALUE"""),"200 mg")</f>
        <v>200 mg</v>
      </c>
      <c r="BX192" s="838">
        <f>IFERROR(__xludf.DUMMYFUNCTION("""COMPUTED_VALUE"""),12.0)</f>
        <v>12</v>
      </c>
      <c r="BY192" s="838"/>
      <c r="BZ192" s="838"/>
      <c r="CA192" s="838"/>
      <c r="CB192" s="838"/>
      <c r="CC192" s="838" t="str">
        <f>IFERROR(__xludf.DUMMYFUNCTION("""COMPUTED_VALUE"""),"No")</f>
        <v>No</v>
      </c>
      <c r="CD192" s="846">
        <f>IFERROR(__xludf.DUMMYFUNCTION("""COMPUTED_VALUE"""),1.0)</f>
        <v>1</v>
      </c>
      <c r="CE192" s="838" t="str">
        <f>IFERROR(__xludf.DUMMYFUNCTION("""COMPUTED_VALUE"""),"Yes")</f>
        <v>Yes</v>
      </c>
      <c r="CF192" s="838"/>
      <c r="CG192" s="838"/>
      <c r="CH192" s="838"/>
      <c r="CI192" s="838"/>
      <c r="CJ192" s="838"/>
      <c r="CK192" s="838"/>
      <c r="CL192" s="838"/>
      <c r="CM192" s="846">
        <f>IFERROR(__xludf.DUMMYFUNCTION("""COMPUTED_VALUE"""),1.0)</f>
        <v>1</v>
      </c>
      <c r="CN192" s="838"/>
      <c r="CO192" s="838"/>
      <c r="CP192" s="838"/>
      <c r="CQ192" s="838"/>
      <c r="CR192" s="838"/>
      <c r="CS192" s="838" t="str">
        <f>IFERROR(__xludf.DUMMYFUNCTION("""COMPUTED_VALUE"""),"For mass therapy of ancylostomiasis and ascariasis in Egypt a single dose of 400 109 of Albendazole is adequate. When 100% cure is desired for ancylostomiasis, 200 mg given for three days is preferable.")</f>
        <v>For mass therapy of ancylostomiasis and ascariasis in Egypt a single dose of 400 109 of Albendazole is adequate. When 100% cure is desired for ancylostomiasis, 200 mg given for three days is preferable.</v>
      </c>
      <c r="CT192" s="838"/>
      <c r="CU192" s="838"/>
      <c r="CV192" s="697" t="str">
        <f>IFERROR(__xludf.DUMMYFUNCTION("""COMPUTED_VALUE"""),"Bassily S., El-Masry N. A., Trabolsi B., Farid Z. ""Treatment of ancylostomiasis and ascariasis with albendazole"". Annals of Tropical Medicine and Parasitology. 1984 78(1):81-82.")</f>
        <v>Bassily S., El-Masry N. A., Trabolsi B., Farid Z. "Treatment of ancylostomiasis and ascariasis with albendazole". Annals of Tropical Medicine and Parasitology. 1984 78(1):81-82.</v>
      </c>
    </row>
    <row r="193">
      <c r="A193" s="834"/>
      <c r="B193" s="834"/>
      <c r="C193" s="834"/>
      <c r="D193" s="834"/>
      <c r="E193" s="834"/>
      <c r="F193" s="834"/>
      <c r="G193" s="834"/>
      <c r="H193" s="834"/>
      <c r="I193" s="834"/>
      <c r="J193" s="834"/>
      <c r="K193" s="834"/>
      <c r="L193" s="834"/>
      <c r="M193" s="834"/>
      <c r="N193" s="834"/>
      <c r="O193" s="834"/>
      <c r="P193" s="834"/>
      <c r="Q193" s="834"/>
      <c r="R193" s="834"/>
      <c r="S193" s="834"/>
      <c r="T193" s="834"/>
      <c r="U193" s="834"/>
      <c r="V193" s="834"/>
      <c r="W193" s="834"/>
      <c r="X193" s="834"/>
      <c r="Y193" s="834"/>
      <c r="Z193" s="834"/>
      <c r="AA193" s="834"/>
      <c r="AB193" s="834"/>
      <c r="AC193" s="834"/>
      <c r="AD193" s="834"/>
      <c r="AE193" s="834"/>
      <c r="AF193" s="834"/>
      <c r="AG193" s="834"/>
      <c r="AH193" s="834"/>
      <c r="AJ193" s="843" t="str">
        <f>IFERROR(__xludf.DUMMYFUNCTION("""COMPUTED_VALUE"""),"Efficacy and tolerability of triple drug therapy with albendazole, pyrantel pamoate, and oxantel pamoate compared with albendazole plus oxantel pamoate, pyrantel pamoate plus oxantel pamoate, and mebendazole plus pyrantel pamoate and oxantel pamoate again"&amp;"st hookworm infections in school-aged children in Laos: a randomised, single-blind trial")</f>
        <v>Efficacy and tolerability of triple drug therapy with albendazole, pyrantel pamoate, and oxantel pamoate compared with albendazole plus oxantel pamoate, pyrantel pamoate plus oxantel pamoate, and mebendazole plus pyrantel pamoate and oxantel pamoate against hookworm infections in school-aged children in Laos: a randomised, single-blind trial</v>
      </c>
      <c r="AK193" s="836" t="str">
        <f>IFERROR(__xludf.DUMMYFUNCTION("""COMPUTED_VALUE"""),"Moser W, Sayasone S, Xayavong S, Bounheuang B, Puchkov M, Huwyler J, et al. Efficacy and tolerability of triple drug therapy with albendazole, pyrantel pamoate, and oxantel pamoate compared with albendazole plus oxantel pamoate, pyrantel pamoate plus oxan"&amp;"tel pamoate, and mebendazole plus pyrantel pamoate and oxantel pamoate against hookworm infections in school-aged children in Laos: a randomised, single-blind trial [Internet]. The Lancet Infectious Diseases. Elsevier; 2018 [cited 2021Jan15]. Available fr"&amp;"om: https://www.sciencedirect.coM:science/article/pii/S1473309918302202 ")</f>
        <v>Moser W, Sayasone S, Xayavong S, Bounheuang B, Puchkov M, Huwyler J, et al. Efficacy and tolerability of triple drug therapy with albendazole, pyrantel pamoate, and oxantel pamoate compared with albendazole plus oxantel pamoate, pyrantel pamoate plus oxantel pamoate, and mebendazole plus pyrantel pamoate and oxantel pamoate against hookworm infections in school-aged children in Laos: a randomised, single-blind trial [Internet]. The Lancet Infectious Diseases. Elsevier; 2018 [cited 2021Jan15]. Available from: https://www.sciencedirect.coM:science/article/pii/S1473309918302202 </v>
      </c>
      <c r="AL193" s="836" t="str">
        <f>IFERROR(__xludf.DUMMYFUNCTION("""COMPUTED_VALUE"""),"Laos")</f>
        <v>Laos</v>
      </c>
      <c r="AM193" s="836" t="str">
        <f>IFERROR(__xludf.DUMMYFUNCTION("""COMPUTED_VALUE"""),"Mebendazole &amp; Pyrantel pamoate &amp; Oxantel pamoate")</f>
        <v>Mebendazole &amp; Pyrantel pamoate &amp; Oxantel pamoate</v>
      </c>
      <c r="AN193" s="836" t="str">
        <f>IFERROR(__xludf.DUMMYFUNCTION("""COMPUTED_VALUE"""),"Single")</f>
        <v>Single</v>
      </c>
      <c r="AO193" s="836" t="str">
        <f>IFERROR(__xludf.DUMMYFUNCTION("""COMPUTED_VALUE"""),"500 mg; 20 mg/kg; 20 mg/kg")</f>
        <v>500 mg; 20 mg/kg; 20 mg/kg</v>
      </c>
      <c r="AP193" s="836">
        <f>IFERROR(__xludf.DUMMYFUNCTION("""COMPUTED_VALUE"""),26.0)</f>
        <v>26</v>
      </c>
      <c r="AQ193" s="836">
        <f>IFERROR(__xludf.DUMMYFUNCTION("""COMPUTED_VALUE"""),12.2)</f>
        <v>12.2</v>
      </c>
      <c r="AR193" s="836"/>
      <c r="AS193" s="836">
        <f>IFERROR(__xludf.DUMMYFUNCTION("""COMPUTED_VALUE"""),2017.0)</f>
        <v>2017</v>
      </c>
      <c r="AT193" s="836" t="str">
        <f>IFERROR(__xludf.DUMMYFUNCTION("""COMPUTED_VALUE"""),"Children were deemed eligible if they provided two stool samples and were hookworm positive (eggs per gram of stool [EPG] &gt;100), passed a physical and clinical examination, had no chronic illness, had no anthelmintic treatment in the past 4 weeks, and, if"&amp;" female, were not pregnant (≥12 years)")</f>
        <v>Children were deemed eligible if they provided two stool samples and were hookworm positive (eggs per gram of stool [EPG] &gt;100), passed a physical and clinical examination, had no chronic illness, had no anthelmintic treatment in the past 4 weeks, and, if female, were not pregnant (≥12 years)</v>
      </c>
      <c r="AU193" s="836" t="str">
        <f>IFERROR(__xludf.DUMMYFUNCTION("""COMPUTED_VALUE"""),"Yes")</f>
        <v>Yes</v>
      </c>
      <c r="AV193" s="836" t="str">
        <f>IFERROR(__xludf.DUMMYFUNCTION("""COMPUTED_VALUE"""),"Yes")</f>
        <v>Yes</v>
      </c>
      <c r="AW193" s="836" t="str">
        <f>IFERROR(__xludf.DUMMYFUNCTION("""COMPUTED_VALUE"""),"Single-blind")</f>
        <v>Single-blind</v>
      </c>
      <c r="AX193" s="841">
        <f>IFERROR(__xludf.DUMMYFUNCTION("""COMPUTED_VALUE"""),0.885)</f>
        <v>0.885</v>
      </c>
      <c r="AY193" s="836"/>
      <c r="AZ193" s="836"/>
      <c r="BA193" s="836"/>
      <c r="BB193" s="836"/>
      <c r="BC193" s="836"/>
      <c r="BD193" s="836"/>
      <c r="BE193" s="836"/>
      <c r="BF193" s="836"/>
      <c r="BG193" s="836"/>
      <c r="BH193" s="841">
        <f>IFERROR(__xludf.DUMMYFUNCTION("""COMPUTED_VALUE"""),0.589)</f>
        <v>0.589</v>
      </c>
      <c r="BI193" s="836"/>
      <c r="BJ193" s="836"/>
      <c r="BK193" s="836"/>
      <c r="BL193" s="836"/>
      <c r="BM193" s="836"/>
      <c r="BN193" s="836" t="str">
        <f>IFERROR(__xludf.DUMMYFUNCTION("""COMPUTED_VALUE"""),"TDT with albendazole, pyrantel pamoate, and oxantel pamoate could make a difference, in particular in the context of soil-transmitted helminth elimination. Pyrantel pamoate might be a useful alternative to prevent benzimidazole resistance; however, larger"&amp;" trials are needed to confirm this finding.")</f>
        <v>TDT with albendazole, pyrantel pamoate, and oxantel pamoate could make a difference, in particular in the context of soil-transmitted helminth elimination. Pyrantel pamoate might be a useful alternative to prevent benzimidazole resistance; however, larger trials are needed to confirm this finding.</v>
      </c>
      <c r="BO193" s="836" t="str">
        <f>IFERROR(__xludf.DUMMYFUNCTION("""COMPUTED_VALUE"""),"Kato-Katz technique")</f>
        <v>Kato-Katz technique</v>
      </c>
      <c r="BP193" s="836"/>
      <c r="BQ193" s="697"/>
      <c r="BR193" s="844" t="str">
        <f>IFERROR(__xludf.DUMMYFUNCTION("""COMPUTED_VALUE"""),"Jagota et al.")</f>
        <v>Jagota et al.</v>
      </c>
      <c r="BS193" s="838" t="str">
        <f>IFERROR(__xludf.DUMMYFUNCTION("""COMPUTED_VALUE"""),"India")</f>
        <v>India</v>
      </c>
      <c r="BT193" s="838" t="str">
        <f>IFERROR(__xludf.DUMMYFUNCTION("""COMPUTED_VALUE"""),"Albendazole")</f>
        <v>Albendazole</v>
      </c>
      <c r="BU193" s="838"/>
      <c r="BV193" s="838" t="str">
        <f>IFERROR(__xludf.DUMMYFUNCTION("""COMPUTED_VALUE"""),"Two")</f>
        <v>Two</v>
      </c>
      <c r="BW193" s="838" t="str">
        <f>IFERROR(__xludf.DUMMYFUNCTION("""COMPUTED_VALUE"""),"200 mg")</f>
        <v>200 mg</v>
      </c>
      <c r="BX193" s="838" t="str">
        <f>IFERROR(__xludf.DUMMYFUNCTION("""COMPUTED_VALUE"""),"258/480")</f>
        <v>258/480</v>
      </c>
      <c r="BY193" s="838" t="str">
        <f>IFERROR(__xludf.DUMMYFUNCTION("""COMPUTED_VALUE"""),"2-60")</f>
        <v>2-60</v>
      </c>
      <c r="BZ193" s="838"/>
      <c r="CA193" s="838" t="str">
        <f>IFERROR(__xludf.DUMMYFUNCTION("""COMPUTED_VALUE"""),"309 M; 171 F")</f>
        <v>309 M; 171 F</v>
      </c>
      <c r="CB193" s="838" t="str">
        <f>IFERROR(__xludf.DUMMYFUNCTION("""COMPUTED_VALUE"""),"Adults and children over the age of 2 years with intestinal helminthiasis (nematodes and cestodes) having positive fecal egg counts. Patients who had received anthelmintics seven days before the beginning of the trial; those having an acute illness, aller"&amp;"gic disorders, or proteinuria; and pregnant and nursing mothers were excluded.")</f>
        <v>Adults and children over the age of 2 years with intestinal helminthiasis (nematodes and cestodes) having positive fecal egg counts. Patients who had received anthelmintics seven days before the beginning of the trial; those having an acute illness, allergic disorders, or proteinuria; and pregnant and nursing mothers were excluded.</v>
      </c>
      <c r="CC193" s="838" t="str">
        <f>IFERROR(__xludf.DUMMYFUNCTION("""COMPUTED_VALUE"""),"No")</f>
        <v>No</v>
      </c>
      <c r="CD193" s="847">
        <f>IFERROR(__xludf.DUMMYFUNCTION("""COMPUTED_VALUE"""),0.953)</f>
        <v>0.953</v>
      </c>
      <c r="CE193" s="838" t="str">
        <f>IFERROR(__xludf.DUMMYFUNCTION("""COMPUTED_VALUE"""),"No")</f>
        <v>No</v>
      </c>
      <c r="CF193" s="838"/>
      <c r="CG193" s="847">
        <f>IFERROR(__xludf.DUMMYFUNCTION("""COMPUTED_VALUE"""),0.953)</f>
        <v>0.953</v>
      </c>
      <c r="CH193" s="838"/>
      <c r="CI193" s="838"/>
      <c r="CJ193" s="838"/>
      <c r="CK193" s="838"/>
      <c r="CL193" s="838"/>
      <c r="CM193" s="838" t="str">
        <f>IFERROR(__xludf.DUMMYFUNCTION("""COMPUTED_VALUE"""),"85-98%")</f>
        <v>85-98%</v>
      </c>
      <c r="CN193" s="838"/>
      <c r="CO193" s="838"/>
      <c r="CP193" s="838"/>
      <c r="CQ193" s="838"/>
      <c r="CR193" s="838"/>
      <c r="CS193" s="838" t="str">
        <f>IFERROR(__xludf.DUMMYFUNCTION("""COMPUTED_VALUE"""),"Albendazole appears to be a safe and effective broad-spectrum anthelminitc.")</f>
        <v>Albendazole appears to be a safe and effective broad-spectrum anthelminitc.</v>
      </c>
      <c r="CT193" s="838" t="str">
        <f>IFERROR(__xludf.DUMMYFUNCTION("""COMPUTED_VALUE"""),"Kato-Katz Method")</f>
        <v>Kato-Katz Method</v>
      </c>
      <c r="CU193" s="838"/>
      <c r="CV193" s="697" t="str">
        <f>IFERROR(__xludf.DUMMYFUNCTION("""COMPUTED_VALUE"""),"Jagota, S.C. ""Albendazole, A Broad-Spectrum Anthelmintic, in the Treatment of Intestinal Nematode and Cestode Infection: A Multitcenter Study in 480 Patients"". Clinical Therapeutics 8(2): 226-230.")</f>
        <v>Jagota, S.C. "Albendazole, A Broad-Spectrum Anthelmintic, in the Treatment of Intestinal Nematode and Cestode Infection: A Multitcenter Study in 480 Patients". Clinical Therapeutics 8(2): 226-230.</v>
      </c>
    </row>
    <row r="194">
      <c r="A194" s="834"/>
      <c r="B194" s="834"/>
      <c r="C194" s="834"/>
      <c r="D194" s="834"/>
      <c r="E194" s="834"/>
      <c r="F194" s="834"/>
      <c r="G194" s="834"/>
      <c r="H194" s="834"/>
      <c r="I194" s="834"/>
      <c r="J194" s="834"/>
      <c r="K194" s="834"/>
      <c r="L194" s="834"/>
      <c r="M194" s="834"/>
      <c r="N194" s="834"/>
      <c r="O194" s="834"/>
      <c r="P194" s="834"/>
      <c r="Q194" s="834"/>
      <c r="R194" s="834"/>
      <c r="S194" s="834"/>
      <c r="T194" s="834"/>
      <c r="U194" s="834"/>
      <c r="V194" s="834"/>
      <c r="W194" s="834"/>
      <c r="X194" s="834"/>
      <c r="Y194" s="834"/>
      <c r="Z194" s="834"/>
      <c r="AA194" s="834"/>
      <c r="AB194" s="834"/>
      <c r="AC194" s="834"/>
      <c r="AD194" s="834"/>
      <c r="AE194" s="834"/>
      <c r="AF194" s="834"/>
      <c r="AG194" s="834"/>
      <c r="AH194" s="834"/>
      <c r="AJ194" s="843" t="str">
        <f>IFERROR(__xludf.DUMMYFUNCTION("""COMPUTED_VALUE"""),"A comparative trial of a single-dose ivermectin versus three days of albendazole for treatment of Strongyloides stercoralis and other soil-transmitted helminth infections in children.")</f>
        <v>A comparative trial of a single-dose ivermectin versus three days of albendazole for treatment of Strongyloides stercoralis and other soil-transmitted helminth infections in children.</v>
      </c>
      <c r="AK194" s="836" t="str">
        <f>IFERROR(__xludf.DUMMYFUNCTION("""COMPUTED_VALUE"""),"Marti H, Haji HJ, Savioli L, Chwaya HM, Mgeni AF, Ameir JS, Hatz C. A comparative trial of a single-dose ivermectin versus three days of albendazole for treatment of Strongyloides stercoralis and other soil-transmitted helminth infections in children. Am "&amp;"J Trop Med Hyg. 1996 Nov;55(5):477-81. doi: 10.4269/ajtmh.1996.55.477. PMID: 8940976.")</f>
        <v>Marti H, Haji HJ, Savioli L, Chwaya HM, Mgeni AF, Ameir JS, Hatz C. A comparative trial of a single-dose ivermectin versus three days of albendazole for treatment of Strongyloides stercoralis and other soil-transmitted helminth infections in children. Am J Trop Med Hyg. 1996 Nov;55(5):477-81. doi: 10.4269/ajtmh.1996.55.477. PMID: 8940976.</v>
      </c>
      <c r="AL194" s="836" t="str">
        <f>IFERROR(__xludf.DUMMYFUNCTION("""COMPUTED_VALUE"""),"Tanzania")</f>
        <v>Tanzania</v>
      </c>
      <c r="AM194" s="836" t="str">
        <f>IFERROR(__xludf.DUMMYFUNCTION("""COMPUTED_VALUE"""),"Ivermectin ")</f>
        <v>Ivermectin </v>
      </c>
      <c r="AN194" s="836" t="str">
        <f>IFERROR(__xludf.DUMMYFUNCTION("""COMPUTED_VALUE"""),"Single")</f>
        <v>Single</v>
      </c>
      <c r="AO194" s="836" t="str">
        <f>IFERROR(__xludf.DUMMYFUNCTION("""COMPUTED_VALUE"""),"200 µg/kg")</f>
        <v>200 µg/kg</v>
      </c>
      <c r="AP194" s="836">
        <f>IFERROR(__xludf.DUMMYFUNCTION("""COMPUTED_VALUE"""),208.0)</f>
        <v>208</v>
      </c>
      <c r="AQ194" s="836"/>
      <c r="AR194" s="855" t="str">
        <f>IFERROR(__xludf.DUMMYFUNCTION("""COMPUTED_VALUE"""),"59M:94F")</f>
        <v>59M:94F</v>
      </c>
      <c r="AS194" s="836">
        <f>IFERROR(__xludf.DUMMYFUNCTION("""COMPUTED_VALUE"""),1994.0)</f>
        <v>1994</v>
      </c>
      <c r="AT194" s="836" t="str">
        <f>IFERROR(__xludf.DUMMYFUNCTION("""COMPUTED_VALUE"""),"The following day each child was physically examined by the MA for exclusion criteria, which were 1) consent not given; 2) fever or other signs of acute illness; 3) severe neurological disorders; 4) severe liver disorders; and 5) pregnancy. ")</f>
        <v>The following day each child was physically examined by the MA for exclusion criteria, which were 1) consent not given; 2) fever or other signs of acute illness; 3) severe neurological disorders; 4) severe liver disorders; and 5) pregnancy. </v>
      </c>
      <c r="AU194" s="836" t="str">
        <f>IFERROR(__xludf.DUMMYFUNCTION("""COMPUTED_VALUE"""),"Yes")</f>
        <v>Yes</v>
      </c>
      <c r="AV194" s="836" t="str">
        <f>IFERROR(__xludf.DUMMYFUNCTION("""COMPUTED_VALUE"""),"No")</f>
        <v>No</v>
      </c>
      <c r="AW194" s="836" t="str">
        <f>IFERROR(__xludf.DUMMYFUNCTION("""COMPUTED_VALUE"""),"No")</f>
        <v>No</v>
      </c>
      <c r="AX194" s="841">
        <f>IFERROR(__xludf.DUMMYFUNCTION("""COMPUTED_VALUE"""),0.113)</f>
        <v>0.113</v>
      </c>
      <c r="AY194" s="836"/>
      <c r="AZ194" s="836"/>
      <c r="BA194" s="836"/>
      <c r="BB194" s="836"/>
      <c r="BC194" s="836"/>
      <c r="BD194" s="836"/>
      <c r="BE194" s="836"/>
      <c r="BF194" s="836"/>
      <c r="BG194" s="836"/>
      <c r="BH194" s="841">
        <f>IFERROR(__xludf.DUMMYFUNCTION("""COMPUTED_VALUE"""),0.922)</f>
        <v>0.922</v>
      </c>
      <c r="BI194" s="836"/>
      <c r="BJ194" s="836"/>
      <c r="BK194" s="836"/>
      <c r="BL194" s="836"/>
      <c r="BM194" s="836"/>
      <c r="BN194" s="836" t="str">
        <f>IFERROR(__xludf.DUMMYFUNCTION("""COMPUTED_VALUE"""),"The efficacy and the advantage of a single dose treatment favors ivermectin as treatment of choice for uncomplicatecd strongyloidiasis, especially given the low frequency of mild side effects observed. Our results open the opportunity to evaluate the impa"&amp;"ct of invermectin treatment on infection and morbidity in S/ stercoralis-infected populations, which will contribute to a better understanding of this neglected disease. ")</f>
        <v>The efficacy and the advantage of a single dose treatment favors ivermectin as treatment of choice for uncomplicatecd strongyloidiasis, especially given the low frequency of mild side effects observed. Our results open the opportunity to evaluate the impact of invermectin treatment on infection and morbidity in S/ stercoralis-infected populations, which will contribute to a better understanding of this neglected disease. </v>
      </c>
      <c r="BO194" s="836" t="str">
        <f>IFERROR(__xludf.DUMMYFUNCTION("""COMPUTED_VALUE"""),"Kato-Katz technique")</f>
        <v>Kato-Katz technique</v>
      </c>
      <c r="BP194" s="836"/>
      <c r="BQ194" s="697"/>
      <c r="BR194" s="844" t="str">
        <f>IFERROR(__xludf.DUMMYFUNCTION("""COMPUTED_VALUE"""),"Oyediran &amp; Oyejide")</f>
        <v>Oyediran &amp; Oyejide</v>
      </c>
      <c r="BS194" s="838" t="str">
        <f>IFERROR(__xludf.DUMMYFUNCTION("""COMPUTED_VALUE"""),"Nigeria ")</f>
        <v>Nigeria </v>
      </c>
      <c r="BT194" s="838" t="str">
        <f>IFERROR(__xludf.DUMMYFUNCTION("""COMPUTED_VALUE"""),"Albendazole")</f>
        <v>Albendazole</v>
      </c>
      <c r="BU194" s="838"/>
      <c r="BV194" s="838" t="str">
        <f>IFERROR(__xludf.DUMMYFUNCTION("""COMPUTED_VALUE"""),"Single")</f>
        <v>Single</v>
      </c>
      <c r="BW194" s="838" t="str">
        <f>IFERROR(__xludf.DUMMYFUNCTION("""COMPUTED_VALUE"""),"200 mg")</f>
        <v>200 mg</v>
      </c>
      <c r="BX194" s="838">
        <f>IFERROR(__xludf.DUMMYFUNCTION("""COMPUTED_VALUE"""),27.0)</f>
        <v>27</v>
      </c>
      <c r="BY194" s="845">
        <f>IFERROR(__xludf.DUMMYFUNCTION("""COMPUTED_VALUE"""),42660.0)</f>
        <v>42660</v>
      </c>
      <c r="BZ194" s="838"/>
      <c r="CA194" s="838" t="str">
        <f>IFERROR(__xludf.DUMMYFUNCTION("""COMPUTED_VALUE"""),"17 M; 13 F")</f>
        <v>17 M; 13 F</v>
      </c>
      <c r="CB194" s="838" t="str">
        <f>IFERROR(__xludf.DUMMYFUNCTION("""COMPUTED_VALUE"""),"The children recruited into this study were those who had not had anthelmintic treatment in the 2 weeks preceding the trial, those who were not on any regular medication, who were clinically well and who had no history of epilepsy and fainting.")</f>
        <v>The children recruited into this study were those who had not had anthelmintic treatment in the 2 weeks preceding the trial, those who were not on any regular medication, who were clinically well and who had no history of epilepsy and fainting.</v>
      </c>
      <c r="CC194" s="838" t="str">
        <f>IFERROR(__xludf.DUMMYFUNCTION("""COMPUTED_VALUE"""),"Yes")</f>
        <v>Yes</v>
      </c>
      <c r="CD194" s="847">
        <f>IFERROR(__xludf.DUMMYFUNCTION("""COMPUTED_VALUE"""),0.815)</f>
        <v>0.815</v>
      </c>
      <c r="CE194" s="838" t="str">
        <f>IFERROR(__xludf.DUMMYFUNCTION("""COMPUTED_VALUE"""),"Yes")</f>
        <v>Yes</v>
      </c>
      <c r="CF194" s="838"/>
      <c r="CG194" s="838"/>
      <c r="CH194" s="838"/>
      <c r="CI194" s="838"/>
      <c r="CJ194" s="838"/>
      <c r="CK194" s="838"/>
      <c r="CL194" s="838"/>
      <c r="CM194" s="846">
        <f>IFERROR(__xludf.DUMMYFUNCTION("""COMPUTED_VALUE"""),0.99)</f>
        <v>0.99</v>
      </c>
      <c r="CN194" s="838"/>
      <c r="CO194" s="838"/>
      <c r="CP194" s="838"/>
      <c r="CQ194" s="838"/>
      <c r="CR194" s="838"/>
      <c r="CS194" s="838"/>
      <c r="CT194" s="838" t="str">
        <f>IFERROR(__xludf.DUMMYFUNCTION("""COMPUTED_VALUE"""),"direct fecal examination; examination after stool concentration; Kato-Katz method")</f>
        <v>direct fecal examination; examination after stool concentration; Kato-Katz method</v>
      </c>
      <c r="CU194" s="838"/>
      <c r="CV194" s="697" t="str">
        <f>IFERROR(__xludf.DUMMYFUNCTION("""COMPUTED_VALUE"""),"Oyediran, A. B. O. O. &amp; Oyejide, C. O. ""Double-blind comparative study of a new anthelmintic, albendazole, in the treatment of intestinal helminthiasis"". Royal Society of Medicine International Congress and Symposium Series. 1982 57: 69–81.")</f>
        <v>Oyediran, A. B. O. O. &amp; Oyejide, C. O. "Double-blind comparative study of a new anthelmintic, albendazole, in the treatment of intestinal helminthiasis". Royal Society of Medicine International Congress and Symposium Series. 1982 57: 69–81.</v>
      </c>
    </row>
    <row r="195">
      <c r="A195" s="834"/>
      <c r="B195" s="834"/>
      <c r="C195" s="834"/>
      <c r="D195" s="834"/>
      <c r="E195" s="834"/>
      <c r="F195" s="834"/>
      <c r="G195" s="834"/>
      <c r="H195" s="834"/>
      <c r="I195" s="834"/>
      <c r="J195" s="834"/>
      <c r="K195" s="834"/>
      <c r="L195" s="834"/>
      <c r="M195" s="834"/>
      <c r="N195" s="834"/>
      <c r="O195" s="834"/>
      <c r="P195" s="834"/>
      <c r="Q195" s="834"/>
      <c r="R195" s="834"/>
      <c r="S195" s="834"/>
      <c r="T195" s="834"/>
      <c r="U195" s="834"/>
      <c r="V195" s="834"/>
      <c r="W195" s="834"/>
      <c r="X195" s="834"/>
      <c r="Y195" s="834"/>
      <c r="Z195" s="834"/>
      <c r="AA195" s="834"/>
      <c r="AB195" s="834"/>
      <c r="AC195" s="834"/>
      <c r="AD195" s="834"/>
      <c r="AE195" s="834"/>
      <c r="AF195" s="834"/>
      <c r="AG195" s="834"/>
      <c r="AH195" s="834"/>
      <c r="AJ195" s="843" t="str">
        <f>IFERROR(__xludf.DUMMYFUNCTION("""COMPUTED_VALUE"""),"A comparative trial of a single-dose ivermectin versus three days of albendazole for treatment of Strongyloides stercoralis and other soil-transmitted helminth infections in children.")</f>
        <v>A comparative trial of a single-dose ivermectin versus three days of albendazole for treatment of Strongyloides stercoralis and other soil-transmitted helminth infections in children.</v>
      </c>
      <c r="AK195" s="836" t="str">
        <f>IFERROR(__xludf.DUMMYFUNCTION("""COMPUTED_VALUE"""),"Marti H, Haji HJ, Savioli L, Chwaya HM, Mgeni AF, Ameir JS, Hatz C. A comparative trial of a single-dose ivermectin versus three days of albendazole for treatment of Strongyloides stercoralis and other soil-transmitted helminth infections in children. Am "&amp;"J Trop Med Hyg. 1996 Nov;55(5):477-81. doi: 10.4269/ajtmh.1996.55.477. PMID: 8940976.")</f>
        <v>Marti H, Haji HJ, Savioli L, Chwaya HM, Mgeni AF, Ameir JS, Hatz C. A comparative trial of a single-dose ivermectin versus three days of albendazole for treatment of Strongyloides stercoralis and other soil-transmitted helminth infections in children. Am J Trop Med Hyg. 1996 Nov;55(5):477-81. doi: 10.4269/ajtmh.1996.55.477. PMID: 8940976.</v>
      </c>
      <c r="AL195" s="836" t="str">
        <f>IFERROR(__xludf.DUMMYFUNCTION("""COMPUTED_VALUE"""),"Tanzania")</f>
        <v>Tanzania</v>
      </c>
      <c r="AM195" s="836" t="str">
        <f>IFERROR(__xludf.DUMMYFUNCTION("""COMPUTED_VALUE"""),"Albendazole")</f>
        <v>Albendazole</v>
      </c>
      <c r="AN195" s="836" t="str">
        <f>IFERROR(__xludf.DUMMYFUNCTION("""COMPUTED_VALUE"""),"Multiple Dose: 3")</f>
        <v>Multiple Dose: 3</v>
      </c>
      <c r="AO195" s="836" t="str">
        <f>IFERROR(__xludf.DUMMYFUNCTION("""COMPUTED_VALUE"""),"400 mg ")</f>
        <v>400 mg </v>
      </c>
      <c r="AP195" s="855" t="str">
        <f>IFERROR(__xludf.DUMMYFUNCTION("""COMPUTED_VALUE"""),"209")</f>
        <v>209</v>
      </c>
      <c r="AQ195" s="836"/>
      <c r="AR195" s="855" t="str">
        <f>IFERROR(__xludf.DUMMYFUNCTION("""COMPUTED_VALUE"""),"67M:82F")</f>
        <v>67M:82F</v>
      </c>
      <c r="AS195" s="836">
        <f>IFERROR(__xludf.DUMMYFUNCTION("""COMPUTED_VALUE"""),1994.0)</f>
        <v>1994</v>
      </c>
      <c r="AT195" s="836" t="str">
        <f>IFERROR(__xludf.DUMMYFUNCTION("""COMPUTED_VALUE"""),"The following day each child was physically examined by the MA for exclusion criteria, which were 1) consent not given; 2) fever or other signs of acute illness; 3) severe neurological disorders; 4) severe liver disorders; and 5) pregnancy. ")</f>
        <v>The following day each child was physically examined by the MA for exclusion criteria, which were 1) consent not given; 2) fever or other signs of acute illness; 3) severe neurological disorders; 4) severe liver disorders; and 5) pregnancy. </v>
      </c>
      <c r="AU195" s="836" t="str">
        <f>IFERROR(__xludf.DUMMYFUNCTION("""COMPUTED_VALUE"""),"Yes")</f>
        <v>Yes</v>
      </c>
      <c r="AV195" s="836" t="str">
        <f>IFERROR(__xludf.DUMMYFUNCTION("""COMPUTED_VALUE"""),"No")</f>
        <v>No</v>
      </c>
      <c r="AW195" s="836" t="str">
        <f>IFERROR(__xludf.DUMMYFUNCTION("""COMPUTED_VALUE"""),"No")</f>
        <v>No</v>
      </c>
      <c r="AX195" s="841">
        <f>IFERROR(__xludf.DUMMYFUNCTION("""COMPUTED_VALUE"""),0.426)</f>
        <v>0.426</v>
      </c>
      <c r="AY195" s="836"/>
      <c r="AZ195" s="836"/>
      <c r="BA195" s="836"/>
      <c r="BB195" s="836"/>
      <c r="BC195" s="836"/>
      <c r="BD195" s="836"/>
      <c r="BE195" s="836"/>
      <c r="BF195" s="836"/>
      <c r="BG195" s="836"/>
      <c r="BH195" s="841">
        <f>IFERROR(__xludf.DUMMYFUNCTION("""COMPUTED_VALUE"""),0.698)</f>
        <v>0.698</v>
      </c>
      <c r="BI195" s="836"/>
      <c r="BJ195" s="836"/>
      <c r="BK195" s="836"/>
      <c r="BL195" s="836"/>
      <c r="BM195" s="836"/>
      <c r="BN195" s="836" t="str">
        <f>IFERROR(__xludf.DUMMYFUNCTION("""COMPUTED_VALUE"""),"The efficacy and the advantage of a single dose treatment favors ivermectin as treatment of choice for uncomplicatecd strongyloidiasis, especially given the low frequency of mild side effects observed. Our results open the opportunity to evaluate the impa"&amp;"ct of invermectin treatment on infection and morbidity in S/ stercoralis-infected populations, which will contribute to a better understanding of this neglected disease. ")</f>
        <v>The efficacy and the advantage of a single dose treatment favors ivermectin as treatment of choice for uncomplicatecd strongyloidiasis, especially given the low frequency of mild side effects observed. Our results open the opportunity to evaluate the impact of invermectin treatment on infection and morbidity in S/ stercoralis-infected populations, which will contribute to a better understanding of this neglected disease. </v>
      </c>
      <c r="BO195" s="836" t="str">
        <f>IFERROR(__xludf.DUMMYFUNCTION("""COMPUTED_VALUE"""),"Kato-Katz technique")</f>
        <v>Kato-Katz technique</v>
      </c>
      <c r="BP195" s="836"/>
      <c r="BQ195" s="697"/>
      <c r="BR195" s="844" t="str">
        <f>IFERROR(__xludf.DUMMYFUNCTION("""COMPUTED_VALUE"""),"Oyediran &amp; Oyejide")</f>
        <v>Oyediran &amp; Oyejide</v>
      </c>
      <c r="BS195" s="838" t="str">
        <f>IFERROR(__xludf.DUMMYFUNCTION("""COMPUTED_VALUE"""),"Nigeria ")</f>
        <v>Nigeria </v>
      </c>
      <c r="BT195" s="838" t="str">
        <f>IFERROR(__xludf.DUMMYFUNCTION("""COMPUTED_VALUE"""),"Albendazole")</f>
        <v>Albendazole</v>
      </c>
      <c r="BU195" s="838"/>
      <c r="BV195" s="838" t="str">
        <f>IFERROR(__xludf.DUMMYFUNCTION("""COMPUTED_VALUE"""),"Single")</f>
        <v>Single</v>
      </c>
      <c r="BW195" s="838" t="str">
        <f>IFERROR(__xludf.DUMMYFUNCTION("""COMPUTED_VALUE"""),"400 mg")</f>
        <v>400 mg</v>
      </c>
      <c r="BX195" s="838">
        <f>IFERROR(__xludf.DUMMYFUNCTION("""COMPUTED_VALUE"""),30.0)</f>
        <v>30</v>
      </c>
      <c r="BY195" s="845">
        <f>IFERROR(__xludf.DUMMYFUNCTION("""COMPUTED_VALUE"""),42630.0)</f>
        <v>42630</v>
      </c>
      <c r="BZ195" s="838"/>
      <c r="CA195" s="838" t="str">
        <f>IFERROR(__xludf.DUMMYFUNCTION("""COMPUTED_VALUE"""),"20 M; 10 F")</f>
        <v>20 M; 10 F</v>
      </c>
      <c r="CB195" s="838" t="str">
        <f>IFERROR(__xludf.DUMMYFUNCTION("""COMPUTED_VALUE"""),"The children recruited into this study were those who had not had anthelmintic treatment in the 2 weeks preceding the trial, those who were not on any regular medication, who were clinically well and who had no history of epilepsy and fainting.")</f>
        <v>The children recruited into this study were those who had not had anthelmintic treatment in the 2 weeks preceding the trial, those who were not on any regular medication, who were clinically well and who had no history of epilepsy and fainting.</v>
      </c>
      <c r="CC195" s="838" t="str">
        <f>IFERROR(__xludf.DUMMYFUNCTION("""COMPUTED_VALUE"""),"Yes")</f>
        <v>Yes</v>
      </c>
      <c r="CD195" s="847">
        <f>IFERROR(__xludf.DUMMYFUNCTION("""COMPUTED_VALUE"""),0.852)</f>
        <v>0.852</v>
      </c>
      <c r="CE195" s="838" t="str">
        <f>IFERROR(__xludf.DUMMYFUNCTION("""COMPUTED_VALUE"""),"Yes")</f>
        <v>Yes</v>
      </c>
      <c r="CF195" s="838"/>
      <c r="CG195" s="838"/>
      <c r="CH195" s="838"/>
      <c r="CI195" s="838"/>
      <c r="CJ195" s="838"/>
      <c r="CK195" s="838"/>
      <c r="CL195" s="838"/>
      <c r="CM195" s="847">
        <f>IFERROR(__xludf.DUMMYFUNCTION("""COMPUTED_VALUE"""),0.996)</f>
        <v>0.996</v>
      </c>
      <c r="CN195" s="838"/>
      <c r="CO195" s="838"/>
      <c r="CP195" s="838"/>
      <c r="CQ195" s="838"/>
      <c r="CR195" s="838"/>
      <c r="CS195" s="838"/>
      <c r="CT195" s="838" t="str">
        <f>IFERROR(__xludf.DUMMYFUNCTION("""COMPUTED_VALUE"""),"direct fecal examination; examination after stool concentration; Kato-Katz method")</f>
        <v>direct fecal examination; examination after stool concentration; Kato-Katz method</v>
      </c>
      <c r="CU195" s="838"/>
      <c r="CV195" s="697" t="str">
        <f>IFERROR(__xludf.DUMMYFUNCTION("""COMPUTED_VALUE"""),"Oyediran, A. B. O. O. &amp; Oyejide, C. O. ""Double-blind comparative study of a new anthelmintic, albendazole, in the treatment of intestinal helminthiasis"". Royal Society of Medicine International Congress and Symposium Series. 1982 57: 69–81.")</f>
        <v>Oyediran, A. B. O. O. &amp; Oyejide, C. O. "Double-blind comparative study of a new anthelmintic, albendazole, in the treatment of intestinal helminthiasis". Royal Society of Medicine International Congress and Symposium Series. 1982 57: 69–81.</v>
      </c>
    </row>
    <row r="196">
      <c r="A196" s="834"/>
      <c r="B196" s="834"/>
      <c r="C196" s="834"/>
      <c r="D196" s="834"/>
      <c r="E196" s="834"/>
      <c r="F196" s="834"/>
      <c r="G196" s="834"/>
      <c r="H196" s="834"/>
      <c r="I196" s="834"/>
      <c r="J196" s="834"/>
      <c r="K196" s="834"/>
      <c r="L196" s="834"/>
      <c r="M196" s="834"/>
      <c r="N196" s="834"/>
      <c r="O196" s="834"/>
      <c r="P196" s="834"/>
      <c r="Q196" s="834"/>
      <c r="R196" s="834"/>
      <c r="S196" s="834"/>
      <c r="T196" s="834"/>
      <c r="U196" s="834"/>
      <c r="V196" s="834"/>
      <c r="W196" s="834"/>
      <c r="X196" s="834"/>
      <c r="Y196" s="834"/>
      <c r="Z196" s="834"/>
      <c r="AA196" s="834"/>
      <c r="AB196" s="834"/>
      <c r="AC196" s="834"/>
      <c r="AD196" s="834"/>
      <c r="AE196" s="834"/>
      <c r="AF196" s="834"/>
      <c r="AG196" s="834"/>
      <c r="AH196" s="834"/>
      <c r="AJ196" s="843" t="str">
        <f>IFERROR(__xludf.DUMMYFUNCTION("""COMPUTED_VALUE"""),"COMPARATIVE EFFICACY OF ALBENDAZOLE AND THREE BRANDS OF MEBENDAZOLE")</f>
        <v>COMPARATIVE EFFICACY OF ALBENDAZOLE AND THREE BRANDS OF MEBENDAZOLE</v>
      </c>
      <c r="AK196" s="836" t="str">
        <f>IFERROR(__xludf.DUMMYFUNCTION("""COMPUTED_VALUE"""),"Legesse M, Erko B, Medhin G. Comparative efficacy of albendazole and three brands of mebendazole in the treatment of ascariasis and trichuriasis. East Afr Med J. 2004 Mar;81(3):134-8. doi: 10.4314/eamj.v81i3.9142. PMID: 15293971.")</f>
        <v>Legesse M, Erko B, Medhin G. Comparative efficacy of albendazole and three brands of mebendazole in the treatment of ascariasis and trichuriasis. East Afr Med J. 2004 Mar;81(3):134-8. doi: 10.4314/eamj.v81i3.9142. PMID: 15293971.</v>
      </c>
      <c r="AL196" s="836" t="str">
        <f>IFERROR(__xludf.DUMMYFUNCTION("""COMPUTED_VALUE"""),"Ethiopia ")</f>
        <v>Ethiopia </v>
      </c>
      <c r="AM196" s="836" t="str">
        <f>IFERROR(__xludf.DUMMYFUNCTION("""COMPUTED_VALUE"""),"Albendazole")</f>
        <v>Albendazole</v>
      </c>
      <c r="AN196" s="836" t="str">
        <f>IFERROR(__xludf.DUMMYFUNCTION("""COMPUTED_VALUE"""),"Single")</f>
        <v>Single</v>
      </c>
      <c r="AO196" s="836" t="str">
        <f>IFERROR(__xludf.DUMMYFUNCTION("""COMPUTED_VALUE"""),"400 mg")</f>
        <v>400 mg</v>
      </c>
      <c r="AP196" s="836">
        <f>IFERROR(__xludf.DUMMYFUNCTION("""COMPUTED_VALUE"""),130.0)</f>
        <v>130</v>
      </c>
      <c r="AQ196" s="836">
        <f>IFERROR(__xludf.DUMMYFUNCTION("""COMPUTED_VALUE"""),10.5)</f>
        <v>10.5</v>
      </c>
      <c r="AR196" s="855" t="str">
        <f>IFERROR(__xludf.DUMMYFUNCTION("""COMPUTED_VALUE"""),"55M:75F")</f>
        <v>55M:75F</v>
      </c>
      <c r="AS196" s="836">
        <f>IFERROR(__xludf.DUMMYFUNCTION("""COMPUTED_VALUE"""),2003.0)</f>
        <v>2003</v>
      </c>
      <c r="AT196" s="836" t="str">
        <f>IFERROR(__xludf.DUMMYFUNCTION("""COMPUTED_VALUE"""),"A cross-sectional parasitological survey was conducted in two schools (Shesha Kekel and Wondo Wosha) to identify positive subjects to be randomised into four treatment arms. In the survey, stool specimens were collected from 730 children (387 males and 34"&amp;"3 females) age ranged from six to nineteen years. After examining the stool specimens all subjects positive for Ascaris lumbricoides and/ or Trichuris trichiura infections were randomised into four groups")</f>
        <v>A cross-sectional parasitological survey was conducted in two schools (Shesha Kekel and Wondo Wosha) to identify positive subjects to be randomised into four treatment arms. In the survey, stool specimens were collected from 730 children (387 males and 343 females) age ranged from six to nineteen years. After examining the stool specimens all subjects positive for Ascaris lumbricoides and/ or Trichuris trichiura infections were randomised into four groups</v>
      </c>
      <c r="AU196" s="836" t="str">
        <f>IFERROR(__xludf.DUMMYFUNCTION("""COMPUTED_VALUE"""),"Yes")</f>
        <v>Yes</v>
      </c>
      <c r="AV196" s="836" t="str">
        <f>IFERROR(__xludf.DUMMYFUNCTION("""COMPUTED_VALUE"""),"No")</f>
        <v>No</v>
      </c>
      <c r="AW196" s="836" t="str">
        <f>IFERROR(__xludf.DUMMYFUNCTION("""COMPUTED_VALUE"""),"No")</f>
        <v>No</v>
      </c>
      <c r="AX196" s="841">
        <f>IFERROR(__xludf.DUMMYFUNCTION("""COMPUTED_VALUE"""),0.171)</f>
        <v>0.171</v>
      </c>
      <c r="AY196" s="836"/>
      <c r="AZ196" s="841">
        <f>IFERROR(__xludf.DUMMYFUNCTION("""COMPUTED_VALUE"""),0.171)</f>
        <v>0.171</v>
      </c>
      <c r="BA196" s="836"/>
      <c r="BB196" s="836"/>
      <c r="BC196" s="836"/>
      <c r="BD196" s="836"/>
      <c r="BE196" s="836"/>
      <c r="BF196" s="836"/>
      <c r="BG196" s="836"/>
      <c r="BH196" s="841">
        <f>IFERROR(__xludf.DUMMYFUNCTION("""COMPUTED_VALUE"""),0.885)</f>
        <v>0.885</v>
      </c>
      <c r="BI196" s="836"/>
      <c r="BJ196" s="836"/>
      <c r="BK196" s="836"/>
      <c r="BL196" s="836"/>
      <c r="BM196" s="836"/>
      <c r="BN196" s="836" t="str">
        <f>IFERROR(__xludf.DUMMYFUNCTION("""COMPUTED_VALUE"""),"In conclusion, the present study provides useful information on the comparative efficacy of albendazole and mebendazole from three brands in the treatment of ascariasis and trichuriasis. Nevertheless, the comparative efficacy of these drugs was not assess"&amp;"ed against hookworm infection. In areas of single or mixed infections with Trichuris trichiura and Ascaris lumbricoides are common public health problems and where laboratory facilities are not available to make parasite identification, mebendazole (parti"&amp;"cularly, vermox a product of Janssen laboratory) would be the drug of choice to treat trichuriasis and ascariasis. In areas where")</f>
        <v>In conclusion, the present study provides useful information on the comparative efficacy of albendazole and mebendazole from three brands in the treatment of ascariasis and trichuriasis. Nevertheless, the comparative efficacy of these drugs was not assessed against hookworm infection. In areas of single or mixed infections with Trichuris trichiura and Ascaris lumbricoides are common public health problems and where laboratory facilities are not available to make parasite identification, mebendazole (particularly, vermox a product of Janssen laboratory) would be the drug of choice to treat trichuriasis and ascariasis. In areas where</v>
      </c>
      <c r="BO196" s="836" t="str">
        <f>IFERROR(__xludf.DUMMYFUNCTION("""COMPUTED_VALUE"""),"Kato-Katz technique")</f>
        <v>Kato-Katz technique</v>
      </c>
      <c r="BP196" s="836"/>
      <c r="BQ196" s="697"/>
      <c r="BR196" s="844" t="str">
        <f>IFERROR(__xludf.DUMMYFUNCTION("""COMPUTED_VALUE"""),"Oyediran &amp; Oyejide")</f>
        <v>Oyediran &amp; Oyejide</v>
      </c>
      <c r="BS196" s="838" t="str">
        <f>IFERROR(__xludf.DUMMYFUNCTION("""COMPUTED_VALUE"""),"Nigeria ")</f>
        <v>Nigeria </v>
      </c>
      <c r="BT196" s="838" t="str">
        <f>IFERROR(__xludf.DUMMYFUNCTION("""COMPUTED_VALUE"""),"Placebo")</f>
        <v>Placebo</v>
      </c>
      <c r="BU196" s="838"/>
      <c r="BV196" s="838"/>
      <c r="BW196" s="838"/>
      <c r="BX196" s="838">
        <f>IFERROR(__xludf.DUMMYFUNCTION("""COMPUTED_VALUE"""),24.0)</f>
        <v>24</v>
      </c>
      <c r="BY196" s="845">
        <f>IFERROR(__xludf.DUMMYFUNCTION("""COMPUTED_VALUE"""),42598.0)</f>
        <v>42598</v>
      </c>
      <c r="BZ196" s="838"/>
      <c r="CA196" s="838" t="str">
        <f>IFERROR(__xludf.DUMMYFUNCTION("""COMPUTED_VALUE"""),"21 M; 9 F")</f>
        <v>21 M; 9 F</v>
      </c>
      <c r="CB196" s="838" t="str">
        <f>IFERROR(__xludf.DUMMYFUNCTION("""COMPUTED_VALUE"""),"The children recruited into this study were those who had not had anthelmintic treatment in the 2 weeks preceding the trial, those who were not on any regular medication, who were clinically well and who had no history of epilepsy and fainting.")</f>
        <v>The children recruited into this study were those who had not had anthelmintic treatment in the 2 weeks preceding the trial, those who were not on any regular medication, who were clinically well and who had no history of epilepsy and fainting.</v>
      </c>
      <c r="CC196" s="838" t="str">
        <f>IFERROR(__xludf.DUMMYFUNCTION("""COMPUTED_VALUE"""),"Yes")</f>
        <v>Yes</v>
      </c>
      <c r="CD196" s="847">
        <f>IFERROR(__xludf.DUMMYFUNCTION("""COMPUTED_VALUE"""),0.083)</f>
        <v>0.083</v>
      </c>
      <c r="CE196" s="838" t="str">
        <f>IFERROR(__xludf.DUMMYFUNCTION("""COMPUTED_VALUE"""),"Yes")</f>
        <v>Yes</v>
      </c>
      <c r="CF196" s="838"/>
      <c r="CG196" s="838"/>
      <c r="CH196" s="838"/>
      <c r="CI196" s="838"/>
      <c r="CJ196" s="838"/>
      <c r="CK196" s="838"/>
      <c r="CL196" s="838"/>
      <c r="CM196" s="838"/>
      <c r="CN196" s="838"/>
      <c r="CO196" s="838"/>
      <c r="CP196" s="838"/>
      <c r="CQ196" s="838"/>
      <c r="CR196" s="838"/>
      <c r="CS196" s="838"/>
      <c r="CT196" s="838" t="str">
        <f>IFERROR(__xludf.DUMMYFUNCTION("""COMPUTED_VALUE"""),"direct fecal examination; examination after stool concentration; Kato-Katz method")</f>
        <v>direct fecal examination; examination after stool concentration; Kato-Katz method</v>
      </c>
      <c r="CU196" s="838"/>
      <c r="CV196" s="697" t="str">
        <f>IFERROR(__xludf.DUMMYFUNCTION("""COMPUTED_VALUE"""),"Oyediran, A. B. O. O. &amp; Oyejide, C. O. ""Double-blind comparative study of a new anthelmintic, albendazole, in the treatment of intestinal helminthiasis"". Royal Society of Medicine International Congress and Symposium Series. 1982 57: 69–81.")</f>
        <v>Oyediran, A. B. O. O. &amp; Oyejide, C. O. "Double-blind comparative study of a new anthelmintic, albendazole, in the treatment of intestinal helminthiasis". Royal Society of Medicine International Congress and Symposium Series. 1982 57: 69–81.</v>
      </c>
    </row>
    <row r="197">
      <c r="A197" s="834"/>
      <c r="B197" s="834"/>
      <c r="C197" s="834"/>
      <c r="D197" s="834"/>
      <c r="E197" s="834"/>
      <c r="F197" s="834"/>
      <c r="G197" s="834"/>
      <c r="H197" s="834"/>
      <c r="I197" s="834"/>
      <c r="J197" s="834"/>
      <c r="K197" s="834"/>
      <c r="L197" s="834"/>
      <c r="M197" s="834"/>
      <c r="N197" s="834"/>
      <c r="O197" s="834"/>
      <c r="P197" s="834"/>
      <c r="Q197" s="834"/>
      <c r="R197" s="834"/>
      <c r="S197" s="834"/>
      <c r="T197" s="834"/>
      <c r="U197" s="834"/>
      <c r="V197" s="834"/>
      <c r="W197" s="834"/>
      <c r="X197" s="834"/>
      <c r="Y197" s="834"/>
      <c r="Z197" s="834"/>
      <c r="AA197" s="834"/>
      <c r="AB197" s="834"/>
      <c r="AC197" s="834"/>
      <c r="AD197" s="834"/>
      <c r="AE197" s="834"/>
      <c r="AF197" s="834"/>
      <c r="AG197" s="834"/>
      <c r="AH197" s="834"/>
      <c r="AJ197" s="843" t="str">
        <f>IFERROR(__xludf.DUMMYFUNCTION("""COMPUTED_VALUE"""),"COMPARATIVE EFFICACY OF ALBENDAZOLE AND THREE BRANDS OF MEBENDAZOLE")</f>
        <v>COMPARATIVE EFFICACY OF ALBENDAZOLE AND THREE BRANDS OF MEBENDAZOLE</v>
      </c>
      <c r="AK197" s="836" t="str">
        <f>IFERROR(__xludf.DUMMYFUNCTION("""COMPUTED_VALUE"""),"Legesse M, Erko B, Medhin G. Comparative efficacy of albendazole and three brands of mebendazole in the treatment of ascariasis and trichuriasis. East Afr Med J. 2004 Mar;81(3):134-8. doi: 10.4314/eamj.v81i3.9142. PMID: 15293971.")</f>
        <v>Legesse M, Erko B, Medhin G. Comparative efficacy of albendazole and three brands of mebendazole in the treatment of ascariasis and trichuriasis. East Afr Med J. 2004 Mar;81(3):134-8. doi: 10.4314/eamj.v81i3.9142. PMID: 15293971.</v>
      </c>
      <c r="AL197" s="836" t="str">
        <f>IFERROR(__xludf.DUMMYFUNCTION("""COMPUTED_VALUE"""),"Ethiopia ")</f>
        <v>Ethiopia </v>
      </c>
      <c r="AM197" s="836" t="str">
        <f>IFERROR(__xludf.DUMMYFUNCTION("""COMPUTED_VALUE"""),"Mebendazole")</f>
        <v>Mebendazole</v>
      </c>
      <c r="AN197" s="836" t="str">
        <f>IFERROR(__xludf.DUMMYFUNCTION("""COMPUTED_VALUE"""),"Multiple Dose: 6")</f>
        <v>Multiple Dose: 6</v>
      </c>
      <c r="AO197" s="836" t="str">
        <f>IFERROR(__xludf.DUMMYFUNCTION("""COMPUTED_VALUE"""),"100 mg")</f>
        <v>100 mg</v>
      </c>
      <c r="AP197" s="836">
        <f>IFERROR(__xludf.DUMMYFUNCTION("""COMPUTED_VALUE"""),143.0)</f>
        <v>143</v>
      </c>
      <c r="AQ197" s="836">
        <f>IFERROR(__xludf.DUMMYFUNCTION("""COMPUTED_VALUE"""),10.1)</f>
        <v>10.1</v>
      </c>
      <c r="AR197" s="855" t="str">
        <f>IFERROR(__xludf.DUMMYFUNCTION("""COMPUTED_VALUE"""),"53M:90F")</f>
        <v>53M:90F</v>
      </c>
      <c r="AS197" s="836">
        <f>IFERROR(__xludf.DUMMYFUNCTION("""COMPUTED_VALUE"""),2003.0)</f>
        <v>2003</v>
      </c>
      <c r="AT197" s="836" t="str">
        <f>IFERROR(__xludf.DUMMYFUNCTION("""COMPUTED_VALUE"""),"A cross-sectional parasitological survey was conducted in two schools (Shesha Kekel and Wondo Wosha) to identify positive subjects to be randomised into four treatment arms. In the survey, stool specimens were collected from 730 children (387 males and 34"&amp;"3 females) age ranged from six to nineteen years. After examining the stool specimens all subjects positive for Ascaris lumbricoides and/ or Trichuris trichiura infections were randomised into four groups")</f>
        <v>A cross-sectional parasitological survey was conducted in two schools (Shesha Kekel and Wondo Wosha) to identify positive subjects to be randomised into four treatment arms. In the survey, stool specimens were collected from 730 children (387 males and 343 females) age ranged from six to nineteen years. After examining the stool specimens all subjects positive for Ascaris lumbricoides and/ or Trichuris trichiura infections were randomised into four groups</v>
      </c>
      <c r="AU197" s="836" t="str">
        <f>IFERROR(__xludf.DUMMYFUNCTION("""COMPUTED_VALUE"""),"Yes")</f>
        <v>Yes</v>
      </c>
      <c r="AV197" s="836" t="str">
        <f>IFERROR(__xludf.DUMMYFUNCTION("""COMPUTED_VALUE"""),"No")</f>
        <v>No</v>
      </c>
      <c r="AW197" s="836" t="str">
        <f>IFERROR(__xludf.DUMMYFUNCTION("""COMPUTED_VALUE"""),"No")</f>
        <v>No</v>
      </c>
      <c r="AX197" s="841">
        <f>IFERROR(__xludf.DUMMYFUNCTION("""COMPUTED_VALUE"""),0.279)</f>
        <v>0.279</v>
      </c>
      <c r="AY197" s="836"/>
      <c r="AZ197" s="841">
        <f>IFERROR(__xludf.DUMMYFUNCTION("""COMPUTED_VALUE"""),0.279)</f>
        <v>0.279</v>
      </c>
      <c r="BA197" s="836"/>
      <c r="BB197" s="836"/>
      <c r="BC197" s="836"/>
      <c r="BD197" s="836"/>
      <c r="BE197" s="836"/>
      <c r="BF197" s="836"/>
      <c r="BG197" s="836"/>
      <c r="BH197" s="841">
        <f>IFERROR(__xludf.DUMMYFUNCTION("""COMPUTED_VALUE"""),0.965)</f>
        <v>0.965</v>
      </c>
      <c r="BI197" s="836"/>
      <c r="BJ197" s="836"/>
      <c r="BK197" s="836"/>
      <c r="BL197" s="836"/>
      <c r="BM197" s="836"/>
      <c r="BN197" s="836" t="str">
        <f>IFERROR(__xludf.DUMMYFUNCTION("""COMPUTED_VALUE"""),"In conclusion, the present study provides useful information on the comparative efficacy of albendazole and mebendazole from three brands in the treatment of ascariasis and trichuriasis. Nevertheless, the comparative efficacy of these drugs was not assess"&amp;"ed against hookworm infection. In areas of single or mixed infections with Trichuris trichiura and Ascaris lumbricoides are common public health problems and where laboratory facilities are not available to make parasite identification, mebendazole (parti"&amp;"cularly, vermox a product of Janssen laboratory) would be the drug of choice to treat trichuriasis and ascariasis. In areas where")</f>
        <v>In conclusion, the present study provides useful information on the comparative efficacy of albendazole and mebendazole from three brands in the treatment of ascariasis and trichuriasis. Nevertheless, the comparative efficacy of these drugs was not assessed against hookworm infection. In areas of single or mixed infections with Trichuris trichiura and Ascaris lumbricoides are common public health problems and where laboratory facilities are not available to make parasite identification, mebendazole (particularly, vermox a product of Janssen laboratory) would be the drug of choice to treat trichuriasis and ascariasis. In areas where</v>
      </c>
      <c r="BO197" s="836" t="str">
        <f>IFERROR(__xludf.DUMMYFUNCTION("""COMPUTED_VALUE"""),"Kato-Katz technique")</f>
        <v>Kato-Katz technique</v>
      </c>
      <c r="BP197" s="836"/>
      <c r="BQ197" s="697"/>
      <c r="BR197" s="844" t="str">
        <f>IFERROR(__xludf.DUMMYFUNCTION("""COMPUTED_VALUE"""),"Chien et al.")</f>
        <v>Chien et al.</v>
      </c>
      <c r="BS197" s="838"/>
      <c r="BT197" s="838" t="str">
        <f>IFERROR(__xludf.DUMMYFUNCTION("""COMPUTED_VALUE"""),"Albendazole")</f>
        <v>Albendazole</v>
      </c>
      <c r="BU197" s="838"/>
      <c r="BV197" s="838" t="str">
        <f>IFERROR(__xludf.DUMMYFUNCTION("""COMPUTED_VALUE"""),"Single")</f>
        <v>Single</v>
      </c>
      <c r="BW197" s="838" t="str">
        <f>IFERROR(__xludf.DUMMYFUNCTION("""COMPUTED_VALUE"""),"400 mg")</f>
        <v>400 mg</v>
      </c>
      <c r="BX197" s="838">
        <f>IFERROR(__xludf.DUMMYFUNCTION("""COMPUTED_VALUE"""),41.0)</f>
        <v>41</v>
      </c>
      <c r="BY197" s="845">
        <f>IFERROR(__xludf.DUMMYFUNCTION("""COMPUTED_VALUE"""),42591.0)</f>
        <v>42591</v>
      </c>
      <c r="BZ197" s="838"/>
      <c r="CA197" s="838" t="str">
        <f>IFERROR(__xludf.DUMMYFUNCTION("""COMPUTED_VALUE"""),"MF")</f>
        <v>MF</v>
      </c>
      <c r="CB197" s="838"/>
      <c r="CC197" s="838" t="str">
        <f>IFERROR(__xludf.DUMMYFUNCTION("""COMPUTED_VALUE"""),"Yes")</f>
        <v>Yes</v>
      </c>
      <c r="CD197" s="847">
        <f>IFERROR(__xludf.DUMMYFUNCTION("""COMPUTED_VALUE"""),0.902)</f>
        <v>0.902</v>
      </c>
      <c r="CE197" s="838" t="str">
        <f>IFERROR(__xludf.DUMMYFUNCTION("""COMPUTED_VALUE"""),"Yes")</f>
        <v>Yes</v>
      </c>
      <c r="CF197" s="838"/>
      <c r="CG197" s="838"/>
      <c r="CH197" s="838"/>
      <c r="CI197" s="838"/>
      <c r="CJ197" s="838"/>
      <c r="CK197" s="847">
        <f>IFERROR(__xludf.DUMMYFUNCTION("""COMPUTED_VALUE"""),0.902)</f>
        <v>0.902</v>
      </c>
      <c r="CL197" s="838"/>
      <c r="CM197" s="838"/>
      <c r="CN197" s="838"/>
      <c r="CO197" s="847">
        <f>IFERROR(__xludf.DUMMYFUNCTION("""COMPUTED_VALUE"""),0.865)</f>
        <v>0.865</v>
      </c>
      <c r="CP197" s="838"/>
      <c r="CQ197" s="838"/>
      <c r="CR197" s="838"/>
      <c r="CS197" s="838"/>
      <c r="CT197" s="838"/>
      <c r="CU197" s="838"/>
      <c r="CV197" s="697" t="str">
        <f>IFERROR(__xludf.DUMMYFUNCTION("""COMPUTED_VALUE"""),"Chien, F.L.; Foon, K.L.P.; Hassan, K. ""Efficacy of albendazole against the three common soil-transmitted helminthiases."" Tropical Biomedicine. 1989 6(2): 133-136.")</f>
        <v>Chien, F.L.; Foon, K.L.P.; Hassan, K. "Efficacy of albendazole against the three common soil-transmitted helminthiases." Tropical Biomedicine. 1989 6(2): 133-136.</v>
      </c>
    </row>
    <row r="198">
      <c r="A198" s="834"/>
      <c r="B198" s="834"/>
      <c r="C198" s="834"/>
      <c r="D198" s="834"/>
      <c r="E198" s="834"/>
      <c r="F198" s="834"/>
      <c r="G198" s="834"/>
      <c r="H198" s="834"/>
      <c r="I198" s="834"/>
      <c r="J198" s="834"/>
      <c r="K198" s="834"/>
      <c r="L198" s="834"/>
      <c r="M198" s="834"/>
      <c r="N198" s="834"/>
      <c r="O198" s="834"/>
      <c r="P198" s="834"/>
      <c r="Q198" s="834"/>
      <c r="R198" s="834"/>
      <c r="S198" s="834"/>
      <c r="T198" s="834"/>
      <c r="U198" s="834"/>
      <c r="V198" s="834"/>
      <c r="W198" s="834"/>
      <c r="X198" s="834"/>
      <c r="Y198" s="834"/>
      <c r="Z198" s="834"/>
      <c r="AA198" s="834"/>
      <c r="AB198" s="834"/>
      <c r="AC198" s="834"/>
      <c r="AD198" s="834"/>
      <c r="AE198" s="834"/>
      <c r="AF198" s="834"/>
      <c r="AG198" s="834"/>
      <c r="AH198" s="834"/>
      <c r="AJ198" s="843" t="str">
        <f>IFERROR(__xludf.DUMMYFUNCTION("""COMPUTED_VALUE"""),"COMPARATIVE EFFICACY OF ALBENDAZOLE AND THREE BRANDS OF MEBENDAZOLE")</f>
        <v>COMPARATIVE EFFICACY OF ALBENDAZOLE AND THREE BRANDS OF MEBENDAZOLE</v>
      </c>
      <c r="AK198" s="836" t="str">
        <f>IFERROR(__xludf.DUMMYFUNCTION("""COMPUTED_VALUE"""),"Legesse M, Erko B, Medhin G. Comparative efficacy of albendazole and three brands of mebendazole in the treatment of ascariasis and trichuriasis. East Afr Med J. 2004 Mar;81(3):134-8. doi: 10.4314/eamj.v81i3.9142. PMID: 15293971.")</f>
        <v>Legesse M, Erko B, Medhin G. Comparative efficacy of albendazole and three brands of mebendazole in the treatment of ascariasis and trichuriasis. East Afr Med J. 2004 Mar;81(3):134-8. doi: 10.4314/eamj.v81i3.9142. PMID: 15293971.</v>
      </c>
      <c r="AL198" s="836" t="str">
        <f>IFERROR(__xludf.DUMMYFUNCTION("""COMPUTED_VALUE"""),"Ethiopia ")</f>
        <v>Ethiopia </v>
      </c>
      <c r="AM198" s="836" t="str">
        <f>IFERROR(__xludf.DUMMYFUNCTION("""COMPUTED_VALUE"""),"Mebendazole")</f>
        <v>Mebendazole</v>
      </c>
      <c r="AN198" s="836" t="str">
        <f>IFERROR(__xludf.DUMMYFUNCTION("""COMPUTED_VALUE"""),"Multiple Dose: 6")</f>
        <v>Multiple Dose: 6</v>
      </c>
      <c r="AO198" s="836" t="str">
        <f>IFERROR(__xludf.DUMMYFUNCTION("""COMPUTED_VALUE"""),"100 mg")</f>
        <v>100 mg</v>
      </c>
      <c r="AP198" s="836">
        <f>IFERROR(__xludf.DUMMYFUNCTION("""COMPUTED_VALUE"""),123.0)</f>
        <v>123</v>
      </c>
      <c r="AQ198" s="836">
        <f>IFERROR(__xludf.DUMMYFUNCTION("""COMPUTED_VALUE"""),10.9)</f>
        <v>10.9</v>
      </c>
      <c r="AR198" s="855" t="str">
        <f>IFERROR(__xludf.DUMMYFUNCTION("""COMPUTED_VALUE"""),"47M:76F")</f>
        <v>47M:76F</v>
      </c>
      <c r="AS198" s="836">
        <f>IFERROR(__xludf.DUMMYFUNCTION("""COMPUTED_VALUE"""),2003.0)</f>
        <v>2003</v>
      </c>
      <c r="AT198" s="836" t="str">
        <f>IFERROR(__xludf.DUMMYFUNCTION("""COMPUTED_VALUE"""),"A cross-sectional parasitological survey was conducted in two schools (Shesha Kekel and Wondo Wosha) to identify positive subjects to be randomised into four treatment arms. In the survey, stool specimens were collected from 730 children (387 males and 34"&amp;"3 females) age ranged from six to nineteen years. After examining the stool specimens all subjects positive for Ascaris lumbricoides and/ or Trichuris trichiura infections were randomised into four groups")</f>
        <v>A cross-sectional parasitological survey was conducted in two schools (Shesha Kekel and Wondo Wosha) to identify positive subjects to be randomised into four treatment arms. In the survey, stool specimens were collected from 730 children (387 males and 343 females) age ranged from six to nineteen years. After examining the stool specimens all subjects positive for Ascaris lumbricoides and/ or Trichuris trichiura infections were randomised into four groups</v>
      </c>
      <c r="AU198" s="836" t="str">
        <f>IFERROR(__xludf.DUMMYFUNCTION("""COMPUTED_VALUE"""),"Yes")</f>
        <v>Yes</v>
      </c>
      <c r="AV198" s="836" t="str">
        <f>IFERROR(__xludf.DUMMYFUNCTION("""COMPUTED_VALUE"""),"No")</f>
        <v>No</v>
      </c>
      <c r="AW198" s="836" t="str">
        <f>IFERROR(__xludf.DUMMYFUNCTION("""COMPUTED_VALUE"""),"No")</f>
        <v>No</v>
      </c>
      <c r="AX198" s="841">
        <f>IFERROR(__xludf.DUMMYFUNCTION("""COMPUTED_VALUE"""),0.535)</f>
        <v>0.535</v>
      </c>
      <c r="AY198" s="836"/>
      <c r="AZ198" s="841">
        <f>IFERROR(__xludf.DUMMYFUNCTION("""COMPUTED_VALUE"""),0.535)</f>
        <v>0.535</v>
      </c>
      <c r="BA198" s="836"/>
      <c r="BB198" s="836"/>
      <c r="BC198" s="836"/>
      <c r="BD198" s="836"/>
      <c r="BE198" s="836"/>
      <c r="BF198" s="836"/>
      <c r="BG198" s="836"/>
      <c r="BH198" s="841">
        <f>IFERROR(__xludf.DUMMYFUNCTION("""COMPUTED_VALUE"""),0.991)</f>
        <v>0.991</v>
      </c>
      <c r="BI198" s="836"/>
      <c r="BJ198" s="836"/>
      <c r="BK198" s="836"/>
      <c r="BL198" s="836"/>
      <c r="BM198" s="836"/>
      <c r="BN198" s="836" t="str">
        <f>IFERROR(__xludf.DUMMYFUNCTION("""COMPUTED_VALUE"""),"In conclusion, the present study provides useful information on the comparative efficacy of albendazole and mebendazole from three brands in the treatment of ascariasis and trichuriasis. Nevertheless, the comparative efficacy of these drugs was not assess"&amp;"ed against hookworm infection. In areas of single or mixed infections with Trichuris trichiura and Ascaris lumbricoides are common public health problems and where laboratory facilities are not available to make parasite identification, mebendazole (parti"&amp;"cularly, vermox a product of Janssen laboratory) would be the drug of choice to treat trichuriasis and ascariasis. In areas where")</f>
        <v>In conclusion, the present study provides useful information on the comparative efficacy of albendazole and mebendazole from three brands in the treatment of ascariasis and trichuriasis. Nevertheless, the comparative efficacy of these drugs was not assessed against hookworm infection. In areas of single or mixed infections with Trichuris trichiura and Ascaris lumbricoides are common public health problems and where laboratory facilities are not available to make parasite identification, mebendazole (particularly, vermox a product of Janssen laboratory) would be the drug of choice to treat trichuriasis and ascariasis. In areas where</v>
      </c>
      <c r="BO198" s="836" t="str">
        <f>IFERROR(__xludf.DUMMYFUNCTION("""COMPUTED_VALUE"""),"Kato-Katz technique")</f>
        <v>Kato-Katz technique</v>
      </c>
      <c r="BP198" s="836"/>
      <c r="BQ198" s="697"/>
      <c r="BR198" s="844" t="str">
        <f>IFERROR(__xludf.DUMMYFUNCTION("""COMPUTED_VALUE"""),"Chien et al.")</f>
        <v>Chien et al.</v>
      </c>
      <c r="BS198" s="838"/>
      <c r="BT198" s="838" t="str">
        <f>IFERROR(__xludf.DUMMYFUNCTION("""COMPUTED_VALUE"""),"Placebo")</f>
        <v>Placebo</v>
      </c>
      <c r="BU198" s="838"/>
      <c r="BV198" s="838"/>
      <c r="BW198" s="838"/>
      <c r="BX198" s="838">
        <f>IFERROR(__xludf.DUMMYFUNCTION("""COMPUTED_VALUE"""),41.0)</f>
        <v>41</v>
      </c>
      <c r="BY198" s="845">
        <f>IFERROR(__xludf.DUMMYFUNCTION("""COMPUTED_VALUE"""),42591.0)</f>
        <v>42591</v>
      </c>
      <c r="BZ198" s="838"/>
      <c r="CA198" s="838" t="str">
        <f>IFERROR(__xludf.DUMMYFUNCTION("""COMPUTED_VALUE"""),"MF")</f>
        <v>MF</v>
      </c>
      <c r="CB198" s="838"/>
      <c r="CC198" s="838" t="str">
        <f>IFERROR(__xludf.DUMMYFUNCTION("""COMPUTED_VALUE"""),"Yes")</f>
        <v>Yes</v>
      </c>
      <c r="CD198" s="847">
        <f>IFERROR(__xludf.DUMMYFUNCTION("""COMPUTED_VALUE"""),0.293)</f>
        <v>0.293</v>
      </c>
      <c r="CE198" s="838" t="str">
        <f>IFERROR(__xludf.DUMMYFUNCTION("""COMPUTED_VALUE"""),"Yes")</f>
        <v>Yes</v>
      </c>
      <c r="CF198" s="838"/>
      <c r="CG198" s="838"/>
      <c r="CH198" s="838"/>
      <c r="CI198" s="838"/>
      <c r="CJ198" s="838"/>
      <c r="CK198" s="847">
        <f>IFERROR(__xludf.DUMMYFUNCTION("""COMPUTED_VALUE"""),0.293)</f>
        <v>0.293</v>
      </c>
      <c r="CL198" s="838"/>
      <c r="CM198" s="838"/>
      <c r="CN198" s="838"/>
      <c r="CO198" s="838" t="str">
        <f>IFERROR(__xludf.DUMMYFUNCTION("""COMPUTED_VALUE"""),"increase 29.5%")</f>
        <v>increase 29.5%</v>
      </c>
      <c r="CP198" s="838"/>
      <c r="CQ198" s="838"/>
      <c r="CR198" s="838"/>
      <c r="CS198" s="838"/>
      <c r="CT198" s="838"/>
      <c r="CU198" s="838"/>
      <c r="CV198" s="697" t="str">
        <f>IFERROR(__xludf.DUMMYFUNCTION("""COMPUTED_VALUE"""),"Chien, F.L.; Foon, K.L.P.; Hassan, K. ""Efficacy of albendazole against the three common soil-transmitted helminthiases."" Tropical Biomedicine. 1989 6(2): 133-136.")</f>
        <v>Chien, F.L.; Foon, K.L.P.; Hassan, K. "Efficacy of albendazole against the three common soil-transmitted helminthiases." Tropical Biomedicine. 1989 6(2): 133-136.</v>
      </c>
    </row>
    <row r="199">
      <c r="A199" s="834"/>
      <c r="B199" s="834"/>
      <c r="C199" s="834"/>
      <c r="D199" s="834"/>
      <c r="E199" s="834"/>
      <c r="F199" s="834"/>
      <c r="G199" s="834"/>
      <c r="H199" s="834"/>
      <c r="I199" s="834"/>
      <c r="J199" s="834"/>
      <c r="K199" s="834"/>
      <c r="L199" s="834"/>
      <c r="M199" s="834"/>
      <c r="N199" s="834"/>
      <c r="O199" s="834"/>
      <c r="P199" s="834"/>
      <c r="Q199" s="834"/>
      <c r="R199" s="834"/>
      <c r="S199" s="834"/>
      <c r="T199" s="834"/>
      <c r="U199" s="834"/>
      <c r="V199" s="834"/>
      <c r="W199" s="834"/>
      <c r="X199" s="834"/>
      <c r="Y199" s="834"/>
      <c r="Z199" s="834"/>
      <c r="AA199" s="834"/>
      <c r="AB199" s="834"/>
      <c r="AC199" s="834"/>
      <c r="AD199" s="834"/>
      <c r="AE199" s="834"/>
      <c r="AF199" s="834"/>
      <c r="AG199" s="834"/>
      <c r="AH199" s="834"/>
      <c r="AJ199" s="843" t="str">
        <f>IFERROR(__xludf.DUMMYFUNCTION("""COMPUTED_VALUE"""),"COMPARATIVE EFFICACY OF ALBENDAZOLE AND THREE BRANDS OF MEBENDAZOLE")</f>
        <v>COMPARATIVE EFFICACY OF ALBENDAZOLE AND THREE BRANDS OF MEBENDAZOLE</v>
      </c>
      <c r="AK199" s="836" t="str">
        <f>IFERROR(__xludf.DUMMYFUNCTION("""COMPUTED_VALUE"""),"Legesse M, Erko B, Medhin G. Comparative efficacy of albendazole and three brands of mebendazole in the treatment of ascariasis and trichuriasis. East Afr Med J. 2004 Mar;81(3):134-8. doi: 10.4314/eamj.v81i3.9142. PMID: 15293971.")</f>
        <v>Legesse M, Erko B, Medhin G. Comparative efficacy of albendazole and three brands of mebendazole in the treatment of ascariasis and trichuriasis. East Afr Med J. 2004 Mar;81(3):134-8. doi: 10.4314/eamj.v81i3.9142. PMID: 15293971.</v>
      </c>
      <c r="AL199" s="836" t="str">
        <f>IFERROR(__xludf.DUMMYFUNCTION("""COMPUTED_VALUE"""),"Ethiopia ")</f>
        <v>Ethiopia </v>
      </c>
      <c r="AM199" s="836" t="str">
        <f>IFERROR(__xludf.DUMMYFUNCTION("""COMPUTED_VALUE"""),"Mebendazole")</f>
        <v>Mebendazole</v>
      </c>
      <c r="AN199" s="836" t="str">
        <f>IFERROR(__xludf.DUMMYFUNCTION("""COMPUTED_VALUE"""),"Multiple Dose: 6")</f>
        <v>Multiple Dose: 6</v>
      </c>
      <c r="AO199" s="836" t="str">
        <f>IFERROR(__xludf.DUMMYFUNCTION("""COMPUTED_VALUE"""),"100 mg")</f>
        <v>100 mg</v>
      </c>
      <c r="AP199" s="836">
        <f>IFERROR(__xludf.DUMMYFUNCTION("""COMPUTED_VALUE"""),138.0)</f>
        <v>138</v>
      </c>
      <c r="AQ199" s="836">
        <f>IFERROR(__xludf.DUMMYFUNCTION("""COMPUTED_VALUE"""),11.1)</f>
        <v>11.1</v>
      </c>
      <c r="AR199" s="855" t="str">
        <f>IFERROR(__xludf.DUMMYFUNCTION("""COMPUTED_VALUE"""),"54M:84F")</f>
        <v>54M:84F</v>
      </c>
      <c r="AS199" s="836">
        <f>IFERROR(__xludf.DUMMYFUNCTION("""COMPUTED_VALUE"""),2003.0)</f>
        <v>2003</v>
      </c>
      <c r="AT199" s="836" t="str">
        <f>IFERROR(__xludf.DUMMYFUNCTION("""COMPUTED_VALUE"""),"A cross-sectional parasitological survey was conducted in two schools (Shesha Kekel and Wondo Wosha) to identify positive subjects to be randomised into four treatment arms. In the survey, stool specimens were collected from 730 children (387 males and 34"&amp;"3 females) age ranged from six to nineteen years. After examining the stool specimens all subjects positive for Ascaris lumbricoides and/ or Trichuris trichiura infections were randomised into four groups")</f>
        <v>A cross-sectional parasitological survey was conducted in two schools (Shesha Kekel and Wondo Wosha) to identify positive subjects to be randomised into four treatment arms. In the survey, stool specimens were collected from 730 children (387 males and 343 females) age ranged from six to nineteen years. After examining the stool specimens all subjects positive for Ascaris lumbricoides and/ or Trichuris trichiura infections were randomised into four groups</v>
      </c>
      <c r="AU199" s="836" t="str">
        <f>IFERROR(__xludf.DUMMYFUNCTION("""COMPUTED_VALUE"""),"Yes")</f>
        <v>Yes</v>
      </c>
      <c r="AV199" s="836" t="str">
        <f>IFERROR(__xludf.DUMMYFUNCTION("""COMPUTED_VALUE"""),"No")</f>
        <v>No</v>
      </c>
      <c r="AW199" s="836" t="str">
        <f>IFERROR(__xludf.DUMMYFUNCTION("""COMPUTED_VALUE"""),"No")</f>
        <v>No</v>
      </c>
      <c r="AX199" s="841">
        <f>IFERROR(__xludf.DUMMYFUNCTION("""COMPUTED_VALUE"""),0.898)</f>
        <v>0.898</v>
      </c>
      <c r="AY199" s="836"/>
      <c r="AZ199" s="841">
        <f>IFERROR(__xludf.DUMMYFUNCTION("""COMPUTED_VALUE"""),0.898)</f>
        <v>0.898</v>
      </c>
      <c r="BA199" s="836"/>
      <c r="BB199" s="836"/>
      <c r="BC199" s="836"/>
      <c r="BD199" s="836"/>
      <c r="BE199" s="836"/>
      <c r="BF199" s="836"/>
      <c r="BG199" s="836"/>
      <c r="BH199" s="841">
        <f>IFERROR(__xludf.DUMMYFUNCTION("""COMPUTED_VALUE"""),0.531)</f>
        <v>0.531</v>
      </c>
      <c r="BI199" s="836"/>
      <c r="BJ199" s="836"/>
      <c r="BK199" s="836"/>
      <c r="BL199" s="836"/>
      <c r="BM199" s="836"/>
      <c r="BN199" s="836" t="str">
        <f>IFERROR(__xludf.DUMMYFUNCTION("""COMPUTED_VALUE"""),"In conclusion, the present study provides useful information on the comparative efficacy of albendazole and mebendazole from three brands in the treatment of ascariasis and trichuriasis. Nevertheless, the comparative efficacy of these drugs was not assess"&amp;"ed against hookworm infection. In areas of single or mixed infections with Trichuris trichiura and Ascaris lumbricoides are common public health problems and where laboratory facilities are not available to make parasite identification, mebendazole (parti"&amp;"cularly, vermox a product of Janssen laboratory) would be the drug of choice to treat trichuriasis and ascariasis. In areas where")</f>
        <v>In conclusion, the present study provides useful information on the comparative efficacy of albendazole and mebendazole from three brands in the treatment of ascariasis and trichuriasis. Nevertheless, the comparative efficacy of these drugs was not assessed against hookworm infection. In areas of single or mixed infections with Trichuris trichiura and Ascaris lumbricoides are common public health problems and where laboratory facilities are not available to make parasite identification, mebendazole (particularly, vermox a product of Janssen laboratory) would be the drug of choice to treat trichuriasis and ascariasis. In areas where</v>
      </c>
      <c r="BO199" s="836" t="str">
        <f>IFERROR(__xludf.DUMMYFUNCTION("""COMPUTED_VALUE"""),"Kato-Katz technique")</f>
        <v>Kato-Katz technique</v>
      </c>
      <c r="BP199" s="836"/>
      <c r="BQ199" s="697"/>
      <c r="BR199" s="844" t="str">
        <f>IFERROR(__xludf.DUMMYFUNCTION("""COMPUTED_VALUE"""),"Ai-Issa et al.")</f>
        <v>Ai-Issa et al.</v>
      </c>
      <c r="BS199" s="838" t="str">
        <f>IFERROR(__xludf.DUMMYFUNCTION("""COMPUTED_VALUE"""),"Iraq")</f>
        <v>Iraq</v>
      </c>
      <c r="BT199" s="838" t="str">
        <f>IFERROR(__xludf.DUMMYFUNCTION("""COMPUTED_VALUE"""),"Albendazole")</f>
        <v>Albendazole</v>
      </c>
      <c r="BU199" s="838"/>
      <c r="BV199" s="838" t="str">
        <f>IFERROR(__xludf.DUMMYFUNCTION("""COMPUTED_VALUE"""),"Single")</f>
        <v>Single</v>
      </c>
      <c r="BW199" s="838" t="str">
        <f>IFERROR(__xludf.DUMMYFUNCTION("""COMPUTED_VALUE"""),"400 mg")</f>
        <v>400 mg</v>
      </c>
      <c r="BX199" s="838">
        <f>IFERROR(__xludf.DUMMYFUNCTION("""COMPUTED_VALUE"""),21.0)</f>
        <v>21</v>
      </c>
      <c r="BY199" s="838" t="str">
        <f>IFERROR(__xludf.DUMMYFUNCTION("""COMPUTED_VALUE"""),"School children &amp; Adults")</f>
        <v>School children &amp; Adults</v>
      </c>
      <c r="BZ199" s="838">
        <f>IFERROR(__xludf.DUMMYFUNCTION("""COMPUTED_VALUE"""),1984.0)</f>
        <v>1984</v>
      </c>
      <c r="CA199" s="838" t="str">
        <f>IFERROR(__xludf.DUMMYFUNCTION("""COMPUTED_VALUE"""),"5 M; 16 F")</f>
        <v>5 M; 16 F</v>
      </c>
      <c r="CB199" s="838"/>
      <c r="CC199" s="838" t="str">
        <f>IFERROR(__xludf.DUMMYFUNCTION("""COMPUTED_VALUE"""),"No")</f>
        <v>No</v>
      </c>
      <c r="CD199" s="847">
        <f>IFERROR(__xludf.DUMMYFUNCTION("""COMPUTED_VALUE"""),0.955)</f>
        <v>0.955</v>
      </c>
      <c r="CE199" s="838" t="str">
        <f>IFERROR(__xludf.DUMMYFUNCTION("""COMPUTED_VALUE"""),"No")</f>
        <v>No</v>
      </c>
      <c r="CF199" s="847">
        <f>IFERROR(__xludf.DUMMYFUNCTION("""COMPUTED_VALUE"""),0.955)</f>
        <v>0.955</v>
      </c>
      <c r="CG199" s="838"/>
      <c r="CH199" s="838"/>
      <c r="CI199" s="838"/>
      <c r="CJ199" s="838"/>
      <c r="CK199" s="838"/>
      <c r="CL199" s="838"/>
      <c r="CM199" s="838"/>
      <c r="CN199" s="838"/>
      <c r="CO199" s="838"/>
      <c r="CP199" s="838"/>
      <c r="CQ199" s="838"/>
      <c r="CR199" s="838"/>
      <c r="CS199" s="838"/>
      <c r="CT199" s="838"/>
      <c r="CU199" s="838"/>
      <c r="CV199" s="697" t="str">
        <f>IFERROR(__xludf.DUMMYFUNCTION("""COMPUTED_VALUE"""),"Ai-Issa, T. Jafar, H.T.; Hassan, I. ""A field study in the treatment of Intestinal Helminthes by the drug Zentel"". Bulletin of endemic diseases. 1985 26(14): 81-91.")</f>
        <v>Ai-Issa, T. Jafar, H.T.; Hassan, I. "A field study in the treatment of Intestinal Helminthes by the drug Zentel". Bulletin of endemic diseases. 1985 26(14): 81-91.</v>
      </c>
    </row>
    <row r="200">
      <c r="A200" s="834"/>
      <c r="B200" s="834"/>
      <c r="C200" s="834"/>
      <c r="D200" s="834"/>
      <c r="E200" s="834"/>
      <c r="F200" s="834"/>
      <c r="G200" s="834"/>
      <c r="H200" s="834"/>
      <c r="I200" s="834"/>
      <c r="J200" s="834"/>
      <c r="K200" s="834"/>
      <c r="L200" s="834"/>
      <c r="M200" s="834"/>
      <c r="N200" s="834"/>
      <c r="O200" s="834"/>
      <c r="P200" s="834"/>
      <c r="Q200" s="834"/>
      <c r="R200" s="834"/>
      <c r="S200" s="834"/>
      <c r="T200" s="834"/>
      <c r="U200" s="834"/>
      <c r="V200" s="834"/>
      <c r="W200" s="834"/>
      <c r="X200" s="834"/>
      <c r="Y200" s="834"/>
      <c r="Z200" s="834"/>
      <c r="AA200" s="834"/>
      <c r="AB200" s="834"/>
      <c r="AC200" s="834"/>
      <c r="AD200" s="834"/>
      <c r="AE200" s="834"/>
      <c r="AF200" s="834"/>
      <c r="AG200" s="834"/>
      <c r="AH200" s="834"/>
      <c r="AJ200" s="843" t="str">
        <f>IFERROR(__xludf.DUMMYFUNCTION("""COMPUTED_VALUE"""),"Efficacy and Safety of Praziquantel, Tribendimidine and Mebendazole in Patients with Co-infection of Clonorchis sinensis and Other Helminths")</f>
        <v>Efficacy and Safety of Praziquantel, Tribendimidine and Mebendazole in Patients with Co-infection of Clonorchis sinensis and Other Helminths</v>
      </c>
      <c r="AK200" s="836" t="str">
        <f>IFERROR(__xludf.DUMMYFUNCTION("""COMPUTED_VALUE"""),"Xu LL, Jiang B, Duan JH, Zhuang SF, Liu YC, Zhu SQ, Zhang LP, Zhang HB, Xiao SH, Zhou XN. Efficacy and safety of praziquantel, tribendimidine and mebendazole in patients with co-infection of Clonorchis sinensis and other helminths. PLoS Negl Trop Dis. 201"&amp;"4 Aug 14;8(8):e3046. doi: 10.1371/journal.pntd.0003046. PMID: 25122121; PMCID: PMC4133228.")</f>
        <v>Xu LL, Jiang B, Duan JH, Zhuang SF, Liu YC, Zhu SQ, Zhang LP, Zhang HB, Xiao SH, Zhou XN. Efficacy and safety of praziquantel, tribendimidine and mebendazole in patients with co-infection of Clonorchis sinensis and other helminths. PLoS Negl Trop Dis. 2014 Aug 14;8(8):e3046. doi: 10.1371/journal.pntd.0003046. PMID: 25122121; PMCID: PMC4133228.</v>
      </c>
      <c r="AL200" s="836" t="str">
        <f>IFERROR(__xludf.DUMMYFUNCTION("""COMPUTED_VALUE"""),"China")</f>
        <v>China</v>
      </c>
      <c r="AM200" s="836" t="str">
        <f>IFERROR(__xludf.DUMMYFUNCTION("""COMPUTED_VALUE"""),"Praziquantel")</f>
        <v>Praziquantel</v>
      </c>
      <c r="AN200" s="836" t="str">
        <f>IFERROR(__xludf.DUMMYFUNCTION("""COMPUTED_VALUE"""),"Multiple Dose: 4")</f>
        <v>Multiple Dose: 4</v>
      </c>
      <c r="AO200" s="836" t="str">
        <f>IFERROR(__xludf.DUMMYFUNCTION("""COMPUTED_VALUE"""),"75 mg/kg")</f>
        <v>75 mg/kg</v>
      </c>
      <c r="AP200" s="836">
        <f>IFERROR(__xludf.DUMMYFUNCTION("""COMPUTED_VALUE"""),39.0)</f>
        <v>39</v>
      </c>
      <c r="AQ200" s="836">
        <f>IFERROR(__xludf.DUMMYFUNCTION("""COMPUTED_VALUE"""),56.1)</f>
        <v>56.1</v>
      </c>
      <c r="AR200" s="836" t="str">
        <f>IFERROR(__xludf.DUMMYFUNCTION("""COMPUTED_VALUE"""),"19M:20F")</f>
        <v>19M:20F</v>
      </c>
      <c r="AS200" s="836">
        <f>IFERROR(__xludf.DUMMYFUNCTION("""COMPUTED_VALUE"""),2012.0)</f>
        <v>2012</v>
      </c>
      <c r="AT200" s="836" t="str">
        <f>IFERROR(__xludf.DUMMYFUNCTION("""COMPUTED_VALUE"""),"Eligible for inclusion were those who were infected with more than one species of helminth and provided the written informed consent in preliminary survey, and then submitted the second stool sample before the treatment. Participants could be excluded fro"&amp;"m treatment if fulfilling any of the following exclusion criteria: who was pregnant (of the females), present of any abnormal medical disorder (i.e., fever and hepatomegaly), historical record of any acute or sever chronic disease, was psychiatric and neu"&amp;"rological disorders, and gave anthelmintic treatment within the previous 4 weeks.")</f>
        <v>Eligible for inclusion were those who were infected with more than one species of helminth and provided the written informed consent in preliminary survey, and then submitted the second stool sample before the treatment. Participants could be excluded from treatment if fulfilling any of the following exclusion criteria: who was pregnant (of the females), present of any abnormal medical disorder (i.e., fever and hepatomegaly), historical record of any acute or sever chronic disease, was psychiatric and neurological disorders, and gave anthelmintic treatment within the previous 4 weeks.</v>
      </c>
      <c r="AU200" s="836" t="str">
        <f>IFERROR(__xludf.DUMMYFUNCTION("""COMPUTED_VALUE"""),"Yes")</f>
        <v>Yes</v>
      </c>
      <c r="AV200" s="836" t="str">
        <f>IFERROR(__xludf.DUMMYFUNCTION("""COMPUTED_VALUE"""),"No")</f>
        <v>No</v>
      </c>
      <c r="AW200" s="836" t="str">
        <f>IFERROR(__xludf.DUMMYFUNCTION("""COMPUTED_VALUE"""),"No")</f>
        <v>No</v>
      </c>
      <c r="AX200" s="850">
        <f>IFERROR(__xludf.DUMMYFUNCTION("""COMPUTED_VALUE"""),0.0)</f>
        <v>0</v>
      </c>
      <c r="AY200" s="836"/>
      <c r="AZ200" s="836"/>
      <c r="BA200" s="836"/>
      <c r="BB200" s="836"/>
      <c r="BC200" s="836"/>
      <c r="BD200" s="836"/>
      <c r="BE200" s="836"/>
      <c r="BF200" s="836"/>
      <c r="BG200" s="836"/>
      <c r="BH200" s="841">
        <f>IFERROR(__xludf.DUMMYFUNCTION("""COMPUTED_VALUE"""),0.779)</f>
        <v>0.779</v>
      </c>
      <c r="BI200" s="836"/>
      <c r="BJ200" s="836"/>
      <c r="BK200" s="836"/>
      <c r="BL200" s="836"/>
      <c r="BM200" s="836"/>
      <c r="BN200" s="836" t="str">
        <f>IFERROR(__xludf.DUMMYFUNCTION("""COMPUTED_VALUE"""),"In conclusion, one single dose of 400 mg tribendimidine shows similar therapeutic profiles as praziquantel against C. sinensis in this trial. It is benefit for preventive chemotherapy of C. sinensis infections in places with high prevalence. However, larg"&amp;"e-scale clinical study is warrant to perform in order to further verify the efficacy and appraise the safety. Meanwhile, taking into account of good efficacy of tribendimidine against hookworm, it has particularly noticed that tribendimidine is a better c"&amp;"hoice to cure patients with co-infection of C. sinensis and hookworm")</f>
        <v>In conclusion, one single dose of 400 mg tribendimidine shows similar therapeutic profiles as praziquantel against C. sinensis in this trial. It is benefit for preventive chemotherapy of C. sinensis infections in places with high prevalence. However, large-scale clinical study is warrant to perform in order to further verify the efficacy and appraise the safety. Meanwhile, taking into account of good efficacy of tribendimidine against hookworm, it has particularly noticed that tribendimidine is a better choice to cure patients with co-infection of C. sinensis and hookworm</v>
      </c>
      <c r="BO200" s="836" t="str">
        <f>IFERROR(__xludf.DUMMYFUNCTION("""COMPUTED_VALUE"""),"Kato-Katz technique")</f>
        <v>Kato-Katz technique</v>
      </c>
      <c r="BP200" s="836"/>
      <c r="BQ200" s="697"/>
      <c r="BR200" s="844" t="str">
        <f>IFERROR(__xludf.DUMMYFUNCTION("""COMPUTED_VALUE"""),"Saif")</f>
        <v>Saif</v>
      </c>
      <c r="BS200" s="838" t="str">
        <f>IFERROR(__xludf.DUMMYFUNCTION("""COMPUTED_VALUE"""),"Egypt")</f>
        <v>Egypt</v>
      </c>
      <c r="BT200" s="838" t="str">
        <f>IFERROR(__xludf.DUMMYFUNCTION("""COMPUTED_VALUE"""),"Albendazole")</f>
        <v>Albendazole</v>
      </c>
      <c r="BU200" s="838"/>
      <c r="BV200" s="838" t="str">
        <f>IFERROR(__xludf.DUMMYFUNCTION("""COMPUTED_VALUE"""),"Single")</f>
        <v>Single</v>
      </c>
      <c r="BW200" s="838" t="str">
        <f>IFERROR(__xludf.DUMMYFUNCTION("""COMPUTED_VALUE"""),"400 mg")</f>
        <v>400 mg</v>
      </c>
      <c r="BX200" s="838">
        <f>IFERROR(__xludf.DUMMYFUNCTION("""COMPUTED_VALUE"""),25.0)</f>
        <v>25</v>
      </c>
      <c r="BY200" s="838"/>
      <c r="BZ200" s="838"/>
      <c r="CA200" s="838"/>
      <c r="CB200" s="838"/>
      <c r="CC200" s="838" t="str">
        <f>IFERROR(__xludf.DUMMYFUNCTION("""COMPUTED_VALUE"""),"No")</f>
        <v>No</v>
      </c>
      <c r="CD200" s="846">
        <f>IFERROR(__xludf.DUMMYFUNCTION("""COMPUTED_VALUE"""),1.0)</f>
        <v>1</v>
      </c>
      <c r="CE200" s="838" t="str">
        <f>IFERROR(__xludf.DUMMYFUNCTION("""COMPUTED_VALUE"""),"No")</f>
        <v>No</v>
      </c>
      <c r="CF200" s="838"/>
      <c r="CG200" s="846">
        <f>IFERROR(__xludf.DUMMYFUNCTION("""COMPUTED_VALUE"""),1.0)</f>
        <v>1</v>
      </c>
      <c r="CH200" s="838"/>
      <c r="CI200" s="838"/>
      <c r="CJ200" s="838"/>
      <c r="CK200" s="838"/>
      <c r="CL200" s="838"/>
      <c r="CM200" s="838"/>
      <c r="CN200" s="838"/>
      <c r="CO200" s="838"/>
      <c r="CP200" s="838"/>
      <c r="CQ200" s="838"/>
      <c r="CR200" s="838"/>
      <c r="CS200" s="838"/>
      <c r="CT200" s="838"/>
      <c r="CU200" s="838"/>
      <c r="CV200" s="697" t="str">
        <f>IFERROR(__xludf.DUMMYFUNCTION("""COMPUTED_VALUE"""),"Saif, M. ""Clinical trial in Egypt of albendazole as an intestinal anthelmintic agent"". Royal Society of Medicine International Congress and Symposium Series. 1984. 61(61): 37-43.")</f>
        <v>Saif, M. "Clinical trial in Egypt of albendazole as an intestinal anthelmintic agent". Royal Society of Medicine International Congress and Symposium Series. 1984. 61(61): 37-43.</v>
      </c>
    </row>
    <row r="201">
      <c r="A201" s="834"/>
      <c r="B201" s="834"/>
      <c r="C201" s="834"/>
      <c r="D201" s="834"/>
      <c r="E201" s="834"/>
      <c r="F201" s="834"/>
      <c r="G201" s="834"/>
      <c r="H201" s="834"/>
      <c r="I201" s="834"/>
      <c r="J201" s="834"/>
      <c r="K201" s="834"/>
      <c r="L201" s="834"/>
      <c r="M201" s="834"/>
      <c r="N201" s="834"/>
      <c r="O201" s="834"/>
      <c r="P201" s="834"/>
      <c r="Q201" s="834"/>
      <c r="R201" s="834"/>
      <c r="S201" s="834"/>
      <c r="T201" s="834"/>
      <c r="U201" s="834"/>
      <c r="V201" s="834"/>
      <c r="W201" s="834"/>
      <c r="X201" s="834"/>
      <c r="Y201" s="834"/>
      <c r="Z201" s="834"/>
      <c r="AA201" s="834"/>
      <c r="AB201" s="834"/>
      <c r="AC201" s="834"/>
      <c r="AD201" s="834"/>
      <c r="AE201" s="834"/>
      <c r="AF201" s="834"/>
      <c r="AG201" s="834"/>
      <c r="AH201" s="834"/>
      <c r="AJ201" s="836"/>
      <c r="AK201" s="836"/>
      <c r="AL201" s="836"/>
      <c r="AM201" s="836"/>
      <c r="AN201" s="836"/>
      <c r="AO201" s="836"/>
      <c r="AP201" s="836"/>
      <c r="AQ201" s="836"/>
      <c r="AR201" s="836"/>
      <c r="AS201" s="836"/>
      <c r="AT201" s="836"/>
      <c r="AU201" s="836"/>
      <c r="AV201" s="836"/>
      <c r="AW201" s="836"/>
      <c r="AX201" s="836"/>
      <c r="AY201" s="836"/>
      <c r="AZ201" s="836"/>
      <c r="BA201" s="836"/>
      <c r="BB201" s="836"/>
      <c r="BC201" s="836"/>
      <c r="BD201" s="836"/>
      <c r="BE201" s="836"/>
      <c r="BF201" s="836"/>
      <c r="BG201" s="836"/>
      <c r="BH201" s="836"/>
      <c r="BI201" s="836"/>
      <c r="BJ201" s="836"/>
      <c r="BK201" s="836"/>
      <c r="BL201" s="836"/>
      <c r="BM201" s="836"/>
      <c r="BN201" s="836"/>
      <c r="BO201" s="836"/>
      <c r="BP201" s="836"/>
      <c r="BR201" s="844" t="str">
        <f>IFERROR(__xludf.DUMMYFUNCTION("""COMPUTED_VALUE"""),"Saif")</f>
        <v>Saif</v>
      </c>
      <c r="BS201" s="838" t="str">
        <f>IFERROR(__xludf.DUMMYFUNCTION("""COMPUTED_VALUE"""),"Egypt")</f>
        <v>Egypt</v>
      </c>
      <c r="BT201" s="838" t="str">
        <f>IFERROR(__xludf.DUMMYFUNCTION("""COMPUTED_VALUE"""),"Albendazole")</f>
        <v>Albendazole</v>
      </c>
      <c r="BU201" s="838"/>
      <c r="BV201" s="838" t="str">
        <f>IFERROR(__xludf.DUMMYFUNCTION("""COMPUTED_VALUE"""),"Single ")</f>
        <v>Single </v>
      </c>
      <c r="BW201" s="838" t="str">
        <f>IFERROR(__xludf.DUMMYFUNCTION("""COMPUTED_VALUE"""),"400 mg")</f>
        <v>400 mg</v>
      </c>
      <c r="BX201" s="838">
        <f>IFERROR(__xludf.DUMMYFUNCTION("""COMPUTED_VALUE"""),57.0)</f>
        <v>57</v>
      </c>
      <c r="BY201" s="838"/>
      <c r="BZ201" s="838"/>
      <c r="CA201" s="838"/>
      <c r="CB201" s="838"/>
      <c r="CC201" s="838" t="str">
        <f>IFERROR(__xludf.DUMMYFUNCTION("""COMPUTED_VALUE"""),"No")</f>
        <v>No</v>
      </c>
      <c r="CD201" s="846">
        <f>IFERROR(__xludf.DUMMYFUNCTION("""COMPUTED_VALUE"""),0.86)</f>
        <v>0.86</v>
      </c>
      <c r="CE201" s="838" t="str">
        <f>IFERROR(__xludf.DUMMYFUNCTION("""COMPUTED_VALUE"""),"No")</f>
        <v>No</v>
      </c>
      <c r="CF201" s="838"/>
      <c r="CG201" s="846">
        <f>IFERROR(__xludf.DUMMYFUNCTION("""COMPUTED_VALUE"""),0.86)</f>
        <v>0.86</v>
      </c>
      <c r="CH201" s="838"/>
      <c r="CI201" s="838"/>
      <c r="CJ201" s="838"/>
      <c r="CK201" s="838"/>
      <c r="CL201" s="838"/>
      <c r="CM201" s="838"/>
      <c r="CN201" s="838"/>
      <c r="CO201" s="838"/>
      <c r="CP201" s="838"/>
      <c r="CQ201" s="838"/>
      <c r="CR201" s="838"/>
      <c r="CS201" s="838"/>
      <c r="CT201" s="838"/>
      <c r="CU201" s="838"/>
      <c r="CV201" s="697" t="str">
        <f>IFERROR(__xludf.DUMMYFUNCTION("""COMPUTED_VALUE"""),"Saif, M. ""Clinical trial in Egypt of albendazole as an intestinal anthelmintic agent"". Royal Society of Medicine International Congress and Symposium Series. 1984. 61(61): 37-43.")</f>
        <v>Saif, M. "Clinical trial in Egypt of albendazole as an intestinal anthelmintic agent". Royal Society of Medicine International Congress and Symposium Series. 1984. 61(61): 37-43.</v>
      </c>
    </row>
    <row r="202">
      <c r="A202" s="834"/>
      <c r="B202" s="834"/>
      <c r="C202" s="834"/>
      <c r="D202" s="834"/>
      <c r="E202" s="834"/>
      <c r="F202" s="834"/>
      <c r="G202" s="834"/>
      <c r="H202" s="834"/>
      <c r="I202" s="834"/>
      <c r="J202" s="834"/>
      <c r="K202" s="834"/>
      <c r="L202" s="834"/>
      <c r="M202" s="834"/>
      <c r="N202" s="834"/>
      <c r="O202" s="834"/>
      <c r="P202" s="834"/>
      <c r="Q202" s="834"/>
      <c r="R202" s="834"/>
      <c r="S202" s="834"/>
      <c r="T202" s="834"/>
      <c r="U202" s="834"/>
      <c r="V202" s="834"/>
      <c r="W202" s="834"/>
      <c r="X202" s="834"/>
      <c r="Y202" s="834"/>
      <c r="Z202" s="834"/>
      <c r="AA202" s="834"/>
      <c r="AB202" s="834"/>
      <c r="AC202" s="834"/>
      <c r="AD202" s="834"/>
      <c r="AE202" s="834"/>
      <c r="AF202" s="834"/>
      <c r="AG202" s="834"/>
      <c r="AH202" s="834"/>
      <c r="AJ202" s="836"/>
      <c r="AK202" s="836"/>
      <c r="AL202" s="836"/>
      <c r="AM202" s="836"/>
      <c r="AN202" s="836"/>
      <c r="AO202" s="836"/>
      <c r="AP202" s="836"/>
      <c r="AQ202" s="836"/>
      <c r="AR202" s="836"/>
      <c r="AS202" s="836"/>
      <c r="AT202" s="836"/>
      <c r="AU202" s="836"/>
      <c r="AV202" s="836"/>
      <c r="AW202" s="836"/>
      <c r="AX202" s="836"/>
      <c r="AY202" s="836"/>
      <c r="AZ202" s="836"/>
      <c r="BA202" s="836"/>
      <c r="BB202" s="836"/>
      <c r="BC202" s="836"/>
      <c r="BD202" s="836"/>
      <c r="BE202" s="836"/>
      <c r="BF202" s="836"/>
      <c r="BG202" s="836"/>
      <c r="BH202" s="836"/>
      <c r="BI202" s="836"/>
      <c r="BJ202" s="836"/>
      <c r="BK202" s="836"/>
      <c r="BL202" s="836"/>
      <c r="BM202" s="836"/>
      <c r="BN202" s="836"/>
      <c r="BO202" s="836"/>
      <c r="BP202" s="836"/>
      <c r="BR202" s="844" t="str">
        <f>IFERROR(__xludf.DUMMYFUNCTION("""COMPUTED_VALUE"""),"Saif")</f>
        <v>Saif</v>
      </c>
      <c r="BS202" s="838" t="str">
        <f>IFERROR(__xludf.DUMMYFUNCTION("""COMPUTED_VALUE"""),"Egypt")</f>
        <v>Egypt</v>
      </c>
      <c r="BT202" s="838" t="str">
        <f>IFERROR(__xludf.DUMMYFUNCTION("""COMPUTED_VALUE"""),"Albendazole")</f>
        <v>Albendazole</v>
      </c>
      <c r="BU202" s="838"/>
      <c r="BV202" s="838" t="str">
        <f>IFERROR(__xludf.DUMMYFUNCTION("""COMPUTED_VALUE"""),"Three")</f>
        <v>Three</v>
      </c>
      <c r="BW202" s="838" t="str">
        <f>IFERROR(__xludf.DUMMYFUNCTION("""COMPUTED_VALUE"""),"400 mg")</f>
        <v>400 mg</v>
      </c>
      <c r="BX202" s="838">
        <f>IFERROR(__xludf.DUMMYFUNCTION("""COMPUTED_VALUE"""),9.0)</f>
        <v>9</v>
      </c>
      <c r="BY202" s="838"/>
      <c r="BZ202" s="838"/>
      <c r="CA202" s="838"/>
      <c r="CB202" s="838"/>
      <c r="CC202" s="838" t="str">
        <f>IFERROR(__xludf.DUMMYFUNCTION("""COMPUTED_VALUE"""),"No")</f>
        <v>No</v>
      </c>
      <c r="CD202" s="846">
        <f>IFERROR(__xludf.DUMMYFUNCTION("""COMPUTED_VALUE"""),1.0)</f>
        <v>1</v>
      </c>
      <c r="CE202" s="838" t="str">
        <f>IFERROR(__xludf.DUMMYFUNCTION("""COMPUTED_VALUE"""),"No")</f>
        <v>No</v>
      </c>
      <c r="CF202" s="838"/>
      <c r="CG202" s="846">
        <f>IFERROR(__xludf.DUMMYFUNCTION("""COMPUTED_VALUE"""),1.0)</f>
        <v>1</v>
      </c>
      <c r="CH202" s="838"/>
      <c r="CI202" s="838"/>
      <c r="CJ202" s="838"/>
      <c r="CK202" s="838"/>
      <c r="CL202" s="838"/>
      <c r="CM202" s="838"/>
      <c r="CN202" s="838"/>
      <c r="CO202" s="838"/>
      <c r="CP202" s="838"/>
      <c r="CQ202" s="838"/>
      <c r="CR202" s="838"/>
      <c r="CS202" s="838"/>
      <c r="CT202" s="838"/>
      <c r="CU202" s="838"/>
      <c r="CV202" s="697" t="str">
        <f>IFERROR(__xludf.DUMMYFUNCTION("""COMPUTED_VALUE"""),"Saif, M. ""Clinical trial in Egypt of albendazole as an intestinal anthelmintic agent"". Royal Society of Medicine International Congress and Symposium Series. 1984. 61(61): 37-43.")</f>
        <v>Saif, M. "Clinical trial in Egypt of albendazole as an intestinal anthelmintic agent". Royal Society of Medicine International Congress and Symposium Series. 1984. 61(61): 37-43.</v>
      </c>
    </row>
    <row r="203">
      <c r="A203" s="834"/>
      <c r="B203" s="834"/>
      <c r="C203" s="834"/>
      <c r="D203" s="834"/>
      <c r="E203" s="834"/>
      <c r="F203" s="834"/>
      <c r="G203" s="834"/>
      <c r="H203" s="834"/>
      <c r="I203" s="834"/>
      <c r="J203" s="834"/>
      <c r="K203" s="834"/>
      <c r="L203" s="834"/>
      <c r="M203" s="834"/>
      <c r="N203" s="834"/>
      <c r="O203" s="834"/>
      <c r="P203" s="834"/>
      <c r="Q203" s="834"/>
      <c r="R203" s="834"/>
      <c r="S203" s="834"/>
      <c r="T203" s="834"/>
      <c r="U203" s="834"/>
      <c r="V203" s="834"/>
      <c r="W203" s="834"/>
      <c r="X203" s="834"/>
      <c r="Y203" s="834"/>
      <c r="Z203" s="834"/>
      <c r="AA203" s="834"/>
      <c r="AB203" s="834"/>
      <c r="AC203" s="834"/>
      <c r="AD203" s="834"/>
      <c r="AE203" s="834"/>
      <c r="AF203" s="834"/>
      <c r="AG203" s="834"/>
      <c r="AH203" s="834"/>
      <c r="AJ203" s="836"/>
      <c r="AK203" s="836"/>
      <c r="AL203" s="836"/>
      <c r="AM203" s="836"/>
      <c r="AN203" s="836"/>
      <c r="AO203" s="836"/>
      <c r="AP203" s="836"/>
      <c r="AQ203" s="836"/>
      <c r="AR203" s="836"/>
      <c r="AS203" s="836"/>
      <c r="AT203" s="836"/>
      <c r="AU203" s="836"/>
      <c r="AV203" s="836"/>
      <c r="AW203" s="836"/>
      <c r="AX203" s="836"/>
      <c r="AY203" s="836"/>
      <c r="AZ203" s="836"/>
      <c r="BA203" s="836"/>
      <c r="BB203" s="836"/>
      <c r="BC203" s="836"/>
      <c r="BD203" s="836"/>
      <c r="BE203" s="836"/>
      <c r="BF203" s="836"/>
      <c r="BG203" s="836"/>
      <c r="BH203" s="836"/>
      <c r="BI203" s="836"/>
      <c r="BJ203" s="836"/>
      <c r="BK203" s="836"/>
      <c r="BL203" s="836"/>
      <c r="BM203" s="836"/>
      <c r="BN203" s="836"/>
      <c r="BO203" s="836"/>
      <c r="BP203" s="836"/>
      <c r="BR203" s="844" t="str">
        <f>IFERROR(__xludf.DUMMYFUNCTION("""COMPUTED_VALUE"""),"Saif")</f>
        <v>Saif</v>
      </c>
      <c r="BS203" s="838" t="str">
        <f>IFERROR(__xludf.DUMMYFUNCTION("""COMPUTED_VALUE"""),"Egypt")</f>
        <v>Egypt</v>
      </c>
      <c r="BT203" s="838" t="str">
        <f>IFERROR(__xludf.DUMMYFUNCTION("""COMPUTED_VALUE"""),"Albendazole")</f>
        <v>Albendazole</v>
      </c>
      <c r="BU203" s="838"/>
      <c r="BV203" s="838" t="str">
        <f>IFERROR(__xludf.DUMMYFUNCTION("""COMPUTED_VALUE"""),"Three")</f>
        <v>Three</v>
      </c>
      <c r="BW203" s="838" t="str">
        <f>IFERROR(__xludf.DUMMYFUNCTION("""COMPUTED_VALUE"""),"400 mg")</f>
        <v>400 mg</v>
      </c>
      <c r="BX203" s="838">
        <f>IFERROR(__xludf.DUMMYFUNCTION("""COMPUTED_VALUE"""),14.0)</f>
        <v>14</v>
      </c>
      <c r="BY203" s="838"/>
      <c r="BZ203" s="838"/>
      <c r="CA203" s="838"/>
      <c r="CB203" s="838"/>
      <c r="CC203" s="838" t="str">
        <f>IFERROR(__xludf.DUMMYFUNCTION("""COMPUTED_VALUE"""),"No")</f>
        <v>No</v>
      </c>
      <c r="CD203" s="846">
        <f>IFERROR(__xludf.DUMMYFUNCTION("""COMPUTED_VALUE"""),1.0)</f>
        <v>1</v>
      </c>
      <c r="CE203" s="838" t="str">
        <f>IFERROR(__xludf.DUMMYFUNCTION("""COMPUTED_VALUE"""),"No")</f>
        <v>No</v>
      </c>
      <c r="CF203" s="838"/>
      <c r="CG203" s="846">
        <f>IFERROR(__xludf.DUMMYFUNCTION("""COMPUTED_VALUE"""),1.0)</f>
        <v>1</v>
      </c>
      <c r="CH203" s="838"/>
      <c r="CI203" s="838"/>
      <c r="CJ203" s="838"/>
      <c r="CK203" s="838"/>
      <c r="CL203" s="838"/>
      <c r="CM203" s="838"/>
      <c r="CN203" s="838"/>
      <c r="CO203" s="838"/>
      <c r="CP203" s="838"/>
      <c r="CQ203" s="838"/>
      <c r="CR203" s="838"/>
      <c r="CS203" s="838"/>
      <c r="CT203" s="838"/>
      <c r="CU203" s="838"/>
      <c r="CV203" s="697" t="str">
        <f>IFERROR(__xludf.DUMMYFUNCTION("""COMPUTED_VALUE"""),"Saif, M. ""Clinical trial in Egypt of albendazole as an intestinal anthelmintic agent"". Royal Society of Medicine International Congress and Symposium Series. 1984. 61(61): 37-43.")</f>
        <v>Saif, M. "Clinical trial in Egypt of albendazole as an intestinal anthelmintic agent". Royal Society of Medicine International Congress and Symposium Series. 1984. 61(61): 37-43.</v>
      </c>
    </row>
    <row r="204">
      <c r="A204" s="834"/>
      <c r="B204" s="834"/>
      <c r="C204" s="834"/>
      <c r="D204" s="834"/>
      <c r="E204" s="834"/>
      <c r="F204" s="834"/>
      <c r="G204" s="834"/>
      <c r="H204" s="834"/>
      <c r="I204" s="834"/>
      <c r="J204" s="834"/>
      <c r="K204" s="834"/>
      <c r="L204" s="834"/>
      <c r="M204" s="834"/>
      <c r="N204" s="834"/>
      <c r="O204" s="834"/>
      <c r="P204" s="834"/>
      <c r="Q204" s="834"/>
      <c r="R204" s="834"/>
      <c r="S204" s="834"/>
      <c r="T204" s="834"/>
      <c r="U204" s="834"/>
      <c r="V204" s="834"/>
      <c r="W204" s="834"/>
      <c r="X204" s="834"/>
      <c r="Y204" s="834"/>
      <c r="Z204" s="834"/>
      <c r="AA204" s="834"/>
      <c r="AB204" s="834"/>
      <c r="AC204" s="834"/>
      <c r="AD204" s="834"/>
      <c r="AE204" s="834"/>
      <c r="AF204" s="834"/>
      <c r="AG204" s="834"/>
      <c r="AH204" s="834"/>
      <c r="AJ204" s="836"/>
      <c r="AK204" s="836"/>
      <c r="AL204" s="836"/>
      <c r="AM204" s="836"/>
      <c r="AN204" s="836"/>
      <c r="AO204" s="836"/>
      <c r="AP204" s="836"/>
      <c r="AQ204" s="836"/>
      <c r="AR204" s="836"/>
      <c r="AS204" s="836"/>
      <c r="AT204" s="836"/>
      <c r="AU204" s="836"/>
      <c r="AV204" s="836"/>
      <c r="AW204" s="836"/>
      <c r="AX204" s="836"/>
      <c r="AY204" s="836"/>
      <c r="AZ204" s="836"/>
      <c r="BA204" s="836"/>
      <c r="BB204" s="836"/>
      <c r="BC204" s="836"/>
      <c r="BD204" s="836"/>
      <c r="BE204" s="836"/>
      <c r="BF204" s="836"/>
      <c r="BG204" s="836"/>
      <c r="BH204" s="836"/>
      <c r="BI204" s="836"/>
      <c r="BJ204" s="836"/>
      <c r="BK204" s="836"/>
      <c r="BL204" s="836"/>
      <c r="BM204" s="836"/>
      <c r="BN204" s="836"/>
      <c r="BO204" s="836"/>
      <c r="BP204" s="836"/>
      <c r="BR204" s="844" t="str">
        <f>IFERROR(__xludf.DUMMYFUNCTION("""COMPUTED_VALUE"""),"Zawde")</f>
        <v>Zawde</v>
      </c>
      <c r="BS204" s="838" t="str">
        <f>IFERROR(__xludf.DUMMYFUNCTION("""COMPUTED_VALUE"""),"Ethiopia")</f>
        <v>Ethiopia</v>
      </c>
      <c r="BT204" s="838" t="str">
        <f>IFERROR(__xludf.DUMMYFUNCTION("""COMPUTED_VALUE"""),"Albendazole")</f>
        <v>Albendazole</v>
      </c>
      <c r="BU204" s="838"/>
      <c r="BV204" s="838" t="str">
        <f>IFERROR(__xludf.DUMMYFUNCTION("""COMPUTED_VALUE"""),"Single")</f>
        <v>Single</v>
      </c>
      <c r="BW204" s="838" t="str">
        <f>IFERROR(__xludf.DUMMYFUNCTION("""COMPUTED_VALUE"""),"400 mg")</f>
        <v>400 mg</v>
      </c>
      <c r="BX204" s="838">
        <f>IFERROR(__xludf.DUMMYFUNCTION("""COMPUTED_VALUE"""),35.0)</f>
        <v>35</v>
      </c>
      <c r="BY204" s="838" t="str">
        <f>IFERROR(__xludf.DUMMYFUNCTION("""COMPUTED_VALUE"""),"9-52")</f>
        <v>9-52</v>
      </c>
      <c r="BZ204" s="838"/>
      <c r="CA204" s="838" t="str">
        <f>IFERROR(__xludf.DUMMYFUNCTION("""COMPUTED_VALUE"""),"MF")</f>
        <v>MF</v>
      </c>
      <c r="CB204" s="838"/>
      <c r="CC204" s="838" t="str">
        <f>IFERROR(__xludf.DUMMYFUNCTION("""COMPUTED_VALUE"""),"No")</f>
        <v>No</v>
      </c>
      <c r="CD204" s="846">
        <f>IFERROR(__xludf.DUMMYFUNCTION("""COMPUTED_VALUE"""),0.97)</f>
        <v>0.97</v>
      </c>
      <c r="CE204" s="838" t="str">
        <f>IFERROR(__xludf.DUMMYFUNCTION("""COMPUTED_VALUE"""),"No")</f>
        <v>No</v>
      </c>
      <c r="CF204" s="838"/>
      <c r="CG204" s="838"/>
      <c r="CH204" s="838"/>
      <c r="CI204" s="838"/>
      <c r="CJ204" s="838"/>
      <c r="CK204" s="838"/>
      <c r="CL204" s="838"/>
      <c r="CM204" s="838"/>
      <c r="CN204" s="838"/>
      <c r="CO204" s="838"/>
      <c r="CP204" s="838"/>
      <c r="CQ204" s="838"/>
      <c r="CR204" s="838"/>
      <c r="CS204" s="838"/>
      <c r="CT204" s="838"/>
      <c r="CU204" s="838"/>
      <c r="CV204" s="697" t="str">
        <f>IFERROR(__xludf.DUMMYFUNCTION("""COMPUTED_VALUE"""),"Zawde, D. ""The Treatment of Intestinal Helminthiasis with Albendazole"". Ethiop Med J. 1987 25(2): 83-86.")</f>
        <v>Zawde, D. "The Treatment of Intestinal Helminthiasis with Albendazole". Ethiop Med J. 1987 25(2): 83-86.</v>
      </c>
    </row>
    <row r="205">
      <c r="A205" s="834"/>
      <c r="B205" s="834"/>
      <c r="C205" s="834"/>
      <c r="D205" s="834"/>
      <c r="E205" s="834"/>
      <c r="F205" s="834"/>
      <c r="G205" s="834"/>
      <c r="H205" s="834"/>
      <c r="I205" s="834"/>
      <c r="J205" s="834"/>
      <c r="K205" s="834"/>
      <c r="L205" s="834"/>
      <c r="M205" s="834"/>
      <c r="N205" s="834"/>
      <c r="O205" s="834"/>
      <c r="P205" s="834"/>
      <c r="Q205" s="834"/>
      <c r="R205" s="834"/>
      <c r="S205" s="834"/>
      <c r="T205" s="834"/>
      <c r="U205" s="834"/>
      <c r="V205" s="834"/>
      <c r="W205" s="834"/>
      <c r="X205" s="834"/>
      <c r="Y205" s="834"/>
      <c r="Z205" s="834"/>
      <c r="AA205" s="834"/>
      <c r="AB205" s="834"/>
      <c r="AC205" s="834"/>
      <c r="AD205" s="834"/>
      <c r="AE205" s="834"/>
      <c r="AF205" s="834"/>
      <c r="AG205" s="834"/>
      <c r="AH205" s="834"/>
      <c r="AJ205" s="836"/>
      <c r="AK205" s="836"/>
      <c r="AL205" s="836"/>
      <c r="AM205" s="836"/>
      <c r="AN205" s="836"/>
      <c r="AO205" s="836"/>
      <c r="AP205" s="836"/>
      <c r="AQ205" s="836"/>
      <c r="AR205" s="836"/>
      <c r="AS205" s="836"/>
      <c r="AT205" s="836"/>
      <c r="AU205" s="836"/>
      <c r="AV205" s="836"/>
      <c r="AW205" s="836"/>
      <c r="AX205" s="836"/>
      <c r="AY205" s="836"/>
      <c r="AZ205" s="836"/>
      <c r="BA205" s="836"/>
      <c r="BB205" s="836"/>
      <c r="BC205" s="836"/>
      <c r="BD205" s="836"/>
      <c r="BE205" s="836"/>
      <c r="BF205" s="836"/>
      <c r="BG205" s="836"/>
      <c r="BH205" s="836"/>
      <c r="BI205" s="836"/>
      <c r="BJ205" s="836"/>
      <c r="BK205" s="836"/>
      <c r="BL205" s="836"/>
      <c r="BM205" s="836"/>
      <c r="BN205" s="836"/>
      <c r="BO205" s="836"/>
      <c r="BP205" s="836"/>
      <c r="BR205" s="844" t="str">
        <f>IFERROR(__xludf.DUMMYFUNCTION("""COMPUTED_VALUE"""),"Okelo")</f>
        <v>Okelo</v>
      </c>
      <c r="BS205" s="838" t="str">
        <f>IFERROR(__xludf.DUMMYFUNCTION("""COMPUTED_VALUE"""),"Kenya")</f>
        <v>Kenya</v>
      </c>
      <c r="BT205" s="838" t="str">
        <f>IFERROR(__xludf.DUMMYFUNCTION("""COMPUTED_VALUE"""),"Albendazole")</f>
        <v>Albendazole</v>
      </c>
      <c r="BU205" s="838"/>
      <c r="BV205" s="838" t="str">
        <f>IFERROR(__xludf.DUMMYFUNCTION("""COMPUTED_VALUE"""),"Single")</f>
        <v>Single</v>
      </c>
      <c r="BW205" s="838" t="str">
        <f>IFERROR(__xludf.DUMMYFUNCTION("""COMPUTED_VALUE"""),"400 mg")</f>
        <v>400 mg</v>
      </c>
      <c r="BX205" s="838">
        <f>IFERROR(__xludf.DUMMYFUNCTION("""COMPUTED_VALUE"""),15.0)</f>
        <v>15</v>
      </c>
      <c r="BY205" s="838" t="str">
        <f>IFERROR(__xludf.DUMMYFUNCTION("""COMPUTED_VALUE"""),"15-52")</f>
        <v>15-52</v>
      </c>
      <c r="BZ205" s="838"/>
      <c r="CA205" s="838" t="str">
        <f>IFERROR(__xludf.DUMMYFUNCTION("""COMPUTED_VALUE"""),"MF")</f>
        <v>MF</v>
      </c>
      <c r="CB205" s="838"/>
      <c r="CC205" s="838" t="str">
        <f>IFERROR(__xludf.DUMMYFUNCTION("""COMPUTED_VALUE"""),"No")</f>
        <v>No</v>
      </c>
      <c r="CD205" s="847">
        <f>IFERROR(__xludf.DUMMYFUNCTION("""COMPUTED_VALUE"""),0.913)</f>
        <v>0.913</v>
      </c>
      <c r="CE205" s="838" t="str">
        <f>IFERROR(__xludf.DUMMYFUNCTION("""COMPUTED_VALUE"""),"No")</f>
        <v>No</v>
      </c>
      <c r="CF205" s="838"/>
      <c r="CG205" s="838"/>
      <c r="CH205" s="838"/>
      <c r="CI205" s="838"/>
      <c r="CJ205" s="838"/>
      <c r="CK205" s="838"/>
      <c r="CL205" s="838"/>
      <c r="CM205" s="838"/>
      <c r="CN205" s="838"/>
      <c r="CO205" s="838"/>
      <c r="CP205" s="838"/>
      <c r="CQ205" s="838"/>
      <c r="CR205" s="838"/>
      <c r="CS205" s="838"/>
      <c r="CT205" s="838"/>
      <c r="CU205" s="838"/>
      <c r="CV205" s="697" t="str">
        <f>IFERROR(__xludf.DUMMYFUNCTION("""COMPUTED_VALUE"""),"Okelo, G.B.A. ""Open and placebo-controlled studies of albendazole in the treatment of intestinal helminthiasis"". Royal Society of Medicine International Congress and Symposium Series. 1978. 61(61): 57-62.")</f>
        <v>Okelo, G.B.A. "Open and placebo-controlled studies of albendazole in the treatment of intestinal helminthiasis". Royal Society of Medicine International Congress and Symposium Series. 1978. 61(61): 57-62.</v>
      </c>
    </row>
    <row r="206">
      <c r="A206" s="834"/>
      <c r="B206" s="834"/>
      <c r="C206" s="834"/>
      <c r="D206" s="834"/>
      <c r="E206" s="834"/>
      <c r="F206" s="834"/>
      <c r="G206" s="834"/>
      <c r="H206" s="834"/>
      <c r="I206" s="834"/>
      <c r="J206" s="834"/>
      <c r="K206" s="834"/>
      <c r="L206" s="834"/>
      <c r="M206" s="834"/>
      <c r="N206" s="834"/>
      <c r="O206" s="834"/>
      <c r="P206" s="834"/>
      <c r="Q206" s="834"/>
      <c r="R206" s="834"/>
      <c r="S206" s="834"/>
      <c r="T206" s="834"/>
      <c r="U206" s="834"/>
      <c r="V206" s="834"/>
      <c r="W206" s="834"/>
      <c r="X206" s="834"/>
      <c r="Y206" s="834"/>
      <c r="Z206" s="834"/>
      <c r="AA206" s="834"/>
      <c r="AB206" s="834"/>
      <c r="AC206" s="834"/>
      <c r="AD206" s="834"/>
      <c r="AE206" s="834"/>
      <c r="AF206" s="834"/>
      <c r="AG206" s="834"/>
      <c r="AH206" s="834"/>
      <c r="AJ206" s="836"/>
      <c r="AK206" s="836"/>
      <c r="AL206" s="836"/>
      <c r="AM206" s="836"/>
      <c r="AN206" s="836"/>
      <c r="AO206" s="836"/>
      <c r="AP206" s="836"/>
      <c r="AQ206" s="836"/>
      <c r="AR206" s="836"/>
      <c r="AS206" s="836"/>
      <c r="AT206" s="836"/>
      <c r="AU206" s="836"/>
      <c r="AV206" s="836"/>
      <c r="AW206" s="836"/>
      <c r="AX206" s="836"/>
      <c r="AY206" s="836"/>
      <c r="AZ206" s="836"/>
      <c r="BA206" s="836"/>
      <c r="BB206" s="836"/>
      <c r="BC206" s="836"/>
      <c r="BD206" s="836"/>
      <c r="BE206" s="836"/>
      <c r="BF206" s="836"/>
      <c r="BG206" s="836"/>
      <c r="BH206" s="836"/>
      <c r="BI206" s="836"/>
      <c r="BJ206" s="836"/>
      <c r="BK206" s="836"/>
      <c r="BL206" s="836"/>
      <c r="BM206" s="836"/>
      <c r="BN206" s="836"/>
      <c r="BO206" s="836"/>
      <c r="BP206" s="836"/>
      <c r="BR206" s="844" t="str">
        <f>IFERROR(__xludf.DUMMYFUNCTION("""COMPUTED_VALUE"""),"Okelo")</f>
        <v>Okelo</v>
      </c>
      <c r="BS206" s="838" t="str">
        <f>IFERROR(__xludf.DUMMYFUNCTION("""COMPUTED_VALUE"""),"Kenya")</f>
        <v>Kenya</v>
      </c>
      <c r="BT206" s="838" t="str">
        <f>IFERROR(__xludf.DUMMYFUNCTION("""COMPUTED_VALUE"""),"Albendazole")</f>
        <v>Albendazole</v>
      </c>
      <c r="BU206" s="838"/>
      <c r="BV206" s="838" t="str">
        <f>IFERROR(__xludf.DUMMYFUNCTION("""COMPUTED_VALUE"""),"Three")</f>
        <v>Three</v>
      </c>
      <c r="BW206" s="838" t="str">
        <f>IFERROR(__xludf.DUMMYFUNCTION("""COMPUTED_VALUE"""),"400 mg")</f>
        <v>400 mg</v>
      </c>
      <c r="BX206" s="838">
        <f>IFERROR(__xludf.DUMMYFUNCTION("""COMPUTED_VALUE"""),2.0)</f>
        <v>2</v>
      </c>
      <c r="BY206" s="838" t="str">
        <f>IFERROR(__xludf.DUMMYFUNCTION("""COMPUTED_VALUE"""),"15-52")</f>
        <v>15-52</v>
      </c>
      <c r="BZ206" s="838"/>
      <c r="CA206" s="838" t="str">
        <f>IFERROR(__xludf.DUMMYFUNCTION("""COMPUTED_VALUE"""),"MF")</f>
        <v>MF</v>
      </c>
      <c r="CB206" s="838"/>
      <c r="CC206" s="838" t="str">
        <f>IFERROR(__xludf.DUMMYFUNCTION("""COMPUTED_VALUE"""),"No")</f>
        <v>No</v>
      </c>
      <c r="CD206" s="846">
        <f>IFERROR(__xludf.DUMMYFUNCTION("""COMPUTED_VALUE"""),0.8)</f>
        <v>0.8</v>
      </c>
      <c r="CE206" s="838" t="str">
        <f>IFERROR(__xludf.DUMMYFUNCTION("""COMPUTED_VALUE"""),"No")</f>
        <v>No</v>
      </c>
      <c r="CF206" s="838"/>
      <c r="CG206" s="838"/>
      <c r="CH206" s="838"/>
      <c r="CI206" s="838"/>
      <c r="CJ206" s="838"/>
      <c r="CK206" s="838"/>
      <c r="CL206" s="838"/>
      <c r="CM206" s="838"/>
      <c r="CN206" s="838"/>
      <c r="CO206" s="838"/>
      <c r="CP206" s="838"/>
      <c r="CQ206" s="838"/>
      <c r="CR206" s="838"/>
      <c r="CS206" s="838"/>
      <c r="CT206" s="838"/>
      <c r="CU206" s="838"/>
      <c r="CV206" s="697" t="str">
        <f>IFERROR(__xludf.DUMMYFUNCTION("""COMPUTED_VALUE"""),"Okelo, G.B.A. ""Open and placebo-controlled studies of albendazole in the treatment of intestinal helminthiasis"". Royal Society of Medicine International Congress and Symposium Series. 1978. 61(61): 57-62.")</f>
        <v>Okelo, G.B.A. "Open and placebo-controlled studies of albendazole in the treatment of intestinal helminthiasis". Royal Society of Medicine International Congress and Symposium Series. 1978. 61(61): 57-62.</v>
      </c>
    </row>
    <row r="207">
      <c r="A207" s="834"/>
      <c r="B207" s="834"/>
      <c r="C207" s="834"/>
      <c r="D207" s="834"/>
      <c r="E207" s="834"/>
      <c r="F207" s="834"/>
      <c r="G207" s="834"/>
      <c r="H207" s="834"/>
      <c r="I207" s="834"/>
      <c r="J207" s="834"/>
      <c r="K207" s="834"/>
      <c r="L207" s="834"/>
      <c r="M207" s="834"/>
      <c r="N207" s="834"/>
      <c r="O207" s="834"/>
      <c r="P207" s="834"/>
      <c r="Q207" s="834"/>
      <c r="R207" s="834"/>
      <c r="S207" s="834"/>
      <c r="T207" s="834"/>
      <c r="U207" s="834"/>
      <c r="V207" s="834"/>
      <c r="W207" s="834"/>
      <c r="X207" s="834"/>
      <c r="Y207" s="834"/>
      <c r="Z207" s="834"/>
      <c r="AA207" s="834"/>
      <c r="AB207" s="834"/>
      <c r="AC207" s="834"/>
      <c r="AD207" s="834"/>
      <c r="AE207" s="834"/>
      <c r="AF207" s="834"/>
      <c r="AG207" s="834"/>
      <c r="AH207" s="834"/>
      <c r="AJ207" s="836"/>
      <c r="AK207" s="836"/>
      <c r="AL207" s="836"/>
      <c r="AM207" s="836"/>
      <c r="AN207" s="836"/>
      <c r="AO207" s="836"/>
      <c r="AP207" s="836"/>
      <c r="AQ207" s="836"/>
      <c r="AR207" s="836"/>
      <c r="AS207" s="836"/>
      <c r="AT207" s="836"/>
      <c r="AU207" s="836"/>
      <c r="AV207" s="836"/>
      <c r="AW207" s="836"/>
      <c r="AX207" s="836"/>
      <c r="AY207" s="836"/>
      <c r="AZ207" s="836"/>
      <c r="BA207" s="836"/>
      <c r="BB207" s="836"/>
      <c r="BC207" s="836"/>
      <c r="BD207" s="836"/>
      <c r="BE207" s="836"/>
      <c r="BF207" s="836"/>
      <c r="BG207" s="836"/>
      <c r="BH207" s="836"/>
      <c r="BI207" s="836"/>
      <c r="BJ207" s="836"/>
      <c r="BK207" s="836"/>
      <c r="BL207" s="836"/>
      <c r="BM207" s="836"/>
      <c r="BN207" s="836"/>
      <c r="BO207" s="836"/>
      <c r="BP207" s="836"/>
      <c r="BR207" s="844" t="str">
        <f>IFERROR(__xludf.DUMMYFUNCTION("""COMPUTED_VALUE"""),"Okelo")</f>
        <v>Okelo</v>
      </c>
      <c r="BS207" s="838" t="str">
        <f>IFERROR(__xludf.DUMMYFUNCTION("""COMPUTED_VALUE"""),"Kenya")</f>
        <v>Kenya</v>
      </c>
      <c r="BT207" s="838" t="str">
        <f>IFERROR(__xludf.DUMMYFUNCTION("""COMPUTED_VALUE"""),"Albendazole")</f>
        <v>Albendazole</v>
      </c>
      <c r="BU207" s="838"/>
      <c r="BV207" s="838" t="str">
        <f>IFERROR(__xludf.DUMMYFUNCTION("""COMPUTED_VALUE"""),"Single")</f>
        <v>Single</v>
      </c>
      <c r="BW207" s="838" t="str">
        <f>IFERROR(__xludf.DUMMYFUNCTION("""COMPUTED_VALUE"""),"400 mg")</f>
        <v>400 mg</v>
      </c>
      <c r="BX207" s="838">
        <f>IFERROR(__xludf.DUMMYFUNCTION("""COMPUTED_VALUE"""),6.0)</f>
        <v>6</v>
      </c>
      <c r="BY207" s="838" t="str">
        <f>IFERROR(__xludf.DUMMYFUNCTION("""COMPUTED_VALUE"""),"15-52")</f>
        <v>15-52</v>
      </c>
      <c r="BZ207" s="838"/>
      <c r="CA207" s="838" t="str">
        <f>IFERROR(__xludf.DUMMYFUNCTION("""COMPUTED_VALUE"""),"MF")</f>
        <v>MF</v>
      </c>
      <c r="CB207" s="838"/>
      <c r="CC207" s="838" t="str">
        <f>IFERROR(__xludf.DUMMYFUNCTION("""COMPUTED_VALUE"""),"Yes")</f>
        <v>Yes</v>
      </c>
      <c r="CD207" s="847">
        <f>IFERROR(__xludf.DUMMYFUNCTION("""COMPUTED_VALUE"""),0.8667)</f>
        <v>0.8667</v>
      </c>
      <c r="CE207" s="838" t="str">
        <f>IFERROR(__xludf.DUMMYFUNCTION("""COMPUTED_VALUE"""),"Yes")</f>
        <v>Yes</v>
      </c>
      <c r="CF207" s="838"/>
      <c r="CG207" s="838"/>
      <c r="CH207" s="838"/>
      <c r="CI207" s="838"/>
      <c r="CJ207" s="838"/>
      <c r="CK207" s="838"/>
      <c r="CL207" s="838"/>
      <c r="CM207" s="838"/>
      <c r="CN207" s="838"/>
      <c r="CO207" s="838"/>
      <c r="CP207" s="838"/>
      <c r="CQ207" s="838"/>
      <c r="CR207" s="838"/>
      <c r="CS207" s="838"/>
      <c r="CT207" s="838"/>
      <c r="CU207" s="838"/>
      <c r="CV207" s="697" t="str">
        <f>IFERROR(__xludf.DUMMYFUNCTION("""COMPUTED_VALUE"""),"Okelo, G.B.A. ""Open and placebo-controlled studies of albendazole in the treatment of intestinal helminthiasis"". Royal Society of Medicine International Congress and Symposium Series. 1978. 61(61): 57-62.")</f>
        <v>Okelo, G.B.A. "Open and placebo-controlled studies of albendazole in the treatment of intestinal helminthiasis". Royal Society of Medicine International Congress and Symposium Series. 1978. 61(61): 57-62.</v>
      </c>
    </row>
    <row r="208">
      <c r="A208" s="834"/>
      <c r="B208" s="834"/>
      <c r="C208" s="834"/>
      <c r="D208" s="834"/>
      <c r="E208" s="834"/>
      <c r="F208" s="834"/>
      <c r="G208" s="834"/>
      <c r="H208" s="834"/>
      <c r="I208" s="834"/>
      <c r="J208" s="834"/>
      <c r="K208" s="834"/>
      <c r="L208" s="834"/>
      <c r="M208" s="834"/>
      <c r="N208" s="834"/>
      <c r="O208" s="834"/>
      <c r="P208" s="834"/>
      <c r="Q208" s="834"/>
      <c r="R208" s="834"/>
      <c r="S208" s="834"/>
      <c r="T208" s="834"/>
      <c r="U208" s="834"/>
      <c r="V208" s="834"/>
      <c r="W208" s="834"/>
      <c r="X208" s="834"/>
      <c r="Y208" s="834"/>
      <c r="Z208" s="834"/>
      <c r="AA208" s="834"/>
      <c r="AB208" s="834"/>
      <c r="AC208" s="834"/>
      <c r="AD208" s="834"/>
      <c r="AE208" s="834"/>
      <c r="AF208" s="834"/>
      <c r="AG208" s="834"/>
      <c r="AH208" s="834"/>
      <c r="AJ208" s="836"/>
      <c r="AK208" s="836"/>
      <c r="AL208" s="836"/>
      <c r="AM208" s="836"/>
      <c r="AN208" s="836"/>
      <c r="AO208" s="836"/>
      <c r="AP208" s="836"/>
      <c r="AQ208" s="836"/>
      <c r="AR208" s="836"/>
      <c r="AS208" s="836"/>
      <c r="AT208" s="836"/>
      <c r="AU208" s="836"/>
      <c r="AV208" s="836"/>
      <c r="AW208" s="836"/>
      <c r="AX208" s="836"/>
      <c r="AY208" s="836"/>
      <c r="AZ208" s="836"/>
      <c r="BA208" s="836"/>
      <c r="BB208" s="836"/>
      <c r="BC208" s="836"/>
      <c r="BD208" s="836"/>
      <c r="BE208" s="836"/>
      <c r="BF208" s="836"/>
      <c r="BG208" s="836"/>
      <c r="BH208" s="836"/>
      <c r="BI208" s="836"/>
      <c r="BJ208" s="836"/>
      <c r="BK208" s="836"/>
      <c r="BL208" s="836"/>
      <c r="BM208" s="836"/>
      <c r="BN208" s="836"/>
      <c r="BO208" s="836"/>
      <c r="BP208" s="836"/>
      <c r="BR208" s="844" t="str">
        <f>IFERROR(__xludf.DUMMYFUNCTION("""COMPUTED_VALUE"""),"Okelo")</f>
        <v>Okelo</v>
      </c>
      <c r="BS208" s="838" t="str">
        <f>IFERROR(__xludf.DUMMYFUNCTION("""COMPUTED_VALUE"""),"Kenya")</f>
        <v>Kenya</v>
      </c>
      <c r="BT208" s="838" t="str">
        <f>IFERROR(__xludf.DUMMYFUNCTION("""COMPUTED_VALUE"""),"Albendazole")</f>
        <v>Albendazole</v>
      </c>
      <c r="BU208" s="838"/>
      <c r="BV208" s="838" t="str">
        <f>IFERROR(__xludf.DUMMYFUNCTION("""COMPUTED_VALUE"""),"Three")</f>
        <v>Three</v>
      </c>
      <c r="BW208" s="838" t="str">
        <f>IFERROR(__xludf.DUMMYFUNCTION("""COMPUTED_VALUE"""),"400 mg")</f>
        <v>400 mg</v>
      </c>
      <c r="BX208" s="838">
        <f>IFERROR(__xludf.DUMMYFUNCTION("""COMPUTED_VALUE"""),1.0)</f>
        <v>1</v>
      </c>
      <c r="BY208" s="838" t="str">
        <f>IFERROR(__xludf.DUMMYFUNCTION("""COMPUTED_VALUE"""),"15-52")</f>
        <v>15-52</v>
      </c>
      <c r="BZ208" s="838"/>
      <c r="CA208" s="838" t="str">
        <f>IFERROR(__xludf.DUMMYFUNCTION("""COMPUTED_VALUE"""),"MF")</f>
        <v>MF</v>
      </c>
      <c r="CB208" s="838"/>
      <c r="CC208" s="838" t="str">
        <f>IFERROR(__xludf.DUMMYFUNCTION("""COMPUTED_VALUE"""),"Yes")</f>
        <v>Yes</v>
      </c>
      <c r="CD208" s="847">
        <f>IFERROR(__xludf.DUMMYFUNCTION("""COMPUTED_VALUE"""),0.6667)</f>
        <v>0.6667</v>
      </c>
      <c r="CE208" s="838" t="str">
        <f>IFERROR(__xludf.DUMMYFUNCTION("""COMPUTED_VALUE"""),"Yes")</f>
        <v>Yes</v>
      </c>
      <c r="CF208" s="838"/>
      <c r="CG208" s="838"/>
      <c r="CH208" s="838"/>
      <c r="CI208" s="838"/>
      <c r="CJ208" s="838"/>
      <c r="CK208" s="838"/>
      <c r="CL208" s="838"/>
      <c r="CM208" s="838"/>
      <c r="CN208" s="838"/>
      <c r="CO208" s="838"/>
      <c r="CP208" s="838"/>
      <c r="CQ208" s="838"/>
      <c r="CR208" s="838"/>
      <c r="CS208" s="838"/>
      <c r="CT208" s="838"/>
      <c r="CU208" s="838"/>
      <c r="CV208" s="697" t="str">
        <f>IFERROR(__xludf.DUMMYFUNCTION("""COMPUTED_VALUE"""),"Okelo, G.B.A. ""Open and placebo-controlled studies of albendazole in the treatment of intestinal helminthiasis"". Royal Society of Medicine International Congress and Symposium Series. 1978. 61(61): 57-62.")</f>
        <v>Okelo, G.B.A. "Open and placebo-controlled studies of albendazole in the treatment of intestinal helminthiasis". Royal Society of Medicine International Congress and Symposium Series. 1978. 61(61): 57-62.</v>
      </c>
    </row>
    <row r="209">
      <c r="A209" s="834"/>
      <c r="B209" s="834"/>
      <c r="C209" s="834"/>
      <c r="D209" s="834"/>
      <c r="E209" s="834"/>
      <c r="F209" s="834"/>
      <c r="G209" s="834"/>
      <c r="H209" s="834"/>
      <c r="I209" s="834"/>
      <c r="J209" s="834"/>
      <c r="K209" s="834"/>
      <c r="L209" s="834"/>
      <c r="M209" s="834"/>
      <c r="N209" s="834"/>
      <c r="O209" s="834"/>
      <c r="P209" s="834"/>
      <c r="Q209" s="834"/>
      <c r="R209" s="834"/>
      <c r="S209" s="834"/>
      <c r="T209" s="834"/>
      <c r="U209" s="834"/>
      <c r="V209" s="834"/>
      <c r="W209" s="834"/>
      <c r="X209" s="834"/>
      <c r="Y209" s="834"/>
      <c r="Z209" s="834"/>
      <c r="AA209" s="834"/>
      <c r="AB209" s="834"/>
      <c r="AC209" s="834"/>
      <c r="AD209" s="834"/>
      <c r="AE209" s="834"/>
      <c r="AF209" s="834"/>
      <c r="AG209" s="834"/>
      <c r="AH209" s="834"/>
      <c r="AJ209" s="836"/>
      <c r="AK209" s="836"/>
      <c r="AL209" s="836"/>
      <c r="AM209" s="836"/>
      <c r="AN209" s="836"/>
      <c r="AO209" s="836"/>
      <c r="AP209" s="836"/>
      <c r="AQ209" s="836"/>
      <c r="AR209" s="836"/>
      <c r="AS209" s="836"/>
      <c r="AT209" s="836"/>
      <c r="AU209" s="836"/>
      <c r="AV209" s="836"/>
      <c r="AW209" s="836"/>
      <c r="AX209" s="836"/>
      <c r="AY209" s="836"/>
      <c r="AZ209" s="836"/>
      <c r="BA209" s="836"/>
      <c r="BB209" s="836"/>
      <c r="BC209" s="836"/>
      <c r="BD209" s="836"/>
      <c r="BE209" s="836"/>
      <c r="BF209" s="836"/>
      <c r="BG209" s="836"/>
      <c r="BH209" s="836"/>
      <c r="BI209" s="836"/>
      <c r="BJ209" s="836"/>
      <c r="BK209" s="836"/>
      <c r="BL209" s="836"/>
      <c r="BM209" s="836"/>
      <c r="BN209" s="836"/>
      <c r="BO209" s="836"/>
      <c r="BP209" s="836"/>
      <c r="BR209" s="838" t="str">
        <f>IFERROR(__xludf.DUMMYFUNCTION("""COMPUTED_VALUE"""),"Yongyuth")</f>
        <v>Yongyuth</v>
      </c>
      <c r="BS209" s="838" t="str">
        <f>IFERROR(__xludf.DUMMYFUNCTION("""COMPUTED_VALUE"""),"Thailand")</f>
        <v>Thailand</v>
      </c>
      <c r="BT209" s="838"/>
      <c r="BU209" s="838"/>
      <c r="BV209" s="838"/>
      <c r="BW209" s="838"/>
      <c r="BX209" s="838"/>
      <c r="BY209" s="838"/>
      <c r="BZ209" s="838"/>
      <c r="CA209" s="838"/>
      <c r="CB209" s="838"/>
      <c r="CC209" s="838"/>
      <c r="CD209" s="838"/>
      <c r="CE209" s="838"/>
      <c r="CF209" s="838"/>
      <c r="CG209" s="838"/>
      <c r="CH209" s="838"/>
      <c r="CI209" s="838"/>
      <c r="CJ209" s="838"/>
      <c r="CK209" s="838"/>
      <c r="CL209" s="838"/>
      <c r="CM209" s="838"/>
      <c r="CN209" s="838"/>
      <c r="CO209" s="838"/>
      <c r="CP209" s="838"/>
      <c r="CQ209" s="838"/>
      <c r="CR209" s="838"/>
      <c r="CS209" s="838"/>
      <c r="CT209" s="838"/>
      <c r="CU209" s="838"/>
      <c r="CV209" s="697" t="str">
        <f>IFERROR(__xludf.DUMMYFUNCTION("""COMPUTED_VALUE"""),"Yongyuth, Pisit, et al. ""Efficacy of a single-dose treatment with 300 mg diethylcarbamazine and a combination of 400 mg albendazole in reduction of Wuchereria bancrofti antigenemia and concomitant geohelminths in Myanmar migrants in Southern Thailand."" "&amp;"J. Med. Assoc. Thai 89 (2006): 1237-1248.")</f>
        <v>Yongyuth, Pisit, et al. "Efficacy of a single-dose treatment with 300 mg diethylcarbamazine and a combination of 400 mg albendazole in reduction of Wuchereria bancrofti antigenemia and concomitant geohelminths in Myanmar migrants in Southern Thailand." J. Med. Assoc. Thai 89 (2006): 1237-1248.</v>
      </c>
    </row>
    <row r="210">
      <c r="A210" s="834"/>
      <c r="B210" s="834"/>
      <c r="C210" s="834"/>
      <c r="D210" s="834"/>
      <c r="E210" s="834"/>
      <c r="F210" s="834"/>
      <c r="G210" s="834"/>
      <c r="H210" s="834"/>
      <c r="I210" s="834"/>
      <c r="J210" s="834"/>
      <c r="K210" s="834"/>
      <c r="L210" s="834"/>
      <c r="M210" s="834"/>
      <c r="N210" s="834"/>
      <c r="O210" s="834"/>
      <c r="P210" s="834"/>
      <c r="Q210" s="834"/>
      <c r="R210" s="834"/>
      <c r="S210" s="834"/>
      <c r="T210" s="834"/>
      <c r="U210" s="834"/>
      <c r="V210" s="834"/>
      <c r="W210" s="834"/>
      <c r="X210" s="834"/>
      <c r="Y210" s="834"/>
      <c r="Z210" s="834"/>
      <c r="AA210" s="834"/>
      <c r="AB210" s="834"/>
      <c r="AC210" s="834"/>
      <c r="AD210" s="834"/>
      <c r="AE210" s="834"/>
      <c r="AF210" s="834"/>
      <c r="AG210" s="834"/>
      <c r="AH210" s="834"/>
      <c r="AJ210" s="836"/>
      <c r="AK210" s="836"/>
      <c r="AL210" s="836"/>
      <c r="AM210" s="836"/>
      <c r="AN210" s="836"/>
      <c r="AO210" s="836"/>
      <c r="AP210" s="836"/>
      <c r="AQ210" s="836"/>
      <c r="AR210" s="836"/>
      <c r="AS210" s="836"/>
      <c r="AT210" s="836"/>
      <c r="AU210" s="836"/>
      <c r="AV210" s="836"/>
      <c r="AW210" s="836"/>
      <c r="AX210" s="836"/>
      <c r="AY210" s="836"/>
      <c r="AZ210" s="836"/>
      <c r="BA210" s="836"/>
      <c r="BB210" s="836"/>
      <c r="BC210" s="836"/>
      <c r="BD210" s="836"/>
      <c r="BE210" s="836"/>
      <c r="BF210" s="836"/>
      <c r="BG210" s="836"/>
      <c r="BH210" s="836"/>
      <c r="BI210" s="836"/>
      <c r="BJ210" s="836"/>
      <c r="BK210" s="836"/>
      <c r="BL210" s="836"/>
      <c r="BM210" s="836"/>
      <c r="BN210" s="836"/>
      <c r="BO210" s="836"/>
      <c r="BP210" s="836"/>
      <c r="BR210" s="838" t="str">
        <f>IFERROR(__xludf.DUMMYFUNCTION("""COMPUTED_VALUE"""),"Siriaut")</f>
        <v>Siriaut</v>
      </c>
      <c r="BS210" s="838" t="str">
        <f>IFERROR(__xludf.DUMMYFUNCTION("""COMPUTED_VALUE"""),"Thailand")</f>
        <v>Thailand</v>
      </c>
      <c r="BT210" s="838"/>
      <c r="BU210" s="838"/>
      <c r="BV210" s="838"/>
      <c r="BW210" s="838"/>
      <c r="BX210" s="838"/>
      <c r="BY210" s="838"/>
      <c r="BZ210" s="838"/>
      <c r="CA210" s="838"/>
      <c r="CB210" s="838"/>
      <c r="CC210" s="838"/>
      <c r="CD210" s="838"/>
      <c r="CE210" s="838"/>
      <c r="CF210" s="838"/>
      <c r="CG210" s="838"/>
      <c r="CH210" s="838"/>
      <c r="CI210" s="838"/>
      <c r="CJ210" s="838"/>
      <c r="CK210" s="838"/>
      <c r="CL210" s="838"/>
      <c r="CM210" s="838"/>
      <c r="CN210" s="838"/>
      <c r="CO210" s="838"/>
      <c r="CP210" s="838"/>
      <c r="CQ210" s="838"/>
      <c r="CR210" s="838"/>
      <c r="CS210" s="838"/>
      <c r="CT210" s="838"/>
      <c r="CU210" s="838"/>
      <c r="CV210" s="697" t="str">
        <f>IFERROR(__xludf.DUMMYFUNCTION("""COMPUTED_VALUE"""),"Siriaut, Chumsin, et al. ""Short-term effects of treatment with 300 mg oral-dose diethylcarbamazine on nocturnally periodic Wuchereria bancrofti microfilaremia and antigenemia."" Southeast Asian journal of tropical medicine and public health 36.4 (2005): "&amp;"832.")</f>
        <v>Siriaut, Chumsin, et al. "Short-term effects of treatment with 300 mg oral-dose diethylcarbamazine on nocturnally periodic Wuchereria bancrofti microfilaremia and antigenemia." Southeast Asian journal of tropical medicine and public health 36.4 (2005): 832.</v>
      </c>
    </row>
    <row r="211">
      <c r="A211" s="834"/>
      <c r="B211" s="834"/>
      <c r="C211" s="834"/>
      <c r="D211" s="834"/>
      <c r="E211" s="834"/>
      <c r="F211" s="834"/>
      <c r="G211" s="834"/>
      <c r="H211" s="834"/>
      <c r="I211" s="834"/>
      <c r="J211" s="834"/>
      <c r="K211" s="834"/>
      <c r="L211" s="834"/>
      <c r="M211" s="834"/>
      <c r="N211" s="834"/>
      <c r="O211" s="834"/>
      <c r="P211" s="834"/>
      <c r="Q211" s="834"/>
      <c r="R211" s="834"/>
      <c r="S211" s="834"/>
      <c r="T211" s="834"/>
      <c r="U211" s="834"/>
      <c r="V211" s="834"/>
      <c r="W211" s="834"/>
      <c r="X211" s="834"/>
      <c r="Y211" s="834"/>
      <c r="Z211" s="834"/>
      <c r="AA211" s="834"/>
      <c r="AB211" s="834"/>
      <c r="AC211" s="834"/>
      <c r="AD211" s="834"/>
      <c r="AE211" s="834"/>
      <c r="AF211" s="834"/>
      <c r="AG211" s="834"/>
      <c r="AH211" s="834"/>
      <c r="AJ211" s="836"/>
      <c r="AK211" s="836"/>
      <c r="AL211" s="836"/>
      <c r="AM211" s="836"/>
      <c r="AN211" s="836"/>
      <c r="AO211" s="836"/>
      <c r="AP211" s="836"/>
      <c r="AQ211" s="836"/>
      <c r="AR211" s="836"/>
      <c r="AS211" s="836"/>
      <c r="AT211" s="836"/>
      <c r="AU211" s="836"/>
      <c r="AV211" s="836"/>
      <c r="AW211" s="836"/>
      <c r="AX211" s="836"/>
      <c r="AY211" s="836"/>
      <c r="AZ211" s="836"/>
      <c r="BA211" s="836"/>
      <c r="BB211" s="836"/>
      <c r="BC211" s="836"/>
      <c r="BD211" s="836"/>
      <c r="BE211" s="836"/>
      <c r="BF211" s="836"/>
      <c r="BG211" s="836"/>
      <c r="BH211" s="836"/>
      <c r="BI211" s="836"/>
      <c r="BJ211" s="836"/>
      <c r="BK211" s="836"/>
      <c r="BL211" s="836"/>
      <c r="BM211" s="836"/>
      <c r="BN211" s="836"/>
      <c r="BO211" s="836"/>
      <c r="BP211" s="836"/>
      <c r="BR211" s="838" t="str">
        <f>IFERROR(__xludf.DUMMYFUNCTION("""COMPUTED_VALUE"""),"Bhumiratana")</f>
        <v>Bhumiratana</v>
      </c>
      <c r="BS211" s="838" t="str">
        <f>IFERROR(__xludf.DUMMYFUNCTION("""COMPUTED_VALUE"""),"Thailand")</f>
        <v>Thailand</v>
      </c>
      <c r="BT211" s="838"/>
      <c r="BU211" s="838"/>
      <c r="BV211" s="838"/>
      <c r="BW211" s="838"/>
      <c r="BX211" s="838"/>
      <c r="BY211" s="838"/>
      <c r="BZ211" s="838"/>
      <c r="CA211" s="838"/>
      <c r="CB211" s="838"/>
      <c r="CC211" s="838"/>
      <c r="CD211" s="838"/>
      <c r="CE211" s="838"/>
      <c r="CF211" s="838"/>
      <c r="CG211" s="838"/>
      <c r="CH211" s="838"/>
      <c r="CI211" s="838"/>
      <c r="CJ211" s="838"/>
      <c r="CK211" s="838"/>
      <c r="CL211" s="838"/>
      <c r="CM211" s="838"/>
      <c r="CN211" s="838"/>
      <c r="CO211" s="838"/>
      <c r="CP211" s="838"/>
      <c r="CQ211" s="838"/>
      <c r="CR211" s="838"/>
      <c r="CS211" s="838"/>
      <c r="CT211" s="838"/>
      <c r="CU211" s="838"/>
      <c r="CV211" s="697" t="str">
        <f>IFERROR(__xludf.DUMMYFUNCTION("""COMPUTED_VALUE"""),"Bhumiratana, A., et al. ""Imported bancroftian filariasis: Diethylcarbamazine response and benzimidazole susceptibility of Wuchereria bancrofti in dynamic cross-border migrant population targeted by the National Program to Eliminate Lymphatic Filariasis i"&amp;"n South Thailand."" Acta tropica 113.2 (2010): 121-128.")</f>
        <v>Bhumiratana, A., et al. "Imported bancroftian filariasis: Diethylcarbamazine response and benzimidazole susceptibility of Wuchereria bancrofti in dynamic cross-border migrant population targeted by the National Program to Eliminate Lymphatic Filariasis in South Thailand." Acta tropica 113.2 (2010): 121-128.</v>
      </c>
    </row>
    <row r="212">
      <c r="A212" s="834"/>
      <c r="B212" s="834"/>
      <c r="C212" s="834"/>
      <c r="D212" s="834"/>
      <c r="E212" s="834"/>
      <c r="F212" s="834"/>
      <c r="G212" s="834"/>
      <c r="H212" s="834"/>
      <c r="I212" s="834"/>
      <c r="J212" s="834"/>
      <c r="K212" s="834"/>
      <c r="L212" s="834"/>
      <c r="M212" s="834"/>
      <c r="N212" s="834"/>
      <c r="O212" s="834"/>
      <c r="P212" s="834"/>
      <c r="Q212" s="834"/>
      <c r="R212" s="834"/>
      <c r="S212" s="834"/>
      <c r="T212" s="834"/>
      <c r="U212" s="834"/>
      <c r="V212" s="834"/>
      <c r="W212" s="834"/>
      <c r="X212" s="834"/>
      <c r="Y212" s="834"/>
      <c r="Z212" s="834"/>
      <c r="AA212" s="834"/>
      <c r="AB212" s="834"/>
      <c r="AC212" s="834"/>
      <c r="AD212" s="834"/>
      <c r="AE212" s="834"/>
      <c r="AF212" s="834"/>
      <c r="AG212" s="834"/>
      <c r="AH212" s="834"/>
      <c r="AJ212" s="836"/>
      <c r="AK212" s="836"/>
      <c r="AL212" s="836"/>
      <c r="AM212" s="836"/>
      <c r="AN212" s="836"/>
      <c r="AO212" s="836"/>
      <c r="AP212" s="836"/>
      <c r="AQ212" s="836"/>
      <c r="AR212" s="836"/>
      <c r="AS212" s="836"/>
      <c r="AT212" s="836"/>
      <c r="AU212" s="836"/>
      <c r="AV212" s="836"/>
      <c r="AW212" s="836"/>
      <c r="AX212" s="836"/>
      <c r="AY212" s="836"/>
      <c r="AZ212" s="836"/>
      <c r="BA212" s="836"/>
      <c r="BB212" s="836"/>
      <c r="BC212" s="836"/>
      <c r="BD212" s="836"/>
      <c r="BE212" s="836"/>
      <c r="BF212" s="836"/>
      <c r="BG212" s="836"/>
      <c r="BH212" s="836"/>
      <c r="BI212" s="836"/>
      <c r="BJ212" s="836"/>
      <c r="BK212" s="836"/>
      <c r="BL212" s="836"/>
      <c r="BM212" s="836"/>
      <c r="BN212" s="836"/>
      <c r="BO212" s="836"/>
      <c r="BP212" s="836"/>
      <c r="BR212" s="838" t="str">
        <f>IFERROR(__xludf.DUMMYFUNCTION("""COMPUTED_VALUE"""),"Yongyuth")</f>
        <v>Yongyuth</v>
      </c>
      <c r="BS212" s="838" t="str">
        <f>IFERROR(__xludf.DUMMYFUNCTION("""COMPUTED_VALUE"""),"Thailand")</f>
        <v>Thailand</v>
      </c>
      <c r="BT212" s="838"/>
      <c r="BU212" s="838"/>
      <c r="BV212" s="838"/>
      <c r="BW212" s="838"/>
      <c r="BX212" s="838"/>
      <c r="BY212" s="838"/>
      <c r="BZ212" s="838"/>
      <c r="CA212" s="838"/>
      <c r="CB212" s="838"/>
      <c r="CC212" s="838"/>
      <c r="CD212" s="838"/>
      <c r="CE212" s="838"/>
      <c r="CF212" s="838"/>
      <c r="CG212" s="838"/>
      <c r="CH212" s="838"/>
      <c r="CI212" s="838"/>
      <c r="CJ212" s="838"/>
      <c r="CK212" s="838"/>
      <c r="CL212" s="838"/>
      <c r="CM212" s="838"/>
      <c r="CN212" s="838"/>
      <c r="CO212" s="838"/>
      <c r="CP212" s="838"/>
      <c r="CQ212" s="838"/>
      <c r="CR212" s="838"/>
      <c r="CS212" s="838"/>
      <c r="CT212" s="838"/>
      <c r="CU212" s="838"/>
      <c r="CV212" s="697" t="str">
        <f>IFERROR(__xludf.DUMMYFUNCTION("""COMPUTED_VALUE"""),"Yongyuth, Pisit, et al. ""Adverse reactions of 300 MG diethylcarbamazine, and in a combination of 400 MG albendazole, for a mass annual single dose treatment, in migrant workers in Phang Nga province."" Journal of the Medical Association of Thailand= Chot"&amp;"maihet thangphaet 90.3 (2007): 552-563.")</f>
        <v>Yongyuth, Pisit, et al. "Adverse reactions of 300 MG diethylcarbamazine, and in a combination of 400 MG albendazole, for a mass annual single dose treatment, in migrant workers in Phang Nga province." Journal of the Medical Association of Thailand= Chotmaihet thangphaet 90.3 (2007): 552-563.</v>
      </c>
    </row>
    <row r="213">
      <c r="A213" s="834"/>
      <c r="B213" s="834"/>
      <c r="C213" s="834"/>
      <c r="D213" s="834"/>
      <c r="E213" s="834"/>
      <c r="F213" s="834"/>
      <c r="G213" s="834"/>
      <c r="H213" s="834"/>
      <c r="I213" s="834"/>
      <c r="J213" s="834"/>
      <c r="K213" s="834"/>
      <c r="L213" s="834"/>
      <c r="M213" s="834"/>
      <c r="N213" s="834"/>
      <c r="O213" s="834"/>
      <c r="P213" s="834"/>
      <c r="Q213" s="834"/>
      <c r="R213" s="834"/>
      <c r="S213" s="834"/>
      <c r="T213" s="834"/>
      <c r="U213" s="834"/>
      <c r="V213" s="834"/>
      <c r="W213" s="834"/>
      <c r="X213" s="834"/>
      <c r="Y213" s="834"/>
      <c r="Z213" s="834"/>
      <c r="AA213" s="834"/>
      <c r="AB213" s="834"/>
      <c r="AC213" s="834"/>
      <c r="AD213" s="834"/>
      <c r="AE213" s="834"/>
      <c r="AF213" s="834"/>
      <c r="AG213" s="834"/>
      <c r="AH213" s="834"/>
      <c r="AJ213" s="836"/>
      <c r="AK213" s="836"/>
      <c r="AL213" s="836"/>
      <c r="AM213" s="836"/>
      <c r="AN213" s="836"/>
      <c r="AO213" s="836"/>
      <c r="AP213" s="836"/>
      <c r="AQ213" s="836"/>
      <c r="AR213" s="836"/>
      <c r="AS213" s="836"/>
      <c r="AT213" s="836"/>
      <c r="AU213" s="836"/>
      <c r="AV213" s="836"/>
      <c r="AW213" s="836"/>
      <c r="AX213" s="836"/>
      <c r="AY213" s="836"/>
      <c r="AZ213" s="836"/>
      <c r="BA213" s="836"/>
      <c r="BB213" s="836"/>
      <c r="BC213" s="836"/>
      <c r="BD213" s="836"/>
      <c r="BE213" s="836"/>
      <c r="BF213" s="836"/>
      <c r="BG213" s="836"/>
      <c r="BH213" s="836"/>
      <c r="BI213" s="836"/>
      <c r="BJ213" s="836"/>
      <c r="BK213" s="836"/>
      <c r="BL213" s="836"/>
      <c r="BM213" s="836"/>
      <c r="BN213" s="836"/>
      <c r="BO213" s="836"/>
      <c r="BP213" s="836"/>
      <c r="BR213" s="838" t="str">
        <f>IFERROR(__xludf.DUMMYFUNCTION("""COMPUTED_VALUE""")," Koyadun")</f>
        <v> Koyadun</v>
      </c>
      <c r="BS213" s="838" t="str">
        <f>IFERROR(__xludf.DUMMYFUNCTION("""COMPUTED_VALUE"""),"Thailand")</f>
        <v>Thailand</v>
      </c>
      <c r="BT213" s="838"/>
      <c r="BU213" s="838"/>
      <c r="BV213" s="838"/>
      <c r="BW213" s="838"/>
      <c r="BX213" s="838"/>
      <c r="BY213" s="838"/>
      <c r="BZ213" s="838"/>
      <c r="CA213" s="838"/>
      <c r="CB213" s="838"/>
      <c r="CC213" s="838"/>
      <c r="CD213" s="838"/>
      <c r="CE213" s="838"/>
      <c r="CF213" s="838"/>
      <c r="CG213" s="838"/>
      <c r="CH213" s="838"/>
      <c r="CI213" s="838"/>
      <c r="CJ213" s="838"/>
      <c r="CK213" s="838"/>
      <c r="CL213" s="838"/>
      <c r="CM213" s="838"/>
      <c r="CN213" s="838"/>
      <c r="CO213" s="838"/>
      <c r="CP213" s="838"/>
      <c r="CQ213" s="838"/>
      <c r="CR213" s="838"/>
      <c r="CS213" s="838"/>
      <c r="CT213" s="838"/>
      <c r="CU213" s="838"/>
      <c r="CV213" s="697" t="str">
        <f>IFERROR(__xludf.DUMMYFUNCTION("""COMPUTED_VALUE"""),"Koyadun, Surachart, Adisak Bhumiratana, and Pathomporn Prikchu. ""Wuchereria bancrofti antigenemia clearance among Myanmar migrants after biannual mass treatments with diethylcarbamazine, 300 mg oral-dose FILADEC tablet, in Southern Thailand."" (2003).")</f>
        <v>Koyadun, Surachart, Adisak Bhumiratana, and Pathomporn Prikchu. "Wuchereria bancrofti antigenemia clearance among Myanmar migrants after biannual mass treatments with diethylcarbamazine, 300 mg oral-dose FILADEC tablet, in Southern Thailand." (2003).</v>
      </c>
    </row>
    <row r="214">
      <c r="A214" s="834"/>
      <c r="B214" s="834"/>
      <c r="C214" s="834"/>
      <c r="D214" s="834"/>
      <c r="E214" s="834"/>
      <c r="F214" s="834"/>
      <c r="G214" s="834"/>
      <c r="H214" s="834"/>
      <c r="I214" s="834"/>
      <c r="J214" s="834"/>
      <c r="K214" s="834"/>
      <c r="L214" s="834"/>
      <c r="M214" s="834"/>
      <c r="N214" s="834"/>
      <c r="O214" s="834"/>
      <c r="P214" s="834"/>
      <c r="Q214" s="834"/>
      <c r="R214" s="834"/>
      <c r="S214" s="834"/>
      <c r="T214" s="834"/>
      <c r="U214" s="834"/>
      <c r="V214" s="834"/>
      <c r="W214" s="834"/>
      <c r="X214" s="834"/>
      <c r="Y214" s="834"/>
      <c r="Z214" s="834"/>
      <c r="AA214" s="834"/>
      <c r="AB214" s="834"/>
      <c r="AC214" s="834"/>
      <c r="AD214" s="834"/>
      <c r="AE214" s="834"/>
      <c r="AF214" s="834"/>
      <c r="AG214" s="834"/>
      <c r="AH214" s="834"/>
      <c r="AJ214" s="836"/>
      <c r="AK214" s="836"/>
      <c r="AL214" s="836"/>
      <c r="AM214" s="836"/>
      <c r="AN214" s="836"/>
      <c r="AO214" s="836"/>
      <c r="AP214" s="836"/>
      <c r="AQ214" s="836"/>
      <c r="AR214" s="836"/>
      <c r="AS214" s="836"/>
      <c r="AT214" s="836"/>
      <c r="AU214" s="836"/>
      <c r="AV214" s="836"/>
      <c r="AW214" s="836"/>
      <c r="AX214" s="836"/>
      <c r="AY214" s="836"/>
      <c r="AZ214" s="836"/>
      <c r="BA214" s="836"/>
      <c r="BB214" s="836"/>
      <c r="BC214" s="836"/>
      <c r="BD214" s="836"/>
      <c r="BE214" s="836"/>
      <c r="BF214" s="836"/>
      <c r="BG214" s="836"/>
      <c r="BH214" s="836"/>
      <c r="BI214" s="836"/>
      <c r="BJ214" s="836"/>
      <c r="BK214" s="836"/>
      <c r="BL214" s="836"/>
      <c r="BM214" s="836"/>
      <c r="BN214" s="836"/>
      <c r="BO214" s="836"/>
      <c r="BP214" s="836"/>
      <c r="BR214" s="838"/>
      <c r="BS214" s="838"/>
      <c r="BT214" s="838"/>
      <c r="BU214" s="838"/>
      <c r="BV214" s="838"/>
      <c r="BW214" s="838"/>
      <c r="BX214" s="838"/>
      <c r="BY214" s="838"/>
      <c r="BZ214" s="838"/>
      <c r="CA214" s="838"/>
      <c r="CB214" s="838"/>
      <c r="CC214" s="838"/>
      <c r="CD214" s="838"/>
      <c r="CE214" s="838"/>
      <c r="CF214" s="838"/>
      <c r="CG214" s="838"/>
      <c r="CH214" s="838"/>
      <c r="CI214" s="838"/>
      <c r="CJ214" s="838"/>
      <c r="CK214" s="838"/>
      <c r="CL214" s="838"/>
      <c r="CM214" s="838"/>
      <c r="CN214" s="838"/>
      <c r="CO214" s="838"/>
      <c r="CP214" s="838"/>
      <c r="CQ214" s="838"/>
      <c r="CR214" s="838"/>
      <c r="CS214" s="838"/>
      <c r="CT214" s="838"/>
      <c r="CU214" s="838"/>
      <c r="CV214" s="697"/>
    </row>
    <row r="215">
      <c r="A215" s="834"/>
      <c r="B215" s="834"/>
      <c r="C215" s="834"/>
      <c r="D215" s="834"/>
      <c r="E215" s="834"/>
      <c r="F215" s="834"/>
      <c r="G215" s="834"/>
      <c r="H215" s="834"/>
      <c r="I215" s="834"/>
      <c r="J215" s="834"/>
      <c r="K215" s="834"/>
      <c r="L215" s="834"/>
      <c r="M215" s="834"/>
      <c r="N215" s="834"/>
      <c r="O215" s="834"/>
      <c r="P215" s="834"/>
      <c r="Q215" s="834"/>
      <c r="R215" s="834"/>
      <c r="S215" s="834"/>
      <c r="T215" s="834"/>
      <c r="U215" s="834"/>
      <c r="V215" s="834"/>
      <c r="W215" s="834"/>
      <c r="X215" s="834"/>
      <c r="Y215" s="834"/>
      <c r="Z215" s="834"/>
      <c r="AA215" s="834"/>
      <c r="AB215" s="834"/>
      <c r="AC215" s="834"/>
      <c r="AD215" s="834"/>
      <c r="AE215" s="834"/>
      <c r="AF215" s="834"/>
      <c r="AG215" s="834"/>
      <c r="AH215" s="834"/>
      <c r="AJ215" s="836"/>
      <c r="AK215" s="836"/>
      <c r="AL215" s="836"/>
      <c r="AM215" s="836"/>
      <c r="AN215" s="836"/>
      <c r="AO215" s="836"/>
      <c r="AP215" s="836"/>
      <c r="AQ215" s="836"/>
      <c r="AR215" s="836"/>
      <c r="AS215" s="836"/>
      <c r="AT215" s="836"/>
      <c r="AU215" s="836"/>
      <c r="AV215" s="836"/>
      <c r="AW215" s="836"/>
      <c r="AX215" s="836"/>
      <c r="AY215" s="836"/>
      <c r="AZ215" s="836"/>
      <c r="BA215" s="836"/>
      <c r="BB215" s="836"/>
      <c r="BC215" s="836"/>
      <c r="BD215" s="836"/>
      <c r="BE215" s="836"/>
      <c r="BF215" s="836"/>
      <c r="BG215" s="836"/>
      <c r="BH215" s="836"/>
      <c r="BI215" s="836"/>
      <c r="BJ215" s="836"/>
      <c r="BK215" s="836"/>
      <c r="BL215" s="836"/>
      <c r="BM215" s="836"/>
      <c r="BN215" s="836"/>
      <c r="BO215" s="836"/>
      <c r="BP215" s="836"/>
      <c r="BR215" s="838"/>
      <c r="BS215" s="838"/>
      <c r="BT215" s="838"/>
      <c r="BU215" s="838"/>
      <c r="BV215" s="838"/>
      <c r="BW215" s="838"/>
      <c r="BX215" s="838"/>
      <c r="BY215" s="838"/>
      <c r="BZ215" s="838"/>
      <c r="CA215" s="838"/>
      <c r="CB215" s="838"/>
      <c r="CC215" s="838"/>
      <c r="CD215" s="838"/>
      <c r="CE215" s="838"/>
      <c r="CF215" s="838"/>
      <c r="CG215" s="838"/>
      <c r="CH215" s="838"/>
      <c r="CI215" s="838"/>
      <c r="CJ215" s="838"/>
      <c r="CK215" s="838"/>
      <c r="CL215" s="838"/>
      <c r="CM215" s="838"/>
      <c r="CN215" s="838"/>
      <c r="CO215" s="838"/>
      <c r="CP215" s="838"/>
      <c r="CQ215" s="838"/>
      <c r="CR215" s="838"/>
      <c r="CS215" s="838"/>
      <c r="CT215" s="838"/>
      <c r="CU215" s="838"/>
      <c r="CV215" s="697"/>
    </row>
    <row r="216">
      <c r="A216" s="834"/>
      <c r="B216" s="834"/>
      <c r="C216" s="834"/>
      <c r="D216" s="834"/>
      <c r="E216" s="834"/>
      <c r="F216" s="834"/>
      <c r="G216" s="834"/>
      <c r="H216" s="834"/>
      <c r="I216" s="834"/>
      <c r="J216" s="834"/>
      <c r="K216" s="834"/>
      <c r="L216" s="834"/>
      <c r="M216" s="834"/>
      <c r="N216" s="834"/>
      <c r="O216" s="834"/>
      <c r="P216" s="834"/>
      <c r="Q216" s="834"/>
      <c r="R216" s="834"/>
      <c r="S216" s="834"/>
      <c r="T216" s="834"/>
      <c r="U216" s="834"/>
      <c r="V216" s="834"/>
      <c r="W216" s="834"/>
      <c r="X216" s="834"/>
      <c r="Y216" s="834"/>
      <c r="Z216" s="834"/>
      <c r="AA216" s="834"/>
      <c r="AB216" s="834"/>
      <c r="AC216" s="834"/>
      <c r="AD216" s="834"/>
      <c r="AE216" s="834"/>
      <c r="AF216" s="834"/>
      <c r="AG216" s="834"/>
      <c r="AH216" s="834"/>
      <c r="AJ216" s="836"/>
      <c r="AK216" s="836"/>
      <c r="AL216" s="836"/>
      <c r="AM216" s="836"/>
      <c r="AN216" s="836"/>
      <c r="AO216" s="836"/>
      <c r="AP216" s="836"/>
      <c r="AQ216" s="836"/>
      <c r="AR216" s="836"/>
      <c r="AS216" s="836"/>
      <c r="AT216" s="836"/>
      <c r="AU216" s="836"/>
      <c r="AV216" s="836"/>
      <c r="AW216" s="836"/>
      <c r="AX216" s="836"/>
      <c r="AY216" s="836"/>
      <c r="AZ216" s="836"/>
      <c r="BA216" s="836"/>
      <c r="BB216" s="836"/>
      <c r="BC216" s="836"/>
      <c r="BD216" s="836"/>
      <c r="BE216" s="836"/>
      <c r="BF216" s="836"/>
      <c r="BG216" s="836"/>
      <c r="BH216" s="836"/>
      <c r="BI216" s="836"/>
      <c r="BJ216" s="836"/>
      <c r="BK216" s="836"/>
      <c r="BL216" s="836"/>
      <c r="BM216" s="836"/>
      <c r="BN216" s="836"/>
      <c r="BO216" s="836"/>
      <c r="BP216" s="836"/>
      <c r="BR216" s="838"/>
      <c r="BS216" s="838"/>
      <c r="BT216" s="838"/>
      <c r="BU216" s="838"/>
      <c r="BV216" s="838"/>
      <c r="BW216" s="838"/>
      <c r="BX216" s="838"/>
      <c r="BY216" s="838"/>
      <c r="BZ216" s="838"/>
      <c r="CA216" s="838"/>
      <c r="CB216" s="838"/>
      <c r="CC216" s="838"/>
      <c r="CD216" s="838"/>
      <c r="CE216" s="838"/>
      <c r="CF216" s="838"/>
      <c r="CG216" s="838"/>
      <c r="CH216" s="838"/>
      <c r="CI216" s="838"/>
      <c r="CJ216" s="838"/>
      <c r="CK216" s="838"/>
      <c r="CL216" s="838"/>
      <c r="CM216" s="838"/>
      <c r="CN216" s="838"/>
      <c r="CO216" s="838"/>
      <c r="CP216" s="838"/>
      <c r="CQ216" s="838"/>
      <c r="CR216" s="838"/>
      <c r="CS216" s="838"/>
      <c r="CT216" s="838"/>
      <c r="CU216" s="838"/>
      <c r="CV216" s="697"/>
    </row>
    <row r="217">
      <c r="A217" s="834"/>
      <c r="B217" s="834"/>
      <c r="C217" s="834"/>
      <c r="D217" s="834"/>
      <c r="E217" s="834"/>
      <c r="F217" s="834"/>
      <c r="G217" s="834"/>
      <c r="H217" s="834"/>
      <c r="I217" s="834"/>
      <c r="J217" s="834"/>
      <c r="K217" s="834"/>
      <c r="L217" s="834"/>
      <c r="M217" s="834"/>
      <c r="N217" s="834"/>
      <c r="O217" s="834"/>
      <c r="P217" s="834"/>
      <c r="Q217" s="834"/>
      <c r="R217" s="834"/>
      <c r="S217" s="834"/>
      <c r="T217" s="834"/>
      <c r="U217" s="834"/>
      <c r="V217" s="834"/>
      <c r="W217" s="834"/>
      <c r="X217" s="834"/>
      <c r="Y217" s="834"/>
      <c r="Z217" s="834"/>
      <c r="AA217" s="834"/>
      <c r="AB217" s="834"/>
      <c r="AC217" s="834"/>
      <c r="AD217" s="834"/>
      <c r="AE217" s="834"/>
      <c r="AF217" s="834"/>
      <c r="AG217" s="834"/>
      <c r="AH217" s="834"/>
      <c r="AJ217" s="836"/>
      <c r="AK217" s="836"/>
      <c r="AL217" s="836"/>
      <c r="AM217" s="836"/>
      <c r="AN217" s="836"/>
      <c r="AO217" s="836"/>
      <c r="AP217" s="836"/>
      <c r="AQ217" s="836"/>
      <c r="AR217" s="836"/>
      <c r="AS217" s="836"/>
      <c r="AT217" s="836"/>
      <c r="AU217" s="836"/>
      <c r="AV217" s="836"/>
      <c r="AW217" s="836"/>
      <c r="AX217" s="836"/>
      <c r="AY217" s="836"/>
      <c r="AZ217" s="836"/>
      <c r="BA217" s="836"/>
      <c r="BB217" s="836"/>
      <c r="BC217" s="836"/>
      <c r="BD217" s="836"/>
      <c r="BE217" s="836"/>
      <c r="BF217" s="836"/>
      <c r="BG217" s="836"/>
      <c r="BH217" s="836"/>
      <c r="BI217" s="836"/>
      <c r="BJ217" s="836"/>
      <c r="BK217" s="836"/>
      <c r="BL217" s="836"/>
      <c r="BM217" s="836"/>
      <c r="BN217" s="836"/>
      <c r="BO217" s="836"/>
      <c r="BP217" s="836"/>
      <c r="BR217" s="838"/>
      <c r="BS217" s="838"/>
      <c r="BT217" s="838"/>
      <c r="BU217" s="838"/>
      <c r="BV217" s="838"/>
      <c r="BW217" s="838"/>
      <c r="BX217" s="838"/>
      <c r="BY217" s="838"/>
      <c r="BZ217" s="838"/>
      <c r="CA217" s="838"/>
      <c r="CB217" s="838"/>
      <c r="CC217" s="838"/>
      <c r="CD217" s="838"/>
      <c r="CE217" s="838"/>
      <c r="CF217" s="838"/>
      <c r="CG217" s="838"/>
      <c r="CH217" s="838"/>
      <c r="CI217" s="838"/>
      <c r="CJ217" s="838"/>
      <c r="CK217" s="838"/>
      <c r="CL217" s="838"/>
      <c r="CM217" s="838"/>
      <c r="CN217" s="838"/>
      <c r="CO217" s="838"/>
      <c r="CP217" s="838"/>
      <c r="CQ217" s="838"/>
      <c r="CR217" s="838"/>
      <c r="CS217" s="838"/>
      <c r="CT217" s="838"/>
      <c r="CU217" s="838"/>
      <c r="CV217" s="697"/>
    </row>
    <row r="218">
      <c r="A218" s="834"/>
      <c r="B218" s="834"/>
      <c r="C218" s="834"/>
      <c r="D218" s="834"/>
      <c r="E218" s="834"/>
      <c r="F218" s="834"/>
      <c r="G218" s="834"/>
      <c r="H218" s="834"/>
      <c r="I218" s="834"/>
      <c r="J218" s="834"/>
      <c r="K218" s="834"/>
      <c r="L218" s="834"/>
      <c r="M218" s="834"/>
      <c r="N218" s="834"/>
      <c r="O218" s="834"/>
      <c r="P218" s="834"/>
      <c r="Q218" s="834"/>
      <c r="R218" s="834"/>
      <c r="S218" s="834"/>
      <c r="T218" s="834"/>
      <c r="U218" s="834"/>
      <c r="V218" s="834"/>
      <c r="W218" s="834"/>
      <c r="X218" s="834"/>
      <c r="Y218" s="834"/>
      <c r="Z218" s="834"/>
      <c r="AA218" s="834"/>
      <c r="AB218" s="834"/>
      <c r="AC218" s="834"/>
      <c r="AD218" s="834"/>
      <c r="AE218" s="834"/>
      <c r="AF218" s="834"/>
      <c r="AG218" s="834"/>
      <c r="AH218" s="834"/>
      <c r="AJ218" s="836"/>
      <c r="AK218" s="836"/>
      <c r="AL218" s="836"/>
      <c r="AM218" s="836"/>
      <c r="AN218" s="836"/>
      <c r="AO218" s="836"/>
      <c r="AP218" s="836"/>
      <c r="AQ218" s="836"/>
      <c r="AR218" s="836"/>
      <c r="AS218" s="836"/>
      <c r="AT218" s="836"/>
      <c r="AU218" s="836"/>
      <c r="AV218" s="836"/>
      <c r="AW218" s="836"/>
      <c r="AX218" s="836"/>
      <c r="AY218" s="836"/>
      <c r="AZ218" s="836"/>
      <c r="BA218" s="836"/>
      <c r="BB218" s="836"/>
      <c r="BC218" s="836"/>
      <c r="BD218" s="836"/>
      <c r="BE218" s="836"/>
      <c r="BF218" s="836"/>
      <c r="BG218" s="836"/>
      <c r="BH218" s="836"/>
      <c r="BI218" s="836"/>
      <c r="BJ218" s="836"/>
      <c r="BK218" s="836"/>
      <c r="BL218" s="836"/>
      <c r="BM218" s="836"/>
      <c r="BN218" s="836"/>
      <c r="BO218" s="836"/>
      <c r="BP218" s="836"/>
      <c r="BR218" s="838"/>
      <c r="BS218" s="838"/>
      <c r="BT218" s="838"/>
      <c r="BU218" s="838"/>
      <c r="BV218" s="838"/>
      <c r="BW218" s="838"/>
      <c r="BX218" s="838"/>
      <c r="BY218" s="838"/>
      <c r="BZ218" s="838"/>
      <c r="CA218" s="838"/>
      <c r="CB218" s="838"/>
      <c r="CC218" s="838"/>
      <c r="CD218" s="838"/>
      <c r="CE218" s="838"/>
      <c r="CF218" s="838"/>
      <c r="CG218" s="838"/>
      <c r="CH218" s="838"/>
      <c r="CI218" s="838"/>
      <c r="CJ218" s="838"/>
      <c r="CK218" s="838"/>
      <c r="CL218" s="838"/>
      <c r="CM218" s="838"/>
      <c r="CN218" s="838"/>
      <c r="CO218" s="838"/>
      <c r="CP218" s="838"/>
      <c r="CQ218" s="838"/>
      <c r="CR218" s="838"/>
      <c r="CS218" s="838"/>
      <c r="CT218" s="838"/>
      <c r="CU218" s="838"/>
      <c r="CV218" s="697"/>
    </row>
    <row r="219">
      <c r="A219" s="834"/>
      <c r="B219" s="834"/>
      <c r="C219" s="834"/>
      <c r="D219" s="834"/>
      <c r="E219" s="834"/>
      <c r="F219" s="834"/>
      <c r="G219" s="834"/>
      <c r="H219" s="834"/>
      <c r="I219" s="834"/>
      <c r="J219" s="834"/>
      <c r="K219" s="834"/>
      <c r="L219" s="834"/>
      <c r="M219" s="834"/>
      <c r="N219" s="834"/>
      <c r="O219" s="834"/>
      <c r="P219" s="834"/>
      <c r="Q219" s="834"/>
      <c r="R219" s="834"/>
      <c r="S219" s="834"/>
      <c r="T219" s="834"/>
      <c r="U219" s="834"/>
      <c r="V219" s="834"/>
      <c r="W219" s="834"/>
      <c r="X219" s="834"/>
      <c r="Y219" s="834"/>
      <c r="Z219" s="834"/>
      <c r="AA219" s="834"/>
      <c r="AB219" s="834"/>
      <c r="AC219" s="834"/>
      <c r="AD219" s="834"/>
      <c r="AE219" s="834"/>
      <c r="AF219" s="834"/>
      <c r="AG219" s="834"/>
      <c r="AH219" s="834"/>
      <c r="AJ219" s="836"/>
      <c r="AK219" s="836"/>
      <c r="AL219" s="836"/>
      <c r="AM219" s="836"/>
      <c r="AN219" s="836"/>
      <c r="AO219" s="836"/>
      <c r="AP219" s="836"/>
      <c r="AQ219" s="836"/>
      <c r="AR219" s="836"/>
      <c r="AS219" s="836"/>
      <c r="AT219" s="836"/>
      <c r="AU219" s="836"/>
      <c r="AV219" s="836"/>
      <c r="AW219" s="836"/>
      <c r="AX219" s="836"/>
      <c r="AY219" s="836"/>
      <c r="AZ219" s="836"/>
      <c r="BA219" s="836"/>
      <c r="BB219" s="836"/>
      <c r="BC219" s="836"/>
      <c r="BD219" s="836"/>
      <c r="BE219" s="836"/>
      <c r="BF219" s="836"/>
      <c r="BG219" s="836"/>
      <c r="BH219" s="836"/>
      <c r="BI219" s="836"/>
      <c r="BJ219" s="836"/>
      <c r="BK219" s="836"/>
      <c r="BL219" s="836"/>
      <c r="BM219" s="836"/>
      <c r="BN219" s="836"/>
      <c r="BO219" s="836"/>
      <c r="BP219" s="836"/>
      <c r="BR219" s="838"/>
      <c r="BS219" s="838"/>
      <c r="BT219" s="838"/>
      <c r="BU219" s="838"/>
      <c r="BV219" s="838"/>
      <c r="BW219" s="838"/>
      <c r="BX219" s="838"/>
      <c r="BY219" s="838"/>
      <c r="BZ219" s="838"/>
      <c r="CA219" s="838"/>
      <c r="CB219" s="838"/>
      <c r="CC219" s="838"/>
      <c r="CD219" s="838"/>
      <c r="CE219" s="838"/>
      <c r="CF219" s="838"/>
      <c r="CG219" s="838"/>
      <c r="CH219" s="838"/>
      <c r="CI219" s="838"/>
      <c r="CJ219" s="838"/>
      <c r="CK219" s="838"/>
      <c r="CL219" s="838"/>
      <c r="CM219" s="838"/>
      <c r="CN219" s="838"/>
      <c r="CO219" s="838"/>
      <c r="CP219" s="838"/>
      <c r="CQ219" s="838"/>
      <c r="CR219" s="838"/>
      <c r="CS219" s="838"/>
      <c r="CT219" s="838"/>
      <c r="CU219" s="838"/>
      <c r="CV219" s="697"/>
    </row>
    <row r="220">
      <c r="A220" s="834"/>
      <c r="B220" s="834"/>
      <c r="C220" s="834"/>
      <c r="D220" s="834"/>
      <c r="E220" s="834"/>
      <c r="F220" s="834"/>
      <c r="G220" s="834"/>
      <c r="H220" s="834"/>
      <c r="I220" s="834"/>
      <c r="J220" s="834"/>
      <c r="K220" s="834"/>
      <c r="L220" s="834"/>
      <c r="M220" s="834"/>
      <c r="N220" s="834"/>
      <c r="O220" s="834"/>
      <c r="P220" s="834"/>
      <c r="Q220" s="834"/>
      <c r="R220" s="834"/>
      <c r="S220" s="834"/>
      <c r="T220" s="834"/>
      <c r="U220" s="834"/>
      <c r="V220" s="834"/>
      <c r="W220" s="834"/>
      <c r="X220" s="834"/>
      <c r="Y220" s="834"/>
      <c r="Z220" s="834"/>
      <c r="AA220" s="834"/>
      <c r="AB220" s="834"/>
      <c r="AC220" s="834"/>
      <c r="AD220" s="834"/>
      <c r="AE220" s="834"/>
      <c r="AF220" s="834"/>
      <c r="AG220" s="834"/>
      <c r="AH220" s="834"/>
      <c r="AJ220" s="836"/>
      <c r="AK220" s="836"/>
      <c r="AL220" s="836"/>
      <c r="AM220" s="836"/>
      <c r="AN220" s="836"/>
      <c r="AO220" s="836"/>
      <c r="AP220" s="836"/>
      <c r="AQ220" s="836"/>
      <c r="AR220" s="836"/>
      <c r="AS220" s="836"/>
      <c r="AT220" s="836"/>
      <c r="AU220" s="836"/>
      <c r="AV220" s="836"/>
      <c r="AW220" s="836"/>
      <c r="AX220" s="836"/>
      <c r="AY220" s="836"/>
      <c r="AZ220" s="836"/>
      <c r="BA220" s="836"/>
      <c r="BB220" s="836"/>
      <c r="BC220" s="836"/>
      <c r="BD220" s="836"/>
      <c r="BE220" s="836"/>
      <c r="BF220" s="836"/>
      <c r="BG220" s="836"/>
      <c r="BH220" s="836"/>
      <c r="BI220" s="836"/>
      <c r="BJ220" s="836"/>
      <c r="BK220" s="836"/>
      <c r="BL220" s="836"/>
      <c r="BM220" s="836"/>
      <c r="BN220" s="836"/>
      <c r="BO220" s="836"/>
      <c r="BP220" s="836"/>
      <c r="BR220" s="838"/>
      <c r="BS220" s="838"/>
      <c r="BT220" s="838"/>
      <c r="BU220" s="838"/>
      <c r="BV220" s="838"/>
      <c r="BW220" s="838"/>
      <c r="BX220" s="838"/>
      <c r="BY220" s="838"/>
      <c r="BZ220" s="838"/>
      <c r="CA220" s="838"/>
      <c r="CB220" s="838"/>
      <c r="CC220" s="838"/>
      <c r="CD220" s="838"/>
      <c r="CE220" s="838"/>
      <c r="CF220" s="838"/>
      <c r="CG220" s="838"/>
      <c r="CH220" s="838"/>
      <c r="CI220" s="838"/>
      <c r="CJ220" s="838"/>
      <c r="CK220" s="838"/>
      <c r="CL220" s="838"/>
      <c r="CM220" s="838"/>
      <c r="CN220" s="838"/>
      <c r="CO220" s="838"/>
      <c r="CP220" s="838"/>
      <c r="CQ220" s="838"/>
      <c r="CR220" s="838"/>
      <c r="CS220" s="838"/>
      <c r="CT220" s="838"/>
      <c r="CU220" s="838"/>
      <c r="CV220" s="697"/>
    </row>
    <row r="221">
      <c r="A221" s="834"/>
      <c r="B221" s="834"/>
      <c r="C221" s="834"/>
      <c r="D221" s="834"/>
      <c r="E221" s="834"/>
      <c r="F221" s="834"/>
      <c r="G221" s="834"/>
      <c r="H221" s="834"/>
      <c r="I221" s="834"/>
      <c r="J221" s="834"/>
      <c r="K221" s="834"/>
      <c r="L221" s="834"/>
      <c r="M221" s="834"/>
      <c r="N221" s="834"/>
      <c r="O221" s="834"/>
      <c r="P221" s="834"/>
      <c r="Q221" s="834"/>
      <c r="R221" s="834"/>
      <c r="S221" s="834"/>
      <c r="T221" s="834"/>
      <c r="U221" s="834"/>
      <c r="V221" s="834"/>
      <c r="W221" s="834"/>
      <c r="X221" s="834"/>
      <c r="Y221" s="834"/>
      <c r="Z221" s="834"/>
      <c r="AA221" s="834"/>
      <c r="AB221" s="834"/>
      <c r="AC221" s="834"/>
      <c r="AD221" s="834"/>
      <c r="AE221" s="834"/>
      <c r="AF221" s="834"/>
      <c r="AG221" s="834"/>
      <c r="AH221" s="834"/>
      <c r="AJ221" s="836"/>
      <c r="AK221" s="836"/>
      <c r="AL221" s="836"/>
      <c r="AM221" s="836"/>
      <c r="AN221" s="836"/>
      <c r="AO221" s="836"/>
      <c r="AP221" s="836"/>
      <c r="AQ221" s="836"/>
      <c r="AR221" s="836"/>
      <c r="AS221" s="836"/>
      <c r="AT221" s="836"/>
      <c r="AU221" s="836"/>
      <c r="AV221" s="836"/>
      <c r="AW221" s="836"/>
      <c r="AX221" s="836"/>
      <c r="AY221" s="836"/>
      <c r="AZ221" s="836"/>
      <c r="BA221" s="836"/>
      <c r="BB221" s="836"/>
      <c r="BC221" s="836"/>
      <c r="BD221" s="836"/>
      <c r="BE221" s="836"/>
      <c r="BF221" s="836"/>
      <c r="BG221" s="836"/>
      <c r="BH221" s="836"/>
      <c r="BI221" s="836"/>
      <c r="BJ221" s="836"/>
      <c r="BK221" s="836"/>
      <c r="BL221" s="836"/>
      <c r="BM221" s="836"/>
      <c r="BN221" s="836"/>
      <c r="BO221" s="836"/>
      <c r="BP221" s="836"/>
      <c r="BR221" s="838"/>
      <c r="BS221" s="838"/>
      <c r="BT221" s="838"/>
      <c r="BU221" s="838"/>
      <c r="BV221" s="838"/>
      <c r="BW221" s="838"/>
      <c r="BX221" s="838"/>
      <c r="BY221" s="838"/>
      <c r="BZ221" s="838"/>
      <c r="CA221" s="838"/>
      <c r="CB221" s="838"/>
      <c r="CC221" s="838"/>
      <c r="CD221" s="838"/>
      <c r="CE221" s="838"/>
      <c r="CF221" s="838"/>
      <c r="CG221" s="838"/>
      <c r="CH221" s="838"/>
      <c r="CI221" s="838"/>
      <c r="CJ221" s="838"/>
      <c r="CK221" s="838"/>
      <c r="CL221" s="838"/>
      <c r="CM221" s="838"/>
      <c r="CN221" s="838"/>
      <c r="CO221" s="838"/>
      <c r="CP221" s="838"/>
      <c r="CQ221" s="838"/>
      <c r="CR221" s="838"/>
      <c r="CS221" s="838"/>
      <c r="CT221" s="838"/>
      <c r="CU221" s="838"/>
      <c r="CV221" s="697"/>
    </row>
    <row r="222">
      <c r="A222" s="834"/>
      <c r="B222" s="834"/>
      <c r="C222" s="834"/>
      <c r="D222" s="834"/>
      <c r="E222" s="834"/>
      <c r="F222" s="834"/>
      <c r="G222" s="834"/>
      <c r="H222" s="834"/>
      <c r="I222" s="834"/>
      <c r="J222" s="834"/>
      <c r="K222" s="834"/>
      <c r="L222" s="834"/>
      <c r="M222" s="834"/>
      <c r="N222" s="834"/>
      <c r="O222" s="834"/>
      <c r="P222" s="834"/>
      <c r="Q222" s="834"/>
      <c r="R222" s="834"/>
      <c r="S222" s="834"/>
      <c r="T222" s="834"/>
      <c r="U222" s="834"/>
      <c r="V222" s="834"/>
      <c r="W222" s="834"/>
      <c r="X222" s="834"/>
      <c r="Y222" s="834"/>
      <c r="Z222" s="834"/>
      <c r="AA222" s="834"/>
      <c r="AB222" s="834"/>
      <c r="AC222" s="834"/>
      <c r="AD222" s="834"/>
      <c r="AE222" s="834"/>
      <c r="AF222" s="834"/>
      <c r="AG222" s="834"/>
      <c r="AH222" s="834"/>
      <c r="AJ222" s="836"/>
      <c r="AK222" s="836"/>
      <c r="AL222" s="836"/>
      <c r="AM222" s="836"/>
      <c r="AN222" s="836"/>
      <c r="AO222" s="836"/>
      <c r="AP222" s="836"/>
      <c r="AQ222" s="836"/>
      <c r="AR222" s="836"/>
      <c r="AS222" s="836"/>
      <c r="AT222" s="836"/>
      <c r="AU222" s="836"/>
      <c r="AV222" s="836"/>
      <c r="AW222" s="836"/>
      <c r="AX222" s="836"/>
      <c r="AY222" s="836"/>
      <c r="AZ222" s="836"/>
      <c r="BA222" s="836"/>
      <c r="BB222" s="836"/>
      <c r="BC222" s="836"/>
      <c r="BD222" s="836"/>
      <c r="BE222" s="836"/>
      <c r="BF222" s="836"/>
      <c r="BG222" s="836"/>
      <c r="BH222" s="836"/>
      <c r="BI222" s="836"/>
      <c r="BJ222" s="836"/>
      <c r="BK222" s="836"/>
      <c r="BL222" s="836"/>
      <c r="BM222" s="836"/>
      <c r="BN222" s="836"/>
      <c r="BO222" s="836"/>
      <c r="BP222" s="836"/>
      <c r="BR222" s="838" t="str">
        <f>IFERROR(__xludf.DUMMYFUNCTION("""COMPUTED_VALUE"""),"Before 1990")</f>
        <v>Before 1990</v>
      </c>
      <c r="BS222" s="838"/>
      <c r="BT222" s="838"/>
      <c r="BU222" s="838"/>
      <c r="BV222" s="838"/>
      <c r="BW222" s="838"/>
      <c r="BX222" s="838"/>
      <c r="BY222" s="838"/>
      <c r="BZ222" s="838"/>
      <c r="CA222" s="838"/>
      <c r="CB222" s="838"/>
      <c r="CC222" s="838"/>
      <c r="CD222" s="838"/>
      <c r="CE222" s="838"/>
      <c r="CF222" s="838"/>
      <c r="CG222" s="838"/>
      <c r="CH222" s="838"/>
      <c r="CI222" s="838"/>
      <c r="CJ222" s="838"/>
      <c r="CK222" s="838"/>
      <c r="CL222" s="838"/>
      <c r="CM222" s="838"/>
      <c r="CN222" s="838"/>
      <c r="CO222" s="838"/>
      <c r="CP222" s="838"/>
      <c r="CQ222" s="838"/>
      <c r="CR222" s="838"/>
      <c r="CS222" s="838"/>
      <c r="CT222" s="838"/>
      <c r="CU222" s="838"/>
      <c r="CV222" s="697"/>
    </row>
    <row r="223">
      <c r="A223" s="834"/>
      <c r="B223" s="834"/>
      <c r="C223" s="834"/>
      <c r="D223" s="834"/>
      <c r="E223" s="834"/>
      <c r="F223" s="834"/>
      <c r="G223" s="834"/>
      <c r="H223" s="834"/>
      <c r="I223" s="834"/>
      <c r="J223" s="834"/>
      <c r="K223" s="834"/>
      <c r="L223" s="834"/>
      <c r="M223" s="834"/>
      <c r="N223" s="834"/>
      <c r="O223" s="834"/>
      <c r="P223" s="834"/>
      <c r="Q223" s="834"/>
      <c r="R223" s="834"/>
      <c r="S223" s="834"/>
      <c r="T223" s="834"/>
      <c r="U223" s="834"/>
      <c r="V223" s="834"/>
      <c r="W223" s="834"/>
      <c r="X223" s="834"/>
      <c r="Y223" s="834"/>
      <c r="Z223" s="834"/>
      <c r="AA223" s="834"/>
      <c r="AB223" s="834"/>
      <c r="AC223" s="834"/>
      <c r="AD223" s="834"/>
      <c r="AE223" s="834"/>
      <c r="AF223" s="834"/>
      <c r="AG223" s="834"/>
      <c r="AH223" s="834"/>
      <c r="AJ223" s="836"/>
      <c r="AK223" s="836"/>
      <c r="AL223" s="836"/>
      <c r="AM223" s="836"/>
      <c r="AN223" s="836"/>
      <c r="AO223" s="836"/>
      <c r="AP223" s="836"/>
      <c r="AQ223" s="836"/>
      <c r="AR223" s="836"/>
      <c r="AS223" s="836"/>
      <c r="AT223" s="836"/>
      <c r="AU223" s="836"/>
      <c r="AV223" s="836"/>
      <c r="AW223" s="836"/>
      <c r="AX223" s="836"/>
      <c r="AY223" s="836"/>
      <c r="AZ223" s="836"/>
      <c r="BA223" s="836"/>
      <c r="BB223" s="836"/>
      <c r="BC223" s="836"/>
      <c r="BD223" s="836"/>
      <c r="BE223" s="836"/>
      <c r="BF223" s="836"/>
      <c r="BG223" s="836"/>
      <c r="BH223" s="836"/>
      <c r="BI223" s="836"/>
      <c r="BJ223" s="836"/>
      <c r="BK223" s="836"/>
      <c r="BL223" s="836"/>
      <c r="BM223" s="836"/>
      <c r="BN223" s="836"/>
      <c r="BO223" s="836"/>
      <c r="BP223" s="836"/>
      <c r="BR223" s="838" t="str">
        <f>IFERROR(__xludf.DUMMYFUNCTION("""COMPUTED_VALUE"""),"1990-2000")</f>
        <v>1990-2000</v>
      </c>
      <c r="BS223" s="838"/>
      <c r="BT223" s="838"/>
      <c r="BU223" s="838"/>
      <c r="BV223" s="838"/>
      <c r="BW223" s="838"/>
      <c r="BX223" s="838"/>
      <c r="BY223" s="838"/>
      <c r="BZ223" s="838"/>
      <c r="CA223" s="838"/>
      <c r="CB223" s="838"/>
      <c r="CC223" s="838"/>
      <c r="CD223" s="838"/>
      <c r="CE223" s="838"/>
      <c r="CF223" s="838"/>
      <c r="CG223" s="838"/>
      <c r="CH223" s="838"/>
      <c r="CI223" s="838"/>
      <c r="CJ223" s="838"/>
      <c r="CK223" s="838"/>
      <c r="CL223" s="838"/>
      <c r="CM223" s="838"/>
      <c r="CN223" s="838"/>
      <c r="CO223" s="838"/>
      <c r="CP223" s="838"/>
      <c r="CQ223" s="838"/>
      <c r="CR223" s="838"/>
      <c r="CS223" s="838"/>
      <c r="CT223" s="838"/>
      <c r="CU223" s="838"/>
      <c r="CV223" s="697"/>
    </row>
    <row r="224">
      <c r="A224" s="834"/>
      <c r="B224" s="834"/>
      <c r="C224" s="834"/>
      <c r="D224" s="834"/>
      <c r="E224" s="834"/>
      <c r="F224" s="834"/>
      <c r="G224" s="834"/>
      <c r="H224" s="834"/>
      <c r="I224" s="834"/>
      <c r="J224" s="834"/>
      <c r="K224" s="834"/>
      <c r="L224" s="834"/>
      <c r="M224" s="834"/>
      <c r="N224" s="834"/>
      <c r="O224" s="834"/>
      <c r="P224" s="834"/>
      <c r="Q224" s="834"/>
      <c r="R224" s="834"/>
      <c r="S224" s="834"/>
      <c r="T224" s="834"/>
      <c r="U224" s="834"/>
      <c r="V224" s="834"/>
      <c r="W224" s="834"/>
      <c r="X224" s="834"/>
      <c r="Y224" s="834"/>
      <c r="Z224" s="834"/>
      <c r="AA224" s="834"/>
      <c r="AB224" s="834"/>
      <c r="AC224" s="834"/>
      <c r="AD224" s="834"/>
      <c r="AE224" s="834"/>
      <c r="AF224" s="834"/>
      <c r="AG224" s="834"/>
      <c r="AH224" s="834"/>
      <c r="AJ224" s="836"/>
      <c r="AK224" s="836"/>
      <c r="AL224" s="836"/>
      <c r="AM224" s="836"/>
      <c r="AN224" s="836"/>
      <c r="AO224" s="836"/>
      <c r="AP224" s="836"/>
      <c r="AQ224" s="836"/>
      <c r="AR224" s="836"/>
      <c r="AS224" s="836"/>
      <c r="AT224" s="836"/>
      <c r="AU224" s="836"/>
      <c r="AV224" s="836"/>
      <c r="AW224" s="836"/>
      <c r="AX224" s="836"/>
      <c r="AY224" s="836"/>
      <c r="AZ224" s="836"/>
      <c r="BA224" s="836"/>
      <c r="BB224" s="836"/>
      <c r="BC224" s="836"/>
      <c r="BD224" s="836"/>
      <c r="BE224" s="836"/>
      <c r="BF224" s="836"/>
      <c r="BG224" s="836"/>
      <c r="BH224" s="836"/>
      <c r="BI224" s="836"/>
      <c r="BJ224" s="836"/>
      <c r="BK224" s="836"/>
      <c r="BL224" s="836"/>
      <c r="BM224" s="836"/>
      <c r="BN224" s="836"/>
      <c r="BO224" s="836"/>
      <c r="BP224" s="836"/>
      <c r="BR224" s="838" t="str">
        <f>IFERROR(__xludf.DUMMYFUNCTION("""COMPUTED_VALUE"""),"2000-present")</f>
        <v>2000-present</v>
      </c>
      <c r="BS224" s="838"/>
      <c r="BT224" s="838"/>
      <c r="BU224" s="838"/>
      <c r="BV224" s="838"/>
      <c r="BW224" s="838"/>
      <c r="BX224" s="838"/>
      <c r="BY224" s="838"/>
      <c r="BZ224" s="838"/>
      <c r="CA224" s="838"/>
      <c r="CB224" s="838"/>
      <c r="CC224" s="838"/>
      <c r="CD224" s="838"/>
      <c r="CE224" s="838"/>
      <c r="CF224" s="838"/>
      <c r="CG224" s="838"/>
      <c r="CH224" s="838"/>
      <c r="CI224" s="838"/>
      <c r="CJ224" s="838"/>
      <c r="CK224" s="838"/>
      <c r="CL224" s="838"/>
      <c r="CM224" s="838"/>
      <c r="CN224" s="838"/>
      <c r="CO224" s="838"/>
      <c r="CP224" s="838"/>
      <c r="CQ224" s="838"/>
      <c r="CR224" s="838"/>
      <c r="CS224" s="838"/>
      <c r="CT224" s="838"/>
      <c r="CU224" s="838"/>
      <c r="CV224" s="697"/>
    </row>
    <row r="225">
      <c r="A225" s="834"/>
      <c r="B225" s="834"/>
      <c r="C225" s="834"/>
      <c r="D225" s="834"/>
      <c r="E225" s="834"/>
      <c r="F225" s="834"/>
      <c r="G225" s="834"/>
      <c r="H225" s="834"/>
      <c r="I225" s="834"/>
      <c r="J225" s="834"/>
      <c r="K225" s="834"/>
      <c r="L225" s="834"/>
      <c r="M225" s="834"/>
      <c r="N225" s="834"/>
      <c r="O225" s="834"/>
      <c r="P225" s="834"/>
      <c r="Q225" s="834"/>
      <c r="R225" s="834"/>
      <c r="S225" s="834"/>
      <c r="T225" s="834"/>
      <c r="U225" s="834"/>
      <c r="V225" s="834"/>
      <c r="W225" s="834"/>
      <c r="X225" s="834"/>
      <c r="Y225" s="834"/>
      <c r="Z225" s="834"/>
      <c r="AA225" s="834"/>
      <c r="AB225" s="834"/>
      <c r="AC225" s="834"/>
      <c r="AD225" s="834"/>
      <c r="AE225" s="834"/>
      <c r="AF225" s="834"/>
      <c r="AG225" s="834"/>
      <c r="AH225" s="834"/>
      <c r="AJ225" s="836"/>
      <c r="AK225" s="836"/>
      <c r="AL225" s="836"/>
      <c r="AM225" s="836"/>
      <c r="AN225" s="836"/>
      <c r="AO225" s="836"/>
      <c r="AP225" s="836"/>
      <c r="AQ225" s="836"/>
      <c r="AR225" s="836"/>
      <c r="AS225" s="836"/>
      <c r="AT225" s="836"/>
      <c r="AU225" s="836"/>
      <c r="AV225" s="836"/>
      <c r="AW225" s="836"/>
      <c r="AX225" s="836"/>
      <c r="AY225" s="836"/>
      <c r="AZ225" s="836"/>
      <c r="BA225" s="836"/>
      <c r="BB225" s="836"/>
      <c r="BC225" s="836"/>
      <c r="BD225" s="836"/>
      <c r="BE225" s="836"/>
      <c r="BF225" s="836"/>
      <c r="BG225" s="836"/>
      <c r="BH225" s="836"/>
      <c r="BI225" s="836"/>
      <c r="BJ225" s="836"/>
      <c r="BK225" s="836"/>
      <c r="BL225" s="836"/>
      <c r="BM225" s="836"/>
      <c r="BN225" s="836"/>
      <c r="BO225" s="836"/>
      <c r="BP225" s="836"/>
      <c r="BR225" s="838" t="str">
        <f>IFERROR(__xludf.DUMMYFUNCTION("""COMPUTED_VALUE"""),"Included Pregnant Women")</f>
        <v>Included Pregnant Women</v>
      </c>
      <c r="BS225" s="838"/>
      <c r="BT225" s="838"/>
      <c r="BU225" s="838"/>
      <c r="BV225" s="838"/>
      <c r="BW225" s="838"/>
      <c r="BX225" s="838"/>
      <c r="BY225" s="838"/>
      <c r="BZ225" s="838"/>
      <c r="CA225" s="838"/>
      <c r="CB225" s="838"/>
      <c r="CC225" s="838"/>
      <c r="CD225" s="838"/>
      <c r="CE225" s="838"/>
      <c r="CF225" s="838"/>
      <c r="CG225" s="838"/>
      <c r="CH225" s="838"/>
      <c r="CI225" s="838"/>
      <c r="CJ225" s="838"/>
      <c r="CK225" s="838"/>
      <c r="CL225" s="838"/>
      <c r="CM225" s="838"/>
      <c r="CN225" s="838"/>
      <c r="CO225" s="838"/>
      <c r="CP225" s="838"/>
      <c r="CQ225" s="838"/>
      <c r="CR225" s="838"/>
      <c r="CS225" s="838"/>
      <c r="CT225" s="838"/>
      <c r="CU225" s="838"/>
      <c r="CV225" s="697"/>
    </row>
    <row r="226">
      <c r="A226" s="834"/>
      <c r="B226" s="834"/>
      <c r="C226" s="834"/>
      <c r="D226" s="834"/>
      <c r="E226" s="834"/>
      <c r="F226" s="834"/>
      <c r="G226" s="834"/>
      <c r="H226" s="834"/>
      <c r="I226" s="834"/>
      <c r="J226" s="834"/>
      <c r="K226" s="834"/>
      <c r="L226" s="834"/>
      <c r="M226" s="834"/>
      <c r="N226" s="834"/>
      <c r="O226" s="834"/>
      <c r="P226" s="834"/>
      <c r="Q226" s="834"/>
      <c r="R226" s="834"/>
      <c r="S226" s="834"/>
      <c r="T226" s="834"/>
      <c r="U226" s="834"/>
      <c r="V226" s="834"/>
      <c r="W226" s="834"/>
      <c r="X226" s="834"/>
      <c r="Y226" s="834"/>
      <c r="Z226" s="834"/>
      <c r="AA226" s="834"/>
      <c r="AB226" s="834"/>
      <c r="AC226" s="834"/>
      <c r="AD226" s="834"/>
      <c r="AE226" s="834"/>
      <c r="AF226" s="834"/>
      <c r="AG226" s="834"/>
      <c r="AH226" s="834"/>
      <c r="AJ226" s="836"/>
      <c r="AK226" s="836"/>
      <c r="AL226" s="836"/>
      <c r="AM226" s="836"/>
      <c r="AN226" s="836"/>
      <c r="AO226" s="836"/>
      <c r="AP226" s="836"/>
      <c r="AQ226" s="836"/>
      <c r="AR226" s="836"/>
      <c r="AS226" s="836"/>
      <c r="AT226" s="836"/>
      <c r="AU226" s="836"/>
      <c r="AV226" s="836"/>
      <c r="AW226" s="836"/>
      <c r="AX226" s="836"/>
      <c r="AY226" s="836"/>
      <c r="AZ226" s="836"/>
      <c r="BA226" s="836"/>
      <c r="BB226" s="836"/>
      <c r="BC226" s="836"/>
      <c r="BD226" s="836"/>
      <c r="BE226" s="836"/>
      <c r="BF226" s="836"/>
      <c r="BG226" s="836"/>
      <c r="BH226" s="836"/>
      <c r="BI226" s="836"/>
      <c r="BJ226" s="836"/>
      <c r="BK226" s="836"/>
      <c r="BL226" s="836"/>
      <c r="BM226" s="836"/>
      <c r="BN226" s="836"/>
      <c r="BO226" s="836"/>
      <c r="BP226" s="836"/>
      <c r="BR226" s="838" t="str">
        <f>IFERROR(__xludf.DUMMYFUNCTION("""COMPUTED_VALUE"""),"only woman ")</f>
        <v>only woman </v>
      </c>
      <c r="BS226" s="838"/>
      <c r="BT226" s="838"/>
      <c r="BU226" s="838"/>
      <c r="BV226" s="838"/>
      <c r="BW226" s="838"/>
      <c r="BX226" s="838"/>
      <c r="BY226" s="838"/>
      <c r="BZ226" s="838"/>
      <c r="CA226" s="838"/>
      <c r="CB226" s="838"/>
      <c r="CC226" s="838"/>
      <c r="CD226" s="838"/>
      <c r="CE226" s="838"/>
      <c r="CF226" s="838"/>
      <c r="CG226" s="838"/>
      <c r="CH226" s="838"/>
      <c r="CI226" s="838"/>
      <c r="CJ226" s="838"/>
      <c r="CK226" s="838"/>
      <c r="CL226" s="838"/>
      <c r="CM226" s="838"/>
      <c r="CN226" s="838"/>
      <c r="CO226" s="838"/>
      <c r="CP226" s="838"/>
      <c r="CQ226" s="838"/>
      <c r="CR226" s="838"/>
      <c r="CS226" s="838"/>
      <c r="CT226" s="838"/>
      <c r="CU226" s="838"/>
      <c r="CV226" s="697"/>
    </row>
    <row r="227">
      <c r="A227" s="834"/>
      <c r="B227" s="834"/>
      <c r="C227" s="834"/>
      <c r="D227" s="834"/>
      <c r="E227" s="834"/>
      <c r="F227" s="834"/>
      <c r="G227" s="834"/>
      <c r="H227" s="834"/>
      <c r="I227" s="834"/>
      <c r="J227" s="834"/>
      <c r="K227" s="834"/>
      <c r="L227" s="834"/>
      <c r="M227" s="834"/>
      <c r="N227" s="834"/>
      <c r="O227" s="834"/>
      <c r="P227" s="834"/>
      <c r="Q227" s="834"/>
      <c r="R227" s="834"/>
      <c r="S227" s="834"/>
      <c r="T227" s="834"/>
      <c r="U227" s="834"/>
      <c r="V227" s="834"/>
      <c r="W227" s="834"/>
      <c r="X227" s="834"/>
      <c r="Y227" s="834"/>
      <c r="Z227" s="834"/>
      <c r="AA227" s="834"/>
      <c r="AB227" s="834"/>
      <c r="AC227" s="834"/>
      <c r="AD227" s="834"/>
      <c r="AE227" s="834"/>
      <c r="AF227" s="834"/>
      <c r="AG227" s="834"/>
      <c r="AH227" s="834"/>
      <c r="AJ227" s="836"/>
      <c r="AK227" s="836"/>
      <c r="AL227" s="836"/>
      <c r="AM227" s="836"/>
      <c r="AN227" s="836"/>
      <c r="AO227" s="836"/>
      <c r="AP227" s="836"/>
      <c r="AQ227" s="836"/>
      <c r="AR227" s="836"/>
      <c r="AS227" s="836"/>
      <c r="AT227" s="836"/>
      <c r="AU227" s="836"/>
      <c r="AV227" s="836"/>
      <c r="AW227" s="836"/>
      <c r="AX227" s="836"/>
      <c r="AY227" s="836"/>
      <c r="AZ227" s="836"/>
      <c r="BA227" s="836"/>
      <c r="BB227" s="836"/>
      <c r="BC227" s="836"/>
      <c r="BD227" s="836"/>
      <c r="BE227" s="836"/>
      <c r="BF227" s="836"/>
      <c r="BG227" s="836"/>
      <c r="BH227" s="836"/>
      <c r="BI227" s="836"/>
      <c r="BJ227" s="836"/>
      <c r="BK227" s="836"/>
      <c r="BL227" s="836"/>
      <c r="BM227" s="836"/>
      <c r="BN227" s="836"/>
      <c r="BO227" s="836"/>
      <c r="BP227" s="836"/>
      <c r="BR227" s="838" t="str">
        <f>IFERROR(__xludf.DUMMYFUNCTION("""COMPUTED_VALUE"""),"only men")</f>
        <v>only men</v>
      </c>
      <c r="BS227" s="838"/>
      <c r="BT227" s="838"/>
      <c r="BU227" s="838"/>
      <c r="BV227" s="838"/>
      <c r="BW227" s="838"/>
      <c r="BX227" s="838"/>
      <c r="BY227" s="838"/>
      <c r="BZ227" s="838"/>
      <c r="CA227" s="838"/>
      <c r="CB227" s="838"/>
      <c r="CC227" s="838"/>
      <c r="CD227" s="838"/>
      <c r="CE227" s="838"/>
      <c r="CF227" s="838"/>
      <c r="CG227" s="838"/>
      <c r="CH227" s="838"/>
      <c r="CI227" s="838"/>
      <c r="CJ227" s="838"/>
      <c r="CK227" s="838"/>
      <c r="CL227" s="838"/>
      <c r="CM227" s="838"/>
      <c r="CN227" s="838"/>
      <c r="CO227" s="838"/>
      <c r="CP227" s="838"/>
      <c r="CQ227" s="838"/>
      <c r="CR227" s="838"/>
      <c r="CS227" s="838"/>
      <c r="CT227" s="838"/>
      <c r="CU227" s="838"/>
      <c r="CV227" s="697"/>
    </row>
    <row r="228">
      <c r="A228" s="834"/>
      <c r="B228" s="834"/>
      <c r="C228" s="834"/>
      <c r="D228" s="834"/>
      <c r="E228" s="834"/>
      <c r="F228" s="834"/>
      <c r="G228" s="834"/>
      <c r="H228" s="834"/>
      <c r="I228" s="834"/>
      <c r="J228" s="834"/>
      <c r="K228" s="834"/>
      <c r="L228" s="834"/>
      <c r="M228" s="834"/>
      <c r="N228" s="834"/>
      <c r="O228" s="834"/>
      <c r="P228" s="834"/>
      <c r="Q228" s="834"/>
      <c r="R228" s="834"/>
      <c r="S228" s="834"/>
      <c r="T228" s="834"/>
      <c r="U228" s="834"/>
      <c r="V228" s="834"/>
      <c r="W228" s="834"/>
      <c r="X228" s="834"/>
      <c r="Y228" s="834"/>
      <c r="Z228" s="834"/>
      <c r="AA228" s="834"/>
      <c r="AB228" s="834"/>
      <c r="AC228" s="834"/>
      <c r="AD228" s="834"/>
      <c r="AE228" s="834"/>
      <c r="AF228" s="834"/>
      <c r="AG228" s="834"/>
      <c r="AH228" s="834"/>
      <c r="AJ228" s="836"/>
      <c r="AK228" s="836"/>
      <c r="AL228" s="836"/>
      <c r="AM228" s="836"/>
      <c r="AN228" s="836"/>
      <c r="AO228" s="836"/>
      <c r="AP228" s="836"/>
      <c r="AQ228" s="836"/>
      <c r="AR228" s="836"/>
      <c r="AS228" s="836"/>
      <c r="AT228" s="836"/>
      <c r="AU228" s="836"/>
      <c r="AV228" s="836"/>
      <c r="AW228" s="836"/>
      <c r="AX228" s="836"/>
      <c r="AY228" s="836"/>
      <c r="AZ228" s="836"/>
      <c r="BA228" s="836"/>
      <c r="BB228" s="836"/>
      <c r="BC228" s="836"/>
      <c r="BD228" s="836"/>
      <c r="BE228" s="836"/>
      <c r="BF228" s="836"/>
      <c r="BG228" s="836"/>
      <c r="BH228" s="836"/>
      <c r="BI228" s="836"/>
      <c r="BJ228" s="836"/>
      <c r="BK228" s="836"/>
      <c r="BL228" s="836"/>
      <c r="BM228" s="836"/>
      <c r="BN228" s="836"/>
      <c r="BO228" s="836"/>
      <c r="BP228" s="836"/>
      <c r="BR228" s="838" t="str">
        <f>IFERROR(__xludf.DUMMYFUNCTION("""COMPUTED_VALUE"""),"double-blind study")</f>
        <v>double-blind study</v>
      </c>
      <c r="BS228" s="838"/>
      <c r="BT228" s="838"/>
      <c r="BU228" s="838"/>
      <c r="BV228" s="838"/>
      <c r="BW228" s="838"/>
      <c r="BX228" s="838"/>
      <c r="BY228" s="838"/>
      <c r="BZ228" s="838"/>
      <c r="CA228" s="838"/>
      <c r="CB228" s="838"/>
      <c r="CC228" s="838"/>
      <c r="CD228" s="838"/>
      <c r="CE228" s="838"/>
      <c r="CF228" s="838"/>
      <c r="CG228" s="838"/>
      <c r="CH228" s="838"/>
      <c r="CI228" s="838"/>
      <c r="CJ228" s="838"/>
      <c r="CK228" s="838"/>
      <c r="CL228" s="838"/>
      <c r="CM228" s="838"/>
      <c r="CN228" s="838"/>
      <c r="CO228" s="838"/>
      <c r="CP228" s="838"/>
      <c r="CQ228" s="838"/>
      <c r="CR228" s="838"/>
      <c r="CS228" s="838"/>
      <c r="CT228" s="838"/>
      <c r="CU228" s="838"/>
      <c r="CV228" s="697"/>
    </row>
    <row r="229">
      <c r="A229" s="834"/>
      <c r="B229" s="834"/>
      <c r="C229" s="834"/>
      <c r="D229" s="834"/>
      <c r="E229" s="834"/>
      <c r="F229" s="834"/>
      <c r="G229" s="834"/>
      <c r="H229" s="834"/>
      <c r="I229" s="834"/>
      <c r="J229" s="834"/>
      <c r="K229" s="834"/>
      <c r="L229" s="834"/>
      <c r="M229" s="834"/>
      <c r="N229" s="834"/>
      <c r="O229" s="834"/>
      <c r="P229" s="834"/>
      <c r="Q229" s="834"/>
      <c r="R229" s="834"/>
      <c r="S229" s="834"/>
      <c r="T229" s="834"/>
      <c r="U229" s="834"/>
      <c r="V229" s="834"/>
      <c r="W229" s="834"/>
      <c r="X229" s="834"/>
      <c r="Y229" s="834"/>
      <c r="Z229" s="834"/>
      <c r="AA229" s="834"/>
      <c r="AB229" s="834"/>
      <c r="AC229" s="834"/>
      <c r="AD229" s="834"/>
      <c r="AE229" s="834"/>
      <c r="AF229" s="834"/>
      <c r="AG229" s="834"/>
      <c r="AH229" s="834"/>
      <c r="AJ229" s="836"/>
      <c r="AK229" s="836"/>
      <c r="AL229" s="836"/>
      <c r="AM229" s="836"/>
      <c r="AN229" s="836"/>
      <c r="AO229" s="836"/>
      <c r="AP229" s="836"/>
      <c r="AQ229" s="836"/>
      <c r="AR229" s="836"/>
      <c r="AS229" s="836"/>
      <c r="AT229" s="836"/>
      <c r="AU229" s="836"/>
      <c r="AV229" s="836"/>
      <c r="AW229" s="836"/>
      <c r="AX229" s="836"/>
      <c r="AY229" s="836"/>
      <c r="AZ229" s="836"/>
      <c r="BA229" s="836"/>
      <c r="BB229" s="836"/>
      <c r="BC229" s="836"/>
      <c r="BD229" s="836"/>
      <c r="BE229" s="836"/>
      <c r="BF229" s="836"/>
      <c r="BG229" s="836"/>
      <c r="BH229" s="836"/>
      <c r="BI229" s="836"/>
      <c r="BJ229" s="836"/>
      <c r="BK229" s="836"/>
      <c r="BL229" s="836"/>
      <c r="BM229" s="836"/>
      <c r="BN229" s="836"/>
      <c r="BO229" s="836"/>
      <c r="BP229" s="836"/>
      <c r="BR229" s="838" t="str">
        <f>IFERROR(__xludf.DUMMYFUNCTION("""COMPUTED_VALUE"""),"random single blind/assessor blind")</f>
        <v>random single blind/assessor blind</v>
      </c>
      <c r="BS229" s="838"/>
      <c r="BT229" s="838"/>
      <c r="BU229" s="838"/>
      <c r="BV229" s="838"/>
      <c r="BW229" s="838"/>
      <c r="BX229" s="838"/>
      <c r="BY229" s="838"/>
      <c r="BZ229" s="838"/>
      <c r="CA229" s="838"/>
      <c r="CB229" s="838"/>
      <c r="CC229" s="838"/>
      <c r="CD229" s="838"/>
      <c r="CE229" s="838"/>
      <c r="CF229" s="838"/>
      <c r="CG229" s="838"/>
      <c r="CH229" s="838"/>
      <c r="CI229" s="838"/>
      <c r="CJ229" s="838"/>
      <c r="CK229" s="838"/>
      <c r="CL229" s="838"/>
      <c r="CM229" s="838"/>
      <c r="CN229" s="838"/>
      <c r="CO229" s="838"/>
      <c r="CP229" s="838"/>
      <c r="CQ229" s="838"/>
      <c r="CR229" s="838"/>
      <c r="CS229" s="838"/>
      <c r="CT229" s="838"/>
      <c r="CU229" s="838"/>
      <c r="CV229" s="697"/>
    </row>
    <row r="230">
      <c r="A230" s="834"/>
      <c r="B230" s="834"/>
      <c r="C230" s="834"/>
      <c r="D230" s="834"/>
      <c r="E230" s="834"/>
      <c r="F230" s="834"/>
      <c r="G230" s="834"/>
      <c r="H230" s="834"/>
      <c r="I230" s="834"/>
      <c r="J230" s="834"/>
      <c r="K230" s="834"/>
      <c r="L230" s="834"/>
      <c r="M230" s="834"/>
      <c r="N230" s="834"/>
      <c r="O230" s="834"/>
      <c r="P230" s="834"/>
      <c r="Q230" s="834"/>
      <c r="R230" s="834"/>
      <c r="S230" s="834"/>
      <c r="T230" s="834"/>
      <c r="U230" s="834"/>
      <c r="V230" s="834"/>
      <c r="W230" s="834"/>
      <c r="X230" s="834"/>
      <c r="Y230" s="834"/>
      <c r="Z230" s="834"/>
      <c r="AA230" s="834"/>
      <c r="AB230" s="834"/>
      <c r="AC230" s="834"/>
      <c r="AD230" s="834"/>
      <c r="AE230" s="834"/>
      <c r="AF230" s="834"/>
      <c r="AG230" s="834"/>
      <c r="AH230" s="834"/>
      <c r="AJ230" s="836"/>
      <c r="AK230" s="836"/>
      <c r="AL230" s="836"/>
      <c r="AM230" s="836"/>
      <c r="AN230" s="836"/>
      <c r="AO230" s="836"/>
      <c r="AP230" s="836"/>
      <c r="AQ230" s="836"/>
      <c r="AR230" s="836"/>
      <c r="AS230" s="836"/>
      <c r="AT230" s="836"/>
      <c r="AU230" s="836"/>
      <c r="AV230" s="836"/>
      <c r="AW230" s="836"/>
      <c r="AX230" s="836"/>
      <c r="AY230" s="836"/>
      <c r="AZ230" s="836"/>
      <c r="BA230" s="836"/>
      <c r="BB230" s="836"/>
      <c r="BC230" s="836"/>
      <c r="BD230" s="836"/>
      <c r="BE230" s="836"/>
      <c r="BF230" s="836"/>
      <c r="BG230" s="836"/>
      <c r="BH230" s="836"/>
      <c r="BI230" s="836"/>
      <c r="BJ230" s="836"/>
      <c r="BK230" s="836"/>
      <c r="BL230" s="836"/>
      <c r="BM230" s="836"/>
      <c r="BN230" s="836"/>
      <c r="BO230" s="836"/>
      <c r="BP230" s="836"/>
      <c r="BR230" s="838" t="str">
        <f>IFERROR(__xludf.DUMMYFUNCTION("""COMPUTED_VALUE"""),"Placebo ")</f>
        <v>Placebo </v>
      </c>
      <c r="BS230" s="838"/>
      <c r="BT230" s="838"/>
      <c r="BU230" s="838"/>
      <c r="BV230" s="838"/>
      <c r="BW230" s="838"/>
      <c r="BX230" s="838"/>
      <c r="BY230" s="838"/>
      <c r="BZ230" s="838"/>
      <c r="CA230" s="838"/>
      <c r="CB230" s="838"/>
      <c r="CC230" s="838"/>
      <c r="CD230" s="838"/>
      <c r="CE230" s="838"/>
      <c r="CF230" s="838"/>
      <c r="CG230" s="838"/>
      <c r="CH230" s="838"/>
      <c r="CI230" s="838"/>
      <c r="CJ230" s="838"/>
      <c r="CK230" s="838"/>
      <c r="CL230" s="838"/>
      <c r="CM230" s="838"/>
      <c r="CN230" s="838"/>
      <c r="CO230" s="838"/>
      <c r="CP230" s="838"/>
      <c r="CQ230" s="838"/>
      <c r="CR230" s="838"/>
      <c r="CS230" s="838"/>
      <c r="CT230" s="838"/>
      <c r="CU230" s="838"/>
      <c r="CV230" s="697"/>
    </row>
    <row r="231">
      <c r="A231" s="834"/>
      <c r="B231" s="834"/>
      <c r="C231" s="834"/>
      <c r="D231" s="834"/>
      <c r="E231" s="834"/>
      <c r="F231" s="834"/>
      <c r="G231" s="834"/>
      <c r="H231" s="834"/>
      <c r="I231" s="834"/>
      <c r="J231" s="834"/>
      <c r="K231" s="834"/>
      <c r="L231" s="834"/>
      <c r="M231" s="834"/>
      <c r="N231" s="834"/>
      <c r="O231" s="834"/>
      <c r="P231" s="834"/>
      <c r="Q231" s="834"/>
      <c r="R231" s="834"/>
      <c r="S231" s="834"/>
      <c r="T231" s="834"/>
      <c r="U231" s="834"/>
      <c r="V231" s="834"/>
      <c r="W231" s="834"/>
      <c r="X231" s="834"/>
      <c r="Y231" s="834"/>
      <c r="Z231" s="834"/>
      <c r="AA231" s="834"/>
      <c r="AB231" s="834"/>
      <c r="AC231" s="834"/>
      <c r="AD231" s="834"/>
      <c r="AE231" s="834"/>
      <c r="AF231" s="834"/>
      <c r="AG231" s="834"/>
      <c r="AH231" s="834"/>
      <c r="AJ231" s="836"/>
      <c r="AK231" s="836"/>
      <c r="AL231" s="836"/>
      <c r="AM231" s="836"/>
      <c r="AN231" s="836"/>
      <c r="AO231" s="836"/>
      <c r="AP231" s="836"/>
      <c r="AQ231" s="836"/>
      <c r="AR231" s="836"/>
      <c r="AS231" s="836"/>
      <c r="AT231" s="836"/>
      <c r="AU231" s="836"/>
      <c r="AV231" s="836"/>
      <c r="AW231" s="836"/>
      <c r="AX231" s="836"/>
      <c r="AY231" s="836"/>
      <c r="AZ231" s="836"/>
      <c r="BA231" s="836"/>
      <c r="BB231" s="836"/>
      <c r="BC231" s="836"/>
      <c r="BD231" s="836"/>
      <c r="BE231" s="836"/>
      <c r="BF231" s="836"/>
      <c r="BG231" s="836"/>
      <c r="BH231" s="836"/>
      <c r="BI231" s="836"/>
      <c r="BJ231" s="836"/>
      <c r="BK231" s="836"/>
      <c r="BL231" s="836"/>
      <c r="BM231" s="836"/>
      <c r="BN231" s="836"/>
      <c r="BO231" s="836"/>
      <c r="BP231" s="836"/>
      <c r="BR231" s="838" t="str">
        <f>IFERROR(__xludf.DUMMYFUNCTION("""COMPUTED_VALUE"""),"Sample Size: 0-100")</f>
        <v>Sample Size: 0-100</v>
      </c>
      <c r="BS231" s="838"/>
      <c r="BT231" s="838"/>
      <c r="BU231" s="838"/>
      <c r="BV231" s="838"/>
      <c r="BW231" s="838"/>
      <c r="BX231" s="838"/>
      <c r="BY231" s="838"/>
      <c r="BZ231" s="838"/>
      <c r="CA231" s="838"/>
      <c r="CB231" s="838"/>
      <c r="CC231" s="838"/>
      <c r="CD231" s="838"/>
      <c r="CE231" s="838"/>
      <c r="CF231" s="838"/>
      <c r="CG231" s="838"/>
      <c r="CH231" s="838"/>
      <c r="CI231" s="838"/>
      <c r="CJ231" s="838"/>
      <c r="CK231" s="838"/>
      <c r="CL231" s="838"/>
      <c r="CM231" s="838"/>
      <c r="CN231" s="838"/>
      <c r="CO231" s="838"/>
      <c r="CP231" s="838"/>
      <c r="CQ231" s="838"/>
      <c r="CR231" s="838"/>
      <c r="CS231" s="838"/>
      <c r="CT231" s="838"/>
      <c r="CU231" s="838"/>
      <c r="CV231" s="697"/>
    </row>
    <row r="232">
      <c r="A232" s="834"/>
      <c r="B232" s="834"/>
      <c r="C232" s="834"/>
      <c r="D232" s="834"/>
      <c r="E232" s="834"/>
      <c r="F232" s="834"/>
      <c r="G232" s="834"/>
      <c r="H232" s="834"/>
      <c r="I232" s="834"/>
      <c r="J232" s="834"/>
      <c r="K232" s="834"/>
      <c r="L232" s="834"/>
      <c r="M232" s="834"/>
      <c r="N232" s="834"/>
      <c r="O232" s="834"/>
      <c r="P232" s="834"/>
      <c r="Q232" s="834"/>
      <c r="R232" s="834"/>
      <c r="S232" s="834"/>
      <c r="T232" s="834"/>
      <c r="U232" s="834"/>
      <c r="V232" s="834"/>
      <c r="W232" s="834"/>
      <c r="X232" s="834"/>
      <c r="Y232" s="834"/>
      <c r="Z232" s="834"/>
      <c r="AA232" s="834"/>
      <c r="AB232" s="834"/>
      <c r="AC232" s="834"/>
      <c r="AD232" s="834"/>
      <c r="AE232" s="834"/>
      <c r="AF232" s="834"/>
      <c r="AG232" s="834"/>
      <c r="AH232" s="834"/>
      <c r="AJ232" s="836"/>
      <c r="AK232" s="836"/>
      <c r="AL232" s="836"/>
      <c r="AM232" s="836"/>
      <c r="AN232" s="836"/>
      <c r="AO232" s="836"/>
      <c r="AP232" s="836"/>
      <c r="AQ232" s="836"/>
      <c r="AR232" s="836"/>
      <c r="AS232" s="836"/>
      <c r="AT232" s="836"/>
      <c r="AU232" s="836"/>
      <c r="AV232" s="836"/>
      <c r="AW232" s="836"/>
      <c r="AX232" s="836"/>
      <c r="AY232" s="836"/>
      <c r="AZ232" s="836"/>
      <c r="BA232" s="836"/>
      <c r="BB232" s="836"/>
      <c r="BC232" s="836"/>
      <c r="BD232" s="836"/>
      <c r="BE232" s="836"/>
      <c r="BF232" s="836"/>
      <c r="BG232" s="836"/>
      <c r="BH232" s="836"/>
      <c r="BI232" s="836"/>
      <c r="BJ232" s="836"/>
      <c r="BK232" s="836"/>
      <c r="BL232" s="836"/>
      <c r="BM232" s="836"/>
      <c r="BN232" s="836"/>
      <c r="BO232" s="836"/>
      <c r="BP232" s="836"/>
      <c r="BR232" s="838" t="str">
        <f>IFERROR(__xludf.DUMMYFUNCTION("""COMPUTED_VALUE"""),"Sample Size: 100-500")</f>
        <v>Sample Size: 100-500</v>
      </c>
      <c r="BS232" s="838"/>
      <c r="BT232" s="838"/>
      <c r="BU232" s="838"/>
      <c r="BV232" s="838"/>
      <c r="BW232" s="838"/>
      <c r="BX232" s="838"/>
      <c r="BY232" s="838"/>
      <c r="BZ232" s="838"/>
      <c r="CA232" s="838"/>
      <c r="CB232" s="838"/>
      <c r="CC232" s="838"/>
      <c r="CD232" s="838"/>
      <c r="CE232" s="838"/>
      <c r="CF232" s="838"/>
      <c r="CG232" s="838"/>
      <c r="CH232" s="838"/>
      <c r="CI232" s="838"/>
      <c r="CJ232" s="838"/>
      <c r="CK232" s="838"/>
      <c r="CL232" s="838"/>
      <c r="CM232" s="838"/>
      <c r="CN232" s="838"/>
      <c r="CO232" s="838"/>
      <c r="CP232" s="838"/>
      <c r="CQ232" s="838"/>
      <c r="CR232" s="838"/>
      <c r="CS232" s="838"/>
      <c r="CT232" s="838"/>
      <c r="CU232" s="838"/>
      <c r="CV232" s="697"/>
    </row>
    <row r="233">
      <c r="A233" s="834"/>
      <c r="B233" s="834"/>
      <c r="C233" s="834"/>
      <c r="D233" s="834"/>
      <c r="E233" s="834"/>
      <c r="F233" s="834"/>
      <c r="G233" s="834"/>
      <c r="H233" s="834"/>
      <c r="I233" s="834"/>
      <c r="J233" s="834"/>
      <c r="K233" s="834"/>
      <c r="L233" s="834"/>
      <c r="M233" s="834"/>
      <c r="N233" s="834"/>
      <c r="O233" s="834"/>
      <c r="P233" s="834"/>
      <c r="Q233" s="834"/>
      <c r="R233" s="834"/>
      <c r="S233" s="834"/>
      <c r="T233" s="834"/>
      <c r="U233" s="834"/>
      <c r="V233" s="834"/>
      <c r="W233" s="834"/>
      <c r="X233" s="834"/>
      <c r="Y233" s="834"/>
      <c r="Z233" s="834"/>
      <c r="AA233" s="834"/>
      <c r="AB233" s="834"/>
      <c r="AC233" s="834"/>
      <c r="AD233" s="834"/>
      <c r="AE233" s="834"/>
      <c r="AF233" s="834"/>
      <c r="AG233" s="834"/>
      <c r="AH233" s="834"/>
      <c r="AJ233" s="836"/>
      <c r="AK233" s="836"/>
      <c r="AL233" s="836"/>
      <c r="AM233" s="836"/>
      <c r="AN233" s="836"/>
      <c r="AO233" s="836"/>
      <c r="AP233" s="836"/>
      <c r="AQ233" s="836"/>
      <c r="AR233" s="836"/>
      <c r="AS233" s="836"/>
      <c r="AT233" s="836"/>
      <c r="AU233" s="836"/>
      <c r="AV233" s="836"/>
      <c r="AW233" s="836"/>
      <c r="AX233" s="836"/>
      <c r="AY233" s="836"/>
      <c r="AZ233" s="836"/>
      <c r="BA233" s="836"/>
      <c r="BB233" s="836"/>
      <c r="BC233" s="836"/>
      <c r="BD233" s="836"/>
      <c r="BE233" s="836"/>
      <c r="BF233" s="836"/>
      <c r="BG233" s="836"/>
      <c r="BH233" s="836"/>
      <c r="BI233" s="836"/>
      <c r="BJ233" s="836"/>
      <c r="BK233" s="836"/>
      <c r="BL233" s="836"/>
      <c r="BM233" s="836"/>
      <c r="BN233" s="836"/>
      <c r="BO233" s="836"/>
      <c r="BP233" s="836"/>
      <c r="BR233" s="838" t="str">
        <f>IFERROR(__xludf.DUMMYFUNCTION("""COMPUTED_VALUE"""),"Sample Size: 500- and up")</f>
        <v>Sample Size: 500- and up</v>
      </c>
      <c r="BS233" s="838"/>
      <c r="BT233" s="838"/>
      <c r="BU233" s="838"/>
      <c r="BV233" s="838"/>
      <c r="BW233" s="838"/>
      <c r="BX233" s="838"/>
      <c r="BY233" s="838"/>
      <c r="BZ233" s="838"/>
      <c r="CA233" s="838"/>
      <c r="CB233" s="838"/>
      <c r="CC233" s="838"/>
      <c r="CD233" s="838"/>
      <c r="CE233" s="838"/>
      <c r="CF233" s="838"/>
      <c r="CG233" s="838"/>
      <c r="CH233" s="838"/>
      <c r="CI233" s="838"/>
      <c r="CJ233" s="838"/>
      <c r="CK233" s="838"/>
      <c r="CL233" s="838"/>
      <c r="CM233" s="838"/>
      <c r="CN233" s="838"/>
      <c r="CO233" s="838"/>
      <c r="CP233" s="838"/>
      <c r="CQ233" s="838"/>
      <c r="CR233" s="838"/>
      <c r="CS233" s="838"/>
      <c r="CT233" s="838"/>
      <c r="CU233" s="838"/>
      <c r="CV233" s="697"/>
    </row>
    <row r="234">
      <c r="A234" s="834"/>
      <c r="B234" s="834"/>
      <c r="C234" s="834"/>
      <c r="D234" s="834"/>
      <c r="E234" s="834"/>
      <c r="F234" s="834"/>
      <c r="G234" s="834"/>
      <c r="H234" s="834"/>
      <c r="I234" s="834"/>
      <c r="J234" s="834"/>
      <c r="K234" s="834"/>
      <c r="L234" s="834"/>
      <c r="M234" s="834"/>
      <c r="N234" s="834"/>
      <c r="O234" s="834"/>
      <c r="P234" s="834"/>
      <c r="Q234" s="834"/>
      <c r="R234" s="834"/>
      <c r="S234" s="834"/>
      <c r="T234" s="834"/>
      <c r="U234" s="834"/>
      <c r="V234" s="834"/>
      <c r="W234" s="834"/>
      <c r="X234" s="834"/>
      <c r="Y234" s="834"/>
      <c r="Z234" s="834"/>
      <c r="AA234" s="834"/>
      <c r="AB234" s="834"/>
      <c r="AC234" s="834"/>
      <c r="AD234" s="834"/>
      <c r="AE234" s="834"/>
      <c r="AF234" s="834"/>
      <c r="AG234" s="834"/>
      <c r="AH234" s="834"/>
      <c r="AJ234" s="836"/>
      <c r="AK234" s="836"/>
      <c r="AL234" s="836"/>
      <c r="AM234" s="836"/>
      <c r="AN234" s="836"/>
      <c r="AO234" s="836"/>
      <c r="AP234" s="836"/>
      <c r="AQ234" s="836"/>
      <c r="AR234" s="836"/>
      <c r="AS234" s="836"/>
      <c r="AT234" s="836"/>
      <c r="AU234" s="836"/>
      <c r="AV234" s="836"/>
      <c r="AW234" s="836"/>
      <c r="AX234" s="836"/>
      <c r="AY234" s="836"/>
      <c r="AZ234" s="836"/>
      <c r="BA234" s="836"/>
      <c r="BB234" s="836"/>
      <c r="BC234" s="836"/>
      <c r="BD234" s="836"/>
      <c r="BE234" s="836"/>
      <c r="BF234" s="836"/>
      <c r="BG234" s="836"/>
      <c r="BH234" s="836"/>
      <c r="BI234" s="836"/>
      <c r="BJ234" s="836"/>
      <c r="BK234" s="836"/>
      <c r="BL234" s="836"/>
      <c r="BM234" s="836"/>
      <c r="BN234" s="836"/>
      <c r="BO234" s="836"/>
      <c r="BP234" s="836"/>
      <c r="BR234" s="838" t="str">
        <f>IFERROR(__xludf.DUMMYFUNCTION("""COMPUTED_VALUE"""),"Meta ")</f>
        <v>Meta </v>
      </c>
      <c r="BS234" s="838"/>
      <c r="BT234" s="838"/>
      <c r="BU234" s="838"/>
      <c r="BV234" s="838"/>
      <c r="BW234" s="838"/>
      <c r="BX234" s="838"/>
      <c r="BY234" s="838"/>
      <c r="BZ234" s="838"/>
      <c r="CA234" s="838"/>
      <c r="CB234" s="838"/>
      <c r="CC234" s="838"/>
      <c r="CD234" s="838"/>
      <c r="CE234" s="838"/>
      <c r="CF234" s="838"/>
      <c r="CG234" s="838"/>
      <c r="CH234" s="838"/>
      <c r="CI234" s="838"/>
      <c r="CJ234" s="838"/>
      <c r="CK234" s="838"/>
      <c r="CL234" s="838"/>
      <c r="CM234" s="838"/>
      <c r="CN234" s="838"/>
      <c r="CO234" s="838"/>
      <c r="CP234" s="838"/>
      <c r="CQ234" s="838"/>
      <c r="CR234" s="838"/>
      <c r="CS234" s="838"/>
      <c r="CT234" s="838"/>
      <c r="CU234" s="838"/>
      <c r="CV234" s="697"/>
    </row>
    <row r="235">
      <c r="A235" s="834"/>
      <c r="B235" s="834"/>
      <c r="C235" s="834"/>
      <c r="D235" s="834"/>
      <c r="E235" s="834"/>
      <c r="F235" s="834"/>
      <c r="G235" s="834"/>
      <c r="H235" s="834"/>
      <c r="I235" s="834"/>
      <c r="J235" s="834"/>
      <c r="K235" s="834"/>
      <c r="L235" s="834"/>
      <c r="M235" s="834"/>
      <c r="N235" s="834"/>
      <c r="O235" s="834"/>
      <c r="P235" s="834"/>
      <c r="Q235" s="834"/>
      <c r="R235" s="834"/>
      <c r="S235" s="834"/>
      <c r="T235" s="834"/>
      <c r="U235" s="834"/>
      <c r="V235" s="834"/>
      <c r="W235" s="834"/>
      <c r="X235" s="834"/>
      <c r="Y235" s="834"/>
      <c r="Z235" s="834"/>
      <c r="AA235" s="834"/>
      <c r="AB235" s="834"/>
      <c r="AC235" s="834"/>
      <c r="AD235" s="834"/>
      <c r="AE235" s="834"/>
      <c r="AF235" s="834"/>
      <c r="AG235" s="834"/>
      <c r="AH235" s="834"/>
      <c r="AJ235" s="836"/>
      <c r="AK235" s="836"/>
      <c r="AL235" s="836"/>
      <c r="AM235" s="836"/>
      <c r="AN235" s="836"/>
      <c r="AO235" s="836"/>
      <c r="AP235" s="836"/>
      <c r="AQ235" s="836"/>
      <c r="AR235" s="836"/>
      <c r="AS235" s="836"/>
      <c r="AT235" s="836"/>
      <c r="AU235" s="836"/>
      <c r="AV235" s="836"/>
      <c r="AW235" s="836"/>
      <c r="AX235" s="836"/>
      <c r="AY235" s="836"/>
      <c r="AZ235" s="836"/>
      <c r="BA235" s="836"/>
      <c r="BB235" s="836"/>
      <c r="BC235" s="836"/>
      <c r="BD235" s="836"/>
      <c r="BE235" s="836"/>
      <c r="BF235" s="836"/>
      <c r="BG235" s="836"/>
      <c r="BH235" s="836"/>
      <c r="BI235" s="836"/>
      <c r="BJ235" s="836"/>
      <c r="BK235" s="836"/>
      <c r="BL235" s="836"/>
      <c r="BM235" s="836"/>
      <c r="BN235" s="836"/>
      <c r="BO235" s="836"/>
      <c r="BP235" s="836"/>
      <c r="BR235" s="838" t="str">
        <f>IFERROR(__xludf.DUMMYFUNCTION("""COMPUTED_VALUE"""),"Adults(older than 18) ")</f>
        <v>Adults(older than 18) </v>
      </c>
      <c r="BS235" s="838"/>
      <c r="BT235" s="838"/>
      <c r="BU235" s="838"/>
      <c r="BV235" s="838"/>
      <c r="BW235" s="838"/>
      <c r="BX235" s="838"/>
      <c r="BY235" s="838"/>
      <c r="BZ235" s="838"/>
      <c r="CA235" s="838"/>
      <c r="CB235" s="838"/>
      <c r="CC235" s="838"/>
      <c r="CD235" s="838"/>
      <c r="CE235" s="838"/>
      <c r="CF235" s="838"/>
      <c r="CG235" s="838"/>
      <c r="CH235" s="838"/>
      <c r="CI235" s="838"/>
      <c r="CJ235" s="838"/>
      <c r="CK235" s="838"/>
      <c r="CL235" s="838"/>
      <c r="CM235" s="838"/>
      <c r="CN235" s="838"/>
      <c r="CO235" s="838"/>
      <c r="CP235" s="838"/>
      <c r="CQ235" s="838"/>
      <c r="CR235" s="838"/>
      <c r="CS235" s="838"/>
      <c r="CT235" s="838"/>
      <c r="CU235" s="838"/>
      <c r="CV235" s="697"/>
    </row>
    <row r="236">
      <c r="A236" s="834"/>
      <c r="B236" s="834"/>
      <c r="C236" s="834"/>
      <c r="D236" s="834"/>
      <c r="E236" s="834"/>
      <c r="F236" s="834"/>
      <c r="G236" s="834"/>
      <c r="H236" s="834"/>
      <c r="I236" s="834"/>
      <c r="J236" s="834"/>
      <c r="K236" s="834"/>
      <c r="L236" s="834"/>
      <c r="M236" s="834"/>
      <c r="N236" s="834"/>
      <c r="O236" s="834"/>
      <c r="P236" s="834"/>
      <c r="Q236" s="834"/>
      <c r="R236" s="834"/>
      <c r="S236" s="834"/>
      <c r="T236" s="834"/>
      <c r="U236" s="834"/>
      <c r="V236" s="834"/>
      <c r="W236" s="834"/>
      <c r="X236" s="834"/>
      <c r="Y236" s="834"/>
      <c r="Z236" s="834"/>
      <c r="AA236" s="834"/>
      <c r="AB236" s="834"/>
      <c r="AC236" s="834"/>
      <c r="AD236" s="834"/>
      <c r="AE236" s="834"/>
      <c r="AF236" s="834"/>
      <c r="AG236" s="834"/>
      <c r="AH236" s="834"/>
      <c r="AJ236" s="836"/>
      <c r="AK236" s="836"/>
      <c r="AL236" s="836"/>
      <c r="AM236" s="836"/>
      <c r="AN236" s="836"/>
      <c r="AO236" s="836"/>
      <c r="AP236" s="836"/>
      <c r="AQ236" s="836"/>
      <c r="AR236" s="836"/>
      <c r="AS236" s="836"/>
      <c r="AT236" s="836"/>
      <c r="AU236" s="836"/>
      <c r="AV236" s="836"/>
      <c r="AW236" s="836"/>
      <c r="AX236" s="836"/>
      <c r="AY236" s="836"/>
      <c r="AZ236" s="836"/>
      <c r="BA236" s="836"/>
      <c r="BB236" s="836"/>
      <c r="BC236" s="836"/>
      <c r="BD236" s="836"/>
      <c r="BE236" s="836"/>
      <c r="BF236" s="836"/>
      <c r="BG236" s="836"/>
      <c r="BH236" s="836"/>
      <c r="BI236" s="836"/>
      <c r="BJ236" s="836"/>
      <c r="BK236" s="836"/>
      <c r="BL236" s="836"/>
      <c r="BM236" s="836"/>
      <c r="BN236" s="836"/>
      <c r="BO236" s="836"/>
      <c r="BP236" s="836"/>
      <c r="BR236" s="838" t="str">
        <f>IFERROR(__xludf.DUMMYFUNCTION("""COMPUTED_VALUE"""),"School Children and Adults")</f>
        <v>School Children and Adults</v>
      </c>
      <c r="BS236" s="838"/>
      <c r="BT236" s="838"/>
      <c r="BU236" s="838"/>
      <c r="BV236" s="838"/>
      <c r="BW236" s="838"/>
      <c r="BX236" s="838"/>
      <c r="BY236" s="838"/>
      <c r="BZ236" s="838"/>
      <c r="CA236" s="838"/>
      <c r="CB236" s="838"/>
      <c r="CC236" s="838"/>
      <c r="CD236" s="838"/>
      <c r="CE236" s="838"/>
      <c r="CF236" s="838"/>
      <c r="CG236" s="838"/>
      <c r="CH236" s="838"/>
      <c r="CI236" s="838"/>
      <c r="CJ236" s="838"/>
      <c r="CK236" s="838"/>
      <c r="CL236" s="838"/>
      <c r="CM236" s="838"/>
      <c r="CN236" s="838"/>
      <c r="CO236" s="838"/>
      <c r="CP236" s="838"/>
      <c r="CQ236" s="838"/>
      <c r="CR236" s="838"/>
      <c r="CS236" s="838"/>
      <c r="CT236" s="838"/>
      <c r="CU236" s="838"/>
      <c r="CV236" s="697"/>
    </row>
    <row r="237">
      <c r="A237" s="834"/>
      <c r="B237" s="834"/>
      <c r="C237" s="834"/>
      <c r="D237" s="834"/>
      <c r="E237" s="834"/>
      <c r="F237" s="834"/>
      <c r="G237" s="834"/>
      <c r="H237" s="834"/>
      <c r="I237" s="834"/>
      <c r="J237" s="834"/>
      <c r="K237" s="834"/>
      <c r="L237" s="834"/>
      <c r="M237" s="834"/>
      <c r="N237" s="834"/>
      <c r="O237" s="834"/>
      <c r="P237" s="834"/>
      <c r="Q237" s="834"/>
      <c r="R237" s="834"/>
      <c r="S237" s="834"/>
      <c r="T237" s="834"/>
      <c r="U237" s="834"/>
      <c r="V237" s="834"/>
      <c r="W237" s="834"/>
      <c r="X237" s="834"/>
      <c r="Y237" s="834"/>
      <c r="Z237" s="834"/>
      <c r="AA237" s="834"/>
      <c r="AB237" s="834"/>
      <c r="AC237" s="834"/>
      <c r="AD237" s="834"/>
      <c r="AE237" s="834"/>
      <c r="AF237" s="834"/>
      <c r="AG237" s="834"/>
      <c r="AH237" s="834"/>
      <c r="AJ237" s="836"/>
      <c r="AK237" s="836"/>
      <c r="AL237" s="836"/>
      <c r="AM237" s="836"/>
      <c r="AN237" s="836"/>
      <c r="AO237" s="836"/>
      <c r="AP237" s="836"/>
      <c r="AQ237" s="836"/>
      <c r="AR237" s="836"/>
      <c r="AS237" s="836"/>
      <c r="AT237" s="836"/>
      <c r="AU237" s="836"/>
      <c r="AV237" s="836"/>
      <c r="AW237" s="836"/>
      <c r="AX237" s="836"/>
      <c r="AY237" s="836"/>
      <c r="AZ237" s="836"/>
      <c r="BA237" s="836"/>
      <c r="BB237" s="836"/>
      <c r="BC237" s="836"/>
      <c r="BD237" s="836"/>
      <c r="BE237" s="836"/>
      <c r="BF237" s="836"/>
      <c r="BG237" s="836"/>
      <c r="BH237" s="836"/>
      <c r="BI237" s="836"/>
      <c r="BJ237" s="836"/>
      <c r="BK237" s="836"/>
      <c r="BL237" s="836"/>
      <c r="BM237" s="836"/>
      <c r="BN237" s="836"/>
      <c r="BO237" s="836"/>
      <c r="BP237" s="836"/>
      <c r="BR237" s="838" t="str">
        <f>IFERROR(__xludf.DUMMYFUNCTION("""COMPUTED_VALUE"""),"School Children(under 18)")</f>
        <v>School Children(under 18)</v>
      </c>
      <c r="BS237" s="838"/>
      <c r="BT237" s="838"/>
      <c r="BU237" s="838"/>
      <c r="BV237" s="838"/>
      <c r="BW237" s="838"/>
      <c r="BX237" s="838"/>
      <c r="BY237" s="838"/>
      <c r="BZ237" s="838"/>
      <c r="CA237" s="838"/>
      <c r="CB237" s="838"/>
      <c r="CC237" s="838"/>
      <c r="CD237" s="838"/>
      <c r="CE237" s="838"/>
      <c r="CF237" s="838"/>
      <c r="CG237" s="838"/>
      <c r="CH237" s="838"/>
      <c r="CI237" s="838"/>
      <c r="CJ237" s="838"/>
      <c r="CK237" s="838"/>
      <c r="CL237" s="838"/>
      <c r="CM237" s="838"/>
      <c r="CN237" s="838"/>
      <c r="CO237" s="838"/>
      <c r="CP237" s="838"/>
      <c r="CQ237" s="838"/>
      <c r="CR237" s="838"/>
      <c r="CS237" s="838"/>
      <c r="CT237" s="838"/>
      <c r="CU237" s="838"/>
      <c r="CV237" s="697"/>
    </row>
    <row r="238">
      <c r="A238" s="834"/>
      <c r="B238" s="834"/>
      <c r="C238" s="834"/>
      <c r="D238" s="834"/>
      <c r="E238" s="834"/>
      <c r="F238" s="834"/>
      <c r="G238" s="834"/>
      <c r="H238" s="834"/>
      <c r="I238" s="834"/>
      <c r="J238" s="834"/>
      <c r="K238" s="834"/>
      <c r="L238" s="834"/>
      <c r="M238" s="834"/>
      <c r="N238" s="834"/>
      <c r="O238" s="834"/>
      <c r="P238" s="834"/>
      <c r="Q238" s="834"/>
      <c r="R238" s="834"/>
      <c r="S238" s="834"/>
      <c r="T238" s="834"/>
      <c r="U238" s="834"/>
      <c r="V238" s="834"/>
      <c r="W238" s="834"/>
      <c r="X238" s="834"/>
      <c r="Y238" s="834"/>
      <c r="Z238" s="834"/>
      <c r="AA238" s="834"/>
      <c r="AB238" s="834"/>
      <c r="AC238" s="834"/>
      <c r="AD238" s="834"/>
      <c r="AE238" s="834"/>
      <c r="AF238" s="834"/>
      <c r="AG238" s="834"/>
      <c r="AH238" s="834"/>
      <c r="AJ238" s="836"/>
      <c r="AK238" s="836"/>
      <c r="AL238" s="836"/>
      <c r="AM238" s="836"/>
      <c r="AN238" s="836"/>
      <c r="AO238" s="836"/>
      <c r="AP238" s="836"/>
      <c r="AQ238" s="836"/>
      <c r="AR238" s="836"/>
      <c r="AS238" s="836"/>
      <c r="AT238" s="836"/>
      <c r="AU238" s="836"/>
      <c r="AV238" s="836"/>
      <c r="AW238" s="836"/>
      <c r="AX238" s="836"/>
      <c r="AY238" s="836"/>
      <c r="AZ238" s="836"/>
      <c r="BA238" s="836"/>
      <c r="BB238" s="836"/>
      <c r="BC238" s="836"/>
      <c r="BD238" s="836"/>
      <c r="BE238" s="836"/>
      <c r="BF238" s="836"/>
      <c r="BG238" s="836"/>
      <c r="BH238" s="836"/>
      <c r="BI238" s="836"/>
      <c r="BJ238" s="836"/>
      <c r="BK238" s="836"/>
      <c r="BL238" s="836"/>
      <c r="BM238" s="836"/>
      <c r="BN238" s="836"/>
      <c r="BO238" s="836"/>
      <c r="BP238" s="836"/>
      <c r="BR238" s="838"/>
      <c r="BS238" s="838"/>
      <c r="BT238" s="838"/>
      <c r="BU238" s="838"/>
      <c r="BV238" s="838"/>
      <c r="BW238" s="838"/>
      <c r="BX238" s="838"/>
      <c r="BY238" s="838"/>
      <c r="BZ238" s="838"/>
      <c r="CA238" s="838"/>
      <c r="CB238" s="838"/>
      <c r="CC238" s="838"/>
      <c r="CD238" s="838"/>
      <c r="CE238" s="838"/>
      <c r="CF238" s="838"/>
      <c r="CG238" s="838"/>
      <c r="CH238" s="838"/>
      <c r="CI238" s="838"/>
      <c r="CJ238" s="838"/>
      <c r="CK238" s="838"/>
      <c r="CL238" s="838"/>
      <c r="CM238" s="838"/>
      <c r="CN238" s="838"/>
      <c r="CO238" s="838"/>
      <c r="CP238" s="838"/>
      <c r="CQ238" s="838"/>
      <c r="CR238" s="838"/>
      <c r="CS238" s="838"/>
      <c r="CT238" s="838"/>
      <c r="CU238" s="838"/>
      <c r="CV238" s="697"/>
    </row>
    <row r="239">
      <c r="A239" s="834"/>
      <c r="B239" s="834"/>
      <c r="C239" s="834"/>
      <c r="D239" s="834"/>
      <c r="E239" s="834"/>
      <c r="F239" s="834"/>
      <c r="G239" s="834"/>
      <c r="H239" s="834"/>
      <c r="I239" s="834"/>
      <c r="J239" s="834"/>
      <c r="K239" s="834"/>
      <c r="L239" s="834"/>
      <c r="M239" s="834"/>
      <c r="N239" s="834"/>
      <c r="O239" s="834"/>
      <c r="P239" s="834"/>
      <c r="Q239" s="834"/>
      <c r="R239" s="834"/>
      <c r="S239" s="834"/>
      <c r="T239" s="834"/>
      <c r="U239" s="834"/>
      <c r="V239" s="834"/>
      <c r="W239" s="834"/>
      <c r="X239" s="834"/>
      <c r="Y239" s="834"/>
      <c r="Z239" s="834"/>
      <c r="AA239" s="834"/>
      <c r="AB239" s="834"/>
      <c r="AC239" s="834"/>
      <c r="AD239" s="834"/>
      <c r="AE239" s="834"/>
      <c r="AF239" s="834"/>
      <c r="AG239" s="834"/>
      <c r="AH239" s="834"/>
      <c r="AJ239" s="836"/>
      <c r="AK239" s="836"/>
      <c r="AL239" s="836"/>
      <c r="AM239" s="836"/>
      <c r="AN239" s="836"/>
      <c r="AO239" s="836"/>
      <c r="AP239" s="836"/>
      <c r="AQ239" s="836"/>
      <c r="AR239" s="836"/>
      <c r="AS239" s="836"/>
      <c r="AT239" s="836"/>
      <c r="AU239" s="836"/>
      <c r="AV239" s="836"/>
      <c r="AW239" s="836"/>
      <c r="AX239" s="836"/>
      <c r="AY239" s="836"/>
      <c r="AZ239" s="836"/>
      <c r="BA239" s="836"/>
      <c r="BB239" s="836"/>
      <c r="BC239" s="836"/>
      <c r="BD239" s="836"/>
      <c r="BE239" s="836"/>
      <c r="BF239" s="836"/>
      <c r="BG239" s="836"/>
      <c r="BH239" s="836"/>
      <c r="BI239" s="836"/>
      <c r="BJ239" s="836"/>
      <c r="BK239" s="836"/>
      <c r="BL239" s="836"/>
      <c r="BM239" s="836"/>
      <c r="BN239" s="836"/>
      <c r="BO239" s="836"/>
      <c r="BP239" s="836"/>
      <c r="BR239" s="838" t="str">
        <f>IFERROR(__xludf.DUMMYFUNCTION("""COMPUTED_VALUE"""),"WInter 2021 Data ")</f>
        <v>WInter 2021 Data </v>
      </c>
      <c r="BS239" s="838"/>
      <c r="BT239" s="838"/>
      <c r="BU239" s="838"/>
      <c r="BV239" s="838"/>
      <c r="BW239" s="838"/>
      <c r="BX239" s="838"/>
      <c r="BY239" s="838"/>
      <c r="BZ239" s="838"/>
      <c r="CA239" s="838"/>
      <c r="CB239" s="838"/>
      <c r="CC239" s="838"/>
      <c r="CD239" s="838"/>
      <c r="CE239" s="838"/>
      <c r="CF239" s="838"/>
      <c r="CG239" s="838"/>
      <c r="CH239" s="838"/>
      <c r="CI239" s="838"/>
      <c r="CJ239" s="838"/>
      <c r="CK239" s="838"/>
      <c r="CL239" s="838"/>
      <c r="CM239" s="838"/>
      <c r="CN239" s="838"/>
      <c r="CO239" s="838"/>
      <c r="CP239" s="838"/>
      <c r="CQ239" s="838"/>
      <c r="CR239" s="838"/>
      <c r="CS239" s="838"/>
      <c r="CT239" s="838"/>
      <c r="CU239" s="838"/>
      <c r="CV239" s="697"/>
    </row>
    <row r="240">
      <c r="A240" s="834"/>
      <c r="B240" s="834"/>
      <c r="C240" s="834"/>
      <c r="D240" s="834"/>
      <c r="E240" s="834"/>
      <c r="F240" s="834"/>
      <c r="G240" s="834"/>
      <c r="H240" s="834"/>
      <c r="I240" s="834"/>
      <c r="J240" s="834"/>
      <c r="K240" s="834"/>
      <c r="L240" s="834"/>
      <c r="M240" s="834"/>
      <c r="N240" s="834"/>
      <c r="O240" s="834"/>
      <c r="P240" s="834"/>
      <c r="Q240" s="834"/>
      <c r="R240" s="834"/>
      <c r="S240" s="834"/>
      <c r="T240" s="834"/>
      <c r="U240" s="834"/>
      <c r="V240" s="834"/>
      <c r="W240" s="834"/>
      <c r="X240" s="834"/>
      <c r="Y240" s="834"/>
      <c r="Z240" s="834"/>
      <c r="AA240" s="834"/>
      <c r="AB240" s="834"/>
      <c r="AC240" s="834"/>
      <c r="AD240" s="834"/>
      <c r="AE240" s="834"/>
      <c r="AF240" s="834"/>
      <c r="AG240" s="834"/>
      <c r="AH240" s="834"/>
      <c r="AJ240" s="836"/>
      <c r="AK240" s="836"/>
      <c r="AL240" s="836"/>
      <c r="AM240" s="836"/>
      <c r="AN240" s="836"/>
      <c r="AO240" s="836"/>
      <c r="AP240" s="836"/>
      <c r="AQ240" s="836"/>
      <c r="AR240" s="836"/>
      <c r="AS240" s="836"/>
      <c r="AT240" s="836"/>
      <c r="AU240" s="836"/>
      <c r="AV240" s="836"/>
      <c r="AW240" s="836"/>
      <c r="AX240" s="836"/>
      <c r="AY240" s="836"/>
      <c r="AZ240" s="836"/>
      <c r="BA240" s="836"/>
      <c r="BB240" s="836"/>
      <c r="BC240" s="836"/>
      <c r="BD240" s="836"/>
      <c r="BE240" s="836"/>
      <c r="BF240" s="836"/>
      <c r="BG240" s="836"/>
      <c r="BH240" s="836"/>
      <c r="BI240" s="836"/>
      <c r="BJ240" s="836"/>
      <c r="BK240" s="836"/>
      <c r="BL240" s="836"/>
      <c r="BM240" s="836"/>
      <c r="BN240" s="836"/>
      <c r="BO240" s="836"/>
      <c r="BP240" s="836"/>
      <c r="BR240" s="844" t="str">
        <f>IFERROR(__xludf.DUMMYFUNCTION("""COMPUTED_VALUE"""),"Silber et al.")</f>
        <v>Silber et al.</v>
      </c>
      <c r="BS240" s="838" t="str">
        <f>IFERROR(__xludf.DUMMYFUNCTION("""COMPUTED_VALUE"""),"Ethiopia")</f>
        <v>Ethiopia</v>
      </c>
      <c r="BT240" s="838" t="str">
        <f>IFERROR(__xludf.DUMMYFUNCTION("""COMPUTED_VALUE"""),"Mebendazole")</f>
        <v>Mebendazole</v>
      </c>
      <c r="BU240" s="838"/>
      <c r="BV240" s="838" t="str">
        <f>IFERROR(__xludf.DUMMYFUNCTION("""COMPUTED_VALUE"""),"Single")</f>
        <v>Single</v>
      </c>
      <c r="BW240" s="838" t="str">
        <f>IFERROR(__xludf.DUMMYFUNCTION("""COMPUTED_VALUE"""),"500 mg")</f>
        <v>500 mg</v>
      </c>
      <c r="BX240" s="838">
        <f>IFERROR(__xludf.DUMMYFUNCTION("""COMPUTED_VALUE"""),86.0)</f>
        <v>86</v>
      </c>
      <c r="BY240" s="838">
        <f>IFERROR(__xludf.DUMMYFUNCTION("""COMPUTED_VALUE"""),7.9)</f>
        <v>7.9</v>
      </c>
      <c r="BZ240" s="838">
        <f>IFERROR(__xludf.DUMMYFUNCTION("""COMPUTED_VALUE"""),2015.0)</f>
        <v>2015</v>
      </c>
      <c r="CA240" s="838" t="str">
        <f>IFERROR(__xludf.DUMMYFUNCTION("""COMPUTED_VALUE"""),"Male:71 Female:78 ")</f>
        <v>Male:71 Female:78 </v>
      </c>
      <c r="CB240" s="838" t="str">
        <f>IFERROR(__xludf.DUMMYFUNCTION("""COMPUTED_VALUE"""),"Boys and girls (1-16 years of age) living in high STH- prevalence areas in Ethiopia or Rawanda were screened for STH eggs in stools for A. Lumbricoides. Children had to be otherwise healthy based on medical history, physical examindation, vital signs, hem"&amp;"oglobin, adn concomitant medications")</f>
        <v>Boys and girls (1-16 years of age) living in high STH- prevalence areas in Ethiopia or Rawanda were screened for STH eggs in stools for A. Lumbricoides. Children had to be otherwise healthy based on medical history, physical examindation, vital signs, hemoglobin, adn concomitant medications</v>
      </c>
      <c r="CC240" s="838" t="str">
        <f>IFERROR(__xludf.DUMMYFUNCTION("""COMPUTED_VALUE"""),"Yes")</f>
        <v>Yes</v>
      </c>
      <c r="CD240" s="847">
        <f>IFERROR(__xludf.DUMMYFUNCTION("""COMPUTED_VALUE"""),0.837)</f>
        <v>0.837</v>
      </c>
      <c r="CE240" s="838" t="str">
        <f>IFERROR(__xludf.DUMMYFUNCTION("""COMPUTED_VALUE"""),"Yes")</f>
        <v>Yes</v>
      </c>
      <c r="CF240" s="838"/>
      <c r="CG240" s="838"/>
      <c r="CH240" s="838"/>
      <c r="CI240" s="838"/>
      <c r="CJ240" s="838"/>
      <c r="CK240" s="838"/>
      <c r="CL240" s="838"/>
      <c r="CM240" s="847">
        <f>IFERROR(__xludf.DUMMYFUNCTION("""COMPUTED_VALUE"""),0.979)</f>
        <v>0.979</v>
      </c>
      <c r="CN240" s="838"/>
      <c r="CO240" s="838"/>
      <c r="CP240" s="838"/>
      <c r="CQ240" s="838"/>
      <c r="CR240" s="838"/>
      <c r="CS240" s="838" t="str">
        <f>IFERROR(__xludf.DUMMYFUNCTION("""COMPUTED_VALUE"""),"A 500mg chewable MBZ tablet was more efficacious than placebo")</f>
        <v>A 500mg chewable MBZ tablet was more efficacious than placebo</v>
      </c>
      <c r="CT240" s="838" t="str">
        <f>IFERROR(__xludf.DUMMYFUNCTION("""COMPUTED_VALUE"""),"Kato-Katz")</f>
        <v>Kato-Katz</v>
      </c>
      <c r="CU240" s="838"/>
      <c r="CV240" s="697" t="str">
        <f>IFERROR(__xludf.DUMMYFUNCTION("""COMPUTED_VALUE"""),"Silber SA, Diro E, Workneh N, Mekonnen Z, Levecke B, Steinmann P, Umulisa I, Alemu H, Baeten B, Engelen M, Hu P, Friedman A, Baseman A, Mrus J. Efficacy and Safety of a Single-Dose Mebendazole 500 mg Chewable, Rapidly-Disintegrating Tablet for Ascaris lum"&amp;"bricoides and Trichuris trichiura Infection Treatment in Pediatric Patients: A Double-Blind, Randomized, Placebo-Controlled, Phase 3 Study. Am J Trop Med Hyg. 2017 Dec;97(6):1851-1856. doi: 10.4269/ajtmh.17-0108. Epub 2017 Aug 31. PMID: 29016336; PMCID: P"&amp;"MC5805036.")</f>
        <v>Silber SA, Diro E, Workneh N, Mekonnen Z, Levecke B, Steinmann P, Umulisa I, Alemu H, Baeten B, Engelen M, Hu P, Friedman A, Baseman A, Mrus J. Efficacy and Safety of a Single-Dose Mebendazole 500 mg Chewable, Rapidly-Disintegrating Tablet for Ascaris lumbricoides and Trichuris trichiura Infection Treatment in Pediatric Patients: A Double-Blind, Randomized, Placebo-Controlled, Phase 3 Study. Am J Trop Med Hyg. 2017 Dec;97(6):1851-1856. doi: 10.4269/ajtmh.17-0108. Epub 2017 Aug 31. PMID: 29016336; PMCID: PMC5805036.</v>
      </c>
    </row>
    <row r="241">
      <c r="A241" s="834"/>
      <c r="B241" s="834"/>
      <c r="C241" s="834"/>
      <c r="D241" s="834"/>
      <c r="E241" s="834"/>
      <c r="F241" s="834"/>
      <c r="G241" s="834"/>
      <c r="H241" s="834"/>
      <c r="I241" s="834"/>
      <c r="J241" s="834"/>
      <c r="K241" s="834"/>
      <c r="L241" s="834"/>
      <c r="M241" s="834"/>
      <c r="N241" s="834"/>
      <c r="O241" s="834"/>
      <c r="P241" s="834"/>
      <c r="Q241" s="834"/>
      <c r="R241" s="834"/>
      <c r="S241" s="834"/>
      <c r="T241" s="834"/>
      <c r="U241" s="834"/>
      <c r="V241" s="834"/>
      <c r="W241" s="834"/>
      <c r="X241" s="834"/>
      <c r="Y241" s="834"/>
      <c r="Z241" s="834"/>
      <c r="AA241" s="834"/>
      <c r="AB241" s="834"/>
      <c r="AC241" s="834"/>
      <c r="AD241" s="834"/>
      <c r="AE241" s="834"/>
      <c r="AF241" s="834"/>
      <c r="AG241" s="834"/>
      <c r="AH241" s="834"/>
      <c r="AJ241" s="836"/>
      <c r="AK241" s="836"/>
      <c r="AL241" s="836"/>
      <c r="AM241" s="836"/>
      <c r="AN241" s="836"/>
      <c r="AO241" s="836"/>
      <c r="AP241" s="836"/>
      <c r="AQ241" s="836"/>
      <c r="AR241" s="836"/>
      <c r="AS241" s="836"/>
      <c r="AT241" s="836"/>
      <c r="AU241" s="836"/>
      <c r="AV241" s="836"/>
      <c r="AW241" s="836"/>
      <c r="AX241" s="836"/>
      <c r="AY241" s="836"/>
      <c r="AZ241" s="836"/>
      <c r="BA241" s="836"/>
      <c r="BB241" s="836"/>
      <c r="BC241" s="836"/>
      <c r="BD241" s="836"/>
      <c r="BE241" s="836"/>
      <c r="BF241" s="836"/>
      <c r="BG241" s="836"/>
      <c r="BH241" s="836"/>
      <c r="BI241" s="836"/>
      <c r="BJ241" s="836"/>
      <c r="BK241" s="836"/>
      <c r="BL241" s="836"/>
      <c r="BM241" s="836"/>
      <c r="BN241" s="836"/>
      <c r="BO241" s="836"/>
      <c r="BP241" s="836"/>
      <c r="BR241" s="844" t="str">
        <f>IFERROR(__xludf.DUMMYFUNCTION("""COMPUTED_VALUE"""),"Silber et al.")</f>
        <v>Silber et al.</v>
      </c>
      <c r="BS241" s="838" t="str">
        <f>IFERROR(__xludf.DUMMYFUNCTION("""COMPUTED_VALUE"""),"Rawanda")</f>
        <v>Rawanda</v>
      </c>
      <c r="BT241" s="838" t="str">
        <f>IFERROR(__xludf.DUMMYFUNCTION("""COMPUTED_VALUE"""),"Mebendazole")</f>
        <v>Mebendazole</v>
      </c>
      <c r="BU241" s="838"/>
      <c r="BV241" s="838" t="str">
        <f>IFERROR(__xludf.DUMMYFUNCTION("""COMPUTED_VALUE"""),"Single")</f>
        <v>Single</v>
      </c>
      <c r="BW241" s="838" t="str">
        <f>IFERROR(__xludf.DUMMYFUNCTION("""COMPUTED_VALUE"""),"500 mg")</f>
        <v>500 mg</v>
      </c>
      <c r="BX241" s="838">
        <f>IFERROR(__xludf.DUMMYFUNCTION("""COMPUTED_VALUE"""),86.0)</f>
        <v>86</v>
      </c>
      <c r="BY241" s="838">
        <f>IFERROR(__xludf.DUMMYFUNCTION("""COMPUTED_VALUE"""),7.9)</f>
        <v>7.9</v>
      </c>
      <c r="BZ241" s="838">
        <f>IFERROR(__xludf.DUMMYFUNCTION("""COMPUTED_VALUE"""),2015.0)</f>
        <v>2015</v>
      </c>
      <c r="CA241" s="838" t="str">
        <f>IFERROR(__xludf.DUMMYFUNCTION("""COMPUTED_VALUE"""),"Male:71 Female:79")</f>
        <v>Male:71 Female:79</v>
      </c>
      <c r="CB241" s="846" t="str">
        <f>IFERROR(__xludf.DUMMYFUNCTION("""COMPUTED_VALUE"""),"Boys and girls (1-16 years of age) living in high STH- prevalence areas in Ethiopia or Rawanda were screened for STH eggs in stools for A. Lumbricoides. Children had to be otherwise healthy based on medical history, physical examindation, vital signs, hem"&amp;"oglobin, adn concomitant medications")</f>
        <v>Boys and girls (1-16 years of age) living in high STH- prevalence areas in Ethiopia or Rawanda were screened for STH eggs in stools for A. Lumbricoides. Children had to be otherwise healthy based on medical history, physical examindation, vital signs, hemoglobin, adn concomitant medications</v>
      </c>
      <c r="CC241" s="846" t="str">
        <f>IFERROR(__xludf.DUMMYFUNCTION("""COMPUTED_VALUE"""),"Yes")</f>
        <v>Yes</v>
      </c>
      <c r="CD241" s="847">
        <f>IFERROR(__xludf.DUMMYFUNCTION("""COMPUTED_VALUE"""),0.837)</f>
        <v>0.837</v>
      </c>
      <c r="CE241" s="846" t="str">
        <f>IFERROR(__xludf.DUMMYFUNCTION("""COMPUTED_VALUE"""),"Yes")</f>
        <v>Yes</v>
      </c>
      <c r="CF241" s="838"/>
      <c r="CG241" s="838"/>
      <c r="CH241" s="838"/>
      <c r="CI241" s="838"/>
      <c r="CJ241" s="838"/>
      <c r="CK241" s="838"/>
      <c r="CL241" s="838"/>
      <c r="CM241" s="847">
        <f>IFERROR(__xludf.DUMMYFUNCTION("""COMPUTED_VALUE"""),0.979)</f>
        <v>0.979</v>
      </c>
      <c r="CN241" s="838"/>
      <c r="CO241" s="838"/>
      <c r="CP241" s="838"/>
      <c r="CQ241" s="838"/>
      <c r="CR241" s="838"/>
      <c r="CS241" s="838" t="str">
        <f>IFERROR(__xludf.DUMMYFUNCTION("""COMPUTED_VALUE"""),"A 500mg chewable MBZ tablet was more efficacious than placebo")</f>
        <v>A 500mg chewable MBZ tablet was more efficacious than placebo</v>
      </c>
      <c r="CT241" s="838" t="str">
        <f>IFERROR(__xludf.DUMMYFUNCTION("""COMPUTED_VALUE"""),"Kato-Katz")</f>
        <v>Kato-Katz</v>
      </c>
      <c r="CU241" s="838"/>
      <c r="CV241" s="697" t="str">
        <f>IFERROR(__xludf.DUMMYFUNCTION("""COMPUTED_VALUE"""),"Silber SA, Diro E, Workneh N, Mekonnen Z, Levecke B, Steinmann P, Umulisa I, Alemu H, Baeten B, Engelen M, Hu P, Friedman A, Baseman A, Mrus J. Efficacy and Safety of a Single-Dose Mebendazole 500 mg Chewable, Rapidly-Disintegrating Tablet for Ascaris lum"&amp;"bricoides and Trichuris trichiura Infection Treatment in Pediatric Patients: A Double-Blind, Randomized, Placebo-Controlled, Phase 3 Study. Am J Trop Med Hyg. 2017 Dec;97(6):1851-1856. doi: 10.4269/ajtmh.17-0108. Epub 2017 Aug 31. PMID: 29016336; PMCID: P"&amp;"MC5805036.")</f>
        <v>Silber SA, Diro E, Workneh N, Mekonnen Z, Levecke B, Steinmann P, Umulisa I, Alemu H, Baeten B, Engelen M, Hu P, Friedman A, Baseman A, Mrus J. Efficacy and Safety of a Single-Dose Mebendazole 500 mg Chewable, Rapidly-Disintegrating Tablet for Ascaris lumbricoides and Trichuris trichiura Infection Treatment in Pediatric Patients: A Double-Blind, Randomized, Placebo-Controlled, Phase 3 Study. Am J Trop Med Hyg. 2017 Dec;97(6):1851-1856. doi: 10.4269/ajtmh.17-0108. Epub 2017 Aug 31. PMID: 29016336; PMCID: PMC5805036.</v>
      </c>
    </row>
    <row r="242">
      <c r="A242" s="834"/>
      <c r="B242" s="834"/>
      <c r="C242" s="834"/>
      <c r="D242" s="834"/>
      <c r="E242" s="834"/>
      <c r="F242" s="834"/>
      <c r="G242" s="834"/>
      <c r="H242" s="834"/>
      <c r="I242" s="834"/>
      <c r="J242" s="834"/>
      <c r="K242" s="834"/>
      <c r="L242" s="834"/>
      <c r="M242" s="834"/>
      <c r="N242" s="834"/>
      <c r="O242" s="834"/>
      <c r="P242" s="834"/>
      <c r="Q242" s="834"/>
      <c r="R242" s="834"/>
      <c r="S242" s="834"/>
      <c r="T242" s="834"/>
      <c r="U242" s="834"/>
      <c r="V242" s="834"/>
      <c r="W242" s="834"/>
      <c r="X242" s="834"/>
      <c r="Y242" s="834"/>
      <c r="Z242" s="834"/>
      <c r="AA242" s="834"/>
      <c r="AB242" s="834"/>
      <c r="AC242" s="834"/>
      <c r="AD242" s="834"/>
      <c r="AE242" s="834"/>
      <c r="AF242" s="834"/>
      <c r="AG242" s="834"/>
      <c r="AH242" s="834"/>
      <c r="AJ242" s="836"/>
      <c r="AK242" s="836"/>
      <c r="AL242" s="836"/>
      <c r="AM242" s="836"/>
      <c r="AN242" s="836"/>
      <c r="AO242" s="836"/>
      <c r="AP242" s="836"/>
      <c r="AQ242" s="836"/>
      <c r="AR242" s="836"/>
      <c r="AS242" s="836"/>
      <c r="AT242" s="836"/>
      <c r="AU242" s="836"/>
      <c r="AV242" s="836"/>
      <c r="AW242" s="836"/>
      <c r="AX242" s="836"/>
      <c r="AY242" s="836"/>
      <c r="AZ242" s="836"/>
      <c r="BA242" s="836"/>
      <c r="BB242" s="836"/>
      <c r="BC242" s="836"/>
      <c r="BD242" s="836"/>
      <c r="BE242" s="836"/>
      <c r="BF242" s="836"/>
      <c r="BG242" s="836"/>
      <c r="BH242" s="836"/>
      <c r="BI242" s="836"/>
      <c r="BJ242" s="836"/>
      <c r="BK242" s="836"/>
      <c r="BL242" s="836"/>
      <c r="BM242" s="836"/>
      <c r="BN242" s="836"/>
      <c r="BO242" s="836"/>
      <c r="BP242" s="836"/>
      <c r="BR242" s="844" t="str">
        <f>IFERROR(__xludf.DUMMYFUNCTION("""COMPUTED_VALUE"""),"Speich et al.")</f>
        <v>Speich et al.</v>
      </c>
      <c r="BS242" s="838" t="str">
        <f>IFERROR(__xludf.DUMMYFUNCTION("""COMPUTED_VALUE"""),"Tanzania")</f>
        <v>Tanzania</v>
      </c>
      <c r="BT242" s="838" t="str">
        <f>IFERROR(__xludf.DUMMYFUNCTION("""COMPUTED_VALUE"""),"Albendazole &amp; Ivermectin")</f>
        <v>Albendazole &amp; Ivermectin</v>
      </c>
      <c r="BU242" s="838"/>
      <c r="BV242" s="838" t="str">
        <f>IFERROR(__xludf.DUMMYFUNCTION("""COMPUTED_VALUE"""),"Single")</f>
        <v>Single</v>
      </c>
      <c r="BW242" s="838" t="str">
        <f>IFERROR(__xludf.DUMMYFUNCTION("""COMPUTED_VALUE"""),"400 mg; 200 μg/kg")</f>
        <v>400 mg; 200 μg/kg</v>
      </c>
      <c r="BX242" s="838">
        <f>IFERROR(__xludf.DUMMYFUNCTION("""COMPUTED_VALUE"""),100.0)</f>
        <v>100</v>
      </c>
      <c r="BY242" s="838"/>
      <c r="BZ242" s="838">
        <f>IFERROR(__xludf.DUMMYFUNCTION("""COMPUTED_VALUE"""),2014.0)</f>
        <v>2014</v>
      </c>
      <c r="CA242" s="838"/>
      <c r="CB242" s="838" t="str">
        <f>IFERROR(__xludf.DUMMYFUNCTION("""COMPUTED_VALUE"""),"School-aged children diagnosed positive for Roundworm")</f>
        <v>School-aged children diagnosed positive for Roundworm</v>
      </c>
      <c r="CC242" s="838" t="str">
        <f>IFERROR(__xludf.DUMMYFUNCTION("""COMPUTED_VALUE"""),"Yes")</f>
        <v>Yes</v>
      </c>
      <c r="CD242" s="847">
        <f>IFERROR(__xludf.DUMMYFUNCTION("""COMPUTED_VALUE"""),0.696)</f>
        <v>0.696</v>
      </c>
      <c r="CE242" s="838" t="str">
        <f>IFERROR(__xludf.DUMMYFUNCTION("""COMPUTED_VALUE"""),"No")</f>
        <v>No</v>
      </c>
      <c r="CF242" s="838"/>
      <c r="CG242" s="838"/>
      <c r="CH242" s="838"/>
      <c r="CI242" s="838"/>
      <c r="CJ242" s="847">
        <f>IFERROR(__xludf.DUMMYFUNCTION("""COMPUTED_VALUE"""),0.978)</f>
        <v>0.978</v>
      </c>
      <c r="CK242" s="838"/>
      <c r="CL242" s="838"/>
      <c r="CM242" s="847">
        <f>IFERROR(__xludf.DUMMYFUNCTION("""COMPUTED_VALUE"""),0.997)</f>
        <v>0.997</v>
      </c>
      <c r="CN242" s="838"/>
      <c r="CO242" s="838"/>
      <c r="CP242" s="838"/>
      <c r="CQ242" s="838"/>
      <c r="CR242" s="838"/>
      <c r="CS242" s="838" t="str">
        <f>IFERROR(__xludf.DUMMYFUNCTION("""COMPUTED_VALUE"""),"All treatment arms achieved high CRs at the first follow up. CRs decreased for all treatment arms 18 weeks post-treatment. Overall, the reinfection rate was fast and combination chemotherapy might achieve decreased morbidity in children since in the alben"&amp;"dazole plus oxantel pamoate and the albendazole plus ivermectin treatment arms only a few moderate remains")</f>
        <v>All treatment arms achieved high CRs at the first follow up. CRs decreased for all treatment arms 18 weeks post-treatment. Overall, the reinfection rate was fast and combination chemotherapy might achieve decreased morbidity in children since in the albendazole plus oxantel pamoate and the albendazole plus ivermectin treatment arms only a few moderate remains</v>
      </c>
      <c r="CT242" s="838" t="str">
        <f>IFERROR(__xludf.DUMMYFUNCTION("""COMPUTED_VALUE"""),"Kato-Katz")</f>
        <v>Kato-Katz</v>
      </c>
      <c r="CU242" s="838"/>
      <c r="CV242" s="697" t="str">
        <f>IFERROR(__xludf.DUMMYFUNCTION("""COMPUTED_VALUE"""),"Speich B, Moser W, Ali SM, Ame SM, Albonico M, Hattendorf J, Keiser J. Efficacy and reinfection with soil-transmitted helminths 18-weeks post-treatment with albendazole-ivermectin, albendazole-mebendazole, albendazole-oxantel pamoate and mebendazole. Para"&amp;"sit Vectors. 2016 Mar 2;9:123. doi: 10.1186/s13071-016-1406-8. PMID: 26935065; PMCID: PMC4776366.")</f>
        <v>Speich B, Moser W, Ali SM, Ame SM, Albonico M, Hattendorf J, Keiser J. Efficacy and reinfection with soil-transmitted helminths 18-weeks post-treatment with albendazole-ivermectin, albendazole-mebendazole, albendazole-oxantel pamoate and mebendazole. Parasit Vectors. 2016 Mar 2;9:123. doi: 10.1186/s13071-016-1406-8. PMID: 26935065; PMCID: PMC4776366.</v>
      </c>
    </row>
    <row r="243">
      <c r="A243" s="834"/>
      <c r="B243" s="834"/>
      <c r="C243" s="834"/>
      <c r="D243" s="834"/>
      <c r="E243" s="834"/>
      <c r="F243" s="834"/>
      <c r="G243" s="834"/>
      <c r="H243" s="834"/>
      <c r="I243" s="834"/>
      <c r="J243" s="834"/>
      <c r="K243" s="834"/>
      <c r="L243" s="834"/>
      <c r="M243" s="834"/>
      <c r="N243" s="834"/>
      <c r="O243" s="834"/>
      <c r="P243" s="834"/>
      <c r="Q243" s="834"/>
      <c r="R243" s="834"/>
      <c r="S243" s="834"/>
      <c r="T243" s="834"/>
      <c r="U243" s="834"/>
      <c r="V243" s="834"/>
      <c r="W243" s="834"/>
      <c r="X243" s="834"/>
      <c r="Y243" s="834"/>
      <c r="Z243" s="834"/>
      <c r="AA243" s="834"/>
      <c r="AB243" s="834"/>
      <c r="AC243" s="834"/>
      <c r="AD243" s="834"/>
      <c r="AE243" s="834"/>
      <c r="AF243" s="834"/>
      <c r="AG243" s="834"/>
      <c r="AH243" s="834"/>
      <c r="AJ243" s="836"/>
      <c r="AK243" s="836"/>
      <c r="AL243" s="836"/>
      <c r="AM243" s="836"/>
      <c r="AN243" s="836"/>
      <c r="AO243" s="836"/>
      <c r="AP243" s="836"/>
      <c r="AQ243" s="836"/>
      <c r="AR243" s="836"/>
      <c r="AS243" s="836"/>
      <c r="AT243" s="836"/>
      <c r="AU243" s="836"/>
      <c r="AV243" s="836"/>
      <c r="AW243" s="836"/>
      <c r="AX243" s="836"/>
      <c r="AY243" s="836"/>
      <c r="AZ243" s="836"/>
      <c r="BA243" s="836"/>
      <c r="BB243" s="836"/>
      <c r="BC243" s="836"/>
      <c r="BD243" s="836"/>
      <c r="BE243" s="836"/>
      <c r="BF243" s="836"/>
      <c r="BG243" s="836"/>
      <c r="BH243" s="836"/>
      <c r="BI243" s="836"/>
      <c r="BJ243" s="836"/>
      <c r="BK243" s="836"/>
      <c r="BL243" s="836"/>
      <c r="BM243" s="836"/>
      <c r="BN243" s="836"/>
      <c r="BO243" s="836"/>
      <c r="BP243" s="836"/>
      <c r="BR243" s="844" t="str">
        <f>IFERROR(__xludf.DUMMYFUNCTION("""COMPUTED_VALUE"""),"Speich et al.")</f>
        <v>Speich et al.</v>
      </c>
      <c r="BS243" s="838" t="str">
        <f>IFERROR(__xludf.DUMMYFUNCTION("""COMPUTED_VALUE"""),"Tanzania")</f>
        <v>Tanzania</v>
      </c>
      <c r="BT243" s="838" t="str">
        <f>IFERROR(__xludf.DUMMYFUNCTION("""COMPUTED_VALUE"""),"Albendazole &amp; Mebendazole")</f>
        <v>Albendazole &amp; Mebendazole</v>
      </c>
      <c r="BU243" s="838"/>
      <c r="BV243" s="838" t="str">
        <f>IFERROR(__xludf.DUMMYFUNCTION("""COMPUTED_VALUE"""),"Single")</f>
        <v>Single</v>
      </c>
      <c r="BW243" s="838" t="str">
        <f>IFERROR(__xludf.DUMMYFUNCTION("""COMPUTED_VALUE"""),"400 mg; 500 mg ")</f>
        <v>400 mg; 500 mg </v>
      </c>
      <c r="BX243" s="838">
        <f>IFERROR(__xludf.DUMMYFUNCTION("""COMPUTED_VALUE"""),101.0)</f>
        <v>101</v>
      </c>
      <c r="BY243" s="838"/>
      <c r="BZ243" s="838">
        <f>IFERROR(__xludf.DUMMYFUNCTION("""COMPUTED_VALUE"""),2014.0)</f>
        <v>2014</v>
      </c>
      <c r="CA243" s="838"/>
      <c r="CB243" s="838" t="str">
        <f>IFERROR(__xludf.DUMMYFUNCTION("""COMPUTED_VALUE"""),"School-aged children diagnosed positive for Roundworm")</f>
        <v>School-aged children diagnosed positive for Roundworm</v>
      </c>
      <c r="CC243" s="838" t="str">
        <f>IFERROR(__xludf.DUMMYFUNCTION("""COMPUTED_VALUE"""),"Yes")</f>
        <v>Yes</v>
      </c>
      <c r="CD243" s="847">
        <f>IFERROR(__xludf.DUMMYFUNCTION("""COMPUTED_VALUE"""),0.694)</f>
        <v>0.694</v>
      </c>
      <c r="CE243" s="838" t="str">
        <f>IFERROR(__xludf.DUMMYFUNCTION("""COMPUTED_VALUE"""),"No")</f>
        <v>No</v>
      </c>
      <c r="CF243" s="838"/>
      <c r="CG243" s="838"/>
      <c r="CH243" s="838"/>
      <c r="CI243" s="838"/>
      <c r="CJ243" s="847">
        <f>IFERROR(__xludf.DUMMYFUNCTION("""COMPUTED_VALUE"""),1.0)</f>
        <v>1</v>
      </c>
      <c r="CK243" s="838"/>
      <c r="CL243" s="838"/>
      <c r="CM243" s="847">
        <f>IFERROR(__xludf.DUMMYFUNCTION("""COMPUTED_VALUE"""),0.992)</f>
        <v>0.992</v>
      </c>
      <c r="CN243" s="838"/>
      <c r="CO243" s="838"/>
      <c r="CP243" s="838"/>
      <c r="CQ243" s="838"/>
      <c r="CR243" s="838"/>
      <c r="CS243" s="838" t="str">
        <f>IFERROR(__xludf.DUMMYFUNCTION("""COMPUTED_VALUE"""),"All treatment arms achieved high CRs at the first follow up. CRs decreased for all treatment arms 18 weeks post-treatment. Overall, the reinfection rate was fast and combination chemotherapy might achieve decreased morbidity in children since in the alben"&amp;"dazole plus oxantel pamoate and the albendazole plus ivermectin treatment arms only a few moderate remains")</f>
        <v>All treatment arms achieved high CRs at the first follow up. CRs decreased for all treatment arms 18 weeks post-treatment. Overall, the reinfection rate was fast and combination chemotherapy might achieve decreased morbidity in children since in the albendazole plus oxantel pamoate and the albendazole plus ivermectin treatment arms only a few moderate remains</v>
      </c>
      <c r="CT243" s="838" t="str">
        <f>IFERROR(__xludf.DUMMYFUNCTION("""COMPUTED_VALUE"""),"Kato-Katz")</f>
        <v>Kato-Katz</v>
      </c>
      <c r="CU243" s="838"/>
      <c r="CV243" s="697" t="str">
        <f>IFERROR(__xludf.DUMMYFUNCTION("""COMPUTED_VALUE"""),"Speich B, Moser W, Ali SM, Ame SM, Albonico M, Hattendorf J, Keiser J. Efficacy and reinfection with soil-transmitted helminths 18-weeks post-treatment with albendazole-ivermectin, albendazole-mebendazole, albendazole-oxantel pamoate and mebendazole. Para"&amp;"sit Vectors. 2016 Mar 2;9:123. doi: 10.1186/s13071-016-1406-8. PMID: 26935065; PMCID: PMC4776366.")</f>
        <v>Speich B, Moser W, Ali SM, Ame SM, Albonico M, Hattendorf J, Keiser J. Efficacy and reinfection with soil-transmitted helminths 18-weeks post-treatment with albendazole-ivermectin, albendazole-mebendazole, albendazole-oxantel pamoate and mebendazole. Parasit Vectors. 2016 Mar 2;9:123. doi: 10.1186/s13071-016-1406-8. PMID: 26935065; PMCID: PMC4776366.</v>
      </c>
    </row>
    <row r="244">
      <c r="A244" s="834"/>
      <c r="B244" s="834"/>
      <c r="C244" s="834"/>
      <c r="D244" s="834"/>
      <c r="E244" s="834"/>
      <c r="F244" s="834"/>
      <c r="G244" s="834"/>
      <c r="H244" s="834"/>
      <c r="I244" s="834"/>
      <c r="J244" s="834"/>
      <c r="K244" s="834"/>
      <c r="L244" s="834"/>
      <c r="M244" s="834"/>
      <c r="N244" s="834"/>
      <c r="O244" s="834"/>
      <c r="P244" s="834"/>
      <c r="Q244" s="834"/>
      <c r="R244" s="834"/>
      <c r="S244" s="834"/>
      <c r="T244" s="834"/>
      <c r="U244" s="834"/>
      <c r="V244" s="834"/>
      <c r="W244" s="834"/>
      <c r="X244" s="834"/>
      <c r="Y244" s="834"/>
      <c r="Z244" s="834"/>
      <c r="AA244" s="834"/>
      <c r="AB244" s="834"/>
      <c r="AC244" s="834"/>
      <c r="AD244" s="834"/>
      <c r="AE244" s="834"/>
      <c r="AF244" s="834"/>
      <c r="AG244" s="834"/>
      <c r="AH244" s="834"/>
      <c r="AJ244" s="836"/>
      <c r="AK244" s="836"/>
      <c r="AL244" s="836"/>
      <c r="AM244" s="836"/>
      <c r="AN244" s="836"/>
      <c r="AO244" s="836"/>
      <c r="AP244" s="836"/>
      <c r="AQ244" s="836"/>
      <c r="AR244" s="836"/>
      <c r="AS244" s="836"/>
      <c r="AT244" s="836"/>
      <c r="AU244" s="836"/>
      <c r="AV244" s="836"/>
      <c r="AW244" s="836"/>
      <c r="AX244" s="836"/>
      <c r="AY244" s="836"/>
      <c r="AZ244" s="836"/>
      <c r="BA244" s="836"/>
      <c r="BB244" s="836"/>
      <c r="BC244" s="836"/>
      <c r="BD244" s="836"/>
      <c r="BE244" s="836"/>
      <c r="BF244" s="836"/>
      <c r="BG244" s="836"/>
      <c r="BH244" s="836"/>
      <c r="BI244" s="836"/>
      <c r="BJ244" s="836"/>
      <c r="BK244" s="836"/>
      <c r="BL244" s="836"/>
      <c r="BM244" s="836"/>
      <c r="BN244" s="836"/>
      <c r="BO244" s="836"/>
      <c r="BP244" s="836"/>
      <c r="BR244" s="844" t="str">
        <f>IFERROR(__xludf.DUMMYFUNCTION("""COMPUTED_VALUE"""),"Speich et al.")</f>
        <v>Speich et al.</v>
      </c>
      <c r="BS244" s="838" t="str">
        <f>IFERROR(__xludf.DUMMYFUNCTION("""COMPUTED_VALUE"""),"Tanzania")</f>
        <v>Tanzania</v>
      </c>
      <c r="BT244" s="838" t="str">
        <f>IFERROR(__xludf.DUMMYFUNCTION("""COMPUTED_VALUE"""),"Albendazole &amp; Oxantel Pamoate")</f>
        <v>Albendazole &amp; Oxantel Pamoate</v>
      </c>
      <c r="BU244" s="838"/>
      <c r="BV244" s="838" t="str">
        <f>IFERROR(__xludf.DUMMYFUNCTION("""COMPUTED_VALUE"""),"Single")</f>
        <v>Single</v>
      </c>
      <c r="BW244" s="838" t="str">
        <f>IFERROR(__xludf.DUMMYFUNCTION("""COMPUTED_VALUE"""),"400 mg; 20 mg/kg")</f>
        <v>400 mg; 20 mg/kg</v>
      </c>
      <c r="BX244" s="838">
        <f>IFERROR(__xludf.DUMMYFUNCTION("""COMPUTED_VALUE"""),100.0)</f>
        <v>100</v>
      </c>
      <c r="BY244" s="838"/>
      <c r="BZ244" s="838">
        <f>IFERROR(__xludf.DUMMYFUNCTION("""COMPUTED_VALUE"""),2014.0)</f>
        <v>2014</v>
      </c>
      <c r="CA244" s="838"/>
      <c r="CB244" s="838" t="str">
        <f>IFERROR(__xludf.DUMMYFUNCTION("""COMPUTED_VALUE"""),"School-aged children diagnosed positive for Roundworm")</f>
        <v>School-aged children diagnosed positive for Roundworm</v>
      </c>
      <c r="CC244" s="838" t="str">
        <f>IFERROR(__xludf.DUMMYFUNCTION("""COMPUTED_VALUE"""),"Yes")</f>
        <v>Yes</v>
      </c>
      <c r="CD244" s="847">
        <f>IFERROR(__xludf.DUMMYFUNCTION("""COMPUTED_VALUE"""),0.614)</f>
        <v>0.614</v>
      </c>
      <c r="CE244" s="838" t="str">
        <f>IFERROR(__xludf.DUMMYFUNCTION("""COMPUTED_VALUE"""),"No")</f>
        <v>No</v>
      </c>
      <c r="CF244" s="838"/>
      <c r="CG244" s="838"/>
      <c r="CH244" s="838"/>
      <c r="CI244" s="838"/>
      <c r="CJ244" s="847">
        <f>IFERROR(__xludf.DUMMYFUNCTION("""COMPUTED_VALUE"""),0.977)</f>
        <v>0.977</v>
      </c>
      <c r="CK244" s="838"/>
      <c r="CL244" s="838"/>
      <c r="CM244" s="847">
        <f>IFERROR(__xludf.DUMMYFUNCTION("""COMPUTED_VALUE"""),0.992)</f>
        <v>0.992</v>
      </c>
      <c r="CN244" s="838"/>
      <c r="CO244" s="838"/>
      <c r="CP244" s="838"/>
      <c r="CQ244" s="838"/>
      <c r="CR244" s="838"/>
      <c r="CS244" s="838" t="str">
        <f>IFERROR(__xludf.DUMMYFUNCTION("""COMPUTED_VALUE"""),"All treatment arms achieved high CRs at the first follow up. CRs decreased for all treatment arms 18 weeks post-treatment. Overall, the reinfection rate was fast and combination chemotherapy might achieve decreased morbidity in children since in the alben"&amp;"dazole plus oxantel pamoate and the albendazole plus ivermectin treatment arms only a few moderate remains")</f>
        <v>All treatment arms achieved high CRs at the first follow up. CRs decreased for all treatment arms 18 weeks post-treatment. Overall, the reinfection rate was fast and combination chemotherapy might achieve decreased morbidity in children since in the albendazole plus oxantel pamoate and the albendazole plus ivermectin treatment arms only a few moderate remains</v>
      </c>
      <c r="CT244" s="838" t="str">
        <f>IFERROR(__xludf.DUMMYFUNCTION("""COMPUTED_VALUE"""),"Kato-Katz")</f>
        <v>Kato-Katz</v>
      </c>
      <c r="CU244" s="838"/>
      <c r="CV244" s="697" t="str">
        <f>IFERROR(__xludf.DUMMYFUNCTION("""COMPUTED_VALUE"""),"Speich B, Moser W, Ali SM, Ame SM, Albonico M, Hattendorf J, Keiser J. Efficacy and reinfection with soil-transmitted helminths 18-weeks post-treatment with albendazole-ivermectin, albendazole-mebendazole, albendazole-oxantel pamoate and mebendazole. Para"&amp;"sit Vectors. 2016 Mar 2;9:123. doi: 10.1186/s13071-016-1406-8. PMID: 26935065; PMCID: PMC4776366.")</f>
        <v>Speich B, Moser W, Ali SM, Ame SM, Albonico M, Hattendorf J, Keiser J. Efficacy and reinfection with soil-transmitted helminths 18-weeks post-treatment with albendazole-ivermectin, albendazole-mebendazole, albendazole-oxantel pamoate and mebendazole. Parasit Vectors. 2016 Mar 2;9:123. doi: 10.1186/s13071-016-1406-8. PMID: 26935065; PMCID: PMC4776366.</v>
      </c>
    </row>
    <row r="245">
      <c r="A245" s="834"/>
      <c r="B245" s="834"/>
      <c r="C245" s="834"/>
      <c r="D245" s="834"/>
      <c r="E245" s="834"/>
      <c r="F245" s="834"/>
      <c r="G245" s="834"/>
      <c r="H245" s="834"/>
      <c r="I245" s="834"/>
      <c r="J245" s="834"/>
      <c r="K245" s="834"/>
      <c r="L245" s="834"/>
      <c r="M245" s="834"/>
      <c r="N245" s="834"/>
      <c r="O245" s="834"/>
      <c r="P245" s="834"/>
      <c r="Q245" s="834"/>
      <c r="R245" s="834"/>
      <c r="S245" s="834"/>
      <c r="T245" s="834"/>
      <c r="U245" s="834"/>
      <c r="V245" s="834"/>
      <c r="W245" s="834"/>
      <c r="X245" s="834"/>
      <c r="Y245" s="834"/>
      <c r="Z245" s="834"/>
      <c r="AA245" s="834"/>
      <c r="AB245" s="834"/>
      <c r="AC245" s="834"/>
      <c r="AD245" s="834"/>
      <c r="AE245" s="834"/>
      <c r="AF245" s="834"/>
      <c r="AG245" s="834"/>
      <c r="AH245" s="834"/>
      <c r="AJ245" s="836"/>
      <c r="AK245" s="836"/>
      <c r="AL245" s="836"/>
      <c r="AM245" s="836"/>
      <c r="AN245" s="836"/>
      <c r="AO245" s="836"/>
      <c r="AP245" s="836"/>
      <c r="AQ245" s="836"/>
      <c r="AR245" s="836"/>
      <c r="AS245" s="836"/>
      <c r="AT245" s="836"/>
      <c r="AU245" s="836"/>
      <c r="AV245" s="836"/>
      <c r="AW245" s="836"/>
      <c r="AX245" s="836"/>
      <c r="AY245" s="836"/>
      <c r="AZ245" s="836"/>
      <c r="BA245" s="836"/>
      <c r="BB245" s="836"/>
      <c r="BC245" s="836"/>
      <c r="BD245" s="836"/>
      <c r="BE245" s="836"/>
      <c r="BF245" s="836"/>
      <c r="BG245" s="836"/>
      <c r="BH245" s="836"/>
      <c r="BI245" s="836"/>
      <c r="BJ245" s="836"/>
      <c r="BK245" s="836"/>
      <c r="BL245" s="836"/>
      <c r="BM245" s="836"/>
      <c r="BN245" s="836"/>
      <c r="BO245" s="836"/>
      <c r="BP245" s="836"/>
      <c r="BR245" s="844" t="str">
        <f>IFERROR(__xludf.DUMMYFUNCTION("""COMPUTED_VALUE"""),"Speich et al.")</f>
        <v>Speich et al.</v>
      </c>
      <c r="BS245" s="838" t="str">
        <f>IFERROR(__xludf.DUMMYFUNCTION("""COMPUTED_VALUE"""),"Tanzania")</f>
        <v>Tanzania</v>
      </c>
      <c r="BT245" s="838" t="str">
        <f>IFERROR(__xludf.DUMMYFUNCTION("""COMPUTED_VALUE"""),"Mebendazole")</f>
        <v>Mebendazole</v>
      </c>
      <c r="BU245" s="838"/>
      <c r="BV245" s="838" t="str">
        <f>IFERROR(__xludf.DUMMYFUNCTION("""COMPUTED_VALUE"""),"Single")</f>
        <v>Single</v>
      </c>
      <c r="BW245" s="838" t="str">
        <f>IFERROR(__xludf.DUMMYFUNCTION("""COMPUTED_VALUE"""),"500 mg")</f>
        <v>500 mg</v>
      </c>
      <c r="BX245" s="838">
        <f>IFERROR(__xludf.DUMMYFUNCTION("""COMPUTED_VALUE"""),104.0)</f>
        <v>104</v>
      </c>
      <c r="BY245" s="838"/>
      <c r="BZ245" s="838">
        <f>IFERROR(__xludf.DUMMYFUNCTION("""COMPUTED_VALUE"""),2014.0)</f>
        <v>2014</v>
      </c>
      <c r="CA245" s="838"/>
      <c r="CB245" s="838" t="str">
        <f>IFERROR(__xludf.DUMMYFUNCTION("""COMPUTED_VALUE"""),"School-aged children diagnosed positive for Roundworm")</f>
        <v>School-aged children diagnosed positive for Roundworm</v>
      </c>
      <c r="CC245" s="838" t="str">
        <f>IFERROR(__xludf.DUMMYFUNCTION("""COMPUTED_VALUE"""),"Yes")</f>
        <v>Yes</v>
      </c>
      <c r="CD245" s="847">
        <f>IFERROR(__xludf.DUMMYFUNCTION("""COMPUTED_VALUE"""),0.605)</f>
        <v>0.605</v>
      </c>
      <c r="CE245" s="838" t="str">
        <f>IFERROR(__xludf.DUMMYFUNCTION("""COMPUTED_VALUE"""),"No")</f>
        <v>No</v>
      </c>
      <c r="CF245" s="838"/>
      <c r="CG245" s="838"/>
      <c r="CH245" s="838"/>
      <c r="CI245" s="838"/>
      <c r="CJ245" s="847">
        <f>IFERROR(__xludf.DUMMYFUNCTION("""COMPUTED_VALUE"""),0.954)</f>
        <v>0.954</v>
      </c>
      <c r="CK245" s="838"/>
      <c r="CL245" s="838"/>
      <c r="CM245" s="847">
        <f>IFERROR(__xludf.DUMMYFUNCTION("""COMPUTED_VALUE"""),0.99)</f>
        <v>0.99</v>
      </c>
      <c r="CN245" s="838"/>
      <c r="CO245" s="838"/>
      <c r="CP245" s="838"/>
      <c r="CQ245" s="838"/>
      <c r="CR245" s="838"/>
      <c r="CS245" s="838" t="str">
        <f>IFERROR(__xludf.DUMMYFUNCTION("""COMPUTED_VALUE"""),"All treatment arms achieved high CRs at the first follow up. CRs decreased for all treatment arms 18 weeks post-treatment. Overall, the reinfection rate was fast and combination chemotherapy might achieve decreased morbidity in children since in the alben"&amp;"dazole plus oxantel pamoate and the albendazole plus ivermectin treatment arms only a few moderate remains")</f>
        <v>All treatment arms achieved high CRs at the first follow up. CRs decreased for all treatment arms 18 weeks post-treatment. Overall, the reinfection rate was fast and combination chemotherapy might achieve decreased morbidity in children since in the albendazole plus oxantel pamoate and the albendazole plus ivermectin treatment arms only a few moderate remains</v>
      </c>
      <c r="CT245" s="838" t="str">
        <f>IFERROR(__xludf.DUMMYFUNCTION("""COMPUTED_VALUE"""),"Kato-Katz")</f>
        <v>Kato-Katz</v>
      </c>
      <c r="CU245" s="838"/>
      <c r="CV245" s="697" t="str">
        <f>IFERROR(__xludf.DUMMYFUNCTION("""COMPUTED_VALUE"""),"Speich B, Moser W, Ali SM, Ame SM, Albonico M, Hattendorf J, Keiser J. Efficacy and reinfection with soil-transmitted helminths 18-weeks post-treatment with albendazole-ivermectin, albendazole-mebendazole, albendazole-oxantel pamoate and mebendazole. Para"&amp;"sit Vectors. 2016 Mar 2;9:123. doi: 10.1186/s13071-016-1406-8. PMID: 26935065; PMCID: PMC4776366.")</f>
        <v>Speich B, Moser W, Ali SM, Ame SM, Albonico M, Hattendorf J, Keiser J. Efficacy and reinfection with soil-transmitted helminths 18-weeks post-treatment with albendazole-ivermectin, albendazole-mebendazole, albendazole-oxantel pamoate and mebendazole. Parasit Vectors. 2016 Mar 2;9:123. doi: 10.1186/s13071-016-1406-8. PMID: 26935065; PMCID: PMC4776366.</v>
      </c>
    </row>
    <row r="246">
      <c r="A246" s="834"/>
      <c r="B246" s="834"/>
      <c r="C246" s="834"/>
      <c r="D246" s="834"/>
      <c r="E246" s="834"/>
      <c r="F246" s="834"/>
      <c r="G246" s="834"/>
      <c r="H246" s="834"/>
      <c r="I246" s="834"/>
      <c r="J246" s="834"/>
      <c r="K246" s="834"/>
      <c r="L246" s="834"/>
      <c r="M246" s="834"/>
      <c r="N246" s="834"/>
      <c r="O246" s="834"/>
      <c r="P246" s="834"/>
      <c r="Q246" s="834"/>
      <c r="R246" s="834"/>
      <c r="S246" s="834"/>
      <c r="T246" s="834"/>
      <c r="U246" s="834"/>
      <c r="V246" s="834"/>
      <c r="W246" s="834"/>
      <c r="X246" s="834"/>
      <c r="Y246" s="834"/>
      <c r="Z246" s="834"/>
      <c r="AA246" s="834"/>
      <c r="AB246" s="834"/>
      <c r="AC246" s="834"/>
      <c r="AD246" s="834"/>
      <c r="AE246" s="834"/>
      <c r="AF246" s="834"/>
      <c r="AG246" s="834"/>
      <c r="AH246" s="834"/>
      <c r="AJ246" s="836"/>
      <c r="AK246" s="836"/>
      <c r="AL246" s="836"/>
      <c r="AM246" s="836"/>
      <c r="AN246" s="836"/>
      <c r="AO246" s="836"/>
      <c r="AP246" s="836"/>
      <c r="AQ246" s="836"/>
      <c r="AR246" s="836"/>
      <c r="AS246" s="836"/>
      <c r="AT246" s="836"/>
      <c r="AU246" s="836"/>
      <c r="AV246" s="836"/>
      <c r="AW246" s="836"/>
      <c r="AX246" s="836"/>
      <c r="AY246" s="836"/>
      <c r="AZ246" s="836"/>
      <c r="BA246" s="836"/>
      <c r="BB246" s="836"/>
      <c r="BC246" s="836"/>
      <c r="BD246" s="836"/>
      <c r="BE246" s="836"/>
      <c r="BF246" s="836"/>
      <c r="BG246" s="836"/>
      <c r="BH246" s="836"/>
      <c r="BI246" s="836"/>
      <c r="BJ246" s="836"/>
      <c r="BK246" s="836"/>
      <c r="BL246" s="836"/>
      <c r="BM246" s="836"/>
      <c r="BN246" s="836"/>
      <c r="BO246" s="836"/>
      <c r="BP246" s="836"/>
      <c r="BR246" s="844" t="str">
        <f>IFERROR(__xludf.DUMMYFUNCTION("""COMPUTED_VALUE"""),"Palmeirim et al.")</f>
        <v>Palmeirim et al.</v>
      </c>
      <c r="BS246" s="838" t="str">
        <f>IFERROR(__xludf.DUMMYFUNCTION("""COMPUTED_VALUE"""),"Tanzania")</f>
        <v>Tanzania</v>
      </c>
      <c r="BT246" s="838" t="str">
        <f>IFERROR(__xludf.DUMMYFUNCTION("""COMPUTED_VALUE"""),"Mebendazole")</f>
        <v>Mebendazole</v>
      </c>
      <c r="BU246" s="838"/>
      <c r="BV246" s="838" t="str">
        <f>IFERROR(__xludf.DUMMYFUNCTION("""COMPUTED_VALUE"""),"Single")</f>
        <v>Single</v>
      </c>
      <c r="BW246" s="838" t="str">
        <f>IFERROR(__xludf.DUMMYFUNCTION("""COMPUTED_VALUE"""),"500 mg")</f>
        <v>500 mg</v>
      </c>
      <c r="BX246" s="838">
        <f>IFERROR(__xludf.DUMMYFUNCTION("""COMPUTED_VALUE"""),47.0)</f>
        <v>47</v>
      </c>
      <c r="BY246" s="838">
        <f>IFERROR(__xludf.DUMMYFUNCTION("""COMPUTED_VALUE"""),10.1)</f>
        <v>10.1</v>
      </c>
      <c r="BZ246" s="838">
        <f>IFERROR(__xludf.DUMMYFUNCTION("""COMPUTED_VALUE"""),2017.0)</f>
        <v>2017</v>
      </c>
      <c r="CA246" s="838"/>
      <c r="CB246" s="838" t="str">
        <f>IFERROR(__xludf.DUMMYFUNCTION("""COMPUTED_VALUE"""),"Concenting children between the ages of 6-12 yrs old attending the primary school of piki village were eligible if the had provided two stool samples, were positive for Roundworm eggs in the stool")</f>
        <v>Concenting children between the ages of 6-12 yrs old attending the primary school of piki village were eligible if the had provided two stool samples, were positive for Roundworm eggs in the stool</v>
      </c>
      <c r="CC246" s="838" t="str">
        <f>IFERROR(__xludf.DUMMYFUNCTION("""COMPUTED_VALUE"""),"Yes")</f>
        <v>Yes</v>
      </c>
      <c r="CD246" s="847">
        <f>IFERROR(__xludf.DUMMYFUNCTION("""COMPUTED_VALUE"""),1.0)</f>
        <v>1</v>
      </c>
      <c r="CE246" s="838" t="str">
        <f>IFERROR(__xludf.DUMMYFUNCTION("""COMPUTED_VALUE"""),"Yes")</f>
        <v>Yes</v>
      </c>
      <c r="CF246" s="838"/>
      <c r="CG246" s="838"/>
      <c r="CH246" s="838"/>
      <c r="CI246" s="838"/>
      <c r="CJ246" s="838"/>
      <c r="CK246" s="838"/>
      <c r="CL246" s="838"/>
      <c r="CM246" s="846">
        <f>IFERROR(__xludf.DUMMYFUNCTION("""COMPUTED_VALUE"""),1.0)</f>
        <v>1</v>
      </c>
      <c r="CN246" s="838"/>
      <c r="CO246" s="838"/>
      <c r="CP246" s="838"/>
      <c r="CQ246" s="838"/>
      <c r="CR246" s="838"/>
      <c r="CS246" s="838" t="str">
        <f>IFERROR(__xludf.DUMMYFUNCTION("""COMPUTED_VALUE"""),"Unlike the two other worm within the study, a multidose of mebendazole does not present an advantage against A.lumbricoides infections over a single mebendazole dose. The high efficacy in both doses show great cure rates due to the mebendazole")</f>
        <v>Unlike the two other worm within the study, a multidose of mebendazole does not present an advantage against A.lumbricoides infections over a single mebendazole dose. The high efficacy in both doses show great cure rates due to the mebendazole</v>
      </c>
      <c r="CT246" s="838" t="str">
        <f>IFERROR(__xludf.DUMMYFUNCTION("""COMPUTED_VALUE"""),"Kato-Katz")</f>
        <v>Kato-Katz</v>
      </c>
      <c r="CU246" s="838"/>
      <c r="CV246" s="697" t="str">
        <f>IFERROR(__xludf.DUMMYFUNCTION("""COMPUTED_VALUE"""),"Palmeirim MS, Ame SM, Ali SM, Hattendorf J, Keiser J. Efficacy and Safety of a Single Dose versus a Multiple Dose Regimen of Mebendazole against Hookworm Infections in Children: A Randomised, Double-blind Trial. EClinicalMedicine. 2018 Jul 11;1:7-13. doi:"&amp;" 10.1016/j.eclinm.2018.06.004. PMID: 31193620; PMCID: PMC6537524.")</f>
        <v>Palmeirim MS, Ame SM, Ali SM, Hattendorf J, Keiser J. Efficacy and Safety of a Single Dose versus a Multiple Dose Regimen of Mebendazole against Hookworm Infections in Children: A Randomised, Double-blind Trial. EClinicalMedicine. 2018 Jul 11;1:7-13. doi: 10.1016/j.eclinm.2018.06.004. PMID: 31193620; PMCID: PMC6537524.</v>
      </c>
    </row>
    <row r="247">
      <c r="A247" s="834"/>
      <c r="B247" s="834"/>
      <c r="C247" s="834"/>
      <c r="D247" s="834"/>
      <c r="E247" s="834"/>
      <c r="F247" s="834"/>
      <c r="G247" s="834"/>
      <c r="H247" s="834"/>
      <c r="I247" s="834"/>
      <c r="J247" s="834"/>
      <c r="K247" s="834"/>
      <c r="L247" s="834"/>
      <c r="M247" s="834"/>
      <c r="N247" s="834"/>
      <c r="O247" s="834"/>
      <c r="P247" s="834"/>
      <c r="Q247" s="834"/>
      <c r="R247" s="834"/>
      <c r="S247" s="834"/>
      <c r="T247" s="834"/>
      <c r="U247" s="834"/>
      <c r="V247" s="834"/>
      <c r="W247" s="834"/>
      <c r="X247" s="834"/>
      <c r="Y247" s="834"/>
      <c r="Z247" s="834"/>
      <c r="AA247" s="834"/>
      <c r="AB247" s="834"/>
      <c r="AC247" s="834"/>
      <c r="AD247" s="834"/>
      <c r="AE247" s="834"/>
      <c r="AF247" s="834"/>
      <c r="AG247" s="834"/>
      <c r="AH247" s="834"/>
      <c r="AJ247" s="836"/>
      <c r="AK247" s="836"/>
      <c r="AL247" s="836"/>
      <c r="AM247" s="836"/>
      <c r="AN247" s="836"/>
      <c r="AO247" s="836"/>
      <c r="AP247" s="836"/>
      <c r="AQ247" s="836"/>
      <c r="AR247" s="836"/>
      <c r="AS247" s="836"/>
      <c r="AT247" s="836"/>
      <c r="AU247" s="836"/>
      <c r="AV247" s="836"/>
      <c r="AW247" s="836"/>
      <c r="AX247" s="836"/>
      <c r="AY247" s="836"/>
      <c r="AZ247" s="836"/>
      <c r="BA247" s="836"/>
      <c r="BB247" s="836"/>
      <c r="BC247" s="836"/>
      <c r="BD247" s="836"/>
      <c r="BE247" s="836"/>
      <c r="BF247" s="836"/>
      <c r="BG247" s="836"/>
      <c r="BH247" s="836"/>
      <c r="BI247" s="836"/>
      <c r="BJ247" s="836"/>
      <c r="BK247" s="836"/>
      <c r="BL247" s="836"/>
      <c r="BM247" s="836"/>
      <c r="BN247" s="836"/>
      <c r="BO247" s="836"/>
      <c r="BP247" s="836"/>
      <c r="BR247" s="844" t="str">
        <f>IFERROR(__xludf.DUMMYFUNCTION("""COMPUTED_VALUE"""),"Palmeirim et al.")</f>
        <v>Palmeirim et al.</v>
      </c>
      <c r="BS247" s="838" t="str">
        <f>IFERROR(__xludf.DUMMYFUNCTION("""COMPUTED_VALUE"""),"Tanzania")</f>
        <v>Tanzania</v>
      </c>
      <c r="BT247" s="838" t="str">
        <f>IFERROR(__xludf.DUMMYFUNCTION("""COMPUTED_VALUE"""),"Mebendazole")</f>
        <v>Mebendazole</v>
      </c>
      <c r="BU247" s="838"/>
      <c r="BV247" s="838" t="str">
        <f>IFERROR(__xludf.DUMMYFUNCTION("""COMPUTED_VALUE"""),"Three")</f>
        <v>Three</v>
      </c>
      <c r="BW247" s="838" t="str">
        <f>IFERROR(__xludf.DUMMYFUNCTION("""COMPUTED_VALUE"""),"200 mg")</f>
        <v>200 mg</v>
      </c>
      <c r="BX247" s="838">
        <f>IFERROR(__xludf.DUMMYFUNCTION("""COMPUTED_VALUE"""),51.0)</f>
        <v>51</v>
      </c>
      <c r="BY247" s="838">
        <f>IFERROR(__xludf.DUMMYFUNCTION("""COMPUTED_VALUE"""),10.1)</f>
        <v>10.1</v>
      </c>
      <c r="BZ247" s="838">
        <f>IFERROR(__xludf.DUMMYFUNCTION("""COMPUTED_VALUE"""),2017.0)</f>
        <v>2017</v>
      </c>
      <c r="CA247" s="838"/>
      <c r="CB247" s="838" t="str">
        <f>IFERROR(__xludf.DUMMYFUNCTION("""COMPUTED_VALUE"""),"Concenting children between the ages of 6-12 yrs old attending the primary school of piki village were eligible if the had provided two stool samples, were positive for Roundworm eggs in the stool")</f>
        <v>Concenting children between the ages of 6-12 yrs old attending the primary school of piki village were eligible if the had provided two stool samples, were positive for Roundworm eggs in the stool</v>
      </c>
      <c r="CC247" s="838" t="str">
        <f>IFERROR(__xludf.DUMMYFUNCTION("""COMPUTED_VALUE"""),"Yes")</f>
        <v>Yes</v>
      </c>
      <c r="CD247" s="847">
        <f>IFERROR(__xludf.DUMMYFUNCTION("""COMPUTED_VALUE"""),0.98)</f>
        <v>0.98</v>
      </c>
      <c r="CE247" s="838" t="str">
        <f>IFERROR(__xludf.DUMMYFUNCTION("""COMPUTED_VALUE"""),"Yes")</f>
        <v>Yes</v>
      </c>
      <c r="CF247" s="838"/>
      <c r="CG247" s="838"/>
      <c r="CH247" s="838"/>
      <c r="CI247" s="838"/>
      <c r="CJ247" s="838"/>
      <c r="CK247" s="838"/>
      <c r="CL247" s="838"/>
      <c r="CM247" s="846">
        <f>IFERROR(__xludf.DUMMYFUNCTION("""COMPUTED_VALUE"""),1.0)</f>
        <v>1</v>
      </c>
      <c r="CN247" s="838"/>
      <c r="CO247" s="838"/>
      <c r="CP247" s="838"/>
      <c r="CQ247" s="838"/>
      <c r="CR247" s="838"/>
      <c r="CS247" s="838" t="str">
        <f>IFERROR(__xludf.DUMMYFUNCTION("""COMPUTED_VALUE"""),"Unlike the two other worm within the study, a multidose of mebendazole does not present an advantage against A.lumbricoides infections over a single mebendazole dose. The high efficacy in both doses show great cure rates due to the mebendazole")</f>
        <v>Unlike the two other worm within the study, a multidose of mebendazole does not present an advantage against A.lumbricoides infections over a single mebendazole dose. The high efficacy in both doses show great cure rates due to the mebendazole</v>
      </c>
      <c r="CT247" s="838" t="str">
        <f>IFERROR(__xludf.DUMMYFUNCTION("""COMPUTED_VALUE"""),"Kato-Katz")</f>
        <v>Kato-Katz</v>
      </c>
      <c r="CU247" s="838"/>
      <c r="CV247" s="697" t="str">
        <f>IFERROR(__xludf.DUMMYFUNCTION("""COMPUTED_VALUE"""),"Palmeirim MS, Ame SM, Ali SM, Hattendorf J, Keiser J. Efficacy and Safety of a Single Dose versus a Multiple Dose Regimen of Mebendazole against Hookworm Infections in Children: A Randomised, Double-blind Trial. EClinicalMedicine. 2018 Jul 11;1:7-13. doi:"&amp;" 10.1016/j.eclinm.2018.06.004. PMID: 31193620; PMCID: PMC6537524.")</f>
        <v>Palmeirim MS, Ame SM, Ali SM, Hattendorf J, Keiser J. Efficacy and Safety of a Single Dose versus a Multiple Dose Regimen of Mebendazole against Hookworm Infections in Children: A Randomised, Double-blind Trial. EClinicalMedicine. 2018 Jul 11;1:7-13. doi: 10.1016/j.eclinm.2018.06.004. PMID: 31193620; PMCID: PMC6537524.</v>
      </c>
    </row>
    <row r="248">
      <c r="A248" s="834"/>
      <c r="B248" s="834"/>
      <c r="C248" s="834"/>
      <c r="D248" s="834"/>
      <c r="E248" s="834"/>
      <c r="F248" s="834"/>
      <c r="G248" s="834"/>
      <c r="H248" s="834"/>
      <c r="I248" s="834"/>
      <c r="J248" s="834"/>
      <c r="K248" s="834"/>
      <c r="L248" s="834"/>
      <c r="M248" s="834"/>
      <c r="N248" s="834"/>
      <c r="O248" s="834"/>
      <c r="P248" s="834"/>
      <c r="Q248" s="834"/>
      <c r="R248" s="834"/>
      <c r="S248" s="834"/>
      <c r="T248" s="834"/>
      <c r="U248" s="834"/>
      <c r="V248" s="834"/>
      <c r="W248" s="834"/>
      <c r="X248" s="834"/>
      <c r="Y248" s="834"/>
      <c r="Z248" s="834"/>
      <c r="AA248" s="834"/>
      <c r="AB248" s="834"/>
      <c r="AC248" s="834"/>
      <c r="AD248" s="834"/>
      <c r="AE248" s="834"/>
      <c r="AF248" s="834"/>
      <c r="AG248" s="834"/>
      <c r="AH248" s="834"/>
      <c r="AJ248" s="836"/>
      <c r="AK248" s="836"/>
      <c r="AL248" s="836"/>
      <c r="AM248" s="836"/>
      <c r="AN248" s="836"/>
      <c r="AO248" s="836"/>
      <c r="AP248" s="836"/>
      <c r="AQ248" s="836"/>
      <c r="AR248" s="836"/>
      <c r="AS248" s="836"/>
      <c r="AT248" s="836"/>
      <c r="AU248" s="836"/>
      <c r="AV248" s="836"/>
      <c r="AW248" s="836"/>
      <c r="AX248" s="836"/>
      <c r="AY248" s="836"/>
      <c r="AZ248" s="836"/>
      <c r="BA248" s="836"/>
      <c r="BB248" s="836"/>
      <c r="BC248" s="836"/>
      <c r="BD248" s="836"/>
      <c r="BE248" s="836"/>
      <c r="BF248" s="836"/>
      <c r="BG248" s="836"/>
      <c r="BH248" s="836"/>
      <c r="BI248" s="836"/>
      <c r="BJ248" s="836"/>
      <c r="BK248" s="836"/>
      <c r="BL248" s="836"/>
      <c r="BM248" s="836"/>
      <c r="BN248" s="836"/>
      <c r="BO248" s="836"/>
      <c r="BP248" s="836"/>
      <c r="BR248" s="844" t="str">
        <f>IFERROR(__xludf.DUMMYFUNCTION("""COMPUTED_VALUE"""),"Albonico et al.")</f>
        <v>Albonico et al.</v>
      </c>
      <c r="BS248" s="838" t="str">
        <f>IFERROR(__xludf.DUMMYFUNCTION("""COMPUTED_VALUE"""),"Tanzania")</f>
        <v>Tanzania</v>
      </c>
      <c r="BT248" s="838" t="str">
        <f>IFERROR(__xludf.DUMMYFUNCTION("""COMPUTED_VALUE"""),"Mebendazole")</f>
        <v>Mebendazole</v>
      </c>
      <c r="BU248" s="838"/>
      <c r="BV248" s="838" t="str">
        <f>IFERROR(__xludf.DUMMYFUNCTION("""COMPUTED_VALUE"""),"Single")</f>
        <v>Single</v>
      </c>
      <c r="BW248" s="838" t="str">
        <f>IFERROR(__xludf.DUMMYFUNCTION("""COMPUTED_VALUE"""),"500 mg")</f>
        <v>500 mg</v>
      </c>
      <c r="BX248" s="838">
        <f>IFERROR(__xludf.DUMMYFUNCTION("""COMPUTED_VALUE"""),236.0)</f>
        <v>236</v>
      </c>
      <c r="BY248" s="838">
        <f>IFERROR(__xludf.DUMMYFUNCTION("""COMPUTED_VALUE"""),11.5)</f>
        <v>11.5</v>
      </c>
      <c r="BZ248" s="838">
        <f>IFERROR(__xludf.DUMMYFUNCTION("""COMPUTED_VALUE"""),1999.0)</f>
        <v>1999</v>
      </c>
      <c r="CA248" s="838" t="str">
        <f>IFERROR(__xludf.DUMMYFUNCTION("""COMPUTED_VALUE"""),"48.4%M")</f>
        <v>48.4%M</v>
      </c>
      <c r="CB248" s="838" t="str">
        <f>IFERROR(__xludf.DUMMYFUNCTION("""COMPUTED_VALUE"""),"Children enrolled in first (Standard 1) and fifth grade (Standard 5) of 10 public schools on Pemba Island. Children at standard 1 had not yet been treated with mebendazole in school, whereas children at standard 5 had been exposed to 15 rounds of mebendaz"&amp;"ole treatment. They were required to have parental or guardian permission to participate, provide a stool sample, and had to be a resident of Zanzibar")</f>
        <v>Children enrolled in first (Standard 1) and fifth grade (Standard 5) of 10 public schools on Pemba Island. Children at standard 1 had not yet been treated with mebendazole in school, whereas children at standard 5 had been exposed to 15 rounds of mebendazole treatment. They were required to have parental or guardian permission to participate, provide a stool sample, and had to be a resident of Zanzibar</v>
      </c>
      <c r="CC248" s="838" t="str">
        <f>IFERROR(__xludf.DUMMYFUNCTION("""COMPUTED_VALUE"""),"Yes")</f>
        <v>Yes</v>
      </c>
      <c r="CD248" s="847">
        <f>IFERROR(__xludf.DUMMYFUNCTION("""COMPUTED_VALUE"""),0.965)</f>
        <v>0.965</v>
      </c>
      <c r="CE248" s="838" t="str">
        <f>IFERROR(__xludf.DUMMYFUNCTION("""COMPUTED_VALUE"""),"Yes")</f>
        <v>Yes</v>
      </c>
      <c r="CF248" s="838"/>
      <c r="CG248" s="838"/>
      <c r="CH248" s="838"/>
      <c r="CI248" s="838"/>
      <c r="CJ248" s="838"/>
      <c r="CK248" s="838"/>
      <c r="CL248" s="838"/>
      <c r="CM248" s="846">
        <f>IFERROR(__xludf.DUMMYFUNCTION("""COMPUTED_VALUE"""),0.99)</f>
        <v>0.99</v>
      </c>
      <c r="CN248" s="838"/>
      <c r="CO248" s="838"/>
      <c r="CP248" s="838"/>
      <c r="CQ248" s="838"/>
      <c r="CR248" s="838"/>
      <c r="CS248" s="838" t="str">
        <f>IFERROR(__xludf.DUMMYFUNCTION("""COMPUTED_VALUE"""),"The overall efficacy of mebendazole against Roundworm infections after periodic chemotherapy is reduced. The efficacy of benzimidazoles in chemotherapy-based control programmes should be monitored closely. Combined treatment with mebendazole and levamisol"&amp;"e may be useful as a tool to delay the development of benzimidazole resistance ")</f>
        <v>The overall efficacy of mebendazole against Roundworm infections after periodic chemotherapy is reduced. The efficacy of benzimidazoles in chemotherapy-based control programmes should be monitored closely. Combined treatment with mebendazole and levamisole may be useful as a tool to delay the development of benzimidazole resistance </v>
      </c>
      <c r="CT248" s="838" t="str">
        <f>IFERROR(__xludf.DUMMYFUNCTION("""COMPUTED_VALUE"""),"Kato-Katz")</f>
        <v>Kato-Katz</v>
      </c>
      <c r="CU248" s="838" t="str">
        <f>IFERROR(__xludf.DUMMYFUNCTION("""COMPUTED_VALUE"""),"x")</f>
        <v>x</v>
      </c>
      <c r="CV248" s="697" t="str">
        <f>IFERROR(__xludf.DUMMYFUNCTION("""COMPUTED_VALUE"""),"Albonico M, Bickle Q, Ramsan M, Montresor A, Savioli L, Taylor M. Efficacy of mebendazole and levamisole alone or in combination against intestinal nematode infections after repeated targeted mebendazole treatment in Zanzibar. Bull World Health Organ. 200"&amp;"3;81(5):343-52. Epub 2003 Jul 7. PMID: 12856052; PMCID: PMC2572452.")</f>
        <v>Albonico M, Bickle Q, Ramsan M, Montresor A, Savioli L, Taylor M. Efficacy of mebendazole and levamisole alone or in combination against intestinal nematode infections after repeated targeted mebendazole treatment in Zanzibar. Bull World Health Organ. 2003;81(5):343-52. Epub 2003 Jul 7. PMID: 12856052; PMCID: PMC2572452.</v>
      </c>
    </row>
    <row r="249">
      <c r="A249" s="834"/>
      <c r="B249" s="834"/>
      <c r="C249" s="834"/>
      <c r="D249" s="834"/>
      <c r="E249" s="834"/>
      <c r="F249" s="834"/>
      <c r="G249" s="834"/>
      <c r="H249" s="834"/>
      <c r="I249" s="834"/>
      <c r="J249" s="834"/>
      <c r="K249" s="834"/>
      <c r="L249" s="834"/>
      <c r="M249" s="834"/>
      <c r="N249" s="834"/>
      <c r="O249" s="834"/>
      <c r="P249" s="834"/>
      <c r="Q249" s="834"/>
      <c r="R249" s="834"/>
      <c r="S249" s="834"/>
      <c r="T249" s="834"/>
      <c r="U249" s="834"/>
      <c r="V249" s="834"/>
      <c r="W249" s="834"/>
      <c r="X249" s="834"/>
      <c r="Y249" s="834"/>
      <c r="Z249" s="834"/>
      <c r="AA249" s="834"/>
      <c r="AB249" s="834"/>
      <c r="AC249" s="834"/>
      <c r="AD249" s="834"/>
      <c r="AE249" s="834"/>
      <c r="AF249" s="834"/>
      <c r="AG249" s="834"/>
      <c r="AH249" s="834"/>
      <c r="AJ249" s="836"/>
      <c r="AK249" s="836"/>
      <c r="AL249" s="836"/>
      <c r="AM249" s="836"/>
      <c r="AN249" s="836"/>
      <c r="AO249" s="836"/>
      <c r="AP249" s="836"/>
      <c r="AQ249" s="836"/>
      <c r="AR249" s="836"/>
      <c r="AS249" s="836"/>
      <c r="AT249" s="836"/>
      <c r="AU249" s="836"/>
      <c r="AV249" s="836"/>
      <c r="AW249" s="836"/>
      <c r="AX249" s="836"/>
      <c r="AY249" s="836"/>
      <c r="AZ249" s="836"/>
      <c r="BA249" s="836"/>
      <c r="BB249" s="836"/>
      <c r="BC249" s="836"/>
      <c r="BD249" s="836"/>
      <c r="BE249" s="836"/>
      <c r="BF249" s="836"/>
      <c r="BG249" s="836"/>
      <c r="BH249" s="836"/>
      <c r="BI249" s="836"/>
      <c r="BJ249" s="836"/>
      <c r="BK249" s="836"/>
      <c r="BL249" s="836"/>
      <c r="BM249" s="836"/>
      <c r="BN249" s="836"/>
      <c r="BO249" s="836"/>
      <c r="BP249" s="836"/>
      <c r="BR249" s="844" t="str">
        <f>IFERROR(__xludf.DUMMYFUNCTION("""COMPUTED_VALUE"""),"Albonico et al.")</f>
        <v>Albonico et al.</v>
      </c>
      <c r="BS249" s="838" t="str">
        <f>IFERROR(__xludf.DUMMYFUNCTION("""COMPUTED_VALUE"""),"Tanzania")</f>
        <v>Tanzania</v>
      </c>
      <c r="BT249" s="838" t="str">
        <f>IFERROR(__xludf.DUMMYFUNCTION("""COMPUTED_VALUE"""),"Levamisole")</f>
        <v>Levamisole</v>
      </c>
      <c r="BU249" s="838"/>
      <c r="BV249" s="838" t="str">
        <f>IFERROR(__xludf.DUMMYFUNCTION("""COMPUTED_VALUE"""),"Single")</f>
        <v>Single</v>
      </c>
      <c r="BW249" s="838" t="str">
        <f>IFERROR(__xludf.DUMMYFUNCTION("""COMPUTED_VALUE"""),"40 mg (15-20 kg) OR 80 mg (21-60 kg)")</f>
        <v>40 mg (15-20 kg) OR 80 mg (21-60 kg)</v>
      </c>
      <c r="BX249" s="838">
        <f>IFERROR(__xludf.DUMMYFUNCTION("""COMPUTED_VALUE"""),210.0)</f>
        <v>210</v>
      </c>
      <c r="BY249" s="845">
        <f>IFERROR(__xludf.DUMMYFUNCTION("""COMPUTED_VALUE"""),11.7)</f>
        <v>11.7</v>
      </c>
      <c r="BZ249" s="838">
        <f>IFERROR(__xludf.DUMMYFUNCTION("""COMPUTED_VALUE"""),1999.0)</f>
        <v>1999</v>
      </c>
      <c r="CA249" s="838" t="str">
        <f>IFERROR(__xludf.DUMMYFUNCTION("""COMPUTED_VALUE"""),"54.2%M")</f>
        <v>54.2%M</v>
      </c>
      <c r="CB249" s="838" t="str">
        <f>IFERROR(__xludf.DUMMYFUNCTION("""COMPUTED_VALUE"""),"Children enrolled in first (Standard 1) and fifth grade (Standard 5) of 10 public schools on Pemba Island. Children at standard 1 had not yet been treated with mebendazole in school, whereas children at standard 5 had been exposed to 15 rounds of mebendaz"&amp;"ole treatment. They were required to have parental or guardian permission to participate, provide a stool sample, and had to be a resident of Zanzibar")</f>
        <v>Children enrolled in first (Standard 1) and fifth grade (Standard 5) of 10 public schools on Pemba Island. Children at standard 1 had not yet been treated with mebendazole in school, whereas children at standard 5 had been exposed to 15 rounds of mebendazole treatment. They were required to have parental or guardian permission to participate, provide a stool sample, and had to be a resident of Zanzibar</v>
      </c>
      <c r="CC249" s="838" t="str">
        <f>IFERROR(__xludf.DUMMYFUNCTION("""COMPUTED_VALUE"""),"Yes")</f>
        <v>Yes</v>
      </c>
      <c r="CD249" s="847">
        <f>IFERROR(__xludf.DUMMYFUNCTION("""COMPUTED_VALUE"""),0.912)</f>
        <v>0.912</v>
      </c>
      <c r="CE249" s="838" t="str">
        <f>IFERROR(__xludf.DUMMYFUNCTION("""COMPUTED_VALUE"""),"Yes")</f>
        <v>Yes</v>
      </c>
      <c r="CF249" s="838"/>
      <c r="CG249" s="838"/>
      <c r="CH249" s="838"/>
      <c r="CI249" s="838"/>
      <c r="CJ249" s="838"/>
      <c r="CK249" s="838"/>
      <c r="CL249" s="838"/>
      <c r="CM249" s="847">
        <f>IFERROR(__xludf.DUMMYFUNCTION("""COMPUTED_VALUE"""),0.985)</f>
        <v>0.985</v>
      </c>
      <c r="CN249" s="838"/>
      <c r="CO249" s="838"/>
      <c r="CP249" s="838"/>
      <c r="CQ249" s="838"/>
      <c r="CR249" s="838"/>
      <c r="CS249" s="838" t="str">
        <f>IFERROR(__xludf.DUMMYFUNCTION("""COMPUTED_VALUE"""),"The overall efficacy of mebendazole against Roundworm infections after periodic chemotherapy is reduced. The efficacy of benzimidazoles in chemotherapy-based control programmes should be monitored closely. Combined treatment with mebendazole and levamisol"&amp;"e may be useful as a tool to delay the development of benzimidazole resistance ")</f>
        <v>The overall efficacy of mebendazole against Roundworm infections after periodic chemotherapy is reduced. The efficacy of benzimidazoles in chemotherapy-based control programmes should be monitored closely. Combined treatment with mebendazole and levamisole may be useful as a tool to delay the development of benzimidazole resistance </v>
      </c>
      <c r="CT249" s="838" t="str">
        <f>IFERROR(__xludf.DUMMYFUNCTION("""COMPUTED_VALUE"""),"Kato-Katz")</f>
        <v>Kato-Katz</v>
      </c>
      <c r="CU249" s="838" t="str">
        <f>IFERROR(__xludf.DUMMYFUNCTION("""COMPUTED_VALUE"""),"x")</f>
        <v>x</v>
      </c>
      <c r="CV249" s="697" t="str">
        <f>IFERROR(__xludf.DUMMYFUNCTION("""COMPUTED_VALUE"""),"Albonico M, Bickle Q, Ramsan M, Montresor A, Savioli L, Taylor M. Efficacy of mebendazole and levamisole alone or in combination against intestinal nematode infections after repeated targeted mebendazole treatment in Zanzibar. Bull World Health Organ. 200"&amp;"3;81(5):343-52. Epub 2003 Jul 7. PMID: 12856052; PMCID: PMC2572452.")</f>
        <v>Albonico M, Bickle Q, Ramsan M, Montresor A, Savioli L, Taylor M. Efficacy of mebendazole and levamisole alone or in combination against intestinal nematode infections after repeated targeted mebendazole treatment in Zanzibar. Bull World Health Organ. 2003;81(5):343-52. Epub 2003 Jul 7. PMID: 12856052; PMCID: PMC2572452.</v>
      </c>
    </row>
    <row r="250">
      <c r="A250" s="834"/>
      <c r="B250" s="834"/>
      <c r="C250" s="834"/>
      <c r="D250" s="834"/>
      <c r="E250" s="834"/>
      <c r="F250" s="834"/>
      <c r="G250" s="834"/>
      <c r="H250" s="834"/>
      <c r="I250" s="834"/>
      <c r="J250" s="834"/>
      <c r="K250" s="834"/>
      <c r="L250" s="834"/>
      <c r="M250" s="834"/>
      <c r="N250" s="834"/>
      <c r="O250" s="834"/>
      <c r="P250" s="834"/>
      <c r="Q250" s="834"/>
      <c r="R250" s="834"/>
      <c r="S250" s="834"/>
      <c r="T250" s="834"/>
      <c r="U250" s="834"/>
      <c r="V250" s="834"/>
      <c r="W250" s="834"/>
      <c r="X250" s="834"/>
      <c r="Y250" s="834"/>
      <c r="Z250" s="834"/>
      <c r="AA250" s="834"/>
      <c r="AB250" s="834"/>
      <c r="AC250" s="834"/>
      <c r="AD250" s="834"/>
      <c r="AE250" s="834"/>
      <c r="AF250" s="834"/>
      <c r="AG250" s="834"/>
      <c r="AH250" s="834"/>
      <c r="AJ250" s="836"/>
      <c r="AK250" s="836"/>
      <c r="AL250" s="836"/>
      <c r="AM250" s="836"/>
      <c r="AN250" s="836"/>
      <c r="AO250" s="836"/>
      <c r="AP250" s="836"/>
      <c r="AQ250" s="836"/>
      <c r="AR250" s="836"/>
      <c r="AS250" s="836"/>
      <c r="AT250" s="836"/>
      <c r="AU250" s="836"/>
      <c r="AV250" s="836"/>
      <c r="AW250" s="836"/>
      <c r="AX250" s="836"/>
      <c r="AY250" s="836"/>
      <c r="AZ250" s="836"/>
      <c r="BA250" s="836"/>
      <c r="BB250" s="836"/>
      <c r="BC250" s="836"/>
      <c r="BD250" s="836"/>
      <c r="BE250" s="836"/>
      <c r="BF250" s="836"/>
      <c r="BG250" s="836"/>
      <c r="BH250" s="836"/>
      <c r="BI250" s="836"/>
      <c r="BJ250" s="836"/>
      <c r="BK250" s="836"/>
      <c r="BL250" s="836"/>
      <c r="BM250" s="836"/>
      <c r="BN250" s="836"/>
      <c r="BO250" s="836"/>
      <c r="BP250" s="836"/>
      <c r="BR250" s="844" t="str">
        <f>IFERROR(__xludf.DUMMYFUNCTION("""COMPUTED_VALUE"""),"Albonico et al.")</f>
        <v>Albonico et al.</v>
      </c>
      <c r="BS250" s="838" t="str">
        <f>IFERROR(__xludf.DUMMYFUNCTION("""COMPUTED_VALUE"""),"Tanzania")</f>
        <v>Tanzania</v>
      </c>
      <c r="BT250" s="838" t="str">
        <f>IFERROR(__xludf.DUMMYFUNCTION("""COMPUTED_VALUE"""),"Mebendazole &amp; Levamisole")</f>
        <v>Mebendazole &amp; Levamisole</v>
      </c>
      <c r="BU250" s="838"/>
      <c r="BV250" s="838" t="str">
        <f>IFERROR(__xludf.DUMMYFUNCTION("""COMPUTED_VALUE"""),"Single")</f>
        <v>Single</v>
      </c>
      <c r="BW250" s="838" t="str">
        <f>IFERROR(__xludf.DUMMYFUNCTION("""COMPUTED_VALUE"""),"500 mg; 40 mg")</f>
        <v>500 mg; 40 mg</v>
      </c>
      <c r="BX250" s="838">
        <f>IFERROR(__xludf.DUMMYFUNCTION("""COMPUTED_VALUE"""),216.0)</f>
        <v>216</v>
      </c>
      <c r="BY250" s="838">
        <f>IFERROR(__xludf.DUMMYFUNCTION("""COMPUTED_VALUE"""),11.7)</f>
        <v>11.7</v>
      </c>
      <c r="BZ250" s="838">
        <f>IFERROR(__xludf.DUMMYFUNCTION("""COMPUTED_VALUE"""),1999.0)</f>
        <v>1999</v>
      </c>
      <c r="CA250" s="838" t="str">
        <f>IFERROR(__xludf.DUMMYFUNCTION("""COMPUTED_VALUE"""),"11.7%M")</f>
        <v>11.7%M</v>
      </c>
      <c r="CB250" s="838" t="str">
        <f>IFERROR(__xludf.DUMMYFUNCTION("""COMPUTED_VALUE"""),"Children enrolled in first (Standard 1) and fifth grade (Standard 5) of 10 public schools on Pemba Island. Children at standard 1 had not yet been treated with mebendazole in school, whereas children at standard 5 had been exposed to 15 rounds of mebendaz"&amp;"ole treatment. They were required to have parental or guardian permission to participate, provide a stool sample, and had to be a resident of Zanzibar")</f>
        <v>Children enrolled in first (Standard 1) and fifth grade (Standard 5) of 10 public schools on Pemba Island. Children at standard 1 had not yet been treated with mebendazole in school, whereas children at standard 5 had been exposed to 15 rounds of mebendazole treatment. They were required to have parental or guardian permission to participate, provide a stool sample, and had to be a resident of Zanzibar</v>
      </c>
      <c r="CC250" s="838" t="str">
        <f>IFERROR(__xludf.DUMMYFUNCTION("""COMPUTED_VALUE"""),"Yes")</f>
        <v>Yes</v>
      </c>
      <c r="CD250" s="847">
        <f>IFERROR(__xludf.DUMMYFUNCTION("""COMPUTED_VALUE"""),0.985)</f>
        <v>0.985</v>
      </c>
      <c r="CE250" s="838" t="str">
        <f>IFERROR(__xludf.DUMMYFUNCTION("""COMPUTED_VALUE"""),"Yes")</f>
        <v>Yes</v>
      </c>
      <c r="CF250" s="838"/>
      <c r="CG250" s="838"/>
      <c r="CH250" s="838"/>
      <c r="CI250" s="838"/>
      <c r="CJ250" s="838"/>
      <c r="CK250" s="838"/>
      <c r="CL250" s="838"/>
      <c r="CM250" s="847">
        <f>IFERROR(__xludf.DUMMYFUNCTION("""COMPUTED_VALUE"""),0.991)</f>
        <v>0.991</v>
      </c>
      <c r="CN250" s="838"/>
      <c r="CO250" s="838"/>
      <c r="CP250" s="838"/>
      <c r="CQ250" s="838"/>
      <c r="CR250" s="838"/>
      <c r="CS250" s="838" t="str">
        <f>IFERROR(__xludf.DUMMYFUNCTION("""COMPUTED_VALUE"""),"The overall efficacy of mebendazole against Roundworm infections after periodic chemotherapy is reduced. The efficacy of benzimidazoles in chemotherapy-based control programmes should be monitored closely. Combined treatment with mebendazole and levamisol"&amp;"e may be useful as a tool to delay the development of benzimidazole resistance ")</f>
        <v>The overall efficacy of mebendazole against Roundworm infections after periodic chemotherapy is reduced. The efficacy of benzimidazoles in chemotherapy-based control programmes should be monitored closely. Combined treatment with mebendazole and levamisole may be useful as a tool to delay the development of benzimidazole resistance </v>
      </c>
      <c r="CT250" s="838" t="str">
        <f>IFERROR(__xludf.DUMMYFUNCTION("""COMPUTED_VALUE"""),"Kato-Katz")</f>
        <v>Kato-Katz</v>
      </c>
      <c r="CU250" s="838" t="str">
        <f>IFERROR(__xludf.DUMMYFUNCTION("""COMPUTED_VALUE"""),"x")</f>
        <v>x</v>
      </c>
      <c r="CV250" s="697" t="str">
        <f>IFERROR(__xludf.DUMMYFUNCTION("""COMPUTED_VALUE"""),"Albonico M, Bickle Q, Ramsan M, Montresor A, Savioli L, Taylor M. Efficacy of mebendazole and levamisole alone or in combination against intestinal nematode infections after repeated targeted mebendazole treatment in Zanzibar. Bull World Health Organ. 200"&amp;"3;81(5):343-52. Epub 2003 Jul 7. PMID: 12856052; PMCID: PMC2572452.")</f>
        <v>Albonico M, Bickle Q, Ramsan M, Montresor A, Savioli L, Taylor M. Efficacy of mebendazole and levamisole alone or in combination against intestinal nematode infections after repeated targeted mebendazole treatment in Zanzibar. Bull World Health Organ. 2003;81(5):343-52. Epub 2003 Jul 7. PMID: 12856052; PMCID: PMC2572452.</v>
      </c>
    </row>
    <row r="251">
      <c r="A251" s="834"/>
      <c r="B251" s="834"/>
      <c r="C251" s="834"/>
      <c r="D251" s="834"/>
      <c r="E251" s="834"/>
      <c r="F251" s="834"/>
      <c r="G251" s="834"/>
      <c r="H251" s="834"/>
      <c r="I251" s="834"/>
      <c r="J251" s="834"/>
      <c r="K251" s="834"/>
      <c r="L251" s="834"/>
      <c r="M251" s="834"/>
      <c r="N251" s="834"/>
      <c r="O251" s="834"/>
      <c r="P251" s="834"/>
      <c r="Q251" s="834"/>
      <c r="R251" s="834"/>
      <c r="S251" s="834"/>
      <c r="T251" s="834"/>
      <c r="U251" s="834"/>
      <c r="V251" s="834"/>
      <c r="W251" s="834"/>
      <c r="X251" s="834"/>
      <c r="Y251" s="834"/>
      <c r="Z251" s="834"/>
      <c r="AA251" s="834"/>
      <c r="AB251" s="834"/>
      <c r="AC251" s="834"/>
      <c r="AD251" s="834"/>
      <c r="AE251" s="834"/>
      <c r="AF251" s="834"/>
      <c r="AG251" s="834"/>
      <c r="AH251" s="834"/>
      <c r="AJ251" s="836"/>
      <c r="AK251" s="836"/>
      <c r="AL251" s="836"/>
      <c r="AM251" s="836"/>
      <c r="AN251" s="836"/>
      <c r="AO251" s="836"/>
      <c r="AP251" s="836"/>
      <c r="AQ251" s="836"/>
      <c r="AR251" s="836"/>
      <c r="AS251" s="836"/>
      <c r="AT251" s="836"/>
      <c r="AU251" s="836"/>
      <c r="AV251" s="836"/>
      <c r="AW251" s="836"/>
      <c r="AX251" s="836"/>
      <c r="AY251" s="836"/>
      <c r="AZ251" s="836"/>
      <c r="BA251" s="836"/>
      <c r="BB251" s="836"/>
      <c r="BC251" s="836"/>
      <c r="BD251" s="836"/>
      <c r="BE251" s="836"/>
      <c r="BF251" s="836"/>
      <c r="BG251" s="836"/>
      <c r="BH251" s="836"/>
      <c r="BI251" s="836"/>
      <c r="BJ251" s="836"/>
      <c r="BK251" s="836"/>
      <c r="BL251" s="836"/>
      <c r="BM251" s="836"/>
      <c r="BN251" s="836"/>
      <c r="BO251" s="836"/>
      <c r="BP251" s="836"/>
      <c r="BR251" s="844" t="str">
        <f>IFERROR(__xludf.DUMMYFUNCTION("""COMPUTED_VALUE"""),"Keller et al.")</f>
        <v>Keller et al.</v>
      </c>
      <c r="BS251" s="838" t="str">
        <f>IFERROR(__xludf.DUMMYFUNCTION("""COMPUTED_VALUE"""),"Tanzania")</f>
        <v>Tanzania</v>
      </c>
      <c r="BT251" s="838" t="str">
        <f>IFERROR(__xludf.DUMMYFUNCTION("""COMPUTED_VALUE"""),"Moxidectin")</f>
        <v>Moxidectin</v>
      </c>
      <c r="BU251" s="838"/>
      <c r="BV251" s="838" t="str">
        <f>IFERROR(__xludf.DUMMYFUNCTION("""COMPUTED_VALUE"""),"Single")</f>
        <v>Single</v>
      </c>
      <c r="BW251" s="838" t="str">
        <f>IFERROR(__xludf.DUMMYFUNCTION("""COMPUTED_VALUE"""),"8 mg")</f>
        <v>8 mg</v>
      </c>
      <c r="BX251" s="838">
        <f>IFERROR(__xludf.DUMMYFUNCTION("""COMPUTED_VALUE"""),4.0)</f>
        <v>4</v>
      </c>
      <c r="BY251" s="838"/>
      <c r="BZ251" s="838">
        <f>IFERROR(__xludf.DUMMYFUNCTION("""COMPUTED_VALUE"""),2018.0)</f>
        <v>2018</v>
      </c>
      <c r="CA251" s="838"/>
      <c r="CB251" s="838" t="str">
        <f>IFERROR(__xludf.DUMMYFUNCTION("""COMPUTED_VALUE"""),"Adolescents (16–18  years old) were eligible if they provided 2 stool samples and were positive for T. trichiura.")</f>
        <v>Adolescents (16–18  years old) were eligible if they provided 2 stool samples and were positive for T. trichiura.</v>
      </c>
      <c r="CC251" s="838" t="str">
        <f>IFERROR(__xludf.DUMMYFUNCTION("""COMPUTED_VALUE"""),"Yes")</f>
        <v>Yes</v>
      </c>
      <c r="CD251" s="847">
        <f>IFERROR(__xludf.DUMMYFUNCTION("""COMPUTED_VALUE"""),1.0)</f>
        <v>1</v>
      </c>
      <c r="CE251" s="838" t="str">
        <f>IFERROR(__xludf.DUMMYFUNCTION("""COMPUTED_VALUE"""),"Yes")</f>
        <v>Yes</v>
      </c>
      <c r="CF251" s="838"/>
      <c r="CG251" s="838"/>
      <c r="CH251" s="838"/>
      <c r="CI251" s="838"/>
      <c r="CJ251" s="838"/>
      <c r="CK251" s="838"/>
      <c r="CL251" s="838"/>
      <c r="CM251" s="846">
        <f>IFERROR(__xludf.DUMMYFUNCTION("""COMPUTED_VALUE"""),1.0)</f>
        <v>1</v>
      </c>
      <c r="CN251" s="838"/>
      <c r="CO251" s="838"/>
      <c r="CP251" s="838"/>
      <c r="CQ251" s="838"/>
      <c r="CR251" s="838"/>
      <c r="CS251" s="838" t="str">
        <f>IFERROR(__xludf.DUMMYFUNCTION("""COMPUTED_VALUE"""),"Moxidectin-albendazole is superior to moxidectin. There is no benefit of using doses above 8 mg, which is the recommended dose for onchocerciasis. The moxidectin-albendazole combination of 8 mg plus 400 mg should be investigated further to develop recomme"&amp;"ndations for appropriate control of STH infections.")</f>
        <v>Moxidectin-albendazole is superior to moxidectin. There is no benefit of using doses above 8 mg, which is the recommended dose for onchocerciasis. The moxidectin-albendazole combination of 8 mg plus 400 mg should be investigated further to develop recommendations for appropriate control of STH infections.</v>
      </c>
      <c r="CT251" s="838" t="str">
        <f>IFERROR(__xludf.DUMMYFUNCTION("""COMPUTED_VALUE"""),"Kato-Katz technique")</f>
        <v>Kato-Katz technique</v>
      </c>
      <c r="CU251" s="838"/>
      <c r="CV251" s="697" t="str">
        <f>IFERROR(__xludf.DUMMYFUNCTION("""COMPUTED_VALUE"""),"Keller L, Palmeirim MS, Ame SM, Ali SM, Puchkov M, Huwyler J, Hattendorf J, Keiser J. Efficacy and Safety of Ascending Dosages of Moxidectin and Moxidectin-albendazole Against Trichuris trichiura in Adolescents: A Randomized Controlled Trial. Clin Infect "&amp;"Dis. 2020 Mar 3;70(6):1193-1201. doi: 10.1093/cid/ciz326. PMID: 31044235.")</f>
        <v>Keller L, Palmeirim MS, Ame SM, Ali SM, Puchkov M, Huwyler J, Hattendorf J, Keiser J. Efficacy and Safety of Ascending Dosages of Moxidectin and Moxidectin-albendazole Against Trichuris trichiura in Adolescents: A Randomized Controlled Trial. Clin Infect Dis. 2020 Mar 3;70(6):1193-1201. doi: 10.1093/cid/ciz326. PMID: 31044235.</v>
      </c>
    </row>
    <row r="252">
      <c r="A252" s="834"/>
      <c r="B252" s="834"/>
      <c r="C252" s="834"/>
      <c r="D252" s="834"/>
      <c r="E252" s="834"/>
      <c r="F252" s="834"/>
      <c r="G252" s="834"/>
      <c r="H252" s="834"/>
      <c r="I252" s="834"/>
      <c r="J252" s="834"/>
      <c r="K252" s="834"/>
      <c r="L252" s="834"/>
      <c r="M252" s="834"/>
      <c r="N252" s="834"/>
      <c r="O252" s="834"/>
      <c r="P252" s="834"/>
      <c r="Q252" s="834"/>
      <c r="R252" s="834"/>
      <c r="S252" s="834"/>
      <c r="T252" s="834"/>
      <c r="U252" s="834"/>
      <c r="V252" s="834"/>
      <c r="W252" s="834"/>
      <c r="X252" s="834"/>
      <c r="Y252" s="834"/>
      <c r="Z252" s="834"/>
      <c r="AA252" s="834"/>
      <c r="AB252" s="834"/>
      <c r="AC252" s="834"/>
      <c r="AD252" s="834"/>
      <c r="AE252" s="834"/>
      <c r="AF252" s="834"/>
      <c r="AG252" s="834"/>
      <c r="AH252" s="834"/>
      <c r="AJ252" s="836"/>
      <c r="AK252" s="836"/>
      <c r="AL252" s="836"/>
      <c r="AM252" s="836"/>
      <c r="AN252" s="836"/>
      <c r="AO252" s="836"/>
      <c r="AP252" s="836"/>
      <c r="AQ252" s="836"/>
      <c r="AR252" s="836"/>
      <c r="AS252" s="836"/>
      <c r="AT252" s="836"/>
      <c r="AU252" s="836"/>
      <c r="AV252" s="836"/>
      <c r="AW252" s="836"/>
      <c r="AX252" s="836"/>
      <c r="AY252" s="836"/>
      <c r="AZ252" s="836"/>
      <c r="BA252" s="836"/>
      <c r="BB252" s="836"/>
      <c r="BC252" s="836"/>
      <c r="BD252" s="836"/>
      <c r="BE252" s="836"/>
      <c r="BF252" s="836"/>
      <c r="BG252" s="836"/>
      <c r="BH252" s="836"/>
      <c r="BI252" s="836"/>
      <c r="BJ252" s="836"/>
      <c r="BK252" s="836"/>
      <c r="BL252" s="836"/>
      <c r="BM252" s="836"/>
      <c r="BN252" s="836"/>
      <c r="BO252" s="836"/>
      <c r="BP252" s="836"/>
      <c r="BR252" s="844" t="str">
        <f>IFERROR(__xludf.DUMMYFUNCTION("""COMPUTED_VALUE"""),"Keller et al.")</f>
        <v>Keller et al.</v>
      </c>
      <c r="BS252" s="838" t="str">
        <f>IFERROR(__xludf.DUMMYFUNCTION("""COMPUTED_VALUE"""),"Tanzania")</f>
        <v>Tanzania</v>
      </c>
      <c r="BT252" s="838" t="str">
        <f>IFERROR(__xludf.DUMMYFUNCTION("""COMPUTED_VALUE"""),"Moxidectin")</f>
        <v>Moxidectin</v>
      </c>
      <c r="BU252" s="838"/>
      <c r="BV252" s="838" t="str">
        <f>IFERROR(__xludf.DUMMYFUNCTION("""COMPUTED_VALUE"""),"Single")</f>
        <v>Single</v>
      </c>
      <c r="BW252" s="838" t="str">
        <f>IFERROR(__xludf.DUMMYFUNCTION("""COMPUTED_VALUE"""),"16 mg")</f>
        <v>16 mg</v>
      </c>
      <c r="BX252" s="838">
        <f>IFERROR(__xludf.DUMMYFUNCTION("""COMPUTED_VALUE"""),4.0)</f>
        <v>4</v>
      </c>
      <c r="BY252" s="838"/>
      <c r="BZ252" s="838">
        <f>IFERROR(__xludf.DUMMYFUNCTION("""COMPUTED_VALUE"""),2018.0)</f>
        <v>2018</v>
      </c>
      <c r="CA252" s="838"/>
      <c r="CB252" s="838" t="str">
        <f>IFERROR(__xludf.DUMMYFUNCTION("""COMPUTED_VALUE"""),"Adolescents (16–18  years old) were eligible if they provided 2 stool samples and were positive for T. trichiura.")</f>
        <v>Adolescents (16–18  years old) were eligible if they provided 2 stool samples and were positive for T. trichiura.</v>
      </c>
      <c r="CC252" s="838" t="str">
        <f>IFERROR(__xludf.DUMMYFUNCTION("""COMPUTED_VALUE"""),"Yes")</f>
        <v>Yes</v>
      </c>
      <c r="CD252" s="846">
        <f>IFERROR(__xludf.DUMMYFUNCTION("""COMPUTED_VALUE"""),0.75)</f>
        <v>0.75</v>
      </c>
      <c r="CE252" s="838" t="str">
        <f>IFERROR(__xludf.DUMMYFUNCTION("""COMPUTED_VALUE"""),"Yes")</f>
        <v>Yes</v>
      </c>
      <c r="CF252" s="838"/>
      <c r="CG252" s="838"/>
      <c r="CH252" s="838"/>
      <c r="CI252" s="838"/>
      <c r="CJ252" s="838"/>
      <c r="CK252" s="838"/>
      <c r="CL252" s="838"/>
      <c r="CM252" s="846">
        <f>IFERROR(__xludf.DUMMYFUNCTION("""COMPUTED_VALUE"""),1.0)</f>
        <v>1</v>
      </c>
      <c r="CN252" s="838"/>
      <c r="CO252" s="838"/>
      <c r="CP252" s="838"/>
      <c r="CQ252" s="838"/>
      <c r="CR252" s="838"/>
      <c r="CS252" s="838" t="str">
        <f>IFERROR(__xludf.DUMMYFUNCTION("""COMPUTED_VALUE"""),"Moxidectin-albendazole is superior to moxidectin. There is no benefit of using doses above 8 mg, which is the recommended dose for onchocerciasis. The moxidectin-albendazole combination of 8 mg plus 400 mg should be investigated further to develop recomme"&amp;"ndations for appropriate control of STH infections.")</f>
        <v>Moxidectin-albendazole is superior to moxidectin. There is no benefit of using doses above 8 mg, which is the recommended dose for onchocerciasis. The moxidectin-albendazole combination of 8 mg plus 400 mg should be investigated further to develop recommendations for appropriate control of STH infections.</v>
      </c>
      <c r="CT252" s="838" t="str">
        <f>IFERROR(__xludf.DUMMYFUNCTION("""COMPUTED_VALUE"""),"Kato-Katz technique")</f>
        <v>Kato-Katz technique</v>
      </c>
      <c r="CU252" s="838"/>
      <c r="CV252" s="697" t="str">
        <f>IFERROR(__xludf.DUMMYFUNCTION("""COMPUTED_VALUE"""),"Keller L, Palmeirim MS, Ame SM, Ali SM, Puchkov M, Huwyler J, Hattendorf J, Keiser J. Efficacy and Safety of Ascending Dosages of Moxidectin and Moxidectin-albendazole Against Trichuris trichiura in Adolescents: A Randomized Controlled Trial. Clin Infect "&amp;"Dis. 2020 Mar 3;70(6):1193-1201. doi: 10.1093/cid/ciz326. PMID: 31044235.")</f>
        <v>Keller L, Palmeirim MS, Ame SM, Ali SM, Puchkov M, Huwyler J, Hattendorf J, Keiser J. Efficacy and Safety of Ascending Dosages of Moxidectin and Moxidectin-albendazole Against Trichuris trichiura in Adolescents: A Randomized Controlled Trial. Clin Infect Dis. 2020 Mar 3;70(6):1193-1201. doi: 10.1093/cid/ciz326. PMID: 31044235.</v>
      </c>
    </row>
    <row r="253">
      <c r="A253" s="834"/>
      <c r="B253" s="834"/>
      <c r="C253" s="834"/>
      <c r="D253" s="834"/>
      <c r="E253" s="834"/>
      <c r="F253" s="834"/>
      <c r="G253" s="834"/>
      <c r="H253" s="834"/>
      <c r="I253" s="834"/>
      <c r="J253" s="834"/>
      <c r="K253" s="834"/>
      <c r="L253" s="834"/>
      <c r="M253" s="834"/>
      <c r="N253" s="834"/>
      <c r="O253" s="834"/>
      <c r="P253" s="834"/>
      <c r="Q253" s="834"/>
      <c r="R253" s="834"/>
      <c r="S253" s="834"/>
      <c r="T253" s="834"/>
      <c r="U253" s="834"/>
      <c r="V253" s="834"/>
      <c r="W253" s="834"/>
      <c r="X253" s="834"/>
      <c r="Y253" s="834"/>
      <c r="Z253" s="834"/>
      <c r="AA253" s="834"/>
      <c r="AB253" s="834"/>
      <c r="AC253" s="834"/>
      <c r="AD253" s="834"/>
      <c r="AE253" s="834"/>
      <c r="AF253" s="834"/>
      <c r="AG253" s="834"/>
      <c r="AH253" s="834"/>
      <c r="AJ253" s="836"/>
      <c r="AK253" s="836"/>
      <c r="AL253" s="836"/>
      <c r="AM253" s="836"/>
      <c r="AN253" s="836"/>
      <c r="AO253" s="836"/>
      <c r="AP253" s="836"/>
      <c r="AQ253" s="836"/>
      <c r="AR253" s="836"/>
      <c r="AS253" s="836"/>
      <c r="AT253" s="836"/>
      <c r="AU253" s="836"/>
      <c r="AV253" s="836"/>
      <c r="AW253" s="836"/>
      <c r="AX253" s="836"/>
      <c r="AY253" s="836"/>
      <c r="AZ253" s="836"/>
      <c r="BA253" s="836"/>
      <c r="BB253" s="836"/>
      <c r="BC253" s="836"/>
      <c r="BD253" s="836"/>
      <c r="BE253" s="836"/>
      <c r="BF253" s="836"/>
      <c r="BG253" s="836"/>
      <c r="BH253" s="836"/>
      <c r="BI253" s="836"/>
      <c r="BJ253" s="836"/>
      <c r="BK253" s="836"/>
      <c r="BL253" s="836"/>
      <c r="BM253" s="836"/>
      <c r="BN253" s="836"/>
      <c r="BO253" s="836"/>
      <c r="BP253" s="836"/>
      <c r="BR253" s="844" t="str">
        <f>IFERROR(__xludf.DUMMYFUNCTION("""COMPUTED_VALUE"""),"Keller et al.")</f>
        <v>Keller et al.</v>
      </c>
      <c r="BS253" s="838" t="str">
        <f>IFERROR(__xludf.DUMMYFUNCTION("""COMPUTED_VALUE"""),"Tanzania")</f>
        <v>Tanzania</v>
      </c>
      <c r="BT253" s="838" t="str">
        <f>IFERROR(__xludf.DUMMYFUNCTION("""COMPUTED_VALUE"""),"Moxidectin")</f>
        <v>Moxidectin</v>
      </c>
      <c r="BU253" s="838"/>
      <c r="BV253" s="838" t="str">
        <f>IFERROR(__xludf.DUMMYFUNCTION("""COMPUTED_VALUE"""),"Single")</f>
        <v>Single</v>
      </c>
      <c r="BW253" s="838" t="str">
        <f>IFERROR(__xludf.DUMMYFUNCTION("""COMPUTED_VALUE"""),"24 mg")</f>
        <v>24 mg</v>
      </c>
      <c r="BX253" s="838">
        <f>IFERROR(__xludf.DUMMYFUNCTION("""COMPUTED_VALUE"""),6.0)</f>
        <v>6</v>
      </c>
      <c r="BY253" s="838"/>
      <c r="BZ253" s="838">
        <f>IFERROR(__xludf.DUMMYFUNCTION("""COMPUTED_VALUE"""),2018.0)</f>
        <v>2018</v>
      </c>
      <c r="CA253" s="838"/>
      <c r="CB253" s="838" t="str">
        <f>IFERROR(__xludf.DUMMYFUNCTION("""COMPUTED_VALUE"""),"Adolescents (16–18  years old) were eligible if they provided 2 stool samples and were positive for T. trichiura.")</f>
        <v>Adolescents (16–18  years old) were eligible if they provided 2 stool samples and were positive for T. trichiura.</v>
      </c>
      <c r="CC253" s="838" t="str">
        <f>IFERROR(__xludf.DUMMYFUNCTION("""COMPUTED_VALUE"""),"Yes")</f>
        <v>Yes</v>
      </c>
      <c r="CD253" s="847">
        <f>IFERROR(__xludf.DUMMYFUNCTION("""COMPUTED_VALUE"""),1.0)</f>
        <v>1</v>
      </c>
      <c r="CE253" s="838" t="str">
        <f>IFERROR(__xludf.DUMMYFUNCTION("""COMPUTED_VALUE"""),"Yes")</f>
        <v>Yes</v>
      </c>
      <c r="CF253" s="838"/>
      <c r="CG253" s="838"/>
      <c r="CH253" s="838"/>
      <c r="CI253" s="838"/>
      <c r="CJ253" s="838"/>
      <c r="CK253" s="838"/>
      <c r="CL253" s="838"/>
      <c r="CM253" s="846">
        <f>IFERROR(__xludf.DUMMYFUNCTION("""COMPUTED_VALUE"""),1.0)</f>
        <v>1</v>
      </c>
      <c r="CN253" s="838"/>
      <c r="CO253" s="838"/>
      <c r="CP253" s="838"/>
      <c r="CQ253" s="838"/>
      <c r="CR253" s="838"/>
      <c r="CS253" s="838" t="str">
        <f>IFERROR(__xludf.DUMMYFUNCTION("""COMPUTED_VALUE"""),"Moxidectin-albendazole is superior to moxidectin. There is no benefit of using doses above 8 mg, which is the recommended dose for onchocerciasis. The moxidectin-albendazole combination of 8 mg plus 400 mg should be investigated further to develop recomme"&amp;"ndations for appropriate control of STH infections.")</f>
        <v>Moxidectin-albendazole is superior to moxidectin. There is no benefit of using doses above 8 mg, which is the recommended dose for onchocerciasis. The moxidectin-albendazole combination of 8 mg plus 400 mg should be investigated further to develop recommendations for appropriate control of STH infections.</v>
      </c>
      <c r="CT253" s="838" t="str">
        <f>IFERROR(__xludf.DUMMYFUNCTION("""COMPUTED_VALUE"""),"Kato-Katz technique")</f>
        <v>Kato-Katz technique</v>
      </c>
      <c r="CU253" s="838"/>
      <c r="CV253" s="697" t="str">
        <f>IFERROR(__xludf.DUMMYFUNCTION("""COMPUTED_VALUE"""),"Keller L, Palmeirim MS, Ame SM, Ali SM, Puchkov M, Huwyler J, Hattendorf J, Keiser J. Efficacy and Safety of Ascending Dosages of Moxidectin and Moxidectin-albendazole Against Trichuris trichiura in Adolescents: A Randomized Controlled Trial. Clin Infect "&amp;"Dis. 2020 Mar 3;70(6):1193-1201. doi: 10.1093/cid/ciz326. PMID: 31044235.")</f>
        <v>Keller L, Palmeirim MS, Ame SM, Ali SM, Puchkov M, Huwyler J, Hattendorf J, Keiser J. Efficacy and Safety of Ascending Dosages of Moxidectin and Moxidectin-albendazole Against Trichuris trichiura in Adolescents: A Randomized Controlled Trial. Clin Infect Dis. 2020 Mar 3;70(6):1193-1201. doi: 10.1093/cid/ciz326. PMID: 31044235.</v>
      </c>
    </row>
    <row r="254">
      <c r="A254" s="834"/>
      <c r="B254" s="834"/>
      <c r="C254" s="834"/>
      <c r="D254" s="834"/>
      <c r="E254" s="834"/>
      <c r="F254" s="834"/>
      <c r="G254" s="834"/>
      <c r="H254" s="834"/>
      <c r="I254" s="834"/>
      <c r="J254" s="834"/>
      <c r="K254" s="834"/>
      <c r="L254" s="834"/>
      <c r="M254" s="834"/>
      <c r="N254" s="834"/>
      <c r="O254" s="834"/>
      <c r="P254" s="834"/>
      <c r="Q254" s="834"/>
      <c r="R254" s="834"/>
      <c r="S254" s="834"/>
      <c r="T254" s="834"/>
      <c r="U254" s="834"/>
      <c r="V254" s="834"/>
      <c r="W254" s="834"/>
      <c r="X254" s="834"/>
      <c r="Y254" s="834"/>
      <c r="Z254" s="834"/>
      <c r="AA254" s="834"/>
      <c r="AB254" s="834"/>
      <c r="AC254" s="834"/>
      <c r="AD254" s="834"/>
      <c r="AE254" s="834"/>
      <c r="AF254" s="834"/>
      <c r="AG254" s="834"/>
      <c r="AH254" s="834"/>
      <c r="AJ254" s="836"/>
      <c r="AK254" s="836"/>
      <c r="AL254" s="836"/>
      <c r="AM254" s="836"/>
      <c r="AN254" s="836"/>
      <c r="AO254" s="836"/>
      <c r="AP254" s="836"/>
      <c r="AQ254" s="836"/>
      <c r="AR254" s="836"/>
      <c r="AS254" s="836"/>
      <c r="AT254" s="836"/>
      <c r="AU254" s="836"/>
      <c r="AV254" s="836"/>
      <c r="AW254" s="836"/>
      <c r="AX254" s="836"/>
      <c r="AY254" s="836"/>
      <c r="AZ254" s="836"/>
      <c r="BA254" s="836"/>
      <c r="BB254" s="836"/>
      <c r="BC254" s="836"/>
      <c r="BD254" s="836"/>
      <c r="BE254" s="836"/>
      <c r="BF254" s="836"/>
      <c r="BG254" s="836"/>
      <c r="BH254" s="836"/>
      <c r="BI254" s="836"/>
      <c r="BJ254" s="836"/>
      <c r="BK254" s="836"/>
      <c r="BL254" s="836"/>
      <c r="BM254" s="836"/>
      <c r="BN254" s="836"/>
      <c r="BO254" s="836"/>
      <c r="BP254" s="836"/>
      <c r="BR254" s="844" t="str">
        <f>IFERROR(__xludf.DUMMYFUNCTION("""COMPUTED_VALUE"""),"Keller et al.")</f>
        <v>Keller et al.</v>
      </c>
      <c r="BS254" s="838" t="str">
        <f>IFERROR(__xludf.DUMMYFUNCTION("""COMPUTED_VALUE"""),"Tanzania")</f>
        <v>Tanzania</v>
      </c>
      <c r="BT254" s="838" t="str">
        <f>IFERROR(__xludf.DUMMYFUNCTION("""COMPUTED_VALUE"""),"Moxidectin &amp; Albendazole")</f>
        <v>Moxidectin &amp; Albendazole</v>
      </c>
      <c r="BU254" s="838"/>
      <c r="BV254" s="838" t="str">
        <f>IFERROR(__xludf.DUMMYFUNCTION("""COMPUTED_VALUE"""),"Single")</f>
        <v>Single</v>
      </c>
      <c r="BW254" s="838" t="str">
        <f>IFERROR(__xludf.DUMMYFUNCTION("""COMPUTED_VALUE"""),"8 mg; 400 mg")</f>
        <v>8 mg; 400 mg</v>
      </c>
      <c r="BX254" s="838">
        <f>IFERROR(__xludf.DUMMYFUNCTION("""COMPUTED_VALUE"""),7.0)</f>
        <v>7</v>
      </c>
      <c r="BY254" s="838"/>
      <c r="BZ254" s="838">
        <f>IFERROR(__xludf.DUMMYFUNCTION("""COMPUTED_VALUE"""),2018.0)</f>
        <v>2018</v>
      </c>
      <c r="CA254" s="838"/>
      <c r="CB254" s="838" t="str">
        <f>IFERROR(__xludf.DUMMYFUNCTION("""COMPUTED_VALUE"""),"Adolescents (16–18  years old) were eligible if they provided 2 stool samples and were positive for T. trichiura.")</f>
        <v>Adolescents (16–18  years old) were eligible if they provided 2 stool samples and were positive for T. trichiura.</v>
      </c>
      <c r="CC254" s="838" t="str">
        <f>IFERROR(__xludf.DUMMYFUNCTION("""COMPUTED_VALUE"""),"Yes")</f>
        <v>Yes</v>
      </c>
      <c r="CD254" s="847">
        <f>IFERROR(__xludf.DUMMYFUNCTION("""COMPUTED_VALUE"""),1.0)</f>
        <v>1</v>
      </c>
      <c r="CE254" s="838" t="str">
        <f>IFERROR(__xludf.DUMMYFUNCTION("""COMPUTED_VALUE"""),"Yes")</f>
        <v>Yes</v>
      </c>
      <c r="CF254" s="838"/>
      <c r="CG254" s="838"/>
      <c r="CH254" s="838"/>
      <c r="CI254" s="838"/>
      <c r="CJ254" s="838"/>
      <c r="CK254" s="838"/>
      <c r="CL254" s="838"/>
      <c r="CM254" s="846">
        <f>IFERROR(__xludf.DUMMYFUNCTION("""COMPUTED_VALUE"""),1.0)</f>
        <v>1</v>
      </c>
      <c r="CN254" s="838"/>
      <c r="CO254" s="838"/>
      <c r="CP254" s="838"/>
      <c r="CQ254" s="838"/>
      <c r="CR254" s="838"/>
      <c r="CS254" s="838" t="str">
        <f>IFERROR(__xludf.DUMMYFUNCTION("""COMPUTED_VALUE"""),"Moxidectin-albendazole is superior to moxidectin. There is no benefit of using doses above 8 mg, which is the recommended dose for onchocerciasis. The moxidectin-albendazole combination of 8 mg plus 400 mg should be investigated further to develop recomme"&amp;"ndations for appropriate control of STH infections.")</f>
        <v>Moxidectin-albendazole is superior to moxidectin. There is no benefit of using doses above 8 mg, which is the recommended dose for onchocerciasis. The moxidectin-albendazole combination of 8 mg plus 400 mg should be investigated further to develop recommendations for appropriate control of STH infections.</v>
      </c>
      <c r="CT254" s="838" t="str">
        <f>IFERROR(__xludf.DUMMYFUNCTION("""COMPUTED_VALUE"""),"Kato-Katz technique")</f>
        <v>Kato-Katz technique</v>
      </c>
      <c r="CU254" s="838"/>
      <c r="CV254" s="697" t="str">
        <f>IFERROR(__xludf.DUMMYFUNCTION("""COMPUTED_VALUE"""),"Keller L, Palmeirim MS, Ame SM, Ali SM, Puchkov M, Huwyler J, Hattendorf J, Keiser J. Efficacy and Safety of Ascending Dosages of Moxidectin and Moxidectin-albendazole Against Trichuris trichiura in Adolescents: A Randomized Controlled Trial. Clin Infect "&amp;"Dis. 2020 Mar 3;70(6):1193-1201. doi: 10.1093/cid/ciz326. PMID: 31044235.")</f>
        <v>Keller L, Palmeirim MS, Ame SM, Ali SM, Puchkov M, Huwyler J, Hattendorf J, Keiser J. Efficacy and Safety of Ascending Dosages of Moxidectin and Moxidectin-albendazole Against Trichuris trichiura in Adolescents: A Randomized Controlled Trial. Clin Infect Dis. 2020 Mar 3;70(6):1193-1201. doi: 10.1093/cid/ciz326. PMID: 31044235.</v>
      </c>
    </row>
    <row r="255">
      <c r="A255" s="834"/>
      <c r="B255" s="834"/>
      <c r="C255" s="834"/>
      <c r="D255" s="834"/>
      <c r="E255" s="834"/>
      <c r="F255" s="834"/>
      <c r="G255" s="834"/>
      <c r="H255" s="834"/>
      <c r="I255" s="834"/>
      <c r="J255" s="834"/>
      <c r="K255" s="834"/>
      <c r="L255" s="834"/>
      <c r="M255" s="834"/>
      <c r="N255" s="834"/>
      <c r="O255" s="834"/>
      <c r="P255" s="834"/>
      <c r="Q255" s="834"/>
      <c r="R255" s="834"/>
      <c r="S255" s="834"/>
      <c r="T255" s="834"/>
      <c r="U255" s="834"/>
      <c r="V255" s="834"/>
      <c r="W255" s="834"/>
      <c r="X255" s="834"/>
      <c r="Y255" s="834"/>
      <c r="Z255" s="834"/>
      <c r="AA255" s="834"/>
      <c r="AB255" s="834"/>
      <c r="AC255" s="834"/>
      <c r="AD255" s="834"/>
      <c r="AE255" s="834"/>
      <c r="AF255" s="834"/>
      <c r="AG255" s="834"/>
      <c r="AH255" s="834"/>
      <c r="AJ255" s="836"/>
      <c r="AK255" s="836"/>
      <c r="AL255" s="836"/>
      <c r="AM255" s="836"/>
      <c r="AN255" s="836"/>
      <c r="AO255" s="836"/>
      <c r="AP255" s="836"/>
      <c r="AQ255" s="836"/>
      <c r="AR255" s="836"/>
      <c r="AS255" s="836"/>
      <c r="AT255" s="836"/>
      <c r="AU255" s="836"/>
      <c r="AV255" s="836"/>
      <c r="AW255" s="836"/>
      <c r="AX255" s="836"/>
      <c r="AY255" s="836"/>
      <c r="AZ255" s="836"/>
      <c r="BA255" s="836"/>
      <c r="BB255" s="836"/>
      <c r="BC255" s="836"/>
      <c r="BD255" s="836"/>
      <c r="BE255" s="836"/>
      <c r="BF255" s="836"/>
      <c r="BG255" s="836"/>
      <c r="BH255" s="836"/>
      <c r="BI255" s="836"/>
      <c r="BJ255" s="836"/>
      <c r="BK255" s="836"/>
      <c r="BL255" s="836"/>
      <c r="BM255" s="836"/>
      <c r="BN255" s="836"/>
      <c r="BO255" s="836"/>
      <c r="BP255" s="836"/>
      <c r="BR255" s="844" t="str">
        <f>IFERROR(__xludf.DUMMYFUNCTION("""COMPUTED_VALUE"""),"Keller et al.")</f>
        <v>Keller et al.</v>
      </c>
      <c r="BS255" s="838" t="str">
        <f>IFERROR(__xludf.DUMMYFUNCTION("""COMPUTED_VALUE"""),"Tanzania")</f>
        <v>Tanzania</v>
      </c>
      <c r="BT255" s="838" t="str">
        <f>IFERROR(__xludf.DUMMYFUNCTION("""COMPUTED_VALUE"""),"Moxidectin &amp; Albendazole")</f>
        <v>Moxidectin &amp; Albendazole</v>
      </c>
      <c r="BU255" s="838"/>
      <c r="BV255" s="838" t="str">
        <f>IFERROR(__xludf.DUMMYFUNCTION("""COMPUTED_VALUE"""),"Single")</f>
        <v>Single</v>
      </c>
      <c r="BW255" s="838" t="str">
        <f>IFERROR(__xludf.DUMMYFUNCTION("""COMPUTED_VALUE"""),"16 mg; 400 mg")</f>
        <v>16 mg; 400 mg</v>
      </c>
      <c r="BX255" s="838">
        <f>IFERROR(__xludf.DUMMYFUNCTION("""COMPUTED_VALUE"""),4.0)</f>
        <v>4</v>
      </c>
      <c r="BY255" s="838"/>
      <c r="BZ255" s="838">
        <f>IFERROR(__xludf.DUMMYFUNCTION("""COMPUTED_VALUE"""),2018.0)</f>
        <v>2018</v>
      </c>
      <c r="CA255" s="838"/>
      <c r="CB255" s="838" t="str">
        <f>IFERROR(__xludf.DUMMYFUNCTION("""COMPUTED_VALUE"""),"Adolescents (16–18  years old) were eligible if they provided 2 stool samples and were positive for T. trichiura.")</f>
        <v>Adolescents (16–18  years old) were eligible if they provided 2 stool samples and were positive for T. trichiura.</v>
      </c>
      <c r="CC255" s="838" t="str">
        <f>IFERROR(__xludf.DUMMYFUNCTION("""COMPUTED_VALUE"""),"Yes")</f>
        <v>Yes</v>
      </c>
      <c r="CD255" s="846">
        <f>IFERROR(__xludf.DUMMYFUNCTION("""COMPUTED_VALUE"""),0.75)</f>
        <v>0.75</v>
      </c>
      <c r="CE255" s="838" t="str">
        <f>IFERROR(__xludf.DUMMYFUNCTION("""COMPUTED_VALUE"""),"Yes")</f>
        <v>Yes</v>
      </c>
      <c r="CF255" s="838"/>
      <c r="CG255" s="838"/>
      <c r="CH255" s="838"/>
      <c r="CI255" s="838"/>
      <c r="CJ255" s="838"/>
      <c r="CK255" s="838"/>
      <c r="CL255" s="838"/>
      <c r="CM255" s="846">
        <f>IFERROR(__xludf.DUMMYFUNCTION("""COMPUTED_VALUE"""),1.0)</f>
        <v>1</v>
      </c>
      <c r="CN255" s="838"/>
      <c r="CO255" s="838"/>
      <c r="CP255" s="838"/>
      <c r="CQ255" s="838"/>
      <c r="CR255" s="838"/>
      <c r="CS255" s="838" t="str">
        <f>IFERROR(__xludf.DUMMYFUNCTION("""COMPUTED_VALUE"""),"Moxidectin-albendazole is superior to moxidectin. There is no benefit of using doses above 8 mg, which is the recommended dose for onchocerciasis. The moxidectin-albendazole combination of 8 mg plus 400 mg should be investigated further to develop recomme"&amp;"ndations for appropriate control of STH infections.")</f>
        <v>Moxidectin-albendazole is superior to moxidectin. There is no benefit of using doses above 8 mg, which is the recommended dose for onchocerciasis. The moxidectin-albendazole combination of 8 mg plus 400 mg should be investigated further to develop recommendations for appropriate control of STH infections.</v>
      </c>
      <c r="CT255" s="838" t="str">
        <f>IFERROR(__xludf.DUMMYFUNCTION("""COMPUTED_VALUE"""),"Kato-Katz technique")</f>
        <v>Kato-Katz technique</v>
      </c>
      <c r="CU255" s="838"/>
      <c r="CV255" s="697" t="str">
        <f>IFERROR(__xludf.DUMMYFUNCTION("""COMPUTED_VALUE"""),"Keller L, Palmeirim MS, Ame SM, Ali SM, Puchkov M, Huwyler J, Hattendorf J, Keiser J. Efficacy and Safety of Ascending Dosages of Moxidectin and Moxidectin-albendazole Against Trichuris trichiura in Adolescents: A Randomized Controlled Trial. Clin Infect "&amp;"Dis. 2020 Mar 3;70(6):1193-1201. doi: 10.1093/cid/ciz326. PMID: 31044235.")</f>
        <v>Keller L, Palmeirim MS, Ame SM, Ali SM, Puchkov M, Huwyler J, Hattendorf J, Keiser J. Efficacy and Safety of Ascending Dosages of Moxidectin and Moxidectin-albendazole Against Trichuris trichiura in Adolescents: A Randomized Controlled Trial. Clin Infect Dis. 2020 Mar 3;70(6):1193-1201. doi: 10.1093/cid/ciz326. PMID: 31044235.</v>
      </c>
    </row>
    <row r="256">
      <c r="A256" s="834"/>
      <c r="B256" s="834"/>
      <c r="C256" s="834"/>
      <c r="D256" s="834"/>
      <c r="E256" s="834"/>
      <c r="F256" s="834"/>
      <c r="G256" s="834"/>
      <c r="H256" s="834"/>
      <c r="I256" s="834"/>
      <c r="J256" s="834"/>
      <c r="K256" s="834"/>
      <c r="L256" s="834"/>
      <c r="M256" s="834"/>
      <c r="N256" s="834"/>
      <c r="O256" s="834"/>
      <c r="P256" s="834"/>
      <c r="Q256" s="834"/>
      <c r="R256" s="834"/>
      <c r="S256" s="834"/>
      <c r="T256" s="834"/>
      <c r="U256" s="834"/>
      <c r="V256" s="834"/>
      <c r="W256" s="834"/>
      <c r="X256" s="834"/>
      <c r="Y256" s="834"/>
      <c r="Z256" s="834"/>
      <c r="AA256" s="834"/>
      <c r="AB256" s="834"/>
      <c r="AC256" s="834"/>
      <c r="AD256" s="834"/>
      <c r="AE256" s="834"/>
      <c r="AF256" s="834"/>
      <c r="AG256" s="834"/>
      <c r="AH256" s="834"/>
      <c r="AJ256" s="836"/>
      <c r="AK256" s="836"/>
      <c r="AL256" s="836"/>
      <c r="AM256" s="836"/>
      <c r="AN256" s="836"/>
      <c r="AO256" s="836"/>
      <c r="AP256" s="836"/>
      <c r="AQ256" s="836"/>
      <c r="AR256" s="836"/>
      <c r="AS256" s="836"/>
      <c r="AT256" s="836"/>
      <c r="AU256" s="836"/>
      <c r="AV256" s="836"/>
      <c r="AW256" s="836"/>
      <c r="AX256" s="836"/>
      <c r="AY256" s="836"/>
      <c r="AZ256" s="836"/>
      <c r="BA256" s="836"/>
      <c r="BB256" s="836"/>
      <c r="BC256" s="836"/>
      <c r="BD256" s="836"/>
      <c r="BE256" s="836"/>
      <c r="BF256" s="836"/>
      <c r="BG256" s="836"/>
      <c r="BH256" s="836"/>
      <c r="BI256" s="836"/>
      <c r="BJ256" s="836"/>
      <c r="BK256" s="836"/>
      <c r="BL256" s="836"/>
      <c r="BM256" s="836"/>
      <c r="BN256" s="836"/>
      <c r="BO256" s="836"/>
      <c r="BP256" s="836"/>
      <c r="BR256" s="844" t="str">
        <f>IFERROR(__xludf.DUMMYFUNCTION("""COMPUTED_VALUE"""),"Keller et al.")</f>
        <v>Keller et al.</v>
      </c>
      <c r="BS256" s="838" t="str">
        <f>IFERROR(__xludf.DUMMYFUNCTION("""COMPUTED_VALUE"""),"Tanzania")</f>
        <v>Tanzania</v>
      </c>
      <c r="BT256" s="838" t="str">
        <f>IFERROR(__xludf.DUMMYFUNCTION("""COMPUTED_VALUE"""),"Moxidectin &amp; Albendazole")</f>
        <v>Moxidectin &amp; Albendazole</v>
      </c>
      <c r="BU256" s="838"/>
      <c r="BV256" s="838" t="str">
        <f>IFERROR(__xludf.DUMMYFUNCTION("""COMPUTED_VALUE"""),"Single")</f>
        <v>Single</v>
      </c>
      <c r="BW256" s="838" t="str">
        <f>IFERROR(__xludf.DUMMYFUNCTION("""COMPUTED_VALUE"""),"24 mg; 400 mg")</f>
        <v>24 mg; 400 mg</v>
      </c>
      <c r="BX256" s="838">
        <f>IFERROR(__xludf.DUMMYFUNCTION("""COMPUTED_VALUE"""),7.0)</f>
        <v>7</v>
      </c>
      <c r="BY256" s="838"/>
      <c r="BZ256" s="838">
        <f>IFERROR(__xludf.DUMMYFUNCTION("""COMPUTED_VALUE"""),2018.0)</f>
        <v>2018</v>
      </c>
      <c r="CA256" s="838"/>
      <c r="CB256" s="838" t="str">
        <f>IFERROR(__xludf.DUMMYFUNCTION("""COMPUTED_VALUE"""),"Adolescents (16–18  years old) were eligible if they provided 2 stool samples and were positive for T. trichiura.")</f>
        <v>Adolescents (16–18  years old) were eligible if they provided 2 stool samples and were positive for T. trichiura.</v>
      </c>
      <c r="CC256" s="838" t="str">
        <f>IFERROR(__xludf.DUMMYFUNCTION("""COMPUTED_VALUE"""),"Yes")</f>
        <v>Yes</v>
      </c>
      <c r="CD256" s="847">
        <f>IFERROR(__xludf.DUMMYFUNCTION("""COMPUTED_VALUE"""),1.0)</f>
        <v>1</v>
      </c>
      <c r="CE256" s="838" t="str">
        <f>IFERROR(__xludf.DUMMYFUNCTION("""COMPUTED_VALUE"""),"Yes")</f>
        <v>Yes</v>
      </c>
      <c r="CF256" s="838"/>
      <c r="CG256" s="838"/>
      <c r="CH256" s="838"/>
      <c r="CI256" s="838"/>
      <c r="CJ256" s="838"/>
      <c r="CK256" s="838"/>
      <c r="CL256" s="838"/>
      <c r="CM256" s="846">
        <f>IFERROR(__xludf.DUMMYFUNCTION("""COMPUTED_VALUE"""),1.0)</f>
        <v>1</v>
      </c>
      <c r="CN256" s="838"/>
      <c r="CO256" s="838"/>
      <c r="CP256" s="838"/>
      <c r="CQ256" s="838"/>
      <c r="CR256" s="838"/>
      <c r="CS256" s="838" t="str">
        <f>IFERROR(__xludf.DUMMYFUNCTION("""COMPUTED_VALUE"""),"Moxidectin-albendazole is superior to moxidectin. There is no benefit of using doses above 8 mg, which is the recommended dose for onchocerciasis. The moxidectin-albendazole combination of 8 mg plus 400 mg should be investigated further to develop recomme"&amp;"ndations for appropriate control of STH infections.")</f>
        <v>Moxidectin-albendazole is superior to moxidectin. There is no benefit of using doses above 8 mg, which is the recommended dose for onchocerciasis. The moxidectin-albendazole combination of 8 mg plus 400 mg should be investigated further to develop recommendations for appropriate control of STH infections.</v>
      </c>
      <c r="CT256" s="838" t="str">
        <f>IFERROR(__xludf.DUMMYFUNCTION("""COMPUTED_VALUE"""),"Kato-Katz technique")</f>
        <v>Kato-Katz technique</v>
      </c>
      <c r="CU256" s="838"/>
      <c r="CV256" s="697" t="str">
        <f>IFERROR(__xludf.DUMMYFUNCTION("""COMPUTED_VALUE"""),"Keller L, Palmeirim MS, Ame SM, Ali SM, Puchkov M, Huwyler J, Hattendorf J, Keiser J. Efficacy and Safety of Ascending Dosages of Moxidectin and Moxidectin-albendazole Against Trichuris trichiura in Adolescents: A Randomized Controlled Trial. Clin Infect "&amp;"Dis. 2020 Mar 3;70(6):1193-1201. doi: 10.1093/cid/ciz326. PMID: 31044235.")</f>
        <v>Keller L, Palmeirim MS, Ame SM, Ali SM, Puchkov M, Huwyler J, Hattendorf J, Keiser J. Efficacy and Safety of Ascending Dosages of Moxidectin and Moxidectin-albendazole Against Trichuris trichiura in Adolescents: A Randomized Controlled Trial. Clin Infect Dis. 2020 Mar 3;70(6):1193-1201. doi: 10.1093/cid/ciz326. PMID: 31044235.</v>
      </c>
    </row>
    <row r="257">
      <c r="A257" s="834"/>
      <c r="B257" s="834"/>
      <c r="C257" s="834"/>
      <c r="D257" s="834"/>
      <c r="E257" s="834"/>
      <c r="F257" s="834"/>
      <c r="G257" s="834"/>
      <c r="H257" s="834"/>
      <c r="I257" s="834"/>
      <c r="J257" s="834"/>
      <c r="K257" s="834"/>
      <c r="L257" s="834"/>
      <c r="M257" s="834"/>
      <c r="N257" s="834"/>
      <c r="O257" s="834"/>
      <c r="P257" s="834"/>
      <c r="Q257" s="834"/>
      <c r="R257" s="834"/>
      <c r="S257" s="834"/>
      <c r="T257" s="834"/>
      <c r="U257" s="834"/>
      <c r="V257" s="834"/>
      <c r="W257" s="834"/>
      <c r="X257" s="834"/>
      <c r="Y257" s="834"/>
      <c r="Z257" s="834"/>
      <c r="AA257" s="834"/>
      <c r="AB257" s="834"/>
      <c r="AC257" s="834"/>
      <c r="AD257" s="834"/>
      <c r="AE257" s="834"/>
      <c r="AF257" s="834"/>
      <c r="AG257" s="834"/>
      <c r="AH257" s="834"/>
      <c r="AJ257" s="836"/>
      <c r="AK257" s="836"/>
      <c r="AL257" s="836"/>
      <c r="AM257" s="836"/>
      <c r="AN257" s="836"/>
      <c r="AO257" s="836"/>
      <c r="AP257" s="836"/>
      <c r="AQ257" s="836"/>
      <c r="AR257" s="836"/>
      <c r="AS257" s="836"/>
      <c r="AT257" s="836"/>
      <c r="AU257" s="836"/>
      <c r="AV257" s="836"/>
      <c r="AW257" s="836"/>
      <c r="AX257" s="836"/>
      <c r="AY257" s="836"/>
      <c r="AZ257" s="836"/>
      <c r="BA257" s="836"/>
      <c r="BB257" s="836"/>
      <c r="BC257" s="836"/>
      <c r="BD257" s="836"/>
      <c r="BE257" s="836"/>
      <c r="BF257" s="836"/>
      <c r="BG257" s="836"/>
      <c r="BH257" s="836"/>
      <c r="BI257" s="836"/>
      <c r="BJ257" s="836"/>
      <c r="BK257" s="836"/>
      <c r="BL257" s="836"/>
      <c r="BM257" s="836"/>
      <c r="BN257" s="836"/>
      <c r="BO257" s="836"/>
      <c r="BP257" s="836"/>
      <c r="BR257" s="844" t="str">
        <f>IFERROR(__xludf.DUMMYFUNCTION("""COMPUTED_VALUE"""),"Patel et al.")</f>
        <v>Patel et al.</v>
      </c>
      <c r="BS257" s="838" t="str">
        <f>IFERROR(__xludf.DUMMYFUNCTION("""COMPUTED_VALUE"""),"Côte d'Ivoire")</f>
        <v>Côte d'Ivoire</v>
      </c>
      <c r="BT257" s="838" t="str">
        <f>IFERROR(__xludf.DUMMYFUNCTION("""COMPUTED_VALUE"""),"Albendazole")</f>
        <v>Albendazole</v>
      </c>
      <c r="BU257" s="838"/>
      <c r="BV257" s="838" t="str">
        <f>IFERROR(__xludf.DUMMYFUNCTION("""COMPUTED_VALUE"""),"Single")</f>
        <v>Single</v>
      </c>
      <c r="BW257" s="838" t="str">
        <f>IFERROR(__xludf.DUMMYFUNCTION("""COMPUTED_VALUE"""),"200 mg")</f>
        <v>200 mg</v>
      </c>
      <c r="BX257" s="838">
        <f>IFERROR(__xludf.DUMMYFUNCTION("""COMPUTED_VALUE"""),8.0)</f>
        <v>8</v>
      </c>
      <c r="BY257" s="838"/>
      <c r="BZ257" s="838">
        <f>IFERROR(__xludf.DUMMYFUNCTION("""COMPUTED_VALUE"""),2018.0)</f>
        <v>2018</v>
      </c>
      <c r="CA257" s="838"/>
      <c r="CB257" s="838" t="str">
        <f>IFERROR(__xludf.DUMMYFUNCTION("""COMPUTED_VALUE"""),"PSAC, SAC, and adults were eligible if they provided two stool samples and were positive for T. trichiura. Only PSAC with T. trichiura infection intensities 60 eggs per gram of stool (EPG) and SAC and adults with T. trichiura infection intensities 100 EPG"&amp;" were included in the trial.")</f>
        <v>PSAC, SAC, and adults were eligible if they provided two stool samples and were positive for T. trichiura. Only PSAC with T. trichiura infection intensities 60 eggs per gram of stool (EPG) and SAC and adults with T. trichiura infection intensities 100 EPG were included in the trial.</v>
      </c>
      <c r="CC257" s="838" t="str">
        <f>IFERROR(__xludf.DUMMYFUNCTION("""COMPUTED_VALUE"""),"Yes")</f>
        <v>Yes</v>
      </c>
      <c r="CD257" s="847">
        <f>IFERROR(__xludf.DUMMYFUNCTION("""COMPUTED_VALUE"""),0.833)</f>
        <v>0.833</v>
      </c>
      <c r="CE257" s="838" t="str">
        <f>IFERROR(__xludf.DUMMYFUNCTION("""COMPUTED_VALUE"""),"Yes")</f>
        <v>Yes</v>
      </c>
      <c r="CF257" s="838"/>
      <c r="CG257" s="838"/>
      <c r="CH257" s="838"/>
      <c r="CI257" s="838"/>
      <c r="CJ257" s="838"/>
      <c r="CK257" s="838"/>
      <c r="CL257" s="838"/>
      <c r="CM257" s="847">
        <f>IFERROR(__xludf.DUMMYFUNCTION("""COMPUTED_VALUE"""),0.999)</f>
        <v>0.999</v>
      </c>
      <c r="CN257" s="838"/>
      <c r="CO257" s="838"/>
      <c r="CP257" s="838"/>
      <c r="CQ257" s="838"/>
      <c r="CR257" s="838"/>
      <c r="CS257" s="838" t="str">
        <f>IFERROR(__xludf.DUMMYFUNCTION("""COMPUTED_VALUE"""),"Albendazole shows low efficacy against T. trichiura in all populations and doses studied, though findings for PSAC and adults should be carefully interpreted as recruitment targets were not met. New drugs, treatment regimens, and combinations are needed i"&amp;"n the management of T. trichiura infections")</f>
        <v>Albendazole shows low efficacy against T. trichiura in all populations and doses studied, though findings for PSAC and adults should be carefully interpreted as recruitment targets were not met. New drugs, treatment regimens, and combinations are needed in the management of T. trichiura infections</v>
      </c>
      <c r="CT257" s="838" t="str">
        <f>IFERROR(__xludf.DUMMYFUNCTION("""COMPUTED_VALUE"""),"Kato-Katz technique")</f>
        <v>Kato-Katz technique</v>
      </c>
      <c r="CU257" s="838"/>
      <c r="CV257" s="697" t="str">
        <f>IFERROR(__xludf.DUMMYFUNCTION("""COMPUTED_VALUE"""),"Patel C, Coulibaly JT, Schulz JD, N'Gbesso Y, Hattendorf J, Keiser J. Efficacy and safety of ascending dosages of albendazole against Trichuris trichiura in preschool-aged children, school-aged children and adults: A multi-cohort randomized controlled tri"&amp;"al. EClinicalMedicine. 2020 May 5;22:100335. doi: 10.1016/j.eclinm.2020.100335. PMID: 32405623; PMCID: PMC7210508.")</f>
        <v>Patel C, Coulibaly JT, Schulz JD, N'Gbesso Y, Hattendorf J, Keiser J. Efficacy and safety of ascending dosages of albendazole against Trichuris trichiura in preschool-aged children, school-aged children and adults: A multi-cohort randomized controlled trial. EClinicalMedicine. 2020 May 5;22:100335. doi: 10.1016/j.eclinm.2020.100335. PMID: 32405623; PMCID: PMC7210508.</v>
      </c>
    </row>
    <row r="258">
      <c r="A258" s="834"/>
      <c r="B258" s="834"/>
      <c r="C258" s="834"/>
      <c r="D258" s="834"/>
      <c r="E258" s="834"/>
      <c r="F258" s="834"/>
      <c r="G258" s="834"/>
      <c r="H258" s="834"/>
      <c r="I258" s="834"/>
      <c r="J258" s="834"/>
      <c r="K258" s="834"/>
      <c r="L258" s="834"/>
      <c r="M258" s="834"/>
      <c r="N258" s="834"/>
      <c r="O258" s="834"/>
      <c r="P258" s="834"/>
      <c r="Q258" s="834"/>
      <c r="R258" s="834"/>
      <c r="S258" s="834"/>
      <c r="T258" s="834"/>
      <c r="U258" s="834"/>
      <c r="V258" s="834"/>
      <c r="W258" s="834"/>
      <c r="X258" s="834"/>
      <c r="Y258" s="834"/>
      <c r="Z258" s="834"/>
      <c r="AA258" s="834"/>
      <c r="AB258" s="834"/>
      <c r="AC258" s="834"/>
      <c r="AD258" s="834"/>
      <c r="AE258" s="834"/>
      <c r="AF258" s="834"/>
      <c r="AG258" s="834"/>
      <c r="AH258" s="834"/>
      <c r="AJ258" s="836"/>
      <c r="AK258" s="836"/>
      <c r="AL258" s="836"/>
      <c r="AM258" s="836"/>
      <c r="AN258" s="836"/>
      <c r="AO258" s="836"/>
      <c r="AP258" s="836"/>
      <c r="AQ258" s="836"/>
      <c r="AR258" s="836"/>
      <c r="AS258" s="836"/>
      <c r="AT258" s="836"/>
      <c r="AU258" s="836"/>
      <c r="AV258" s="836"/>
      <c r="AW258" s="836"/>
      <c r="AX258" s="836"/>
      <c r="AY258" s="836"/>
      <c r="AZ258" s="836"/>
      <c r="BA258" s="836"/>
      <c r="BB258" s="836"/>
      <c r="BC258" s="836"/>
      <c r="BD258" s="836"/>
      <c r="BE258" s="836"/>
      <c r="BF258" s="836"/>
      <c r="BG258" s="836"/>
      <c r="BH258" s="836"/>
      <c r="BI258" s="836"/>
      <c r="BJ258" s="836"/>
      <c r="BK258" s="836"/>
      <c r="BL258" s="836"/>
      <c r="BM258" s="836"/>
      <c r="BN258" s="836"/>
      <c r="BO258" s="836"/>
      <c r="BP258" s="836"/>
      <c r="BR258" s="844" t="str">
        <f>IFERROR(__xludf.DUMMYFUNCTION("""COMPUTED_VALUE"""),"Patel et al.")</f>
        <v>Patel et al.</v>
      </c>
      <c r="BS258" s="838" t="str">
        <f>IFERROR(__xludf.DUMMYFUNCTION("""COMPUTED_VALUE"""),"Côte d'Ivoire")</f>
        <v>Côte d'Ivoire</v>
      </c>
      <c r="BT258" s="838" t="str">
        <f>IFERROR(__xludf.DUMMYFUNCTION("""COMPUTED_VALUE"""),"Albendazole")</f>
        <v>Albendazole</v>
      </c>
      <c r="BU258" s="838"/>
      <c r="BV258" s="838" t="str">
        <f>IFERROR(__xludf.DUMMYFUNCTION("""COMPUTED_VALUE"""),"Single")</f>
        <v>Single</v>
      </c>
      <c r="BW258" s="838" t="str">
        <f>IFERROR(__xludf.DUMMYFUNCTION("""COMPUTED_VALUE"""),"400 mg")</f>
        <v>400 mg</v>
      </c>
      <c r="BX258" s="838">
        <f>IFERROR(__xludf.DUMMYFUNCTION("""COMPUTED_VALUE"""),5.0)</f>
        <v>5</v>
      </c>
      <c r="BY258" s="838"/>
      <c r="BZ258" s="838">
        <f>IFERROR(__xludf.DUMMYFUNCTION("""COMPUTED_VALUE"""),2018.0)</f>
        <v>2018</v>
      </c>
      <c r="CA258" s="838"/>
      <c r="CB258" s="838" t="str">
        <f>IFERROR(__xludf.DUMMYFUNCTION("""COMPUTED_VALUE"""),"PSAC, SAC, and adults were eligible if they provided two stool samples and were positive for T. trichiura. Only PSAC with T. trichiura infection intensities 60 eggs per gram of stool (EPG) and SAC and adults with T. trichiura infection intensities 100 EPG"&amp;" were included in the trial.")</f>
        <v>PSAC, SAC, and adults were eligible if they provided two stool samples and were positive for T. trichiura. Only PSAC with T. trichiura infection intensities 60 eggs per gram of stool (EPG) and SAC and adults with T. trichiura infection intensities 100 EPG were included in the trial.</v>
      </c>
      <c r="CC258" s="838" t="str">
        <f>IFERROR(__xludf.DUMMYFUNCTION("""COMPUTED_VALUE"""),"Yes")</f>
        <v>Yes</v>
      </c>
      <c r="CD258" s="847">
        <f>IFERROR(__xludf.DUMMYFUNCTION("""COMPUTED_VALUE"""),0.667)</f>
        <v>0.667</v>
      </c>
      <c r="CE258" s="838" t="str">
        <f>IFERROR(__xludf.DUMMYFUNCTION("""COMPUTED_VALUE"""),"Yes")</f>
        <v>Yes</v>
      </c>
      <c r="CF258" s="838"/>
      <c r="CG258" s="838"/>
      <c r="CH258" s="838"/>
      <c r="CI258" s="838"/>
      <c r="CJ258" s="838"/>
      <c r="CK258" s="838"/>
      <c r="CL258" s="838"/>
      <c r="CM258" s="847">
        <f>IFERROR(__xludf.DUMMYFUNCTION("""COMPUTED_VALUE"""),0.996)</f>
        <v>0.996</v>
      </c>
      <c r="CN258" s="838"/>
      <c r="CO258" s="838"/>
      <c r="CP258" s="838"/>
      <c r="CQ258" s="838"/>
      <c r="CR258" s="838"/>
      <c r="CS258" s="838" t="str">
        <f>IFERROR(__xludf.DUMMYFUNCTION("""COMPUTED_VALUE"""),"Albendazole shows low efficacy against T. trichiura in all populations and doses studied, though findings for PSAC and adults should be carefully interpreted as recruitment targets were not met. New drugs, treatment regimens, and combinations are needed i"&amp;"n the management of T. trichiura infections")</f>
        <v>Albendazole shows low efficacy against T. trichiura in all populations and doses studied, though findings for PSAC and adults should be carefully interpreted as recruitment targets were not met. New drugs, treatment regimens, and combinations are needed in the management of T. trichiura infections</v>
      </c>
      <c r="CT258" s="838" t="str">
        <f>IFERROR(__xludf.DUMMYFUNCTION("""COMPUTED_VALUE"""),"Kato-Katz technique")</f>
        <v>Kato-Katz technique</v>
      </c>
      <c r="CU258" s="838"/>
      <c r="CV258" s="697" t="str">
        <f>IFERROR(__xludf.DUMMYFUNCTION("""COMPUTED_VALUE"""),"Patel C, Coulibaly JT, Schulz JD, N'Gbesso Y, Hattendorf J, Keiser J. Efficacy and safety of ascending dosages of albendazole against Trichuris trichiura in preschool-aged children, school-aged children and adults: A multi-cohort randomized controlled tri"&amp;"al. EClinicalMedicine. 2020 May 5;22:100335. doi: 10.1016/j.eclinm.2020.100335. PMID: 32405623; PMCID: PMC7210508.")</f>
        <v>Patel C, Coulibaly JT, Schulz JD, N'Gbesso Y, Hattendorf J, Keiser J. Efficacy and safety of ascending dosages of albendazole against Trichuris trichiura in preschool-aged children, school-aged children and adults: A multi-cohort randomized controlled trial. EClinicalMedicine. 2020 May 5;22:100335. doi: 10.1016/j.eclinm.2020.100335. PMID: 32405623; PMCID: PMC7210508.</v>
      </c>
    </row>
    <row r="259">
      <c r="A259" s="834"/>
      <c r="B259" s="834"/>
      <c r="C259" s="834"/>
      <c r="D259" s="834"/>
      <c r="E259" s="834"/>
      <c r="F259" s="834"/>
      <c r="G259" s="834"/>
      <c r="H259" s="834"/>
      <c r="I259" s="834"/>
      <c r="J259" s="834"/>
      <c r="K259" s="834"/>
      <c r="L259" s="834"/>
      <c r="M259" s="834"/>
      <c r="N259" s="834"/>
      <c r="O259" s="834"/>
      <c r="P259" s="834"/>
      <c r="Q259" s="834"/>
      <c r="R259" s="834"/>
      <c r="S259" s="834"/>
      <c r="T259" s="834"/>
      <c r="U259" s="834"/>
      <c r="V259" s="834"/>
      <c r="W259" s="834"/>
      <c r="X259" s="834"/>
      <c r="Y259" s="834"/>
      <c r="Z259" s="834"/>
      <c r="AA259" s="834"/>
      <c r="AB259" s="834"/>
      <c r="AC259" s="834"/>
      <c r="AD259" s="834"/>
      <c r="AE259" s="834"/>
      <c r="AF259" s="834"/>
      <c r="AG259" s="834"/>
      <c r="AH259" s="834"/>
      <c r="AJ259" s="836"/>
      <c r="AK259" s="836"/>
      <c r="AL259" s="836"/>
      <c r="AM259" s="836"/>
      <c r="AN259" s="836"/>
      <c r="AO259" s="836"/>
      <c r="AP259" s="836"/>
      <c r="AQ259" s="836"/>
      <c r="AR259" s="836"/>
      <c r="AS259" s="836"/>
      <c r="AT259" s="836"/>
      <c r="AU259" s="836"/>
      <c r="AV259" s="836"/>
      <c r="AW259" s="836"/>
      <c r="AX259" s="836"/>
      <c r="AY259" s="836"/>
      <c r="AZ259" s="836"/>
      <c r="BA259" s="836"/>
      <c r="BB259" s="836"/>
      <c r="BC259" s="836"/>
      <c r="BD259" s="836"/>
      <c r="BE259" s="836"/>
      <c r="BF259" s="836"/>
      <c r="BG259" s="836"/>
      <c r="BH259" s="836"/>
      <c r="BI259" s="836"/>
      <c r="BJ259" s="836"/>
      <c r="BK259" s="836"/>
      <c r="BL259" s="836"/>
      <c r="BM259" s="836"/>
      <c r="BN259" s="836"/>
      <c r="BO259" s="836"/>
      <c r="BP259" s="836"/>
      <c r="BR259" s="844" t="str">
        <f>IFERROR(__xludf.DUMMYFUNCTION("""COMPUTED_VALUE"""),"Patel et al.")</f>
        <v>Patel et al.</v>
      </c>
      <c r="BS259" s="838" t="str">
        <f>IFERROR(__xludf.DUMMYFUNCTION("""COMPUTED_VALUE"""),"Côte d'Ivoire")</f>
        <v>Côte d'Ivoire</v>
      </c>
      <c r="BT259" s="838" t="str">
        <f>IFERROR(__xludf.DUMMYFUNCTION("""COMPUTED_VALUE"""),"Albendazole")</f>
        <v>Albendazole</v>
      </c>
      <c r="BU259" s="838"/>
      <c r="BV259" s="838" t="str">
        <f>IFERROR(__xludf.DUMMYFUNCTION("""COMPUTED_VALUE"""),"Single")</f>
        <v>Single</v>
      </c>
      <c r="BW259" s="838" t="str">
        <f>IFERROR(__xludf.DUMMYFUNCTION("""COMPUTED_VALUE"""),"600 mg")</f>
        <v>600 mg</v>
      </c>
      <c r="BX259" s="838">
        <f>IFERROR(__xludf.DUMMYFUNCTION("""COMPUTED_VALUE"""),3.0)</f>
        <v>3</v>
      </c>
      <c r="BY259" s="838"/>
      <c r="BZ259" s="838">
        <f>IFERROR(__xludf.DUMMYFUNCTION("""COMPUTED_VALUE"""),2018.0)</f>
        <v>2018</v>
      </c>
      <c r="CA259" s="838"/>
      <c r="CB259" s="838" t="str">
        <f>IFERROR(__xludf.DUMMYFUNCTION("""COMPUTED_VALUE"""),"PSAC, SAC, and adults were eligible if they provided two stool samples and were positive for T. trichiura. Only PSAC with T. trichiura infection intensities 60 eggs per gram of stool (EPG) and SAC and adults with T. trichiura infection intensities 100 EPG"&amp;" were included in the trial.")</f>
        <v>PSAC, SAC, and adults were eligible if they provided two stool samples and were positive for T. trichiura. Only PSAC with T. trichiura infection intensities 60 eggs per gram of stool (EPG) and SAC and adults with T. trichiura infection intensities 100 EPG were included in the trial.</v>
      </c>
      <c r="CC259" s="838" t="str">
        <f>IFERROR(__xludf.DUMMYFUNCTION("""COMPUTED_VALUE"""),"Yes")</f>
        <v>Yes</v>
      </c>
      <c r="CD259" s="846">
        <f>IFERROR(__xludf.DUMMYFUNCTION("""COMPUTED_VALUE"""),1.0)</f>
        <v>1</v>
      </c>
      <c r="CE259" s="838" t="str">
        <f>IFERROR(__xludf.DUMMYFUNCTION("""COMPUTED_VALUE"""),"Yes")</f>
        <v>Yes</v>
      </c>
      <c r="CF259" s="838"/>
      <c r="CG259" s="838"/>
      <c r="CH259" s="838"/>
      <c r="CI259" s="838"/>
      <c r="CJ259" s="838"/>
      <c r="CK259" s="838"/>
      <c r="CL259" s="838"/>
      <c r="CM259" s="847">
        <f>IFERROR(__xludf.DUMMYFUNCTION("""COMPUTED_VALUE"""),1.0)</f>
        <v>1</v>
      </c>
      <c r="CN259" s="838"/>
      <c r="CO259" s="838"/>
      <c r="CP259" s="838"/>
      <c r="CQ259" s="838"/>
      <c r="CR259" s="838"/>
      <c r="CS259" s="838" t="str">
        <f>IFERROR(__xludf.DUMMYFUNCTION("""COMPUTED_VALUE"""),"Albendazole shows low efficacy against T. trichiura in all populations and doses studied, though findings for PSAC and adults should be carefully interpreted as recruitment targets were not met. New drugs, treatment regimens, and combinations are needed i"&amp;"n the management of T. trichiura infections")</f>
        <v>Albendazole shows low efficacy against T. trichiura in all populations and doses studied, though findings for PSAC and adults should be carefully interpreted as recruitment targets were not met. New drugs, treatment regimens, and combinations are needed in the management of T. trichiura infections</v>
      </c>
      <c r="CT259" s="838" t="str">
        <f>IFERROR(__xludf.DUMMYFUNCTION("""COMPUTED_VALUE"""),"Kato-Katz technique")</f>
        <v>Kato-Katz technique</v>
      </c>
      <c r="CU259" s="838"/>
      <c r="CV259" s="697" t="str">
        <f>IFERROR(__xludf.DUMMYFUNCTION("""COMPUTED_VALUE"""),"Patel C, Coulibaly JT, Schulz JD, N'Gbesso Y, Hattendorf J, Keiser J. Efficacy and safety of ascending dosages of albendazole against Trichuris trichiura in preschool-aged children, school-aged children and adults: A multi-cohort randomized controlled tri"&amp;"al. EClinicalMedicine. 2020 May 5;22:100335. doi: 10.1016/j.eclinm.2020.100335. PMID: 32405623; PMCID: PMC7210508.")</f>
        <v>Patel C, Coulibaly JT, Schulz JD, N'Gbesso Y, Hattendorf J, Keiser J. Efficacy and safety of ascending dosages of albendazole against Trichuris trichiura in preschool-aged children, school-aged children and adults: A multi-cohort randomized controlled trial. EClinicalMedicine. 2020 May 5;22:100335. doi: 10.1016/j.eclinm.2020.100335. PMID: 32405623; PMCID: PMC7210508.</v>
      </c>
    </row>
    <row r="260">
      <c r="A260" s="834"/>
      <c r="B260" s="834"/>
      <c r="C260" s="834"/>
      <c r="D260" s="834"/>
      <c r="E260" s="834"/>
      <c r="F260" s="834"/>
      <c r="G260" s="834"/>
      <c r="H260" s="834"/>
      <c r="I260" s="834"/>
      <c r="J260" s="834"/>
      <c r="K260" s="834"/>
      <c r="L260" s="834"/>
      <c r="M260" s="834"/>
      <c r="N260" s="834"/>
      <c r="O260" s="834"/>
      <c r="P260" s="834"/>
      <c r="Q260" s="834"/>
      <c r="R260" s="834"/>
      <c r="S260" s="834"/>
      <c r="T260" s="834"/>
      <c r="U260" s="834"/>
      <c r="V260" s="834"/>
      <c r="W260" s="834"/>
      <c r="X260" s="834"/>
      <c r="Y260" s="834"/>
      <c r="Z260" s="834"/>
      <c r="AA260" s="834"/>
      <c r="AB260" s="834"/>
      <c r="AC260" s="834"/>
      <c r="AD260" s="834"/>
      <c r="AE260" s="834"/>
      <c r="AF260" s="834"/>
      <c r="AG260" s="834"/>
      <c r="AH260" s="834"/>
      <c r="AJ260" s="836"/>
      <c r="AK260" s="836"/>
      <c r="AL260" s="836"/>
      <c r="AM260" s="836"/>
      <c r="AN260" s="836"/>
      <c r="AO260" s="836"/>
      <c r="AP260" s="836"/>
      <c r="AQ260" s="836"/>
      <c r="AR260" s="836"/>
      <c r="AS260" s="836"/>
      <c r="AT260" s="836"/>
      <c r="AU260" s="836"/>
      <c r="AV260" s="836"/>
      <c r="AW260" s="836"/>
      <c r="AX260" s="836"/>
      <c r="AY260" s="836"/>
      <c r="AZ260" s="836"/>
      <c r="BA260" s="836"/>
      <c r="BB260" s="836"/>
      <c r="BC260" s="836"/>
      <c r="BD260" s="836"/>
      <c r="BE260" s="836"/>
      <c r="BF260" s="836"/>
      <c r="BG260" s="836"/>
      <c r="BH260" s="836"/>
      <c r="BI260" s="836"/>
      <c r="BJ260" s="836"/>
      <c r="BK260" s="836"/>
      <c r="BL260" s="836"/>
      <c r="BM260" s="836"/>
      <c r="BN260" s="836"/>
      <c r="BO260" s="836"/>
      <c r="BP260" s="836"/>
      <c r="BR260" s="844" t="str">
        <f>IFERROR(__xludf.DUMMYFUNCTION("""COMPUTED_VALUE"""),"Patel et al.")</f>
        <v>Patel et al.</v>
      </c>
      <c r="BS260" s="838" t="str">
        <f>IFERROR(__xludf.DUMMYFUNCTION("""COMPUTED_VALUE"""),"Côte d'Ivoire")</f>
        <v>Côte d'Ivoire</v>
      </c>
      <c r="BT260" s="838" t="str">
        <f>IFERROR(__xludf.DUMMYFUNCTION("""COMPUTED_VALUE"""),"Albendazole")</f>
        <v>Albendazole</v>
      </c>
      <c r="BU260" s="838"/>
      <c r="BV260" s="838" t="str">
        <f>IFERROR(__xludf.DUMMYFUNCTION("""COMPUTED_VALUE"""),"Single")</f>
        <v>Single</v>
      </c>
      <c r="BW260" s="838" t="str">
        <f>IFERROR(__xludf.DUMMYFUNCTION("""COMPUTED_VALUE"""),"400 mg")</f>
        <v>400 mg</v>
      </c>
      <c r="BX260" s="838">
        <f>IFERROR(__xludf.DUMMYFUNCTION("""COMPUTED_VALUE"""),18.0)</f>
        <v>18</v>
      </c>
      <c r="BY260" s="838"/>
      <c r="BZ260" s="838">
        <f>IFERROR(__xludf.DUMMYFUNCTION("""COMPUTED_VALUE"""),2018.0)</f>
        <v>2018</v>
      </c>
      <c r="CA260" s="838"/>
      <c r="CB260" s="838" t="str">
        <f>IFERROR(__xludf.DUMMYFUNCTION("""COMPUTED_VALUE"""),"PSAC, SAC, and adults were eligible if they provided two stool samples and were positive for T. trichiura. Only PSAC with T. trichiura infection intensities 60 eggs per gram of stool (EPG) and SAC and adults with T. trichiura infection intensities 100 EPG"&amp;" were included in the trial.")</f>
        <v>PSAC, SAC, and adults were eligible if they provided two stool samples and were positive for T. trichiura. Only PSAC with T. trichiura infection intensities 60 eggs per gram of stool (EPG) and SAC and adults with T. trichiura infection intensities 100 EPG were included in the trial.</v>
      </c>
      <c r="CC260" s="838" t="str">
        <f>IFERROR(__xludf.DUMMYFUNCTION("""COMPUTED_VALUE"""),"Yes")</f>
        <v>Yes</v>
      </c>
      <c r="CD260" s="847">
        <f>IFERROR(__xludf.DUMMYFUNCTION("""COMPUTED_VALUE"""),0.889)</f>
        <v>0.889</v>
      </c>
      <c r="CE260" s="838" t="str">
        <f>IFERROR(__xludf.DUMMYFUNCTION("""COMPUTED_VALUE"""),"Yes")</f>
        <v>Yes</v>
      </c>
      <c r="CF260" s="838"/>
      <c r="CG260" s="838"/>
      <c r="CH260" s="838"/>
      <c r="CI260" s="838"/>
      <c r="CJ260" s="838"/>
      <c r="CK260" s="838"/>
      <c r="CL260" s="838"/>
      <c r="CM260" s="847">
        <f>IFERROR(__xludf.DUMMYFUNCTION("""COMPUTED_VALUE"""),0.999)</f>
        <v>0.999</v>
      </c>
      <c r="CN260" s="838"/>
      <c r="CO260" s="838"/>
      <c r="CP260" s="838"/>
      <c r="CQ260" s="838"/>
      <c r="CR260" s="838"/>
      <c r="CS260" s="838" t="str">
        <f>IFERROR(__xludf.DUMMYFUNCTION("""COMPUTED_VALUE"""),"Albendazole shows low efficacy against T. trichiura in all populations and doses studied, though findings for PSAC and adults should be carefully interpreted as recruitment targets were not met. New drugs, treatment regimens, and combinations are needed i"&amp;"n the management of T. trichiura infections")</f>
        <v>Albendazole shows low efficacy against T. trichiura in all populations and doses studied, though findings for PSAC and adults should be carefully interpreted as recruitment targets were not met. New drugs, treatment regimens, and combinations are needed in the management of T. trichiura infections</v>
      </c>
      <c r="CT260" s="838" t="str">
        <f>IFERROR(__xludf.DUMMYFUNCTION("""COMPUTED_VALUE"""),"Kato-Katz technique")</f>
        <v>Kato-Katz technique</v>
      </c>
      <c r="CU260" s="838"/>
      <c r="CV260" s="697" t="str">
        <f>IFERROR(__xludf.DUMMYFUNCTION("""COMPUTED_VALUE"""),"Patel C, Coulibaly JT, Schulz JD, N'Gbesso Y, Hattendorf J, Keiser J. Efficacy and safety of ascending dosages of albendazole against Trichuris trichiura in preschool-aged children, school-aged children and adults: A multi-cohort randomized controlled tri"&amp;"al. EClinicalMedicine. 2020 May 5;22:100335. doi: 10.1016/j.eclinm.2020.100335. PMID: 32405623; PMCID: PMC7210508.")</f>
        <v>Patel C, Coulibaly JT, Schulz JD, N'Gbesso Y, Hattendorf J, Keiser J. Efficacy and safety of ascending dosages of albendazole against Trichuris trichiura in preschool-aged children, school-aged children and adults: A multi-cohort randomized controlled trial. EClinicalMedicine. 2020 May 5;22:100335. doi: 10.1016/j.eclinm.2020.100335. PMID: 32405623; PMCID: PMC7210508.</v>
      </c>
    </row>
    <row r="261">
      <c r="A261" s="834"/>
      <c r="B261" s="834"/>
      <c r="C261" s="834"/>
      <c r="D261" s="834"/>
      <c r="E261" s="834"/>
      <c r="F261" s="834"/>
      <c r="G261" s="834"/>
      <c r="H261" s="834"/>
      <c r="I261" s="834"/>
      <c r="J261" s="834"/>
      <c r="K261" s="834"/>
      <c r="L261" s="834"/>
      <c r="M261" s="834"/>
      <c r="N261" s="834"/>
      <c r="O261" s="834"/>
      <c r="P261" s="834"/>
      <c r="Q261" s="834"/>
      <c r="R261" s="834"/>
      <c r="S261" s="834"/>
      <c r="T261" s="834"/>
      <c r="U261" s="834"/>
      <c r="V261" s="834"/>
      <c r="W261" s="834"/>
      <c r="X261" s="834"/>
      <c r="Y261" s="834"/>
      <c r="Z261" s="834"/>
      <c r="AA261" s="834"/>
      <c r="AB261" s="834"/>
      <c r="AC261" s="834"/>
      <c r="AD261" s="834"/>
      <c r="AE261" s="834"/>
      <c r="AF261" s="834"/>
      <c r="AG261" s="834"/>
      <c r="AH261" s="834"/>
      <c r="AJ261" s="836"/>
      <c r="AK261" s="836"/>
      <c r="AL261" s="836"/>
      <c r="AM261" s="836"/>
      <c r="AN261" s="836"/>
      <c r="AO261" s="836"/>
      <c r="AP261" s="836"/>
      <c r="AQ261" s="836"/>
      <c r="AR261" s="836"/>
      <c r="AS261" s="836"/>
      <c r="AT261" s="836"/>
      <c r="AU261" s="836"/>
      <c r="AV261" s="836"/>
      <c r="AW261" s="836"/>
      <c r="AX261" s="836"/>
      <c r="AY261" s="836"/>
      <c r="AZ261" s="836"/>
      <c r="BA261" s="836"/>
      <c r="BB261" s="836"/>
      <c r="BC261" s="836"/>
      <c r="BD261" s="836"/>
      <c r="BE261" s="836"/>
      <c r="BF261" s="836"/>
      <c r="BG261" s="836"/>
      <c r="BH261" s="836"/>
      <c r="BI261" s="836"/>
      <c r="BJ261" s="836"/>
      <c r="BK261" s="836"/>
      <c r="BL261" s="836"/>
      <c r="BM261" s="836"/>
      <c r="BN261" s="836"/>
      <c r="BO261" s="836"/>
      <c r="BP261" s="836"/>
      <c r="BR261" s="844" t="str">
        <f>IFERROR(__xludf.DUMMYFUNCTION("""COMPUTED_VALUE"""),"Patel et al.")</f>
        <v>Patel et al.</v>
      </c>
      <c r="BS261" s="838" t="str">
        <f>IFERROR(__xludf.DUMMYFUNCTION("""COMPUTED_VALUE"""),"Côte d'Ivoire")</f>
        <v>Côte d'Ivoire</v>
      </c>
      <c r="BT261" s="838" t="str">
        <f>IFERROR(__xludf.DUMMYFUNCTION("""COMPUTED_VALUE"""),"Albendazole")</f>
        <v>Albendazole</v>
      </c>
      <c r="BU261" s="838"/>
      <c r="BV261" s="838" t="str">
        <f>IFERROR(__xludf.DUMMYFUNCTION("""COMPUTED_VALUE"""),"Single")</f>
        <v>Single</v>
      </c>
      <c r="BW261" s="838" t="str">
        <f>IFERROR(__xludf.DUMMYFUNCTION("""COMPUTED_VALUE"""),"600 mg")</f>
        <v>600 mg</v>
      </c>
      <c r="BX261" s="838">
        <f>IFERROR(__xludf.DUMMYFUNCTION("""COMPUTED_VALUE"""),10.0)</f>
        <v>10</v>
      </c>
      <c r="BY261" s="838"/>
      <c r="BZ261" s="838">
        <f>IFERROR(__xludf.DUMMYFUNCTION("""COMPUTED_VALUE"""),2018.0)</f>
        <v>2018</v>
      </c>
      <c r="CA261" s="838"/>
      <c r="CB261" s="838" t="str">
        <f>IFERROR(__xludf.DUMMYFUNCTION("""COMPUTED_VALUE"""),"PSAC, SAC, and adults were eligible if they provided two stool samples and were positive for T. trichiura. Only PSAC with T. trichiura infection intensities 60 eggs per gram of stool (EPG) and SAC and adults with T. trichiura infection intensities 100 EPG"&amp;" were included in the trial.")</f>
        <v>PSAC, SAC, and adults were eligible if they provided two stool samples and were positive for T. trichiura. Only PSAC with T. trichiura infection intensities 60 eggs per gram of stool (EPG) and SAC and adults with T. trichiura infection intensities 100 EPG were included in the trial.</v>
      </c>
      <c r="CC261" s="838" t="str">
        <f>IFERROR(__xludf.DUMMYFUNCTION("""COMPUTED_VALUE"""),"Yes")</f>
        <v>Yes</v>
      </c>
      <c r="CD261" s="847">
        <f>IFERROR(__xludf.DUMMYFUNCTION("""COMPUTED_VALUE"""),1.0)</f>
        <v>1</v>
      </c>
      <c r="CE261" s="838" t="str">
        <f>IFERROR(__xludf.DUMMYFUNCTION("""COMPUTED_VALUE"""),"Yes")</f>
        <v>Yes</v>
      </c>
      <c r="CF261" s="838"/>
      <c r="CG261" s="838"/>
      <c r="CH261" s="838"/>
      <c r="CI261" s="838"/>
      <c r="CJ261" s="838"/>
      <c r="CK261" s="838"/>
      <c r="CL261" s="838"/>
      <c r="CM261" s="847">
        <f>IFERROR(__xludf.DUMMYFUNCTION("""COMPUTED_VALUE"""),1.0)</f>
        <v>1</v>
      </c>
      <c r="CN261" s="838"/>
      <c r="CO261" s="838"/>
      <c r="CP261" s="838"/>
      <c r="CQ261" s="838"/>
      <c r="CR261" s="838"/>
      <c r="CS261" s="838" t="str">
        <f>IFERROR(__xludf.DUMMYFUNCTION("""COMPUTED_VALUE"""),"Albendazole shows low efficacy against T. trichiura in all populations and doses studied, though findings for PSAC and adults should be carefully interpreted as recruitment targets were not met. New drugs, treatment regimens, and combinations are needed i"&amp;"n the management of T. trichiura infections")</f>
        <v>Albendazole shows low efficacy against T. trichiura in all populations and doses studied, though findings for PSAC and adults should be carefully interpreted as recruitment targets were not met. New drugs, treatment regimens, and combinations are needed in the management of T. trichiura infections</v>
      </c>
      <c r="CT261" s="838" t="str">
        <f>IFERROR(__xludf.DUMMYFUNCTION("""COMPUTED_VALUE"""),"Kato-Katz technique")</f>
        <v>Kato-Katz technique</v>
      </c>
      <c r="CU261" s="838"/>
      <c r="CV261" s="697" t="str">
        <f>IFERROR(__xludf.DUMMYFUNCTION("""COMPUTED_VALUE"""),"Patel C, Coulibaly JT, Schulz JD, N'Gbesso Y, Hattendorf J, Keiser J. Efficacy and safety of ascending dosages of albendazole against Trichuris trichiura in preschool-aged children, school-aged children and adults: A multi-cohort randomized controlled tri"&amp;"al. EClinicalMedicine. 2020 May 5;22:100335. doi: 10.1016/j.eclinm.2020.100335. PMID: 32405623; PMCID: PMC7210508.")</f>
        <v>Patel C, Coulibaly JT, Schulz JD, N'Gbesso Y, Hattendorf J, Keiser J. Efficacy and safety of ascending dosages of albendazole against Trichuris trichiura in preschool-aged children, school-aged children and adults: A multi-cohort randomized controlled trial. EClinicalMedicine. 2020 May 5;22:100335. doi: 10.1016/j.eclinm.2020.100335. PMID: 32405623; PMCID: PMC7210508.</v>
      </c>
    </row>
    <row r="262">
      <c r="A262" s="834"/>
      <c r="B262" s="834"/>
      <c r="C262" s="834"/>
      <c r="D262" s="834"/>
      <c r="E262" s="834"/>
      <c r="F262" s="834"/>
      <c r="G262" s="834"/>
      <c r="H262" s="834"/>
      <c r="I262" s="834"/>
      <c r="J262" s="834"/>
      <c r="K262" s="834"/>
      <c r="L262" s="834"/>
      <c r="M262" s="834"/>
      <c r="N262" s="834"/>
      <c r="O262" s="834"/>
      <c r="P262" s="834"/>
      <c r="Q262" s="834"/>
      <c r="R262" s="834"/>
      <c r="S262" s="834"/>
      <c r="T262" s="834"/>
      <c r="U262" s="834"/>
      <c r="V262" s="834"/>
      <c r="W262" s="834"/>
      <c r="X262" s="834"/>
      <c r="Y262" s="834"/>
      <c r="Z262" s="834"/>
      <c r="AA262" s="834"/>
      <c r="AB262" s="834"/>
      <c r="AC262" s="834"/>
      <c r="AD262" s="834"/>
      <c r="AE262" s="834"/>
      <c r="AF262" s="834"/>
      <c r="AG262" s="834"/>
      <c r="AH262" s="834"/>
      <c r="AJ262" s="836"/>
      <c r="AK262" s="836"/>
      <c r="AL262" s="836"/>
      <c r="AM262" s="836"/>
      <c r="AN262" s="836"/>
      <c r="AO262" s="836"/>
      <c r="AP262" s="836"/>
      <c r="AQ262" s="836"/>
      <c r="AR262" s="836"/>
      <c r="AS262" s="836"/>
      <c r="AT262" s="836"/>
      <c r="AU262" s="836"/>
      <c r="AV262" s="836"/>
      <c r="AW262" s="836"/>
      <c r="AX262" s="836"/>
      <c r="AY262" s="836"/>
      <c r="AZ262" s="836"/>
      <c r="BA262" s="836"/>
      <c r="BB262" s="836"/>
      <c r="BC262" s="836"/>
      <c r="BD262" s="836"/>
      <c r="BE262" s="836"/>
      <c r="BF262" s="836"/>
      <c r="BG262" s="836"/>
      <c r="BH262" s="836"/>
      <c r="BI262" s="836"/>
      <c r="BJ262" s="836"/>
      <c r="BK262" s="836"/>
      <c r="BL262" s="836"/>
      <c r="BM262" s="836"/>
      <c r="BN262" s="836"/>
      <c r="BO262" s="836"/>
      <c r="BP262" s="836"/>
      <c r="BR262" s="844" t="str">
        <f>IFERROR(__xludf.DUMMYFUNCTION("""COMPUTED_VALUE"""),"Patel et al.")</f>
        <v>Patel et al.</v>
      </c>
      <c r="BS262" s="838" t="str">
        <f>IFERROR(__xludf.DUMMYFUNCTION("""COMPUTED_VALUE"""),"Côte d'Ivoire")</f>
        <v>Côte d'Ivoire</v>
      </c>
      <c r="BT262" s="838" t="str">
        <f>IFERROR(__xludf.DUMMYFUNCTION("""COMPUTED_VALUE"""),"Albendazole")</f>
        <v>Albendazole</v>
      </c>
      <c r="BU262" s="838"/>
      <c r="BV262" s="838" t="str">
        <f>IFERROR(__xludf.DUMMYFUNCTION("""COMPUTED_VALUE"""),"Single")</f>
        <v>Single</v>
      </c>
      <c r="BW262" s="838" t="str">
        <f>IFERROR(__xludf.DUMMYFUNCTION("""COMPUTED_VALUE"""),"800 mg")</f>
        <v>800 mg</v>
      </c>
      <c r="BX262" s="838">
        <f>IFERROR(__xludf.DUMMYFUNCTION("""COMPUTED_VALUE"""),13.0)</f>
        <v>13</v>
      </c>
      <c r="BY262" s="838"/>
      <c r="BZ262" s="838">
        <f>IFERROR(__xludf.DUMMYFUNCTION("""COMPUTED_VALUE"""),2018.0)</f>
        <v>2018</v>
      </c>
      <c r="CA262" s="838"/>
      <c r="CB262" s="838" t="str">
        <f>IFERROR(__xludf.DUMMYFUNCTION("""COMPUTED_VALUE"""),"PSAC, SAC, and adults were eligible if they provided two stool samples and were positive for T. trichiura. Only PSAC with T. trichiura infection intensities 60 eggs per gram of stool (EPG) and SAC and adults with T. trichiura infection intensities 100 EPG"&amp;" were included in the trial.")</f>
        <v>PSAC, SAC, and adults were eligible if they provided two stool samples and were positive for T. trichiura. Only PSAC with T. trichiura infection intensities 60 eggs per gram of stool (EPG) and SAC and adults with T. trichiura infection intensities 100 EPG were included in the trial.</v>
      </c>
      <c r="CC262" s="838" t="str">
        <f>IFERROR(__xludf.DUMMYFUNCTION("""COMPUTED_VALUE"""),"Yes")</f>
        <v>Yes</v>
      </c>
      <c r="CD262" s="847">
        <f>IFERROR(__xludf.DUMMYFUNCTION("""COMPUTED_VALUE"""),0.846)</f>
        <v>0.846</v>
      </c>
      <c r="CE262" s="838" t="str">
        <f>IFERROR(__xludf.DUMMYFUNCTION("""COMPUTED_VALUE"""),"Yes")</f>
        <v>Yes</v>
      </c>
      <c r="CF262" s="838"/>
      <c r="CG262" s="838"/>
      <c r="CH262" s="838"/>
      <c r="CI262" s="838"/>
      <c r="CJ262" s="838"/>
      <c r="CK262" s="838"/>
      <c r="CL262" s="838"/>
      <c r="CM262" s="847">
        <f>IFERROR(__xludf.DUMMYFUNCTION("""COMPUTED_VALUE"""),0.999)</f>
        <v>0.999</v>
      </c>
      <c r="CN262" s="838"/>
      <c r="CO262" s="838"/>
      <c r="CP262" s="838"/>
      <c r="CQ262" s="838"/>
      <c r="CR262" s="838"/>
      <c r="CS262" s="838" t="str">
        <f>IFERROR(__xludf.DUMMYFUNCTION("""COMPUTED_VALUE"""),"Albendazole shows low efficacy against T. trichiura in all populations and doses studied, though findings for PSAC and adults should be carefully interpreted as recruitment targets were not met. New drugs, treatment regimens, and combinations are needed i"&amp;"n the management of T. trichiura infections")</f>
        <v>Albendazole shows low efficacy against T. trichiura in all populations and doses studied, though findings for PSAC and adults should be carefully interpreted as recruitment targets were not met. New drugs, treatment regimens, and combinations are needed in the management of T. trichiura infections</v>
      </c>
      <c r="CT262" s="838" t="str">
        <f>IFERROR(__xludf.DUMMYFUNCTION("""COMPUTED_VALUE"""),"Kato-Katz technique")</f>
        <v>Kato-Katz technique</v>
      </c>
      <c r="CU262" s="838"/>
      <c r="CV262" s="697" t="str">
        <f>IFERROR(__xludf.DUMMYFUNCTION("""COMPUTED_VALUE"""),"Patel C, Coulibaly JT, Schulz JD, N'Gbesso Y, Hattendorf J, Keiser J. Efficacy and safety of ascending dosages of albendazole against Trichuris trichiura in preschool-aged children, school-aged children and adults: A multi-cohort randomized controlled tri"&amp;"al. EClinicalMedicine. 2020 May 5;22:100335. doi: 10.1016/j.eclinm.2020.100335. PMID: 32405623; PMCID: PMC7210508.")</f>
        <v>Patel C, Coulibaly JT, Schulz JD, N'Gbesso Y, Hattendorf J, Keiser J. Efficacy and safety of ascending dosages of albendazole against Trichuris trichiura in preschool-aged children, school-aged children and adults: A multi-cohort randomized controlled trial. EClinicalMedicine. 2020 May 5;22:100335. doi: 10.1016/j.eclinm.2020.100335. PMID: 32405623; PMCID: PMC7210508.</v>
      </c>
    </row>
    <row r="263">
      <c r="A263" s="834"/>
      <c r="B263" s="834"/>
      <c r="C263" s="834"/>
      <c r="D263" s="834"/>
      <c r="E263" s="834"/>
      <c r="F263" s="834"/>
      <c r="G263" s="834"/>
      <c r="H263" s="834"/>
      <c r="I263" s="834"/>
      <c r="J263" s="834"/>
      <c r="K263" s="834"/>
      <c r="L263" s="834"/>
      <c r="M263" s="834"/>
      <c r="N263" s="834"/>
      <c r="O263" s="834"/>
      <c r="P263" s="834"/>
      <c r="Q263" s="834"/>
      <c r="R263" s="834"/>
      <c r="S263" s="834"/>
      <c r="T263" s="834"/>
      <c r="U263" s="834"/>
      <c r="V263" s="834"/>
      <c r="W263" s="834"/>
      <c r="X263" s="834"/>
      <c r="Y263" s="834"/>
      <c r="Z263" s="834"/>
      <c r="AA263" s="834"/>
      <c r="AB263" s="834"/>
      <c r="AC263" s="834"/>
      <c r="AD263" s="834"/>
      <c r="AE263" s="834"/>
      <c r="AF263" s="834"/>
      <c r="AG263" s="834"/>
      <c r="AH263" s="834"/>
      <c r="AJ263" s="836"/>
      <c r="AK263" s="836"/>
      <c r="AL263" s="836"/>
      <c r="AM263" s="836"/>
      <c r="AN263" s="836"/>
      <c r="AO263" s="836"/>
      <c r="AP263" s="836"/>
      <c r="AQ263" s="836"/>
      <c r="AR263" s="836"/>
      <c r="AS263" s="836"/>
      <c r="AT263" s="836"/>
      <c r="AU263" s="836"/>
      <c r="AV263" s="836"/>
      <c r="AW263" s="836"/>
      <c r="AX263" s="836"/>
      <c r="AY263" s="836"/>
      <c r="AZ263" s="836"/>
      <c r="BA263" s="836"/>
      <c r="BB263" s="836"/>
      <c r="BC263" s="836"/>
      <c r="BD263" s="836"/>
      <c r="BE263" s="836"/>
      <c r="BF263" s="836"/>
      <c r="BG263" s="836"/>
      <c r="BH263" s="836"/>
      <c r="BI263" s="836"/>
      <c r="BJ263" s="836"/>
      <c r="BK263" s="836"/>
      <c r="BL263" s="836"/>
      <c r="BM263" s="836"/>
      <c r="BN263" s="836"/>
      <c r="BO263" s="836"/>
      <c r="BP263" s="836"/>
      <c r="BR263" s="844" t="str">
        <f>IFERROR(__xludf.DUMMYFUNCTION("""COMPUTED_VALUE"""),"Patel et al.")</f>
        <v>Patel et al.</v>
      </c>
      <c r="BS263" s="838" t="str">
        <f>IFERROR(__xludf.DUMMYFUNCTION("""COMPUTED_VALUE"""),"Côte d'Ivoire")</f>
        <v>Côte d'Ivoire</v>
      </c>
      <c r="BT263" s="838" t="str">
        <f>IFERROR(__xludf.DUMMYFUNCTION("""COMPUTED_VALUE"""),"Albendazole")</f>
        <v>Albendazole</v>
      </c>
      <c r="BU263" s="838"/>
      <c r="BV263" s="838" t="str">
        <f>IFERROR(__xludf.DUMMYFUNCTION("""COMPUTED_VALUE"""),"Single")</f>
        <v>Single</v>
      </c>
      <c r="BW263" s="838" t="str">
        <f>IFERROR(__xludf.DUMMYFUNCTION("""COMPUTED_VALUE"""),"400 mg")</f>
        <v>400 mg</v>
      </c>
      <c r="BX263" s="838">
        <f>IFERROR(__xludf.DUMMYFUNCTION("""COMPUTED_VALUE"""),3.0)</f>
        <v>3</v>
      </c>
      <c r="BY263" s="838"/>
      <c r="BZ263" s="838">
        <f>IFERROR(__xludf.DUMMYFUNCTION("""COMPUTED_VALUE"""),2018.0)</f>
        <v>2018</v>
      </c>
      <c r="CA263" s="838"/>
      <c r="CB263" s="838" t="str">
        <f>IFERROR(__xludf.DUMMYFUNCTION("""COMPUTED_VALUE"""),"PSAC, SAC, and adults were eligible if they provided two stool samples and were positive for T. trichiura. Only PSAC with T. trichiura infection intensities 60 eggs per gram of stool (EPG) and SAC and adults with T. trichiura infection intensities 100 EPG"&amp;" were included in the trial.")</f>
        <v>PSAC, SAC, and adults were eligible if they provided two stool samples and were positive for T. trichiura. Only PSAC with T. trichiura infection intensities 60 eggs per gram of stool (EPG) and SAC and adults with T. trichiura infection intensities 100 EPG were included in the trial.</v>
      </c>
      <c r="CC263" s="838" t="str">
        <f>IFERROR(__xludf.DUMMYFUNCTION("""COMPUTED_VALUE"""),"Yes")</f>
        <v>Yes</v>
      </c>
      <c r="CD263" s="847">
        <f>IFERROR(__xludf.DUMMYFUNCTION("""COMPUTED_VALUE"""),1.0)</f>
        <v>1</v>
      </c>
      <c r="CE263" s="838" t="str">
        <f>IFERROR(__xludf.DUMMYFUNCTION("""COMPUTED_VALUE"""),"Yes")</f>
        <v>Yes</v>
      </c>
      <c r="CF263" s="838"/>
      <c r="CG263" s="838"/>
      <c r="CH263" s="838"/>
      <c r="CI263" s="838"/>
      <c r="CJ263" s="838"/>
      <c r="CK263" s="838"/>
      <c r="CL263" s="838"/>
      <c r="CM263" s="847">
        <f>IFERROR(__xludf.DUMMYFUNCTION("""COMPUTED_VALUE"""),1.0)</f>
        <v>1</v>
      </c>
      <c r="CN263" s="838"/>
      <c r="CO263" s="838"/>
      <c r="CP263" s="838"/>
      <c r="CQ263" s="838"/>
      <c r="CR263" s="838"/>
      <c r="CS263" s="838" t="str">
        <f>IFERROR(__xludf.DUMMYFUNCTION("""COMPUTED_VALUE"""),"Albendazole shows low efficacy against T. trichiura in all populations and doses studied, though findings for PSAC and adults should be carefully interpreted as recruitment targets were not met. New drugs, treatment regimens, and combinations are needed i"&amp;"n the management of T. trichiura infections")</f>
        <v>Albendazole shows low efficacy against T. trichiura in all populations and doses studied, though findings for PSAC and adults should be carefully interpreted as recruitment targets were not met. New drugs, treatment regimens, and combinations are needed in the management of T. trichiura infections</v>
      </c>
      <c r="CT263" s="838" t="str">
        <f>IFERROR(__xludf.DUMMYFUNCTION("""COMPUTED_VALUE"""),"Kato-Katz technique")</f>
        <v>Kato-Katz technique</v>
      </c>
      <c r="CU263" s="838"/>
      <c r="CV263" s="697" t="str">
        <f>IFERROR(__xludf.DUMMYFUNCTION("""COMPUTED_VALUE"""),"Patel C, Coulibaly JT, Schulz JD, N'Gbesso Y, Hattendorf J, Keiser J. Efficacy and safety of ascending dosages of albendazole against Trichuris trichiura in preschool-aged children, school-aged children and adults: A multi-cohort randomized controlled tri"&amp;"al. EClinicalMedicine. 2020 May 5;22:100335. doi: 10.1016/j.eclinm.2020.100335. PMID: 32405623; PMCID: PMC7210508.")</f>
        <v>Patel C, Coulibaly JT, Schulz JD, N'Gbesso Y, Hattendorf J, Keiser J. Efficacy and safety of ascending dosages of albendazole against Trichuris trichiura in preschool-aged children, school-aged children and adults: A multi-cohort randomized controlled trial. EClinicalMedicine. 2020 May 5;22:100335. doi: 10.1016/j.eclinm.2020.100335. PMID: 32405623; PMCID: PMC7210508.</v>
      </c>
    </row>
    <row r="264">
      <c r="A264" s="834"/>
      <c r="B264" s="834"/>
      <c r="C264" s="834"/>
      <c r="D264" s="834"/>
      <c r="E264" s="834"/>
      <c r="F264" s="834"/>
      <c r="G264" s="834"/>
      <c r="H264" s="834"/>
      <c r="I264" s="834"/>
      <c r="J264" s="834"/>
      <c r="K264" s="834"/>
      <c r="L264" s="834"/>
      <c r="M264" s="834"/>
      <c r="N264" s="834"/>
      <c r="O264" s="834"/>
      <c r="P264" s="834"/>
      <c r="Q264" s="834"/>
      <c r="R264" s="834"/>
      <c r="S264" s="834"/>
      <c r="T264" s="834"/>
      <c r="U264" s="834"/>
      <c r="V264" s="834"/>
      <c r="W264" s="834"/>
      <c r="X264" s="834"/>
      <c r="Y264" s="834"/>
      <c r="Z264" s="834"/>
      <c r="AA264" s="834"/>
      <c r="AB264" s="834"/>
      <c r="AC264" s="834"/>
      <c r="AD264" s="834"/>
      <c r="AE264" s="834"/>
      <c r="AF264" s="834"/>
      <c r="AG264" s="834"/>
      <c r="AH264" s="834"/>
      <c r="AJ264" s="836"/>
      <c r="AK264" s="836"/>
      <c r="AL264" s="836"/>
      <c r="AM264" s="836"/>
      <c r="AN264" s="836"/>
      <c r="AO264" s="836"/>
      <c r="AP264" s="836"/>
      <c r="AQ264" s="836"/>
      <c r="AR264" s="836"/>
      <c r="AS264" s="836"/>
      <c r="AT264" s="836"/>
      <c r="AU264" s="836"/>
      <c r="AV264" s="836"/>
      <c r="AW264" s="836"/>
      <c r="AX264" s="836"/>
      <c r="AY264" s="836"/>
      <c r="AZ264" s="836"/>
      <c r="BA264" s="836"/>
      <c r="BB264" s="836"/>
      <c r="BC264" s="836"/>
      <c r="BD264" s="836"/>
      <c r="BE264" s="836"/>
      <c r="BF264" s="836"/>
      <c r="BG264" s="836"/>
      <c r="BH264" s="836"/>
      <c r="BI264" s="836"/>
      <c r="BJ264" s="836"/>
      <c r="BK264" s="836"/>
      <c r="BL264" s="836"/>
      <c r="BM264" s="836"/>
      <c r="BN264" s="836"/>
      <c r="BO264" s="836"/>
      <c r="BP264" s="836"/>
      <c r="BR264" s="844" t="str">
        <f>IFERROR(__xludf.DUMMYFUNCTION("""COMPUTED_VALUE"""),"Patel et al.")</f>
        <v>Patel et al.</v>
      </c>
      <c r="BS264" s="838" t="str">
        <f>IFERROR(__xludf.DUMMYFUNCTION("""COMPUTED_VALUE"""),"Côte d'Ivoire")</f>
        <v>Côte d'Ivoire</v>
      </c>
      <c r="BT264" s="838" t="str">
        <f>IFERROR(__xludf.DUMMYFUNCTION("""COMPUTED_VALUE"""),"Albendazole")</f>
        <v>Albendazole</v>
      </c>
      <c r="BU264" s="838"/>
      <c r="BV264" s="838" t="str">
        <f>IFERROR(__xludf.DUMMYFUNCTION("""COMPUTED_VALUE"""),"Single")</f>
        <v>Single</v>
      </c>
      <c r="BW264" s="838" t="str">
        <f>IFERROR(__xludf.DUMMYFUNCTION("""COMPUTED_VALUE"""),"800 mg")</f>
        <v>800 mg</v>
      </c>
      <c r="BX264" s="838">
        <f>IFERROR(__xludf.DUMMYFUNCTION("""COMPUTED_VALUE"""),3.0)</f>
        <v>3</v>
      </c>
      <c r="BY264" s="838"/>
      <c r="BZ264" s="838">
        <f>IFERROR(__xludf.DUMMYFUNCTION("""COMPUTED_VALUE"""),2018.0)</f>
        <v>2018</v>
      </c>
      <c r="CA264" s="838"/>
      <c r="CB264" s="838" t="str">
        <f>IFERROR(__xludf.DUMMYFUNCTION("""COMPUTED_VALUE"""),"PSAC, SAC, and adults were eligible if they provided two stool samples and were positive for T. trichiura. Only PSAC with T. trichiura infection intensities 60 eggs per gram of stool (EPG) and SAC and adults with T. trichiura infection intensities 100 EPG"&amp;" were included in the trial.")</f>
        <v>PSAC, SAC, and adults were eligible if they provided two stool samples and were positive for T. trichiura. Only PSAC with T. trichiura infection intensities 60 eggs per gram of stool (EPG) and SAC and adults with T. trichiura infection intensities 100 EPG were included in the trial.</v>
      </c>
      <c r="CC264" s="838" t="str">
        <f>IFERROR(__xludf.DUMMYFUNCTION("""COMPUTED_VALUE"""),"Yes")</f>
        <v>Yes</v>
      </c>
      <c r="CD264" s="847">
        <f>IFERROR(__xludf.DUMMYFUNCTION("""COMPUTED_VALUE"""),1.0)</f>
        <v>1</v>
      </c>
      <c r="CE264" s="838" t="str">
        <f>IFERROR(__xludf.DUMMYFUNCTION("""COMPUTED_VALUE"""),"Yes")</f>
        <v>Yes</v>
      </c>
      <c r="CF264" s="838"/>
      <c r="CG264" s="838"/>
      <c r="CH264" s="838"/>
      <c r="CI264" s="838"/>
      <c r="CJ264" s="838"/>
      <c r="CK264" s="838"/>
      <c r="CL264" s="838"/>
      <c r="CM264" s="847">
        <f>IFERROR(__xludf.DUMMYFUNCTION("""COMPUTED_VALUE"""),1.0)</f>
        <v>1</v>
      </c>
      <c r="CN264" s="838"/>
      <c r="CO264" s="838"/>
      <c r="CP264" s="838"/>
      <c r="CQ264" s="838"/>
      <c r="CR264" s="838"/>
      <c r="CS264" s="838" t="str">
        <f>IFERROR(__xludf.DUMMYFUNCTION("""COMPUTED_VALUE"""),"Albendazole shows low efficacy against T. trichiura in all populations and doses studied, though findings for PSAC and adults should be carefully interpreted as recruitment targets were not met. New drugs, treatment regimens, and combinations are needed i"&amp;"n the management of T. trichiura infections")</f>
        <v>Albendazole shows low efficacy against T. trichiura in all populations and doses studied, though findings for PSAC and adults should be carefully interpreted as recruitment targets were not met. New drugs, treatment regimens, and combinations are needed in the management of T. trichiura infections</v>
      </c>
      <c r="CT264" s="838" t="str">
        <f>IFERROR(__xludf.DUMMYFUNCTION("""COMPUTED_VALUE"""),"Kato-Katz technique")</f>
        <v>Kato-Katz technique</v>
      </c>
      <c r="CU264" s="838"/>
      <c r="CV264" s="697" t="str">
        <f>IFERROR(__xludf.DUMMYFUNCTION("""COMPUTED_VALUE"""),"Patel C, Coulibaly JT, Schulz JD, N'Gbesso Y, Hattendorf J, Keiser J. Efficacy and safety of ascending dosages of albendazole against Trichuris trichiura in preschool-aged children, school-aged children and adults: A multi-cohort randomized controlled tri"&amp;"al. EClinicalMedicine. 2020 May 5;22:100335. doi: 10.1016/j.eclinm.2020.100335. PMID: 32405623; PMCID: PMC7210508.")</f>
        <v>Patel C, Coulibaly JT, Schulz JD, N'Gbesso Y, Hattendorf J, Keiser J. Efficacy and safety of ascending dosages of albendazole against Trichuris trichiura in preschool-aged children, school-aged children and adults: A multi-cohort randomized controlled trial. EClinicalMedicine. 2020 May 5;22:100335. doi: 10.1016/j.eclinm.2020.100335. PMID: 32405623; PMCID: PMC7210508.</v>
      </c>
    </row>
    <row r="265">
      <c r="A265" s="834"/>
      <c r="B265" s="834"/>
      <c r="C265" s="834"/>
      <c r="D265" s="834"/>
      <c r="E265" s="834"/>
      <c r="F265" s="834"/>
      <c r="G265" s="834"/>
      <c r="H265" s="834"/>
      <c r="I265" s="834"/>
      <c r="J265" s="834"/>
      <c r="K265" s="834"/>
      <c r="L265" s="834"/>
      <c r="M265" s="834"/>
      <c r="N265" s="834"/>
      <c r="O265" s="834"/>
      <c r="P265" s="834"/>
      <c r="Q265" s="834"/>
      <c r="R265" s="834"/>
      <c r="S265" s="834"/>
      <c r="T265" s="834"/>
      <c r="U265" s="834"/>
      <c r="V265" s="834"/>
      <c r="W265" s="834"/>
      <c r="X265" s="834"/>
      <c r="Y265" s="834"/>
      <c r="Z265" s="834"/>
      <c r="AA265" s="834"/>
      <c r="AB265" s="834"/>
      <c r="AC265" s="834"/>
      <c r="AD265" s="834"/>
      <c r="AE265" s="834"/>
      <c r="AF265" s="834"/>
      <c r="AG265" s="834"/>
      <c r="AH265" s="834"/>
      <c r="AJ265" s="836"/>
      <c r="AK265" s="836"/>
      <c r="AL265" s="836"/>
      <c r="AM265" s="836"/>
      <c r="AN265" s="836"/>
      <c r="AO265" s="836"/>
      <c r="AP265" s="836"/>
      <c r="AQ265" s="836"/>
      <c r="AR265" s="836"/>
      <c r="AS265" s="836"/>
      <c r="AT265" s="836"/>
      <c r="AU265" s="836"/>
      <c r="AV265" s="836"/>
      <c r="AW265" s="836"/>
      <c r="AX265" s="836"/>
      <c r="AY265" s="836"/>
      <c r="AZ265" s="836"/>
      <c r="BA265" s="836"/>
      <c r="BB265" s="836"/>
      <c r="BC265" s="836"/>
      <c r="BD265" s="836"/>
      <c r="BE265" s="836"/>
      <c r="BF265" s="836"/>
      <c r="BG265" s="836"/>
      <c r="BH265" s="836"/>
      <c r="BI265" s="836"/>
      <c r="BJ265" s="836"/>
      <c r="BK265" s="836"/>
      <c r="BL265" s="836"/>
      <c r="BM265" s="836"/>
      <c r="BN265" s="836"/>
      <c r="BO265" s="836"/>
      <c r="BP265" s="836"/>
      <c r="BR265" s="844" t="str">
        <f>IFERROR(__xludf.DUMMYFUNCTION("""COMPUTED_VALUE"""),"Husin et al.")</f>
        <v>Husin et al.</v>
      </c>
      <c r="BS265" s="838" t="str">
        <f>IFERROR(__xludf.DUMMYFUNCTION("""COMPUTED_VALUE"""),"Indonesia")</f>
        <v>Indonesia</v>
      </c>
      <c r="BT265" s="838" t="str">
        <f>IFERROR(__xludf.DUMMYFUNCTION("""COMPUTED_VALUE"""),"Albendazole &amp; Mebendazole")</f>
        <v>Albendazole &amp; Mebendazole</v>
      </c>
      <c r="BU265" s="838"/>
      <c r="BV265" s="838" t="str">
        <f>IFERROR(__xludf.DUMMYFUNCTION("""COMPUTED_VALUE"""),"Single")</f>
        <v>Single</v>
      </c>
      <c r="BW265" s="838" t="str">
        <f>IFERROR(__xludf.DUMMYFUNCTION("""COMPUTED_VALUE"""),"400 mg; 500 mg")</f>
        <v>400 mg; 500 mg</v>
      </c>
      <c r="BX265" s="838">
        <f>IFERROR(__xludf.DUMMYFUNCTION("""COMPUTED_VALUE"""),28.0)</f>
        <v>28</v>
      </c>
      <c r="BY265" s="838">
        <f>IFERROR(__xludf.DUMMYFUNCTION("""COMPUTED_VALUE"""),8.3)</f>
        <v>8.3</v>
      </c>
      <c r="BZ265" s="838">
        <f>IFERROR(__xludf.DUMMYFUNCTION("""COMPUTED_VALUE"""),2018.0)</f>
        <v>2018</v>
      </c>
      <c r="CA265" s="838"/>
      <c r="CB265" s="838" t="str">
        <f>IFERROR(__xludf.DUMMYFUNCTION("""COMPUTED_VALUE"""),"Children  between  6  and  12  years  of  age whose stool samples were positive for single infection or co-infection with either A. lumbricoides, T. trichiura, or and hookworm were considered eligible.")</f>
        <v>Children  between  6  and  12  years  of  age whose stool samples were positive for single infection or co-infection with either A. lumbricoides, T. trichiura, or and hookworm were considered eligible.</v>
      </c>
      <c r="CC265" s="838" t="str">
        <f>IFERROR(__xludf.DUMMYFUNCTION("""COMPUTED_VALUE"""),"Yes")</f>
        <v>Yes</v>
      </c>
      <c r="CD265" s="847">
        <f>IFERROR(__xludf.DUMMYFUNCTION("""COMPUTED_VALUE"""),0.571)</f>
        <v>0.571</v>
      </c>
      <c r="CE265" s="838" t="str">
        <f>IFERROR(__xludf.DUMMYFUNCTION("""COMPUTED_VALUE"""),"No")</f>
        <v>No</v>
      </c>
      <c r="CF265" s="838"/>
      <c r="CG265" s="838"/>
      <c r="CH265" s="838"/>
      <c r="CI265" s="838"/>
      <c r="CJ265" s="838"/>
      <c r="CK265" s="838"/>
      <c r="CL265" s="838"/>
      <c r="CM265" s="846">
        <f>IFERROR(__xludf.DUMMYFUNCTION("""COMPUTED_VALUE"""),1.0)</f>
        <v>1</v>
      </c>
      <c r="CN265" s="838"/>
      <c r="CO265" s="838"/>
      <c r="CP265" s="838"/>
      <c r="CQ265" s="838"/>
      <c r="CR265" s="838"/>
      <c r="CS265" s="838" t="str">
        <f>IFERROR(__xludf.DUMMYFUNCTION("""COMPUTED_VALUE"""),"This study showed the excellent efficacy of an albendazole-pyrantel pamoate combination against STHs  infections. The  highest  reinfection  rate  was  found  in  albendazole-pyrantel  pamoate  group  for T.  trichiurainfection.")</f>
        <v>This study showed the excellent efficacy of an albendazole-pyrantel pamoate combination against STHs  infections. The  highest  reinfection  rate  was  found  in  albendazole-pyrantel  pamoate  group  for T.  trichiurainfection.</v>
      </c>
      <c r="CT265" s="838" t="str">
        <f>IFERROR(__xludf.DUMMYFUNCTION("""COMPUTED_VALUE"""),"Kato-Katz technique")</f>
        <v>Kato-Katz technique</v>
      </c>
      <c r="CU265" s="838"/>
      <c r="CV265" s="697" t="str">
        <f>IFERROR(__xludf.DUMMYFUNCTION("""COMPUTED_VALUE"""),"Husin N, Pasaribu AP, Ali M, Suteno E, Wijaya W, Pasaribu S. Comparative Efficacy and Reinfection of Albendazole-mebendazole, Albendazole-pyrantel Pamoate, and Mebendazole on Soil-transmitted Helminths. Open Access Maced J Med Sci [Internet]. 2020Nov.19 ["&amp;"cited 2021Jan.15];8(B):978-82. Available from: https://www.id-press.eu/mjms/article/view/5110")</f>
        <v>Husin N, Pasaribu AP, Ali M, Suteno E, Wijaya W, Pasaribu S. Comparative Efficacy and Reinfection of Albendazole-mebendazole, Albendazole-pyrantel Pamoate, and Mebendazole on Soil-transmitted Helminths. Open Access Maced J Med Sci [Internet]. 2020Nov.19 [cited 2021Jan.15];8(B):978-82. Available from: https://www.id-press.eu/mjms/article/view/5110</v>
      </c>
    </row>
    <row r="266">
      <c r="A266" s="834"/>
      <c r="B266" s="834"/>
      <c r="C266" s="834"/>
      <c r="D266" s="834"/>
      <c r="E266" s="834"/>
      <c r="F266" s="834"/>
      <c r="G266" s="834"/>
      <c r="H266" s="834"/>
      <c r="I266" s="834"/>
      <c r="J266" s="834"/>
      <c r="K266" s="834"/>
      <c r="L266" s="834"/>
      <c r="M266" s="834"/>
      <c r="N266" s="834"/>
      <c r="O266" s="834"/>
      <c r="P266" s="834"/>
      <c r="Q266" s="834"/>
      <c r="R266" s="834"/>
      <c r="S266" s="834"/>
      <c r="T266" s="834"/>
      <c r="U266" s="834"/>
      <c r="V266" s="834"/>
      <c r="W266" s="834"/>
      <c r="X266" s="834"/>
      <c r="Y266" s="834"/>
      <c r="Z266" s="834"/>
      <c r="AA266" s="834"/>
      <c r="AB266" s="834"/>
      <c r="AC266" s="834"/>
      <c r="AD266" s="834"/>
      <c r="AE266" s="834"/>
      <c r="AF266" s="834"/>
      <c r="AG266" s="834"/>
      <c r="AH266" s="834"/>
      <c r="AJ266" s="836"/>
      <c r="AK266" s="836"/>
      <c r="AL266" s="836"/>
      <c r="AM266" s="836"/>
      <c r="AN266" s="836"/>
      <c r="AO266" s="836"/>
      <c r="AP266" s="836"/>
      <c r="AQ266" s="836"/>
      <c r="AR266" s="836"/>
      <c r="AS266" s="836"/>
      <c r="AT266" s="836"/>
      <c r="AU266" s="836"/>
      <c r="AV266" s="836"/>
      <c r="AW266" s="836"/>
      <c r="AX266" s="836"/>
      <c r="AY266" s="836"/>
      <c r="AZ266" s="836"/>
      <c r="BA266" s="836"/>
      <c r="BB266" s="836"/>
      <c r="BC266" s="836"/>
      <c r="BD266" s="836"/>
      <c r="BE266" s="836"/>
      <c r="BF266" s="836"/>
      <c r="BG266" s="836"/>
      <c r="BH266" s="836"/>
      <c r="BI266" s="836"/>
      <c r="BJ266" s="836"/>
      <c r="BK266" s="836"/>
      <c r="BL266" s="836"/>
      <c r="BM266" s="836"/>
      <c r="BN266" s="836"/>
      <c r="BO266" s="836"/>
      <c r="BP266" s="836"/>
      <c r="BR266" s="844" t="str">
        <f>IFERROR(__xludf.DUMMYFUNCTION("""COMPUTED_VALUE"""),"Husin et al.")</f>
        <v>Husin et al.</v>
      </c>
      <c r="BS266" s="838" t="str">
        <f>IFERROR(__xludf.DUMMYFUNCTION("""COMPUTED_VALUE"""),"Indonesia")</f>
        <v>Indonesia</v>
      </c>
      <c r="BT266" s="838" t="str">
        <f>IFERROR(__xludf.DUMMYFUNCTION("""COMPUTED_VALUE"""),"Albendazole &amp; Pyrantel Pamoate")</f>
        <v>Albendazole &amp; Pyrantel Pamoate</v>
      </c>
      <c r="BU266" s="838"/>
      <c r="BV266" s="838" t="str">
        <f>IFERROR(__xludf.DUMMYFUNCTION("""COMPUTED_VALUE"""),"Single")</f>
        <v>Single</v>
      </c>
      <c r="BW266" s="838" t="str">
        <f>IFERROR(__xludf.DUMMYFUNCTION("""COMPUTED_VALUE"""),"400 mg; 10 mg/kg ")</f>
        <v>400 mg; 10 mg/kg </v>
      </c>
      <c r="BX266" s="838">
        <f>IFERROR(__xludf.DUMMYFUNCTION("""COMPUTED_VALUE"""),31.0)</f>
        <v>31</v>
      </c>
      <c r="BY266" s="838">
        <f>IFERROR(__xludf.DUMMYFUNCTION("""COMPUTED_VALUE"""),8.9)</f>
        <v>8.9</v>
      </c>
      <c r="BZ266" s="838">
        <f>IFERROR(__xludf.DUMMYFUNCTION("""COMPUTED_VALUE"""),2018.0)</f>
        <v>2018</v>
      </c>
      <c r="CA266" s="838"/>
      <c r="CB266" s="838" t="str">
        <f>IFERROR(__xludf.DUMMYFUNCTION("""COMPUTED_VALUE"""),"Children  between  6  and  12  years  of  age whose stool samples were positive for single infection or co-infection with either A. lumbricoides, T. trichiura, or and hookworm were considered eligible.")</f>
        <v>Children  between  6  and  12  years  of  age whose stool samples were positive for single infection or co-infection with either A. lumbricoides, T. trichiura, or and hookworm were considered eligible.</v>
      </c>
      <c r="CC266" s="838" t="str">
        <f>IFERROR(__xludf.DUMMYFUNCTION("""COMPUTED_VALUE"""),"Yes")</f>
        <v>Yes</v>
      </c>
      <c r="CD266" s="847">
        <f>IFERROR(__xludf.DUMMYFUNCTION("""COMPUTED_VALUE"""),0.935)</f>
        <v>0.935</v>
      </c>
      <c r="CE266" s="838" t="str">
        <f>IFERROR(__xludf.DUMMYFUNCTION("""COMPUTED_VALUE"""),"No")</f>
        <v>No</v>
      </c>
      <c r="CF266" s="838"/>
      <c r="CG266" s="838"/>
      <c r="CH266" s="838"/>
      <c r="CI266" s="838"/>
      <c r="CJ266" s="838"/>
      <c r="CK266" s="838"/>
      <c r="CL266" s="838"/>
      <c r="CM266" s="846">
        <f>IFERROR(__xludf.DUMMYFUNCTION("""COMPUTED_VALUE"""),1.0)</f>
        <v>1</v>
      </c>
      <c r="CN266" s="838"/>
      <c r="CO266" s="838"/>
      <c r="CP266" s="838"/>
      <c r="CQ266" s="838"/>
      <c r="CR266" s="838"/>
      <c r="CS266" s="838" t="str">
        <f>IFERROR(__xludf.DUMMYFUNCTION("""COMPUTED_VALUE"""),"This study showed the excellent efficacy of an albendazole-pyrantel pamoate combination against STHs  infections. The  highest  reinfection  rate  was  found  in  albendazole-pyrantel  pamoate  group  for T.  trichiurainfection.")</f>
        <v>This study showed the excellent efficacy of an albendazole-pyrantel pamoate combination against STHs  infections. The  highest  reinfection  rate  was  found  in  albendazole-pyrantel  pamoate  group  for T.  trichiurainfection.</v>
      </c>
      <c r="CT266" s="838" t="str">
        <f>IFERROR(__xludf.DUMMYFUNCTION("""COMPUTED_VALUE"""),"Kato-Katz technique")</f>
        <v>Kato-Katz technique</v>
      </c>
      <c r="CU266" s="838"/>
      <c r="CV266" s="697" t="str">
        <f>IFERROR(__xludf.DUMMYFUNCTION("""COMPUTED_VALUE"""),"Husin N, Pasaribu AP, Ali M, Suteno E, Wijaya W, Pasaribu S. Comparative Efficacy and Reinfection of Albendazole-mebendazole, Albendazole-pyrantel Pamoate, and Mebendazole on Soil-transmitted Helminths. Open Access Maced J Med Sci [Internet]. 2020Nov.19 ["&amp;"cited 2021Jan.15];8(B):978-82. Available from: https://www.id-press.eu/mjms/article/view/5110")</f>
        <v>Husin N, Pasaribu AP, Ali M, Suteno E, Wijaya W, Pasaribu S. Comparative Efficacy and Reinfection of Albendazole-mebendazole, Albendazole-pyrantel Pamoate, and Mebendazole on Soil-transmitted Helminths. Open Access Maced J Med Sci [Internet]. 2020Nov.19 [cited 2021Jan.15];8(B):978-82. Available from: https://www.id-press.eu/mjms/article/view/5110</v>
      </c>
    </row>
    <row r="267">
      <c r="A267" s="834"/>
      <c r="B267" s="834"/>
      <c r="C267" s="834"/>
      <c r="D267" s="834"/>
      <c r="E267" s="834"/>
      <c r="F267" s="834"/>
      <c r="G267" s="834"/>
      <c r="H267" s="834"/>
      <c r="I267" s="834"/>
      <c r="J267" s="834"/>
      <c r="K267" s="834"/>
      <c r="L267" s="834"/>
      <c r="M267" s="834"/>
      <c r="N267" s="834"/>
      <c r="O267" s="834"/>
      <c r="P267" s="834"/>
      <c r="Q267" s="834"/>
      <c r="R267" s="834"/>
      <c r="S267" s="834"/>
      <c r="T267" s="834"/>
      <c r="U267" s="834"/>
      <c r="V267" s="834"/>
      <c r="W267" s="834"/>
      <c r="X267" s="834"/>
      <c r="Y267" s="834"/>
      <c r="Z267" s="834"/>
      <c r="AA267" s="834"/>
      <c r="AB267" s="834"/>
      <c r="AC267" s="834"/>
      <c r="AD267" s="834"/>
      <c r="AE267" s="834"/>
      <c r="AF267" s="834"/>
      <c r="AG267" s="834"/>
      <c r="AH267" s="834"/>
      <c r="AJ267" s="836"/>
      <c r="AK267" s="836"/>
      <c r="AL267" s="836"/>
      <c r="AM267" s="836"/>
      <c r="AN267" s="836"/>
      <c r="AO267" s="836"/>
      <c r="AP267" s="836"/>
      <c r="AQ267" s="836"/>
      <c r="AR267" s="836"/>
      <c r="AS267" s="836"/>
      <c r="AT267" s="836"/>
      <c r="AU267" s="836"/>
      <c r="AV267" s="836"/>
      <c r="AW267" s="836"/>
      <c r="AX267" s="836"/>
      <c r="AY267" s="836"/>
      <c r="AZ267" s="836"/>
      <c r="BA267" s="836"/>
      <c r="BB267" s="836"/>
      <c r="BC267" s="836"/>
      <c r="BD267" s="836"/>
      <c r="BE267" s="836"/>
      <c r="BF267" s="836"/>
      <c r="BG267" s="836"/>
      <c r="BH267" s="836"/>
      <c r="BI267" s="836"/>
      <c r="BJ267" s="836"/>
      <c r="BK267" s="836"/>
      <c r="BL267" s="836"/>
      <c r="BM267" s="836"/>
      <c r="BN267" s="836"/>
      <c r="BO267" s="836"/>
      <c r="BP267" s="836"/>
      <c r="BR267" s="844" t="str">
        <f>IFERROR(__xludf.DUMMYFUNCTION("""COMPUTED_VALUE"""),"Husin et al.")</f>
        <v>Husin et al.</v>
      </c>
      <c r="BS267" s="838" t="str">
        <f>IFERROR(__xludf.DUMMYFUNCTION("""COMPUTED_VALUE"""),"Indonesia")</f>
        <v>Indonesia</v>
      </c>
      <c r="BT267" s="838" t="str">
        <f>IFERROR(__xludf.DUMMYFUNCTION("""COMPUTED_VALUE"""),"Mebendazole")</f>
        <v>Mebendazole</v>
      </c>
      <c r="BU267" s="838"/>
      <c r="BV267" s="838" t="str">
        <f>IFERROR(__xludf.DUMMYFUNCTION("""COMPUTED_VALUE"""),"Single")</f>
        <v>Single</v>
      </c>
      <c r="BW267" s="838" t="str">
        <f>IFERROR(__xludf.DUMMYFUNCTION("""COMPUTED_VALUE"""),"500 mg")</f>
        <v>500 mg</v>
      </c>
      <c r="BX267" s="838">
        <f>IFERROR(__xludf.DUMMYFUNCTION("""COMPUTED_VALUE"""),29.0)</f>
        <v>29</v>
      </c>
      <c r="BY267" s="838">
        <f>IFERROR(__xludf.DUMMYFUNCTION("""COMPUTED_VALUE"""),8.8)</f>
        <v>8.8</v>
      </c>
      <c r="BZ267" s="838">
        <f>IFERROR(__xludf.DUMMYFUNCTION("""COMPUTED_VALUE"""),2018.0)</f>
        <v>2018</v>
      </c>
      <c r="CA267" s="838"/>
      <c r="CB267" s="838" t="str">
        <f>IFERROR(__xludf.DUMMYFUNCTION("""COMPUTED_VALUE"""),"Children  between  6  and  12  years  of  age whose stool samples were positive for single infection or co-infection with either A. lumbricoides, T. trichiura, or and hookworm were considered eligible.")</f>
        <v>Children  between  6  and  12  years  of  age whose stool samples were positive for single infection or co-infection with either A. lumbricoides, T. trichiura, or and hookworm were considered eligible.</v>
      </c>
      <c r="CC267" s="838" t="str">
        <f>IFERROR(__xludf.DUMMYFUNCTION("""COMPUTED_VALUE"""),"Yes")</f>
        <v>Yes</v>
      </c>
      <c r="CD267" s="847">
        <f>IFERROR(__xludf.DUMMYFUNCTION("""COMPUTED_VALUE"""),0.276)</f>
        <v>0.276</v>
      </c>
      <c r="CE267" s="838" t="str">
        <f>IFERROR(__xludf.DUMMYFUNCTION("""COMPUTED_VALUE"""),"No")</f>
        <v>No</v>
      </c>
      <c r="CF267" s="838"/>
      <c r="CG267" s="838"/>
      <c r="CH267" s="838"/>
      <c r="CI267" s="838"/>
      <c r="CJ267" s="838"/>
      <c r="CK267" s="838"/>
      <c r="CL267" s="838"/>
      <c r="CM267" s="846">
        <f>IFERROR(__xludf.DUMMYFUNCTION("""COMPUTED_VALUE"""),0.97)</f>
        <v>0.97</v>
      </c>
      <c r="CN267" s="838"/>
      <c r="CO267" s="838"/>
      <c r="CP267" s="838"/>
      <c r="CQ267" s="838"/>
      <c r="CR267" s="838"/>
      <c r="CS267" s="838" t="str">
        <f>IFERROR(__xludf.DUMMYFUNCTION("""COMPUTED_VALUE"""),"This study showed the excellent efficacy of an albendazole-pyrantel pamoate combination against STHs  infections. The  highest  reinfection  rate  was  found  in  albendazole-pyrantel  pamoate  group  for T.  trichiurainfection.")</f>
        <v>This study showed the excellent efficacy of an albendazole-pyrantel pamoate combination against STHs  infections. The  highest  reinfection  rate  was  found  in  albendazole-pyrantel  pamoate  group  for T.  trichiurainfection.</v>
      </c>
      <c r="CT267" s="838" t="str">
        <f>IFERROR(__xludf.DUMMYFUNCTION("""COMPUTED_VALUE"""),"Kato-Katz technique")</f>
        <v>Kato-Katz technique</v>
      </c>
      <c r="CU267" s="838"/>
      <c r="CV267" s="697" t="str">
        <f>IFERROR(__xludf.DUMMYFUNCTION("""COMPUTED_VALUE"""),"Husin N, Pasaribu AP, Ali M, Suteno E, Wijaya W, Pasaribu S. Comparative Efficacy and Reinfection of Albendazole-mebendazole, Albendazole-pyrantel Pamoate, and Mebendazole on Soil-transmitted Helminths. Open Access Maced J Med Sci [Internet]. 2020Nov.19 ["&amp;"cited 2021Jan.15];8(B):978-82. Available from: https://www.id-press.eu/mjms/article/view/5110")</f>
        <v>Husin N, Pasaribu AP, Ali M, Suteno E, Wijaya W, Pasaribu S. Comparative Efficacy and Reinfection of Albendazole-mebendazole, Albendazole-pyrantel Pamoate, and Mebendazole on Soil-transmitted Helminths. Open Access Maced J Med Sci [Internet]. 2020Nov.19 [cited 2021Jan.15];8(B):978-82. Available from: https://www.id-press.eu/mjms/article/view/5110</v>
      </c>
    </row>
    <row r="268">
      <c r="A268" s="834"/>
      <c r="B268" s="834"/>
      <c r="C268" s="834"/>
      <c r="D268" s="834"/>
      <c r="E268" s="834"/>
      <c r="F268" s="834"/>
      <c r="G268" s="834"/>
      <c r="H268" s="834"/>
      <c r="I268" s="834"/>
      <c r="J268" s="834"/>
      <c r="K268" s="834"/>
      <c r="L268" s="834"/>
      <c r="M268" s="834"/>
      <c r="N268" s="834"/>
      <c r="O268" s="834"/>
      <c r="P268" s="834"/>
      <c r="Q268" s="834"/>
      <c r="R268" s="834"/>
      <c r="S268" s="834"/>
      <c r="T268" s="834"/>
      <c r="U268" s="834"/>
      <c r="V268" s="834"/>
      <c r="W268" s="834"/>
      <c r="X268" s="834"/>
      <c r="Y268" s="834"/>
      <c r="Z268" s="834"/>
      <c r="AA268" s="834"/>
      <c r="AB268" s="834"/>
      <c r="AC268" s="834"/>
      <c r="AD268" s="834"/>
      <c r="AE268" s="834"/>
      <c r="AF268" s="834"/>
      <c r="AG268" s="834"/>
      <c r="AH268" s="834"/>
      <c r="AJ268" s="836"/>
      <c r="AK268" s="836"/>
      <c r="AL268" s="836"/>
      <c r="AM268" s="836"/>
      <c r="AN268" s="836"/>
      <c r="AO268" s="836"/>
      <c r="AP268" s="836"/>
      <c r="AQ268" s="836"/>
      <c r="AR268" s="836"/>
      <c r="AS268" s="836"/>
      <c r="AT268" s="836"/>
      <c r="AU268" s="836"/>
      <c r="AV268" s="836"/>
      <c r="AW268" s="836"/>
      <c r="AX268" s="836"/>
      <c r="AY268" s="836"/>
      <c r="AZ268" s="836"/>
      <c r="BA268" s="836"/>
      <c r="BB268" s="836"/>
      <c r="BC268" s="836"/>
      <c r="BD268" s="836"/>
      <c r="BE268" s="836"/>
      <c r="BF268" s="836"/>
      <c r="BG268" s="836"/>
      <c r="BH268" s="836"/>
      <c r="BI268" s="836"/>
      <c r="BJ268" s="836"/>
      <c r="BK268" s="836"/>
      <c r="BL268" s="836"/>
      <c r="BM268" s="836"/>
      <c r="BN268" s="836"/>
      <c r="BO268" s="836"/>
      <c r="BP268" s="836"/>
      <c r="BR268" s="844" t="str">
        <f>IFERROR(__xludf.DUMMYFUNCTION("""COMPUTED_VALUE"""),"Gultom et al.")</f>
        <v>Gultom et al.</v>
      </c>
      <c r="BS268" s="838" t="str">
        <f>IFERROR(__xludf.DUMMYFUNCTION("""COMPUTED_VALUE"""),"Indonesia")</f>
        <v>Indonesia</v>
      </c>
      <c r="BT268" s="838" t="str">
        <f>IFERROR(__xludf.DUMMYFUNCTION("""COMPUTED_VALUE"""),"Albendazole")</f>
        <v>Albendazole</v>
      </c>
      <c r="BU268" s="838"/>
      <c r="BV268" s="838" t="str">
        <f>IFERROR(__xludf.DUMMYFUNCTION("""COMPUTED_VALUE"""),"Three")</f>
        <v>Three</v>
      </c>
      <c r="BW268" s="838" t="str">
        <f>IFERROR(__xludf.DUMMYFUNCTION("""COMPUTED_VALUE"""),"400 mg")</f>
        <v>400 mg</v>
      </c>
      <c r="BX268" s="838">
        <f>IFERROR(__xludf.DUMMYFUNCTION("""COMPUTED_VALUE"""),65.0)</f>
        <v>65</v>
      </c>
      <c r="BY268" s="838">
        <f>IFERROR(__xludf.DUMMYFUNCTION("""COMPUTED_VALUE"""),8.2)</f>
        <v>8.2</v>
      </c>
      <c r="BZ268" s="838">
        <f>IFERROR(__xludf.DUMMYFUNCTION("""COMPUTED_VALUE"""),2018.0)</f>
        <v>2018</v>
      </c>
      <c r="CA268" s="838"/>
      <c r="CB268" s="838" t="str">
        <f>IFERROR(__xludf.DUMMYFUNCTION("""COMPUTED_VALUE"""),"The inclusion criteria were children aged 6 to 12 years, one or a combination of STH (A. lumbricoides, T. trichiura or hookworms) eggs were found from Kato-Katz methods stool examination and did not consume any anthelmintic for one month before and during"&amp;" the study.")</f>
        <v>The inclusion criteria were children aged 6 to 12 years, one or a combination of STH (A. lumbricoides, T. trichiura or hookworms) eggs were found from Kato-Katz methods stool examination and did not consume any anthelmintic for one month before and during the study.</v>
      </c>
      <c r="CC268" s="838" t="str">
        <f>IFERROR(__xludf.DUMMYFUNCTION("""COMPUTED_VALUE"""),"Yes")</f>
        <v>Yes</v>
      </c>
      <c r="CD268" s="847">
        <f>IFERROR(__xludf.DUMMYFUNCTION("""COMPUTED_VALUE"""),0.903)</f>
        <v>0.903</v>
      </c>
      <c r="CE268" s="838" t="str">
        <f>IFERROR(__xludf.DUMMYFUNCTION("""COMPUTED_VALUE"""),"Yes")</f>
        <v>Yes</v>
      </c>
      <c r="CF268" s="838"/>
      <c r="CG268" s="838"/>
      <c r="CH268" s="838"/>
      <c r="CI268" s="838"/>
      <c r="CJ268" s="838"/>
      <c r="CK268" s="838"/>
      <c r="CL268" s="838"/>
      <c r="CM268" s="847">
        <f>IFERROR(__xludf.DUMMYFUNCTION("""COMPUTED_VALUE"""),0.968)</f>
        <v>0.968</v>
      </c>
      <c r="CN268" s="838"/>
      <c r="CO268" s="838"/>
      <c r="CP268" s="838"/>
      <c r="CQ268" s="838"/>
      <c r="CR268" s="838"/>
      <c r="CS268" s="838" t="str">
        <f>IFERROR(__xludf.DUMMYFUNCTION("""COMPUTED_VALUE"""),"Three and two consecutive days albendazole have better efficacy than single-dose of albendazole for trichuriasis, but not for ascariasis or hookworm infection. Two consecutive days albendazole is better choice for treating trichuriasis with more adherence"&amp;" and less side effect than three consecutive days regimen.")</f>
        <v>Three and two consecutive days albendazole have better efficacy than single-dose of albendazole for trichuriasis, but not for ascariasis or hookworm infection. Two consecutive days albendazole is better choice for treating trichuriasis with more adherence and less side effect than three consecutive days regimen.</v>
      </c>
      <c r="CT268" s="838" t="str">
        <f>IFERROR(__xludf.DUMMYFUNCTION("""COMPUTED_VALUE"""),"Kato-Katz technique")</f>
        <v>Kato-Katz technique</v>
      </c>
      <c r="CU268" s="838"/>
      <c r="CV268" s="697" t="str">
        <f>IFERROR(__xludf.DUMMYFUNCTION("""COMPUTED_VALUE"""),"Gultom DE, Ali M, Pasaribu AP, Pasaribu S. Two or Three Consecutive Days Albendazole Treatment Has Better Efficacy than Single-Dose Albendazole Treatment for Trichuriasis [Internet]. The Indonesian Biomedical Journal. [cited 2021Jan15]. Available from: ht"&amp;"tps://www.inabj.org/index.php/ibj/article/view/920 ")</f>
        <v>Gultom DE, Ali M, Pasaribu AP, Pasaribu S. Two or Three Consecutive Days Albendazole Treatment Has Better Efficacy than Single-Dose Albendazole Treatment for Trichuriasis [Internet]. The Indonesian Biomedical Journal. [cited 2021Jan15]. Available from: https://www.inabj.org/index.php/ibj/article/view/920 </v>
      </c>
    </row>
    <row r="269">
      <c r="A269" s="834"/>
      <c r="B269" s="834"/>
      <c r="C269" s="834"/>
      <c r="D269" s="834"/>
      <c r="E269" s="834"/>
      <c r="F269" s="834"/>
      <c r="G269" s="834"/>
      <c r="H269" s="834"/>
      <c r="I269" s="834"/>
      <c r="J269" s="834"/>
      <c r="K269" s="834"/>
      <c r="L269" s="834"/>
      <c r="M269" s="834"/>
      <c r="N269" s="834"/>
      <c r="O269" s="834"/>
      <c r="P269" s="834"/>
      <c r="Q269" s="834"/>
      <c r="R269" s="834"/>
      <c r="S269" s="834"/>
      <c r="T269" s="834"/>
      <c r="U269" s="834"/>
      <c r="V269" s="834"/>
      <c r="W269" s="834"/>
      <c r="X269" s="834"/>
      <c r="Y269" s="834"/>
      <c r="Z269" s="834"/>
      <c r="AA269" s="834"/>
      <c r="AB269" s="834"/>
      <c r="AC269" s="834"/>
      <c r="AD269" s="834"/>
      <c r="AE269" s="834"/>
      <c r="AF269" s="834"/>
      <c r="AG269" s="834"/>
      <c r="AH269" s="834"/>
      <c r="AJ269" s="836"/>
      <c r="AK269" s="836"/>
      <c r="AL269" s="836"/>
      <c r="AM269" s="836"/>
      <c r="AN269" s="836"/>
      <c r="AO269" s="836"/>
      <c r="AP269" s="836"/>
      <c r="AQ269" s="836"/>
      <c r="AR269" s="836"/>
      <c r="AS269" s="836"/>
      <c r="AT269" s="836"/>
      <c r="AU269" s="836"/>
      <c r="AV269" s="836"/>
      <c r="AW269" s="836"/>
      <c r="AX269" s="836"/>
      <c r="AY269" s="836"/>
      <c r="AZ269" s="836"/>
      <c r="BA269" s="836"/>
      <c r="BB269" s="836"/>
      <c r="BC269" s="836"/>
      <c r="BD269" s="836"/>
      <c r="BE269" s="836"/>
      <c r="BF269" s="836"/>
      <c r="BG269" s="836"/>
      <c r="BH269" s="836"/>
      <c r="BI269" s="836"/>
      <c r="BJ269" s="836"/>
      <c r="BK269" s="836"/>
      <c r="BL269" s="836"/>
      <c r="BM269" s="836"/>
      <c r="BN269" s="836"/>
      <c r="BO269" s="836"/>
      <c r="BP269" s="836"/>
      <c r="BR269" s="844" t="str">
        <f>IFERROR(__xludf.DUMMYFUNCTION("""COMPUTED_VALUE"""),"Gultom et al.")</f>
        <v>Gultom et al.</v>
      </c>
      <c r="BS269" s="838" t="str">
        <f>IFERROR(__xludf.DUMMYFUNCTION("""COMPUTED_VALUE"""),"Indonesia")</f>
        <v>Indonesia</v>
      </c>
      <c r="BT269" s="838" t="str">
        <f>IFERROR(__xludf.DUMMYFUNCTION("""COMPUTED_VALUE"""),"Albendazole")</f>
        <v>Albendazole</v>
      </c>
      <c r="BU269" s="838"/>
      <c r="BV269" s="838" t="str">
        <f>IFERROR(__xludf.DUMMYFUNCTION("""COMPUTED_VALUE"""),"Two")</f>
        <v>Two</v>
      </c>
      <c r="BW269" s="838" t="str">
        <f>IFERROR(__xludf.DUMMYFUNCTION("""COMPUTED_VALUE"""),"400 mg")</f>
        <v>400 mg</v>
      </c>
      <c r="BX269" s="838">
        <f>IFERROR(__xludf.DUMMYFUNCTION("""COMPUTED_VALUE"""),65.0)</f>
        <v>65</v>
      </c>
      <c r="BY269" s="838">
        <f>IFERROR(__xludf.DUMMYFUNCTION("""COMPUTED_VALUE"""),8.9)</f>
        <v>8.9</v>
      </c>
      <c r="BZ269" s="838">
        <f>IFERROR(__xludf.DUMMYFUNCTION("""COMPUTED_VALUE"""),2018.0)</f>
        <v>2018</v>
      </c>
      <c r="CA269" s="838"/>
      <c r="CB269" s="838" t="str">
        <f>IFERROR(__xludf.DUMMYFUNCTION("""COMPUTED_VALUE"""),"The inclusion criteria were children aged 6 to 12 years, one or a combination of STH (A. lumbricoides, T. trichiura or hookworms) eggs were found from Kato-Katz methods stool examination and did not consume any anthelmintic for one month before and during"&amp;" the study.")</f>
        <v>The inclusion criteria were children aged 6 to 12 years, one or a combination of STH (A. lumbricoides, T. trichiura or hookworms) eggs were found from Kato-Katz methods stool examination and did not consume any anthelmintic for one month before and during the study.</v>
      </c>
      <c r="CC269" s="838" t="str">
        <f>IFERROR(__xludf.DUMMYFUNCTION("""COMPUTED_VALUE"""),"Yes")</f>
        <v>Yes</v>
      </c>
      <c r="CD269" s="847">
        <f>IFERROR(__xludf.DUMMYFUNCTION("""COMPUTED_VALUE"""),0.886)</f>
        <v>0.886</v>
      </c>
      <c r="CE269" s="838" t="str">
        <f>IFERROR(__xludf.DUMMYFUNCTION("""COMPUTED_VALUE"""),"Yes")</f>
        <v>Yes</v>
      </c>
      <c r="CF269" s="838"/>
      <c r="CG269" s="838"/>
      <c r="CH269" s="838"/>
      <c r="CI269" s="838"/>
      <c r="CJ269" s="838"/>
      <c r="CK269" s="838"/>
      <c r="CL269" s="838"/>
      <c r="CM269" s="847">
        <f>IFERROR(__xludf.DUMMYFUNCTION("""COMPUTED_VALUE"""),0.972)</f>
        <v>0.972</v>
      </c>
      <c r="CN269" s="838"/>
      <c r="CO269" s="838"/>
      <c r="CP269" s="838"/>
      <c r="CQ269" s="838"/>
      <c r="CR269" s="838"/>
      <c r="CS269" s="838" t="str">
        <f>IFERROR(__xludf.DUMMYFUNCTION("""COMPUTED_VALUE"""),"Three and two consecutive days albendazole have better efficacy than single-dose of albendazole for trichuriasis, but not for ascariasis or hookworm infection. Two consecutive days albendazole is better choice for treating trichuriasis with more adherence"&amp;" and less side effect than three consecutive days regimen.")</f>
        <v>Three and two consecutive days albendazole have better efficacy than single-dose of albendazole for trichuriasis, but not for ascariasis or hookworm infection. Two consecutive days albendazole is better choice for treating trichuriasis with more adherence and less side effect than three consecutive days regimen.</v>
      </c>
      <c r="CT269" s="838" t="str">
        <f>IFERROR(__xludf.DUMMYFUNCTION("""COMPUTED_VALUE"""),"Kato-Katz technique")</f>
        <v>Kato-Katz technique</v>
      </c>
      <c r="CU269" s="838"/>
      <c r="CV269" s="697" t="str">
        <f>IFERROR(__xludf.DUMMYFUNCTION("""COMPUTED_VALUE"""),"Gultom DE, Ali M, Pasaribu AP, Pasaribu S. Two or Three Consecutive Days Albendazole Treatment Has Better Efficacy than Single-Dose Albendazole Treatment for Trichuriasis [Internet]. The Indonesian Biomedical Journal. [cited 2021Jan15]. Available from: ht"&amp;"tps://www.inabj.org/index.php/ibj/article/view/920 ")</f>
        <v>Gultom DE, Ali M, Pasaribu AP, Pasaribu S. Two or Three Consecutive Days Albendazole Treatment Has Better Efficacy than Single-Dose Albendazole Treatment for Trichuriasis [Internet]. The Indonesian Biomedical Journal. [cited 2021Jan15]. Available from: https://www.inabj.org/index.php/ibj/article/view/920 </v>
      </c>
    </row>
    <row r="270">
      <c r="A270" s="834"/>
      <c r="B270" s="834"/>
      <c r="C270" s="834"/>
      <c r="D270" s="834"/>
      <c r="E270" s="834"/>
      <c r="F270" s="834"/>
      <c r="G270" s="834"/>
      <c r="H270" s="834"/>
      <c r="I270" s="834"/>
      <c r="J270" s="834"/>
      <c r="K270" s="834"/>
      <c r="L270" s="834"/>
      <c r="M270" s="834"/>
      <c r="N270" s="834"/>
      <c r="O270" s="834"/>
      <c r="P270" s="834"/>
      <c r="Q270" s="834"/>
      <c r="R270" s="834"/>
      <c r="S270" s="834"/>
      <c r="T270" s="834"/>
      <c r="U270" s="834"/>
      <c r="V270" s="834"/>
      <c r="W270" s="834"/>
      <c r="X270" s="834"/>
      <c r="Y270" s="834"/>
      <c r="Z270" s="834"/>
      <c r="AA270" s="834"/>
      <c r="AB270" s="834"/>
      <c r="AC270" s="834"/>
      <c r="AD270" s="834"/>
      <c r="AE270" s="834"/>
      <c r="AF270" s="834"/>
      <c r="AG270" s="834"/>
      <c r="AH270" s="834"/>
      <c r="AJ270" s="836"/>
      <c r="AK270" s="836"/>
      <c r="AL270" s="836"/>
      <c r="AM270" s="836"/>
      <c r="AN270" s="836"/>
      <c r="AO270" s="836"/>
      <c r="AP270" s="836"/>
      <c r="AQ270" s="836"/>
      <c r="AR270" s="836"/>
      <c r="AS270" s="836"/>
      <c r="AT270" s="836"/>
      <c r="AU270" s="836"/>
      <c r="AV270" s="836"/>
      <c r="AW270" s="836"/>
      <c r="AX270" s="836"/>
      <c r="AY270" s="836"/>
      <c r="AZ270" s="836"/>
      <c r="BA270" s="836"/>
      <c r="BB270" s="836"/>
      <c r="BC270" s="836"/>
      <c r="BD270" s="836"/>
      <c r="BE270" s="836"/>
      <c r="BF270" s="836"/>
      <c r="BG270" s="836"/>
      <c r="BH270" s="836"/>
      <c r="BI270" s="836"/>
      <c r="BJ270" s="836"/>
      <c r="BK270" s="836"/>
      <c r="BL270" s="836"/>
      <c r="BM270" s="836"/>
      <c r="BN270" s="836"/>
      <c r="BO270" s="836"/>
      <c r="BP270" s="836"/>
      <c r="BR270" s="844" t="str">
        <f>IFERROR(__xludf.DUMMYFUNCTION("""COMPUTED_VALUE"""),"Gultom et al.")</f>
        <v>Gultom et al.</v>
      </c>
      <c r="BS270" s="838" t="str">
        <f>IFERROR(__xludf.DUMMYFUNCTION("""COMPUTED_VALUE"""),"Indonesia")</f>
        <v>Indonesia</v>
      </c>
      <c r="BT270" s="838" t="str">
        <f>IFERROR(__xludf.DUMMYFUNCTION("""COMPUTED_VALUE"""),"Albendazole")</f>
        <v>Albendazole</v>
      </c>
      <c r="BU270" s="838"/>
      <c r="BV270" s="838" t="str">
        <f>IFERROR(__xludf.DUMMYFUNCTION("""COMPUTED_VALUE"""),"Single")</f>
        <v>Single</v>
      </c>
      <c r="BW270" s="838" t="str">
        <f>IFERROR(__xludf.DUMMYFUNCTION("""COMPUTED_VALUE"""),"400 mg")</f>
        <v>400 mg</v>
      </c>
      <c r="BX270" s="838">
        <f>IFERROR(__xludf.DUMMYFUNCTION("""COMPUTED_VALUE"""),65.0)</f>
        <v>65</v>
      </c>
      <c r="BY270" s="838">
        <f>IFERROR(__xludf.DUMMYFUNCTION("""COMPUTED_VALUE"""),9.2)</f>
        <v>9.2</v>
      </c>
      <c r="BZ270" s="838">
        <f>IFERROR(__xludf.DUMMYFUNCTION("""COMPUTED_VALUE"""),2018.0)</f>
        <v>2018</v>
      </c>
      <c r="CA270" s="838"/>
      <c r="CB270" s="838" t="str">
        <f>IFERROR(__xludf.DUMMYFUNCTION("""COMPUTED_VALUE"""),"The inclusion criteria were children aged 6 to 12 years, one or a combination of STH (A. lumbricoides, T. trichiura or hookworms) eggs were found from Kato-Katz methods stool examination and did not consume any anthelmintic for one month before and during"&amp;" the study.")</f>
        <v>The inclusion criteria were children aged 6 to 12 years, one or a combination of STH (A. lumbricoides, T. trichiura or hookworms) eggs were found from Kato-Katz methods stool examination and did not consume any anthelmintic for one month before and during the study.</v>
      </c>
      <c r="CC270" s="838" t="str">
        <f>IFERROR(__xludf.DUMMYFUNCTION("""COMPUTED_VALUE"""),"Yes")</f>
        <v>Yes</v>
      </c>
      <c r="CD270" s="847">
        <f>IFERROR(__xludf.DUMMYFUNCTION("""COMPUTED_VALUE"""),0.947)</f>
        <v>0.947</v>
      </c>
      <c r="CE270" s="838" t="str">
        <f>IFERROR(__xludf.DUMMYFUNCTION("""COMPUTED_VALUE"""),"Yes")</f>
        <v>Yes</v>
      </c>
      <c r="CF270" s="838"/>
      <c r="CG270" s="838"/>
      <c r="CH270" s="838"/>
      <c r="CI270" s="838"/>
      <c r="CJ270" s="838"/>
      <c r="CK270" s="838"/>
      <c r="CL270" s="838"/>
      <c r="CM270" s="847">
        <f>IFERROR(__xludf.DUMMYFUNCTION("""COMPUTED_VALUE"""),1.0)</f>
        <v>1</v>
      </c>
      <c r="CN270" s="838"/>
      <c r="CO270" s="838"/>
      <c r="CP270" s="838"/>
      <c r="CQ270" s="838"/>
      <c r="CR270" s="838"/>
      <c r="CS270" s="838" t="str">
        <f>IFERROR(__xludf.DUMMYFUNCTION("""COMPUTED_VALUE"""),"Three and two consecutive days albendazole have better efficacy than single-dose of albendazole for trichuriasis, but not for ascariasis or hookworm infection. Two consecutive days albendazole is better choice for treating trichuriasis with more adherence"&amp;" and less side effect than three consecutive days regimen.")</f>
        <v>Three and two consecutive days albendazole have better efficacy than single-dose of albendazole for trichuriasis, but not for ascariasis or hookworm infection. Two consecutive days albendazole is better choice for treating trichuriasis with more adherence and less side effect than three consecutive days regimen.</v>
      </c>
      <c r="CT270" s="838" t="str">
        <f>IFERROR(__xludf.DUMMYFUNCTION("""COMPUTED_VALUE"""),"Kato-Katz technique")</f>
        <v>Kato-Katz technique</v>
      </c>
      <c r="CU270" s="838"/>
      <c r="CV270" s="697" t="str">
        <f>IFERROR(__xludf.DUMMYFUNCTION("""COMPUTED_VALUE"""),"Gultom DE, Ali M, Pasaribu AP, Pasaribu S. Two or Three Consecutive Days Albendazole Treatment Has Better Efficacy than Single-Dose Albendazole Treatment for Trichuriasis [Internet]. The Indonesian Biomedical Journal. [cited 2021Jan15]. Available from: ht"&amp;"tps://www.inabj.org/index.php/ibj/article/view/920 ")</f>
        <v>Gultom DE, Ali M, Pasaribu AP, Pasaribu S. Two or Three Consecutive Days Albendazole Treatment Has Better Efficacy than Single-Dose Albendazole Treatment for Trichuriasis [Internet]. The Indonesian Biomedical Journal. [cited 2021Jan15]. Available from: https://www.inabj.org/index.php/ibj/article/view/920 </v>
      </c>
    </row>
    <row r="271">
      <c r="A271" s="834"/>
      <c r="B271" s="834"/>
      <c r="C271" s="834"/>
      <c r="D271" s="834"/>
      <c r="E271" s="834"/>
      <c r="F271" s="834"/>
      <c r="G271" s="834"/>
      <c r="H271" s="834"/>
      <c r="I271" s="834"/>
      <c r="J271" s="834"/>
      <c r="K271" s="834"/>
      <c r="L271" s="834"/>
      <c r="M271" s="834"/>
      <c r="N271" s="834"/>
      <c r="O271" s="834"/>
      <c r="P271" s="834"/>
      <c r="Q271" s="834"/>
      <c r="R271" s="834"/>
      <c r="S271" s="834"/>
      <c r="T271" s="834"/>
      <c r="U271" s="834"/>
      <c r="V271" s="834"/>
      <c r="W271" s="834"/>
      <c r="X271" s="834"/>
      <c r="Y271" s="834"/>
      <c r="Z271" s="834"/>
      <c r="AA271" s="834"/>
      <c r="AB271" s="834"/>
      <c r="AC271" s="834"/>
      <c r="AD271" s="834"/>
      <c r="AE271" s="834"/>
      <c r="AF271" s="834"/>
      <c r="AG271" s="834"/>
      <c r="AH271" s="834"/>
      <c r="AJ271" s="836"/>
      <c r="AK271" s="836"/>
      <c r="AL271" s="836"/>
      <c r="AM271" s="836"/>
      <c r="AN271" s="836"/>
      <c r="AO271" s="836"/>
      <c r="AP271" s="836"/>
      <c r="AQ271" s="836"/>
      <c r="AR271" s="836"/>
      <c r="AS271" s="836"/>
      <c r="AT271" s="836"/>
      <c r="AU271" s="836"/>
      <c r="AV271" s="836"/>
      <c r="AW271" s="836"/>
      <c r="AX271" s="836"/>
      <c r="AY271" s="836"/>
      <c r="AZ271" s="836"/>
      <c r="BA271" s="836"/>
      <c r="BB271" s="836"/>
      <c r="BC271" s="836"/>
      <c r="BD271" s="836"/>
      <c r="BE271" s="836"/>
      <c r="BF271" s="836"/>
      <c r="BG271" s="836"/>
      <c r="BH271" s="836"/>
      <c r="BI271" s="836"/>
      <c r="BJ271" s="836"/>
      <c r="BK271" s="836"/>
      <c r="BL271" s="836"/>
      <c r="BM271" s="836"/>
      <c r="BN271" s="836"/>
      <c r="BO271" s="836"/>
      <c r="BP271" s="836"/>
      <c r="BR271" s="844" t="str">
        <f>IFERROR(__xludf.DUMMYFUNCTION("""COMPUTED_VALUE"""),"Moser et al.")</f>
        <v>Moser et al.</v>
      </c>
      <c r="BS271" s="838" t="str">
        <f>IFERROR(__xludf.DUMMYFUNCTION("""COMPUTED_VALUE"""),"Laos")</f>
        <v>Laos</v>
      </c>
      <c r="BT271" s="838" t="str">
        <f>IFERROR(__xludf.DUMMYFUNCTION("""COMPUTED_VALUE"""),"Albendazole &amp; Pyrantel Pamoate &amp; Oxantel Pamoate")</f>
        <v>Albendazole &amp; Pyrantel Pamoate &amp; Oxantel Pamoate</v>
      </c>
      <c r="BU271" s="838"/>
      <c r="BV271" s="838" t="str">
        <f>IFERROR(__xludf.DUMMYFUNCTION("""COMPUTED_VALUE"""),"Single")</f>
        <v>Single</v>
      </c>
      <c r="BW271" s="838" t="str">
        <f>IFERROR(__xludf.DUMMYFUNCTION("""COMPUTED_VALUE"""),"400 mg; 20 mg/kg; 20 mg/kg")</f>
        <v>400 mg; 20 mg/kg; 20 mg/kg</v>
      </c>
      <c r="BX271" s="856" t="str">
        <f>IFERROR(__xludf.DUMMYFUNCTION("""COMPUTED_VALUE"""),"22")</f>
        <v>22</v>
      </c>
      <c r="BY271" s="856" t="str">
        <f>IFERROR(__xludf.DUMMYFUNCTION("""COMPUTED_VALUE"""),"12.3")</f>
        <v>12.3</v>
      </c>
      <c r="BZ271" s="856" t="str">
        <f>IFERROR(__xludf.DUMMYFUNCTION("""COMPUTED_VALUE"""),"2017")</f>
        <v>2017</v>
      </c>
      <c r="CA271" s="838"/>
      <c r="CB271" s="838" t="str">
        <f>IFERROR(__xludf.DUMMYFUNCTION("""COMPUTED_VALUE"""),"Children were deemed eligible if they provided two stool samples and were hookworm positive (eggs per gram of stool [EPG] &gt;100), passed a physical and clinical examination, had no chronic illness, had no anthelmintic treatment in the past 4 weeks, and, if"&amp;" female, were not pregnant (≥12 years)")</f>
        <v>Children were deemed eligible if they provided two stool samples and were hookworm positive (eggs per gram of stool [EPG] &gt;100), passed a physical and clinical examination, had no chronic illness, had no anthelmintic treatment in the past 4 weeks, and, if female, were not pregnant (≥12 years)</v>
      </c>
      <c r="CC271" s="856" t="str">
        <f>IFERROR(__xludf.DUMMYFUNCTION("""COMPUTED_VALUE"""),"Yes")</f>
        <v>Yes</v>
      </c>
      <c r="CD271" s="856" t="str">
        <f>IFERROR(__xludf.DUMMYFUNCTION("""COMPUTED_VALUE"""),"90.9%")</f>
        <v>90.9%</v>
      </c>
      <c r="CE271" s="856" t="str">
        <f>IFERROR(__xludf.DUMMYFUNCTION("""COMPUTED_VALUE"""),"Yes")</f>
        <v>Yes</v>
      </c>
      <c r="CF271" s="838"/>
      <c r="CG271" s="838"/>
      <c r="CH271" s="838"/>
      <c r="CI271" s="838"/>
      <c r="CJ271" s="838"/>
      <c r="CK271" s="838"/>
      <c r="CL271" s="838"/>
      <c r="CM271" s="856" t="str">
        <f>IFERROR(__xludf.DUMMYFUNCTION("""COMPUTED_VALUE"""),"99.90%")</f>
        <v>99.90%</v>
      </c>
      <c r="CN271" s="838"/>
      <c r="CO271" s="838"/>
      <c r="CP271" s="838"/>
      <c r="CQ271" s="838"/>
      <c r="CR271" s="838"/>
      <c r="CS271" s="838" t="str">
        <f>IFERROR(__xludf.DUMMYFUNCTION("""COMPUTED_VALUE"""),"TDT with albendazole, pyrantel pamoate, and oxantel pamoate could make a difference, in particular in the context of soil-transmitted helminth elimination. Pyrantel pamoate might be a useful alternative to prevent benzimidazole resistance; however, larger"&amp;" trials are needed to confirm this finding.")</f>
        <v>TDT with albendazole, pyrantel pamoate, and oxantel pamoate could make a difference, in particular in the context of soil-transmitted helminth elimination. Pyrantel pamoate might be a useful alternative to prevent benzimidazole resistance; however, larger trials are needed to confirm this finding.</v>
      </c>
      <c r="CT271" s="838" t="str">
        <f>IFERROR(__xludf.DUMMYFUNCTION("""COMPUTED_VALUE"""),"Kato-Katz technique")</f>
        <v>Kato-Katz technique</v>
      </c>
      <c r="CU271" s="838"/>
      <c r="CV271" s="697" t="str">
        <f>IFERROR(__xludf.DUMMYFUNCTION("""COMPUTED_VALUE"""),"Moser W, Sayasone S, Xayavong S, Bounheuang B, Puchkov M, Huwyler J, et al. Efficacy and tolerability of triple drug therapy with albendazole, pyrantel pamoate, and oxantel pamoate compared with albendazole plus oxantel pamoate, pyrantel pamoate plus oxan"&amp;"tel pamoate, and mebendazole plus pyrantel pamoate and oxantel pamoate against hookworm infections in school-aged children in Laos: a randomised, single-blind trial [Internet]. The Lancet Infectious Diseases. Elsevier; 2018 [cited 2021Jan15]. Available fr"&amp;"om: https://www.sciencedirect.coM:science/article/pii/S1473309918302202 ")</f>
        <v>Moser W, Sayasone S, Xayavong S, Bounheuang B, Puchkov M, Huwyler J, et al. Efficacy and tolerability of triple drug therapy with albendazole, pyrantel pamoate, and oxantel pamoate compared with albendazole plus oxantel pamoate, pyrantel pamoate plus oxantel pamoate, and mebendazole plus pyrantel pamoate and oxantel pamoate against hookworm infections in school-aged children in Laos: a randomised, single-blind trial [Internet]. The Lancet Infectious Diseases. Elsevier; 2018 [cited 2021Jan15]. Available from: https://www.sciencedirect.coM:science/article/pii/S1473309918302202 </v>
      </c>
    </row>
    <row r="272">
      <c r="A272" s="834"/>
      <c r="B272" s="834"/>
      <c r="C272" s="834"/>
      <c r="D272" s="834"/>
      <c r="E272" s="834"/>
      <c r="F272" s="834"/>
      <c r="G272" s="834"/>
      <c r="H272" s="834"/>
      <c r="I272" s="834"/>
      <c r="J272" s="834"/>
      <c r="K272" s="834"/>
      <c r="L272" s="834"/>
      <c r="M272" s="834"/>
      <c r="N272" s="834"/>
      <c r="O272" s="834"/>
      <c r="P272" s="834"/>
      <c r="Q272" s="834"/>
      <c r="R272" s="834"/>
      <c r="S272" s="834"/>
      <c r="T272" s="834"/>
      <c r="U272" s="834"/>
      <c r="V272" s="834"/>
      <c r="W272" s="834"/>
      <c r="X272" s="834"/>
      <c r="Y272" s="834"/>
      <c r="Z272" s="834"/>
      <c r="AA272" s="834"/>
      <c r="AB272" s="834"/>
      <c r="AC272" s="834"/>
      <c r="AD272" s="834"/>
      <c r="AE272" s="834"/>
      <c r="AF272" s="834"/>
      <c r="AG272" s="834"/>
      <c r="AH272" s="834"/>
      <c r="AJ272" s="836"/>
      <c r="AK272" s="836"/>
      <c r="AL272" s="836"/>
      <c r="AM272" s="836"/>
      <c r="AN272" s="836"/>
      <c r="AO272" s="836"/>
      <c r="AP272" s="836"/>
      <c r="AQ272" s="836"/>
      <c r="AR272" s="836"/>
      <c r="AS272" s="836"/>
      <c r="AT272" s="836"/>
      <c r="AU272" s="836"/>
      <c r="AV272" s="836"/>
      <c r="AW272" s="836"/>
      <c r="AX272" s="836"/>
      <c r="AY272" s="836"/>
      <c r="AZ272" s="836"/>
      <c r="BA272" s="836"/>
      <c r="BB272" s="836"/>
      <c r="BC272" s="836"/>
      <c r="BD272" s="836"/>
      <c r="BE272" s="836"/>
      <c r="BF272" s="836"/>
      <c r="BG272" s="836"/>
      <c r="BH272" s="836"/>
      <c r="BI272" s="836"/>
      <c r="BJ272" s="836"/>
      <c r="BK272" s="836"/>
      <c r="BL272" s="836"/>
      <c r="BM272" s="836"/>
      <c r="BN272" s="836"/>
      <c r="BO272" s="836"/>
      <c r="BP272" s="836"/>
      <c r="BR272" s="844" t="str">
        <f>IFERROR(__xludf.DUMMYFUNCTION("""COMPUTED_VALUE"""),"Moser et al.")</f>
        <v>Moser et al.</v>
      </c>
      <c r="BS272" s="838" t="str">
        <f>IFERROR(__xludf.DUMMYFUNCTION("""COMPUTED_VALUE"""),"Laos")</f>
        <v>Laos</v>
      </c>
      <c r="BT272" s="838" t="str">
        <f>IFERROR(__xludf.DUMMYFUNCTION("""COMPUTED_VALUE"""),"Albendazole &amp; Oxantel Pamoate")</f>
        <v>Albendazole &amp; Oxantel Pamoate</v>
      </c>
      <c r="BU272" s="838"/>
      <c r="BV272" s="838" t="str">
        <f>IFERROR(__xludf.DUMMYFUNCTION("""COMPUTED_VALUE"""),"Single")</f>
        <v>Single</v>
      </c>
      <c r="BW272" s="838" t="str">
        <f>IFERROR(__xludf.DUMMYFUNCTION("""COMPUTED_VALUE"""),"400 mg; 20 mg/kg")</f>
        <v>400 mg; 20 mg/kg</v>
      </c>
      <c r="BX272" s="856" t="str">
        <f>IFERROR(__xludf.DUMMYFUNCTION("""COMPUTED_VALUE"""),"24")</f>
        <v>24</v>
      </c>
      <c r="BY272" s="856" t="str">
        <f>IFERROR(__xludf.DUMMYFUNCTION("""COMPUTED_VALUE"""),"12.4")</f>
        <v>12.4</v>
      </c>
      <c r="BZ272" s="856" t="str">
        <f>IFERROR(__xludf.DUMMYFUNCTION("""COMPUTED_VALUE"""),"2017")</f>
        <v>2017</v>
      </c>
      <c r="CA272" s="838"/>
      <c r="CB272" s="838" t="str">
        <f>IFERROR(__xludf.DUMMYFUNCTION("""COMPUTED_VALUE"""),"Children were deemed eligible if they provided two stool samples and were hookworm positive (eggs per gram of stool [EPG] &gt;100), passed a physical and clinical examination, had no chronic illness, had no anthelmintic treatment in the past 4 weeks, and, if"&amp;" female, were not pregnant (≥12 years)")</f>
        <v>Children were deemed eligible if they provided two stool samples and were hookworm positive (eggs per gram of stool [EPG] &gt;100), passed a physical and clinical examination, had no chronic illness, had no anthelmintic treatment in the past 4 weeks, and, if female, were not pregnant (≥12 years)</v>
      </c>
      <c r="CC272" s="856" t="str">
        <f>IFERROR(__xludf.DUMMYFUNCTION("""COMPUTED_VALUE"""),"Yes")</f>
        <v>Yes</v>
      </c>
      <c r="CD272" s="856" t="str">
        <f>IFERROR(__xludf.DUMMYFUNCTION("""COMPUTED_VALUE"""),"95.8%")</f>
        <v>95.8%</v>
      </c>
      <c r="CE272" s="856" t="str">
        <f>IFERROR(__xludf.DUMMYFUNCTION("""COMPUTED_VALUE"""),"Yes")</f>
        <v>Yes</v>
      </c>
      <c r="CF272" s="838"/>
      <c r="CG272" s="838"/>
      <c r="CH272" s="838"/>
      <c r="CI272" s="838"/>
      <c r="CJ272" s="838"/>
      <c r="CK272" s="838"/>
      <c r="CL272" s="838"/>
      <c r="CM272" s="856" t="str">
        <f>IFERROR(__xludf.DUMMYFUNCTION("""COMPUTED_VALUE"""),"99.90%")</f>
        <v>99.90%</v>
      </c>
      <c r="CN272" s="838"/>
      <c r="CO272" s="838"/>
      <c r="CP272" s="838"/>
      <c r="CQ272" s="838"/>
      <c r="CR272" s="838"/>
      <c r="CS272" s="838" t="str">
        <f>IFERROR(__xludf.DUMMYFUNCTION("""COMPUTED_VALUE"""),"TDT with albendazole, pyrantel pamoate, and oxantel pamoate could make a difference, in particular in the context of soil-transmitted helminth elimination. Pyrantel pamoate might be a useful alternative to prevent benzimidazole resistance; however, larger"&amp;" trials are needed to confirm this finding.")</f>
        <v>TDT with albendazole, pyrantel pamoate, and oxantel pamoate could make a difference, in particular in the context of soil-transmitted helminth elimination. Pyrantel pamoate might be a useful alternative to prevent benzimidazole resistance; however, larger trials are needed to confirm this finding.</v>
      </c>
      <c r="CT272" s="838" t="str">
        <f>IFERROR(__xludf.DUMMYFUNCTION("""COMPUTED_VALUE"""),"Kato-Katz technique")</f>
        <v>Kato-Katz technique</v>
      </c>
      <c r="CU272" s="838"/>
      <c r="CV272" s="697" t="str">
        <f>IFERROR(__xludf.DUMMYFUNCTION("""COMPUTED_VALUE"""),"Moser W, Sayasone S, Xayavong S, Bounheuang B, Puchkov M, Huwyler J, et al. Efficacy and tolerability of triple drug therapy with albendazole, pyrantel pamoate, and oxantel pamoate compared with albendazole plus oxantel pamoate, pyrantel pamoate plus oxan"&amp;"tel pamoate, and mebendazole plus pyrantel pamoate and oxantel pamoate against hookworm infections in school-aged children in Laos: a randomised, single-blind trial [Internet]. The Lancet Infectious Diseases. Elsevier; 2018 [cited 2021Jan15]. Available fr"&amp;"om: https://www.sciencedirect.coM:science/article/pii/S1473309918302202 ")</f>
        <v>Moser W, Sayasone S, Xayavong S, Bounheuang B, Puchkov M, Huwyler J, et al. Efficacy and tolerability of triple drug therapy with albendazole, pyrantel pamoate, and oxantel pamoate compared with albendazole plus oxantel pamoate, pyrantel pamoate plus oxantel pamoate, and mebendazole plus pyrantel pamoate and oxantel pamoate against hookworm infections in school-aged children in Laos: a randomised, single-blind trial [Internet]. The Lancet Infectious Diseases. Elsevier; 2018 [cited 2021Jan15]. Available from: https://www.sciencedirect.coM:science/article/pii/S1473309918302202 </v>
      </c>
    </row>
    <row r="273">
      <c r="A273" s="834"/>
      <c r="B273" s="834"/>
      <c r="C273" s="834"/>
      <c r="D273" s="834"/>
      <c r="E273" s="834"/>
      <c r="F273" s="834"/>
      <c r="G273" s="834"/>
      <c r="H273" s="834"/>
      <c r="I273" s="834"/>
      <c r="J273" s="834"/>
      <c r="K273" s="834"/>
      <c r="L273" s="834"/>
      <c r="M273" s="834"/>
      <c r="N273" s="834"/>
      <c r="O273" s="834"/>
      <c r="P273" s="834"/>
      <c r="Q273" s="834"/>
      <c r="R273" s="834"/>
      <c r="S273" s="834"/>
      <c r="T273" s="834"/>
      <c r="U273" s="834"/>
      <c r="V273" s="834"/>
      <c r="W273" s="834"/>
      <c r="X273" s="834"/>
      <c r="Y273" s="834"/>
      <c r="Z273" s="834"/>
      <c r="AA273" s="834"/>
      <c r="AB273" s="834"/>
      <c r="AC273" s="834"/>
      <c r="AD273" s="834"/>
      <c r="AE273" s="834"/>
      <c r="AF273" s="834"/>
      <c r="AG273" s="834"/>
      <c r="AH273" s="834"/>
      <c r="AJ273" s="836"/>
      <c r="AK273" s="836"/>
      <c r="AL273" s="836"/>
      <c r="AM273" s="836"/>
      <c r="AN273" s="836"/>
      <c r="AO273" s="836"/>
      <c r="AP273" s="836"/>
      <c r="AQ273" s="836"/>
      <c r="AR273" s="836"/>
      <c r="AS273" s="836"/>
      <c r="AT273" s="836"/>
      <c r="AU273" s="836"/>
      <c r="AV273" s="836"/>
      <c r="AW273" s="836"/>
      <c r="AX273" s="836"/>
      <c r="AY273" s="836"/>
      <c r="AZ273" s="836"/>
      <c r="BA273" s="836"/>
      <c r="BB273" s="836"/>
      <c r="BC273" s="836"/>
      <c r="BD273" s="836"/>
      <c r="BE273" s="836"/>
      <c r="BF273" s="836"/>
      <c r="BG273" s="836"/>
      <c r="BH273" s="836"/>
      <c r="BI273" s="836"/>
      <c r="BJ273" s="836"/>
      <c r="BK273" s="836"/>
      <c r="BL273" s="836"/>
      <c r="BM273" s="836"/>
      <c r="BN273" s="836"/>
      <c r="BO273" s="836"/>
      <c r="BP273" s="836"/>
      <c r="BR273" s="844" t="str">
        <f>IFERROR(__xludf.DUMMYFUNCTION("""COMPUTED_VALUE"""),"Moser et al.")</f>
        <v>Moser et al.</v>
      </c>
      <c r="BS273" s="838" t="str">
        <f>IFERROR(__xludf.DUMMYFUNCTION("""COMPUTED_VALUE"""),"Laos")</f>
        <v>Laos</v>
      </c>
      <c r="BT273" s="838" t="str">
        <f>IFERROR(__xludf.DUMMYFUNCTION("""COMPUTED_VALUE"""),"Pyrantel Pamoate &amp; Oxantel Pamoate")</f>
        <v>Pyrantel Pamoate &amp; Oxantel Pamoate</v>
      </c>
      <c r="BU273" s="838"/>
      <c r="BV273" s="838" t="str">
        <f>IFERROR(__xludf.DUMMYFUNCTION("""COMPUTED_VALUE"""),"Single")</f>
        <v>Single</v>
      </c>
      <c r="BW273" s="838" t="str">
        <f>IFERROR(__xludf.DUMMYFUNCTION("""COMPUTED_VALUE"""),"20 mg/kg; 20 mg/kg ")</f>
        <v>20 mg/kg; 20 mg/kg </v>
      </c>
      <c r="BX273" s="856" t="str">
        <f>IFERROR(__xludf.DUMMYFUNCTION("""COMPUTED_VALUE"""),"13")</f>
        <v>13</v>
      </c>
      <c r="BY273" s="856" t="str">
        <f>IFERROR(__xludf.DUMMYFUNCTION("""COMPUTED_VALUE"""),"12.4")</f>
        <v>12.4</v>
      </c>
      <c r="BZ273" s="856" t="str">
        <f>IFERROR(__xludf.DUMMYFUNCTION("""COMPUTED_VALUE"""),"2017")</f>
        <v>2017</v>
      </c>
      <c r="CA273" s="838"/>
      <c r="CB273" s="838" t="str">
        <f>IFERROR(__xludf.DUMMYFUNCTION("""COMPUTED_VALUE"""),"Children were deemed eligible if they provided two stool samples and were hookworm positive (eggs per gram of stool [EPG] &gt;100), passed a physical and clinical examination, had no chronic illness, had no anthelmintic treatment in the past 4 weeks, and, if"&amp;" female, were not pregnant (≥12 years)")</f>
        <v>Children were deemed eligible if they provided two stool samples and were hookworm positive (eggs per gram of stool [EPG] &gt;100), passed a physical and clinical examination, had no chronic illness, had no anthelmintic treatment in the past 4 weeks, and, if female, were not pregnant (≥12 years)</v>
      </c>
      <c r="CC273" s="856" t="str">
        <f>IFERROR(__xludf.DUMMYFUNCTION("""COMPUTED_VALUE"""),"Yes")</f>
        <v>Yes</v>
      </c>
      <c r="CD273" s="856" t="str">
        <f>IFERROR(__xludf.DUMMYFUNCTION("""COMPUTED_VALUE"""),"100.00%")</f>
        <v>100.00%</v>
      </c>
      <c r="CE273" s="856" t="str">
        <f>IFERROR(__xludf.DUMMYFUNCTION("""COMPUTED_VALUE"""),"Yes")</f>
        <v>Yes</v>
      </c>
      <c r="CF273" s="838"/>
      <c r="CG273" s="838"/>
      <c r="CH273" s="838"/>
      <c r="CI273" s="838"/>
      <c r="CJ273" s="838"/>
      <c r="CK273" s="838"/>
      <c r="CL273" s="838"/>
      <c r="CM273" s="856" t="str">
        <f>IFERROR(__xludf.DUMMYFUNCTION("""COMPUTED_VALUE"""),"100.00%")</f>
        <v>100.00%</v>
      </c>
      <c r="CN273" s="838"/>
      <c r="CO273" s="838"/>
      <c r="CP273" s="838"/>
      <c r="CQ273" s="838"/>
      <c r="CR273" s="838"/>
      <c r="CS273" s="838" t="str">
        <f>IFERROR(__xludf.DUMMYFUNCTION("""COMPUTED_VALUE"""),"TDT with albendazole, pyrantel pamoate, and oxantel pamoate could make a difference, in particular in the context of soil-transmitted helminth elimination. Pyrantel pamoate might be a useful alternative to prevent benzimidazole resistance; however, larger"&amp;" trials are needed to confirm this finding.")</f>
        <v>TDT with albendazole, pyrantel pamoate, and oxantel pamoate could make a difference, in particular in the context of soil-transmitted helminth elimination. Pyrantel pamoate might be a useful alternative to prevent benzimidazole resistance; however, larger trials are needed to confirm this finding.</v>
      </c>
      <c r="CT273" s="838" t="str">
        <f>IFERROR(__xludf.DUMMYFUNCTION("""COMPUTED_VALUE"""),"Kato-Katz technique")</f>
        <v>Kato-Katz technique</v>
      </c>
      <c r="CU273" s="838"/>
      <c r="CV273" s="697" t="str">
        <f>IFERROR(__xludf.DUMMYFUNCTION("""COMPUTED_VALUE"""),"Moser W, Sayasone S, Xayavong S, Bounheuang B, Puchkov M, Huwyler J, et al. Efficacy and tolerability of triple drug therapy with albendazole, pyrantel pamoate, and oxantel pamoate compared with albendazole plus oxantel pamoate, pyrantel pamoate plus oxan"&amp;"tel pamoate, and mebendazole plus pyrantel pamoate and oxantel pamoate against hookworm infections in school-aged children in Laos: a randomised, single-blind trial [Internet]. The Lancet Infectious Diseases. Elsevier; 2018 [cited 2021Jan15]. Available fr"&amp;"om: https://www.sciencedirect.coM:science/article/pii/S1473309918302202 ")</f>
        <v>Moser W, Sayasone S, Xayavong S, Bounheuang B, Puchkov M, Huwyler J, et al. Efficacy and tolerability of triple drug therapy with albendazole, pyrantel pamoate, and oxantel pamoate compared with albendazole plus oxantel pamoate, pyrantel pamoate plus oxantel pamoate, and mebendazole plus pyrantel pamoate and oxantel pamoate against hookworm infections in school-aged children in Laos: a randomised, single-blind trial [Internet]. The Lancet Infectious Diseases. Elsevier; 2018 [cited 2021Jan15]. Available from: https://www.sciencedirect.coM:science/article/pii/S1473309918302202 </v>
      </c>
    </row>
    <row r="274">
      <c r="A274" s="834"/>
      <c r="B274" s="834"/>
      <c r="C274" s="834"/>
      <c r="D274" s="834"/>
      <c r="E274" s="834"/>
      <c r="F274" s="834"/>
      <c r="G274" s="834"/>
      <c r="H274" s="834"/>
      <c r="I274" s="834"/>
      <c r="J274" s="834"/>
      <c r="K274" s="834"/>
      <c r="L274" s="834"/>
      <c r="M274" s="834"/>
      <c r="N274" s="834"/>
      <c r="O274" s="834"/>
      <c r="P274" s="834"/>
      <c r="Q274" s="834"/>
      <c r="R274" s="834"/>
      <c r="S274" s="834"/>
      <c r="T274" s="834"/>
      <c r="U274" s="834"/>
      <c r="V274" s="834"/>
      <c r="W274" s="834"/>
      <c r="X274" s="834"/>
      <c r="Y274" s="834"/>
      <c r="Z274" s="834"/>
      <c r="AA274" s="834"/>
      <c r="AB274" s="834"/>
      <c r="AC274" s="834"/>
      <c r="AD274" s="834"/>
      <c r="AE274" s="834"/>
      <c r="AF274" s="834"/>
      <c r="AG274" s="834"/>
      <c r="AH274" s="834"/>
      <c r="AJ274" s="836"/>
      <c r="AK274" s="836"/>
      <c r="AL274" s="836"/>
      <c r="AM274" s="836"/>
      <c r="AN274" s="836"/>
      <c r="AO274" s="836"/>
      <c r="AP274" s="836"/>
      <c r="AQ274" s="836"/>
      <c r="AR274" s="836"/>
      <c r="AS274" s="836"/>
      <c r="AT274" s="836"/>
      <c r="AU274" s="836"/>
      <c r="AV274" s="836"/>
      <c r="AW274" s="836"/>
      <c r="AX274" s="836"/>
      <c r="AY274" s="836"/>
      <c r="AZ274" s="836"/>
      <c r="BA274" s="836"/>
      <c r="BB274" s="836"/>
      <c r="BC274" s="836"/>
      <c r="BD274" s="836"/>
      <c r="BE274" s="836"/>
      <c r="BF274" s="836"/>
      <c r="BG274" s="836"/>
      <c r="BH274" s="836"/>
      <c r="BI274" s="836"/>
      <c r="BJ274" s="836"/>
      <c r="BK274" s="836"/>
      <c r="BL274" s="836"/>
      <c r="BM274" s="836"/>
      <c r="BN274" s="836"/>
      <c r="BO274" s="836"/>
      <c r="BP274" s="836"/>
      <c r="BR274" s="844" t="str">
        <f>IFERROR(__xludf.DUMMYFUNCTION("""COMPUTED_VALUE"""),"Moser et al.")</f>
        <v>Moser et al.</v>
      </c>
      <c r="BS274" s="838" t="str">
        <f>IFERROR(__xludf.DUMMYFUNCTION("""COMPUTED_VALUE"""),"Laos")</f>
        <v>Laos</v>
      </c>
      <c r="BT274" s="838" t="str">
        <f>IFERROR(__xludf.DUMMYFUNCTION("""COMPUTED_VALUE"""),"Mebendazole &amp; Pyrantel Pamoate &amp; Oxantel Pamoate")</f>
        <v>Mebendazole &amp; Pyrantel Pamoate &amp; Oxantel Pamoate</v>
      </c>
      <c r="BU274" s="838"/>
      <c r="BV274" s="838" t="str">
        <f>IFERROR(__xludf.DUMMYFUNCTION("""COMPUTED_VALUE"""),"Single")</f>
        <v>Single</v>
      </c>
      <c r="BW274" s="838" t="str">
        <f>IFERROR(__xludf.DUMMYFUNCTION("""COMPUTED_VALUE"""),"500 mg; 20 mg/kg; 20 mg/kg")</f>
        <v>500 mg; 20 mg/kg; 20 mg/kg</v>
      </c>
      <c r="BX274" s="856" t="str">
        <f>IFERROR(__xludf.DUMMYFUNCTION("""COMPUTED_VALUE"""),"15")</f>
        <v>15</v>
      </c>
      <c r="BY274" s="856" t="str">
        <f>IFERROR(__xludf.DUMMYFUNCTION("""COMPUTED_VALUE"""),"12.2")</f>
        <v>12.2</v>
      </c>
      <c r="BZ274" s="856" t="str">
        <f>IFERROR(__xludf.DUMMYFUNCTION("""COMPUTED_VALUE"""),"2017")</f>
        <v>2017</v>
      </c>
      <c r="CA274" s="838"/>
      <c r="CB274" s="838" t="str">
        <f>IFERROR(__xludf.DUMMYFUNCTION("""COMPUTED_VALUE"""),"Children were deemed eligible if they provided two stool samples and were hookworm positive (eggs per gram of stool [EPG] &gt;100), passed a physical and clinical examination, had no chronic illness, had no anthelmintic treatment in the past 4 weeks, and, if"&amp;" female, were not pregnant (≥12 years)")</f>
        <v>Children were deemed eligible if they provided two stool samples and were hookworm positive (eggs per gram of stool [EPG] &gt;100), passed a physical and clinical examination, had no chronic illness, had no anthelmintic treatment in the past 4 weeks, and, if female, were not pregnant (≥12 years)</v>
      </c>
      <c r="CC274" s="856" t="str">
        <f>IFERROR(__xludf.DUMMYFUNCTION("""COMPUTED_VALUE"""),"Yes")</f>
        <v>Yes</v>
      </c>
      <c r="CD274" s="856" t="str">
        <f>IFERROR(__xludf.DUMMYFUNCTION("""COMPUTED_VALUE"""),"100.00%")</f>
        <v>100.00%</v>
      </c>
      <c r="CE274" s="856" t="str">
        <f>IFERROR(__xludf.DUMMYFUNCTION("""COMPUTED_VALUE"""),"Yes")</f>
        <v>Yes</v>
      </c>
      <c r="CF274" s="838"/>
      <c r="CG274" s="838"/>
      <c r="CH274" s="838"/>
      <c r="CI274" s="838"/>
      <c r="CJ274" s="838"/>
      <c r="CK274" s="838"/>
      <c r="CL274" s="838"/>
      <c r="CM274" s="856" t="str">
        <f>IFERROR(__xludf.DUMMYFUNCTION("""COMPUTED_VALUE"""),"100.00%")</f>
        <v>100.00%</v>
      </c>
      <c r="CN274" s="838"/>
      <c r="CO274" s="838"/>
      <c r="CP274" s="838"/>
      <c r="CQ274" s="838"/>
      <c r="CR274" s="838"/>
      <c r="CS274" s="838" t="str">
        <f>IFERROR(__xludf.DUMMYFUNCTION("""COMPUTED_VALUE"""),"TDT with albendazole, pyrantel pamoate, and oxantel pamoate could make a difference, in particular in the context of soil-transmitted helminth elimination. Pyrantel pamoate might be a useful alternative to prevent benzimidazole resistance; however, larger"&amp;" trials are needed to confirm this finding.")</f>
        <v>TDT with albendazole, pyrantel pamoate, and oxantel pamoate could make a difference, in particular in the context of soil-transmitted helminth elimination. Pyrantel pamoate might be a useful alternative to prevent benzimidazole resistance; however, larger trials are needed to confirm this finding.</v>
      </c>
      <c r="CT274" s="838" t="str">
        <f>IFERROR(__xludf.DUMMYFUNCTION("""COMPUTED_VALUE"""),"Kato-Katz technique")</f>
        <v>Kato-Katz technique</v>
      </c>
      <c r="CU274" s="838"/>
      <c r="CV274" s="697" t="str">
        <f>IFERROR(__xludf.DUMMYFUNCTION("""COMPUTED_VALUE"""),"Moser W, Sayasone S, Xayavong S, Bounheuang B, Puchkov M, Huwyler J, et al. Efficacy and tolerability of triple drug therapy with albendazole, pyrantel pamoate, and oxantel pamoate compared with albendazole plus oxantel pamoate, pyrantel pamoate plus oxan"&amp;"tel pamoate, and mebendazole plus pyrantel pamoate and oxantel pamoate against hookworm infections in school-aged children in Laos: a randomised, single-blind trial [Internet]. The Lancet Infectious Diseases. Elsevier; 2018 [cited 2021Jan15]. Available fr"&amp;"om: https://www.sciencedirect.coM:science/article/pii/S1473309918302202 ")</f>
        <v>Moser W, Sayasone S, Xayavong S, Bounheuang B, Puchkov M, Huwyler J, et al. Efficacy and tolerability of triple drug therapy with albendazole, pyrantel pamoate, and oxantel pamoate compared with albendazole plus oxantel pamoate, pyrantel pamoate plus oxantel pamoate, and mebendazole plus pyrantel pamoate and oxantel pamoate against hookworm infections in school-aged children in Laos: a randomised, single-blind trial [Internet]. The Lancet Infectious Diseases. Elsevier; 2018 [cited 2021Jan15]. Available from: https://www.sciencedirect.coM:science/article/pii/S1473309918302202 </v>
      </c>
    </row>
    <row r="275">
      <c r="A275" s="834"/>
      <c r="B275" s="834"/>
      <c r="C275" s="834"/>
      <c r="D275" s="834"/>
      <c r="E275" s="834"/>
      <c r="F275" s="834"/>
      <c r="G275" s="834"/>
      <c r="H275" s="834"/>
      <c r="I275" s="834"/>
      <c r="J275" s="834"/>
      <c r="K275" s="834"/>
      <c r="L275" s="834"/>
      <c r="M275" s="834"/>
      <c r="N275" s="834"/>
      <c r="O275" s="834"/>
      <c r="P275" s="834"/>
      <c r="Q275" s="834"/>
      <c r="R275" s="834"/>
      <c r="S275" s="834"/>
      <c r="T275" s="834"/>
      <c r="U275" s="834"/>
      <c r="V275" s="834"/>
      <c r="W275" s="834"/>
      <c r="X275" s="834"/>
      <c r="Y275" s="834"/>
      <c r="Z275" s="834"/>
      <c r="AA275" s="834"/>
      <c r="AB275" s="834"/>
      <c r="AC275" s="834"/>
      <c r="AD275" s="834"/>
      <c r="AE275" s="834"/>
      <c r="AF275" s="834"/>
      <c r="AG275" s="834"/>
      <c r="AH275" s="834"/>
      <c r="AJ275" s="836"/>
      <c r="AK275" s="836"/>
      <c r="AL275" s="836"/>
      <c r="AM275" s="836"/>
      <c r="AN275" s="836"/>
      <c r="AO275" s="836"/>
      <c r="AP275" s="836"/>
      <c r="AQ275" s="836"/>
      <c r="AR275" s="836"/>
      <c r="AS275" s="836"/>
      <c r="AT275" s="836"/>
      <c r="AU275" s="836"/>
      <c r="AV275" s="836"/>
      <c r="AW275" s="836"/>
      <c r="AX275" s="836"/>
      <c r="AY275" s="836"/>
      <c r="AZ275" s="836"/>
      <c r="BA275" s="836"/>
      <c r="BB275" s="836"/>
      <c r="BC275" s="836"/>
      <c r="BD275" s="836"/>
      <c r="BE275" s="836"/>
      <c r="BF275" s="836"/>
      <c r="BG275" s="836"/>
      <c r="BH275" s="836"/>
      <c r="BI275" s="836"/>
      <c r="BJ275" s="836"/>
      <c r="BK275" s="836"/>
      <c r="BL275" s="836"/>
      <c r="BM275" s="836"/>
      <c r="BN275" s="836"/>
      <c r="BO275" s="836"/>
      <c r="BP275" s="836"/>
      <c r="BR275" s="844" t="str">
        <f>IFERROR(__xludf.DUMMYFUNCTION("""COMPUTED_VALUE"""),"Speich et al.")</f>
        <v>Speich et al.</v>
      </c>
      <c r="BS275" s="838" t="str">
        <f>IFERROR(__xludf.DUMMYFUNCTION("""COMPUTED_VALUE"""),"Tanziana")</f>
        <v>Tanziana</v>
      </c>
      <c r="BT275" s="838" t="str">
        <f>IFERROR(__xludf.DUMMYFUNCTION("""COMPUTED_VALUE"""),"Oxantel Pamoate &amp; Albendazole")</f>
        <v>Oxantel Pamoate &amp; Albendazole</v>
      </c>
      <c r="BU275" s="838"/>
      <c r="BV275" s="838" t="str">
        <f>IFERROR(__xludf.DUMMYFUNCTION("""COMPUTED_VALUE"""),"Single")</f>
        <v>Single</v>
      </c>
      <c r="BW275" s="838" t="str">
        <f>IFERROR(__xludf.DUMMYFUNCTION("""COMPUTED_VALUE"""),"20 mg/kg; 400 mg")</f>
        <v>20 mg/kg; 400 mg</v>
      </c>
      <c r="BX275" s="856" t="str">
        <f>IFERROR(__xludf.DUMMYFUNCTION("""COMPUTED_VALUE"""),"119")</f>
        <v>119</v>
      </c>
      <c r="BY275" s="856" t="str">
        <f>IFERROR(__xludf.DUMMYFUNCTION("""COMPUTED_VALUE"""),"9.6")</f>
        <v>9.6</v>
      </c>
      <c r="BZ275" s="856" t="str">
        <f>IFERROR(__xludf.DUMMYFUNCTION("""COMPUTED_VALUE"""),"2012")</f>
        <v>2012</v>
      </c>
      <c r="CA275" s="856" t="str">
        <f>IFERROR(__xludf.DUMMYFUNCTION("""COMPUTED_VALUE"""),"61M:58F")</f>
        <v>61M:58F</v>
      </c>
      <c r="CB275" s="838" t="str">
        <f>IFERROR(__xludf.DUMMYFUNCTION("""COMPUTED_VALUE"""),"Children from 6 to 14 years of age provided two stool samples and children positive for roundworm were considered eligible for inclusion. Additionally, the researchers were required to obtain written informed consent from all the parents ro guardians adn "&amp;"all the children must provide verbal assent")</f>
        <v>Children from 6 to 14 years of age provided two stool samples and children positive for roundworm were considered eligible for inclusion. Additionally, the researchers were required to obtain written informed consent from all the parents ro guardians adn all the children must provide verbal assent</v>
      </c>
      <c r="CC275" s="856" t="str">
        <f>IFERROR(__xludf.DUMMYFUNCTION("""COMPUTED_VALUE"""),"Yes")</f>
        <v>Yes</v>
      </c>
      <c r="CD275" s="856" t="str">
        <f>IFERROR(__xludf.DUMMYFUNCTION("""COMPUTED_VALUE"""),"94.40%")</f>
        <v>94.40%</v>
      </c>
      <c r="CE275" s="856" t="str">
        <f>IFERROR(__xludf.DUMMYFUNCTION("""COMPUTED_VALUE"""),"Yes")</f>
        <v>Yes</v>
      </c>
      <c r="CF275" s="838"/>
      <c r="CG275" s="838"/>
      <c r="CH275" s="838"/>
      <c r="CI275" s="838"/>
      <c r="CJ275" s="838"/>
      <c r="CK275" s="838"/>
      <c r="CL275" s="838"/>
      <c r="CM275" s="856" t="str">
        <f>IFERROR(__xludf.DUMMYFUNCTION("""COMPUTED_VALUE"""),"99.98%")</f>
        <v>99.98%</v>
      </c>
      <c r="CN275" s="838"/>
      <c r="CO275" s="838"/>
      <c r="CP275" s="838"/>
      <c r="CQ275" s="838"/>
      <c r="CR275" s="838"/>
      <c r="CS275" s="838" t="str">
        <f>IFERROR(__xludf.DUMMYFUNCTION("""COMPUTED_VALUE"""),"The combination of oxantel pamoate and albendazole had a significantly higher efficacy compared to just oxantel pamoate. Hence, Oxantel pamoate with the combination of albendazole could be useful in the global stratefy for the control of soil-transmitted "&amp;"helminthiasis")</f>
        <v>The combination of oxantel pamoate and albendazole had a significantly higher efficacy compared to just oxantel pamoate. Hence, Oxantel pamoate with the combination of albendazole could be useful in the global stratefy for the control of soil-transmitted helminthiasis</v>
      </c>
      <c r="CT275" s="838" t="str">
        <f>IFERROR(__xludf.DUMMYFUNCTION("""COMPUTED_VALUE"""),"Kato-Katz technique")</f>
        <v>Kato-Katz technique</v>
      </c>
      <c r="CU275" s="838"/>
      <c r="CV275" s="697" t="str">
        <f>IFERROR(__xludf.DUMMYFUNCTION("""COMPUTED_VALUE"""),"Speich B, Ame SM, Ali SM, Alles R, Huwyler J, Hattendorf J, Utzinger J, Albonico M, Keiser J. Oxantel pamoate-albendazole for Trichuris trichiura infection. N Engl J Med. 2014 Feb 13;370(7):610-20. doi: 10.1056/NEJMoa1301956. PMID: 24521107.")</f>
        <v>Speich B, Ame SM, Ali SM, Alles R, Huwyler J, Hattendorf J, Utzinger J, Albonico M, Keiser J. Oxantel pamoate-albendazole for Trichuris trichiura infection. N Engl J Med. 2014 Feb 13;370(7):610-20. doi: 10.1056/NEJMoa1301956. PMID: 24521107.</v>
      </c>
    </row>
    <row r="276">
      <c r="A276" s="834"/>
      <c r="B276" s="834"/>
      <c r="C276" s="834"/>
      <c r="D276" s="834"/>
      <c r="E276" s="834"/>
      <c r="F276" s="834"/>
      <c r="G276" s="834"/>
      <c r="H276" s="834"/>
      <c r="I276" s="834"/>
      <c r="J276" s="834"/>
      <c r="K276" s="834"/>
      <c r="L276" s="834"/>
      <c r="M276" s="834"/>
      <c r="N276" s="834"/>
      <c r="O276" s="834"/>
      <c r="P276" s="834"/>
      <c r="Q276" s="834"/>
      <c r="R276" s="834"/>
      <c r="S276" s="834"/>
      <c r="T276" s="834"/>
      <c r="U276" s="834"/>
      <c r="V276" s="834"/>
      <c r="W276" s="834"/>
      <c r="X276" s="834"/>
      <c r="Y276" s="834"/>
      <c r="Z276" s="834"/>
      <c r="AA276" s="834"/>
      <c r="AB276" s="834"/>
      <c r="AC276" s="834"/>
      <c r="AD276" s="834"/>
      <c r="AE276" s="834"/>
      <c r="AF276" s="834"/>
      <c r="AG276" s="834"/>
      <c r="AH276" s="834"/>
      <c r="AJ276" s="836"/>
      <c r="AK276" s="836"/>
      <c r="AL276" s="836"/>
      <c r="AM276" s="836"/>
      <c r="AN276" s="836"/>
      <c r="AO276" s="836"/>
      <c r="AP276" s="836"/>
      <c r="AQ276" s="836"/>
      <c r="AR276" s="836"/>
      <c r="AS276" s="836"/>
      <c r="AT276" s="836"/>
      <c r="AU276" s="836"/>
      <c r="AV276" s="836"/>
      <c r="AW276" s="836"/>
      <c r="AX276" s="836"/>
      <c r="AY276" s="836"/>
      <c r="AZ276" s="836"/>
      <c r="BA276" s="836"/>
      <c r="BB276" s="836"/>
      <c r="BC276" s="836"/>
      <c r="BD276" s="836"/>
      <c r="BE276" s="836"/>
      <c r="BF276" s="836"/>
      <c r="BG276" s="836"/>
      <c r="BH276" s="836"/>
      <c r="BI276" s="836"/>
      <c r="BJ276" s="836"/>
      <c r="BK276" s="836"/>
      <c r="BL276" s="836"/>
      <c r="BM276" s="836"/>
      <c r="BN276" s="836"/>
      <c r="BO276" s="836"/>
      <c r="BP276" s="836"/>
      <c r="BR276" s="844" t="str">
        <f>IFERROR(__xludf.DUMMYFUNCTION("""COMPUTED_VALUE"""),"Speich et al.")</f>
        <v>Speich et al.</v>
      </c>
      <c r="BS276" s="838" t="str">
        <f>IFERROR(__xludf.DUMMYFUNCTION("""COMPUTED_VALUE"""),"Tanziana")</f>
        <v>Tanziana</v>
      </c>
      <c r="BT276" s="838" t="str">
        <f>IFERROR(__xludf.DUMMYFUNCTION("""COMPUTED_VALUE"""),"Oxantel Pamoate")</f>
        <v>Oxantel Pamoate</v>
      </c>
      <c r="BU276" s="838"/>
      <c r="BV276" s="838" t="str">
        <f>IFERROR(__xludf.DUMMYFUNCTION("""COMPUTED_VALUE"""),"Single")</f>
        <v>Single</v>
      </c>
      <c r="BW276" s="838" t="str">
        <f>IFERROR(__xludf.DUMMYFUNCTION("""COMPUTED_VALUE"""),"20 mg/kg")</f>
        <v>20 mg/kg</v>
      </c>
      <c r="BX276" s="856" t="str">
        <f>IFERROR(__xludf.DUMMYFUNCTION("""COMPUTED_VALUE"""),"121")</f>
        <v>121</v>
      </c>
      <c r="BY276" s="856" t="str">
        <f>IFERROR(__xludf.DUMMYFUNCTION("""COMPUTED_VALUE"""),"9.9")</f>
        <v>9.9</v>
      </c>
      <c r="BZ276" s="856" t="str">
        <f>IFERROR(__xludf.DUMMYFUNCTION("""COMPUTED_VALUE"""),"2012")</f>
        <v>2012</v>
      </c>
      <c r="CA276" s="856" t="str">
        <f>IFERROR(__xludf.DUMMYFUNCTION("""COMPUTED_VALUE"""),"62M:59F")</f>
        <v>62M:59F</v>
      </c>
      <c r="CB276" s="838" t="str">
        <f>IFERROR(__xludf.DUMMYFUNCTION("""COMPUTED_VALUE"""),"Children from 6 to 14 years of age provided two stool samples and children positive for roundworm were considered eligible for inclusion. Additionally, the researchers were required to obtain written informed consent from all the parents ro guardians adn "&amp;"all the children must provide verbal assent")</f>
        <v>Children from 6 to 14 years of age provided two stool samples and children positive for roundworm were considered eligible for inclusion. Additionally, the researchers were required to obtain written informed consent from all the parents ro guardians adn all the children must provide verbal assent</v>
      </c>
      <c r="CC276" s="856" t="str">
        <f>IFERROR(__xludf.DUMMYFUNCTION("""COMPUTED_VALUE"""),"Yes")</f>
        <v>Yes</v>
      </c>
      <c r="CD276" s="856" t="str">
        <f>IFERROR(__xludf.DUMMYFUNCTION("""COMPUTED_VALUE"""),"10.10%")</f>
        <v>10.10%</v>
      </c>
      <c r="CE276" s="856" t="str">
        <f>IFERROR(__xludf.DUMMYFUNCTION("""COMPUTED_VALUE"""),"Yes")</f>
        <v>Yes</v>
      </c>
      <c r="CF276" s="838"/>
      <c r="CG276" s="838"/>
      <c r="CH276" s="838"/>
      <c r="CI276" s="838"/>
      <c r="CJ276" s="838"/>
      <c r="CK276" s="838"/>
      <c r="CL276" s="838"/>
      <c r="CM276" s="856" t="str">
        <f>IFERROR(__xludf.DUMMYFUNCTION("""COMPUTED_VALUE"""),"28.4%")</f>
        <v>28.4%</v>
      </c>
      <c r="CN276" s="838"/>
      <c r="CO276" s="838"/>
      <c r="CP276" s="838"/>
      <c r="CQ276" s="838"/>
      <c r="CR276" s="838"/>
      <c r="CS276" s="838" t="str">
        <f>IFERROR(__xludf.DUMMYFUNCTION("""COMPUTED_VALUE"""),"The combination of oxantel pamoate and albendazole had a significantly higher efficacy compared to just oxantel pamoate. Hence, Oxantel pamoate with the combination of albendazole could be useful in the global stratefy for the control of soil-transmitted "&amp;"helminthiasis")</f>
        <v>The combination of oxantel pamoate and albendazole had a significantly higher efficacy compared to just oxantel pamoate. Hence, Oxantel pamoate with the combination of albendazole could be useful in the global stratefy for the control of soil-transmitted helminthiasis</v>
      </c>
      <c r="CT276" s="838" t="str">
        <f>IFERROR(__xludf.DUMMYFUNCTION("""COMPUTED_VALUE"""),"Kato-Katz technique")</f>
        <v>Kato-Katz technique</v>
      </c>
      <c r="CU276" s="838"/>
      <c r="CV276" s="697" t="str">
        <f>IFERROR(__xludf.DUMMYFUNCTION("""COMPUTED_VALUE"""),"Speich B, Ame SM, Ali SM, Alles R, Huwyler J, Hattendorf J, Utzinger J, Albonico M, Keiser J. Oxantel pamoate-albendazole for Trichuris trichiura infection. N Engl J Med. 2014 Feb 13;370(7):610-20. doi: 10.1056/NEJMoa1301956. PMID: 24521107.")</f>
        <v>Speich B, Ame SM, Ali SM, Alles R, Huwyler J, Hattendorf J, Utzinger J, Albonico M, Keiser J. Oxantel pamoate-albendazole for Trichuris trichiura infection. N Engl J Med. 2014 Feb 13;370(7):610-20. doi: 10.1056/NEJMoa1301956. PMID: 24521107.</v>
      </c>
    </row>
    <row r="277">
      <c r="A277" s="834"/>
      <c r="B277" s="834"/>
      <c r="C277" s="834"/>
      <c r="D277" s="834"/>
      <c r="E277" s="834"/>
      <c r="F277" s="834"/>
      <c r="G277" s="834"/>
      <c r="H277" s="834"/>
      <c r="I277" s="834"/>
      <c r="J277" s="834"/>
      <c r="K277" s="834"/>
      <c r="L277" s="834"/>
      <c r="M277" s="834"/>
      <c r="N277" s="834"/>
      <c r="O277" s="834"/>
      <c r="P277" s="834"/>
      <c r="Q277" s="834"/>
      <c r="R277" s="834"/>
      <c r="S277" s="834"/>
      <c r="T277" s="834"/>
      <c r="U277" s="834"/>
      <c r="V277" s="834"/>
      <c r="W277" s="834"/>
      <c r="X277" s="834"/>
      <c r="Y277" s="834"/>
      <c r="Z277" s="834"/>
      <c r="AA277" s="834"/>
      <c r="AB277" s="834"/>
      <c r="AC277" s="834"/>
      <c r="AD277" s="834"/>
      <c r="AE277" s="834"/>
      <c r="AF277" s="834"/>
      <c r="AG277" s="834"/>
      <c r="AH277" s="834"/>
      <c r="AJ277" s="836"/>
      <c r="AK277" s="836"/>
      <c r="AL277" s="836"/>
      <c r="AM277" s="836"/>
      <c r="AN277" s="836"/>
      <c r="AO277" s="836"/>
      <c r="AP277" s="836"/>
      <c r="AQ277" s="836"/>
      <c r="AR277" s="836"/>
      <c r="AS277" s="836"/>
      <c r="AT277" s="836"/>
      <c r="AU277" s="836"/>
      <c r="AV277" s="836"/>
      <c r="AW277" s="836"/>
      <c r="AX277" s="836"/>
      <c r="AY277" s="836"/>
      <c r="AZ277" s="836"/>
      <c r="BA277" s="836"/>
      <c r="BB277" s="836"/>
      <c r="BC277" s="836"/>
      <c r="BD277" s="836"/>
      <c r="BE277" s="836"/>
      <c r="BF277" s="836"/>
      <c r="BG277" s="836"/>
      <c r="BH277" s="836"/>
      <c r="BI277" s="836"/>
      <c r="BJ277" s="836"/>
      <c r="BK277" s="836"/>
      <c r="BL277" s="836"/>
      <c r="BM277" s="836"/>
      <c r="BN277" s="836"/>
      <c r="BO277" s="836"/>
      <c r="BP277" s="836"/>
      <c r="BR277" s="844" t="str">
        <f>IFERROR(__xludf.DUMMYFUNCTION("""COMPUTED_VALUE"""),"Speich et al.")</f>
        <v>Speich et al.</v>
      </c>
      <c r="BS277" s="838" t="str">
        <f>IFERROR(__xludf.DUMMYFUNCTION("""COMPUTED_VALUE"""),"Tanziana")</f>
        <v>Tanziana</v>
      </c>
      <c r="BT277" s="838" t="str">
        <f>IFERROR(__xludf.DUMMYFUNCTION("""COMPUTED_VALUE"""),"Albendazole")</f>
        <v>Albendazole</v>
      </c>
      <c r="BU277" s="838"/>
      <c r="BV277" s="838" t="str">
        <f>IFERROR(__xludf.DUMMYFUNCTION("""COMPUTED_VALUE"""),"Single")</f>
        <v>Single</v>
      </c>
      <c r="BW277" s="838" t="str">
        <f>IFERROR(__xludf.DUMMYFUNCTION("""COMPUTED_VALUE"""),"400 mg")</f>
        <v>400 mg</v>
      </c>
      <c r="BX277" s="856" t="str">
        <f>IFERROR(__xludf.DUMMYFUNCTION("""COMPUTED_VALUE"""),"120")</f>
        <v>120</v>
      </c>
      <c r="BY277" s="856" t="str">
        <f>IFERROR(__xludf.DUMMYFUNCTION("""COMPUTED_VALUE"""),"9.9")</f>
        <v>9.9</v>
      </c>
      <c r="BZ277" s="856" t="str">
        <f>IFERROR(__xludf.DUMMYFUNCTION("""COMPUTED_VALUE"""),"2012")</f>
        <v>2012</v>
      </c>
      <c r="CA277" s="856" t="str">
        <f>IFERROR(__xludf.DUMMYFUNCTION("""COMPUTED_VALUE"""),"65M:55F")</f>
        <v>65M:55F</v>
      </c>
      <c r="CB277" s="838" t="str">
        <f>IFERROR(__xludf.DUMMYFUNCTION("""COMPUTED_VALUE"""),"Children from 6 to 14 years of age provided two stool samples and children positive for roundworm were considered eligible for inclusion. Additionally, the researchers were required to obtain written informed consent from all the parents ro guardians adn "&amp;"all the children must provide verbal assent")</f>
        <v>Children from 6 to 14 years of age provided two stool samples and children positive for roundworm were considered eligible for inclusion. Additionally, the researchers were required to obtain written informed consent from all the parents ro guardians adn all the children must provide verbal assent</v>
      </c>
      <c r="CC277" s="856" t="str">
        <f>IFERROR(__xludf.DUMMYFUNCTION("""COMPUTED_VALUE"""),"Yes")</f>
        <v>Yes</v>
      </c>
      <c r="CD277" s="856" t="str">
        <f>IFERROR(__xludf.DUMMYFUNCTION("""COMPUTED_VALUE"""),"92.00%")</f>
        <v>92.00%</v>
      </c>
      <c r="CE277" s="856" t="str">
        <f>IFERROR(__xludf.DUMMYFUNCTION("""COMPUTED_VALUE"""),"Yes")</f>
        <v>Yes</v>
      </c>
      <c r="CF277" s="838"/>
      <c r="CG277" s="838"/>
      <c r="CH277" s="838"/>
      <c r="CI277" s="838"/>
      <c r="CJ277" s="838"/>
      <c r="CK277" s="838"/>
      <c r="CL277" s="838"/>
      <c r="CM277" s="856" t="str">
        <f>IFERROR(__xludf.DUMMYFUNCTION("""COMPUTED_VALUE"""),"99.97%")</f>
        <v>99.97%</v>
      </c>
      <c r="CN277" s="838"/>
      <c r="CO277" s="838"/>
      <c r="CP277" s="838"/>
      <c r="CQ277" s="838"/>
      <c r="CR277" s="838"/>
      <c r="CS277" s="838" t="str">
        <f>IFERROR(__xludf.DUMMYFUNCTION("""COMPUTED_VALUE"""),"The combination of oxantel pamoate and albendazole had a significantly higher efficacy compared to just oxantel pamoate. Hence, Oxantel pamoate with the combination of albendazole could be useful in the global stratefy for the control of soil-transmitted "&amp;"helminthiasis")</f>
        <v>The combination of oxantel pamoate and albendazole had a significantly higher efficacy compared to just oxantel pamoate. Hence, Oxantel pamoate with the combination of albendazole could be useful in the global stratefy for the control of soil-transmitted helminthiasis</v>
      </c>
      <c r="CT277" s="838" t="str">
        <f>IFERROR(__xludf.DUMMYFUNCTION("""COMPUTED_VALUE"""),"Kato-Katz technique")</f>
        <v>Kato-Katz technique</v>
      </c>
      <c r="CU277" s="838"/>
      <c r="CV277" s="697" t="str">
        <f>IFERROR(__xludf.DUMMYFUNCTION("""COMPUTED_VALUE"""),"Speich B, Ame SM, Ali SM, Alles R, Huwyler J, Hattendorf J, Utzinger J, Albonico M, Keiser J. Oxantel pamoate-albendazole for Trichuris trichiura infection. N Engl J Med. 2014 Feb 13;370(7):610-20. doi: 10.1056/NEJMoa1301956. PMID: 24521107.")</f>
        <v>Speich B, Ame SM, Ali SM, Alles R, Huwyler J, Hattendorf J, Utzinger J, Albonico M, Keiser J. Oxantel pamoate-albendazole for Trichuris trichiura infection. N Engl J Med. 2014 Feb 13;370(7):610-20. doi: 10.1056/NEJMoa1301956. PMID: 24521107.</v>
      </c>
    </row>
    <row r="278">
      <c r="A278" s="834"/>
      <c r="B278" s="834"/>
      <c r="C278" s="834"/>
      <c r="D278" s="834"/>
      <c r="E278" s="834"/>
      <c r="F278" s="834"/>
      <c r="G278" s="834"/>
      <c r="H278" s="834"/>
      <c r="I278" s="834"/>
      <c r="J278" s="834"/>
      <c r="K278" s="834"/>
      <c r="L278" s="834"/>
      <c r="M278" s="834"/>
      <c r="N278" s="834"/>
      <c r="O278" s="834"/>
      <c r="P278" s="834"/>
      <c r="Q278" s="834"/>
      <c r="R278" s="834"/>
      <c r="S278" s="834"/>
      <c r="T278" s="834"/>
      <c r="U278" s="834"/>
      <c r="V278" s="834"/>
      <c r="W278" s="834"/>
      <c r="X278" s="834"/>
      <c r="Y278" s="834"/>
      <c r="Z278" s="834"/>
      <c r="AA278" s="834"/>
      <c r="AB278" s="834"/>
      <c r="AC278" s="834"/>
      <c r="AD278" s="834"/>
      <c r="AE278" s="834"/>
      <c r="AF278" s="834"/>
      <c r="AG278" s="834"/>
      <c r="AH278" s="834"/>
      <c r="AJ278" s="836"/>
      <c r="AK278" s="836"/>
      <c r="AL278" s="836"/>
      <c r="AM278" s="836"/>
      <c r="AN278" s="836"/>
      <c r="AO278" s="836"/>
      <c r="AP278" s="836"/>
      <c r="AQ278" s="836"/>
      <c r="AR278" s="836"/>
      <c r="AS278" s="836"/>
      <c r="AT278" s="836"/>
      <c r="AU278" s="836"/>
      <c r="AV278" s="836"/>
      <c r="AW278" s="836"/>
      <c r="AX278" s="836"/>
      <c r="AY278" s="836"/>
      <c r="AZ278" s="836"/>
      <c r="BA278" s="836"/>
      <c r="BB278" s="836"/>
      <c r="BC278" s="836"/>
      <c r="BD278" s="836"/>
      <c r="BE278" s="836"/>
      <c r="BF278" s="836"/>
      <c r="BG278" s="836"/>
      <c r="BH278" s="836"/>
      <c r="BI278" s="836"/>
      <c r="BJ278" s="836"/>
      <c r="BK278" s="836"/>
      <c r="BL278" s="836"/>
      <c r="BM278" s="836"/>
      <c r="BN278" s="836"/>
      <c r="BO278" s="836"/>
      <c r="BP278" s="836"/>
      <c r="BR278" s="844" t="str">
        <f>IFERROR(__xludf.DUMMYFUNCTION("""COMPUTED_VALUE"""),"Speich et al.")</f>
        <v>Speich et al.</v>
      </c>
      <c r="BS278" s="838" t="str">
        <f>IFERROR(__xludf.DUMMYFUNCTION("""COMPUTED_VALUE"""),"Tanziana")</f>
        <v>Tanziana</v>
      </c>
      <c r="BT278" s="838" t="str">
        <f>IFERROR(__xludf.DUMMYFUNCTION("""COMPUTED_VALUE"""),"Medbendazole")</f>
        <v>Medbendazole</v>
      </c>
      <c r="BU278" s="838"/>
      <c r="BV278" s="838" t="str">
        <f>IFERROR(__xludf.DUMMYFUNCTION("""COMPUTED_VALUE"""),"Single")</f>
        <v>Single</v>
      </c>
      <c r="BW278" s="838" t="str">
        <f>IFERROR(__xludf.DUMMYFUNCTION("""COMPUTED_VALUE"""),"500 mg")</f>
        <v>500 mg</v>
      </c>
      <c r="BX278" s="856" t="str">
        <f>IFERROR(__xludf.DUMMYFUNCTION("""COMPUTED_VALUE"""),"120")</f>
        <v>120</v>
      </c>
      <c r="BY278" s="856" t="str">
        <f>IFERROR(__xludf.DUMMYFUNCTION("""COMPUTED_VALUE"""),"9.6")</f>
        <v>9.6</v>
      </c>
      <c r="BZ278" s="856" t="str">
        <f>IFERROR(__xludf.DUMMYFUNCTION("""COMPUTED_VALUE"""),"2012")</f>
        <v>2012</v>
      </c>
      <c r="CA278" s="856" t="str">
        <f>IFERROR(__xludf.DUMMYFUNCTION("""COMPUTED_VALUE"""),"59M:61F")</f>
        <v>59M:61F</v>
      </c>
      <c r="CB278" s="838" t="str">
        <f>IFERROR(__xludf.DUMMYFUNCTION("""COMPUTED_VALUE"""),"Children from 6 to 14 years of age provided two stool samples and children positive for roundworm were considered eligible for inclusion. Additionally, the researchers were required to obtain written informed consent from all the parents ro guardians adn "&amp;"all the children must provide verbal assent")</f>
        <v>Children from 6 to 14 years of age provided two stool samples and children positive for roundworm were considered eligible for inclusion. Additionally, the researchers were required to obtain written informed consent from all the parents ro guardians adn all the children must provide verbal assent</v>
      </c>
      <c r="CC278" s="856" t="str">
        <f>IFERROR(__xludf.DUMMYFUNCTION("""COMPUTED_VALUE"""),"Yes")</f>
        <v>Yes</v>
      </c>
      <c r="CD278" s="856" t="str">
        <f>IFERROR(__xludf.DUMMYFUNCTION("""COMPUTED_VALUE"""),"91.20%")</f>
        <v>91.20%</v>
      </c>
      <c r="CE278" s="856" t="str">
        <f>IFERROR(__xludf.DUMMYFUNCTION("""COMPUTED_VALUE"""),"Yes")</f>
        <v>Yes</v>
      </c>
      <c r="CF278" s="838"/>
      <c r="CG278" s="838"/>
      <c r="CH278" s="838"/>
      <c r="CI278" s="838"/>
      <c r="CJ278" s="838"/>
      <c r="CK278" s="838"/>
      <c r="CL278" s="838"/>
      <c r="CM278" s="856" t="str">
        <f>IFERROR(__xludf.DUMMYFUNCTION("""COMPUTED_VALUE"""),"99.94%")</f>
        <v>99.94%</v>
      </c>
      <c r="CN278" s="838"/>
      <c r="CO278" s="838"/>
      <c r="CP278" s="838"/>
      <c r="CQ278" s="838"/>
      <c r="CR278" s="838"/>
      <c r="CS278" s="838" t="str">
        <f>IFERROR(__xludf.DUMMYFUNCTION("""COMPUTED_VALUE"""),"The combination of oxantel pamoate and albendazole had a significantly higher efficacy compared to just oxantel pamoate. Hence, Oxantel pamoate with the combination of albendazole could be useful in the global stratefy for the control of soil-transmitted "&amp;"helminthiasis")</f>
        <v>The combination of oxantel pamoate and albendazole had a significantly higher efficacy compared to just oxantel pamoate. Hence, Oxantel pamoate with the combination of albendazole could be useful in the global stratefy for the control of soil-transmitted helminthiasis</v>
      </c>
      <c r="CT278" s="838" t="str">
        <f>IFERROR(__xludf.DUMMYFUNCTION("""COMPUTED_VALUE"""),"Kato-Katz technique")</f>
        <v>Kato-Katz technique</v>
      </c>
      <c r="CU278" s="838"/>
      <c r="CV278" s="697" t="str">
        <f>IFERROR(__xludf.DUMMYFUNCTION("""COMPUTED_VALUE"""),"Speich B, Ame SM, Ali SM, Alles R, Huwyler J, Hattendorf J, Utzinger J, Albonico M, Keiser J. Oxantel pamoate-albendazole for Trichuris trichiura infection. N Engl J Med. 2014 Feb 13;370(7):610-20. doi: 10.1056/NEJMoa1301956. PMID: 24521107.")</f>
        <v>Speich B, Ame SM, Ali SM, Alles R, Huwyler J, Hattendorf J, Utzinger J, Albonico M, Keiser J. Oxantel pamoate-albendazole for Trichuris trichiura infection. N Engl J Med. 2014 Feb 13;370(7):610-20. doi: 10.1056/NEJMoa1301956. PMID: 24521107.</v>
      </c>
    </row>
    <row r="279">
      <c r="A279" s="834"/>
      <c r="B279" s="834"/>
      <c r="C279" s="834"/>
      <c r="D279" s="834"/>
      <c r="E279" s="834"/>
      <c r="F279" s="834"/>
      <c r="G279" s="834"/>
      <c r="H279" s="834"/>
      <c r="I279" s="834"/>
      <c r="J279" s="834"/>
      <c r="K279" s="834"/>
      <c r="L279" s="834"/>
      <c r="M279" s="834"/>
      <c r="N279" s="834"/>
      <c r="O279" s="834"/>
      <c r="P279" s="834"/>
      <c r="Q279" s="834"/>
      <c r="R279" s="834"/>
      <c r="S279" s="834"/>
      <c r="T279" s="834"/>
      <c r="U279" s="834"/>
      <c r="V279" s="834"/>
      <c r="W279" s="834"/>
      <c r="X279" s="834"/>
      <c r="Y279" s="834"/>
      <c r="Z279" s="834"/>
      <c r="AA279" s="834"/>
      <c r="AB279" s="834"/>
      <c r="AC279" s="834"/>
      <c r="AD279" s="834"/>
      <c r="AE279" s="834"/>
      <c r="AF279" s="834"/>
      <c r="AG279" s="834"/>
      <c r="AH279" s="834"/>
      <c r="AJ279" s="836"/>
      <c r="AK279" s="836"/>
      <c r="AL279" s="836"/>
      <c r="AM279" s="836"/>
      <c r="AN279" s="836"/>
      <c r="AO279" s="836"/>
      <c r="AP279" s="836"/>
      <c r="AQ279" s="836"/>
      <c r="AR279" s="836"/>
      <c r="AS279" s="836"/>
      <c r="AT279" s="836"/>
      <c r="AU279" s="836"/>
      <c r="AV279" s="836"/>
      <c r="AW279" s="836"/>
      <c r="AX279" s="836"/>
      <c r="AY279" s="836"/>
      <c r="AZ279" s="836"/>
      <c r="BA279" s="836"/>
      <c r="BB279" s="836"/>
      <c r="BC279" s="836"/>
      <c r="BD279" s="836"/>
      <c r="BE279" s="836"/>
      <c r="BF279" s="836"/>
      <c r="BG279" s="836"/>
      <c r="BH279" s="836"/>
      <c r="BI279" s="836"/>
      <c r="BJ279" s="836"/>
      <c r="BK279" s="836"/>
      <c r="BL279" s="836"/>
      <c r="BM279" s="836"/>
      <c r="BN279" s="836"/>
      <c r="BO279" s="836"/>
      <c r="BP279" s="836"/>
      <c r="BR279" s="844" t="str">
        <f>IFERROR(__xludf.DUMMYFUNCTION("""COMPUTED_VALUE"""),"Barda et al.")</f>
        <v>Barda et al.</v>
      </c>
      <c r="BS279" s="838" t="str">
        <f>IFERROR(__xludf.DUMMYFUNCTION("""COMPUTED_VALUE"""),"Laos")</f>
        <v>Laos</v>
      </c>
      <c r="BT279" s="838" t="str">
        <f>IFERROR(__xludf.DUMMYFUNCTION("""COMPUTED_VALUE"""),"Moxidectin")</f>
        <v>Moxidectin</v>
      </c>
      <c r="BU279" s="838"/>
      <c r="BV279" s="838" t="str">
        <f>IFERROR(__xludf.DUMMYFUNCTION("""COMPUTED_VALUE"""),"Single")</f>
        <v>Single</v>
      </c>
      <c r="BW279" s="838" t="str">
        <f>IFERROR(__xludf.DUMMYFUNCTION("""COMPUTED_VALUE"""),"8 mg")</f>
        <v>8 mg</v>
      </c>
      <c r="BX279" s="856" t="str">
        <f>IFERROR(__xludf.DUMMYFUNCTION("""COMPUTED_VALUE"""),"64")</f>
        <v>64</v>
      </c>
      <c r="BY279" s="856" t="str">
        <f>IFERROR(__xludf.DUMMYFUNCTION("""COMPUTED_VALUE"""),"39.4")</f>
        <v>39.4</v>
      </c>
      <c r="BZ279" s="856" t="str">
        <f>IFERROR(__xludf.DUMMYFUNCTION("""COMPUTED_VALUE"""),"2016")</f>
        <v>2016</v>
      </c>
      <c r="CA279" s="856" t="str">
        <f>IFERROR(__xludf.DUMMYFUNCTION("""COMPUTED_VALUE"""),"31M:33F")</f>
        <v>31M:33F</v>
      </c>
      <c r="CB279" s="838" t="str">
        <f>IFERROR(__xludf.DUMMYFUNCTION("""COMPUTED_VALUE"""),"Only participants positive for the infection were included in the study")</f>
        <v>Only participants positive for the infection were included in the study</v>
      </c>
      <c r="CC279" s="856" t="str">
        <f>IFERROR(__xludf.DUMMYFUNCTION("""COMPUTED_VALUE"""),"Yes")</f>
        <v>Yes</v>
      </c>
      <c r="CD279" s="856" t="str">
        <f>IFERROR(__xludf.DUMMYFUNCTION("""COMPUTED_VALUE"""),"93.60%")</f>
        <v>93.60%</v>
      </c>
      <c r="CE279" s="856" t="str">
        <f>IFERROR(__xludf.DUMMYFUNCTION("""COMPUTED_VALUE"""),"Yes")</f>
        <v>Yes</v>
      </c>
      <c r="CF279" s="838"/>
      <c r="CG279" s="838"/>
      <c r="CH279" s="838"/>
      <c r="CI279" s="838"/>
      <c r="CJ279" s="838"/>
      <c r="CK279" s="838"/>
      <c r="CL279" s="838"/>
      <c r="CM279" s="838"/>
      <c r="CN279" s="838"/>
      <c r="CO279" s="838"/>
      <c r="CP279" s="838"/>
      <c r="CQ279" s="838"/>
      <c r="CR279" s="838"/>
      <c r="CS279" s="838" t="str">
        <f>IFERROR(__xludf.DUMMYFUNCTION("""COMPUTED_VALUE"""),"Moxidectin might be a safe and efficacious alternative to ivermectin for the treatment of S. stercoralis infection, given that only slight differences in CRs were observed. However, noninferiority could not be demonstrated. Larger clinical trials should b"&amp;"e conducted once the drug is marketed")</f>
        <v>Moxidectin might be a safe and efficacious alternative to ivermectin for the treatment of S. stercoralis infection, given that only slight differences in CRs were observed. However, noninferiority could not be demonstrated. Larger clinical trials should be conducted once the drug is marketed</v>
      </c>
      <c r="CT279" s="838" t="str">
        <f>IFERROR(__xludf.DUMMYFUNCTION("""COMPUTED_VALUE"""),"Kato-Katz technique")</f>
        <v>Kato-Katz technique</v>
      </c>
      <c r="CU279" s="838"/>
      <c r="CV279" s="697" t="str">
        <f>IFERROR(__xludf.DUMMYFUNCTION("""COMPUTED_VALUE"""),"Barda B, Sayasone S, Phongluxa K, Xayavong S, Keoduangsy K, Odermatt P, Puchkov M, Huwyler J, Hattendorf J, Keiser J. Efficacy of Moxidectin Versus Ivermectin Against Strongyloides stercoralis Infections: A Randomized, Controlled Noninferiority Trial. Cli"&amp;"n Infect Dis. 2017 Jul 15;65(2):276-281. doi: 10.1093/cid/cix278. PMID: 28369530.")</f>
        <v>Barda B, Sayasone S, Phongluxa K, Xayavong S, Keoduangsy K, Odermatt P, Puchkov M, Huwyler J, Hattendorf J, Keiser J. Efficacy of Moxidectin Versus Ivermectin Against Strongyloides stercoralis Infections: A Randomized, Controlled Noninferiority Trial. Clin Infect Dis. 2017 Jul 15;65(2):276-281. doi: 10.1093/cid/cix278. PMID: 28369530.</v>
      </c>
    </row>
    <row r="280">
      <c r="A280" s="834"/>
      <c r="B280" s="834"/>
      <c r="C280" s="834"/>
      <c r="D280" s="834"/>
      <c r="E280" s="834"/>
      <c r="F280" s="834"/>
      <c r="G280" s="834"/>
      <c r="H280" s="834"/>
      <c r="I280" s="834"/>
      <c r="J280" s="834"/>
      <c r="K280" s="834"/>
      <c r="L280" s="834"/>
      <c r="M280" s="834"/>
      <c r="N280" s="834"/>
      <c r="O280" s="834"/>
      <c r="P280" s="834"/>
      <c r="Q280" s="834"/>
      <c r="R280" s="834"/>
      <c r="S280" s="834"/>
      <c r="T280" s="834"/>
      <c r="U280" s="834"/>
      <c r="V280" s="834"/>
      <c r="W280" s="834"/>
      <c r="X280" s="834"/>
      <c r="Y280" s="834"/>
      <c r="Z280" s="834"/>
      <c r="AA280" s="834"/>
      <c r="AB280" s="834"/>
      <c r="AC280" s="834"/>
      <c r="AD280" s="834"/>
      <c r="AE280" s="834"/>
      <c r="AF280" s="834"/>
      <c r="AG280" s="834"/>
      <c r="AH280" s="834"/>
      <c r="AJ280" s="836"/>
      <c r="AK280" s="836"/>
      <c r="AL280" s="836"/>
      <c r="AM280" s="836"/>
      <c r="AN280" s="836"/>
      <c r="AO280" s="836"/>
      <c r="AP280" s="836"/>
      <c r="AQ280" s="836"/>
      <c r="AR280" s="836"/>
      <c r="AS280" s="836"/>
      <c r="AT280" s="836"/>
      <c r="AU280" s="836"/>
      <c r="AV280" s="836"/>
      <c r="AW280" s="836"/>
      <c r="AX280" s="836"/>
      <c r="AY280" s="836"/>
      <c r="AZ280" s="836"/>
      <c r="BA280" s="836"/>
      <c r="BB280" s="836"/>
      <c r="BC280" s="836"/>
      <c r="BD280" s="836"/>
      <c r="BE280" s="836"/>
      <c r="BF280" s="836"/>
      <c r="BG280" s="836"/>
      <c r="BH280" s="836"/>
      <c r="BI280" s="836"/>
      <c r="BJ280" s="836"/>
      <c r="BK280" s="836"/>
      <c r="BL280" s="836"/>
      <c r="BM280" s="836"/>
      <c r="BN280" s="836"/>
      <c r="BO280" s="836"/>
      <c r="BP280" s="836"/>
      <c r="BR280" s="844" t="str">
        <f>IFERROR(__xludf.DUMMYFUNCTION("""COMPUTED_VALUE"""),"Barda et al.")</f>
        <v>Barda et al.</v>
      </c>
      <c r="BS280" s="838" t="str">
        <f>IFERROR(__xludf.DUMMYFUNCTION("""COMPUTED_VALUE"""),"Laos")</f>
        <v>Laos</v>
      </c>
      <c r="BT280" s="838" t="str">
        <f>IFERROR(__xludf.DUMMYFUNCTION("""COMPUTED_VALUE"""),"Ivermectin")</f>
        <v>Ivermectin</v>
      </c>
      <c r="BU280" s="838"/>
      <c r="BV280" s="838" t="str">
        <f>IFERROR(__xludf.DUMMYFUNCTION("""COMPUTED_VALUE"""),"Single")</f>
        <v>Single</v>
      </c>
      <c r="BW280" s="838" t="str">
        <f>IFERROR(__xludf.DUMMYFUNCTION("""COMPUTED_VALUE"""),"200 µg/kg")</f>
        <v>200 µg/kg</v>
      </c>
      <c r="BX280" s="856" t="str">
        <f>IFERROR(__xludf.DUMMYFUNCTION("""COMPUTED_VALUE"""),"63")</f>
        <v>63</v>
      </c>
      <c r="BY280" s="856" t="str">
        <f>IFERROR(__xludf.DUMMYFUNCTION("""COMPUTED_VALUE"""),"40.7")</f>
        <v>40.7</v>
      </c>
      <c r="BZ280" s="856" t="str">
        <f>IFERROR(__xludf.DUMMYFUNCTION("""COMPUTED_VALUE"""),"2016")</f>
        <v>2016</v>
      </c>
      <c r="CA280" s="856" t="str">
        <f>IFERROR(__xludf.DUMMYFUNCTION("""COMPUTED_VALUE"""),"34M:29F")</f>
        <v>34M:29F</v>
      </c>
      <c r="CB280" s="838" t="str">
        <f>IFERROR(__xludf.DUMMYFUNCTION("""COMPUTED_VALUE"""),"Only participants positive for the infection were included in the study")</f>
        <v>Only participants positive for the infection were included in the study</v>
      </c>
      <c r="CC280" s="856" t="str">
        <f>IFERROR(__xludf.DUMMYFUNCTION("""COMPUTED_VALUE"""),"Yes")</f>
        <v>Yes</v>
      </c>
      <c r="CD280" s="856" t="str">
        <f>IFERROR(__xludf.DUMMYFUNCTION("""COMPUTED_VALUE"""),"95.10%")</f>
        <v>95.10%</v>
      </c>
      <c r="CE280" s="856" t="str">
        <f>IFERROR(__xludf.DUMMYFUNCTION("""COMPUTED_VALUE"""),"Yes")</f>
        <v>Yes</v>
      </c>
      <c r="CF280" s="838"/>
      <c r="CG280" s="838"/>
      <c r="CH280" s="838"/>
      <c r="CI280" s="838"/>
      <c r="CJ280" s="838"/>
      <c r="CK280" s="838"/>
      <c r="CL280" s="838"/>
      <c r="CM280" s="838"/>
      <c r="CN280" s="838"/>
      <c r="CO280" s="838"/>
      <c r="CP280" s="838"/>
      <c r="CQ280" s="838"/>
      <c r="CR280" s="838"/>
      <c r="CS280" s="838" t="str">
        <f>IFERROR(__xludf.DUMMYFUNCTION("""COMPUTED_VALUE"""),"Moxidectin might be a safe and efficacious alternative to ivermectin for the treatment of S. stercoralis infection, given that only slight differences in CRs were observed. However, noninferiority could not be demonstrated. Larger clinical trials should b"&amp;"e conducted once the drug is marketed")</f>
        <v>Moxidectin might be a safe and efficacious alternative to ivermectin for the treatment of S. stercoralis infection, given that only slight differences in CRs were observed. However, noninferiority could not be demonstrated. Larger clinical trials should be conducted once the drug is marketed</v>
      </c>
      <c r="CT280" s="838" t="str">
        <f>IFERROR(__xludf.DUMMYFUNCTION("""COMPUTED_VALUE"""),"Kato-Katz technique")</f>
        <v>Kato-Katz technique</v>
      </c>
      <c r="CU280" s="838"/>
      <c r="CV280" s="697" t="str">
        <f>IFERROR(__xludf.DUMMYFUNCTION("""COMPUTED_VALUE"""),"Barda B, Sayasone S, Phongluxa K, Xayavong S, Keoduangsy K, Odermatt P, Puchkov M, Huwyler J, Hattendorf J, Keiser J. Efficacy of Moxidectin Versus Ivermectin Against Strongyloides stercoralis Infections: A Randomized, Controlled Noninferiority Trial. Cli"&amp;"n Infect Dis. 2017 Jul 15;65(2):276-281. doi: 10.1093/cid/cix278. PMID: 28369530.")</f>
        <v>Barda B, Sayasone S, Phongluxa K, Xayavong S, Keoduangsy K, Odermatt P, Puchkov M, Huwyler J, Hattendorf J, Keiser J. Efficacy of Moxidectin Versus Ivermectin Against Strongyloides stercoralis Infections: A Randomized, Controlled Noninferiority Trial. Clin Infect Dis. 2017 Jul 15;65(2):276-281. doi: 10.1093/cid/cix278. PMID: 28369530.</v>
      </c>
    </row>
    <row r="281">
      <c r="A281" s="834"/>
      <c r="B281" s="834"/>
      <c r="C281" s="834"/>
      <c r="D281" s="834"/>
      <c r="E281" s="834"/>
      <c r="F281" s="834"/>
      <c r="G281" s="834"/>
      <c r="H281" s="834"/>
      <c r="I281" s="834"/>
      <c r="J281" s="834"/>
      <c r="K281" s="834"/>
      <c r="L281" s="834"/>
      <c r="M281" s="834"/>
      <c r="N281" s="834"/>
      <c r="O281" s="834"/>
      <c r="P281" s="834"/>
      <c r="Q281" s="834"/>
      <c r="R281" s="834"/>
      <c r="S281" s="834"/>
      <c r="T281" s="834"/>
      <c r="U281" s="834"/>
      <c r="V281" s="834"/>
      <c r="W281" s="834"/>
      <c r="X281" s="834"/>
      <c r="Y281" s="834"/>
      <c r="Z281" s="834"/>
      <c r="AA281" s="834"/>
      <c r="AB281" s="834"/>
      <c r="AC281" s="834"/>
      <c r="AD281" s="834"/>
      <c r="AE281" s="834"/>
      <c r="AF281" s="834"/>
      <c r="AG281" s="834"/>
      <c r="AH281" s="834"/>
      <c r="AJ281" s="836"/>
      <c r="AK281" s="836"/>
      <c r="AL281" s="836"/>
      <c r="AM281" s="836"/>
      <c r="AN281" s="836"/>
      <c r="AO281" s="836"/>
      <c r="AP281" s="836"/>
      <c r="AQ281" s="836"/>
      <c r="AR281" s="836"/>
      <c r="AS281" s="836"/>
      <c r="AT281" s="836"/>
      <c r="AU281" s="836"/>
      <c r="AV281" s="836"/>
      <c r="AW281" s="836"/>
      <c r="AX281" s="836"/>
      <c r="AY281" s="836"/>
      <c r="AZ281" s="836"/>
      <c r="BA281" s="836"/>
      <c r="BB281" s="836"/>
      <c r="BC281" s="836"/>
      <c r="BD281" s="836"/>
      <c r="BE281" s="836"/>
      <c r="BF281" s="836"/>
      <c r="BG281" s="836"/>
      <c r="BH281" s="836"/>
      <c r="BI281" s="836"/>
      <c r="BJ281" s="836"/>
      <c r="BK281" s="836"/>
      <c r="BL281" s="836"/>
      <c r="BM281" s="836"/>
      <c r="BN281" s="836"/>
      <c r="BO281" s="836"/>
      <c r="BP281" s="836"/>
      <c r="BR281" s="844" t="str">
        <f>IFERROR(__xludf.DUMMYFUNCTION("""COMPUTED_VALUE"""),"Belew et al.")</f>
        <v>Belew et al.</v>
      </c>
      <c r="BS281" s="838" t="str">
        <f>IFERROR(__xludf.DUMMYFUNCTION("""COMPUTED_VALUE"""),"Ethiopia")</f>
        <v>Ethiopia</v>
      </c>
      <c r="BT281" s="838" t="str">
        <f>IFERROR(__xludf.DUMMYFUNCTION("""COMPUTED_VALUE"""),"Albendazole")</f>
        <v>Albendazole</v>
      </c>
      <c r="BU281" s="838"/>
      <c r="BV281" s="838" t="str">
        <f>IFERROR(__xludf.DUMMYFUNCTION("""COMPUTED_VALUE"""),"Single")</f>
        <v>Single</v>
      </c>
      <c r="BW281" s="838" t="str">
        <f>IFERROR(__xludf.DUMMYFUNCTION("""COMPUTED_VALUE"""),"400 mg")</f>
        <v>400 mg</v>
      </c>
      <c r="BX281" s="856" t="str">
        <f>IFERROR(__xludf.DUMMYFUNCTION("""COMPUTED_VALUE"""),"106")</f>
        <v>106</v>
      </c>
      <c r="BY281" s="856" t="str">
        <f>IFERROR(__xludf.DUMMYFUNCTION("""COMPUTED_VALUE"""),"10.3")</f>
        <v>10.3</v>
      </c>
      <c r="BZ281" s="856" t="str">
        <f>IFERROR(__xludf.DUMMYFUNCTION("""COMPUTED_VALUE"""),"2014")</f>
        <v>2014</v>
      </c>
      <c r="CA281" s="838"/>
      <c r="CB281" s="838" t="str">
        <f>IFERROR(__xludf.DUMMYFUNCTION("""COMPUTED_VALUE"""),"Age: 5-18 years old. Sex: males and females. Signed of written informed consent sheet by parents/or guardians, and those who volunteered to comply with study procedures (stool submission, drug treatment). Females: was not pregnant (as verbally assessed by"&amp;" clinician upon enrolled to treatment).")</f>
        <v>Age: 5-18 years old. Sex: males and females. Signed of written informed consent sheet by parents/or guardians, and those who volunteered to comply with study procedures (stool submission, drug treatment). Females: was not pregnant (as verbally assessed by clinician upon enrolled to treatment).</v>
      </c>
      <c r="CC281" s="856" t="str">
        <f>IFERROR(__xludf.DUMMYFUNCTION("""COMPUTED_VALUE"""),"Yes")</f>
        <v>Yes</v>
      </c>
      <c r="CD281" s="856" t="str">
        <f>IFERROR(__xludf.DUMMYFUNCTION("""COMPUTED_VALUE"""),"98.70%")</f>
        <v>98.70%</v>
      </c>
      <c r="CE281" s="856" t="str">
        <f>IFERROR(__xludf.DUMMYFUNCTION("""COMPUTED_VALUE"""),"No")</f>
        <v>No</v>
      </c>
      <c r="CF281" s="838"/>
      <c r="CG281" s="838"/>
      <c r="CH281" s="838"/>
      <c r="CI281" s="838"/>
      <c r="CJ281" s="838"/>
      <c r="CK281" s="838"/>
      <c r="CL281" s="838"/>
      <c r="CM281" s="838"/>
      <c r="CN281" s="838"/>
      <c r="CO281" s="838"/>
      <c r="CP281" s="838"/>
      <c r="CQ281" s="838"/>
      <c r="CR281" s="838"/>
      <c r="CS281" s="838" t="str">
        <f>IFERROR(__xludf.DUMMYFUNCTION("""COMPUTED_VALUE"""),"The study revealed that differences in efficacy between the two brands of albendazole (ABZ) tablets against hookworm are linked to the differences in the in-vitro drug release profile.")</f>
        <v>The study revealed that differences in efficacy between the two brands of albendazole (ABZ) tablets against hookworm are linked to the differences in the in-vitro drug release profile.</v>
      </c>
      <c r="CT281" s="838" t="str">
        <f>IFERROR(__xludf.DUMMYFUNCTION("""COMPUTED_VALUE"""),"McMaster egg counting method")</f>
        <v>McMaster egg counting method</v>
      </c>
      <c r="CU281" s="838"/>
      <c r="CV281" s="697" t="str">
        <f>IFERROR(__xludf.DUMMYFUNCTION("""COMPUTED_VALUE"""),"Belew S, Getachew M, Suleman S, Mohammed T, Deti H, D'Hondt M, et al. Assessment of Efficacy and Quality of Two Albendazole Brands Commonly Used against Soil-Transmitted Helminth Infections in School Children in Jimma Town, Ethiopia [Internet]. PLOS Negle"&amp;"cted Tropical Diseases. Public Library of Science; [cited 2021Jan29]. Available from: https://journals.plos.org/plosntds/article?id=10.1371%2Fjournal.pntd.0004057 ")</f>
        <v>Belew S, Getachew M, Suleman S, Mohammed T, Deti H, D'Hondt M, et al. Assessment of Efficacy and Quality of Two Albendazole Brands Commonly Used against Soil-Transmitted Helminth Infections in School Children in Jimma Town, Ethiopia [Internet]. PLOS Neglected Tropical Diseases. Public Library of Science; [cited 2021Jan29]. Available from: https://journals.plos.org/plosntds/article?id=10.1371%2Fjournal.pntd.0004057 </v>
      </c>
    </row>
    <row r="282">
      <c r="A282" s="834"/>
      <c r="B282" s="834"/>
      <c r="C282" s="834"/>
      <c r="D282" s="834"/>
      <c r="E282" s="834"/>
      <c r="F282" s="834"/>
      <c r="G282" s="834"/>
      <c r="H282" s="834"/>
      <c r="I282" s="834"/>
      <c r="J282" s="834"/>
      <c r="K282" s="834"/>
      <c r="L282" s="834"/>
      <c r="M282" s="834"/>
      <c r="N282" s="834"/>
      <c r="O282" s="834"/>
      <c r="P282" s="834"/>
      <c r="Q282" s="834"/>
      <c r="R282" s="834"/>
      <c r="S282" s="834"/>
      <c r="T282" s="834"/>
      <c r="U282" s="834"/>
      <c r="V282" s="834"/>
      <c r="W282" s="834"/>
      <c r="X282" s="834"/>
      <c r="Y282" s="834"/>
      <c r="Z282" s="834"/>
      <c r="AA282" s="834"/>
      <c r="AB282" s="834"/>
      <c r="AC282" s="834"/>
      <c r="AD282" s="834"/>
      <c r="AE282" s="834"/>
      <c r="AF282" s="834"/>
      <c r="AG282" s="834"/>
      <c r="AH282" s="834"/>
      <c r="AJ282" s="836"/>
      <c r="AK282" s="836"/>
      <c r="AL282" s="836"/>
      <c r="AM282" s="836"/>
      <c r="AN282" s="836"/>
      <c r="AO282" s="836"/>
      <c r="AP282" s="836"/>
      <c r="AQ282" s="836"/>
      <c r="AR282" s="836"/>
      <c r="AS282" s="836"/>
      <c r="AT282" s="836"/>
      <c r="AU282" s="836"/>
      <c r="AV282" s="836"/>
      <c r="AW282" s="836"/>
      <c r="AX282" s="836"/>
      <c r="AY282" s="836"/>
      <c r="AZ282" s="836"/>
      <c r="BA282" s="836"/>
      <c r="BB282" s="836"/>
      <c r="BC282" s="836"/>
      <c r="BD282" s="836"/>
      <c r="BE282" s="836"/>
      <c r="BF282" s="836"/>
      <c r="BG282" s="836"/>
      <c r="BH282" s="836"/>
      <c r="BI282" s="836"/>
      <c r="BJ282" s="836"/>
      <c r="BK282" s="836"/>
      <c r="BL282" s="836"/>
      <c r="BM282" s="836"/>
      <c r="BN282" s="836"/>
      <c r="BO282" s="836"/>
      <c r="BP282" s="836"/>
      <c r="BR282" s="844" t="str">
        <f>IFERROR(__xludf.DUMMYFUNCTION("""COMPUTED_VALUE"""),"Belew et al.")</f>
        <v>Belew et al.</v>
      </c>
      <c r="BS282" s="838" t="str">
        <f>IFERROR(__xludf.DUMMYFUNCTION("""COMPUTED_VALUE"""),"Ethiopia")</f>
        <v>Ethiopia</v>
      </c>
      <c r="BT282" s="838" t="str">
        <f>IFERROR(__xludf.DUMMYFUNCTION("""COMPUTED_VALUE"""),"Albendazole")</f>
        <v>Albendazole</v>
      </c>
      <c r="BU282" s="838"/>
      <c r="BV282" s="838" t="str">
        <f>IFERROR(__xludf.DUMMYFUNCTION("""COMPUTED_VALUE"""),"Single")</f>
        <v>Single</v>
      </c>
      <c r="BW282" s="838" t="str">
        <f>IFERROR(__xludf.DUMMYFUNCTION("""COMPUTED_VALUE"""),"400 mg")</f>
        <v>400 mg</v>
      </c>
      <c r="BX282" s="856" t="str">
        <f>IFERROR(__xludf.DUMMYFUNCTION("""COMPUTED_VALUE"""),"101")</f>
        <v>101</v>
      </c>
      <c r="BY282" s="856" t="str">
        <f>IFERROR(__xludf.DUMMYFUNCTION("""COMPUTED_VALUE"""),"10.3")</f>
        <v>10.3</v>
      </c>
      <c r="BZ282" s="856" t="str">
        <f>IFERROR(__xludf.DUMMYFUNCTION("""COMPUTED_VALUE"""),"2014")</f>
        <v>2014</v>
      </c>
      <c r="CA282" s="838"/>
      <c r="CB282" s="838" t="str">
        <f>IFERROR(__xludf.DUMMYFUNCTION("""COMPUTED_VALUE"""),"Age: 5-18 years old. Sex: males and females. Signed of written informed consent sheet by parents/or guardians, and those who volunteered to comply with study procedures (stool submission, drug treatment). Females: was not pregnant (as verbally assessed by"&amp;" clinician upon enrolled to treatment).")</f>
        <v>Age: 5-18 years old. Sex: males and females. Signed of written informed consent sheet by parents/or guardians, and those who volunteered to comply with study procedures (stool submission, drug treatment). Females: was not pregnant (as verbally assessed by clinician upon enrolled to treatment).</v>
      </c>
      <c r="CC282" s="856" t="str">
        <f>IFERROR(__xludf.DUMMYFUNCTION("""COMPUTED_VALUE"""),"Yes")</f>
        <v>Yes</v>
      </c>
      <c r="CD282" s="856" t="str">
        <f>IFERROR(__xludf.DUMMYFUNCTION("""COMPUTED_VALUE"""),"97.80%")</f>
        <v>97.80%</v>
      </c>
      <c r="CE282" s="856" t="str">
        <f>IFERROR(__xludf.DUMMYFUNCTION("""COMPUTED_VALUE"""),"No")</f>
        <v>No</v>
      </c>
      <c r="CF282" s="838"/>
      <c r="CG282" s="838"/>
      <c r="CH282" s="838"/>
      <c r="CI282" s="838"/>
      <c r="CJ282" s="838"/>
      <c r="CK282" s="838"/>
      <c r="CL282" s="838"/>
      <c r="CM282" s="838"/>
      <c r="CN282" s="838"/>
      <c r="CO282" s="838"/>
      <c r="CP282" s="838"/>
      <c r="CQ282" s="838"/>
      <c r="CR282" s="838"/>
      <c r="CS282" s="838" t="str">
        <f>IFERROR(__xludf.DUMMYFUNCTION("""COMPUTED_VALUE"""),"The study revealed that differences in efficacy between the two brands of albendazole (ABZ) tablets against hookworm are linked to the differences in the in-vitro drug release profile.")</f>
        <v>The study revealed that differences in efficacy between the two brands of albendazole (ABZ) tablets against hookworm are linked to the differences in the in-vitro drug release profile.</v>
      </c>
      <c r="CT282" s="838" t="str">
        <f>IFERROR(__xludf.DUMMYFUNCTION("""COMPUTED_VALUE"""),"McMaster egg counting method")</f>
        <v>McMaster egg counting method</v>
      </c>
      <c r="CU282" s="838"/>
      <c r="CV282" s="697" t="str">
        <f>IFERROR(__xludf.DUMMYFUNCTION("""COMPUTED_VALUE"""),"Belew S, Getachew M, Suleman S, Mohammed T, Deti H, D'Hondt M, et al. Assessment of Efficacy and Quality of Two Albendazole Brands Commonly Used against Soil-Transmitted Helminth Infections in School Children in Jimma Town, Ethiopia [Internet]. PLOS Negle"&amp;"cted Tropical Diseases. Public Library of Science; [cited 2021Jan29]. Available from: https://journals.plos.org/plosntds/article?id=10.1371%2Fjournal.pntd.0004057 ")</f>
        <v>Belew S, Getachew M, Suleman S, Mohammed T, Deti H, D'Hondt M, et al. Assessment of Efficacy and Quality of Two Albendazole Brands Commonly Used against Soil-Transmitted Helminth Infections in School Children in Jimma Town, Ethiopia [Internet]. PLOS Neglected Tropical Diseases. Public Library of Science; [cited 2021Jan29]. Available from: https://journals.plos.org/plosntds/article?id=10.1371%2Fjournal.pntd.0004057 </v>
      </c>
    </row>
    <row r="283">
      <c r="A283" s="834"/>
      <c r="B283" s="834"/>
      <c r="C283" s="834"/>
      <c r="D283" s="834"/>
      <c r="E283" s="834"/>
      <c r="F283" s="834"/>
      <c r="G283" s="834"/>
      <c r="H283" s="834"/>
      <c r="I283" s="834"/>
      <c r="J283" s="834"/>
      <c r="K283" s="834"/>
      <c r="L283" s="834"/>
      <c r="M283" s="834"/>
      <c r="N283" s="834"/>
      <c r="O283" s="834"/>
      <c r="P283" s="834"/>
      <c r="Q283" s="834"/>
      <c r="R283" s="834"/>
      <c r="S283" s="834"/>
      <c r="T283" s="834"/>
      <c r="U283" s="834"/>
      <c r="V283" s="834"/>
      <c r="W283" s="834"/>
      <c r="X283" s="834"/>
      <c r="Y283" s="834"/>
      <c r="Z283" s="834"/>
      <c r="AA283" s="834"/>
      <c r="AB283" s="834"/>
      <c r="AC283" s="834"/>
      <c r="AD283" s="834"/>
      <c r="AE283" s="834"/>
      <c r="AF283" s="834"/>
      <c r="AG283" s="834"/>
      <c r="AH283" s="834"/>
      <c r="AJ283" s="836"/>
      <c r="AK283" s="836"/>
      <c r="AL283" s="836"/>
      <c r="AM283" s="836"/>
      <c r="AN283" s="836"/>
      <c r="AO283" s="836"/>
      <c r="AP283" s="836"/>
      <c r="AQ283" s="836"/>
      <c r="AR283" s="836"/>
      <c r="AS283" s="836"/>
      <c r="AT283" s="836"/>
      <c r="AU283" s="836"/>
      <c r="AV283" s="836"/>
      <c r="AW283" s="836"/>
      <c r="AX283" s="836"/>
      <c r="AY283" s="836"/>
      <c r="AZ283" s="836"/>
      <c r="BA283" s="836"/>
      <c r="BB283" s="836"/>
      <c r="BC283" s="836"/>
      <c r="BD283" s="836"/>
      <c r="BE283" s="836"/>
      <c r="BF283" s="836"/>
      <c r="BG283" s="836"/>
      <c r="BH283" s="836"/>
      <c r="BI283" s="836"/>
      <c r="BJ283" s="836"/>
      <c r="BK283" s="836"/>
      <c r="BL283" s="836"/>
      <c r="BM283" s="836"/>
      <c r="BN283" s="836"/>
      <c r="BO283" s="836"/>
      <c r="BP283" s="836"/>
      <c r="BR283" s="844" t="str">
        <f>IFERROR(__xludf.DUMMYFUNCTION("""COMPUTED_VALUE"""),"Tefera et al.")</f>
        <v>Tefera et al.</v>
      </c>
      <c r="BS283" s="838" t="str">
        <f>IFERROR(__xludf.DUMMYFUNCTION("""COMPUTED_VALUE"""),"Ethiopia")</f>
        <v>Ethiopia</v>
      </c>
      <c r="BT283" s="838" t="str">
        <f>IFERROR(__xludf.DUMMYFUNCTION("""COMPUTED_VALUE"""),"Albendazole")</f>
        <v>Albendazole</v>
      </c>
      <c r="BU283" s="838"/>
      <c r="BV283" s="838" t="str">
        <f>IFERROR(__xludf.DUMMYFUNCTION("""COMPUTED_VALUE"""),"Single")</f>
        <v>Single</v>
      </c>
      <c r="BW283" s="838" t="str">
        <f>IFERROR(__xludf.DUMMYFUNCTION("""COMPUTED_VALUE"""),"400 mg")</f>
        <v>400 mg</v>
      </c>
      <c r="BX283" s="856" t="str">
        <f>IFERROR(__xludf.DUMMYFUNCTION("""COMPUTED_VALUE"""),"48")</f>
        <v>48</v>
      </c>
      <c r="BY283" s="838"/>
      <c r="BZ283" s="856" t="str">
        <f>IFERROR(__xludf.DUMMYFUNCTION("""COMPUTED_VALUE"""),"2010")</f>
        <v>2010</v>
      </c>
      <c r="CA283" s="838"/>
      <c r="CB283" s="838" t="str">
        <f>IFERROR(__xludf.DUMMYFUNCTION("""COMPUTED_VALUE"""),"Student at Mendera Elementary School")</f>
        <v>Student at Mendera Elementary School</v>
      </c>
      <c r="CC283" s="856" t="str">
        <f>IFERROR(__xludf.DUMMYFUNCTION("""COMPUTED_VALUE"""),"Yes")</f>
        <v>Yes</v>
      </c>
      <c r="CD283" s="856" t="str">
        <f>IFERROR(__xludf.DUMMYFUNCTION("""COMPUTED_VALUE"""),"100.00%")</f>
        <v>100.00%</v>
      </c>
      <c r="CE283" s="856" t="str">
        <f>IFERROR(__xludf.DUMMYFUNCTION("""COMPUTED_VALUE"""),"No")</f>
        <v>No</v>
      </c>
      <c r="CF283" s="838"/>
      <c r="CG283" s="838"/>
      <c r="CH283" s="838"/>
      <c r="CI283" s="838"/>
      <c r="CJ283" s="838"/>
      <c r="CK283" s="838"/>
      <c r="CL283" s="838"/>
      <c r="CM283" s="838"/>
      <c r="CN283" s="838"/>
      <c r="CO283" s="838"/>
      <c r="CP283" s="838"/>
      <c r="CQ283" s="838"/>
      <c r="CR283" s="838"/>
      <c r="CS283" s="838" t="str">
        <f>IFERROR(__xludf.DUMMYFUNCTION("""COMPUTED_VALUE"""),"All the three brands of Albendazole tested regardless of the brand type were therapeutically efficacious for Ascariasis, Trichuriasis and Hookworm infections irrespective of the infection status whether it was single or multiple.")</f>
        <v>All the three brands of Albendazole tested regardless of the brand type were therapeutically efficacious for Ascariasis, Trichuriasis and Hookworm infections irrespective of the infection status whether it was single or multiple.</v>
      </c>
      <c r="CT283" s="838" t="str">
        <f>IFERROR(__xludf.DUMMYFUNCTION("""COMPUTED_VALUE"""),"McMaster egg counting method")</f>
        <v>McMaster egg counting method</v>
      </c>
      <c r="CU283" s="838"/>
      <c r="CV283" s="697" t="str">
        <f>IFERROR(__xludf.DUMMYFUNCTION("""COMPUTED_VALUE"""),"Tefera, Ephrem &amp; Belay, Tariku &amp; Mekonnen, Seleshi &amp; Zeynudin, Ahmed &amp; Belachew, Tefera. (2015). Therapeutic efficacy of different brands of albendazole against soil transmitted helminths among students of Mendera Elementary School, Jimma, Southwest Ethio"&amp;"pia. Pan African Medical Journal. 22. 10.11604/pamj.2015.22.252.6501. ")</f>
        <v>Tefera, Ephrem &amp; Belay, Tariku &amp; Mekonnen, Seleshi &amp; Zeynudin, Ahmed &amp; Belachew, Tefera. (2015). Therapeutic efficacy of different brands of albendazole against soil transmitted helminths among students of Mendera Elementary School, Jimma, Southwest Ethiopia. Pan African Medical Journal. 22. 10.11604/pamj.2015.22.252.6501. </v>
      </c>
    </row>
    <row r="284">
      <c r="A284" s="834"/>
      <c r="B284" s="834"/>
      <c r="C284" s="834"/>
      <c r="D284" s="834"/>
      <c r="E284" s="834"/>
      <c r="F284" s="834"/>
      <c r="G284" s="834"/>
      <c r="H284" s="834"/>
      <c r="I284" s="834"/>
      <c r="J284" s="834"/>
      <c r="K284" s="834"/>
      <c r="L284" s="834"/>
      <c r="M284" s="834"/>
      <c r="N284" s="834"/>
      <c r="O284" s="834"/>
      <c r="P284" s="834"/>
      <c r="Q284" s="834"/>
      <c r="R284" s="834"/>
      <c r="S284" s="834"/>
      <c r="T284" s="834"/>
      <c r="U284" s="834"/>
      <c r="V284" s="834"/>
      <c r="W284" s="834"/>
      <c r="X284" s="834"/>
      <c r="Y284" s="834"/>
      <c r="Z284" s="834"/>
      <c r="AA284" s="834"/>
      <c r="AB284" s="834"/>
      <c r="AC284" s="834"/>
      <c r="AD284" s="834"/>
      <c r="AE284" s="834"/>
      <c r="AF284" s="834"/>
      <c r="AG284" s="834"/>
      <c r="AH284" s="834"/>
      <c r="AJ284" s="836"/>
      <c r="AK284" s="836"/>
      <c r="AL284" s="836"/>
      <c r="AM284" s="836"/>
      <c r="AN284" s="836"/>
      <c r="AO284" s="836"/>
      <c r="AP284" s="836"/>
      <c r="AQ284" s="836"/>
      <c r="AR284" s="836"/>
      <c r="AS284" s="836"/>
      <c r="AT284" s="836"/>
      <c r="AU284" s="836"/>
      <c r="AV284" s="836"/>
      <c r="AW284" s="836"/>
      <c r="AX284" s="836"/>
      <c r="AY284" s="836"/>
      <c r="AZ284" s="836"/>
      <c r="BA284" s="836"/>
      <c r="BB284" s="836"/>
      <c r="BC284" s="836"/>
      <c r="BD284" s="836"/>
      <c r="BE284" s="836"/>
      <c r="BF284" s="836"/>
      <c r="BG284" s="836"/>
      <c r="BH284" s="836"/>
      <c r="BI284" s="836"/>
      <c r="BJ284" s="836"/>
      <c r="BK284" s="836"/>
      <c r="BL284" s="836"/>
      <c r="BM284" s="836"/>
      <c r="BN284" s="836"/>
      <c r="BO284" s="836"/>
      <c r="BP284" s="836"/>
      <c r="BR284" s="844" t="str">
        <f>IFERROR(__xludf.DUMMYFUNCTION("""COMPUTED_VALUE"""),"Tefera et al.")</f>
        <v>Tefera et al.</v>
      </c>
      <c r="BS284" s="838" t="str">
        <f>IFERROR(__xludf.DUMMYFUNCTION("""COMPUTED_VALUE"""),"Ethiopia")</f>
        <v>Ethiopia</v>
      </c>
      <c r="BT284" s="838" t="str">
        <f>IFERROR(__xludf.DUMMYFUNCTION("""COMPUTED_VALUE"""),"Albendazole")</f>
        <v>Albendazole</v>
      </c>
      <c r="BU284" s="838"/>
      <c r="BV284" s="838" t="str">
        <f>IFERROR(__xludf.DUMMYFUNCTION("""COMPUTED_VALUE"""),"Single")</f>
        <v>Single</v>
      </c>
      <c r="BW284" s="838" t="str">
        <f>IFERROR(__xludf.DUMMYFUNCTION("""COMPUTED_VALUE"""),"400 mg")</f>
        <v>400 mg</v>
      </c>
      <c r="BX284" s="856" t="str">
        <f>IFERROR(__xludf.DUMMYFUNCTION("""COMPUTED_VALUE"""),"64")</f>
        <v>64</v>
      </c>
      <c r="BY284" s="838"/>
      <c r="BZ284" s="856" t="str">
        <f>IFERROR(__xludf.DUMMYFUNCTION("""COMPUTED_VALUE"""),"2010")</f>
        <v>2010</v>
      </c>
      <c r="CA284" s="838"/>
      <c r="CB284" s="838" t="str">
        <f>IFERROR(__xludf.DUMMYFUNCTION("""COMPUTED_VALUE"""),"Student at Mendera Elementary School")</f>
        <v>Student at Mendera Elementary School</v>
      </c>
      <c r="CC284" s="856" t="str">
        <f>IFERROR(__xludf.DUMMYFUNCTION("""COMPUTED_VALUE"""),"Yes")</f>
        <v>Yes</v>
      </c>
      <c r="CD284" s="856" t="str">
        <f>IFERROR(__xludf.DUMMYFUNCTION("""COMPUTED_VALUE"""),"100.00%")</f>
        <v>100.00%</v>
      </c>
      <c r="CE284" s="856" t="str">
        <f>IFERROR(__xludf.DUMMYFUNCTION("""COMPUTED_VALUE"""),"No")</f>
        <v>No</v>
      </c>
      <c r="CF284" s="838"/>
      <c r="CG284" s="838"/>
      <c r="CH284" s="838"/>
      <c r="CI284" s="838"/>
      <c r="CJ284" s="838"/>
      <c r="CK284" s="838"/>
      <c r="CL284" s="838"/>
      <c r="CM284" s="838"/>
      <c r="CN284" s="838"/>
      <c r="CO284" s="838"/>
      <c r="CP284" s="838"/>
      <c r="CQ284" s="838"/>
      <c r="CR284" s="838"/>
      <c r="CS284" s="838" t="str">
        <f>IFERROR(__xludf.DUMMYFUNCTION("""COMPUTED_VALUE"""),"All the three brands of Albendazole tested regardless of the brand type were therapeutically efficacious for Ascariasis, Trichuriasis and Hookworm infections irrespective of the infection status whether it was single or multiple.")</f>
        <v>All the three brands of Albendazole tested regardless of the brand type were therapeutically efficacious for Ascariasis, Trichuriasis and Hookworm infections irrespective of the infection status whether it was single or multiple.</v>
      </c>
      <c r="CT284" s="838" t="str">
        <f>IFERROR(__xludf.DUMMYFUNCTION("""COMPUTED_VALUE"""),"McMaster egg counting method")</f>
        <v>McMaster egg counting method</v>
      </c>
      <c r="CU284" s="838"/>
      <c r="CV284" s="697" t="str">
        <f>IFERROR(__xludf.DUMMYFUNCTION("""COMPUTED_VALUE"""),"Tefera, Ephrem &amp; Belay, Tariku &amp; Mekonnen, Seleshi &amp; Zeynudin, Ahmed &amp; Belachew, Tefera. (2015). Therapeutic efficacy of different brands of albendazole against soil transmitted helminths among students of Mendera Elementary School, Jimma, Southwest Ethio"&amp;"pia. Pan African Medical Journal. 22. 10.11604/pamj.2015.22.252.6501. ")</f>
        <v>Tefera, Ephrem &amp; Belay, Tariku &amp; Mekonnen, Seleshi &amp; Zeynudin, Ahmed &amp; Belachew, Tefera. (2015). Therapeutic efficacy of different brands of albendazole against soil transmitted helminths among students of Mendera Elementary School, Jimma, Southwest Ethiopia. Pan African Medical Journal. 22. 10.11604/pamj.2015.22.252.6501. </v>
      </c>
    </row>
    <row r="285">
      <c r="A285" s="834"/>
      <c r="B285" s="834"/>
      <c r="C285" s="834"/>
      <c r="D285" s="834"/>
      <c r="E285" s="834"/>
      <c r="F285" s="834"/>
      <c r="G285" s="834"/>
      <c r="H285" s="834"/>
      <c r="I285" s="834"/>
      <c r="J285" s="834"/>
      <c r="K285" s="834"/>
      <c r="L285" s="834"/>
      <c r="M285" s="834"/>
      <c r="N285" s="834"/>
      <c r="O285" s="834"/>
      <c r="P285" s="834"/>
      <c r="Q285" s="834"/>
      <c r="R285" s="834"/>
      <c r="S285" s="834"/>
      <c r="T285" s="834"/>
      <c r="U285" s="834"/>
      <c r="V285" s="834"/>
      <c r="W285" s="834"/>
      <c r="X285" s="834"/>
      <c r="Y285" s="834"/>
      <c r="Z285" s="834"/>
      <c r="AA285" s="834"/>
      <c r="AB285" s="834"/>
      <c r="AC285" s="834"/>
      <c r="AD285" s="834"/>
      <c r="AE285" s="834"/>
      <c r="AF285" s="834"/>
      <c r="AG285" s="834"/>
      <c r="AH285" s="834"/>
      <c r="AJ285" s="836"/>
      <c r="AK285" s="836"/>
      <c r="AL285" s="836"/>
      <c r="AM285" s="836"/>
      <c r="AN285" s="836"/>
      <c r="AO285" s="836"/>
      <c r="AP285" s="836"/>
      <c r="AQ285" s="836"/>
      <c r="AR285" s="836"/>
      <c r="AS285" s="836"/>
      <c r="AT285" s="836"/>
      <c r="AU285" s="836"/>
      <c r="AV285" s="836"/>
      <c r="AW285" s="836"/>
      <c r="AX285" s="836"/>
      <c r="AY285" s="836"/>
      <c r="AZ285" s="836"/>
      <c r="BA285" s="836"/>
      <c r="BB285" s="836"/>
      <c r="BC285" s="836"/>
      <c r="BD285" s="836"/>
      <c r="BE285" s="836"/>
      <c r="BF285" s="836"/>
      <c r="BG285" s="836"/>
      <c r="BH285" s="836"/>
      <c r="BI285" s="836"/>
      <c r="BJ285" s="836"/>
      <c r="BK285" s="836"/>
      <c r="BL285" s="836"/>
      <c r="BM285" s="836"/>
      <c r="BN285" s="836"/>
      <c r="BO285" s="836"/>
      <c r="BP285" s="836"/>
      <c r="BR285" s="844" t="str">
        <f>IFERROR(__xludf.DUMMYFUNCTION("""COMPUTED_VALUE"""),"Tefera et al.")</f>
        <v>Tefera et al.</v>
      </c>
      <c r="BS285" s="838" t="str">
        <f>IFERROR(__xludf.DUMMYFUNCTION("""COMPUTED_VALUE"""),"Ethiopia")</f>
        <v>Ethiopia</v>
      </c>
      <c r="BT285" s="838" t="str">
        <f>IFERROR(__xludf.DUMMYFUNCTION("""COMPUTED_VALUE"""),"Albendazole")</f>
        <v>Albendazole</v>
      </c>
      <c r="BU285" s="838"/>
      <c r="BV285" s="838" t="str">
        <f>IFERROR(__xludf.DUMMYFUNCTION("""COMPUTED_VALUE"""),"Single")</f>
        <v>Single</v>
      </c>
      <c r="BW285" s="838" t="str">
        <f>IFERROR(__xludf.DUMMYFUNCTION("""COMPUTED_VALUE"""),"400 mg")</f>
        <v>400 mg</v>
      </c>
      <c r="BX285" s="856" t="str">
        <f>IFERROR(__xludf.DUMMYFUNCTION("""COMPUTED_VALUE"""),"50")</f>
        <v>50</v>
      </c>
      <c r="BY285" s="838"/>
      <c r="BZ285" s="856" t="str">
        <f>IFERROR(__xludf.DUMMYFUNCTION("""COMPUTED_VALUE"""),"2010")</f>
        <v>2010</v>
      </c>
      <c r="CA285" s="838"/>
      <c r="CB285" s="838" t="str">
        <f>IFERROR(__xludf.DUMMYFUNCTION("""COMPUTED_VALUE"""),"Student at Mendera Elementary School")</f>
        <v>Student at Mendera Elementary School</v>
      </c>
      <c r="CC285" s="856" t="str">
        <f>IFERROR(__xludf.DUMMYFUNCTION("""COMPUTED_VALUE"""),"Yes")</f>
        <v>Yes</v>
      </c>
      <c r="CD285" s="856" t="str">
        <f>IFERROR(__xludf.DUMMYFUNCTION("""COMPUTED_VALUE"""),"98.00%")</f>
        <v>98.00%</v>
      </c>
      <c r="CE285" s="856" t="str">
        <f>IFERROR(__xludf.DUMMYFUNCTION("""COMPUTED_VALUE"""),"No")</f>
        <v>No</v>
      </c>
      <c r="CF285" s="838"/>
      <c r="CG285" s="838"/>
      <c r="CH285" s="838"/>
      <c r="CI285" s="838"/>
      <c r="CJ285" s="838"/>
      <c r="CK285" s="838"/>
      <c r="CL285" s="838"/>
      <c r="CM285" s="838"/>
      <c r="CN285" s="838"/>
      <c r="CO285" s="838"/>
      <c r="CP285" s="838"/>
      <c r="CQ285" s="838"/>
      <c r="CR285" s="838"/>
      <c r="CS285" s="838" t="str">
        <f>IFERROR(__xludf.DUMMYFUNCTION("""COMPUTED_VALUE"""),"All the three brands of Albendazole tested regardless of the brand type were therapeutically efficacious for Ascariasis, Trichuriasis and Hookworm infections irrespective of the infection status whether it was single or multiple.")</f>
        <v>All the three brands of Albendazole tested regardless of the brand type were therapeutically efficacious for Ascariasis, Trichuriasis and Hookworm infections irrespective of the infection status whether it was single or multiple.</v>
      </c>
      <c r="CT285" s="838" t="str">
        <f>IFERROR(__xludf.DUMMYFUNCTION("""COMPUTED_VALUE"""),"McMaster egg counting method")</f>
        <v>McMaster egg counting method</v>
      </c>
      <c r="CU285" s="838"/>
      <c r="CV285" s="697" t="str">
        <f>IFERROR(__xludf.DUMMYFUNCTION("""COMPUTED_VALUE"""),"Tefera, Ephrem &amp; Belay, Tariku &amp; Mekonnen, Seleshi &amp; Zeynudin, Ahmed &amp; Belachew, Tefera. (2015). Therapeutic efficacy of different brands of albendazole against soil transmitted helminths among students of Mendera Elementary School, Jimma, Southwest Ethio"&amp;"pia. Pan African Medical Journal. 22. 10.11604/pamj.2015.22.252.6501. ")</f>
        <v>Tefera, Ephrem &amp; Belay, Tariku &amp; Mekonnen, Seleshi &amp; Zeynudin, Ahmed &amp; Belachew, Tefera. (2015). Therapeutic efficacy of different brands of albendazole against soil transmitted helminths among students of Mendera Elementary School, Jimma, Southwest Ethiopia. Pan African Medical Journal. 22. 10.11604/pamj.2015.22.252.6501. </v>
      </c>
    </row>
    <row r="286">
      <c r="A286" s="834"/>
      <c r="B286" s="834"/>
      <c r="C286" s="834"/>
      <c r="D286" s="834"/>
      <c r="E286" s="834"/>
      <c r="F286" s="834"/>
      <c r="G286" s="834"/>
      <c r="H286" s="834"/>
      <c r="I286" s="834"/>
      <c r="J286" s="834"/>
      <c r="K286" s="834"/>
      <c r="L286" s="834"/>
      <c r="M286" s="834"/>
      <c r="N286" s="834"/>
      <c r="O286" s="834"/>
      <c r="P286" s="834"/>
      <c r="Q286" s="834"/>
      <c r="R286" s="834"/>
      <c r="S286" s="834"/>
      <c r="T286" s="834"/>
      <c r="U286" s="834"/>
      <c r="V286" s="834"/>
      <c r="W286" s="834"/>
      <c r="X286" s="834"/>
      <c r="Y286" s="834"/>
      <c r="Z286" s="834"/>
      <c r="AA286" s="834"/>
      <c r="AB286" s="834"/>
      <c r="AC286" s="834"/>
      <c r="AD286" s="834"/>
      <c r="AE286" s="834"/>
      <c r="AF286" s="834"/>
      <c r="AG286" s="834"/>
      <c r="AH286" s="834"/>
      <c r="AJ286" s="836"/>
      <c r="AK286" s="836"/>
      <c r="AL286" s="836"/>
      <c r="AM286" s="836"/>
      <c r="AN286" s="836"/>
      <c r="AO286" s="836"/>
      <c r="AP286" s="836"/>
      <c r="AQ286" s="836"/>
      <c r="AR286" s="836"/>
      <c r="AS286" s="836"/>
      <c r="AT286" s="836"/>
      <c r="AU286" s="836"/>
      <c r="AV286" s="836"/>
      <c r="AW286" s="836"/>
      <c r="AX286" s="836"/>
      <c r="AY286" s="836"/>
      <c r="AZ286" s="836"/>
      <c r="BA286" s="836"/>
      <c r="BB286" s="836"/>
      <c r="BC286" s="836"/>
      <c r="BD286" s="836"/>
      <c r="BE286" s="836"/>
      <c r="BF286" s="836"/>
      <c r="BG286" s="836"/>
      <c r="BH286" s="836"/>
      <c r="BI286" s="836"/>
      <c r="BJ286" s="836"/>
      <c r="BK286" s="836"/>
      <c r="BL286" s="836"/>
      <c r="BM286" s="836"/>
      <c r="BN286" s="836"/>
      <c r="BO286" s="836"/>
      <c r="BP286" s="836"/>
      <c r="BR286" s="844" t="str">
        <f>IFERROR(__xludf.DUMMYFUNCTION("""COMPUTED_VALUE"""),"Anto et al.")</f>
        <v>Anto et al.</v>
      </c>
      <c r="BS286" s="838" t="str">
        <f>IFERROR(__xludf.DUMMYFUNCTION("""COMPUTED_VALUE"""),"Indonesia")</f>
        <v>Indonesia</v>
      </c>
      <c r="BT286" s="838" t="str">
        <f>IFERROR(__xludf.DUMMYFUNCTION("""COMPUTED_VALUE"""),"Albendazole")</f>
        <v>Albendazole</v>
      </c>
      <c r="BU286" s="838"/>
      <c r="BV286" s="838" t="str">
        <f>IFERROR(__xludf.DUMMYFUNCTION("""COMPUTED_VALUE"""),"Single")</f>
        <v>Single</v>
      </c>
      <c r="BW286" s="838" t="str">
        <f>IFERROR(__xludf.DUMMYFUNCTION("""COMPUTED_VALUE"""),"400 mg")</f>
        <v>400 mg</v>
      </c>
      <c r="BX286" s="856" t="str">
        <f>IFERROR(__xludf.DUMMYFUNCTION("""COMPUTED_VALUE"""),"60")</f>
        <v>60</v>
      </c>
      <c r="BY286" s="856" t="str">
        <f>IFERROR(__xludf.DUMMYFUNCTION("""COMPUTED_VALUE"""),"9.2 ")</f>
        <v>9.2 </v>
      </c>
      <c r="BZ286" s="856" t="str">
        <f>IFERROR(__xludf.DUMMYFUNCTION("""COMPUTED_VALUE"""),"2015")</f>
        <v>2015</v>
      </c>
      <c r="CA286" s="856" t="str">
        <f>IFERROR(__xludf.DUMMYFUNCTION("""COMPUTED_VALUE"""),"35M:25F")</f>
        <v>35M:25F</v>
      </c>
      <c r="CB286" s="838" t="str">
        <f>IFERROR(__xludf.DUMMYFUNCTION("""COMPUTED_VALUE"""),"Elementary school studens with written informed concent from subjects parents or guardian. ")</f>
        <v>Elementary school studens with written informed concent from subjects parents or guardian. </v>
      </c>
      <c r="CC286" s="856" t="str">
        <f>IFERROR(__xludf.DUMMYFUNCTION("""COMPUTED_VALUE"""),"Yes")</f>
        <v>Yes</v>
      </c>
      <c r="CD286" s="856" t="str">
        <f>IFERROR(__xludf.DUMMYFUNCTION("""COMPUTED_VALUE"""),"100.00%")</f>
        <v>100.00%</v>
      </c>
      <c r="CE286" s="856" t="str">
        <f>IFERROR(__xludf.DUMMYFUNCTION("""COMPUTED_VALUE"""),"Yes")</f>
        <v>Yes</v>
      </c>
      <c r="CF286" s="838"/>
      <c r="CG286" s="838"/>
      <c r="CH286" s="838"/>
      <c r="CI286" s="838"/>
      <c r="CJ286" s="838"/>
      <c r="CK286" s="838"/>
      <c r="CL286" s="838"/>
      <c r="CM286" s="838"/>
      <c r="CN286" s="838"/>
      <c r="CO286" s="838"/>
      <c r="CP286" s="838"/>
      <c r="CQ286" s="838"/>
      <c r="CR286" s="838"/>
      <c r="CS286" s="838" t="str">
        <f>IFERROR(__xludf.DUMMYFUNCTION("""COMPUTED_VALUE"""),"Single-dose albendazole, a combination of albendazole and levamisole, and the combination of mebendazole and levamisole had similar efficacy in reducing egg count in helminthiasis. Combination of albendazole and levamisole showed better cure rate for mild"&amp;" trichuriasis and mixed infections. Side effects were similar in all treatment groups.")</f>
        <v>Single-dose albendazole, a combination of albendazole and levamisole, and the combination of mebendazole and levamisole had similar efficacy in reducing egg count in helminthiasis. Combination of albendazole and levamisole showed better cure rate for mild trichuriasis and mixed infections. Side effects were similar in all treatment groups.</v>
      </c>
      <c r="CT286" s="838" t="str">
        <f>IFERROR(__xludf.DUMMYFUNCTION("""COMPUTED_VALUE"""),"Kato-Katz technique")</f>
        <v>Kato-Katz technique</v>
      </c>
      <c r="CU286" s="838"/>
      <c r="CV286" s="697" t="str">
        <f>IFERROR(__xludf.DUMMYFUNCTION("""COMPUTED_VALUE"""),"Anto EJ, Nugraha SE. Efficacy of Albendazole and Mebendazole With or Without Levamisole for Ascariasis and Trichuriasis. Open Access Maced J Med Sci. 2019 Apr 28;7(8):1299-1302. doi: 10.3889/oamjms.2019.299. PMID: 31110573; PMCID: PMC6514329.")</f>
        <v>Anto EJ, Nugraha SE. Efficacy of Albendazole and Mebendazole With or Without Levamisole for Ascariasis and Trichuriasis. Open Access Maced J Med Sci. 2019 Apr 28;7(8):1299-1302. doi: 10.3889/oamjms.2019.299. PMID: 31110573; PMCID: PMC6514329.</v>
      </c>
    </row>
    <row r="287">
      <c r="A287" s="834"/>
      <c r="B287" s="834"/>
      <c r="C287" s="834"/>
      <c r="D287" s="834"/>
      <c r="E287" s="834"/>
      <c r="F287" s="834"/>
      <c r="G287" s="834"/>
      <c r="H287" s="834"/>
      <c r="I287" s="834"/>
      <c r="J287" s="834"/>
      <c r="K287" s="834"/>
      <c r="L287" s="834"/>
      <c r="M287" s="834"/>
      <c r="N287" s="834"/>
      <c r="O287" s="834"/>
      <c r="P287" s="834"/>
      <c r="Q287" s="834"/>
      <c r="R287" s="834"/>
      <c r="S287" s="834"/>
      <c r="T287" s="834"/>
      <c r="U287" s="834"/>
      <c r="V287" s="834"/>
      <c r="W287" s="834"/>
      <c r="X287" s="834"/>
      <c r="Y287" s="834"/>
      <c r="Z287" s="834"/>
      <c r="AA287" s="834"/>
      <c r="AB287" s="834"/>
      <c r="AC287" s="834"/>
      <c r="AD287" s="834"/>
      <c r="AE287" s="834"/>
      <c r="AF287" s="834"/>
      <c r="AG287" s="834"/>
      <c r="AH287" s="834"/>
      <c r="AJ287" s="836"/>
      <c r="AK287" s="836"/>
      <c r="AL287" s="836"/>
      <c r="AM287" s="836"/>
      <c r="AN287" s="836"/>
      <c r="AO287" s="836"/>
      <c r="AP287" s="836"/>
      <c r="AQ287" s="836"/>
      <c r="AR287" s="836"/>
      <c r="AS287" s="836"/>
      <c r="AT287" s="836"/>
      <c r="AU287" s="836"/>
      <c r="AV287" s="836"/>
      <c r="AW287" s="836"/>
      <c r="AX287" s="836"/>
      <c r="AY287" s="836"/>
      <c r="AZ287" s="836"/>
      <c r="BA287" s="836"/>
      <c r="BB287" s="836"/>
      <c r="BC287" s="836"/>
      <c r="BD287" s="836"/>
      <c r="BE287" s="836"/>
      <c r="BF287" s="836"/>
      <c r="BG287" s="836"/>
      <c r="BH287" s="836"/>
      <c r="BI287" s="836"/>
      <c r="BJ287" s="836"/>
      <c r="BK287" s="836"/>
      <c r="BL287" s="836"/>
      <c r="BM287" s="836"/>
      <c r="BN287" s="836"/>
      <c r="BO287" s="836"/>
      <c r="BP287" s="836"/>
      <c r="BR287" s="844" t="str">
        <f>IFERROR(__xludf.DUMMYFUNCTION("""COMPUTED_VALUE"""),"Anto et al.")</f>
        <v>Anto et al.</v>
      </c>
      <c r="BS287" s="838" t="str">
        <f>IFERROR(__xludf.DUMMYFUNCTION("""COMPUTED_VALUE"""),"Indonesia")</f>
        <v>Indonesia</v>
      </c>
      <c r="BT287" s="838" t="str">
        <f>IFERROR(__xludf.DUMMYFUNCTION("""COMPUTED_VALUE"""),"Albendazole &amp; Levamisole")</f>
        <v>Albendazole &amp; Levamisole</v>
      </c>
      <c r="BU287" s="838"/>
      <c r="BV287" s="838" t="str">
        <f>IFERROR(__xludf.DUMMYFUNCTION("""COMPUTED_VALUE"""),"Single")</f>
        <v>Single</v>
      </c>
      <c r="BW287" s="838" t="str">
        <f>IFERROR(__xludf.DUMMYFUNCTION("""COMPUTED_VALUE"""),"400 mg; 50 mg (weight 10-20 kg) OR 100 mg (Weight 21-40 kg) OR 150 mg (Weight &gt; 40 kg)")</f>
        <v>400 mg; 50 mg (weight 10-20 kg) OR 100 mg (Weight 21-40 kg) OR 150 mg (Weight &gt; 40 kg)</v>
      </c>
      <c r="BX287" s="856" t="str">
        <f>IFERROR(__xludf.DUMMYFUNCTION("""COMPUTED_VALUE"""),"60")</f>
        <v>60</v>
      </c>
      <c r="BY287" s="856" t="str">
        <f>IFERROR(__xludf.DUMMYFUNCTION("""COMPUTED_VALUE"""),"8.9 ")</f>
        <v>8.9 </v>
      </c>
      <c r="BZ287" s="856" t="str">
        <f>IFERROR(__xludf.DUMMYFUNCTION("""COMPUTED_VALUE"""),"2015")</f>
        <v>2015</v>
      </c>
      <c r="CA287" s="856" t="str">
        <f>IFERROR(__xludf.DUMMYFUNCTION("""COMPUTED_VALUE"""),"28M:32F")</f>
        <v>28M:32F</v>
      </c>
      <c r="CB287" s="838" t="str">
        <f>IFERROR(__xludf.DUMMYFUNCTION("""COMPUTED_VALUE"""),"Elementary school studens with written informed concent from subjects parents or guardian. ")</f>
        <v>Elementary school studens with written informed concent from subjects parents or guardian. </v>
      </c>
      <c r="CC287" s="856" t="str">
        <f>IFERROR(__xludf.DUMMYFUNCTION("""COMPUTED_VALUE"""),"Yes")</f>
        <v>Yes</v>
      </c>
      <c r="CD287" s="856" t="str">
        <f>IFERROR(__xludf.DUMMYFUNCTION("""COMPUTED_VALUE"""),"100.00%")</f>
        <v>100.00%</v>
      </c>
      <c r="CE287" s="856" t="str">
        <f>IFERROR(__xludf.DUMMYFUNCTION("""COMPUTED_VALUE"""),"Yes")</f>
        <v>Yes</v>
      </c>
      <c r="CF287" s="838"/>
      <c r="CG287" s="838"/>
      <c r="CH287" s="838"/>
      <c r="CI287" s="838"/>
      <c r="CJ287" s="838"/>
      <c r="CK287" s="838"/>
      <c r="CL287" s="838"/>
      <c r="CM287" s="838"/>
      <c r="CN287" s="838"/>
      <c r="CO287" s="838"/>
      <c r="CP287" s="838"/>
      <c r="CQ287" s="838"/>
      <c r="CR287" s="838"/>
      <c r="CS287" s="838" t="str">
        <f>IFERROR(__xludf.DUMMYFUNCTION("""COMPUTED_VALUE"""),"Single-dose albendazole, a combination of albendazole and levamisole, and the combination of mebendazole and levamisole had similar efficacy in reducing egg count in helminthiasis. Combination of albendazole and levamisole showed better cure rate for mild"&amp;" trichuriasis and mixed infections. Side effects were similar in all treatment groups.")</f>
        <v>Single-dose albendazole, a combination of albendazole and levamisole, and the combination of mebendazole and levamisole had similar efficacy in reducing egg count in helminthiasis. Combination of albendazole and levamisole showed better cure rate for mild trichuriasis and mixed infections. Side effects were similar in all treatment groups.</v>
      </c>
      <c r="CT287" s="838" t="str">
        <f>IFERROR(__xludf.DUMMYFUNCTION("""COMPUTED_VALUE"""),"Kato-Katz technique")</f>
        <v>Kato-Katz technique</v>
      </c>
      <c r="CU287" s="838"/>
      <c r="CV287" s="697" t="str">
        <f>IFERROR(__xludf.DUMMYFUNCTION("""COMPUTED_VALUE"""),"Anto EJ, Nugraha SE. Efficacy of Albendazole and Mebendazole With or Without Levamisole for Ascariasis and Trichuriasis. Open Access Maced J Med Sci. 2019 Apr 28;7(8):1299-1302. doi: 10.3889/oamjms.2019.299. PMID: 31110573; PMCID: PMC6514329.")</f>
        <v>Anto EJ, Nugraha SE. Efficacy of Albendazole and Mebendazole With or Without Levamisole for Ascariasis and Trichuriasis. Open Access Maced J Med Sci. 2019 Apr 28;7(8):1299-1302. doi: 10.3889/oamjms.2019.299. PMID: 31110573; PMCID: PMC6514329.</v>
      </c>
    </row>
    <row r="288">
      <c r="A288" s="834"/>
      <c r="B288" s="834"/>
      <c r="C288" s="834"/>
      <c r="D288" s="834"/>
      <c r="E288" s="834"/>
      <c r="F288" s="834"/>
      <c r="G288" s="834"/>
      <c r="H288" s="834"/>
      <c r="I288" s="834"/>
      <c r="J288" s="834"/>
      <c r="K288" s="834"/>
      <c r="L288" s="834"/>
      <c r="M288" s="834"/>
      <c r="N288" s="834"/>
      <c r="O288" s="834"/>
      <c r="P288" s="834"/>
      <c r="Q288" s="834"/>
      <c r="R288" s="834"/>
      <c r="S288" s="834"/>
      <c r="T288" s="834"/>
      <c r="U288" s="834"/>
      <c r="V288" s="834"/>
      <c r="W288" s="834"/>
      <c r="X288" s="834"/>
      <c r="Y288" s="834"/>
      <c r="Z288" s="834"/>
      <c r="AA288" s="834"/>
      <c r="AB288" s="834"/>
      <c r="AC288" s="834"/>
      <c r="AD288" s="834"/>
      <c r="AE288" s="834"/>
      <c r="AF288" s="834"/>
      <c r="AG288" s="834"/>
      <c r="AH288" s="834"/>
      <c r="AJ288" s="836"/>
      <c r="AK288" s="836"/>
      <c r="AL288" s="836"/>
      <c r="AM288" s="836"/>
      <c r="AN288" s="836"/>
      <c r="AO288" s="836"/>
      <c r="AP288" s="836"/>
      <c r="AQ288" s="836"/>
      <c r="AR288" s="836"/>
      <c r="AS288" s="836"/>
      <c r="AT288" s="836"/>
      <c r="AU288" s="836"/>
      <c r="AV288" s="836"/>
      <c r="AW288" s="836"/>
      <c r="AX288" s="836"/>
      <c r="AY288" s="836"/>
      <c r="AZ288" s="836"/>
      <c r="BA288" s="836"/>
      <c r="BB288" s="836"/>
      <c r="BC288" s="836"/>
      <c r="BD288" s="836"/>
      <c r="BE288" s="836"/>
      <c r="BF288" s="836"/>
      <c r="BG288" s="836"/>
      <c r="BH288" s="836"/>
      <c r="BI288" s="836"/>
      <c r="BJ288" s="836"/>
      <c r="BK288" s="836"/>
      <c r="BL288" s="836"/>
      <c r="BM288" s="836"/>
      <c r="BN288" s="836"/>
      <c r="BO288" s="836"/>
      <c r="BP288" s="836"/>
      <c r="BR288" s="844" t="str">
        <f>IFERROR(__xludf.DUMMYFUNCTION("""COMPUTED_VALUE"""),"Anto et al.")</f>
        <v>Anto et al.</v>
      </c>
      <c r="BS288" s="838" t="str">
        <f>IFERROR(__xludf.DUMMYFUNCTION("""COMPUTED_VALUE"""),"Indonesia")</f>
        <v>Indonesia</v>
      </c>
      <c r="BT288" s="838" t="str">
        <f>IFERROR(__xludf.DUMMYFUNCTION("""COMPUTED_VALUE"""),"Mebendazole &amp; Levamisole")</f>
        <v>Mebendazole &amp; Levamisole</v>
      </c>
      <c r="BU288" s="838"/>
      <c r="BV288" s="838" t="str">
        <f>IFERROR(__xludf.DUMMYFUNCTION("""COMPUTED_VALUE"""),"Single")</f>
        <v>Single</v>
      </c>
      <c r="BW288" s="845" t="str">
        <f>IFERROR(__xludf.DUMMYFUNCTION("""COMPUTED_VALUE"""),"500 mg; 50 mg (weight 10-20 kg) OR 100 mg (Weight 21-40 kg) OR 150 mg (Weight &gt; 40 kg)")</f>
        <v>500 mg; 50 mg (weight 10-20 kg) OR 100 mg (Weight 21-40 kg) OR 150 mg (Weight &gt; 40 kg)</v>
      </c>
      <c r="BX288" s="856" t="str">
        <f>IFERROR(__xludf.DUMMYFUNCTION("""COMPUTED_VALUE"""),"60")</f>
        <v>60</v>
      </c>
      <c r="BY288" s="856" t="str">
        <f>IFERROR(__xludf.DUMMYFUNCTION("""COMPUTED_VALUE"""),"9.1 ")</f>
        <v>9.1 </v>
      </c>
      <c r="BZ288" s="856" t="str">
        <f>IFERROR(__xludf.DUMMYFUNCTION("""COMPUTED_VALUE"""),"2015")</f>
        <v>2015</v>
      </c>
      <c r="CA288" s="856" t="str">
        <f>IFERROR(__xludf.DUMMYFUNCTION("""COMPUTED_VALUE"""),"31M:29F")</f>
        <v>31M:29F</v>
      </c>
      <c r="CB288" s="838" t="str">
        <f>IFERROR(__xludf.DUMMYFUNCTION("""COMPUTED_VALUE"""),"Elementary school studens with written informed concent from subjects parents or guardian. ")</f>
        <v>Elementary school studens with written informed concent from subjects parents or guardian. </v>
      </c>
      <c r="CC288" s="856" t="str">
        <f>IFERROR(__xludf.DUMMYFUNCTION("""COMPUTED_VALUE"""),"Yes")</f>
        <v>Yes</v>
      </c>
      <c r="CD288" s="856" t="str">
        <f>IFERROR(__xludf.DUMMYFUNCTION("""COMPUTED_VALUE"""),"100.00%")</f>
        <v>100.00%</v>
      </c>
      <c r="CE288" s="856" t="str">
        <f>IFERROR(__xludf.DUMMYFUNCTION("""COMPUTED_VALUE"""),"Yes")</f>
        <v>Yes</v>
      </c>
      <c r="CF288" s="838"/>
      <c r="CG288" s="838"/>
      <c r="CH288" s="838"/>
      <c r="CI288" s="838"/>
      <c r="CJ288" s="838"/>
      <c r="CK288" s="838"/>
      <c r="CL288" s="838"/>
      <c r="CM288" s="838"/>
      <c r="CN288" s="838"/>
      <c r="CO288" s="838"/>
      <c r="CP288" s="838"/>
      <c r="CQ288" s="838"/>
      <c r="CR288" s="838"/>
      <c r="CS288" s="838" t="str">
        <f>IFERROR(__xludf.DUMMYFUNCTION("""COMPUTED_VALUE"""),"Single-dose albendazole, a combination of albendazole and levamisole, and the combination of mebendazole and levamisole had similar efficacy in reducing egg count in helminthiasis. Combination of albendazole and levamisole showed better cure rate for mild"&amp;" trichuriasis and mixed infections. Side effects were similar in all treatment groups.")</f>
        <v>Single-dose albendazole, a combination of albendazole and levamisole, and the combination of mebendazole and levamisole had similar efficacy in reducing egg count in helminthiasis. Combination of albendazole and levamisole showed better cure rate for mild trichuriasis and mixed infections. Side effects were similar in all treatment groups.</v>
      </c>
      <c r="CT288" s="838" t="str">
        <f>IFERROR(__xludf.DUMMYFUNCTION("""COMPUTED_VALUE"""),"Kato-Katz technique")</f>
        <v>Kato-Katz technique</v>
      </c>
      <c r="CU288" s="838"/>
      <c r="CV288" s="697" t="str">
        <f>IFERROR(__xludf.DUMMYFUNCTION("""COMPUTED_VALUE"""),"Anto EJ, Nugraha SE. Efficacy of Albendazole and Mebendazole With or Without Levamisole for Ascariasis and Trichuriasis. Open Access Maced J Med Sci. 2019 Apr 28;7(8):1299-1302. doi: 10.3889/oamjms.2019.299. PMID: 31110573; PMCID: PMC6514329.")</f>
        <v>Anto EJ, Nugraha SE. Efficacy of Albendazole and Mebendazole With or Without Levamisole for Ascariasis and Trichuriasis. Open Access Maced J Med Sci. 2019 Apr 28;7(8):1299-1302. doi: 10.3889/oamjms.2019.299. PMID: 31110573; PMCID: PMC6514329.</v>
      </c>
    </row>
    <row r="289">
      <c r="A289" s="834"/>
      <c r="B289" s="834"/>
      <c r="C289" s="834"/>
      <c r="D289" s="834"/>
      <c r="E289" s="834"/>
      <c r="F289" s="834"/>
      <c r="G289" s="834"/>
      <c r="H289" s="834"/>
      <c r="I289" s="834"/>
      <c r="J289" s="834"/>
      <c r="K289" s="834"/>
      <c r="L289" s="834"/>
      <c r="M289" s="834"/>
      <c r="N289" s="834"/>
      <c r="O289" s="834"/>
      <c r="P289" s="834"/>
      <c r="Q289" s="834"/>
      <c r="R289" s="834"/>
      <c r="S289" s="834"/>
      <c r="T289" s="834"/>
      <c r="U289" s="834"/>
      <c r="V289" s="834"/>
      <c r="W289" s="834"/>
      <c r="X289" s="834"/>
      <c r="Y289" s="834"/>
      <c r="Z289" s="834"/>
      <c r="AA289" s="834"/>
      <c r="AB289" s="834"/>
      <c r="AC289" s="834"/>
      <c r="AD289" s="834"/>
      <c r="AE289" s="834"/>
      <c r="AF289" s="834"/>
      <c r="AG289" s="834"/>
      <c r="AH289" s="834"/>
      <c r="AJ289" s="836"/>
      <c r="AK289" s="836"/>
      <c r="AL289" s="836"/>
      <c r="AM289" s="836"/>
      <c r="AN289" s="836"/>
      <c r="AO289" s="836"/>
      <c r="AP289" s="836"/>
      <c r="AQ289" s="836"/>
      <c r="AR289" s="836"/>
      <c r="AS289" s="836"/>
      <c r="AT289" s="836"/>
      <c r="AU289" s="836"/>
      <c r="AV289" s="836"/>
      <c r="AW289" s="836"/>
      <c r="AX289" s="836"/>
      <c r="AY289" s="836"/>
      <c r="AZ289" s="836"/>
      <c r="BA289" s="836"/>
      <c r="BB289" s="836"/>
      <c r="BC289" s="836"/>
      <c r="BD289" s="836"/>
      <c r="BE289" s="836"/>
      <c r="BF289" s="836"/>
      <c r="BG289" s="836"/>
      <c r="BH289" s="836"/>
      <c r="BI289" s="836"/>
      <c r="BJ289" s="836"/>
      <c r="BK289" s="836"/>
      <c r="BL289" s="836"/>
      <c r="BM289" s="836"/>
      <c r="BN289" s="836"/>
      <c r="BO289" s="836"/>
      <c r="BP289" s="836"/>
      <c r="BR289" s="844" t="str">
        <f>IFERROR(__xludf.DUMMYFUNCTION("""COMPUTED_VALUE"""),"Knopp et al.")</f>
        <v>Knopp et al.</v>
      </c>
      <c r="BS289" s="838" t="str">
        <f>IFERROR(__xludf.DUMMYFUNCTION("""COMPUTED_VALUE"""),"Tanziana")</f>
        <v>Tanziana</v>
      </c>
      <c r="BT289" s="838" t="str">
        <f>IFERROR(__xludf.DUMMYFUNCTION("""COMPUTED_VALUE"""),"Albendazole")</f>
        <v>Albendazole</v>
      </c>
      <c r="BU289" s="838"/>
      <c r="BV289" s="838" t="str">
        <f>IFERROR(__xludf.DUMMYFUNCTION("""COMPUTED_VALUE"""),"Single")</f>
        <v>Single</v>
      </c>
      <c r="BW289" s="838" t="str">
        <f>IFERROR(__xludf.DUMMYFUNCTION("""COMPUTED_VALUE"""),"400 mg")</f>
        <v>400 mg</v>
      </c>
      <c r="BX289" s="856" t="str">
        <f>IFERROR(__xludf.DUMMYFUNCTION("""COMPUTED_VALUE"""),"19")</f>
        <v>19</v>
      </c>
      <c r="BY289" s="856" t="str">
        <f>IFERROR(__xludf.DUMMYFUNCTION("""COMPUTED_VALUE"""),"10.9")</f>
        <v>10.9</v>
      </c>
      <c r="BZ289" s="856" t="str">
        <f>IFERROR(__xludf.DUMMYFUNCTION("""COMPUTED_VALUE"""),"2009")</f>
        <v>2009</v>
      </c>
      <c r="CA289" s="838"/>
      <c r="CB289" s="838" t="str">
        <f>IFERROR(__xludf.DUMMYFUNCTION("""COMPUTED_VALUE"""),"Children attending grades 1-7 in two schools were eligible if they provided written consent by a parent or guardian, age of 5 years or older, sufficiently large stool sample to perform kato-katz thick smears adn infected with roundworm")</f>
        <v>Children attending grades 1-7 in two schools were eligible if they provided written consent by a parent or guardian, age of 5 years or older, sufficiently large stool sample to perform kato-katz thick smears adn infected with roundworm</v>
      </c>
      <c r="CC289" s="856" t="str">
        <f>IFERROR(__xludf.DUMMYFUNCTION("""COMPUTED_VALUE"""),"Yes")</f>
        <v>Yes</v>
      </c>
      <c r="CD289" s="847">
        <f>IFERROR(__xludf.DUMMYFUNCTION("""COMPUTED_VALUE"""),1.0)</f>
        <v>1</v>
      </c>
      <c r="CE289" s="856" t="str">
        <f>IFERROR(__xludf.DUMMYFUNCTION("""COMPUTED_VALUE"""),"No")</f>
        <v>No</v>
      </c>
      <c r="CF289" s="838"/>
      <c r="CG289" s="838"/>
      <c r="CH289" s="838"/>
      <c r="CI289" s="838"/>
      <c r="CJ289" s="838"/>
      <c r="CK289" s="838"/>
      <c r="CL289" s="838"/>
      <c r="CM289" s="847">
        <f>IFERROR(__xludf.DUMMYFUNCTION("""COMPUTED_VALUE"""),1.0)</f>
        <v>1</v>
      </c>
      <c r="CN289" s="838"/>
      <c r="CO289" s="838"/>
      <c r="CP289" s="838"/>
      <c r="CQ289" s="838"/>
      <c r="CR289" s="838"/>
      <c r="CS289" s="838" t="str">
        <f>IFERROR(__xludf.DUMMYFUNCTION("""COMPUTED_VALUE"""),"The highest decrease in both prevalence and infection intensity was achieved with albendazole, regardless of whether it was combined with ivermectin. No drug combination was superior to albendazole treatment against A. lumbricoides")</f>
        <v>The highest decrease in both prevalence and infection intensity was achieved with albendazole, regardless of whether it was combined with ivermectin. No drug combination was superior to albendazole treatment against A. lumbricoides</v>
      </c>
      <c r="CT289" s="838" t="str">
        <f>IFERROR(__xludf.DUMMYFUNCTION("""COMPUTED_VALUE"""),"Kato-Katz technique")</f>
        <v>Kato-Katz technique</v>
      </c>
      <c r="CU289" s="838"/>
      <c r="CV289" s="697" t="str">
        <f>IFERROR(__xludf.DUMMYFUNCTION("""COMPUTED_VALUE"""),"Knopp S, Mohammed KA, Speich B, Hattendorf J, Khamis IS, Khamis AN, Stothard JR, Rollinson D, Marti H, Utzinger J. Albendazole and mebendazole administered alone or in combination with ivermectin against Trichuris trichiura: a randomized controlled trial."&amp;" Clin Infect Dis. 2010 Dec 15;51(12):1420-8. doi: 10.1086/657310. Epub 2010 Nov 9. PMID: 21062129.")</f>
        <v>Knopp S, Mohammed KA, Speich B, Hattendorf J, Khamis IS, Khamis AN, Stothard JR, Rollinson D, Marti H, Utzinger J. Albendazole and mebendazole administered alone or in combination with ivermectin against Trichuris trichiura: a randomized controlled trial. Clin Infect Dis. 2010 Dec 15;51(12):1420-8. doi: 10.1086/657310. Epub 2010 Nov 9. PMID: 21062129.</v>
      </c>
    </row>
    <row r="290">
      <c r="A290" s="834"/>
      <c r="B290" s="834"/>
      <c r="C290" s="834"/>
      <c r="D290" s="834"/>
      <c r="E290" s="834"/>
      <c r="F290" s="834"/>
      <c r="G290" s="834"/>
      <c r="H290" s="834"/>
      <c r="I290" s="834"/>
      <c r="J290" s="834"/>
      <c r="K290" s="834"/>
      <c r="L290" s="834"/>
      <c r="M290" s="834"/>
      <c r="N290" s="834"/>
      <c r="O290" s="834"/>
      <c r="P290" s="834"/>
      <c r="Q290" s="834"/>
      <c r="R290" s="834"/>
      <c r="S290" s="834"/>
      <c r="T290" s="834"/>
      <c r="U290" s="834"/>
      <c r="V290" s="834"/>
      <c r="W290" s="834"/>
      <c r="X290" s="834"/>
      <c r="Y290" s="834"/>
      <c r="Z290" s="834"/>
      <c r="AA290" s="834"/>
      <c r="AB290" s="834"/>
      <c r="AC290" s="834"/>
      <c r="AD290" s="834"/>
      <c r="AE290" s="834"/>
      <c r="AF290" s="834"/>
      <c r="AG290" s="834"/>
      <c r="AH290" s="834"/>
      <c r="AJ290" s="836"/>
      <c r="AK290" s="836"/>
      <c r="AL290" s="836"/>
      <c r="AM290" s="836"/>
      <c r="AN290" s="836"/>
      <c r="AO290" s="836"/>
      <c r="AP290" s="836"/>
      <c r="AQ290" s="836"/>
      <c r="AR290" s="836"/>
      <c r="AS290" s="836"/>
      <c r="AT290" s="836"/>
      <c r="AU290" s="836"/>
      <c r="AV290" s="836"/>
      <c r="AW290" s="836"/>
      <c r="AX290" s="836"/>
      <c r="AY290" s="836"/>
      <c r="AZ290" s="836"/>
      <c r="BA290" s="836"/>
      <c r="BB290" s="836"/>
      <c r="BC290" s="836"/>
      <c r="BD290" s="836"/>
      <c r="BE290" s="836"/>
      <c r="BF290" s="836"/>
      <c r="BG290" s="836"/>
      <c r="BH290" s="836"/>
      <c r="BI290" s="836"/>
      <c r="BJ290" s="836"/>
      <c r="BK290" s="836"/>
      <c r="BL290" s="836"/>
      <c r="BM290" s="836"/>
      <c r="BN290" s="836"/>
      <c r="BO290" s="836"/>
      <c r="BP290" s="836"/>
      <c r="BR290" s="844" t="str">
        <f>IFERROR(__xludf.DUMMYFUNCTION("""COMPUTED_VALUE"""),"Knopp et al.")</f>
        <v>Knopp et al.</v>
      </c>
      <c r="BS290" s="838" t="str">
        <f>IFERROR(__xludf.DUMMYFUNCTION("""COMPUTED_VALUE"""),"Tanziana")</f>
        <v>Tanziana</v>
      </c>
      <c r="BT290" s="838" t="str">
        <f>IFERROR(__xludf.DUMMYFUNCTION("""COMPUTED_VALUE"""),"Albendazole &amp; Ivermectin")</f>
        <v>Albendazole &amp; Ivermectin</v>
      </c>
      <c r="BU290" s="838"/>
      <c r="BV290" s="838" t="str">
        <f>IFERROR(__xludf.DUMMYFUNCTION("""COMPUTED_VALUE"""),"Single")</f>
        <v>Single</v>
      </c>
      <c r="BW290" s="845" t="str">
        <f>IFERROR(__xludf.DUMMYFUNCTION("""COMPUTED_VALUE"""),"400 mg; 200 µg/kg")</f>
        <v>400 mg; 200 µg/kg</v>
      </c>
      <c r="BX290" s="856" t="str">
        <f>IFERROR(__xludf.DUMMYFUNCTION("""COMPUTED_VALUE"""),"15")</f>
        <v>15</v>
      </c>
      <c r="BY290" s="856" t="str">
        <f>IFERROR(__xludf.DUMMYFUNCTION("""COMPUTED_VALUE"""),"11.0")</f>
        <v>11.0</v>
      </c>
      <c r="BZ290" s="856" t="str">
        <f>IFERROR(__xludf.DUMMYFUNCTION("""COMPUTED_VALUE"""),"2009")</f>
        <v>2009</v>
      </c>
      <c r="CA290" s="838"/>
      <c r="CB290" s="838" t="str">
        <f>IFERROR(__xludf.DUMMYFUNCTION("""COMPUTED_VALUE"""),"Children attending grades 1-7 in two schools were eligible if they provided written consent by a parent or guardian, age of 5 years or older, sufficiently large stool sample to perform kato-katz thick smears adn infected with roundworm")</f>
        <v>Children attending grades 1-7 in two schools were eligible if they provided written consent by a parent or guardian, age of 5 years or older, sufficiently large stool sample to perform kato-katz thick smears adn infected with roundworm</v>
      </c>
      <c r="CC290" s="856" t="str">
        <f>IFERROR(__xludf.DUMMYFUNCTION("""COMPUTED_VALUE"""),"Yes")</f>
        <v>Yes</v>
      </c>
      <c r="CD290" s="847">
        <f>IFERROR(__xludf.DUMMYFUNCTION("""COMPUTED_VALUE"""),0.929)</f>
        <v>0.929</v>
      </c>
      <c r="CE290" s="856" t="str">
        <f>IFERROR(__xludf.DUMMYFUNCTION("""COMPUTED_VALUE"""),"No")</f>
        <v>No</v>
      </c>
      <c r="CF290" s="838"/>
      <c r="CG290" s="838"/>
      <c r="CH290" s="838"/>
      <c r="CI290" s="838"/>
      <c r="CJ290" s="838"/>
      <c r="CK290" s="838"/>
      <c r="CL290" s="838"/>
      <c r="CM290" s="847">
        <f>IFERROR(__xludf.DUMMYFUNCTION("""COMPUTED_VALUE"""),0.999)</f>
        <v>0.999</v>
      </c>
      <c r="CN290" s="838"/>
      <c r="CO290" s="838"/>
      <c r="CP290" s="838"/>
      <c r="CQ290" s="838"/>
      <c r="CR290" s="838"/>
      <c r="CS290" s="838" t="str">
        <f>IFERROR(__xludf.DUMMYFUNCTION("""COMPUTED_VALUE"""),"The highest decrease in both prevalence and infection intensity was achieved with albendazole, regardless of whether it was combined with ivermectin. No drug combination was superior to albendazole treatment against A. lumbricoides")</f>
        <v>The highest decrease in both prevalence and infection intensity was achieved with albendazole, regardless of whether it was combined with ivermectin. No drug combination was superior to albendazole treatment against A. lumbricoides</v>
      </c>
      <c r="CT290" s="838" t="str">
        <f>IFERROR(__xludf.DUMMYFUNCTION("""COMPUTED_VALUE"""),"Kato-Katz technique")</f>
        <v>Kato-Katz technique</v>
      </c>
      <c r="CU290" s="838"/>
      <c r="CV290" s="697" t="str">
        <f>IFERROR(__xludf.DUMMYFUNCTION("""COMPUTED_VALUE"""),"Knopp S, Mohammed KA, Speich B, Hattendorf J, Khamis IS, Khamis AN, Stothard JR, Rollinson D, Marti H, Utzinger J. Albendazole and mebendazole administered alone or in combination with ivermectin against Trichuris trichiura: a randomized controlled trial."&amp;" Clin Infect Dis. 2010 Dec 15;51(12):1420-8. doi: 10.1086/657310. Epub 2010 Nov 9. PMID: 21062129.")</f>
        <v>Knopp S, Mohammed KA, Speich B, Hattendorf J, Khamis IS, Khamis AN, Stothard JR, Rollinson D, Marti H, Utzinger J. Albendazole and mebendazole administered alone or in combination with ivermectin against Trichuris trichiura: a randomized controlled trial. Clin Infect Dis. 2010 Dec 15;51(12):1420-8. doi: 10.1086/657310. Epub 2010 Nov 9. PMID: 21062129.</v>
      </c>
    </row>
    <row r="291">
      <c r="A291" s="834"/>
      <c r="B291" s="834"/>
      <c r="C291" s="834"/>
      <c r="D291" s="834"/>
      <c r="E291" s="834"/>
      <c r="F291" s="834"/>
      <c r="G291" s="834"/>
      <c r="H291" s="834"/>
      <c r="I291" s="834"/>
      <c r="J291" s="834"/>
      <c r="K291" s="834"/>
      <c r="L291" s="834"/>
      <c r="M291" s="834"/>
      <c r="N291" s="834"/>
      <c r="O291" s="834"/>
      <c r="P291" s="834"/>
      <c r="Q291" s="834"/>
      <c r="R291" s="834"/>
      <c r="S291" s="834"/>
      <c r="T291" s="834"/>
      <c r="U291" s="834"/>
      <c r="V291" s="834"/>
      <c r="W291" s="834"/>
      <c r="X291" s="834"/>
      <c r="Y291" s="834"/>
      <c r="Z291" s="834"/>
      <c r="AA291" s="834"/>
      <c r="AB291" s="834"/>
      <c r="AC291" s="834"/>
      <c r="AD291" s="834"/>
      <c r="AE291" s="834"/>
      <c r="AF291" s="834"/>
      <c r="AG291" s="834"/>
      <c r="AH291" s="834"/>
      <c r="AJ291" s="836"/>
      <c r="AK291" s="836"/>
      <c r="AL291" s="836"/>
      <c r="AM291" s="836"/>
      <c r="AN291" s="836"/>
      <c r="AO291" s="836"/>
      <c r="AP291" s="836"/>
      <c r="AQ291" s="836"/>
      <c r="AR291" s="836"/>
      <c r="AS291" s="836"/>
      <c r="AT291" s="836"/>
      <c r="AU291" s="836"/>
      <c r="AV291" s="836"/>
      <c r="AW291" s="836"/>
      <c r="AX291" s="836"/>
      <c r="AY291" s="836"/>
      <c r="AZ291" s="836"/>
      <c r="BA291" s="836"/>
      <c r="BB291" s="836"/>
      <c r="BC291" s="836"/>
      <c r="BD291" s="836"/>
      <c r="BE291" s="836"/>
      <c r="BF291" s="836"/>
      <c r="BG291" s="836"/>
      <c r="BH291" s="836"/>
      <c r="BI291" s="836"/>
      <c r="BJ291" s="836"/>
      <c r="BK291" s="836"/>
      <c r="BL291" s="836"/>
      <c r="BM291" s="836"/>
      <c r="BN291" s="836"/>
      <c r="BO291" s="836"/>
      <c r="BP291" s="836"/>
      <c r="BR291" s="844" t="str">
        <f>IFERROR(__xludf.DUMMYFUNCTION("""COMPUTED_VALUE"""),"Knopp et al.")</f>
        <v>Knopp et al.</v>
      </c>
      <c r="BS291" s="838" t="str">
        <f>IFERROR(__xludf.DUMMYFUNCTION("""COMPUTED_VALUE"""),"Tanziana")</f>
        <v>Tanziana</v>
      </c>
      <c r="BT291" s="838" t="str">
        <f>IFERROR(__xludf.DUMMYFUNCTION("""COMPUTED_VALUE"""),"Mebendazole")</f>
        <v>Mebendazole</v>
      </c>
      <c r="BU291" s="838"/>
      <c r="BV291" s="838" t="str">
        <f>IFERROR(__xludf.DUMMYFUNCTION("""COMPUTED_VALUE"""),"Single")</f>
        <v>Single</v>
      </c>
      <c r="BW291" s="838" t="str">
        <f>IFERROR(__xludf.DUMMYFUNCTION("""COMPUTED_VALUE"""),"500 mg ")</f>
        <v>500 mg </v>
      </c>
      <c r="BX291" s="856" t="str">
        <f>IFERROR(__xludf.DUMMYFUNCTION("""COMPUTED_VALUE"""),"19")</f>
        <v>19</v>
      </c>
      <c r="BY291" s="856" t="str">
        <f>IFERROR(__xludf.DUMMYFUNCTION("""COMPUTED_VALUE"""),"10.8")</f>
        <v>10.8</v>
      </c>
      <c r="BZ291" s="856" t="str">
        <f>IFERROR(__xludf.DUMMYFUNCTION("""COMPUTED_VALUE"""),"2009")</f>
        <v>2009</v>
      </c>
      <c r="CA291" s="838"/>
      <c r="CB291" s="838" t="str">
        <f>IFERROR(__xludf.DUMMYFUNCTION("""COMPUTED_VALUE"""),"Children attending grades 1-7 in two schools were eligible if they provided written consent by a parent or guardian, age of 5 years or older, sufficiently large stool sample to perform kato-katz thick smears adn infected with roundworm")</f>
        <v>Children attending grades 1-7 in two schools were eligible if they provided written consent by a parent or guardian, age of 5 years or older, sufficiently large stool sample to perform kato-katz thick smears adn infected with roundworm</v>
      </c>
      <c r="CC291" s="856" t="str">
        <f>IFERROR(__xludf.DUMMYFUNCTION("""COMPUTED_VALUE"""),"Yes")</f>
        <v>Yes</v>
      </c>
      <c r="CD291" s="847">
        <f>IFERROR(__xludf.DUMMYFUNCTION("""COMPUTED_VALUE"""),0.778)</f>
        <v>0.778</v>
      </c>
      <c r="CE291" s="856" t="str">
        <f>IFERROR(__xludf.DUMMYFUNCTION("""COMPUTED_VALUE"""),"No")</f>
        <v>No</v>
      </c>
      <c r="CF291" s="838"/>
      <c r="CG291" s="838"/>
      <c r="CH291" s="838"/>
      <c r="CI291" s="838"/>
      <c r="CJ291" s="838"/>
      <c r="CK291" s="838"/>
      <c r="CL291" s="838"/>
      <c r="CM291" s="847">
        <f>IFERROR(__xludf.DUMMYFUNCTION("""COMPUTED_VALUE"""),0.998)</f>
        <v>0.998</v>
      </c>
      <c r="CN291" s="838"/>
      <c r="CO291" s="838"/>
      <c r="CP291" s="838"/>
      <c r="CQ291" s="838"/>
      <c r="CR291" s="838"/>
      <c r="CS291" s="838" t="str">
        <f>IFERROR(__xludf.DUMMYFUNCTION("""COMPUTED_VALUE"""),"The highest decrease in both prevalence and infection intensity was achieved with albendazole, regardless of whether it was combined with ivermectin. No drug combination was superior to albendazole treatment against A. lumbricoides")</f>
        <v>The highest decrease in both prevalence and infection intensity was achieved with albendazole, regardless of whether it was combined with ivermectin. No drug combination was superior to albendazole treatment against A. lumbricoides</v>
      </c>
      <c r="CT291" s="838" t="str">
        <f>IFERROR(__xludf.DUMMYFUNCTION("""COMPUTED_VALUE"""),"Kato-Katz technique")</f>
        <v>Kato-Katz technique</v>
      </c>
      <c r="CU291" s="838"/>
      <c r="CV291" s="697" t="str">
        <f>IFERROR(__xludf.DUMMYFUNCTION("""COMPUTED_VALUE"""),"Knopp S, Mohammed KA, Speich B, Hattendorf J, Khamis IS, Khamis AN, Stothard JR, Rollinson D, Marti H, Utzinger J. Albendazole and mebendazole administered alone or in combination with ivermectin against Trichuris trichiura: a randomized controlled trial."&amp;" Clin Infect Dis. 2010 Dec 15;51(12):1420-8. doi: 10.1086/657310. Epub 2010 Nov 9. PMID: 21062129.")</f>
        <v>Knopp S, Mohammed KA, Speich B, Hattendorf J, Khamis IS, Khamis AN, Stothard JR, Rollinson D, Marti H, Utzinger J. Albendazole and mebendazole administered alone or in combination with ivermectin against Trichuris trichiura: a randomized controlled trial. Clin Infect Dis. 2010 Dec 15;51(12):1420-8. doi: 10.1086/657310. Epub 2010 Nov 9. PMID: 21062129.</v>
      </c>
    </row>
    <row r="292">
      <c r="A292" s="834"/>
      <c r="B292" s="834"/>
      <c r="C292" s="834"/>
      <c r="D292" s="834"/>
      <c r="E292" s="834"/>
      <c r="F292" s="834"/>
      <c r="G292" s="834"/>
      <c r="H292" s="834"/>
      <c r="I292" s="834"/>
      <c r="J292" s="834"/>
      <c r="K292" s="834"/>
      <c r="L292" s="834"/>
      <c r="M292" s="834"/>
      <c r="N292" s="834"/>
      <c r="O292" s="834"/>
      <c r="P292" s="834"/>
      <c r="Q292" s="834"/>
      <c r="R292" s="834"/>
      <c r="S292" s="834"/>
      <c r="T292" s="834"/>
      <c r="U292" s="834"/>
      <c r="V292" s="834"/>
      <c r="W292" s="834"/>
      <c r="X292" s="834"/>
      <c r="Y292" s="834"/>
      <c r="Z292" s="834"/>
      <c r="AA292" s="834"/>
      <c r="AB292" s="834"/>
      <c r="AC292" s="834"/>
      <c r="AD292" s="834"/>
      <c r="AE292" s="834"/>
      <c r="AF292" s="834"/>
      <c r="AG292" s="834"/>
      <c r="AH292" s="834"/>
      <c r="AJ292" s="836"/>
      <c r="AK292" s="836"/>
      <c r="AL292" s="836"/>
      <c r="AM292" s="836"/>
      <c r="AN292" s="836"/>
      <c r="AO292" s="836"/>
      <c r="AP292" s="836"/>
      <c r="AQ292" s="836"/>
      <c r="AR292" s="836"/>
      <c r="AS292" s="836"/>
      <c r="AT292" s="836"/>
      <c r="AU292" s="836"/>
      <c r="AV292" s="836"/>
      <c r="AW292" s="836"/>
      <c r="AX292" s="836"/>
      <c r="AY292" s="836"/>
      <c r="AZ292" s="836"/>
      <c r="BA292" s="836"/>
      <c r="BB292" s="836"/>
      <c r="BC292" s="836"/>
      <c r="BD292" s="836"/>
      <c r="BE292" s="836"/>
      <c r="BF292" s="836"/>
      <c r="BG292" s="836"/>
      <c r="BH292" s="836"/>
      <c r="BI292" s="836"/>
      <c r="BJ292" s="836"/>
      <c r="BK292" s="836"/>
      <c r="BL292" s="836"/>
      <c r="BM292" s="836"/>
      <c r="BN292" s="836"/>
      <c r="BO292" s="836"/>
      <c r="BP292" s="836"/>
      <c r="BR292" s="844" t="str">
        <f>IFERROR(__xludf.DUMMYFUNCTION("""COMPUTED_VALUE"""),"Knopp et al.")</f>
        <v>Knopp et al.</v>
      </c>
      <c r="BS292" s="838" t="str">
        <f>IFERROR(__xludf.DUMMYFUNCTION("""COMPUTED_VALUE"""),"Tanziana")</f>
        <v>Tanziana</v>
      </c>
      <c r="BT292" s="838" t="str">
        <f>IFERROR(__xludf.DUMMYFUNCTION("""COMPUTED_VALUE"""),"Mebendazole &amp; Ivermectin")</f>
        <v>Mebendazole &amp; Ivermectin</v>
      </c>
      <c r="BU292" s="838"/>
      <c r="BV292" s="838" t="str">
        <f>IFERROR(__xludf.DUMMYFUNCTION("""COMPUTED_VALUE"""),"Single")</f>
        <v>Single</v>
      </c>
      <c r="BW292" s="838" t="str">
        <f>IFERROR(__xludf.DUMMYFUNCTION("""COMPUTED_VALUE"""),"500 mg; 200 µg/kg ")</f>
        <v>500 mg; 200 µg/kg </v>
      </c>
      <c r="BX292" s="856" t="str">
        <f>IFERROR(__xludf.DUMMYFUNCTION("""COMPUTED_VALUE"""),"20")</f>
        <v>20</v>
      </c>
      <c r="BY292" s="856" t="str">
        <f>IFERROR(__xludf.DUMMYFUNCTION("""COMPUTED_VALUE"""),"11.0")</f>
        <v>11.0</v>
      </c>
      <c r="BZ292" s="856" t="str">
        <f>IFERROR(__xludf.DUMMYFUNCTION("""COMPUTED_VALUE"""),"2009")</f>
        <v>2009</v>
      </c>
      <c r="CA292" s="838"/>
      <c r="CB292" s="838" t="str">
        <f>IFERROR(__xludf.DUMMYFUNCTION("""COMPUTED_VALUE"""),"Children attending grades 1-7 in two schools were eligible if they provided written consent by a parent or guardian, age of 5 years or older, sufficiently large stool sample to perform kato-katz thick smears adn infected with roundworm")</f>
        <v>Children attending grades 1-7 in two schools were eligible if they provided written consent by a parent or guardian, age of 5 years or older, sufficiently large stool sample to perform kato-katz thick smears adn infected with roundworm</v>
      </c>
      <c r="CC292" s="856" t="str">
        <f>IFERROR(__xludf.DUMMYFUNCTION("""COMPUTED_VALUE"""),"Yes")</f>
        <v>Yes</v>
      </c>
      <c r="CD292" s="847">
        <f>IFERROR(__xludf.DUMMYFUNCTION("""COMPUTED_VALUE"""),1.0)</f>
        <v>1</v>
      </c>
      <c r="CE292" s="856" t="str">
        <f>IFERROR(__xludf.DUMMYFUNCTION("""COMPUTED_VALUE"""),"No")</f>
        <v>No</v>
      </c>
      <c r="CF292" s="838"/>
      <c r="CG292" s="838"/>
      <c r="CH292" s="838"/>
      <c r="CI292" s="838"/>
      <c r="CJ292" s="838"/>
      <c r="CK292" s="838"/>
      <c r="CL292" s="838"/>
      <c r="CM292" s="847">
        <f>IFERROR(__xludf.DUMMYFUNCTION("""COMPUTED_VALUE"""),1.0)</f>
        <v>1</v>
      </c>
      <c r="CN292" s="838"/>
      <c r="CO292" s="838"/>
      <c r="CP292" s="838"/>
      <c r="CQ292" s="838"/>
      <c r="CR292" s="838"/>
      <c r="CS292" s="838" t="str">
        <f>IFERROR(__xludf.DUMMYFUNCTION("""COMPUTED_VALUE"""),"The highest decrease in both prevalence and infection intensity was achieved with albendazole, regardless of whether it was combined with ivermectin. No drug combination was superior to albendazole treatment against A. lumbricoides")</f>
        <v>The highest decrease in both prevalence and infection intensity was achieved with albendazole, regardless of whether it was combined with ivermectin. No drug combination was superior to albendazole treatment against A. lumbricoides</v>
      </c>
      <c r="CT292" s="838" t="str">
        <f>IFERROR(__xludf.DUMMYFUNCTION("""COMPUTED_VALUE"""),"Kato-Katz technique")</f>
        <v>Kato-Katz technique</v>
      </c>
      <c r="CU292" s="838"/>
      <c r="CV292" s="697" t="str">
        <f>IFERROR(__xludf.DUMMYFUNCTION("""COMPUTED_VALUE"""),"Knopp S, Mohammed KA, Speich B, Hattendorf J, Khamis IS, Khamis AN, Stothard JR, Rollinson D, Marti H, Utzinger J. Albendazole and mebendazole administered alone or in combination with ivermectin against Trichuris trichiura: a randomized controlled trial."&amp;" Clin Infect Dis. 2010 Dec 15;51(12):1420-8. doi: 10.1086/657310. Epub 2010 Nov 9. PMID: 21062129.")</f>
        <v>Knopp S, Mohammed KA, Speich B, Hattendorf J, Khamis IS, Khamis AN, Stothard JR, Rollinson D, Marti H, Utzinger J. Albendazole and mebendazole administered alone or in combination with ivermectin against Trichuris trichiura: a randomized controlled trial. Clin Infect Dis. 2010 Dec 15;51(12):1420-8. doi: 10.1086/657310. Epub 2010 Nov 9. PMID: 21062129.</v>
      </c>
    </row>
    <row r="293">
      <c r="A293" s="834"/>
      <c r="B293" s="834"/>
      <c r="C293" s="834"/>
      <c r="D293" s="834"/>
      <c r="E293" s="834"/>
      <c r="F293" s="834"/>
      <c r="G293" s="834"/>
      <c r="H293" s="834"/>
      <c r="I293" s="834"/>
      <c r="J293" s="834"/>
      <c r="K293" s="834"/>
      <c r="L293" s="834"/>
      <c r="M293" s="834"/>
      <c r="N293" s="834"/>
      <c r="O293" s="834"/>
      <c r="P293" s="834"/>
      <c r="Q293" s="834"/>
      <c r="R293" s="834"/>
      <c r="S293" s="834"/>
      <c r="T293" s="834"/>
      <c r="U293" s="834"/>
      <c r="V293" s="834"/>
      <c r="W293" s="834"/>
      <c r="X293" s="834"/>
      <c r="Y293" s="834"/>
      <c r="Z293" s="834"/>
      <c r="AA293" s="834"/>
      <c r="AB293" s="834"/>
      <c r="AC293" s="834"/>
      <c r="AD293" s="834"/>
      <c r="AE293" s="834"/>
      <c r="AF293" s="834"/>
      <c r="AG293" s="834"/>
      <c r="AH293" s="834"/>
      <c r="AJ293" s="836"/>
      <c r="AK293" s="836"/>
      <c r="AL293" s="836"/>
      <c r="AM293" s="836"/>
      <c r="AN293" s="836"/>
      <c r="AO293" s="836"/>
      <c r="AP293" s="836"/>
      <c r="AQ293" s="836"/>
      <c r="AR293" s="836"/>
      <c r="AS293" s="836"/>
      <c r="AT293" s="836"/>
      <c r="AU293" s="836"/>
      <c r="AV293" s="836"/>
      <c r="AW293" s="836"/>
      <c r="AX293" s="836"/>
      <c r="AY293" s="836"/>
      <c r="AZ293" s="836"/>
      <c r="BA293" s="836"/>
      <c r="BB293" s="836"/>
      <c r="BC293" s="836"/>
      <c r="BD293" s="836"/>
      <c r="BE293" s="836"/>
      <c r="BF293" s="836"/>
      <c r="BG293" s="836"/>
      <c r="BH293" s="836"/>
      <c r="BI293" s="836"/>
      <c r="BJ293" s="836"/>
      <c r="BK293" s="836"/>
      <c r="BL293" s="836"/>
      <c r="BM293" s="836"/>
      <c r="BN293" s="836"/>
      <c r="BO293" s="836"/>
      <c r="BP293" s="836"/>
      <c r="BR293" s="844" t="str">
        <f>IFERROR(__xludf.DUMMYFUNCTION("""COMPUTED_VALUE"""),"Wimmersberger et al.")</f>
        <v>Wimmersberger et al.</v>
      </c>
      <c r="BS293" s="838" t="str">
        <f>IFERROR(__xludf.DUMMYFUNCTION("""COMPUTED_VALUE"""),"Côte d'Ivoire")</f>
        <v>Côte d'Ivoire</v>
      </c>
      <c r="BT293" s="838" t="str">
        <f>IFERROR(__xludf.DUMMYFUNCTION("""COMPUTED_VALUE"""),"Ivermectin")</f>
        <v>Ivermectin</v>
      </c>
      <c r="BU293" s="838"/>
      <c r="BV293" s="838" t="str">
        <f>IFERROR(__xludf.DUMMYFUNCTION("""COMPUTED_VALUE"""),"Single")</f>
        <v>Single</v>
      </c>
      <c r="BW293" s="838" t="str">
        <f>IFERROR(__xludf.DUMMYFUNCTION("""COMPUTED_VALUE"""),"100 µg/kg")</f>
        <v>100 µg/kg</v>
      </c>
      <c r="BX293" s="856" t="str">
        <f>IFERROR(__xludf.DUMMYFUNCTION("""COMPUTED_VALUE"""),"44")</f>
        <v>44</v>
      </c>
      <c r="BY293" s="856" t="str">
        <f>IFERROR(__xludf.DUMMYFUNCTION("""COMPUTED_VALUE"""),"4.0")</f>
        <v>4.0</v>
      </c>
      <c r="BZ293" s="856" t="str">
        <f>IFERROR(__xludf.DUMMYFUNCTION("""COMPUTED_VALUE"""),"2017")</f>
        <v>2017</v>
      </c>
      <c r="CA293" s="856" t="str">
        <f>IFERROR(__xludf.DUMMYFUNCTION("""COMPUTED_VALUE"""),"21M:23F")</f>
        <v>21M:23F</v>
      </c>
      <c r="CB293" s="838" t="str">
        <f>IFERROR(__xludf.DUMMYFUNCTION("""COMPUTED_VALUE"""),"Children 2-12 years of age who were positive for roundworm were eligible. To avoid high CRs children &gt; 60 eggs per gram of stool in PSAC and 100 EPG in SAC were included")</f>
        <v>Children 2-12 years of age who were positive for roundworm were eligible. To avoid high CRs children &gt; 60 eggs per gram of stool in PSAC and 100 EPG in SAC were included</v>
      </c>
      <c r="CC293" s="856" t="str">
        <f>IFERROR(__xludf.DUMMYFUNCTION("""COMPUTED_VALUE"""),"Yes")</f>
        <v>Yes</v>
      </c>
      <c r="CD293" s="847">
        <f>IFERROR(__xludf.DUMMYFUNCTION("""COMPUTED_VALUE"""),1.0)</f>
        <v>1</v>
      </c>
      <c r="CE293" s="856" t="str">
        <f>IFERROR(__xludf.DUMMYFUNCTION("""COMPUTED_VALUE"""),"Yes")</f>
        <v>Yes</v>
      </c>
      <c r="CF293" s="838"/>
      <c r="CG293" s="838"/>
      <c r="CH293" s="838"/>
      <c r="CI293" s="838"/>
      <c r="CJ293" s="838"/>
      <c r="CK293" s="838"/>
      <c r="CL293" s="838"/>
      <c r="CM293" s="847">
        <f>IFERROR(__xludf.DUMMYFUNCTION("""COMPUTED_VALUE"""),1.0)</f>
        <v>1</v>
      </c>
      <c r="CN293" s="838"/>
      <c r="CO293" s="838"/>
      <c r="CP293" s="838"/>
      <c r="CQ293" s="838"/>
      <c r="CR293" s="838"/>
      <c r="CS293" s="838" t="str">
        <f>IFERROR(__xludf.DUMMYFUNCTION("""COMPUTED_VALUE"""),"High efficacy of ivermectin against A. lumbricoides is in agreement with previous conclusions that ivermectin has a few side effects and is very effective in treating ascaris")</f>
        <v>High efficacy of ivermectin against A. lumbricoides is in agreement with previous conclusions that ivermectin has a few side effects and is very effective in treating ascaris</v>
      </c>
      <c r="CT293" s="838" t="str">
        <f>IFERROR(__xludf.DUMMYFUNCTION("""COMPUTED_VALUE"""),"Kato-Katz technique")</f>
        <v>Kato-Katz technique</v>
      </c>
      <c r="CU293" s="838"/>
      <c r="CV293" s="697" t="str">
        <f>IFERROR(__xludf.DUMMYFUNCTION("""COMPUTED_VALUE"""),"Wimmersberger D, Coulibaly JT, Schulz JD, Puchkow M, Huwyler J, N'Gbesso Y, Hattendorf J, Keiser J. Efficacy and Safety of Ivermectin Against Trichuris trichiura in Preschool-aged and School-aged Children: A Randomized Controlled Dose-finding Trial. Clin "&amp;"Infect Dis. 2018 Sep 28;67(8):1247-1255. doi: 10.1093/cid/ciy246. PMID: 29617737.")</f>
        <v>Wimmersberger D, Coulibaly JT, Schulz JD, Puchkow M, Huwyler J, N'Gbesso Y, Hattendorf J, Keiser J. Efficacy and Safety of Ivermectin Against Trichuris trichiura in Preschool-aged and School-aged Children: A Randomized Controlled Dose-finding Trial. Clin Infect Dis. 2018 Sep 28;67(8):1247-1255. doi: 10.1093/cid/ciy246. PMID: 29617737.</v>
      </c>
    </row>
    <row r="294">
      <c r="A294" s="834"/>
      <c r="B294" s="834"/>
      <c r="C294" s="834"/>
      <c r="D294" s="834"/>
      <c r="E294" s="834"/>
      <c r="F294" s="834"/>
      <c r="G294" s="834"/>
      <c r="H294" s="834"/>
      <c r="I294" s="834"/>
      <c r="J294" s="834"/>
      <c r="K294" s="834"/>
      <c r="L294" s="834"/>
      <c r="M294" s="834"/>
      <c r="N294" s="834"/>
      <c r="O294" s="834"/>
      <c r="P294" s="834"/>
      <c r="Q294" s="834"/>
      <c r="R294" s="834"/>
      <c r="S294" s="834"/>
      <c r="T294" s="834"/>
      <c r="U294" s="834"/>
      <c r="V294" s="834"/>
      <c r="W294" s="834"/>
      <c r="X294" s="834"/>
      <c r="Y294" s="834"/>
      <c r="Z294" s="834"/>
      <c r="AA294" s="834"/>
      <c r="AB294" s="834"/>
      <c r="AC294" s="834"/>
      <c r="AD294" s="834"/>
      <c r="AE294" s="834"/>
      <c r="AF294" s="834"/>
      <c r="AG294" s="834"/>
      <c r="AH294" s="834"/>
      <c r="AJ294" s="836"/>
      <c r="AK294" s="836"/>
      <c r="AL294" s="836"/>
      <c r="AM294" s="836"/>
      <c r="AN294" s="836"/>
      <c r="AO294" s="836"/>
      <c r="AP294" s="836"/>
      <c r="AQ294" s="836"/>
      <c r="AR294" s="836"/>
      <c r="AS294" s="836"/>
      <c r="AT294" s="836"/>
      <c r="AU294" s="836"/>
      <c r="AV294" s="836"/>
      <c r="AW294" s="836"/>
      <c r="AX294" s="836"/>
      <c r="AY294" s="836"/>
      <c r="AZ294" s="836"/>
      <c r="BA294" s="836"/>
      <c r="BB294" s="836"/>
      <c r="BC294" s="836"/>
      <c r="BD294" s="836"/>
      <c r="BE294" s="836"/>
      <c r="BF294" s="836"/>
      <c r="BG294" s="836"/>
      <c r="BH294" s="836"/>
      <c r="BI294" s="836"/>
      <c r="BJ294" s="836"/>
      <c r="BK294" s="836"/>
      <c r="BL294" s="836"/>
      <c r="BM294" s="836"/>
      <c r="BN294" s="836"/>
      <c r="BO294" s="836"/>
      <c r="BP294" s="836"/>
      <c r="BR294" s="844" t="str">
        <f>IFERROR(__xludf.DUMMYFUNCTION("""COMPUTED_VALUE"""),"Wimmersberger et al.")</f>
        <v>Wimmersberger et al.</v>
      </c>
      <c r="BS294" s="838" t="str">
        <f>IFERROR(__xludf.DUMMYFUNCTION("""COMPUTED_VALUE"""),"Côte d'Ivoire")</f>
        <v>Côte d'Ivoire</v>
      </c>
      <c r="BT294" s="838" t="str">
        <f>IFERROR(__xludf.DUMMYFUNCTION("""COMPUTED_VALUE"""),"Ivermectin")</f>
        <v>Ivermectin</v>
      </c>
      <c r="BU294" s="838"/>
      <c r="BV294" s="838" t="str">
        <f>IFERROR(__xludf.DUMMYFUNCTION("""COMPUTED_VALUE"""),"Single")</f>
        <v>Single</v>
      </c>
      <c r="BW294" s="838" t="str">
        <f>IFERROR(__xludf.DUMMYFUNCTION("""COMPUTED_VALUE"""),"200 µg/kg")</f>
        <v>200 µg/kg</v>
      </c>
      <c r="BX294" s="856" t="str">
        <f>IFERROR(__xludf.DUMMYFUNCTION("""COMPUTED_VALUE"""),"45")</f>
        <v>45</v>
      </c>
      <c r="BY294" s="856" t="str">
        <f>IFERROR(__xludf.DUMMYFUNCTION("""COMPUTED_VALUE"""),"3.7")</f>
        <v>3.7</v>
      </c>
      <c r="BZ294" s="856" t="str">
        <f>IFERROR(__xludf.DUMMYFUNCTION("""COMPUTED_VALUE"""),"2017")</f>
        <v>2017</v>
      </c>
      <c r="CA294" s="856" t="str">
        <f>IFERROR(__xludf.DUMMYFUNCTION("""COMPUTED_VALUE"""),"24M:21F")</f>
        <v>24M:21F</v>
      </c>
      <c r="CB294" s="838" t="str">
        <f>IFERROR(__xludf.DUMMYFUNCTION("""COMPUTED_VALUE"""),"Children 2-12 years of age who were positive for roundworm were eligible. To avoid high CRs children &gt; 60 eggs per gram of stool in PSAC and 100 EPG in SAC were included")</f>
        <v>Children 2-12 years of age who were positive for roundworm were eligible. To avoid high CRs children &gt; 60 eggs per gram of stool in PSAC and 100 EPG in SAC were included</v>
      </c>
      <c r="CC294" s="856" t="str">
        <f>IFERROR(__xludf.DUMMYFUNCTION("""COMPUTED_VALUE"""),"Yes")</f>
        <v>Yes</v>
      </c>
      <c r="CD294" s="847">
        <f>IFERROR(__xludf.DUMMYFUNCTION("""COMPUTED_VALUE"""),1.0)</f>
        <v>1</v>
      </c>
      <c r="CE294" s="856" t="str">
        <f>IFERROR(__xludf.DUMMYFUNCTION("""COMPUTED_VALUE"""),"Yes")</f>
        <v>Yes</v>
      </c>
      <c r="CF294" s="838"/>
      <c r="CG294" s="838"/>
      <c r="CH294" s="838"/>
      <c r="CI294" s="838"/>
      <c r="CJ294" s="838"/>
      <c r="CK294" s="838"/>
      <c r="CL294" s="838"/>
      <c r="CM294" s="847">
        <f>IFERROR(__xludf.DUMMYFUNCTION("""COMPUTED_VALUE"""),1.0)</f>
        <v>1</v>
      </c>
      <c r="CN294" s="838"/>
      <c r="CO294" s="838"/>
      <c r="CP294" s="838"/>
      <c r="CQ294" s="838"/>
      <c r="CR294" s="838"/>
      <c r="CS294" s="838" t="str">
        <f>IFERROR(__xludf.DUMMYFUNCTION("""COMPUTED_VALUE"""),"High efficacy of ivermectin against A. lumbricoides is in agreement with previous conclusions that ivermectin has a few side effects and is very effective in treating ascaris")</f>
        <v>High efficacy of ivermectin against A. lumbricoides is in agreement with previous conclusions that ivermectin has a few side effects and is very effective in treating ascaris</v>
      </c>
      <c r="CT294" s="838" t="str">
        <f>IFERROR(__xludf.DUMMYFUNCTION("""COMPUTED_VALUE"""),"Kato-Katz technique")</f>
        <v>Kato-Katz technique</v>
      </c>
      <c r="CU294" s="838"/>
      <c r="CV294" s="697" t="str">
        <f>IFERROR(__xludf.DUMMYFUNCTION("""COMPUTED_VALUE"""),"Wimmersberger D, Coulibaly JT, Schulz JD, Puchkow M, Huwyler J, N'Gbesso Y, Hattendorf J, Keiser J. Efficacy and Safety of Ivermectin Against Trichuris trichiura in Preschool-aged and School-aged Children: A Randomized Controlled Dose-finding Trial. Clin "&amp;"Infect Dis. 2018 Sep 28;67(8):1247-1255. doi: 10.1093/cid/ciy246. PMID: 29617737.")</f>
        <v>Wimmersberger D, Coulibaly JT, Schulz JD, Puchkow M, Huwyler J, N'Gbesso Y, Hattendorf J, Keiser J. Efficacy and Safety of Ivermectin Against Trichuris trichiura in Preschool-aged and School-aged Children: A Randomized Controlled Dose-finding Trial. Clin Infect Dis. 2018 Sep 28;67(8):1247-1255. doi: 10.1093/cid/ciy246. PMID: 29617737.</v>
      </c>
    </row>
    <row r="295">
      <c r="A295" s="834"/>
      <c r="B295" s="834"/>
      <c r="C295" s="834"/>
      <c r="D295" s="834"/>
      <c r="E295" s="834"/>
      <c r="F295" s="834"/>
      <c r="G295" s="834"/>
      <c r="H295" s="834"/>
      <c r="I295" s="834"/>
      <c r="J295" s="834"/>
      <c r="K295" s="834"/>
      <c r="L295" s="834"/>
      <c r="M295" s="834"/>
      <c r="N295" s="834"/>
      <c r="O295" s="834"/>
      <c r="P295" s="834"/>
      <c r="Q295" s="834"/>
      <c r="R295" s="834"/>
      <c r="S295" s="834"/>
      <c r="T295" s="834"/>
      <c r="U295" s="834"/>
      <c r="V295" s="834"/>
      <c r="W295" s="834"/>
      <c r="X295" s="834"/>
      <c r="Y295" s="834"/>
      <c r="Z295" s="834"/>
      <c r="AA295" s="834"/>
      <c r="AB295" s="834"/>
      <c r="AC295" s="834"/>
      <c r="AD295" s="834"/>
      <c r="AE295" s="834"/>
      <c r="AF295" s="834"/>
      <c r="AG295" s="834"/>
      <c r="AH295" s="834"/>
      <c r="AJ295" s="836"/>
      <c r="AK295" s="836"/>
      <c r="AL295" s="836"/>
      <c r="AM295" s="836"/>
      <c r="AN295" s="836"/>
      <c r="AO295" s="836"/>
      <c r="AP295" s="836"/>
      <c r="AQ295" s="836"/>
      <c r="AR295" s="836"/>
      <c r="AS295" s="836"/>
      <c r="AT295" s="836"/>
      <c r="AU295" s="836"/>
      <c r="AV295" s="836"/>
      <c r="AW295" s="836"/>
      <c r="AX295" s="836"/>
      <c r="AY295" s="836"/>
      <c r="AZ295" s="836"/>
      <c r="BA295" s="836"/>
      <c r="BB295" s="836"/>
      <c r="BC295" s="836"/>
      <c r="BD295" s="836"/>
      <c r="BE295" s="836"/>
      <c r="BF295" s="836"/>
      <c r="BG295" s="836"/>
      <c r="BH295" s="836"/>
      <c r="BI295" s="836"/>
      <c r="BJ295" s="836"/>
      <c r="BK295" s="836"/>
      <c r="BL295" s="836"/>
      <c r="BM295" s="836"/>
      <c r="BN295" s="836"/>
      <c r="BO295" s="836"/>
      <c r="BP295" s="836"/>
      <c r="BR295" s="844" t="str">
        <f>IFERROR(__xludf.DUMMYFUNCTION("""COMPUTED_VALUE"""),"Wimmersberger et al.")</f>
        <v>Wimmersberger et al.</v>
      </c>
      <c r="BS295" s="838" t="str">
        <f>IFERROR(__xludf.DUMMYFUNCTION("""COMPUTED_VALUE"""),"Côte d'Ivoire")</f>
        <v>Côte d'Ivoire</v>
      </c>
      <c r="BT295" s="838" t="str">
        <f>IFERROR(__xludf.DUMMYFUNCTION("""COMPUTED_VALUE"""),"Ivermectin")</f>
        <v>Ivermectin</v>
      </c>
      <c r="BU295" s="838"/>
      <c r="BV295" s="838" t="str">
        <f>IFERROR(__xludf.DUMMYFUNCTION("""COMPUTED_VALUE"""),"Single")</f>
        <v>Single</v>
      </c>
      <c r="BW295" s="838" t="str">
        <f>IFERROR(__xludf.DUMMYFUNCTION("""COMPUTED_VALUE"""),"200 µg/kg")</f>
        <v>200 µg/kg</v>
      </c>
      <c r="BX295" s="856" t="str">
        <f>IFERROR(__xludf.DUMMYFUNCTION("""COMPUTED_VALUE"""),"43")</f>
        <v>43</v>
      </c>
      <c r="BY295" s="856" t="str">
        <f>IFERROR(__xludf.DUMMYFUNCTION("""COMPUTED_VALUE"""),"8.5")</f>
        <v>8.5</v>
      </c>
      <c r="BZ295" s="856" t="str">
        <f>IFERROR(__xludf.DUMMYFUNCTION("""COMPUTED_VALUE"""),"2017")</f>
        <v>2017</v>
      </c>
      <c r="CA295" s="856" t="str">
        <f>IFERROR(__xludf.DUMMYFUNCTION("""COMPUTED_VALUE"""),"28M:15F")</f>
        <v>28M:15F</v>
      </c>
      <c r="CB295" s="838" t="str">
        <f>IFERROR(__xludf.DUMMYFUNCTION("""COMPUTED_VALUE"""),"Children 2-12 years of age who were positive for roundworm were eligible. To avoid high CRs children &gt; 60 eggs per gram of stool in PSAC and 100 EPG in SAC were included")</f>
        <v>Children 2-12 years of age who were positive for roundworm were eligible. To avoid high CRs children &gt; 60 eggs per gram of stool in PSAC and 100 EPG in SAC were included</v>
      </c>
      <c r="CC295" s="856" t="str">
        <f>IFERROR(__xludf.DUMMYFUNCTION("""COMPUTED_VALUE"""),"Yes")</f>
        <v>Yes</v>
      </c>
      <c r="CD295" s="847">
        <f>IFERROR(__xludf.DUMMYFUNCTION("""COMPUTED_VALUE"""),1.0)</f>
        <v>1</v>
      </c>
      <c r="CE295" s="856" t="str">
        <f>IFERROR(__xludf.DUMMYFUNCTION("""COMPUTED_VALUE"""),"Yes")</f>
        <v>Yes</v>
      </c>
      <c r="CF295" s="838"/>
      <c r="CG295" s="838"/>
      <c r="CH295" s="838"/>
      <c r="CI295" s="838"/>
      <c r="CJ295" s="838"/>
      <c r="CK295" s="838"/>
      <c r="CL295" s="838"/>
      <c r="CM295" s="847">
        <f>IFERROR(__xludf.DUMMYFUNCTION("""COMPUTED_VALUE"""),1.0)</f>
        <v>1</v>
      </c>
      <c r="CN295" s="838"/>
      <c r="CO295" s="838"/>
      <c r="CP295" s="838"/>
      <c r="CQ295" s="838"/>
      <c r="CR295" s="838"/>
      <c r="CS295" s="838" t="str">
        <f>IFERROR(__xludf.DUMMYFUNCTION("""COMPUTED_VALUE"""),"High efficacy of ivermectin against A. lumbricoides is in agreement with previous conclusions that ivermectin has a few side effects and is very effective in treating ascaris")</f>
        <v>High efficacy of ivermectin against A. lumbricoides is in agreement with previous conclusions that ivermectin has a few side effects and is very effective in treating ascaris</v>
      </c>
      <c r="CT295" s="838" t="str">
        <f>IFERROR(__xludf.DUMMYFUNCTION("""COMPUTED_VALUE"""),"Kato-Katz technique")</f>
        <v>Kato-Katz technique</v>
      </c>
      <c r="CU295" s="838"/>
      <c r="CV295" s="697" t="str">
        <f>IFERROR(__xludf.DUMMYFUNCTION("""COMPUTED_VALUE"""),"Wimmersberger D, Coulibaly JT, Schulz JD, Puchkow M, Huwyler J, N'Gbesso Y, Hattendorf J, Keiser J. Efficacy and Safety of Ivermectin Against Trichuris trichiura in Preschool-aged and School-aged Children: A Randomized Controlled Dose-finding Trial. Clin "&amp;"Infect Dis. 2018 Sep 28;67(8):1247-1255. doi: 10.1093/cid/ciy246. PMID: 29617737.")</f>
        <v>Wimmersberger D, Coulibaly JT, Schulz JD, Puchkow M, Huwyler J, N'Gbesso Y, Hattendorf J, Keiser J. Efficacy and Safety of Ivermectin Against Trichuris trichiura in Preschool-aged and School-aged Children: A Randomized Controlled Dose-finding Trial. Clin Infect Dis. 2018 Sep 28;67(8):1247-1255. doi: 10.1093/cid/ciy246. PMID: 29617737.</v>
      </c>
    </row>
    <row r="296">
      <c r="A296" s="834"/>
      <c r="B296" s="834"/>
      <c r="C296" s="834"/>
      <c r="D296" s="834"/>
      <c r="E296" s="834"/>
      <c r="F296" s="834"/>
      <c r="G296" s="834"/>
      <c r="H296" s="834"/>
      <c r="I296" s="834"/>
      <c r="J296" s="834"/>
      <c r="K296" s="834"/>
      <c r="L296" s="834"/>
      <c r="M296" s="834"/>
      <c r="N296" s="834"/>
      <c r="O296" s="834"/>
      <c r="P296" s="834"/>
      <c r="Q296" s="834"/>
      <c r="R296" s="834"/>
      <c r="S296" s="834"/>
      <c r="T296" s="834"/>
      <c r="U296" s="834"/>
      <c r="V296" s="834"/>
      <c r="W296" s="834"/>
      <c r="X296" s="834"/>
      <c r="Y296" s="834"/>
      <c r="Z296" s="834"/>
      <c r="AA296" s="834"/>
      <c r="AB296" s="834"/>
      <c r="AC296" s="834"/>
      <c r="AD296" s="834"/>
      <c r="AE296" s="834"/>
      <c r="AF296" s="834"/>
      <c r="AG296" s="834"/>
      <c r="AH296" s="834"/>
      <c r="AJ296" s="836"/>
      <c r="AK296" s="836"/>
      <c r="AL296" s="836"/>
      <c r="AM296" s="836"/>
      <c r="AN296" s="836"/>
      <c r="AO296" s="836"/>
      <c r="AP296" s="836"/>
      <c r="AQ296" s="836"/>
      <c r="AR296" s="836"/>
      <c r="AS296" s="836"/>
      <c r="AT296" s="836"/>
      <c r="AU296" s="836"/>
      <c r="AV296" s="836"/>
      <c r="AW296" s="836"/>
      <c r="AX296" s="836"/>
      <c r="AY296" s="836"/>
      <c r="AZ296" s="836"/>
      <c r="BA296" s="836"/>
      <c r="BB296" s="836"/>
      <c r="BC296" s="836"/>
      <c r="BD296" s="836"/>
      <c r="BE296" s="836"/>
      <c r="BF296" s="836"/>
      <c r="BG296" s="836"/>
      <c r="BH296" s="836"/>
      <c r="BI296" s="836"/>
      <c r="BJ296" s="836"/>
      <c r="BK296" s="836"/>
      <c r="BL296" s="836"/>
      <c r="BM296" s="836"/>
      <c r="BN296" s="836"/>
      <c r="BO296" s="836"/>
      <c r="BP296" s="836"/>
      <c r="BR296" s="844" t="str">
        <f>IFERROR(__xludf.DUMMYFUNCTION("""COMPUTED_VALUE"""),"Wimmersberger et al.")</f>
        <v>Wimmersberger et al.</v>
      </c>
      <c r="BS296" s="838" t="str">
        <f>IFERROR(__xludf.DUMMYFUNCTION("""COMPUTED_VALUE"""),"Côte d'Ivoire")</f>
        <v>Côte d'Ivoire</v>
      </c>
      <c r="BT296" s="838" t="str">
        <f>IFERROR(__xludf.DUMMYFUNCTION("""COMPUTED_VALUE"""),"Ivermectin")</f>
        <v>Ivermectin</v>
      </c>
      <c r="BU296" s="838"/>
      <c r="BV296" s="838" t="str">
        <f>IFERROR(__xludf.DUMMYFUNCTION("""COMPUTED_VALUE"""),"Single")</f>
        <v>Single</v>
      </c>
      <c r="BW296" s="838" t="str">
        <f>IFERROR(__xludf.DUMMYFUNCTION("""COMPUTED_VALUE"""),"400 µg/kg")</f>
        <v>400 µg/kg</v>
      </c>
      <c r="BX296" s="856" t="str">
        <f>IFERROR(__xludf.DUMMYFUNCTION("""COMPUTED_VALUE"""),"43")</f>
        <v>43</v>
      </c>
      <c r="BY296" s="856" t="str">
        <f>IFERROR(__xludf.DUMMYFUNCTION("""COMPUTED_VALUE"""),"8.5")</f>
        <v>8.5</v>
      </c>
      <c r="BZ296" s="856" t="str">
        <f>IFERROR(__xludf.DUMMYFUNCTION("""COMPUTED_VALUE"""),"2017")</f>
        <v>2017</v>
      </c>
      <c r="CA296" s="856" t="str">
        <f>IFERROR(__xludf.DUMMYFUNCTION("""COMPUTED_VALUE"""),"23M:20F")</f>
        <v>23M:20F</v>
      </c>
      <c r="CB296" s="847" t="str">
        <f>IFERROR(__xludf.DUMMYFUNCTION("""COMPUTED_VALUE"""),"Children 2-12 years of age who were positive for roundworm were eligible. To avoid high CRs children &gt; 60 eggs per gram of stool in PSAC and 100 EPG in SAC were included")</f>
        <v>Children 2-12 years of age who were positive for roundworm were eligible. To avoid high CRs children &gt; 60 eggs per gram of stool in PSAC and 100 EPG in SAC were included</v>
      </c>
      <c r="CC296" s="856" t="str">
        <f>IFERROR(__xludf.DUMMYFUNCTION("""COMPUTED_VALUE"""),"Yes")</f>
        <v>Yes</v>
      </c>
      <c r="CD296" s="847">
        <f>IFERROR(__xludf.DUMMYFUNCTION("""COMPUTED_VALUE"""),0.923)</f>
        <v>0.923</v>
      </c>
      <c r="CE296" s="856" t="str">
        <f>IFERROR(__xludf.DUMMYFUNCTION("""COMPUTED_VALUE"""),"Yes")</f>
        <v>Yes</v>
      </c>
      <c r="CF296" s="838"/>
      <c r="CG296" s="838"/>
      <c r="CH296" s="838"/>
      <c r="CI296" s="838"/>
      <c r="CJ296" s="838"/>
      <c r="CK296" s="838"/>
      <c r="CL296" s="838"/>
      <c r="CM296" s="847">
        <f>IFERROR(__xludf.DUMMYFUNCTION("""COMPUTED_VALUE"""),1.0)</f>
        <v>1</v>
      </c>
      <c r="CN296" s="838"/>
      <c r="CO296" s="838"/>
      <c r="CP296" s="838"/>
      <c r="CQ296" s="838"/>
      <c r="CR296" s="838"/>
      <c r="CS296" s="838" t="str">
        <f>IFERROR(__xludf.DUMMYFUNCTION("""COMPUTED_VALUE"""),"High efficacy of ivermectin against A. lumbricoides is in agreement with previous conclusions that ivermectin has a few side effects and is very effective in treating ascaris")</f>
        <v>High efficacy of ivermectin against A. lumbricoides is in agreement with previous conclusions that ivermectin has a few side effects and is very effective in treating ascaris</v>
      </c>
      <c r="CT296" s="838" t="str">
        <f>IFERROR(__xludf.DUMMYFUNCTION("""COMPUTED_VALUE"""),"Kato-Katz technique")</f>
        <v>Kato-Katz technique</v>
      </c>
      <c r="CU296" s="838"/>
      <c r="CV296" s="697" t="str">
        <f>IFERROR(__xludf.DUMMYFUNCTION("""COMPUTED_VALUE"""),"Wimmersberger D, Coulibaly JT, Schulz JD, Puchkow M, Huwyler J, N'Gbesso Y, Hattendorf J, Keiser J. Efficacy and Safety of Ivermectin Against Trichuris trichiura in Preschool-aged and School-aged Children: A Randomized Controlled Dose-finding Trial. Clin "&amp;"Infect Dis. 2018 Sep 28;67(8):1247-1255. doi: 10.1093/cid/ciy246. PMID: 29617737.")</f>
        <v>Wimmersberger D, Coulibaly JT, Schulz JD, Puchkow M, Huwyler J, N'Gbesso Y, Hattendorf J, Keiser J. Efficacy and Safety of Ivermectin Against Trichuris trichiura in Preschool-aged and School-aged Children: A Randomized Controlled Dose-finding Trial. Clin Infect Dis. 2018 Sep 28;67(8):1247-1255. doi: 10.1093/cid/ciy246. PMID: 29617737.</v>
      </c>
    </row>
    <row r="297">
      <c r="A297" s="834"/>
      <c r="B297" s="834"/>
      <c r="C297" s="834"/>
      <c r="D297" s="834"/>
      <c r="E297" s="834"/>
      <c r="F297" s="834"/>
      <c r="G297" s="834"/>
      <c r="H297" s="834"/>
      <c r="I297" s="834"/>
      <c r="J297" s="834"/>
      <c r="K297" s="834"/>
      <c r="L297" s="834"/>
      <c r="M297" s="834"/>
      <c r="N297" s="834"/>
      <c r="O297" s="834"/>
      <c r="P297" s="834"/>
      <c r="Q297" s="834"/>
      <c r="R297" s="834"/>
      <c r="S297" s="834"/>
      <c r="T297" s="834"/>
      <c r="U297" s="834"/>
      <c r="V297" s="834"/>
      <c r="W297" s="834"/>
      <c r="X297" s="834"/>
      <c r="Y297" s="834"/>
      <c r="Z297" s="834"/>
      <c r="AA297" s="834"/>
      <c r="AB297" s="834"/>
      <c r="AC297" s="834"/>
      <c r="AD297" s="834"/>
      <c r="AE297" s="834"/>
      <c r="AF297" s="834"/>
      <c r="AG297" s="834"/>
      <c r="AH297" s="834"/>
      <c r="AJ297" s="836"/>
      <c r="AK297" s="836"/>
      <c r="AL297" s="836"/>
      <c r="AM297" s="836"/>
      <c r="AN297" s="836"/>
      <c r="AO297" s="836"/>
      <c r="AP297" s="836"/>
      <c r="AQ297" s="836"/>
      <c r="AR297" s="836"/>
      <c r="AS297" s="836"/>
      <c r="AT297" s="836"/>
      <c r="AU297" s="836"/>
      <c r="AV297" s="836"/>
      <c r="AW297" s="836"/>
      <c r="AX297" s="836"/>
      <c r="AY297" s="836"/>
      <c r="AZ297" s="836"/>
      <c r="BA297" s="836"/>
      <c r="BB297" s="836"/>
      <c r="BC297" s="836"/>
      <c r="BD297" s="836"/>
      <c r="BE297" s="836"/>
      <c r="BF297" s="836"/>
      <c r="BG297" s="836"/>
      <c r="BH297" s="836"/>
      <c r="BI297" s="836"/>
      <c r="BJ297" s="836"/>
      <c r="BK297" s="836"/>
      <c r="BL297" s="836"/>
      <c r="BM297" s="836"/>
      <c r="BN297" s="836"/>
      <c r="BO297" s="836"/>
      <c r="BP297" s="836"/>
      <c r="BR297" s="844" t="str">
        <f>IFERROR(__xludf.DUMMYFUNCTION("""COMPUTED_VALUE"""),"Wimmersberger et al.")</f>
        <v>Wimmersberger et al.</v>
      </c>
      <c r="BS297" s="838" t="str">
        <f>IFERROR(__xludf.DUMMYFUNCTION("""COMPUTED_VALUE"""),"Côte d'Ivoire")</f>
        <v>Côte d'Ivoire</v>
      </c>
      <c r="BT297" s="838" t="str">
        <f>IFERROR(__xludf.DUMMYFUNCTION("""COMPUTED_VALUE"""),"Ivermectin")</f>
        <v>Ivermectin</v>
      </c>
      <c r="BU297" s="838"/>
      <c r="BV297" s="838" t="str">
        <f>IFERROR(__xludf.DUMMYFUNCTION("""COMPUTED_VALUE"""),"Single")</f>
        <v>Single</v>
      </c>
      <c r="BW297" s="838" t="str">
        <f>IFERROR(__xludf.DUMMYFUNCTION("""COMPUTED_VALUE"""),"600 µg/kg")</f>
        <v>600 µg/kg</v>
      </c>
      <c r="BX297" s="856" t="str">
        <f>IFERROR(__xludf.DUMMYFUNCTION("""COMPUTED_VALUE"""),"42")</f>
        <v>42</v>
      </c>
      <c r="BY297" s="856" t="str">
        <f>IFERROR(__xludf.DUMMYFUNCTION("""COMPUTED_VALUE"""),"8.4")</f>
        <v>8.4</v>
      </c>
      <c r="BZ297" s="856" t="str">
        <f>IFERROR(__xludf.DUMMYFUNCTION("""COMPUTED_VALUE"""),"2017")</f>
        <v>2017</v>
      </c>
      <c r="CA297" s="856" t="str">
        <f>IFERROR(__xludf.DUMMYFUNCTION("""COMPUTED_VALUE"""),"24M:18F")</f>
        <v>24M:18F</v>
      </c>
      <c r="CB297" s="847" t="str">
        <f>IFERROR(__xludf.DUMMYFUNCTION("""COMPUTED_VALUE"""),"Children 2-12 years of age who were positive for roundworm were eligible. To avoid high CRs children &gt; 60 eggs per gram of stool in PSAC and 100 EPG in SAC were included")</f>
        <v>Children 2-12 years of age who were positive for roundworm were eligible. To avoid high CRs children &gt; 60 eggs per gram of stool in PSAC and 100 EPG in SAC were included</v>
      </c>
      <c r="CC297" s="856" t="str">
        <f>IFERROR(__xludf.DUMMYFUNCTION("""COMPUTED_VALUE"""),"Yes")</f>
        <v>Yes</v>
      </c>
      <c r="CD297" s="847">
        <f>IFERROR(__xludf.DUMMYFUNCTION("""COMPUTED_VALUE"""),0.875)</f>
        <v>0.875</v>
      </c>
      <c r="CE297" s="856" t="str">
        <f>IFERROR(__xludf.DUMMYFUNCTION("""COMPUTED_VALUE"""),"Yes")</f>
        <v>Yes</v>
      </c>
      <c r="CF297" s="838"/>
      <c r="CG297" s="838"/>
      <c r="CH297" s="838"/>
      <c r="CI297" s="838"/>
      <c r="CJ297" s="838"/>
      <c r="CK297" s="838"/>
      <c r="CL297" s="838"/>
      <c r="CM297" s="847">
        <f>IFERROR(__xludf.DUMMYFUNCTION("""COMPUTED_VALUE"""),1.0)</f>
        <v>1</v>
      </c>
      <c r="CN297" s="838"/>
      <c r="CO297" s="838"/>
      <c r="CP297" s="838"/>
      <c r="CQ297" s="838"/>
      <c r="CR297" s="838"/>
      <c r="CS297" s="838" t="str">
        <f>IFERROR(__xludf.DUMMYFUNCTION("""COMPUTED_VALUE"""),"High efficacy of ivermectin against A. lumbricoides is in agreement with previous conclusions that ivermectin has a few side effects and is very effective in treating ascaris")</f>
        <v>High efficacy of ivermectin against A. lumbricoides is in agreement with previous conclusions that ivermectin has a few side effects and is very effective in treating ascaris</v>
      </c>
      <c r="CT297" s="838" t="str">
        <f>IFERROR(__xludf.DUMMYFUNCTION("""COMPUTED_VALUE"""),"Kato-Katz technique")</f>
        <v>Kato-Katz technique</v>
      </c>
      <c r="CU297" s="838"/>
      <c r="CV297" s="697" t="str">
        <f>IFERROR(__xludf.DUMMYFUNCTION("""COMPUTED_VALUE"""),"Wimmersberger D, Coulibaly JT, Schulz JD, Puchkow M, Huwyler J, N'Gbesso Y, Hattendorf J, Keiser J. Efficacy and Safety of Ivermectin Against Trichuris trichiura in Preschool-aged and School-aged Children: A Randomized Controlled Dose-finding Trial. Clin "&amp;"Infect Dis. 2018 Sep 28;67(8):1247-1255. doi: 10.1093/cid/ciy246. PMID: 29617737.")</f>
        <v>Wimmersberger D, Coulibaly JT, Schulz JD, Puchkow M, Huwyler J, N'Gbesso Y, Hattendorf J, Keiser J. Efficacy and Safety of Ivermectin Against Trichuris trichiura in Preschool-aged and School-aged Children: A Randomized Controlled Dose-finding Trial. Clin Infect Dis. 2018 Sep 28;67(8):1247-1255. doi: 10.1093/cid/ciy246. PMID: 29617737.</v>
      </c>
    </row>
    <row r="298">
      <c r="A298" s="834"/>
      <c r="B298" s="834"/>
      <c r="C298" s="834"/>
      <c r="D298" s="834"/>
      <c r="E298" s="834"/>
      <c r="F298" s="834"/>
      <c r="G298" s="834"/>
      <c r="H298" s="834"/>
      <c r="I298" s="834"/>
      <c r="J298" s="834"/>
      <c r="K298" s="834"/>
      <c r="L298" s="834"/>
      <c r="M298" s="834"/>
      <c r="N298" s="834"/>
      <c r="O298" s="834"/>
      <c r="P298" s="834"/>
      <c r="Q298" s="834"/>
      <c r="R298" s="834"/>
      <c r="S298" s="834"/>
      <c r="T298" s="834"/>
      <c r="U298" s="834"/>
      <c r="V298" s="834"/>
      <c r="W298" s="834"/>
      <c r="X298" s="834"/>
      <c r="Y298" s="834"/>
      <c r="Z298" s="834"/>
      <c r="AA298" s="834"/>
      <c r="AB298" s="834"/>
      <c r="AC298" s="834"/>
      <c r="AD298" s="834"/>
      <c r="AE298" s="834"/>
      <c r="AF298" s="834"/>
      <c r="AG298" s="834"/>
      <c r="AH298" s="834"/>
      <c r="AJ298" s="836"/>
      <c r="AK298" s="836"/>
      <c r="AL298" s="836"/>
      <c r="AM298" s="836"/>
      <c r="AN298" s="836"/>
      <c r="AO298" s="836"/>
      <c r="AP298" s="836"/>
      <c r="AQ298" s="836"/>
      <c r="AR298" s="836"/>
      <c r="AS298" s="836"/>
      <c r="AT298" s="836"/>
      <c r="AU298" s="836"/>
      <c r="AV298" s="836"/>
      <c r="AW298" s="836"/>
      <c r="AX298" s="836"/>
      <c r="AY298" s="836"/>
      <c r="AZ298" s="836"/>
      <c r="BA298" s="836"/>
      <c r="BB298" s="836"/>
      <c r="BC298" s="836"/>
      <c r="BD298" s="836"/>
      <c r="BE298" s="836"/>
      <c r="BF298" s="836"/>
      <c r="BG298" s="836"/>
      <c r="BH298" s="836"/>
      <c r="BI298" s="836"/>
      <c r="BJ298" s="836"/>
      <c r="BK298" s="836"/>
      <c r="BL298" s="836"/>
      <c r="BM298" s="836"/>
      <c r="BN298" s="836"/>
      <c r="BO298" s="836"/>
      <c r="BP298" s="836"/>
      <c r="BR298" s="844" t="str">
        <f>IFERROR(__xludf.DUMMYFUNCTION("""COMPUTED_VALUE"""),"Albonico et al.")</f>
        <v>Albonico et al.</v>
      </c>
      <c r="BS298" s="838" t="str">
        <f>IFERROR(__xludf.DUMMYFUNCTION("""COMPUTED_VALUE"""),"Zanzibar ")</f>
        <v>Zanzibar </v>
      </c>
      <c r="BT298" s="838" t="str">
        <f>IFERROR(__xludf.DUMMYFUNCTION("""COMPUTED_VALUE"""),"Mebendazole")</f>
        <v>Mebendazole</v>
      </c>
      <c r="BU298" s="838"/>
      <c r="BV298" s="838" t="str">
        <f>IFERROR(__xludf.DUMMYFUNCTION("""COMPUTED_VALUE"""),"Single")</f>
        <v>Single</v>
      </c>
      <c r="BW298" s="838" t="str">
        <f>IFERROR(__xludf.DUMMYFUNCTION("""COMPUTED_VALUE"""),"500 mg")</f>
        <v>500 mg</v>
      </c>
      <c r="BX298" s="856" t="str">
        <f>IFERROR(__xludf.DUMMYFUNCTION("""COMPUTED_VALUE"""),"448")</f>
        <v>448</v>
      </c>
      <c r="BY298" s="856" t="str">
        <f>IFERROR(__xludf.DUMMYFUNCTION("""COMPUTED_VALUE"""),"9.5")</f>
        <v>9.5</v>
      </c>
      <c r="BZ298" s="856" t="str">
        <f>IFERROR(__xludf.DUMMYFUNCTION("""COMPUTED_VALUE"""),"2000")</f>
        <v>2000</v>
      </c>
      <c r="CA298" s="838"/>
      <c r="CB298" s="838" t="str">
        <f>IFERROR(__xludf.DUMMYFUNCTION("""COMPUTED_VALUE"""),"Children 6-9 Years of age in pemba Island who provided a stool sample, positive for roundworm, and had parental or guardian permission to participate")</f>
        <v>Children 6-9 Years of age in pemba Island who provided a stool sample, positive for roundworm, and had parental or guardian permission to participate</v>
      </c>
      <c r="CC298" s="856" t="str">
        <f>IFERROR(__xludf.DUMMYFUNCTION("""COMPUTED_VALUE"""),"Yes")</f>
        <v>Yes</v>
      </c>
      <c r="CD298" s="847">
        <f>IFERROR(__xludf.DUMMYFUNCTION("""COMPUTED_VALUE"""),0.98)</f>
        <v>0.98</v>
      </c>
      <c r="CE298" s="856" t="str">
        <f>IFERROR(__xludf.DUMMYFUNCTION("""COMPUTED_VALUE"""),"Yes")</f>
        <v>Yes</v>
      </c>
      <c r="CF298" s="838"/>
      <c r="CG298" s="838"/>
      <c r="CH298" s="838"/>
      <c r="CI298" s="838"/>
      <c r="CJ298" s="838"/>
      <c r="CK298" s="838"/>
      <c r="CL298" s="838"/>
      <c r="CM298" s="847">
        <f>IFERROR(__xludf.DUMMYFUNCTION("""COMPUTED_VALUE"""),0.961)</f>
        <v>0.961</v>
      </c>
      <c r="CN298" s="838"/>
      <c r="CO298" s="838"/>
      <c r="CP298" s="838"/>
      <c r="CQ298" s="838"/>
      <c r="CR298" s="838"/>
      <c r="CS298" s="838" t="str">
        <f>IFERROR(__xludf.DUMMYFUNCTION("""COMPUTED_VALUE"""),"Both mebendazole and pyrantel-oxantel are highly effective single-dose treatment for A. lumbricoides infection with mean egg counts after treatment being reduced by more than 95%")</f>
        <v>Both mebendazole and pyrantel-oxantel are highly effective single-dose treatment for A. lumbricoides infection with mean egg counts after treatment being reduced by more than 95%</v>
      </c>
      <c r="CT298" s="838" t="str">
        <f>IFERROR(__xludf.DUMMYFUNCTION("""COMPUTED_VALUE"""),"Kate-Katz Technique")</f>
        <v>Kate-Katz Technique</v>
      </c>
      <c r="CU298" s="838"/>
      <c r="CV298" s="697" t="str">
        <f>IFERROR(__xludf.DUMMYFUNCTION("""COMPUTED_VALUE"""),"Albonico M, Bickle Q, Haji HJ, Ramsan M, Khatib KJ, Montresor A, Savioli L, Taylor M. Evaluation of the efficacy of pyrantel-oxantel for the treatment of soil-transmitted nematode infections. Trans R Soc Trop Med Hyg. 2002 Nov-Dec;96(6):685-90. doi: 10.10"&amp;"16/s0035-9203(02)90352-4. PMID: 12625151; PMCID: PMC5679355.")</f>
        <v>Albonico M, Bickle Q, Haji HJ, Ramsan M, Khatib KJ, Montresor A, Savioli L, Taylor M. Evaluation of the efficacy of pyrantel-oxantel for the treatment of soil-transmitted nematode infections. Trans R Soc Trop Med Hyg. 2002 Nov-Dec;96(6):685-90. doi: 10.1016/s0035-9203(02)90352-4. PMID: 12625151; PMCID: PMC5679355.</v>
      </c>
    </row>
    <row r="299">
      <c r="A299" s="834"/>
      <c r="B299" s="834"/>
      <c r="C299" s="834"/>
      <c r="D299" s="834"/>
      <c r="E299" s="834"/>
      <c r="F299" s="834"/>
      <c r="G299" s="834"/>
      <c r="H299" s="834"/>
      <c r="I299" s="834"/>
      <c r="J299" s="834"/>
      <c r="K299" s="834"/>
      <c r="L299" s="834"/>
      <c r="M299" s="834"/>
      <c r="N299" s="834"/>
      <c r="O299" s="834"/>
      <c r="P299" s="834"/>
      <c r="Q299" s="834"/>
      <c r="R299" s="834"/>
      <c r="S299" s="834"/>
      <c r="T299" s="834"/>
      <c r="U299" s="834"/>
      <c r="V299" s="834"/>
      <c r="W299" s="834"/>
      <c r="X299" s="834"/>
      <c r="Y299" s="834"/>
      <c r="Z299" s="834"/>
      <c r="AA299" s="834"/>
      <c r="AB299" s="834"/>
      <c r="AC299" s="834"/>
      <c r="AD299" s="834"/>
      <c r="AE299" s="834"/>
      <c r="AF299" s="834"/>
      <c r="AG299" s="834"/>
      <c r="AH299" s="834"/>
      <c r="AJ299" s="836"/>
      <c r="AK299" s="836"/>
      <c r="AL299" s="836"/>
      <c r="AM299" s="836"/>
      <c r="AN299" s="836"/>
      <c r="AO299" s="836"/>
      <c r="AP299" s="836"/>
      <c r="AQ299" s="836"/>
      <c r="AR299" s="836"/>
      <c r="AS299" s="836"/>
      <c r="AT299" s="836"/>
      <c r="AU299" s="836"/>
      <c r="AV299" s="836"/>
      <c r="AW299" s="836"/>
      <c r="AX299" s="836"/>
      <c r="AY299" s="836"/>
      <c r="AZ299" s="836"/>
      <c r="BA299" s="836"/>
      <c r="BB299" s="836"/>
      <c r="BC299" s="836"/>
      <c r="BD299" s="836"/>
      <c r="BE299" s="836"/>
      <c r="BF299" s="836"/>
      <c r="BG299" s="836"/>
      <c r="BH299" s="836"/>
      <c r="BI299" s="836"/>
      <c r="BJ299" s="836"/>
      <c r="BK299" s="836"/>
      <c r="BL299" s="836"/>
      <c r="BM299" s="836"/>
      <c r="BN299" s="836"/>
      <c r="BO299" s="836"/>
      <c r="BP299" s="836"/>
      <c r="BR299" s="844" t="str">
        <f>IFERROR(__xludf.DUMMYFUNCTION("""COMPUTED_VALUE"""),"Albonico et al.")</f>
        <v>Albonico et al.</v>
      </c>
      <c r="BS299" s="838" t="str">
        <f>IFERROR(__xludf.DUMMYFUNCTION("""COMPUTED_VALUE"""),"Zanzibar ")</f>
        <v>Zanzibar </v>
      </c>
      <c r="BT299" s="838" t="str">
        <f>IFERROR(__xludf.DUMMYFUNCTION("""COMPUTED_VALUE"""),"Pyrantel Oxantel")</f>
        <v>Pyrantel Oxantel</v>
      </c>
      <c r="BU299" s="838"/>
      <c r="BV299" s="838" t="str">
        <f>IFERROR(__xludf.DUMMYFUNCTION("""COMPUTED_VALUE"""),"Single")</f>
        <v>Single</v>
      </c>
      <c r="BW299" s="838" t="str">
        <f>IFERROR(__xludf.DUMMYFUNCTION("""COMPUTED_VALUE"""),"10mg/kg")</f>
        <v>10mg/kg</v>
      </c>
      <c r="BX299" s="856" t="str">
        <f>IFERROR(__xludf.DUMMYFUNCTION("""COMPUTED_VALUE"""),"440")</f>
        <v>440</v>
      </c>
      <c r="BY299" s="856" t="str">
        <f>IFERROR(__xludf.DUMMYFUNCTION("""COMPUTED_VALUE"""),"9.5")</f>
        <v>9.5</v>
      </c>
      <c r="BZ299" s="856" t="str">
        <f>IFERROR(__xludf.DUMMYFUNCTION("""COMPUTED_VALUE"""),"2000")</f>
        <v>2000</v>
      </c>
      <c r="CA299" s="838"/>
      <c r="CB299" s="838" t="str">
        <f>IFERROR(__xludf.DUMMYFUNCTION("""COMPUTED_VALUE"""),"Children 6-9 Years of age in pemba Island who provided a stool sample, positive for roundworm, and had parental or guardian permission to participate")</f>
        <v>Children 6-9 Years of age in pemba Island who provided a stool sample, positive for roundworm, and had parental or guardian permission to participate</v>
      </c>
      <c r="CC299" s="856" t="str">
        <f>IFERROR(__xludf.DUMMYFUNCTION("""COMPUTED_VALUE"""),"Yes")</f>
        <v>Yes</v>
      </c>
      <c r="CD299" s="847">
        <f>IFERROR(__xludf.DUMMYFUNCTION("""COMPUTED_VALUE"""),0.963)</f>
        <v>0.963</v>
      </c>
      <c r="CE299" s="856" t="str">
        <f>IFERROR(__xludf.DUMMYFUNCTION("""COMPUTED_VALUE"""),"Yes")</f>
        <v>Yes</v>
      </c>
      <c r="CF299" s="838"/>
      <c r="CG299" s="838"/>
      <c r="CH299" s="838"/>
      <c r="CI299" s="838"/>
      <c r="CJ299" s="838"/>
      <c r="CK299" s="838"/>
      <c r="CL299" s="838"/>
      <c r="CM299" s="847">
        <f>IFERROR(__xludf.DUMMYFUNCTION("""COMPUTED_VALUE"""),0.951)</f>
        <v>0.951</v>
      </c>
      <c r="CN299" s="838"/>
      <c r="CO299" s="838"/>
      <c r="CP299" s="838"/>
      <c r="CQ299" s="838"/>
      <c r="CR299" s="838"/>
      <c r="CS299" s="838" t="str">
        <f>IFERROR(__xludf.DUMMYFUNCTION("""COMPUTED_VALUE"""),"Both mebendazole and pyrantel-oxantel are highly effective single-dose treatment for A. lumbricoides infection with mean egg counts after treatment being reduced by more than 95%")</f>
        <v>Both mebendazole and pyrantel-oxantel are highly effective single-dose treatment for A. lumbricoides infection with mean egg counts after treatment being reduced by more than 95%</v>
      </c>
      <c r="CT299" s="838" t="str">
        <f>IFERROR(__xludf.DUMMYFUNCTION("""COMPUTED_VALUE"""),"Kate-Katz Technique")</f>
        <v>Kate-Katz Technique</v>
      </c>
      <c r="CU299" s="838"/>
      <c r="CV299" s="697" t="str">
        <f>IFERROR(__xludf.DUMMYFUNCTION("""COMPUTED_VALUE"""),"Albonico M, Bickle Q, Haji HJ, Ramsan M, Khatib KJ, Montresor A, Savioli L, Taylor M. Evaluation of the efficacy of pyrantel-oxantel for the treatment of soil-transmitted nematode infections. Trans R Soc Trop Med Hyg. 2002 Nov-Dec;96(6):685-90. doi: 10.10"&amp;"16/s0035-9203(02)90352-4. PMID: 12625151; PMCID: PMC5679355.")</f>
        <v>Albonico M, Bickle Q, Haji HJ, Ramsan M, Khatib KJ, Montresor A, Savioli L, Taylor M. Evaluation of the efficacy of pyrantel-oxantel for the treatment of soil-transmitted nematode infections. Trans R Soc Trop Med Hyg. 2002 Nov-Dec;96(6):685-90. doi: 10.1016/s0035-9203(02)90352-4. PMID: 12625151; PMCID: PMC5679355.</v>
      </c>
    </row>
    <row r="300">
      <c r="A300" s="834"/>
      <c r="B300" s="834"/>
      <c r="C300" s="834"/>
      <c r="D300" s="834"/>
      <c r="E300" s="834"/>
      <c r="F300" s="834"/>
      <c r="G300" s="834"/>
      <c r="H300" s="834"/>
      <c r="I300" s="834"/>
      <c r="J300" s="834"/>
      <c r="K300" s="834"/>
      <c r="L300" s="834"/>
      <c r="M300" s="834"/>
      <c r="N300" s="834"/>
      <c r="O300" s="834"/>
      <c r="P300" s="834"/>
      <c r="Q300" s="834"/>
      <c r="R300" s="834"/>
      <c r="S300" s="834"/>
      <c r="T300" s="834"/>
      <c r="U300" s="834"/>
      <c r="V300" s="834"/>
      <c r="W300" s="834"/>
      <c r="X300" s="834"/>
      <c r="Y300" s="834"/>
      <c r="Z300" s="834"/>
      <c r="AA300" s="834"/>
      <c r="AB300" s="834"/>
      <c r="AC300" s="834"/>
      <c r="AD300" s="834"/>
      <c r="AE300" s="834"/>
      <c r="AF300" s="834"/>
      <c r="AG300" s="834"/>
      <c r="AH300" s="834"/>
      <c r="AJ300" s="836"/>
      <c r="AK300" s="836"/>
      <c r="AL300" s="836"/>
      <c r="AM300" s="836"/>
      <c r="AN300" s="836"/>
      <c r="AO300" s="836"/>
      <c r="AP300" s="836"/>
      <c r="AQ300" s="836"/>
      <c r="AR300" s="836"/>
      <c r="AS300" s="836"/>
      <c r="AT300" s="836"/>
      <c r="AU300" s="836"/>
      <c r="AV300" s="836"/>
      <c r="AW300" s="836"/>
      <c r="AX300" s="836"/>
      <c r="AY300" s="836"/>
      <c r="AZ300" s="836"/>
      <c r="BA300" s="836"/>
      <c r="BB300" s="836"/>
      <c r="BC300" s="836"/>
      <c r="BD300" s="836"/>
      <c r="BE300" s="836"/>
      <c r="BF300" s="836"/>
      <c r="BG300" s="836"/>
      <c r="BH300" s="836"/>
      <c r="BI300" s="836"/>
      <c r="BJ300" s="836"/>
      <c r="BK300" s="836"/>
      <c r="BL300" s="836"/>
      <c r="BM300" s="836"/>
      <c r="BN300" s="836"/>
      <c r="BO300" s="836"/>
      <c r="BP300" s="836"/>
      <c r="BR300" s="844" t="str">
        <f>IFERROR(__xludf.DUMMYFUNCTION("""COMPUTED_VALUE"""),"Marti et al.")</f>
        <v>Marti et al.</v>
      </c>
      <c r="BS300" s="838" t="str">
        <f>IFERROR(__xludf.DUMMYFUNCTION("""COMPUTED_VALUE"""),"Tanziana")</f>
        <v>Tanziana</v>
      </c>
      <c r="BT300" s="838" t="str">
        <f>IFERROR(__xludf.DUMMYFUNCTION("""COMPUTED_VALUE"""),"Ivermectin")</f>
        <v>Ivermectin</v>
      </c>
      <c r="BU300" s="838"/>
      <c r="BV300" s="838" t="str">
        <f>IFERROR(__xludf.DUMMYFUNCTION("""COMPUTED_VALUE"""),"Single")</f>
        <v>Single</v>
      </c>
      <c r="BW300" s="838" t="str">
        <f>IFERROR(__xludf.DUMMYFUNCTION("""COMPUTED_VALUE"""),"200 µg/kg")</f>
        <v>200 µg/kg</v>
      </c>
      <c r="BX300" s="856" t="str">
        <f>IFERROR(__xludf.DUMMYFUNCTION("""COMPUTED_VALUE"""),"152")</f>
        <v>152</v>
      </c>
      <c r="BY300" s="838"/>
      <c r="BZ300" s="856" t="str">
        <f>IFERROR(__xludf.DUMMYFUNCTION("""COMPUTED_VALUE"""),"1994")</f>
        <v>1994</v>
      </c>
      <c r="CA300" s="856" t="str">
        <f>IFERROR(__xludf.DUMMYFUNCTION("""COMPUTED_VALUE"""),"58M:94F")</f>
        <v>58M:94F</v>
      </c>
      <c r="CB300" s="838" t="str">
        <f>IFERROR(__xludf.DUMMYFUNCTION("""COMPUTED_VALUE"""),"Children 4-10 years of age with written informed consent from parent or guardian and positive for Roundworm")</f>
        <v>Children 4-10 years of age with written informed consent from parent or guardian and positive for Roundworm</v>
      </c>
      <c r="CC300" s="856" t="str">
        <f>IFERROR(__xludf.DUMMYFUNCTION("""COMPUTED_VALUE"""),"Yes")</f>
        <v>Yes</v>
      </c>
      <c r="CD300" s="856" t="str">
        <f>IFERROR(__xludf.DUMMYFUNCTION("""COMPUTED_VALUE"""),"100.00%")</f>
        <v>100.00%</v>
      </c>
      <c r="CE300" s="856" t="str">
        <f>IFERROR(__xludf.DUMMYFUNCTION("""COMPUTED_VALUE"""),"No")</f>
        <v>No</v>
      </c>
      <c r="CF300" s="838"/>
      <c r="CG300" s="838"/>
      <c r="CH300" s="838"/>
      <c r="CI300" s="838"/>
      <c r="CJ300" s="838"/>
      <c r="CK300" s="838"/>
      <c r="CL300" s="838"/>
      <c r="CM300" s="856" t="str">
        <f>IFERROR(__xludf.DUMMYFUNCTION("""COMPUTED_VALUE"""),"100.00%")</f>
        <v>100.00%</v>
      </c>
      <c r="CN300" s="838"/>
      <c r="CO300" s="838"/>
      <c r="CP300" s="838"/>
      <c r="CQ300" s="838"/>
      <c r="CR300" s="838"/>
      <c r="CS300" s="838" t="str">
        <f>IFERROR(__xludf.DUMMYFUNCTION("""COMPUTED_VALUE"""),"Ivermectin provides a safe and highly effective single dose treatment for roundworm")</f>
        <v>Ivermectin provides a safe and highly effective single dose treatment for roundworm</v>
      </c>
      <c r="CT300" s="838" t="str">
        <f>IFERROR(__xludf.DUMMYFUNCTION("""COMPUTED_VALUE"""),"Kato-Katz Technique")</f>
        <v>Kato-Katz Technique</v>
      </c>
      <c r="CU300" s="838"/>
      <c r="CV300" s="697" t="str">
        <f>IFERROR(__xludf.DUMMYFUNCTION("""COMPUTED_VALUE"""),"Marti H, Haji HJ, Savioli L, Chwaya HM, Mgeni AF, Ameir JS, Hatz C. A comparative trial of a single-dose ivermectin versus three days of albendazole for treatment of Strongyloides stercoralis and other soil-transmitted helminth infections in children. Am "&amp;"J Trop Med Hyg. 1996 Nov;55(5):477-81. doi: 10.4269/ajtmh.1996.55.477. PMID: 8940976.")</f>
        <v>Marti H, Haji HJ, Savioli L, Chwaya HM, Mgeni AF, Ameir JS, Hatz C. A comparative trial of a single-dose ivermectin versus three days of albendazole for treatment of Strongyloides stercoralis and other soil-transmitted helminth infections in children. Am J Trop Med Hyg. 1996 Nov;55(5):477-81. doi: 10.4269/ajtmh.1996.55.477. PMID: 8940976.</v>
      </c>
    </row>
    <row r="301">
      <c r="A301" s="834"/>
      <c r="B301" s="834"/>
      <c r="C301" s="834"/>
      <c r="D301" s="834"/>
      <c r="E301" s="834"/>
      <c r="F301" s="834"/>
      <c r="G301" s="834"/>
      <c r="H301" s="834"/>
      <c r="I301" s="834"/>
      <c r="J301" s="834"/>
      <c r="K301" s="834"/>
      <c r="L301" s="834"/>
      <c r="M301" s="834"/>
      <c r="N301" s="834"/>
      <c r="O301" s="834"/>
      <c r="P301" s="834"/>
      <c r="Q301" s="834"/>
      <c r="R301" s="834"/>
      <c r="S301" s="834"/>
      <c r="T301" s="834"/>
      <c r="U301" s="834"/>
      <c r="V301" s="834"/>
      <c r="W301" s="834"/>
      <c r="X301" s="834"/>
      <c r="Y301" s="834"/>
      <c r="Z301" s="834"/>
      <c r="AA301" s="834"/>
      <c r="AB301" s="834"/>
      <c r="AC301" s="834"/>
      <c r="AD301" s="834"/>
      <c r="AE301" s="834"/>
      <c r="AF301" s="834"/>
      <c r="AG301" s="834"/>
      <c r="AH301" s="834"/>
      <c r="AJ301" s="836"/>
      <c r="AK301" s="836"/>
      <c r="AL301" s="836"/>
      <c r="AM301" s="836"/>
      <c r="AN301" s="836"/>
      <c r="AO301" s="836"/>
      <c r="AP301" s="836"/>
      <c r="AQ301" s="836"/>
      <c r="AR301" s="836"/>
      <c r="AS301" s="836"/>
      <c r="AT301" s="836"/>
      <c r="AU301" s="836"/>
      <c r="AV301" s="836"/>
      <c r="AW301" s="836"/>
      <c r="AX301" s="836"/>
      <c r="AY301" s="836"/>
      <c r="AZ301" s="836"/>
      <c r="BA301" s="836"/>
      <c r="BB301" s="836"/>
      <c r="BC301" s="836"/>
      <c r="BD301" s="836"/>
      <c r="BE301" s="836"/>
      <c r="BF301" s="836"/>
      <c r="BG301" s="836"/>
      <c r="BH301" s="836"/>
      <c r="BI301" s="836"/>
      <c r="BJ301" s="836"/>
      <c r="BK301" s="836"/>
      <c r="BL301" s="836"/>
      <c r="BM301" s="836"/>
      <c r="BN301" s="836"/>
      <c r="BO301" s="836"/>
      <c r="BP301" s="836"/>
      <c r="BR301" s="844" t="str">
        <f>IFERROR(__xludf.DUMMYFUNCTION("""COMPUTED_VALUE"""),"Marti et al.")</f>
        <v>Marti et al.</v>
      </c>
      <c r="BS301" s="838" t="str">
        <f>IFERROR(__xludf.DUMMYFUNCTION("""COMPUTED_VALUE"""),"Tanziana")</f>
        <v>Tanziana</v>
      </c>
      <c r="BT301" s="838" t="str">
        <f>IFERROR(__xludf.DUMMYFUNCTION("""COMPUTED_VALUE"""),"Albendazole")</f>
        <v>Albendazole</v>
      </c>
      <c r="BU301" s="838"/>
      <c r="BV301" s="838" t="str">
        <f>IFERROR(__xludf.DUMMYFUNCTION("""COMPUTED_VALUE"""),"Three")</f>
        <v>Three</v>
      </c>
      <c r="BW301" s="838" t="str">
        <f>IFERROR(__xludf.DUMMYFUNCTION("""COMPUTED_VALUE"""),"400 mg ")</f>
        <v>400 mg </v>
      </c>
      <c r="BX301" s="856" t="str">
        <f>IFERROR(__xludf.DUMMYFUNCTION("""COMPUTED_VALUE"""),"149")</f>
        <v>149</v>
      </c>
      <c r="BY301" s="838"/>
      <c r="BZ301" s="856" t="str">
        <f>IFERROR(__xludf.DUMMYFUNCTION("""COMPUTED_VALUE"""),"1994")</f>
        <v>1994</v>
      </c>
      <c r="CA301" s="856" t="str">
        <f>IFERROR(__xludf.DUMMYFUNCTION("""COMPUTED_VALUE"""),"67M:82F")</f>
        <v>67M:82F</v>
      </c>
      <c r="CB301" s="838" t="str">
        <f>IFERROR(__xludf.DUMMYFUNCTION("""COMPUTED_VALUE"""),"Children 4-10 years of age with written informed consent from parent or guardian and positive for Roundworm")</f>
        <v>Children 4-10 years of age with written informed consent from parent or guardian and positive for Roundworm</v>
      </c>
      <c r="CC301" s="856" t="str">
        <f>IFERROR(__xludf.DUMMYFUNCTION("""COMPUTED_VALUE"""),"Yes")</f>
        <v>Yes</v>
      </c>
      <c r="CD301" s="856" t="str">
        <f>IFERROR(__xludf.DUMMYFUNCTION("""COMPUTED_VALUE"""),"99.00%")</f>
        <v>99.00%</v>
      </c>
      <c r="CE301" s="856" t="str">
        <f>IFERROR(__xludf.DUMMYFUNCTION("""COMPUTED_VALUE"""),"No")</f>
        <v>No</v>
      </c>
      <c r="CF301" s="838"/>
      <c r="CG301" s="838"/>
      <c r="CH301" s="838"/>
      <c r="CI301" s="838"/>
      <c r="CJ301" s="838"/>
      <c r="CK301" s="838"/>
      <c r="CL301" s="838"/>
      <c r="CM301" s="856" t="str">
        <f>IFERROR(__xludf.DUMMYFUNCTION("""COMPUTED_VALUE"""),"99.70%")</f>
        <v>99.70%</v>
      </c>
      <c r="CN301" s="838"/>
      <c r="CO301" s="838"/>
      <c r="CP301" s="838"/>
      <c r="CQ301" s="838"/>
      <c r="CR301" s="838"/>
      <c r="CS301" s="838" t="str">
        <f>IFERROR(__xludf.DUMMYFUNCTION("""COMPUTED_VALUE"""),"Ivermectin provides a safe and highly effective single dose treatment for roundworm")</f>
        <v>Ivermectin provides a safe and highly effective single dose treatment for roundworm</v>
      </c>
      <c r="CT301" s="838" t="str">
        <f>IFERROR(__xludf.DUMMYFUNCTION("""COMPUTED_VALUE"""),"Kato-Katz Technique")</f>
        <v>Kato-Katz Technique</v>
      </c>
      <c r="CU301" s="838"/>
      <c r="CV301" s="697" t="str">
        <f>IFERROR(__xludf.DUMMYFUNCTION("""COMPUTED_VALUE"""),"Marti H, Haji HJ, Savioli L, Chwaya HM, Mgeni AF, Ameir JS, Hatz C. A comparative trial of a single-dose ivermectin versus three days of albendazole for treatment of Strongyloides stercoralis and other soil-transmitted helminth infections in children. Am "&amp;"J Trop Med Hyg. 1996 Nov;55(5):477-81. doi: 10.4269/ajtmh.1996.55.477. PMID: 8940976.")</f>
        <v>Marti H, Haji HJ, Savioli L, Chwaya HM, Mgeni AF, Ameir JS, Hatz C. A comparative trial of a single-dose ivermectin versus three days of albendazole for treatment of Strongyloides stercoralis and other soil-transmitted helminth infections in children. Am J Trop Med Hyg. 1996 Nov;55(5):477-81. doi: 10.4269/ajtmh.1996.55.477. PMID: 8940976.</v>
      </c>
    </row>
    <row r="302">
      <c r="A302" s="834"/>
      <c r="B302" s="834"/>
      <c r="C302" s="834"/>
      <c r="D302" s="834"/>
      <c r="E302" s="834"/>
      <c r="F302" s="834"/>
      <c r="G302" s="834"/>
      <c r="H302" s="834"/>
      <c r="I302" s="834"/>
      <c r="J302" s="834"/>
      <c r="K302" s="834"/>
      <c r="L302" s="834"/>
      <c r="M302" s="834"/>
      <c r="N302" s="834"/>
      <c r="O302" s="834"/>
      <c r="P302" s="834"/>
      <c r="Q302" s="834"/>
      <c r="R302" s="834"/>
      <c r="S302" s="834"/>
      <c r="T302" s="834"/>
      <c r="U302" s="834"/>
      <c r="V302" s="834"/>
      <c r="W302" s="834"/>
      <c r="X302" s="834"/>
      <c r="Y302" s="834"/>
      <c r="Z302" s="834"/>
      <c r="AA302" s="834"/>
      <c r="AB302" s="834"/>
      <c r="AC302" s="834"/>
      <c r="AD302" s="834"/>
      <c r="AE302" s="834"/>
      <c r="AF302" s="834"/>
      <c r="AG302" s="834"/>
      <c r="AH302" s="834"/>
      <c r="AJ302" s="836"/>
      <c r="AK302" s="836"/>
      <c r="AL302" s="836"/>
      <c r="AM302" s="836"/>
      <c r="AN302" s="836"/>
      <c r="AO302" s="836"/>
      <c r="AP302" s="836"/>
      <c r="AQ302" s="836"/>
      <c r="AR302" s="836"/>
      <c r="AS302" s="836"/>
      <c r="AT302" s="836"/>
      <c r="AU302" s="836"/>
      <c r="AV302" s="836"/>
      <c r="AW302" s="836"/>
      <c r="AX302" s="836"/>
      <c r="AY302" s="836"/>
      <c r="AZ302" s="836"/>
      <c r="BA302" s="836"/>
      <c r="BB302" s="836"/>
      <c r="BC302" s="836"/>
      <c r="BD302" s="836"/>
      <c r="BE302" s="836"/>
      <c r="BF302" s="836"/>
      <c r="BG302" s="836"/>
      <c r="BH302" s="836"/>
      <c r="BI302" s="836"/>
      <c r="BJ302" s="836"/>
      <c r="BK302" s="836"/>
      <c r="BL302" s="836"/>
      <c r="BM302" s="836"/>
      <c r="BN302" s="836"/>
      <c r="BO302" s="836"/>
      <c r="BP302" s="836"/>
      <c r="BR302" s="844" t="str">
        <f>IFERROR(__xludf.DUMMYFUNCTION("""COMPUTED_VALUE"""),"Moser et al.")</f>
        <v>Moser et al.</v>
      </c>
      <c r="BS302" s="838" t="str">
        <f>IFERROR(__xludf.DUMMYFUNCTION("""COMPUTED_VALUE"""),"Côte d'Ivoire")</f>
        <v>Côte d'Ivoire</v>
      </c>
      <c r="BT302" s="838" t="str">
        <f>IFERROR(__xludf.DUMMYFUNCTION("""COMPUTED_VALUE"""),"Tribendimidine ")</f>
        <v>Tribendimidine </v>
      </c>
      <c r="BU302" s="838"/>
      <c r="BV302" s="838" t="str">
        <f>IFERROR(__xludf.DUMMYFUNCTION("""COMPUTED_VALUE"""),"Single")</f>
        <v>Single</v>
      </c>
      <c r="BW302" s="838" t="str">
        <f>IFERROR(__xludf.DUMMYFUNCTION("""COMPUTED_VALUE"""),"400 mg")</f>
        <v>400 mg</v>
      </c>
      <c r="BX302" s="856" t="str">
        <f>IFERROR(__xludf.DUMMYFUNCTION("""COMPUTED_VALUE"""),"72")</f>
        <v>72</v>
      </c>
      <c r="BY302" s="856" t="str">
        <f>IFERROR(__xludf.DUMMYFUNCTION("""COMPUTED_VALUE"""),"15.8")</f>
        <v>15.8</v>
      </c>
      <c r="BZ302" s="856" t="str">
        <f>IFERROR(__xludf.DUMMYFUNCTION("""COMPUTED_VALUE"""),"2016")</f>
        <v>2016</v>
      </c>
      <c r="CA302" s="838"/>
      <c r="CB302" s="838" t="str">
        <f>IFERROR(__xludf.DUMMYFUNCTION("""COMPUTED_VALUE"""),"Adolescents aged 15-18 years from primary schools on Pemba, and school attendees and non-schoolers from two distrcits in cote d-Ivoire. Participants were asked to provide two stool samples adn only participants who tested positive for hookworm were eligib"&amp;"le")</f>
        <v>Adolescents aged 15-18 years from primary schools on Pemba, and school attendees and non-schoolers from two distrcits in cote d-Ivoire. Participants were asked to provide two stool samples adn only participants who tested positive for hookworm were eligible</v>
      </c>
      <c r="CC302" s="856" t="str">
        <f>IFERROR(__xludf.DUMMYFUNCTION("""COMPUTED_VALUE"""),"Yes")</f>
        <v>Yes</v>
      </c>
      <c r="CD302" s="856" t="str">
        <f>IFERROR(__xludf.DUMMYFUNCTION("""COMPUTED_VALUE"""),"98.60%")</f>
        <v>98.60%</v>
      </c>
      <c r="CE302" s="856" t="str">
        <f>IFERROR(__xludf.DUMMYFUNCTION("""COMPUTED_VALUE"""),"Yes")</f>
        <v>Yes</v>
      </c>
      <c r="CF302" s="838"/>
      <c r="CG302" s="838"/>
      <c r="CH302" s="838"/>
      <c r="CI302" s="838"/>
      <c r="CJ302" s="838"/>
      <c r="CK302" s="838"/>
      <c r="CL302" s="838"/>
      <c r="CM302" s="856" t="str">
        <f>IFERROR(__xludf.DUMMYFUNCTION("""COMPUTED_VALUE"""),"&gt;99.99%")</f>
        <v>&gt;99.99%</v>
      </c>
      <c r="CN302" s="838"/>
      <c r="CO302" s="838"/>
      <c r="CP302" s="838"/>
      <c r="CQ302" s="838"/>
      <c r="CR302" s="838"/>
      <c r="CS302" s="838" t="str">
        <f>IFERROR(__xludf.DUMMYFUNCTION("""COMPUTED_VALUE"""),"Tribendimidine in combination with either ivermectin or oxantel amoate had a similar, non-inferior efficacy profile as albendazole plus oxantel pamoate, hence tribendimidine will be a useful addition to the deplete danthelmintic drug armamentarium")</f>
        <v>Tribendimidine in combination with either ivermectin or oxantel amoate had a similar, non-inferior efficacy profile as albendazole plus oxantel pamoate, hence tribendimidine will be a useful addition to the deplete danthelmintic drug armamentarium</v>
      </c>
      <c r="CT302" s="838" t="str">
        <f>IFERROR(__xludf.DUMMYFUNCTION("""COMPUTED_VALUE"""),"Kato-Katz Technique")</f>
        <v>Kato-Katz Technique</v>
      </c>
      <c r="CU302" s="838"/>
      <c r="CV302" s="697" t="str">
        <f>IFERROR(__xludf.DUMMYFUNCTION("""COMPUTED_VALUE"""),"Moser, W., Coulibaly, J., Ali, S., Ame, S., Amour, A., Yapi, R., Albonico, M., Puchkov, M., Huwyler, J., Hattendorf, J., &amp; Keiser, J. (2017). Efficacy and safety of tribendimidine, tribendimidine plus ivermectin, tribendimidine plus oxantel pamoate, and a"&amp;"lbendazole plus oxantel pamoate against hookworm and concomitant soil-transmitted helminth infections in Tanzania and Côte d’Ivoire: a randomised, controlled, single-blinded, non-inferiority trial. The Lancet Infectious Diseases, 17(11), 1162–1171. https:"&amp;"//doi.org/10.1016/S1473-3099(17)30487-4")</f>
        <v>Moser, W., Coulibaly, J., Ali, S., Ame, S., Amour, A., Yapi, R., Albonico, M., Puchkov, M., Huwyler, J., Hattendorf, J., &amp; Keiser, J. (2017). Efficacy and safety of tribendimidine, tribendimidine plus ivermectin, tribendimidine plus oxantel pamoate, and albendazole plus oxantel pamoate against hookworm and concomitant soil-transmitted helminth infections in Tanzania and Côte d’Ivoire: a randomised, controlled, single-blinded, non-inferiority trial. The Lancet Infectious Diseases, 17(11), 1162–1171. https://doi.org/10.1016/S1473-3099(17)30487-4</v>
      </c>
    </row>
    <row r="303">
      <c r="A303" s="834"/>
      <c r="B303" s="834"/>
      <c r="C303" s="834"/>
      <c r="D303" s="834"/>
      <c r="E303" s="834"/>
      <c r="F303" s="834"/>
      <c r="G303" s="834"/>
      <c r="H303" s="834"/>
      <c r="I303" s="834"/>
      <c r="J303" s="834"/>
      <c r="K303" s="834"/>
      <c r="L303" s="834"/>
      <c r="M303" s="834"/>
      <c r="N303" s="834"/>
      <c r="O303" s="834"/>
      <c r="P303" s="834"/>
      <c r="Q303" s="834"/>
      <c r="R303" s="834"/>
      <c r="S303" s="834"/>
      <c r="T303" s="834"/>
      <c r="U303" s="834"/>
      <c r="V303" s="834"/>
      <c r="W303" s="834"/>
      <c r="X303" s="834"/>
      <c r="Y303" s="834"/>
      <c r="Z303" s="834"/>
      <c r="AA303" s="834"/>
      <c r="AB303" s="834"/>
      <c r="AC303" s="834"/>
      <c r="AD303" s="834"/>
      <c r="AE303" s="834"/>
      <c r="AF303" s="834"/>
      <c r="AG303" s="834"/>
      <c r="AH303" s="834"/>
      <c r="AJ303" s="836"/>
      <c r="AK303" s="836"/>
      <c r="AL303" s="836"/>
      <c r="AM303" s="836"/>
      <c r="AN303" s="836"/>
      <c r="AO303" s="836"/>
      <c r="AP303" s="836"/>
      <c r="AQ303" s="836"/>
      <c r="AR303" s="836"/>
      <c r="AS303" s="836"/>
      <c r="AT303" s="836"/>
      <c r="AU303" s="836"/>
      <c r="AV303" s="836"/>
      <c r="AW303" s="836"/>
      <c r="AX303" s="836"/>
      <c r="AY303" s="836"/>
      <c r="AZ303" s="836"/>
      <c r="BA303" s="836"/>
      <c r="BB303" s="836"/>
      <c r="BC303" s="836"/>
      <c r="BD303" s="836"/>
      <c r="BE303" s="836"/>
      <c r="BF303" s="836"/>
      <c r="BG303" s="836"/>
      <c r="BH303" s="836"/>
      <c r="BI303" s="836"/>
      <c r="BJ303" s="836"/>
      <c r="BK303" s="836"/>
      <c r="BL303" s="836"/>
      <c r="BM303" s="836"/>
      <c r="BN303" s="836"/>
      <c r="BO303" s="836"/>
      <c r="BP303" s="836"/>
      <c r="BR303" s="844" t="str">
        <f>IFERROR(__xludf.DUMMYFUNCTION("""COMPUTED_VALUE"""),"Moser et al.")</f>
        <v>Moser et al.</v>
      </c>
      <c r="BS303" s="838" t="str">
        <f>IFERROR(__xludf.DUMMYFUNCTION("""COMPUTED_VALUE"""),"Côte d'Ivoire")</f>
        <v>Côte d'Ivoire</v>
      </c>
      <c r="BT303" s="838" t="str">
        <f>IFERROR(__xludf.DUMMYFUNCTION("""COMPUTED_VALUE"""),"Tribendimidine &amp; Ivermectin")</f>
        <v>Tribendimidine &amp; Ivermectin</v>
      </c>
      <c r="BU303" s="838"/>
      <c r="BV303" s="838" t="str">
        <f>IFERROR(__xludf.DUMMYFUNCTION("""COMPUTED_VALUE"""),"Single")</f>
        <v>Single</v>
      </c>
      <c r="BW303" s="838" t="str">
        <f>IFERROR(__xludf.DUMMYFUNCTION("""COMPUTED_VALUE"""),"400 mg; 200 µg/kg ")</f>
        <v>400 mg; 200 µg/kg </v>
      </c>
      <c r="BX303" s="856" t="str">
        <f>IFERROR(__xludf.DUMMYFUNCTION("""COMPUTED_VALUE"""),"76")</f>
        <v>76</v>
      </c>
      <c r="BY303" s="856" t="str">
        <f>IFERROR(__xludf.DUMMYFUNCTION("""COMPUTED_VALUE"""),"15.9")</f>
        <v>15.9</v>
      </c>
      <c r="BZ303" s="856" t="str">
        <f>IFERROR(__xludf.DUMMYFUNCTION("""COMPUTED_VALUE"""),"2016")</f>
        <v>2016</v>
      </c>
      <c r="CA303" s="838"/>
      <c r="CB303" s="838" t="str">
        <f>IFERROR(__xludf.DUMMYFUNCTION("""COMPUTED_VALUE"""),"Adolescents aged 15-18 years from primary schools on Pemba, and school attendees and non-schoolers from two distrcits in cote d-Ivoire. Participants were asked to provide two stool samples adn only participants who tested positive for hookworm were eligib"&amp;"le")</f>
        <v>Adolescents aged 15-18 years from primary schools on Pemba, and school attendees and non-schoolers from two distrcits in cote d-Ivoire. Participants were asked to provide two stool samples adn only participants who tested positive for hookworm were eligible</v>
      </c>
      <c r="CC303" s="856" t="str">
        <f>IFERROR(__xludf.DUMMYFUNCTION("""COMPUTED_VALUE"""),"Yes")</f>
        <v>Yes</v>
      </c>
      <c r="CD303" s="856" t="str">
        <f>IFERROR(__xludf.DUMMYFUNCTION("""COMPUTED_VALUE"""),"98.70%")</f>
        <v>98.70%</v>
      </c>
      <c r="CE303" s="856" t="str">
        <f>IFERROR(__xludf.DUMMYFUNCTION("""COMPUTED_VALUE"""),"Yes")</f>
        <v>Yes</v>
      </c>
      <c r="CF303" s="838"/>
      <c r="CG303" s="838"/>
      <c r="CH303" s="838"/>
      <c r="CI303" s="838"/>
      <c r="CJ303" s="838"/>
      <c r="CK303" s="838"/>
      <c r="CL303" s="838"/>
      <c r="CM303" s="856" t="str">
        <f>IFERROR(__xludf.DUMMYFUNCTION("""COMPUTED_VALUE"""),"&gt;99.99%")</f>
        <v>&gt;99.99%</v>
      </c>
      <c r="CN303" s="838"/>
      <c r="CO303" s="838"/>
      <c r="CP303" s="838"/>
      <c r="CQ303" s="838"/>
      <c r="CR303" s="838"/>
      <c r="CS303" s="838" t="str">
        <f>IFERROR(__xludf.DUMMYFUNCTION("""COMPUTED_VALUE"""),"Tribendimidine in combination with either ivermectin or oxantel amoate had a similar, non-inferior efficacy profile as albendazole plus oxantel pamoate, hence tribendimidine will be a useful addition to the deplete danthelmintic drug armamentarium")</f>
        <v>Tribendimidine in combination with either ivermectin or oxantel amoate had a similar, non-inferior efficacy profile as albendazole plus oxantel pamoate, hence tribendimidine will be a useful addition to the deplete danthelmintic drug armamentarium</v>
      </c>
      <c r="CT303" s="838" t="str">
        <f>IFERROR(__xludf.DUMMYFUNCTION("""COMPUTED_VALUE"""),"Kato-Katz Technique")</f>
        <v>Kato-Katz Technique</v>
      </c>
      <c r="CU303" s="838"/>
      <c r="CV303" s="697" t="str">
        <f>IFERROR(__xludf.DUMMYFUNCTION("""COMPUTED_VALUE"""),"Moser, W., Coulibaly, J., Ali, S., Ame, S., Amour, A., Yapi, R., Albonico, M., Puchkov, M., Huwyler, J., Hattendorf, J., &amp; Keiser, J. (2017). Efficacy and safety of tribendimidine, tribendimidine plus ivermectin, tribendimidine plus oxantel pamoate, and a"&amp;"lbendazole plus oxantel pamoate against hookworm and concomitant soil-transmitted helminth infections in Tanzania and Côte d’Ivoire: a randomised, controlled, single-blinded, non-inferiority trial. The Lancet Infectious Diseases, 17(11), 1162–1171. https:"&amp;"//doi.org/10.1016/S1473-3099(17)30487-5")</f>
        <v>Moser, W., Coulibaly, J., Ali, S., Ame, S., Amour, A., Yapi, R., Albonico, M., Puchkov, M., Huwyler, J., Hattendorf, J., &amp; Keiser, J. (2017). Efficacy and safety of tribendimidine, tribendimidine plus ivermectin, tribendimidine plus oxantel pamoate, and albendazole plus oxantel pamoate against hookworm and concomitant soil-transmitted helminth infections in Tanzania and Côte d’Ivoire: a randomised, controlled, single-blinded, non-inferiority trial. The Lancet Infectious Diseases, 17(11), 1162–1171. https://doi.org/10.1016/S1473-3099(17)30487-5</v>
      </c>
    </row>
    <row r="304">
      <c r="A304" s="834"/>
      <c r="B304" s="834"/>
      <c r="C304" s="834"/>
      <c r="D304" s="834"/>
      <c r="E304" s="834"/>
      <c r="F304" s="834"/>
      <c r="G304" s="834"/>
      <c r="H304" s="834"/>
      <c r="I304" s="834"/>
      <c r="J304" s="834"/>
      <c r="K304" s="834"/>
      <c r="L304" s="834"/>
      <c r="M304" s="834"/>
      <c r="N304" s="834"/>
      <c r="O304" s="834"/>
      <c r="P304" s="834"/>
      <c r="Q304" s="834"/>
      <c r="R304" s="834"/>
      <c r="S304" s="834"/>
      <c r="T304" s="834"/>
      <c r="U304" s="834"/>
      <c r="V304" s="834"/>
      <c r="W304" s="834"/>
      <c r="X304" s="834"/>
      <c r="Y304" s="834"/>
      <c r="Z304" s="834"/>
      <c r="AA304" s="834"/>
      <c r="AB304" s="834"/>
      <c r="AC304" s="834"/>
      <c r="AD304" s="834"/>
      <c r="AE304" s="834"/>
      <c r="AF304" s="834"/>
      <c r="AG304" s="834"/>
      <c r="AH304" s="834"/>
      <c r="AJ304" s="836"/>
      <c r="AK304" s="836"/>
      <c r="AL304" s="836"/>
      <c r="AM304" s="836"/>
      <c r="AN304" s="836"/>
      <c r="AO304" s="836"/>
      <c r="AP304" s="836"/>
      <c r="AQ304" s="836"/>
      <c r="AR304" s="836"/>
      <c r="AS304" s="836"/>
      <c r="AT304" s="836"/>
      <c r="AU304" s="836"/>
      <c r="AV304" s="836"/>
      <c r="AW304" s="836"/>
      <c r="AX304" s="836"/>
      <c r="AY304" s="836"/>
      <c r="AZ304" s="836"/>
      <c r="BA304" s="836"/>
      <c r="BB304" s="836"/>
      <c r="BC304" s="836"/>
      <c r="BD304" s="836"/>
      <c r="BE304" s="836"/>
      <c r="BF304" s="836"/>
      <c r="BG304" s="836"/>
      <c r="BH304" s="836"/>
      <c r="BI304" s="836"/>
      <c r="BJ304" s="836"/>
      <c r="BK304" s="836"/>
      <c r="BL304" s="836"/>
      <c r="BM304" s="836"/>
      <c r="BN304" s="836"/>
      <c r="BO304" s="836"/>
      <c r="BP304" s="836"/>
      <c r="BR304" s="844" t="str">
        <f>IFERROR(__xludf.DUMMYFUNCTION("""COMPUTED_VALUE"""),"Moser et al.")</f>
        <v>Moser et al.</v>
      </c>
      <c r="BS304" s="838" t="str">
        <f>IFERROR(__xludf.DUMMYFUNCTION("""COMPUTED_VALUE"""),"Côte d'Ivoire")</f>
        <v>Côte d'Ivoire</v>
      </c>
      <c r="BT304" s="838" t="str">
        <f>IFERROR(__xludf.DUMMYFUNCTION("""COMPUTED_VALUE"""),"Tribendimidine &amp; Oxantel pamoate")</f>
        <v>Tribendimidine &amp; Oxantel pamoate</v>
      </c>
      <c r="BU304" s="838"/>
      <c r="BV304" s="838" t="str">
        <f>IFERROR(__xludf.DUMMYFUNCTION("""COMPUTED_VALUE"""),"Single")</f>
        <v>Single</v>
      </c>
      <c r="BW304" s="838" t="str">
        <f>IFERROR(__xludf.DUMMYFUNCTION("""COMPUTED_VALUE"""),"400 mg; 25 mg/kg")</f>
        <v>400 mg; 25 mg/kg</v>
      </c>
      <c r="BX304" s="856" t="str">
        <f>IFERROR(__xludf.DUMMYFUNCTION("""COMPUTED_VALUE"""),"70")</f>
        <v>70</v>
      </c>
      <c r="BY304" s="856" t="str">
        <f>IFERROR(__xludf.DUMMYFUNCTION("""COMPUTED_VALUE"""),"15.9")</f>
        <v>15.9</v>
      </c>
      <c r="BZ304" s="856" t="str">
        <f>IFERROR(__xludf.DUMMYFUNCTION("""COMPUTED_VALUE"""),"2016")</f>
        <v>2016</v>
      </c>
      <c r="CA304" s="838"/>
      <c r="CB304" s="838" t="str">
        <f>IFERROR(__xludf.DUMMYFUNCTION("""COMPUTED_VALUE"""),"Adolescents aged 15-18 years from primary schools on Pemba, and school attendees and non-schoolers from two distrcits in cote d-Ivoire. Participants were asked to provide two stool samples adn only participants who tested positive for hookworm were eligib"&amp;"le")</f>
        <v>Adolescents aged 15-18 years from primary schools on Pemba, and school attendees and non-schoolers from two distrcits in cote d-Ivoire. Participants were asked to provide two stool samples adn only participants who tested positive for hookworm were eligible</v>
      </c>
      <c r="CC304" s="856" t="str">
        <f>IFERROR(__xludf.DUMMYFUNCTION("""COMPUTED_VALUE"""),"Yes")</f>
        <v>Yes</v>
      </c>
      <c r="CD304" s="856" t="str">
        <f>IFERROR(__xludf.DUMMYFUNCTION("""COMPUTED_VALUE"""),"94.30%")</f>
        <v>94.30%</v>
      </c>
      <c r="CE304" s="856" t="str">
        <f>IFERROR(__xludf.DUMMYFUNCTION("""COMPUTED_VALUE"""),"Yes")</f>
        <v>Yes</v>
      </c>
      <c r="CF304" s="838"/>
      <c r="CG304" s="838"/>
      <c r="CH304" s="838"/>
      <c r="CI304" s="838"/>
      <c r="CJ304" s="838"/>
      <c r="CK304" s="838"/>
      <c r="CL304" s="838"/>
      <c r="CM304" s="856" t="str">
        <f>IFERROR(__xludf.DUMMYFUNCTION("""COMPUTED_VALUE"""),"99.98%")</f>
        <v>99.98%</v>
      </c>
      <c r="CN304" s="838"/>
      <c r="CO304" s="838"/>
      <c r="CP304" s="838"/>
      <c r="CQ304" s="838"/>
      <c r="CR304" s="838"/>
      <c r="CS304" s="838" t="str">
        <f>IFERROR(__xludf.DUMMYFUNCTION("""COMPUTED_VALUE"""),"Tribendimidine in combination with either ivermectin or oxantel amoate had a similar, non-inferior efficacy profile as albendazole plus oxantel pamoate, hence tribendimidine will be a useful addition to the deplete danthelmintic drug armamentarium")</f>
        <v>Tribendimidine in combination with either ivermectin or oxantel amoate had a similar, non-inferior efficacy profile as albendazole plus oxantel pamoate, hence tribendimidine will be a useful addition to the deplete danthelmintic drug armamentarium</v>
      </c>
      <c r="CT304" s="838" t="str">
        <f>IFERROR(__xludf.DUMMYFUNCTION("""COMPUTED_VALUE"""),"Kato-Katz Technique")</f>
        <v>Kato-Katz Technique</v>
      </c>
      <c r="CU304" s="838"/>
      <c r="CV304" s="697" t="str">
        <f>IFERROR(__xludf.DUMMYFUNCTION("""COMPUTED_VALUE"""),"Moser, W., Coulibaly, J., Ali, S., Ame, S., Amour, A., Yapi, R., Albonico, M., Puchkov, M., Huwyler, J., Hattendorf, J., &amp; Keiser, J. (2017). Efficacy and safety of tribendimidine, tribendimidine plus ivermectin, tribendimidine plus oxantel pamoate, and a"&amp;"lbendazole plus oxantel pamoate against hookworm and concomitant soil-transmitted helminth infections in Tanzania and Côte d’Ivoire: a randomised, controlled, single-blinded, non-inferiority trial. The Lancet Infectious Diseases, 17(11), 1162–1171. https:"&amp;"//doi.org/10.1016/S1473-3099(17)30487-6")</f>
        <v>Moser, W., Coulibaly, J., Ali, S., Ame, S., Amour, A., Yapi, R., Albonico, M., Puchkov, M., Huwyler, J., Hattendorf, J., &amp; Keiser, J. (2017). Efficacy and safety of tribendimidine, tribendimidine plus ivermectin, tribendimidine plus oxantel pamoate, and albendazole plus oxantel pamoate against hookworm and concomitant soil-transmitted helminth infections in Tanzania and Côte d’Ivoire: a randomised, controlled, single-blinded, non-inferiority trial. The Lancet Infectious Diseases, 17(11), 1162–1171. https://doi.org/10.1016/S1473-3099(17)30487-6</v>
      </c>
    </row>
    <row r="305">
      <c r="A305" s="834"/>
      <c r="B305" s="834"/>
      <c r="C305" s="834"/>
      <c r="D305" s="834"/>
      <c r="E305" s="834"/>
      <c r="F305" s="834"/>
      <c r="G305" s="834"/>
      <c r="H305" s="834"/>
      <c r="I305" s="834"/>
      <c r="J305" s="834"/>
      <c r="K305" s="834"/>
      <c r="L305" s="834"/>
      <c r="M305" s="834"/>
      <c r="N305" s="834"/>
      <c r="O305" s="834"/>
      <c r="P305" s="834"/>
      <c r="Q305" s="834"/>
      <c r="R305" s="834"/>
      <c r="S305" s="834"/>
      <c r="T305" s="834"/>
      <c r="U305" s="834"/>
      <c r="V305" s="834"/>
      <c r="W305" s="834"/>
      <c r="X305" s="834"/>
      <c r="Y305" s="834"/>
      <c r="Z305" s="834"/>
      <c r="AA305" s="834"/>
      <c r="AB305" s="834"/>
      <c r="AC305" s="834"/>
      <c r="AD305" s="834"/>
      <c r="AE305" s="834"/>
      <c r="AF305" s="834"/>
      <c r="AG305" s="834"/>
      <c r="AH305" s="834"/>
      <c r="AJ305" s="836"/>
      <c r="AK305" s="836"/>
      <c r="AL305" s="836"/>
      <c r="AM305" s="836"/>
      <c r="AN305" s="836"/>
      <c r="AO305" s="836"/>
      <c r="AP305" s="836"/>
      <c r="AQ305" s="836"/>
      <c r="AR305" s="836"/>
      <c r="AS305" s="836"/>
      <c r="AT305" s="836"/>
      <c r="AU305" s="836"/>
      <c r="AV305" s="836"/>
      <c r="AW305" s="836"/>
      <c r="AX305" s="836"/>
      <c r="AY305" s="836"/>
      <c r="AZ305" s="836"/>
      <c r="BA305" s="836"/>
      <c r="BB305" s="836"/>
      <c r="BC305" s="836"/>
      <c r="BD305" s="836"/>
      <c r="BE305" s="836"/>
      <c r="BF305" s="836"/>
      <c r="BG305" s="836"/>
      <c r="BH305" s="836"/>
      <c r="BI305" s="836"/>
      <c r="BJ305" s="836"/>
      <c r="BK305" s="836"/>
      <c r="BL305" s="836"/>
      <c r="BM305" s="836"/>
      <c r="BN305" s="836"/>
      <c r="BO305" s="836"/>
      <c r="BP305" s="836"/>
      <c r="BR305" s="844" t="str">
        <f>IFERROR(__xludf.DUMMYFUNCTION("""COMPUTED_VALUE"""),"Moser et al.")</f>
        <v>Moser et al.</v>
      </c>
      <c r="BS305" s="838" t="str">
        <f>IFERROR(__xludf.DUMMYFUNCTION("""COMPUTED_VALUE"""),"Côte d'Ivoire")</f>
        <v>Côte d'Ivoire</v>
      </c>
      <c r="BT305" s="838" t="str">
        <f>IFERROR(__xludf.DUMMYFUNCTION("""COMPUTED_VALUE"""),"Albendazole &amp; Oxantel pamoate")</f>
        <v>Albendazole &amp; Oxantel pamoate</v>
      </c>
      <c r="BU305" s="838"/>
      <c r="BV305" s="838" t="str">
        <f>IFERROR(__xludf.DUMMYFUNCTION("""COMPUTED_VALUE"""),"Single")</f>
        <v>Single</v>
      </c>
      <c r="BW305" s="838" t="str">
        <f>IFERROR(__xludf.DUMMYFUNCTION("""COMPUTED_VALUE"""),"400 mg; 25 mg/kg ")</f>
        <v>400 mg; 25 mg/kg </v>
      </c>
      <c r="BX305" s="856" t="str">
        <f>IFERROR(__xludf.DUMMYFUNCTION("""COMPUTED_VALUE"""),"78")</f>
        <v>78</v>
      </c>
      <c r="BY305" s="856" t="str">
        <f>IFERROR(__xludf.DUMMYFUNCTION("""COMPUTED_VALUE"""),"15.8")</f>
        <v>15.8</v>
      </c>
      <c r="BZ305" s="856" t="str">
        <f>IFERROR(__xludf.DUMMYFUNCTION("""COMPUTED_VALUE"""),"2016")</f>
        <v>2016</v>
      </c>
      <c r="CA305" s="838"/>
      <c r="CB305" s="838" t="str">
        <f>IFERROR(__xludf.DUMMYFUNCTION("""COMPUTED_VALUE"""),"Adolescents aged 15-18 years from primary schools on Pemba, and school attendees and non-schoolers from two distrcits in cote d-Ivoire. Participants were asked to provide two stool samples adn only participants who tested positive for hookworm were eligib"&amp;"le")</f>
        <v>Adolescents aged 15-18 years from primary schools on Pemba, and school attendees and non-schoolers from two distrcits in cote d-Ivoire. Participants were asked to provide two stool samples adn only participants who tested positive for hookworm were eligible</v>
      </c>
      <c r="CC305" s="856" t="str">
        <f>IFERROR(__xludf.DUMMYFUNCTION("""COMPUTED_VALUE"""),"Yes")</f>
        <v>Yes</v>
      </c>
      <c r="CD305" s="856" t="str">
        <f>IFERROR(__xludf.DUMMYFUNCTION("""COMPUTED_VALUE"""),"93.60%")</f>
        <v>93.60%</v>
      </c>
      <c r="CE305" s="856" t="str">
        <f>IFERROR(__xludf.DUMMYFUNCTION("""COMPUTED_VALUE"""),"Yes")</f>
        <v>Yes</v>
      </c>
      <c r="CF305" s="838"/>
      <c r="CG305" s="838"/>
      <c r="CH305" s="838"/>
      <c r="CI305" s="838"/>
      <c r="CJ305" s="838"/>
      <c r="CK305" s="838"/>
      <c r="CL305" s="838"/>
      <c r="CM305" s="856" t="str">
        <f>IFERROR(__xludf.DUMMYFUNCTION("""COMPUTED_VALUE"""),"99.99%")</f>
        <v>99.99%</v>
      </c>
      <c r="CN305" s="838"/>
      <c r="CO305" s="838"/>
      <c r="CP305" s="838"/>
      <c r="CQ305" s="838"/>
      <c r="CR305" s="838"/>
      <c r="CS305" s="838" t="str">
        <f>IFERROR(__xludf.DUMMYFUNCTION("""COMPUTED_VALUE"""),"Tribendimidine in combination with either ivermectin or oxantel amoate had a similar, non-inferior efficacy profile as albendazole plus oxantel pamoate, hence tribendimidine will be a useful addition to the deplete danthelmintic drug armamentarium")</f>
        <v>Tribendimidine in combination with either ivermectin or oxantel amoate had a similar, non-inferior efficacy profile as albendazole plus oxantel pamoate, hence tribendimidine will be a useful addition to the deplete danthelmintic drug armamentarium</v>
      </c>
      <c r="CT305" s="838" t="str">
        <f>IFERROR(__xludf.DUMMYFUNCTION("""COMPUTED_VALUE"""),"Kato-Katz Technique")</f>
        <v>Kato-Katz Technique</v>
      </c>
      <c r="CU305" s="838"/>
      <c r="CV305" s="697" t="str">
        <f>IFERROR(__xludf.DUMMYFUNCTION("""COMPUTED_VALUE"""),"Moser, W., Coulibaly, J., Ali, S., Ame, S., Amour, A., Yapi, R., Albonico, M., Puchkov, M., Huwyler, J., Hattendorf, J., &amp; Keiser, J. (2017). Efficacy and safety of tribendimidine, tribendimidine plus ivermectin, tribendimidine plus oxantel pamoate, and a"&amp;"lbendazole plus oxantel pamoate against hookworm and concomitant soil-transmitted helminth infections in Tanzania and Côte d’Ivoire: a randomised, controlled, single-blinded, non-inferiority trial. The Lancet Infectious Diseases, 17(11), 1162–1171. https:"&amp;"//doi.org/10.1016/S1473-3099(17)30487-7")</f>
        <v>Moser, W., Coulibaly, J., Ali, S., Ame, S., Amour, A., Yapi, R., Albonico, M., Puchkov, M., Huwyler, J., Hattendorf, J., &amp; Keiser, J. (2017). Efficacy and safety of tribendimidine, tribendimidine plus ivermectin, tribendimidine plus oxantel pamoate, and albendazole plus oxantel pamoate against hookworm and concomitant soil-transmitted helminth infections in Tanzania and Côte d’Ivoire: a randomised, controlled, single-blinded, non-inferiority trial. The Lancet Infectious Diseases, 17(11), 1162–1171. https://doi.org/10.1016/S1473-3099(17)30487-7</v>
      </c>
    </row>
    <row r="306">
      <c r="A306" s="834"/>
      <c r="B306" s="834"/>
      <c r="C306" s="834"/>
      <c r="D306" s="834"/>
      <c r="E306" s="834"/>
      <c r="F306" s="834"/>
      <c r="G306" s="834"/>
      <c r="H306" s="834"/>
      <c r="I306" s="834"/>
      <c r="J306" s="834"/>
      <c r="K306" s="834"/>
      <c r="L306" s="834"/>
      <c r="M306" s="834"/>
      <c r="N306" s="834"/>
      <c r="O306" s="834"/>
      <c r="P306" s="834"/>
      <c r="Q306" s="834"/>
      <c r="R306" s="834"/>
      <c r="S306" s="834"/>
      <c r="T306" s="834"/>
      <c r="U306" s="834"/>
      <c r="V306" s="834"/>
      <c r="W306" s="834"/>
      <c r="X306" s="834"/>
      <c r="Y306" s="834"/>
      <c r="Z306" s="834"/>
      <c r="AA306" s="834"/>
      <c r="AB306" s="834"/>
      <c r="AC306" s="834"/>
      <c r="AD306" s="834"/>
      <c r="AE306" s="834"/>
      <c r="AF306" s="834"/>
      <c r="AG306" s="834"/>
      <c r="AH306" s="834"/>
      <c r="AJ306" s="836"/>
      <c r="AK306" s="836"/>
      <c r="AL306" s="836"/>
      <c r="AM306" s="836"/>
      <c r="AN306" s="836"/>
      <c r="AO306" s="836"/>
      <c r="AP306" s="836"/>
      <c r="AQ306" s="836"/>
      <c r="AR306" s="836"/>
      <c r="AS306" s="836"/>
      <c r="AT306" s="836"/>
      <c r="AU306" s="836"/>
      <c r="AV306" s="836"/>
      <c r="AW306" s="836"/>
      <c r="AX306" s="836"/>
      <c r="AY306" s="836"/>
      <c r="AZ306" s="836"/>
      <c r="BA306" s="836"/>
      <c r="BB306" s="836"/>
      <c r="BC306" s="836"/>
      <c r="BD306" s="836"/>
      <c r="BE306" s="836"/>
      <c r="BF306" s="836"/>
      <c r="BG306" s="836"/>
      <c r="BH306" s="836"/>
      <c r="BI306" s="836"/>
      <c r="BJ306" s="836"/>
      <c r="BK306" s="836"/>
      <c r="BL306" s="836"/>
      <c r="BM306" s="836"/>
      <c r="BN306" s="836"/>
      <c r="BO306" s="836"/>
      <c r="BP306" s="836"/>
      <c r="BR306" s="844" t="str">
        <f>IFERROR(__xludf.DUMMYFUNCTION("""COMPUTED_VALUE"""),"Moser et al.")</f>
        <v>Moser et al.</v>
      </c>
      <c r="BS306" s="838" t="str">
        <f>IFERROR(__xludf.DUMMYFUNCTION("""COMPUTED_VALUE"""),"Tanziana")</f>
        <v>Tanziana</v>
      </c>
      <c r="BT306" s="838" t="str">
        <f>IFERROR(__xludf.DUMMYFUNCTION("""COMPUTED_VALUE"""),"Tribendimidine ")</f>
        <v>Tribendimidine </v>
      </c>
      <c r="BU306" s="838"/>
      <c r="BV306" s="838" t="str">
        <f>IFERROR(__xludf.DUMMYFUNCTION("""COMPUTED_VALUE"""),"Single")</f>
        <v>Single</v>
      </c>
      <c r="BW306" s="838" t="str">
        <f>IFERROR(__xludf.DUMMYFUNCTION("""COMPUTED_VALUE"""),"400 mg")</f>
        <v>400 mg</v>
      </c>
      <c r="BX306" s="856" t="str">
        <f>IFERROR(__xludf.DUMMYFUNCTION("""COMPUTED_VALUE"""),"72")</f>
        <v>72</v>
      </c>
      <c r="BY306" s="856" t="str">
        <f>IFERROR(__xludf.DUMMYFUNCTION("""COMPUTED_VALUE"""),"15.8")</f>
        <v>15.8</v>
      </c>
      <c r="BZ306" s="856" t="str">
        <f>IFERROR(__xludf.DUMMYFUNCTION("""COMPUTED_VALUE"""),"2016")</f>
        <v>2016</v>
      </c>
      <c r="CA306" s="838"/>
      <c r="CB306" s="838" t="str">
        <f>IFERROR(__xludf.DUMMYFUNCTION("""COMPUTED_VALUE"""),"Adolescents aged 15-18 years from primary schools on Pemba, and school attendees and non-schoolers from two distrcits in cote d-Ivoire. Participants were asked to provide two stool samples adn only participants who tested positive for hookworm were eligib"&amp;"le")</f>
        <v>Adolescents aged 15-18 years from primary schools on Pemba, and school attendees and non-schoolers from two distrcits in cote d-Ivoire. Participants were asked to provide two stool samples adn only participants who tested positive for hookworm were eligible</v>
      </c>
      <c r="CC306" s="856" t="str">
        <f>IFERROR(__xludf.DUMMYFUNCTION("""COMPUTED_VALUE"""),"Yes")</f>
        <v>Yes</v>
      </c>
      <c r="CD306" s="856" t="str">
        <f>IFERROR(__xludf.DUMMYFUNCTION("""COMPUTED_VALUE"""),"98.60%")</f>
        <v>98.60%</v>
      </c>
      <c r="CE306" s="856" t="str">
        <f>IFERROR(__xludf.DUMMYFUNCTION("""COMPUTED_VALUE"""),"Yes")</f>
        <v>Yes</v>
      </c>
      <c r="CF306" s="838"/>
      <c r="CG306" s="838"/>
      <c r="CH306" s="838"/>
      <c r="CI306" s="838"/>
      <c r="CJ306" s="838"/>
      <c r="CK306" s="838"/>
      <c r="CL306" s="838"/>
      <c r="CM306" s="856" t="str">
        <f>IFERROR(__xludf.DUMMYFUNCTION("""COMPUTED_VALUE"""),"&gt;99.99%")</f>
        <v>&gt;99.99%</v>
      </c>
      <c r="CN306" s="838"/>
      <c r="CO306" s="838"/>
      <c r="CP306" s="838"/>
      <c r="CQ306" s="838"/>
      <c r="CR306" s="838"/>
      <c r="CS306" s="838" t="str">
        <f>IFERROR(__xludf.DUMMYFUNCTION("""COMPUTED_VALUE"""),"Tribendimidine in combination with either ivermectin or oxantel amoate had a similar, non-inferior efficacy profile as albendazole plus oxantel pamoate, hence tribendimidine will be a useful addition to the deplete danthelmintic drug armamentarium")</f>
        <v>Tribendimidine in combination with either ivermectin or oxantel amoate had a similar, non-inferior efficacy profile as albendazole plus oxantel pamoate, hence tribendimidine will be a useful addition to the deplete danthelmintic drug armamentarium</v>
      </c>
      <c r="CT306" s="838" t="str">
        <f>IFERROR(__xludf.DUMMYFUNCTION("""COMPUTED_VALUE"""),"Kato-Katz Technique")</f>
        <v>Kato-Katz Technique</v>
      </c>
      <c r="CU306" s="838"/>
      <c r="CV306" s="697" t="str">
        <f>IFERROR(__xludf.DUMMYFUNCTION("""COMPUTED_VALUE"""),"Moser, W., Coulibaly, J., Ali, S., Ame, S., Amour, A., Yapi, R., Albonico, M., Puchkov, M., Huwyler, J., Hattendorf, J., &amp; Keiser, J. (2017). Efficacy and safety of tribendimidine, tribendimidine plus ivermectin, tribendimidine plus oxantel pamoate, and a"&amp;"lbendazole plus oxantel pamoate against hookworm and concomitant soil-transmitted helminth infections in Tanzania and Côte d’Ivoire: a randomised, controlled, single-blinded, non-inferiority trial. The Lancet Infectious Diseases, 17(11), 1162–1171. https:"&amp;"//doi.org/10.1016/S1473-3099(17)30487-4")</f>
        <v>Moser, W., Coulibaly, J., Ali, S., Ame, S., Amour, A., Yapi, R., Albonico, M., Puchkov, M., Huwyler, J., Hattendorf, J., &amp; Keiser, J. (2017). Efficacy and safety of tribendimidine, tribendimidine plus ivermectin, tribendimidine plus oxantel pamoate, and albendazole plus oxantel pamoate against hookworm and concomitant soil-transmitted helminth infections in Tanzania and Côte d’Ivoire: a randomised, controlled, single-blinded, non-inferiority trial. The Lancet Infectious Diseases, 17(11), 1162–1171. https://doi.org/10.1016/S1473-3099(17)30487-4</v>
      </c>
    </row>
    <row r="307">
      <c r="A307" s="834"/>
      <c r="B307" s="834"/>
      <c r="C307" s="834"/>
      <c r="D307" s="834"/>
      <c r="E307" s="834"/>
      <c r="F307" s="834"/>
      <c r="G307" s="834"/>
      <c r="H307" s="834"/>
      <c r="I307" s="834"/>
      <c r="J307" s="834"/>
      <c r="K307" s="834"/>
      <c r="L307" s="834"/>
      <c r="M307" s="834"/>
      <c r="N307" s="834"/>
      <c r="O307" s="834"/>
      <c r="P307" s="834"/>
      <c r="Q307" s="834"/>
      <c r="R307" s="834"/>
      <c r="S307" s="834"/>
      <c r="T307" s="834"/>
      <c r="U307" s="834"/>
      <c r="V307" s="834"/>
      <c r="W307" s="834"/>
      <c r="X307" s="834"/>
      <c r="Y307" s="834"/>
      <c r="Z307" s="834"/>
      <c r="AA307" s="834"/>
      <c r="AB307" s="834"/>
      <c r="AC307" s="834"/>
      <c r="AD307" s="834"/>
      <c r="AE307" s="834"/>
      <c r="AF307" s="834"/>
      <c r="AG307" s="834"/>
      <c r="AH307" s="834"/>
      <c r="AJ307" s="836"/>
      <c r="AK307" s="836"/>
      <c r="AL307" s="836"/>
      <c r="AM307" s="836"/>
      <c r="AN307" s="836"/>
      <c r="AO307" s="836"/>
      <c r="AP307" s="836"/>
      <c r="AQ307" s="836"/>
      <c r="AR307" s="836"/>
      <c r="AS307" s="836"/>
      <c r="AT307" s="836"/>
      <c r="AU307" s="836"/>
      <c r="AV307" s="836"/>
      <c r="AW307" s="836"/>
      <c r="AX307" s="836"/>
      <c r="AY307" s="836"/>
      <c r="AZ307" s="836"/>
      <c r="BA307" s="836"/>
      <c r="BB307" s="836"/>
      <c r="BC307" s="836"/>
      <c r="BD307" s="836"/>
      <c r="BE307" s="836"/>
      <c r="BF307" s="836"/>
      <c r="BG307" s="836"/>
      <c r="BH307" s="836"/>
      <c r="BI307" s="836"/>
      <c r="BJ307" s="836"/>
      <c r="BK307" s="836"/>
      <c r="BL307" s="836"/>
      <c r="BM307" s="836"/>
      <c r="BN307" s="836"/>
      <c r="BO307" s="836"/>
      <c r="BP307" s="836"/>
      <c r="BR307" s="844" t="str">
        <f>IFERROR(__xludf.DUMMYFUNCTION("""COMPUTED_VALUE"""),"Moser et al.")</f>
        <v>Moser et al.</v>
      </c>
      <c r="BS307" s="838" t="str">
        <f>IFERROR(__xludf.DUMMYFUNCTION("""COMPUTED_VALUE"""),"Tanziana")</f>
        <v>Tanziana</v>
      </c>
      <c r="BT307" s="838" t="str">
        <f>IFERROR(__xludf.DUMMYFUNCTION("""COMPUTED_VALUE"""),"Tribendimidine &amp; Ivermectin")</f>
        <v>Tribendimidine &amp; Ivermectin</v>
      </c>
      <c r="BU307" s="838"/>
      <c r="BV307" s="838" t="str">
        <f>IFERROR(__xludf.DUMMYFUNCTION("""COMPUTED_VALUE"""),"Single")</f>
        <v>Single</v>
      </c>
      <c r="BW307" s="838" t="str">
        <f>IFERROR(__xludf.DUMMYFUNCTION("""COMPUTED_VALUE"""),"400 mg; 200 µg/kg ")</f>
        <v>400 mg; 200 µg/kg </v>
      </c>
      <c r="BX307" s="856" t="str">
        <f>IFERROR(__xludf.DUMMYFUNCTION("""COMPUTED_VALUE"""),"76")</f>
        <v>76</v>
      </c>
      <c r="BY307" s="856" t="str">
        <f>IFERROR(__xludf.DUMMYFUNCTION("""COMPUTED_VALUE"""),"15.9")</f>
        <v>15.9</v>
      </c>
      <c r="BZ307" s="856" t="str">
        <f>IFERROR(__xludf.DUMMYFUNCTION("""COMPUTED_VALUE"""),"2016")</f>
        <v>2016</v>
      </c>
      <c r="CA307" s="838"/>
      <c r="CB307" s="838" t="str">
        <f>IFERROR(__xludf.DUMMYFUNCTION("""COMPUTED_VALUE"""),"Adolescents aged 15-18 years from primary schools on Pemba, and school attendees and non-schoolers from two distrcits in cote d-Ivoire. Participants were asked to provide two stool samples adn only participants who tested positive for hookworm were eligib"&amp;"le")</f>
        <v>Adolescents aged 15-18 years from primary schools on Pemba, and school attendees and non-schoolers from two distrcits in cote d-Ivoire. Participants were asked to provide two stool samples adn only participants who tested positive for hookworm were eligible</v>
      </c>
      <c r="CC307" s="856" t="str">
        <f>IFERROR(__xludf.DUMMYFUNCTION("""COMPUTED_VALUE"""),"Yes")</f>
        <v>Yes</v>
      </c>
      <c r="CD307" s="856" t="str">
        <f>IFERROR(__xludf.DUMMYFUNCTION("""COMPUTED_VALUE"""),"98.70%")</f>
        <v>98.70%</v>
      </c>
      <c r="CE307" s="856" t="str">
        <f>IFERROR(__xludf.DUMMYFUNCTION("""COMPUTED_VALUE"""),"Yes")</f>
        <v>Yes</v>
      </c>
      <c r="CF307" s="838"/>
      <c r="CG307" s="838"/>
      <c r="CH307" s="838"/>
      <c r="CI307" s="838"/>
      <c r="CJ307" s="838"/>
      <c r="CK307" s="838"/>
      <c r="CL307" s="838"/>
      <c r="CM307" s="856" t="str">
        <f>IFERROR(__xludf.DUMMYFUNCTION("""COMPUTED_VALUE"""),"&gt;99.99%")</f>
        <v>&gt;99.99%</v>
      </c>
      <c r="CN307" s="838"/>
      <c r="CO307" s="838"/>
      <c r="CP307" s="838"/>
      <c r="CQ307" s="838"/>
      <c r="CR307" s="838"/>
      <c r="CS307" s="838" t="str">
        <f>IFERROR(__xludf.DUMMYFUNCTION("""COMPUTED_VALUE"""),"Tribendimidine in combination with either ivermectin or oxantel amoate had a similar, non-inferior efficacy profile as albendazole plus oxantel pamoate, hence tribendimidine will be a useful addition to the deplete danthelmintic drug armamentarium")</f>
        <v>Tribendimidine in combination with either ivermectin or oxantel amoate had a similar, non-inferior efficacy profile as albendazole plus oxantel pamoate, hence tribendimidine will be a useful addition to the deplete danthelmintic drug armamentarium</v>
      </c>
      <c r="CT307" s="838" t="str">
        <f>IFERROR(__xludf.DUMMYFUNCTION("""COMPUTED_VALUE"""),"Kato-Katz Technique")</f>
        <v>Kato-Katz Technique</v>
      </c>
      <c r="CU307" s="838"/>
      <c r="CV307" s="697" t="str">
        <f>IFERROR(__xludf.DUMMYFUNCTION("""COMPUTED_VALUE"""),"Moser, W., Coulibaly, J., Ali, S., Ame, S., Amour, A., Yapi, R., Albonico, M., Puchkov, M., Huwyler, J., Hattendorf, J., &amp; Keiser, J. (2017). Efficacy and safety of tribendimidine, tribendimidine plus ivermectin, tribendimidine plus oxantel pamoate, and a"&amp;"lbendazole plus oxantel pamoate against hookworm and concomitant soil-transmitted helminth infections in Tanzania and Côte d’Ivoire: a randomised, controlled, single-blinded, non-inferiority trial. The Lancet Infectious Diseases, 17(11), 1162–1171. https:"&amp;"//doi.org/10.1016/S1473-3099(17)30487-5")</f>
        <v>Moser, W., Coulibaly, J., Ali, S., Ame, S., Amour, A., Yapi, R., Albonico, M., Puchkov, M., Huwyler, J., Hattendorf, J., &amp; Keiser, J. (2017). Efficacy and safety of tribendimidine, tribendimidine plus ivermectin, tribendimidine plus oxantel pamoate, and albendazole plus oxantel pamoate against hookworm and concomitant soil-transmitted helminth infections in Tanzania and Côte d’Ivoire: a randomised, controlled, single-blinded, non-inferiority trial. The Lancet Infectious Diseases, 17(11), 1162–1171. https://doi.org/10.1016/S1473-3099(17)30487-5</v>
      </c>
    </row>
    <row r="308">
      <c r="A308" s="834"/>
      <c r="B308" s="834"/>
      <c r="C308" s="834"/>
      <c r="D308" s="834"/>
      <c r="E308" s="834"/>
      <c r="F308" s="834"/>
      <c r="G308" s="834"/>
      <c r="H308" s="834"/>
      <c r="I308" s="834"/>
      <c r="J308" s="834"/>
      <c r="K308" s="834"/>
      <c r="L308" s="834"/>
      <c r="M308" s="834"/>
      <c r="N308" s="834"/>
      <c r="O308" s="834"/>
      <c r="P308" s="834"/>
      <c r="Q308" s="834"/>
      <c r="R308" s="834"/>
      <c r="S308" s="834"/>
      <c r="T308" s="834"/>
      <c r="U308" s="834"/>
      <c r="V308" s="834"/>
      <c r="W308" s="834"/>
      <c r="X308" s="834"/>
      <c r="Y308" s="834"/>
      <c r="Z308" s="834"/>
      <c r="AA308" s="834"/>
      <c r="AB308" s="834"/>
      <c r="AC308" s="834"/>
      <c r="AD308" s="834"/>
      <c r="AE308" s="834"/>
      <c r="AF308" s="834"/>
      <c r="AG308" s="834"/>
      <c r="AH308" s="834"/>
      <c r="AJ308" s="836"/>
      <c r="AK308" s="836"/>
      <c r="AL308" s="836"/>
      <c r="AM308" s="836"/>
      <c r="AN308" s="836"/>
      <c r="AO308" s="836"/>
      <c r="AP308" s="836"/>
      <c r="AQ308" s="836"/>
      <c r="AR308" s="836"/>
      <c r="AS308" s="836"/>
      <c r="AT308" s="836"/>
      <c r="AU308" s="836"/>
      <c r="AV308" s="836"/>
      <c r="AW308" s="836"/>
      <c r="AX308" s="836"/>
      <c r="AY308" s="836"/>
      <c r="AZ308" s="836"/>
      <c r="BA308" s="836"/>
      <c r="BB308" s="836"/>
      <c r="BC308" s="836"/>
      <c r="BD308" s="836"/>
      <c r="BE308" s="836"/>
      <c r="BF308" s="836"/>
      <c r="BG308" s="836"/>
      <c r="BH308" s="836"/>
      <c r="BI308" s="836"/>
      <c r="BJ308" s="836"/>
      <c r="BK308" s="836"/>
      <c r="BL308" s="836"/>
      <c r="BM308" s="836"/>
      <c r="BN308" s="836"/>
      <c r="BO308" s="836"/>
      <c r="BP308" s="836"/>
      <c r="BR308" s="844" t="str">
        <f>IFERROR(__xludf.DUMMYFUNCTION("""COMPUTED_VALUE"""),"Moser et al.")</f>
        <v>Moser et al.</v>
      </c>
      <c r="BS308" s="838" t="str">
        <f>IFERROR(__xludf.DUMMYFUNCTION("""COMPUTED_VALUE"""),"Tanziana")</f>
        <v>Tanziana</v>
      </c>
      <c r="BT308" s="838" t="str">
        <f>IFERROR(__xludf.DUMMYFUNCTION("""COMPUTED_VALUE"""),"Tribendimidine &amp; Oxantel pamoate")</f>
        <v>Tribendimidine &amp; Oxantel pamoate</v>
      </c>
      <c r="BU308" s="838"/>
      <c r="BV308" s="838" t="str">
        <f>IFERROR(__xludf.DUMMYFUNCTION("""COMPUTED_VALUE"""),"Single")</f>
        <v>Single</v>
      </c>
      <c r="BW308" s="838" t="str">
        <f>IFERROR(__xludf.DUMMYFUNCTION("""COMPUTED_VALUE"""),"400 mg; 25 mg/kg")</f>
        <v>400 mg; 25 mg/kg</v>
      </c>
      <c r="BX308" s="856" t="str">
        <f>IFERROR(__xludf.DUMMYFUNCTION("""COMPUTED_VALUE"""),"70")</f>
        <v>70</v>
      </c>
      <c r="BY308" s="856" t="str">
        <f>IFERROR(__xludf.DUMMYFUNCTION("""COMPUTED_VALUE"""),"15.9")</f>
        <v>15.9</v>
      </c>
      <c r="BZ308" s="856" t="str">
        <f>IFERROR(__xludf.DUMMYFUNCTION("""COMPUTED_VALUE"""),"2016")</f>
        <v>2016</v>
      </c>
      <c r="CA308" s="838"/>
      <c r="CB308" s="838" t="str">
        <f>IFERROR(__xludf.DUMMYFUNCTION("""COMPUTED_VALUE"""),"Adolescents aged 15-18 years from primary schools on Pemba, and school attendees and non-schoolers from two distrcits in cote d-Ivoire. Participants were asked to provide two stool samples adn only participants who tested positive for hookworm were eligib"&amp;"le")</f>
        <v>Adolescents aged 15-18 years from primary schools on Pemba, and school attendees and non-schoolers from two distrcits in cote d-Ivoire. Participants were asked to provide two stool samples adn only participants who tested positive for hookworm were eligible</v>
      </c>
      <c r="CC308" s="856" t="str">
        <f>IFERROR(__xludf.DUMMYFUNCTION("""COMPUTED_VALUE"""),"Yes")</f>
        <v>Yes</v>
      </c>
      <c r="CD308" s="856" t="str">
        <f>IFERROR(__xludf.DUMMYFUNCTION("""COMPUTED_VALUE"""),"94.30%")</f>
        <v>94.30%</v>
      </c>
      <c r="CE308" s="856" t="str">
        <f>IFERROR(__xludf.DUMMYFUNCTION("""COMPUTED_VALUE"""),"Yes")</f>
        <v>Yes</v>
      </c>
      <c r="CF308" s="838"/>
      <c r="CG308" s="838"/>
      <c r="CH308" s="838"/>
      <c r="CI308" s="838"/>
      <c r="CJ308" s="838"/>
      <c r="CK308" s="838"/>
      <c r="CL308" s="838"/>
      <c r="CM308" s="856" t="str">
        <f>IFERROR(__xludf.DUMMYFUNCTION("""COMPUTED_VALUE"""),"99.98%")</f>
        <v>99.98%</v>
      </c>
      <c r="CN308" s="838"/>
      <c r="CO308" s="838"/>
      <c r="CP308" s="838"/>
      <c r="CQ308" s="838"/>
      <c r="CR308" s="838"/>
      <c r="CS308" s="838" t="str">
        <f>IFERROR(__xludf.DUMMYFUNCTION("""COMPUTED_VALUE"""),"Tribendimidine in combination with either ivermectin or oxantel amoate had a similar, non-inferior efficacy profile as albendazole plus oxantel pamoate, hence tribendimidine will be a useful addition to the deplete danthelmintic drug armamentarium")</f>
        <v>Tribendimidine in combination with either ivermectin or oxantel amoate had a similar, non-inferior efficacy profile as albendazole plus oxantel pamoate, hence tribendimidine will be a useful addition to the deplete danthelmintic drug armamentarium</v>
      </c>
      <c r="CT308" s="838" t="str">
        <f>IFERROR(__xludf.DUMMYFUNCTION("""COMPUTED_VALUE"""),"Kato-Katz Technique")</f>
        <v>Kato-Katz Technique</v>
      </c>
      <c r="CU308" s="838"/>
      <c r="CV308" s="697" t="str">
        <f>IFERROR(__xludf.DUMMYFUNCTION("""COMPUTED_VALUE"""),"Moser, W., Coulibaly, J., Ali, S., Ame, S., Amour, A., Yapi, R., Albonico, M., Puchkov, M., Huwyler, J., Hattendorf, J., &amp; Keiser, J. (2017). Efficacy and safety of tribendimidine, tribendimidine plus ivermectin, tribendimidine plus oxantel pamoate, and a"&amp;"lbendazole plus oxantel pamoate against hookworm and concomitant soil-transmitted helminth infections in Tanzania and Côte d’Ivoire: a randomised, controlled, single-blinded, non-inferiority trial. The Lancet Infectious Diseases, 17(11), 1162–1171. https:"&amp;"//doi.org/10.1016/S1473-3099(17)30487-6")</f>
        <v>Moser, W., Coulibaly, J., Ali, S., Ame, S., Amour, A., Yapi, R., Albonico, M., Puchkov, M., Huwyler, J., Hattendorf, J., &amp; Keiser, J. (2017). Efficacy and safety of tribendimidine, tribendimidine plus ivermectin, tribendimidine plus oxantel pamoate, and albendazole plus oxantel pamoate against hookworm and concomitant soil-transmitted helminth infections in Tanzania and Côte d’Ivoire: a randomised, controlled, single-blinded, non-inferiority trial. The Lancet Infectious Diseases, 17(11), 1162–1171. https://doi.org/10.1016/S1473-3099(17)30487-6</v>
      </c>
    </row>
    <row r="309">
      <c r="A309" s="834"/>
      <c r="B309" s="834"/>
      <c r="C309" s="834"/>
      <c r="D309" s="834"/>
      <c r="E309" s="834"/>
      <c r="F309" s="834"/>
      <c r="G309" s="834"/>
      <c r="H309" s="834"/>
      <c r="I309" s="834"/>
      <c r="J309" s="834"/>
      <c r="K309" s="834"/>
      <c r="L309" s="834"/>
      <c r="M309" s="834"/>
      <c r="N309" s="834"/>
      <c r="O309" s="834"/>
      <c r="P309" s="834"/>
      <c r="Q309" s="834"/>
      <c r="R309" s="834"/>
      <c r="S309" s="834"/>
      <c r="T309" s="834"/>
      <c r="U309" s="834"/>
      <c r="V309" s="834"/>
      <c r="W309" s="834"/>
      <c r="X309" s="834"/>
      <c r="Y309" s="834"/>
      <c r="Z309" s="834"/>
      <c r="AA309" s="834"/>
      <c r="AB309" s="834"/>
      <c r="AC309" s="834"/>
      <c r="AD309" s="834"/>
      <c r="AE309" s="834"/>
      <c r="AF309" s="834"/>
      <c r="AG309" s="834"/>
      <c r="AH309" s="834"/>
      <c r="AJ309" s="836"/>
      <c r="AK309" s="836"/>
      <c r="AL309" s="836"/>
      <c r="AM309" s="836"/>
      <c r="AN309" s="836"/>
      <c r="AO309" s="836"/>
      <c r="AP309" s="836"/>
      <c r="AQ309" s="836"/>
      <c r="AR309" s="836"/>
      <c r="AS309" s="836"/>
      <c r="AT309" s="836"/>
      <c r="AU309" s="836"/>
      <c r="AV309" s="836"/>
      <c r="AW309" s="836"/>
      <c r="AX309" s="836"/>
      <c r="AY309" s="836"/>
      <c r="AZ309" s="836"/>
      <c r="BA309" s="836"/>
      <c r="BB309" s="836"/>
      <c r="BC309" s="836"/>
      <c r="BD309" s="836"/>
      <c r="BE309" s="836"/>
      <c r="BF309" s="836"/>
      <c r="BG309" s="836"/>
      <c r="BH309" s="836"/>
      <c r="BI309" s="836"/>
      <c r="BJ309" s="836"/>
      <c r="BK309" s="836"/>
      <c r="BL309" s="836"/>
      <c r="BM309" s="836"/>
      <c r="BN309" s="836"/>
      <c r="BO309" s="836"/>
      <c r="BP309" s="836"/>
      <c r="BR309" s="844" t="str">
        <f>IFERROR(__xludf.DUMMYFUNCTION("""COMPUTED_VALUE"""),"Moser et al.")</f>
        <v>Moser et al.</v>
      </c>
      <c r="BS309" s="838" t="str">
        <f>IFERROR(__xludf.DUMMYFUNCTION("""COMPUTED_VALUE"""),"Tanziana")</f>
        <v>Tanziana</v>
      </c>
      <c r="BT309" s="838" t="str">
        <f>IFERROR(__xludf.DUMMYFUNCTION("""COMPUTED_VALUE"""),"Albendazole &amp; Oxantel pamoate")</f>
        <v>Albendazole &amp; Oxantel pamoate</v>
      </c>
      <c r="BU309" s="838"/>
      <c r="BV309" s="838" t="str">
        <f>IFERROR(__xludf.DUMMYFUNCTION("""COMPUTED_VALUE"""),"Single")</f>
        <v>Single</v>
      </c>
      <c r="BW309" s="838" t="str">
        <f>IFERROR(__xludf.DUMMYFUNCTION("""COMPUTED_VALUE"""),"400 mg; 25 mg/kg")</f>
        <v>400 mg; 25 mg/kg</v>
      </c>
      <c r="BX309" s="856" t="str">
        <f>IFERROR(__xludf.DUMMYFUNCTION("""COMPUTED_VALUE"""),"78")</f>
        <v>78</v>
      </c>
      <c r="BY309" s="856" t="str">
        <f>IFERROR(__xludf.DUMMYFUNCTION("""COMPUTED_VALUE"""),"15.8")</f>
        <v>15.8</v>
      </c>
      <c r="BZ309" s="856" t="str">
        <f>IFERROR(__xludf.DUMMYFUNCTION("""COMPUTED_VALUE"""),"2016")</f>
        <v>2016</v>
      </c>
      <c r="CA309" s="838"/>
      <c r="CB309" s="838" t="str">
        <f>IFERROR(__xludf.DUMMYFUNCTION("""COMPUTED_VALUE"""),"Adolescents aged 15-18 years from primary schools on Pemba, and school attendees and non-schoolers from two distrcits in cote d-Ivoire. Participants were asked to provide two stool samples adn only participants who tested positive for hookworm and roundwo"&amp;"rm were eligible")</f>
        <v>Adolescents aged 15-18 years from primary schools on Pemba, and school attendees and non-schoolers from two distrcits in cote d-Ivoire. Participants were asked to provide two stool samples adn only participants who tested positive for hookworm and roundworm were eligible</v>
      </c>
      <c r="CC309" s="856" t="str">
        <f>IFERROR(__xludf.DUMMYFUNCTION("""COMPUTED_VALUE"""),"Yes")</f>
        <v>Yes</v>
      </c>
      <c r="CD309" s="856" t="str">
        <f>IFERROR(__xludf.DUMMYFUNCTION("""COMPUTED_VALUE"""),"93.60%")</f>
        <v>93.60%</v>
      </c>
      <c r="CE309" s="856" t="str">
        <f>IFERROR(__xludf.DUMMYFUNCTION("""COMPUTED_VALUE"""),"Yes")</f>
        <v>Yes</v>
      </c>
      <c r="CF309" s="838"/>
      <c r="CG309" s="838"/>
      <c r="CH309" s="838"/>
      <c r="CI309" s="838"/>
      <c r="CJ309" s="838"/>
      <c r="CK309" s="838"/>
      <c r="CL309" s="838"/>
      <c r="CM309" s="856" t="str">
        <f>IFERROR(__xludf.DUMMYFUNCTION("""COMPUTED_VALUE"""),"99.99%")</f>
        <v>99.99%</v>
      </c>
      <c r="CN309" s="838"/>
      <c r="CO309" s="838"/>
      <c r="CP309" s="838"/>
      <c r="CQ309" s="838"/>
      <c r="CR309" s="838"/>
      <c r="CS309" s="838" t="str">
        <f>IFERROR(__xludf.DUMMYFUNCTION("""COMPUTED_VALUE"""),"Tribendimidine in combination with either ivermectin or oxantel amoate had a similar, non-inferior efficacy profile as albendazole plus oxantel pamoate, hence tribendimidine will be a useful addition to the deplete danthelmintic drug armamentarium")</f>
        <v>Tribendimidine in combination with either ivermectin or oxantel amoate had a similar, non-inferior efficacy profile as albendazole plus oxantel pamoate, hence tribendimidine will be a useful addition to the deplete danthelmintic drug armamentarium</v>
      </c>
      <c r="CT309" s="838" t="str">
        <f>IFERROR(__xludf.DUMMYFUNCTION("""COMPUTED_VALUE"""),"Kato-Katz Technique")</f>
        <v>Kato-Katz Technique</v>
      </c>
      <c r="CU309" s="838"/>
      <c r="CV309" s="697" t="str">
        <f>IFERROR(__xludf.DUMMYFUNCTION("""COMPUTED_VALUE"""),"Moser, W., Coulibaly, J., Ali, S., Ame, S., Amour, A., Yapi, R., Albonico, M., Puchkov, M., Huwyler, J., Hattendorf, J., &amp; Keiser, J. (2017). Efficacy and safety of tribendimidine, tribendimidine plus ivermectin, tribendimidine plus oxantel pamoate, and a"&amp;"lbendazole plus oxantel pamoate against hookworm and concomitant soil-transmitted helminth infections in Tanzania and Côte d’Ivoire: a randomised, controlled, single-blinded, non-inferiority trial. The Lancet Infectious Diseases, 17(11), 1162–1171. https:"&amp;"//doi.org/10.1016/S1473-3099(17)30487-7")</f>
        <v>Moser, W., Coulibaly, J., Ali, S., Ame, S., Amour, A., Yapi, R., Albonico, M., Puchkov, M., Huwyler, J., Hattendorf, J., &amp; Keiser, J. (2017). Efficacy and safety of tribendimidine, tribendimidine plus ivermectin, tribendimidine plus oxantel pamoate, and albendazole plus oxantel pamoate against hookworm and concomitant soil-transmitted helminth infections in Tanzania and Côte d’Ivoire: a randomised, controlled, single-blinded, non-inferiority trial. The Lancet Infectious Diseases, 17(11), 1162–1171. https://doi.org/10.1016/S1473-3099(17)30487-7</v>
      </c>
    </row>
    <row r="310">
      <c r="A310" s="834"/>
      <c r="B310" s="834"/>
      <c r="C310" s="834"/>
      <c r="D310" s="834"/>
      <c r="E310" s="834"/>
      <c r="F310" s="834"/>
      <c r="G310" s="834"/>
      <c r="H310" s="834"/>
      <c r="I310" s="834"/>
      <c r="J310" s="834"/>
      <c r="K310" s="834"/>
      <c r="L310" s="834"/>
      <c r="M310" s="834"/>
      <c r="N310" s="834"/>
      <c r="O310" s="834"/>
      <c r="P310" s="834"/>
      <c r="Q310" s="834"/>
      <c r="R310" s="834"/>
      <c r="S310" s="834"/>
      <c r="T310" s="834"/>
      <c r="U310" s="834"/>
      <c r="V310" s="834"/>
      <c r="W310" s="834"/>
      <c r="X310" s="834"/>
      <c r="Y310" s="834"/>
      <c r="Z310" s="834"/>
      <c r="AA310" s="834"/>
      <c r="AB310" s="834"/>
      <c r="AC310" s="834"/>
      <c r="AD310" s="834"/>
      <c r="AE310" s="834"/>
      <c r="AF310" s="834"/>
      <c r="AG310" s="834"/>
      <c r="AH310" s="834"/>
      <c r="AJ310" s="836"/>
      <c r="AK310" s="836"/>
      <c r="AL310" s="836"/>
      <c r="AM310" s="836"/>
      <c r="AN310" s="836"/>
      <c r="AO310" s="836"/>
      <c r="AP310" s="836"/>
      <c r="AQ310" s="836"/>
      <c r="AR310" s="836"/>
      <c r="AS310" s="836"/>
      <c r="AT310" s="836"/>
      <c r="AU310" s="836"/>
      <c r="AV310" s="836"/>
      <c r="AW310" s="836"/>
      <c r="AX310" s="836"/>
      <c r="AY310" s="836"/>
      <c r="AZ310" s="836"/>
      <c r="BA310" s="836"/>
      <c r="BB310" s="836"/>
      <c r="BC310" s="836"/>
      <c r="BD310" s="836"/>
      <c r="BE310" s="836"/>
      <c r="BF310" s="836"/>
      <c r="BG310" s="836"/>
      <c r="BH310" s="836"/>
      <c r="BI310" s="836"/>
      <c r="BJ310" s="836"/>
      <c r="BK310" s="836"/>
      <c r="BL310" s="836"/>
      <c r="BM310" s="836"/>
      <c r="BN310" s="836"/>
      <c r="BO310" s="836"/>
      <c r="BP310" s="836"/>
      <c r="BR310" s="844" t="str">
        <f>IFERROR(__xludf.DUMMYFUNCTION("""COMPUTED_VALUE"""),"Barda et al.")</f>
        <v>Barda et al.</v>
      </c>
      <c r="BS310" s="838" t="str">
        <f>IFERROR(__xludf.DUMMYFUNCTION("""COMPUTED_VALUE"""),"Tanziana")</f>
        <v>Tanziana</v>
      </c>
      <c r="BT310" s="838" t="str">
        <f>IFERROR(__xludf.DUMMYFUNCTION("""COMPUTED_VALUE"""),"Moxidectin &amp; Albendazole")</f>
        <v>Moxidectin &amp; Albendazole</v>
      </c>
      <c r="BU310" s="838"/>
      <c r="BV310" s="838" t="str">
        <f>IFERROR(__xludf.DUMMYFUNCTION("""COMPUTED_VALUE"""),"Single")</f>
        <v>Single</v>
      </c>
      <c r="BW310" s="838" t="str">
        <f>IFERROR(__xludf.DUMMYFUNCTION("""COMPUTED_VALUE"""),"8 mg; 400 mg")</f>
        <v>8 mg; 400 mg</v>
      </c>
      <c r="BX310" s="856" t="str">
        <f>IFERROR(__xludf.DUMMYFUNCTION("""COMPUTED_VALUE"""),"118")</f>
        <v>118</v>
      </c>
      <c r="BY310" s="856" t="str">
        <f>IFERROR(__xludf.DUMMYFUNCTION("""COMPUTED_VALUE"""),"14")</f>
        <v>14</v>
      </c>
      <c r="BZ310" s="856" t="str">
        <f>IFERROR(__xludf.DUMMYFUNCTION("""COMPUTED_VALUE"""),"2017")</f>
        <v>2017</v>
      </c>
      <c r="CA310" s="838"/>
      <c r="CB310" s="838" t="str">
        <f>IFERROR(__xludf.DUMMYFUNCTION("""COMPUTED_VALUE"""),"Aldolescents aged 12-18 years who provided two stool samples and tested positive for both T. trichiura and Roundworm")</f>
        <v>Aldolescents aged 12-18 years who provided two stool samples and tested positive for both T. trichiura and Roundworm</v>
      </c>
      <c r="CC310" s="856" t="str">
        <f>IFERROR(__xludf.DUMMYFUNCTION("""COMPUTED_VALUE"""),"Yes")</f>
        <v>Yes</v>
      </c>
      <c r="CD310" s="856" t="str">
        <f>IFERROR(__xludf.DUMMYFUNCTION("""COMPUTED_VALUE"""),"96.60%")</f>
        <v>96.60%</v>
      </c>
      <c r="CE310" s="856" t="str">
        <f>IFERROR(__xludf.DUMMYFUNCTION("""COMPUTED_VALUE"""),"Yes")</f>
        <v>Yes</v>
      </c>
      <c r="CF310" s="838"/>
      <c r="CG310" s="838"/>
      <c r="CH310" s="838"/>
      <c r="CI310" s="838"/>
      <c r="CJ310" s="838"/>
      <c r="CK310" s="838"/>
      <c r="CL310" s="838"/>
      <c r="CM310" s="856" t="str">
        <f>IFERROR(__xludf.DUMMYFUNCTION("""COMPUTED_VALUE"""),"99.20%")</f>
        <v>99.20%</v>
      </c>
      <c r="CN310" s="838"/>
      <c r="CO310" s="838"/>
      <c r="CP310" s="838"/>
      <c r="CQ310" s="838"/>
      <c r="CR310" s="838"/>
      <c r="CS310" s="838" t="str">
        <f>IFERROR(__xludf.DUMMYFUNCTION("""COMPUTED_VALUE"""),"A. lumbricoides had higher efficacy in co-administration than moxidectin which suggests a synergistic effect. The synergisim might be explained by the pathways of the efflux of these drugs")</f>
        <v>A. lumbricoides had higher efficacy in co-administration than moxidectin which suggests a synergistic effect. The synergisim might be explained by the pathways of the efflux of these drugs</v>
      </c>
      <c r="CT310" s="838" t="str">
        <f>IFERROR(__xludf.DUMMYFUNCTION("""COMPUTED_VALUE"""),"Kato-Katz Technique")</f>
        <v>Kato-Katz Technique</v>
      </c>
      <c r="CU310" s="838"/>
      <c r="CV310" s="697" t="str">
        <f>IFERROR(__xludf.DUMMYFUNCTION("""COMPUTED_VALUE"""),"Barda, B., Ame, S., Ali, S., Albonico, M., Puchkov, M., Huwyler, J., Hattendorf, J., &amp; Keiser, J. (2018). Efficacy and tolerability of moxidectin alone and in co-administration with albendazole and tribendimidine versus albendazole plus oxantel pamoate ag"&amp;"ainst Trichuris trichiura infections: a randomised, non-inferiority, single-blind trial. The Lancet Infectious Diseases, 18(8), 864–873. https://doi.org/10.1016/S1473-3099(18)30233-1")</f>
        <v>Barda, B., Ame, S., Ali, S., Albonico, M., Puchkov, M., Huwyler, J., Hattendorf, J., &amp; Keiser, J. (2018). Efficacy and tolerability of moxidectin alone and in co-administration with albendazole and tribendimidine versus albendazole plus oxantel pamoate against Trichuris trichiura infections: a randomised, non-inferiority, single-blind trial. The Lancet Infectious Diseases, 18(8), 864–873. https://doi.org/10.1016/S1473-3099(18)30233-1</v>
      </c>
    </row>
    <row r="311">
      <c r="A311" s="834"/>
      <c r="B311" s="834"/>
      <c r="C311" s="834"/>
      <c r="D311" s="834"/>
      <c r="E311" s="834"/>
      <c r="F311" s="834"/>
      <c r="G311" s="834"/>
      <c r="H311" s="834"/>
      <c r="I311" s="834"/>
      <c r="J311" s="834"/>
      <c r="K311" s="834"/>
      <c r="L311" s="834"/>
      <c r="M311" s="834"/>
      <c r="N311" s="834"/>
      <c r="O311" s="834"/>
      <c r="P311" s="834"/>
      <c r="Q311" s="834"/>
      <c r="R311" s="834"/>
      <c r="S311" s="834"/>
      <c r="T311" s="834"/>
      <c r="U311" s="834"/>
      <c r="V311" s="834"/>
      <c r="W311" s="834"/>
      <c r="X311" s="834"/>
      <c r="Y311" s="834"/>
      <c r="Z311" s="834"/>
      <c r="AA311" s="834"/>
      <c r="AB311" s="834"/>
      <c r="AC311" s="834"/>
      <c r="AD311" s="834"/>
      <c r="AE311" s="834"/>
      <c r="AF311" s="834"/>
      <c r="AG311" s="834"/>
      <c r="AH311" s="834"/>
      <c r="AJ311" s="836"/>
      <c r="AK311" s="836"/>
      <c r="AL311" s="836"/>
      <c r="AM311" s="836"/>
      <c r="AN311" s="836"/>
      <c r="AO311" s="836"/>
      <c r="AP311" s="836"/>
      <c r="AQ311" s="836"/>
      <c r="AR311" s="836"/>
      <c r="AS311" s="836"/>
      <c r="AT311" s="836"/>
      <c r="AU311" s="836"/>
      <c r="AV311" s="836"/>
      <c r="AW311" s="836"/>
      <c r="AX311" s="836"/>
      <c r="AY311" s="836"/>
      <c r="AZ311" s="836"/>
      <c r="BA311" s="836"/>
      <c r="BB311" s="836"/>
      <c r="BC311" s="836"/>
      <c r="BD311" s="836"/>
      <c r="BE311" s="836"/>
      <c r="BF311" s="836"/>
      <c r="BG311" s="836"/>
      <c r="BH311" s="836"/>
      <c r="BI311" s="836"/>
      <c r="BJ311" s="836"/>
      <c r="BK311" s="836"/>
      <c r="BL311" s="836"/>
      <c r="BM311" s="836"/>
      <c r="BN311" s="836"/>
      <c r="BO311" s="836"/>
      <c r="BP311" s="836"/>
      <c r="BR311" s="844" t="str">
        <f>IFERROR(__xludf.DUMMYFUNCTION("""COMPUTED_VALUE"""),"Barda et al.")</f>
        <v>Barda et al.</v>
      </c>
      <c r="BS311" s="838" t="str">
        <f>IFERROR(__xludf.DUMMYFUNCTION("""COMPUTED_VALUE"""),"Tanziana")</f>
        <v>Tanziana</v>
      </c>
      <c r="BT311" s="838" t="str">
        <f>IFERROR(__xludf.DUMMYFUNCTION("""COMPUTED_VALUE"""),"Albendazole &amp; Oxantel pamoate")</f>
        <v>Albendazole &amp; Oxantel pamoate</v>
      </c>
      <c r="BU311" s="838"/>
      <c r="BV311" s="838" t="str">
        <f>IFERROR(__xludf.DUMMYFUNCTION("""COMPUTED_VALUE"""),"Single")</f>
        <v>Single</v>
      </c>
      <c r="BW311" s="838" t="str">
        <f>IFERROR(__xludf.DUMMYFUNCTION("""COMPUTED_VALUE"""),"400 mg; 25mg/kg")</f>
        <v>400 mg; 25mg/kg</v>
      </c>
      <c r="BX311" s="856" t="str">
        <f>IFERROR(__xludf.DUMMYFUNCTION("""COMPUTED_VALUE"""),"116")</f>
        <v>116</v>
      </c>
      <c r="BY311" s="856" t="str">
        <f>IFERROR(__xludf.DUMMYFUNCTION("""COMPUTED_VALUE"""),"13.9")</f>
        <v>13.9</v>
      </c>
      <c r="BZ311" s="856" t="str">
        <f>IFERROR(__xludf.DUMMYFUNCTION("""COMPUTED_VALUE"""),"2017")</f>
        <v>2017</v>
      </c>
      <c r="CA311" s="838"/>
      <c r="CB311" s="838" t="str">
        <f>IFERROR(__xludf.DUMMYFUNCTION("""COMPUTED_VALUE"""),"Aldolescents aged 12-18 years who provided two stool samples and tested positive for both T. trichiura and Roundworm")</f>
        <v>Aldolescents aged 12-18 years who provided two stool samples and tested positive for both T. trichiura and Roundworm</v>
      </c>
      <c r="CC311" s="856" t="str">
        <f>IFERROR(__xludf.DUMMYFUNCTION("""COMPUTED_VALUE"""),"Yes")</f>
        <v>Yes</v>
      </c>
      <c r="CD311" s="856" t="str">
        <f>IFERROR(__xludf.DUMMYFUNCTION("""COMPUTED_VALUE"""),"96.60%")</f>
        <v>96.60%</v>
      </c>
      <c r="CE311" s="856" t="str">
        <f>IFERROR(__xludf.DUMMYFUNCTION("""COMPUTED_VALUE"""),"Yes")</f>
        <v>Yes</v>
      </c>
      <c r="CF311" s="838"/>
      <c r="CG311" s="838"/>
      <c r="CH311" s="838"/>
      <c r="CI311" s="838"/>
      <c r="CJ311" s="838"/>
      <c r="CK311" s="838"/>
      <c r="CL311" s="838"/>
      <c r="CM311" s="856" t="str">
        <f>IFERROR(__xludf.DUMMYFUNCTION("""COMPUTED_VALUE"""),"&gt;99.99%")</f>
        <v>&gt;99.99%</v>
      </c>
      <c r="CN311" s="838"/>
      <c r="CO311" s="838"/>
      <c r="CP311" s="838"/>
      <c r="CQ311" s="838"/>
      <c r="CR311" s="838"/>
      <c r="CS311" s="838" t="str">
        <f>IFERROR(__xludf.DUMMYFUNCTION("""COMPUTED_VALUE"""),"A. lumbricoides had higher efficacy in co-administration than moxidectin which suggests a synergistic effect. The synergisim might be explained by the pathways of the efflux of these drugs")</f>
        <v>A. lumbricoides had higher efficacy in co-administration than moxidectin which suggests a synergistic effect. The synergisim might be explained by the pathways of the efflux of these drugs</v>
      </c>
      <c r="CT311" s="838" t="str">
        <f>IFERROR(__xludf.DUMMYFUNCTION("""COMPUTED_VALUE"""),"Kato-Katz Technique")</f>
        <v>Kato-Katz Technique</v>
      </c>
      <c r="CU311" s="838"/>
      <c r="CV311" s="697" t="str">
        <f>IFERROR(__xludf.DUMMYFUNCTION("""COMPUTED_VALUE"""),"Barda, B., Ame, S., Ali, S., Albonico, M., Puchkov, M., Huwyler, J., Hattendorf, J., &amp; Keiser, J. (2018). Efficacy and tolerability of moxidectin alone and in co-administration with albendazole and tribendimidine versus albendazole plus oxantel pamoate ag"&amp;"ainst Trichuris trichiura infections: a randomised, non-inferiority, single-blind trial. The Lancet Infectious Diseases, 18(8), 864–873. https://doi.org/10.1016/S1473-3099(18)30233-0")</f>
        <v>Barda, B., Ame, S., Ali, S., Albonico, M., Puchkov, M., Huwyler, J., Hattendorf, J., &amp; Keiser, J. (2018). Efficacy and tolerability of moxidectin alone and in co-administration with albendazole and tribendimidine versus albendazole plus oxantel pamoate against Trichuris trichiura infections: a randomised, non-inferiority, single-blind trial. The Lancet Infectious Diseases, 18(8), 864–873. https://doi.org/10.1016/S1473-3099(18)30233-0</v>
      </c>
    </row>
    <row r="312">
      <c r="A312" s="834"/>
      <c r="B312" s="834"/>
      <c r="C312" s="834"/>
      <c r="D312" s="834"/>
      <c r="E312" s="834"/>
      <c r="F312" s="834"/>
      <c r="G312" s="834"/>
      <c r="H312" s="834"/>
      <c r="I312" s="834"/>
      <c r="J312" s="834"/>
      <c r="K312" s="834"/>
      <c r="L312" s="834"/>
      <c r="M312" s="834"/>
      <c r="N312" s="834"/>
      <c r="O312" s="834"/>
      <c r="P312" s="834"/>
      <c r="Q312" s="834"/>
      <c r="R312" s="834"/>
      <c r="S312" s="834"/>
      <c r="T312" s="834"/>
      <c r="U312" s="834"/>
      <c r="V312" s="834"/>
      <c r="W312" s="834"/>
      <c r="X312" s="834"/>
      <c r="Y312" s="834"/>
      <c r="Z312" s="834"/>
      <c r="AA312" s="834"/>
      <c r="AB312" s="834"/>
      <c r="AC312" s="834"/>
      <c r="AD312" s="834"/>
      <c r="AE312" s="834"/>
      <c r="AF312" s="834"/>
      <c r="AG312" s="834"/>
      <c r="AH312" s="834"/>
      <c r="AJ312" s="836"/>
      <c r="AK312" s="836"/>
      <c r="AL312" s="836"/>
      <c r="AM312" s="836"/>
      <c r="AN312" s="836"/>
      <c r="AO312" s="836"/>
      <c r="AP312" s="836"/>
      <c r="AQ312" s="836"/>
      <c r="AR312" s="836"/>
      <c r="AS312" s="836"/>
      <c r="AT312" s="836"/>
      <c r="AU312" s="836"/>
      <c r="AV312" s="836"/>
      <c r="AW312" s="836"/>
      <c r="AX312" s="836"/>
      <c r="AY312" s="836"/>
      <c r="AZ312" s="836"/>
      <c r="BA312" s="836"/>
      <c r="BB312" s="836"/>
      <c r="BC312" s="836"/>
      <c r="BD312" s="836"/>
      <c r="BE312" s="836"/>
      <c r="BF312" s="836"/>
      <c r="BG312" s="836"/>
      <c r="BH312" s="836"/>
      <c r="BI312" s="836"/>
      <c r="BJ312" s="836"/>
      <c r="BK312" s="836"/>
      <c r="BL312" s="836"/>
      <c r="BM312" s="836"/>
      <c r="BN312" s="836"/>
      <c r="BO312" s="836"/>
      <c r="BP312" s="836"/>
      <c r="BR312" s="844" t="str">
        <f>IFERROR(__xludf.DUMMYFUNCTION("""COMPUTED_VALUE"""),"Barda et al.")</f>
        <v>Barda et al.</v>
      </c>
      <c r="BS312" s="838" t="str">
        <f>IFERROR(__xludf.DUMMYFUNCTION("""COMPUTED_VALUE"""),"Tanziana")</f>
        <v>Tanziana</v>
      </c>
      <c r="BT312" s="838" t="str">
        <f>IFERROR(__xludf.DUMMYFUNCTION("""COMPUTED_VALUE"""),"Moxidectin &amp; Tribendimidine")</f>
        <v>Moxidectin &amp; Tribendimidine</v>
      </c>
      <c r="BU312" s="838"/>
      <c r="BV312" s="838" t="str">
        <f>IFERROR(__xludf.DUMMYFUNCTION("""COMPUTED_VALUE"""),"Single")</f>
        <v>Single</v>
      </c>
      <c r="BW312" s="838" t="str">
        <f>IFERROR(__xludf.DUMMYFUNCTION("""COMPUTED_VALUE"""),"8 mg; 200 mg (younger than 15) or 400 mg (older than 15)")</f>
        <v>8 mg; 200 mg (younger than 15) or 400 mg (older than 15)</v>
      </c>
      <c r="BX312" s="856" t="str">
        <f>IFERROR(__xludf.DUMMYFUNCTION("""COMPUTED_VALUE"""),"71")</f>
        <v>71</v>
      </c>
      <c r="BY312" s="856" t="str">
        <f>IFERROR(__xludf.DUMMYFUNCTION("""COMPUTED_VALUE"""),"14.2")</f>
        <v>14.2</v>
      </c>
      <c r="BZ312" s="856" t="str">
        <f>IFERROR(__xludf.DUMMYFUNCTION("""COMPUTED_VALUE"""),"2017")</f>
        <v>2017</v>
      </c>
      <c r="CA312" s="838"/>
      <c r="CB312" s="846" t="str">
        <f>IFERROR(__xludf.DUMMYFUNCTION("""COMPUTED_VALUE"""),"Aldolescents aged 12-18 years who provided two stool samples and tested positive for both T. trichiura and Roundworm")</f>
        <v>Aldolescents aged 12-18 years who provided two stool samples and tested positive for both T. trichiura and Roundworm</v>
      </c>
      <c r="CC312" s="856" t="str">
        <f>IFERROR(__xludf.DUMMYFUNCTION("""COMPUTED_VALUE"""),"Yes")</f>
        <v>Yes</v>
      </c>
      <c r="CD312" s="856" t="str">
        <f>IFERROR(__xludf.DUMMYFUNCTION("""COMPUTED_VALUE"""),"97.10%")</f>
        <v>97.10%</v>
      </c>
      <c r="CE312" s="856" t="str">
        <f>IFERROR(__xludf.DUMMYFUNCTION("""COMPUTED_VALUE"""),"Yes")</f>
        <v>Yes</v>
      </c>
      <c r="CF312" s="838"/>
      <c r="CG312" s="838"/>
      <c r="CH312" s="838"/>
      <c r="CI312" s="838"/>
      <c r="CJ312" s="838"/>
      <c r="CK312" s="838"/>
      <c r="CL312" s="838"/>
      <c r="CM312" s="856" t="str">
        <f>IFERROR(__xludf.DUMMYFUNCTION("""COMPUTED_VALUE"""),"&gt;99.99%")</f>
        <v>&gt;99.99%</v>
      </c>
      <c r="CN312" s="838"/>
      <c r="CO312" s="838"/>
      <c r="CP312" s="838"/>
      <c r="CQ312" s="838"/>
      <c r="CR312" s="838"/>
      <c r="CS312" s="838" t="str">
        <f>IFERROR(__xludf.DUMMYFUNCTION("""COMPUTED_VALUE"""),"A. lumbricoides had higher efficacy in co-administration than moxidectin which suggests a synergistic effect. The synergisim might be explained by the pathways of the efflux of these drugs")</f>
        <v>A. lumbricoides had higher efficacy in co-administration than moxidectin which suggests a synergistic effect. The synergisim might be explained by the pathways of the efflux of these drugs</v>
      </c>
      <c r="CT312" s="838" t="str">
        <f>IFERROR(__xludf.DUMMYFUNCTION("""COMPUTED_VALUE"""),"Kato-Katz Technique")</f>
        <v>Kato-Katz Technique</v>
      </c>
      <c r="CU312" s="838"/>
      <c r="CV312" s="697" t="str">
        <f>IFERROR(__xludf.DUMMYFUNCTION("""COMPUTED_VALUE"""),"Barda, B., Ame, S., Ali, S., Albonico, M., Puchkov, M., Huwyler, J., Hattendorf, J., &amp; Keiser, J. (2018). Efficacy and tolerability of moxidectin alone and in co-administration with albendazole and tribendimidine versus albendazole plus oxantel pamoate ag"&amp;"ainst Trichuris trichiura infections: a randomised, non-inferiority, single-blind trial. The Lancet Infectious Diseases, 18(8), 864–873. https://doi.org/10.1016/S1473-3099(18)30233-1")</f>
        <v>Barda, B., Ame, S., Ali, S., Albonico, M., Puchkov, M., Huwyler, J., Hattendorf, J., &amp; Keiser, J. (2018). Efficacy and tolerability of moxidectin alone and in co-administration with albendazole and tribendimidine versus albendazole plus oxantel pamoate against Trichuris trichiura infections: a randomised, non-inferiority, single-blind trial. The Lancet Infectious Diseases, 18(8), 864–873. https://doi.org/10.1016/S1473-3099(18)30233-1</v>
      </c>
    </row>
    <row r="313">
      <c r="A313" s="834"/>
      <c r="B313" s="834"/>
      <c r="C313" s="834"/>
      <c r="D313" s="834"/>
      <c r="E313" s="834"/>
      <c r="F313" s="834"/>
      <c r="G313" s="834"/>
      <c r="H313" s="834"/>
      <c r="I313" s="834"/>
      <c r="J313" s="834"/>
      <c r="K313" s="834"/>
      <c r="L313" s="834"/>
      <c r="M313" s="834"/>
      <c r="N313" s="834"/>
      <c r="O313" s="834"/>
      <c r="P313" s="834"/>
      <c r="Q313" s="834"/>
      <c r="R313" s="834"/>
      <c r="S313" s="834"/>
      <c r="T313" s="834"/>
      <c r="U313" s="834"/>
      <c r="V313" s="834"/>
      <c r="W313" s="834"/>
      <c r="X313" s="834"/>
      <c r="Y313" s="834"/>
      <c r="Z313" s="834"/>
      <c r="AA313" s="834"/>
      <c r="AB313" s="834"/>
      <c r="AC313" s="834"/>
      <c r="AD313" s="834"/>
      <c r="AE313" s="834"/>
      <c r="AF313" s="834"/>
      <c r="AG313" s="834"/>
      <c r="AH313" s="834"/>
      <c r="AJ313" s="836"/>
      <c r="AK313" s="836"/>
      <c r="AL313" s="836"/>
      <c r="AM313" s="836"/>
      <c r="AN313" s="836"/>
      <c r="AO313" s="836"/>
      <c r="AP313" s="836"/>
      <c r="AQ313" s="836"/>
      <c r="AR313" s="836"/>
      <c r="AS313" s="836"/>
      <c r="AT313" s="836"/>
      <c r="AU313" s="836"/>
      <c r="AV313" s="836"/>
      <c r="AW313" s="836"/>
      <c r="AX313" s="836"/>
      <c r="AY313" s="836"/>
      <c r="AZ313" s="836"/>
      <c r="BA313" s="836"/>
      <c r="BB313" s="836"/>
      <c r="BC313" s="836"/>
      <c r="BD313" s="836"/>
      <c r="BE313" s="836"/>
      <c r="BF313" s="836"/>
      <c r="BG313" s="836"/>
      <c r="BH313" s="836"/>
      <c r="BI313" s="836"/>
      <c r="BJ313" s="836"/>
      <c r="BK313" s="836"/>
      <c r="BL313" s="836"/>
      <c r="BM313" s="836"/>
      <c r="BN313" s="836"/>
      <c r="BO313" s="836"/>
      <c r="BP313" s="836"/>
      <c r="BR313" s="844" t="str">
        <f>IFERROR(__xludf.DUMMYFUNCTION("""COMPUTED_VALUE"""),"Barda et al.")</f>
        <v>Barda et al.</v>
      </c>
      <c r="BS313" s="838" t="str">
        <f>IFERROR(__xludf.DUMMYFUNCTION("""COMPUTED_VALUE"""),"Tanziana")</f>
        <v>Tanziana</v>
      </c>
      <c r="BT313" s="838" t="str">
        <f>IFERROR(__xludf.DUMMYFUNCTION("""COMPUTED_VALUE"""),"Moxidectin")</f>
        <v>Moxidectin</v>
      </c>
      <c r="BU313" s="838"/>
      <c r="BV313" s="838" t="str">
        <f>IFERROR(__xludf.DUMMYFUNCTION("""COMPUTED_VALUE"""),"Single")</f>
        <v>Single</v>
      </c>
      <c r="BW313" s="838" t="str">
        <f>IFERROR(__xludf.DUMMYFUNCTION("""COMPUTED_VALUE"""),"8 mg")</f>
        <v>8 mg</v>
      </c>
      <c r="BX313" s="856" t="str">
        <f>IFERROR(__xludf.DUMMYFUNCTION("""COMPUTED_VALUE"""),"63")</f>
        <v>63</v>
      </c>
      <c r="BY313" s="856" t="str">
        <f>IFERROR(__xludf.DUMMYFUNCTION("""COMPUTED_VALUE"""),"13.9")</f>
        <v>13.9</v>
      </c>
      <c r="BZ313" s="856" t="str">
        <f>IFERROR(__xludf.DUMMYFUNCTION("""COMPUTED_VALUE"""),"2017")</f>
        <v>2017</v>
      </c>
      <c r="CA313" s="838"/>
      <c r="CB313" s="846" t="str">
        <f>IFERROR(__xludf.DUMMYFUNCTION("""COMPUTED_VALUE"""),"Aldolescents aged 12-18 years who provided two stool samples and tested positive for both T. trichiura and Roundworm")</f>
        <v>Aldolescents aged 12-18 years who provided two stool samples and tested positive for both T. trichiura and Roundworm</v>
      </c>
      <c r="CC313" s="856" t="str">
        <f>IFERROR(__xludf.DUMMYFUNCTION("""COMPUTED_VALUE"""),"Yes")</f>
        <v>Yes</v>
      </c>
      <c r="CD313" s="856" t="str">
        <f>IFERROR(__xludf.DUMMYFUNCTION("""COMPUTED_VALUE"""),"98.40%")</f>
        <v>98.40%</v>
      </c>
      <c r="CE313" s="856" t="str">
        <f>IFERROR(__xludf.DUMMYFUNCTION("""COMPUTED_VALUE"""),"Yes")</f>
        <v>Yes</v>
      </c>
      <c r="CF313" s="838"/>
      <c r="CG313" s="838"/>
      <c r="CH313" s="838"/>
      <c r="CI313" s="838"/>
      <c r="CJ313" s="838"/>
      <c r="CK313" s="838"/>
      <c r="CL313" s="838"/>
      <c r="CM313" s="856" t="str">
        <f>IFERROR(__xludf.DUMMYFUNCTION("""COMPUTED_VALUE"""),"&gt;99.99%")</f>
        <v>&gt;99.99%</v>
      </c>
      <c r="CN313" s="838"/>
      <c r="CO313" s="838"/>
      <c r="CP313" s="838"/>
      <c r="CQ313" s="838"/>
      <c r="CR313" s="838"/>
      <c r="CS313" s="838" t="str">
        <f>IFERROR(__xludf.DUMMYFUNCTION("""COMPUTED_VALUE"""),"A. lumbricoides had higher efficacy in co-administration than moxidectin which suggests a synergistic effect. The synergisim might be explained by the pathways of the efflux of these drugs")</f>
        <v>A. lumbricoides had higher efficacy in co-administration than moxidectin which suggests a synergistic effect. The synergisim might be explained by the pathways of the efflux of these drugs</v>
      </c>
      <c r="CT313" s="838" t="str">
        <f>IFERROR(__xludf.DUMMYFUNCTION("""COMPUTED_VALUE"""),"Kato-Katz Technique")</f>
        <v>Kato-Katz Technique</v>
      </c>
      <c r="CU313" s="838"/>
      <c r="CV313" s="697" t="str">
        <f>IFERROR(__xludf.DUMMYFUNCTION("""COMPUTED_VALUE"""),"Barda, B., Ame, S., Ali, S., Albonico, M., Puchkov, M., Huwyler, J., Hattendorf, J., &amp; Keiser, J. (2018). Efficacy and tolerability of moxidectin alone and in co-administration with albendazole and tribendimidine versus albendazole plus oxantel pamoate ag"&amp;"ainst Trichuris trichiura infections: a randomised, non-inferiority, single-blind trial. The Lancet Infectious Diseases, 18(8), 864–873. https://doi.org/10.1016/S1473-3099(18)30233-2")</f>
        <v>Barda, B., Ame, S., Ali, S., Albonico, M., Puchkov, M., Huwyler, J., Hattendorf, J., &amp; Keiser, J. (2018). Efficacy and tolerability of moxidectin alone and in co-administration with albendazole and tribendimidine versus albendazole plus oxantel pamoate against Trichuris trichiura infections: a randomised, non-inferiority, single-blind trial. The Lancet Infectious Diseases, 18(8), 864–873. https://doi.org/10.1016/S1473-3099(18)30233-2</v>
      </c>
    </row>
    <row r="314">
      <c r="A314" s="834"/>
      <c r="B314" s="834"/>
      <c r="C314" s="834"/>
      <c r="D314" s="834"/>
      <c r="E314" s="834"/>
      <c r="F314" s="834"/>
      <c r="G314" s="834"/>
      <c r="H314" s="834"/>
      <c r="I314" s="834"/>
      <c r="J314" s="834"/>
      <c r="K314" s="834"/>
      <c r="L314" s="834"/>
      <c r="M314" s="834"/>
      <c r="N314" s="834"/>
      <c r="O314" s="834"/>
      <c r="P314" s="834"/>
      <c r="Q314" s="834"/>
      <c r="R314" s="834"/>
      <c r="S314" s="834"/>
      <c r="T314" s="834"/>
      <c r="U314" s="834"/>
      <c r="V314" s="834"/>
      <c r="W314" s="834"/>
      <c r="X314" s="834"/>
      <c r="Y314" s="834"/>
      <c r="Z314" s="834"/>
      <c r="AA314" s="834"/>
      <c r="AB314" s="834"/>
      <c r="AC314" s="834"/>
      <c r="AD314" s="834"/>
      <c r="AE314" s="834"/>
      <c r="AF314" s="834"/>
      <c r="AG314" s="834"/>
      <c r="AH314" s="834"/>
      <c r="AJ314" s="836"/>
      <c r="AK314" s="836"/>
      <c r="AL314" s="836"/>
      <c r="AM314" s="836"/>
      <c r="AN314" s="836"/>
      <c r="AO314" s="836"/>
      <c r="AP314" s="836"/>
      <c r="AQ314" s="836"/>
      <c r="AR314" s="836"/>
      <c r="AS314" s="836"/>
      <c r="AT314" s="836"/>
      <c r="AU314" s="836"/>
      <c r="AV314" s="836"/>
      <c r="AW314" s="836"/>
      <c r="AX314" s="836"/>
      <c r="AY314" s="836"/>
      <c r="AZ314" s="836"/>
      <c r="BA314" s="836"/>
      <c r="BB314" s="836"/>
      <c r="BC314" s="836"/>
      <c r="BD314" s="836"/>
      <c r="BE314" s="836"/>
      <c r="BF314" s="836"/>
      <c r="BG314" s="836"/>
      <c r="BH314" s="836"/>
      <c r="BI314" s="836"/>
      <c r="BJ314" s="836"/>
      <c r="BK314" s="836"/>
      <c r="BL314" s="836"/>
      <c r="BM314" s="836"/>
      <c r="BN314" s="836"/>
      <c r="BO314" s="836"/>
      <c r="BP314" s="836"/>
      <c r="BR314" s="844" t="str">
        <f>IFERROR(__xludf.DUMMYFUNCTION("""COMPUTED_VALUE"""),"Zeleke et al.")</f>
        <v>Zeleke et al.</v>
      </c>
      <c r="BS314" s="838" t="str">
        <f>IFERROR(__xludf.DUMMYFUNCTION("""COMPUTED_VALUE"""),"Ethiopia")</f>
        <v>Ethiopia</v>
      </c>
      <c r="BT314" s="838" t="str">
        <f>IFERROR(__xludf.DUMMYFUNCTION("""COMPUTED_VALUE"""),"Mebendazole")</f>
        <v>Mebendazole</v>
      </c>
      <c r="BU314" s="838"/>
      <c r="BV314" s="838" t="str">
        <f>IFERROR(__xludf.DUMMYFUNCTION("""COMPUTED_VALUE"""),"Single")</f>
        <v>Single</v>
      </c>
      <c r="BW314" s="838" t="str">
        <f>IFERROR(__xludf.DUMMYFUNCTION("""COMPUTED_VALUE"""),"500 mg")</f>
        <v>500 mg</v>
      </c>
      <c r="BX314" s="856" t="str">
        <f>IFERROR(__xludf.DUMMYFUNCTION("""COMPUTED_VALUE"""),"64")</f>
        <v>64</v>
      </c>
      <c r="BY314" s="838"/>
      <c r="BZ314" s="856" t="str">
        <f>IFERROR(__xludf.DUMMYFUNCTION("""COMPUTED_VALUE"""),"2018")</f>
        <v>2018</v>
      </c>
      <c r="CA314" s="838"/>
      <c r="CB314" s="846" t="str">
        <f>IFERROR(__xludf.DUMMYFUNCTION("""COMPUTED_VALUE"""),"All children positive of roundworm with a single informed consent and who did not have any additional health problems were included")</f>
        <v>All children positive of roundworm with a single informed consent and who did not have any additional health problems were included</v>
      </c>
      <c r="CC314" s="856" t="str">
        <f>IFERROR(__xludf.DUMMYFUNCTION("""COMPUTED_VALUE"""),"Yes")</f>
        <v>Yes</v>
      </c>
      <c r="CD314" s="856" t="str">
        <f>IFERROR(__xludf.DUMMYFUNCTION("""COMPUTED_VALUE"""),"96.90%")</f>
        <v>96.90%</v>
      </c>
      <c r="CE314" s="856" t="str">
        <f>IFERROR(__xludf.DUMMYFUNCTION("""COMPUTED_VALUE"""),"No")</f>
        <v>No</v>
      </c>
      <c r="CF314" s="838"/>
      <c r="CG314" s="838"/>
      <c r="CH314" s="838"/>
      <c r="CI314" s="838"/>
      <c r="CJ314" s="838"/>
      <c r="CK314" s="838"/>
      <c r="CL314" s="838"/>
      <c r="CM314" s="856" t="str">
        <f>IFERROR(__xludf.DUMMYFUNCTION("""COMPUTED_VALUE"""),"99.99%")</f>
        <v>99.99%</v>
      </c>
      <c r="CN314" s="838"/>
      <c r="CO314" s="838"/>
      <c r="CP314" s="838"/>
      <c r="CQ314" s="838"/>
      <c r="CR314" s="838"/>
      <c r="CS314" s="838" t="str">
        <f>IFERROR(__xludf.DUMMYFUNCTION("""COMPUTED_VALUE"""),"Mebendazole was found to be highly effective against A. lumbricoides")</f>
        <v>Mebendazole was found to be highly effective against A. lumbricoides</v>
      </c>
      <c r="CT314" s="838" t="str">
        <f>IFERROR(__xludf.DUMMYFUNCTION("""COMPUTED_VALUE"""),"Kato-Katz Technique")</f>
        <v>Kato-Katz Technique</v>
      </c>
      <c r="CU314" s="838"/>
      <c r="CV314" s="697" t="str">
        <f>IFERROR(__xludf.DUMMYFUNCTION("""COMPUTED_VALUE"""),"Zeleke, A.J., Bayih, A.G., Afework, S. et al. Treatment efficacy and re-infection rates of soil-transmitted helminths following mebendazole treatment in schoolchildren, Northwest Ethiopia. Trop Med Health 48, 90 (2020). https://doi.org/10.1186/s41182-020-"&amp;"00282-z")</f>
        <v>Zeleke, A.J., Bayih, A.G., Afework, S. et al. Treatment efficacy and re-infection rates of soil-transmitted helminths following mebendazole treatment in schoolchildren, Northwest Ethiopia. Trop Med Health 48, 90 (2020). https://doi.org/10.1186/s41182-020-00282-z</v>
      </c>
    </row>
    <row r="315">
      <c r="A315" s="834"/>
      <c r="B315" s="834"/>
      <c r="C315" s="834"/>
      <c r="D315" s="834"/>
      <c r="E315" s="834"/>
      <c r="F315" s="834"/>
      <c r="G315" s="834"/>
      <c r="H315" s="834"/>
      <c r="I315" s="834"/>
      <c r="J315" s="834"/>
      <c r="K315" s="834"/>
      <c r="L315" s="834"/>
      <c r="M315" s="834"/>
      <c r="N315" s="834"/>
      <c r="O315" s="834"/>
      <c r="P315" s="834"/>
      <c r="Q315" s="834"/>
      <c r="R315" s="834"/>
      <c r="S315" s="834"/>
      <c r="T315" s="834"/>
      <c r="U315" s="834"/>
      <c r="V315" s="834"/>
      <c r="W315" s="834"/>
      <c r="X315" s="834"/>
      <c r="Y315" s="834"/>
      <c r="Z315" s="834"/>
      <c r="AA315" s="834"/>
      <c r="AB315" s="834"/>
      <c r="AC315" s="834"/>
      <c r="AD315" s="834"/>
      <c r="AE315" s="834"/>
      <c r="AF315" s="834"/>
      <c r="AG315" s="834"/>
      <c r="AH315" s="834"/>
      <c r="AJ315" s="836"/>
      <c r="AK315" s="836"/>
      <c r="AL315" s="836"/>
      <c r="AM315" s="836"/>
      <c r="AN315" s="836"/>
      <c r="AO315" s="836"/>
      <c r="AP315" s="836"/>
      <c r="AQ315" s="836"/>
      <c r="AR315" s="836"/>
      <c r="AS315" s="836"/>
      <c r="AT315" s="836"/>
      <c r="AU315" s="836"/>
      <c r="AV315" s="836"/>
      <c r="AW315" s="836"/>
      <c r="AX315" s="836"/>
      <c r="AY315" s="836"/>
      <c r="AZ315" s="836"/>
      <c r="BA315" s="836"/>
      <c r="BB315" s="836"/>
      <c r="BC315" s="836"/>
      <c r="BD315" s="836"/>
      <c r="BE315" s="836"/>
      <c r="BF315" s="836"/>
      <c r="BG315" s="836"/>
      <c r="BH315" s="836"/>
      <c r="BI315" s="836"/>
      <c r="BJ315" s="836"/>
      <c r="BK315" s="836"/>
      <c r="BL315" s="836"/>
      <c r="BM315" s="836"/>
      <c r="BN315" s="836"/>
      <c r="BO315" s="836"/>
      <c r="BP315" s="836"/>
      <c r="BR315" s="838"/>
      <c r="BS315" s="838"/>
      <c r="BT315" s="838"/>
      <c r="BU315" s="838"/>
      <c r="BV315" s="838"/>
      <c r="BW315" s="838"/>
      <c r="BX315" s="838"/>
      <c r="BY315" s="838"/>
      <c r="BZ315" s="838"/>
      <c r="CA315" s="838"/>
      <c r="CB315" s="838"/>
      <c r="CC315" s="838"/>
      <c r="CD315" s="838"/>
      <c r="CE315" s="838"/>
      <c r="CF315" s="838"/>
      <c r="CG315" s="838"/>
      <c r="CH315" s="838"/>
      <c r="CI315" s="838"/>
      <c r="CJ315" s="838"/>
      <c r="CK315" s="838"/>
      <c r="CL315" s="838"/>
      <c r="CM315" s="838"/>
      <c r="CN315" s="838"/>
      <c r="CO315" s="838"/>
      <c r="CP315" s="838"/>
      <c r="CQ315" s="838"/>
      <c r="CR315" s="838"/>
      <c r="CS315" s="838"/>
      <c r="CT315" s="838"/>
      <c r="CU315" s="838"/>
      <c r="CV315" s="697"/>
    </row>
    <row r="316">
      <c r="A316" s="834"/>
      <c r="B316" s="834"/>
      <c r="C316" s="834"/>
      <c r="D316" s="834"/>
      <c r="E316" s="834"/>
      <c r="F316" s="834"/>
      <c r="G316" s="834"/>
      <c r="H316" s="834"/>
      <c r="I316" s="834"/>
      <c r="J316" s="834"/>
      <c r="K316" s="834"/>
      <c r="L316" s="834"/>
      <c r="M316" s="834"/>
      <c r="N316" s="834"/>
      <c r="O316" s="834"/>
      <c r="P316" s="834"/>
      <c r="Q316" s="834"/>
      <c r="R316" s="834"/>
      <c r="S316" s="834"/>
      <c r="T316" s="834"/>
      <c r="U316" s="834"/>
      <c r="V316" s="834"/>
      <c r="W316" s="834"/>
      <c r="X316" s="834"/>
      <c r="Y316" s="834"/>
      <c r="Z316" s="834"/>
      <c r="AA316" s="834"/>
      <c r="AB316" s="834"/>
      <c r="AC316" s="834"/>
      <c r="AD316" s="834"/>
      <c r="AE316" s="834"/>
      <c r="AF316" s="834"/>
      <c r="AG316" s="834"/>
      <c r="AH316" s="834"/>
      <c r="AJ316" s="836"/>
      <c r="AK316" s="836"/>
      <c r="AL316" s="836"/>
      <c r="AM316" s="836"/>
      <c r="AN316" s="836"/>
      <c r="AO316" s="836"/>
      <c r="AP316" s="836"/>
      <c r="AQ316" s="836"/>
      <c r="AR316" s="836"/>
      <c r="AS316" s="836"/>
      <c r="AT316" s="836"/>
      <c r="AU316" s="836"/>
      <c r="AV316" s="836"/>
      <c r="AW316" s="836"/>
      <c r="AX316" s="836"/>
      <c r="AY316" s="836"/>
      <c r="AZ316" s="836"/>
      <c r="BA316" s="836"/>
      <c r="BB316" s="836"/>
      <c r="BC316" s="836"/>
      <c r="BD316" s="836"/>
      <c r="BE316" s="836"/>
      <c r="BF316" s="836"/>
      <c r="BG316" s="836"/>
      <c r="BH316" s="836"/>
      <c r="BI316" s="836"/>
      <c r="BJ316" s="836"/>
      <c r="BK316" s="836"/>
      <c r="BL316" s="836"/>
      <c r="BM316" s="836"/>
      <c r="BN316" s="836"/>
      <c r="BO316" s="836"/>
      <c r="BP316" s="836"/>
      <c r="BR316" s="838"/>
      <c r="BS316" s="838"/>
      <c r="BT316" s="838"/>
      <c r="BU316" s="838"/>
      <c r="BV316" s="838"/>
      <c r="BW316" s="838"/>
      <c r="BX316" s="838"/>
      <c r="BY316" s="838"/>
      <c r="BZ316" s="838"/>
      <c r="CA316" s="838"/>
      <c r="CB316" s="838"/>
      <c r="CC316" s="838"/>
      <c r="CD316" s="838"/>
      <c r="CE316" s="838"/>
      <c r="CF316" s="838"/>
      <c r="CG316" s="838"/>
      <c r="CH316" s="838"/>
      <c r="CI316" s="838"/>
      <c r="CJ316" s="838"/>
      <c r="CK316" s="838"/>
      <c r="CL316" s="838"/>
      <c r="CM316" s="838"/>
      <c r="CN316" s="838"/>
      <c r="CO316" s="838"/>
      <c r="CP316" s="838"/>
      <c r="CQ316" s="838"/>
      <c r="CR316" s="838"/>
      <c r="CS316" s="838"/>
      <c r="CT316" s="838"/>
      <c r="CU316" s="838"/>
      <c r="CV316" s="697"/>
    </row>
    <row r="317">
      <c r="A317" s="834"/>
      <c r="B317" s="834"/>
      <c r="C317" s="834"/>
      <c r="D317" s="834"/>
      <c r="E317" s="834"/>
      <c r="F317" s="834"/>
      <c r="G317" s="834"/>
      <c r="H317" s="834"/>
      <c r="I317" s="834"/>
      <c r="J317" s="834"/>
      <c r="K317" s="834"/>
      <c r="L317" s="834"/>
      <c r="M317" s="834"/>
      <c r="N317" s="834"/>
      <c r="O317" s="834"/>
      <c r="P317" s="834"/>
      <c r="Q317" s="834"/>
      <c r="R317" s="834"/>
      <c r="S317" s="834"/>
      <c r="T317" s="834"/>
      <c r="U317" s="834"/>
      <c r="V317" s="834"/>
      <c r="W317" s="834"/>
      <c r="X317" s="834"/>
      <c r="Y317" s="834"/>
      <c r="Z317" s="834"/>
      <c r="AA317" s="834"/>
      <c r="AB317" s="834"/>
      <c r="AC317" s="834"/>
      <c r="AD317" s="834"/>
      <c r="AE317" s="834"/>
      <c r="AF317" s="834"/>
      <c r="AG317" s="834"/>
      <c r="AH317" s="834"/>
      <c r="AJ317" s="836"/>
      <c r="AK317" s="836"/>
      <c r="AL317" s="836"/>
      <c r="AM317" s="836"/>
      <c r="AN317" s="836"/>
      <c r="AO317" s="836"/>
      <c r="AP317" s="836"/>
      <c r="AQ317" s="836"/>
      <c r="AR317" s="836"/>
      <c r="AS317" s="836"/>
      <c r="AT317" s="836"/>
      <c r="AU317" s="836"/>
      <c r="AV317" s="836"/>
      <c r="AW317" s="836"/>
      <c r="AX317" s="836"/>
      <c r="AY317" s="836"/>
      <c r="AZ317" s="836"/>
      <c r="BA317" s="836"/>
      <c r="BB317" s="836"/>
      <c r="BC317" s="836"/>
      <c r="BD317" s="836"/>
      <c r="BE317" s="836"/>
      <c r="BF317" s="836"/>
      <c r="BG317" s="836"/>
      <c r="BH317" s="836"/>
      <c r="BI317" s="836"/>
      <c r="BJ317" s="836"/>
      <c r="BK317" s="836"/>
      <c r="BL317" s="836"/>
      <c r="BM317" s="836"/>
      <c r="BN317" s="836"/>
      <c r="BO317" s="836"/>
      <c r="BP317" s="836"/>
      <c r="BR317" s="838"/>
      <c r="BS317" s="838"/>
      <c r="BT317" s="838"/>
      <c r="BU317" s="838"/>
      <c r="BV317" s="838"/>
      <c r="BW317" s="838"/>
      <c r="BX317" s="838"/>
      <c r="BY317" s="838"/>
      <c r="BZ317" s="838"/>
      <c r="CA317" s="838"/>
      <c r="CB317" s="838"/>
      <c r="CC317" s="838"/>
      <c r="CD317" s="838"/>
      <c r="CE317" s="838"/>
      <c r="CF317" s="838"/>
      <c r="CG317" s="838"/>
      <c r="CH317" s="838"/>
      <c r="CI317" s="838"/>
      <c r="CJ317" s="838"/>
      <c r="CK317" s="838"/>
      <c r="CL317" s="838"/>
      <c r="CM317" s="838"/>
      <c r="CN317" s="838"/>
      <c r="CO317" s="838"/>
      <c r="CP317" s="838"/>
      <c r="CQ317" s="838"/>
      <c r="CR317" s="838"/>
      <c r="CS317" s="838"/>
      <c r="CT317" s="838"/>
      <c r="CU317" s="838"/>
      <c r="CV317" s="697"/>
    </row>
    <row r="318">
      <c r="A318" s="834"/>
      <c r="B318" s="834"/>
      <c r="C318" s="834"/>
      <c r="D318" s="834"/>
      <c r="E318" s="834"/>
      <c r="F318" s="834"/>
      <c r="G318" s="834"/>
      <c r="H318" s="834"/>
      <c r="I318" s="834"/>
      <c r="J318" s="834"/>
      <c r="K318" s="834"/>
      <c r="L318" s="834"/>
      <c r="M318" s="834"/>
      <c r="N318" s="834"/>
      <c r="O318" s="834"/>
      <c r="P318" s="834"/>
      <c r="Q318" s="834"/>
      <c r="R318" s="834"/>
      <c r="S318" s="834"/>
      <c r="T318" s="834"/>
      <c r="U318" s="834"/>
      <c r="V318" s="834"/>
      <c r="W318" s="834"/>
      <c r="X318" s="834"/>
      <c r="Y318" s="834"/>
      <c r="Z318" s="834"/>
      <c r="AA318" s="834"/>
      <c r="AB318" s="834"/>
      <c r="AC318" s="834"/>
      <c r="AD318" s="834"/>
      <c r="AE318" s="834"/>
      <c r="AF318" s="834"/>
      <c r="AG318" s="834"/>
      <c r="AH318" s="834"/>
      <c r="AJ318" s="836"/>
      <c r="AK318" s="836"/>
      <c r="AL318" s="836"/>
      <c r="AM318" s="836"/>
      <c r="AN318" s="836"/>
      <c r="AO318" s="836"/>
      <c r="AP318" s="836"/>
      <c r="AQ318" s="836"/>
      <c r="AR318" s="836"/>
      <c r="AS318" s="836"/>
      <c r="AT318" s="836"/>
      <c r="AU318" s="836"/>
      <c r="AV318" s="836"/>
      <c r="AW318" s="836"/>
      <c r="AX318" s="836"/>
      <c r="AY318" s="836"/>
      <c r="AZ318" s="836"/>
      <c r="BA318" s="836"/>
      <c r="BB318" s="836"/>
      <c r="BC318" s="836"/>
      <c r="BD318" s="836"/>
      <c r="BE318" s="836"/>
      <c r="BF318" s="836"/>
      <c r="BG318" s="836"/>
      <c r="BH318" s="836"/>
      <c r="BI318" s="836"/>
      <c r="BJ318" s="836"/>
      <c r="BK318" s="836"/>
      <c r="BL318" s="836"/>
      <c r="BM318" s="836"/>
      <c r="BN318" s="836"/>
      <c r="BO318" s="836"/>
      <c r="BP318" s="836"/>
      <c r="BR318" s="838"/>
      <c r="BS318" s="838"/>
      <c r="BT318" s="838"/>
      <c r="BU318" s="838"/>
      <c r="BV318" s="838"/>
      <c r="BW318" s="838"/>
      <c r="BX318" s="838"/>
      <c r="BY318" s="838"/>
      <c r="BZ318" s="838"/>
      <c r="CA318" s="838"/>
      <c r="CB318" s="838"/>
      <c r="CC318" s="838"/>
      <c r="CD318" s="838"/>
      <c r="CE318" s="838"/>
      <c r="CF318" s="838"/>
      <c r="CG318" s="838"/>
      <c r="CH318" s="838"/>
      <c r="CI318" s="838"/>
      <c r="CJ318" s="838"/>
      <c r="CK318" s="838"/>
      <c r="CL318" s="838"/>
      <c r="CM318" s="838"/>
      <c r="CN318" s="838"/>
      <c r="CO318" s="838"/>
      <c r="CP318" s="838"/>
      <c r="CQ318" s="838"/>
      <c r="CR318" s="838"/>
      <c r="CS318" s="838"/>
      <c r="CT318" s="838"/>
      <c r="CU318" s="838"/>
      <c r="CV318" s="697"/>
    </row>
    <row r="319">
      <c r="A319" s="834"/>
      <c r="B319" s="834"/>
      <c r="C319" s="834"/>
      <c r="D319" s="834"/>
      <c r="E319" s="834"/>
      <c r="F319" s="834"/>
      <c r="G319" s="834"/>
      <c r="H319" s="834"/>
      <c r="I319" s="834"/>
      <c r="J319" s="834"/>
      <c r="K319" s="834"/>
      <c r="L319" s="834"/>
      <c r="M319" s="834"/>
      <c r="N319" s="834"/>
      <c r="O319" s="834"/>
      <c r="P319" s="834"/>
      <c r="Q319" s="834"/>
      <c r="R319" s="834"/>
      <c r="S319" s="834"/>
      <c r="T319" s="834"/>
      <c r="U319" s="834"/>
      <c r="V319" s="834"/>
      <c r="W319" s="834"/>
      <c r="X319" s="834"/>
      <c r="Y319" s="834"/>
      <c r="Z319" s="834"/>
      <c r="AA319" s="834"/>
      <c r="AB319" s="834"/>
      <c r="AC319" s="834"/>
      <c r="AD319" s="834"/>
      <c r="AE319" s="834"/>
      <c r="AF319" s="834"/>
      <c r="AG319" s="834"/>
      <c r="AH319" s="834"/>
      <c r="AJ319" s="836"/>
      <c r="AK319" s="836"/>
      <c r="AL319" s="836"/>
      <c r="AM319" s="836"/>
      <c r="AN319" s="836"/>
      <c r="AO319" s="836"/>
      <c r="AP319" s="836"/>
      <c r="AQ319" s="836"/>
      <c r="AR319" s="836"/>
      <c r="AS319" s="836"/>
      <c r="AT319" s="836"/>
      <c r="AU319" s="836"/>
      <c r="AV319" s="836"/>
      <c r="AW319" s="836"/>
      <c r="AX319" s="836"/>
      <c r="AY319" s="836"/>
      <c r="AZ319" s="836"/>
      <c r="BA319" s="836"/>
      <c r="BB319" s="836"/>
      <c r="BC319" s="836"/>
      <c r="BD319" s="836"/>
      <c r="BE319" s="836"/>
      <c r="BF319" s="836"/>
      <c r="BG319" s="836"/>
      <c r="BH319" s="836"/>
      <c r="BI319" s="836"/>
      <c r="BJ319" s="836"/>
      <c r="BK319" s="836"/>
      <c r="BL319" s="836"/>
      <c r="BM319" s="836"/>
      <c r="BN319" s="836"/>
      <c r="BO319" s="836"/>
      <c r="BP319" s="836"/>
      <c r="BR319" s="838" t="str">
        <f>IFERROR(__xludf.DUMMYFUNCTION("""COMPUTED_VALUE"""),"NEW STUDIES ")</f>
        <v>NEW STUDIES </v>
      </c>
      <c r="BS319" s="838"/>
      <c r="BT319" s="838"/>
      <c r="BU319" s="838"/>
      <c r="BV319" s="838"/>
      <c r="BW319" s="838"/>
      <c r="BX319" s="838"/>
      <c r="BY319" s="838"/>
      <c r="BZ319" s="838"/>
      <c r="CA319" s="838"/>
      <c r="CB319" s="838"/>
      <c r="CC319" s="838"/>
      <c r="CD319" s="838"/>
      <c r="CE319" s="838"/>
      <c r="CF319" s="838"/>
      <c r="CG319" s="838"/>
      <c r="CH319" s="838"/>
      <c r="CI319" s="838"/>
      <c r="CJ319" s="838"/>
      <c r="CK319" s="838"/>
      <c r="CL319" s="838"/>
      <c r="CM319" s="838"/>
      <c r="CN319" s="838"/>
      <c r="CO319" s="838"/>
      <c r="CP319" s="838"/>
      <c r="CQ319" s="838"/>
      <c r="CR319" s="838"/>
      <c r="CS319" s="838"/>
      <c r="CT319" s="838"/>
      <c r="CU319" s="838"/>
      <c r="CV319" s="697"/>
    </row>
    <row r="320">
      <c r="A320" s="834"/>
      <c r="B320" s="834"/>
      <c r="C320" s="834"/>
      <c r="D320" s="834"/>
      <c r="E320" s="834"/>
      <c r="F320" s="834"/>
      <c r="G320" s="834"/>
      <c r="H320" s="834"/>
      <c r="I320" s="834"/>
      <c r="J320" s="834"/>
      <c r="K320" s="834"/>
      <c r="L320" s="834"/>
      <c r="M320" s="834"/>
      <c r="N320" s="834"/>
      <c r="O320" s="834"/>
      <c r="P320" s="834"/>
      <c r="Q320" s="834"/>
      <c r="R320" s="834"/>
      <c r="S320" s="834"/>
      <c r="T320" s="834"/>
      <c r="U320" s="834"/>
      <c r="V320" s="834"/>
      <c r="W320" s="834"/>
      <c r="X320" s="834"/>
      <c r="Y320" s="834"/>
      <c r="Z320" s="834"/>
      <c r="AA320" s="834"/>
      <c r="AB320" s="834"/>
      <c r="AC320" s="834"/>
      <c r="AD320" s="834"/>
      <c r="AE320" s="834"/>
      <c r="AF320" s="834"/>
      <c r="AG320" s="834"/>
      <c r="AH320" s="834"/>
      <c r="AJ320" s="836"/>
      <c r="AK320" s="836"/>
      <c r="AL320" s="836"/>
      <c r="AM320" s="836"/>
      <c r="AN320" s="836"/>
      <c r="AO320" s="836"/>
      <c r="AP320" s="836"/>
      <c r="AQ320" s="836"/>
      <c r="AR320" s="836"/>
      <c r="AS320" s="836"/>
      <c r="AT320" s="836"/>
      <c r="AU320" s="836"/>
      <c r="AV320" s="836"/>
      <c r="AW320" s="836"/>
      <c r="AX320" s="836"/>
      <c r="AY320" s="836"/>
      <c r="AZ320" s="836"/>
      <c r="BA320" s="836"/>
      <c r="BB320" s="836"/>
      <c r="BC320" s="836"/>
      <c r="BD320" s="836"/>
      <c r="BE320" s="836"/>
      <c r="BF320" s="836"/>
      <c r="BG320" s="836"/>
      <c r="BH320" s="836"/>
      <c r="BI320" s="836"/>
      <c r="BJ320" s="836"/>
      <c r="BK320" s="836"/>
      <c r="BL320" s="836"/>
      <c r="BM320" s="836"/>
      <c r="BN320" s="836"/>
      <c r="BO320" s="836"/>
      <c r="BP320" s="836"/>
      <c r="BR320" s="844" t="str">
        <f>IFERROR(__xludf.DUMMYFUNCTION("""COMPUTED_VALUE"""),"Kar SK")</f>
        <v>Kar SK</v>
      </c>
      <c r="BS320" s="838" t="str">
        <f>IFERROR(__xludf.DUMMYFUNCTION("""COMPUTED_VALUE"""),"India")</f>
        <v>India</v>
      </c>
      <c r="BT320" s="838" t="str">
        <f>IFERROR(__xludf.DUMMYFUNCTION("""COMPUTED_VALUE"""),"Albendazole &amp; DiethylCarbamazine")</f>
        <v>Albendazole &amp; DiethylCarbamazine</v>
      </c>
      <c r="BU320" s="838"/>
      <c r="BV320" s="838" t="str">
        <f>IFERROR(__xludf.DUMMYFUNCTION("""COMPUTED_VALUE"""),"Single")</f>
        <v>Single</v>
      </c>
      <c r="BW320" s="838" t="str">
        <f>IFERROR(__xludf.DUMMYFUNCTION("""COMPUTED_VALUE"""),"400 mg; 300 mg")</f>
        <v>400 mg; 300 mg</v>
      </c>
      <c r="BX320" s="838">
        <f>IFERROR(__xludf.DUMMYFUNCTION("""COMPUTED_VALUE"""),104.0)</f>
        <v>104</v>
      </c>
      <c r="BY320" s="838" t="str">
        <f>IFERROR(__xludf.DUMMYFUNCTION("""COMPUTED_VALUE"""),"33.7±11.6")</f>
        <v>33.7±11.6</v>
      </c>
      <c r="BZ320" s="838">
        <f>IFERROR(__xludf.DUMMYFUNCTION("""COMPUTED_VALUE"""),2012.0)</f>
        <v>2012</v>
      </c>
      <c r="CA320" s="838" t="str">
        <f>IFERROR(__xludf.DUMMYFUNCTION("""COMPUTED_VALUE"""),"Male:83% Female:17%")</f>
        <v>Male:83% Female:17%</v>
      </c>
      <c r="CB320" s="838"/>
      <c r="CC320" s="838" t="str">
        <f>IFERROR(__xludf.DUMMYFUNCTION("""COMPUTED_VALUE"""),"Yes")</f>
        <v>Yes</v>
      </c>
      <c r="CD320" s="847">
        <f>IFERROR(__xludf.DUMMYFUNCTION("""COMPUTED_VALUE"""),0.077)</f>
        <v>0.077</v>
      </c>
      <c r="CE320" s="838" t="str">
        <f>IFERROR(__xludf.DUMMYFUNCTION("""COMPUTED_VALUE"""),"No")</f>
        <v>No</v>
      </c>
      <c r="CF320" s="838"/>
      <c r="CG320" s="838"/>
      <c r="CH320" s="838"/>
      <c r="CI320" s="838"/>
      <c r="CJ320" s="838"/>
      <c r="CK320" s="838"/>
      <c r="CL320" s="838"/>
      <c r="CM320" s="838"/>
      <c r="CN320" s="838"/>
      <c r="CO320" s="838"/>
      <c r="CP320" s="838"/>
      <c r="CQ320" s="838"/>
      <c r="CR320" s="838"/>
      <c r="CS320" s="838" t="str">
        <f>IFERROR(__xludf.DUMMYFUNCTION("""COMPUTED_VALUE"""),"The results of this study have important implications for GPELF in areas where onchocerci- asis is not co-endemic. The annual low dose regimen performed well in this study and clearly remains the treatment of choice for the majority of situations. However"&amp;", the availability of an alternative DEC-based regimen that uses a higher dose of albendazole with increased frequency could assist programmes to meet their elimination targets. In particular, this regimen may find use in areas/countries where MDA program"&amp;"mes are yet to be initiated, in “hot spots” identified during surveillance of ongoing programmes and in arresting transmission within shorter time frames [6].")</f>
        <v>The results of this study have important implications for GPELF in areas where onchocerci- asis is not co-endemic. The annual low dose regimen performed well in this study and clearly remains the treatment of choice for the majority of situations. However, the availability of an alternative DEC-based regimen that uses a higher dose of albendazole with increased frequency could assist programmes to meet their elimination targets. In particular, this regimen may find use in areas/countries where MDA programmes are yet to be initiated, in “hot spots” identified during surveillance of ongoing programmes and in arresting transmission within shorter time frames [6].</v>
      </c>
      <c r="CT320" s="838"/>
      <c r="CU320" s="838"/>
      <c r="CV320" s="697" t="str">
        <f>IFERROR(__xludf.DUMMYFUNCTION("""COMPUTED_VALUE"""),"Kar, Shantanu Kumar, et al. ""A Randomized Controlled Trial of Increased Dose and Frequency of Albendazole with Standard Dose DEC for Treatment of Wuchereria bancrofti Microfilaremics in Odisha, India."" PLoS Negl Trop Dis9.3 (2015): e0003583. http://www."&amp;"ncbi.nlm.nih.gov/pubmed/25781977")</f>
        <v>Kar, Shantanu Kumar, et al. "A Randomized Controlled Trial of Increased Dose and Frequency of Albendazole with Standard Dose DEC for Treatment of Wuchereria bancrofti Microfilaremics in Odisha, India." PLoS Negl Trop Dis9.3 (2015): e0003583. http://www.ncbi.nlm.nih.gov/pubmed/25781977</v>
      </c>
    </row>
    <row r="321">
      <c r="A321" s="834"/>
      <c r="B321" s="834"/>
      <c r="C321" s="834"/>
      <c r="D321" s="834"/>
      <c r="E321" s="834"/>
      <c r="F321" s="834"/>
      <c r="G321" s="834"/>
      <c r="H321" s="834"/>
      <c r="I321" s="834"/>
      <c r="J321" s="834"/>
      <c r="K321" s="834"/>
      <c r="L321" s="834"/>
      <c r="M321" s="834"/>
      <c r="N321" s="834"/>
      <c r="O321" s="834"/>
      <c r="P321" s="834"/>
      <c r="Q321" s="834"/>
      <c r="R321" s="834"/>
      <c r="S321" s="834"/>
      <c r="T321" s="834"/>
      <c r="U321" s="834"/>
      <c r="V321" s="834"/>
      <c r="W321" s="834"/>
      <c r="X321" s="834"/>
      <c r="Y321" s="834"/>
      <c r="Z321" s="834"/>
      <c r="AA321" s="834"/>
      <c r="AB321" s="834"/>
      <c r="AC321" s="834"/>
      <c r="AD321" s="834"/>
      <c r="AE321" s="834"/>
      <c r="AF321" s="834"/>
      <c r="AG321" s="834"/>
      <c r="AH321" s="834"/>
      <c r="AJ321" s="836"/>
      <c r="AK321" s="836"/>
      <c r="AL321" s="836"/>
      <c r="AM321" s="836"/>
      <c r="AN321" s="836"/>
      <c r="AO321" s="836"/>
      <c r="AP321" s="836"/>
      <c r="AQ321" s="836"/>
      <c r="AR321" s="836"/>
      <c r="AS321" s="836"/>
      <c r="AT321" s="836"/>
      <c r="AU321" s="836"/>
      <c r="AV321" s="836"/>
      <c r="AW321" s="836"/>
      <c r="AX321" s="836"/>
      <c r="AY321" s="836"/>
      <c r="AZ321" s="836"/>
      <c r="BA321" s="836"/>
      <c r="BB321" s="836"/>
      <c r="BC321" s="836"/>
      <c r="BD321" s="836"/>
      <c r="BE321" s="836"/>
      <c r="BF321" s="836"/>
      <c r="BG321" s="836"/>
      <c r="BH321" s="836"/>
      <c r="BI321" s="836"/>
      <c r="BJ321" s="836"/>
      <c r="BK321" s="836"/>
      <c r="BL321" s="836"/>
      <c r="BM321" s="836"/>
      <c r="BN321" s="836"/>
      <c r="BO321" s="836"/>
      <c r="BP321" s="836"/>
      <c r="BR321" s="844" t="str">
        <f>IFERROR(__xludf.DUMMYFUNCTION("""COMPUTED_VALUE"""),"Kar SK")</f>
        <v>Kar SK</v>
      </c>
      <c r="BS321" s="838" t="str">
        <f>IFERROR(__xludf.DUMMYFUNCTION("""COMPUTED_VALUE"""),"India")</f>
        <v>India</v>
      </c>
      <c r="BT321" s="838" t="str">
        <f>IFERROR(__xludf.DUMMYFUNCTION("""COMPUTED_VALUE"""),"Albendazole &amp; DiethylCarbamazine")</f>
        <v>Albendazole &amp; DiethylCarbamazine</v>
      </c>
      <c r="BU321" s="838"/>
      <c r="BV321" s="838" t="str">
        <f>IFERROR(__xludf.DUMMYFUNCTION("""COMPUTED_VALUE"""),"Two")</f>
        <v>Two</v>
      </c>
      <c r="BW321" s="838" t="str">
        <f>IFERROR(__xludf.DUMMYFUNCTION("""COMPUTED_VALUE"""),"400 mg; 300 mg")</f>
        <v>400 mg; 300 mg</v>
      </c>
      <c r="BX321" s="838">
        <f>IFERROR(__xludf.DUMMYFUNCTION("""COMPUTED_VALUE"""),104.0)</f>
        <v>104</v>
      </c>
      <c r="BY321" s="838" t="str">
        <f>IFERROR(__xludf.DUMMYFUNCTION("""COMPUTED_VALUE"""),"31.5±11.5")</f>
        <v>31.5±11.5</v>
      </c>
      <c r="BZ321" s="838">
        <f>IFERROR(__xludf.DUMMYFUNCTION("""COMPUTED_VALUE"""),2012.0)</f>
        <v>2012</v>
      </c>
      <c r="CA321" s="838" t="str">
        <f>IFERROR(__xludf.DUMMYFUNCTION("""COMPUTED_VALUE"""),"Male:83% Female:17%")</f>
        <v>Male:83% Female:17%</v>
      </c>
      <c r="CB321" s="838"/>
      <c r="CC321" s="838" t="str">
        <f>IFERROR(__xludf.DUMMYFUNCTION("""COMPUTED_VALUE"""),"Yes")</f>
        <v>Yes</v>
      </c>
      <c r="CD321" s="847">
        <f>IFERROR(__xludf.DUMMYFUNCTION("""COMPUTED_VALUE"""),0.038)</f>
        <v>0.038</v>
      </c>
      <c r="CE321" s="838" t="str">
        <f>IFERROR(__xludf.DUMMYFUNCTION("""COMPUTED_VALUE"""),"No")</f>
        <v>No</v>
      </c>
      <c r="CF321" s="838"/>
      <c r="CG321" s="838"/>
      <c r="CH321" s="838"/>
      <c r="CI321" s="838"/>
      <c r="CJ321" s="838"/>
      <c r="CK321" s="838"/>
      <c r="CL321" s="838"/>
      <c r="CM321" s="838"/>
      <c r="CN321" s="838"/>
      <c r="CO321" s="838"/>
      <c r="CP321" s="838"/>
      <c r="CQ321" s="838"/>
      <c r="CR321" s="838"/>
      <c r="CS321" s="838" t="str">
        <f>IFERROR(__xludf.DUMMYFUNCTION("""COMPUTED_VALUE"""),"The results of this study have important implications for GPELF in areas where onchocerci- asis is not co-endemic. The annual low dose regimen performed well in this study and clearly remains the treatment of choice for the majority of situations. However"&amp;", the availability of an alternative DEC-based regimen that uses a higher dose of albendazole with increased frequency could assist programmes to meet their elimination targets. In particular, this regimen may find use in areas/countries where MDA program"&amp;"mes are yet to be initiated, in “hot spots” identified during surveillance of ongoing programmes and in arresting transmission within shorter time frames [6].")</f>
        <v>The results of this study have important implications for GPELF in areas where onchocerci- asis is not co-endemic. The annual low dose regimen performed well in this study and clearly remains the treatment of choice for the majority of situations. However, the availability of an alternative DEC-based regimen that uses a higher dose of albendazole with increased frequency could assist programmes to meet their elimination targets. In particular, this regimen may find use in areas/countries where MDA programmes are yet to be initiated, in “hot spots” identified during surveillance of ongoing programmes and in arresting transmission within shorter time frames [6].</v>
      </c>
      <c r="CT321" s="838"/>
      <c r="CU321" s="838"/>
      <c r="CV321" s="697" t="str">
        <f>IFERROR(__xludf.DUMMYFUNCTION("""COMPUTED_VALUE"""),"Kar, Shantanu Kumar, et al. ""A Randomized Controlled Trial of Increased Dose and Frequency of Albendazole with Standard Dose DEC for Treatment of Wuchereria bancrofti Microfilaremics in Odisha, India."" PLoS Negl Trop Dis9.3 (2015): e0003583. http://www."&amp;"ncbi.nlm.nih.gov/pubmed/25781977")</f>
        <v>Kar, Shantanu Kumar, et al. "A Randomized Controlled Trial of Increased Dose and Frequency of Albendazole with Standard Dose DEC for Treatment of Wuchereria bancrofti Microfilaremics in Odisha, India." PLoS Negl Trop Dis9.3 (2015): e0003583. http://www.ncbi.nlm.nih.gov/pubmed/25781977</v>
      </c>
    </row>
    <row r="322">
      <c r="A322" s="834"/>
      <c r="B322" s="834"/>
      <c r="C322" s="834"/>
      <c r="D322" s="834"/>
      <c r="E322" s="834"/>
      <c r="F322" s="834"/>
      <c r="G322" s="834"/>
      <c r="H322" s="834"/>
      <c r="I322" s="834"/>
      <c r="J322" s="834"/>
      <c r="K322" s="834"/>
      <c r="L322" s="834"/>
      <c r="M322" s="834"/>
      <c r="N322" s="834"/>
      <c r="O322" s="834"/>
      <c r="P322" s="834"/>
      <c r="Q322" s="834"/>
      <c r="R322" s="834"/>
      <c r="S322" s="834"/>
      <c r="T322" s="834"/>
      <c r="U322" s="834"/>
      <c r="V322" s="834"/>
      <c r="W322" s="834"/>
      <c r="X322" s="834"/>
      <c r="Y322" s="834"/>
      <c r="Z322" s="834"/>
      <c r="AA322" s="834"/>
      <c r="AB322" s="834"/>
      <c r="AC322" s="834"/>
      <c r="AD322" s="834"/>
      <c r="AE322" s="834"/>
      <c r="AF322" s="834"/>
      <c r="AG322" s="834"/>
      <c r="AH322" s="834"/>
      <c r="AJ322" s="836"/>
      <c r="AK322" s="836"/>
      <c r="AL322" s="836"/>
      <c r="AM322" s="836"/>
      <c r="AN322" s="836"/>
      <c r="AO322" s="836"/>
      <c r="AP322" s="836"/>
      <c r="AQ322" s="836"/>
      <c r="AR322" s="836"/>
      <c r="AS322" s="836"/>
      <c r="AT322" s="836"/>
      <c r="AU322" s="836"/>
      <c r="AV322" s="836"/>
      <c r="AW322" s="836"/>
      <c r="AX322" s="836"/>
      <c r="AY322" s="836"/>
      <c r="AZ322" s="836"/>
      <c r="BA322" s="836"/>
      <c r="BB322" s="836"/>
      <c r="BC322" s="836"/>
      <c r="BD322" s="836"/>
      <c r="BE322" s="836"/>
      <c r="BF322" s="836"/>
      <c r="BG322" s="836"/>
      <c r="BH322" s="836"/>
      <c r="BI322" s="836"/>
      <c r="BJ322" s="836"/>
      <c r="BK322" s="836"/>
      <c r="BL322" s="836"/>
      <c r="BM322" s="836"/>
      <c r="BN322" s="836"/>
      <c r="BO322" s="836"/>
      <c r="BP322" s="836"/>
      <c r="BR322" s="844" t="str">
        <f>IFERROR(__xludf.DUMMYFUNCTION("""COMPUTED_VALUE"""),"Kar SK")</f>
        <v>Kar SK</v>
      </c>
      <c r="BS322" s="838" t="str">
        <f>IFERROR(__xludf.DUMMYFUNCTION("""COMPUTED_VALUE"""),"India")</f>
        <v>India</v>
      </c>
      <c r="BT322" s="838" t="str">
        <f>IFERROR(__xludf.DUMMYFUNCTION("""COMPUTED_VALUE"""),"Albendazole &amp; DiethylCarbamazine")</f>
        <v>Albendazole &amp; DiethylCarbamazine</v>
      </c>
      <c r="BU322" s="838"/>
      <c r="BV322" s="838" t="str">
        <f>IFERROR(__xludf.DUMMYFUNCTION("""COMPUTED_VALUE"""),"Single")</f>
        <v>Single</v>
      </c>
      <c r="BW322" s="838" t="str">
        <f>IFERROR(__xludf.DUMMYFUNCTION("""COMPUTED_VALUE"""),"800 mg; 300 mg")</f>
        <v>800 mg; 300 mg</v>
      </c>
      <c r="BX322" s="838">
        <f>IFERROR(__xludf.DUMMYFUNCTION("""COMPUTED_VALUE"""),104.0)</f>
        <v>104</v>
      </c>
      <c r="BY322" s="838" t="str">
        <f>IFERROR(__xludf.DUMMYFUNCTION("""COMPUTED_VALUE"""),"28.2±10.5")</f>
        <v>28.2±10.5</v>
      </c>
      <c r="BZ322" s="838">
        <f>IFERROR(__xludf.DUMMYFUNCTION("""COMPUTED_VALUE"""),2012.0)</f>
        <v>2012</v>
      </c>
      <c r="CA322" s="838" t="str">
        <f>IFERROR(__xludf.DUMMYFUNCTION("""COMPUTED_VALUE"""),"Male:83% Female:17%")</f>
        <v>Male:83% Female:17%</v>
      </c>
      <c r="CB322" s="838"/>
      <c r="CC322" s="838" t="str">
        <f>IFERROR(__xludf.DUMMYFUNCTION("""COMPUTED_VALUE"""),"Yes")</f>
        <v>Yes</v>
      </c>
      <c r="CD322" s="847">
        <f>IFERROR(__xludf.DUMMYFUNCTION("""COMPUTED_VALUE"""),0.115)</f>
        <v>0.115</v>
      </c>
      <c r="CE322" s="838" t="str">
        <f>IFERROR(__xludf.DUMMYFUNCTION("""COMPUTED_VALUE"""),"No")</f>
        <v>No</v>
      </c>
      <c r="CF322" s="838"/>
      <c r="CG322" s="838"/>
      <c r="CH322" s="838"/>
      <c r="CI322" s="838"/>
      <c r="CJ322" s="838"/>
      <c r="CK322" s="838"/>
      <c r="CL322" s="838"/>
      <c r="CM322" s="838"/>
      <c r="CN322" s="838"/>
      <c r="CO322" s="838"/>
      <c r="CP322" s="838"/>
      <c r="CQ322" s="838"/>
      <c r="CR322" s="838"/>
      <c r="CS322" s="838" t="str">
        <f>IFERROR(__xludf.DUMMYFUNCTION("""COMPUTED_VALUE"""),"The results of this study have important implications for GPELF in areas where onchocerci- asis is not co-endemic. The annual low dose regimen performed well in this study and clearly remains the treatment of choice for the majority of situations. However"&amp;", the availability of an alternative DEC-based regimen that uses a higher dose of albendazole with increased frequency could assist programmes to meet their elimination targets. In particular, this regimen may find use in areas/countries where MDA program"&amp;"mes are yet to be initiated, in “hot spots” identified during surveillance of ongoing programmes and in arresting transmission within shorter time frames [6].")</f>
        <v>The results of this study have important implications for GPELF in areas where onchocerci- asis is not co-endemic. The annual low dose regimen performed well in this study and clearly remains the treatment of choice for the majority of situations. However, the availability of an alternative DEC-based regimen that uses a higher dose of albendazole with increased frequency could assist programmes to meet their elimination targets. In particular, this regimen may find use in areas/countries where MDA programmes are yet to be initiated, in “hot spots” identified during surveillance of ongoing programmes and in arresting transmission within shorter time frames [6].</v>
      </c>
      <c r="CT322" s="838"/>
      <c r="CU322" s="838"/>
      <c r="CV322" s="697" t="str">
        <f>IFERROR(__xludf.DUMMYFUNCTION("""COMPUTED_VALUE"""),"Kar, Shantanu Kumar, et al. ""A Randomized Controlled Trial of Increased Dose and Frequency of Albendazole with Standard Dose DEC for Treatment of Wuchereria bancrofti Microfilaremics in Odisha, India."" PLoS Negl Trop Dis9.3 (2015): e0003583. http://www."&amp;"ncbi.nlm.nih.gov/pubmed/25781977")</f>
        <v>Kar, Shantanu Kumar, et al. "A Randomized Controlled Trial of Increased Dose and Frequency of Albendazole with Standard Dose DEC for Treatment of Wuchereria bancrofti Microfilaremics in Odisha, India." PLoS Negl Trop Dis9.3 (2015): e0003583. http://www.ncbi.nlm.nih.gov/pubmed/25781977</v>
      </c>
    </row>
    <row r="323">
      <c r="A323" s="834"/>
      <c r="B323" s="834"/>
      <c r="C323" s="834"/>
      <c r="D323" s="834"/>
      <c r="E323" s="834"/>
      <c r="F323" s="834"/>
      <c r="G323" s="834"/>
      <c r="H323" s="834"/>
      <c r="I323" s="834"/>
      <c r="J323" s="834"/>
      <c r="K323" s="834"/>
      <c r="L323" s="834"/>
      <c r="M323" s="834"/>
      <c r="N323" s="834"/>
      <c r="O323" s="834"/>
      <c r="P323" s="834"/>
      <c r="Q323" s="834"/>
      <c r="R323" s="834"/>
      <c r="S323" s="834"/>
      <c r="T323" s="834"/>
      <c r="U323" s="834"/>
      <c r="V323" s="834"/>
      <c r="W323" s="834"/>
      <c r="X323" s="834"/>
      <c r="Y323" s="834"/>
      <c r="Z323" s="834"/>
      <c r="AA323" s="834"/>
      <c r="AB323" s="834"/>
      <c r="AC323" s="834"/>
      <c r="AD323" s="834"/>
      <c r="AE323" s="834"/>
      <c r="AF323" s="834"/>
      <c r="AG323" s="834"/>
      <c r="AH323" s="834"/>
      <c r="AJ323" s="836"/>
      <c r="AK323" s="836"/>
      <c r="AL323" s="836"/>
      <c r="AM323" s="836"/>
      <c r="AN323" s="836"/>
      <c r="AO323" s="836"/>
      <c r="AP323" s="836"/>
      <c r="AQ323" s="836"/>
      <c r="AR323" s="836"/>
      <c r="AS323" s="836"/>
      <c r="AT323" s="836"/>
      <c r="AU323" s="836"/>
      <c r="AV323" s="836"/>
      <c r="AW323" s="836"/>
      <c r="AX323" s="836"/>
      <c r="AY323" s="836"/>
      <c r="AZ323" s="836"/>
      <c r="BA323" s="836"/>
      <c r="BB323" s="836"/>
      <c r="BC323" s="836"/>
      <c r="BD323" s="836"/>
      <c r="BE323" s="836"/>
      <c r="BF323" s="836"/>
      <c r="BG323" s="836"/>
      <c r="BH323" s="836"/>
      <c r="BI323" s="836"/>
      <c r="BJ323" s="836"/>
      <c r="BK323" s="836"/>
      <c r="BL323" s="836"/>
      <c r="BM323" s="836"/>
      <c r="BN323" s="836"/>
      <c r="BO323" s="836"/>
      <c r="BP323" s="836"/>
      <c r="BR323" s="844" t="str">
        <f>IFERROR(__xludf.DUMMYFUNCTION("""COMPUTED_VALUE"""),"Kar SK")</f>
        <v>Kar SK</v>
      </c>
      <c r="BS323" s="838" t="str">
        <f>IFERROR(__xludf.DUMMYFUNCTION("""COMPUTED_VALUE"""),"India")</f>
        <v>India</v>
      </c>
      <c r="BT323" s="838" t="str">
        <f>IFERROR(__xludf.DUMMYFUNCTION("""COMPUTED_VALUE"""),"Albendazole &amp; DiethylCarbamazine")</f>
        <v>Albendazole &amp; DiethylCarbamazine</v>
      </c>
      <c r="BU323" s="838"/>
      <c r="BV323" s="838" t="str">
        <f>IFERROR(__xludf.DUMMYFUNCTION("""COMPUTED_VALUE"""),"Two")</f>
        <v>Two</v>
      </c>
      <c r="BW323" s="838" t="str">
        <f>IFERROR(__xludf.DUMMYFUNCTION("""COMPUTED_VALUE"""),"400 mg; 300 mg")</f>
        <v>400 mg; 300 mg</v>
      </c>
      <c r="BX323" s="838">
        <f>IFERROR(__xludf.DUMMYFUNCTION("""COMPUTED_VALUE"""),104.0)</f>
        <v>104</v>
      </c>
      <c r="BY323" s="838" t="str">
        <f>IFERROR(__xludf.DUMMYFUNCTION("""COMPUTED_VALUE"""),"34.4±12.9")</f>
        <v>34.4±12.9</v>
      </c>
      <c r="BZ323" s="838">
        <f>IFERROR(__xludf.DUMMYFUNCTION("""COMPUTED_VALUE"""),2012.0)</f>
        <v>2012</v>
      </c>
      <c r="CA323" s="838" t="str">
        <f>IFERROR(__xludf.DUMMYFUNCTION("""COMPUTED_VALUE"""),"Male:83% Female:17%")</f>
        <v>Male:83% Female:17%</v>
      </c>
      <c r="CB323" s="838"/>
      <c r="CC323" s="838" t="str">
        <f>IFERROR(__xludf.DUMMYFUNCTION("""COMPUTED_VALUE"""),"Yes")</f>
        <v>Yes</v>
      </c>
      <c r="CD323" s="847">
        <f>IFERROR(__xludf.DUMMYFUNCTION("""COMPUTED_VALUE"""),0.115)</f>
        <v>0.115</v>
      </c>
      <c r="CE323" s="838" t="str">
        <f>IFERROR(__xludf.DUMMYFUNCTION("""COMPUTED_VALUE"""),"No")</f>
        <v>No</v>
      </c>
      <c r="CF323" s="838"/>
      <c r="CG323" s="838"/>
      <c r="CH323" s="838"/>
      <c r="CI323" s="838"/>
      <c r="CJ323" s="838"/>
      <c r="CK323" s="838"/>
      <c r="CL323" s="838"/>
      <c r="CM323" s="838"/>
      <c r="CN323" s="838"/>
      <c r="CO323" s="838"/>
      <c r="CP323" s="838"/>
      <c r="CQ323" s="838"/>
      <c r="CR323" s="838"/>
      <c r="CS323" s="838" t="str">
        <f>IFERROR(__xludf.DUMMYFUNCTION("""COMPUTED_VALUE"""),"The results of this study have important implications for GPELF in areas where onchocerci- asis is not co-endemic. The annual low dose regimen performed well in this study and clearly remains the treatment of choice for the majority of situations. However"&amp;", the availability of an alternative DEC-based regimen that uses a higher dose of albendazole with increased frequency could assist programmes to meet their elimination targets. In particular, this regimen may find use in areas/countries where MDA program"&amp;"mes are yet to be initiated, in “hot spots” identified during surveillance of ongoing programmes and in arresting transmission within shorter time frames [6].")</f>
        <v>The results of this study have important implications for GPELF in areas where onchocerci- asis is not co-endemic. The annual low dose regimen performed well in this study and clearly remains the treatment of choice for the majority of situations. However, the availability of an alternative DEC-based regimen that uses a higher dose of albendazole with increased frequency could assist programmes to meet their elimination targets. In particular, this regimen may find use in areas/countries where MDA programmes are yet to be initiated, in “hot spots” identified during surveillance of ongoing programmes and in arresting transmission within shorter time frames [6].</v>
      </c>
      <c r="CT323" s="838"/>
      <c r="CU323" s="838"/>
      <c r="CV323" s="697" t="str">
        <f>IFERROR(__xludf.DUMMYFUNCTION("""COMPUTED_VALUE"""),"Kar, Shantanu Kumar, et al. ""A Randomized Controlled Trial of Increased Dose and Frequency of Albendazole with Standard Dose DEC for Treatment of Wuchereria bancrofti Microfilaremics in Odisha, India."" PLoS Negl Trop Dis9.3 (2015): e0003583. http://www."&amp;"ncbi.nlm.nih.gov/pubmed/25781977")</f>
        <v>Kar, Shantanu Kumar, et al. "A Randomized Controlled Trial of Increased Dose and Frequency of Albendazole with Standard Dose DEC for Treatment of Wuchereria bancrofti Microfilaremics in Odisha, India." PLoS Negl Trop Dis9.3 (2015): e0003583. http://www.ncbi.nlm.nih.gov/pubmed/25781977</v>
      </c>
    </row>
    <row r="324">
      <c r="A324" s="834"/>
      <c r="B324" s="834"/>
      <c r="C324" s="834"/>
      <c r="D324" s="834"/>
      <c r="E324" s="834"/>
      <c r="F324" s="834"/>
      <c r="G324" s="834"/>
      <c r="H324" s="834"/>
      <c r="I324" s="834"/>
      <c r="J324" s="834"/>
      <c r="K324" s="834"/>
      <c r="L324" s="834"/>
      <c r="M324" s="834"/>
      <c r="N324" s="834"/>
      <c r="O324" s="834"/>
      <c r="P324" s="834"/>
      <c r="Q324" s="834"/>
      <c r="R324" s="834"/>
      <c r="S324" s="834"/>
      <c r="T324" s="834"/>
      <c r="U324" s="834"/>
      <c r="V324" s="834"/>
      <c r="W324" s="834"/>
      <c r="X324" s="834"/>
      <c r="Y324" s="834"/>
      <c r="Z324" s="834"/>
      <c r="AA324" s="834"/>
      <c r="AB324" s="834"/>
      <c r="AC324" s="834"/>
      <c r="AD324" s="834"/>
      <c r="AE324" s="834"/>
      <c r="AF324" s="834"/>
      <c r="AG324" s="834"/>
      <c r="AH324" s="834"/>
      <c r="AJ324" s="836"/>
      <c r="AK324" s="836"/>
      <c r="AL324" s="836"/>
      <c r="AM324" s="836"/>
      <c r="AN324" s="836"/>
      <c r="AO324" s="836"/>
      <c r="AP324" s="836"/>
      <c r="AQ324" s="836"/>
      <c r="AR324" s="836"/>
      <c r="AS324" s="836"/>
      <c r="AT324" s="836"/>
      <c r="AU324" s="836"/>
      <c r="AV324" s="836"/>
      <c r="AW324" s="836"/>
      <c r="AX324" s="836"/>
      <c r="AY324" s="836"/>
      <c r="AZ324" s="836"/>
      <c r="BA324" s="836"/>
      <c r="BB324" s="836"/>
      <c r="BC324" s="836"/>
      <c r="BD324" s="836"/>
      <c r="BE324" s="836"/>
      <c r="BF324" s="836"/>
      <c r="BG324" s="836"/>
      <c r="BH324" s="836"/>
      <c r="BI324" s="836"/>
      <c r="BJ324" s="836"/>
      <c r="BK324" s="836"/>
      <c r="BL324" s="836"/>
      <c r="BM324" s="836"/>
      <c r="BN324" s="836"/>
      <c r="BO324" s="836"/>
      <c r="BP324" s="836"/>
      <c r="BR324" s="844" t="str">
        <f>IFERROR(__xludf.DUMMYFUNCTION("""COMPUTED_VALUE"""),"Dreyer et al.")</f>
        <v>Dreyer et al.</v>
      </c>
      <c r="BS324" s="838" t="str">
        <f>IFERROR(__xludf.DUMMYFUNCTION("""COMPUTED_VALUE"""),"Africa")</f>
        <v>Africa</v>
      </c>
      <c r="BT324" s="838" t="str">
        <f>IFERROR(__xludf.DUMMYFUNCTION("""COMPUTED_VALUE"""),"DiethylCarbamazine")</f>
        <v>DiethylCarbamazine</v>
      </c>
      <c r="BU324" s="838"/>
      <c r="BV324" s="838" t="str">
        <f>IFERROR(__xludf.DUMMYFUNCTION("""COMPUTED_VALUE"""),"Single")</f>
        <v>Single</v>
      </c>
      <c r="BW324" s="838" t="str">
        <f>IFERROR(__xludf.DUMMYFUNCTION("""COMPUTED_VALUE"""),"6 mg/kg")</f>
        <v>6 mg/kg</v>
      </c>
      <c r="BX324" s="838">
        <f>IFERROR(__xludf.DUMMYFUNCTION("""COMPUTED_VALUE"""),24.0)</f>
        <v>24</v>
      </c>
      <c r="BY324" s="838" t="str">
        <f>IFERROR(__xludf.DUMMYFUNCTION("""COMPUTED_VALUE"""),"19-34")</f>
        <v>19-34</v>
      </c>
      <c r="BZ324" s="838">
        <f>IFERROR(__xludf.DUMMYFUNCTION("""COMPUTED_VALUE"""),2006.0)</f>
        <v>2006</v>
      </c>
      <c r="CA324" s="838" t="str">
        <f>IFERROR(__xludf.DUMMYFUNCTION("""COMPUTED_VALUE"""),"M")</f>
        <v>M</v>
      </c>
      <c r="CB324" s="838" t="str">
        <f>IFERROR(__xludf.DUMMYFUNCTION("""COMPUTED_VALUE"""),"(1) were at least 18 years of age; (2) had reproducibility of the FDS confirmed by two independent investigators on three separate occasions (several days apart) before treatment; (3) had no hydro- cele or genital lymphoedema; (4) had never been treated f"&amp;"or filarial infection with DEC or ivermectin; (5) received no anthelminthic drugs during the follow-up period; and (6) adhered to the follow-up schedule for physical and ultra- sound examinations.")</f>
        <v>(1) were at least 18 years of age; (2) had reproducibility of the FDS confirmed by two independent investigators on three separate occasions (several days apart) before treatment; (3) had no hydro- cele or genital lymphoedema; (4) had never been treated for filarial infection with DEC or ivermectin; (5) received no anthelminthic drugs during the follow-up period; and (6) adhered to the follow-up schedule for physical and ultra- sound examinations.</v>
      </c>
      <c r="CC324" s="838" t="str">
        <f>IFERROR(__xludf.DUMMYFUNCTION("""COMPUTED_VALUE"""),"Yes")</f>
        <v>Yes</v>
      </c>
      <c r="CD324" s="847">
        <f>IFERROR(__xludf.DUMMYFUNCTION("""COMPUTED_VALUE"""),0.348)</f>
        <v>0.348</v>
      </c>
      <c r="CE324" s="838" t="str">
        <f>IFERROR(__xludf.DUMMYFUNCTION("""COMPUTED_VALUE"""),"Yes")</f>
        <v>Yes</v>
      </c>
      <c r="CF324" s="838"/>
      <c r="CG324" s="838"/>
      <c r="CH324" s="838"/>
      <c r="CI324" s="838"/>
      <c r="CJ324" s="838"/>
      <c r="CK324" s="838"/>
      <c r="CL324" s="838"/>
      <c r="CM324" s="847">
        <f>IFERROR(__xludf.DUMMYFUNCTION("""COMPUTED_VALUE"""),0.671)</f>
        <v>0.671</v>
      </c>
      <c r="CN324" s="838"/>
      <c r="CO324" s="838"/>
      <c r="CP324" s="838"/>
      <c r="CQ324" s="838"/>
      <c r="CR324" s="838"/>
      <c r="CS324" s="838" t="str">
        <f>IFERROR(__xludf.DUMMYFUNCTION("""COMPUTED_VALUE"""),"Seven days post treatment, intrascrotal nodules were detected at the site of 21 (46.7%) adult worm nests in men who received DEC alone compared with 2 (6.1%) sites in men who received DEC and albendazole (P = 0.002). One year after treatment, 10 (22.2%) o"&amp;"riginal adult worm nests remained detectable by ultrasound among men who received DEC alone compared with 18/32 (56.3%) nests among men who received both drugs (P = 0.016). Microfilaraemia prevalence and density decreased to a similar extent in both group"&amp;"s. Addition of albendazole appeared to decrease the macrofilaricidal effect of DEC against W. bancrofti, with no detectable enhancement in microfilarial suppression.")</f>
        <v>Seven days post treatment, intrascrotal nodules were detected at the site of 21 (46.7%) adult worm nests in men who received DEC alone compared with 2 (6.1%) sites in men who received DEC and albendazole (P = 0.002). One year after treatment, 10 (22.2%) original adult worm nests remained detectable by ultrasound among men who received DEC alone compared with 18/32 (56.3%) nests among men who received both drugs (P = 0.016). Microfilaraemia prevalence and density decreased to a similar extent in both groups. Addition of albendazole appeared to decrease the macrofilaricidal effect of DEC against W. bancrofti, with no detectable enhancement in microfilarial suppression.</v>
      </c>
      <c r="CT324" s="838"/>
      <c r="CU324" s="838"/>
      <c r="CV324" s="697" t="str">
        <f>IFERROR(__xludf.DUMMYFUNCTION("""COMPUTED_VALUE"""),"Dreyer, Gerusa, et al. ""Efficacy of co-administered diethylcarbamazine and albendazole against adult Wuchereria bancrofti."" Transactions of the Royal Society of Tropical Medicine and Hygiene 100.12 (2006): 1118-1125.http://www.sciencedirect.com/science/"&amp;"article/pii/S0035920306001428?np=y")</f>
        <v>Dreyer, Gerusa, et al. "Efficacy of co-administered diethylcarbamazine and albendazole against adult Wuchereria bancrofti." Transactions of the Royal Society of Tropical Medicine and Hygiene 100.12 (2006): 1118-1125.http://www.sciencedirect.com/science/article/pii/S0035920306001428?np=y</v>
      </c>
    </row>
    <row r="325">
      <c r="A325" s="834"/>
      <c r="B325" s="834"/>
      <c r="C325" s="834"/>
      <c r="D325" s="834"/>
      <c r="E325" s="834"/>
      <c r="F325" s="834"/>
      <c r="G325" s="834"/>
      <c r="H325" s="834"/>
      <c r="I325" s="834"/>
      <c r="J325" s="834"/>
      <c r="K325" s="834"/>
      <c r="L325" s="834"/>
      <c r="M325" s="834"/>
      <c r="N325" s="834"/>
      <c r="O325" s="834"/>
      <c r="P325" s="834"/>
      <c r="Q325" s="834"/>
      <c r="R325" s="834"/>
      <c r="S325" s="834"/>
      <c r="T325" s="834"/>
      <c r="U325" s="834"/>
      <c r="V325" s="834"/>
      <c r="W325" s="834"/>
      <c r="X325" s="834"/>
      <c r="Y325" s="834"/>
      <c r="Z325" s="834"/>
      <c r="AA325" s="834"/>
      <c r="AB325" s="834"/>
      <c r="AC325" s="834"/>
      <c r="AD325" s="834"/>
      <c r="AE325" s="834"/>
      <c r="AF325" s="834"/>
      <c r="AG325" s="834"/>
      <c r="AH325" s="834"/>
      <c r="AJ325" s="836"/>
      <c r="AK325" s="836"/>
      <c r="AL325" s="836"/>
      <c r="AM325" s="836"/>
      <c r="AN325" s="836"/>
      <c r="AO325" s="836"/>
      <c r="AP325" s="836"/>
      <c r="AQ325" s="836"/>
      <c r="AR325" s="836"/>
      <c r="AS325" s="836"/>
      <c r="AT325" s="836"/>
      <c r="AU325" s="836"/>
      <c r="AV325" s="836"/>
      <c r="AW325" s="836"/>
      <c r="AX325" s="836"/>
      <c r="AY325" s="836"/>
      <c r="AZ325" s="836"/>
      <c r="BA325" s="836"/>
      <c r="BB325" s="836"/>
      <c r="BC325" s="836"/>
      <c r="BD325" s="836"/>
      <c r="BE325" s="836"/>
      <c r="BF325" s="836"/>
      <c r="BG325" s="836"/>
      <c r="BH325" s="836"/>
      <c r="BI325" s="836"/>
      <c r="BJ325" s="836"/>
      <c r="BK325" s="836"/>
      <c r="BL325" s="836"/>
      <c r="BM325" s="836"/>
      <c r="BN325" s="836"/>
      <c r="BO325" s="836"/>
      <c r="BP325" s="836"/>
      <c r="BR325" s="844" t="str">
        <f>IFERROR(__xludf.DUMMYFUNCTION("""COMPUTED_VALUE"""),"Dreyer et al.")</f>
        <v>Dreyer et al.</v>
      </c>
      <c r="BS325" s="838" t="str">
        <f>IFERROR(__xludf.DUMMYFUNCTION("""COMPUTED_VALUE"""),"Africa")</f>
        <v>Africa</v>
      </c>
      <c r="BT325" s="838" t="str">
        <f>IFERROR(__xludf.DUMMYFUNCTION("""COMPUTED_VALUE"""),"Albendazole &amp; DiethylCarbamazine")</f>
        <v>Albendazole &amp; DiethylCarbamazine</v>
      </c>
      <c r="BU325" s="838"/>
      <c r="BV325" s="838" t="str">
        <f>IFERROR(__xludf.DUMMYFUNCTION("""COMPUTED_VALUE"""),"Single")</f>
        <v>Single</v>
      </c>
      <c r="BW325" s="838" t="str">
        <f>IFERROR(__xludf.DUMMYFUNCTION("""COMPUTED_VALUE"""),"400 mg; 6 mg/kg")</f>
        <v>400 mg; 6 mg/kg</v>
      </c>
      <c r="BX325" s="838">
        <f>IFERROR(__xludf.DUMMYFUNCTION("""COMPUTED_VALUE"""),19.0)</f>
        <v>19</v>
      </c>
      <c r="BY325" s="838" t="str">
        <f>IFERROR(__xludf.DUMMYFUNCTION("""COMPUTED_VALUE"""),"16-66")</f>
        <v>16-66</v>
      </c>
      <c r="BZ325" s="838">
        <f>IFERROR(__xludf.DUMMYFUNCTION("""COMPUTED_VALUE"""),2006.0)</f>
        <v>2006</v>
      </c>
      <c r="CA325" s="838" t="str">
        <f>IFERROR(__xludf.DUMMYFUNCTION("""COMPUTED_VALUE"""),"M")</f>
        <v>M</v>
      </c>
      <c r="CB325" s="838" t="str">
        <f>IFERROR(__xludf.DUMMYFUNCTION("""COMPUTED_VALUE"""),"(1) were at least 18 years of age; (2) had reproducibility of the FDS confirmed by two independent investigators on three separate occasions (several days apart) before treatment; (3) had no hydro- cele or genital lymphoedema; (4) had never been treated f"&amp;"or filarial infection with DEC or ivermectin; (5) received no anthelminthic drugs during the follow-up period; and (6) adhered to the follow-up schedule for physical and ultra- sound examinations.")</f>
        <v>(1) were at least 18 years of age; (2) had reproducibility of the FDS confirmed by two independent investigators on three separate occasions (several days apart) before treatment; (3) had no hydro- cele or genital lymphoedema; (4) had never been treated for filarial infection with DEC or ivermectin; (5) received no anthelminthic drugs during the follow-up period; and (6) adhered to the follow-up schedule for physical and ultra- sound examinations.</v>
      </c>
      <c r="CC325" s="838" t="str">
        <f>IFERROR(__xludf.DUMMYFUNCTION("""COMPUTED_VALUE"""),"Yes")</f>
        <v>Yes</v>
      </c>
      <c r="CD325" s="847">
        <f>IFERROR(__xludf.DUMMYFUNCTION("""COMPUTED_VALUE"""),0.286)</f>
        <v>0.286</v>
      </c>
      <c r="CE325" s="838" t="str">
        <f>IFERROR(__xludf.DUMMYFUNCTION("""COMPUTED_VALUE"""),"Yes")</f>
        <v>Yes</v>
      </c>
      <c r="CF325" s="838"/>
      <c r="CG325" s="838"/>
      <c r="CH325" s="838"/>
      <c r="CI325" s="838"/>
      <c r="CJ325" s="838"/>
      <c r="CK325" s="838"/>
      <c r="CL325" s="838"/>
      <c r="CM325" s="847">
        <f>IFERROR(__xludf.DUMMYFUNCTION("""COMPUTED_VALUE"""),0.535)</f>
        <v>0.535</v>
      </c>
      <c r="CN325" s="838"/>
      <c r="CO325" s="838"/>
      <c r="CP325" s="838"/>
      <c r="CQ325" s="838"/>
      <c r="CR325" s="838"/>
      <c r="CS325" s="838" t="str">
        <f>IFERROR(__xludf.DUMMYFUNCTION("""COMPUTED_VALUE"""),"Seven days post treatment, intrascrotal nodules were detected at the site of 21 (46.7%) adult worm nests in men who received DEC alone compared with 2 (6.1%) sites in men who received DEC and albendazole (P = 0.002). One year after treatment, 10 (22.2%) o"&amp;"riginal adult worm nests remained detectable by ultrasound among men who received DEC alone compared with 18/32 (56.3%) nests among men who received both drugs (P = 0.016). Microfilaraemia prevalence and density decreased to a similar extent in both group"&amp;"s. Addition of albendazole appeared to decrease the macrofilaricidal effect of DEC against W. bancrofti, with no detectable enhancement in microfilarial suppression.")</f>
        <v>Seven days post treatment, intrascrotal nodules were detected at the site of 21 (46.7%) adult worm nests in men who received DEC alone compared with 2 (6.1%) sites in men who received DEC and albendazole (P = 0.002). One year after treatment, 10 (22.2%) original adult worm nests remained detectable by ultrasound among men who received DEC alone compared with 18/32 (56.3%) nests among men who received both drugs (P = 0.016). Microfilaraemia prevalence and density decreased to a similar extent in both groups. Addition of albendazole appeared to decrease the macrofilaricidal effect of DEC against W. bancrofti, with no detectable enhancement in microfilarial suppression.</v>
      </c>
      <c r="CT325" s="838"/>
      <c r="CU325" s="838"/>
      <c r="CV325" s="697" t="str">
        <f>IFERROR(__xludf.DUMMYFUNCTION("""COMPUTED_VALUE"""),"Dreyer, Gerusa, et al. ""Efficacy of co-administered diethylcarbamazine and albendazole against adult Wuchereria bancrofti."" Transactions of the Royal Society of Tropical Medicine and Hygiene 100.12 (2006): 1118-1125.http://www.sciencedirect.com/science/"&amp;"article/pii/S0035920306001428?np=y")</f>
        <v>Dreyer, Gerusa, et al. "Efficacy of co-administered diethylcarbamazine and albendazole against adult Wuchereria bancrofti." Transactions of the Royal Society of Tropical Medicine and Hygiene 100.12 (2006): 1118-1125.http://www.sciencedirect.com/science/article/pii/S0035920306001428?np=y</v>
      </c>
    </row>
    <row r="326">
      <c r="A326" s="834"/>
      <c r="B326" s="834"/>
      <c r="C326" s="834"/>
      <c r="D326" s="834"/>
      <c r="E326" s="834"/>
      <c r="F326" s="834"/>
      <c r="G326" s="834"/>
      <c r="H326" s="834"/>
      <c r="I326" s="834"/>
      <c r="J326" s="834"/>
      <c r="K326" s="834"/>
      <c r="L326" s="834"/>
      <c r="M326" s="834"/>
      <c r="N326" s="834"/>
      <c r="O326" s="834"/>
      <c r="P326" s="834"/>
      <c r="Q326" s="834"/>
      <c r="R326" s="834"/>
      <c r="S326" s="834"/>
      <c r="T326" s="834"/>
      <c r="U326" s="834"/>
      <c r="V326" s="834"/>
      <c r="W326" s="834"/>
      <c r="X326" s="834"/>
      <c r="Y326" s="834"/>
      <c r="Z326" s="834"/>
      <c r="AA326" s="834"/>
      <c r="AB326" s="834"/>
      <c r="AC326" s="834"/>
      <c r="AD326" s="834"/>
      <c r="AE326" s="834"/>
      <c r="AF326" s="834"/>
      <c r="AG326" s="834"/>
      <c r="AH326" s="834"/>
      <c r="AJ326" s="836"/>
      <c r="AK326" s="836"/>
      <c r="AL326" s="836"/>
      <c r="AM326" s="836"/>
      <c r="AN326" s="836"/>
      <c r="AO326" s="836"/>
      <c r="AP326" s="836"/>
      <c r="AQ326" s="836"/>
      <c r="AR326" s="836"/>
      <c r="AS326" s="836"/>
      <c r="AT326" s="836"/>
      <c r="AU326" s="836"/>
      <c r="AV326" s="836"/>
      <c r="AW326" s="836"/>
      <c r="AX326" s="836"/>
      <c r="AY326" s="836"/>
      <c r="AZ326" s="836"/>
      <c r="BA326" s="836"/>
      <c r="BB326" s="836"/>
      <c r="BC326" s="836"/>
      <c r="BD326" s="836"/>
      <c r="BE326" s="836"/>
      <c r="BF326" s="836"/>
      <c r="BG326" s="836"/>
      <c r="BH326" s="836"/>
      <c r="BI326" s="836"/>
      <c r="BJ326" s="836"/>
      <c r="BK326" s="836"/>
      <c r="BL326" s="836"/>
      <c r="BM326" s="836"/>
      <c r="BN326" s="836"/>
      <c r="BO326" s="836"/>
      <c r="BP326" s="836"/>
      <c r="BR326" s="838" t="str">
        <f>IFERROR(__xludf.DUMMYFUNCTION("""COMPUTED_VALUE"""),"Oqueka et al.")</f>
        <v>Oqueka et al.</v>
      </c>
      <c r="BS326" s="838" t="str">
        <f>IFERROR(__xludf.DUMMYFUNCTION("""COMPUTED_VALUE"""),"Indonesia")</f>
        <v>Indonesia</v>
      </c>
      <c r="BT326" s="838" t="str">
        <f>IFERROR(__xludf.DUMMYFUNCTION("""COMPUTED_VALUE"""),"Albendazole &amp; DiethylCarbamazine")</f>
        <v>Albendazole &amp; DiethylCarbamazine</v>
      </c>
      <c r="BU326" s="838"/>
      <c r="BV326" s="838"/>
      <c r="BW326" s="838"/>
      <c r="BX326" s="838"/>
      <c r="BY326" s="838"/>
      <c r="BZ326" s="838"/>
      <c r="CA326" s="838"/>
      <c r="CB326" s="838"/>
      <c r="CC326" s="838"/>
      <c r="CD326" s="838"/>
      <c r="CE326" s="838"/>
      <c r="CF326" s="838"/>
      <c r="CG326" s="838"/>
      <c r="CH326" s="838"/>
      <c r="CI326" s="838"/>
      <c r="CJ326" s="838"/>
      <c r="CK326" s="838"/>
      <c r="CL326" s="838"/>
      <c r="CM326" s="838"/>
      <c r="CN326" s="838"/>
      <c r="CO326" s="838"/>
      <c r="CP326" s="838"/>
      <c r="CQ326" s="838"/>
      <c r="CR326" s="838"/>
      <c r="CS326" s="838"/>
      <c r="CT326" s="838"/>
      <c r="CU326" s="838"/>
      <c r="CV326" s="697" t="str">
        <f>IFERROR(__xludf.DUMMYFUNCTION("""COMPUTED_VALUE"""),"Oqueka, Tim, et al. ""Impact of two rounds of mass drug administration using diethylcarbamazine combined with albendazole on the prevalence of Brugia timori and of intestinal helminths on Alor Island, Indonesia."" Filaria journal 4.1 (2005): 1. https://fi"&amp;"lariajournal.biomedcentral.com/articles/10.1186/1475-2883-4-5")</f>
        <v>Oqueka, Tim, et al. "Impact of two rounds of mass drug administration using diethylcarbamazine combined with albendazole on the prevalence of Brugia timori and of intestinal helminths on Alor Island, Indonesia." Filaria journal 4.1 (2005): 1. https://filariajournal.biomedcentral.com/articles/10.1186/1475-2883-4-5</v>
      </c>
    </row>
    <row r="327">
      <c r="A327" s="834"/>
      <c r="B327" s="834"/>
      <c r="C327" s="834"/>
      <c r="D327" s="834"/>
      <c r="E327" s="834"/>
      <c r="F327" s="834"/>
      <c r="G327" s="834"/>
      <c r="H327" s="834"/>
      <c r="I327" s="834"/>
      <c r="J327" s="834"/>
      <c r="K327" s="834"/>
      <c r="L327" s="834"/>
      <c r="M327" s="834"/>
      <c r="N327" s="834"/>
      <c r="O327" s="834"/>
      <c r="P327" s="834"/>
      <c r="Q327" s="834"/>
      <c r="R327" s="834"/>
      <c r="S327" s="834"/>
      <c r="T327" s="834"/>
      <c r="U327" s="834"/>
      <c r="V327" s="834"/>
      <c r="W327" s="834"/>
      <c r="X327" s="834"/>
      <c r="Y327" s="834"/>
      <c r="Z327" s="834"/>
      <c r="AA327" s="834"/>
      <c r="AB327" s="834"/>
      <c r="AC327" s="834"/>
      <c r="AD327" s="834"/>
      <c r="AE327" s="834"/>
      <c r="AF327" s="834"/>
      <c r="AG327" s="834"/>
      <c r="AH327" s="834"/>
      <c r="AJ327" s="836"/>
      <c r="AK327" s="836"/>
      <c r="AL327" s="836"/>
      <c r="AM327" s="836"/>
      <c r="AN327" s="836"/>
      <c r="AO327" s="836"/>
      <c r="AP327" s="836"/>
      <c r="AQ327" s="836"/>
      <c r="AR327" s="836"/>
      <c r="AS327" s="836"/>
      <c r="AT327" s="836"/>
      <c r="AU327" s="836"/>
      <c r="AV327" s="836"/>
      <c r="AW327" s="836"/>
      <c r="AX327" s="836"/>
      <c r="AY327" s="836"/>
      <c r="AZ327" s="836"/>
      <c r="BA327" s="836"/>
      <c r="BB327" s="836"/>
      <c r="BC327" s="836"/>
      <c r="BD327" s="836"/>
      <c r="BE327" s="836"/>
      <c r="BF327" s="836"/>
      <c r="BG327" s="836"/>
      <c r="BH327" s="836"/>
      <c r="BI327" s="836"/>
      <c r="BJ327" s="836"/>
      <c r="BK327" s="836"/>
      <c r="BL327" s="836"/>
      <c r="BM327" s="836"/>
      <c r="BN327" s="836"/>
      <c r="BO327" s="836"/>
      <c r="BP327" s="836"/>
      <c r="BR327" s="844" t="str">
        <f>IFERROR(__xludf.DUMMYFUNCTION("""COMPUTED_VALUE"""),"Kihara")</f>
        <v>Kihara</v>
      </c>
      <c r="BS327" s="838" t="str">
        <f>IFERROR(__xludf.DUMMYFUNCTION("""COMPUTED_VALUE"""),"Kenya")</f>
        <v>Kenya</v>
      </c>
      <c r="BT327" s="838" t="str">
        <f>IFERROR(__xludf.DUMMYFUNCTION("""COMPUTED_VALUE"""),"Albendazole &amp; Praziquantel ")</f>
        <v>Albendazole &amp; Praziquantel </v>
      </c>
      <c r="BU327" s="838"/>
      <c r="BV327" s="838" t="str">
        <f>IFERROR(__xludf.DUMMYFUNCTION("""COMPUTED_VALUE"""),"Single")</f>
        <v>Single</v>
      </c>
      <c r="BW327" s="838" t="str">
        <f>IFERROR(__xludf.DUMMYFUNCTION("""COMPUTED_VALUE"""),"400 mg; 600 mg")</f>
        <v>400 mg; 600 mg</v>
      </c>
      <c r="BX327" s="838">
        <f>IFERROR(__xludf.DUMMYFUNCTION("""COMPUTED_VALUE"""),44.0)</f>
        <v>44</v>
      </c>
      <c r="BY327" s="845">
        <f>IFERROR(__xludf.DUMMYFUNCTION("""COMPUTED_VALUE"""),42478.0)</f>
        <v>42478</v>
      </c>
      <c r="BZ327" s="838">
        <f>IFERROR(__xludf.DUMMYFUNCTION("""COMPUTED_VALUE"""),2004.0)</f>
        <v>2004</v>
      </c>
      <c r="CA327" s="838"/>
      <c r="CB327" s="838" t="str">
        <f>IFERROR(__xludf.DUMMYFUNCTION("""COMPUTED_VALUE"""),"N/A")</f>
        <v>N/A</v>
      </c>
      <c r="CC327" s="838" t="str">
        <f>IFERROR(__xludf.DUMMYFUNCTION("""COMPUTED_VALUE"""),"No")</f>
        <v>No</v>
      </c>
      <c r="CD327" s="846">
        <f>IFERROR(__xludf.DUMMYFUNCTION("""COMPUTED_VALUE"""),1.0)</f>
        <v>1</v>
      </c>
      <c r="CE327" s="838"/>
      <c r="CF327" s="838"/>
      <c r="CG327" s="838"/>
      <c r="CH327" s="838"/>
      <c r="CI327" s="838"/>
      <c r="CJ327" s="838"/>
      <c r="CK327" s="838"/>
      <c r="CL327" s="838"/>
      <c r="CM327" s="846">
        <f>IFERROR(__xludf.DUMMYFUNCTION("""COMPUTED_VALUE"""),1.0)</f>
        <v>1</v>
      </c>
      <c r="CN327" s="838"/>
      <c r="CO327" s="838"/>
      <c r="CP327" s="838"/>
      <c r="CQ327" s="838"/>
      <c r="CR327" s="838"/>
      <c r="CS327" s="838" t="str">
        <f>IFERROR(__xludf.DUMMYFUNCTION("""COMPUTED_VALUE"""),"A single dose of praziquantel was very effective against S. mansoni, although in some schools the cure rate was low. This could be attributed to immature worms, which were not killed by the drug and continued to excrete eggs in the stool after treatment. "&amp;"In all schools, intensity reduced by more than 90% after treatment for hookworm and schistosomiasis and 100% for Ascariasis. Albendazole was very effective against Ascariasis and hookworm. A single dose of albendazole had little effect on T. trichiura, wi"&amp;"th a reduction rate of only 24.5%. Such observation had also been noted by Pascal et al. (1997) who reported Trichuriasis reduction of 23% after treatment with a single dose of albendazole. With the observed cure rates of 100% for A. lumri- coides, 18.2% "&amp;"for T. trichiura, 95% for hookworm and 92.6% for S. mansoni in the five schools, the programme achieved its objectives in the first year. A single dose treatment by praziquantel and albendazole for schistoso- miasis and soil transmitted helminthes was eff"&amp;"ective in reducing prevalence and intensity of parasitic infection in school age children in Mwea. From these results, two or three repeated doses of Albendazole for treatment of Trichuriasis in school children will have better effect in reducing prevalen"&amp;"ce and intensity especially in selective treatment.")</f>
        <v>A single dose of praziquantel was very effective against S. mansoni, although in some schools the cure rate was low. This could be attributed to immature worms, which were not killed by the drug and continued to excrete eggs in the stool after treatment. In all schools, intensity reduced by more than 90% after treatment for hookworm and schistosomiasis and 100% for Ascariasis. Albendazole was very effective against Ascariasis and hookworm. A single dose of albendazole had little effect on T. trichiura, with a reduction rate of only 24.5%. Such observation had also been noted by Pascal et al. (1997) who reported Trichuriasis reduction of 23% after treatment with a single dose of albendazole. With the observed cure rates of 100% for A. lumri- coides, 18.2% for T. trichiura, 95% for hookworm and 92.6% for S. mansoni in the five schools, the programme achieved its objectives in the first year. A single dose treatment by praziquantel and albendazole for schistoso- miasis and soil transmitted helminthes was effective in reducing prevalence and intensity of parasitic infection in school age children in Mwea. From these results, two or three repeated doses of Albendazole for treatment of Trichuriasis in school children will have better effect in reducing prevalence and intensity especially in selective treatment.</v>
      </c>
      <c r="CT327" s="838"/>
      <c r="CU327" s="838"/>
      <c r="CV327" s="697" t="str">
        <f>IFERROR(__xludf.DUMMYFUNCTION("""COMPUTED_VALUE"""),"Kihara, J. H., et al. ""Drug efficacy of praziquantel and albendazole in school children in Mwea Division, Central Province, Kenya."" Acta Tropica 102.3 (2007): 165-171.")</f>
        <v>Kihara, J. H., et al. "Drug efficacy of praziquantel and albendazole in school children in Mwea Division, Central Province, Kenya." Acta Tropica 102.3 (2007): 165-171.</v>
      </c>
    </row>
    <row r="328">
      <c r="A328" s="834"/>
      <c r="B328" s="834"/>
      <c r="C328" s="834"/>
      <c r="D328" s="834"/>
      <c r="E328" s="834"/>
      <c r="F328" s="834"/>
      <c r="G328" s="834"/>
      <c r="H328" s="834"/>
      <c r="I328" s="834"/>
      <c r="J328" s="834"/>
      <c r="K328" s="834"/>
      <c r="L328" s="834"/>
      <c r="M328" s="834"/>
      <c r="N328" s="834"/>
      <c r="O328" s="834"/>
      <c r="P328" s="834"/>
      <c r="Q328" s="834"/>
      <c r="R328" s="834"/>
      <c r="S328" s="834"/>
      <c r="T328" s="834"/>
      <c r="U328" s="834"/>
      <c r="V328" s="834"/>
      <c r="W328" s="834"/>
      <c r="X328" s="834"/>
      <c r="Y328" s="834"/>
      <c r="Z328" s="834"/>
      <c r="AA328" s="834"/>
      <c r="AB328" s="834"/>
      <c r="AC328" s="834"/>
      <c r="AD328" s="834"/>
      <c r="AE328" s="834"/>
      <c r="AF328" s="834"/>
      <c r="AG328" s="834"/>
      <c r="AH328" s="834"/>
      <c r="AJ328" s="836"/>
      <c r="AK328" s="836"/>
      <c r="AL328" s="836"/>
      <c r="AM328" s="836"/>
      <c r="AN328" s="836"/>
      <c r="AO328" s="836"/>
      <c r="AP328" s="836"/>
      <c r="AQ328" s="836"/>
      <c r="AR328" s="836"/>
      <c r="AS328" s="836"/>
      <c r="AT328" s="836"/>
      <c r="AU328" s="836"/>
      <c r="AV328" s="836"/>
      <c r="AW328" s="836"/>
      <c r="AX328" s="836"/>
      <c r="AY328" s="836"/>
      <c r="AZ328" s="836"/>
      <c r="BA328" s="836"/>
      <c r="BB328" s="836"/>
      <c r="BC328" s="836"/>
      <c r="BD328" s="836"/>
      <c r="BE328" s="836"/>
      <c r="BF328" s="836"/>
      <c r="BG328" s="836"/>
      <c r="BH328" s="836"/>
      <c r="BI328" s="836"/>
      <c r="BJ328" s="836"/>
      <c r="BK328" s="836"/>
      <c r="BL328" s="836"/>
      <c r="BM328" s="836"/>
      <c r="BN328" s="836"/>
      <c r="BO328" s="836"/>
      <c r="BP328" s="836"/>
      <c r="BR328" s="838" t="str">
        <f>IFERROR(__xludf.DUMMYFUNCTION("""COMPUTED_VALUE"""),"Kilpatrick")</f>
        <v>Kilpatrick</v>
      </c>
      <c r="BS328" s="838" t="str">
        <f>IFERROR(__xludf.DUMMYFUNCTION("""COMPUTED_VALUE"""),"Egypt")</f>
        <v>Egypt</v>
      </c>
      <c r="BT328" s="838"/>
      <c r="BU328" s="838"/>
      <c r="BV328" s="838"/>
      <c r="BW328" s="838"/>
      <c r="BX328" s="838"/>
      <c r="BY328" s="838"/>
      <c r="BZ328" s="838"/>
      <c r="CA328" s="838"/>
      <c r="CB328" s="838"/>
      <c r="CC328" s="838"/>
      <c r="CD328" s="838"/>
      <c r="CE328" s="838"/>
      <c r="CF328" s="838"/>
      <c r="CG328" s="838"/>
      <c r="CH328" s="838"/>
      <c r="CI328" s="838"/>
      <c r="CJ328" s="838"/>
      <c r="CK328" s="838"/>
      <c r="CL328" s="838"/>
      <c r="CM328" s="838"/>
      <c r="CN328" s="838"/>
      <c r="CO328" s="838"/>
      <c r="CP328" s="838"/>
      <c r="CQ328" s="838"/>
      <c r="CR328" s="838"/>
      <c r="CS328" s="838"/>
      <c r="CT328" s="838"/>
      <c r="CU328" s="838"/>
      <c r="CV328" s="697" t="str">
        <f>IFERROR(__xludf.DUMMYFUNCTION("""COMPUTED_VALUE"""),"Kilpatrick, M. E., B. Trabolsi, and Z. Farid. ""Levamisole compared to mebendazole in the treatment of Ancylostoma duodenale in Egypt."" Transactions of the Royal Society of Tropical Medicine and Hygiene 75.4 (1981): 578-579.")</f>
        <v>Kilpatrick, M. E., B. Trabolsi, and Z. Farid. "Levamisole compared to mebendazole in the treatment of Ancylostoma duodenale in Egypt." Transactions of the Royal Society of Tropical Medicine and Hygiene 75.4 (1981): 578-579.</v>
      </c>
    </row>
    <row r="329">
      <c r="A329" s="834"/>
      <c r="B329" s="834"/>
      <c r="C329" s="834"/>
      <c r="D329" s="834"/>
      <c r="E329" s="834"/>
      <c r="F329" s="834"/>
      <c r="G329" s="834"/>
      <c r="H329" s="834"/>
      <c r="I329" s="834"/>
      <c r="J329" s="834"/>
      <c r="K329" s="834"/>
      <c r="L329" s="834"/>
      <c r="M329" s="834"/>
      <c r="N329" s="834"/>
      <c r="O329" s="834"/>
      <c r="P329" s="834"/>
      <c r="Q329" s="834"/>
      <c r="R329" s="834"/>
      <c r="S329" s="834"/>
      <c r="T329" s="834"/>
      <c r="U329" s="834"/>
      <c r="V329" s="834"/>
      <c r="W329" s="834"/>
      <c r="X329" s="834"/>
      <c r="Y329" s="834"/>
      <c r="Z329" s="834"/>
      <c r="AA329" s="834"/>
      <c r="AB329" s="834"/>
      <c r="AC329" s="834"/>
      <c r="AD329" s="834"/>
      <c r="AE329" s="834"/>
      <c r="AF329" s="834"/>
      <c r="AG329" s="834"/>
      <c r="AH329" s="834"/>
      <c r="AJ329" s="836"/>
      <c r="AK329" s="836"/>
      <c r="AL329" s="836"/>
      <c r="AM329" s="836"/>
      <c r="AN329" s="836"/>
      <c r="AO329" s="836"/>
      <c r="AP329" s="836"/>
      <c r="AQ329" s="836"/>
      <c r="AR329" s="836"/>
      <c r="AS329" s="836"/>
      <c r="AT329" s="836"/>
      <c r="AU329" s="836"/>
      <c r="AV329" s="836"/>
      <c r="AW329" s="836"/>
      <c r="AX329" s="836"/>
      <c r="AY329" s="836"/>
      <c r="AZ329" s="836"/>
      <c r="BA329" s="836"/>
      <c r="BB329" s="836"/>
      <c r="BC329" s="836"/>
      <c r="BD329" s="836"/>
      <c r="BE329" s="836"/>
      <c r="BF329" s="836"/>
      <c r="BG329" s="836"/>
      <c r="BH329" s="836"/>
      <c r="BI329" s="836"/>
      <c r="BJ329" s="836"/>
      <c r="BK329" s="836"/>
      <c r="BL329" s="836"/>
      <c r="BM329" s="836"/>
      <c r="BN329" s="836"/>
      <c r="BO329" s="836"/>
      <c r="BP329" s="836"/>
      <c r="BR329" s="844" t="str">
        <f>IFERROR(__xludf.DUMMYFUNCTION("""COMPUTED_VALUE"""),"Miller MJ")</f>
        <v>Miller MJ</v>
      </c>
      <c r="BS329" s="838" t="str">
        <f>IFERROR(__xludf.DUMMYFUNCTION("""COMPUTED_VALUE"""),"Brazil, Iran and US")</f>
        <v>Brazil, Iran and US</v>
      </c>
      <c r="BT329" s="838" t="str">
        <f>IFERROR(__xludf.DUMMYFUNCTION("""COMPUTED_VALUE"""),"Levamisole")</f>
        <v>Levamisole</v>
      </c>
      <c r="BU329" s="838"/>
      <c r="BV329" s="838" t="str">
        <f>IFERROR(__xludf.DUMMYFUNCTION("""COMPUTED_VALUE"""),"Once")</f>
        <v>Once</v>
      </c>
      <c r="BW329" s="838" t="str">
        <f>IFERROR(__xludf.DUMMYFUNCTION("""COMPUTED_VALUE"""),"Depending it could be 50 mg, 100 mg, 150 mg")</f>
        <v>Depending it could be 50 mg, 100 mg, 150 mg</v>
      </c>
      <c r="BX329" s="838">
        <f>IFERROR(__xludf.DUMMYFUNCTION("""COMPUTED_VALUE"""),950.0)</f>
        <v>950</v>
      </c>
      <c r="BY329" s="845">
        <f>IFERROR(__xludf.DUMMYFUNCTION("""COMPUTED_VALUE"""),42415.0)</f>
        <v>42415</v>
      </c>
      <c r="BZ329" s="838">
        <f>IFERROR(__xludf.DUMMYFUNCTION("""COMPUTED_VALUE"""),1978.0)</f>
        <v>1978</v>
      </c>
      <c r="CA329" s="838" t="str">
        <f>IFERROR(__xludf.DUMMYFUNCTION("""COMPUTED_VALUE"""),"Moslty 50/50")</f>
        <v>Moslty 50/50</v>
      </c>
      <c r="CB329" s="838"/>
      <c r="CC329" s="838"/>
      <c r="CD329" s="838" t="str">
        <f>IFERROR(__xludf.DUMMYFUNCTION("""COMPUTED_VALUE"""),"92% and 98%")</f>
        <v>92% and 98%</v>
      </c>
      <c r="CE329" s="838"/>
      <c r="CF329" s="838"/>
      <c r="CG329" s="838"/>
      <c r="CH329" s="838"/>
      <c r="CI329" s="838"/>
      <c r="CJ329" s="838"/>
      <c r="CK329" s="838"/>
      <c r="CL329" s="838"/>
      <c r="CM329" s="838"/>
      <c r="CN329" s="838"/>
      <c r="CO329" s="838"/>
      <c r="CP329" s="838"/>
      <c r="CQ329" s="838"/>
      <c r="CR329" s="838"/>
      <c r="CS329" s="838" t="str">
        <f>IFERROR(__xludf.DUMMYFUNCTION("""COMPUTED_VALUE"""),"Because of its high efficacy, relative freedom from side effects and ease of administration, levamisol should be particularly useful for mass chemotherapy in Ascaris control program.")</f>
        <v>Because of its high efficacy, relative freedom from side effects and ease of administration, levamisol should be particularly useful for mass chemotherapy in Ascaris control program.</v>
      </c>
      <c r="CT329" s="838"/>
      <c r="CU329" s="838"/>
      <c r="CV329" s="697" t="str">
        <f>IFERROR(__xludf.DUMMYFUNCTION("""COMPUTED_VALUE"""),"Miller, M. J., et al. ""An evaluation of levamisole for treatment of ascariasis."" Southern medical journal 71.2 (1978): 137-140.")</f>
        <v>Miller, M. J., et al. "An evaluation of levamisole for treatment of ascariasis." Southern medical journal 71.2 (1978): 137-140.</v>
      </c>
    </row>
    <row r="330">
      <c r="A330" s="834"/>
      <c r="B330" s="834"/>
      <c r="C330" s="834"/>
      <c r="D330" s="834"/>
      <c r="E330" s="834"/>
      <c r="F330" s="834"/>
      <c r="G330" s="834"/>
      <c r="H330" s="834"/>
      <c r="I330" s="834"/>
      <c r="J330" s="834"/>
      <c r="K330" s="834"/>
      <c r="L330" s="834"/>
      <c r="M330" s="834"/>
      <c r="N330" s="834"/>
      <c r="O330" s="834"/>
      <c r="P330" s="834"/>
      <c r="Q330" s="834"/>
      <c r="R330" s="834"/>
      <c r="S330" s="834"/>
      <c r="T330" s="834"/>
      <c r="U330" s="834"/>
      <c r="V330" s="834"/>
      <c r="W330" s="834"/>
      <c r="X330" s="834"/>
      <c r="Y330" s="834"/>
      <c r="Z330" s="834"/>
      <c r="AA330" s="834"/>
      <c r="AB330" s="834"/>
      <c r="AC330" s="834"/>
      <c r="AD330" s="834"/>
      <c r="AE330" s="834"/>
      <c r="AF330" s="834"/>
      <c r="AG330" s="834"/>
      <c r="AH330" s="834"/>
      <c r="AJ330" s="836"/>
      <c r="AK330" s="836"/>
      <c r="AL330" s="836"/>
      <c r="AM330" s="836"/>
      <c r="AN330" s="836"/>
      <c r="AO330" s="836"/>
      <c r="AP330" s="836"/>
      <c r="AQ330" s="836"/>
      <c r="AR330" s="836"/>
      <c r="AS330" s="836"/>
      <c r="AT330" s="836"/>
      <c r="AU330" s="836"/>
      <c r="AV330" s="836"/>
      <c r="AW330" s="836"/>
      <c r="AX330" s="836"/>
      <c r="AY330" s="836"/>
      <c r="AZ330" s="836"/>
      <c r="BA330" s="836"/>
      <c r="BB330" s="836"/>
      <c r="BC330" s="836"/>
      <c r="BD330" s="836"/>
      <c r="BE330" s="836"/>
      <c r="BF330" s="836"/>
      <c r="BG330" s="836"/>
      <c r="BH330" s="836"/>
      <c r="BI330" s="836"/>
      <c r="BJ330" s="836"/>
      <c r="BK330" s="836"/>
      <c r="BL330" s="836"/>
      <c r="BM330" s="836"/>
      <c r="BN330" s="836"/>
      <c r="BO330" s="836"/>
      <c r="BP330" s="836"/>
      <c r="BR330" s="838"/>
      <c r="BS330" s="838"/>
      <c r="BT330" s="838" t="str">
        <f>IFERROR(__xludf.DUMMYFUNCTION("""COMPUTED_VALUE"""),"Levamisole")</f>
        <v>Levamisole</v>
      </c>
      <c r="BU330" s="838"/>
      <c r="BV330" s="838"/>
      <c r="BW330" s="838"/>
      <c r="BX330" s="838"/>
      <c r="BY330" s="838"/>
      <c r="BZ330" s="838"/>
      <c r="CA330" s="838"/>
      <c r="CB330" s="838"/>
      <c r="CC330" s="838"/>
      <c r="CD330" s="838"/>
      <c r="CE330" s="838"/>
      <c r="CF330" s="838"/>
      <c r="CG330" s="838"/>
      <c r="CH330" s="838"/>
      <c r="CI330" s="838"/>
      <c r="CJ330" s="838"/>
      <c r="CK330" s="838"/>
      <c r="CL330" s="838"/>
      <c r="CM330" s="838"/>
      <c r="CN330" s="838"/>
      <c r="CO330" s="838"/>
      <c r="CP330" s="838"/>
      <c r="CQ330" s="838"/>
      <c r="CR330" s="838"/>
      <c r="CS330" s="838"/>
      <c r="CT330" s="838"/>
      <c r="CU330" s="838"/>
      <c r="CV330" s="697"/>
    </row>
    <row r="331">
      <c r="A331" s="834"/>
      <c r="B331" s="834"/>
      <c r="C331" s="834"/>
      <c r="D331" s="834"/>
      <c r="E331" s="834"/>
      <c r="F331" s="834"/>
      <c r="G331" s="834"/>
      <c r="H331" s="834"/>
      <c r="I331" s="834"/>
      <c r="J331" s="834"/>
      <c r="K331" s="834"/>
      <c r="L331" s="834"/>
      <c r="M331" s="834"/>
      <c r="N331" s="834"/>
      <c r="O331" s="834"/>
      <c r="P331" s="834"/>
      <c r="Q331" s="834"/>
      <c r="R331" s="834"/>
      <c r="S331" s="834"/>
      <c r="T331" s="834"/>
      <c r="U331" s="834"/>
      <c r="V331" s="834"/>
      <c r="W331" s="834"/>
      <c r="X331" s="834"/>
      <c r="Y331" s="834"/>
      <c r="Z331" s="834"/>
      <c r="AA331" s="834"/>
      <c r="AB331" s="834"/>
      <c r="AC331" s="834"/>
      <c r="AD331" s="834"/>
      <c r="AE331" s="834"/>
      <c r="AF331" s="834"/>
      <c r="AG331" s="834"/>
      <c r="AH331" s="834"/>
      <c r="AJ331" s="836"/>
      <c r="AK331" s="836"/>
      <c r="AL331" s="836"/>
      <c r="AM331" s="836"/>
      <c r="AN331" s="836"/>
      <c r="AO331" s="836"/>
      <c r="AP331" s="836"/>
      <c r="AQ331" s="836"/>
      <c r="AR331" s="836"/>
      <c r="AS331" s="836"/>
      <c r="AT331" s="836"/>
      <c r="AU331" s="836"/>
      <c r="AV331" s="836"/>
      <c r="AW331" s="836"/>
      <c r="AX331" s="836"/>
      <c r="AY331" s="836"/>
      <c r="AZ331" s="836"/>
      <c r="BA331" s="836"/>
      <c r="BB331" s="836"/>
      <c r="BC331" s="836"/>
      <c r="BD331" s="836"/>
      <c r="BE331" s="836"/>
      <c r="BF331" s="836"/>
      <c r="BG331" s="836"/>
      <c r="BH331" s="836"/>
      <c r="BI331" s="836"/>
      <c r="BJ331" s="836"/>
      <c r="BK331" s="836"/>
      <c r="BL331" s="836"/>
      <c r="BM331" s="836"/>
      <c r="BN331" s="836"/>
      <c r="BO331" s="836"/>
      <c r="BP331" s="836"/>
      <c r="BR331" s="838"/>
      <c r="BS331" s="838"/>
      <c r="BT331" s="838" t="str">
        <f>IFERROR(__xludf.DUMMYFUNCTION("""COMPUTED_VALUE"""),"Levamisole")</f>
        <v>Levamisole</v>
      </c>
      <c r="BU331" s="838"/>
      <c r="BV331" s="838"/>
      <c r="BW331" s="838"/>
      <c r="BX331" s="838"/>
      <c r="BY331" s="838"/>
      <c r="BZ331" s="838"/>
      <c r="CA331" s="838"/>
      <c r="CB331" s="838"/>
      <c r="CC331" s="838"/>
      <c r="CD331" s="838"/>
      <c r="CE331" s="838"/>
      <c r="CF331" s="838"/>
      <c r="CG331" s="838"/>
      <c r="CH331" s="838"/>
      <c r="CI331" s="838"/>
      <c r="CJ331" s="838"/>
      <c r="CK331" s="838"/>
      <c r="CL331" s="838"/>
      <c r="CM331" s="838"/>
      <c r="CN331" s="838"/>
      <c r="CO331" s="838"/>
      <c r="CP331" s="838"/>
      <c r="CQ331" s="838"/>
      <c r="CR331" s="838"/>
      <c r="CS331" s="838"/>
      <c r="CT331" s="838"/>
      <c r="CU331" s="838"/>
      <c r="CV331" s="697"/>
    </row>
    <row r="332">
      <c r="A332" s="834"/>
      <c r="B332" s="834"/>
      <c r="C332" s="834"/>
      <c r="D332" s="834"/>
      <c r="E332" s="834"/>
      <c r="F332" s="834"/>
      <c r="G332" s="834"/>
      <c r="H332" s="834"/>
      <c r="I332" s="834"/>
      <c r="J332" s="834"/>
      <c r="K332" s="834"/>
      <c r="L332" s="834"/>
      <c r="M332" s="834"/>
      <c r="N332" s="834"/>
      <c r="O332" s="834"/>
      <c r="P332" s="834"/>
      <c r="Q332" s="834"/>
      <c r="R332" s="834"/>
      <c r="S332" s="834"/>
      <c r="T332" s="834"/>
      <c r="U332" s="834"/>
      <c r="V332" s="834"/>
      <c r="W332" s="834"/>
      <c r="X332" s="834"/>
      <c r="Y332" s="834"/>
      <c r="Z332" s="834"/>
      <c r="AA332" s="834"/>
      <c r="AB332" s="834"/>
      <c r="AC332" s="834"/>
      <c r="AD332" s="834"/>
      <c r="AE332" s="834"/>
      <c r="AF332" s="834"/>
      <c r="AG332" s="834"/>
      <c r="AH332" s="834"/>
      <c r="AJ332" s="836"/>
      <c r="AK332" s="836"/>
      <c r="AL332" s="836"/>
      <c r="AM332" s="836"/>
      <c r="AN332" s="836"/>
      <c r="AO332" s="836"/>
      <c r="AP332" s="836"/>
      <c r="AQ332" s="836"/>
      <c r="AR332" s="836"/>
      <c r="AS332" s="836"/>
      <c r="AT332" s="836"/>
      <c r="AU332" s="836"/>
      <c r="AV332" s="836"/>
      <c r="AW332" s="836"/>
      <c r="AX332" s="836"/>
      <c r="AY332" s="836"/>
      <c r="AZ332" s="836"/>
      <c r="BA332" s="836"/>
      <c r="BB332" s="836"/>
      <c r="BC332" s="836"/>
      <c r="BD332" s="836"/>
      <c r="BE332" s="836"/>
      <c r="BF332" s="836"/>
      <c r="BG332" s="836"/>
      <c r="BH332" s="836"/>
      <c r="BI332" s="836"/>
      <c r="BJ332" s="836"/>
      <c r="BK332" s="836"/>
      <c r="BL332" s="836"/>
      <c r="BM332" s="836"/>
      <c r="BN332" s="836"/>
      <c r="BO332" s="836"/>
      <c r="BP332" s="836"/>
      <c r="BR332" s="844" t="str">
        <f>IFERROR(__xludf.DUMMYFUNCTION("""COMPUTED_VALUE"""),"Xu")</f>
        <v>Xu</v>
      </c>
      <c r="BS332" s="838" t="str">
        <f>IFERROR(__xludf.DUMMYFUNCTION("""COMPUTED_VALUE"""),"China")</f>
        <v>China</v>
      </c>
      <c r="BT332" s="838" t="str">
        <f>IFERROR(__xludf.DUMMYFUNCTION("""COMPUTED_VALUE"""),"Tribendimidine")</f>
        <v>Tribendimidine</v>
      </c>
      <c r="BU332" s="838"/>
      <c r="BV332" s="838" t="str">
        <f>IFERROR(__xludf.DUMMYFUNCTION("""COMPUTED_VALUE"""),"Once")</f>
        <v>Once</v>
      </c>
      <c r="BW332" s="838" t="str">
        <f>IFERROR(__xludf.DUMMYFUNCTION("""COMPUTED_VALUE"""),"400 mg")</f>
        <v>400 mg</v>
      </c>
      <c r="BX332" s="838">
        <f>IFERROR(__xludf.DUMMYFUNCTION("""COMPUTED_VALUE"""),39.0)</f>
        <v>39</v>
      </c>
      <c r="BY332" s="838" t="str">
        <f>IFERROR(__xludf.DUMMYFUNCTION("""COMPUTED_VALUE"""),"Mean age of 56.1")</f>
        <v>Mean age of 56.1</v>
      </c>
      <c r="BZ332" s="838">
        <f>IFERROR(__xludf.DUMMYFUNCTION("""COMPUTED_VALUE"""),2012.0)</f>
        <v>2012</v>
      </c>
      <c r="CA332" s="852">
        <f>IFERROR(__xludf.DUMMYFUNCTION("""COMPUTED_VALUE"""),0.8055555555555556)</f>
        <v>0.8055555556</v>
      </c>
      <c r="CB332" s="838" t="str">
        <f>IFERROR(__xludf.DUMMYFUNCTION("""COMPUTED_VALUE"""),"Eligible for inclusion were those who were infected with more than one species of helminth and provided the written informed consent in preliminary survey, and then submitted the second stool sample before the treatment.")</f>
        <v>Eligible for inclusion were those who were infected with more than one species of helminth and provided the written informed consent in preliminary survey, and then submitted the second stool sample before the treatment.</v>
      </c>
      <c r="CC332" s="838" t="str">
        <f>IFERROR(__xludf.DUMMYFUNCTION("""COMPUTED_VALUE"""),"Yes")</f>
        <v>Yes</v>
      </c>
      <c r="CD332" s="838"/>
      <c r="CE332" s="838"/>
      <c r="CF332" s="838"/>
      <c r="CG332" s="838"/>
      <c r="CH332" s="838"/>
      <c r="CI332" s="838"/>
      <c r="CJ332" s="838"/>
      <c r="CK332" s="838"/>
      <c r="CL332" s="838"/>
      <c r="CM332" s="838"/>
      <c r="CN332" s="838"/>
      <c r="CO332" s="838"/>
      <c r="CP332" s="838"/>
      <c r="CQ332" s="838"/>
      <c r="CR332" s="838"/>
      <c r="CS332" s="838" t="str">
        <f>IFERROR(__xludf.DUMMYFUNCTION("""COMPUTED_VALUE"""),"Conclusion: Single-dose tribendimidine showed similar efficacy against C. sinensis as praziquantel with less adverse events,and achieved significantly higher cure rate in the treatment for hookworm than those of praziquantel and mebendazole.Low cure rates"&amp;", which were still higher than other drugs, were obtained in the treatment of single-dose tribendimidine against Ascaris lumbricoides and Trichuris trichiura.")</f>
        <v>Conclusion: Single-dose tribendimidine showed similar efficacy against C. sinensis as praziquantel with less adverse events,and achieved significantly higher cure rate in the treatment for hookworm than those of praziquantel and mebendazole.Low cure rates, which were still higher than other drugs, were obtained in the treatment of single-dose tribendimidine against Ascaris lumbricoides and Trichuris trichiura.</v>
      </c>
      <c r="CT332" s="838"/>
      <c r="CU332" s="838"/>
      <c r="CV332" s="697" t="str">
        <f>IFERROR(__xludf.DUMMYFUNCTION("""COMPUTED_VALUE"""),"Xu, Li-Li, et al. ""Efficacy and safety of praziquantel, tribendimidine and mebendazole in patients with co-infection of Clonorchis sinensis and other helminths."" PLoS Negl Trop Dis 8.8 (2014): e3046.")</f>
        <v>Xu, Li-Li, et al. "Efficacy and safety of praziquantel, tribendimidine and mebendazole in patients with co-infection of Clonorchis sinensis and other helminths." PLoS Negl Trop Dis 8.8 (2014): e3046.</v>
      </c>
    </row>
    <row r="333">
      <c r="A333" s="834"/>
      <c r="B333" s="834"/>
      <c r="C333" s="834"/>
      <c r="D333" s="834"/>
      <c r="E333" s="834"/>
      <c r="F333" s="834"/>
      <c r="G333" s="834"/>
      <c r="H333" s="834"/>
      <c r="I333" s="834"/>
      <c r="J333" s="834"/>
      <c r="K333" s="834"/>
      <c r="L333" s="834"/>
      <c r="M333" s="834"/>
      <c r="N333" s="834"/>
      <c r="O333" s="834"/>
      <c r="P333" s="834"/>
      <c r="Q333" s="834"/>
      <c r="R333" s="834"/>
      <c r="S333" s="834"/>
      <c r="T333" s="834"/>
      <c r="U333" s="834"/>
      <c r="V333" s="834"/>
      <c r="W333" s="834"/>
      <c r="X333" s="834"/>
      <c r="Y333" s="834"/>
      <c r="Z333" s="834"/>
      <c r="AA333" s="834"/>
      <c r="AB333" s="834"/>
      <c r="AC333" s="834"/>
      <c r="AD333" s="834"/>
      <c r="AE333" s="834"/>
      <c r="AF333" s="834"/>
      <c r="AG333" s="834"/>
      <c r="AH333" s="834"/>
      <c r="AJ333" s="836"/>
      <c r="AK333" s="836"/>
      <c r="AL333" s="836"/>
      <c r="AM333" s="836"/>
      <c r="AN333" s="836"/>
      <c r="AO333" s="836"/>
      <c r="AP333" s="836"/>
      <c r="AQ333" s="836"/>
      <c r="AR333" s="836"/>
      <c r="AS333" s="836"/>
      <c r="AT333" s="836"/>
      <c r="AU333" s="836"/>
      <c r="AV333" s="836"/>
      <c r="AW333" s="836"/>
      <c r="AX333" s="836"/>
      <c r="AY333" s="836"/>
      <c r="AZ333" s="836"/>
      <c r="BA333" s="836"/>
      <c r="BB333" s="836"/>
      <c r="BC333" s="836"/>
      <c r="BD333" s="836"/>
      <c r="BE333" s="836"/>
      <c r="BF333" s="836"/>
      <c r="BG333" s="836"/>
      <c r="BH333" s="836"/>
      <c r="BI333" s="836"/>
      <c r="BJ333" s="836"/>
      <c r="BK333" s="836"/>
      <c r="BL333" s="836"/>
      <c r="BM333" s="836"/>
      <c r="BN333" s="836"/>
      <c r="BO333" s="836"/>
      <c r="BP333" s="836"/>
      <c r="BR333" s="844" t="str">
        <f>IFERROR(__xludf.DUMMYFUNCTION("""COMPUTED_VALUE"""),"Xu")</f>
        <v>Xu</v>
      </c>
      <c r="BS333" s="838" t="str">
        <f>IFERROR(__xludf.DUMMYFUNCTION("""COMPUTED_VALUE"""),"China")</f>
        <v>China</v>
      </c>
      <c r="BT333" s="838" t="str">
        <f>IFERROR(__xludf.DUMMYFUNCTION("""COMPUTED_VALUE"""),"Tribendimidine")</f>
        <v>Tribendimidine</v>
      </c>
      <c r="BU333" s="838"/>
      <c r="BV333" s="838" t="str">
        <f>IFERROR(__xludf.DUMMYFUNCTION("""COMPUTED_VALUE"""),"Two")</f>
        <v>Two</v>
      </c>
      <c r="BW333" s="838" t="str">
        <f>IFERROR(__xludf.DUMMYFUNCTION("""COMPUTED_VALUE"""),"200 mg")</f>
        <v>200 mg</v>
      </c>
      <c r="BX333" s="838">
        <f>IFERROR(__xludf.DUMMYFUNCTION("""COMPUTED_VALUE"""),39.0)</f>
        <v>39</v>
      </c>
      <c r="BY333" s="838" t="str">
        <f>IFERROR(__xludf.DUMMYFUNCTION("""COMPUTED_VALUE"""),"Mean age of 54.9")</f>
        <v>Mean age of 54.9</v>
      </c>
      <c r="BZ333" s="838">
        <f>IFERROR(__xludf.DUMMYFUNCTION("""COMPUTED_VALUE"""),2012.0)</f>
        <v>2012</v>
      </c>
      <c r="CA333" s="852">
        <f>IFERROR(__xludf.DUMMYFUNCTION("""COMPUTED_VALUE"""),0.7236111111111111)</f>
        <v>0.7236111111</v>
      </c>
      <c r="CB333" s="838" t="str">
        <f>IFERROR(__xludf.DUMMYFUNCTION("""COMPUTED_VALUE"""),"Eligible for inclusion were those who were infected with more than one species of helminth and provided the written informed consent in preliminary survey, and then submitted the second stool sample before the treatment.")</f>
        <v>Eligible for inclusion were those who were infected with more than one species of helminth and provided the written informed consent in preliminary survey, and then submitted the second stool sample before the treatment.</v>
      </c>
      <c r="CC333" s="838" t="str">
        <f>IFERROR(__xludf.DUMMYFUNCTION("""COMPUTED_VALUE"""),"Yes")</f>
        <v>Yes</v>
      </c>
      <c r="CD333" s="838"/>
      <c r="CE333" s="838"/>
      <c r="CF333" s="838"/>
      <c r="CG333" s="838"/>
      <c r="CH333" s="838"/>
      <c r="CI333" s="838"/>
      <c r="CJ333" s="838"/>
      <c r="CK333" s="838"/>
      <c r="CL333" s="838"/>
      <c r="CM333" s="838"/>
      <c r="CN333" s="838"/>
      <c r="CO333" s="838"/>
      <c r="CP333" s="838"/>
      <c r="CQ333" s="838"/>
      <c r="CR333" s="838"/>
      <c r="CS333" s="838" t="str">
        <f>IFERROR(__xludf.DUMMYFUNCTION("""COMPUTED_VALUE"""),"Conclusion: Single-dose tribendimidine showed similar efficacy against C. sinensis as praziquantel with less adverse events,and achieved significantly higher cure rate in the treatment for hookworm than those of praziquantel and mebendazole.Low cure rates"&amp;", which were still higher than other drugs, were obtained in the treatment of single-dose tribendimidine against Ascaris lumbricoides and Trichuris trichiura.")</f>
        <v>Conclusion: Single-dose tribendimidine showed similar efficacy against C. sinensis as praziquantel with less adverse events,and achieved significantly higher cure rate in the treatment for hookworm than those of praziquantel and mebendazole.Low cure rates, which were still higher than other drugs, were obtained in the treatment of single-dose tribendimidine against Ascaris lumbricoides and Trichuris trichiura.</v>
      </c>
      <c r="CT333" s="838"/>
      <c r="CU333" s="838"/>
      <c r="CV333" s="697"/>
    </row>
    <row r="334">
      <c r="A334" s="834"/>
      <c r="B334" s="834"/>
      <c r="C334" s="834"/>
      <c r="D334" s="834"/>
      <c r="E334" s="834"/>
      <c r="F334" s="834"/>
      <c r="G334" s="834"/>
      <c r="H334" s="834"/>
      <c r="I334" s="834"/>
      <c r="J334" s="834"/>
      <c r="K334" s="834"/>
      <c r="L334" s="834"/>
      <c r="M334" s="834"/>
      <c r="N334" s="834"/>
      <c r="O334" s="834"/>
      <c r="P334" s="834"/>
      <c r="Q334" s="834"/>
      <c r="R334" s="834"/>
      <c r="S334" s="834"/>
      <c r="T334" s="834"/>
      <c r="U334" s="834"/>
      <c r="V334" s="834"/>
      <c r="W334" s="834"/>
      <c r="X334" s="834"/>
      <c r="Y334" s="834"/>
      <c r="Z334" s="834"/>
      <c r="AA334" s="834"/>
      <c r="AB334" s="834"/>
      <c r="AC334" s="834"/>
      <c r="AD334" s="834"/>
      <c r="AE334" s="834"/>
      <c r="AF334" s="834"/>
      <c r="AG334" s="834"/>
      <c r="AH334" s="834"/>
      <c r="AJ334" s="836"/>
      <c r="AK334" s="836"/>
      <c r="AL334" s="836"/>
      <c r="AM334" s="836"/>
      <c r="AN334" s="836"/>
      <c r="AO334" s="836"/>
      <c r="AP334" s="836"/>
      <c r="AQ334" s="836"/>
      <c r="AR334" s="836"/>
      <c r="AS334" s="836"/>
      <c r="AT334" s="836"/>
      <c r="AU334" s="836"/>
      <c r="AV334" s="836"/>
      <c r="AW334" s="836"/>
      <c r="AX334" s="836"/>
      <c r="AY334" s="836"/>
      <c r="AZ334" s="836"/>
      <c r="BA334" s="836"/>
      <c r="BB334" s="836"/>
      <c r="BC334" s="836"/>
      <c r="BD334" s="836"/>
      <c r="BE334" s="836"/>
      <c r="BF334" s="836"/>
      <c r="BG334" s="836"/>
      <c r="BH334" s="836"/>
      <c r="BI334" s="836"/>
      <c r="BJ334" s="836"/>
      <c r="BK334" s="836"/>
      <c r="BL334" s="836"/>
      <c r="BM334" s="836"/>
      <c r="BN334" s="836"/>
      <c r="BO334" s="836"/>
      <c r="BP334" s="836"/>
      <c r="BR334" s="844" t="str">
        <f>IFERROR(__xludf.DUMMYFUNCTION("""COMPUTED_VALUE"""),"Xu")</f>
        <v>Xu</v>
      </c>
      <c r="BS334" s="838" t="str">
        <f>IFERROR(__xludf.DUMMYFUNCTION("""COMPUTED_VALUE"""),"China")</f>
        <v>China</v>
      </c>
      <c r="BT334" s="838" t="str">
        <f>IFERROR(__xludf.DUMMYFUNCTION("""COMPUTED_VALUE"""),"Praziquantel")</f>
        <v>Praziquantel</v>
      </c>
      <c r="BU334" s="838"/>
      <c r="BV334" s="838" t="str">
        <f>IFERROR(__xludf.DUMMYFUNCTION("""COMPUTED_VALUE"""),"Once")</f>
        <v>Once</v>
      </c>
      <c r="BW334" s="838" t="str">
        <f>IFERROR(__xludf.DUMMYFUNCTION("""COMPUTED_VALUE"""),"75 mg")</f>
        <v>75 mg</v>
      </c>
      <c r="BX334" s="838">
        <f>IFERROR(__xludf.DUMMYFUNCTION("""COMPUTED_VALUE"""),39.0)</f>
        <v>39</v>
      </c>
      <c r="BY334" s="838" t="str">
        <f>IFERROR(__xludf.DUMMYFUNCTION("""COMPUTED_VALUE"""),"Mean age of 52.4")</f>
        <v>Mean age of 52.4</v>
      </c>
      <c r="BZ334" s="838">
        <f>IFERROR(__xludf.DUMMYFUNCTION("""COMPUTED_VALUE"""),2012.0)</f>
        <v>2012</v>
      </c>
      <c r="CA334" s="852">
        <f>IFERROR(__xludf.DUMMYFUNCTION("""COMPUTED_VALUE"""),0.6826388888888889)</f>
        <v>0.6826388889</v>
      </c>
      <c r="CB334" s="838" t="str">
        <f>IFERROR(__xludf.DUMMYFUNCTION("""COMPUTED_VALUE"""),"Eligible for inclusion were those who were infected with more than one species of helminth and provided the written informed consent in preliminary survey, and then submitted the second stool sample before the treatment.")</f>
        <v>Eligible for inclusion were those who were infected with more than one species of helminth and provided the written informed consent in preliminary survey, and then submitted the second stool sample before the treatment.</v>
      </c>
      <c r="CC334" s="838" t="str">
        <f>IFERROR(__xludf.DUMMYFUNCTION("""COMPUTED_VALUE"""),"Yes")</f>
        <v>Yes</v>
      </c>
      <c r="CD334" s="838"/>
      <c r="CE334" s="838"/>
      <c r="CF334" s="838"/>
      <c r="CG334" s="838"/>
      <c r="CH334" s="838"/>
      <c r="CI334" s="838"/>
      <c r="CJ334" s="838"/>
      <c r="CK334" s="838"/>
      <c r="CL334" s="838"/>
      <c r="CM334" s="838"/>
      <c r="CN334" s="838"/>
      <c r="CO334" s="838"/>
      <c r="CP334" s="838"/>
      <c r="CQ334" s="838"/>
      <c r="CR334" s="838"/>
      <c r="CS334" s="838" t="str">
        <f>IFERROR(__xludf.DUMMYFUNCTION("""COMPUTED_VALUE"""),"Conclusion: Single-dose tribendimidine showed similar efficacy against C. sinensis as praziquantel with less adverse events,and achieved significantly higher cure rate in the treatment for hookworm than those of praziquantel and mebendazole.Low cure rates"&amp;", which were still higher than other drugs, were obtained in the treatment of single-dose tribendimidine against Ascaris lumbricoides and Trichuris trichiura.")</f>
        <v>Conclusion: Single-dose tribendimidine showed similar efficacy against C. sinensis as praziquantel with less adverse events,and achieved significantly higher cure rate in the treatment for hookworm than those of praziquantel and mebendazole.Low cure rates, which were still higher than other drugs, were obtained in the treatment of single-dose tribendimidine against Ascaris lumbricoides and Trichuris trichiura.</v>
      </c>
      <c r="CT334" s="838"/>
      <c r="CU334" s="838"/>
      <c r="CV334" s="697"/>
    </row>
    <row r="335">
      <c r="A335" s="834"/>
      <c r="B335" s="834"/>
      <c r="C335" s="834"/>
      <c r="D335" s="834"/>
      <c r="E335" s="834"/>
      <c r="F335" s="834"/>
      <c r="G335" s="834"/>
      <c r="H335" s="834"/>
      <c r="I335" s="834"/>
      <c r="J335" s="834"/>
      <c r="K335" s="834"/>
      <c r="L335" s="834"/>
      <c r="M335" s="834"/>
      <c r="N335" s="834"/>
      <c r="O335" s="834"/>
      <c r="P335" s="834"/>
      <c r="Q335" s="834"/>
      <c r="R335" s="834"/>
      <c r="S335" s="834"/>
      <c r="T335" s="834"/>
      <c r="U335" s="834"/>
      <c r="V335" s="834"/>
      <c r="W335" s="834"/>
      <c r="X335" s="834"/>
      <c r="Y335" s="834"/>
      <c r="Z335" s="834"/>
      <c r="AA335" s="834"/>
      <c r="AB335" s="834"/>
      <c r="AC335" s="834"/>
      <c r="AD335" s="834"/>
      <c r="AE335" s="834"/>
      <c r="AF335" s="834"/>
      <c r="AG335" s="834"/>
      <c r="AH335" s="834"/>
      <c r="AJ335" s="836"/>
      <c r="AK335" s="836"/>
      <c r="AL335" s="836"/>
      <c r="AM335" s="836"/>
      <c r="AN335" s="836"/>
      <c r="AO335" s="836"/>
      <c r="AP335" s="836"/>
      <c r="AQ335" s="836"/>
      <c r="AR335" s="836"/>
      <c r="AS335" s="836"/>
      <c r="AT335" s="836"/>
      <c r="AU335" s="836"/>
      <c r="AV335" s="836"/>
      <c r="AW335" s="836"/>
      <c r="AX335" s="836"/>
      <c r="AY335" s="836"/>
      <c r="AZ335" s="836"/>
      <c r="BA335" s="836"/>
      <c r="BB335" s="836"/>
      <c r="BC335" s="836"/>
      <c r="BD335" s="836"/>
      <c r="BE335" s="836"/>
      <c r="BF335" s="836"/>
      <c r="BG335" s="836"/>
      <c r="BH335" s="836"/>
      <c r="BI335" s="836"/>
      <c r="BJ335" s="836"/>
      <c r="BK335" s="836"/>
      <c r="BL335" s="836"/>
      <c r="BM335" s="836"/>
      <c r="BN335" s="836"/>
      <c r="BO335" s="836"/>
      <c r="BP335" s="836"/>
      <c r="BR335" s="844" t="str">
        <f>IFERROR(__xludf.DUMMYFUNCTION("""COMPUTED_VALUE"""),"Xu")</f>
        <v>Xu</v>
      </c>
      <c r="BS335" s="838" t="str">
        <f>IFERROR(__xludf.DUMMYFUNCTION("""COMPUTED_VALUE"""),"China")</f>
        <v>China</v>
      </c>
      <c r="BT335" s="838" t="str">
        <f>IFERROR(__xludf.DUMMYFUNCTION("""COMPUTED_VALUE"""),"Mebendazole")</f>
        <v>Mebendazole</v>
      </c>
      <c r="BU335" s="838"/>
      <c r="BV335" s="838" t="str">
        <f>IFERROR(__xludf.DUMMYFUNCTION("""COMPUTED_VALUE"""),"Four")</f>
        <v>Four</v>
      </c>
      <c r="BW335" s="838" t="str">
        <f>IFERROR(__xludf.DUMMYFUNCTION("""COMPUTED_VALUE"""),"400 mg")</f>
        <v>400 mg</v>
      </c>
      <c r="BX335" s="838">
        <f>IFERROR(__xludf.DUMMYFUNCTION("""COMPUTED_VALUE"""),39.0)</f>
        <v>39</v>
      </c>
      <c r="BY335" s="838" t="str">
        <f>IFERROR(__xludf.DUMMYFUNCTION("""COMPUTED_VALUE"""),"Mean age of 50.5")</f>
        <v>Mean age of 50.5</v>
      </c>
      <c r="BZ335" s="838">
        <f>IFERROR(__xludf.DUMMYFUNCTION("""COMPUTED_VALUE"""),2012.0)</f>
        <v>2012</v>
      </c>
      <c r="CA335" s="852">
        <f>IFERROR(__xludf.DUMMYFUNCTION("""COMPUTED_VALUE"""),0.9284722222222223)</f>
        <v>0.9284722222</v>
      </c>
      <c r="CB335" s="838" t="str">
        <f>IFERROR(__xludf.DUMMYFUNCTION("""COMPUTED_VALUE"""),"Eligible for inclusion were those who were infected with more than one species of helminth and provided the written informed consent in preliminary survey, and then submitted the second stool sample before the treatment.")</f>
        <v>Eligible for inclusion were those who were infected with more than one species of helminth and provided the written informed consent in preliminary survey, and then submitted the second stool sample before the treatment.</v>
      </c>
      <c r="CC335" s="838" t="str">
        <f>IFERROR(__xludf.DUMMYFUNCTION("""COMPUTED_VALUE"""),"Yes")</f>
        <v>Yes</v>
      </c>
      <c r="CD335" s="838"/>
      <c r="CE335" s="838"/>
      <c r="CF335" s="838"/>
      <c r="CG335" s="838"/>
      <c r="CH335" s="838"/>
      <c r="CI335" s="838"/>
      <c r="CJ335" s="838"/>
      <c r="CK335" s="838"/>
      <c r="CL335" s="838"/>
      <c r="CM335" s="838"/>
      <c r="CN335" s="838"/>
      <c r="CO335" s="838"/>
      <c r="CP335" s="838"/>
      <c r="CQ335" s="838"/>
      <c r="CR335" s="838"/>
      <c r="CS335" s="838" t="str">
        <f>IFERROR(__xludf.DUMMYFUNCTION("""COMPUTED_VALUE"""),"Conclusion: Single-dose tribendimidine showed similar efficacy against C. sinensis as praziquantel with less adverse events,and achieved significantly higher cure rate in the treatment for hookworm than those of praziquantel and mebendazole.Low cure rates"&amp;", which were still higher than other drugs, were obtained in the treatment of single-dose tribendimidine against Ascaris lumbricoides and Trichuris trichiura.")</f>
        <v>Conclusion: Single-dose tribendimidine showed similar efficacy against C. sinensis as praziquantel with less adverse events,and achieved significantly higher cure rate in the treatment for hookworm than those of praziquantel and mebendazole.Low cure rates, which were still higher than other drugs, were obtained in the treatment of single-dose tribendimidine against Ascaris lumbricoides and Trichuris trichiura.</v>
      </c>
      <c r="CT335" s="838"/>
      <c r="CU335" s="838"/>
      <c r="CV335" s="697"/>
    </row>
    <row r="336">
      <c r="A336" s="834"/>
      <c r="B336" s="834"/>
      <c r="C336" s="834"/>
      <c r="D336" s="834"/>
      <c r="E336" s="834"/>
      <c r="F336" s="834"/>
      <c r="G336" s="834"/>
      <c r="H336" s="834"/>
      <c r="I336" s="834"/>
      <c r="J336" s="834"/>
      <c r="K336" s="834"/>
      <c r="L336" s="834"/>
      <c r="M336" s="834"/>
      <c r="N336" s="834"/>
      <c r="O336" s="834"/>
      <c r="P336" s="834"/>
      <c r="Q336" s="834"/>
      <c r="R336" s="834"/>
      <c r="S336" s="834"/>
      <c r="T336" s="834"/>
      <c r="U336" s="834"/>
      <c r="V336" s="834"/>
      <c r="W336" s="834"/>
      <c r="X336" s="834"/>
      <c r="Y336" s="834"/>
      <c r="Z336" s="834"/>
      <c r="AA336" s="834"/>
      <c r="AB336" s="834"/>
      <c r="AC336" s="834"/>
      <c r="AD336" s="834"/>
      <c r="AE336" s="834"/>
      <c r="AF336" s="834"/>
      <c r="AG336" s="834"/>
      <c r="AH336" s="834"/>
      <c r="AJ336" s="836"/>
      <c r="AK336" s="836"/>
      <c r="AL336" s="836"/>
      <c r="AM336" s="836"/>
      <c r="AN336" s="836"/>
      <c r="AO336" s="836"/>
      <c r="AP336" s="836"/>
      <c r="AQ336" s="836"/>
      <c r="AR336" s="836"/>
      <c r="AS336" s="836"/>
      <c r="AT336" s="836"/>
      <c r="AU336" s="836"/>
      <c r="AV336" s="836"/>
      <c r="AW336" s="836"/>
      <c r="AX336" s="836"/>
      <c r="AY336" s="836"/>
      <c r="AZ336" s="836"/>
      <c r="BA336" s="836"/>
      <c r="BB336" s="836"/>
      <c r="BC336" s="836"/>
      <c r="BD336" s="836"/>
      <c r="BE336" s="836"/>
      <c r="BF336" s="836"/>
      <c r="BG336" s="836"/>
      <c r="BH336" s="836"/>
      <c r="BI336" s="836"/>
      <c r="BJ336" s="836"/>
      <c r="BK336" s="836"/>
      <c r="BL336" s="836"/>
      <c r="BM336" s="836"/>
      <c r="BN336" s="836"/>
      <c r="BO336" s="836"/>
      <c r="BP336" s="836"/>
      <c r="BR336" s="844" t="str">
        <f>IFERROR(__xludf.DUMMYFUNCTION("""COMPUTED_VALUE"""),"Wesche")</f>
        <v>Wesche</v>
      </c>
      <c r="BS336" s="838" t="str">
        <f>IFERROR(__xludf.DUMMYFUNCTION("""COMPUTED_VALUE"""),"New Guinea")</f>
        <v>New Guinea</v>
      </c>
      <c r="BT336" s="838" t="str">
        <f>IFERROR(__xludf.DUMMYFUNCTION("""COMPUTED_VALUE"""),"Mebendazole")</f>
        <v>Mebendazole</v>
      </c>
      <c r="BU336" s="838"/>
      <c r="BV336" s="838" t="str">
        <f>IFERROR(__xludf.DUMMYFUNCTION("""COMPUTED_VALUE"""),"Six")</f>
        <v>Six</v>
      </c>
      <c r="BW336" s="838" t="str">
        <f>IFERROR(__xludf.DUMMYFUNCTION("""COMPUTED_VALUE"""),"100 mg")</f>
        <v>100 mg</v>
      </c>
      <c r="BX336" s="838">
        <f>IFERROR(__xludf.DUMMYFUNCTION("""COMPUTED_VALUE"""),22.0)</f>
        <v>22</v>
      </c>
      <c r="BY336" s="845">
        <f>IFERROR(__xludf.DUMMYFUNCTION("""COMPUTED_VALUE"""),42595.0)</f>
        <v>42595</v>
      </c>
      <c r="BZ336" s="838">
        <f>IFERROR(__xludf.DUMMYFUNCTION("""COMPUTED_VALUE"""),1985.0)</f>
        <v>1985</v>
      </c>
      <c r="CA336" s="838"/>
      <c r="CB336" s="838"/>
      <c r="CC336" s="838" t="str">
        <f>IFERROR(__xludf.DUMMYFUNCTION("""COMPUTED_VALUE"""),"Yes")</f>
        <v>Yes</v>
      </c>
      <c r="CD336" s="846">
        <f>IFERROR(__xludf.DUMMYFUNCTION("""COMPUTED_VALUE"""),0.95)</f>
        <v>0.95</v>
      </c>
      <c r="CE336" s="838" t="str">
        <f>IFERROR(__xludf.DUMMYFUNCTION("""COMPUTED_VALUE"""),"Yes")</f>
        <v>Yes</v>
      </c>
      <c r="CF336" s="838"/>
      <c r="CG336" s="838"/>
      <c r="CH336" s="838"/>
      <c r="CI336" s="838"/>
      <c r="CJ336" s="838"/>
      <c r="CK336" s="838"/>
      <c r="CL336" s="838"/>
      <c r="CM336" s="847">
        <f>IFERROR(__xludf.DUMMYFUNCTION("""COMPUTED_VALUE"""),0.999)</f>
        <v>0.999</v>
      </c>
      <c r="CN336" s="838"/>
      <c r="CO336" s="838"/>
      <c r="CP336" s="838"/>
      <c r="CQ336" s="838"/>
      <c r="CR336" s="838"/>
      <c r="CS336" s="838" t="str">
        <f>IFERROR(__xludf.DUMMYFUNCTION("""COMPUTED_VALUE"""),"In conclusion, only the Janssen brand of mebendazole given twice daily for 3 days was of value in ‘curing’ hookworm and was,therefore, more effective overall in the treat-ment ofintestinal helminthiasis. Based on this study, the use of the Janssen formula"&amp;"tion of mebendazole would be preferable.")</f>
        <v>In conclusion, only the Janssen brand of mebendazole given twice daily for 3 days was of value in ‘curing’ hookworm and was,therefore, more effective overall in the treat-ment ofintestinal helminthiasis. Based on this study, the use of the Janssen formulation of mebendazole would be preferable.</v>
      </c>
      <c r="CT336" s="838"/>
      <c r="CU336" s="838"/>
      <c r="CV336" s="697" t="str">
        <f>IFERROR(__xludf.DUMMYFUNCTION("""COMPUTED_VALUE"""),"Wesche, D., and G. Barnish. ""A comparative study of the effectiveness of mebendazole (Janssen) and generically equivalent mebendazole (Nordia) in intestinal helminthiasis in Papua New Guinean children."" Papua and New Guinea medical journal 37.1 (1994): "&amp;"7-11.")</f>
        <v>Wesche, D., and G. Barnish. "A comparative study of the effectiveness of mebendazole (Janssen) and generically equivalent mebendazole (Nordia) in intestinal helminthiasis in Papua New Guinean children." Papua and New Guinea medical journal 37.1 (1994): 7-11.</v>
      </c>
    </row>
    <row r="337">
      <c r="A337" s="834"/>
      <c r="B337" s="834"/>
      <c r="C337" s="834"/>
      <c r="D337" s="834"/>
      <c r="E337" s="834"/>
      <c r="F337" s="834"/>
      <c r="G337" s="834"/>
      <c r="H337" s="834"/>
      <c r="I337" s="834"/>
      <c r="J337" s="834"/>
      <c r="K337" s="834"/>
      <c r="L337" s="834"/>
      <c r="M337" s="834"/>
      <c r="N337" s="834"/>
      <c r="O337" s="834"/>
      <c r="P337" s="834"/>
      <c r="Q337" s="834"/>
      <c r="R337" s="834"/>
      <c r="S337" s="834"/>
      <c r="T337" s="834"/>
      <c r="U337" s="834"/>
      <c r="V337" s="834"/>
      <c r="W337" s="834"/>
      <c r="X337" s="834"/>
      <c r="Y337" s="834"/>
      <c r="Z337" s="834"/>
      <c r="AA337" s="834"/>
      <c r="AB337" s="834"/>
      <c r="AC337" s="834"/>
      <c r="AD337" s="834"/>
      <c r="AE337" s="834"/>
      <c r="AF337" s="834"/>
      <c r="AG337" s="834"/>
      <c r="AH337" s="834"/>
      <c r="AJ337" s="836"/>
      <c r="AK337" s="836"/>
      <c r="AL337" s="836"/>
      <c r="AM337" s="836"/>
      <c r="AN337" s="836"/>
      <c r="AO337" s="836"/>
      <c r="AP337" s="836"/>
      <c r="AQ337" s="836"/>
      <c r="AR337" s="836"/>
      <c r="AS337" s="836"/>
      <c r="AT337" s="836"/>
      <c r="AU337" s="836"/>
      <c r="AV337" s="836"/>
      <c r="AW337" s="836"/>
      <c r="AX337" s="836"/>
      <c r="AY337" s="836"/>
      <c r="AZ337" s="836"/>
      <c r="BA337" s="836"/>
      <c r="BB337" s="836"/>
      <c r="BC337" s="836"/>
      <c r="BD337" s="836"/>
      <c r="BE337" s="836"/>
      <c r="BF337" s="836"/>
      <c r="BG337" s="836"/>
      <c r="BH337" s="836"/>
      <c r="BI337" s="836"/>
      <c r="BJ337" s="836"/>
      <c r="BK337" s="836"/>
      <c r="BL337" s="836"/>
      <c r="BM337" s="836"/>
      <c r="BN337" s="836"/>
      <c r="BO337" s="836"/>
      <c r="BP337" s="836"/>
      <c r="BR337" s="844" t="str">
        <f>IFERROR(__xludf.DUMMYFUNCTION("""COMPUTED_VALUE"""),"Wesche")</f>
        <v>Wesche</v>
      </c>
      <c r="BS337" s="838" t="str">
        <f>IFERROR(__xludf.DUMMYFUNCTION("""COMPUTED_VALUE"""),"New Guinea")</f>
        <v>New Guinea</v>
      </c>
      <c r="BT337" s="838" t="str">
        <f>IFERROR(__xludf.DUMMYFUNCTION("""COMPUTED_VALUE"""),"Mebendazole")</f>
        <v>Mebendazole</v>
      </c>
      <c r="BU337" s="838"/>
      <c r="BV337" s="838" t="str">
        <f>IFERROR(__xludf.DUMMYFUNCTION("""COMPUTED_VALUE"""),"Six")</f>
        <v>Six</v>
      </c>
      <c r="BW337" s="838" t="str">
        <f>IFERROR(__xludf.DUMMYFUNCTION("""COMPUTED_VALUE"""),"100 mg")</f>
        <v>100 mg</v>
      </c>
      <c r="BX337" s="838">
        <f>IFERROR(__xludf.DUMMYFUNCTION("""COMPUTED_VALUE"""),21.0)</f>
        <v>21</v>
      </c>
      <c r="BY337" s="845">
        <f>IFERROR(__xludf.DUMMYFUNCTION("""COMPUTED_VALUE"""),42960.0)</f>
        <v>42960</v>
      </c>
      <c r="BZ337" s="838">
        <f>IFERROR(__xludf.DUMMYFUNCTION("""COMPUTED_VALUE"""),1985.0)</f>
        <v>1985</v>
      </c>
      <c r="CA337" s="838"/>
      <c r="CB337" s="838"/>
      <c r="CC337" s="838" t="str">
        <f>IFERROR(__xludf.DUMMYFUNCTION("""COMPUTED_VALUE"""),"Yes")</f>
        <v>Yes</v>
      </c>
      <c r="CD337" s="846">
        <f>IFERROR(__xludf.DUMMYFUNCTION("""COMPUTED_VALUE"""),0.83)</f>
        <v>0.83</v>
      </c>
      <c r="CE337" s="838" t="str">
        <f>IFERROR(__xludf.DUMMYFUNCTION("""COMPUTED_VALUE"""),"Yes")</f>
        <v>Yes</v>
      </c>
      <c r="CF337" s="838"/>
      <c r="CG337" s="838"/>
      <c r="CH337" s="838"/>
      <c r="CI337" s="838"/>
      <c r="CJ337" s="838"/>
      <c r="CK337" s="838"/>
      <c r="CL337" s="838"/>
      <c r="CM337" s="847">
        <f>IFERROR(__xludf.DUMMYFUNCTION("""COMPUTED_VALUE"""),0.999)</f>
        <v>0.999</v>
      </c>
      <c r="CN337" s="838"/>
      <c r="CO337" s="838"/>
      <c r="CP337" s="838"/>
      <c r="CQ337" s="838"/>
      <c r="CR337" s="838"/>
      <c r="CS337" s="838" t="str">
        <f>IFERROR(__xludf.DUMMYFUNCTION("""COMPUTED_VALUE"""),"In conclusion, only the Janssen brand of mebendazole given twice daily for 3 days was of value in ‘curing’ hookworm and was,therefore, more effective overall in the treat-ment ofintestinal helminthiasis. Based on this study, the use of the Janssen formula"&amp;"tion of mebendazole would be preferable.")</f>
        <v>In conclusion, only the Janssen brand of mebendazole given twice daily for 3 days was of value in ‘curing’ hookworm and was,therefore, more effective overall in the treat-ment ofintestinal helminthiasis. Based on this study, the use of the Janssen formulation of mebendazole would be preferable.</v>
      </c>
      <c r="CT337" s="838"/>
      <c r="CU337" s="838"/>
      <c r="CV337" s="697" t="str">
        <f>IFERROR(__xludf.DUMMYFUNCTION("""COMPUTED_VALUE"""),"Wesche, D., and G. Barnish. ""A comparative study of the effectiveness of mebendazole (Janssen) and generically equivalent mebendazole (Nordia) in intestinal helminthiasis in Papua New Guinean children."" Papua and New Guinea medical journal 37.1 (1994): "&amp;"7-11.")</f>
        <v>Wesche, D., and G. Barnish. "A comparative study of the effectiveness of mebendazole (Janssen) and generically equivalent mebendazole (Nordia) in intestinal helminthiasis in Papua New Guinean children." Papua and New Guinea medical journal 37.1 (1994): 7-11.</v>
      </c>
    </row>
    <row r="338">
      <c r="A338" s="834"/>
      <c r="B338" s="834"/>
      <c r="C338" s="834"/>
      <c r="D338" s="834"/>
      <c r="E338" s="834"/>
      <c r="F338" s="834"/>
      <c r="G338" s="834"/>
      <c r="H338" s="834"/>
      <c r="I338" s="834"/>
      <c r="J338" s="834"/>
      <c r="K338" s="834"/>
      <c r="L338" s="834"/>
      <c r="M338" s="834"/>
      <c r="N338" s="834"/>
      <c r="O338" s="834"/>
      <c r="P338" s="834"/>
      <c r="Q338" s="834"/>
      <c r="R338" s="834"/>
      <c r="S338" s="834"/>
      <c r="T338" s="834"/>
      <c r="U338" s="834"/>
      <c r="V338" s="834"/>
      <c r="W338" s="834"/>
      <c r="X338" s="834"/>
      <c r="Y338" s="834"/>
      <c r="Z338" s="834"/>
      <c r="AA338" s="834"/>
      <c r="AB338" s="834"/>
      <c r="AC338" s="834"/>
      <c r="AD338" s="834"/>
      <c r="AE338" s="834"/>
      <c r="AF338" s="834"/>
      <c r="AG338" s="834"/>
      <c r="AH338" s="834"/>
      <c r="AJ338" s="836"/>
      <c r="AK338" s="836"/>
      <c r="AL338" s="836"/>
      <c r="AM338" s="836"/>
      <c r="AN338" s="836"/>
      <c r="AO338" s="836"/>
      <c r="AP338" s="836"/>
      <c r="AQ338" s="836"/>
      <c r="AR338" s="836"/>
      <c r="AS338" s="836"/>
      <c r="AT338" s="836"/>
      <c r="AU338" s="836"/>
      <c r="AV338" s="836"/>
      <c r="AW338" s="836"/>
      <c r="AX338" s="836"/>
      <c r="AY338" s="836"/>
      <c r="AZ338" s="836"/>
      <c r="BA338" s="836"/>
      <c r="BB338" s="836"/>
      <c r="BC338" s="836"/>
      <c r="BD338" s="836"/>
      <c r="BE338" s="836"/>
      <c r="BF338" s="836"/>
      <c r="BG338" s="836"/>
      <c r="BH338" s="836"/>
      <c r="BI338" s="836"/>
      <c r="BJ338" s="836"/>
      <c r="BK338" s="836"/>
      <c r="BL338" s="836"/>
      <c r="BM338" s="836"/>
      <c r="BN338" s="836"/>
      <c r="BO338" s="836"/>
      <c r="BP338" s="836"/>
      <c r="BR338" s="844" t="str">
        <f>IFERROR(__xludf.DUMMYFUNCTION("""COMPUTED_VALUE"""),"Wesche")</f>
        <v>Wesche</v>
      </c>
      <c r="BS338" s="838" t="str">
        <f>IFERROR(__xludf.DUMMYFUNCTION("""COMPUTED_VALUE"""),"New Guinea")</f>
        <v>New Guinea</v>
      </c>
      <c r="BT338" s="838" t="str">
        <f>IFERROR(__xludf.DUMMYFUNCTION("""COMPUTED_VALUE"""),"Mebendazole")</f>
        <v>Mebendazole</v>
      </c>
      <c r="BU338" s="838"/>
      <c r="BV338" s="838" t="str">
        <f>IFERROR(__xludf.DUMMYFUNCTION("""COMPUTED_VALUE"""),"One")</f>
        <v>One</v>
      </c>
      <c r="BW338" s="838" t="str">
        <f>IFERROR(__xludf.DUMMYFUNCTION("""COMPUTED_VALUE"""),"400 mg")</f>
        <v>400 mg</v>
      </c>
      <c r="BX338" s="838">
        <f>IFERROR(__xludf.DUMMYFUNCTION("""COMPUTED_VALUE"""),16.0)</f>
        <v>16</v>
      </c>
      <c r="BY338" s="845">
        <f>IFERROR(__xludf.DUMMYFUNCTION("""COMPUTED_VALUE"""),42595.0)</f>
        <v>42595</v>
      </c>
      <c r="BZ338" s="838">
        <f>IFERROR(__xludf.DUMMYFUNCTION("""COMPUTED_VALUE"""),1985.0)</f>
        <v>1985</v>
      </c>
      <c r="CA338" s="838"/>
      <c r="CB338" s="838"/>
      <c r="CC338" s="838" t="str">
        <f>IFERROR(__xludf.DUMMYFUNCTION("""COMPUTED_VALUE"""),"Yes")</f>
        <v>Yes</v>
      </c>
      <c r="CD338" s="846">
        <f>IFERROR(__xludf.DUMMYFUNCTION("""COMPUTED_VALUE"""),0.91)</f>
        <v>0.91</v>
      </c>
      <c r="CE338" s="838" t="str">
        <f>IFERROR(__xludf.DUMMYFUNCTION("""COMPUTED_VALUE"""),"Yes")</f>
        <v>Yes</v>
      </c>
      <c r="CF338" s="838"/>
      <c r="CG338" s="838"/>
      <c r="CH338" s="838"/>
      <c r="CI338" s="838"/>
      <c r="CJ338" s="838"/>
      <c r="CK338" s="838"/>
      <c r="CL338" s="838"/>
      <c r="CM338" s="847">
        <f>IFERROR(__xludf.DUMMYFUNCTION("""COMPUTED_VALUE"""),0.999)</f>
        <v>0.999</v>
      </c>
      <c r="CN338" s="838"/>
      <c r="CO338" s="838"/>
      <c r="CP338" s="838"/>
      <c r="CQ338" s="838"/>
      <c r="CR338" s="838"/>
      <c r="CS338" s="838" t="str">
        <f>IFERROR(__xludf.DUMMYFUNCTION("""COMPUTED_VALUE"""),"In conclusion, only the Janssen brand of mebendazole given twice daily for 3 days was of value in ‘curing’ hookworm and was,therefore, more effective overall in the treat-ment ofintestinal helminthiasis. Based on this study, the use of the Janssen formula"&amp;"tion of mebendazole would be preferable.")</f>
        <v>In conclusion, only the Janssen brand of mebendazole given twice daily for 3 days was of value in ‘curing’ hookworm and was,therefore, more effective overall in the treat-ment ofintestinal helminthiasis. Based on this study, the use of the Janssen formulation of mebendazole would be preferable.</v>
      </c>
      <c r="CT338" s="838"/>
      <c r="CU338" s="838"/>
      <c r="CV338" s="697" t="str">
        <f>IFERROR(__xludf.DUMMYFUNCTION("""COMPUTED_VALUE"""),"Wesche, D., and G. Barnish. ""A comparative study of the effectiveness of mebendazole (Janssen) and generically equivalent mebendazole (Nordia) in intestinal helminthiasis in Papua New Guinean children."" Papua and New Guinea medical journal 37.1 (1994): "&amp;"7-11.")</f>
        <v>Wesche, D., and G. Barnish. "A comparative study of the effectiveness of mebendazole (Janssen) and generically equivalent mebendazole (Nordia) in intestinal helminthiasis in Papua New Guinean children." Papua and New Guinea medical journal 37.1 (1994): 7-11.</v>
      </c>
    </row>
    <row r="339">
      <c r="A339" s="834"/>
      <c r="B339" s="834"/>
      <c r="C339" s="834"/>
      <c r="D339" s="834"/>
      <c r="E339" s="834"/>
      <c r="F339" s="834"/>
      <c r="G339" s="834"/>
      <c r="H339" s="834"/>
      <c r="I339" s="834"/>
      <c r="J339" s="834"/>
      <c r="K339" s="834"/>
      <c r="L339" s="834"/>
      <c r="M339" s="834"/>
      <c r="N339" s="834"/>
      <c r="O339" s="834"/>
      <c r="P339" s="834"/>
      <c r="Q339" s="834"/>
      <c r="R339" s="834"/>
      <c r="S339" s="834"/>
      <c r="T339" s="834"/>
      <c r="U339" s="834"/>
      <c r="V339" s="834"/>
      <c r="W339" s="834"/>
      <c r="X339" s="834"/>
      <c r="Y339" s="834"/>
      <c r="Z339" s="834"/>
      <c r="AA339" s="834"/>
      <c r="AB339" s="834"/>
      <c r="AC339" s="834"/>
      <c r="AD339" s="834"/>
      <c r="AE339" s="834"/>
      <c r="AF339" s="834"/>
      <c r="AG339" s="834"/>
      <c r="AH339" s="834"/>
      <c r="AJ339" s="836"/>
      <c r="AK339" s="836"/>
      <c r="AL339" s="836"/>
      <c r="AM339" s="836"/>
      <c r="AN339" s="836"/>
      <c r="AO339" s="836"/>
      <c r="AP339" s="836"/>
      <c r="AQ339" s="836"/>
      <c r="AR339" s="836"/>
      <c r="AS339" s="836"/>
      <c r="AT339" s="836"/>
      <c r="AU339" s="836"/>
      <c r="AV339" s="836"/>
      <c r="AW339" s="836"/>
      <c r="AX339" s="836"/>
      <c r="AY339" s="836"/>
      <c r="AZ339" s="836"/>
      <c r="BA339" s="836"/>
      <c r="BB339" s="836"/>
      <c r="BC339" s="836"/>
      <c r="BD339" s="836"/>
      <c r="BE339" s="836"/>
      <c r="BF339" s="836"/>
      <c r="BG339" s="836"/>
      <c r="BH339" s="836"/>
      <c r="BI339" s="836"/>
      <c r="BJ339" s="836"/>
      <c r="BK339" s="836"/>
      <c r="BL339" s="836"/>
      <c r="BM339" s="836"/>
      <c r="BN339" s="836"/>
      <c r="BO339" s="836"/>
      <c r="BP339" s="836"/>
      <c r="BR339" s="838" t="str">
        <f>IFERROR(__xludf.DUMMYFUNCTION("""COMPUTED_VALUE"""),"Sur D")</f>
        <v>Sur D</v>
      </c>
      <c r="BS339" s="838"/>
      <c r="BT339" s="838"/>
      <c r="BU339" s="838"/>
      <c r="BV339" s="838"/>
      <c r="BW339" s="838"/>
      <c r="BX339" s="838"/>
      <c r="BY339" s="838"/>
      <c r="BZ339" s="838"/>
      <c r="CA339" s="838"/>
      <c r="CB339" s="838"/>
      <c r="CC339" s="838"/>
      <c r="CD339" s="838"/>
      <c r="CE339" s="838"/>
      <c r="CF339" s="838"/>
      <c r="CG339" s="838"/>
      <c r="CH339" s="838"/>
      <c r="CI339" s="838"/>
      <c r="CJ339" s="838"/>
      <c r="CK339" s="838"/>
      <c r="CL339" s="838"/>
      <c r="CM339" s="838"/>
      <c r="CN339" s="838"/>
      <c r="CO339" s="838"/>
      <c r="CP339" s="838"/>
      <c r="CQ339" s="838"/>
      <c r="CR339" s="838"/>
      <c r="CS339" s="838"/>
      <c r="CT339" s="838"/>
      <c r="CU339" s="838"/>
      <c r="CV339" s="697" t="str">
        <f>IFERROR(__xludf.DUMMYFUNCTION("""COMPUTED_VALUE"""),"Sur, Dipika, et al. ""Periodic deworming with albendazole and its impact on growth status and diarrhoeal incidence among children in an urban slum of India."" Transactions of the royal society of Tropical medicine and Hygiene 99.4 (2005): 261-267.")</f>
        <v>Sur, Dipika, et al. "Periodic deworming with albendazole and its impact on growth status and diarrhoeal incidence among children in an urban slum of India." Transactions of the royal society of Tropical medicine and Hygiene 99.4 (2005): 261-267.</v>
      </c>
    </row>
    <row r="340">
      <c r="A340" s="834"/>
      <c r="B340" s="834"/>
      <c r="C340" s="834"/>
      <c r="D340" s="834"/>
      <c r="E340" s="834"/>
      <c r="F340" s="834"/>
      <c r="G340" s="834"/>
      <c r="H340" s="834"/>
      <c r="I340" s="834"/>
      <c r="J340" s="834"/>
      <c r="K340" s="834"/>
      <c r="L340" s="834"/>
      <c r="M340" s="834"/>
      <c r="N340" s="834"/>
      <c r="O340" s="834"/>
      <c r="P340" s="834"/>
      <c r="Q340" s="834"/>
      <c r="R340" s="834"/>
      <c r="S340" s="834"/>
      <c r="T340" s="834"/>
      <c r="U340" s="834"/>
      <c r="V340" s="834"/>
      <c r="W340" s="834"/>
      <c r="X340" s="834"/>
      <c r="Y340" s="834"/>
      <c r="Z340" s="834"/>
      <c r="AA340" s="834"/>
      <c r="AB340" s="834"/>
      <c r="AC340" s="834"/>
      <c r="AD340" s="834"/>
      <c r="AE340" s="834"/>
      <c r="AF340" s="834"/>
      <c r="AG340" s="834"/>
      <c r="AH340" s="834"/>
      <c r="AJ340" s="836"/>
      <c r="AK340" s="836"/>
      <c r="AL340" s="836"/>
      <c r="AM340" s="836"/>
      <c r="AN340" s="836"/>
      <c r="AO340" s="836"/>
      <c r="AP340" s="836"/>
      <c r="AQ340" s="836"/>
      <c r="AR340" s="836"/>
      <c r="AS340" s="836"/>
      <c r="AT340" s="836"/>
      <c r="AU340" s="836"/>
      <c r="AV340" s="836"/>
      <c r="AW340" s="836"/>
      <c r="AX340" s="836"/>
      <c r="AY340" s="836"/>
      <c r="AZ340" s="836"/>
      <c r="BA340" s="836"/>
      <c r="BB340" s="836"/>
      <c r="BC340" s="836"/>
      <c r="BD340" s="836"/>
      <c r="BE340" s="836"/>
      <c r="BF340" s="836"/>
      <c r="BG340" s="836"/>
      <c r="BH340" s="836"/>
      <c r="BI340" s="836"/>
      <c r="BJ340" s="836"/>
      <c r="BK340" s="836"/>
      <c r="BL340" s="836"/>
      <c r="BM340" s="836"/>
      <c r="BN340" s="836"/>
      <c r="BO340" s="836"/>
      <c r="BP340" s="836"/>
      <c r="BR340" s="838" t="str">
        <f>IFERROR(__xludf.DUMMYFUNCTION("""COMPUTED_VALUE"""),"Hoti SL")</f>
        <v>Hoti SL</v>
      </c>
      <c r="BS340" s="838"/>
      <c r="BT340" s="838"/>
      <c r="BU340" s="838"/>
      <c r="BV340" s="838"/>
      <c r="BW340" s="838"/>
      <c r="BX340" s="838"/>
      <c r="BY340" s="838"/>
      <c r="BZ340" s="838"/>
      <c r="CA340" s="838"/>
      <c r="CB340" s="838"/>
      <c r="CC340" s="838"/>
      <c r="CD340" s="838"/>
      <c r="CE340" s="838"/>
      <c r="CF340" s="838"/>
      <c r="CG340" s="838"/>
      <c r="CH340" s="838"/>
      <c r="CI340" s="838"/>
      <c r="CJ340" s="838"/>
      <c r="CK340" s="838"/>
      <c r="CL340" s="838"/>
      <c r="CM340" s="838"/>
      <c r="CN340" s="838"/>
      <c r="CO340" s="838"/>
      <c r="CP340" s="838"/>
      <c r="CQ340" s="838"/>
      <c r="CR340" s="838"/>
      <c r="CS340" s="838"/>
      <c r="CT340" s="838"/>
      <c r="CU340" s="838"/>
      <c r="CV340" s="697" t="str">
        <f>IFERROR(__xludf.DUMMYFUNCTION("""COMPUTED_VALUE"""),"Hoti, S. L., et al. ""Effect of a single dose of diethylcarbamazine, albendazole or both on the clearance of Wuchereria bancrofti microfilariae and antigenaemia among microfilaria carriers: a randomized trial."" (2010).")</f>
        <v>Hoti, S. L., et al. "Effect of a single dose of diethylcarbamazine, albendazole or both on the clearance of Wuchereria bancrofti microfilariae and antigenaemia among microfilaria carriers: a randomized trial." (2010).</v>
      </c>
    </row>
    <row r="341">
      <c r="A341" s="834"/>
      <c r="B341" s="834"/>
      <c r="C341" s="834"/>
      <c r="D341" s="834"/>
      <c r="E341" s="834"/>
      <c r="F341" s="834"/>
      <c r="G341" s="834"/>
      <c r="H341" s="834"/>
      <c r="I341" s="834"/>
      <c r="J341" s="834"/>
      <c r="K341" s="834"/>
      <c r="L341" s="834"/>
      <c r="M341" s="834"/>
      <c r="N341" s="834"/>
      <c r="O341" s="834"/>
      <c r="P341" s="834"/>
      <c r="Q341" s="834"/>
      <c r="R341" s="834"/>
      <c r="S341" s="834"/>
      <c r="T341" s="834"/>
      <c r="U341" s="834"/>
      <c r="V341" s="834"/>
      <c r="W341" s="834"/>
      <c r="X341" s="834"/>
      <c r="Y341" s="834"/>
      <c r="Z341" s="834"/>
      <c r="AA341" s="834"/>
      <c r="AB341" s="834"/>
      <c r="AC341" s="834"/>
      <c r="AD341" s="834"/>
      <c r="AE341" s="834"/>
      <c r="AF341" s="834"/>
      <c r="AG341" s="834"/>
      <c r="AH341" s="834"/>
      <c r="AJ341" s="836"/>
      <c r="AK341" s="836"/>
      <c r="AL341" s="836"/>
      <c r="AM341" s="836"/>
      <c r="AN341" s="836"/>
      <c r="AO341" s="836"/>
      <c r="AP341" s="836"/>
      <c r="AQ341" s="836"/>
      <c r="AR341" s="836"/>
      <c r="AS341" s="836"/>
      <c r="AT341" s="836"/>
      <c r="AU341" s="836"/>
      <c r="AV341" s="836"/>
      <c r="AW341" s="836"/>
      <c r="AX341" s="836"/>
      <c r="AY341" s="836"/>
      <c r="AZ341" s="836"/>
      <c r="BA341" s="836"/>
      <c r="BB341" s="836"/>
      <c r="BC341" s="836"/>
      <c r="BD341" s="836"/>
      <c r="BE341" s="836"/>
      <c r="BF341" s="836"/>
      <c r="BG341" s="836"/>
      <c r="BH341" s="836"/>
      <c r="BI341" s="836"/>
      <c r="BJ341" s="836"/>
      <c r="BK341" s="836"/>
      <c r="BL341" s="836"/>
      <c r="BM341" s="836"/>
      <c r="BN341" s="836"/>
      <c r="BO341" s="836"/>
      <c r="BP341" s="836"/>
      <c r="BR341" s="838" t="str">
        <f>IFERROR(__xludf.DUMMYFUNCTION("""COMPUTED_VALUE"""),"Datry")</f>
        <v>Datry</v>
      </c>
      <c r="BS341" s="838"/>
      <c r="BT341" s="838"/>
      <c r="BU341" s="838"/>
      <c r="BV341" s="838"/>
      <c r="BW341" s="838"/>
      <c r="BX341" s="838"/>
      <c r="BY341" s="838"/>
      <c r="BZ341" s="838"/>
      <c r="CA341" s="838"/>
      <c r="CB341" s="838"/>
      <c r="CC341" s="838"/>
      <c r="CD341" s="838"/>
      <c r="CE341" s="838"/>
      <c r="CF341" s="838"/>
      <c r="CG341" s="838"/>
      <c r="CH341" s="838"/>
      <c r="CI341" s="838"/>
      <c r="CJ341" s="838"/>
      <c r="CK341" s="838"/>
      <c r="CL341" s="838"/>
      <c r="CM341" s="838"/>
      <c r="CN341" s="838"/>
      <c r="CO341" s="838"/>
      <c r="CP341" s="838"/>
      <c r="CQ341" s="838"/>
      <c r="CR341" s="838"/>
      <c r="CS341" s="838"/>
      <c r="CT341" s="838"/>
      <c r="CU341" s="838"/>
      <c r="CV341" s="697" t="str">
        <f>IFERROR(__xludf.DUMMYFUNCTION("""COMPUTED_VALUE"""),"Datry, Annick, et al. ""Treatment of Strongyloides stercoralis infection with ivermectin compared with albendazole: results of an open study of 60 cases."" Transactions of the Royal Society of Tropical medicine and Hygiene 88.3 (1994): 344-345.")</f>
        <v>Datry, Annick, et al. "Treatment of Strongyloides stercoralis infection with ivermectin compared with albendazole: results of an open study of 60 cases." Transactions of the Royal Society of Tropical medicine and Hygiene 88.3 (1994): 344-345.</v>
      </c>
    </row>
    <row r="342">
      <c r="A342" s="834"/>
      <c r="B342" s="834"/>
      <c r="C342" s="834"/>
      <c r="D342" s="834"/>
      <c r="E342" s="834"/>
      <c r="F342" s="834"/>
      <c r="G342" s="834"/>
      <c r="H342" s="834"/>
      <c r="I342" s="834"/>
      <c r="J342" s="834"/>
      <c r="K342" s="834"/>
      <c r="L342" s="834"/>
      <c r="M342" s="834"/>
      <c r="N342" s="834"/>
      <c r="O342" s="834"/>
      <c r="P342" s="834"/>
      <c r="Q342" s="834"/>
      <c r="R342" s="834"/>
      <c r="S342" s="834"/>
      <c r="T342" s="834"/>
      <c r="U342" s="834"/>
      <c r="V342" s="834"/>
      <c r="W342" s="834"/>
      <c r="X342" s="834"/>
      <c r="Y342" s="834"/>
      <c r="Z342" s="834"/>
      <c r="AA342" s="834"/>
      <c r="AB342" s="834"/>
      <c r="AC342" s="834"/>
      <c r="AD342" s="834"/>
      <c r="AE342" s="834"/>
      <c r="AF342" s="834"/>
      <c r="AG342" s="834"/>
      <c r="AH342" s="834"/>
      <c r="AJ342" s="836"/>
      <c r="AK342" s="836"/>
      <c r="AL342" s="836"/>
      <c r="AM342" s="836"/>
      <c r="AN342" s="836"/>
      <c r="AO342" s="836"/>
      <c r="AP342" s="836"/>
      <c r="AQ342" s="836"/>
      <c r="AR342" s="836"/>
      <c r="AS342" s="836"/>
      <c r="AT342" s="836"/>
      <c r="AU342" s="836"/>
      <c r="AV342" s="836"/>
      <c r="AW342" s="836"/>
      <c r="AX342" s="836"/>
      <c r="AY342" s="836"/>
      <c r="AZ342" s="836"/>
      <c r="BA342" s="836"/>
      <c r="BB342" s="836"/>
      <c r="BC342" s="836"/>
      <c r="BD342" s="836"/>
      <c r="BE342" s="836"/>
      <c r="BF342" s="836"/>
      <c r="BG342" s="836"/>
      <c r="BH342" s="836"/>
      <c r="BI342" s="836"/>
      <c r="BJ342" s="836"/>
      <c r="BK342" s="836"/>
      <c r="BL342" s="836"/>
      <c r="BM342" s="836"/>
      <c r="BN342" s="836"/>
      <c r="BO342" s="836"/>
      <c r="BP342" s="836"/>
      <c r="BR342" s="838" t="str">
        <f>IFERROR(__xludf.DUMMYFUNCTION("""COMPUTED_VALUE"""),"Kazura")</f>
        <v>Kazura</v>
      </c>
      <c r="BS342" s="838"/>
      <c r="BT342" s="838"/>
      <c r="BU342" s="838"/>
      <c r="BV342" s="838"/>
      <c r="BW342" s="838"/>
      <c r="BX342" s="838"/>
      <c r="BY342" s="838" t="str">
        <f>IFERROR(__xludf.DUMMYFUNCTION("""COMPUTED_VALUE"""),"mean age was 64 ± 12 years.")</f>
        <v>mean age was 64 ± 12 years.</v>
      </c>
      <c r="BZ342" s="838"/>
      <c r="CA342" s="838"/>
      <c r="CB342" s="838"/>
      <c r="CC342" s="838"/>
      <c r="CD342" s="838"/>
      <c r="CE342" s="838"/>
      <c r="CF342" s="838"/>
      <c r="CG342" s="838"/>
      <c r="CH342" s="838"/>
      <c r="CI342" s="838"/>
      <c r="CJ342" s="838"/>
      <c r="CK342" s="838"/>
      <c r="CL342" s="838"/>
      <c r="CM342" s="838"/>
      <c r="CN342" s="838"/>
      <c r="CO342" s="838"/>
      <c r="CP342" s="838"/>
      <c r="CQ342" s="838"/>
      <c r="CR342" s="838"/>
      <c r="CS342" s="838"/>
      <c r="CT342" s="838"/>
      <c r="CU342" s="838"/>
      <c r="CV342" s="697" t="str">
        <f>IFERROR(__xludf.DUMMYFUNCTION("""COMPUTED_VALUE"""),"Kazura, James, et al. ""Comparison of single-dose diethylcarbamazine and ivermectin for treatment of bancroftian filariasis in Papua New Guinea."" The American journal of tropical medicine and hygiene 49.6 (1993): 804-811.")</f>
        <v>Kazura, James, et al. "Comparison of single-dose diethylcarbamazine and ivermectin for treatment of bancroftian filariasis in Papua New Guinea." The American journal of tropical medicine and hygiene 49.6 (1993): 804-811.</v>
      </c>
    </row>
    <row r="343">
      <c r="A343" s="834"/>
      <c r="B343" s="834"/>
      <c r="C343" s="834"/>
      <c r="D343" s="834"/>
      <c r="E343" s="834"/>
      <c r="F343" s="834"/>
      <c r="G343" s="834"/>
      <c r="H343" s="834"/>
      <c r="I343" s="834"/>
      <c r="J343" s="834"/>
      <c r="K343" s="834"/>
      <c r="L343" s="834"/>
      <c r="M343" s="834"/>
      <c r="N343" s="834"/>
      <c r="O343" s="834"/>
      <c r="P343" s="834"/>
      <c r="Q343" s="834"/>
      <c r="R343" s="834"/>
      <c r="S343" s="834"/>
      <c r="T343" s="834"/>
      <c r="U343" s="834"/>
      <c r="V343" s="834"/>
      <c r="W343" s="834"/>
      <c r="X343" s="834"/>
      <c r="Y343" s="834"/>
      <c r="Z343" s="834"/>
      <c r="AA343" s="834"/>
      <c r="AB343" s="834"/>
      <c r="AC343" s="834"/>
      <c r="AD343" s="834"/>
      <c r="AE343" s="834"/>
      <c r="AF343" s="834"/>
      <c r="AG343" s="834"/>
      <c r="AH343" s="834"/>
      <c r="AJ343" s="836"/>
      <c r="AK343" s="836"/>
      <c r="AL343" s="836"/>
      <c r="AM343" s="836"/>
      <c r="AN343" s="836"/>
      <c r="AO343" s="836"/>
      <c r="AP343" s="836"/>
      <c r="AQ343" s="836"/>
      <c r="AR343" s="836"/>
      <c r="AS343" s="836"/>
      <c r="AT343" s="836"/>
      <c r="AU343" s="836"/>
      <c r="AV343" s="836"/>
      <c r="AW343" s="836"/>
      <c r="AX343" s="836"/>
      <c r="AY343" s="836"/>
      <c r="AZ343" s="836"/>
      <c r="BA343" s="836"/>
      <c r="BB343" s="836"/>
      <c r="BC343" s="836"/>
      <c r="BD343" s="836"/>
      <c r="BE343" s="836"/>
      <c r="BF343" s="836"/>
      <c r="BG343" s="836"/>
      <c r="BH343" s="836"/>
      <c r="BI343" s="836"/>
      <c r="BJ343" s="836"/>
      <c r="BK343" s="836"/>
      <c r="BL343" s="836"/>
      <c r="BM343" s="836"/>
      <c r="BN343" s="836"/>
      <c r="BO343" s="836"/>
      <c r="BP343" s="836"/>
      <c r="BR343" s="838" t="str">
        <f>IFERROR(__xludf.DUMMYFUNCTION("""COMPUTED_VALUE"""),"Addiss")</f>
        <v>Addiss</v>
      </c>
      <c r="BS343" s="838"/>
      <c r="BT343" s="838"/>
      <c r="BU343" s="838"/>
      <c r="BV343" s="838"/>
      <c r="BW343" s="838"/>
      <c r="BX343" s="838"/>
      <c r="BY343" s="838"/>
      <c r="BZ343" s="838"/>
      <c r="CA343" s="838"/>
      <c r="CB343" s="838"/>
      <c r="CC343" s="838"/>
      <c r="CD343" s="838"/>
      <c r="CE343" s="838"/>
      <c r="CF343" s="838"/>
      <c r="CG343" s="838"/>
      <c r="CH343" s="838"/>
      <c r="CI343" s="838"/>
      <c r="CJ343" s="838"/>
      <c r="CK343" s="838"/>
      <c r="CL343" s="838"/>
      <c r="CM343" s="838"/>
      <c r="CN343" s="838"/>
      <c r="CO343" s="838"/>
      <c r="CP343" s="838"/>
      <c r="CQ343" s="838"/>
      <c r="CR343" s="838"/>
      <c r="CS343" s="838"/>
      <c r="CT343" s="838"/>
      <c r="CU343" s="838"/>
      <c r="CV343" s="697" t="str">
        <f>IFERROR(__xludf.DUMMYFUNCTION("""COMPUTED_VALUE"""),"Addiss, David G., et al. ""Comparative efficacy of clearing-dose and single high-dose ivermectin and diethylcarbamazine against Wuchereria bancrofti microfilaremia."" The American journal of tropical medicine and hygiene 48.2 (1993): 178-185.")</f>
        <v>Addiss, David G., et al. "Comparative efficacy of clearing-dose and single high-dose ivermectin and diethylcarbamazine against Wuchereria bancrofti microfilaremia." The American journal of tropical medicine and hygiene 48.2 (1993): 178-185.</v>
      </c>
    </row>
    <row r="344">
      <c r="A344" s="834"/>
      <c r="B344" s="834"/>
      <c r="C344" s="834"/>
      <c r="D344" s="834"/>
      <c r="E344" s="834"/>
      <c r="F344" s="834"/>
      <c r="G344" s="834"/>
      <c r="H344" s="834"/>
      <c r="I344" s="834"/>
      <c r="J344" s="834"/>
      <c r="K344" s="834"/>
      <c r="L344" s="834"/>
      <c r="M344" s="834"/>
      <c r="N344" s="834"/>
      <c r="O344" s="834"/>
      <c r="P344" s="834"/>
      <c r="Q344" s="834"/>
      <c r="R344" s="834"/>
      <c r="S344" s="834"/>
      <c r="T344" s="834"/>
      <c r="U344" s="834"/>
      <c r="V344" s="834"/>
      <c r="W344" s="834"/>
      <c r="X344" s="834"/>
      <c r="Y344" s="834"/>
      <c r="Z344" s="834"/>
      <c r="AA344" s="834"/>
      <c r="AB344" s="834"/>
      <c r="AC344" s="834"/>
      <c r="AD344" s="834"/>
      <c r="AE344" s="834"/>
      <c r="AF344" s="834"/>
      <c r="AG344" s="834"/>
      <c r="AH344" s="834"/>
      <c r="AJ344" s="836"/>
      <c r="AK344" s="836"/>
      <c r="AL344" s="836"/>
      <c r="AM344" s="836"/>
      <c r="AN344" s="836"/>
      <c r="AO344" s="836"/>
      <c r="AP344" s="836"/>
      <c r="AQ344" s="836"/>
      <c r="AR344" s="836"/>
      <c r="AS344" s="836"/>
      <c r="AT344" s="836"/>
      <c r="AU344" s="836"/>
      <c r="AV344" s="836"/>
      <c r="AW344" s="836"/>
      <c r="AX344" s="836"/>
      <c r="AY344" s="836"/>
      <c r="AZ344" s="836"/>
      <c r="BA344" s="836"/>
      <c r="BB344" s="836"/>
      <c r="BC344" s="836"/>
      <c r="BD344" s="836"/>
      <c r="BE344" s="836"/>
      <c r="BF344" s="836"/>
      <c r="BG344" s="836"/>
      <c r="BH344" s="836"/>
      <c r="BI344" s="836"/>
      <c r="BJ344" s="836"/>
      <c r="BK344" s="836"/>
      <c r="BL344" s="836"/>
      <c r="BM344" s="836"/>
      <c r="BN344" s="836"/>
      <c r="BO344" s="836"/>
      <c r="BP344" s="836"/>
      <c r="BR344" s="838" t="str">
        <f>IFERROR(__xludf.DUMMYFUNCTION("""COMPUTED_VALUE"""),"Dreyer")</f>
        <v>Dreyer</v>
      </c>
      <c r="BS344" s="838"/>
      <c r="BT344" s="838"/>
      <c r="BU344" s="838"/>
      <c r="BV344" s="838"/>
      <c r="BW344" s="838"/>
      <c r="BX344" s="838"/>
      <c r="BY344" s="838"/>
      <c r="BZ344" s="838"/>
      <c r="CA344" s="838"/>
      <c r="CB344" s="838"/>
      <c r="CC344" s="838"/>
      <c r="CD344" s="838"/>
      <c r="CE344" s="838"/>
      <c r="CF344" s="838"/>
      <c r="CG344" s="838"/>
      <c r="CH344" s="838"/>
      <c r="CI344" s="838"/>
      <c r="CJ344" s="838"/>
      <c r="CK344" s="838"/>
      <c r="CL344" s="838"/>
      <c r="CM344" s="838"/>
      <c r="CN344" s="838"/>
      <c r="CO344" s="838"/>
      <c r="CP344" s="838"/>
      <c r="CQ344" s="838"/>
      <c r="CR344" s="838"/>
      <c r="CS344" s="838"/>
      <c r="CT344" s="838"/>
      <c r="CU344" s="838"/>
      <c r="CV344" s="697" t="str">
        <f>IFERROR(__xludf.DUMMYFUNCTION("""COMPUTED_VALUE"""),"Dreyer, Gerusa, et al. ""Treatment of bancroftian filariasis in Recife, Brazil: a two-year comparative study of the efficacy of single treatments with ivermectin or diethylcarbamazine."" Transactions of the Royal Society of Tropical Medicine and Hygiene 8"&amp;"9.1 (1995): 98-102.")</f>
        <v>Dreyer, Gerusa, et al. "Treatment of bancroftian filariasis in Recife, Brazil: a two-year comparative study of the efficacy of single treatments with ivermectin or diethylcarbamazine." Transactions of the Royal Society of Tropical Medicine and Hygiene 89.1 (1995): 98-102.</v>
      </c>
    </row>
    <row r="345">
      <c r="A345" s="834"/>
      <c r="B345" s="834"/>
      <c r="C345" s="834"/>
      <c r="D345" s="834"/>
      <c r="E345" s="834"/>
      <c r="F345" s="834"/>
      <c r="G345" s="834"/>
      <c r="H345" s="834"/>
      <c r="I345" s="834"/>
      <c r="J345" s="834"/>
      <c r="K345" s="834"/>
      <c r="L345" s="834"/>
      <c r="M345" s="834"/>
      <c r="N345" s="834"/>
      <c r="O345" s="834"/>
      <c r="P345" s="834"/>
      <c r="Q345" s="834"/>
      <c r="R345" s="834"/>
      <c r="S345" s="834"/>
      <c r="T345" s="834"/>
      <c r="U345" s="834"/>
      <c r="V345" s="834"/>
      <c r="W345" s="834"/>
      <c r="X345" s="834"/>
      <c r="Y345" s="834"/>
      <c r="Z345" s="834"/>
      <c r="AA345" s="834"/>
      <c r="AB345" s="834"/>
      <c r="AC345" s="834"/>
      <c r="AD345" s="834"/>
      <c r="AE345" s="834"/>
      <c r="AF345" s="834"/>
      <c r="AG345" s="834"/>
      <c r="AH345" s="834"/>
      <c r="AJ345" s="836"/>
      <c r="AK345" s="836"/>
      <c r="AL345" s="836"/>
      <c r="AM345" s="836"/>
      <c r="AN345" s="836"/>
      <c r="AO345" s="836"/>
      <c r="AP345" s="836"/>
      <c r="AQ345" s="836"/>
      <c r="AR345" s="836"/>
      <c r="AS345" s="836"/>
      <c r="AT345" s="836"/>
      <c r="AU345" s="836"/>
      <c r="AV345" s="836"/>
      <c r="AW345" s="836"/>
      <c r="AX345" s="836"/>
      <c r="AY345" s="836"/>
      <c r="AZ345" s="836"/>
      <c r="BA345" s="836"/>
      <c r="BB345" s="836"/>
      <c r="BC345" s="836"/>
      <c r="BD345" s="836"/>
      <c r="BE345" s="836"/>
      <c r="BF345" s="836"/>
      <c r="BG345" s="836"/>
      <c r="BH345" s="836"/>
      <c r="BI345" s="836"/>
      <c r="BJ345" s="836"/>
      <c r="BK345" s="836"/>
      <c r="BL345" s="836"/>
      <c r="BM345" s="836"/>
      <c r="BN345" s="836"/>
      <c r="BO345" s="836"/>
      <c r="BP345" s="836"/>
      <c r="BR345" s="838" t="str">
        <f>IFERROR(__xludf.DUMMYFUNCTION("""COMPUTED_VALUE"""),"Ramalingam")</f>
        <v>Ramalingam</v>
      </c>
      <c r="BS345" s="838" t="str">
        <f>IFERROR(__xludf.DUMMYFUNCTION("""COMPUTED_VALUE"""),"Malaysia")</f>
        <v>Malaysia</v>
      </c>
      <c r="BT345" s="838"/>
      <c r="BU345" s="838"/>
      <c r="BV345" s="838"/>
      <c r="BW345" s="838"/>
      <c r="BX345" s="838"/>
      <c r="BY345" s="838"/>
      <c r="BZ345" s="838"/>
      <c r="CA345" s="838"/>
      <c r="CB345" s="838"/>
      <c r="CC345" s="838"/>
      <c r="CD345" s="838"/>
      <c r="CE345" s="838"/>
      <c r="CF345" s="838"/>
      <c r="CG345" s="838"/>
      <c r="CH345" s="838"/>
      <c r="CI345" s="838"/>
      <c r="CJ345" s="838"/>
      <c r="CK345" s="838"/>
      <c r="CL345" s="838"/>
      <c r="CM345" s="838"/>
      <c r="CN345" s="838"/>
      <c r="CO345" s="838"/>
      <c r="CP345" s="838"/>
      <c r="CQ345" s="838"/>
      <c r="CR345" s="838"/>
      <c r="CS345" s="838"/>
      <c r="CT345" s="838"/>
      <c r="CU345" s="838"/>
      <c r="CV345" s="697" t="str">
        <f>IFERROR(__xludf.DUMMYFUNCTION("""COMPUTED_VALUE"""),"Ramalingam, Shivaji, B. Sinniah, and Uma Krishnan. ""Albendazole, an effective single dose, broad spectrum anthelmintic drug."" The American journal of tropical medicine and hygiene 32.5 (1983): 984-989.        ")</f>
        <v>Ramalingam, Shivaji, B. Sinniah, and Uma Krishnan. "Albendazole, an effective single dose, broad spectrum anthelmintic drug." The American journal of tropical medicine and hygiene 32.5 (1983): 984-989.        </v>
      </c>
    </row>
    <row r="346">
      <c r="A346" s="834"/>
      <c r="B346" s="834"/>
      <c r="C346" s="834"/>
      <c r="D346" s="834"/>
      <c r="E346" s="834"/>
      <c r="F346" s="834"/>
      <c r="G346" s="834"/>
      <c r="H346" s="834"/>
      <c r="I346" s="834"/>
      <c r="J346" s="834"/>
      <c r="K346" s="834"/>
      <c r="L346" s="834"/>
      <c r="M346" s="834"/>
      <c r="N346" s="834"/>
      <c r="O346" s="834"/>
      <c r="P346" s="834"/>
      <c r="Q346" s="834"/>
      <c r="R346" s="834"/>
      <c r="S346" s="834"/>
      <c r="T346" s="834"/>
      <c r="U346" s="834"/>
      <c r="V346" s="834"/>
      <c r="W346" s="834"/>
      <c r="X346" s="834"/>
      <c r="Y346" s="834"/>
      <c r="Z346" s="834"/>
      <c r="AA346" s="834"/>
      <c r="AB346" s="834"/>
      <c r="AC346" s="834"/>
      <c r="AD346" s="834"/>
      <c r="AE346" s="834"/>
      <c r="AF346" s="834"/>
      <c r="AG346" s="834"/>
      <c r="AH346" s="834"/>
      <c r="AJ346" s="836"/>
      <c r="AK346" s="836"/>
      <c r="AL346" s="836"/>
      <c r="AM346" s="836"/>
      <c r="AN346" s="836"/>
      <c r="AO346" s="836"/>
      <c r="AP346" s="836"/>
      <c r="AQ346" s="836"/>
      <c r="AR346" s="836"/>
      <c r="AS346" s="836"/>
      <c r="AT346" s="836"/>
      <c r="AU346" s="836"/>
      <c r="AV346" s="836"/>
      <c r="AW346" s="836"/>
      <c r="AX346" s="836"/>
      <c r="AY346" s="836"/>
      <c r="AZ346" s="836"/>
      <c r="BA346" s="836"/>
      <c r="BB346" s="836"/>
      <c r="BC346" s="836"/>
      <c r="BD346" s="836"/>
      <c r="BE346" s="836"/>
      <c r="BF346" s="836"/>
      <c r="BG346" s="836"/>
      <c r="BH346" s="836"/>
      <c r="BI346" s="836"/>
      <c r="BJ346" s="836"/>
      <c r="BK346" s="836"/>
      <c r="BL346" s="836"/>
      <c r="BM346" s="836"/>
      <c r="BN346" s="836"/>
      <c r="BO346" s="836"/>
      <c r="BP346" s="836"/>
      <c r="BR346" s="838" t="str">
        <f>IFERROR(__xludf.DUMMYFUNCTION("""COMPUTED_VALUE"""),"Nicolas")</f>
        <v>Nicolas</v>
      </c>
      <c r="BS346" s="838"/>
      <c r="BT346" s="838"/>
      <c r="BU346" s="838"/>
      <c r="BV346" s="838"/>
      <c r="BW346" s="838"/>
      <c r="BX346" s="838"/>
      <c r="BY346" s="838"/>
      <c r="BZ346" s="838"/>
      <c r="CA346" s="838"/>
      <c r="CB346" s="838"/>
      <c r="CC346" s="838"/>
      <c r="CD346" s="838"/>
      <c r="CE346" s="838"/>
      <c r="CF346" s="838"/>
      <c r="CG346" s="838"/>
      <c r="CH346" s="838"/>
      <c r="CI346" s="838"/>
      <c r="CJ346" s="838"/>
      <c r="CK346" s="838"/>
      <c r="CL346" s="838"/>
      <c r="CM346" s="838"/>
      <c r="CN346" s="838"/>
      <c r="CO346" s="838"/>
      <c r="CP346" s="838"/>
      <c r="CQ346" s="838"/>
      <c r="CR346" s="838"/>
      <c r="CS346" s="838"/>
      <c r="CT346" s="838"/>
      <c r="CU346" s="838"/>
      <c r="CV346" s="697"/>
    </row>
    <row r="347">
      <c r="A347" s="834"/>
      <c r="B347" s="834"/>
      <c r="C347" s="834"/>
      <c r="D347" s="834"/>
      <c r="E347" s="834"/>
      <c r="F347" s="834"/>
      <c r="G347" s="834"/>
      <c r="H347" s="834"/>
      <c r="I347" s="834"/>
      <c r="J347" s="834"/>
      <c r="K347" s="834"/>
      <c r="L347" s="834"/>
      <c r="M347" s="834"/>
      <c r="N347" s="834"/>
      <c r="O347" s="834"/>
      <c r="P347" s="834"/>
      <c r="Q347" s="834"/>
      <c r="R347" s="834"/>
      <c r="S347" s="834"/>
      <c r="T347" s="834"/>
      <c r="U347" s="834"/>
      <c r="V347" s="834"/>
      <c r="W347" s="834"/>
      <c r="X347" s="834"/>
      <c r="Y347" s="834"/>
      <c r="Z347" s="834"/>
      <c r="AA347" s="834"/>
      <c r="AB347" s="834"/>
      <c r="AC347" s="834"/>
      <c r="AD347" s="834"/>
      <c r="AE347" s="834"/>
      <c r="AF347" s="834"/>
      <c r="AG347" s="834"/>
      <c r="AH347" s="834"/>
      <c r="AJ347" s="836"/>
      <c r="AK347" s="836"/>
      <c r="AL347" s="836"/>
      <c r="AM347" s="836"/>
      <c r="AN347" s="836"/>
      <c r="AO347" s="836"/>
      <c r="AP347" s="836"/>
      <c r="AQ347" s="836"/>
      <c r="AR347" s="836"/>
      <c r="AS347" s="836"/>
      <c r="AT347" s="836"/>
      <c r="AU347" s="836"/>
      <c r="AV347" s="836"/>
      <c r="AW347" s="836"/>
      <c r="AX347" s="836"/>
      <c r="AY347" s="836"/>
      <c r="AZ347" s="836"/>
      <c r="BA347" s="836"/>
      <c r="BB347" s="836"/>
      <c r="BC347" s="836"/>
      <c r="BD347" s="836"/>
      <c r="BE347" s="836"/>
      <c r="BF347" s="836"/>
      <c r="BG347" s="836"/>
      <c r="BH347" s="836"/>
      <c r="BI347" s="836"/>
      <c r="BJ347" s="836"/>
      <c r="BK347" s="836"/>
      <c r="BL347" s="836"/>
      <c r="BM347" s="836"/>
      <c r="BN347" s="836"/>
      <c r="BO347" s="836"/>
      <c r="BP347" s="836"/>
      <c r="BR347" s="838" t="str">
        <f>IFERROR(__xludf.DUMMYFUNCTION("""COMPUTED_VALUE""")," Moulia-Pelat")</f>
        <v> Moulia-Pelat</v>
      </c>
      <c r="BS347" s="838" t="str">
        <f>IFERROR(__xludf.DUMMYFUNCTION("""COMPUTED_VALUE"""),"Polynesia")</f>
        <v>Polynesia</v>
      </c>
      <c r="BT347" s="838"/>
      <c r="BU347" s="838"/>
      <c r="BV347" s="838"/>
      <c r="BW347" s="838"/>
      <c r="BX347" s="838"/>
      <c r="BY347" s="838"/>
      <c r="BZ347" s="838"/>
      <c r="CA347" s="838"/>
      <c r="CB347" s="838"/>
      <c r="CC347" s="838"/>
      <c r="CD347" s="838"/>
      <c r="CE347" s="838"/>
      <c r="CF347" s="838"/>
      <c r="CG347" s="838"/>
      <c r="CH347" s="838"/>
      <c r="CI347" s="838"/>
      <c r="CJ347" s="838"/>
      <c r="CK347" s="838"/>
      <c r="CL347" s="838"/>
      <c r="CM347" s="838"/>
      <c r="CN347" s="838"/>
      <c r="CO347" s="838"/>
      <c r="CP347" s="838"/>
      <c r="CQ347" s="838"/>
      <c r="CR347" s="838"/>
      <c r="CS347" s="838"/>
      <c r="CT347" s="838"/>
      <c r="CU347" s="838"/>
      <c r="CV347" s="697" t="str">
        <f>IFERROR(__xludf.DUMMYFUNCTION("""COMPUTED_VALUE"""),"Moulia-Pelat, J. P., et al. ""Combination ivermectin plus diethylcarbamazine, a new effective tool for control of lymphatic filariasis."" Tropical medicine and parasitology: official organ of Deutsche Tropenmedizinische Gesellschaft and of Deutsche Gesell"&amp;"schaft fur Technische Zusammenarbeit (GTZ) 46.1 (1995): 9-12.")</f>
        <v>Moulia-Pelat, J. P., et al. "Combination ivermectin plus diethylcarbamazine, a new effective tool for control of lymphatic filariasis." Tropical medicine and parasitology: official organ of Deutsche Tropenmedizinische Gesellschaft and of Deutsche Gesellschaft fur Technische Zusammenarbeit (GTZ) 46.1 (1995): 9-12.</v>
      </c>
    </row>
    <row r="348">
      <c r="A348" s="834"/>
      <c r="B348" s="834"/>
      <c r="C348" s="834"/>
      <c r="D348" s="834"/>
      <c r="E348" s="834"/>
      <c r="F348" s="834"/>
      <c r="G348" s="834"/>
      <c r="H348" s="834"/>
      <c r="I348" s="834"/>
      <c r="J348" s="834"/>
      <c r="K348" s="834"/>
      <c r="L348" s="834"/>
      <c r="M348" s="834"/>
      <c r="N348" s="834"/>
      <c r="O348" s="834"/>
      <c r="P348" s="834"/>
      <c r="Q348" s="834"/>
      <c r="R348" s="834"/>
      <c r="S348" s="834"/>
      <c r="T348" s="834"/>
      <c r="U348" s="834"/>
      <c r="V348" s="834"/>
      <c r="W348" s="834"/>
      <c r="X348" s="834"/>
      <c r="Y348" s="834"/>
      <c r="Z348" s="834"/>
      <c r="AA348" s="834"/>
      <c r="AB348" s="834"/>
      <c r="AC348" s="834"/>
      <c r="AD348" s="834"/>
      <c r="AE348" s="834"/>
      <c r="AF348" s="834"/>
      <c r="AG348" s="834"/>
      <c r="AH348" s="834"/>
      <c r="AJ348" s="836"/>
      <c r="AK348" s="836"/>
      <c r="AL348" s="836"/>
      <c r="AM348" s="836"/>
      <c r="AN348" s="836"/>
      <c r="AO348" s="836"/>
      <c r="AP348" s="836"/>
      <c r="AQ348" s="836"/>
      <c r="AR348" s="836"/>
      <c r="AS348" s="836"/>
      <c r="AT348" s="836"/>
      <c r="AU348" s="836"/>
      <c r="AV348" s="836"/>
      <c r="AW348" s="836"/>
      <c r="AX348" s="836"/>
      <c r="AY348" s="836"/>
      <c r="AZ348" s="836"/>
      <c r="BA348" s="836"/>
      <c r="BB348" s="836"/>
      <c r="BC348" s="836"/>
      <c r="BD348" s="836"/>
      <c r="BE348" s="836"/>
      <c r="BF348" s="836"/>
      <c r="BG348" s="836"/>
      <c r="BH348" s="836"/>
      <c r="BI348" s="836"/>
      <c r="BJ348" s="836"/>
      <c r="BK348" s="836"/>
      <c r="BL348" s="836"/>
      <c r="BM348" s="836"/>
      <c r="BN348" s="836"/>
      <c r="BO348" s="836"/>
      <c r="BP348" s="836"/>
      <c r="BR348" s="838" t="str">
        <f>IFERROR(__xludf.DUMMYFUNCTION("""COMPUTED_VALUE"""),"Ottesen")</f>
        <v>Ottesen</v>
      </c>
      <c r="BS348" s="838"/>
      <c r="BT348" s="838"/>
      <c r="BU348" s="838"/>
      <c r="BV348" s="838"/>
      <c r="BW348" s="838"/>
      <c r="BX348" s="838"/>
      <c r="BY348" s="838"/>
      <c r="BZ348" s="838"/>
      <c r="CA348" s="838"/>
      <c r="CB348" s="838"/>
      <c r="CC348" s="838"/>
      <c r="CD348" s="838"/>
      <c r="CE348" s="838"/>
      <c r="CF348" s="838"/>
      <c r="CG348" s="838"/>
      <c r="CH348" s="838"/>
      <c r="CI348" s="838"/>
      <c r="CJ348" s="838"/>
      <c r="CK348" s="838"/>
      <c r="CL348" s="838"/>
      <c r="CM348" s="838"/>
      <c r="CN348" s="838"/>
      <c r="CO348" s="838"/>
      <c r="CP348" s="838"/>
      <c r="CQ348" s="838"/>
      <c r="CR348" s="838"/>
      <c r="CS348" s="838"/>
      <c r="CT348" s="838"/>
      <c r="CU348" s="838"/>
      <c r="CV348" s="697" t="str">
        <f>IFERROR(__xludf.DUMMYFUNCTION("""COMPUTED_VALUE"""),"Ottesen, Eric A. ""Efficacy of diethylcarbamazine in eradicating infection with lymphatic-dwelling filariae in humans."" Review of Infectious Diseases 7.3 (1985): 341-356.")</f>
        <v>Ottesen, Eric A. "Efficacy of diethylcarbamazine in eradicating infection with lymphatic-dwelling filariae in humans." Review of Infectious Diseases 7.3 (1985): 341-356.</v>
      </c>
    </row>
    <row r="349">
      <c r="A349" s="834"/>
      <c r="B349" s="834"/>
      <c r="C349" s="834"/>
      <c r="D349" s="834"/>
      <c r="E349" s="834"/>
      <c r="F349" s="834"/>
      <c r="G349" s="834"/>
      <c r="H349" s="834"/>
      <c r="I349" s="834"/>
      <c r="J349" s="834"/>
      <c r="K349" s="834"/>
      <c r="L349" s="834"/>
      <c r="M349" s="834"/>
      <c r="N349" s="834"/>
      <c r="O349" s="834"/>
      <c r="P349" s="834"/>
      <c r="Q349" s="834"/>
      <c r="R349" s="834"/>
      <c r="S349" s="834"/>
      <c r="T349" s="834"/>
      <c r="U349" s="834"/>
      <c r="V349" s="834"/>
      <c r="W349" s="834"/>
      <c r="X349" s="834"/>
      <c r="Y349" s="834"/>
      <c r="Z349" s="834"/>
      <c r="AA349" s="834"/>
      <c r="AB349" s="834"/>
      <c r="AC349" s="834"/>
      <c r="AD349" s="834"/>
      <c r="AE349" s="834"/>
      <c r="AF349" s="834"/>
      <c r="AG349" s="834"/>
      <c r="AH349" s="834"/>
      <c r="AJ349" s="836"/>
      <c r="AK349" s="836"/>
      <c r="AL349" s="836"/>
      <c r="AM349" s="836"/>
      <c r="AN349" s="836"/>
      <c r="AO349" s="836"/>
      <c r="AP349" s="836"/>
      <c r="AQ349" s="836"/>
      <c r="AR349" s="836"/>
      <c r="AS349" s="836"/>
      <c r="AT349" s="836"/>
      <c r="AU349" s="836"/>
      <c r="AV349" s="836"/>
      <c r="AW349" s="836"/>
      <c r="AX349" s="836"/>
      <c r="AY349" s="836"/>
      <c r="AZ349" s="836"/>
      <c r="BA349" s="836"/>
      <c r="BB349" s="836"/>
      <c r="BC349" s="836"/>
      <c r="BD349" s="836"/>
      <c r="BE349" s="836"/>
      <c r="BF349" s="836"/>
      <c r="BG349" s="836"/>
      <c r="BH349" s="836"/>
      <c r="BI349" s="836"/>
      <c r="BJ349" s="836"/>
      <c r="BK349" s="836"/>
      <c r="BL349" s="836"/>
      <c r="BM349" s="836"/>
      <c r="BN349" s="836"/>
      <c r="BO349" s="836"/>
      <c r="BP349" s="836"/>
      <c r="BR349" s="838" t="str">
        <f>IFERROR(__xludf.DUMMYFUNCTION("""COMPUTED_VALUE"""),"Simonsen PE")</f>
        <v>Simonsen PE</v>
      </c>
      <c r="BS349" s="838" t="str">
        <f>IFERROR(__xludf.DUMMYFUNCTION("""COMPUTED_VALUE"""),"Tanzania")</f>
        <v>Tanzania</v>
      </c>
      <c r="BT349" s="838"/>
      <c r="BU349" s="838"/>
      <c r="BV349" s="838"/>
      <c r="BW349" s="838"/>
      <c r="BX349" s="838"/>
      <c r="BY349" s="838"/>
      <c r="BZ349" s="838"/>
      <c r="CA349" s="838"/>
      <c r="CB349" s="838"/>
      <c r="CC349" s="838"/>
      <c r="CD349" s="838"/>
      <c r="CE349" s="838"/>
      <c r="CF349" s="838"/>
      <c r="CG349" s="838"/>
      <c r="CH349" s="838"/>
      <c r="CI349" s="838"/>
      <c r="CJ349" s="838"/>
      <c r="CK349" s="838"/>
      <c r="CL349" s="838"/>
      <c r="CM349" s="838"/>
      <c r="CN349" s="838"/>
      <c r="CO349" s="838"/>
      <c r="CP349" s="838"/>
      <c r="CQ349" s="838"/>
      <c r="CR349" s="838"/>
      <c r="CS349" s="838"/>
      <c r="CT349" s="838"/>
      <c r="CU349" s="838"/>
      <c r="CV349" s="697" t="str">
        <f>IFERROR(__xludf.DUMMYFUNCTION("""COMPUTED_VALUE"""),"Simonsen, Paul E., et al. ""The effect of single dose ivermectin alone or in combination with albendazole on Wuchereria bancrofti infection in primary school children in Tanzania."" Transactions of the Royal Society of Tropical Medicine and Hygiene 98.8 ("&amp;"2004): 462-472.")</f>
        <v>Simonsen, Paul E., et al. "The effect of single dose ivermectin alone or in combination with albendazole on Wuchereria bancrofti infection in primary school children in Tanzania." Transactions of the Royal Society of Tropical Medicine and Hygiene 98.8 (2004): 462-472.</v>
      </c>
    </row>
    <row r="350">
      <c r="A350" s="834"/>
      <c r="B350" s="834"/>
      <c r="C350" s="834"/>
      <c r="D350" s="834"/>
      <c r="E350" s="834"/>
      <c r="F350" s="834"/>
      <c r="G350" s="834"/>
      <c r="H350" s="834"/>
      <c r="I350" s="834"/>
      <c r="J350" s="834"/>
      <c r="K350" s="834"/>
      <c r="L350" s="834"/>
      <c r="M350" s="834"/>
      <c r="N350" s="834"/>
      <c r="O350" s="834"/>
      <c r="P350" s="834"/>
      <c r="Q350" s="834"/>
      <c r="R350" s="834"/>
      <c r="S350" s="834"/>
      <c r="T350" s="834"/>
      <c r="U350" s="834"/>
      <c r="V350" s="834"/>
      <c r="W350" s="834"/>
      <c r="X350" s="834"/>
      <c r="Y350" s="834"/>
      <c r="Z350" s="834"/>
      <c r="AA350" s="834"/>
      <c r="AB350" s="834"/>
      <c r="AC350" s="834"/>
      <c r="AD350" s="834"/>
      <c r="AE350" s="834"/>
      <c r="AF350" s="834"/>
      <c r="AG350" s="834"/>
      <c r="AH350" s="834"/>
      <c r="AJ350" s="836"/>
      <c r="AK350" s="836"/>
      <c r="AL350" s="836"/>
      <c r="AM350" s="836"/>
      <c r="AN350" s="836"/>
      <c r="AO350" s="836"/>
      <c r="AP350" s="836"/>
      <c r="AQ350" s="836"/>
      <c r="AR350" s="836"/>
      <c r="AS350" s="836"/>
      <c r="AT350" s="836"/>
      <c r="AU350" s="836"/>
      <c r="AV350" s="836"/>
      <c r="AW350" s="836"/>
      <c r="AX350" s="836"/>
      <c r="AY350" s="836"/>
      <c r="AZ350" s="836"/>
      <c r="BA350" s="836"/>
      <c r="BB350" s="836"/>
      <c r="BC350" s="836"/>
      <c r="BD350" s="836"/>
      <c r="BE350" s="836"/>
      <c r="BF350" s="836"/>
      <c r="BG350" s="836"/>
      <c r="BH350" s="836"/>
      <c r="BI350" s="836"/>
      <c r="BJ350" s="836"/>
      <c r="BK350" s="836"/>
      <c r="BL350" s="836"/>
      <c r="BM350" s="836"/>
      <c r="BN350" s="836"/>
      <c r="BO350" s="836"/>
      <c r="BP350" s="836"/>
      <c r="BR350" s="838" t="str">
        <f>IFERROR(__xludf.DUMMYFUNCTION("""COMPUTED_VALUE"""),"Cabada")</f>
        <v>Cabada</v>
      </c>
      <c r="BS350" s="838" t="str">
        <f>IFERROR(__xludf.DUMMYFUNCTION("""COMPUTED_VALUE"""),"Peru")</f>
        <v>Peru</v>
      </c>
      <c r="BT350" s="838"/>
      <c r="BU350" s="838"/>
      <c r="BV350" s="838"/>
      <c r="BW350" s="838"/>
      <c r="BX350" s="838"/>
      <c r="BY350" s="838"/>
      <c r="BZ350" s="838"/>
      <c r="CA350" s="838"/>
      <c r="CB350" s="838"/>
      <c r="CC350" s="838"/>
      <c r="CD350" s="838"/>
      <c r="CE350" s="838"/>
      <c r="CF350" s="838"/>
      <c r="CG350" s="838"/>
      <c r="CH350" s="838"/>
      <c r="CI350" s="838"/>
      <c r="CJ350" s="838"/>
      <c r="CK350" s="838"/>
      <c r="CL350" s="838"/>
      <c r="CM350" s="838"/>
      <c r="CN350" s="838"/>
      <c r="CO350" s="838"/>
      <c r="CP350" s="838"/>
      <c r="CQ350" s="838"/>
      <c r="CR350" s="838"/>
      <c r="CS350" s="838"/>
      <c r="CT350" s="838"/>
      <c r="CU350" s="838"/>
      <c r="CV350" s="697" t="str">
        <f>IFERROR(__xludf.DUMMYFUNCTION("""COMPUTED_VALUE"""),"Cabada, Miguel M., et al. ""Prevalence of soil-transmitted helminths after mass albendazole administration in an indigenous community of the Manu jungle in Peru."" Pathogens and global health 108.4 (2014): 200-205.")</f>
        <v>Cabada, Miguel M., et al. "Prevalence of soil-transmitted helminths after mass albendazole administration in an indigenous community of the Manu jungle in Peru." Pathogens and global health 108.4 (2014): 200-205.</v>
      </c>
    </row>
    <row r="351">
      <c r="A351" s="834"/>
      <c r="B351" s="834"/>
      <c r="C351" s="834"/>
      <c r="D351" s="834"/>
      <c r="E351" s="834"/>
      <c r="F351" s="834"/>
      <c r="G351" s="834"/>
      <c r="H351" s="834"/>
      <c r="I351" s="834"/>
      <c r="J351" s="834"/>
      <c r="K351" s="834"/>
      <c r="L351" s="834"/>
      <c r="M351" s="834"/>
      <c r="N351" s="834"/>
      <c r="O351" s="834"/>
      <c r="P351" s="834"/>
      <c r="Q351" s="834"/>
      <c r="R351" s="834"/>
      <c r="S351" s="834"/>
      <c r="T351" s="834"/>
      <c r="U351" s="834"/>
      <c r="V351" s="834"/>
      <c r="W351" s="834"/>
      <c r="X351" s="834"/>
      <c r="Y351" s="834"/>
      <c r="Z351" s="834"/>
      <c r="AA351" s="834"/>
      <c r="AB351" s="834"/>
      <c r="AC351" s="834"/>
      <c r="AD351" s="834"/>
      <c r="AE351" s="834"/>
      <c r="AF351" s="834"/>
      <c r="AG351" s="834"/>
      <c r="AH351" s="834"/>
      <c r="AJ351" s="836"/>
      <c r="AK351" s="836"/>
      <c r="AL351" s="836"/>
      <c r="AM351" s="836"/>
      <c r="AN351" s="836"/>
      <c r="AO351" s="836"/>
      <c r="AP351" s="836"/>
      <c r="AQ351" s="836"/>
      <c r="AR351" s="836"/>
      <c r="AS351" s="836"/>
      <c r="AT351" s="836"/>
      <c r="AU351" s="836"/>
      <c r="AV351" s="836"/>
      <c r="AW351" s="836"/>
      <c r="AX351" s="836"/>
      <c r="AY351" s="836"/>
      <c r="AZ351" s="836"/>
      <c r="BA351" s="836"/>
      <c r="BB351" s="836"/>
      <c r="BC351" s="836"/>
      <c r="BD351" s="836"/>
      <c r="BE351" s="836"/>
      <c r="BF351" s="836"/>
      <c r="BG351" s="836"/>
      <c r="BH351" s="836"/>
      <c r="BI351" s="836"/>
      <c r="BJ351" s="836"/>
      <c r="BK351" s="836"/>
      <c r="BL351" s="836"/>
      <c r="BM351" s="836"/>
      <c r="BN351" s="836"/>
      <c r="BO351" s="836"/>
      <c r="BP351" s="836"/>
      <c r="BR351" s="838" t="str">
        <f>IFERROR(__xludf.DUMMYFUNCTION("""COMPUTED_VALUE"""),"Kimura")</f>
        <v>Kimura</v>
      </c>
      <c r="BS351" s="838" t="str">
        <f>IFERROR(__xludf.DUMMYFUNCTION("""COMPUTED_VALUE"""),"Samoa")</f>
        <v>Samoa</v>
      </c>
      <c r="BT351" s="838"/>
      <c r="BU351" s="838"/>
      <c r="BV351" s="838"/>
      <c r="BW351" s="838"/>
      <c r="BX351" s="838"/>
      <c r="BY351" s="838"/>
      <c r="BZ351" s="838"/>
      <c r="CA351" s="838"/>
      <c r="CB351" s="838"/>
      <c r="CC351" s="838"/>
      <c r="CD351" s="838"/>
      <c r="CE351" s="838"/>
      <c r="CF351" s="838"/>
      <c r="CG351" s="838"/>
      <c r="CH351" s="838"/>
      <c r="CI351" s="838"/>
      <c r="CJ351" s="838"/>
      <c r="CK351" s="838"/>
      <c r="CL351" s="838"/>
      <c r="CM351" s="838"/>
      <c r="CN351" s="838"/>
      <c r="CO351" s="838"/>
      <c r="CP351" s="838"/>
      <c r="CQ351" s="838"/>
      <c r="CR351" s="838"/>
      <c r="CS351" s="838"/>
      <c r="CT351" s="838"/>
      <c r="CU351" s="838"/>
      <c r="CV351" s="697" t="str">
        <f>IFERROR(__xludf.DUMMYFUNCTION("""COMPUTED_VALUE"""),"Kimura, E., et al. ""Long-term efficacy of single-dose mass treatment with diethylcarbamazine citrate against diurnally subperiodic Wuchereria bancrofti: eight years' experience in Samoa."" Bulletin of the World Health Organization 70.6 (1992): 769.")</f>
        <v>Kimura, E., et al. "Long-term efficacy of single-dose mass treatment with diethylcarbamazine citrate against diurnally subperiodic Wuchereria bancrofti: eight years' experience in Samoa." Bulletin of the World Health Organization 70.6 (1992): 769.</v>
      </c>
    </row>
    <row r="352">
      <c r="A352" s="834"/>
      <c r="B352" s="834"/>
      <c r="C352" s="834"/>
      <c r="D352" s="834"/>
      <c r="E352" s="834"/>
      <c r="F352" s="834"/>
      <c r="G352" s="834"/>
      <c r="H352" s="834"/>
      <c r="I352" s="834"/>
      <c r="J352" s="834"/>
      <c r="K352" s="834"/>
      <c r="L352" s="834"/>
      <c r="M352" s="834"/>
      <c r="N352" s="834"/>
      <c r="O352" s="834"/>
      <c r="P352" s="834"/>
      <c r="Q352" s="834"/>
      <c r="R352" s="834"/>
      <c r="S352" s="834"/>
      <c r="T352" s="834"/>
      <c r="U352" s="834"/>
      <c r="V352" s="834"/>
      <c r="W352" s="834"/>
      <c r="X352" s="834"/>
      <c r="Y352" s="834"/>
      <c r="Z352" s="834"/>
      <c r="AA352" s="834"/>
      <c r="AB352" s="834"/>
      <c r="AC352" s="834"/>
      <c r="AD352" s="834"/>
      <c r="AE352" s="834"/>
      <c r="AF352" s="834"/>
      <c r="AG352" s="834"/>
      <c r="AH352" s="834"/>
      <c r="AJ352" s="836"/>
      <c r="AK352" s="836"/>
      <c r="AL352" s="836"/>
      <c r="AM352" s="836"/>
      <c r="AN352" s="836"/>
      <c r="AO352" s="836"/>
      <c r="AP352" s="836"/>
      <c r="AQ352" s="836"/>
      <c r="AR352" s="836"/>
      <c r="AS352" s="836"/>
      <c r="AT352" s="836"/>
      <c r="AU352" s="836"/>
      <c r="AV352" s="836"/>
      <c r="AW352" s="836"/>
      <c r="AX352" s="836"/>
      <c r="AY352" s="836"/>
      <c r="AZ352" s="836"/>
      <c r="BA352" s="836"/>
      <c r="BB352" s="836"/>
      <c r="BC352" s="836"/>
      <c r="BD352" s="836"/>
      <c r="BE352" s="836"/>
      <c r="BF352" s="836"/>
      <c r="BG352" s="836"/>
      <c r="BH352" s="836"/>
      <c r="BI352" s="836"/>
      <c r="BJ352" s="836"/>
      <c r="BK352" s="836"/>
      <c r="BL352" s="836"/>
      <c r="BM352" s="836"/>
      <c r="BN352" s="836"/>
      <c r="BO352" s="836"/>
      <c r="BP352" s="836"/>
      <c r="BR352" s="838" t="str">
        <f>IFERROR(__xludf.DUMMYFUNCTION("""COMPUTED_VALUE"""),"Kimura")</f>
        <v>Kimura</v>
      </c>
      <c r="BS352" s="838" t="str">
        <f>IFERROR(__xludf.DUMMYFUNCTION("""COMPUTED_VALUE"""),"Samoa")</f>
        <v>Samoa</v>
      </c>
      <c r="BT352" s="838"/>
      <c r="BU352" s="838"/>
      <c r="BV352" s="838"/>
      <c r="BW352" s="838"/>
      <c r="BX352" s="838"/>
      <c r="BY352" s="838"/>
      <c r="BZ352" s="838"/>
      <c r="CA352" s="838"/>
      <c r="CB352" s="838"/>
      <c r="CC352" s="838"/>
      <c r="CD352" s="838"/>
      <c r="CE352" s="838"/>
      <c r="CF352" s="838"/>
      <c r="CG352" s="838"/>
      <c r="CH352" s="838"/>
      <c r="CI352" s="838"/>
      <c r="CJ352" s="838"/>
      <c r="CK352" s="838"/>
      <c r="CL352" s="838"/>
      <c r="CM352" s="838"/>
      <c r="CN352" s="838"/>
      <c r="CO352" s="838"/>
      <c r="CP352" s="838"/>
      <c r="CQ352" s="838"/>
      <c r="CR352" s="838"/>
      <c r="CS352" s="838"/>
      <c r="CT352" s="838"/>
      <c r="CU352" s="838"/>
      <c r="CV352" s="697" t="str">
        <f>IFERROR(__xludf.DUMMYFUNCTION("""COMPUTED_VALUE"""),"Kimura, E., L. Penaia, and G. F. S. Spears. ""The efficacy of annual single-dose treatment with diethylcarbamazine citrate against diurnally subperiodic bancroftian filariasis in Samoa."" Bulletin of the World Health Organization 63.6 (1985): 1097.")</f>
        <v>Kimura, E., L. Penaia, and G. F. S. Spears. "The efficacy of annual single-dose treatment with diethylcarbamazine citrate against diurnally subperiodic bancroftian filariasis in Samoa." Bulletin of the World Health Organization 63.6 (1985): 1097.</v>
      </c>
    </row>
    <row r="353">
      <c r="A353" s="834"/>
      <c r="B353" s="834"/>
      <c r="C353" s="834"/>
      <c r="D353" s="834"/>
      <c r="E353" s="834"/>
      <c r="F353" s="834"/>
      <c r="G353" s="834"/>
      <c r="H353" s="834"/>
      <c r="I353" s="834"/>
      <c r="J353" s="834"/>
      <c r="K353" s="834"/>
      <c r="L353" s="834"/>
      <c r="M353" s="834"/>
      <c r="N353" s="834"/>
      <c r="O353" s="834"/>
      <c r="P353" s="834"/>
      <c r="Q353" s="834"/>
      <c r="R353" s="834"/>
      <c r="S353" s="834"/>
      <c r="T353" s="834"/>
      <c r="U353" s="834"/>
      <c r="V353" s="834"/>
      <c r="W353" s="834"/>
      <c r="X353" s="834"/>
      <c r="Y353" s="834"/>
      <c r="Z353" s="834"/>
      <c r="AA353" s="834"/>
      <c r="AB353" s="834"/>
      <c r="AC353" s="834"/>
      <c r="AD353" s="834"/>
      <c r="AE353" s="834"/>
      <c r="AF353" s="834"/>
      <c r="AG353" s="834"/>
      <c r="AH353" s="834"/>
      <c r="AJ353" s="836"/>
      <c r="AK353" s="836"/>
      <c r="AL353" s="836"/>
      <c r="AM353" s="836"/>
      <c r="AN353" s="836"/>
      <c r="AO353" s="836"/>
      <c r="AP353" s="836"/>
      <c r="AQ353" s="836"/>
      <c r="AR353" s="836"/>
      <c r="AS353" s="836"/>
      <c r="AT353" s="836"/>
      <c r="AU353" s="836"/>
      <c r="AV353" s="836"/>
      <c r="AW353" s="836"/>
      <c r="AX353" s="836"/>
      <c r="AY353" s="836"/>
      <c r="AZ353" s="836"/>
      <c r="BA353" s="836"/>
      <c r="BB353" s="836"/>
      <c r="BC353" s="836"/>
      <c r="BD353" s="836"/>
      <c r="BE353" s="836"/>
      <c r="BF353" s="836"/>
      <c r="BG353" s="836"/>
      <c r="BH353" s="836"/>
      <c r="BI353" s="836"/>
      <c r="BJ353" s="836"/>
      <c r="BK353" s="836"/>
      <c r="BL353" s="836"/>
      <c r="BM353" s="836"/>
      <c r="BN353" s="836"/>
      <c r="BO353" s="836"/>
      <c r="BP353" s="836"/>
      <c r="BR353" s="838" t="str">
        <f>IFERROR(__xludf.DUMMYFUNCTION("""COMPUTED_VALUE"""),"Komora")</f>
        <v>Komora</v>
      </c>
      <c r="BS353" s="838" t="str">
        <f>IFERROR(__xludf.DUMMYFUNCTION("""COMPUTED_VALUE"""),"Sierra Leone")</f>
        <v>Sierra Leone</v>
      </c>
      <c r="BT353" s="838"/>
      <c r="BU353" s="838"/>
      <c r="BV353" s="838"/>
      <c r="BW353" s="838"/>
      <c r="BX353" s="838"/>
      <c r="BY353" s="838"/>
      <c r="BZ353" s="838"/>
      <c r="CA353" s="838"/>
      <c r="CB353" s="838"/>
      <c r="CC353" s="838"/>
      <c r="CD353" s="838"/>
      <c r="CE353" s="838"/>
      <c r="CF353" s="838"/>
      <c r="CG353" s="838"/>
      <c r="CH353" s="838"/>
      <c r="CI353" s="838"/>
      <c r="CJ353" s="838"/>
      <c r="CK353" s="838"/>
      <c r="CL353" s="838"/>
      <c r="CM353" s="838"/>
      <c r="CN353" s="838"/>
      <c r="CO353" s="838"/>
      <c r="CP353" s="838"/>
      <c r="CQ353" s="838"/>
      <c r="CR353" s="838"/>
      <c r="CS353" s="838"/>
      <c r="CT353" s="838"/>
      <c r="CU353" s="838"/>
      <c r="CV353" s="697" t="str">
        <f>IFERROR(__xludf.DUMMYFUNCTION("""COMPUTED_VALUE"""),"Koroma, M. M., et al. ""Effects of albendazole on growth of primary school children and the prevalence and intensity of soiltransmitted helminths in Sierra Leone."" Journal of tropical pediatrics 42.6 (1996): 371-372.")</f>
        <v>Koroma, M. M., et al. "Effects of albendazole on growth of primary school children and the prevalence and intensity of soiltransmitted helminths in Sierra Leone." Journal of tropical pediatrics 42.6 (1996): 371-372.</v>
      </c>
    </row>
    <row r="354">
      <c r="A354" s="834"/>
      <c r="B354" s="834"/>
      <c r="C354" s="834"/>
      <c r="D354" s="834"/>
      <c r="E354" s="834"/>
      <c r="F354" s="834"/>
      <c r="G354" s="834"/>
      <c r="H354" s="834"/>
      <c r="I354" s="834"/>
      <c r="J354" s="834"/>
      <c r="K354" s="834"/>
      <c r="L354" s="834"/>
      <c r="M354" s="834"/>
      <c r="N354" s="834"/>
      <c r="O354" s="834"/>
      <c r="P354" s="834"/>
      <c r="Q354" s="834"/>
      <c r="R354" s="834"/>
      <c r="S354" s="834"/>
      <c r="T354" s="834"/>
      <c r="U354" s="834"/>
      <c r="V354" s="834"/>
      <c r="W354" s="834"/>
      <c r="X354" s="834"/>
      <c r="Y354" s="834"/>
      <c r="Z354" s="834"/>
      <c r="AA354" s="834"/>
      <c r="AB354" s="834"/>
      <c r="AC354" s="834"/>
      <c r="AD354" s="834"/>
      <c r="AE354" s="834"/>
      <c r="AF354" s="834"/>
      <c r="AG354" s="834"/>
      <c r="AH354" s="834"/>
      <c r="AJ354" s="836"/>
      <c r="AK354" s="836"/>
      <c r="AL354" s="836"/>
      <c r="AM354" s="836"/>
      <c r="AN354" s="836"/>
      <c r="AO354" s="836"/>
      <c r="AP354" s="836"/>
      <c r="AQ354" s="836"/>
      <c r="AR354" s="836"/>
      <c r="AS354" s="836"/>
      <c r="AT354" s="836"/>
      <c r="AU354" s="836"/>
      <c r="AV354" s="836"/>
      <c r="AW354" s="836"/>
      <c r="AX354" s="836"/>
      <c r="AY354" s="836"/>
      <c r="AZ354" s="836"/>
      <c r="BA354" s="836"/>
      <c r="BB354" s="836"/>
      <c r="BC354" s="836"/>
      <c r="BD354" s="836"/>
      <c r="BE354" s="836"/>
      <c r="BF354" s="836"/>
      <c r="BG354" s="836"/>
      <c r="BH354" s="836"/>
      <c r="BI354" s="836"/>
      <c r="BJ354" s="836"/>
      <c r="BK354" s="836"/>
      <c r="BL354" s="836"/>
      <c r="BM354" s="836"/>
      <c r="BN354" s="836"/>
      <c r="BO354" s="836"/>
      <c r="BP354" s="836"/>
      <c r="BR354" s="838"/>
      <c r="BS354" s="838"/>
      <c r="BT354" s="838"/>
      <c r="BU354" s="838"/>
      <c r="BV354" s="838"/>
      <c r="BW354" s="838"/>
      <c r="BX354" s="838"/>
      <c r="BY354" s="838"/>
      <c r="BZ354" s="838"/>
      <c r="CA354" s="838"/>
      <c r="CB354" s="838"/>
      <c r="CC354" s="838"/>
      <c r="CD354" s="838"/>
      <c r="CE354" s="838"/>
      <c r="CF354" s="838"/>
      <c r="CG354" s="838"/>
      <c r="CH354" s="838"/>
      <c r="CI354" s="838"/>
      <c r="CJ354" s="838"/>
      <c r="CK354" s="838"/>
      <c r="CL354" s="838"/>
      <c r="CM354" s="838"/>
      <c r="CN354" s="838"/>
      <c r="CO354" s="838"/>
      <c r="CP354" s="838"/>
      <c r="CQ354" s="838"/>
      <c r="CR354" s="838"/>
      <c r="CS354" s="838"/>
      <c r="CT354" s="838"/>
      <c r="CU354" s="838"/>
      <c r="CV354" s="697"/>
    </row>
    <row r="355">
      <c r="A355" s="834"/>
      <c r="B355" s="834"/>
      <c r="C355" s="834"/>
      <c r="D355" s="834"/>
      <c r="E355" s="834"/>
      <c r="F355" s="834"/>
      <c r="G355" s="834"/>
      <c r="H355" s="834"/>
      <c r="I355" s="834"/>
      <c r="J355" s="834"/>
      <c r="K355" s="834"/>
      <c r="L355" s="834"/>
      <c r="M355" s="834"/>
      <c r="N355" s="834"/>
      <c r="O355" s="834"/>
      <c r="P355" s="834"/>
      <c r="Q355" s="834"/>
      <c r="R355" s="834"/>
      <c r="S355" s="834"/>
      <c r="T355" s="834"/>
      <c r="U355" s="834"/>
      <c r="V355" s="834"/>
      <c r="W355" s="834"/>
      <c r="X355" s="834"/>
      <c r="Y355" s="834"/>
      <c r="Z355" s="834"/>
      <c r="AA355" s="834"/>
      <c r="AB355" s="834"/>
      <c r="AC355" s="834"/>
      <c r="AD355" s="834"/>
      <c r="AE355" s="834"/>
      <c r="AF355" s="834"/>
      <c r="AG355" s="834"/>
      <c r="AH355" s="834"/>
      <c r="AJ355" s="836"/>
      <c r="AK355" s="836"/>
      <c r="AL355" s="836"/>
      <c r="AM355" s="836"/>
      <c r="AN355" s="836"/>
      <c r="AO355" s="836"/>
      <c r="AP355" s="836"/>
      <c r="AQ355" s="836"/>
      <c r="AR355" s="836"/>
      <c r="AS355" s="836"/>
      <c r="AT355" s="836"/>
      <c r="AU355" s="836"/>
      <c r="AV355" s="836"/>
      <c r="AW355" s="836"/>
      <c r="AX355" s="836"/>
      <c r="AY355" s="836"/>
      <c r="AZ355" s="836"/>
      <c r="BA355" s="836"/>
      <c r="BB355" s="836"/>
      <c r="BC355" s="836"/>
      <c r="BD355" s="836"/>
      <c r="BE355" s="836"/>
      <c r="BF355" s="836"/>
      <c r="BG355" s="836"/>
      <c r="BH355" s="836"/>
      <c r="BI355" s="836"/>
      <c r="BJ355" s="836"/>
      <c r="BK355" s="836"/>
      <c r="BL355" s="836"/>
      <c r="BM355" s="836"/>
      <c r="BN355" s="836"/>
      <c r="BO355" s="836"/>
      <c r="BP355" s="836"/>
      <c r="BR355" s="838"/>
      <c r="BS355" s="838"/>
      <c r="BT355" s="838"/>
      <c r="BU355" s="838"/>
      <c r="BV355" s="838"/>
      <c r="BW355" s="838"/>
      <c r="BX355" s="838"/>
      <c r="BY355" s="838"/>
      <c r="BZ355" s="838"/>
      <c r="CA355" s="838"/>
      <c r="CB355" s="838"/>
      <c r="CC355" s="838"/>
      <c r="CD355" s="838"/>
      <c r="CE355" s="838"/>
      <c r="CF355" s="838"/>
      <c r="CG355" s="838"/>
      <c r="CH355" s="838"/>
      <c r="CI355" s="838"/>
      <c r="CJ355" s="838"/>
      <c r="CK355" s="838"/>
      <c r="CL355" s="838"/>
      <c r="CM355" s="838"/>
      <c r="CN355" s="838"/>
      <c r="CO355" s="838"/>
      <c r="CP355" s="838"/>
      <c r="CQ355" s="838"/>
      <c r="CR355" s="838"/>
      <c r="CS355" s="838"/>
      <c r="CT355" s="838"/>
      <c r="CU355" s="838"/>
      <c r="CV355" s="697"/>
    </row>
    <row r="356">
      <c r="A356" s="834"/>
      <c r="B356" s="834"/>
      <c r="C356" s="834"/>
      <c r="D356" s="834"/>
      <c r="E356" s="834"/>
      <c r="F356" s="834"/>
      <c r="G356" s="834"/>
      <c r="H356" s="834"/>
      <c r="I356" s="834"/>
      <c r="J356" s="834"/>
      <c r="K356" s="834"/>
      <c r="L356" s="834"/>
      <c r="M356" s="834"/>
      <c r="N356" s="834"/>
      <c r="O356" s="834"/>
      <c r="P356" s="834"/>
      <c r="Q356" s="834"/>
      <c r="R356" s="834"/>
      <c r="S356" s="834"/>
      <c r="T356" s="834"/>
      <c r="U356" s="834"/>
      <c r="V356" s="834"/>
      <c r="W356" s="834"/>
      <c r="X356" s="834"/>
      <c r="Y356" s="834"/>
      <c r="Z356" s="834"/>
      <c r="AA356" s="834"/>
      <c r="AB356" s="834"/>
      <c r="AC356" s="834"/>
      <c r="AD356" s="834"/>
      <c r="AE356" s="834"/>
      <c r="AF356" s="834"/>
      <c r="AG356" s="834"/>
      <c r="AH356" s="834"/>
      <c r="AJ356" s="836"/>
      <c r="AK356" s="836"/>
      <c r="AL356" s="836"/>
      <c r="AM356" s="836"/>
      <c r="AN356" s="836"/>
      <c r="AO356" s="836"/>
      <c r="AP356" s="836"/>
      <c r="AQ356" s="836"/>
      <c r="AR356" s="836"/>
      <c r="AS356" s="836"/>
      <c r="AT356" s="836"/>
      <c r="AU356" s="836"/>
      <c r="AV356" s="836"/>
      <c r="AW356" s="836"/>
      <c r="AX356" s="836"/>
      <c r="AY356" s="836"/>
      <c r="AZ356" s="836"/>
      <c r="BA356" s="836"/>
      <c r="BB356" s="836"/>
      <c r="BC356" s="836"/>
      <c r="BD356" s="836"/>
      <c r="BE356" s="836"/>
      <c r="BF356" s="836"/>
      <c r="BG356" s="836"/>
      <c r="BH356" s="836"/>
      <c r="BI356" s="836"/>
      <c r="BJ356" s="836"/>
      <c r="BK356" s="836"/>
      <c r="BL356" s="836"/>
      <c r="BM356" s="836"/>
      <c r="BN356" s="836"/>
      <c r="BO356" s="836"/>
      <c r="BP356" s="836"/>
      <c r="BR356" s="838" t="str">
        <f>IFERROR(__xludf.DUMMYFUNCTION("""COMPUTED_VALUE"""),"MDA's (exclude)")</f>
        <v>MDA's (exclude)</v>
      </c>
      <c r="BS356" s="838"/>
      <c r="BT356" s="838"/>
      <c r="BU356" s="838"/>
      <c r="BV356" s="838"/>
      <c r="BW356" s="838"/>
      <c r="BX356" s="838"/>
      <c r="BY356" s="838"/>
      <c r="BZ356" s="838"/>
      <c r="CA356" s="838"/>
      <c r="CB356" s="838"/>
      <c r="CC356" s="838"/>
      <c r="CD356" s="838"/>
      <c r="CE356" s="838"/>
      <c r="CF356" s="838"/>
      <c r="CG356" s="838"/>
      <c r="CH356" s="838"/>
      <c r="CI356" s="838"/>
      <c r="CJ356" s="838"/>
      <c r="CK356" s="838"/>
      <c r="CL356" s="838"/>
      <c r="CM356" s="838"/>
      <c r="CN356" s="838"/>
      <c r="CO356" s="838"/>
      <c r="CP356" s="838"/>
      <c r="CQ356" s="838"/>
      <c r="CR356" s="838"/>
      <c r="CS356" s="838"/>
      <c r="CT356" s="838"/>
      <c r="CU356" s="838"/>
      <c r="CV356" s="697"/>
    </row>
    <row r="357">
      <c r="A357" s="834"/>
      <c r="B357" s="834"/>
      <c r="C357" s="834"/>
      <c r="D357" s="834"/>
      <c r="E357" s="834"/>
      <c r="F357" s="834"/>
      <c r="G357" s="834"/>
      <c r="H357" s="834"/>
      <c r="I357" s="834"/>
      <c r="J357" s="834"/>
      <c r="K357" s="834"/>
      <c r="L357" s="834"/>
      <c r="M357" s="834"/>
      <c r="N357" s="834"/>
      <c r="O357" s="834"/>
      <c r="P357" s="834"/>
      <c r="Q357" s="834"/>
      <c r="R357" s="834"/>
      <c r="S357" s="834"/>
      <c r="T357" s="834"/>
      <c r="U357" s="834"/>
      <c r="V357" s="834"/>
      <c r="W357" s="834"/>
      <c r="X357" s="834"/>
      <c r="Y357" s="834"/>
      <c r="Z357" s="834"/>
      <c r="AA357" s="834"/>
      <c r="AB357" s="834"/>
      <c r="AC357" s="834"/>
      <c r="AD357" s="834"/>
      <c r="AE357" s="834"/>
      <c r="AF357" s="834"/>
      <c r="AG357" s="834"/>
      <c r="AH357" s="834"/>
      <c r="AJ357" s="836"/>
      <c r="AK357" s="836"/>
      <c r="AL357" s="836"/>
      <c r="AM357" s="836"/>
      <c r="AN357" s="836"/>
      <c r="AO357" s="836"/>
      <c r="AP357" s="836"/>
      <c r="AQ357" s="836"/>
      <c r="AR357" s="836"/>
      <c r="AS357" s="836"/>
      <c r="AT357" s="836"/>
      <c r="AU357" s="836"/>
      <c r="AV357" s="836"/>
      <c r="AW357" s="836"/>
      <c r="AX357" s="836"/>
      <c r="AY357" s="836"/>
      <c r="AZ357" s="836"/>
      <c r="BA357" s="836"/>
      <c r="BB357" s="836"/>
      <c r="BC357" s="836"/>
      <c r="BD357" s="836"/>
      <c r="BE357" s="836"/>
      <c r="BF357" s="836"/>
      <c r="BG357" s="836"/>
      <c r="BH357" s="836"/>
      <c r="BI357" s="836"/>
      <c r="BJ357" s="836"/>
      <c r="BK357" s="836"/>
      <c r="BL357" s="836"/>
      <c r="BM357" s="836"/>
      <c r="BN357" s="836"/>
      <c r="BO357" s="836"/>
      <c r="BP357" s="836"/>
      <c r="BR357" s="844" t="str">
        <f>IFERROR(__xludf.DUMMYFUNCTION("""COMPUTED_VALUE"""),"Vlaminck et al.")</f>
        <v>Vlaminck et al.</v>
      </c>
      <c r="BS357" s="838" t="str">
        <f>IFERROR(__xludf.DUMMYFUNCTION("""COMPUTED_VALUE"""),"Indonesia")</f>
        <v>Indonesia</v>
      </c>
      <c r="BT357" s="838" t="str">
        <f>IFERROR(__xludf.DUMMYFUNCTION("""COMPUTED_VALUE"""),"Albendazole &amp; DiethylCarbamazine")</f>
        <v>Albendazole &amp; DiethylCarbamazine</v>
      </c>
      <c r="BU357" s="838"/>
      <c r="BV357" s="838"/>
      <c r="BW357" s="838"/>
      <c r="BX357" s="838">
        <f>IFERROR(__xludf.DUMMYFUNCTION("""COMPUTED_VALUE"""),599.0)</f>
        <v>599</v>
      </c>
      <c r="BY357" s="838"/>
      <c r="BZ357" s="838"/>
      <c r="CA357" s="838"/>
      <c r="CB357" s="838"/>
      <c r="CC357" s="838"/>
      <c r="CD357" s="838"/>
      <c r="CE357" s="838"/>
      <c r="CF357" s="838"/>
      <c r="CG357" s="838"/>
      <c r="CH357" s="838"/>
      <c r="CI357" s="838"/>
      <c r="CJ357" s="838"/>
      <c r="CK357" s="838"/>
      <c r="CL357" s="838"/>
      <c r="CM357" s="838"/>
      <c r="CN357" s="838"/>
      <c r="CO357" s="838"/>
      <c r="CP357" s="838"/>
      <c r="CQ357" s="838"/>
      <c r="CR357" s="838"/>
      <c r="CS357" s="838" t="str">
        <f>IFERROR(__xludf.DUMMYFUNCTION("""COMPUTED_VALUE"""),"IgG4 antibody levels to AsHb appear to reflect recent exposure to Ascaris. The antibody prevalence rate may be a useful indicator for Ascaris transmission intensity in communities that can be used to assess the impact of control measures on the force of t"&amp;"ransmission.
 ")</f>
        <v>IgG4 antibody levels to AsHb appear to reflect recent exposure to Ascaris. The antibody prevalence rate may be a useful indicator for Ascaris transmission intensity in communities that can be used to assess the impact of control measures on the force of transmission.
 </v>
      </c>
      <c r="CT357" s="838"/>
      <c r="CU357" s="838" t="str">
        <f>IFERROR(__xludf.DUMMYFUNCTION("""COMPUTED_VALUE"""),"x")</f>
        <v>x</v>
      </c>
      <c r="CV357" s="697" t="str">
        <f>IFERROR(__xludf.DUMMYFUNCTION("""COMPUTED_VALUE"""),"Vlaminck, Johnny, et al. ""Community rates of IgG4 antibodies to Ascaris haemoglobin reflect changes in community egg loads following mass drug administration."" PLoS Negl Trop Dis 10.3 (2016): e0004532. http://www.ncbi.nlm.nih.gov/pubmed/26991326")</f>
        <v>Vlaminck, Johnny, et al. "Community rates of IgG4 antibodies to Ascaris haemoglobin reflect changes in community egg loads following mass drug administration." PLoS Negl Trop Dis 10.3 (2016): e0004532. http://www.ncbi.nlm.nih.gov/pubmed/26991326</v>
      </c>
    </row>
    <row r="358">
      <c r="A358" s="834"/>
      <c r="B358" s="834"/>
      <c r="C358" s="834"/>
      <c r="D358" s="834"/>
      <c r="E358" s="834"/>
      <c r="F358" s="834"/>
      <c r="G358" s="834"/>
      <c r="H358" s="834"/>
      <c r="I358" s="834"/>
      <c r="J358" s="834"/>
      <c r="K358" s="834"/>
      <c r="L358" s="834"/>
      <c r="M358" s="834"/>
      <c r="N358" s="834"/>
      <c r="O358" s="834"/>
      <c r="P358" s="834"/>
      <c r="Q358" s="834"/>
      <c r="R358" s="834"/>
      <c r="S358" s="834"/>
      <c r="T358" s="834"/>
      <c r="U358" s="834"/>
      <c r="V358" s="834"/>
      <c r="W358" s="834"/>
      <c r="X358" s="834"/>
      <c r="Y358" s="834"/>
      <c r="Z358" s="834"/>
      <c r="AA358" s="834"/>
      <c r="AB358" s="834"/>
      <c r="AC358" s="834"/>
      <c r="AD358" s="834"/>
      <c r="AE358" s="834"/>
      <c r="AF358" s="834"/>
      <c r="AG358" s="834"/>
      <c r="AH358" s="834"/>
      <c r="AJ358" s="836"/>
      <c r="AK358" s="836"/>
      <c r="AL358" s="836"/>
      <c r="AM358" s="836"/>
      <c r="AN358" s="836"/>
      <c r="AO358" s="836"/>
      <c r="AP358" s="836"/>
      <c r="AQ358" s="836"/>
      <c r="AR358" s="836"/>
      <c r="AS358" s="836"/>
      <c r="AT358" s="836"/>
      <c r="AU358" s="836"/>
      <c r="AV358" s="836"/>
      <c r="AW358" s="836"/>
      <c r="AX358" s="836"/>
      <c r="AY358" s="836"/>
      <c r="AZ358" s="836"/>
      <c r="BA358" s="836"/>
      <c r="BB358" s="836"/>
      <c r="BC358" s="836"/>
      <c r="BD358" s="836"/>
      <c r="BE358" s="836"/>
      <c r="BF358" s="836"/>
      <c r="BG358" s="836"/>
      <c r="BH358" s="836"/>
      <c r="BI358" s="836"/>
      <c r="BJ358" s="836"/>
      <c r="BK358" s="836"/>
      <c r="BL358" s="836"/>
      <c r="BM358" s="836"/>
      <c r="BN358" s="836"/>
      <c r="BO358" s="836"/>
      <c r="BP358" s="836"/>
      <c r="BR358" s="838" t="str">
        <f>IFERROR(__xludf.DUMMYFUNCTION("""COMPUTED_VALUE"""),"Sunish et al.")</f>
        <v>Sunish et al.</v>
      </c>
      <c r="BS358" s="838" t="str">
        <f>IFERROR(__xludf.DUMMYFUNCTION("""COMPUTED_VALUE"""),"South India")</f>
        <v>South India</v>
      </c>
      <c r="BT358" s="838" t="str">
        <f>IFERROR(__xludf.DUMMYFUNCTION("""COMPUTED_VALUE"""),"Albendazole &amp; DiethylCarbamazine")</f>
        <v>Albendazole &amp; DiethylCarbamazine</v>
      </c>
      <c r="BU358" s="838"/>
      <c r="BV358" s="838"/>
      <c r="BW358" s="838"/>
      <c r="BX358" s="838"/>
      <c r="BY358" s="838"/>
      <c r="BZ358" s="838"/>
      <c r="CA358" s="838"/>
      <c r="CB358" s="838"/>
      <c r="CC358" s="838"/>
      <c r="CD358" s="838"/>
      <c r="CE358" s="838"/>
      <c r="CF358" s="838"/>
      <c r="CG358" s="838"/>
      <c r="CH358" s="838"/>
      <c r="CI358" s="838"/>
      <c r="CJ358" s="838"/>
      <c r="CK358" s="838"/>
      <c r="CL358" s="838"/>
      <c r="CM358" s="838"/>
      <c r="CN358" s="838"/>
      <c r="CO358" s="838"/>
      <c r="CP358" s="838"/>
      <c r="CQ358" s="838"/>
      <c r="CR358" s="838"/>
      <c r="CS358" s="838"/>
      <c r="CT358" s="838"/>
      <c r="CU358" s="838" t="str">
        <f>IFERROR(__xludf.DUMMYFUNCTION("""COMPUTED_VALUE"""),"x")</f>
        <v>x</v>
      </c>
      <c r="CV358" s="697" t="str">
        <f>IFERROR(__xludf.DUMMYFUNCTION("""COMPUTED_VALUE"""),"Sunish, I. P., et al. ""Persistence of lymphatic filarial infection in the paediatric population of rural community, after six rounds of annual mass drug administrations."" Journal of tropical pediatrics 60.3 (2014): 245-248. http://www.ncbi.nlm.nih.gov/p"&amp;"ubmed/24343822")</f>
        <v>Sunish, I. P., et al. "Persistence of lymphatic filarial infection in the paediatric population of rural community, after six rounds of annual mass drug administrations." Journal of tropical pediatrics 60.3 (2014): 245-248. http://www.ncbi.nlm.nih.gov/pubmed/24343822</v>
      </c>
    </row>
    <row r="359">
      <c r="A359" s="834"/>
      <c r="B359" s="834"/>
      <c r="C359" s="834"/>
      <c r="D359" s="834"/>
      <c r="E359" s="834"/>
      <c r="F359" s="834"/>
      <c r="G359" s="834"/>
      <c r="H359" s="834"/>
      <c r="I359" s="834"/>
      <c r="J359" s="834"/>
      <c r="K359" s="834"/>
      <c r="L359" s="834"/>
      <c r="M359" s="834"/>
      <c r="N359" s="834"/>
      <c r="O359" s="834"/>
      <c r="P359" s="834"/>
      <c r="Q359" s="834"/>
      <c r="R359" s="834"/>
      <c r="S359" s="834"/>
      <c r="T359" s="834"/>
      <c r="U359" s="834"/>
      <c r="V359" s="834"/>
      <c r="W359" s="834"/>
      <c r="X359" s="834"/>
      <c r="Y359" s="834"/>
      <c r="Z359" s="834"/>
      <c r="AA359" s="834"/>
      <c r="AB359" s="834"/>
      <c r="AC359" s="834"/>
      <c r="AD359" s="834"/>
      <c r="AE359" s="834"/>
      <c r="AF359" s="834"/>
      <c r="AG359" s="834"/>
      <c r="AH359" s="834"/>
      <c r="AJ359" s="836"/>
      <c r="AK359" s="836"/>
      <c r="AL359" s="836"/>
      <c r="AM359" s="836"/>
      <c r="AN359" s="836"/>
      <c r="AO359" s="836"/>
      <c r="AP359" s="836"/>
      <c r="AQ359" s="836"/>
      <c r="AR359" s="836"/>
      <c r="AS359" s="836"/>
      <c r="AT359" s="836"/>
      <c r="AU359" s="836"/>
      <c r="AV359" s="836"/>
      <c r="AW359" s="836"/>
      <c r="AX359" s="836"/>
      <c r="AY359" s="836"/>
      <c r="AZ359" s="836"/>
      <c r="BA359" s="836"/>
      <c r="BB359" s="836"/>
      <c r="BC359" s="836"/>
      <c r="BD359" s="836"/>
      <c r="BE359" s="836"/>
      <c r="BF359" s="836"/>
      <c r="BG359" s="836"/>
      <c r="BH359" s="836"/>
      <c r="BI359" s="836"/>
      <c r="BJ359" s="836"/>
      <c r="BK359" s="836"/>
      <c r="BL359" s="836"/>
      <c r="BM359" s="836"/>
      <c r="BN359" s="836"/>
      <c r="BO359" s="836"/>
      <c r="BP359" s="836"/>
      <c r="BR359" s="844" t="str">
        <f>IFERROR(__xludf.DUMMYFUNCTION("""COMPUTED_VALUE"""),"Supali et al.")</f>
        <v>Supali et al.</v>
      </c>
      <c r="BS359" s="838" t="str">
        <f>IFERROR(__xludf.DUMMYFUNCTION("""COMPUTED_VALUE"""),"Indonesia")</f>
        <v>Indonesia</v>
      </c>
      <c r="BT359" s="838" t="str">
        <f>IFERROR(__xludf.DUMMYFUNCTION("""COMPUTED_VALUE"""),"Albendazole &amp; DiethylCarbamazine")</f>
        <v>Albendazole &amp; DiethylCarbamazine</v>
      </c>
      <c r="BU359" s="838"/>
      <c r="BV359" s="838"/>
      <c r="BW359" s="838"/>
      <c r="BX359" s="838" t="str">
        <f>IFERROR(__xludf.DUMMYFUNCTION("""COMPUTED_VALUE"""),"600-750")</f>
        <v>600-750</v>
      </c>
      <c r="BY359" s="838" t="str">
        <f>IFERROR(__xludf.DUMMYFUNCTION("""COMPUTED_VALUE"""),"School Children and Adults")</f>
        <v>School Children and Adults</v>
      </c>
      <c r="BZ359" s="838">
        <f>IFERROR(__xludf.DUMMYFUNCTION("""COMPUTED_VALUE"""),2009.0)</f>
        <v>2009</v>
      </c>
      <c r="CA359" s="838"/>
      <c r="CB359" s="838"/>
      <c r="CC359" s="838"/>
      <c r="CD359" s="838"/>
      <c r="CE359" s="838"/>
      <c r="CF359" s="838"/>
      <c r="CG359" s="838"/>
      <c r="CH359" s="838"/>
      <c r="CI359" s="838"/>
      <c r="CJ359" s="838"/>
      <c r="CK359" s="838"/>
      <c r="CL359" s="838"/>
      <c r="CM359" s="838"/>
      <c r="CN359" s="838"/>
      <c r="CO359" s="838"/>
      <c r="CP359" s="838"/>
      <c r="CQ359" s="838"/>
      <c r="CR359" s="838"/>
      <c r="CS359" s="838" t="str">
        <f>IFERROR(__xludf.DUMMYFUNCTION("""COMPUTED_VALUE"""),"MDA with DEC/albendazole has had a major impact on B. timori MF and IgG4 antibody rates, providing a proof of principle that elimination is feasible. We also documented the value of annual DEC/albendazole as a mass de-worming intervention and the importan"&amp;"ce of continuing some form of STH control after cessation of MDA for filariasis.")</f>
        <v>MDA with DEC/albendazole has had a major impact on B. timori MF and IgG4 antibody rates, providing a proof of principle that elimination is feasible. We also documented the value of annual DEC/albendazole as a mass de-worming intervention and the importance of continuing some form of STH control after cessation of MDA for filariasis.</v>
      </c>
      <c r="CT359" s="838"/>
      <c r="CU359" s="838" t="str">
        <f>IFERROR(__xludf.DUMMYFUNCTION("""COMPUTED_VALUE"""),"x")</f>
        <v>x</v>
      </c>
      <c r="CV359" s="697" t="str">
        <f>IFERROR(__xludf.DUMMYFUNCTION("""COMPUTED_VALUE"""),"Supali, Taniawati, et al. ""Impact of six rounds of mass drug administration on Brugian filariasis and soil-transmitted helminth infections in eastern Indonesia."" PLoS Negl Trop Dis 7.12 (2013): e2586. http://www.ncbi.nlm.nih.gov/pubmed/24349595")</f>
        <v>Supali, Taniawati, et al. "Impact of six rounds of mass drug administration on Brugian filariasis and soil-transmitted helminth infections in eastern Indonesia." PLoS Negl Trop Dis 7.12 (2013): e2586. http://www.ncbi.nlm.nih.gov/pubmed/24349595</v>
      </c>
    </row>
    <row r="360">
      <c r="A360" s="834"/>
      <c r="B360" s="834"/>
      <c r="C360" s="834"/>
      <c r="D360" s="834"/>
      <c r="E360" s="834"/>
      <c r="F360" s="834"/>
      <c r="G360" s="834"/>
      <c r="H360" s="834"/>
      <c r="I360" s="834"/>
      <c r="J360" s="834"/>
      <c r="K360" s="834"/>
      <c r="L360" s="834"/>
      <c r="M360" s="834"/>
      <c r="N360" s="834"/>
      <c r="O360" s="834"/>
      <c r="P360" s="834"/>
      <c r="Q360" s="834"/>
      <c r="R360" s="834"/>
      <c r="S360" s="834"/>
      <c r="T360" s="834"/>
      <c r="U360" s="834"/>
      <c r="V360" s="834"/>
      <c r="W360" s="834"/>
      <c r="X360" s="834"/>
      <c r="Y360" s="834"/>
      <c r="Z360" s="834"/>
      <c r="AA360" s="834"/>
      <c r="AB360" s="834"/>
      <c r="AC360" s="834"/>
      <c r="AD360" s="834"/>
      <c r="AE360" s="834"/>
      <c r="AF360" s="834"/>
      <c r="AG360" s="834"/>
      <c r="AH360" s="834"/>
      <c r="AJ360" s="836"/>
      <c r="AK360" s="836"/>
      <c r="AL360" s="836"/>
      <c r="AM360" s="836"/>
      <c r="AN360" s="836"/>
      <c r="AO360" s="836"/>
      <c r="AP360" s="836"/>
      <c r="AQ360" s="836"/>
      <c r="AR360" s="836"/>
      <c r="AS360" s="836"/>
      <c r="AT360" s="836"/>
      <c r="AU360" s="836"/>
      <c r="AV360" s="836"/>
      <c r="AW360" s="836"/>
      <c r="AX360" s="836"/>
      <c r="AY360" s="836"/>
      <c r="AZ360" s="836"/>
      <c r="BA360" s="836"/>
      <c r="BB360" s="836"/>
      <c r="BC360" s="836"/>
      <c r="BD360" s="836"/>
      <c r="BE360" s="836"/>
      <c r="BF360" s="836"/>
      <c r="BG360" s="836"/>
      <c r="BH360" s="836"/>
      <c r="BI360" s="836"/>
      <c r="BJ360" s="836"/>
      <c r="BK360" s="836"/>
      <c r="BL360" s="836"/>
      <c r="BM360" s="836"/>
      <c r="BN360" s="836"/>
      <c r="BO360" s="836"/>
      <c r="BP360" s="836"/>
      <c r="BR360" s="844" t="str">
        <f>IFERROR(__xludf.DUMMYFUNCTION("""COMPUTED_VALUE"""),"Elaziz et al.")</f>
        <v>Elaziz et al.</v>
      </c>
      <c r="BS360" s="838" t="str">
        <f>IFERROR(__xludf.DUMMYFUNCTION("""COMPUTED_VALUE"""),"Egypt")</f>
        <v>Egypt</v>
      </c>
      <c r="BT360" s="838" t="str">
        <f>IFERROR(__xludf.DUMMYFUNCTION("""COMPUTED_VALUE"""),"Albendazole &amp; DiethylCarbamazine")</f>
        <v>Albendazole &amp; DiethylCarbamazine</v>
      </c>
      <c r="BU360" s="838"/>
      <c r="BV360" s="838"/>
      <c r="BW360" s="838"/>
      <c r="BX360" s="838">
        <f>IFERROR(__xludf.DUMMYFUNCTION("""COMPUTED_VALUE"""),2859.0)</f>
        <v>2859</v>
      </c>
      <c r="BY360" s="838" t="str">
        <f>IFERROR(__xludf.DUMMYFUNCTION("""COMPUTED_VALUE"""),"&lt;30 years of age")</f>
        <v>&lt;30 years of age</v>
      </c>
      <c r="BZ360" s="838">
        <f>IFERROR(__xludf.DUMMYFUNCTION("""COMPUTED_VALUE"""),2000.0)</f>
        <v>2000</v>
      </c>
      <c r="CA360" s="838" t="str">
        <f>IFERROR(__xludf.DUMMYFUNCTION("""COMPUTED_VALUE"""),"Male:1304 Female:1555")</f>
        <v>Male:1304 Female:1555</v>
      </c>
      <c r="CB360" s="838" t="str">
        <f>IFERROR(__xludf.DUMMYFUNCTION("""COMPUTED_VALUE"""),"This finding may be explained in part by our inclusion of persons who were not eligible for MDA in our compliance calculation. ")</f>
        <v>This finding may be explained in part by our inclusion of persons who were not eligible for MDA in our compliance calculation. </v>
      </c>
      <c r="CC360" s="838"/>
      <c r="CD360" s="838"/>
      <c r="CE360" s="838"/>
      <c r="CF360" s="838"/>
      <c r="CG360" s="838"/>
      <c r="CH360" s="838"/>
      <c r="CI360" s="838"/>
      <c r="CJ360" s="838"/>
      <c r="CK360" s="838"/>
      <c r="CL360" s="838"/>
      <c r="CM360" s="838"/>
      <c r="CN360" s="838"/>
      <c r="CO360" s="838"/>
      <c r="CP360" s="838"/>
      <c r="CQ360" s="838"/>
      <c r="CR360" s="838"/>
      <c r="CS360" s="838"/>
      <c r="CT360" s="838"/>
      <c r="CU360" s="838" t="str">
        <f>IFERROR(__xludf.DUMMYFUNCTION("""COMPUTED_VALUE"""),"x")</f>
        <v>x</v>
      </c>
      <c r="CV360" s="697" t="str">
        <f>IFERROR(__xludf.DUMMYFUNCTION("""COMPUTED_VALUE"""),"Elaziz, Khaled M. Abd, et al. ""Knowledge and practice related to compliance with mass drug administration during the Egyptian national filariasis elimination program."" The American journal of tropical medicine and hygiene89.2 (2013): 260-264.http://www."&amp;"ncbi.nlm.nih.gov/pubmed/23751402
")</f>
        <v>Elaziz, Khaled M. Abd, et al. "Knowledge and practice related to compliance with mass drug administration during the Egyptian national filariasis elimination program." The American journal of tropical medicine and hygiene89.2 (2013): 260-264.http://www.ncbi.nlm.nih.gov/pubmed/23751402
</v>
      </c>
    </row>
    <row r="361">
      <c r="A361" s="834"/>
      <c r="B361" s="834"/>
      <c r="C361" s="834"/>
      <c r="D361" s="834"/>
      <c r="E361" s="834"/>
      <c r="F361" s="834"/>
      <c r="G361" s="834"/>
      <c r="H361" s="834"/>
      <c r="I361" s="834"/>
      <c r="J361" s="834"/>
      <c r="K361" s="834"/>
      <c r="L361" s="834"/>
      <c r="M361" s="834"/>
      <c r="N361" s="834"/>
      <c r="O361" s="834"/>
      <c r="P361" s="834"/>
      <c r="Q361" s="834"/>
      <c r="R361" s="834"/>
      <c r="S361" s="834"/>
      <c r="T361" s="834"/>
      <c r="U361" s="834"/>
      <c r="V361" s="834"/>
      <c r="W361" s="834"/>
      <c r="X361" s="834"/>
      <c r="Y361" s="834"/>
      <c r="Z361" s="834"/>
      <c r="AA361" s="834"/>
      <c r="AB361" s="834"/>
      <c r="AC361" s="834"/>
      <c r="AD361" s="834"/>
      <c r="AE361" s="834"/>
      <c r="AF361" s="834"/>
      <c r="AG361" s="834"/>
      <c r="AH361" s="834"/>
      <c r="AJ361" s="836"/>
      <c r="AK361" s="836"/>
      <c r="AL361" s="836"/>
      <c r="AM361" s="836"/>
      <c r="AN361" s="836"/>
      <c r="AO361" s="836"/>
      <c r="AP361" s="836"/>
      <c r="AQ361" s="836"/>
      <c r="AR361" s="836"/>
      <c r="AS361" s="836"/>
      <c r="AT361" s="836"/>
      <c r="AU361" s="836"/>
      <c r="AV361" s="836"/>
      <c r="AW361" s="836"/>
      <c r="AX361" s="836"/>
      <c r="AY361" s="836"/>
      <c r="AZ361" s="836"/>
      <c r="BA361" s="836"/>
      <c r="BB361" s="836"/>
      <c r="BC361" s="836"/>
      <c r="BD361" s="836"/>
      <c r="BE361" s="836"/>
      <c r="BF361" s="836"/>
      <c r="BG361" s="836"/>
      <c r="BH361" s="836"/>
      <c r="BI361" s="836"/>
      <c r="BJ361" s="836"/>
      <c r="BK361" s="836"/>
      <c r="BL361" s="836"/>
      <c r="BM361" s="836"/>
      <c r="BN361" s="836"/>
      <c r="BO361" s="836"/>
      <c r="BP361" s="836"/>
      <c r="BR361" s="844" t="str">
        <f>IFERROR(__xludf.DUMMYFUNCTION("""COMPUTED_VALUE"""),"Sunish et al.")</f>
        <v>Sunish et al.</v>
      </c>
      <c r="BS361" s="838" t="str">
        <f>IFERROR(__xludf.DUMMYFUNCTION("""COMPUTED_VALUE"""),"Andaman and Nicobar islands")</f>
        <v>Andaman and Nicobar islands</v>
      </c>
      <c r="BT361" s="838" t="str">
        <f>IFERROR(__xludf.DUMMYFUNCTION("""COMPUTED_VALUE"""),"Albendazole &amp; DiethylCarbamazine")</f>
        <v>Albendazole &amp; DiethylCarbamazine</v>
      </c>
      <c r="BU361" s="838"/>
      <c r="BV361" s="838"/>
      <c r="BW361" s="838"/>
      <c r="BX361" s="838">
        <f>IFERROR(__xludf.DUMMYFUNCTION("""COMPUTED_VALUE"""),2732.0)</f>
        <v>2732</v>
      </c>
      <c r="BY361" s="838" t="str">
        <f>IFERROR(__xludf.DUMMYFUNCTION("""COMPUTED_VALUE"""),"Adult and Children above 2")</f>
        <v>Adult and Children above 2</v>
      </c>
      <c r="BZ361" s="838">
        <f>IFERROR(__xludf.DUMMYFUNCTION("""COMPUTED_VALUE"""),2004.0)</f>
        <v>2004</v>
      </c>
      <c r="CA361" s="838"/>
      <c r="CB361" s="838"/>
      <c r="CC361" s="838"/>
      <c r="CD361" s="838"/>
      <c r="CE361" s="838"/>
      <c r="CF361" s="838"/>
      <c r="CG361" s="838"/>
      <c r="CH361" s="838"/>
      <c r="CI361" s="838"/>
      <c r="CJ361" s="838"/>
      <c r="CK361" s="838"/>
      <c r="CL361" s="838"/>
      <c r="CM361" s="838"/>
      <c r="CN361" s="838"/>
      <c r="CO361" s="838"/>
      <c r="CP361" s="838"/>
      <c r="CQ361" s="838"/>
      <c r="CR361" s="838"/>
      <c r="CS361" s="838" t="str">
        <f>IFERROR(__xludf.DUMMYFUNCTION("""COMPUTED_VALUE"""),"After eight rounds of MDA, the prevalence of DspWb infec- tion in the lone foci of the Nancowry islands reduced signifi- cantly (11% to 3%). However, efforts should be made to increase the drug coverage. In our study, 95.3% of the respondents reported the"&amp;" drug distributor as the source of the MDA message: Ashwini et al.9 and Mukhopadhyay et al.10 reported 31.7% and 77.8%, respectively. The role of this group is important and should, therefore, be included in programmes for the education of communities at "&amp;"risk of acquiring filarial infection. Improved drug compliance,
motivating drug distributors and community awareness would eliminate this lone focus of diurnal sub-periodic form of LF in India.")</f>
        <v>After eight rounds of MDA, the prevalence of DspWb infec- tion in the lone foci of the Nancowry islands reduced signifi- cantly (11% to 3%). However, efforts should be made to increase the drug coverage. In our study, 95.3% of the respondents reported the drug distributor as the source of the MDA message: Ashwini et al.9 and Mukhopadhyay et al.10 reported 31.7% and 77.8%, respectively. The role of this group is important and should, therefore, be included in programmes for the education of communities at risk of acquiring filarial infection. Improved drug compliance,
motivating drug distributors and community awareness would eliminate this lone focus of diurnal sub-periodic form of LF in India.</v>
      </c>
      <c r="CT361" s="838"/>
      <c r="CU361" s="838" t="str">
        <f>IFERROR(__xludf.DUMMYFUNCTION("""COMPUTED_VALUE"""),"x")</f>
        <v>x</v>
      </c>
      <c r="CV361" s="697" t="str">
        <f>IFERROR(__xludf.DUMMYFUNCTION("""COMPUTED_VALUE"""),"Sunish, I. P., et al. ""Lymphatic filariasis elimination programme in Andaman and Nicobar Islands, India: drug coverage and compliance post eight rounds of MDA."" Tropical doctor 43.1 (2013): 30-32. http://www.ncbi.nlm.nih.gov/pubmed/23550201")</f>
        <v>Sunish, I. P., et al. "Lymphatic filariasis elimination programme in Andaman and Nicobar Islands, India: drug coverage and compliance post eight rounds of MDA." Tropical doctor 43.1 (2013): 30-32. http://www.ncbi.nlm.nih.gov/pubmed/23550201</v>
      </c>
    </row>
    <row r="362">
      <c r="A362" s="834"/>
      <c r="B362" s="834"/>
      <c r="C362" s="834"/>
      <c r="D362" s="834"/>
      <c r="E362" s="834"/>
      <c r="F362" s="834"/>
      <c r="G362" s="834"/>
      <c r="H362" s="834"/>
      <c r="I362" s="834"/>
      <c r="J362" s="834"/>
      <c r="K362" s="834"/>
      <c r="L362" s="834"/>
      <c r="M362" s="834"/>
      <c r="N362" s="834"/>
      <c r="O362" s="834"/>
      <c r="P362" s="834"/>
      <c r="Q362" s="834"/>
      <c r="R362" s="834"/>
      <c r="S362" s="834"/>
      <c r="T362" s="834"/>
      <c r="U362" s="834"/>
      <c r="V362" s="834"/>
      <c r="W362" s="834"/>
      <c r="X362" s="834"/>
      <c r="Y362" s="834"/>
      <c r="Z362" s="834"/>
      <c r="AA362" s="834"/>
      <c r="AB362" s="834"/>
      <c r="AC362" s="834"/>
      <c r="AD362" s="834"/>
      <c r="AE362" s="834"/>
      <c r="AF362" s="834"/>
      <c r="AG362" s="834"/>
      <c r="AH362" s="834"/>
      <c r="AJ362" s="836"/>
      <c r="AK362" s="836"/>
      <c r="AL362" s="836"/>
      <c r="AM362" s="836"/>
      <c r="AN362" s="836"/>
      <c r="AO362" s="836"/>
      <c r="AP362" s="836"/>
      <c r="AQ362" s="836"/>
      <c r="AR362" s="836"/>
      <c r="AS362" s="836"/>
      <c r="AT362" s="836"/>
      <c r="AU362" s="836"/>
      <c r="AV362" s="836"/>
      <c r="AW362" s="836"/>
      <c r="AX362" s="836"/>
      <c r="AY362" s="836"/>
      <c r="AZ362" s="836"/>
      <c r="BA362" s="836"/>
      <c r="BB362" s="836"/>
      <c r="BC362" s="836"/>
      <c r="BD362" s="836"/>
      <c r="BE362" s="836"/>
      <c r="BF362" s="836"/>
      <c r="BG362" s="836"/>
      <c r="BH362" s="836"/>
      <c r="BI362" s="836"/>
      <c r="BJ362" s="836"/>
      <c r="BK362" s="836"/>
      <c r="BL362" s="836"/>
      <c r="BM362" s="836"/>
      <c r="BN362" s="836"/>
      <c r="BO362" s="836"/>
      <c r="BP362" s="836"/>
      <c r="BR362" s="844" t="str">
        <f>IFERROR(__xludf.DUMMYFUNCTION("""COMPUTED_VALUE"""),"De Kraker et al.")</f>
        <v>De Kraker et al.</v>
      </c>
      <c r="BS362" s="838" t="str">
        <f>IFERROR(__xludf.DUMMYFUNCTION("""COMPUTED_VALUE"""),"India, Sri Lanka and Egypt ")</f>
        <v>India, Sri Lanka and Egypt </v>
      </c>
      <c r="BT362" s="838" t="str">
        <f>IFERROR(__xludf.DUMMYFUNCTION("""COMPUTED_VALUE"""),"Albendazole &amp; DiethylCarbamazine")</f>
        <v>Albendazole &amp; DiethylCarbamazine</v>
      </c>
      <c r="BU362" s="838"/>
      <c r="BV362" s="838"/>
      <c r="BW362" s="838"/>
      <c r="BX362" s="838">
        <f>IFERROR(__xludf.DUMMYFUNCTION("""COMPUTED_VALUE"""),105.0)</f>
        <v>105</v>
      </c>
      <c r="BY362" s="838" t="str">
        <f>IFERROR(__xludf.DUMMYFUNCTION("""COMPUTED_VALUE"""),"10-58")</f>
        <v>10-58</v>
      </c>
      <c r="BZ362" s="838">
        <f>IFERROR(__xludf.DUMMYFUNCTION("""COMPUTED_VALUE"""),2005.0)</f>
        <v>2005</v>
      </c>
      <c r="CA362" s="838"/>
      <c r="CB362" s="838"/>
      <c r="CC362" s="838"/>
      <c r="CD362" s="838"/>
      <c r="CE362" s="838"/>
      <c r="CF362" s="838"/>
      <c r="CG362" s="838"/>
      <c r="CH362" s="838"/>
      <c r="CI362" s="838"/>
      <c r="CJ362" s="838"/>
      <c r="CK362" s="838"/>
      <c r="CL362" s="838"/>
      <c r="CM362" s="838"/>
      <c r="CN362" s="838"/>
      <c r="CO362" s="838"/>
      <c r="CP362" s="838"/>
      <c r="CQ362" s="838"/>
      <c r="CR362" s="838"/>
      <c r="CS362" s="838" t="str">
        <f>IFERROR(__xludf.DUMMYFUNCTION("""COMPUTED_VALUE"""),"In conclusion, treatment with combinations of IVM– ALB or DEC–ALB results in a strong reduction in mf density for long periods. The estimated mf loss and worm- productivity loss after treatment with either of the combi- nations were very high, even if unc"&amp;"ertainties and possible overestimation of the effect because of the use of geometric means are taken into account. Applied in yearly MDA, these drug combinations can have a strong impact on lymphatic filariasis transmission, provided that coverage and com"&amp;"pliance are sufficiently high.")</f>
        <v>In conclusion, treatment with combinations of IVM– ALB or DEC–ALB results in a strong reduction in mf density for long periods. The estimated mf loss and worm- productivity loss after treatment with either of the combi- nations were very high, even if uncertainties and possible overestimation of the effect because of the use of geometric means are taken into account. Applied in yearly MDA, these drug combinations can have a strong impact on lymphatic filariasis transmission, provided that coverage and compliance are sufficiently high.</v>
      </c>
      <c r="CT362" s="838"/>
      <c r="CU362" s="838" t="str">
        <f>IFERROR(__xludf.DUMMYFUNCTION("""COMPUTED_VALUE"""),"x")</f>
        <v>x</v>
      </c>
      <c r="CV362" s="697" t="str">
        <f>IFERROR(__xludf.DUMMYFUNCTION("""COMPUTED_VALUE"""),"De Kraker, Marlieke EA, et al. ""Model‐based analysis of trial data: microfilaria and worm‐productivity loss after diethylcarbamazine–albendazole or ivermectin–albendazole combination therapy against Wuchereria bancrofti."" Tropical Medicine &amp; Internation"&amp;"al Health 11.5 (2006): 718-728.http://onlinelibrary.wiley.com/doi/10.1111/j.1365-3156.2006.01606.x/full")</f>
        <v>De Kraker, Marlieke EA, et al. "Model‐based analysis of trial data: microfilaria and worm‐productivity loss after diethylcarbamazine–albendazole or ivermectin–albendazole combination therapy against Wuchereria bancrofti." Tropical Medicine &amp; International Health 11.5 (2006): 718-728.http://onlinelibrary.wiley.com/doi/10.1111/j.1365-3156.2006.01606.x/full</v>
      </c>
    </row>
    <row r="363">
      <c r="A363" s="834"/>
      <c r="B363" s="834"/>
      <c r="C363" s="834"/>
      <c r="D363" s="834"/>
      <c r="E363" s="834"/>
      <c r="F363" s="834"/>
      <c r="G363" s="834"/>
      <c r="H363" s="834"/>
      <c r="I363" s="834"/>
      <c r="J363" s="834"/>
      <c r="K363" s="834"/>
      <c r="L363" s="834"/>
      <c r="M363" s="834"/>
      <c r="N363" s="834"/>
      <c r="O363" s="834"/>
      <c r="P363" s="834"/>
      <c r="Q363" s="834"/>
      <c r="R363" s="834"/>
      <c r="S363" s="834"/>
      <c r="T363" s="834"/>
      <c r="U363" s="834"/>
      <c r="V363" s="834"/>
      <c r="W363" s="834"/>
      <c r="X363" s="834"/>
      <c r="Y363" s="834"/>
      <c r="Z363" s="834"/>
      <c r="AA363" s="834"/>
      <c r="AB363" s="834"/>
      <c r="AC363" s="834"/>
      <c r="AD363" s="834"/>
      <c r="AE363" s="834"/>
      <c r="AF363" s="834"/>
      <c r="AG363" s="834"/>
      <c r="AH363" s="834"/>
      <c r="AJ363" s="836"/>
      <c r="AK363" s="836"/>
      <c r="AL363" s="836"/>
      <c r="AM363" s="836"/>
      <c r="AN363" s="836"/>
      <c r="AO363" s="836"/>
      <c r="AP363" s="836"/>
      <c r="AQ363" s="836"/>
      <c r="AR363" s="836"/>
      <c r="AS363" s="836"/>
      <c r="AT363" s="836"/>
      <c r="AU363" s="836"/>
      <c r="AV363" s="836"/>
      <c r="AW363" s="836"/>
      <c r="AX363" s="836"/>
      <c r="AY363" s="836"/>
      <c r="AZ363" s="836"/>
      <c r="BA363" s="836"/>
      <c r="BB363" s="836"/>
      <c r="BC363" s="836"/>
      <c r="BD363" s="836"/>
      <c r="BE363" s="836"/>
      <c r="BF363" s="836"/>
      <c r="BG363" s="836"/>
      <c r="BH363" s="836"/>
      <c r="BI363" s="836"/>
      <c r="BJ363" s="836"/>
      <c r="BK363" s="836"/>
      <c r="BL363" s="836"/>
      <c r="BM363" s="836"/>
      <c r="BN363" s="836"/>
      <c r="BO363" s="836"/>
      <c r="BP363" s="836"/>
      <c r="BR363" s="844" t="str">
        <f>IFERROR(__xludf.DUMMYFUNCTION("""COMPUTED_VALUE"""),"Yahathugoda")</f>
        <v>Yahathugoda</v>
      </c>
      <c r="BS363" s="838" t="str">
        <f>IFERROR(__xludf.DUMMYFUNCTION("""COMPUTED_VALUE"""),"Sri Lanka")</f>
        <v>Sri Lanka</v>
      </c>
      <c r="BT363" s="838" t="str">
        <f>IFERROR(__xludf.DUMMYFUNCTION("""COMPUTED_VALUE"""),"Albendazole &amp; DiethylCarbamazine")</f>
        <v>Albendazole &amp; DiethylCarbamazine</v>
      </c>
      <c r="BU363" s="838"/>
      <c r="BV363" s="838"/>
      <c r="BW363" s="838"/>
      <c r="BX363" s="838">
        <f>IFERROR(__xludf.DUMMYFUNCTION("""COMPUTED_VALUE"""),852.0)</f>
        <v>852</v>
      </c>
      <c r="BY363" s="838" t="str">
        <f>IFERROR(__xludf.DUMMYFUNCTION("""COMPUTED_VALUE"""),"median 35")</f>
        <v>median 35</v>
      </c>
      <c r="BZ363" s="838">
        <f>IFERROR(__xludf.DUMMYFUNCTION("""COMPUTED_VALUE"""),2000.0)</f>
        <v>2000</v>
      </c>
      <c r="CA363" s="838" t="str">
        <f>IFERROR(__xludf.DUMMYFUNCTION("""COMPUTED_VALUE"""),"Male: 43% Female: 57%")</f>
        <v>Male: 43% Female: 57%</v>
      </c>
      <c r="CB363" s="838"/>
      <c r="CC363" s="838" t="str">
        <f>IFERROR(__xludf.DUMMYFUNCTION("""COMPUTED_VALUE"""),"No")</f>
        <v>No</v>
      </c>
      <c r="CD363" s="838"/>
      <c r="CE363" s="838"/>
      <c r="CF363" s="838"/>
      <c r="CG363" s="838"/>
      <c r="CH363" s="838"/>
      <c r="CI363" s="838"/>
      <c r="CJ363" s="838"/>
      <c r="CK363" s="838"/>
      <c r="CL363" s="838"/>
      <c r="CM363" s="838"/>
      <c r="CN363" s="838"/>
      <c r="CO363" s="838"/>
      <c r="CP363" s="838"/>
      <c r="CQ363" s="838"/>
      <c r="CR363" s="838"/>
      <c r="CS363" s="838" t="str">
        <f>IFERROR(__xludf.DUMMYFUNCTION("""COMPUTED_VALUE"""),"
Results from this study support the idea of using the FTS instead of the Card Test in LF elimination pro- grams. The smaller blood requirement (75 μl), lower cost, and longer shelf life of the FTS also favor the switch. It would be helpful if the FTS kit"&amp;"s could be modified to make them more user-friendly. As with any new point of care test, technicians should be provided with training and practical experience performing the test before it is deployed in national surveys. Special training materials might "&amp;"help to ease the transition from the Card Test to the FTS.")</f>
        <v>
Results from this study support the idea of using the FTS instead of the Card Test in LF elimination pro- grams. The smaller blood requirement (75 μl), lower cost, and longer shelf life of the FTS also favor the switch. It would be helpful if the FTS kits could be modified to make them more user-friendly. As with any new point of care test, technicians should be provided with training and practical experience performing the test before it is deployed in national surveys. Special training materials might help to ease the transition from the Card Test to the FTS.</v>
      </c>
      <c r="CT363" s="838"/>
      <c r="CU363" s="838" t="str">
        <f>IFERROR(__xludf.DUMMYFUNCTION("""COMPUTED_VALUE"""),"x")</f>
        <v>x</v>
      </c>
      <c r="CV363" s="697" t="str">
        <f>IFERROR(__xludf.DUMMYFUNCTION("""COMPUTED_VALUE"""),"Yahathugoda, Thishan C., et al. ""A comparison of two tests for filarial antigenemia in areas in Sri Lanka and Indonesia with low-level persistence of lymphatic filariasis following mass drug administration."" Parasites &amp; vectors8.1 (2015): 1.")</f>
        <v>Yahathugoda, Thishan C., et al. "A comparison of two tests for filarial antigenemia in areas in Sri Lanka and Indonesia with low-level persistence of lymphatic filariasis following mass drug administration." Parasites &amp; vectors8.1 (2015): 1.</v>
      </c>
    </row>
    <row r="364">
      <c r="A364" s="834"/>
      <c r="B364" s="834"/>
      <c r="C364" s="834"/>
      <c r="D364" s="834"/>
      <c r="E364" s="834"/>
      <c r="F364" s="834"/>
      <c r="G364" s="834"/>
      <c r="H364" s="834"/>
      <c r="I364" s="834"/>
      <c r="J364" s="834"/>
      <c r="K364" s="834"/>
      <c r="L364" s="834"/>
      <c r="M364" s="834"/>
      <c r="N364" s="834"/>
      <c r="O364" s="834"/>
      <c r="P364" s="834"/>
      <c r="Q364" s="834"/>
      <c r="R364" s="834"/>
      <c r="S364" s="834"/>
      <c r="T364" s="834"/>
      <c r="U364" s="834"/>
      <c r="V364" s="834"/>
      <c r="W364" s="834"/>
      <c r="X364" s="834"/>
      <c r="Y364" s="834"/>
      <c r="Z364" s="834"/>
      <c r="AA364" s="834"/>
      <c r="AB364" s="834"/>
      <c r="AC364" s="834"/>
      <c r="AD364" s="834"/>
      <c r="AE364" s="834"/>
      <c r="AF364" s="834"/>
      <c r="AG364" s="834"/>
      <c r="AH364" s="834"/>
      <c r="AJ364" s="836"/>
      <c r="AK364" s="836"/>
      <c r="AL364" s="836"/>
      <c r="AM364" s="836"/>
      <c r="AN364" s="836"/>
      <c r="AO364" s="836"/>
      <c r="AP364" s="836"/>
      <c r="AQ364" s="836"/>
      <c r="AR364" s="836"/>
      <c r="AS364" s="836"/>
      <c r="AT364" s="836"/>
      <c r="AU364" s="836"/>
      <c r="AV364" s="836"/>
      <c r="AW364" s="836"/>
      <c r="AX364" s="836"/>
      <c r="AY364" s="836"/>
      <c r="AZ364" s="836"/>
      <c r="BA364" s="836"/>
      <c r="BB364" s="836"/>
      <c r="BC364" s="836"/>
      <c r="BD364" s="836"/>
      <c r="BE364" s="836"/>
      <c r="BF364" s="836"/>
      <c r="BG364" s="836"/>
      <c r="BH364" s="836"/>
      <c r="BI364" s="836"/>
      <c r="BJ364" s="836"/>
      <c r="BK364" s="836"/>
      <c r="BL364" s="836"/>
      <c r="BM364" s="836"/>
      <c r="BN364" s="836"/>
      <c r="BO364" s="836"/>
      <c r="BP364" s="836"/>
      <c r="BR364" s="844" t="str">
        <f>IFERROR(__xludf.DUMMYFUNCTION("""COMPUTED_VALUE"""),"Sunish , Johhny")</f>
        <v>Sunish , Johhny</v>
      </c>
      <c r="BS364" s="838" t="str">
        <f>IFERROR(__xludf.DUMMYFUNCTION("""COMPUTED_VALUE"""),"India")</f>
        <v>India</v>
      </c>
      <c r="BT364" s="838" t="str">
        <f>IFERROR(__xludf.DUMMYFUNCTION("""COMPUTED_VALUE"""),"Albendazole &amp; DiethylCarbamazine")</f>
        <v>Albendazole &amp; DiethylCarbamazine</v>
      </c>
      <c r="BU364" s="838"/>
      <c r="BV364" s="838"/>
      <c r="BW364" s="838"/>
      <c r="BX364" s="838">
        <f>IFERROR(__xludf.DUMMYFUNCTION("""COMPUTED_VALUE"""),321.0)</f>
        <v>321</v>
      </c>
      <c r="BY364" s="845">
        <f>IFERROR(__xludf.DUMMYFUNCTION("""COMPUTED_VALUE"""),42623.0)</f>
        <v>42623</v>
      </c>
      <c r="BZ364" s="838">
        <f>IFERROR(__xludf.DUMMYFUNCTION("""COMPUTED_VALUE"""),2010.0)</f>
        <v>2010</v>
      </c>
      <c r="CA364" s="838"/>
      <c r="CB364" s="838"/>
      <c r="CC364" s="838" t="str">
        <f>IFERROR(__xludf.DUMMYFUNCTION("""COMPUTED_VALUE"""),"No")</f>
        <v>No</v>
      </c>
      <c r="CD364" s="838">
        <f>IFERROR(__xludf.DUMMYFUNCTION("""COMPUTED_VALUE"""),97.3)</f>
        <v>97.3</v>
      </c>
      <c r="CE364" s="838"/>
      <c r="CF364" s="838"/>
      <c r="CG364" s="838"/>
      <c r="CH364" s="838"/>
      <c r="CI364" s="838"/>
      <c r="CJ364" s="838"/>
      <c r="CK364" s="838"/>
      <c r="CL364" s="838"/>
      <c r="CM364" s="838"/>
      <c r="CN364" s="838"/>
      <c r="CO364" s="838"/>
      <c r="CP364" s="838"/>
      <c r="CQ364" s="838"/>
      <c r="CR364" s="838"/>
      <c r="CS364" s="838" t="str">
        <f>IFERROR(__xludf.DUMMYFUNCTION("""COMPUTED_VALUE"""),"In conclusion, the present results showed that after 10 years of repeated annual rounds of MDA, the transmission indices reached negligible levels in both the treatment arms. Signi cant reduction was observed in the prevalence and infection intensity by &gt;"&amp;"80 per cent for each STH infection in the present study. However, complete elimination of the parasite from the community could not be achieved. More studies are required to determine the optimum rounds (annually) of drug administration (with a combinatio"&amp;"n of DEC +ALB), essential for complete cessation of STH transmission. The implementation of complementary measures such as improved environmental sanitation and hygiene, which aim to improve factors that contribute to the transmission of STHs is essential"&amp;" to consolidate the gains achieved by the MDA.")</f>
        <v>In conclusion, the present results showed that after 10 years of repeated annual rounds of MDA, the transmission indices reached negligible levels in both the treatment arms. Signi cant reduction was observed in the prevalence and infection intensity by &gt;80 per cent for each STH infection in the present study. However, complete elimination of the parasite from the community could not be achieved. More studies are required to determine the optimum rounds (annually) of drug administration (with a combination of DEC +ALB), essential for complete cessation of STH transmission. The implementation of complementary measures such as improved environmental sanitation and hygiene, which aim to improve factors that contribute to the transmission of STHs is essential to consolidate the gains achieved by the MDA.</v>
      </c>
      <c r="CT364" s="838"/>
      <c r="CU364" s="838" t="str">
        <f>IFERROR(__xludf.DUMMYFUNCTION("""COMPUTED_VALUE"""),"x")</f>
        <v>x</v>
      </c>
      <c r="CV364" s="697" t="str">
        <f>IFERROR(__xludf.DUMMYFUNCTION("""COMPUTED_VALUE"""),"Sunish, I. P., et al. ""Impact on prevalence of intestinal helminth infection in school children administered with seven annual rounds of diethyl carbamazine (DEC) with albendazole."" The Indian journal of medical research 141.3 (2015): 330.")</f>
        <v>Sunish, I. P., et al. "Impact on prevalence of intestinal helminth infection in school children administered with seven annual rounds of diethyl carbamazine (DEC) with albendazole." The Indian journal of medical research 141.3 (2015): 330.</v>
      </c>
    </row>
    <row r="365">
      <c r="A365" s="834"/>
      <c r="B365" s="834"/>
      <c r="C365" s="834"/>
      <c r="D365" s="834"/>
      <c r="E365" s="834"/>
      <c r="F365" s="834"/>
      <c r="G365" s="834"/>
      <c r="H365" s="834"/>
      <c r="I365" s="834"/>
      <c r="J365" s="834"/>
      <c r="K365" s="834"/>
      <c r="L365" s="834"/>
      <c r="M365" s="834"/>
      <c r="N365" s="834"/>
      <c r="O365" s="834"/>
      <c r="P365" s="834"/>
      <c r="Q365" s="834"/>
      <c r="R365" s="834"/>
      <c r="S365" s="834"/>
      <c r="T365" s="834"/>
      <c r="U365" s="834"/>
      <c r="V365" s="834"/>
      <c r="W365" s="834"/>
      <c r="X365" s="834"/>
      <c r="Y365" s="834"/>
      <c r="Z365" s="834"/>
      <c r="AA365" s="834"/>
      <c r="AB365" s="834"/>
      <c r="AC365" s="834"/>
      <c r="AD365" s="834"/>
      <c r="AE365" s="834"/>
      <c r="AF365" s="834"/>
      <c r="AG365" s="834"/>
      <c r="AH365" s="834"/>
      <c r="AJ365" s="836"/>
      <c r="AK365" s="836"/>
      <c r="AL365" s="836"/>
      <c r="AM365" s="836"/>
      <c r="AN365" s="836"/>
      <c r="AO365" s="836"/>
      <c r="AP365" s="836"/>
      <c r="AQ365" s="836"/>
      <c r="AR365" s="836"/>
      <c r="AS365" s="836"/>
      <c r="AT365" s="836"/>
      <c r="AU365" s="836"/>
      <c r="AV365" s="836"/>
      <c r="AW365" s="836"/>
      <c r="AX365" s="836"/>
      <c r="AY365" s="836"/>
      <c r="AZ365" s="836"/>
      <c r="BA365" s="836"/>
      <c r="BB365" s="836"/>
      <c r="BC365" s="836"/>
      <c r="BD365" s="836"/>
      <c r="BE365" s="836"/>
      <c r="BF365" s="836"/>
      <c r="BG365" s="836"/>
      <c r="BH365" s="836"/>
      <c r="BI365" s="836"/>
      <c r="BJ365" s="836"/>
      <c r="BK365" s="836"/>
      <c r="BL365" s="836"/>
      <c r="BM365" s="836"/>
      <c r="BN365" s="836"/>
      <c r="BO365" s="836"/>
      <c r="BP365" s="836"/>
      <c r="BR365" s="844" t="str">
        <f>IFERROR(__xludf.DUMMYFUNCTION("""COMPUTED_VALUE"""),"Mani TR")</f>
        <v>Mani TR</v>
      </c>
      <c r="BS365" s="838" t="str">
        <f>IFERROR(__xludf.DUMMYFUNCTION("""COMPUTED_VALUE"""),"India")</f>
        <v>India</v>
      </c>
      <c r="BT365" s="838" t="str">
        <f>IFERROR(__xludf.DUMMYFUNCTION("""COMPUTED_VALUE"""),"Albendazole &amp; DiethylCarbamazine")</f>
        <v>Albendazole &amp; DiethylCarbamazine</v>
      </c>
      <c r="BU365" s="838"/>
      <c r="BV365" s="838"/>
      <c r="BW365" s="838"/>
      <c r="BX365" s="838" t="str">
        <f>IFERROR(__xludf.DUMMYFUNCTION("""COMPUTED_VALUE"""),"325-500")</f>
        <v>325-500</v>
      </c>
      <c r="BY365" s="845">
        <f>IFERROR(__xludf.DUMMYFUNCTION("""COMPUTED_VALUE"""),42623.0)</f>
        <v>42623</v>
      </c>
      <c r="BZ365" s="838">
        <f>IFERROR(__xludf.DUMMYFUNCTION("""COMPUTED_VALUE"""),2002.0)</f>
        <v>2002</v>
      </c>
      <c r="CA365" s="838"/>
      <c r="CB365" s="838"/>
      <c r="CC365" s="838" t="str">
        <f>IFERROR(__xludf.DUMMYFUNCTION("""COMPUTED_VALUE"""),"No")</f>
        <v>No</v>
      </c>
      <c r="CD365" s="838"/>
      <c r="CE365" s="838"/>
      <c r="CF365" s="838"/>
      <c r="CG365" s="838"/>
      <c r="CH365" s="838"/>
      <c r="CI365" s="838"/>
      <c r="CJ365" s="838"/>
      <c r="CK365" s="838"/>
      <c r="CL365" s="838"/>
      <c r="CM365" s="838"/>
      <c r="CN365" s="838"/>
      <c r="CO365" s="838"/>
      <c r="CP365" s="838"/>
      <c r="CQ365" s="838"/>
      <c r="CR365" s="838"/>
      <c r="CS365" s="838" t="str">
        <f>IFERROR(__xludf.DUMMYFUNCTION("""COMPUTED_VALUE"""),"We conclude by presenting rationales and evidences to justify that the synergistic effects of once yearly mass drug treatment with one dose of two drugs could sustain reductions in prevalence and intensity levels associated with reduced morbidity and redu"&amp;"ced transmis- sion in areas where both these helminthic diseases are sympatric. Therefore, the public health professionals should rationalize ‘the window of opportunity’ provided by the global programme (GPELF) and alliance (GAELF) and harmonize the strat"&amp;"egies for LF elimination and STHs control for high-impact improvements in health outcomes.
")</f>
        <v>We conclude by presenting rationales and evidences to justify that the synergistic effects of once yearly mass drug treatment with one dose of two drugs could sustain reductions in prevalence and intensity levels associated with reduced morbidity and reduced transmis- sion in areas where both these helminthic diseases are sympatric. Therefore, the public health professionals should rationalize ‘the window of opportunity’ provided by the global programme (GPELF) and alliance (GAELF) and harmonize the strategies for LF elimination and STHs control for high-impact improvements in health outcomes.
</v>
      </c>
      <c r="CT365" s="838"/>
      <c r="CU365" s="838" t="str">
        <f>IFERROR(__xludf.DUMMYFUNCTION("""COMPUTED_VALUE"""),"x")</f>
        <v>x</v>
      </c>
      <c r="CV365" s="697" t="str">
        <f>IFERROR(__xludf.DUMMYFUNCTION("""COMPUTED_VALUE"""),"Mani, T. R., et al. ""Effectiveness of two annual, single‐dose mass drug administrations of diethylcarbamazine alone or in combination with albendazole on soil‐transmitted helminthiasis in filariasis elimination programme."" Tropical Medicine &amp; Internatio"&amp;"nal Health 9.9 (2004): 1030-1035.")</f>
        <v>Mani, T. R., et al. "Effectiveness of two annual, single‐dose mass drug administrations of diethylcarbamazine alone or in combination with albendazole on soil‐transmitted helminthiasis in filariasis elimination programme." Tropical Medicine &amp; International Health 9.9 (2004): 1030-1035.</v>
      </c>
    </row>
    <row r="366">
      <c r="A366" s="834"/>
      <c r="B366" s="834"/>
      <c r="C366" s="834"/>
      <c r="D366" s="834"/>
      <c r="E366" s="834"/>
      <c r="F366" s="834"/>
      <c r="G366" s="834"/>
      <c r="H366" s="834"/>
      <c r="I366" s="834"/>
      <c r="J366" s="834"/>
      <c r="K366" s="834"/>
      <c r="L366" s="834"/>
      <c r="M366" s="834"/>
      <c r="N366" s="834"/>
      <c r="O366" s="834"/>
      <c r="P366" s="834"/>
      <c r="Q366" s="834"/>
      <c r="R366" s="834"/>
      <c r="S366" s="834"/>
      <c r="T366" s="834"/>
      <c r="U366" s="834"/>
      <c r="V366" s="834"/>
      <c r="W366" s="834"/>
      <c r="X366" s="834"/>
      <c r="Y366" s="834"/>
      <c r="Z366" s="834"/>
      <c r="AA366" s="834"/>
      <c r="AB366" s="834"/>
      <c r="AC366" s="834"/>
      <c r="AD366" s="834"/>
      <c r="AE366" s="834"/>
      <c r="AF366" s="834"/>
      <c r="AG366" s="834"/>
      <c r="AH366" s="834"/>
      <c r="AJ366" s="836"/>
      <c r="AK366" s="836"/>
      <c r="AL366" s="836"/>
      <c r="AM366" s="836"/>
      <c r="AN366" s="836"/>
      <c r="AO366" s="836"/>
      <c r="AP366" s="836"/>
      <c r="AQ366" s="836"/>
      <c r="AR366" s="836"/>
      <c r="AS366" s="836"/>
      <c r="AT366" s="836"/>
      <c r="AU366" s="836"/>
      <c r="AV366" s="836"/>
      <c r="AW366" s="836"/>
      <c r="AX366" s="836"/>
      <c r="AY366" s="836"/>
      <c r="AZ366" s="836"/>
      <c r="BA366" s="836"/>
      <c r="BB366" s="836"/>
      <c r="BC366" s="836"/>
      <c r="BD366" s="836"/>
      <c r="BE366" s="836"/>
      <c r="BF366" s="836"/>
      <c r="BG366" s="836"/>
      <c r="BH366" s="836"/>
      <c r="BI366" s="836"/>
      <c r="BJ366" s="836"/>
      <c r="BK366" s="836"/>
      <c r="BL366" s="836"/>
      <c r="BM366" s="836"/>
      <c r="BN366" s="836"/>
      <c r="BO366" s="836"/>
      <c r="BP366" s="836"/>
      <c r="BR366" s="844" t="str">
        <f>IFERROR(__xludf.DUMMYFUNCTION("""COMPUTED_VALUE"""),"Mani et al.")</f>
        <v>Mani et al.</v>
      </c>
      <c r="BS366" s="838" t="str">
        <f>IFERROR(__xludf.DUMMYFUNCTION("""COMPUTED_VALUE"""),"South India")</f>
        <v>South India</v>
      </c>
      <c r="BT366" s="838" t="str">
        <f>IFERROR(__xludf.DUMMYFUNCTION("""COMPUTED_VALUE"""),"Albendazole &amp; DiethylCarbamazine")</f>
        <v>Albendazole &amp; DiethylCarbamazine</v>
      </c>
      <c r="BU366" s="838"/>
      <c r="BV366" s="838"/>
      <c r="BW366" s="838"/>
      <c r="BX366" s="838">
        <f>IFERROR(__xludf.DUMMYFUNCTION("""COMPUTED_VALUE"""),646.0)</f>
        <v>646</v>
      </c>
      <c r="BY366" s="845">
        <f>IFERROR(__xludf.DUMMYFUNCTION("""COMPUTED_VALUE"""),42384.0)</f>
        <v>42384</v>
      </c>
      <c r="BZ366" s="838">
        <f>IFERROR(__xludf.DUMMYFUNCTION("""COMPUTED_VALUE"""),2000.0)</f>
        <v>2000</v>
      </c>
      <c r="CA366" s="838"/>
      <c r="CB366" s="838"/>
      <c r="CC366" s="838"/>
      <c r="CD366" s="838"/>
      <c r="CE366" s="838"/>
      <c r="CF366" s="838"/>
      <c r="CG366" s="838"/>
      <c r="CH366" s="838"/>
      <c r="CI366" s="838"/>
      <c r="CJ366" s="838"/>
      <c r="CK366" s="838"/>
      <c r="CL366" s="838"/>
      <c r="CM366" s="838"/>
      <c r="CN366" s="838"/>
      <c r="CO366" s="838"/>
      <c r="CP366" s="838"/>
      <c r="CQ366" s="838"/>
      <c r="CR366" s="838"/>
      <c r="CS366" s="838" t="str">
        <f>IFERROR(__xludf.DUMMYFUNCTION("""COMPUTED_VALUE"""),"In our study, the odds of cure with combination therapy were significantly higher than odds of cure with DEC alone for roundworm (5.3 times) and hookworms (3.5 times). This was also true for odds of cure (5.7 times) for any of three geohelminths, between "&amp;"arms, giving a distinct advantage to combination therapy. The combination resulted in enhanced efficacy of the broad-spectrum activity against geohelminths, especially against Ascaris and hookworms, and a greater proportion of school children (53.5% again"&amp;"st 20.9%) under the combination drug therapy of DEC + ALB perceived the benefits of deworming. These positive factors could in turn lead to greater participation and sustained compliance at higher level by the community in forthcoming MDAs.")</f>
        <v>In our study, the odds of cure with combination therapy were significantly higher than odds of cure with DEC alone for roundworm (5.3 times) and hookworms (3.5 times). This was also true for odds of cure (5.7 times) for any of three geohelminths, between arms, giving a distinct advantage to combination therapy. The combination resulted in enhanced efficacy of the broad-spectrum activity against geohelminths, especially against Ascaris and hookworms, and a greater proportion of school children (53.5% against 20.9%) under the combination drug therapy of DEC + ALB perceived the benefits of deworming. These positive factors could in turn lead to greater participation and sustained compliance at higher level by the community in forthcoming MDAs.</v>
      </c>
      <c r="CT366" s="838"/>
      <c r="CU366" s="838" t="str">
        <f>IFERROR(__xludf.DUMMYFUNCTION("""COMPUTED_VALUE"""),"x")</f>
        <v>x</v>
      </c>
      <c r="CV366" s="697" t="str">
        <f>IFERROR(__xludf.DUMMYFUNCTION("""COMPUTED_VALUE"""),"Mani, T. R., et al. ""Efficacy of co‐administration of albendazole and diethylcarbamazine against geohelminthiases: a study from South India."" Tropical Medicine &amp; International Health 7.6 (2002): 541-548.http://onlinelibrary.wiley.com/doi/10.1046/j.1365-"&amp;"3156.2002.00894.x/full
")</f>
        <v>Mani, T. R., et al. "Efficacy of co‐administration of albendazole and diethylcarbamazine against geohelminthiases: a study from South India." Tropical Medicine &amp; International Health 7.6 (2002): 541-548.http://onlinelibrary.wiley.com/doi/10.1046/j.1365-3156.2002.00894.x/full
</v>
      </c>
    </row>
    <row r="367">
      <c r="A367" s="834"/>
      <c r="B367" s="834"/>
      <c r="C367" s="834"/>
      <c r="D367" s="834"/>
      <c r="E367" s="834"/>
      <c r="F367" s="834"/>
      <c r="G367" s="834"/>
      <c r="H367" s="834"/>
      <c r="I367" s="834"/>
      <c r="J367" s="834"/>
      <c r="K367" s="834"/>
      <c r="L367" s="834"/>
      <c r="M367" s="834"/>
      <c r="N367" s="834"/>
      <c r="O367" s="834"/>
      <c r="P367" s="834"/>
      <c r="Q367" s="834"/>
      <c r="R367" s="834"/>
      <c r="S367" s="834"/>
      <c r="T367" s="834"/>
      <c r="U367" s="834"/>
      <c r="V367" s="834"/>
      <c r="W367" s="834"/>
      <c r="X367" s="834"/>
      <c r="Y367" s="834"/>
      <c r="Z367" s="834"/>
      <c r="AA367" s="834"/>
      <c r="AB367" s="834"/>
      <c r="AC367" s="834"/>
      <c r="AD367" s="834"/>
      <c r="AE367" s="834"/>
      <c r="AF367" s="834"/>
      <c r="AG367" s="834"/>
      <c r="AH367" s="834"/>
      <c r="AJ367" s="836"/>
      <c r="AK367" s="836"/>
      <c r="AL367" s="836"/>
      <c r="AM367" s="836"/>
      <c r="AN367" s="836"/>
      <c r="AO367" s="836"/>
      <c r="AP367" s="836"/>
      <c r="AQ367" s="836"/>
      <c r="AR367" s="836"/>
      <c r="AS367" s="836"/>
      <c r="AT367" s="836"/>
      <c r="AU367" s="836"/>
      <c r="AV367" s="836"/>
      <c r="AW367" s="836"/>
      <c r="AX367" s="836"/>
      <c r="AY367" s="836"/>
      <c r="AZ367" s="836"/>
      <c r="BA367" s="836"/>
      <c r="BB367" s="836"/>
      <c r="BC367" s="836"/>
      <c r="BD367" s="836"/>
      <c r="BE367" s="836"/>
      <c r="BF367" s="836"/>
      <c r="BG367" s="836"/>
      <c r="BH367" s="836"/>
      <c r="BI367" s="836"/>
      <c r="BJ367" s="836"/>
      <c r="BK367" s="836"/>
      <c r="BL367" s="836"/>
      <c r="BM367" s="836"/>
      <c r="BN367" s="836"/>
      <c r="BO367" s="836"/>
      <c r="BP367" s="836"/>
      <c r="BR367" s="844" t="str">
        <f>IFERROR(__xludf.DUMMYFUNCTION("""COMPUTED_VALUE"""),"Ramzy et al.")</f>
        <v>Ramzy et al.</v>
      </c>
      <c r="BS367" s="838" t="str">
        <f>IFERROR(__xludf.DUMMYFUNCTION("""COMPUTED_VALUE"""),"Egypt")</f>
        <v>Egypt</v>
      </c>
      <c r="BT367" s="838" t="str">
        <f>IFERROR(__xludf.DUMMYFUNCTION("""COMPUTED_VALUE"""),"Albendazole &amp; DiethylCarbamazine")</f>
        <v>Albendazole &amp; DiethylCarbamazine</v>
      </c>
      <c r="BU367" s="838"/>
      <c r="BV367" s="838"/>
      <c r="BW367" s="838"/>
      <c r="BX367" s="838">
        <f>IFERROR(__xludf.DUMMYFUNCTION("""COMPUTED_VALUE"""),500.0)</f>
        <v>500</v>
      </c>
      <c r="BY367" s="838" t="str">
        <f>IFERROR(__xludf.DUMMYFUNCTION("""COMPUTED_VALUE"""),"Older than 4")</f>
        <v>Older than 4</v>
      </c>
      <c r="BZ367" s="838"/>
      <c r="CA367" s="838"/>
      <c r="CB367" s="838"/>
      <c r="CC367" s="838"/>
      <c r="CD367" s="838"/>
      <c r="CE367" s="838"/>
      <c r="CF367" s="838"/>
      <c r="CG367" s="838"/>
      <c r="CH367" s="838"/>
      <c r="CI367" s="838"/>
      <c r="CJ367" s="838"/>
      <c r="CK367" s="838"/>
      <c r="CL367" s="838"/>
      <c r="CM367" s="838"/>
      <c r="CN367" s="838"/>
      <c r="CO367" s="838"/>
      <c r="CP367" s="838"/>
      <c r="CQ367" s="838"/>
      <c r="CR367" s="838"/>
      <c r="CS367" s="838" t="str">
        <f>IFERROR(__xludf.DUMMYFUNCTION("""COMPUTED_VALUE"""),"
The present study has also shown the value of following antibody rates in young children to assess changes in lymphatic filariasis transmission after MDA. As with antigen testing, antibody rates can take several years to fall to low levels, but our study"&amp;" has shown that rates can fall and approach zero after several years of effective MDA. Positive antibody tests in young children indicate recent exposure or transmission of the parasite. Conversely, very low antibody rates show that filariasis transmissio"&amp;"n has been largely interrupted. We believe that antibody testing can complement molecular xenomonitoring to monitor changes in filariasis transmission during and after PELFs.")</f>
        <v>
The present study has also shown the value of following antibody rates in young children to assess changes in lymphatic filariasis transmission after MDA. As with antigen testing, antibody rates can take several years to fall to low levels, but our study has shown that rates can fall and approach zero after several years of effective MDA. Positive antibody tests in young children indicate recent exposure or transmission of the parasite. Conversely, very low antibody rates show that filariasis transmission has been largely interrupted. We believe that antibody testing can complement molecular xenomonitoring to monitor changes in filariasis transmission during and after PELFs.</v>
      </c>
      <c r="CT367" s="838"/>
      <c r="CU367" s="838" t="str">
        <f>IFERROR(__xludf.DUMMYFUNCTION("""COMPUTED_VALUE"""),"x")</f>
        <v>x</v>
      </c>
      <c r="CV367" s="697" t="str">
        <f>IFERROR(__xludf.DUMMYFUNCTION("""COMPUTED_VALUE"""),"Ramzy, Reda MR, et al. ""Effect of yearly mass drug administration with diethylcarbamazine and albendazole on bancroftian filariasis in Egypt: a comprehensive assessment."" The Lancet 367.9515 (2006): 992-999. http://www.sciencedirect.com/science/article/"&amp;"pii/S0140673606684262")</f>
        <v>Ramzy, Reda MR, et al. "Effect of yearly mass drug administration with diethylcarbamazine and albendazole on bancroftian filariasis in Egypt: a comprehensive assessment." The Lancet 367.9515 (2006): 992-999. http://www.sciencedirect.com/science/article/pii/S0140673606684262</v>
      </c>
    </row>
    <row r="368">
      <c r="A368" s="834"/>
      <c r="B368" s="834"/>
      <c r="C368" s="834"/>
      <c r="D368" s="834"/>
      <c r="E368" s="834"/>
      <c r="F368" s="834"/>
      <c r="G368" s="834"/>
      <c r="H368" s="834"/>
      <c r="I368" s="834"/>
      <c r="J368" s="834"/>
      <c r="K368" s="834"/>
      <c r="L368" s="834"/>
      <c r="M368" s="834"/>
      <c r="N368" s="834"/>
      <c r="O368" s="834"/>
      <c r="P368" s="834"/>
      <c r="Q368" s="834"/>
      <c r="R368" s="834"/>
      <c r="S368" s="834"/>
      <c r="T368" s="834"/>
      <c r="U368" s="834"/>
      <c r="V368" s="834"/>
      <c r="W368" s="834"/>
      <c r="X368" s="834"/>
      <c r="Y368" s="834"/>
      <c r="Z368" s="834"/>
      <c r="AA368" s="834"/>
      <c r="AB368" s="834"/>
      <c r="AC368" s="834"/>
      <c r="AD368" s="834"/>
      <c r="AE368" s="834"/>
      <c r="AF368" s="834"/>
      <c r="AG368" s="834"/>
      <c r="AH368" s="834"/>
      <c r="AJ368" s="836"/>
      <c r="AK368" s="836"/>
      <c r="AL368" s="836"/>
      <c r="AM368" s="836"/>
      <c r="AN368" s="836"/>
      <c r="AO368" s="836"/>
      <c r="AP368" s="836"/>
      <c r="AQ368" s="836"/>
      <c r="AR368" s="836"/>
      <c r="AS368" s="836"/>
      <c r="AT368" s="836"/>
      <c r="AU368" s="836"/>
      <c r="AV368" s="836"/>
      <c r="AW368" s="836"/>
      <c r="AX368" s="836"/>
      <c r="AY368" s="836"/>
      <c r="AZ368" s="836"/>
      <c r="BA368" s="836"/>
      <c r="BB368" s="836"/>
      <c r="BC368" s="836"/>
      <c r="BD368" s="836"/>
      <c r="BE368" s="836"/>
      <c r="BF368" s="836"/>
      <c r="BG368" s="836"/>
      <c r="BH368" s="836"/>
      <c r="BI368" s="836"/>
      <c r="BJ368" s="836"/>
      <c r="BK368" s="836"/>
      <c r="BL368" s="836"/>
      <c r="BM368" s="836"/>
      <c r="BN368" s="836"/>
      <c r="BO368" s="836"/>
      <c r="BP368" s="836"/>
      <c r="BR368" s="844" t="str">
        <f>IFERROR(__xludf.DUMMYFUNCTION("""COMPUTED_VALUE"""),"Rajendran et al.")</f>
        <v>Rajendran et al.</v>
      </c>
      <c r="BS368" s="838" t="str">
        <f>IFERROR(__xludf.DUMMYFUNCTION("""COMPUTED_VALUE"""),"South India")</f>
        <v>South India</v>
      </c>
      <c r="BT368" s="838" t="str">
        <f>IFERROR(__xludf.DUMMYFUNCTION("""COMPUTED_VALUE"""),"Albendazole &amp; DiethylCarbamazine")</f>
        <v>Albendazole &amp; DiethylCarbamazine</v>
      </c>
      <c r="BU368" s="838"/>
      <c r="BV368" s="838"/>
      <c r="BW368" s="838"/>
      <c r="BX368" s="838">
        <f>IFERROR(__xludf.DUMMYFUNCTION("""COMPUTED_VALUE"""),2501.0)</f>
        <v>2501</v>
      </c>
      <c r="BY368" s="845">
        <f>IFERROR(__xludf.DUMMYFUNCTION("""COMPUTED_VALUE"""),42425.0)</f>
        <v>42425</v>
      </c>
      <c r="BZ368" s="838">
        <f>IFERROR(__xludf.DUMMYFUNCTION("""COMPUTED_VALUE"""),2001.0)</f>
        <v>2001</v>
      </c>
      <c r="CA368" s="838"/>
      <c r="CB368" s="838"/>
      <c r="CC368" s="838"/>
      <c r="CD368" s="838"/>
      <c r="CE368" s="838"/>
      <c r="CF368" s="838"/>
      <c r="CG368" s="838"/>
      <c r="CH368" s="838"/>
      <c r="CI368" s="838"/>
      <c r="CJ368" s="838"/>
      <c r="CK368" s="838"/>
      <c r="CL368" s="838"/>
      <c r="CM368" s="838"/>
      <c r="CN368" s="838"/>
      <c r="CO368" s="838"/>
      <c r="CP368" s="838"/>
      <c r="CQ368" s="838"/>
      <c r="CR368" s="838"/>
      <c r="CS368" s="838" t="str">
        <f>IFERROR(__xludf.DUMMYFUNCTION("""COMPUTED_VALUE"""),"Our results suggest that the annual, single-dose combination (DEC + ALB) mass treatment regimen has an enhanced effect against bancroftian filariasis compared to single-drug therapy.")</f>
        <v>Our results suggest that the annual, single-dose combination (DEC + ALB) mass treatment regimen has an enhanced effect against bancroftian filariasis compared to single-drug therapy.</v>
      </c>
      <c r="CT368" s="838"/>
      <c r="CU368" s="838" t="str">
        <f>IFERROR(__xludf.DUMMYFUNCTION("""COMPUTED_VALUE"""),"x")</f>
        <v>x</v>
      </c>
      <c r="CV368" s="697" t="str">
        <f>IFERROR(__xludf.DUMMYFUNCTION("""COMPUTED_VALUE"""),"Rajendran, R., et al. ""Impact of two annual single-dose mass drug administrations with diethylcarbamazine alone or in combination with albendazole on Wuchereria bancrofti microfilaraemia and antigenaemia in south India."" Transactions of the Royal Societ"&amp;"y of Tropical Medicine and Hygiene 98.3 (2004): 174-181.http://www.sciencedirect.com/science/article/pii/S0035920303000427")</f>
        <v>Rajendran, R., et al. "Impact of two annual single-dose mass drug administrations with diethylcarbamazine alone or in combination with albendazole on Wuchereria bancrofti microfilaraemia and antigenaemia in south India." Transactions of the Royal Society of Tropical Medicine and Hygiene 98.3 (2004): 174-181.http://www.sciencedirect.com/science/article/pii/S0035920303000427</v>
      </c>
    </row>
    <row r="369">
      <c r="A369" s="834"/>
      <c r="B369" s="834"/>
      <c r="C369" s="834"/>
      <c r="D369" s="834"/>
      <c r="E369" s="834"/>
      <c r="F369" s="834"/>
      <c r="G369" s="834"/>
      <c r="H369" s="834"/>
      <c r="I369" s="834"/>
      <c r="J369" s="834"/>
      <c r="K369" s="834"/>
      <c r="L369" s="834"/>
      <c r="M369" s="834"/>
      <c r="N369" s="834"/>
      <c r="O369" s="834"/>
      <c r="P369" s="834"/>
      <c r="Q369" s="834"/>
      <c r="R369" s="834"/>
      <c r="S369" s="834"/>
      <c r="T369" s="834"/>
      <c r="U369" s="834"/>
      <c r="V369" s="834"/>
      <c r="W369" s="834"/>
      <c r="X369" s="834"/>
      <c r="Y369" s="834"/>
      <c r="Z369" s="834"/>
      <c r="AA369" s="834"/>
      <c r="AB369" s="834"/>
      <c r="AC369" s="834"/>
      <c r="AD369" s="834"/>
      <c r="AE369" s="834"/>
      <c r="AF369" s="834"/>
      <c r="AG369" s="834"/>
      <c r="AH369" s="834"/>
      <c r="AJ369" s="836"/>
      <c r="AK369" s="836"/>
      <c r="AL369" s="836"/>
      <c r="AM369" s="836"/>
      <c r="AN369" s="836"/>
      <c r="AO369" s="836"/>
      <c r="AP369" s="836"/>
      <c r="AQ369" s="836"/>
      <c r="AR369" s="836"/>
      <c r="AS369" s="836"/>
      <c r="AT369" s="836"/>
      <c r="AU369" s="836"/>
      <c r="AV369" s="836"/>
      <c r="AW369" s="836"/>
      <c r="AX369" s="836"/>
      <c r="AY369" s="836"/>
      <c r="AZ369" s="836"/>
      <c r="BA369" s="836"/>
      <c r="BB369" s="836"/>
      <c r="BC369" s="836"/>
      <c r="BD369" s="836"/>
      <c r="BE369" s="836"/>
      <c r="BF369" s="836"/>
      <c r="BG369" s="836"/>
      <c r="BH369" s="836"/>
      <c r="BI369" s="836"/>
      <c r="BJ369" s="836"/>
      <c r="BK369" s="836"/>
      <c r="BL369" s="836"/>
      <c r="BM369" s="836"/>
      <c r="BN369" s="836"/>
      <c r="BO369" s="836"/>
      <c r="BP369" s="836"/>
      <c r="BR369" s="844" t="str">
        <f>IFERROR(__xludf.DUMMYFUNCTION("""COMPUTED_VALUE"""),"Njenga et al.")</f>
        <v>Njenga et al.</v>
      </c>
      <c r="BS369" s="838" t="str">
        <f>IFERROR(__xludf.DUMMYFUNCTION("""COMPUTED_VALUE"""),"Kenya")</f>
        <v>Kenya</v>
      </c>
      <c r="BT369" s="838" t="str">
        <f>IFERROR(__xludf.DUMMYFUNCTION("""COMPUTED_VALUE"""),"Albendazole &amp; DiethylCarbamazine")</f>
        <v>Albendazole &amp; DiethylCarbamazine</v>
      </c>
      <c r="BU369" s="838"/>
      <c r="BV369" s="838"/>
      <c r="BW369" s="838"/>
      <c r="BX369" s="838">
        <f>IFERROR(__xludf.DUMMYFUNCTION("""COMPUTED_VALUE"""),797.0)</f>
        <v>797</v>
      </c>
      <c r="BY369" s="838" t="str">
        <f>IFERROR(__xludf.DUMMYFUNCTION("""COMPUTED_VALUE"""),"26.1 average")</f>
        <v>26.1 average</v>
      </c>
      <c r="BZ369" s="838">
        <f>IFERROR(__xludf.DUMMYFUNCTION("""COMPUTED_VALUE"""),2002.0)</f>
        <v>2002</v>
      </c>
      <c r="CA369" s="838" t="str">
        <f>IFERROR(__xludf.DUMMYFUNCTION("""COMPUTED_VALUE"""),"Male: 330 Female:418")</f>
        <v>Male: 330 Female:418</v>
      </c>
      <c r="CB369" s="838"/>
      <c r="CC369" s="838"/>
      <c r="CD369" s="838"/>
      <c r="CE369" s="838"/>
      <c r="CF369" s="838"/>
      <c r="CG369" s="838"/>
      <c r="CH369" s="838"/>
      <c r="CI369" s="838"/>
      <c r="CJ369" s="838"/>
      <c r="CK369" s="838"/>
      <c r="CL369" s="838"/>
      <c r="CM369" s="838"/>
      <c r="CN369" s="838"/>
      <c r="CO369" s="838"/>
      <c r="CP369" s="838"/>
      <c r="CQ369" s="838"/>
      <c r="CR369" s="838"/>
      <c r="CS369" s="838" t="str">
        <f>IFERROR(__xludf.DUMMYFUNCTION("""COMPUTED_VALUE"""),"Different conclusions were reached in a review of 20 stud- ies designed to assess the efficacy and safety of two-drug regimens used in filariasis elimination programmes (Gyapong et al., 2005). This review concluded that the suppression of microfilaraemia "&amp;"is significantly enhanced by the addition of albendazole to DEC or ivermectin compared to either drug alone. In support of enhanced effectiveness of DEC after addition of albendazole, a community-based study in Tamil Nadu, south India reported a significa"&amp;"ntly greater decline in microfilaraemia and antigenaemia in communities treated with a DEC/albendazole combination compared to those treated with DEC alone (Rajendran et al., 2004). The results of the present study indicate a relatively high effec- tivene"&amp;"ss of mass chemotherapy using a DEC/albendazole combination against W. bancrofti infection and therefore it may be a useful strategy to eliminate lymphatic filariasis in onchocerciasis-free areas.
")</f>
        <v>Different conclusions were reached in a review of 20 stud- ies designed to assess the efficacy and safety of two-drug regimens used in filariasis elimination programmes (Gyapong et al., 2005). This review concluded that the suppression of microfilaraemia is significantly enhanced by the addition of albendazole to DEC or ivermectin compared to either drug alone. In support of enhanced effectiveness of DEC after addition of albendazole, a community-based study in Tamil Nadu, south India reported a significantly greater decline in microfilaraemia and antigenaemia in communities treated with a DEC/albendazole combination compared to those treated with DEC alone (Rajendran et al., 2004). The results of the present study indicate a relatively high effec- tiveness of mass chemotherapy using a DEC/albendazole combination against W. bancrofti infection and therefore it may be a useful strategy to eliminate lymphatic filariasis in onchocerciasis-free areas.
</v>
      </c>
      <c r="CT369" s="838"/>
      <c r="CU369" s="838" t="str">
        <f>IFERROR(__xludf.DUMMYFUNCTION("""COMPUTED_VALUE"""),"x")</f>
        <v>x</v>
      </c>
      <c r="CV369" s="697" t="str">
        <f>IFERROR(__xludf.DUMMYFUNCTION("""COMPUTED_VALUE"""),"Njenga, S. M., et al. ""Impact of two rounds of mass treatment with diethylcarbamazine plus albendazole on Wuchereria bancrofti infection and the sensitivity of immunochromatographic test in Malindi, Kenya."" Transactions of the Royal Society of Tropical "&amp;"Medicine and Hygiene 102.10 (2008): 1017-1024.http://trstmh.oxfordjournals.org/content/102/10/1017.short")</f>
        <v>Njenga, S. M., et al. "Impact of two rounds of mass treatment with diethylcarbamazine plus albendazole on Wuchereria bancrofti infection and the sensitivity of immunochromatographic test in Malindi, Kenya." Transactions of the Royal Society of Tropical Medicine and Hygiene 102.10 (2008): 1017-1024.http://trstmh.oxfordjournals.org/content/102/10/1017.short</v>
      </c>
    </row>
    <row r="370">
      <c r="A370" s="834"/>
      <c r="B370" s="834"/>
      <c r="C370" s="834"/>
      <c r="D370" s="834"/>
      <c r="E370" s="834"/>
      <c r="F370" s="834"/>
      <c r="G370" s="834"/>
      <c r="H370" s="834"/>
      <c r="I370" s="834"/>
      <c r="J370" s="834"/>
      <c r="K370" s="834"/>
      <c r="L370" s="834"/>
      <c r="M370" s="834"/>
      <c r="N370" s="834"/>
      <c r="O370" s="834"/>
      <c r="P370" s="834"/>
      <c r="Q370" s="834"/>
      <c r="R370" s="834"/>
      <c r="S370" s="834"/>
      <c r="T370" s="834"/>
      <c r="U370" s="834"/>
      <c r="V370" s="834"/>
      <c r="W370" s="834"/>
      <c r="X370" s="834"/>
      <c r="Y370" s="834"/>
      <c r="Z370" s="834"/>
      <c r="AA370" s="834"/>
      <c r="AB370" s="834"/>
      <c r="AC370" s="834"/>
      <c r="AD370" s="834"/>
      <c r="AE370" s="834"/>
      <c r="AF370" s="834"/>
      <c r="AG370" s="834"/>
      <c r="AH370" s="834"/>
      <c r="AJ370" s="836"/>
      <c r="AK370" s="836"/>
      <c r="AL370" s="836"/>
      <c r="AM370" s="836"/>
      <c r="AN370" s="836"/>
      <c r="AO370" s="836"/>
      <c r="AP370" s="836"/>
      <c r="AQ370" s="836"/>
      <c r="AR370" s="836"/>
      <c r="AS370" s="836"/>
      <c r="AT370" s="836"/>
      <c r="AU370" s="836"/>
      <c r="AV370" s="836"/>
      <c r="AW370" s="836"/>
      <c r="AX370" s="836"/>
      <c r="AY370" s="836"/>
      <c r="AZ370" s="836"/>
      <c r="BA370" s="836"/>
      <c r="BB370" s="836"/>
      <c r="BC370" s="836"/>
      <c r="BD370" s="836"/>
      <c r="BE370" s="836"/>
      <c r="BF370" s="836"/>
      <c r="BG370" s="836"/>
      <c r="BH370" s="836"/>
      <c r="BI370" s="836"/>
      <c r="BJ370" s="836"/>
      <c r="BK370" s="836"/>
      <c r="BL370" s="836"/>
      <c r="BM370" s="836"/>
      <c r="BN370" s="836"/>
      <c r="BO370" s="836"/>
      <c r="BP370" s="836"/>
      <c r="BR370" s="844" t="str">
        <f>IFERROR(__xludf.DUMMYFUNCTION("""COMPUTED_VALUE"""),"Ramaiah et al.")</f>
        <v>Ramaiah et al.</v>
      </c>
      <c r="BS370" s="838"/>
      <c r="BT370" s="838" t="str">
        <f>IFERROR(__xludf.DUMMYFUNCTION("""COMPUTED_VALUE"""),"Albendazole &amp; DiethylCarbamazine")</f>
        <v>Albendazole &amp; DiethylCarbamazine</v>
      </c>
      <c r="BU370" s="838"/>
      <c r="BV370" s="838"/>
      <c r="BW370" s="838"/>
      <c r="BX370" s="838">
        <f>IFERROR(__xludf.DUMMYFUNCTION("""COMPUTED_VALUE"""),44.0)</f>
        <v>44</v>
      </c>
      <c r="BY370" s="838" t="str">
        <f>IFERROR(__xludf.DUMMYFUNCTION("""COMPUTED_VALUE"""),"4 and 8 average")</f>
        <v>4 and 8 average</v>
      </c>
      <c r="BZ370" s="838">
        <f>IFERROR(__xludf.DUMMYFUNCTION("""COMPUTED_VALUE"""),2002.0)</f>
        <v>2002</v>
      </c>
      <c r="CA370" s="838"/>
      <c r="CB370" s="838"/>
      <c r="CC370" s="838"/>
      <c r="CD370" s="838"/>
      <c r="CE370" s="838"/>
      <c r="CF370" s="838"/>
      <c r="CG370" s="838"/>
      <c r="CH370" s="838"/>
      <c r="CI370" s="838"/>
      <c r="CJ370" s="838"/>
      <c r="CK370" s="838"/>
      <c r="CL370" s="838"/>
      <c r="CM370" s="838"/>
      <c r="CN370" s="838"/>
      <c r="CO370" s="838"/>
      <c r="CP370" s="838"/>
      <c r="CQ370" s="838"/>
      <c r="CR370" s="838"/>
      <c r="CS370" s="838" t="str">
        <f>IFERROR(__xludf.DUMMYFUNCTION("""COMPUTED_VALUE"""),"The treatment coverage of 55 to 75%, observed in the present study village, is similar to that observed in many LF elimination programmes (Babu and Kar, 2004; de Rochars et al., 2005; Ramaiah et al., 2000) but is less than the effective treatment coverage"&amp;" of 80%. Effective treatment coverage may yield better results than those reported in this study.
We conclude that six to seven DEC treatments per individ- ual have the potential to totally suppress micfofilaraemia in all individuals, except in some of th"&amp;"ose with heavy infection. Slightly less than half of the pre-MDA mf carriers continue to be positive for CFA, but a vast majority of them turned amicrofilaraemic. More follow-up studies in highly endemic villages may be necessary to understand the course "&amp;"of infec- tion in individuals with high intensities of infection and the prospects of elimination of LF.")</f>
        <v>The treatment coverage of 55 to 75%, observed in the present study village, is similar to that observed in many LF elimination programmes (Babu and Kar, 2004; de Rochars et al., 2005; Ramaiah et al., 2000) but is less than the effective treatment coverage of 80%. Effective treatment coverage may yield better results than those reported in this study.
We conclude that six to seven DEC treatments per individ- ual have the potential to totally suppress micfofilaraemia in all individuals, except in some of those with heavy infection. Slightly less than half of the pre-MDA mf carriers continue to be positive for CFA, but a vast majority of them turned amicrofilaraemic. More follow-up studies in highly endemic villages may be necessary to understand the course of infec- tion in individuals with high intensities of infection and the prospects of elimination of LF.</v>
      </c>
      <c r="CT370" s="838"/>
      <c r="CU370" s="838" t="str">
        <f>IFERROR(__xludf.DUMMYFUNCTION("""COMPUTED_VALUE"""),"x")</f>
        <v>x</v>
      </c>
      <c r="CV370" s="697" t="str">
        <f>IFERROR(__xludf.DUMMYFUNCTION("""COMPUTED_VALUE"""),"Ramaiah, K. D., P. Vanamail, and P. K. Das. ""Changes in Wuchereria bancrofti infection in a highly endemic community following 10 rounds of mass administration of diethylcarbamazine."" Transactions of the Royal Society of Tropical Medicine and Hygiene 10"&amp;"1.3 (2007): 250-255.http://trstmh.oxfordjournals.org/content/101/3/250.short")</f>
        <v>Ramaiah, K. D., P. Vanamail, and P. K. Das. "Changes in Wuchereria bancrofti infection in a highly endemic community following 10 rounds of mass administration of diethylcarbamazine." Transactions of the Royal Society of Tropical Medicine and Hygiene 101.3 (2007): 250-255.http://trstmh.oxfordjournals.org/content/101/3/250.short</v>
      </c>
    </row>
    <row r="371">
      <c r="A371" s="834"/>
      <c r="B371" s="834"/>
      <c r="C371" s="834"/>
      <c r="D371" s="834"/>
      <c r="E371" s="834"/>
      <c r="F371" s="834"/>
      <c r="G371" s="834"/>
      <c r="H371" s="834"/>
      <c r="I371" s="834"/>
      <c r="J371" s="834"/>
      <c r="K371" s="834"/>
      <c r="L371" s="834"/>
      <c r="M371" s="834"/>
      <c r="N371" s="834"/>
      <c r="O371" s="834"/>
      <c r="P371" s="834"/>
      <c r="Q371" s="834"/>
      <c r="R371" s="834"/>
      <c r="S371" s="834"/>
      <c r="T371" s="834"/>
      <c r="U371" s="834"/>
      <c r="V371" s="834"/>
      <c r="W371" s="834"/>
      <c r="X371" s="834"/>
      <c r="Y371" s="834"/>
      <c r="Z371" s="834"/>
      <c r="AA371" s="834"/>
      <c r="AB371" s="834"/>
      <c r="AC371" s="834"/>
      <c r="AD371" s="834"/>
      <c r="AE371" s="834"/>
      <c r="AF371" s="834"/>
      <c r="AG371" s="834"/>
      <c r="AH371" s="834"/>
      <c r="AJ371" s="836"/>
      <c r="AK371" s="836"/>
      <c r="AL371" s="836"/>
      <c r="AM371" s="836"/>
      <c r="AN371" s="836"/>
      <c r="AO371" s="836"/>
      <c r="AP371" s="836"/>
      <c r="AQ371" s="836"/>
      <c r="AR371" s="836"/>
      <c r="AS371" s="836"/>
      <c r="AT371" s="836"/>
      <c r="AU371" s="836"/>
      <c r="AV371" s="836"/>
      <c r="AW371" s="836"/>
      <c r="AX371" s="836"/>
      <c r="AY371" s="836"/>
      <c r="AZ371" s="836"/>
      <c r="BA371" s="836"/>
      <c r="BB371" s="836"/>
      <c r="BC371" s="836"/>
      <c r="BD371" s="836"/>
      <c r="BE371" s="836"/>
      <c r="BF371" s="836"/>
      <c r="BG371" s="836"/>
      <c r="BH371" s="836"/>
      <c r="BI371" s="836"/>
      <c r="BJ371" s="836"/>
      <c r="BK371" s="836"/>
      <c r="BL371" s="836"/>
      <c r="BM371" s="836"/>
      <c r="BN371" s="836"/>
      <c r="BO371" s="836"/>
      <c r="BP371" s="836"/>
      <c r="BR371" s="844" t="str">
        <f>IFERROR(__xludf.DUMMYFUNCTION("""COMPUTED_VALUE"""),"Njomo")</f>
        <v>Njomo</v>
      </c>
      <c r="BS371" s="838" t="str">
        <f>IFERROR(__xludf.DUMMYFUNCTION("""COMPUTED_VALUE"""),"Kenya")</f>
        <v>Kenya</v>
      </c>
      <c r="BT371" s="838" t="str">
        <f>IFERROR(__xludf.DUMMYFUNCTION("""COMPUTED_VALUE"""),"Albendazole &amp; Praziquantel ")</f>
        <v>Albendazole &amp; Praziquantel </v>
      </c>
      <c r="BU371" s="838"/>
      <c r="BV371" s="838"/>
      <c r="BW371" s="838"/>
      <c r="BX371" s="838">
        <f>IFERROR(__xludf.DUMMYFUNCTION("""COMPUTED_VALUE"""),73.0)</f>
        <v>73</v>
      </c>
      <c r="BY371" s="838" t="str">
        <f>IFERROR(__xludf.DUMMYFUNCTION("""COMPUTED_VALUE"""),"mean 11.4")</f>
        <v>mean 11.4</v>
      </c>
      <c r="BZ371" s="838">
        <f>IFERROR(__xludf.DUMMYFUNCTION("""COMPUTED_VALUE"""),2005.0)</f>
        <v>2005</v>
      </c>
      <c r="CA371" s="838" t="str">
        <f>IFERROR(__xludf.DUMMYFUNCTION("""COMPUTED_VALUE"""),"Male: 39 Female: 34")</f>
        <v>Male: 39 Female: 34</v>
      </c>
      <c r="CB371" s="838"/>
      <c r="CC371" s="838" t="str">
        <f>IFERROR(__xludf.DUMMYFUNCTION("""COMPUTED_VALUE"""),"No")</f>
        <v>No</v>
      </c>
      <c r="CD371" s="838"/>
      <c r="CE371" s="838"/>
      <c r="CF371" s="838"/>
      <c r="CG371" s="838"/>
      <c r="CH371" s="838"/>
      <c r="CI371" s="838"/>
      <c r="CJ371" s="838"/>
      <c r="CK371" s="838"/>
      <c r="CL371" s="838"/>
      <c r="CM371" s="838"/>
      <c r="CN371" s="838"/>
      <c r="CO371" s="838"/>
      <c r="CP371" s="838"/>
      <c r="CQ371" s="838"/>
      <c r="CR371" s="838"/>
      <c r="CS371" s="838" t="str">
        <f>IFERROR(__xludf.DUMMYFUNCTION("""COMPUTED_VALUE"""),"This study shows that both ALB and PZQ have minor side effects, trained schoolteachers can however use the two drugs in MDA for control of S. mansoni and STHs since schools provide an efficient and effective channel to reach large portions of the populati"&amp;"on within a short time, which makes a programme cost effective. The school children experienced minor side effects, which were temporal and required resting under a shade until they subsided. However, the health/medical personnel should be involved in the"&amp;" programme so that they can give moral support and be on standby to handle any severe side effects should they arise. This approach is cost effective and should be adopted for a national de- worming programme.
")</f>
        <v>This study shows that both ALB and PZQ have minor side effects, trained schoolteachers can however use the two drugs in MDA for control of S. mansoni and STHs since schools provide an efficient and effective channel to reach large portions of the population within a short time, which makes a programme cost effective. The school children experienced minor side effects, which were temporal and required resting under a shade until they subsided. However, the health/medical personnel should be involved in the programme so that they can give moral support and be on standby to handle any severe side effects should they arise. This approach is cost effective and should be adopted for a national de- worming programme.
</v>
      </c>
      <c r="CT371" s="838"/>
      <c r="CU371" s="838" t="str">
        <f>IFERROR(__xludf.DUMMYFUNCTION("""COMPUTED_VALUE"""),"x")</f>
        <v>x</v>
      </c>
      <c r="CV371" s="697" t="str">
        <f>IFERROR(__xludf.DUMMYFUNCTION("""COMPUTED_VALUE"""),"Njomo, Doris W., et al. ""The adverse effects of albendazole and praziquantel in mass drug administration by trained schoolteachers."" African Journal of Health Sciences 17.3&amp;4 (2010): 10-14.")</f>
        <v>Njomo, Doris W., et al. "The adverse effects of albendazole and praziquantel in mass drug administration by trained schoolteachers." African Journal of Health Sciences 17.3&amp;4 (2010): 10-14.</v>
      </c>
    </row>
    <row r="372">
      <c r="A372" s="834"/>
      <c r="B372" s="834"/>
      <c r="C372" s="834"/>
      <c r="D372" s="834"/>
      <c r="E372" s="834"/>
      <c r="F372" s="834"/>
      <c r="G372" s="834"/>
      <c r="H372" s="834"/>
      <c r="I372" s="834"/>
      <c r="J372" s="834"/>
      <c r="K372" s="834"/>
      <c r="L372" s="834"/>
      <c r="M372" s="834"/>
      <c r="N372" s="834"/>
      <c r="O372" s="834"/>
      <c r="P372" s="834"/>
      <c r="Q372" s="834"/>
      <c r="R372" s="834"/>
      <c r="S372" s="834"/>
      <c r="T372" s="834"/>
      <c r="U372" s="834"/>
      <c r="V372" s="834"/>
      <c r="W372" s="834"/>
      <c r="X372" s="834"/>
      <c r="Y372" s="834"/>
      <c r="Z372" s="834"/>
      <c r="AA372" s="834"/>
      <c r="AB372" s="834"/>
      <c r="AC372" s="834"/>
      <c r="AD372" s="834"/>
      <c r="AE372" s="834"/>
      <c r="AF372" s="834"/>
      <c r="AG372" s="834"/>
      <c r="AH372" s="834"/>
      <c r="AJ372" s="836"/>
      <c r="AK372" s="836"/>
      <c r="AL372" s="836"/>
      <c r="AM372" s="836"/>
      <c r="AN372" s="836"/>
      <c r="AO372" s="836"/>
      <c r="AP372" s="836"/>
      <c r="AQ372" s="836"/>
      <c r="AR372" s="836"/>
      <c r="AS372" s="836"/>
      <c r="AT372" s="836"/>
      <c r="AU372" s="836"/>
      <c r="AV372" s="836"/>
      <c r="AW372" s="836"/>
      <c r="AX372" s="836"/>
      <c r="AY372" s="836"/>
      <c r="AZ372" s="836"/>
      <c r="BA372" s="836"/>
      <c r="BB372" s="836"/>
      <c r="BC372" s="836"/>
      <c r="BD372" s="836"/>
      <c r="BE372" s="836"/>
      <c r="BF372" s="836"/>
      <c r="BG372" s="836"/>
      <c r="BH372" s="836"/>
      <c r="BI372" s="836"/>
      <c r="BJ372" s="836"/>
      <c r="BK372" s="836"/>
      <c r="BL372" s="836"/>
      <c r="BM372" s="836"/>
      <c r="BN372" s="836"/>
      <c r="BO372" s="836"/>
      <c r="BP372" s="836"/>
      <c r="BR372" s="838"/>
      <c r="BS372" s="838"/>
      <c r="BT372" s="838"/>
      <c r="BU372" s="838"/>
      <c r="BV372" s="838"/>
      <c r="BW372" s="838"/>
      <c r="BX372" s="838"/>
      <c r="BY372" s="838"/>
      <c r="BZ372" s="838"/>
      <c r="CA372" s="838"/>
      <c r="CB372" s="838"/>
      <c r="CC372" s="838"/>
      <c r="CD372" s="838"/>
      <c r="CE372" s="838"/>
      <c r="CF372" s="838"/>
      <c r="CG372" s="838"/>
      <c r="CH372" s="838"/>
      <c r="CI372" s="838"/>
      <c r="CJ372" s="838"/>
      <c r="CK372" s="838"/>
      <c r="CL372" s="838"/>
      <c r="CM372" s="838"/>
      <c r="CN372" s="838"/>
      <c r="CO372" s="838"/>
      <c r="CP372" s="838"/>
      <c r="CQ372" s="838"/>
      <c r="CR372" s="838"/>
      <c r="CS372" s="838"/>
      <c r="CT372" s="838"/>
      <c r="CU372" s="838"/>
      <c r="CV372" s="697"/>
    </row>
    <row r="373">
      <c r="A373" s="834"/>
      <c r="B373" s="834"/>
      <c r="C373" s="834"/>
      <c r="D373" s="834"/>
      <c r="E373" s="834"/>
      <c r="F373" s="834"/>
      <c r="G373" s="834"/>
      <c r="H373" s="834"/>
      <c r="I373" s="834"/>
      <c r="J373" s="834"/>
      <c r="K373" s="834"/>
      <c r="L373" s="834"/>
      <c r="M373" s="834"/>
      <c r="N373" s="834"/>
      <c r="O373" s="834"/>
      <c r="P373" s="834"/>
      <c r="Q373" s="834"/>
      <c r="R373" s="834"/>
      <c r="S373" s="834"/>
      <c r="T373" s="834"/>
      <c r="U373" s="834"/>
      <c r="V373" s="834"/>
      <c r="W373" s="834"/>
      <c r="X373" s="834"/>
      <c r="Y373" s="834"/>
      <c r="Z373" s="834"/>
      <c r="AA373" s="834"/>
      <c r="AB373" s="834"/>
      <c r="AC373" s="834"/>
      <c r="AD373" s="834"/>
      <c r="AE373" s="834"/>
      <c r="AF373" s="834"/>
      <c r="AG373" s="834"/>
      <c r="AH373" s="834"/>
      <c r="AJ373" s="836"/>
      <c r="AK373" s="836"/>
      <c r="AL373" s="836"/>
      <c r="AM373" s="836"/>
      <c r="AN373" s="836"/>
      <c r="AO373" s="836"/>
      <c r="AP373" s="836"/>
      <c r="AQ373" s="836"/>
      <c r="AR373" s="836"/>
      <c r="AS373" s="836"/>
      <c r="AT373" s="836"/>
      <c r="AU373" s="836"/>
      <c r="AV373" s="836"/>
      <c r="AW373" s="836"/>
      <c r="AX373" s="836"/>
      <c r="AY373" s="836"/>
      <c r="AZ373" s="836"/>
      <c r="BA373" s="836"/>
      <c r="BB373" s="836"/>
      <c r="BC373" s="836"/>
      <c r="BD373" s="836"/>
      <c r="BE373" s="836"/>
      <c r="BF373" s="836"/>
      <c r="BG373" s="836"/>
      <c r="BH373" s="836"/>
      <c r="BI373" s="836"/>
      <c r="BJ373" s="836"/>
      <c r="BK373" s="836"/>
      <c r="BL373" s="836"/>
      <c r="BM373" s="836"/>
      <c r="BN373" s="836"/>
      <c r="BO373" s="836"/>
      <c r="BP373" s="836"/>
      <c r="BR373" s="838" t="str">
        <f>IFERROR(__xludf.DUMMYFUNCTION("""COMPUTED_VALUE"""),"Not Roundworm, exclude")</f>
        <v>Not Roundworm, exclude</v>
      </c>
      <c r="BS373" s="838"/>
      <c r="BT373" s="838"/>
      <c r="BU373" s="838"/>
      <c r="BV373" s="838"/>
      <c r="BW373" s="838"/>
      <c r="BX373" s="838"/>
      <c r="BY373" s="838"/>
      <c r="BZ373" s="838"/>
      <c r="CA373" s="838"/>
      <c r="CB373" s="838"/>
      <c r="CC373" s="838"/>
      <c r="CD373" s="838"/>
      <c r="CE373" s="838"/>
      <c r="CF373" s="838"/>
      <c r="CG373" s="838"/>
      <c r="CH373" s="838"/>
      <c r="CI373" s="838"/>
      <c r="CJ373" s="838"/>
      <c r="CK373" s="838"/>
      <c r="CL373" s="838"/>
      <c r="CM373" s="838"/>
      <c r="CN373" s="838"/>
      <c r="CO373" s="838"/>
      <c r="CP373" s="838"/>
      <c r="CQ373" s="838"/>
      <c r="CR373" s="838"/>
      <c r="CS373" s="838"/>
      <c r="CT373" s="838"/>
      <c r="CU373" s="838"/>
      <c r="CV373" s="697"/>
    </row>
    <row r="374">
      <c r="A374" s="834"/>
      <c r="B374" s="834"/>
      <c r="C374" s="834"/>
      <c r="D374" s="834"/>
      <c r="E374" s="834"/>
      <c r="F374" s="834"/>
      <c r="G374" s="834"/>
      <c r="H374" s="834"/>
      <c r="I374" s="834"/>
      <c r="J374" s="834"/>
      <c r="K374" s="834"/>
      <c r="L374" s="834"/>
      <c r="M374" s="834"/>
      <c r="N374" s="834"/>
      <c r="O374" s="834"/>
      <c r="P374" s="834"/>
      <c r="Q374" s="834"/>
      <c r="R374" s="834"/>
      <c r="S374" s="834"/>
      <c r="T374" s="834"/>
      <c r="U374" s="834"/>
      <c r="V374" s="834"/>
      <c r="W374" s="834"/>
      <c r="X374" s="834"/>
      <c r="Y374" s="834"/>
      <c r="Z374" s="834"/>
      <c r="AA374" s="834"/>
      <c r="AB374" s="834"/>
      <c r="AC374" s="834"/>
      <c r="AD374" s="834"/>
      <c r="AE374" s="834"/>
      <c r="AF374" s="834"/>
      <c r="AG374" s="834"/>
      <c r="AH374" s="834"/>
      <c r="AJ374" s="836"/>
      <c r="AK374" s="836"/>
      <c r="AL374" s="836"/>
      <c r="AM374" s="836"/>
      <c r="AN374" s="836"/>
      <c r="AO374" s="836"/>
      <c r="AP374" s="836"/>
      <c r="AQ374" s="836"/>
      <c r="AR374" s="836"/>
      <c r="AS374" s="836"/>
      <c r="AT374" s="836"/>
      <c r="AU374" s="836"/>
      <c r="AV374" s="836"/>
      <c r="AW374" s="836"/>
      <c r="AX374" s="836"/>
      <c r="AY374" s="836"/>
      <c r="AZ374" s="836"/>
      <c r="BA374" s="836"/>
      <c r="BB374" s="836"/>
      <c r="BC374" s="836"/>
      <c r="BD374" s="836"/>
      <c r="BE374" s="836"/>
      <c r="BF374" s="836"/>
      <c r="BG374" s="836"/>
      <c r="BH374" s="836"/>
      <c r="BI374" s="836"/>
      <c r="BJ374" s="836"/>
      <c r="BK374" s="836"/>
      <c r="BL374" s="836"/>
      <c r="BM374" s="836"/>
      <c r="BN374" s="836"/>
      <c r="BO374" s="836"/>
      <c r="BP374" s="836"/>
      <c r="BR374" s="844" t="str">
        <f>IFERROR(__xludf.DUMMYFUNCTION("""COMPUTED_VALUE"""),"Sirivichayakul et al.")</f>
        <v>Sirivichayakul et al.</v>
      </c>
      <c r="BS374" s="838"/>
      <c r="BT374" s="838" t="str">
        <f>IFERROR(__xludf.DUMMYFUNCTION("""COMPUTED_VALUE"""),"Albendazole &amp; Praziquantel ")</f>
        <v>Albendazole &amp; Praziquantel </v>
      </c>
      <c r="BU374" s="838"/>
      <c r="BV374" s="838">
        <f>IFERROR(__xludf.DUMMYFUNCTION("""COMPUTED_VALUE"""),34.0)</f>
        <v>34</v>
      </c>
      <c r="BW374" s="838" t="str">
        <f>IFERROR(__xludf.DUMMYFUNCTION("""COMPUTED_VALUE"""),"Mean 19.2")</f>
        <v>Mean 19.2</v>
      </c>
      <c r="BX374" s="838" t="str">
        <f>IFERROR(__xludf.DUMMYFUNCTION("""COMPUTED_VALUE"""),"Male: 29 Female: 5")</f>
        <v>Male: 29 Female: 5</v>
      </c>
      <c r="BY374" s="838">
        <f>IFERROR(__xludf.DUMMYFUNCTION("""COMPUTED_VALUE"""),1991.0)</f>
        <v>1991</v>
      </c>
      <c r="BZ374" s="838"/>
      <c r="CA374" s="838" t="str">
        <f>IFERROR(__xludf.DUMMYFUNCTION("""COMPUTED_VALUE"""),"age more than 4 years; no history of allergic reaction to albendazole or praziquantel; no history of cysticercosis; no concurrent pregnancy, active liver or renal diseases, on other serious infectious illnesses.")</f>
        <v>age more than 4 years; no history of allergic reaction to albendazole or praziquantel; no history of cysticercosis; no concurrent pregnancy, active liver or renal diseases, on other serious infectious illnesses.</v>
      </c>
      <c r="CB374" s="847">
        <f>IFERROR(__xludf.DUMMYFUNCTION("""COMPUTED_VALUE"""),0.029)</f>
        <v>0.029</v>
      </c>
      <c r="CC374" s="838" t="str">
        <f>IFERROR(__xludf.DUMMYFUNCTION("""COMPUTED_VALUE"""),"No")</f>
        <v>No</v>
      </c>
      <c r="CD374" s="838"/>
      <c r="CE374" s="838"/>
      <c r="CF374" s="838"/>
      <c r="CG374" s="838"/>
      <c r="CH374" s="838"/>
      <c r="CI374" s="838"/>
      <c r="CJ374" s="838"/>
      <c r="CK374" s="838"/>
      <c r="CL374" s="838"/>
      <c r="CM374" s="838"/>
      <c r="CN374" s="838"/>
      <c r="CO374" s="838"/>
      <c r="CP374" s="838"/>
      <c r="CQ374" s="838"/>
      <c r="CR374" s="838"/>
      <c r="CS374" s="838" t="str">
        <f>IFERROR(__xludf.DUMMYFUNCTION("""COMPUTED_VALUE"""),"
In conclusion, a regimen of 400 mg albendazole daily for 3 days was found to be the most suitable therapy for Trichuris infec- tion. Combination of praziquantel and albendazole was not found to be better or worse than albendazole alone for the treat- men"&amp;"t of Trichuris infection.
")</f>
        <v>
In conclusion, a regimen of 400 mg albendazole daily for 3 days was found to be the most suitable therapy for Trichuris infec- tion. Combination of praziquantel and albendazole was not found to be better or worse than albendazole alone for the treat- ment of Trichuris infection.
</v>
      </c>
      <c r="CT374" s="838"/>
      <c r="CU374" s="838"/>
      <c r="CV374" s="697" t="str">
        <f>IFERROR(__xludf.DUMMYFUNCTION("""COMPUTED_VALUE"""),"Sirivichayakul, Chukiat, et al. ""A comparative trial of albendazole alone versus combination of albendazole and praziquantel for treatment of Trichuris trichiura infection."" (2001).http://imsear.li.mahidol.ac.th/handle/123456789/31103")</f>
        <v>Sirivichayakul, Chukiat, et al. "A comparative trial of albendazole alone versus combination of albendazole and praziquantel for treatment of Trichuris trichiura infection." (2001).http://imsear.li.mahidol.ac.th/handle/123456789/31103</v>
      </c>
    </row>
    <row r="375">
      <c r="A375" s="834"/>
      <c r="B375" s="834"/>
      <c r="C375" s="834"/>
      <c r="D375" s="834"/>
      <c r="E375" s="834"/>
      <c r="F375" s="834"/>
      <c r="G375" s="834"/>
      <c r="H375" s="834"/>
      <c r="I375" s="834"/>
      <c r="J375" s="834"/>
      <c r="K375" s="834"/>
      <c r="L375" s="834"/>
      <c r="M375" s="834"/>
      <c r="N375" s="834"/>
      <c r="O375" s="834"/>
      <c r="P375" s="834"/>
      <c r="Q375" s="834"/>
      <c r="R375" s="834"/>
      <c r="S375" s="834"/>
      <c r="T375" s="834"/>
      <c r="U375" s="834"/>
      <c r="V375" s="834"/>
      <c r="W375" s="834"/>
      <c r="X375" s="834"/>
      <c r="Y375" s="834"/>
      <c r="Z375" s="834"/>
      <c r="AA375" s="834"/>
      <c r="AB375" s="834"/>
      <c r="AC375" s="834"/>
      <c r="AD375" s="834"/>
      <c r="AE375" s="834"/>
      <c r="AF375" s="834"/>
      <c r="AG375" s="834"/>
      <c r="AH375" s="834"/>
      <c r="AJ375" s="836"/>
      <c r="AK375" s="836"/>
      <c r="AL375" s="836"/>
      <c r="AM375" s="836"/>
      <c r="AN375" s="836"/>
      <c r="AO375" s="836"/>
      <c r="AP375" s="836"/>
      <c r="AQ375" s="836"/>
      <c r="AR375" s="836"/>
      <c r="AS375" s="836"/>
      <c r="AT375" s="836"/>
      <c r="AU375" s="836"/>
      <c r="AV375" s="836"/>
      <c r="AW375" s="836"/>
      <c r="AX375" s="836"/>
      <c r="AY375" s="836"/>
      <c r="AZ375" s="836"/>
      <c r="BA375" s="836"/>
      <c r="BB375" s="836"/>
      <c r="BC375" s="836"/>
      <c r="BD375" s="836"/>
      <c r="BE375" s="836"/>
      <c r="BF375" s="836"/>
      <c r="BG375" s="836"/>
      <c r="BH375" s="836"/>
      <c r="BI375" s="836"/>
      <c r="BJ375" s="836"/>
      <c r="BK375" s="836"/>
      <c r="BL375" s="836"/>
      <c r="BM375" s="836"/>
      <c r="BN375" s="836"/>
      <c r="BO375" s="836"/>
      <c r="BP375" s="836"/>
      <c r="BR375" s="844" t="str">
        <f>IFERROR(__xludf.DUMMYFUNCTION("""COMPUTED_VALUE"""),"Sirivichayakul et al.")</f>
        <v>Sirivichayakul et al.</v>
      </c>
      <c r="BS375" s="838"/>
      <c r="BT375" s="838" t="str">
        <f>IFERROR(__xludf.DUMMYFUNCTION("""COMPUTED_VALUE"""),"Albendazole &amp; Praziquantel ")</f>
        <v>Albendazole &amp; Praziquantel </v>
      </c>
      <c r="BU375" s="838"/>
      <c r="BV375" s="838">
        <f>IFERROR(__xludf.DUMMYFUNCTION("""COMPUTED_VALUE"""),36.0)</f>
        <v>36</v>
      </c>
      <c r="BW375" s="838" t="str">
        <f>IFERROR(__xludf.DUMMYFUNCTION("""COMPUTED_VALUE"""),"Mean 18.1")</f>
        <v>Mean 18.1</v>
      </c>
      <c r="BX375" s="838" t="str">
        <f>IFERROR(__xludf.DUMMYFUNCTION("""COMPUTED_VALUE"""),"Male: 30 Female: 9")</f>
        <v>Male: 30 Female: 9</v>
      </c>
      <c r="BY375" s="838">
        <f>IFERROR(__xludf.DUMMYFUNCTION("""COMPUTED_VALUE"""),1991.0)</f>
        <v>1991</v>
      </c>
      <c r="BZ375" s="838"/>
      <c r="CA375" s="838" t="str">
        <f>IFERROR(__xludf.DUMMYFUNCTION("""COMPUTED_VALUE"""),"age more than 4 years; no history of allergic reaction to albendazole or praziquantel; no history of cysticercosis; no concurrent pregnancy, active liver or renal diseases, on other serious infectious illnesses.")</f>
        <v>age more than 4 years; no history of allergic reaction to albendazole or praziquantel; no history of cysticercosis; no concurrent pregnancy, active liver or renal diseases, on other serious infectious illnesses.</v>
      </c>
      <c r="CB375" s="847">
        <f>IFERROR(__xludf.DUMMYFUNCTION("""COMPUTED_VALUE"""),0.167)</f>
        <v>0.167</v>
      </c>
      <c r="CC375" s="838" t="str">
        <f>IFERROR(__xludf.DUMMYFUNCTION("""COMPUTED_VALUE"""),"No")</f>
        <v>No</v>
      </c>
      <c r="CD375" s="838"/>
      <c r="CE375" s="838"/>
      <c r="CF375" s="838"/>
      <c r="CG375" s="838"/>
      <c r="CH375" s="838"/>
      <c r="CI375" s="838"/>
      <c r="CJ375" s="838"/>
      <c r="CK375" s="838"/>
      <c r="CL375" s="838"/>
      <c r="CM375" s="838"/>
      <c r="CN375" s="838"/>
      <c r="CO375" s="838"/>
      <c r="CP375" s="838"/>
      <c r="CQ375" s="838"/>
      <c r="CR375" s="838"/>
      <c r="CS375" s="838" t="str">
        <f>IFERROR(__xludf.DUMMYFUNCTION("""COMPUTED_VALUE"""),"
In conclusion, a regimen of 400 mg albendazole daily for 3 days was found to be the most suitable therapy for Trichuris infec- tion. Combination of praziquantel and albendazole was not found to be better or worse than albendazole alone for the treat- men"&amp;"t of Trichuris infection.
")</f>
        <v>
In conclusion, a regimen of 400 mg albendazole daily for 3 days was found to be the most suitable therapy for Trichuris infec- tion. Combination of praziquantel and albendazole was not found to be better or worse than albendazole alone for the treat- ment of Trichuris infection.
</v>
      </c>
      <c r="CT375" s="838"/>
      <c r="CU375" s="838"/>
      <c r="CV375" s="697"/>
    </row>
    <row r="376">
      <c r="A376" s="834"/>
      <c r="B376" s="834"/>
      <c r="C376" s="834"/>
      <c r="D376" s="834"/>
      <c r="E376" s="834"/>
      <c r="F376" s="834"/>
      <c r="G376" s="834"/>
      <c r="H376" s="834"/>
      <c r="I376" s="834"/>
      <c r="J376" s="834"/>
      <c r="K376" s="834"/>
      <c r="L376" s="834"/>
      <c r="M376" s="834"/>
      <c r="N376" s="834"/>
      <c r="O376" s="834"/>
      <c r="P376" s="834"/>
      <c r="Q376" s="834"/>
      <c r="R376" s="834"/>
      <c r="S376" s="834"/>
      <c r="T376" s="834"/>
      <c r="U376" s="834"/>
      <c r="V376" s="834"/>
      <c r="W376" s="834"/>
      <c r="X376" s="834"/>
      <c r="Y376" s="834"/>
      <c r="Z376" s="834"/>
      <c r="AA376" s="834"/>
      <c r="AB376" s="834"/>
      <c r="AC376" s="834"/>
      <c r="AD376" s="834"/>
      <c r="AE376" s="834"/>
      <c r="AF376" s="834"/>
      <c r="AG376" s="834"/>
      <c r="AH376" s="834"/>
      <c r="AJ376" s="836"/>
      <c r="AK376" s="836"/>
      <c r="AL376" s="836"/>
      <c r="AM376" s="836"/>
      <c r="AN376" s="836"/>
      <c r="AO376" s="836"/>
      <c r="AP376" s="836"/>
      <c r="AQ376" s="836"/>
      <c r="AR376" s="836"/>
      <c r="AS376" s="836"/>
      <c r="AT376" s="836"/>
      <c r="AU376" s="836"/>
      <c r="AV376" s="836"/>
      <c r="AW376" s="836"/>
      <c r="AX376" s="836"/>
      <c r="AY376" s="836"/>
      <c r="AZ376" s="836"/>
      <c r="BA376" s="836"/>
      <c r="BB376" s="836"/>
      <c r="BC376" s="836"/>
      <c r="BD376" s="836"/>
      <c r="BE376" s="836"/>
      <c r="BF376" s="836"/>
      <c r="BG376" s="836"/>
      <c r="BH376" s="836"/>
      <c r="BI376" s="836"/>
      <c r="BJ376" s="836"/>
      <c r="BK376" s="836"/>
      <c r="BL376" s="836"/>
      <c r="BM376" s="836"/>
      <c r="BN376" s="836"/>
      <c r="BO376" s="836"/>
      <c r="BP376" s="836"/>
      <c r="BR376" s="844" t="str">
        <f>IFERROR(__xludf.DUMMYFUNCTION("""COMPUTED_VALUE"""),"Mpairwe")</f>
        <v>Mpairwe</v>
      </c>
      <c r="BS376" s="838" t="str">
        <f>IFERROR(__xludf.DUMMYFUNCTION("""COMPUTED_VALUE"""),"Uganda")</f>
        <v>Uganda</v>
      </c>
      <c r="BT376" s="838" t="str">
        <f>IFERROR(__xludf.DUMMYFUNCTION("""COMPUTED_VALUE"""),"Albendazole &amp; Praziquantel ")</f>
        <v>Albendazole &amp; Praziquantel </v>
      </c>
      <c r="BU376" s="838"/>
      <c r="BV376" s="838"/>
      <c r="BW376" s="838"/>
      <c r="BX376" s="838">
        <f>IFERROR(__xludf.DUMMYFUNCTION("""COMPUTED_VALUE"""),628.0)</f>
        <v>628</v>
      </c>
      <c r="BY376" s="838" t="str">
        <f>IFERROR(__xludf.DUMMYFUNCTION("""COMPUTED_VALUE"""),"median 24.5")</f>
        <v>median 24.5</v>
      </c>
      <c r="BZ376" s="838">
        <f>IFERROR(__xludf.DUMMYFUNCTION("""COMPUTED_VALUE"""),2002.0)</f>
        <v>2002</v>
      </c>
      <c r="CA376" s="838"/>
      <c r="CB376" s="838"/>
      <c r="CC376" s="838" t="str">
        <f>IFERROR(__xludf.DUMMYFUNCTION("""COMPUTED_VALUE"""),"Yes")</f>
        <v>Yes</v>
      </c>
      <c r="CD376" s="838"/>
      <c r="CE376" s="838" t="str">
        <f>IFERROR(__xludf.DUMMYFUNCTION("""COMPUTED_VALUE"""),"Yes")</f>
        <v>Yes</v>
      </c>
      <c r="CF376" s="838"/>
      <c r="CG376" s="838"/>
      <c r="CH376" s="838"/>
      <c r="CI376" s="838"/>
      <c r="CJ376" s="838"/>
      <c r="CK376" s="838"/>
      <c r="CL376" s="838"/>
      <c r="CM376" s="838"/>
      <c r="CN376" s="838"/>
      <c r="CO376" s="838"/>
      <c r="CP376" s="838"/>
      <c r="CQ376" s="838"/>
      <c r="CR376" s="838"/>
      <c r="CS376" s="838" t="str">
        <f>IFERROR(__xludf.DUMMYFUNCTION("""COMPUTED_VALUE"""),"The detrimental effects of treatment suggest that exposure to maternal worm infections in utero may protect against eczema and wheeze in infancy. The results for albendazole are also consistent with a direct drug effect. Further studies are required to in"&amp;"vestigate mechanisms of these effects, possible benefits of worms or worm products in primary prevention of allergy, and the possibility that routine deworming during pregnancy may promote allergic disease in the offspring.")</f>
        <v>The detrimental effects of treatment suggest that exposure to maternal worm infections in utero may protect against eczema and wheeze in infancy. The results for albendazole are also consistent with a direct drug effect. Further studies are required to investigate mechanisms of these effects, possible benefits of worms or worm products in primary prevention of allergy, and the possibility that routine deworming during pregnancy may promote allergic disease in the offspring.</v>
      </c>
      <c r="CT376" s="838"/>
      <c r="CU376" s="838"/>
      <c r="CV376" s="697" t="str">
        <f>IFERROR(__xludf.DUMMYFUNCTION("""COMPUTED_VALUE"""),"Mpairwe, Harriet, et al. ""Anthelminthic treatment during pregnancy is associated with increased risk of infantile eczema: randomised‐controlled trial results."" Pediatric Allergy and Immunology 22.3 (2011): 305-312.")</f>
        <v>Mpairwe, Harriet, et al. "Anthelminthic treatment during pregnancy is associated with increased risk of infantile eczema: randomised‐controlled trial results." Pediatric Allergy and Immunology 22.3 (2011): 305-312.</v>
      </c>
    </row>
    <row r="377">
      <c r="A377" s="834"/>
      <c r="B377" s="834"/>
      <c r="C377" s="834"/>
      <c r="D377" s="834"/>
      <c r="E377" s="834"/>
      <c r="F377" s="834"/>
      <c r="G377" s="834"/>
      <c r="H377" s="834"/>
      <c r="I377" s="834"/>
      <c r="J377" s="834"/>
      <c r="K377" s="834"/>
      <c r="L377" s="834"/>
      <c r="M377" s="834"/>
      <c r="N377" s="834"/>
      <c r="O377" s="834"/>
      <c r="P377" s="834"/>
      <c r="Q377" s="834"/>
      <c r="R377" s="834"/>
      <c r="S377" s="834"/>
      <c r="T377" s="834"/>
      <c r="U377" s="834"/>
      <c r="V377" s="834"/>
      <c r="W377" s="834"/>
      <c r="X377" s="834"/>
      <c r="Y377" s="834"/>
      <c r="Z377" s="834"/>
      <c r="AA377" s="834"/>
      <c r="AB377" s="834"/>
      <c r="AC377" s="834"/>
      <c r="AD377" s="834"/>
      <c r="AE377" s="834"/>
      <c r="AF377" s="834"/>
      <c r="AG377" s="834"/>
      <c r="AH377" s="834"/>
      <c r="AJ377" s="836"/>
      <c r="AK377" s="836"/>
      <c r="AL377" s="836"/>
      <c r="AM377" s="836"/>
      <c r="AN377" s="836"/>
      <c r="AO377" s="836"/>
      <c r="AP377" s="836"/>
      <c r="AQ377" s="836"/>
      <c r="AR377" s="836"/>
      <c r="AS377" s="836"/>
      <c r="AT377" s="836"/>
      <c r="AU377" s="836"/>
      <c r="AV377" s="836"/>
      <c r="AW377" s="836"/>
      <c r="AX377" s="836"/>
      <c r="AY377" s="836"/>
      <c r="AZ377" s="836"/>
      <c r="BA377" s="836"/>
      <c r="BB377" s="836"/>
      <c r="BC377" s="836"/>
      <c r="BD377" s="836"/>
      <c r="BE377" s="836"/>
      <c r="BF377" s="836"/>
      <c r="BG377" s="836"/>
      <c r="BH377" s="836"/>
      <c r="BI377" s="836"/>
      <c r="BJ377" s="836"/>
      <c r="BK377" s="836"/>
      <c r="BL377" s="836"/>
      <c r="BM377" s="836"/>
      <c r="BN377" s="836"/>
      <c r="BO377" s="836"/>
      <c r="BP377" s="836"/>
      <c r="BR377" s="844" t="str">
        <f>IFERROR(__xludf.DUMMYFUNCTION("""COMPUTED_VALUE"""),"Chachage")</f>
        <v>Chachage</v>
      </c>
      <c r="BS377" s="838" t="str">
        <f>IFERROR(__xludf.DUMMYFUNCTION("""COMPUTED_VALUE"""),"Israel")</f>
        <v>Israel</v>
      </c>
      <c r="BT377" s="838" t="str">
        <f>IFERROR(__xludf.DUMMYFUNCTION("""COMPUTED_VALUE"""),"Albendazole &amp; Praziquantel ")</f>
        <v>Albendazole &amp; Praziquantel </v>
      </c>
      <c r="BU377" s="838"/>
      <c r="BV377" s="838"/>
      <c r="BW377" s="838"/>
      <c r="BX377" s="838">
        <f>IFERROR(__xludf.DUMMYFUNCTION("""COMPUTED_VALUE"""),386.0)</f>
        <v>386</v>
      </c>
      <c r="BY377" s="838" t="str">
        <f>IFERROR(__xludf.DUMMYFUNCTION("""COMPUTED_VALUE"""),"median 34.7")</f>
        <v>median 34.7</v>
      </c>
      <c r="BZ377" s="838">
        <f>IFERROR(__xludf.DUMMYFUNCTION("""COMPUTED_VALUE"""),1995.0)</f>
        <v>1995</v>
      </c>
      <c r="CA377" s="838" t="str">
        <f>IFERROR(__xludf.DUMMYFUNCTION("""COMPUTED_VALUE"""),"Male: 151 Female: 235")</f>
        <v>Male: 151 Female: 235</v>
      </c>
      <c r="CB377" s="838" t="str">
        <f>IFERROR(__xludf.DUMMYFUNCTION("""COMPUTED_VALUE"""),"We only included subjects with no detectable helminth infection post-treatment (n=177) into this analysis. We first studied the effect of one dose of Albendazole/Praziquantel treatment on eosinophil counts to determine whether helminth treatment has an ef"&amp;"fect on helminth-induced eosinophilia (Table 3).")</f>
        <v>We only included subjects with no detectable helminth infection post-treatment (n=177) into this analysis. We first studied the effect of one dose of Albendazole/Praziquantel treatment on eosinophil counts to determine whether helminth treatment has an effect on helminth-induced eosinophilia (Table 3).</v>
      </c>
      <c r="CC377" s="838" t="str">
        <f>IFERROR(__xludf.DUMMYFUNCTION("""COMPUTED_VALUE"""),"No")</f>
        <v>No</v>
      </c>
      <c r="CD377" s="838"/>
      <c r="CE377" s="838"/>
      <c r="CF377" s="838"/>
      <c r="CG377" s="838"/>
      <c r="CH377" s="838"/>
      <c r="CI377" s="838"/>
      <c r="CJ377" s="838"/>
      <c r="CK377" s="838"/>
      <c r="CL377" s="838"/>
      <c r="CM377" s="838"/>
      <c r="CN377" s="838"/>
      <c r="CO377" s="838"/>
      <c r="CP377" s="838"/>
      <c r="CQ377" s="838"/>
      <c r="CR377" s="838"/>
      <c r="CS377" s="838" t="str">
        <f>IFERROR(__xludf.DUMMYFUNCTION("""COMPUTED_VALUE"""),"
Conclusions: Increased expression of T cell activation markers was associated with Trichuris and Ascaris infections with relatively little effect of helminth treatment.")</f>
        <v>
Conclusions: Increased expression of T cell activation markers was associated with Trichuris and Ascaris infections with relatively little effect of helminth treatment.</v>
      </c>
      <c r="CT377" s="838"/>
      <c r="CU377" s="838"/>
      <c r="CV377" s="697" t="str">
        <f>IFERROR(__xludf.DUMMYFUNCTION("""COMPUTED_VALUE"""),"Chachage, Mkunde, et al. ""Helminth-associated systemic immune activation and HIV co-receptor expression: response to albendazole/praziquantel treatment."" PLoS Negl Trop Dis 8.3 (2014): e2755.")</f>
        <v>Chachage, Mkunde, et al. "Helminth-associated systemic immune activation and HIV co-receptor expression: response to albendazole/praziquantel treatment." PLoS Negl Trop Dis 8.3 (2014): e2755.</v>
      </c>
    </row>
    <row r="378">
      <c r="A378" s="834"/>
      <c r="B378" s="834"/>
      <c r="C378" s="834"/>
      <c r="D378" s="834"/>
      <c r="E378" s="834"/>
      <c r="F378" s="834"/>
      <c r="G378" s="834"/>
      <c r="H378" s="834"/>
      <c r="I378" s="834"/>
      <c r="J378" s="834"/>
      <c r="K378" s="834"/>
      <c r="L378" s="834"/>
      <c r="M378" s="834"/>
      <c r="N378" s="834"/>
      <c r="O378" s="834"/>
      <c r="P378" s="834"/>
      <c r="Q378" s="834"/>
      <c r="R378" s="834"/>
      <c r="S378" s="834"/>
      <c r="T378" s="834"/>
      <c r="U378" s="834"/>
      <c r="V378" s="834"/>
      <c r="W378" s="834"/>
      <c r="X378" s="834"/>
      <c r="Y378" s="834"/>
      <c r="Z378" s="834"/>
      <c r="AA378" s="834"/>
      <c r="AB378" s="834"/>
      <c r="AC378" s="834"/>
      <c r="AD378" s="834"/>
      <c r="AE378" s="834"/>
      <c r="AF378" s="834"/>
      <c r="AG378" s="834"/>
      <c r="AH378" s="834"/>
      <c r="AJ378" s="836"/>
      <c r="AK378" s="836"/>
      <c r="AL378" s="836"/>
      <c r="AM378" s="836"/>
      <c r="AN378" s="836"/>
      <c r="AO378" s="836"/>
      <c r="AP378" s="836"/>
      <c r="AQ378" s="836"/>
      <c r="AR378" s="836"/>
      <c r="AS378" s="836"/>
      <c r="AT378" s="836"/>
      <c r="AU378" s="836"/>
      <c r="AV378" s="836"/>
      <c r="AW378" s="836"/>
      <c r="AX378" s="836"/>
      <c r="AY378" s="836"/>
      <c r="AZ378" s="836"/>
      <c r="BA378" s="836"/>
      <c r="BB378" s="836"/>
      <c r="BC378" s="836"/>
      <c r="BD378" s="836"/>
      <c r="BE378" s="836"/>
      <c r="BF378" s="836"/>
      <c r="BG378" s="836"/>
      <c r="BH378" s="836"/>
      <c r="BI378" s="836"/>
      <c r="BJ378" s="836"/>
      <c r="BK378" s="836"/>
      <c r="BL378" s="836"/>
      <c r="BM378" s="836"/>
      <c r="BN378" s="836"/>
      <c r="BO378" s="836"/>
      <c r="BP378" s="836"/>
      <c r="BR378" s="844" t="str">
        <f>IFERROR(__xludf.DUMMYFUNCTION("""COMPUTED_VALUE"""),"Scherrer")</f>
        <v>Scherrer</v>
      </c>
      <c r="BS378" s="838" t="str">
        <f>IFERROR(__xludf.DUMMYFUNCTION("""COMPUTED_VALUE"""),"Developing regions in Africa, Asia and Latin America")</f>
        <v>Developing regions in Africa, Asia and Latin America</v>
      </c>
      <c r="BT378" s="838" t="str">
        <f>IFERROR(__xludf.DUMMYFUNCTION("""COMPUTED_VALUE"""),"Albendazole &amp; Praziquantel ")</f>
        <v>Albendazole &amp; Praziquantel </v>
      </c>
      <c r="BU378" s="838"/>
      <c r="BV378" s="838"/>
      <c r="BW378" s="838"/>
      <c r="BX378" s="838"/>
      <c r="BY378" s="838" t="str">
        <f>IFERROR(__xludf.DUMMYFUNCTION("""COMPUTED_VALUE"""),"School age children")</f>
        <v>School age children</v>
      </c>
      <c r="BZ378" s="838">
        <f>IFERROR(__xludf.DUMMYFUNCTION("""COMPUTED_VALUE"""),2004.0)</f>
        <v>2004</v>
      </c>
      <c r="CA378" s="838"/>
      <c r="CB378" s="838"/>
      <c r="CC378" s="838" t="str">
        <f>IFERROR(__xludf.DUMMYFUNCTION("""COMPUTED_VALUE"""),"No")</f>
        <v>No</v>
      </c>
      <c r="CD378" s="846">
        <f>IFERROR(__xludf.DUMMYFUNCTION("""COMPUTED_VALUE"""),0.97)</f>
        <v>0.97</v>
      </c>
      <c r="CE378" s="838"/>
      <c r="CF378" s="838"/>
      <c r="CG378" s="838"/>
      <c r="CH378" s="838"/>
      <c r="CI378" s="838"/>
      <c r="CJ378" s="838"/>
      <c r="CK378" s="838"/>
      <c r="CL378" s="838"/>
      <c r="CM378" s="838"/>
      <c r="CN378" s="838"/>
      <c r="CO378" s="838"/>
      <c r="CP378" s="838"/>
      <c r="CQ378" s="838"/>
      <c r="CR378" s="838"/>
      <c r="CS378" s="838" t="str">
        <f>IFERROR(__xludf.DUMMYFUNCTION("""COMPUTED_VALUE"""),"In spite of the rather low cure rates obtained, albendazole and praziquantel are regarded appropriate in the large-scale morbidity control of hookworm and S. mansoni infections, owing to the high egg reduction rates observed. However, drug efficacy and de"&amp;"velop-ment of drug resistance should be monitored closely in order to assure sustainable morbidity reduction.")</f>
        <v>In spite of the rather low cure rates obtained, albendazole and praziquantel are regarded appropriate in the large-scale morbidity control of hookworm and S. mansoni infections, owing to the high egg reduction rates observed. However, drug efficacy and develop-ment of drug resistance should be monitored closely in order to assure sustainable morbidity reduction.</v>
      </c>
      <c r="CT378" s="838"/>
      <c r="CU378" s="838"/>
      <c r="CV378" s="697" t="str">
        <f>IFERROR(__xludf.DUMMYFUNCTION("""COMPUTED_VALUE"""),"Scherrer, Alexandra U., et al. ""Sequential analysis of helminth egg output in human stool samples following albendazole and praziquantel administration."" Acta tropica 109.3 (2009): 226-231.")</f>
        <v>Scherrer, Alexandra U., et al. "Sequential analysis of helminth egg output in human stool samples following albendazole and praziquantel administration." Acta tropica 109.3 (2009): 226-231.</v>
      </c>
    </row>
    <row r="379">
      <c r="A379" s="834"/>
      <c r="B379" s="834"/>
      <c r="C379" s="834"/>
      <c r="D379" s="834"/>
      <c r="E379" s="834"/>
      <c r="F379" s="834"/>
      <c r="G379" s="834"/>
      <c r="H379" s="834"/>
      <c r="I379" s="834"/>
      <c r="J379" s="834"/>
      <c r="K379" s="834"/>
      <c r="L379" s="834"/>
      <c r="M379" s="834"/>
      <c r="N379" s="834"/>
      <c r="O379" s="834"/>
      <c r="P379" s="834"/>
      <c r="Q379" s="834"/>
      <c r="R379" s="834"/>
      <c r="S379" s="834"/>
      <c r="T379" s="834"/>
      <c r="U379" s="834"/>
      <c r="V379" s="834"/>
      <c r="W379" s="834"/>
      <c r="X379" s="834"/>
      <c r="Y379" s="834"/>
      <c r="Z379" s="834"/>
      <c r="AA379" s="834"/>
      <c r="AB379" s="834"/>
      <c r="AC379" s="834"/>
      <c r="AD379" s="834"/>
      <c r="AE379" s="834"/>
      <c r="AF379" s="834"/>
      <c r="AG379" s="834"/>
      <c r="AH379" s="834"/>
      <c r="AJ379" s="836"/>
      <c r="AK379" s="836"/>
      <c r="AL379" s="836"/>
      <c r="AM379" s="836"/>
      <c r="AN379" s="836"/>
      <c r="AO379" s="836"/>
      <c r="AP379" s="836"/>
      <c r="AQ379" s="836"/>
      <c r="AR379" s="836"/>
      <c r="AS379" s="836"/>
      <c r="AT379" s="836"/>
      <c r="AU379" s="836"/>
      <c r="AV379" s="836"/>
      <c r="AW379" s="836"/>
      <c r="AX379" s="836"/>
      <c r="AY379" s="836"/>
      <c r="AZ379" s="836"/>
      <c r="BA379" s="836"/>
      <c r="BB379" s="836"/>
      <c r="BC379" s="836"/>
      <c r="BD379" s="836"/>
      <c r="BE379" s="836"/>
      <c r="BF379" s="836"/>
      <c r="BG379" s="836"/>
      <c r="BH379" s="836"/>
      <c r="BI379" s="836"/>
      <c r="BJ379" s="836"/>
      <c r="BK379" s="836"/>
      <c r="BL379" s="836"/>
      <c r="BM379" s="836"/>
      <c r="BN379" s="836"/>
      <c r="BO379" s="836"/>
      <c r="BP379" s="836"/>
      <c r="BR379" s="844" t="str">
        <f>IFERROR(__xludf.DUMMYFUNCTION("""COMPUTED_VALUE"""),"Webb")</f>
        <v>Webb</v>
      </c>
      <c r="BS379" s="838" t="str">
        <f>IFERROR(__xludf.DUMMYFUNCTION("""COMPUTED_VALUE"""),"Uganda")</f>
        <v>Uganda</v>
      </c>
      <c r="BT379" s="838" t="str">
        <f>IFERROR(__xludf.DUMMYFUNCTION("""COMPUTED_VALUE"""),"Albendazole &amp; Praziquantel ")</f>
        <v>Albendazole &amp; Praziquantel </v>
      </c>
      <c r="BU379" s="838"/>
      <c r="BV379" s="838"/>
      <c r="BW379" s="838"/>
      <c r="BX379" s="838">
        <f>IFERROR(__xludf.DUMMYFUNCTION("""COMPUTED_VALUE"""),628.0)</f>
        <v>628</v>
      </c>
      <c r="BY379" s="838" t="str">
        <f>IFERROR(__xludf.DUMMYFUNCTION("""COMPUTED_VALUE"""),"20-35 yrs old")</f>
        <v>20-35 yrs old</v>
      </c>
      <c r="BZ379" s="838">
        <f>IFERROR(__xludf.DUMMYFUNCTION("""COMPUTED_VALUE"""),2003.0)</f>
        <v>2003</v>
      </c>
      <c r="CA379" s="838" t="str">
        <f>IFERROR(__xludf.DUMMYFUNCTION("""COMPUTED_VALUE"""),"Female: 100%")</f>
        <v>Female: 100%</v>
      </c>
      <c r="CB379" s="838" t="str">
        <f>IFERROR(__xludf.DUMMYFUNCTION("""COMPUTED_VALUE"""),"The study population consisted of pregnant women who presented at the government- funded antenatal clinic at Entebbe General Hospital between April 9, 2003, and Nov 24, 2005, where roughly 70% of pregnant women from the study area received antenatal care."&amp;"21 Women were included if resident in the study area, planning to deliver in the hospital, willing to know their HIV status, and in the second or third trimester of pregnancy.")</f>
        <v>The study population consisted of pregnant women who presented at the government- funded antenatal clinic at Entebbe General Hospital between April 9, 2003, and Nov 24, 2005, where roughly 70% of pregnant women from the study area received antenatal care.21 Women were included if resident in the study area, planning to deliver in the hospital, willing to know their HIV status, and in the second or third trimester of pregnancy.</v>
      </c>
      <c r="CC379" s="838" t="str">
        <f>IFERROR(__xludf.DUMMYFUNCTION("""COMPUTED_VALUE"""),"Yes")</f>
        <v>Yes</v>
      </c>
      <c r="CD379" s="838"/>
      <c r="CE379" s="838"/>
      <c r="CF379" s="838"/>
      <c r="CG379" s="838"/>
      <c r="CH379" s="838"/>
      <c r="CI379" s="838"/>
      <c r="CJ379" s="838"/>
      <c r="CK379" s="838"/>
      <c r="CL379" s="838"/>
      <c r="CM379" s="838"/>
      <c r="CN379" s="838"/>
      <c r="CO379" s="838"/>
      <c r="CP379" s="838"/>
      <c r="CQ379" s="838"/>
      <c r="CR379" s="838"/>
      <c r="CS379" s="838" t="str">
        <f>IFERROR(__xludf.DUMMYFUNCTION("""COMPUTED_VALUE"""),"Our results are generalisable to areas with high prevalence but low intensity of helminth infection in young adults, which is a common pattern in areas that are endemic for helminth infection. Findings might differ in populations with higher infection int"&amp;"ensities. These results suggest that, in settings such as Entebbe Municipality and Katabi subcounty, single-dose anthelmintic treatment during pregnancy has no benefit for an infant’s response to immunisation, or for their health and development.")</f>
        <v>Our results are generalisable to areas with high prevalence but low intensity of helminth infection in young adults, which is a common pattern in areas that are endemic for helminth infection. Findings might differ in populations with higher infection intensities. These results suggest that, in settings such as Entebbe Municipality and Katabi subcounty, single-dose anthelmintic treatment during pregnancy has no benefit for an infant’s response to immunisation, or for their health and development.</v>
      </c>
      <c r="CT379" s="838"/>
      <c r="CU379" s="838"/>
      <c r="CV379" s="697" t="str">
        <f>IFERROR(__xludf.DUMMYFUNCTION("""COMPUTED_VALUE"""),"Webb, Emily L., et al. ""Effect of single-dose anthelmintic treatment during pregnancy on an infant's response to immunisation and on susceptibility to infectious diseases in infancy: a randomised, double-blind, placebo-controlled trial."" The Lancet 377."&amp;"9759 (2011): 52-62.")</f>
        <v>Webb, Emily L., et al. "Effect of single-dose anthelmintic treatment during pregnancy on an infant's response to immunisation and on susceptibility to infectious diseases in infancy: a randomised, double-blind, placebo-controlled trial." The Lancet 377.9759 (2011): 52-62.</v>
      </c>
    </row>
    <row r="380">
      <c r="A380" s="834"/>
      <c r="B380" s="834"/>
      <c r="C380" s="834"/>
      <c r="D380" s="834"/>
      <c r="E380" s="834"/>
      <c r="F380" s="834"/>
      <c r="G380" s="834"/>
      <c r="H380" s="834"/>
      <c r="I380" s="834"/>
      <c r="J380" s="834"/>
      <c r="K380" s="834"/>
      <c r="L380" s="834"/>
      <c r="M380" s="834"/>
      <c r="N380" s="834"/>
      <c r="O380" s="834"/>
      <c r="P380" s="834"/>
      <c r="Q380" s="834"/>
      <c r="R380" s="834"/>
      <c r="S380" s="834"/>
      <c r="T380" s="834"/>
      <c r="U380" s="834"/>
      <c r="V380" s="834"/>
      <c r="W380" s="834"/>
      <c r="X380" s="834"/>
      <c r="Y380" s="834"/>
      <c r="Z380" s="834"/>
      <c r="AA380" s="834"/>
      <c r="AB380" s="834"/>
      <c r="AC380" s="834"/>
      <c r="AD380" s="834"/>
      <c r="AE380" s="834"/>
      <c r="AF380" s="834"/>
      <c r="AG380" s="834"/>
      <c r="AH380" s="834"/>
      <c r="AJ380" s="836"/>
      <c r="AK380" s="836"/>
      <c r="AL380" s="836"/>
      <c r="AM380" s="836"/>
      <c r="AN380" s="836"/>
      <c r="AO380" s="836"/>
      <c r="AP380" s="836"/>
      <c r="AQ380" s="836"/>
      <c r="AR380" s="836"/>
      <c r="AS380" s="836"/>
      <c r="AT380" s="836"/>
      <c r="AU380" s="836"/>
      <c r="AV380" s="836"/>
      <c r="AW380" s="836"/>
      <c r="AX380" s="836"/>
      <c r="AY380" s="836"/>
      <c r="AZ380" s="836"/>
      <c r="BA380" s="836"/>
      <c r="BB380" s="836"/>
      <c r="BC380" s="836"/>
      <c r="BD380" s="836"/>
      <c r="BE380" s="836"/>
      <c r="BF380" s="836"/>
      <c r="BG380" s="836"/>
      <c r="BH380" s="836"/>
      <c r="BI380" s="836"/>
      <c r="BJ380" s="836"/>
      <c r="BK380" s="836"/>
      <c r="BL380" s="836"/>
      <c r="BM380" s="836"/>
      <c r="BN380" s="836"/>
      <c r="BO380" s="836"/>
      <c r="BP380" s="836"/>
      <c r="BR380" s="844" t="str">
        <f>IFERROR(__xludf.DUMMYFUNCTION("""COMPUTED_VALUE"""),"Jamshidi")</f>
        <v>Jamshidi</v>
      </c>
      <c r="BS380" s="838"/>
      <c r="BT380" s="838" t="str">
        <f>IFERROR(__xludf.DUMMYFUNCTION("""COMPUTED_VALUE"""),"Albendazole &amp; Praziquantel ")</f>
        <v>Albendazole &amp; Praziquantel </v>
      </c>
      <c r="BU380" s="838"/>
      <c r="BV380" s="838"/>
      <c r="BW380" s="838"/>
      <c r="BX380" s="838">
        <f>IFERROR(__xludf.DUMMYFUNCTION("""COMPUTED_VALUE"""),9.0)</f>
        <v>9</v>
      </c>
      <c r="BY380" s="838"/>
      <c r="BZ380" s="838"/>
      <c r="CA380" s="838" t="str">
        <f>IFERROR(__xludf.DUMMYFUNCTION("""COMPUTED_VALUE"""),"Male: 9 Female: 5")</f>
        <v>Male: 9 Female: 5</v>
      </c>
      <c r="CB380" s="838" t="str">
        <f>IFERROR(__xludf.DUMMYFUNCTION("""COMPUTED_VALUE"""),"(1) multiple hydatid cysts diagnosed with one of the radiolog- ical methods (computed axial tomography (CT scan), sonography, or simple radiography), (2) confirmed hydatid cyst diagnosis by indirect immunoflorescent antibody (IFA) serology test, (3) singl"&amp;"e cystic lesion (only when the patient disagreed with surgery or the surgery was of high risk for the patient), (4) age over 10 years old, (5) absence of underlying hepatic disease, (6) negative beta-human chori- onic gonadotropin test for women of childb"&amp;"earing age, and (7) agreement to participate in the study and follow-up. After completing a consent form, a questionnaire including demographic information such as age, sex, job and history, physical examination results, medical records with primary labor"&amp;"atory findings (hydatid cyst serology test, peripheral blood leukocytes count, and liver function tests), and radiological findings reports was filled up for each patient.")</f>
        <v>(1) multiple hydatid cysts diagnosed with one of the radiolog- ical methods (computed axial tomography (CT scan), sonography, or simple radiography), (2) confirmed hydatid cyst diagnosis by indirect immunoflorescent antibody (IFA) serology test, (3) single cystic lesion (only when the patient disagreed with surgery or the surgery was of high risk for the patient), (4) age over 10 years old, (5) absence of underlying hepatic disease, (6) negative beta-human chori- onic gonadotropin test for women of childbearing age, and (7) agreement to participate in the study and follow-up. After completing a consent form, a questionnaire including demographic information such as age, sex, job and history, physical examination results, medical records with primary laboratory findings (hydatid cyst serology test, peripheral blood leukocytes count, and liver function tests), and radiological findings reports was filled up for each patient.</v>
      </c>
      <c r="CC380" s="838" t="str">
        <f>IFERROR(__xludf.DUMMYFUNCTION("""COMPUTED_VALUE"""),"No")</f>
        <v>No</v>
      </c>
      <c r="CD380" s="838"/>
      <c r="CE380" s="838"/>
      <c r="CF380" s="838"/>
      <c r="CG380" s="838"/>
      <c r="CH380" s="838"/>
      <c r="CI380" s="838"/>
      <c r="CJ380" s="838"/>
      <c r="CK380" s="838"/>
      <c r="CL380" s="838"/>
      <c r="CM380" s="838"/>
      <c r="CN380" s="838"/>
      <c r="CO380" s="838"/>
      <c r="CP380" s="838"/>
      <c r="CQ380" s="838"/>
      <c r="CR380" s="838"/>
      <c r="CS380" s="838" t="str">
        <f>IFERROR(__xludf.DUMMYFUNCTION("""COMPUTED_VALUE"""),"Regarding the absence of recurrence, it seems that medications may be used as a good alternative to surgery in these patients. On the other hand, because there are some cases with postoperational recurrence or second- ary diffusion, using a combination of"&amp;" scolicidal drugs before and after surgery may prevent postoperational recurrence. Further clinical studies (case–control) are needed in the field of combination therapy and prevention with these combinations to declare the effectiveness of this treatment"&amp;".")</f>
        <v>Regarding the absence of recurrence, it seems that medications may be used as a good alternative to surgery in these patients. On the other hand, because there are some cases with postoperational recurrence or second- ary diffusion, using a combination of scolicidal drugs before and after surgery may prevent postoperational recurrence. Further clinical studies (case–control) are needed in the field of combination therapy and prevention with these combinations to declare the effectiveness of this treatment.</v>
      </c>
      <c r="CT380" s="838"/>
      <c r="CU380" s="838"/>
      <c r="CV380" s="697" t="str">
        <f>IFERROR(__xludf.DUMMYFUNCTION("""COMPUTED_VALUE"""),"Jamshidi, Mahin, et al. ""The effect of combination therapy with albendazole and praziquantel on hydatid cyst treatment."" Parasitology research 103.1 (2008): 195-199.")</f>
        <v>Jamshidi, Mahin, et al. "The effect of combination therapy with albendazole and praziquantel on hydatid cyst treatment." Parasitology research 103.1 (2008): 195-199.</v>
      </c>
    </row>
    <row r="381">
      <c r="A381" s="834"/>
      <c r="B381" s="834"/>
      <c r="C381" s="834"/>
      <c r="D381" s="834"/>
      <c r="E381" s="834"/>
      <c r="F381" s="834"/>
      <c r="G381" s="834"/>
      <c r="H381" s="834"/>
      <c r="I381" s="834"/>
      <c r="J381" s="834"/>
      <c r="K381" s="834"/>
      <c r="L381" s="834"/>
      <c r="M381" s="834"/>
      <c r="N381" s="834"/>
      <c r="O381" s="834"/>
      <c r="P381" s="834"/>
      <c r="Q381" s="834"/>
      <c r="R381" s="834"/>
      <c r="S381" s="834"/>
      <c r="T381" s="834"/>
      <c r="U381" s="834"/>
      <c r="V381" s="834"/>
      <c r="W381" s="834"/>
      <c r="X381" s="834"/>
      <c r="Y381" s="834"/>
      <c r="Z381" s="834"/>
      <c r="AA381" s="834"/>
      <c r="AB381" s="834"/>
      <c r="AC381" s="834"/>
      <c r="AD381" s="834"/>
      <c r="AE381" s="834"/>
      <c r="AF381" s="834"/>
      <c r="AG381" s="834"/>
      <c r="AH381" s="834"/>
      <c r="AJ381" s="836"/>
      <c r="AK381" s="836"/>
      <c r="AL381" s="836"/>
      <c r="AM381" s="836"/>
      <c r="AN381" s="836"/>
      <c r="AO381" s="836"/>
      <c r="AP381" s="836"/>
      <c r="AQ381" s="836"/>
      <c r="AR381" s="836"/>
      <c r="AS381" s="836"/>
      <c r="AT381" s="836"/>
      <c r="AU381" s="836"/>
      <c r="AV381" s="836"/>
      <c r="AW381" s="836"/>
      <c r="AX381" s="836"/>
      <c r="AY381" s="836"/>
      <c r="AZ381" s="836"/>
      <c r="BA381" s="836"/>
      <c r="BB381" s="836"/>
      <c r="BC381" s="836"/>
      <c r="BD381" s="836"/>
      <c r="BE381" s="836"/>
      <c r="BF381" s="836"/>
      <c r="BG381" s="836"/>
      <c r="BH381" s="836"/>
      <c r="BI381" s="836"/>
      <c r="BJ381" s="836"/>
      <c r="BK381" s="836"/>
      <c r="BL381" s="836"/>
      <c r="BM381" s="836"/>
      <c r="BN381" s="836"/>
      <c r="BO381" s="836"/>
      <c r="BP381" s="836"/>
      <c r="BR381" s="844" t="str">
        <f>IFERROR(__xludf.DUMMYFUNCTION("""COMPUTED_VALUE"""),"Nahmias")</f>
        <v>Nahmias</v>
      </c>
      <c r="BS381" s="838" t="str">
        <f>IFERROR(__xludf.DUMMYFUNCTION("""COMPUTED_VALUE"""),"Israel")</f>
        <v>Israel</v>
      </c>
      <c r="BT381" s="838" t="str">
        <f>IFERROR(__xludf.DUMMYFUNCTION("""COMPUTED_VALUE"""),"Albendazole &amp; Praziquantel ")</f>
        <v>Albendazole &amp; Praziquantel </v>
      </c>
      <c r="BU381" s="838"/>
      <c r="BV381" s="838"/>
      <c r="BW381" s="838"/>
      <c r="BX381" s="838">
        <f>IFERROR(__xludf.DUMMYFUNCTION("""COMPUTED_VALUE"""),5412.0)</f>
        <v>5412</v>
      </c>
      <c r="BY381" s="838"/>
      <c r="BZ381" s="838">
        <f>IFERROR(__xludf.DUMMYFUNCTION("""COMPUTED_VALUE"""),1990.0)</f>
        <v>1990</v>
      </c>
      <c r="CA381" s="838"/>
      <c r="CB381" s="838"/>
      <c r="CC381" s="838" t="str">
        <f>IFERROR(__xludf.DUMMYFUNCTION("""COMPUTED_VALUE"""),"No")</f>
        <v>No</v>
      </c>
      <c r="CD381" s="838" t="str">
        <f>IFERROR(__xludf.DUMMYFUNCTION("""COMPUTED_VALUE"""),"84.4%, 100%")</f>
        <v>84.4%, 100%</v>
      </c>
      <c r="CE381" s="838"/>
      <c r="CF381" s="838"/>
      <c r="CG381" s="838"/>
      <c r="CH381" s="838"/>
      <c r="CI381" s="838"/>
      <c r="CJ381" s="838"/>
      <c r="CK381" s="838"/>
      <c r="CL381" s="838"/>
      <c r="CM381" s="838"/>
      <c r="CN381" s="838"/>
      <c r="CO381" s="838"/>
      <c r="CP381" s="838"/>
      <c r="CQ381" s="838"/>
      <c r="CR381" s="838"/>
      <c r="CS381" s="838" t="str">
        <f>IFERROR(__xludf.DUMMYFUNCTION("""COMPUTED_VALUE"""),"In order to reduce morbidity and local transmission of instestinal parasites, mass treatment should be carried out with albendazole 400 mg and praziquantel 40 mg/kg body weight in a single dose. Intestinal protozoa do not justify mass treatment, but food "&amp;"workers and children in kindergartens or nursery schools should be exmined and treated individually.")</f>
        <v>In order to reduce morbidity and local transmission of instestinal parasites, mass treatment should be carried out with albendazole 400 mg and praziquantel 40 mg/kg body weight in a single dose. Intestinal protozoa do not justify mass treatment, but food workers and children in kindergartens or nursery schools should be exmined and treated individually.</v>
      </c>
      <c r="CT381" s="838"/>
      <c r="CU381" s="838"/>
      <c r="CV381" s="697" t="str">
        <f>IFERROR(__xludf.DUMMYFUNCTION("""COMPUTED_VALUE"""),"Nahmias, Jacov, et al. ""Mass treatment of intestinal parasites among Ethiopian immigrants."" Israel journal of medical sciences 27.5 (1991): 278-283.")</f>
        <v>Nahmias, Jacov, et al. "Mass treatment of intestinal parasites among Ethiopian immigrants." Israel journal of medical sciences 27.5 (1991): 278-283.</v>
      </c>
    </row>
    <row r="382">
      <c r="A382" s="834"/>
      <c r="B382" s="834"/>
      <c r="C382" s="834"/>
      <c r="D382" s="834"/>
      <c r="E382" s="834"/>
      <c r="F382" s="834"/>
      <c r="G382" s="834"/>
      <c r="H382" s="834"/>
      <c r="I382" s="834"/>
      <c r="J382" s="834"/>
      <c r="K382" s="834"/>
      <c r="L382" s="834"/>
      <c r="M382" s="834"/>
      <c r="N382" s="834"/>
      <c r="O382" s="834"/>
      <c r="P382" s="834"/>
      <c r="Q382" s="834"/>
      <c r="R382" s="834"/>
      <c r="S382" s="834"/>
      <c r="T382" s="834"/>
      <c r="U382" s="834"/>
      <c r="V382" s="834"/>
      <c r="W382" s="834"/>
      <c r="X382" s="834"/>
      <c r="Y382" s="834"/>
      <c r="Z382" s="834"/>
      <c r="AA382" s="834"/>
      <c r="AB382" s="834"/>
      <c r="AC382" s="834"/>
      <c r="AD382" s="834"/>
      <c r="AE382" s="834"/>
      <c r="AF382" s="834"/>
      <c r="AG382" s="834"/>
      <c r="AH382" s="834"/>
      <c r="AJ382" s="836"/>
      <c r="AK382" s="836"/>
      <c r="AL382" s="836"/>
      <c r="AM382" s="836"/>
      <c r="AN382" s="836"/>
      <c r="AO382" s="836"/>
      <c r="AP382" s="836"/>
      <c r="AQ382" s="836"/>
      <c r="AR382" s="836"/>
      <c r="AS382" s="836"/>
      <c r="AT382" s="836"/>
      <c r="AU382" s="836"/>
      <c r="AV382" s="836"/>
      <c r="AW382" s="836"/>
      <c r="AX382" s="836"/>
      <c r="AY382" s="836"/>
      <c r="AZ382" s="836"/>
      <c r="BA382" s="836"/>
      <c r="BB382" s="836"/>
      <c r="BC382" s="836"/>
      <c r="BD382" s="836"/>
      <c r="BE382" s="836"/>
      <c r="BF382" s="836"/>
      <c r="BG382" s="836"/>
      <c r="BH382" s="836"/>
      <c r="BI382" s="836"/>
      <c r="BJ382" s="836"/>
      <c r="BK382" s="836"/>
      <c r="BL382" s="836"/>
      <c r="BM382" s="836"/>
      <c r="BN382" s="836"/>
      <c r="BO382" s="836"/>
      <c r="BP382" s="836"/>
      <c r="BR382" s="844" t="str">
        <f>IFERROR(__xludf.DUMMYFUNCTION("""COMPUTED_VALUE"""),"Siza")</f>
        <v>Siza</v>
      </c>
      <c r="BS382" s="838" t="str">
        <f>IFERROR(__xludf.DUMMYFUNCTION("""COMPUTED_VALUE"""),"Tanzania")</f>
        <v>Tanzania</v>
      </c>
      <c r="BT382" s="838" t="str">
        <f>IFERROR(__xludf.DUMMYFUNCTION("""COMPUTED_VALUE"""),"Albendazole &amp; Praziquantel ")</f>
        <v>Albendazole &amp; Praziquantel </v>
      </c>
      <c r="BU382" s="838"/>
      <c r="BV382" s="838"/>
      <c r="BW382" s="838"/>
      <c r="BX382" s="838">
        <f>IFERROR(__xludf.DUMMYFUNCTION("""COMPUTED_VALUE"""),1606.0)</f>
        <v>1606</v>
      </c>
      <c r="BY382" s="838"/>
      <c r="BZ382" s="838">
        <f>IFERROR(__xludf.DUMMYFUNCTION("""COMPUTED_VALUE"""),2010.0)</f>
        <v>2010</v>
      </c>
      <c r="CA382" s="838" t="str">
        <f>IFERROR(__xludf.DUMMYFUNCTION("""COMPUTED_VALUE"""),"Male: 50% Female: 50%")</f>
        <v>Male: 50% Female: 50%</v>
      </c>
      <c r="CB382" s="838"/>
      <c r="CC382" s="838" t="str">
        <f>IFERROR(__xludf.DUMMYFUNCTION("""COMPUTED_VALUE"""),"No")</f>
        <v>No</v>
      </c>
      <c r="CD382" s="838"/>
      <c r="CE382" s="838"/>
      <c r="CF382" s="838"/>
      <c r="CG382" s="838"/>
      <c r="CH382" s="838"/>
      <c r="CI382" s="838"/>
      <c r="CJ382" s="838"/>
      <c r="CK382" s="838"/>
      <c r="CL382" s="838"/>
      <c r="CM382" s="838"/>
      <c r="CN382" s="838"/>
      <c r="CO382" s="838"/>
      <c r="CP382" s="838"/>
      <c r="CQ382" s="838"/>
      <c r="CR382" s="838"/>
      <c r="CS382" s="838" t="str">
        <f>IFERROR(__xludf.DUMMYFUNCTION("""COMPUTED_VALUE"""),"The study results showed that schistosomiasis and 3 STHs infections (hookworms, Ascaris, and Trichuris) were co-endem- ic in Lake Victoria basin in Tanzania with a high probability of polyparasitism in the study participants. The prevalence of S. mansoni,"&amp;" S. haematobium, and STHs ranged from low to mod- erate in most parts of the study area. Intestinal schistosomiasis was prevalent along the Lake Victoria shores and decreased with distance from it. Conversely, the prevalence of urogenital schistosomiasis "&amp;"increased with distance from the Lake. The distributions of both schistosome and geohelminth infections have important implications for integrated intervention in- cluding periodic community deworming programmes, provi- sion of safe water supply, and prop"&amp;"er health education relevant to good personal hygiene and good sanitary practices. These activities will facilitate the reduction of both prevalence and intensity of infections of schistosomiasis and STHs in such en- demic communities. Pre- and post-inter"&amp;"vention studies to as- sess knowledge, attitude, and practices of the concerned popu- lation cannot be overemphasized.")</f>
        <v>The study results showed that schistosomiasis and 3 STHs infections (hookworms, Ascaris, and Trichuris) were co-endem- ic in Lake Victoria basin in Tanzania with a high probability of polyparasitism in the study participants. The prevalence of S. mansoni, S. haematobium, and STHs ranged from low to mod- erate in most parts of the study area. Intestinal schistosomiasis was prevalent along the Lake Victoria shores and decreased with distance from it. Conversely, the prevalence of urogenital schistosomiasis increased with distance from the Lake. The distributions of both schistosome and geohelminth infections have important implications for integrated intervention in- cluding periodic community deworming programmes, provi- sion of safe water supply, and proper health education relevant to good personal hygiene and good sanitary practices. These activities will facilitate the reduction of both prevalence and intensity of infections of schistosomiasis and STHs in such en- demic communities. Pre- and post-intervention studies to as- sess knowledge, attitude, and practices of the concerned popu- lation cannot be overemphasized.</v>
      </c>
      <c r="CT382" s="838"/>
      <c r="CU382" s="838"/>
      <c r="CV382" s="697" t="str">
        <f>IFERROR(__xludf.DUMMYFUNCTION("""COMPUTED_VALUE"""),"Siza, Julius E., et al. ""Prevalence of schistosomes and soil-transmitted helminths and morbidity associated with schistosomiasis among adult population in Lake Victoria Basin, Tanzania."" The Korean journal of parasitology 53.5 (2015): 525.")</f>
        <v>Siza, Julius E., et al. "Prevalence of schistosomes and soil-transmitted helminths and morbidity associated with schistosomiasis among adult population in Lake Victoria Basin, Tanzania." The Korean journal of parasitology 53.5 (2015): 525.</v>
      </c>
    </row>
    <row r="383">
      <c r="A383" s="834"/>
      <c r="B383" s="834"/>
      <c r="C383" s="834"/>
      <c r="D383" s="834"/>
      <c r="E383" s="834"/>
      <c r="F383" s="834"/>
      <c r="G383" s="834"/>
      <c r="H383" s="834"/>
      <c r="I383" s="834"/>
      <c r="J383" s="834"/>
      <c r="K383" s="834"/>
      <c r="L383" s="834"/>
      <c r="M383" s="834"/>
      <c r="N383" s="834"/>
      <c r="O383" s="834"/>
      <c r="P383" s="834"/>
      <c r="Q383" s="834"/>
      <c r="R383" s="834"/>
      <c r="S383" s="834"/>
      <c r="T383" s="834"/>
      <c r="U383" s="834"/>
      <c r="V383" s="834"/>
      <c r="W383" s="834"/>
      <c r="X383" s="834"/>
      <c r="Y383" s="834"/>
      <c r="Z383" s="834"/>
      <c r="AA383" s="834"/>
      <c r="AB383" s="834"/>
      <c r="AC383" s="834"/>
      <c r="AD383" s="834"/>
      <c r="AE383" s="834"/>
      <c r="AF383" s="834"/>
      <c r="AG383" s="834"/>
      <c r="AH383" s="834"/>
      <c r="AJ383" s="836"/>
      <c r="AK383" s="836"/>
      <c r="AL383" s="836"/>
      <c r="AM383" s="836"/>
      <c r="AN383" s="836"/>
      <c r="AO383" s="836"/>
      <c r="AP383" s="836"/>
      <c r="AQ383" s="836"/>
      <c r="AR383" s="836"/>
      <c r="AS383" s="836"/>
      <c r="AT383" s="836"/>
      <c r="AU383" s="836"/>
      <c r="AV383" s="836"/>
      <c r="AW383" s="836"/>
      <c r="AX383" s="836"/>
      <c r="AY383" s="836"/>
      <c r="AZ383" s="836"/>
      <c r="BA383" s="836"/>
      <c r="BB383" s="836"/>
      <c r="BC383" s="836"/>
      <c r="BD383" s="836"/>
      <c r="BE383" s="836"/>
      <c r="BF383" s="836"/>
      <c r="BG383" s="836"/>
      <c r="BH383" s="836"/>
      <c r="BI383" s="836"/>
      <c r="BJ383" s="836"/>
      <c r="BK383" s="836"/>
      <c r="BL383" s="836"/>
      <c r="BM383" s="836"/>
      <c r="BN383" s="836"/>
      <c r="BO383" s="836"/>
      <c r="BP383" s="836"/>
      <c r="BR383" s="844" t="str">
        <f>IFERROR(__xludf.DUMMYFUNCTION("""COMPUTED_VALUE"""),"Siza et al")</f>
        <v>Siza et al</v>
      </c>
      <c r="BS383" s="838" t="str">
        <f>IFERROR(__xludf.DUMMYFUNCTION("""COMPUTED_VALUE"""),"Tanzania")</f>
        <v>Tanzania</v>
      </c>
      <c r="BT383" s="838" t="str">
        <f>IFERROR(__xludf.DUMMYFUNCTION("""COMPUTED_VALUE"""),"Albendazole &amp; Praziquantel ")</f>
        <v>Albendazole &amp; Praziquantel </v>
      </c>
      <c r="BU383" s="838"/>
      <c r="BV383" s="838"/>
      <c r="BW383" s="838"/>
      <c r="BX383" s="857">
        <f>IFERROR(__xludf.DUMMYFUNCTION("""COMPUTED_VALUE"""),5952.0)</f>
        <v>5952</v>
      </c>
      <c r="BY383" s="838"/>
      <c r="BZ383" s="838">
        <f>IFERROR(__xludf.DUMMYFUNCTION("""COMPUTED_VALUE"""),2010.0)</f>
        <v>2010</v>
      </c>
      <c r="CA383" s="838"/>
      <c r="CB383" s="838"/>
      <c r="CC383" s="838" t="str">
        <f>IFERROR(__xludf.DUMMYFUNCTION("""COMPUTED_VALUE"""),"No")</f>
        <v>No</v>
      </c>
      <c r="CD383" s="838"/>
      <c r="CE383" s="838"/>
      <c r="CF383" s="838"/>
      <c r="CG383" s="838"/>
      <c r="CH383" s="838"/>
      <c r="CI383" s="838"/>
      <c r="CJ383" s="838"/>
      <c r="CK383" s="838"/>
      <c r="CL383" s="838"/>
      <c r="CM383" s="838"/>
      <c r="CN383" s="838"/>
      <c r="CO383" s="838"/>
      <c r="CP383" s="838"/>
      <c r="CQ383" s="838"/>
      <c r="CR383" s="838"/>
      <c r="CS383" s="838" t="str">
        <f>IFERROR(__xludf.DUMMYFUNCTION("""COMPUTED_VALUE"""),"From the study findings, we recommend the followings to control schistosomiasis in the study area. First, there is a need for provision of health education to community members. This could be given in a participatory manner so that each member gets engage"&amp;"d in the learning process especially through peer educators. Second, study teams need to conduct regular research in order to control incidence and reinfection rates in the area by carrying out regular treatment exercises. Third, community-based provision"&amp;" of adequate safe water sup- ply and sanitation facilities are imperative. Water supply could be done through construction/drilling of wells at each sub-vil- lage, institutions, and health facility.")</f>
        <v>From the study findings, we recommend the followings to control schistosomiasis in the study area. First, there is a need for provision of health education to community members. This could be given in a participatory manner so that each member gets engaged in the learning process especially through peer educators. Second, study teams need to conduct regular research in order to control incidence and reinfection rates in the area by carrying out regular treatment exercises. Third, community-based provision of adequate safe water sup- ply and sanitation facilities are imperative. Water supply could be done through construction/drilling of wells at each sub-vil- lage, institutions, and health facility.</v>
      </c>
      <c r="CT383" s="838"/>
      <c r="CU383" s="838"/>
      <c r="CV383" s="697" t="str">
        <f>IFERROR(__xludf.DUMMYFUNCTION("""COMPUTED_VALUE"""),"Siza, Julius E., et al. ""Prevalence of Schistosomes and Soil-Transmitted Helminths among Schoolchildren in Lake Victoria Basin, Tanzania."" The Korean journal of parasitology 53.5 (2015): 515.")</f>
        <v>Siza, Julius E., et al. "Prevalence of Schistosomes and Soil-Transmitted Helminths among Schoolchildren in Lake Victoria Basin, Tanzania." The Korean journal of parasitology 53.5 (2015): 515.</v>
      </c>
    </row>
    <row r="384">
      <c r="A384" s="834"/>
      <c r="B384" s="834"/>
      <c r="C384" s="834"/>
      <c r="D384" s="834"/>
      <c r="E384" s="834"/>
      <c r="F384" s="834"/>
      <c r="G384" s="834"/>
      <c r="H384" s="834"/>
      <c r="I384" s="834"/>
      <c r="J384" s="834"/>
      <c r="K384" s="834"/>
      <c r="L384" s="834"/>
      <c r="M384" s="834"/>
      <c r="N384" s="834"/>
      <c r="O384" s="834"/>
      <c r="P384" s="834"/>
      <c r="Q384" s="834"/>
      <c r="R384" s="834"/>
      <c r="S384" s="834"/>
      <c r="T384" s="834"/>
      <c r="U384" s="834"/>
      <c r="V384" s="834"/>
      <c r="W384" s="834"/>
      <c r="X384" s="834"/>
      <c r="Y384" s="834"/>
      <c r="Z384" s="834"/>
      <c r="AA384" s="834"/>
      <c r="AB384" s="834"/>
      <c r="AC384" s="834"/>
      <c r="AD384" s="834"/>
      <c r="AE384" s="834"/>
      <c r="AF384" s="834"/>
      <c r="AG384" s="834"/>
      <c r="AH384" s="834"/>
      <c r="AJ384" s="836"/>
      <c r="AK384" s="836"/>
      <c r="AL384" s="836"/>
      <c r="AM384" s="836"/>
      <c r="AN384" s="836"/>
      <c r="AO384" s="836"/>
      <c r="AP384" s="836"/>
      <c r="AQ384" s="836"/>
      <c r="AR384" s="836"/>
      <c r="AS384" s="836"/>
      <c r="AT384" s="836"/>
      <c r="AU384" s="836"/>
      <c r="AV384" s="836"/>
      <c r="AW384" s="836"/>
      <c r="AX384" s="836"/>
      <c r="AY384" s="836"/>
      <c r="AZ384" s="836"/>
      <c r="BA384" s="836"/>
      <c r="BB384" s="836"/>
      <c r="BC384" s="836"/>
      <c r="BD384" s="836"/>
      <c r="BE384" s="836"/>
      <c r="BF384" s="836"/>
      <c r="BG384" s="836"/>
      <c r="BH384" s="836"/>
      <c r="BI384" s="836"/>
      <c r="BJ384" s="836"/>
      <c r="BK384" s="836"/>
      <c r="BL384" s="836"/>
      <c r="BM384" s="836"/>
      <c r="BN384" s="836"/>
      <c r="BO384" s="836"/>
      <c r="BP384" s="836"/>
      <c r="BR384" s="844" t="str">
        <f>IFERROR(__xludf.DUMMYFUNCTION("""COMPUTED_VALUE"""),"Kinung’hi")</f>
        <v>Kinung’hi</v>
      </c>
      <c r="BS384" s="838" t="str">
        <f>IFERROR(__xludf.DUMMYFUNCTION("""COMPUTED_VALUE"""),"Tanzania")</f>
        <v>Tanzania</v>
      </c>
      <c r="BT384" s="838" t="str">
        <f>IFERROR(__xludf.DUMMYFUNCTION("""COMPUTED_VALUE"""),"Albendazole &amp; Praziquantel ")</f>
        <v>Albendazole &amp; Praziquantel </v>
      </c>
      <c r="BU384" s="838"/>
      <c r="BV384" s="838"/>
      <c r="BW384" s="838"/>
      <c r="BX384" s="838">
        <f>IFERROR(__xludf.DUMMYFUNCTION("""COMPUTED_VALUE"""),1546.0)</f>
        <v>1546</v>
      </c>
      <c r="BY384" s="838" t="str">
        <f>IFERROR(__xludf.DUMMYFUNCTION("""COMPUTED_VALUE"""),"mean 7")</f>
        <v>mean 7</v>
      </c>
      <c r="BZ384" s="838">
        <f>IFERROR(__xludf.DUMMYFUNCTION("""COMPUTED_VALUE"""),2007.0)</f>
        <v>2007</v>
      </c>
      <c r="CA384" s="838" t="str">
        <f>IFERROR(__xludf.DUMMYFUNCTION("""COMPUTED_VALUE"""),"Male: 392 Female: 373")</f>
        <v>Male: 392 Female: 373</v>
      </c>
      <c r="CB384" s="838" t="str">
        <f>IFERROR(__xludf.DUMMYFUNCTION("""COMPUTED_VALUE""")," The inclusion criteria were: Being pre-school children (age 3 to 5 years) or school children (age 6 to 13 years) living in the se- lected villages for at least one year. In addition, selected children were those infected with either S. mansoni or S. haem"&amp;"atobium or both. ")</f>
        <v> The inclusion criteria were: Being pre-school children (age 3 to 5 years) or school children (age 6 to 13 years) living in the se- lected villages for at least one year. In addition, selected children were those infected with either S. mansoni or S. haematobium or both. </v>
      </c>
      <c r="CC384" s="838" t="str">
        <f>IFERROR(__xludf.DUMMYFUNCTION("""COMPUTED_VALUE"""),"No")</f>
        <v>No</v>
      </c>
      <c r="CD384" s="838"/>
      <c r="CE384" s="838"/>
      <c r="CF384" s="838"/>
      <c r="CG384" s="838"/>
      <c r="CH384" s="838"/>
      <c r="CI384" s="838"/>
      <c r="CJ384" s="838"/>
      <c r="CK384" s="838"/>
      <c r="CL384" s="838"/>
      <c r="CM384" s="838"/>
      <c r="CN384" s="838"/>
      <c r="CO384" s="838"/>
      <c r="CP384" s="838"/>
      <c r="CQ384" s="838"/>
      <c r="CR384" s="838"/>
      <c r="CS384" s="838" t="str">
        <f>IFERROR(__xludf.DUMMYFUNCTION("""COMPUTED_VALUE"""),"In conclusion, findings of the current study show that repeated anthelmintic treatment did not have a direct impact on malaria infection (prevalence, malaria parasite density and frequency of malaria attacks) as compared to single dose annual treatment. H"&amp;"owever, both treat- ments had an overall impact in terms of improvements of haemoglobin levels and hence reductions in preva- lence of anaemia.")</f>
        <v>In conclusion, findings of the current study show that repeated anthelmintic treatment did not have a direct impact on malaria infection (prevalence, malaria parasite density and frequency of malaria attacks) as compared to single dose annual treatment. However, both treat- ments had an overall impact in terms of improvements of haemoglobin levels and hence reductions in preva- lence of anaemia.</v>
      </c>
      <c r="CT384" s="838"/>
      <c r="CU384" s="838"/>
      <c r="CV384" s="697" t="str">
        <f>IFERROR(__xludf.DUMMYFUNCTION("""COMPUTED_VALUE"""),"Kinung’hi, Safari M., et al. ""The impact of anthelmintic treatment intervention on malaria infection and anaemia in school and preschool children in Magu district, Tanzania: an open label randomised intervention trial."" BMC infectious diseases 15.1 (201"&amp;"5): 1.")</f>
        <v>Kinung’hi, Safari M., et al. "The impact of anthelmintic treatment intervention on malaria infection and anaemia in school and preschool children in Magu district, Tanzania: an open label randomised intervention trial." BMC infectious diseases 15.1 (2015): 1.</v>
      </c>
    </row>
    <row r="385">
      <c r="A385" s="834"/>
      <c r="B385" s="834"/>
      <c r="C385" s="834"/>
      <c r="D385" s="834"/>
      <c r="E385" s="834"/>
      <c r="F385" s="834"/>
      <c r="G385" s="834"/>
      <c r="H385" s="834"/>
      <c r="I385" s="834"/>
      <c r="J385" s="834"/>
      <c r="K385" s="834"/>
      <c r="L385" s="834"/>
      <c r="M385" s="834"/>
      <c r="N385" s="834"/>
      <c r="O385" s="834"/>
      <c r="P385" s="834"/>
      <c r="Q385" s="834"/>
      <c r="R385" s="834"/>
      <c r="S385" s="834"/>
      <c r="T385" s="834"/>
      <c r="U385" s="834"/>
      <c r="V385" s="834"/>
      <c r="W385" s="834"/>
      <c r="X385" s="834"/>
      <c r="Y385" s="834"/>
      <c r="Z385" s="834"/>
      <c r="AA385" s="834"/>
      <c r="AB385" s="834"/>
      <c r="AC385" s="834"/>
      <c r="AD385" s="834"/>
      <c r="AE385" s="834"/>
      <c r="AF385" s="834"/>
      <c r="AG385" s="834"/>
      <c r="AH385" s="834"/>
      <c r="AJ385" s="836"/>
      <c r="AK385" s="836"/>
      <c r="AL385" s="836"/>
      <c r="AM385" s="836"/>
      <c r="AN385" s="836"/>
      <c r="AO385" s="836"/>
      <c r="AP385" s="836"/>
      <c r="AQ385" s="836"/>
      <c r="AR385" s="836"/>
      <c r="AS385" s="836"/>
      <c r="AT385" s="836"/>
      <c r="AU385" s="836"/>
      <c r="AV385" s="836"/>
      <c r="AW385" s="836"/>
      <c r="AX385" s="836"/>
      <c r="AY385" s="836"/>
      <c r="AZ385" s="836"/>
      <c r="BA385" s="836"/>
      <c r="BB385" s="836"/>
      <c r="BC385" s="836"/>
      <c r="BD385" s="836"/>
      <c r="BE385" s="836"/>
      <c r="BF385" s="836"/>
      <c r="BG385" s="836"/>
      <c r="BH385" s="836"/>
      <c r="BI385" s="836"/>
      <c r="BJ385" s="836"/>
      <c r="BK385" s="836"/>
      <c r="BL385" s="836"/>
      <c r="BM385" s="836"/>
      <c r="BN385" s="836"/>
      <c r="BO385" s="836"/>
      <c r="BP385" s="836"/>
      <c r="BR385" s="844" t="str">
        <f>IFERROR(__xludf.DUMMYFUNCTION("""COMPUTED_VALUE"""),"Hürlimann")</f>
        <v>Hürlimann</v>
      </c>
      <c r="BS385" s="838" t="str">
        <f>IFERROR(__xludf.DUMMYFUNCTION("""COMPUTED_VALUE"""),"Côte
d’Ivoire")</f>
        <v>Côte
d’Ivoire</v>
      </c>
      <c r="BT385" s="838" t="str">
        <f>IFERROR(__xludf.DUMMYFUNCTION("""COMPUTED_VALUE"""),"Albendazole &amp; Praziquantel ")</f>
        <v>Albendazole &amp; Praziquantel </v>
      </c>
      <c r="BU385" s="838"/>
      <c r="BV385" s="838"/>
      <c r="BW385" s="838"/>
      <c r="BX385" s="838">
        <f>IFERROR(__xludf.DUMMYFUNCTION("""COMPUTED_VALUE"""),76.0)</f>
        <v>76</v>
      </c>
      <c r="BY385" s="838" t="str">
        <f>IFERROR(__xludf.DUMMYFUNCTION("""COMPUTED_VALUE"""),"mean 10.6")</f>
        <v>mean 10.6</v>
      </c>
      <c r="BZ385" s="838">
        <f>IFERROR(__xludf.DUMMYFUNCTION("""COMPUTED_VALUE"""),2012.0)</f>
        <v>2012</v>
      </c>
      <c r="CA385" s="838" t="str">
        <f>IFERROR(__xludf.DUMMYFUNCTION("""COMPUTED_VALUE"""),"Male: 134 Female: 123")</f>
        <v>Male: 134 Female: 123</v>
      </c>
      <c r="CB385" s="838"/>
      <c r="CC385" s="838" t="str">
        <f>IFERROR(__xludf.DUMMYFUNCTION("""COMPUTED_VALUE"""),"No")</f>
        <v>No</v>
      </c>
      <c r="CD385" s="846">
        <f>IFERROR(__xludf.DUMMYFUNCTION("""COMPUTED_VALUE"""),0.79)</f>
        <v>0.79</v>
      </c>
      <c r="CE385" s="838"/>
      <c r="CF385" s="838"/>
      <c r="CG385" s="838"/>
      <c r="CH385" s="838"/>
      <c r="CI385" s="838"/>
      <c r="CJ385" s="838" t="str">
        <f>IFERROR(__xludf.DUMMYFUNCTION("""COMPUTED_VALUE"""),"For S. mansoni and hookworm, we found ERRs of 98.6% and 99.6%, respectively")</f>
        <v>For S. mansoni and hookworm, we found ERRs of 98.6% and 99.6%, respectively</v>
      </c>
      <c r="CK385" s="838"/>
      <c r="CL385" s="838"/>
      <c r="CM385" s="838"/>
      <c r="CN385" s="838"/>
      <c r="CO385" s="838"/>
      <c r="CP385" s="838"/>
      <c r="CQ385" s="838"/>
      <c r="CR385" s="838"/>
      <c r="CS385" s="838" t="str">
        <f>IFERROR(__xludf.DUMMYFUNCTION("""COMPUTED_VALUE"""),"Our study could not identify major detrimental effects on Plasmodium-related pathology in helminth co-infected individuals, a potential increase of Plasmodium para- sitaemia in S. mansoni-infected children, however, was indicated after two rounds of dewor"&amp;"ming. For future intervention studies assessing effects on clinical and subtle morbidity in helminth-malaria co-endemic settings different interventions and study designs could be an op- tion to consider. These may include the use of supplemen- tary treat"&amp;"ment besides deworming, which also impact on Plasmodium spp. infection and directly on clinical out- comes (e.g. IPT or administration of iron-fortified food products), implemented as a longitudinal cohort study with a follow-up period of at least 2 years"&amp;". We regard the mea- sures used to assess physical and cognitive impairment as appropriate, but future studies may profit from a repeated measures approach and a prolonged follow-up period to strengthen findings and to assess not only potential short- ter"&amp;"m effects. With regard to control and morbidity reduc- tion, our findings highlight the need of combined strat- egies for achieving greater impact and forestalling potential exacerbating effects in settings with stable mal- aria transmission.
")</f>
        <v>Our study could not identify major detrimental effects on Plasmodium-related pathology in helminth co-infected individuals, a potential increase of Plasmodium para- sitaemia in S. mansoni-infected children, however, was indicated after two rounds of deworming. For future intervention studies assessing effects on clinical and subtle morbidity in helminth-malaria co-endemic settings different interventions and study designs could be an op- tion to consider. These may include the use of supplemen- tary treatment besides deworming, which also impact on Plasmodium spp. infection and directly on clinical out- comes (e.g. IPT or administration of iron-fortified food products), implemented as a longitudinal cohort study with a follow-up period of at least 2 years. We regard the mea- sures used to assess physical and cognitive impairment as appropriate, but future studies may profit from a repeated measures approach and a prolonged follow-up period to strengthen findings and to assess not only potential short- term effects. With regard to control and morbidity reduc- tion, our findings highlight the need of combined strat- egies for achieving greater impact and forestalling potential exacerbating effects in settings with stable mal- aria transmission.
</v>
      </c>
      <c r="CT385" s="838"/>
      <c r="CU385" s="838"/>
      <c r="CV385" s="697" t="str">
        <f>IFERROR(__xludf.DUMMYFUNCTION("""COMPUTED_VALUE"""),"Hürlimann, Eveline, et al. ""Effect of deworming on school-aged children’s physical fitness, cognition and clinical parameters in a malaria-helminth co-endemic area of Côte d’Ivoire."" BMC infectious diseases 14.1 (2014): 1.")</f>
        <v>Hürlimann, Eveline, et al. "Effect of deworming on school-aged children’s physical fitness, cognition and clinical parameters in a malaria-helminth co-endemic area of Côte d’Ivoire." BMC infectious diseases 14.1 (2014): 1.</v>
      </c>
    </row>
    <row r="386">
      <c r="A386" s="834"/>
      <c r="B386" s="834"/>
      <c r="C386" s="834"/>
      <c r="D386" s="834"/>
      <c r="E386" s="834"/>
      <c r="F386" s="834"/>
      <c r="G386" s="834"/>
      <c r="H386" s="834"/>
      <c r="I386" s="834"/>
      <c r="J386" s="834"/>
      <c r="K386" s="834"/>
      <c r="L386" s="834"/>
      <c r="M386" s="834"/>
      <c r="N386" s="834"/>
      <c r="O386" s="834"/>
      <c r="P386" s="834"/>
      <c r="Q386" s="834"/>
      <c r="R386" s="834"/>
      <c r="S386" s="834"/>
      <c r="T386" s="834"/>
      <c r="U386" s="834"/>
      <c r="V386" s="834"/>
      <c r="W386" s="834"/>
      <c r="X386" s="834"/>
      <c r="Y386" s="834"/>
      <c r="Z386" s="834"/>
      <c r="AA386" s="834"/>
      <c r="AB386" s="834"/>
      <c r="AC386" s="834"/>
      <c r="AD386" s="834"/>
      <c r="AE386" s="834"/>
      <c r="AF386" s="834"/>
      <c r="AG386" s="834"/>
      <c r="AH386" s="834"/>
      <c r="AJ386" s="836"/>
      <c r="AK386" s="836"/>
      <c r="AL386" s="836"/>
      <c r="AM386" s="836"/>
      <c r="AN386" s="836"/>
      <c r="AO386" s="836"/>
      <c r="AP386" s="836"/>
      <c r="AQ386" s="836"/>
      <c r="AR386" s="836"/>
      <c r="AS386" s="836"/>
      <c r="AT386" s="836"/>
      <c r="AU386" s="836"/>
      <c r="AV386" s="836"/>
      <c r="AW386" s="836"/>
      <c r="AX386" s="836"/>
      <c r="AY386" s="836"/>
      <c r="AZ386" s="836"/>
      <c r="BA386" s="836"/>
      <c r="BB386" s="836"/>
      <c r="BC386" s="836"/>
      <c r="BD386" s="836"/>
      <c r="BE386" s="836"/>
      <c r="BF386" s="836"/>
      <c r="BG386" s="836"/>
      <c r="BH386" s="836"/>
      <c r="BI386" s="836"/>
      <c r="BJ386" s="836"/>
      <c r="BK386" s="836"/>
      <c r="BL386" s="836"/>
      <c r="BM386" s="836"/>
      <c r="BN386" s="836"/>
      <c r="BO386" s="836"/>
      <c r="BP386" s="836"/>
      <c r="BR386" s="844" t="str">
        <f>IFERROR(__xludf.DUMMYFUNCTION("""COMPUTED_VALUE"""),"Dunyo")</f>
        <v>Dunyo</v>
      </c>
      <c r="BS386" s="838" t="str">
        <f>IFERROR(__xludf.DUMMYFUNCTION("""COMPUTED_VALUE"""),"Ghana")</f>
        <v>Ghana</v>
      </c>
      <c r="BT386" s="838" t="str">
        <f>IFERROR(__xludf.DUMMYFUNCTION("""COMPUTED_VALUE"""),"Ivermectin &amp; Albendazole")</f>
        <v>Ivermectin &amp; Albendazole</v>
      </c>
      <c r="BU386" s="838"/>
      <c r="BV386" s="838" t="str">
        <f>IFERROR(__xludf.DUMMYFUNCTION("""COMPUTED_VALUE"""),"Once")</f>
        <v>Once</v>
      </c>
      <c r="BW386" s="838" t="str">
        <f>IFERROR(__xludf.DUMMYFUNCTION("""COMPUTED_VALUE"""),"(150-200 &amp;kg bodyweight) + 400 mg")</f>
        <v>(150-200 &amp;kg bodyweight) + 400 mg</v>
      </c>
      <c r="BX386" s="838">
        <f>IFERROR(__xludf.DUMMYFUNCTION("""COMPUTED_VALUE"""),370.0)</f>
        <v>370</v>
      </c>
      <c r="BY386" s="838" t="str">
        <f>IFERROR(__xludf.DUMMYFUNCTION("""COMPUTED_VALUE"""),"Mean age of 26.9")</f>
        <v>Mean age of 26.9</v>
      </c>
      <c r="BZ386" s="838">
        <f>IFERROR(__xludf.DUMMYFUNCTION("""COMPUTED_VALUE"""),1996.0)</f>
        <v>1996</v>
      </c>
      <c r="CA386" s="838" t="str">
        <f>IFERROR(__xludf.DUMMYFUNCTION("""COMPUTED_VALUE"""),"(193/177)")</f>
        <v>(193/177)</v>
      </c>
      <c r="CB386" s="838"/>
      <c r="CC386" s="838" t="str">
        <f>IFERROR(__xludf.DUMMYFUNCTION("""COMPUTED_VALUE"""),"Yes")</f>
        <v>Yes</v>
      </c>
      <c r="CD386" s="838"/>
      <c r="CE386" s="838" t="str">
        <f>IFERROR(__xludf.DUMMYFUNCTION("""COMPUTED_VALUE"""),"Yes")</f>
        <v>Yes</v>
      </c>
      <c r="CF386" s="838"/>
      <c r="CG386" s="838"/>
      <c r="CH386" s="838"/>
      <c r="CI386" s="838"/>
      <c r="CJ386" s="838"/>
      <c r="CK386" s="838"/>
      <c r="CL386" s="838"/>
      <c r="CM386" s="838"/>
      <c r="CN386" s="838"/>
      <c r="CO386" s="838"/>
      <c r="CP386" s="838"/>
      <c r="CQ386" s="838"/>
      <c r="CR386" s="838"/>
      <c r="CS386" s="838" t="str">
        <f>IFERROR(__xludf.DUMMYFUNCTION("""COMPUTED_VALUE"""),"The combination of albendazole and ivermectin produced a profound and statistically significant reduction in W bancroft microfilaraemias up to 12 months after treatment. Thus, mf GMIs were reduced to 0*9%, 6.9% and 11.4% ofpre-treatment values at 3,6 and "&amp;"12 months, respectively; 37.0%, 19.6% and 14.1% of those infected before treatment were cleared of mf at the same time points. However, when compared to the treatment with ivermectin alone, the combination treatment was only statistically significantly mo"&amp;"re effective in reducing microfilaraemias at 3 months after treatment, but not at the critical time points of 6 and 12 months after treatment.Furthermore, an ‘area under the curve’ analysis, which summarizes and compares individual responses to treatment "&amp;"over the l-year follow-up period, showed no difference between the ivermectin and combination-treatment groups.")</f>
        <v>The combination of albendazole and ivermectin produced a profound and statistically significant reduction in W bancroft microfilaraemias up to 12 months after treatment. Thus, mf GMIs were reduced to 0*9%, 6.9% and 11.4% ofpre-treatment values at 3,6 and 12 months, respectively; 37.0%, 19.6% and 14.1% of those infected before treatment were cleared of mf at the same time points. However, when compared to the treatment with ivermectin alone, the combination treatment was only statistically significantly more effective in reducing microfilaraemias at 3 months after treatment, but not at the critical time points of 6 and 12 months after treatment.Furthermore, an ‘area under the curve’ analysis, which summarizes and compares individual responses to treatment over the l-year follow-up period, showed no difference between the ivermectin and combination-treatment groups.</v>
      </c>
      <c r="CT386" s="838"/>
      <c r="CU386" s="838"/>
      <c r="CV386" s="697" t="str">
        <f>IFERROR(__xludf.DUMMYFUNCTION("""COMPUTED_VALUE"""),"Dunyo, Samuel K., Francis K. Nkrumah, and Paul E. Simonsen. ""A randomized double-blind placebo-controlled field trial of ivermectin and albendazole alone and in combination for the treatment of lymphatic filariasis in Ghana."" Transactions of the Royal S"&amp;"ociety of Tropical Medicine and Hygiene 94.2 (2000): 205-211.")</f>
        <v>Dunyo, Samuel K., Francis K. Nkrumah, and Paul E. Simonsen. "A randomized double-blind placebo-controlled field trial of ivermectin and albendazole alone and in combination for the treatment of lymphatic filariasis in Ghana." Transactions of the Royal Society of Tropical Medicine and Hygiene 94.2 (2000): 205-211.</v>
      </c>
    </row>
    <row r="387">
      <c r="A387" s="834"/>
      <c r="B387" s="834"/>
      <c r="C387" s="834"/>
      <c r="D387" s="834"/>
      <c r="E387" s="834"/>
      <c r="F387" s="834"/>
      <c r="G387" s="834"/>
      <c r="H387" s="834"/>
      <c r="I387" s="834"/>
      <c r="J387" s="834"/>
      <c r="K387" s="834"/>
      <c r="L387" s="834"/>
      <c r="M387" s="834"/>
      <c r="N387" s="834"/>
      <c r="O387" s="834"/>
      <c r="P387" s="834"/>
      <c r="Q387" s="834"/>
      <c r="R387" s="834"/>
      <c r="S387" s="834"/>
      <c r="T387" s="834"/>
      <c r="U387" s="834"/>
      <c r="V387" s="834"/>
      <c r="W387" s="834"/>
      <c r="X387" s="834"/>
      <c r="Y387" s="834"/>
      <c r="Z387" s="834"/>
      <c r="AA387" s="834"/>
      <c r="AB387" s="834"/>
      <c r="AC387" s="834"/>
      <c r="AD387" s="834"/>
      <c r="AE387" s="834"/>
      <c r="AF387" s="834"/>
      <c r="AG387" s="834"/>
      <c r="AH387" s="834"/>
      <c r="AJ387" s="836"/>
      <c r="AK387" s="836"/>
      <c r="AL387" s="836"/>
      <c r="AM387" s="836"/>
      <c r="AN387" s="836"/>
      <c r="AO387" s="836"/>
      <c r="AP387" s="836"/>
      <c r="AQ387" s="836"/>
      <c r="AR387" s="836"/>
      <c r="AS387" s="836"/>
      <c r="AT387" s="836"/>
      <c r="AU387" s="836"/>
      <c r="AV387" s="836"/>
      <c r="AW387" s="836"/>
      <c r="AX387" s="836"/>
      <c r="AY387" s="836"/>
      <c r="AZ387" s="836"/>
      <c r="BA387" s="836"/>
      <c r="BB387" s="836"/>
      <c r="BC387" s="836"/>
      <c r="BD387" s="836"/>
      <c r="BE387" s="836"/>
      <c r="BF387" s="836"/>
      <c r="BG387" s="836"/>
      <c r="BH387" s="836"/>
      <c r="BI387" s="836"/>
      <c r="BJ387" s="836"/>
      <c r="BK387" s="836"/>
      <c r="BL387" s="836"/>
      <c r="BM387" s="836"/>
      <c r="BN387" s="836"/>
      <c r="BO387" s="836"/>
      <c r="BP387" s="836"/>
      <c r="BR387" s="844" t="str">
        <f>IFERROR(__xludf.DUMMYFUNCTION("""COMPUTED_VALUE"""),"Dunyo")</f>
        <v>Dunyo</v>
      </c>
      <c r="BS387" s="838" t="str">
        <f>IFERROR(__xludf.DUMMYFUNCTION("""COMPUTED_VALUE"""),"Ghana")</f>
        <v>Ghana</v>
      </c>
      <c r="BT387" s="838" t="str">
        <f>IFERROR(__xludf.DUMMYFUNCTION("""COMPUTED_VALUE"""),"Albendazole")</f>
        <v>Albendazole</v>
      </c>
      <c r="BU387" s="838"/>
      <c r="BV387" s="838" t="str">
        <f>IFERROR(__xludf.DUMMYFUNCTION("""COMPUTED_VALUE"""),"Once")</f>
        <v>Once</v>
      </c>
      <c r="BW387" s="838" t="str">
        <f>IFERROR(__xludf.DUMMYFUNCTION("""COMPUTED_VALUE"""),"400 mg")</f>
        <v>400 mg</v>
      </c>
      <c r="BX387" s="838">
        <f>IFERROR(__xludf.DUMMYFUNCTION("""COMPUTED_VALUE"""),369.0)</f>
        <v>369</v>
      </c>
      <c r="BY387" s="838" t="str">
        <f>IFERROR(__xludf.DUMMYFUNCTION("""COMPUTED_VALUE"""),"Mean age of 25.8")</f>
        <v>Mean age of 25.8</v>
      </c>
      <c r="BZ387" s="838">
        <f>IFERROR(__xludf.DUMMYFUNCTION("""COMPUTED_VALUE"""),1996.0)</f>
        <v>1996</v>
      </c>
      <c r="CA387" s="838" t="str">
        <f>IFERROR(__xludf.DUMMYFUNCTION("""COMPUTED_VALUE"""),"(175/194)")</f>
        <v>(175/194)</v>
      </c>
      <c r="CB387" s="838"/>
      <c r="CC387" s="838" t="str">
        <f>IFERROR(__xludf.DUMMYFUNCTION("""COMPUTED_VALUE"""),"Yes")</f>
        <v>Yes</v>
      </c>
      <c r="CD387" s="838"/>
      <c r="CE387" s="838" t="str">
        <f>IFERROR(__xludf.DUMMYFUNCTION("""COMPUTED_VALUE"""),"Yes")</f>
        <v>Yes</v>
      </c>
      <c r="CF387" s="838"/>
      <c r="CG387" s="838"/>
      <c r="CH387" s="838"/>
      <c r="CI387" s="838"/>
      <c r="CJ387" s="838"/>
      <c r="CK387" s="838"/>
      <c r="CL387" s="838"/>
      <c r="CM387" s="838"/>
      <c r="CN387" s="838"/>
      <c r="CO387" s="838"/>
      <c r="CP387" s="838"/>
      <c r="CQ387" s="838"/>
      <c r="CR387" s="838"/>
      <c r="CS387" s="838" t="str">
        <f>IFERROR(__xludf.DUMMYFUNCTION("""COMPUTED_VALUE"""),"The combination of albendazole and ivermectin produced a profound and statistically significant reduction in W bancroft microfilaraemias up to 12 months after treatment. Thus, mf GMIs were reduced to 0*9%, 6.9% and 11.4% ofpre-treatment values at 3,6 and "&amp;"12 months, respectively; 37.0%, 19.6% and 14.1% of those infected before treatment were cleared of mf at the same time points. However, when compared to the treatment with ivermectin alone, the combination treatment was only statistically significantly mo"&amp;"re effective in reducing microfilaraemias at 3 months after treatment, but not at the critical time points of 6 and 12 months after treatment.Furthermore, an ‘area under the curve’ analysis, which summarizes and compares individual responses to treatment "&amp;"over the l-year follow-up period, showed no difference between the ivermectin and combination-treatment groups.")</f>
        <v>The combination of albendazole and ivermectin produced a profound and statistically significant reduction in W bancroft microfilaraemias up to 12 months after treatment. Thus, mf GMIs were reduced to 0*9%, 6.9% and 11.4% ofpre-treatment values at 3,6 and 12 months, respectively; 37.0%, 19.6% and 14.1% of those infected before treatment were cleared of mf at the same time points. However, when compared to the treatment with ivermectin alone, the combination treatment was only statistically significantly more effective in reducing microfilaraemias at 3 months after treatment, but not at the critical time points of 6 and 12 months after treatment.Furthermore, an ‘area under the curve’ analysis, which summarizes and compares individual responses to treatment over the l-year follow-up period, showed no difference between the ivermectin and combination-treatment groups.</v>
      </c>
      <c r="CT387" s="838"/>
      <c r="CU387" s="838"/>
      <c r="CV387" s="697"/>
    </row>
    <row r="388">
      <c r="A388" s="834"/>
      <c r="B388" s="834"/>
      <c r="C388" s="834"/>
      <c r="D388" s="834"/>
      <c r="E388" s="834"/>
      <c r="F388" s="834"/>
      <c r="G388" s="834"/>
      <c r="H388" s="834"/>
      <c r="I388" s="834"/>
      <c r="J388" s="834"/>
      <c r="K388" s="834"/>
      <c r="L388" s="834"/>
      <c r="M388" s="834"/>
      <c r="N388" s="834"/>
      <c r="O388" s="834"/>
      <c r="P388" s="834"/>
      <c r="Q388" s="834"/>
      <c r="R388" s="834"/>
      <c r="S388" s="834"/>
      <c r="T388" s="834"/>
      <c r="U388" s="834"/>
      <c r="V388" s="834"/>
      <c r="W388" s="834"/>
      <c r="X388" s="834"/>
      <c r="Y388" s="834"/>
      <c r="Z388" s="834"/>
      <c r="AA388" s="834"/>
      <c r="AB388" s="834"/>
      <c r="AC388" s="834"/>
      <c r="AD388" s="834"/>
      <c r="AE388" s="834"/>
      <c r="AF388" s="834"/>
      <c r="AG388" s="834"/>
      <c r="AH388" s="834"/>
      <c r="AJ388" s="836"/>
      <c r="AK388" s="836"/>
      <c r="AL388" s="836"/>
      <c r="AM388" s="836"/>
      <c r="AN388" s="836"/>
      <c r="AO388" s="836"/>
      <c r="AP388" s="836"/>
      <c r="AQ388" s="836"/>
      <c r="AR388" s="836"/>
      <c r="AS388" s="836"/>
      <c r="AT388" s="836"/>
      <c r="AU388" s="836"/>
      <c r="AV388" s="836"/>
      <c r="AW388" s="836"/>
      <c r="AX388" s="836"/>
      <c r="AY388" s="836"/>
      <c r="AZ388" s="836"/>
      <c r="BA388" s="836"/>
      <c r="BB388" s="836"/>
      <c r="BC388" s="836"/>
      <c r="BD388" s="836"/>
      <c r="BE388" s="836"/>
      <c r="BF388" s="836"/>
      <c r="BG388" s="836"/>
      <c r="BH388" s="836"/>
      <c r="BI388" s="836"/>
      <c r="BJ388" s="836"/>
      <c r="BK388" s="836"/>
      <c r="BL388" s="836"/>
      <c r="BM388" s="836"/>
      <c r="BN388" s="836"/>
      <c r="BO388" s="836"/>
      <c r="BP388" s="836"/>
      <c r="BR388" s="844" t="str">
        <f>IFERROR(__xludf.DUMMYFUNCTION("""COMPUTED_VALUE"""),"Dunyo")</f>
        <v>Dunyo</v>
      </c>
      <c r="BS388" s="838" t="str">
        <f>IFERROR(__xludf.DUMMYFUNCTION("""COMPUTED_VALUE"""),"Ghana")</f>
        <v>Ghana</v>
      </c>
      <c r="BT388" s="838" t="str">
        <f>IFERROR(__xludf.DUMMYFUNCTION("""COMPUTED_VALUE"""),"Ivermectin")</f>
        <v>Ivermectin</v>
      </c>
      <c r="BU388" s="838"/>
      <c r="BV388" s="838" t="str">
        <f>IFERROR(__xludf.DUMMYFUNCTION("""COMPUTED_VALUE"""),"Once")</f>
        <v>Once</v>
      </c>
      <c r="BW388" s="838" t="str">
        <f>IFERROR(__xludf.DUMMYFUNCTION("""COMPUTED_VALUE"""),"(150-200 &amp;kg bodyweight)")</f>
        <v>(150-200 &amp;kg bodyweight)</v>
      </c>
      <c r="BX388" s="838">
        <f>IFERROR(__xludf.DUMMYFUNCTION("""COMPUTED_VALUE"""),336.0)</f>
        <v>336</v>
      </c>
      <c r="BY388" s="838" t="str">
        <f>IFERROR(__xludf.DUMMYFUNCTION("""COMPUTED_VALUE"""),"Mean age of 26.8")</f>
        <v>Mean age of 26.8</v>
      </c>
      <c r="BZ388" s="838">
        <f>IFERROR(__xludf.DUMMYFUNCTION("""COMPUTED_VALUE"""),1996.0)</f>
        <v>1996</v>
      </c>
      <c r="CA388" s="838" t="str">
        <f>IFERROR(__xludf.DUMMYFUNCTION("""COMPUTED_VALUE"""),"(175/161)")</f>
        <v>(175/161)</v>
      </c>
      <c r="CB388" s="838"/>
      <c r="CC388" s="838" t="str">
        <f>IFERROR(__xludf.DUMMYFUNCTION("""COMPUTED_VALUE"""),"Yes")</f>
        <v>Yes</v>
      </c>
      <c r="CD388" s="838"/>
      <c r="CE388" s="838" t="str">
        <f>IFERROR(__xludf.DUMMYFUNCTION("""COMPUTED_VALUE"""),"Yes")</f>
        <v>Yes</v>
      </c>
      <c r="CF388" s="838"/>
      <c r="CG388" s="838"/>
      <c r="CH388" s="838"/>
      <c r="CI388" s="838"/>
      <c r="CJ388" s="838"/>
      <c r="CK388" s="838"/>
      <c r="CL388" s="838"/>
      <c r="CM388" s="838"/>
      <c r="CN388" s="838"/>
      <c r="CO388" s="838"/>
      <c r="CP388" s="838"/>
      <c r="CQ388" s="838"/>
      <c r="CR388" s="838"/>
      <c r="CS388" s="838" t="str">
        <f>IFERROR(__xludf.DUMMYFUNCTION("""COMPUTED_VALUE"""),"The combination of albendazole and ivermectin produced a profound and statistically significant reduction in W bancroft microfilaraemias up to 12 months after treatment. Thus, mf GMIs were reduced to 0*9%, 6.9% and 11.4% ofpre-treatment values at 3,6 and "&amp;"12 months, respectively; 37.0%, 19.6% and 14.1% of those infected before treatment were cleared of mf at the same time points. However, when compared to the treatment with ivermectin alone, the combination treatment was only statistically significantly mo"&amp;"re effective in reducing microfilaraemias at 3 months after treatment, but not at the critical time points of 6 and 12 months after treatment.Furthermore, an ‘area under the curve’ analysis, which summarizes and compares individual responses to treatment "&amp;"over the l-year follow-up period, showed no difference between the ivermectin and combination-treatment groups.")</f>
        <v>The combination of albendazole and ivermectin produced a profound and statistically significant reduction in W bancroft microfilaraemias up to 12 months after treatment. Thus, mf GMIs were reduced to 0*9%, 6.9% and 11.4% ofpre-treatment values at 3,6 and 12 months, respectively; 37.0%, 19.6% and 14.1% of those infected before treatment were cleared of mf at the same time points. However, when compared to the treatment with ivermectin alone, the combination treatment was only statistically significantly more effective in reducing microfilaraemias at 3 months after treatment, but not at the critical time points of 6 and 12 months after treatment.Furthermore, an ‘area under the curve’ analysis, which summarizes and compares individual responses to treatment over the l-year follow-up period, showed no difference between the ivermectin and combination-treatment groups.</v>
      </c>
      <c r="CT388" s="838"/>
      <c r="CU388" s="838"/>
      <c r="CV388" s="697"/>
    </row>
    <row r="389">
      <c r="A389" s="834"/>
      <c r="B389" s="834"/>
      <c r="C389" s="834"/>
      <c r="D389" s="834"/>
      <c r="E389" s="834"/>
      <c r="F389" s="834"/>
      <c r="G389" s="834"/>
      <c r="H389" s="834"/>
      <c r="I389" s="834"/>
      <c r="J389" s="834"/>
      <c r="K389" s="834"/>
      <c r="L389" s="834"/>
      <c r="M389" s="834"/>
      <c r="N389" s="834"/>
      <c r="O389" s="834"/>
      <c r="P389" s="834"/>
      <c r="Q389" s="834"/>
      <c r="R389" s="834"/>
      <c r="S389" s="834"/>
      <c r="T389" s="834"/>
      <c r="U389" s="834"/>
      <c r="V389" s="834"/>
      <c r="W389" s="834"/>
      <c r="X389" s="834"/>
      <c r="Y389" s="834"/>
      <c r="Z389" s="834"/>
      <c r="AA389" s="834"/>
      <c r="AB389" s="834"/>
      <c r="AC389" s="834"/>
      <c r="AD389" s="834"/>
      <c r="AE389" s="834"/>
      <c r="AF389" s="834"/>
      <c r="AG389" s="834"/>
      <c r="AH389" s="834"/>
      <c r="AJ389" s="836"/>
      <c r="AK389" s="836"/>
      <c r="AL389" s="836"/>
      <c r="AM389" s="836"/>
      <c r="AN389" s="836"/>
      <c r="AO389" s="836"/>
      <c r="AP389" s="836"/>
      <c r="AQ389" s="836"/>
      <c r="AR389" s="836"/>
      <c r="AS389" s="836"/>
      <c r="AT389" s="836"/>
      <c r="AU389" s="836"/>
      <c r="AV389" s="836"/>
      <c r="AW389" s="836"/>
      <c r="AX389" s="836"/>
      <c r="AY389" s="836"/>
      <c r="AZ389" s="836"/>
      <c r="BA389" s="836"/>
      <c r="BB389" s="836"/>
      <c r="BC389" s="836"/>
      <c r="BD389" s="836"/>
      <c r="BE389" s="836"/>
      <c r="BF389" s="836"/>
      <c r="BG389" s="836"/>
      <c r="BH389" s="836"/>
      <c r="BI389" s="836"/>
      <c r="BJ389" s="836"/>
      <c r="BK389" s="836"/>
      <c r="BL389" s="836"/>
      <c r="BM389" s="836"/>
      <c r="BN389" s="836"/>
      <c r="BO389" s="836"/>
      <c r="BP389" s="836"/>
      <c r="BR389" s="844" t="str">
        <f>IFERROR(__xludf.DUMMYFUNCTION("""COMPUTED_VALUE"""),"Gayen")</f>
        <v>Gayen</v>
      </c>
      <c r="BS389" s="838"/>
      <c r="BT389" s="838"/>
      <c r="BU389" s="838"/>
      <c r="BV389" s="838"/>
      <c r="BW389" s="838"/>
      <c r="BX389" s="838"/>
      <c r="BY389" s="838"/>
      <c r="BZ389" s="838"/>
      <c r="CA389" s="838"/>
      <c r="CB389" s="838"/>
      <c r="CC389" s="838"/>
      <c r="CD389" s="838"/>
      <c r="CE389" s="838"/>
      <c r="CF389" s="838"/>
      <c r="CG389" s="838"/>
      <c r="CH389" s="838"/>
      <c r="CI389" s="838"/>
      <c r="CJ389" s="838"/>
      <c r="CK389" s="838"/>
      <c r="CL389" s="838"/>
      <c r="CM389" s="838"/>
      <c r="CN389" s="838"/>
      <c r="CO389" s="838"/>
      <c r="CP389" s="838"/>
      <c r="CQ389" s="838"/>
      <c r="CR389" s="838"/>
      <c r="CS389" s="838"/>
      <c r="CT389" s="838"/>
      <c r="CU389" s="838"/>
      <c r="CV389" s="697" t="str">
        <f>IFERROR(__xludf.DUMMYFUNCTION("""COMPUTED_VALUE"""),"Gayen, Prajna, et al. ""A double-blind controlled field trial of doxycycline and albendazole in combination for the treatment of bancroftian filariasis in India."" Acta tropica 125.2 (2013): 150-156.")</f>
        <v>Gayen, Prajna, et al. "A double-blind controlled field trial of doxycycline and albendazole in combination for the treatment of bancroftian filariasis in India." Acta tropica 125.2 (2013): 150-156.</v>
      </c>
    </row>
    <row r="390">
      <c r="A390" s="834"/>
      <c r="B390" s="834"/>
      <c r="C390" s="834"/>
      <c r="D390" s="834"/>
      <c r="E390" s="834"/>
      <c r="F390" s="834"/>
      <c r="G390" s="834"/>
      <c r="H390" s="834"/>
      <c r="I390" s="834"/>
      <c r="J390" s="834"/>
      <c r="K390" s="834"/>
      <c r="L390" s="834"/>
      <c r="M390" s="834"/>
      <c r="N390" s="834"/>
      <c r="O390" s="834"/>
      <c r="P390" s="834"/>
      <c r="Q390" s="834"/>
      <c r="R390" s="834"/>
      <c r="S390" s="834"/>
      <c r="T390" s="834"/>
      <c r="U390" s="834"/>
      <c r="V390" s="834"/>
      <c r="W390" s="834"/>
      <c r="X390" s="834"/>
      <c r="Y390" s="834"/>
      <c r="Z390" s="834"/>
      <c r="AA390" s="834"/>
      <c r="AB390" s="834"/>
      <c r="AC390" s="834"/>
      <c r="AD390" s="834"/>
      <c r="AE390" s="834"/>
      <c r="AF390" s="834"/>
      <c r="AG390" s="834"/>
      <c r="AH390" s="834"/>
      <c r="AJ390" s="836"/>
      <c r="AK390" s="836"/>
      <c r="AL390" s="836"/>
      <c r="AM390" s="836"/>
      <c r="AN390" s="836"/>
      <c r="AO390" s="836"/>
      <c r="AP390" s="836"/>
      <c r="AQ390" s="836"/>
      <c r="AR390" s="836"/>
      <c r="AS390" s="836"/>
      <c r="AT390" s="836"/>
      <c r="AU390" s="836"/>
      <c r="AV390" s="836"/>
      <c r="AW390" s="836"/>
      <c r="AX390" s="836"/>
      <c r="AY390" s="836"/>
      <c r="AZ390" s="836"/>
      <c r="BA390" s="836"/>
      <c r="BB390" s="836"/>
      <c r="BC390" s="836"/>
      <c r="BD390" s="836"/>
      <c r="BE390" s="836"/>
      <c r="BF390" s="836"/>
      <c r="BG390" s="836"/>
      <c r="BH390" s="836"/>
      <c r="BI390" s="836"/>
      <c r="BJ390" s="836"/>
      <c r="BK390" s="836"/>
      <c r="BL390" s="836"/>
      <c r="BM390" s="836"/>
      <c r="BN390" s="836"/>
      <c r="BO390" s="836"/>
      <c r="BP390" s="836"/>
      <c r="BR390" s="844" t="str">
        <f>IFERROR(__xludf.DUMMYFUNCTION("""COMPUTED_VALUE"""),"Adenusi")</f>
        <v>Adenusi</v>
      </c>
      <c r="BS390" s="838" t="str">
        <f>IFERROR(__xludf.DUMMYFUNCTION("""COMPUTED_VALUE"""),"Nigeria.")</f>
        <v>Nigeria.</v>
      </c>
      <c r="BT390" s="838" t="str">
        <f>IFERROR(__xludf.DUMMYFUNCTION("""COMPUTED_VALUE"""),"Ivermectin")</f>
        <v>Ivermectin</v>
      </c>
      <c r="BU390" s="838"/>
      <c r="BV390" s="838" t="str">
        <f>IFERROR(__xludf.DUMMYFUNCTION("""COMPUTED_VALUE"""),"Once")</f>
        <v>Once</v>
      </c>
      <c r="BW390" s="838" t="str">
        <f>IFERROR(__xludf.DUMMYFUNCTION("""COMPUTED_VALUE"""),"(200 μg/kg)")</f>
        <v>(200 μg/kg)</v>
      </c>
      <c r="BX390" s="838">
        <f>IFERROR(__xludf.DUMMYFUNCTION("""COMPUTED_VALUE"""),126.0)</f>
        <v>126</v>
      </c>
      <c r="BY390" s="838"/>
      <c r="BZ390" s="838"/>
      <c r="CA390" s="838" t="str">
        <f>IFERROR(__xludf.DUMMYFUNCTION("""COMPUTED_VALUE"""),"59/54")</f>
        <v>59/54</v>
      </c>
      <c r="CB390" s="838"/>
      <c r="CC390" s="838"/>
      <c r="CD390" s="846">
        <f>IFERROR(__xludf.DUMMYFUNCTION("""COMPUTED_VALUE"""),0.84)</f>
        <v>0.84</v>
      </c>
      <c r="CE390" s="838"/>
      <c r="CF390" s="838" t="str">
        <f>IFERROR(__xludf.DUMMYFUNCTION("""COMPUTED_VALUE"""),"107/122")</f>
        <v>107/122</v>
      </c>
      <c r="CG390" s="838" t="str">
        <f>IFERROR(__xludf.DUMMYFUNCTION("""COMPUTED_VALUE"""),"98/116")</f>
        <v>98/116</v>
      </c>
      <c r="CH390" s="838" t="str">
        <f>IFERROR(__xludf.DUMMYFUNCTION("""COMPUTED_VALUE"""),"95/113")</f>
        <v>95/113</v>
      </c>
      <c r="CI390" s="838"/>
      <c r="CJ390" s="838"/>
      <c r="CK390" s="838"/>
      <c r="CL390" s="838"/>
      <c r="CM390" s="838"/>
      <c r="CN390" s="838"/>
      <c r="CO390" s="838"/>
      <c r="CP390" s="838"/>
      <c r="CQ390" s="838"/>
      <c r="CR390" s="838"/>
      <c r="CS390" s="838" t="str">
        <f>IFERROR(__xludf.DUMMYFUNCTION("""COMPUTED_VALUE"""),"The cure rate recorded for ivermectin in the present study is within the range reported by previous workers using ivermectin in similar dosages, either in noncomparative studies (Freedman et al., 1989; Naquira etal, 1989) or in comparative studies with ot"&amp;"her drugs (Datry et al., 1994; Gann et al., 1994; Marti et al., 1996) in the treatment of uncomplicated, human strongyloidiasis. Similarly, the cure rate recorded for thiabendazole in the present study fall within those reported by previous workers (Nauen"&amp;"berg et al., 1970;Grove, 1982), although the drug has been reported not to be curative (Most, 1984). Although ivermectin recorded a higher cure rate than thiabendazole in the present study, this difference was not significant. Gann et al. (1994) found ive"&amp;"rmectin to be at least as effective as thiabendazole in the treatment of uncomplicated strongyloidiasis.")</f>
        <v>The cure rate recorded for ivermectin in the present study is within the range reported by previous workers using ivermectin in similar dosages, either in noncomparative studies (Freedman et al., 1989; Naquira etal, 1989) or in comparative studies with other drugs (Datry et al., 1994; Gann et al., 1994; Marti et al., 1996) in the treatment of uncomplicated, human strongyloidiasis. Similarly, the cure rate recorded for thiabendazole in the present study fall within those reported by previous workers (Nauenberg et al., 1970;Grove, 1982), although the drug has been reported not to be curative (Most, 1984). Although ivermectin recorded a higher cure rate than thiabendazole in the present study, this difference was not significant. Gann et al. (1994) found ivermectin to be at least as effective as thiabendazole in the treatment of uncomplicated strongyloidiasis.</v>
      </c>
      <c r="CT390" s="838"/>
      <c r="CU390" s="838"/>
      <c r="CV390" s="697" t="str">
        <f>IFERROR(__xludf.DUMMYFUNCTION("""COMPUTED_VALUE"""),"Adenusi, A. A., A. O. Oke, and A. O. Adenusi. ""Comparison of ivermectin and thiabendazole in the treatment of uncomplicated human Strongyloides stercoralis infection."" African Journal of Biotechnology 2.11 (2003): 465-469.")</f>
        <v>Adenusi, A. A., A. O. Oke, and A. O. Adenusi. "Comparison of ivermectin and thiabendazole in the treatment of uncomplicated human Strongyloides stercoralis infection." African Journal of Biotechnology 2.11 (2003): 465-469.</v>
      </c>
    </row>
    <row r="391">
      <c r="A391" s="834"/>
      <c r="B391" s="834"/>
      <c r="C391" s="834"/>
      <c r="D391" s="834"/>
      <c r="E391" s="834"/>
      <c r="F391" s="834"/>
      <c r="G391" s="834"/>
      <c r="H391" s="834"/>
      <c r="I391" s="834"/>
      <c r="J391" s="834"/>
      <c r="K391" s="834"/>
      <c r="L391" s="834"/>
      <c r="M391" s="834"/>
      <c r="N391" s="834"/>
      <c r="O391" s="834"/>
      <c r="P391" s="834"/>
      <c r="Q391" s="834"/>
      <c r="R391" s="834"/>
      <c r="S391" s="834"/>
      <c r="T391" s="834"/>
      <c r="U391" s="834"/>
      <c r="V391" s="834"/>
      <c r="W391" s="834"/>
      <c r="X391" s="834"/>
      <c r="Y391" s="834"/>
      <c r="Z391" s="834"/>
      <c r="AA391" s="834"/>
      <c r="AB391" s="834"/>
      <c r="AC391" s="834"/>
      <c r="AD391" s="834"/>
      <c r="AE391" s="834"/>
      <c r="AF391" s="834"/>
      <c r="AG391" s="834"/>
      <c r="AH391" s="834"/>
      <c r="AJ391" s="836"/>
      <c r="AK391" s="836"/>
      <c r="AL391" s="836"/>
      <c r="AM391" s="836"/>
      <c r="AN391" s="836"/>
      <c r="AO391" s="836"/>
      <c r="AP391" s="836"/>
      <c r="AQ391" s="836"/>
      <c r="AR391" s="836"/>
      <c r="AS391" s="836"/>
      <c r="AT391" s="836"/>
      <c r="AU391" s="836"/>
      <c r="AV391" s="836"/>
      <c r="AW391" s="836"/>
      <c r="AX391" s="836"/>
      <c r="AY391" s="836"/>
      <c r="AZ391" s="836"/>
      <c r="BA391" s="836"/>
      <c r="BB391" s="836"/>
      <c r="BC391" s="836"/>
      <c r="BD391" s="836"/>
      <c r="BE391" s="836"/>
      <c r="BF391" s="836"/>
      <c r="BG391" s="836"/>
      <c r="BH391" s="836"/>
      <c r="BI391" s="836"/>
      <c r="BJ391" s="836"/>
      <c r="BK391" s="836"/>
      <c r="BL391" s="836"/>
      <c r="BM391" s="836"/>
      <c r="BN391" s="836"/>
      <c r="BO391" s="836"/>
      <c r="BP391" s="836"/>
      <c r="BR391" s="844" t="str">
        <f>IFERROR(__xludf.DUMMYFUNCTION("""COMPUTED_VALUE"""),"Adenusi")</f>
        <v>Adenusi</v>
      </c>
      <c r="BS391" s="838" t="str">
        <f>IFERROR(__xludf.DUMMYFUNCTION("""COMPUTED_VALUE"""),"Nigeria.")</f>
        <v>Nigeria.</v>
      </c>
      <c r="BT391" s="838" t="str">
        <f>IFERROR(__xludf.DUMMYFUNCTION("""COMPUTED_VALUE"""),"Thiabendazole")</f>
        <v>Thiabendazole</v>
      </c>
      <c r="BU391" s="838"/>
      <c r="BV391" s="838" t="str">
        <f>IFERROR(__xludf.DUMMYFUNCTION("""COMPUTED_VALUE"""),"Two")</f>
        <v>Two</v>
      </c>
      <c r="BW391" s="838" t="str">
        <f>IFERROR(__xludf.DUMMYFUNCTION("""COMPUTED_VALUE"""),"25 mg/kg,")</f>
        <v>25 mg/kg,</v>
      </c>
      <c r="BX391" s="838">
        <f>IFERROR(__xludf.DUMMYFUNCTION("""COMPUTED_VALUE"""),126.0)</f>
        <v>126</v>
      </c>
      <c r="BY391" s="838"/>
      <c r="BZ391" s="838"/>
      <c r="CA391" s="838" t="str">
        <f>IFERROR(__xludf.DUMMYFUNCTION("""COMPUTED_VALUE"""),"55/48")</f>
        <v>55/48</v>
      </c>
      <c r="CB391" s="838"/>
      <c r="CC391" s="838"/>
      <c r="CD391" s="846">
        <f>IFERROR(__xludf.DUMMYFUNCTION("""COMPUTED_VALUE"""),0.78)</f>
        <v>0.78</v>
      </c>
      <c r="CE391" s="838"/>
      <c r="CF391" s="838" t="str">
        <f>IFERROR(__xludf.DUMMYFUNCTION("""COMPUTED_VALUE"""),"85/109")</f>
        <v>85/109</v>
      </c>
      <c r="CG391" s="838" t="str">
        <f>IFERROR(__xludf.DUMMYFUNCTION("""COMPUTED_VALUE"""),"81/105")</f>
        <v>81/105</v>
      </c>
      <c r="CH391" s="838" t="str">
        <f>IFERROR(__xludf.DUMMYFUNCTION("""COMPUTED_VALUE"""),"81/103")</f>
        <v>81/103</v>
      </c>
      <c r="CI391" s="838"/>
      <c r="CJ391" s="838"/>
      <c r="CK391" s="838"/>
      <c r="CL391" s="838"/>
      <c r="CM391" s="838"/>
      <c r="CN391" s="838"/>
      <c r="CO391" s="838"/>
      <c r="CP391" s="838"/>
      <c r="CQ391" s="838"/>
      <c r="CR391" s="838"/>
      <c r="CS391" s="838" t="str">
        <f>IFERROR(__xludf.DUMMYFUNCTION("""COMPUTED_VALUE"""),"The cure rate recorded for ivermectin in the present study is within the range reported by previous workers using ivermectin in similar dosages, either in noncomparative studies (Freedman et al., 1989; Naquira etal, 1989) or in comparative studies with ot"&amp;"her drugs (Datry et al., 1994; Gann et al., 1994; Marti et al., 1996) in the treatment of uncomplicated, human strongyloidiasis. Similarly, the cure rate recorded for thiabendazole in the present study fall within those reported by previous workers (Nauen"&amp;"berg et al., 1970;Grove, 1982), although the drug has been reported not to be curative (Most, 1984). Although ivermectin recorded a higher cure rate than thiabendazole in the present study, this difference was not significant. Gann et al. (1994) found ive"&amp;"rmectin to be at least as effective as thiabendazole in the treatment of uncomplicated strongyloidiasis.")</f>
        <v>The cure rate recorded for ivermectin in the present study is within the range reported by previous workers using ivermectin in similar dosages, either in noncomparative studies (Freedman et al., 1989; Naquira etal, 1989) or in comparative studies with other drugs (Datry et al., 1994; Gann et al., 1994; Marti et al., 1996) in the treatment of uncomplicated, human strongyloidiasis. Similarly, the cure rate recorded for thiabendazole in the present study fall within those reported by previous workers (Nauenberg et al., 1970;Grove, 1982), although the drug has been reported not to be curative (Most, 1984). Although ivermectin recorded a higher cure rate than thiabendazole in the present study, this difference was not significant. Gann et al. (1994) found ivermectin to be at least as effective as thiabendazole in the treatment of uncomplicated strongyloidiasis.</v>
      </c>
      <c r="CT391" s="838"/>
      <c r="CU391" s="838"/>
      <c r="CV391" s="697"/>
    </row>
    <row r="392">
      <c r="A392" s="834"/>
      <c r="B392" s="834"/>
      <c r="C392" s="834"/>
      <c r="D392" s="834"/>
      <c r="E392" s="834"/>
      <c r="F392" s="834"/>
      <c r="G392" s="834"/>
      <c r="H392" s="834"/>
      <c r="I392" s="834"/>
      <c r="J392" s="834"/>
      <c r="K392" s="834"/>
      <c r="L392" s="834"/>
      <c r="M392" s="834"/>
      <c r="N392" s="834"/>
      <c r="O392" s="834"/>
      <c r="P392" s="834"/>
      <c r="Q392" s="834"/>
      <c r="R392" s="834"/>
      <c r="S392" s="834"/>
      <c r="T392" s="834"/>
      <c r="U392" s="834"/>
      <c r="V392" s="834"/>
      <c r="W392" s="834"/>
      <c r="X392" s="834"/>
      <c r="Y392" s="834"/>
      <c r="Z392" s="834"/>
      <c r="AA392" s="834"/>
      <c r="AB392" s="834"/>
      <c r="AC392" s="834"/>
      <c r="AD392" s="834"/>
      <c r="AE392" s="834"/>
      <c r="AF392" s="834"/>
      <c r="AG392" s="834"/>
      <c r="AH392" s="834"/>
      <c r="AJ392" s="836"/>
      <c r="AK392" s="836"/>
      <c r="AL392" s="836"/>
      <c r="AM392" s="836"/>
      <c r="AN392" s="836"/>
      <c r="AO392" s="836"/>
      <c r="AP392" s="836"/>
      <c r="AQ392" s="836"/>
      <c r="AR392" s="836"/>
      <c r="AS392" s="836"/>
      <c r="AT392" s="836"/>
      <c r="AU392" s="836"/>
      <c r="AV392" s="836"/>
      <c r="AW392" s="836"/>
      <c r="AX392" s="836"/>
      <c r="AY392" s="836"/>
      <c r="AZ392" s="836"/>
      <c r="BA392" s="836"/>
      <c r="BB392" s="836"/>
      <c r="BC392" s="836"/>
      <c r="BD392" s="836"/>
      <c r="BE392" s="836"/>
      <c r="BF392" s="836"/>
      <c r="BG392" s="836"/>
      <c r="BH392" s="836"/>
      <c r="BI392" s="836"/>
      <c r="BJ392" s="836"/>
      <c r="BK392" s="836"/>
      <c r="BL392" s="836"/>
      <c r="BM392" s="836"/>
      <c r="BN392" s="836"/>
      <c r="BO392" s="836"/>
      <c r="BP392" s="836"/>
      <c r="BR392" s="844" t="str">
        <f>IFERROR(__xludf.DUMMYFUNCTION("""COMPUTED_VALUE"""),"Gann, ")</f>
        <v>Gann, </v>
      </c>
      <c r="BS392" s="838" t="str">
        <f>IFERROR(__xludf.DUMMYFUNCTION("""COMPUTED_VALUE"""),"Cambodia")</f>
        <v>Cambodia</v>
      </c>
      <c r="BT392" s="838" t="str">
        <f>IFERROR(__xludf.DUMMYFUNCTION("""COMPUTED_VALUE"""),"Ivermectin")</f>
        <v>Ivermectin</v>
      </c>
      <c r="BU392" s="838"/>
      <c r="BV392" s="838" t="str">
        <f>IFERROR(__xludf.DUMMYFUNCTION("""COMPUTED_VALUE"""),"Once")</f>
        <v>Once</v>
      </c>
      <c r="BW392" s="838" t="str">
        <f>IFERROR(__xludf.DUMMYFUNCTION("""COMPUTED_VALUE"""),"(200 /Lg/kg)")</f>
        <v>(200 /Lg/kg)</v>
      </c>
      <c r="BX392" s="838">
        <f>IFERROR(__xludf.DUMMYFUNCTION("""COMPUTED_VALUE"""),16.0)</f>
        <v>16</v>
      </c>
      <c r="BY392" s="838" t="str">
        <f>IFERROR(__xludf.DUMMYFUNCTION("""COMPUTED_VALUE"""),"Mean age of 35.8")</f>
        <v>Mean age of 35.8</v>
      </c>
      <c r="BZ392" s="838">
        <f>IFERROR(__xludf.DUMMYFUNCTION("""COMPUTED_VALUE"""),1994.0)</f>
        <v>1994</v>
      </c>
      <c r="CA392" s="858">
        <f>IFERROR(__xludf.DUMMYFUNCTION("""COMPUTED_VALUE"""),42620.0)</f>
        <v>42620</v>
      </c>
      <c r="CB392" s="838"/>
      <c r="CC392" s="838" t="str">
        <f>IFERROR(__xludf.DUMMYFUNCTION("""COMPUTED_VALUE"""),"Yes")</f>
        <v>Yes</v>
      </c>
      <c r="CD392" s="838"/>
      <c r="CE392" s="838" t="str">
        <f>IFERROR(__xludf.DUMMYFUNCTION("""COMPUTED_VALUE"""),"No")</f>
        <v>No</v>
      </c>
      <c r="CF392" s="838" t="str">
        <f>IFERROR(__xludf.DUMMYFUNCTION("""COMPUTED_VALUE"""),"0/15")</f>
        <v>0/15</v>
      </c>
      <c r="CG392" s="838"/>
      <c r="CH392" s="838"/>
      <c r="CI392" s="838"/>
      <c r="CJ392" s="838"/>
      <c r="CK392" s="838"/>
      <c r="CL392" s="838"/>
      <c r="CM392" s="838"/>
      <c r="CN392" s="838"/>
      <c r="CO392" s="838"/>
      <c r="CP392" s="838"/>
      <c r="CQ392" s="838"/>
      <c r="CR392" s="838" t="str">
        <f>IFERROR(__xludf.DUMMYFUNCTION("""COMPUTED_VALUE"""),"0/15")</f>
        <v>0/15</v>
      </c>
      <c r="CS392" s="838" t="str">
        <f>IFERROR(__xludf.DUMMYFUNCTION("""COMPUTED_VALUE"""),"Although eradication of S. stercoralis is difficult to ascertain, ivermectin and thiabendazole appeared to have equivalent efficacy against uncomplicated chronic infection. To be considered cured in this study, a patient had to have at least three consecu"&amp;"tive stools negative for larvae by Baermann testing over at least 3 months and total relief from symptoms. Single-dose ivermectin therapy was as safe and efficacious as the two-dose therapy. In this trial, the sensitivity of stool testing was increased by"&amp;" using a modified Baermann technique on stools collected at several times over a period of ~2 years. Since worm burden fluctuates, sampling that is spread over time might have a higher sensitivity for detecting infection than sampling that is tightly clus"&amp;"tered. The modified Baermann technique samples larvae from -30 g of fresh stool; &lt;I g of stool is sampled with formalin concentration methods [9]. Therefore, the chances of false-negative stool tests due to sampling during a period of low excretion of lar"&amp;"vae were reduced in our study. The negligible likelihood of reinfection in this population, in which strongyloidiasis is presumably nonendemic, strengthens our conclusions regarding drug efficacy. We believe that the higher success rate achieved with thia"&amp;"bendazole in our study compared with rates in previous studies [ I, 4] is partly due to the absence of reinfection and to careful monitoring of compliance over 3 days of treatment.")</f>
        <v>Although eradication of S. stercoralis is difficult to ascertain, ivermectin and thiabendazole appeared to have equivalent efficacy against uncomplicated chronic infection. To be considered cured in this study, a patient had to have at least three consecutive stools negative for larvae by Baermann testing over at least 3 months and total relief from symptoms. Single-dose ivermectin therapy was as safe and efficacious as the two-dose therapy. In this trial, the sensitivity of stool testing was increased by using a modified Baermann technique on stools collected at several times over a period of ~2 years. Since worm burden fluctuates, sampling that is spread over time might have a higher sensitivity for detecting infection than sampling that is tightly clustered. The modified Baermann technique samples larvae from -30 g of fresh stool; &lt;I g of stool is sampled with formalin concentration methods [9]. Therefore, the chances of false-negative stool tests due to sampling during a period of low excretion of larvae were reduced in our study. The negligible likelihood of reinfection in this population, in which strongyloidiasis is presumably nonendemic, strengthens our conclusions regarding drug efficacy. We believe that the higher success rate achieved with thiabendazole in our study compared with rates in previous studies [ I, 4] is partly due to the absence of reinfection and to careful monitoring of compliance over 3 days of treatment.</v>
      </c>
      <c r="CT392" s="838"/>
      <c r="CU392" s="838"/>
      <c r="CV392" s="697" t="str">
        <f>IFERROR(__xludf.DUMMYFUNCTION("""COMPUTED_VALUE"""),"Gann, Peter H., Franklin A. Neva, and Albert A. Gam. ""A randomized trial of single-and two-dose ivermectin versus thiabendazole for treatment of strongyloidiasis."" Journal of Infectious Diseases 169.5 (1994): 1076-1079.")</f>
        <v>Gann, Peter H., Franklin A. Neva, and Albert A. Gam. "A randomized trial of single-and two-dose ivermectin versus thiabendazole for treatment of strongyloidiasis." Journal of Infectious Diseases 169.5 (1994): 1076-1079.</v>
      </c>
    </row>
    <row r="393">
      <c r="A393" s="834"/>
      <c r="B393" s="834"/>
      <c r="C393" s="834"/>
      <c r="D393" s="834"/>
      <c r="E393" s="834"/>
      <c r="F393" s="834"/>
      <c r="G393" s="834"/>
      <c r="H393" s="834"/>
      <c r="I393" s="834"/>
      <c r="J393" s="834"/>
      <c r="K393" s="834"/>
      <c r="L393" s="834"/>
      <c r="M393" s="834"/>
      <c r="N393" s="834"/>
      <c r="O393" s="834"/>
      <c r="P393" s="834"/>
      <c r="Q393" s="834"/>
      <c r="R393" s="834"/>
      <c r="S393" s="834"/>
      <c r="T393" s="834"/>
      <c r="U393" s="834"/>
      <c r="V393" s="834"/>
      <c r="W393" s="834"/>
      <c r="X393" s="834"/>
      <c r="Y393" s="834"/>
      <c r="Z393" s="834"/>
      <c r="AA393" s="834"/>
      <c r="AB393" s="834"/>
      <c r="AC393" s="834"/>
      <c r="AD393" s="834"/>
      <c r="AE393" s="834"/>
      <c r="AF393" s="834"/>
      <c r="AG393" s="834"/>
      <c r="AH393" s="834"/>
      <c r="AJ393" s="836"/>
      <c r="AK393" s="836"/>
      <c r="AL393" s="836"/>
      <c r="AM393" s="836"/>
      <c r="AN393" s="836"/>
      <c r="AO393" s="836"/>
      <c r="AP393" s="836"/>
      <c r="AQ393" s="836"/>
      <c r="AR393" s="836"/>
      <c r="AS393" s="836"/>
      <c r="AT393" s="836"/>
      <c r="AU393" s="836"/>
      <c r="AV393" s="836"/>
      <c r="AW393" s="836"/>
      <c r="AX393" s="836"/>
      <c r="AY393" s="836"/>
      <c r="AZ393" s="836"/>
      <c r="BA393" s="836"/>
      <c r="BB393" s="836"/>
      <c r="BC393" s="836"/>
      <c r="BD393" s="836"/>
      <c r="BE393" s="836"/>
      <c r="BF393" s="836"/>
      <c r="BG393" s="836"/>
      <c r="BH393" s="836"/>
      <c r="BI393" s="836"/>
      <c r="BJ393" s="836"/>
      <c r="BK393" s="836"/>
      <c r="BL393" s="836"/>
      <c r="BM393" s="836"/>
      <c r="BN393" s="836"/>
      <c r="BO393" s="836"/>
      <c r="BP393" s="836"/>
      <c r="BR393" s="844" t="str">
        <f>IFERROR(__xludf.DUMMYFUNCTION("""COMPUTED_VALUE"""),"Gann, ")</f>
        <v>Gann, </v>
      </c>
      <c r="BS393" s="838" t="str">
        <f>IFERROR(__xludf.DUMMYFUNCTION("""COMPUTED_VALUE"""),"Cambodia")</f>
        <v>Cambodia</v>
      </c>
      <c r="BT393" s="838" t="str">
        <f>IFERROR(__xludf.DUMMYFUNCTION("""COMPUTED_VALUE"""),"Ivermectin")</f>
        <v>Ivermectin</v>
      </c>
      <c r="BU393" s="838"/>
      <c r="BV393" s="838" t="str">
        <f>IFERROR(__xludf.DUMMYFUNCTION("""COMPUTED_VALUE"""),"Two")</f>
        <v>Two</v>
      </c>
      <c r="BW393" s="838" t="str">
        <f>IFERROR(__xludf.DUMMYFUNCTION("""COMPUTED_VALUE"""),"(200 /Lg/kg)")</f>
        <v>(200 /Lg/kg)</v>
      </c>
      <c r="BX393" s="838">
        <f>IFERROR(__xludf.DUMMYFUNCTION("""COMPUTED_VALUE"""),18.0)</f>
        <v>18</v>
      </c>
      <c r="BY393" s="838" t="str">
        <f>IFERROR(__xludf.DUMMYFUNCTION("""COMPUTED_VALUE"""),"Mean age of 39")</f>
        <v>Mean age of 39</v>
      </c>
      <c r="BZ393" s="838">
        <f>IFERROR(__xludf.DUMMYFUNCTION("""COMPUTED_VALUE"""),1994.0)</f>
        <v>1994</v>
      </c>
      <c r="CA393" s="858">
        <f>IFERROR(__xludf.DUMMYFUNCTION("""COMPUTED_VALUE"""),42533.0)</f>
        <v>42533</v>
      </c>
      <c r="CB393" s="838"/>
      <c r="CC393" s="838" t="str">
        <f>IFERROR(__xludf.DUMMYFUNCTION("""COMPUTED_VALUE"""),"Yes")</f>
        <v>Yes</v>
      </c>
      <c r="CD393" s="838"/>
      <c r="CE393" s="838" t="str">
        <f>IFERROR(__xludf.DUMMYFUNCTION("""COMPUTED_VALUE"""),"No")</f>
        <v>No</v>
      </c>
      <c r="CF393" s="838" t="str">
        <f>IFERROR(__xludf.DUMMYFUNCTION("""COMPUTED_VALUE"""),"0/18")</f>
        <v>0/18</v>
      </c>
      <c r="CG393" s="838"/>
      <c r="CH393" s="838"/>
      <c r="CI393" s="838"/>
      <c r="CJ393" s="838"/>
      <c r="CK393" s="838"/>
      <c r="CL393" s="838"/>
      <c r="CM393" s="838"/>
      <c r="CN393" s="838"/>
      <c r="CO393" s="838"/>
      <c r="CP393" s="838"/>
      <c r="CQ393" s="838"/>
      <c r="CR393" s="838" t="str">
        <f>IFERROR(__xludf.DUMMYFUNCTION("""COMPUTED_VALUE"""),"0/17")</f>
        <v>0/17</v>
      </c>
      <c r="CS393" s="838" t="str">
        <f>IFERROR(__xludf.DUMMYFUNCTION("""COMPUTED_VALUE"""),"Although eradication of S. stercoralis is difficult to ascertain, ivermectin and thiabendazole appeared to have equivalent efficacy against uncomplicated chronic infection. To be considered cured in this study, a patient had to have at least three consecu"&amp;"tive stools negative for larvae by Baermann testing over at least 3 months and total relief from symptoms. Single-dose ivermectin therapy was as safe and efficacious as the two-dose therapy. In this trial, the sensitivity of stool testing was increased by"&amp;" using a modified Baermann technique on stools collected at several times over a period of ~2 years. Since worm burden fluctuates, sampling that is spread over time might have a higher sensitivity for detecting infection than sampling that is tightly clus"&amp;"tered. The modified Baermann technique samples larvae from -30 g of fresh stool; &lt;I g of stool is sampled with formalin concentration methods [9]. Therefore, the chances of false-negative stool tests due to sampling during a period of low excretion of lar"&amp;"vae were reduced in our study. The negligible likelihood of reinfection in this population, in which strongyloidiasis is presumably nonendemic, strengthens our conclusions regarding drug efficacy. We believe that the higher success rate achieved with thia"&amp;"bendazole in our study compared with rates in previous studies [ I, 4] is partly due to the absence of reinfection and to careful monitoring of compliance over 3 days of treatment.")</f>
        <v>Although eradication of S. stercoralis is difficult to ascertain, ivermectin and thiabendazole appeared to have equivalent efficacy against uncomplicated chronic infection. To be considered cured in this study, a patient had to have at least three consecutive stools negative for larvae by Baermann testing over at least 3 months and total relief from symptoms. Single-dose ivermectin therapy was as safe and efficacious as the two-dose therapy. In this trial, the sensitivity of stool testing was increased by using a modified Baermann technique on stools collected at several times over a period of ~2 years. Since worm burden fluctuates, sampling that is spread over time might have a higher sensitivity for detecting infection than sampling that is tightly clustered. The modified Baermann technique samples larvae from -30 g of fresh stool; &lt;I g of stool is sampled with formalin concentration methods [9]. Therefore, the chances of false-negative stool tests due to sampling during a period of low excretion of larvae were reduced in our study. The negligible likelihood of reinfection in this population, in which strongyloidiasis is presumably nonendemic, strengthens our conclusions regarding drug efficacy. We believe that the higher success rate achieved with thiabendazole in our study compared with rates in previous studies [ I, 4] is partly due to the absence of reinfection and to careful monitoring of compliance over 3 days of treatment.</v>
      </c>
      <c r="CT393" s="838"/>
      <c r="CU393" s="838"/>
      <c r="CV393" s="697" t="str">
        <f>IFERROR(__xludf.DUMMYFUNCTION("""COMPUTED_VALUE"""),"Gann, Peter H., Franklin A. Neva, and Albert A. Gam. ""A randomized trial of single-and two-dose ivermectin versus thiabendazole for treatment of strongyloidiasis."" Journal of Infectious Diseases 169.5 (1994): 1076-1079.")</f>
        <v>Gann, Peter H., Franklin A. Neva, and Albert A. Gam. "A randomized trial of single-and two-dose ivermectin versus thiabendazole for treatment of strongyloidiasis." Journal of Infectious Diseases 169.5 (1994): 1076-1079.</v>
      </c>
    </row>
    <row r="394">
      <c r="A394" s="834"/>
      <c r="B394" s="834"/>
      <c r="C394" s="834"/>
      <c r="D394" s="834"/>
      <c r="E394" s="834"/>
      <c r="F394" s="834"/>
      <c r="G394" s="834"/>
      <c r="H394" s="834"/>
      <c r="I394" s="834"/>
      <c r="J394" s="834"/>
      <c r="K394" s="834"/>
      <c r="L394" s="834"/>
      <c r="M394" s="834"/>
      <c r="N394" s="834"/>
      <c r="O394" s="834"/>
      <c r="P394" s="834"/>
      <c r="Q394" s="834"/>
      <c r="R394" s="834"/>
      <c r="S394" s="834"/>
      <c r="T394" s="834"/>
      <c r="U394" s="834"/>
      <c r="V394" s="834"/>
      <c r="W394" s="834"/>
      <c r="X394" s="834"/>
      <c r="Y394" s="834"/>
      <c r="Z394" s="834"/>
      <c r="AA394" s="834"/>
      <c r="AB394" s="834"/>
      <c r="AC394" s="834"/>
      <c r="AD394" s="834"/>
      <c r="AE394" s="834"/>
      <c r="AF394" s="834"/>
      <c r="AG394" s="834"/>
      <c r="AH394" s="834"/>
      <c r="AJ394" s="836"/>
      <c r="AK394" s="836"/>
      <c r="AL394" s="836"/>
      <c r="AM394" s="836"/>
      <c r="AN394" s="836"/>
      <c r="AO394" s="836"/>
      <c r="AP394" s="836"/>
      <c r="AQ394" s="836"/>
      <c r="AR394" s="836"/>
      <c r="AS394" s="836"/>
      <c r="AT394" s="836"/>
      <c r="AU394" s="836"/>
      <c r="AV394" s="836"/>
      <c r="AW394" s="836"/>
      <c r="AX394" s="836"/>
      <c r="AY394" s="836"/>
      <c r="AZ394" s="836"/>
      <c r="BA394" s="836"/>
      <c r="BB394" s="836"/>
      <c r="BC394" s="836"/>
      <c r="BD394" s="836"/>
      <c r="BE394" s="836"/>
      <c r="BF394" s="836"/>
      <c r="BG394" s="836"/>
      <c r="BH394" s="836"/>
      <c r="BI394" s="836"/>
      <c r="BJ394" s="836"/>
      <c r="BK394" s="836"/>
      <c r="BL394" s="836"/>
      <c r="BM394" s="836"/>
      <c r="BN394" s="836"/>
      <c r="BO394" s="836"/>
      <c r="BP394" s="836"/>
      <c r="BR394" s="844" t="str">
        <f>IFERROR(__xludf.DUMMYFUNCTION("""COMPUTED_VALUE"""),"Gann, ")</f>
        <v>Gann, </v>
      </c>
      <c r="BS394" s="838" t="str">
        <f>IFERROR(__xludf.DUMMYFUNCTION("""COMPUTED_VALUE"""),"Cambodia")</f>
        <v>Cambodia</v>
      </c>
      <c r="BT394" s="838" t="str">
        <f>IFERROR(__xludf.DUMMYFUNCTION("""COMPUTED_VALUE"""),"Thiabendazole")</f>
        <v>Thiabendazole</v>
      </c>
      <c r="BU394" s="838"/>
      <c r="BV394" s="838" t="str">
        <f>IFERROR(__xludf.DUMMYFUNCTION("""COMPUTED_VALUE"""),"Two")</f>
        <v>Two</v>
      </c>
      <c r="BW394" s="838" t="str">
        <f>IFERROR(__xludf.DUMMYFUNCTION("""COMPUTED_VALUE"""),"(50 rug/kg/day)")</f>
        <v>(50 rug/kg/day)</v>
      </c>
      <c r="BX394" s="838">
        <f>IFERROR(__xludf.DUMMYFUNCTION("""COMPUTED_VALUE"""),19.0)</f>
        <v>19</v>
      </c>
      <c r="BY394" s="838" t="str">
        <f>IFERROR(__xludf.DUMMYFUNCTION("""COMPUTED_VALUE"""),"Mean age of 36.4")</f>
        <v>Mean age of 36.4</v>
      </c>
      <c r="BZ394" s="838">
        <f>IFERROR(__xludf.DUMMYFUNCTION("""COMPUTED_VALUE"""),1994.0)</f>
        <v>1994</v>
      </c>
      <c r="CA394" s="858">
        <f>IFERROR(__xludf.DUMMYFUNCTION("""COMPUTED_VALUE"""),42563.0)</f>
        <v>42563</v>
      </c>
      <c r="CB394" s="838"/>
      <c r="CC394" s="838" t="str">
        <f>IFERROR(__xludf.DUMMYFUNCTION("""COMPUTED_VALUE"""),"Yes")</f>
        <v>Yes</v>
      </c>
      <c r="CD394" s="838"/>
      <c r="CE394" s="838" t="str">
        <f>IFERROR(__xludf.DUMMYFUNCTION("""COMPUTED_VALUE"""),"No")</f>
        <v>No</v>
      </c>
      <c r="CF394" s="858">
        <f>IFERROR(__xludf.DUMMYFUNCTION("""COMPUTED_VALUE"""),42388.0)</f>
        <v>42388</v>
      </c>
      <c r="CG394" s="838"/>
      <c r="CH394" s="838"/>
      <c r="CI394" s="838"/>
      <c r="CJ394" s="838"/>
      <c r="CK394" s="838"/>
      <c r="CL394" s="838"/>
      <c r="CM394" s="838"/>
      <c r="CN394" s="838"/>
      <c r="CO394" s="838"/>
      <c r="CP394" s="838"/>
      <c r="CQ394" s="838"/>
      <c r="CR394" s="838" t="str">
        <f>IFERROR(__xludf.DUMMYFUNCTION("""COMPUTED_VALUE"""),"0/16")</f>
        <v>0/16</v>
      </c>
      <c r="CS394" s="838" t="str">
        <f>IFERROR(__xludf.DUMMYFUNCTION("""COMPUTED_VALUE"""),"Although eradication of S. stercoralis is difficult to ascertain, ivermectin and thiabendazole appeared to have equivalent efficacy against uncomplicated chronic infection. To be considered cured in this study, a patient had to have at least three consecu"&amp;"tive stools negative for larvae by Baermann testing over at least 3 months and total relief from symptoms. Single-dose ivermectin therapy was as safe and efficacious as the two-dose therapy. In this trial, the sensitivity of stool testing was increased by"&amp;" using a modified Baermann technique on stools collected at several times over a period of ~2 years. Since worm burden fluctuates, sampling that is spread over time might have a higher sensitivity for detecting infection than sampling that is tightly clus"&amp;"tered. The modified Baermann technique samples larvae from -30 g of fresh stool; &lt;I g of stool is sampled with formalin concentration methods [9]. Therefore, the chances of false-negative stool tests due to sampling during a period of low excretion of lar"&amp;"vae were reduced in our study. The negligible likelihood of reinfection in this population, in which strongyloidiasis is presumably nonendemic, strengthens our conclusions regarding drug efficacy. We believe that the higher success rate achieved with thia"&amp;"bendazole in our study compared with rates in previous studies [ I, 4] is partly due to the absence of reinfection and to careful monitoring of compliance over 3 days of treatment.")</f>
        <v>Although eradication of S. stercoralis is difficult to ascertain, ivermectin and thiabendazole appeared to have equivalent efficacy against uncomplicated chronic infection. To be considered cured in this study, a patient had to have at least three consecutive stools negative for larvae by Baermann testing over at least 3 months and total relief from symptoms. Single-dose ivermectin therapy was as safe and efficacious as the two-dose therapy. In this trial, the sensitivity of stool testing was increased by using a modified Baermann technique on stools collected at several times over a period of ~2 years. Since worm burden fluctuates, sampling that is spread over time might have a higher sensitivity for detecting infection than sampling that is tightly clustered. The modified Baermann technique samples larvae from -30 g of fresh stool; &lt;I g of stool is sampled with formalin concentration methods [9]. Therefore, the chances of false-negative stool tests due to sampling during a period of low excretion of larvae were reduced in our study. The negligible likelihood of reinfection in this population, in which strongyloidiasis is presumably nonendemic, strengthens our conclusions regarding drug efficacy. We believe that the higher success rate achieved with thiabendazole in our study compared with rates in previous studies [ I, 4] is partly due to the absence of reinfection and to careful monitoring of compliance over 3 days of treatment.</v>
      </c>
      <c r="CT394" s="838"/>
      <c r="CU394" s="838"/>
      <c r="CV394" s="697" t="str">
        <f>IFERROR(__xludf.DUMMYFUNCTION("""COMPUTED_VALUE"""),"Gann, Peter H., Franklin A. Neva, and Albert A. Gam. ""A randomized trial of single-and two-dose ivermectin versus thiabendazole for treatment of strongyloidiasis."" Journal of Infectious Diseases 169.5 (1994): 1076-1079.")</f>
        <v>Gann, Peter H., Franklin A. Neva, and Albert A. Gam. "A randomized trial of single-and two-dose ivermectin versus thiabendazole for treatment of strongyloidiasis." Journal of Infectious Diseases 169.5 (1994): 1076-1079.</v>
      </c>
    </row>
    <row r="395">
      <c r="A395" s="834"/>
      <c r="B395" s="834"/>
      <c r="C395" s="834"/>
      <c r="D395" s="834"/>
      <c r="E395" s="834"/>
      <c r="F395" s="834"/>
      <c r="G395" s="834"/>
      <c r="H395" s="834"/>
      <c r="I395" s="834"/>
      <c r="J395" s="834"/>
      <c r="K395" s="834"/>
      <c r="L395" s="834"/>
      <c r="M395" s="834"/>
      <c r="N395" s="834"/>
      <c r="O395" s="834"/>
      <c r="P395" s="834"/>
      <c r="Q395" s="834"/>
      <c r="R395" s="834"/>
      <c r="S395" s="834"/>
      <c r="T395" s="834"/>
      <c r="U395" s="834"/>
      <c r="V395" s="834"/>
      <c r="W395" s="834"/>
      <c r="X395" s="834"/>
      <c r="Y395" s="834"/>
      <c r="Z395" s="834"/>
      <c r="AA395" s="834"/>
      <c r="AB395" s="834"/>
      <c r="AC395" s="834"/>
      <c r="AD395" s="834"/>
      <c r="AE395" s="834"/>
      <c r="AF395" s="834"/>
      <c r="AG395" s="834"/>
      <c r="AH395" s="834"/>
      <c r="AJ395" s="836"/>
      <c r="AK395" s="836"/>
      <c r="AL395" s="836"/>
      <c r="AM395" s="836"/>
      <c r="AN395" s="836"/>
      <c r="AO395" s="836"/>
      <c r="AP395" s="836"/>
      <c r="AQ395" s="836"/>
      <c r="AR395" s="836"/>
      <c r="AS395" s="836"/>
      <c r="AT395" s="836"/>
      <c r="AU395" s="836"/>
      <c r="AV395" s="836"/>
      <c r="AW395" s="836"/>
      <c r="AX395" s="836"/>
      <c r="AY395" s="836"/>
      <c r="AZ395" s="836"/>
      <c r="BA395" s="836"/>
      <c r="BB395" s="836"/>
      <c r="BC395" s="836"/>
      <c r="BD395" s="836"/>
      <c r="BE395" s="836"/>
      <c r="BF395" s="836"/>
      <c r="BG395" s="836"/>
      <c r="BH395" s="836"/>
      <c r="BI395" s="836"/>
      <c r="BJ395" s="836"/>
      <c r="BK395" s="836"/>
      <c r="BL395" s="836"/>
      <c r="BM395" s="836"/>
      <c r="BN395" s="836"/>
      <c r="BO395" s="836"/>
      <c r="BP395" s="836"/>
      <c r="BR395" s="844" t="str">
        <f>IFERROR(__xludf.DUMMYFUNCTION("""COMPUTED_VALUE"""),"Igual-Adell")</f>
        <v>Igual-Adell</v>
      </c>
      <c r="BS395" s="838" t="str">
        <f>IFERROR(__xludf.DUMMYFUNCTION("""COMPUTED_VALUE"""),"Spain")</f>
        <v>Spain</v>
      </c>
      <c r="BT395" s="838" t="str">
        <f>IFERROR(__xludf.DUMMYFUNCTION("""COMPUTED_VALUE"""),"Thiabendazole")</f>
        <v>Thiabendazole</v>
      </c>
      <c r="BU395" s="838"/>
      <c r="BV395" s="838" t="str">
        <f>IFERROR(__xludf.DUMMYFUNCTION("""COMPUTED_VALUE"""),"Three")</f>
        <v>Three</v>
      </c>
      <c r="BW395" s="838" t="str">
        <f>IFERROR(__xludf.DUMMYFUNCTION("""COMPUTED_VALUE"""),"25 mg/kg/12 h")</f>
        <v>25 mg/kg/12 h</v>
      </c>
      <c r="BX395" s="838">
        <f>IFERROR(__xludf.DUMMYFUNCTION("""COMPUTED_VALUE"""),31.0)</f>
        <v>31</v>
      </c>
      <c r="BY395" s="838"/>
      <c r="BZ395" s="838">
        <f>IFERROR(__xludf.DUMMYFUNCTION("""COMPUTED_VALUE"""),2002.0)</f>
        <v>2002</v>
      </c>
      <c r="CA395" s="838" t="str">
        <f>IFERROR(__xludf.DUMMYFUNCTION("""COMPUTED_VALUE"""),"Male 27
Female 4")</f>
        <v>Male 27
Female 4</v>
      </c>
      <c r="CB395" s="838"/>
      <c r="CC395" s="838" t="str">
        <f>IFERROR(__xludf.DUMMYFUNCTION("""COMPUTED_VALUE"""),"No")</f>
        <v>No</v>
      </c>
      <c r="CD395" s="838"/>
      <c r="CE395" s="838" t="str">
        <f>IFERROR(__xludf.DUMMYFUNCTION("""COMPUTED_VALUE"""),"No")</f>
        <v>No</v>
      </c>
      <c r="CF395" s="838"/>
      <c r="CG395" s="838"/>
      <c r="CH395" s="838"/>
      <c r="CI395" s="838"/>
      <c r="CJ395" s="838"/>
      <c r="CK395" s="838"/>
      <c r="CL395" s="838"/>
      <c r="CM395" s="838"/>
      <c r="CN395" s="838"/>
      <c r="CO395" s="838"/>
      <c r="CP395" s="838"/>
      <c r="CQ395" s="838"/>
      <c r="CR395" s="838"/>
      <c r="CS395" s="838" t="str">
        <f>IFERROR(__xludf.DUMMYFUNCTION("""COMPUTED_VALUE"""),"In conclusion, ivermectin 200 μg/kg/day for 2 consecutive days, was an adequate therapeutic regimen in the treatment of chronic uncomplicated strongyloidiasis, and we will request from the relevant authorities that ivermectin is marketed in Spain, taking "&amp;"into account that recent findings suggest the existence of other endemic areas in this country [24].")</f>
        <v>In conclusion, ivermectin 200 μg/kg/day for 2 consecutive days, was an adequate therapeutic regimen in the treatment of chronic uncomplicated strongyloidiasis, and we will request from the relevant authorities that ivermectin is marketed in Spain, taking into account that recent findings suggest the existence of other endemic areas in this country [24].</v>
      </c>
      <c r="CT395" s="838"/>
      <c r="CU395" s="838"/>
      <c r="CV395" s="697" t="str">
        <f>IFERROR(__xludf.DUMMYFUNCTION("""COMPUTED_VALUE"""),"Igual-Adell, Rafael, et al. ""Efficacy and safety of ivermectin and thiabendazole in the treatment of strongyloidiasis."" Expert opinion on pharmacotherapy 5.12 (2004): 2615-2619.")</f>
        <v>Igual-Adell, Rafael, et al. "Efficacy and safety of ivermectin and thiabendazole in the treatment of strongyloidiasis." Expert opinion on pharmacotherapy 5.12 (2004): 2615-2619.</v>
      </c>
    </row>
    <row r="396">
      <c r="A396" s="834"/>
      <c r="B396" s="834"/>
      <c r="C396" s="834"/>
      <c r="D396" s="834"/>
      <c r="E396" s="834"/>
      <c r="F396" s="834"/>
      <c r="G396" s="834"/>
      <c r="H396" s="834"/>
      <c r="I396" s="834"/>
      <c r="J396" s="834"/>
      <c r="K396" s="834"/>
      <c r="L396" s="834"/>
      <c r="M396" s="834"/>
      <c r="N396" s="834"/>
      <c r="O396" s="834"/>
      <c r="P396" s="834"/>
      <c r="Q396" s="834"/>
      <c r="R396" s="834"/>
      <c r="S396" s="834"/>
      <c r="T396" s="834"/>
      <c r="U396" s="834"/>
      <c r="V396" s="834"/>
      <c r="W396" s="834"/>
      <c r="X396" s="834"/>
      <c r="Y396" s="834"/>
      <c r="Z396" s="834"/>
      <c r="AA396" s="834"/>
      <c r="AB396" s="834"/>
      <c r="AC396" s="834"/>
      <c r="AD396" s="834"/>
      <c r="AE396" s="834"/>
      <c r="AF396" s="834"/>
      <c r="AG396" s="834"/>
      <c r="AH396" s="834"/>
      <c r="AJ396" s="836"/>
      <c r="AK396" s="836"/>
      <c r="AL396" s="836"/>
      <c r="AM396" s="836"/>
      <c r="AN396" s="836"/>
      <c r="AO396" s="836"/>
      <c r="AP396" s="836"/>
      <c r="AQ396" s="836"/>
      <c r="AR396" s="836"/>
      <c r="AS396" s="836"/>
      <c r="AT396" s="836"/>
      <c r="AU396" s="836"/>
      <c r="AV396" s="836"/>
      <c r="AW396" s="836"/>
      <c r="AX396" s="836"/>
      <c r="AY396" s="836"/>
      <c r="AZ396" s="836"/>
      <c r="BA396" s="836"/>
      <c r="BB396" s="836"/>
      <c r="BC396" s="836"/>
      <c r="BD396" s="836"/>
      <c r="BE396" s="836"/>
      <c r="BF396" s="836"/>
      <c r="BG396" s="836"/>
      <c r="BH396" s="836"/>
      <c r="BI396" s="836"/>
      <c r="BJ396" s="836"/>
      <c r="BK396" s="836"/>
      <c r="BL396" s="836"/>
      <c r="BM396" s="836"/>
      <c r="BN396" s="836"/>
      <c r="BO396" s="836"/>
      <c r="BP396" s="836"/>
      <c r="BR396" s="844" t="str">
        <f>IFERROR(__xludf.DUMMYFUNCTION("""COMPUTED_VALUE"""),"Igual-Adell")</f>
        <v>Igual-Adell</v>
      </c>
      <c r="BS396" s="838" t="str">
        <f>IFERROR(__xludf.DUMMYFUNCTION("""COMPUTED_VALUE"""),"Spain")</f>
        <v>Spain</v>
      </c>
      <c r="BT396" s="838" t="str">
        <f>IFERROR(__xludf.DUMMYFUNCTION("""COMPUTED_VALUE"""),"Ivermectin")</f>
        <v>Ivermectin</v>
      </c>
      <c r="BU396" s="838"/>
      <c r="BV396" s="838" t="str">
        <f>IFERROR(__xludf.DUMMYFUNCTION("""COMPUTED_VALUE"""),"Once")</f>
        <v>Once</v>
      </c>
      <c r="BW396" s="838" t="str">
        <f>IFERROR(__xludf.DUMMYFUNCTION("""COMPUTED_VALUE"""),"200 μg/kg")</f>
        <v>200 μg/kg</v>
      </c>
      <c r="BX396" s="838">
        <f>IFERROR(__xludf.DUMMYFUNCTION("""COMPUTED_VALUE"""),22.0)</f>
        <v>22</v>
      </c>
      <c r="BY396" s="838" t="str">
        <f>IFERROR(__xludf.DUMMYFUNCTION("""COMPUTED_VALUE"""),"mean age was 64 ± 12 years.")</f>
        <v>mean age was 64 ± 12 years.</v>
      </c>
      <c r="BZ396" s="838">
        <f>IFERROR(__xludf.DUMMYFUNCTION("""COMPUTED_VALUE"""),2002.0)</f>
        <v>2002</v>
      </c>
      <c r="CA396" s="838" t="str">
        <f>IFERROR(__xludf.DUMMYFUNCTION("""COMPUTED_VALUE"""),"Male 12
Female 10")</f>
        <v>Male 12
Female 10</v>
      </c>
      <c r="CB396" s="838"/>
      <c r="CC396" s="838" t="str">
        <f>IFERROR(__xludf.DUMMYFUNCTION("""COMPUTED_VALUE"""),"No")</f>
        <v>No</v>
      </c>
      <c r="CD396" s="846">
        <f>IFERROR(__xludf.DUMMYFUNCTION("""COMPUTED_VALUE"""),0.98)</f>
        <v>0.98</v>
      </c>
      <c r="CE396" s="838" t="str">
        <f>IFERROR(__xludf.DUMMYFUNCTION("""COMPUTED_VALUE"""),"No")</f>
        <v>No</v>
      </c>
      <c r="CF396" s="838"/>
      <c r="CG396" s="838"/>
      <c r="CH396" s="838"/>
      <c r="CI396" s="838"/>
      <c r="CJ396" s="838"/>
      <c r="CK396" s="838"/>
      <c r="CL396" s="838"/>
      <c r="CM396" s="838"/>
      <c r="CN396" s="838"/>
      <c r="CO396" s="838"/>
      <c r="CP396" s="838"/>
      <c r="CQ396" s="838"/>
      <c r="CR396" s="838"/>
      <c r="CS396" s="838" t="str">
        <f>IFERROR(__xludf.DUMMYFUNCTION("""COMPUTED_VALUE"""),"In conclusion, ivermectin 200 μg/kg/day for 2 consecutive days, was an adequate therapeutic regimen in the treatment of chronic uncomplicated strongyloidiasis, and we will request from the relevant authorities that ivermectin is marketed in Spain, taking "&amp;"into account that recent findings suggest the existence of other endemic areas in this country [24].")</f>
        <v>In conclusion, ivermectin 200 μg/kg/day for 2 consecutive days, was an adequate therapeutic regimen in the treatment of chronic uncomplicated strongyloidiasis, and we will request from the relevant authorities that ivermectin is marketed in Spain, taking into account that recent findings suggest the existence of other endemic areas in this country [24].</v>
      </c>
      <c r="CT396" s="838"/>
      <c r="CU396" s="838"/>
      <c r="CV396" s="697"/>
    </row>
    <row r="397">
      <c r="A397" s="834"/>
      <c r="B397" s="834"/>
      <c r="C397" s="834"/>
      <c r="D397" s="834"/>
      <c r="E397" s="834"/>
      <c r="F397" s="834"/>
      <c r="G397" s="834"/>
      <c r="H397" s="834"/>
      <c r="I397" s="834"/>
      <c r="J397" s="834"/>
      <c r="K397" s="834"/>
      <c r="L397" s="834"/>
      <c r="M397" s="834"/>
      <c r="N397" s="834"/>
      <c r="O397" s="834"/>
      <c r="P397" s="834"/>
      <c r="Q397" s="834"/>
      <c r="R397" s="834"/>
      <c r="S397" s="834"/>
      <c r="T397" s="834"/>
      <c r="U397" s="834"/>
      <c r="V397" s="834"/>
      <c r="W397" s="834"/>
      <c r="X397" s="834"/>
      <c r="Y397" s="834"/>
      <c r="Z397" s="834"/>
      <c r="AA397" s="834"/>
      <c r="AB397" s="834"/>
      <c r="AC397" s="834"/>
      <c r="AD397" s="834"/>
      <c r="AE397" s="834"/>
      <c r="AF397" s="834"/>
      <c r="AG397" s="834"/>
      <c r="AH397" s="834"/>
      <c r="AJ397" s="836"/>
      <c r="AK397" s="836"/>
      <c r="AL397" s="836"/>
      <c r="AM397" s="836"/>
      <c r="AN397" s="836"/>
      <c r="AO397" s="836"/>
      <c r="AP397" s="836"/>
      <c r="AQ397" s="836"/>
      <c r="AR397" s="836"/>
      <c r="AS397" s="836"/>
      <c r="AT397" s="836"/>
      <c r="AU397" s="836"/>
      <c r="AV397" s="836"/>
      <c r="AW397" s="836"/>
      <c r="AX397" s="836"/>
      <c r="AY397" s="836"/>
      <c r="AZ397" s="836"/>
      <c r="BA397" s="836"/>
      <c r="BB397" s="836"/>
      <c r="BC397" s="836"/>
      <c r="BD397" s="836"/>
      <c r="BE397" s="836"/>
      <c r="BF397" s="836"/>
      <c r="BG397" s="836"/>
      <c r="BH397" s="836"/>
      <c r="BI397" s="836"/>
      <c r="BJ397" s="836"/>
      <c r="BK397" s="836"/>
      <c r="BL397" s="836"/>
      <c r="BM397" s="836"/>
      <c r="BN397" s="836"/>
      <c r="BO397" s="836"/>
      <c r="BP397" s="836"/>
      <c r="BR397" s="844" t="str">
        <f>IFERROR(__xludf.DUMMYFUNCTION("""COMPUTED_VALUE"""),"Igual-Adell")</f>
        <v>Igual-Adell</v>
      </c>
      <c r="BS397" s="838" t="str">
        <f>IFERROR(__xludf.DUMMYFUNCTION("""COMPUTED_VALUE"""),"Spain")</f>
        <v>Spain</v>
      </c>
      <c r="BT397" s="838" t="str">
        <f>IFERROR(__xludf.DUMMYFUNCTION("""COMPUTED_VALUE"""),"Ivermectin")</f>
        <v>Ivermectin</v>
      </c>
      <c r="BU397" s="838"/>
      <c r="BV397" s="838" t="str">
        <f>IFERROR(__xludf.DUMMYFUNCTION("""COMPUTED_VALUE"""),"Two")</f>
        <v>Two</v>
      </c>
      <c r="BW397" s="838" t="str">
        <f>IFERROR(__xludf.DUMMYFUNCTION("""COMPUTED_VALUE"""),"200 μg/kg for 2d")</f>
        <v>200 μg/kg for 2d</v>
      </c>
      <c r="BX397" s="838">
        <f>IFERROR(__xludf.DUMMYFUNCTION("""COMPUTED_VALUE"""),35.0)</f>
        <v>35</v>
      </c>
      <c r="BY397" s="838" t="str">
        <f>IFERROR(__xludf.DUMMYFUNCTION("""COMPUTED_VALUE"""),"mean age was 64 ± 12 years.")</f>
        <v>mean age was 64 ± 12 years.</v>
      </c>
      <c r="BZ397" s="838">
        <f>IFERROR(__xludf.DUMMYFUNCTION("""COMPUTED_VALUE"""),2002.0)</f>
        <v>2002</v>
      </c>
      <c r="CA397" s="838" t="str">
        <f>IFERROR(__xludf.DUMMYFUNCTION("""COMPUTED_VALUE"""),"Male 26
Female 9")</f>
        <v>Male 26
Female 9</v>
      </c>
      <c r="CB397" s="838"/>
      <c r="CC397" s="838" t="str">
        <f>IFERROR(__xludf.DUMMYFUNCTION("""COMPUTED_VALUE"""),"No")</f>
        <v>No</v>
      </c>
      <c r="CD397" s="846">
        <f>IFERROR(__xludf.DUMMYFUNCTION("""COMPUTED_VALUE"""),0.94)</f>
        <v>0.94</v>
      </c>
      <c r="CE397" s="838" t="str">
        <f>IFERROR(__xludf.DUMMYFUNCTION("""COMPUTED_VALUE"""),"No")</f>
        <v>No</v>
      </c>
      <c r="CF397" s="838"/>
      <c r="CG397" s="838"/>
      <c r="CH397" s="838"/>
      <c r="CI397" s="838"/>
      <c r="CJ397" s="838"/>
      <c r="CK397" s="838"/>
      <c r="CL397" s="838"/>
      <c r="CM397" s="838"/>
      <c r="CN397" s="838"/>
      <c r="CO397" s="838"/>
      <c r="CP397" s="838"/>
      <c r="CQ397" s="838"/>
      <c r="CR397" s="838"/>
      <c r="CS397" s="838" t="str">
        <f>IFERROR(__xludf.DUMMYFUNCTION("""COMPUTED_VALUE"""),"In conclusion, ivermectin 200 μg/kg/day for 2 consecutive days, was an adequate therapeutic regimen in the treatment of chronic uncomplicated strongyloidiasis, and we will request from the relevant authorities that ivermectin is marketed in Spain, taking "&amp;"into account that recent findings suggest the existence of other endemic areas in this country [24].")</f>
        <v>In conclusion, ivermectin 200 μg/kg/day for 2 consecutive days, was an adequate therapeutic regimen in the treatment of chronic uncomplicated strongyloidiasis, and we will request from the relevant authorities that ivermectin is marketed in Spain, taking into account that recent findings suggest the existence of other endemic areas in this country [24].</v>
      </c>
      <c r="CT397" s="838"/>
      <c r="CU397" s="838"/>
      <c r="CV397" s="697"/>
    </row>
    <row r="398">
      <c r="A398" s="834"/>
      <c r="B398" s="834"/>
      <c r="C398" s="834"/>
      <c r="D398" s="834"/>
      <c r="E398" s="834"/>
      <c r="F398" s="834"/>
      <c r="G398" s="834"/>
      <c r="H398" s="834"/>
      <c r="I398" s="834"/>
      <c r="J398" s="834"/>
      <c r="K398" s="834"/>
      <c r="L398" s="834"/>
      <c r="M398" s="834"/>
      <c r="N398" s="834"/>
      <c r="O398" s="834"/>
      <c r="P398" s="834"/>
      <c r="Q398" s="834"/>
      <c r="R398" s="834"/>
      <c r="S398" s="834"/>
      <c r="T398" s="834"/>
      <c r="U398" s="834"/>
      <c r="V398" s="834"/>
      <c r="W398" s="834"/>
      <c r="X398" s="834"/>
      <c r="Y398" s="834"/>
      <c r="Z398" s="834"/>
      <c r="AA398" s="834"/>
      <c r="AB398" s="834"/>
      <c r="AC398" s="834"/>
      <c r="AD398" s="834"/>
      <c r="AE398" s="834"/>
      <c r="AF398" s="834"/>
      <c r="AG398" s="834"/>
      <c r="AH398" s="834"/>
      <c r="AJ398" s="836"/>
      <c r="AK398" s="836"/>
      <c r="AL398" s="836"/>
      <c r="AM398" s="836"/>
      <c r="AN398" s="836"/>
      <c r="AO398" s="836"/>
      <c r="AP398" s="836"/>
      <c r="AQ398" s="836"/>
      <c r="AR398" s="836"/>
      <c r="AS398" s="836"/>
      <c r="AT398" s="836"/>
      <c r="AU398" s="836"/>
      <c r="AV398" s="836"/>
      <c r="AW398" s="836"/>
      <c r="AX398" s="836"/>
      <c r="AY398" s="836"/>
      <c r="AZ398" s="836"/>
      <c r="BA398" s="836"/>
      <c r="BB398" s="836"/>
      <c r="BC398" s="836"/>
      <c r="BD398" s="836"/>
      <c r="BE398" s="836"/>
      <c r="BF398" s="836"/>
      <c r="BG398" s="836"/>
      <c r="BH398" s="836"/>
      <c r="BI398" s="836"/>
      <c r="BJ398" s="836"/>
      <c r="BK398" s="836"/>
      <c r="BL398" s="836"/>
      <c r="BM398" s="836"/>
      <c r="BN398" s="836"/>
      <c r="BO398" s="836"/>
      <c r="BP398" s="836"/>
      <c r="BR398" s="844" t="str">
        <f>IFERROR(__xludf.DUMMYFUNCTION("""COMPUTED_VALUE"""),"Bockarie")</f>
        <v>Bockarie</v>
      </c>
      <c r="BS398" s="838" t="str">
        <f>IFERROR(__xludf.DUMMYFUNCTION("""COMPUTED_VALUE"""),"Papua New Guinea")</f>
        <v>Papua New Guinea</v>
      </c>
      <c r="BT398" s="838" t="str">
        <f>IFERROR(__xludf.DUMMYFUNCTION("""COMPUTED_VALUE"""),"Diethylcarbamazine")</f>
        <v>Diethylcarbamazine</v>
      </c>
      <c r="BU398" s="838"/>
      <c r="BV398" s="838" t="str">
        <f>IFERROR(__xludf.DUMMYFUNCTION("""COMPUTED_VALUE"""),"Once")</f>
        <v>Once</v>
      </c>
      <c r="BW398" s="838" t="str">
        <f>IFERROR(__xludf.DUMMYFUNCTION("""COMPUTED_VALUE"""),"(6 mg/kg of body weight)")</f>
        <v>(6 mg/kg of body weight)</v>
      </c>
      <c r="BX398" s="838">
        <f>IFERROR(__xludf.DUMMYFUNCTION("""COMPUTED_VALUE"""),497.0)</f>
        <v>497</v>
      </c>
      <c r="BY398" s="838" t="str">
        <f>IFERROR(__xludf.DUMMYFUNCTION("""COMPUTED_VALUE"""),"Mean age of 23.4")</f>
        <v>Mean age of 23.4</v>
      </c>
      <c r="BZ398" s="838">
        <f>IFERROR(__xludf.DUMMYFUNCTION("""COMPUTED_VALUE"""),2001.0)</f>
        <v>2001</v>
      </c>
      <c r="CA398" s="838" t="str">
        <f>IFERROR(__xludf.DUMMYFUNCTION("""COMPUTED_VALUE"""),"260/237")</f>
        <v>260/237</v>
      </c>
      <c r="CB398" s="838"/>
      <c r="CC398" s="838" t="str">
        <f>IFERROR(__xludf.DUMMYFUNCTION("""COMPUTED_VALUE"""),"Yes")</f>
        <v>Yes</v>
      </c>
      <c r="CD398" s="838"/>
      <c r="CE398" s="838" t="str">
        <f>IFERROR(__xludf.DUMMYFUNCTION("""COMPUTED_VALUE"""),"No")</f>
        <v>No</v>
      </c>
      <c r="CF398" s="838"/>
      <c r="CG398" s="838"/>
      <c r="CH398" s="838"/>
      <c r="CI398" s="838"/>
      <c r="CJ398" s="838"/>
      <c r="CK398" s="838"/>
      <c r="CL398" s="838"/>
      <c r="CM398" s="838"/>
      <c r="CN398" s="838"/>
      <c r="CO398" s="838"/>
      <c r="CP398" s="838"/>
      <c r="CQ398" s="838"/>
      <c r="CR398" s="838"/>
      <c r="CS398" s="838" t="str">
        <f>IFERROR(__xludf.DUMMYFUNCTION("""COMPUTED_VALUE"""),"Considering the superior efficacy of single dose DEC plus ALB over DEC alone demonstrated here in reducing W. bancrofti antigenemia and the added benefit of ALB on treating childhood geohelminth infections and improving nutrition,7 our results support the"&amp;" recommendation that ALB be included in filariasis MDA programs. In addition, since these and other data provide more field-based information to quantify the relative efficacy of the three MDA regimens recommended by GPELF, it is hoped they can be used to"&amp;" refine mathematical models of filariasis transmission that will inform decisions concerned with continuation and termination of national and regional elimination programs.")</f>
        <v>Considering the superior efficacy of single dose DEC plus ALB over DEC alone demonstrated here in reducing W. bancrofti antigenemia and the added benefit of ALB on treating childhood geohelminth infections and improving nutrition,7 our results support the recommendation that ALB be included in filariasis MDA programs. In addition, since these and other data provide more field-based information to quantify the relative efficacy of the three MDA regimens recommended by GPELF, it is hoped they can be used to refine mathematical models of filariasis transmission that will inform decisions concerned with continuation and termination of national and regional elimination programs.</v>
      </c>
      <c r="CT398" s="838"/>
      <c r="CU398" s="838"/>
      <c r="CV398" s="697" t="str">
        <f>IFERROR(__xludf.DUMMYFUNCTION("""COMPUTED_VALUE"""),"Bockarie, Moses J., et al. ""Efficacy of single-dose diethylcarbamazine compared with diethylcarbamazine combined with albendazole against Wuchereria bancrofti infection in Papua New Guinea."" The American journal of tropical medicine and hygiene 76.1 (20"&amp;"07): 62-66.")</f>
        <v>Bockarie, Moses J., et al. "Efficacy of single-dose diethylcarbamazine compared with diethylcarbamazine combined with albendazole against Wuchereria bancrofti infection in Papua New Guinea." The American journal of tropical medicine and hygiene 76.1 (2007): 62-66.</v>
      </c>
    </row>
    <row r="399">
      <c r="A399" s="834"/>
      <c r="B399" s="834"/>
      <c r="C399" s="834"/>
      <c r="D399" s="834"/>
      <c r="E399" s="834"/>
      <c r="F399" s="834"/>
      <c r="G399" s="834"/>
      <c r="H399" s="834"/>
      <c r="I399" s="834"/>
      <c r="J399" s="834"/>
      <c r="K399" s="834"/>
      <c r="L399" s="834"/>
      <c r="M399" s="834"/>
      <c r="N399" s="834"/>
      <c r="O399" s="834"/>
      <c r="P399" s="834"/>
      <c r="Q399" s="834"/>
      <c r="R399" s="834"/>
      <c r="S399" s="834"/>
      <c r="T399" s="834"/>
      <c r="U399" s="834"/>
      <c r="V399" s="834"/>
      <c r="W399" s="834"/>
      <c r="X399" s="834"/>
      <c r="Y399" s="834"/>
      <c r="Z399" s="834"/>
      <c r="AA399" s="834"/>
      <c r="AB399" s="834"/>
      <c r="AC399" s="834"/>
      <c r="AD399" s="834"/>
      <c r="AE399" s="834"/>
      <c r="AF399" s="834"/>
      <c r="AG399" s="834"/>
      <c r="AH399" s="834"/>
      <c r="AJ399" s="836"/>
      <c r="AK399" s="836"/>
      <c r="AL399" s="836"/>
      <c r="AM399" s="836"/>
      <c r="AN399" s="836"/>
      <c r="AO399" s="836"/>
      <c r="AP399" s="836"/>
      <c r="AQ399" s="836"/>
      <c r="AR399" s="836"/>
      <c r="AS399" s="836"/>
      <c r="AT399" s="836"/>
      <c r="AU399" s="836"/>
      <c r="AV399" s="836"/>
      <c r="AW399" s="836"/>
      <c r="AX399" s="836"/>
      <c r="AY399" s="836"/>
      <c r="AZ399" s="836"/>
      <c r="BA399" s="836"/>
      <c r="BB399" s="836"/>
      <c r="BC399" s="836"/>
      <c r="BD399" s="836"/>
      <c r="BE399" s="836"/>
      <c r="BF399" s="836"/>
      <c r="BG399" s="836"/>
      <c r="BH399" s="836"/>
      <c r="BI399" s="836"/>
      <c r="BJ399" s="836"/>
      <c r="BK399" s="836"/>
      <c r="BL399" s="836"/>
      <c r="BM399" s="836"/>
      <c r="BN399" s="836"/>
      <c r="BO399" s="836"/>
      <c r="BP399" s="836"/>
      <c r="BR399" s="844" t="str">
        <f>IFERROR(__xludf.DUMMYFUNCTION("""COMPUTED_VALUE"""),"Bockarie")</f>
        <v>Bockarie</v>
      </c>
      <c r="BS399" s="838" t="str">
        <f>IFERROR(__xludf.DUMMYFUNCTION("""COMPUTED_VALUE"""),"Papua New Guinea")</f>
        <v>Papua New Guinea</v>
      </c>
      <c r="BT399" s="838" t="str">
        <f>IFERROR(__xludf.DUMMYFUNCTION("""COMPUTED_VALUE"""),"Diethylcarbamazine &amp; Albendazole")</f>
        <v>Diethylcarbamazine &amp; Albendazole</v>
      </c>
      <c r="BU399" s="838"/>
      <c r="BV399" s="838" t="str">
        <f>IFERROR(__xludf.DUMMYFUNCTION("""COMPUTED_VALUE"""),"Once")</f>
        <v>Once</v>
      </c>
      <c r="BW399" s="838" t="str">
        <f>IFERROR(__xludf.DUMMYFUNCTION("""COMPUTED_VALUE"""),"(400 mg given as a single dose regardless of body weight).")</f>
        <v>(400 mg given as a single dose regardless of body weight).</v>
      </c>
      <c r="BX399" s="838">
        <f>IFERROR(__xludf.DUMMYFUNCTION("""COMPUTED_VALUE"""),510.0)</f>
        <v>510</v>
      </c>
      <c r="BY399" s="838" t="str">
        <f>IFERROR(__xludf.DUMMYFUNCTION("""COMPUTED_VALUE"""),"Mean age of 24.7")</f>
        <v>Mean age of 24.7</v>
      </c>
      <c r="BZ399" s="838">
        <f>IFERROR(__xludf.DUMMYFUNCTION("""COMPUTED_VALUE"""),2001.0)</f>
        <v>2001</v>
      </c>
      <c r="CA399" s="838" t="str">
        <f>IFERROR(__xludf.DUMMYFUNCTION("""COMPUTED_VALUE"""),"268/242")</f>
        <v>268/242</v>
      </c>
      <c r="CB399" s="838"/>
      <c r="CC399" s="838" t="str">
        <f>IFERROR(__xludf.DUMMYFUNCTION("""COMPUTED_VALUE"""),"Yes")</f>
        <v>Yes</v>
      </c>
      <c r="CD399" s="838"/>
      <c r="CE399" s="838" t="str">
        <f>IFERROR(__xludf.DUMMYFUNCTION("""COMPUTED_VALUE"""),"No")</f>
        <v>No</v>
      </c>
      <c r="CF399" s="838"/>
      <c r="CG399" s="838"/>
      <c r="CH399" s="838"/>
      <c r="CI399" s="838"/>
      <c r="CJ399" s="838"/>
      <c r="CK399" s="838"/>
      <c r="CL399" s="838"/>
      <c r="CM399" s="838"/>
      <c r="CN399" s="838"/>
      <c r="CO399" s="838"/>
      <c r="CP399" s="838"/>
      <c r="CQ399" s="838"/>
      <c r="CR399" s="838"/>
      <c r="CS399" s="838" t="str">
        <f>IFERROR(__xludf.DUMMYFUNCTION("""COMPUTED_VALUE"""),"Considering the superior efficacy of single dose DEC plus ALB over DEC alone demonstrated here in reducing W. bancrofti antigenemia and the added benefit of ALB on treating childhood geohelminth infections and improving nutrition,7 our results support the"&amp;" recommendation that ALB be included in filariasis MDA programs. In addition, since these and other data provide more field-based information to quantify the relative efficacy of the three MDA regimens recommended by GPELF, it is hoped they can be used to"&amp;" refine mathematical models of filariasis transmission that will inform decisions concerned with continuation and termination of national and regional elimination programs.")</f>
        <v>Considering the superior efficacy of single dose DEC plus ALB over DEC alone demonstrated here in reducing W. bancrofti antigenemia and the added benefit of ALB on treating childhood geohelminth infections and improving nutrition,7 our results support the recommendation that ALB be included in filariasis MDA programs. In addition, since these and other data provide more field-based information to quantify the relative efficacy of the three MDA regimens recommended by GPELF, it is hoped they can be used to refine mathematical models of filariasis transmission that will inform decisions concerned with continuation and termination of national and regional elimination programs.</v>
      </c>
      <c r="CT399" s="838"/>
      <c r="CU399" s="838"/>
      <c r="CV399" s="697"/>
    </row>
    <row r="400">
      <c r="A400" s="834"/>
      <c r="B400" s="834"/>
      <c r="C400" s="834"/>
      <c r="D400" s="834"/>
      <c r="E400" s="834"/>
      <c r="F400" s="834"/>
      <c r="G400" s="834"/>
      <c r="H400" s="834"/>
      <c r="I400" s="834"/>
      <c r="J400" s="834"/>
      <c r="K400" s="834"/>
      <c r="L400" s="834"/>
      <c r="M400" s="834"/>
      <c r="N400" s="834"/>
      <c r="O400" s="834"/>
      <c r="P400" s="834"/>
      <c r="Q400" s="834"/>
      <c r="R400" s="834"/>
      <c r="S400" s="834"/>
      <c r="T400" s="834"/>
      <c r="U400" s="834"/>
      <c r="V400" s="834"/>
      <c r="W400" s="834"/>
      <c r="X400" s="834"/>
      <c r="Y400" s="834"/>
      <c r="Z400" s="834"/>
      <c r="AA400" s="834"/>
      <c r="AB400" s="834"/>
      <c r="AC400" s="834"/>
      <c r="AD400" s="834"/>
      <c r="AE400" s="834"/>
      <c r="AF400" s="834"/>
      <c r="AG400" s="834"/>
      <c r="AH400" s="834"/>
      <c r="AJ400" s="836"/>
      <c r="AK400" s="836"/>
      <c r="AL400" s="836"/>
      <c r="AM400" s="836"/>
      <c r="AN400" s="836"/>
      <c r="AO400" s="836"/>
      <c r="AP400" s="836"/>
      <c r="AQ400" s="836"/>
      <c r="AR400" s="836"/>
      <c r="AS400" s="836"/>
      <c r="AT400" s="836"/>
      <c r="AU400" s="836"/>
      <c r="AV400" s="836"/>
      <c r="AW400" s="836"/>
      <c r="AX400" s="836"/>
      <c r="AY400" s="836"/>
      <c r="AZ400" s="836"/>
      <c r="BA400" s="836"/>
      <c r="BB400" s="836"/>
      <c r="BC400" s="836"/>
      <c r="BD400" s="836"/>
      <c r="BE400" s="836"/>
      <c r="BF400" s="836"/>
      <c r="BG400" s="836"/>
      <c r="BH400" s="836"/>
      <c r="BI400" s="836"/>
      <c r="BJ400" s="836"/>
      <c r="BK400" s="836"/>
      <c r="BL400" s="836"/>
      <c r="BM400" s="836"/>
      <c r="BN400" s="836"/>
      <c r="BO400" s="836"/>
      <c r="BP400" s="836"/>
      <c r="BR400" s="838"/>
      <c r="BS400" s="838"/>
      <c r="BT400" s="838"/>
      <c r="BU400" s="838"/>
      <c r="BV400" s="838"/>
      <c r="BW400" s="838"/>
      <c r="BX400" s="838"/>
      <c r="BY400" s="838"/>
      <c r="BZ400" s="838"/>
      <c r="CA400" s="838"/>
      <c r="CB400" s="838"/>
      <c r="CC400" s="838"/>
      <c r="CD400" s="838"/>
      <c r="CE400" s="838"/>
      <c r="CF400" s="838"/>
      <c r="CG400" s="838"/>
      <c r="CH400" s="838"/>
      <c r="CI400" s="838"/>
      <c r="CJ400" s="838"/>
      <c r="CK400" s="838"/>
      <c r="CL400" s="838"/>
      <c r="CM400" s="838"/>
      <c r="CN400" s="838"/>
      <c r="CO400" s="838"/>
      <c r="CP400" s="838"/>
      <c r="CQ400" s="838"/>
      <c r="CR400" s="838"/>
      <c r="CS400" s="838"/>
      <c r="CT400" s="838"/>
      <c r="CU400" s="838"/>
      <c r="CV400" s="697"/>
    </row>
    <row r="401">
      <c r="A401" s="834"/>
      <c r="B401" s="834"/>
      <c r="C401" s="834"/>
      <c r="D401" s="834"/>
      <c r="E401" s="834"/>
      <c r="F401" s="834"/>
      <c r="G401" s="834"/>
      <c r="H401" s="834"/>
      <c r="I401" s="834"/>
      <c r="J401" s="834"/>
      <c r="K401" s="834"/>
      <c r="L401" s="834"/>
      <c r="M401" s="834"/>
      <c r="N401" s="834"/>
      <c r="O401" s="834"/>
      <c r="P401" s="834"/>
      <c r="Q401" s="834"/>
      <c r="R401" s="834"/>
      <c r="S401" s="834"/>
      <c r="T401" s="834"/>
      <c r="U401" s="834"/>
      <c r="V401" s="834"/>
      <c r="W401" s="834"/>
      <c r="X401" s="834"/>
      <c r="Y401" s="834"/>
      <c r="Z401" s="834"/>
      <c r="AA401" s="834"/>
      <c r="AB401" s="834"/>
      <c r="AC401" s="834"/>
      <c r="AD401" s="834"/>
      <c r="AE401" s="834"/>
      <c r="AF401" s="834"/>
      <c r="AG401" s="834"/>
      <c r="AH401" s="834"/>
      <c r="AJ401" s="836"/>
      <c r="AK401" s="836"/>
      <c r="AL401" s="836"/>
      <c r="AM401" s="836"/>
      <c r="AN401" s="836"/>
      <c r="AO401" s="836"/>
      <c r="AP401" s="836"/>
      <c r="AQ401" s="836"/>
      <c r="AR401" s="836"/>
      <c r="AS401" s="836"/>
      <c r="AT401" s="836"/>
      <c r="AU401" s="836"/>
      <c r="AV401" s="836"/>
      <c r="AW401" s="836"/>
      <c r="AX401" s="836"/>
      <c r="AY401" s="836"/>
      <c r="AZ401" s="836"/>
      <c r="BA401" s="836"/>
      <c r="BB401" s="836"/>
      <c r="BC401" s="836"/>
      <c r="BD401" s="836"/>
      <c r="BE401" s="836"/>
      <c r="BF401" s="836"/>
      <c r="BG401" s="836"/>
      <c r="BH401" s="836"/>
      <c r="BI401" s="836"/>
      <c r="BJ401" s="836"/>
      <c r="BK401" s="836"/>
      <c r="BL401" s="836"/>
      <c r="BM401" s="836"/>
      <c r="BN401" s="836"/>
      <c r="BO401" s="836"/>
      <c r="BP401" s="836"/>
      <c r="BR401" s="838"/>
      <c r="BS401" s="838"/>
      <c r="BT401" s="838"/>
      <c r="BU401" s="838"/>
      <c r="BV401" s="838"/>
      <c r="BW401" s="838"/>
      <c r="BX401" s="838"/>
      <c r="BY401" s="838"/>
      <c r="BZ401" s="838"/>
      <c r="CA401" s="838"/>
      <c r="CB401" s="838"/>
      <c r="CC401" s="838"/>
      <c r="CD401" s="838"/>
      <c r="CE401" s="838"/>
      <c r="CF401" s="838"/>
      <c r="CG401" s="838"/>
      <c r="CH401" s="838"/>
      <c r="CI401" s="838"/>
      <c r="CJ401" s="838"/>
      <c r="CK401" s="838"/>
      <c r="CL401" s="838"/>
      <c r="CM401" s="838"/>
      <c r="CN401" s="838"/>
      <c r="CO401" s="838"/>
      <c r="CP401" s="838"/>
      <c r="CQ401" s="838"/>
      <c r="CR401" s="838"/>
      <c r="CS401" s="838"/>
      <c r="CT401" s="838"/>
      <c r="CU401" s="838"/>
    </row>
    <row r="402">
      <c r="A402" s="834"/>
      <c r="B402" s="834"/>
      <c r="C402" s="834"/>
      <c r="D402" s="834"/>
      <c r="E402" s="834"/>
      <c r="F402" s="834"/>
      <c r="G402" s="834"/>
      <c r="H402" s="834"/>
      <c r="I402" s="834"/>
      <c r="J402" s="834"/>
      <c r="K402" s="834"/>
      <c r="L402" s="834"/>
      <c r="M402" s="834"/>
      <c r="N402" s="834"/>
      <c r="O402" s="834"/>
      <c r="P402" s="834"/>
      <c r="Q402" s="834"/>
      <c r="R402" s="834"/>
      <c r="S402" s="834"/>
      <c r="T402" s="834"/>
      <c r="U402" s="834"/>
      <c r="V402" s="834"/>
      <c r="W402" s="834"/>
      <c r="X402" s="834"/>
      <c r="Y402" s="834"/>
      <c r="Z402" s="834"/>
      <c r="AA402" s="834"/>
      <c r="AB402" s="834"/>
      <c r="AC402" s="834"/>
      <c r="AD402" s="834"/>
      <c r="AE402" s="834"/>
      <c r="AF402" s="834"/>
      <c r="AG402" s="834"/>
      <c r="AH402" s="834"/>
      <c r="AJ402" s="836"/>
      <c r="AK402" s="836"/>
      <c r="AL402" s="836"/>
      <c r="AM402" s="836"/>
      <c r="AN402" s="836"/>
      <c r="AO402" s="836"/>
      <c r="AP402" s="836"/>
      <c r="AQ402" s="836"/>
      <c r="AR402" s="836"/>
      <c r="AS402" s="836"/>
      <c r="AT402" s="836"/>
      <c r="AU402" s="836"/>
      <c r="AV402" s="836"/>
      <c r="AW402" s="836"/>
      <c r="AX402" s="836"/>
      <c r="AY402" s="836"/>
      <c r="AZ402" s="836"/>
      <c r="BA402" s="836"/>
      <c r="BB402" s="836"/>
      <c r="BC402" s="836"/>
      <c r="BD402" s="836"/>
      <c r="BE402" s="836"/>
      <c r="BF402" s="836"/>
      <c r="BG402" s="836"/>
      <c r="BH402" s="836"/>
      <c r="BI402" s="836"/>
      <c r="BJ402" s="836"/>
      <c r="BK402" s="836"/>
      <c r="BL402" s="836"/>
      <c r="BM402" s="836"/>
      <c r="BN402" s="836"/>
      <c r="BO402" s="836"/>
      <c r="BP402" s="836"/>
      <c r="BR402" s="838"/>
      <c r="BS402" s="838"/>
      <c r="BT402" s="838"/>
      <c r="BU402" s="838"/>
      <c r="BV402" s="838"/>
      <c r="BW402" s="838"/>
      <c r="BX402" s="838"/>
      <c r="BY402" s="838"/>
      <c r="BZ402" s="838"/>
      <c r="CA402" s="838"/>
      <c r="CB402" s="838"/>
      <c r="CC402" s="838"/>
      <c r="CD402" s="838"/>
      <c r="CE402" s="838"/>
      <c r="CF402" s="838"/>
      <c r="CG402" s="838"/>
      <c r="CH402" s="838"/>
      <c r="CI402" s="838"/>
      <c r="CJ402" s="838"/>
      <c r="CK402" s="838"/>
      <c r="CL402" s="838"/>
      <c r="CM402" s="838"/>
      <c r="CN402" s="838"/>
      <c r="CO402" s="838"/>
      <c r="CP402" s="838"/>
      <c r="CQ402" s="838"/>
      <c r="CR402" s="838"/>
      <c r="CS402" s="838"/>
      <c r="CT402" s="838"/>
      <c r="CU402" s="838"/>
    </row>
    <row r="403">
      <c r="A403" s="834"/>
      <c r="B403" s="834"/>
      <c r="C403" s="834"/>
      <c r="D403" s="834"/>
      <c r="E403" s="834"/>
      <c r="F403" s="834"/>
      <c r="G403" s="834"/>
      <c r="H403" s="834"/>
      <c r="I403" s="834"/>
      <c r="J403" s="834"/>
      <c r="K403" s="834"/>
      <c r="L403" s="834"/>
      <c r="M403" s="834"/>
      <c r="N403" s="834"/>
      <c r="O403" s="834"/>
      <c r="P403" s="834"/>
      <c r="Q403" s="834"/>
      <c r="R403" s="834"/>
      <c r="S403" s="834"/>
      <c r="T403" s="834"/>
      <c r="U403" s="834"/>
      <c r="V403" s="834"/>
      <c r="W403" s="834"/>
      <c r="X403" s="834"/>
      <c r="Y403" s="834"/>
      <c r="Z403" s="834"/>
      <c r="AA403" s="834"/>
      <c r="AB403" s="834"/>
      <c r="AC403" s="834"/>
      <c r="AD403" s="834"/>
      <c r="AE403" s="834"/>
      <c r="AF403" s="834"/>
      <c r="AG403" s="834"/>
      <c r="AH403" s="834"/>
      <c r="AJ403" s="836"/>
      <c r="AK403" s="836"/>
      <c r="AL403" s="836"/>
      <c r="AM403" s="836"/>
      <c r="AN403" s="836"/>
      <c r="AO403" s="836"/>
      <c r="AP403" s="836"/>
      <c r="AQ403" s="836"/>
      <c r="AR403" s="836"/>
      <c r="AS403" s="836"/>
      <c r="AT403" s="836"/>
      <c r="AU403" s="836"/>
      <c r="AV403" s="836"/>
      <c r="AW403" s="836"/>
      <c r="AX403" s="836"/>
      <c r="AY403" s="836"/>
      <c r="AZ403" s="836"/>
      <c r="BA403" s="836"/>
      <c r="BB403" s="836"/>
      <c r="BC403" s="836"/>
      <c r="BD403" s="836"/>
      <c r="BE403" s="836"/>
      <c r="BF403" s="836"/>
      <c r="BG403" s="836"/>
      <c r="BH403" s="836"/>
      <c r="BI403" s="836"/>
      <c r="BJ403" s="836"/>
      <c r="BK403" s="836"/>
      <c r="BL403" s="836"/>
      <c r="BM403" s="836"/>
      <c r="BN403" s="836"/>
      <c r="BO403" s="836"/>
      <c r="BP403" s="836"/>
      <c r="BR403" s="838"/>
      <c r="BS403" s="838"/>
      <c r="BT403" s="838"/>
      <c r="BU403" s="838"/>
      <c r="BV403" s="838"/>
      <c r="BW403" s="838"/>
      <c r="BX403" s="838"/>
      <c r="BY403" s="838"/>
      <c r="BZ403" s="838"/>
      <c r="CA403" s="838"/>
      <c r="CB403" s="838"/>
      <c r="CC403" s="838"/>
      <c r="CD403" s="838"/>
      <c r="CE403" s="838"/>
      <c r="CF403" s="838"/>
      <c r="CG403" s="838"/>
      <c r="CH403" s="838"/>
      <c r="CI403" s="838"/>
      <c r="CJ403" s="838"/>
      <c r="CK403" s="838"/>
      <c r="CL403" s="838"/>
      <c r="CM403" s="838"/>
      <c r="CN403" s="838"/>
      <c r="CO403" s="838"/>
      <c r="CP403" s="838"/>
      <c r="CQ403" s="838"/>
      <c r="CR403" s="838"/>
      <c r="CS403" s="838"/>
      <c r="CT403" s="838"/>
      <c r="CU403" s="838"/>
    </row>
    <row r="404">
      <c r="A404" s="834"/>
      <c r="B404" s="834"/>
      <c r="C404" s="834"/>
      <c r="D404" s="834"/>
      <c r="E404" s="834"/>
      <c r="F404" s="834"/>
      <c r="G404" s="834"/>
      <c r="H404" s="834"/>
      <c r="I404" s="834"/>
      <c r="J404" s="834"/>
      <c r="K404" s="834"/>
      <c r="L404" s="834"/>
      <c r="M404" s="834"/>
      <c r="N404" s="834"/>
      <c r="O404" s="834"/>
      <c r="P404" s="834"/>
      <c r="Q404" s="834"/>
      <c r="R404" s="834"/>
      <c r="S404" s="834"/>
      <c r="T404" s="834"/>
      <c r="U404" s="834"/>
      <c r="V404" s="834"/>
      <c r="W404" s="834"/>
      <c r="X404" s="834"/>
      <c r="Y404" s="834"/>
      <c r="Z404" s="834"/>
      <c r="AA404" s="834"/>
      <c r="AB404" s="834"/>
      <c r="AC404" s="834"/>
      <c r="AD404" s="834"/>
      <c r="AE404" s="834"/>
      <c r="AF404" s="834"/>
      <c r="AG404" s="834"/>
      <c r="AH404" s="834"/>
      <c r="AJ404" s="836"/>
      <c r="AK404" s="836"/>
      <c r="AL404" s="836"/>
      <c r="AM404" s="836"/>
      <c r="AN404" s="836"/>
      <c r="AO404" s="836"/>
      <c r="AP404" s="836"/>
      <c r="AQ404" s="836"/>
      <c r="AR404" s="836"/>
      <c r="AS404" s="836"/>
      <c r="AT404" s="836"/>
      <c r="AU404" s="836"/>
      <c r="AV404" s="836"/>
      <c r="AW404" s="836"/>
      <c r="AX404" s="836"/>
      <c r="AY404" s="836"/>
      <c r="AZ404" s="836"/>
      <c r="BA404" s="836"/>
      <c r="BB404" s="836"/>
      <c r="BC404" s="836"/>
      <c r="BD404" s="836"/>
      <c r="BE404" s="836"/>
      <c r="BF404" s="836"/>
      <c r="BG404" s="836"/>
      <c r="BH404" s="836"/>
      <c r="BI404" s="836"/>
      <c r="BJ404" s="836"/>
      <c r="BK404" s="836"/>
      <c r="BL404" s="836"/>
      <c r="BM404" s="836"/>
      <c r="BN404" s="836"/>
      <c r="BO404" s="836"/>
      <c r="BP404" s="836"/>
      <c r="BR404" s="838"/>
      <c r="BS404" s="838"/>
      <c r="BT404" s="838"/>
      <c r="BU404" s="838"/>
      <c r="BV404" s="838"/>
      <c r="BW404" s="838"/>
      <c r="BX404" s="838"/>
      <c r="BY404" s="838"/>
      <c r="BZ404" s="838"/>
      <c r="CA404" s="838"/>
      <c r="CB404" s="838"/>
      <c r="CC404" s="838"/>
      <c r="CD404" s="838"/>
      <c r="CE404" s="838"/>
      <c r="CF404" s="838"/>
      <c r="CG404" s="838"/>
      <c r="CH404" s="838"/>
      <c r="CI404" s="838"/>
      <c r="CJ404" s="838"/>
      <c r="CK404" s="838"/>
      <c r="CL404" s="838"/>
      <c r="CM404" s="838"/>
      <c r="CN404" s="838"/>
      <c r="CO404" s="838"/>
      <c r="CP404" s="838"/>
      <c r="CQ404" s="838"/>
      <c r="CR404" s="838"/>
      <c r="CS404" s="838"/>
      <c r="CT404" s="838"/>
      <c r="CU404" s="838"/>
    </row>
    <row r="405">
      <c r="A405" s="834"/>
      <c r="B405" s="834"/>
      <c r="C405" s="834"/>
      <c r="D405" s="834"/>
      <c r="E405" s="834"/>
      <c r="F405" s="834"/>
      <c r="G405" s="834"/>
      <c r="H405" s="834"/>
      <c r="I405" s="834"/>
      <c r="J405" s="834"/>
      <c r="K405" s="834"/>
      <c r="L405" s="834"/>
      <c r="M405" s="834"/>
      <c r="N405" s="834"/>
      <c r="O405" s="834"/>
      <c r="P405" s="834"/>
      <c r="Q405" s="834"/>
      <c r="R405" s="834"/>
      <c r="S405" s="834"/>
      <c r="T405" s="834"/>
      <c r="U405" s="834"/>
      <c r="V405" s="834"/>
      <c r="W405" s="834"/>
      <c r="X405" s="834"/>
      <c r="Y405" s="834"/>
      <c r="Z405" s="834"/>
      <c r="AA405" s="834"/>
      <c r="AB405" s="834"/>
      <c r="AC405" s="834"/>
      <c r="AD405" s="834"/>
      <c r="AE405" s="834"/>
      <c r="AF405" s="834"/>
      <c r="AG405" s="834"/>
      <c r="AH405" s="834"/>
      <c r="AJ405" s="836"/>
      <c r="AK405" s="836"/>
      <c r="AL405" s="836"/>
      <c r="AM405" s="836"/>
      <c r="AN405" s="836"/>
      <c r="AO405" s="836"/>
      <c r="AP405" s="836"/>
      <c r="AQ405" s="836"/>
      <c r="AR405" s="836"/>
      <c r="AS405" s="836"/>
      <c r="AT405" s="836"/>
      <c r="AU405" s="836"/>
      <c r="AV405" s="836"/>
      <c r="AW405" s="836"/>
      <c r="AX405" s="836"/>
      <c r="AY405" s="836"/>
      <c r="AZ405" s="836"/>
      <c r="BA405" s="836"/>
      <c r="BB405" s="836"/>
      <c r="BC405" s="836"/>
      <c r="BD405" s="836"/>
      <c r="BE405" s="836"/>
      <c r="BF405" s="836"/>
      <c r="BG405" s="836"/>
      <c r="BH405" s="836"/>
      <c r="BI405" s="836"/>
      <c r="BJ405" s="836"/>
      <c r="BK405" s="836"/>
      <c r="BL405" s="836"/>
      <c r="BM405" s="836"/>
      <c r="BN405" s="836"/>
      <c r="BO405" s="836"/>
      <c r="BP405" s="836"/>
      <c r="BR405" s="838"/>
      <c r="BS405" s="838"/>
      <c r="BT405" s="838"/>
      <c r="BU405" s="838"/>
      <c r="BV405" s="838"/>
      <c r="BW405" s="838"/>
      <c r="BX405" s="838"/>
      <c r="BY405" s="838"/>
      <c r="BZ405" s="838"/>
      <c r="CA405" s="838"/>
      <c r="CB405" s="838"/>
      <c r="CC405" s="838"/>
      <c r="CD405" s="838"/>
      <c r="CE405" s="838"/>
      <c r="CF405" s="838"/>
      <c r="CG405" s="838"/>
      <c r="CH405" s="838"/>
      <c r="CI405" s="838"/>
      <c r="CJ405" s="838"/>
      <c r="CK405" s="838"/>
      <c r="CL405" s="838"/>
      <c r="CM405" s="838"/>
      <c r="CN405" s="838"/>
      <c r="CO405" s="838"/>
      <c r="CP405" s="838"/>
      <c r="CQ405" s="838"/>
      <c r="CR405" s="838"/>
      <c r="CS405" s="838"/>
      <c r="CT405" s="838"/>
      <c r="CU405" s="838"/>
    </row>
    <row r="406">
      <c r="A406" s="834"/>
      <c r="B406" s="834"/>
      <c r="C406" s="834"/>
      <c r="D406" s="834"/>
      <c r="E406" s="834"/>
      <c r="F406" s="834"/>
      <c r="G406" s="834"/>
      <c r="H406" s="834"/>
      <c r="I406" s="834"/>
      <c r="J406" s="834"/>
      <c r="K406" s="834"/>
      <c r="L406" s="834"/>
      <c r="M406" s="834"/>
      <c r="N406" s="834"/>
      <c r="O406" s="834"/>
      <c r="P406" s="834"/>
      <c r="Q406" s="834"/>
      <c r="R406" s="834"/>
      <c r="S406" s="834"/>
      <c r="T406" s="834"/>
      <c r="U406" s="834"/>
      <c r="V406" s="834"/>
      <c r="W406" s="834"/>
      <c r="X406" s="834"/>
      <c r="Y406" s="834"/>
      <c r="Z406" s="834"/>
      <c r="AA406" s="834"/>
      <c r="AB406" s="834"/>
      <c r="AC406" s="834"/>
      <c r="AD406" s="834"/>
      <c r="AE406" s="834"/>
      <c r="AF406" s="834"/>
      <c r="AG406" s="834"/>
      <c r="AH406" s="834"/>
      <c r="AJ406" s="836"/>
      <c r="AK406" s="836"/>
      <c r="AL406" s="836"/>
      <c r="AM406" s="836"/>
      <c r="AN406" s="836"/>
      <c r="AO406" s="836"/>
      <c r="AP406" s="836"/>
      <c r="AQ406" s="836"/>
      <c r="AR406" s="836"/>
      <c r="AS406" s="836"/>
      <c r="AT406" s="836"/>
      <c r="AU406" s="836"/>
      <c r="AV406" s="836"/>
      <c r="AW406" s="836"/>
      <c r="AX406" s="836"/>
      <c r="AY406" s="836"/>
      <c r="AZ406" s="836"/>
      <c r="BA406" s="836"/>
      <c r="BB406" s="836"/>
      <c r="BC406" s="836"/>
      <c r="BD406" s="836"/>
      <c r="BE406" s="836"/>
      <c r="BF406" s="836"/>
      <c r="BG406" s="836"/>
      <c r="BH406" s="836"/>
      <c r="BI406" s="836"/>
      <c r="BJ406" s="836"/>
      <c r="BK406" s="836"/>
      <c r="BL406" s="836"/>
      <c r="BM406" s="836"/>
      <c r="BN406" s="836"/>
      <c r="BO406" s="836"/>
      <c r="BP406" s="836"/>
      <c r="BR406" s="838"/>
      <c r="BS406" s="838"/>
      <c r="BT406" s="838"/>
      <c r="BU406" s="838"/>
      <c r="BV406" s="838"/>
      <c r="BW406" s="838"/>
      <c r="BX406" s="838"/>
      <c r="BY406" s="838"/>
      <c r="BZ406" s="838"/>
      <c r="CA406" s="838"/>
      <c r="CB406" s="838"/>
      <c r="CC406" s="838"/>
      <c r="CD406" s="838"/>
      <c r="CE406" s="838"/>
      <c r="CF406" s="838"/>
      <c r="CG406" s="838"/>
      <c r="CH406" s="838"/>
      <c r="CI406" s="838"/>
      <c r="CJ406" s="838"/>
      <c r="CK406" s="838"/>
      <c r="CL406" s="838"/>
      <c r="CM406" s="838"/>
      <c r="CN406" s="838"/>
      <c r="CO406" s="838"/>
      <c r="CP406" s="838"/>
      <c r="CQ406" s="838"/>
      <c r="CR406" s="838"/>
      <c r="CS406" s="838"/>
      <c r="CT406" s="838"/>
      <c r="CU406" s="838"/>
    </row>
    <row r="407">
      <c r="A407" s="834"/>
      <c r="B407" s="834"/>
      <c r="C407" s="834"/>
      <c r="D407" s="834"/>
      <c r="E407" s="834"/>
      <c r="F407" s="834"/>
      <c r="G407" s="834"/>
      <c r="H407" s="834"/>
      <c r="I407" s="834"/>
      <c r="J407" s="834"/>
      <c r="K407" s="834"/>
      <c r="L407" s="834"/>
      <c r="M407" s="834"/>
      <c r="N407" s="834"/>
      <c r="O407" s="834"/>
      <c r="P407" s="834"/>
      <c r="Q407" s="834"/>
      <c r="R407" s="834"/>
      <c r="S407" s="834"/>
      <c r="T407" s="834"/>
      <c r="U407" s="834"/>
      <c r="V407" s="834"/>
      <c r="W407" s="834"/>
      <c r="X407" s="834"/>
      <c r="Y407" s="834"/>
      <c r="Z407" s="834"/>
      <c r="AA407" s="834"/>
      <c r="AB407" s="834"/>
      <c r="AC407" s="834"/>
      <c r="AD407" s="834"/>
      <c r="AE407" s="834"/>
      <c r="AF407" s="834"/>
      <c r="AG407" s="834"/>
      <c r="AH407" s="834"/>
      <c r="AJ407" s="836"/>
      <c r="AK407" s="836"/>
      <c r="AL407" s="836"/>
      <c r="AM407" s="836"/>
      <c r="AN407" s="836"/>
      <c r="AO407" s="836"/>
      <c r="AP407" s="836"/>
      <c r="AQ407" s="836"/>
      <c r="AR407" s="836"/>
      <c r="AS407" s="836"/>
      <c r="AT407" s="836"/>
      <c r="AU407" s="836"/>
      <c r="AV407" s="836"/>
      <c r="AW407" s="836"/>
      <c r="AX407" s="836"/>
      <c r="AY407" s="836"/>
      <c r="AZ407" s="836"/>
      <c r="BA407" s="836"/>
      <c r="BB407" s="836"/>
      <c r="BC407" s="836"/>
      <c r="BD407" s="836"/>
      <c r="BE407" s="836"/>
      <c r="BF407" s="836"/>
      <c r="BG407" s="836"/>
      <c r="BH407" s="836"/>
      <c r="BI407" s="836"/>
      <c r="BJ407" s="836"/>
      <c r="BK407" s="836"/>
      <c r="BL407" s="836"/>
      <c r="BM407" s="836"/>
      <c r="BN407" s="836"/>
      <c r="BO407" s="836"/>
      <c r="BP407" s="836"/>
      <c r="BR407" s="838"/>
      <c r="BS407" s="838"/>
      <c r="BT407" s="838"/>
      <c r="BU407" s="838"/>
      <c r="BV407" s="838"/>
      <c r="BW407" s="838"/>
      <c r="BX407" s="838"/>
      <c r="BY407" s="838"/>
      <c r="BZ407" s="838"/>
      <c r="CA407" s="838"/>
      <c r="CB407" s="838"/>
      <c r="CC407" s="838"/>
      <c r="CD407" s="838"/>
      <c r="CE407" s="838"/>
      <c r="CF407" s="838"/>
      <c r="CG407" s="838"/>
      <c r="CH407" s="838"/>
      <c r="CI407" s="838"/>
      <c r="CJ407" s="838"/>
      <c r="CK407" s="838"/>
      <c r="CL407" s="838"/>
      <c r="CM407" s="838"/>
      <c r="CN407" s="838"/>
      <c r="CO407" s="838"/>
      <c r="CP407" s="838"/>
      <c r="CQ407" s="838"/>
      <c r="CR407" s="838"/>
      <c r="CS407" s="838"/>
      <c r="CT407" s="838"/>
      <c r="CU407" s="838"/>
    </row>
    <row r="408">
      <c r="A408" s="834"/>
      <c r="B408" s="834"/>
      <c r="C408" s="834"/>
      <c r="D408" s="834"/>
      <c r="E408" s="834"/>
      <c r="F408" s="834"/>
      <c r="G408" s="834"/>
      <c r="H408" s="834"/>
      <c r="I408" s="834"/>
      <c r="J408" s="834"/>
      <c r="K408" s="834"/>
      <c r="L408" s="834"/>
      <c r="M408" s="834"/>
      <c r="N408" s="834"/>
      <c r="O408" s="834"/>
      <c r="P408" s="834"/>
      <c r="Q408" s="834"/>
      <c r="R408" s="834"/>
      <c r="S408" s="834"/>
      <c r="T408" s="834"/>
      <c r="U408" s="834"/>
      <c r="V408" s="834"/>
      <c r="W408" s="834"/>
      <c r="X408" s="834"/>
      <c r="Y408" s="834"/>
      <c r="Z408" s="834"/>
      <c r="AA408" s="834"/>
      <c r="AB408" s="834"/>
      <c r="AC408" s="834"/>
      <c r="AD408" s="834"/>
      <c r="AE408" s="834"/>
      <c r="AF408" s="834"/>
      <c r="AG408" s="834"/>
      <c r="AH408" s="834"/>
      <c r="AJ408" s="836"/>
      <c r="AK408" s="836"/>
      <c r="AL408" s="836"/>
      <c r="AM408" s="836"/>
      <c r="AN408" s="836"/>
      <c r="AO408" s="836"/>
      <c r="AP408" s="836"/>
      <c r="AQ408" s="836"/>
      <c r="AR408" s="836"/>
      <c r="AS408" s="836"/>
      <c r="AT408" s="836"/>
      <c r="AU408" s="836"/>
      <c r="AV408" s="836"/>
      <c r="AW408" s="836"/>
      <c r="AX408" s="836"/>
      <c r="AY408" s="836"/>
      <c r="AZ408" s="836"/>
      <c r="BA408" s="836"/>
      <c r="BB408" s="836"/>
      <c r="BC408" s="836"/>
      <c r="BD408" s="836"/>
      <c r="BE408" s="836"/>
      <c r="BF408" s="836"/>
      <c r="BG408" s="836"/>
      <c r="BH408" s="836"/>
      <c r="BI408" s="836"/>
      <c r="BJ408" s="836"/>
      <c r="BK408" s="836"/>
      <c r="BL408" s="836"/>
      <c r="BM408" s="836"/>
      <c r="BN408" s="836"/>
      <c r="BO408" s="836"/>
      <c r="BP408" s="836"/>
      <c r="BR408" s="838"/>
      <c r="BS408" s="838"/>
      <c r="BT408" s="838"/>
      <c r="BU408" s="838"/>
      <c r="BV408" s="838"/>
      <c r="BW408" s="838"/>
      <c r="BX408" s="838"/>
      <c r="BY408" s="838"/>
      <c r="BZ408" s="838"/>
      <c r="CA408" s="838"/>
      <c r="CB408" s="838"/>
      <c r="CC408" s="838"/>
      <c r="CD408" s="838"/>
      <c r="CE408" s="838"/>
      <c r="CF408" s="838"/>
      <c r="CG408" s="838"/>
      <c r="CH408" s="838"/>
      <c r="CI408" s="838"/>
      <c r="CJ408" s="838"/>
      <c r="CK408" s="838"/>
      <c r="CL408" s="838"/>
      <c r="CM408" s="838"/>
      <c r="CN408" s="838"/>
      <c r="CO408" s="838"/>
      <c r="CP408" s="838"/>
      <c r="CQ408" s="838"/>
      <c r="CR408" s="838"/>
      <c r="CS408" s="838"/>
      <c r="CT408" s="838"/>
      <c r="CU408" s="838"/>
    </row>
    <row r="409">
      <c r="A409" s="834"/>
      <c r="B409" s="834"/>
      <c r="C409" s="834"/>
      <c r="D409" s="834"/>
      <c r="E409" s="834"/>
      <c r="F409" s="834"/>
      <c r="G409" s="834"/>
      <c r="H409" s="834"/>
      <c r="I409" s="834"/>
      <c r="J409" s="834"/>
      <c r="K409" s="834"/>
      <c r="L409" s="834"/>
      <c r="M409" s="834"/>
      <c r="N409" s="834"/>
      <c r="O409" s="834"/>
      <c r="P409" s="834"/>
      <c r="Q409" s="834"/>
      <c r="R409" s="834"/>
      <c r="S409" s="834"/>
      <c r="T409" s="834"/>
      <c r="U409" s="834"/>
      <c r="V409" s="834"/>
      <c r="W409" s="834"/>
      <c r="X409" s="834"/>
      <c r="Y409" s="834"/>
      <c r="Z409" s="834"/>
      <c r="AA409" s="834"/>
      <c r="AB409" s="834"/>
      <c r="AC409" s="834"/>
      <c r="AD409" s="834"/>
      <c r="AE409" s="834"/>
      <c r="AF409" s="834"/>
      <c r="AG409" s="834"/>
      <c r="AH409" s="834"/>
      <c r="AJ409" s="836"/>
      <c r="AK409" s="836"/>
      <c r="AL409" s="836"/>
      <c r="AM409" s="836"/>
      <c r="AN409" s="836"/>
      <c r="AO409" s="836"/>
      <c r="AP409" s="836"/>
      <c r="AQ409" s="836"/>
      <c r="AR409" s="836"/>
      <c r="AS409" s="836"/>
      <c r="AT409" s="836"/>
      <c r="AU409" s="836"/>
      <c r="AV409" s="836"/>
      <c r="AW409" s="836"/>
      <c r="AX409" s="836"/>
      <c r="AY409" s="836"/>
      <c r="AZ409" s="836"/>
      <c r="BA409" s="836"/>
      <c r="BB409" s="836"/>
      <c r="BC409" s="836"/>
      <c r="BD409" s="836"/>
      <c r="BE409" s="836"/>
      <c r="BF409" s="836"/>
      <c r="BG409" s="836"/>
      <c r="BH409" s="836"/>
      <c r="BI409" s="836"/>
      <c r="BJ409" s="836"/>
      <c r="BK409" s="836"/>
      <c r="BL409" s="836"/>
      <c r="BM409" s="836"/>
      <c r="BN409" s="836"/>
      <c r="BO409" s="836"/>
      <c r="BP409" s="836"/>
      <c r="BR409" s="838"/>
      <c r="BS409" s="838"/>
      <c r="BT409" s="838"/>
      <c r="BU409" s="838"/>
      <c r="BV409" s="838"/>
      <c r="BW409" s="838"/>
      <c r="BX409" s="838"/>
      <c r="BY409" s="838"/>
      <c r="BZ409" s="838"/>
      <c r="CA409" s="838"/>
      <c r="CB409" s="838"/>
      <c r="CC409" s="838"/>
      <c r="CD409" s="838"/>
      <c r="CE409" s="838"/>
      <c r="CF409" s="838"/>
      <c r="CG409" s="838"/>
      <c r="CH409" s="838"/>
      <c r="CI409" s="838"/>
      <c r="CJ409" s="838"/>
      <c r="CK409" s="838"/>
      <c r="CL409" s="838"/>
      <c r="CM409" s="838"/>
      <c r="CN409" s="838"/>
      <c r="CO409" s="838"/>
      <c r="CP409" s="838"/>
      <c r="CQ409" s="838"/>
      <c r="CR409" s="838"/>
      <c r="CS409" s="838"/>
      <c r="CT409" s="838"/>
      <c r="CU409" s="838"/>
    </row>
    <row r="410">
      <c r="A410" s="834"/>
      <c r="B410" s="834"/>
      <c r="C410" s="834"/>
      <c r="D410" s="834"/>
      <c r="E410" s="834"/>
      <c r="F410" s="834"/>
      <c r="G410" s="834"/>
      <c r="H410" s="834"/>
      <c r="I410" s="834"/>
      <c r="J410" s="834"/>
      <c r="K410" s="834"/>
      <c r="L410" s="834"/>
      <c r="M410" s="834"/>
      <c r="N410" s="834"/>
      <c r="O410" s="834"/>
      <c r="P410" s="834"/>
      <c r="Q410" s="834"/>
      <c r="R410" s="834"/>
      <c r="S410" s="834"/>
      <c r="T410" s="834"/>
      <c r="U410" s="834"/>
      <c r="V410" s="834"/>
      <c r="W410" s="834"/>
      <c r="X410" s="834"/>
      <c r="Y410" s="834"/>
      <c r="Z410" s="834"/>
      <c r="AA410" s="834"/>
      <c r="AB410" s="834"/>
      <c r="AC410" s="834"/>
      <c r="AD410" s="834"/>
      <c r="AE410" s="834"/>
      <c r="AF410" s="834"/>
      <c r="AG410" s="834"/>
      <c r="AH410" s="834"/>
      <c r="AJ410" s="836"/>
      <c r="AK410" s="836"/>
      <c r="AL410" s="836"/>
      <c r="AM410" s="836"/>
      <c r="AN410" s="836"/>
      <c r="AO410" s="836"/>
      <c r="AP410" s="836"/>
      <c r="AQ410" s="836"/>
      <c r="AR410" s="836"/>
      <c r="AS410" s="836"/>
      <c r="AT410" s="836"/>
      <c r="AU410" s="836"/>
      <c r="AV410" s="836"/>
      <c r="AW410" s="836"/>
      <c r="AX410" s="836"/>
      <c r="AY410" s="836"/>
      <c r="AZ410" s="836"/>
      <c r="BA410" s="836"/>
      <c r="BB410" s="836"/>
      <c r="BC410" s="836"/>
      <c r="BD410" s="836"/>
      <c r="BE410" s="836"/>
      <c r="BF410" s="836"/>
      <c r="BG410" s="836"/>
      <c r="BH410" s="836"/>
      <c r="BI410" s="836"/>
      <c r="BJ410" s="836"/>
      <c r="BK410" s="836"/>
      <c r="BL410" s="836"/>
      <c r="BM410" s="836"/>
      <c r="BN410" s="836"/>
      <c r="BO410" s="836"/>
      <c r="BP410" s="836"/>
      <c r="BR410" s="838"/>
      <c r="BS410" s="838"/>
      <c r="BT410" s="838"/>
      <c r="BU410" s="838"/>
      <c r="BV410" s="838"/>
      <c r="BW410" s="838"/>
      <c r="BX410" s="838"/>
      <c r="BY410" s="838"/>
      <c r="BZ410" s="838"/>
      <c r="CA410" s="838"/>
      <c r="CB410" s="838"/>
      <c r="CC410" s="838"/>
      <c r="CD410" s="838"/>
      <c r="CE410" s="838"/>
      <c r="CF410" s="838"/>
      <c r="CG410" s="838"/>
      <c r="CH410" s="838"/>
      <c r="CI410" s="838"/>
      <c r="CJ410" s="838"/>
      <c r="CK410" s="838"/>
      <c r="CL410" s="838"/>
      <c r="CM410" s="838"/>
      <c r="CN410" s="838"/>
      <c r="CO410" s="838"/>
      <c r="CP410" s="838"/>
      <c r="CQ410" s="838"/>
      <c r="CR410" s="838"/>
      <c r="CS410" s="838"/>
      <c r="CT410" s="838"/>
      <c r="CU410" s="838"/>
    </row>
    <row r="411">
      <c r="A411" s="834"/>
      <c r="B411" s="834"/>
      <c r="C411" s="834"/>
      <c r="D411" s="834"/>
      <c r="E411" s="834"/>
      <c r="F411" s="834"/>
      <c r="G411" s="834"/>
      <c r="H411" s="834"/>
      <c r="I411" s="834"/>
      <c r="J411" s="834"/>
      <c r="K411" s="834"/>
      <c r="L411" s="834"/>
      <c r="M411" s="834"/>
      <c r="N411" s="834"/>
      <c r="O411" s="834"/>
      <c r="P411" s="834"/>
      <c r="Q411" s="834"/>
      <c r="R411" s="834"/>
      <c r="S411" s="834"/>
      <c r="T411" s="834"/>
      <c r="U411" s="834"/>
      <c r="V411" s="834"/>
      <c r="W411" s="834"/>
      <c r="X411" s="834"/>
      <c r="Y411" s="834"/>
      <c r="Z411" s="834"/>
      <c r="AA411" s="834"/>
      <c r="AB411" s="834"/>
      <c r="AC411" s="834"/>
      <c r="AD411" s="834"/>
      <c r="AE411" s="834"/>
      <c r="AF411" s="834"/>
      <c r="AG411" s="834"/>
      <c r="AH411" s="834"/>
      <c r="AJ411" s="836"/>
      <c r="AK411" s="836"/>
      <c r="AL411" s="836"/>
      <c r="AM411" s="836"/>
      <c r="AN411" s="836"/>
      <c r="AO411" s="836"/>
      <c r="AP411" s="836"/>
      <c r="AQ411" s="836"/>
      <c r="AR411" s="836"/>
      <c r="AS411" s="836"/>
      <c r="AT411" s="836"/>
      <c r="AU411" s="836"/>
      <c r="AV411" s="836"/>
      <c r="AW411" s="836"/>
      <c r="AX411" s="836"/>
      <c r="AY411" s="836"/>
      <c r="AZ411" s="836"/>
      <c r="BA411" s="836"/>
      <c r="BB411" s="836"/>
      <c r="BC411" s="836"/>
      <c r="BD411" s="836"/>
      <c r="BE411" s="836"/>
      <c r="BF411" s="836"/>
      <c r="BG411" s="836"/>
      <c r="BH411" s="836"/>
      <c r="BI411" s="836"/>
      <c r="BJ411" s="836"/>
      <c r="BK411" s="836"/>
      <c r="BL411" s="836"/>
      <c r="BM411" s="836"/>
      <c r="BN411" s="836"/>
      <c r="BO411" s="836"/>
      <c r="BP411" s="836"/>
      <c r="BR411" s="838"/>
      <c r="BS411" s="838"/>
      <c r="BT411" s="838"/>
      <c r="BU411" s="838"/>
      <c r="BV411" s="838"/>
      <c r="BW411" s="838"/>
      <c r="BX411" s="838"/>
      <c r="BY411" s="838"/>
      <c r="BZ411" s="838"/>
      <c r="CA411" s="838"/>
      <c r="CB411" s="838"/>
      <c r="CC411" s="838"/>
      <c r="CD411" s="838"/>
      <c r="CE411" s="838"/>
      <c r="CF411" s="838"/>
      <c r="CG411" s="838"/>
      <c r="CH411" s="838"/>
      <c r="CI411" s="838"/>
      <c r="CJ411" s="838"/>
      <c r="CK411" s="838"/>
      <c r="CL411" s="838"/>
      <c r="CM411" s="838"/>
      <c r="CN411" s="838"/>
      <c r="CO411" s="838"/>
      <c r="CP411" s="838"/>
      <c r="CQ411" s="838"/>
      <c r="CR411" s="838"/>
      <c r="CS411" s="838"/>
      <c r="CT411" s="838"/>
      <c r="CU411" s="838"/>
    </row>
    <row r="412">
      <c r="A412" s="834"/>
      <c r="B412" s="834"/>
      <c r="C412" s="834"/>
      <c r="D412" s="834"/>
      <c r="E412" s="834"/>
      <c r="F412" s="834"/>
      <c r="G412" s="834"/>
      <c r="H412" s="834"/>
      <c r="I412" s="834"/>
      <c r="J412" s="834"/>
      <c r="K412" s="834"/>
      <c r="L412" s="834"/>
      <c r="M412" s="834"/>
      <c r="N412" s="834"/>
      <c r="O412" s="834"/>
      <c r="P412" s="834"/>
      <c r="Q412" s="834"/>
      <c r="R412" s="834"/>
      <c r="S412" s="834"/>
      <c r="T412" s="834"/>
      <c r="U412" s="834"/>
      <c r="V412" s="834"/>
      <c r="W412" s="834"/>
      <c r="X412" s="834"/>
      <c r="Y412" s="834"/>
      <c r="Z412" s="834"/>
      <c r="AA412" s="834"/>
      <c r="AB412" s="834"/>
      <c r="AC412" s="834"/>
      <c r="AD412" s="834"/>
      <c r="AE412" s="834"/>
      <c r="AF412" s="834"/>
      <c r="AG412" s="834"/>
      <c r="AH412" s="834"/>
      <c r="AJ412" s="836"/>
      <c r="AK412" s="836"/>
      <c r="AL412" s="836"/>
      <c r="AM412" s="836"/>
      <c r="AN412" s="836"/>
      <c r="AO412" s="836"/>
      <c r="AP412" s="836"/>
      <c r="AQ412" s="836"/>
      <c r="AR412" s="836"/>
      <c r="AS412" s="836"/>
      <c r="AT412" s="836"/>
      <c r="AU412" s="836"/>
      <c r="AV412" s="836"/>
      <c r="AW412" s="836"/>
      <c r="AX412" s="836"/>
      <c r="AY412" s="836"/>
      <c r="AZ412" s="836"/>
      <c r="BA412" s="836"/>
      <c r="BB412" s="836"/>
      <c r="BC412" s="836"/>
      <c r="BD412" s="836"/>
      <c r="BE412" s="836"/>
      <c r="BF412" s="836"/>
      <c r="BG412" s="836"/>
      <c r="BH412" s="836"/>
      <c r="BI412" s="836"/>
      <c r="BJ412" s="836"/>
      <c r="BK412" s="836"/>
      <c r="BL412" s="836"/>
      <c r="BM412" s="836"/>
      <c r="BN412" s="836"/>
      <c r="BO412" s="836"/>
      <c r="BP412" s="836"/>
      <c r="BR412" s="838"/>
      <c r="BS412" s="838"/>
      <c r="BT412" s="838"/>
      <c r="BU412" s="838"/>
      <c r="BV412" s="838"/>
      <c r="BW412" s="838"/>
      <c r="BX412" s="838"/>
      <c r="BY412" s="838"/>
      <c r="BZ412" s="838"/>
      <c r="CA412" s="838"/>
      <c r="CB412" s="838"/>
      <c r="CC412" s="838"/>
      <c r="CD412" s="838"/>
      <c r="CE412" s="838"/>
      <c r="CF412" s="838"/>
      <c r="CG412" s="838"/>
      <c r="CH412" s="838"/>
      <c r="CI412" s="838"/>
      <c r="CJ412" s="838"/>
      <c r="CK412" s="838"/>
      <c r="CL412" s="838"/>
      <c r="CM412" s="838"/>
      <c r="CN412" s="838"/>
      <c r="CO412" s="838"/>
      <c r="CP412" s="838"/>
      <c r="CQ412" s="838"/>
      <c r="CR412" s="838"/>
      <c r="CS412" s="838"/>
      <c r="CT412" s="838"/>
      <c r="CU412" s="838"/>
    </row>
    <row r="413">
      <c r="A413" s="834"/>
      <c r="B413" s="834"/>
      <c r="C413" s="834"/>
      <c r="D413" s="834"/>
      <c r="E413" s="834"/>
      <c r="F413" s="834"/>
      <c r="G413" s="834"/>
      <c r="H413" s="834"/>
      <c r="I413" s="834"/>
      <c r="J413" s="834"/>
      <c r="K413" s="834"/>
      <c r="L413" s="834"/>
      <c r="M413" s="834"/>
      <c r="N413" s="834"/>
      <c r="O413" s="834"/>
      <c r="P413" s="834"/>
      <c r="Q413" s="834"/>
      <c r="R413" s="834"/>
      <c r="S413" s="834"/>
      <c r="T413" s="834"/>
      <c r="U413" s="834"/>
      <c r="V413" s="834"/>
      <c r="W413" s="834"/>
      <c r="X413" s="834"/>
      <c r="Y413" s="834"/>
      <c r="Z413" s="834"/>
      <c r="AA413" s="834"/>
      <c r="AB413" s="834"/>
      <c r="AC413" s="834"/>
      <c r="AD413" s="834"/>
      <c r="AE413" s="834"/>
      <c r="AF413" s="834"/>
      <c r="AG413" s="834"/>
      <c r="AH413" s="834"/>
      <c r="AJ413" s="836"/>
      <c r="AK413" s="836"/>
      <c r="AL413" s="836"/>
      <c r="AM413" s="836"/>
      <c r="AN413" s="836"/>
      <c r="AO413" s="836"/>
      <c r="AP413" s="836"/>
      <c r="AQ413" s="836"/>
      <c r="AR413" s="836"/>
      <c r="AS413" s="836"/>
      <c r="AT413" s="836"/>
      <c r="AU413" s="836"/>
      <c r="AV413" s="836"/>
      <c r="AW413" s="836"/>
      <c r="AX413" s="836"/>
      <c r="AY413" s="836"/>
      <c r="AZ413" s="836"/>
      <c r="BA413" s="836"/>
      <c r="BB413" s="836"/>
      <c r="BC413" s="836"/>
      <c r="BD413" s="836"/>
      <c r="BE413" s="836"/>
      <c r="BF413" s="836"/>
      <c r="BG413" s="836"/>
      <c r="BH413" s="836"/>
      <c r="BI413" s="836"/>
      <c r="BJ413" s="836"/>
      <c r="BK413" s="836"/>
      <c r="BL413" s="836"/>
      <c r="BM413" s="836"/>
      <c r="BN413" s="836"/>
      <c r="BO413" s="836"/>
      <c r="BP413" s="836"/>
      <c r="BR413" s="838"/>
      <c r="BS413" s="838"/>
      <c r="BT413" s="838"/>
      <c r="BU413" s="838"/>
      <c r="BV413" s="838"/>
      <c r="BW413" s="838"/>
      <c r="BX413" s="838"/>
      <c r="BY413" s="838"/>
      <c r="BZ413" s="838"/>
      <c r="CA413" s="838"/>
      <c r="CB413" s="838"/>
      <c r="CC413" s="838"/>
      <c r="CD413" s="838"/>
      <c r="CE413" s="838"/>
      <c r="CF413" s="838"/>
      <c r="CG413" s="838"/>
      <c r="CH413" s="838"/>
      <c r="CI413" s="838"/>
      <c r="CJ413" s="838"/>
      <c r="CK413" s="838"/>
      <c r="CL413" s="838"/>
      <c r="CM413" s="838"/>
      <c r="CN413" s="838"/>
      <c r="CO413" s="838"/>
      <c r="CP413" s="838"/>
      <c r="CQ413" s="838"/>
      <c r="CR413" s="838"/>
      <c r="CS413" s="838"/>
      <c r="CT413" s="838"/>
      <c r="CU413" s="838"/>
    </row>
    <row r="414">
      <c r="A414" s="834"/>
      <c r="B414" s="834"/>
      <c r="C414" s="834"/>
      <c r="D414" s="834"/>
      <c r="E414" s="834"/>
      <c r="F414" s="834"/>
      <c r="G414" s="834"/>
      <c r="H414" s="834"/>
      <c r="I414" s="834"/>
      <c r="J414" s="834"/>
      <c r="K414" s="834"/>
      <c r="L414" s="834"/>
      <c r="M414" s="834"/>
      <c r="N414" s="834"/>
      <c r="O414" s="834"/>
      <c r="P414" s="834"/>
      <c r="Q414" s="834"/>
      <c r="R414" s="834"/>
      <c r="S414" s="834"/>
      <c r="T414" s="834"/>
      <c r="U414" s="834"/>
      <c r="V414" s="834"/>
      <c r="W414" s="834"/>
      <c r="X414" s="834"/>
      <c r="Y414" s="834"/>
      <c r="Z414" s="834"/>
      <c r="AA414" s="834"/>
      <c r="AB414" s="834"/>
      <c r="AC414" s="834"/>
      <c r="AD414" s="834"/>
      <c r="AE414" s="834"/>
      <c r="AF414" s="834"/>
      <c r="AG414" s="834"/>
      <c r="AH414" s="834"/>
      <c r="AJ414" s="836"/>
      <c r="AK414" s="836"/>
      <c r="AL414" s="836"/>
      <c r="AM414" s="836"/>
      <c r="AN414" s="836"/>
      <c r="AO414" s="836"/>
      <c r="AP414" s="836"/>
      <c r="AQ414" s="836"/>
      <c r="AR414" s="836"/>
      <c r="AS414" s="836"/>
      <c r="AT414" s="836"/>
      <c r="AU414" s="836"/>
      <c r="AV414" s="836"/>
      <c r="AW414" s="836"/>
      <c r="AX414" s="836"/>
      <c r="AY414" s="836"/>
      <c r="AZ414" s="836"/>
      <c r="BA414" s="836"/>
      <c r="BB414" s="836"/>
      <c r="BC414" s="836"/>
      <c r="BD414" s="836"/>
      <c r="BE414" s="836"/>
      <c r="BF414" s="836"/>
      <c r="BG414" s="836"/>
      <c r="BH414" s="836"/>
      <c r="BI414" s="836"/>
      <c r="BJ414" s="836"/>
      <c r="BK414" s="836"/>
      <c r="BL414" s="836"/>
      <c r="BM414" s="836"/>
      <c r="BN414" s="836"/>
      <c r="BO414" s="836"/>
      <c r="BP414" s="836"/>
      <c r="BR414" s="838"/>
      <c r="BS414" s="838"/>
      <c r="BT414" s="838"/>
      <c r="BU414" s="838"/>
      <c r="BV414" s="838"/>
      <c r="BW414" s="838"/>
      <c r="BX414" s="838"/>
      <c r="BY414" s="838"/>
      <c r="BZ414" s="838"/>
      <c r="CA414" s="838"/>
      <c r="CB414" s="838"/>
      <c r="CC414" s="838"/>
      <c r="CD414" s="838"/>
      <c r="CE414" s="838"/>
      <c r="CF414" s="838"/>
      <c r="CG414" s="838"/>
      <c r="CH414" s="838"/>
      <c r="CI414" s="838"/>
      <c r="CJ414" s="838"/>
      <c r="CK414" s="838"/>
      <c r="CL414" s="838"/>
      <c r="CM414" s="838"/>
      <c r="CN414" s="838"/>
      <c r="CO414" s="838"/>
      <c r="CP414" s="838"/>
      <c r="CQ414" s="838"/>
      <c r="CR414" s="838"/>
      <c r="CS414" s="838"/>
      <c r="CT414" s="838"/>
      <c r="CU414" s="838"/>
    </row>
    <row r="415">
      <c r="A415" s="834"/>
      <c r="B415" s="834"/>
      <c r="C415" s="834"/>
      <c r="D415" s="834"/>
      <c r="E415" s="834"/>
      <c r="F415" s="834"/>
      <c r="G415" s="834"/>
      <c r="H415" s="834"/>
      <c r="I415" s="834"/>
      <c r="J415" s="834"/>
      <c r="K415" s="834"/>
      <c r="L415" s="834"/>
      <c r="M415" s="834"/>
      <c r="N415" s="834"/>
      <c r="O415" s="834"/>
      <c r="P415" s="834"/>
      <c r="Q415" s="834"/>
      <c r="R415" s="834"/>
      <c r="S415" s="834"/>
      <c r="T415" s="834"/>
      <c r="U415" s="834"/>
      <c r="V415" s="834"/>
      <c r="W415" s="834"/>
      <c r="X415" s="834"/>
      <c r="Y415" s="834"/>
      <c r="Z415" s="834"/>
      <c r="AA415" s="834"/>
      <c r="AB415" s="834"/>
      <c r="AC415" s="834"/>
      <c r="AD415" s="834"/>
      <c r="AE415" s="834"/>
      <c r="AF415" s="834"/>
      <c r="AG415" s="834"/>
      <c r="AH415" s="834"/>
      <c r="AJ415" s="836"/>
      <c r="AK415" s="836"/>
      <c r="AL415" s="836"/>
      <c r="AM415" s="836"/>
      <c r="AN415" s="836"/>
      <c r="AO415" s="836"/>
      <c r="AP415" s="836"/>
      <c r="AQ415" s="836"/>
      <c r="AR415" s="836"/>
      <c r="AS415" s="836"/>
      <c r="AT415" s="836"/>
      <c r="AU415" s="836"/>
      <c r="AV415" s="836"/>
      <c r="AW415" s="836"/>
      <c r="AX415" s="836"/>
      <c r="AY415" s="836"/>
      <c r="AZ415" s="836"/>
      <c r="BA415" s="836"/>
      <c r="BB415" s="836"/>
      <c r="BC415" s="836"/>
      <c r="BD415" s="836"/>
      <c r="BE415" s="836"/>
      <c r="BF415" s="836"/>
      <c r="BG415" s="836"/>
      <c r="BH415" s="836"/>
      <c r="BI415" s="836"/>
      <c r="BJ415" s="836"/>
      <c r="BK415" s="836"/>
      <c r="BL415" s="836"/>
      <c r="BM415" s="836"/>
      <c r="BN415" s="836"/>
      <c r="BO415" s="836"/>
      <c r="BP415" s="836"/>
      <c r="BR415" s="838"/>
      <c r="BS415" s="838"/>
      <c r="BT415" s="838"/>
      <c r="BU415" s="838"/>
      <c r="BV415" s="838"/>
      <c r="BW415" s="838"/>
      <c r="BX415" s="838"/>
      <c r="BY415" s="838"/>
      <c r="BZ415" s="838"/>
      <c r="CA415" s="838"/>
      <c r="CB415" s="838"/>
      <c r="CC415" s="838"/>
      <c r="CD415" s="838"/>
      <c r="CE415" s="838"/>
      <c r="CF415" s="838"/>
      <c r="CG415" s="838"/>
      <c r="CH415" s="838"/>
      <c r="CI415" s="838"/>
      <c r="CJ415" s="838"/>
      <c r="CK415" s="838"/>
      <c r="CL415" s="838"/>
      <c r="CM415" s="838"/>
      <c r="CN415" s="838"/>
      <c r="CO415" s="838"/>
      <c r="CP415" s="838"/>
      <c r="CQ415" s="838"/>
      <c r="CR415" s="838"/>
      <c r="CS415" s="838"/>
      <c r="CT415" s="838"/>
      <c r="CU415" s="838"/>
    </row>
    <row r="416">
      <c r="A416" s="834"/>
      <c r="B416" s="834"/>
      <c r="C416" s="834"/>
      <c r="D416" s="834"/>
      <c r="E416" s="834"/>
      <c r="F416" s="834"/>
      <c r="G416" s="834"/>
      <c r="H416" s="834"/>
      <c r="I416" s="834"/>
      <c r="J416" s="834"/>
      <c r="K416" s="834"/>
      <c r="L416" s="834"/>
      <c r="M416" s="834"/>
      <c r="N416" s="834"/>
      <c r="O416" s="834"/>
      <c r="P416" s="834"/>
      <c r="Q416" s="834"/>
      <c r="R416" s="834"/>
      <c r="S416" s="834"/>
      <c r="T416" s="834"/>
      <c r="U416" s="834"/>
      <c r="V416" s="834"/>
      <c r="W416" s="834"/>
      <c r="X416" s="834"/>
      <c r="Y416" s="834"/>
      <c r="Z416" s="834"/>
      <c r="AA416" s="834"/>
      <c r="AB416" s="834"/>
      <c r="AC416" s="834"/>
      <c r="AD416" s="834"/>
      <c r="AE416" s="834"/>
      <c r="AF416" s="834"/>
      <c r="AG416" s="834"/>
      <c r="AH416" s="834"/>
      <c r="AJ416" s="836"/>
      <c r="AK416" s="836"/>
      <c r="AL416" s="836"/>
      <c r="AM416" s="836"/>
      <c r="AN416" s="836"/>
      <c r="AO416" s="836"/>
      <c r="AP416" s="836"/>
      <c r="AQ416" s="836"/>
      <c r="AR416" s="836"/>
      <c r="AS416" s="836"/>
      <c r="AT416" s="836"/>
      <c r="AU416" s="836"/>
      <c r="AV416" s="836"/>
      <c r="AW416" s="836"/>
      <c r="AX416" s="836"/>
      <c r="AY416" s="836"/>
      <c r="AZ416" s="836"/>
      <c r="BA416" s="836"/>
      <c r="BB416" s="836"/>
      <c r="BC416" s="836"/>
      <c r="BD416" s="836"/>
      <c r="BE416" s="836"/>
      <c r="BF416" s="836"/>
      <c r="BG416" s="836"/>
      <c r="BH416" s="836"/>
      <c r="BI416" s="836"/>
      <c r="BJ416" s="836"/>
      <c r="BK416" s="836"/>
      <c r="BL416" s="836"/>
      <c r="BM416" s="836"/>
      <c r="BN416" s="836"/>
      <c r="BO416" s="836"/>
      <c r="BP416" s="836"/>
      <c r="BR416" s="838"/>
      <c r="BS416" s="838"/>
      <c r="BT416" s="838"/>
      <c r="BU416" s="838"/>
      <c r="BV416" s="838"/>
      <c r="BW416" s="838"/>
      <c r="BX416" s="838"/>
      <c r="BY416" s="838"/>
      <c r="BZ416" s="838"/>
      <c r="CA416" s="838"/>
      <c r="CB416" s="838"/>
      <c r="CC416" s="838"/>
      <c r="CD416" s="838"/>
      <c r="CE416" s="838"/>
      <c r="CF416" s="838"/>
      <c r="CG416" s="838"/>
      <c r="CH416" s="838"/>
      <c r="CI416" s="838"/>
      <c r="CJ416" s="838"/>
      <c r="CK416" s="838"/>
      <c r="CL416" s="838"/>
      <c r="CM416" s="838"/>
      <c r="CN416" s="838"/>
      <c r="CO416" s="838"/>
      <c r="CP416" s="838"/>
      <c r="CQ416" s="838"/>
      <c r="CR416" s="838"/>
      <c r="CS416" s="838"/>
      <c r="CT416" s="838"/>
      <c r="CU416" s="838"/>
    </row>
    <row r="417">
      <c r="A417" s="834"/>
      <c r="B417" s="834"/>
      <c r="C417" s="834"/>
      <c r="D417" s="834"/>
      <c r="E417" s="834"/>
      <c r="F417" s="834"/>
      <c r="G417" s="834"/>
      <c r="H417" s="834"/>
      <c r="I417" s="834"/>
      <c r="J417" s="834"/>
      <c r="K417" s="834"/>
      <c r="L417" s="834"/>
      <c r="M417" s="834"/>
      <c r="N417" s="834"/>
      <c r="O417" s="834"/>
      <c r="P417" s="834"/>
      <c r="Q417" s="834"/>
      <c r="R417" s="834"/>
      <c r="S417" s="834"/>
      <c r="T417" s="834"/>
      <c r="U417" s="834"/>
      <c r="V417" s="834"/>
      <c r="W417" s="834"/>
      <c r="X417" s="834"/>
      <c r="Y417" s="834"/>
      <c r="Z417" s="834"/>
      <c r="AA417" s="834"/>
      <c r="AB417" s="834"/>
      <c r="AC417" s="834"/>
      <c r="AD417" s="834"/>
      <c r="AE417" s="834"/>
      <c r="AF417" s="834"/>
      <c r="AG417" s="834"/>
      <c r="AH417" s="834"/>
      <c r="AJ417" s="836"/>
      <c r="AK417" s="836"/>
      <c r="AL417" s="836"/>
      <c r="AM417" s="836"/>
      <c r="AN417" s="836"/>
      <c r="AO417" s="836"/>
      <c r="AP417" s="836"/>
      <c r="AQ417" s="836"/>
      <c r="AR417" s="836"/>
      <c r="AS417" s="836"/>
      <c r="AT417" s="836"/>
      <c r="AU417" s="836"/>
      <c r="AV417" s="836"/>
      <c r="AW417" s="836"/>
      <c r="AX417" s="836"/>
      <c r="AY417" s="836"/>
      <c r="AZ417" s="836"/>
      <c r="BA417" s="836"/>
      <c r="BB417" s="836"/>
      <c r="BC417" s="836"/>
      <c r="BD417" s="836"/>
      <c r="BE417" s="836"/>
      <c r="BF417" s="836"/>
      <c r="BG417" s="836"/>
      <c r="BH417" s="836"/>
      <c r="BI417" s="836"/>
      <c r="BJ417" s="836"/>
      <c r="BK417" s="836"/>
      <c r="BL417" s="836"/>
      <c r="BM417" s="836"/>
      <c r="BN417" s="836"/>
      <c r="BO417" s="836"/>
      <c r="BP417" s="836"/>
      <c r="BR417" s="838"/>
      <c r="BS417" s="838"/>
      <c r="BT417" s="838"/>
      <c r="BU417" s="838"/>
      <c r="BV417" s="838"/>
      <c r="BW417" s="838"/>
      <c r="BX417" s="838"/>
      <c r="BY417" s="838"/>
      <c r="BZ417" s="838"/>
      <c r="CA417" s="838"/>
      <c r="CB417" s="838"/>
      <c r="CC417" s="838"/>
      <c r="CD417" s="838"/>
      <c r="CE417" s="838"/>
      <c r="CF417" s="838"/>
      <c r="CG417" s="838"/>
      <c r="CH417" s="838"/>
      <c r="CI417" s="838"/>
      <c r="CJ417" s="838"/>
      <c r="CK417" s="838"/>
      <c r="CL417" s="838"/>
      <c r="CM417" s="838"/>
      <c r="CN417" s="838"/>
      <c r="CO417" s="838"/>
      <c r="CP417" s="838"/>
      <c r="CQ417" s="838"/>
      <c r="CR417" s="838"/>
      <c r="CS417" s="838"/>
      <c r="CT417" s="838"/>
      <c r="CU417" s="838"/>
    </row>
    <row r="418">
      <c r="A418" s="834"/>
      <c r="B418" s="834"/>
      <c r="C418" s="834"/>
      <c r="D418" s="834"/>
      <c r="E418" s="834"/>
      <c r="F418" s="834"/>
      <c r="G418" s="834"/>
      <c r="H418" s="834"/>
      <c r="I418" s="834"/>
      <c r="J418" s="834"/>
      <c r="K418" s="834"/>
      <c r="L418" s="834"/>
      <c r="M418" s="834"/>
      <c r="N418" s="834"/>
      <c r="O418" s="834"/>
      <c r="P418" s="834"/>
      <c r="Q418" s="834"/>
      <c r="R418" s="834"/>
      <c r="S418" s="834"/>
      <c r="T418" s="834"/>
      <c r="U418" s="834"/>
      <c r="V418" s="834"/>
      <c r="W418" s="834"/>
      <c r="X418" s="834"/>
      <c r="Y418" s="834"/>
      <c r="Z418" s="834"/>
      <c r="AA418" s="834"/>
      <c r="AB418" s="834"/>
      <c r="AC418" s="834"/>
      <c r="AD418" s="834"/>
      <c r="AE418" s="834"/>
      <c r="AF418" s="834"/>
      <c r="AG418" s="834"/>
      <c r="AH418" s="834"/>
      <c r="AJ418" s="836"/>
      <c r="AK418" s="836"/>
      <c r="AL418" s="836"/>
      <c r="AM418" s="836"/>
      <c r="AN418" s="836"/>
      <c r="AO418" s="836"/>
      <c r="AP418" s="836"/>
      <c r="AQ418" s="836"/>
      <c r="AR418" s="836"/>
      <c r="AS418" s="836"/>
      <c r="AT418" s="836"/>
      <c r="AU418" s="836"/>
      <c r="AV418" s="836"/>
      <c r="AW418" s="836"/>
      <c r="AX418" s="836"/>
      <c r="AY418" s="836"/>
      <c r="AZ418" s="836"/>
      <c r="BA418" s="836"/>
      <c r="BB418" s="836"/>
      <c r="BC418" s="836"/>
      <c r="BD418" s="836"/>
      <c r="BE418" s="836"/>
      <c r="BF418" s="836"/>
      <c r="BG418" s="836"/>
      <c r="BH418" s="836"/>
      <c r="BI418" s="836"/>
      <c r="BJ418" s="836"/>
      <c r="BK418" s="836"/>
      <c r="BL418" s="836"/>
      <c r="BM418" s="836"/>
      <c r="BN418" s="836"/>
      <c r="BO418" s="836"/>
      <c r="BP418" s="836"/>
      <c r="BR418" s="838"/>
      <c r="BS418" s="838"/>
      <c r="BT418" s="838"/>
      <c r="BU418" s="838"/>
      <c r="BV418" s="838"/>
      <c r="BW418" s="838"/>
      <c r="BX418" s="838"/>
      <c r="BY418" s="838"/>
      <c r="BZ418" s="838"/>
      <c r="CA418" s="838"/>
      <c r="CB418" s="838"/>
      <c r="CC418" s="838"/>
      <c r="CD418" s="838"/>
      <c r="CE418" s="838"/>
      <c r="CF418" s="838"/>
      <c r="CG418" s="838"/>
      <c r="CH418" s="838"/>
      <c r="CI418" s="838"/>
      <c r="CJ418" s="838"/>
      <c r="CK418" s="838"/>
      <c r="CL418" s="838"/>
      <c r="CM418" s="838"/>
      <c r="CN418" s="838"/>
      <c r="CO418" s="838"/>
      <c r="CP418" s="838"/>
      <c r="CQ418" s="838"/>
      <c r="CR418" s="838"/>
      <c r="CS418" s="838"/>
      <c r="CT418" s="838"/>
      <c r="CU418" s="838"/>
    </row>
    <row r="419">
      <c r="A419" s="834"/>
      <c r="B419" s="834"/>
      <c r="C419" s="834"/>
      <c r="D419" s="834"/>
      <c r="E419" s="834"/>
      <c r="F419" s="834"/>
      <c r="G419" s="834"/>
      <c r="H419" s="834"/>
      <c r="I419" s="834"/>
      <c r="J419" s="834"/>
      <c r="K419" s="834"/>
      <c r="L419" s="834"/>
      <c r="M419" s="834"/>
      <c r="N419" s="834"/>
      <c r="O419" s="834"/>
      <c r="P419" s="834"/>
      <c r="Q419" s="834"/>
      <c r="R419" s="834"/>
      <c r="S419" s="834"/>
      <c r="T419" s="834"/>
      <c r="U419" s="834"/>
      <c r="V419" s="834"/>
      <c r="W419" s="834"/>
      <c r="X419" s="834"/>
      <c r="Y419" s="834"/>
      <c r="Z419" s="834"/>
      <c r="AA419" s="834"/>
      <c r="AB419" s="834"/>
      <c r="AC419" s="834"/>
      <c r="AD419" s="834"/>
      <c r="AE419" s="834"/>
      <c r="AF419" s="834"/>
      <c r="AG419" s="834"/>
      <c r="AH419" s="834"/>
      <c r="AJ419" s="836"/>
      <c r="AK419" s="836"/>
      <c r="AL419" s="836"/>
      <c r="AM419" s="836"/>
      <c r="AN419" s="836"/>
      <c r="AO419" s="836"/>
      <c r="AP419" s="836"/>
      <c r="AQ419" s="836"/>
      <c r="AR419" s="836"/>
      <c r="AS419" s="836"/>
      <c r="AT419" s="836"/>
      <c r="AU419" s="836"/>
      <c r="AV419" s="836"/>
      <c r="AW419" s="836"/>
      <c r="AX419" s="836"/>
      <c r="AY419" s="836"/>
      <c r="AZ419" s="836"/>
      <c r="BA419" s="836"/>
      <c r="BB419" s="836"/>
      <c r="BC419" s="836"/>
      <c r="BD419" s="836"/>
      <c r="BE419" s="836"/>
      <c r="BF419" s="836"/>
      <c r="BG419" s="836"/>
      <c r="BH419" s="836"/>
      <c r="BI419" s="836"/>
      <c r="BJ419" s="836"/>
      <c r="BK419" s="836"/>
      <c r="BL419" s="836"/>
      <c r="BM419" s="836"/>
      <c r="BN419" s="836"/>
      <c r="BO419" s="836"/>
      <c r="BP419" s="836"/>
      <c r="BR419" s="838"/>
      <c r="BS419" s="838"/>
      <c r="BT419" s="838"/>
      <c r="BU419" s="838"/>
      <c r="BV419" s="838"/>
      <c r="BW419" s="838"/>
      <c r="BX419" s="838"/>
      <c r="BY419" s="838"/>
      <c r="BZ419" s="838"/>
      <c r="CA419" s="838"/>
      <c r="CB419" s="838"/>
      <c r="CC419" s="838"/>
      <c r="CD419" s="838"/>
      <c r="CE419" s="838"/>
      <c r="CF419" s="838"/>
      <c r="CG419" s="838"/>
      <c r="CH419" s="838"/>
      <c r="CI419" s="838"/>
      <c r="CJ419" s="838"/>
      <c r="CK419" s="838"/>
      <c r="CL419" s="838"/>
      <c r="CM419" s="838"/>
      <c r="CN419" s="838"/>
      <c r="CO419" s="838"/>
      <c r="CP419" s="838"/>
      <c r="CQ419" s="838"/>
      <c r="CR419" s="838"/>
      <c r="CS419" s="838"/>
      <c r="CT419" s="838"/>
      <c r="CU419" s="838"/>
    </row>
    <row r="420">
      <c r="A420" s="834"/>
      <c r="B420" s="834"/>
      <c r="C420" s="834"/>
      <c r="D420" s="834"/>
      <c r="E420" s="834"/>
      <c r="F420" s="834"/>
      <c r="G420" s="834"/>
      <c r="H420" s="834"/>
      <c r="I420" s="834"/>
      <c r="J420" s="834"/>
      <c r="K420" s="834"/>
      <c r="L420" s="834"/>
      <c r="M420" s="834"/>
      <c r="N420" s="834"/>
      <c r="O420" s="834"/>
      <c r="P420" s="834"/>
      <c r="Q420" s="834"/>
      <c r="R420" s="834"/>
      <c r="S420" s="834"/>
      <c r="T420" s="834"/>
      <c r="U420" s="834"/>
      <c r="V420" s="834"/>
      <c r="W420" s="834"/>
      <c r="X420" s="834"/>
      <c r="Y420" s="834"/>
      <c r="Z420" s="834"/>
      <c r="AA420" s="834"/>
      <c r="AB420" s="834"/>
      <c r="AC420" s="834"/>
      <c r="AD420" s="834"/>
      <c r="AE420" s="834"/>
      <c r="AF420" s="834"/>
      <c r="AG420" s="834"/>
      <c r="AH420" s="834"/>
      <c r="AJ420" s="836"/>
      <c r="AK420" s="836"/>
      <c r="AL420" s="836"/>
      <c r="AM420" s="836"/>
      <c r="AN420" s="836"/>
      <c r="AO420" s="836"/>
      <c r="AP420" s="836"/>
      <c r="AQ420" s="836"/>
      <c r="AR420" s="836"/>
      <c r="AS420" s="836"/>
      <c r="AT420" s="836"/>
      <c r="AU420" s="836"/>
      <c r="AV420" s="836"/>
      <c r="AW420" s="836"/>
      <c r="AX420" s="836"/>
      <c r="AY420" s="836"/>
      <c r="AZ420" s="836"/>
      <c r="BA420" s="836"/>
      <c r="BB420" s="836"/>
      <c r="BC420" s="836"/>
      <c r="BD420" s="836"/>
      <c r="BE420" s="836"/>
      <c r="BF420" s="836"/>
      <c r="BG420" s="836"/>
      <c r="BH420" s="836"/>
      <c r="BI420" s="836"/>
      <c r="BJ420" s="836"/>
      <c r="BK420" s="836"/>
      <c r="BL420" s="836"/>
      <c r="BM420" s="836"/>
      <c r="BN420" s="836"/>
      <c r="BO420" s="836"/>
      <c r="BP420" s="836"/>
      <c r="BR420" s="838"/>
      <c r="BS420" s="838"/>
      <c r="BT420" s="838"/>
      <c r="BU420" s="838"/>
      <c r="BV420" s="838"/>
      <c r="BW420" s="838"/>
      <c r="BX420" s="838"/>
      <c r="BY420" s="838"/>
      <c r="BZ420" s="838"/>
      <c r="CA420" s="838"/>
      <c r="CB420" s="838"/>
      <c r="CC420" s="838"/>
      <c r="CD420" s="838"/>
      <c r="CE420" s="838"/>
      <c r="CF420" s="838"/>
      <c r="CG420" s="838"/>
      <c r="CH420" s="838"/>
      <c r="CI420" s="838"/>
      <c r="CJ420" s="838"/>
      <c r="CK420" s="838"/>
      <c r="CL420" s="838"/>
      <c r="CM420" s="838"/>
      <c r="CN420" s="838"/>
      <c r="CO420" s="838"/>
      <c r="CP420" s="838"/>
      <c r="CQ420" s="838"/>
      <c r="CR420" s="838"/>
      <c r="CS420" s="838"/>
      <c r="CT420" s="838"/>
      <c r="CU420" s="838"/>
    </row>
    <row r="421">
      <c r="A421" s="834"/>
      <c r="B421" s="834"/>
      <c r="C421" s="834"/>
      <c r="D421" s="834"/>
      <c r="E421" s="834"/>
      <c r="F421" s="834"/>
      <c r="G421" s="834"/>
      <c r="H421" s="834"/>
      <c r="I421" s="834"/>
      <c r="J421" s="834"/>
      <c r="K421" s="834"/>
      <c r="L421" s="834"/>
      <c r="M421" s="834"/>
      <c r="N421" s="834"/>
      <c r="O421" s="834"/>
      <c r="P421" s="834"/>
      <c r="Q421" s="834"/>
      <c r="R421" s="834"/>
      <c r="S421" s="834"/>
      <c r="T421" s="834"/>
      <c r="U421" s="834"/>
      <c r="V421" s="834"/>
      <c r="W421" s="834"/>
      <c r="X421" s="834"/>
      <c r="Y421" s="834"/>
      <c r="Z421" s="834"/>
      <c r="AA421" s="834"/>
      <c r="AB421" s="834"/>
      <c r="AC421" s="834"/>
      <c r="AD421" s="834"/>
      <c r="AE421" s="834"/>
      <c r="AF421" s="834"/>
      <c r="AG421" s="834"/>
      <c r="AH421" s="834"/>
      <c r="AJ421" s="836"/>
      <c r="AK421" s="836"/>
      <c r="AL421" s="836"/>
      <c r="AM421" s="836"/>
      <c r="AN421" s="836"/>
      <c r="AO421" s="836"/>
      <c r="AP421" s="836"/>
      <c r="AQ421" s="836"/>
      <c r="AR421" s="836"/>
      <c r="AS421" s="836"/>
      <c r="AT421" s="836"/>
      <c r="AU421" s="836"/>
      <c r="AV421" s="836"/>
      <c r="AW421" s="836"/>
      <c r="AX421" s="836"/>
      <c r="AY421" s="836"/>
      <c r="AZ421" s="836"/>
      <c r="BA421" s="836"/>
      <c r="BB421" s="836"/>
      <c r="BC421" s="836"/>
      <c r="BD421" s="836"/>
      <c r="BE421" s="836"/>
      <c r="BF421" s="836"/>
      <c r="BG421" s="836"/>
      <c r="BH421" s="836"/>
      <c r="BI421" s="836"/>
      <c r="BJ421" s="836"/>
      <c r="BK421" s="836"/>
      <c r="BL421" s="836"/>
      <c r="BM421" s="836"/>
      <c r="BN421" s="836"/>
      <c r="BO421" s="836"/>
      <c r="BP421" s="836"/>
      <c r="BR421" s="838"/>
      <c r="BS421" s="838"/>
      <c r="BT421" s="838"/>
      <c r="BU421" s="838"/>
      <c r="BV421" s="838"/>
      <c r="BW421" s="838"/>
      <c r="BX421" s="838"/>
      <c r="BY421" s="838"/>
      <c r="BZ421" s="838"/>
      <c r="CA421" s="838"/>
      <c r="CB421" s="838"/>
      <c r="CC421" s="838"/>
      <c r="CD421" s="838"/>
      <c r="CE421" s="838"/>
      <c r="CF421" s="838"/>
      <c r="CG421" s="838"/>
      <c r="CH421" s="838"/>
      <c r="CI421" s="838"/>
      <c r="CJ421" s="838"/>
      <c r="CK421" s="838"/>
      <c r="CL421" s="838"/>
      <c r="CM421" s="838"/>
      <c r="CN421" s="838"/>
      <c r="CO421" s="838"/>
      <c r="CP421" s="838"/>
      <c r="CQ421" s="838"/>
      <c r="CR421" s="838"/>
      <c r="CS421" s="838"/>
      <c r="CT421" s="838"/>
      <c r="CU421" s="838"/>
    </row>
    <row r="422">
      <c r="A422" s="834"/>
      <c r="B422" s="834"/>
      <c r="C422" s="834"/>
      <c r="D422" s="834"/>
      <c r="E422" s="834"/>
      <c r="F422" s="834"/>
      <c r="G422" s="834"/>
      <c r="H422" s="834"/>
      <c r="I422" s="834"/>
      <c r="J422" s="834"/>
      <c r="K422" s="834"/>
      <c r="L422" s="834"/>
      <c r="M422" s="834"/>
      <c r="N422" s="834"/>
      <c r="O422" s="834"/>
      <c r="P422" s="834"/>
      <c r="Q422" s="834"/>
      <c r="R422" s="834"/>
      <c r="S422" s="834"/>
      <c r="T422" s="834"/>
      <c r="U422" s="834"/>
      <c r="V422" s="834"/>
      <c r="W422" s="834"/>
      <c r="X422" s="834"/>
      <c r="Y422" s="834"/>
      <c r="Z422" s="834"/>
      <c r="AA422" s="834"/>
      <c r="AB422" s="834"/>
      <c r="AC422" s="834"/>
      <c r="AD422" s="834"/>
      <c r="AE422" s="834"/>
      <c r="AF422" s="834"/>
      <c r="AG422" s="834"/>
      <c r="AH422" s="834"/>
      <c r="AJ422" s="836"/>
      <c r="AK422" s="836"/>
      <c r="AL422" s="836"/>
      <c r="AM422" s="836"/>
      <c r="AN422" s="836"/>
      <c r="AO422" s="836"/>
      <c r="AP422" s="836"/>
      <c r="AQ422" s="836"/>
      <c r="AR422" s="836"/>
      <c r="AS422" s="836"/>
      <c r="AT422" s="836"/>
      <c r="AU422" s="836"/>
      <c r="AV422" s="836"/>
      <c r="AW422" s="836"/>
      <c r="AX422" s="836"/>
      <c r="AY422" s="836"/>
      <c r="AZ422" s="836"/>
      <c r="BA422" s="836"/>
      <c r="BB422" s="836"/>
      <c r="BC422" s="836"/>
      <c r="BD422" s="836"/>
      <c r="BE422" s="836"/>
      <c r="BF422" s="836"/>
      <c r="BG422" s="836"/>
      <c r="BH422" s="836"/>
      <c r="BI422" s="836"/>
      <c r="BJ422" s="836"/>
      <c r="BK422" s="836"/>
      <c r="BL422" s="836"/>
      <c r="BM422" s="836"/>
      <c r="BN422" s="836"/>
      <c r="BO422" s="836"/>
      <c r="BP422" s="836"/>
      <c r="BR422" s="838"/>
      <c r="BS422" s="838"/>
      <c r="BT422" s="838"/>
      <c r="BU422" s="838"/>
      <c r="BV422" s="838"/>
      <c r="BW422" s="838"/>
      <c r="BX422" s="838"/>
      <c r="BY422" s="838"/>
      <c r="BZ422" s="838"/>
      <c r="CA422" s="838"/>
      <c r="CB422" s="838"/>
      <c r="CC422" s="838"/>
      <c r="CD422" s="838"/>
      <c r="CE422" s="838"/>
      <c r="CF422" s="838"/>
      <c r="CG422" s="838"/>
      <c r="CH422" s="838"/>
      <c r="CI422" s="838"/>
      <c r="CJ422" s="838"/>
      <c r="CK422" s="838"/>
      <c r="CL422" s="838"/>
      <c r="CM422" s="838"/>
      <c r="CN422" s="838"/>
      <c r="CO422" s="838"/>
      <c r="CP422" s="838"/>
      <c r="CQ422" s="838"/>
      <c r="CR422" s="838"/>
      <c r="CS422" s="838"/>
      <c r="CT422" s="838"/>
      <c r="CU422" s="838"/>
    </row>
    <row r="423">
      <c r="A423" s="834"/>
      <c r="B423" s="834"/>
      <c r="C423" s="834"/>
      <c r="D423" s="834"/>
      <c r="E423" s="834"/>
      <c r="F423" s="834"/>
      <c r="G423" s="834"/>
      <c r="H423" s="834"/>
      <c r="I423" s="834"/>
      <c r="J423" s="834"/>
      <c r="K423" s="834"/>
      <c r="L423" s="834"/>
      <c r="M423" s="834"/>
      <c r="N423" s="834"/>
      <c r="O423" s="834"/>
      <c r="P423" s="834"/>
      <c r="Q423" s="834"/>
      <c r="R423" s="834"/>
      <c r="S423" s="834"/>
      <c r="T423" s="834"/>
      <c r="U423" s="834"/>
      <c r="V423" s="834"/>
      <c r="W423" s="834"/>
      <c r="X423" s="834"/>
      <c r="Y423" s="834"/>
      <c r="Z423" s="834"/>
      <c r="AA423" s="834"/>
      <c r="AB423" s="834"/>
      <c r="AC423" s="834"/>
      <c r="AD423" s="834"/>
      <c r="AE423" s="834"/>
      <c r="AF423" s="834"/>
      <c r="AG423" s="834"/>
      <c r="AH423" s="834"/>
      <c r="AJ423" s="836"/>
      <c r="AK423" s="836"/>
      <c r="AL423" s="836"/>
      <c r="AM423" s="836"/>
      <c r="AN423" s="836"/>
      <c r="AO423" s="836"/>
      <c r="AP423" s="836"/>
      <c r="AQ423" s="836"/>
      <c r="AR423" s="836"/>
      <c r="AS423" s="836"/>
      <c r="AT423" s="836"/>
      <c r="AU423" s="836"/>
      <c r="AV423" s="836"/>
      <c r="AW423" s="836"/>
      <c r="AX423" s="836"/>
      <c r="AY423" s="836"/>
      <c r="AZ423" s="836"/>
      <c r="BA423" s="836"/>
      <c r="BB423" s="836"/>
      <c r="BC423" s="836"/>
      <c r="BD423" s="836"/>
      <c r="BE423" s="836"/>
      <c r="BF423" s="836"/>
      <c r="BG423" s="836"/>
      <c r="BH423" s="836"/>
      <c r="BI423" s="836"/>
      <c r="BJ423" s="836"/>
      <c r="BK423" s="836"/>
      <c r="BL423" s="836"/>
      <c r="BM423" s="836"/>
      <c r="BN423" s="836"/>
      <c r="BO423" s="836"/>
      <c r="BP423" s="836"/>
      <c r="BR423" s="838"/>
      <c r="BS423" s="838"/>
      <c r="BT423" s="838"/>
      <c r="BU423" s="838"/>
      <c r="BV423" s="838"/>
      <c r="BW423" s="838"/>
      <c r="BX423" s="838"/>
      <c r="BY423" s="838"/>
      <c r="BZ423" s="838"/>
      <c r="CA423" s="838"/>
      <c r="CB423" s="838"/>
      <c r="CC423" s="838"/>
      <c r="CD423" s="838"/>
      <c r="CE423" s="838"/>
      <c r="CF423" s="838"/>
      <c r="CG423" s="838"/>
      <c r="CH423" s="838"/>
      <c r="CI423" s="838"/>
      <c r="CJ423" s="838"/>
      <c r="CK423" s="838"/>
      <c r="CL423" s="838"/>
      <c r="CM423" s="838"/>
      <c r="CN423" s="838"/>
      <c r="CO423" s="838"/>
      <c r="CP423" s="838"/>
      <c r="CQ423" s="838"/>
      <c r="CR423" s="838"/>
      <c r="CS423" s="838"/>
      <c r="CT423" s="838"/>
      <c r="CU423" s="838"/>
    </row>
    <row r="424">
      <c r="A424" s="834"/>
      <c r="B424" s="834"/>
      <c r="C424" s="834"/>
      <c r="D424" s="834"/>
      <c r="E424" s="834"/>
      <c r="F424" s="834"/>
      <c r="G424" s="834"/>
      <c r="H424" s="834"/>
      <c r="I424" s="834"/>
      <c r="J424" s="834"/>
      <c r="K424" s="834"/>
      <c r="L424" s="834"/>
      <c r="M424" s="834"/>
      <c r="N424" s="834"/>
      <c r="O424" s="834"/>
      <c r="P424" s="834"/>
      <c r="Q424" s="834"/>
      <c r="R424" s="834"/>
      <c r="S424" s="834"/>
      <c r="T424" s="834"/>
      <c r="U424" s="834"/>
      <c r="V424" s="834"/>
      <c r="W424" s="834"/>
      <c r="X424" s="834"/>
      <c r="Y424" s="834"/>
      <c r="Z424" s="834"/>
      <c r="AA424" s="834"/>
      <c r="AB424" s="834"/>
      <c r="AC424" s="834"/>
      <c r="AD424" s="834"/>
      <c r="AE424" s="834"/>
      <c r="AF424" s="834"/>
      <c r="AG424" s="834"/>
      <c r="AH424" s="834"/>
      <c r="AJ424" s="836"/>
      <c r="AK424" s="836"/>
      <c r="AL424" s="836"/>
      <c r="AM424" s="836"/>
      <c r="AN424" s="836"/>
      <c r="AO424" s="836"/>
      <c r="AP424" s="836"/>
      <c r="AQ424" s="836"/>
      <c r="AR424" s="836"/>
      <c r="AS424" s="836"/>
      <c r="AT424" s="836"/>
      <c r="AU424" s="836"/>
      <c r="AV424" s="836"/>
      <c r="AW424" s="836"/>
      <c r="AX424" s="836"/>
      <c r="AY424" s="836"/>
      <c r="AZ424" s="836"/>
      <c r="BA424" s="836"/>
      <c r="BB424" s="836"/>
      <c r="BC424" s="836"/>
      <c r="BD424" s="836"/>
      <c r="BE424" s="836"/>
      <c r="BF424" s="836"/>
      <c r="BG424" s="836"/>
      <c r="BH424" s="836"/>
      <c r="BI424" s="836"/>
      <c r="BJ424" s="836"/>
      <c r="BK424" s="836"/>
      <c r="BL424" s="836"/>
      <c r="BM424" s="836"/>
      <c r="BN424" s="836"/>
      <c r="BO424" s="836"/>
      <c r="BP424" s="836"/>
      <c r="BR424" s="838"/>
      <c r="BS424" s="838"/>
      <c r="BT424" s="838"/>
      <c r="BU424" s="838"/>
      <c r="BV424" s="838"/>
      <c r="BW424" s="838"/>
      <c r="BX424" s="838"/>
      <c r="BY424" s="838"/>
      <c r="BZ424" s="838"/>
      <c r="CA424" s="838"/>
      <c r="CB424" s="838"/>
      <c r="CC424" s="838"/>
      <c r="CD424" s="838"/>
      <c r="CE424" s="838"/>
      <c r="CF424" s="838"/>
      <c r="CG424" s="838"/>
      <c r="CH424" s="838"/>
      <c r="CI424" s="838"/>
      <c r="CJ424" s="838"/>
      <c r="CK424" s="838"/>
      <c r="CL424" s="838"/>
      <c r="CM424" s="838"/>
      <c r="CN424" s="838"/>
      <c r="CO424" s="838"/>
      <c r="CP424" s="838"/>
      <c r="CQ424" s="838"/>
      <c r="CR424" s="838"/>
      <c r="CS424" s="838"/>
      <c r="CT424" s="838"/>
      <c r="CU424" s="838"/>
    </row>
    <row r="425">
      <c r="A425" s="834"/>
      <c r="B425" s="834"/>
      <c r="C425" s="834"/>
      <c r="D425" s="834"/>
      <c r="E425" s="834"/>
      <c r="F425" s="834"/>
      <c r="G425" s="834"/>
      <c r="H425" s="834"/>
      <c r="I425" s="834"/>
      <c r="J425" s="834"/>
      <c r="K425" s="834"/>
      <c r="L425" s="834"/>
      <c r="M425" s="834"/>
      <c r="N425" s="834"/>
      <c r="O425" s="834"/>
      <c r="P425" s="834"/>
      <c r="Q425" s="834"/>
      <c r="R425" s="834"/>
      <c r="S425" s="834"/>
      <c r="T425" s="834"/>
      <c r="U425" s="834"/>
      <c r="V425" s="834"/>
      <c r="W425" s="834"/>
      <c r="X425" s="834"/>
      <c r="Y425" s="834"/>
      <c r="Z425" s="834"/>
      <c r="AA425" s="834"/>
      <c r="AB425" s="834"/>
      <c r="AC425" s="834"/>
      <c r="AD425" s="834"/>
      <c r="AE425" s="834"/>
      <c r="AF425" s="834"/>
      <c r="AG425" s="834"/>
      <c r="AH425" s="834"/>
      <c r="AJ425" s="836"/>
      <c r="AK425" s="836"/>
      <c r="AL425" s="836"/>
      <c r="AM425" s="836"/>
      <c r="AN425" s="836"/>
      <c r="AO425" s="836"/>
      <c r="AP425" s="836"/>
      <c r="AQ425" s="836"/>
      <c r="AR425" s="836"/>
      <c r="AS425" s="836"/>
      <c r="AT425" s="836"/>
      <c r="AU425" s="836"/>
      <c r="AV425" s="836"/>
      <c r="AW425" s="836"/>
      <c r="AX425" s="836"/>
      <c r="AY425" s="836"/>
      <c r="AZ425" s="836"/>
      <c r="BA425" s="836"/>
      <c r="BB425" s="836"/>
      <c r="BC425" s="836"/>
      <c r="BD425" s="836"/>
      <c r="BE425" s="836"/>
      <c r="BF425" s="836"/>
      <c r="BG425" s="836"/>
      <c r="BH425" s="836"/>
      <c r="BI425" s="836"/>
      <c r="BJ425" s="836"/>
      <c r="BK425" s="836"/>
      <c r="BL425" s="836"/>
      <c r="BM425" s="836"/>
      <c r="BN425" s="836"/>
      <c r="BO425" s="836"/>
      <c r="BP425" s="836"/>
      <c r="BR425" s="838"/>
      <c r="BS425" s="838"/>
      <c r="BT425" s="838"/>
      <c r="BU425" s="838"/>
      <c r="BV425" s="838"/>
      <c r="BW425" s="838"/>
      <c r="BX425" s="838"/>
      <c r="BY425" s="838"/>
      <c r="BZ425" s="838"/>
      <c r="CA425" s="838"/>
      <c r="CB425" s="838"/>
      <c r="CC425" s="838"/>
      <c r="CD425" s="838"/>
      <c r="CE425" s="838"/>
      <c r="CF425" s="838"/>
      <c r="CG425" s="838"/>
      <c r="CH425" s="838"/>
      <c r="CI425" s="838"/>
      <c r="CJ425" s="838"/>
      <c r="CK425" s="838"/>
      <c r="CL425" s="838"/>
      <c r="CM425" s="838"/>
      <c r="CN425" s="838"/>
      <c r="CO425" s="838"/>
      <c r="CP425" s="838"/>
      <c r="CQ425" s="838"/>
      <c r="CR425" s="838"/>
      <c r="CS425" s="838"/>
      <c r="CT425" s="838"/>
      <c r="CU425" s="838"/>
    </row>
    <row r="426">
      <c r="A426" s="834"/>
      <c r="B426" s="834"/>
      <c r="C426" s="834"/>
      <c r="D426" s="834"/>
      <c r="E426" s="834"/>
      <c r="F426" s="834"/>
      <c r="G426" s="834"/>
      <c r="H426" s="834"/>
      <c r="I426" s="834"/>
      <c r="J426" s="834"/>
      <c r="K426" s="834"/>
      <c r="L426" s="834"/>
      <c r="M426" s="834"/>
      <c r="N426" s="834"/>
      <c r="O426" s="834"/>
      <c r="P426" s="834"/>
      <c r="Q426" s="834"/>
      <c r="R426" s="834"/>
      <c r="S426" s="834"/>
      <c r="T426" s="834"/>
      <c r="U426" s="834"/>
      <c r="V426" s="834"/>
      <c r="W426" s="834"/>
      <c r="X426" s="834"/>
      <c r="Y426" s="834"/>
      <c r="Z426" s="834"/>
      <c r="AA426" s="834"/>
      <c r="AB426" s="834"/>
      <c r="AC426" s="834"/>
      <c r="AD426" s="834"/>
      <c r="AE426" s="834"/>
      <c r="AF426" s="834"/>
      <c r="AG426" s="834"/>
      <c r="AH426" s="834"/>
      <c r="AJ426" s="836"/>
      <c r="AK426" s="836"/>
      <c r="AL426" s="836"/>
      <c r="AM426" s="836"/>
      <c r="AN426" s="836"/>
      <c r="AO426" s="836"/>
      <c r="AP426" s="836"/>
      <c r="AQ426" s="836"/>
      <c r="AR426" s="836"/>
      <c r="AS426" s="836"/>
      <c r="AT426" s="836"/>
      <c r="AU426" s="836"/>
      <c r="AV426" s="836"/>
      <c r="AW426" s="836"/>
      <c r="AX426" s="836"/>
      <c r="AY426" s="836"/>
      <c r="AZ426" s="836"/>
      <c r="BA426" s="836"/>
      <c r="BB426" s="836"/>
      <c r="BC426" s="836"/>
      <c r="BD426" s="836"/>
      <c r="BE426" s="836"/>
      <c r="BF426" s="836"/>
      <c r="BG426" s="836"/>
      <c r="BH426" s="836"/>
      <c r="BI426" s="836"/>
      <c r="BJ426" s="836"/>
      <c r="BK426" s="836"/>
      <c r="BL426" s="836"/>
      <c r="BM426" s="836"/>
      <c r="BN426" s="836"/>
      <c r="BO426" s="836"/>
      <c r="BP426" s="836"/>
      <c r="BR426" s="838"/>
      <c r="BS426" s="838"/>
      <c r="BT426" s="838"/>
      <c r="BU426" s="838"/>
      <c r="BV426" s="838"/>
      <c r="BW426" s="838"/>
      <c r="BX426" s="838"/>
      <c r="BY426" s="838"/>
      <c r="BZ426" s="838"/>
      <c r="CA426" s="838"/>
      <c r="CB426" s="838"/>
      <c r="CC426" s="838"/>
      <c r="CD426" s="838"/>
      <c r="CE426" s="838"/>
      <c r="CF426" s="838"/>
      <c r="CG426" s="838"/>
      <c r="CH426" s="838"/>
      <c r="CI426" s="838"/>
      <c r="CJ426" s="838"/>
      <c r="CK426" s="838"/>
      <c r="CL426" s="838"/>
      <c r="CM426" s="838"/>
      <c r="CN426" s="838"/>
      <c r="CO426" s="838"/>
      <c r="CP426" s="838"/>
      <c r="CQ426" s="838"/>
      <c r="CR426" s="838"/>
      <c r="CS426" s="838"/>
      <c r="CT426" s="838"/>
      <c r="CU426" s="838"/>
    </row>
    <row r="427">
      <c r="A427" s="834"/>
      <c r="B427" s="834"/>
      <c r="C427" s="834"/>
      <c r="D427" s="834"/>
      <c r="E427" s="834"/>
      <c r="F427" s="834"/>
      <c r="G427" s="834"/>
      <c r="H427" s="834"/>
      <c r="I427" s="834"/>
      <c r="J427" s="834"/>
      <c r="K427" s="834"/>
      <c r="L427" s="834"/>
      <c r="M427" s="834"/>
      <c r="N427" s="834"/>
      <c r="O427" s="834"/>
      <c r="P427" s="834"/>
      <c r="Q427" s="834"/>
      <c r="R427" s="834"/>
      <c r="S427" s="834"/>
      <c r="T427" s="834"/>
      <c r="U427" s="834"/>
      <c r="V427" s="834"/>
      <c r="W427" s="834"/>
      <c r="X427" s="834"/>
      <c r="Y427" s="834"/>
      <c r="Z427" s="834"/>
      <c r="AA427" s="834"/>
      <c r="AB427" s="834"/>
      <c r="AC427" s="834"/>
      <c r="AD427" s="834"/>
      <c r="AE427" s="834"/>
      <c r="AF427" s="834"/>
      <c r="AG427" s="834"/>
      <c r="AH427" s="834"/>
      <c r="AJ427" s="836"/>
      <c r="AK427" s="836"/>
      <c r="AL427" s="836"/>
      <c r="AM427" s="836"/>
      <c r="AN427" s="836"/>
      <c r="AO427" s="836"/>
      <c r="AP427" s="836"/>
      <c r="AQ427" s="836"/>
      <c r="AR427" s="836"/>
      <c r="AS427" s="836"/>
      <c r="AT427" s="836"/>
      <c r="AU427" s="836"/>
      <c r="AV427" s="836"/>
      <c r="AW427" s="836"/>
      <c r="AX427" s="836"/>
      <c r="AY427" s="836"/>
      <c r="AZ427" s="836"/>
      <c r="BA427" s="836"/>
      <c r="BB427" s="836"/>
      <c r="BC427" s="836"/>
      <c r="BD427" s="836"/>
      <c r="BE427" s="836"/>
      <c r="BF427" s="836"/>
      <c r="BG427" s="836"/>
      <c r="BH427" s="836"/>
      <c r="BI427" s="836"/>
      <c r="BJ427" s="836"/>
      <c r="BK427" s="836"/>
      <c r="BL427" s="836"/>
      <c r="BM427" s="836"/>
      <c r="BN427" s="836"/>
      <c r="BO427" s="836"/>
      <c r="BP427" s="836"/>
      <c r="BR427" s="838"/>
      <c r="BS427" s="838"/>
      <c r="BT427" s="838"/>
      <c r="BU427" s="838"/>
      <c r="BV427" s="838"/>
      <c r="BW427" s="838"/>
      <c r="BX427" s="838"/>
      <c r="BY427" s="838"/>
      <c r="BZ427" s="838"/>
      <c r="CA427" s="838"/>
      <c r="CB427" s="838"/>
      <c r="CC427" s="838"/>
      <c r="CD427" s="838"/>
      <c r="CE427" s="838"/>
      <c r="CF427" s="838"/>
      <c r="CG427" s="838"/>
      <c r="CH427" s="838"/>
      <c r="CI427" s="838"/>
      <c r="CJ427" s="838"/>
      <c r="CK427" s="838"/>
      <c r="CL427" s="838"/>
      <c r="CM427" s="838"/>
      <c r="CN427" s="838"/>
      <c r="CO427" s="838"/>
      <c r="CP427" s="838"/>
      <c r="CQ427" s="838"/>
      <c r="CR427" s="838"/>
      <c r="CS427" s="838"/>
      <c r="CT427" s="838"/>
      <c r="CU427" s="838"/>
    </row>
    <row r="428">
      <c r="A428" s="834"/>
      <c r="B428" s="834"/>
      <c r="C428" s="834"/>
      <c r="D428" s="834"/>
      <c r="E428" s="834"/>
      <c r="F428" s="834"/>
      <c r="G428" s="834"/>
      <c r="H428" s="834"/>
      <c r="I428" s="834"/>
      <c r="J428" s="834"/>
      <c r="K428" s="834"/>
      <c r="L428" s="834"/>
      <c r="M428" s="834"/>
      <c r="N428" s="834"/>
      <c r="O428" s="834"/>
      <c r="P428" s="834"/>
      <c r="Q428" s="834"/>
      <c r="R428" s="834"/>
      <c r="S428" s="834"/>
      <c r="T428" s="834"/>
      <c r="U428" s="834"/>
      <c r="V428" s="834"/>
      <c r="W428" s="834"/>
      <c r="X428" s="834"/>
      <c r="Y428" s="834"/>
      <c r="Z428" s="834"/>
      <c r="AA428" s="834"/>
      <c r="AB428" s="834"/>
      <c r="AC428" s="834"/>
      <c r="AD428" s="834"/>
      <c r="AE428" s="834"/>
      <c r="AF428" s="834"/>
      <c r="AG428" s="834"/>
      <c r="AH428" s="834"/>
      <c r="AJ428" s="836"/>
      <c r="AK428" s="836"/>
      <c r="AL428" s="836"/>
      <c r="AM428" s="836"/>
      <c r="AN428" s="836"/>
      <c r="AO428" s="836"/>
      <c r="AP428" s="836"/>
      <c r="AQ428" s="836"/>
      <c r="AR428" s="836"/>
      <c r="AS428" s="836"/>
      <c r="AT428" s="836"/>
      <c r="AU428" s="836"/>
      <c r="AV428" s="836"/>
      <c r="AW428" s="836"/>
      <c r="AX428" s="836"/>
      <c r="AY428" s="836"/>
      <c r="AZ428" s="836"/>
      <c r="BA428" s="836"/>
      <c r="BB428" s="836"/>
      <c r="BC428" s="836"/>
      <c r="BD428" s="836"/>
      <c r="BE428" s="836"/>
      <c r="BF428" s="836"/>
      <c r="BG428" s="836"/>
      <c r="BH428" s="836"/>
      <c r="BI428" s="836"/>
      <c r="BJ428" s="836"/>
      <c r="BK428" s="836"/>
      <c r="BL428" s="836"/>
      <c r="BM428" s="836"/>
      <c r="BN428" s="836"/>
      <c r="BO428" s="836"/>
      <c r="BP428" s="836"/>
      <c r="BR428" s="838"/>
      <c r="BS428" s="838"/>
      <c r="BT428" s="838"/>
      <c r="BU428" s="838"/>
      <c r="BV428" s="838"/>
      <c r="BW428" s="838"/>
      <c r="BX428" s="838"/>
      <c r="BY428" s="838"/>
      <c r="BZ428" s="838"/>
      <c r="CA428" s="838"/>
      <c r="CB428" s="838"/>
      <c r="CC428" s="838"/>
      <c r="CD428" s="838"/>
      <c r="CE428" s="838"/>
      <c r="CF428" s="838"/>
      <c r="CG428" s="838"/>
      <c r="CH428" s="838"/>
      <c r="CI428" s="838"/>
      <c r="CJ428" s="838"/>
      <c r="CK428" s="838"/>
      <c r="CL428" s="838"/>
      <c r="CM428" s="838"/>
      <c r="CN428" s="838"/>
      <c r="CO428" s="838"/>
      <c r="CP428" s="838"/>
      <c r="CQ428" s="838"/>
      <c r="CR428" s="838"/>
      <c r="CS428" s="838"/>
      <c r="CT428" s="838"/>
      <c r="CU428" s="838"/>
    </row>
    <row r="429">
      <c r="A429" s="834"/>
      <c r="B429" s="834"/>
      <c r="C429" s="834"/>
      <c r="D429" s="834"/>
      <c r="E429" s="834"/>
      <c r="F429" s="834"/>
      <c r="G429" s="834"/>
      <c r="H429" s="834"/>
      <c r="I429" s="834"/>
      <c r="J429" s="834"/>
      <c r="K429" s="834"/>
      <c r="L429" s="834"/>
      <c r="M429" s="834"/>
      <c r="N429" s="834"/>
      <c r="O429" s="834"/>
      <c r="P429" s="834"/>
      <c r="Q429" s="834"/>
      <c r="R429" s="834"/>
      <c r="S429" s="834"/>
      <c r="T429" s="834"/>
      <c r="U429" s="834"/>
      <c r="V429" s="834"/>
      <c r="W429" s="834"/>
      <c r="X429" s="834"/>
      <c r="Y429" s="834"/>
      <c r="Z429" s="834"/>
      <c r="AA429" s="834"/>
      <c r="AB429" s="834"/>
      <c r="AC429" s="834"/>
      <c r="AD429" s="834"/>
      <c r="AE429" s="834"/>
      <c r="AF429" s="834"/>
      <c r="AG429" s="834"/>
      <c r="AH429" s="834"/>
      <c r="AJ429" s="836"/>
      <c r="AK429" s="836"/>
      <c r="AL429" s="836"/>
      <c r="AM429" s="836"/>
      <c r="AN429" s="836"/>
      <c r="AO429" s="836"/>
      <c r="AP429" s="836"/>
      <c r="AQ429" s="836"/>
      <c r="AR429" s="836"/>
      <c r="AS429" s="836"/>
      <c r="AT429" s="836"/>
      <c r="AU429" s="836"/>
      <c r="AV429" s="836"/>
      <c r="AW429" s="836"/>
      <c r="AX429" s="836"/>
      <c r="AY429" s="836"/>
      <c r="AZ429" s="836"/>
      <c r="BA429" s="836"/>
      <c r="BB429" s="836"/>
      <c r="BC429" s="836"/>
      <c r="BD429" s="836"/>
      <c r="BE429" s="836"/>
      <c r="BF429" s="836"/>
      <c r="BG429" s="836"/>
      <c r="BH429" s="836"/>
      <c r="BI429" s="836"/>
      <c r="BJ429" s="836"/>
      <c r="BK429" s="836"/>
      <c r="BL429" s="836"/>
      <c r="BM429" s="836"/>
      <c r="BN429" s="836"/>
      <c r="BO429" s="836"/>
      <c r="BP429" s="836"/>
      <c r="BR429" s="838"/>
      <c r="BS429" s="838"/>
      <c r="BT429" s="838"/>
      <c r="BU429" s="838"/>
      <c r="BV429" s="838"/>
      <c r="BW429" s="838"/>
      <c r="BX429" s="838"/>
      <c r="BY429" s="838"/>
      <c r="BZ429" s="838"/>
      <c r="CA429" s="838"/>
      <c r="CB429" s="838"/>
      <c r="CC429" s="838"/>
      <c r="CD429" s="838"/>
      <c r="CE429" s="838"/>
      <c r="CF429" s="838"/>
      <c r="CG429" s="838"/>
      <c r="CH429" s="838"/>
      <c r="CI429" s="838"/>
      <c r="CJ429" s="838"/>
      <c r="CK429" s="838"/>
      <c r="CL429" s="838"/>
      <c r="CM429" s="838"/>
      <c r="CN429" s="838"/>
      <c r="CO429" s="838"/>
      <c r="CP429" s="838"/>
      <c r="CQ429" s="838"/>
      <c r="CR429" s="838"/>
      <c r="CS429" s="838"/>
      <c r="CT429" s="838"/>
      <c r="CU429" s="838"/>
    </row>
    <row r="430">
      <c r="A430" s="834"/>
      <c r="B430" s="834"/>
      <c r="C430" s="834"/>
      <c r="D430" s="834"/>
      <c r="E430" s="834"/>
      <c r="F430" s="834"/>
      <c r="G430" s="834"/>
      <c r="H430" s="834"/>
      <c r="I430" s="834"/>
      <c r="J430" s="834"/>
      <c r="K430" s="834"/>
      <c r="L430" s="834"/>
      <c r="M430" s="834"/>
      <c r="N430" s="834"/>
      <c r="O430" s="834"/>
      <c r="P430" s="834"/>
      <c r="Q430" s="834"/>
      <c r="R430" s="834"/>
      <c r="S430" s="834"/>
      <c r="T430" s="834"/>
      <c r="U430" s="834"/>
      <c r="V430" s="834"/>
      <c r="W430" s="834"/>
      <c r="X430" s="834"/>
      <c r="Y430" s="834"/>
      <c r="Z430" s="834"/>
      <c r="AA430" s="834"/>
      <c r="AB430" s="834"/>
      <c r="AC430" s="834"/>
      <c r="AD430" s="834"/>
      <c r="AE430" s="834"/>
      <c r="AF430" s="834"/>
      <c r="AG430" s="834"/>
      <c r="AH430" s="834"/>
      <c r="AJ430" s="836"/>
      <c r="AK430" s="836"/>
      <c r="AL430" s="836"/>
      <c r="AM430" s="836"/>
      <c r="AN430" s="836"/>
      <c r="AO430" s="836"/>
      <c r="AP430" s="836"/>
      <c r="AQ430" s="836"/>
      <c r="AR430" s="836"/>
      <c r="AS430" s="836"/>
      <c r="AT430" s="836"/>
      <c r="AU430" s="836"/>
      <c r="AV430" s="836"/>
      <c r="AW430" s="836"/>
      <c r="AX430" s="836"/>
      <c r="AY430" s="836"/>
      <c r="AZ430" s="836"/>
      <c r="BA430" s="836"/>
      <c r="BB430" s="836"/>
      <c r="BC430" s="836"/>
      <c r="BD430" s="836"/>
      <c r="BE430" s="836"/>
      <c r="BF430" s="836"/>
      <c r="BG430" s="836"/>
      <c r="BH430" s="836"/>
      <c r="BI430" s="836"/>
      <c r="BJ430" s="836"/>
      <c r="BK430" s="836"/>
      <c r="BL430" s="836"/>
      <c r="BM430" s="836"/>
      <c r="BN430" s="836"/>
      <c r="BO430" s="836"/>
      <c r="BP430" s="836"/>
      <c r="BR430" s="838"/>
      <c r="BS430" s="838"/>
      <c r="BT430" s="838"/>
      <c r="BU430" s="838"/>
      <c r="BV430" s="838"/>
      <c r="BW430" s="838"/>
      <c r="BX430" s="838"/>
      <c r="BY430" s="838"/>
      <c r="BZ430" s="838"/>
      <c r="CA430" s="838"/>
      <c r="CB430" s="838"/>
      <c r="CC430" s="838"/>
      <c r="CD430" s="838"/>
      <c r="CE430" s="838"/>
      <c r="CF430" s="838"/>
      <c r="CG430" s="838"/>
      <c r="CH430" s="838"/>
      <c r="CI430" s="838"/>
      <c r="CJ430" s="838"/>
      <c r="CK430" s="838"/>
      <c r="CL430" s="838"/>
      <c r="CM430" s="838"/>
      <c r="CN430" s="838"/>
      <c r="CO430" s="838"/>
      <c r="CP430" s="838"/>
      <c r="CQ430" s="838"/>
      <c r="CR430" s="838"/>
      <c r="CS430" s="838"/>
      <c r="CT430" s="838"/>
      <c r="CU430" s="838"/>
    </row>
    <row r="431">
      <c r="A431" s="834"/>
      <c r="B431" s="834"/>
      <c r="C431" s="834"/>
      <c r="D431" s="834"/>
      <c r="E431" s="834"/>
      <c r="F431" s="834"/>
      <c r="G431" s="834"/>
      <c r="H431" s="834"/>
      <c r="I431" s="834"/>
      <c r="J431" s="834"/>
      <c r="K431" s="834"/>
      <c r="L431" s="834"/>
      <c r="M431" s="834"/>
      <c r="N431" s="834"/>
      <c r="O431" s="834"/>
      <c r="P431" s="834"/>
      <c r="Q431" s="834"/>
      <c r="R431" s="834"/>
      <c r="S431" s="834"/>
      <c r="T431" s="834"/>
      <c r="U431" s="834"/>
      <c r="V431" s="834"/>
      <c r="W431" s="834"/>
      <c r="X431" s="834"/>
      <c r="Y431" s="834"/>
      <c r="Z431" s="834"/>
      <c r="AA431" s="834"/>
      <c r="AB431" s="834"/>
      <c r="AC431" s="834"/>
      <c r="AD431" s="834"/>
      <c r="AE431" s="834"/>
      <c r="AF431" s="834"/>
      <c r="AG431" s="834"/>
      <c r="AH431" s="834"/>
      <c r="AJ431" s="836"/>
      <c r="AK431" s="836"/>
      <c r="AL431" s="836"/>
      <c r="AM431" s="836"/>
      <c r="AN431" s="836"/>
      <c r="AO431" s="836"/>
      <c r="AP431" s="836"/>
      <c r="AQ431" s="836"/>
      <c r="AR431" s="836"/>
      <c r="AS431" s="836"/>
      <c r="AT431" s="836"/>
      <c r="AU431" s="836"/>
      <c r="AV431" s="836"/>
      <c r="AW431" s="836"/>
      <c r="AX431" s="836"/>
      <c r="AY431" s="836"/>
      <c r="AZ431" s="836"/>
      <c r="BA431" s="836"/>
      <c r="BB431" s="836"/>
      <c r="BC431" s="836"/>
      <c r="BD431" s="836"/>
      <c r="BE431" s="836"/>
      <c r="BF431" s="836"/>
      <c r="BG431" s="836"/>
      <c r="BH431" s="836"/>
      <c r="BI431" s="836"/>
      <c r="BJ431" s="836"/>
      <c r="BK431" s="836"/>
      <c r="BL431" s="836"/>
      <c r="BM431" s="836"/>
      <c r="BN431" s="836"/>
      <c r="BO431" s="836"/>
      <c r="BP431" s="836"/>
      <c r="BR431" s="838"/>
      <c r="BS431" s="838"/>
      <c r="BT431" s="838"/>
      <c r="BU431" s="838"/>
      <c r="BV431" s="838"/>
      <c r="BW431" s="838"/>
      <c r="BX431" s="838"/>
      <c r="BY431" s="838"/>
      <c r="BZ431" s="838"/>
      <c r="CA431" s="838"/>
      <c r="CB431" s="838"/>
      <c r="CC431" s="838"/>
      <c r="CD431" s="838"/>
      <c r="CE431" s="838"/>
      <c r="CF431" s="838"/>
      <c r="CG431" s="838"/>
      <c r="CH431" s="838"/>
      <c r="CI431" s="838"/>
      <c r="CJ431" s="838"/>
      <c r="CK431" s="838"/>
      <c r="CL431" s="838"/>
      <c r="CM431" s="838"/>
      <c r="CN431" s="838"/>
      <c r="CO431" s="838"/>
      <c r="CP431" s="838"/>
      <c r="CQ431" s="838"/>
      <c r="CR431" s="838"/>
      <c r="CS431" s="838"/>
      <c r="CT431" s="838"/>
      <c r="CU431" s="838"/>
    </row>
    <row r="432">
      <c r="A432" s="834"/>
      <c r="B432" s="834"/>
      <c r="C432" s="834"/>
      <c r="D432" s="834"/>
      <c r="E432" s="834"/>
      <c r="F432" s="834"/>
      <c r="G432" s="834"/>
      <c r="H432" s="834"/>
      <c r="I432" s="834"/>
      <c r="J432" s="834"/>
      <c r="K432" s="834"/>
      <c r="L432" s="834"/>
      <c r="M432" s="834"/>
      <c r="N432" s="834"/>
      <c r="O432" s="834"/>
      <c r="P432" s="834"/>
      <c r="Q432" s="834"/>
      <c r="R432" s="834"/>
      <c r="S432" s="834"/>
      <c r="T432" s="834"/>
      <c r="U432" s="834"/>
      <c r="V432" s="834"/>
      <c r="W432" s="834"/>
      <c r="X432" s="834"/>
      <c r="Y432" s="834"/>
      <c r="Z432" s="834"/>
      <c r="AA432" s="834"/>
      <c r="AB432" s="834"/>
      <c r="AC432" s="834"/>
      <c r="AD432" s="834"/>
      <c r="AE432" s="834"/>
      <c r="AF432" s="834"/>
      <c r="AG432" s="834"/>
      <c r="AH432" s="834"/>
      <c r="AJ432" s="836"/>
      <c r="AK432" s="836"/>
      <c r="AL432" s="836"/>
      <c r="AM432" s="836"/>
      <c r="AN432" s="836"/>
      <c r="AO432" s="836"/>
      <c r="AP432" s="836"/>
      <c r="AQ432" s="836"/>
      <c r="AR432" s="836"/>
      <c r="AS432" s="836"/>
      <c r="AT432" s="836"/>
      <c r="AU432" s="836"/>
      <c r="AV432" s="836"/>
      <c r="AW432" s="836"/>
      <c r="AX432" s="836"/>
      <c r="AY432" s="836"/>
      <c r="AZ432" s="836"/>
      <c r="BA432" s="836"/>
      <c r="BB432" s="836"/>
      <c r="BC432" s="836"/>
      <c r="BD432" s="836"/>
      <c r="BE432" s="836"/>
      <c r="BF432" s="836"/>
      <c r="BG432" s="836"/>
      <c r="BH432" s="836"/>
      <c r="BI432" s="836"/>
      <c r="BJ432" s="836"/>
      <c r="BK432" s="836"/>
      <c r="BL432" s="836"/>
      <c r="BM432" s="836"/>
      <c r="BN432" s="836"/>
      <c r="BO432" s="836"/>
      <c r="BP432" s="836"/>
      <c r="BR432" s="838"/>
      <c r="BS432" s="838"/>
      <c r="BT432" s="838"/>
      <c r="BU432" s="838"/>
      <c r="BV432" s="838"/>
      <c r="BW432" s="838"/>
      <c r="BX432" s="838"/>
      <c r="BY432" s="838"/>
      <c r="BZ432" s="838"/>
      <c r="CA432" s="838"/>
      <c r="CB432" s="838"/>
      <c r="CC432" s="838"/>
      <c r="CD432" s="838"/>
      <c r="CE432" s="838"/>
      <c r="CF432" s="838"/>
      <c r="CG432" s="838"/>
      <c r="CH432" s="838"/>
      <c r="CI432" s="838"/>
      <c r="CJ432" s="838"/>
      <c r="CK432" s="838"/>
      <c r="CL432" s="838"/>
      <c r="CM432" s="838"/>
      <c r="CN432" s="838"/>
      <c r="CO432" s="838"/>
      <c r="CP432" s="838"/>
      <c r="CQ432" s="838"/>
      <c r="CR432" s="838"/>
      <c r="CS432" s="838"/>
      <c r="CT432" s="838"/>
      <c r="CU432" s="838"/>
    </row>
    <row r="433">
      <c r="A433" s="834"/>
      <c r="B433" s="834"/>
      <c r="C433" s="834"/>
      <c r="D433" s="834"/>
      <c r="E433" s="834"/>
      <c r="F433" s="834"/>
      <c r="G433" s="834"/>
      <c r="H433" s="834"/>
      <c r="I433" s="834"/>
      <c r="J433" s="834"/>
      <c r="K433" s="834"/>
      <c r="L433" s="834"/>
      <c r="M433" s="834"/>
      <c r="N433" s="834"/>
      <c r="O433" s="834"/>
      <c r="P433" s="834"/>
      <c r="Q433" s="834"/>
      <c r="R433" s="834"/>
      <c r="S433" s="834"/>
      <c r="T433" s="834"/>
      <c r="U433" s="834"/>
      <c r="V433" s="834"/>
      <c r="W433" s="834"/>
      <c r="X433" s="834"/>
      <c r="Y433" s="834"/>
      <c r="Z433" s="834"/>
      <c r="AA433" s="834"/>
      <c r="AB433" s="834"/>
      <c r="AC433" s="834"/>
      <c r="AD433" s="834"/>
      <c r="AE433" s="834"/>
      <c r="AF433" s="834"/>
      <c r="AG433" s="834"/>
      <c r="AH433" s="834"/>
      <c r="AJ433" s="836"/>
      <c r="AK433" s="836"/>
      <c r="AL433" s="836"/>
      <c r="AM433" s="836"/>
      <c r="AN433" s="836"/>
      <c r="AO433" s="836"/>
      <c r="AP433" s="836"/>
      <c r="AQ433" s="836"/>
      <c r="AR433" s="836"/>
      <c r="AS433" s="836"/>
      <c r="AT433" s="836"/>
      <c r="AU433" s="836"/>
      <c r="AV433" s="836"/>
      <c r="AW433" s="836"/>
      <c r="AX433" s="836"/>
      <c r="AY433" s="836"/>
      <c r="AZ433" s="836"/>
      <c r="BA433" s="836"/>
      <c r="BB433" s="836"/>
      <c r="BC433" s="836"/>
      <c r="BD433" s="836"/>
      <c r="BE433" s="836"/>
      <c r="BF433" s="836"/>
      <c r="BG433" s="836"/>
      <c r="BH433" s="836"/>
      <c r="BI433" s="836"/>
      <c r="BJ433" s="836"/>
      <c r="BK433" s="836"/>
      <c r="BL433" s="836"/>
      <c r="BM433" s="836"/>
      <c r="BN433" s="836"/>
      <c r="BO433" s="836"/>
      <c r="BP433" s="836"/>
      <c r="BR433" s="838"/>
      <c r="BS433" s="838"/>
      <c r="BT433" s="838"/>
      <c r="BU433" s="838"/>
      <c r="BV433" s="838"/>
      <c r="BW433" s="838"/>
      <c r="BX433" s="838"/>
      <c r="BY433" s="838"/>
      <c r="BZ433" s="838"/>
      <c r="CA433" s="838"/>
      <c r="CB433" s="838"/>
      <c r="CC433" s="838"/>
      <c r="CD433" s="838"/>
      <c r="CE433" s="838"/>
      <c r="CF433" s="838"/>
      <c r="CG433" s="838"/>
      <c r="CH433" s="838"/>
      <c r="CI433" s="838"/>
      <c r="CJ433" s="838"/>
      <c r="CK433" s="838"/>
      <c r="CL433" s="838"/>
      <c r="CM433" s="838"/>
      <c r="CN433" s="838"/>
      <c r="CO433" s="838"/>
      <c r="CP433" s="838"/>
      <c r="CQ433" s="838"/>
      <c r="CR433" s="838"/>
      <c r="CS433" s="838"/>
      <c r="CT433" s="838"/>
      <c r="CU433" s="838"/>
    </row>
    <row r="434">
      <c r="A434" s="834"/>
      <c r="B434" s="834"/>
      <c r="C434" s="834"/>
      <c r="D434" s="834"/>
      <c r="E434" s="834"/>
      <c r="F434" s="834"/>
      <c r="G434" s="834"/>
      <c r="H434" s="834"/>
      <c r="I434" s="834"/>
      <c r="J434" s="834"/>
      <c r="K434" s="834"/>
      <c r="L434" s="834"/>
      <c r="M434" s="834"/>
      <c r="N434" s="834"/>
      <c r="O434" s="834"/>
      <c r="P434" s="834"/>
      <c r="Q434" s="834"/>
      <c r="R434" s="834"/>
      <c r="S434" s="834"/>
      <c r="T434" s="834"/>
      <c r="U434" s="834"/>
      <c r="V434" s="834"/>
      <c r="W434" s="834"/>
      <c r="X434" s="834"/>
      <c r="Y434" s="834"/>
      <c r="Z434" s="834"/>
      <c r="AA434" s="834"/>
      <c r="AB434" s="834"/>
      <c r="AC434" s="834"/>
      <c r="AD434" s="834"/>
      <c r="AE434" s="834"/>
      <c r="AF434" s="834"/>
      <c r="AG434" s="834"/>
      <c r="AH434" s="834"/>
      <c r="AJ434" s="836"/>
      <c r="AK434" s="836"/>
      <c r="AL434" s="836"/>
      <c r="AM434" s="836"/>
      <c r="AN434" s="836"/>
      <c r="AO434" s="836"/>
      <c r="AP434" s="836"/>
      <c r="AQ434" s="836"/>
      <c r="AR434" s="836"/>
      <c r="AS434" s="836"/>
      <c r="AT434" s="836"/>
      <c r="AU434" s="836"/>
      <c r="AV434" s="836"/>
      <c r="AW434" s="836"/>
      <c r="AX434" s="836"/>
      <c r="AY434" s="836"/>
      <c r="AZ434" s="836"/>
      <c r="BA434" s="836"/>
      <c r="BB434" s="836"/>
      <c r="BC434" s="836"/>
      <c r="BD434" s="836"/>
      <c r="BE434" s="836"/>
      <c r="BF434" s="836"/>
      <c r="BG434" s="836"/>
      <c r="BH434" s="836"/>
      <c r="BI434" s="836"/>
      <c r="BJ434" s="836"/>
      <c r="BK434" s="836"/>
      <c r="BL434" s="836"/>
      <c r="BM434" s="836"/>
      <c r="BN434" s="836"/>
      <c r="BO434" s="836"/>
      <c r="BP434" s="836"/>
      <c r="BR434" s="838"/>
      <c r="BS434" s="838"/>
      <c r="BT434" s="838"/>
      <c r="BU434" s="838"/>
      <c r="BV434" s="838"/>
      <c r="BW434" s="838"/>
      <c r="BX434" s="838"/>
      <c r="BY434" s="838"/>
      <c r="BZ434" s="838"/>
      <c r="CA434" s="838"/>
      <c r="CB434" s="838"/>
      <c r="CC434" s="838"/>
      <c r="CD434" s="838"/>
      <c r="CE434" s="838"/>
      <c r="CF434" s="838"/>
      <c r="CG434" s="838"/>
      <c r="CH434" s="838"/>
      <c r="CI434" s="838"/>
      <c r="CJ434" s="838"/>
      <c r="CK434" s="838"/>
      <c r="CL434" s="838"/>
      <c r="CM434" s="838"/>
      <c r="CN434" s="838"/>
      <c r="CO434" s="838"/>
      <c r="CP434" s="838"/>
      <c r="CQ434" s="838"/>
      <c r="CR434" s="838"/>
      <c r="CS434" s="838"/>
      <c r="CT434" s="838"/>
      <c r="CU434" s="838"/>
    </row>
    <row r="435">
      <c r="A435" s="834"/>
      <c r="B435" s="834"/>
      <c r="C435" s="834"/>
      <c r="D435" s="834"/>
      <c r="E435" s="834"/>
      <c r="F435" s="834"/>
      <c r="G435" s="834"/>
      <c r="H435" s="834"/>
      <c r="I435" s="834"/>
      <c r="J435" s="834"/>
      <c r="K435" s="834"/>
      <c r="L435" s="834"/>
      <c r="M435" s="834"/>
      <c r="N435" s="834"/>
      <c r="O435" s="834"/>
      <c r="P435" s="834"/>
      <c r="Q435" s="834"/>
      <c r="R435" s="834"/>
      <c r="S435" s="834"/>
      <c r="T435" s="834"/>
      <c r="U435" s="834"/>
      <c r="V435" s="834"/>
      <c r="W435" s="834"/>
      <c r="X435" s="834"/>
      <c r="Y435" s="834"/>
      <c r="Z435" s="834"/>
      <c r="AA435" s="834"/>
      <c r="AB435" s="834"/>
      <c r="AC435" s="834"/>
      <c r="AD435" s="834"/>
      <c r="AE435" s="834"/>
      <c r="AF435" s="834"/>
      <c r="AG435" s="834"/>
      <c r="AH435" s="834"/>
      <c r="AJ435" s="836"/>
      <c r="AK435" s="836"/>
      <c r="AL435" s="836"/>
      <c r="AM435" s="836"/>
      <c r="AN435" s="836"/>
      <c r="AO435" s="836"/>
      <c r="AP435" s="836"/>
      <c r="AQ435" s="836"/>
      <c r="AR435" s="836"/>
      <c r="AS435" s="836"/>
      <c r="AT435" s="836"/>
      <c r="AU435" s="836"/>
      <c r="AV435" s="836"/>
      <c r="AW435" s="836"/>
      <c r="AX435" s="836"/>
      <c r="AY435" s="836"/>
      <c r="AZ435" s="836"/>
      <c r="BA435" s="836"/>
      <c r="BB435" s="836"/>
      <c r="BC435" s="836"/>
      <c r="BD435" s="836"/>
      <c r="BE435" s="836"/>
      <c r="BF435" s="836"/>
      <c r="BG435" s="836"/>
      <c r="BH435" s="836"/>
      <c r="BI435" s="836"/>
      <c r="BJ435" s="836"/>
      <c r="BK435" s="836"/>
      <c r="BL435" s="836"/>
      <c r="BM435" s="836"/>
      <c r="BN435" s="836"/>
      <c r="BO435" s="836"/>
      <c r="BP435" s="836"/>
      <c r="BR435" s="838"/>
      <c r="BS435" s="838"/>
      <c r="BT435" s="838"/>
      <c r="BU435" s="838"/>
      <c r="BV435" s="838"/>
      <c r="BW435" s="838"/>
      <c r="BX435" s="838"/>
      <c r="BY435" s="838"/>
      <c r="BZ435" s="838"/>
      <c r="CA435" s="838"/>
      <c r="CB435" s="838"/>
      <c r="CC435" s="838"/>
      <c r="CD435" s="838"/>
      <c r="CE435" s="838"/>
      <c r="CF435" s="838"/>
      <c r="CG435" s="838"/>
      <c r="CH435" s="838"/>
      <c r="CI435" s="838"/>
      <c r="CJ435" s="838"/>
      <c r="CK435" s="838"/>
      <c r="CL435" s="838"/>
      <c r="CM435" s="838"/>
      <c r="CN435" s="838"/>
      <c r="CO435" s="838"/>
      <c r="CP435" s="838"/>
      <c r="CQ435" s="838"/>
      <c r="CR435" s="838"/>
      <c r="CS435" s="838"/>
      <c r="CT435" s="838"/>
      <c r="CU435" s="838"/>
    </row>
    <row r="436">
      <c r="A436" s="834"/>
      <c r="B436" s="834"/>
      <c r="C436" s="834"/>
      <c r="D436" s="834"/>
      <c r="E436" s="834"/>
      <c r="F436" s="834"/>
      <c r="G436" s="834"/>
      <c r="H436" s="834"/>
      <c r="I436" s="834"/>
      <c r="J436" s="834"/>
      <c r="K436" s="834"/>
      <c r="L436" s="834"/>
      <c r="M436" s="834"/>
      <c r="N436" s="834"/>
      <c r="O436" s="834"/>
      <c r="P436" s="834"/>
      <c r="Q436" s="834"/>
      <c r="R436" s="834"/>
      <c r="S436" s="834"/>
      <c r="T436" s="834"/>
      <c r="U436" s="834"/>
      <c r="V436" s="834"/>
      <c r="W436" s="834"/>
      <c r="X436" s="834"/>
      <c r="Y436" s="834"/>
      <c r="Z436" s="834"/>
      <c r="AA436" s="834"/>
      <c r="AB436" s="834"/>
      <c r="AC436" s="834"/>
      <c r="AD436" s="834"/>
      <c r="AE436" s="834"/>
      <c r="AF436" s="834"/>
      <c r="AG436" s="834"/>
      <c r="AH436" s="834"/>
      <c r="AJ436" s="836"/>
      <c r="AK436" s="836"/>
      <c r="AL436" s="836"/>
      <c r="AM436" s="836"/>
      <c r="AN436" s="836"/>
      <c r="AO436" s="836"/>
      <c r="AP436" s="836"/>
      <c r="AQ436" s="836"/>
      <c r="AR436" s="836"/>
      <c r="AS436" s="836"/>
      <c r="AT436" s="836"/>
      <c r="AU436" s="836"/>
      <c r="AV436" s="836"/>
      <c r="AW436" s="836"/>
      <c r="AX436" s="836"/>
      <c r="AY436" s="836"/>
      <c r="AZ436" s="836"/>
      <c r="BA436" s="836"/>
      <c r="BB436" s="836"/>
      <c r="BC436" s="836"/>
      <c r="BD436" s="836"/>
      <c r="BE436" s="836"/>
      <c r="BF436" s="836"/>
      <c r="BG436" s="836"/>
      <c r="BH436" s="836"/>
      <c r="BI436" s="836"/>
      <c r="BJ436" s="836"/>
      <c r="BK436" s="836"/>
      <c r="BL436" s="836"/>
      <c r="BM436" s="836"/>
      <c r="BN436" s="836"/>
      <c r="BO436" s="836"/>
      <c r="BP436" s="836"/>
      <c r="BR436" s="838"/>
      <c r="BS436" s="838"/>
      <c r="BT436" s="838"/>
      <c r="BU436" s="838"/>
      <c r="BV436" s="838"/>
      <c r="BW436" s="838"/>
      <c r="BX436" s="838"/>
      <c r="BY436" s="838"/>
      <c r="BZ436" s="838"/>
      <c r="CA436" s="838"/>
      <c r="CB436" s="838"/>
      <c r="CC436" s="838"/>
      <c r="CD436" s="838"/>
      <c r="CE436" s="838"/>
      <c r="CF436" s="838"/>
      <c r="CG436" s="838"/>
      <c r="CH436" s="838"/>
      <c r="CI436" s="838"/>
      <c r="CJ436" s="838"/>
      <c r="CK436" s="838"/>
      <c r="CL436" s="838"/>
      <c r="CM436" s="838"/>
      <c r="CN436" s="838"/>
      <c r="CO436" s="838"/>
      <c r="CP436" s="838"/>
      <c r="CQ436" s="838"/>
      <c r="CR436" s="838"/>
      <c r="CS436" s="838"/>
      <c r="CT436" s="838"/>
      <c r="CU436" s="838"/>
    </row>
    <row r="437">
      <c r="A437" s="834"/>
      <c r="B437" s="834"/>
      <c r="C437" s="834"/>
      <c r="D437" s="834"/>
      <c r="E437" s="834"/>
      <c r="F437" s="834"/>
      <c r="G437" s="834"/>
      <c r="H437" s="834"/>
      <c r="I437" s="834"/>
      <c r="J437" s="834"/>
      <c r="K437" s="834"/>
      <c r="L437" s="834"/>
      <c r="M437" s="834"/>
      <c r="N437" s="834"/>
      <c r="O437" s="834"/>
      <c r="P437" s="834"/>
      <c r="Q437" s="834"/>
      <c r="R437" s="834"/>
      <c r="S437" s="834"/>
      <c r="T437" s="834"/>
      <c r="U437" s="834"/>
      <c r="V437" s="834"/>
      <c r="W437" s="834"/>
      <c r="X437" s="834"/>
      <c r="Y437" s="834"/>
      <c r="Z437" s="834"/>
      <c r="AA437" s="834"/>
      <c r="AB437" s="834"/>
      <c r="AC437" s="834"/>
      <c r="AD437" s="834"/>
      <c r="AE437" s="834"/>
      <c r="AF437" s="834"/>
      <c r="AG437" s="834"/>
      <c r="AH437" s="834"/>
      <c r="AJ437" s="836"/>
      <c r="AK437" s="836"/>
      <c r="AL437" s="836"/>
      <c r="AM437" s="836"/>
      <c r="AN437" s="836"/>
      <c r="AO437" s="836"/>
      <c r="AP437" s="836"/>
      <c r="AQ437" s="836"/>
      <c r="AR437" s="836"/>
      <c r="AS437" s="836"/>
      <c r="AT437" s="836"/>
      <c r="AU437" s="836"/>
      <c r="AV437" s="836"/>
      <c r="AW437" s="836"/>
      <c r="AX437" s="836"/>
      <c r="AY437" s="836"/>
      <c r="AZ437" s="836"/>
      <c r="BA437" s="836"/>
      <c r="BB437" s="836"/>
      <c r="BC437" s="836"/>
      <c r="BD437" s="836"/>
      <c r="BE437" s="836"/>
      <c r="BF437" s="836"/>
      <c r="BG437" s="836"/>
      <c r="BH437" s="836"/>
      <c r="BI437" s="836"/>
      <c r="BJ437" s="836"/>
      <c r="BK437" s="836"/>
      <c r="BL437" s="836"/>
      <c r="BM437" s="836"/>
      <c r="BN437" s="836"/>
      <c r="BO437" s="836"/>
      <c r="BP437" s="836"/>
      <c r="BR437" s="838"/>
      <c r="BS437" s="838"/>
      <c r="BT437" s="838"/>
      <c r="BU437" s="838"/>
      <c r="BV437" s="838"/>
      <c r="BW437" s="838"/>
      <c r="BX437" s="838"/>
      <c r="BY437" s="838"/>
      <c r="BZ437" s="838"/>
      <c r="CA437" s="838"/>
      <c r="CB437" s="838"/>
      <c r="CC437" s="838"/>
      <c r="CD437" s="838"/>
      <c r="CE437" s="838"/>
      <c r="CF437" s="838"/>
      <c r="CG437" s="838"/>
      <c r="CH437" s="838"/>
      <c r="CI437" s="838"/>
      <c r="CJ437" s="838"/>
      <c r="CK437" s="838"/>
      <c r="CL437" s="838"/>
      <c r="CM437" s="838"/>
      <c r="CN437" s="838"/>
      <c r="CO437" s="838"/>
      <c r="CP437" s="838"/>
      <c r="CQ437" s="838"/>
      <c r="CR437" s="838"/>
      <c r="CS437" s="838"/>
      <c r="CT437" s="838"/>
      <c r="CU437" s="838"/>
    </row>
    <row r="438">
      <c r="A438" s="834"/>
      <c r="B438" s="834"/>
      <c r="C438" s="834"/>
      <c r="D438" s="834"/>
      <c r="E438" s="834"/>
      <c r="F438" s="834"/>
      <c r="G438" s="834"/>
      <c r="H438" s="834"/>
      <c r="I438" s="834"/>
      <c r="J438" s="834"/>
      <c r="K438" s="834"/>
      <c r="L438" s="834"/>
      <c r="M438" s="834"/>
      <c r="N438" s="834"/>
      <c r="O438" s="834"/>
      <c r="P438" s="834"/>
      <c r="Q438" s="834"/>
      <c r="R438" s="834"/>
      <c r="S438" s="834"/>
      <c r="T438" s="834"/>
      <c r="U438" s="834"/>
      <c r="V438" s="834"/>
      <c r="W438" s="834"/>
      <c r="X438" s="834"/>
      <c r="Y438" s="834"/>
      <c r="Z438" s="834"/>
      <c r="AA438" s="834"/>
      <c r="AB438" s="834"/>
      <c r="AC438" s="834"/>
      <c r="AD438" s="834"/>
      <c r="AE438" s="834"/>
      <c r="AF438" s="834"/>
      <c r="AG438" s="834"/>
      <c r="AH438" s="834"/>
      <c r="AJ438" s="836"/>
      <c r="AK438" s="836"/>
      <c r="AL438" s="836"/>
      <c r="AM438" s="836"/>
      <c r="AN438" s="836"/>
      <c r="AO438" s="836"/>
      <c r="AP438" s="836"/>
      <c r="AQ438" s="836"/>
      <c r="AR438" s="836"/>
      <c r="AS438" s="836"/>
      <c r="AT438" s="836"/>
      <c r="AU438" s="836"/>
      <c r="AV438" s="836"/>
      <c r="AW438" s="836"/>
      <c r="AX438" s="836"/>
      <c r="AY438" s="836"/>
      <c r="AZ438" s="836"/>
      <c r="BA438" s="836"/>
      <c r="BB438" s="836"/>
      <c r="BC438" s="836"/>
      <c r="BD438" s="836"/>
      <c r="BE438" s="836"/>
      <c r="BF438" s="836"/>
      <c r="BG438" s="836"/>
      <c r="BH438" s="836"/>
      <c r="BI438" s="836"/>
      <c r="BJ438" s="836"/>
      <c r="BK438" s="836"/>
      <c r="BL438" s="836"/>
      <c r="BM438" s="836"/>
      <c r="BN438" s="836"/>
      <c r="BO438" s="836"/>
      <c r="BP438" s="836"/>
      <c r="BR438" s="838"/>
      <c r="BS438" s="838"/>
      <c r="BT438" s="838"/>
      <c r="BU438" s="838"/>
      <c r="BV438" s="838"/>
      <c r="BW438" s="838"/>
      <c r="BX438" s="838"/>
      <c r="BY438" s="838"/>
      <c r="BZ438" s="838"/>
      <c r="CA438" s="838"/>
      <c r="CB438" s="838"/>
      <c r="CC438" s="838"/>
      <c r="CD438" s="838"/>
      <c r="CE438" s="838"/>
      <c r="CF438" s="838"/>
      <c r="CG438" s="838"/>
      <c r="CH438" s="838"/>
      <c r="CI438" s="838"/>
      <c r="CJ438" s="838"/>
      <c r="CK438" s="838"/>
      <c r="CL438" s="838"/>
      <c r="CM438" s="838"/>
      <c r="CN438" s="838"/>
      <c r="CO438" s="838"/>
      <c r="CP438" s="838"/>
      <c r="CQ438" s="838"/>
      <c r="CR438" s="838"/>
      <c r="CS438" s="838"/>
      <c r="CT438" s="838"/>
      <c r="CU438" s="838"/>
    </row>
    <row r="439">
      <c r="A439" s="834"/>
      <c r="B439" s="834"/>
      <c r="C439" s="834"/>
      <c r="D439" s="834"/>
      <c r="E439" s="834"/>
      <c r="F439" s="834"/>
      <c r="G439" s="834"/>
      <c r="H439" s="834"/>
      <c r="I439" s="834"/>
      <c r="J439" s="834"/>
      <c r="K439" s="834"/>
      <c r="L439" s="834"/>
      <c r="M439" s="834"/>
      <c r="N439" s="834"/>
      <c r="O439" s="834"/>
      <c r="P439" s="834"/>
      <c r="Q439" s="834"/>
      <c r="R439" s="834"/>
      <c r="S439" s="834"/>
      <c r="T439" s="834"/>
      <c r="U439" s="834"/>
      <c r="V439" s="834"/>
      <c r="W439" s="834"/>
      <c r="X439" s="834"/>
      <c r="Y439" s="834"/>
      <c r="Z439" s="834"/>
      <c r="AA439" s="834"/>
      <c r="AB439" s="834"/>
      <c r="AC439" s="834"/>
      <c r="AD439" s="834"/>
      <c r="AE439" s="834"/>
      <c r="AF439" s="834"/>
      <c r="AG439" s="834"/>
      <c r="AH439" s="834"/>
      <c r="AJ439" s="836"/>
      <c r="AK439" s="836"/>
      <c r="AL439" s="836"/>
      <c r="AM439" s="836"/>
      <c r="AN439" s="836"/>
      <c r="AO439" s="836"/>
      <c r="AP439" s="836"/>
      <c r="AQ439" s="836"/>
      <c r="AR439" s="836"/>
      <c r="AS439" s="836"/>
      <c r="AT439" s="836"/>
      <c r="AU439" s="836"/>
      <c r="AV439" s="836"/>
      <c r="AW439" s="836"/>
      <c r="AX439" s="836"/>
      <c r="AY439" s="836"/>
      <c r="AZ439" s="836"/>
      <c r="BA439" s="836"/>
      <c r="BB439" s="836"/>
      <c r="BC439" s="836"/>
      <c r="BD439" s="836"/>
      <c r="BE439" s="836"/>
      <c r="BF439" s="836"/>
      <c r="BG439" s="836"/>
      <c r="BH439" s="836"/>
      <c r="BI439" s="836"/>
      <c r="BJ439" s="836"/>
      <c r="BK439" s="836"/>
      <c r="BL439" s="836"/>
      <c r="BM439" s="836"/>
      <c r="BN439" s="836"/>
      <c r="BO439" s="836"/>
      <c r="BP439" s="836"/>
      <c r="BR439" s="838"/>
      <c r="BS439" s="838"/>
      <c r="BT439" s="838"/>
      <c r="BU439" s="838"/>
      <c r="BV439" s="838"/>
      <c r="BW439" s="838"/>
      <c r="BX439" s="838"/>
      <c r="BY439" s="838"/>
      <c r="BZ439" s="838"/>
      <c r="CA439" s="838"/>
      <c r="CB439" s="838"/>
      <c r="CC439" s="838"/>
      <c r="CD439" s="838"/>
      <c r="CE439" s="838"/>
      <c r="CF439" s="838"/>
      <c r="CG439" s="838"/>
      <c r="CH439" s="838"/>
      <c r="CI439" s="838"/>
      <c r="CJ439" s="838"/>
      <c r="CK439" s="838"/>
      <c r="CL439" s="838"/>
      <c r="CM439" s="838"/>
      <c r="CN439" s="838"/>
      <c r="CO439" s="838"/>
      <c r="CP439" s="838"/>
      <c r="CQ439" s="838"/>
      <c r="CR439" s="838"/>
      <c r="CS439" s="838"/>
      <c r="CT439" s="838"/>
      <c r="CU439" s="838"/>
    </row>
    <row r="440">
      <c r="A440" s="834"/>
      <c r="B440" s="834"/>
      <c r="C440" s="834"/>
      <c r="D440" s="834"/>
      <c r="E440" s="834"/>
      <c r="F440" s="834"/>
      <c r="G440" s="834"/>
      <c r="H440" s="834"/>
      <c r="I440" s="834"/>
      <c r="J440" s="834"/>
      <c r="K440" s="834"/>
      <c r="L440" s="834"/>
      <c r="M440" s="834"/>
      <c r="N440" s="834"/>
      <c r="O440" s="834"/>
      <c r="P440" s="834"/>
      <c r="Q440" s="834"/>
      <c r="R440" s="834"/>
      <c r="S440" s="834"/>
      <c r="T440" s="834"/>
      <c r="U440" s="834"/>
      <c r="V440" s="834"/>
      <c r="W440" s="834"/>
      <c r="X440" s="834"/>
      <c r="Y440" s="834"/>
      <c r="Z440" s="834"/>
      <c r="AA440" s="834"/>
      <c r="AB440" s="834"/>
      <c r="AC440" s="834"/>
      <c r="AD440" s="834"/>
      <c r="AE440" s="834"/>
      <c r="AF440" s="834"/>
      <c r="AG440" s="834"/>
      <c r="AH440" s="834"/>
      <c r="AJ440" s="836"/>
      <c r="AK440" s="836"/>
      <c r="AL440" s="836"/>
      <c r="AM440" s="836"/>
      <c r="AN440" s="836"/>
      <c r="AO440" s="836"/>
      <c r="AP440" s="836"/>
      <c r="AQ440" s="836"/>
      <c r="AR440" s="836"/>
      <c r="AS440" s="836"/>
      <c r="AT440" s="836"/>
      <c r="AU440" s="836"/>
      <c r="AV440" s="836"/>
      <c r="AW440" s="836"/>
      <c r="AX440" s="836"/>
      <c r="AY440" s="836"/>
      <c r="AZ440" s="836"/>
      <c r="BA440" s="836"/>
      <c r="BB440" s="836"/>
      <c r="BC440" s="836"/>
      <c r="BD440" s="836"/>
      <c r="BE440" s="836"/>
      <c r="BF440" s="836"/>
      <c r="BG440" s="836"/>
      <c r="BH440" s="836"/>
      <c r="BI440" s="836"/>
      <c r="BJ440" s="836"/>
      <c r="BK440" s="836"/>
      <c r="BL440" s="836"/>
      <c r="BM440" s="836"/>
      <c r="BN440" s="836"/>
      <c r="BO440" s="836"/>
      <c r="BP440" s="836"/>
      <c r="BR440" s="838"/>
      <c r="BS440" s="838"/>
      <c r="BT440" s="838"/>
      <c r="BU440" s="838"/>
      <c r="BV440" s="838"/>
      <c r="BW440" s="838"/>
      <c r="BX440" s="838"/>
      <c r="BY440" s="838"/>
      <c r="BZ440" s="838"/>
      <c r="CA440" s="838"/>
      <c r="CB440" s="838"/>
      <c r="CC440" s="838"/>
      <c r="CD440" s="838"/>
      <c r="CE440" s="838"/>
      <c r="CF440" s="838"/>
      <c r="CG440" s="838"/>
      <c r="CH440" s="838"/>
      <c r="CI440" s="838"/>
      <c r="CJ440" s="838"/>
      <c r="CK440" s="838"/>
      <c r="CL440" s="838"/>
      <c r="CM440" s="838"/>
      <c r="CN440" s="838"/>
      <c r="CO440" s="838"/>
      <c r="CP440" s="838"/>
      <c r="CQ440" s="838"/>
      <c r="CR440" s="838"/>
      <c r="CS440" s="838"/>
      <c r="CT440" s="838"/>
      <c r="CU440" s="838"/>
    </row>
    <row r="441">
      <c r="A441" s="834"/>
      <c r="B441" s="834"/>
      <c r="C441" s="834"/>
      <c r="D441" s="834"/>
      <c r="E441" s="834"/>
      <c r="F441" s="834"/>
      <c r="G441" s="834"/>
      <c r="H441" s="834"/>
      <c r="I441" s="834"/>
      <c r="J441" s="834"/>
      <c r="K441" s="834"/>
      <c r="L441" s="834"/>
      <c r="M441" s="834"/>
      <c r="N441" s="834"/>
      <c r="O441" s="834"/>
      <c r="P441" s="834"/>
      <c r="Q441" s="834"/>
      <c r="R441" s="834"/>
      <c r="S441" s="834"/>
      <c r="T441" s="834"/>
      <c r="U441" s="834"/>
      <c r="V441" s="834"/>
      <c r="W441" s="834"/>
      <c r="X441" s="834"/>
      <c r="Y441" s="834"/>
      <c r="Z441" s="834"/>
      <c r="AA441" s="834"/>
      <c r="AB441" s="834"/>
      <c r="AC441" s="834"/>
      <c r="AD441" s="834"/>
      <c r="AE441" s="834"/>
      <c r="AF441" s="834"/>
      <c r="AG441" s="834"/>
      <c r="AH441" s="834"/>
      <c r="AJ441" s="836"/>
      <c r="AK441" s="836"/>
      <c r="AL441" s="836"/>
      <c r="AM441" s="836"/>
      <c r="AN441" s="836"/>
      <c r="AO441" s="836"/>
      <c r="AP441" s="836"/>
      <c r="AQ441" s="836"/>
      <c r="AR441" s="836"/>
      <c r="AS441" s="836"/>
      <c r="AT441" s="836"/>
      <c r="AU441" s="836"/>
      <c r="AV441" s="836"/>
      <c r="AW441" s="836"/>
      <c r="AX441" s="836"/>
      <c r="AY441" s="836"/>
      <c r="AZ441" s="836"/>
      <c r="BA441" s="836"/>
      <c r="BB441" s="836"/>
      <c r="BC441" s="836"/>
      <c r="BD441" s="836"/>
      <c r="BE441" s="836"/>
      <c r="BF441" s="836"/>
      <c r="BG441" s="836"/>
      <c r="BH441" s="836"/>
      <c r="BI441" s="836"/>
      <c r="BJ441" s="836"/>
      <c r="BK441" s="836"/>
      <c r="BL441" s="836"/>
      <c r="BM441" s="836"/>
      <c r="BN441" s="836"/>
      <c r="BO441" s="836"/>
      <c r="BP441" s="836"/>
      <c r="BR441" s="838"/>
      <c r="BS441" s="838"/>
      <c r="BT441" s="838"/>
      <c r="BU441" s="838"/>
      <c r="BV441" s="838"/>
      <c r="BW441" s="838"/>
      <c r="BX441" s="838"/>
      <c r="BY441" s="838"/>
      <c r="BZ441" s="838"/>
      <c r="CA441" s="838"/>
      <c r="CB441" s="838"/>
      <c r="CC441" s="838"/>
      <c r="CD441" s="838"/>
      <c r="CE441" s="838"/>
      <c r="CF441" s="838"/>
      <c r="CG441" s="838"/>
      <c r="CH441" s="838"/>
      <c r="CI441" s="838"/>
      <c r="CJ441" s="838"/>
      <c r="CK441" s="838"/>
      <c r="CL441" s="838"/>
      <c r="CM441" s="838"/>
      <c r="CN441" s="838"/>
      <c r="CO441" s="838"/>
      <c r="CP441" s="838"/>
      <c r="CQ441" s="838"/>
      <c r="CR441" s="838"/>
      <c r="CS441" s="838"/>
      <c r="CT441" s="838"/>
      <c r="CU441" s="838"/>
    </row>
    <row r="442">
      <c r="A442" s="834"/>
      <c r="B442" s="834"/>
      <c r="C442" s="834"/>
      <c r="D442" s="834"/>
      <c r="E442" s="834"/>
      <c r="F442" s="834"/>
      <c r="G442" s="834"/>
      <c r="H442" s="834"/>
      <c r="I442" s="834"/>
      <c r="J442" s="834"/>
      <c r="K442" s="834"/>
      <c r="L442" s="834"/>
      <c r="M442" s="834"/>
      <c r="N442" s="834"/>
      <c r="O442" s="834"/>
      <c r="P442" s="834"/>
      <c r="Q442" s="834"/>
      <c r="R442" s="834"/>
      <c r="S442" s="834"/>
      <c r="T442" s="834"/>
      <c r="U442" s="834"/>
      <c r="V442" s="834"/>
      <c r="W442" s="834"/>
      <c r="X442" s="834"/>
      <c r="Y442" s="834"/>
      <c r="Z442" s="834"/>
      <c r="AA442" s="834"/>
      <c r="AB442" s="834"/>
      <c r="AC442" s="834"/>
      <c r="AD442" s="834"/>
      <c r="AE442" s="834"/>
      <c r="AF442" s="834"/>
      <c r="AG442" s="834"/>
      <c r="AH442" s="834"/>
      <c r="AJ442" s="836"/>
      <c r="AK442" s="836"/>
      <c r="AL442" s="836"/>
      <c r="AM442" s="836"/>
      <c r="AN442" s="836"/>
      <c r="AO442" s="836"/>
      <c r="AP442" s="836"/>
      <c r="AQ442" s="836"/>
      <c r="AR442" s="836"/>
      <c r="AS442" s="836"/>
      <c r="AT442" s="836"/>
      <c r="AU442" s="836"/>
      <c r="AV442" s="836"/>
      <c r="AW442" s="836"/>
      <c r="AX442" s="836"/>
      <c r="AY442" s="836"/>
      <c r="AZ442" s="836"/>
      <c r="BA442" s="836"/>
      <c r="BB442" s="836"/>
      <c r="BC442" s="836"/>
      <c r="BD442" s="836"/>
      <c r="BE442" s="836"/>
      <c r="BF442" s="836"/>
      <c r="BG442" s="836"/>
      <c r="BH442" s="836"/>
      <c r="BI442" s="836"/>
      <c r="BJ442" s="836"/>
      <c r="BK442" s="836"/>
      <c r="BL442" s="836"/>
      <c r="BM442" s="836"/>
      <c r="BN442" s="836"/>
      <c r="BO442" s="836"/>
      <c r="BP442" s="836"/>
      <c r="BR442" s="838"/>
      <c r="BS442" s="838"/>
      <c r="BT442" s="838"/>
      <c r="BU442" s="838"/>
      <c r="BV442" s="838"/>
      <c r="BW442" s="838"/>
      <c r="BX442" s="838"/>
      <c r="BY442" s="838"/>
      <c r="BZ442" s="838"/>
      <c r="CA442" s="838"/>
      <c r="CB442" s="838"/>
      <c r="CC442" s="838"/>
      <c r="CD442" s="838"/>
      <c r="CE442" s="838"/>
      <c r="CF442" s="838"/>
      <c r="CG442" s="838"/>
      <c r="CH442" s="838"/>
      <c r="CI442" s="838"/>
      <c r="CJ442" s="838"/>
      <c r="CK442" s="838"/>
      <c r="CL442" s="838"/>
      <c r="CM442" s="838"/>
      <c r="CN442" s="838"/>
      <c r="CO442" s="838"/>
      <c r="CP442" s="838"/>
      <c r="CQ442" s="838"/>
      <c r="CR442" s="838"/>
      <c r="CS442" s="838"/>
      <c r="CT442" s="838"/>
      <c r="CU442" s="838"/>
    </row>
    <row r="443">
      <c r="A443" s="834"/>
      <c r="B443" s="834"/>
      <c r="C443" s="834"/>
      <c r="D443" s="834"/>
      <c r="E443" s="834"/>
      <c r="F443" s="834"/>
      <c r="G443" s="834"/>
      <c r="H443" s="834"/>
      <c r="I443" s="834"/>
      <c r="J443" s="834"/>
      <c r="K443" s="834"/>
      <c r="L443" s="834"/>
      <c r="M443" s="834"/>
      <c r="N443" s="834"/>
      <c r="O443" s="834"/>
      <c r="P443" s="834"/>
      <c r="Q443" s="834"/>
      <c r="R443" s="834"/>
      <c r="S443" s="834"/>
      <c r="T443" s="834"/>
      <c r="U443" s="834"/>
      <c r="V443" s="834"/>
      <c r="W443" s="834"/>
      <c r="X443" s="834"/>
      <c r="Y443" s="834"/>
      <c r="Z443" s="834"/>
      <c r="AA443" s="834"/>
      <c r="AB443" s="834"/>
      <c r="AC443" s="834"/>
      <c r="AD443" s="834"/>
      <c r="AE443" s="834"/>
      <c r="AF443" s="834"/>
      <c r="AG443" s="834"/>
      <c r="AH443" s="834"/>
      <c r="AJ443" s="836"/>
      <c r="AK443" s="836"/>
      <c r="AL443" s="836"/>
      <c r="AM443" s="836"/>
      <c r="AN443" s="836"/>
      <c r="AO443" s="836"/>
      <c r="AP443" s="836"/>
      <c r="AQ443" s="836"/>
      <c r="AR443" s="836"/>
      <c r="AS443" s="836"/>
      <c r="AT443" s="836"/>
      <c r="AU443" s="836"/>
      <c r="AV443" s="836"/>
      <c r="AW443" s="836"/>
      <c r="AX443" s="836"/>
      <c r="AY443" s="836"/>
      <c r="AZ443" s="836"/>
      <c r="BA443" s="836"/>
      <c r="BB443" s="836"/>
      <c r="BC443" s="836"/>
      <c r="BD443" s="836"/>
      <c r="BE443" s="836"/>
      <c r="BF443" s="836"/>
      <c r="BG443" s="836"/>
      <c r="BH443" s="836"/>
      <c r="BI443" s="836"/>
      <c r="BJ443" s="836"/>
      <c r="BK443" s="836"/>
      <c r="BL443" s="836"/>
      <c r="BM443" s="836"/>
      <c r="BN443" s="836"/>
      <c r="BO443" s="836"/>
      <c r="BP443" s="836"/>
      <c r="BR443" s="838"/>
      <c r="BS443" s="838"/>
      <c r="BT443" s="838"/>
      <c r="BU443" s="838"/>
      <c r="BV443" s="838"/>
      <c r="BW443" s="838"/>
      <c r="BX443" s="838"/>
      <c r="BY443" s="838"/>
      <c r="BZ443" s="838"/>
      <c r="CA443" s="838"/>
      <c r="CB443" s="838"/>
      <c r="CC443" s="838"/>
      <c r="CD443" s="838"/>
      <c r="CE443" s="838"/>
      <c r="CF443" s="838"/>
      <c r="CG443" s="838"/>
      <c r="CH443" s="838"/>
      <c r="CI443" s="838"/>
      <c r="CJ443" s="838"/>
      <c r="CK443" s="838"/>
      <c r="CL443" s="838"/>
      <c r="CM443" s="838"/>
      <c r="CN443" s="838"/>
      <c r="CO443" s="838"/>
      <c r="CP443" s="838"/>
      <c r="CQ443" s="838"/>
      <c r="CR443" s="838"/>
      <c r="CS443" s="838"/>
      <c r="CT443" s="838"/>
      <c r="CU443" s="838"/>
    </row>
    <row r="444">
      <c r="A444" s="834"/>
      <c r="B444" s="834"/>
      <c r="C444" s="834"/>
      <c r="D444" s="834"/>
      <c r="E444" s="834"/>
      <c r="F444" s="834"/>
      <c r="G444" s="834"/>
      <c r="H444" s="834"/>
      <c r="I444" s="834"/>
      <c r="J444" s="834"/>
      <c r="K444" s="834"/>
      <c r="L444" s="834"/>
      <c r="M444" s="834"/>
      <c r="N444" s="834"/>
      <c r="O444" s="834"/>
      <c r="P444" s="834"/>
      <c r="Q444" s="834"/>
      <c r="R444" s="834"/>
      <c r="S444" s="834"/>
      <c r="T444" s="834"/>
      <c r="U444" s="834"/>
      <c r="V444" s="834"/>
      <c r="W444" s="834"/>
      <c r="X444" s="834"/>
      <c r="Y444" s="834"/>
      <c r="Z444" s="834"/>
      <c r="AA444" s="834"/>
      <c r="AB444" s="834"/>
      <c r="AC444" s="834"/>
      <c r="AD444" s="834"/>
      <c r="AE444" s="834"/>
      <c r="AF444" s="834"/>
      <c r="AG444" s="834"/>
      <c r="AH444" s="834"/>
      <c r="AJ444" s="836"/>
      <c r="AK444" s="836"/>
      <c r="AL444" s="836"/>
      <c r="AM444" s="836"/>
      <c r="AN444" s="836"/>
      <c r="AO444" s="836"/>
      <c r="AP444" s="836"/>
      <c r="AQ444" s="836"/>
      <c r="AR444" s="836"/>
      <c r="AS444" s="836"/>
      <c r="AT444" s="836"/>
      <c r="AU444" s="836"/>
      <c r="AV444" s="836"/>
      <c r="AW444" s="836"/>
      <c r="AX444" s="836"/>
      <c r="AY444" s="836"/>
      <c r="AZ444" s="836"/>
      <c r="BA444" s="836"/>
      <c r="BB444" s="836"/>
      <c r="BC444" s="836"/>
      <c r="BD444" s="836"/>
      <c r="BE444" s="836"/>
      <c r="BF444" s="836"/>
      <c r="BG444" s="836"/>
      <c r="BH444" s="836"/>
      <c r="BI444" s="836"/>
      <c r="BJ444" s="836"/>
      <c r="BK444" s="836"/>
      <c r="BL444" s="836"/>
      <c r="BM444" s="836"/>
      <c r="BN444" s="836"/>
      <c r="BO444" s="836"/>
      <c r="BP444" s="836"/>
      <c r="BR444" s="838"/>
      <c r="BS444" s="838"/>
      <c r="BT444" s="838"/>
      <c r="BU444" s="838"/>
      <c r="BV444" s="838"/>
      <c r="BW444" s="838"/>
      <c r="BX444" s="838"/>
      <c r="BY444" s="838"/>
      <c r="BZ444" s="838"/>
      <c r="CA444" s="838"/>
      <c r="CB444" s="838"/>
      <c r="CC444" s="838"/>
      <c r="CD444" s="838"/>
      <c r="CE444" s="838"/>
      <c r="CF444" s="838"/>
      <c r="CG444" s="838"/>
      <c r="CH444" s="838"/>
      <c r="CI444" s="838"/>
      <c r="CJ444" s="838"/>
      <c r="CK444" s="838"/>
      <c r="CL444" s="838"/>
      <c r="CM444" s="838"/>
      <c r="CN444" s="838"/>
      <c r="CO444" s="838"/>
      <c r="CP444" s="838"/>
      <c r="CQ444" s="838"/>
      <c r="CR444" s="838"/>
      <c r="CS444" s="838"/>
      <c r="CT444" s="838"/>
      <c r="CU444" s="838"/>
    </row>
    <row r="445">
      <c r="A445" s="834"/>
      <c r="B445" s="834"/>
      <c r="C445" s="834"/>
      <c r="D445" s="834"/>
      <c r="E445" s="834"/>
      <c r="F445" s="834"/>
      <c r="G445" s="834"/>
      <c r="H445" s="834"/>
      <c r="I445" s="834"/>
      <c r="J445" s="834"/>
      <c r="K445" s="834"/>
      <c r="L445" s="834"/>
      <c r="M445" s="834"/>
      <c r="N445" s="834"/>
      <c r="O445" s="834"/>
      <c r="P445" s="834"/>
      <c r="Q445" s="834"/>
      <c r="R445" s="834"/>
      <c r="S445" s="834"/>
      <c r="T445" s="834"/>
      <c r="U445" s="834"/>
      <c r="V445" s="834"/>
      <c r="W445" s="834"/>
      <c r="X445" s="834"/>
      <c r="Y445" s="834"/>
      <c r="Z445" s="834"/>
      <c r="AA445" s="834"/>
      <c r="AB445" s="834"/>
      <c r="AC445" s="834"/>
      <c r="AD445" s="834"/>
      <c r="AE445" s="834"/>
      <c r="AF445" s="834"/>
      <c r="AG445" s="834"/>
      <c r="AH445" s="834"/>
      <c r="AJ445" s="836"/>
      <c r="AK445" s="836"/>
      <c r="AL445" s="836"/>
      <c r="AM445" s="836"/>
      <c r="AN445" s="836"/>
      <c r="AO445" s="836"/>
      <c r="AP445" s="836"/>
      <c r="AQ445" s="836"/>
      <c r="AR445" s="836"/>
      <c r="AS445" s="836"/>
      <c r="AT445" s="836"/>
      <c r="AU445" s="836"/>
      <c r="AV445" s="836"/>
      <c r="AW445" s="836"/>
      <c r="AX445" s="836"/>
      <c r="AY445" s="836"/>
      <c r="AZ445" s="836"/>
      <c r="BA445" s="836"/>
      <c r="BB445" s="836"/>
      <c r="BC445" s="836"/>
      <c r="BD445" s="836"/>
      <c r="BE445" s="836"/>
      <c r="BF445" s="836"/>
      <c r="BG445" s="836"/>
      <c r="BH445" s="836"/>
      <c r="BI445" s="836"/>
      <c r="BJ445" s="836"/>
      <c r="BK445" s="836"/>
      <c r="BL445" s="836"/>
      <c r="BM445" s="836"/>
      <c r="BN445" s="836"/>
      <c r="BO445" s="836"/>
      <c r="BP445" s="836"/>
      <c r="BR445" s="838"/>
      <c r="BS445" s="838"/>
      <c r="BT445" s="838"/>
      <c r="BU445" s="838"/>
      <c r="BV445" s="838"/>
      <c r="BW445" s="838"/>
      <c r="BX445" s="838"/>
      <c r="BY445" s="838"/>
      <c r="BZ445" s="838"/>
      <c r="CA445" s="838"/>
      <c r="CB445" s="838"/>
      <c r="CC445" s="838"/>
      <c r="CD445" s="838"/>
      <c r="CE445" s="838"/>
      <c r="CF445" s="838"/>
      <c r="CG445" s="838"/>
      <c r="CH445" s="838"/>
      <c r="CI445" s="838"/>
      <c r="CJ445" s="838"/>
      <c r="CK445" s="838"/>
      <c r="CL445" s="838"/>
      <c r="CM445" s="838"/>
      <c r="CN445" s="838"/>
      <c r="CO445" s="838"/>
      <c r="CP445" s="838"/>
      <c r="CQ445" s="838"/>
      <c r="CR445" s="838"/>
      <c r="CS445" s="838"/>
      <c r="CT445" s="838"/>
      <c r="CU445" s="838"/>
    </row>
    <row r="446">
      <c r="A446" s="834"/>
      <c r="B446" s="834"/>
      <c r="C446" s="834"/>
      <c r="D446" s="834"/>
      <c r="E446" s="834"/>
      <c r="F446" s="834"/>
      <c r="G446" s="834"/>
      <c r="H446" s="834"/>
      <c r="I446" s="834"/>
      <c r="J446" s="834"/>
      <c r="K446" s="834"/>
      <c r="L446" s="834"/>
      <c r="M446" s="834"/>
      <c r="N446" s="834"/>
      <c r="O446" s="834"/>
      <c r="P446" s="834"/>
      <c r="Q446" s="834"/>
      <c r="R446" s="834"/>
      <c r="S446" s="834"/>
      <c r="T446" s="834"/>
      <c r="U446" s="834"/>
      <c r="V446" s="834"/>
      <c r="W446" s="834"/>
      <c r="X446" s="834"/>
      <c r="Y446" s="834"/>
      <c r="Z446" s="834"/>
      <c r="AA446" s="834"/>
      <c r="AB446" s="834"/>
      <c r="AC446" s="834"/>
      <c r="AD446" s="834"/>
      <c r="AE446" s="834"/>
      <c r="AF446" s="834"/>
      <c r="AG446" s="834"/>
      <c r="AH446" s="834"/>
      <c r="AJ446" s="836"/>
      <c r="AK446" s="836"/>
      <c r="AL446" s="836"/>
      <c r="AM446" s="836"/>
      <c r="AN446" s="836"/>
      <c r="AO446" s="836"/>
      <c r="AP446" s="836"/>
      <c r="AQ446" s="836"/>
      <c r="AR446" s="836"/>
      <c r="AS446" s="836"/>
      <c r="AT446" s="836"/>
      <c r="AU446" s="836"/>
      <c r="AV446" s="836"/>
      <c r="AW446" s="836"/>
      <c r="AX446" s="836"/>
      <c r="AY446" s="836"/>
      <c r="AZ446" s="836"/>
      <c r="BA446" s="836"/>
      <c r="BB446" s="836"/>
      <c r="BC446" s="836"/>
      <c r="BD446" s="836"/>
      <c r="BE446" s="836"/>
      <c r="BF446" s="836"/>
      <c r="BG446" s="836"/>
      <c r="BH446" s="836"/>
      <c r="BI446" s="836"/>
      <c r="BJ446" s="836"/>
      <c r="BK446" s="836"/>
      <c r="BL446" s="836"/>
      <c r="BM446" s="836"/>
      <c r="BN446" s="836"/>
      <c r="BO446" s="836"/>
      <c r="BP446" s="836"/>
      <c r="BR446" s="838"/>
      <c r="BS446" s="838"/>
      <c r="BT446" s="838"/>
      <c r="BU446" s="838"/>
      <c r="BV446" s="838"/>
      <c r="BW446" s="838"/>
      <c r="BX446" s="838"/>
      <c r="BY446" s="838"/>
      <c r="BZ446" s="838"/>
      <c r="CA446" s="838"/>
      <c r="CB446" s="838"/>
      <c r="CC446" s="838"/>
      <c r="CD446" s="838"/>
      <c r="CE446" s="838"/>
      <c r="CF446" s="838"/>
      <c r="CG446" s="838"/>
      <c r="CH446" s="838"/>
      <c r="CI446" s="838"/>
      <c r="CJ446" s="838"/>
      <c r="CK446" s="838"/>
      <c r="CL446" s="838"/>
      <c r="CM446" s="838"/>
      <c r="CN446" s="838"/>
      <c r="CO446" s="838"/>
      <c r="CP446" s="838"/>
      <c r="CQ446" s="838"/>
      <c r="CR446" s="838"/>
      <c r="CS446" s="838"/>
      <c r="CT446" s="838"/>
      <c r="CU446" s="838"/>
    </row>
    <row r="447">
      <c r="A447" s="834"/>
      <c r="B447" s="834"/>
      <c r="C447" s="834"/>
      <c r="D447" s="834"/>
      <c r="E447" s="834"/>
      <c r="F447" s="834"/>
      <c r="G447" s="834"/>
      <c r="H447" s="834"/>
      <c r="I447" s="834"/>
      <c r="J447" s="834"/>
      <c r="K447" s="834"/>
      <c r="L447" s="834"/>
      <c r="M447" s="834"/>
      <c r="N447" s="834"/>
      <c r="O447" s="834"/>
      <c r="P447" s="834"/>
      <c r="Q447" s="834"/>
      <c r="R447" s="834"/>
      <c r="S447" s="834"/>
      <c r="T447" s="834"/>
      <c r="U447" s="834"/>
      <c r="V447" s="834"/>
      <c r="W447" s="834"/>
      <c r="X447" s="834"/>
      <c r="Y447" s="834"/>
      <c r="Z447" s="834"/>
      <c r="AA447" s="834"/>
      <c r="AB447" s="834"/>
      <c r="AC447" s="834"/>
      <c r="AD447" s="834"/>
      <c r="AE447" s="834"/>
      <c r="AF447" s="834"/>
      <c r="AG447" s="834"/>
      <c r="AH447" s="834"/>
      <c r="AJ447" s="836"/>
      <c r="AK447" s="836"/>
      <c r="AL447" s="836"/>
      <c r="AM447" s="836"/>
      <c r="AN447" s="836"/>
      <c r="AO447" s="836"/>
      <c r="AP447" s="836"/>
      <c r="AQ447" s="836"/>
      <c r="AR447" s="836"/>
      <c r="AS447" s="836"/>
      <c r="AT447" s="836"/>
      <c r="AU447" s="836"/>
      <c r="AV447" s="836"/>
      <c r="AW447" s="836"/>
      <c r="AX447" s="836"/>
      <c r="AY447" s="836"/>
      <c r="AZ447" s="836"/>
      <c r="BA447" s="836"/>
      <c r="BB447" s="836"/>
      <c r="BC447" s="836"/>
      <c r="BD447" s="836"/>
      <c r="BE447" s="836"/>
      <c r="BF447" s="836"/>
      <c r="BG447" s="836"/>
      <c r="BH447" s="836"/>
      <c r="BI447" s="836"/>
      <c r="BJ447" s="836"/>
      <c r="BK447" s="836"/>
      <c r="BL447" s="836"/>
      <c r="BM447" s="836"/>
      <c r="BN447" s="836"/>
      <c r="BO447" s="836"/>
      <c r="BP447" s="836"/>
      <c r="BR447" s="838"/>
      <c r="BS447" s="838"/>
      <c r="BT447" s="838"/>
      <c r="BU447" s="838"/>
      <c r="BV447" s="838"/>
      <c r="BW447" s="838"/>
      <c r="BX447" s="838"/>
      <c r="BY447" s="838"/>
      <c r="BZ447" s="838"/>
      <c r="CA447" s="838"/>
      <c r="CB447" s="838"/>
      <c r="CC447" s="838"/>
      <c r="CD447" s="838"/>
      <c r="CE447" s="838"/>
      <c r="CF447" s="838"/>
      <c r="CG447" s="838"/>
      <c r="CH447" s="838"/>
      <c r="CI447" s="838"/>
      <c r="CJ447" s="838"/>
      <c r="CK447" s="838"/>
      <c r="CL447" s="838"/>
      <c r="CM447" s="838"/>
      <c r="CN447" s="838"/>
      <c r="CO447" s="838"/>
      <c r="CP447" s="838"/>
      <c r="CQ447" s="838"/>
      <c r="CR447" s="838"/>
      <c r="CS447" s="838"/>
      <c r="CT447" s="838"/>
      <c r="CU447" s="838"/>
    </row>
    <row r="448">
      <c r="A448" s="834"/>
      <c r="B448" s="834"/>
      <c r="C448" s="834"/>
      <c r="D448" s="834"/>
      <c r="E448" s="834"/>
      <c r="F448" s="834"/>
      <c r="G448" s="834"/>
      <c r="H448" s="834"/>
      <c r="I448" s="834"/>
      <c r="J448" s="834"/>
      <c r="K448" s="834"/>
      <c r="L448" s="834"/>
      <c r="M448" s="834"/>
      <c r="N448" s="834"/>
      <c r="O448" s="834"/>
      <c r="P448" s="834"/>
      <c r="Q448" s="834"/>
      <c r="R448" s="834"/>
      <c r="S448" s="834"/>
      <c r="T448" s="834"/>
      <c r="U448" s="834"/>
      <c r="V448" s="834"/>
      <c r="W448" s="834"/>
      <c r="X448" s="834"/>
      <c r="Y448" s="834"/>
      <c r="Z448" s="834"/>
      <c r="AA448" s="834"/>
      <c r="AB448" s="834"/>
      <c r="AC448" s="834"/>
      <c r="AD448" s="834"/>
      <c r="AE448" s="834"/>
      <c r="AF448" s="834"/>
      <c r="AG448" s="834"/>
      <c r="AH448" s="834"/>
      <c r="AJ448" s="836"/>
      <c r="AK448" s="836"/>
      <c r="AL448" s="836"/>
      <c r="AM448" s="836"/>
      <c r="AN448" s="836"/>
      <c r="AO448" s="836"/>
      <c r="AP448" s="836"/>
      <c r="AQ448" s="836"/>
      <c r="AR448" s="836"/>
      <c r="AS448" s="836"/>
      <c r="AT448" s="836"/>
      <c r="AU448" s="836"/>
      <c r="AV448" s="836"/>
      <c r="AW448" s="836"/>
      <c r="AX448" s="836"/>
      <c r="AY448" s="836"/>
      <c r="AZ448" s="836"/>
      <c r="BA448" s="836"/>
      <c r="BB448" s="836"/>
      <c r="BC448" s="836"/>
      <c r="BD448" s="836"/>
      <c r="BE448" s="836"/>
      <c r="BF448" s="836"/>
      <c r="BG448" s="836"/>
      <c r="BH448" s="836"/>
      <c r="BI448" s="836"/>
      <c r="BJ448" s="836"/>
      <c r="BK448" s="836"/>
      <c r="BL448" s="836"/>
      <c r="BM448" s="836"/>
      <c r="BN448" s="836"/>
      <c r="BO448" s="836"/>
      <c r="BP448" s="836"/>
      <c r="BR448" s="838"/>
      <c r="BS448" s="838"/>
      <c r="BT448" s="838"/>
      <c r="BU448" s="838"/>
      <c r="BV448" s="838"/>
      <c r="BW448" s="838"/>
      <c r="BX448" s="838"/>
      <c r="BY448" s="838"/>
      <c r="BZ448" s="838"/>
      <c r="CA448" s="838"/>
      <c r="CB448" s="838"/>
      <c r="CC448" s="838"/>
      <c r="CD448" s="838"/>
      <c r="CE448" s="838"/>
      <c r="CF448" s="838"/>
      <c r="CG448" s="838"/>
      <c r="CH448" s="838"/>
      <c r="CI448" s="838"/>
      <c r="CJ448" s="838"/>
      <c r="CK448" s="838"/>
      <c r="CL448" s="838"/>
      <c r="CM448" s="838"/>
      <c r="CN448" s="838"/>
      <c r="CO448" s="838"/>
      <c r="CP448" s="838"/>
      <c r="CQ448" s="838"/>
      <c r="CR448" s="838"/>
      <c r="CS448" s="838"/>
      <c r="CT448" s="838"/>
      <c r="CU448" s="838"/>
    </row>
    <row r="449">
      <c r="A449" s="834"/>
      <c r="B449" s="834"/>
      <c r="C449" s="834"/>
      <c r="D449" s="834"/>
      <c r="E449" s="834"/>
      <c r="F449" s="834"/>
      <c r="G449" s="834"/>
      <c r="H449" s="834"/>
      <c r="I449" s="834"/>
      <c r="J449" s="834"/>
      <c r="K449" s="834"/>
      <c r="L449" s="834"/>
      <c r="M449" s="834"/>
      <c r="N449" s="834"/>
      <c r="O449" s="834"/>
      <c r="P449" s="834"/>
      <c r="Q449" s="834"/>
      <c r="R449" s="834"/>
      <c r="S449" s="834"/>
      <c r="T449" s="834"/>
      <c r="U449" s="834"/>
      <c r="V449" s="834"/>
      <c r="W449" s="834"/>
      <c r="X449" s="834"/>
      <c r="Y449" s="834"/>
      <c r="Z449" s="834"/>
      <c r="AA449" s="834"/>
      <c r="AB449" s="834"/>
      <c r="AC449" s="834"/>
      <c r="AD449" s="834"/>
      <c r="AE449" s="834"/>
      <c r="AF449" s="834"/>
      <c r="AG449" s="834"/>
      <c r="AH449" s="834"/>
      <c r="AJ449" s="836"/>
      <c r="AK449" s="836"/>
      <c r="AL449" s="836"/>
      <c r="AM449" s="836"/>
      <c r="AN449" s="836"/>
      <c r="AO449" s="836"/>
      <c r="AP449" s="836"/>
      <c r="AQ449" s="836"/>
      <c r="AR449" s="836"/>
      <c r="AS449" s="836"/>
      <c r="AT449" s="836"/>
      <c r="AU449" s="836"/>
      <c r="AV449" s="836"/>
      <c r="AW449" s="836"/>
      <c r="AX449" s="836"/>
      <c r="AY449" s="836"/>
      <c r="AZ449" s="836"/>
      <c r="BA449" s="836"/>
      <c r="BB449" s="836"/>
      <c r="BC449" s="836"/>
      <c r="BD449" s="836"/>
      <c r="BE449" s="836"/>
      <c r="BF449" s="836"/>
      <c r="BG449" s="836"/>
      <c r="BH449" s="836"/>
      <c r="BI449" s="836"/>
      <c r="BJ449" s="836"/>
      <c r="BK449" s="836"/>
      <c r="BL449" s="836"/>
      <c r="BM449" s="836"/>
      <c r="BN449" s="836"/>
      <c r="BO449" s="836"/>
      <c r="BP449" s="836"/>
      <c r="BR449" s="838"/>
      <c r="BS449" s="838"/>
      <c r="BT449" s="838"/>
      <c r="BU449" s="838"/>
      <c r="BV449" s="838"/>
      <c r="BW449" s="838"/>
      <c r="BX449" s="838"/>
      <c r="BY449" s="838"/>
      <c r="BZ449" s="838"/>
      <c r="CA449" s="838"/>
      <c r="CB449" s="838"/>
      <c r="CC449" s="838"/>
      <c r="CD449" s="838"/>
      <c r="CE449" s="838"/>
      <c r="CF449" s="838"/>
      <c r="CG449" s="838"/>
      <c r="CH449" s="838"/>
      <c r="CI449" s="838"/>
      <c r="CJ449" s="838"/>
      <c r="CK449" s="838"/>
      <c r="CL449" s="838"/>
      <c r="CM449" s="838"/>
      <c r="CN449" s="838"/>
      <c r="CO449" s="838"/>
      <c r="CP449" s="838"/>
      <c r="CQ449" s="838"/>
      <c r="CR449" s="838"/>
      <c r="CS449" s="838"/>
      <c r="CT449" s="838"/>
      <c r="CU449" s="838"/>
    </row>
    <row r="450">
      <c r="A450" s="834"/>
      <c r="B450" s="834"/>
      <c r="C450" s="834"/>
      <c r="D450" s="834"/>
      <c r="E450" s="834"/>
      <c r="F450" s="834"/>
      <c r="G450" s="834"/>
      <c r="H450" s="834"/>
      <c r="I450" s="834"/>
      <c r="J450" s="834"/>
      <c r="K450" s="834"/>
      <c r="L450" s="834"/>
      <c r="M450" s="834"/>
      <c r="N450" s="834"/>
      <c r="O450" s="834"/>
      <c r="P450" s="834"/>
      <c r="Q450" s="834"/>
      <c r="R450" s="834"/>
      <c r="S450" s="834"/>
      <c r="T450" s="834"/>
      <c r="U450" s="834"/>
      <c r="V450" s="834"/>
      <c r="W450" s="834"/>
      <c r="X450" s="834"/>
      <c r="Y450" s="834"/>
      <c r="Z450" s="834"/>
      <c r="AA450" s="834"/>
      <c r="AB450" s="834"/>
      <c r="AC450" s="834"/>
      <c r="AD450" s="834"/>
      <c r="AE450" s="834"/>
      <c r="AF450" s="834"/>
      <c r="AG450" s="834"/>
      <c r="AH450" s="834"/>
      <c r="AJ450" s="836"/>
      <c r="AK450" s="836"/>
      <c r="AL450" s="836"/>
      <c r="AM450" s="836"/>
      <c r="AN450" s="836"/>
      <c r="AO450" s="836"/>
      <c r="AP450" s="836"/>
      <c r="AQ450" s="836"/>
      <c r="AR450" s="836"/>
      <c r="AS450" s="836"/>
      <c r="AT450" s="836"/>
      <c r="AU450" s="836"/>
      <c r="AV450" s="836"/>
      <c r="AW450" s="836"/>
      <c r="AX450" s="836"/>
      <c r="AY450" s="836"/>
      <c r="AZ450" s="836"/>
      <c r="BA450" s="836"/>
      <c r="BB450" s="836"/>
      <c r="BC450" s="836"/>
      <c r="BD450" s="836"/>
      <c r="BE450" s="836"/>
      <c r="BF450" s="836"/>
      <c r="BG450" s="836"/>
      <c r="BH450" s="836"/>
      <c r="BI450" s="836"/>
      <c r="BJ450" s="836"/>
      <c r="BK450" s="836"/>
      <c r="BL450" s="836"/>
      <c r="BM450" s="836"/>
      <c r="BN450" s="836"/>
      <c r="BO450" s="836"/>
      <c r="BP450" s="836"/>
      <c r="BR450" s="838"/>
      <c r="BS450" s="838"/>
      <c r="BT450" s="838"/>
      <c r="BU450" s="838"/>
      <c r="BV450" s="838"/>
      <c r="BW450" s="838"/>
      <c r="BX450" s="838"/>
      <c r="BY450" s="838"/>
      <c r="BZ450" s="838"/>
      <c r="CA450" s="838"/>
      <c r="CB450" s="838"/>
      <c r="CC450" s="838"/>
      <c r="CD450" s="838"/>
      <c r="CE450" s="838"/>
      <c r="CF450" s="838"/>
      <c r="CG450" s="838"/>
      <c r="CH450" s="838"/>
      <c r="CI450" s="838"/>
      <c r="CJ450" s="838"/>
      <c r="CK450" s="838"/>
      <c r="CL450" s="838"/>
      <c r="CM450" s="838"/>
      <c r="CN450" s="838"/>
      <c r="CO450" s="838"/>
      <c r="CP450" s="838"/>
      <c r="CQ450" s="838"/>
      <c r="CR450" s="838"/>
      <c r="CS450" s="838"/>
      <c r="CT450" s="838"/>
      <c r="CU450" s="838"/>
    </row>
    <row r="451">
      <c r="A451" s="834"/>
      <c r="B451" s="834"/>
      <c r="C451" s="834"/>
      <c r="D451" s="834"/>
      <c r="E451" s="834"/>
      <c r="F451" s="834"/>
      <c r="G451" s="834"/>
      <c r="H451" s="834"/>
      <c r="I451" s="834"/>
      <c r="J451" s="834"/>
      <c r="K451" s="834"/>
      <c r="L451" s="834"/>
      <c r="M451" s="834"/>
      <c r="N451" s="834"/>
      <c r="O451" s="834"/>
      <c r="P451" s="834"/>
      <c r="Q451" s="834"/>
      <c r="R451" s="834"/>
      <c r="S451" s="834"/>
      <c r="T451" s="834"/>
      <c r="U451" s="834"/>
      <c r="V451" s="834"/>
      <c r="W451" s="834"/>
      <c r="X451" s="834"/>
      <c r="Y451" s="834"/>
      <c r="Z451" s="834"/>
      <c r="AA451" s="834"/>
      <c r="AB451" s="834"/>
      <c r="AC451" s="834"/>
      <c r="AD451" s="834"/>
      <c r="AE451" s="834"/>
      <c r="AF451" s="834"/>
      <c r="AG451" s="834"/>
      <c r="AH451" s="834"/>
      <c r="AJ451" s="836"/>
      <c r="AK451" s="836"/>
      <c r="AL451" s="836"/>
      <c r="AM451" s="836"/>
      <c r="AN451" s="836"/>
      <c r="AO451" s="836"/>
      <c r="AP451" s="836"/>
      <c r="AQ451" s="836"/>
      <c r="AR451" s="836"/>
      <c r="AS451" s="836"/>
      <c r="AT451" s="836"/>
      <c r="AU451" s="836"/>
      <c r="AV451" s="836"/>
      <c r="AW451" s="836"/>
      <c r="AX451" s="836"/>
      <c r="AY451" s="836"/>
      <c r="AZ451" s="836"/>
      <c r="BA451" s="836"/>
      <c r="BB451" s="836"/>
      <c r="BC451" s="836"/>
      <c r="BD451" s="836"/>
      <c r="BE451" s="836"/>
      <c r="BF451" s="836"/>
      <c r="BG451" s="836"/>
      <c r="BH451" s="836"/>
      <c r="BI451" s="836"/>
      <c r="BJ451" s="836"/>
      <c r="BK451" s="836"/>
      <c r="BL451" s="836"/>
      <c r="BM451" s="836"/>
      <c r="BN451" s="836"/>
      <c r="BO451" s="836"/>
      <c r="BP451" s="836"/>
      <c r="BR451" s="838"/>
      <c r="BS451" s="838"/>
      <c r="BT451" s="838"/>
      <c r="BU451" s="838"/>
      <c r="BV451" s="838"/>
      <c r="BW451" s="838"/>
      <c r="BX451" s="838"/>
      <c r="BY451" s="838"/>
      <c r="BZ451" s="838"/>
      <c r="CA451" s="838"/>
      <c r="CB451" s="838"/>
      <c r="CC451" s="838"/>
      <c r="CD451" s="838"/>
      <c r="CE451" s="838"/>
      <c r="CF451" s="838"/>
      <c r="CG451" s="838"/>
      <c r="CH451" s="838"/>
      <c r="CI451" s="838"/>
      <c r="CJ451" s="838"/>
      <c r="CK451" s="838"/>
      <c r="CL451" s="838"/>
      <c r="CM451" s="838"/>
      <c r="CN451" s="838"/>
      <c r="CO451" s="838"/>
      <c r="CP451" s="838"/>
      <c r="CQ451" s="838"/>
      <c r="CR451" s="838"/>
      <c r="CS451" s="838"/>
      <c r="CT451" s="838"/>
      <c r="CU451" s="838"/>
    </row>
    <row r="452">
      <c r="A452" s="834"/>
      <c r="B452" s="834"/>
      <c r="C452" s="834"/>
      <c r="D452" s="834"/>
      <c r="E452" s="834"/>
      <c r="F452" s="834"/>
      <c r="G452" s="834"/>
      <c r="H452" s="834"/>
      <c r="I452" s="834"/>
      <c r="J452" s="834"/>
      <c r="K452" s="834"/>
      <c r="L452" s="834"/>
      <c r="M452" s="834"/>
      <c r="N452" s="834"/>
      <c r="O452" s="834"/>
      <c r="P452" s="834"/>
      <c r="Q452" s="834"/>
      <c r="R452" s="834"/>
      <c r="S452" s="834"/>
      <c r="T452" s="834"/>
      <c r="U452" s="834"/>
      <c r="V452" s="834"/>
      <c r="W452" s="834"/>
      <c r="X452" s="834"/>
      <c r="Y452" s="834"/>
      <c r="Z452" s="834"/>
      <c r="AA452" s="834"/>
      <c r="AB452" s="834"/>
      <c r="AC452" s="834"/>
      <c r="AD452" s="834"/>
      <c r="AE452" s="834"/>
      <c r="AF452" s="834"/>
      <c r="AG452" s="834"/>
      <c r="AH452" s="834"/>
      <c r="AJ452" s="836"/>
      <c r="AK452" s="836"/>
      <c r="AL452" s="836"/>
      <c r="AM452" s="836"/>
      <c r="AN452" s="836"/>
      <c r="AO452" s="836"/>
      <c r="AP452" s="836"/>
      <c r="AQ452" s="836"/>
      <c r="AR452" s="836"/>
      <c r="AS452" s="836"/>
      <c r="AT452" s="836"/>
      <c r="AU452" s="836"/>
      <c r="AV452" s="836"/>
      <c r="AW452" s="836"/>
      <c r="AX452" s="836"/>
      <c r="AY452" s="836"/>
      <c r="AZ452" s="836"/>
      <c r="BA452" s="836"/>
      <c r="BB452" s="836"/>
      <c r="BC452" s="836"/>
      <c r="BD452" s="836"/>
      <c r="BE452" s="836"/>
      <c r="BF452" s="836"/>
      <c r="BG452" s="836"/>
      <c r="BH452" s="836"/>
      <c r="BI452" s="836"/>
      <c r="BJ452" s="836"/>
      <c r="BK452" s="836"/>
      <c r="BL452" s="836"/>
      <c r="BM452" s="836"/>
      <c r="BN452" s="836"/>
      <c r="BO452" s="836"/>
      <c r="BP452" s="836"/>
      <c r="BR452" s="838"/>
      <c r="BS452" s="838"/>
      <c r="BT452" s="838"/>
      <c r="BU452" s="838"/>
      <c r="BV452" s="838"/>
      <c r="BW452" s="838"/>
      <c r="BX452" s="838"/>
      <c r="BY452" s="838"/>
      <c r="BZ452" s="838"/>
      <c r="CA452" s="838"/>
      <c r="CB452" s="838"/>
      <c r="CC452" s="838"/>
      <c r="CD452" s="838"/>
      <c r="CE452" s="838"/>
      <c r="CF452" s="838"/>
      <c r="CG452" s="838"/>
      <c r="CH452" s="838"/>
      <c r="CI452" s="838"/>
      <c r="CJ452" s="838"/>
      <c r="CK452" s="838"/>
      <c r="CL452" s="838"/>
      <c r="CM452" s="838"/>
      <c r="CN452" s="838"/>
      <c r="CO452" s="838"/>
      <c r="CP452" s="838"/>
      <c r="CQ452" s="838"/>
      <c r="CR452" s="838"/>
      <c r="CS452" s="838"/>
      <c r="CT452" s="838"/>
      <c r="CU452" s="838"/>
    </row>
    <row r="453">
      <c r="A453" s="834"/>
      <c r="B453" s="834"/>
      <c r="C453" s="834"/>
      <c r="D453" s="834"/>
      <c r="E453" s="834"/>
      <c r="F453" s="834"/>
      <c r="G453" s="834"/>
      <c r="H453" s="834"/>
      <c r="I453" s="834"/>
      <c r="J453" s="834"/>
      <c r="K453" s="834"/>
      <c r="L453" s="834"/>
      <c r="M453" s="834"/>
      <c r="N453" s="834"/>
      <c r="O453" s="834"/>
      <c r="P453" s="834"/>
      <c r="Q453" s="834"/>
      <c r="R453" s="834"/>
      <c r="S453" s="834"/>
      <c r="T453" s="834"/>
      <c r="U453" s="834"/>
      <c r="V453" s="834"/>
      <c r="W453" s="834"/>
      <c r="X453" s="834"/>
      <c r="Y453" s="834"/>
      <c r="Z453" s="834"/>
      <c r="AA453" s="834"/>
      <c r="AB453" s="834"/>
      <c r="AC453" s="834"/>
      <c r="AD453" s="834"/>
      <c r="AE453" s="834"/>
      <c r="AF453" s="834"/>
      <c r="AG453" s="834"/>
      <c r="AH453" s="834"/>
      <c r="AJ453" s="836"/>
      <c r="AK453" s="836"/>
      <c r="AL453" s="836"/>
      <c r="AM453" s="836"/>
      <c r="AN453" s="836"/>
      <c r="AO453" s="836"/>
      <c r="AP453" s="836"/>
      <c r="AQ453" s="836"/>
      <c r="AR453" s="836"/>
      <c r="AS453" s="836"/>
      <c r="AT453" s="836"/>
      <c r="AU453" s="836"/>
      <c r="AV453" s="836"/>
      <c r="AW453" s="836"/>
      <c r="AX453" s="836"/>
      <c r="AY453" s="836"/>
      <c r="AZ453" s="836"/>
      <c r="BA453" s="836"/>
      <c r="BB453" s="836"/>
      <c r="BC453" s="836"/>
      <c r="BD453" s="836"/>
      <c r="BE453" s="836"/>
      <c r="BF453" s="836"/>
      <c r="BG453" s="836"/>
      <c r="BH453" s="836"/>
      <c r="BI453" s="836"/>
      <c r="BJ453" s="836"/>
      <c r="BK453" s="836"/>
      <c r="BL453" s="836"/>
      <c r="BM453" s="836"/>
      <c r="BN453" s="836"/>
      <c r="BO453" s="836"/>
      <c r="BP453" s="836"/>
      <c r="BR453" s="838"/>
      <c r="BS453" s="838"/>
      <c r="BT453" s="838"/>
      <c r="BU453" s="838"/>
      <c r="BV453" s="838"/>
      <c r="BW453" s="838"/>
      <c r="BX453" s="838"/>
      <c r="BY453" s="838"/>
      <c r="BZ453" s="838"/>
      <c r="CA453" s="838"/>
      <c r="CB453" s="838"/>
      <c r="CC453" s="838"/>
      <c r="CD453" s="838"/>
      <c r="CE453" s="838"/>
      <c r="CF453" s="838"/>
      <c r="CG453" s="838"/>
      <c r="CH453" s="838"/>
      <c r="CI453" s="838"/>
      <c r="CJ453" s="838"/>
      <c r="CK453" s="838"/>
      <c r="CL453" s="838"/>
      <c r="CM453" s="838"/>
      <c r="CN453" s="838"/>
      <c r="CO453" s="838"/>
      <c r="CP453" s="838"/>
      <c r="CQ453" s="838"/>
      <c r="CR453" s="838"/>
      <c r="CS453" s="838"/>
      <c r="CT453" s="838"/>
      <c r="CU453" s="838"/>
    </row>
    <row r="454">
      <c r="A454" s="834"/>
      <c r="B454" s="834"/>
      <c r="C454" s="834"/>
      <c r="D454" s="834"/>
      <c r="E454" s="834"/>
      <c r="F454" s="834"/>
      <c r="G454" s="834"/>
      <c r="H454" s="834"/>
      <c r="I454" s="834"/>
      <c r="J454" s="834"/>
      <c r="K454" s="834"/>
      <c r="L454" s="834"/>
      <c r="M454" s="834"/>
      <c r="N454" s="834"/>
      <c r="O454" s="834"/>
      <c r="P454" s="834"/>
      <c r="Q454" s="834"/>
      <c r="R454" s="834"/>
      <c r="S454" s="834"/>
      <c r="T454" s="834"/>
      <c r="U454" s="834"/>
      <c r="V454" s="834"/>
      <c r="W454" s="834"/>
      <c r="X454" s="834"/>
      <c r="Y454" s="834"/>
      <c r="Z454" s="834"/>
      <c r="AA454" s="834"/>
      <c r="AB454" s="834"/>
      <c r="AC454" s="834"/>
      <c r="AD454" s="834"/>
      <c r="AE454" s="834"/>
      <c r="AF454" s="834"/>
      <c r="AG454" s="834"/>
      <c r="AH454" s="834"/>
      <c r="AJ454" s="836"/>
      <c r="AK454" s="836"/>
      <c r="AL454" s="836"/>
      <c r="AM454" s="836"/>
      <c r="AN454" s="836"/>
      <c r="AO454" s="836"/>
      <c r="AP454" s="836"/>
      <c r="AQ454" s="836"/>
      <c r="AR454" s="836"/>
      <c r="AS454" s="836"/>
      <c r="AT454" s="836"/>
      <c r="AU454" s="836"/>
      <c r="AV454" s="836"/>
      <c r="AW454" s="836"/>
      <c r="AX454" s="836"/>
      <c r="AY454" s="836"/>
      <c r="AZ454" s="836"/>
      <c r="BA454" s="836"/>
      <c r="BB454" s="836"/>
      <c r="BC454" s="836"/>
      <c r="BD454" s="836"/>
      <c r="BE454" s="836"/>
      <c r="BF454" s="836"/>
      <c r="BG454" s="836"/>
      <c r="BH454" s="836"/>
      <c r="BI454" s="836"/>
      <c r="BJ454" s="836"/>
      <c r="BK454" s="836"/>
      <c r="BL454" s="836"/>
      <c r="BM454" s="836"/>
      <c r="BN454" s="836"/>
      <c r="BO454" s="836"/>
      <c r="BP454" s="836"/>
      <c r="BR454" s="838"/>
      <c r="BS454" s="838"/>
      <c r="BT454" s="838"/>
      <c r="BU454" s="838"/>
      <c r="BV454" s="838"/>
      <c r="BW454" s="838"/>
      <c r="BX454" s="838"/>
      <c r="BY454" s="838"/>
      <c r="BZ454" s="838"/>
      <c r="CA454" s="838"/>
      <c r="CB454" s="838"/>
      <c r="CC454" s="838"/>
      <c r="CD454" s="838"/>
      <c r="CE454" s="838"/>
      <c r="CF454" s="838"/>
      <c r="CG454" s="838"/>
      <c r="CH454" s="838"/>
      <c r="CI454" s="838"/>
      <c r="CJ454" s="838"/>
      <c r="CK454" s="838"/>
      <c r="CL454" s="838"/>
      <c r="CM454" s="838"/>
      <c r="CN454" s="838"/>
      <c r="CO454" s="838"/>
      <c r="CP454" s="838"/>
      <c r="CQ454" s="838"/>
      <c r="CR454" s="838"/>
      <c r="CS454" s="838"/>
      <c r="CT454" s="838"/>
      <c r="CU454" s="838"/>
    </row>
    <row r="455">
      <c r="A455" s="834"/>
      <c r="B455" s="834"/>
      <c r="C455" s="834"/>
      <c r="D455" s="834"/>
      <c r="E455" s="834"/>
      <c r="F455" s="834"/>
      <c r="G455" s="834"/>
      <c r="H455" s="834"/>
      <c r="I455" s="834"/>
      <c r="J455" s="834"/>
      <c r="K455" s="834"/>
      <c r="L455" s="834"/>
      <c r="M455" s="834"/>
      <c r="N455" s="834"/>
      <c r="O455" s="834"/>
      <c r="P455" s="834"/>
      <c r="Q455" s="834"/>
      <c r="R455" s="834"/>
      <c r="S455" s="834"/>
      <c r="T455" s="834"/>
      <c r="U455" s="834"/>
      <c r="V455" s="834"/>
      <c r="W455" s="834"/>
      <c r="X455" s="834"/>
      <c r="Y455" s="834"/>
      <c r="Z455" s="834"/>
      <c r="AA455" s="834"/>
      <c r="AB455" s="834"/>
      <c r="AC455" s="834"/>
      <c r="AD455" s="834"/>
      <c r="AE455" s="834"/>
      <c r="AF455" s="834"/>
      <c r="AG455" s="834"/>
      <c r="AH455" s="834"/>
      <c r="AJ455" s="836"/>
      <c r="AK455" s="836"/>
      <c r="AL455" s="836"/>
      <c r="AM455" s="836"/>
      <c r="AN455" s="836"/>
      <c r="AO455" s="836"/>
      <c r="AP455" s="836"/>
      <c r="AQ455" s="836"/>
      <c r="AR455" s="836"/>
      <c r="AS455" s="836"/>
      <c r="AT455" s="836"/>
      <c r="AU455" s="836"/>
      <c r="AV455" s="836"/>
      <c r="AW455" s="836"/>
      <c r="AX455" s="836"/>
      <c r="AY455" s="836"/>
      <c r="AZ455" s="836"/>
      <c r="BA455" s="836"/>
      <c r="BB455" s="836"/>
      <c r="BC455" s="836"/>
      <c r="BD455" s="836"/>
      <c r="BE455" s="836"/>
      <c r="BF455" s="836"/>
      <c r="BG455" s="836"/>
      <c r="BH455" s="836"/>
      <c r="BI455" s="836"/>
      <c r="BJ455" s="836"/>
      <c r="BK455" s="836"/>
      <c r="BL455" s="836"/>
      <c r="BM455" s="836"/>
      <c r="BN455" s="836"/>
      <c r="BO455" s="836"/>
      <c r="BP455" s="836"/>
      <c r="BR455" s="838"/>
      <c r="BS455" s="838"/>
      <c r="BT455" s="838"/>
      <c r="BU455" s="838"/>
      <c r="BV455" s="838"/>
      <c r="BW455" s="838"/>
      <c r="BX455" s="838"/>
      <c r="BY455" s="838"/>
      <c r="BZ455" s="838"/>
      <c r="CA455" s="838"/>
      <c r="CB455" s="838"/>
      <c r="CC455" s="838"/>
      <c r="CD455" s="838"/>
      <c r="CE455" s="838"/>
      <c r="CF455" s="838"/>
      <c r="CG455" s="838"/>
      <c r="CH455" s="838"/>
      <c r="CI455" s="838"/>
      <c r="CJ455" s="838"/>
      <c r="CK455" s="838"/>
      <c r="CL455" s="838"/>
      <c r="CM455" s="838"/>
      <c r="CN455" s="838"/>
      <c r="CO455" s="838"/>
      <c r="CP455" s="838"/>
      <c r="CQ455" s="838"/>
      <c r="CR455" s="838"/>
      <c r="CS455" s="838"/>
      <c r="CT455" s="838"/>
      <c r="CU455" s="838"/>
    </row>
    <row r="456">
      <c r="A456" s="834"/>
      <c r="B456" s="834"/>
      <c r="C456" s="834"/>
      <c r="D456" s="834"/>
      <c r="E456" s="834"/>
      <c r="F456" s="834"/>
      <c r="G456" s="834"/>
      <c r="H456" s="834"/>
      <c r="I456" s="834"/>
      <c r="J456" s="834"/>
      <c r="K456" s="834"/>
      <c r="L456" s="834"/>
      <c r="M456" s="834"/>
      <c r="N456" s="834"/>
      <c r="O456" s="834"/>
      <c r="P456" s="834"/>
      <c r="Q456" s="834"/>
      <c r="R456" s="834"/>
      <c r="S456" s="834"/>
      <c r="T456" s="834"/>
      <c r="U456" s="834"/>
      <c r="V456" s="834"/>
      <c r="W456" s="834"/>
      <c r="X456" s="834"/>
      <c r="Y456" s="834"/>
      <c r="Z456" s="834"/>
      <c r="AA456" s="834"/>
      <c r="AB456" s="834"/>
      <c r="AC456" s="834"/>
      <c r="AD456" s="834"/>
      <c r="AE456" s="834"/>
      <c r="AF456" s="834"/>
      <c r="AG456" s="834"/>
      <c r="AH456" s="834"/>
      <c r="AJ456" s="836"/>
      <c r="AK456" s="836"/>
      <c r="AL456" s="836"/>
      <c r="AM456" s="836"/>
      <c r="AN456" s="836"/>
      <c r="AO456" s="836"/>
      <c r="AP456" s="836"/>
      <c r="AQ456" s="836"/>
      <c r="AR456" s="836"/>
      <c r="AS456" s="836"/>
      <c r="AT456" s="836"/>
      <c r="AU456" s="836"/>
      <c r="AV456" s="836"/>
      <c r="AW456" s="836"/>
      <c r="AX456" s="836"/>
      <c r="AY456" s="836"/>
      <c r="AZ456" s="836"/>
      <c r="BA456" s="836"/>
      <c r="BB456" s="836"/>
      <c r="BC456" s="836"/>
      <c r="BD456" s="836"/>
      <c r="BE456" s="836"/>
      <c r="BF456" s="836"/>
      <c r="BG456" s="836"/>
      <c r="BH456" s="836"/>
      <c r="BI456" s="836"/>
      <c r="BJ456" s="836"/>
      <c r="BK456" s="836"/>
      <c r="BL456" s="836"/>
      <c r="BM456" s="836"/>
      <c r="BN456" s="836"/>
      <c r="BO456" s="836"/>
      <c r="BP456" s="836"/>
      <c r="BR456" s="838"/>
      <c r="BS456" s="838"/>
      <c r="BT456" s="838"/>
      <c r="BU456" s="838"/>
      <c r="BV456" s="838"/>
      <c r="BW456" s="838"/>
      <c r="BX456" s="838"/>
      <c r="BY456" s="838"/>
      <c r="BZ456" s="838"/>
      <c r="CA456" s="838"/>
      <c r="CB456" s="838"/>
      <c r="CC456" s="838"/>
      <c r="CD456" s="838"/>
      <c r="CE456" s="838"/>
      <c r="CF456" s="838"/>
      <c r="CG456" s="838"/>
      <c r="CH456" s="838"/>
      <c r="CI456" s="838"/>
      <c r="CJ456" s="838"/>
      <c r="CK456" s="838"/>
      <c r="CL456" s="838"/>
      <c r="CM456" s="838"/>
      <c r="CN456" s="838"/>
      <c r="CO456" s="838"/>
      <c r="CP456" s="838"/>
      <c r="CQ456" s="838"/>
      <c r="CR456" s="838"/>
      <c r="CS456" s="838"/>
      <c r="CT456" s="838"/>
      <c r="CU456" s="838"/>
    </row>
    <row r="457">
      <c r="A457" s="834"/>
      <c r="B457" s="834"/>
      <c r="C457" s="834"/>
      <c r="D457" s="834"/>
      <c r="E457" s="834"/>
      <c r="F457" s="834"/>
      <c r="G457" s="834"/>
      <c r="H457" s="834"/>
      <c r="I457" s="834"/>
      <c r="J457" s="834"/>
      <c r="K457" s="834"/>
      <c r="L457" s="834"/>
      <c r="M457" s="834"/>
      <c r="N457" s="834"/>
      <c r="O457" s="834"/>
      <c r="P457" s="834"/>
      <c r="Q457" s="834"/>
      <c r="R457" s="834"/>
      <c r="S457" s="834"/>
      <c r="T457" s="834"/>
      <c r="U457" s="834"/>
      <c r="V457" s="834"/>
      <c r="W457" s="834"/>
      <c r="X457" s="834"/>
      <c r="Y457" s="834"/>
      <c r="Z457" s="834"/>
      <c r="AA457" s="834"/>
      <c r="AB457" s="834"/>
      <c r="AC457" s="834"/>
      <c r="AD457" s="834"/>
      <c r="AE457" s="834"/>
      <c r="AF457" s="834"/>
      <c r="AG457" s="834"/>
      <c r="AH457" s="834"/>
      <c r="AJ457" s="836"/>
      <c r="AK457" s="836"/>
      <c r="AL457" s="836"/>
      <c r="AM457" s="836"/>
      <c r="AN457" s="836"/>
      <c r="AO457" s="836"/>
      <c r="AP457" s="836"/>
      <c r="AQ457" s="836"/>
      <c r="AR457" s="836"/>
      <c r="AS457" s="836"/>
      <c r="AT457" s="836"/>
      <c r="AU457" s="836"/>
      <c r="AV457" s="836"/>
      <c r="AW457" s="836"/>
      <c r="AX457" s="836"/>
      <c r="AY457" s="836"/>
      <c r="AZ457" s="836"/>
      <c r="BA457" s="836"/>
      <c r="BB457" s="836"/>
      <c r="BC457" s="836"/>
      <c r="BD457" s="836"/>
      <c r="BE457" s="836"/>
      <c r="BF457" s="836"/>
      <c r="BG457" s="836"/>
      <c r="BH457" s="836"/>
      <c r="BI457" s="836"/>
      <c r="BJ457" s="836"/>
      <c r="BK457" s="836"/>
      <c r="BL457" s="836"/>
      <c r="BM457" s="836"/>
      <c r="BN457" s="836"/>
      <c r="BO457" s="836"/>
      <c r="BP457" s="836"/>
      <c r="BR457" s="838"/>
      <c r="BS457" s="838"/>
      <c r="BT457" s="838"/>
      <c r="BU457" s="838"/>
      <c r="BV457" s="838"/>
      <c r="BW457" s="838"/>
      <c r="BX457" s="838"/>
      <c r="BY457" s="838"/>
      <c r="BZ457" s="838"/>
      <c r="CA457" s="838"/>
      <c r="CB457" s="838"/>
      <c r="CC457" s="838"/>
      <c r="CD457" s="838"/>
      <c r="CE457" s="838"/>
      <c r="CF457" s="838"/>
      <c r="CG457" s="838"/>
      <c r="CH457" s="838"/>
      <c r="CI457" s="838"/>
      <c r="CJ457" s="838"/>
      <c r="CK457" s="838"/>
      <c r="CL457" s="838"/>
      <c r="CM457" s="838"/>
      <c r="CN457" s="838"/>
      <c r="CO457" s="838"/>
      <c r="CP457" s="838"/>
      <c r="CQ457" s="838"/>
      <c r="CR457" s="838"/>
      <c r="CS457" s="838"/>
      <c r="CT457" s="838"/>
      <c r="CU457" s="838"/>
    </row>
    <row r="458">
      <c r="A458" s="834"/>
      <c r="B458" s="834"/>
      <c r="C458" s="834"/>
      <c r="D458" s="834"/>
      <c r="E458" s="834"/>
      <c r="F458" s="834"/>
      <c r="G458" s="834"/>
      <c r="H458" s="834"/>
      <c r="I458" s="834"/>
      <c r="J458" s="834"/>
      <c r="K458" s="834"/>
      <c r="L458" s="834"/>
      <c r="M458" s="834"/>
      <c r="N458" s="834"/>
      <c r="O458" s="834"/>
      <c r="P458" s="834"/>
      <c r="Q458" s="834"/>
      <c r="R458" s="834"/>
      <c r="S458" s="834"/>
      <c r="T458" s="834"/>
      <c r="U458" s="834"/>
      <c r="V458" s="834"/>
      <c r="W458" s="834"/>
      <c r="X458" s="834"/>
      <c r="Y458" s="834"/>
      <c r="Z458" s="834"/>
      <c r="AA458" s="834"/>
      <c r="AB458" s="834"/>
      <c r="AC458" s="834"/>
      <c r="AD458" s="834"/>
      <c r="AE458" s="834"/>
      <c r="AF458" s="834"/>
      <c r="AG458" s="834"/>
      <c r="AH458" s="834"/>
      <c r="AJ458" s="836"/>
      <c r="AK458" s="836"/>
      <c r="AL458" s="836"/>
      <c r="AM458" s="836"/>
      <c r="AN458" s="836"/>
      <c r="AO458" s="836"/>
      <c r="AP458" s="836"/>
      <c r="AQ458" s="836"/>
      <c r="AR458" s="836"/>
      <c r="AS458" s="836"/>
      <c r="AT458" s="836"/>
      <c r="AU458" s="836"/>
      <c r="AV458" s="836"/>
      <c r="AW458" s="836"/>
      <c r="AX458" s="836"/>
      <c r="AY458" s="836"/>
      <c r="AZ458" s="836"/>
      <c r="BA458" s="836"/>
      <c r="BB458" s="836"/>
      <c r="BC458" s="836"/>
      <c r="BD458" s="836"/>
      <c r="BE458" s="836"/>
      <c r="BF458" s="836"/>
      <c r="BG458" s="836"/>
      <c r="BH458" s="836"/>
      <c r="BI458" s="836"/>
      <c r="BJ458" s="836"/>
      <c r="BK458" s="836"/>
      <c r="BL458" s="836"/>
      <c r="BM458" s="836"/>
      <c r="BN458" s="836"/>
      <c r="BO458" s="836"/>
      <c r="BP458" s="836"/>
      <c r="BR458" s="838"/>
      <c r="BS458" s="838"/>
      <c r="BT458" s="838"/>
      <c r="BU458" s="838"/>
      <c r="BV458" s="838"/>
      <c r="BW458" s="838"/>
      <c r="BX458" s="838"/>
      <c r="BY458" s="838"/>
      <c r="BZ458" s="838"/>
      <c r="CA458" s="838"/>
      <c r="CB458" s="838"/>
      <c r="CC458" s="838"/>
      <c r="CD458" s="838"/>
      <c r="CE458" s="838"/>
      <c r="CF458" s="838"/>
      <c r="CG458" s="838"/>
      <c r="CH458" s="838"/>
      <c r="CI458" s="838"/>
      <c r="CJ458" s="838"/>
      <c r="CK458" s="838"/>
      <c r="CL458" s="838"/>
      <c r="CM458" s="838"/>
      <c r="CN458" s="838"/>
      <c r="CO458" s="838"/>
      <c r="CP458" s="838"/>
      <c r="CQ458" s="838"/>
      <c r="CR458" s="838"/>
      <c r="CS458" s="838"/>
      <c r="CT458" s="838"/>
      <c r="CU458" s="838"/>
    </row>
    <row r="459">
      <c r="A459" s="834"/>
      <c r="B459" s="834"/>
      <c r="C459" s="834"/>
      <c r="D459" s="834"/>
      <c r="E459" s="834"/>
      <c r="F459" s="834"/>
      <c r="G459" s="834"/>
      <c r="H459" s="834"/>
      <c r="I459" s="834"/>
      <c r="J459" s="834"/>
      <c r="K459" s="834"/>
      <c r="L459" s="834"/>
      <c r="M459" s="834"/>
      <c r="N459" s="834"/>
      <c r="O459" s="834"/>
      <c r="P459" s="834"/>
      <c r="Q459" s="834"/>
      <c r="R459" s="834"/>
      <c r="S459" s="834"/>
      <c r="T459" s="834"/>
      <c r="U459" s="834"/>
      <c r="V459" s="834"/>
      <c r="W459" s="834"/>
      <c r="X459" s="834"/>
      <c r="Y459" s="834"/>
      <c r="Z459" s="834"/>
      <c r="AA459" s="834"/>
      <c r="AB459" s="834"/>
      <c r="AC459" s="834"/>
      <c r="AD459" s="834"/>
      <c r="AE459" s="834"/>
      <c r="AF459" s="834"/>
      <c r="AG459" s="834"/>
      <c r="AH459" s="834"/>
      <c r="AJ459" s="836"/>
      <c r="AK459" s="836"/>
      <c r="AL459" s="836"/>
      <c r="AM459" s="836"/>
      <c r="AN459" s="836"/>
      <c r="AO459" s="836"/>
      <c r="AP459" s="836"/>
      <c r="AQ459" s="836"/>
      <c r="AR459" s="836"/>
      <c r="AS459" s="836"/>
      <c r="AT459" s="836"/>
      <c r="AU459" s="836"/>
      <c r="AV459" s="836"/>
      <c r="AW459" s="836"/>
      <c r="AX459" s="836"/>
      <c r="AY459" s="836"/>
      <c r="AZ459" s="836"/>
      <c r="BA459" s="836"/>
      <c r="BB459" s="836"/>
      <c r="BC459" s="836"/>
      <c r="BD459" s="836"/>
      <c r="BE459" s="836"/>
      <c r="BF459" s="836"/>
      <c r="BG459" s="836"/>
      <c r="BH459" s="836"/>
      <c r="BI459" s="836"/>
      <c r="BJ459" s="836"/>
      <c r="BK459" s="836"/>
      <c r="BL459" s="836"/>
      <c r="BM459" s="836"/>
      <c r="BN459" s="836"/>
      <c r="BO459" s="836"/>
      <c r="BP459" s="836"/>
      <c r="BR459" s="838"/>
      <c r="BS459" s="838"/>
      <c r="BT459" s="838"/>
      <c r="BU459" s="838"/>
      <c r="BV459" s="838"/>
      <c r="BW459" s="838"/>
      <c r="BX459" s="838"/>
      <c r="BY459" s="838"/>
      <c r="BZ459" s="838"/>
      <c r="CA459" s="838"/>
      <c r="CB459" s="838"/>
      <c r="CC459" s="838"/>
      <c r="CD459" s="838"/>
      <c r="CE459" s="838"/>
      <c r="CF459" s="838"/>
      <c r="CG459" s="838"/>
      <c r="CH459" s="838"/>
      <c r="CI459" s="838"/>
      <c r="CJ459" s="838"/>
      <c r="CK459" s="838"/>
      <c r="CL459" s="838"/>
      <c r="CM459" s="838"/>
      <c r="CN459" s="838"/>
      <c r="CO459" s="838"/>
      <c r="CP459" s="838"/>
      <c r="CQ459" s="838"/>
      <c r="CR459" s="838"/>
      <c r="CS459" s="838"/>
      <c r="CT459" s="838"/>
      <c r="CU459" s="838"/>
    </row>
    <row r="460">
      <c r="A460" s="834"/>
      <c r="B460" s="834"/>
      <c r="C460" s="834"/>
      <c r="D460" s="834"/>
      <c r="E460" s="834"/>
      <c r="F460" s="834"/>
      <c r="G460" s="834"/>
      <c r="H460" s="834"/>
      <c r="I460" s="834"/>
      <c r="J460" s="834"/>
      <c r="K460" s="834"/>
      <c r="L460" s="834"/>
      <c r="M460" s="834"/>
      <c r="N460" s="834"/>
      <c r="O460" s="834"/>
      <c r="P460" s="834"/>
      <c r="Q460" s="834"/>
      <c r="R460" s="834"/>
      <c r="S460" s="834"/>
      <c r="T460" s="834"/>
      <c r="U460" s="834"/>
      <c r="V460" s="834"/>
      <c r="W460" s="834"/>
      <c r="X460" s="834"/>
      <c r="Y460" s="834"/>
      <c r="Z460" s="834"/>
      <c r="AA460" s="834"/>
      <c r="AB460" s="834"/>
      <c r="AC460" s="834"/>
      <c r="AD460" s="834"/>
      <c r="AE460" s="834"/>
      <c r="AF460" s="834"/>
      <c r="AG460" s="834"/>
      <c r="AH460" s="834"/>
      <c r="AJ460" s="836"/>
      <c r="AK460" s="836"/>
      <c r="AL460" s="836"/>
      <c r="AM460" s="836"/>
      <c r="AN460" s="836"/>
      <c r="AO460" s="836"/>
      <c r="AP460" s="836"/>
      <c r="AQ460" s="836"/>
      <c r="AR460" s="836"/>
      <c r="AS460" s="836"/>
      <c r="AT460" s="836"/>
      <c r="AU460" s="836"/>
      <c r="AV460" s="836"/>
      <c r="AW460" s="836"/>
      <c r="AX460" s="836"/>
      <c r="AY460" s="836"/>
      <c r="AZ460" s="836"/>
      <c r="BA460" s="836"/>
      <c r="BB460" s="836"/>
      <c r="BC460" s="836"/>
      <c r="BD460" s="836"/>
      <c r="BE460" s="836"/>
      <c r="BF460" s="836"/>
      <c r="BG460" s="836"/>
      <c r="BH460" s="836"/>
      <c r="BI460" s="836"/>
      <c r="BJ460" s="836"/>
      <c r="BK460" s="836"/>
      <c r="BL460" s="836"/>
      <c r="BM460" s="836"/>
      <c r="BN460" s="836"/>
      <c r="BO460" s="836"/>
      <c r="BP460" s="836"/>
      <c r="BR460" s="838"/>
      <c r="BS460" s="838"/>
      <c r="BT460" s="838"/>
      <c r="BU460" s="838"/>
      <c r="BV460" s="838"/>
      <c r="BW460" s="838"/>
      <c r="BX460" s="838"/>
      <c r="BY460" s="838"/>
      <c r="BZ460" s="838"/>
      <c r="CA460" s="838"/>
      <c r="CB460" s="838"/>
      <c r="CC460" s="838"/>
      <c r="CD460" s="838"/>
      <c r="CE460" s="838"/>
      <c r="CF460" s="838"/>
      <c r="CG460" s="838"/>
      <c r="CH460" s="838"/>
      <c r="CI460" s="838"/>
      <c r="CJ460" s="838"/>
      <c r="CK460" s="838"/>
      <c r="CL460" s="838"/>
      <c r="CM460" s="838"/>
      <c r="CN460" s="838"/>
      <c r="CO460" s="838"/>
      <c r="CP460" s="838"/>
      <c r="CQ460" s="838"/>
      <c r="CR460" s="838"/>
      <c r="CS460" s="838"/>
      <c r="CT460" s="838"/>
      <c r="CU460" s="838"/>
    </row>
    <row r="461">
      <c r="A461" s="834"/>
      <c r="B461" s="834"/>
      <c r="C461" s="834"/>
      <c r="D461" s="834"/>
      <c r="E461" s="834"/>
      <c r="F461" s="834"/>
      <c r="G461" s="834"/>
      <c r="H461" s="834"/>
      <c r="I461" s="834"/>
      <c r="J461" s="834"/>
      <c r="K461" s="834"/>
      <c r="L461" s="834"/>
      <c r="M461" s="834"/>
      <c r="N461" s="834"/>
      <c r="O461" s="834"/>
      <c r="P461" s="834"/>
      <c r="Q461" s="834"/>
      <c r="R461" s="834"/>
      <c r="S461" s="834"/>
      <c r="T461" s="834"/>
      <c r="U461" s="834"/>
      <c r="V461" s="834"/>
      <c r="W461" s="834"/>
      <c r="X461" s="834"/>
      <c r="Y461" s="834"/>
      <c r="Z461" s="834"/>
      <c r="AA461" s="834"/>
      <c r="AB461" s="834"/>
      <c r="AC461" s="834"/>
      <c r="AD461" s="834"/>
      <c r="AE461" s="834"/>
      <c r="AF461" s="834"/>
      <c r="AG461" s="834"/>
      <c r="AH461" s="834"/>
      <c r="AJ461" s="836"/>
      <c r="AK461" s="836"/>
      <c r="AL461" s="836"/>
      <c r="AM461" s="836"/>
      <c r="AN461" s="836"/>
      <c r="AO461" s="836"/>
      <c r="AP461" s="836"/>
      <c r="AQ461" s="836"/>
      <c r="AR461" s="836"/>
      <c r="AS461" s="836"/>
      <c r="AT461" s="836"/>
      <c r="AU461" s="836"/>
      <c r="AV461" s="836"/>
      <c r="AW461" s="836"/>
      <c r="AX461" s="836"/>
      <c r="AY461" s="836"/>
      <c r="AZ461" s="836"/>
      <c r="BA461" s="836"/>
      <c r="BB461" s="836"/>
      <c r="BC461" s="836"/>
      <c r="BD461" s="836"/>
      <c r="BE461" s="836"/>
      <c r="BF461" s="836"/>
      <c r="BG461" s="836"/>
      <c r="BH461" s="836"/>
      <c r="BI461" s="836"/>
      <c r="BJ461" s="836"/>
      <c r="BK461" s="836"/>
      <c r="BL461" s="836"/>
      <c r="BM461" s="836"/>
      <c r="BN461" s="836"/>
      <c r="BO461" s="836"/>
      <c r="BP461" s="836"/>
      <c r="BR461" s="838"/>
      <c r="BS461" s="838"/>
      <c r="BT461" s="838"/>
      <c r="BU461" s="838"/>
      <c r="BV461" s="838"/>
      <c r="BW461" s="838"/>
      <c r="BX461" s="838"/>
      <c r="BY461" s="838"/>
      <c r="BZ461" s="838"/>
      <c r="CA461" s="838"/>
      <c r="CB461" s="838"/>
      <c r="CC461" s="838"/>
      <c r="CD461" s="838"/>
      <c r="CE461" s="838"/>
      <c r="CF461" s="838"/>
      <c r="CG461" s="838"/>
      <c r="CH461" s="838"/>
      <c r="CI461" s="838"/>
      <c r="CJ461" s="838"/>
      <c r="CK461" s="838"/>
      <c r="CL461" s="838"/>
      <c r="CM461" s="838"/>
      <c r="CN461" s="838"/>
      <c r="CO461" s="838"/>
      <c r="CP461" s="838"/>
      <c r="CQ461" s="838"/>
      <c r="CR461" s="838"/>
      <c r="CS461" s="838"/>
      <c r="CT461" s="838"/>
      <c r="CU461" s="838"/>
    </row>
    <row r="462">
      <c r="A462" s="834"/>
      <c r="B462" s="834"/>
      <c r="C462" s="834"/>
      <c r="D462" s="834"/>
      <c r="E462" s="834"/>
      <c r="F462" s="834"/>
      <c r="G462" s="834"/>
      <c r="H462" s="834"/>
      <c r="I462" s="834"/>
      <c r="J462" s="834"/>
      <c r="K462" s="834"/>
      <c r="L462" s="834"/>
      <c r="M462" s="834"/>
      <c r="N462" s="834"/>
      <c r="O462" s="834"/>
      <c r="P462" s="834"/>
      <c r="Q462" s="834"/>
      <c r="R462" s="834"/>
      <c r="S462" s="834"/>
      <c r="T462" s="834"/>
      <c r="U462" s="834"/>
      <c r="V462" s="834"/>
      <c r="W462" s="834"/>
      <c r="X462" s="834"/>
      <c r="Y462" s="834"/>
      <c r="Z462" s="834"/>
      <c r="AA462" s="834"/>
      <c r="AB462" s="834"/>
      <c r="AC462" s="834"/>
      <c r="AD462" s="834"/>
      <c r="AE462" s="834"/>
      <c r="AF462" s="834"/>
      <c r="AG462" s="834"/>
      <c r="AH462" s="834"/>
      <c r="AJ462" s="836"/>
      <c r="AK462" s="836"/>
      <c r="AL462" s="836"/>
      <c r="AM462" s="836"/>
      <c r="AN462" s="836"/>
      <c r="AO462" s="836"/>
      <c r="AP462" s="836"/>
      <c r="AQ462" s="836"/>
      <c r="AR462" s="836"/>
      <c r="AS462" s="836"/>
      <c r="AT462" s="836"/>
      <c r="AU462" s="836"/>
      <c r="AV462" s="836"/>
      <c r="AW462" s="836"/>
      <c r="AX462" s="836"/>
      <c r="AY462" s="836"/>
      <c r="AZ462" s="836"/>
      <c r="BA462" s="836"/>
      <c r="BB462" s="836"/>
      <c r="BC462" s="836"/>
      <c r="BD462" s="836"/>
      <c r="BE462" s="836"/>
      <c r="BF462" s="836"/>
      <c r="BG462" s="836"/>
      <c r="BH462" s="836"/>
      <c r="BI462" s="836"/>
      <c r="BJ462" s="836"/>
      <c r="BK462" s="836"/>
      <c r="BL462" s="836"/>
      <c r="BM462" s="836"/>
      <c r="BN462" s="836"/>
      <c r="BO462" s="836"/>
      <c r="BP462" s="836"/>
      <c r="BR462" s="838"/>
      <c r="BS462" s="838"/>
      <c r="BT462" s="838"/>
      <c r="BU462" s="838"/>
      <c r="BV462" s="838"/>
      <c r="BW462" s="838"/>
      <c r="BX462" s="838"/>
      <c r="BY462" s="838"/>
      <c r="BZ462" s="838"/>
      <c r="CA462" s="838"/>
      <c r="CB462" s="838"/>
      <c r="CC462" s="838"/>
      <c r="CD462" s="838"/>
      <c r="CE462" s="838"/>
      <c r="CF462" s="838"/>
      <c r="CG462" s="838"/>
      <c r="CH462" s="838"/>
      <c r="CI462" s="838"/>
      <c r="CJ462" s="838"/>
      <c r="CK462" s="838"/>
      <c r="CL462" s="838"/>
      <c r="CM462" s="838"/>
      <c r="CN462" s="838"/>
      <c r="CO462" s="838"/>
      <c r="CP462" s="838"/>
      <c r="CQ462" s="838"/>
      <c r="CR462" s="838"/>
      <c r="CS462" s="838"/>
      <c r="CT462" s="838"/>
      <c r="CU462" s="838"/>
    </row>
    <row r="463">
      <c r="A463" s="834"/>
      <c r="B463" s="834"/>
      <c r="C463" s="834"/>
      <c r="D463" s="834"/>
      <c r="E463" s="834"/>
      <c r="F463" s="834"/>
      <c r="G463" s="834"/>
      <c r="H463" s="834"/>
      <c r="I463" s="834"/>
      <c r="J463" s="834"/>
      <c r="K463" s="834"/>
      <c r="L463" s="834"/>
      <c r="M463" s="834"/>
      <c r="N463" s="834"/>
      <c r="O463" s="834"/>
      <c r="P463" s="834"/>
      <c r="Q463" s="834"/>
      <c r="R463" s="834"/>
      <c r="S463" s="834"/>
      <c r="T463" s="834"/>
      <c r="U463" s="834"/>
      <c r="V463" s="834"/>
      <c r="W463" s="834"/>
      <c r="X463" s="834"/>
      <c r="Y463" s="834"/>
      <c r="Z463" s="834"/>
      <c r="AA463" s="834"/>
      <c r="AB463" s="834"/>
      <c r="AC463" s="834"/>
      <c r="AD463" s="834"/>
      <c r="AE463" s="834"/>
      <c r="AF463" s="834"/>
      <c r="AG463" s="834"/>
      <c r="AH463" s="834"/>
      <c r="AJ463" s="836"/>
      <c r="AK463" s="836"/>
      <c r="AL463" s="836"/>
      <c r="AM463" s="836"/>
      <c r="AN463" s="836"/>
      <c r="AO463" s="836"/>
      <c r="AP463" s="836"/>
      <c r="AQ463" s="836"/>
      <c r="AR463" s="836"/>
      <c r="AS463" s="836"/>
      <c r="AT463" s="836"/>
      <c r="AU463" s="836"/>
      <c r="AV463" s="836"/>
      <c r="AW463" s="836"/>
      <c r="AX463" s="836"/>
      <c r="AY463" s="836"/>
      <c r="AZ463" s="836"/>
      <c r="BA463" s="836"/>
      <c r="BB463" s="836"/>
      <c r="BC463" s="836"/>
      <c r="BD463" s="836"/>
      <c r="BE463" s="836"/>
      <c r="BF463" s="836"/>
      <c r="BG463" s="836"/>
      <c r="BH463" s="836"/>
      <c r="BI463" s="836"/>
      <c r="BJ463" s="836"/>
      <c r="BK463" s="836"/>
      <c r="BL463" s="836"/>
      <c r="BM463" s="836"/>
      <c r="BN463" s="836"/>
      <c r="BO463" s="836"/>
      <c r="BP463" s="836"/>
      <c r="BR463" s="838"/>
      <c r="BS463" s="838"/>
      <c r="BT463" s="838"/>
      <c r="BU463" s="838"/>
      <c r="BV463" s="838"/>
      <c r="BW463" s="838"/>
      <c r="BX463" s="838"/>
      <c r="BY463" s="838"/>
      <c r="BZ463" s="838"/>
      <c r="CA463" s="838"/>
      <c r="CB463" s="838"/>
      <c r="CC463" s="838"/>
      <c r="CD463" s="838"/>
      <c r="CE463" s="838"/>
      <c r="CF463" s="838"/>
      <c r="CG463" s="838"/>
      <c r="CH463" s="838"/>
      <c r="CI463" s="838"/>
      <c r="CJ463" s="838"/>
      <c r="CK463" s="838"/>
      <c r="CL463" s="838"/>
      <c r="CM463" s="838"/>
      <c r="CN463" s="838"/>
      <c r="CO463" s="838"/>
      <c r="CP463" s="838"/>
      <c r="CQ463" s="838"/>
      <c r="CR463" s="838"/>
      <c r="CS463" s="838"/>
      <c r="CT463" s="838"/>
      <c r="CU463" s="838"/>
    </row>
    <row r="464">
      <c r="A464" s="834"/>
      <c r="B464" s="834"/>
      <c r="C464" s="834"/>
      <c r="D464" s="834"/>
      <c r="E464" s="834"/>
      <c r="F464" s="834"/>
      <c r="G464" s="834"/>
      <c r="H464" s="834"/>
      <c r="I464" s="834"/>
      <c r="J464" s="834"/>
      <c r="K464" s="834"/>
      <c r="L464" s="834"/>
      <c r="M464" s="834"/>
      <c r="N464" s="834"/>
      <c r="O464" s="834"/>
      <c r="P464" s="834"/>
      <c r="Q464" s="834"/>
      <c r="R464" s="834"/>
      <c r="S464" s="834"/>
      <c r="T464" s="834"/>
      <c r="U464" s="834"/>
      <c r="V464" s="834"/>
      <c r="W464" s="834"/>
      <c r="X464" s="834"/>
      <c r="Y464" s="834"/>
      <c r="Z464" s="834"/>
      <c r="AA464" s="834"/>
      <c r="AB464" s="834"/>
      <c r="AC464" s="834"/>
      <c r="AD464" s="834"/>
      <c r="AE464" s="834"/>
      <c r="AF464" s="834"/>
      <c r="AG464" s="834"/>
      <c r="AH464" s="834"/>
      <c r="AJ464" s="836"/>
      <c r="AK464" s="836"/>
      <c r="AL464" s="836"/>
      <c r="AM464" s="836"/>
      <c r="AN464" s="836"/>
      <c r="AO464" s="836"/>
      <c r="AP464" s="836"/>
      <c r="AQ464" s="836"/>
      <c r="AR464" s="836"/>
      <c r="AS464" s="836"/>
      <c r="AT464" s="836"/>
      <c r="AU464" s="836"/>
      <c r="AV464" s="836"/>
      <c r="AW464" s="836"/>
      <c r="AX464" s="836"/>
      <c r="AY464" s="836"/>
      <c r="AZ464" s="836"/>
      <c r="BA464" s="836"/>
      <c r="BB464" s="836"/>
      <c r="BC464" s="836"/>
      <c r="BD464" s="836"/>
      <c r="BE464" s="836"/>
      <c r="BF464" s="836"/>
      <c r="BG464" s="836"/>
      <c r="BH464" s="836"/>
      <c r="BI464" s="836"/>
      <c r="BJ464" s="836"/>
      <c r="BK464" s="836"/>
      <c r="BL464" s="836"/>
      <c r="BM464" s="836"/>
      <c r="BN464" s="836"/>
      <c r="BO464" s="836"/>
      <c r="BP464" s="836"/>
      <c r="BR464" s="838"/>
      <c r="BS464" s="838"/>
      <c r="BT464" s="838"/>
      <c r="BU464" s="838"/>
      <c r="BV464" s="838"/>
      <c r="BW464" s="838"/>
      <c r="BX464" s="838"/>
      <c r="BY464" s="838"/>
      <c r="BZ464" s="838"/>
      <c r="CA464" s="838"/>
      <c r="CB464" s="838"/>
      <c r="CC464" s="838"/>
      <c r="CD464" s="838"/>
      <c r="CE464" s="838"/>
      <c r="CF464" s="838"/>
      <c r="CG464" s="838"/>
      <c r="CH464" s="838"/>
      <c r="CI464" s="838"/>
      <c r="CJ464" s="838"/>
      <c r="CK464" s="838"/>
      <c r="CL464" s="838"/>
      <c r="CM464" s="838"/>
      <c r="CN464" s="838"/>
      <c r="CO464" s="838"/>
      <c r="CP464" s="838"/>
      <c r="CQ464" s="838"/>
      <c r="CR464" s="838"/>
      <c r="CS464" s="838"/>
      <c r="CT464" s="838"/>
      <c r="CU464" s="838"/>
    </row>
    <row r="465">
      <c r="A465" s="834"/>
      <c r="B465" s="834"/>
      <c r="C465" s="834"/>
      <c r="D465" s="834"/>
      <c r="E465" s="834"/>
      <c r="F465" s="834"/>
      <c r="G465" s="834"/>
      <c r="H465" s="834"/>
      <c r="I465" s="834"/>
      <c r="J465" s="834"/>
      <c r="K465" s="834"/>
      <c r="L465" s="834"/>
      <c r="M465" s="834"/>
      <c r="N465" s="834"/>
      <c r="O465" s="834"/>
      <c r="P465" s="834"/>
      <c r="Q465" s="834"/>
      <c r="R465" s="834"/>
      <c r="S465" s="834"/>
      <c r="T465" s="834"/>
      <c r="U465" s="834"/>
      <c r="V465" s="834"/>
      <c r="W465" s="834"/>
      <c r="X465" s="834"/>
      <c r="Y465" s="834"/>
      <c r="Z465" s="834"/>
      <c r="AA465" s="834"/>
      <c r="AB465" s="834"/>
      <c r="AC465" s="834"/>
      <c r="AD465" s="834"/>
      <c r="AE465" s="834"/>
      <c r="AF465" s="834"/>
      <c r="AG465" s="834"/>
      <c r="AH465" s="834"/>
      <c r="AJ465" s="836"/>
      <c r="AK465" s="836"/>
      <c r="AL465" s="836"/>
      <c r="AM465" s="836"/>
      <c r="AN465" s="836"/>
      <c r="AO465" s="836"/>
      <c r="AP465" s="836"/>
      <c r="AQ465" s="836"/>
      <c r="AR465" s="836"/>
      <c r="AS465" s="836"/>
      <c r="AT465" s="836"/>
      <c r="AU465" s="836"/>
      <c r="AV465" s="836"/>
      <c r="AW465" s="836"/>
      <c r="AX465" s="836"/>
      <c r="AY465" s="836"/>
      <c r="AZ465" s="836"/>
      <c r="BA465" s="836"/>
      <c r="BB465" s="836"/>
      <c r="BC465" s="836"/>
      <c r="BD465" s="836"/>
      <c r="BE465" s="836"/>
      <c r="BF465" s="836"/>
      <c r="BG465" s="836"/>
      <c r="BH465" s="836"/>
      <c r="BI465" s="836"/>
      <c r="BJ465" s="836"/>
      <c r="BK465" s="836"/>
      <c r="BL465" s="836"/>
      <c r="BM465" s="836"/>
      <c r="BN465" s="836"/>
      <c r="BO465" s="836"/>
      <c r="BP465" s="836"/>
      <c r="BR465" s="838"/>
      <c r="BS465" s="838"/>
      <c r="BT465" s="838"/>
      <c r="BU465" s="838"/>
      <c r="BV465" s="838"/>
      <c r="BW465" s="838"/>
      <c r="BX465" s="838"/>
      <c r="BY465" s="838"/>
      <c r="BZ465" s="838"/>
      <c r="CA465" s="838"/>
      <c r="CB465" s="838"/>
      <c r="CC465" s="838"/>
      <c r="CD465" s="838"/>
      <c r="CE465" s="838"/>
      <c r="CF465" s="838"/>
      <c r="CG465" s="838"/>
      <c r="CH465" s="838"/>
      <c r="CI465" s="838"/>
      <c r="CJ465" s="838"/>
      <c r="CK465" s="838"/>
      <c r="CL465" s="838"/>
      <c r="CM465" s="838"/>
      <c r="CN465" s="838"/>
      <c r="CO465" s="838"/>
      <c r="CP465" s="838"/>
      <c r="CQ465" s="838"/>
      <c r="CR465" s="838"/>
      <c r="CS465" s="838"/>
      <c r="CT465" s="838"/>
      <c r="CU465" s="838"/>
    </row>
    <row r="466">
      <c r="A466" s="834"/>
      <c r="B466" s="834"/>
      <c r="C466" s="834"/>
      <c r="D466" s="834"/>
      <c r="E466" s="834"/>
      <c r="F466" s="834"/>
      <c r="G466" s="834"/>
      <c r="H466" s="834"/>
      <c r="I466" s="834"/>
      <c r="J466" s="834"/>
      <c r="K466" s="834"/>
      <c r="L466" s="834"/>
      <c r="M466" s="834"/>
      <c r="N466" s="834"/>
      <c r="O466" s="834"/>
      <c r="P466" s="834"/>
      <c r="Q466" s="834"/>
      <c r="R466" s="834"/>
      <c r="S466" s="834"/>
      <c r="T466" s="834"/>
      <c r="U466" s="834"/>
      <c r="V466" s="834"/>
      <c r="W466" s="834"/>
      <c r="X466" s="834"/>
      <c r="Y466" s="834"/>
      <c r="Z466" s="834"/>
      <c r="AA466" s="834"/>
      <c r="AB466" s="834"/>
      <c r="AC466" s="834"/>
      <c r="AD466" s="834"/>
      <c r="AE466" s="834"/>
      <c r="AF466" s="834"/>
      <c r="AG466" s="834"/>
      <c r="AH466" s="834"/>
      <c r="AJ466" s="836"/>
      <c r="AK466" s="836"/>
      <c r="AL466" s="836"/>
      <c r="AM466" s="836"/>
      <c r="AN466" s="836"/>
      <c r="AO466" s="836"/>
      <c r="AP466" s="836"/>
      <c r="AQ466" s="836"/>
      <c r="AR466" s="836"/>
      <c r="AS466" s="836"/>
      <c r="AT466" s="836"/>
      <c r="AU466" s="836"/>
      <c r="AV466" s="836"/>
      <c r="AW466" s="836"/>
      <c r="AX466" s="836"/>
      <c r="AY466" s="836"/>
      <c r="AZ466" s="836"/>
      <c r="BA466" s="836"/>
      <c r="BB466" s="836"/>
      <c r="BC466" s="836"/>
      <c r="BD466" s="836"/>
      <c r="BE466" s="836"/>
      <c r="BF466" s="836"/>
      <c r="BG466" s="836"/>
      <c r="BH466" s="836"/>
      <c r="BI466" s="836"/>
      <c r="BJ466" s="836"/>
      <c r="BK466" s="836"/>
      <c r="BL466" s="836"/>
      <c r="BM466" s="836"/>
      <c r="BN466" s="836"/>
      <c r="BO466" s="836"/>
      <c r="BP466" s="836"/>
      <c r="BR466" s="838"/>
      <c r="BS466" s="838"/>
      <c r="BT466" s="838"/>
      <c r="BU466" s="838"/>
      <c r="BV466" s="838"/>
      <c r="BW466" s="838"/>
      <c r="BX466" s="838"/>
      <c r="BY466" s="838"/>
      <c r="BZ466" s="838"/>
      <c r="CA466" s="838"/>
      <c r="CB466" s="838"/>
      <c r="CC466" s="838"/>
      <c r="CD466" s="838"/>
      <c r="CE466" s="838"/>
      <c r="CF466" s="838"/>
      <c r="CG466" s="838"/>
      <c r="CH466" s="838"/>
      <c r="CI466" s="838"/>
      <c r="CJ466" s="838"/>
      <c r="CK466" s="838"/>
      <c r="CL466" s="838"/>
      <c r="CM466" s="838"/>
      <c r="CN466" s="838"/>
      <c r="CO466" s="838"/>
      <c r="CP466" s="838"/>
      <c r="CQ466" s="838"/>
      <c r="CR466" s="838"/>
      <c r="CS466" s="838"/>
      <c r="CT466" s="838"/>
      <c r="CU466" s="838"/>
    </row>
    <row r="467">
      <c r="A467" s="834"/>
      <c r="B467" s="834"/>
      <c r="C467" s="834"/>
      <c r="D467" s="834"/>
      <c r="E467" s="834"/>
      <c r="F467" s="834"/>
      <c r="G467" s="834"/>
      <c r="H467" s="834"/>
      <c r="I467" s="834"/>
      <c r="J467" s="834"/>
      <c r="K467" s="834"/>
      <c r="L467" s="834"/>
      <c r="M467" s="834"/>
      <c r="N467" s="834"/>
      <c r="O467" s="834"/>
      <c r="P467" s="834"/>
      <c r="Q467" s="834"/>
      <c r="R467" s="834"/>
      <c r="S467" s="834"/>
      <c r="T467" s="834"/>
      <c r="U467" s="834"/>
      <c r="V467" s="834"/>
      <c r="W467" s="834"/>
      <c r="X467" s="834"/>
      <c r="Y467" s="834"/>
      <c r="Z467" s="834"/>
      <c r="AA467" s="834"/>
      <c r="AB467" s="834"/>
      <c r="AC467" s="834"/>
      <c r="AD467" s="834"/>
      <c r="AE467" s="834"/>
      <c r="AF467" s="834"/>
      <c r="AG467" s="834"/>
      <c r="AH467" s="834"/>
      <c r="AJ467" s="836"/>
      <c r="AK467" s="836"/>
      <c r="AL467" s="836"/>
      <c r="AM467" s="836"/>
      <c r="AN467" s="836"/>
      <c r="AO467" s="836"/>
      <c r="AP467" s="836"/>
      <c r="AQ467" s="836"/>
      <c r="AR467" s="836"/>
      <c r="AS467" s="836"/>
      <c r="AT467" s="836"/>
      <c r="AU467" s="836"/>
      <c r="AV467" s="836"/>
      <c r="AW467" s="836"/>
      <c r="AX467" s="836"/>
      <c r="AY467" s="836"/>
      <c r="AZ467" s="836"/>
      <c r="BA467" s="836"/>
      <c r="BB467" s="836"/>
      <c r="BC467" s="836"/>
      <c r="BD467" s="836"/>
      <c r="BE467" s="836"/>
      <c r="BF467" s="836"/>
      <c r="BG467" s="836"/>
      <c r="BH467" s="836"/>
      <c r="BI467" s="836"/>
      <c r="BJ467" s="836"/>
      <c r="BK467" s="836"/>
      <c r="BL467" s="836"/>
      <c r="BM467" s="836"/>
      <c r="BN467" s="836"/>
      <c r="BO467" s="836"/>
      <c r="BP467" s="836"/>
      <c r="BR467" s="838"/>
      <c r="BS467" s="838"/>
      <c r="BT467" s="838"/>
      <c r="BU467" s="838"/>
      <c r="BV467" s="838"/>
      <c r="BW467" s="838"/>
      <c r="BX467" s="838"/>
      <c r="BY467" s="838"/>
      <c r="BZ467" s="838"/>
      <c r="CA467" s="838"/>
      <c r="CB467" s="838"/>
      <c r="CC467" s="838"/>
      <c r="CD467" s="838"/>
      <c r="CE467" s="838"/>
      <c r="CF467" s="838"/>
      <c r="CG467" s="838"/>
      <c r="CH467" s="838"/>
      <c r="CI467" s="838"/>
      <c r="CJ467" s="838"/>
      <c r="CK467" s="838"/>
      <c r="CL467" s="838"/>
      <c r="CM467" s="838"/>
      <c r="CN467" s="838"/>
      <c r="CO467" s="838"/>
      <c r="CP467" s="838"/>
      <c r="CQ467" s="838"/>
      <c r="CR467" s="838"/>
      <c r="CS467" s="838"/>
      <c r="CT467" s="838"/>
      <c r="CU467" s="838"/>
    </row>
    <row r="468">
      <c r="A468" s="834"/>
      <c r="B468" s="834"/>
      <c r="C468" s="834"/>
      <c r="D468" s="834"/>
      <c r="E468" s="834"/>
      <c r="F468" s="834"/>
      <c r="G468" s="834"/>
      <c r="H468" s="834"/>
      <c r="I468" s="834"/>
      <c r="J468" s="834"/>
      <c r="K468" s="834"/>
      <c r="L468" s="834"/>
      <c r="M468" s="834"/>
      <c r="N468" s="834"/>
      <c r="O468" s="834"/>
      <c r="P468" s="834"/>
      <c r="Q468" s="834"/>
      <c r="R468" s="834"/>
      <c r="S468" s="834"/>
      <c r="T468" s="834"/>
      <c r="U468" s="834"/>
      <c r="V468" s="834"/>
      <c r="W468" s="834"/>
      <c r="X468" s="834"/>
      <c r="Y468" s="834"/>
      <c r="Z468" s="834"/>
      <c r="AA468" s="834"/>
      <c r="AB468" s="834"/>
      <c r="AC468" s="834"/>
      <c r="AD468" s="834"/>
      <c r="AE468" s="834"/>
      <c r="AF468" s="834"/>
      <c r="AG468" s="834"/>
      <c r="AH468" s="834"/>
      <c r="AJ468" s="836"/>
      <c r="AK468" s="836"/>
      <c r="AL468" s="836"/>
      <c r="AM468" s="836"/>
      <c r="AN468" s="836"/>
      <c r="AO468" s="836"/>
      <c r="AP468" s="836"/>
      <c r="AQ468" s="836"/>
      <c r="AR468" s="836"/>
      <c r="AS468" s="836"/>
      <c r="AT468" s="836"/>
      <c r="AU468" s="836"/>
      <c r="AV468" s="836"/>
      <c r="AW468" s="836"/>
      <c r="AX468" s="836"/>
      <c r="AY468" s="836"/>
      <c r="AZ468" s="836"/>
      <c r="BA468" s="836"/>
      <c r="BB468" s="836"/>
      <c r="BC468" s="836"/>
      <c r="BD468" s="836"/>
      <c r="BE468" s="836"/>
      <c r="BF468" s="836"/>
      <c r="BG468" s="836"/>
      <c r="BH468" s="836"/>
      <c r="BI468" s="836"/>
      <c r="BJ468" s="836"/>
      <c r="BK468" s="836"/>
      <c r="BL468" s="836"/>
      <c r="BM468" s="836"/>
      <c r="BN468" s="836"/>
      <c r="BO468" s="836"/>
      <c r="BP468" s="836"/>
      <c r="BR468" s="838"/>
      <c r="BS468" s="838"/>
      <c r="BT468" s="838"/>
      <c r="BU468" s="838"/>
      <c r="BV468" s="838"/>
      <c r="BW468" s="838"/>
      <c r="BX468" s="838"/>
      <c r="BY468" s="838"/>
      <c r="BZ468" s="838"/>
      <c r="CA468" s="838"/>
      <c r="CB468" s="838"/>
      <c r="CC468" s="838"/>
      <c r="CD468" s="838"/>
      <c r="CE468" s="838"/>
      <c r="CF468" s="838"/>
      <c r="CG468" s="838"/>
      <c r="CH468" s="838"/>
      <c r="CI468" s="838"/>
      <c r="CJ468" s="838"/>
      <c r="CK468" s="838"/>
      <c r="CL468" s="838"/>
      <c r="CM468" s="838"/>
      <c r="CN468" s="838"/>
      <c r="CO468" s="838"/>
      <c r="CP468" s="838"/>
      <c r="CQ468" s="838"/>
      <c r="CR468" s="838"/>
      <c r="CS468" s="838"/>
      <c r="CT468" s="838"/>
      <c r="CU468" s="838"/>
    </row>
    <row r="469">
      <c r="A469" s="834"/>
      <c r="B469" s="834"/>
      <c r="C469" s="834"/>
      <c r="D469" s="834"/>
      <c r="E469" s="834"/>
      <c r="F469" s="834"/>
      <c r="G469" s="834"/>
      <c r="H469" s="834"/>
      <c r="I469" s="834"/>
      <c r="J469" s="834"/>
      <c r="K469" s="834"/>
      <c r="L469" s="834"/>
      <c r="M469" s="834"/>
      <c r="N469" s="834"/>
      <c r="O469" s="834"/>
      <c r="P469" s="834"/>
      <c r="Q469" s="834"/>
      <c r="R469" s="834"/>
      <c r="S469" s="834"/>
      <c r="T469" s="834"/>
      <c r="U469" s="834"/>
      <c r="V469" s="834"/>
      <c r="W469" s="834"/>
      <c r="X469" s="834"/>
      <c r="Y469" s="834"/>
      <c r="Z469" s="834"/>
      <c r="AA469" s="834"/>
      <c r="AB469" s="834"/>
      <c r="AC469" s="834"/>
      <c r="AD469" s="834"/>
      <c r="AE469" s="834"/>
      <c r="AF469" s="834"/>
      <c r="AG469" s="834"/>
      <c r="AH469" s="834"/>
      <c r="AJ469" s="836"/>
      <c r="AK469" s="836"/>
      <c r="AL469" s="836"/>
      <c r="AM469" s="836"/>
      <c r="AN469" s="836"/>
      <c r="AO469" s="836"/>
      <c r="AP469" s="836"/>
      <c r="AQ469" s="836"/>
      <c r="AR469" s="836"/>
      <c r="AS469" s="836"/>
      <c r="AT469" s="836"/>
      <c r="AU469" s="836"/>
      <c r="AV469" s="836"/>
      <c r="AW469" s="836"/>
      <c r="AX469" s="836"/>
      <c r="AY469" s="836"/>
      <c r="AZ469" s="836"/>
      <c r="BA469" s="836"/>
      <c r="BB469" s="836"/>
      <c r="BC469" s="836"/>
      <c r="BD469" s="836"/>
      <c r="BE469" s="836"/>
      <c r="BF469" s="836"/>
      <c r="BG469" s="836"/>
      <c r="BH469" s="836"/>
      <c r="BI469" s="836"/>
      <c r="BJ469" s="836"/>
      <c r="BK469" s="836"/>
      <c r="BL469" s="836"/>
      <c r="BM469" s="836"/>
      <c r="BN469" s="836"/>
      <c r="BO469" s="836"/>
      <c r="BP469" s="836"/>
      <c r="BR469" s="838"/>
      <c r="BS469" s="838"/>
      <c r="BT469" s="838"/>
      <c r="BU469" s="838"/>
      <c r="BV469" s="838"/>
      <c r="BW469" s="838"/>
      <c r="BX469" s="838"/>
      <c r="BY469" s="838"/>
      <c r="BZ469" s="838"/>
      <c r="CA469" s="838"/>
      <c r="CB469" s="838"/>
      <c r="CC469" s="838"/>
      <c r="CD469" s="838"/>
      <c r="CE469" s="838"/>
      <c r="CF469" s="838"/>
      <c r="CG469" s="838"/>
      <c r="CH469" s="838"/>
      <c r="CI469" s="838"/>
      <c r="CJ469" s="838"/>
      <c r="CK469" s="838"/>
      <c r="CL469" s="838"/>
      <c r="CM469" s="838"/>
      <c r="CN469" s="838"/>
      <c r="CO469" s="838"/>
      <c r="CP469" s="838"/>
      <c r="CQ469" s="838"/>
      <c r="CR469" s="838"/>
      <c r="CS469" s="838"/>
      <c r="CT469" s="838"/>
      <c r="CU469" s="838"/>
    </row>
    <row r="470">
      <c r="A470" s="834"/>
      <c r="B470" s="834"/>
      <c r="C470" s="834"/>
      <c r="D470" s="834"/>
      <c r="E470" s="834"/>
      <c r="F470" s="834"/>
      <c r="G470" s="834"/>
      <c r="H470" s="834"/>
      <c r="I470" s="834"/>
      <c r="J470" s="834"/>
      <c r="K470" s="834"/>
      <c r="L470" s="834"/>
      <c r="M470" s="834"/>
      <c r="N470" s="834"/>
      <c r="O470" s="834"/>
      <c r="P470" s="834"/>
      <c r="Q470" s="834"/>
      <c r="R470" s="834"/>
      <c r="S470" s="834"/>
      <c r="T470" s="834"/>
      <c r="U470" s="834"/>
      <c r="V470" s="834"/>
      <c r="W470" s="834"/>
      <c r="X470" s="834"/>
      <c r="Y470" s="834"/>
      <c r="Z470" s="834"/>
      <c r="AA470" s="834"/>
      <c r="AB470" s="834"/>
      <c r="AC470" s="834"/>
      <c r="AD470" s="834"/>
      <c r="AE470" s="834"/>
      <c r="AF470" s="834"/>
      <c r="AG470" s="834"/>
      <c r="AH470" s="834"/>
      <c r="AJ470" s="836"/>
      <c r="AK470" s="836"/>
      <c r="AL470" s="836"/>
      <c r="AM470" s="836"/>
      <c r="AN470" s="836"/>
      <c r="AO470" s="836"/>
      <c r="AP470" s="836"/>
      <c r="AQ470" s="836"/>
      <c r="AR470" s="836"/>
      <c r="AS470" s="836"/>
      <c r="AT470" s="836"/>
      <c r="AU470" s="836"/>
      <c r="AV470" s="836"/>
      <c r="AW470" s="836"/>
      <c r="AX470" s="836"/>
      <c r="AY470" s="836"/>
      <c r="AZ470" s="836"/>
      <c r="BA470" s="836"/>
      <c r="BB470" s="836"/>
      <c r="BC470" s="836"/>
      <c r="BD470" s="836"/>
      <c r="BE470" s="836"/>
      <c r="BF470" s="836"/>
      <c r="BG470" s="836"/>
      <c r="BH470" s="836"/>
      <c r="BI470" s="836"/>
      <c r="BJ470" s="836"/>
      <c r="BK470" s="836"/>
      <c r="BL470" s="836"/>
      <c r="BM470" s="836"/>
      <c r="BN470" s="836"/>
      <c r="BO470" s="836"/>
      <c r="BP470" s="836"/>
      <c r="BR470" s="838"/>
      <c r="BS470" s="838"/>
      <c r="BT470" s="838"/>
      <c r="BU470" s="838"/>
      <c r="BV470" s="838"/>
      <c r="BW470" s="838"/>
      <c r="BX470" s="838"/>
      <c r="BY470" s="838"/>
      <c r="BZ470" s="838"/>
      <c r="CA470" s="838"/>
      <c r="CB470" s="838"/>
      <c r="CC470" s="838"/>
      <c r="CD470" s="838"/>
      <c r="CE470" s="838"/>
      <c r="CF470" s="838"/>
      <c r="CG470" s="838"/>
      <c r="CH470" s="838"/>
      <c r="CI470" s="838"/>
      <c r="CJ470" s="838"/>
      <c r="CK470" s="838"/>
      <c r="CL470" s="838"/>
      <c r="CM470" s="838"/>
      <c r="CN470" s="838"/>
      <c r="CO470" s="838"/>
      <c r="CP470" s="838"/>
      <c r="CQ470" s="838"/>
      <c r="CR470" s="838"/>
      <c r="CS470" s="838"/>
      <c r="CT470" s="838"/>
      <c r="CU470" s="838"/>
    </row>
    <row r="471">
      <c r="A471" s="834"/>
      <c r="B471" s="834"/>
      <c r="C471" s="834"/>
      <c r="D471" s="834"/>
      <c r="E471" s="834"/>
      <c r="F471" s="834"/>
      <c r="G471" s="834"/>
      <c r="H471" s="834"/>
      <c r="I471" s="834"/>
      <c r="J471" s="834"/>
      <c r="K471" s="834"/>
      <c r="L471" s="834"/>
      <c r="M471" s="834"/>
      <c r="N471" s="834"/>
      <c r="O471" s="834"/>
      <c r="P471" s="834"/>
      <c r="Q471" s="834"/>
      <c r="R471" s="834"/>
      <c r="S471" s="834"/>
      <c r="T471" s="834"/>
      <c r="U471" s="834"/>
      <c r="V471" s="834"/>
      <c r="W471" s="834"/>
      <c r="X471" s="834"/>
      <c r="Y471" s="834"/>
      <c r="Z471" s="834"/>
      <c r="AA471" s="834"/>
      <c r="AB471" s="834"/>
      <c r="AC471" s="834"/>
      <c r="AD471" s="834"/>
      <c r="AE471" s="834"/>
      <c r="AF471" s="834"/>
      <c r="AG471" s="834"/>
      <c r="AH471" s="834"/>
      <c r="AJ471" s="836"/>
      <c r="AK471" s="836"/>
      <c r="AL471" s="836"/>
      <c r="AM471" s="836"/>
      <c r="AN471" s="836"/>
      <c r="AO471" s="836"/>
      <c r="AP471" s="836"/>
      <c r="AQ471" s="836"/>
      <c r="AR471" s="836"/>
      <c r="AS471" s="836"/>
      <c r="AT471" s="836"/>
      <c r="AU471" s="836"/>
      <c r="AV471" s="836"/>
      <c r="AW471" s="836"/>
      <c r="AX471" s="836"/>
      <c r="AY471" s="836"/>
      <c r="AZ471" s="836"/>
      <c r="BA471" s="836"/>
      <c r="BB471" s="836"/>
      <c r="BC471" s="836"/>
      <c r="BD471" s="836"/>
      <c r="BE471" s="836"/>
      <c r="BF471" s="836"/>
      <c r="BG471" s="836"/>
      <c r="BH471" s="836"/>
      <c r="BI471" s="836"/>
      <c r="BJ471" s="836"/>
      <c r="BK471" s="836"/>
      <c r="BL471" s="836"/>
      <c r="BM471" s="836"/>
      <c r="BN471" s="836"/>
      <c r="BO471" s="836"/>
      <c r="BP471" s="836"/>
      <c r="BR471" s="838"/>
      <c r="BS471" s="838"/>
      <c r="BT471" s="838"/>
      <c r="BU471" s="838"/>
      <c r="BV471" s="838"/>
      <c r="BW471" s="838"/>
      <c r="BX471" s="838"/>
      <c r="BY471" s="838"/>
      <c r="BZ471" s="838"/>
      <c r="CA471" s="838"/>
      <c r="CB471" s="838"/>
      <c r="CC471" s="838"/>
      <c r="CD471" s="838"/>
      <c r="CE471" s="838"/>
      <c r="CF471" s="838"/>
      <c r="CG471" s="838"/>
      <c r="CH471" s="838"/>
      <c r="CI471" s="838"/>
      <c r="CJ471" s="838"/>
      <c r="CK471" s="838"/>
      <c r="CL471" s="838"/>
      <c r="CM471" s="838"/>
      <c r="CN471" s="838"/>
      <c r="CO471" s="838"/>
      <c r="CP471" s="838"/>
      <c r="CQ471" s="838"/>
      <c r="CR471" s="838"/>
      <c r="CS471" s="838"/>
      <c r="CT471" s="838"/>
      <c r="CU471" s="838"/>
    </row>
    <row r="472">
      <c r="A472" s="834"/>
      <c r="B472" s="834"/>
      <c r="C472" s="834"/>
      <c r="D472" s="834"/>
      <c r="E472" s="834"/>
      <c r="F472" s="834"/>
      <c r="G472" s="834"/>
      <c r="H472" s="834"/>
      <c r="I472" s="834"/>
      <c r="J472" s="834"/>
      <c r="K472" s="834"/>
      <c r="L472" s="834"/>
      <c r="M472" s="834"/>
      <c r="N472" s="834"/>
      <c r="O472" s="834"/>
      <c r="P472" s="834"/>
      <c r="Q472" s="834"/>
      <c r="R472" s="834"/>
      <c r="S472" s="834"/>
      <c r="T472" s="834"/>
      <c r="U472" s="834"/>
      <c r="V472" s="834"/>
      <c r="W472" s="834"/>
      <c r="X472" s="834"/>
      <c r="Y472" s="834"/>
      <c r="Z472" s="834"/>
      <c r="AA472" s="834"/>
      <c r="AB472" s="834"/>
      <c r="AC472" s="834"/>
      <c r="AD472" s="834"/>
      <c r="AE472" s="834"/>
      <c r="AF472" s="834"/>
      <c r="AG472" s="834"/>
      <c r="AH472" s="834"/>
      <c r="AJ472" s="836"/>
      <c r="AK472" s="836"/>
      <c r="AL472" s="836"/>
      <c r="AM472" s="836"/>
      <c r="AN472" s="836"/>
      <c r="AO472" s="836"/>
      <c r="AP472" s="836"/>
      <c r="AQ472" s="836"/>
      <c r="AR472" s="836"/>
      <c r="AS472" s="836"/>
      <c r="AT472" s="836"/>
      <c r="AU472" s="836"/>
      <c r="AV472" s="836"/>
      <c r="AW472" s="836"/>
      <c r="AX472" s="836"/>
      <c r="AY472" s="836"/>
      <c r="AZ472" s="836"/>
      <c r="BA472" s="836"/>
      <c r="BB472" s="836"/>
      <c r="BC472" s="836"/>
      <c r="BD472" s="836"/>
      <c r="BE472" s="836"/>
      <c r="BF472" s="836"/>
      <c r="BG472" s="836"/>
      <c r="BH472" s="836"/>
      <c r="BI472" s="836"/>
      <c r="BJ472" s="836"/>
      <c r="BK472" s="836"/>
      <c r="BL472" s="836"/>
      <c r="BM472" s="836"/>
      <c r="BN472" s="836"/>
      <c r="BO472" s="836"/>
      <c r="BP472" s="836"/>
      <c r="BR472" s="838"/>
      <c r="BS472" s="838"/>
      <c r="BT472" s="838"/>
      <c r="BU472" s="838"/>
      <c r="BV472" s="838"/>
      <c r="BW472" s="838"/>
      <c r="BX472" s="838"/>
      <c r="BY472" s="838"/>
      <c r="BZ472" s="838"/>
      <c r="CA472" s="838"/>
      <c r="CB472" s="838"/>
      <c r="CC472" s="838"/>
      <c r="CD472" s="838"/>
      <c r="CE472" s="838"/>
      <c r="CF472" s="838"/>
      <c r="CG472" s="838"/>
      <c r="CH472" s="838"/>
      <c r="CI472" s="838"/>
      <c r="CJ472" s="838"/>
      <c r="CK472" s="838"/>
      <c r="CL472" s="838"/>
      <c r="CM472" s="838"/>
      <c r="CN472" s="838"/>
      <c r="CO472" s="838"/>
      <c r="CP472" s="838"/>
      <c r="CQ472" s="838"/>
      <c r="CR472" s="838"/>
      <c r="CS472" s="838"/>
      <c r="CT472" s="838"/>
      <c r="CU472" s="838"/>
    </row>
    <row r="473">
      <c r="A473" s="834"/>
      <c r="B473" s="834"/>
      <c r="C473" s="834"/>
      <c r="D473" s="834"/>
      <c r="E473" s="834"/>
      <c r="F473" s="834"/>
      <c r="G473" s="834"/>
      <c r="H473" s="834"/>
      <c r="I473" s="834"/>
      <c r="J473" s="834"/>
      <c r="K473" s="834"/>
      <c r="L473" s="834"/>
      <c r="M473" s="834"/>
      <c r="N473" s="834"/>
      <c r="O473" s="834"/>
      <c r="P473" s="834"/>
      <c r="Q473" s="834"/>
      <c r="R473" s="834"/>
      <c r="S473" s="834"/>
      <c r="T473" s="834"/>
      <c r="U473" s="834"/>
      <c r="V473" s="834"/>
      <c r="W473" s="834"/>
      <c r="X473" s="834"/>
      <c r="Y473" s="834"/>
      <c r="Z473" s="834"/>
      <c r="AA473" s="834"/>
      <c r="AB473" s="834"/>
      <c r="AC473" s="834"/>
      <c r="AD473" s="834"/>
      <c r="AE473" s="834"/>
      <c r="AF473" s="834"/>
      <c r="AG473" s="834"/>
      <c r="AH473" s="834"/>
      <c r="AJ473" s="836"/>
      <c r="AK473" s="836"/>
      <c r="AL473" s="836"/>
      <c r="AM473" s="836"/>
      <c r="AN473" s="836"/>
      <c r="AO473" s="836"/>
      <c r="AP473" s="836"/>
      <c r="AQ473" s="836"/>
      <c r="AR473" s="836"/>
      <c r="AS473" s="836"/>
      <c r="AT473" s="836"/>
      <c r="AU473" s="836"/>
      <c r="AV473" s="836"/>
      <c r="AW473" s="836"/>
      <c r="AX473" s="836"/>
      <c r="AY473" s="836"/>
      <c r="AZ473" s="836"/>
      <c r="BA473" s="836"/>
      <c r="BB473" s="836"/>
      <c r="BC473" s="836"/>
      <c r="BD473" s="836"/>
      <c r="BE473" s="836"/>
      <c r="BF473" s="836"/>
      <c r="BG473" s="836"/>
      <c r="BH473" s="836"/>
      <c r="BI473" s="836"/>
      <c r="BJ473" s="836"/>
      <c r="BK473" s="836"/>
      <c r="BL473" s="836"/>
      <c r="BM473" s="836"/>
      <c r="BN473" s="836"/>
      <c r="BO473" s="836"/>
      <c r="BP473" s="836"/>
      <c r="BR473" s="838"/>
      <c r="BS473" s="838"/>
      <c r="BT473" s="838"/>
      <c r="BU473" s="838"/>
      <c r="BV473" s="838"/>
      <c r="BW473" s="838"/>
      <c r="BX473" s="838"/>
      <c r="BY473" s="838"/>
      <c r="BZ473" s="838"/>
      <c r="CA473" s="838"/>
      <c r="CB473" s="838"/>
      <c r="CC473" s="838"/>
      <c r="CD473" s="838"/>
      <c r="CE473" s="838"/>
      <c r="CF473" s="838"/>
      <c r="CG473" s="838"/>
      <c r="CH473" s="838"/>
      <c r="CI473" s="838"/>
      <c r="CJ473" s="838"/>
      <c r="CK473" s="838"/>
      <c r="CL473" s="838"/>
      <c r="CM473" s="838"/>
      <c r="CN473" s="838"/>
      <c r="CO473" s="838"/>
      <c r="CP473" s="838"/>
      <c r="CQ473" s="838"/>
      <c r="CR473" s="838"/>
      <c r="CS473" s="838"/>
      <c r="CT473" s="838"/>
      <c r="CU473" s="838"/>
    </row>
    <row r="474">
      <c r="A474" s="834"/>
      <c r="B474" s="834"/>
      <c r="C474" s="834"/>
      <c r="D474" s="834"/>
      <c r="E474" s="834"/>
      <c r="F474" s="834"/>
      <c r="G474" s="834"/>
      <c r="H474" s="834"/>
      <c r="I474" s="834"/>
      <c r="J474" s="834"/>
      <c r="K474" s="834"/>
      <c r="L474" s="834"/>
      <c r="M474" s="834"/>
      <c r="N474" s="834"/>
      <c r="O474" s="834"/>
      <c r="P474" s="834"/>
      <c r="Q474" s="834"/>
      <c r="R474" s="834"/>
      <c r="S474" s="834"/>
      <c r="T474" s="834"/>
      <c r="U474" s="834"/>
      <c r="V474" s="834"/>
      <c r="W474" s="834"/>
      <c r="X474" s="834"/>
      <c r="Y474" s="834"/>
      <c r="Z474" s="834"/>
      <c r="AA474" s="834"/>
      <c r="AB474" s="834"/>
      <c r="AC474" s="834"/>
      <c r="AD474" s="834"/>
      <c r="AE474" s="834"/>
      <c r="AF474" s="834"/>
      <c r="AG474" s="834"/>
      <c r="AH474" s="834"/>
      <c r="AJ474" s="836"/>
      <c r="AK474" s="836"/>
      <c r="AL474" s="836"/>
      <c r="AM474" s="836"/>
      <c r="AN474" s="836"/>
      <c r="AO474" s="836"/>
      <c r="AP474" s="836"/>
      <c r="AQ474" s="836"/>
      <c r="AR474" s="836"/>
      <c r="AS474" s="836"/>
      <c r="AT474" s="836"/>
      <c r="AU474" s="836"/>
      <c r="AV474" s="836"/>
      <c r="AW474" s="836"/>
      <c r="AX474" s="836"/>
      <c r="AY474" s="836"/>
      <c r="AZ474" s="836"/>
      <c r="BA474" s="836"/>
      <c r="BB474" s="836"/>
      <c r="BC474" s="836"/>
      <c r="BD474" s="836"/>
      <c r="BE474" s="836"/>
      <c r="BF474" s="836"/>
      <c r="BG474" s="836"/>
      <c r="BH474" s="836"/>
      <c r="BI474" s="836"/>
      <c r="BJ474" s="836"/>
      <c r="BK474" s="836"/>
      <c r="BL474" s="836"/>
      <c r="BM474" s="836"/>
      <c r="BN474" s="836"/>
      <c r="BO474" s="836"/>
      <c r="BP474" s="836"/>
      <c r="BR474" s="838"/>
      <c r="BS474" s="838"/>
      <c r="BT474" s="838"/>
      <c r="BU474" s="838"/>
      <c r="BV474" s="838"/>
      <c r="BW474" s="838"/>
      <c r="BX474" s="838"/>
      <c r="BY474" s="838"/>
      <c r="BZ474" s="838"/>
      <c r="CA474" s="838"/>
      <c r="CB474" s="838"/>
      <c r="CC474" s="838"/>
      <c r="CD474" s="838"/>
      <c r="CE474" s="838"/>
      <c r="CF474" s="838"/>
      <c r="CG474" s="838"/>
      <c r="CH474" s="838"/>
      <c r="CI474" s="838"/>
      <c r="CJ474" s="838"/>
      <c r="CK474" s="838"/>
      <c r="CL474" s="838"/>
      <c r="CM474" s="838"/>
      <c r="CN474" s="838"/>
      <c r="CO474" s="838"/>
      <c r="CP474" s="838"/>
      <c r="CQ474" s="838"/>
      <c r="CR474" s="838"/>
      <c r="CS474" s="838"/>
      <c r="CT474" s="838"/>
      <c r="CU474" s="838"/>
    </row>
    <row r="475">
      <c r="A475" s="834"/>
      <c r="B475" s="834"/>
      <c r="C475" s="834"/>
      <c r="D475" s="834"/>
      <c r="E475" s="834"/>
      <c r="F475" s="834"/>
      <c r="G475" s="834"/>
      <c r="H475" s="834"/>
      <c r="I475" s="834"/>
      <c r="J475" s="834"/>
      <c r="K475" s="834"/>
      <c r="L475" s="834"/>
      <c r="M475" s="834"/>
      <c r="N475" s="834"/>
      <c r="O475" s="834"/>
      <c r="P475" s="834"/>
      <c r="Q475" s="834"/>
      <c r="R475" s="834"/>
      <c r="S475" s="834"/>
      <c r="T475" s="834"/>
      <c r="U475" s="834"/>
      <c r="V475" s="834"/>
      <c r="W475" s="834"/>
      <c r="X475" s="834"/>
      <c r="Y475" s="834"/>
      <c r="Z475" s="834"/>
      <c r="AA475" s="834"/>
      <c r="AB475" s="834"/>
      <c r="AC475" s="834"/>
      <c r="AD475" s="834"/>
      <c r="AE475" s="834"/>
      <c r="AF475" s="834"/>
      <c r="AG475" s="834"/>
      <c r="AH475" s="834"/>
      <c r="AJ475" s="836"/>
      <c r="AK475" s="836"/>
      <c r="AL475" s="836"/>
      <c r="AM475" s="836"/>
      <c r="AN475" s="836"/>
      <c r="AO475" s="836"/>
      <c r="AP475" s="836"/>
      <c r="AQ475" s="836"/>
      <c r="AR475" s="836"/>
      <c r="AS475" s="836"/>
      <c r="AT475" s="836"/>
      <c r="AU475" s="836"/>
      <c r="AV475" s="836"/>
      <c r="AW475" s="836"/>
      <c r="AX475" s="836"/>
      <c r="AY475" s="836"/>
      <c r="AZ475" s="836"/>
      <c r="BA475" s="836"/>
      <c r="BB475" s="836"/>
      <c r="BC475" s="836"/>
      <c r="BD475" s="836"/>
      <c r="BE475" s="836"/>
      <c r="BF475" s="836"/>
      <c r="BG475" s="836"/>
      <c r="BH475" s="836"/>
      <c r="BI475" s="836"/>
      <c r="BJ475" s="836"/>
      <c r="BK475" s="836"/>
      <c r="BL475" s="836"/>
      <c r="BM475" s="836"/>
      <c r="BN475" s="836"/>
      <c r="BO475" s="836"/>
      <c r="BP475" s="836"/>
      <c r="BR475" s="838"/>
      <c r="BS475" s="838"/>
      <c r="BT475" s="838"/>
      <c r="BU475" s="838"/>
      <c r="BV475" s="838"/>
      <c r="BW475" s="838"/>
      <c r="BX475" s="838"/>
      <c r="BY475" s="838"/>
      <c r="BZ475" s="838"/>
      <c r="CA475" s="838"/>
      <c r="CB475" s="838"/>
      <c r="CC475" s="838"/>
      <c r="CD475" s="838"/>
      <c r="CE475" s="838"/>
      <c r="CF475" s="838"/>
      <c r="CG475" s="838"/>
      <c r="CH475" s="838"/>
      <c r="CI475" s="838"/>
      <c r="CJ475" s="838"/>
      <c r="CK475" s="838"/>
      <c r="CL475" s="838"/>
      <c r="CM475" s="838"/>
      <c r="CN475" s="838"/>
      <c r="CO475" s="838"/>
      <c r="CP475" s="838"/>
      <c r="CQ475" s="838"/>
      <c r="CR475" s="838"/>
      <c r="CS475" s="838"/>
      <c r="CT475" s="838"/>
      <c r="CU475" s="838"/>
    </row>
    <row r="476">
      <c r="A476" s="834"/>
      <c r="B476" s="834"/>
      <c r="C476" s="834"/>
      <c r="D476" s="834"/>
      <c r="E476" s="834"/>
      <c r="F476" s="834"/>
      <c r="G476" s="834"/>
      <c r="H476" s="834"/>
      <c r="I476" s="834"/>
      <c r="J476" s="834"/>
      <c r="K476" s="834"/>
      <c r="L476" s="834"/>
      <c r="M476" s="834"/>
      <c r="N476" s="834"/>
      <c r="O476" s="834"/>
      <c r="P476" s="834"/>
      <c r="Q476" s="834"/>
      <c r="R476" s="834"/>
      <c r="S476" s="834"/>
      <c r="T476" s="834"/>
      <c r="U476" s="834"/>
      <c r="V476" s="834"/>
      <c r="W476" s="834"/>
      <c r="X476" s="834"/>
      <c r="Y476" s="834"/>
      <c r="Z476" s="834"/>
      <c r="AA476" s="834"/>
      <c r="AB476" s="834"/>
      <c r="AC476" s="834"/>
      <c r="AD476" s="834"/>
      <c r="AE476" s="834"/>
      <c r="AF476" s="834"/>
      <c r="AG476" s="834"/>
      <c r="AH476" s="834"/>
      <c r="AJ476" s="836"/>
      <c r="AK476" s="836"/>
      <c r="AL476" s="836"/>
      <c r="AM476" s="836"/>
      <c r="AN476" s="836"/>
      <c r="AO476" s="836"/>
      <c r="AP476" s="836"/>
      <c r="AQ476" s="836"/>
      <c r="AR476" s="836"/>
      <c r="AS476" s="836"/>
      <c r="AT476" s="836"/>
      <c r="AU476" s="836"/>
      <c r="AV476" s="836"/>
      <c r="AW476" s="836"/>
      <c r="AX476" s="836"/>
      <c r="AY476" s="836"/>
      <c r="AZ476" s="836"/>
      <c r="BA476" s="836"/>
      <c r="BB476" s="836"/>
      <c r="BC476" s="836"/>
      <c r="BD476" s="836"/>
      <c r="BE476" s="836"/>
      <c r="BF476" s="836"/>
      <c r="BG476" s="836"/>
      <c r="BH476" s="836"/>
      <c r="BI476" s="836"/>
      <c r="BJ476" s="836"/>
      <c r="BK476" s="836"/>
      <c r="BL476" s="836"/>
      <c r="BM476" s="836"/>
      <c r="BN476" s="836"/>
      <c r="BO476" s="836"/>
      <c r="BP476" s="836"/>
      <c r="BR476" s="838"/>
      <c r="BS476" s="838"/>
      <c r="BT476" s="838"/>
      <c r="BU476" s="838"/>
      <c r="BV476" s="838"/>
      <c r="BW476" s="838"/>
      <c r="BX476" s="838"/>
      <c r="BY476" s="838"/>
      <c r="BZ476" s="838"/>
      <c r="CA476" s="838"/>
      <c r="CB476" s="838"/>
      <c r="CC476" s="838"/>
      <c r="CD476" s="838"/>
      <c r="CE476" s="838"/>
      <c r="CF476" s="838"/>
      <c r="CG476" s="838"/>
      <c r="CH476" s="838"/>
      <c r="CI476" s="838"/>
      <c r="CJ476" s="838"/>
      <c r="CK476" s="838"/>
      <c r="CL476" s="838"/>
      <c r="CM476" s="838"/>
      <c r="CN476" s="838"/>
      <c r="CO476" s="838"/>
      <c r="CP476" s="838"/>
      <c r="CQ476" s="838"/>
      <c r="CR476" s="838"/>
      <c r="CS476" s="838"/>
      <c r="CT476" s="838"/>
      <c r="CU476" s="838"/>
    </row>
    <row r="477">
      <c r="A477" s="834"/>
      <c r="B477" s="834"/>
      <c r="C477" s="834"/>
      <c r="D477" s="834"/>
      <c r="E477" s="834"/>
      <c r="F477" s="834"/>
      <c r="G477" s="834"/>
      <c r="H477" s="834"/>
      <c r="I477" s="834"/>
      <c r="J477" s="834"/>
      <c r="K477" s="834"/>
      <c r="L477" s="834"/>
      <c r="M477" s="834"/>
      <c r="N477" s="834"/>
      <c r="O477" s="834"/>
      <c r="P477" s="834"/>
      <c r="Q477" s="834"/>
      <c r="R477" s="834"/>
      <c r="S477" s="834"/>
      <c r="T477" s="834"/>
      <c r="U477" s="834"/>
      <c r="V477" s="834"/>
      <c r="W477" s="834"/>
      <c r="X477" s="834"/>
      <c r="Y477" s="834"/>
      <c r="Z477" s="834"/>
      <c r="AA477" s="834"/>
      <c r="AB477" s="834"/>
      <c r="AC477" s="834"/>
      <c r="AD477" s="834"/>
      <c r="AE477" s="834"/>
      <c r="AF477" s="834"/>
      <c r="AG477" s="834"/>
      <c r="AH477" s="834"/>
      <c r="AJ477" s="836"/>
      <c r="AK477" s="836"/>
      <c r="AL477" s="836"/>
      <c r="AM477" s="836"/>
      <c r="AN477" s="836"/>
      <c r="AO477" s="836"/>
      <c r="AP477" s="836"/>
      <c r="AQ477" s="836"/>
      <c r="AR477" s="836"/>
      <c r="AS477" s="836"/>
      <c r="AT477" s="836"/>
      <c r="AU477" s="836"/>
      <c r="AV477" s="836"/>
      <c r="AW477" s="836"/>
      <c r="AX477" s="836"/>
      <c r="AY477" s="836"/>
      <c r="AZ477" s="836"/>
      <c r="BA477" s="836"/>
      <c r="BB477" s="836"/>
      <c r="BC477" s="836"/>
      <c r="BD477" s="836"/>
      <c r="BE477" s="836"/>
      <c r="BF477" s="836"/>
      <c r="BG477" s="836"/>
      <c r="BH477" s="836"/>
      <c r="BI477" s="836"/>
      <c r="BJ477" s="836"/>
      <c r="BK477" s="836"/>
      <c r="BL477" s="836"/>
      <c r="BM477" s="836"/>
      <c r="BN477" s="836"/>
      <c r="BO477" s="836"/>
      <c r="BP477" s="836"/>
      <c r="BR477" s="838"/>
      <c r="BS477" s="838"/>
      <c r="BT477" s="838"/>
      <c r="BU477" s="838"/>
      <c r="BV477" s="838"/>
      <c r="BW477" s="838"/>
      <c r="BX477" s="838"/>
      <c r="BY477" s="838"/>
      <c r="BZ477" s="838"/>
      <c r="CA477" s="838"/>
      <c r="CB477" s="838"/>
      <c r="CC477" s="838"/>
      <c r="CD477" s="838"/>
      <c r="CE477" s="838"/>
      <c r="CF477" s="838"/>
      <c r="CG477" s="838"/>
      <c r="CH477" s="838"/>
      <c r="CI477" s="838"/>
      <c r="CJ477" s="838"/>
      <c r="CK477" s="838"/>
      <c r="CL477" s="838"/>
      <c r="CM477" s="838"/>
      <c r="CN477" s="838"/>
      <c r="CO477" s="838"/>
      <c r="CP477" s="838"/>
      <c r="CQ477" s="838"/>
      <c r="CR477" s="838"/>
      <c r="CS477" s="838"/>
      <c r="CT477" s="838"/>
      <c r="CU477" s="838"/>
    </row>
    <row r="478">
      <c r="A478" s="834"/>
      <c r="B478" s="834"/>
      <c r="C478" s="834"/>
      <c r="D478" s="834"/>
      <c r="E478" s="834"/>
      <c r="F478" s="834"/>
      <c r="G478" s="834"/>
      <c r="H478" s="834"/>
      <c r="I478" s="834"/>
      <c r="J478" s="834"/>
      <c r="K478" s="834"/>
      <c r="L478" s="834"/>
      <c r="M478" s="834"/>
      <c r="N478" s="834"/>
      <c r="O478" s="834"/>
      <c r="P478" s="834"/>
      <c r="Q478" s="834"/>
      <c r="R478" s="834"/>
      <c r="S478" s="834"/>
      <c r="T478" s="834"/>
      <c r="U478" s="834"/>
      <c r="V478" s="834"/>
      <c r="W478" s="834"/>
      <c r="X478" s="834"/>
      <c r="Y478" s="834"/>
      <c r="Z478" s="834"/>
      <c r="AA478" s="834"/>
      <c r="AB478" s="834"/>
      <c r="AC478" s="834"/>
      <c r="AD478" s="834"/>
      <c r="AE478" s="834"/>
      <c r="AF478" s="834"/>
      <c r="AG478" s="834"/>
      <c r="AH478" s="834"/>
      <c r="AJ478" s="836"/>
      <c r="AK478" s="836"/>
      <c r="AL478" s="836"/>
      <c r="AM478" s="836"/>
      <c r="AN478" s="836"/>
      <c r="AO478" s="836"/>
      <c r="AP478" s="836"/>
      <c r="AQ478" s="836"/>
      <c r="AR478" s="836"/>
      <c r="AS478" s="836"/>
      <c r="AT478" s="836"/>
      <c r="AU478" s="836"/>
      <c r="AV478" s="836"/>
      <c r="AW478" s="836"/>
      <c r="AX478" s="836"/>
      <c r="AY478" s="836"/>
      <c r="AZ478" s="836"/>
      <c r="BA478" s="836"/>
      <c r="BB478" s="836"/>
      <c r="BC478" s="836"/>
      <c r="BD478" s="836"/>
      <c r="BE478" s="836"/>
      <c r="BF478" s="836"/>
      <c r="BG478" s="836"/>
      <c r="BH478" s="836"/>
      <c r="BI478" s="836"/>
      <c r="BJ478" s="836"/>
      <c r="BK478" s="836"/>
      <c r="BL478" s="836"/>
      <c r="BM478" s="836"/>
      <c r="BN478" s="836"/>
      <c r="BO478" s="836"/>
      <c r="BP478" s="836"/>
      <c r="BR478" s="838"/>
      <c r="BS478" s="838"/>
      <c r="BT478" s="838"/>
      <c r="BU478" s="838"/>
      <c r="BV478" s="838"/>
      <c r="BW478" s="838"/>
      <c r="BX478" s="838"/>
      <c r="BY478" s="838"/>
      <c r="BZ478" s="838"/>
      <c r="CA478" s="838"/>
      <c r="CB478" s="838"/>
      <c r="CC478" s="838"/>
      <c r="CD478" s="838"/>
      <c r="CE478" s="838"/>
      <c r="CF478" s="838"/>
      <c r="CG478" s="838"/>
      <c r="CH478" s="838"/>
      <c r="CI478" s="838"/>
      <c r="CJ478" s="838"/>
      <c r="CK478" s="838"/>
      <c r="CL478" s="838"/>
      <c r="CM478" s="838"/>
      <c r="CN478" s="838"/>
      <c r="CO478" s="838"/>
      <c r="CP478" s="838"/>
      <c r="CQ478" s="838"/>
      <c r="CR478" s="838"/>
      <c r="CS478" s="838"/>
      <c r="CT478" s="838"/>
      <c r="CU478" s="838"/>
    </row>
    <row r="479">
      <c r="A479" s="834"/>
      <c r="B479" s="834"/>
      <c r="C479" s="834"/>
      <c r="D479" s="834"/>
      <c r="E479" s="834"/>
      <c r="F479" s="834"/>
      <c r="G479" s="834"/>
      <c r="H479" s="834"/>
      <c r="I479" s="834"/>
      <c r="J479" s="834"/>
      <c r="K479" s="834"/>
      <c r="L479" s="834"/>
      <c r="M479" s="834"/>
      <c r="N479" s="834"/>
      <c r="O479" s="834"/>
      <c r="P479" s="834"/>
      <c r="Q479" s="834"/>
      <c r="R479" s="834"/>
      <c r="S479" s="834"/>
      <c r="T479" s="834"/>
      <c r="U479" s="834"/>
      <c r="V479" s="834"/>
      <c r="W479" s="834"/>
      <c r="X479" s="834"/>
      <c r="Y479" s="834"/>
      <c r="Z479" s="834"/>
      <c r="AA479" s="834"/>
      <c r="AB479" s="834"/>
      <c r="AC479" s="834"/>
      <c r="AD479" s="834"/>
      <c r="AE479" s="834"/>
      <c r="AF479" s="834"/>
      <c r="AG479" s="834"/>
      <c r="AH479" s="834"/>
      <c r="AJ479" s="836"/>
      <c r="AK479" s="836"/>
      <c r="AL479" s="836"/>
      <c r="AM479" s="836"/>
      <c r="AN479" s="836"/>
      <c r="AO479" s="836"/>
      <c r="AP479" s="836"/>
      <c r="AQ479" s="836"/>
      <c r="AR479" s="836"/>
      <c r="AS479" s="836"/>
      <c r="AT479" s="836"/>
      <c r="AU479" s="836"/>
      <c r="AV479" s="836"/>
      <c r="AW479" s="836"/>
      <c r="AX479" s="836"/>
      <c r="AY479" s="836"/>
      <c r="AZ479" s="836"/>
      <c r="BA479" s="836"/>
      <c r="BB479" s="836"/>
      <c r="BC479" s="836"/>
      <c r="BD479" s="836"/>
      <c r="BE479" s="836"/>
      <c r="BF479" s="836"/>
      <c r="BG479" s="836"/>
      <c r="BH479" s="836"/>
      <c r="BI479" s="836"/>
      <c r="BJ479" s="836"/>
      <c r="BK479" s="836"/>
      <c r="BL479" s="836"/>
      <c r="BM479" s="836"/>
      <c r="BN479" s="836"/>
      <c r="BO479" s="836"/>
      <c r="BP479" s="836"/>
      <c r="BR479" s="838"/>
      <c r="BS479" s="838"/>
      <c r="BT479" s="838"/>
      <c r="BU479" s="838"/>
      <c r="BV479" s="838"/>
      <c r="BW479" s="838"/>
      <c r="BX479" s="838"/>
      <c r="BY479" s="838"/>
      <c r="BZ479" s="838"/>
      <c r="CA479" s="838"/>
      <c r="CB479" s="838"/>
      <c r="CC479" s="838"/>
      <c r="CD479" s="838"/>
      <c r="CE479" s="838"/>
      <c r="CF479" s="838"/>
      <c r="CG479" s="838"/>
      <c r="CH479" s="838"/>
      <c r="CI479" s="838"/>
      <c r="CJ479" s="838"/>
      <c r="CK479" s="838"/>
      <c r="CL479" s="838"/>
      <c r="CM479" s="838"/>
      <c r="CN479" s="838"/>
      <c r="CO479" s="838"/>
      <c r="CP479" s="838"/>
      <c r="CQ479" s="838"/>
      <c r="CR479" s="838"/>
      <c r="CS479" s="838"/>
      <c r="CT479" s="838"/>
      <c r="CU479" s="838"/>
    </row>
    <row r="480">
      <c r="A480" s="834"/>
      <c r="B480" s="834"/>
      <c r="C480" s="834"/>
      <c r="D480" s="834"/>
      <c r="E480" s="834"/>
      <c r="F480" s="834"/>
      <c r="G480" s="834"/>
      <c r="H480" s="834"/>
      <c r="I480" s="834"/>
      <c r="J480" s="834"/>
      <c r="K480" s="834"/>
      <c r="L480" s="834"/>
      <c r="M480" s="834"/>
      <c r="N480" s="834"/>
      <c r="O480" s="834"/>
      <c r="P480" s="834"/>
      <c r="Q480" s="834"/>
      <c r="R480" s="834"/>
      <c r="S480" s="834"/>
      <c r="T480" s="834"/>
      <c r="U480" s="834"/>
      <c r="V480" s="834"/>
      <c r="W480" s="834"/>
      <c r="X480" s="834"/>
      <c r="Y480" s="834"/>
      <c r="Z480" s="834"/>
      <c r="AA480" s="834"/>
      <c r="AB480" s="834"/>
      <c r="AC480" s="834"/>
      <c r="AD480" s="834"/>
      <c r="AE480" s="834"/>
      <c r="AF480" s="834"/>
      <c r="AG480" s="834"/>
      <c r="AH480" s="834"/>
      <c r="AJ480" s="836"/>
      <c r="AK480" s="836"/>
      <c r="AL480" s="836"/>
      <c r="AM480" s="836"/>
      <c r="AN480" s="836"/>
      <c r="AO480" s="836"/>
      <c r="AP480" s="836"/>
      <c r="AQ480" s="836"/>
      <c r="AR480" s="836"/>
      <c r="AS480" s="836"/>
      <c r="AT480" s="836"/>
      <c r="AU480" s="836"/>
      <c r="AV480" s="836"/>
      <c r="AW480" s="836"/>
      <c r="AX480" s="836"/>
      <c r="AY480" s="836"/>
      <c r="AZ480" s="836"/>
      <c r="BA480" s="836"/>
      <c r="BB480" s="836"/>
      <c r="BC480" s="836"/>
      <c r="BD480" s="836"/>
      <c r="BE480" s="836"/>
      <c r="BF480" s="836"/>
      <c r="BG480" s="836"/>
      <c r="BH480" s="836"/>
      <c r="BI480" s="836"/>
      <c r="BJ480" s="836"/>
      <c r="BK480" s="836"/>
      <c r="BL480" s="836"/>
      <c r="BM480" s="836"/>
      <c r="BN480" s="836"/>
      <c r="BO480" s="836"/>
      <c r="BP480" s="836"/>
      <c r="BR480" s="838"/>
      <c r="BS480" s="838"/>
      <c r="BT480" s="838"/>
      <c r="BU480" s="838"/>
      <c r="BV480" s="838"/>
      <c r="BW480" s="838"/>
      <c r="BX480" s="838"/>
      <c r="BY480" s="838"/>
      <c r="BZ480" s="838"/>
      <c r="CA480" s="838"/>
      <c r="CB480" s="838"/>
      <c r="CC480" s="838"/>
      <c r="CD480" s="838"/>
      <c r="CE480" s="838"/>
      <c r="CF480" s="838"/>
      <c r="CG480" s="838"/>
      <c r="CH480" s="838"/>
      <c r="CI480" s="838"/>
      <c r="CJ480" s="838"/>
      <c r="CK480" s="838"/>
      <c r="CL480" s="838"/>
      <c r="CM480" s="838"/>
      <c r="CN480" s="838"/>
      <c r="CO480" s="838"/>
      <c r="CP480" s="838"/>
      <c r="CQ480" s="838"/>
      <c r="CR480" s="838"/>
      <c r="CS480" s="838"/>
      <c r="CT480" s="838"/>
      <c r="CU480" s="838"/>
    </row>
    <row r="481">
      <c r="A481" s="834"/>
      <c r="B481" s="834"/>
      <c r="C481" s="834"/>
      <c r="D481" s="834"/>
      <c r="E481" s="834"/>
      <c r="F481" s="834"/>
      <c r="G481" s="834"/>
      <c r="H481" s="834"/>
      <c r="I481" s="834"/>
      <c r="J481" s="834"/>
      <c r="K481" s="834"/>
      <c r="L481" s="834"/>
      <c r="M481" s="834"/>
      <c r="N481" s="834"/>
      <c r="O481" s="834"/>
      <c r="P481" s="834"/>
      <c r="Q481" s="834"/>
      <c r="R481" s="834"/>
      <c r="S481" s="834"/>
      <c r="T481" s="834"/>
      <c r="U481" s="834"/>
      <c r="V481" s="834"/>
      <c r="W481" s="834"/>
      <c r="X481" s="834"/>
      <c r="Y481" s="834"/>
      <c r="Z481" s="834"/>
      <c r="AA481" s="834"/>
      <c r="AB481" s="834"/>
      <c r="AC481" s="834"/>
      <c r="AD481" s="834"/>
      <c r="AE481" s="834"/>
      <c r="AF481" s="834"/>
      <c r="AG481" s="834"/>
      <c r="AH481" s="834"/>
      <c r="AJ481" s="836"/>
      <c r="AK481" s="836"/>
      <c r="AL481" s="836"/>
      <c r="AM481" s="836"/>
      <c r="AN481" s="836"/>
      <c r="AO481" s="836"/>
      <c r="AP481" s="836"/>
      <c r="AQ481" s="836"/>
      <c r="AR481" s="836"/>
      <c r="AS481" s="836"/>
      <c r="AT481" s="836"/>
      <c r="AU481" s="836"/>
      <c r="AV481" s="836"/>
      <c r="AW481" s="836"/>
      <c r="AX481" s="836"/>
      <c r="AY481" s="836"/>
      <c r="AZ481" s="836"/>
      <c r="BA481" s="836"/>
      <c r="BB481" s="836"/>
      <c r="BC481" s="836"/>
      <c r="BD481" s="836"/>
      <c r="BE481" s="836"/>
      <c r="BF481" s="836"/>
      <c r="BG481" s="836"/>
      <c r="BH481" s="836"/>
      <c r="BI481" s="836"/>
      <c r="BJ481" s="836"/>
      <c r="BK481" s="836"/>
      <c r="BL481" s="836"/>
      <c r="BM481" s="836"/>
      <c r="BN481" s="836"/>
      <c r="BO481" s="836"/>
      <c r="BP481" s="836"/>
      <c r="BR481" s="838"/>
      <c r="BS481" s="838"/>
      <c r="BT481" s="838"/>
      <c r="BU481" s="838"/>
      <c r="BV481" s="838"/>
      <c r="BW481" s="838"/>
      <c r="BX481" s="838"/>
      <c r="BY481" s="838"/>
      <c r="BZ481" s="838"/>
      <c r="CA481" s="838"/>
      <c r="CB481" s="838"/>
      <c r="CC481" s="838"/>
      <c r="CD481" s="838"/>
      <c r="CE481" s="838"/>
      <c r="CF481" s="838"/>
      <c r="CG481" s="838"/>
      <c r="CH481" s="838"/>
      <c r="CI481" s="838"/>
      <c r="CJ481" s="838"/>
      <c r="CK481" s="838"/>
      <c r="CL481" s="838"/>
      <c r="CM481" s="838"/>
      <c r="CN481" s="838"/>
      <c r="CO481" s="838"/>
      <c r="CP481" s="838"/>
      <c r="CQ481" s="838"/>
      <c r="CR481" s="838"/>
      <c r="CS481" s="838"/>
      <c r="CT481" s="838"/>
      <c r="CU481" s="838"/>
    </row>
    <row r="482">
      <c r="A482" s="834"/>
      <c r="B482" s="834"/>
      <c r="C482" s="834"/>
      <c r="D482" s="834"/>
      <c r="E482" s="834"/>
      <c r="F482" s="834"/>
      <c r="G482" s="834"/>
      <c r="H482" s="834"/>
      <c r="I482" s="834"/>
      <c r="J482" s="834"/>
      <c r="K482" s="834"/>
      <c r="L482" s="834"/>
      <c r="M482" s="834"/>
      <c r="N482" s="834"/>
      <c r="O482" s="834"/>
      <c r="P482" s="834"/>
      <c r="Q482" s="834"/>
      <c r="R482" s="834"/>
      <c r="S482" s="834"/>
      <c r="T482" s="834"/>
      <c r="U482" s="834"/>
      <c r="V482" s="834"/>
      <c r="W482" s="834"/>
      <c r="X482" s="834"/>
      <c r="Y482" s="834"/>
      <c r="Z482" s="834"/>
      <c r="AA482" s="834"/>
      <c r="AB482" s="834"/>
      <c r="AC482" s="834"/>
      <c r="AD482" s="834"/>
      <c r="AE482" s="834"/>
      <c r="AF482" s="834"/>
      <c r="AG482" s="834"/>
      <c r="AH482" s="834"/>
      <c r="AJ482" s="836"/>
      <c r="AK482" s="836"/>
      <c r="AL482" s="836"/>
      <c r="AM482" s="836"/>
      <c r="AN482" s="836"/>
      <c r="AO482" s="836"/>
      <c r="AP482" s="836"/>
      <c r="AQ482" s="836"/>
      <c r="AR482" s="836"/>
      <c r="AS482" s="836"/>
      <c r="AT482" s="836"/>
      <c r="AU482" s="836"/>
      <c r="AV482" s="836"/>
      <c r="AW482" s="836"/>
      <c r="AX482" s="836"/>
      <c r="AY482" s="836"/>
      <c r="AZ482" s="836"/>
      <c r="BA482" s="836"/>
      <c r="BB482" s="836"/>
      <c r="BC482" s="836"/>
      <c r="BD482" s="836"/>
      <c r="BE482" s="836"/>
      <c r="BF482" s="836"/>
      <c r="BG482" s="836"/>
      <c r="BH482" s="836"/>
      <c r="BI482" s="836"/>
      <c r="BJ482" s="836"/>
      <c r="BK482" s="836"/>
      <c r="BL482" s="836"/>
      <c r="BM482" s="836"/>
      <c r="BN482" s="836"/>
      <c r="BO482" s="836"/>
      <c r="BP482" s="836"/>
      <c r="BR482" s="838"/>
      <c r="BS482" s="838"/>
      <c r="BT482" s="838"/>
      <c r="BU482" s="838"/>
      <c r="BV482" s="838"/>
      <c r="BW482" s="838"/>
      <c r="BX482" s="838"/>
      <c r="BY482" s="838"/>
      <c r="BZ482" s="838"/>
      <c r="CA482" s="838"/>
      <c r="CB482" s="838"/>
      <c r="CC482" s="838"/>
      <c r="CD482" s="838"/>
      <c r="CE482" s="838"/>
      <c r="CF482" s="838"/>
      <c r="CG482" s="838"/>
      <c r="CH482" s="838"/>
      <c r="CI482" s="838"/>
      <c r="CJ482" s="838"/>
      <c r="CK482" s="838"/>
      <c r="CL482" s="838"/>
      <c r="CM482" s="838"/>
      <c r="CN482" s="838"/>
      <c r="CO482" s="838"/>
      <c r="CP482" s="838"/>
      <c r="CQ482" s="838"/>
      <c r="CR482" s="838"/>
      <c r="CS482" s="838"/>
      <c r="CT482" s="838"/>
      <c r="CU482" s="838"/>
    </row>
    <row r="483">
      <c r="A483" s="834"/>
      <c r="B483" s="834"/>
      <c r="C483" s="834"/>
      <c r="D483" s="834"/>
      <c r="E483" s="834"/>
      <c r="F483" s="834"/>
      <c r="G483" s="834"/>
      <c r="H483" s="834"/>
      <c r="I483" s="834"/>
      <c r="J483" s="834"/>
      <c r="K483" s="834"/>
      <c r="L483" s="834"/>
      <c r="M483" s="834"/>
      <c r="N483" s="834"/>
      <c r="O483" s="834"/>
      <c r="P483" s="834"/>
      <c r="Q483" s="834"/>
      <c r="R483" s="834"/>
      <c r="S483" s="834"/>
      <c r="T483" s="834"/>
      <c r="U483" s="834"/>
      <c r="V483" s="834"/>
      <c r="W483" s="834"/>
      <c r="X483" s="834"/>
      <c r="Y483" s="834"/>
      <c r="Z483" s="834"/>
      <c r="AA483" s="834"/>
      <c r="AB483" s="834"/>
      <c r="AC483" s="834"/>
      <c r="AD483" s="834"/>
      <c r="AE483" s="834"/>
      <c r="AF483" s="834"/>
      <c r="AG483" s="834"/>
      <c r="AH483" s="834"/>
      <c r="AJ483" s="836"/>
      <c r="AK483" s="836"/>
      <c r="AL483" s="836"/>
      <c r="AM483" s="836"/>
      <c r="AN483" s="836"/>
      <c r="AO483" s="836"/>
      <c r="AP483" s="836"/>
      <c r="AQ483" s="836"/>
      <c r="AR483" s="836"/>
      <c r="AS483" s="836"/>
      <c r="AT483" s="836"/>
      <c r="AU483" s="836"/>
      <c r="AV483" s="836"/>
      <c r="AW483" s="836"/>
      <c r="AX483" s="836"/>
      <c r="AY483" s="836"/>
      <c r="AZ483" s="836"/>
      <c r="BA483" s="836"/>
      <c r="BB483" s="836"/>
      <c r="BC483" s="836"/>
      <c r="BD483" s="836"/>
      <c r="BE483" s="836"/>
      <c r="BF483" s="836"/>
      <c r="BG483" s="836"/>
      <c r="BH483" s="836"/>
      <c r="BI483" s="836"/>
      <c r="BJ483" s="836"/>
      <c r="BK483" s="836"/>
      <c r="BL483" s="836"/>
      <c r="BM483" s="836"/>
      <c r="BN483" s="836"/>
      <c r="BO483" s="836"/>
      <c r="BP483" s="836"/>
      <c r="BR483" s="838"/>
      <c r="BS483" s="838"/>
      <c r="BT483" s="838"/>
      <c r="BU483" s="838"/>
      <c r="BV483" s="838"/>
      <c r="BW483" s="838"/>
      <c r="BX483" s="838"/>
      <c r="BY483" s="838"/>
      <c r="BZ483" s="838"/>
      <c r="CA483" s="838"/>
      <c r="CB483" s="838"/>
      <c r="CC483" s="838"/>
      <c r="CD483" s="838"/>
      <c r="CE483" s="838"/>
      <c r="CF483" s="838"/>
      <c r="CG483" s="838"/>
      <c r="CH483" s="838"/>
      <c r="CI483" s="838"/>
      <c r="CJ483" s="838"/>
      <c r="CK483" s="838"/>
      <c r="CL483" s="838"/>
      <c r="CM483" s="838"/>
      <c r="CN483" s="838"/>
      <c r="CO483" s="838"/>
      <c r="CP483" s="838"/>
      <c r="CQ483" s="838"/>
      <c r="CR483" s="838"/>
      <c r="CS483" s="838"/>
      <c r="CT483" s="838"/>
      <c r="CU483" s="838"/>
    </row>
    <row r="484">
      <c r="A484" s="834"/>
      <c r="B484" s="834"/>
      <c r="C484" s="834"/>
      <c r="D484" s="834"/>
      <c r="E484" s="834"/>
      <c r="F484" s="834"/>
      <c r="G484" s="834"/>
      <c r="H484" s="834"/>
      <c r="I484" s="834"/>
      <c r="J484" s="834"/>
      <c r="K484" s="834"/>
      <c r="L484" s="834"/>
      <c r="M484" s="834"/>
      <c r="N484" s="834"/>
      <c r="O484" s="834"/>
      <c r="P484" s="834"/>
      <c r="Q484" s="834"/>
      <c r="R484" s="834"/>
      <c r="S484" s="834"/>
      <c r="T484" s="834"/>
      <c r="U484" s="834"/>
      <c r="V484" s="834"/>
      <c r="W484" s="834"/>
      <c r="X484" s="834"/>
      <c r="Y484" s="834"/>
      <c r="Z484" s="834"/>
      <c r="AA484" s="834"/>
      <c r="AB484" s="834"/>
      <c r="AC484" s="834"/>
      <c r="AD484" s="834"/>
      <c r="AE484" s="834"/>
      <c r="AF484" s="834"/>
      <c r="AG484" s="834"/>
      <c r="AH484" s="834"/>
      <c r="AJ484" s="836"/>
      <c r="AK484" s="836"/>
      <c r="AL484" s="836"/>
      <c r="AM484" s="836"/>
      <c r="AN484" s="836"/>
      <c r="AO484" s="836"/>
      <c r="AP484" s="836"/>
      <c r="AQ484" s="836"/>
      <c r="AR484" s="836"/>
      <c r="AS484" s="836"/>
      <c r="AT484" s="836"/>
      <c r="AU484" s="836"/>
      <c r="AV484" s="836"/>
      <c r="AW484" s="836"/>
      <c r="AX484" s="836"/>
      <c r="AY484" s="836"/>
      <c r="AZ484" s="836"/>
      <c r="BA484" s="836"/>
      <c r="BB484" s="836"/>
      <c r="BC484" s="836"/>
      <c r="BD484" s="836"/>
      <c r="BE484" s="836"/>
      <c r="BF484" s="836"/>
      <c r="BG484" s="836"/>
      <c r="BH484" s="836"/>
      <c r="BI484" s="836"/>
      <c r="BJ484" s="836"/>
      <c r="BK484" s="836"/>
      <c r="BL484" s="836"/>
      <c r="BM484" s="836"/>
      <c r="BN484" s="836"/>
      <c r="BO484" s="836"/>
      <c r="BP484" s="836"/>
      <c r="BR484" s="838"/>
      <c r="BS484" s="838"/>
      <c r="BT484" s="838"/>
      <c r="BU484" s="838"/>
      <c r="BV484" s="838"/>
      <c r="BW484" s="838"/>
      <c r="BX484" s="838"/>
      <c r="BY484" s="838"/>
      <c r="BZ484" s="838"/>
      <c r="CA484" s="838"/>
      <c r="CB484" s="838"/>
      <c r="CC484" s="838"/>
      <c r="CD484" s="838"/>
      <c r="CE484" s="838"/>
      <c r="CF484" s="838"/>
      <c r="CG484" s="838"/>
      <c r="CH484" s="838"/>
      <c r="CI484" s="838"/>
      <c r="CJ484" s="838"/>
      <c r="CK484" s="838"/>
      <c r="CL484" s="838"/>
      <c r="CM484" s="838"/>
      <c r="CN484" s="838"/>
      <c r="CO484" s="838"/>
      <c r="CP484" s="838"/>
      <c r="CQ484" s="838"/>
      <c r="CR484" s="838"/>
      <c r="CS484" s="838"/>
      <c r="CT484" s="838"/>
      <c r="CU484" s="838"/>
    </row>
    <row r="485">
      <c r="A485" s="834"/>
      <c r="B485" s="834"/>
      <c r="C485" s="834"/>
      <c r="D485" s="834"/>
      <c r="E485" s="834"/>
      <c r="F485" s="834"/>
      <c r="G485" s="834"/>
      <c r="H485" s="834"/>
      <c r="I485" s="834"/>
      <c r="J485" s="834"/>
      <c r="K485" s="834"/>
      <c r="L485" s="834"/>
      <c r="M485" s="834"/>
      <c r="N485" s="834"/>
      <c r="O485" s="834"/>
      <c r="P485" s="834"/>
      <c r="Q485" s="834"/>
      <c r="R485" s="834"/>
      <c r="S485" s="834"/>
      <c r="T485" s="834"/>
      <c r="U485" s="834"/>
      <c r="V485" s="834"/>
      <c r="W485" s="834"/>
      <c r="X485" s="834"/>
      <c r="Y485" s="834"/>
      <c r="Z485" s="834"/>
      <c r="AA485" s="834"/>
      <c r="AB485" s="834"/>
      <c r="AC485" s="834"/>
      <c r="AD485" s="834"/>
      <c r="AE485" s="834"/>
      <c r="AF485" s="834"/>
      <c r="AG485" s="834"/>
      <c r="AH485" s="834"/>
      <c r="AJ485" s="836"/>
      <c r="AK485" s="836"/>
      <c r="AL485" s="836"/>
      <c r="AM485" s="836"/>
      <c r="AN485" s="836"/>
      <c r="AO485" s="836"/>
      <c r="AP485" s="836"/>
      <c r="AQ485" s="836"/>
      <c r="AR485" s="836"/>
      <c r="AS485" s="836"/>
      <c r="AT485" s="836"/>
      <c r="AU485" s="836"/>
      <c r="AV485" s="836"/>
      <c r="AW485" s="836"/>
      <c r="AX485" s="836"/>
      <c r="AY485" s="836"/>
      <c r="AZ485" s="836"/>
      <c r="BA485" s="836"/>
      <c r="BB485" s="836"/>
      <c r="BC485" s="836"/>
      <c r="BD485" s="836"/>
      <c r="BE485" s="836"/>
      <c r="BF485" s="836"/>
      <c r="BG485" s="836"/>
      <c r="BH485" s="836"/>
      <c r="BI485" s="836"/>
      <c r="BJ485" s="836"/>
      <c r="BK485" s="836"/>
      <c r="BL485" s="836"/>
      <c r="BM485" s="836"/>
      <c r="BN485" s="836"/>
      <c r="BO485" s="836"/>
      <c r="BP485" s="836"/>
      <c r="BR485" s="838"/>
      <c r="BS485" s="838"/>
      <c r="BT485" s="838"/>
      <c r="BU485" s="838"/>
      <c r="BV485" s="838"/>
      <c r="BW485" s="838"/>
      <c r="BX485" s="838"/>
      <c r="BY485" s="838"/>
      <c r="BZ485" s="838"/>
      <c r="CA485" s="838"/>
      <c r="CB485" s="838"/>
      <c r="CC485" s="838"/>
      <c r="CD485" s="838"/>
      <c r="CE485" s="838"/>
      <c r="CF485" s="838"/>
      <c r="CG485" s="838"/>
      <c r="CH485" s="838"/>
      <c r="CI485" s="838"/>
      <c r="CJ485" s="838"/>
      <c r="CK485" s="838"/>
      <c r="CL485" s="838"/>
      <c r="CM485" s="838"/>
      <c r="CN485" s="838"/>
      <c r="CO485" s="838"/>
      <c r="CP485" s="838"/>
      <c r="CQ485" s="838"/>
      <c r="CR485" s="838"/>
      <c r="CS485" s="838"/>
      <c r="CT485" s="838"/>
      <c r="CU485" s="838"/>
    </row>
    <row r="486">
      <c r="A486" s="834"/>
      <c r="B486" s="834"/>
      <c r="C486" s="834"/>
      <c r="D486" s="834"/>
      <c r="E486" s="834"/>
      <c r="F486" s="834"/>
      <c r="G486" s="834"/>
      <c r="H486" s="834"/>
      <c r="I486" s="834"/>
      <c r="J486" s="834"/>
      <c r="K486" s="834"/>
      <c r="L486" s="834"/>
      <c r="M486" s="834"/>
      <c r="N486" s="834"/>
      <c r="O486" s="834"/>
      <c r="P486" s="834"/>
      <c r="Q486" s="834"/>
      <c r="R486" s="834"/>
      <c r="S486" s="834"/>
      <c r="T486" s="834"/>
      <c r="U486" s="834"/>
      <c r="V486" s="834"/>
      <c r="W486" s="834"/>
      <c r="X486" s="834"/>
      <c r="Y486" s="834"/>
      <c r="Z486" s="834"/>
      <c r="AA486" s="834"/>
      <c r="AB486" s="834"/>
      <c r="AC486" s="834"/>
      <c r="AD486" s="834"/>
      <c r="AE486" s="834"/>
      <c r="AF486" s="834"/>
      <c r="AG486" s="834"/>
      <c r="AH486" s="834"/>
      <c r="AJ486" s="836"/>
      <c r="AK486" s="836"/>
      <c r="AL486" s="836"/>
      <c r="AM486" s="836"/>
      <c r="AN486" s="836"/>
      <c r="AO486" s="836"/>
      <c r="AP486" s="836"/>
      <c r="AQ486" s="836"/>
      <c r="AR486" s="836"/>
      <c r="AS486" s="836"/>
      <c r="AT486" s="836"/>
      <c r="AU486" s="836"/>
      <c r="AV486" s="836"/>
      <c r="AW486" s="836"/>
      <c r="AX486" s="836"/>
      <c r="AY486" s="836"/>
      <c r="AZ486" s="836"/>
      <c r="BA486" s="836"/>
      <c r="BB486" s="836"/>
      <c r="BC486" s="836"/>
      <c r="BD486" s="836"/>
      <c r="BE486" s="836"/>
      <c r="BF486" s="836"/>
      <c r="BG486" s="836"/>
      <c r="BH486" s="836"/>
      <c r="BI486" s="836"/>
      <c r="BJ486" s="836"/>
      <c r="BK486" s="836"/>
      <c r="BL486" s="836"/>
      <c r="BM486" s="836"/>
      <c r="BN486" s="836"/>
      <c r="BO486" s="836"/>
      <c r="BP486" s="836"/>
      <c r="BR486" s="838"/>
      <c r="BS486" s="838"/>
      <c r="BT486" s="838"/>
      <c r="BU486" s="838"/>
      <c r="BV486" s="838"/>
      <c r="BW486" s="838"/>
      <c r="BX486" s="838"/>
      <c r="BY486" s="838"/>
      <c r="BZ486" s="838"/>
      <c r="CA486" s="838"/>
      <c r="CB486" s="838"/>
      <c r="CC486" s="838"/>
      <c r="CD486" s="838"/>
      <c r="CE486" s="838"/>
      <c r="CF486" s="838"/>
      <c r="CG486" s="838"/>
      <c r="CH486" s="838"/>
      <c r="CI486" s="838"/>
      <c r="CJ486" s="838"/>
      <c r="CK486" s="838"/>
      <c r="CL486" s="838"/>
      <c r="CM486" s="838"/>
      <c r="CN486" s="838"/>
      <c r="CO486" s="838"/>
      <c r="CP486" s="838"/>
      <c r="CQ486" s="838"/>
      <c r="CR486" s="838"/>
      <c r="CS486" s="838"/>
      <c r="CT486" s="838"/>
      <c r="CU486" s="838"/>
    </row>
    <row r="487">
      <c r="A487" s="834"/>
      <c r="B487" s="834"/>
      <c r="C487" s="834"/>
      <c r="D487" s="834"/>
      <c r="E487" s="834"/>
      <c r="F487" s="834"/>
      <c r="G487" s="834"/>
      <c r="H487" s="834"/>
      <c r="I487" s="834"/>
      <c r="J487" s="834"/>
      <c r="K487" s="834"/>
      <c r="L487" s="834"/>
      <c r="M487" s="834"/>
      <c r="N487" s="834"/>
      <c r="O487" s="834"/>
      <c r="P487" s="834"/>
      <c r="Q487" s="834"/>
      <c r="R487" s="834"/>
      <c r="S487" s="834"/>
      <c r="T487" s="834"/>
      <c r="U487" s="834"/>
      <c r="V487" s="834"/>
      <c r="W487" s="834"/>
      <c r="X487" s="834"/>
      <c r="Y487" s="834"/>
      <c r="Z487" s="834"/>
      <c r="AA487" s="834"/>
      <c r="AB487" s="834"/>
      <c r="AC487" s="834"/>
      <c r="AD487" s="834"/>
      <c r="AE487" s="834"/>
      <c r="AF487" s="834"/>
      <c r="AG487" s="834"/>
      <c r="AH487" s="834"/>
      <c r="AJ487" s="836"/>
      <c r="AK487" s="836"/>
      <c r="AL487" s="836"/>
      <c r="AM487" s="836"/>
      <c r="AN487" s="836"/>
      <c r="AO487" s="836"/>
      <c r="AP487" s="836"/>
      <c r="AQ487" s="836"/>
      <c r="AR487" s="836"/>
      <c r="AS487" s="836"/>
      <c r="AT487" s="836"/>
      <c r="AU487" s="836"/>
      <c r="AV487" s="836"/>
      <c r="AW487" s="836"/>
      <c r="AX487" s="836"/>
      <c r="AY487" s="836"/>
      <c r="AZ487" s="836"/>
      <c r="BA487" s="836"/>
      <c r="BB487" s="836"/>
      <c r="BC487" s="836"/>
      <c r="BD487" s="836"/>
      <c r="BE487" s="836"/>
      <c r="BF487" s="836"/>
      <c r="BG487" s="836"/>
      <c r="BH487" s="836"/>
      <c r="BI487" s="836"/>
      <c r="BJ487" s="836"/>
      <c r="BK487" s="836"/>
      <c r="BL487" s="836"/>
      <c r="BM487" s="836"/>
      <c r="BN487" s="836"/>
      <c r="BO487" s="836"/>
      <c r="BP487" s="836"/>
      <c r="BR487" s="838"/>
      <c r="BS487" s="838"/>
      <c r="BT487" s="838"/>
      <c r="BU487" s="838"/>
      <c r="BV487" s="838"/>
      <c r="BW487" s="838"/>
      <c r="BX487" s="838"/>
      <c r="BY487" s="838"/>
      <c r="BZ487" s="838"/>
      <c r="CA487" s="838"/>
      <c r="CB487" s="838"/>
      <c r="CC487" s="838"/>
      <c r="CD487" s="838"/>
      <c r="CE487" s="838"/>
      <c r="CF487" s="838"/>
      <c r="CG487" s="838"/>
      <c r="CH487" s="838"/>
      <c r="CI487" s="838"/>
      <c r="CJ487" s="838"/>
      <c r="CK487" s="838"/>
      <c r="CL487" s="838"/>
      <c r="CM487" s="838"/>
      <c r="CN487" s="838"/>
      <c r="CO487" s="838"/>
      <c r="CP487" s="838"/>
      <c r="CQ487" s="838"/>
      <c r="CR487" s="838"/>
      <c r="CS487" s="838"/>
      <c r="CT487" s="838"/>
      <c r="CU487" s="838"/>
    </row>
    <row r="488">
      <c r="A488" s="834"/>
      <c r="B488" s="834"/>
      <c r="C488" s="834"/>
      <c r="D488" s="834"/>
      <c r="E488" s="834"/>
      <c r="F488" s="834"/>
      <c r="G488" s="834"/>
      <c r="H488" s="834"/>
      <c r="I488" s="834"/>
      <c r="J488" s="834"/>
      <c r="K488" s="834"/>
      <c r="L488" s="834"/>
      <c r="M488" s="834"/>
      <c r="N488" s="834"/>
      <c r="O488" s="834"/>
      <c r="P488" s="834"/>
      <c r="Q488" s="834"/>
      <c r="R488" s="834"/>
      <c r="S488" s="834"/>
      <c r="T488" s="834"/>
      <c r="U488" s="834"/>
      <c r="V488" s="834"/>
      <c r="W488" s="834"/>
      <c r="X488" s="834"/>
      <c r="Y488" s="834"/>
      <c r="Z488" s="834"/>
      <c r="AA488" s="834"/>
      <c r="AB488" s="834"/>
      <c r="AC488" s="834"/>
      <c r="AD488" s="834"/>
      <c r="AE488" s="834"/>
      <c r="AF488" s="834"/>
      <c r="AG488" s="834"/>
      <c r="AH488" s="834"/>
      <c r="AJ488" s="836"/>
      <c r="AK488" s="836"/>
      <c r="AL488" s="836"/>
      <c r="AM488" s="836"/>
      <c r="AN488" s="836"/>
      <c r="AO488" s="836"/>
      <c r="AP488" s="836"/>
      <c r="AQ488" s="836"/>
      <c r="AR488" s="836"/>
      <c r="AS488" s="836"/>
      <c r="AT488" s="836"/>
      <c r="AU488" s="836"/>
      <c r="AV488" s="836"/>
      <c r="AW488" s="836"/>
      <c r="AX488" s="836"/>
      <c r="AY488" s="836"/>
      <c r="AZ488" s="836"/>
      <c r="BA488" s="836"/>
      <c r="BB488" s="836"/>
      <c r="BC488" s="836"/>
      <c r="BD488" s="836"/>
      <c r="BE488" s="836"/>
      <c r="BF488" s="836"/>
      <c r="BG488" s="836"/>
      <c r="BH488" s="836"/>
      <c r="BI488" s="836"/>
      <c r="BJ488" s="836"/>
      <c r="BK488" s="836"/>
      <c r="BL488" s="836"/>
      <c r="BM488" s="836"/>
      <c r="BN488" s="836"/>
      <c r="BO488" s="836"/>
      <c r="BP488" s="836"/>
      <c r="BR488" s="838"/>
      <c r="BS488" s="838"/>
      <c r="BT488" s="838"/>
      <c r="BU488" s="838"/>
      <c r="BV488" s="838"/>
      <c r="BW488" s="838"/>
      <c r="BX488" s="838"/>
      <c r="BY488" s="838"/>
      <c r="BZ488" s="838"/>
      <c r="CA488" s="838"/>
      <c r="CB488" s="838"/>
      <c r="CC488" s="838"/>
      <c r="CD488" s="838"/>
      <c r="CE488" s="838"/>
      <c r="CF488" s="838"/>
      <c r="CG488" s="838"/>
      <c r="CH488" s="838"/>
      <c r="CI488" s="838"/>
      <c r="CJ488" s="838"/>
      <c r="CK488" s="838"/>
      <c r="CL488" s="838"/>
      <c r="CM488" s="838"/>
      <c r="CN488" s="838"/>
      <c r="CO488" s="838"/>
      <c r="CP488" s="838"/>
      <c r="CQ488" s="838"/>
      <c r="CR488" s="838"/>
      <c r="CS488" s="838"/>
      <c r="CT488" s="838"/>
      <c r="CU488" s="838"/>
    </row>
    <row r="489">
      <c r="A489" s="834"/>
      <c r="B489" s="834"/>
      <c r="C489" s="834"/>
      <c r="D489" s="834"/>
      <c r="E489" s="834"/>
      <c r="F489" s="834"/>
      <c r="G489" s="834"/>
      <c r="H489" s="834"/>
      <c r="I489" s="834"/>
      <c r="J489" s="834"/>
      <c r="K489" s="834"/>
      <c r="L489" s="834"/>
      <c r="M489" s="834"/>
      <c r="N489" s="834"/>
      <c r="O489" s="834"/>
      <c r="P489" s="834"/>
      <c r="Q489" s="834"/>
      <c r="R489" s="834"/>
      <c r="S489" s="834"/>
      <c r="T489" s="834"/>
      <c r="U489" s="834"/>
      <c r="V489" s="834"/>
      <c r="W489" s="834"/>
      <c r="X489" s="834"/>
      <c r="Y489" s="834"/>
      <c r="Z489" s="834"/>
      <c r="AA489" s="834"/>
      <c r="AB489" s="834"/>
      <c r="AC489" s="834"/>
      <c r="AD489" s="834"/>
      <c r="AE489" s="834"/>
      <c r="AF489" s="834"/>
      <c r="AG489" s="834"/>
      <c r="AH489" s="834"/>
      <c r="AJ489" s="836"/>
      <c r="AK489" s="836"/>
      <c r="AL489" s="836"/>
      <c r="AM489" s="836"/>
      <c r="AN489" s="836"/>
      <c r="AO489" s="836"/>
      <c r="AP489" s="836"/>
      <c r="AQ489" s="836"/>
      <c r="AR489" s="836"/>
      <c r="AS489" s="836"/>
      <c r="AT489" s="836"/>
      <c r="AU489" s="836"/>
      <c r="AV489" s="836"/>
      <c r="AW489" s="836"/>
      <c r="AX489" s="836"/>
      <c r="AY489" s="836"/>
      <c r="AZ489" s="836"/>
      <c r="BA489" s="836"/>
      <c r="BB489" s="836"/>
      <c r="BC489" s="836"/>
      <c r="BD489" s="836"/>
      <c r="BE489" s="836"/>
      <c r="BF489" s="836"/>
      <c r="BG489" s="836"/>
      <c r="BH489" s="836"/>
      <c r="BI489" s="836"/>
      <c r="BJ489" s="836"/>
      <c r="BK489" s="836"/>
      <c r="BL489" s="836"/>
      <c r="BM489" s="836"/>
      <c r="BN489" s="836"/>
      <c r="BO489" s="836"/>
      <c r="BP489" s="836"/>
      <c r="BR489" s="838"/>
      <c r="BS489" s="838"/>
      <c r="BT489" s="838"/>
      <c r="BU489" s="838"/>
      <c r="BV489" s="838"/>
      <c r="BW489" s="838"/>
      <c r="BX489" s="838"/>
      <c r="BY489" s="838"/>
      <c r="BZ489" s="838"/>
      <c r="CA489" s="838"/>
      <c r="CB489" s="838"/>
      <c r="CC489" s="838"/>
      <c r="CD489" s="838"/>
      <c r="CE489" s="838"/>
      <c r="CF489" s="838"/>
      <c r="CG489" s="838"/>
      <c r="CH489" s="838"/>
      <c r="CI489" s="838"/>
      <c r="CJ489" s="838"/>
      <c r="CK489" s="838"/>
      <c r="CL489" s="838"/>
      <c r="CM489" s="838"/>
      <c r="CN489" s="838"/>
      <c r="CO489" s="838"/>
      <c r="CP489" s="838"/>
      <c r="CQ489" s="838"/>
      <c r="CR489" s="838"/>
      <c r="CS489" s="838"/>
      <c r="CT489" s="838"/>
      <c r="CU489" s="838"/>
    </row>
    <row r="490">
      <c r="A490" s="834"/>
      <c r="B490" s="834"/>
      <c r="C490" s="834"/>
      <c r="D490" s="834"/>
      <c r="E490" s="834"/>
      <c r="F490" s="834"/>
      <c r="G490" s="834"/>
      <c r="H490" s="834"/>
      <c r="I490" s="834"/>
      <c r="J490" s="834"/>
      <c r="K490" s="834"/>
      <c r="L490" s="834"/>
      <c r="M490" s="834"/>
      <c r="N490" s="834"/>
      <c r="O490" s="834"/>
      <c r="P490" s="834"/>
      <c r="Q490" s="834"/>
      <c r="R490" s="834"/>
      <c r="S490" s="834"/>
      <c r="T490" s="834"/>
      <c r="U490" s="834"/>
      <c r="V490" s="834"/>
      <c r="W490" s="834"/>
      <c r="X490" s="834"/>
      <c r="Y490" s="834"/>
      <c r="Z490" s="834"/>
      <c r="AA490" s="834"/>
      <c r="AB490" s="834"/>
      <c r="AC490" s="834"/>
      <c r="AD490" s="834"/>
      <c r="AE490" s="834"/>
      <c r="AF490" s="834"/>
      <c r="AG490" s="834"/>
      <c r="AH490" s="834"/>
      <c r="AJ490" s="836"/>
      <c r="AK490" s="836"/>
      <c r="AL490" s="836"/>
      <c r="AM490" s="836"/>
      <c r="AN490" s="836"/>
      <c r="AO490" s="836"/>
      <c r="AP490" s="836"/>
      <c r="AQ490" s="836"/>
      <c r="AR490" s="836"/>
      <c r="AS490" s="836"/>
      <c r="AT490" s="836"/>
      <c r="AU490" s="836"/>
      <c r="AV490" s="836"/>
      <c r="AW490" s="836"/>
      <c r="AX490" s="836"/>
      <c r="AY490" s="836"/>
      <c r="AZ490" s="836"/>
      <c r="BA490" s="836"/>
      <c r="BB490" s="836"/>
      <c r="BC490" s="836"/>
      <c r="BD490" s="836"/>
      <c r="BE490" s="836"/>
      <c r="BF490" s="836"/>
      <c r="BG490" s="836"/>
      <c r="BH490" s="836"/>
      <c r="BI490" s="836"/>
      <c r="BJ490" s="836"/>
      <c r="BK490" s="836"/>
      <c r="BL490" s="836"/>
      <c r="BM490" s="836"/>
      <c r="BN490" s="836"/>
      <c r="BO490" s="836"/>
      <c r="BP490" s="836"/>
      <c r="BR490" s="838"/>
      <c r="BS490" s="838"/>
      <c r="BT490" s="838"/>
      <c r="BU490" s="838"/>
      <c r="BV490" s="838"/>
      <c r="BW490" s="838"/>
      <c r="BX490" s="838"/>
      <c r="BY490" s="838"/>
      <c r="BZ490" s="838"/>
      <c r="CA490" s="838"/>
      <c r="CB490" s="838"/>
      <c r="CC490" s="838"/>
      <c r="CD490" s="838"/>
      <c r="CE490" s="838"/>
      <c r="CF490" s="838"/>
      <c r="CG490" s="838"/>
      <c r="CH490" s="838"/>
      <c r="CI490" s="838"/>
      <c r="CJ490" s="838"/>
      <c r="CK490" s="838"/>
      <c r="CL490" s="838"/>
      <c r="CM490" s="838"/>
      <c r="CN490" s="838"/>
      <c r="CO490" s="838"/>
      <c r="CP490" s="838"/>
      <c r="CQ490" s="838"/>
      <c r="CR490" s="838"/>
      <c r="CS490" s="838"/>
      <c r="CT490" s="838"/>
      <c r="CU490" s="838"/>
    </row>
    <row r="491">
      <c r="A491" s="834"/>
      <c r="B491" s="834"/>
      <c r="C491" s="834"/>
      <c r="D491" s="834"/>
      <c r="E491" s="834"/>
      <c r="F491" s="834"/>
      <c r="G491" s="834"/>
      <c r="H491" s="834"/>
      <c r="I491" s="834"/>
      <c r="J491" s="834"/>
      <c r="K491" s="834"/>
      <c r="L491" s="834"/>
      <c r="M491" s="834"/>
      <c r="N491" s="834"/>
      <c r="O491" s="834"/>
      <c r="P491" s="834"/>
      <c r="Q491" s="834"/>
      <c r="R491" s="834"/>
      <c r="S491" s="834"/>
      <c r="T491" s="834"/>
      <c r="U491" s="834"/>
      <c r="V491" s="834"/>
      <c r="W491" s="834"/>
      <c r="X491" s="834"/>
      <c r="Y491" s="834"/>
      <c r="Z491" s="834"/>
      <c r="AA491" s="834"/>
      <c r="AB491" s="834"/>
      <c r="AC491" s="834"/>
      <c r="AD491" s="834"/>
      <c r="AE491" s="834"/>
      <c r="AF491" s="834"/>
      <c r="AG491" s="834"/>
      <c r="AH491" s="834"/>
      <c r="AJ491" s="836"/>
      <c r="AK491" s="836"/>
      <c r="AL491" s="836"/>
      <c r="AM491" s="836"/>
      <c r="AN491" s="836"/>
      <c r="AO491" s="836"/>
      <c r="AP491" s="836"/>
      <c r="AQ491" s="836"/>
      <c r="AR491" s="836"/>
      <c r="AS491" s="836"/>
      <c r="AT491" s="836"/>
      <c r="AU491" s="836"/>
      <c r="AV491" s="836"/>
      <c r="AW491" s="836"/>
      <c r="AX491" s="836"/>
      <c r="AY491" s="836"/>
      <c r="AZ491" s="836"/>
      <c r="BA491" s="836"/>
      <c r="BB491" s="836"/>
      <c r="BC491" s="836"/>
      <c r="BD491" s="836"/>
      <c r="BE491" s="836"/>
      <c r="BF491" s="836"/>
      <c r="BG491" s="836"/>
      <c r="BH491" s="836"/>
      <c r="BI491" s="836"/>
      <c r="BJ491" s="836"/>
      <c r="BK491" s="836"/>
      <c r="BL491" s="836"/>
      <c r="BM491" s="836"/>
      <c r="BN491" s="836"/>
      <c r="BO491" s="836"/>
      <c r="BP491" s="836"/>
      <c r="BR491" s="838"/>
      <c r="BS491" s="838"/>
      <c r="BT491" s="838"/>
      <c r="BU491" s="838"/>
      <c r="BV491" s="838"/>
      <c r="BW491" s="838"/>
      <c r="BX491" s="838"/>
      <c r="BY491" s="838"/>
      <c r="BZ491" s="838"/>
      <c r="CA491" s="838"/>
      <c r="CB491" s="838"/>
      <c r="CC491" s="838"/>
      <c r="CD491" s="838"/>
      <c r="CE491" s="838"/>
      <c r="CF491" s="838"/>
      <c r="CG491" s="838"/>
      <c r="CH491" s="838"/>
      <c r="CI491" s="838"/>
      <c r="CJ491" s="838"/>
      <c r="CK491" s="838"/>
      <c r="CL491" s="838"/>
      <c r="CM491" s="838"/>
      <c r="CN491" s="838"/>
      <c r="CO491" s="838"/>
      <c r="CP491" s="838"/>
      <c r="CQ491" s="838"/>
      <c r="CR491" s="838"/>
      <c r="CS491" s="838"/>
      <c r="CT491" s="838"/>
      <c r="CU491" s="838"/>
    </row>
    <row r="492">
      <c r="A492" s="834"/>
      <c r="B492" s="834"/>
      <c r="C492" s="834"/>
      <c r="D492" s="834"/>
      <c r="E492" s="834"/>
      <c r="F492" s="834"/>
      <c r="G492" s="834"/>
      <c r="H492" s="834"/>
      <c r="I492" s="834"/>
      <c r="J492" s="834"/>
      <c r="K492" s="834"/>
      <c r="L492" s="834"/>
      <c r="M492" s="834"/>
      <c r="N492" s="834"/>
      <c r="O492" s="834"/>
      <c r="P492" s="834"/>
      <c r="Q492" s="834"/>
      <c r="R492" s="834"/>
      <c r="S492" s="834"/>
      <c r="T492" s="834"/>
      <c r="U492" s="834"/>
      <c r="V492" s="834"/>
      <c r="W492" s="834"/>
      <c r="X492" s="834"/>
      <c r="Y492" s="834"/>
      <c r="Z492" s="834"/>
      <c r="AA492" s="834"/>
      <c r="AB492" s="834"/>
      <c r="AC492" s="834"/>
      <c r="AD492" s="834"/>
      <c r="AE492" s="834"/>
      <c r="AF492" s="834"/>
      <c r="AG492" s="834"/>
      <c r="AH492" s="834"/>
      <c r="AJ492" s="836"/>
      <c r="AK492" s="836"/>
      <c r="AL492" s="836"/>
      <c r="AM492" s="836"/>
      <c r="AN492" s="836"/>
      <c r="AO492" s="836"/>
      <c r="AP492" s="836"/>
      <c r="AQ492" s="836"/>
      <c r="AR492" s="836"/>
      <c r="AS492" s="836"/>
      <c r="AT492" s="836"/>
      <c r="AU492" s="836"/>
      <c r="AV492" s="836"/>
      <c r="AW492" s="836"/>
      <c r="AX492" s="836"/>
      <c r="AY492" s="836"/>
      <c r="AZ492" s="836"/>
      <c r="BA492" s="836"/>
      <c r="BB492" s="836"/>
      <c r="BC492" s="836"/>
      <c r="BD492" s="836"/>
      <c r="BE492" s="836"/>
      <c r="BF492" s="836"/>
      <c r="BG492" s="836"/>
      <c r="BH492" s="836"/>
      <c r="BI492" s="836"/>
      <c r="BJ492" s="836"/>
      <c r="BK492" s="836"/>
      <c r="BL492" s="836"/>
      <c r="BM492" s="836"/>
      <c r="BN492" s="836"/>
      <c r="BO492" s="836"/>
      <c r="BP492" s="836"/>
      <c r="BR492" s="838"/>
      <c r="BS492" s="838"/>
      <c r="BT492" s="838"/>
      <c r="BU492" s="838"/>
      <c r="BV492" s="838"/>
      <c r="BW492" s="838"/>
      <c r="BX492" s="838"/>
      <c r="BY492" s="838"/>
      <c r="BZ492" s="838"/>
      <c r="CA492" s="838"/>
      <c r="CB492" s="838"/>
      <c r="CC492" s="838"/>
      <c r="CD492" s="838"/>
      <c r="CE492" s="838"/>
      <c r="CF492" s="838"/>
      <c r="CG492" s="838"/>
      <c r="CH492" s="838"/>
      <c r="CI492" s="838"/>
      <c r="CJ492" s="838"/>
      <c r="CK492" s="838"/>
      <c r="CL492" s="838"/>
      <c r="CM492" s="838"/>
      <c r="CN492" s="838"/>
      <c r="CO492" s="838"/>
      <c r="CP492" s="838"/>
      <c r="CQ492" s="838"/>
      <c r="CR492" s="838"/>
      <c r="CS492" s="838"/>
      <c r="CT492" s="838"/>
      <c r="CU492" s="838"/>
    </row>
    <row r="493">
      <c r="A493" s="834"/>
      <c r="B493" s="834"/>
      <c r="C493" s="834"/>
      <c r="D493" s="834"/>
      <c r="E493" s="834"/>
      <c r="F493" s="834"/>
      <c r="G493" s="834"/>
      <c r="H493" s="834"/>
      <c r="I493" s="834"/>
      <c r="J493" s="834"/>
      <c r="K493" s="834"/>
      <c r="L493" s="834"/>
      <c r="M493" s="834"/>
      <c r="N493" s="834"/>
      <c r="O493" s="834"/>
      <c r="P493" s="834"/>
      <c r="Q493" s="834"/>
      <c r="R493" s="834"/>
      <c r="S493" s="834"/>
      <c r="T493" s="834"/>
      <c r="U493" s="834"/>
      <c r="V493" s="834"/>
      <c r="W493" s="834"/>
      <c r="X493" s="834"/>
      <c r="Y493" s="834"/>
      <c r="Z493" s="834"/>
      <c r="AA493" s="834"/>
      <c r="AB493" s="834"/>
      <c r="AC493" s="834"/>
      <c r="AD493" s="834"/>
      <c r="AE493" s="834"/>
      <c r="AF493" s="834"/>
      <c r="AG493" s="834"/>
      <c r="AH493" s="834"/>
      <c r="AJ493" s="836"/>
      <c r="AK493" s="836"/>
      <c r="AL493" s="836"/>
      <c r="AM493" s="836"/>
      <c r="AN493" s="836"/>
      <c r="AO493" s="836"/>
      <c r="AP493" s="836"/>
      <c r="AQ493" s="836"/>
      <c r="AR493" s="836"/>
      <c r="AS493" s="836"/>
      <c r="AT493" s="836"/>
      <c r="AU493" s="836"/>
      <c r="AV493" s="836"/>
      <c r="AW493" s="836"/>
      <c r="AX493" s="836"/>
      <c r="AY493" s="836"/>
      <c r="AZ493" s="836"/>
      <c r="BA493" s="836"/>
      <c r="BB493" s="836"/>
      <c r="BC493" s="836"/>
      <c r="BD493" s="836"/>
      <c r="BE493" s="836"/>
      <c r="BF493" s="836"/>
      <c r="BG493" s="836"/>
      <c r="BH493" s="836"/>
      <c r="BI493" s="836"/>
      <c r="BJ493" s="836"/>
      <c r="BK493" s="836"/>
      <c r="BL493" s="836"/>
      <c r="BM493" s="836"/>
      <c r="BN493" s="836"/>
      <c r="BO493" s="836"/>
      <c r="BP493" s="836"/>
      <c r="BR493" s="838"/>
      <c r="BS493" s="838"/>
      <c r="BT493" s="838"/>
      <c r="BU493" s="838"/>
      <c r="BV493" s="838"/>
      <c r="BW493" s="838"/>
      <c r="BX493" s="838"/>
      <c r="BY493" s="838"/>
      <c r="BZ493" s="838"/>
      <c r="CA493" s="838"/>
      <c r="CB493" s="838"/>
      <c r="CC493" s="838"/>
      <c r="CD493" s="838"/>
      <c r="CE493" s="838"/>
      <c r="CF493" s="838"/>
      <c r="CG493" s="838"/>
      <c r="CH493" s="838"/>
      <c r="CI493" s="838"/>
      <c r="CJ493" s="838"/>
      <c r="CK493" s="838"/>
      <c r="CL493" s="838"/>
      <c r="CM493" s="838"/>
      <c r="CN493" s="838"/>
      <c r="CO493" s="838"/>
      <c r="CP493" s="838"/>
      <c r="CQ493" s="838"/>
      <c r="CR493" s="838"/>
      <c r="CS493" s="838"/>
      <c r="CT493" s="838"/>
      <c r="CU493" s="838"/>
    </row>
    <row r="494">
      <c r="A494" s="834"/>
      <c r="B494" s="834"/>
      <c r="C494" s="834"/>
      <c r="D494" s="834"/>
      <c r="E494" s="834"/>
      <c r="F494" s="834"/>
      <c r="G494" s="834"/>
      <c r="H494" s="834"/>
      <c r="I494" s="834"/>
      <c r="J494" s="834"/>
      <c r="K494" s="834"/>
      <c r="L494" s="834"/>
      <c r="M494" s="834"/>
      <c r="N494" s="834"/>
      <c r="O494" s="834"/>
      <c r="P494" s="834"/>
      <c r="Q494" s="834"/>
      <c r="R494" s="834"/>
      <c r="S494" s="834"/>
      <c r="T494" s="834"/>
      <c r="U494" s="834"/>
      <c r="V494" s="834"/>
      <c r="W494" s="834"/>
      <c r="X494" s="834"/>
      <c r="Y494" s="834"/>
      <c r="Z494" s="834"/>
      <c r="AA494" s="834"/>
      <c r="AB494" s="834"/>
      <c r="AC494" s="834"/>
      <c r="AD494" s="834"/>
      <c r="AE494" s="834"/>
      <c r="AF494" s="834"/>
      <c r="AG494" s="834"/>
      <c r="AH494" s="834"/>
      <c r="AJ494" s="836"/>
      <c r="AK494" s="836"/>
      <c r="AL494" s="836"/>
      <c r="AM494" s="836"/>
      <c r="AN494" s="836"/>
      <c r="AO494" s="836"/>
      <c r="AP494" s="836"/>
      <c r="AQ494" s="836"/>
      <c r="AR494" s="836"/>
      <c r="AS494" s="836"/>
      <c r="AT494" s="836"/>
      <c r="AU494" s="836"/>
      <c r="AV494" s="836"/>
      <c r="AW494" s="836"/>
      <c r="AX494" s="836"/>
      <c r="AY494" s="836"/>
      <c r="AZ494" s="836"/>
      <c r="BA494" s="836"/>
      <c r="BB494" s="836"/>
      <c r="BC494" s="836"/>
      <c r="BD494" s="836"/>
      <c r="BE494" s="836"/>
      <c r="BF494" s="836"/>
      <c r="BG494" s="836"/>
      <c r="BH494" s="836"/>
      <c r="BI494" s="836"/>
      <c r="BJ494" s="836"/>
      <c r="BK494" s="836"/>
      <c r="BL494" s="836"/>
      <c r="BM494" s="836"/>
      <c r="BN494" s="836"/>
      <c r="BO494" s="836"/>
      <c r="BP494" s="836"/>
      <c r="BR494" s="838"/>
      <c r="BS494" s="838"/>
      <c r="BT494" s="838"/>
      <c r="BU494" s="838"/>
      <c r="BV494" s="838"/>
      <c r="BW494" s="838"/>
      <c r="BX494" s="838"/>
      <c r="BY494" s="838"/>
      <c r="BZ494" s="838"/>
      <c r="CA494" s="838"/>
      <c r="CB494" s="838"/>
      <c r="CC494" s="838"/>
      <c r="CD494" s="838"/>
      <c r="CE494" s="838"/>
      <c r="CF494" s="838"/>
      <c r="CG494" s="838"/>
      <c r="CH494" s="838"/>
      <c r="CI494" s="838"/>
      <c r="CJ494" s="838"/>
      <c r="CK494" s="838"/>
      <c r="CL494" s="838"/>
      <c r="CM494" s="838"/>
      <c r="CN494" s="838"/>
      <c r="CO494" s="838"/>
      <c r="CP494" s="838"/>
      <c r="CQ494" s="838"/>
      <c r="CR494" s="838"/>
      <c r="CS494" s="838"/>
      <c r="CT494" s="838"/>
      <c r="CU494" s="838"/>
    </row>
    <row r="495">
      <c r="A495" s="834"/>
      <c r="B495" s="834"/>
      <c r="C495" s="834"/>
      <c r="D495" s="834"/>
      <c r="E495" s="834"/>
      <c r="F495" s="834"/>
      <c r="G495" s="834"/>
      <c r="H495" s="834"/>
      <c r="I495" s="834"/>
      <c r="J495" s="834"/>
      <c r="K495" s="834"/>
      <c r="L495" s="834"/>
      <c r="M495" s="834"/>
      <c r="N495" s="834"/>
      <c r="O495" s="834"/>
      <c r="P495" s="834"/>
      <c r="Q495" s="834"/>
      <c r="R495" s="834"/>
      <c r="S495" s="834"/>
      <c r="T495" s="834"/>
      <c r="U495" s="834"/>
      <c r="V495" s="834"/>
      <c r="W495" s="834"/>
      <c r="X495" s="834"/>
      <c r="Y495" s="834"/>
      <c r="Z495" s="834"/>
      <c r="AA495" s="834"/>
      <c r="AB495" s="834"/>
      <c r="AC495" s="834"/>
      <c r="AD495" s="834"/>
      <c r="AE495" s="834"/>
      <c r="AF495" s="834"/>
      <c r="AG495" s="834"/>
      <c r="AH495" s="834"/>
      <c r="AJ495" s="836"/>
      <c r="AK495" s="836"/>
      <c r="AL495" s="836"/>
      <c r="AM495" s="836"/>
      <c r="AN495" s="836"/>
      <c r="AO495" s="836"/>
      <c r="AP495" s="836"/>
      <c r="AQ495" s="836"/>
      <c r="AR495" s="836"/>
      <c r="AS495" s="836"/>
      <c r="AT495" s="836"/>
      <c r="AU495" s="836"/>
      <c r="AV495" s="836"/>
      <c r="AW495" s="836"/>
      <c r="AX495" s="836"/>
      <c r="AY495" s="836"/>
      <c r="AZ495" s="836"/>
      <c r="BA495" s="836"/>
      <c r="BB495" s="836"/>
      <c r="BC495" s="836"/>
      <c r="BD495" s="836"/>
      <c r="BE495" s="836"/>
      <c r="BF495" s="836"/>
      <c r="BG495" s="836"/>
      <c r="BH495" s="836"/>
      <c r="BI495" s="836"/>
      <c r="BJ495" s="836"/>
      <c r="BK495" s="836"/>
      <c r="BL495" s="836"/>
      <c r="BM495" s="836"/>
      <c r="BN495" s="836"/>
      <c r="BO495" s="836"/>
      <c r="BP495" s="836"/>
      <c r="BR495" s="838"/>
      <c r="BS495" s="838"/>
      <c r="BT495" s="838"/>
      <c r="BU495" s="838"/>
      <c r="BV495" s="838"/>
      <c r="BW495" s="838"/>
      <c r="BX495" s="838"/>
      <c r="BY495" s="838"/>
      <c r="BZ495" s="838"/>
      <c r="CA495" s="838"/>
      <c r="CB495" s="838"/>
      <c r="CC495" s="838"/>
      <c r="CD495" s="838"/>
      <c r="CE495" s="838"/>
      <c r="CF495" s="838"/>
      <c r="CG495" s="838"/>
      <c r="CH495" s="838"/>
      <c r="CI495" s="838"/>
      <c r="CJ495" s="838"/>
      <c r="CK495" s="838"/>
      <c r="CL495" s="838"/>
      <c r="CM495" s="838"/>
      <c r="CN495" s="838"/>
      <c r="CO495" s="838"/>
      <c r="CP495" s="838"/>
      <c r="CQ495" s="838"/>
      <c r="CR495" s="838"/>
      <c r="CS495" s="838"/>
      <c r="CT495" s="838"/>
      <c r="CU495" s="838"/>
    </row>
    <row r="496">
      <c r="A496" s="834"/>
      <c r="B496" s="834"/>
      <c r="C496" s="834"/>
      <c r="D496" s="834"/>
      <c r="E496" s="834"/>
      <c r="F496" s="834"/>
      <c r="G496" s="834"/>
      <c r="H496" s="834"/>
      <c r="I496" s="834"/>
      <c r="J496" s="834"/>
      <c r="K496" s="834"/>
      <c r="L496" s="834"/>
      <c r="M496" s="834"/>
      <c r="N496" s="834"/>
      <c r="O496" s="834"/>
      <c r="P496" s="834"/>
      <c r="Q496" s="834"/>
      <c r="R496" s="834"/>
      <c r="S496" s="834"/>
      <c r="T496" s="834"/>
      <c r="U496" s="834"/>
      <c r="V496" s="834"/>
      <c r="W496" s="834"/>
      <c r="X496" s="834"/>
      <c r="Y496" s="834"/>
      <c r="Z496" s="834"/>
      <c r="AA496" s="834"/>
      <c r="AB496" s="834"/>
      <c r="AC496" s="834"/>
      <c r="AD496" s="834"/>
      <c r="AE496" s="834"/>
      <c r="AF496" s="834"/>
      <c r="AG496" s="834"/>
      <c r="AH496" s="834"/>
      <c r="AJ496" s="836"/>
      <c r="AK496" s="836"/>
      <c r="AL496" s="836"/>
      <c r="AM496" s="836"/>
      <c r="AN496" s="836"/>
      <c r="AO496" s="836"/>
      <c r="AP496" s="836"/>
      <c r="AQ496" s="836"/>
      <c r="AR496" s="836"/>
      <c r="AS496" s="836"/>
      <c r="AT496" s="836"/>
      <c r="AU496" s="836"/>
      <c r="AV496" s="836"/>
      <c r="AW496" s="836"/>
      <c r="AX496" s="836"/>
      <c r="AY496" s="836"/>
      <c r="AZ496" s="836"/>
      <c r="BA496" s="836"/>
      <c r="BB496" s="836"/>
      <c r="BC496" s="836"/>
      <c r="BD496" s="836"/>
      <c r="BE496" s="836"/>
      <c r="BF496" s="836"/>
      <c r="BG496" s="836"/>
      <c r="BH496" s="836"/>
      <c r="BI496" s="836"/>
      <c r="BJ496" s="836"/>
      <c r="BK496" s="836"/>
      <c r="BL496" s="836"/>
      <c r="BM496" s="836"/>
      <c r="BN496" s="836"/>
      <c r="BO496" s="836"/>
      <c r="BP496" s="836"/>
      <c r="BR496" s="838"/>
      <c r="BS496" s="838"/>
      <c r="BT496" s="838"/>
      <c r="BU496" s="838"/>
      <c r="BV496" s="838"/>
      <c r="BW496" s="838"/>
      <c r="BX496" s="838"/>
      <c r="BY496" s="838"/>
      <c r="BZ496" s="838"/>
      <c r="CA496" s="838"/>
      <c r="CB496" s="838"/>
      <c r="CC496" s="838"/>
      <c r="CD496" s="838"/>
      <c r="CE496" s="838"/>
      <c r="CF496" s="838"/>
      <c r="CG496" s="838"/>
      <c r="CH496" s="838"/>
      <c r="CI496" s="838"/>
      <c r="CJ496" s="838"/>
      <c r="CK496" s="838"/>
      <c r="CL496" s="838"/>
      <c r="CM496" s="838"/>
      <c r="CN496" s="838"/>
      <c r="CO496" s="838"/>
      <c r="CP496" s="838"/>
      <c r="CQ496" s="838"/>
      <c r="CR496" s="838"/>
      <c r="CS496" s="838"/>
      <c r="CT496" s="838"/>
      <c r="CU496" s="838"/>
    </row>
    <row r="497">
      <c r="A497" s="834"/>
      <c r="B497" s="834"/>
      <c r="C497" s="834"/>
      <c r="D497" s="834"/>
      <c r="E497" s="834"/>
      <c r="F497" s="834"/>
      <c r="G497" s="834"/>
      <c r="H497" s="834"/>
      <c r="I497" s="834"/>
      <c r="J497" s="834"/>
      <c r="K497" s="834"/>
      <c r="L497" s="834"/>
      <c r="M497" s="834"/>
      <c r="N497" s="834"/>
      <c r="O497" s="834"/>
      <c r="P497" s="834"/>
      <c r="Q497" s="834"/>
      <c r="R497" s="834"/>
      <c r="S497" s="834"/>
      <c r="T497" s="834"/>
      <c r="U497" s="834"/>
      <c r="V497" s="834"/>
      <c r="W497" s="834"/>
      <c r="X497" s="834"/>
      <c r="Y497" s="834"/>
      <c r="Z497" s="834"/>
      <c r="AA497" s="834"/>
      <c r="AB497" s="834"/>
      <c r="AC497" s="834"/>
      <c r="AD497" s="834"/>
      <c r="AE497" s="834"/>
      <c r="AF497" s="834"/>
      <c r="AG497" s="834"/>
      <c r="AH497" s="834"/>
      <c r="AJ497" s="836"/>
      <c r="AK497" s="836"/>
      <c r="AL497" s="836"/>
      <c r="AM497" s="836"/>
      <c r="AN497" s="836"/>
      <c r="AO497" s="836"/>
      <c r="AP497" s="836"/>
      <c r="AQ497" s="836"/>
      <c r="AR497" s="836"/>
      <c r="AS497" s="836"/>
      <c r="AT497" s="836"/>
      <c r="AU497" s="836"/>
      <c r="AV497" s="836"/>
      <c r="AW497" s="836"/>
      <c r="AX497" s="836"/>
      <c r="AY497" s="836"/>
      <c r="AZ497" s="836"/>
      <c r="BA497" s="836"/>
      <c r="BB497" s="836"/>
      <c r="BC497" s="836"/>
      <c r="BD497" s="836"/>
      <c r="BE497" s="836"/>
      <c r="BF497" s="836"/>
      <c r="BG497" s="836"/>
      <c r="BH497" s="836"/>
      <c r="BI497" s="836"/>
      <c r="BJ497" s="836"/>
      <c r="BK497" s="836"/>
      <c r="BL497" s="836"/>
      <c r="BM497" s="836"/>
      <c r="BN497" s="836"/>
      <c r="BO497" s="836"/>
      <c r="BP497" s="836"/>
      <c r="BR497" s="838"/>
      <c r="BS497" s="838"/>
      <c r="BT497" s="838"/>
      <c r="BU497" s="838"/>
      <c r="BV497" s="838"/>
      <c r="BW497" s="838"/>
      <c r="BX497" s="838"/>
      <c r="BY497" s="838"/>
      <c r="BZ497" s="838"/>
      <c r="CA497" s="838"/>
      <c r="CB497" s="838"/>
      <c r="CC497" s="838"/>
      <c r="CD497" s="838"/>
      <c r="CE497" s="838"/>
      <c r="CF497" s="838"/>
      <c r="CG497" s="838"/>
      <c r="CH497" s="838"/>
      <c r="CI497" s="838"/>
      <c r="CJ497" s="838"/>
      <c r="CK497" s="838"/>
      <c r="CL497" s="838"/>
      <c r="CM497" s="838"/>
      <c r="CN497" s="838"/>
      <c r="CO497" s="838"/>
      <c r="CP497" s="838"/>
      <c r="CQ497" s="838"/>
      <c r="CR497" s="838"/>
      <c r="CS497" s="838"/>
      <c r="CT497" s="838"/>
      <c r="CU497" s="838"/>
    </row>
    <row r="498">
      <c r="A498" s="834"/>
      <c r="B498" s="834"/>
      <c r="C498" s="834"/>
      <c r="D498" s="834"/>
      <c r="E498" s="834"/>
      <c r="F498" s="834"/>
      <c r="G498" s="834"/>
      <c r="H498" s="834"/>
      <c r="I498" s="834"/>
      <c r="J498" s="834"/>
      <c r="K498" s="834"/>
      <c r="L498" s="834"/>
      <c r="M498" s="834"/>
      <c r="N498" s="834"/>
      <c r="O498" s="834"/>
      <c r="P498" s="834"/>
      <c r="Q498" s="834"/>
      <c r="R498" s="834"/>
      <c r="S498" s="834"/>
      <c r="T498" s="834"/>
      <c r="U498" s="834"/>
      <c r="V498" s="834"/>
      <c r="W498" s="834"/>
      <c r="X498" s="834"/>
      <c r="Y498" s="834"/>
      <c r="Z498" s="834"/>
      <c r="AA498" s="834"/>
      <c r="AB498" s="834"/>
      <c r="AC498" s="834"/>
      <c r="AD498" s="834"/>
      <c r="AE498" s="834"/>
      <c r="AF498" s="834"/>
      <c r="AG498" s="834"/>
      <c r="AH498" s="834"/>
      <c r="AJ498" s="836"/>
      <c r="AK498" s="836"/>
      <c r="AL498" s="836"/>
      <c r="AM498" s="836"/>
      <c r="AN498" s="836"/>
      <c r="AO498" s="836"/>
      <c r="AP498" s="836"/>
      <c r="AQ498" s="836"/>
      <c r="AR498" s="836"/>
      <c r="AS498" s="836"/>
      <c r="AT498" s="836"/>
      <c r="AU498" s="836"/>
      <c r="AV498" s="836"/>
      <c r="AW498" s="836"/>
      <c r="AX498" s="836"/>
      <c r="AY498" s="836"/>
      <c r="AZ498" s="836"/>
      <c r="BA498" s="836"/>
      <c r="BB498" s="836"/>
      <c r="BC498" s="836"/>
      <c r="BD498" s="836"/>
      <c r="BE498" s="836"/>
      <c r="BF498" s="836"/>
      <c r="BG498" s="836"/>
      <c r="BH498" s="836"/>
      <c r="BI498" s="836"/>
      <c r="BJ498" s="836"/>
      <c r="BK498" s="836"/>
      <c r="BL498" s="836"/>
      <c r="BM498" s="836"/>
      <c r="BN498" s="836"/>
      <c r="BO498" s="836"/>
      <c r="BP498" s="836"/>
      <c r="BR498" s="838"/>
      <c r="BS498" s="838"/>
      <c r="BT498" s="838"/>
      <c r="BU498" s="838"/>
      <c r="BV498" s="838"/>
      <c r="BW498" s="838"/>
      <c r="BX498" s="838"/>
      <c r="BY498" s="838"/>
      <c r="BZ498" s="838"/>
      <c r="CA498" s="838"/>
      <c r="CB498" s="838"/>
      <c r="CC498" s="838"/>
      <c r="CD498" s="838"/>
      <c r="CE498" s="838"/>
      <c r="CF498" s="838"/>
      <c r="CG498" s="838"/>
      <c r="CH498" s="838"/>
      <c r="CI498" s="838"/>
      <c r="CJ498" s="838"/>
      <c r="CK498" s="838"/>
      <c r="CL498" s="838"/>
      <c r="CM498" s="838"/>
      <c r="CN498" s="838"/>
      <c r="CO498" s="838"/>
      <c r="CP498" s="838"/>
      <c r="CQ498" s="838"/>
      <c r="CR498" s="838"/>
      <c r="CS498" s="838"/>
      <c r="CT498" s="838"/>
      <c r="CU498" s="838"/>
    </row>
    <row r="499">
      <c r="A499" s="834"/>
      <c r="B499" s="834"/>
      <c r="C499" s="834"/>
      <c r="D499" s="834"/>
      <c r="E499" s="834"/>
      <c r="F499" s="834"/>
      <c r="G499" s="834"/>
      <c r="H499" s="834"/>
      <c r="I499" s="834"/>
      <c r="J499" s="834"/>
      <c r="K499" s="834"/>
      <c r="L499" s="834"/>
      <c r="M499" s="834"/>
      <c r="N499" s="834"/>
      <c r="O499" s="834"/>
      <c r="P499" s="834"/>
      <c r="Q499" s="834"/>
      <c r="R499" s="834"/>
      <c r="S499" s="834"/>
      <c r="T499" s="834"/>
      <c r="U499" s="834"/>
      <c r="V499" s="834"/>
      <c r="W499" s="834"/>
      <c r="X499" s="834"/>
      <c r="Y499" s="834"/>
      <c r="Z499" s="834"/>
      <c r="AA499" s="834"/>
      <c r="AB499" s="834"/>
      <c r="AC499" s="834"/>
      <c r="AD499" s="834"/>
      <c r="AE499" s="834"/>
      <c r="AF499" s="834"/>
      <c r="AG499" s="834"/>
      <c r="AH499" s="834"/>
      <c r="AJ499" s="836"/>
      <c r="AK499" s="836"/>
      <c r="AL499" s="836"/>
      <c r="AM499" s="836"/>
      <c r="AN499" s="836"/>
      <c r="AO499" s="836"/>
      <c r="AP499" s="836"/>
      <c r="AQ499" s="836"/>
      <c r="AR499" s="836"/>
      <c r="AS499" s="836"/>
      <c r="AT499" s="836"/>
      <c r="AU499" s="836"/>
      <c r="AV499" s="836"/>
      <c r="AW499" s="836"/>
      <c r="AX499" s="836"/>
      <c r="AY499" s="836"/>
      <c r="AZ499" s="836"/>
      <c r="BA499" s="836"/>
      <c r="BB499" s="836"/>
      <c r="BC499" s="836"/>
      <c r="BD499" s="836"/>
      <c r="BE499" s="836"/>
      <c r="BF499" s="836"/>
      <c r="BG499" s="836"/>
      <c r="BH499" s="836"/>
      <c r="BI499" s="836"/>
      <c r="BJ499" s="836"/>
      <c r="BK499" s="836"/>
      <c r="BL499" s="836"/>
      <c r="BM499" s="836"/>
      <c r="BN499" s="836"/>
      <c r="BO499" s="836"/>
      <c r="BP499" s="836"/>
      <c r="BR499" s="838"/>
      <c r="BS499" s="838"/>
      <c r="BT499" s="838"/>
      <c r="BU499" s="838"/>
      <c r="BV499" s="838"/>
      <c r="BW499" s="838"/>
      <c r="BX499" s="838"/>
      <c r="BY499" s="838"/>
      <c r="BZ499" s="838"/>
      <c r="CA499" s="838"/>
      <c r="CB499" s="838"/>
      <c r="CC499" s="838"/>
      <c r="CD499" s="838"/>
      <c r="CE499" s="838"/>
      <c r="CF499" s="838"/>
      <c r="CG499" s="838"/>
      <c r="CH499" s="838"/>
      <c r="CI499" s="838"/>
      <c r="CJ499" s="838"/>
      <c r="CK499" s="838"/>
      <c r="CL499" s="838"/>
      <c r="CM499" s="838"/>
      <c r="CN499" s="838"/>
      <c r="CO499" s="838"/>
      <c r="CP499" s="838"/>
      <c r="CQ499" s="838"/>
      <c r="CR499" s="838"/>
      <c r="CS499" s="838"/>
      <c r="CT499" s="838"/>
      <c r="CU499" s="838"/>
    </row>
    <row r="500">
      <c r="A500" s="859" t="s">
        <v>15</v>
      </c>
      <c r="B500" s="860"/>
      <c r="C500" s="860"/>
      <c r="D500" s="860"/>
      <c r="E500" s="860"/>
      <c r="F500" s="860"/>
      <c r="G500" s="860"/>
      <c r="H500" s="860"/>
      <c r="I500" s="860"/>
      <c r="J500" s="860"/>
      <c r="K500" s="860"/>
      <c r="L500" s="860"/>
      <c r="M500" s="860"/>
      <c r="N500" s="860"/>
      <c r="O500" s="860"/>
      <c r="P500" s="860"/>
      <c r="Q500" s="860"/>
      <c r="R500" s="860"/>
      <c r="S500" s="860"/>
      <c r="T500" s="860"/>
      <c r="U500" s="860"/>
      <c r="V500" s="860"/>
      <c r="W500" s="860"/>
      <c r="X500" s="860"/>
      <c r="Y500" s="860"/>
      <c r="Z500" s="860"/>
      <c r="AA500" s="860"/>
      <c r="AB500" s="860"/>
      <c r="AC500" s="860"/>
      <c r="AD500" s="860"/>
      <c r="AE500" s="860"/>
      <c r="AF500" s="860"/>
      <c r="AG500" s="860"/>
      <c r="AH500" s="860"/>
      <c r="AJ500" s="836"/>
      <c r="AK500" s="836"/>
      <c r="AL500" s="836"/>
      <c r="AM500" s="836"/>
      <c r="AN500" s="836"/>
      <c r="AO500" s="836"/>
      <c r="AP500" s="836"/>
      <c r="AQ500" s="836"/>
      <c r="AR500" s="836"/>
      <c r="AS500" s="836"/>
      <c r="AT500" s="836"/>
      <c r="AU500" s="836"/>
      <c r="AV500" s="836"/>
      <c r="AW500" s="836"/>
      <c r="AX500" s="836"/>
      <c r="AY500" s="836"/>
      <c r="AZ500" s="836"/>
      <c r="BA500" s="836"/>
      <c r="BB500" s="836"/>
      <c r="BC500" s="836"/>
      <c r="BD500" s="836"/>
      <c r="BE500" s="836"/>
      <c r="BF500" s="836"/>
      <c r="BG500" s="836"/>
      <c r="BH500" s="836"/>
      <c r="BI500" s="836"/>
      <c r="BJ500" s="836"/>
      <c r="BK500" s="836"/>
      <c r="BL500" s="836"/>
      <c r="BM500" s="836"/>
      <c r="BN500" s="836"/>
      <c r="BO500" s="836"/>
      <c r="BP500" s="836"/>
      <c r="BR500" s="838"/>
      <c r="BS500" s="838"/>
      <c r="BT500" s="838"/>
      <c r="BU500" s="838"/>
      <c r="BV500" s="838"/>
      <c r="BW500" s="838"/>
      <c r="BX500" s="838"/>
      <c r="BY500" s="838"/>
      <c r="BZ500" s="838"/>
      <c r="CA500" s="838"/>
      <c r="CB500" s="838"/>
      <c r="CC500" s="838"/>
      <c r="CD500" s="838"/>
      <c r="CE500" s="838"/>
      <c r="CF500" s="838"/>
      <c r="CG500" s="838"/>
      <c r="CH500" s="838"/>
      <c r="CI500" s="838"/>
      <c r="CJ500" s="838"/>
      <c r="CK500" s="838"/>
      <c r="CL500" s="838"/>
      <c r="CM500" s="838"/>
      <c r="CN500" s="838"/>
      <c r="CO500" s="838"/>
      <c r="CP500" s="838"/>
      <c r="CQ500" s="838"/>
      <c r="CR500" s="838"/>
      <c r="CS500" s="838"/>
      <c r="CT500" s="838"/>
      <c r="CU500" s="838"/>
    </row>
    <row r="501">
      <c r="A501" s="861" t="str">
        <f>IFERROR(__xludf.DUMMYFUNCTION("IMPORTRANGE(""https://docs.google.com/spreadsheets/d/1QRQZ1dDCYbiMzRfYTyHjZPTx9lswwKIi7jfTp2GjYp0/edit#gid=0"",""Sheet1!A2:AD400"")"),"#REF!")</f>
        <v>#REF!</v>
      </c>
      <c r="B501" s="860"/>
      <c r="C501" s="860"/>
      <c r="D501" s="860"/>
      <c r="E501" s="860"/>
      <c r="F501" s="860"/>
      <c r="G501" s="860"/>
      <c r="H501" s="860"/>
      <c r="I501" s="860"/>
      <c r="J501" s="860"/>
      <c r="K501" s="860"/>
      <c r="L501" s="860"/>
      <c r="M501" s="860"/>
      <c r="N501" s="860"/>
      <c r="O501" s="860"/>
      <c r="P501" s="860"/>
      <c r="Q501" s="860"/>
      <c r="R501" s="860"/>
      <c r="S501" s="860"/>
      <c r="T501" s="860"/>
      <c r="U501" s="860"/>
      <c r="V501" s="860"/>
      <c r="W501" s="860"/>
      <c r="X501" s="860"/>
      <c r="Y501" s="860"/>
      <c r="Z501" s="860"/>
      <c r="AA501" s="860"/>
      <c r="AB501" s="860"/>
      <c r="AC501" s="860"/>
      <c r="AD501" s="860"/>
      <c r="AE501" s="860"/>
      <c r="AF501" s="860"/>
      <c r="AG501" s="860"/>
      <c r="AH501" s="860"/>
      <c r="AJ501" s="836"/>
      <c r="AK501" s="836"/>
      <c r="AL501" s="836"/>
      <c r="AM501" s="836"/>
      <c r="AN501" s="836"/>
      <c r="AO501" s="836"/>
      <c r="AP501" s="836"/>
      <c r="AQ501" s="836"/>
      <c r="AR501" s="836"/>
      <c r="AS501" s="836"/>
      <c r="AT501" s="836"/>
      <c r="AU501" s="836"/>
      <c r="AV501" s="836"/>
      <c r="AW501" s="836"/>
      <c r="AX501" s="836"/>
      <c r="AY501" s="836"/>
      <c r="AZ501" s="836"/>
      <c r="BA501" s="836"/>
      <c r="BB501" s="836"/>
      <c r="BC501" s="836"/>
      <c r="BD501" s="836"/>
      <c r="BE501" s="836"/>
      <c r="BF501" s="836"/>
      <c r="BG501" s="836"/>
      <c r="BH501" s="836"/>
      <c r="BI501" s="836"/>
      <c r="BJ501" s="836"/>
      <c r="BK501" s="836"/>
      <c r="BL501" s="836"/>
      <c r="BM501" s="836"/>
      <c r="BN501" s="836"/>
      <c r="BO501" s="836"/>
      <c r="BP501" s="836"/>
      <c r="BR501" s="838"/>
      <c r="BS501" s="838"/>
      <c r="BT501" s="838"/>
      <c r="BU501" s="838"/>
      <c r="BV501" s="838"/>
      <c r="BW501" s="838"/>
      <c r="BX501" s="838"/>
      <c r="BY501" s="838"/>
      <c r="BZ501" s="838"/>
      <c r="CA501" s="838"/>
      <c r="CB501" s="838"/>
      <c r="CC501" s="838"/>
      <c r="CD501" s="838"/>
      <c r="CE501" s="838"/>
      <c r="CF501" s="838"/>
      <c r="CG501" s="838"/>
      <c r="CH501" s="838"/>
      <c r="CI501" s="838"/>
      <c r="CJ501" s="838"/>
      <c r="CK501" s="838"/>
      <c r="CL501" s="838"/>
      <c r="CM501" s="838"/>
      <c r="CN501" s="838"/>
      <c r="CO501" s="838"/>
      <c r="CP501" s="838"/>
      <c r="CQ501" s="838"/>
      <c r="CR501" s="838"/>
      <c r="CS501" s="838"/>
      <c r="CT501" s="838"/>
      <c r="CU501" s="838"/>
    </row>
    <row r="502">
      <c r="A502" s="860"/>
      <c r="B502" s="860"/>
      <c r="C502" s="860"/>
      <c r="D502" s="860"/>
      <c r="E502" s="860"/>
      <c r="F502" s="860"/>
      <c r="G502" s="860"/>
      <c r="H502" s="860"/>
      <c r="I502" s="860"/>
      <c r="J502" s="860"/>
      <c r="K502" s="860"/>
      <c r="L502" s="860"/>
      <c r="M502" s="860"/>
      <c r="N502" s="860"/>
      <c r="O502" s="860"/>
      <c r="P502" s="860"/>
      <c r="Q502" s="860"/>
      <c r="R502" s="860"/>
      <c r="S502" s="860"/>
      <c r="T502" s="860"/>
      <c r="U502" s="860"/>
      <c r="V502" s="860"/>
      <c r="W502" s="860"/>
      <c r="X502" s="860"/>
      <c r="Y502" s="860"/>
      <c r="Z502" s="860"/>
      <c r="AA502" s="860"/>
      <c r="AB502" s="860"/>
      <c r="AC502" s="860"/>
      <c r="AD502" s="860"/>
      <c r="AE502" s="860"/>
      <c r="AF502" s="860"/>
      <c r="AG502" s="860"/>
      <c r="AH502" s="860"/>
      <c r="AJ502" s="836"/>
      <c r="AK502" s="836"/>
      <c r="AL502" s="836"/>
      <c r="AM502" s="836"/>
      <c r="AN502" s="836"/>
      <c r="AO502" s="836"/>
      <c r="AP502" s="836"/>
      <c r="AQ502" s="836"/>
      <c r="AR502" s="836"/>
      <c r="AS502" s="836"/>
      <c r="AT502" s="836"/>
      <c r="AU502" s="836"/>
      <c r="AV502" s="836"/>
      <c r="AW502" s="836"/>
      <c r="AX502" s="836"/>
      <c r="AY502" s="836"/>
      <c r="AZ502" s="836"/>
      <c r="BA502" s="836"/>
      <c r="BB502" s="836"/>
      <c r="BC502" s="836"/>
      <c r="BD502" s="836"/>
      <c r="BE502" s="836"/>
      <c r="BF502" s="836"/>
      <c r="BG502" s="836"/>
      <c r="BH502" s="836"/>
      <c r="BI502" s="836"/>
      <c r="BJ502" s="836"/>
      <c r="BK502" s="836"/>
      <c r="BL502" s="836"/>
      <c r="BM502" s="836"/>
      <c r="BN502" s="836"/>
      <c r="BO502" s="836"/>
      <c r="BP502" s="836"/>
      <c r="BR502" s="838"/>
      <c r="BS502" s="838"/>
      <c r="BT502" s="838"/>
      <c r="BU502" s="838"/>
      <c r="BV502" s="838"/>
      <c r="BW502" s="838"/>
      <c r="BX502" s="838"/>
      <c r="BY502" s="838"/>
      <c r="BZ502" s="838"/>
      <c r="CA502" s="838"/>
      <c r="CB502" s="838"/>
      <c r="CC502" s="838"/>
      <c r="CD502" s="838"/>
      <c r="CE502" s="838"/>
      <c r="CF502" s="838"/>
      <c r="CG502" s="838"/>
      <c r="CH502" s="838"/>
      <c r="CI502" s="838"/>
      <c r="CJ502" s="838"/>
      <c r="CK502" s="838"/>
      <c r="CL502" s="838"/>
      <c r="CM502" s="838"/>
      <c r="CN502" s="838"/>
      <c r="CO502" s="838"/>
      <c r="CP502" s="838"/>
      <c r="CQ502" s="838"/>
      <c r="CR502" s="838"/>
      <c r="CS502" s="838"/>
      <c r="CT502" s="838"/>
      <c r="CU502" s="838"/>
    </row>
    <row r="503">
      <c r="A503" s="860"/>
      <c r="B503" s="860"/>
      <c r="C503" s="860"/>
      <c r="D503" s="860"/>
      <c r="E503" s="860"/>
      <c r="F503" s="860"/>
      <c r="G503" s="860"/>
      <c r="H503" s="860"/>
      <c r="I503" s="860"/>
      <c r="J503" s="860"/>
      <c r="K503" s="860"/>
      <c r="L503" s="860"/>
      <c r="M503" s="860"/>
      <c r="N503" s="860"/>
      <c r="O503" s="860"/>
      <c r="P503" s="860"/>
      <c r="Q503" s="860"/>
      <c r="R503" s="860"/>
      <c r="S503" s="860"/>
      <c r="T503" s="860"/>
      <c r="U503" s="860"/>
      <c r="V503" s="860"/>
      <c r="W503" s="860"/>
      <c r="X503" s="860"/>
      <c r="Y503" s="860"/>
      <c r="Z503" s="860"/>
      <c r="AA503" s="860"/>
      <c r="AB503" s="860"/>
      <c r="AC503" s="860"/>
      <c r="AD503" s="860"/>
      <c r="AE503" s="860"/>
      <c r="AF503" s="860"/>
      <c r="AG503" s="860"/>
      <c r="AH503" s="860"/>
      <c r="AJ503" s="836"/>
      <c r="AK503" s="836"/>
      <c r="AL503" s="836"/>
      <c r="AM503" s="836"/>
      <c r="AN503" s="836"/>
      <c r="AO503" s="836"/>
      <c r="AP503" s="836"/>
      <c r="AQ503" s="836"/>
      <c r="AR503" s="836"/>
      <c r="AS503" s="836"/>
      <c r="AT503" s="836"/>
      <c r="AU503" s="836"/>
      <c r="AV503" s="836"/>
      <c r="AW503" s="836"/>
      <c r="AX503" s="836"/>
      <c r="AY503" s="836"/>
      <c r="AZ503" s="836"/>
      <c r="BA503" s="836"/>
      <c r="BB503" s="836"/>
      <c r="BC503" s="836"/>
      <c r="BD503" s="836"/>
      <c r="BE503" s="836"/>
      <c r="BF503" s="836"/>
      <c r="BG503" s="836"/>
      <c r="BH503" s="836"/>
      <c r="BI503" s="836"/>
      <c r="BJ503" s="836"/>
      <c r="BK503" s="836"/>
      <c r="BL503" s="836"/>
      <c r="BM503" s="836"/>
      <c r="BN503" s="836"/>
      <c r="BO503" s="836"/>
      <c r="BP503" s="836"/>
      <c r="BR503" s="838"/>
      <c r="BS503" s="838"/>
      <c r="BT503" s="838"/>
      <c r="BU503" s="838"/>
      <c r="BV503" s="838"/>
      <c r="BW503" s="838"/>
      <c r="BX503" s="838"/>
      <c r="BY503" s="838"/>
      <c r="BZ503" s="838"/>
      <c r="CA503" s="838"/>
      <c r="CB503" s="838"/>
      <c r="CC503" s="838"/>
      <c r="CD503" s="838"/>
      <c r="CE503" s="838"/>
      <c r="CF503" s="838"/>
      <c r="CG503" s="838"/>
      <c r="CH503" s="838"/>
      <c r="CI503" s="838"/>
      <c r="CJ503" s="838"/>
      <c r="CK503" s="838"/>
      <c r="CL503" s="838"/>
      <c r="CM503" s="838"/>
      <c r="CN503" s="838"/>
      <c r="CO503" s="838"/>
      <c r="CP503" s="838"/>
      <c r="CQ503" s="838"/>
      <c r="CR503" s="838"/>
      <c r="CS503" s="838"/>
      <c r="CT503" s="838"/>
      <c r="CU503" s="838"/>
    </row>
    <row r="504">
      <c r="A504" s="860"/>
      <c r="B504" s="860"/>
      <c r="C504" s="860"/>
      <c r="D504" s="860"/>
      <c r="E504" s="860"/>
      <c r="F504" s="860"/>
      <c r="G504" s="860"/>
      <c r="H504" s="860"/>
      <c r="I504" s="860"/>
      <c r="J504" s="860"/>
      <c r="K504" s="860"/>
      <c r="L504" s="860"/>
      <c r="M504" s="860"/>
      <c r="N504" s="860"/>
      <c r="O504" s="860"/>
      <c r="P504" s="860"/>
      <c r="Q504" s="860"/>
      <c r="R504" s="860"/>
      <c r="S504" s="860"/>
      <c r="T504" s="860"/>
      <c r="U504" s="860"/>
      <c r="V504" s="860"/>
      <c r="W504" s="860"/>
      <c r="X504" s="860"/>
      <c r="Y504" s="860"/>
      <c r="Z504" s="860"/>
      <c r="AA504" s="860"/>
      <c r="AB504" s="860"/>
      <c r="AC504" s="860"/>
      <c r="AD504" s="860"/>
      <c r="AE504" s="860"/>
      <c r="AF504" s="860"/>
      <c r="AG504" s="860"/>
      <c r="AH504" s="860"/>
      <c r="AJ504" s="836"/>
      <c r="AK504" s="836"/>
      <c r="AL504" s="836"/>
      <c r="AM504" s="836"/>
      <c r="AN504" s="836"/>
      <c r="AO504" s="836"/>
      <c r="AP504" s="836"/>
      <c r="AQ504" s="836"/>
      <c r="AR504" s="836"/>
      <c r="AS504" s="836"/>
      <c r="AT504" s="836"/>
      <c r="AU504" s="836"/>
      <c r="AV504" s="836"/>
      <c r="AW504" s="836"/>
      <c r="AX504" s="836"/>
      <c r="AY504" s="836"/>
      <c r="AZ504" s="836"/>
      <c r="BA504" s="836"/>
      <c r="BB504" s="836"/>
      <c r="BC504" s="836"/>
      <c r="BD504" s="836"/>
      <c r="BE504" s="836"/>
      <c r="BF504" s="836"/>
      <c r="BG504" s="836"/>
      <c r="BH504" s="836"/>
      <c r="BI504" s="836"/>
      <c r="BJ504" s="836"/>
      <c r="BK504" s="836"/>
      <c r="BL504" s="836"/>
      <c r="BM504" s="836"/>
      <c r="BN504" s="836"/>
      <c r="BO504" s="836"/>
      <c r="BP504" s="836"/>
      <c r="BR504" s="838"/>
      <c r="BS504" s="838"/>
      <c r="BT504" s="838"/>
      <c r="BU504" s="838"/>
      <c r="BV504" s="838"/>
      <c r="BW504" s="838"/>
      <c r="BX504" s="838"/>
      <c r="BY504" s="838"/>
      <c r="BZ504" s="838"/>
      <c r="CA504" s="838"/>
      <c r="CB504" s="838"/>
      <c r="CC504" s="838"/>
      <c r="CD504" s="838"/>
      <c r="CE504" s="838"/>
      <c r="CF504" s="838"/>
      <c r="CG504" s="838"/>
      <c r="CH504" s="838"/>
      <c r="CI504" s="838"/>
      <c r="CJ504" s="838"/>
      <c r="CK504" s="838"/>
      <c r="CL504" s="838"/>
      <c r="CM504" s="838"/>
      <c r="CN504" s="838"/>
      <c r="CO504" s="838"/>
      <c r="CP504" s="838"/>
      <c r="CQ504" s="838"/>
      <c r="CR504" s="838"/>
      <c r="CS504" s="838"/>
      <c r="CT504" s="838"/>
      <c r="CU504" s="838"/>
    </row>
    <row r="505">
      <c r="A505" s="860"/>
      <c r="B505" s="860"/>
      <c r="C505" s="860"/>
      <c r="D505" s="860"/>
      <c r="E505" s="860"/>
      <c r="F505" s="860"/>
      <c r="G505" s="860"/>
      <c r="H505" s="860"/>
      <c r="I505" s="860"/>
      <c r="J505" s="860"/>
      <c r="K505" s="860"/>
      <c r="L505" s="860"/>
      <c r="M505" s="860"/>
      <c r="N505" s="860"/>
      <c r="O505" s="860"/>
      <c r="P505" s="860"/>
      <c r="Q505" s="860"/>
      <c r="R505" s="860"/>
      <c r="S505" s="860"/>
      <c r="T505" s="860"/>
      <c r="U505" s="860"/>
      <c r="V505" s="860"/>
      <c r="W505" s="860"/>
      <c r="X505" s="860"/>
      <c r="Y505" s="860"/>
      <c r="Z505" s="860"/>
      <c r="AA505" s="860"/>
      <c r="AB505" s="860"/>
      <c r="AC505" s="860"/>
      <c r="AD505" s="860"/>
      <c r="AE505" s="860"/>
      <c r="AF505" s="860"/>
      <c r="AG505" s="860"/>
      <c r="AH505" s="860"/>
      <c r="AJ505" s="836"/>
      <c r="AK505" s="836"/>
      <c r="AL505" s="836"/>
      <c r="AM505" s="836"/>
      <c r="AN505" s="836"/>
      <c r="AO505" s="836"/>
      <c r="AP505" s="836"/>
      <c r="AQ505" s="836"/>
      <c r="AR505" s="836"/>
      <c r="AS505" s="836"/>
      <c r="AT505" s="836"/>
      <c r="AU505" s="836"/>
      <c r="AV505" s="836"/>
      <c r="AW505" s="836"/>
      <c r="AX505" s="836"/>
      <c r="AY505" s="836"/>
      <c r="AZ505" s="836"/>
      <c r="BA505" s="836"/>
      <c r="BB505" s="836"/>
      <c r="BC505" s="836"/>
      <c r="BD505" s="836"/>
      <c r="BE505" s="836"/>
      <c r="BF505" s="836"/>
      <c r="BG505" s="836"/>
      <c r="BH505" s="836"/>
      <c r="BI505" s="836"/>
      <c r="BJ505" s="836"/>
      <c r="BK505" s="836"/>
      <c r="BL505" s="836"/>
      <c r="BM505" s="836"/>
      <c r="BN505" s="836"/>
      <c r="BO505" s="836"/>
      <c r="BP505" s="836"/>
      <c r="BR505" s="838"/>
      <c r="BS505" s="838"/>
      <c r="BT505" s="838"/>
      <c r="BU505" s="838"/>
      <c r="BV505" s="838"/>
      <c r="BW505" s="838"/>
      <c r="BX505" s="838"/>
      <c r="BY505" s="838"/>
      <c r="BZ505" s="838"/>
      <c r="CA505" s="838"/>
      <c r="CB505" s="838"/>
      <c r="CC505" s="838"/>
      <c r="CD505" s="838"/>
      <c r="CE505" s="838"/>
      <c r="CF505" s="838"/>
      <c r="CG505" s="838"/>
      <c r="CH505" s="838"/>
      <c r="CI505" s="838"/>
      <c r="CJ505" s="838"/>
      <c r="CK505" s="838"/>
      <c r="CL505" s="838"/>
      <c r="CM505" s="838"/>
      <c r="CN505" s="838"/>
      <c r="CO505" s="838"/>
      <c r="CP505" s="838"/>
      <c r="CQ505" s="838"/>
      <c r="CR505" s="838"/>
      <c r="CS505" s="838"/>
      <c r="CT505" s="838"/>
      <c r="CU505" s="838"/>
    </row>
    <row r="506">
      <c r="A506" s="860"/>
      <c r="B506" s="860"/>
      <c r="C506" s="860"/>
      <c r="D506" s="860"/>
      <c r="E506" s="860"/>
      <c r="F506" s="860"/>
      <c r="G506" s="860"/>
      <c r="H506" s="860"/>
      <c r="I506" s="860"/>
      <c r="J506" s="860"/>
      <c r="K506" s="860"/>
      <c r="L506" s="860"/>
      <c r="M506" s="860"/>
      <c r="N506" s="860"/>
      <c r="O506" s="860"/>
      <c r="P506" s="860"/>
      <c r="Q506" s="860"/>
      <c r="R506" s="860"/>
      <c r="S506" s="860"/>
      <c r="T506" s="860"/>
      <c r="U506" s="860"/>
      <c r="V506" s="860"/>
      <c r="W506" s="860"/>
      <c r="X506" s="860"/>
      <c r="Y506" s="860"/>
      <c r="Z506" s="860"/>
      <c r="AA506" s="860"/>
      <c r="AB506" s="860"/>
      <c r="AC506" s="860"/>
      <c r="AD506" s="860"/>
      <c r="AE506" s="860"/>
      <c r="AF506" s="860"/>
      <c r="AG506" s="860"/>
      <c r="AH506" s="860"/>
      <c r="AJ506" s="836"/>
      <c r="AK506" s="836"/>
      <c r="AL506" s="836"/>
      <c r="AM506" s="836"/>
      <c r="AN506" s="836"/>
      <c r="AO506" s="836"/>
      <c r="AP506" s="836"/>
      <c r="AQ506" s="836"/>
      <c r="AR506" s="836"/>
      <c r="AS506" s="836"/>
      <c r="AT506" s="836"/>
      <c r="AU506" s="836"/>
      <c r="AV506" s="836"/>
      <c r="AW506" s="836"/>
      <c r="AX506" s="836"/>
      <c r="AY506" s="836"/>
      <c r="AZ506" s="836"/>
      <c r="BA506" s="836"/>
      <c r="BB506" s="836"/>
      <c r="BC506" s="836"/>
      <c r="BD506" s="836"/>
      <c r="BE506" s="836"/>
      <c r="BF506" s="836"/>
      <c r="BG506" s="836"/>
      <c r="BH506" s="836"/>
      <c r="BI506" s="836"/>
      <c r="BJ506" s="836"/>
      <c r="BK506" s="836"/>
      <c r="BL506" s="836"/>
      <c r="BM506" s="836"/>
      <c r="BN506" s="836"/>
      <c r="BO506" s="836"/>
      <c r="BP506" s="836"/>
      <c r="BR506" s="838"/>
      <c r="BS506" s="838"/>
      <c r="BT506" s="838"/>
      <c r="BU506" s="838"/>
      <c r="BV506" s="838"/>
      <c r="BW506" s="838"/>
      <c r="BX506" s="838"/>
      <c r="BY506" s="838"/>
      <c r="BZ506" s="838"/>
      <c r="CA506" s="838"/>
      <c r="CB506" s="838"/>
      <c r="CC506" s="838"/>
      <c r="CD506" s="838"/>
      <c r="CE506" s="838"/>
      <c r="CF506" s="838"/>
      <c r="CG506" s="838"/>
      <c r="CH506" s="838"/>
      <c r="CI506" s="838"/>
      <c r="CJ506" s="838"/>
      <c r="CK506" s="838"/>
      <c r="CL506" s="838"/>
      <c r="CM506" s="838"/>
      <c r="CN506" s="838"/>
      <c r="CO506" s="838"/>
      <c r="CP506" s="838"/>
      <c r="CQ506" s="838"/>
      <c r="CR506" s="838"/>
      <c r="CS506" s="838"/>
      <c r="CT506" s="838"/>
      <c r="CU506" s="838"/>
    </row>
    <row r="507">
      <c r="A507" s="860"/>
      <c r="B507" s="860"/>
      <c r="C507" s="860"/>
      <c r="D507" s="860"/>
      <c r="E507" s="860"/>
      <c r="F507" s="860"/>
      <c r="G507" s="860"/>
      <c r="H507" s="860"/>
      <c r="I507" s="860"/>
      <c r="J507" s="860"/>
      <c r="K507" s="860"/>
      <c r="L507" s="860"/>
      <c r="M507" s="860"/>
      <c r="N507" s="860"/>
      <c r="O507" s="860"/>
      <c r="P507" s="860"/>
      <c r="Q507" s="860"/>
      <c r="R507" s="860"/>
      <c r="S507" s="860"/>
      <c r="T507" s="860"/>
      <c r="U507" s="860"/>
      <c r="V507" s="860"/>
      <c r="W507" s="860"/>
      <c r="X507" s="860"/>
      <c r="Y507" s="860"/>
      <c r="Z507" s="860"/>
      <c r="AA507" s="860"/>
      <c r="AB507" s="860"/>
      <c r="AC507" s="860"/>
      <c r="AD507" s="860"/>
      <c r="AE507" s="860"/>
      <c r="AF507" s="860"/>
      <c r="AG507" s="860"/>
      <c r="AH507" s="860"/>
      <c r="AJ507" s="836"/>
      <c r="AK507" s="836"/>
      <c r="AL507" s="836"/>
      <c r="AM507" s="836"/>
      <c r="AN507" s="836"/>
      <c r="AO507" s="836"/>
      <c r="AP507" s="836"/>
      <c r="AQ507" s="836"/>
      <c r="AR507" s="836"/>
      <c r="AS507" s="836"/>
      <c r="AT507" s="836"/>
      <c r="AU507" s="836"/>
      <c r="AV507" s="836"/>
      <c r="AW507" s="836"/>
      <c r="AX507" s="836"/>
      <c r="AY507" s="836"/>
      <c r="AZ507" s="836"/>
      <c r="BA507" s="836"/>
      <c r="BB507" s="836"/>
      <c r="BC507" s="836"/>
      <c r="BD507" s="836"/>
      <c r="BE507" s="836"/>
      <c r="BF507" s="836"/>
      <c r="BG507" s="836"/>
      <c r="BH507" s="836"/>
      <c r="BI507" s="836"/>
      <c r="BJ507" s="836"/>
      <c r="BK507" s="836"/>
      <c r="BL507" s="836"/>
      <c r="BM507" s="836"/>
      <c r="BN507" s="836"/>
      <c r="BO507" s="836"/>
      <c r="BP507" s="836"/>
      <c r="BR507" s="838"/>
      <c r="BS507" s="838"/>
      <c r="BT507" s="838"/>
      <c r="BU507" s="838"/>
      <c r="BV507" s="838"/>
      <c r="BW507" s="838"/>
      <c r="BX507" s="838"/>
      <c r="BY507" s="838"/>
      <c r="BZ507" s="838"/>
      <c r="CA507" s="838"/>
      <c r="CB507" s="838"/>
      <c r="CC507" s="838"/>
      <c r="CD507" s="838"/>
      <c r="CE507" s="838"/>
      <c r="CF507" s="838"/>
      <c r="CG507" s="838"/>
      <c r="CH507" s="838"/>
      <c r="CI507" s="838"/>
      <c r="CJ507" s="838"/>
      <c r="CK507" s="838"/>
      <c r="CL507" s="838"/>
      <c r="CM507" s="838"/>
      <c r="CN507" s="838"/>
      <c r="CO507" s="838"/>
      <c r="CP507" s="838"/>
      <c r="CQ507" s="838"/>
      <c r="CR507" s="838"/>
      <c r="CS507" s="838"/>
      <c r="CT507" s="838"/>
      <c r="CU507" s="838"/>
    </row>
    <row r="508">
      <c r="A508" s="860"/>
      <c r="B508" s="860"/>
      <c r="C508" s="860"/>
      <c r="D508" s="860"/>
      <c r="E508" s="860"/>
      <c r="F508" s="860"/>
      <c r="G508" s="860"/>
      <c r="H508" s="860"/>
      <c r="I508" s="860"/>
      <c r="J508" s="860"/>
      <c r="K508" s="860"/>
      <c r="L508" s="860"/>
      <c r="M508" s="860"/>
      <c r="N508" s="860"/>
      <c r="O508" s="860"/>
      <c r="P508" s="860"/>
      <c r="Q508" s="860"/>
      <c r="R508" s="860"/>
      <c r="S508" s="860"/>
      <c r="T508" s="860"/>
      <c r="U508" s="860"/>
      <c r="V508" s="860"/>
      <c r="W508" s="860"/>
      <c r="X508" s="860"/>
      <c r="Y508" s="860"/>
      <c r="Z508" s="860"/>
      <c r="AA508" s="860"/>
      <c r="AB508" s="860"/>
      <c r="AC508" s="860"/>
      <c r="AD508" s="860"/>
      <c r="AE508" s="860"/>
      <c r="AF508" s="860"/>
      <c r="AG508" s="860"/>
      <c r="AH508" s="860"/>
      <c r="AJ508" s="836"/>
      <c r="AK508" s="836"/>
      <c r="AL508" s="836"/>
      <c r="AM508" s="836"/>
      <c r="AN508" s="836"/>
      <c r="AO508" s="836"/>
      <c r="AP508" s="836"/>
      <c r="AQ508" s="836"/>
      <c r="AR508" s="836"/>
      <c r="AS508" s="836"/>
      <c r="AT508" s="836"/>
      <c r="AU508" s="836"/>
      <c r="AV508" s="836"/>
      <c r="AW508" s="836"/>
      <c r="AX508" s="836"/>
      <c r="AY508" s="836"/>
      <c r="AZ508" s="836"/>
      <c r="BA508" s="836"/>
      <c r="BB508" s="836"/>
      <c r="BC508" s="836"/>
      <c r="BD508" s="836"/>
      <c r="BE508" s="836"/>
      <c r="BF508" s="836"/>
      <c r="BG508" s="836"/>
      <c r="BH508" s="836"/>
      <c r="BI508" s="836"/>
      <c r="BJ508" s="836"/>
      <c r="BK508" s="836"/>
      <c r="BL508" s="836"/>
      <c r="BM508" s="836"/>
      <c r="BN508" s="836"/>
      <c r="BO508" s="836"/>
      <c r="BP508" s="836"/>
      <c r="BR508" s="838"/>
      <c r="BS508" s="838"/>
      <c r="BT508" s="838"/>
      <c r="BU508" s="838"/>
      <c r="BV508" s="838"/>
      <c r="BW508" s="838"/>
      <c r="BX508" s="838"/>
      <c r="BY508" s="838"/>
      <c r="BZ508" s="838"/>
      <c r="CA508" s="838"/>
      <c r="CB508" s="838"/>
      <c r="CC508" s="838"/>
      <c r="CD508" s="838"/>
      <c r="CE508" s="838"/>
      <c r="CF508" s="838"/>
      <c r="CG508" s="838"/>
      <c r="CH508" s="838"/>
      <c r="CI508" s="838"/>
      <c r="CJ508" s="838"/>
      <c r="CK508" s="838"/>
      <c r="CL508" s="838"/>
      <c r="CM508" s="838"/>
      <c r="CN508" s="838"/>
      <c r="CO508" s="838"/>
      <c r="CP508" s="838"/>
      <c r="CQ508" s="838"/>
      <c r="CR508" s="838"/>
      <c r="CS508" s="838"/>
      <c r="CT508" s="838"/>
      <c r="CU508" s="838"/>
    </row>
    <row r="509">
      <c r="A509" s="860"/>
      <c r="B509" s="860"/>
      <c r="C509" s="860"/>
      <c r="D509" s="860"/>
      <c r="E509" s="860"/>
      <c r="F509" s="860"/>
      <c r="G509" s="860"/>
      <c r="H509" s="860"/>
      <c r="I509" s="860"/>
      <c r="J509" s="860"/>
      <c r="K509" s="860"/>
      <c r="L509" s="860"/>
      <c r="M509" s="860"/>
      <c r="N509" s="860"/>
      <c r="O509" s="860"/>
      <c r="P509" s="860"/>
      <c r="Q509" s="860"/>
      <c r="R509" s="860"/>
      <c r="S509" s="860"/>
      <c r="T509" s="860"/>
      <c r="U509" s="860"/>
      <c r="V509" s="860"/>
      <c r="W509" s="860"/>
      <c r="X509" s="860"/>
      <c r="Y509" s="860"/>
      <c r="Z509" s="860"/>
      <c r="AA509" s="860"/>
      <c r="AB509" s="860"/>
      <c r="AC509" s="860"/>
      <c r="AD509" s="860"/>
      <c r="AE509" s="860"/>
      <c r="AF509" s="860"/>
      <c r="AG509" s="860"/>
      <c r="AH509" s="860"/>
      <c r="AJ509" s="836"/>
      <c r="AK509" s="836"/>
      <c r="AL509" s="836"/>
      <c r="AM509" s="836"/>
      <c r="AN509" s="836"/>
      <c r="AO509" s="836"/>
      <c r="AP509" s="836"/>
      <c r="AQ509" s="836"/>
      <c r="AR509" s="836"/>
      <c r="AS509" s="836"/>
      <c r="AT509" s="836"/>
      <c r="AU509" s="836"/>
      <c r="AV509" s="836"/>
      <c r="AW509" s="836"/>
      <c r="AX509" s="836"/>
      <c r="AY509" s="836"/>
      <c r="AZ509" s="836"/>
      <c r="BA509" s="836"/>
      <c r="BB509" s="836"/>
      <c r="BC509" s="836"/>
      <c r="BD509" s="836"/>
      <c r="BE509" s="836"/>
      <c r="BF509" s="836"/>
      <c r="BG509" s="836"/>
      <c r="BH509" s="836"/>
      <c r="BI509" s="836"/>
      <c r="BJ509" s="836"/>
      <c r="BK509" s="836"/>
      <c r="BL509" s="836"/>
      <c r="BM509" s="836"/>
      <c r="BN509" s="836"/>
      <c r="BO509" s="836"/>
      <c r="BP509" s="836"/>
      <c r="BR509" s="838"/>
      <c r="BS509" s="838"/>
      <c r="BT509" s="838"/>
      <c r="BU509" s="838"/>
      <c r="BV509" s="838"/>
      <c r="BW509" s="838"/>
      <c r="BX509" s="838"/>
      <c r="BY509" s="838"/>
      <c r="BZ509" s="838"/>
      <c r="CA509" s="838"/>
      <c r="CB509" s="838"/>
      <c r="CC509" s="838"/>
      <c r="CD509" s="838"/>
      <c r="CE509" s="838"/>
      <c r="CF509" s="838"/>
      <c r="CG509" s="838"/>
      <c r="CH509" s="838"/>
      <c r="CI509" s="838"/>
      <c r="CJ509" s="838"/>
      <c r="CK509" s="838"/>
      <c r="CL509" s="838"/>
      <c r="CM509" s="838"/>
      <c r="CN509" s="838"/>
      <c r="CO509" s="838"/>
      <c r="CP509" s="838"/>
      <c r="CQ509" s="838"/>
      <c r="CR509" s="838"/>
      <c r="CS509" s="838"/>
      <c r="CT509" s="838"/>
      <c r="CU509" s="838"/>
    </row>
    <row r="510">
      <c r="A510" s="860"/>
      <c r="B510" s="860"/>
      <c r="C510" s="860"/>
      <c r="D510" s="860"/>
      <c r="E510" s="860"/>
      <c r="F510" s="860"/>
      <c r="G510" s="860"/>
      <c r="H510" s="860"/>
      <c r="I510" s="860"/>
      <c r="J510" s="860"/>
      <c r="K510" s="860"/>
      <c r="L510" s="860"/>
      <c r="M510" s="860"/>
      <c r="N510" s="860"/>
      <c r="O510" s="860"/>
      <c r="P510" s="860"/>
      <c r="Q510" s="860"/>
      <c r="R510" s="860"/>
      <c r="S510" s="860"/>
      <c r="T510" s="860"/>
      <c r="U510" s="860"/>
      <c r="V510" s="860"/>
      <c r="W510" s="860"/>
      <c r="X510" s="860"/>
      <c r="Y510" s="860"/>
      <c r="Z510" s="860"/>
      <c r="AA510" s="860"/>
      <c r="AB510" s="860"/>
      <c r="AC510" s="860"/>
      <c r="AD510" s="860"/>
      <c r="AE510" s="860"/>
      <c r="AF510" s="860"/>
      <c r="AG510" s="860"/>
      <c r="AH510" s="860"/>
      <c r="AJ510" s="836"/>
      <c r="AK510" s="836"/>
      <c r="AL510" s="836"/>
      <c r="AM510" s="836"/>
      <c r="AN510" s="836"/>
      <c r="AO510" s="836"/>
      <c r="AP510" s="836"/>
      <c r="AQ510" s="836"/>
      <c r="AR510" s="836"/>
      <c r="AS510" s="836"/>
      <c r="AT510" s="836"/>
      <c r="AU510" s="836"/>
      <c r="AV510" s="836"/>
      <c r="AW510" s="836"/>
      <c r="AX510" s="836"/>
      <c r="AY510" s="836"/>
      <c r="AZ510" s="836"/>
      <c r="BA510" s="836"/>
      <c r="BB510" s="836"/>
      <c r="BC510" s="836"/>
      <c r="BD510" s="836"/>
      <c r="BE510" s="836"/>
      <c r="BF510" s="836"/>
      <c r="BG510" s="836"/>
      <c r="BH510" s="836"/>
      <c r="BI510" s="836"/>
      <c r="BJ510" s="836"/>
      <c r="BK510" s="836"/>
      <c r="BL510" s="836"/>
      <c r="BM510" s="836"/>
      <c r="BN510" s="836"/>
      <c r="BO510" s="836"/>
      <c r="BP510" s="836"/>
      <c r="BR510" s="838"/>
      <c r="BS510" s="838"/>
      <c r="BT510" s="838"/>
      <c r="BU510" s="838"/>
      <c r="BV510" s="838"/>
      <c r="BW510" s="838"/>
      <c r="BX510" s="838"/>
      <c r="BY510" s="838"/>
      <c r="BZ510" s="838"/>
      <c r="CA510" s="838"/>
      <c r="CB510" s="838"/>
      <c r="CC510" s="838"/>
      <c r="CD510" s="838"/>
      <c r="CE510" s="838"/>
      <c r="CF510" s="838"/>
      <c r="CG510" s="838"/>
      <c r="CH510" s="838"/>
      <c r="CI510" s="838"/>
      <c r="CJ510" s="838"/>
      <c r="CK510" s="838"/>
      <c r="CL510" s="838"/>
      <c r="CM510" s="838"/>
      <c r="CN510" s="838"/>
      <c r="CO510" s="838"/>
      <c r="CP510" s="838"/>
      <c r="CQ510" s="838"/>
      <c r="CR510" s="838"/>
      <c r="CS510" s="838"/>
      <c r="CT510" s="838"/>
      <c r="CU510" s="838"/>
    </row>
    <row r="511">
      <c r="A511" s="860"/>
      <c r="B511" s="860"/>
      <c r="C511" s="860"/>
      <c r="D511" s="860"/>
      <c r="E511" s="860"/>
      <c r="F511" s="860"/>
      <c r="G511" s="860"/>
      <c r="H511" s="860"/>
      <c r="I511" s="860"/>
      <c r="J511" s="860"/>
      <c r="K511" s="860"/>
      <c r="L511" s="860"/>
      <c r="M511" s="860"/>
      <c r="N511" s="860"/>
      <c r="O511" s="860"/>
      <c r="P511" s="860"/>
      <c r="Q511" s="860"/>
      <c r="R511" s="860"/>
      <c r="S511" s="860"/>
      <c r="T511" s="860"/>
      <c r="U511" s="860"/>
      <c r="V511" s="860"/>
      <c r="W511" s="860"/>
      <c r="X511" s="860"/>
      <c r="Y511" s="860"/>
      <c r="Z511" s="860"/>
      <c r="AA511" s="860"/>
      <c r="AB511" s="860"/>
      <c r="AC511" s="860"/>
      <c r="AD511" s="860"/>
      <c r="AE511" s="860"/>
      <c r="AF511" s="860"/>
      <c r="AG511" s="860"/>
      <c r="AH511" s="860"/>
      <c r="AJ511" s="836"/>
      <c r="AK511" s="836"/>
      <c r="AL511" s="836"/>
      <c r="AM511" s="836"/>
      <c r="AN511" s="836"/>
      <c r="AO511" s="836"/>
      <c r="AP511" s="836"/>
      <c r="AQ511" s="836"/>
      <c r="AR511" s="836"/>
      <c r="AS511" s="836"/>
      <c r="AT511" s="836"/>
      <c r="AU511" s="836"/>
      <c r="AV511" s="836"/>
      <c r="AW511" s="836"/>
      <c r="AX511" s="836"/>
      <c r="AY511" s="836"/>
      <c r="AZ511" s="836"/>
      <c r="BA511" s="836"/>
      <c r="BB511" s="836"/>
      <c r="BC511" s="836"/>
      <c r="BD511" s="836"/>
      <c r="BE511" s="836"/>
      <c r="BF511" s="836"/>
      <c r="BG511" s="836"/>
      <c r="BH511" s="836"/>
      <c r="BI511" s="836"/>
      <c r="BJ511" s="836"/>
      <c r="BK511" s="836"/>
      <c r="BL511" s="836"/>
      <c r="BM511" s="836"/>
      <c r="BN511" s="836"/>
      <c r="BO511" s="836"/>
      <c r="BP511" s="836"/>
      <c r="BR511" s="838"/>
      <c r="BS511" s="838"/>
      <c r="BT511" s="838"/>
      <c r="BU511" s="838"/>
      <c r="BV511" s="838"/>
      <c r="BW511" s="838"/>
      <c r="BX511" s="838"/>
      <c r="BY511" s="838"/>
      <c r="BZ511" s="838"/>
      <c r="CA511" s="838"/>
      <c r="CB511" s="838"/>
      <c r="CC511" s="838"/>
      <c r="CD511" s="838"/>
      <c r="CE511" s="838"/>
      <c r="CF511" s="838"/>
      <c r="CG511" s="838"/>
      <c r="CH511" s="838"/>
      <c r="CI511" s="838"/>
      <c r="CJ511" s="838"/>
      <c r="CK511" s="838"/>
      <c r="CL511" s="838"/>
      <c r="CM511" s="838"/>
      <c r="CN511" s="838"/>
      <c r="CO511" s="838"/>
      <c r="CP511" s="838"/>
      <c r="CQ511" s="838"/>
      <c r="CR511" s="838"/>
      <c r="CS511" s="838"/>
      <c r="CT511" s="838"/>
      <c r="CU511" s="838"/>
    </row>
    <row r="512">
      <c r="A512" s="860"/>
      <c r="B512" s="860"/>
      <c r="C512" s="860"/>
      <c r="D512" s="860"/>
      <c r="E512" s="860"/>
      <c r="F512" s="860"/>
      <c r="G512" s="860"/>
      <c r="H512" s="860"/>
      <c r="I512" s="860"/>
      <c r="J512" s="860"/>
      <c r="K512" s="860"/>
      <c r="L512" s="860"/>
      <c r="M512" s="860"/>
      <c r="N512" s="860"/>
      <c r="O512" s="860"/>
      <c r="P512" s="860"/>
      <c r="Q512" s="860"/>
      <c r="R512" s="860"/>
      <c r="S512" s="860"/>
      <c r="T512" s="860"/>
      <c r="U512" s="860"/>
      <c r="V512" s="860"/>
      <c r="W512" s="860"/>
      <c r="X512" s="860"/>
      <c r="Y512" s="860"/>
      <c r="Z512" s="860"/>
      <c r="AA512" s="860"/>
      <c r="AB512" s="860"/>
      <c r="AC512" s="860"/>
      <c r="AD512" s="860"/>
      <c r="AE512" s="860"/>
      <c r="AF512" s="860"/>
      <c r="AG512" s="860"/>
      <c r="AH512" s="860"/>
      <c r="AJ512" s="836"/>
      <c r="AK512" s="836"/>
      <c r="AL512" s="836"/>
      <c r="AM512" s="836"/>
      <c r="AN512" s="836"/>
      <c r="AO512" s="836"/>
      <c r="AP512" s="836"/>
      <c r="AQ512" s="836"/>
      <c r="AR512" s="836"/>
      <c r="AS512" s="836"/>
      <c r="AT512" s="836"/>
      <c r="AU512" s="836"/>
      <c r="AV512" s="836"/>
      <c r="AW512" s="836"/>
      <c r="AX512" s="836"/>
      <c r="AY512" s="836"/>
      <c r="AZ512" s="836"/>
      <c r="BA512" s="836"/>
      <c r="BB512" s="836"/>
      <c r="BC512" s="836"/>
      <c r="BD512" s="836"/>
      <c r="BE512" s="836"/>
      <c r="BF512" s="836"/>
      <c r="BG512" s="836"/>
      <c r="BH512" s="836"/>
      <c r="BI512" s="836"/>
      <c r="BJ512" s="836"/>
      <c r="BK512" s="836"/>
      <c r="BL512" s="836"/>
      <c r="BM512" s="836"/>
      <c r="BN512" s="836"/>
      <c r="BO512" s="836"/>
      <c r="BP512" s="836"/>
      <c r="BR512" s="838"/>
      <c r="BS512" s="838"/>
      <c r="BT512" s="838"/>
      <c r="BU512" s="838"/>
      <c r="BV512" s="838"/>
      <c r="BW512" s="838"/>
      <c r="BX512" s="838"/>
      <c r="BY512" s="838"/>
      <c r="BZ512" s="838"/>
      <c r="CA512" s="838"/>
      <c r="CB512" s="838"/>
      <c r="CC512" s="838"/>
      <c r="CD512" s="838"/>
      <c r="CE512" s="838"/>
      <c r="CF512" s="838"/>
      <c r="CG512" s="838"/>
      <c r="CH512" s="838"/>
      <c r="CI512" s="838"/>
      <c r="CJ512" s="838"/>
      <c r="CK512" s="838"/>
      <c r="CL512" s="838"/>
      <c r="CM512" s="838"/>
      <c r="CN512" s="838"/>
      <c r="CO512" s="838"/>
      <c r="CP512" s="838"/>
      <c r="CQ512" s="838"/>
      <c r="CR512" s="838"/>
      <c r="CS512" s="838"/>
      <c r="CT512" s="838"/>
      <c r="CU512" s="838"/>
    </row>
    <row r="513">
      <c r="A513" s="860"/>
      <c r="B513" s="860"/>
      <c r="C513" s="860"/>
      <c r="D513" s="860"/>
      <c r="E513" s="860"/>
      <c r="F513" s="860"/>
      <c r="G513" s="860"/>
      <c r="H513" s="860"/>
      <c r="I513" s="860"/>
      <c r="J513" s="860"/>
      <c r="K513" s="860"/>
      <c r="L513" s="860"/>
      <c r="M513" s="860"/>
      <c r="N513" s="860"/>
      <c r="O513" s="860"/>
      <c r="P513" s="860"/>
      <c r="Q513" s="860"/>
      <c r="R513" s="860"/>
      <c r="S513" s="860"/>
      <c r="T513" s="860"/>
      <c r="U513" s="860"/>
      <c r="V513" s="860"/>
      <c r="W513" s="860"/>
      <c r="X513" s="860"/>
      <c r="Y513" s="860"/>
      <c r="Z513" s="860"/>
      <c r="AA513" s="860"/>
      <c r="AB513" s="860"/>
      <c r="AC513" s="860"/>
      <c r="AD513" s="860"/>
      <c r="AE513" s="860"/>
      <c r="AF513" s="860"/>
      <c r="AG513" s="860"/>
      <c r="AH513" s="860"/>
      <c r="AJ513" s="836"/>
      <c r="AK513" s="836"/>
      <c r="AL513" s="836"/>
      <c r="AM513" s="836"/>
      <c r="AN513" s="836"/>
      <c r="AO513" s="836"/>
      <c r="AP513" s="836"/>
      <c r="AQ513" s="836"/>
      <c r="AR513" s="836"/>
      <c r="AS513" s="836"/>
      <c r="AT513" s="836"/>
      <c r="AU513" s="836"/>
      <c r="AV513" s="836"/>
      <c r="AW513" s="836"/>
      <c r="AX513" s="836"/>
      <c r="AY513" s="836"/>
      <c r="AZ513" s="836"/>
      <c r="BA513" s="836"/>
      <c r="BB513" s="836"/>
      <c r="BC513" s="836"/>
      <c r="BD513" s="836"/>
      <c r="BE513" s="836"/>
      <c r="BF513" s="836"/>
      <c r="BG513" s="836"/>
      <c r="BH513" s="836"/>
      <c r="BI513" s="836"/>
      <c r="BJ513" s="836"/>
      <c r="BK513" s="836"/>
      <c r="BL513" s="836"/>
      <c r="BM513" s="836"/>
      <c r="BN513" s="836"/>
      <c r="BO513" s="836"/>
      <c r="BP513" s="836"/>
      <c r="BR513" s="838"/>
      <c r="BS513" s="838"/>
      <c r="BT513" s="838"/>
      <c r="BU513" s="838"/>
      <c r="BV513" s="838"/>
      <c r="BW513" s="838"/>
      <c r="BX513" s="838"/>
      <c r="BY513" s="838"/>
      <c r="BZ513" s="838"/>
      <c r="CA513" s="838"/>
      <c r="CB513" s="838"/>
      <c r="CC513" s="838"/>
      <c r="CD513" s="838"/>
      <c r="CE513" s="838"/>
      <c r="CF513" s="838"/>
      <c r="CG513" s="838"/>
      <c r="CH513" s="838"/>
      <c r="CI513" s="838"/>
      <c r="CJ513" s="838"/>
      <c r="CK513" s="838"/>
      <c r="CL513" s="838"/>
      <c r="CM513" s="838"/>
      <c r="CN513" s="838"/>
      <c r="CO513" s="838"/>
      <c r="CP513" s="838"/>
      <c r="CQ513" s="838"/>
      <c r="CR513" s="838"/>
      <c r="CS513" s="838"/>
      <c r="CT513" s="838"/>
      <c r="CU513" s="838"/>
    </row>
    <row r="514">
      <c r="A514" s="860"/>
      <c r="B514" s="860"/>
      <c r="C514" s="860"/>
      <c r="D514" s="860"/>
      <c r="E514" s="860"/>
      <c r="F514" s="860"/>
      <c r="G514" s="860"/>
      <c r="H514" s="860"/>
      <c r="I514" s="860"/>
      <c r="J514" s="860"/>
      <c r="K514" s="860"/>
      <c r="L514" s="860"/>
      <c r="M514" s="860"/>
      <c r="N514" s="860"/>
      <c r="O514" s="860"/>
      <c r="P514" s="860"/>
      <c r="Q514" s="860"/>
      <c r="R514" s="860"/>
      <c r="S514" s="860"/>
      <c r="T514" s="860"/>
      <c r="U514" s="860"/>
      <c r="V514" s="860"/>
      <c r="W514" s="860"/>
      <c r="X514" s="860"/>
      <c r="Y514" s="860"/>
      <c r="Z514" s="860"/>
      <c r="AA514" s="860"/>
      <c r="AB514" s="860"/>
      <c r="AC514" s="860"/>
      <c r="AD514" s="860"/>
      <c r="AE514" s="860"/>
      <c r="AF514" s="860"/>
      <c r="AG514" s="860"/>
      <c r="AH514" s="860"/>
      <c r="AJ514" s="836"/>
      <c r="AK514" s="836"/>
      <c r="AL514" s="836"/>
      <c r="AM514" s="836"/>
      <c r="AN514" s="836"/>
      <c r="AO514" s="836"/>
      <c r="AP514" s="836"/>
      <c r="AQ514" s="836"/>
      <c r="AR514" s="836"/>
      <c r="AS514" s="836"/>
      <c r="AT514" s="836"/>
      <c r="AU514" s="836"/>
      <c r="AV514" s="836"/>
      <c r="AW514" s="836"/>
      <c r="AX514" s="836"/>
      <c r="AY514" s="836"/>
      <c r="AZ514" s="836"/>
      <c r="BA514" s="836"/>
      <c r="BB514" s="836"/>
      <c r="BC514" s="836"/>
      <c r="BD514" s="836"/>
      <c r="BE514" s="836"/>
      <c r="BF514" s="836"/>
      <c r="BG514" s="836"/>
      <c r="BH514" s="836"/>
      <c r="BI514" s="836"/>
      <c r="BJ514" s="836"/>
      <c r="BK514" s="836"/>
      <c r="BL514" s="836"/>
      <c r="BM514" s="836"/>
      <c r="BN514" s="836"/>
      <c r="BO514" s="836"/>
      <c r="BP514" s="836"/>
      <c r="BR514" s="838"/>
      <c r="BS514" s="838"/>
      <c r="BT514" s="838"/>
      <c r="BU514" s="838"/>
      <c r="BV514" s="838"/>
      <c r="BW514" s="838"/>
      <c r="BX514" s="838"/>
      <c r="BY514" s="838"/>
      <c r="BZ514" s="838"/>
      <c r="CA514" s="838"/>
      <c r="CB514" s="838"/>
      <c r="CC514" s="838"/>
      <c r="CD514" s="838"/>
      <c r="CE514" s="838"/>
      <c r="CF514" s="838"/>
      <c r="CG514" s="838"/>
      <c r="CH514" s="838"/>
      <c r="CI514" s="838"/>
      <c r="CJ514" s="838"/>
      <c r="CK514" s="838"/>
      <c r="CL514" s="838"/>
      <c r="CM514" s="838"/>
      <c r="CN514" s="838"/>
      <c r="CO514" s="838"/>
      <c r="CP514" s="838"/>
      <c r="CQ514" s="838"/>
      <c r="CR514" s="838"/>
      <c r="CS514" s="838"/>
      <c r="CT514" s="838"/>
      <c r="CU514" s="838"/>
    </row>
    <row r="515">
      <c r="A515" s="860"/>
      <c r="B515" s="860"/>
      <c r="C515" s="860"/>
      <c r="D515" s="860"/>
      <c r="E515" s="860"/>
      <c r="F515" s="860"/>
      <c r="G515" s="860"/>
      <c r="H515" s="860"/>
      <c r="I515" s="860"/>
      <c r="J515" s="860"/>
      <c r="K515" s="860"/>
      <c r="L515" s="860"/>
      <c r="M515" s="860"/>
      <c r="N515" s="860"/>
      <c r="O515" s="860"/>
      <c r="P515" s="860"/>
      <c r="Q515" s="860"/>
      <c r="R515" s="860"/>
      <c r="S515" s="860"/>
      <c r="T515" s="860"/>
      <c r="U515" s="860"/>
      <c r="V515" s="860"/>
      <c r="W515" s="860"/>
      <c r="X515" s="860"/>
      <c r="Y515" s="860"/>
      <c r="Z515" s="860"/>
      <c r="AA515" s="860"/>
      <c r="AB515" s="860"/>
      <c r="AC515" s="860"/>
      <c r="AD515" s="860"/>
      <c r="AE515" s="860"/>
      <c r="AF515" s="860"/>
      <c r="AG515" s="860"/>
      <c r="AH515" s="860"/>
      <c r="AJ515" s="836"/>
      <c r="AK515" s="836"/>
      <c r="AL515" s="836"/>
      <c r="AM515" s="836"/>
      <c r="AN515" s="836"/>
      <c r="AO515" s="836"/>
      <c r="AP515" s="836"/>
      <c r="AQ515" s="836"/>
      <c r="AR515" s="836"/>
      <c r="AS515" s="836"/>
      <c r="AT515" s="836"/>
      <c r="AU515" s="836"/>
      <c r="AV515" s="836"/>
      <c r="AW515" s="836"/>
      <c r="AX515" s="836"/>
      <c r="AY515" s="836"/>
      <c r="AZ515" s="836"/>
      <c r="BA515" s="836"/>
      <c r="BB515" s="836"/>
      <c r="BC515" s="836"/>
      <c r="BD515" s="836"/>
      <c r="BE515" s="836"/>
      <c r="BF515" s="836"/>
      <c r="BG515" s="836"/>
      <c r="BH515" s="836"/>
      <c r="BI515" s="836"/>
      <c r="BJ515" s="836"/>
      <c r="BK515" s="836"/>
      <c r="BL515" s="836"/>
      <c r="BM515" s="836"/>
      <c r="BN515" s="836"/>
      <c r="BO515" s="836"/>
      <c r="BP515" s="836"/>
      <c r="BR515" s="838"/>
      <c r="BS515" s="838"/>
      <c r="BT515" s="838"/>
      <c r="BU515" s="838"/>
      <c r="BV515" s="838"/>
      <c r="BW515" s="838"/>
      <c r="BX515" s="838"/>
      <c r="BY515" s="838"/>
      <c r="BZ515" s="838"/>
      <c r="CA515" s="838"/>
      <c r="CB515" s="838"/>
      <c r="CC515" s="838"/>
      <c r="CD515" s="838"/>
      <c r="CE515" s="838"/>
      <c r="CF515" s="838"/>
      <c r="CG515" s="838"/>
      <c r="CH515" s="838"/>
      <c r="CI515" s="838"/>
      <c r="CJ515" s="838"/>
      <c r="CK515" s="838"/>
      <c r="CL515" s="838"/>
      <c r="CM515" s="838"/>
      <c r="CN515" s="838"/>
      <c r="CO515" s="838"/>
      <c r="CP515" s="838"/>
      <c r="CQ515" s="838"/>
      <c r="CR515" s="838"/>
      <c r="CS515" s="838"/>
      <c r="CT515" s="838"/>
      <c r="CU515" s="838"/>
    </row>
    <row r="516">
      <c r="A516" s="860"/>
      <c r="B516" s="860"/>
      <c r="C516" s="860"/>
      <c r="D516" s="860"/>
      <c r="E516" s="860"/>
      <c r="F516" s="860"/>
      <c r="G516" s="860"/>
      <c r="H516" s="860"/>
      <c r="I516" s="860"/>
      <c r="J516" s="860"/>
      <c r="K516" s="860"/>
      <c r="L516" s="860"/>
      <c r="M516" s="860"/>
      <c r="N516" s="860"/>
      <c r="O516" s="860"/>
      <c r="P516" s="860"/>
      <c r="Q516" s="860"/>
      <c r="R516" s="860"/>
      <c r="S516" s="860"/>
      <c r="T516" s="860"/>
      <c r="U516" s="860"/>
      <c r="V516" s="860"/>
      <c r="W516" s="860"/>
      <c r="X516" s="860"/>
      <c r="Y516" s="860"/>
      <c r="Z516" s="860"/>
      <c r="AA516" s="860"/>
      <c r="AB516" s="860"/>
      <c r="AC516" s="860"/>
      <c r="AD516" s="860"/>
      <c r="AE516" s="860"/>
      <c r="AF516" s="860"/>
      <c r="AG516" s="860"/>
      <c r="AH516" s="860"/>
      <c r="AJ516" s="836"/>
      <c r="AK516" s="836"/>
      <c r="AL516" s="836"/>
      <c r="AM516" s="836"/>
      <c r="AN516" s="836"/>
      <c r="AO516" s="836"/>
      <c r="AP516" s="836"/>
      <c r="AQ516" s="836"/>
      <c r="AR516" s="836"/>
      <c r="AS516" s="836"/>
      <c r="AT516" s="836"/>
      <c r="AU516" s="836"/>
      <c r="AV516" s="836"/>
      <c r="AW516" s="836"/>
      <c r="AX516" s="836"/>
      <c r="AY516" s="836"/>
      <c r="AZ516" s="836"/>
      <c r="BA516" s="836"/>
      <c r="BB516" s="836"/>
      <c r="BC516" s="836"/>
      <c r="BD516" s="836"/>
      <c r="BE516" s="836"/>
      <c r="BF516" s="836"/>
      <c r="BG516" s="836"/>
      <c r="BH516" s="836"/>
      <c r="BI516" s="836"/>
      <c r="BJ516" s="836"/>
      <c r="BK516" s="836"/>
      <c r="BL516" s="836"/>
      <c r="BM516" s="836"/>
      <c r="BN516" s="836"/>
      <c r="BO516" s="836"/>
      <c r="BP516" s="836"/>
      <c r="BR516" s="838"/>
      <c r="BS516" s="838"/>
      <c r="BT516" s="838"/>
      <c r="BU516" s="838"/>
      <c r="BV516" s="838"/>
      <c r="BW516" s="838"/>
      <c r="BX516" s="838"/>
      <c r="BY516" s="838"/>
      <c r="BZ516" s="838"/>
      <c r="CA516" s="838"/>
      <c r="CB516" s="838"/>
      <c r="CC516" s="838"/>
      <c r="CD516" s="838"/>
      <c r="CE516" s="838"/>
      <c r="CF516" s="838"/>
      <c r="CG516" s="838"/>
      <c r="CH516" s="838"/>
      <c r="CI516" s="838"/>
      <c r="CJ516" s="838"/>
      <c r="CK516" s="838"/>
      <c r="CL516" s="838"/>
      <c r="CM516" s="838"/>
      <c r="CN516" s="838"/>
      <c r="CO516" s="838"/>
      <c r="CP516" s="838"/>
      <c r="CQ516" s="838"/>
      <c r="CR516" s="838"/>
      <c r="CS516" s="838"/>
      <c r="CT516" s="838"/>
      <c r="CU516" s="838"/>
    </row>
    <row r="517">
      <c r="A517" s="860"/>
      <c r="B517" s="860"/>
      <c r="C517" s="860"/>
      <c r="D517" s="860"/>
      <c r="E517" s="860"/>
      <c r="F517" s="860"/>
      <c r="G517" s="860"/>
      <c r="H517" s="860"/>
      <c r="I517" s="860"/>
      <c r="J517" s="860"/>
      <c r="K517" s="860"/>
      <c r="L517" s="860"/>
      <c r="M517" s="860"/>
      <c r="N517" s="860"/>
      <c r="O517" s="860"/>
      <c r="P517" s="860"/>
      <c r="Q517" s="860"/>
      <c r="R517" s="860"/>
      <c r="S517" s="860"/>
      <c r="T517" s="860"/>
      <c r="U517" s="860"/>
      <c r="V517" s="860"/>
      <c r="W517" s="860"/>
      <c r="X517" s="860"/>
      <c r="Y517" s="860"/>
      <c r="Z517" s="860"/>
      <c r="AA517" s="860"/>
      <c r="AB517" s="860"/>
      <c r="AC517" s="860"/>
      <c r="AD517" s="860"/>
      <c r="AE517" s="860"/>
      <c r="AF517" s="860"/>
      <c r="AG517" s="860"/>
      <c r="AH517" s="860"/>
      <c r="AJ517" s="836"/>
      <c r="AK517" s="836"/>
      <c r="AL517" s="836"/>
      <c r="AM517" s="836"/>
      <c r="AN517" s="836"/>
      <c r="AO517" s="836"/>
      <c r="AP517" s="836"/>
      <c r="AQ517" s="836"/>
      <c r="AR517" s="836"/>
      <c r="AS517" s="836"/>
      <c r="AT517" s="836"/>
      <c r="AU517" s="836"/>
      <c r="AV517" s="836"/>
      <c r="AW517" s="836"/>
      <c r="AX517" s="836"/>
      <c r="AY517" s="836"/>
      <c r="AZ517" s="836"/>
      <c r="BA517" s="836"/>
      <c r="BB517" s="836"/>
      <c r="BC517" s="836"/>
      <c r="BD517" s="836"/>
      <c r="BE517" s="836"/>
      <c r="BF517" s="836"/>
      <c r="BG517" s="836"/>
      <c r="BH517" s="836"/>
      <c r="BI517" s="836"/>
      <c r="BJ517" s="836"/>
      <c r="BK517" s="836"/>
      <c r="BL517" s="836"/>
      <c r="BM517" s="836"/>
      <c r="BN517" s="836"/>
      <c r="BO517" s="836"/>
      <c r="BP517" s="836"/>
      <c r="BR517" s="838"/>
      <c r="BS517" s="838"/>
      <c r="BT517" s="838"/>
      <c r="BU517" s="838"/>
      <c r="BV517" s="838"/>
      <c r="BW517" s="838"/>
      <c r="BX517" s="838"/>
      <c r="BY517" s="838"/>
      <c r="BZ517" s="838"/>
      <c r="CA517" s="838"/>
      <c r="CB517" s="838"/>
      <c r="CC517" s="838"/>
      <c r="CD517" s="838"/>
      <c r="CE517" s="838"/>
      <c r="CF517" s="838"/>
      <c r="CG517" s="838"/>
      <c r="CH517" s="838"/>
      <c r="CI517" s="838"/>
      <c r="CJ517" s="838"/>
      <c r="CK517" s="838"/>
      <c r="CL517" s="838"/>
      <c r="CM517" s="838"/>
      <c r="CN517" s="838"/>
      <c r="CO517" s="838"/>
      <c r="CP517" s="838"/>
      <c r="CQ517" s="838"/>
      <c r="CR517" s="838"/>
      <c r="CS517" s="838"/>
      <c r="CT517" s="838"/>
      <c r="CU517" s="838"/>
    </row>
    <row r="518">
      <c r="A518" s="860"/>
      <c r="B518" s="860"/>
      <c r="C518" s="860"/>
      <c r="D518" s="860"/>
      <c r="E518" s="860"/>
      <c r="F518" s="860"/>
      <c r="G518" s="860"/>
      <c r="H518" s="860"/>
      <c r="I518" s="860"/>
      <c r="J518" s="860"/>
      <c r="K518" s="860"/>
      <c r="L518" s="860"/>
      <c r="M518" s="860"/>
      <c r="N518" s="860"/>
      <c r="O518" s="860"/>
      <c r="P518" s="860"/>
      <c r="Q518" s="860"/>
      <c r="R518" s="860"/>
      <c r="S518" s="860"/>
      <c r="T518" s="860"/>
      <c r="U518" s="860"/>
      <c r="V518" s="860"/>
      <c r="W518" s="860"/>
      <c r="X518" s="860"/>
      <c r="Y518" s="860"/>
      <c r="Z518" s="860"/>
      <c r="AA518" s="860"/>
      <c r="AB518" s="860"/>
      <c r="AC518" s="860"/>
      <c r="AD518" s="860"/>
      <c r="AE518" s="860"/>
      <c r="AF518" s="860"/>
      <c r="AG518" s="860"/>
      <c r="AH518" s="860"/>
      <c r="AJ518" s="836"/>
      <c r="AK518" s="836"/>
      <c r="AL518" s="836"/>
      <c r="AM518" s="836"/>
      <c r="AN518" s="836"/>
      <c r="AO518" s="836"/>
      <c r="AP518" s="836"/>
      <c r="AQ518" s="836"/>
      <c r="AR518" s="836"/>
      <c r="AS518" s="836"/>
      <c r="AT518" s="836"/>
      <c r="AU518" s="836"/>
      <c r="AV518" s="836"/>
      <c r="AW518" s="836"/>
      <c r="AX518" s="836"/>
      <c r="AY518" s="836"/>
      <c r="AZ518" s="836"/>
      <c r="BA518" s="836"/>
      <c r="BB518" s="836"/>
      <c r="BC518" s="836"/>
      <c r="BD518" s="836"/>
      <c r="BE518" s="836"/>
      <c r="BF518" s="836"/>
      <c r="BG518" s="836"/>
      <c r="BH518" s="836"/>
      <c r="BI518" s="836"/>
      <c r="BJ518" s="836"/>
      <c r="BK518" s="836"/>
      <c r="BL518" s="836"/>
      <c r="BM518" s="836"/>
      <c r="BN518" s="836"/>
      <c r="BO518" s="836"/>
      <c r="BP518" s="836"/>
      <c r="BR518" s="838"/>
      <c r="BS518" s="838"/>
      <c r="BT518" s="838"/>
      <c r="BU518" s="838"/>
      <c r="BV518" s="838"/>
      <c r="BW518" s="838"/>
      <c r="BX518" s="838"/>
      <c r="BY518" s="838"/>
      <c r="BZ518" s="838"/>
      <c r="CA518" s="838"/>
      <c r="CB518" s="838"/>
      <c r="CC518" s="838"/>
      <c r="CD518" s="838"/>
      <c r="CE518" s="838"/>
      <c r="CF518" s="838"/>
      <c r="CG518" s="838"/>
      <c r="CH518" s="838"/>
      <c r="CI518" s="838"/>
      <c r="CJ518" s="838"/>
      <c r="CK518" s="838"/>
      <c r="CL518" s="838"/>
      <c r="CM518" s="838"/>
      <c r="CN518" s="838"/>
      <c r="CO518" s="838"/>
      <c r="CP518" s="838"/>
      <c r="CQ518" s="838"/>
      <c r="CR518" s="838"/>
      <c r="CS518" s="838"/>
      <c r="CT518" s="838"/>
      <c r="CU518" s="838"/>
    </row>
    <row r="519">
      <c r="A519" s="860"/>
      <c r="B519" s="860"/>
      <c r="C519" s="860"/>
      <c r="D519" s="860"/>
      <c r="E519" s="860"/>
      <c r="F519" s="860"/>
      <c r="G519" s="860"/>
      <c r="H519" s="860"/>
      <c r="I519" s="860"/>
      <c r="J519" s="860"/>
      <c r="K519" s="860"/>
      <c r="L519" s="860"/>
      <c r="M519" s="860"/>
      <c r="N519" s="860"/>
      <c r="O519" s="860"/>
      <c r="P519" s="860"/>
      <c r="Q519" s="860"/>
      <c r="R519" s="860"/>
      <c r="S519" s="860"/>
      <c r="T519" s="860"/>
      <c r="U519" s="860"/>
      <c r="V519" s="860"/>
      <c r="W519" s="860"/>
      <c r="X519" s="860"/>
      <c r="Y519" s="860"/>
      <c r="Z519" s="860"/>
      <c r="AA519" s="860"/>
      <c r="AB519" s="860"/>
      <c r="AC519" s="860"/>
      <c r="AD519" s="860"/>
      <c r="AE519" s="860"/>
      <c r="AF519" s="860"/>
      <c r="AG519" s="860"/>
      <c r="AH519" s="860"/>
      <c r="AJ519" s="836"/>
      <c r="AK519" s="836"/>
      <c r="AL519" s="836"/>
      <c r="AM519" s="836"/>
      <c r="AN519" s="836"/>
      <c r="AO519" s="836"/>
      <c r="AP519" s="836"/>
      <c r="AQ519" s="836"/>
      <c r="AR519" s="836"/>
      <c r="AS519" s="836"/>
      <c r="AT519" s="836"/>
      <c r="AU519" s="836"/>
      <c r="AV519" s="836"/>
      <c r="AW519" s="836"/>
      <c r="AX519" s="836"/>
      <c r="AY519" s="836"/>
      <c r="AZ519" s="836"/>
      <c r="BA519" s="836"/>
      <c r="BB519" s="836"/>
      <c r="BC519" s="836"/>
      <c r="BD519" s="836"/>
      <c r="BE519" s="836"/>
      <c r="BF519" s="836"/>
      <c r="BG519" s="836"/>
      <c r="BH519" s="836"/>
      <c r="BI519" s="836"/>
      <c r="BJ519" s="836"/>
      <c r="BK519" s="836"/>
      <c r="BL519" s="836"/>
      <c r="BM519" s="836"/>
      <c r="BN519" s="836"/>
      <c r="BO519" s="836"/>
      <c r="BP519" s="836"/>
      <c r="BR519" s="838"/>
      <c r="BS519" s="838"/>
      <c r="BT519" s="838"/>
      <c r="BU519" s="838"/>
      <c r="BV519" s="838"/>
      <c r="BW519" s="838"/>
      <c r="BX519" s="838"/>
      <c r="BY519" s="838"/>
      <c r="BZ519" s="838"/>
      <c r="CA519" s="838"/>
      <c r="CB519" s="838"/>
      <c r="CC519" s="838"/>
      <c r="CD519" s="838"/>
      <c r="CE519" s="838"/>
      <c r="CF519" s="838"/>
      <c r="CG519" s="838"/>
      <c r="CH519" s="838"/>
      <c r="CI519" s="838"/>
      <c r="CJ519" s="838"/>
      <c r="CK519" s="838"/>
      <c r="CL519" s="838"/>
      <c r="CM519" s="838"/>
      <c r="CN519" s="838"/>
      <c r="CO519" s="838"/>
      <c r="CP519" s="838"/>
      <c r="CQ519" s="838"/>
      <c r="CR519" s="838"/>
      <c r="CS519" s="838"/>
      <c r="CT519" s="838"/>
      <c r="CU519" s="838"/>
    </row>
    <row r="520">
      <c r="A520" s="860"/>
      <c r="B520" s="860"/>
      <c r="C520" s="860"/>
      <c r="D520" s="860"/>
      <c r="E520" s="860"/>
      <c r="F520" s="860"/>
      <c r="G520" s="860"/>
      <c r="H520" s="860"/>
      <c r="I520" s="860"/>
      <c r="J520" s="860"/>
      <c r="K520" s="860"/>
      <c r="L520" s="860"/>
      <c r="M520" s="860"/>
      <c r="N520" s="860"/>
      <c r="O520" s="860"/>
      <c r="P520" s="860"/>
      <c r="Q520" s="860"/>
      <c r="R520" s="860"/>
      <c r="S520" s="860"/>
      <c r="T520" s="860"/>
      <c r="U520" s="860"/>
      <c r="V520" s="860"/>
      <c r="W520" s="860"/>
      <c r="X520" s="860"/>
      <c r="Y520" s="860"/>
      <c r="Z520" s="860"/>
      <c r="AA520" s="860"/>
      <c r="AB520" s="860"/>
      <c r="AC520" s="860"/>
      <c r="AD520" s="860"/>
      <c r="AE520" s="860"/>
      <c r="AF520" s="860"/>
      <c r="AG520" s="860"/>
      <c r="AH520" s="860"/>
      <c r="AJ520" s="836"/>
      <c r="AK520" s="836"/>
      <c r="AL520" s="836"/>
      <c r="AM520" s="836"/>
      <c r="AN520" s="836"/>
      <c r="AO520" s="836"/>
      <c r="AP520" s="836"/>
      <c r="AQ520" s="836"/>
      <c r="AR520" s="836"/>
      <c r="AS520" s="836"/>
      <c r="AT520" s="836"/>
      <c r="AU520" s="836"/>
      <c r="AV520" s="836"/>
      <c r="AW520" s="836"/>
      <c r="AX520" s="836"/>
      <c r="AY520" s="836"/>
      <c r="AZ520" s="836"/>
      <c r="BA520" s="836"/>
      <c r="BB520" s="836"/>
      <c r="BC520" s="836"/>
      <c r="BD520" s="836"/>
      <c r="BE520" s="836"/>
      <c r="BF520" s="836"/>
      <c r="BG520" s="836"/>
      <c r="BH520" s="836"/>
      <c r="BI520" s="836"/>
      <c r="BJ520" s="836"/>
      <c r="BK520" s="836"/>
      <c r="BL520" s="836"/>
      <c r="BM520" s="836"/>
      <c r="BN520" s="836"/>
      <c r="BO520" s="836"/>
      <c r="BP520" s="836"/>
      <c r="BR520" s="838"/>
      <c r="BS520" s="838"/>
      <c r="BT520" s="838"/>
      <c r="BU520" s="838"/>
      <c r="BV520" s="838"/>
      <c r="BW520" s="838"/>
      <c r="BX520" s="838"/>
      <c r="BY520" s="838"/>
      <c r="BZ520" s="838"/>
      <c r="CA520" s="838"/>
      <c r="CB520" s="838"/>
      <c r="CC520" s="838"/>
      <c r="CD520" s="838"/>
      <c r="CE520" s="838"/>
      <c r="CF520" s="838"/>
      <c r="CG520" s="838"/>
      <c r="CH520" s="838"/>
      <c r="CI520" s="838"/>
      <c r="CJ520" s="838"/>
      <c r="CK520" s="838"/>
      <c r="CL520" s="838"/>
      <c r="CM520" s="838"/>
      <c r="CN520" s="838"/>
      <c r="CO520" s="838"/>
      <c r="CP520" s="838"/>
      <c r="CQ520" s="838"/>
      <c r="CR520" s="838"/>
      <c r="CS520" s="838"/>
      <c r="CT520" s="838"/>
      <c r="CU520" s="838"/>
    </row>
    <row r="521">
      <c r="A521" s="860"/>
      <c r="B521" s="860"/>
      <c r="C521" s="860"/>
      <c r="D521" s="860"/>
      <c r="E521" s="860"/>
      <c r="F521" s="860"/>
      <c r="G521" s="860"/>
      <c r="H521" s="860"/>
      <c r="I521" s="860"/>
      <c r="J521" s="860"/>
      <c r="K521" s="860"/>
      <c r="L521" s="860"/>
      <c r="M521" s="860"/>
      <c r="N521" s="860"/>
      <c r="O521" s="860"/>
      <c r="P521" s="860"/>
      <c r="Q521" s="860"/>
      <c r="R521" s="860"/>
      <c r="S521" s="860"/>
      <c r="T521" s="860"/>
      <c r="U521" s="860"/>
      <c r="V521" s="860"/>
      <c r="W521" s="860"/>
      <c r="X521" s="860"/>
      <c r="Y521" s="860"/>
      <c r="Z521" s="860"/>
      <c r="AA521" s="860"/>
      <c r="AB521" s="860"/>
      <c r="AC521" s="860"/>
      <c r="AD521" s="860"/>
      <c r="AE521" s="860"/>
      <c r="AF521" s="860"/>
      <c r="AG521" s="860"/>
      <c r="AH521" s="860"/>
      <c r="AJ521" s="836"/>
      <c r="AK521" s="836"/>
      <c r="AL521" s="836"/>
      <c r="AM521" s="836"/>
      <c r="AN521" s="836"/>
      <c r="AO521" s="836"/>
      <c r="AP521" s="836"/>
      <c r="AQ521" s="836"/>
      <c r="AR521" s="836"/>
      <c r="AS521" s="836"/>
      <c r="AT521" s="836"/>
      <c r="AU521" s="836"/>
      <c r="AV521" s="836"/>
      <c r="AW521" s="836"/>
      <c r="AX521" s="836"/>
      <c r="AY521" s="836"/>
      <c r="AZ521" s="836"/>
      <c r="BA521" s="836"/>
      <c r="BB521" s="836"/>
      <c r="BC521" s="836"/>
      <c r="BD521" s="836"/>
      <c r="BE521" s="836"/>
      <c r="BF521" s="836"/>
      <c r="BG521" s="836"/>
      <c r="BH521" s="836"/>
      <c r="BI521" s="836"/>
      <c r="BJ521" s="836"/>
      <c r="BK521" s="836"/>
      <c r="BL521" s="836"/>
      <c r="BM521" s="836"/>
      <c r="BN521" s="836"/>
      <c r="BO521" s="836"/>
      <c r="BP521" s="836"/>
      <c r="BR521" s="838"/>
      <c r="BS521" s="838"/>
      <c r="BT521" s="838"/>
      <c r="BU521" s="838"/>
      <c r="BV521" s="838"/>
      <c r="BW521" s="838"/>
      <c r="BX521" s="838"/>
      <c r="BY521" s="838"/>
      <c r="BZ521" s="838"/>
      <c r="CA521" s="838"/>
      <c r="CB521" s="838"/>
      <c r="CC521" s="838"/>
      <c r="CD521" s="838"/>
      <c r="CE521" s="838"/>
      <c r="CF521" s="838"/>
      <c r="CG521" s="838"/>
      <c r="CH521" s="838"/>
      <c r="CI521" s="838"/>
      <c r="CJ521" s="838"/>
      <c r="CK521" s="838"/>
      <c r="CL521" s="838"/>
      <c r="CM521" s="838"/>
      <c r="CN521" s="838"/>
      <c r="CO521" s="838"/>
      <c r="CP521" s="838"/>
      <c r="CQ521" s="838"/>
      <c r="CR521" s="838"/>
      <c r="CS521" s="838"/>
      <c r="CT521" s="838"/>
      <c r="CU521" s="838"/>
    </row>
    <row r="522">
      <c r="A522" s="860"/>
      <c r="B522" s="860"/>
      <c r="C522" s="860"/>
      <c r="D522" s="860"/>
      <c r="E522" s="860"/>
      <c r="F522" s="860"/>
      <c r="G522" s="860"/>
      <c r="H522" s="860"/>
      <c r="I522" s="860"/>
      <c r="J522" s="860"/>
      <c r="K522" s="860"/>
      <c r="L522" s="860"/>
      <c r="M522" s="860"/>
      <c r="N522" s="860"/>
      <c r="O522" s="860"/>
      <c r="P522" s="860"/>
      <c r="Q522" s="860"/>
      <c r="R522" s="860"/>
      <c r="S522" s="860"/>
      <c r="T522" s="860"/>
      <c r="U522" s="860"/>
      <c r="V522" s="860"/>
      <c r="W522" s="860"/>
      <c r="X522" s="860"/>
      <c r="Y522" s="860"/>
      <c r="Z522" s="860"/>
      <c r="AA522" s="860"/>
      <c r="AB522" s="860"/>
      <c r="AC522" s="860"/>
      <c r="AD522" s="860"/>
      <c r="AE522" s="860"/>
      <c r="AF522" s="860"/>
      <c r="AG522" s="860"/>
      <c r="AH522" s="860"/>
      <c r="AJ522" s="836"/>
      <c r="AK522" s="836"/>
      <c r="AL522" s="836"/>
      <c r="AM522" s="836"/>
      <c r="AN522" s="836"/>
      <c r="AO522" s="836"/>
      <c r="AP522" s="836"/>
      <c r="AQ522" s="836"/>
      <c r="AR522" s="836"/>
      <c r="AS522" s="836"/>
      <c r="AT522" s="836"/>
      <c r="AU522" s="836"/>
      <c r="AV522" s="836"/>
      <c r="AW522" s="836"/>
      <c r="AX522" s="836"/>
      <c r="AY522" s="836"/>
      <c r="AZ522" s="836"/>
      <c r="BA522" s="836"/>
      <c r="BB522" s="836"/>
      <c r="BC522" s="836"/>
      <c r="BD522" s="836"/>
      <c r="BE522" s="836"/>
      <c r="BF522" s="836"/>
      <c r="BG522" s="836"/>
      <c r="BH522" s="836"/>
      <c r="BI522" s="836"/>
      <c r="BJ522" s="836"/>
      <c r="BK522" s="836"/>
      <c r="BL522" s="836"/>
      <c r="BM522" s="836"/>
      <c r="BN522" s="836"/>
      <c r="BO522" s="836"/>
      <c r="BP522" s="836"/>
      <c r="BR522" s="838"/>
      <c r="BS522" s="838"/>
      <c r="BT522" s="838"/>
      <c r="BU522" s="838"/>
      <c r="BV522" s="838"/>
      <c r="BW522" s="838"/>
      <c r="BX522" s="838"/>
      <c r="BY522" s="838"/>
      <c r="BZ522" s="838"/>
      <c r="CA522" s="838"/>
      <c r="CB522" s="838"/>
      <c r="CC522" s="838"/>
      <c r="CD522" s="838"/>
      <c r="CE522" s="838"/>
      <c r="CF522" s="838"/>
      <c r="CG522" s="838"/>
      <c r="CH522" s="838"/>
      <c r="CI522" s="838"/>
      <c r="CJ522" s="838"/>
      <c r="CK522" s="838"/>
      <c r="CL522" s="838"/>
      <c r="CM522" s="838"/>
      <c r="CN522" s="838"/>
      <c r="CO522" s="838"/>
      <c r="CP522" s="838"/>
      <c r="CQ522" s="838"/>
      <c r="CR522" s="838"/>
      <c r="CS522" s="838"/>
      <c r="CT522" s="838"/>
      <c r="CU522" s="838"/>
    </row>
    <row r="523">
      <c r="A523" s="860"/>
      <c r="B523" s="860"/>
      <c r="C523" s="860"/>
      <c r="D523" s="860"/>
      <c r="E523" s="860"/>
      <c r="F523" s="860"/>
      <c r="G523" s="860"/>
      <c r="H523" s="860"/>
      <c r="I523" s="860"/>
      <c r="J523" s="860"/>
      <c r="K523" s="860"/>
      <c r="L523" s="860"/>
      <c r="M523" s="860"/>
      <c r="N523" s="860"/>
      <c r="O523" s="860"/>
      <c r="P523" s="860"/>
      <c r="Q523" s="860"/>
      <c r="R523" s="860"/>
      <c r="S523" s="860"/>
      <c r="T523" s="860"/>
      <c r="U523" s="860"/>
      <c r="V523" s="860"/>
      <c r="W523" s="860"/>
      <c r="X523" s="860"/>
      <c r="Y523" s="860"/>
      <c r="Z523" s="860"/>
      <c r="AA523" s="860"/>
      <c r="AB523" s="860"/>
      <c r="AC523" s="860"/>
      <c r="AD523" s="860"/>
      <c r="AE523" s="860"/>
      <c r="AF523" s="860"/>
      <c r="AG523" s="860"/>
      <c r="AH523" s="860"/>
      <c r="AJ523" s="836"/>
      <c r="AK523" s="836"/>
      <c r="AL523" s="836"/>
      <c r="AM523" s="836"/>
      <c r="AN523" s="836"/>
      <c r="AO523" s="836"/>
      <c r="AP523" s="836"/>
      <c r="AQ523" s="836"/>
      <c r="AR523" s="836"/>
      <c r="AS523" s="836"/>
      <c r="AT523" s="836"/>
      <c r="AU523" s="836"/>
      <c r="AV523" s="836"/>
      <c r="AW523" s="836"/>
      <c r="AX523" s="836"/>
      <c r="AY523" s="836"/>
      <c r="AZ523" s="836"/>
      <c r="BA523" s="836"/>
      <c r="BB523" s="836"/>
      <c r="BC523" s="836"/>
      <c r="BD523" s="836"/>
      <c r="BE523" s="836"/>
      <c r="BF523" s="836"/>
      <c r="BG523" s="836"/>
      <c r="BH523" s="836"/>
      <c r="BI523" s="836"/>
      <c r="BJ523" s="836"/>
      <c r="BK523" s="836"/>
      <c r="BL523" s="836"/>
      <c r="BM523" s="836"/>
      <c r="BN523" s="836"/>
      <c r="BO523" s="836"/>
      <c r="BP523" s="836"/>
      <c r="BR523" s="838"/>
      <c r="BS523" s="838"/>
      <c r="BT523" s="838"/>
      <c r="BU523" s="838"/>
      <c r="BV523" s="838"/>
      <c r="BW523" s="838"/>
      <c r="BX523" s="838"/>
      <c r="BY523" s="838"/>
      <c r="BZ523" s="838"/>
      <c r="CA523" s="838"/>
      <c r="CB523" s="838"/>
      <c r="CC523" s="838"/>
      <c r="CD523" s="838"/>
      <c r="CE523" s="838"/>
      <c r="CF523" s="838"/>
      <c r="CG523" s="838"/>
      <c r="CH523" s="838"/>
      <c r="CI523" s="838"/>
      <c r="CJ523" s="838"/>
      <c r="CK523" s="838"/>
      <c r="CL523" s="838"/>
      <c r="CM523" s="838"/>
      <c r="CN523" s="838"/>
      <c r="CO523" s="838"/>
      <c r="CP523" s="838"/>
      <c r="CQ523" s="838"/>
      <c r="CR523" s="838"/>
      <c r="CS523" s="838"/>
      <c r="CT523" s="838"/>
      <c r="CU523" s="838"/>
    </row>
    <row r="524">
      <c r="A524" s="860"/>
      <c r="B524" s="860"/>
      <c r="C524" s="860"/>
      <c r="D524" s="860"/>
      <c r="E524" s="860"/>
      <c r="F524" s="860"/>
      <c r="G524" s="860"/>
      <c r="H524" s="860"/>
      <c r="I524" s="860"/>
      <c r="J524" s="860"/>
      <c r="K524" s="860"/>
      <c r="L524" s="860"/>
      <c r="M524" s="860"/>
      <c r="N524" s="860"/>
      <c r="O524" s="860"/>
      <c r="P524" s="860"/>
      <c r="Q524" s="860"/>
      <c r="R524" s="860"/>
      <c r="S524" s="860"/>
      <c r="T524" s="860"/>
      <c r="U524" s="860"/>
      <c r="V524" s="860"/>
      <c r="W524" s="860"/>
      <c r="X524" s="860"/>
      <c r="Y524" s="860"/>
      <c r="Z524" s="860"/>
      <c r="AA524" s="860"/>
      <c r="AB524" s="860"/>
      <c r="AC524" s="860"/>
      <c r="AD524" s="860"/>
      <c r="AE524" s="860"/>
      <c r="AF524" s="860"/>
      <c r="AG524" s="860"/>
      <c r="AH524" s="860"/>
      <c r="AJ524" s="836"/>
      <c r="AK524" s="836"/>
      <c r="AL524" s="836"/>
      <c r="AM524" s="836"/>
      <c r="AN524" s="836"/>
      <c r="AO524" s="836"/>
      <c r="AP524" s="836"/>
      <c r="AQ524" s="836"/>
      <c r="AR524" s="836"/>
      <c r="AS524" s="836"/>
      <c r="AT524" s="836"/>
      <c r="AU524" s="836"/>
      <c r="AV524" s="836"/>
      <c r="AW524" s="836"/>
      <c r="AX524" s="836"/>
      <c r="AY524" s="836"/>
      <c r="AZ524" s="836"/>
      <c r="BA524" s="836"/>
      <c r="BB524" s="836"/>
      <c r="BC524" s="836"/>
      <c r="BD524" s="836"/>
      <c r="BE524" s="836"/>
      <c r="BF524" s="836"/>
      <c r="BG524" s="836"/>
      <c r="BH524" s="836"/>
      <c r="BI524" s="836"/>
      <c r="BJ524" s="836"/>
      <c r="BK524" s="836"/>
      <c r="BL524" s="836"/>
      <c r="BM524" s="836"/>
      <c r="BN524" s="836"/>
      <c r="BO524" s="836"/>
      <c r="BP524" s="836"/>
      <c r="BR524" s="838"/>
      <c r="BS524" s="838"/>
      <c r="BT524" s="838"/>
      <c r="BU524" s="838"/>
      <c r="BV524" s="838"/>
      <c r="BW524" s="838"/>
      <c r="BX524" s="838"/>
      <c r="BY524" s="838"/>
      <c r="BZ524" s="838"/>
      <c r="CA524" s="838"/>
      <c r="CB524" s="838"/>
      <c r="CC524" s="838"/>
      <c r="CD524" s="838"/>
      <c r="CE524" s="838"/>
      <c r="CF524" s="838"/>
      <c r="CG524" s="838"/>
      <c r="CH524" s="838"/>
      <c r="CI524" s="838"/>
      <c r="CJ524" s="838"/>
      <c r="CK524" s="838"/>
      <c r="CL524" s="838"/>
      <c r="CM524" s="838"/>
      <c r="CN524" s="838"/>
      <c r="CO524" s="838"/>
      <c r="CP524" s="838"/>
      <c r="CQ524" s="838"/>
      <c r="CR524" s="838"/>
      <c r="CS524" s="838"/>
      <c r="CT524" s="838"/>
      <c r="CU524" s="838"/>
    </row>
    <row r="525">
      <c r="A525" s="860"/>
      <c r="B525" s="860"/>
      <c r="C525" s="860"/>
      <c r="D525" s="860"/>
      <c r="E525" s="860"/>
      <c r="F525" s="860"/>
      <c r="G525" s="860"/>
      <c r="H525" s="860"/>
      <c r="I525" s="860"/>
      <c r="J525" s="860"/>
      <c r="K525" s="860"/>
      <c r="L525" s="860"/>
      <c r="M525" s="860"/>
      <c r="N525" s="860"/>
      <c r="O525" s="860"/>
      <c r="P525" s="860"/>
      <c r="Q525" s="860"/>
      <c r="R525" s="860"/>
      <c r="S525" s="860"/>
      <c r="T525" s="860"/>
      <c r="U525" s="860"/>
      <c r="V525" s="860"/>
      <c r="W525" s="860"/>
      <c r="X525" s="860"/>
      <c r="Y525" s="860"/>
      <c r="Z525" s="860"/>
      <c r="AA525" s="860"/>
      <c r="AB525" s="860"/>
      <c r="AC525" s="860"/>
      <c r="AD525" s="860"/>
      <c r="AE525" s="860"/>
      <c r="AF525" s="860"/>
      <c r="AG525" s="860"/>
      <c r="AH525" s="860"/>
      <c r="AJ525" s="836"/>
      <c r="AK525" s="836"/>
      <c r="AL525" s="836"/>
      <c r="AM525" s="836"/>
      <c r="AN525" s="836"/>
      <c r="AO525" s="836"/>
      <c r="AP525" s="836"/>
      <c r="AQ525" s="836"/>
      <c r="AR525" s="836"/>
      <c r="AS525" s="836"/>
      <c r="AT525" s="836"/>
      <c r="AU525" s="836"/>
      <c r="AV525" s="836"/>
      <c r="AW525" s="836"/>
      <c r="AX525" s="836"/>
      <c r="AY525" s="836"/>
      <c r="AZ525" s="836"/>
      <c r="BA525" s="836"/>
      <c r="BB525" s="836"/>
      <c r="BC525" s="836"/>
      <c r="BD525" s="836"/>
      <c r="BE525" s="836"/>
      <c r="BF525" s="836"/>
      <c r="BG525" s="836"/>
      <c r="BH525" s="836"/>
      <c r="BI525" s="836"/>
      <c r="BJ525" s="836"/>
      <c r="BK525" s="836"/>
      <c r="BL525" s="836"/>
      <c r="BM525" s="836"/>
      <c r="BN525" s="836"/>
      <c r="BO525" s="836"/>
      <c r="BP525" s="836"/>
      <c r="BR525" s="838"/>
      <c r="BS525" s="838"/>
      <c r="BT525" s="838"/>
      <c r="BU525" s="838"/>
      <c r="BV525" s="838"/>
      <c r="BW525" s="838"/>
      <c r="BX525" s="838"/>
      <c r="BY525" s="838"/>
      <c r="BZ525" s="838"/>
      <c r="CA525" s="838"/>
      <c r="CB525" s="838"/>
      <c r="CC525" s="838"/>
      <c r="CD525" s="838"/>
      <c r="CE525" s="838"/>
      <c r="CF525" s="838"/>
      <c r="CG525" s="838"/>
      <c r="CH525" s="838"/>
      <c r="CI525" s="838"/>
      <c r="CJ525" s="838"/>
      <c r="CK525" s="838"/>
      <c r="CL525" s="838"/>
      <c r="CM525" s="838"/>
      <c r="CN525" s="838"/>
      <c r="CO525" s="838"/>
      <c r="CP525" s="838"/>
      <c r="CQ525" s="838"/>
      <c r="CR525" s="838"/>
      <c r="CS525" s="838"/>
      <c r="CT525" s="838"/>
      <c r="CU525" s="838"/>
    </row>
    <row r="526">
      <c r="A526" s="860"/>
      <c r="B526" s="860"/>
      <c r="C526" s="860"/>
      <c r="D526" s="860"/>
      <c r="E526" s="860"/>
      <c r="F526" s="860"/>
      <c r="G526" s="860"/>
      <c r="H526" s="860"/>
      <c r="I526" s="860"/>
      <c r="J526" s="860"/>
      <c r="K526" s="860"/>
      <c r="L526" s="860"/>
      <c r="M526" s="860"/>
      <c r="N526" s="860"/>
      <c r="O526" s="860"/>
      <c r="P526" s="860"/>
      <c r="Q526" s="860"/>
      <c r="R526" s="860"/>
      <c r="S526" s="860"/>
      <c r="T526" s="860"/>
      <c r="U526" s="860"/>
      <c r="V526" s="860"/>
      <c r="W526" s="860"/>
      <c r="X526" s="860"/>
      <c r="Y526" s="860"/>
      <c r="Z526" s="860"/>
      <c r="AA526" s="860"/>
      <c r="AB526" s="860"/>
      <c r="AC526" s="860"/>
      <c r="AD526" s="860"/>
      <c r="AE526" s="860"/>
      <c r="AF526" s="860"/>
      <c r="AG526" s="860"/>
      <c r="AH526" s="860"/>
      <c r="AJ526" s="836"/>
      <c r="AK526" s="836"/>
      <c r="AL526" s="836"/>
      <c r="AM526" s="836"/>
      <c r="AN526" s="836"/>
      <c r="AO526" s="836"/>
      <c r="AP526" s="836"/>
      <c r="AQ526" s="836"/>
      <c r="AR526" s="836"/>
      <c r="AS526" s="836"/>
      <c r="AT526" s="836"/>
      <c r="AU526" s="836"/>
      <c r="AV526" s="836"/>
      <c r="AW526" s="836"/>
      <c r="AX526" s="836"/>
      <c r="AY526" s="836"/>
      <c r="AZ526" s="836"/>
      <c r="BA526" s="836"/>
      <c r="BB526" s="836"/>
      <c r="BC526" s="836"/>
      <c r="BD526" s="836"/>
      <c r="BE526" s="836"/>
      <c r="BF526" s="836"/>
      <c r="BG526" s="836"/>
      <c r="BH526" s="836"/>
      <c r="BI526" s="836"/>
      <c r="BJ526" s="836"/>
      <c r="BK526" s="836"/>
      <c r="BL526" s="836"/>
      <c r="BM526" s="836"/>
      <c r="BN526" s="836"/>
      <c r="BO526" s="836"/>
      <c r="BP526" s="836"/>
      <c r="BR526" s="838"/>
      <c r="BS526" s="838"/>
      <c r="BT526" s="838"/>
      <c r="BU526" s="838"/>
      <c r="BV526" s="838"/>
      <c r="BW526" s="838"/>
      <c r="BX526" s="838"/>
      <c r="BY526" s="838"/>
      <c r="BZ526" s="838"/>
      <c r="CA526" s="838"/>
      <c r="CB526" s="838"/>
      <c r="CC526" s="838"/>
      <c r="CD526" s="838"/>
      <c r="CE526" s="838"/>
      <c r="CF526" s="838"/>
      <c r="CG526" s="838"/>
      <c r="CH526" s="838"/>
      <c r="CI526" s="838"/>
      <c r="CJ526" s="838"/>
      <c r="CK526" s="838"/>
      <c r="CL526" s="838"/>
      <c r="CM526" s="838"/>
      <c r="CN526" s="838"/>
      <c r="CO526" s="838"/>
      <c r="CP526" s="838"/>
      <c r="CQ526" s="838"/>
      <c r="CR526" s="838"/>
      <c r="CS526" s="838"/>
      <c r="CT526" s="838"/>
      <c r="CU526" s="838"/>
    </row>
    <row r="527">
      <c r="A527" s="860"/>
      <c r="B527" s="860"/>
      <c r="C527" s="860"/>
      <c r="D527" s="860"/>
      <c r="E527" s="860"/>
      <c r="F527" s="860"/>
      <c r="G527" s="860"/>
      <c r="H527" s="860"/>
      <c r="I527" s="860"/>
      <c r="J527" s="860"/>
      <c r="K527" s="860"/>
      <c r="L527" s="860"/>
      <c r="M527" s="860"/>
      <c r="N527" s="860"/>
      <c r="O527" s="860"/>
      <c r="P527" s="860"/>
      <c r="Q527" s="860"/>
      <c r="R527" s="860"/>
      <c r="S527" s="860"/>
      <c r="T527" s="860"/>
      <c r="U527" s="860"/>
      <c r="V527" s="860"/>
      <c r="W527" s="860"/>
      <c r="X527" s="860"/>
      <c r="Y527" s="860"/>
      <c r="Z527" s="860"/>
      <c r="AA527" s="860"/>
      <c r="AB527" s="860"/>
      <c r="AC527" s="860"/>
      <c r="AD527" s="860"/>
      <c r="AE527" s="860"/>
      <c r="AF527" s="860"/>
      <c r="AG527" s="860"/>
      <c r="AH527" s="860"/>
      <c r="AJ527" s="836"/>
      <c r="AK527" s="836"/>
      <c r="AL527" s="836"/>
      <c r="AM527" s="836"/>
      <c r="AN527" s="836"/>
      <c r="AO527" s="836"/>
      <c r="AP527" s="836"/>
      <c r="AQ527" s="836"/>
      <c r="AR527" s="836"/>
      <c r="AS527" s="836"/>
      <c r="AT527" s="836"/>
      <c r="AU527" s="836"/>
      <c r="AV527" s="836"/>
      <c r="AW527" s="836"/>
      <c r="AX527" s="836"/>
      <c r="AY527" s="836"/>
      <c r="AZ527" s="836"/>
      <c r="BA527" s="836"/>
      <c r="BB527" s="836"/>
      <c r="BC527" s="836"/>
      <c r="BD527" s="836"/>
      <c r="BE527" s="836"/>
      <c r="BF527" s="836"/>
      <c r="BG527" s="836"/>
      <c r="BH527" s="836"/>
      <c r="BI527" s="836"/>
      <c r="BJ527" s="836"/>
      <c r="BK527" s="836"/>
      <c r="BL527" s="836"/>
      <c r="BM527" s="836"/>
      <c r="BN527" s="836"/>
      <c r="BO527" s="836"/>
      <c r="BP527" s="836"/>
      <c r="BR527" s="838"/>
      <c r="BS527" s="838"/>
      <c r="BT527" s="838"/>
      <c r="BU527" s="838"/>
      <c r="BV527" s="838"/>
      <c r="BW527" s="838"/>
      <c r="BX527" s="838"/>
      <c r="BY527" s="838"/>
      <c r="BZ527" s="838"/>
      <c r="CA527" s="838"/>
      <c r="CB527" s="838"/>
      <c r="CC527" s="838"/>
      <c r="CD527" s="838"/>
      <c r="CE527" s="838"/>
      <c r="CF527" s="838"/>
      <c r="CG527" s="838"/>
      <c r="CH527" s="838"/>
      <c r="CI527" s="838"/>
      <c r="CJ527" s="838"/>
      <c r="CK527" s="838"/>
      <c r="CL527" s="838"/>
      <c r="CM527" s="838"/>
      <c r="CN527" s="838"/>
      <c r="CO527" s="838"/>
      <c r="CP527" s="838"/>
      <c r="CQ527" s="838"/>
      <c r="CR527" s="838"/>
      <c r="CS527" s="838"/>
      <c r="CT527" s="838"/>
      <c r="CU527" s="838"/>
    </row>
    <row r="528">
      <c r="A528" s="860"/>
      <c r="B528" s="860"/>
      <c r="C528" s="860"/>
      <c r="D528" s="860"/>
      <c r="E528" s="860"/>
      <c r="F528" s="860"/>
      <c r="G528" s="860"/>
      <c r="H528" s="860"/>
      <c r="I528" s="860"/>
      <c r="J528" s="860"/>
      <c r="K528" s="860"/>
      <c r="L528" s="860"/>
      <c r="M528" s="860"/>
      <c r="N528" s="860"/>
      <c r="O528" s="860"/>
      <c r="P528" s="860"/>
      <c r="Q528" s="860"/>
      <c r="R528" s="860"/>
      <c r="S528" s="860"/>
      <c r="T528" s="860"/>
      <c r="U528" s="860"/>
      <c r="V528" s="860"/>
      <c r="W528" s="860"/>
      <c r="X528" s="860"/>
      <c r="Y528" s="860"/>
      <c r="Z528" s="860"/>
      <c r="AA528" s="860"/>
      <c r="AB528" s="860"/>
      <c r="AC528" s="860"/>
      <c r="AD528" s="860"/>
      <c r="AE528" s="860"/>
      <c r="AF528" s="860"/>
      <c r="AG528" s="860"/>
      <c r="AH528" s="860"/>
      <c r="AJ528" s="836"/>
      <c r="AK528" s="836"/>
      <c r="AL528" s="836"/>
      <c r="AM528" s="836"/>
      <c r="AN528" s="836"/>
      <c r="AO528" s="836"/>
      <c r="AP528" s="836"/>
      <c r="AQ528" s="836"/>
      <c r="AR528" s="836"/>
      <c r="AS528" s="836"/>
      <c r="AT528" s="836"/>
      <c r="AU528" s="836"/>
      <c r="AV528" s="836"/>
      <c r="AW528" s="836"/>
      <c r="AX528" s="836"/>
      <c r="AY528" s="836"/>
      <c r="AZ528" s="836"/>
      <c r="BA528" s="836"/>
      <c r="BB528" s="836"/>
      <c r="BC528" s="836"/>
      <c r="BD528" s="836"/>
      <c r="BE528" s="836"/>
      <c r="BF528" s="836"/>
      <c r="BG528" s="836"/>
      <c r="BH528" s="836"/>
      <c r="BI528" s="836"/>
      <c r="BJ528" s="836"/>
      <c r="BK528" s="836"/>
      <c r="BL528" s="836"/>
      <c r="BM528" s="836"/>
      <c r="BN528" s="836"/>
      <c r="BO528" s="836"/>
      <c r="BP528" s="836"/>
      <c r="BR528" s="838"/>
      <c r="BS528" s="838"/>
      <c r="BT528" s="838"/>
      <c r="BU528" s="838"/>
      <c r="BV528" s="838"/>
      <c r="BW528" s="838"/>
      <c r="BX528" s="838"/>
      <c r="BY528" s="838"/>
      <c r="BZ528" s="838"/>
      <c r="CA528" s="838"/>
      <c r="CB528" s="838"/>
      <c r="CC528" s="838"/>
      <c r="CD528" s="838"/>
      <c r="CE528" s="838"/>
      <c r="CF528" s="838"/>
      <c r="CG528" s="838"/>
      <c r="CH528" s="838"/>
      <c r="CI528" s="838"/>
      <c r="CJ528" s="838"/>
      <c r="CK528" s="838"/>
      <c r="CL528" s="838"/>
      <c r="CM528" s="838"/>
      <c r="CN528" s="838"/>
      <c r="CO528" s="838"/>
      <c r="CP528" s="838"/>
      <c r="CQ528" s="838"/>
      <c r="CR528" s="838"/>
      <c r="CS528" s="838"/>
      <c r="CT528" s="838"/>
      <c r="CU528" s="838"/>
    </row>
    <row r="529">
      <c r="A529" s="860"/>
      <c r="B529" s="860"/>
      <c r="C529" s="860"/>
      <c r="D529" s="860"/>
      <c r="E529" s="860"/>
      <c r="F529" s="860"/>
      <c r="G529" s="860"/>
      <c r="H529" s="860"/>
      <c r="I529" s="860"/>
      <c r="J529" s="860"/>
      <c r="K529" s="860"/>
      <c r="L529" s="860"/>
      <c r="M529" s="860"/>
      <c r="N529" s="860"/>
      <c r="O529" s="860"/>
      <c r="P529" s="860"/>
      <c r="Q529" s="860"/>
      <c r="R529" s="860"/>
      <c r="S529" s="860"/>
      <c r="T529" s="860"/>
      <c r="U529" s="860"/>
      <c r="V529" s="860"/>
      <c r="W529" s="860"/>
      <c r="X529" s="860"/>
      <c r="Y529" s="860"/>
      <c r="Z529" s="860"/>
      <c r="AA529" s="860"/>
      <c r="AB529" s="860"/>
      <c r="AC529" s="860"/>
      <c r="AD529" s="860"/>
      <c r="AE529" s="860"/>
      <c r="AF529" s="860"/>
      <c r="AG529" s="860"/>
      <c r="AH529" s="860"/>
      <c r="AJ529" s="836"/>
      <c r="AK529" s="836"/>
      <c r="AL529" s="836"/>
      <c r="AM529" s="836"/>
      <c r="AN529" s="836"/>
      <c r="AO529" s="836"/>
      <c r="AP529" s="836"/>
      <c r="AQ529" s="836"/>
      <c r="AR529" s="836"/>
      <c r="AS529" s="836"/>
      <c r="AT529" s="836"/>
      <c r="AU529" s="836"/>
      <c r="AV529" s="836"/>
      <c r="AW529" s="836"/>
      <c r="AX529" s="836"/>
      <c r="AY529" s="836"/>
      <c r="AZ529" s="836"/>
      <c r="BA529" s="836"/>
      <c r="BB529" s="836"/>
      <c r="BC529" s="836"/>
      <c r="BD529" s="836"/>
      <c r="BE529" s="836"/>
      <c r="BF529" s="836"/>
      <c r="BG529" s="836"/>
      <c r="BH529" s="836"/>
      <c r="BI529" s="836"/>
      <c r="BJ529" s="836"/>
      <c r="BK529" s="836"/>
      <c r="BL529" s="836"/>
      <c r="BM529" s="836"/>
      <c r="BN529" s="836"/>
      <c r="BO529" s="836"/>
      <c r="BP529" s="836"/>
      <c r="BR529" s="838"/>
      <c r="BS529" s="838"/>
      <c r="BT529" s="838"/>
      <c r="BU529" s="838"/>
      <c r="BV529" s="838"/>
      <c r="BW529" s="838"/>
      <c r="BX529" s="838"/>
      <c r="BY529" s="838"/>
      <c r="BZ529" s="838"/>
      <c r="CA529" s="838"/>
      <c r="CB529" s="838"/>
      <c r="CC529" s="838"/>
      <c r="CD529" s="838"/>
      <c r="CE529" s="838"/>
      <c r="CF529" s="838"/>
      <c r="CG529" s="838"/>
      <c r="CH529" s="838"/>
      <c r="CI529" s="838"/>
      <c r="CJ529" s="838"/>
      <c r="CK529" s="838"/>
      <c r="CL529" s="838"/>
      <c r="CM529" s="838"/>
      <c r="CN529" s="838"/>
      <c r="CO529" s="838"/>
      <c r="CP529" s="838"/>
      <c r="CQ529" s="838"/>
      <c r="CR529" s="838"/>
      <c r="CS529" s="838"/>
      <c r="CT529" s="838"/>
      <c r="CU529" s="838"/>
    </row>
    <row r="530">
      <c r="A530" s="860"/>
      <c r="B530" s="860"/>
      <c r="C530" s="860"/>
      <c r="D530" s="860"/>
      <c r="E530" s="860"/>
      <c r="F530" s="860"/>
      <c r="G530" s="860"/>
      <c r="H530" s="860"/>
      <c r="I530" s="860"/>
      <c r="J530" s="860"/>
      <c r="K530" s="860"/>
      <c r="L530" s="860"/>
      <c r="M530" s="860"/>
      <c r="N530" s="860"/>
      <c r="O530" s="860"/>
      <c r="P530" s="860"/>
      <c r="Q530" s="860"/>
      <c r="R530" s="860"/>
      <c r="S530" s="860"/>
      <c r="T530" s="860"/>
      <c r="U530" s="860"/>
      <c r="V530" s="860"/>
      <c r="W530" s="860"/>
      <c r="X530" s="860"/>
      <c r="Y530" s="860"/>
      <c r="Z530" s="860"/>
      <c r="AA530" s="860"/>
      <c r="AB530" s="860"/>
      <c r="AC530" s="860"/>
      <c r="AD530" s="860"/>
      <c r="AE530" s="860"/>
      <c r="AF530" s="860"/>
      <c r="AG530" s="860"/>
      <c r="AH530" s="860"/>
      <c r="AJ530" s="836"/>
      <c r="AK530" s="836"/>
      <c r="AL530" s="836"/>
      <c r="AM530" s="836"/>
      <c r="AN530" s="836"/>
      <c r="AO530" s="836"/>
      <c r="AP530" s="836"/>
      <c r="AQ530" s="836"/>
      <c r="AR530" s="836"/>
      <c r="AS530" s="836"/>
      <c r="AT530" s="836"/>
      <c r="AU530" s="836"/>
      <c r="AV530" s="836"/>
      <c r="AW530" s="836"/>
      <c r="AX530" s="836"/>
      <c r="AY530" s="836"/>
      <c r="AZ530" s="836"/>
      <c r="BA530" s="836"/>
      <c r="BB530" s="836"/>
      <c r="BC530" s="836"/>
      <c r="BD530" s="836"/>
      <c r="BE530" s="836"/>
      <c r="BF530" s="836"/>
      <c r="BG530" s="836"/>
      <c r="BH530" s="836"/>
      <c r="BI530" s="836"/>
      <c r="BJ530" s="836"/>
      <c r="BK530" s="836"/>
      <c r="BL530" s="836"/>
      <c r="BM530" s="836"/>
      <c r="BN530" s="836"/>
      <c r="BO530" s="836"/>
      <c r="BP530" s="836"/>
      <c r="BR530" s="838"/>
      <c r="BS530" s="838"/>
      <c r="BT530" s="838"/>
      <c r="BU530" s="838"/>
      <c r="BV530" s="838"/>
      <c r="BW530" s="838"/>
      <c r="BX530" s="838"/>
      <c r="BY530" s="838"/>
      <c r="BZ530" s="838"/>
      <c r="CA530" s="838"/>
      <c r="CB530" s="838"/>
      <c r="CC530" s="838"/>
      <c r="CD530" s="838"/>
      <c r="CE530" s="838"/>
      <c r="CF530" s="838"/>
      <c r="CG530" s="838"/>
      <c r="CH530" s="838"/>
      <c r="CI530" s="838"/>
      <c r="CJ530" s="838"/>
      <c r="CK530" s="838"/>
      <c r="CL530" s="838"/>
      <c r="CM530" s="838"/>
      <c r="CN530" s="838"/>
      <c r="CO530" s="838"/>
      <c r="CP530" s="838"/>
      <c r="CQ530" s="838"/>
      <c r="CR530" s="838"/>
      <c r="CS530" s="838"/>
      <c r="CT530" s="838"/>
      <c r="CU530" s="838"/>
    </row>
    <row r="531">
      <c r="A531" s="860"/>
      <c r="B531" s="860"/>
      <c r="C531" s="860"/>
      <c r="D531" s="860"/>
      <c r="E531" s="860"/>
      <c r="F531" s="860"/>
      <c r="G531" s="860"/>
      <c r="H531" s="860"/>
      <c r="I531" s="860"/>
      <c r="J531" s="860"/>
      <c r="K531" s="860"/>
      <c r="L531" s="860"/>
      <c r="M531" s="860"/>
      <c r="N531" s="860"/>
      <c r="O531" s="860"/>
      <c r="P531" s="860"/>
      <c r="Q531" s="860"/>
      <c r="R531" s="860"/>
      <c r="S531" s="860"/>
      <c r="T531" s="860"/>
      <c r="U531" s="860"/>
      <c r="V531" s="860"/>
      <c r="W531" s="860"/>
      <c r="X531" s="860"/>
      <c r="Y531" s="860"/>
      <c r="Z531" s="860"/>
      <c r="AA531" s="860"/>
      <c r="AB531" s="860"/>
      <c r="AC531" s="860"/>
      <c r="AD531" s="860"/>
      <c r="AE531" s="860"/>
      <c r="AF531" s="860"/>
      <c r="AG531" s="860"/>
      <c r="AH531" s="860"/>
      <c r="AJ531" s="836"/>
      <c r="AK531" s="836"/>
      <c r="AL531" s="836"/>
      <c r="AM531" s="836"/>
      <c r="AN531" s="836"/>
      <c r="AO531" s="836"/>
      <c r="AP531" s="836"/>
      <c r="AQ531" s="836"/>
      <c r="AR531" s="836"/>
      <c r="AS531" s="836"/>
      <c r="AT531" s="836"/>
      <c r="AU531" s="836"/>
      <c r="AV531" s="836"/>
      <c r="AW531" s="836"/>
      <c r="AX531" s="836"/>
      <c r="AY531" s="836"/>
      <c r="AZ531" s="836"/>
      <c r="BA531" s="836"/>
      <c r="BB531" s="836"/>
      <c r="BC531" s="836"/>
      <c r="BD531" s="836"/>
      <c r="BE531" s="836"/>
      <c r="BF531" s="836"/>
      <c r="BG531" s="836"/>
      <c r="BH531" s="836"/>
      <c r="BI531" s="836"/>
      <c r="BJ531" s="836"/>
      <c r="BK531" s="836"/>
      <c r="BL531" s="836"/>
      <c r="BM531" s="836"/>
      <c r="BN531" s="836"/>
      <c r="BO531" s="836"/>
      <c r="BP531" s="836"/>
      <c r="BR531" s="838"/>
      <c r="BS531" s="838"/>
      <c r="BT531" s="838"/>
      <c r="BU531" s="838"/>
      <c r="BV531" s="838"/>
      <c r="BW531" s="838"/>
      <c r="BX531" s="838"/>
      <c r="BY531" s="838"/>
      <c r="BZ531" s="838"/>
      <c r="CA531" s="838"/>
      <c r="CB531" s="838"/>
      <c r="CC531" s="838"/>
      <c r="CD531" s="838"/>
      <c r="CE531" s="838"/>
      <c r="CF531" s="838"/>
      <c r="CG531" s="838"/>
      <c r="CH531" s="838"/>
      <c r="CI531" s="838"/>
      <c r="CJ531" s="838"/>
      <c r="CK531" s="838"/>
      <c r="CL531" s="838"/>
      <c r="CM531" s="838"/>
      <c r="CN531" s="838"/>
      <c r="CO531" s="838"/>
      <c r="CP531" s="838"/>
      <c r="CQ531" s="838"/>
      <c r="CR531" s="838"/>
      <c r="CS531" s="838"/>
      <c r="CT531" s="838"/>
      <c r="CU531" s="838"/>
    </row>
    <row r="532">
      <c r="A532" s="860"/>
      <c r="B532" s="860"/>
      <c r="C532" s="860"/>
      <c r="D532" s="860"/>
      <c r="E532" s="860"/>
      <c r="F532" s="860"/>
      <c r="G532" s="860"/>
      <c r="H532" s="860"/>
      <c r="I532" s="860"/>
      <c r="J532" s="860"/>
      <c r="K532" s="860"/>
      <c r="L532" s="860"/>
      <c r="M532" s="860"/>
      <c r="N532" s="860"/>
      <c r="O532" s="860"/>
      <c r="P532" s="860"/>
      <c r="Q532" s="860"/>
      <c r="R532" s="860"/>
      <c r="S532" s="860"/>
      <c r="T532" s="860"/>
      <c r="U532" s="860"/>
      <c r="V532" s="860"/>
      <c r="W532" s="860"/>
      <c r="X532" s="860"/>
      <c r="Y532" s="860"/>
      <c r="Z532" s="860"/>
      <c r="AA532" s="860"/>
      <c r="AB532" s="860"/>
      <c r="AC532" s="860"/>
      <c r="AD532" s="860"/>
      <c r="AE532" s="860"/>
      <c r="AF532" s="860"/>
      <c r="AG532" s="860"/>
      <c r="AH532" s="860"/>
      <c r="AJ532" s="836"/>
      <c r="AK532" s="836"/>
      <c r="AL532" s="836"/>
      <c r="AM532" s="836"/>
      <c r="AN532" s="836"/>
      <c r="AO532" s="836"/>
      <c r="AP532" s="836"/>
      <c r="AQ532" s="836"/>
      <c r="AR532" s="836"/>
      <c r="AS532" s="836"/>
      <c r="AT532" s="836"/>
      <c r="AU532" s="836"/>
      <c r="AV532" s="836"/>
      <c r="AW532" s="836"/>
      <c r="AX532" s="836"/>
      <c r="AY532" s="836"/>
      <c r="AZ532" s="836"/>
      <c r="BA532" s="836"/>
      <c r="BB532" s="836"/>
      <c r="BC532" s="836"/>
      <c r="BD532" s="836"/>
      <c r="BE532" s="836"/>
      <c r="BF532" s="836"/>
      <c r="BG532" s="836"/>
      <c r="BH532" s="836"/>
      <c r="BI532" s="836"/>
      <c r="BJ532" s="836"/>
      <c r="BK532" s="836"/>
      <c r="BL532" s="836"/>
      <c r="BM532" s="836"/>
      <c r="BN532" s="836"/>
      <c r="BO532" s="836"/>
      <c r="BP532" s="836"/>
      <c r="BR532" s="838"/>
      <c r="BS532" s="838"/>
      <c r="BT532" s="838"/>
      <c r="BU532" s="838"/>
      <c r="BV532" s="838"/>
      <c r="BW532" s="838"/>
      <c r="BX532" s="838"/>
      <c r="BY532" s="838"/>
      <c r="BZ532" s="838"/>
      <c r="CA532" s="838"/>
      <c r="CB532" s="838"/>
      <c r="CC532" s="838"/>
      <c r="CD532" s="838"/>
      <c r="CE532" s="838"/>
      <c r="CF532" s="838"/>
      <c r="CG532" s="838"/>
      <c r="CH532" s="838"/>
      <c r="CI532" s="838"/>
      <c r="CJ532" s="838"/>
      <c r="CK532" s="838"/>
      <c r="CL532" s="838"/>
      <c r="CM532" s="838"/>
      <c r="CN532" s="838"/>
      <c r="CO532" s="838"/>
      <c r="CP532" s="838"/>
      <c r="CQ532" s="838"/>
      <c r="CR532" s="838"/>
      <c r="CS532" s="838"/>
      <c r="CT532" s="838"/>
      <c r="CU532" s="838"/>
    </row>
    <row r="533">
      <c r="A533" s="860"/>
      <c r="B533" s="860"/>
      <c r="C533" s="860"/>
      <c r="D533" s="860"/>
      <c r="E533" s="860"/>
      <c r="F533" s="860"/>
      <c r="G533" s="860"/>
      <c r="H533" s="860"/>
      <c r="I533" s="860"/>
      <c r="J533" s="860"/>
      <c r="K533" s="860"/>
      <c r="L533" s="860"/>
      <c r="M533" s="860"/>
      <c r="N533" s="860"/>
      <c r="O533" s="860"/>
      <c r="P533" s="860"/>
      <c r="Q533" s="860"/>
      <c r="R533" s="860"/>
      <c r="S533" s="860"/>
      <c r="T533" s="860"/>
      <c r="U533" s="860"/>
      <c r="V533" s="860"/>
      <c r="W533" s="860"/>
      <c r="X533" s="860"/>
      <c r="Y533" s="860"/>
      <c r="Z533" s="860"/>
      <c r="AA533" s="860"/>
      <c r="AB533" s="860"/>
      <c r="AC533" s="860"/>
      <c r="AD533" s="860"/>
      <c r="AE533" s="860"/>
      <c r="AF533" s="860"/>
      <c r="AG533" s="860"/>
      <c r="AH533" s="860"/>
      <c r="AJ533" s="836"/>
      <c r="AK533" s="836"/>
      <c r="AL533" s="836"/>
      <c r="AM533" s="836"/>
      <c r="AN533" s="836"/>
      <c r="AO533" s="836"/>
      <c r="AP533" s="836"/>
      <c r="AQ533" s="836"/>
      <c r="AR533" s="836"/>
      <c r="AS533" s="836"/>
      <c r="AT533" s="836"/>
      <c r="AU533" s="836"/>
      <c r="AV533" s="836"/>
      <c r="AW533" s="836"/>
      <c r="AX533" s="836"/>
      <c r="AY533" s="836"/>
      <c r="AZ533" s="836"/>
      <c r="BA533" s="836"/>
      <c r="BB533" s="836"/>
      <c r="BC533" s="836"/>
      <c r="BD533" s="836"/>
      <c r="BE533" s="836"/>
      <c r="BF533" s="836"/>
      <c r="BG533" s="836"/>
      <c r="BH533" s="836"/>
      <c r="BI533" s="836"/>
      <c r="BJ533" s="836"/>
      <c r="BK533" s="836"/>
      <c r="BL533" s="836"/>
      <c r="BM533" s="836"/>
      <c r="BN533" s="836"/>
      <c r="BO533" s="836"/>
      <c r="BP533" s="836"/>
      <c r="BR533" s="838"/>
      <c r="BS533" s="838"/>
      <c r="BT533" s="838"/>
      <c r="BU533" s="838"/>
      <c r="BV533" s="838"/>
      <c r="BW533" s="838"/>
      <c r="BX533" s="838"/>
      <c r="BY533" s="838"/>
      <c r="BZ533" s="838"/>
      <c r="CA533" s="838"/>
      <c r="CB533" s="838"/>
      <c r="CC533" s="838"/>
      <c r="CD533" s="838"/>
      <c r="CE533" s="838"/>
      <c r="CF533" s="838"/>
      <c r="CG533" s="838"/>
      <c r="CH533" s="838"/>
      <c r="CI533" s="838"/>
      <c r="CJ533" s="838"/>
      <c r="CK533" s="838"/>
      <c r="CL533" s="838"/>
      <c r="CM533" s="838"/>
      <c r="CN533" s="838"/>
      <c r="CO533" s="838"/>
      <c r="CP533" s="838"/>
      <c r="CQ533" s="838"/>
      <c r="CR533" s="838"/>
      <c r="CS533" s="838"/>
      <c r="CT533" s="838"/>
      <c r="CU533" s="838"/>
    </row>
    <row r="534">
      <c r="A534" s="860"/>
      <c r="B534" s="860"/>
      <c r="C534" s="860"/>
      <c r="D534" s="860"/>
      <c r="E534" s="860"/>
      <c r="F534" s="860"/>
      <c r="G534" s="860"/>
      <c r="H534" s="860"/>
      <c r="I534" s="860"/>
      <c r="J534" s="860"/>
      <c r="K534" s="860"/>
      <c r="L534" s="860"/>
      <c r="M534" s="860"/>
      <c r="N534" s="860"/>
      <c r="O534" s="860"/>
      <c r="P534" s="860"/>
      <c r="Q534" s="860"/>
      <c r="R534" s="860"/>
      <c r="S534" s="860"/>
      <c r="T534" s="860"/>
      <c r="U534" s="860"/>
      <c r="V534" s="860"/>
      <c r="W534" s="860"/>
      <c r="X534" s="860"/>
      <c r="Y534" s="860"/>
      <c r="Z534" s="860"/>
      <c r="AA534" s="860"/>
      <c r="AB534" s="860"/>
      <c r="AC534" s="860"/>
      <c r="AD534" s="860"/>
      <c r="AE534" s="860"/>
      <c r="AF534" s="860"/>
      <c r="AG534" s="860"/>
      <c r="AH534" s="860"/>
      <c r="AJ534" s="836"/>
      <c r="AK534" s="836"/>
      <c r="AL534" s="836"/>
      <c r="AM534" s="836"/>
      <c r="AN534" s="836"/>
      <c r="AO534" s="836"/>
      <c r="AP534" s="836"/>
      <c r="AQ534" s="836"/>
      <c r="AR534" s="836"/>
      <c r="AS534" s="836"/>
      <c r="AT534" s="836"/>
      <c r="AU534" s="836"/>
      <c r="AV534" s="836"/>
      <c r="AW534" s="836"/>
      <c r="AX534" s="836"/>
      <c r="AY534" s="836"/>
      <c r="AZ534" s="836"/>
      <c r="BA534" s="836"/>
      <c r="BB534" s="836"/>
      <c r="BC534" s="836"/>
      <c r="BD534" s="836"/>
      <c r="BE534" s="836"/>
      <c r="BF534" s="836"/>
      <c r="BG534" s="836"/>
      <c r="BH534" s="836"/>
      <c r="BI534" s="836"/>
      <c r="BJ534" s="836"/>
      <c r="BK534" s="836"/>
      <c r="BL534" s="836"/>
      <c r="BM534" s="836"/>
      <c r="BN534" s="836"/>
      <c r="BO534" s="836"/>
      <c r="BP534" s="836"/>
      <c r="BR534" s="838"/>
      <c r="BS534" s="838"/>
      <c r="BT534" s="838"/>
      <c r="BU534" s="838"/>
      <c r="BV534" s="838"/>
      <c r="BW534" s="838"/>
      <c r="BX534" s="838"/>
      <c r="BY534" s="838"/>
      <c r="BZ534" s="838"/>
      <c r="CA534" s="838"/>
      <c r="CB534" s="838"/>
      <c r="CC534" s="838"/>
      <c r="CD534" s="838"/>
      <c r="CE534" s="838"/>
      <c r="CF534" s="838"/>
      <c r="CG534" s="838"/>
      <c r="CH534" s="838"/>
      <c r="CI534" s="838"/>
      <c r="CJ534" s="838"/>
      <c r="CK534" s="838"/>
      <c r="CL534" s="838"/>
      <c r="CM534" s="838"/>
      <c r="CN534" s="838"/>
      <c r="CO534" s="838"/>
      <c r="CP534" s="838"/>
      <c r="CQ534" s="838"/>
      <c r="CR534" s="838"/>
      <c r="CS534" s="838"/>
      <c r="CT534" s="838"/>
      <c r="CU534" s="838"/>
    </row>
    <row r="535">
      <c r="A535" s="860"/>
      <c r="B535" s="860"/>
      <c r="C535" s="860"/>
      <c r="D535" s="860"/>
      <c r="E535" s="860"/>
      <c r="F535" s="860"/>
      <c r="G535" s="860"/>
      <c r="H535" s="860"/>
      <c r="I535" s="860"/>
      <c r="J535" s="860"/>
      <c r="K535" s="860"/>
      <c r="L535" s="860"/>
      <c r="M535" s="860"/>
      <c r="N535" s="860"/>
      <c r="O535" s="860"/>
      <c r="P535" s="860"/>
      <c r="Q535" s="860"/>
      <c r="R535" s="860"/>
      <c r="S535" s="860"/>
      <c r="T535" s="860"/>
      <c r="U535" s="860"/>
      <c r="V535" s="860"/>
      <c r="W535" s="860"/>
      <c r="X535" s="860"/>
      <c r="Y535" s="860"/>
      <c r="Z535" s="860"/>
      <c r="AA535" s="860"/>
      <c r="AB535" s="860"/>
      <c r="AC535" s="860"/>
      <c r="AD535" s="860"/>
      <c r="AE535" s="860"/>
      <c r="AF535" s="860"/>
      <c r="AG535" s="860"/>
      <c r="AH535" s="860"/>
      <c r="AJ535" s="836"/>
      <c r="AK535" s="836"/>
      <c r="AL535" s="836"/>
      <c r="AM535" s="836"/>
      <c r="AN535" s="836"/>
      <c r="AO535" s="836"/>
      <c r="AP535" s="836"/>
      <c r="AQ535" s="836"/>
      <c r="AR535" s="836"/>
      <c r="AS535" s="836"/>
      <c r="AT535" s="836"/>
      <c r="AU535" s="836"/>
      <c r="AV535" s="836"/>
      <c r="AW535" s="836"/>
      <c r="AX535" s="836"/>
      <c r="AY535" s="836"/>
      <c r="AZ535" s="836"/>
      <c r="BA535" s="836"/>
      <c r="BB535" s="836"/>
      <c r="BC535" s="836"/>
      <c r="BD535" s="836"/>
      <c r="BE535" s="836"/>
      <c r="BF535" s="836"/>
      <c r="BG535" s="836"/>
      <c r="BH535" s="836"/>
      <c r="BI535" s="836"/>
      <c r="BJ535" s="836"/>
      <c r="BK535" s="836"/>
      <c r="BL535" s="836"/>
      <c r="BM535" s="836"/>
      <c r="BN535" s="836"/>
      <c r="BO535" s="836"/>
      <c r="BP535" s="836"/>
      <c r="BR535" s="838"/>
      <c r="BS535" s="838"/>
      <c r="BT535" s="838"/>
      <c r="BU535" s="838"/>
      <c r="BV535" s="838"/>
      <c r="BW535" s="838"/>
      <c r="BX535" s="838"/>
      <c r="BY535" s="838"/>
      <c r="BZ535" s="838"/>
      <c r="CA535" s="838"/>
      <c r="CB535" s="838"/>
      <c r="CC535" s="838"/>
      <c r="CD535" s="838"/>
      <c r="CE535" s="838"/>
      <c r="CF535" s="838"/>
      <c r="CG535" s="838"/>
      <c r="CH535" s="838"/>
      <c r="CI535" s="838"/>
      <c r="CJ535" s="838"/>
      <c r="CK535" s="838"/>
      <c r="CL535" s="838"/>
      <c r="CM535" s="838"/>
      <c r="CN535" s="838"/>
      <c r="CO535" s="838"/>
      <c r="CP535" s="838"/>
      <c r="CQ535" s="838"/>
      <c r="CR535" s="838"/>
      <c r="CS535" s="838"/>
      <c r="CT535" s="838"/>
      <c r="CU535" s="838"/>
    </row>
    <row r="536">
      <c r="A536" s="860"/>
      <c r="B536" s="860"/>
      <c r="C536" s="860"/>
      <c r="D536" s="860"/>
      <c r="E536" s="860"/>
      <c r="F536" s="860"/>
      <c r="G536" s="860"/>
      <c r="H536" s="860"/>
      <c r="I536" s="860"/>
      <c r="J536" s="860"/>
      <c r="K536" s="860"/>
      <c r="L536" s="860"/>
      <c r="M536" s="860"/>
      <c r="N536" s="860"/>
      <c r="O536" s="860"/>
      <c r="P536" s="860"/>
      <c r="Q536" s="860"/>
      <c r="R536" s="860"/>
      <c r="S536" s="860"/>
      <c r="T536" s="860"/>
      <c r="U536" s="860"/>
      <c r="V536" s="860"/>
      <c r="W536" s="860"/>
      <c r="X536" s="860"/>
      <c r="Y536" s="860"/>
      <c r="Z536" s="860"/>
      <c r="AA536" s="860"/>
      <c r="AB536" s="860"/>
      <c r="AC536" s="860"/>
      <c r="AD536" s="860"/>
      <c r="AE536" s="860"/>
      <c r="AF536" s="860"/>
      <c r="AG536" s="860"/>
      <c r="AH536" s="860"/>
      <c r="AJ536" s="836"/>
      <c r="AK536" s="836"/>
      <c r="AL536" s="836"/>
      <c r="AM536" s="836"/>
      <c r="AN536" s="836"/>
      <c r="AO536" s="836"/>
      <c r="AP536" s="836"/>
      <c r="AQ536" s="836"/>
      <c r="AR536" s="836"/>
      <c r="AS536" s="836"/>
      <c r="AT536" s="836"/>
      <c r="AU536" s="836"/>
      <c r="AV536" s="836"/>
      <c r="AW536" s="836"/>
      <c r="AX536" s="836"/>
      <c r="AY536" s="836"/>
      <c r="AZ536" s="836"/>
      <c r="BA536" s="836"/>
      <c r="BB536" s="836"/>
      <c r="BC536" s="836"/>
      <c r="BD536" s="836"/>
      <c r="BE536" s="836"/>
      <c r="BF536" s="836"/>
      <c r="BG536" s="836"/>
      <c r="BH536" s="836"/>
      <c r="BI536" s="836"/>
      <c r="BJ536" s="836"/>
      <c r="BK536" s="836"/>
      <c r="BL536" s="836"/>
      <c r="BM536" s="836"/>
      <c r="BN536" s="836"/>
      <c r="BO536" s="836"/>
      <c r="BP536" s="836"/>
      <c r="BR536" s="838"/>
      <c r="BS536" s="838"/>
      <c r="BT536" s="838"/>
      <c r="BU536" s="838"/>
      <c r="BV536" s="838"/>
      <c r="BW536" s="838"/>
      <c r="BX536" s="838"/>
      <c r="BY536" s="838"/>
      <c r="BZ536" s="838"/>
      <c r="CA536" s="838"/>
      <c r="CB536" s="838"/>
      <c r="CC536" s="838"/>
      <c r="CD536" s="838"/>
      <c r="CE536" s="838"/>
      <c r="CF536" s="838"/>
      <c r="CG536" s="838"/>
      <c r="CH536" s="838"/>
      <c r="CI536" s="838"/>
      <c r="CJ536" s="838"/>
      <c r="CK536" s="838"/>
      <c r="CL536" s="838"/>
      <c r="CM536" s="838"/>
      <c r="CN536" s="838"/>
      <c r="CO536" s="838"/>
      <c r="CP536" s="838"/>
      <c r="CQ536" s="838"/>
      <c r="CR536" s="838"/>
      <c r="CS536" s="838"/>
      <c r="CT536" s="838"/>
      <c r="CU536" s="838"/>
    </row>
    <row r="537">
      <c r="A537" s="860"/>
      <c r="B537" s="860"/>
      <c r="C537" s="860"/>
      <c r="D537" s="860"/>
      <c r="E537" s="860"/>
      <c r="F537" s="860"/>
      <c r="G537" s="860"/>
      <c r="H537" s="860"/>
      <c r="I537" s="860"/>
      <c r="J537" s="860"/>
      <c r="K537" s="860"/>
      <c r="L537" s="860"/>
      <c r="M537" s="860"/>
      <c r="N537" s="860"/>
      <c r="O537" s="860"/>
      <c r="P537" s="860"/>
      <c r="Q537" s="860"/>
      <c r="R537" s="860"/>
      <c r="S537" s="860"/>
      <c r="T537" s="860"/>
      <c r="U537" s="860"/>
      <c r="V537" s="860"/>
      <c r="W537" s="860"/>
      <c r="X537" s="860"/>
      <c r="Y537" s="860"/>
      <c r="Z537" s="860"/>
      <c r="AA537" s="860"/>
      <c r="AB537" s="860"/>
      <c r="AC537" s="860"/>
      <c r="AD537" s="860"/>
      <c r="AE537" s="860"/>
      <c r="AF537" s="860"/>
      <c r="AG537" s="860"/>
      <c r="AH537" s="860"/>
      <c r="AJ537" s="836"/>
      <c r="AK537" s="836"/>
      <c r="AL537" s="836"/>
      <c r="AM537" s="836"/>
      <c r="AN537" s="836"/>
      <c r="AO537" s="836"/>
      <c r="AP537" s="836"/>
      <c r="AQ537" s="836"/>
      <c r="AR537" s="836"/>
      <c r="AS537" s="836"/>
      <c r="AT537" s="836"/>
      <c r="AU537" s="836"/>
      <c r="AV537" s="836"/>
      <c r="AW537" s="836"/>
      <c r="AX537" s="836"/>
      <c r="AY537" s="836"/>
      <c r="AZ537" s="836"/>
      <c r="BA537" s="836"/>
      <c r="BB537" s="836"/>
      <c r="BC537" s="836"/>
      <c r="BD537" s="836"/>
      <c r="BE537" s="836"/>
      <c r="BF537" s="836"/>
      <c r="BG537" s="836"/>
      <c r="BH537" s="836"/>
      <c r="BI537" s="836"/>
      <c r="BJ537" s="836"/>
      <c r="BK537" s="836"/>
      <c r="BL537" s="836"/>
      <c r="BM537" s="836"/>
      <c r="BN537" s="836"/>
      <c r="BO537" s="836"/>
      <c r="BP537" s="836"/>
      <c r="BR537" s="838"/>
      <c r="BS537" s="838"/>
      <c r="BT537" s="838"/>
      <c r="BU537" s="838"/>
      <c r="BV537" s="838"/>
      <c r="BW537" s="838"/>
      <c r="BX537" s="838"/>
      <c r="BY537" s="838"/>
      <c r="BZ537" s="838"/>
      <c r="CA537" s="838"/>
      <c r="CB537" s="838"/>
      <c r="CC537" s="838"/>
      <c r="CD537" s="838"/>
      <c r="CE537" s="838"/>
      <c r="CF537" s="838"/>
      <c r="CG537" s="838"/>
      <c r="CH537" s="838"/>
      <c r="CI537" s="838"/>
      <c r="CJ537" s="838"/>
      <c r="CK537" s="838"/>
      <c r="CL537" s="838"/>
      <c r="CM537" s="838"/>
      <c r="CN537" s="838"/>
      <c r="CO537" s="838"/>
      <c r="CP537" s="838"/>
      <c r="CQ537" s="838"/>
      <c r="CR537" s="838"/>
      <c r="CS537" s="838"/>
      <c r="CT537" s="838"/>
      <c r="CU537" s="838"/>
    </row>
    <row r="538">
      <c r="A538" s="860"/>
      <c r="B538" s="860"/>
      <c r="C538" s="860"/>
      <c r="D538" s="860"/>
      <c r="E538" s="860"/>
      <c r="F538" s="860"/>
      <c r="G538" s="860"/>
      <c r="H538" s="860"/>
      <c r="I538" s="860"/>
      <c r="J538" s="860"/>
      <c r="K538" s="860"/>
      <c r="L538" s="860"/>
      <c r="M538" s="860"/>
      <c r="N538" s="860"/>
      <c r="O538" s="860"/>
      <c r="P538" s="860"/>
      <c r="Q538" s="860"/>
      <c r="R538" s="860"/>
      <c r="S538" s="860"/>
      <c r="T538" s="860"/>
      <c r="U538" s="860"/>
      <c r="V538" s="860"/>
      <c r="W538" s="860"/>
      <c r="X538" s="860"/>
      <c r="Y538" s="860"/>
      <c r="Z538" s="860"/>
      <c r="AA538" s="860"/>
      <c r="AB538" s="860"/>
      <c r="AC538" s="860"/>
      <c r="AD538" s="860"/>
      <c r="AE538" s="860"/>
      <c r="AF538" s="860"/>
      <c r="AG538" s="860"/>
      <c r="AH538" s="860"/>
      <c r="AJ538" s="836"/>
      <c r="AK538" s="836"/>
      <c r="AL538" s="836"/>
      <c r="AM538" s="836"/>
      <c r="AN538" s="836"/>
      <c r="AO538" s="836"/>
      <c r="AP538" s="836"/>
      <c r="AQ538" s="836"/>
      <c r="AR538" s="836"/>
      <c r="AS538" s="836"/>
      <c r="AT538" s="836"/>
      <c r="AU538" s="836"/>
      <c r="AV538" s="836"/>
      <c r="AW538" s="836"/>
      <c r="AX538" s="836"/>
      <c r="AY538" s="836"/>
      <c r="AZ538" s="836"/>
      <c r="BA538" s="836"/>
      <c r="BB538" s="836"/>
      <c r="BC538" s="836"/>
      <c r="BD538" s="836"/>
      <c r="BE538" s="836"/>
      <c r="BF538" s="836"/>
      <c r="BG538" s="836"/>
      <c r="BH538" s="836"/>
      <c r="BI538" s="836"/>
      <c r="BJ538" s="836"/>
      <c r="BK538" s="836"/>
      <c r="BL538" s="836"/>
      <c r="BM538" s="836"/>
      <c r="BN538" s="836"/>
      <c r="BO538" s="836"/>
      <c r="BP538" s="836"/>
      <c r="BR538" s="838"/>
      <c r="BS538" s="838"/>
      <c r="BT538" s="838"/>
      <c r="BU538" s="838"/>
      <c r="BV538" s="838"/>
      <c r="BW538" s="838"/>
      <c r="BX538" s="838"/>
      <c r="BY538" s="838"/>
      <c r="BZ538" s="838"/>
      <c r="CA538" s="838"/>
      <c r="CB538" s="838"/>
      <c r="CC538" s="838"/>
      <c r="CD538" s="838"/>
      <c r="CE538" s="838"/>
      <c r="CF538" s="838"/>
      <c r="CG538" s="838"/>
      <c r="CH538" s="838"/>
      <c r="CI538" s="838"/>
      <c r="CJ538" s="838"/>
      <c r="CK538" s="838"/>
      <c r="CL538" s="838"/>
      <c r="CM538" s="838"/>
      <c r="CN538" s="838"/>
      <c r="CO538" s="838"/>
      <c r="CP538" s="838"/>
      <c r="CQ538" s="838"/>
      <c r="CR538" s="838"/>
      <c r="CS538" s="838"/>
      <c r="CT538" s="838"/>
      <c r="CU538" s="838"/>
    </row>
    <row r="539">
      <c r="A539" s="860"/>
      <c r="B539" s="860"/>
      <c r="C539" s="860"/>
      <c r="D539" s="860"/>
      <c r="E539" s="860"/>
      <c r="F539" s="860"/>
      <c r="G539" s="860"/>
      <c r="H539" s="860"/>
      <c r="I539" s="860"/>
      <c r="J539" s="860"/>
      <c r="K539" s="860"/>
      <c r="L539" s="860"/>
      <c r="M539" s="860"/>
      <c r="N539" s="860"/>
      <c r="O539" s="860"/>
      <c r="P539" s="860"/>
      <c r="Q539" s="860"/>
      <c r="R539" s="860"/>
      <c r="S539" s="860"/>
      <c r="T539" s="860"/>
      <c r="U539" s="860"/>
      <c r="V539" s="860"/>
      <c r="W539" s="860"/>
      <c r="X539" s="860"/>
      <c r="Y539" s="860"/>
      <c r="Z539" s="860"/>
      <c r="AA539" s="860"/>
      <c r="AB539" s="860"/>
      <c r="AC539" s="860"/>
      <c r="AD539" s="860"/>
      <c r="AE539" s="860"/>
      <c r="AF539" s="860"/>
      <c r="AG539" s="860"/>
      <c r="AH539" s="860"/>
      <c r="AJ539" s="836"/>
      <c r="AK539" s="836"/>
      <c r="AL539" s="836"/>
      <c r="AM539" s="836"/>
      <c r="AN539" s="836"/>
      <c r="AO539" s="836"/>
      <c r="AP539" s="836"/>
      <c r="AQ539" s="836"/>
      <c r="AR539" s="836"/>
      <c r="AS539" s="836"/>
      <c r="AT539" s="836"/>
      <c r="AU539" s="836"/>
      <c r="AV539" s="836"/>
      <c r="AW539" s="836"/>
      <c r="AX539" s="836"/>
      <c r="AY539" s="836"/>
      <c r="AZ539" s="836"/>
      <c r="BA539" s="836"/>
      <c r="BB539" s="836"/>
      <c r="BC539" s="836"/>
      <c r="BD539" s="836"/>
      <c r="BE539" s="836"/>
      <c r="BF539" s="836"/>
      <c r="BG539" s="836"/>
      <c r="BH539" s="836"/>
      <c r="BI539" s="836"/>
      <c r="BJ539" s="836"/>
      <c r="BK539" s="836"/>
      <c r="BL539" s="836"/>
      <c r="BM539" s="836"/>
      <c r="BN539" s="836"/>
      <c r="BO539" s="836"/>
      <c r="BP539" s="836"/>
      <c r="BR539" s="838"/>
      <c r="BS539" s="838"/>
      <c r="BT539" s="838"/>
      <c r="BU539" s="838"/>
      <c r="BV539" s="838"/>
      <c r="BW539" s="838"/>
      <c r="BX539" s="838"/>
      <c r="BY539" s="838"/>
      <c r="BZ539" s="838"/>
      <c r="CA539" s="838"/>
      <c r="CB539" s="838"/>
      <c r="CC539" s="838"/>
      <c r="CD539" s="838"/>
      <c r="CE539" s="838"/>
      <c r="CF539" s="838"/>
      <c r="CG539" s="838"/>
      <c r="CH539" s="838"/>
      <c r="CI539" s="838"/>
      <c r="CJ539" s="838"/>
      <c r="CK539" s="838"/>
      <c r="CL539" s="838"/>
      <c r="CM539" s="838"/>
      <c r="CN539" s="838"/>
      <c r="CO539" s="838"/>
      <c r="CP539" s="838"/>
      <c r="CQ539" s="838"/>
      <c r="CR539" s="838"/>
      <c r="CS539" s="838"/>
      <c r="CT539" s="838"/>
      <c r="CU539" s="838"/>
    </row>
    <row r="540">
      <c r="A540" s="860"/>
      <c r="B540" s="860"/>
      <c r="C540" s="860"/>
      <c r="D540" s="860"/>
      <c r="E540" s="860"/>
      <c r="F540" s="860"/>
      <c r="G540" s="860"/>
      <c r="H540" s="860"/>
      <c r="I540" s="860"/>
      <c r="J540" s="860"/>
      <c r="K540" s="860"/>
      <c r="L540" s="860"/>
      <c r="M540" s="860"/>
      <c r="N540" s="860"/>
      <c r="O540" s="860"/>
      <c r="P540" s="860"/>
      <c r="Q540" s="860"/>
      <c r="R540" s="860"/>
      <c r="S540" s="860"/>
      <c r="T540" s="860"/>
      <c r="U540" s="860"/>
      <c r="V540" s="860"/>
      <c r="W540" s="860"/>
      <c r="X540" s="860"/>
      <c r="Y540" s="860"/>
      <c r="Z540" s="860"/>
      <c r="AA540" s="860"/>
      <c r="AB540" s="860"/>
      <c r="AC540" s="860"/>
      <c r="AD540" s="860"/>
      <c r="AE540" s="860"/>
      <c r="AF540" s="860"/>
      <c r="AG540" s="860"/>
      <c r="AH540" s="860"/>
      <c r="AJ540" s="836"/>
      <c r="AK540" s="836"/>
      <c r="AL540" s="836"/>
      <c r="AM540" s="836"/>
      <c r="AN540" s="836"/>
      <c r="AO540" s="836"/>
      <c r="AP540" s="836"/>
      <c r="AQ540" s="836"/>
      <c r="AR540" s="836"/>
      <c r="AS540" s="836"/>
      <c r="AT540" s="836"/>
      <c r="AU540" s="836"/>
      <c r="AV540" s="836"/>
      <c r="AW540" s="836"/>
      <c r="AX540" s="836"/>
      <c r="AY540" s="836"/>
      <c r="AZ540" s="836"/>
      <c r="BA540" s="836"/>
      <c r="BB540" s="836"/>
      <c r="BC540" s="836"/>
      <c r="BD540" s="836"/>
      <c r="BE540" s="836"/>
      <c r="BF540" s="836"/>
      <c r="BG540" s="836"/>
      <c r="BH540" s="836"/>
      <c r="BI540" s="836"/>
      <c r="BJ540" s="836"/>
      <c r="BK540" s="836"/>
      <c r="BL540" s="836"/>
      <c r="BM540" s="836"/>
      <c r="BN540" s="836"/>
      <c r="BO540" s="836"/>
      <c r="BP540" s="836"/>
      <c r="BR540" s="838"/>
      <c r="BS540" s="838"/>
      <c r="BT540" s="838"/>
      <c r="BU540" s="838"/>
      <c r="BV540" s="838"/>
      <c r="BW540" s="838"/>
      <c r="BX540" s="838"/>
      <c r="BY540" s="838"/>
      <c r="BZ540" s="838"/>
      <c r="CA540" s="838"/>
      <c r="CB540" s="838"/>
      <c r="CC540" s="838"/>
      <c r="CD540" s="838"/>
      <c r="CE540" s="838"/>
      <c r="CF540" s="838"/>
      <c r="CG540" s="838"/>
      <c r="CH540" s="838"/>
      <c r="CI540" s="838"/>
      <c r="CJ540" s="838"/>
      <c r="CK540" s="838"/>
      <c r="CL540" s="838"/>
      <c r="CM540" s="838"/>
      <c r="CN540" s="838"/>
      <c r="CO540" s="838"/>
      <c r="CP540" s="838"/>
      <c r="CQ540" s="838"/>
      <c r="CR540" s="838"/>
      <c r="CS540" s="838"/>
      <c r="CT540" s="838"/>
      <c r="CU540" s="838"/>
    </row>
    <row r="541">
      <c r="A541" s="860"/>
      <c r="B541" s="860"/>
      <c r="C541" s="860"/>
      <c r="D541" s="860"/>
      <c r="E541" s="860"/>
      <c r="F541" s="860"/>
      <c r="G541" s="860"/>
      <c r="H541" s="860"/>
      <c r="I541" s="860"/>
      <c r="J541" s="860"/>
      <c r="K541" s="860"/>
      <c r="L541" s="860"/>
      <c r="M541" s="860"/>
      <c r="N541" s="860"/>
      <c r="O541" s="860"/>
      <c r="P541" s="860"/>
      <c r="Q541" s="860"/>
      <c r="R541" s="860"/>
      <c r="S541" s="860"/>
      <c r="T541" s="860"/>
      <c r="U541" s="860"/>
      <c r="V541" s="860"/>
      <c r="W541" s="860"/>
      <c r="X541" s="860"/>
      <c r="Y541" s="860"/>
      <c r="Z541" s="860"/>
      <c r="AA541" s="860"/>
      <c r="AB541" s="860"/>
      <c r="AC541" s="860"/>
      <c r="AD541" s="860"/>
      <c r="AE541" s="860"/>
      <c r="AF541" s="860"/>
      <c r="AG541" s="860"/>
      <c r="AH541" s="860"/>
      <c r="AJ541" s="836"/>
      <c r="AK541" s="836"/>
      <c r="AL541" s="836"/>
      <c r="AM541" s="836"/>
      <c r="AN541" s="836"/>
      <c r="AO541" s="836"/>
      <c r="AP541" s="836"/>
      <c r="AQ541" s="836"/>
      <c r="AR541" s="836"/>
      <c r="AS541" s="836"/>
      <c r="AT541" s="836"/>
      <c r="AU541" s="836"/>
      <c r="AV541" s="836"/>
      <c r="AW541" s="836"/>
      <c r="AX541" s="836"/>
      <c r="AY541" s="836"/>
      <c r="AZ541" s="836"/>
      <c r="BA541" s="836"/>
      <c r="BB541" s="836"/>
      <c r="BC541" s="836"/>
      <c r="BD541" s="836"/>
      <c r="BE541" s="836"/>
      <c r="BF541" s="836"/>
      <c r="BG541" s="836"/>
      <c r="BH541" s="836"/>
      <c r="BI541" s="836"/>
      <c r="BJ541" s="836"/>
      <c r="BK541" s="836"/>
      <c r="BL541" s="836"/>
      <c r="BM541" s="836"/>
      <c r="BN541" s="836"/>
      <c r="BO541" s="836"/>
      <c r="BP541" s="836"/>
      <c r="BR541" s="838"/>
      <c r="BS541" s="838"/>
      <c r="BT541" s="838"/>
      <c r="BU541" s="838"/>
      <c r="BV541" s="838"/>
      <c r="BW541" s="838"/>
      <c r="BX541" s="838"/>
      <c r="BY541" s="838"/>
      <c r="BZ541" s="838"/>
      <c r="CA541" s="838"/>
      <c r="CB541" s="838"/>
      <c r="CC541" s="838"/>
      <c r="CD541" s="838"/>
      <c r="CE541" s="838"/>
      <c r="CF541" s="838"/>
      <c r="CG541" s="838"/>
      <c r="CH541" s="838"/>
      <c r="CI541" s="838"/>
      <c r="CJ541" s="838"/>
      <c r="CK541" s="838"/>
      <c r="CL541" s="838"/>
      <c r="CM541" s="838"/>
      <c r="CN541" s="838"/>
      <c r="CO541" s="838"/>
      <c r="CP541" s="838"/>
      <c r="CQ541" s="838"/>
      <c r="CR541" s="838"/>
      <c r="CS541" s="838"/>
      <c r="CT541" s="838"/>
      <c r="CU541" s="838"/>
    </row>
    <row r="542">
      <c r="A542" s="860"/>
      <c r="B542" s="860"/>
      <c r="C542" s="860"/>
      <c r="D542" s="860"/>
      <c r="E542" s="860"/>
      <c r="F542" s="860"/>
      <c r="G542" s="860"/>
      <c r="H542" s="860"/>
      <c r="I542" s="860"/>
      <c r="J542" s="860"/>
      <c r="K542" s="860"/>
      <c r="L542" s="860"/>
      <c r="M542" s="860"/>
      <c r="N542" s="860"/>
      <c r="O542" s="860"/>
      <c r="P542" s="860"/>
      <c r="Q542" s="860"/>
      <c r="R542" s="860"/>
      <c r="S542" s="860"/>
      <c r="T542" s="860"/>
      <c r="U542" s="860"/>
      <c r="V542" s="860"/>
      <c r="W542" s="860"/>
      <c r="X542" s="860"/>
      <c r="Y542" s="860"/>
      <c r="Z542" s="860"/>
      <c r="AA542" s="860"/>
      <c r="AB542" s="860"/>
      <c r="AC542" s="860"/>
      <c r="AD542" s="860"/>
      <c r="AE542" s="860"/>
      <c r="AF542" s="860"/>
      <c r="AG542" s="860"/>
      <c r="AH542" s="860"/>
      <c r="AJ542" s="836"/>
      <c r="AK542" s="836"/>
      <c r="AL542" s="836"/>
      <c r="AM542" s="836"/>
      <c r="AN542" s="836"/>
      <c r="AO542" s="836"/>
      <c r="AP542" s="836"/>
      <c r="AQ542" s="836"/>
      <c r="AR542" s="836"/>
      <c r="AS542" s="836"/>
      <c r="AT542" s="836"/>
      <c r="AU542" s="836"/>
      <c r="AV542" s="836"/>
      <c r="AW542" s="836"/>
      <c r="AX542" s="836"/>
      <c r="AY542" s="836"/>
      <c r="AZ542" s="836"/>
      <c r="BA542" s="836"/>
      <c r="BB542" s="836"/>
      <c r="BC542" s="836"/>
      <c r="BD542" s="836"/>
      <c r="BE542" s="836"/>
      <c r="BF542" s="836"/>
      <c r="BG542" s="836"/>
      <c r="BH542" s="836"/>
      <c r="BI542" s="836"/>
      <c r="BJ542" s="836"/>
      <c r="BK542" s="836"/>
      <c r="BL542" s="836"/>
      <c r="BM542" s="836"/>
      <c r="BN542" s="836"/>
      <c r="BO542" s="836"/>
      <c r="BP542" s="836"/>
      <c r="BR542" s="838"/>
      <c r="BS542" s="838"/>
      <c r="BT542" s="838"/>
      <c r="BU542" s="838"/>
      <c r="BV542" s="838"/>
      <c r="BW542" s="838"/>
      <c r="BX542" s="838"/>
      <c r="BY542" s="838"/>
      <c r="BZ542" s="838"/>
      <c r="CA542" s="838"/>
      <c r="CB542" s="838"/>
      <c r="CC542" s="838"/>
      <c r="CD542" s="838"/>
      <c r="CE542" s="838"/>
      <c r="CF542" s="838"/>
      <c r="CG542" s="838"/>
      <c r="CH542" s="838"/>
      <c r="CI542" s="838"/>
      <c r="CJ542" s="838"/>
      <c r="CK542" s="838"/>
      <c r="CL542" s="838"/>
      <c r="CM542" s="838"/>
      <c r="CN542" s="838"/>
      <c r="CO542" s="838"/>
      <c r="CP542" s="838"/>
      <c r="CQ542" s="838"/>
      <c r="CR542" s="838"/>
      <c r="CS542" s="838"/>
      <c r="CT542" s="838"/>
      <c r="CU542" s="838"/>
    </row>
    <row r="543">
      <c r="A543" s="860"/>
      <c r="B543" s="860"/>
      <c r="C543" s="860"/>
      <c r="D543" s="860"/>
      <c r="E543" s="860"/>
      <c r="F543" s="860"/>
      <c r="G543" s="860"/>
      <c r="H543" s="860"/>
      <c r="I543" s="860"/>
      <c r="J543" s="860"/>
      <c r="K543" s="860"/>
      <c r="L543" s="860"/>
      <c r="M543" s="860"/>
      <c r="N543" s="860"/>
      <c r="O543" s="860"/>
      <c r="P543" s="860"/>
      <c r="Q543" s="860"/>
      <c r="R543" s="860"/>
      <c r="S543" s="860"/>
      <c r="T543" s="860"/>
      <c r="U543" s="860"/>
      <c r="V543" s="860"/>
      <c r="W543" s="860"/>
      <c r="X543" s="860"/>
      <c r="Y543" s="860"/>
      <c r="Z543" s="860"/>
      <c r="AA543" s="860"/>
      <c r="AB543" s="860"/>
      <c r="AC543" s="860"/>
      <c r="AD543" s="860"/>
      <c r="AE543" s="860"/>
      <c r="AF543" s="860"/>
      <c r="AG543" s="860"/>
      <c r="AH543" s="860"/>
      <c r="AJ543" s="836"/>
      <c r="AK543" s="836"/>
      <c r="AL543" s="836"/>
      <c r="AM543" s="836"/>
      <c r="AN543" s="836"/>
      <c r="AO543" s="836"/>
      <c r="AP543" s="836"/>
      <c r="AQ543" s="836"/>
      <c r="AR543" s="836"/>
      <c r="AS543" s="836"/>
      <c r="AT543" s="836"/>
      <c r="AU543" s="836"/>
      <c r="AV543" s="836"/>
      <c r="AW543" s="836"/>
      <c r="AX543" s="836"/>
      <c r="AY543" s="836"/>
      <c r="AZ543" s="836"/>
      <c r="BA543" s="836"/>
      <c r="BB543" s="836"/>
      <c r="BC543" s="836"/>
      <c r="BD543" s="836"/>
      <c r="BE543" s="836"/>
      <c r="BF543" s="836"/>
      <c r="BG543" s="836"/>
      <c r="BH543" s="836"/>
      <c r="BI543" s="836"/>
      <c r="BJ543" s="836"/>
      <c r="BK543" s="836"/>
      <c r="BL543" s="836"/>
      <c r="BM543" s="836"/>
      <c r="BN543" s="836"/>
      <c r="BO543" s="836"/>
      <c r="BP543" s="836"/>
      <c r="BR543" s="838"/>
      <c r="BS543" s="838"/>
      <c r="BT543" s="838"/>
      <c r="BU543" s="838"/>
      <c r="BV543" s="838"/>
      <c r="BW543" s="838"/>
      <c r="BX543" s="838"/>
      <c r="BY543" s="838"/>
      <c r="BZ543" s="838"/>
      <c r="CA543" s="838"/>
      <c r="CB543" s="838"/>
      <c r="CC543" s="838"/>
      <c r="CD543" s="838"/>
      <c r="CE543" s="838"/>
      <c r="CF543" s="838"/>
      <c r="CG543" s="838"/>
      <c r="CH543" s="838"/>
      <c r="CI543" s="838"/>
      <c r="CJ543" s="838"/>
      <c r="CK543" s="838"/>
      <c r="CL543" s="838"/>
      <c r="CM543" s="838"/>
      <c r="CN543" s="838"/>
      <c r="CO543" s="838"/>
      <c r="CP543" s="838"/>
      <c r="CQ543" s="838"/>
      <c r="CR543" s="838"/>
      <c r="CS543" s="838"/>
      <c r="CT543" s="838"/>
      <c r="CU543" s="838"/>
    </row>
    <row r="544">
      <c r="A544" s="860"/>
      <c r="B544" s="860"/>
      <c r="C544" s="860"/>
      <c r="D544" s="860"/>
      <c r="E544" s="860"/>
      <c r="F544" s="860"/>
      <c r="G544" s="860"/>
      <c r="H544" s="860"/>
      <c r="I544" s="860"/>
      <c r="J544" s="860"/>
      <c r="K544" s="860"/>
      <c r="L544" s="860"/>
      <c r="M544" s="860"/>
      <c r="N544" s="860"/>
      <c r="O544" s="860"/>
      <c r="P544" s="860"/>
      <c r="Q544" s="860"/>
      <c r="R544" s="860"/>
      <c r="S544" s="860"/>
      <c r="T544" s="860"/>
      <c r="U544" s="860"/>
      <c r="V544" s="860"/>
      <c r="W544" s="860"/>
      <c r="X544" s="860"/>
      <c r="Y544" s="860"/>
      <c r="Z544" s="860"/>
      <c r="AA544" s="860"/>
      <c r="AB544" s="860"/>
      <c r="AC544" s="860"/>
      <c r="AD544" s="860"/>
      <c r="AE544" s="860"/>
      <c r="AF544" s="860"/>
      <c r="AG544" s="860"/>
      <c r="AH544" s="860"/>
      <c r="AJ544" s="836"/>
      <c r="AK544" s="836"/>
      <c r="AL544" s="836"/>
      <c r="AM544" s="836"/>
      <c r="AN544" s="836"/>
      <c r="AO544" s="836"/>
      <c r="AP544" s="836"/>
      <c r="AQ544" s="836"/>
      <c r="AR544" s="836"/>
      <c r="AS544" s="836"/>
      <c r="AT544" s="836"/>
      <c r="AU544" s="836"/>
      <c r="AV544" s="836"/>
      <c r="AW544" s="836"/>
      <c r="AX544" s="836"/>
      <c r="AY544" s="836"/>
      <c r="AZ544" s="836"/>
      <c r="BA544" s="836"/>
      <c r="BB544" s="836"/>
      <c r="BC544" s="836"/>
      <c r="BD544" s="836"/>
      <c r="BE544" s="836"/>
      <c r="BF544" s="836"/>
      <c r="BG544" s="836"/>
      <c r="BH544" s="836"/>
      <c r="BI544" s="836"/>
      <c r="BJ544" s="836"/>
      <c r="BK544" s="836"/>
      <c r="BL544" s="836"/>
      <c r="BM544" s="836"/>
      <c r="BN544" s="836"/>
      <c r="BO544" s="836"/>
      <c r="BP544" s="836"/>
      <c r="BR544" s="838"/>
      <c r="BS544" s="838"/>
      <c r="BT544" s="838"/>
      <c r="BU544" s="838"/>
      <c r="BV544" s="838"/>
      <c r="BW544" s="838"/>
      <c r="BX544" s="838"/>
      <c r="BY544" s="838"/>
      <c r="BZ544" s="838"/>
      <c r="CA544" s="838"/>
      <c r="CB544" s="838"/>
      <c r="CC544" s="838"/>
      <c r="CD544" s="838"/>
      <c r="CE544" s="838"/>
      <c r="CF544" s="838"/>
      <c r="CG544" s="838"/>
      <c r="CH544" s="838"/>
      <c r="CI544" s="838"/>
      <c r="CJ544" s="838"/>
      <c r="CK544" s="838"/>
      <c r="CL544" s="838"/>
      <c r="CM544" s="838"/>
      <c r="CN544" s="838"/>
      <c r="CO544" s="838"/>
      <c r="CP544" s="838"/>
      <c r="CQ544" s="838"/>
      <c r="CR544" s="838"/>
      <c r="CS544" s="838"/>
      <c r="CT544" s="838"/>
      <c r="CU544" s="838"/>
    </row>
    <row r="545">
      <c r="A545" s="860"/>
      <c r="B545" s="860"/>
      <c r="C545" s="860"/>
      <c r="D545" s="860"/>
      <c r="E545" s="860"/>
      <c r="F545" s="860"/>
      <c r="G545" s="860"/>
      <c r="H545" s="860"/>
      <c r="I545" s="860"/>
      <c r="J545" s="860"/>
      <c r="K545" s="860"/>
      <c r="L545" s="860"/>
      <c r="M545" s="860"/>
      <c r="N545" s="860"/>
      <c r="O545" s="860"/>
      <c r="P545" s="860"/>
      <c r="Q545" s="860"/>
      <c r="R545" s="860"/>
      <c r="S545" s="860"/>
      <c r="T545" s="860"/>
      <c r="U545" s="860"/>
      <c r="V545" s="860"/>
      <c r="W545" s="860"/>
      <c r="X545" s="860"/>
      <c r="Y545" s="860"/>
      <c r="Z545" s="860"/>
      <c r="AA545" s="860"/>
      <c r="AB545" s="860"/>
      <c r="AC545" s="860"/>
      <c r="AD545" s="860"/>
      <c r="AE545" s="860"/>
      <c r="AF545" s="860"/>
      <c r="AG545" s="860"/>
      <c r="AH545" s="860"/>
      <c r="AJ545" s="836"/>
      <c r="AK545" s="836"/>
      <c r="AL545" s="836"/>
      <c r="AM545" s="836"/>
      <c r="AN545" s="836"/>
      <c r="AO545" s="836"/>
      <c r="AP545" s="836"/>
      <c r="AQ545" s="836"/>
      <c r="AR545" s="836"/>
      <c r="AS545" s="836"/>
      <c r="AT545" s="836"/>
      <c r="AU545" s="836"/>
      <c r="AV545" s="836"/>
      <c r="AW545" s="836"/>
      <c r="AX545" s="836"/>
      <c r="AY545" s="836"/>
      <c r="AZ545" s="836"/>
      <c r="BA545" s="836"/>
      <c r="BB545" s="836"/>
      <c r="BC545" s="836"/>
      <c r="BD545" s="836"/>
      <c r="BE545" s="836"/>
      <c r="BF545" s="836"/>
      <c r="BG545" s="836"/>
      <c r="BH545" s="836"/>
      <c r="BI545" s="836"/>
      <c r="BJ545" s="836"/>
      <c r="BK545" s="836"/>
      <c r="BL545" s="836"/>
      <c r="BM545" s="836"/>
      <c r="BN545" s="836"/>
      <c r="BO545" s="836"/>
      <c r="BP545" s="836"/>
      <c r="BR545" s="838"/>
      <c r="BS545" s="838"/>
      <c r="BT545" s="838"/>
      <c r="BU545" s="838"/>
      <c r="BV545" s="838"/>
      <c r="BW545" s="838"/>
      <c r="BX545" s="838"/>
      <c r="BY545" s="838"/>
      <c r="BZ545" s="838"/>
      <c r="CA545" s="838"/>
      <c r="CB545" s="838"/>
      <c r="CC545" s="838"/>
      <c r="CD545" s="838"/>
      <c r="CE545" s="838"/>
      <c r="CF545" s="838"/>
      <c r="CG545" s="838"/>
      <c r="CH545" s="838"/>
      <c r="CI545" s="838"/>
      <c r="CJ545" s="838"/>
      <c r="CK545" s="838"/>
      <c r="CL545" s="838"/>
      <c r="CM545" s="838"/>
      <c r="CN545" s="838"/>
      <c r="CO545" s="838"/>
      <c r="CP545" s="838"/>
      <c r="CQ545" s="838"/>
      <c r="CR545" s="838"/>
      <c r="CS545" s="838"/>
      <c r="CT545" s="838"/>
      <c r="CU545" s="838"/>
    </row>
    <row r="546">
      <c r="A546" s="860"/>
      <c r="B546" s="860"/>
      <c r="C546" s="860"/>
      <c r="D546" s="860"/>
      <c r="E546" s="860"/>
      <c r="F546" s="860"/>
      <c r="G546" s="860"/>
      <c r="H546" s="860"/>
      <c r="I546" s="860"/>
      <c r="J546" s="860"/>
      <c r="K546" s="860"/>
      <c r="L546" s="860"/>
      <c r="M546" s="860"/>
      <c r="N546" s="860"/>
      <c r="O546" s="860"/>
      <c r="P546" s="860"/>
      <c r="Q546" s="860"/>
      <c r="R546" s="860"/>
      <c r="S546" s="860"/>
      <c r="T546" s="860"/>
      <c r="U546" s="860"/>
      <c r="V546" s="860"/>
      <c r="W546" s="860"/>
      <c r="X546" s="860"/>
      <c r="Y546" s="860"/>
      <c r="Z546" s="860"/>
      <c r="AA546" s="860"/>
      <c r="AB546" s="860"/>
      <c r="AC546" s="860"/>
      <c r="AD546" s="860"/>
      <c r="AE546" s="860"/>
      <c r="AF546" s="860"/>
      <c r="AG546" s="860"/>
      <c r="AH546" s="860"/>
      <c r="AJ546" s="836"/>
      <c r="AK546" s="836"/>
      <c r="AL546" s="836"/>
      <c r="AM546" s="836"/>
      <c r="AN546" s="836"/>
      <c r="AO546" s="836"/>
      <c r="AP546" s="836"/>
      <c r="AQ546" s="836"/>
      <c r="AR546" s="836"/>
      <c r="AS546" s="836"/>
      <c r="AT546" s="836"/>
      <c r="AU546" s="836"/>
      <c r="AV546" s="836"/>
      <c r="AW546" s="836"/>
      <c r="AX546" s="836"/>
      <c r="AY546" s="836"/>
      <c r="AZ546" s="836"/>
      <c r="BA546" s="836"/>
      <c r="BB546" s="836"/>
      <c r="BC546" s="836"/>
      <c r="BD546" s="836"/>
      <c r="BE546" s="836"/>
      <c r="BF546" s="836"/>
      <c r="BG546" s="836"/>
      <c r="BH546" s="836"/>
      <c r="BI546" s="836"/>
      <c r="BJ546" s="836"/>
      <c r="BK546" s="836"/>
      <c r="BL546" s="836"/>
      <c r="BM546" s="836"/>
      <c r="BN546" s="836"/>
      <c r="BO546" s="836"/>
      <c r="BP546" s="836"/>
      <c r="BR546" s="838"/>
      <c r="BS546" s="838"/>
      <c r="BT546" s="838"/>
      <c r="BU546" s="838"/>
      <c r="BV546" s="838"/>
      <c r="BW546" s="838"/>
      <c r="BX546" s="838"/>
      <c r="BY546" s="838"/>
      <c r="BZ546" s="838"/>
      <c r="CA546" s="838"/>
      <c r="CB546" s="838"/>
      <c r="CC546" s="838"/>
      <c r="CD546" s="838"/>
      <c r="CE546" s="838"/>
      <c r="CF546" s="838"/>
      <c r="CG546" s="838"/>
      <c r="CH546" s="838"/>
      <c r="CI546" s="838"/>
      <c r="CJ546" s="838"/>
      <c r="CK546" s="838"/>
      <c r="CL546" s="838"/>
      <c r="CM546" s="838"/>
      <c r="CN546" s="838"/>
      <c r="CO546" s="838"/>
      <c r="CP546" s="838"/>
      <c r="CQ546" s="838"/>
      <c r="CR546" s="838"/>
      <c r="CS546" s="838"/>
      <c r="CT546" s="838"/>
      <c r="CU546" s="838"/>
    </row>
    <row r="547">
      <c r="A547" s="860"/>
      <c r="B547" s="860"/>
      <c r="C547" s="860"/>
      <c r="D547" s="860"/>
      <c r="E547" s="860"/>
      <c r="F547" s="860"/>
      <c r="G547" s="860"/>
      <c r="H547" s="860"/>
      <c r="I547" s="860"/>
      <c r="J547" s="860"/>
      <c r="K547" s="860"/>
      <c r="L547" s="860"/>
      <c r="M547" s="860"/>
      <c r="N547" s="860"/>
      <c r="O547" s="860"/>
      <c r="P547" s="860"/>
      <c r="Q547" s="860"/>
      <c r="R547" s="860"/>
      <c r="S547" s="860"/>
      <c r="T547" s="860"/>
      <c r="U547" s="860"/>
      <c r="V547" s="860"/>
      <c r="W547" s="860"/>
      <c r="X547" s="860"/>
      <c r="Y547" s="860"/>
      <c r="Z547" s="860"/>
      <c r="AA547" s="860"/>
      <c r="AB547" s="860"/>
      <c r="AC547" s="860"/>
      <c r="AD547" s="860"/>
      <c r="AE547" s="860"/>
      <c r="AF547" s="860"/>
      <c r="AG547" s="860"/>
      <c r="AH547" s="860"/>
      <c r="AJ547" s="836"/>
      <c r="AK547" s="836"/>
      <c r="AL547" s="836"/>
      <c r="AM547" s="836"/>
      <c r="AN547" s="836"/>
      <c r="AO547" s="836"/>
      <c r="AP547" s="836"/>
      <c r="AQ547" s="836"/>
      <c r="AR547" s="836"/>
      <c r="AS547" s="836"/>
      <c r="AT547" s="836"/>
      <c r="AU547" s="836"/>
      <c r="AV547" s="836"/>
      <c r="AW547" s="836"/>
      <c r="AX547" s="836"/>
      <c r="AY547" s="836"/>
      <c r="AZ547" s="836"/>
      <c r="BA547" s="836"/>
      <c r="BB547" s="836"/>
      <c r="BC547" s="836"/>
      <c r="BD547" s="836"/>
      <c r="BE547" s="836"/>
      <c r="BF547" s="836"/>
      <c r="BG547" s="836"/>
      <c r="BH547" s="836"/>
      <c r="BI547" s="836"/>
      <c r="BJ547" s="836"/>
      <c r="BK547" s="836"/>
      <c r="BL547" s="836"/>
      <c r="BM547" s="836"/>
      <c r="BN547" s="836"/>
      <c r="BO547" s="836"/>
      <c r="BP547" s="836"/>
      <c r="BR547" s="838"/>
      <c r="BS547" s="838"/>
      <c r="BT547" s="838"/>
      <c r="BU547" s="838"/>
      <c r="BV547" s="838"/>
      <c r="BW547" s="838"/>
      <c r="BX547" s="838"/>
      <c r="BY547" s="838"/>
      <c r="BZ547" s="838"/>
      <c r="CA547" s="838"/>
      <c r="CB547" s="838"/>
      <c r="CC547" s="838"/>
      <c r="CD547" s="838"/>
      <c r="CE547" s="838"/>
      <c r="CF547" s="838"/>
      <c r="CG547" s="838"/>
      <c r="CH547" s="838"/>
      <c r="CI547" s="838"/>
      <c r="CJ547" s="838"/>
      <c r="CK547" s="838"/>
      <c r="CL547" s="838"/>
      <c r="CM547" s="838"/>
      <c r="CN547" s="838"/>
      <c r="CO547" s="838"/>
      <c r="CP547" s="838"/>
      <c r="CQ547" s="838"/>
      <c r="CR547" s="838"/>
      <c r="CS547" s="838"/>
      <c r="CT547" s="838"/>
      <c r="CU547" s="838"/>
    </row>
    <row r="548">
      <c r="A548" s="860"/>
      <c r="B548" s="860"/>
      <c r="C548" s="860"/>
      <c r="D548" s="860"/>
      <c r="E548" s="860"/>
      <c r="F548" s="860"/>
      <c r="G548" s="860"/>
      <c r="H548" s="860"/>
      <c r="I548" s="860"/>
      <c r="J548" s="860"/>
      <c r="K548" s="860"/>
      <c r="L548" s="860"/>
      <c r="M548" s="860"/>
      <c r="N548" s="860"/>
      <c r="O548" s="860"/>
      <c r="P548" s="860"/>
      <c r="Q548" s="860"/>
      <c r="R548" s="860"/>
      <c r="S548" s="860"/>
      <c r="T548" s="860"/>
      <c r="U548" s="860"/>
      <c r="V548" s="860"/>
      <c r="W548" s="860"/>
      <c r="X548" s="860"/>
      <c r="Y548" s="860"/>
      <c r="Z548" s="860"/>
      <c r="AA548" s="860"/>
      <c r="AB548" s="860"/>
      <c r="AC548" s="860"/>
      <c r="AD548" s="860"/>
      <c r="AE548" s="860"/>
      <c r="AF548" s="860"/>
      <c r="AG548" s="860"/>
      <c r="AH548" s="860"/>
      <c r="AJ548" s="836"/>
      <c r="AK548" s="836"/>
      <c r="AL548" s="836"/>
      <c r="AM548" s="836"/>
      <c r="AN548" s="836"/>
      <c r="AO548" s="836"/>
      <c r="AP548" s="836"/>
      <c r="AQ548" s="836"/>
      <c r="AR548" s="836"/>
      <c r="AS548" s="836"/>
      <c r="AT548" s="836"/>
      <c r="AU548" s="836"/>
      <c r="AV548" s="836"/>
      <c r="AW548" s="836"/>
      <c r="AX548" s="836"/>
      <c r="AY548" s="836"/>
      <c r="AZ548" s="836"/>
      <c r="BA548" s="836"/>
      <c r="BB548" s="836"/>
      <c r="BC548" s="836"/>
      <c r="BD548" s="836"/>
      <c r="BE548" s="836"/>
      <c r="BF548" s="836"/>
      <c r="BG548" s="836"/>
      <c r="BH548" s="836"/>
      <c r="BI548" s="836"/>
      <c r="BJ548" s="836"/>
      <c r="BK548" s="836"/>
      <c r="BL548" s="836"/>
      <c r="BM548" s="836"/>
      <c r="BN548" s="836"/>
      <c r="BO548" s="836"/>
      <c r="BP548" s="836"/>
      <c r="BR548" s="838"/>
      <c r="BS548" s="838"/>
      <c r="BT548" s="838"/>
      <c r="BU548" s="838"/>
      <c r="BV548" s="838"/>
      <c r="BW548" s="838"/>
      <c r="BX548" s="838"/>
      <c r="BY548" s="838"/>
      <c r="BZ548" s="838"/>
      <c r="CA548" s="838"/>
      <c r="CB548" s="838"/>
      <c r="CC548" s="838"/>
      <c r="CD548" s="838"/>
      <c r="CE548" s="838"/>
      <c r="CF548" s="838"/>
      <c r="CG548" s="838"/>
      <c r="CH548" s="838"/>
      <c r="CI548" s="838"/>
      <c r="CJ548" s="838"/>
      <c r="CK548" s="838"/>
      <c r="CL548" s="838"/>
      <c r="CM548" s="838"/>
      <c r="CN548" s="838"/>
      <c r="CO548" s="838"/>
      <c r="CP548" s="838"/>
      <c r="CQ548" s="838"/>
      <c r="CR548" s="838"/>
      <c r="CS548" s="838"/>
      <c r="CT548" s="838"/>
      <c r="CU548" s="838"/>
    </row>
    <row r="549">
      <c r="A549" s="860"/>
      <c r="B549" s="860"/>
      <c r="C549" s="860"/>
      <c r="D549" s="860"/>
      <c r="E549" s="860"/>
      <c r="F549" s="860"/>
      <c r="G549" s="860"/>
      <c r="H549" s="860"/>
      <c r="I549" s="860"/>
      <c r="J549" s="860"/>
      <c r="K549" s="860"/>
      <c r="L549" s="860"/>
      <c r="M549" s="860"/>
      <c r="N549" s="860"/>
      <c r="O549" s="860"/>
      <c r="P549" s="860"/>
      <c r="Q549" s="860"/>
      <c r="R549" s="860"/>
      <c r="S549" s="860"/>
      <c r="T549" s="860"/>
      <c r="U549" s="860"/>
      <c r="V549" s="860"/>
      <c r="W549" s="860"/>
      <c r="X549" s="860"/>
      <c r="Y549" s="860"/>
      <c r="Z549" s="860"/>
      <c r="AA549" s="860"/>
      <c r="AB549" s="860"/>
      <c r="AC549" s="860"/>
      <c r="AD549" s="860"/>
      <c r="AE549" s="860"/>
      <c r="AF549" s="860"/>
      <c r="AG549" s="860"/>
      <c r="AH549" s="860"/>
      <c r="AJ549" s="836"/>
      <c r="AK549" s="836"/>
      <c r="AL549" s="836"/>
      <c r="AM549" s="836"/>
      <c r="AN549" s="836"/>
      <c r="AO549" s="836"/>
      <c r="AP549" s="836"/>
      <c r="AQ549" s="836"/>
      <c r="AR549" s="836"/>
      <c r="AS549" s="836"/>
      <c r="AT549" s="836"/>
      <c r="AU549" s="836"/>
      <c r="AV549" s="836"/>
      <c r="AW549" s="836"/>
      <c r="AX549" s="836"/>
      <c r="AY549" s="836"/>
      <c r="AZ549" s="836"/>
      <c r="BA549" s="836"/>
      <c r="BB549" s="836"/>
      <c r="BC549" s="836"/>
      <c r="BD549" s="836"/>
      <c r="BE549" s="836"/>
      <c r="BF549" s="836"/>
      <c r="BG549" s="836"/>
      <c r="BH549" s="836"/>
      <c r="BI549" s="836"/>
      <c r="BJ549" s="836"/>
      <c r="BK549" s="836"/>
      <c r="BL549" s="836"/>
      <c r="BM549" s="836"/>
      <c r="BN549" s="836"/>
      <c r="BO549" s="836"/>
      <c r="BP549" s="836"/>
      <c r="BR549" s="838"/>
      <c r="BS549" s="838"/>
      <c r="BT549" s="838"/>
      <c r="BU549" s="838"/>
      <c r="BV549" s="838"/>
      <c r="BW549" s="838"/>
      <c r="BX549" s="838"/>
      <c r="BY549" s="838"/>
      <c r="BZ549" s="838"/>
      <c r="CA549" s="838"/>
      <c r="CB549" s="838"/>
      <c r="CC549" s="838"/>
      <c r="CD549" s="838"/>
      <c r="CE549" s="838"/>
      <c r="CF549" s="838"/>
      <c r="CG549" s="838"/>
      <c r="CH549" s="838"/>
      <c r="CI549" s="838"/>
      <c r="CJ549" s="838"/>
      <c r="CK549" s="838"/>
      <c r="CL549" s="838"/>
      <c r="CM549" s="838"/>
      <c r="CN549" s="838"/>
      <c r="CO549" s="838"/>
      <c r="CP549" s="838"/>
      <c r="CQ549" s="838"/>
      <c r="CR549" s="838"/>
      <c r="CS549" s="838"/>
      <c r="CT549" s="838"/>
      <c r="CU549" s="838"/>
    </row>
    <row r="550">
      <c r="A550" s="860"/>
      <c r="B550" s="860"/>
      <c r="C550" s="860"/>
      <c r="D550" s="860"/>
      <c r="E550" s="860"/>
      <c r="F550" s="860"/>
      <c r="G550" s="860"/>
      <c r="H550" s="860"/>
      <c r="I550" s="860"/>
      <c r="J550" s="860"/>
      <c r="K550" s="860"/>
      <c r="L550" s="860"/>
      <c r="M550" s="860"/>
      <c r="N550" s="860"/>
      <c r="O550" s="860"/>
      <c r="P550" s="860"/>
      <c r="Q550" s="860"/>
      <c r="R550" s="860"/>
      <c r="S550" s="860"/>
      <c r="T550" s="860"/>
      <c r="U550" s="860"/>
      <c r="V550" s="860"/>
      <c r="W550" s="860"/>
      <c r="X550" s="860"/>
      <c r="Y550" s="860"/>
      <c r="Z550" s="860"/>
      <c r="AA550" s="860"/>
      <c r="AB550" s="860"/>
      <c r="AC550" s="860"/>
      <c r="AD550" s="860"/>
      <c r="AE550" s="860"/>
      <c r="AF550" s="860"/>
      <c r="AG550" s="860"/>
      <c r="AH550" s="860"/>
      <c r="AJ550" s="836"/>
      <c r="AK550" s="836"/>
      <c r="AL550" s="836"/>
      <c r="AM550" s="836"/>
      <c r="AN550" s="836"/>
      <c r="AO550" s="836"/>
      <c r="AP550" s="836"/>
      <c r="AQ550" s="836"/>
      <c r="AR550" s="836"/>
      <c r="AS550" s="836"/>
      <c r="AT550" s="836"/>
      <c r="AU550" s="836"/>
      <c r="AV550" s="836"/>
      <c r="AW550" s="836"/>
      <c r="AX550" s="836"/>
      <c r="AY550" s="836"/>
      <c r="AZ550" s="836"/>
      <c r="BA550" s="836"/>
      <c r="BB550" s="836"/>
      <c r="BC550" s="836"/>
      <c r="BD550" s="836"/>
      <c r="BE550" s="836"/>
      <c r="BF550" s="836"/>
      <c r="BG550" s="836"/>
      <c r="BH550" s="836"/>
      <c r="BI550" s="836"/>
      <c r="BJ550" s="836"/>
      <c r="BK550" s="836"/>
      <c r="BL550" s="836"/>
      <c r="BM550" s="836"/>
      <c r="BN550" s="836"/>
      <c r="BO550" s="836"/>
      <c r="BP550" s="836"/>
      <c r="BR550" s="838"/>
      <c r="BS550" s="838"/>
      <c r="BT550" s="838"/>
      <c r="BU550" s="838"/>
      <c r="BV550" s="838"/>
      <c r="BW550" s="838"/>
      <c r="BX550" s="838"/>
      <c r="BY550" s="838"/>
      <c r="BZ550" s="838"/>
      <c r="CA550" s="838"/>
      <c r="CB550" s="838"/>
      <c r="CC550" s="838"/>
      <c r="CD550" s="838"/>
      <c r="CE550" s="838"/>
      <c r="CF550" s="838"/>
      <c r="CG550" s="838"/>
      <c r="CH550" s="838"/>
      <c r="CI550" s="838"/>
      <c r="CJ550" s="838"/>
      <c r="CK550" s="838"/>
      <c r="CL550" s="838"/>
      <c r="CM550" s="838"/>
      <c r="CN550" s="838"/>
      <c r="CO550" s="838"/>
      <c r="CP550" s="838"/>
      <c r="CQ550" s="838"/>
      <c r="CR550" s="838"/>
      <c r="CS550" s="838"/>
      <c r="CT550" s="838"/>
      <c r="CU550" s="838"/>
    </row>
    <row r="551">
      <c r="A551" s="860"/>
      <c r="B551" s="860"/>
      <c r="C551" s="860"/>
      <c r="D551" s="860"/>
      <c r="E551" s="860"/>
      <c r="F551" s="860"/>
      <c r="G551" s="860"/>
      <c r="H551" s="860"/>
      <c r="I551" s="860"/>
      <c r="J551" s="860"/>
      <c r="K551" s="860"/>
      <c r="L551" s="860"/>
      <c r="M551" s="860"/>
      <c r="N551" s="860"/>
      <c r="O551" s="860"/>
      <c r="P551" s="860"/>
      <c r="Q551" s="860"/>
      <c r="R551" s="860"/>
      <c r="S551" s="860"/>
      <c r="T551" s="860"/>
      <c r="U551" s="860"/>
      <c r="V551" s="860"/>
      <c r="W551" s="860"/>
      <c r="X551" s="860"/>
      <c r="Y551" s="860"/>
      <c r="Z551" s="860"/>
      <c r="AA551" s="860"/>
      <c r="AB551" s="860"/>
      <c r="AC551" s="860"/>
      <c r="AD551" s="860"/>
      <c r="AE551" s="860"/>
      <c r="AF551" s="860"/>
      <c r="AG551" s="860"/>
      <c r="AH551" s="860"/>
      <c r="AJ551" s="836"/>
      <c r="AK551" s="836"/>
      <c r="AL551" s="836"/>
      <c r="AM551" s="836"/>
      <c r="AN551" s="836"/>
      <c r="AO551" s="836"/>
      <c r="AP551" s="836"/>
      <c r="AQ551" s="836"/>
      <c r="AR551" s="836"/>
      <c r="AS551" s="836"/>
      <c r="AT551" s="836"/>
      <c r="AU551" s="836"/>
      <c r="AV551" s="836"/>
      <c r="AW551" s="836"/>
      <c r="AX551" s="836"/>
      <c r="AY551" s="836"/>
      <c r="AZ551" s="836"/>
      <c r="BA551" s="836"/>
      <c r="BB551" s="836"/>
      <c r="BC551" s="836"/>
      <c r="BD551" s="836"/>
      <c r="BE551" s="836"/>
      <c r="BF551" s="836"/>
      <c r="BG551" s="836"/>
      <c r="BH551" s="836"/>
      <c r="BI551" s="836"/>
      <c r="BJ551" s="836"/>
      <c r="BK551" s="836"/>
      <c r="BL551" s="836"/>
      <c r="BM551" s="836"/>
      <c r="BN551" s="836"/>
      <c r="BO551" s="836"/>
      <c r="BP551" s="836"/>
      <c r="BR551" s="838"/>
      <c r="BS551" s="838"/>
      <c r="BT551" s="838"/>
      <c r="BU551" s="838"/>
      <c r="BV551" s="838"/>
      <c r="BW551" s="838"/>
      <c r="BX551" s="838"/>
      <c r="BY551" s="838"/>
      <c r="BZ551" s="838"/>
      <c r="CA551" s="838"/>
      <c r="CB551" s="838"/>
      <c r="CC551" s="838"/>
      <c r="CD551" s="838"/>
      <c r="CE551" s="838"/>
      <c r="CF551" s="838"/>
      <c r="CG551" s="838"/>
      <c r="CH551" s="838"/>
      <c r="CI551" s="838"/>
      <c r="CJ551" s="838"/>
      <c r="CK551" s="838"/>
      <c r="CL551" s="838"/>
      <c r="CM551" s="838"/>
      <c r="CN551" s="838"/>
      <c r="CO551" s="838"/>
      <c r="CP551" s="838"/>
      <c r="CQ551" s="838"/>
      <c r="CR551" s="838"/>
      <c r="CS551" s="838"/>
      <c r="CT551" s="838"/>
      <c r="CU551" s="838"/>
    </row>
    <row r="552">
      <c r="A552" s="860"/>
      <c r="B552" s="860"/>
      <c r="C552" s="860"/>
      <c r="D552" s="860"/>
      <c r="E552" s="860"/>
      <c r="F552" s="860"/>
      <c r="G552" s="860"/>
      <c r="H552" s="860"/>
      <c r="I552" s="860"/>
      <c r="J552" s="860"/>
      <c r="K552" s="860"/>
      <c r="L552" s="860"/>
      <c r="M552" s="860"/>
      <c r="N552" s="860"/>
      <c r="O552" s="860"/>
      <c r="P552" s="860"/>
      <c r="Q552" s="860"/>
      <c r="R552" s="860"/>
      <c r="S552" s="860"/>
      <c r="T552" s="860"/>
      <c r="U552" s="860"/>
      <c r="V552" s="860"/>
      <c r="W552" s="860"/>
      <c r="X552" s="860"/>
      <c r="Y552" s="860"/>
      <c r="Z552" s="860"/>
      <c r="AA552" s="860"/>
      <c r="AB552" s="860"/>
      <c r="AC552" s="860"/>
      <c r="AD552" s="860"/>
      <c r="AE552" s="860"/>
      <c r="AF552" s="860"/>
      <c r="AG552" s="860"/>
      <c r="AH552" s="860"/>
      <c r="AJ552" s="836"/>
      <c r="AK552" s="836"/>
      <c r="AL552" s="836"/>
      <c r="AM552" s="836"/>
      <c r="AN552" s="836"/>
      <c r="AO552" s="836"/>
      <c r="AP552" s="836"/>
      <c r="AQ552" s="836"/>
      <c r="AR552" s="836"/>
      <c r="AS552" s="836"/>
      <c r="AT552" s="836"/>
      <c r="AU552" s="836"/>
      <c r="AV552" s="836"/>
      <c r="AW552" s="836"/>
      <c r="AX552" s="836"/>
      <c r="AY552" s="836"/>
      <c r="AZ552" s="836"/>
      <c r="BA552" s="836"/>
      <c r="BB552" s="836"/>
      <c r="BC552" s="836"/>
      <c r="BD552" s="836"/>
      <c r="BE552" s="836"/>
      <c r="BF552" s="836"/>
      <c r="BG552" s="836"/>
      <c r="BH552" s="836"/>
      <c r="BI552" s="836"/>
      <c r="BJ552" s="836"/>
      <c r="BK552" s="836"/>
      <c r="BL552" s="836"/>
      <c r="BM552" s="836"/>
      <c r="BN552" s="836"/>
      <c r="BO552" s="836"/>
      <c r="BP552" s="836"/>
      <c r="BR552" s="838"/>
      <c r="BS552" s="838"/>
      <c r="BT552" s="838"/>
      <c r="BU552" s="838"/>
      <c r="BV552" s="838"/>
      <c r="BW552" s="838"/>
      <c r="BX552" s="838"/>
      <c r="BY552" s="838"/>
      <c r="BZ552" s="838"/>
      <c r="CA552" s="838"/>
      <c r="CB552" s="838"/>
      <c r="CC552" s="838"/>
      <c r="CD552" s="838"/>
      <c r="CE552" s="838"/>
      <c r="CF552" s="838"/>
      <c r="CG552" s="838"/>
      <c r="CH552" s="838"/>
      <c r="CI552" s="838"/>
      <c r="CJ552" s="838"/>
      <c r="CK552" s="838"/>
      <c r="CL552" s="838"/>
      <c r="CM552" s="838"/>
      <c r="CN552" s="838"/>
      <c r="CO552" s="838"/>
      <c r="CP552" s="838"/>
      <c r="CQ552" s="838"/>
      <c r="CR552" s="838"/>
      <c r="CS552" s="838"/>
      <c r="CT552" s="838"/>
      <c r="CU552" s="838"/>
    </row>
    <row r="553">
      <c r="A553" s="860"/>
      <c r="B553" s="860"/>
      <c r="C553" s="860"/>
      <c r="D553" s="860"/>
      <c r="E553" s="860"/>
      <c r="F553" s="860"/>
      <c r="G553" s="860"/>
      <c r="H553" s="860"/>
      <c r="I553" s="860"/>
      <c r="J553" s="860"/>
      <c r="K553" s="860"/>
      <c r="L553" s="860"/>
      <c r="M553" s="860"/>
      <c r="N553" s="860"/>
      <c r="O553" s="860"/>
      <c r="P553" s="860"/>
      <c r="Q553" s="860"/>
      <c r="R553" s="860"/>
      <c r="S553" s="860"/>
      <c r="T553" s="860"/>
      <c r="U553" s="860"/>
      <c r="V553" s="860"/>
      <c r="W553" s="860"/>
      <c r="X553" s="860"/>
      <c r="Y553" s="860"/>
      <c r="Z553" s="860"/>
      <c r="AA553" s="860"/>
      <c r="AB553" s="860"/>
      <c r="AC553" s="860"/>
      <c r="AD553" s="860"/>
      <c r="AE553" s="860"/>
      <c r="AF553" s="860"/>
      <c r="AG553" s="860"/>
      <c r="AH553" s="860"/>
      <c r="AJ553" s="836"/>
      <c r="AK553" s="836"/>
      <c r="AL553" s="836"/>
      <c r="AM553" s="836"/>
      <c r="AN553" s="836"/>
      <c r="AO553" s="836"/>
      <c r="AP553" s="836"/>
      <c r="AQ553" s="836"/>
      <c r="AR553" s="836"/>
      <c r="AS553" s="836"/>
      <c r="AT553" s="836"/>
      <c r="AU553" s="836"/>
      <c r="AV553" s="836"/>
      <c r="AW553" s="836"/>
      <c r="AX553" s="836"/>
      <c r="AY553" s="836"/>
      <c r="AZ553" s="836"/>
      <c r="BA553" s="836"/>
      <c r="BB553" s="836"/>
      <c r="BC553" s="836"/>
      <c r="BD553" s="836"/>
      <c r="BE553" s="836"/>
      <c r="BF553" s="836"/>
      <c r="BG553" s="836"/>
      <c r="BH553" s="836"/>
      <c r="BI553" s="836"/>
      <c r="BJ553" s="836"/>
      <c r="BK553" s="836"/>
      <c r="BL553" s="836"/>
      <c r="BM553" s="836"/>
      <c r="BN553" s="836"/>
      <c r="BO553" s="836"/>
      <c r="BP553" s="836"/>
      <c r="BR553" s="838"/>
      <c r="BS553" s="838"/>
      <c r="BT553" s="838"/>
      <c r="BU553" s="838"/>
      <c r="BV553" s="838"/>
      <c r="BW553" s="838"/>
      <c r="BX553" s="838"/>
      <c r="BY553" s="838"/>
      <c r="BZ553" s="838"/>
      <c r="CA553" s="838"/>
      <c r="CB553" s="838"/>
      <c r="CC553" s="838"/>
      <c r="CD553" s="838"/>
      <c r="CE553" s="838"/>
      <c r="CF553" s="838"/>
      <c r="CG553" s="838"/>
      <c r="CH553" s="838"/>
      <c r="CI553" s="838"/>
      <c r="CJ553" s="838"/>
      <c r="CK553" s="838"/>
      <c r="CL553" s="838"/>
      <c r="CM553" s="838"/>
      <c r="CN553" s="838"/>
      <c r="CO553" s="838"/>
      <c r="CP553" s="838"/>
      <c r="CQ553" s="838"/>
      <c r="CR553" s="838"/>
      <c r="CS553" s="838"/>
      <c r="CT553" s="838"/>
      <c r="CU553" s="838"/>
    </row>
    <row r="554">
      <c r="A554" s="860"/>
      <c r="B554" s="860"/>
      <c r="C554" s="860"/>
      <c r="D554" s="860"/>
      <c r="E554" s="860"/>
      <c r="F554" s="860"/>
      <c r="G554" s="860"/>
      <c r="H554" s="860"/>
      <c r="I554" s="860"/>
      <c r="J554" s="860"/>
      <c r="K554" s="860"/>
      <c r="L554" s="860"/>
      <c r="M554" s="860"/>
      <c r="N554" s="860"/>
      <c r="O554" s="860"/>
      <c r="P554" s="860"/>
      <c r="Q554" s="860"/>
      <c r="R554" s="860"/>
      <c r="S554" s="860"/>
      <c r="T554" s="860"/>
      <c r="U554" s="860"/>
      <c r="V554" s="860"/>
      <c r="W554" s="860"/>
      <c r="X554" s="860"/>
      <c r="Y554" s="860"/>
      <c r="Z554" s="860"/>
      <c r="AA554" s="860"/>
      <c r="AB554" s="860"/>
      <c r="AC554" s="860"/>
      <c r="AD554" s="860"/>
      <c r="AE554" s="860"/>
      <c r="AF554" s="860"/>
      <c r="AG554" s="860"/>
      <c r="AH554" s="860"/>
      <c r="AJ554" s="836"/>
      <c r="AK554" s="836"/>
      <c r="AL554" s="836"/>
      <c r="AM554" s="836"/>
      <c r="AN554" s="836"/>
      <c r="AO554" s="836"/>
      <c r="AP554" s="836"/>
      <c r="AQ554" s="836"/>
      <c r="AR554" s="836"/>
      <c r="AS554" s="836"/>
      <c r="AT554" s="836"/>
      <c r="AU554" s="836"/>
      <c r="AV554" s="836"/>
      <c r="AW554" s="836"/>
      <c r="AX554" s="836"/>
      <c r="AY554" s="836"/>
      <c r="AZ554" s="836"/>
      <c r="BA554" s="836"/>
      <c r="BB554" s="836"/>
      <c r="BC554" s="836"/>
      <c r="BD554" s="836"/>
      <c r="BE554" s="836"/>
      <c r="BF554" s="836"/>
      <c r="BG554" s="836"/>
      <c r="BH554" s="836"/>
      <c r="BI554" s="836"/>
      <c r="BJ554" s="836"/>
      <c r="BK554" s="836"/>
      <c r="BL554" s="836"/>
      <c r="BM554" s="836"/>
      <c r="BN554" s="836"/>
      <c r="BO554" s="836"/>
      <c r="BP554" s="836"/>
      <c r="BR554" s="838"/>
      <c r="BS554" s="838"/>
      <c r="BT554" s="838"/>
      <c r="BU554" s="838"/>
      <c r="BV554" s="838"/>
      <c r="BW554" s="838"/>
      <c r="BX554" s="838"/>
      <c r="BY554" s="838"/>
      <c r="BZ554" s="838"/>
      <c r="CA554" s="838"/>
      <c r="CB554" s="838"/>
      <c r="CC554" s="838"/>
      <c r="CD554" s="838"/>
      <c r="CE554" s="838"/>
      <c r="CF554" s="838"/>
      <c r="CG554" s="838"/>
      <c r="CH554" s="838"/>
      <c r="CI554" s="838"/>
      <c r="CJ554" s="838"/>
      <c r="CK554" s="838"/>
      <c r="CL554" s="838"/>
      <c r="CM554" s="838"/>
      <c r="CN554" s="838"/>
      <c r="CO554" s="838"/>
      <c r="CP554" s="838"/>
      <c r="CQ554" s="838"/>
      <c r="CR554" s="838"/>
      <c r="CS554" s="838"/>
      <c r="CT554" s="838"/>
      <c r="CU554" s="838"/>
    </row>
    <row r="555">
      <c r="A555" s="860"/>
      <c r="B555" s="860"/>
      <c r="C555" s="860"/>
      <c r="D555" s="860"/>
      <c r="E555" s="860"/>
      <c r="F555" s="860"/>
      <c r="G555" s="860"/>
      <c r="H555" s="860"/>
      <c r="I555" s="860"/>
      <c r="J555" s="860"/>
      <c r="K555" s="860"/>
      <c r="L555" s="860"/>
      <c r="M555" s="860"/>
      <c r="N555" s="860"/>
      <c r="O555" s="860"/>
      <c r="P555" s="860"/>
      <c r="Q555" s="860"/>
      <c r="R555" s="860"/>
      <c r="S555" s="860"/>
      <c r="T555" s="860"/>
      <c r="U555" s="860"/>
      <c r="V555" s="860"/>
      <c r="W555" s="860"/>
      <c r="X555" s="860"/>
      <c r="Y555" s="860"/>
      <c r="Z555" s="860"/>
      <c r="AA555" s="860"/>
      <c r="AB555" s="860"/>
      <c r="AC555" s="860"/>
      <c r="AD555" s="860"/>
      <c r="AE555" s="860"/>
      <c r="AF555" s="860"/>
      <c r="AG555" s="860"/>
      <c r="AH555" s="860"/>
      <c r="AJ555" s="836"/>
      <c r="AK555" s="836"/>
      <c r="AL555" s="836"/>
      <c r="AM555" s="836"/>
      <c r="AN555" s="836"/>
      <c r="AO555" s="836"/>
      <c r="AP555" s="836"/>
      <c r="AQ555" s="836"/>
      <c r="AR555" s="836"/>
      <c r="AS555" s="836"/>
      <c r="AT555" s="836"/>
      <c r="AU555" s="836"/>
      <c r="AV555" s="836"/>
      <c r="AW555" s="836"/>
      <c r="AX555" s="836"/>
      <c r="AY555" s="836"/>
      <c r="AZ555" s="836"/>
      <c r="BA555" s="836"/>
      <c r="BB555" s="836"/>
      <c r="BC555" s="836"/>
      <c r="BD555" s="836"/>
      <c r="BE555" s="836"/>
      <c r="BF555" s="836"/>
      <c r="BG555" s="836"/>
      <c r="BH555" s="836"/>
      <c r="BI555" s="836"/>
      <c r="BJ555" s="836"/>
      <c r="BK555" s="836"/>
      <c r="BL555" s="836"/>
      <c r="BM555" s="836"/>
      <c r="BN555" s="836"/>
      <c r="BO555" s="836"/>
      <c r="BP555" s="836"/>
      <c r="BR555" s="838"/>
      <c r="BS555" s="838"/>
      <c r="BT555" s="838"/>
      <c r="BU555" s="838"/>
      <c r="BV555" s="838"/>
      <c r="BW555" s="838"/>
      <c r="BX555" s="838"/>
      <c r="BY555" s="838"/>
      <c r="BZ555" s="838"/>
      <c r="CA555" s="838"/>
      <c r="CB555" s="838"/>
      <c r="CC555" s="838"/>
      <c r="CD555" s="838"/>
      <c r="CE555" s="838"/>
      <c r="CF555" s="838"/>
      <c r="CG555" s="838"/>
      <c r="CH555" s="838"/>
      <c r="CI555" s="838"/>
      <c r="CJ555" s="838"/>
      <c r="CK555" s="838"/>
      <c r="CL555" s="838"/>
      <c r="CM555" s="838"/>
      <c r="CN555" s="838"/>
      <c r="CO555" s="838"/>
      <c r="CP555" s="838"/>
      <c r="CQ555" s="838"/>
      <c r="CR555" s="838"/>
      <c r="CS555" s="838"/>
      <c r="CT555" s="838"/>
      <c r="CU555" s="838"/>
    </row>
    <row r="556">
      <c r="A556" s="860"/>
      <c r="B556" s="860"/>
      <c r="C556" s="860"/>
      <c r="D556" s="860"/>
      <c r="E556" s="860"/>
      <c r="F556" s="860"/>
      <c r="G556" s="860"/>
      <c r="H556" s="860"/>
      <c r="I556" s="860"/>
      <c r="J556" s="860"/>
      <c r="K556" s="860"/>
      <c r="L556" s="860"/>
      <c r="M556" s="860"/>
      <c r="N556" s="860"/>
      <c r="O556" s="860"/>
      <c r="P556" s="860"/>
      <c r="Q556" s="860"/>
      <c r="R556" s="860"/>
      <c r="S556" s="860"/>
      <c r="T556" s="860"/>
      <c r="U556" s="860"/>
      <c r="V556" s="860"/>
      <c r="W556" s="860"/>
      <c r="X556" s="860"/>
      <c r="Y556" s="860"/>
      <c r="Z556" s="860"/>
      <c r="AA556" s="860"/>
      <c r="AB556" s="860"/>
      <c r="AC556" s="860"/>
      <c r="AD556" s="860"/>
      <c r="AE556" s="860"/>
      <c r="AF556" s="860"/>
      <c r="AG556" s="860"/>
      <c r="AH556" s="860"/>
      <c r="AJ556" s="836"/>
      <c r="AK556" s="836"/>
      <c r="AL556" s="836"/>
      <c r="AM556" s="836"/>
      <c r="AN556" s="836"/>
      <c r="AO556" s="836"/>
      <c r="AP556" s="836"/>
      <c r="AQ556" s="836"/>
      <c r="AR556" s="836"/>
      <c r="AS556" s="836"/>
      <c r="AT556" s="836"/>
      <c r="AU556" s="836"/>
      <c r="AV556" s="836"/>
      <c r="AW556" s="836"/>
      <c r="AX556" s="836"/>
      <c r="AY556" s="836"/>
      <c r="AZ556" s="836"/>
      <c r="BA556" s="836"/>
      <c r="BB556" s="836"/>
      <c r="BC556" s="836"/>
      <c r="BD556" s="836"/>
      <c r="BE556" s="836"/>
      <c r="BF556" s="836"/>
      <c r="BG556" s="836"/>
      <c r="BH556" s="836"/>
      <c r="BI556" s="836"/>
      <c r="BJ556" s="836"/>
      <c r="BK556" s="836"/>
      <c r="BL556" s="836"/>
      <c r="BM556" s="836"/>
      <c r="BN556" s="836"/>
      <c r="BO556" s="836"/>
      <c r="BP556" s="836"/>
      <c r="BR556" s="838"/>
      <c r="BS556" s="838"/>
      <c r="BT556" s="838"/>
      <c r="BU556" s="838"/>
      <c r="BV556" s="838"/>
      <c r="BW556" s="838"/>
      <c r="BX556" s="838"/>
      <c r="BY556" s="838"/>
      <c r="BZ556" s="838"/>
      <c r="CA556" s="838"/>
      <c r="CB556" s="838"/>
      <c r="CC556" s="838"/>
      <c r="CD556" s="838"/>
      <c r="CE556" s="838"/>
      <c r="CF556" s="838"/>
      <c r="CG556" s="838"/>
      <c r="CH556" s="838"/>
      <c r="CI556" s="838"/>
      <c r="CJ556" s="838"/>
      <c r="CK556" s="838"/>
      <c r="CL556" s="838"/>
      <c r="CM556" s="838"/>
      <c r="CN556" s="838"/>
      <c r="CO556" s="838"/>
      <c r="CP556" s="838"/>
      <c r="CQ556" s="838"/>
      <c r="CR556" s="838"/>
      <c r="CS556" s="838"/>
      <c r="CT556" s="838"/>
      <c r="CU556" s="838"/>
    </row>
    <row r="557">
      <c r="A557" s="860"/>
      <c r="B557" s="860"/>
      <c r="C557" s="860"/>
      <c r="D557" s="860"/>
      <c r="E557" s="860"/>
      <c r="F557" s="860"/>
      <c r="G557" s="860"/>
      <c r="H557" s="860"/>
      <c r="I557" s="860"/>
      <c r="J557" s="860"/>
      <c r="K557" s="860"/>
      <c r="L557" s="860"/>
      <c r="M557" s="860"/>
      <c r="N557" s="860"/>
      <c r="O557" s="860"/>
      <c r="P557" s="860"/>
      <c r="Q557" s="860"/>
      <c r="R557" s="860"/>
      <c r="S557" s="860"/>
      <c r="T557" s="860"/>
      <c r="U557" s="860"/>
      <c r="V557" s="860"/>
      <c r="W557" s="860"/>
      <c r="X557" s="860"/>
      <c r="Y557" s="860"/>
      <c r="Z557" s="860"/>
      <c r="AA557" s="860"/>
      <c r="AB557" s="860"/>
      <c r="AC557" s="860"/>
      <c r="AD557" s="860"/>
      <c r="AE557" s="860"/>
      <c r="AF557" s="860"/>
      <c r="AG557" s="860"/>
      <c r="AH557" s="860"/>
      <c r="AJ557" s="836"/>
      <c r="AK557" s="836"/>
      <c r="AL557" s="836"/>
      <c r="AM557" s="836"/>
      <c r="AN557" s="836"/>
      <c r="AO557" s="836"/>
      <c r="AP557" s="836"/>
      <c r="AQ557" s="836"/>
      <c r="AR557" s="836"/>
      <c r="AS557" s="836"/>
      <c r="AT557" s="836"/>
      <c r="AU557" s="836"/>
      <c r="AV557" s="836"/>
      <c r="AW557" s="836"/>
      <c r="AX557" s="836"/>
      <c r="AY557" s="836"/>
      <c r="AZ557" s="836"/>
      <c r="BA557" s="836"/>
      <c r="BB557" s="836"/>
      <c r="BC557" s="836"/>
      <c r="BD557" s="836"/>
      <c r="BE557" s="836"/>
      <c r="BF557" s="836"/>
      <c r="BG557" s="836"/>
      <c r="BH557" s="836"/>
      <c r="BI557" s="836"/>
      <c r="BJ557" s="836"/>
      <c r="BK557" s="836"/>
      <c r="BL557" s="836"/>
      <c r="BM557" s="836"/>
      <c r="BN557" s="836"/>
      <c r="BO557" s="836"/>
      <c r="BP557" s="836"/>
      <c r="BR557" s="838"/>
      <c r="BS557" s="838"/>
      <c r="BT557" s="838"/>
      <c r="BU557" s="838"/>
      <c r="BV557" s="838"/>
      <c r="BW557" s="838"/>
      <c r="BX557" s="838"/>
      <c r="BY557" s="838"/>
      <c r="BZ557" s="838"/>
      <c r="CA557" s="838"/>
      <c r="CB557" s="838"/>
      <c r="CC557" s="838"/>
      <c r="CD557" s="838"/>
      <c r="CE557" s="838"/>
      <c r="CF557" s="838"/>
      <c r="CG557" s="838"/>
      <c r="CH557" s="838"/>
      <c r="CI557" s="838"/>
      <c r="CJ557" s="838"/>
      <c r="CK557" s="838"/>
      <c r="CL557" s="838"/>
      <c r="CM557" s="838"/>
      <c r="CN557" s="838"/>
      <c r="CO557" s="838"/>
      <c r="CP557" s="838"/>
      <c r="CQ557" s="838"/>
      <c r="CR557" s="838"/>
      <c r="CS557" s="838"/>
      <c r="CT557" s="838"/>
      <c r="CU557" s="838"/>
    </row>
    <row r="558">
      <c r="A558" s="860"/>
      <c r="B558" s="860"/>
      <c r="C558" s="860"/>
      <c r="D558" s="860"/>
      <c r="E558" s="860"/>
      <c r="F558" s="860"/>
      <c r="G558" s="860"/>
      <c r="H558" s="860"/>
      <c r="I558" s="860"/>
      <c r="J558" s="860"/>
      <c r="K558" s="860"/>
      <c r="L558" s="860"/>
      <c r="M558" s="860"/>
      <c r="N558" s="860"/>
      <c r="O558" s="860"/>
      <c r="P558" s="860"/>
      <c r="Q558" s="860"/>
      <c r="R558" s="860"/>
      <c r="S558" s="860"/>
      <c r="T558" s="860"/>
      <c r="U558" s="860"/>
      <c r="V558" s="860"/>
      <c r="W558" s="860"/>
      <c r="X558" s="860"/>
      <c r="Y558" s="860"/>
      <c r="Z558" s="860"/>
      <c r="AA558" s="860"/>
      <c r="AB558" s="860"/>
      <c r="AC558" s="860"/>
      <c r="AD558" s="860"/>
      <c r="AE558" s="860"/>
      <c r="AF558" s="860"/>
      <c r="AG558" s="860"/>
      <c r="AH558" s="860"/>
      <c r="AJ558" s="836"/>
      <c r="AK558" s="836"/>
      <c r="AL558" s="836"/>
      <c r="AM558" s="836"/>
      <c r="AN558" s="836"/>
      <c r="AO558" s="836"/>
      <c r="AP558" s="836"/>
      <c r="AQ558" s="836"/>
      <c r="AR558" s="836"/>
      <c r="AS558" s="836"/>
      <c r="AT558" s="836"/>
      <c r="AU558" s="836"/>
      <c r="AV558" s="836"/>
      <c r="AW558" s="836"/>
      <c r="AX558" s="836"/>
      <c r="AY558" s="836"/>
      <c r="AZ558" s="836"/>
      <c r="BA558" s="836"/>
      <c r="BB558" s="836"/>
      <c r="BC558" s="836"/>
      <c r="BD558" s="836"/>
      <c r="BE558" s="836"/>
      <c r="BF558" s="836"/>
      <c r="BG558" s="836"/>
      <c r="BH558" s="836"/>
      <c r="BI558" s="836"/>
      <c r="BJ558" s="836"/>
      <c r="BK558" s="836"/>
      <c r="BL558" s="836"/>
      <c r="BM558" s="836"/>
      <c r="BN558" s="836"/>
      <c r="BO558" s="836"/>
      <c r="BP558" s="836"/>
      <c r="BR558" s="838"/>
      <c r="BS558" s="838"/>
      <c r="BT558" s="838"/>
      <c r="BU558" s="838"/>
      <c r="BV558" s="838"/>
      <c r="BW558" s="838"/>
      <c r="BX558" s="838"/>
      <c r="BY558" s="838"/>
      <c r="BZ558" s="838"/>
      <c r="CA558" s="838"/>
      <c r="CB558" s="838"/>
      <c r="CC558" s="838"/>
      <c r="CD558" s="838"/>
      <c r="CE558" s="838"/>
      <c r="CF558" s="838"/>
      <c r="CG558" s="838"/>
      <c r="CH558" s="838"/>
      <c r="CI558" s="838"/>
      <c r="CJ558" s="838"/>
      <c r="CK558" s="838"/>
      <c r="CL558" s="838"/>
      <c r="CM558" s="838"/>
      <c r="CN558" s="838"/>
      <c r="CO558" s="838"/>
      <c r="CP558" s="838"/>
      <c r="CQ558" s="838"/>
      <c r="CR558" s="838"/>
      <c r="CS558" s="838"/>
      <c r="CT558" s="838"/>
      <c r="CU558" s="838"/>
    </row>
    <row r="559">
      <c r="A559" s="860"/>
      <c r="B559" s="860"/>
      <c r="C559" s="860"/>
      <c r="D559" s="860"/>
      <c r="E559" s="860"/>
      <c r="F559" s="860"/>
      <c r="G559" s="860"/>
      <c r="H559" s="860"/>
      <c r="I559" s="860"/>
      <c r="J559" s="860"/>
      <c r="K559" s="860"/>
      <c r="L559" s="860"/>
      <c r="M559" s="860"/>
      <c r="N559" s="860"/>
      <c r="O559" s="860"/>
      <c r="P559" s="860"/>
      <c r="Q559" s="860"/>
      <c r="R559" s="860"/>
      <c r="S559" s="860"/>
      <c r="T559" s="860"/>
      <c r="U559" s="860"/>
      <c r="V559" s="860"/>
      <c r="W559" s="860"/>
      <c r="X559" s="860"/>
      <c r="Y559" s="860"/>
      <c r="Z559" s="860"/>
      <c r="AA559" s="860"/>
      <c r="AB559" s="860"/>
      <c r="AC559" s="860"/>
      <c r="AD559" s="860"/>
      <c r="AE559" s="860"/>
      <c r="AF559" s="860"/>
      <c r="AG559" s="860"/>
      <c r="AH559" s="860"/>
      <c r="AJ559" s="836"/>
      <c r="AK559" s="836"/>
      <c r="AL559" s="836"/>
      <c r="AM559" s="836"/>
      <c r="AN559" s="836"/>
      <c r="AO559" s="836"/>
      <c r="AP559" s="836"/>
      <c r="AQ559" s="836"/>
      <c r="AR559" s="836"/>
      <c r="AS559" s="836"/>
      <c r="AT559" s="836"/>
      <c r="AU559" s="836"/>
      <c r="AV559" s="836"/>
      <c r="AW559" s="836"/>
      <c r="AX559" s="836"/>
      <c r="AY559" s="836"/>
      <c r="AZ559" s="836"/>
      <c r="BA559" s="836"/>
      <c r="BB559" s="836"/>
      <c r="BC559" s="836"/>
      <c r="BD559" s="836"/>
      <c r="BE559" s="836"/>
      <c r="BF559" s="836"/>
      <c r="BG559" s="836"/>
      <c r="BH559" s="836"/>
      <c r="BI559" s="836"/>
      <c r="BJ559" s="836"/>
      <c r="BK559" s="836"/>
      <c r="BL559" s="836"/>
      <c r="BM559" s="836"/>
      <c r="BN559" s="836"/>
      <c r="BO559" s="836"/>
      <c r="BP559" s="836"/>
      <c r="BR559" s="838"/>
      <c r="BS559" s="838"/>
      <c r="BT559" s="838"/>
      <c r="BU559" s="838"/>
      <c r="BV559" s="838"/>
      <c r="BW559" s="838"/>
      <c r="BX559" s="838"/>
      <c r="BY559" s="838"/>
      <c r="BZ559" s="838"/>
      <c r="CA559" s="838"/>
      <c r="CB559" s="838"/>
      <c r="CC559" s="838"/>
      <c r="CD559" s="838"/>
      <c r="CE559" s="838"/>
      <c r="CF559" s="838"/>
      <c r="CG559" s="838"/>
      <c r="CH559" s="838"/>
      <c r="CI559" s="838"/>
      <c r="CJ559" s="838"/>
      <c r="CK559" s="838"/>
      <c r="CL559" s="838"/>
      <c r="CM559" s="838"/>
      <c r="CN559" s="838"/>
      <c r="CO559" s="838"/>
      <c r="CP559" s="838"/>
      <c r="CQ559" s="838"/>
      <c r="CR559" s="838"/>
      <c r="CS559" s="838"/>
      <c r="CT559" s="838"/>
      <c r="CU559" s="838"/>
    </row>
    <row r="560">
      <c r="A560" s="860"/>
      <c r="B560" s="860"/>
      <c r="C560" s="860"/>
      <c r="D560" s="860"/>
      <c r="E560" s="860"/>
      <c r="F560" s="860"/>
      <c r="G560" s="860"/>
      <c r="H560" s="860"/>
      <c r="I560" s="860"/>
      <c r="J560" s="860"/>
      <c r="K560" s="860"/>
      <c r="L560" s="860"/>
      <c r="M560" s="860"/>
      <c r="N560" s="860"/>
      <c r="O560" s="860"/>
      <c r="P560" s="860"/>
      <c r="Q560" s="860"/>
      <c r="R560" s="860"/>
      <c r="S560" s="860"/>
      <c r="T560" s="860"/>
      <c r="U560" s="860"/>
      <c r="V560" s="860"/>
      <c r="W560" s="860"/>
      <c r="X560" s="860"/>
      <c r="Y560" s="860"/>
      <c r="Z560" s="860"/>
      <c r="AA560" s="860"/>
      <c r="AB560" s="860"/>
      <c r="AC560" s="860"/>
      <c r="AD560" s="860"/>
      <c r="AE560" s="860"/>
      <c r="AF560" s="860"/>
      <c r="AG560" s="860"/>
      <c r="AH560" s="860"/>
      <c r="AJ560" s="836"/>
      <c r="AK560" s="836"/>
      <c r="AL560" s="836"/>
      <c r="AM560" s="836"/>
      <c r="AN560" s="836"/>
      <c r="AO560" s="836"/>
      <c r="AP560" s="836"/>
      <c r="AQ560" s="836"/>
      <c r="AR560" s="836"/>
      <c r="AS560" s="836"/>
      <c r="AT560" s="836"/>
      <c r="AU560" s="836"/>
      <c r="AV560" s="836"/>
      <c r="AW560" s="836"/>
      <c r="AX560" s="836"/>
      <c r="AY560" s="836"/>
      <c r="AZ560" s="836"/>
      <c r="BA560" s="836"/>
      <c r="BB560" s="836"/>
      <c r="BC560" s="836"/>
      <c r="BD560" s="836"/>
      <c r="BE560" s="836"/>
      <c r="BF560" s="836"/>
      <c r="BG560" s="836"/>
      <c r="BH560" s="836"/>
      <c r="BI560" s="836"/>
      <c r="BJ560" s="836"/>
      <c r="BK560" s="836"/>
      <c r="BL560" s="836"/>
      <c r="BM560" s="836"/>
      <c r="BN560" s="836"/>
      <c r="BO560" s="836"/>
      <c r="BP560" s="836"/>
      <c r="BR560" s="838"/>
      <c r="BS560" s="838"/>
      <c r="BT560" s="838"/>
      <c r="BU560" s="838"/>
      <c r="BV560" s="838"/>
      <c r="BW560" s="838"/>
      <c r="BX560" s="838"/>
      <c r="BY560" s="838"/>
      <c r="BZ560" s="838"/>
      <c r="CA560" s="838"/>
      <c r="CB560" s="838"/>
      <c r="CC560" s="838"/>
      <c r="CD560" s="838"/>
      <c r="CE560" s="838"/>
      <c r="CF560" s="838"/>
      <c r="CG560" s="838"/>
      <c r="CH560" s="838"/>
      <c r="CI560" s="838"/>
      <c r="CJ560" s="838"/>
      <c r="CK560" s="838"/>
      <c r="CL560" s="838"/>
      <c r="CM560" s="838"/>
      <c r="CN560" s="838"/>
      <c r="CO560" s="838"/>
      <c r="CP560" s="838"/>
      <c r="CQ560" s="838"/>
      <c r="CR560" s="838"/>
      <c r="CS560" s="838"/>
      <c r="CT560" s="838"/>
      <c r="CU560" s="838"/>
    </row>
    <row r="561">
      <c r="A561" s="860"/>
      <c r="B561" s="860"/>
      <c r="C561" s="860"/>
      <c r="D561" s="860"/>
      <c r="E561" s="860"/>
      <c r="F561" s="860"/>
      <c r="G561" s="860"/>
      <c r="H561" s="860"/>
      <c r="I561" s="860"/>
      <c r="J561" s="860"/>
      <c r="K561" s="860"/>
      <c r="L561" s="860"/>
      <c r="M561" s="860"/>
      <c r="N561" s="860"/>
      <c r="O561" s="860"/>
      <c r="P561" s="860"/>
      <c r="Q561" s="860"/>
      <c r="R561" s="860"/>
      <c r="S561" s="860"/>
      <c r="T561" s="860"/>
      <c r="U561" s="860"/>
      <c r="V561" s="860"/>
      <c r="W561" s="860"/>
      <c r="X561" s="860"/>
      <c r="Y561" s="860"/>
      <c r="Z561" s="860"/>
      <c r="AA561" s="860"/>
      <c r="AB561" s="860"/>
      <c r="AC561" s="860"/>
      <c r="AD561" s="860"/>
      <c r="AE561" s="860"/>
      <c r="AF561" s="860"/>
      <c r="AG561" s="860"/>
      <c r="AH561" s="860"/>
      <c r="AJ561" s="836"/>
      <c r="AK561" s="836"/>
      <c r="AL561" s="836"/>
      <c r="AM561" s="836"/>
      <c r="AN561" s="836"/>
      <c r="AO561" s="836"/>
      <c r="AP561" s="836"/>
      <c r="AQ561" s="836"/>
      <c r="AR561" s="836"/>
      <c r="AS561" s="836"/>
      <c r="AT561" s="836"/>
      <c r="AU561" s="836"/>
      <c r="AV561" s="836"/>
      <c r="AW561" s="836"/>
      <c r="AX561" s="836"/>
      <c r="AY561" s="836"/>
      <c r="AZ561" s="836"/>
      <c r="BA561" s="836"/>
      <c r="BB561" s="836"/>
      <c r="BC561" s="836"/>
      <c r="BD561" s="836"/>
      <c r="BE561" s="836"/>
      <c r="BF561" s="836"/>
      <c r="BG561" s="836"/>
      <c r="BH561" s="836"/>
      <c r="BI561" s="836"/>
      <c r="BJ561" s="836"/>
      <c r="BK561" s="836"/>
      <c r="BL561" s="836"/>
      <c r="BM561" s="836"/>
      <c r="BN561" s="836"/>
      <c r="BO561" s="836"/>
      <c r="BP561" s="836"/>
      <c r="BR561" s="838"/>
      <c r="BS561" s="838"/>
      <c r="BT561" s="838"/>
      <c r="BU561" s="838"/>
      <c r="BV561" s="838"/>
      <c r="BW561" s="838"/>
      <c r="BX561" s="838"/>
      <c r="BY561" s="838"/>
      <c r="BZ561" s="838"/>
      <c r="CA561" s="838"/>
      <c r="CB561" s="838"/>
      <c r="CC561" s="838"/>
      <c r="CD561" s="838"/>
      <c r="CE561" s="838"/>
      <c r="CF561" s="838"/>
      <c r="CG561" s="838"/>
      <c r="CH561" s="838"/>
      <c r="CI561" s="838"/>
      <c r="CJ561" s="838"/>
      <c r="CK561" s="838"/>
      <c r="CL561" s="838"/>
      <c r="CM561" s="838"/>
      <c r="CN561" s="838"/>
      <c r="CO561" s="838"/>
      <c r="CP561" s="838"/>
      <c r="CQ561" s="838"/>
      <c r="CR561" s="838"/>
      <c r="CS561" s="838"/>
      <c r="CT561" s="838"/>
      <c r="CU561" s="838"/>
    </row>
    <row r="562">
      <c r="A562" s="860"/>
      <c r="B562" s="860"/>
      <c r="C562" s="860"/>
      <c r="D562" s="860"/>
      <c r="E562" s="860"/>
      <c r="F562" s="860"/>
      <c r="G562" s="860"/>
      <c r="H562" s="860"/>
      <c r="I562" s="860"/>
      <c r="J562" s="860"/>
      <c r="K562" s="860"/>
      <c r="L562" s="860"/>
      <c r="M562" s="860"/>
      <c r="N562" s="860"/>
      <c r="O562" s="860"/>
      <c r="P562" s="860"/>
      <c r="Q562" s="860"/>
      <c r="R562" s="860"/>
      <c r="S562" s="860"/>
      <c r="T562" s="860"/>
      <c r="U562" s="860"/>
      <c r="V562" s="860"/>
      <c r="W562" s="860"/>
      <c r="X562" s="860"/>
      <c r="Y562" s="860"/>
      <c r="Z562" s="860"/>
      <c r="AA562" s="860"/>
      <c r="AB562" s="860"/>
      <c r="AC562" s="860"/>
      <c r="AD562" s="860"/>
      <c r="AE562" s="860"/>
      <c r="AF562" s="860"/>
      <c r="AG562" s="860"/>
      <c r="AH562" s="860"/>
      <c r="AJ562" s="836"/>
      <c r="AK562" s="836"/>
      <c r="AL562" s="836"/>
      <c r="AM562" s="836"/>
      <c r="AN562" s="836"/>
      <c r="AO562" s="836"/>
      <c r="AP562" s="836"/>
      <c r="AQ562" s="836"/>
      <c r="AR562" s="836"/>
      <c r="AS562" s="836"/>
      <c r="AT562" s="836"/>
      <c r="AU562" s="836"/>
      <c r="AV562" s="836"/>
      <c r="AW562" s="836"/>
      <c r="AX562" s="836"/>
      <c r="AY562" s="836"/>
      <c r="AZ562" s="836"/>
      <c r="BA562" s="836"/>
      <c r="BB562" s="836"/>
      <c r="BC562" s="836"/>
      <c r="BD562" s="836"/>
      <c r="BE562" s="836"/>
      <c r="BF562" s="836"/>
      <c r="BG562" s="836"/>
      <c r="BH562" s="836"/>
      <c r="BI562" s="836"/>
      <c r="BJ562" s="836"/>
      <c r="BK562" s="836"/>
      <c r="BL562" s="836"/>
      <c r="BM562" s="836"/>
      <c r="BN562" s="836"/>
      <c r="BO562" s="836"/>
      <c r="BP562" s="836"/>
      <c r="BR562" s="838"/>
      <c r="BS562" s="838"/>
      <c r="BT562" s="838"/>
      <c r="BU562" s="838"/>
      <c r="BV562" s="838"/>
      <c r="BW562" s="838"/>
      <c r="BX562" s="838"/>
      <c r="BY562" s="838"/>
      <c r="BZ562" s="838"/>
      <c r="CA562" s="838"/>
      <c r="CB562" s="838"/>
      <c r="CC562" s="838"/>
      <c r="CD562" s="838"/>
      <c r="CE562" s="838"/>
      <c r="CF562" s="838"/>
      <c r="CG562" s="838"/>
      <c r="CH562" s="838"/>
      <c r="CI562" s="838"/>
      <c r="CJ562" s="838"/>
      <c r="CK562" s="838"/>
      <c r="CL562" s="838"/>
      <c r="CM562" s="838"/>
      <c r="CN562" s="838"/>
      <c r="CO562" s="838"/>
      <c r="CP562" s="838"/>
      <c r="CQ562" s="838"/>
      <c r="CR562" s="838"/>
      <c r="CS562" s="838"/>
      <c r="CT562" s="838"/>
      <c r="CU562" s="838"/>
    </row>
    <row r="563">
      <c r="A563" s="860"/>
      <c r="B563" s="860"/>
      <c r="C563" s="860"/>
      <c r="D563" s="860"/>
      <c r="E563" s="860"/>
      <c r="F563" s="860"/>
      <c r="G563" s="860"/>
      <c r="H563" s="860"/>
      <c r="I563" s="860"/>
      <c r="J563" s="860"/>
      <c r="K563" s="860"/>
      <c r="L563" s="860"/>
      <c r="M563" s="860"/>
      <c r="N563" s="860"/>
      <c r="O563" s="860"/>
      <c r="P563" s="860"/>
      <c r="Q563" s="860"/>
      <c r="R563" s="860"/>
      <c r="S563" s="860"/>
      <c r="T563" s="860"/>
      <c r="U563" s="860"/>
      <c r="V563" s="860"/>
      <c r="W563" s="860"/>
      <c r="X563" s="860"/>
      <c r="Y563" s="860"/>
      <c r="Z563" s="860"/>
      <c r="AA563" s="860"/>
      <c r="AB563" s="860"/>
      <c r="AC563" s="860"/>
      <c r="AD563" s="860"/>
      <c r="AE563" s="860"/>
      <c r="AF563" s="860"/>
      <c r="AG563" s="860"/>
      <c r="AH563" s="860"/>
      <c r="AJ563" s="836"/>
      <c r="AK563" s="836"/>
      <c r="AL563" s="836"/>
      <c r="AM563" s="836"/>
      <c r="AN563" s="836"/>
      <c r="AO563" s="836"/>
      <c r="AP563" s="836"/>
      <c r="AQ563" s="836"/>
      <c r="AR563" s="836"/>
      <c r="AS563" s="836"/>
      <c r="AT563" s="836"/>
      <c r="AU563" s="836"/>
      <c r="AV563" s="836"/>
      <c r="AW563" s="836"/>
      <c r="AX563" s="836"/>
      <c r="AY563" s="836"/>
      <c r="AZ563" s="836"/>
      <c r="BA563" s="836"/>
      <c r="BB563" s="836"/>
      <c r="BC563" s="836"/>
      <c r="BD563" s="836"/>
      <c r="BE563" s="836"/>
      <c r="BF563" s="836"/>
      <c r="BG563" s="836"/>
      <c r="BH563" s="836"/>
      <c r="BI563" s="836"/>
      <c r="BJ563" s="836"/>
      <c r="BK563" s="836"/>
      <c r="BL563" s="836"/>
      <c r="BM563" s="836"/>
      <c r="BN563" s="836"/>
      <c r="BO563" s="836"/>
      <c r="BP563" s="836"/>
      <c r="BR563" s="838"/>
      <c r="BS563" s="838"/>
      <c r="BT563" s="838"/>
      <c r="BU563" s="838"/>
      <c r="BV563" s="838"/>
      <c r="BW563" s="838"/>
      <c r="BX563" s="838"/>
      <c r="BY563" s="838"/>
      <c r="BZ563" s="838"/>
      <c r="CA563" s="838"/>
      <c r="CB563" s="838"/>
      <c r="CC563" s="838"/>
      <c r="CD563" s="838"/>
      <c r="CE563" s="838"/>
      <c r="CF563" s="838"/>
      <c r="CG563" s="838"/>
      <c r="CH563" s="838"/>
      <c r="CI563" s="838"/>
      <c r="CJ563" s="838"/>
      <c r="CK563" s="838"/>
      <c r="CL563" s="838"/>
      <c r="CM563" s="838"/>
      <c r="CN563" s="838"/>
      <c r="CO563" s="838"/>
      <c r="CP563" s="838"/>
      <c r="CQ563" s="838"/>
      <c r="CR563" s="838"/>
      <c r="CS563" s="838"/>
      <c r="CT563" s="838"/>
      <c r="CU563" s="838"/>
    </row>
    <row r="564">
      <c r="A564" s="860"/>
      <c r="B564" s="860"/>
      <c r="C564" s="860"/>
      <c r="D564" s="860"/>
      <c r="E564" s="860"/>
      <c r="F564" s="860"/>
      <c r="G564" s="860"/>
      <c r="H564" s="860"/>
      <c r="I564" s="860"/>
      <c r="J564" s="860"/>
      <c r="K564" s="860"/>
      <c r="L564" s="860"/>
      <c r="M564" s="860"/>
      <c r="N564" s="860"/>
      <c r="O564" s="860"/>
      <c r="P564" s="860"/>
      <c r="Q564" s="860"/>
      <c r="R564" s="860"/>
      <c r="S564" s="860"/>
      <c r="T564" s="860"/>
      <c r="U564" s="860"/>
      <c r="V564" s="860"/>
      <c r="W564" s="860"/>
      <c r="X564" s="860"/>
      <c r="Y564" s="860"/>
      <c r="Z564" s="860"/>
      <c r="AA564" s="860"/>
      <c r="AB564" s="860"/>
      <c r="AC564" s="860"/>
      <c r="AD564" s="860"/>
      <c r="AE564" s="860"/>
      <c r="AF564" s="860"/>
      <c r="AG564" s="860"/>
      <c r="AH564" s="860"/>
      <c r="AJ564" s="836"/>
      <c r="AK564" s="836"/>
      <c r="AL564" s="836"/>
      <c r="AM564" s="836"/>
      <c r="AN564" s="836"/>
      <c r="AO564" s="836"/>
      <c r="AP564" s="836"/>
      <c r="AQ564" s="836"/>
      <c r="AR564" s="836"/>
      <c r="AS564" s="836"/>
      <c r="AT564" s="836"/>
      <c r="AU564" s="836"/>
      <c r="AV564" s="836"/>
      <c r="AW564" s="836"/>
      <c r="AX564" s="836"/>
      <c r="AY564" s="836"/>
      <c r="AZ564" s="836"/>
      <c r="BA564" s="836"/>
      <c r="BB564" s="836"/>
      <c r="BC564" s="836"/>
      <c r="BD564" s="836"/>
      <c r="BE564" s="836"/>
      <c r="BF564" s="836"/>
      <c r="BG564" s="836"/>
      <c r="BH564" s="836"/>
      <c r="BI564" s="836"/>
      <c r="BJ564" s="836"/>
      <c r="BK564" s="836"/>
      <c r="BL564" s="836"/>
      <c r="BM564" s="836"/>
      <c r="BN564" s="836"/>
      <c r="BO564" s="836"/>
      <c r="BP564" s="836"/>
      <c r="BR564" s="838"/>
      <c r="BS564" s="838"/>
      <c r="BT564" s="838"/>
      <c r="BU564" s="838"/>
      <c r="BV564" s="838"/>
      <c r="BW564" s="838"/>
      <c r="BX564" s="838"/>
      <c r="BY564" s="838"/>
      <c r="BZ564" s="838"/>
      <c r="CA564" s="838"/>
      <c r="CB564" s="838"/>
      <c r="CC564" s="838"/>
      <c r="CD564" s="838"/>
      <c r="CE564" s="838"/>
      <c r="CF564" s="838"/>
      <c r="CG564" s="838"/>
      <c r="CH564" s="838"/>
      <c r="CI564" s="838"/>
      <c r="CJ564" s="838"/>
      <c r="CK564" s="838"/>
      <c r="CL564" s="838"/>
      <c r="CM564" s="838"/>
      <c r="CN564" s="838"/>
      <c r="CO564" s="838"/>
      <c r="CP564" s="838"/>
      <c r="CQ564" s="838"/>
      <c r="CR564" s="838"/>
      <c r="CS564" s="838"/>
      <c r="CT564" s="838"/>
      <c r="CU564" s="838"/>
    </row>
    <row r="565">
      <c r="A565" s="860"/>
      <c r="B565" s="860"/>
      <c r="C565" s="860"/>
      <c r="D565" s="860"/>
      <c r="E565" s="860"/>
      <c r="F565" s="860"/>
      <c r="G565" s="860"/>
      <c r="H565" s="860"/>
      <c r="I565" s="860"/>
      <c r="J565" s="860"/>
      <c r="K565" s="860"/>
      <c r="L565" s="860"/>
      <c r="M565" s="860"/>
      <c r="N565" s="860"/>
      <c r="O565" s="860"/>
      <c r="P565" s="860"/>
      <c r="Q565" s="860"/>
      <c r="R565" s="860"/>
      <c r="S565" s="860"/>
      <c r="T565" s="860"/>
      <c r="U565" s="860"/>
      <c r="V565" s="860"/>
      <c r="W565" s="860"/>
      <c r="X565" s="860"/>
      <c r="Y565" s="860"/>
      <c r="Z565" s="860"/>
      <c r="AA565" s="860"/>
      <c r="AB565" s="860"/>
      <c r="AC565" s="860"/>
      <c r="AD565" s="860"/>
      <c r="AE565" s="860"/>
      <c r="AF565" s="860"/>
      <c r="AG565" s="860"/>
      <c r="AH565" s="860"/>
      <c r="AJ565" s="836"/>
      <c r="AK565" s="836"/>
      <c r="AL565" s="836"/>
      <c r="AM565" s="836"/>
      <c r="AN565" s="836"/>
      <c r="AO565" s="836"/>
      <c r="AP565" s="836"/>
      <c r="AQ565" s="836"/>
      <c r="AR565" s="836"/>
      <c r="AS565" s="836"/>
      <c r="AT565" s="836"/>
      <c r="AU565" s="836"/>
      <c r="AV565" s="836"/>
      <c r="AW565" s="836"/>
      <c r="AX565" s="836"/>
      <c r="AY565" s="836"/>
      <c r="AZ565" s="836"/>
      <c r="BA565" s="836"/>
      <c r="BB565" s="836"/>
      <c r="BC565" s="836"/>
      <c r="BD565" s="836"/>
      <c r="BE565" s="836"/>
      <c r="BF565" s="836"/>
      <c r="BG565" s="836"/>
      <c r="BH565" s="836"/>
      <c r="BI565" s="836"/>
      <c r="BJ565" s="836"/>
      <c r="BK565" s="836"/>
      <c r="BL565" s="836"/>
      <c r="BM565" s="836"/>
      <c r="BN565" s="836"/>
      <c r="BO565" s="836"/>
      <c r="BP565" s="836"/>
      <c r="BR565" s="838"/>
      <c r="BS565" s="838"/>
      <c r="BT565" s="838"/>
      <c r="BU565" s="838"/>
      <c r="BV565" s="838"/>
      <c r="BW565" s="838"/>
      <c r="BX565" s="838"/>
      <c r="BY565" s="838"/>
      <c r="BZ565" s="838"/>
      <c r="CA565" s="838"/>
      <c r="CB565" s="838"/>
      <c r="CC565" s="838"/>
      <c r="CD565" s="838"/>
      <c r="CE565" s="838"/>
      <c r="CF565" s="838"/>
      <c r="CG565" s="838"/>
      <c r="CH565" s="838"/>
      <c r="CI565" s="838"/>
      <c r="CJ565" s="838"/>
      <c r="CK565" s="838"/>
      <c r="CL565" s="838"/>
      <c r="CM565" s="838"/>
      <c r="CN565" s="838"/>
      <c r="CO565" s="838"/>
      <c r="CP565" s="838"/>
      <c r="CQ565" s="838"/>
      <c r="CR565" s="838"/>
      <c r="CS565" s="838"/>
      <c r="CT565" s="838"/>
      <c r="CU565" s="838"/>
    </row>
    <row r="566">
      <c r="A566" s="860"/>
      <c r="B566" s="860"/>
      <c r="C566" s="860"/>
      <c r="D566" s="860"/>
      <c r="E566" s="860"/>
      <c r="F566" s="860"/>
      <c r="G566" s="860"/>
      <c r="H566" s="860"/>
      <c r="I566" s="860"/>
      <c r="J566" s="860"/>
      <c r="K566" s="860"/>
      <c r="L566" s="860"/>
      <c r="M566" s="860"/>
      <c r="N566" s="860"/>
      <c r="O566" s="860"/>
      <c r="P566" s="860"/>
      <c r="Q566" s="860"/>
      <c r="R566" s="860"/>
      <c r="S566" s="860"/>
      <c r="T566" s="860"/>
      <c r="U566" s="860"/>
      <c r="V566" s="860"/>
      <c r="W566" s="860"/>
      <c r="X566" s="860"/>
      <c r="Y566" s="860"/>
      <c r="Z566" s="860"/>
      <c r="AA566" s="860"/>
      <c r="AB566" s="860"/>
      <c r="AC566" s="860"/>
      <c r="AD566" s="860"/>
      <c r="AE566" s="860"/>
      <c r="AF566" s="860"/>
      <c r="AG566" s="860"/>
      <c r="AH566" s="860"/>
      <c r="AJ566" s="836"/>
      <c r="AK566" s="836"/>
      <c r="AL566" s="836"/>
      <c r="AM566" s="836"/>
      <c r="AN566" s="836"/>
      <c r="AO566" s="836"/>
      <c r="AP566" s="836"/>
      <c r="AQ566" s="836"/>
      <c r="AR566" s="836"/>
      <c r="AS566" s="836"/>
      <c r="AT566" s="836"/>
      <c r="AU566" s="836"/>
      <c r="AV566" s="836"/>
      <c r="AW566" s="836"/>
      <c r="AX566" s="836"/>
      <c r="AY566" s="836"/>
      <c r="AZ566" s="836"/>
      <c r="BA566" s="836"/>
      <c r="BB566" s="836"/>
      <c r="BC566" s="836"/>
      <c r="BD566" s="836"/>
      <c r="BE566" s="836"/>
      <c r="BF566" s="836"/>
      <c r="BG566" s="836"/>
      <c r="BH566" s="836"/>
      <c r="BI566" s="836"/>
      <c r="BJ566" s="836"/>
      <c r="BK566" s="836"/>
      <c r="BL566" s="836"/>
      <c r="BM566" s="836"/>
      <c r="BN566" s="836"/>
      <c r="BO566" s="836"/>
      <c r="BP566" s="836"/>
      <c r="BR566" s="838"/>
      <c r="BS566" s="838"/>
      <c r="BT566" s="838"/>
      <c r="BU566" s="838"/>
      <c r="BV566" s="838"/>
      <c r="BW566" s="838"/>
      <c r="BX566" s="838"/>
      <c r="BY566" s="838"/>
      <c r="BZ566" s="838"/>
      <c r="CA566" s="838"/>
      <c r="CB566" s="838"/>
      <c r="CC566" s="838"/>
      <c r="CD566" s="838"/>
      <c r="CE566" s="838"/>
      <c r="CF566" s="838"/>
      <c r="CG566" s="838"/>
      <c r="CH566" s="838"/>
      <c r="CI566" s="838"/>
      <c r="CJ566" s="838"/>
      <c r="CK566" s="838"/>
      <c r="CL566" s="838"/>
      <c r="CM566" s="838"/>
      <c r="CN566" s="838"/>
      <c r="CO566" s="838"/>
      <c r="CP566" s="838"/>
      <c r="CQ566" s="838"/>
      <c r="CR566" s="838"/>
      <c r="CS566" s="838"/>
      <c r="CT566" s="838"/>
      <c r="CU566" s="838"/>
    </row>
    <row r="567">
      <c r="A567" s="860"/>
      <c r="B567" s="860"/>
      <c r="C567" s="860"/>
      <c r="D567" s="860"/>
      <c r="E567" s="860"/>
      <c r="F567" s="860"/>
      <c r="G567" s="860"/>
      <c r="H567" s="860"/>
      <c r="I567" s="860"/>
      <c r="J567" s="860"/>
      <c r="K567" s="860"/>
      <c r="L567" s="860"/>
      <c r="M567" s="860"/>
      <c r="N567" s="860"/>
      <c r="O567" s="860"/>
      <c r="P567" s="860"/>
      <c r="Q567" s="860"/>
      <c r="R567" s="860"/>
      <c r="S567" s="860"/>
      <c r="T567" s="860"/>
      <c r="U567" s="860"/>
      <c r="V567" s="860"/>
      <c r="W567" s="860"/>
      <c r="X567" s="860"/>
      <c r="Y567" s="860"/>
      <c r="Z567" s="860"/>
      <c r="AA567" s="860"/>
      <c r="AB567" s="860"/>
      <c r="AC567" s="860"/>
      <c r="AD567" s="860"/>
      <c r="AE567" s="860"/>
      <c r="AF567" s="860"/>
      <c r="AG567" s="860"/>
      <c r="AH567" s="860"/>
      <c r="AJ567" s="836"/>
      <c r="AK567" s="836"/>
      <c r="AL567" s="836"/>
      <c r="AM567" s="836"/>
      <c r="AN567" s="836"/>
      <c r="AO567" s="836"/>
      <c r="AP567" s="836"/>
      <c r="AQ567" s="836"/>
      <c r="AR567" s="836"/>
      <c r="AS567" s="836"/>
      <c r="AT567" s="836"/>
      <c r="AU567" s="836"/>
      <c r="AV567" s="836"/>
      <c r="AW567" s="836"/>
      <c r="AX567" s="836"/>
      <c r="AY567" s="836"/>
      <c r="AZ567" s="836"/>
      <c r="BA567" s="836"/>
      <c r="BB567" s="836"/>
      <c r="BC567" s="836"/>
      <c r="BD567" s="836"/>
      <c r="BE567" s="836"/>
      <c r="BF567" s="836"/>
      <c r="BG567" s="836"/>
      <c r="BH567" s="836"/>
      <c r="BI567" s="836"/>
      <c r="BJ567" s="836"/>
      <c r="BK567" s="836"/>
      <c r="BL567" s="836"/>
      <c r="BM567" s="836"/>
      <c r="BN567" s="836"/>
      <c r="BO567" s="836"/>
      <c r="BP567" s="836"/>
      <c r="BR567" s="838"/>
      <c r="BS567" s="838"/>
      <c r="BT567" s="838"/>
      <c r="BU567" s="838"/>
      <c r="BV567" s="838"/>
      <c r="BW567" s="838"/>
      <c r="BX567" s="838"/>
      <c r="BY567" s="838"/>
      <c r="BZ567" s="838"/>
      <c r="CA567" s="838"/>
      <c r="CB567" s="838"/>
      <c r="CC567" s="838"/>
      <c r="CD567" s="838"/>
      <c r="CE567" s="838"/>
      <c r="CF567" s="838"/>
      <c r="CG567" s="838"/>
      <c r="CH567" s="838"/>
      <c r="CI567" s="838"/>
      <c r="CJ567" s="838"/>
      <c r="CK567" s="838"/>
      <c r="CL567" s="838"/>
      <c r="CM567" s="838"/>
      <c r="CN567" s="838"/>
      <c r="CO567" s="838"/>
      <c r="CP567" s="838"/>
      <c r="CQ567" s="838"/>
      <c r="CR567" s="838"/>
      <c r="CS567" s="838"/>
      <c r="CT567" s="838"/>
      <c r="CU567" s="838"/>
    </row>
    <row r="568">
      <c r="A568" s="860"/>
      <c r="B568" s="860"/>
      <c r="C568" s="860"/>
      <c r="D568" s="860"/>
      <c r="E568" s="860"/>
      <c r="F568" s="860"/>
      <c r="G568" s="860"/>
      <c r="H568" s="860"/>
      <c r="I568" s="860"/>
      <c r="J568" s="860"/>
      <c r="K568" s="860"/>
      <c r="L568" s="860"/>
      <c r="M568" s="860"/>
      <c r="N568" s="860"/>
      <c r="O568" s="860"/>
      <c r="P568" s="860"/>
      <c r="Q568" s="860"/>
      <c r="R568" s="860"/>
      <c r="S568" s="860"/>
      <c r="T568" s="860"/>
      <c r="U568" s="860"/>
      <c r="V568" s="860"/>
      <c r="W568" s="860"/>
      <c r="X568" s="860"/>
      <c r="Y568" s="860"/>
      <c r="Z568" s="860"/>
      <c r="AA568" s="860"/>
      <c r="AB568" s="860"/>
      <c r="AC568" s="860"/>
      <c r="AD568" s="860"/>
      <c r="AE568" s="860"/>
      <c r="AF568" s="860"/>
      <c r="AG568" s="860"/>
      <c r="AH568" s="860"/>
      <c r="AJ568" s="836"/>
      <c r="AK568" s="836"/>
      <c r="AL568" s="836"/>
      <c r="AM568" s="836"/>
      <c r="AN568" s="836"/>
      <c r="AO568" s="836"/>
      <c r="AP568" s="836"/>
      <c r="AQ568" s="836"/>
      <c r="AR568" s="836"/>
      <c r="AS568" s="836"/>
      <c r="AT568" s="836"/>
      <c r="AU568" s="836"/>
      <c r="AV568" s="836"/>
      <c r="AW568" s="836"/>
      <c r="AX568" s="836"/>
      <c r="AY568" s="836"/>
      <c r="AZ568" s="836"/>
      <c r="BA568" s="836"/>
      <c r="BB568" s="836"/>
      <c r="BC568" s="836"/>
      <c r="BD568" s="836"/>
      <c r="BE568" s="836"/>
      <c r="BF568" s="836"/>
      <c r="BG568" s="836"/>
      <c r="BH568" s="836"/>
      <c r="BI568" s="836"/>
      <c r="BJ568" s="836"/>
      <c r="BK568" s="836"/>
      <c r="BL568" s="836"/>
      <c r="BM568" s="836"/>
      <c r="BN568" s="836"/>
      <c r="BO568" s="836"/>
      <c r="BP568" s="836"/>
      <c r="BR568" s="838"/>
      <c r="BS568" s="838"/>
      <c r="BT568" s="838"/>
      <c r="BU568" s="838"/>
      <c r="BV568" s="838"/>
      <c r="BW568" s="838"/>
      <c r="BX568" s="838"/>
      <c r="BY568" s="838"/>
      <c r="BZ568" s="838"/>
      <c r="CA568" s="838"/>
      <c r="CB568" s="838"/>
      <c r="CC568" s="838"/>
      <c r="CD568" s="838"/>
      <c r="CE568" s="838"/>
      <c r="CF568" s="838"/>
      <c r="CG568" s="838"/>
      <c r="CH568" s="838"/>
      <c r="CI568" s="838"/>
      <c r="CJ568" s="838"/>
      <c r="CK568" s="838"/>
      <c r="CL568" s="838"/>
      <c r="CM568" s="838"/>
      <c r="CN568" s="838"/>
      <c r="CO568" s="838"/>
      <c r="CP568" s="838"/>
      <c r="CQ568" s="838"/>
      <c r="CR568" s="838"/>
      <c r="CS568" s="838"/>
      <c r="CT568" s="838"/>
      <c r="CU568" s="838"/>
    </row>
    <row r="569">
      <c r="A569" s="860"/>
      <c r="B569" s="860"/>
      <c r="C569" s="860"/>
      <c r="D569" s="860"/>
      <c r="E569" s="860"/>
      <c r="F569" s="860"/>
      <c r="G569" s="860"/>
      <c r="H569" s="860"/>
      <c r="I569" s="860"/>
      <c r="J569" s="860"/>
      <c r="K569" s="860"/>
      <c r="L569" s="860"/>
      <c r="M569" s="860"/>
      <c r="N569" s="860"/>
      <c r="O569" s="860"/>
      <c r="P569" s="860"/>
      <c r="Q569" s="860"/>
      <c r="R569" s="860"/>
      <c r="S569" s="860"/>
      <c r="T569" s="860"/>
      <c r="U569" s="860"/>
      <c r="V569" s="860"/>
      <c r="W569" s="860"/>
      <c r="X569" s="860"/>
      <c r="Y569" s="860"/>
      <c r="Z569" s="860"/>
      <c r="AA569" s="860"/>
      <c r="AB569" s="860"/>
      <c r="AC569" s="860"/>
      <c r="AD569" s="860"/>
      <c r="AE569" s="860"/>
      <c r="AF569" s="860"/>
      <c r="AG569" s="860"/>
      <c r="AH569" s="860"/>
      <c r="AJ569" s="836"/>
      <c r="AK569" s="836"/>
      <c r="AL569" s="836"/>
      <c r="AM569" s="836"/>
      <c r="AN569" s="836"/>
      <c r="AO569" s="836"/>
      <c r="AP569" s="836"/>
      <c r="AQ569" s="836"/>
      <c r="AR569" s="836"/>
      <c r="AS569" s="836"/>
      <c r="AT569" s="836"/>
      <c r="AU569" s="836"/>
      <c r="AV569" s="836"/>
      <c r="AW569" s="836"/>
      <c r="AX569" s="836"/>
      <c r="AY569" s="836"/>
      <c r="AZ569" s="836"/>
      <c r="BA569" s="836"/>
      <c r="BB569" s="836"/>
      <c r="BC569" s="836"/>
      <c r="BD569" s="836"/>
      <c r="BE569" s="836"/>
      <c r="BF569" s="836"/>
      <c r="BG569" s="836"/>
      <c r="BH569" s="836"/>
      <c r="BI569" s="836"/>
      <c r="BJ569" s="836"/>
      <c r="BK569" s="836"/>
      <c r="BL569" s="836"/>
      <c r="BM569" s="836"/>
      <c r="BN569" s="836"/>
      <c r="BO569" s="836"/>
      <c r="BP569" s="836"/>
      <c r="BR569" s="838"/>
      <c r="BS569" s="838"/>
      <c r="BT569" s="838"/>
      <c r="BU569" s="838"/>
      <c r="BV569" s="838"/>
      <c r="BW569" s="838"/>
      <c r="BX569" s="838"/>
      <c r="BY569" s="838"/>
      <c r="BZ569" s="838"/>
      <c r="CA569" s="838"/>
      <c r="CB569" s="838"/>
      <c r="CC569" s="838"/>
      <c r="CD569" s="838"/>
      <c r="CE569" s="838"/>
      <c r="CF569" s="838"/>
      <c r="CG569" s="838"/>
      <c r="CH569" s="838"/>
      <c r="CI569" s="838"/>
      <c r="CJ569" s="838"/>
      <c r="CK569" s="838"/>
      <c r="CL569" s="838"/>
      <c r="CM569" s="838"/>
      <c r="CN569" s="838"/>
      <c r="CO569" s="838"/>
      <c r="CP569" s="838"/>
      <c r="CQ569" s="838"/>
      <c r="CR569" s="838"/>
      <c r="CS569" s="838"/>
      <c r="CT569" s="838"/>
      <c r="CU569" s="838"/>
    </row>
    <row r="570">
      <c r="A570" s="860"/>
      <c r="B570" s="860"/>
      <c r="C570" s="860"/>
      <c r="D570" s="860"/>
      <c r="E570" s="860"/>
      <c r="F570" s="860"/>
      <c r="G570" s="860"/>
      <c r="H570" s="860"/>
      <c r="I570" s="860"/>
      <c r="J570" s="860"/>
      <c r="K570" s="860"/>
      <c r="L570" s="860"/>
      <c r="M570" s="860"/>
      <c r="N570" s="860"/>
      <c r="O570" s="860"/>
      <c r="P570" s="860"/>
      <c r="Q570" s="860"/>
      <c r="R570" s="860"/>
      <c r="S570" s="860"/>
      <c r="T570" s="860"/>
      <c r="U570" s="860"/>
      <c r="V570" s="860"/>
      <c r="W570" s="860"/>
      <c r="X570" s="860"/>
      <c r="Y570" s="860"/>
      <c r="Z570" s="860"/>
      <c r="AA570" s="860"/>
      <c r="AB570" s="860"/>
      <c r="AC570" s="860"/>
      <c r="AD570" s="860"/>
      <c r="AE570" s="860"/>
      <c r="AF570" s="860"/>
      <c r="AG570" s="860"/>
      <c r="AH570" s="860"/>
      <c r="AJ570" s="836"/>
      <c r="AK570" s="836"/>
      <c r="AL570" s="836"/>
      <c r="AM570" s="836"/>
      <c r="AN570" s="836"/>
      <c r="AO570" s="836"/>
      <c r="AP570" s="836"/>
      <c r="AQ570" s="836"/>
      <c r="AR570" s="836"/>
      <c r="AS570" s="836"/>
      <c r="AT570" s="836"/>
      <c r="AU570" s="836"/>
      <c r="AV570" s="836"/>
      <c r="AW570" s="836"/>
      <c r="AX570" s="836"/>
      <c r="AY570" s="836"/>
      <c r="AZ570" s="836"/>
      <c r="BA570" s="836"/>
      <c r="BB570" s="836"/>
      <c r="BC570" s="836"/>
      <c r="BD570" s="836"/>
      <c r="BE570" s="836"/>
      <c r="BF570" s="836"/>
      <c r="BG570" s="836"/>
      <c r="BH570" s="836"/>
      <c r="BI570" s="836"/>
      <c r="BJ570" s="836"/>
      <c r="BK570" s="836"/>
      <c r="BL570" s="836"/>
      <c r="BM570" s="836"/>
      <c r="BN570" s="836"/>
      <c r="BO570" s="836"/>
      <c r="BP570" s="836"/>
      <c r="BR570" s="838"/>
      <c r="BS570" s="838"/>
      <c r="BT570" s="838"/>
      <c r="BU570" s="838"/>
      <c r="BV570" s="838"/>
      <c r="BW570" s="838"/>
      <c r="BX570" s="838"/>
      <c r="BY570" s="838"/>
      <c r="BZ570" s="838"/>
      <c r="CA570" s="838"/>
      <c r="CB570" s="838"/>
      <c r="CC570" s="838"/>
      <c r="CD570" s="838"/>
      <c r="CE570" s="838"/>
      <c r="CF570" s="838"/>
      <c r="CG570" s="838"/>
      <c r="CH570" s="838"/>
      <c r="CI570" s="838"/>
      <c r="CJ570" s="838"/>
      <c r="CK570" s="838"/>
      <c r="CL570" s="838"/>
      <c r="CM570" s="838"/>
      <c r="CN570" s="838"/>
      <c r="CO570" s="838"/>
      <c r="CP570" s="838"/>
      <c r="CQ570" s="838"/>
      <c r="CR570" s="838"/>
      <c r="CS570" s="838"/>
      <c r="CT570" s="838"/>
      <c r="CU570" s="838"/>
    </row>
    <row r="571">
      <c r="A571" s="860"/>
      <c r="B571" s="860"/>
      <c r="C571" s="860"/>
      <c r="D571" s="860"/>
      <c r="E571" s="860"/>
      <c r="F571" s="860"/>
      <c r="G571" s="860"/>
      <c r="H571" s="860"/>
      <c r="I571" s="860"/>
      <c r="J571" s="860"/>
      <c r="K571" s="860"/>
      <c r="L571" s="860"/>
      <c r="M571" s="860"/>
      <c r="N571" s="860"/>
      <c r="O571" s="860"/>
      <c r="P571" s="860"/>
      <c r="Q571" s="860"/>
      <c r="R571" s="860"/>
      <c r="S571" s="860"/>
      <c r="T571" s="860"/>
      <c r="U571" s="860"/>
      <c r="V571" s="860"/>
      <c r="W571" s="860"/>
      <c r="X571" s="860"/>
      <c r="Y571" s="860"/>
      <c r="Z571" s="860"/>
      <c r="AA571" s="860"/>
      <c r="AB571" s="860"/>
      <c r="AC571" s="860"/>
      <c r="AD571" s="860"/>
      <c r="AE571" s="860"/>
      <c r="AF571" s="860"/>
      <c r="AG571" s="860"/>
      <c r="AH571" s="860"/>
      <c r="AJ571" s="836"/>
      <c r="AK571" s="836"/>
      <c r="AL571" s="836"/>
      <c r="AM571" s="836"/>
      <c r="AN571" s="836"/>
      <c r="AO571" s="836"/>
      <c r="AP571" s="836"/>
      <c r="AQ571" s="836"/>
      <c r="AR571" s="836"/>
      <c r="AS571" s="836"/>
      <c r="AT571" s="836"/>
      <c r="AU571" s="836"/>
      <c r="AV571" s="836"/>
      <c r="AW571" s="836"/>
      <c r="AX571" s="836"/>
      <c r="AY571" s="836"/>
      <c r="AZ571" s="836"/>
      <c r="BA571" s="836"/>
      <c r="BB571" s="836"/>
      <c r="BC571" s="836"/>
      <c r="BD571" s="836"/>
      <c r="BE571" s="836"/>
      <c r="BF571" s="836"/>
      <c r="BG571" s="836"/>
      <c r="BH571" s="836"/>
      <c r="BI571" s="836"/>
      <c r="BJ571" s="836"/>
      <c r="BK571" s="836"/>
      <c r="BL571" s="836"/>
      <c r="BM571" s="836"/>
      <c r="BN571" s="836"/>
      <c r="BO571" s="836"/>
      <c r="BP571" s="836"/>
      <c r="BR571" s="838"/>
      <c r="BS571" s="838"/>
      <c r="BT571" s="838"/>
      <c r="BU571" s="838"/>
      <c r="BV571" s="838"/>
      <c r="BW571" s="838"/>
      <c r="BX571" s="838"/>
      <c r="BY571" s="838"/>
      <c r="BZ571" s="838"/>
      <c r="CA571" s="838"/>
      <c r="CB571" s="838"/>
      <c r="CC571" s="838"/>
      <c r="CD571" s="838"/>
      <c r="CE571" s="838"/>
      <c r="CF571" s="838"/>
      <c r="CG571" s="838"/>
      <c r="CH571" s="838"/>
      <c r="CI571" s="838"/>
      <c r="CJ571" s="838"/>
      <c r="CK571" s="838"/>
      <c r="CL571" s="838"/>
      <c r="CM571" s="838"/>
      <c r="CN571" s="838"/>
      <c r="CO571" s="838"/>
      <c r="CP571" s="838"/>
      <c r="CQ571" s="838"/>
      <c r="CR571" s="838"/>
      <c r="CS571" s="838"/>
      <c r="CT571" s="838"/>
      <c r="CU571" s="838"/>
    </row>
    <row r="572">
      <c r="A572" s="860"/>
      <c r="B572" s="860"/>
      <c r="C572" s="860"/>
      <c r="D572" s="860"/>
      <c r="E572" s="860"/>
      <c r="F572" s="860"/>
      <c r="G572" s="860"/>
      <c r="H572" s="860"/>
      <c r="I572" s="860"/>
      <c r="J572" s="860"/>
      <c r="K572" s="860"/>
      <c r="L572" s="860"/>
      <c r="M572" s="860"/>
      <c r="N572" s="860"/>
      <c r="O572" s="860"/>
      <c r="P572" s="860"/>
      <c r="Q572" s="860"/>
      <c r="R572" s="860"/>
      <c r="S572" s="860"/>
      <c r="T572" s="860"/>
      <c r="U572" s="860"/>
      <c r="V572" s="860"/>
      <c r="W572" s="860"/>
      <c r="X572" s="860"/>
      <c r="Y572" s="860"/>
      <c r="Z572" s="860"/>
      <c r="AA572" s="860"/>
      <c r="AB572" s="860"/>
      <c r="AC572" s="860"/>
      <c r="AD572" s="860"/>
      <c r="AE572" s="860"/>
      <c r="AF572" s="860"/>
      <c r="AG572" s="860"/>
      <c r="AH572" s="860"/>
      <c r="AJ572" s="836"/>
      <c r="AK572" s="836"/>
      <c r="AL572" s="836"/>
      <c r="AM572" s="836"/>
      <c r="AN572" s="836"/>
      <c r="AO572" s="836"/>
      <c r="AP572" s="836"/>
      <c r="AQ572" s="836"/>
      <c r="AR572" s="836"/>
      <c r="AS572" s="836"/>
      <c r="AT572" s="836"/>
      <c r="AU572" s="836"/>
      <c r="AV572" s="836"/>
      <c r="AW572" s="836"/>
      <c r="AX572" s="836"/>
      <c r="AY572" s="836"/>
      <c r="AZ572" s="836"/>
      <c r="BA572" s="836"/>
      <c r="BB572" s="836"/>
      <c r="BC572" s="836"/>
      <c r="BD572" s="836"/>
      <c r="BE572" s="836"/>
      <c r="BF572" s="836"/>
      <c r="BG572" s="836"/>
      <c r="BH572" s="836"/>
      <c r="BI572" s="836"/>
      <c r="BJ572" s="836"/>
      <c r="BK572" s="836"/>
      <c r="BL572" s="836"/>
      <c r="BM572" s="836"/>
      <c r="BN572" s="836"/>
      <c r="BO572" s="836"/>
      <c r="BP572" s="836"/>
      <c r="BR572" s="838"/>
      <c r="BS572" s="838"/>
      <c r="BT572" s="838"/>
      <c r="BU572" s="838"/>
      <c r="BV572" s="838"/>
      <c r="BW572" s="838"/>
      <c r="BX572" s="838"/>
      <c r="BY572" s="838"/>
      <c r="BZ572" s="838"/>
      <c r="CA572" s="838"/>
      <c r="CB572" s="838"/>
      <c r="CC572" s="838"/>
      <c r="CD572" s="838"/>
      <c r="CE572" s="838"/>
      <c r="CF572" s="838"/>
      <c r="CG572" s="838"/>
      <c r="CH572" s="838"/>
      <c r="CI572" s="838"/>
      <c r="CJ572" s="838"/>
      <c r="CK572" s="838"/>
      <c r="CL572" s="838"/>
      <c r="CM572" s="838"/>
      <c r="CN572" s="838"/>
      <c r="CO572" s="838"/>
      <c r="CP572" s="838"/>
      <c r="CQ572" s="838"/>
      <c r="CR572" s="838"/>
      <c r="CS572" s="838"/>
      <c r="CT572" s="838"/>
      <c r="CU572" s="838"/>
    </row>
    <row r="573">
      <c r="A573" s="860"/>
      <c r="B573" s="860"/>
      <c r="C573" s="860"/>
      <c r="D573" s="860"/>
      <c r="E573" s="860"/>
      <c r="F573" s="860"/>
      <c r="G573" s="860"/>
      <c r="H573" s="860"/>
      <c r="I573" s="860"/>
      <c r="J573" s="860"/>
      <c r="K573" s="860"/>
      <c r="L573" s="860"/>
      <c r="M573" s="860"/>
      <c r="N573" s="860"/>
      <c r="O573" s="860"/>
      <c r="P573" s="860"/>
      <c r="Q573" s="860"/>
      <c r="R573" s="860"/>
      <c r="S573" s="860"/>
      <c r="T573" s="860"/>
      <c r="U573" s="860"/>
      <c r="V573" s="860"/>
      <c r="W573" s="860"/>
      <c r="X573" s="860"/>
      <c r="Y573" s="860"/>
      <c r="Z573" s="860"/>
      <c r="AA573" s="860"/>
      <c r="AB573" s="860"/>
      <c r="AC573" s="860"/>
      <c r="AD573" s="860"/>
      <c r="AE573" s="860"/>
      <c r="AF573" s="860"/>
      <c r="AG573" s="860"/>
      <c r="AH573" s="860"/>
      <c r="AJ573" s="836"/>
      <c r="AK573" s="836"/>
      <c r="AL573" s="836"/>
      <c r="AM573" s="836"/>
      <c r="AN573" s="836"/>
      <c r="AO573" s="836"/>
      <c r="AP573" s="836"/>
      <c r="AQ573" s="836"/>
      <c r="AR573" s="836"/>
      <c r="AS573" s="836"/>
      <c r="AT573" s="836"/>
      <c r="AU573" s="836"/>
      <c r="AV573" s="836"/>
      <c r="AW573" s="836"/>
      <c r="AX573" s="836"/>
      <c r="AY573" s="836"/>
      <c r="AZ573" s="836"/>
      <c r="BA573" s="836"/>
      <c r="BB573" s="836"/>
      <c r="BC573" s="836"/>
      <c r="BD573" s="836"/>
      <c r="BE573" s="836"/>
      <c r="BF573" s="836"/>
      <c r="BG573" s="836"/>
      <c r="BH573" s="836"/>
      <c r="BI573" s="836"/>
      <c r="BJ573" s="836"/>
      <c r="BK573" s="836"/>
      <c r="BL573" s="836"/>
      <c r="BM573" s="836"/>
      <c r="BN573" s="836"/>
      <c r="BO573" s="836"/>
      <c r="BP573" s="836"/>
      <c r="BR573" s="838"/>
      <c r="BS573" s="838"/>
      <c r="BT573" s="838"/>
      <c r="BU573" s="838"/>
      <c r="BV573" s="838"/>
      <c r="BW573" s="838"/>
      <c r="BX573" s="838"/>
      <c r="BY573" s="838"/>
      <c r="BZ573" s="838"/>
      <c r="CA573" s="838"/>
      <c r="CB573" s="838"/>
      <c r="CC573" s="838"/>
      <c r="CD573" s="838"/>
      <c r="CE573" s="838"/>
      <c r="CF573" s="838"/>
      <c r="CG573" s="838"/>
      <c r="CH573" s="838"/>
      <c r="CI573" s="838"/>
      <c r="CJ573" s="838"/>
      <c r="CK573" s="838"/>
      <c r="CL573" s="838"/>
      <c r="CM573" s="838"/>
      <c r="CN573" s="838"/>
      <c r="CO573" s="838"/>
      <c r="CP573" s="838"/>
      <c r="CQ573" s="838"/>
      <c r="CR573" s="838"/>
      <c r="CS573" s="838"/>
      <c r="CT573" s="838"/>
      <c r="CU573" s="838"/>
    </row>
    <row r="574">
      <c r="A574" s="860"/>
      <c r="B574" s="860"/>
      <c r="C574" s="860"/>
      <c r="D574" s="860"/>
      <c r="E574" s="860"/>
      <c r="F574" s="860"/>
      <c r="G574" s="860"/>
      <c r="H574" s="860"/>
      <c r="I574" s="860"/>
      <c r="J574" s="860"/>
      <c r="K574" s="860"/>
      <c r="L574" s="860"/>
      <c r="M574" s="860"/>
      <c r="N574" s="860"/>
      <c r="O574" s="860"/>
      <c r="P574" s="860"/>
      <c r="Q574" s="860"/>
      <c r="R574" s="860"/>
      <c r="S574" s="860"/>
      <c r="T574" s="860"/>
      <c r="U574" s="860"/>
      <c r="V574" s="860"/>
      <c r="W574" s="860"/>
      <c r="X574" s="860"/>
      <c r="Y574" s="860"/>
      <c r="Z574" s="860"/>
      <c r="AA574" s="860"/>
      <c r="AB574" s="860"/>
      <c r="AC574" s="860"/>
      <c r="AD574" s="860"/>
      <c r="AE574" s="860"/>
      <c r="AF574" s="860"/>
      <c r="AG574" s="860"/>
      <c r="AH574" s="860"/>
      <c r="AJ574" s="836"/>
      <c r="AK574" s="836"/>
      <c r="AL574" s="836"/>
      <c r="AM574" s="836"/>
      <c r="AN574" s="836"/>
      <c r="AO574" s="836"/>
      <c r="AP574" s="836"/>
      <c r="AQ574" s="836"/>
      <c r="AR574" s="836"/>
      <c r="AS574" s="836"/>
      <c r="AT574" s="836"/>
      <c r="AU574" s="836"/>
      <c r="AV574" s="836"/>
      <c r="AW574" s="836"/>
      <c r="AX574" s="836"/>
      <c r="AY574" s="836"/>
      <c r="AZ574" s="836"/>
      <c r="BA574" s="836"/>
      <c r="BB574" s="836"/>
      <c r="BC574" s="836"/>
      <c r="BD574" s="836"/>
      <c r="BE574" s="836"/>
      <c r="BF574" s="836"/>
      <c r="BG574" s="836"/>
      <c r="BH574" s="836"/>
      <c r="BI574" s="836"/>
      <c r="BJ574" s="836"/>
      <c r="BK574" s="836"/>
      <c r="BL574" s="836"/>
      <c r="BM574" s="836"/>
      <c r="BN574" s="836"/>
      <c r="BO574" s="836"/>
      <c r="BP574" s="836"/>
      <c r="BR574" s="838"/>
      <c r="BS574" s="838"/>
      <c r="BT574" s="838"/>
      <c r="BU574" s="838"/>
      <c r="BV574" s="838"/>
      <c r="BW574" s="838"/>
      <c r="BX574" s="838"/>
      <c r="BY574" s="838"/>
      <c r="BZ574" s="838"/>
      <c r="CA574" s="838"/>
      <c r="CB574" s="838"/>
      <c r="CC574" s="838"/>
      <c r="CD574" s="838"/>
      <c r="CE574" s="838"/>
      <c r="CF574" s="838"/>
      <c r="CG574" s="838"/>
      <c r="CH574" s="838"/>
      <c r="CI574" s="838"/>
      <c r="CJ574" s="838"/>
      <c r="CK574" s="838"/>
      <c r="CL574" s="838"/>
      <c r="CM574" s="838"/>
      <c r="CN574" s="838"/>
      <c r="CO574" s="838"/>
      <c r="CP574" s="838"/>
      <c r="CQ574" s="838"/>
      <c r="CR574" s="838"/>
      <c r="CS574" s="838"/>
      <c r="CT574" s="838"/>
      <c r="CU574" s="838"/>
    </row>
    <row r="575">
      <c r="A575" s="860"/>
      <c r="B575" s="860"/>
      <c r="C575" s="860"/>
      <c r="D575" s="860"/>
      <c r="E575" s="860"/>
      <c r="F575" s="860"/>
      <c r="G575" s="860"/>
      <c r="H575" s="860"/>
      <c r="I575" s="860"/>
      <c r="J575" s="860"/>
      <c r="K575" s="860"/>
      <c r="L575" s="860"/>
      <c r="M575" s="860"/>
      <c r="N575" s="860"/>
      <c r="O575" s="860"/>
      <c r="P575" s="860"/>
      <c r="Q575" s="860"/>
      <c r="R575" s="860"/>
      <c r="S575" s="860"/>
      <c r="T575" s="860"/>
      <c r="U575" s="860"/>
      <c r="V575" s="860"/>
      <c r="W575" s="860"/>
      <c r="X575" s="860"/>
      <c r="Y575" s="860"/>
      <c r="Z575" s="860"/>
      <c r="AA575" s="860"/>
      <c r="AB575" s="860"/>
      <c r="AC575" s="860"/>
      <c r="AD575" s="860"/>
      <c r="AE575" s="860"/>
      <c r="AF575" s="860"/>
      <c r="AG575" s="860"/>
      <c r="AH575" s="860"/>
      <c r="AJ575" s="836"/>
      <c r="AK575" s="836"/>
      <c r="AL575" s="836"/>
      <c r="AM575" s="836"/>
      <c r="AN575" s="836"/>
      <c r="AO575" s="836"/>
      <c r="AP575" s="836"/>
      <c r="AQ575" s="836"/>
      <c r="AR575" s="836"/>
      <c r="AS575" s="836"/>
      <c r="AT575" s="836"/>
      <c r="AU575" s="836"/>
      <c r="AV575" s="836"/>
      <c r="AW575" s="836"/>
      <c r="AX575" s="836"/>
      <c r="AY575" s="836"/>
      <c r="AZ575" s="836"/>
      <c r="BA575" s="836"/>
      <c r="BB575" s="836"/>
      <c r="BC575" s="836"/>
      <c r="BD575" s="836"/>
      <c r="BE575" s="836"/>
      <c r="BF575" s="836"/>
      <c r="BG575" s="836"/>
      <c r="BH575" s="836"/>
      <c r="BI575" s="836"/>
      <c r="BJ575" s="836"/>
      <c r="BK575" s="836"/>
      <c r="BL575" s="836"/>
      <c r="BM575" s="836"/>
      <c r="BN575" s="836"/>
      <c r="BO575" s="836"/>
      <c r="BP575" s="836"/>
      <c r="BR575" s="838"/>
      <c r="BS575" s="838"/>
      <c r="BT575" s="838"/>
      <c r="BU575" s="838"/>
      <c r="BV575" s="838"/>
      <c r="BW575" s="838"/>
      <c r="BX575" s="838"/>
      <c r="BY575" s="838"/>
      <c r="BZ575" s="838"/>
      <c r="CA575" s="838"/>
      <c r="CB575" s="838"/>
      <c r="CC575" s="838"/>
      <c r="CD575" s="838"/>
      <c r="CE575" s="838"/>
      <c r="CF575" s="838"/>
      <c r="CG575" s="838"/>
      <c r="CH575" s="838"/>
      <c r="CI575" s="838"/>
      <c r="CJ575" s="838"/>
      <c r="CK575" s="838"/>
      <c r="CL575" s="838"/>
      <c r="CM575" s="838"/>
      <c r="CN575" s="838"/>
      <c r="CO575" s="838"/>
      <c r="CP575" s="838"/>
      <c r="CQ575" s="838"/>
      <c r="CR575" s="838"/>
      <c r="CS575" s="838"/>
      <c r="CT575" s="838"/>
      <c r="CU575" s="838"/>
    </row>
    <row r="576">
      <c r="A576" s="860"/>
      <c r="B576" s="860"/>
      <c r="C576" s="860"/>
      <c r="D576" s="860"/>
      <c r="E576" s="860"/>
      <c r="F576" s="860"/>
      <c r="G576" s="860"/>
      <c r="H576" s="860"/>
      <c r="I576" s="860"/>
      <c r="J576" s="860"/>
      <c r="K576" s="860"/>
      <c r="L576" s="860"/>
      <c r="M576" s="860"/>
      <c r="N576" s="860"/>
      <c r="O576" s="860"/>
      <c r="P576" s="860"/>
      <c r="Q576" s="860"/>
      <c r="R576" s="860"/>
      <c r="S576" s="860"/>
      <c r="T576" s="860"/>
      <c r="U576" s="860"/>
      <c r="V576" s="860"/>
      <c r="W576" s="860"/>
      <c r="X576" s="860"/>
      <c r="Y576" s="860"/>
      <c r="Z576" s="860"/>
      <c r="AA576" s="860"/>
      <c r="AB576" s="860"/>
      <c r="AC576" s="860"/>
      <c r="AD576" s="860"/>
      <c r="AE576" s="860"/>
      <c r="AF576" s="860"/>
      <c r="AG576" s="860"/>
      <c r="AH576" s="860"/>
      <c r="AJ576" s="836"/>
      <c r="AK576" s="836"/>
      <c r="AL576" s="836"/>
      <c r="AM576" s="836"/>
      <c r="AN576" s="836"/>
      <c r="AO576" s="836"/>
      <c r="AP576" s="836"/>
      <c r="AQ576" s="836"/>
      <c r="AR576" s="836"/>
      <c r="AS576" s="836"/>
      <c r="AT576" s="836"/>
      <c r="AU576" s="836"/>
      <c r="AV576" s="836"/>
      <c r="AW576" s="836"/>
      <c r="AX576" s="836"/>
      <c r="AY576" s="836"/>
      <c r="AZ576" s="836"/>
      <c r="BA576" s="836"/>
      <c r="BB576" s="836"/>
      <c r="BC576" s="836"/>
      <c r="BD576" s="836"/>
      <c r="BE576" s="836"/>
      <c r="BF576" s="836"/>
      <c r="BG576" s="836"/>
      <c r="BH576" s="836"/>
      <c r="BI576" s="836"/>
      <c r="BJ576" s="836"/>
      <c r="BK576" s="836"/>
      <c r="BL576" s="836"/>
      <c r="BM576" s="836"/>
      <c r="BN576" s="836"/>
      <c r="BO576" s="836"/>
      <c r="BP576" s="836"/>
      <c r="BR576" s="838"/>
      <c r="BS576" s="838"/>
      <c r="BT576" s="838"/>
      <c r="BU576" s="838"/>
      <c r="BV576" s="838"/>
      <c r="BW576" s="838"/>
      <c r="BX576" s="838"/>
      <c r="BY576" s="838"/>
      <c r="BZ576" s="838"/>
      <c r="CA576" s="838"/>
      <c r="CB576" s="838"/>
      <c r="CC576" s="838"/>
      <c r="CD576" s="838"/>
      <c r="CE576" s="838"/>
      <c r="CF576" s="838"/>
      <c r="CG576" s="838"/>
      <c r="CH576" s="838"/>
      <c r="CI576" s="838"/>
      <c r="CJ576" s="838"/>
      <c r="CK576" s="838"/>
      <c r="CL576" s="838"/>
      <c r="CM576" s="838"/>
      <c r="CN576" s="838"/>
      <c r="CO576" s="838"/>
      <c r="CP576" s="838"/>
      <c r="CQ576" s="838"/>
      <c r="CR576" s="838"/>
      <c r="CS576" s="838"/>
      <c r="CT576" s="838"/>
      <c r="CU576" s="838"/>
    </row>
    <row r="577">
      <c r="A577" s="860"/>
      <c r="B577" s="860"/>
      <c r="C577" s="860"/>
      <c r="D577" s="860"/>
      <c r="E577" s="860"/>
      <c r="F577" s="860"/>
      <c r="G577" s="860"/>
      <c r="H577" s="860"/>
      <c r="I577" s="860"/>
      <c r="J577" s="860"/>
      <c r="K577" s="860"/>
      <c r="L577" s="860"/>
      <c r="M577" s="860"/>
      <c r="N577" s="860"/>
      <c r="O577" s="860"/>
      <c r="P577" s="860"/>
      <c r="Q577" s="860"/>
      <c r="R577" s="860"/>
      <c r="S577" s="860"/>
      <c r="T577" s="860"/>
      <c r="U577" s="860"/>
      <c r="V577" s="860"/>
      <c r="W577" s="860"/>
      <c r="X577" s="860"/>
      <c r="Y577" s="860"/>
      <c r="Z577" s="860"/>
      <c r="AA577" s="860"/>
      <c r="AB577" s="860"/>
      <c r="AC577" s="860"/>
      <c r="AD577" s="860"/>
      <c r="AE577" s="860"/>
      <c r="AF577" s="860"/>
      <c r="AG577" s="860"/>
      <c r="AH577" s="860"/>
      <c r="AJ577" s="836"/>
      <c r="AK577" s="836"/>
      <c r="AL577" s="836"/>
      <c r="AM577" s="836"/>
      <c r="AN577" s="836"/>
      <c r="AO577" s="836"/>
      <c r="AP577" s="836"/>
      <c r="AQ577" s="836"/>
      <c r="AR577" s="836"/>
      <c r="AS577" s="836"/>
      <c r="AT577" s="836"/>
      <c r="AU577" s="836"/>
      <c r="AV577" s="836"/>
      <c r="AW577" s="836"/>
      <c r="AX577" s="836"/>
      <c r="AY577" s="836"/>
      <c r="AZ577" s="836"/>
      <c r="BA577" s="836"/>
      <c r="BB577" s="836"/>
      <c r="BC577" s="836"/>
      <c r="BD577" s="836"/>
      <c r="BE577" s="836"/>
      <c r="BF577" s="836"/>
      <c r="BG577" s="836"/>
      <c r="BH577" s="836"/>
      <c r="BI577" s="836"/>
      <c r="BJ577" s="836"/>
      <c r="BK577" s="836"/>
      <c r="BL577" s="836"/>
      <c r="BM577" s="836"/>
      <c r="BN577" s="836"/>
      <c r="BO577" s="836"/>
      <c r="BP577" s="836"/>
      <c r="BR577" s="838"/>
      <c r="BS577" s="838"/>
      <c r="BT577" s="838"/>
      <c r="BU577" s="838"/>
      <c r="BV577" s="838"/>
      <c r="BW577" s="838"/>
      <c r="BX577" s="838"/>
      <c r="BY577" s="838"/>
      <c r="BZ577" s="838"/>
      <c r="CA577" s="838"/>
      <c r="CB577" s="838"/>
      <c r="CC577" s="838"/>
      <c r="CD577" s="838"/>
      <c r="CE577" s="838"/>
      <c r="CF577" s="838"/>
      <c r="CG577" s="838"/>
      <c r="CH577" s="838"/>
      <c r="CI577" s="838"/>
      <c r="CJ577" s="838"/>
      <c r="CK577" s="838"/>
      <c r="CL577" s="838"/>
      <c r="CM577" s="838"/>
      <c r="CN577" s="838"/>
      <c r="CO577" s="838"/>
      <c r="CP577" s="838"/>
      <c r="CQ577" s="838"/>
      <c r="CR577" s="838"/>
      <c r="CS577" s="838"/>
      <c r="CT577" s="838"/>
      <c r="CU577" s="838"/>
    </row>
    <row r="578">
      <c r="A578" s="860"/>
      <c r="B578" s="860"/>
      <c r="C578" s="860"/>
      <c r="D578" s="860"/>
      <c r="E578" s="860"/>
      <c r="F578" s="860"/>
      <c r="G578" s="860"/>
      <c r="H578" s="860"/>
      <c r="I578" s="860"/>
      <c r="J578" s="860"/>
      <c r="K578" s="860"/>
      <c r="L578" s="860"/>
      <c r="M578" s="860"/>
      <c r="N578" s="860"/>
      <c r="O578" s="860"/>
      <c r="P578" s="860"/>
      <c r="Q578" s="860"/>
      <c r="R578" s="860"/>
      <c r="S578" s="860"/>
      <c r="T578" s="860"/>
      <c r="U578" s="860"/>
      <c r="V578" s="860"/>
      <c r="W578" s="860"/>
      <c r="X578" s="860"/>
      <c r="Y578" s="860"/>
      <c r="Z578" s="860"/>
      <c r="AA578" s="860"/>
      <c r="AB578" s="860"/>
      <c r="AC578" s="860"/>
      <c r="AD578" s="860"/>
      <c r="AE578" s="860"/>
      <c r="AF578" s="860"/>
      <c r="AG578" s="860"/>
      <c r="AH578" s="860"/>
      <c r="AJ578" s="836"/>
      <c r="AK578" s="836"/>
      <c r="AL578" s="836"/>
      <c r="AM578" s="836"/>
      <c r="AN578" s="836"/>
      <c r="AO578" s="836"/>
      <c r="AP578" s="836"/>
      <c r="AQ578" s="836"/>
      <c r="AR578" s="836"/>
      <c r="AS578" s="836"/>
      <c r="AT578" s="836"/>
      <c r="AU578" s="836"/>
      <c r="AV578" s="836"/>
      <c r="AW578" s="836"/>
      <c r="AX578" s="836"/>
      <c r="AY578" s="836"/>
      <c r="AZ578" s="836"/>
      <c r="BA578" s="836"/>
      <c r="BB578" s="836"/>
      <c r="BC578" s="836"/>
      <c r="BD578" s="836"/>
      <c r="BE578" s="836"/>
      <c r="BF578" s="836"/>
      <c r="BG578" s="836"/>
      <c r="BH578" s="836"/>
      <c r="BI578" s="836"/>
      <c r="BJ578" s="836"/>
      <c r="BK578" s="836"/>
      <c r="BL578" s="836"/>
      <c r="BM578" s="836"/>
      <c r="BN578" s="836"/>
      <c r="BO578" s="836"/>
      <c r="BP578" s="836"/>
      <c r="BR578" s="838"/>
      <c r="BS578" s="838"/>
      <c r="BT578" s="838"/>
      <c r="BU578" s="838"/>
      <c r="BV578" s="838"/>
      <c r="BW578" s="838"/>
      <c r="BX578" s="838"/>
      <c r="BY578" s="838"/>
      <c r="BZ578" s="838"/>
      <c r="CA578" s="838"/>
      <c r="CB578" s="838"/>
      <c r="CC578" s="838"/>
      <c r="CD578" s="838"/>
      <c r="CE578" s="838"/>
      <c r="CF578" s="838"/>
      <c r="CG578" s="838"/>
      <c r="CH578" s="838"/>
      <c r="CI578" s="838"/>
      <c r="CJ578" s="838"/>
      <c r="CK578" s="838"/>
      <c r="CL578" s="838"/>
      <c r="CM578" s="838"/>
      <c r="CN578" s="838"/>
      <c r="CO578" s="838"/>
      <c r="CP578" s="838"/>
      <c r="CQ578" s="838"/>
      <c r="CR578" s="838"/>
      <c r="CS578" s="838"/>
      <c r="CT578" s="838"/>
      <c r="CU578" s="838"/>
    </row>
    <row r="579">
      <c r="A579" s="860"/>
      <c r="B579" s="860"/>
      <c r="C579" s="860"/>
      <c r="D579" s="860"/>
      <c r="E579" s="860"/>
      <c r="F579" s="860"/>
      <c r="G579" s="860"/>
      <c r="H579" s="860"/>
      <c r="I579" s="860"/>
      <c r="J579" s="860"/>
      <c r="K579" s="860"/>
      <c r="L579" s="860"/>
      <c r="M579" s="860"/>
      <c r="N579" s="860"/>
      <c r="O579" s="860"/>
      <c r="P579" s="860"/>
      <c r="Q579" s="860"/>
      <c r="R579" s="860"/>
      <c r="S579" s="860"/>
      <c r="T579" s="860"/>
      <c r="U579" s="860"/>
      <c r="V579" s="860"/>
      <c r="W579" s="860"/>
      <c r="X579" s="860"/>
      <c r="Y579" s="860"/>
      <c r="Z579" s="860"/>
      <c r="AA579" s="860"/>
      <c r="AB579" s="860"/>
      <c r="AC579" s="860"/>
      <c r="AD579" s="860"/>
      <c r="AE579" s="860"/>
      <c r="AF579" s="860"/>
      <c r="AG579" s="860"/>
      <c r="AH579" s="860"/>
      <c r="AJ579" s="836"/>
      <c r="AK579" s="836"/>
      <c r="AL579" s="836"/>
      <c r="AM579" s="836"/>
      <c r="AN579" s="836"/>
      <c r="AO579" s="836"/>
      <c r="AP579" s="836"/>
      <c r="AQ579" s="836"/>
      <c r="AR579" s="836"/>
      <c r="AS579" s="836"/>
      <c r="AT579" s="836"/>
      <c r="AU579" s="836"/>
      <c r="AV579" s="836"/>
      <c r="AW579" s="836"/>
      <c r="AX579" s="836"/>
      <c r="AY579" s="836"/>
      <c r="AZ579" s="836"/>
      <c r="BA579" s="836"/>
      <c r="BB579" s="836"/>
      <c r="BC579" s="836"/>
      <c r="BD579" s="836"/>
      <c r="BE579" s="836"/>
      <c r="BF579" s="836"/>
      <c r="BG579" s="836"/>
      <c r="BH579" s="836"/>
      <c r="BI579" s="836"/>
      <c r="BJ579" s="836"/>
      <c r="BK579" s="836"/>
      <c r="BL579" s="836"/>
      <c r="BM579" s="836"/>
      <c r="BN579" s="836"/>
      <c r="BO579" s="836"/>
      <c r="BP579" s="836"/>
      <c r="BR579" s="838"/>
      <c r="BS579" s="838"/>
      <c r="BT579" s="838"/>
      <c r="BU579" s="838"/>
      <c r="BV579" s="838"/>
      <c r="BW579" s="838"/>
      <c r="BX579" s="838"/>
      <c r="BY579" s="838"/>
      <c r="BZ579" s="838"/>
      <c r="CA579" s="838"/>
      <c r="CB579" s="838"/>
      <c r="CC579" s="838"/>
      <c r="CD579" s="838"/>
      <c r="CE579" s="838"/>
      <c r="CF579" s="838"/>
      <c r="CG579" s="838"/>
      <c r="CH579" s="838"/>
      <c r="CI579" s="838"/>
      <c r="CJ579" s="838"/>
      <c r="CK579" s="838"/>
      <c r="CL579" s="838"/>
      <c r="CM579" s="838"/>
      <c r="CN579" s="838"/>
      <c r="CO579" s="838"/>
      <c r="CP579" s="838"/>
      <c r="CQ579" s="838"/>
      <c r="CR579" s="838"/>
      <c r="CS579" s="838"/>
      <c r="CT579" s="838"/>
      <c r="CU579" s="838"/>
    </row>
    <row r="580">
      <c r="A580" s="860"/>
      <c r="B580" s="860"/>
      <c r="C580" s="860"/>
      <c r="D580" s="860"/>
      <c r="E580" s="860"/>
      <c r="F580" s="860"/>
      <c r="G580" s="860"/>
      <c r="H580" s="860"/>
      <c r="I580" s="860"/>
      <c r="J580" s="860"/>
      <c r="K580" s="860"/>
      <c r="L580" s="860"/>
      <c r="M580" s="860"/>
      <c r="N580" s="860"/>
      <c r="O580" s="860"/>
      <c r="P580" s="860"/>
      <c r="Q580" s="860"/>
      <c r="R580" s="860"/>
      <c r="S580" s="860"/>
      <c r="T580" s="860"/>
      <c r="U580" s="860"/>
      <c r="V580" s="860"/>
      <c r="W580" s="860"/>
      <c r="X580" s="860"/>
      <c r="Y580" s="860"/>
      <c r="Z580" s="860"/>
      <c r="AA580" s="860"/>
      <c r="AB580" s="860"/>
      <c r="AC580" s="860"/>
      <c r="AD580" s="860"/>
      <c r="AE580" s="860"/>
      <c r="AF580" s="860"/>
      <c r="AG580" s="860"/>
      <c r="AH580" s="860"/>
      <c r="AJ580" s="836"/>
      <c r="AK580" s="836"/>
      <c r="AL580" s="836"/>
      <c r="AM580" s="836"/>
      <c r="AN580" s="836"/>
      <c r="AO580" s="836"/>
      <c r="AP580" s="836"/>
      <c r="AQ580" s="836"/>
      <c r="AR580" s="836"/>
      <c r="AS580" s="836"/>
      <c r="AT580" s="836"/>
      <c r="AU580" s="836"/>
      <c r="AV580" s="836"/>
      <c r="AW580" s="836"/>
      <c r="AX580" s="836"/>
      <c r="AY580" s="836"/>
      <c r="AZ580" s="836"/>
      <c r="BA580" s="836"/>
      <c r="BB580" s="836"/>
      <c r="BC580" s="836"/>
      <c r="BD580" s="836"/>
      <c r="BE580" s="836"/>
      <c r="BF580" s="836"/>
      <c r="BG580" s="836"/>
      <c r="BH580" s="836"/>
      <c r="BI580" s="836"/>
      <c r="BJ580" s="836"/>
      <c r="BK580" s="836"/>
      <c r="BL580" s="836"/>
      <c r="BM580" s="836"/>
      <c r="BN580" s="836"/>
      <c r="BO580" s="836"/>
      <c r="BP580" s="836"/>
      <c r="BR580" s="838"/>
      <c r="BS580" s="838"/>
      <c r="BT580" s="838"/>
      <c r="BU580" s="838"/>
      <c r="BV580" s="838"/>
      <c r="BW580" s="838"/>
      <c r="BX580" s="838"/>
      <c r="BY580" s="838"/>
      <c r="BZ580" s="838"/>
      <c r="CA580" s="838"/>
      <c r="CB580" s="838"/>
      <c r="CC580" s="838"/>
      <c r="CD580" s="838"/>
      <c r="CE580" s="838"/>
      <c r="CF580" s="838"/>
      <c r="CG580" s="838"/>
      <c r="CH580" s="838"/>
      <c r="CI580" s="838"/>
      <c r="CJ580" s="838"/>
      <c r="CK580" s="838"/>
      <c r="CL580" s="838"/>
      <c r="CM580" s="838"/>
      <c r="CN580" s="838"/>
      <c r="CO580" s="838"/>
      <c r="CP580" s="838"/>
      <c r="CQ580" s="838"/>
      <c r="CR580" s="838"/>
      <c r="CS580" s="838"/>
      <c r="CT580" s="838"/>
      <c r="CU580" s="838"/>
    </row>
    <row r="581">
      <c r="A581" s="860"/>
      <c r="B581" s="860"/>
      <c r="C581" s="860"/>
      <c r="D581" s="860"/>
      <c r="E581" s="860"/>
      <c r="F581" s="860"/>
      <c r="G581" s="860"/>
      <c r="H581" s="860"/>
      <c r="I581" s="860"/>
      <c r="J581" s="860"/>
      <c r="K581" s="860"/>
      <c r="L581" s="860"/>
      <c r="M581" s="860"/>
      <c r="N581" s="860"/>
      <c r="O581" s="860"/>
      <c r="P581" s="860"/>
      <c r="Q581" s="860"/>
      <c r="R581" s="860"/>
      <c r="S581" s="860"/>
      <c r="T581" s="860"/>
      <c r="U581" s="860"/>
      <c r="V581" s="860"/>
      <c r="W581" s="860"/>
      <c r="X581" s="860"/>
      <c r="Y581" s="860"/>
      <c r="Z581" s="860"/>
      <c r="AA581" s="860"/>
      <c r="AB581" s="860"/>
      <c r="AC581" s="860"/>
      <c r="AD581" s="860"/>
      <c r="AE581" s="860"/>
      <c r="AF581" s="860"/>
      <c r="AG581" s="860"/>
      <c r="AH581" s="860"/>
      <c r="AJ581" s="836"/>
      <c r="AK581" s="836"/>
      <c r="AL581" s="836"/>
      <c r="AM581" s="836"/>
      <c r="AN581" s="836"/>
      <c r="AO581" s="836"/>
      <c r="AP581" s="836"/>
      <c r="AQ581" s="836"/>
      <c r="AR581" s="836"/>
      <c r="AS581" s="836"/>
      <c r="AT581" s="836"/>
      <c r="AU581" s="836"/>
      <c r="AV581" s="836"/>
      <c r="AW581" s="836"/>
      <c r="AX581" s="836"/>
      <c r="AY581" s="836"/>
      <c r="AZ581" s="836"/>
      <c r="BA581" s="836"/>
      <c r="BB581" s="836"/>
      <c r="BC581" s="836"/>
      <c r="BD581" s="836"/>
      <c r="BE581" s="836"/>
      <c r="BF581" s="836"/>
      <c r="BG581" s="836"/>
      <c r="BH581" s="836"/>
      <c r="BI581" s="836"/>
      <c r="BJ581" s="836"/>
      <c r="BK581" s="836"/>
      <c r="BL581" s="836"/>
      <c r="BM581" s="836"/>
      <c r="BN581" s="836"/>
      <c r="BO581" s="836"/>
      <c r="BP581" s="836"/>
      <c r="BR581" s="838"/>
      <c r="BS581" s="838"/>
      <c r="BT581" s="838"/>
      <c r="BU581" s="838"/>
      <c r="BV581" s="838"/>
      <c r="BW581" s="838"/>
      <c r="BX581" s="838"/>
      <c r="BY581" s="838"/>
      <c r="BZ581" s="838"/>
      <c r="CA581" s="838"/>
      <c r="CB581" s="838"/>
      <c r="CC581" s="838"/>
      <c r="CD581" s="838"/>
      <c r="CE581" s="838"/>
      <c r="CF581" s="838"/>
      <c r="CG581" s="838"/>
      <c r="CH581" s="838"/>
      <c r="CI581" s="838"/>
      <c r="CJ581" s="838"/>
      <c r="CK581" s="838"/>
      <c r="CL581" s="838"/>
      <c r="CM581" s="838"/>
      <c r="CN581" s="838"/>
      <c r="CO581" s="838"/>
      <c r="CP581" s="838"/>
      <c r="CQ581" s="838"/>
      <c r="CR581" s="838"/>
      <c r="CS581" s="838"/>
      <c r="CT581" s="838"/>
      <c r="CU581" s="838"/>
    </row>
    <row r="582">
      <c r="A582" s="860"/>
      <c r="B582" s="860"/>
      <c r="C582" s="860"/>
      <c r="D582" s="860"/>
      <c r="E582" s="860"/>
      <c r="F582" s="860"/>
      <c r="G582" s="860"/>
      <c r="H582" s="860"/>
      <c r="I582" s="860"/>
      <c r="J582" s="860"/>
      <c r="K582" s="860"/>
      <c r="L582" s="860"/>
      <c r="M582" s="860"/>
      <c r="N582" s="860"/>
      <c r="O582" s="860"/>
      <c r="P582" s="860"/>
      <c r="Q582" s="860"/>
      <c r="R582" s="860"/>
      <c r="S582" s="860"/>
      <c r="T582" s="860"/>
      <c r="U582" s="860"/>
      <c r="V582" s="860"/>
      <c r="W582" s="860"/>
      <c r="X582" s="860"/>
      <c r="Y582" s="860"/>
      <c r="Z582" s="860"/>
      <c r="AA582" s="860"/>
      <c r="AB582" s="860"/>
      <c r="AC582" s="860"/>
      <c r="AD582" s="860"/>
      <c r="AE582" s="860"/>
      <c r="AF582" s="860"/>
      <c r="AG582" s="860"/>
      <c r="AH582" s="860"/>
      <c r="AJ582" s="836"/>
      <c r="AK582" s="836"/>
      <c r="AL582" s="836"/>
      <c r="AM582" s="836"/>
      <c r="AN582" s="836"/>
      <c r="AO582" s="836"/>
      <c r="AP582" s="836"/>
      <c r="AQ582" s="836"/>
      <c r="AR582" s="836"/>
      <c r="AS582" s="836"/>
      <c r="AT582" s="836"/>
      <c r="AU582" s="836"/>
      <c r="AV582" s="836"/>
      <c r="AW582" s="836"/>
      <c r="AX582" s="836"/>
      <c r="AY582" s="836"/>
      <c r="AZ582" s="836"/>
      <c r="BA582" s="836"/>
      <c r="BB582" s="836"/>
      <c r="BC582" s="836"/>
      <c r="BD582" s="836"/>
      <c r="BE582" s="836"/>
      <c r="BF582" s="836"/>
      <c r="BG582" s="836"/>
      <c r="BH582" s="836"/>
      <c r="BI582" s="836"/>
      <c r="BJ582" s="836"/>
      <c r="BK582" s="836"/>
      <c r="BL582" s="836"/>
      <c r="BM582" s="836"/>
      <c r="BN582" s="836"/>
      <c r="BO582" s="836"/>
      <c r="BP582" s="836"/>
      <c r="BR582" s="838"/>
      <c r="BS582" s="838"/>
      <c r="BT582" s="838"/>
      <c r="BU582" s="838"/>
      <c r="BV582" s="838"/>
      <c r="BW582" s="838"/>
      <c r="BX582" s="838"/>
      <c r="BY582" s="838"/>
      <c r="BZ582" s="838"/>
      <c r="CA582" s="838"/>
      <c r="CB582" s="838"/>
      <c r="CC582" s="838"/>
      <c r="CD582" s="838"/>
      <c r="CE582" s="838"/>
      <c r="CF582" s="838"/>
      <c r="CG582" s="838"/>
      <c r="CH582" s="838"/>
      <c r="CI582" s="838"/>
      <c r="CJ582" s="838"/>
      <c r="CK582" s="838"/>
      <c r="CL582" s="838"/>
      <c r="CM582" s="838"/>
      <c r="CN582" s="838"/>
      <c r="CO582" s="838"/>
      <c r="CP582" s="838"/>
      <c r="CQ582" s="838"/>
      <c r="CR582" s="838"/>
      <c r="CS582" s="838"/>
      <c r="CT582" s="838"/>
      <c r="CU582" s="838"/>
    </row>
    <row r="583">
      <c r="A583" s="860"/>
      <c r="B583" s="860"/>
      <c r="C583" s="860"/>
      <c r="D583" s="860"/>
      <c r="E583" s="860"/>
      <c r="F583" s="860"/>
      <c r="G583" s="860"/>
      <c r="H583" s="860"/>
      <c r="I583" s="860"/>
      <c r="J583" s="860"/>
      <c r="K583" s="860"/>
      <c r="L583" s="860"/>
      <c r="M583" s="860"/>
      <c r="N583" s="860"/>
      <c r="O583" s="860"/>
      <c r="P583" s="860"/>
      <c r="Q583" s="860"/>
      <c r="R583" s="860"/>
      <c r="S583" s="860"/>
      <c r="T583" s="860"/>
      <c r="U583" s="860"/>
      <c r="V583" s="860"/>
      <c r="W583" s="860"/>
      <c r="X583" s="860"/>
      <c r="Y583" s="860"/>
      <c r="Z583" s="860"/>
      <c r="AA583" s="860"/>
      <c r="AB583" s="860"/>
      <c r="AC583" s="860"/>
      <c r="AD583" s="860"/>
      <c r="AE583" s="860"/>
      <c r="AF583" s="860"/>
      <c r="AG583" s="860"/>
      <c r="AH583" s="860"/>
      <c r="AJ583" s="836"/>
      <c r="AK583" s="836"/>
      <c r="AL583" s="836"/>
      <c r="AM583" s="836"/>
      <c r="AN583" s="836"/>
      <c r="AO583" s="836"/>
      <c r="AP583" s="836"/>
      <c r="AQ583" s="836"/>
      <c r="AR583" s="836"/>
      <c r="AS583" s="836"/>
      <c r="AT583" s="836"/>
      <c r="AU583" s="836"/>
      <c r="AV583" s="836"/>
      <c r="AW583" s="836"/>
      <c r="AX583" s="836"/>
      <c r="AY583" s="836"/>
      <c r="AZ583" s="836"/>
      <c r="BA583" s="836"/>
      <c r="BB583" s="836"/>
      <c r="BC583" s="836"/>
      <c r="BD583" s="836"/>
      <c r="BE583" s="836"/>
      <c r="BF583" s="836"/>
      <c r="BG583" s="836"/>
      <c r="BH583" s="836"/>
      <c r="BI583" s="836"/>
      <c r="BJ583" s="836"/>
      <c r="BK583" s="836"/>
      <c r="BL583" s="836"/>
      <c r="BM583" s="836"/>
      <c r="BN583" s="836"/>
      <c r="BO583" s="836"/>
      <c r="BP583" s="836"/>
      <c r="BR583" s="838"/>
      <c r="BS583" s="838"/>
      <c r="BT583" s="838"/>
      <c r="BU583" s="838"/>
      <c r="BV583" s="838"/>
      <c r="BW583" s="838"/>
      <c r="BX583" s="838"/>
      <c r="BY583" s="838"/>
      <c r="BZ583" s="838"/>
      <c r="CA583" s="838"/>
      <c r="CB583" s="838"/>
      <c r="CC583" s="838"/>
      <c r="CD583" s="838"/>
      <c r="CE583" s="838"/>
      <c r="CF583" s="838"/>
      <c r="CG583" s="838"/>
      <c r="CH583" s="838"/>
      <c r="CI583" s="838"/>
      <c r="CJ583" s="838"/>
      <c r="CK583" s="838"/>
      <c r="CL583" s="838"/>
      <c r="CM583" s="838"/>
      <c r="CN583" s="838"/>
      <c r="CO583" s="838"/>
      <c r="CP583" s="838"/>
      <c r="CQ583" s="838"/>
      <c r="CR583" s="838"/>
      <c r="CS583" s="838"/>
      <c r="CT583" s="838"/>
      <c r="CU583" s="838"/>
    </row>
    <row r="584">
      <c r="A584" s="860"/>
      <c r="B584" s="860"/>
      <c r="C584" s="860"/>
      <c r="D584" s="860"/>
      <c r="E584" s="860"/>
      <c r="F584" s="860"/>
      <c r="G584" s="860"/>
      <c r="H584" s="860"/>
      <c r="I584" s="860"/>
      <c r="J584" s="860"/>
      <c r="K584" s="860"/>
      <c r="L584" s="860"/>
      <c r="M584" s="860"/>
      <c r="N584" s="860"/>
      <c r="O584" s="860"/>
      <c r="P584" s="860"/>
      <c r="Q584" s="860"/>
      <c r="R584" s="860"/>
      <c r="S584" s="860"/>
      <c r="T584" s="860"/>
      <c r="U584" s="860"/>
      <c r="V584" s="860"/>
      <c r="W584" s="860"/>
      <c r="X584" s="860"/>
      <c r="Y584" s="860"/>
      <c r="Z584" s="860"/>
      <c r="AA584" s="860"/>
      <c r="AB584" s="860"/>
      <c r="AC584" s="860"/>
      <c r="AD584" s="860"/>
      <c r="AE584" s="860"/>
      <c r="AF584" s="860"/>
      <c r="AG584" s="860"/>
      <c r="AH584" s="860"/>
      <c r="AJ584" s="836"/>
      <c r="AK584" s="836"/>
      <c r="AL584" s="836"/>
      <c r="AM584" s="836"/>
      <c r="AN584" s="836"/>
      <c r="AO584" s="836"/>
      <c r="AP584" s="836"/>
      <c r="AQ584" s="836"/>
      <c r="AR584" s="836"/>
      <c r="AS584" s="836"/>
      <c r="AT584" s="836"/>
      <c r="AU584" s="836"/>
      <c r="AV584" s="836"/>
      <c r="AW584" s="836"/>
      <c r="AX584" s="836"/>
      <c r="AY584" s="836"/>
      <c r="AZ584" s="836"/>
      <c r="BA584" s="836"/>
      <c r="BB584" s="836"/>
      <c r="BC584" s="836"/>
      <c r="BD584" s="836"/>
      <c r="BE584" s="836"/>
      <c r="BF584" s="836"/>
      <c r="BG584" s="836"/>
      <c r="BH584" s="836"/>
      <c r="BI584" s="836"/>
      <c r="BJ584" s="836"/>
      <c r="BK584" s="836"/>
      <c r="BL584" s="836"/>
      <c r="BM584" s="836"/>
      <c r="BN584" s="836"/>
      <c r="BO584" s="836"/>
      <c r="BP584" s="836"/>
      <c r="BR584" s="838"/>
      <c r="BS584" s="838"/>
      <c r="BT584" s="838"/>
      <c r="BU584" s="838"/>
      <c r="BV584" s="838"/>
      <c r="BW584" s="838"/>
      <c r="BX584" s="838"/>
      <c r="BY584" s="838"/>
      <c r="BZ584" s="838"/>
      <c r="CA584" s="838"/>
      <c r="CB584" s="838"/>
      <c r="CC584" s="838"/>
      <c r="CD584" s="838"/>
      <c r="CE584" s="838"/>
      <c r="CF584" s="838"/>
      <c r="CG584" s="838"/>
      <c r="CH584" s="838"/>
      <c r="CI584" s="838"/>
      <c r="CJ584" s="838"/>
      <c r="CK584" s="838"/>
      <c r="CL584" s="838"/>
      <c r="CM584" s="838"/>
      <c r="CN584" s="838"/>
      <c r="CO584" s="838"/>
      <c r="CP584" s="838"/>
      <c r="CQ584" s="838"/>
      <c r="CR584" s="838"/>
      <c r="CS584" s="838"/>
      <c r="CT584" s="838"/>
      <c r="CU584" s="838"/>
    </row>
    <row r="585">
      <c r="A585" s="860"/>
      <c r="B585" s="860"/>
      <c r="C585" s="860"/>
      <c r="D585" s="860"/>
      <c r="E585" s="860"/>
      <c r="F585" s="860"/>
      <c r="G585" s="860"/>
      <c r="H585" s="860"/>
      <c r="I585" s="860"/>
      <c r="J585" s="860"/>
      <c r="K585" s="860"/>
      <c r="L585" s="860"/>
      <c r="M585" s="860"/>
      <c r="N585" s="860"/>
      <c r="O585" s="860"/>
      <c r="P585" s="860"/>
      <c r="Q585" s="860"/>
      <c r="R585" s="860"/>
      <c r="S585" s="860"/>
      <c r="T585" s="860"/>
      <c r="U585" s="860"/>
      <c r="V585" s="860"/>
      <c r="W585" s="860"/>
      <c r="X585" s="860"/>
      <c r="Y585" s="860"/>
      <c r="Z585" s="860"/>
      <c r="AA585" s="860"/>
      <c r="AB585" s="860"/>
      <c r="AC585" s="860"/>
      <c r="AD585" s="860"/>
      <c r="AE585" s="860"/>
      <c r="AF585" s="860"/>
      <c r="AG585" s="860"/>
      <c r="AH585" s="860"/>
      <c r="AJ585" s="836"/>
      <c r="AK585" s="836"/>
      <c r="AL585" s="836"/>
      <c r="AM585" s="836"/>
      <c r="AN585" s="836"/>
      <c r="AO585" s="836"/>
      <c r="AP585" s="836"/>
      <c r="AQ585" s="836"/>
      <c r="AR585" s="836"/>
      <c r="AS585" s="836"/>
      <c r="AT585" s="836"/>
      <c r="AU585" s="836"/>
      <c r="AV585" s="836"/>
      <c r="AW585" s="836"/>
      <c r="AX585" s="836"/>
      <c r="AY585" s="836"/>
      <c r="AZ585" s="836"/>
      <c r="BA585" s="836"/>
      <c r="BB585" s="836"/>
      <c r="BC585" s="836"/>
      <c r="BD585" s="836"/>
      <c r="BE585" s="836"/>
      <c r="BF585" s="836"/>
      <c r="BG585" s="836"/>
      <c r="BH585" s="836"/>
      <c r="BI585" s="836"/>
      <c r="BJ585" s="836"/>
      <c r="BK585" s="836"/>
      <c r="BL585" s="836"/>
      <c r="BM585" s="836"/>
      <c r="BN585" s="836"/>
      <c r="BO585" s="836"/>
      <c r="BP585" s="836"/>
      <c r="BR585" s="838"/>
      <c r="BS585" s="838"/>
      <c r="BT585" s="838"/>
      <c r="BU585" s="838"/>
      <c r="BV585" s="838"/>
      <c r="BW585" s="838"/>
      <c r="BX585" s="838"/>
      <c r="BY585" s="838"/>
      <c r="BZ585" s="838"/>
      <c r="CA585" s="838"/>
      <c r="CB585" s="838"/>
      <c r="CC585" s="838"/>
      <c r="CD585" s="838"/>
      <c r="CE585" s="838"/>
      <c r="CF585" s="838"/>
      <c r="CG585" s="838"/>
      <c r="CH585" s="838"/>
      <c r="CI585" s="838"/>
      <c r="CJ585" s="838"/>
      <c r="CK585" s="838"/>
      <c r="CL585" s="838"/>
      <c r="CM585" s="838"/>
      <c r="CN585" s="838"/>
      <c r="CO585" s="838"/>
      <c r="CP585" s="838"/>
      <c r="CQ585" s="838"/>
      <c r="CR585" s="838"/>
      <c r="CS585" s="838"/>
      <c r="CT585" s="838"/>
      <c r="CU585" s="838"/>
    </row>
    <row r="586">
      <c r="A586" s="860"/>
      <c r="B586" s="860"/>
      <c r="C586" s="860"/>
      <c r="D586" s="860"/>
      <c r="E586" s="860"/>
      <c r="F586" s="860"/>
      <c r="G586" s="860"/>
      <c r="H586" s="860"/>
      <c r="I586" s="860"/>
      <c r="J586" s="860"/>
      <c r="K586" s="860"/>
      <c r="L586" s="860"/>
      <c r="M586" s="860"/>
      <c r="N586" s="860"/>
      <c r="O586" s="860"/>
      <c r="P586" s="860"/>
      <c r="Q586" s="860"/>
      <c r="R586" s="860"/>
      <c r="S586" s="860"/>
      <c r="T586" s="860"/>
      <c r="U586" s="860"/>
      <c r="V586" s="860"/>
      <c r="W586" s="860"/>
      <c r="X586" s="860"/>
      <c r="Y586" s="860"/>
      <c r="Z586" s="860"/>
      <c r="AA586" s="860"/>
      <c r="AB586" s="860"/>
      <c r="AC586" s="860"/>
      <c r="AD586" s="860"/>
      <c r="AE586" s="860"/>
      <c r="AF586" s="860"/>
      <c r="AG586" s="860"/>
      <c r="AH586" s="860"/>
      <c r="AJ586" s="836"/>
      <c r="AK586" s="836"/>
      <c r="AL586" s="836"/>
      <c r="AM586" s="836"/>
      <c r="AN586" s="836"/>
      <c r="AO586" s="836"/>
      <c r="AP586" s="836"/>
      <c r="AQ586" s="836"/>
      <c r="AR586" s="836"/>
      <c r="AS586" s="836"/>
      <c r="AT586" s="836"/>
      <c r="AU586" s="836"/>
      <c r="AV586" s="836"/>
      <c r="AW586" s="836"/>
      <c r="AX586" s="836"/>
      <c r="AY586" s="836"/>
      <c r="AZ586" s="836"/>
      <c r="BA586" s="836"/>
      <c r="BB586" s="836"/>
      <c r="BC586" s="836"/>
      <c r="BD586" s="836"/>
      <c r="BE586" s="836"/>
      <c r="BF586" s="836"/>
      <c r="BG586" s="836"/>
      <c r="BH586" s="836"/>
      <c r="BI586" s="836"/>
      <c r="BJ586" s="836"/>
      <c r="BK586" s="836"/>
      <c r="BL586" s="836"/>
      <c r="BM586" s="836"/>
      <c r="BN586" s="836"/>
      <c r="BO586" s="836"/>
      <c r="BP586" s="836"/>
      <c r="BR586" s="838"/>
      <c r="BS586" s="838"/>
      <c r="BT586" s="838"/>
      <c r="BU586" s="838"/>
      <c r="BV586" s="838"/>
      <c r="BW586" s="838"/>
      <c r="BX586" s="838"/>
      <c r="BY586" s="838"/>
      <c r="BZ586" s="838"/>
      <c r="CA586" s="838"/>
      <c r="CB586" s="838"/>
      <c r="CC586" s="838"/>
      <c r="CD586" s="838"/>
      <c r="CE586" s="838"/>
      <c r="CF586" s="838"/>
      <c r="CG586" s="838"/>
      <c r="CH586" s="838"/>
      <c r="CI586" s="838"/>
      <c r="CJ586" s="838"/>
      <c r="CK586" s="838"/>
      <c r="CL586" s="838"/>
      <c r="CM586" s="838"/>
      <c r="CN586" s="838"/>
      <c r="CO586" s="838"/>
      <c r="CP586" s="838"/>
      <c r="CQ586" s="838"/>
      <c r="CR586" s="838"/>
      <c r="CS586" s="838"/>
      <c r="CT586" s="838"/>
      <c r="CU586" s="838"/>
    </row>
    <row r="587">
      <c r="A587" s="860"/>
      <c r="B587" s="860"/>
      <c r="C587" s="860"/>
      <c r="D587" s="860"/>
      <c r="E587" s="860"/>
      <c r="F587" s="860"/>
      <c r="G587" s="860"/>
      <c r="H587" s="860"/>
      <c r="I587" s="860"/>
      <c r="J587" s="860"/>
      <c r="K587" s="860"/>
      <c r="L587" s="860"/>
      <c r="M587" s="860"/>
      <c r="N587" s="860"/>
      <c r="O587" s="860"/>
      <c r="P587" s="860"/>
      <c r="Q587" s="860"/>
      <c r="R587" s="860"/>
      <c r="S587" s="860"/>
      <c r="T587" s="860"/>
      <c r="U587" s="860"/>
      <c r="V587" s="860"/>
      <c r="W587" s="860"/>
      <c r="X587" s="860"/>
      <c r="Y587" s="860"/>
      <c r="Z587" s="860"/>
      <c r="AA587" s="860"/>
      <c r="AB587" s="860"/>
      <c r="AC587" s="860"/>
      <c r="AD587" s="860"/>
      <c r="AE587" s="860"/>
      <c r="AF587" s="860"/>
      <c r="AG587" s="860"/>
      <c r="AH587" s="860"/>
      <c r="AJ587" s="836"/>
      <c r="AK587" s="836"/>
      <c r="AL587" s="836"/>
      <c r="AM587" s="836"/>
      <c r="AN587" s="836"/>
      <c r="AO587" s="836"/>
      <c r="AP587" s="836"/>
      <c r="AQ587" s="836"/>
      <c r="AR587" s="836"/>
      <c r="AS587" s="836"/>
      <c r="AT587" s="836"/>
      <c r="AU587" s="836"/>
      <c r="AV587" s="836"/>
      <c r="AW587" s="836"/>
      <c r="AX587" s="836"/>
      <c r="AY587" s="836"/>
      <c r="AZ587" s="836"/>
      <c r="BA587" s="836"/>
      <c r="BB587" s="836"/>
      <c r="BC587" s="836"/>
      <c r="BD587" s="836"/>
      <c r="BE587" s="836"/>
      <c r="BF587" s="836"/>
      <c r="BG587" s="836"/>
      <c r="BH587" s="836"/>
      <c r="BI587" s="836"/>
      <c r="BJ587" s="836"/>
      <c r="BK587" s="836"/>
      <c r="BL587" s="836"/>
      <c r="BM587" s="836"/>
      <c r="BN587" s="836"/>
      <c r="BO587" s="836"/>
      <c r="BP587" s="836"/>
      <c r="BR587" s="838"/>
      <c r="BS587" s="838"/>
      <c r="BT587" s="838"/>
      <c r="BU587" s="838"/>
      <c r="BV587" s="838"/>
      <c r="BW587" s="838"/>
      <c r="BX587" s="838"/>
      <c r="BY587" s="838"/>
      <c r="BZ587" s="838"/>
      <c r="CA587" s="838"/>
      <c r="CB587" s="838"/>
      <c r="CC587" s="838"/>
      <c r="CD587" s="838"/>
      <c r="CE587" s="838"/>
      <c r="CF587" s="838"/>
      <c r="CG587" s="838"/>
      <c r="CH587" s="838"/>
      <c r="CI587" s="838"/>
      <c r="CJ587" s="838"/>
      <c r="CK587" s="838"/>
      <c r="CL587" s="838"/>
      <c r="CM587" s="838"/>
      <c r="CN587" s="838"/>
      <c r="CO587" s="838"/>
      <c r="CP587" s="838"/>
      <c r="CQ587" s="838"/>
      <c r="CR587" s="838"/>
      <c r="CS587" s="838"/>
      <c r="CT587" s="838"/>
      <c r="CU587" s="838"/>
    </row>
    <row r="588">
      <c r="A588" s="860"/>
      <c r="B588" s="860"/>
      <c r="C588" s="860"/>
      <c r="D588" s="860"/>
      <c r="E588" s="860"/>
      <c r="F588" s="860"/>
      <c r="G588" s="860"/>
      <c r="H588" s="860"/>
      <c r="I588" s="860"/>
      <c r="J588" s="860"/>
      <c r="K588" s="860"/>
      <c r="L588" s="860"/>
      <c r="M588" s="860"/>
      <c r="N588" s="860"/>
      <c r="O588" s="860"/>
      <c r="P588" s="860"/>
      <c r="Q588" s="860"/>
      <c r="R588" s="860"/>
      <c r="S588" s="860"/>
      <c r="T588" s="860"/>
      <c r="U588" s="860"/>
      <c r="V588" s="860"/>
      <c r="W588" s="860"/>
      <c r="X588" s="860"/>
      <c r="Y588" s="860"/>
      <c r="Z588" s="860"/>
      <c r="AA588" s="860"/>
      <c r="AB588" s="860"/>
      <c r="AC588" s="860"/>
      <c r="AD588" s="860"/>
      <c r="AE588" s="860"/>
      <c r="AF588" s="860"/>
      <c r="AG588" s="860"/>
      <c r="AH588" s="860"/>
      <c r="AJ588" s="836"/>
      <c r="AK588" s="836"/>
      <c r="AL588" s="836"/>
      <c r="AM588" s="836"/>
      <c r="AN588" s="836"/>
      <c r="AO588" s="836"/>
      <c r="AP588" s="836"/>
      <c r="AQ588" s="836"/>
      <c r="AR588" s="836"/>
      <c r="AS588" s="836"/>
      <c r="AT588" s="836"/>
      <c r="AU588" s="836"/>
      <c r="AV588" s="836"/>
      <c r="AW588" s="836"/>
      <c r="AX588" s="836"/>
      <c r="AY588" s="836"/>
      <c r="AZ588" s="836"/>
      <c r="BA588" s="836"/>
      <c r="BB588" s="836"/>
      <c r="BC588" s="836"/>
      <c r="BD588" s="836"/>
      <c r="BE588" s="836"/>
      <c r="BF588" s="836"/>
      <c r="BG588" s="836"/>
      <c r="BH588" s="836"/>
      <c r="BI588" s="836"/>
      <c r="BJ588" s="836"/>
      <c r="BK588" s="836"/>
      <c r="BL588" s="836"/>
      <c r="BM588" s="836"/>
      <c r="BN588" s="836"/>
      <c r="BO588" s="836"/>
      <c r="BP588" s="836"/>
      <c r="BR588" s="838"/>
      <c r="BS588" s="838"/>
      <c r="BT588" s="838"/>
      <c r="BU588" s="838"/>
      <c r="BV588" s="838"/>
      <c r="BW588" s="838"/>
      <c r="BX588" s="838"/>
      <c r="BY588" s="838"/>
      <c r="BZ588" s="838"/>
      <c r="CA588" s="838"/>
      <c r="CB588" s="838"/>
      <c r="CC588" s="838"/>
      <c r="CD588" s="838"/>
      <c r="CE588" s="838"/>
      <c r="CF588" s="838"/>
      <c r="CG588" s="838"/>
      <c r="CH588" s="838"/>
      <c r="CI588" s="838"/>
      <c r="CJ588" s="838"/>
      <c r="CK588" s="838"/>
      <c r="CL588" s="838"/>
      <c r="CM588" s="838"/>
      <c r="CN588" s="838"/>
      <c r="CO588" s="838"/>
      <c r="CP588" s="838"/>
      <c r="CQ588" s="838"/>
      <c r="CR588" s="838"/>
      <c r="CS588" s="838"/>
      <c r="CT588" s="838"/>
      <c r="CU588" s="838"/>
    </row>
    <row r="589">
      <c r="A589" s="860"/>
      <c r="B589" s="860"/>
      <c r="C589" s="860"/>
      <c r="D589" s="860"/>
      <c r="E589" s="860"/>
      <c r="F589" s="860"/>
      <c r="G589" s="860"/>
      <c r="H589" s="860"/>
      <c r="I589" s="860"/>
      <c r="J589" s="860"/>
      <c r="K589" s="860"/>
      <c r="L589" s="860"/>
      <c r="M589" s="860"/>
      <c r="N589" s="860"/>
      <c r="O589" s="860"/>
      <c r="P589" s="860"/>
      <c r="Q589" s="860"/>
      <c r="R589" s="860"/>
      <c r="S589" s="860"/>
      <c r="T589" s="860"/>
      <c r="U589" s="860"/>
      <c r="V589" s="860"/>
      <c r="W589" s="860"/>
      <c r="X589" s="860"/>
      <c r="Y589" s="860"/>
      <c r="Z589" s="860"/>
      <c r="AA589" s="860"/>
      <c r="AB589" s="860"/>
      <c r="AC589" s="860"/>
      <c r="AD589" s="860"/>
      <c r="AE589" s="860"/>
      <c r="AF589" s="860"/>
      <c r="AG589" s="860"/>
      <c r="AH589" s="860"/>
      <c r="AJ589" s="836"/>
      <c r="AK589" s="836"/>
      <c r="AL589" s="836"/>
      <c r="AM589" s="836"/>
      <c r="AN589" s="836"/>
      <c r="AO589" s="836"/>
      <c r="AP589" s="836"/>
      <c r="AQ589" s="836"/>
      <c r="AR589" s="836"/>
      <c r="AS589" s="836"/>
      <c r="AT589" s="836"/>
      <c r="AU589" s="836"/>
      <c r="AV589" s="836"/>
      <c r="AW589" s="836"/>
      <c r="AX589" s="836"/>
      <c r="AY589" s="836"/>
      <c r="AZ589" s="836"/>
      <c r="BA589" s="836"/>
      <c r="BB589" s="836"/>
      <c r="BC589" s="836"/>
      <c r="BD589" s="836"/>
      <c r="BE589" s="836"/>
      <c r="BF589" s="836"/>
      <c r="BG589" s="836"/>
      <c r="BH589" s="836"/>
      <c r="BI589" s="836"/>
      <c r="BJ589" s="836"/>
      <c r="BK589" s="836"/>
      <c r="BL589" s="836"/>
      <c r="BM589" s="836"/>
      <c r="BN589" s="836"/>
      <c r="BO589" s="836"/>
      <c r="BP589" s="836"/>
      <c r="BR589" s="838"/>
      <c r="BS589" s="838"/>
      <c r="BT589" s="838"/>
      <c r="BU589" s="838"/>
      <c r="BV589" s="838"/>
      <c r="BW589" s="838"/>
      <c r="BX589" s="838"/>
      <c r="BY589" s="838"/>
      <c r="BZ589" s="838"/>
      <c r="CA589" s="838"/>
      <c r="CB589" s="838"/>
      <c r="CC589" s="838"/>
      <c r="CD589" s="838"/>
      <c r="CE589" s="838"/>
      <c r="CF589" s="838"/>
      <c r="CG589" s="838"/>
      <c r="CH589" s="838"/>
      <c r="CI589" s="838"/>
      <c r="CJ589" s="838"/>
      <c r="CK589" s="838"/>
      <c r="CL589" s="838"/>
      <c r="CM589" s="838"/>
      <c r="CN589" s="838"/>
      <c r="CO589" s="838"/>
      <c r="CP589" s="838"/>
      <c r="CQ589" s="838"/>
      <c r="CR589" s="838"/>
      <c r="CS589" s="838"/>
      <c r="CT589" s="838"/>
      <c r="CU589" s="838"/>
    </row>
    <row r="590">
      <c r="A590" s="860"/>
      <c r="B590" s="860"/>
      <c r="C590" s="860"/>
      <c r="D590" s="860"/>
      <c r="E590" s="860"/>
      <c r="F590" s="860"/>
      <c r="G590" s="860"/>
      <c r="H590" s="860"/>
      <c r="I590" s="860"/>
      <c r="J590" s="860"/>
      <c r="K590" s="860"/>
      <c r="L590" s="860"/>
      <c r="M590" s="860"/>
      <c r="N590" s="860"/>
      <c r="O590" s="860"/>
      <c r="P590" s="860"/>
      <c r="Q590" s="860"/>
      <c r="R590" s="860"/>
      <c r="S590" s="860"/>
      <c r="T590" s="860"/>
      <c r="U590" s="860"/>
      <c r="V590" s="860"/>
      <c r="W590" s="860"/>
      <c r="X590" s="860"/>
      <c r="Y590" s="860"/>
      <c r="Z590" s="860"/>
      <c r="AA590" s="860"/>
      <c r="AB590" s="860"/>
      <c r="AC590" s="860"/>
      <c r="AD590" s="860"/>
      <c r="AE590" s="860"/>
      <c r="AF590" s="860"/>
      <c r="AG590" s="860"/>
      <c r="AH590" s="860"/>
      <c r="AJ590" s="836"/>
      <c r="AK590" s="836"/>
      <c r="AL590" s="836"/>
      <c r="AM590" s="836"/>
      <c r="AN590" s="836"/>
      <c r="AO590" s="836"/>
      <c r="AP590" s="836"/>
      <c r="AQ590" s="836"/>
      <c r="AR590" s="836"/>
      <c r="AS590" s="836"/>
      <c r="AT590" s="836"/>
      <c r="AU590" s="836"/>
      <c r="AV590" s="836"/>
      <c r="AW590" s="836"/>
      <c r="AX590" s="836"/>
      <c r="AY590" s="836"/>
      <c r="AZ590" s="836"/>
      <c r="BA590" s="836"/>
      <c r="BB590" s="836"/>
      <c r="BC590" s="836"/>
      <c r="BD590" s="836"/>
      <c r="BE590" s="836"/>
      <c r="BF590" s="836"/>
      <c r="BG590" s="836"/>
      <c r="BH590" s="836"/>
      <c r="BI590" s="836"/>
      <c r="BJ590" s="836"/>
      <c r="BK590" s="836"/>
      <c r="BL590" s="836"/>
      <c r="BM590" s="836"/>
      <c r="BN590" s="836"/>
      <c r="BO590" s="836"/>
      <c r="BP590" s="836"/>
      <c r="BR590" s="838"/>
      <c r="BS590" s="838"/>
      <c r="BT590" s="838"/>
      <c r="BU590" s="838"/>
      <c r="BV590" s="838"/>
      <c r="BW590" s="838"/>
      <c r="BX590" s="838"/>
      <c r="BY590" s="838"/>
      <c r="BZ590" s="838"/>
      <c r="CA590" s="838"/>
      <c r="CB590" s="838"/>
      <c r="CC590" s="838"/>
      <c r="CD590" s="838"/>
      <c r="CE590" s="838"/>
      <c r="CF590" s="838"/>
      <c r="CG590" s="838"/>
      <c r="CH590" s="838"/>
      <c r="CI590" s="838"/>
      <c r="CJ590" s="838"/>
      <c r="CK590" s="838"/>
      <c r="CL590" s="838"/>
      <c r="CM590" s="838"/>
      <c r="CN590" s="838"/>
      <c r="CO590" s="838"/>
      <c r="CP590" s="838"/>
      <c r="CQ590" s="838"/>
      <c r="CR590" s="838"/>
      <c r="CS590" s="838"/>
      <c r="CT590" s="838"/>
      <c r="CU590" s="838"/>
    </row>
    <row r="591">
      <c r="A591" s="860"/>
      <c r="B591" s="860"/>
      <c r="C591" s="860"/>
      <c r="D591" s="860"/>
      <c r="E591" s="860"/>
      <c r="F591" s="860"/>
      <c r="G591" s="860"/>
      <c r="H591" s="860"/>
      <c r="I591" s="860"/>
      <c r="J591" s="860"/>
      <c r="K591" s="860"/>
      <c r="L591" s="860"/>
      <c r="M591" s="860"/>
      <c r="N591" s="860"/>
      <c r="O591" s="860"/>
      <c r="P591" s="860"/>
      <c r="Q591" s="860"/>
      <c r="R591" s="860"/>
      <c r="S591" s="860"/>
      <c r="T591" s="860"/>
      <c r="U591" s="860"/>
      <c r="V591" s="860"/>
      <c r="W591" s="860"/>
      <c r="X591" s="860"/>
      <c r="Y591" s="860"/>
      <c r="Z591" s="860"/>
      <c r="AA591" s="860"/>
      <c r="AB591" s="860"/>
      <c r="AC591" s="860"/>
      <c r="AD591" s="860"/>
      <c r="AE591" s="860"/>
      <c r="AF591" s="860"/>
      <c r="AG591" s="860"/>
      <c r="AH591" s="860"/>
      <c r="AJ591" s="836"/>
      <c r="AK591" s="836"/>
      <c r="AL591" s="836"/>
      <c r="AM591" s="836"/>
      <c r="AN591" s="836"/>
      <c r="AO591" s="836"/>
      <c r="AP591" s="836"/>
      <c r="AQ591" s="836"/>
      <c r="AR591" s="836"/>
      <c r="AS591" s="836"/>
      <c r="AT591" s="836"/>
      <c r="AU591" s="836"/>
      <c r="AV591" s="836"/>
      <c r="AW591" s="836"/>
      <c r="AX591" s="836"/>
      <c r="AY591" s="836"/>
      <c r="AZ591" s="836"/>
      <c r="BA591" s="836"/>
      <c r="BB591" s="836"/>
      <c r="BC591" s="836"/>
      <c r="BD591" s="836"/>
      <c r="BE591" s="836"/>
      <c r="BF591" s="836"/>
      <c r="BG591" s="836"/>
      <c r="BH591" s="836"/>
      <c r="BI591" s="836"/>
      <c r="BJ591" s="836"/>
      <c r="BK591" s="836"/>
      <c r="BL591" s="836"/>
      <c r="BM591" s="836"/>
      <c r="BN591" s="836"/>
      <c r="BO591" s="836"/>
      <c r="BP591" s="836"/>
      <c r="BR591" s="838"/>
      <c r="BS591" s="838"/>
      <c r="BT591" s="838"/>
      <c r="BU591" s="838"/>
      <c r="BV591" s="838"/>
      <c r="BW591" s="838"/>
      <c r="BX591" s="838"/>
      <c r="BY591" s="838"/>
      <c r="BZ591" s="838"/>
      <c r="CA591" s="838"/>
      <c r="CB591" s="838"/>
      <c r="CC591" s="838"/>
      <c r="CD591" s="838"/>
      <c r="CE591" s="838"/>
      <c r="CF591" s="838"/>
      <c r="CG591" s="838"/>
      <c r="CH591" s="838"/>
      <c r="CI591" s="838"/>
      <c r="CJ591" s="838"/>
      <c r="CK591" s="838"/>
      <c r="CL591" s="838"/>
      <c r="CM591" s="838"/>
      <c r="CN591" s="838"/>
      <c r="CO591" s="838"/>
      <c r="CP591" s="838"/>
      <c r="CQ591" s="838"/>
      <c r="CR591" s="838"/>
      <c r="CS591" s="838"/>
      <c r="CT591" s="838"/>
      <c r="CU591" s="838"/>
    </row>
    <row r="592">
      <c r="A592" s="860"/>
      <c r="B592" s="860"/>
      <c r="C592" s="860"/>
      <c r="D592" s="860"/>
      <c r="E592" s="860"/>
      <c r="F592" s="860"/>
      <c r="G592" s="860"/>
      <c r="H592" s="860"/>
      <c r="I592" s="860"/>
      <c r="J592" s="860"/>
      <c r="K592" s="860"/>
      <c r="L592" s="860"/>
      <c r="M592" s="860"/>
      <c r="N592" s="860"/>
      <c r="O592" s="860"/>
      <c r="P592" s="860"/>
      <c r="Q592" s="860"/>
      <c r="R592" s="860"/>
      <c r="S592" s="860"/>
      <c r="T592" s="860"/>
      <c r="U592" s="860"/>
      <c r="V592" s="860"/>
      <c r="W592" s="860"/>
      <c r="X592" s="860"/>
      <c r="Y592" s="860"/>
      <c r="Z592" s="860"/>
      <c r="AA592" s="860"/>
      <c r="AB592" s="860"/>
      <c r="AC592" s="860"/>
      <c r="AD592" s="860"/>
      <c r="AE592" s="860"/>
      <c r="AF592" s="860"/>
      <c r="AG592" s="860"/>
      <c r="AH592" s="860"/>
      <c r="AJ592" s="836"/>
      <c r="AK592" s="836"/>
      <c r="AL592" s="836"/>
      <c r="AM592" s="836"/>
      <c r="AN592" s="836"/>
      <c r="AO592" s="836"/>
      <c r="AP592" s="836"/>
      <c r="AQ592" s="836"/>
      <c r="AR592" s="836"/>
      <c r="AS592" s="836"/>
      <c r="AT592" s="836"/>
      <c r="AU592" s="836"/>
      <c r="AV592" s="836"/>
      <c r="AW592" s="836"/>
      <c r="AX592" s="836"/>
      <c r="AY592" s="836"/>
      <c r="AZ592" s="836"/>
      <c r="BA592" s="836"/>
      <c r="BB592" s="836"/>
      <c r="BC592" s="836"/>
      <c r="BD592" s="836"/>
      <c r="BE592" s="836"/>
      <c r="BF592" s="836"/>
      <c r="BG592" s="836"/>
      <c r="BH592" s="836"/>
      <c r="BI592" s="836"/>
      <c r="BJ592" s="836"/>
      <c r="BK592" s="836"/>
      <c r="BL592" s="836"/>
      <c r="BM592" s="836"/>
      <c r="BN592" s="836"/>
      <c r="BO592" s="836"/>
      <c r="BP592" s="836"/>
      <c r="BR592" s="838"/>
      <c r="BS592" s="838"/>
      <c r="BT592" s="838"/>
      <c r="BU592" s="838"/>
      <c r="BV592" s="838"/>
      <c r="BW592" s="838"/>
      <c r="BX592" s="838"/>
      <c r="BY592" s="838"/>
      <c r="BZ592" s="838"/>
      <c r="CA592" s="838"/>
      <c r="CB592" s="838"/>
      <c r="CC592" s="838"/>
      <c r="CD592" s="838"/>
      <c r="CE592" s="838"/>
      <c r="CF592" s="838"/>
      <c r="CG592" s="838"/>
      <c r="CH592" s="838"/>
      <c r="CI592" s="838"/>
      <c r="CJ592" s="838"/>
      <c r="CK592" s="838"/>
      <c r="CL592" s="838"/>
      <c r="CM592" s="838"/>
      <c r="CN592" s="838"/>
      <c r="CO592" s="838"/>
      <c r="CP592" s="838"/>
      <c r="CQ592" s="838"/>
      <c r="CR592" s="838"/>
      <c r="CS592" s="838"/>
      <c r="CT592" s="838"/>
      <c r="CU592" s="838"/>
    </row>
    <row r="593">
      <c r="A593" s="860"/>
      <c r="B593" s="860"/>
      <c r="C593" s="860"/>
      <c r="D593" s="860"/>
      <c r="E593" s="860"/>
      <c r="F593" s="860"/>
      <c r="G593" s="860"/>
      <c r="H593" s="860"/>
      <c r="I593" s="860"/>
      <c r="J593" s="860"/>
      <c r="K593" s="860"/>
      <c r="L593" s="860"/>
      <c r="M593" s="860"/>
      <c r="N593" s="860"/>
      <c r="O593" s="860"/>
      <c r="P593" s="860"/>
      <c r="Q593" s="860"/>
      <c r="R593" s="860"/>
      <c r="S593" s="860"/>
      <c r="T593" s="860"/>
      <c r="U593" s="860"/>
      <c r="V593" s="860"/>
      <c r="W593" s="860"/>
      <c r="X593" s="860"/>
      <c r="Y593" s="860"/>
      <c r="Z593" s="860"/>
      <c r="AA593" s="860"/>
      <c r="AB593" s="860"/>
      <c r="AC593" s="860"/>
      <c r="AD593" s="860"/>
      <c r="AE593" s="860"/>
      <c r="AF593" s="860"/>
      <c r="AG593" s="860"/>
      <c r="AH593" s="860"/>
      <c r="AJ593" s="836"/>
      <c r="AK593" s="836"/>
      <c r="AL593" s="836"/>
      <c r="AM593" s="836"/>
      <c r="AN593" s="836"/>
      <c r="AO593" s="836"/>
      <c r="AP593" s="836"/>
      <c r="AQ593" s="836"/>
      <c r="AR593" s="836"/>
      <c r="AS593" s="836"/>
      <c r="AT593" s="836"/>
      <c r="AU593" s="836"/>
      <c r="AV593" s="836"/>
      <c r="AW593" s="836"/>
      <c r="AX593" s="836"/>
      <c r="AY593" s="836"/>
      <c r="AZ593" s="836"/>
      <c r="BA593" s="836"/>
      <c r="BB593" s="836"/>
      <c r="BC593" s="836"/>
      <c r="BD593" s="836"/>
      <c r="BE593" s="836"/>
      <c r="BF593" s="836"/>
      <c r="BG593" s="836"/>
      <c r="BH593" s="836"/>
      <c r="BI593" s="836"/>
      <c r="BJ593" s="836"/>
      <c r="BK593" s="836"/>
      <c r="BL593" s="836"/>
      <c r="BM593" s="836"/>
      <c r="BN593" s="836"/>
      <c r="BO593" s="836"/>
      <c r="BP593" s="836"/>
      <c r="BR593" s="838"/>
      <c r="BS593" s="838"/>
      <c r="BT593" s="838"/>
      <c r="BU593" s="838"/>
      <c r="BV593" s="838"/>
      <c r="BW593" s="838"/>
      <c r="BX593" s="838"/>
      <c r="BY593" s="838"/>
      <c r="BZ593" s="838"/>
      <c r="CA593" s="838"/>
      <c r="CB593" s="838"/>
      <c r="CC593" s="838"/>
      <c r="CD593" s="838"/>
      <c r="CE593" s="838"/>
      <c r="CF593" s="838"/>
      <c r="CG593" s="838"/>
      <c r="CH593" s="838"/>
      <c r="CI593" s="838"/>
      <c r="CJ593" s="838"/>
      <c r="CK593" s="838"/>
      <c r="CL593" s="838"/>
      <c r="CM593" s="838"/>
      <c r="CN593" s="838"/>
      <c r="CO593" s="838"/>
      <c r="CP593" s="838"/>
      <c r="CQ593" s="838"/>
      <c r="CR593" s="838"/>
      <c r="CS593" s="838"/>
      <c r="CT593" s="838"/>
      <c r="CU593" s="838"/>
    </row>
    <row r="594">
      <c r="A594" s="860"/>
      <c r="B594" s="860"/>
      <c r="C594" s="860"/>
      <c r="D594" s="860"/>
      <c r="E594" s="860"/>
      <c r="F594" s="860"/>
      <c r="G594" s="860"/>
      <c r="H594" s="860"/>
      <c r="I594" s="860"/>
      <c r="J594" s="860"/>
      <c r="K594" s="860"/>
      <c r="L594" s="860"/>
      <c r="M594" s="860"/>
      <c r="N594" s="860"/>
      <c r="O594" s="860"/>
      <c r="P594" s="860"/>
      <c r="Q594" s="860"/>
      <c r="R594" s="860"/>
      <c r="S594" s="860"/>
      <c r="T594" s="860"/>
      <c r="U594" s="860"/>
      <c r="V594" s="860"/>
      <c r="W594" s="860"/>
      <c r="X594" s="860"/>
      <c r="Y594" s="860"/>
      <c r="Z594" s="860"/>
      <c r="AA594" s="860"/>
      <c r="AB594" s="860"/>
      <c r="AC594" s="860"/>
      <c r="AD594" s="860"/>
      <c r="AE594" s="860"/>
      <c r="AF594" s="860"/>
      <c r="AG594" s="860"/>
      <c r="AH594" s="860"/>
      <c r="AJ594" s="836"/>
      <c r="AK594" s="836"/>
      <c r="AL594" s="836"/>
      <c r="AM594" s="836"/>
      <c r="AN594" s="836"/>
      <c r="AO594" s="836"/>
      <c r="AP594" s="836"/>
      <c r="AQ594" s="836"/>
      <c r="AR594" s="836"/>
      <c r="AS594" s="836"/>
      <c r="AT594" s="836"/>
      <c r="AU594" s="836"/>
      <c r="AV594" s="836"/>
      <c r="AW594" s="836"/>
      <c r="AX594" s="836"/>
      <c r="AY594" s="836"/>
      <c r="AZ594" s="836"/>
      <c r="BA594" s="836"/>
      <c r="BB594" s="836"/>
      <c r="BC594" s="836"/>
      <c r="BD594" s="836"/>
      <c r="BE594" s="836"/>
      <c r="BF594" s="836"/>
      <c r="BG594" s="836"/>
      <c r="BH594" s="836"/>
      <c r="BI594" s="836"/>
      <c r="BJ594" s="836"/>
      <c r="BK594" s="836"/>
      <c r="BL594" s="836"/>
      <c r="BM594" s="836"/>
      <c r="BN594" s="836"/>
      <c r="BO594" s="836"/>
      <c r="BP594" s="836"/>
      <c r="BR594" s="838"/>
      <c r="BS594" s="838"/>
      <c r="BT594" s="838"/>
      <c r="BU594" s="838"/>
      <c r="BV594" s="838"/>
      <c r="BW594" s="838"/>
      <c r="BX594" s="838"/>
      <c r="BY594" s="838"/>
      <c r="BZ594" s="838"/>
      <c r="CA594" s="838"/>
      <c r="CB594" s="838"/>
      <c r="CC594" s="838"/>
      <c r="CD594" s="838"/>
      <c r="CE594" s="838"/>
      <c r="CF594" s="838"/>
      <c r="CG594" s="838"/>
      <c r="CH594" s="838"/>
      <c r="CI594" s="838"/>
      <c r="CJ594" s="838"/>
      <c r="CK594" s="838"/>
      <c r="CL594" s="838"/>
      <c r="CM594" s="838"/>
      <c r="CN594" s="838"/>
      <c r="CO594" s="838"/>
      <c r="CP594" s="838"/>
      <c r="CQ594" s="838"/>
      <c r="CR594" s="838"/>
      <c r="CS594" s="838"/>
      <c r="CT594" s="838"/>
      <c r="CU594" s="838"/>
    </row>
    <row r="595">
      <c r="A595" s="860"/>
      <c r="B595" s="860"/>
      <c r="C595" s="860"/>
      <c r="D595" s="860"/>
      <c r="E595" s="860"/>
      <c r="F595" s="860"/>
      <c r="G595" s="860"/>
      <c r="H595" s="860"/>
      <c r="I595" s="860"/>
      <c r="J595" s="860"/>
      <c r="K595" s="860"/>
      <c r="L595" s="860"/>
      <c r="M595" s="860"/>
      <c r="N595" s="860"/>
      <c r="O595" s="860"/>
      <c r="P595" s="860"/>
      <c r="Q595" s="860"/>
      <c r="R595" s="860"/>
      <c r="S595" s="860"/>
      <c r="T595" s="860"/>
      <c r="U595" s="860"/>
      <c r="V595" s="860"/>
      <c r="W595" s="860"/>
      <c r="X595" s="860"/>
      <c r="Y595" s="860"/>
      <c r="Z595" s="860"/>
      <c r="AA595" s="860"/>
      <c r="AB595" s="860"/>
      <c r="AC595" s="860"/>
      <c r="AD595" s="860"/>
      <c r="AE595" s="860"/>
      <c r="AF595" s="860"/>
      <c r="AG595" s="860"/>
      <c r="AH595" s="860"/>
      <c r="AJ595" s="836"/>
      <c r="AK595" s="836"/>
      <c r="AL595" s="836"/>
      <c r="AM595" s="836"/>
      <c r="AN595" s="836"/>
      <c r="AO595" s="836"/>
      <c r="AP595" s="836"/>
      <c r="AQ595" s="836"/>
      <c r="AR595" s="836"/>
      <c r="AS595" s="836"/>
      <c r="AT595" s="836"/>
      <c r="AU595" s="836"/>
      <c r="AV595" s="836"/>
      <c r="AW595" s="836"/>
      <c r="AX595" s="836"/>
      <c r="AY595" s="836"/>
      <c r="AZ595" s="836"/>
      <c r="BA595" s="836"/>
      <c r="BB595" s="836"/>
      <c r="BC595" s="836"/>
      <c r="BD595" s="836"/>
      <c r="BE595" s="836"/>
      <c r="BF595" s="836"/>
      <c r="BG595" s="836"/>
      <c r="BH595" s="836"/>
      <c r="BI595" s="836"/>
      <c r="BJ595" s="836"/>
      <c r="BK595" s="836"/>
      <c r="BL595" s="836"/>
      <c r="BM595" s="836"/>
      <c r="BN595" s="836"/>
      <c r="BO595" s="836"/>
      <c r="BP595" s="836"/>
      <c r="BR595" s="838"/>
      <c r="BS595" s="838"/>
      <c r="BT595" s="838"/>
      <c r="BU595" s="838"/>
      <c r="BV595" s="838"/>
      <c r="BW595" s="838"/>
      <c r="BX595" s="838"/>
      <c r="BY595" s="838"/>
      <c r="BZ595" s="838"/>
      <c r="CA595" s="838"/>
      <c r="CB595" s="838"/>
      <c r="CC595" s="838"/>
      <c r="CD595" s="838"/>
      <c r="CE595" s="838"/>
      <c r="CF595" s="838"/>
      <c r="CG595" s="838"/>
      <c r="CH595" s="838"/>
      <c r="CI595" s="838"/>
      <c r="CJ595" s="838"/>
      <c r="CK595" s="838"/>
      <c r="CL595" s="838"/>
      <c r="CM595" s="838"/>
      <c r="CN595" s="838"/>
      <c r="CO595" s="838"/>
      <c r="CP595" s="838"/>
      <c r="CQ595" s="838"/>
      <c r="CR595" s="838"/>
      <c r="CS595" s="838"/>
      <c r="CT595" s="838"/>
      <c r="CU595" s="838"/>
    </row>
    <row r="596">
      <c r="A596" s="860"/>
      <c r="B596" s="860"/>
      <c r="C596" s="860"/>
      <c r="D596" s="860"/>
      <c r="E596" s="860"/>
      <c r="F596" s="860"/>
      <c r="G596" s="860"/>
      <c r="H596" s="860"/>
      <c r="I596" s="860"/>
      <c r="J596" s="860"/>
      <c r="K596" s="860"/>
      <c r="L596" s="860"/>
      <c r="M596" s="860"/>
      <c r="N596" s="860"/>
      <c r="O596" s="860"/>
      <c r="P596" s="860"/>
      <c r="Q596" s="860"/>
      <c r="R596" s="860"/>
      <c r="S596" s="860"/>
      <c r="T596" s="860"/>
      <c r="U596" s="860"/>
      <c r="V596" s="860"/>
      <c r="W596" s="860"/>
      <c r="X596" s="860"/>
      <c r="Y596" s="860"/>
      <c r="Z596" s="860"/>
      <c r="AA596" s="860"/>
      <c r="AB596" s="860"/>
      <c r="AC596" s="860"/>
      <c r="AD596" s="860"/>
      <c r="AE596" s="860"/>
      <c r="AF596" s="860"/>
      <c r="AG596" s="860"/>
      <c r="AH596" s="860"/>
      <c r="AJ596" s="836"/>
      <c r="AK596" s="836"/>
      <c r="AL596" s="836"/>
      <c r="AM596" s="836"/>
      <c r="AN596" s="836"/>
      <c r="AO596" s="836"/>
      <c r="AP596" s="836"/>
      <c r="AQ596" s="836"/>
      <c r="AR596" s="836"/>
      <c r="AS596" s="836"/>
      <c r="AT596" s="836"/>
      <c r="AU596" s="836"/>
      <c r="AV596" s="836"/>
      <c r="AW596" s="836"/>
      <c r="AX596" s="836"/>
      <c r="AY596" s="836"/>
      <c r="AZ596" s="836"/>
      <c r="BA596" s="836"/>
      <c r="BB596" s="836"/>
      <c r="BC596" s="836"/>
      <c r="BD596" s="836"/>
      <c r="BE596" s="836"/>
      <c r="BF596" s="836"/>
      <c r="BG596" s="836"/>
      <c r="BH596" s="836"/>
      <c r="BI596" s="836"/>
      <c r="BJ596" s="836"/>
      <c r="BK596" s="836"/>
      <c r="BL596" s="836"/>
      <c r="BM596" s="836"/>
      <c r="BN596" s="836"/>
      <c r="BO596" s="836"/>
      <c r="BP596" s="836"/>
      <c r="BR596" s="838"/>
      <c r="BS596" s="838"/>
      <c r="BT596" s="838"/>
      <c r="BU596" s="838"/>
      <c r="BV596" s="838"/>
      <c r="BW596" s="838"/>
      <c r="BX596" s="838"/>
      <c r="BY596" s="838"/>
      <c r="BZ596" s="838"/>
      <c r="CA596" s="838"/>
      <c r="CB596" s="838"/>
      <c r="CC596" s="838"/>
      <c r="CD596" s="838"/>
      <c r="CE596" s="838"/>
      <c r="CF596" s="838"/>
      <c r="CG596" s="838"/>
      <c r="CH596" s="838"/>
      <c r="CI596" s="838"/>
      <c r="CJ596" s="838"/>
      <c r="CK596" s="838"/>
      <c r="CL596" s="838"/>
      <c r="CM596" s="838"/>
      <c r="CN596" s="838"/>
      <c r="CO596" s="838"/>
      <c r="CP596" s="838"/>
      <c r="CQ596" s="838"/>
      <c r="CR596" s="838"/>
      <c r="CS596" s="838"/>
      <c r="CT596" s="838"/>
      <c r="CU596" s="838"/>
    </row>
    <row r="597">
      <c r="A597" s="860"/>
      <c r="B597" s="860"/>
      <c r="C597" s="860"/>
      <c r="D597" s="860"/>
      <c r="E597" s="860"/>
      <c r="F597" s="860"/>
      <c r="G597" s="860"/>
      <c r="H597" s="860"/>
      <c r="I597" s="860"/>
      <c r="J597" s="860"/>
      <c r="K597" s="860"/>
      <c r="L597" s="860"/>
      <c r="M597" s="860"/>
      <c r="N597" s="860"/>
      <c r="O597" s="860"/>
      <c r="P597" s="860"/>
      <c r="Q597" s="860"/>
      <c r="R597" s="860"/>
      <c r="S597" s="860"/>
      <c r="T597" s="860"/>
      <c r="U597" s="860"/>
      <c r="V597" s="860"/>
      <c r="W597" s="860"/>
      <c r="X597" s="860"/>
      <c r="Y597" s="860"/>
      <c r="Z597" s="860"/>
      <c r="AA597" s="860"/>
      <c r="AB597" s="860"/>
      <c r="AC597" s="860"/>
      <c r="AD597" s="860"/>
      <c r="AE597" s="860"/>
      <c r="AF597" s="860"/>
      <c r="AG597" s="860"/>
      <c r="AH597" s="860"/>
      <c r="AJ597" s="836"/>
      <c r="AK597" s="836"/>
      <c r="AL597" s="836"/>
      <c r="AM597" s="836"/>
      <c r="AN597" s="836"/>
      <c r="AO597" s="836"/>
      <c r="AP597" s="836"/>
      <c r="AQ597" s="836"/>
      <c r="AR597" s="836"/>
      <c r="AS597" s="836"/>
      <c r="AT597" s="836"/>
      <c r="AU597" s="836"/>
      <c r="AV597" s="836"/>
      <c r="AW597" s="836"/>
      <c r="AX597" s="836"/>
      <c r="AY597" s="836"/>
      <c r="AZ597" s="836"/>
      <c r="BA597" s="836"/>
      <c r="BB597" s="836"/>
      <c r="BC597" s="836"/>
      <c r="BD597" s="836"/>
      <c r="BE597" s="836"/>
      <c r="BF597" s="836"/>
      <c r="BG597" s="836"/>
      <c r="BH597" s="836"/>
      <c r="BI597" s="836"/>
      <c r="BJ597" s="836"/>
      <c r="BK597" s="836"/>
      <c r="BL597" s="836"/>
      <c r="BM597" s="836"/>
      <c r="BN597" s="836"/>
      <c r="BO597" s="836"/>
      <c r="BP597" s="836"/>
      <c r="BR597" s="838"/>
      <c r="BS597" s="838"/>
      <c r="BT597" s="838"/>
      <c r="BU597" s="838"/>
      <c r="BV597" s="838"/>
      <c r="BW597" s="838"/>
      <c r="BX597" s="838"/>
      <c r="BY597" s="838"/>
      <c r="BZ597" s="838"/>
      <c r="CA597" s="838"/>
      <c r="CB597" s="838"/>
      <c r="CC597" s="838"/>
      <c r="CD597" s="838"/>
      <c r="CE597" s="838"/>
      <c r="CF597" s="838"/>
      <c r="CG597" s="838"/>
      <c r="CH597" s="838"/>
      <c r="CI597" s="838"/>
      <c r="CJ597" s="838"/>
      <c r="CK597" s="838"/>
      <c r="CL597" s="838"/>
      <c r="CM597" s="838"/>
      <c r="CN597" s="838"/>
      <c r="CO597" s="838"/>
      <c r="CP597" s="838"/>
      <c r="CQ597" s="838"/>
      <c r="CR597" s="838"/>
      <c r="CS597" s="838"/>
      <c r="CT597" s="838"/>
      <c r="CU597" s="838"/>
    </row>
    <row r="598">
      <c r="A598" s="860"/>
      <c r="B598" s="860"/>
      <c r="C598" s="860"/>
      <c r="D598" s="860"/>
      <c r="E598" s="860"/>
      <c r="F598" s="860"/>
      <c r="G598" s="860"/>
      <c r="H598" s="860"/>
      <c r="I598" s="860"/>
      <c r="J598" s="860"/>
      <c r="K598" s="860"/>
      <c r="L598" s="860"/>
      <c r="M598" s="860"/>
      <c r="N598" s="860"/>
      <c r="O598" s="860"/>
      <c r="P598" s="860"/>
      <c r="Q598" s="860"/>
      <c r="R598" s="860"/>
      <c r="S598" s="860"/>
      <c r="T598" s="860"/>
      <c r="U598" s="860"/>
      <c r="V598" s="860"/>
      <c r="W598" s="860"/>
      <c r="X598" s="860"/>
      <c r="Y598" s="860"/>
      <c r="Z598" s="860"/>
      <c r="AA598" s="860"/>
      <c r="AB598" s="860"/>
      <c r="AC598" s="860"/>
      <c r="AD598" s="860"/>
      <c r="AE598" s="860"/>
      <c r="AF598" s="860"/>
      <c r="AG598" s="860"/>
      <c r="AH598" s="860"/>
      <c r="AJ598" s="836"/>
      <c r="AK598" s="836"/>
      <c r="AL598" s="836"/>
      <c r="AM598" s="836"/>
      <c r="AN598" s="836"/>
      <c r="AO598" s="836"/>
      <c r="AP598" s="836"/>
      <c r="AQ598" s="836"/>
      <c r="AR598" s="836"/>
      <c r="AS598" s="836"/>
      <c r="AT598" s="836"/>
      <c r="AU598" s="836"/>
      <c r="AV598" s="836"/>
      <c r="AW598" s="836"/>
      <c r="AX598" s="836"/>
      <c r="AY598" s="836"/>
      <c r="AZ598" s="836"/>
      <c r="BA598" s="836"/>
      <c r="BB598" s="836"/>
      <c r="BC598" s="836"/>
      <c r="BD598" s="836"/>
      <c r="BE598" s="836"/>
      <c r="BF598" s="836"/>
      <c r="BG598" s="836"/>
      <c r="BH598" s="836"/>
      <c r="BI598" s="836"/>
      <c r="BJ598" s="836"/>
      <c r="BK598" s="836"/>
      <c r="BL598" s="836"/>
      <c r="BM598" s="836"/>
      <c r="BN598" s="836"/>
      <c r="BO598" s="836"/>
      <c r="BP598" s="836"/>
      <c r="BR598" s="838"/>
      <c r="BS598" s="838"/>
      <c r="BT598" s="838"/>
      <c r="BU598" s="838"/>
      <c r="BV598" s="838"/>
      <c r="BW598" s="838"/>
      <c r="BX598" s="838"/>
      <c r="BY598" s="838"/>
      <c r="BZ598" s="838"/>
      <c r="CA598" s="838"/>
      <c r="CB598" s="838"/>
      <c r="CC598" s="838"/>
      <c r="CD598" s="838"/>
      <c r="CE598" s="838"/>
      <c r="CF598" s="838"/>
      <c r="CG598" s="838"/>
      <c r="CH598" s="838"/>
      <c r="CI598" s="838"/>
      <c r="CJ598" s="838"/>
      <c r="CK598" s="838"/>
      <c r="CL598" s="838"/>
      <c r="CM598" s="838"/>
      <c r="CN598" s="838"/>
      <c r="CO598" s="838"/>
      <c r="CP598" s="838"/>
      <c r="CQ598" s="838"/>
      <c r="CR598" s="838"/>
      <c r="CS598" s="838"/>
      <c r="CT598" s="838"/>
      <c r="CU598" s="838"/>
    </row>
    <row r="599">
      <c r="A599" s="860"/>
      <c r="B599" s="860"/>
      <c r="C599" s="860"/>
      <c r="D599" s="860"/>
      <c r="E599" s="860"/>
      <c r="F599" s="860"/>
      <c r="G599" s="860"/>
      <c r="H599" s="860"/>
      <c r="I599" s="860"/>
      <c r="J599" s="860"/>
      <c r="K599" s="860"/>
      <c r="L599" s="860"/>
      <c r="M599" s="860"/>
      <c r="N599" s="860"/>
      <c r="O599" s="860"/>
      <c r="P599" s="860"/>
      <c r="Q599" s="860"/>
      <c r="R599" s="860"/>
      <c r="S599" s="860"/>
      <c r="T599" s="860"/>
      <c r="U599" s="860"/>
      <c r="V599" s="860"/>
      <c r="W599" s="860"/>
      <c r="X599" s="860"/>
      <c r="Y599" s="860"/>
      <c r="Z599" s="860"/>
      <c r="AA599" s="860"/>
      <c r="AB599" s="860"/>
      <c r="AC599" s="860"/>
      <c r="AD599" s="860"/>
      <c r="AE599" s="860"/>
      <c r="AF599" s="860"/>
      <c r="AG599" s="860"/>
      <c r="AH599" s="860"/>
      <c r="AJ599" s="836"/>
      <c r="AK599" s="836"/>
      <c r="AL599" s="836"/>
      <c r="AM599" s="836"/>
      <c r="AN599" s="836"/>
      <c r="AO599" s="836"/>
      <c r="AP599" s="836"/>
      <c r="AQ599" s="836"/>
      <c r="AR599" s="836"/>
      <c r="AS599" s="836"/>
      <c r="AT599" s="836"/>
      <c r="AU599" s="836"/>
      <c r="AV599" s="836"/>
      <c r="AW599" s="836"/>
      <c r="AX599" s="836"/>
      <c r="AY599" s="836"/>
      <c r="AZ599" s="836"/>
      <c r="BA599" s="836"/>
      <c r="BB599" s="836"/>
      <c r="BC599" s="836"/>
      <c r="BD599" s="836"/>
      <c r="BE599" s="836"/>
      <c r="BF599" s="836"/>
      <c r="BG599" s="836"/>
      <c r="BH599" s="836"/>
      <c r="BI599" s="836"/>
      <c r="BJ599" s="836"/>
      <c r="BK599" s="836"/>
      <c r="BL599" s="836"/>
      <c r="BM599" s="836"/>
      <c r="BN599" s="836"/>
      <c r="BO599" s="836"/>
      <c r="BP599" s="836"/>
      <c r="BR599" s="838"/>
      <c r="BS599" s="838"/>
      <c r="BT599" s="838"/>
      <c r="BU599" s="838"/>
      <c r="BV599" s="838"/>
      <c r="BW599" s="838"/>
      <c r="BX599" s="838"/>
      <c r="BY599" s="838"/>
      <c r="BZ599" s="838"/>
      <c r="CA599" s="838"/>
      <c r="CB599" s="838"/>
      <c r="CC599" s="838"/>
      <c r="CD599" s="838"/>
      <c r="CE599" s="838"/>
      <c r="CF599" s="838"/>
      <c r="CG599" s="838"/>
      <c r="CH599" s="838"/>
      <c r="CI599" s="838"/>
      <c r="CJ599" s="838"/>
      <c r="CK599" s="838"/>
      <c r="CL599" s="838"/>
      <c r="CM599" s="838"/>
      <c r="CN599" s="838"/>
      <c r="CO599" s="838"/>
      <c r="CP599" s="838"/>
      <c r="CQ599" s="838"/>
      <c r="CR599" s="838"/>
      <c r="CS599" s="838"/>
      <c r="CT599" s="838"/>
      <c r="CU599" s="838"/>
    </row>
    <row r="600">
      <c r="A600" s="860"/>
      <c r="B600" s="860"/>
      <c r="C600" s="860"/>
      <c r="D600" s="860"/>
      <c r="E600" s="860"/>
      <c r="F600" s="860"/>
      <c r="G600" s="860"/>
      <c r="H600" s="860"/>
      <c r="I600" s="860"/>
      <c r="J600" s="860"/>
      <c r="K600" s="860"/>
      <c r="L600" s="860"/>
      <c r="M600" s="860"/>
      <c r="N600" s="860"/>
      <c r="O600" s="860"/>
      <c r="P600" s="860"/>
      <c r="Q600" s="860"/>
      <c r="R600" s="860"/>
      <c r="S600" s="860"/>
      <c r="T600" s="860"/>
      <c r="U600" s="860"/>
      <c r="V600" s="860"/>
      <c r="W600" s="860"/>
      <c r="X600" s="860"/>
      <c r="Y600" s="860"/>
      <c r="Z600" s="860"/>
      <c r="AA600" s="860"/>
      <c r="AB600" s="860"/>
      <c r="AC600" s="860"/>
      <c r="AD600" s="860"/>
      <c r="AE600" s="860"/>
      <c r="AF600" s="860"/>
      <c r="AG600" s="860"/>
      <c r="AH600" s="860"/>
      <c r="AJ600" s="836"/>
      <c r="AK600" s="836"/>
      <c r="AL600" s="836"/>
      <c r="AM600" s="836"/>
      <c r="AN600" s="836"/>
      <c r="AO600" s="836"/>
      <c r="AP600" s="836"/>
      <c r="AQ600" s="836"/>
      <c r="AR600" s="836"/>
      <c r="AS600" s="836"/>
      <c r="AT600" s="836"/>
      <c r="AU600" s="836"/>
      <c r="AV600" s="836"/>
      <c r="AW600" s="836"/>
      <c r="AX600" s="836"/>
      <c r="AY600" s="836"/>
      <c r="AZ600" s="836"/>
      <c r="BA600" s="836"/>
      <c r="BB600" s="836"/>
      <c r="BC600" s="836"/>
      <c r="BD600" s="836"/>
      <c r="BE600" s="836"/>
      <c r="BF600" s="836"/>
      <c r="BG600" s="836"/>
      <c r="BH600" s="836"/>
      <c r="BI600" s="836"/>
      <c r="BJ600" s="836"/>
      <c r="BK600" s="836"/>
      <c r="BL600" s="836"/>
      <c r="BM600" s="836"/>
      <c r="BN600" s="836"/>
      <c r="BO600" s="836"/>
      <c r="BP600" s="836"/>
      <c r="BR600" s="838"/>
      <c r="BS600" s="838"/>
      <c r="BT600" s="838"/>
      <c r="BU600" s="838"/>
      <c r="BV600" s="838"/>
      <c r="BW600" s="838"/>
      <c r="BX600" s="838"/>
      <c r="BY600" s="838"/>
      <c r="BZ600" s="838"/>
      <c r="CA600" s="838"/>
      <c r="CB600" s="838"/>
      <c r="CC600" s="838"/>
      <c r="CD600" s="838"/>
      <c r="CE600" s="838"/>
      <c r="CF600" s="838"/>
      <c r="CG600" s="838"/>
      <c r="CH600" s="838"/>
      <c r="CI600" s="838"/>
      <c r="CJ600" s="838"/>
      <c r="CK600" s="838"/>
      <c r="CL600" s="838"/>
      <c r="CM600" s="838"/>
      <c r="CN600" s="838"/>
      <c r="CO600" s="838"/>
      <c r="CP600" s="838"/>
      <c r="CQ600" s="838"/>
      <c r="CR600" s="838"/>
      <c r="CS600" s="838"/>
      <c r="CT600" s="838"/>
      <c r="CU600" s="838"/>
    </row>
    <row r="601">
      <c r="A601" s="860"/>
      <c r="B601" s="860"/>
      <c r="C601" s="860"/>
      <c r="D601" s="860"/>
      <c r="E601" s="860"/>
      <c r="F601" s="860"/>
      <c r="G601" s="860"/>
      <c r="H601" s="860"/>
      <c r="I601" s="860"/>
      <c r="J601" s="860"/>
      <c r="K601" s="860"/>
      <c r="L601" s="860"/>
      <c r="M601" s="860"/>
      <c r="N601" s="860"/>
      <c r="O601" s="860"/>
      <c r="P601" s="860"/>
      <c r="Q601" s="860"/>
      <c r="R601" s="860"/>
      <c r="S601" s="860"/>
      <c r="T601" s="860"/>
      <c r="U601" s="860"/>
      <c r="V601" s="860"/>
      <c r="W601" s="860"/>
      <c r="X601" s="860"/>
      <c r="Y601" s="860"/>
      <c r="Z601" s="860"/>
      <c r="AA601" s="860"/>
      <c r="AB601" s="860"/>
      <c r="AC601" s="860"/>
      <c r="AD601" s="860"/>
      <c r="AE601" s="860"/>
      <c r="AF601" s="860"/>
      <c r="AG601" s="860"/>
      <c r="AH601" s="860"/>
      <c r="AJ601" s="836"/>
      <c r="AK601" s="836"/>
      <c r="AL601" s="836"/>
      <c r="AM601" s="836"/>
      <c r="AN601" s="836"/>
      <c r="AO601" s="836"/>
      <c r="AP601" s="836"/>
      <c r="AQ601" s="836"/>
      <c r="AR601" s="836"/>
      <c r="AS601" s="836"/>
      <c r="AT601" s="836"/>
      <c r="AU601" s="836"/>
      <c r="AV601" s="836"/>
      <c r="AW601" s="836"/>
      <c r="AX601" s="836"/>
      <c r="AY601" s="836"/>
      <c r="AZ601" s="836"/>
      <c r="BA601" s="836"/>
      <c r="BB601" s="836"/>
      <c r="BC601" s="836"/>
      <c r="BD601" s="836"/>
      <c r="BE601" s="836"/>
      <c r="BF601" s="836"/>
      <c r="BG601" s="836"/>
      <c r="BH601" s="836"/>
      <c r="BI601" s="836"/>
      <c r="BJ601" s="836"/>
      <c r="BK601" s="836"/>
      <c r="BL601" s="836"/>
      <c r="BM601" s="836"/>
      <c r="BN601" s="836"/>
      <c r="BO601" s="836"/>
      <c r="BP601" s="836"/>
      <c r="BR601" s="838"/>
      <c r="BS601" s="838"/>
      <c r="BT601" s="838"/>
      <c r="BU601" s="838"/>
      <c r="BV601" s="838"/>
      <c r="BW601" s="838"/>
      <c r="BX601" s="838"/>
      <c r="BY601" s="838"/>
      <c r="BZ601" s="838"/>
      <c r="CA601" s="838"/>
      <c r="CB601" s="838"/>
      <c r="CC601" s="838"/>
      <c r="CD601" s="838"/>
      <c r="CE601" s="838"/>
      <c r="CF601" s="838"/>
      <c r="CG601" s="838"/>
      <c r="CH601" s="838"/>
      <c r="CI601" s="838"/>
      <c r="CJ601" s="838"/>
      <c r="CK601" s="838"/>
      <c r="CL601" s="838"/>
      <c r="CM601" s="838"/>
      <c r="CN601" s="838"/>
      <c r="CO601" s="838"/>
      <c r="CP601" s="838"/>
      <c r="CQ601" s="838"/>
      <c r="CR601" s="838"/>
      <c r="CS601" s="838"/>
      <c r="CT601" s="838"/>
      <c r="CU601" s="838"/>
    </row>
    <row r="602">
      <c r="A602" s="860"/>
      <c r="B602" s="860"/>
      <c r="C602" s="860"/>
      <c r="D602" s="860"/>
      <c r="E602" s="860"/>
      <c r="F602" s="860"/>
      <c r="G602" s="860"/>
      <c r="H602" s="860"/>
      <c r="I602" s="860"/>
      <c r="J602" s="860"/>
      <c r="K602" s="860"/>
      <c r="L602" s="860"/>
      <c r="M602" s="860"/>
      <c r="N602" s="860"/>
      <c r="O602" s="860"/>
      <c r="P602" s="860"/>
      <c r="Q602" s="860"/>
      <c r="R602" s="860"/>
      <c r="S602" s="860"/>
      <c r="T602" s="860"/>
      <c r="U602" s="860"/>
      <c r="V602" s="860"/>
      <c r="W602" s="860"/>
      <c r="X602" s="860"/>
      <c r="Y602" s="860"/>
      <c r="Z602" s="860"/>
      <c r="AA602" s="860"/>
      <c r="AB602" s="860"/>
      <c r="AC602" s="860"/>
      <c r="AD602" s="860"/>
      <c r="AE602" s="860"/>
      <c r="AF602" s="860"/>
      <c r="AG602" s="860"/>
      <c r="AH602" s="860"/>
      <c r="AJ602" s="836"/>
      <c r="AK602" s="836"/>
      <c r="AL602" s="836"/>
      <c r="AM602" s="836"/>
      <c r="AN602" s="836"/>
      <c r="AO602" s="836"/>
      <c r="AP602" s="836"/>
      <c r="AQ602" s="836"/>
      <c r="AR602" s="836"/>
      <c r="AS602" s="836"/>
      <c r="AT602" s="836"/>
      <c r="AU602" s="836"/>
      <c r="AV602" s="836"/>
      <c r="AW602" s="836"/>
      <c r="AX602" s="836"/>
      <c r="AY602" s="836"/>
      <c r="AZ602" s="836"/>
      <c r="BA602" s="836"/>
      <c r="BB602" s="836"/>
      <c r="BC602" s="836"/>
      <c r="BD602" s="836"/>
      <c r="BE602" s="836"/>
      <c r="BF602" s="836"/>
      <c r="BG602" s="836"/>
      <c r="BH602" s="836"/>
      <c r="BI602" s="836"/>
      <c r="BJ602" s="836"/>
      <c r="BK602" s="836"/>
      <c r="BL602" s="836"/>
      <c r="BM602" s="836"/>
      <c r="BN602" s="836"/>
      <c r="BO602" s="836"/>
      <c r="BP602" s="836"/>
      <c r="BR602" s="838"/>
      <c r="BS602" s="838"/>
      <c r="BT602" s="838"/>
      <c r="BU602" s="838"/>
      <c r="BV602" s="838"/>
      <c r="BW602" s="838"/>
      <c r="BX602" s="838"/>
      <c r="BY602" s="838"/>
      <c r="BZ602" s="838"/>
      <c r="CA602" s="838"/>
      <c r="CB602" s="838"/>
      <c r="CC602" s="838"/>
      <c r="CD602" s="838"/>
      <c r="CE602" s="838"/>
      <c r="CF602" s="838"/>
      <c r="CG602" s="838"/>
      <c r="CH602" s="838"/>
      <c r="CI602" s="838"/>
      <c r="CJ602" s="838"/>
      <c r="CK602" s="838"/>
      <c r="CL602" s="838"/>
      <c r="CM602" s="838"/>
      <c r="CN602" s="838"/>
      <c r="CO602" s="838"/>
      <c r="CP602" s="838"/>
      <c r="CQ602" s="838"/>
      <c r="CR602" s="838"/>
      <c r="CS602" s="838"/>
      <c r="CT602" s="838"/>
      <c r="CU602" s="838"/>
    </row>
    <row r="603">
      <c r="A603" s="860"/>
      <c r="B603" s="860"/>
      <c r="C603" s="860"/>
      <c r="D603" s="860"/>
      <c r="E603" s="860"/>
      <c r="F603" s="860"/>
      <c r="G603" s="860"/>
      <c r="H603" s="860"/>
      <c r="I603" s="860"/>
      <c r="J603" s="860"/>
      <c r="K603" s="860"/>
      <c r="L603" s="860"/>
      <c r="M603" s="860"/>
      <c r="N603" s="860"/>
      <c r="O603" s="860"/>
      <c r="P603" s="860"/>
      <c r="Q603" s="860"/>
      <c r="R603" s="860"/>
      <c r="S603" s="860"/>
      <c r="T603" s="860"/>
      <c r="U603" s="860"/>
      <c r="V603" s="860"/>
      <c r="W603" s="860"/>
      <c r="X603" s="860"/>
      <c r="Y603" s="860"/>
      <c r="Z603" s="860"/>
      <c r="AA603" s="860"/>
      <c r="AB603" s="860"/>
      <c r="AC603" s="860"/>
      <c r="AD603" s="860"/>
      <c r="AE603" s="860"/>
      <c r="AF603" s="860"/>
      <c r="AG603" s="860"/>
      <c r="AH603" s="860"/>
      <c r="AJ603" s="836"/>
      <c r="AK603" s="836"/>
      <c r="AL603" s="836"/>
      <c r="AM603" s="836"/>
      <c r="AN603" s="836"/>
      <c r="AO603" s="836"/>
      <c r="AP603" s="836"/>
      <c r="AQ603" s="836"/>
      <c r="AR603" s="836"/>
      <c r="AS603" s="836"/>
      <c r="AT603" s="836"/>
      <c r="AU603" s="836"/>
      <c r="AV603" s="836"/>
      <c r="AW603" s="836"/>
      <c r="AX603" s="836"/>
      <c r="AY603" s="836"/>
      <c r="AZ603" s="836"/>
      <c r="BA603" s="836"/>
      <c r="BB603" s="836"/>
      <c r="BC603" s="836"/>
      <c r="BD603" s="836"/>
      <c r="BE603" s="836"/>
      <c r="BF603" s="836"/>
      <c r="BG603" s="836"/>
      <c r="BH603" s="836"/>
      <c r="BI603" s="836"/>
      <c r="BJ603" s="836"/>
      <c r="BK603" s="836"/>
      <c r="BL603" s="836"/>
      <c r="BM603" s="836"/>
      <c r="BN603" s="836"/>
      <c r="BO603" s="836"/>
      <c r="BP603" s="836"/>
      <c r="BR603" s="838"/>
      <c r="BS603" s="838"/>
      <c r="BT603" s="838"/>
      <c r="BU603" s="838"/>
      <c r="BV603" s="838"/>
      <c r="BW603" s="838"/>
      <c r="BX603" s="838"/>
      <c r="BY603" s="838"/>
      <c r="BZ603" s="838"/>
      <c r="CA603" s="838"/>
      <c r="CB603" s="838"/>
      <c r="CC603" s="838"/>
      <c r="CD603" s="838"/>
      <c r="CE603" s="838"/>
      <c r="CF603" s="838"/>
      <c r="CG603" s="838"/>
      <c r="CH603" s="838"/>
      <c r="CI603" s="838"/>
      <c r="CJ603" s="838"/>
      <c r="CK603" s="838"/>
      <c r="CL603" s="838"/>
      <c r="CM603" s="838"/>
      <c r="CN603" s="838"/>
      <c r="CO603" s="838"/>
      <c r="CP603" s="838"/>
      <c r="CQ603" s="838"/>
      <c r="CR603" s="838"/>
      <c r="CS603" s="838"/>
      <c r="CT603" s="838"/>
      <c r="CU603" s="838"/>
    </row>
    <row r="604">
      <c r="A604" s="860"/>
      <c r="B604" s="860"/>
      <c r="C604" s="860"/>
      <c r="D604" s="860"/>
      <c r="E604" s="860"/>
      <c r="F604" s="860"/>
      <c r="G604" s="860"/>
      <c r="H604" s="860"/>
      <c r="I604" s="860"/>
      <c r="J604" s="860"/>
      <c r="K604" s="860"/>
      <c r="L604" s="860"/>
      <c r="M604" s="860"/>
      <c r="N604" s="860"/>
      <c r="O604" s="860"/>
      <c r="P604" s="860"/>
      <c r="Q604" s="860"/>
      <c r="R604" s="860"/>
      <c r="S604" s="860"/>
      <c r="T604" s="860"/>
      <c r="U604" s="860"/>
      <c r="V604" s="860"/>
      <c r="W604" s="860"/>
      <c r="X604" s="860"/>
      <c r="Y604" s="860"/>
      <c r="Z604" s="860"/>
      <c r="AA604" s="860"/>
      <c r="AB604" s="860"/>
      <c r="AC604" s="860"/>
      <c r="AD604" s="860"/>
      <c r="AE604" s="860"/>
      <c r="AF604" s="860"/>
      <c r="AG604" s="860"/>
      <c r="AH604" s="860"/>
      <c r="AJ604" s="836"/>
      <c r="AK604" s="836"/>
      <c r="AL604" s="836"/>
      <c r="AM604" s="836"/>
      <c r="AN604" s="836"/>
      <c r="AO604" s="836"/>
      <c r="AP604" s="836"/>
      <c r="AQ604" s="836"/>
      <c r="AR604" s="836"/>
      <c r="AS604" s="836"/>
      <c r="AT604" s="836"/>
      <c r="AU604" s="836"/>
      <c r="AV604" s="836"/>
      <c r="AW604" s="836"/>
      <c r="AX604" s="836"/>
      <c r="AY604" s="836"/>
      <c r="AZ604" s="836"/>
      <c r="BA604" s="836"/>
      <c r="BB604" s="836"/>
      <c r="BC604" s="836"/>
      <c r="BD604" s="836"/>
      <c r="BE604" s="836"/>
      <c r="BF604" s="836"/>
      <c r="BG604" s="836"/>
      <c r="BH604" s="836"/>
      <c r="BI604" s="836"/>
      <c r="BJ604" s="836"/>
      <c r="BK604" s="836"/>
      <c r="BL604" s="836"/>
      <c r="BM604" s="836"/>
      <c r="BN604" s="836"/>
      <c r="BO604" s="836"/>
      <c r="BP604" s="836"/>
      <c r="BR604" s="838"/>
      <c r="BS604" s="838"/>
      <c r="BT604" s="838"/>
      <c r="BU604" s="838"/>
      <c r="BV604" s="838"/>
      <c r="BW604" s="838"/>
      <c r="BX604" s="838"/>
      <c r="BY604" s="838"/>
      <c r="BZ604" s="838"/>
      <c r="CA604" s="838"/>
      <c r="CB604" s="838"/>
      <c r="CC604" s="838"/>
      <c r="CD604" s="838"/>
      <c r="CE604" s="838"/>
      <c r="CF604" s="838"/>
      <c r="CG604" s="838"/>
      <c r="CH604" s="838"/>
      <c r="CI604" s="838"/>
      <c r="CJ604" s="838"/>
      <c r="CK604" s="838"/>
      <c r="CL604" s="838"/>
      <c r="CM604" s="838"/>
      <c r="CN604" s="838"/>
      <c r="CO604" s="838"/>
      <c r="CP604" s="838"/>
      <c r="CQ604" s="838"/>
      <c r="CR604" s="838"/>
      <c r="CS604" s="838"/>
      <c r="CT604" s="838"/>
      <c r="CU604" s="838"/>
    </row>
    <row r="605">
      <c r="A605" s="860"/>
      <c r="B605" s="860"/>
      <c r="C605" s="860"/>
      <c r="D605" s="860"/>
      <c r="E605" s="860"/>
      <c r="F605" s="860"/>
      <c r="G605" s="860"/>
      <c r="H605" s="860"/>
      <c r="I605" s="860"/>
      <c r="J605" s="860"/>
      <c r="K605" s="860"/>
      <c r="L605" s="860"/>
      <c r="M605" s="860"/>
      <c r="N605" s="860"/>
      <c r="O605" s="860"/>
      <c r="P605" s="860"/>
      <c r="Q605" s="860"/>
      <c r="R605" s="860"/>
      <c r="S605" s="860"/>
      <c r="T605" s="860"/>
      <c r="U605" s="860"/>
      <c r="V605" s="860"/>
      <c r="W605" s="860"/>
      <c r="X605" s="860"/>
      <c r="Y605" s="860"/>
      <c r="Z605" s="860"/>
      <c r="AA605" s="860"/>
      <c r="AB605" s="860"/>
      <c r="AC605" s="860"/>
      <c r="AD605" s="860"/>
      <c r="AE605" s="860"/>
      <c r="AF605" s="860"/>
      <c r="AG605" s="860"/>
      <c r="AH605" s="860"/>
      <c r="AJ605" s="836"/>
      <c r="AK605" s="836"/>
      <c r="AL605" s="836"/>
      <c r="AM605" s="836"/>
      <c r="AN605" s="836"/>
      <c r="AO605" s="836"/>
      <c r="AP605" s="836"/>
      <c r="AQ605" s="836"/>
      <c r="AR605" s="836"/>
      <c r="AS605" s="836"/>
      <c r="AT605" s="836"/>
      <c r="AU605" s="836"/>
      <c r="AV605" s="836"/>
      <c r="AW605" s="836"/>
      <c r="AX605" s="836"/>
      <c r="AY605" s="836"/>
      <c r="AZ605" s="836"/>
      <c r="BA605" s="836"/>
      <c r="BB605" s="836"/>
      <c r="BC605" s="836"/>
      <c r="BD605" s="836"/>
      <c r="BE605" s="836"/>
      <c r="BF605" s="836"/>
      <c r="BG605" s="836"/>
      <c r="BH605" s="836"/>
      <c r="BI605" s="836"/>
      <c r="BJ605" s="836"/>
      <c r="BK605" s="836"/>
      <c r="BL605" s="836"/>
      <c r="BM605" s="836"/>
      <c r="BN605" s="836"/>
      <c r="BO605" s="836"/>
      <c r="BP605" s="836"/>
      <c r="BR605" s="838"/>
      <c r="BS605" s="838"/>
      <c r="BT605" s="838"/>
      <c r="BU605" s="838"/>
      <c r="BV605" s="838"/>
      <c r="BW605" s="838"/>
      <c r="BX605" s="838"/>
      <c r="BY605" s="838"/>
      <c r="BZ605" s="838"/>
      <c r="CA605" s="838"/>
      <c r="CB605" s="838"/>
      <c r="CC605" s="838"/>
      <c r="CD605" s="838"/>
      <c r="CE605" s="838"/>
      <c r="CF605" s="838"/>
      <c r="CG605" s="838"/>
      <c r="CH605" s="838"/>
      <c r="CI605" s="838"/>
      <c r="CJ605" s="838"/>
      <c r="CK605" s="838"/>
      <c r="CL605" s="838"/>
      <c r="CM605" s="838"/>
      <c r="CN605" s="838"/>
      <c r="CO605" s="838"/>
      <c r="CP605" s="838"/>
      <c r="CQ605" s="838"/>
      <c r="CR605" s="838"/>
      <c r="CS605" s="838"/>
      <c r="CT605" s="838"/>
      <c r="CU605" s="838"/>
    </row>
    <row r="606">
      <c r="A606" s="860"/>
      <c r="B606" s="860"/>
      <c r="C606" s="860"/>
      <c r="D606" s="860"/>
      <c r="E606" s="860"/>
      <c r="F606" s="860"/>
      <c r="G606" s="860"/>
      <c r="H606" s="860"/>
      <c r="I606" s="860"/>
      <c r="J606" s="860"/>
      <c r="K606" s="860"/>
      <c r="L606" s="860"/>
      <c r="M606" s="860"/>
      <c r="N606" s="860"/>
      <c r="O606" s="860"/>
      <c r="P606" s="860"/>
      <c r="Q606" s="860"/>
      <c r="R606" s="860"/>
      <c r="S606" s="860"/>
      <c r="T606" s="860"/>
      <c r="U606" s="860"/>
      <c r="V606" s="860"/>
      <c r="W606" s="860"/>
      <c r="X606" s="860"/>
      <c r="Y606" s="860"/>
      <c r="Z606" s="860"/>
      <c r="AA606" s="860"/>
      <c r="AB606" s="860"/>
      <c r="AC606" s="860"/>
      <c r="AD606" s="860"/>
      <c r="AE606" s="860"/>
      <c r="AF606" s="860"/>
      <c r="AG606" s="860"/>
      <c r="AH606" s="860"/>
      <c r="AJ606" s="836"/>
      <c r="AK606" s="836"/>
      <c r="AL606" s="836"/>
      <c r="AM606" s="836"/>
      <c r="AN606" s="836"/>
      <c r="AO606" s="836"/>
      <c r="AP606" s="836"/>
      <c r="AQ606" s="836"/>
      <c r="AR606" s="836"/>
      <c r="AS606" s="836"/>
      <c r="AT606" s="836"/>
      <c r="AU606" s="836"/>
      <c r="AV606" s="836"/>
      <c r="AW606" s="836"/>
      <c r="AX606" s="836"/>
      <c r="AY606" s="836"/>
      <c r="AZ606" s="836"/>
      <c r="BA606" s="836"/>
      <c r="BB606" s="836"/>
      <c r="BC606" s="836"/>
      <c r="BD606" s="836"/>
      <c r="BE606" s="836"/>
      <c r="BF606" s="836"/>
      <c r="BG606" s="836"/>
      <c r="BH606" s="836"/>
      <c r="BI606" s="836"/>
      <c r="BJ606" s="836"/>
      <c r="BK606" s="836"/>
      <c r="BL606" s="836"/>
      <c r="BM606" s="836"/>
      <c r="BN606" s="836"/>
      <c r="BO606" s="836"/>
      <c r="BP606" s="836"/>
      <c r="BR606" s="838"/>
      <c r="BS606" s="838"/>
      <c r="BT606" s="838"/>
      <c r="BU606" s="838"/>
      <c r="BV606" s="838"/>
      <c r="BW606" s="838"/>
      <c r="BX606" s="838"/>
      <c r="BY606" s="838"/>
      <c r="BZ606" s="838"/>
      <c r="CA606" s="838"/>
      <c r="CB606" s="838"/>
      <c r="CC606" s="838"/>
      <c r="CD606" s="838"/>
      <c r="CE606" s="838"/>
      <c r="CF606" s="838"/>
      <c r="CG606" s="838"/>
      <c r="CH606" s="838"/>
      <c r="CI606" s="838"/>
      <c r="CJ606" s="838"/>
      <c r="CK606" s="838"/>
      <c r="CL606" s="838"/>
      <c r="CM606" s="838"/>
      <c r="CN606" s="838"/>
      <c r="CO606" s="838"/>
      <c r="CP606" s="838"/>
      <c r="CQ606" s="838"/>
      <c r="CR606" s="838"/>
      <c r="CS606" s="838"/>
      <c r="CT606" s="838"/>
      <c r="CU606" s="838"/>
    </row>
    <row r="607">
      <c r="A607" s="860"/>
      <c r="B607" s="860"/>
      <c r="C607" s="860"/>
      <c r="D607" s="860"/>
      <c r="E607" s="860"/>
      <c r="F607" s="860"/>
      <c r="G607" s="860"/>
      <c r="H607" s="860"/>
      <c r="I607" s="860"/>
      <c r="J607" s="860"/>
      <c r="K607" s="860"/>
      <c r="L607" s="860"/>
      <c r="M607" s="860"/>
      <c r="N607" s="860"/>
      <c r="O607" s="860"/>
      <c r="P607" s="860"/>
      <c r="Q607" s="860"/>
      <c r="R607" s="860"/>
      <c r="S607" s="860"/>
      <c r="T607" s="860"/>
      <c r="U607" s="860"/>
      <c r="V607" s="860"/>
      <c r="W607" s="860"/>
      <c r="X607" s="860"/>
      <c r="Y607" s="860"/>
      <c r="Z607" s="860"/>
      <c r="AA607" s="860"/>
      <c r="AB607" s="860"/>
      <c r="AC607" s="860"/>
      <c r="AD607" s="860"/>
      <c r="AE607" s="860"/>
      <c r="AF607" s="860"/>
      <c r="AG607" s="860"/>
      <c r="AH607" s="860"/>
      <c r="AJ607" s="836"/>
      <c r="AK607" s="836"/>
      <c r="AL607" s="836"/>
      <c r="AM607" s="836"/>
      <c r="AN607" s="836"/>
      <c r="AO607" s="836"/>
      <c r="AP607" s="836"/>
      <c r="AQ607" s="836"/>
      <c r="AR607" s="836"/>
      <c r="AS607" s="836"/>
      <c r="AT607" s="836"/>
      <c r="AU607" s="836"/>
      <c r="AV607" s="836"/>
      <c r="AW607" s="836"/>
      <c r="AX607" s="836"/>
      <c r="AY607" s="836"/>
      <c r="AZ607" s="836"/>
      <c r="BA607" s="836"/>
      <c r="BB607" s="836"/>
      <c r="BC607" s="836"/>
      <c r="BD607" s="836"/>
      <c r="BE607" s="836"/>
      <c r="BF607" s="836"/>
      <c r="BG607" s="836"/>
      <c r="BH607" s="836"/>
      <c r="BI607" s="836"/>
      <c r="BJ607" s="836"/>
      <c r="BK607" s="836"/>
      <c r="BL607" s="836"/>
      <c r="BM607" s="836"/>
      <c r="BN607" s="836"/>
      <c r="BO607" s="836"/>
      <c r="BP607" s="836"/>
      <c r="BR607" s="838"/>
      <c r="BS607" s="838"/>
      <c r="BT607" s="838"/>
      <c r="BU607" s="838"/>
      <c r="BV607" s="838"/>
      <c r="BW607" s="838"/>
      <c r="BX607" s="838"/>
      <c r="BY607" s="838"/>
      <c r="BZ607" s="838"/>
      <c r="CA607" s="838"/>
      <c r="CB607" s="838"/>
      <c r="CC607" s="838"/>
      <c r="CD607" s="838"/>
      <c r="CE607" s="838"/>
      <c r="CF607" s="838"/>
      <c r="CG607" s="838"/>
      <c r="CH607" s="838"/>
      <c r="CI607" s="838"/>
      <c r="CJ607" s="838"/>
      <c r="CK607" s="838"/>
      <c r="CL607" s="838"/>
      <c r="CM607" s="838"/>
      <c r="CN607" s="838"/>
      <c r="CO607" s="838"/>
      <c r="CP607" s="838"/>
      <c r="CQ607" s="838"/>
      <c r="CR607" s="838"/>
      <c r="CS607" s="838"/>
      <c r="CT607" s="838"/>
      <c r="CU607" s="838"/>
    </row>
    <row r="608">
      <c r="A608" s="860"/>
      <c r="B608" s="860"/>
      <c r="C608" s="860"/>
      <c r="D608" s="860"/>
      <c r="E608" s="860"/>
      <c r="F608" s="860"/>
      <c r="G608" s="860"/>
      <c r="H608" s="860"/>
      <c r="I608" s="860"/>
      <c r="J608" s="860"/>
      <c r="K608" s="860"/>
      <c r="L608" s="860"/>
      <c r="M608" s="860"/>
      <c r="N608" s="860"/>
      <c r="O608" s="860"/>
      <c r="P608" s="860"/>
      <c r="Q608" s="860"/>
      <c r="R608" s="860"/>
      <c r="S608" s="860"/>
      <c r="T608" s="860"/>
      <c r="U608" s="860"/>
      <c r="V608" s="860"/>
      <c r="W608" s="860"/>
      <c r="X608" s="860"/>
      <c r="Y608" s="860"/>
      <c r="Z608" s="860"/>
      <c r="AA608" s="860"/>
      <c r="AB608" s="860"/>
      <c r="AC608" s="860"/>
      <c r="AD608" s="860"/>
      <c r="AE608" s="860"/>
      <c r="AF608" s="860"/>
      <c r="AG608" s="860"/>
      <c r="AH608" s="860"/>
      <c r="AJ608" s="836"/>
      <c r="AK608" s="836"/>
      <c r="AL608" s="836"/>
      <c r="AM608" s="836"/>
      <c r="AN608" s="836"/>
      <c r="AO608" s="836"/>
      <c r="AP608" s="836"/>
      <c r="AQ608" s="836"/>
      <c r="AR608" s="836"/>
      <c r="AS608" s="836"/>
      <c r="AT608" s="836"/>
      <c r="AU608" s="836"/>
      <c r="AV608" s="836"/>
      <c r="AW608" s="836"/>
      <c r="AX608" s="836"/>
      <c r="AY608" s="836"/>
      <c r="AZ608" s="836"/>
      <c r="BA608" s="836"/>
      <c r="BB608" s="836"/>
      <c r="BC608" s="836"/>
      <c r="BD608" s="836"/>
      <c r="BE608" s="836"/>
      <c r="BF608" s="836"/>
      <c r="BG608" s="836"/>
      <c r="BH608" s="836"/>
      <c r="BI608" s="836"/>
      <c r="BJ608" s="836"/>
      <c r="BK608" s="836"/>
      <c r="BL608" s="836"/>
      <c r="BM608" s="836"/>
      <c r="BN608" s="836"/>
      <c r="BO608" s="836"/>
      <c r="BP608" s="836"/>
      <c r="BR608" s="838"/>
      <c r="BS608" s="838"/>
      <c r="BT608" s="838"/>
      <c r="BU608" s="838"/>
      <c r="BV608" s="838"/>
      <c r="BW608" s="838"/>
      <c r="BX608" s="838"/>
      <c r="BY608" s="838"/>
      <c r="BZ608" s="838"/>
      <c r="CA608" s="838"/>
      <c r="CB608" s="838"/>
      <c r="CC608" s="838"/>
      <c r="CD608" s="838"/>
      <c r="CE608" s="838"/>
      <c r="CF608" s="838"/>
      <c r="CG608" s="838"/>
      <c r="CH608" s="838"/>
      <c r="CI608" s="838"/>
      <c r="CJ608" s="838"/>
      <c r="CK608" s="838"/>
      <c r="CL608" s="838"/>
      <c r="CM608" s="838"/>
      <c r="CN608" s="838"/>
      <c r="CO608" s="838"/>
      <c r="CP608" s="838"/>
      <c r="CQ608" s="838"/>
      <c r="CR608" s="838"/>
      <c r="CS608" s="838"/>
      <c r="CT608" s="838"/>
      <c r="CU608" s="838"/>
    </row>
    <row r="609">
      <c r="A609" s="860"/>
      <c r="B609" s="860"/>
      <c r="C609" s="860"/>
      <c r="D609" s="860"/>
      <c r="E609" s="860"/>
      <c r="F609" s="860"/>
      <c r="G609" s="860"/>
      <c r="H609" s="860"/>
      <c r="I609" s="860"/>
      <c r="J609" s="860"/>
      <c r="K609" s="860"/>
      <c r="L609" s="860"/>
      <c r="M609" s="860"/>
      <c r="N609" s="860"/>
      <c r="O609" s="860"/>
      <c r="P609" s="860"/>
      <c r="Q609" s="860"/>
      <c r="R609" s="860"/>
      <c r="S609" s="860"/>
      <c r="T609" s="860"/>
      <c r="U609" s="860"/>
      <c r="V609" s="860"/>
      <c r="W609" s="860"/>
      <c r="X609" s="860"/>
      <c r="Y609" s="860"/>
      <c r="Z609" s="860"/>
      <c r="AA609" s="860"/>
      <c r="AB609" s="860"/>
      <c r="AC609" s="860"/>
      <c r="AD609" s="860"/>
      <c r="AE609" s="860"/>
      <c r="AF609" s="860"/>
      <c r="AG609" s="860"/>
      <c r="AH609" s="860"/>
      <c r="AJ609" s="836"/>
      <c r="AK609" s="836"/>
      <c r="AL609" s="836"/>
      <c r="AM609" s="836"/>
      <c r="AN609" s="836"/>
      <c r="AO609" s="836"/>
      <c r="AP609" s="836"/>
      <c r="AQ609" s="836"/>
      <c r="AR609" s="836"/>
      <c r="AS609" s="836"/>
      <c r="AT609" s="836"/>
      <c r="AU609" s="836"/>
      <c r="AV609" s="836"/>
      <c r="AW609" s="836"/>
      <c r="AX609" s="836"/>
      <c r="AY609" s="836"/>
      <c r="AZ609" s="836"/>
      <c r="BA609" s="836"/>
      <c r="BB609" s="836"/>
      <c r="BC609" s="836"/>
      <c r="BD609" s="836"/>
      <c r="BE609" s="836"/>
      <c r="BF609" s="836"/>
      <c r="BG609" s="836"/>
      <c r="BH609" s="836"/>
      <c r="BI609" s="836"/>
      <c r="BJ609" s="836"/>
      <c r="BK609" s="836"/>
      <c r="BL609" s="836"/>
      <c r="BM609" s="836"/>
      <c r="BN609" s="836"/>
      <c r="BO609" s="836"/>
      <c r="BP609" s="836"/>
      <c r="BR609" s="838"/>
      <c r="BS609" s="838"/>
      <c r="BT609" s="838"/>
      <c r="BU609" s="838"/>
      <c r="BV609" s="838"/>
      <c r="BW609" s="838"/>
      <c r="BX609" s="838"/>
      <c r="BY609" s="838"/>
      <c r="BZ609" s="838"/>
      <c r="CA609" s="838"/>
      <c r="CB609" s="838"/>
      <c r="CC609" s="838"/>
      <c r="CD609" s="838"/>
      <c r="CE609" s="838"/>
      <c r="CF609" s="838"/>
      <c r="CG609" s="838"/>
      <c r="CH609" s="838"/>
      <c r="CI609" s="838"/>
      <c r="CJ609" s="838"/>
      <c r="CK609" s="838"/>
      <c r="CL609" s="838"/>
      <c r="CM609" s="838"/>
      <c r="CN609" s="838"/>
      <c r="CO609" s="838"/>
      <c r="CP609" s="838"/>
      <c r="CQ609" s="838"/>
      <c r="CR609" s="838"/>
      <c r="CS609" s="838"/>
      <c r="CT609" s="838"/>
      <c r="CU609" s="838"/>
    </row>
    <row r="610">
      <c r="A610" s="860"/>
      <c r="B610" s="860"/>
      <c r="C610" s="860"/>
      <c r="D610" s="860"/>
      <c r="E610" s="860"/>
      <c r="F610" s="860"/>
      <c r="G610" s="860"/>
      <c r="H610" s="860"/>
      <c r="I610" s="860"/>
      <c r="J610" s="860"/>
      <c r="K610" s="860"/>
      <c r="L610" s="860"/>
      <c r="M610" s="860"/>
      <c r="N610" s="860"/>
      <c r="O610" s="860"/>
      <c r="P610" s="860"/>
      <c r="Q610" s="860"/>
      <c r="R610" s="860"/>
      <c r="S610" s="860"/>
      <c r="T610" s="860"/>
      <c r="U610" s="860"/>
      <c r="V610" s="860"/>
      <c r="W610" s="860"/>
      <c r="X610" s="860"/>
      <c r="Y610" s="860"/>
      <c r="Z610" s="860"/>
      <c r="AA610" s="860"/>
      <c r="AB610" s="860"/>
      <c r="AC610" s="860"/>
      <c r="AD610" s="860"/>
      <c r="AE610" s="860"/>
      <c r="AF610" s="860"/>
      <c r="AG610" s="860"/>
      <c r="AH610" s="860"/>
      <c r="AJ610" s="836"/>
      <c r="AK610" s="836"/>
      <c r="AL610" s="836"/>
      <c r="AM610" s="836"/>
      <c r="AN610" s="836"/>
      <c r="AO610" s="836"/>
      <c r="AP610" s="836"/>
      <c r="AQ610" s="836"/>
      <c r="AR610" s="836"/>
      <c r="AS610" s="836"/>
      <c r="AT610" s="836"/>
      <c r="AU610" s="836"/>
      <c r="AV610" s="836"/>
      <c r="AW610" s="836"/>
      <c r="AX610" s="836"/>
      <c r="AY610" s="836"/>
      <c r="AZ610" s="836"/>
      <c r="BA610" s="836"/>
      <c r="BB610" s="836"/>
      <c r="BC610" s="836"/>
      <c r="BD610" s="836"/>
      <c r="BE610" s="836"/>
      <c r="BF610" s="836"/>
      <c r="BG610" s="836"/>
      <c r="BH610" s="836"/>
      <c r="BI610" s="836"/>
      <c r="BJ610" s="836"/>
      <c r="BK610" s="836"/>
      <c r="BL610" s="836"/>
      <c r="BM610" s="836"/>
      <c r="BN610" s="836"/>
      <c r="BO610" s="836"/>
      <c r="BP610" s="836"/>
      <c r="BR610" s="838"/>
      <c r="BS610" s="838"/>
      <c r="BT610" s="838"/>
      <c r="BU610" s="838"/>
      <c r="BV610" s="838"/>
      <c r="BW610" s="838"/>
      <c r="BX610" s="838"/>
      <c r="BY610" s="838"/>
      <c r="BZ610" s="838"/>
      <c r="CA610" s="838"/>
      <c r="CB610" s="838"/>
      <c r="CC610" s="838"/>
      <c r="CD610" s="838"/>
      <c r="CE610" s="838"/>
      <c r="CF610" s="838"/>
      <c r="CG610" s="838"/>
      <c r="CH610" s="838"/>
      <c r="CI610" s="838"/>
      <c r="CJ610" s="838"/>
      <c r="CK610" s="838"/>
      <c r="CL610" s="838"/>
      <c r="CM610" s="838"/>
      <c r="CN610" s="838"/>
      <c r="CO610" s="838"/>
      <c r="CP610" s="838"/>
      <c r="CQ610" s="838"/>
      <c r="CR610" s="838"/>
      <c r="CS610" s="838"/>
      <c r="CT610" s="838"/>
      <c r="CU610" s="838"/>
    </row>
    <row r="611">
      <c r="A611" s="860"/>
      <c r="B611" s="860"/>
      <c r="C611" s="860"/>
      <c r="D611" s="860"/>
      <c r="E611" s="860"/>
      <c r="F611" s="860"/>
      <c r="G611" s="860"/>
      <c r="H611" s="860"/>
      <c r="I611" s="860"/>
      <c r="J611" s="860"/>
      <c r="K611" s="860"/>
      <c r="L611" s="860"/>
      <c r="M611" s="860"/>
      <c r="N611" s="860"/>
      <c r="O611" s="860"/>
      <c r="P611" s="860"/>
      <c r="Q611" s="860"/>
      <c r="R611" s="860"/>
      <c r="S611" s="860"/>
      <c r="T611" s="860"/>
      <c r="U611" s="860"/>
      <c r="V611" s="860"/>
      <c r="W611" s="860"/>
      <c r="X611" s="860"/>
      <c r="Y611" s="860"/>
      <c r="Z611" s="860"/>
      <c r="AA611" s="860"/>
      <c r="AB611" s="860"/>
      <c r="AC611" s="860"/>
      <c r="AD611" s="860"/>
      <c r="AE611" s="860"/>
      <c r="AF611" s="860"/>
      <c r="AG611" s="860"/>
      <c r="AH611" s="860"/>
      <c r="AJ611" s="836"/>
      <c r="AK611" s="836"/>
      <c r="AL611" s="836"/>
      <c r="AM611" s="836"/>
      <c r="AN611" s="836"/>
      <c r="AO611" s="836"/>
      <c r="AP611" s="836"/>
      <c r="AQ611" s="836"/>
      <c r="AR611" s="836"/>
      <c r="AS611" s="836"/>
      <c r="AT611" s="836"/>
      <c r="AU611" s="836"/>
      <c r="AV611" s="836"/>
      <c r="AW611" s="836"/>
      <c r="AX611" s="836"/>
      <c r="AY611" s="836"/>
      <c r="AZ611" s="836"/>
      <c r="BA611" s="836"/>
      <c r="BB611" s="836"/>
      <c r="BC611" s="836"/>
      <c r="BD611" s="836"/>
      <c r="BE611" s="836"/>
      <c r="BF611" s="836"/>
      <c r="BG611" s="836"/>
      <c r="BH611" s="836"/>
      <c r="BI611" s="836"/>
      <c r="BJ611" s="836"/>
      <c r="BK611" s="836"/>
      <c r="BL611" s="836"/>
      <c r="BM611" s="836"/>
      <c r="BN611" s="836"/>
      <c r="BO611" s="836"/>
      <c r="BP611" s="836"/>
      <c r="BR611" s="838"/>
      <c r="BS611" s="838"/>
      <c r="BT611" s="838"/>
      <c r="BU611" s="838"/>
      <c r="BV611" s="838"/>
      <c r="BW611" s="838"/>
      <c r="BX611" s="838"/>
      <c r="BY611" s="838"/>
      <c r="BZ611" s="838"/>
      <c r="CA611" s="838"/>
      <c r="CB611" s="838"/>
      <c r="CC611" s="838"/>
      <c r="CD611" s="838"/>
      <c r="CE611" s="838"/>
      <c r="CF611" s="838"/>
      <c r="CG611" s="838"/>
      <c r="CH611" s="838"/>
      <c r="CI611" s="838"/>
      <c r="CJ611" s="838"/>
      <c r="CK611" s="838"/>
      <c r="CL611" s="838"/>
      <c r="CM611" s="838"/>
      <c r="CN611" s="838"/>
      <c r="CO611" s="838"/>
      <c r="CP611" s="838"/>
      <c r="CQ611" s="838"/>
      <c r="CR611" s="838"/>
      <c r="CS611" s="838"/>
      <c r="CT611" s="838"/>
      <c r="CU611" s="838"/>
    </row>
    <row r="612">
      <c r="A612" s="860"/>
      <c r="B612" s="860"/>
      <c r="C612" s="860"/>
      <c r="D612" s="860"/>
      <c r="E612" s="860"/>
      <c r="F612" s="860"/>
      <c r="G612" s="860"/>
      <c r="H612" s="860"/>
      <c r="I612" s="860"/>
      <c r="J612" s="860"/>
      <c r="K612" s="860"/>
      <c r="L612" s="860"/>
      <c r="M612" s="860"/>
      <c r="N612" s="860"/>
      <c r="O612" s="860"/>
      <c r="P612" s="860"/>
      <c r="Q612" s="860"/>
      <c r="R612" s="860"/>
      <c r="S612" s="860"/>
      <c r="T612" s="860"/>
      <c r="U612" s="860"/>
      <c r="V612" s="860"/>
      <c r="W612" s="860"/>
      <c r="X612" s="860"/>
      <c r="Y612" s="860"/>
      <c r="Z612" s="860"/>
      <c r="AA612" s="860"/>
      <c r="AB612" s="860"/>
      <c r="AC612" s="860"/>
      <c r="AD612" s="860"/>
      <c r="AE612" s="860"/>
      <c r="AF612" s="860"/>
      <c r="AG612" s="860"/>
      <c r="AH612" s="860"/>
      <c r="AJ612" s="836"/>
      <c r="AK612" s="836"/>
      <c r="AL612" s="836"/>
      <c r="AM612" s="836"/>
      <c r="AN612" s="836"/>
      <c r="AO612" s="836"/>
      <c r="AP612" s="836"/>
      <c r="AQ612" s="836"/>
      <c r="AR612" s="836"/>
      <c r="AS612" s="836"/>
      <c r="AT612" s="836"/>
      <c r="AU612" s="836"/>
      <c r="AV612" s="836"/>
      <c r="AW612" s="836"/>
      <c r="AX612" s="836"/>
      <c r="AY612" s="836"/>
      <c r="AZ612" s="836"/>
      <c r="BA612" s="836"/>
      <c r="BB612" s="836"/>
      <c r="BC612" s="836"/>
      <c r="BD612" s="836"/>
      <c r="BE612" s="836"/>
      <c r="BF612" s="836"/>
      <c r="BG612" s="836"/>
      <c r="BH612" s="836"/>
      <c r="BI612" s="836"/>
      <c r="BJ612" s="836"/>
      <c r="BK612" s="836"/>
      <c r="BL612" s="836"/>
      <c r="BM612" s="836"/>
      <c r="BN612" s="836"/>
      <c r="BO612" s="836"/>
      <c r="BP612" s="836"/>
      <c r="BR612" s="838"/>
      <c r="BS612" s="838"/>
      <c r="BT612" s="838"/>
      <c r="BU612" s="838"/>
      <c r="BV612" s="838"/>
      <c r="BW612" s="838"/>
      <c r="BX612" s="838"/>
      <c r="BY612" s="838"/>
      <c r="BZ612" s="838"/>
      <c r="CA612" s="838"/>
      <c r="CB612" s="838"/>
      <c r="CC612" s="838"/>
      <c r="CD612" s="838"/>
      <c r="CE612" s="838"/>
      <c r="CF612" s="838"/>
      <c r="CG612" s="838"/>
      <c r="CH612" s="838"/>
      <c r="CI612" s="838"/>
      <c r="CJ612" s="838"/>
      <c r="CK612" s="838"/>
      <c r="CL612" s="838"/>
      <c r="CM612" s="838"/>
      <c r="CN612" s="838"/>
      <c r="CO612" s="838"/>
      <c r="CP612" s="838"/>
      <c r="CQ612" s="838"/>
      <c r="CR612" s="838"/>
      <c r="CS612" s="838"/>
      <c r="CT612" s="838"/>
      <c r="CU612" s="838"/>
    </row>
    <row r="613">
      <c r="A613" s="860"/>
      <c r="B613" s="860"/>
      <c r="C613" s="860"/>
      <c r="D613" s="860"/>
      <c r="E613" s="860"/>
      <c r="F613" s="860"/>
      <c r="G613" s="860"/>
      <c r="H613" s="860"/>
      <c r="I613" s="860"/>
      <c r="J613" s="860"/>
      <c r="K613" s="860"/>
      <c r="L613" s="860"/>
      <c r="M613" s="860"/>
      <c r="N613" s="860"/>
      <c r="O613" s="860"/>
      <c r="P613" s="860"/>
      <c r="Q613" s="860"/>
      <c r="R613" s="860"/>
      <c r="S613" s="860"/>
      <c r="T613" s="860"/>
      <c r="U613" s="860"/>
      <c r="V613" s="860"/>
      <c r="W613" s="860"/>
      <c r="X613" s="860"/>
      <c r="Y613" s="860"/>
      <c r="Z613" s="860"/>
      <c r="AA613" s="860"/>
      <c r="AB613" s="860"/>
      <c r="AC613" s="860"/>
      <c r="AD613" s="860"/>
      <c r="AE613" s="860"/>
      <c r="AF613" s="860"/>
      <c r="AG613" s="860"/>
      <c r="AH613" s="860"/>
      <c r="AJ613" s="836"/>
      <c r="AK613" s="836"/>
      <c r="AL613" s="836"/>
      <c r="AM613" s="836"/>
      <c r="AN613" s="836"/>
      <c r="AO613" s="836"/>
      <c r="AP613" s="836"/>
      <c r="AQ613" s="836"/>
      <c r="AR613" s="836"/>
      <c r="AS613" s="836"/>
      <c r="AT613" s="836"/>
      <c r="AU613" s="836"/>
      <c r="AV613" s="836"/>
      <c r="AW613" s="836"/>
      <c r="AX613" s="836"/>
      <c r="AY613" s="836"/>
      <c r="AZ613" s="836"/>
      <c r="BA613" s="836"/>
      <c r="BB613" s="836"/>
      <c r="BC613" s="836"/>
      <c r="BD613" s="836"/>
      <c r="BE613" s="836"/>
      <c r="BF613" s="836"/>
      <c r="BG613" s="836"/>
      <c r="BH613" s="836"/>
      <c r="BI613" s="836"/>
      <c r="BJ613" s="836"/>
      <c r="BK613" s="836"/>
      <c r="BL613" s="836"/>
      <c r="BM613" s="836"/>
      <c r="BN613" s="836"/>
      <c r="BO613" s="836"/>
      <c r="BP613" s="836"/>
      <c r="BR613" s="838"/>
      <c r="BS613" s="838"/>
      <c r="BT613" s="838"/>
      <c r="BU613" s="838"/>
      <c r="BV613" s="838"/>
      <c r="BW613" s="838"/>
      <c r="BX613" s="838"/>
      <c r="BY613" s="838"/>
      <c r="BZ613" s="838"/>
      <c r="CA613" s="838"/>
      <c r="CB613" s="838"/>
      <c r="CC613" s="838"/>
      <c r="CD613" s="838"/>
      <c r="CE613" s="838"/>
      <c r="CF613" s="838"/>
      <c r="CG613" s="838"/>
      <c r="CH613" s="838"/>
      <c r="CI613" s="838"/>
      <c r="CJ613" s="838"/>
      <c r="CK613" s="838"/>
      <c r="CL613" s="838"/>
      <c r="CM613" s="838"/>
      <c r="CN613" s="838"/>
      <c r="CO613" s="838"/>
      <c r="CP613" s="838"/>
      <c r="CQ613" s="838"/>
      <c r="CR613" s="838"/>
      <c r="CS613" s="838"/>
      <c r="CT613" s="838"/>
      <c r="CU613" s="838"/>
    </row>
    <row r="614">
      <c r="A614" s="860"/>
      <c r="B614" s="860"/>
      <c r="C614" s="860"/>
      <c r="D614" s="860"/>
      <c r="E614" s="860"/>
      <c r="F614" s="860"/>
      <c r="G614" s="860"/>
      <c r="H614" s="860"/>
      <c r="I614" s="860"/>
      <c r="J614" s="860"/>
      <c r="K614" s="860"/>
      <c r="L614" s="860"/>
      <c r="M614" s="860"/>
      <c r="N614" s="860"/>
      <c r="O614" s="860"/>
      <c r="P614" s="860"/>
      <c r="Q614" s="860"/>
      <c r="R614" s="860"/>
      <c r="S614" s="860"/>
      <c r="T614" s="860"/>
      <c r="U614" s="860"/>
      <c r="V614" s="860"/>
      <c r="W614" s="860"/>
      <c r="X614" s="860"/>
      <c r="Y614" s="860"/>
      <c r="Z614" s="860"/>
      <c r="AA614" s="860"/>
      <c r="AB614" s="860"/>
      <c r="AC614" s="860"/>
      <c r="AD614" s="860"/>
      <c r="AE614" s="860"/>
      <c r="AF614" s="860"/>
      <c r="AG614" s="860"/>
      <c r="AH614" s="860"/>
      <c r="AJ614" s="836"/>
      <c r="AK614" s="836"/>
      <c r="AL614" s="836"/>
      <c r="AM614" s="836"/>
      <c r="AN614" s="836"/>
      <c r="AO614" s="836"/>
      <c r="AP614" s="836"/>
      <c r="AQ614" s="836"/>
      <c r="AR614" s="836"/>
      <c r="AS614" s="836"/>
      <c r="AT614" s="836"/>
      <c r="AU614" s="836"/>
      <c r="AV614" s="836"/>
      <c r="AW614" s="836"/>
      <c r="AX614" s="836"/>
      <c r="AY614" s="836"/>
      <c r="AZ614" s="836"/>
      <c r="BA614" s="836"/>
      <c r="BB614" s="836"/>
      <c r="BC614" s="836"/>
      <c r="BD614" s="836"/>
      <c r="BE614" s="836"/>
      <c r="BF614" s="836"/>
      <c r="BG614" s="836"/>
      <c r="BH614" s="836"/>
      <c r="BI614" s="836"/>
      <c r="BJ614" s="836"/>
      <c r="BK614" s="836"/>
      <c r="BL614" s="836"/>
      <c r="BM614" s="836"/>
      <c r="BN614" s="836"/>
      <c r="BO614" s="836"/>
      <c r="BP614" s="836"/>
      <c r="BR614" s="838"/>
      <c r="BS614" s="838"/>
      <c r="BT614" s="838"/>
      <c r="BU614" s="838"/>
      <c r="BV614" s="838"/>
      <c r="BW614" s="838"/>
      <c r="BX614" s="838"/>
      <c r="BY614" s="838"/>
      <c r="BZ614" s="838"/>
      <c r="CA614" s="838"/>
      <c r="CB614" s="838"/>
      <c r="CC614" s="838"/>
      <c r="CD614" s="838"/>
      <c r="CE614" s="838"/>
      <c r="CF614" s="838"/>
      <c r="CG614" s="838"/>
      <c r="CH614" s="838"/>
      <c r="CI614" s="838"/>
      <c r="CJ614" s="838"/>
      <c r="CK614" s="838"/>
      <c r="CL614" s="838"/>
      <c r="CM614" s="838"/>
      <c r="CN614" s="838"/>
      <c r="CO614" s="838"/>
      <c r="CP614" s="838"/>
      <c r="CQ614" s="838"/>
      <c r="CR614" s="838"/>
      <c r="CS614" s="838"/>
      <c r="CT614" s="838"/>
      <c r="CU614" s="838"/>
    </row>
    <row r="615">
      <c r="A615" s="860"/>
      <c r="B615" s="860"/>
      <c r="C615" s="860"/>
      <c r="D615" s="860"/>
      <c r="E615" s="860"/>
      <c r="F615" s="860"/>
      <c r="G615" s="860"/>
      <c r="H615" s="860"/>
      <c r="I615" s="860"/>
      <c r="J615" s="860"/>
      <c r="K615" s="860"/>
      <c r="L615" s="860"/>
      <c r="M615" s="860"/>
      <c r="N615" s="860"/>
      <c r="O615" s="860"/>
      <c r="P615" s="860"/>
      <c r="Q615" s="860"/>
      <c r="R615" s="860"/>
      <c r="S615" s="860"/>
      <c r="T615" s="860"/>
      <c r="U615" s="860"/>
      <c r="V615" s="860"/>
      <c r="W615" s="860"/>
      <c r="X615" s="860"/>
      <c r="Y615" s="860"/>
      <c r="Z615" s="860"/>
      <c r="AA615" s="860"/>
      <c r="AB615" s="860"/>
      <c r="AC615" s="860"/>
      <c r="AD615" s="860"/>
      <c r="AE615" s="860"/>
      <c r="AF615" s="860"/>
      <c r="AG615" s="860"/>
      <c r="AH615" s="860"/>
      <c r="AJ615" s="836"/>
      <c r="AK615" s="836"/>
      <c r="AL615" s="836"/>
      <c r="AM615" s="836"/>
      <c r="AN615" s="836"/>
      <c r="AO615" s="836"/>
      <c r="AP615" s="836"/>
      <c r="AQ615" s="836"/>
      <c r="AR615" s="836"/>
      <c r="AS615" s="836"/>
      <c r="AT615" s="836"/>
      <c r="AU615" s="836"/>
      <c r="AV615" s="836"/>
      <c r="AW615" s="836"/>
      <c r="AX615" s="836"/>
      <c r="AY615" s="836"/>
      <c r="AZ615" s="836"/>
      <c r="BA615" s="836"/>
      <c r="BB615" s="836"/>
      <c r="BC615" s="836"/>
      <c r="BD615" s="836"/>
      <c r="BE615" s="836"/>
      <c r="BF615" s="836"/>
      <c r="BG615" s="836"/>
      <c r="BH615" s="836"/>
      <c r="BI615" s="836"/>
      <c r="BJ615" s="836"/>
      <c r="BK615" s="836"/>
      <c r="BL615" s="836"/>
      <c r="BM615" s="836"/>
      <c r="BN615" s="836"/>
      <c r="BO615" s="836"/>
      <c r="BP615" s="836"/>
      <c r="BR615" s="838"/>
      <c r="BS615" s="838"/>
      <c r="BT615" s="838"/>
      <c r="BU615" s="838"/>
      <c r="BV615" s="838"/>
      <c r="BW615" s="838"/>
      <c r="BX615" s="838"/>
      <c r="BY615" s="838"/>
      <c r="BZ615" s="838"/>
      <c r="CA615" s="838"/>
      <c r="CB615" s="838"/>
      <c r="CC615" s="838"/>
      <c r="CD615" s="838"/>
      <c r="CE615" s="838"/>
      <c r="CF615" s="838"/>
      <c r="CG615" s="838"/>
      <c r="CH615" s="838"/>
      <c r="CI615" s="838"/>
      <c r="CJ615" s="838"/>
      <c r="CK615" s="838"/>
      <c r="CL615" s="838"/>
      <c r="CM615" s="838"/>
      <c r="CN615" s="838"/>
      <c r="CO615" s="838"/>
      <c r="CP615" s="838"/>
      <c r="CQ615" s="838"/>
      <c r="CR615" s="838"/>
      <c r="CS615" s="838"/>
      <c r="CT615" s="838"/>
      <c r="CU615" s="838"/>
    </row>
    <row r="616">
      <c r="A616" s="860"/>
      <c r="B616" s="860"/>
      <c r="C616" s="860"/>
      <c r="D616" s="860"/>
      <c r="E616" s="860"/>
      <c r="F616" s="860"/>
      <c r="G616" s="860"/>
      <c r="H616" s="860"/>
      <c r="I616" s="860"/>
      <c r="J616" s="860"/>
      <c r="K616" s="860"/>
      <c r="L616" s="860"/>
      <c r="M616" s="860"/>
      <c r="N616" s="860"/>
      <c r="O616" s="860"/>
      <c r="P616" s="860"/>
      <c r="Q616" s="860"/>
      <c r="R616" s="860"/>
      <c r="S616" s="860"/>
      <c r="T616" s="860"/>
      <c r="U616" s="860"/>
      <c r="V616" s="860"/>
      <c r="W616" s="860"/>
      <c r="X616" s="860"/>
      <c r="Y616" s="860"/>
      <c r="Z616" s="860"/>
      <c r="AA616" s="860"/>
      <c r="AB616" s="860"/>
      <c r="AC616" s="860"/>
      <c r="AD616" s="860"/>
      <c r="AE616" s="860"/>
      <c r="AF616" s="860"/>
      <c r="AG616" s="860"/>
      <c r="AH616" s="860"/>
      <c r="AJ616" s="836"/>
      <c r="AK616" s="836"/>
      <c r="AL616" s="836"/>
      <c r="AM616" s="836"/>
      <c r="AN616" s="836"/>
      <c r="AO616" s="836"/>
      <c r="AP616" s="836"/>
      <c r="AQ616" s="836"/>
      <c r="AR616" s="836"/>
      <c r="AS616" s="836"/>
      <c r="AT616" s="836"/>
      <c r="AU616" s="836"/>
      <c r="AV616" s="836"/>
      <c r="AW616" s="836"/>
      <c r="AX616" s="836"/>
      <c r="AY616" s="836"/>
      <c r="AZ616" s="836"/>
      <c r="BA616" s="836"/>
      <c r="BB616" s="836"/>
      <c r="BC616" s="836"/>
      <c r="BD616" s="836"/>
      <c r="BE616" s="836"/>
      <c r="BF616" s="836"/>
      <c r="BG616" s="836"/>
      <c r="BH616" s="836"/>
      <c r="BI616" s="836"/>
      <c r="BJ616" s="836"/>
      <c r="BK616" s="836"/>
      <c r="BL616" s="836"/>
      <c r="BM616" s="836"/>
      <c r="BN616" s="836"/>
      <c r="BO616" s="836"/>
      <c r="BP616" s="836"/>
      <c r="BR616" s="838"/>
      <c r="BS616" s="838"/>
      <c r="BT616" s="838"/>
      <c r="BU616" s="838"/>
      <c r="BV616" s="838"/>
      <c r="BW616" s="838"/>
      <c r="BX616" s="838"/>
      <c r="BY616" s="838"/>
      <c r="BZ616" s="838"/>
      <c r="CA616" s="838"/>
      <c r="CB616" s="838"/>
      <c r="CC616" s="838"/>
      <c r="CD616" s="838"/>
      <c r="CE616" s="838"/>
      <c r="CF616" s="838"/>
      <c r="CG616" s="838"/>
      <c r="CH616" s="838"/>
      <c r="CI616" s="838"/>
      <c r="CJ616" s="838"/>
      <c r="CK616" s="838"/>
      <c r="CL616" s="838"/>
      <c r="CM616" s="838"/>
      <c r="CN616" s="838"/>
      <c r="CO616" s="838"/>
      <c r="CP616" s="838"/>
      <c r="CQ616" s="838"/>
      <c r="CR616" s="838"/>
      <c r="CS616" s="838"/>
      <c r="CT616" s="838"/>
      <c r="CU616" s="838"/>
    </row>
    <row r="617">
      <c r="A617" s="860"/>
      <c r="B617" s="860"/>
      <c r="C617" s="860"/>
      <c r="D617" s="860"/>
      <c r="E617" s="860"/>
      <c r="F617" s="860"/>
      <c r="G617" s="860"/>
      <c r="H617" s="860"/>
      <c r="I617" s="860"/>
      <c r="J617" s="860"/>
      <c r="K617" s="860"/>
      <c r="L617" s="860"/>
      <c r="M617" s="860"/>
      <c r="N617" s="860"/>
      <c r="O617" s="860"/>
      <c r="P617" s="860"/>
      <c r="Q617" s="860"/>
      <c r="R617" s="860"/>
      <c r="S617" s="860"/>
      <c r="T617" s="860"/>
      <c r="U617" s="860"/>
      <c r="V617" s="860"/>
      <c r="W617" s="860"/>
      <c r="X617" s="860"/>
      <c r="Y617" s="860"/>
      <c r="Z617" s="860"/>
      <c r="AA617" s="860"/>
      <c r="AB617" s="860"/>
      <c r="AC617" s="860"/>
      <c r="AD617" s="860"/>
      <c r="AE617" s="860"/>
      <c r="AF617" s="860"/>
      <c r="AG617" s="860"/>
      <c r="AH617" s="860"/>
      <c r="AJ617" s="836"/>
      <c r="AK617" s="836"/>
      <c r="AL617" s="836"/>
      <c r="AM617" s="836"/>
      <c r="AN617" s="836"/>
      <c r="AO617" s="836"/>
      <c r="AP617" s="836"/>
      <c r="AQ617" s="836"/>
      <c r="AR617" s="836"/>
      <c r="AS617" s="836"/>
      <c r="AT617" s="836"/>
      <c r="AU617" s="836"/>
      <c r="AV617" s="836"/>
      <c r="AW617" s="836"/>
      <c r="AX617" s="836"/>
      <c r="AY617" s="836"/>
      <c r="AZ617" s="836"/>
      <c r="BA617" s="836"/>
      <c r="BB617" s="836"/>
      <c r="BC617" s="836"/>
      <c r="BD617" s="836"/>
      <c r="BE617" s="836"/>
      <c r="BF617" s="836"/>
      <c r="BG617" s="836"/>
      <c r="BH617" s="836"/>
      <c r="BI617" s="836"/>
      <c r="BJ617" s="836"/>
      <c r="BK617" s="836"/>
      <c r="BL617" s="836"/>
      <c r="BM617" s="836"/>
      <c r="BN617" s="836"/>
      <c r="BO617" s="836"/>
      <c r="BP617" s="836"/>
      <c r="BR617" s="838"/>
      <c r="BS617" s="838"/>
      <c r="BT617" s="838"/>
      <c r="BU617" s="838"/>
      <c r="BV617" s="838"/>
      <c r="BW617" s="838"/>
      <c r="BX617" s="838"/>
      <c r="BY617" s="838"/>
      <c r="BZ617" s="838"/>
      <c r="CA617" s="838"/>
      <c r="CB617" s="838"/>
      <c r="CC617" s="838"/>
      <c r="CD617" s="838"/>
      <c r="CE617" s="838"/>
      <c r="CF617" s="838"/>
      <c r="CG617" s="838"/>
      <c r="CH617" s="838"/>
      <c r="CI617" s="838"/>
      <c r="CJ617" s="838"/>
      <c r="CK617" s="838"/>
      <c r="CL617" s="838"/>
      <c r="CM617" s="838"/>
      <c r="CN617" s="838"/>
      <c r="CO617" s="838"/>
      <c r="CP617" s="838"/>
      <c r="CQ617" s="838"/>
      <c r="CR617" s="838"/>
      <c r="CS617" s="838"/>
      <c r="CT617" s="838"/>
      <c r="CU617" s="838"/>
    </row>
    <row r="618">
      <c r="A618" s="860"/>
      <c r="B618" s="860"/>
      <c r="C618" s="860"/>
      <c r="D618" s="860"/>
      <c r="E618" s="860"/>
      <c r="F618" s="860"/>
      <c r="G618" s="860"/>
      <c r="H618" s="860"/>
      <c r="I618" s="860"/>
      <c r="J618" s="860"/>
      <c r="K618" s="860"/>
      <c r="L618" s="860"/>
      <c r="M618" s="860"/>
      <c r="N618" s="860"/>
      <c r="O618" s="860"/>
      <c r="P618" s="860"/>
      <c r="Q618" s="860"/>
      <c r="R618" s="860"/>
      <c r="S618" s="860"/>
      <c r="T618" s="860"/>
      <c r="U618" s="860"/>
      <c r="V618" s="860"/>
      <c r="W618" s="860"/>
      <c r="X618" s="860"/>
      <c r="Y618" s="860"/>
      <c r="Z618" s="860"/>
      <c r="AA618" s="860"/>
      <c r="AB618" s="860"/>
      <c r="AC618" s="860"/>
      <c r="AD618" s="860"/>
      <c r="AE618" s="860"/>
      <c r="AF618" s="860"/>
      <c r="AG618" s="860"/>
      <c r="AH618" s="860"/>
      <c r="AJ618" s="836"/>
      <c r="AK618" s="836"/>
      <c r="AL618" s="836"/>
      <c r="AM618" s="836"/>
      <c r="AN618" s="836"/>
      <c r="AO618" s="836"/>
      <c r="AP618" s="836"/>
      <c r="AQ618" s="836"/>
      <c r="AR618" s="836"/>
      <c r="AS618" s="836"/>
      <c r="AT618" s="836"/>
      <c r="AU618" s="836"/>
      <c r="AV618" s="836"/>
      <c r="AW618" s="836"/>
      <c r="AX618" s="836"/>
      <c r="AY618" s="836"/>
      <c r="AZ618" s="836"/>
      <c r="BA618" s="836"/>
      <c r="BB618" s="836"/>
      <c r="BC618" s="836"/>
      <c r="BD618" s="836"/>
      <c r="BE618" s="836"/>
      <c r="BF618" s="836"/>
      <c r="BG618" s="836"/>
      <c r="BH618" s="836"/>
      <c r="BI618" s="836"/>
      <c r="BJ618" s="836"/>
      <c r="BK618" s="836"/>
      <c r="BL618" s="836"/>
      <c r="BM618" s="836"/>
      <c r="BN618" s="836"/>
      <c r="BO618" s="836"/>
      <c r="BP618" s="836"/>
      <c r="BR618" s="838"/>
      <c r="BS618" s="838"/>
      <c r="BT618" s="838"/>
      <c r="BU618" s="838"/>
      <c r="BV618" s="838"/>
      <c r="BW618" s="838"/>
      <c r="BX618" s="838"/>
      <c r="BY618" s="838"/>
      <c r="BZ618" s="838"/>
      <c r="CA618" s="838"/>
      <c r="CB618" s="838"/>
      <c r="CC618" s="838"/>
      <c r="CD618" s="838"/>
      <c r="CE618" s="838"/>
      <c r="CF618" s="838"/>
      <c r="CG618" s="838"/>
      <c r="CH618" s="838"/>
      <c r="CI618" s="838"/>
      <c r="CJ618" s="838"/>
      <c r="CK618" s="838"/>
      <c r="CL618" s="838"/>
      <c r="CM618" s="838"/>
      <c r="CN618" s="838"/>
      <c r="CO618" s="838"/>
      <c r="CP618" s="838"/>
      <c r="CQ618" s="838"/>
      <c r="CR618" s="838"/>
      <c r="CS618" s="838"/>
      <c r="CT618" s="838"/>
      <c r="CU618" s="838"/>
    </row>
    <row r="619">
      <c r="A619" s="860"/>
      <c r="B619" s="860"/>
      <c r="C619" s="860"/>
      <c r="D619" s="860"/>
      <c r="E619" s="860"/>
      <c r="F619" s="860"/>
      <c r="G619" s="860"/>
      <c r="H619" s="860"/>
      <c r="I619" s="860"/>
      <c r="J619" s="860"/>
      <c r="K619" s="860"/>
      <c r="L619" s="860"/>
      <c r="M619" s="860"/>
      <c r="N619" s="860"/>
      <c r="O619" s="860"/>
      <c r="P619" s="860"/>
      <c r="Q619" s="860"/>
      <c r="R619" s="860"/>
      <c r="S619" s="860"/>
      <c r="T619" s="860"/>
      <c r="U619" s="860"/>
      <c r="V619" s="860"/>
      <c r="W619" s="860"/>
      <c r="X619" s="860"/>
      <c r="Y619" s="860"/>
      <c r="Z619" s="860"/>
      <c r="AA619" s="860"/>
      <c r="AB619" s="860"/>
      <c r="AC619" s="860"/>
      <c r="AD619" s="860"/>
      <c r="AE619" s="860"/>
      <c r="AF619" s="860"/>
      <c r="AG619" s="860"/>
      <c r="AH619" s="860"/>
      <c r="AJ619" s="836"/>
      <c r="AK619" s="836"/>
      <c r="AL619" s="836"/>
      <c r="AM619" s="836"/>
      <c r="AN619" s="836"/>
      <c r="AO619" s="836"/>
      <c r="AP619" s="836"/>
      <c r="AQ619" s="836"/>
      <c r="AR619" s="836"/>
      <c r="AS619" s="836"/>
      <c r="AT619" s="836"/>
      <c r="AU619" s="836"/>
      <c r="AV619" s="836"/>
      <c r="AW619" s="836"/>
      <c r="AX619" s="836"/>
      <c r="AY619" s="836"/>
      <c r="AZ619" s="836"/>
      <c r="BA619" s="836"/>
      <c r="BB619" s="836"/>
      <c r="BC619" s="836"/>
      <c r="BD619" s="836"/>
      <c r="BE619" s="836"/>
      <c r="BF619" s="836"/>
      <c r="BG619" s="836"/>
      <c r="BH619" s="836"/>
      <c r="BI619" s="836"/>
      <c r="BJ619" s="836"/>
      <c r="BK619" s="836"/>
      <c r="BL619" s="836"/>
      <c r="BM619" s="836"/>
      <c r="BN619" s="836"/>
      <c r="BO619" s="836"/>
      <c r="BP619" s="836"/>
      <c r="BR619" s="838"/>
      <c r="BS619" s="838"/>
      <c r="BT619" s="838"/>
      <c r="BU619" s="838"/>
      <c r="BV619" s="838"/>
      <c r="BW619" s="838"/>
      <c r="BX619" s="838"/>
      <c r="BY619" s="838"/>
      <c r="BZ619" s="838"/>
      <c r="CA619" s="838"/>
      <c r="CB619" s="838"/>
      <c r="CC619" s="838"/>
      <c r="CD619" s="838"/>
      <c r="CE619" s="838"/>
      <c r="CF619" s="838"/>
      <c r="CG619" s="838"/>
      <c r="CH619" s="838"/>
      <c r="CI619" s="838"/>
      <c r="CJ619" s="838"/>
      <c r="CK619" s="838"/>
      <c r="CL619" s="838"/>
      <c r="CM619" s="838"/>
      <c r="CN619" s="838"/>
      <c r="CO619" s="838"/>
      <c r="CP619" s="838"/>
      <c r="CQ619" s="838"/>
      <c r="CR619" s="838"/>
      <c r="CS619" s="838"/>
      <c r="CT619" s="838"/>
      <c r="CU619" s="838"/>
    </row>
    <row r="620">
      <c r="A620" s="860"/>
      <c r="B620" s="860"/>
      <c r="C620" s="860"/>
      <c r="D620" s="860"/>
      <c r="E620" s="860"/>
      <c r="F620" s="860"/>
      <c r="G620" s="860"/>
      <c r="H620" s="860"/>
      <c r="I620" s="860"/>
      <c r="J620" s="860"/>
      <c r="K620" s="860"/>
      <c r="L620" s="860"/>
      <c r="M620" s="860"/>
      <c r="N620" s="860"/>
      <c r="O620" s="860"/>
      <c r="P620" s="860"/>
      <c r="Q620" s="860"/>
      <c r="R620" s="860"/>
      <c r="S620" s="860"/>
      <c r="T620" s="860"/>
      <c r="U620" s="860"/>
      <c r="V620" s="860"/>
      <c r="W620" s="860"/>
      <c r="X620" s="860"/>
      <c r="Y620" s="860"/>
      <c r="Z620" s="860"/>
      <c r="AA620" s="860"/>
      <c r="AB620" s="860"/>
      <c r="AC620" s="860"/>
      <c r="AD620" s="860"/>
      <c r="AE620" s="860"/>
      <c r="AF620" s="860"/>
      <c r="AG620" s="860"/>
      <c r="AH620" s="860"/>
      <c r="AJ620" s="836"/>
      <c r="AK620" s="836"/>
      <c r="AL620" s="836"/>
      <c r="AM620" s="836"/>
      <c r="AN620" s="836"/>
      <c r="AO620" s="836"/>
      <c r="AP620" s="836"/>
      <c r="AQ620" s="836"/>
      <c r="AR620" s="836"/>
      <c r="AS620" s="836"/>
      <c r="AT620" s="836"/>
      <c r="AU620" s="836"/>
      <c r="AV620" s="836"/>
      <c r="AW620" s="836"/>
      <c r="AX620" s="836"/>
      <c r="AY620" s="836"/>
      <c r="AZ620" s="836"/>
      <c r="BA620" s="836"/>
      <c r="BB620" s="836"/>
      <c r="BC620" s="836"/>
      <c r="BD620" s="836"/>
      <c r="BE620" s="836"/>
      <c r="BF620" s="836"/>
      <c r="BG620" s="836"/>
      <c r="BH620" s="836"/>
      <c r="BI620" s="836"/>
      <c r="BJ620" s="836"/>
      <c r="BK620" s="836"/>
      <c r="BL620" s="836"/>
      <c r="BM620" s="836"/>
      <c r="BN620" s="836"/>
      <c r="BO620" s="836"/>
      <c r="BP620" s="836"/>
      <c r="BR620" s="838"/>
      <c r="BS620" s="838"/>
      <c r="BT620" s="838"/>
      <c r="BU620" s="838"/>
      <c r="BV620" s="838"/>
      <c r="BW620" s="838"/>
      <c r="BX620" s="838"/>
      <c r="BY620" s="838"/>
      <c r="BZ620" s="838"/>
      <c r="CA620" s="838"/>
      <c r="CB620" s="838"/>
      <c r="CC620" s="838"/>
      <c r="CD620" s="838"/>
      <c r="CE620" s="838"/>
      <c r="CF620" s="838"/>
      <c r="CG620" s="838"/>
      <c r="CH620" s="838"/>
      <c r="CI620" s="838"/>
      <c r="CJ620" s="838"/>
      <c r="CK620" s="838"/>
      <c r="CL620" s="838"/>
      <c r="CM620" s="838"/>
      <c r="CN620" s="838"/>
      <c r="CO620" s="838"/>
      <c r="CP620" s="838"/>
      <c r="CQ620" s="838"/>
      <c r="CR620" s="838"/>
      <c r="CS620" s="838"/>
      <c r="CT620" s="838"/>
      <c r="CU620" s="838"/>
    </row>
    <row r="621">
      <c r="A621" s="860"/>
      <c r="B621" s="860"/>
      <c r="C621" s="860"/>
      <c r="D621" s="860"/>
      <c r="E621" s="860"/>
      <c r="F621" s="860"/>
      <c r="G621" s="860"/>
      <c r="H621" s="860"/>
      <c r="I621" s="860"/>
      <c r="J621" s="860"/>
      <c r="K621" s="860"/>
      <c r="L621" s="860"/>
      <c r="M621" s="860"/>
      <c r="N621" s="860"/>
      <c r="O621" s="860"/>
      <c r="P621" s="860"/>
      <c r="Q621" s="860"/>
      <c r="R621" s="860"/>
      <c r="S621" s="860"/>
      <c r="T621" s="860"/>
      <c r="U621" s="860"/>
      <c r="V621" s="860"/>
      <c r="W621" s="860"/>
      <c r="X621" s="860"/>
      <c r="Y621" s="860"/>
      <c r="Z621" s="860"/>
      <c r="AA621" s="860"/>
      <c r="AB621" s="860"/>
      <c r="AC621" s="860"/>
      <c r="AD621" s="860"/>
      <c r="AE621" s="860"/>
      <c r="AF621" s="860"/>
      <c r="AG621" s="860"/>
      <c r="AH621" s="860"/>
      <c r="AJ621" s="836"/>
      <c r="AK621" s="836"/>
      <c r="AL621" s="836"/>
      <c r="AM621" s="836"/>
      <c r="AN621" s="836"/>
      <c r="AO621" s="836"/>
      <c r="AP621" s="836"/>
      <c r="AQ621" s="836"/>
      <c r="AR621" s="836"/>
      <c r="AS621" s="836"/>
      <c r="AT621" s="836"/>
      <c r="AU621" s="836"/>
      <c r="AV621" s="836"/>
      <c r="AW621" s="836"/>
      <c r="AX621" s="836"/>
      <c r="AY621" s="836"/>
      <c r="AZ621" s="836"/>
      <c r="BA621" s="836"/>
      <c r="BB621" s="836"/>
      <c r="BC621" s="836"/>
      <c r="BD621" s="836"/>
      <c r="BE621" s="836"/>
      <c r="BF621" s="836"/>
      <c r="BG621" s="836"/>
      <c r="BH621" s="836"/>
      <c r="BI621" s="836"/>
      <c r="BJ621" s="836"/>
      <c r="BK621" s="836"/>
      <c r="BL621" s="836"/>
      <c r="BM621" s="836"/>
      <c r="BN621" s="836"/>
      <c r="BO621" s="836"/>
      <c r="BP621" s="836"/>
      <c r="BR621" s="838"/>
      <c r="BS621" s="838"/>
      <c r="BT621" s="838"/>
      <c r="BU621" s="838"/>
      <c r="BV621" s="838"/>
      <c r="BW621" s="838"/>
      <c r="BX621" s="838"/>
      <c r="BY621" s="838"/>
      <c r="BZ621" s="838"/>
      <c r="CA621" s="838"/>
      <c r="CB621" s="838"/>
      <c r="CC621" s="838"/>
      <c r="CD621" s="838"/>
      <c r="CE621" s="838"/>
      <c r="CF621" s="838"/>
      <c r="CG621" s="838"/>
      <c r="CH621" s="838"/>
      <c r="CI621" s="838"/>
      <c r="CJ621" s="838"/>
      <c r="CK621" s="838"/>
      <c r="CL621" s="838"/>
      <c r="CM621" s="838"/>
      <c r="CN621" s="838"/>
      <c r="CO621" s="838"/>
      <c r="CP621" s="838"/>
      <c r="CQ621" s="838"/>
      <c r="CR621" s="838"/>
      <c r="CS621" s="838"/>
      <c r="CT621" s="838"/>
      <c r="CU621" s="838"/>
    </row>
    <row r="622">
      <c r="A622" s="860"/>
      <c r="B622" s="860"/>
      <c r="C622" s="860"/>
      <c r="D622" s="860"/>
      <c r="E622" s="860"/>
      <c r="F622" s="860"/>
      <c r="G622" s="860"/>
      <c r="H622" s="860"/>
      <c r="I622" s="860"/>
      <c r="J622" s="860"/>
      <c r="K622" s="860"/>
      <c r="L622" s="860"/>
      <c r="M622" s="860"/>
      <c r="N622" s="860"/>
      <c r="O622" s="860"/>
      <c r="P622" s="860"/>
      <c r="Q622" s="860"/>
      <c r="R622" s="860"/>
      <c r="S622" s="860"/>
      <c r="T622" s="860"/>
      <c r="U622" s="860"/>
      <c r="V622" s="860"/>
      <c r="W622" s="860"/>
      <c r="X622" s="860"/>
      <c r="Y622" s="860"/>
      <c r="Z622" s="860"/>
      <c r="AA622" s="860"/>
      <c r="AB622" s="860"/>
      <c r="AC622" s="860"/>
      <c r="AD622" s="860"/>
      <c r="AE622" s="860"/>
      <c r="AF622" s="860"/>
      <c r="AG622" s="860"/>
      <c r="AH622" s="860"/>
      <c r="AJ622" s="836"/>
      <c r="AK622" s="836"/>
      <c r="AL622" s="836"/>
      <c r="AM622" s="836"/>
      <c r="AN622" s="836"/>
      <c r="AO622" s="836"/>
      <c r="AP622" s="836"/>
      <c r="AQ622" s="836"/>
      <c r="AR622" s="836"/>
      <c r="AS622" s="836"/>
      <c r="AT622" s="836"/>
      <c r="AU622" s="836"/>
      <c r="AV622" s="836"/>
      <c r="AW622" s="836"/>
      <c r="AX622" s="836"/>
      <c r="AY622" s="836"/>
      <c r="AZ622" s="836"/>
      <c r="BA622" s="836"/>
      <c r="BB622" s="836"/>
      <c r="BC622" s="836"/>
      <c r="BD622" s="836"/>
      <c r="BE622" s="836"/>
      <c r="BF622" s="836"/>
      <c r="BG622" s="836"/>
      <c r="BH622" s="836"/>
      <c r="BI622" s="836"/>
      <c r="BJ622" s="836"/>
      <c r="BK622" s="836"/>
      <c r="BL622" s="836"/>
      <c r="BM622" s="836"/>
      <c r="BN622" s="836"/>
      <c r="BO622" s="836"/>
      <c r="BP622" s="836"/>
      <c r="BR622" s="838"/>
      <c r="BS622" s="838"/>
      <c r="BT622" s="838"/>
      <c r="BU622" s="838"/>
      <c r="BV622" s="838"/>
      <c r="BW622" s="838"/>
      <c r="BX622" s="838"/>
      <c r="BY622" s="838"/>
      <c r="BZ622" s="838"/>
      <c r="CA622" s="838"/>
      <c r="CB622" s="838"/>
      <c r="CC622" s="838"/>
      <c r="CD622" s="838"/>
      <c r="CE622" s="838"/>
      <c r="CF622" s="838"/>
      <c r="CG622" s="838"/>
      <c r="CH622" s="838"/>
      <c r="CI622" s="838"/>
      <c r="CJ622" s="838"/>
      <c r="CK622" s="838"/>
      <c r="CL622" s="838"/>
      <c r="CM622" s="838"/>
      <c r="CN622" s="838"/>
      <c r="CO622" s="838"/>
      <c r="CP622" s="838"/>
      <c r="CQ622" s="838"/>
      <c r="CR622" s="838"/>
      <c r="CS622" s="838"/>
      <c r="CT622" s="838"/>
      <c r="CU622" s="838"/>
    </row>
    <row r="623">
      <c r="A623" s="860"/>
      <c r="B623" s="860"/>
      <c r="C623" s="860"/>
      <c r="D623" s="860"/>
      <c r="E623" s="860"/>
      <c r="F623" s="860"/>
      <c r="G623" s="860"/>
      <c r="H623" s="860"/>
      <c r="I623" s="860"/>
      <c r="J623" s="860"/>
      <c r="K623" s="860"/>
      <c r="L623" s="860"/>
      <c r="M623" s="860"/>
      <c r="N623" s="860"/>
      <c r="O623" s="860"/>
      <c r="P623" s="860"/>
      <c r="Q623" s="860"/>
      <c r="R623" s="860"/>
      <c r="S623" s="860"/>
      <c r="T623" s="860"/>
      <c r="U623" s="860"/>
      <c r="V623" s="860"/>
      <c r="W623" s="860"/>
      <c r="X623" s="860"/>
      <c r="Y623" s="860"/>
      <c r="Z623" s="860"/>
      <c r="AA623" s="860"/>
      <c r="AB623" s="860"/>
      <c r="AC623" s="860"/>
      <c r="AD623" s="860"/>
      <c r="AE623" s="860"/>
      <c r="AF623" s="860"/>
      <c r="AG623" s="860"/>
      <c r="AH623" s="860"/>
      <c r="AJ623" s="836"/>
      <c r="AK623" s="836"/>
      <c r="AL623" s="836"/>
      <c r="AM623" s="836"/>
      <c r="AN623" s="836"/>
      <c r="AO623" s="836"/>
      <c r="AP623" s="836"/>
      <c r="AQ623" s="836"/>
      <c r="AR623" s="836"/>
      <c r="AS623" s="836"/>
      <c r="AT623" s="836"/>
      <c r="AU623" s="836"/>
      <c r="AV623" s="836"/>
      <c r="AW623" s="836"/>
      <c r="AX623" s="836"/>
      <c r="AY623" s="836"/>
      <c r="AZ623" s="836"/>
      <c r="BA623" s="836"/>
      <c r="BB623" s="836"/>
      <c r="BC623" s="836"/>
      <c r="BD623" s="836"/>
      <c r="BE623" s="836"/>
      <c r="BF623" s="836"/>
      <c r="BG623" s="836"/>
      <c r="BH623" s="836"/>
      <c r="BI623" s="836"/>
      <c r="BJ623" s="836"/>
      <c r="BK623" s="836"/>
      <c r="BL623" s="836"/>
      <c r="BM623" s="836"/>
      <c r="BN623" s="836"/>
      <c r="BO623" s="836"/>
      <c r="BP623" s="836"/>
      <c r="BR623" s="838"/>
      <c r="BS623" s="838"/>
      <c r="BT623" s="838"/>
      <c r="BU623" s="838"/>
      <c r="BV623" s="838"/>
      <c r="BW623" s="838"/>
      <c r="BX623" s="838"/>
      <c r="BY623" s="838"/>
      <c r="BZ623" s="838"/>
      <c r="CA623" s="838"/>
      <c r="CB623" s="838"/>
      <c r="CC623" s="838"/>
      <c r="CD623" s="838"/>
      <c r="CE623" s="838"/>
      <c r="CF623" s="838"/>
      <c r="CG623" s="838"/>
      <c r="CH623" s="838"/>
      <c r="CI623" s="838"/>
      <c r="CJ623" s="838"/>
      <c r="CK623" s="838"/>
      <c r="CL623" s="838"/>
      <c r="CM623" s="838"/>
      <c r="CN623" s="838"/>
      <c r="CO623" s="838"/>
      <c r="CP623" s="838"/>
      <c r="CQ623" s="838"/>
      <c r="CR623" s="838"/>
      <c r="CS623" s="838"/>
      <c r="CT623" s="838"/>
      <c r="CU623" s="838"/>
    </row>
    <row r="624">
      <c r="A624" s="860"/>
      <c r="B624" s="860"/>
      <c r="C624" s="860"/>
      <c r="D624" s="860"/>
      <c r="E624" s="860"/>
      <c r="F624" s="860"/>
      <c r="G624" s="860"/>
      <c r="H624" s="860"/>
      <c r="I624" s="860"/>
      <c r="J624" s="860"/>
      <c r="K624" s="860"/>
      <c r="L624" s="860"/>
      <c r="M624" s="860"/>
      <c r="N624" s="860"/>
      <c r="O624" s="860"/>
      <c r="P624" s="860"/>
      <c r="Q624" s="860"/>
      <c r="R624" s="860"/>
      <c r="S624" s="860"/>
      <c r="T624" s="860"/>
      <c r="U624" s="860"/>
      <c r="V624" s="860"/>
      <c r="W624" s="860"/>
      <c r="X624" s="860"/>
      <c r="Y624" s="860"/>
      <c r="Z624" s="860"/>
      <c r="AA624" s="860"/>
      <c r="AB624" s="860"/>
      <c r="AC624" s="860"/>
      <c r="AD624" s="860"/>
      <c r="AE624" s="860"/>
      <c r="AF624" s="860"/>
      <c r="AG624" s="860"/>
      <c r="AH624" s="860"/>
      <c r="AJ624" s="836"/>
      <c r="AK624" s="836"/>
      <c r="AL624" s="836"/>
      <c r="AM624" s="836"/>
      <c r="AN624" s="836"/>
      <c r="AO624" s="836"/>
      <c r="AP624" s="836"/>
      <c r="AQ624" s="836"/>
      <c r="AR624" s="836"/>
      <c r="AS624" s="836"/>
      <c r="AT624" s="836"/>
      <c r="AU624" s="836"/>
      <c r="AV624" s="836"/>
      <c r="AW624" s="836"/>
      <c r="AX624" s="836"/>
      <c r="AY624" s="836"/>
      <c r="AZ624" s="836"/>
      <c r="BA624" s="836"/>
      <c r="BB624" s="836"/>
      <c r="BC624" s="836"/>
      <c r="BD624" s="836"/>
      <c r="BE624" s="836"/>
      <c r="BF624" s="836"/>
      <c r="BG624" s="836"/>
      <c r="BH624" s="836"/>
      <c r="BI624" s="836"/>
      <c r="BJ624" s="836"/>
      <c r="BK624" s="836"/>
      <c r="BL624" s="836"/>
      <c r="BM624" s="836"/>
      <c r="BN624" s="836"/>
      <c r="BO624" s="836"/>
      <c r="BP624" s="836"/>
      <c r="BR624" s="838"/>
      <c r="BS624" s="838"/>
      <c r="BT624" s="838"/>
      <c r="BU624" s="838"/>
      <c r="BV624" s="838"/>
      <c r="BW624" s="838"/>
      <c r="BX624" s="838"/>
      <c r="BY624" s="838"/>
      <c r="BZ624" s="838"/>
      <c r="CA624" s="838"/>
      <c r="CB624" s="838"/>
      <c r="CC624" s="838"/>
      <c r="CD624" s="838"/>
      <c r="CE624" s="838"/>
      <c r="CF624" s="838"/>
      <c r="CG624" s="838"/>
      <c r="CH624" s="838"/>
      <c r="CI624" s="838"/>
      <c r="CJ624" s="838"/>
      <c r="CK624" s="838"/>
      <c r="CL624" s="838"/>
      <c r="CM624" s="838"/>
      <c r="CN624" s="838"/>
      <c r="CO624" s="838"/>
      <c r="CP624" s="838"/>
      <c r="CQ624" s="838"/>
      <c r="CR624" s="838"/>
      <c r="CS624" s="838"/>
      <c r="CT624" s="838"/>
      <c r="CU624" s="838"/>
    </row>
    <row r="625">
      <c r="A625" s="860"/>
      <c r="B625" s="860"/>
      <c r="C625" s="860"/>
      <c r="D625" s="860"/>
      <c r="E625" s="860"/>
      <c r="F625" s="860"/>
      <c r="G625" s="860"/>
      <c r="H625" s="860"/>
      <c r="I625" s="860"/>
      <c r="J625" s="860"/>
      <c r="K625" s="860"/>
      <c r="L625" s="860"/>
      <c r="M625" s="860"/>
      <c r="N625" s="860"/>
      <c r="O625" s="860"/>
      <c r="P625" s="860"/>
      <c r="Q625" s="860"/>
      <c r="R625" s="860"/>
      <c r="S625" s="860"/>
      <c r="T625" s="860"/>
      <c r="U625" s="860"/>
      <c r="V625" s="860"/>
      <c r="W625" s="860"/>
      <c r="X625" s="860"/>
      <c r="Y625" s="860"/>
      <c r="Z625" s="860"/>
      <c r="AA625" s="860"/>
      <c r="AB625" s="860"/>
      <c r="AC625" s="860"/>
      <c r="AD625" s="860"/>
      <c r="AE625" s="860"/>
      <c r="AF625" s="860"/>
      <c r="AG625" s="860"/>
      <c r="AH625" s="860"/>
      <c r="AJ625" s="836"/>
      <c r="AK625" s="836"/>
      <c r="AL625" s="836"/>
      <c r="AM625" s="836"/>
      <c r="AN625" s="836"/>
      <c r="AO625" s="836"/>
      <c r="AP625" s="836"/>
      <c r="AQ625" s="836"/>
      <c r="AR625" s="836"/>
      <c r="AS625" s="836"/>
      <c r="AT625" s="836"/>
      <c r="AU625" s="836"/>
      <c r="AV625" s="836"/>
      <c r="AW625" s="836"/>
      <c r="AX625" s="836"/>
      <c r="AY625" s="836"/>
      <c r="AZ625" s="836"/>
      <c r="BA625" s="836"/>
      <c r="BB625" s="836"/>
      <c r="BC625" s="836"/>
      <c r="BD625" s="836"/>
      <c r="BE625" s="836"/>
      <c r="BF625" s="836"/>
      <c r="BG625" s="836"/>
      <c r="BH625" s="836"/>
      <c r="BI625" s="836"/>
      <c r="BJ625" s="836"/>
      <c r="BK625" s="836"/>
      <c r="BL625" s="836"/>
      <c r="BM625" s="836"/>
      <c r="BN625" s="836"/>
      <c r="BO625" s="836"/>
      <c r="BP625" s="836"/>
      <c r="BR625" s="838"/>
      <c r="BS625" s="838"/>
      <c r="BT625" s="838"/>
      <c r="BU625" s="838"/>
      <c r="BV625" s="838"/>
      <c r="BW625" s="838"/>
      <c r="BX625" s="838"/>
      <c r="BY625" s="838"/>
      <c r="BZ625" s="838"/>
      <c r="CA625" s="838"/>
      <c r="CB625" s="838"/>
      <c r="CC625" s="838"/>
      <c r="CD625" s="838"/>
      <c r="CE625" s="838"/>
      <c r="CF625" s="838"/>
      <c r="CG625" s="838"/>
      <c r="CH625" s="838"/>
      <c r="CI625" s="838"/>
      <c r="CJ625" s="838"/>
      <c r="CK625" s="838"/>
      <c r="CL625" s="838"/>
      <c r="CM625" s="838"/>
      <c r="CN625" s="838"/>
      <c r="CO625" s="838"/>
      <c r="CP625" s="838"/>
      <c r="CQ625" s="838"/>
      <c r="CR625" s="838"/>
      <c r="CS625" s="838"/>
      <c r="CT625" s="838"/>
      <c r="CU625" s="838"/>
    </row>
    <row r="626">
      <c r="A626" s="860"/>
      <c r="B626" s="860"/>
      <c r="C626" s="860"/>
      <c r="D626" s="860"/>
      <c r="E626" s="860"/>
      <c r="F626" s="860"/>
      <c r="G626" s="860"/>
      <c r="H626" s="860"/>
      <c r="I626" s="860"/>
      <c r="J626" s="860"/>
      <c r="K626" s="860"/>
      <c r="L626" s="860"/>
      <c r="M626" s="860"/>
      <c r="N626" s="860"/>
      <c r="O626" s="860"/>
      <c r="P626" s="860"/>
      <c r="Q626" s="860"/>
      <c r="R626" s="860"/>
      <c r="S626" s="860"/>
      <c r="T626" s="860"/>
      <c r="U626" s="860"/>
      <c r="V626" s="860"/>
      <c r="W626" s="860"/>
      <c r="X626" s="860"/>
      <c r="Y626" s="860"/>
      <c r="Z626" s="860"/>
      <c r="AA626" s="860"/>
      <c r="AB626" s="860"/>
      <c r="AC626" s="860"/>
      <c r="AD626" s="860"/>
      <c r="AE626" s="860"/>
      <c r="AF626" s="860"/>
      <c r="AG626" s="860"/>
      <c r="AH626" s="860"/>
      <c r="AJ626" s="836"/>
      <c r="AK626" s="836"/>
      <c r="AL626" s="836"/>
      <c r="AM626" s="836"/>
      <c r="AN626" s="836"/>
      <c r="AO626" s="836"/>
      <c r="AP626" s="836"/>
      <c r="AQ626" s="836"/>
      <c r="AR626" s="836"/>
      <c r="AS626" s="836"/>
      <c r="AT626" s="836"/>
      <c r="AU626" s="836"/>
      <c r="AV626" s="836"/>
      <c r="AW626" s="836"/>
      <c r="AX626" s="836"/>
      <c r="AY626" s="836"/>
      <c r="AZ626" s="836"/>
      <c r="BA626" s="836"/>
      <c r="BB626" s="836"/>
      <c r="BC626" s="836"/>
      <c r="BD626" s="836"/>
      <c r="BE626" s="836"/>
      <c r="BF626" s="836"/>
      <c r="BG626" s="836"/>
      <c r="BH626" s="836"/>
      <c r="BI626" s="836"/>
      <c r="BJ626" s="836"/>
      <c r="BK626" s="836"/>
      <c r="BL626" s="836"/>
      <c r="BM626" s="836"/>
      <c r="BN626" s="836"/>
      <c r="BO626" s="836"/>
      <c r="BP626" s="836"/>
      <c r="BR626" s="838"/>
      <c r="BS626" s="838"/>
      <c r="BT626" s="838"/>
      <c r="BU626" s="838"/>
      <c r="BV626" s="838"/>
      <c r="BW626" s="838"/>
      <c r="BX626" s="838"/>
      <c r="BY626" s="838"/>
      <c r="BZ626" s="838"/>
      <c r="CA626" s="838"/>
      <c r="CB626" s="838"/>
      <c r="CC626" s="838"/>
      <c r="CD626" s="838"/>
      <c r="CE626" s="838"/>
      <c r="CF626" s="838"/>
      <c r="CG626" s="838"/>
      <c r="CH626" s="838"/>
      <c r="CI626" s="838"/>
      <c r="CJ626" s="838"/>
      <c r="CK626" s="838"/>
      <c r="CL626" s="838"/>
      <c r="CM626" s="838"/>
      <c r="CN626" s="838"/>
      <c r="CO626" s="838"/>
      <c r="CP626" s="838"/>
      <c r="CQ626" s="838"/>
      <c r="CR626" s="838"/>
      <c r="CS626" s="838"/>
      <c r="CT626" s="838"/>
      <c r="CU626" s="838"/>
    </row>
    <row r="627">
      <c r="A627" s="860"/>
      <c r="B627" s="860"/>
      <c r="C627" s="860"/>
      <c r="D627" s="860"/>
      <c r="E627" s="860"/>
      <c r="F627" s="860"/>
      <c r="G627" s="860"/>
      <c r="H627" s="860"/>
      <c r="I627" s="860"/>
      <c r="J627" s="860"/>
      <c r="K627" s="860"/>
      <c r="L627" s="860"/>
      <c r="M627" s="860"/>
      <c r="N627" s="860"/>
      <c r="O627" s="860"/>
      <c r="P627" s="860"/>
      <c r="Q627" s="860"/>
      <c r="R627" s="860"/>
      <c r="S627" s="860"/>
      <c r="T627" s="860"/>
      <c r="U627" s="860"/>
      <c r="V627" s="860"/>
      <c r="W627" s="860"/>
      <c r="X627" s="860"/>
      <c r="Y627" s="860"/>
      <c r="Z627" s="860"/>
      <c r="AA627" s="860"/>
      <c r="AB627" s="860"/>
      <c r="AC627" s="860"/>
      <c r="AD627" s="860"/>
      <c r="AE627" s="860"/>
      <c r="AF627" s="860"/>
      <c r="AG627" s="860"/>
      <c r="AH627" s="860"/>
      <c r="AJ627" s="836"/>
      <c r="AK627" s="836"/>
      <c r="AL627" s="836"/>
      <c r="AM627" s="836"/>
      <c r="AN627" s="836"/>
      <c r="AO627" s="836"/>
      <c r="AP627" s="836"/>
      <c r="AQ627" s="836"/>
      <c r="AR627" s="836"/>
      <c r="AS627" s="836"/>
      <c r="AT627" s="836"/>
      <c r="AU627" s="836"/>
      <c r="AV627" s="836"/>
      <c r="AW627" s="836"/>
      <c r="AX627" s="836"/>
      <c r="AY627" s="836"/>
      <c r="AZ627" s="836"/>
      <c r="BA627" s="836"/>
      <c r="BB627" s="836"/>
      <c r="BC627" s="836"/>
      <c r="BD627" s="836"/>
      <c r="BE627" s="836"/>
      <c r="BF627" s="836"/>
      <c r="BG627" s="836"/>
      <c r="BH627" s="836"/>
      <c r="BI627" s="836"/>
      <c r="BJ627" s="836"/>
      <c r="BK627" s="836"/>
      <c r="BL627" s="836"/>
      <c r="BM627" s="836"/>
      <c r="BN627" s="836"/>
      <c r="BO627" s="836"/>
      <c r="BP627" s="836"/>
      <c r="BR627" s="838"/>
      <c r="BS627" s="838"/>
      <c r="BT627" s="838"/>
      <c r="BU627" s="838"/>
      <c r="BV627" s="838"/>
      <c r="BW627" s="838"/>
      <c r="BX627" s="838"/>
      <c r="BY627" s="838"/>
      <c r="BZ627" s="838"/>
      <c r="CA627" s="838"/>
      <c r="CB627" s="838"/>
      <c r="CC627" s="838"/>
      <c r="CD627" s="838"/>
      <c r="CE627" s="838"/>
      <c r="CF627" s="838"/>
      <c r="CG627" s="838"/>
      <c r="CH627" s="838"/>
      <c r="CI627" s="838"/>
      <c r="CJ627" s="838"/>
      <c r="CK627" s="838"/>
      <c r="CL627" s="838"/>
      <c r="CM627" s="838"/>
      <c r="CN627" s="838"/>
      <c r="CO627" s="838"/>
      <c r="CP627" s="838"/>
      <c r="CQ627" s="838"/>
      <c r="CR627" s="838"/>
      <c r="CS627" s="838"/>
      <c r="CT627" s="838"/>
      <c r="CU627" s="838"/>
    </row>
    <row r="628">
      <c r="A628" s="860"/>
      <c r="B628" s="860"/>
      <c r="C628" s="860"/>
      <c r="D628" s="860"/>
      <c r="E628" s="860"/>
      <c r="F628" s="860"/>
      <c r="G628" s="860"/>
      <c r="H628" s="860"/>
      <c r="I628" s="860"/>
      <c r="J628" s="860"/>
      <c r="K628" s="860"/>
      <c r="L628" s="860"/>
      <c r="M628" s="860"/>
      <c r="N628" s="860"/>
      <c r="O628" s="860"/>
      <c r="P628" s="860"/>
      <c r="Q628" s="860"/>
      <c r="R628" s="860"/>
      <c r="S628" s="860"/>
      <c r="T628" s="860"/>
      <c r="U628" s="860"/>
      <c r="V628" s="860"/>
      <c r="W628" s="860"/>
      <c r="X628" s="860"/>
      <c r="Y628" s="860"/>
      <c r="Z628" s="860"/>
      <c r="AA628" s="860"/>
      <c r="AB628" s="860"/>
      <c r="AC628" s="860"/>
      <c r="AD628" s="860"/>
      <c r="AE628" s="860"/>
      <c r="AF628" s="860"/>
      <c r="AG628" s="860"/>
      <c r="AH628" s="860"/>
      <c r="AJ628" s="836"/>
      <c r="AK628" s="836"/>
      <c r="AL628" s="836"/>
      <c r="AM628" s="836"/>
      <c r="AN628" s="836"/>
      <c r="AO628" s="836"/>
      <c r="AP628" s="836"/>
      <c r="AQ628" s="836"/>
      <c r="AR628" s="836"/>
      <c r="AS628" s="836"/>
      <c r="AT628" s="836"/>
      <c r="AU628" s="836"/>
      <c r="AV628" s="836"/>
      <c r="AW628" s="836"/>
      <c r="AX628" s="836"/>
      <c r="AY628" s="836"/>
      <c r="AZ628" s="836"/>
      <c r="BA628" s="836"/>
      <c r="BB628" s="836"/>
      <c r="BC628" s="836"/>
      <c r="BD628" s="836"/>
      <c r="BE628" s="836"/>
      <c r="BF628" s="836"/>
      <c r="BG628" s="836"/>
      <c r="BH628" s="836"/>
      <c r="BI628" s="836"/>
      <c r="BJ628" s="836"/>
      <c r="BK628" s="836"/>
      <c r="BL628" s="836"/>
      <c r="BM628" s="836"/>
      <c r="BN628" s="836"/>
      <c r="BO628" s="836"/>
      <c r="BP628" s="836"/>
      <c r="BR628" s="838"/>
      <c r="BS628" s="838"/>
      <c r="BT628" s="838"/>
      <c r="BU628" s="838"/>
      <c r="BV628" s="838"/>
      <c r="BW628" s="838"/>
      <c r="BX628" s="838"/>
      <c r="BY628" s="838"/>
      <c r="BZ628" s="838"/>
      <c r="CA628" s="838"/>
      <c r="CB628" s="838"/>
      <c r="CC628" s="838"/>
      <c r="CD628" s="838"/>
      <c r="CE628" s="838"/>
      <c r="CF628" s="838"/>
      <c r="CG628" s="838"/>
      <c r="CH628" s="838"/>
      <c r="CI628" s="838"/>
      <c r="CJ628" s="838"/>
      <c r="CK628" s="838"/>
      <c r="CL628" s="838"/>
      <c r="CM628" s="838"/>
      <c r="CN628" s="838"/>
      <c r="CO628" s="838"/>
      <c r="CP628" s="838"/>
      <c r="CQ628" s="838"/>
      <c r="CR628" s="838"/>
      <c r="CS628" s="838"/>
      <c r="CT628" s="838"/>
      <c r="CU628" s="838"/>
    </row>
    <row r="629">
      <c r="A629" s="860"/>
      <c r="B629" s="860"/>
      <c r="C629" s="860"/>
      <c r="D629" s="860"/>
      <c r="E629" s="860"/>
      <c r="F629" s="860"/>
      <c r="G629" s="860"/>
      <c r="H629" s="860"/>
      <c r="I629" s="860"/>
      <c r="J629" s="860"/>
      <c r="K629" s="860"/>
      <c r="L629" s="860"/>
      <c r="M629" s="860"/>
      <c r="N629" s="860"/>
      <c r="O629" s="860"/>
      <c r="P629" s="860"/>
      <c r="Q629" s="860"/>
      <c r="R629" s="860"/>
      <c r="S629" s="860"/>
      <c r="T629" s="860"/>
      <c r="U629" s="860"/>
      <c r="V629" s="860"/>
      <c r="W629" s="860"/>
      <c r="X629" s="860"/>
      <c r="Y629" s="860"/>
      <c r="Z629" s="860"/>
      <c r="AA629" s="860"/>
      <c r="AB629" s="860"/>
      <c r="AC629" s="860"/>
      <c r="AD629" s="860"/>
      <c r="AE629" s="860"/>
      <c r="AF629" s="860"/>
      <c r="AG629" s="860"/>
      <c r="AH629" s="860"/>
      <c r="AJ629" s="836"/>
      <c r="AK629" s="836"/>
      <c r="AL629" s="836"/>
      <c r="AM629" s="836"/>
      <c r="AN629" s="836"/>
      <c r="AO629" s="836"/>
      <c r="AP629" s="836"/>
      <c r="AQ629" s="836"/>
      <c r="AR629" s="836"/>
      <c r="AS629" s="836"/>
      <c r="AT629" s="836"/>
      <c r="AU629" s="836"/>
      <c r="AV629" s="836"/>
      <c r="AW629" s="836"/>
      <c r="AX629" s="836"/>
      <c r="AY629" s="836"/>
      <c r="AZ629" s="836"/>
      <c r="BA629" s="836"/>
      <c r="BB629" s="836"/>
      <c r="BC629" s="836"/>
      <c r="BD629" s="836"/>
      <c r="BE629" s="836"/>
      <c r="BF629" s="836"/>
      <c r="BG629" s="836"/>
      <c r="BH629" s="836"/>
      <c r="BI629" s="836"/>
      <c r="BJ629" s="836"/>
      <c r="BK629" s="836"/>
      <c r="BL629" s="836"/>
      <c r="BM629" s="836"/>
      <c r="BN629" s="836"/>
      <c r="BO629" s="836"/>
      <c r="BP629" s="836"/>
      <c r="BR629" s="838"/>
      <c r="BS629" s="838"/>
      <c r="BT629" s="838"/>
      <c r="BU629" s="838"/>
      <c r="BV629" s="838"/>
      <c r="BW629" s="838"/>
      <c r="BX629" s="838"/>
      <c r="BY629" s="838"/>
      <c r="BZ629" s="838"/>
      <c r="CA629" s="838"/>
      <c r="CB629" s="838"/>
      <c r="CC629" s="838"/>
      <c r="CD629" s="838"/>
      <c r="CE629" s="838"/>
      <c r="CF629" s="838"/>
      <c r="CG629" s="838"/>
      <c r="CH629" s="838"/>
      <c r="CI629" s="838"/>
      <c r="CJ629" s="838"/>
      <c r="CK629" s="838"/>
      <c r="CL629" s="838"/>
      <c r="CM629" s="838"/>
      <c r="CN629" s="838"/>
      <c r="CO629" s="838"/>
      <c r="CP629" s="838"/>
      <c r="CQ629" s="838"/>
      <c r="CR629" s="838"/>
      <c r="CS629" s="838"/>
      <c r="CT629" s="838"/>
      <c r="CU629" s="838"/>
    </row>
    <row r="630">
      <c r="A630" s="860"/>
      <c r="B630" s="860"/>
      <c r="C630" s="860"/>
      <c r="D630" s="860"/>
      <c r="E630" s="860"/>
      <c r="F630" s="860"/>
      <c r="G630" s="860"/>
      <c r="H630" s="860"/>
      <c r="I630" s="860"/>
      <c r="J630" s="860"/>
      <c r="K630" s="860"/>
      <c r="L630" s="860"/>
      <c r="M630" s="860"/>
      <c r="N630" s="860"/>
      <c r="O630" s="860"/>
      <c r="P630" s="860"/>
      <c r="Q630" s="860"/>
      <c r="R630" s="860"/>
      <c r="S630" s="860"/>
      <c r="T630" s="860"/>
      <c r="U630" s="860"/>
      <c r="V630" s="860"/>
      <c r="W630" s="860"/>
      <c r="X630" s="860"/>
      <c r="Y630" s="860"/>
      <c r="Z630" s="860"/>
      <c r="AA630" s="860"/>
      <c r="AB630" s="860"/>
      <c r="AC630" s="860"/>
      <c r="AD630" s="860"/>
      <c r="AE630" s="860"/>
      <c r="AF630" s="860"/>
      <c r="AG630" s="860"/>
      <c r="AH630" s="860"/>
      <c r="AJ630" s="836"/>
      <c r="AK630" s="836"/>
      <c r="AL630" s="836"/>
      <c r="AM630" s="836"/>
      <c r="AN630" s="836"/>
      <c r="AO630" s="836"/>
      <c r="AP630" s="836"/>
      <c r="AQ630" s="836"/>
      <c r="AR630" s="836"/>
      <c r="AS630" s="836"/>
      <c r="AT630" s="836"/>
      <c r="AU630" s="836"/>
      <c r="AV630" s="836"/>
      <c r="AW630" s="836"/>
      <c r="AX630" s="836"/>
      <c r="AY630" s="836"/>
      <c r="AZ630" s="836"/>
      <c r="BA630" s="836"/>
      <c r="BB630" s="836"/>
      <c r="BC630" s="836"/>
      <c r="BD630" s="836"/>
      <c r="BE630" s="836"/>
      <c r="BF630" s="836"/>
      <c r="BG630" s="836"/>
      <c r="BH630" s="836"/>
      <c r="BI630" s="836"/>
      <c r="BJ630" s="836"/>
      <c r="BK630" s="836"/>
      <c r="BL630" s="836"/>
      <c r="BM630" s="836"/>
      <c r="BN630" s="836"/>
      <c r="BO630" s="836"/>
      <c r="BP630" s="836"/>
      <c r="BR630" s="838"/>
      <c r="BS630" s="838"/>
      <c r="BT630" s="838"/>
      <c r="BU630" s="838"/>
      <c r="BV630" s="838"/>
      <c r="BW630" s="838"/>
      <c r="BX630" s="838"/>
      <c r="BY630" s="838"/>
      <c r="BZ630" s="838"/>
      <c r="CA630" s="838"/>
      <c r="CB630" s="838"/>
      <c r="CC630" s="838"/>
      <c r="CD630" s="838"/>
      <c r="CE630" s="838"/>
      <c r="CF630" s="838"/>
      <c r="CG630" s="838"/>
      <c r="CH630" s="838"/>
      <c r="CI630" s="838"/>
      <c r="CJ630" s="838"/>
      <c r="CK630" s="838"/>
      <c r="CL630" s="838"/>
      <c r="CM630" s="838"/>
      <c r="CN630" s="838"/>
      <c r="CO630" s="838"/>
      <c r="CP630" s="838"/>
      <c r="CQ630" s="838"/>
      <c r="CR630" s="838"/>
      <c r="CS630" s="838"/>
      <c r="CT630" s="838"/>
      <c r="CU630" s="838"/>
    </row>
    <row r="631">
      <c r="A631" s="860"/>
      <c r="B631" s="860"/>
      <c r="C631" s="860"/>
      <c r="D631" s="860"/>
      <c r="E631" s="860"/>
      <c r="F631" s="860"/>
      <c r="G631" s="860"/>
      <c r="H631" s="860"/>
      <c r="I631" s="860"/>
      <c r="J631" s="860"/>
      <c r="K631" s="860"/>
      <c r="L631" s="860"/>
      <c r="M631" s="860"/>
      <c r="N631" s="860"/>
      <c r="O631" s="860"/>
      <c r="P631" s="860"/>
      <c r="Q631" s="860"/>
      <c r="R631" s="860"/>
      <c r="S631" s="860"/>
      <c r="T631" s="860"/>
      <c r="U631" s="860"/>
      <c r="V631" s="860"/>
      <c r="W631" s="860"/>
      <c r="X631" s="860"/>
      <c r="Y631" s="860"/>
      <c r="Z631" s="860"/>
      <c r="AA631" s="860"/>
      <c r="AB631" s="860"/>
      <c r="AC631" s="860"/>
      <c r="AD631" s="860"/>
      <c r="AE631" s="860"/>
      <c r="AF631" s="860"/>
      <c r="AG631" s="860"/>
      <c r="AH631" s="860"/>
      <c r="AJ631" s="836"/>
      <c r="AK631" s="836"/>
      <c r="AL631" s="836"/>
      <c r="AM631" s="836"/>
      <c r="AN631" s="836"/>
      <c r="AO631" s="836"/>
      <c r="AP631" s="836"/>
      <c r="AQ631" s="836"/>
      <c r="AR631" s="836"/>
      <c r="AS631" s="836"/>
      <c r="AT631" s="836"/>
      <c r="AU631" s="836"/>
      <c r="AV631" s="836"/>
      <c r="AW631" s="836"/>
      <c r="AX631" s="836"/>
      <c r="AY631" s="836"/>
      <c r="AZ631" s="836"/>
      <c r="BA631" s="836"/>
      <c r="BB631" s="836"/>
      <c r="BC631" s="836"/>
      <c r="BD631" s="836"/>
      <c r="BE631" s="836"/>
      <c r="BF631" s="836"/>
      <c r="BG631" s="836"/>
      <c r="BH631" s="836"/>
      <c r="BI631" s="836"/>
      <c r="BJ631" s="836"/>
      <c r="BK631" s="836"/>
      <c r="BL631" s="836"/>
      <c r="BM631" s="836"/>
      <c r="BN631" s="836"/>
      <c r="BO631" s="836"/>
      <c r="BP631" s="836"/>
      <c r="BR631" s="838"/>
      <c r="BS631" s="838"/>
      <c r="BT631" s="838"/>
      <c r="BU631" s="838"/>
      <c r="BV631" s="838"/>
      <c r="BW631" s="838"/>
      <c r="BX631" s="838"/>
      <c r="BY631" s="838"/>
      <c r="BZ631" s="838"/>
      <c r="CA631" s="838"/>
      <c r="CB631" s="838"/>
      <c r="CC631" s="838"/>
      <c r="CD631" s="838"/>
      <c r="CE631" s="838"/>
      <c r="CF631" s="838"/>
      <c r="CG631" s="838"/>
      <c r="CH631" s="838"/>
      <c r="CI631" s="838"/>
      <c r="CJ631" s="838"/>
      <c r="CK631" s="838"/>
      <c r="CL631" s="838"/>
      <c r="CM631" s="838"/>
      <c r="CN631" s="838"/>
      <c r="CO631" s="838"/>
      <c r="CP631" s="838"/>
      <c r="CQ631" s="838"/>
      <c r="CR631" s="838"/>
      <c r="CS631" s="838"/>
      <c r="CT631" s="838"/>
      <c r="CU631" s="838"/>
    </row>
    <row r="632">
      <c r="A632" s="860"/>
      <c r="B632" s="860"/>
      <c r="C632" s="860"/>
      <c r="D632" s="860"/>
      <c r="E632" s="860"/>
      <c r="F632" s="860"/>
      <c r="G632" s="860"/>
      <c r="H632" s="860"/>
      <c r="I632" s="860"/>
      <c r="J632" s="860"/>
      <c r="K632" s="860"/>
      <c r="L632" s="860"/>
      <c r="M632" s="860"/>
      <c r="N632" s="860"/>
      <c r="O632" s="860"/>
      <c r="P632" s="860"/>
      <c r="Q632" s="860"/>
      <c r="R632" s="860"/>
      <c r="S632" s="860"/>
      <c r="T632" s="860"/>
      <c r="U632" s="860"/>
      <c r="V632" s="860"/>
      <c r="W632" s="860"/>
      <c r="X632" s="860"/>
      <c r="Y632" s="860"/>
      <c r="Z632" s="860"/>
      <c r="AA632" s="860"/>
      <c r="AB632" s="860"/>
      <c r="AC632" s="860"/>
      <c r="AD632" s="860"/>
      <c r="AE632" s="860"/>
      <c r="AF632" s="860"/>
      <c r="AG632" s="860"/>
      <c r="AH632" s="860"/>
      <c r="AJ632" s="836"/>
      <c r="AK632" s="836"/>
      <c r="AL632" s="836"/>
      <c r="AM632" s="836"/>
      <c r="AN632" s="836"/>
      <c r="AO632" s="836"/>
      <c r="AP632" s="836"/>
      <c r="AQ632" s="836"/>
      <c r="AR632" s="836"/>
      <c r="AS632" s="836"/>
      <c r="AT632" s="836"/>
      <c r="AU632" s="836"/>
      <c r="AV632" s="836"/>
      <c r="AW632" s="836"/>
      <c r="AX632" s="836"/>
      <c r="AY632" s="836"/>
      <c r="AZ632" s="836"/>
      <c r="BA632" s="836"/>
      <c r="BB632" s="836"/>
      <c r="BC632" s="836"/>
      <c r="BD632" s="836"/>
      <c r="BE632" s="836"/>
      <c r="BF632" s="836"/>
      <c r="BG632" s="836"/>
      <c r="BH632" s="836"/>
      <c r="BI632" s="836"/>
      <c r="BJ632" s="836"/>
      <c r="BK632" s="836"/>
      <c r="BL632" s="836"/>
      <c r="BM632" s="836"/>
      <c r="BN632" s="836"/>
      <c r="BO632" s="836"/>
      <c r="BP632" s="836"/>
      <c r="BR632" s="838"/>
      <c r="BS632" s="838"/>
      <c r="BT632" s="838"/>
      <c r="BU632" s="838"/>
      <c r="BV632" s="838"/>
      <c r="BW632" s="838"/>
      <c r="BX632" s="838"/>
      <c r="BY632" s="838"/>
      <c r="BZ632" s="838"/>
      <c r="CA632" s="838"/>
      <c r="CB632" s="838"/>
      <c r="CC632" s="838"/>
      <c r="CD632" s="838"/>
      <c r="CE632" s="838"/>
      <c r="CF632" s="838"/>
      <c r="CG632" s="838"/>
      <c r="CH632" s="838"/>
      <c r="CI632" s="838"/>
      <c r="CJ632" s="838"/>
      <c r="CK632" s="838"/>
      <c r="CL632" s="838"/>
      <c r="CM632" s="838"/>
      <c r="CN632" s="838"/>
      <c r="CO632" s="838"/>
      <c r="CP632" s="838"/>
      <c r="CQ632" s="838"/>
      <c r="CR632" s="838"/>
      <c r="CS632" s="838"/>
      <c r="CT632" s="838"/>
      <c r="CU632" s="838"/>
    </row>
    <row r="633">
      <c r="A633" s="860"/>
      <c r="B633" s="860"/>
      <c r="C633" s="860"/>
      <c r="D633" s="860"/>
      <c r="E633" s="860"/>
      <c r="F633" s="860"/>
      <c r="G633" s="860"/>
      <c r="H633" s="860"/>
      <c r="I633" s="860"/>
      <c r="J633" s="860"/>
      <c r="K633" s="860"/>
      <c r="L633" s="860"/>
      <c r="M633" s="860"/>
      <c r="N633" s="860"/>
      <c r="O633" s="860"/>
      <c r="P633" s="860"/>
      <c r="Q633" s="860"/>
      <c r="R633" s="860"/>
      <c r="S633" s="860"/>
      <c r="T633" s="860"/>
      <c r="U633" s="860"/>
      <c r="V633" s="860"/>
      <c r="W633" s="860"/>
      <c r="X633" s="860"/>
      <c r="Y633" s="860"/>
      <c r="Z633" s="860"/>
      <c r="AA633" s="860"/>
      <c r="AB633" s="860"/>
      <c r="AC633" s="860"/>
      <c r="AD633" s="860"/>
      <c r="AE633" s="860"/>
      <c r="AF633" s="860"/>
      <c r="AG633" s="860"/>
      <c r="AH633" s="860"/>
      <c r="AJ633" s="836"/>
      <c r="AK633" s="836"/>
      <c r="AL633" s="836"/>
      <c r="AM633" s="836"/>
      <c r="AN633" s="836"/>
      <c r="AO633" s="836"/>
      <c r="AP633" s="836"/>
      <c r="AQ633" s="836"/>
      <c r="AR633" s="836"/>
      <c r="AS633" s="836"/>
      <c r="AT633" s="836"/>
      <c r="AU633" s="836"/>
      <c r="AV633" s="836"/>
      <c r="AW633" s="836"/>
      <c r="AX633" s="836"/>
      <c r="AY633" s="836"/>
      <c r="AZ633" s="836"/>
      <c r="BA633" s="836"/>
      <c r="BB633" s="836"/>
      <c r="BC633" s="836"/>
      <c r="BD633" s="836"/>
      <c r="BE633" s="836"/>
      <c r="BF633" s="836"/>
      <c r="BG633" s="836"/>
      <c r="BH633" s="836"/>
      <c r="BI633" s="836"/>
      <c r="BJ633" s="836"/>
      <c r="BK633" s="836"/>
      <c r="BL633" s="836"/>
      <c r="BM633" s="836"/>
      <c r="BN633" s="836"/>
      <c r="BO633" s="836"/>
      <c r="BP633" s="836"/>
      <c r="BR633" s="838"/>
      <c r="BS633" s="838"/>
      <c r="BT633" s="838"/>
      <c r="BU633" s="838"/>
      <c r="BV633" s="838"/>
      <c r="BW633" s="838"/>
      <c r="BX633" s="838"/>
      <c r="BY633" s="838"/>
      <c r="BZ633" s="838"/>
      <c r="CA633" s="838"/>
      <c r="CB633" s="838"/>
      <c r="CC633" s="838"/>
      <c r="CD633" s="838"/>
      <c r="CE633" s="838"/>
      <c r="CF633" s="838"/>
      <c r="CG633" s="838"/>
      <c r="CH633" s="838"/>
      <c r="CI633" s="838"/>
      <c r="CJ633" s="838"/>
      <c r="CK633" s="838"/>
      <c r="CL633" s="838"/>
      <c r="CM633" s="838"/>
      <c r="CN633" s="838"/>
      <c r="CO633" s="838"/>
      <c r="CP633" s="838"/>
      <c r="CQ633" s="838"/>
      <c r="CR633" s="838"/>
      <c r="CS633" s="838"/>
      <c r="CT633" s="838"/>
      <c r="CU633" s="838"/>
    </row>
    <row r="634">
      <c r="A634" s="860"/>
      <c r="B634" s="860"/>
      <c r="C634" s="860"/>
      <c r="D634" s="860"/>
      <c r="E634" s="860"/>
      <c r="F634" s="860"/>
      <c r="G634" s="860"/>
      <c r="H634" s="860"/>
      <c r="I634" s="860"/>
      <c r="J634" s="860"/>
      <c r="K634" s="860"/>
      <c r="L634" s="860"/>
      <c r="M634" s="860"/>
      <c r="N634" s="860"/>
      <c r="O634" s="860"/>
      <c r="P634" s="860"/>
      <c r="Q634" s="860"/>
      <c r="R634" s="860"/>
      <c r="S634" s="860"/>
      <c r="T634" s="860"/>
      <c r="U634" s="860"/>
      <c r="V634" s="860"/>
      <c r="W634" s="860"/>
      <c r="X634" s="860"/>
      <c r="Y634" s="860"/>
      <c r="Z634" s="860"/>
      <c r="AA634" s="860"/>
      <c r="AB634" s="860"/>
      <c r="AC634" s="860"/>
      <c r="AD634" s="860"/>
      <c r="AE634" s="860"/>
      <c r="AF634" s="860"/>
      <c r="AG634" s="860"/>
      <c r="AH634" s="860"/>
      <c r="AJ634" s="836"/>
      <c r="AK634" s="836"/>
      <c r="AL634" s="836"/>
      <c r="AM634" s="836"/>
      <c r="AN634" s="836"/>
      <c r="AO634" s="836"/>
      <c r="AP634" s="836"/>
      <c r="AQ634" s="836"/>
      <c r="AR634" s="836"/>
      <c r="AS634" s="836"/>
      <c r="AT634" s="836"/>
      <c r="AU634" s="836"/>
      <c r="AV634" s="836"/>
      <c r="AW634" s="836"/>
      <c r="AX634" s="836"/>
      <c r="AY634" s="836"/>
      <c r="AZ634" s="836"/>
      <c r="BA634" s="836"/>
      <c r="BB634" s="836"/>
      <c r="BC634" s="836"/>
      <c r="BD634" s="836"/>
      <c r="BE634" s="836"/>
      <c r="BF634" s="836"/>
      <c r="BG634" s="836"/>
      <c r="BH634" s="836"/>
      <c r="BI634" s="836"/>
      <c r="BJ634" s="836"/>
      <c r="BK634" s="836"/>
      <c r="BL634" s="836"/>
      <c r="BM634" s="836"/>
      <c r="BN634" s="836"/>
      <c r="BO634" s="836"/>
      <c r="BP634" s="836"/>
      <c r="BR634" s="838"/>
      <c r="BS634" s="838"/>
      <c r="BT634" s="838"/>
      <c r="BU634" s="838"/>
      <c r="BV634" s="838"/>
      <c r="BW634" s="838"/>
      <c r="BX634" s="838"/>
      <c r="BY634" s="838"/>
      <c r="BZ634" s="838"/>
      <c r="CA634" s="838"/>
      <c r="CB634" s="838"/>
      <c r="CC634" s="838"/>
      <c r="CD634" s="838"/>
      <c r="CE634" s="838"/>
      <c r="CF634" s="838"/>
      <c r="CG634" s="838"/>
      <c r="CH634" s="838"/>
      <c r="CI634" s="838"/>
      <c r="CJ634" s="838"/>
      <c r="CK634" s="838"/>
      <c r="CL634" s="838"/>
      <c r="CM634" s="838"/>
      <c r="CN634" s="838"/>
      <c r="CO634" s="838"/>
      <c r="CP634" s="838"/>
      <c r="CQ634" s="838"/>
      <c r="CR634" s="838"/>
      <c r="CS634" s="838"/>
      <c r="CT634" s="838"/>
      <c r="CU634" s="838"/>
    </row>
    <row r="635">
      <c r="A635" s="860"/>
      <c r="B635" s="860"/>
      <c r="C635" s="860"/>
      <c r="D635" s="860"/>
      <c r="E635" s="860"/>
      <c r="F635" s="860"/>
      <c r="G635" s="860"/>
      <c r="H635" s="860"/>
      <c r="I635" s="860"/>
      <c r="J635" s="860"/>
      <c r="K635" s="860"/>
      <c r="L635" s="860"/>
      <c r="M635" s="860"/>
      <c r="N635" s="860"/>
      <c r="O635" s="860"/>
      <c r="P635" s="860"/>
      <c r="Q635" s="860"/>
      <c r="R635" s="860"/>
      <c r="S635" s="860"/>
      <c r="T635" s="860"/>
      <c r="U635" s="860"/>
      <c r="V635" s="860"/>
      <c r="W635" s="860"/>
      <c r="X635" s="860"/>
      <c r="Y635" s="860"/>
      <c r="Z635" s="860"/>
      <c r="AA635" s="860"/>
      <c r="AB635" s="860"/>
      <c r="AC635" s="860"/>
      <c r="AD635" s="860"/>
      <c r="AE635" s="860"/>
      <c r="AF635" s="860"/>
      <c r="AG635" s="860"/>
      <c r="AH635" s="860"/>
      <c r="AJ635" s="836"/>
      <c r="AK635" s="836"/>
      <c r="AL635" s="836"/>
      <c r="AM635" s="836"/>
      <c r="AN635" s="836"/>
      <c r="AO635" s="836"/>
      <c r="AP635" s="836"/>
      <c r="AQ635" s="836"/>
      <c r="AR635" s="836"/>
      <c r="AS635" s="836"/>
      <c r="AT635" s="836"/>
      <c r="AU635" s="836"/>
      <c r="AV635" s="836"/>
      <c r="AW635" s="836"/>
      <c r="AX635" s="836"/>
      <c r="AY635" s="836"/>
      <c r="AZ635" s="836"/>
      <c r="BA635" s="836"/>
      <c r="BB635" s="836"/>
      <c r="BC635" s="836"/>
      <c r="BD635" s="836"/>
      <c r="BE635" s="836"/>
      <c r="BF635" s="836"/>
      <c r="BG635" s="836"/>
      <c r="BH635" s="836"/>
      <c r="BI635" s="836"/>
      <c r="BJ635" s="836"/>
      <c r="BK635" s="836"/>
      <c r="BL635" s="836"/>
      <c r="BM635" s="836"/>
      <c r="BN635" s="836"/>
      <c r="BO635" s="836"/>
      <c r="BP635" s="836"/>
      <c r="BR635" s="838"/>
      <c r="BS635" s="838"/>
      <c r="BT635" s="838"/>
      <c r="BU635" s="838"/>
      <c r="BV635" s="838"/>
      <c r="BW635" s="838"/>
      <c r="BX635" s="838"/>
      <c r="BY635" s="838"/>
      <c r="BZ635" s="838"/>
      <c r="CA635" s="838"/>
      <c r="CB635" s="838"/>
      <c r="CC635" s="838"/>
      <c r="CD635" s="838"/>
      <c r="CE635" s="838"/>
      <c r="CF635" s="838"/>
      <c r="CG635" s="838"/>
      <c r="CH635" s="838"/>
      <c r="CI635" s="838"/>
      <c r="CJ635" s="838"/>
      <c r="CK635" s="838"/>
      <c r="CL635" s="838"/>
      <c r="CM635" s="838"/>
      <c r="CN635" s="838"/>
      <c r="CO635" s="838"/>
      <c r="CP635" s="838"/>
      <c r="CQ635" s="838"/>
      <c r="CR635" s="838"/>
      <c r="CS635" s="838"/>
      <c r="CT635" s="838"/>
      <c r="CU635" s="838"/>
    </row>
    <row r="636">
      <c r="A636" s="860"/>
      <c r="B636" s="860"/>
      <c r="C636" s="860"/>
      <c r="D636" s="860"/>
      <c r="E636" s="860"/>
      <c r="F636" s="860"/>
      <c r="G636" s="860"/>
      <c r="H636" s="860"/>
      <c r="I636" s="860"/>
      <c r="J636" s="860"/>
      <c r="K636" s="860"/>
      <c r="L636" s="860"/>
      <c r="M636" s="860"/>
      <c r="N636" s="860"/>
      <c r="O636" s="860"/>
      <c r="P636" s="860"/>
      <c r="Q636" s="860"/>
      <c r="R636" s="860"/>
      <c r="S636" s="860"/>
      <c r="T636" s="860"/>
      <c r="U636" s="860"/>
      <c r="V636" s="860"/>
      <c r="W636" s="860"/>
      <c r="X636" s="860"/>
      <c r="Y636" s="860"/>
      <c r="Z636" s="860"/>
      <c r="AA636" s="860"/>
      <c r="AB636" s="860"/>
      <c r="AC636" s="860"/>
      <c r="AD636" s="860"/>
      <c r="AE636" s="860"/>
      <c r="AF636" s="860"/>
      <c r="AG636" s="860"/>
      <c r="AH636" s="860"/>
      <c r="AJ636" s="836"/>
      <c r="AK636" s="836"/>
      <c r="AL636" s="836"/>
      <c r="AM636" s="836"/>
      <c r="AN636" s="836"/>
      <c r="AO636" s="836"/>
      <c r="AP636" s="836"/>
      <c r="AQ636" s="836"/>
      <c r="AR636" s="836"/>
      <c r="AS636" s="836"/>
      <c r="AT636" s="836"/>
      <c r="AU636" s="836"/>
      <c r="AV636" s="836"/>
      <c r="AW636" s="836"/>
      <c r="AX636" s="836"/>
      <c r="AY636" s="836"/>
      <c r="AZ636" s="836"/>
      <c r="BA636" s="836"/>
      <c r="BB636" s="836"/>
      <c r="BC636" s="836"/>
      <c r="BD636" s="836"/>
      <c r="BE636" s="836"/>
      <c r="BF636" s="836"/>
      <c r="BG636" s="836"/>
      <c r="BH636" s="836"/>
      <c r="BI636" s="836"/>
      <c r="BJ636" s="836"/>
      <c r="BK636" s="836"/>
      <c r="BL636" s="836"/>
      <c r="BM636" s="836"/>
      <c r="BN636" s="836"/>
      <c r="BO636" s="836"/>
      <c r="BP636" s="836"/>
      <c r="BR636" s="838"/>
      <c r="BS636" s="838"/>
      <c r="BT636" s="838"/>
      <c r="BU636" s="838"/>
      <c r="BV636" s="838"/>
      <c r="BW636" s="838"/>
      <c r="BX636" s="838"/>
      <c r="BY636" s="838"/>
      <c r="BZ636" s="838"/>
      <c r="CA636" s="838"/>
      <c r="CB636" s="838"/>
      <c r="CC636" s="838"/>
      <c r="CD636" s="838"/>
      <c r="CE636" s="838"/>
      <c r="CF636" s="838"/>
      <c r="CG636" s="838"/>
      <c r="CH636" s="838"/>
      <c r="CI636" s="838"/>
      <c r="CJ636" s="838"/>
      <c r="CK636" s="838"/>
      <c r="CL636" s="838"/>
      <c r="CM636" s="838"/>
      <c r="CN636" s="838"/>
      <c r="CO636" s="838"/>
      <c r="CP636" s="838"/>
      <c r="CQ636" s="838"/>
      <c r="CR636" s="838"/>
      <c r="CS636" s="838"/>
      <c r="CT636" s="838"/>
      <c r="CU636" s="838"/>
    </row>
    <row r="637">
      <c r="A637" s="860"/>
      <c r="B637" s="860"/>
      <c r="C637" s="860"/>
      <c r="D637" s="860"/>
      <c r="E637" s="860"/>
      <c r="F637" s="860"/>
      <c r="G637" s="860"/>
      <c r="H637" s="860"/>
      <c r="I637" s="860"/>
      <c r="J637" s="860"/>
      <c r="K637" s="860"/>
      <c r="L637" s="860"/>
      <c r="M637" s="860"/>
      <c r="N637" s="860"/>
      <c r="O637" s="860"/>
      <c r="P637" s="860"/>
      <c r="Q637" s="860"/>
      <c r="R637" s="860"/>
      <c r="S637" s="860"/>
      <c r="T637" s="860"/>
      <c r="U637" s="860"/>
      <c r="V637" s="860"/>
      <c r="W637" s="860"/>
      <c r="X637" s="860"/>
      <c r="Y637" s="860"/>
      <c r="Z637" s="860"/>
      <c r="AA637" s="860"/>
      <c r="AB637" s="860"/>
      <c r="AC637" s="860"/>
      <c r="AD637" s="860"/>
      <c r="AE637" s="860"/>
      <c r="AF637" s="860"/>
      <c r="AG637" s="860"/>
      <c r="AH637" s="860"/>
      <c r="AJ637" s="836"/>
      <c r="AK637" s="836"/>
      <c r="AL637" s="836"/>
      <c r="AM637" s="836"/>
      <c r="AN637" s="836"/>
      <c r="AO637" s="836"/>
      <c r="AP637" s="836"/>
      <c r="AQ637" s="836"/>
      <c r="AR637" s="836"/>
      <c r="AS637" s="836"/>
      <c r="AT637" s="836"/>
      <c r="AU637" s="836"/>
      <c r="AV637" s="836"/>
      <c r="AW637" s="836"/>
      <c r="AX637" s="836"/>
      <c r="AY637" s="836"/>
      <c r="AZ637" s="836"/>
      <c r="BA637" s="836"/>
      <c r="BB637" s="836"/>
      <c r="BC637" s="836"/>
      <c r="BD637" s="836"/>
      <c r="BE637" s="836"/>
      <c r="BF637" s="836"/>
      <c r="BG637" s="836"/>
      <c r="BH637" s="836"/>
      <c r="BI637" s="836"/>
      <c r="BJ637" s="836"/>
      <c r="BK637" s="836"/>
      <c r="BL637" s="836"/>
      <c r="BM637" s="836"/>
      <c r="BN637" s="836"/>
      <c r="BO637" s="836"/>
      <c r="BP637" s="836"/>
      <c r="BR637" s="838"/>
      <c r="BS637" s="838"/>
      <c r="BT637" s="838"/>
      <c r="BU637" s="838"/>
      <c r="BV637" s="838"/>
      <c r="BW637" s="838"/>
      <c r="BX637" s="838"/>
      <c r="BY637" s="838"/>
      <c r="BZ637" s="838"/>
      <c r="CA637" s="838"/>
      <c r="CB637" s="838"/>
      <c r="CC637" s="838"/>
      <c r="CD637" s="838"/>
      <c r="CE637" s="838"/>
      <c r="CF637" s="838"/>
      <c r="CG637" s="838"/>
      <c r="CH637" s="838"/>
      <c r="CI637" s="838"/>
      <c r="CJ637" s="838"/>
      <c r="CK637" s="838"/>
      <c r="CL637" s="838"/>
      <c r="CM637" s="838"/>
      <c r="CN637" s="838"/>
      <c r="CO637" s="838"/>
      <c r="CP637" s="838"/>
      <c r="CQ637" s="838"/>
      <c r="CR637" s="838"/>
      <c r="CS637" s="838"/>
      <c r="CT637" s="838"/>
      <c r="CU637" s="838"/>
    </row>
    <row r="638">
      <c r="A638" s="860"/>
      <c r="B638" s="860"/>
      <c r="C638" s="860"/>
      <c r="D638" s="860"/>
      <c r="E638" s="860"/>
      <c r="F638" s="860"/>
      <c r="G638" s="860"/>
      <c r="H638" s="860"/>
      <c r="I638" s="860"/>
      <c r="J638" s="860"/>
      <c r="K638" s="860"/>
      <c r="L638" s="860"/>
      <c r="M638" s="860"/>
      <c r="N638" s="860"/>
      <c r="O638" s="860"/>
      <c r="P638" s="860"/>
      <c r="Q638" s="860"/>
      <c r="R638" s="860"/>
      <c r="S638" s="860"/>
      <c r="T638" s="860"/>
      <c r="U638" s="860"/>
      <c r="V638" s="860"/>
      <c r="W638" s="860"/>
      <c r="X638" s="860"/>
      <c r="Y638" s="860"/>
      <c r="Z638" s="860"/>
      <c r="AA638" s="860"/>
      <c r="AB638" s="860"/>
      <c r="AC638" s="860"/>
      <c r="AD638" s="860"/>
      <c r="AE638" s="860"/>
      <c r="AF638" s="860"/>
      <c r="AG638" s="860"/>
      <c r="AH638" s="860"/>
      <c r="AJ638" s="836"/>
      <c r="AK638" s="836"/>
      <c r="AL638" s="836"/>
      <c r="AM638" s="836"/>
      <c r="AN638" s="836"/>
      <c r="AO638" s="836"/>
      <c r="AP638" s="836"/>
      <c r="AQ638" s="836"/>
      <c r="AR638" s="836"/>
      <c r="AS638" s="836"/>
      <c r="AT638" s="836"/>
      <c r="AU638" s="836"/>
      <c r="AV638" s="836"/>
      <c r="AW638" s="836"/>
      <c r="AX638" s="836"/>
      <c r="AY638" s="836"/>
      <c r="AZ638" s="836"/>
      <c r="BA638" s="836"/>
      <c r="BB638" s="836"/>
      <c r="BC638" s="836"/>
      <c r="BD638" s="836"/>
      <c r="BE638" s="836"/>
      <c r="BF638" s="836"/>
      <c r="BG638" s="836"/>
      <c r="BH638" s="836"/>
      <c r="BI638" s="836"/>
      <c r="BJ638" s="836"/>
      <c r="BK638" s="836"/>
      <c r="BL638" s="836"/>
      <c r="BM638" s="836"/>
      <c r="BN638" s="836"/>
      <c r="BO638" s="836"/>
      <c r="BP638" s="836"/>
      <c r="BR638" s="838"/>
      <c r="BS638" s="838"/>
      <c r="BT638" s="838"/>
      <c r="BU638" s="838"/>
      <c r="BV638" s="838"/>
      <c r="BW638" s="838"/>
      <c r="BX638" s="838"/>
      <c r="BY638" s="838"/>
      <c r="BZ638" s="838"/>
      <c r="CA638" s="838"/>
      <c r="CB638" s="838"/>
      <c r="CC638" s="838"/>
      <c r="CD638" s="838"/>
      <c r="CE638" s="838"/>
      <c r="CF638" s="838"/>
      <c r="CG638" s="838"/>
      <c r="CH638" s="838"/>
      <c r="CI638" s="838"/>
      <c r="CJ638" s="838"/>
      <c r="CK638" s="838"/>
      <c r="CL638" s="838"/>
      <c r="CM638" s="838"/>
      <c r="CN638" s="838"/>
      <c r="CO638" s="838"/>
      <c r="CP638" s="838"/>
      <c r="CQ638" s="838"/>
      <c r="CR638" s="838"/>
      <c r="CS638" s="838"/>
      <c r="CT638" s="838"/>
      <c r="CU638" s="838"/>
    </row>
    <row r="639">
      <c r="A639" s="860"/>
      <c r="B639" s="860"/>
      <c r="C639" s="860"/>
      <c r="D639" s="860"/>
      <c r="E639" s="860"/>
      <c r="F639" s="860"/>
      <c r="G639" s="860"/>
      <c r="H639" s="860"/>
      <c r="I639" s="860"/>
      <c r="J639" s="860"/>
      <c r="K639" s="860"/>
      <c r="L639" s="860"/>
      <c r="M639" s="860"/>
      <c r="N639" s="860"/>
      <c r="O639" s="860"/>
      <c r="P639" s="860"/>
      <c r="Q639" s="860"/>
      <c r="R639" s="860"/>
      <c r="S639" s="860"/>
      <c r="T639" s="860"/>
      <c r="U639" s="860"/>
      <c r="V639" s="860"/>
      <c r="W639" s="860"/>
      <c r="X639" s="860"/>
      <c r="Y639" s="860"/>
      <c r="Z639" s="860"/>
      <c r="AA639" s="860"/>
      <c r="AB639" s="860"/>
      <c r="AC639" s="860"/>
      <c r="AD639" s="860"/>
      <c r="AE639" s="860"/>
      <c r="AF639" s="860"/>
      <c r="AG639" s="860"/>
      <c r="AH639" s="860"/>
      <c r="AJ639" s="836"/>
      <c r="AK639" s="836"/>
      <c r="AL639" s="836"/>
      <c r="AM639" s="836"/>
      <c r="AN639" s="836"/>
      <c r="AO639" s="836"/>
      <c r="AP639" s="836"/>
      <c r="AQ639" s="836"/>
      <c r="AR639" s="836"/>
      <c r="AS639" s="836"/>
      <c r="AT639" s="836"/>
      <c r="AU639" s="836"/>
      <c r="AV639" s="836"/>
      <c r="AW639" s="836"/>
      <c r="AX639" s="836"/>
      <c r="AY639" s="836"/>
      <c r="AZ639" s="836"/>
      <c r="BA639" s="836"/>
      <c r="BB639" s="836"/>
      <c r="BC639" s="836"/>
      <c r="BD639" s="836"/>
      <c r="BE639" s="836"/>
      <c r="BF639" s="836"/>
      <c r="BG639" s="836"/>
      <c r="BH639" s="836"/>
      <c r="BI639" s="836"/>
      <c r="BJ639" s="836"/>
      <c r="BK639" s="836"/>
      <c r="BL639" s="836"/>
      <c r="BM639" s="836"/>
      <c r="BN639" s="836"/>
      <c r="BO639" s="836"/>
      <c r="BP639" s="836"/>
      <c r="BR639" s="838"/>
      <c r="BS639" s="838"/>
      <c r="BT639" s="838"/>
      <c r="BU639" s="838"/>
      <c r="BV639" s="838"/>
      <c r="BW639" s="838"/>
      <c r="BX639" s="838"/>
      <c r="BY639" s="838"/>
      <c r="BZ639" s="838"/>
      <c r="CA639" s="838"/>
      <c r="CB639" s="838"/>
      <c r="CC639" s="838"/>
      <c r="CD639" s="838"/>
      <c r="CE639" s="838"/>
      <c r="CF639" s="838"/>
      <c r="CG639" s="838"/>
      <c r="CH639" s="838"/>
      <c r="CI639" s="838"/>
      <c r="CJ639" s="838"/>
      <c r="CK639" s="838"/>
      <c r="CL639" s="838"/>
      <c r="CM639" s="838"/>
      <c r="CN639" s="838"/>
      <c r="CO639" s="838"/>
      <c r="CP639" s="838"/>
      <c r="CQ639" s="838"/>
      <c r="CR639" s="838"/>
      <c r="CS639" s="838"/>
      <c r="CT639" s="838"/>
      <c r="CU639" s="838"/>
    </row>
    <row r="640">
      <c r="A640" s="860"/>
      <c r="B640" s="860"/>
      <c r="C640" s="860"/>
      <c r="D640" s="860"/>
      <c r="E640" s="860"/>
      <c r="F640" s="860"/>
      <c r="G640" s="860"/>
      <c r="H640" s="860"/>
      <c r="I640" s="860"/>
      <c r="J640" s="860"/>
      <c r="K640" s="860"/>
      <c r="L640" s="860"/>
      <c r="M640" s="860"/>
      <c r="N640" s="860"/>
      <c r="O640" s="860"/>
      <c r="P640" s="860"/>
      <c r="Q640" s="860"/>
      <c r="R640" s="860"/>
      <c r="S640" s="860"/>
      <c r="T640" s="860"/>
      <c r="U640" s="860"/>
      <c r="V640" s="860"/>
      <c r="W640" s="860"/>
      <c r="X640" s="860"/>
      <c r="Y640" s="860"/>
      <c r="Z640" s="860"/>
      <c r="AA640" s="860"/>
      <c r="AB640" s="860"/>
      <c r="AC640" s="860"/>
      <c r="AD640" s="860"/>
      <c r="AE640" s="860"/>
      <c r="AF640" s="860"/>
      <c r="AG640" s="860"/>
      <c r="AH640" s="860"/>
      <c r="AJ640" s="836"/>
      <c r="AK640" s="836"/>
      <c r="AL640" s="836"/>
      <c r="AM640" s="836"/>
      <c r="AN640" s="836"/>
      <c r="AO640" s="836"/>
      <c r="AP640" s="836"/>
      <c r="AQ640" s="836"/>
      <c r="AR640" s="836"/>
      <c r="AS640" s="836"/>
      <c r="AT640" s="836"/>
      <c r="AU640" s="836"/>
      <c r="AV640" s="836"/>
      <c r="AW640" s="836"/>
      <c r="AX640" s="836"/>
      <c r="AY640" s="836"/>
      <c r="AZ640" s="836"/>
      <c r="BA640" s="836"/>
      <c r="BB640" s="836"/>
      <c r="BC640" s="836"/>
      <c r="BD640" s="836"/>
      <c r="BE640" s="836"/>
      <c r="BF640" s="836"/>
      <c r="BG640" s="836"/>
      <c r="BH640" s="836"/>
      <c r="BI640" s="836"/>
      <c r="BJ640" s="836"/>
      <c r="BK640" s="836"/>
      <c r="BL640" s="836"/>
      <c r="BM640" s="836"/>
      <c r="BN640" s="836"/>
      <c r="BO640" s="836"/>
      <c r="BP640" s="836"/>
      <c r="BR640" s="838"/>
      <c r="BS640" s="838"/>
      <c r="BT640" s="838"/>
      <c r="BU640" s="838"/>
      <c r="BV640" s="838"/>
      <c r="BW640" s="838"/>
      <c r="BX640" s="838"/>
      <c r="BY640" s="838"/>
      <c r="BZ640" s="838"/>
      <c r="CA640" s="838"/>
      <c r="CB640" s="838"/>
      <c r="CC640" s="838"/>
      <c r="CD640" s="838"/>
      <c r="CE640" s="838"/>
      <c r="CF640" s="838"/>
      <c r="CG640" s="838"/>
      <c r="CH640" s="838"/>
      <c r="CI640" s="838"/>
      <c r="CJ640" s="838"/>
      <c r="CK640" s="838"/>
      <c r="CL640" s="838"/>
      <c r="CM640" s="838"/>
      <c r="CN640" s="838"/>
      <c r="CO640" s="838"/>
      <c r="CP640" s="838"/>
      <c r="CQ640" s="838"/>
      <c r="CR640" s="838"/>
      <c r="CS640" s="838"/>
      <c r="CT640" s="838"/>
      <c r="CU640" s="838"/>
    </row>
    <row r="641">
      <c r="A641" s="860"/>
      <c r="B641" s="860"/>
      <c r="C641" s="860"/>
      <c r="D641" s="860"/>
      <c r="E641" s="860"/>
      <c r="F641" s="860"/>
      <c r="G641" s="860"/>
      <c r="H641" s="860"/>
      <c r="I641" s="860"/>
      <c r="J641" s="860"/>
      <c r="K641" s="860"/>
      <c r="L641" s="860"/>
      <c r="M641" s="860"/>
      <c r="N641" s="860"/>
      <c r="O641" s="860"/>
      <c r="P641" s="860"/>
      <c r="Q641" s="860"/>
      <c r="R641" s="860"/>
      <c r="S641" s="860"/>
      <c r="T641" s="860"/>
      <c r="U641" s="860"/>
      <c r="V641" s="860"/>
      <c r="W641" s="860"/>
      <c r="X641" s="860"/>
      <c r="Y641" s="860"/>
      <c r="Z641" s="860"/>
      <c r="AA641" s="860"/>
      <c r="AB641" s="860"/>
      <c r="AC641" s="860"/>
      <c r="AD641" s="860"/>
      <c r="AE641" s="860"/>
      <c r="AF641" s="860"/>
      <c r="AG641" s="860"/>
      <c r="AH641" s="860"/>
      <c r="AJ641" s="836"/>
      <c r="AK641" s="836"/>
      <c r="AL641" s="836"/>
      <c r="AM641" s="836"/>
      <c r="AN641" s="836"/>
      <c r="AO641" s="836"/>
      <c r="AP641" s="836"/>
      <c r="AQ641" s="836"/>
      <c r="AR641" s="836"/>
      <c r="AS641" s="836"/>
      <c r="AT641" s="836"/>
      <c r="AU641" s="836"/>
      <c r="AV641" s="836"/>
      <c r="AW641" s="836"/>
      <c r="AX641" s="836"/>
      <c r="AY641" s="836"/>
      <c r="AZ641" s="836"/>
      <c r="BA641" s="836"/>
      <c r="BB641" s="836"/>
      <c r="BC641" s="836"/>
      <c r="BD641" s="836"/>
      <c r="BE641" s="836"/>
      <c r="BF641" s="836"/>
      <c r="BG641" s="836"/>
      <c r="BH641" s="836"/>
      <c r="BI641" s="836"/>
      <c r="BJ641" s="836"/>
      <c r="BK641" s="836"/>
      <c r="BL641" s="836"/>
      <c r="BM641" s="836"/>
      <c r="BN641" s="836"/>
      <c r="BO641" s="836"/>
      <c r="BP641" s="836"/>
      <c r="BR641" s="838"/>
      <c r="BS641" s="838"/>
      <c r="BT641" s="838"/>
      <c r="BU641" s="838"/>
      <c r="BV641" s="838"/>
      <c r="BW641" s="838"/>
      <c r="BX641" s="838"/>
      <c r="BY641" s="838"/>
      <c r="BZ641" s="838"/>
      <c r="CA641" s="838"/>
      <c r="CB641" s="838"/>
      <c r="CC641" s="838"/>
      <c r="CD641" s="838"/>
      <c r="CE641" s="838"/>
      <c r="CF641" s="838"/>
      <c r="CG641" s="838"/>
      <c r="CH641" s="838"/>
      <c r="CI641" s="838"/>
      <c r="CJ641" s="838"/>
      <c r="CK641" s="838"/>
      <c r="CL641" s="838"/>
      <c r="CM641" s="838"/>
      <c r="CN641" s="838"/>
      <c r="CO641" s="838"/>
      <c r="CP641" s="838"/>
      <c r="CQ641" s="838"/>
      <c r="CR641" s="838"/>
      <c r="CS641" s="838"/>
      <c r="CT641" s="838"/>
      <c r="CU641" s="838"/>
    </row>
    <row r="642">
      <c r="A642" s="860"/>
      <c r="B642" s="860"/>
      <c r="C642" s="860"/>
      <c r="D642" s="860"/>
      <c r="E642" s="860"/>
      <c r="F642" s="860"/>
      <c r="G642" s="860"/>
      <c r="H642" s="860"/>
      <c r="I642" s="860"/>
      <c r="J642" s="860"/>
      <c r="K642" s="860"/>
      <c r="L642" s="860"/>
      <c r="M642" s="860"/>
      <c r="N642" s="860"/>
      <c r="O642" s="860"/>
      <c r="P642" s="860"/>
      <c r="Q642" s="860"/>
      <c r="R642" s="860"/>
      <c r="S642" s="860"/>
      <c r="T642" s="860"/>
      <c r="U642" s="860"/>
      <c r="V642" s="860"/>
      <c r="W642" s="860"/>
      <c r="X642" s="860"/>
      <c r="Y642" s="860"/>
      <c r="Z642" s="860"/>
      <c r="AA642" s="860"/>
      <c r="AB642" s="860"/>
      <c r="AC642" s="860"/>
      <c r="AD642" s="860"/>
      <c r="AE642" s="860"/>
      <c r="AF642" s="860"/>
      <c r="AG642" s="860"/>
      <c r="AH642" s="860"/>
      <c r="AJ642" s="836"/>
      <c r="AK642" s="836"/>
      <c r="AL642" s="836"/>
      <c r="AM642" s="836"/>
      <c r="AN642" s="836"/>
      <c r="AO642" s="836"/>
      <c r="AP642" s="836"/>
      <c r="AQ642" s="836"/>
      <c r="AR642" s="836"/>
      <c r="AS642" s="836"/>
      <c r="AT642" s="836"/>
      <c r="AU642" s="836"/>
      <c r="AV642" s="836"/>
      <c r="AW642" s="836"/>
      <c r="AX642" s="836"/>
      <c r="AY642" s="836"/>
      <c r="AZ642" s="836"/>
      <c r="BA642" s="836"/>
      <c r="BB642" s="836"/>
      <c r="BC642" s="836"/>
      <c r="BD642" s="836"/>
      <c r="BE642" s="836"/>
      <c r="BF642" s="836"/>
      <c r="BG642" s="836"/>
      <c r="BH642" s="836"/>
      <c r="BI642" s="836"/>
      <c r="BJ642" s="836"/>
      <c r="BK642" s="836"/>
      <c r="BL642" s="836"/>
      <c r="BM642" s="836"/>
      <c r="BN642" s="836"/>
      <c r="BO642" s="836"/>
      <c r="BP642" s="836"/>
      <c r="BR642" s="838"/>
      <c r="BS642" s="838"/>
      <c r="BT642" s="838"/>
      <c r="BU642" s="838"/>
      <c r="BV642" s="838"/>
      <c r="BW642" s="838"/>
      <c r="BX642" s="838"/>
      <c r="BY642" s="838"/>
      <c r="BZ642" s="838"/>
      <c r="CA642" s="838"/>
      <c r="CB642" s="838"/>
      <c r="CC642" s="838"/>
      <c r="CD642" s="838"/>
      <c r="CE642" s="838"/>
      <c r="CF642" s="838"/>
      <c r="CG642" s="838"/>
      <c r="CH642" s="838"/>
      <c r="CI642" s="838"/>
      <c r="CJ642" s="838"/>
      <c r="CK642" s="838"/>
      <c r="CL642" s="838"/>
      <c r="CM642" s="838"/>
      <c r="CN642" s="838"/>
      <c r="CO642" s="838"/>
      <c r="CP642" s="838"/>
      <c r="CQ642" s="838"/>
      <c r="CR642" s="838"/>
      <c r="CS642" s="838"/>
      <c r="CT642" s="838"/>
      <c r="CU642" s="838"/>
    </row>
    <row r="643">
      <c r="A643" s="860"/>
      <c r="B643" s="860"/>
      <c r="C643" s="860"/>
      <c r="D643" s="860"/>
      <c r="E643" s="860"/>
      <c r="F643" s="860"/>
      <c r="G643" s="860"/>
      <c r="H643" s="860"/>
      <c r="I643" s="860"/>
      <c r="J643" s="860"/>
      <c r="K643" s="860"/>
      <c r="L643" s="860"/>
      <c r="M643" s="860"/>
      <c r="N643" s="860"/>
      <c r="O643" s="860"/>
      <c r="P643" s="860"/>
      <c r="Q643" s="860"/>
      <c r="R643" s="860"/>
      <c r="S643" s="860"/>
      <c r="T643" s="860"/>
      <c r="U643" s="860"/>
      <c r="V643" s="860"/>
      <c r="W643" s="860"/>
      <c r="X643" s="860"/>
      <c r="Y643" s="860"/>
      <c r="Z643" s="860"/>
      <c r="AA643" s="860"/>
      <c r="AB643" s="860"/>
      <c r="AC643" s="860"/>
      <c r="AD643" s="860"/>
      <c r="AE643" s="860"/>
      <c r="AF643" s="860"/>
      <c r="AG643" s="860"/>
      <c r="AH643" s="860"/>
      <c r="AJ643" s="836"/>
      <c r="AK643" s="836"/>
      <c r="AL643" s="836"/>
      <c r="AM643" s="836"/>
      <c r="AN643" s="836"/>
      <c r="AO643" s="836"/>
      <c r="AP643" s="836"/>
      <c r="AQ643" s="836"/>
      <c r="AR643" s="836"/>
      <c r="AS643" s="836"/>
      <c r="AT643" s="836"/>
      <c r="AU643" s="836"/>
      <c r="AV643" s="836"/>
      <c r="AW643" s="836"/>
      <c r="AX643" s="836"/>
      <c r="AY643" s="836"/>
      <c r="AZ643" s="836"/>
      <c r="BA643" s="836"/>
      <c r="BB643" s="836"/>
      <c r="BC643" s="836"/>
      <c r="BD643" s="836"/>
      <c r="BE643" s="836"/>
      <c r="BF643" s="836"/>
      <c r="BG643" s="836"/>
      <c r="BH643" s="836"/>
      <c r="BI643" s="836"/>
      <c r="BJ643" s="836"/>
      <c r="BK643" s="836"/>
      <c r="BL643" s="836"/>
      <c r="BM643" s="836"/>
      <c r="BN643" s="836"/>
      <c r="BO643" s="836"/>
      <c r="BP643" s="836"/>
      <c r="BR643" s="838"/>
      <c r="BS643" s="838"/>
      <c r="BT643" s="838"/>
      <c r="BU643" s="838"/>
      <c r="BV643" s="838"/>
      <c r="BW643" s="838"/>
      <c r="BX643" s="838"/>
      <c r="BY643" s="838"/>
      <c r="BZ643" s="838"/>
      <c r="CA643" s="838"/>
      <c r="CB643" s="838"/>
      <c r="CC643" s="838"/>
      <c r="CD643" s="838"/>
      <c r="CE643" s="838"/>
      <c r="CF643" s="838"/>
      <c r="CG643" s="838"/>
      <c r="CH643" s="838"/>
      <c r="CI643" s="838"/>
      <c r="CJ643" s="838"/>
      <c r="CK643" s="838"/>
      <c r="CL643" s="838"/>
      <c r="CM643" s="838"/>
      <c r="CN643" s="838"/>
      <c r="CO643" s="838"/>
      <c r="CP643" s="838"/>
      <c r="CQ643" s="838"/>
      <c r="CR643" s="838"/>
      <c r="CS643" s="838"/>
      <c r="CT643" s="838"/>
      <c r="CU643" s="838"/>
    </row>
    <row r="644">
      <c r="A644" s="860"/>
      <c r="B644" s="860"/>
      <c r="C644" s="860"/>
      <c r="D644" s="860"/>
      <c r="E644" s="860"/>
      <c r="F644" s="860"/>
      <c r="G644" s="860"/>
      <c r="H644" s="860"/>
      <c r="I644" s="860"/>
      <c r="J644" s="860"/>
      <c r="K644" s="860"/>
      <c r="L644" s="860"/>
      <c r="M644" s="860"/>
      <c r="N644" s="860"/>
      <c r="O644" s="860"/>
      <c r="P644" s="860"/>
      <c r="Q644" s="860"/>
      <c r="R644" s="860"/>
      <c r="S644" s="860"/>
      <c r="T644" s="860"/>
      <c r="U644" s="860"/>
      <c r="V644" s="860"/>
      <c r="W644" s="860"/>
      <c r="X644" s="860"/>
      <c r="Y644" s="860"/>
      <c r="Z644" s="860"/>
      <c r="AA644" s="860"/>
      <c r="AB644" s="860"/>
      <c r="AC644" s="860"/>
      <c r="AD644" s="860"/>
      <c r="AE644" s="860"/>
      <c r="AF644" s="860"/>
      <c r="AG644" s="860"/>
      <c r="AH644" s="860"/>
      <c r="AJ644" s="836"/>
      <c r="AK644" s="836"/>
      <c r="AL644" s="836"/>
      <c r="AM644" s="836"/>
      <c r="AN644" s="836"/>
      <c r="AO644" s="836"/>
      <c r="AP644" s="836"/>
      <c r="AQ644" s="836"/>
      <c r="AR644" s="836"/>
      <c r="AS644" s="836"/>
      <c r="AT644" s="836"/>
      <c r="AU644" s="836"/>
      <c r="AV644" s="836"/>
      <c r="AW644" s="836"/>
      <c r="AX644" s="836"/>
      <c r="AY644" s="836"/>
      <c r="AZ644" s="836"/>
      <c r="BA644" s="836"/>
      <c r="BB644" s="836"/>
      <c r="BC644" s="836"/>
      <c r="BD644" s="836"/>
      <c r="BE644" s="836"/>
      <c r="BF644" s="836"/>
      <c r="BG644" s="836"/>
      <c r="BH644" s="836"/>
      <c r="BI644" s="836"/>
      <c r="BJ644" s="836"/>
      <c r="BK644" s="836"/>
      <c r="BL644" s="836"/>
      <c r="BM644" s="836"/>
      <c r="BN644" s="836"/>
      <c r="BO644" s="836"/>
      <c r="BP644" s="836"/>
      <c r="BR644" s="838"/>
      <c r="BS644" s="838"/>
      <c r="BT644" s="838"/>
      <c r="BU644" s="838"/>
      <c r="BV644" s="838"/>
      <c r="BW644" s="838"/>
      <c r="BX644" s="838"/>
      <c r="BY644" s="838"/>
      <c r="BZ644" s="838"/>
      <c r="CA644" s="838"/>
      <c r="CB644" s="838"/>
      <c r="CC644" s="838"/>
      <c r="CD644" s="838"/>
      <c r="CE644" s="838"/>
      <c r="CF644" s="838"/>
      <c r="CG644" s="838"/>
      <c r="CH644" s="838"/>
      <c r="CI644" s="838"/>
      <c r="CJ644" s="838"/>
      <c r="CK644" s="838"/>
      <c r="CL644" s="838"/>
      <c r="CM644" s="838"/>
      <c r="CN644" s="838"/>
      <c r="CO644" s="838"/>
      <c r="CP644" s="838"/>
      <c r="CQ644" s="838"/>
      <c r="CR644" s="838"/>
      <c r="CS644" s="838"/>
      <c r="CT644" s="838"/>
      <c r="CU644" s="838"/>
    </row>
    <row r="645">
      <c r="A645" s="860"/>
      <c r="B645" s="860"/>
      <c r="C645" s="860"/>
      <c r="D645" s="860"/>
      <c r="E645" s="860"/>
      <c r="F645" s="860"/>
      <c r="G645" s="860"/>
      <c r="H645" s="860"/>
      <c r="I645" s="860"/>
      <c r="J645" s="860"/>
      <c r="K645" s="860"/>
      <c r="L645" s="860"/>
      <c r="M645" s="860"/>
      <c r="N645" s="860"/>
      <c r="O645" s="860"/>
      <c r="P645" s="860"/>
      <c r="Q645" s="860"/>
      <c r="R645" s="860"/>
      <c r="S645" s="860"/>
      <c r="T645" s="860"/>
      <c r="U645" s="860"/>
      <c r="V645" s="860"/>
      <c r="W645" s="860"/>
      <c r="X645" s="860"/>
      <c r="Y645" s="860"/>
      <c r="Z645" s="860"/>
      <c r="AA645" s="860"/>
      <c r="AB645" s="860"/>
      <c r="AC645" s="860"/>
      <c r="AD645" s="860"/>
      <c r="AE645" s="860"/>
      <c r="AF645" s="860"/>
      <c r="AG645" s="860"/>
      <c r="AH645" s="860"/>
      <c r="AJ645" s="836"/>
      <c r="AK645" s="836"/>
      <c r="AL645" s="836"/>
      <c r="AM645" s="836"/>
      <c r="AN645" s="836"/>
      <c r="AO645" s="836"/>
      <c r="AP645" s="836"/>
      <c r="AQ645" s="836"/>
      <c r="AR645" s="836"/>
      <c r="AS645" s="836"/>
      <c r="AT645" s="836"/>
      <c r="AU645" s="836"/>
      <c r="AV645" s="836"/>
      <c r="AW645" s="836"/>
      <c r="AX645" s="836"/>
      <c r="AY645" s="836"/>
      <c r="AZ645" s="836"/>
      <c r="BA645" s="836"/>
      <c r="BB645" s="836"/>
      <c r="BC645" s="836"/>
      <c r="BD645" s="836"/>
      <c r="BE645" s="836"/>
      <c r="BF645" s="836"/>
      <c r="BG645" s="836"/>
      <c r="BH645" s="836"/>
      <c r="BI645" s="836"/>
      <c r="BJ645" s="836"/>
      <c r="BK645" s="836"/>
      <c r="BL645" s="836"/>
      <c r="BM645" s="836"/>
      <c r="BN645" s="836"/>
      <c r="BO645" s="836"/>
      <c r="BP645" s="836"/>
      <c r="BR645" s="838"/>
      <c r="BS645" s="838"/>
      <c r="BT645" s="838"/>
      <c r="BU645" s="838"/>
      <c r="BV645" s="838"/>
      <c r="BW645" s="838"/>
      <c r="BX645" s="838"/>
      <c r="BY645" s="838"/>
      <c r="BZ645" s="838"/>
      <c r="CA645" s="838"/>
      <c r="CB645" s="838"/>
      <c r="CC645" s="838"/>
      <c r="CD645" s="838"/>
      <c r="CE645" s="838"/>
      <c r="CF645" s="838"/>
      <c r="CG645" s="838"/>
      <c r="CH645" s="838"/>
      <c r="CI645" s="838"/>
      <c r="CJ645" s="838"/>
      <c r="CK645" s="838"/>
      <c r="CL645" s="838"/>
      <c r="CM645" s="838"/>
      <c r="CN645" s="838"/>
      <c r="CO645" s="838"/>
      <c r="CP645" s="838"/>
      <c r="CQ645" s="838"/>
      <c r="CR645" s="838"/>
      <c r="CS645" s="838"/>
      <c r="CT645" s="838"/>
      <c r="CU645" s="838"/>
    </row>
    <row r="646">
      <c r="A646" s="860"/>
      <c r="B646" s="860"/>
      <c r="C646" s="860"/>
      <c r="D646" s="860"/>
      <c r="E646" s="860"/>
      <c r="F646" s="860"/>
      <c r="G646" s="860"/>
      <c r="H646" s="860"/>
      <c r="I646" s="860"/>
      <c r="J646" s="860"/>
      <c r="K646" s="860"/>
      <c r="L646" s="860"/>
      <c r="M646" s="860"/>
      <c r="N646" s="860"/>
      <c r="O646" s="860"/>
      <c r="P646" s="860"/>
      <c r="Q646" s="860"/>
      <c r="R646" s="860"/>
      <c r="S646" s="860"/>
      <c r="T646" s="860"/>
      <c r="U646" s="860"/>
      <c r="V646" s="860"/>
      <c r="W646" s="860"/>
      <c r="X646" s="860"/>
      <c r="Y646" s="860"/>
      <c r="Z646" s="860"/>
      <c r="AA646" s="860"/>
      <c r="AB646" s="860"/>
      <c r="AC646" s="860"/>
      <c r="AD646" s="860"/>
      <c r="AE646" s="860"/>
      <c r="AF646" s="860"/>
      <c r="AG646" s="860"/>
      <c r="AH646" s="860"/>
      <c r="AJ646" s="836"/>
      <c r="AK646" s="836"/>
      <c r="AL646" s="836"/>
      <c r="AM646" s="836"/>
      <c r="AN646" s="836"/>
      <c r="AO646" s="836"/>
      <c r="AP646" s="836"/>
      <c r="AQ646" s="836"/>
      <c r="AR646" s="836"/>
      <c r="AS646" s="836"/>
      <c r="AT646" s="836"/>
      <c r="AU646" s="836"/>
      <c r="AV646" s="836"/>
      <c r="AW646" s="836"/>
      <c r="AX646" s="836"/>
      <c r="AY646" s="836"/>
      <c r="AZ646" s="836"/>
      <c r="BA646" s="836"/>
      <c r="BB646" s="836"/>
      <c r="BC646" s="836"/>
      <c r="BD646" s="836"/>
      <c r="BE646" s="836"/>
      <c r="BF646" s="836"/>
      <c r="BG646" s="836"/>
      <c r="BH646" s="836"/>
      <c r="BI646" s="836"/>
      <c r="BJ646" s="836"/>
      <c r="BK646" s="836"/>
      <c r="BL646" s="836"/>
      <c r="BM646" s="836"/>
      <c r="BN646" s="836"/>
      <c r="BO646" s="836"/>
      <c r="BP646" s="836"/>
      <c r="BR646" s="838"/>
      <c r="BS646" s="838"/>
      <c r="BT646" s="838"/>
      <c r="BU646" s="838"/>
      <c r="BV646" s="838"/>
      <c r="BW646" s="838"/>
      <c r="BX646" s="838"/>
      <c r="BY646" s="838"/>
      <c r="BZ646" s="838"/>
      <c r="CA646" s="838"/>
      <c r="CB646" s="838"/>
      <c r="CC646" s="838"/>
      <c r="CD646" s="838"/>
      <c r="CE646" s="838"/>
      <c r="CF646" s="838"/>
      <c r="CG646" s="838"/>
      <c r="CH646" s="838"/>
      <c r="CI646" s="838"/>
      <c r="CJ646" s="838"/>
      <c r="CK646" s="838"/>
      <c r="CL646" s="838"/>
      <c r="CM646" s="838"/>
      <c r="CN646" s="838"/>
      <c r="CO646" s="838"/>
      <c r="CP646" s="838"/>
      <c r="CQ646" s="838"/>
      <c r="CR646" s="838"/>
      <c r="CS646" s="838"/>
      <c r="CT646" s="838"/>
      <c r="CU646" s="838"/>
    </row>
    <row r="647">
      <c r="A647" s="860"/>
      <c r="B647" s="860"/>
      <c r="C647" s="860"/>
      <c r="D647" s="860"/>
      <c r="E647" s="860"/>
      <c r="F647" s="860"/>
      <c r="G647" s="860"/>
      <c r="H647" s="860"/>
      <c r="I647" s="860"/>
      <c r="J647" s="860"/>
      <c r="K647" s="860"/>
      <c r="L647" s="860"/>
      <c r="M647" s="860"/>
      <c r="N647" s="860"/>
      <c r="O647" s="860"/>
      <c r="P647" s="860"/>
      <c r="Q647" s="860"/>
      <c r="R647" s="860"/>
      <c r="S647" s="860"/>
      <c r="T647" s="860"/>
      <c r="U647" s="860"/>
      <c r="V647" s="860"/>
      <c r="W647" s="860"/>
      <c r="X647" s="860"/>
      <c r="Y647" s="860"/>
      <c r="Z647" s="860"/>
      <c r="AA647" s="860"/>
      <c r="AB647" s="860"/>
      <c r="AC647" s="860"/>
      <c r="AD647" s="860"/>
      <c r="AE647" s="860"/>
      <c r="AF647" s="860"/>
      <c r="AG647" s="860"/>
      <c r="AH647" s="860"/>
      <c r="AJ647" s="836"/>
      <c r="AK647" s="836"/>
      <c r="AL647" s="836"/>
      <c r="AM647" s="836"/>
      <c r="AN647" s="836"/>
      <c r="AO647" s="836"/>
      <c r="AP647" s="836"/>
      <c r="AQ647" s="836"/>
      <c r="AR647" s="836"/>
      <c r="AS647" s="836"/>
      <c r="AT647" s="836"/>
      <c r="AU647" s="836"/>
      <c r="AV647" s="836"/>
      <c r="AW647" s="836"/>
      <c r="AX647" s="836"/>
      <c r="AY647" s="836"/>
      <c r="AZ647" s="836"/>
      <c r="BA647" s="836"/>
      <c r="BB647" s="836"/>
      <c r="BC647" s="836"/>
      <c r="BD647" s="836"/>
      <c r="BE647" s="836"/>
      <c r="BF647" s="836"/>
      <c r="BG647" s="836"/>
      <c r="BH647" s="836"/>
      <c r="BI647" s="836"/>
      <c r="BJ647" s="836"/>
      <c r="BK647" s="836"/>
      <c r="BL647" s="836"/>
      <c r="BM647" s="836"/>
      <c r="BN647" s="836"/>
      <c r="BO647" s="836"/>
      <c r="BP647" s="836"/>
      <c r="BR647" s="838"/>
      <c r="BS647" s="838"/>
      <c r="BT647" s="838"/>
      <c r="BU647" s="838"/>
      <c r="BV647" s="838"/>
      <c r="BW647" s="838"/>
      <c r="BX647" s="838"/>
      <c r="BY647" s="838"/>
      <c r="BZ647" s="838"/>
      <c r="CA647" s="838"/>
      <c r="CB647" s="838"/>
      <c r="CC647" s="838"/>
      <c r="CD647" s="838"/>
      <c r="CE647" s="838"/>
      <c r="CF647" s="838"/>
      <c r="CG647" s="838"/>
      <c r="CH647" s="838"/>
      <c r="CI647" s="838"/>
      <c r="CJ647" s="838"/>
      <c r="CK647" s="838"/>
      <c r="CL647" s="838"/>
      <c r="CM647" s="838"/>
      <c r="CN647" s="838"/>
      <c r="CO647" s="838"/>
      <c r="CP647" s="838"/>
      <c r="CQ647" s="838"/>
      <c r="CR647" s="838"/>
      <c r="CS647" s="838"/>
      <c r="CT647" s="838"/>
      <c r="CU647" s="838"/>
    </row>
    <row r="648">
      <c r="A648" s="860"/>
      <c r="B648" s="860"/>
      <c r="C648" s="860"/>
      <c r="D648" s="860"/>
      <c r="E648" s="860"/>
      <c r="F648" s="860"/>
      <c r="G648" s="860"/>
      <c r="H648" s="860"/>
      <c r="I648" s="860"/>
      <c r="J648" s="860"/>
      <c r="K648" s="860"/>
      <c r="L648" s="860"/>
      <c r="M648" s="860"/>
      <c r="N648" s="860"/>
      <c r="O648" s="860"/>
      <c r="P648" s="860"/>
      <c r="Q648" s="860"/>
      <c r="R648" s="860"/>
      <c r="S648" s="860"/>
      <c r="T648" s="860"/>
      <c r="U648" s="860"/>
      <c r="V648" s="860"/>
      <c r="W648" s="860"/>
      <c r="X648" s="860"/>
      <c r="Y648" s="860"/>
      <c r="Z648" s="860"/>
      <c r="AA648" s="860"/>
      <c r="AB648" s="860"/>
      <c r="AC648" s="860"/>
      <c r="AD648" s="860"/>
      <c r="AE648" s="860"/>
      <c r="AF648" s="860"/>
      <c r="AG648" s="860"/>
      <c r="AH648" s="860"/>
      <c r="AJ648" s="836"/>
      <c r="AK648" s="836"/>
      <c r="AL648" s="836"/>
      <c r="AM648" s="836"/>
      <c r="AN648" s="836"/>
      <c r="AO648" s="836"/>
      <c r="AP648" s="836"/>
      <c r="AQ648" s="836"/>
      <c r="AR648" s="836"/>
      <c r="AS648" s="836"/>
      <c r="AT648" s="836"/>
      <c r="AU648" s="836"/>
      <c r="AV648" s="836"/>
      <c r="AW648" s="836"/>
      <c r="AX648" s="836"/>
      <c r="AY648" s="836"/>
      <c r="AZ648" s="836"/>
      <c r="BA648" s="836"/>
      <c r="BB648" s="836"/>
      <c r="BC648" s="836"/>
      <c r="BD648" s="836"/>
      <c r="BE648" s="836"/>
      <c r="BF648" s="836"/>
      <c r="BG648" s="836"/>
      <c r="BH648" s="836"/>
      <c r="BI648" s="836"/>
      <c r="BJ648" s="836"/>
      <c r="BK648" s="836"/>
      <c r="BL648" s="836"/>
      <c r="BM648" s="836"/>
      <c r="BN648" s="836"/>
      <c r="BO648" s="836"/>
      <c r="BP648" s="836"/>
      <c r="BR648" s="838"/>
      <c r="BS648" s="838"/>
      <c r="BT648" s="838"/>
      <c r="BU648" s="838"/>
      <c r="BV648" s="838"/>
      <c r="BW648" s="838"/>
      <c r="BX648" s="838"/>
      <c r="BY648" s="838"/>
      <c r="BZ648" s="838"/>
      <c r="CA648" s="838"/>
      <c r="CB648" s="838"/>
      <c r="CC648" s="838"/>
      <c r="CD648" s="838"/>
      <c r="CE648" s="838"/>
      <c r="CF648" s="838"/>
      <c r="CG648" s="838"/>
      <c r="CH648" s="838"/>
      <c r="CI648" s="838"/>
      <c r="CJ648" s="838"/>
      <c r="CK648" s="838"/>
      <c r="CL648" s="838"/>
      <c r="CM648" s="838"/>
      <c r="CN648" s="838"/>
      <c r="CO648" s="838"/>
      <c r="CP648" s="838"/>
      <c r="CQ648" s="838"/>
      <c r="CR648" s="838"/>
      <c r="CS648" s="838"/>
      <c r="CT648" s="838"/>
      <c r="CU648" s="838"/>
    </row>
    <row r="649">
      <c r="A649" s="860"/>
      <c r="B649" s="860"/>
      <c r="C649" s="860"/>
      <c r="D649" s="860"/>
      <c r="E649" s="860"/>
      <c r="F649" s="860"/>
      <c r="G649" s="860"/>
      <c r="H649" s="860"/>
      <c r="I649" s="860"/>
      <c r="J649" s="860"/>
      <c r="K649" s="860"/>
      <c r="L649" s="860"/>
      <c r="M649" s="860"/>
      <c r="N649" s="860"/>
      <c r="O649" s="860"/>
      <c r="P649" s="860"/>
      <c r="Q649" s="860"/>
      <c r="R649" s="860"/>
      <c r="S649" s="860"/>
      <c r="T649" s="860"/>
      <c r="U649" s="860"/>
      <c r="V649" s="860"/>
      <c r="W649" s="860"/>
      <c r="X649" s="860"/>
      <c r="Y649" s="860"/>
      <c r="Z649" s="860"/>
      <c r="AA649" s="860"/>
      <c r="AB649" s="860"/>
      <c r="AC649" s="860"/>
      <c r="AD649" s="860"/>
      <c r="AE649" s="860"/>
      <c r="AF649" s="860"/>
      <c r="AG649" s="860"/>
      <c r="AH649" s="860"/>
      <c r="AJ649" s="836"/>
      <c r="AK649" s="836"/>
      <c r="AL649" s="836"/>
      <c r="AM649" s="836"/>
      <c r="AN649" s="836"/>
      <c r="AO649" s="836"/>
      <c r="AP649" s="836"/>
      <c r="AQ649" s="836"/>
      <c r="AR649" s="836"/>
      <c r="AS649" s="836"/>
      <c r="AT649" s="836"/>
      <c r="AU649" s="836"/>
      <c r="AV649" s="836"/>
      <c r="AW649" s="836"/>
      <c r="AX649" s="836"/>
      <c r="AY649" s="836"/>
      <c r="AZ649" s="836"/>
      <c r="BA649" s="836"/>
      <c r="BB649" s="836"/>
      <c r="BC649" s="836"/>
      <c r="BD649" s="836"/>
      <c r="BE649" s="836"/>
      <c r="BF649" s="836"/>
      <c r="BG649" s="836"/>
      <c r="BH649" s="836"/>
      <c r="BI649" s="836"/>
      <c r="BJ649" s="836"/>
      <c r="BK649" s="836"/>
      <c r="BL649" s="836"/>
      <c r="BM649" s="836"/>
      <c r="BN649" s="836"/>
      <c r="BO649" s="836"/>
      <c r="BP649" s="836"/>
      <c r="BR649" s="838"/>
      <c r="BS649" s="838"/>
      <c r="BT649" s="838"/>
      <c r="BU649" s="838"/>
      <c r="BV649" s="838"/>
      <c r="BW649" s="838"/>
      <c r="BX649" s="838"/>
      <c r="BY649" s="838"/>
      <c r="BZ649" s="838"/>
      <c r="CA649" s="838"/>
      <c r="CB649" s="838"/>
      <c r="CC649" s="838"/>
      <c r="CD649" s="838"/>
      <c r="CE649" s="838"/>
      <c r="CF649" s="838"/>
      <c r="CG649" s="838"/>
      <c r="CH649" s="838"/>
      <c r="CI649" s="838"/>
      <c r="CJ649" s="838"/>
      <c r="CK649" s="838"/>
      <c r="CL649" s="838"/>
      <c r="CM649" s="838"/>
      <c r="CN649" s="838"/>
      <c r="CO649" s="838"/>
      <c r="CP649" s="838"/>
      <c r="CQ649" s="838"/>
      <c r="CR649" s="838"/>
      <c r="CS649" s="838"/>
      <c r="CT649" s="838"/>
      <c r="CU649" s="838"/>
    </row>
    <row r="650">
      <c r="A650" s="860"/>
      <c r="B650" s="860"/>
      <c r="C650" s="860"/>
      <c r="D650" s="860"/>
      <c r="E650" s="860"/>
      <c r="F650" s="860"/>
      <c r="G650" s="860"/>
      <c r="H650" s="860"/>
      <c r="I650" s="860"/>
      <c r="J650" s="860"/>
      <c r="K650" s="860"/>
      <c r="L650" s="860"/>
      <c r="M650" s="860"/>
      <c r="N650" s="860"/>
      <c r="O650" s="860"/>
      <c r="P650" s="860"/>
      <c r="Q650" s="860"/>
      <c r="R650" s="860"/>
      <c r="S650" s="860"/>
      <c r="T650" s="860"/>
      <c r="U650" s="860"/>
      <c r="V650" s="860"/>
      <c r="W650" s="860"/>
      <c r="X650" s="860"/>
      <c r="Y650" s="860"/>
      <c r="Z650" s="860"/>
      <c r="AA650" s="860"/>
      <c r="AB650" s="860"/>
      <c r="AC650" s="860"/>
      <c r="AD650" s="860"/>
      <c r="AE650" s="860"/>
      <c r="AF650" s="860"/>
      <c r="AG650" s="860"/>
      <c r="AH650" s="860"/>
      <c r="AJ650" s="836"/>
      <c r="AK650" s="836"/>
      <c r="AL650" s="836"/>
      <c r="AM650" s="836"/>
      <c r="AN650" s="836"/>
      <c r="AO650" s="836"/>
      <c r="AP650" s="836"/>
      <c r="AQ650" s="836"/>
      <c r="AR650" s="836"/>
      <c r="AS650" s="836"/>
      <c r="AT650" s="836"/>
      <c r="AU650" s="836"/>
      <c r="AV650" s="836"/>
      <c r="AW650" s="836"/>
      <c r="AX650" s="836"/>
      <c r="AY650" s="836"/>
      <c r="AZ650" s="836"/>
      <c r="BA650" s="836"/>
      <c r="BB650" s="836"/>
      <c r="BC650" s="836"/>
      <c r="BD650" s="836"/>
      <c r="BE650" s="836"/>
      <c r="BF650" s="836"/>
      <c r="BG650" s="836"/>
      <c r="BH650" s="836"/>
      <c r="BI650" s="836"/>
      <c r="BJ650" s="836"/>
      <c r="BK650" s="836"/>
      <c r="BL650" s="836"/>
      <c r="BM650" s="836"/>
      <c r="BN650" s="836"/>
      <c r="BO650" s="836"/>
      <c r="BP650" s="836"/>
      <c r="BR650" s="838"/>
      <c r="BS650" s="838"/>
      <c r="BT650" s="838"/>
      <c r="BU650" s="838"/>
      <c r="BV650" s="838"/>
      <c r="BW650" s="838"/>
      <c r="BX650" s="838"/>
      <c r="BY650" s="838"/>
      <c r="BZ650" s="838"/>
      <c r="CA650" s="838"/>
      <c r="CB650" s="838"/>
      <c r="CC650" s="838"/>
      <c r="CD650" s="838"/>
      <c r="CE650" s="838"/>
      <c r="CF650" s="838"/>
      <c r="CG650" s="838"/>
      <c r="CH650" s="838"/>
      <c r="CI650" s="838"/>
      <c r="CJ650" s="838"/>
      <c r="CK650" s="838"/>
      <c r="CL650" s="838"/>
      <c r="CM650" s="838"/>
      <c r="CN650" s="838"/>
      <c r="CO650" s="838"/>
      <c r="CP650" s="838"/>
      <c r="CQ650" s="838"/>
      <c r="CR650" s="838"/>
      <c r="CS650" s="838"/>
      <c r="CT650" s="838"/>
      <c r="CU650" s="838"/>
    </row>
    <row r="651">
      <c r="A651" s="860"/>
      <c r="B651" s="860"/>
      <c r="C651" s="860"/>
      <c r="D651" s="860"/>
      <c r="E651" s="860"/>
      <c r="F651" s="860"/>
      <c r="G651" s="860"/>
      <c r="H651" s="860"/>
      <c r="I651" s="860"/>
      <c r="J651" s="860"/>
      <c r="K651" s="860"/>
      <c r="L651" s="860"/>
      <c r="M651" s="860"/>
      <c r="N651" s="860"/>
      <c r="O651" s="860"/>
      <c r="P651" s="860"/>
      <c r="Q651" s="860"/>
      <c r="R651" s="860"/>
      <c r="S651" s="860"/>
      <c r="T651" s="860"/>
      <c r="U651" s="860"/>
      <c r="V651" s="860"/>
      <c r="W651" s="860"/>
      <c r="X651" s="860"/>
      <c r="Y651" s="860"/>
      <c r="Z651" s="860"/>
      <c r="AA651" s="860"/>
      <c r="AB651" s="860"/>
      <c r="AC651" s="860"/>
      <c r="AD651" s="860"/>
      <c r="AE651" s="860"/>
      <c r="AF651" s="860"/>
      <c r="AG651" s="860"/>
      <c r="AH651" s="860"/>
      <c r="AJ651" s="836"/>
      <c r="AK651" s="836"/>
      <c r="AL651" s="836"/>
      <c r="AM651" s="836"/>
      <c r="AN651" s="836"/>
      <c r="AO651" s="836"/>
      <c r="AP651" s="836"/>
      <c r="AQ651" s="836"/>
      <c r="AR651" s="836"/>
      <c r="AS651" s="836"/>
      <c r="AT651" s="836"/>
      <c r="AU651" s="836"/>
      <c r="AV651" s="836"/>
      <c r="AW651" s="836"/>
      <c r="AX651" s="836"/>
      <c r="AY651" s="836"/>
      <c r="AZ651" s="836"/>
      <c r="BA651" s="836"/>
      <c r="BB651" s="836"/>
      <c r="BC651" s="836"/>
      <c r="BD651" s="836"/>
      <c r="BE651" s="836"/>
      <c r="BF651" s="836"/>
      <c r="BG651" s="836"/>
      <c r="BH651" s="836"/>
      <c r="BI651" s="836"/>
      <c r="BJ651" s="836"/>
      <c r="BK651" s="836"/>
      <c r="BL651" s="836"/>
      <c r="BM651" s="836"/>
      <c r="BN651" s="836"/>
      <c r="BO651" s="836"/>
      <c r="BP651" s="836"/>
      <c r="BR651" s="838"/>
      <c r="BS651" s="838"/>
      <c r="BT651" s="838"/>
      <c r="BU651" s="838"/>
      <c r="BV651" s="838"/>
      <c r="BW651" s="838"/>
      <c r="BX651" s="838"/>
      <c r="BY651" s="838"/>
      <c r="BZ651" s="838"/>
      <c r="CA651" s="838"/>
      <c r="CB651" s="838"/>
      <c r="CC651" s="838"/>
      <c r="CD651" s="838"/>
      <c r="CE651" s="838"/>
      <c r="CF651" s="838"/>
      <c r="CG651" s="838"/>
      <c r="CH651" s="838"/>
      <c r="CI651" s="838"/>
      <c r="CJ651" s="838"/>
      <c r="CK651" s="838"/>
      <c r="CL651" s="838"/>
      <c r="CM651" s="838"/>
      <c r="CN651" s="838"/>
      <c r="CO651" s="838"/>
      <c r="CP651" s="838"/>
      <c r="CQ651" s="838"/>
      <c r="CR651" s="838"/>
      <c r="CS651" s="838"/>
      <c r="CT651" s="838"/>
      <c r="CU651" s="838"/>
    </row>
    <row r="652">
      <c r="A652" s="860"/>
      <c r="B652" s="860"/>
      <c r="C652" s="860"/>
      <c r="D652" s="860"/>
      <c r="E652" s="860"/>
      <c r="F652" s="860"/>
      <c r="G652" s="860"/>
      <c r="H652" s="860"/>
      <c r="I652" s="860"/>
      <c r="J652" s="860"/>
      <c r="K652" s="860"/>
      <c r="L652" s="860"/>
      <c r="M652" s="860"/>
      <c r="N652" s="860"/>
      <c r="O652" s="860"/>
      <c r="P652" s="860"/>
      <c r="Q652" s="860"/>
      <c r="R652" s="860"/>
      <c r="S652" s="860"/>
      <c r="T652" s="860"/>
      <c r="U652" s="860"/>
      <c r="V652" s="860"/>
      <c r="W652" s="860"/>
      <c r="X652" s="860"/>
      <c r="Y652" s="860"/>
      <c r="Z652" s="860"/>
      <c r="AA652" s="860"/>
      <c r="AB652" s="860"/>
      <c r="AC652" s="860"/>
      <c r="AD652" s="860"/>
      <c r="AE652" s="860"/>
      <c r="AF652" s="860"/>
      <c r="AG652" s="860"/>
      <c r="AH652" s="860"/>
      <c r="AJ652" s="836"/>
      <c r="AK652" s="836"/>
      <c r="AL652" s="836"/>
      <c r="AM652" s="836"/>
      <c r="AN652" s="836"/>
      <c r="AO652" s="836"/>
      <c r="AP652" s="836"/>
      <c r="AQ652" s="836"/>
      <c r="AR652" s="836"/>
      <c r="AS652" s="836"/>
      <c r="AT652" s="836"/>
      <c r="AU652" s="836"/>
      <c r="AV652" s="836"/>
      <c r="AW652" s="836"/>
      <c r="AX652" s="836"/>
      <c r="AY652" s="836"/>
      <c r="AZ652" s="836"/>
      <c r="BA652" s="836"/>
      <c r="BB652" s="836"/>
      <c r="BC652" s="836"/>
      <c r="BD652" s="836"/>
      <c r="BE652" s="836"/>
      <c r="BF652" s="836"/>
      <c r="BG652" s="836"/>
      <c r="BH652" s="836"/>
      <c r="BI652" s="836"/>
      <c r="BJ652" s="836"/>
      <c r="BK652" s="836"/>
      <c r="BL652" s="836"/>
      <c r="BM652" s="836"/>
      <c r="BN652" s="836"/>
      <c r="BO652" s="836"/>
      <c r="BP652" s="836"/>
      <c r="BR652" s="838"/>
      <c r="BS652" s="838"/>
      <c r="BT652" s="838"/>
      <c r="BU652" s="838"/>
      <c r="BV652" s="838"/>
      <c r="BW652" s="838"/>
      <c r="BX652" s="838"/>
      <c r="BY652" s="838"/>
      <c r="BZ652" s="838"/>
      <c r="CA652" s="838"/>
      <c r="CB652" s="838"/>
      <c r="CC652" s="838"/>
      <c r="CD652" s="838"/>
      <c r="CE652" s="838"/>
      <c r="CF652" s="838"/>
      <c r="CG652" s="838"/>
      <c r="CH652" s="838"/>
      <c r="CI652" s="838"/>
      <c r="CJ652" s="838"/>
      <c r="CK652" s="838"/>
      <c r="CL652" s="838"/>
      <c r="CM652" s="838"/>
      <c r="CN652" s="838"/>
      <c r="CO652" s="838"/>
      <c r="CP652" s="838"/>
      <c r="CQ652" s="838"/>
      <c r="CR652" s="838"/>
      <c r="CS652" s="838"/>
      <c r="CT652" s="838"/>
      <c r="CU652" s="838"/>
    </row>
    <row r="653">
      <c r="A653" s="860"/>
      <c r="B653" s="860"/>
      <c r="C653" s="860"/>
      <c r="D653" s="860"/>
      <c r="E653" s="860"/>
      <c r="F653" s="860"/>
      <c r="G653" s="860"/>
      <c r="H653" s="860"/>
      <c r="I653" s="860"/>
      <c r="J653" s="860"/>
      <c r="K653" s="860"/>
      <c r="L653" s="860"/>
      <c r="M653" s="860"/>
      <c r="N653" s="860"/>
      <c r="O653" s="860"/>
      <c r="P653" s="860"/>
      <c r="Q653" s="860"/>
      <c r="R653" s="860"/>
      <c r="S653" s="860"/>
      <c r="T653" s="860"/>
      <c r="U653" s="860"/>
      <c r="V653" s="860"/>
      <c r="W653" s="860"/>
      <c r="X653" s="860"/>
      <c r="Y653" s="860"/>
      <c r="Z653" s="860"/>
      <c r="AA653" s="860"/>
      <c r="AB653" s="860"/>
      <c r="AC653" s="860"/>
      <c r="AD653" s="860"/>
      <c r="AE653" s="860"/>
      <c r="AF653" s="860"/>
      <c r="AG653" s="860"/>
      <c r="AH653" s="860"/>
      <c r="AJ653" s="836"/>
      <c r="AK653" s="836"/>
      <c r="AL653" s="836"/>
      <c r="AM653" s="836"/>
      <c r="AN653" s="836"/>
      <c r="AO653" s="836"/>
      <c r="AP653" s="836"/>
      <c r="AQ653" s="836"/>
      <c r="AR653" s="836"/>
      <c r="AS653" s="836"/>
      <c r="AT653" s="836"/>
      <c r="AU653" s="836"/>
      <c r="AV653" s="836"/>
      <c r="AW653" s="836"/>
      <c r="AX653" s="836"/>
      <c r="AY653" s="836"/>
      <c r="AZ653" s="836"/>
      <c r="BA653" s="836"/>
      <c r="BB653" s="836"/>
      <c r="BC653" s="836"/>
      <c r="BD653" s="836"/>
      <c r="BE653" s="836"/>
      <c r="BF653" s="836"/>
      <c r="BG653" s="836"/>
      <c r="BH653" s="836"/>
      <c r="BI653" s="836"/>
      <c r="BJ653" s="836"/>
      <c r="BK653" s="836"/>
      <c r="BL653" s="836"/>
      <c r="BM653" s="836"/>
      <c r="BN653" s="836"/>
      <c r="BO653" s="836"/>
      <c r="BP653" s="836"/>
      <c r="BR653" s="838"/>
      <c r="BS653" s="838"/>
      <c r="BT653" s="838"/>
      <c r="BU653" s="838"/>
      <c r="BV653" s="838"/>
      <c r="BW653" s="838"/>
      <c r="BX653" s="838"/>
      <c r="BY653" s="838"/>
      <c r="BZ653" s="838"/>
      <c r="CA653" s="838"/>
      <c r="CB653" s="838"/>
      <c r="CC653" s="838"/>
      <c r="CD653" s="838"/>
      <c r="CE653" s="838"/>
      <c r="CF653" s="838"/>
      <c r="CG653" s="838"/>
      <c r="CH653" s="838"/>
      <c r="CI653" s="838"/>
      <c r="CJ653" s="838"/>
      <c r="CK653" s="838"/>
      <c r="CL653" s="838"/>
      <c r="CM653" s="838"/>
      <c r="CN653" s="838"/>
      <c r="CO653" s="838"/>
      <c r="CP653" s="838"/>
      <c r="CQ653" s="838"/>
      <c r="CR653" s="838"/>
      <c r="CS653" s="838"/>
      <c r="CT653" s="838"/>
      <c r="CU653" s="838"/>
    </row>
    <row r="654">
      <c r="A654" s="860"/>
      <c r="B654" s="860"/>
      <c r="C654" s="860"/>
      <c r="D654" s="860"/>
      <c r="E654" s="860"/>
      <c r="F654" s="860"/>
      <c r="G654" s="860"/>
      <c r="H654" s="860"/>
      <c r="I654" s="860"/>
      <c r="J654" s="860"/>
      <c r="K654" s="860"/>
      <c r="L654" s="860"/>
      <c r="M654" s="860"/>
      <c r="N654" s="860"/>
      <c r="O654" s="860"/>
      <c r="P654" s="860"/>
      <c r="Q654" s="860"/>
      <c r="R654" s="860"/>
      <c r="S654" s="860"/>
      <c r="T654" s="860"/>
      <c r="U654" s="860"/>
      <c r="V654" s="860"/>
      <c r="W654" s="860"/>
      <c r="X654" s="860"/>
      <c r="Y654" s="860"/>
      <c r="Z654" s="860"/>
      <c r="AA654" s="860"/>
      <c r="AB654" s="860"/>
      <c r="AC654" s="860"/>
      <c r="AD654" s="860"/>
      <c r="AE654" s="860"/>
      <c r="AF654" s="860"/>
      <c r="AG654" s="860"/>
      <c r="AH654" s="860"/>
      <c r="AJ654" s="836"/>
      <c r="AK654" s="836"/>
      <c r="AL654" s="836"/>
      <c r="AM654" s="836"/>
      <c r="AN654" s="836"/>
      <c r="AO654" s="836"/>
      <c r="AP654" s="836"/>
      <c r="AQ654" s="836"/>
      <c r="AR654" s="836"/>
      <c r="AS654" s="836"/>
      <c r="AT654" s="836"/>
      <c r="AU654" s="836"/>
      <c r="AV654" s="836"/>
      <c r="AW654" s="836"/>
      <c r="AX654" s="836"/>
      <c r="AY654" s="836"/>
      <c r="AZ654" s="836"/>
      <c r="BA654" s="836"/>
      <c r="BB654" s="836"/>
      <c r="BC654" s="836"/>
      <c r="BD654" s="836"/>
      <c r="BE654" s="836"/>
      <c r="BF654" s="836"/>
      <c r="BG654" s="836"/>
      <c r="BH654" s="836"/>
      <c r="BI654" s="836"/>
      <c r="BJ654" s="836"/>
      <c r="BK654" s="836"/>
      <c r="BL654" s="836"/>
      <c r="BM654" s="836"/>
      <c r="BN654" s="836"/>
      <c r="BO654" s="836"/>
      <c r="BP654" s="836"/>
      <c r="BR654" s="838"/>
      <c r="BS654" s="838"/>
      <c r="BT654" s="838"/>
      <c r="BU654" s="838"/>
      <c r="BV654" s="838"/>
      <c r="BW654" s="838"/>
      <c r="BX654" s="838"/>
      <c r="BY654" s="838"/>
      <c r="BZ654" s="838"/>
      <c r="CA654" s="838"/>
      <c r="CB654" s="838"/>
      <c r="CC654" s="838"/>
      <c r="CD654" s="838"/>
      <c r="CE654" s="838"/>
      <c r="CF654" s="838"/>
      <c r="CG654" s="838"/>
      <c r="CH654" s="838"/>
      <c r="CI654" s="838"/>
      <c r="CJ654" s="838"/>
      <c r="CK654" s="838"/>
      <c r="CL654" s="838"/>
      <c r="CM654" s="838"/>
      <c r="CN654" s="838"/>
      <c r="CO654" s="838"/>
      <c r="CP654" s="838"/>
      <c r="CQ654" s="838"/>
      <c r="CR654" s="838"/>
      <c r="CS654" s="838"/>
      <c r="CT654" s="838"/>
      <c r="CU654" s="838"/>
    </row>
    <row r="655">
      <c r="A655" s="860"/>
      <c r="B655" s="860"/>
      <c r="C655" s="860"/>
      <c r="D655" s="860"/>
      <c r="E655" s="860"/>
      <c r="F655" s="860"/>
      <c r="G655" s="860"/>
      <c r="H655" s="860"/>
      <c r="I655" s="860"/>
      <c r="J655" s="860"/>
      <c r="K655" s="860"/>
      <c r="L655" s="860"/>
      <c r="M655" s="860"/>
      <c r="N655" s="860"/>
      <c r="O655" s="860"/>
      <c r="P655" s="860"/>
      <c r="Q655" s="860"/>
      <c r="R655" s="860"/>
      <c r="S655" s="860"/>
      <c r="T655" s="860"/>
      <c r="U655" s="860"/>
      <c r="V655" s="860"/>
      <c r="W655" s="860"/>
      <c r="X655" s="860"/>
      <c r="Y655" s="860"/>
      <c r="Z655" s="860"/>
      <c r="AA655" s="860"/>
      <c r="AB655" s="860"/>
      <c r="AC655" s="860"/>
      <c r="AD655" s="860"/>
      <c r="AE655" s="860"/>
      <c r="AF655" s="860"/>
      <c r="AG655" s="860"/>
      <c r="AH655" s="860"/>
      <c r="AJ655" s="836"/>
      <c r="AK655" s="836"/>
      <c r="AL655" s="836"/>
      <c r="AM655" s="836"/>
      <c r="AN655" s="836"/>
      <c r="AO655" s="836"/>
      <c r="AP655" s="836"/>
      <c r="AQ655" s="836"/>
      <c r="AR655" s="836"/>
      <c r="AS655" s="836"/>
      <c r="AT655" s="836"/>
      <c r="AU655" s="836"/>
      <c r="AV655" s="836"/>
      <c r="AW655" s="836"/>
      <c r="AX655" s="836"/>
      <c r="AY655" s="836"/>
      <c r="AZ655" s="836"/>
      <c r="BA655" s="836"/>
      <c r="BB655" s="836"/>
      <c r="BC655" s="836"/>
      <c r="BD655" s="836"/>
      <c r="BE655" s="836"/>
      <c r="BF655" s="836"/>
      <c r="BG655" s="836"/>
      <c r="BH655" s="836"/>
      <c r="BI655" s="836"/>
      <c r="BJ655" s="836"/>
      <c r="BK655" s="836"/>
      <c r="BL655" s="836"/>
      <c r="BM655" s="836"/>
      <c r="BN655" s="836"/>
      <c r="BO655" s="836"/>
      <c r="BP655" s="836"/>
      <c r="BR655" s="838"/>
      <c r="BS655" s="838"/>
      <c r="BT655" s="838"/>
      <c r="BU655" s="838"/>
      <c r="BV655" s="838"/>
      <c r="BW655" s="838"/>
      <c r="BX655" s="838"/>
      <c r="BY655" s="838"/>
      <c r="BZ655" s="838"/>
      <c r="CA655" s="838"/>
      <c r="CB655" s="838"/>
      <c r="CC655" s="838"/>
      <c r="CD655" s="838"/>
      <c r="CE655" s="838"/>
      <c r="CF655" s="838"/>
      <c r="CG655" s="838"/>
      <c r="CH655" s="838"/>
      <c r="CI655" s="838"/>
      <c r="CJ655" s="838"/>
      <c r="CK655" s="838"/>
      <c r="CL655" s="838"/>
      <c r="CM655" s="838"/>
      <c r="CN655" s="838"/>
      <c r="CO655" s="838"/>
      <c r="CP655" s="838"/>
      <c r="CQ655" s="838"/>
      <c r="CR655" s="838"/>
      <c r="CS655" s="838"/>
      <c r="CT655" s="838"/>
      <c r="CU655" s="838"/>
    </row>
    <row r="656">
      <c r="A656" s="860"/>
      <c r="B656" s="860"/>
      <c r="C656" s="860"/>
      <c r="D656" s="860"/>
      <c r="E656" s="860"/>
      <c r="F656" s="860"/>
      <c r="G656" s="860"/>
      <c r="H656" s="860"/>
      <c r="I656" s="860"/>
      <c r="J656" s="860"/>
      <c r="K656" s="860"/>
      <c r="L656" s="860"/>
      <c r="M656" s="860"/>
      <c r="N656" s="860"/>
      <c r="O656" s="860"/>
      <c r="P656" s="860"/>
      <c r="Q656" s="860"/>
      <c r="R656" s="860"/>
      <c r="S656" s="860"/>
      <c r="T656" s="860"/>
      <c r="U656" s="860"/>
      <c r="V656" s="860"/>
      <c r="W656" s="860"/>
      <c r="X656" s="860"/>
      <c r="Y656" s="860"/>
      <c r="Z656" s="860"/>
      <c r="AA656" s="860"/>
      <c r="AB656" s="860"/>
      <c r="AC656" s="860"/>
      <c r="AD656" s="860"/>
      <c r="AE656" s="860"/>
      <c r="AF656" s="860"/>
      <c r="AG656" s="860"/>
      <c r="AH656" s="860"/>
      <c r="AJ656" s="836"/>
      <c r="AK656" s="836"/>
      <c r="AL656" s="836"/>
      <c r="AM656" s="836"/>
      <c r="AN656" s="836"/>
      <c r="AO656" s="836"/>
      <c r="AP656" s="836"/>
      <c r="AQ656" s="836"/>
      <c r="AR656" s="836"/>
      <c r="AS656" s="836"/>
      <c r="AT656" s="836"/>
      <c r="AU656" s="836"/>
      <c r="AV656" s="836"/>
      <c r="AW656" s="836"/>
      <c r="AX656" s="836"/>
      <c r="AY656" s="836"/>
      <c r="AZ656" s="836"/>
      <c r="BA656" s="836"/>
      <c r="BB656" s="836"/>
      <c r="BC656" s="836"/>
      <c r="BD656" s="836"/>
      <c r="BE656" s="836"/>
      <c r="BF656" s="836"/>
      <c r="BG656" s="836"/>
      <c r="BH656" s="836"/>
      <c r="BI656" s="836"/>
      <c r="BJ656" s="836"/>
      <c r="BK656" s="836"/>
      <c r="BL656" s="836"/>
      <c r="BM656" s="836"/>
      <c r="BN656" s="836"/>
      <c r="BO656" s="836"/>
      <c r="BP656" s="836"/>
      <c r="BR656" s="838"/>
      <c r="BS656" s="838"/>
      <c r="BT656" s="838"/>
      <c r="BU656" s="838"/>
      <c r="BV656" s="838"/>
      <c r="BW656" s="838"/>
      <c r="BX656" s="838"/>
      <c r="BY656" s="838"/>
      <c r="BZ656" s="838"/>
      <c r="CA656" s="838"/>
      <c r="CB656" s="838"/>
      <c r="CC656" s="838"/>
      <c r="CD656" s="838"/>
      <c r="CE656" s="838"/>
      <c r="CF656" s="838"/>
      <c r="CG656" s="838"/>
      <c r="CH656" s="838"/>
      <c r="CI656" s="838"/>
      <c r="CJ656" s="838"/>
      <c r="CK656" s="838"/>
      <c r="CL656" s="838"/>
      <c r="CM656" s="838"/>
      <c r="CN656" s="838"/>
      <c r="CO656" s="838"/>
      <c r="CP656" s="838"/>
      <c r="CQ656" s="838"/>
      <c r="CR656" s="838"/>
      <c r="CS656" s="838"/>
      <c r="CT656" s="838"/>
      <c r="CU656" s="838"/>
    </row>
    <row r="657">
      <c r="A657" s="860"/>
      <c r="B657" s="860"/>
      <c r="C657" s="860"/>
      <c r="D657" s="860"/>
      <c r="E657" s="860"/>
      <c r="F657" s="860"/>
      <c r="G657" s="860"/>
      <c r="H657" s="860"/>
      <c r="I657" s="860"/>
      <c r="J657" s="860"/>
      <c r="K657" s="860"/>
      <c r="L657" s="860"/>
      <c r="M657" s="860"/>
      <c r="N657" s="860"/>
      <c r="O657" s="860"/>
      <c r="P657" s="860"/>
      <c r="Q657" s="860"/>
      <c r="R657" s="860"/>
      <c r="S657" s="860"/>
      <c r="T657" s="860"/>
      <c r="U657" s="860"/>
      <c r="V657" s="860"/>
      <c r="W657" s="860"/>
      <c r="X657" s="860"/>
      <c r="Y657" s="860"/>
      <c r="Z657" s="860"/>
      <c r="AA657" s="860"/>
      <c r="AB657" s="860"/>
      <c r="AC657" s="860"/>
      <c r="AD657" s="860"/>
      <c r="AE657" s="860"/>
      <c r="AF657" s="860"/>
      <c r="AG657" s="860"/>
      <c r="AH657" s="860"/>
      <c r="AJ657" s="836"/>
      <c r="AK657" s="836"/>
      <c r="AL657" s="836"/>
      <c r="AM657" s="836"/>
      <c r="AN657" s="836"/>
      <c r="AO657" s="836"/>
      <c r="AP657" s="836"/>
      <c r="AQ657" s="836"/>
      <c r="AR657" s="836"/>
      <c r="AS657" s="836"/>
      <c r="AT657" s="836"/>
      <c r="AU657" s="836"/>
      <c r="AV657" s="836"/>
      <c r="AW657" s="836"/>
      <c r="AX657" s="836"/>
      <c r="AY657" s="836"/>
      <c r="AZ657" s="836"/>
      <c r="BA657" s="836"/>
      <c r="BB657" s="836"/>
      <c r="BC657" s="836"/>
      <c r="BD657" s="836"/>
      <c r="BE657" s="836"/>
      <c r="BF657" s="836"/>
      <c r="BG657" s="836"/>
      <c r="BH657" s="836"/>
      <c r="BI657" s="836"/>
      <c r="BJ657" s="836"/>
      <c r="BK657" s="836"/>
      <c r="BL657" s="836"/>
      <c r="BM657" s="836"/>
      <c r="BN657" s="836"/>
      <c r="BO657" s="836"/>
      <c r="BP657" s="836"/>
      <c r="BR657" s="838"/>
      <c r="BS657" s="838"/>
      <c r="BT657" s="838"/>
      <c r="BU657" s="838"/>
      <c r="BV657" s="838"/>
      <c r="BW657" s="838"/>
      <c r="BX657" s="838"/>
      <c r="BY657" s="838"/>
      <c r="BZ657" s="838"/>
      <c r="CA657" s="838"/>
      <c r="CB657" s="838"/>
      <c r="CC657" s="838"/>
      <c r="CD657" s="838"/>
      <c r="CE657" s="838"/>
      <c r="CF657" s="838"/>
      <c r="CG657" s="838"/>
      <c r="CH657" s="838"/>
      <c r="CI657" s="838"/>
      <c r="CJ657" s="838"/>
      <c r="CK657" s="838"/>
      <c r="CL657" s="838"/>
      <c r="CM657" s="838"/>
      <c r="CN657" s="838"/>
      <c r="CO657" s="838"/>
      <c r="CP657" s="838"/>
      <c r="CQ657" s="838"/>
      <c r="CR657" s="838"/>
      <c r="CS657" s="838"/>
      <c r="CT657" s="838"/>
      <c r="CU657" s="838"/>
    </row>
    <row r="658">
      <c r="A658" s="860"/>
      <c r="B658" s="860"/>
      <c r="C658" s="860"/>
      <c r="D658" s="860"/>
      <c r="E658" s="860"/>
      <c r="F658" s="860"/>
      <c r="G658" s="860"/>
      <c r="H658" s="860"/>
      <c r="I658" s="860"/>
      <c r="J658" s="860"/>
      <c r="K658" s="860"/>
      <c r="L658" s="860"/>
      <c r="M658" s="860"/>
      <c r="N658" s="860"/>
      <c r="O658" s="860"/>
      <c r="P658" s="860"/>
      <c r="Q658" s="860"/>
      <c r="R658" s="860"/>
      <c r="S658" s="860"/>
      <c r="T658" s="860"/>
      <c r="U658" s="860"/>
      <c r="V658" s="860"/>
      <c r="W658" s="860"/>
      <c r="X658" s="860"/>
      <c r="Y658" s="860"/>
      <c r="Z658" s="860"/>
      <c r="AA658" s="860"/>
      <c r="AB658" s="860"/>
      <c r="AC658" s="860"/>
      <c r="AD658" s="860"/>
      <c r="AE658" s="860"/>
      <c r="AF658" s="860"/>
      <c r="AG658" s="860"/>
      <c r="AH658" s="860"/>
      <c r="AJ658" s="836"/>
      <c r="AK658" s="836"/>
      <c r="AL658" s="836"/>
      <c r="AM658" s="836"/>
      <c r="AN658" s="836"/>
      <c r="AO658" s="836"/>
      <c r="AP658" s="836"/>
      <c r="AQ658" s="836"/>
      <c r="AR658" s="836"/>
      <c r="AS658" s="836"/>
      <c r="AT658" s="836"/>
      <c r="AU658" s="836"/>
      <c r="AV658" s="836"/>
      <c r="AW658" s="836"/>
      <c r="AX658" s="836"/>
      <c r="AY658" s="836"/>
      <c r="AZ658" s="836"/>
      <c r="BA658" s="836"/>
      <c r="BB658" s="836"/>
      <c r="BC658" s="836"/>
      <c r="BD658" s="836"/>
      <c r="BE658" s="836"/>
      <c r="BF658" s="836"/>
      <c r="BG658" s="836"/>
      <c r="BH658" s="836"/>
      <c r="BI658" s="836"/>
      <c r="BJ658" s="836"/>
      <c r="BK658" s="836"/>
      <c r="BL658" s="836"/>
      <c r="BM658" s="836"/>
      <c r="BN658" s="836"/>
      <c r="BO658" s="836"/>
      <c r="BP658" s="836"/>
      <c r="BR658" s="838"/>
      <c r="BS658" s="838"/>
      <c r="BT658" s="838"/>
      <c r="BU658" s="838"/>
      <c r="BV658" s="838"/>
      <c r="BW658" s="838"/>
      <c r="BX658" s="838"/>
      <c r="BY658" s="838"/>
      <c r="BZ658" s="838"/>
      <c r="CA658" s="838"/>
      <c r="CB658" s="838"/>
      <c r="CC658" s="838"/>
      <c r="CD658" s="838"/>
      <c r="CE658" s="838"/>
      <c r="CF658" s="838"/>
      <c r="CG658" s="838"/>
      <c r="CH658" s="838"/>
      <c r="CI658" s="838"/>
      <c r="CJ658" s="838"/>
      <c r="CK658" s="838"/>
      <c r="CL658" s="838"/>
      <c r="CM658" s="838"/>
      <c r="CN658" s="838"/>
      <c r="CO658" s="838"/>
      <c r="CP658" s="838"/>
      <c r="CQ658" s="838"/>
      <c r="CR658" s="838"/>
      <c r="CS658" s="838"/>
      <c r="CT658" s="838"/>
      <c r="CU658" s="838"/>
    </row>
    <row r="659">
      <c r="A659" s="860"/>
      <c r="B659" s="860"/>
      <c r="C659" s="860"/>
      <c r="D659" s="860"/>
      <c r="E659" s="860"/>
      <c r="F659" s="860"/>
      <c r="G659" s="860"/>
      <c r="H659" s="860"/>
      <c r="I659" s="860"/>
      <c r="J659" s="860"/>
      <c r="K659" s="860"/>
      <c r="L659" s="860"/>
      <c r="M659" s="860"/>
      <c r="N659" s="860"/>
      <c r="O659" s="860"/>
      <c r="P659" s="860"/>
      <c r="Q659" s="860"/>
      <c r="R659" s="860"/>
      <c r="S659" s="860"/>
      <c r="T659" s="860"/>
      <c r="U659" s="860"/>
      <c r="V659" s="860"/>
      <c r="W659" s="860"/>
      <c r="X659" s="860"/>
      <c r="Y659" s="860"/>
      <c r="Z659" s="860"/>
      <c r="AA659" s="860"/>
      <c r="AB659" s="860"/>
      <c r="AC659" s="860"/>
      <c r="AD659" s="860"/>
      <c r="AE659" s="860"/>
      <c r="AF659" s="860"/>
      <c r="AG659" s="860"/>
      <c r="AH659" s="860"/>
      <c r="AJ659" s="836"/>
      <c r="AK659" s="836"/>
      <c r="AL659" s="836"/>
      <c r="AM659" s="836"/>
      <c r="AN659" s="836"/>
      <c r="AO659" s="836"/>
      <c r="AP659" s="836"/>
      <c r="AQ659" s="836"/>
      <c r="AR659" s="836"/>
      <c r="AS659" s="836"/>
      <c r="AT659" s="836"/>
      <c r="AU659" s="836"/>
      <c r="AV659" s="836"/>
      <c r="AW659" s="836"/>
      <c r="AX659" s="836"/>
      <c r="AY659" s="836"/>
      <c r="AZ659" s="836"/>
      <c r="BA659" s="836"/>
      <c r="BB659" s="836"/>
      <c r="BC659" s="836"/>
      <c r="BD659" s="836"/>
      <c r="BE659" s="836"/>
      <c r="BF659" s="836"/>
      <c r="BG659" s="836"/>
      <c r="BH659" s="836"/>
      <c r="BI659" s="836"/>
      <c r="BJ659" s="836"/>
      <c r="BK659" s="836"/>
      <c r="BL659" s="836"/>
      <c r="BM659" s="836"/>
      <c r="BN659" s="836"/>
      <c r="BO659" s="836"/>
      <c r="BP659" s="836"/>
      <c r="BR659" s="838"/>
      <c r="BS659" s="838"/>
      <c r="BT659" s="838"/>
      <c r="BU659" s="838"/>
      <c r="BV659" s="838"/>
      <c r="BW659" s="838"/>
      <c r="BX659" s="838"/>
      <c r="BY659" s="838"/>
      <c r="BZ659" s="838"/>
      <c r="CA659" s="838"/>
      <c r="CB659" s="838"/>
      <c r="CC659" s="838"/>
      <c r="CD659" s="838"/>
      <c r="CE659" s="838"/>
      <c r="CF659" s="838"/>
      <c r="CG659" s="838"/>
      <c r="CH659" s="838"/>
      <c r="CI659" s="838"/>
      <c r="CJ659" s="838"/>
      <c r="CK659" s="838"/>
      <c r="CL659" s="838"/>
      <c r="CM659" s="838"/>
      <c r="CN659" s="838"/>
      <c r="CO659" s="838"/>
      <c r="CP659" s="838"/>
      <c r="CQ659" s="838"/>
      <c r="CR659" s="838"/>
      <c r="CS659" s="838"/>
      <c r="CT659" s="838"/>
      <c r="CU659" s="838"/>
    </row>
    <row r="660">
      <c r="A660" s="860"/>
      <c r="B660" s="860"/>
      <c r="C660" s="860"/>
      <c r="D660" s="860"/>
      <c r="E660" s="860"/>
      <c r="F660" s="860"/>
      <c r="G660" s="860"/>
      <c r="H660" s="860"/>
      <c r="I660" s="860"/>
      <c r="J660" s="860"/>
      <c r="K660" s="860"/>
      <c r="L660" s="860"/>
      <c r="M660" s="860"/>
      <c r="N660" s="860"/>
      <c r="O660" s="860"/>
      <c r="P660" s="860"/>
      <c r="Q660" s="860"/>
      <c r="R660" s="860"/>
      <c r="S660" s="860"/>
      <c r="T660" s="860"/>
      <c r="U660" s="860"/>
      <c r="V660" s="860"/>
      <c r="W660" s="860"/>
      <c r="X660" s="860"/>
      <c r="Y660" s="860"/>
      <c r="Z660" s="860"/>
      <c r="AA660" s="860"/>
      <c r="AB660" s="860"/>
      <c r="AC660" s="860"/>
      <c r="AD660" s="860"/>
      <c r="AE660" s="860"/>
      <c r="AF660" s="860"/>
      <c r="AG660" s="860"/>
      <c r="AH660" s="860"/>
      <c r="AJ660" s="836"/>
      <c r="AK660" s="836"/>
      <c r="AL660" s="836"/>
      <c r="AM660" s="836"/>
      <c r="AN660" s="836"/>
      <c r="AO660" s="836"/>
      <c r="AP660" s="836"/>
      <c r="AQ660" s="836"/>
      <c r="AR660" s="836"/>
      <c r="AS660" s="836"/>
      <c r="AT660" s="836"/>
      <c r="AU660" s="836"/>
      <c r="AV660" s="836"/>
      <c r="AW660" s="836"/>
      <c r="AX660" s="836"/>
      <c r="AY660" s="836"/>
      <c r="AZ660" s="836"/>
      <c r="BA660" s="836"/>
      <c r="BB660" s="836"/>
      <c r="BC660" s="836"/>
      <c r="BD660" s="836"/>
      <c r="BE660" s="836"/>
      <c r="BF660" s="836"/>
      <c r="BG660" s="836"/>
      <c r="BH660" s="836"/>
      <c r="BI660" s="836"/>
      <c r="BJ660" s="836"/>
      <c r="BK660" s="836"/>
      <c r="BL660" s="836"/>
      <c r="BM660" s="836"/>
      <c r="BN660" s="836"/>
      <c r="BO660" s="836"/>
      <c r="BP660" s="836"/>
      <c r="BR660" s="838"/>
      <c r="BS660" s="838"/>
      <c r="BT660" s="838"/>
      <c r="BU660" s="838"/>
      <c r="BV660" s="838"/>
      <c r="BW660" s="838"/>
      <c r="BX660" s="838"/>
      <c r="BY660" s="838"/>
      <c r="BZ660" s="838"/>
      <c r="CA660" s="838"/>
      <c r="CB660" s="838"/>
      <c r="CC660" s="838"/>
      <c r="CD660" s="838"/>
      <c r="CE660" s="838"/>
      <c r="CF660" s="838"/>
      <c r="CG660" s="838"/>
      <c r="CH660" s="838"/>
      <c r="CI660" s="838"/>
      <c r="CJ660" s="838"/>
      <c r="CK660" s="838"/>
      <c r="CL660" s="838"/>
      <c r="CM660" s="838"/>
      <c r="CN660" s="838"/>
      <c r="CO660" s="838"/>
      <c r="CP660" s="838"/>
      <c r="CQ660" s="838"/>
      <c r="CR660" s="838"/>
      <c r="CS660" s="838"/>
      <c r="CT660" s="838"/>
      <c r="CU660" s="838"/>
    </row>
    <row r="661">
      <c r="A661" s="860"/>
      <c r="B661" s="860"/>
      <c r="C661" s="860"/>
      <c r="D661" s="860"/>
      <c r="E661" s="860"/>
      <c r="F661" s="860"/>
      <c r="G661" s="860"/>
      <c r="H661" s="860"/>
      <c r="I661" s="860"/>
      <c r="J661" s="860"/>
      <c r="K661" s="860"/>
      <c r="L661" s="860"/>
      <c r="M661" s="860"/>
      <c r="N661" s="860"/>
      <c r="O661" s="860"/>
      <c r="P661" s="860"/>
      <c r="Q661" s="860"/>
      <c r="R661" s="860"/>
      <c r="S661" s="860"/>
      <c r="T661" s="860"/>
      <c r="U661" s="860"/>
      <c r="V661" s="860"/>
      <c r="W661" s="860"/>
      <c r="X661" s="860"/>
      <c r="Y661" s="860"/>
      <c r="Z661" s="860"/>
      <c r="AA661" s="860"/>
      <c r="AB661" s="860"/>
      <c r="AC661" s="860"/>
      <c r="AD661" s="860"/>
      <c r="AE661" s="860"/>
      <c r="AF661" s="860"/>
      <c r="AG661" s="860"/>
      <c r="AH661" s="860"/>
      <c r="AJ661" s="836"/>
      <c r="AK661" s="836"/>
      <c r="AL661" s="836"/>
      <c r="AM661" s="836"/>
      <c r="AN661" s="836"/>
      <c r="AO661" s="836"/>
      <c r="AP661" s="836"/>
      <c r="AQ661" s="836"/>
      <c r="AR661" s="836"/>
      <c r="AS661" s="836"/>
      <c r="AT661" s="836"/>
      <c r="AU661" s="836"/>
      <c r="AV661" s="836"/>
      <c r="AW661" s="836"/>
      <c r="AX661" s="836"/>
      <c r="AY661" s="836"/>
      <c r="AZ661" s="836"/>
      <c r="BA661" s="836"/>
      <c r="BB661" s="836"/>
      <c r="BC661" s="836"/>
      <c r="BD661" s="836"/>
      <c r="BE661" s="836"/>
      <c r="BF661" s="836"/>
      <c r="BG661" s="836"/>
      <c r="BH661" s="836"/>
      <c r="BI661" s="836"/>
      <c r="BJ661" s="836"/>
      <c r="BK661" s="836"/>
      <c r="BL661" s="836"/>
      <c r="BM661" s="836"/>
      <c r="BN661" s="836"/>
      <c r="BO661" s="836"/>
      <c r="BP661" s="836"/>
      <c r="BR661" s="838"/>
      <c r="BS661" s="838"/>
      <c r="BT661" s="838"/>
      <c r="BU661" s="838"/>
      <c r="BV661" s="838"/>
      <c r="BW661" s="838"/>
      <c r="BX661" s="838"/>
      <c r="BY661" s="838"/>
      <c r="BZ661" s="838"/>
      <c r="CA661" s="838"/>
      <c r="CB661" s="838"/>
      <c r="CC661" s="838"/>
      <c r="CD661" s="838"/>
      <c r="CE661" s="838"/>
      <c r="CF661" s="838"/>
      <c r="CG661" s="838"/>
      <c r="CH661" s="838"/>
      <c r="CI661" s="838"/>
      <c r="CJ661" s="838"/>
      <c r="CK661" s="838"/>
      <c r="CL661" s="838"/>
      <c r="CM661" s="838"/>
      <c r="CN661" s="838"/>
      <c r="CO661" s="838"/>
      <c r="CP661" s="838"/>
      <c r="CQ661" s="838"/>
      <c r="CR661" s="838"/>
      <c r="CS661" s="838"/>
      <c r="CT661" s="838"/>
      <c r="CU661" s="838"/>
    </row>
    <row r="662">
      <c r="A662" s="860"/>
      <c r="B662" s="860"/>
      <c r="C662" s="860"/>
      <c r="D662" s="860"/>
      <c r="E662" s="860"/>
      <c r="F662" s="860"/>
      <c r="G662" s="860"/>
      <c r="H662" s="860"/>
      <c r="I662" s="860"/>
      <c r="J662" s="860"/>
      <c r="K662" s="860"/>
      <c r="L662" s="860"/>
      <c r="M662" s="860"/>
      <c r="N662" s="860"/>
      <c r="O662" s="860"/>
      <c r="P662" s="860"/>
      <c r="Q662" s="860"/>
      <c r="R662" s="860"/>
      <c r="S662" s="860"/>
      <c r="T662" s="860"/>
      <c r="U662" s="860"/>
      <c r="V662" s="860"/>
      <c r="W662" s="860"/>
      <c r="X662" s="860"/>
      <c r="Y662" s="860"/>
      <c r="Z662" s="860"/>
      <c r="AA662" s="860"/>
      <c r="AB662" s="860"/>
      <c r="AC662" s="860"/>
      <c r="AD662" s="860"/>
      <c r="AE662" s="860"/>
      <c r="AF662" s="860"/>
      <c r="AG662" s="860"/>
      <c r="AH662" s="860"/>
      <c r="AJ662" s="836"/>
      <c r="AK662" s="836"/>
      <c r="AL662" s="836"/>
      <c r="AM662" s="836"/>
      <c r="AN662" s="836"/>
      <c r="AO662" s="836"/>
      <c r="AP662" s="836"/>
      <c r="AQ662" s="836"/>
      <c r="AR662" s="836"/>
      <c r="AS662" s="836"/>
      <c r="AT662" s="836"/>
      <c r="AU662" s="836"/>
      <c r="AV662" s="836"/>
      <c r="AW662" s="836"/>
      <c r="AX662" s="836"/>
      <c r="AY662" s="836"/>
      <c r="AZ662" s="836"/>
      <c r="BA662" s="836"/>
      <c r="BB662" s="836"/>
      <c r="BC662" s="836"/>
      <c r="BD662" s="836"/>
      <c r="BE662" s="836"/>
      <c r="BF662" s="836"/>
      <c r="BG662" s="836"/>
      <c r="BH662" s="836"/>
      <c r="BI662" s="836"/>
      <c r="BJ662" s="836"/>
      <c r="BK662" s="836"/>
      <c r="BL662" s="836"/>
      <c r="BM662" s="836"/>
      <c r="BN662" s="836"/>
      <c r="BO662" s="836"/>
      <c r="BP662" s="836"/>
      <c r="BR662" s="838"/>
      <c r="BS662" s="838"/>
      <c r="BT662" s="838"/>
      <c r="BU662" s="838"/>
      <c r="BV662" s="838"/>
      <c r="BW662" s="838"/>
      <c r="BX662" s="838"/>
      <c r="BY662" s="838"/>
      <c r="BZ662" s="838"/>
      <c r="CA662" s="838"/>
      <c r="CB662" s="838"/>
      <c r="CC662" s="838"/>
      <c r="CD662" s="838"/>
      <c r="CE662" s="838"/>
      <c r="CF662" s="838"/>
      <c r="CG662" s="838"/>
      <c r="CH662" s="838"/>
      <c r="CI662" s="838"/>
      <c r="CJ662" s="838"/>
      <c r="CK662" s="838"/>
      <c r="CL662" s="838"/>
      <c r="CM662" s="838"/>
      <c r="CN662" s="838"/>
      <c r="CO662" s="838"/>
      <c r="CP662" s="838"/>
      <c r="CQ662" s="838"/>
      <c r="CR662" s="838"/>
      <c r="CS662" s="838"/>
      <c r="CT662" s="838"/>
      <c r="CU662" s="838"/>
    </row>
    <row r="663">
      <c r="A663" s="860"/>
      <c r="B663" s="860"/>
      <c r="C663" s="860"/>
      <c r="D663" s="860"/>
      <c r="E663" s="860"/>
      <c r="F663" s="860"/>
      <c r="G663" s="860"/>
      <c r="H663" s="860"/>
      <c r="I663" s="860"/>
      <c r="J663" s="860"/>
      <c r="K663" s="860"/>
      <c r="L663" s="860"/>
      <c r="M663" s="860"/>
      <c r="N663" s="860"/>
      <c r="O663" s="860"/>
      <c r="P663" s="860"/>
      <c r="Q663" s="860"/>
      <c r="R663" s="860"/>
      <c r="S663" s="860"/>
      <c r="T663" s="860"/>
      <c r="U663" s="860"/>
      <c r="V663" s="860"/>
      <c r="W663" s="860"/>
      <c r="X663" s="860"/>
      <c r="Y663" s="860"/>
      <c r="Z663" s="860"/>
      <c r="AA663" s="860"/>
      <c r="AB663" s="860"/>
      <c r="AC663" s="860"/>
      <c r="AD663" s="860"/>
      <c r="AE663" s="860"/>
      <c r="AF663" s="860"/>
      <c r="AG663" s="860"/>
      <c r="AH663" s="860"/>
      <c r="AJ663" s="836"/>
      <c r="AK663" s="836"/>
      <c r="AL663" s="836"/>
      <c r="AM663" s="836"/>
      <c r="AN663" s="836"/>
      <c r="AO663" s="836"/>
      <c r="AP663" s="836"/>
      <c r="AQ663" s="836"/>
      <c r="AR663" s="836"/>
      <c r="AS663" s="836"/>
      <c r="AT663" s="836"/>
      <c r="AU663" s="836"/>
      <c r="AV663" s="836"/>
      <c r="AW663" s="836"/>
      <c r="AX663" s="836"/>
      <c r="AY663" s="836"/>
      <c r="AZ663" s="836"/>
      <c r="BA663" s="836"/>
      <c r="BB663" s="836"/>
      <c r="BC663" s="836"/>
      <c r="BD663" s="836"/>
      <c r="BE663" s="836"/>
      <c r="BF663" s="836"/>
      <c r="BG663" s="836"/>
      <c r="BH663" s="836"/>
      <c r="BI663" s="836"/>
      <c r="BJ663" s="836"/>
      <c r="BK663" s="836"/>
      <c r="BL663" s="836"/>
      <c r="BM663" s="836"/>
      <c r="BN663" s="836"/>
      <c r="BO663" s="836"/>
      <c r="BP663" s="836"/>
      <c r="BR663" s="838"/>
      <c r="BS663" s="838"/>
      <c r="BT663" s="838"/>
      <c r="BU663" s="838"/>
      <c r="BV663" s="838"/>
      <c r="BW663" s="838"/>
      <c r="BX663" s="838"/>
      <c r="BY663" s="838"/>
      <c r="BZ663" s="838"/>
      <c r="CA663" s="838"/>
      <c r="CB663" s="838"/>
      <c r="CC663" s="838"/>
      <c r="CD663" s="838"/>
      <c r="CE663" s="838"/>
      <c r="CF663" s="838"/>
      <c r="CG663" s="838"/>
      <c r="CH663" s="838"/>
      <c r="CI663" s="838"/>
      <c r="CJ663" s="838"/>
      <c r="CK663" s="838"/>
      <c r="CL663" s="838"/>
      <c r="CM663" s="838"/>
      <c r="CN663" s="838"/>
      <c r="CO663" s="838"/>
      <c r="CP663" s="838"/>
      <c r="CQ663" s="838"/>
      <c r="CR663" s="838"/>
      <c r="CS663" s="838"/>
      <c r="CT663" s="838"/>
      <c r="CU663" s="838"/>
    </row>
    <row r="664">
      <c r="A664" s="860"/>
      <c r="B664" s="860"/>
      <c r="C664" s="860"/>
      <c r="D664" s="860"/>
      <c r="E664" s="860"/>
      <c r="F664" s="860"/>
      <c r="G664" s="860"/>
      <c r="H664" s="860"/>
      <c r="I664" s="860"/>
      <c r="J664" s="860"/>
      <c r="K664" s="860"/>
      <c r="L664" s="860"/>
      <c r="M664" s="860"/>
      <c r="N664" s="860"/>
      <c r="O664" s="860"/>
      <c r="P664" s="860"/>
      <c r="Q664" s="860"/>
      <c r="R664" s="860"/>
      <c r="S664" s="860"/>
      <c r="T664" s="860"/>
      <c r="U664" s="860"/>
      <c r="V664" s="860"/>
      <c r="W664" s="860"/>
      <c r="X664" s="860"/>
      <c r="Y664" s="860"/>
      <c r="Z664" s="860"/>
      <c r="AA664" s="860"/>
      <c r="AB664" s="860"/>
      <c r="AC664" s="860"/>
      <c r="AD664" s="860"/>
      <c r="AE664" s="860"/>
      <c r="AF664" s="860"/>
      <c r="AG664" s="860"/>
      <c r="AH664" s="860"/>
      <c r="AJ664" s="836"/>
      <c r="AK664" s="836"/>
      <c r="AL664" s="836"/>
      <c r="AM664" s="836"/>
      <c r="AN664" s="836"/>
      <c r="AO664" s="836"/>
      <c r="AP664" s="836"/>
      <c r="AQ664" s="836"/>
      <c r="AR664" s="836"/>
      <c r="AS664" s="836"/>
      <c r="AT664" s="836"/>
      <c r="AU664" s="836"/>
      <c r="AV664" s="836"/>
      <c r="AW664" s="836"/>
      <c r="AX664" s="836"/>
      <c r="AY664" s="836"/>
      <c r="AZ664" s="836"/>
      <c r="BA664" s="836"/>
      <c r="BB664" s="836"/>
      <c r="BC664" s="836"/>
      <c r="BD664" s="836"/>
      <c r="BE664" s="836"/>
      <c r="BF664" s="836"/>
      <c r="BG664" s="836"/>
      <c r="BH664" s="836"/>
      <c r="BI664" s="836"/>
      <c r="BJ664" s="836"/>
      <c r="BK664" s="836"/>
      <c r="BL664" s="836"/>
      <c r="BM664" s="836"/>
      <c r="BN664" s="836"/>
      <c r="BO664" s="836"/>
      <c r="BP664" s="836"/>
      <c r="BR664" s="838"/>
      <c r="BS664" s="838"/>
      <c r="BT664" s="838"/>
      <c r="BU664" s="838"/>
      <c r="BV664" s="838"/>
      <c r="BW664" s="838"/>
      <c r="BX664" s="838"/>
      <c r="BY664" s="838"/>
      <c r="BZ664" s="838"/>
      <c r="CA664" s="838"/>
      <c r="CB664" s="838"/>
      <c r="CC664" s="838"/>
      <c r="CD664" s="838"/>
      <c r="CE664" s="838"/>
      <c r="CF664" s="838"/>
      <c r="CG664" s="838"/>
      <c r="CH664" s="838"/>
      <c r="CI664" s="838"/>
      <c r="CJ664" s="838"/>
      <c r="CK664" s="838"/>
      <c r="CL664" s="838"/>
      <c r="CM664" s="838"/>
      <c r="CN664" s="838"/>
      <c r="CO664" s="838"/>
      <c r="CP664" s="838"/>
      <c r="CQ664" s="838"/>
      <c r="CR664" s="838"/>
      <c r="CS664" s="838"/>
      <c r="CT664" s="838"/>
      <c r="CU664" s="838"/>
    </row>
    <row r="665">
      <c r="A665" s="860"/>
      <c r="B665" s="860"/>
      <c r="C665" s="860"/>
      <c r="D665" s="860"/>
      <c r="E665" s="860"/>
      <c r="F665" s="860"/>
      <c r="G665" s="860"/>
      <c r="H665" s="860"/>
      <c r="I665" s="860"/>
      <c r="J665" s="860"/>
      <c r="K665" s="860"/>
      <c r="L665" s="860"/>
      <c r="M665" s="860"/>
      <c r="N665" s="860"/>
      <c r="O665" s="860"/>
      <c r="P665" s="860"/>
      <c r="Q665" s="860"/>
      <c r="R665" s="860"/>
      <c r="S665" s="860"/>
      <c r="T665" s="860"/>
      <c r="U665" s="860"/>
      <c r="V665" s="860"/>
      <c r="W665" s="860"/>
      <c r="X665" s="860"/>
      <c r="Y665" s="860"/>
      <c r="Z665" s="860"/>
      <c r="AA665" s="860"/>
      <c r="AB665" s="860"/>
      <c r="AC665" s="860"/>
      <c r="AD665" s="860"/>
      <c r="AE665" s="860"/>
      <c r="AF665" s="860"/>
      <c r="AG665" s="860"/>
      <c r="AH665" s="860"/>
      <c r="AJ665" s="836"/>
      <c r="AK665" s="836"/>
      <c r="AL665" s="836"/>
      <c r="AM665" s="836"/>
      <c r="AN665" s="836"/>
      <c r="AO665" s="836"/>
      <c r="AP665" s="836"/>
      <c r="AQ665" s="836"/>
      <c r="AR665" s="836"/>
      <c r="AS665" s="836"/>
      <c r="AT665" s="836"/>
      <c r="AU665" s="836"/>
      <c r="AV665" s="836"/>
      <c r="AW665" s="836"/>
      <c r="AX665" s="836"/>
      <c r="AY665" s="836"/>
      <c r="AZ665" s="836"/>
      <c r="BA665" s="836"/>
      <c r="BB665" s="836"/>
      <c r="BC665" s="836"/>
      <c r="BD665" s="836"/>
      <c r="BE665" s="836"/>
      <c r="BF665" s="836"/>
      <c r="BG665" s="836"/>
      <c r="BH665" s="836"/>
      <c r="BI665" s="836"/>
      <c r="BJ665" s="836"/>
      <c r="BK665" s="836"/>
      <c r="BL665" s="836"/>
      <c r="BM665" s="836"/>
      <c r="BN665" s="836"/>
      <c r="BO665" s="836"/>
      <c r="BP665" s="836"/>
      <c r="BR665" s="838"/>
      <c r="BS665" s="838"/>
      <c r="BT665" s="838"/>
      <c r="BU665" s="838"/>
      <c r="BV665" s="838"/>
      <c r="BW665" s="838"/>
      <c r="BX665" s="838"/>
      <c r="BY665" s="838"/>
      <c r="BZ665" s="838"/>
      <c r="CA665" s="838"/>
      <c r="CB665" s="838"/>
      <c r="CC665" s="838"/>
      <c r="CD665" s="838"/>
      <c r="CE665" s="838"/>
      <c r="CF665" s="838"/>
      <c r="CG665" s="838"/>
      <c r="CH665" s="838"/>
      <c r="CI665" s="838"/>
      <c r="CJ665" s="838"/>
      <c r="CK665" s="838"/>
      <c r="CL665" s="838"/>
      <c r="CM665" s="838"/>
      <c r="CN665" s="838"/>
      <c r="CO665" s="838"/>
      <c r="CP665" s="838"/>
      <c r="CQ665" s="838"/>
      <c r="CR665" s="838"/>
      <c r="CS665" s="838"/>
      <c r="CT665" s="838"/>
      <c r="CU665" s="838"/>
    </row>
    <row r="666">
      <c r="A666" s="860"/>
      <c r="B666" s="860"/>
      <c r="C666" s="860"/>
      <c r="D666" s="860"/>
      <c r="E666" s="860"/>
      <c r="F666" s="860"/>
      <c r="G666" s="860"/>
      <c r="H666" s="860"/>
      <c r="I666" s="860"/>
      <c r="J666" s="860"/>
      <c r="K666" s="860"/>
      <c r="L666" s="860"/>
      <c r="M666" s="860"/>
      <c r="N666" s="860"/>
      <c r="O666" s="860"/>
      <c r="P666" s="860"/>
      <c r="Q666" s="860"/>
      <c r="R666" s="860"/>
      <c r="S666" s="860"/>
      <c r="T666" s="860"/>
      <c r="U666" s="860"/>
      <c r="V666" s="860"/>
      <c r="W666" s="860"/>
      <c r="X666" s="860"/>
      <c r="Y666" s="860"/>
      <c r="Z666" s="860"/>
      <c r="AA666" s="860"/>
      <c r="AB666" s="860"/>
      <c r="AC666" s="860"/>
      <c r="AD666" s="860"/>
      <c r="AE666" s="860"/>
      <c r="AF666" s="860"/>
      <c r="AG666" s="860"/>
      <c r="AH666" s="860"/>
      <c r="AJ666" s="836"/>
      <c r="AK666" s="836"/>
      <c r="AL666" s="836"/>
      <c r="AM666" s="836"/>
      <c r="AN666" s="836"/>
      <c r="AO666" s="836"/>
      <c r="AP666" s="836"/>
      <c r="AQ666" s="836"/>
      <c r="AR666" s="836"/>
      <c r="AS666" s="836"/>
      <c r="AT666" s="836"/>
      <c r="AU666" s="836"/>
      <c r="AV666" s="836"/>
      <c r="AW666" s="836"/>
      <c r="AX666" s="836"/>
      <c r="AY666" s="836"/>
      <c r="AZ666" s="836"/>
      <c r="BA666" s="836"/>
      <c r="BB666" s="836"/>
      <c r="BC666" s="836"/>
      <c r="BD666" s="836"/>
      <c r="BE666" s="836"/>
      <c r="BF666" s="836"/>
      <c r="BG666" s="836"/>
      <c r="BH666" s="836"/>
      <c r="BI666" s="836"/>
      <c r="BJ666" s="836"/>
      <c r="BK666" s="836"/>
      <c r="BL666" s="836"/>
      <c r="BM666" s="836"/>
      <c r="BN666" s="836"/>
      <c r="BO666" s="836"/>
      <c r="BP666" s="836"/>
      <c r="BR666" s="838"/>
      <c r="BS666" s="838"/>
      <c r="BT666" s="838"/>
      <c r="BU666" s="838"/>
      <c r="BV666" s="838"/>
      <c r="BW666" s="838"/>
      <c r="BX666" s="838"/>
      <c r="BY666" s="838"/>
      <c r="BZ666" s="838"/>
      <c r="CA666" s="838"/>
      <c r="CB666" s="838"/>
      <c r="CC666" s="838"/>
      <c r="CD666" s="838"/>
      <c r="CE666" s="838"/>
      <c r="CF666" s="838"/>
      <c r="CG666" s="838"/>
      <c r="CH666" s="838"/>
      <c r="CI666" s="838"/>
      <c r="CJ666" s="838"/>
      <c r="CK666" s="838"/>
      <c r="CL666" s="838"/>
      <c r="CM666" s="838"/>
      <c r="CN666" s="838"/>
      <c r="CO666" s="838"/>
      <c r="CP666" s="838"/>
      <c r="CQ666" s="838"/>
      <c r="CR666" s="838"/>
      <c r="CS666" s="838"/>
      <c r="CT666" s="838"/>
      <c r="CU666" s="838"/>
    </row>
    <row r="667">
      <c r="A667" s="860"/>
      <c r="B667" s="860"/>
      <c r="C667" s="860"/>
      <c r="D667" s="860"/>
      <c r="E667" s="860"/>
      <c r="F667" s="860"/>
      <c r="G667" s="860"/>
      <c r="H667" s="860"/>
      <c r="I667" s="860"/>
      <c r="J667" s="860"/>
      <c r="K667" s="860"/>
      <c r="L667" s="860"/>
      <c r="M667" s="860"/>
      <c r="N667" s="860"/>
      <c r="O667" s="860"/>
      <c r="P667" s="860"/>
      <c r="Q667" s="860"/>
      <c r="R667" s="860"/>
      <c r="S667" s="860"/>
      <c r="T667" s="860"/>
      <c r="U667" s="860"/>
      <c r="V667" s="860"/>
      <c r="W667" s="860"/>
      <c r="X667" s="860"/>
      <c r="Y667" s="860"/>
      <c r="Z667" s="860"/>
      <c r="AA667" s="860"/>
      <c r="AB667" s="860"/>
      <c r="AC667" s="860"/>
      <c r="AD667" s="860"/>
      <c r="AE667" s="860"/>
      <c r="AF667" s="860"/>
      <c r="AG667" s="860"/>
      <c r="AH667" s="860"/>
      <c r="AJ667" s="836"/>
      <c r="AK667" s="836"/>
      <c r="AL667" s="836"/>
      <c r="AM667" s="836"/>
      <c r="AN667" s="836"/>
      <c r="AO667" s="836"/>
      <c r="AP667" s="836"/>
      <c r="AQ667" s="836"/>
      <c r="AR667" s="836"/>
      <c r="AS667" s="836"/>
      <c r="AT667" s="836"/>
      <c r="AU667" s="836"/>
      <c r="AV667" s="836"/>
      <c r="AW667" s="836"/>
      <c r="AX667" s="836"/>
      <c r="AY667" s="836"/>
      <c r="AZ667" s="836"/>
      <c r="BA667" s="836"/>
      <c r="BB667" s="836"/>
      <c r="BC667" s="836"/>
      <c r="BD667" s="836"/>
      <c r="BE667" s="836"/>
      <c r="BF667" s="836"/>
      <c r="BG667" s="836"/>
      <c r="BH667" s="836"/>
      <c r="BI667" s="836"/>
      <c r="BJ667" s="836"/>
      <c r="BK667" s="836"/>
      <c r="BL667" s="836"/>
      <c r="BM667" s="836"/>
      <c r="BN667" s="836"/>
      <c r="BO667" s="836"/>
      <c r="BP667" s="836"/>
      <c r="BR667" s="838"/>
      <c r="BS667" s="838"/>
      <c r="BT667" s="838"/>
      <c r="BU667" s="838"/>
      <c r="BV667" s="838"/>
      <c r="BW667" s="838"/>
      <c r="BX667" s="838"/>
      <c r="BY667" s="838"/>
      <c r="BZ667" s="838"/>
      <c r="CA667" s="838"/>
      <c r="CB667" s="838"/>
      <c r="CC667" s="838"/>
      <c r="CD667" s="838"/>
      <c r="CE667" s="838"/>
      <c r="CF667" s="838"/>
      <c r="CG667" s="838"/>
      <c r="CH667" s="838"/>
      <c r="CI667" s="838"/>
      <c r="CJ667" s="838"/>
      <c r="CK667" s="838"/>
      <c r="CL667" s="838"/>
      <c r="CM667" s="838"/>
      <c r="CN667" s="838"/>
      <c r="CO667" s="838"/>
      <c r="CP667" s="838"/>
      <c r="CQ667" s="838"/>
      <c r="CR667" s="838"/>
      <c r="CS667" s="838"/>
      <c r="CT667" s="838"/>
      <c r="CU667" s="838"/>
    </row>
    <row r="668">
      <c r="A668" s="860"/>
      <c r="B668" s="860"/>
      <c r="C668" s="860"/>
      <c r="D668" s="860"/>
      <c r="E668" s="860"/>
      <c r="F668" s="860"/>
      <c r="G668" s="860"/>
      <c r="H668" s="860"/>
      <c r="I668" s="860"/>
      <c r="J668" s="860"/>
      <c r="K668" s="860"/>
      <c r="L668" s="860"/>
      <c r="M668" s="860"/>
      <c r="N668" s="860"/>
      <c r="O668" s="860"/>
      <c r="P668" s="860"/>
      <c r="Q668" s="860"/>
      <c r="R668" s="860"/>
      <c r="S668" s="860"/>
      <c r="T668" s="860"/>
      <c r="U668" s="860"/>
      <c r="V668" s="860"/>
      <c r="W668" s="860"/>
      <c r="X668" s="860"/>
      <c r="Y668" s="860"/>
      <c r="Z668" s="860"/>
      <c r="AA668" s="860"/>
      <c r="AB668" s="860"/>
      <c r="AC668" s="860"/>
      <c r="AD668" s="860"/>
      <c r="AE668" s="860"/>
      <c r="AF668" s="860"/>
      <c r="AG668" s="860"/>
      <c r="AH668" s="860"/>
      <c r="AJ668" s="836"/>
      <c r="AK668" s="836"/>
      <c r="AL668" s="836"/>
      <c r="AM668" s="836"/>
      <c r="AN668" s="836"/>
      <c r="AO668" s="836"/>
      <c r="AP668" s="836"/>
      <c r="AQ668" s="836"/>
      <c r="AR668" s="836"/>
      <c r="AS668" s="836"/>
      <c r="AT668" s="836"/>
      <c r="AU668" s="836"/>
      <c r="AV668" s="836"/>
      <c r="AW668" s="836"/>
      <c r="AX668" s="836"/>
      <c r="AY668" s="836"/>
      <c r="AZ668" s="836"/>
      <c r="BA668" s="836"/>
      <c r="BB668" s="836"/>
      <c r="BC668" s="836"/>
      <c r="BD668" s="836"/>
      <c r="BE668" s="836"/>
      <c r="BF668" s="836"/>
      <c r="BG668" s="836"/>
      <c r="BH668" s="836"/>
      <c r="BI668" s="836"/>
      <c r="BJ668" s="836"/>
      <c r="BK668" s="836"/>
      <c r="BL668" s="836"/>
      <c r="BM668" s="836"/>
      <c r="BN668" s="836"/>
      <c r="BO668" s="836"/>
      <c r="BP668" s="836"/>
      <c r="BR668" s="838"/>
      <c r="BS668" s="838"/>
      <c r="BT668" s="838"/>
      <c r="BU668" s="838"/>
      <c r="BV668" s="838"/>
      <c r="BW668" s="838"/>
      <c r="BX668" s="838"/>
      <c r="BY668" s="838"/>
      <c r="BZ668" s="838"/>
      <c r="CA668" s="838"/>
      <c r="CB668" s="838"/>
      <c r="CC668" s="838"/>
      <c r="CD668" s="838"/>
      <c r="CE668" s="838"/>
      <c r="CF668" s="838"/>
      <c r="CG668" s="838"/>
      <c r="CH668" s="838"/>
      <c r="CI668" s="838"/>
      <c r="CJ668" s="838"/>
      <c r="CK668" s="838"/>
      <c r="CL668" s="838"/>
      <c r="CM668" s="838"/>
      <c r="CN668" s="838"/>
      <c r="CO668" s="838"/>
      <c r="CP668" s="838"/>
      <c r="CQ668" s="838"/>
      <c r="CR668" s="838"/>
      <c r="CS668" s="838"/>
      <c r="CT668" s="838"/>
      <c r="CU668" s="838"/>
    </row>
    <row r="669">
      <c r="A669" s="860"/>
      <c r="B669" s="860"/>
      <c r="C669" s="860"/>
      <c r="D669" s="860"/>
      <c r="E669" s="860"/>
      <c r="F669" s="860"/>
      <c r="G669" s="860"/>
      <c r="H669" s="860"/>
      <c r="I669" s="860"/>
      <c r="J669" s="860"/>
      <c r="K669" s="860"/>
      <c r="L669" s="860"/>
      <c r="M669" s="860"/>
      <c r="N669" s="860"/>
      <c r="O669" s="860"/>
      <c r="P669" s="860"/>
      <c r="Q669" s="860"/>
      <c r="R669" s="860"/>
      <c r="S669" s="860"/>
      <c r="T669" s="860"/>
      <c r="U669" s="860"/>
      <c r="V669" s="860"/>
      <c r="W669" s="860"/>
      <c r="X669" s="860"/>
      <c r="Y669" s="860"/>
      <c r="Z669" s="860"/>
      <c r="AA669" s="860"/>
      <c r="AB669" s="860"/>
      <c r="AC669" s="860"/>
      <c r="AD669" s="860"/>
      <c r="AE669" s="860"/>
      <c r="AF669" s="860"/>
      <c r="AG669" s="860"/>
      <c r="AH669" s="860"/>
      <c r="AJ669" s="836"/>
      <c r="AK669" s="836"/>
      <c r="AL669" s="836"/>
      <c r="AM669" s="836"/>
      <c r="AN669" s="836"/>
      <c r="AO669" s="836"/>
      <c r="AP669" s="836"/>
      <c r="AQ669" s="836"/>
      <c r="AR669" s="836"/>
      <c r="AS669" s="836"/>
      <c r="AT669" s="836"/>
      <c r="AU669" s="836"/>
      <c r="AV669" s="836"/>
      <c r="AW669" s="836"/>
      <c r="AX669" s="836"/>
      <c r="AY669" s="836"/>
      <c r="AZ669" s="836"/>
      <c r="BA669" s="836"/>
      <c r="BB669" s="836"/>
      <c r="BC669" s="836"/>
      <c r="BD669" s="836"/>
      <c r="BE669" s="836"/>
      <c r="BF669" s="836"/>
      <c r="BG669" s="836"/>
      <c r="BH669" s="836"/>
      <c r="BI669" s="836"/>
      <c r="BJ669" s="836"/>
      <c r="BK669" s="836"/>
      <c r="BL669" s="836"/>
      <c r="BM669" s="836"/>
      <c r="BN669" s="836"/>
      <c r="BO669" s="836"/>
      <c r="BP669" s="836"/>
      <c r="BR669" s="838"/>
      <c r="BS669" s="838"/>
      <c r="BT669" s="838"/>
      <c r="BU669" s="838"/>
      <c r="BV669" s="838"/>
      <c r="BW669" s="838"/>
      <c r="BX669" s="838"/>
      <c r="BY669" s="838"/>
      <c r="BZ669" s="838"/>
      <c r="CA669" s="838"/>
      <c r="CB669" s="838"/>
      <c r="CC669" s="838"/>
      <c r="CD669" s="838"/>
      <c r="CE669" s="838"/>
      <c r="CF669" s="838"/>
      <c r="CG669" s="838"/>
      <c r="CH669" s="838"/>
      <c r="CI669" s="838"/>
      <c r="CJ669" s="838"/>
      <c r="CK669" s="838"/>
      <c r="CL669" s="838"/>
      <c r="CM669" s="838"/>
      <c r="CN669" s="838"/>
      <c r="CO669" s="838"/>
      <c r="CP669" s="838"/>
      <c r="CQ669" s="838"/>
      <c r="CR669" s="838"/>
      <c r="CS669" s="838"/>
      <c r="CT669" s="838"/>
      <c r="CU669" s="838"/>
    </row>
    <row r="670">
      <c r="A670" s="860"/>
      <c r="B670" s="860"/>
      <c r="C670" s="860"/>
      <c r="D670" s="860"/>
      <c r="E670" s="860"/>
      <c r="F670" s="860"/>
      <c r="G670" s="860"/>
      <c r="H670" s="860"/>
      <c r="I670" s="860"/>
      <c r="J670" s="860"/>
      <c r="K670" s="860"/>
      <c r="L670" s="860"/>
      <c r="M670" s="860"/>
      <c r="N670" s="860"/>
      <c r="O670" s="860"/>
      <c r="P670" s="860"/>
      <c r="Q670" s="860"/>
      <c r="R670" s="860"/>
      <c r="S670" s="860"/>
      <c r="T670" s="860"/>
      <c r="U670" s="860"/>
      <c r="V670" s="860"/>
      <c r="W670" s="860"/>
      <c r="X670" s="860"/>
      <c r="Y670" s="860"/>
      <c r="Z670" s="860"/>
      <c r="AA670" s="860"/>
      <c r="AB670" s="860"/>
      <c r="AC670" s="860"/>
      <c r="AD670" s="860"/>
      <c r="AE670" s="860"/>
      <c r="AF670" s="860"/>
      <c r="AG670" s="860"/>
      <c r="AH670" s="860"/>
      <c r="AJ670" s="836"/>
      <c r="AK670" s="836"/>
      <c r="AL670" s="836"/>
      <c r="AM670" s="836"/>
      <c r="AN670" s="836"/>
      <c r="AO670" s="836"/>
      <c r="AP670" s="836"/>
      <c r="AQ670" s="836"/>
      <c r="AR670" s="836"/>
      <c r="AS670" s="836"/>
      <c r="AT670" s="836"/>
      <c r="AU670" s="836"/>
      <c r="AV670" s="836"/>
      <c r="AW670" s="836"/>
      <c r="AX670" s="836"/>
      <c r="AY670" s="836"/>
      <c r="AZ670" s="836"/>
      <c r="BA670" s="836"/>
      <c r="BB670" s="836"/>
      <c r="BC670" s="836"/>
      <c r="BD670" s="836"/>
      <c r="BE670" s="836"/>
      <c r="BF670" s="836"/>
      <c r="BG670" s="836"/>
      <c r="BH670" s="836"/>
      <c r="BI670" s="836"/>
      <c r="BJ670" s="836"/>
      <c r="BK670" s="836"/>
      <c r="BL670" s="836"/>
      <c r="BM670" s="836"/>
      <c r="BN670" s="836"/>
      <c r="BO670" s="836"/>
      <c r="BP670" s="836"/>
      <c r="BR670" s="838"/>
      <c r="BS670" s="838"/>
      <c r="BT670" s="838"/>
      <c r="BU670" s="838"/>
      <c r="BV670" s="838"/>
      <c r="BW670" s="838"/>
      <c r="BX670" s="838"/>
      <c r="BY670" s="838"/>
      <c r="BZ670" s="838"/>
      <c r="CA670" s="838"/>
      <c r="CB670" s="838"/>
      <c r="CC670" s="838"/>
      <c r="CD670" s="838"/>
      <c r="CE670" s="838"/>
      <c r="CF670" s="838"/>
      <c r="CG670" s="838"/>
      <c r="CH670" s="838"/>
      <c r="CI670" s="838"/>
      <c r="CJ670" s="838"/>
      <c r="CK670" s="838"/>
      <c r="CL670" s="838"/>
      <c r="CM670" s="838"/>
      <c r="CN670" s="838"/>
      <c r="CO670" s="838"/>
      <c r="CP670" s="838"/>
      <c r="CQ670" s="838"/>
      <c r="CR670" s="838"/>
      <c r="CS670" s="838"/>
      <c r="CT670" s="838"/>
      <c r="CU670" s="838"/>
    </row>
    <row r="671">
      <c r="A671" s="860"/>
      <c r="B671" s="860"/>
      <c r="C671" s="860"/>
      <c r="D671" s="860"/>
      <c r="E671" s="860"/>
      <c r="F671" s="860"/>
      <c r="G671" s="860"/>
      <c r="H671" s="860"/>
      <c r="I671" s="860"/>
      <c r="J671" s="860"/>
      <c r="K671" s="860"/>
      <c r="L671" s="860"/>
      <c r="M671" s="860"/>
      <c r="N671" s="860"/>
      <c r="O671" s="860"/>
      <c r="P671" s="860"/>
      <c r="Q671" s="860"/>
      <c r="R671" s="860"/>
      <c r="S671" s="860"/>
      <c r="T671" s="860"/>
      <c r="U671" s="860"/>
      <c r="V671" s="860"/>
      <c r="W671" s="860"/>
      <c r="X671" s="860"/>
      <c r="Y671" s="860"/>
      <c r="Z671" s="860"/>
      <c r="AA671" s="860"/>
      <c r="AB671" s="860"/>
      <c r="AC671" s="860"/>
      <c r="AD671" s="860"/>
      <c r="AE671" s="860"/>
      <c r="AF671" s="860"/>
      <c r="AG671" s="860"/>
      <c r="AH671" s="860"/>
      <c r="AJ671" s="836"/>
      <c r="AK671" s="836"/>
      <c r="AL671" s="836"/>
      <c r="AM671" s="836"/>
      <c r="AN671" s="836"/>
      <c r="AO671" s="836"/>
      <c r="AP671" s="836"/>
      <c r="AQ671" s="836"/>
      <c r="AR671" s="836"/>
      <c r="AS671" s="836"/>
      <c r="AT671" s="836"/>
      <c r="AU671" s="836"/>
      <c r="AV671" s="836"/>
      <c r="AW671" s="836"/>
      <c r="AX671" s="836"/>
      <c r="AY671" s="836"/>
      <c r="AZ671" s="836"/>
      <c r="BA671" s="836"/>
      <c r="BB671" s="836"/>
      <c r="BC671" s="836"/>
      <c r="BD671" s="836"/>
      <c r="BE671" s="836"/>
      <c r="BF671" s="836"/>
      <c r="BG671" s="836"/>
      <c r="BH671" s="836"/>
      <c r="BI671" s="836"/>
      <c r="BJ671" s="836"/>
      <c r="BK671" s="836"/>
      <c r="BL671" s="836"/>
      <c r="BM671" s="836"/>
      <c r="BN671" s="836"/>
      <c r="BO671" s="836"/>
      <c r="BP671" s="836"/>
      <c r="BR671" s="838"/>
      <c r="BS671" s="838"/>
      <c r="BT671" s="838"/>
      <c r="BU671" s="838"/>
      <c r="BV671" s="838"/>
      <c r="BW671" s="838"/>
      <c r="BX671" s="838"/>
      <c r="BY671" s="838"/>
      <c r="BZ671" s="838"/>
      <c r="CA671" s="838"/>
      <c r="CB671" s="838"/>
      <c r="CC671" s="838"/>
      <c r="CD671" s="838"/>
      <c r="CE671" s="838"/>
      <c r="CF671" s="838"/>
      <c r="CG671" s="838"/>
      <c r="CH671" s="838"/>
      <c r="CI671" s="838"/>
      <c r="CJ671" s="838"/>
      <c r="CK671" s="838"/>
      <c r="CL671" s="838"/>
      <c r="CM671" s="838"/>
      <c r="CN671" s="838"/>
      <c r="CO671" s="838"/>
      <c r="CP671" s="838"/>
      <c r="CQ671" s="838"/>
      <c r="CR671" s="838"/>
      <c r="CS671" s="838"/>
      <c r="CT671" s="838"/>
      <c r="CU671" s="838"/>
    </row>
    <row r="672">
      <c r="A672" s="860"/>
      <c r="B672" s="860"/>
      <c r="C672" s="860"/>
      <c r="D672" s="860"/>
      <c r="E672" s="860"/>
      <c r="F672" s="860"/>
      <c r="G672" s="860"/>
      <c r="H672" s="860"/>
      <c r="I672" s="860"/>
      <c r="J672" s="860"/>
      <c r="K672" s="860"/>
      <c r="L672" s="860"/>
      <c r="M672" s="860"/>
      <c r="N672" s="860"/>
      <c r="O672" s="860"/>
      <c r="P672" s="860"/>
      <c r="Q672" s="860"/>
      <c r="R672" s="860"/>
      <c r="S672" s="860"/>
      <c r="T672" s="860"/>
      <c r="U672" s="860"/>
      <c r="V672" s="860"/>
      <c r="W672" s="860"/>
      <c r="X672" s="860"/>
      <c r="Y672" s="860"/>
      <c r="Z672" s="860"/>
      <c r="AA672" s="860"/>
      <c r="AB672" s="860"/>
      <c r="AC672" s="860"/>
      <c r="AD672" s="860"/>
      <c r="AE672" s="860"/>
      <c r="AF672" s="860"/>
      <c r="AG672" s="860"/>
      <c r="AH672" s="860"/>
      <c r="AJ672" s="836"/>
      <c r="AK672" s="836"/>
      <c r="AL672" s="836"/>
      <c r="AM672" s="836"/>
      <c r="AN672" s="836"/>
      <c r="AO672" s="836"/>
      <c r="AP672" s="836"/>
      <c r="AQ672" s="836"/>
      <c r="AR672" s="836"/>
      <c r="AS672" s="836"/>
      <c r="AT672" s="836"/>
      <c r="AU672" s="836"/>
      <c r="AV672" s="836"/>
      <c r="AW672" s="836"/>
      <c r="AX672" s="836"/>
      <c r="AY672" s="836"/>
      <c r="AZ672" s="836"/>
      <c r="BA672" s="836"/>
      <c r="BB672" s="836"/>
      <c r="BC672" s="836"/>
      <c r="BD672" s="836"/>
      <c r="BE672" s="836"/>
      <c r="BF672" s="836"/>
      <c r="BG672" s="836"/>
      <c r="BH672" s="836"/>
      <c r="BI672" s="836"/>
      <c r="BJ672" s="836"/>
      <c r="BK672" s="836"/>
      <c r="BL672" s="836"/>
      <c r="BM672" s="836"/>
      <c r="BN672" s="836"/>
      <c r="BO672" s="836"/>
      <c r="BP672" s="836"/>
      <c r="BR672" s="838"/>
      <c r="BS672" s="838"/>
      <c r="BT672" s="838"/>
      <c r="BU672" s="838"/>
      <c r="BV672" s="838"/>
      <c r="BW672" s="838"/>
      <c r="BX672" s="838"/>
      <c r="BY672" s="838"/>
      <c r="BZ672" s="838"/>
      <c r="CA672" s="838"/>
      <c r="CB672" s="838"/>
      <c r="CC672" s="838"/>
      <c r="CD672" s="838"/>
      <c r="CE672" s="838"/>
      <c r="CF672" s="838"/>
      <c r="CG672" s="838"/>
      <c r="CH672" s="838"/>
      <c r="CI672" s="838"/>
      <c r="CJ672" s="838"/>
      <c r="CK672" s="838"/>
      <c r="CL672" s="838"/>
      <c r="CM672" s="838"/>
      <c r="CN672" s="838"/>
      <c r="CO672" s="838"/>
      <c r="CP672" s="838"/>
      <c r="CQ672" s="838"/>
      <c r="CR672" s="838"/>
      <c r="CS672" s="838"/>
      <c r="CT672" s="838"/>
      <c r="CU672" s="838"/>
    </row>
    <row r="673">
      <c r="A673" s="860"/>
      <c r="B673" s="860"/>
      <c r="C673" s="860"/>
      <c r="D673" s="860"/>
      <c r="E673" s="860"/>
      <c r="F673" s="860"/>
      <c r="G673" s="860"/>
      <c r="H673" s="860"/>
      <c r="I673" s="860"/>
      <c r="J673" s="860"/>
      <c r="K673" s="860"/>
      <c r="L673" s="860"/>
      <c r="M673" s="860"/>
      <c r="N673" s="860"/>
      <c r="O673" s="860"/>
      <c r="P673" s="860"/>
      <c r="Q673" s="860"/>
      <c r="R673" s="860"/>
      <c r="S673" s="860"/>
      <c r="T673" s="860"/>
      <c r="U673" s="860"/>
      <c r="V673" s="860"/>
      <c r="W673" s="860"/>
      <c r="X673" s="860"/>
      <c r="Y673" s="860"/>
      <c r="Z673" s="860"/>
      <c r="AA673" s="860"/>
      <c r="AB673" s="860"/>
      <c r="AC673" s="860"/>
      <c r="AD673" s="860"/>
      <c r="AE673" s="860"/>
      <c r="AF673" s="860"/>
      <c r="AG673" s="860"/>
      <c r="AH673" s="860"/>
      <c r="AJ673" s="836"/>
      <c r="AK673" s="836"/>
      <c r="AL673" s="836"/>
      <c r="AM673" s="836"/>
      <c r="AN673" s="836"/>
      <c r="AO673" s="836"/>
      <c r="AP673" s="836"/>
      <c r="AQ673" s="836"/>
      <c r="AR673" s="836"/>
      <c r="AS673" s="836"/>
      <c r="AT673" s="836"/>
      <c r="AU673" s="836"/>
      <c r="AV673" s="836"/>
      <c r="AW673" s="836"/>
      <c r="AX673" s="836"/>
      <c r="AY673" s="836"/>
      <c r="AZ673" s="836"/>
      <c r="BA673" s="836"/>
      <c r="BB673" s="836"/>
      <c r="BC673" s="836"/>
      <c r="BD673" s="836"/>
      <c r="BE673" s="836"/>
      <c r="BF673" s="836"/>
      <c r="BG673" s="836"/>
      <c r="BH673" s="836"/>
      <c r="BI673" s="836"/>
      <c r="BJ673" s="836"/>
      <c r="BK673" s="836"/>
      <c r="BL673" s="836"/>
      <c r="BM673" s="836"/>
      <c r="BN673" s="836"/>
      <c r="BO673" s="836"/>
      <c r="BP673" s="836"/>
      <c r="BR673" s="838"/>
      <c r="BS673" s="838"/>
      <c r="BT673" s="838"/>
      <c r="BU673" s="838"/>
      <c r="BV673" s="838"/>
      <c r="BW673" s="838"/>
      <c r="BX673" s="838"/>
      <c r="BY673" s="838"/>
      <c r="BZ673" s="838"/>
      <c r="CA673" s="838"/>
      <c r="CB673" s="838"/>
      <c r="CC673" s="838"/>
      <c r="CD673" s="838"/>
      <c r="CE673" s="838"/>
      <c r="CF673" s="838"/>
      <c r="CG673" s="838"/>
      <c r="CH673" s="838"/>
      <c r="CI673" s="838"/>
      <c r="CJ673" s="838"/>
      <c r="CK673" s="838"/>
      <c r="CL673" s="838"/>
      <c r="CM673" s="838"/>
      <c r="CN673" s="838"/>
      <c r="CO673" s="838"/>
      <c r="CP673" s="838"/>
      <c r="CQ673" s="838"/>
      <c r="CR673" s="838"/>
      <c r="CS673" s="838"/>
      <c r="CT673" s="838"/>
      <c r="CU673" s="838"/>
    </row>
    <row r="674">
      <c r="A674" s="860"/>
      <c r="B674" s="860"/>
      <c r="C674" s="860"/>
      <c r="D674" s="860"/>
      <c r="E674" s="860"/>
      <c r="F674" s="860"/>
      <c r="G674" s="860"/>
      <c r="H674" s="860"/>
      <c r="I674" s="860"/>
      <c r="J674" s="860"/>
      <c r="K674" s="860"/>
      <c r="L674" s="860"/>
      <c r="M674" s="860"/>
      <c r="N674" s="860"/>
      <c r="O674" s="860"/>
      <c r="P674" s="860"/>
      <c r="Q674" s="860"/>
      <c r="R674" s="860"/>
      <c r="S674" s="860"/>
      <c r="T674" s="860"/>
      <c r="U674" s="860"/>
      <c r="V674" s="860"/>
      <c r="W674" s="860"/>
      <c r="X674" s="860"/>
      <c r="Y674" s="860"/>
      <c r="Z674" s="860"/>
      <c r="AA674" s="860"/>
      <c r="AB674" s="860"/>
      <c r="AC674" s="860"/>
      <c r="AD674" s="860"/>
      <c r="AE674" s="860"/>
      <c r="AF674" s="860"/>
      <c r="AG674" s="860"/>
      <c r="AH674" s="860"/>
      <c r="AJ674" s="836"/>
      <c r="AK674" s="836"/>
      <c r="AL674" s="836"/>
      <c r="AM674" s="836"/>
      <c r="AN674" s="836"/>
      <c r="AO674" s="836"/>
      <c r="AP674" s="836"/>
      <c r="AQ674" s="836"/>
      <c r="AR674" s="836"/>
      <c r="AS674" s="836"/>
      <c r="AT674" s="836"/>
      <c r="AU674" s="836"/>
      <c r="AV674" s="836"/>
      <c r="AW674" s="836"/>
      <c r="AX674" s="836"/>
      <c r="AY674" s="836"/>
      <c r="AZ674" s="836"/>
      <c r="BA674" s="836"/>
      <c r="BB674" s="836"/>
      <c r="BC674" s="836"/>
      <c r="BD674" s="836"/>
      <c r="BE674" s="836"/>
      <c r="BF674" s="836"/>
      <c r="BG674" s="836"/>
      <c r="BH674" s="836"/>
      <c r="BI674" s="836"/>
      <c r="BJ674" s="836"/>
      <c r="BK674" s="836"/>
      <c r="BL674" s="836"/>
      <c r="BM674" s="836"/>
      <c r="BN674" s="836"/>
      <c r="BO674" s="836"/>
      <c r="BP674" s="836"/>
      <c r="BR674" s="838"/>
      <c r="BS674" s="838"/>
      <c r="BT674" s="838"/>
      <c r="BU674" s="838"/>
      <c r="BV674" s="838"/>
      <c r="BW674" s="838"/>
      <c r="BX674" s="838"/>
      <c r="BY674" s="838"/>
      <c r="BZ674" s="838"/>
      <c r="CA674" s="838"/>
      <c r="CB674" s="838"/>
      <c r="CC674" s="838"/>
      <c r="CD674" s="838"/>
      <c r="CE674" s="838"/>
      <c r="CF674" s="838"/>
      <c r="CG674" s="838"/>
      <c r="CH674" s="838"/>
      <c r="CI674" s="838"/>
      <c r="CJ674" s="838"/>
      <c r="CK674" s="838"/>
      <c r="CL674" s="838"/>
      <c r="CM674" s="838"/>
      <c r="CN674" s="838"/>
      <c r="CO674" s="838"/>
      <c r="CP674" s="838"/>
      <c r="CQ674" s="838"/>
      <c r="CR674" s="838"/>
      <c r="CS674" s="838"/>
      <c r="CT674" s="838"/>
      <c r="CU674" s="838"/>
    </row>
    <row r="675">
      <c r="A675" s="860"/>
      <c r="B675" s="860"/>
      <c r="C675" s="860"/>
      <c r="D675" s="860"/>
      <c r="E675" s="860"/>
      <c r="F675" s="860"/>
      <c r="G675" s="860"/>
      <c r="H675" s="860"/>
      <c r="I675" s="860"/>
      <c r="J675" s="860"/>
      <c r="K675" s="860"/>
      <c r="L675" s="860"/>
      <c r="M675" s="860"/>
      <c r="N675" s="860"/>
      <c r="O675" s="860"/>
      <c r="P675" s="860"/>
      <c r="Q675" s="860"/>
      <c r="R675" s="860"/>
      <c r="S675" s="860"/>
      <c r="T675" s="860"/>
      <c r="U675" s="860"/>
      <c r="V675" s="860"/>
      <c r="W675" s="860"/>
      <c r="X675" s="860"/>
      <c r="Y675" s="860"/>
      <c r="Z675" s="860"/>
      <c r="AA675" s="860"/>
      <c r="AB675" s="860"/>
      <c r="AC675" s="860"/>
      <c r="AD675" s="860"/>
      <c r="AE675" s="860"/>
      <c r="AF675" s="860"/>
      <c r="AG675" s="860"/>
      <c r="AH675" s="860"/>
      <c r="AJ675" s="836"/>
      <c r="AK675" s="836"/>
      <c r="AL675" s="836"/>
      <c r="AM675" s="836"/>
      <c r="AN675" s="836"/>
      <c r="AO675" s="836"/>
      <c r="AP675" s="836"/>
      <c r="AQ675" s="836"/>
      <c r="AR675" s="836"/>
      <c r="AS675" s="836"/>
      <c r="AT675" s="836"/>
      <c r="AU675" s="836"/>
      <c r="AV675" s="836"/>
      <c r="AW675" s="836"/>
      <c r="AX675" s="836"/>
      <c r="AY675" s="836"/>
      <c r="AZ675" s="836"/>
      <c r="BA675" s="836"/>
      <c r="BB675" s="836"/>
      <c r="BC675" s="836"/>
      <c r="BD675" s="836"/>
      <c r="BE675" s="836"/>
      <c r="BF675" s="836"/>
      <c r="BG675" s="836"/>
      <c r="BH675" s="836"/>
      <c r="BI675" s="836"/>
      <c r="BJ675" s="836"/>
      <c r="BK675" s="836"/>
      <c r="BL675" s="836"/>
      <c r="BM675" s="836"/>
      <c r="BN675" s="836"/>
      <c r="BO675" s="836"/>
      <c r="BP675" s="836"/>
      <c r="BR675" s="838"/>
      <c r="BS675" s="838"/>
      <c r="BT675" s="838"/>
      <c r="BU675" s="838"/>
      <c r="BV675" s="838"/>
      <c r="BW675" s="838"/>
      <c r="BX675" s="838"/>
      <c r="BY675" s="838"/>
      <c r="BZ675" s="838"/>
      <c r="CA675" s="838"/>
      <c r="CB675" s="838"/>
      <c r="CC675" s="838"/>
      <c r="CD675" s="838"/>
      <c r="CE675" s="838"/>
      <c r="CF675" s="838"/>
      <c r="CG675" s="838"/>
      <c r="CH675" s="838"/>
      <c r="CI675" s="838"/>
      <c r="CJ675" s="838"/>
      <c r="CK675" s="838"/>
      <c r="CL675" s="838"/>
      <c r="CM675" s="838"/>
      <c r="CN675" s="838"/>
      <c r="CO675" s="838"/>
      <c r="CP675" s="838"/>
      <c r="CQ675" s="838"/>
      <c r="CR675" s="838"/>
      <c r="CS675" s="838"/>
      <c r="CT675" s="838"/>
      <c r="CU675" s="838"/>
    </row>
    <row r="676">
      <c r="A676" s="860"/>
      <c r="B676" s="860"/>
      <c r="C676" s="860"/>
      <c r="D676" s="860"/>
      <c r="E676" s="860"/>
      <c r="F676" s="860"/>
      <c r="G676" s="860"/>
      <c r="H676" s="860"/>
      <c r="I676" s="860"/>
      <c r="J676" s="860"/>
      <c r="K676" s="860"/>
      <c r="L676" s="860"/>
      <c r="M676" s="860"/>
      <c r="N676" s="860"/>
      <c r="O676" s="860"/>
      <c r="P676" s="860"/>
      <c r="Q676" s="860"/>
      <c r="R676" s="860"/>
      <c r="S676" s="860"/>
      <c r="T676" s="860"/>
      <c r="U676" s="860"/>
      <c r="V676" s="860"/>
      <c r="W676" s="860"/>
      <c r="X676" s="860"/>
      <c r="Y676" s="860"/>
      <c r="Z676" s="860"/>
      <c r="AA676" s="860"/>
      <c r="AB676" s="860"/>
      <c r="AC676" s="860"/>
      <c r="AD676" s="860"/>
      <c r="AE676" s="860"/>
      <c r="AF676" s="860"/>
      <c r="AG676" s="860"/>
      <c r="AH676" s="860"/>
      <c r="AJ676" s="836"/>
      <c r="AK676" s="836"/>
      <c r="AL676" s="836"/>
      <c r="AM676" s="836"/>
      <c r="AN676" s="836"/>
      <c r="AO676" s="836"/>
      <c r="AP676" s="836"/>
      <c r="AQ676" s="836"/>
      <c r="AR676" s="836"/>
      <c r="AS676" s="836"/>
      <c r="AT676" s="836"/>
      <c r="AU676" s="836"/>
      <c r="AV676" s="836"/>
      <c r="AW676" s="836"/>
      <c r="AX676" s="836"/>
      <c r="AY676" s="836"/>
      <c r="AZ676" s="836"/>
      <c r="BA676" s="836"/>
      <c r="BB676" s="836"/>
      <c r="BC676" s="836"/>
      <c r="BD676" s="836"/>
      <c r="BE676" s="836"/>
      <c r="BF676" s="836"/>
      <c r="BG676" s="836"/>
      <c r="BH676" s="836"/>
      <c r="BI676" s="836"/>
      <c r="BJ676" s="836"/>
      <c r="BK676" s="836"/>
      <c r="BL676" s="836"/>
      <c r="BM676" s="836"/>
      <c r="BN676" s="836"/>
      <c r="BO676" s="836"/>
      <c r="BP676" s="836"/>
      <c r="BR676" s="838"/>
      <c r="BS676" s="838"/>
      <c r="BT676" s="838"/>
      <c r="BU676" s="838"/>
      <c r="BV676" s="838"/>
      <c r="BW676" s="838"/>
      <c r="BX676" s="838"/>
      <c r="BY676" s="838"/>
      <c r="BZ676" s="838"/>
      <c r="CA676" s="838"/>
      <c r="CB676" s="838"/>
      <c r="CC676" s="838"/>
      <c r="CD676" s="838"/>
      <c r="CE676" s="838"/>
      <c r="CF676" s="838"/>
      <c r="CG676" s="838"/>
      <c r="CH676" s="838"/>
      <c r="CI676" s="838"/>
      <c r="CJ676" s="838"/>
      <c r="CK676" s="838"/>
      <c r="CL676" s="838"/>
      <c r="CM676" s="838"/>
      <c r="CN676" s="838"/>
      <c r="CO676" s="838"/>
      <c r="CP676" s="838"/>
      <c r="CQ676" s="838"/>
      <c r="CR676" s="838"/>
      <c r="CS676" s="838"/>
      <c r="CT676" s="838"/>
      <c r="CU676" s="838"/>
    </row>
    <row r="677">
      <c r="A677" s="860"/>
      <c r="B677" s="860"/>
      <c r="C677" s="860"/>
      <c r="D677" s="860"/>
      <c r="E677" s="860"/>
      <c r="F677" s="860"/>
      <c r="G677" s="860"/>
      <c r="H677" s="860"/>
      <c r="I677" s="860"/>
      <c r="J677" s="860"/>
      <c r="K677" s="860"/>
      <c r="L677" s="860"/>
      <c r="M677" s="860"/>
      <c r="N677" s="860"/>
      <c r="O677" s="860"/>
      <c r="P677" s="860"/>
      <c r="Q677" s="860"/>
      <c r="R677" s="860"/>
      <c r="S677" s="860"/>
      <c r="T677" s="860"/>
      <c r="U677" s="860"/>
      <c r="V677" s="860"/>
      <c r="W677" s="860"/>
      <c r="X677" s="860"/>
      <c r="Y677" s="860"/>
      <c r="Z677" s="860"/>
      <c r="AA677" s="860"/>
      <c r="AB677" s="860"/>
      <c r="AC677" s="860"/>
      <c r="AD677" s="860"/>
      <c r="AE677" s="860"/>
      <c r="AF677" s="860"/>
      <c r="AG677" s="860"/>
      <c r="AH677" s="860"/>
      <c r="AJ677" s="836"/>
      <c r="AK677" s="836"/>
      <c r="AL677" s="836"/>
      <c r="AM677" s="836"/>
      <c r="AN677" s="836"/>
      <c r="AO677" s="836"/>
      <c r="AP677" s="836"/>
      <c r="AQ677" s="836"/>
      <c r="AR677" s="836"/>
      <c r="AS677" s="836"/>
      <c r="AT677" s="836"/>
      <c r="AU677" s="836"/>
      <c r="AV677" s="836"/>
      <c r="AW677" s="836"/>
      <c r="AX677" s="836"/>
      <c r="AY677" s="836"/>
      <c r="AZ677" s="836"/>
      <c r="BA677" s="836"/>
      <c r="BB677" s="836"/>
      <c r="BC677" s="836"/>
      <c r="BD677" s="836"/>
      <c r="BE677" s="836"/>
      <c r="BF677" s="836"/>
      <c r="BG677" s="836"/>
      <c r="BH677" s="836"/>
      <c r="BI677" s="836"/>
      <c r="BJ677" s="836"/>
      <c r="BK677" s="836"/>
      <c r="BL677" s="836"/>
      <c r="BM677" s="836"/>
      <c r="BN677" s="836"/>
      <c r="BO677" s="836"/>
      <c r="BP677" s="836"/>
      <c r="BR677" s="838"/>
      <c r="BS677" s="838"/>
      <c r="BT677" s="838"/>
      <c r="BU677" s="838"/>
      <c r="BV677" s="838"/>
      <c r="BW677" s="838"/>
      <c r="BX677" s="838"/>
      <c r="BY677" s="838"/>
      <c r="BZ677" s="838"/>
      <c r="CA677" s="838"/>
      <c r="CB677" s="838"/>
      <c r="CC677" s="838"/>
      <c r="CD677" s="838"/>
      <c r="CE677" s="838"/>
      <c r="CF677" s="838"/>
      <c r="CG677" s="838"/>
      <c r="CH677" s="838"/>
      <c r="CI677" s="838"/>
      <c r="CJ677" s="838"/>
      <c r="CK677" s="838"/>
      <c r="CL677" s="838"/>
      <c r="CM677" s="838"/>
      <c r="CN677" s="838"/>
      <c r="CO677" s="838"/>
      <c r="CP677" s="838"/>
      <c r="CQ677" s="838"/>
      <c r="CR677" s="838"/>
      <c r="CS677" s="838"/>
      <c r="CT677" s="838"/>
      <c r="CU677" s="838"/>
    </row>
    <row r="678">
      <c r="A678" s="860"/>
      <c r="B678" s="860"/>
      <c r="C678" s="860"/>
      <c r="D678" s="860"/>
      <c r="E678" s="860"/>
      <c r="F678" s="860"/>
      <c r="G678" s="860"/>
      <c r="H678" s="860"/>
      <c r="I678" s="860"/>
      <c r="J678" s="860"/>
      <c r="K678" s="860"/>
      <c r="L678" s="860"/>
      <c r="M678" s="860"/>
      <c r="N678" s="860"/>
      <c r="O678" s="860"/>
      <c r="P678" s="860"/>
      <c r="Q678" s="860"/>
      <c r="R678" s="860"/>
      <c r="S678" s="860"/>
      <c r="T678" s="860"/>
      <c r="U678" s="860"/>
      <c r="V678" s="860"/>
      <c r="W678" s="860"/>
      <c r="X678" s="860"/>
      <c r="Y678" s="860"/>
      <c r="Z678" s="860"/>
      <c r="AA678" s="860"/>
      <c r="AB678" s="860"/>
      <c r="AC678" s="860"/>
      <c r="AD678" s="860"/>
      <c r="AE678" s="860"/>
      <c r="AF678" s="860"/>
      <c r="AG678" s="860"/>
      <c r="AH678" s="860"/>
      <c r="AJ678" s="836"/>
      <c r="AK678" s="836"/>
      <c r="AL678" s="836"/>
      <c r="AM678" s="836"/>
      <c r="AN678" s="836"/>
      <c r="AO678" s="836"/>
      <c r="AP678" s="836"/>
      <c r="AQ678" s="836"/>
      <c r="AR678" s="836"/>
      <c r="AS678" s="836"/>
      <c r="AT678" s="836"/>
      <c r="AU678" s="836"/>
      <c r="AV678" s="836"/>
      <c r="AW678" s="836"/>
      <c r="AX678" s="836"/>
      <c r="AY678" s="836"/>
      <c r="AZ678" s="836"/>
      <c r="BA678" s="836"/>
      <c r="BB678" s="836"/>
      <c r="BC678" s="836"/>
      <c r="BD678" s="836"/>
      <c r="BE678" s="836"/>
      <c r="BF678" s="836"/>
      <c r="BG678" s="836"/>
      <c r="BH678" s="836"/>
      <c r="BI678" s="836"/>
      <c r="BJ678" s="836"/>
      <c r="BK678" s="836"/>
      <c r="BL678" s="836"/>
      <c r="BM678" s="836"/>
      <c r="BN678" s="836"/>
      <c r="BO678" s="836"/>
      <c r="BP678" s="836"/>
      <c r="BR678" s="838"/>
      <c r="BS678" s="838"/>
      <c r="BT678" s="838"/>
      <c r="BU678" s="838"/>
      <c r="BV678" s="838"/>
      <c r="BW678" s="838"/>
      <c r="BX678" s="838"/>
      <c r="BY678" s="838"/>
      <c r="BZ678" s="838"/>
      <c r="CA678" s="838"/>
      <c r="CB678" s="838"/>
      <c r="CC678" s="838"/>
      <c r="CD678" s="838"/>
      <c r="CE678" s="838"/>
      <c r="CF678" s="838"/>
      <c r="CG678" s="838"/>
      <c r="CH678" s="838"/>
      <c r="CI678" s="838"/>
      <c r="CJ678" s="838"/>
      <c r="CK678" s="838"/>
      <c r="CL678" s="838"/>
      <c r="CM678" s="838"/>
      <c r="CN678" s="838"/>
      <c r="CO678" s="838"/>
      <c r="CP678" s="838"/>
      <c r="CQ678" s="838"/>
      <c r="CR678" s="838"/>
      <c r="CS678" s="838"/>
      <c r="CT678" s="838"/>
      <c r="CU678" s="838"/>
    </row>
    <row r="679">
      <c r="A679" s="860"/>
      <c r="B679" s="860"/>
      <c r="C679" s="860"/>
      <c r="D679" s="860"/>
      <c r="E679" s="860"/>
      <c r="F679" s="860"/>
      <c r="G679" s="860"/>
      <c r="H679" s="860"/>
      <c r="I679" s="860"/>
      <c r="J679" s="860"/>
      <c r="K679" s="860"/>
      <c r="L679" s="860"/>
      <c r="M679" s="860"/>
      <c r="N679" s="860"/>
      <c r="O679" s="860"/>
      <c r="P679" s="860"/>
      <c r="Q679" s="860"/>
      <c r="R679" s="860"/>
      <c r="S679" s="860"/>
      <c r="T679" s="860"/>
      <c r="U679" s="860"/>
      <c r="V679" s="860"/>
      <c r="W679" s="860"/>
      <c r="X679" s="860"/>
      <c r="Y679" s="860"/>
      <c r="Z679" s="860"/>
      <c r="AA679" s="860"/>
      <c r="AB679" s="860"/>
      <c r="AC679" s="860"/>
      <c r="AD679" s="860"/>
      <c r="AE679" s="860"/>
      <c r="AF679" s="860"/>
      <c r="AG679" s="860"/>
      <c r="AH679" s="860"/>
      <c r="AJ679" s="836"/>
      <c r="AK679" s="836"/>
      <c r="AL679" s="836"/>
      <c r="AM679" s="836"/>
      <c r="AN679" s="836"/>
      <c r="AO679" s="836"/>
      <c r="AP679" s="836"/>
      <c r="AQ679" s="836"/>
      <c r="AR679" s="836"/>
      <c r="AS679" s="836"/>
      <c r="AT679" s="836"/>
      <c r="AU679" s="836"/>
      <c r="AV679" s="836"/>
      <c r="AW679" s="836"/>
      <c r="AX679" s="836"/>
      <c r="AY679" s="836"/>
      <c r="AZ679" s="836"/>
      <c r="BA679" s="836"/>
      <c r="BB679" s="836"/>
      <c r="BC679" s="836"/>
      <c r="BD679" s="836"/>
      <c r="BE679" s="836"/>
      <c r="BF679" s="836"/>
      <c r="BG679" s="836"/>
      <c r="BH679" s="836"/>
      <c r="BI679" s="836"/>
      <c r="BJ679" s="836"/>
      <c r="BK679" s="836"/>
      <c r="BL679" s="836"/>
      <c r="BM679" s="836"/>
      <c r="BN679" s="836"/>
      <c r="BO679" s="836"/>
      <c r="BP679" s="836"/>
      <c r="BR679" s="838"/>
      <c r="BS679" s="838"/>
      <c r="BT679" s="838"/>
      <c r="BU679" s="838"/>
      <c r="BV679" s="838"/>
      <c r="BW679" s="838"/>
      <c r="BX679" s="838"/>
      <c r="BY679" s="838"/>
      <c r="BZ679" s="838"/>
      <c r="CA679" s="838"/>
      <c r="CB679" s="838"/>
      <c r="CC679" s="838"/>
      <c r="CD679" s="838"/>
      <c r="CE679" s="838"/>
      <c r="CF679" s="838"/>
      <c r="CG679" s="838"/>
      <c r="CH679" s="838"/>
      <c r="CI679" s="838"/>
      <c r="CJ679" s="838"/>
      <c r="CK679" s="838"/>
      <c r="CL679" s="838"/>
      <c r="CM679" s="838"/>
      <c r="CN679" s="838"/>
      <c r="CO679" s="838"/>
      <c r="CP679" s="838"/>
      <c r="CQ679" s="838"/>
      <c r="CR679" s="838"/>
      <c r="CS679" s="838"/>
      <c r="CT679" s="838"/>
      <c r="CU679" s="838"/>
    </row>
    <row r="680">
      <c r="A680" s="860"/>
      <c r="B680" s="860"/>
      <c r="C680" s="860"/>
      <c r="D680" s="860"/>
      <c r="E680" s="860"/>
      <c r="F680" s="860"/>
      <c r="G680" s="860"/>
      <c r="H680" s="860"/>
      <c r="I680" s="860"/>
      <c r="J680" s="860"/>
      <c r="K680" s="860"/>
      <c r="L680" s="860"/>
      <c r="M680" s="860"/>
      <c r="N680" s="860"/>
      <c r="O680" s="860"/>
      <c r="P680" s="860"/>
      <c r="Q680" s="860"/>
      <c r="R680" s="860"/>
      <c r="S680" s="860"/>
      <c r="T680" s="860"/>
      <c r="U680" s="860"/>
      <c r="V680" s="860"/>
      <c r="W680" s="860"/>
      <c r="X680" s="860"/>
      <c r="Y680" s="860"/>
      <c r="Z680" s="860"/>
      <c r="AA680" s="860"/>
      <c r="AB680" s="860"/>
      <c r="AC680" s="860"/>
      <c r="AD680" s="860"/>
      <c r="AE680" s="860"/>
      <c r="AF680" s="860"/>
      <c r="AG680" s="860"/>
      <c r="AH680" s="860"/>
      <c r="AJ680" s="836"/>
      <c r="AK680" s="836"/>
      <c r="AL680" s="836"/>
      <c r="AM680" s="836"/>
      <c r="AN680" s="836"/>
      <c r="AO680" s="836"/>
      <c r="AP680" s="836"/>
      <c r="AQ680" s="836"/>
      <c r="AR680" s="836"/>
      <c r="AS680" s="836"/>
      <c r="AT680" s="836"/>
      <c r="AU680" s="836"/>
      <c r="AV680" s="836"/>
      <c r="AW680" s="836"/>
      <c r="AX680" s="836"/>
      <c r="AY680" s="836"/>
      <c r="AZ680" s="836"/>
      <c r="BA680" s="836"/>
      <c r="BB680" s="836"/>
      <c r="BC680" s="836"/>
      <c r="BD680" s="836"/>
      <c r="BE680" s="836"/>
      <c r="BF680" s="836"/>
      <c r="BG680" s="836"/>
      <c r="BH680" s="836"/>
      <c r="BI680" s="836"/>
      <c r="BJ680" s="836"/>
      <c r="BK680" s="836"/>
      <c r="BL680" s="836"/>
      <c r="BM680" s="836"/>
      <c r="BN680" s="836"/>
      <c r="BO680" s="836"/>
      <c r="BP680" s="836"/>
      <c r="BR680" s="838"/>
      <c r="BS680" s="838"/>
      <c r="BT680" s="838"/>
      <c r="BU680" s="838"/>
      <c r="BV680" s="838"/>
      <c r="BW680" s="838"/>
      <c r="BX680" s="838"/>
      <c r="BY680" s="838"/>
      <c r="BZ680" s="838"/>
      <c r="CA680" s="838"/>
      <c r="CB680" s="838"/>
      <c r="CC680" s="838"/>
      <c r="CD680" s="838"/>
      <c r="CE680" s="838"/>
      <c r="CF680" s="838"/>
      <c r="CG680" s="838"/>
      <c r="CH680" s="838"/>
      <c r="CI680" s="838"/>
      <c r="CJ680" s="838"/>
      <c r="CK680" s="838"/>
      <c r="CL680" s="838"/>
      <c r="CM680" s="838"/>
      <c r="CN680" s="838"/>
      <c r="CO680" s="838"/>
      <c r="CP680" s="838"/>
      <c r="CQ680" s="838"/>
      <c r="CR680" s="838"/>
      <c r="CS680" s="838"/>
      <c r="CT680" s="838"/>
      <c r="CU680" s="838"/>
    </row>
    <row r="681">
      <c r="A681" s="860"/>
      <c r="B681" s="860"/>
      <c r="C681" s="860"/>
      <c r="D681" s="860"/>
      <c r="E681" s="860"/>
      <c r="F681" s="860"/>
      <c r="G681" s="860"/>
      <c r="H681" s="860"/>
      <c r="I681" s="860"/>
      <c r="J681" s="860"/>
      <c r="K681" s="860"/>
      <c r="L681" s="860"/>
      <c r="M681" s="860"/>
      <c r="N681" s="860"/>
      <c r="O681" s="860"/>
      <c r="P681" s="860"/>
      <c r="Q681" s="860"/>
      <c r="R681" s="860"/>
      <c r="S681" s="860"/>
      <c r="T681" s="860"/>
      <c r="U681" s="860"/>
      <c r="V681" s="860"/>
      <c r="W681" s="860"/>
      <c r="X681" s="860"/>
      <c r="Y681" s="860"/>
      <c r="Z681" s="860"/>
      <c r="AA681" s="860"/>
      <c r="AB681" s="860"/>
      <c r="AC681" s="860"/>
      <c r="AD681" s="860"/>
      <c r="AE681" s="860"/>
      <c r="AF681" s="860"/>
      <c r="AG681" s="860"/>
      <c r="AH681" s="860"/>
      <c r="AJ681" s="836"/>
      <c r="AK681" s="836"/>
      <c r="AL681" s="836"/>
      <c r="AM681" s="836"/>
      <c r="AN681" s="836"/>
      <c r="AO681" s="836"/>
      <c r="AP681" s="836"/>
      <c r="AQ681" s="836"/>
      <c r="AR681" s="836"/>
      <c r="AS681" s="836"/>
      <c r="AT681" s="836"/>
      <c r="AU681" s="836"/>
      <c r="AV681" s="836"/>
      <c r="AW681" s="836"/>
      <c r="AX681" s="836"/>
      <c r="AY681" s="836"/>
      <c r="AZ681" s="836"/>
      <c r="BA681" s="836"/>
      <c r="BB681" s="836"/>
      <c r="BC681" s="836"/>
      <c r="BD681" s="836"/>
      <c r="BE681" s="836"/>
      <c r="BF681" s="836"/>
      <c r="BG681" s="836"/>
      <c r="BH681" s="836"/>
      <c r="BI681" s="836"/>
      <c r="BJ681" s="836"/>
      <c r="BK681" s="836"/>
      <c r="BL681" s="836"/>
      <c r="BM681" s="836"/>
      <c r="BN681" s="836"/>
      <c r="BO681" s="836"/>
      <c r="BP681" s="836"/>
      <c r="BR681" s="838"/>
      <c r="BS681" s="838"/>
      <c r="BT681" s="838"/>
      <c r="BU681" s="838"/>
      <c r="BV681" s="838"/>
      <c r="BW681" s="838"/>
      <c r="BX681" s="838"/>
      <c r="BY681" s="838"/>
      <c r="BZ681" s="838"/>
      <c r="CA681" s="838"/>
      <c r="CB681" s="838"/>
      <c r="CC681" s="838"/>
      <c r="CD681" s="838"/>
      <c r="CE681" s="838"/>
      <c r="CF681" s="838"/>
      <c r="CG681" s="838"/>
      <c r="CH681" s="838"/>
      <c r="CI681" s="838"/>
      <c r="CJ681" s="838"/>
      <c r="CK681" s="838"/>
      <c r="CL681" s="838"/>
      <c r="CM681" s="838"/>
      <c r="CN681" s="838"/>
      <c r="CO681" s="838"/>
      <c r="CP681" s="838"/>
      <c r="CQ681" s="838"/>
      <c r="CR681" s="838"/>
      <c r="CS681" s="838"/>
      <c r="CT681" s="838"/>
      <c r="CU681" s="838"/>
    </row>
    <row r="682">
      <c r="A682" s="860"/>
      <c r="B682" s="860"/>
      <c r="C682" s="860"/>
      <c r="D682" s="860"/>
      <c r="E682" s="860"/>
      <c r="F682" s="860"/>
      <c r="G682" s="860"/>
      <c r="H682" s="860"/>
      <c r="I682" s="860"/>
      <c r="J682" s="860"/>
      <c r="K682" s="860"/>
      <c r="L682" s="860"/>
      <c r="M682" s="860"/>
      <c r="N682" s="860"/>
      <c r="O682" s="860"/>
      <c r="P682" s="860"/>
      <c r="Q682" s="860"/>
      <c r="R682" s="860"/>
      <c r="S682" s="860"/>
      <c r="T682" s="860"/>
      <c r="U682" s="860"/>
      <c r="V682" s="860"/>
      <c r="W682" s="860"/>
      <c r="X682" s="860"/>
      <c r="Y682" s="860"/>
      <c r="Z682" s="860"/>
      <c r="AA682" s="860"/>
      <c r="AB682" s="860"/>
      <c r="AC682" s="860"/>
      <c r="AD682" s="860"/>
      <c r="AE682" s="860"/>
      <c r="AF682" s="860"/>
      <c r="AG682" s="860"/>
      <c r="AH682" s="860"/>
      <c r="AJ682" s="836"/>
      <c r="AK682" s="836"/>
      <c r="AL682" s="836"/>
      <c r="AM682" s="836"/>
      <c r="AN682" s="836"/>
      <c r="AO682" s="836"/>
      <c r="AP682" s="836"/>
      <c r="AQ682" s="836"/>
      <c r="AR682" s="836"/>
      <c r="AS682" s="836"/>
      <c r="AT682" s="836"/>
      <c r="AU682" s="836"/>
      <c r="AV682" s="836"/>
      <c r="AW682" s="836"/>
      <c r="AX682" s="836"/>
      <c r="AY682" s="836"/>
      <c r="AZ682" s="836"/>
      <c r="BA682" s="836"/>
      <c r="BB682" s="836"/>
      <c r="BC682" s="836"/>
      <c r="BD682" s="836"/>
      <c r="BE682" s="836"/>
      <c r="BF682" s="836"/>
      <c r="BG682" s="836"/>
      <c r="BH682" s="836"/>
      <c r="BI682" s="836"/>
      <c r="BJ682" s="836"/>
      <c r="BK682" s="836"/>
      <c r="BL682" s="836"/>
      <c r="BM682" s="836"/>
      <c r="BN682" s="836"/>
      <c r="BO682" s="836"/>
      <c r="BP682" s="836"/>
      <c r="BR682" s="838"/>
      <c r="BS682" s="838"/>
      <c r="BT682" s="838"/>
      <c r="BU682" s="838"/>
      <c r="BV682" s="838"/>
      <c r="BW682" s="838"/>
      <c r="BX682" s="838"/>
      <c r="BY682" s="838"/>
      <c r="BZ682" s="838"/>
      <c r="CA682" s="838"/>
      <c r="CB682" s="838"/>
      <c r="CC682" s="838"/>
      <c r="CD682" s="838"/>
      <c r="CE682" s="838"/>
      <c r="CF682" s="838"/>
      <c r="CG682" s="838"/>
      <c r="CH682" s="838"/>
      <c r="CI682" s="838"/>
      <c r="CJ682" s="838"/>
      <c r="CK682" s="838"/>
      <c r="CL682" s="838"/>
      <c r="CM682" s="838"/>
      <c r="CN682" s="838"/>
      <c r="CO682" s="838"/>
      <c r="CP682" s="838"/>
      <c r="CQ682" s="838"/>
      <c r="CR682" s="838"/>
      <c r="CS682" s="838"/>
      <c r="CT682" s="838"/>
      <c r="CU682" s="838"/>
    </row>
    <row r="683">
      <c r="A683" s="860"/>
      <c r="B683" s="860"/>
      <c r="C683" s="860"/>
      <c r="D683" s="860"/>
      <c r="E683" s="860"/>
      <c r="F683" s="860"/>
      <c r="G683" s="860"/>
      <c r="H683" s="860"/>
      <c r="I683" s="860"/>
      <c r="J683" s="860"/>
      <c r="K683" s="860"/>
      <c r="L683" s="860"/>
      <c r="M683" s="860"/>
      <c r="N683" s="860"/>
      <c r="O683" s="860"/>
      <c r="P683" s="860"/>
      <c r="Q683" s="860"/>
      <c r="R683" s="860"/>
      <c r="S683" s="860"/>
      <c r="T683" s="860"/>
      <c r="U683" s="860"/>
      <c r="V683" s="860"/>
      <c r="W683" s="860"/>
      <c r="X683" s="860"/>
      <c r="Y683" s="860"/>
      <c r="Z683" s="860"/>
      <c r="AA683" s="860"/>
      <c r="AB683" s="860"/>
      <c r="AC683" s="860"/>
      <c r="AD683" s="860"/>
      <c r="AE683" s="860"/>
      <c r="AF683" s="860"/>
      <c r="AG683" s="860"/>
      <c r="AH683" s="860"/>
      <c r="AJ683" s="836"/>
      <c r="AK683" s="836"/>
      <c r="AL683" s="836"/>
      <c r="AM683" s="836"/>
      <c r="AN683" s="836"/>
      <c r="AO683" s="836"/>
      <c r="AP683" s="836"/>
      <c r="AQ683" s="836"/>
      <c r="AR683" s="836"/>
      <c r="AS683" s="836"/>
      <c r="AT683" s="836"/>
      <c r="AU683" s="836"/>
      <c r="AV683" s="836"/>
      <c r="AW683" s="836"/>
      <c r="AX683" s="836"/>
      <c r="AY683" s="836"/>
      <c r="AZ683" s="836"/>
      <c r="BA683" s="836"/>
      <c r="BB683" s="836"/>
      <c r="BC683" s="836"/>
      <c r="BD683" s="836"/>
      <c r="BE683" s="836"/>
      <c r="BF683" s="836"/>
      <c r="BG683" s="836"/>
      <c r="BH683" s="836"/>
      <c r="BI683" s="836"/>
      <c r="BJ683" s="836"/>
      <c r="BK683" s="836"/>
      <c r="BL683" s="836"/>
      <c r="BM683" s="836"/>
      <c r="BN683" s="836"/>
      <c r="BO683" s="836"/>
      <c r="BP683" s="836"/>
      <c r="BR683" s="838"/>
      <c r="BS683" s="838"/>
      <c r="BT683" s="838"/>
      <c r="BU683" s="838"/>
      <c r="BV683" s="838"/>
      <c r="BW683" s="838"/>
      <c r="BX683" s="838"/>
      <c r="BY683" s="838"/>
      <c r="BZ683" s="838"/>
      <c r="CA683" s="838"/>
      <c r="CB683" s="838"/>
      <c r="CC683" s="838"/>
      <c r="CD683" s="838"/>
      <c r="CE683" s="838"/>
      <c r="CF683" s="838"/>
      <c r="CG683" s="838"/>
      <c r="CH683" s="838"/>
      <c r="CI683" s="838"/>
      <c r="CJ683" s="838"/>
      <c r="CK683" s="838"/>
      <c r="CL683" s="838"/>
      <c r="CM683" s="838"/>
      <c r="CN683" s="838"/>
      <c r="CO683" s="838"/>
      <c r="CP683" s="838"/>
      <c r="CQ683" s="838"/>
      <c r="CR683" s="838"/>
      <c r="CS683" s="838"/>
      <c r="CT683" s="838"/>
      <c r="CU683" s="838"/>
    </row>
    <row r="684">
      <c r="A684" s="860"/>
      <c r="B684" s="860"/>
      <c r="C684" s="860"/>
      <c r="D684" s="860"/>
      <c r="E684" s="860"/>
      <c r="F684" s="860"/>
      <c r="G684" s="860"/>
      <c r="H684" s="860"/>
      <c r="I684" s="860"/>
      <c r="J684" s="860"/>
      <c r="K684" s="860"/>
      <c r="L684" s="860"/>
      <c r="M684" s="860"/>
      <c r="N684" s="860"/>
      <c r="O684" s="860"/>
      <c r="P684" s="860"/>
      <c r="Q684" s="860"/>
      <c r="R684" s="860"/>
      <c r="S684" s="860"/>
      <c r="T684" s="860"/>
      <c r="U684" s="860"/>
      <c r="V684" s="860"/>
      <c r="W684" s="860"/>
      <c r="X684" s="860"/>
      <c r="Y684" s="860"/>
      <c r="Z684" s="860"/>
      <c r="AA684" s="860"/>
      <c r="AB684" s="860"/>
      <c r="AC684" s="860"/>
      <c r="AD684" s="860"/>
      <c r="AE684" s="860"/>
      <c r="AF684" s="860"/>
      <c r="AG684" s="860"/>
      <c r="AH684" s="860"/>
      <c r="AJ684" s="836"/>
      <c r="AK684" s="836"/>
      <c r="AL684" s="836"/>
      <c r="AM684" s="836"/>
      <c r="AN684" s="836"/>
      <c r="AO684" s="836"/>
      <c r="AP684" s="836"/>
      <c r="AQ684" s="836"/>
      <c r="AR684" s="836"/>
      <c r="AS684" s="836"/>
      <c r="AT684" s="836"/>
      <c r="AU684" s="836"/>
      <c r="AV684" s="836"/>
      <c r="AW684" s="836"/>
      <c r="AX684" s="836"/>
      <c r="AY684" s="836"/>
      <c r="AZ684" s="836"/>
      <c r="BA684" s="836"/>
      <c r="BB684" s="836"/>
      <c r="BC684" s="836"/>
      <c r="BD684" s="836"/>
      <c r="BE684" s="836"/>
      <c r="BF684" s="836"/>
      <c r="BG684" s="836"/>
      <c r="BH684" s="836"/>
      <c r="BI684" s="836"/>
      <c r="BJ684" s="836"/>
      <c r="BK684" s="836"/>
      <c r="BL684" s="836"/>
      <c r="BM684" s="836"/>
      <c r="BN684" s="836"/>
      <c r="BO684" s="836"/>
      <c r="BP684" s="836"/>
      <c r="BR684" s="838"/>
      <c r="BS684" s="838"/>
      <c r="BT684" s="838"/>
      <c r="BU684" s="838"/>
      <c r="BV684" s="838"/>
      <c r="BW684" s="838"/>
      <c r="BX684" s="838"/>
      <c r="BY684" s="838"/>
      <c r="BZ684" s="838"/>
      <c r="CA684" s="838"/>
      <c r="CB684" s="838"/>
      <c r="CC684" s="838"/>
      <c r="CD684" s="838"/>
      <c r="CE684" s="838"/>
      <c r="CF684" s="838"/>
      <c r="CG684" s="838"/>
      <c r="CH684" s="838"/>
      <c r="CI684" s="838"/>
      <c r="CJ684" s="838"/>
      <c r="CK684" s="838"/>
      <c r="CL684" s="838"/>
      <c r="CM684" s="838"/>
      <c r="CN684" s="838"/>
      <c r="CO684" s="838"/>
      <c r="CP684" s="838"/>
      <c r="CQ684" s="838"/>
      <c r="CR684" s="838"/>
      <c r="CS684" s="838"/>
      <c r="CT684" s="838"/>
      <c r="CU684" s="838"/>
    </row>
    <row r="685">
      <c r="A685" s="860"/>
      <c r="B685" s="860"/>
      <c r="C685" s="860"/>
      <c r="D685" s="860"/>
      <c r="E685" s="860"/>
      <c r="F685" s="860"/>
      <c r="G685" s="860"/>
      <c r="H685" s="860"/>
      <c r="I685" s="860"/>
      <c r="J685" s="860"/>
      <c r="K685" s="860"/>
      <c r="L685" s="860"/>
      <c r="M685" s="860"/>
      <c r="N685" s="860"/>
      <c r="O685" s="860"/>
      <c r="P685" s="860"/>
      <c r="Q685" s="860"/>
      <c r="R685" s="860"/>
      <c r="S685" s="860"/>
      <c r="T685" s="860"/>
      <c r="U685" s="860"/>
      <c r="V685" s="860"/>
      <c r="W685" s="860"/>
      <c r="X685" s="860"/>
      <c r="Y685" s="860"/>
      <c r="Z685" s="860"/>
      <c r="AA685" s="860"/>
      <c r="AB685" s="860"/>
      <c r="AC685" s="860"/>
      <c r="AD685" s="860"/>
      <c r="AE685" s="860"/>
      <c r="AF685" s="860"/>
      <c r="AG685" s="860"/>
      <c r="AH685" s="860"/>
      <c r="AJ685" s="836"/>
      <c r="AK685" s="836"/>
      <c r="AL685" s="836"/>
      <c r="AM685" s="836"/>
      <c r="AN685" s="836"/>
      <c r="AO685" s="836"/>
      <c r="AP685" s="836"/>
      <c r="AQ685" s="836"/>
      <c r="AR685" s="836"/>
      <c r="AS685" s="836"/>
      <c r="AT685" s="836"/>
      <c r="AU685" s="836"/>
      <c r="AV685" s="836"/>
      <c r="AW685" s="836"/>
      <c r="AX685" s="836"/>
      <c r="AY685" s="836"/>
      <c r="AZ685" s="836"/>
      <c r="BA685" s="836"/>
      <c r="BB685" s="836"/>
      <c r="BC685" s="836"/>
      <c r="BD685" s="836"/>
      <c r="BE685" s="836"/>
      <c r="BF685" s="836"/>
      <c r="BG685" s="836"/>
      <c r="BH685" s="836"/>
      <c r="BI685" s="836"/>
      <c r="BJ685" s="836"/>
      <c r="BK685" s="836"/>
      <c r="BL685" s="836"/>
      <c r="BM685" s="836"/>
      <c r="BN685" s="836"/>
      <c r="BO685" s="836"/>
      <c r="BP685" s="836"/>
      <c r="BR685" s="838"/>
      <c r="BS685" s="838"/>
      <c r="BT685" s="838"/>
      <c r="BU685" s="838"/>
      <c r="BV685" s="838"/>
      <c r="BW685" s="838"/>
      <c r="BX685" s="838"/>
      <c r="BY685" s="838"/>
      <c r="BZ685" s="838"/>
      <c r="CA685" s="838"/>
      <c r="CB685" s="838"/>
      <c r="CC685" s="838"/>
      <c r="CD685" s="838"/>
      <c r="CE685" s="838"/>
      <c r="CF685" s="838"/>
      <c r="CG685" s="838"/>
      <c r="CH685" s="838"/>
      <c r="CI685" s="838"/>
      <c r="CJ685" s="838"/>
      <c r="CK685" s="838"/>
      <c r="CL685" s="838"/>
      <c r="CM685" s="838"/>
      <c r="CN685" s="838"/>
      <c r="CO685" s="838"/>
      <c r="CP685" s="838"/>
      <c r="CQ685" s="838"/>
      <c r="CR685" s="838"/>
      <c r="CS685" s="838"/>
      <c r="CT685" s="838"/>
      <c r="CU685" s="838"/>
    </row>
    <row r="686">
      <c r="A686" s="860"/>
      <c r="B686" s="860"/>
      <c r="C686" s="860"/>
      <c r="D686" s="860"/>
      <c r="E686" s="860"/>
      <c r="F686" s="860"/>
      <c r="G686" s="860"/>
      <c r="H686" s="860"/>
      <c r="I686" s="860"/>
      <c r="J686" s="860"/>
      <c r="K686" s="860"/>
      <c r="L686" s="860"/>
      <c r="M686" s="860"/>
      <c r="N686" s="860"/>
      <c r="O686" s="860"/>
      <c r="P686" s="860"/>
      <c r="Q686" s="860"/>
      <c r="R686" s="860"/>
      <c r="S686" s="860"/>
      <c r="T686" s="860"/>
      <c r="U686" s="860"/>
      <c r="V686" s="860"/>
      <c r="W686" s="860"/>
      <c r="X686" s="860"/>
      <c r="Y686" s="860"/>
      <c r="Z686" s="860"/>
      <c r="AA686" s="860"/>
      <c r="AB686" s="860"/>
      <c r="AC686" s="860"/>
      <c r="AD686" s="860"/>
      <c r="AE686" s="860"/>
      <c r="AF686" s="860"/>
      <c r="AG686" s="860"/>
      <c r="AH686" s="860"/>
      <c r="AJ686" s="836"/>
      <c r="AK686" s="836"/>
      <c r="AL686" s="836"/>
      <c r="AM686" s="836"/>
      <c r="AN686" s="836"/>
      <c r="AO686" s="836"/>
      <c r="AP686" s="836"/>
      <c r="AQ686" s="836"/>
      <c r="AR686" s="836"/>
      <c r="AS686" s="836"/>
      <c r="AT686" s="836"/>
      <c r="AU686" s="836"/>
      <c r="AV686" s="836"/>
      <c r="AW686" s="836"/>
      <c r="AX686" s="836"/>
      <c r="AY686" s="836"/>
      <c r="AZ686" s="836"/>
      <c r="BA686" s="836"/>
      <c r="BB686" s="836"/>
      <c r="BC686" s="836"/>
      <c r="BD686" s="836"/>
      <c r="BE686" s="836"/>
      <c r="BF686" s="836"/>
      <c r="BG686" s="836"/>
      <c r="BH686" s="836"/>
      <c r="BI686" s="836"/>
      <c r="BJ686" s="836"/>
      <c r="BK686" s="836"/>
      <c r="BL686" s="836"/>
      <c r="BM686" s="836"/>
      <c r="BN686" s="836"/>
      <c r="BO686" s="836"/>
      <c r="BP686" s="836"/>
      <c r="BR686" s="838"/>
      <c r="BS686" s="838"/>
      <c r="BT686" s="838"/>
      <c r="BU686" s="838"/>
      <c r="BV686" s="838"/>
      <c r="BW686" s="838"/>
      <c r="BX686" s="838"/>
      <c r="BY686" s="838"/>
      <c r="BZ686" s="838"/>
      <c r="CA686" s="838"/>
      <c r="CB686" s="838"/>
      <c r="CC686" s="838"/>
      <c r="CD686" s="838"/>
      <c r="CE686" s="838"/>
      <c r="CF686" s="838"/>
      <c r="CG686" s="838"/>
      <c r="CH686" s="838"/>
      <c r="CI686" s="838"/>
      <c r="CJ686" s="838"/>
      <c r="CK686" s="838"/>
      <c r="CL686" s="838"/>
      <c r="CM686" s="838"/>
      <c r="CN686" s="838"/>
      <c r="CO686" s="838"/>
      <c r="CP686" s="838"/>
      <c r="CQ686" s="838"/>
      <c r="CR686" s="838"/>
      <c r="CS686" s="838"/>
      <c r="CT686" s="838"/>
      <c r="CU686" s="838"/>
    </row>
    <row r="687">
      <c r="A687" s="860"/>
      <c r="B687" s="860"/>
      <c r="C687" s="860"/>
      <c r="D687" s="860"/>
      <c r="E687" s="860"/>
      <c r="F687" s="860"/>
      <c r="G687" s="860"/>
      <c r="H687" s="860"/>
      <c r="I687" s="860"/>
      <c r="J687" s="860"/>
      <c r="K687" s="860"/>
      <c r="L687" s="860"/>
      <c r="M687" s="860"/>
      <c r="N687" s="860"/>
      <c r="O687" s="860"/>
      <c r="P687" s="860"/>
      <c r="Q687" s="860"/>
      <c r="R687" s="860"/>
      <c r="S687" s="860"/>
      <c r="T687" s="860"/>
      <c r="U687" s="860"/>
      <c r="V687" s="860"/>
      <c r="W687" s="860"/>
      <c r="X687" s="860"/>
      <c r="Y687" s="860"/>
      <c r="Z687" s="860"/>
      <c r="AA687" s="860"/>
      <c r="AB687" s="860"/>
      <c r="AC687" s="860"/>
      <c r="AD687" s="860"/>
      <c r="AE687" s="860"/>
      <c r="AF687" s="860"/>
      <c r="AG687" s="860"/>
      <c r="AH687" s="860"/>
      <c r="AJ687" s="836"/>
      <c r="AK687" s="836"/>
      <c r="AL687" s="836"/>
      <c r="AM687" s="836"/>
      <c r="AN687" s="836"/>
      <c r="AO687" s="836"/>
      <c r="AP687" s="836"/>
      <c r="AQ687" s="836"/>
      <c r="AR687" s="836"/>
      <c r="AS687" s="836"/>
      <c r="AT687" s="836"/>
      <c r="AU687" s="836"/>
      <c r="AV687" s="836"/>
      <c r="AW687" s="836"/>
      <c r="AX687" s="836"/>
      <c r="AY687" s="836"/>
      <c r="AZ687" s="836"/>
      <c r="BA687" s="836"/>
      <c r="BB687" s="836"/>
      <c r="BC687" s="836"/>
      <c r="BD687" s="836"/>
      <c r="BE687" s="836"/>
      <c r="BF687" s="836"/>
      <c r="BG687" s="836"/>
      <c r="BH687" s="836"/>
      <c r="BI687" s="836"/>
      <c r="BJ687" s="836"/>
      <c r="BK687" s="836"/>
      <c r="BL687" s="836"/>
      <c r="BM687" s="836"/>
      <c r="BN687" s="836"/>
      <c r="BO687" s="836"/>
      <c r="BP687" s="836"/>
      <c r="BR687" s="838"/>
      <c r="BS687" s="838"/>
      <c r="BT687" s="838"/>
      <c r="BU687" s="838"/>
      <c r="BV687" s="838"/>
      <c r="BW687" s="838"/>
      <c r="BX687" s="838"/>
      <c r="BY687" s="838"/>
      <c r="BZ687" s="838"/>
      <c r="CA687" s="838"/>
      <c r="CB687" s="838"/>
      <c r="CC687" s="838"/>
      <c r="CD687" s="838"/>
      <c r="CE687" s="838"/>
      <c r="CF687" s="838"/>
      <c r="CG687" s="838"/>
      <c r="CH687" s="838"/>
      <c r="CI687" s="838"/>
      <c r="CJ687" s="838"/>
      <c r="CK687" s="838"/>
      <c r="CL687" s="838"/>
      <c r="CM687" s="838"/>
      <c r="CN687" s="838"/>
      <c r="CO687" s="838"/>
      <c r="CP687" s="838"/>
      <c r="CQ687" s="838"/>
      <c r="CR687" s="838"/>
      <c r="CS687" s="838"/>
      <c r="CT687" s="838"/>
      <c r="CU687" s="838"/>
    </row>
    <row r="688">
      <c r="A688" s="860"/>
      <c r="B688" s="860"/>
      <c r="C688" s="860"/>
      <c r="D688" s="860"/>
      <c r="E688" s="860"/>
      <c r="F688" s="860"/>
      <c r="G688" s="860"/>
      <c r="H688" s="860"/>
      <c r="I688" s="860"/>
      <c r="J688" s="860"/>
      <c r="K688" s="860"/>
      <c r="L688" s="860"/>
      <c r="M688" s="860"/>
      <c r="N688" s="860"/>
      <c r="O688" s="860"/>
      <c r="P688" s="860"/>
      <c r="Q688" s="860"/>
      <c r="R688" s="860"/>
      <c r="S688" s="860"/>
      <c r="T688" s="860"/>
      <c r="U688" s="860"/>
      <c r="V688" s="860"/>
      <c r="W688" s="860"/>
      <c r="X688" s="860"/>
      <c r="Y688" s="860"/>
      <c r="Z688" s="860"/>
      <c r="AA688" s="860"/>
      <c r="AB688" s="860"/>
      <c r="AC688" s="860"/>
      <c r="AD688" s="860"/>
      <c r="AE688" s="860"/>
      <c r="AF688" s="860"/>
      <c r="AG688" s="860"/>
      <c r="AH688" s="860"/>
      <c r="AJ688" s="836"/>
      <c r="AK688" s="836"/>
      <c r="AL688" s="836"/>
      <c r="AM688" s="836"/>
      <c r="AN688" s="836"/>
      <c r="AO688" s="836"/>
      <c r="AP688" s="836"/>
      <c r="AQ688" s="836"/>
      <c r="AR688" s="836"/>
      <c r="AS688" s="836"/>
      <c r="AT688" s="836"/>
      <c r="AU688" s="836"/>
      <c r="AV688" s="836"/>
      <c r="AW688" s="836"/>
      <c r="AX688" s="836"/>
      <c r="AY688" s="836"/>
      <c r="AZ688" s="836"/>
      <c r="BA688" s="836"/>
      <c r="BB688" s="836"/>
      <c r="BC688" s="836"/>
      <c r="BD688" s="836"/>
      <c r="BE688" s="836"/>
      <c r="BF688" s="836"/>
      <c r="BG688" s="836"/>
      <c r="BH688" s="836"/>
      <c r="BI688" s="836"/>
      <c r="BJ688" s="836"/>
      <c r="BK688" s="836"/>
      <c r="BL688" s="836"/>
      <c r="BM688" s="836"/>
      <c r="BN688" s="836"/>
      <c r="BO688" s="836"/>
      <c r="BP688" s="836"/>
      <c r="BR688" s="838"/>
      <c r="BS688" s="838"/>
      <c r="BT688" s="838"/>
      <c r="BU688" s="838"/>
      <c r="BV688" s="838"/>
      <c r="BW688" s="838"/>
      <c r="BX688" s="838"/>
      <c r="BY688" s="838"/>
      <c r="BZ688" s="838"/>
      <c r="CA688" s="838"/>
      <c r="CB688" s="838"/>
      <c r="CC688" s="838"/>
      <c r="CD688" s="838"/>
      <c r="CE688" s="838"/>
      <c r="CF688" s="838"/>
      <c r="CG688" s="838"/>
      <c r="CH688" s="838"/>
      <c r="CI688" s="838"/>
      <c r="CJ688" s="838"/>
      <c r="CK688" s="838"/>
      <c r="CL688" s="838"/>
      <c r="CM688" s="838"/>
      <c r="CN688" s="838"/>
      <c r="CO688" s="838"/>
      <c r="CP688" s="838"/>
      <c r="CQ688" s="838"/>
      <c r="CR688" s="838"/>
      <c r="CS688" s="838"/>
      <c r="CT688" s="838"/>
      <c r="CU688" s="838"/>
    </row>
    <row r="689">
      <c r="A689" s="860"/>
      <c r="B689" s="860"/>
      <c r="C689" s="860"/>
      <c r="D689" s="860"/>
      <c r="E689" s="860"/>
      <c r="F689" s="860"/>
      <c r="G689" s="860"/>
      <c r="H689" s="860"/>
      <c r="I689" s="860"/>
      <c r="J689" s="860"/>
      <c r="K689" s="860"/>
      <c r="L689" s="860"/>
      <c r="M689" s="860"/>
      <c r="N689" s="860"/>
      <c r="O689" s="860"/>
      <c r="P689" s="860"/>
      <c r="Q689" s="860"/>
      <c r="R689" s="860"/>
      <c r="S689" s="860"/>
      <c r="T689" s="860"/>
      <c r="U689" s="860"/>
      <c r="V689" s="860"/>
      <c r="W689" s="860"/>
      <c r="X689" s="860"/>
      <c r="Y689" s="860"/>
      <c r="Z689" s="860"/>
      <c r="AA689" s="860"/>
      <c r="AB689" s="860"/>
      <c r="AC689" s="860"/>
      <c r="AD689" s="860"/>
      <c r="AE689" s="860"/>
      <c r="AF689" s="860"/>
      <c r="AG689" s="860"/>
      <c r="AH689" s="860"/>
      <c r="AJ689" s="836"/>
      <c r="AK689" s="836"/>
      <c r="AL689" s="836"/>
      <c r="AM689" s="836"/>
      <c r="AN689" s="836"/>
      <c r="AO689" s="836"/>
      <c r="AP689" s="836"/>
      <c r="AQ689" s="836"/>
      <c r="AR689" s="836"/>
      <c r="AS689" s="836"/>
      <c r="AT689" s="836"/>
      <c r="AU689" s="836"/>
      <c r="AV689" s="836"/>
      <c r="AW689" s="836"/>
      <c r="AX689" s="836"/>
      <c r="AY689" s="836"/>
      <c r="AZ689" s="836"/>
      <c r="BA689" s="836"/>
      <c r="BB689" s="836"/>
      <c r="BC689" s="836"/>
      <c r="BD689" s="836"/>
      <c r="BE689" s="836"/>
      <c r="BF689" s="836"/>
      <c r="BG689" s="836"/>
      <c r="BH689" s="836"/>
      <c r="BI689" s="836"/>
      <c r="BJ689" s="836"/>
      <c r="BK689" s="836"/>
      <c r="BL689" s="836"/>
      <c r="BM689" s="836"/>
      <c r="BN689" s="836"/>
      <c r="BO689" s="836"/>
      <c r="BP689" s="836"/>
      <c r="BR689" s="838"/>
      <c r="BS689" s="838"/>
      <c r="BT689" s="838"/>
      <c r="BU689" s="838"/>
      <c r="BV689" s="838"/>
      <c r="BW689" s="838"/>
      <c r="BX689" s="838"/>
      <c r="BY689" s="838"/>
      <c r="BZ689" s="838"/>
      <c r="CA689" s="838"/>
      <c r="CB689" s="838"/>
      <c r="CC689" s="838"/>
      <c r="CD689" s="838"/>
      <c r="CE689" s="838"/>
      <c r="CF689" s="838"/>
      <c r="CG689" s="838"/>
      <c r="CH689" s="838"/>
      <c r="CI689" s="838"/>
      <c r="CJ689" s="838"/>
      <c r="CK689" s="838"/>
      <c r="CL689" s="838"/>
      <c r="CM689" s="838"/>
      <c r="CN689" s="838"/>
      <c r="CO689" s="838"/>
      <c r="CP689" s="838"/>
      <c r="CQ689" s="838"/>
      <c r="CR689" s="838"/>
      <c r="CS689" s="838"/>
      <c r="CT689" s="838"/>
      <c r="CU689" s="838"/>
    </row>
    <row r="690">
      <c r="A690" s="860"/>
      <c r="B690" s="860"/>
      <c r="C690" s="860"/>
      <c r="D690" s="860"/>
      <c r="E690" s="860"/>
      <c r="F690" s="860"/>
      <c r="G690" s="860"/>
      <c r="H690" s="860"/>
      <c r="I690" s="860"/>
      <c r="J690" s="860"/>
      <c r="K690" s="860"/>
      <c r="L690" s="860"/>
      <c r="M690" s="860"/>
      <c r="N690" s="860"/>
      <c r="O690" s="860"/>
      <c r="P690" s="860"/>
      <c r="Q690" s="860"/>
      <c r="R690" s="860"/>
      <c r="S690" s="860"/>
      <c r="T690" s="860"/>
      <c r="U690" s="860"/>
      <c r="V690" s="860"/>
      <c r="W690" s="860"/>
      <c r="X690" s="860"/>
      <c r="Y690" s="860"/>
      <c r="Z690" s="860"/>
      <c r="AA690" s="860"/>
      <c r="AB690" s="860"/>
      <c r="AC690" s="860"/>
      <c r="AD690" s="860"/>
      <c r="AE690" s="860"/>
      <c r="AF690" s="860"/>
      <c r="AG690" s="860"/>
      <c r="AH690" s="860"/>
      <c r="AJ690" s="836"/>
      <c r="AK690" s="836"/>
      <c r="AL690" s="836"/>
      <c r="AM690" s="836"/>
      <c r="AN690" s="836"/>
      <c r="AO690" s="836"/>
      <c r="AP690" s="836"/>
      <c r="AQ690" s="836"/>
      <c r="AR690" s="836"/>
      <c r="AS690" s="836"/>
      <c r="AT690" s="836"/>
      <c r="AU690" s="836"/>
      <c r="AV690" s="836"/>
      <c r="AW690" s="836"/>
      <c r="AX690" s="836"/>
      <c r="AY690" s="836"/>
      <c r="AZ690" s="836"/>
      <c r="BA690" s="836"/>
      <c r="BB690" s="836"/>
      <c r="BC690" s="836"/>
      <c r="BD690" s="836"/>
      <c r="BE690" s="836"/>
      <c r="BF690" s="836"/>
      <c r="BG690" s="836"/>
      <c r="BH690" s="836"/>
      <c r="BI690" s="836"/>
      <c r="BJ690" s="836"/>
      <c r="BK690" s="836"/>
      <c r="BL690" s="836"/>
      <c r="BM690" s="836"/>
      <c r="BN690" s="836"/>
      <c r="BO690" s="836"/>
      <c r="BP690" s="836"/>
      <c r="BR690" s="838"/>
      <c r="BS690" s="838"/>
      <c r="BT690" s="838"/>
      <c r="BU690" s="838"/>
      <c r="BV690" s="838"/>
      <c r="BW690" s="838"/>
      <c r="BX690" s="838"/>
      <c r="BY690" s="838"/>
      <c r="BZ690" s="838"/>
      <c r="CA690" s="838"/>
      <c r="CB690" s="838"/>
      <c r="CC690" s="838"/>
      <c r="CD690" s="838"/>
      <c r="CE690" s="838"/>
      <c r="CF690" s="838"/>
      <c r="CG690" s="838"/>
      <c r="CH690" s="838"/>
      <c r="CI690" s="838"/>
      <c r="CJ690" s="838"/>
      <c r="CK690" s="838"/>
      <c r="CL690" s="838"/>
      <c r="CM690" s="838"/>
      <c r="CN690" s="838"/>
      <c r="CO690" s="838"/>
      <c r="CP690" s="838"/>
      <c r="CQ690" s="838"/>
      <c r="CR690" s="838"/>
      <c r="CS690" s="838"/>
      <c r="CT690" s="838"/>
      <c r="CU690" s="838"/>
    </row>
    <row r="691">
      <c r="A691" s="860"/>
      <c r="B691" s="860"/>
      <c r="C691" s="860"/>
      <c r="D691" s="860"/>
      <c r="E691" s="860"/>
      <c r="F691" s="860"/>
      <c r="G691" s="860"/>
      <c r="H691" s="860"/>
      <c r="I691" s="860"/>
      <c r="J691" s="860"/>
      <c r="K691" s="860"/>
      <c r="L691" s="860"/>
      <c r="M691" s="860"/>
      <c r="N691" s="860"/>
      <c r="O691" s="860"/>
      <c r="P691" s="860"/>
      <c r="Q691" s="860"/>
      <c r="R691" s="860"/>
      <c r="S691" s="860"/>
      <c r="T691" s="860"/>
      <c r="U691" s="860"/>
      <c r="V691" s="860"/>
      <c r="W691" s="860"/>
      <c r="X691" s="860"/>
      <c r="Y691" s="860"/>
      <c r="Z691" s="860"/>
      <c r="AA691" s="860"/>
      <c r="AB691" s="860"/>
      <c r="AC691" s="860"/>
      <c r="AD691" s="860"/>
      <c r="AE691" s="860"/>
      <c r="AF691" s="860"/>
      <c r="AG691" s="860"/>
      <c r="AH691" s="860"/>
      <c r="AJ691" s="836"/>
      <c r="AK691" s="836"/>
      <c r="AL691" s="836"/>
      <c r="AM691" s="836"/>
      <c r="AN691" s="836"/>
      <c r="AO691" s="836"/>
      <c r="AP691" s="836"/>
      <c r="AQ691" s="836"/>
      <c r="AR691" s="836"/>
      <c r="AS691" s="836"/>
      <c r="AT691" s="836"/>
      <c r="AU691" s="836"/>
      <c r="AV691" s="836"/>
      <c r="AW691" s="836"/>
      <c r="AX691" s="836"/>
      <c r="AY691" s="836"/>
      <c r="AZ691" s="836"/>
      <c r="BA691" s="836"/>
      <c r="BB691" s="836"/>
      <c r="BC691" s="836"/>
      <c r="BD691" s="836"/>
      <c r="BE691" s="836"/>
      <c r="BF691" s="836"/>
      <c r="BG691" s="836"/>
      <c r="BH691" s="836"/>
      <c r="BI691" s="836"/>
      <c r="BJ691" s="836"/>
      <c r="BK691" s="836"/>
      <c r="BL691" s="836"/>
      <c r="BM691" s="836"/>
      <c r="BN691" s="836"/>
      <c r="BO691" s="836"/>
      <c r="BP691" s="836"/>
      <c r="BR691" s="838"/>
      <c r="BS691" s="838"/>
      <c r="BT691" s="838"/>
      <c r="BU691" s="838"/>
      <c r="BV691" s="838"/>
      <c r="BW691" s="838"/>
      <c r="BX691" s="838"/>
      <c r="BY691" s="838"/>
      <c r="BZ691" s="838"/>
      <c r="CA691" s="838"/>
      <c r="CB691" s="838"/>
      <c r="CC691" s="838"/>
      <c r="CD691" s="838"/>
      <c r="CE691" s="838"/>
      <c r="CF691" s="838"/>
      <c r="CG691" s="838"/>
      <c r="CH691" s="838"/>
      <c r="CI691" s="838"/>
      <c r="CJ691" s="838"/>
      <c r="CK691" s="838"/>
      <c r="CL691" s="838"/>
      <c r="CM691" s="838"/>
      <c r="CN691" s="838"/>
      <c r="CO691" s="838"/>
      <c r="CP691" s="838"/>
      <c r="CQ691" s="838"/>
      <c r="CR691" s="838"/>
      <c r="CS691" s="838"/>
      <c r="CT691" s="838"/>
      <c r="CU691" s="838"/>
    </row>
    <row r="692">
      <c r="A692" s="860"/>
      <c r="B692" s="860"/>
      <c r="C692" s="860"/>
      <c r="D692" s="860"/>
      <c r="E692" s="860"/>
      <c r="F692" s="860"/>
      <c r="G692" s="860"/>
      <c r="H692" s="860"/>
      <c r="I692" s="860"/>
      <c r="J692" s="860"/>
      <c r="K692" s="860"/>
      <c r="L692" s="860"/>
      <c r="M692" s="860"/>
      <c r="N692" s="860"/>
      <c r="O692" s="860"/>
      <c r="P692" s="860"/>
      <c r="Q692" s="860"/>
      <c r="R692" s="860"/>
      <c r="S692" s="860"/>
      <c r="T692" s="860"/>
      <c r="U692" s="860"/>
      <c r="V692" s="860"/>
      <c r="W692" s="860"/>
      <c r="X692" s="860"/>
      <c r="Y692" s="860"/>
      <c r="Z692" s="860"/>
      <c r="AA692" s="860"/>
      <c r="AB692" s="860"/>
      <c r="AC692" s="860"/>
      <c r="AD692" s="860"/>
      <c r="AE692" s="860"/>
      <c r="AF692" s="860"/>
      <c r="AG692" s="860"/>
      <c r="AH692" s="860"/>
      <c r="AJ692" s="836"/>
      <c r="AK692" s="836"/>
      <c r="AL692" s="836"/>
      <c r="AM692" s="836"/>
      <c r="AN692" s="836"/>
      <c r="AO692" s="836"/>
      <c r="AP692" s="836"/>
      <c r="AQ692" s="836"/>
      <c r="AR692" s="836"/>
      <c r="AS692" s="836"/>
      <c r="AT692" s="836"/>
      <c r="AU692" s="836"/>
      <c r="AV692" s="836"/>
      <c r="AW692" s="836"/>
      <c r="AX692" s="836"/>
      <c r="AY692" s="836"/>
      <c r="AZ692" s="836"/>
      <c r="BA692" s="836"/>
      <c r="BB692" s="836"/>
      <c r="BC692" s="836"/>
      <c r="BD692" s="836"/>
      <c r="BE692" s="836"/>
      <c r="BF692" s="836"/>
      <c r="BG692" s="836"/>
      <c r="BH692" s="836"/>
      <c r="BI692" s="836"/>
      <c r="BJ692" s="836"/>
      <c r="BK692" s="836"/>
      <c r="BL692" s="836"/>
      <c r="BM692" s="836"/>
      <c r="BN692" s="836"/>
      <c r="BO692" s="836"/>
      <c r="BP692" s="836"/>
      <c r="BR692" s="838"/>
      <c r="BS692" s="838"/>
      <c r="BT692" s="838"/>
      <c r="BU692" s="838"/>
      <c r="BV692" s="838"/>
      <c r="BW692" s="838"/>
      <c r="BX692" s="838"/>
      <c r="BY692" s="838"/>
      <c r="BZ692" s="838"/>
      <c r="CA692" s="838"/>
      <c r="CB692" s="838"/>
      <c r="CC692" s="838"/>
      <c r="CD692" s="838"/>
      <c r="CE692" s="838"/>
      <c r="CF692" s="838"/>
      <c r="CG692" s="838"/>
      <c r="CH692" s="838"/>
      <c r="CI692" s="838"/>
      <c r="CJ692" s="838"/>
      <c r="CK692" s="838"/>
      <c r="CL692" s="838"/>
      <c r="CM692" s="838"/>
      <c r="CN692" s="838"/>
      <c r="CO692" s="838"/>
      <c r="CP692" s="838"/>
      <c r="CQ692" s="838"/>
      <c r="CR692" s="838"/>
      <c r="CS692" s="838"/>
      <c r="CT692" s="838"/>
      <c r="CU692" s="838"/>
    </row>
    <row r="693">
      <c r="A693" s="860"/>
      <c r="B693" s="860"/>
      <c r="C693" s="860"/>
      <c r="D693" s="860"/>
      <c r="E693" s="860"/>
      <c r="F693" s="860"/>
      <c r="G693" s="860"/>
      <c r="H693" s="860"/>
      <c r="I693" s="860"/>
      <c r="J693" s="860"/>
      <c r="K693" s="860"/>
      <c r="L693" s="860"/>
      <c r="M693" s="860"/>
      <c r="N693" s="860"/>
      <c r="O693" s="860"/>
      <c r="P693" s="860"/>
      <c r="Q693" s="860"/>
      <c r="R693" s="860"/>
      <c r="S693" s="860"/>
      <c r="T693" s="860"/>
      <c r="U693" s="860"/>
      <c r="V693" s="860"/>
      <c r="W693" s="860"/>
      <c r="X693" s="860"/>
      <c r="Y693" s="860"/>
      <c r="Z693" s="860"/>
      <c r="AA693" s="860"/>
      <c r="AB693" s="860"/>
      <c r="AC693" s="860"/>
      <c r="AD693" s="860"/>
      <c r="AE693" s="860"/>
      <c r="AF693" s="860"/>
      <c r="AG693" s="860"/>
      <c r="AH693" s="860"/>
      <c r="AJ693" s="836"/>
      <c r="AK693" s="836"/>
      <c r="AL693" s="836"/>
      <c r="AM693" s="836"/>
      <c r="AN693" s="836"/>
      <c r="AO693" s="836"/>
      <c r="AP693" s="836"/>
      <c r="AQ693" s="836"/>
      <c r="AR693" s="836"/>
      <c r="AS693" s="836"/>
      <c r="AT693" s="836"/>
      <c r="AU693" s="836"/>
      <c r="AV693" s="836"/>
      <c r="AW693" s="836"/>
      <c r="AX693" s="836"/>
      <c r="AY693" s="836"/>
      <c r="AZ693" s="836"/>
      <c r="BA693" s="836"/>
      <c r="BB693" s="836"/>
      <c r="BC693" s="836"/>
      <c r="BD693" s="836"/>
      <c r="BE693" s="836"/>
      <c r="BF693" s="836"/>
      <c r="BG693" s="836"/>
      <c r="BH693" s="836"/>
      <c r="BI693" s="836"/>
      <c r="BJ693" s="836"/>
      <c r="BK693" s="836"/>
      <c r="BL693" s="836"/>
      <c r="BM693" s="836"/>
      <c r="BN693" s="836"/>
      <c r="BO693" s="836"/>
      <c r="BP693" s="836"/>
      <c r="BR693" s="838"/>
      <c r="BS693" s="838"/>
      <c r="BT693" s="838"/>
      <c r="BU693" s="838"/>
      <c r="BV693" s="838"/>
      <c r="BW693" s="838"/>
      <c r="BX693" s="838"/>
      <c r="BY693" s="838"/>
      <c r="BZ693" s="838"/>
      <c r="CA693" s="838"/>
      <c r="CB693" s="838"/>
      <c r="CC693" s="838"/>
      <c r="CD693" s="838"/>
      <c r="CE693" s="838"/>
      <c r="CF693" s="838"/>
      <c r="CG693" s="838"/>
      <c r="CH693" s="838"/>
      <c r="CI693" s="838"/>
      <c r="CJ693" s="838"/>
      <c r="CK693" s="838"/>
      <c r="CL693" s="838"/>
      <c r="CM693" s="838"/>
      <c r="CN693" s="838"/>
      <c r="CO693" s="838"/>
      <c r="CP693" s="838"/>
      <c r="CQ693" s="838"/>
      <c r="CR693" s="838"/>
      <c r="CS693" s="838"/>
      <c r="CT693" s="838"/>
      <c r="CU693" s="838"/>
    </row>
    <row r="694">
      <c r="A694" s="860"/>
      <c r="B694" s="860"/>
      <c r="C694" s="860"/>
      <c r="D694" s="860"/>
      <c r="E694" s="860"/>
      <c r="F694" s="860"/>
      <c r="G694" s="860"/>
      <c r="H694" s="860"/>
      <c r="I694" s="860"/>
      <c r="J694" s="860"/>
      <c r="K694" s="860"/>
      <c r="L694" s="860"/>
      <c r="M694" s="860"/>
      <c r="N694" s="860"/>
      <c r="O694" s="860"/>
      <c r="P694" s="860"/>
      <c r="Q694" s="860"/>
      <c r="R694" s="860"/>
      <c r="S694" s="860"/>
      <c r="T694" s="860"/>
      <c r="U694" s="860"/>
      <c r="V694" s="860"/>
      <c r="W694" s="860"/>
      <c r="X694" s="860"/>
      <c r="Y694" s="860"/>
      <c r="Z694" s="860"/>
      <c r="AA694" s="860"/>
      <c r="AB694" s="860"/>
      <c r="AC694" s="860"/>
      <c r="AD694" s="860"/>
      <c r="AE694" s="860"/>
      <c r="AF694" s="860"/>
      <c r="AG694" s="860"/>
      <c r="AH694" s="860"/>
      <c r="AJ694" s="836"/>
      <c r="AK694" s="836"/>
      <c r="AL694" s="836"/>
      <c r="AM694" s="836"/>
      <c r="AN694" s="836"/>
      <c r="AO694" s="836"/>
      <c r="AP694" s="836"/>
      <c r="AQ694" s="836"/>
      <c r="AR694" s="836"/>
      <c r="AS694" s="836"/>
      <c r="AT694" s="836"/>
      <c r="AU694" s="836"/>
      <c r="AV694" s="836"/>
      <c r="AW694" s="836"/>
      <c r="AX694" s="836"/>
      <c r="AY694" s="836"/>
      <c r="AZ694" s="836"/>
      <c r="BA694" s="836"/>
      <c r="BB694" s="836"/>
      <c r="BC694" s="836"/>
      <c r="BD694" s="836"/>
      <c r="BE694" s="836"/>
      <c r="BF694" s="836"/>
      <c r="BG694" s="836"/>
      <c r="BH694" s="836"/>
      <c r="BI694" s="836"/>
      <c r="BJ694" s="836"/>
      <c r="BK694" s="836"/>
      <c r="BL694" s="836"/>
      <c r="BM694" s="836"/>
      <c r="BN694" s="836"/>
      <c r="BO694" s="836"/>
      <c r="BP694" s="836"/>
      <c r="BR694" s="838"/>
      <c r="BS694" s="838"/>
      <c r="BT694" s="838"/>
      <c r="BU694" s="838"/>
      <c r="BV694" s="838"/>
      <c r="BW694" s="838"/>
      <c r="BX694" s="838"/>
      <c r="BY694" s="838"/>
      <c r="BZ694" s="838"/>
      <c r="CA694" s="838"/>
      <c r="CB694" s="838"/>
      <c r="CC694" s="838"/>
      <c r="CD694" s="838"/>
      <c r="CE694" s="838"/>
      <c r="CF694" s="838"/>
      <c r="CG694" s="838"/>
      <c r="CH694" s="838"/>
      <c r="CI694" s="838"/>
      <c r="CJ694" s="838"/>
      <c r="CK694" s="838"/>
      <c r="CL694" s="838"/>
      <c r="CM694" s="838"/>
      <c r="CN694" s="838"/>
      <c r="CO694" s="838"/>
      <c r="CP694" s="838"/>
      <c r="CQ694" s="838"/>
      <c r="CR694" s="838"/>
      <c r="CS694" s="838"/>
      <c r="CT694" s="838"/>
      <c r="CU694" s="838"/>
    </row>
    <row r="695">
      <c r="A695" s="860"/>
      <c r="B695" s="860"/>
      <c r="C695" s="860"/>
      <c r="D695" s="860"/>
      <c r="E695" s="860"/>
      <c r="F695" s="860"/>
      <c r="G695" s="860"/>
      <c r="H695" s="860"/>
      <c r="I695" s="860"/>
      <c r="J695" s="860"/>
      <c r="K695" s="860"/>
      <c r="L695" s="860"/>
      <c r="M695" s="860"/>
      <c r="N695" s="860"/>
      <c r="O695" s="860"/>
      <c r="P695" s="860"/>
      <c r="Q695" s="860"/>
      <c r="R695" s="860"/>
      <c r="S695" s="860"/>
      <c r="T695" s="860"/>
      <c r="U695" s="860"/>
      <c r="V695" s="860"/>
      <c r="W695" s="860"/>
      <c r="X695" s="860"/>
      <c r="Y695" s="860"/>
      <c r="Z695" s="860"/>
      <c r="AA695" s="860"/>
      <c r="AB695" s="860"/>
      <c r="AC695" s="860"/>
      <c r="AD695" s="860"/>
      <c r="AE695" s="860"/>
      <c r="AF695" s="860"/>
      <c r="AG695" s="860"/>
      <c r="AH695" s="860"/>
      <c r="AJ695" s="836"/>
      <c r="AK695" s="836"/>
      <c r="AL695" s="836"/>
      <c r="AM695" s="836"/>
      <c r="AN695" s="836"/>
      <c r="AO695" s="836"/>
      <c r="AP695" s="836"/>
      <c r="AQ695" s="836"/>
      <c r="AR695" s="836"/>
      <c r="AS695" s="836"/>
      <c r="AT695" s="836"/>
      <c r="AU695" s="836"/>
      <c r="AV695" s="836"/>
      <c r="AW695" s="836"/>
      <c r="AX695" s="836"/>
      <c r="AY695" s="836"/>
      <c r="AZ695" s="836"/>
      <c r="BA695" s="836"/>
      <c r="BB695" s="836"/>
      <c r="BC695" s="836"/>
      <c r="BD695" s="836"/>
      <c r="BE695" s="836"/>
      <c r="BF695" s="836"/>
      <c r="BG695" s="836"/>
      <c r="BH695" s="836"/>
      <c r="BI695" s="836"/>
      <c r="BJ695" s="836"/>
      <c r="BK695" s="836"/>
      <c r="BL695" s="836"/>
      <c r="BM695" s="836"/>
      <c r="BN695" s="836"/>
      <c r="BO695" s="836"/>
      <c r="BP695" s="836"/>
      <c r="BR695" s="838"/>
      <c r="BS695" s="838"/>
      <c r="BT695" s="838"/>
      <c r="BU695" s="838"/>
      <c r="BV695" s="838"/>
      <c r="BW695" s="838"/>
      <c r="BX695" s="838"/>
      <c r="BY695" s="838"/>
      <c r="BZ695" s="838"/>
      <c r="CA695" s="838"/>
      <c r="CB695" s="838"/>
      <c r="CC695" s="838"/>
      <c r="CD695" s="838"/>
      <c r="CE695" s="838"/>
      <c r="CF695" s="838"/>
      <c r="CG695" s="838"/>
      <c r="CH695" s="838"/>
      <c r="CI695" s="838"/>
      <c r="CJ695" s="838"/>
      <c r="CK695" s="838"/>
      <c r="CL695" s="838"/>
      <c r="CM695" s="838"/>
      <c r="CN695" s="838"/>
      <c r="CO695" s="838"/>
      <c r="CP695" s="838"/>
      <c r="CQ695" s="838"/>
      <c r="CR695" s="838"/>
      <c r="CS695" s="838"/>
      <c r="CT695" s="838"/>
      <c r="CU695" s="838"/>
    </row>
    <row r="696">
      <c r="A696" s="860"/>
      <c r="B696" s="860"/>
      <c r="C696" s="860"/>
      <c r="D696" s="860"/>
      <c r="E696" s="860"/>
      <c r="F696" s="860"/>
      <c r="G696" s="860"/>
      <c r="H696" s="860"/>
      <c r="I696" s="860"/>
      <c r="J696" s="860"/>
      <c r="K696" s="860"/>
      <c r="L696" s="860"/>
      <c r="M696" s="860"/>
      <c r="N696" s="860"/>
      <c r="O696" s="860"/>
      <c r="P696" s="860"/>
      <c r="Q696" s="860"/>
      <c r="R696" s="860"/>
      <c r="S696" s="860"/>
      <c r="T696" s="860"/>
      <c r="U696" s="860"/>
      <c r="V696" s="860"/>
      <c r="W696" s="860"/>
      <c r="X696" s="860"/>
      <c r="Y696" s="860"/>
      <c r="Z696" s="860"/>
      <c r="AA696" s="860"/>
      <c r="AB696" s="860"/>
      <c r="AC696" s="860"/>
      <c r="AD696" s="860"/>
      <c r="AE696" s="860"/>
      <c r="AF696" s="860"/>
      <c r="AG696" s="860"/>
      <c r="AH696" s="860"/>
      <c r="AJ696" s="836"/>
      <c r="AK696" s="836"/>
      <c r="AL696" s="836"/>
      <c r="AM696" s="836"/>
      <c r="AN696" s="836"/>
      <c r="AO696" s="836"/>
      <c r="AP696" s="836"/>
      <c r="AQ696" s="836"/>
      <c r="AR696" s="836"/>
      <c r="AS696" s="836"/>
      <c r="AT696" s="836"/>
      <c r="AU696" s="836"/>
      <c r="AV696" s="836"/>
      <c r="AW696" s="836"/>
      <c r="AX696" s="836"/>
      <c r="AY696" s="836"/>
      <c r="AZ696" s="836"/>
      <c r="BA696" s="836"/>
      <c r="BB696" s="836"/>
      <c r="BC696" s="836"/>
      <c r="BD696" s="836"/>
      <c r="BE696" s="836"/>
      <c r="BF696" s="836"/>
      <c r="BG696" s="836"/>
      <c r="BH696" s="836"/>
      <c r="BI696" s="836"/>
      <c r="BJ696" s="836"/>
      <c r="BK696" s="836"/>
      <c r="BL696" s="836"/>
      <c r="BM696" s="836"/>
      <c r="BN696" s="836"/>
      <c r="BO696" s="836"/>
      <c r="BP696" s="836"/>
      <c r="BR696" s="838"/>
      <c r="BS696" s="838"/>
      <c r="BT696" s="838"/>
      <c r="BU696" s="838"/>
      <c r="BV696" s="838"/>
      <c r="BW696" s="838"/>
      <c r="BX696" s="838"/>
      <c r="BY696" s="838"/>
      <c r="BZ696" s="838"/>
      <c r="CA696" s="838"/>
      <c r="CB696" s="838"/>
      <c r="CC696" s="838"/>
      <c r="CD696" s="838"/>
      <c r="CE696" s="838"/>
      <c r="CF696" s="838"/>
      <c r="CG696" s="838"/>
      <c r="CH696" s="838"/>
      <c r="CI696" s="838"/>
      <c r="CJ696" s="838"/>
      <c r="CK696" s="838"/>
      <c r="CL696" s="838"/>
      <c r="CM696" s="838"/>
      <c r="CN696" s="838"/>
      <c r="CO696" s="838"/>
      <c r="CP696" s="838"/>
      <c r="CQ696" s="838"/>
      <c r="CR696" s="838"/>
      <c r="CS696" s="838"/>
      <c r="CT696" s="838"/>
      <c r="CU696" s="838"/>
    </row>
    <row r="697">
      <c r="A697" s="860"/>
      <c r="B697" s="860"/>
      <c r="C697" s="860"/>
      <c r="D697" s="860"/>
      <c r="E697" s="860"/>
      <c r="F697" s="860"/>
      <c r="G697" s="860"/>
      <c r="H697" s="860"/>
      <c r="I697" s="860"/>
      <c r="J697" s="860"/>
      <c r="K697" s="860"/>
      <c r="L697" s="860"/>
      <c r="M697" s="860"/>
      <c r="N697" s="860"/>
      <c r="O697" s="860"/>
      <c r="P697" s="860"/>
      <c r="Q697" s="860"/>
      <c r="R697" s="860"/>
      <c r="S697" s="860"/>
      <c r="T697" s="860"/>
      <c r="U697" s="860"/>
      <c r="V697" s="860"/>
      <c r="W697" s="860"/>
      <c r="X697" s="860"/>
      <c r="Y697" s="860"/>
      <c r="Z697" s="860"/>
      <c r="AA697" s="860"/>
      <c r="AB697" s="860"/>
      <c r="AC697" s="860"/>
      <c r="AD697" s="860"/>
      <c r="AE697" s="860"/>
      <c r="AF697" s="860"/>
      <c r="AG697" s="860"/>
      <c r="AH697" s="860"/>
      <c r="AJ697" s="836"/>
      <c r="AK697" s="836"/>
      <c r="AL697" s="836"/>
      <c r="AM697" s="836"/>
      <c r="AN697" s="836"/>
      <c r="AO697" s="836"/>
      <c r="AP697" s="836"/>
      <c r="AQ697" s="836"/>
      <c r="AR697" s="836"/>
      <c r="AS697" s="836"/>
      <c r="AT697" s="836"/>
      <c r="AU697" s="836"/>
      <c r="AV697" s="836"/>
      <c r="AW697" s="836"/>
      <c r="AX697" s="836"/>
      <c r="AY697" s="836"/>
      <c r="AZ697" s="836"/>
      <c r="BA697" s="836"/>
      <c r="BB697" s="836"/>
      <c r="BC697" s="836"/>
      <c r="BD697" s="836"/>
      <c r="BE697" s="836"/>
      <c r="BF697" s="836"/>
      <c r="BG697" s="836"/>
      <c r="BH697" s="836"/>
      <c r="BI697" s="836"/>
      <c r="BJ697" s="836"/>
      <c r="BK697" s="836"/>
      <c r="BL697" s="836"/>
      <c r="BM697" s="836"/>
      <c r="BN697" s="836"/>
      <c r="BO697" s="836"/>
      <c r="BP697" s="836"/>
      <c r="BR697" s="838"/>
      <c r="BS697" s="838"/>
      <c r="BT697" s="838"/>
      <c r="BU697" s="838"/>
      <c r="BV697" s="838"/>
      <c r="BW697" s="838"/>
      <c r="BX697" s="838"/>
      <c r="BY697" s="838"/>
      <c r="BZ697" s="838"/>
      <c r="CA697" s="838"/>
      <c r="CB697" s="838"/>
      <c r="CC697" s="838"/>
      <c r="CD697" s="838"/>
      <c r="CE697" s="838"/>
      <c r="CF697" s="838"/>
      <c r="CG697" s="838"/>
      <c r="CH697" s="838"/>
      <c r="CI697" s="838"/>
      <c r="CJ697" s="838"/>
      <c r="CK697" s="838"/>
      <c r="CL697" s="838"/>
      <c r="CM697" s="838"/>
      <c r="CN697" s="838"/>
      <c r="CO697" s="838"/>
      <c r="CP697" s="838"/>
      <c r="CQ697" s="838"/>
      <c r="CR697" s="838"/>
      <c r="CS697" s="838"/>
      <c r="CT697" s="838"/>
      <c r="CU697" s="838"/>
    </row>
    <row r="698">
      <c r="A698" s="860"/>
      <c r="B698" s="860"/>
      <c r="C698" s="860"/>
      <c r="D698" s="860"/>
      <c r="E698" s="860"/>
      <c r="F698" s="860"/>
      <c r="G698" s="860"/>
      <c r="H698" s="860"/>
      <c r="I698" s="860"/>
      <c r="J698" s="860"/>
      <c r="K698" s="860"/>
      <c r="L698" s="860"/>
      <c r="M698" s="860"/>
      <c r="N698" s="860"/>
      <c r="O698" s="860"/>
      <c r="P698" s="860"/>
      <c r="Q698" s="860"/>
      <c r="R698" s="860"/>
      <c r="S698" s="860"/>
      <c r="T698" s="860"/>
      <c r="U698" s="860"/>
      <c r="V698" s="860"/>
      <c r="W698" s="860"/>
      <c r="X698" s="860"/>
      <c r="Y698" s="860"/>
      <c r="Z698" s="860"/>
      <c r="AA698" s="860"/>
      <c r="AB698" s="860"/>
      <c r="AC698" s="860"/>
      <c r="AD698" s="860"/>
      <c r="AE698" s="860"/>
      <c r="AF698" s="860"/>
      <c r="AG698" s="860"/>
      <c r="AH698" s="860"/>
      <c r="AJ698" s="836"/>
      <c r="AK698" s="836"/>
      <c r="AL698" s="836"/>
      <c r="AM698" s="836"/>
      <c r="AN698" s="836"/>
      <c r="AO698" s="836"/>
      <c r="AP698" s="836"/>
      <c r="AQ698" s="836"/>
      <c r="AR698" s="836"/>
      <c r="AS698" s="836"/>
      <c r="AT698" s="836"/>
      <c r="AU698" s="836"/>
      <c r="AV698" s="836"/>
      <c r="AW698" s="836"/>
      <c r="AX698" s="836"/>
      <c r="AY698" s="836"/>
      <c r="AZ698" s="836"/>
      <c r="BA698" s="836"/>
      <c r="BB698" s="836"/>
      <c r="BC698" s="836"/>
      <c r="BD698" s="836"/>
      <c r="BE698" s="836"/>
      <c r="BF698" s="836"/>
      <c r="BG698" s="836"/>
      <c r="BH698" s="836"/>
      <c r="BI698" s="836"/>
      <c r="BJ698" s="836"/>
      <c r="BK698" s="836"/>
      <c r="BL698" s="836"/>
      <c r="BM698" s="836"/>
      <c r="BN698" s="836"/>
      <c r="BO698" s="836"/>
      <c r="BP698" s="836"/>
      <c r="BR698" s="838"/>
      <c r="BS698" s="838"/>
      <c r="BT698" s="838"/>
      <c r="BU698" s="838"/>
      <c r="BV698" s="838"/>
      <c r="BW698" s="838"/>
      <c r="BX698" s="838"/>
      <c r="BY698" s="838"/>
      <c r="BZ698" s="838"/>
      <c r="CA698" s="838"/>
      <c r="CB698" s="838"/>
      <c r="CC698" s="838"/>
      <c r="CD698" s="838"/>
      <c r="CE698" s="838"/>
      <c r="CF698" s="838"/>
      <c r="CG698" s="838"/>
      <c r="CH698" s="838"/>
      <c r="CI698" s="838"/>
      <c r="CJ698" s="838"/>
      <c r="CK698" s="838"/>
      <c r="CL698" s="838"/>
      <c r="CM698" s="838"/>
      <c r="CN698" s="838"/>
      <c r="CO698" s="838"/>
      <c r="CP698" s="838"/>
      <c r="CQ698" s="838"/>
      <c r="CR698" s="838"/>
      <c r="CS698" s="838"/>
      <c r="CT698" s="838"/>
      <c r="CU698" s="838"/>
    </row>
    <row r="699">
      <c r="A699" s="860"/>
      <c r="B699" s="860"/>
      <c r="C699" s="860"/>
      <c r="D699" s="860"/>
      <c r="E699" s="860"/>
      <c r="F699" s="860"/>
      <c r="G699" s="860"/>
      <c r="H699" s="860"/>
      <c r="I699" s="860"/>
      <c r="J699" s="860"/>
      <c r="K699" s="860"/>
      <c r="L699" s="860"/>
      <c r="M699" s="860"/>
      <c r="N699" s="860"/>
      <c r="O699" s="860"/>
      <c r="P699" s="860"/>
      <c r="Q699" s="860"/>
      <c r="R699" s="860"/>
      <c r="S699" s="860"/>
      <c r="T699" s="860"/>
      <c r="U699" s="860"/>
      <c r="V699" s="860"/>
      <c r="W699" s="860"/>
      <c r="X699" s="860"/>
      <c r="Y699" s="860"/>
      <c r="Z699" s="860"/>
      <c r="AA699" s="860"/>
      <c r="AB699" s="860"/>
      <c r="AC699" s="860"/>
      <c r="AD699" s="860"/>
      <c r="AE699" s="860"/>
      <c r="AF699" s="860"/>
      <c r="AG699" s="860"/>
      <c r="AH699" s="860"/>
      <c r="AJ699" s="836"/>
      <c r="AK699" s="836"/>
      <c r="AL699" s="836"/>
      <c r="AM699" s="836"/>
      <c r="AN699" s="836"/>
      <c r="AO699" s="836"/>
      <c r="AP699" s="836"/>
      <c r="AQ699" s="836"/>
      <c r="AR699" s="836"/>
      <c r="AS699" s="836"/>
      <c r="AT699" s="836"/>
      <c r="AU699" s="836"/>
      <c r="AV699" s="836"/>
      <c r="AW699" s="836"/>
      <c r="AX699" s="836"/>
      <c r="AY699" s="836"/>
      <c r="AZ699" s="836"/>
      <c r="BA699" s="836"/>
      <c r="BB699" s="836"/>
      <c r="BC699" s="836"/>
      <c r="BD699" s="836"/>
      <c r="BE699" s="836"/>
      <c r="BF699" s="836"/>
      <c r="BG699" s="836"/>
      <c r="BH699" s="836"/>
      <c r="BI699" s="836"/>
      <c r="BJ699" s="836"/>
      <c r="BK699" s="836"/>
      <c r="BL699" s="836"/>
      <c r="BM699" s="836"/>
      <c r="BN699" s="836"/>
      <c r="BO699" s="836"/>
      <c r="BP699" s="836"/>
      <c r="BR699" s="838"/>
      <c r="BS699" s="838"/>
      <c r="BT699" s="838"/>
      <c r="BU699" s="838"/>
      <c r="BV699" s="838"/>
      <c r="BW699" s="838"/>
      <c r="BX699" s="838"/>
      <c r="BY699" s="838"/>
      <c r="BZ699" s="838"/>
      <c r="CA699" s="838"/>
      <c r="CB699" s="838"/>
      <c r="CC699" s="838"/>
      <c r="CD699" s="838"/>
      <c r="CE699" s="838"/>
      <c r="CF699" s="838"/>
      <c r="CG699" s="838"/>
      <c r="CH699" s="838"/>
      <c r="CI699" s="838"/>
      <c r="CJ699" s="838"/>
      <c r="CK699" s="838"/>
      <c r="CL699" s="838"/>
      <c r="CM699" s="838"/>
      <c r="CN699" s="838"/>
      <c r="CO699" s="838"/>
      <c r="CP699" s="838"/>
      <c r="CQ699" s="838"/>
      <c r="CR699" s="838"/>
      <c r="CS699" s="838"/>
      <c r="CT699" s="838"/>
      <c r="CU699" s="838"/>
    </row>
    <row r="700">
      <c r="A700" s="859"/>
      <c r="B700" s="860"/>
      <c r="C700" s="860"/>
      <c r="D700" s="860"/>
      <c r="E700" s="860"/>
      <c r="F700" s="860"/>
      <c r="G700" s="860"/>
      <c r="H700" s="860"/>
      <c r="I700" s="860"/>
      <c r="J700" s="860"/>
      <c r="K700" s="860"/>
      <c r="L700" s="860"/>
      <c r="M700" s="860"/>
      <c r="N700" s="860"/>
      <c r="O700" s="860"/>
      <c r="P700" s="860"/>
      <c r="Q700" s="860"/>
      <c r="R700" s="860"/>
      <c r="S700" s="860"/>
      <c r="T700" s="860"/>
      <c r="U700" s="860"/>
      <c r="V700" s="860"/>
      <c r="W700" s="860"/>
      <c r="X700" s="860"/>
      <c r="Y700" s="860"/>
      <c r="Z700" s="860"/>
      <c r="AA700" s="860"/>
      <c r="AB700" s="860"/>
      <c r="AC700" s="860"/>
      <c r="AD700" s="860"/>
      <c r="AE700" s="860"/>
      <c r="AF700" s="860"/>
      <c r="AG700" s="860"/>
      <c r="AH700" s="860"/>
      <c r="AJ700" s="836"/>
      <c r="AK700" s="836"/>
      <c r="AL700" s="836"/>
      <c r="AM700" s="836"/>
      <c r="AN700" s="836"/>
      <c r="AO700" s="836"/>
      <c r="AP700" s="836"/>
      <c r="AQ700" s="836"/>
      <c r="AR700" s="836"/>
      <c r="AS700" s="836"/>
      <c r="AT700" s="836"/>
      <c r="AU700" s="836"/>
      <c r="AV700" s="836"/>
      <c r="AW700" s="836"/>
      <c r="AX700" s="836"/>
      <c r="AY700" s="836"/>
      <c r="AZ700" s="836"/>
      <c r="BA700" s="836"/>
      <c r="BB700" s="836"/>
      <c r="BC700" s="836"/>
      <c r="BD700" s="836"/>
      <c r="BE700" s="836"/>
      <c r="BF700" s="836"/>
      <c r="BG700" s="836"/>
      <c r="BH700" s="836"/>
      <c r="BI700" s="836"/>
      <c r="BJ700" s="836"/>
      <c r="BK700" s="836"/>
      <c r="BL700" s="836"/>
      <c r="BM700" s="836"/>
      <c r="BN700" s="836"/>
      <c r="BO700" s="836"/>
      <c r="BP700" s="836"/>
      <c r="BR700" s="838"/>
      <c r="BS700" s="838"/>
      <c r="BT700" s="838"/>
      <c r="BU700" s="838"/>
      <c r="BV700" s="838"/>
      <c r="BW700" s="838"/>
      <c r="BX700" s="838"/>
      <c r="BY700" s="838"/>
      <c r="BZ700" s="838"/>
      <c r="CA700" s="838"/>
      <c r="CB700" s="838"/>
      <c r="CC700" s="838"/>
      <c r="CD700" s="838"/>
      <c r="CE700" s="838"/>
      <c r="CF700" s="838"/>
      <c r="CG700" s="838"/>
      <c r="CH700" s="838"/>
      <c r="CI700" s="838"/>
      <c r="CJ700" s="838"/>
      <c r="CK700" s="838"/>
      <c r="CL700" s="838"/>
      <c r="CM700" s="838"/>
      <c r="CN700" s="838"/>
      <c r="CO700" s="838"/>
      <c r="CP700" s="838"/>
      <c r="CQ700" s="838"/>
      <c r="CR700" s="838"/>
      <c r="CS700" s="838"/>
      <c r="CT700" s="838"/>
      <c r="CU700" s="838"/>
    </row>
    <row r="701">
      <c r="A701" s="861"/>
      <c r="B701" s="860"/>
      <c r="C701" s="860"/>
      <c r="D701" s="860"/>
      <c r="E701" s="860"/>
      <c r="F701" s="860"/>
      <c r="G701" s="860"/>
      <c r="H701" s="860"/>
      <c r="I701" s="860"/>
      <c r="J701" s="860"/>
      <c r="K701" s="860"/>
      <c r="L701" s="860"/>
      <c r="M701" s="860"/>
      <c r="N701" s="860"/>
      <c r="O701" s="860"/>
      <c r="P701" s="860"/>
      <c r="Q701" s="860"/>
      <c r="R701" s="860"/>
      <c r="S701" s="860"/>
      <c r="T701" s="860"/>
      <c r="U701" s="860"/>
      <c r="V701" s="860"/>
      <c r="W701" s="860"/>
      <c r="X701" s="860"/>
      <c r="Y701" s="860"/>
      <c r="Z701" s="860"/>
      <c r="AA701" s="860"/>
      <c r="AB701" s="860"/>
      <c r="AC701" s="860"/>
      <c r="AD701" s="860"/>
      <c r="AE701" s="860"/>
      <c r="AF701" s="860"/>
      <c r="AG701" s="860"/>
      <c r="AH701" s="860"/>
      <c r="AJ701" s="836"/>
      <c r="AK701" s="836"/>
      <c r="AL701" s="836"/>
      <c r="AM701" s="836"/>
      <c r="AN701" s="836"/>
      <c r="AO701" s="836"/>
      <c r="AP701" s="836"/>
      <c r="AQ701" s="836"/>
      <c r="AR701" s="836"/>
      <c r="AS701" s="836"/>
      <c r="AT701" s="836"/>
      <c r="AU701" s="836"/>
      <c r="AV701" s="836"/>
      <c r="AW701" s="836"/>
      <c r="AX701" s="836"/>
      <c r="AY701" s="836"/>
      <c r="AZ701" s="836"/>
      <c r="BA701" s="836"/>
      <c r="BB701" s="836"/>
      <c r="BC701" s="836"/>
      <c r="BD701" s="836"/>
      <c r="BE701" s="836"/>
      <c r="BF701" s="836"/>
      <c r="BG701" s="836"/>
      <c r="BH701" s="836"/>
      <c r="BI701" s="836"/>
      <c r="BJ701" s="836"/>
      <c r="BK701" s="836"/>
      <c r="BL701" s="836"/>
      <c r="BM701" s="836"/>
      <c r="BN701" s="836"/>
      <c r="BO701" s="836"/>
      <c r="BP701" s="836"/>
      <c r="BR701" s="838"/>
      <c r="BS701" s="838"/>
      <c r="BT701" s="838"/>
      <c r="BU701" s="838"/>
      <c r="BV701" s="838"/>
      <c r="BW701" s="838"/>
      <c r="BX701" s="838"/>
      <c r="BY701" s="838"/>
      <c r="BZ701" s="838"/>
      <c r="CA701" s="838"/>
      <c r="CB701" s="838"/>
      <c r="CC701" s="838"/>
      <c r="CD701" s="838"/>
      <c r="CE701" s="838"/>
      <c r="CF701" s="838"/>
      <c r="CG701" s="838"/>
      <c r="CH701" s="838"/>
      <c r="CI701" s="838"/>
      <c r="CJ701" s="838"/>
      <c r="CK701" s="838"/>
      <c r="CL701" s="838"/>
      <c r="CM701" s="838"/>
      <c r="CN701" s="838"/>
      <c r="CO701" s="838"/>
      <c r="CP701" s="838"/>
      <c r="CQ701" s="838"/>
      <c r="CR701" s="838"/>
      <c r="CS701" s="838"/>
      <c r="CT701" s="838"/>
      <c r="CU701" s="838"/>
    </row>
    <row r="702">
      <c r="A702" s="860"/>
      <c r="B702" s="860"/>
      <c r="C702" s="860"/>
      <c r="D702" s="860"/>
      <c r="E702" s="860"/>
      <c r="F702" s="860"/>
      <c r="G702" s="860"/>
      <c r="H702" s="860"/>
      <c r="I702" s="860"/>
      <c r="J702" s="860"/>
      <c r="K702" s="860"/>
      <c r="L702" s="860"/>
      <c r="M702" s="860"/>
      <c r="N702" s="860"/>
      <c r="O702" s="860"/>
      <c r="P702" s="860"/>
      <c r="Q702" s="860"/>
      <c r="R702" s="860"/>
      <c r="S702" s="860"/>
      <c r="T702" s="860"/>
      <c r="U702" s="860"/>
      <c r="V702" s="860"/>
      <c r="W702" s="860"/>
      <c r="X702" s="860"/>
      <c r="Y702" s="860"/>
      <c r="Z702" s="860"/>
      <c r="AA702" s="860"/>
      <c r="AB702" s="860"/>
      <c r="AC702" s="860"/>
      <c r="AD702" s="860"/>
      <c r="AE702" s="860"/>
      <c r="AF702" s="860"/>
      <c r="AG702" s="860"/>
      <c r="AH702" s="860"/>
      <c r="AJ702" s="836"/>
      <c r="AK702" s="836"/>
      <c r="AL702" s="836"/>
      <c r="AM702" s="836"/>
      <c r="AN702" s="836"/>
      <c r="AO702" s="836"/>
      <c r="AP702" s="836"/>
      <c r="AQ702" s="836"/>
      <c r="AR702" s="836"/>
      <c r="AS702" s="836"/>
      <c r="AT702" s="836"/>
      <c r="AU702" s="836"/>
      <c r="AV702" s="836"/>
      <c r="AW702" s="836"/>
      <c r="AX702" s="836"/>
      <c r="AY702" s="836"/>
      <c r="AZ702" s="836"/>
      <c r="BA702" s="836"/>
      <c r="BB702" s="836"/>
      <c r="BC702" s="836"/>
      <c r="BD702" s="836"/>
      <c r="BE702" s="836"/>
      <c r="BF702" s="836"/>
      <c r="BG702" s="836"/>
      <c r="BH702" s="836"/>
      <c r="BI702" s="836"/>
      <c r="BJ702" s="836"/>
      <c r="BK702" s="836"/>
      <c r="BL702" s="836"/>
      <c r="BM702" s="836"/>
      <c r="BN702" s="836"/>
      <c r="BO702" s="836"/>
      <c r="BP702" s="836"/>
      <c r="BR702" s="838"/>
      <c r="BS702" s="838"/>
      <c r="BT702" s="838"/>
      <c r="BU702" s="838"/>
      <c r="BV702" s="838"/>
      <c r="BW702" s="838"/>
      <c r="BX702" s="838"/>
      <c r="BY702" s="838"/>
      <c r="BZ702" s="838"/>
      <c r="CA702" s="838"/>
      <c r="CB702" s="838"/>
      <c r="CC702" s="838"/>
      <c r="CD702" s="838"/>
      <c r="CE702" s="838"/>
      <c r="CF702" s="838"/>
      <c r="CG702" s="838"/>
      <c r="CH702" s="838"/>
      <c r="CI702" s="838"/>
      <c r="CJ702" s="838"/>
      <c r="CK702" s="838"/>
      <c r="CL702" s="838"/>
      <c r="CM702" s="838"/>
      <c r="CN702" s="838"/>
      <c r="CO702" s="838"/>
      <c r="CP702" s="838"/>
      <c r="CQ702" s="838"/>
      <c r="CR702" s="838"/>
      <c r="CS702" s="838"/>
      <c r="CT702" s="838"/>
      <c r="CU702" s="838"/>
    </row>
    <row r="703">
      <c r="A703" s="860"/>
      <c r="B703" s="860"/>
      <c r="C703" s="860"/>
      <c r="D703" s="860"/>
      <c r="E703" s="860"/>
      <c r="F703" s="860"/>
      <c r="G703" s="860"/>
      <c r="H703" s="860"/>
      <c r="I703" s="860"/>
      <c r="J703" s="860"/>
      <c r="K703" s="860"/>
      <c r="L703" s="860"/>
      <c r="M703" s="860"/>
      <c r="N703" s="860"/>
      <c r="O703" s="860"/>
      <c r="P703" s="860"/>
      <c r="Q703" s="860"/>
      <c r="R703" s="860"/>
      <c r="S703" s="860"/>
      <c r="T703" s="860"/>
      <c r="U703" s="860"/>
      <c r="V703" s="860"/>
      <c r="W703" s="860"/>
      <c r="X703" s="860"/>
      <c r="Y703" s="860"/>
      <c r="Z703" s="860"/>
      <c r="AA703" s="860"/>
      <c r="AB703" s="860"/>
      <c r="AC703" s="860"/>
      <c r="AD703" s="860"/>
      <c r="AE703" s="860"/>
      <c r="AF703" s="860"/>
      <c r="AG703" s="860"/>
      <c r="AH703" s="860"/>
      <c r="AJ703" s="836"/>
      <c r="AK703" s="836"/>
      <c r="AL703" s="836"/>
      <c r="AM703" s="836"/>
      <c r="AN703" s="836"/>
      <c r="AO703" s="836"/>
      <c r="AP703" s="836"/>
      <c r="AQ703" s="836"/>
      <c r="AR703" s="836"/>
      <c r="AS703" s="836"/>
      <c r="AT703" s="836"/>
      <c r="AU703" s="836"/>
      <c r="AV703" s="836"/>
      <c r="AW703" s="836"/>
      <c r="AX703" s="836"/>
      <c r="AY703" s="836"/>
      <c r="AZ703" s="836"/>
      <c r="BA703" s="836"/>
      <c r="BB703" s="836"/>
      <c r="BC703" s="836"/>
      <c r="BD703" s="836"/>
      <c r="BE703" s="836"/>
      <c r="BF703" s="836"/>
      <c r="BG703" s="836"/>
      <c r="BH703" s="836"/>
      <c r="BI703" s="836"/>
      <c r="BJ703" s="836"/>
      <c r="BK703" s="836"/>
      <c r="BL703" s="836"/>
      <c r="BM703" s="836"/>
      <c r="BN703" s="836"/>
      <c r="BO703" s="836"/>
      <c r="BP703" s="836"/>
      <c r="BR703" s="838"/>
      <c r="BS703" s="838"/>
      <c r="BT703" s="838"/>
      <c r="BU703" s="838"/>
      <c r="BV703" s="838"/>
      <c r="BW703" s="838"/>
      <c r="BX703" s="838"/>
      <c r="BY703" s="838"/>
      <c r="BZ703" s="838"/>
      <c r="CA703" s="838"/>
      <c r="CB703" s="838"/>
      <c r="CC703" s="838"/>
      <c r="CD703" s="838"/>
      <c r="CE703" s="838"/>
      <c r="CF703" s="838"/>
      <c r="CG703" s="838"/>
      <c r="CH703" s="838"/>
      <c r="CI703" s="838"/>
      <c r="CJ703" s="838"/>
      <c r="CK703" s="838"/>
      <c r="CL703" s="838"/>
      <c r="CM703" s="838"/>
      <c r="CN703" s="838"/>
      <c r="CO703" s="838"/>
      <c r="CP703" s="838"/>
      <c r="CQ703" s="838"/>
      <c r="CR703" s="838"/>
      <c r="CS703" s="838"/>
      <c r="CT703" s="838"/>
      <c r="CU703" s="838"/>
    </row>
    <row r="704">
      <c r="A704" s="860"/>
      <c r="B704" s="860"/>
      <c r="C704" s="860"/>
      <c r="D704" s="860"/>
      <c r="E704" s="860"/>
      <c r="F704" s="860"/>
      <c r="G704" s="860"/>
      <c r="H704" s="860"/>
      <c r="I704" s="860"/>
      <c r="J704" s="860"/>
      <c r="K704" s="860"/>
      <c r="L704" s="860"/>
      <c r="M704" s="860"/>
      <c r="N704" s="860"/>
      <c r="O704" s="860"/>
      <c r="P704" s="860"/>
      <c r="Q704" s="860"/>
      <c r="R704" s="860"/>
      <c r="S704" s="860"/>
      <c r="T704" s="860"/>
      <c r="U704" s="860"/>
      <c r="V704" s="860"/>
      <c r="W704" s="860"/>
      <c r="X704" s="860"/>
      <c r="Y704" s="860"/>
      <c r="Z704" s="860"/>
      <c r="AA704" s="860"/>
      <c r="AB704" s="860"/>
      <c r="AC704" s="860"/>
      <c r="AD704" s="860"/>
      <c r="AE704" s="860"/>
      <c r="AF704" s="860"/>
      <c r="AG704" s="860"/>
      <c r="AH704" s="860"/>
      <c r="AJ704" s="836"/>
      <c r="AK704" s="836"/>
      <c r="AL704" s="836"/>
      <c r="AM704" s="836"/>
      <c r="AN704" s="836"/>
      <c r="AO704" s="836"/>
      <c r="AP704" s="836"/>
      <c r="AQ704" s="836"/>
      <c r="AR704" s="836"/>
      <c r="AS704" s="836"/>
      <c r="AT704" s="836"/>
      <c r="AU704" s="836"/>
      <c r="AV704" s="836"/>
      <c r="AW704" s="836"/>
      <c r="AX704" s="836"/>
      <c r="AY704" s="836"/>
      <c r="AZ704" s="836"/>
      <c r="BA704" s="836"/>
      <c r="BB704" s="836"/>
      <c r="BC704" s="836"/>
      <c r="BD704" s="836"/>
      <c r="BE704" s="836"/>
      <c r="BF704" s="836"/>
      <c r="BG704" s="836"/>
      <c r="BH704" s="836"/>
      <c r="BI704" s="836"/>
      <c r="BJ704" s="836"/>
      <c r="BK704" s="836"/>
      <c r="BL704" s="836"/>
      <c r="BM704" s="836"/>
      <c r="BN704" s="836"/>
      <c r="BO704" s="836"/>
      <c r="BP704" s="836"/>
      <c r="BR704" s="838"/>
      <c r="BS704" s="838"/>
      <c r="BT704" s="838"/>
      <c r="BU704" s="838"/>
      <c r="BV704" s="838"/>
      <c r="BW704" s="838"/>
      <c r="BX704" s="838"/>
      <c r="BY704" s="838"/>
      <c r="BZ704" s="838"/>
      <c r="CA704" s="838"/>
      <c r="CB704" s="838"/>
      <c r="CC704" s="838"/>
      <c r="CD704" s="838"/>
      <c r="CE704" s="838"/>
      <c r="CF704" s="838"/>
      <c r="CG704" s="838"/>
      <c r="CH704" s="838"/>
      <c r="CI704" s="838"/>
      <c r="CJ704" s="838"/>
      <c r="CK704" s="838"/>
      <c r="CL704" s="838"/>
      <c r="CM704" s="838"/>
      <c r="CN704" s="838"/>
      <c r="CO704" s="838"/>
      <c r="CP704" s="838"/>
      <c r="CQ704" s="838"/>
      <c r="CR704" s="838"/>
      <c r="CS704" s="838"/>
      <c r="CT704" s="838"/>
      <c r="CU704" s="838"/>
    </row>
    <row r="705">
      <c r="A705" s="860"/>
      <c r="B705" s="860"/>
      <c r="C705" s="860"/>
      <c r="D705" s="860"/>
      <c r="E705" s="860"/>
      <c r="F705" s="860"/>
      <c r="G705" s="860"/>
      <c r="H705" s="860"/>
      <c r="I705" s="860"/>
      <c r="J705" s="860"/>
      <c r="K705" s="860"/>
      <c r="L705" s="860"/>
      <c r="M705" s="860"/>
      <c r="N705" s="860"/>
      <c r="O705" s="860"/>
      <c r="P705" s="860"/>
      <c r="Q705" s="860"/>
      <c r="R705" s="860"/>
      <c r="S705" s="860"/>
      <c r="T705" s="860"/>
      <c r="U705" s="860"/>
      <c r="V705" s="860"/>
      <c r="W705" s="860"/>
      <c r="X705" s="860"/>
      <c r="Y705" s="860"/>
      <c r="Z705" s="860"/>
      <c r="AA705" s="860"/>
      <c r="AB705" s="860"/>
      <c r="AC705" s="860"/>
      <c r="AD705" s="860"/>
      <c r="AE705" s="860"/>
      <c r="AF705" s="860"/>
      <c r="AG705" s="860"/>
      <c r="AH705" s="860"/>
      <c r="AJ705" s="836"/>
      <c r="AK705" s="836"/>
      <c r="AL705" s="836"/>
      <c r="AM705" s="836"/>
      <c r="AN705" s="836"/>
      <c r="AO705" s="836"/>
      <c r="AP705" s="836"/>
      <c r="AQ705" s="836"/>
      <c r="AR705" s="836"/>
      <c r="AS705" s="836"/>
      <c r="AT705" s="836"/>
      <c r="AU705" s="836"/>
      <c r="AV705" s="836"/>
      <c r="AW705" s="836"/>
      <c r="AX705" s="836"/>
      <c r="AY705" s="836"/>
      <c r="AZ705" s="836"/>
      <c r="BA705" s="836"/>
      <c r="BB705" s="836"/>
      <c r="BC705" s="836"/>
      <c r="BD705" s="836"/>
      <c r="BE705" s="836"/>
      <c r="BF705" s="836"/>
      <c r="BG705" s="836"/>
      <c r="BH705" s="836"/>
      <c r="BI705" s="836"/>
      <c r="BJ705" s="836"/>
      <c r="BK705" s="836"/>
      <c r="BL705" s="836"/>
      <c r="BM705" s="836"/>
      <c r="BN705" s="836"/>
      <c r="BO705" s="836"/>
      <c r="BP705" s="836"/>
      <c r="BR705" s="838"/>
      <c r="BS705" s="838"/>
      <c r="BT705" s="838"/>
      <c r="BU705" s="838"/>
      <c r="BV705" s="838"/>
      <c r="BW705" s="838"/>
      <c r="BX705" s="838"/>
      <c r="BY705" s="838"/>
      <c r="BZ705" s="838"/>
      <c r="CA705" s="838"/>
      <c r="CB705" s="838"/>
      <c r="CC705" s="838"/>
      <c r="CD705" s="838"/>
      <c r="CE705" s="838"/>
      <c r="CF705" s="838"/>
      <c r="CG705" s="838"/>
      <c r="CH705" s="838"/>
      <c r="CI705" s="838"/>
      <c r="CJ705" s="838"/>
      <c r="CK705" s="838"/>
      <c r="CL705" s="838"/>
      <c r="CM705" s="838"/>
      <c r="CN705" s="838"/>
      <c r="CO705" s="838"/>
      <c r="CP705" s="838"/>
      <c r="CQ705" s="838"/>
      <c r="CR705" s="838"/>
      <c r="CS705" s="838"/>
      <c r="CT705" s="838"/>
      <c r="CU705" s="838"/>
    </row>
    <row r="706">
      <c r="A706" s="860"/>
      <c r="B706" s="860"/>
      <c r="C706" s="860"/>
      <c r="D706" s="860"/>
      <c r="E706" s="860"/>
      <c r="F706" s="860"/>
      <c r="G706" s="860"/>
      <c r="H706" s="860"/>
      <c r="I706" s="860"/>
      <c r="J706" s="860"/>
      <c r="K706" s="860"/>
      <c r="L706" s="860"/>
      <c r="M706" s="860"/>
      <c r="N706" s="860"/>
      <c r="O706" s="860"/>
      <c r="P706" s="860"/>
      <c r="Q706" s="860"/>
      <c r="R706" s="860"/>
      <c r="S706" s="860"/>
      <c r="T706" s="860"/>
      <c r="U706" s="860"/>
      <c r="V706" s="860"/>
      <c r="W706" s="860"/>
      <c r="X706" s="860"/>
      <c r="Y706" s="860"/>
      <c r="Z706" s="860"/>
      <c r="AA706" s="860"/>
      <c r="AB706" s="860"/>
      <c r="AC706" s="860"/>
      <c r="AD706" s="860"/>
      <c r="AE706" s="860"/>
      <c r="AF706" s="860"/>
      <c r="AG706" s="860"/>
      <c r="AH706" s="860"/>
      <c r="AJ706" s="836"/>
      <c r="AK706" s="836"/>
      <c r="AL706" s="836"/>
      <c r="AM706" s="836"/>
      <c r="AN706" s="836"/>
      <c r="AO706" s="836"/>
      <c r="AP706" s="836"/>
      <c r="AQ706" s="836"/>
      <c r="AR706" s="836"/>
      <c r="AS706" s="836"/>
      <c r="AT706" s="836"/>
      <c r="AU706" s="836"/>
      <c r="AV706" s="836"/>
      <c r="AW706" s="836"/>
      <c r="AX706" s="836"/>
      <c r="AY706" s="836"/>
      <c r="AZ706" s="836"/>
      <c r="BA706" s="836"/>
      <c r="BB706" s="836"/>
      <c r="BC706" s="836"/>
      <c r="BD706" s="836"/>
      <c r="BE706" s="836"/>
      <c r="BF706" s="836"/>
      <c r="BG706" s="836"/>
      <c r="BH706" s="836"/>
      <c r="BI706" s="836"/>
      <c r="BJ706" s="836"/>
      <c r="BK706" s="836"/>
      <c r="BL706" s="836"/>
      <c r="BM706" s="836"/>
      <c r="BN706" s="836"/>
      <c r="BO706" s="836"/>
      <c r="BP706" s="836"/>
      <c r="BR706" s="838"/>
      <c r="BS706" s="838"/>
      <c r="BT706" s="838"/>
      <c r="BU706" s="838"/>
      <c r="BV706" s="838"/>
      <c r="BW706" s="838"/>
      <c r="BX706" s="838"/>
      <c r="BY706" s="838"/>
      <c r="BZ706" s="838"/>
      <c r="CA706" s="838"/>
      <c r="CB706" s="838"/>
      <c r="CC706" s="838"/>
      <c r="CD706" s="838"/>
      <c r="CE706" s="838"/>
      <c r="CF706" s="838"/>
      <c r="CG706" s="838"/>
      <c r="CH706" s="838"/>
      <c r="CI706" s="838"/>
      <c r="CJ706" s="838"/>
      <c r="CK706" s="838"/>
      <c r="CL706" s="838"/>
      <c r="CM706" s="838"/>
      <c r="CN706" s="838"/>
      <c r="CO706" s="838"/>
      <c r="CP706" s="838"/>
      <c r="CQ706" s="838"/>
      <c r="CR706" s="838"/>
      <c r="CS706" s="838"/>
      <c r="CT706" s="838"/>
      <c r="CU706" s="838"/>
    </row>
    <row r="707">
      <c r="A707" s="860"/>
      <c r="B707" s="860"/>
      <c r="C707" s="860"/>
      <c r="D707" s="860"/>
      <c r="E707" s="860"/>
      <c r="F707" s="860"/>
      <c r="G707" s="860"/>
      <c r="H707" s="860"/>
      <c r="I707" s="860"/>
      <c r="J707" s="860"/>
      <c r="K707" s="860"/>
      <c r="L707" s="860"/>
      <c r="M707" s="860"/>
      <c r="N707" s="860"/>
      <c r="O707" s="860"/>
      <c r="P707" s="860"/>
      <c r="Q707" s="860"/>
      <c r="R707" s="860"/>
      <c r="S707" s="860"/>
      <c r="T707" s="860"/>
      <c r="U707" s="860"/>
      <c r="V707" s="860"/>
      <c r="W707" s="860"/>
      <c r="X707" s="860"/>
      <c r="Y707" s="860"/>
      <c r="Z707" s="860"/>
      <c r="AA707" s="860"/>
      <c r="AB707" s="860"/>
      <c r="AC707" s="860"/>
      <c r="AD707" s="860"/>
      <c r="AE707" s="860"/>
      <c r="AF707" s="860"/>
      <c r="AG707" s="860"/>
      <c r="AH707" s="860"/>
      <c r="AJ707" s="836"/>
      <c r="AK707" s="836"/>
      <c r="AL707" s="836"/>
      <c r="AM707" s="836"/>
      <c r="AN707" s="836"/>
      <c r="AO707" s="836"/>
      <c r="AP707" s="836"/>
      <c r="AQ707" s="836"/>
      <c r="AR707" s="836"/>
      <c r="AS707" s="836"/>
      <c r="AT707" s="836"/>
      <c r="AU707" s="836"/>
      <c r="AV707" s="836"/>
      <c r="AW707" s="836"/>
      <c r="AX707" s="836"/>
      <c r="AY707" s="836"/>
      <c r="AZ707" s="836"/>
      <c r="BA707" s="836"/>
      <c r="BB707" s="836"/>
      <c r="BC707" s="836"/>
      <c r="BD707" s="836"/>
      <c r="BE707" s="836"/>
      <c r="BF707" s="836"/>
      <c r="BG707" s="836"/>
      <c r="BH707" s="836"/>
      <c r="BI707" s="836"/>
      <c r="BJ707" s="836"/>
      <c r="BK707" s="836"/>
      <c r="BL707" s="836"/>
      <c r="BM707" s="836"/>
      <c r="BN707" s="836"/>
      <c r="BO707" s="836"/>
      <c r="BP707" s="836"/>
      <c r="BR707" s="838"/>
      <c r="BS707" s="838"/>
      <c r="BT707" s="838"/>
      <c r="BU707" s="838"/>
      <c r="BV707" s="838"/>
      <c r="BW707" s="838"/>
      <c r="BX707" s="838"/>
      <c r="BY707" s="838"/>
      <c r="BZ707" s="838"/>
      <c r="CA707" s="838"/>
      <c r="CB707" s="838"/>
      <c r="CC707" s="838"/>
      <c r="CD707" s="838"/>
      <c r="CE707" s="838"/>
      <c r="CF707" s="838"/>
      <c r="CG707" s="838"/>
      <c r="CH707" s="838"/>
      <c r="CI707" s="838"/>
      <c r="CJ707" s="838"/>
      <c r="CK707" s="838"/>
      <c r="CL707" s="838"/>
      <c r="CM707" s="838"/>
      <c r="CN707" s="838"/>
      <c r="CO707" s="838"/>
      <c r="CP707" s="838"/>
      <c r="CQ707" s="838"/>
      <c r="CR707" s="838"/>
      <c r="CS707" s="838"/>
      <c r="CT707" s="838"/>
      <c r="CU707" s="838"/>
    </row>
    <row r="708">
      <c r="A708" s="860"/>
      <c r="B708" s="860"/>
      <c r="C708" s="860"/>
      <c r="D708" s="860"/>
      <c r="E708" s="860"/>
      <c r="F708" s="860"/>
      <c r="G708" s="860"/>
      <c r="H708" s="860"/>
      <c r="I708" s="860"/>
      <c r="J708" s="860"/>
      <c r="K708" s="860"/>
      <c r="L708" s="860"/>
      <c r="M708" s="860"/>
      <c r="N708" s="860"/>
      <c r="O708" s="860"/>
      <c r="P708" s="860"/>
      <c r="Q708" s="860"/>
      <c r="R708" s="860"/>
      <c r="S708" s="860"/>
      <c r="T708" s="860"/>
      <c r="U708" s="860"/>
      <c r="V708" s="860"/>
      <c r="W708" s="860"/>
      <c r="X708" s="860"/>
      <c r="Y708" s="860"/>
      <c r="Z708" s="860"/>
      <c r="AA708" s="860"/>
      <c r="AB708" s="860"/>
      <c r="AC708" s="860"/>
      <c r="AD708" s="860"/>
      <c r="AE708" s="860"/>
      <c r="AF708" s="860"/>
      <c r="AG708" s="860"/>
      <c r="AH708" s="860"/>
      <c r="AJ708" s="836"/>
      <c r="AK708" s="836"/>
      <c r="AL708" s="836"/>
      <c r="AM708" s="836"/>
      <c r="AN708" s="836"/>
      <c r="AO708" s="836"/>
      <c r="AP708" s="836"/>
      <c r="AQ708" s="836"/>
      <c r="AR708" s="836"/>
      <c r="AS708" s="836"/>
      <c r="AT708" s="836"/>
      <c r="AU708" s="836"/>
      <c r="AV708" s="836"/>
      <c r="AW708" s="836"/>
      <c r="AX708" s="836"/>
      <c r="AY708" s="836"/>
      <c r="AZ708" s="836"/>
      <c r="BA708" s="836"/>
      <c r="BB708" s="836"/>
      <c r="BC708" s="836"/>
      <c r="BD708" s="836"/>
      <c r="BE708" s="836"/>
      <c r="BF708" s="836"/>
      <c r="BG708" s="836"/>
      <c r="BH708" s="836"/>
      <c r="BI708" s="836"/>
      <c r="BJ708" s="836"/>
      <c r="BK708" s="836"/>
      <c r="BL708" s="836"/>
      <c r="BM708" s="836"/>
      <c r="BN708" s="836"/>
      <c r="BO708" s="836"/>
      <c r="BP708" s="836"/>
      <c r="BR708" s="838"/>
      <c r="BS708" s="838"/>
      <c r="BT708" s="838"/>
      <c r="BU708" s="838"/>
      <c r="BV708" s="838"/>
      <c r="BW708" s="838"/>
      <c r="BX708" s="838"/>
      <c r="BY708" s="838"/>
      <c r="BZ708" s="838"/>
      <c r="CA708" s="838"/>
      <c r="CB708" s="838"/>
      <c r="CC708" s="838"/>
      <c r="CD708" s="838"/>
      <c r="CE708" s="838"/>
      <c r="CF708" s="838"/>
      <c r="CG708" s="838"/>
      <c r="CH708" s="838"/>
      <c r="CI708" s="838"/>
      <c r="CJ708" s="838"/>
      <c r="CK708" s="838"/>
      <c r="CL708" s="838"/>
      <c r="CM708" s="838"/>
      <c r="CN708" s="838"/>
      <c r="CO708" s="838"/>
      <c r="CP708" s="838"/>
      <c r="CQ708" s="838"/>
      <c r="CR708" s="838"/>
      <c r="CS708" s="838"/>
      <c r="CT708" s="838"/>
      <c r="CU708" s="838"/>
    </row>
    <row r="709">
      <c r="A709" s="860"/>
      <c r="B709" s="860"/>
      <c r="C709" s="860"/>
      <c r="D709" s="860"/>
      <c r="E709" s="860"/>
      <c r="F709" s="860"/>
      <c r="G709" s="860"/>
      <c r="H709" s="860"/>
      <c r="I709" s="860"/>
      <c r="J709" s="860"/>
      <c r="K709" s="860"/>
      <c r="L709" s="860"/>
      <c r="M709" s="860"/>
      <c r="N709" s="860"/>
      <c r="O709" s="860"/>
      <c r="P709" s="860"/>
      <c r="Q709" s="860"/>
      <c r="R709" s="860"/>
      <c r="S709" s="860"/>
      <c r="T709" s="860"/>
      <c r="U709" s="860"/>
      <c r="V709" s="860"/>
      <c r="W709" s="860"/>
      <c r="X709" s="860"/>
      <c r="Y709" s="860"/>
      <c r="Z709" s="860"/>
      <c r="AA709" s="860"/>
      <c r="AB709" s="860"/>
      <c r="AC709" s="860"/>
      <c r="AD709" s="860"/>
      <c r="AE709" s="860"/>
      <c r="AF709" s="860"/>
      <c r="AG709" s="860"/>
      <c r="AH709" s="860"/>
      <c r="AJ709" s="836"/>
      <c r="AK709" s="836"/>
      <c r="AL709" s="836"/>
      <c r="AM709" s="836"/>
      <c r="AN709" s="836"/>
      <c r="AO709" s="836"/>
      <c r="AP709" s="836"/>
      <c r="AQ709" s="836"/>
      <c r="AR709" s="836"/>
      <c r="AS709" s="836"/>
      <c r="AT709" s="836"/>
      <c r="AU709" s="836"/>
      <c r="AV709" s="836"/>
      <c r="AW709" s="836"/>
      <c r="AX709" s="836"/>
      <c r="AY709" s="836"/>
      <c r="AZ709" s="836"/>
      <c r="BA709" s="836"/>
      <c r="BB709" s="836"/>
      <c r="BC709" s="836"/>
      <c r="BD709" s="836"/>
      <c r="BE709" s="836"/>
      <c r="BF709" s="836"/>
      <c r="BG709" s="836"/>
      <c r="BH709" s="836"/>
      <c r="BI709" s="836"/>
      <c r="BJ709" s="836"/>
      <c r="BK709" s="836"/>
      <c r="BL709" s="836"/>
      <c r="BM709" s="836"/>
      <c r="BN709" s="836"/>
      <c r="BO709" s="836"/>
      <c r="BP709" s="836"/>
      <c r="BR709" s="838"/>
      <c r="BS709" s="838"/>
      <c r="BT709" s="838"/>
      <c r="BU709" s="838"/>
      <c r="BV709" s="838"/>
      <c r="BW709" s="838"/>
      <c r="BX709" s="838"/>
      <c r="BY709" s="838"/>
      <c r="BZ709" s="838"/>
      <c r="CA709" s="838"/>
      <c r="CB709" s="838"/>
      <c r="CC709" s="838"/>
      <c r="CD709" s="838"/>
      <c r="CE709" s="838"/>
      <c r="CF709" s="838"/>
      <c r="CG709" s="838"/>
      <c r="CH709" s="838"/>
      <c r="CI709" s="838"/>
      <c r="CJ709" s="838"/>
      <c r="CK709" s="838"/>
      <c r="CL709" s="838"/>
      <c r="CM709" s="838"/>
      <c r="CN709" s="838"/>
      <c r="CO709" s="838"/>
      <c r="CP709" s="838"/>
      <c r="CQ709" s="838"/>
      <c r="CR709" s="838"/>
      <c r="CS709" s="838"/>
      <c r="CT709" s="838"/>
      <c r="CU709" s="838"/>
    </row>
    <row r="710">
      <c r="A710" s="860"/>
      <c r="B710" s="860"/>
      <c r="C710" s="860"/>
      <c r="D710" s="860"/>
      <c r="E710" s="860"/>
      <c r="F710" s="860"/>
      <c r="G710" s="860"/>
      <c r="H710" s="860"/>
      <c r="I710" s="860"/>
      <c r="J710" s="860"/>
      <c r="K710" s="860"/>
      <c r="L710" s="860"/>
      <c r="M710" s="860"/>
      <c r="N710" s="860"/>
      <c r="O710" s="860"/>
      <c r="P710" s="860"/>
      <c r="Q710" s="860"/>
      <c r="R710" s="860"/>
      <c r="S710" s="860"/>
      <c r="T710" s="860"/>
      <c r="U710" s="860"/>
      <c r="V710" s="860"/>
      <c r="W710" s="860"/>
      <c r="X710" s="860"/>
      <c r="Y710" s="860"/>
      <c r="Z710" s="860"/>
      <c r="AA710" s="860"/>
      <c r="AB710" s="860"/>
      <c r="AC710" s="860"/>
      <c r="AD710" s="860"/>
      <c r="AE710" s="860"/>
      <c r="AF710" s="860"/>
      <c r="AG710" s="860"/>
      <c r="AH710" s="860"/>
      <c r="AJ710" s="836"/>
      <c r="AK710" s="836"/>
      <c r="AL710" s="836"/>
      <c r="AM710" s="836"/>
      <c r="AN710" s="836"/>
      <c r="AO710" s="836"/>
      <c r="AP710" s="836"/>
      <c r="AQ710" s="836"/>
      <c r="AR710" s="836"/>
      <c r="AS710" s="836"/>
      <c r="AT710" s="836"/>
      <c r="AU710" s="836"/>
      <c r="AV710" s="836"/>
      <c r="AW710" s="836"/>
      <c r="AX710" s="836"/>
      <c r="AY710" s="836"/>
      <c r="AZ710" s="836"/>
      <c r="BA710" s="836"/>
      <c r="BB710" s="836"/>
      <c r="BC710" s="836"/>
      <c r="BD710" s="836"/>
      <c r="BE710" s="836"/>
      <c r="BF710" s="836"/>
      <c r="BG710" s="836"/>
      <c r="BH710" s="836"/>
      <c r="BI710" s="836"/>
      <c r="BJ710" s="836"/>
      <c r="BK710" s="836"/>
      <c r="BL710" s="836"/>
      <c r="BM710" s="836"/>
      <c r="BN710" s="836"/>
      <c r="BO710" s="836"/>
      <c r="BP710" s="836"/>
      <c r="BR710" s="838"/>
      <c r="BS710" s="838"/>
      <c r="BT710" s="838"/>
      <c r="BU710" s="838"/>
      <c r="BV710" s="838"/>
      <c r="BW710" s="838"/>
      <c r="BX710" s="838"/>
      <c r="BY710" s="838"/>
      <c r="BZ710" s="838"/>
      <c r="CA710" s="838"/>
      <c r="CB710" s="838"/>
      <c r="CC710" s="838"/>
      <c r="CD710" s="838"/>
      <c r="CE710" s="838"/>
      <c r="CF710" s="838"/>
      <c r="CG710" s="838"/>
      <c r="CH710" s="838"/>
      <c r="CI710" s="838"/>
      <c r="CJ710" s="838"/>
      <c r="CK710" s="838"/>
      <c r="CL710" s="838"/>
      <c r="CM710" s="838"/>
      <c r="CN710" s="838"/>
      <c r="CO710" s="838"/>
      <c r="CP710" s="838"/>
      <c r="CQ710" s="838"/>
      <c r="CR710" s="838"/>
      <c r="CS710" s="838"/>
      <c r="CT710" s="838"/>
      <c r="CU710" s="838"/>
    </row>
    <row r="711">
      <c r="A711" s="860"/>
      <c r="B711" s="860"/>
      <c r="C711" s="860"/>
      <c r="D711" s="860"/>
      <c r="E711" s="860"/>
      <c r="F711" s="860"/>
      <c r="G711" s="860"/>
      <c r="H711" s="860"/>
      <c r="I711" s="860"/>
      <c r="J711" s="860"/>
      <c r="K711" s="860"/>
      <c r="L711" s="860"/>
      <c r="M711" s="860"/>
      <c r="N711" s="860"/>
      <c r="O711" s="860"/>
      <c r="P711" s="860"/>
      <c r="Q711" s="860"/>
      <c r="R711" s="860"/>
      <c r="S711" s="860"/>
      <c r="T711" s="860"/>
      <c r="U711" s="860"/>
      <c r="V711" s="860"/>
      <c r="W711" s="860"/>
      <c r="X711" s="860"/>
      <c r="Y711" s="860"/>
      <c r="Z711" s="860"/>
      <c r="AA711" s="860"/>
      <c r="AB711" s="860"/>
      <c r="AC711" s="860"/>
      <c r="AD711" s="860"/>
      <c r="AE711" s="860"/>
      <c r="AF711" s="860"/>
      <c r="AG711" s="860"/>
      <c r="AH711" s="860"/>
      <c r="AJ711" s="836"/>
      <c r="AK711" s="836"/>
      <c r="AL711" s="836"/>
      <c r="AM711" s="836"/>
      <c r="AN711" s="836"/>
      <c r="AO711" s="836"/>
      <c r="AP711" s="836"/>
      <c r="AQ711" s="836"/>
      <c r="AR711" s="836"/>
      <c r="AS711" s="836"/>
      <c r="AT711" s="836"/>
      <c r="AU711" s="836"/>
      <c r="AV711" s="836"/>
      <c r="AW711" s="836"/>
      <c r="AX711" s="836"/>
      <c r="AY711" s="836"/>
      <c r="AZ711" s="836"/>
      <c r="BA711" s="836"/>
      <c r="BB711" s="836"/>
      <c r="BC711" s="836"/>
      <c r="BD711" s="836"/>
      <c r="BE711" s="836"/>
      <c r="BF711" s="836"/>
      <c r="BG711" s="836"/>
      <c r="BH711" s="836"/>
      <c r="BI711" s="836"/>
      <c r="BJ711" s="836"/>
      <c r="BK711" s="836"/>
      <c r="BL711" s="836"/>
      <c r="BM711" s="836"/>
      <c r="BN711" s="836"/>
      <c r="BO711" s="836"/>
      <c r="BP711" s="836"/>
      <c r="BR711" s="838"/>
      <c r="BS711" s="838"/>
      <c r="BT711" s="838"/>
      <c r="BU711" s="838"/>
      <c r="BV711" s="838"/>
      <c r="BW711" s="838"/>
      <c r="BX711" s="838"/>
      <c r="BY711" s="838"/>
      <c r="BZ711" s="838"/>
      <c r="CA711" s="838"/>
      <c r="CB711" s="838"/>
      <c r="CC711" s="838"/>
      <c r="CD711" s="838"/>
      <c r="CE711" s="838"/>
      <c r="CF711" s="838"/>
      <c r="CG711" s="838"/>
      <c r="CH711" s="838"/>
      <c r="CI711" s="838"/>
      <c r="CJ711" s="838"/>
      <c r="CK711" s="838"/>
      <c r="CL711" s="838"/>
      <c r="CM711" s="838"/>
      <c r="CN711" s="838"/>
      <c r="CO711" s="838"/>
      <c r="CP711" s="838"/>
      <c r="CQ711" s="838"/>
      <c r="CR711" s="838"/>
      <c r="CS711" s="838"/>
      <c r="CT711" s="838"/>
      <c r="CU711" s="838"/>
    </row>
    <row r="712">
      <c r="A712" s="860"/>
      <c r="B712" s="860"/>
      <c r="C712" s="860"/>
      <c r="D712" s="860"/>
      <c r="E712" s="860"/>
      <c r="F712" s="860"/>
      <c r="G712" s="860"/>
      <c r="H712" s="860"/>
      <c r="I712" s="860"/>
      <c r="J712" s="860"/>
      <c r="K712" s="860"/>
      <c r="L712" s="860"/>
      <c r="M712" s="860"/>
      <c r="N712" s="860"/>
      <c r="O712" s="860"/>
      <c r="P712" s="860"/>
      <c r="Q712" s="860"/>
      <c r="R712" s="860"/>
      <c r="S712" s="860"/>
      <c r="T712" s="860"/>
      <c r="U712" s="860"/>
      <c r="V712" s="860"/>
      <c r="W712" s="860"/>
      <c r="X712" s="860"/>
      <c r="Y712" s="860"/>
      <c r="Z712" s="860"/>
      <c r="AA712" s="860"/>
      <c r="AB712" s="860"/>
      <c r="AC712" s="860"/>
      <c r="AD712" s="860"/>
      <c r="AE712" s="860"/>
      <c r="AF712" s="860"/>
      <c r="AG712" s="860"/>
      <c r="AH712" s="860"/>
      <c r="AJ712" s="836"/>
      <c r="AK712" s="836"/>
      <c r="AL712" s="836"/>
      <c r="AM712" s="836"/>
      <c r="AN712" s="836"/>
      <c r="AO712" s="836"/>
      <c r="AP712" s="836"/>
      <c r="AQ712" s="836"/>
      <c r="AR712" s="836"/>
      <c r="AS712" s="836"/>
      <c r="AT712" s="836"/>
      <c r="AU712" s="836"/>
      <c r="AV712" s="836"/>
      <c r="AW712" s="836"/>
      <c r="AX712" s="836"/>
      <c r="AY712" s="836"/>
      <c r="AZ712" s="836"/>
      <c r="BA712" s="836"/>
      <c r="BB712" s="836"/>
      <c r="BC712" s="836"/>
      <c r="BD712" s="836"/>
      <c r="BE712" s="836"/>
      <c r="BF712" s="836"/>
      <c r="BG712" s="836"/>
      <c r="BH712" s="836"/>
      <c r="BI712" s="836"/>
      <c r="BJ712" s="836"/>
      <c r="BK712" s="836"/>
      <c r="BL712" s="836"/>
      <c r="BM712" s="836"/>
      <c r="BN712" s="836"/>
      <c r="BO712" s="836"/>
      <c r="BP712" s="836"/>
      <c r="BR712" s="838"/>
      <c r="BS712" s="838"/>
      <c r="BT712" s="838"/>
      <c r="BU712" s="838"/>
      <c r="BV712" s="838"/>
      <c r="BW712" s="838"/>
      <c r="BX712" s="838"/>
      <c r="BY712" s="838"/>
      <c r="BZ712" s="838"/>
      <c r="CA712" s="838"/>
      <c r="CB712" s="838"/>
      <c r="CC712" s="838"/>
      <c r="CD712" s="838"/>
      <c r="CE712" s="838"/>
      <c r="CF712" s="838"/>
      <c r="CG712" s="838"/>
      <c r="CH712" s="838"/>
      <c r="CI712" s="838"/>
      <c r="CJ712" s="838"/>
      <c r="CK712" s="838"/>
      <c r="CL712" s="838"/>
      <c r="CM712" s="838"/>
      <c r="CN712" s="838"/>
      <c r="CO712" s="838"/>
      <c r="CP712" s="838"/>
      <c r="CQ712" s="838"/>
      <c r="CR712" s="838"/>
      <c r="CS712" s="838"/>
      <c r="CT712" s="838"/>
      <c r="CU712" s="838"/>
    </row>
    <row r="713">
      <c r="A713" s="860"/>
      <c r="B713" s="860"/>
      <c r="C713" s="860"/>
      <c r="D713" s="860"/>
      <c r="E713" s="860"/>
      <c r="F713" s="860"/>
      <c r="G713" s="860"/>
      <c r="H713" s="860"/>
      <c r="I713" s="860"/>
      <c r="J713" s="860"/>
      <c r="K713" s="860"/>
      <c r="L713" s="860"/>
      <c r="M713" s="860"/>
      <c r="N713" s="860"/>
      <c r="O713" s="860"/>
      <c r="P713" s="860"/>
      <c r="Q713" s="860"/>
      <c r="R713" s="860"/>
      <c r="S713" s="860"/>
      <c r="T713" s="860"/>
      <c r="U713" s="860"/>
      <c r="V713" s="860"/>
      <c r="W713" s="860"/>
      <c r="X713" s="860"/>
      <c r="Y713" s="860"/>
      <c r="Z713" s="860"/>
      <c r="AA713" s="860"/>
      <c r="AB713" s="860"/>
      <c r="AC713" s="860"/>
      <c r="AD713" s="860"/>
      <c r="AE713" s="860"/>
      <c r="AF713" s="860"/>
      <c r="AG713" s="860"/>
      <c r="AH713" s="860"/>
      <c r="AJ713" s="836"/>
      <c r="AK713" s="836"/>
      <c r="AL713" s="836"/>
      <c r="AM713" s="836"/>
      <c r="AN713" s="836"/>
      <c r="AO713" s="836"/>
      <c r="AP713" s="836"/>
      <c r="AQ713" s="836"/>
      <c r="AR713" s="836"/>
      <c r="AS713" s="836"/>
      <c r="AT713" s="836"/>
      <c r="AU713" s="836"/>
      <c r="AV713" s="836"/>
      <c r="AW713" s="836"/>
      <c r="AX713" s="836"/>
      <c r="AY713" s="836"/>
      <c r="AZ713" s="836"/>
      <c r="BA713" s="836"/>
      <c r="BB713" s="836"/>
      <c r="BC713" s="836"/>
      <c r="BD713" s="836"/>
      <c r="BE713" s="836"/>
      <c r="BF713" s="836"/>
      <c r="BG713" s="836"/>
      <c r="BH713" s="836"/>
      <c r="BI713" s="836"/>
      <c r="BJ713" s="836"/>
      <c r="BK713" s="836"/>
      <c r="BL713" s="836"/>
      <c r="BM713" s="836"/>
      <c r="BN713" s="836"/>
      <c r="BO713" s="836"/>
      <c r="BP713" s="836"/>
      <c r="BR713" s="838"/>
      <c r="BS713" s="838"/>
      <c r="BT713" s="838"/>
      <c r="BU713" s="838"/>
      <c r="BV713" s="838"/>
      <c r="BW713" s="838"/>
      <c r="BX713" s="838"/>
      <c r="BY713" s="838"/>
      <c r="BZ713" s="838"/>
      <c r="CA713" s="838"/>
      <c r="CB713" s="838"/>
      <c r="CC713" s="838"/>
      <c r="CD713" s="838"/>
      <c r="CE713" s="838"/>
      <c r="CF713" s="838"/>
      <c r="CG713" s="838"/>
      <c r="CH713" s="838"/>
      <c r="CI713" s="838"/>
      <c r="CJ713" s="838"/>
      <c r="CK713" s="838"/>
      <c r="CL713" s="838"/>
      <c r="CM713" s="838"/>
      <c r="CN713" s="838"/>
      <c r="CO713" s="838"/>
      <c r="CP713" s="838"/>
      <c r="CQ713" s="838"/>
      <c r="CR713" s="838"/>
      <c r="CS713" s="838"/>
      <c r="CT713" s="838"/>
      <c r="CU713" s="838"/>
    </row>
    <row r="714">
      <c r="A714" s="860"/>
      <c r="B714" s="860"/>
      <c r="C714" s="860"/>
      <c r="D714" s="860"/>
      <c r="E714" s="860"/>
      <c r="F714" s="860"/>
      <c r="G714" s="860"/>
      <c r="H714" s="860"/>
      <c r="I714" s="860"/>
      <c r="J714" s="860"/>
      <c r="K714" s="860"/>
      <c r="L714" s="860"/>
      <c r="M714" s="860"/>
      <c r="N714" s="860"/>
      <c r="O714" s="860"/>
      <c r="P714" s="860"/>
      <c r="Q714" s="860"/>
      <c r="R714" s="860"/>
      <c r="S714" s="860"/>
      <c r="T714" s="860"/>
      <c r="U714" s="860"/>
      <c r="V714" s="860"/>
      <c r="W714" s="860"/>
      <c r="X714" s="860"/>
      <c r="Y714" s="860"/>
      <c r="Z714" s="860"/>
      <c r="AA714" s="860"/>
      <c r="AB714" s="860"/>
      <c r="AC714" s="860"/>
      <c r="AD714" s="860"/>
      <c r="AE714" s="860"/>
      <c r="AF714" s="860"/>
      <c r="AG714" s="860"/>
      <c r="AH714" s="860"/>
      <c r="AJ714" s="836"/>
      <c r="AK714" s="836"/>
      <c r="AL714" s="836"/>
      <c r="AM714" s="836"/>
      <c r="AN714" s="836"/>
      <c r="AO714" s="836"/>
      <c r="AP714" s="836"/>
      <c r="AQ714" s="836"/>
      <c r="AR714" s="836"/>
      <c r="AS714" s="836"/>
      <c r="AT714" s="836"/>
      <c r="AU714" s="836"/>
      <c r="AV714" s="836"/>
      <c r="AW714" s="836"/>
      <c r="AX714" s="836"/>
      <c r="AY714" s="836"/>
      <c r="AZ714" s="836"/>
      <c r="BA714" s="836"/>
      <c r="BB714" s="836"/>
      <c r="BC714" s="836"/>
      <c r="BD714" s="836"/>
      <c r="BE714" s="836"/>
      <c r="BF714" s="836"/>
      <c r="BG714" s="836"/>
      <c r="BH714" s="836"/>
      <c r="BI714" s="836"/>
      <c r="BJ714" s="836"/>
      <c r="BK714" s="836"/>
      <c r="BL714" s="836"/>
      <c r="BM714" s="836"/>
      <c r="BN714" s="836"/>
      <c r="BO714" s="836"/>
      <c r="BP714" s="836"/>
      <c r="BR714" s="838"/>
      <c r="BS714" s="838"/>
      <c r="BT714" s="838"/>
      <c r="BU714" s="838"/>
      <c r="BV714" s="838"/>
      <c r="BW714" s="838"/>
      <c r="BX714" s="838"/>
      <c r="BY714" s="838"/>
      <c r="BZ714" s="838"/>
      <c r="CA714" s="838"/>
      <c r="CB714" s="838"/>
      <c r="CC714" s="838"/>
      <c r="CD714" s="838"/>
      <c r="CE714" s="838"/>
      <c r="CF714" s="838"/>
      <c r="CG714" s="838"/>
      <c r="CH714" s="838"/>
      <c r="CI714" s="838"/>
      <c r="CJ714" s="838"/>
      <c r="CK714" s="838"/>
      <c r="CL714" s="838"/>
      <c r="CM714" s="838"/>
      <c r="CN714" s="838"/>
      <c r="CO714" s="838"/>
      <c r="CP714" s="838"/>
      <c r="CQ714" s="838"/>
      <c r="CR714" s="838"/>
      <c r="CS714" s="838"/>
      <c r="CT714" s="838"/>
      <c r="CU714" s="838"/>
    </row>
    <row r="715">
      <c r="A715" s="860"/>
      <c r="B715" s="860"/>
      <c r="C715" s="860"/>
      <c r="D715" s="860"/>
      <c r="E715" s="860"/>
      <c r="F715" s="860"/>
      <c r="G715" s="860"/>
      <c r="H715" s="860"/>
      <c r="I715" s="860"/>
      <c r="J715" s="860"/>
      <c r="K715" s="860"/>
      <c r="L715" s="860"/>
      <c r="M715" s="860"/>
      <c r="N715" s="860"/>
      <c r="O715" s="860"/>
      <c r="P715" s="860"/>
      <c r="Q715" s="860"/>
      <c r="R715" s="860"/>
      <c r="S715" s="860"/>
      <c r="T715" s="860"/>
      <c r="U715" s="860"/>
      <c r="V715" s="860"/>
      <c r="W715" s="860"/>
      <c r="X715" s="860"/>
      <c r="Y715" s="860"/>
      <c r="Z715" s="860"/>
      <c r="AA715" s="860"/>
      <c r="AB715" s="860"/>
      <c r="AC715" s="860"/>
      <c r="AD715" s="860"/>
      <c r="AE715" s="860"/>
      <c r="AF715" s="860"/>
      <c r="AG715" s="860"/>
      <c r="AH715" s="860"/>
      <c r="AJ715" s="836"/>
      <c r="AK715" s="836"/>
      <c r="AL715" s="836"/>
      <c r="AM715" s="836"/>
      <c r="AN715" s="836"/>
      <c r="AO715" s="836"/>
      <c r="AP715" s="836"/>
      <c r="AQ715" s="836"/>
      <c r="AR715" s="836"/>
      <c r="AS715" s="836"/>
      <c r="AT715" s="836"/>
      <c r="AU715" s="836"/>
      <c r="AV715" s="836"/>
      <c r="AW715" s="836"/>
      <c r="AX715" s="836"/>
      <c r="AY715" s="836"/>
      <c r="AZ715" s="836"/>
      <c r="BA715" s="836"/>
      <c r="BB715" s="836"/>
      <c r="BC715" s="836"/>
      <c r="BD715" s="836"/>
      <c r="BE715" s="836"/>
      <c r="BF715" s="836"/>
      <c r="BG715" s="836"/>
      <c r="BH715" s="836"/>
      <c r="BI715" s="836"/>
      <c r="BJ715" s="836"/>
      <c r="BK715" s="836"/>
      <c r="BL715" s="836"/>
      <c r="BM715" s="836"/>
      <c r="BN715" s="836"/>
      <c r="BO715" s="836"/>
      <c r="BP715" s="836"/>
      <c r="BR715" s="838"/>
      <c r="BS715" s="838"/>
      <c r="BT715" s="838"/>
      <c r="BU715" s="838"/>
      <c r="BV715" s="838"/>
      <c r="BW715" s="838"/>
      <c r="BX715" s="838"/>
      <c r="BY715" s="838"/>
      <c r="BZ715" s="838"/>
      <c r="CA715" s="838"/>
      <c r="CB715" s="838"/>
      <c r="CC715" s="838"/>
      <c r="CD715" s="838"/>
      <c r="CE715" s="838"/>
      <c r="CF715" s="838"/>
      <c r="CG715" s="838"/>
      <c r="CH715" s="838"/>
      <c r="CI715" s="838"/>
      <c r="CJ715" s="838"/>
      <c r="CK715" s="838"/>
      <c r="CL715" s="838"/>
      <c r="CM715" s="838"/>
      <c r="CN715" s="838"/>
      <c r="CO715" s="838"/>
      <c r="CP715" s="838"/>
      <c r="CQ715" s="838"/>
      <c r="CR715" s="838"/>
      <c r="CS715" s="838"/>
      <c r="CT715" s="838"/>
      <c r="CU715" s="838"/>
    </row>
    <row r="716">
      <c r="A716" s="860"/>
      <c r="B716" s="860"/>
      <c r="C716" s="860"/>
      <c r="D716" s="860"/>
      <c r="E716" s="860"/>
      <c r="F716" s="860"/>
      <c r="G716" s="860"/>
      <c r="H716" s="860"/>
      <c r="I716" s="860"/>
      <c r="J716" s="860"/>
      <c r="K716" s="860"/>
      <c r="L716" s="860"/>
      <c r="M716" s="860"/>
      <c r="N716" s="860"/>
      <c r="O716" s="860"/>
      <c r="P716" s="860"/>
      <c r="Q716" s="860"/>
      <c r="R716" s="860"/>
      <c r="S716" s="860"/>
      <c r="T716" s="860"/>
      <c r="U716" s="860"/>
      <c r="V716" s="860"/>
      <c r="W716" s="860"/>
      <c r="X716" s="860"/>
      <c r="Y716" s="860"/>
      <c r="Z716" s="860"/>
      <c r="AA716" s="860"/>
      <c r="AB716" s="860"/>
      <c r="AC716" s="860"/>
      <c r="AD716" s="860"/>
      <c r="AE716" s="860"/>
      <c r="AF716" s="860"/>
      <c r="AG716" s="860"/>
      <c r="AH716" s="860"/>
      <c r="AJ716" s="836"/>
      <c r="AK716" s="836"/>
      <c r="AL716" s="836"/>
      <c r="AM716" s="836"/>
      <c r="AN716" s="836"/>
      <c r="AO716" s="836"/>
      <c r="AP716" s="836"/>
      <c r="AQ716" s="836"/>
      <c r="AR716" s="836"/>
      <c r="AS716" s="836"/>
      <c r="AT716" s="836"/>
      <c r="AU716" s="836"/>
      <c r="AV716" s="836"/>
      <c r="AW716" s="836"/>
      <c r="AX716" s="836"/>
      <c r="AY716" s="836"/>
      <c r="AZ716" s="836"/>
      <c r="BA716" s="836"/>
      <c r="BB716" s="836"/>
      <c r="BC716" s="836"/>
      <c r="BD716" s="836"/>
      <c r="BE716" s="836"/>
      <c r="BF716" s="836"/>
      <c r="BG716" s="836"/>
      <c r="BH716" s="836"/>
      <c r="BI716" s="836"/>
      <c r="BJ716" s="836"/>
      <c r="BK716" s="836"/>
      <c r="BL716" s="836"/>
      <c r="BM716" s="836"/>
      <c r="BN716" s="836"/>
      <c r="BO716" s="836"/>
      <c r="BP716" s="836"/>
      <c r="BR716" s="838"/>
      <c r="BS716" s="838"/>
      <c r="BT716" s="838"/>
      <c r="BU716" s="838"/>
      <c r="BV716" s="838"/>
      <c r="BW716" s="838"/>
      <c r="BX716" s="838"/>
      <c r="BY716" s="838"/>
      <c r="BZ716" s="838"/>
      <c r="CA716" s="838"/>
      <c r="CB716" s="838"/>
      <c r="CC716" s="838"/>
      <c r="CD716" s="838"/>
      <c r="CE716" s="838"/>
      <c r="CF716" s="838"/>
      <c r="CG716" s="838"/>
      <c r="CH716" s="838"/>
      <c r="CI716" s="838"/>
      <c r="CJ716" s="838"/>
      <c r="CK716" s="838"/>
      <c r="CL716" s="838"/>
      <c r="CM716" s="838"/>
      <c r="CN716" s="838"/>
      <c r="CO716" s="838"/>
      <c r="CP716" s="838"/>
      <c r="CQ716" s="838"/>
      <c r="CR716" s="838"/>
      <c r="CS716" s="838"/>
      <c r="CT716" s="838"/>
      <c r="CU716" s="838"/>
    </row>
    <row r="717">
      <c r="A717" s="860"/>
      <c r="B717" s="860"/>
      <c r="C717" s="860"/>
      <c r="D717" s="860"/>
      <c r="E717" s="860"/>
      <c r="F717" s="860"/>
      <c r="G717" s="860"/>
      <c r="H717" s="860"/>
      <c r="I717" s="860"/>
      <c r="J717" s="860"/>
      <c r="K717" s="860"/>
      <c r="L717" s="860"/>
      <c r="M717" s="860"/>
      <c r="N717" s="860"/>
      <c r="O717" s="860"/>
      <c r="P717" s="860"/>
      <c r="Q717" s="860"/>
      <c r="R717" s="860"/>
      <c r="S717" s="860"/>
      <c r="T717" s="860"/>
      <c r="U717" s="860"/>
      <c r="V717" s="860"/>
      <c r="W717" s="860"/>
      <c r="X717" s="860"/>
      <c r="Y717" s="860"/>
      <c r="Z717" s="860"/>
      <c r="AA717" s="860"/>
      <c r="AB717" s="860"/>
      <c r="AC717" s="860"/>
      <c r="AD717" s="860"/>
      <c r="AE717" s="860"/>
      <c r="AF717" s="860"/>
      <c r="AG717" s="860"/>
      <c r="AH717" s="860"/>
      <c r="AJ717" s="836"/>
      <c r="AK717" s="836"/>
      <c r="AL717" s="836"/>
      <c r="AM717" s="836"/>
      <c r="AN717" s="836"/>
      <c r="AO717" s="836"/>
      <c r="AP717" s="836"/>
      <c r="AQ717" s="836"/>
      <c r="AR717" s="836"/>
      <c r="AS717" s="836"/>
      <c r="AT717" s="836"/>
      <c r="AU717" s="836"/>
      <c r="AV717" s="836"/>
      <c r="AW717" s="836"/>
      <c r="AX717" s="836"/>
      <c r="AY717" s="836"/>
      <c r="AZ717" s="836"/>
      <c r="BA717" s="836"/>
      <c r="BB717" s="836"/>
      <c r="BC717" s="836"/>
      <c r="BD717" s="836"/>
      <c r="BE717" s="836"/>
      <c r="BF717" s="836"/>
      <c r="BG717" s="836"/>
      <c r="BH717" s="836"/>
      <c r="BI717" s="836"/>
      <c r="BJ717" s="836"/>
      <c r="BK717" s="836"/>
      <c r="BL717" s="836"/>
      <c r="BM717" s="836"/>
      <c r="BN717" s="836"/>
      <c r="BO717" s="836"/>
      <c r="BP717" s="836"/>
      <c r="BR717" s="838"/>
      <c r="BS717" s="838"/>
      <c r="BT717" s="838"/>
      <c r="BU717" s="838"/>
      <c r="BV717" s="838"/>
      <c r="BW717" s="838"/>
      <c r="BX717" s="838"/>
      <c r="BY717" s="838"/>
      <c r="BZ717" s="838"/>
      <c r="CA717" s="838"/>
      <c r="CB717" s="838"/>
      <c r="CC717" s="838"/>
      <c r="CD717" s="838"/>
      <c r="CE717" s="838"/>
      <c r="CF717" s="838"/>
      <c r="CG717" s="838"/>
      <c r="CH717" s="838"/>
      <c r="CI717" s="838"/>
      <c r="CJ717" s="838"/>
      <c r="CK717" s="838"/>
      <c r="CL717" s="838"/>
      <c r="CM717" s="838"/>
      <c r="CN717" s="838"/>
      <c r="CO717" s="838"/>
      <c r="CP717" s="838"/>
      <c r="CQ717" s="838"/>
      <c r="CR717" s="838"/>
      <c r="CS717" s="838"/>
      <c r="CT717" s="838"/>
      <c r="CU717" s="838"/>
    </row>
    <row r="718">
      <c r="A718" s="860"/>
      <c r="B718" s="860"/>
      <c r="C718" s="860"/>
      <c r="D718" s="860"/>
      <c r="E718" s="860"/>
      <c r="F718" s="860"/>
      <c r="G718" s="860"/>
      <c r="H718" s="860"/>
      <c r="I718" s="860"/>
      <c r="J718" s="860"/>
      <c r="K718" s="860"/>
      <c r="L718" s="860"/>
      <c r="M718" s="860"/>
      <c r="N718" s="860"/>
      <c r="O718" s="860"/>
      <c r="P718" s="860"/>
      <c r="Q718" s="860"/>
      <c r="R718" s="860"/>
      <c r="S718" s="860"/>
      <c r="T718" s="860"/>
      <c r="U718" s="860"/>
      <c r="V718" s="860"/>
      <c r="W718" s="860"/>
      <c r="X718" s="860"/>
      <c r="Y718" s="860"/>
      <c r="Z718" s="860"/>
      <c r="AA718" s="860"/>
      <c r="AB718" s="860"/>
      <c r="AC718" s="860"/>
      <c r="AD718" s="860"/>
      <c r="AE718" s="860"/>
      <c r="AF718" s="860"/>
      <c r="AG718" s="860"/>
      <c r="AH718" s="860"/>
      <c r="AJ718" s="836"/>
      <c r="AK718" s="836"/>
      <c r="AL718" s="836"/>
      <c r="AM718" s="836"/>
      <c r="AN718" s="836"/>
      <c r="AO718" s="836"/>
      <c r="AP718" s="836"/>
      <c r="AQ718" s="836"/>
      <c r="AR718" s="836"/>
      <c r="AS718" s="836"/>
      <c r="AT718" s="836"/>
      <c r="AU718" s="836"/>
      <c r="AV718" s="836"/>
      <c r="AW718" s="836"/>
      <c r="AX718" s="836"/>
      <c r="AY718" s="836"/>
      <c r="AZ718" s="836"/>
      <c r="BA718" s="836"/>
      <c r="BB718" s="836"/>
      <c r="BC718" s="836"/>
      <c r="BD718" s="836"/>
      <c r="BE718" s="836"/>
      <c r="BF718" s="836"/>
      <c r="BG718" s="836"/>
      <c r="BH718" s="836"/>
      <c r="BI718" s="836"/>
      <c r="BJ718" s="836"/>
      <c r="BK718" s="836"/>
      <c r="BL718" s="836"/>
      <c r="BM718" s="836"/>
      <c r="BN718" s="836"/>
      <c r="BO718" s="836"/>
      <c r="BP718" s="836"/>
      <c r="BR718" s="838"/>
      <c r="BS718" s="838"/>
      <c r="BT718" s="838"/>
      <c r="BU718" s="838"/>
      <c r="BV718" s="838"/>
      <c r="BW718" s="838"/>
      <c r="BX718" s="838"/>
      <c r="BY718" s="838"/>
      <c r="BZ718" s="838"/>
      <c r="CA718" s="838"/>
      <c r="CB718" s="838"/>
      <c r="CC718" s="838"/>
      <c r="CD718" s="838"/>
      <c r="CE718" s="838"/>
      <c r="CF718" s="838"/>
      <c r="CG718" s="838"/>
      <c r="CH718" s="838"/>
      <c r="CI718" s="838"/>
      <c r="CJ718" s="838"/>
      <c r="CK718" s="838"/>
      <c r="CL718" s="838"/>
      <c r="CM718" s="838"/>
      <c r="CN718" s="838"/>
      <c r="CO718" s="838"/>
      <c r="CP718" s="838"/>
      <c r="CQ718" s="838"/>
      <c r="CR718" s="838"/>
      <c r="CS718" s="838"/>
      <c r="CT718" s="838"/>
      <c r="CU718" s="838"/>
    </row>
    <row r="719">
      <c r="A719" s="860"/>
      <c r="B719" s="860"/>
      <c r="C719" s="860"/>
      <c r="D719" s="860"/>
      <c r="E719" s="860"/>
      <c r="F719" s="860"/>
      <c r="G719" s="860"/>
      <c r="H719" s="860"/>
      <c r="I719" s="860"/>
      <c r="J719" s="860"/>
      <c r="K719" s="860"/>
      <c r="L719" s="860"/>
      <c r="M719" s="860"/>
      <c r="N719" s="860"/>
      <c r="O719" s="860"/>
      <c r="P719" s="860"/>
      <c r="Q719" s="860"/>
      <c r="R719" s="860"/>
      <c r="S719" s="860"/>
      <c r="T719" s="860"/>
      <c r="U719" s="860"/>
      <c r="V719" s="860"/>
      <c r="W719" s="860"/>
      <c r="X719" s="860"/>
      <c r="Y719" s="860"/>
      <c r="Z719" s="860"/>
      <c r="AA719" s="860"/>
      <c r="AB719" s="860"/>
      <c r="AC719" s="860"/>
      <c r="AD719" s="860"/>
      <c r="AE719" s="860"/>
      <c r="AF719" s="860"/>
      <c r="AG719" s="860"/>
      <c r="AH719" s="860"/>
      <c r="AJ719" s="836"/>
      <c r="AK719" s="836"/>
      <c r="AL719" s="836"/>
      <c r="AM719" s="836"/>
      <c r="AN719" s="836"/>
      <c r="AO719" s="836"/>
      <c r="AP719" s="836"/>
      <c r="AQ719" s="836"/>
      <c r="AR719" s="836"/>
      <c r="AS719" s="836"/>
      <c r="AT719" s="836"/>
      <c r="AU719" s="836"/>
      <c r="AV719" s="836"/>
      <c r="AW719" s="836"/>
      <c r="AX719" s="836"/>
      <c r="AY719" s="836"/>
      <c r="AZ719" s="836"/>
      <c r="BA719" s="836"/>
      <c r="BB719" s="836"/>
      <c r="BC719" s="836"/>
      <c r="BD719" s="836"/>
      <c r="BE719" s="836"/>
      <c r="BF719" s="836"/>
      <c r="BG719" s="836"/>
      <c r="BH719" s="836"/>
      <c r="BI719" s="836"/>
      <c r="BJ719" s="836"/>
      <c r="BK719" s="836"/>
      <c r="BL719" s="836"/>
      <c r="BM719" s="836"/>
      <c r="BN719" s="836"/>
      <c r="BO719" s="836"/>
      <c r="BP719" s="836"/>
      <c r="BR719" s="838"/>
      <c r="BS719" s="838"/>
      <c r="BT719" s="838"/>
      <c r="BU719" s="838"/>
      <c r="BV719" s="838"/>
      <c r="BW719" s="838"/>
      <c r="BX719" s="838"/>
      <c r="BY719" s="838"/>
      <c r="BZ719" s="838"/>
      <c r="CA719" s="838"/>
      <c r="CB719" s="838"/>
      <c r="CC719" s="838"/>
      <c r="CD719" s="838"/>
      <c r="CE719" s="838"/>
      <c r="CF719" s="838"/>
      <c r="CG719" s="838"/>
      <c r="CH719" s="838"/>
      <c r="CI719" s="838"/>
      <c r="CJ719" s="838"/>
      <c r="CK719" s="838"/>
      <c r="CL719" s="838"/>
      <c r="CM719" s="838"/>
      <c r="CN719" s="838"/>
      <c r="CO719" s="838"/>
      <c r="CP719" s="838"/>
      <c r="CQ719" s="838"/>
      <c r="CR719" s="838"/>
      <c r="CS719" s="838"/>
      <c r="CT719" s="838"/>
      <c r="CU719" s="838"/>
    </row>
    <row r="720">
      <c r="A720" s="860"/>
      <c r="B720" s="860"/>
      <c r="C720" s="860"/>
      <c r="D720" s="860"/>
      <c r="E720" s="860"/>
      <c r="F720" s="860"/>
      <c r="G720" s="860"/>
      <c r="H720" s="860"/>
      <c r="I720" s="860"/>
      <c r="J720" s="860"/>
      <c r="K720" s="860"/>
      <c r="L720" s="860"/>
      <c r="M720" s="860"/>
      <c r="N720" s="860"/>
      <c r="O720" s="860"/>
      <c r="P720" s="860"/>
      <c r="Q720" s="860"/>
      <c r="R720" s="860"/>
      <c r="S720" s="860"/>
      <c r="T720" s="860"/>
      <c r="U720" s="860"/>
      <c r="V720" s="860"/>
      <c r="W720" s="860"/>
      <c r="X720" s="860"/>
      <c r="Y720" s="860"/>
      <c r="Z720" s="860"/>
      <c r="AA720" s="860"/>
      <c r="AB720" s="860"/>
      <c r="AC720" s="860"/>
      <c r="AD720" s="860"/>
      <c r="AE720" s="860"/>
      <c r="AF720" s="860"/>
      <c r="AG720" s="860"/>
      <c r="AH720" s="860"/>
      <c r="AJ720" s="836"/>
      <c r="AK720" s="836"/>
      <c r="AL720" s="836"/>
      <c r="AM720" s="836"/>
      <c r="AN720" s="836"/>
      <c r="AO720" s="836"/>
      <c r="AP720" s="836"/>
      <c r="AQ720" s="836"/>
      <c r="AR720" s="836"/>
      <c r="AS720" s="836"/>
      <c r="AT720" s="836"/>
      <c r="AU720" s="836"/>
      <c r="AV720" s="836"/>
      <c r="AW720" s="836"/>
      <c r="AX720" s="836"/>
      <c r="AY720" s="836"/>
      <c r="AZ720" s="836"/>
      <c r="BA720" s="836"/>
      <c r="BB720" s="836"/>
      <c r="BC720" s="836"/>
      <c r="BD720" s="836"/>
      <c r="BE720" s="836"/>
      <c r="BF720" s="836"/>
      <c r="BG720" s="836"/>
      <c r="BH720" s="836"/>
      <c r="BI720" s="836"/>
      <c r="BJ720" s="836"/>
      <c r="BK720" s="836"/>
      <c r="BL720" s="836"/>
      <c r="BM720" s="836"/>
      <c r="BN720" s="836"/>
      <c r="BO720" s="836"/>
      <c r="BP720" s="836"/>
      <c r="BR720" s="838"/>
      <c r="BS720" s="838"/>
      <c r="BT720" s="838"/>
      <c r="BU720" s="838"/>
      <c r="BV720" s="838"/>
      <c r="BW720" s="838"/>
      <c r="BX720" s="838"/>
      <c r="BY720" s="838"/>
      <c r="BZ720" s="838"/>
      <c r="CA720" s="838"/>
      <c r="CB720" s="838"/>
      <c r="CC720" s="838"/>
      <c r="CD720" s="838"/>
      <c r="CE720" s="838"/>
      <c r="CF720" s="838"/>
      <c r="CG720" s="838"/>
      <c r="CH720" s="838"/>
      <c r="CI720" s="838"/>
      <c r="CJ720" s="838"/>
      <c r="CK720" s="838"/>
      <c r="CL720" s="838"/>
      <c r="CM720" s="838"/>
      <c r="CN720" s="838"/>
      <c r="CO720" s="838"/>
      <c r="CP720" s="838"/>
      <c r="CQ720" s="838"/>
      <c r="CR720" s="838"/>
      <c r="CS720" s="838"/>
      <c r="CT720" s="838"/>
      <c r="CU720" s="838"/>
    </row>
    <row r="721">
      <c r="A721" s="860"/>
      <c r="B721" s="860"/>
      <c r="C721" s="860"/>
      <c r="D721" s="860"/>
      <c r="E721" s="860"/>
      <c r="F721" s="860"/>
      <c r="G721" s="860"/>
      <c r="H721" s="860"/>
      <c r="I721" s="860"/>
      <c r="J721" s="860"/>
      <c r="K721" s="860"/>
      <c r="L721" s="860"/>
      <c r="M721" s="860"/>
      <c r="N721" s="860"/>
      <c r="O721" s="860"/>
      <c r="P721" s="860"/>
      <c r="Q721" s="860"/>
      <c r="R721" s="860"/>
      <c r="S721" s="860"/>
      <c r="T721" s="860"/>
      <c r="U721" s="860"/>
      <c r="V721" s="860"/>
      <c r="W721" s="860"/>
      <c r="X721" s="860"/>
      <c r="Y721" s="860"/>
      <c r="Z721" s="860"/>
      <c r="AA721" s="860"/>
      <c r="AB721" s="860"/>
      <c r="AC721" s="860"/>
      <c r="AD721" s="860"/>
      <c r="AE721" s="860"/>
      <c r="AF721" s="860"/>
      <c r="AG721" s="860"/>
      <c r="AH721" s="860"/>
      <c r="AJ721" s="836"/>
      <c r="AK721" s="836"/>
      <c r="AL721" s="836"/>
      <c r="AM721" s="836"/>
      <c r="AN721" s="836"/>
      <c r="AO721" s="836"/>
      <c r="AP721" s="836"/>
      <c r="AQ721" s="836"/>
      <c r="AR721" s="836"/>
      <c r="AS721" s="836"/>
      <c r="AT721" s="836"/>
      <c r="AU721" s="836"/>
      <c r="AV721" s="836"/>
      <c r="AW721" s="836"/>
      <c r="AX721" s="836"/>
      <c r="AY721" s="836"/>
      <c r="AZ721" s="836"/>
      <c r="BA721" s="836"/>
      <c r="BB721" s="836"/>
      <c r="BC721" s="836"/>
      <c r="BD721" s="836"/>
      <c r="BE721" s="836"/>
      <c r="BF721" s="836"/>
      <c r="BG721" s="836"/>
      <c r="BH721" s="836"/>
      <c r="BI721" s="836"/>
      <c r="BJ721" s="836"/>
      <c r="BK721" s="836"/>
      <c r="BL721" s="836"/>
      <c r="BM721" s="836"/>
      <c r="BN721" s="836"/>
      <c r="BO721" s="836"/>
      <c r="BP721" s="836"/>
      <c r="BR721" s="838"/>
      <c r="BS721" s="838"/>
      <c r="BT721" s="838"/>
      <c r="BU721" s="838"/>
      <c r="BV721" s="838"/>
      <c r="BW721" s="838"/>
      <c r="BX721" s="838"/>
      <c r="BY721" s="838"/>
      <c r="BZ721" s="838"/>
      <c r="CA721" s="838"/>
      <c r="CB721" s="838"/>
      <c r="CC721" s="838"/>
      <c r="CD721" s="838"/>
      <c r="CE721" s="838"/>
      <c r="CF721" s="838"/>
      <c r="CG721" s="838"/>
      <c r="CH721" s="838"/>
      <c r="CI721" s="838"/>
      <c r="CJ721" s="838"/>
      <c r="CK721" s="838"/>
      <c r="CL721" s="838"/>
      <c r="CM721" s="838"/>
      <c r="CN721" s="838"/>
      <c r="CO721" s="838"/>
      <c r="CP721" s="838"/>
      <c r="CQ721" s="838"/>
      <c r="CR721" s="838"/>
      <c r="CS721" s="838"/>
      <c r="CT721" s="838"/>
      <c r="CU721" s="838"/>
    </row>
    <row r="722">
      <c r="A722" s="860"/>
      <c r="B722" s="860"/>
      <c r="C722" s="860"/>
      <c r="D722" s="860"/>
      <c r="E722" s="860"/>
      <c r="F722" s="860"/>
      <c r="G722" s="860"/>
      <c r="H722" s="860"/>
      <c r="I722" s="860"/>
      <c r="J722" s="860"/>
      <c r="K722" s="860"/>
      <c r="L722" s="860"/>
      <c r="M722" s="860"/>
      <c r="N722" s="860"/>
      <c r="O722" s="860"/>
      <c r="P722" s="860"/>
      <c r="Q722" s="860"/>
      <c r="R722" s="860"/>
      <c r="S722" s="860"/>
      <c r="T722" s="860"/>
      <c r="U722" s="860"/>
      <c r="V722" s="860"/>
      <c r="W722" s="860"/>
      <c r="X722" s="860"/>
      <c r="Y722" s="860"/>
      <c r="Z722" s="860"/>
      <c r="AA722" s="860"/>
      <c r="AB722" s="860"/>
      <c r="AC722" s="860"/>
      <c r="AD722" s="860"/>
      <c r="AE722" s="860"/>
      <c r="AF722" s="860"/>
      <c r="AG722" s="860"/>
      <c r="AH722" s="860"/>
      <c r="AJ722" s="836"/>
      <c r="AK722" s="836"/>
      <c r="AL722" s="836"/>
      <c r="AM722" s="836"/>
      <c r="AN722" s="836"/>
      <c r="AO722" s="836"/>
      <c r="AP722" s="836"/>
      <c r="AQ722" s="836"/>
      <c r="AR722" s="836"/>
      <c r="AS722" s="836"/>
      <c r="AT722" s="836"/>
      <c r="AU722" s="836"/>
      <c r="AV722" s="836"/>
      <c r="AW722" s="836"/>
      <c r="AX722" s="836"/>
      <c r="AY722" s="836"/>
      <c r="AZ722" s="836"/>
      <c r="BA722" s="836"/>
      <c r="BB722" s="836"/>
      <c r="BC722" s="836"/>
      <c r="BD722" s="836"/>
      <c r="BE722" s="836"/>
      <c r="BF722" s="836"/>
      <c r="BG722" s="836"/>
      <c r="BH722" s="836"/>
      <c r="BI722" s="836"/>
      <c r="BJ722" s="836"/>
      <c r="BK722" s="836"/>
      <c r="BL722" s="836"/>
      <c r="BM722" s="836"/>
      <c r="BN722" s="836"/>
      <c r="BO722" s="836"/>
      <c r="BP722" s="836"/>
      <c r="BR722" s="838"/>
      <c r="BS722" s="838"/>
      <c r="BT722" s="838"/>
      <c r="BU722" s="838"/>
      <c r="BV722" s="838"/>
      <c r="BW722" s="838"/>
      <c r="BX722" s="838"/>
      <c r="BY722" s="838"/>
      <c r="BZ722" s="838"/>
      <c r="CA722" s="838"/>
      <c r="CB722" s="838"/>
      <c r="CC722" s="838"/>
      <c r="CD722" s="838"/>
      <c r="CE722" s="838"/>
      <c r="CF722" s="838"/>
      <c r="CG722" s="838"/>
      <c r="CH722" s="838"/>
      <c r="CI722" s="838"/>
      <c r="CJ722" s="838"/>
      <c r="CK722" s="838"/>
      <c r="CL722" s="838"/>
      <c r="CM722" s="838"/>
      <c r="CN722" s="838"/>
      <c r="CO722" s="838"/>
      <c r="CP722" s="838"/>
      <c r="CQ722" s="838"/>
      <c r="CR722" s="838"/>
      <c r="CS722" s="838"/>
      <c r="CT722" s="838"/>
      <c r="CU722" s="838"/>
    </row>
    <row r="723">
      <c r="A723" s="860"/>
      <c r="B723" s="860"/>
      <c r="C723" s="860"/>
      <c r="D723" s="860"/>
      <c r="E723" s="860"/>
      <c r="F723" s="860"/>
      <c r="G723" s="860"/>
      <c r="H723" s="860"/>
      <c r="I723" s="860"/>
      <c r="J723" s="860"/>
      <c r="K723" s="860"/>
      <c r="L723" s="860"/>
      <c r="M723" s="860"/>
      <c r="N723" s="860"/>
      <c r="O723" s="860"/>
      <c r="P723" s="860"/>
      <c r="Q723" s="860"/>
      <c r="R723" s="860"/>
      <c r="S723" s="860"/>
      <c r="T723" s="860"/>
      <c r="U723" s="860"/>
      <c r="V723" s="860"/>
      <c r="W723" s="860"/>
      <c r="X723" s="860"/>
      <c r="Y723" s="860"/>
      <c r="Z723" s="860"/>
      <c r="AA723" s="860"/>
      <c r="AB723" s="860"/>
      <c r="AC723" s="860"/>
      <c r="AD723" s="860"/>
      <c r="AE723" s="860"/>
      <c r="AF723" s="860"/>
      <c r="AG723" s="860"/>
      <c r="AH723" s="860"/>
      <c r="AJ723" s="836"/>
      <c r="AK723" s="836"/>
      <c r="AL723" s="836"/>
      <c r="AM723" s="836"/>
      <c r="AN723" s="836"/>
      <c r="AO723" s="836"/>
      <c r="AP723" s="836"/>
      <c r="AQ723" s="836"/>
      <c r="AR723" s="836"/>
      <c r="AS723" s="836"/>
      <c r="AT723" s="836"/>
      <c r="AU723" s="836"/>
      <c r="AV723" s="836"/>
      <c r="AW723" s="836"/>
      <c r="AX723" s="836"/>
      <c r="AY723" s="836"/>
      <c r="AZ723" s="836"/>
      <c r="BA723" s="836"/>
      <c r="BB723" s="836"/>
      <c r="BC723" s="836"/>
      <c r="BD723" s="836"/>
      <c r="BE723" s="836"/>
      <c r="BF723" s="836"/>
      <c r="BG723" s="836"/>
      <c r="BH723" s="836"/>
      <c r="BI723" s="836"/>
      <c r="BJ723" s="836"/>
      <c r="BK723" s="836"/>
      <c r="BL723" s="836"/>
      <c r="BM723" s="836"/>
      <c r="BN723" s="836"/>
      <c r="BO723" s="836"/>
      <c r="BP723" s="836"/>
      <c r="BR723" s="838"/>
      <c r="BS723" s="838"/>
      <c r="BT723" s="838"/>
      <c r="BU723" s="838"/>
      <c r="BV723" s="838"/>
      <c r="BW723" s="838"/>
      <c r="BX723" s="838"/>
      <c r="BY723" s="838"/>
      <c r="BZ723" s="838"/>
      <c r="CA723" s="838"/>
      <c r="CB723" s="838"/>
      <c r="CC723" s="838"/>
      <c r="CD723" s="838"/>
      <c r="CE723" s="838"/>
      <c r="CF723" s="838"/>
      <c r="CG723" s="838"/>
      <c r="CH723" s="838"/>
      <c r="CI723" s="838"/>
      <c r="CJ723" s="838"/>
      <c r="CK723" s="838"/>
      <c r="CL723" s="838"/>
      <c r="CM723" s="838"/>
      <c r="CN723" s="838"/>
      <c r="CO723" s="838"/>
      <c r="CP723" s="838"/>
      <c r="CQ723" s="838"/>
      <c r="CR723" s="838"/>
      <c r="CS723" s="838"/>
      <c r="CT723" s="838"/>
      <c r="CU723" s="838"/>
    </row>
    <row r="724">
      <c r="A724" s="860"/>
      <c r="B724" s="860"/>
      <c r="C724" s="860"/>
      <c r="D724" s="860"/>
      <c r="E724" s="860"/>
      <c r="F724" s="860"/>
      <c r="G724" s="860"/>
      <c r="H724" s="860"/>
      <c r="I724" s="860"/>
      <c r="J724" s="860"/>
      <c r="K724" s="860"/>
      <c r="L724" s="860"/>
      <c r="M724" s="860"/>
      <c r="N724" s="860"/>
      <c r="O724" s="860"/>
      <c r="P724" s="860"/>
      <c r="Q724" s="860"/>
      <c r="R724" s="860"/>
      <c r="S724" s="860"/>
      <c r="T724" s="860"/>
      <c r="U724" s="860"/>
      <c r="V724" s="860"/>
      <c r="W724" s="860"/>
      <c r="X724" s="860"/>
      <c r="Y724" s="860"/>
      <c r="Z724" s="860"/>
      <c r="AA724" s="860"/>
      <c r="AB724" s="860"/>
      <c r="AC724" s="860"/>
      <c r="AD724" s="860"/>
      <c r="AE724" s="860"/>
      <c r="AF724" s="860"/>
      <c r="AG724" s="860"/>
      <c r="AH724" s="860"/>
      <c r="AJ724" s="836"/>
      <c r="AK724" s="836"/>
      <c r="AL724" s="836"/>
      <c r="AM724" s="836"/>
      <c r="AN724" s="836"/>
      <c r="AO724" s="836"/>
      <c r="AP724" s="836"/>
      <c r="AQ724" s="836"/>
      <c r="AR724" s="836"/>
      <c r="AS724" s="836"/>
      <c r="AT724" s="836"/>
      <c r="AU724" s="836"/>
      <c r="AV724" s="836"/>
      <c r="AW724" s="836"/>
      <c r="AX724" s="836"/>
      <c r="AY724" s="836"/>
      <c r="AZ724" s="836"/>
      <c r="BA724" s="836"/>
      <c r="BB724" s="836"/>
      <c r="BC724" s="836"/>
      <c r="BD724" s="836"/>
      <c r="BE724" s="836"/>
      <c r="BF724" s="836"/>
      <c r="BG724" s="836"/>
      <c r="BH724" s="836"/>
      <c r="BI724" s="836"/>
      <c r="BJ724" s="836"/>
      <c r="BK724" s="836"/>
      <c r="BL724" s="836"/>
      <c r="BM724" s="836"/>
      <c r="BN724" s="836"/>
      <c r="BO724" s="836"/>
      <c r="BP724" s="836"/>
      <c r="BR724" s="838"/>
      <c r="BS724" s="838"/>
      <c r="BT724" s="838"/>
      <c r="BU724" s="838"/>
      <c r="BV724" s="838"/>
      <c r="BW724" s="838"/>
      <c r="BX724" s="838"/>
      <c r="BY724" s="838"/>
      <c r="BZ724" s="838"/>
      <c r="CA724" s="838"/>
      <c r="CB724" s="838"/>
      <c r="CC724" s="838"/>
      <c r="CD724" s="838"/>
      <c r="CE724" s="838"/>
      <c r="CF724" s="838"/>
      <c r="CG724" s="838"/>
      <c r="CH724" s="838"/>
      <c r="CI724" s="838"/>
      <c r="CJ724" s="838"/>
      <c r="CK724" s="838"/>
      <c r="CL724" s="838"/>
      <c r="CM724" s="838"/>
      <c r="CN724" s="838"/>
      <c r="CO724" s="838"/>
      <c r="CP724" s="838"/>
      <c r="CQ724" s="838"/>
      <c r="CR724" s="838"/>
      <c r="CS724" s="838"/>
      <c r="CT724" s="838"/>
      <c r="CU724" s="838"/>
    </row>
    <row r="725">
      <c r="A725" s="860"/>
      <c r="B725" s="860"/>
      <c r="C725" s="860"/>
      <c r="D725" s="860"/>
      <c r="E725" s="860"/>
      <c r="F725" s="860"/>
      <c r="G725" s="860"/>
      <c r="H725" s="860"/>
      <c r="I725" s="860"/>
      <c r="J725" s="860"/>
      <c r="K725" s="860"/>
      <c r="L725" s="860"/>
      <c r="M725" s="860"/>
      <c r="N725" s="860"/>
      <c r="O725" s="860"/>
      <c r="P725" s="860"/>
      <c r="Q725" s="860"/>
      <c r="R725" s="860"/>
      <c r="S725" s="860"/>
      <c r="T725" s="860"/>
      <c r="U725" s="860"/>
      <c r="V725" s="860"/>
      <c r="W725" s="860"/>
      <c r="X725" s="860"/>
      <c r="Y725" s="860"/>
      <c r="Z725" s="860"/>
      <c r="AA725" s="860"/>
      <c r="AB725" s="860"/>
      <c r="AC725" s="860"/>
      <c r="AD725" s="860"/>
      <c r="AE725" s="860"/>
      <c r="AF725" s="860"/>
      <c r="AG725" s="860"/>
      <c r="AH725" s="860"/>
      <c r="AJ725" s="836"/>
      <c r="AK725" s="836"/>
      <c r="AL725" s="836"/>
      <c r="AM725" s="836"/>
      <c r="AN725" s="836"/>
      <c r="AO725" s="836"/>
      <c r="AP725" s="836"/>
      <c r="AQ725" s="836"/>
      <c r="AR725" s="836"/>
      <c r="AS725" s="836"/>
      <c r="AT725" s="836"/>
      <c r="AU725" s="836"/>
      <c r="AV725" s="836"/>
      <c r="AW725" s="836"/>
      <c r="AX725" s="836"/>
      <c r="AY725" s="836"/>
      <c r="AZ725" s="836"/>
      <c r="BA725" s="836"/>
      <c r="BB725" s="836"/>
      <c r="BC725" s="836"/>
      <c r="BD725" s="836"/>
      <c r="BE725" s="836"/>
      <c r="BF725" s="836"/>
      <c r="BG725" s="836"/>
      <c r="BH725" s="836"/>
      <c r="BI725" s="836"/>
      <c r="BJ725" s="836"/>
      <c r="BK725" s="836"/>
      <c r="BL725" s="836"/>
      <c r="BM725" s="836"/>
      <c r="BN725" s="836"/>
      <c r="BO725" s="836"/>
      <c r="BP725" s="836"/>
      <c r="BR725" s="838"/>
      <c r="BS725" s="838"/>
      <c r="BT725" s="838"/>
      <c r="BU725" s="838"/>
      <c r="BV725" s="838"/>
      <c r="BW725" s="838"/>
      <c r="BX725" s="838"/>
      <c r="BY725" s="838"/>
      <c r="BZ725" s="838"/>
      <c r="CA725" s="838"/>
      <c r="CB725" s="838"/>
      <c r="CC725" s="838"/>
      <c r="CD725" s="838"/>
      <c r="CE725" s="838"/>
      <c r="CF725" s="838"/>
      <c r="CG725" s="838"/>
      <c r="CH725" s="838"/>
      <c r="CI725" s="838"/>
      <c r="CJ725" s="838"/>
      <c r="CK725" s="838"/>
      <c r="CL725" s="838"/>
      <c r="CM725" s="838"/>
      <c r="CN725" s="838"/>
      <c r="CO725" s="838"/>
      <c r="CP725" s="838"/>
      <c r="CQ725" s="838"/>
      <c r="CR725" s="838"/>
      <c r="CS725" s="838"/>
      <c r="CT725" s="838"/>
      <c r="CU725" s="838"/>
    </row>
    <row r="726">
      <c r="A726" s="860"/>
      <c r="B726" s="860"/>
      <c r="C726" s="860"/>
      <c r="D726" s="860"/>
      <c r="E726" s="860"/>
      <c r="F726" s="860"/>
      <c r="G726" s="860"/>
      <c r="H726" s="860"/>
      <c r="I726" s="860"/>
      <c r="J726" s="860"/>
      <c r="K726" s="860"/>
      <c r="L726" s="860"/>
      <c r="M726" s="860"/>
      <c r="N726" s="860"/>
      <c r="O726" s="860"/>
      <c r="P726" s="860"/>
      <c r="Q726" s="860"/>
      <c r="R726" s="860"/>
      <c r="S726" s="860"/>
      <c r="T726" s="860"/>
      <c r="U726" s="860"/>
      <c r="V726" s="860"/>
      <c r="W726" s="860"/>
      <c r="X726" s="860"/>
      <c r="Y726" s="860"/>
      <c r="Z726" s="860"/>
      <c r="AA726" s="860"/>
      <c r="AB726" s="860"/>
      <c r="AC726" s="860"/>
      <c r="AD726" s="860"/>
      <c r="AE726" s="860"/>
      <c r="AF726" s="860"/>
      <c r="AG726" s="860"/>
      <c r="AH726" s="860"/>
      <c r="AJ726" s="836"/>
      <c r="AK726" s="836"/>
      <c r="AL726" s="836"/>
      <c r="AM726" s="836"/>
      <c r="AN726" s="836"/>
      <c r="AO726" s="836"/>
      <c r="AP726" s="836"/>
      <c r="AQ726" s="836"/>
      <c r="AR726" s="836"/>
      <c r="AS726" s="836"/>
      <c r="AT726" s="836"/>
      <c r="AU726" s="836"/>
      <c r="AV726" s="836"/>
      <c r="AW726" s="836"/>
      <c r="AX726" s="836"/>
      <c r="AY726" s="836"/>
      <c r="AZ726" s="836"/>
      <c r="BA726" s="836"/>
      <c r="BB726" s="836"/>
      <c r="BC726" s="836"/>
      <c r="BD726" s="836"/>
      <c r="BE726" s="836"/>
      <c r="BF726" s="836"/>
      <c r="BG726" s="836"/>
      <c r="BH726" s="836"/>
      <c r="BI726" s="836"/>
      <c r="BJ726" s="836"/>
      <c r="BK726" s="836"/>
      <c r="BL726" s="836"/>
      <c r="BM726" s="836"/>
      <c r="BN726" s="836"/>
      <c r="BO726" s="836"/>
      <c r="BP726" s="836"/>
      <c r="BR726" s="838"/>
      <c r="BS726" s="838"/>
      <c r="BT726" s="838"/>
      <c r="BU726" s="838"/>
      <c r="BV726" s="838"/>
      <c r="BW726" s="838"/>
      <c r="BX726" s="838"/>
      <c r="BY726" s="838"/>
      <c r="BZ726" s="838"/>
      <c r="CA726" s="838"/>
      <c r="CB726" s="838"/>
      <c r="CC726" s="838"/>
      <c r="CD726" s="838"/>
      <c r="CE726" s="838"/>
      <c r="CF726" s="838"/>
      <c r="CG726" s="838"/>
      <c r="CH726" s="838"/>
      <c r="CI726" s="838"/>
      <c r="CJ726" s="838"/>
      <c r="CK726" s="838"/>
      <c r="CL726" s="838"/>
      <c r="CM726" s="838"/>
      <c r="CN726" s="838"/>
      <c r="CO726" s="838"/>
      <c r="CP726" s="838"/>
      <c r="CQ726" s="838"/>
      <c r="CR726" s="838"/>
      <c r="CS726" s="838"/>
      <c r="CT726" s="838"/>
      <c r="CU726" s="838"/>
    </row>
    <row r="727">
      <c r="A727" s="860"/>
      <c r="B727" s="860"/>
      <c r="C727" s="860"/>
      <c r="D727" s="860"/>
      <c r="E727" s="860"/>
      <c r="F727" s="860"/>
      <c r="G727" s="860"/>
      <c r="H727" s="860"/>
      <c r="I727" s="860"/>
      <c r="J727" s="860"/>
      <c r="K727" s="860"/>
      <c r="L727" s="860"/>
      <c r="M727" s="860"/>
      <c r="N727" s="860"/>
      <c r="O727" s="860"/>
      <c r="P727" s="860"/>
      <c r="Q727" s="860"/>
      <c r="R727" s="860"/>
      <c r="S727" s="860"/>
      <c r="T727" s="860"/>
      <c r="U727" s="860"/>
      <c r="V727" s="860"/>
      <c r="W727" s="860"/>
      <c r="X727" s="860"/>
      <c r="Y727" s="860"/>
      <c r="Z727" s="860"/>
      <c r="AA727" s="860"/>
      <c r="AB727" s="860"/>
      <c r="AC727" s="860"/>
      <c r="AD727" s="860"/>
      <c r="AE727" s="860"/>
      <c r="AF727" s="860"/>
      <c r="AG727" s="860"/>
      <c r="AH727" s="860"/>
      <c r="AJ727" s="836"/>
      <c r="AK727" s="836"/>
      <c r="AL727" s="836"/>
      <c r="AM727" s="836"/>
      <c r="AN727" s="836"/>
      <c r="AO727" s="836"/>
      <c r="AP727" s="836"/>
      <c r="AQ727" s="836"/>
      <c r="AR727" s="836"/>
      <c r="AS727" s="836"/>
      <c r="AT727" s="836"/>
      <c r="AU727" s="836"/>
      <c r="AV727" s="836"/>
      <c r="AW727" s="836"/>
      <c r="AX727" s="836"/>
      <c r="AY727" s="836"/>
      <c r="AZ727" s="836"/>
      <c r="BA727" s="836"/>
      <c r="BB727" s="836"/>
      <c r="BC727" s="836"/>
      <c r="BD727" s="836"/>
      <c r="BE727" s="836"/>
      <c r="BF727" s="836"/>
      <c r="BG727" s="836"/>
      <c r="BH727" s="836"/>
      <c r="BI727" s="836"/>
      <c r="BJ727" s="836"/>
      <c r="BK727" s="836"/>
      <c r="BL727" s="836"/>
      <c r="BM727" s="836"/>
      <c r="BN727" s="836"/>
      <c r="BO727" s="836"/>
      <c r="BP727" s="836"/>
      <c r="BR727" s="838"/>
      <c r="BS727" s="838"/>
      <c r="BT727" s="838"/>
      <c r="BU727" s="838"/>
      <c r="BV727" s="838"/>
      <c r="BW727" s="838"/>
      <c r="BX727" s="838"/>
      <c r="BY727" s="838"/>
      <c r="BZ727" s="838"/>
      <c r="CA727" s="838"/>
      <c r="CB727" s="838"/>
      <c r="CC727" s="838"/>
      <c r="CD727" s="838"/>
      <c r="CE727" s="838"/>
      <c r="CF727" s="838"/>
      <c r="CG727" s="838"/>
      <c r="CH727" s="838"/>
      <c r="CI727" s="838"/>
      <c r="CJ727" s="838"/>
      <c r="CK727" s="838"/>
      <c r="CL727" s="838"/>
      <c r="CM727" s="838"/>
      <c r="CN727" s="838"/>
      <c r="CO727" s="838"/>
      <c r="CP727" s="838"/>
      <c r="CQ727" s="838"/>
      <c r="CR727" s="838"/>
      <c r="CS727" s="838"/>
      <c r="CT727" s="838"/>
      <c r="CU727" s="838"/>
    </row>
    <row r="728">
      <c r="A728" s="860"/>
      <c r="B728" s="860"/>
      <c r="C728" s="860"/>
      <c r="D728" s="860"/>
      <c r="E728" s="860"/>
      <c r="F728" s="860"/>
      <c r="G728" s="860"/>
      <c r="H728" s="860"/>
      <c r="I728" s="860"/>
      <c r="J728" s="860"/>
      <c r="K728" s="860"/>
      <c r="L728" s="860"/>
      <c r="M728" s="860"/>
      <c r="N728" s="860"/>
      <c r="O728" s="860"/>
      <c r="P728" s="860"/>
      <c r="Q728" s="860"/>
      <c r="R728" s="860"/>
      <c r="S728" s="860"/>
      <c r="T728" s="860"/>
      <c r="U728" s="860"/>
      <c r="V728" s="860"/>
      <c r="W728" s="860"/>
      <c r="X728" s="860"/>
      <c r="Y728" s="860"/>
      <c r="Z728" s="860"/>
      <c r="AA728" s="860"/>
      <c r="AB728" s="860"/>
      <c r="AC728" s="860"/>
      <c r="AD728" s="860"/>
      <c r="AE728" s="860"/>
      <c r="AF728" s="860"/>
      <c r="AG728" s="860"/>
      <c r="AH728" s="860"/>
      <c r="AJ728" s="836"/>
      <c r="AK728" s="836"/>
      <c r="AL728" s="836"/>
      <c r="AM728" s="836"/>
      <c r="AN728" s="836"/>
      <c r="AO728" s="836"/>
      <c r="AP728" s="836"/>
      <c r="AQ728" s="836"/>
      <c r="AR728" s="836"/>
      <c r="AS728" s="836"/>
      <c r="AT728" s="836"/>
      <c r="AU728" s="836"/>
      <c r="AV728" s="836"/>
      <c r="AW728" s="836"/>
      <c r="AX728" s="836"/>
      <c r="AY728" s="836"/>
      <c r="AZ728" s="836"/>
      <c r="BA728" s="836"/>
      <c r="BB728" s="836"/>
      <c r="BC728" s="836"/>
      <c r="BD728" s="836"/>
      <c r="BE728" s="836"/>
      <c r="BF728" s="836"/>
      <c r="BG728" s="836"/>
      <c r="BH728" s="836"/>
      <c r="BI728" s="836"/>
      <c r="BJ728" s="836"/>
      <c r="BK728" s="836"/>
      <c r="BL728" s="836"/>
      <c r="BM728" s="836"/>
      <c r="BN728" s="836"/>
      <c r="BO728" s="836"/>
      <c r="BP728" s="836"/>
      <c r="BR728" s="838"/>
      <c r="BS728" s="838"/>
      <c r="BT728" s="838"/>
      <c r="BU728" s="838"/>
      <c r="BV728" s="838"/>
      <c r="BW728" s="838"/>
      <c r="BX728" s="838"/>
      <c r="BY728" s="838"/>
      <c r="BZ728" s="838"/>
      <c r="CA728" s="838"/>
      <c r="CB728" s="838"/>
      <c r="CC728" s="838"/>
      <c r="CD728" s="838"/>
      <c r="CE728" s="838"/>
      <c r="CF728" s="838"/>
      <c r="CG728" s="838"/>
      <c r="CH728" s="838"/>
      <c r="CI728" s="838"/>
      <c r="CJ728" s="838"/>
      <c r="CK728" s="838"/>
      <c r="CL728" s="838"/>
      <c r="CM728" s="838"/>
      <c r="CN728" s="838"/>
      <c r="CO728" s="838"/>
      <c r="CP728" s="838"/>
      <c r="CQ728" s="838"/>
      <c r="CR728" s="838"/>
      <c r="CS728" s="838"/>
      <c r="CT728" s="838"/>
      <c r="CU728" s="838"/>
    </row>
    <row r="729">
      <c r="A729" s="860"/>
      <c r="B729" s="860"/>
      <c r="C729" s="860"/>
      <c r="D729" s="860"/>
      <c r="E729" s="860"/>
      <c r="F729" s="860"/>
      <c r="G729" s="860"/>
      <c r="H729" s="860"/>
      <c r="I729" s="860"/>
      <c r="J729" s="860"/>
      <c r="K729" s="860"/>
      <c r="L729" s="860"/>
      <c r="M729" s="860"/>
      <c r="N729" s="860"/>
      <c r="O729" s="860"/>
      <c r="P729" s="860"/>
      <c r="Q729" s="860"/>
      <c r="R729" s="860"/>
      <c r="S729" s="860"/>
      <c r="T729" s="860"/>
      <c r="U729" s="860"/>
      <c r="V729" s="860"/>
      <c r="W729" s="860"/>
      <c r="X729" s="860"/>
      <c r="Y729" s="860"/>
      <c r="Z729" s="860"/>
      <c r="AA729" s="860"/>
      <c r="AB729" s="860"/>
      <c r="AC729" s="860"/>
      <c r="AD729" s="860"/>
      <c r="AE729" s="860"/>
      <c r="AF729" s="860"/>
      <c r="AG729" s="860"/>
      <c r="AH729" s="860"/>
      <c r="AJ729" s="836"/>
      <c r="AK729" s="836"/>
      <c r="AL729" s="836"/>
      <c r="AM729" s="836"/>
      <c r="AN729" s="836"/>
      <c r="AO729" s="836"/>
      <c r="AP729" s="836"/>
      <c r="AQ729" s="836"/>
      <c r="AR729" s="836"/>
      <c r="AS729" s="836"/>
      <c r="AT729" s="836"/>
      <c r="AU729" s="836"/>
      <c r="AV729" s="836"/>
      <c r="AW729" s="836"/>
      <c r="AX729" s="836"/>
      <c r="AY729" s="836"/>
      <c r="AZ729" s="836"/>
      <c r="BA729" s="836"/>
      <c r="BB729" s="836"/>
      <c r="BC729" s="836"/>
      <c r="BD729" s="836"/>
      <c r="BE729" s="836"/>
      <c r="BF729" s="836"/>
      <c r="BG729" s="836"/>
      <c r="BH729" s="836"/>
      <c r="BI729" s="836"/>
      <c r="BJ729" s="836"/>
      <c r="BK729" s="836"/>
      <c r="BL729" s="836"/>
      <c r="BM729" s="836"/>
      <c r="BN729" s="836"/>
      <c r="BO729" s="836"/>
      <c r="BP729" s="836"/>
      <c r="BR729" s="838"/>
      <c r="BS729" s="838"/>
      <c r="BT729" s="838"/>
      <c r="BU729" s="838"/>
      <c r="BV729" s="838"/>
      <c r="BW729" s="838"/>
      <c r="BX729" s="838"/>
      <c r="BY729" s="838"/>
      <c r="BZ729" s="838"/>
      <c r="CA729" s="838"/>
      <c r="CB729" s="838"/>
      <c r="CC729" s="838"/>
      <c r="CD729" s="838"/>
      <c r="CE729" s="838"/>
      <c r="CF729" s="838"/>
      <c r="CG729" s="838"/>
      <c r="CH729" s="838"/>
      <c r="CI729" s="838"/>
      <c r="CJ729" s="838"/>
      <c r="CK729" s="838"/>
      <c r="CL729" s="838"/>
      <c r="CM729" s="838"/>
      <c r="CN729" s="838"/>
      <c r="CO729" s="838"/>
      <c r="CP729" s="838"/>
      <c r="CQ729" s="838"/>
      <c r="CR729" s="838"/>
      <c r="CS729" s="838"/>
      <c r="CT729" s="838"/>
      <c r="CU729" s="838"/>
    </row>
    <row r="730">
      <c r="A730" s="860"/>
      <c r="B730" s="860"/>
      <c r="C730" s="860"/>
      <c r="D730" s="860"/>
      <c r="E730" s="860"/>
      <c r="F730" s="860"/>
      <c r="G730" s="860"/>
      <c r="H730" s="860"/>
      <c r="I730" s="860"/>
      <c r="J730" s="860"/>
      <c r="K730" s="860"/>
      <c r="L730" s="860"/>
      <c r="M730" s="860"/>
      <c r="N730" s="860"/>
      <c r="O730" s="860"/>
      <c r="P730" s="860"/>
      <c r="Q730" s="860"/>
      <c r="R730" s="860"/>
      <c r="S730" s="860"/>
      <c r="T730" s="860"/>
      <c r="U730" s="860"/>
      <c r="V730" s="860"/>
      <c r="W730" s="860"/>
      <c r="X730" s="860"/>
      <c r="Y730" s="860"/>
      <c r="Z730" s="860"/>
      <c r="AA730" s="860"/>
      <c r="AB730" s="860"/>
      <c r="AC730" s="860"/>
      <c r="AD730" s="860"/>
      <c r="AE730" s="860"/>
      <c r="AF730" s="860"/>
      <c r="AG730" s="860"/>
      <c r="AH730" s="860"/>
      <c r="AJ730" s="836"/>
      <c r="AK730" s="836"/>
      <c r="AL730" s="836"/>
      <c r="AM730" s="836"/>
      <c r="AN730" s="836"/>
      <c r="AO730" s="836"/>
      <c r="AP730" s="836"/>
      <c r="AQ730" s="836"/>
      <c r="AR730" s="836"/>
      <c r="AS730" s="836"/>
      <c r="AT730" s="836"/>
      <c r="AU730" s="836"/>
      <c r="AV730" s="836"/>
      <c r="AW730" s="836"/>
      <c r="AX730" s="836"/>
      <c r="AY730" s="836"/>
      <c r="AZ730" s="836"/>
      <c r="BA730" s="836"/>
      <c r="BB730" s="836"/>
      <c r="BC730" s="836"/>
      <c r="BD730" s="836"/>
      <c r="BE730" s="836"/>
      <c r="BF730" s="836"/>
      <c r="BG730" s="836"/>
      <c r="BH730" s="836"/>
      <c r="BI730" s="836"/>
      <c r="BJ730" s="836"/>
      <c r="BK730" s="836"/>
      <c r="BL730" s="836"/>
      <c r="BM730" s="836"/>
      <c r="BN730" s="836"/>
      <c r="BO730" s="836"/>
      <c r="BP730" s="836"/>
      <c r="BR730" s="838"/>
      <c r="BS730" s="838"/>
      <c r="BT730" s="838"/>
      <c r="BU730" s="838"/>
      <c r="BV730" s="838"/>
      <c r="BW730" s="838"/>
      <c r="BX730" s="838"/>
      <c r="BY730" s="838"/>
      <c r="BZ730" s="838"/>
      <c r="CA730" s="838"/>
      <c r="CB730" s="838"/>
      <c r="CC730" s="838"/>
      <c r="CD730" s="838"/>
      <c r="CE730" s="838"/>
      <c r="CF730" s="838"/>
      <c r="CG730" s="838"/>
      <c r="CH730" s="838"/>
      <c r="CI730" s="838"/>
      <c r="CJ730" s="838"/>
      <c r="CK730" s="838"/>
      <c r="CL730" s="838"/>
      <c r="CM730" s="838"/>
      <c r="CN730" s="838"/>
      <c r="CO730" s="838"/>
      <c r="CP730" s="838"/>
      <c r="CQ730" s="838"/>
      <c r="CR730" s="838"/>
      <c r="CS730" s="838"/>
      <c r="CT730" s="838"/>
      <c r="CU730" s="838"/>
    </row>
    <row r="731">
      <c r="A731" s="860"/>
      <c r="B731" s="860"/>
      <c r="C731" s="860"/>
      <c r="D731" s="860"/>
      <c r="E731" s="860"/>
      <c r="F731" s="860"/>
      <c r="G731" s="860"/>
      <c r="H731" s="860"/>
      <c r="I731" s="860"/>
      <c r="J731" s="860"/>
      <c r="K731" s="860"/>
      <c r="L731" s="860"/>
      <c r="M731" s="860"/>
      <c r="N731" s="860"/>
      <c r="O731" s="860"/>
      <c r="P731" s="860"/>
      <c r="Q731" s="860"/>
      <c r="R731" s="860"/>
      <c r="S731" s="860"/>
      <c r="T731" s="860"/>
      <c r="U731" s="860"/>
      <c r="V731" s="860"/>
      <c r="W731" s="860"/>
      <c r="X731" s="860"/>
      <c r="Y731" s="860"/>
      <c r="Z731" s="860"/>
      <c r="AA731" s="860"/>
      <c r="AB731" s="860"/>
      <c r="AC731" s="860"/>
      <c r="AD731" s="860"/>
      <c r="AE731" s="860"/>
      <c r="AF731" s="860"/>
      <c r="AG731" s="860"/>
      <c r="AH731" s="860"/>
      <c r="AJ731" s="836"/>
      <c r="AK731" s="836"/>
      <c r="AL731" s="836"/>
      <c r="AM731" s="836"/>
      <c r="AN731" s="836"/>
      <c r="AO731" s="836"/>
      <c r="AP731" s="836"/>
      <c r="AQ731" s="836"/>
      <c r="AR731" s="836"/>
      <c r="AS731" s="836"/>
      <c r="AT731" s="836"/>
      <c r="AU731" s="836"/>
      <c r="AV731" s="836"/>
      <c r="AW731" s="836"/>
      <c r="AX731" s="836"/>
      <c r="AY731" s="836"/>
      <c r="AZ731" s="836"/>
      <c r="BA731" s="836"/>
      <c r="BB731" s="836"/>
      <c r="BC731" s="836"/>
      <c r="BD731" s="836"/>
      <c r="BE731" s="836"/>
      <c r="BF731" s="836"/>
      <c r="BG731" s="836"/>
      <c r="BH731" s="836"/>
      <c r="BI731" s="836"/>
      <c r="BJ731" s="836"/>
      <c r="BK731" s="836"/>
      <c r="BL731" s="836"/>
      <c r="BM731" s="836"/>
      <c r="BN731" s="836"/>
      <c r="BO731" s="836"/>
      <c r="BP731" s="836"/>
      <c r="BR731" s="838"/>
      <c r="BS731" s="838"/>
      <c r="BT731" s="838"/>
      <c r="BU731" s="838"/>
      <c r="BV731" s="838"/>
      <c r="BW731" s="838"/>
      <c r="BX731" s="838"/>
      <c r="BY731" s="838"/>
      <c r="BZ731" s="838"/>
      <c r="CA731" s="838"/>
      <c r="CB731" s="838"/>
      <c r="CC731" s="838"/>
      <c r="CD731" s="838"/>
      <c r="CE731" s="838"/>
      <c r="CF731" s="838"/>
      <c r="CG731" s="838"/>
      <c r="CH731" s="838"/>
      <c r="CI731" s="838"/>
      <c r="CJ731" s="838"/>
      <c r="CK731" s="838"/>
      <c r="CL731" s="838"/>
      <c r="CM731" s="838"/>
      <c r="CN731" s="838"/>
      <c r="CO731" s="838"/>
      <c r="CP731" s="838"/>
      <c r="CQ731" s="838"/>
      <c r="CR731" s="838"/>
      <c r="CS731" s="838"/>
      <c r="CT731" s="838"/>
      <c r="CU731" s="838"/>
    </row>
    <row r="732">
      <c r="A732" s="860"/>
      <c r="B732" s="860"/>
      <c r="C732" s="860"/>
      <c r="D732" s="860"/>
      <c r="E732" s="860"/>
      <c r="F732" s="860"/>
      <c r="G732" s="860"/>
      <c r="H732" s="860"/>
      <c r="I732" s="860"/>
      <c r="J732" s="860"/>
      <c r="K732" s="860"/>
      <c r="L732" s="860"/>
      <c r="M732" s="860"/>
      <c r="N732" s="860"/>
      <c r="O732" s="860"/>
      <c r="P732" s="860"/>
      <c r="Q732" s="860"/>
      <c r="R732" s="860"/>
      <c r="S732" s="860"/>
      <c r="T732" s="860"/>
      <c r="U732" s="860"/>
      <c r="V732" s="860"/>
      <c r="W732" s="860"/>
      <c r="X732" s="860"/>
      <c r="Y732" s="860"/>
      <c r="Z732" s="860"/>
      <c r="AA732" s="860"/>
      <c r="AB732" s="860"/>
      <c r="AC732" s="860"/>
      <c r="AD732" s="860"/>
      <c r="AE732" s="860"/>
      <c r="AF732" s="860"/>
      <c r="AG732" s="860"/>
      <c r="AH732" s="860"/>
      <c r="AJ732" s="836"/>
      <c r="AK732" s="836"/>
      <c r="AL732" s="836"/>
      <c r="AM732" s="836"/>
      <c r="AN732" s="836"/>
      <c r="AO732" s="836"/>
      <c r="AP732" s="836"/>
      <c r="AQ732" s="836"/>
      <c r="AR732" s="836"/>
      <c r="AS732" s="836"/>
      <c r="AT732" s="836"/>
      <c r="AU732" s="836"/>
      <c r="AV732" s="836"/>
      <c r="AW732" s="836"/>
      <c r="AX732" s="836"/>
      <c r="AY732" s="836"/>
      <c r="AZ732" s="836"/>
      <c r="BA732" s="836"/>
      <c r="BB732" s="836"/>
      <c r="BC732" s="836"/>
      <c r="BD732" s="836"/>
      <c r="BE732" s="836"/>
      <c r="BF732" s="836"/>
      <c r="BG732" s="836"/>
      <c r="BH732" s="836"/>
      <c r="BI732" s="836"/>
      <c r="BJ732" s="836"/>
      <c r="BK732" s="836"/>
      <c r="BL732" s="836"/>
      <c r="BM732" s="836"/>
      <c r="BN732" s="836"/>
      <c r="BO732" s="836"/>
      <c r="BP732" s="836"/>
      <c r="BR732" s="838"/>
      <c r="BS732" s="838"/>
      <c r="BT732" s="838"/>
      <c r="BU732" s="838"/>
      <c r="BV732" s="838"/>
      <c r="BW732" s="838"/>
      <c r="BX732" s="838"/>
      <c r="BY732" s="838"/>
      <c r="BZ732" s="838"/>
      <c r="CA732" s="838"/>
      <c r="CB732" s="838"/>
      <c r="CC732" s="838"/>
      <c r="CD732" s="838"/>
      <c r="CE732" s="838"/>
      <c r="CF732" s="838"/>
      <c r="CG732" s="838"/>
      <c r="CH732" s="838"/>
      <c r="CI732" s="838"/>
      <c r="CJ732" s="838"/>
      <c r="CK732" s="838"/>
      <c r="CL732" s="838"/>
      <c r="CM732" s="838"/>
      <c r="CN732" s="838"/>
      <c r="CO732" s="838"/>
      <c r="CP732" s="838"/>
      <c r="CQ732" s="838"/>
      <c r="CR732" s="838"/>
      <c r="CS732" s="838"/>
      <c r="CT732" s="838"/>
      <c r="CU732" s="838"/>
    </row>
    <row r="733">
      <c r="A733" s="860"/>
      <c r="B733" s="860"/>
      <c r="C733" s="860"/>
      <c r="D733" s="860"/>
      <c r="E733" s="860"/>
      <c r="F733" s="860"/>
      <c r="G733" s="860"/>
      <c r="H733" s="860"/>
      <c r="I733" s="860"/>
      <c r="J733" s="860"/>
      <c r="K733" s="860"/>
      <c r="L733" s="860"/>
      <c r="M733" s="860"/>
      <c r="N733" s="860"/>
      <c r="O733" s="860"/>
      <c r="P733" s="860"/>
      <c r="Q733" s="860"/>
      <c r="R733" s="860"/>
      <c r="S733" s="860"/>
      <c r="T733" s="860"/>
      <c r="U733" s="860"/>
      <c r="V733" s="860"/>
      <c r="W733" s="860"/>
      <c r="X733" s="860"/>
      <c r="Y733" s="860"/>
      <c r="Z733" s="860"/>
      <c r="AA733" s="860"/>
      <c r="AB733" s="860"/>
      <c r="AC733" s="860"/>
      <c r="AD733" s="860"/>
      <c r="AE733" s="860"/>
      <c r="AF733" s="860"/>
      <c r="AG733" s="860"/>
      <c r="AH733" s="860"/>
      <c r="AJ733" s="836"/>
      <c r="AK733" s="836"/>
      <c r="AL733" s="836"/>
      <c r="AM733" s="836"/>
      <c r="AN733" s="836"/>
      <c r="AO733" s="836"/>
      <c r="AP733" s="836"/>
      <c r="AQ733" s="836"/>
      <c r="AR733" s="836"/>
      <c r="AS733" s="836"/>
      <c r="AT733" s="836"/>
      <c r="AU733" s="836"/>
      <c r="AV733" s="836"/>
      <c r="AW733" s="836"/>
      <c r="AX733" s="836"/>
      <c r="AY733" s="836"/>
      <c r="AZ733" s="836"/>
      <c r="BA733" s="836"/>
      <c r="BB733" s="836"/>
      <c r="BC733" s="836"/>
      <c r="BD733" s="836"/>
      <c r="BE733" s="836"/>
      <c r="BF733" s="836"/>
      <c r="BG733" s="836"/>
      <c r="BH733" s="836"/>
      <c r="BI733" s="836"/>
      <c r="BJ733" s="836"/>
      <c r="BK733" s="836"/>
      <c r="BL733" s="836"/>
      <c r="BM733" s="836"/>
      <c r="BN733" s="836"/>
      <c r="BO733" s="836"/>
      <c r="BP733" s="836"/>
      <c r="BR733" s="838"/>
      <c r="BS733" s="838"/>
      <c r="BT733" s="838"/>
      <c r="BU733" s="838"/>
      <c r="BV733" s="838"/>
      <c r="BW733" s="838"/>
      <c r="BX733" s="838"/>
      <c r="BY733" s="838"/>
      <c r="BZ733" s="838"/>
      <c r="CA733" s="838"/>
      <c r="CB733" s="838"/>
      <c r="CC733" s="838"/>
      <c r="CD733" s="838"/>
      <c r="CE733" s="838"/>
      <c r="CF733" s="838"/>
      <c r="CG733" s="838"/>
      <c r="CH733" s="838"/>
      <c r="CI733" s="838"/>
      <c r="CJ733" s="838"/>
      <c r="CK733" s="838"/>
      <c r="CL733" s="838"/>
      <c r="CM733" s="838"/>
      <c r="CN733" s="838"/>
      <c r="CO733" s="838"/>
      <c r="CP733" s="838"/>
      <c r="CQ733" s="838"/>
      <c r="CR733" s="838"/>
      <c r="CS733" s="838"/>
      <c r="CT733" s="838"/>
      <c r="CU733" s="838"/>
    </row>
    <row r="734">
      <c r="A734" s="860"/>
      <c r="B734" s="860"/>
      <c r="C734" s="860"/>
      <c r="D734" s="860"/>
      <c r="E734" s="860"/>
      <c r="F734" s="860"/>
      <c r="G734" s="860"/>
      <c r="H734" s="860"/>
      <c r="I734" s="860"/>
      <c r="J734" s="860"/>
      <c r="K734" s="860"/>
      <c r="L734" s="860"/>
      <c r="M734" s="860"/>
      <c r="N734" s="860"/>
      <c r="O734" s="860"/>
      <c r="P734" s="860"/>
      <c r="Q734" s="860"/>
      <c r="R734" s="860"/>
      <c r="S734" s="860"/>
      <c r="T734" s="860"/>
      <c r="U734" s="860"/>
      <c r="V734" s="860"/>
      <c r="W734" s="860"/>
      <c r="X734" s="860"/>
      <c r="Y734" s="860"/>
      <c r="Z734" s="860"/>
      <c r="AA734" s="860"/>
      <c r="AB734" s="860"/>
      <c r="AC734" s="860"/>
      <c r="AD734" s="860"/>
      <c r="AE734" s="860"/>
      <c r="AF734" s="860"/>
      <c r="AG734" s="860"/>
      <c r="AH734" s="860"/>
      <c r="AJ734" s="836"/>
      <c r="AK734" s="836"/>
      <c r="AL734" s="836"/>
      <c r="AM734" s="836"/>
      <c r="AN734" s="836"/>
      <c r="AO734" s="836"/>
      <c r="AP734" s="836"/>
      <c r="AQ734" s="836"/>
      <c r="AR734" s="836"/>
      <c r="AS734" s="836"/>
      <c r="AT734" s="836"/>
      <c r="AU734" s="836"/>
      <c r="AV734" s="836"/>
      <c r="AW734" s="836"/>
      <c r="AX734" s="836"/>
      <c r="AY734" s="836"/>
      <c r="AZ734" s="836"/>
      <c r="BA734" s="836"/>
      <c r="BB734" s="836"/>
      <c r="BC734" s="836"/>
      <c r="BD734" s="836"/>
      <c r="BE734" s="836"/>
      <c r="BF734" s="836"/>
      <c r="BG734" s="836"/>
      <c r="BH734" s="836"/>
      <c r="BI734" s="836"/>
      <c r="BJ734" s="836"/>
      <c r="BK734" s="836"/>
      <c r="BL734" s="836"/>
      <c r="BM734" s="836"/>
      <c r="BN734" s="836"/>
      <c r="BO734" s="836"/>
      <c r="BP734" s="836"/>
      <c r="BR734" s="838"/>
      <c r="BS734" s="838"/>
      <c r="BT734" s="838"/>
      <c r="BU734" s="838"/>
      <c r="BV734" s="838"/>
      <c r="BW734" s="838"/>
      <c r="BX734" s="838"/>
      <c r="BY734" s="838"/>
      <c r="BZ734" s="838"/>
      <c r="CA734" s="838"/>
      <c r="CB734" s="838"/>
      <c r="CC734" s="838"/>
      <c r="CD734" s="838"/>
      <c r="CE734" s="838"/>
      <c r="CF734" s="838"/>
      <c r="CG734" s="838"/>
      <c r="CH734" s="838"/>
      <c r="CI734" s="838"/>
      <c r="CJ734" s="838"/>
      <c r="CK734" s="838"/>
      <c r="CL734" s="838"/>
      <c r="CM734" s="838"/>
      <c r="CN734" s="838"/>
      <c r="CO734" s="838"/>
      <c r="CP734" s="838"/>
      <c r="CQ734" s="838"/>
      <c r="CR734" s="838"/>
      <c r="CS734" s="838"/>
      <c r="CT734" s="838"/>
      <c r="CU734" s="838"/>
    </row>
    <row r="735">
      <c r="A735" s="860"/>
      <c r="B735" s="860"/>
      <c r="C735" s="860"/>
      <c r="D735" s="860"/>
      <c r="E735" s="860"/>
      <c r="F735" s="860"/>
      <c r="G735" s="860"/>
      <c r="H735" s="860"/>
      <c r="I735" s="860"/>
      <c r="J735" s="860"/>
      <c r="K735" s="860"/>
      <c r="L735" s="860"/>
      <c r="M735" s="860"/>
      <c r="N735" s="860"/>
      <c r="O735" s="860"/>
      <c r="P735" s="860"/>
      <c r="Q735" s="860"/>
      <c r="R735" s="860"/>
      <c r="S735" s="860"/>
      <c r="T735" s="860"/>
      <c r="U735" s="860"/>
      <c r="V735" s="860"/>
      <c r="W735" s="860"/>
      <c r="X735" s="860"/>
      <c r="Y735" s="860"/>
      <c r="Z735" s="860"/>
      <c r="AA735" s="860"/>
      <c r="AB735" s="860"/>
      <c r="AC735" s="860"/>
      <c r="AD735" s="860"/>
      <c r="AE735" s="860"/>
      <c r="AF735" s="860"/>
      <c r="AG735" s="860"/>
      <c r="AH735" s="860"/>
      <c r="AJ735" s="836"/>
      <c r="AK735" s="836"/>
      <c r="AL735" s="836"/>
      <c r="AM735" s="836"/>
      <c r="AN735" s="836"/>
      <c r="AO735" s="836"/>
      <c r="AP735" s="836"/>
      <c r="AQ735" s="836"/>
      <c r="AR735" s="836"/>
      <c r="AS735" s="836"/>
      <c r="AT735" s="836"/>
      <c r="AU735" s="836"/>
      <c r="AV735" s="836"/>
      <c r="AW735" s="836"/>
      <c r="AX735" s="836"/>
      <c r="AY735" s="836"/>
      <c r="AZ735" s="836"/>
      <c r="BA735" s="836"/>
      <c r="BB735" s="836"/>
      <c r="BC735" s="836"/>
      <c r="BD735" s="836"/>
      <c r="BE735" s="836"/>
      <c r="BF735" s="836"/>
      <c r="BG735" s="836"/>
      <c r="BH735" s="836"/>
      <c r="BI735" s="836"/>
      <c r="BJ735" s="836"/>
      <c r="BK735" s="836"/>
      <c r="BL735" s="836"/>
      <c r="BM735" s="836"/>
      <c r="BN735" s="836"/>
      <c r="BO735" s="836"/>
      <c r="BP735" s="836"/>
      <c r="BR735" s="838"/>
      <c r="BS735" s="838"/>
      <c r="BT735" s="838"/>
      <c r="BU735" s="838"/>
      <c r="BV735" s="838"/>
      <c r="BW735" s="838"/>
      <c r="BX735" s="838"/>
      <c r="BY735" s="838"/>
      <c r="BZ735" s="838"/>
      <c r="CA735" s="838"/>
      <c r="CB735" s="838"/>
      <c r="CC735" s="838"/>
      <c r="CD735" s="838"/>
      <c r="CE735" s="838"/>
      <c r="CF735" s="838"/>
      <c r="CG735" s="838"/>
      <c r="CH735" s="838"/>
      <c r="CI735" s="838"/>
      <c r="CJ735" s="838"/>
      <c r="CK735" s="838"/>
      <c r="CL735" s="838"/>
      <c r="CM735" s="838"/>
      <c r="CN735" s="838"/>
      <c r="CO735" s="838"/>
      <c r="CP735" s="838"/>
      <c r="CQ735" s="838"/>
      <c r="CR735" s="838"/>
      <c r="CS735" s="838"/>
      <c r="CT735" s="838"/>
      <c r="CU735" s="838"/>
    </row>
    <row r="736">
      <c r="A736" s="860"/>
      <c r="B736" s="860"/>
      <c r="C736" s="860"/>
      <c r="D736" s="860"/>
      <c r="E736" s="860"/>
      <c r="F736" s="860"/>
      <c r="G736" s="860"/>
      <c r="H736" s="860"/>
      <c r="I736" s="860"/>
      <c r="J736" s="860"/>
      <c r="K736" s="860"/>
      <c r="L736" s="860"/>
      <c r="M736" s="860"/>
      <c r="N736" s="860"/>
      <c r="O736" s="860"/>
      <c r="P736" s="860"/>
      <c r="Q736" s="860"/>
      <c r="R736" s="860"/>
      <c r="S736" s="860"/>
      <c r="T736" s="860"/>
      <c r="U736" s="860"/>
      <c r="V736" s="860"/>
      <c r="W736" s="860"/>
      <c r="X736" s="860"/>
      <c r="Y736" s="860"/>
      <c r="Z736" s="860"/>
      <c r="AA736" s="860"/>
      <c r="AB736" s="860"/>
      <c r="AC736" s="860"/>
      <c r="AD736" s="860"/>
      <c r="AE736" s="860"/>
      <c r="AF736" s="860"/>
      <c r="AG736" s="860"/>
      <c r="AH736" s="860"/>
      <c r="AJ736" s="836"/>
      <c r="AK736" s="836"/>
      <c r="AL736" s="836"/>
      <c r="AM736" s="836"/>
      <c r="AN736" s="836"/>
      <c r="AO736" s="836"/>
      <c r="AP736" s="836"/>
      <c r="AQ736" s="836"/>
      <c r="AR736" s="836"/>
      <c r="AS736" s="836"/>
      <c r="AT736" s="836"/>
      <c r="AU736" s="836"/>
      <c r="AV736" s="836"/>
      <c r="AW736" s="836"/>
      <c r="AX736" s="836"/>
      <c r="AY736" s="836"/>
      <c r="AZ736" s="836"/>
      <c r="BA736" s="836"/>
      <c r="BB736" s="836"/>
      <c r="BC736" s="836"/>
      <c r="BD736" s="836"/>
      <c r="BE736" s="836"/>
      <c r="BF736" s="836"/>
      <c r="BG736" s="836"/>
      <c r="BH736" s="836"/>
      <c r="BI736" s="836"/>
      <c r="BJ736" s="836"/>
      <c r="BK736" s="836"/>
      <c r="BL736" s="836"/>
      <c r="BM736" s="836"/>
      <c r="BN736" s="836"/>
      <c r="BO736" s="836"/>
      <c r="BP736" s="836"/>
      <c r="BR736" s="838"/>
      <c r="BS736" s="838"/>
      <c r="BT736" s="838"/>
      <c r="BU736" s="838"/>
      <c r="BV736" s="838"/>
      <c r="BW736" s="838"/>
      <c r="BX736" s="838"/>
      <c r="BY736" s="838"/>
      <c r="BZ736" s="838"/>
      <c r="CA736" s="838"/>
      <c r="CB736" s="838"/>
      <c r="CC736" s="838"/>
      <c r="CD736" s="838"/>
      <c r="CE736" s="838"/>
      <c r="CF736" s="838"/>
      <c r="CG736" s="838"/>
      <c r="CH736" s="838"/>
      <c r="CI736" s="838"/>
      <c r="CJ736" s="838"/>
      <c r="CK736" s="838"/>
      <c r="CL736" s="838"/>
      <c r="CM736" s="838"/>
      <c r="CN736" s="838"/>
      <c r="CO736" s="838"/>
      <c r="CP736" s="838"/>
      <c r="CQ736" s="838"/>
      <c r="CR736" s="838"/>
      <c r="CS736" s="838"/>
      <c r="CT736" s="838"/>
      <c r="CU736" s="838"/>
    </row>
    <row r="737">
      <c r="A737" s="860"/>
      <c r="B737" s="860"/>
      <c r="C737" s="860"/>
      <c r="D737" s="860"/>
      <c r="E737" s="860"/>
      <c r="F737" s="860"/>
      <c r="G737" s="860"/>
      <c r="H737" s="860"/>
      <c r="I737" s="860"/>
      <c r="J737" s="860"/>
      <c r="K737" s="860"/>
      <c r="L737" s="860"/>
      <c r="M737" s="860"/>
      <c r="N737" s="860"/>
      <c r="O737" s="860"/>
      <c r="P737" s="860"/>
      <c r="Q737" s="860"/>
      <c r="R737" s="860"/>
      <c r="S737" s="860"/>
      <c r="T737" s="860"/>
      <c r="U737" s="860"/>
      <c r="V737" s="860"/>
      <c r="W737" s="860"/>
      <c r="X737" s="860"/>
      <c r="Y737" s="860"/>
      <c r="Z737" s="860"/>
      <c r="AA737" s="860"/>
      <c r="AB737" s="860"/>
      <c r="AC737" s="860"/>
      <c r="AD737" s="860"/>
      <c r="AE737" s="860"/>
      <c r="AF737" s="860"/>
      <c r="AG737" s="860"/>
      <c r="AH737" s="860"/>
      <c r="AJ737" s="836"/>
      <c r="AK737" s="836"/>
      <c r="AL737" s="836"/>
      <c r="AM737" s="836"/>
      <c r="AN737" s="836"/>
      <c r="AO737" s="836"/>
      <c r="AP737" s="836"/>
      <c r="AQ737" s="836"/>
      <c r="AR737" s="836"/>
      <c r="AS737" s="836"/>
      <c r="AT737" s="836"/>
      <c r="AU737" s="836"/>
      <c r="AV737" s="836"/>
      <c r="AW737" s="836"/>
      <c r="AX737" s="836"/>
      <c r="AY737" s="836"/>
      <c r="AZ737" s="836"/>
      <c r="BA737" s="836"/>
      <c r="BB737" s="836"/>
      <c r="BC737" s="836"/>
      <c r="BD737" s="836"/>
      <c r="BE737" s="836"/>
      <c r="BF737" s="836"/>
      <c r="BG737" s="836"/>
      <c r="BH737" s="836"/>
      <c r="BI737" s="836"/>
      <c r="BJ737" s="836"/>
      <c r="BK737" s="836"/>
      <c r="BL737" s="836"/>
      <c r="BM737" s="836"/>
      <c r="BN737" s="836"/>
      <c r="BO737" s="836"/>
      <c r="BP737" s="836"/>
      <c r="BR737" s="838"/>
      <c r="BS737" s="838"/>
      <c r="BT737" s="838"/>
      <c r="BU737" s="838"/>
      <c r="BV737" s="838"/>
      <c r="BW737" s="838"/>
      <c r="BX737" s="838"/>
      <c r="BY737" s="838"/>
      <c r="BZ737" s="838"/>
      <c r="CA737" s="838"/>
      <c r="CB737" s="838"/>
      <c r="CC737" s="838"/>
      <c r="CD737" s="838"/>
      <c r="CE737" s="838"/>
      <c r="CF737" s="838"/>
      <c r="CG737" s="838"/>
      <c r="CH737" s="838"/>
      <c r="CI737" s="838"/>
      <c r="CJ737" s="838"/>
      <c r="CK737" s="838"/>
      <c r="CL737" s="838"/>
      <c r="CM737" s="838"/>
      <c r="CN737" s="838"/>
      <c r="CO737" s="838"/>
      <c r="CP737" s="838"/>
      <c r="CQ737" s="838"/>
      <c r="CR737" s="838"/>
      <c r="CS737" s="838"/>
      <c r="CT737" s="838"/>
      <c r="CU737" s="838"/>
    </row>
    <row r="738">
      <c r="A738" s="860"/>
      <c r="B738" s="860"/>
      <c r="C738" s="860"/>
      <c r="D738" s="860"/>
      <c r="E738" s="860"/>
      <c r="F738" s="860"/>
      <c r="G738" s="860"/>
      <c r="H738" s="860"/>
      <c r="I738" s="860"/>
      <c r="J738" s="860"/>
      <c r="K738" s="860"/>
      <c r="L738" s="860"/>
      <c r="M738" s="860"/>
      <c r="N738" s="860"/>
      <c r="O738" s="860"/>
      <c r="P738" s="860"/>
      <c r="Q738" s="860"/>
      <c r="R738" s="860"/>
      <c r="S738" s="860"/>
      <c r="T738" s="860"/>
      <c r="U738" s="860"/>
      <c r="V738" s="860"/>
      <c r="W738" s="860"/>
      <c r="X738" s="860"/>
      <c r="Y738" s="860"/>
      <c r="Z738" s="860"/>
      <c r="AA738" s="860"/>
      <c r="AB738" s="860"/>
      <c r="AC738" s="860"/>
      <c r="AD738" s="860"/>
      <c r="AE738" s="860"/>
      <c r="AF738" s="860"/>
      <c r="AG738" s="860"/>
      <c r="AH738" s="860"/>
      <c r="AJ738" s="836"/>
      <c r="AK738" s="836"/>
      <c r="AL738" s="836"/>
      <c r="AM738" s="836"/>
      <c r="AN738" s="836"/>
      <c r="AO738" s="836"/>
      <c r="AP738" s="836"/>
      <c r="AQ738" s="836"/>
      <c r="AR738" s="836"/>
      <c r="AS738" s="836"/>
      <c r="AT738" s="836"/>
      <c r="AU738" s="836"/>
      <c r="AV738" s="836"/>
      <c r="AW738" s="836"/>
      <c r="AX738" s="836"/>
      <c r="AY738" s="836"/>
      <c r="AZ738" s="836"/>
      <c r="BA738" s="836"/>
      <c r="BB738" s="836"/>
      <c r="BC738" s="836"/>
      <c r="BD738" s="836"/>
      <c r="BE738" s="836"/>
      <c r="BF738" s="836"/>
      <c r="BG738" s="836"/>
      <c r="BH738" s="836"/>
      <c r="BI738" s="836"/>
      <c r="BJ738" s="836"/>
      <c r="BK738" s="836"/>
      <c r="BL738" s="836"/>
      <c r="BM738" s="836"/>
      <c r="BN738" s="836"/>
      <c r="BO738" s="836"/>
      <c r="BP738" s="836"/>
      <c r="BR738" s="838"/>
      <c r="BS738" s="838"/>
      <c r="BT738" s="838"/>
      <c r="BU738" s="838"/>
      <c r="BV738" s="838"/>
      <c r="BW738" s="838"/>
      <c r="BX738" s="838"/>
      <c r="BY738" s="838"/>
      <c r="BZ738" s="838"/>
      <c r="CA738" s="838"/>
      <c r="CB738" s="838"/>
      <c r="CC738" s="838"/>
      <c r="CD738" s="838"/>
      <c r="CE738" s="838"/>
      <c r="CF738" s="838"/>
      <c r="CG738" s="838"/>
      <c r="CH738" s="838"/>
      <c r="CI738" s="838"/>
      <c r="CJ738" s="838"/>
      <c r="CK738" s="838"/>
      <c r="CL738" s="838"/>
      <c r="CM738" s="838"/>
      <c r="CN738" s="838"/>
      <c r="CO738" s="838"/>
      <c r="CP738" s="838"/>
      <c r="CQ738" s="838"/>
      <c r="CR738" s="838"/>
      <c r="CS738" s="838"/>
      <c r="CT738" s="838"/>
      <c r="CU738" s="838"/>
    </row>
    <row r="739">
      <c r="A739" s="860"/>
      <c r="B739" s="860"/>
      <c r="C739" s="860"/>
      <c r="D739" s="860"/>
      <c r="E739" s="860"/>
      <c r="F739" s="860"/>
      <c r="G739" s="860"/>
      <c r="H739" s="860"/>
      <c r="I739" s="860"/>
      <c r="J739" s="860"/>
      <c r="K739" s="860"/>
      <c r="L739" s="860"/>
      <c r="M739" s="860"/>
      <c r="N739" s="860"/>
      <c r="O739" s="860"/>
      <c r="P739" s="860"/>
      <c r="Q739" s="860"/>
      <c r="R739" s="860"/>
      <c r="S739" s="860"/>
      <c r="T739" s="860"/>
      <c r="U739" s="860"/>
      <c r="V739" s="860"/>
      <c r="W739" s="860"/>
      <c r="X739" s="860"/>
      <c r="Y739" s="860"/>
      <c r="Z739" s="860"/>
      <c r="AA739" s="860"/>
      <c r="AB739" s="860"/>
      <c r="AC739" s="860"/>
      <c r="AD739" s="860"/>
      <c r="AE739" s="860"/>
      <c r="AF739" s="860"/>
      <c r="AG739" s="860"/>
      <c r="AH739" s="860"/>
      <c r="AJ739" s="836"/>
      <c r="AK739" s="836"/>
      <c r="AL739" s="836"/>
      <c r="AM739" s="836"/>
      <c r="AN739" s="836"/>
      <c r="AO739" s="836"/>
      <c r="AP739" s="836"/>
      <c r="AQ739" s="836"/>
      <c r="AR739" s="836"/>
      <c r="AS739" s="836"/>
      <c r="AT739" s="836"/>
      <c r="AU739" s="836"/>
      <c r="AV739" s="836"/>
      <c r="AW739" s="836"/>
      <c r="AX739" s="836"/>
      <c r="AY739" s="836"/>
      <c r="AZ739" s="836"/>
      <c r="BA739" s="836"/>
      <c r="BB739" s="836"/>
      <c r="BC739" s="836"/>
      <c r="BD739" s="836"/>
      <c r="BE739" s="836"/>
      <c r="BF739" s="836"/>
      <c r="BG739" s="836"/>
      <c r="BH739" s="836"/>
      <c r="BI739" s="836"/>
      <c r="BJ739" s="836"/>
      <c r="BK739" s="836"/>
      <c r="BL739" s="836"/>
      <c r="BM739" s="836"/>
      <c r="BN739" s="836"/>
      <c r="BO739" s="836"/>
      <c r="BP739" s="836"/>
      <c r="BR739" s="838"/>
      <c r="BS739" s="838"/>
      <c r="BT739" s="838"/>
      <c r="BU739" s="838"/>
      <c r="BV739" s="838"/>
      <c r="BW739" s="838"/>
      <c r="BX739" s="838"/>
      <c r="BY739" s="838"/>
      <c r="BZ739" s="838"/>
      <c r="CA739" s="838"/>
      <c r="CB739" s="838"/>
      <c r="CC739" s="838"/>
      <c r="CD739" s="838"/>
      <c r="CE739" s="838"/>
      <c r="CF739" s="838"/>
      <c r="CG739" s="838"/>
      <c r="CH739" s="838"/>
      <c r="CI739" s="838"/>
      <c r="CJ739" s="838"/>
      <c r="CK739" s="838"/>
      <c r="CL739" s="838"/>
      <c r="CM739" s="838"/>
      <c r="CN739" s="838"/>
      <c r="CO739" s="838"/>
      <c r="CP739" s="838"/>
      <c r="CQ739" s="838"/>
      <c r="CR739" s="838"/>
      <c r="CS739" s="838"/>
      <c r="CT739" s="838"/>
      <c r="CU739" s="838"/>
    </row>
    <row r="740">
      <c r="A740" s="860"/>
      <c r="B740" s="860"/>
      <c r="C740" s="860"/>
      <c r="D740" s="860"/>
      <c r="E740" s="860"/>
      <c r="F740" s="860"/>
      <c r="G740" s="860"/>
      <c r="H740" s="860"/>
      <c r="I740" s="860"/>
      <c r="J740" s="860"/>
      <c r="K740" s="860"/>
      <c r="L740" s="860"/>
      <c r="M740" s="860"/>
      <c r="N740" s="860"/>
      <c r="O740" s="860"/>
      <c r="P740" s="860"/>
      <c r="Q740" s="860"/>
      <c r="R740" s="860"/>
      <c r="S740" s="860"/>
      <c r="T740" s="860"/>
      <c r="U740" s="860"/>
      <c r="V740" s="860"/>
      <c r="W740" s="860"/>
      <c r="X740" s="860"/>
      <c r="Y740" s="860"/>
      <c r="Z740" s="860"/>
      <c r="AA740" s="860"/>
      <c r="AB740" s="860"/>
      <c r="AC740" s="860"/>
      <c r="AD740" s="860"/>
      <c r="AE740" s="860"/>
      <c r="AF740" s="860"/>
      <c r="AG740" s="860"/>
      <c r="AH740" s="860"/>
      <c r="AJ740" s="836"/>
      <c r="AK740" s="836"/>
      <c r="AL740" s="836"/>
      <c r="AM740" s="836"/>
      <c r="AN740" s="836"/>
      <c r="AO740" s="836"/>
      <c r="AP740" s="836"/>
      <c r="AQ740" s="836"/>
      <c r="AR740" s="836"/>
      <c r="AS740" s="836"/>
      <c r="AT740" s="836"/>
      <c r="AU740" s="836"/>
      <c r="AV740" s="836"/>
      <c r="AW740" s="836"/>
      <c r="AX740" s="836"/>
      <c r="AY740" s="836"/>
      <c r="AZ740" s="836"/>
      <c r="BA740" s="836"/>
      <c r="BB740" s="836"/>
      <c r="BC740" s="836"/>
      <c r="BD740" s="836"/>
      <c r="BE740" s="836"/>
      <c r="BF740" s="836"/>
      <c r="BG740" s="836"/>
      <c r="BH740" s="836"/>
      <c r="BI740" s="836"/>
      <c r="BJ740" s="836"/>
      <c r="BK740" s="836"/>
      <c r="BL740" s="836"/>
      <c r="BM740" s="836"/>
      <c r="BN740" s="836"/>
      <c r="BO740" s="836"/>
      <c r="BP740" s="836"/>
      <c r="BR740" s="838"/>
      <c r="BS740" s="838"/>
      <c r="BT740" s="838"/>
      <c r="BU740" s="838"/>
      <c r="BV740" s="838"/>
      <c r="BW740" s="838"/>
      <c r="BX740" s="838"/>
      <c r="BY740" s="838"/>
      <c r="BZ740" s="838"/>
      <c r="CA740" s="838"/>
      <c r="CB740" s="838"/>
      <c r="CC740" s="838"/>
      <c r="CD740" s="838"/>
      <c r="CE740" s="838"/>
      <c r="CF740" s="838"/>
      <c r="CG740" s="838"/>
      <c r="CH740" s="838"/>
      <c r="CI740" s="838"/>
      <c r="CJ740" s="838"/>
      <c r="CK740" s="838"/>
      <c r="CL740" s="838"/>
      <c r="CM740" s="838"/>
      <c r="CN740" s="838"/>
      <c r="CO740" s="838"/>
      <c r="CP740" s="838"/>
      <c r="CQ740" s="838"/>
      <c r="CR740" s="838"/>
      <c r="CS740" s="838"/>
      <c r="CT740" s="838"/>
      <c r="CU740" s="838"/>
    </row>
    <row r="741">
      <c r="A741" s="860"/>
      <c r="B741" s="860"/>
      <c r="C741" s="860"/>
      <c r="D741" s="860"/>
      <c r="E741" s="860"/>
      <c r="F741" s="860"/>
      <c r="G741" s="860"/>
      <c r="H741" s="860"/>
      <c r="I741" s="860"/>
      <c r="J741" s="860"/>
      <c r="K741" s="860"/>
      <c r="L741" s="860"/>
      <c r="M741" s="860"/>
      <c r="N741" s="860"/>
      <c r="O741" s="860"/>
      <c r="P741" s="860"/>
      <c r="Q741" s="860"/>
      <c r="R741" s="860"/>
      <c r="S741" s="860"/>
      <c r="T741" s="860"/>
      <c r="U741" s="860"/>
      <c r="V741" s="860"/>
      <c r="W741" s="860"/>
      <c r="X741" s="860"/>
      <c r="Y741" s="860"/>
      <c r="Z741" s="860"/>
      <c r="AA741" s="860"/>
      <c r="AB741" s="860"/>
      <c r="AC741" s="860"/>
      <c r="AD741" s="860"/>
      <c r="AE741" s="860"/>
      <c r="AF741" s="860"/>
      <c r="AG741" s="860"/>
      <c r="AH741" s="860"/>
      <c r="AJ741" s="836"/>
      <c r="AK741" s="836"/>
      <c r="AL741" s="836"/>
      <c r="AM741" s="836"/>
      <c r="AN741" s="836"/>
      <c r="AO741" s="836"/>
      <c r="AP741" s="836"/>
      <c r="AQ741" s="836"/>
      <c r="AR741" s="836"/>
      <c r="AS741" s="836"/>
      <c r="AT741" s="836"/>
      <c r="AU741" s="836"/>
      <c r="AV741" s="836"/>
      <c r="AW741" s="836"/>
      <c r="AX741" s="836"/>
      <c r="AY741" s="836"/>
      <c r="AZ741" s="836"/>
      <c r="BA741" s="836"/>
      <c r="BB741" s="836"/>
      <c r="BC741" s="836"/>
      <c r="BD741" s="836"/>
      <c r="BE741" s="836"/>
      <c r="BF741" s="836"/>
      <c r="BG741" s="836"/>
      <c r="BH741" s="836"/>
      <c r="BI741" s="836"/>
      <c r="BJ741" s="836"/>
      <c r="BK741" s="836"/>
      <c r="BL741" s="836"/>
      <c r="BM741" s="836"/>
      <c r="BN741" s="836"/>
      <c r="BO741" s="836"/>
      <c r="BP741" s="836"/>
      <c r="BR741" s="838"/>
      <c r="BS741" s="838"/>
      <c r="BT741" s="838"/>
      <c r="BU741" s="838"/>
      <c r="BV741" s="838"/>
      <c r="BW741" s="838"/>
      <c r="BX741" s="838"/>
      <c r="BY741" s="838"/>
      <c r="BZ741" s="838"/>
      <c r="CA741" s="838"/>
      <c r="CB741" s="838"/>
      <c r="CC741" s="838"/>
      <c r="CD741" s="838"/>
      <c r="CE741" s="838"/>
      <c r="CF741" s="838"/>
      <c r="CG741" s="838"/>
      <c r="CH741" s="838"/>
      <c r="CI741" s="838"/>
      <c r="CJ741" s="838"/>
      <c r="CK741" s="838"/>
      <c r="CL741" s="838"/>
      <c r="CM741" s="838"/>
      <c r="CN741" s="838"/>
      <c r="CO741" s="838"/>
      <c r="CP741" s="838"/>
      <c r="CQ741" s="838"/>
      <c r="CR741" s="838"/>
      <c r="CS741" s="838"/>
      <c r="CT741" s="838"/>
      <c r="CU741" s="838"/>
    </row>
    <row r="742">
      <c r="A742" s="860"/>
      <c r="B742" s="860"/>
      <c r="C742" s="860"/>
      <c r="D742" s="860"/>
      <c r="E742" s="860"/>
      <c r="F742" s="860"/>
      <c r="G742" s="860"/>
      <c r="H742" s="860"/>
      <c r="I742" s="860"/>
      <c r="J742" s="860"/>
      <c r="K742" s="860"/>
      <c r="L742" s="860"/>
      <c r="M742" s="860"/>
      <c r="N742" s="860"/>
      <c r="O742" s="860"/>
      <c r="P742" s="860"/>
      <c r="Q742" s="860"/>
      <c r="R742" s="860"/>
      <c r="S742" s="860"/>
      <c r="T742" s="860"/>
      <c r="U742" s="860"/>
      <c r="V742" s="860"/>
      <c r="W742" s="860"/>
      <c r="X742" s="860"/>
      <c r="Y742" s="860"/>
      <c r="Z742" s="860"/>
      <c r="AA742" s="860"/>
      <c r="AB742" s="860"/>
      <c r="AC742" s="860"/>
      <c r="AD742" s="860"/>
      <c r="AE742" s="860"/>
      <c r="AF742" s="860"/>
      <c r="AG742" s="860"/>
      <c r="AH742" s="860"/>
      <c r="AJ742" s="836"/>
      <c r="AK742" s="836"/>
      <c r="AL742" s="836"/>
      <c r="AM742" s="836"/>
      <c r="AN742" s="836"/>
      <c r="AO742" s="836"/>
      <c r="AP742" s="836"/>
      <c r="AQ742" s="836"/>
      <c r="AR742" s="836"/>
      <c r="AS742" s="836"/>
      <c r="AT742" s="836"/>
      <c r="AU742" s="836"/>
      <c r="AV742" s="836"/>
      <c r="AW742" s="836"/>
      <c r="AX742" s="836"/>
      <c r="AY742" s="836"/>
      <c r="AZ742" s="836"/>
      <c r="BA742" s="836"/>
      <c r="BB742" s="836"/>
      <c r="BC742" s="836"/>
      <c r="BD742" s="836"/>
      <c r="BE742" s="836"/>
      <c r="BF742" s="836"/>
      <c r="BG742" s="836"/>
      <c r="BH742" s="836"/>
      <c r="BI742" s="836"/>
      <c r="BJ742" s="836"/>
      <c r="BK742" s="836"/>
      <c r="BL742" s="836"/>
      <c r="BM742" s="836"/>
      <c r="BN742" s="836"/>
      <c r="BO742" s="836"/>
      <c r="BP742" s="836"/>
      <c r="BR742" s="838"/>
      <c r="BS742" s="838"/>
      <c r="BT742" s="838"/>
      <c r="BU742" s="838"/>
      <c r="BV742" s="838"/>
      <c r="BW742" s="838"/>
      <c r="BX742" s="838"/>
      <c r="BY742" s="838"/>
      <c r="BZ742" s="838"/>
      <c r="CA742" s="838"/>
      <c r="CB742" s="838"/>
      <c r="CC742" s="838"/>
      <c r="CD742" s="838"/>
      <c r="CE742" s="838"/>
      <c r="CF742" s="838"/>
      <c r="CG742" s="838"/>
      <c r="CH742" s="838"/>
      <c r="CI742" s="838"/>
      <c r="CJ742" s="838"/>
      <c r="CK742" s="838"/>
      <c r="CL742" s="838"/>
      <c r="CM742" s="838"/>
      <c r="CN742" s="838"/>
      <c r="CO742" s="838"/>
      <c r="CP742" s="838"/>
      <c r="CQ742" s="838"/>
      <c r="CR742" s="838"/>
      <c r="CS742" s="838"/>
      <c r="CT742" s="838"/>
      <c r="CU742" s="838"/>
    </row>
    <row r="743">
      <c r="A743" s="860"/>
      <c r="B743" s="860"/>
      <c r="C743" s="860"/>
      <c r="D743" s="860"/>
      <c r="E743" s="860"/>
      <c r="F743" s="860"/>
      <c r="G743" s="860"/>
      <c r="H743" s="860"/>
      <c r="I743" s="860"/>
      <c r="J743" s="860"/>
      <c r="K743" s="860"/>
      <c r="L743" s="860"/>
      <c r="M743" s="860"/>
      <c r="N743" s="860"/>
      <c r="O743" s="860"/>
      <c r="P743" s="860"/>
      <c r="Q743" s="860"/>
      <c r="R743" s="860"/>
      <c r="S743" s="860"/>
      <c r="T743" s="860"/>
      <c r="U743" s="860"/>
      <c r="V743" s="860"/>
      <c r="W743" s="860"/>
      <c r="X743" s="860"/>
      <c r="Y743" s="860"/>
      <c r="Z743" s="860"/>
      <c r="AA743" s="860"/>
      <c r="AB743" s="860"/>
      <c r="AC743" s="860"/>
      <c r="AD743" s="860"/>
      <c r="AE743" s="860"/>
      <c r="AF743" s="860"/>
      <c r="AG743" s="860"/>
      <c r="AH743" s="860"/>
      <c r="AJ743" s="836"/>
      <c r="AK743" s="836"/>
      <c r="AL743" s="836"/>
      <c r="AM743" s="836"/>
      <c r="AN743" s="836"/>
      <c r="AO743" s="836"/>
      <c r="AP743" s="836"/>
      <c r="AQ743" s="836"/>
      <c r="AR743" s="836"/>
      <c r="AS743" s="836"/>
      <c r="AT743" s="836"/>
      <c r="AU743" s="836"/>
      <c r="AV743" s="836"/>
      <c r="AW743" s="836"/>
      <c r="AX743" s="836"/>
      <c r="AY743" s="836"/>
      <c r="AZ743" s="836"/>
      <c r="BA743" s="836"/>
      <c r="BB743" s="836"/>
      <c r="BC743" s="836"/>
      <c r="BD743" s="836"/>
      <c r="BE743" s="836"/>
      <c r="BF743" s="836"/>
      <c r="BG743" s="836"/>
      <c r="BH743" s="836"/>
      <c r="BI743" s="836"/>
      <c r="BJ743" s="836"/>
      <c r="BK743" s="836"/>
      <c r="BL743" s="836"/>
      <c r="BM743" s="836"/>
      <c r="BN743" s="836"/>
      <c r="BO743" s="836"/>
      <c r="BP743" s="836"/>
      <c r="BR743" s="838"/>
      <c r="BS743" s="838"/>
      <c r="BT743" s="838"/>
      <c r="BU743" s="838"/>
      <c r="BV743" s="838"/>
      <c r="BW743" s="838"/>
      <c r="BX743" s="838"/>
      <c r="BY743" s="838"/>
      <c r="BZ743" s="838"/>
      <c r="CA743" s="838"/>
      <c r="CB743" s="838"/>
      <c r="CC743" s="838"/>
      <c r="CD743" s="838"/>
      <c r="CE743" s="838"/>
      <c r="CF743" s="838"/>
      <c r="CG743" s="838"/>
      <c r="CH743" s="838"/>
      <c r="CI743" s="838"/>
      <c r="CJ743" s="838"/>
      <c r="CK743" s="838"/>
      <c r="CL743" s="838"/>
      <c r="CM743" s="838"/>
      <c r="CN743" s="838"/>
      <c r="CO743" s="838"/>
      <c r="CP743" s="838"/>
      <c r="CQ743" s="838"/>
      <c r="CR743" s="838"/>
      <c r="CS743" s="838"/>
      <c r="CT743" s="838"/>
      <c r="CU743" s="838"/>
    </row>
    <row r="744">
      <c r="A744" s="860"/>
      <c r="B744" s="860"/>
      <c r="C744" s="860"/>
      <c r="D744" s="860"/>
      <c r="E744" s="860"/>
      <c r="F744" s="860"/>
      <c r="G744" s="860"/>
      <c r="H744" s="860"/>
      <c r="I744" s="860"/>
      <c r="J744" s="860"/>
      <c r="K744" s="860"/>
      <c r="L744" s="860"/>
      <c r="M744" s="860"/>
      <c r="N744" s="860"/>
      <c r="O744" s="860"/>
      <c r="P744" s="860"/>
      <c r="Q744" s="860"/>
      <c r="R744" s="860"/>
      <c r="S744" s="860"/>
      <c r="T744" s="860"/>
      <c r="U744" s="860"/>
      <c r="V744" s="860"/>
      <c r="W744" s="860"/>
      <c r="X744" s="860"/>
      <c r="Y744" s="860"/>
      <c r="Z744" s="860"/>
      <c r="AA744" s="860"/>
      <c r="AB744" s="860"/>
      <c r="AC744" s="860"/>
      <c r="AD744" s="860"/>
      <c r="AE744" s="860"/>
      <c r="AF744" s="860"/>
      <c r="AG744" s="860"/>
      <c r="AH744" s="860"/>
      <c r="AJ744" s="836"/>
      <c r="AK744" s="836"/>
      <c r="AL744" s="836"/>
      <c r="AM744" s="836"/>
      <c r="AN744" s="836"/>
      <c r="AO744" s="836"/>
      <c r="AP744" s="836"/>
      <c r="AQ744" s="836"/>
      <c r="AR744" s="836"/>
      <c r="AS744" s="836"/>
      <c r="AT744" s="836"/>
      <c r="AU744" s="836"/>
      <c r="AV744" s="836"/>
      <c r="AW744" s="836"/>
      <c r="AX744" s="836"/>
      <c r="AY744" s="836"/>
      <c r="AZ744" s="836"/>
      <c r="BA744" s="836"/>
      <c r="BB744" s="836"/>
      <c r="BC744" s="836"/>
      <c r="BD744" s="836"/>
      <c r="BE744" s="836"/>
      <c r="BF744" s="836"/>
      <c r="BG744" s="836"/>
      <c r="BH744" s="836"/>
      <c r="BI744" s="836"/>
      <c r="BJ744" s="836"/>
      <c r="BK744" s="836"/>
      <c r="BL744" s="836"/>
      <c r="BM744" s="836"/>
      <c r="BN744" s="836"/>
      <c r="BO744" s="836"/>
      <c r="BP744" s="836"/>
      <c r="BR744" s="838"/>
      <c r="BS744" s="838"/>
      <c r="BT744" s="838"/>
      <c r="BU744" s="838"/>
      <c r="BV744" s="838"/>
      <c r="BW744" s="838"/>
      <c r="BX744" s="838"/>
      <c r="BY744" s="838"/>
      <c r="BZ744" s="838"/>
      <c r="CA744" s="838"/>
      <c r="CB744" s="838"/>
      <c r="CC744" s="838"/>
      <c r="CD744" s="838"/>
      <c r="CE744" s="838"/>
      <c r="CF744" s="838"/>
      <c r="CG744" s="838"/>
      <c r="CH744" s="838"/>
      <c r="CI744" s="838"/>
      <c r="CJ744" s="838"/>
      <c r="CK744" s="838"/>
      <c r="CL744" s="838"/>
      <c r="CM744" s="838"/>
      <c r="CN744" s="838"/>
      <c r="CO744" s="838"/>
      <c r="CP744" s="838"/>
      <c r="CQ744" s="838"/>
      <c r="CR744" s="838"/>
      <c r="CS744" s="838"/>
      <c r="CT744" s="838"/>
      <c r="CU744" s="838"/>
    </row>
    <row r="745">
      <c r="A745" s="860"/>
      <c r="B745" s="860"/>
      <c r="C745" s="860"/>
      <c r="D745" s="860"/>
      <c r="E745" s="860"/>
      <c r="F745" s="860"/>
      <c r="G745" s="860"/>
      <c r="H745" s="860"/>
      <c r="I745" s="860"/>
      <c r="J745" s="860"/>
      <c r="K745" s="860"/>
      <c r="L745" s="860"/>
      <c r="M745" s="860"/>
      <c r="N745" s="860"/>
      <c r="O745" s="860"/>
      <c r="P745" s="860"/>
      <c r="Q745" s="860"/>
      <c r="R745" s="860"/>
      <c r="S745" s="860"/>
      <c r="T745" s="860"/>
      <c r="U745" s="860"/>
      <c r="V745" s="860"/>
      <c r="W745" s="860"/>
      <c r="X745" s="860"/>
      <c r="Y745" s="860"/>
      <c r="Z745" s="860"/>
      <c r="AA745" s="860"/>
      <c r="AB745" s="860"/>
      <c r="AC745" s="860"/>
      <c r="AD745" s="860"/>
      <c r="AE745" s="860"/>
      <c r="AF745" s="860"/>
      <c r="AG745" s="860"/>
      <c r="AH745" s="860"/>
      <c r="AJ745" s="836"/>
      <c r="AK745" s="836"/>
      <c r="AL745" s="836"/>
      <c r="AM745" s="836"/>
      <c r="AN745" s="836"/>
      <c r="AO745" s="836"/>
      <c r="AP745" s="836"/>
      <c r="AQ745" s="836"/>
      <c r="AR745" s="836"/>
      <c r="AS745" s="836"/>
      <c r="AT745" s="836"/>
      <c r="AU745" s="836"/>
      <c r="AV745" s="836"/>
      <c r="AW745" s="836"/>
      <c r="AX745" s="836"/>
      <c r="AY745" s="836"/>
      <c r="AZ745" s="836"/>
      <c r="BA745" s="836"/>
      <c r="BB745" s="836"/>
      <c r="BC745" s="836"/>
      <c r="BD745" s="836"/>
      <c r="BE745" s="836"/>
      <c r="BF745" s="836"/>
      <c r="BG745" s="836"/>
      <c r="BH745" s="836"/>
      <c r="BI745" s="836"/>
      <c r="BJ745" s="836"/>
      <c r="BK745" s="836"/>
      <c r="BL745" s="836"/>
      <c r="BM745" s="836"/>
      <c r="BN745" s="836"/>
      <c r="BO745" s="836"/>
      <c r="BP745" s="836"/>
      <c r="BR745" s="838"/>
      <c r="BS745" s="838"/>
      <c r="BT745" s="838"/>
      <c r="BU745" s="838"/>
      <c r="BV745" s="838"/>
      <c r="BW745" s="838"/>
      <c r="BX745" s="838"/>
      <c r="BY745" s="838"/>
      <c r="BZ745" s="838"/>
      <c r="CA745" s="838"/>
      <c r="CB745" s="838"/>
      <c r="CC745" s="838"/>
      <c r="CD745" s="838"/>
      <c r="CE745" s="838"/>
      <c r="CF745" s="838"/>
      <c r="CG745" s="838"/>
      <c r="CH745" s="838"/>
      <c r="CI745" s="838"/>
      <c r="CJ745" s="838"/>
      <c r="CK745" s="838"/>
      <c r="CL745" s="838"/>
      <c r="CM745" s="838"/>
      <c r="CN745" s="838"/>
      <c r="CO745" s="838"/>
      <c r="CP745" s="838"/>
      <c r="CQ745" s="838"/>
      <c r="CR745" s="838"/>
      <c r="CS745" s="838"/>
      <c r="CT745" s="838"/>
      <c r="CU745" s="838"/>
    </row>
    <row r="746">
      <c r="A746" s="860"/>
      <c r="B746" s="860"/>
      <c r="C746" s="860"/>
      <c r="D746" s="860"/>
      <c r="E746" s="860"/>
      <c r="F746" s="860"/>
      <c r="G746" s="860"/>
      <c r="H746" s="860"/>
      <c r="I746" s="860"/>
      <c r="J746" s="860"/>
      <c r="K746" s="860"/>
      <c r="L746" s="860"/>
      <c r="M746" s="860"/>
      <c r="N746" s="860"/>
      <c r="O746" s="860"/>
      <c r="P746" s="860"/>
      <c r="Q746" s="860"/>
      <c r="R746" s="860"/>
      <c r="S746" s="860"/>
      <c r="T746" s="860"/>
      <c r="U746" s="860"/>
      <c r="V746" s="860"/>
      <c r="W746" s="860"/>
      <c r="X746" s="860"/>
      <c r="Y746" s="860"/>
      <c r="Z746" s="860"/>
      <c r="AA746" s="860"/>
      <c r="AB746" s="860"/>
      <c r="AC746" s="860"/>
      <c r="AD746" s="860"/>
      <c r="AE746" s="860"/>
      <c r="AF746" s="860"/>
      <c r="AG746" s="860"/>
      <c r="AH746" s="860"/>
      <c r="AJ746" s="836"/>
      <c r="AK746" s="836"/>
      <c r="AL746" s="836"/>
      <c r="AM746" s="836"/>
      <c r="AN746" s="836"/>
      <c r="AO746" s="836"/>
      <c r="AP746" s="836"/>
      <c r="AQ746" s="836"/>
      <c r="AR746" s="836"/>
      <c r="AS746" s="836"/>
      <c r="AT746" s="836"/>
      <c r="AU746" s="836"/>
      <c r="AV746" s="836"/>
      <c r="AW746" s="836"/>
      <c r="AX746" s="836"/>
      <c r="AY746" s="836"/>
      <c r="AZ746" s="836"/>
      <c r="BA746" s="836"/>
      <c r="BB746" s="836"/>
      <c r="BC746" s="836"/>
      <c r="BD746" s="836"/>
      <c r="BE746" s="836"/>
      <c r="BF746" s="836"/>
      <c r="BG746" s="836"/>
      <c r="BH746" s="836"/>
      <c r="BI746" s="836"/>
      <c r="BJ746" s="836"/>
      <c r="BK746" s="836"/>
      <c r="BL746" s="836"/>
      <c r="BM746" s="836"/>
      <c r="BN746" s="836"/>
      <c r="BO746" s="836"/>
      <c r="BP746" s="836"/>
      <c r="BR746" s="838"/>
      <c r="BS746" s="838"/>
      <c r="BT746" s="838"/>
      <c r="BU746" s="838"/>
      <c r="BV746" s="838"/>
      <c r="BW746" s="838"/>
      <c r="BX746" s="838"/>
      <c r="BY746" s="838"/>
      <c r="BZ746" s="838"/>
      <c r="CA746" s="838"/>
      <c r="CB746" s="838"/>
      <c r="CC746" s="838"/>
      <c r="CD746" s="838"/>
      <c r="CE746" s="838"/>
      <c r="CF746" s="838"/>
      <c r="CG746" s="838"/>
      <c r="CH746" s="838"/>
      <c r="CI746" s="838"/>
      <c r="CJ746" s="838"/>
      <c r="CK746" s="838"/>
      <c r="CL746" s="838"/>
      <c r="CM746" s="838"/>
      <c r="CN746" s="838"/>
      <c r="CO746" s="838"/>
      <c r="CP746" s="838"/>
      <c r="CQ746" s="838"/>
      <c r="CR746" s="838"/>
      <c r="CS746" s="838"/>
      <c r="CT746" s="838"/>
      <c r="CU746" s="838"/>
    </row>
    <row r="747">
      <c r="A747" s="860"/>
      <c r="B747" s="860"/>
      <c r="C747" s="860"/>
      <c r="D747" s="860"/>
      <c r="E747" s="860"/>
      <c r="F747" s="860"/>
      <c r="G747" s="860"/>
      <c r="H747" s="860"/>
      <c r="I747" s="860"/>
      <c r="J747" s="860"/>
      <c r="K747" s="860"/>
      <c r="L747" s="860"/>
      <c r="M747" s="860"/>
      <c r="N747" s="860"/>
      <c r="O747" s="860"/>
      <c r="P747" s="860"/>
      <c r="Q747" s="860"/>
      <c r="R747" s="860"/>
      <c r="S747" s="860"/>
      <c r="T747" s="860"/>
      <c r="U747" s="860"/>
      <c r="V747" s="860"/>
      <c r="W747" s="860"/>
      <c r="X747" s="860"/>
      <c r="Y747" s="860"/>
      <c r="Z747" s="860"/>
      <c r="AA747" s="860"/>
      <c r="AB747" s="860"/>
      <c r="AC747" s="860"/>
      <c r="AD747" s="860"/>
      <c r="AE747" s="860"/>
      <c r="AF747" s="860"/>
      <c r="AG747" s="860"/>
      <c r="AH747" s="860"/>
      <c r="AJ747" s="836"/>
      <c r="AK747" s="836"/>
      <c r="AL747" s="836"/>
      <c r="AM747" s="836"/>
      <c r="AN747" s="836"/>
      <c r="AO747" s="836"/>
      <c r="AP747" s="836"/>
      <c r="AQ747" s="836"/>
      <c r="AR747" s="836"/>
      <c r="AS747" s="836"/>
      <c r="AT747" s="836"/>
      <c r="AU747" s="836"/>
      <c r="AV747" s="836"/>
      <c r="AW747" s="836"/>
      <c r="AX747" s="836"/>
      <c r="AY747" s="836"/>
      <c r="AZ747" s="836"/>
      <c r="BA747" s="836"/>
      <c r="BB747" s="836"/>
      <c r="BC747" s="836"/>
      <c r="BD747" s="836"/>
      <c r="BE747" s="836"/>
      <c r="BF747" s="836"/>
      <c r="BG747" s="836"/>
      <c r="BH747" s="836"/>
      <c r="BI747" s="836"/>
      <c r="BJ747" s="836"/>
      <c r="BK747" s="836"/>
      <c r="BL747" s="836"/>
      <c r="BM747" s="836"/>
      <c r="BN747" s="836"/>
      <c r="BO747" s="836"/>
      <c r="BP747" s="836"/>
      <c r="BR747" s="838"/>
      <c r="BS747" s="838"/>
      <c r="BT747" s="838"/>
      <c r="BU747" s="838"/>
      <c r="BV747" s="838"/>
      <c r="BW747" s="838"/>
      <c r="BX747" s="838"/>
      <c r="BY747" s="838"/>
      <c r="BZ747" s="838"/>
      <c r="CA747" s="838"/>
      <c r="CB747" s="838"/>
      <c r="CC747" s="838"/>
      <c r="CD747" s="838"/>
      <c r="CE747" s="838"/>
      <c r="CF747" s="838"/>
      <c r="CG747" s="838"/>
      <c r="CH747" s="838"/>
      <c r="CI747" s="838"/>
      <c r="CJ747" s="838"/>
      <c r="CK747" s="838"/>
      <c r="CL747" s="838"/>
      <c r="CM747" s="838"/>
      <c r="CN747" s="838"/>
      <c r="CO747" s="838"/>
      <c r="CP747" s="838"/>
      <c r="CQ747" s="838"/>
      <c r="CR747" s="838"/>
      <c r="CS747" s="838"/>
      <c r="CT747" s="838"/>
      <c r="CU747" s="838"/>
    </row>
    <row r="748">
      <c r="A748" s="860"/>
      <c r="B748" s="860"/>
      <c r="C748" s="860"/>
      <c r="D748" s="860"/>
      <c r="E748" s="860"/>
      <c r="F748" s="860"/>
      <c r="G748" s="860"/>
      <c r="H748" s="860"/>
      <c r="I748" s="860"/>
      <c r="J748" s="860"/>
      <c r="K748" s="860"/>
      <c r="L748" s="860"/>
      <c r="M748" s="860"/>
      <c r="N748" s="860"/>
      <c r="O748" s="860"/>
      <c r="P748" s="860"/>
      <c r="Q748" s="860"/>
      <c r="R748" s="860"/>
      <c r="S748" s="860"/>
      <c r="T748" s="860"/>
      <c r="U748" s="860"/>
      <c r="V748" s="860"/>
      <c r="W748" s="860"/>
      <c r="X748" s="860"/>
      <c r="Y748" s="860"/>
      <c r="Z748" s="860"/>
      <c r="AA748" s="860"/>
      <c r="AB748" s="860"/>
      <c r="AC748" s="860"/>
      <c r="AD748" s="860"/>
      <c r="AE748" s="860"/>
      <c r="AF748" s="860"/>
      <c r="AG748" s="860"/>
      <c r="AH748" s="860"/>
      <c r="AJ748" s="836"/>
      <c r="AK748" s="836"/>
      <c r="AL748" s="836"/>
      <c r="AM748" s="836"/>
      <c r="AN748" s="836"/>
      <c r="AO748" s="836"/>
      <c r="AP748" s="836"/>
      <c r="AQ748" s="836"/>
      <c r="AR748" s="836"/>
      <c r="AS748" s="836"/>
      <c r="AT748" s="836"/>
      <c r="AU748" s="836"/>
      <c r="AV748" s="836"/>
      <c r="AW748" s="836"/>
      <c r="AX748" s="836"/>
      <c r="AY748" s="836"/>
      <c r="AZ748" s="836"/>
      <c r="BA748" s="836"/>
      <c r="BB748" s="836"/>
      <c r="BC748" s="836"/>
      <c r="BD748" s="836"/>
      <c r="BE748" s="836"/>
      <c r="BF748" s="836"/>
      <c r="BG748" s="836"/>
      <c r="BH748" s="836"/>
      <c r="BI748" s="836"/>
      <c r="BJ748" s="836"/>
      <c r="BK748" s="836"/>
      <c r="BL748" s="836"/>
      <c r="BM748" s="836"/>
      <c r="BN748" s="836"/>
      <c r="BO748" s="836"/>
      <c r="BP748" s="836"/>
      <c r="BR748" s="838"/>
      <c r="BS748" s="838"/>
      <c r="BT748" s="838"/>
      <c r="BU748" s="838"/>
      <c r="BV748" s="838"/>
      <c r="BW748" s="838"/>
      <c r="BX748" s="838"/>
      <c r="BY748" s="838"/>
      <c r="BZ748" s="838"/>
      <c r="CA748" s="838"/>
      <c r="CB748" s="838"/>
      <c r="CC748" s="838"/>
      <c r="CD748" s="838"/>
      <c r="CE748" s="838"/>
      <c r="CF748" s="838"/>
      <c r="CG748" s="838"/>
      <c r="CH748" s="838"/>
      <c r="CI748" s="838"/>
      <c r="CJ748" s="838"/>
      <c r="CK748" s="838"/>
      <c r="CL748" s="838"/>
      <c r="CM748" s="838"/>
      <c r="CN748" s="838"/>
      <c r="CO748" s="838"/>
      <c r="CP748" s="838"/>
      <c r="CQ748" s="838"/>
      <c r="CR748" s="838"/>
      <c r="CS748" s="838"/>
      <c r="CT748" s="838"/>
      <c r="CU748" s="838"/>
    </row>
    <row r="749">
      <c r="A749" s="860"/>
      <c r="B749" s="860"/>
      <c r="C749" s="860"/>
      <c r="D749" s="860"/>
      <c r="E749" s="860"/>
      <c r="F749" s="860"/>
      <c r="G749" s="860"/>
      <c r="H749" s="860"/>
      <c r="I749" s="860"/>
      <c r="J749" s="860"/>
      <c r="K749" s="860"/>
      <c r="L749" s="860"/>
      <c r="M749" s="860"/>
      <c r="N749" s="860"/>
      <c r="O749" s="860"/>
      <c r="P749" s="860"/>
      <c r="Q749" s="860"/>
      <c r="R749" s="860"/>
      <c r="S749" s="860"/>
      <c r="T749" s="860"/>
      <c r="U749" s="860"/>
      <c r="V749" s="860"/>
      <c r="W749" s="860"/>
      <c r="X749" s="860"/>
      <c r="Y749" s="860"/>
      <c r="Z749" s="860"/>
      <c r="AA749" s="860"/>
      <c r="AB749" s="860"/>
      <c r="AC749" s="860"/>
      <c r="AD749" s="860"/>
      <c r="AE749" s="860"/>
      <c r="AF749" s="860"/>
      <c r="AG749" s="860"/>
      <c r="AH749" s="860"/>
      <c r="AJ749" s="836"/>
      <c r="AK749" s="836"/>
      <c r="AL749" s="836"/>
      <c r="AM749" s="836"/>
      <c r="AN749" s="836"/>
      <c r="AO749" s="836"/>
      <c r="AP749" s="836"/>
      <c r="AQ749" s="836"/>
      <c r="AR749" s="836"/>
      <c r="AS749" s="836"/>
      <c r="AT749" s="836"/>
      <c r="AU749" s="836"/>
      <c r="AV749" s="836"/>
      <c r="AW749" s="836"/>
      <c r="AX749" s="836"/>
      <c r="AY749" s="836"/>
      <c r="AZ749" s="836"/>
      <c r="BA749" s="836"/>
      <c r="BB749" s="836"/>
      <c r="BC749" s="836"/>
      <c r="BD749" s="836"/>
      <c r="BE749" s="836"/>
      <c r="BF749" s="836"/>
      <c r="BG749" s="836"/>
      <c r="BH749" s="836"/>
      <c r="BI749" s="836"/>
      <c r="BJ749" s="836"/>
      <c r="BK749" s="836"/>
      <c r="BL749" s="836"/>
      <c r="BM749" s="836"/>
      <c r="BN749" s="836"/>
      <c r="BO749" s="836"/>
      <c r="BP749" s="836"/>
      <c r="BR749" s="838"/>
      <c r="BS749" s="838"/>
      <c r="BT749" s="838"/>
      <c r="BU749" s="838"/>
      <c r="BV749" s="838"/>
      <c r="BW749" s="838"/>
      <c r="BX749" s="838"/>
      <c r="BY749" s="838"/>
      <c r="BZ749" s="838"/>
      <c r="CA749" s="838"/>
      <c r="CB749" s="838"/>
      <c r="CC749" s="838"/>
      <c r="CD749" s="838"/>
      <c r="CE749" s="838"/>
      <c r="CF749" s="838"/>
      <c r="CG749" s="838"/>
      <c r="CH749" s="838"/>
      <c r="CI749" s="838"/>
      <c r="CJ749" s="838"/>
      <c r="CK749" s="838"/>
      <c r="CL749" s="838"/>
      <c r="CM749" s="838"/>
      <c r="CN749" s="838"/>
      <c r="CO749" s="838"/>
      <c r="CP749" s="838"/>
      <c r="CQ749" s="838"/>
      <c r="CR749" s="838"/>
      <c r="CS749" s="838"/>
      <c r="CT749" s="838"/>
      <c r="CU749" s="838"/>
    </row>
    <row r="750">
      <c r="A750" s="860"/>
      <c r="B750" s="860"/>
      <c r="C750" s="860"/>
      <c r="D750" s="860"/>
      <c r="E750" s="860"/>
      <c r="F750" s="860"/>
      <c r="G750" s="860"/>
      <c r="H750" s="860"/>
      <c r="I750" s="860"/>
      <c r="J750" s="860"/>
      <c r="K750" s="860"/>
      <c r="L750" s="860"/>
      <c r="M750" s="860"/>
      <c r="N750" s="860"/>
      <c r="O750" s="860"/>
      <c r="P750" s="860"/>
      <c r="Q750" s="860"/>
      <c r="R750" s="860"/>
      <c r="S750" s="860"/>
      <c r="T750" s="860"/>
      <c r="U750" s="860"/>
      <c r="V750" s="860"/>
      <c r="W750" s="860"/>
      <c r="X750" s="860"/>
      <c r="Y750" s="860"/>
      <c r="Z750" s="860"/>
      <c r="AA750" s="860"/>
      <c r="AB750" s="860"/>
      <c r="AC750" s="860"/>
      <c r="AD750" s="860"/>
      <c r="AE750" s="860"/>
      <c r="AF750" s="860"/>
      <c r="AG750" s="860"/>
      <c r="AH750" s="860"/>
      <c r="AJ750" s="836"/>
      <c r="AK750" s="836"/>
      <c r="AL750" s="836"/>
      <c r="AM750" s="836"/>
      <c r="AN750" s="836"/>
      <c r="AO750" s="836"/>
      <c r="AP750" s="836"/>
      <c r="AQ750" s="836"/>
      <c r="AR750" s="836"/>
      <c r="AS750" s="836"/>
      <c r="AT750" s="836"/>
      <c r="AU750" s="836"/>
      <c r="AV750" s="836"/>
      <c r="AW750" s="836"/>
      <c r="AX750" s="836"/>
      <c r="AY750" s="836"/>
      <c r="AZ750" s="836"/>
      <c r="BA750" s="836"/>
      <c r="BB750" s="836"/>
      <c r="BC750" s="836"/>
      <c r="BD750" s="836"/>
      <c r="BE750" s="836"/>
      <c r="BF750" s="836"/>
      <c r="BG750" s="836"/>
      <c r="BH750" s="836"/>
      <c r="BI750" s="836"/>
      <c r="BJ750" s="836"/>
      <c r="BK750" s="836"/>
      <c r="BL750" s="836"/>
      <c r="BM750" s="836"/>
      <c r="BN750" s="836"/>
      <c r="BO750" s="836"/>
      <c r="BP750" s="836"/>
      <c r="BR750" s="838"/>
      <c r="BS750" s="838"/>
      <c r="BT750" s="838"/>
      <c r="BU750" s="838"/>
      <c r="BV750" s="838"/>
      <c r="BW750" s="838"/>
      <c r="BX750" s="838"/>
      <c r="BY750" s="838"/>
      <c r="BZ750" s="838"/>
      <c r="CA750" s="838"/>
      <c r="CB750" s="838"/>
      <c r="CC750" s="838"/>
      <c r="CD750" s="838"/>
      <c r="CE750" s="838"/>
      <c r="CF750" s="838"/>
      <c r="CG750" s="838"/>
      <c r="CH750" s="838"/>
      <c r="CI750" s="838"/>
      <c r="CJ750" s="838"/>
      <c r="CK750" s="838"/>
      <c r="CL750" s="838"/>
      <c r="CM750" s="838"/>
      <c r="CN750" s="838"/>
      <c r="CO750" s="838"/>
      <c r="CP750" s="838"/>
      <c r="CQ750" s="838"/>
      <c r="CR750" s="838"/>
      <c r="CS750" s="838"/>
      <c r="CT750" s="838"/>
      <c r="CU750" s="838"/>
    </row>
    <row r="751">
      <c r="A751" s="860"/>
      <c r="B751" s="860"/>
      <c r="C751" s="860"/>
      <c r="D751" s="860"/>
      <c r="E751" s="860"/>
      <c r="F751" s="860"/>
      <c r="G751" s="860"/>
      <c r="H751" s="860"/>
      <c r="I751" s="860"/>
      <c r="J751" s="860"/>
      <c r="K751" s="860"/>
      <c r="L751" s="860"/>
      <c r="M751" s="860"/>
      <c r="N751" s="860"/>
      <c r="O751" s="860"/>
      <c r="P751" s="860"/>
      <c r="Q751" s="860"/>
      <c r="R751" s="860"/>
      <c r="S751" s="860"/>
      <c r="T751" s="860"/>
      <c r="U751" s="860"/>
      <c r="V751" s="860"/>
      <c r="W751" s="860"/>
      <c r="X751" s="860"/>
      <c r="Y751" s="860"/>
      <c r="Z751" s="860"/>
      <c r="AA751" s="860"/>
      <c r="AB751" s="860"/>
      <c r="AC751" s="860"/>
      <c r="AD751" s="860"/>
      <c r="AE751" s="860"/>
      <c r="AF751" s="860"/>
      <c r="AG751" s="860"/>
      <c r="AH751" s="860"/>
      <c r="AJ751" s="836"/>
      <c r="AK751" s="836"/>
      <c r="AL751" s="836"/>
      <c r="AM751" s="836"/>
      <c r="AN751" s="836"/>
      <c r="AO751" s="836"/>
      <c r="AP751" s="836"/>
      <c r="AQ751" s="836"/>
      <c r="AR751" s="836"/>
      <c r="AS751" s="836"/>
      <c r="AT751" s="836"/>
      <c r="AU751" s="836"/>
      <c r="AV751" s="836"/>
      <c r="AW751" s="836"/>
      <c r="AX751" s="836"/>
      <c r="AY751" s="836"/>
      <c r="AZ751" s="836"/>
      <c r="BA751" s="836"/>
      <c r="BB751" s="836"/>
      <c r="BC751" s="836"/>
      <c r="BD751" s="836"/>
      <c r="BE751" s="836"/>
      <c r="BF751" s="836"/>
      <c r="BG751" s="836"/>
      <c r="BH751" s="836"/>
      <c r="BI751" s="836"/>
      <c r="BJ751" s="836"/>
      <c r="BK751" s="836"/>
      <c r="BL751" s="836"/>
      <c r="BM751" s="836"/>
      <c r="BN751" s="836"/>
      <c r="BO751" s="836"/>
      <c r="BP751" s="836"/>
      <c r="BR751" s="838"/>
      <c r="BS751" s="838"/>
      <c r="BT751" s="838"/>
      <c r="BU751" s="838"/>
      <c r="BV751" s="838"/>
      <c r="BW751" s="838"/>
      <c r="BX751" s="838"/>
      <c r="BY751" s="838"/>
      <c r="BZ751" s="838"/>
      <c r="CA751" s="838"/>
      <c r="CB751" s="838"/>
      <c r="CC751" s="838"/>
      <c r="CD751" s="838"/>
      <c r="CE751" s="838"/>
      <c r="CF751" s="838"/>
      <c r="CG751" s="838"/>
      <c r="CH751" s="838"/>
      <c r="CI751" s="838"/>
      <c r="CJ751" s="838"/>
      <c r="CK751" s="838"/>
      <c r="CL751" s="838"/>
      <c r="CM751" s="838"/>
      <c r="CN751" s="838"/>
      <c r="CO751" s="838"/>
      <c r="CP751" s="838"/>
      <c r="CQ751" s="838"/>
      <c r="CR751" s="838"/>
      <c r="CS751" s="838"/>
      <c r="CT751" s="838"/>
      <c r="CU751" s="838"/>
    </row>
    <row r="752">
      <c r="A752" s="860"/>
      <c r="B752" s="860"/>
      <c r="C752" s="860"/>
      <c r="D752" s="860"/>
      <c r="E752" s="860"/>
      <c r="F752" s="860"/>
      <c r="G752" s="860"/>
      <c r="H752" s="860"/>
      <c r="I752" s="860"/>
      <c r="J752" s="860"/>
      <c r="K752" s="860"/>
      <c r="L752" s="860"/>
      <c r="M752" s="860"/>
      <c r="N752" s="860"/>
      <c r="O752" s="860"/>
      <c r="P752" s="860"/>
      <c r="Q752" s="860"/>
      <c r="R752" s="860"/>
      <c r="S752" s="860"/>
      <c r="T752" s="860"/>
      <c r="U752" s="860"/>
      <c r="V752" s="860"/>
      <c r="W752" s="860"/>
      <c r="X752" s="860"/>
      <c r="Y752" s="860"/>
      <c r="Z752" s="860"/>
      <c r="AA752" s="860"/>
      <c r="AB752" s="860"/>
      <c r="AC752" s="860"/>
      <c r="AD752" s="860"/>
      <c r="AE752" s="860"/>
      <c r="AF752" s="860"/>
      <c r="AG752" s="860"/>
      <c r="AH752" s="860"/>
      <c r="AJ752" s="836"/>
      <c r="AK752" s="836"/>
      <c r="AL752" s="836"/>
      <c r="AM752" s="836"/>
      <c r="AN752" s="836"/>
      <c r="AO752" s="836"/>
      <c r="AP752" s="836"/>
      <c r="AQ752" s="836"/>
      <c r="AR752" s="836"/>
      <c r="AS752" s="836"/>
      <c r="AT752" s="836"/>
      <c r="AU752" s="836"/>
      <c r="AV752" s="836"/>
      <c r="AW752" s="836"/>
      <c r="AX752" s="836"/>
      <c r="AY752" s="836"/>
      <c r="AZ752" s="836"/>
      <c r="BA752" s="836"/>
      <c r="BB752" s="836"/>
      <c r="BC752" s="836"/>
      <c r="BD752" s="836"/>
      <c r="BE752" s="836"/>
      <c r="BF752" s="836"/>
      <c r="BG752" s="836"/>
      <c r="BH752" s="836"/>
      <c r="BI752" s="836"/>
      <c r="BJ752" s="836"/>
      <c r="BK752" s="836"/>
      <c r="BL752" s="836"/>
      <c r="BM752" s="836"/>
      <c r="BN752" s="836"/>
      <c r="BO752" s="836"/>
      <c r="BP752" s="836"/>
      <c r="BR752" s="838"/>
      <c r="BS752" s="838"/>
      <c r="BT752" s="838"/>
      <c r="BU752" s="838"/>
      <c r="BV752" s="838"/>
      <c r="BW752" s="838"/>
      <c r="BX752" s="838"/>
      <c r="BY752" s="838"/>
      <c r="BZ752" s="838"/>
      <c r="CA752" s="838"/>
      <c r="CB752" s="838"/>
      <c r="CC752" s="838"/>
      <c r="CD752" s="838"/>
      <c r="CE752" s="838"/>
      <c r="CF752" s="838"/>
      <c r="CG752" s="838"/>
      <c r="CH752" s="838"/>
      <c r="CI752" s="838"/>
      <c r="CJ752" s="838"/>
      <c r="CK752" s="838"/>
      <c r="CL752" s="838"/>
      <c r="CM752" s="838"/>
      <c r="CN752" s="838"/>
      <c r="CO752" s="838"/>
      <c r="CP752" s="838"/>
      <c r="CQ752" s="838"/>
      <c r="CR752" s="838"/>
      <c r="CS752" s="838"/>
      <c r="CT752" s="838"/>
      <c r="CU752" s="838"/>
    </row>
    <row r="753">
      <c r="A753" s="860"/>
      <c r="B753" s="860"/>
      <c r="C753" s="860"/>
      <c r="D753" s="860"/>
      <c r="E753" s="860"/>
      <c r="F753" s="860"/>
      <c r="G753" s="860"/>
      <c r="H753" s="860"/>
      <c r="I753" s="860"/>
      <c r="J753" s="860"/>
      <c r="K753" s="860"/>
      <c r="L753" s="860"/>
      <c r="M753" s="860"/>
      <c r="N753" s="860"/>
      <c r="O753" s="860"/>
      <c r="P753" s="860"/>
      <c r="Q753" s="860"/>
      <c r="R753" s="860"/>
      <c r="S753" s="860"/>
      <c r="T753" s="860"/>
      <c r="U753" s="860"/>
      <c r="V753" s="860"/>
      <c r="W753" s="860"/>
      <c r="X753" s="860"/>
      <c r="Y753" s="860"/>
      <c r="Z753" s="860"/>
      <c r="AA753" s="860"/>
      <c r="AB753" s="860"/>
      <c r="AC753" s="860"/>
      <c r="AD753" s="860"/>
      <c r="AE753" s="860"/>
      <c r="AF753" s="860"/>
      <c r="AG753" s="860"/>
      <c r="AH753" s="860"/>
      <c r="AJ753" s="836"/>
      <c r="AK753" s="836"/>
      <c r="AL753" s="836"/>
      <c r="AM753" s="836"/>
      <c r="AN753" s="836"/>
      <c r="AO753" s="836"/>
      <c r="AP753" s="836"/>
      <c r="AQ753" s="836"/>
      <c r="AR753" s="836"/>
      <c r="AS753" s="836"/>
      <c r="AT753" s="836"/>
      <c r="AU753" s="836"/>
      <c r="AV753" s="836"/>
      <c r="AW753" s="836"/>
      <c r="AX753" s="836"/>
      <c r="AY753" s="836"/>
      <c r="AZ753" s="836"/>
      <c r="BA753" s="836"/>
      <c r="BB753" s="836"/>
      <c r="BC753" s="836"/>
      <c r="BD753" s="836"/>
      <c r="BE753" s="836"/>
      <c r="BF753" s="836"/>
      <c r="BG753" s="836"/>
      <c r="BH753" s="836"/>
      <c r="BI753" s="836"/>
      <c r="BJ753" s="836"/>
      <c r="BK753" s="836"/>
      <c r="BL753" s="836"/>
      <c r="BM753" s="836"/>
      <c r="BN753" s="836"/>
      <c r="BO753" s="836"/>
      <c r="BP753" s="836"/>
      <c r="BR753" s="838"/>
      <c r="BS753" s="838"/>
      <c r="BT753" s="838"/>
      <c r="BU753" s="838"/>
      <c r="BV753" s="838"/>
      <c r="BW753" s="838"/>
      <c r="BX753" s="838"/>
      <c r="BY753" s="838"/>
      <c r="BZ753" s="838"/>
      <c r="CA753" s="838"/>
      <c r="CB753" s="838"/>
      <c r="CC753" s="838"/>
      <c r="CD753" s="838"/>
      <c r="CE753" s="838"/>
      <c r="CF753" s="838"/>
      <c r="CG753" s="838"/>
      <c r="CH753" s="838"/>
      <c r="CI753" s="838"/>
      <c r="CJ753" s="838"/>
      <c r="CK753" s="838"/>
      <c r="CL753" s="838"/>
      <c r="CM753" s="838"/>
      <c r="CN753" s="838"/>
      <c r="CO753" s="838"/>
      <c r="CP753" s="838"/>
      <c r="CQ753" s="838"/>
      <c r="CR753" s="838"/>
      <c r="CS753" s="838"/>
      <c r="CT753" s="838"/>
      <c r="CU753" s="838"/>
    </row>
    <row r="754">
      <c r="A754" s="860"/>
      <c r="B754" s="860"/>
      <c r="C754" s="860"/>
      <c r="D754" s="860"/>
      <c r="E754" s="860"/>
      <c r="F754" s="860"/>
      <c r="G754" s="860"/>
      <c r="H754" s="860"/>
      <c r="I754" s="860"/>
      <c r="J754" s="860"/>
      <c r="K754" s="860"/>
      <c r="L754" s="860"/>
      <c r="M754" s="860"/>
      <c r="N754" s="860"/>
      <c r="O754" s="860"/>
      <c r="P754" s="860"/>
      <c r="Q754" s="860"/>
      <c r="R754" s="860"/>
      <c r="S754" s="860"/>
      <c r="T754" s="860"/>
      <c r="U754" s="860"/>
      <c r="V754" s="860"/>
      <c r="W754" s="860"/>
      <c r="X754" s="860"/>
      <c r="Y754" s="860"/>
      <c r="Z754" s="860"/>
      <c r="AA754" s="860"/>
      <c r="AB754" s="860"/>
      <c r="AC754" s="860"/>
      <c r="AD754" s="860"/>
      <c r="AE754" s="860"/>
      <c r="AF754" s="860"/>
      <c r="AG754" s="860"/>
      <c r="AH754" s="860"/>
      <c r="AJ754" s="836"/>
      <c r="AK754" s="836"/>
      <c r="AL754" s="836"/>
      <c r="AM754" s="836"/>
      <c r="AN754" s="836"/>
      <c r="AO754" s="836"/>
      <c r="AP754" s="836"/>
      <c r="AQ754" s="836"/>
      <c r="AR754" s="836"/>
      <c r="AS754" s="836"/>
      <c r="AT754" s="836"/>
      <c r="AU754" s="836"/>
      <c r="AV754" s="836"/>
      <c r="AW754" s="836"/>
      <c r="AX754" s="836"/>
      <c r="AY754" s="836"/>
      <c r="AZ754" s="836"/>
      <c r="BA754" s="836"/>
      <c r="BB754" s="836"/>
      <c r="BC754" s="836"/>
      <c r="BD754" s="836"/>
      <c r="BE754" s="836"/>
      <c r="BF754" s="836"/>
      <c r="BG754" s="836"/>
      <c r="BH754" s="836"/>
      <c r="BI754" s="836"/>
      <c r="BJ754" s="836"/>
      <c r="BK754" s="836"/>
      <c r="BL754" s="836"/>
      <c r="BM754" s="836"/>
      <c r="BN754" s="836"/>
      <c r="BO754" s="836"/>
      <c r="BP754" s="836"/>
      <c r="BR754" s="838"/>
      <c r="BS754" s="838"/>
      <c r="BT754" s="838"/>
      <c r="BU754" s="838"/>
      <c r="BV754" s="838"/>
      <c r="BW754" s="838"/>
      <c r="BX754" s="838"/>
      <c r="BY754" s="838"/>
      <c r="BZ754" s="838"/>
      <c r="CA754" s="838"/>
      <c r="CB754" s="838"/>
      <c r="CC754" s="838"/>
      <c r="CD754" s="838"/>
      <c r="CE754" s="838"/>
      <c r="CF754" s="838"/>
      <c r="CG754" s="838"/>
      <c r="CH754" s="838"/>
      <c r="CI754" s="838"/>
      <c r="CJ754" s="838"/>
      <c r="CK754" s="838"/>
      <c r="CL754" s="838"/>
      <c r="CM754" s="838"/>
      <c r="CN754" s="838"/>
      <c r="CO754" s="838"/>
      <c r="CP754" s="838"/>
      <c r="CQ754" s="838"/>
      <c r="CR754" s="838"/>
      <c r="CS754" s="838"/>
      <c r="CT754" s="838"/>
      <c r="CU754" s="838"/>
    </row>
    <row r="755">
      <c r="A755" s="860"/>
      <c r="B755" s="860"/>
      <c r="C755" s="860"/>
      <c r="D755" s="860"/>
      <c r="E755" s="860"/>
      <c r="F755" s="860"/>
      <c r="G755" s="860"/>
      <c r="H755" s="860"/>
      <c r="I755" s="860"/>
      <c r="J755" s="860"/>
      <c r="K755" s="860"/>
      <c r="L755" s="860"/>
      <c r="M755" s="860"/>
      <c r="N755" s="860"/>
      <c r="O755" s="860"/>
      <c r="P755" s="860"/>
      <c r="Q755" s="860"/>
      <c r="R755" s="860"/>
      <c r="S755" s="860"/>
      <c r="T755" s="860"/>
      <c r="U755" s="860"/>
      <c r="V755" s="860"/>
      <c r="W755" s="860"/>
      <c r="X755" s="860"/>
      <c r="Y755" s="860"/>
      <c r="Z755" s="860"/>
      <c r="AA755" s="860"/>
      <c r="AB755" s="860"/>
      <c r="AC755" s="860"/>
      <c r="AD755" s="860"/>
      <c r="AE755" s="860"/>
      <c r="AF755" s="860"/>
      <c r="AG755" s="860"/>
      <c r="AH755" s="860"/>
      <c r="AJ755" s="836"/>
      <c r="AK755" s="836"/>
      <c r="AL755" s="836"/>
      <c r="AM755" s="836"/>
      <c r="AN755" s="836"/>
      <c r="AO755" s="836"/>
      <c r="AP755" s="836"/>
      <c r="AQ755" s="836"/>
      <c r="AR755" s="836"/>
      <c r="AS755" s="836"/>
      <c r="AT755" s="836"/>
      <c r="AU755" s="836"/>
      <c r="AV755" s="836"/>
      <c r="AW755" s="836"/>
      <c r="AX755" s="836"/>
      <c r="AY755" s="836"/>
      <c r="AZ755" s="836"/>
      <c r="BA755" s="836"/>
      <c r="BB755" s="836"/>
      <c r="BC755" s="836"/>
      <c r="BD755" s="836"/>
      <c r="BE755" s="836"/>
      <c r="BF755" s="836"/>
      <c r="BG755" s="836"/>
      <c r="BH755" s="836"/>
      <c r="BI755" s="836"/>
      <c r="BJ755" s="836"/>
      <c r="BK755" s="836"/>
      <c r="BL755" s="836"/>
      <c r="BM755" s="836"/>
      <c r="BN755" s="836"/>
      <c r="BO755" s="836"/>
      <c r="BP755" s="836"/>
      <c r="BR755" s="838"/>
      <c r="BS755" s="838"/>
      <c r="BT755" s="838"/>
      <c r="BU755" s="838"/>
      <c r="BV755" s="838"/>
      <c r="BW755" s="838"/>
      <c r="BX755" s="838"/>
      <c r="BY755" s="838"/>
      <c r="BZ755" s="838"/>
      <c r="CA755" s="838"/>
      <c r="CB755" s="838"/>
      <c r="CC755" s="838"/>
      <c r="CD755" s="838"/>
      <c r="CE755" s="838"/>
      <c r="CF755" s="838"/>
      <c r="CG755" s="838"/>
      <c r="CH755" s="838"/>
      <c r="CI755" s="838"/>
      <c r="CJ755" s="838"/>
      <c r="CK755" s="838"/>
      <c r="CL755" s="838"/>
      <c r="CM755" s="838"/>
      <c r="CN755" s="838"/>
      <c r="CO755" s="838"/>
      <c r="CP755" s="838"/>
      <c r="CQ755" s="838"/>
      <c r="CR755" s="838"/>
      <c r="CS755" s="838"/>
      <c r="CT755" s="838"/>
      <c r="CU755" s="838"/>
    </row>
    <row r="756">
      <c r="A756" s="860"/>
      <c r="B756" s="860"/>
      <c r="C756" s="860"/>
      <c r="D756" s="860"/>
      <c r="E756" s="860"/>
      <c r="F756" s="860"/>
      <c r="G756" s="860"/>
      <c r="H756" s="860"/>
      <c r="I756" s="860"/>
      <c r="J756" s="860"/>
      <c r="K756" s="860"/>
      <c r="L756" s="860"/>
      <c r="M756" s="860"/>
      <c r="N756" s="860"/>
      <c r="O756" s="860"/>
      <c r="P756" s="860"/>
      <c r="Q756" s="860"/>
      <c r="R756" s="860"/>
      <c r="S756" s="860"/>
      <c r="T756" s="860"/>
      <c r="U756" s="860"/>
      <c r="V756" s="860"/>
      <c r="W756" s="860"/>
      <c r="X756" s="860"/>
      <c r="Y756" s="860"/>
      <c r="Z756" s="860"/>
      <c r="AA756" s="860"/>
      <c r="AB756" s="860"/>
      <c r="AC756" s="860"/>
      <c r="AD756" s="860"/>
      <c r="AE756" s="860"/>
      <c r="AF756" s="860"/>
      <c r="AG756" s="860"/>
      <c r="AH756" s="860"/>
      <c r="AJ756" s="836"/>
      <c r="AK756" s="836"/>
      <c r="AL756" s="836"/>
      <c r="AM756" s="836"/>
      <c r="AN756" s="836"/>
      <c r="AO756" s="836"/>
      <c r="AP756" s="836"/>
      <c r="AQ756" s="836"/>
      <c r="AR756" s="836"/>
      <c r="AS756" s="836"/>
      <c r="AT756" s="836"/>
      <c r="AU756" s="836"/>
      <c r="AV756" s="836"/>
      <c r="AW756" s="836"/>
      <c r="AX756" s="836"/>
      <c r="AY756" s="836"/>
      <c r="AZ756" s="836"/>
      <c r="BA756" s="836"/>
      <c r="BB756" s="836"/>
      <c r="BC756" s="836"/>
      <c r="BD756" s="836"/>
      <c r="BE756" s="836"/>
      <c r="BF756" s="836"/>
      <c r="BG756" s="836"/>
      <c r="BH756" s="836"/>
      <c r="BI756" s="836"/>
      <c r="BJ756" s="836"/>
      <c r="BK756" s="836"/>
      <c r="BL756" s="836"/>
      <c r="BM756" s="836"/>
      <c r="BN756" s="836"/>
      <c r="BO756" s="836"/>
      <c r="BP756" s="836"/>
      <c r="BR756" s="838"/>
      <c r="BS756" s="838"/>
      <c r="BT756" s="838"/>
      <c r="BU756" s="838"/>
      <c r="BV756" s="838"/>
      <c r="BW756" s="838"/>
      <c r="BX756" s="838"/>
      <c r="BY756" s="838"/>
      <c r="BZ756" s="838"/>
      <c r="CA756" s="838"/>
      <c r="CB756" s="838"/>
      <c r="CC756" s="838"/>
      <c r="CD756" s="838"/>
      <c r="CE756" s="838"/>
      <c r="CF756" s="838"/>
      <c r="CG756" s="838"/>
      <c r="CH756" s="838"/>
      <c r="CI756" s="838"/>
      <c r="CJ756" s="838"/>
      <c r="CK756" s="838"/>
      <c r="CL756" s="838"/>
      <c r="CM756" s="838"/>
      <c r="CN756" s="838"/>
      <c r="CO756" s="838"/>
      <c r="CP756" s="838"/>
      <c r="CQ756" s="838"/>
      <c r="CR756" s="838"/>
      <c r="CS756" s="838"/>
      <c r="CT756" s="838"/>
      <c r="CU756" s="838"/>
    </row>
    <row r="757">
      <c r="A757" s="860"/>
      <c r="B757" s="860"/>
      <c r="C757" s="860"/>
      <c r="D757" s="860"/>
      <c r="E757" s="860"/>
      <c r="F757" s="860"/>
      <c r="G757" s="860"/>
      <c r="H757" s="860"/>
      <c r="I757" s="860"/>
      <c r="J757" s="860"/>
      <c r="K757" s="860"/>
      <c r="L757" s="860"/>
      <c r="M757" s="860"/>
      <c r="N757" s="860"/>
      <c r="O757" s="860"/>
      <c r="P757" s="860"/>
      <c r="Q757" s="860"/>
      <c r="R757" s="860"/>
      <c r="S757" s="860"/>
      <c r="T757" s="860"/>
      <c r="U757" s="860"/>
      <c r="V757" s="860"/>
      <c r="W757" s="860"/>
      <c r="X757" s="860"/>
      <c r="Y757" s="860"/>
      <c r="Z757" s="860"/>
      <c r="AA757" s="860"/>
      <c r="AB757" s="860"/>
      <c r="AC757" s="860"/>
      <c r="AD757" s="860"/>
      <c r="AE757" s="860"/>
      <c r="AF757" s="860"/>
      <c r="AG757" s="860"/>
      <c r="AH757" s="860"/>
      <c r="AJ757" s="836"/>
      <c r="AK757" s="836"/>
      <c r="AL757" s="836"/>
      <c r="AM757" s="836"/>
      <c r="AN757" s="836"/>
      <c r="AO757" s="836"/>
      <c r="AP757" s="836"/>
      <c r="AQ757" s="836"/>
      <c r="AR757" s="836"/>
      <c r="AS757" s="836"/>
      <c r="AT757" s="836"/>
      <c r="AU757" s="836"/>
      <c r="AV757" s="836"/>
      <c r="AW757" s="836"/>
      <c r="AX757" s="836"/>
      <c r="AY757" s="836"/>
      <c r="AZ757" s="836"/>
      <c r="BA757" s="836"/>
      <c r="BB757" s="836"/>
      <c r="BC757" s="836"/>
      <c r="BD757" s="836"/>
      <c r="BE757" s="836"/>
      <c r="BF757" s="836"/>
      <c r="BG757" s="836"/>
      <c r="BH757" s="836"/>
      <c r="BI757" s="836"/>
      <c r="BJ757" s="836"/>
      <c r="BK757" s="836"/>
      <c r="BL757" s="836"/>
      <c r="BM757" s="836"/>
      <c r="BN757" s="836"/>
      <c r="BO757" s="836"/>
      <c r="BP757" s="836"/>
      <c r="BR757" s="838"/>
      <c r="BS757" s="838"/>
      <c r="BT757" s="838"/>
      <c r="BU757" s="838"/>
      <c r="BV757" s="838"/>
      <c r="BW757" s="838"/>
      <c r="BX757" s="838"/>
      <c r="BY757" s="838"/>
      <c r="BZ757" s="838"/>
      <c r="CA757" s="838"/>
      <c r="CB757" s="838"/>
      <c r="CC757" s="838"/>
      <c r="CD757" s="838"/>
      <c r="CE757" s="838"/>
      <c r="CF757" s="838"/>
      <c r="CG757" s="838"/>
      <c r="CH757" s="838"/>
      <c r="CI757" s="838"/>
      <c r="CJ757" s="838"/>
      <c r="CK757" s="838"/>
      <c r="CL757" s="838"/>
      <c r="CM757" s="838"/>
      <c r="CN757" s="838"/>
      <c r="CO757" s="838"/>
      <c r="CP757" s="838"/>
      <c r="CQ757" s="838"/>
      <c r="CR757" s="838"/>
      <c r="CS757" s="838"/>
      <c r="CT757" s="838"/>
      <c r="CU757" s="838"/>
    </row>
    <row r="758">
      <c r="A758" s="860"/>
      <c r="B758" s="860"/>
      <c r="C758" s="860"/>
      <c r="D758" s="860"/>
      <c r="E758" s="860"/>
      <c r="F758" s="860"/>
      <c r="G758" s="860"/>
      <c r="H758" s="860"/>
      <c r="I758" s="860"/>
      <c r="J758" s="860"/>
      <c r="K758" s="860"/>
      <c r="L758" s="860"/>
      <c r="M758" s="860"/>
      <c r="N758" s="860"/>
      <c r="O758" s="860"/>
      <c r="P758" s="860"/>
      <c r="Q758" s="860"/>
      <c r="R758" s="860"/>
      <c r="S758" s="860"/>
      <c r="T758" s="860"/>
      <c r="U758" s="860"/>
      <c r="V758" s="860"/>
      <c r="W758" s="860"/>
      <c r="X758" s="860"/>
      <c r="Y758" s="860"/>
      <c r="Z758" s="860"/>
      <c r="AA758" s="860"/>
      <c r="AB758" s="860"/>
      <c r="AC758" s="860"/>
      <c r="AD758" s="860"/>
      <c r="AE758" s="860"/>
      <c r="AF758" s="860"/>
      <c r="AG758" s="860"/>
      <c r="AH758" s="860"/>
      <c r="AJ758" s="836"/>
      <c r="AK758" s="836"/>
      <c r="AL758" s="836"/>
      <c r="AM758" s="836"/>
      <c r="AN758" s="836"/>
      <c r="AO758" s="836"/>
      <c r="AP758" s="836"/>
      <c r="AQ758" s="836"/>
      <c r="AR758" s="836"/>
      <c r="AS758" s="836"/>
      <c r="AT758" s="836"/>
      <c r="AU758" s="836"/>
      <c r="AV758" s="836"/>
      <c r="AW758" s="836"/>
      <c r="AX758" s="836"/>
      <c r="AY758" s="836"/>
      <c r="AZ758" s="836"/>
      <c r="BA758" s="836"/>
      <c r="BB758" s="836"/>
      <c r="BC758" s="836"/>
      <c r="BD758" s="836"/>
      <c r="BE758" s="836"/>
      <c r="BF758" s="836"/>
      <c r="BG758" s="836"/>
      <c r="BH758" s="836"/>
      <c r="BI758" s="836"/>
      <c r="BJ758" s="836"/>
      <c r="BK758" s="836"/>
      <c r="BL758" s="836"/>
      <c r="BM758" s="836"/>
      <c r="BN758" s="836"/>
      <c r="BO758" s="836"/>
      <c r="BP758" s="836"/>
      <c r="BR758" s="838"/>
      <c r="BS758" s="838"/>
      <c r="BT758" s="838"/>
      <c r="BU758" s="838"/>
      <c r="BV758" s="838"/>
      <c r="BW758" s="838"/>
      <c r="BX758" s="838"/>
      <c r="BY758" s="838"/>
      <c r="BZ758" s="838"/>
      <c r="CA758" s="838"/>
      <c r="CB758" s="838"/>
      <c r="CC758" s="838"/>
      <c r="CD758" s="838"/>
      <c r="CE758" s="838"/>
      <c r="CF758" s="838"/>
      <c r="CG758" s="838"/>
      <c r="CH758" s="838"/>
      <c r="CI758" s="838"/>
      <c r="CJ758" s="838"/>
      <c r="CK758" s="838"/>
      <c r="CL758" s="838"/>
      <c r="CM758" s="838"/>
      <c r="CN758" s="838"/>
      <c r="CO758" s="838"/>
      <c r="CP758" s="838"/>
      <c r="CQ758" s="838"/>
      <c r="CR758" s="838"/>
      <c r="CS758" s="838"/>
      <c r="CT758" s="838"/>
      <c r="CU758" s="838"/>
    </row>
    <row r="759">
      <c r="A759" s="860"/>
      <c r="B759" s="860"/>
      <c r="C759" s="860"/>
      <c r="D759" s="860"/>
      <c r="E759" s="860"/>
      <c r="F759" s="860"/>
      <c r="G759" s="860"/>
      <c r="H759" s="860"/>
      <c r="I759" s="860"/>
      <c r="J759" s="860"/>
      <c r="K759" s="860"/>
      <c r="L759" s="860"/>
      <c r="M759" s="860"/>
      <c r="N759" s="860"/>
      <c r="O759" s="860"/>
      <c r="P759" s="860"/>
      <c r="Q759" s="860"/>
      <c r="R759" s="860"/>
      <c r="S759" s="860"/>
      <c r="T759" s="860"/>
      <c r="U759" s="860"/>
      <c r="V759" s="860"/>
      <c r="W759" s="860"/>
      <c r="X759" s="860"/>
      <c r="Y759" s="860"/>
      <c r="Z759" s="860"/>
      <c r="AA759" s="860"/>
      <c r="AB759" s="860"/>
      <c r="AC759" s="860"/>
      <c r="AD759" s="860"/>
      <c r="AE759" s="860"/>
      <c r="AF759" s="860"/>
      <c r="AG759" s="860"/>
      <c r="AH759" s="860"/>
      <c r="AJ759" s="836"/>
      <c r="AK759" s="836"/>
      <c r="AL759" s="836"/>
      <c r="AM759" s="836"/>
      <c r="AN759" s="836"/>
      <c r="AO759" s="836"/>
      <c r="AP759" s="836"/>
      <c r="AQ759" s="836"/>
      <c r="AR759" s="836"/>
      <c r="AS759" s="836"/>
      <c r="AT759" s="836"/>
      <c r="AU759" s="836"/>
      <c r="AV759" s="836"/>
      <c r="AW759" s="836"/>
      <c r="AX759" s="836"/>
      <c r="AY759" s="836"/>
      <c r="AZ759" s="836"/>
      <c r="BA759" s="836"/>
      <c r="BB759" s="836"/>
      <c r="BC759" s="836"/>
      <c r="BD759" s="836"/>
      <c r="BE759" s="836"/>
      <c r="BF759" s="836"/>
      <c r="BG759" s="836"/>
      <c r="BH759" s="836"/>
      <c r="BI759" s="836"/>
      <c r="BJ759" s="836"/>
      <c r="BK759" s="836"/>
      <c r="BL759" s="836"/>
      <c r="BM759" s="836"/>
      <c r="BN759" s="836"/>
      <c r="BO759" s="836"/>
      <c r="BP759" s="836"/>
      <c r="BR759" s="838"/>
      <c r="BS759" s="838"/>
      <c r="BT759" s="838"/>
      <c r="BU759" s="838"/>
      <c r="BV759" s="838"/>
      <c r="BW759" s="838"/>
      <c r="BX759" s="838"/>
      <c r="BY759" s="838"/>
      <c r="BZ759" s="838"/>
      <c r="CA759" s="838"/>
      <c r="CB759" s="838"/>
      <c r="CC759" s="838"/>
      <c r="CD759" s="838"/>
      <c r="CE759" s="838"/>
      <c r="CF759" s="838"/>
      <c r="CG759" s="838"/>
      <c r="CH759" s="838"/>
      <c r="CI759" s="838"/>
      <c r="CJ759" s="838"/>
      <c r="CK759" s="838"/>
      <c r="CL759" s="838"/>
      <c r="CM759" s="838"/>
      <c r="CN759" s="838"/>
      <c r="CO759" s="838"/>
      <c r="CP759" s="838"/>
      <c r="CQ759" s="838"/>
      <c r="CR759" s="838"/>
      <c r="CS759" s="838"/>
      <c r="CT759" s="838"/>
      <c r="CU759" s="838"/>
    </row>
    <row r="760">
      <c r="A760" s="860"/>
      <c r="B760" s="860"/>
      <c r="C760" s="860"/>
      <c r="D760" s="860"/>
      <c r="E760" s="860"/>
      <c r="F760" s="860"/>
      <c r="G760" s="860"/>
      <c r="H760" s="860"/>
      <c r="I760" s="860"/>
      <c r="J760" s="860"/>
      <c r="K760" s="860"/>
      <c r="L760" s="860"/>
      <c r="M760" s="860"/>
      <c r="N760" s="860"/>
      <c r="O760" s="860"/>
      <c r="P760" s="860"/>
      <c r="Q760" s="860"/>
      <c r="R760" s="860"/>
      <c r="S760" s="860"/>
      <c r="T760" s="860"/>
      <c r="U760" s="860"/>
      <c r="V760" s="860"/>
      <c r="W760" s="860"/>
      <c r="X760" s="860"/>
      <c r="Y760" s="860"/>
      <c r="Z760" s="860"/>
      <c r="AA760" s="860"/>
      <c r="AB760" s="860"/>
      <c r="AC760" s="860"/>
      <c r="AD760" s="860"/>
      <c r="AE760" s="860"/>
      <c r="AF760" s="860"/>
      <c r="AG760" s="860"/>
      <c r="AH760" s="860"/>
      <c r="AJ760" s="836"/>
      <c r="AK760" s="836"/>
      <c r="AL760" s="836"/>
      <c r="AM760" s="836"/>
      <c r="AN760" s="836"/>
      <c r="AO760" s="836"/>
      <c r="AP760" s="836"/>
      <c r="AQ760" s="836"/>
      <c r="AR760" s="836"/>
      <c r="AS760" s="836"/>
      <c r="AT760" s="836"/>
      <c r="AU760" s="836"/>
      <c r="AV760" s="836"/>
      <c r="AW760" s="836"/>
      <c r="AX760" s="836"/>
      <c r="AY760" s="836"/>
      <c r="AZ760" s="836"/>
      <c r="BA760" s="836"/>
      <c r="BB760" s="836"/>
      <c r="BC760" s="836"/>
      <c r="BD760" s="836"/>
      <c r="BE760" s="836"/>
      <c r="BF760" s="836"/>
      <c r="BG760" s="836"/>
      <c r="BH760" s="836"/>
      <c r="BI760" s="836"/>
      <c r="BJ760" s="836"/>
      <c r="BK760" s="836"/>
      <c r="BL760" s="836"/>
      <c r="BM760" s="836"/>
      <c r="BN760" s="836"/>
      <c r="BO760" s="836"/>
      <c r="BP760" s="836"/>
      <c r="BR760" s="838"/>
      <c r="BS760" s="838"/>
      <c r="BT760" s="838"/>
      <c r="BU760" s="838"/>
      <c r="BV760" s="838"/>
      <c r="BW760" s="838"/>
      <c r="BX760" s="838"/>
      <c r="BY760" s="838"/>
      <c r="BZ760" s="838"/>
      <c r="CA760" s="838"/>
      <c r="CB760" s="838"/>
      <c r="CC760" s="838"/>
      <c r="CD760" s="838"/>
      <c r="CE760" s="838"/>
      <c r="CF760" s="838"/>
      <c r="CG760" s="838"/>
      <c r="CH760" s="838"/>
      <c r="CI760" s="838"/>
      <c r="CJ760" s="838"/>
      <c r="CK760" s="838"/>
      <c r="CL760" s="838"/>
      <c r="CM760" s="838"/>
      <c r="CN760" s="838"/>
      <c r="CO760" s="838"/>
      <c r="CP760" s="838"/>
      <c r="CQ760" s="838"/>
      <c r="CR760" s="838"/>
      <c r="CS760" s="838"/>
      <c r="CT760" s="838"/>
      <c r="CU760" s="838"/>
    </row>
    <row r="761">
      <c r="A761" s="860"/>
      <c r="B761" s="860"/>
      <c r="C761" s="860"/>
      <c r="D761" s="860"/>
      <c r="E761" s="860"/>
      <c r="F761" s="860"/>
      <c r="G761" s="860"/>
      <c r="H761" s="860"/>
      <c r="I761" s="860"/>
      <c r="J761" s="860"/>
      <c r="K761" s="860"/>
      <c r="L761" s="860"/>
      <c r="M761" s="860"/>
      <c r="N761" s="860"/>
      <c r="O761" s="860"/>
      <c r="P761" s="860"/>
      <c r="Q761" s="860"/>
      <c r="R761" s="860"/>
      <c r="S761" s="860"/>
      <c r="T761" s="860"/>
      <c r="U761" s="860"/>
      <c r="V761" s="860"/>
      <c r="W761" s="860"/>
      <c r="X761" s="860"/>
      <c r="Y761" s="860"/>
      <c r="Z761" s="860"/>
      <c r="AA761" s="860"/>
      <c r="AB761" s="860"/>
      <c r="AC761" s="860"/>
      <c r="AD761" s="860"/>
      <c r="AE761" s="860"/>
      <c r="AF761" s="860"/>
      <c r="AG761" s="860"/>
      <c r="AH761" s="860"/>
      <c r="AJ761" s="836"/>
      <c r="AK761" s="836"/>
      <c r="AL761" s="836"/>
      <c r="AM761" s="836"/>
      <c r="AN761" s="836"/>
      <c r="AO761" s="836"/>
      <c r="AP761" s="836"/>
      <c r="AQ761" s="836"/>
      <c r="AR761" s="836"/>
      <c r="AS761" s="836"/>
      <c r="AT761" s="836"/>
      <c r="AU761" s="836"/>
      <c r="AV761" s="836"/>
      <c r="AW761" s="836"/>
      <c r="AX761" s="836"/>
      <c r="AY761" s="836"/>
      <c r="AZ761" s="836"/>
      <c r="BA761" s="836"/>
      <c r="BB761" s="836"/>
      <c r="BC761" s="836"/>
      <c r="BD761" s="836"/>
      <c r="BE761" s="836"/>
      <c r="BF761" s="836"/>
      <c r="BG761" s="836"/>
      <c r="BH761" s="836"/>
      <c r="BI761" s="836"/>
      <c r="BJ761" s="836"/>
      <c r="BK761" s="836"/>
      <c r="BL761" s="836"/>
      <c r="BM761" s="836"/>
      <c r="BN761" s="836"/>
      <c r="BO761" s="836"/>
      <c r="BP761" s="836"/>
      <c r="BR761" s="838"/>
      <c r="BS761" s="838"/>
      <c r="BT761" s="838"/>
      <c r="BU761" s="838"/>
      <c r="BV761" s="838"/>
      <c r="BW761" s="838"/>
      <c r="BX761" s="838"/>
      <c r="BY761" s="838"/>
      <c r="BZ761" s="838"/>
      <c r="CA761" s="838"/>
      <c r="CB761" s="838"/>
      <c r="CC761" s="838"/>
      <c r="CD761" s="838"/>
      <c r="CE761" s="838"/>
      <c r="CF761" s="838"/>
      <c r="CG761" s="838"/>
      <c r="CH761" s="838"/>
      <c r="CI761" s="838"/>
      <c r="CJ761" s="838"/>
      <c r="CK761" s="838"/>
      <c r="CL761" s="838"/>
      <c r="CM761" s="838"/>
      <c r="CN761" s="838"/>
      <c r="CO761" s="838"/>
      <c r="CP761" s="838"/>
      <c r="CQ761" s="838"/>
      <c r="CR761" s="838"/>
      <c r="CS761" s="838"/>
      <c r="CT761" s="838"/>
      <c r="CU761" s="838"/>
    </row>
    <row r="762">
      <c r="A762" s="860"/>
      <c r="B762" s="860"/>
      <c r="C762" s="860"/>
      <c r="D762" s="860"/>
      <c r="E762" s="860"/>
      <c r="F762" s="860"/>
      <c r="G762" s="860"/>
      <c r="H762" s="860"/>
      <c r="I762" s="860"/>
      <c r="J762" s="860"/>
      <c r="K762" s="860"/>
      <c r="L762" s="860"/>
      <c r="M762" s="860"/>
      <c r="N762" s="860"/>
      <c r="O762" s="860"/>
      <c r="P762" s="860"/>
      <c r="Q762" s="860"/>
      <c r="R762" s="860"/>
      <c r="S762" s="860"/>
      <c r="T762" s="860"/>
      <c r="U762" s="860"/>
      <c r="V762" s="860"/>
      <c r="W762" s="860"/>
      <c r="X762" s="860"/>
      <c r="Y762" s="860"/>
      <c r="Z762" s="860"/>
      <c r="AA762" s="860"/>
      <c r="AB762" s="860"/>
      <c r="AC762" s="860"/>
      <c r="AD762" s="860"/>
      <c r="AE762" s="860"/>
      <c r="AF762" s="860"/>
      <c r="AG762" s="860"/>
      <c r="AH762" s="860"/>
      <c r="AJ762" s="836"/>
      <c r="AK762" s="836"/>
      <c r="AL762" s="836"/>
      <c r="AM762" s="836"/>
      <c r="AN762" s="836"/>
      <c r="AO762" s="836"/>
      <c r="AP762" s="836"/>
      <c r="AQ762" s="836"/>
      <c r="AR762" s="836"/>
      <c r="AS762" s="836"/>
      <c r="AT762" s="836"/>
      <c r="AU762" s="836"/>
      <c r="AV762" s="836"/>
      <c r="AW762" s="836"/>
      <c r="AX762" s="836"/>
      <c r="AY762" s="836"/>
      <c r="AZ762" s="836"/>
      <c r="BA762" s="836"/>
      <c r="BB762" s="836"/>
      <c r="BC762" s="836"/>
      <c r="BD762" s="836"/>
      <c r="BE762" s="836"/>
      <c r="BF762" s="836"/>
      <c r="BG762" s="836"/>
      <c r="BH762" s="836"/>
      <c r="BI762" s="836"/>
      <c r="BJ762" s="836"/>
      <c r="BK762" s="836"/>
      <c r="BL762" s="836"/>
      <c r="BM762" s="836"/>
      <c r="BN762" s="836"/>
      <c r="BO762" s="836"/>
      <c r="BP762" s="836"/>
      <c r="BR762" s="838"/>
      <c r="BS762" s="838"/>
      <c r="BT762" s="838"/>
      <c r="BU762" s="838"/>
      <c r="BV762" s="838"/>
      <c r="BW762" s="838"/>
      <c r="BX762" s="838"/>
      <c r="BY762" s="838"/>
      <c r="BZ762" s="838"/>
      <c r="CA762" s="838"/>
      <c r="CB762" s="838"/>
      <c r="CC762" s="838"/>
      <c r="CD762" s="838"/>
      <c r="CE762" s="838"/>
      <c r="CF762" s="838"/>
      <c r="CG762" s="838"/>
      <c r="CH762" s="838"/>
      <c r="CI762" s="838"/>
      <c r="CJ762" s="838"/>
      <c r="CK762" s="838"/>
      <c r="CL762" s="838"/>
      <c r="CM762" s="838"/>
      <c r="CN762" s="838"/>
      <c r="CO762" s="838"/>
      <c r="CP762" s="838"/>
      <c r="CQ762" s="838"/>
      <c r="CR762" s="838"/>
      <c r="CS762" s="838"/>
      <c r="CT762" s="838"/>
      <c r="CU762" s="838"/>
    </row>
    <row r="763">
      <c r="A763" s="860"/>
      <c r="B763" s="860"/>
      <c r="C763" s="860"/>
      <c r="D763" s="860"/>
      <c r="E763" s="860"/>
      <c r="F763" s="860"/>
      <c r="G763" s="860"/>
      <c r="H763" s="860"/>
      <c r="I763" s="860"/>
      <c r="J763" s="860"/>
      <c r="K763" s="860"/>
      <c r="L763" s="860"/>
      <c r="M763" s="860"/>
      <c r="N763" s="860"/>
      <c r="O763" s="860"/>
      <c r="P763" s="860"/>
      <c r="Q763" s="860"/>
      <c r="R763" s="860"/>
      <c r="S763" s="860"/>
      <c r="T763" s="860"/>
      <c r="U763" s="860"/>
      <c r="V763" s="860"/>
      <c r="W763" s="860"/>
      <c r="X763" s="860"/>
      <c r="Y763" s="860"/>
      <c r="Z763" s="860"/>
      <c r="AA763" s="860"/>
      <c r="AB763" s="860"/>
      <c r="AC763" s="860"/>
      <c r="AD763" s="860"/>
      <c r="AE763" s="860"/>
      <c r="AF763" s="860"/>
      <c r="AG763" s="860"/>
      <c r="AH763" s="860"/>
      <c r="AJ763" s="836"/>
      <c r="AK763" s="836"/>
      <c r="AL763" s="836"/>
      <c r="AM763" s="836"/>
      <c r="AN763" s="836"/>
      <c r="AO763" s="836"/>
      <c r="AP763" s="836"/>
      <c r="AQ763" s="836"/>
      <c r="AR763" s="836"/>
      <c r="AS763" s="836"/>
      <c r="AT763" s="836"/>
      <c r="AU763" s="836"/>
      <c r="AV763" s="836"/>
      <c r="AW763" s="836"/>
      <c r="AX763" s="836"/>
      <c r="AY763" s="836"/>
      <c r="AZ763" s="836"/>
      <c r="BA763" s="836"/>
      <c r="BB763" s="836"/>
      <c r="BC763" s="836"/>
      <c r="BD763" s="836"/>
      <c r="BE763" s="836"/>
      <c r="BF763" s="836"/>
      <c r="BG763" s="836"/>
      <c r="BH763" s="836"/>
      <c r="BI763" s="836"/>
      <c r="BJ763" s="836"/>
      <c r="BK763" s="836"/>
      <c r="BL763" s="836"/>
      <c r="BM763" s="836"/>
      <c r="BN763" s="836"/>
      <c r="BO763" s="836"/>
      <c r="BP763" s="836"/>
      <c r="BR763" s="838"/>
      <c r="BS763" s="838"/>
      <c r="BT763" s="838"/>
      <c r="BU763" s="838"/>
      <c r="BV763" s="838"/>
      <c r="BW763" s="838"/>
      <c r="BX763" s="838"/>
      <c r="BY763" s="838"/>
      <c r="BZ763" s="838"/>
      <c r="CA763" s="838"/>
      <c r="CB763" s="838"/>
      <c r="CC763" s="838"/>
      <c r="CD763" s="838"/>
      <c r="CE763" s="838"/>
      <c r="CF763" s="838"/>
      <c r="CG763" s="838"/>
      <c r="CH763" s="838"/>
      <c r="CI763" s="838"/>
      <c r="CJ763" s="838"/>
      <c r="CK763" s="838"/>
      <c r="CL763" s="838"/>
      <c r="CM763" s="838"/>
      <c r="CN763" s="838"/>
      <c r="CO763" s="838"/>
      <c r="CP763" s="838"/>
      <c r="CQ763" s="838"/>
      <c r="CR763" s="838"/>
      <c r="CS763" s="838"/>
      <c r="CT763" s="838"/>
      <c r="CU763" s="838"/>
    </row>
    <row r="764">
      <c r="A764" s="860"/>
      <c r="B764" s="860"/>
      <c r="C764" s="860"/>
      <c r="D764" s="860"/>
      <c r="E764" s="860"/>
      <c r="F764" s="860"/>
      <c r="G764" s="860"/>
      <c r="H764" s="860"/>
      <c r="I764" s="860"/>
      <c r="J764" s="860"/>
      <c r="K764" s="860"/>
      <c r="L764" s="860"/>
      <c r="M764" s="860"/>
      <c r="N764" s="860"/>
      <c r="O764" s="860"/>
      <c r="P764" s="860"/>
      <c r="Q764" s="860"/>
      <c r="R764" s="860"/>
      <c r="S764" s="860"/>
      <c r="T764" s="860"/>
      <c r="U764" s="860"/>
      <c r="V764" s="860"/>
      <c r="W764" s="860"/>
      <c r="X764" s="860"/>
      <c r="Y764" s="860"/>
      <c r="Z764" s="860"/>
      <c r="AA764" s="860"/>
      <c r="AB764" s="860"/>
      <c r="AC764" s="860"/>
      <c r="AD764" s="860"/>
      <c r="AE764" s="860"/>
      <c r="AF764" s="860"/>
      <c r="AG764" s="860"/>
      <c r="AH764" s="860"/>
      <c r="AJ764" s="836"/>
      <c r="AK764" s="836"/>
      <c r="AL764" s="836"/>
      <c r="AM764" s="836"/>
      <c r="AN764" s="836"/>
      <c r="AO764" s="836"/>
      <c r="AP764" s="836"/>
      <c r="AQ764" s="836"/>
      <c r="AR764" s="836"/>
      <c r="AS764" s="836"/>
      <c r="AT764" s="836"/>
      <c r="AU764" s="836"/>
      <c r="AV764" s="836"/>
      <c r="AW764" s="836"/>
      <c r="AX764" s="836"/>
      <c r="AY764" s="836"/>
      <c r="AZ764" s="836"/>
      <c r="BA764" s="836"/>
      <c r="BB764" s="836"/>
      <c r="BC764" s="836"/>
      <c r="BD764" s="836"/>
      <c r="BE764" s="836"/>
      <c r="BF764" s="836"/>
      <c r="BG764" s="836"/>
      <c r="BH764" s="836"/>
      <c r="BI764" s="836"/>
      <c r="BJ764" s="836"/>
      <c r="BK764" s="836"/>
      <c r="BL764" s="836"/>
      <c r="BM764" s="836"/>
      <c r="BN764" s="836"/>
      <c r="BO764" s="836"/>
      <c r="BP764" s="836"/>
      <c r="BR764" s="838"/>
      <c r="BS764" s="838"/>
      <c r="BT764" s="838"/>
      <c r="BU764" s="838"/>
      <c r="BV764" s="838"/>
      <c r="BW764" s="838"/>
      <c r="BX764" s="838"/>
      <c r="BY764" s="838"/>
      <c r="BZ764" s="838"/>
      <c r="CA764" s="838"/>
      <c r="CB764" s="838"/>
      <c r="CC764" s="838"/>
      <c r="CD764" s="838"/>
      <c r="CE764" s="838"/>
      <c r="CF764" s="838"/>
      <c r="CG764" s="838"/>
      <c r="CH764" s="838"/>
      <c r="CI764" s="838"/>
      <c r="CJ764" s="838"/>
      <c r="CK764" s="838"/>
      <c r="CL764" s="838"/>
      <c r="CM764" s="838"/>
      <c r="CN764" s="838"/>
      <c r="CO764" s="838"/>
      <c r="CP764" s="838"/>
      <c r="CQ764" s="838"/>
      <c r="CR764" s="838"/>
      <c r="CS764" s="838"/>
      <c r="CT764" s="838"/>
      <c r="CU764" s="838"/>
    </row>
    <row r="765">
      <c r="A765" s="860"/>
      <c r="B765" s="860"/>
      <c r="C765" s="860"/>
      <c r="D765" s="860"/>
      <c r="E765" s="860"/>
      <c r="F765" s="860"/>
      <c r="G765" s="860"/>
      <c r="H765" s="860"/>
      <c r="I765" s="860"/>
      <c r="J765" s="860"/>
      <c r="K765" s="860"/>
      <c r="L765" s="860"/>
      <c r="M765" s="860"/>
      <c r="N765" s="860"/>
      <c r="O765" s="860"/>
      <c r="P765" s="860"/>
      <c r="Q765" s="860"/>
      <c r="R765" s="860"/>
      <c r="S765" s="860"/>
      <c r="T765" s="860"/>
      <c r="U765" s="860"/>
      <c r="V765" s="860"/>
      <c r="W765" s="860"/>
      <c r="X765" s="860"/>
      <c r="Y765" s="860"/>
      <c r="Z765" s="860"/>
      <c r="AA765" s="860"/>
      <c r="AB765" s="860"/>
      <c r="AC765" s="860"/>
      <c r="AD765" s="860"/>
      <c r="AE765" s="860"/>
      <c r="AF765" s="860"/>
      <c r="AG765" s="860"/>
      <c r="AH765" s="860"/>
      <c r="AJ765" s="836"/>
      <c r="AK765" s="836"/>
      <c r="AL765" s="836"/>
      <c r="AM765" s="836"/>
      <c r="AN765" s="836"/>
      <c r="AO765" s="836"/>
      <c r="AP765" s="836"/>
      <c r="AQ765" s="836"/>
      <c r="AR765" s="836"/>
      <c r="AS765" s="836"/>
      <c r="AT765" s="836"/>
      <c r="AU765" s="836"/>
      <c r="AV765" s="836"/>
      <c r="AW765" s="836"/>
      <c r="AX765" s="836"/>
      <c r="AY765" s="836"/>
      <c r="AZ765" s="836"/>
      <c r="BA765" s="836"/>
      <c r="BB765" s="836"/>
      <c r="BC765" s="836"/>
      <c r="BD765" s="836"/>
      <c r="BE765" s="836"/>
      <c r="BF765" s="836"/>
      <c r="BG765" s="836"/>
      <c r="BH765" s="836"/>
      <c r="BI765" s="836"/>
      <c r="BJ765" s="836"/>
      <c r="BK765" s="836"/>
      <c r="BL765" s="836"/>
      <c r="BM765" s="836"/>
      <c r="BN765" s="836"/>
      <c r="BO765" s="836"/>
      <c r="BP765" s="836"/>
      <c r="BR765" s="838"/>
      <c r="BS765" s="838"/>
      <c r="BT765" s="838"/>
      <c r="BU765" s="838"/>
      <c r="BV765" s="838"/>
      <c r="BW765" s="838"/>
      <c r="BX765" s="838"/>
      <c r="BY765" s="838"/>
      <c r="BZ765" s="838"/>
      <c r="CA765" s="838"/>
      <c r="CB765" s="838"/>
      <c r="CC765" s="838"/>
      <c r="CD765" s="838"/>
      <c r="CE765" s="838"/>
      <c r="CF765" s="838"/>
      <c r="CG765" s="838"/>
      <c r="CH765" s="838"/>
      <c r="CI765" s="838"/>
      <c r="CJ765" s="838"/>
      <c r="CK765" s="838"/>
      <c r="CL765" s="838"/>
      <c r="CM765" s="838"/>
      <c r="CN765" s="838"/>
      <c r="CO765" s="838"/>
      <c r="CP765" s="838"/>
      <c r="CQ765" s="838"/>
      <c r="CR765" s="838"/>
      <c r="CS765" s="838"/>
      <c r="CT765" s="838"/>
      <c r="CU765" s="838"/>
    </row>
    <row r="766">
      <c r="A766" s="860"/>
      <c r="B766" s="860"/>
      <c r="C766" s="860"/>
      <c r="D766" s="860"/>
      <c r="E766" s="860"/>
      <c r="F766" s="860"/>
      <c r="G766" s="860"/>
      <c r="H766" s="860"/>
      <c r="I766" s="860"/>
      <c r="J766" s="860"/>
      <c r="K766" s="860"/>
      <c r="L766" s="860"/>
      <c r="M766" s="860"/>
      <c r="N766" s="860"/>
      <c r="O766" s="860"/>
      <c r="P766" s="860"/>
      <c r="Q766" s="860"/>
      <c r="R766" s="860"/>
      <c r="S766" s="860"/>
      <c r="T766" s="860"/>
      <c r="U766" s="860"/>
      <c r="V766" s="860"/>
      <c r="W766" s="860"/>
      <c r="X766" s="860"/>
      <c r="Y766" s="860"/>
      <c r="Z766" s="860"/>
      <c r="AA766" s="860"/>
      <c r="AB766" s="860"/>
      <c r="AC766" s="860"/>
      <c r="AD766" s="860"/>
      <c r="AE766" s="860"/>
      <c r="AF766" s="860"/>
      <c r="AG766" s="860"/>
      <c r="AH766" s="860"/>
      <c r="AJ766" s="836"/>
      <c r="AK766" s="836"/>
      <c r="AL766" s="836"/>
      <c r="AM766" s="836"/>
      <c r="AN766" s="836"/>
      <c r="AO766" s="836"/>
      <c r="AP766" s="836"/>
      <c r="AQ766" s="836"/>
      <c r="AR766" s="836"/>
      <c r="AS766" s="836"/>
      <c r="AT766" s="836"/>
      <c r="AU766" s="836"/>
      <c r="AV766" s="836"/>
      <c r="AW766" s="836"/>
      <c r="AX766" s="836"/>
      <c r="AY766" s="836"/>
      <c r="AZ766" s="836"/>
      <c r="BA766" s="836"/>
      <c r="BB766" s="836"/>
      <c r="BC766" s="836"/>
      <c r="BD766" s="836"/>
      <c r="BE766" s="836"/>
      <c r="BF766" s="836"/>
      <c r="BG766" s="836"/>
      <c r="BH766" s="836"/>
      <c r="BI766" s="836"/>
      <c r="BJ766" s="836"/>
      <c r="BK766" s="836"/>
      <c r="BL766" s="836"/>
      <c r="BM766" s="836"/>
      <c r="BN766" s="836"/>
      <c r="BO766" s="836"/>
      <c r="BP766" s="836"/>
      <c r="BR766" s="838"/>
      <c r="BS766" s="838"/>
      <c r="BT766" s="838"/>
      <c r="BU766" s="838"/>
      <c r="BV766" s="838"/>
      <c r="BW766" s="838"/>
      <c r="BX766" s="838"/>
      <c r="BY766" s="838"/>
      <c r="BZ766" s="838"/>
      <c r="CA766" s="838"/>
      <c r="CB766" s="838"/>
      <c r="CC766" s="838"/>
      <c r="CD766" s="838"/>
      <c r="CE766" s="838"/>
      <c r="CF766" s="838"/>
      <c r="CG766" s="838"/>
      <c r="CH766" s="838"/>
      <c r="CI766" s="838"/>
      <c r="CJ766" s="838"/>
      <c r="CK766" s="838"/>
      <c r="CL766" s="838"/>
      <c r="CM766" s="838"/>
      <c r="CN766" s="838"/>
      <c r="CO766" s="838"/>
      <c r="CP766" s="838"/>
      <c r="CQ766" s="838"/>
      <c r="CR766" s="838"/>
      <c r="CS766" s="838"/>
      <c r="CT766" s="838"/>
      <c r="CU766" s="838"/>
    </row>
    <row r="767">
      <c r="A767" s="860"/>
      <c r="B767" s="860"/>
      <c r="C767" s="860"/>
      <c r="D767" s="860"/>
      <c r="E767" s="860"/>
      <c r="F767" s="860"/>
      <c r="G767" s="860"/>
      <c r="H767" s="860"/>
      <c r="I767" s="860"/>
      <c r="J767" s="860"/>
      <c r="K767" s="860"/>
      <c r="L767" s="860"/>
      <c r="M767" s="860"/>
      <c r="N767" s="860"/>
      <c r="O767" s="860"/>
      <c r="P767" s="860"/>
      <c r="Q767" s="860"/>
      <c r="R767" s="860"/>
      <c r="S767" s="860"/>
      <c r="T767" s="860"/>
      <c r="U767" s="860"/>
      <c r="V767" s="860"/>
      <c r="W767" s="860"/>
      <c r="X767" s="860"/>
      <c r="Y767" s="860"/>
      <c r="Z767" s="860"/>
      <c r="AA767" s="860"/>
      <c r="AB767" s="860"/>
      <c r="AC767" s="860"/>
      <c r="AD767" s="860"/>
      <c r="AE767" s="860"/>
      <c r="AF767" s="860"/>
      <c r="AG767" s="860"/>
      <c r="AH767" s="860"/>
      <c r="AJ767" s="836"/>
      <c r="AK767" s="836"/>
      <c r="AL767" s="836"/>
      <c r="AM767" s="836"/>
      <c r="AN767" s="836"/>
      <c r="AO767" s="836"/>
      <c r="AP767" s="836"/>
      <c r="AQ767" s="836"/>
      <c r="AR767" s="836"/>
      <c r="AS767" s="836"/>
      <c r="AT767" s="836"/>
      <c r="AU767" s="836"/>
      <c r="AV767" s="836"/>
      <c r="AW767" s="836"/>
      <c r="AX767" s="836"/>
      <c r="AY767" s="836"/>
      <c r="AZ767" s="836"/>
      <c r="BA767" s="836"/>
      <c r="BB767" s="836"/>
      <c r="BC767" s="836"/>
      <c r="BD767" s="836"/>
      <c r="BE767" s="836"/>
      <c r="BF767" s="836"/>
      <c r="BG767" s="836"/>
      <c r="BH767" s="836"/>
      <c r="BI767" s="836"/>
      <c r="BJ767" s="836"/>
      <c r="BK767" s="836"/>
      <c r="BL767" s="836"/>
      <c r="BM767" s="836"/>
      <c r="BN767" s="836"/>
      <c r="BO767" s="836"/>
      <c r="BP767" s="836"/>
      <c r="BR767" s="838"/>
      <c r="BS767" s="838"/>
      <c r="BT767" s="838"/>
      <c r="BU767" s="838"/>
      <c r="BV767" s="838"/>
      <c r="BW767" s="838"/>
      <c r="BX767" s="838"/>
      <c r="BY767" s="838"/>
      <c r="BZ767" s="838"/>
      <c r="CA767" s="838"/>
      <c r="CB767" s="838"/>
      <c r="CC767" s="838"/>
      <c r="CD767" s="838"/>
      <c r="CE767" s="838"/>
      <c r="CF767" s="838"/>
      <c r="CG767" s="838"/>
      <c r="CH767" s="838"/>
      <c r="CI767" s="838"/>
      <c r="CJ767" s="838"/>
      <c r="CK767" s="838"/>
      <c r="CL767" s="838"/>
      <c r="CM767" s="838"/>
      <c r="CN767" s="838"/>
      <c r="CO767" s="838"/>
      <c r="CP767" s="838"/>
      <c r="CQ767" s="838"/>
      <c r="CR767" s="838"/>
      <c r="CS767" s="838"/>
      <c r="CT767" s="838"/>
      <c r="CU767" s="838"/>
    </row>
    <row r="768">
      <c r="A768" s="860"/>
      <c r="B768" s="860"/>
      <c r="C768" s="860"/>
      <c r="D768" s="860"/>
      <c r="E768" s="860"/>
      <c r="F768" s="860"/>
      <c r="G768" s="860"/>
      <c r="H768" s="860"/>
      <c r="I768" s="860"/>
      <c r="J768" s="860"/>
      <c r="K768" s="860"/>
      <c r="L768" s="860"/>
      <c r="M768" s="860"/>
      <c r="N768" s="860"/>
      <c r="O768" s="860"/>
      <c r="P768" s="860"/>
      <c r="Q768" s="860"/>
      <c r="R768" s="860"/>
      <c r="S768" s="860"/>
      <c r="T768" s="860"/>
      <c r="U768" s="860"/>
      <c r="V768" s="860"/>
      <c r="W768" s="860"/>
      <c r="X768" s="860"/>
      <c r="Y768" s="860"/>
      <c r="Z768" s="860"/>
      <c r="AA768" s="860"/>
      <c r="AB768" s="860"/>
      <c r="AC768" s="860"/>
      <c r="AD768" s="860"/>
      <c r="AE768" s="860"/>
      <c r="AF768" s="860"/>
      <c r="AG768" s="860"/>
      <c r="AH768" s="860"/>
      <c r="AJ768" s="836"/>
      <c r="AK768" s="836"/>
      <c r="AL768" s="836"/>
      <c r="AM768" s="836"/>
      <c r="AN768" s="836"/>
      <c r="AO768" s="836"/>
      <c r="AP768" s="836"/>
      <c r="AQ768" s="836"/>
      <c r="AR768" s="836"/>
      <c r="AS768" s="836"/>
      <c r="AT768" s="836"/>
      <c r="AU768" s="836"/>
      <c r="AV768" s="836"/>
      <c r="AW768" s="836"/>
      <c r="AX768" s="836"/>
      <c r="AY768" s="836"/>
      <c r="AZ768" s="836"/>
      <c r="BA768" s="836"/>
      <c r="BB768" s="836"/>
      <c r="BC768" s="836"/>
      <c r="BD768" s="836"/>
      <c r="BE768" s="836"/>
      <c r="BF768" s="836"/>
      <c r="BG768" s="836"/>
      <c r="BH768" s="836"/>
      <c r="BI768" s="836"/>
      <c r="BJ768" s="836"/>
      <c r="BK768" s="836"/>
      <c r="BL768" s="836"/>
      <c r="BM768" s="836"/>
      <c r="BN768" s="836"/>
      <c r="BO768" s="836"/>
      <c r="BP768" s="836"/>
      <c r="BR768" s="838"/>
      <c r="BS768" s="838"/>
      <c r="BT768" s="838"/>
      <c r="BU768" s="838"/>
      <c r="BV768" s="838"/>
      <c r="BW768" s="838"/>
      <c r="BX768" s="838"/>
      <c r="BY768" s="838"/>
      <c r="BZ768" s="838"/>
      <c r="CA768" s="838"/>
      <c r="CB768" s="838"/>
      <c r="CC768" s="838"/>
      <c r="CD768" s="838"/>
      <c r="CE768" s="838"/>
      <c r="CF768" s="838"/>
      <c r="CG768" s="838"/>
      <c r="CH768" s="838"/>
      <c r="CI768" s="838"/>
      <c r="CJ768" s="838"/>
      <c r="CK768" s="838"/>
      <c r="CL768" s="838"/>
      <c r="CM768" s="838"/>
      <c r="CN768" s="838"/>
      <c r="CO768" s="838"/>
      <c r="CP768" s="838"/>
      <c r="CQ768" s="838"/>
      <c r="CR768" s="838"/>
      <c r="CS768" s="838"/>
      <c r="CT768" s="838"/>
      <c r="CU768" s="838"/>
    </row>
    <row r="769">
      <c r="A769" s="860"/>
      <c r="B769" s="860"/>
      <c r="C769" s="860"/>
      <c r="D769" s="860"/>
      <c r="E769" s="860"/>
      <c r="F769" s="860"/>
      <c r="G769" s="860"/>
      <c r="H769" s="860"/>
      <c r="I769" s="860"/>
      <c r="J769" s="860"/>
      <c r="K769" s="860"/>
      <c r="L769" s="860"/>
      <c r="M769" s="860"/>
      <c r="N769" s="860"/>
      <c r="O769" s="860"/>
      <c r="P769" s="860"/>
      <c r="Q769" s="860"/>
      <c r="R769" s="860"/>
      <c r="S769" s="860"/>
      <c r="T769" s="860"/>
      <c r="U769" s="860"/>
      <c r="V769" s="860"/>
      <c r="W769" s="860"/>
      <c r="X769" s="860"/>
      <c r="Y769" s="860"/>
      <c r="Z769" s="860"/>
      <c r="AA769" s="860"/>
      <c r="AB769" s="860"/>
      <c r="AC769" s="860"/>
      <c r="AD769" s="860"/>
      <c r="AE769" s="860"/>
      <c r="AF769" s="860"/>
      <c r="AG769" s="860"/>
      <c r="AH769" s="860"/>
      <c r="AJ769" s="836"/>
      <c r="AK769" s="836"/>
      <c r="AL769" s="836"/>
      <c r="AM769" s="836"/>
      <c r="AN769" s="836"/>
      <c r="AO769" s="836"/>
      <c r="AP769" s="836"/>
      <c r="AQ769" s="836"/>
      <c r="AR769" s="836"/>
      <c r="AS769" s="836"/>
      <c r="AT769" s="836"/>
      <c r="AU769" s="836"/>
      <c r="AV769" s="836"/>
      <c r="AW769" s="836"/>
      <c r="AX769" s="836"/>
      <c r="AY769" s="836"/>
      <c r="AZ769" s="836"/>
      <c r="BA769" s="836"/>
      <c r="BB769" s="836"/>
      <c r="BC769" s="836"/>
      <c r="BD769" s="836"/>
      <c r="BE769" s="836"/>
      <c r="BF769" s="836"/>
      <c r="BG769" s="836"/>
      <c r="BH769" s="836"/>
      <c r="BI769" s="836"/>
      <c r="BJ769" s="836"/>
      <c r="BK769" s="836"/>
      <c r="BL769" s="836"/>
      <c r="BM769" s="836"/>
      <c r="BN769" s="836"/>
      <c r="BO769" s="836"/>
      <c r="BP769" s="836"/>
      <c r="BR769" s="838"/>
      <c r="BS769" s="838"/>
      <c r="BT769" s="838"/>
      <c r="BU769" s="838"/>
      <c r="BV769" s="838"/>
      <c r="BW769" s="838"/>
      <c r="BX769" s="838"/>
      <c r="BY769" s="838"/>
      <c r="BZ769" s="838"/>
      <c r="CA769" s="838"/>
      <c r="CB769" s="838"/>
      <c r="CC769" s="838"/>
      <c r="CD769" s="838"/>
      <c r="CE769" s="838"/>
      <c r="CF769" s="838"/>
      <c r="CG769" s="838"/>
      <c r="CH769" s="838"/>
      <c r="CI769" s="838"/>
      <c r="CJ769" s="838"/>
      <c r="CK769" s="838"/>
      <c r="CL769" s="838"/>
      <c r="CM769" s="838"/>
      <c r="CN769" s="838"/>
      <c r="CO769" s="838"/>
      <c r="CP769" s="838"/>
      <c r="CQ769" s="838"/>
      <c r="CR769" s="838"/>
      <c r="CS769" s="838"/>
      <c r="CT769" s="838"/>
      <c r="CU769" s="838"/>
    </row>
    <row r="770">
      <c r="A770" s="860"/>
      <c r="B770" s="860"/>
      <c r="C770" s="860"/>
      <c r="D770" s="860"/>
      <c r="E770" s="860"/>
      <c r="F770" s="860"/>
      <c r="G770" s="860"/>
      <c r="H770" s="860"/>
      <c r="I770" s="860"/>
      <c r="J770" s="860"/>
      <c r="K770" s="860"/>
      <c r="L770" s="860"/>
      <c r="M770" s="860"/>
      <c r="N770" s="860"/>
      <c r="O770" s="860"/>
      <c r="P770" s="860"/>
      <c r="Q770" s="860"/>
      <c r="R770" s="860"/>
      <c r="S770" s="860"/>
      <c r="T770" s="860"/>
      <c r="U770" s="860"/>
      <c r="V770" s="860"/>
      <c r="W770" s="860"/>
      <c r="X770" s="860"/>
      <c r="Y770" s="860"/>
      <c r="Z770" s="860"/>
      <c r="AA770" s="860"/>
      <c r="AB770" s="860"/>
      <c r="AC770" s="860"/>
      <c r="AD770" s="860"/>
      <c r="AE770" s="860"/>
      <c r="AF770" s="860"/>
      <c r="AG770" s="860"/>
      <c r="AH770" s="860"/>
      <c r="AJ770" s="836"/>
      <c r="AK770" s="836"/>
      <c r="AL770" s="836"/>
      <c r="AM770" s="836"/>
      <c r="AN770" s="836"/>
      <c r="AO770" s="836"/>
      <c r="AP770" s="836"/>
      <c r="AQ770" s="836"/>
      <c r="AR770" s="836"/>
      <c r="AS770" s="836"/>
      <c r="AT770" s="836"/>
      <c r="AU770" s="836"/>
      <c r="AV770" s="836"/>
      <c r="AW770" s="836"/>
      <c r="AX770" s="836"/>
      <c r="AY770" s="836"/>
      <c r="AZ770" s="836"/>
      <c r="BA770" s="836"/>
      <c r="BB770" s="836"/>
      <c r="BC770" s="836"/>
      <c r="BD770" s="836"/>
      <c r="BE770" s="836"/>
      <c r="BF770" s="836"/>
      <c r="BG770" s="836"/>
      <c r="BH770" s="836"/>
      <c r="BI770" s="836"/>
      <c r="BJ770" s="836"/>
      <c r="BK770" s="836"/>
      <c r="BL770" s="836"/>
      <c r="BM770" s="836"/>
      <c r="BN770" s="836"/>
      <c r="BO770" s="836"/>
      <c r="BP770" s="836"/>
      <c r="BR770" s="838"/>
      <c r="BS770" s="838"/>
      <c r="BT770" s="838"/>
      <c r="BU770" s="838"/>
      <c r="BV770" s="838"/>
      <c r="BW770" s="838"/>
      <c r="BX770" s="838"/>
      <c r="BY770" s="838"/>
      <c r="BZ770" s="838"/>
      <c r="CA770" s="838"/>
      <c r="CB770" s="838"/>
      <c r="CC770" s="838"/>
      <c r="CD770" s="838"/>
      <c r="CE770" s="838"/>
      <c r="CF770" s="838"/>
      <c r="CG770" s="838"/>
      <c r="CH770" s="838"/>
      <c r="CI770" s="838"/>
      <c r="CJ770" s="838"/>
      <c r="CK770" s="838"/>
      <c r="CL770" s="838"/>
      <c r="CM770" s="838"/>
      <c r="CN770" s="838"/>
      <c r="CO770" s="838"/>
      <c r="CP770" s="838"/>
      <c r="CQ770" s="838"/>
      <c r="CR770" s="838"/>
      <c r="CS770" s="838"/>
      <c r="CT770" s="838"/>
      <c r="CU770" s="838"/>
    </row>
    <row r="771">
      <c r="A771" s="860"/>
      <c r="B771" s="860"/>
      <c r="C771" s="860"/>
      <c r="D771" s="860"/>
      <c r="E771" s="860"/>
      <c r="F771" s="860"/>
      <c r="G771" s="860"/>
      <c r="H771" s="860"/>
      <c r="I771" s="860"/>
      <c r="J771" s="860"/>
      <c r="K771" s="860"/>
      <c r="L771" s="860"/>
      <c r="M771" s="860"/>
      <c r="N771" s="860"/>
      <c r="O771" s="860"/>
      <c r="P771" s="860"/>
      <c r="Q771" s="860"/>
      <c r="R771" s="860"/>
      <c r="S771" s="860"/>
      <c r="T771" s="860"/>
      <c r="U771" s="860"/>
      <c r="V771" s="860"/>
      <c r="W771" s="860"/>
      <c r="X771" s="860"/>
      <c r="Y771" s="860"/>
      <c r="Z771" s="860"/>
      <c r="AA771" s="860"/>
      <c r="AB771" s="860"/>
      <c r="AC771" s="860"/>
      <c r="AD771" s="860"/>
      <c r="AE771" s="860"/>
      <c r="AF771" s="860"/>
      <c r="AG771" s="860"/>
      <c r="AH771" s="860"/>
      <c r="AJ771" s="836"/>
      <c r="AK771" s="836"/>
      <c r="AL771" s="836"/>
      <c r="AM771" s="836"/>
      <c r="AN771" s="836"/>
      <c r="AO771" s="836"/>
      <c r="AP771" s="836"/>
      <c r="AQ771" s="836"/>
      <c r="AR771" s="836"/>
      <c r="AS771" s="836"/>
      <c r="AT771" s="836"/>
      <c r="AU771" s="836"/>
      <c r="AV771" s="836"/>
      <c r="AW771" s="836"/>
      <c r="AX771" s="836"/>
      <c r="AY771" s="836"/>
      <c r="AZ771" s="836"/>
      <c r="BA771" s="836"/>
      <c r="BB771" s="836"/>
      <c r="BC771" s="836"/>
      <c r="BD771" s="836"/>
      <c r="BE771" s="836"/>
      <c r="BF771" s="836"/>
      <c r="BG771" s="836"/>
      <c r="BH771" s="836"/>
      <c r="BI771" s="836"/>
      <c r="BJ771" s="836"/>
      <c r="BK771" s="836"/>
      <c r="BL771" s="836"/>
      <c r="BM771" s="836"/>
      <c r="BN771" s="836"/>
      <c r="BO771" s="836"/>
      <c r="BP771" s="836"/>
      <c r="BR771" s="838"/>
      <c r="BS771" s="838"/>
      <c r="BT771" s="838"/>
      <c r="BU771" s="838"/>
      <c r="BV771" s="838"/>
      <c r="BW771" s="838"/>
      <c r="BX771" s="838"/>
      <c r="BY771" s="838"/>
      <c r="BZ771" s="838"/>
      <c r="CA771" s="838"/>
      <c r="CB771" s="838"/>
      <c r="CC771" s="838"/>
      <c r="CD771" s="838"/>
      <c r="CE771" s="838"/>
      <c r="CF771" s="838"/>
      <c r="CG771" s="838"/>
      <c r="CH771" s="838"/>
      <c r="CI771" s="838"/>
      <c r="CJ771" s="838"/>
      <c r="CK771" s="838"/>
      <c r="CL771" s="838"/>
      <c r="CM771" s="838"/>
      <c r="CN771" s="838"/>
      <c r="CO771" s="838"/>
      <c r="CP771" s="838"/>
      <c r="CQ771" s="838"/>
      <c r="CR771" s="838"/>
      <c r="CS771" s="838"/>
      <c r="CT771" s="838"/>
      <c r="CU771" s="838"/>
    </row>
    <row r="772">
      <c r="A772" s="860"/>
      <c r="B772" s="860"/>
      <c r="C772" s="860"/>
      <c r="D772" s="860"/>
      <c r="E772" s="860"/>
      <c r="F772" s="860"/>
      <c r="G772" s="860"/>
      <c r="H772" s="860"/>
      <c r="I772" s="860"/>
      <c r="J772" s="860"/>
      <c r="K772" s="860"/>
      <c r="L772" s="860"/>
      <c r="M772" s="860"/>
      <c r="N772" s="860"/>
      <c r="O772" s="860"/>
      <c r="P772" s="860"/>
      <c r="Q772" s="860"/>
      <c r="R772" s="860"/>
      <c r="S772" s="860"/>
      <c r="T772" s="860"/>
      <c r="U772" s="860"/>
      <c r="V772" s="860"/>
      <c r="W772" s="860"/>
      <c r="X772" s="860"/>
      <c r="Y772" s="860"/>
      <c r="Z772" s="860"/>
      <c r="AA772" s="860"/>
      <c r="AB772" s="860"/>
      <c r="AC772" s="860"/>
      <c r="AD772" s="860"/>
      <c r="AE772" s="860"/>
      <c r="AF772" s="860"/>
      <c r="AG772" s="860"/>
      <c r="AH772" s="860"/>
      <c r="AJ772" s="836"/>
      <c r="AK772" s="836"/>
      <c r="AL772" s="836"/>
      <c r="AM772" s="836"/>
      <c r="AN772" s="836"/>
      <c r="AO772" s="836"/>
      <c r="AP772" s="836"/>
      <c r="AQ772" s="836"/>
      <c r="AR772" s="836"/>
      <c r="AS772" s="836"/>
      <c r="AT772" s="836"/>
      <c r="AU772" s="836"/>
      <c r="AV772" s="836"/>
      <c r="AW772" s="836"/>
      <c r="AX772" s="836"/>
      <c r="AY772" s="836"/>
      <c r="AZ772" s="836"/>
      <c r="BA772" s="836"/>
      <c r="BB772" s="836"/>
      <c r="BC772" s="836"/>
      <c r="BD772" s="836"/>
      <c r="BE772" s="836"/>
      <c r="BF772" s="836"/>
      <c r="BG772" s="836"/>
      <c r="BH772" s="836"/>
      <c r="BI772" s="836"/>
      <c r="BJ772" s="836"/>
      <c r="BK772" s="836"/>
      <c r="BL772" s="836"/>
      <c r="BM772" s="836"/>
      <c r="BN772" s="836"/>
      <c r="BO772" s="836"/>
      <c r="BP772" s="836"/>
      <c r="BR772" s="838"/>
      <c r="BS772" s="838"/>
      <c r="BT772" s="838"/>
      <c r="BU772" s="838"/>
      <c r="BV772" s="838"/>
      <c r="BW772" s="838"/>
      <c r="BX772" s="838"/>
      <c r="BY772" s="838"/>
      <c r="BZ772" s="838"/>
      <c r="CA772" s="838"/>
      <c r="CB772" s="838"/>
      <c r="CC772" s="838"/>
      <c r="CD772" s="838"/>
      <c r="CE772" s="838"/>
      <c r="CF772" s="838"/>
      <c r="CG772" s="838"/>
      <c r="CH772" s="838"/>
      <c r="CI772" s="838"/>
      <c r="CJ772" s="838"/>
      <c r="CK772" s="838"/>
      <c r="CL772" s="838"/>
      <c r="CM772" s="838"/>
      <c r="CN772" s="838"/>
      <c r="CO772" s="838"/>
      <c r="CP772" s="838"/>
      <c r="CQ772" s="838"/>
      <c r="CR772" s="838"/>
      <c r="CS772" s="838"/>
      <c r="CT772" s="838"/>
      <c r="CU772" s="838"/>
    </row>
    <row r="773">
      <c r="A773" s="860"/>
      <c r="B773" s="860"/>
      <c r="C773" s="860"/>
      <c r="D773" s="860"/>
      <c r="E773" s="860"/>
      <c r="F773" s="860"/>
      <c r="G773" s="860"/>
      <c r="H773" s="860"/>
      <c r="I773" s="860"/>
      <c r="J773" s="860"/>
      <c r="K773" s="860"/>
      <c r="L773" s="860"/>
      <c r="M773" s="860"/>
      <c r="N773" s="860"/>
      <c r="O773" s="860"/>
      <c r="P773" s="860"/>
      <c r="Q773" s="860"/>
      <c r="R773" s="860"/>
      <c r="S773" s="860"/>
      <c r="T773" s="860"/>
      <c r="U773" s="860"/>
      <c r="V773" s="860"/>
      <c r="W773" s="860"/>
      <c r="X773" s="860"/>
      <c r="Y773" s="860"/>
      <c r="Z773" s="860"/>
      <c r="AA773" s="860"/>
      <c r="AB773" s="860"/>
      <c r="AC773" s="860"/>
      <c r="AD773" s="860"/>
      <c r="AE773" s="860"/>
      <c r="AF773" s="860"/>
      <c r="AG773" s="860"/>
      <c r="AH773" s="860"/>
      <c r="AJ773" s="836"/>
      <c r="AK773" s="836"/>
      <c r="AL773" s="836"/>
      <c r="AM773" s="836"/>
      <c r="AN773" s="836"/>
      <c r="AO773" s="836"/>
      <c r="AP773" s="836"/>
      <c r="AQ773" s="836"/>
      <c r="AR773" s="836"/>
      <c r="AS773" s="836"/>
      <c r="AT773" s="836"/>
      <c r="AU773" s="836"/>
      <c r="AV773" s="836"/>
      <c r="AW773" s="836"/>
      <c r="AX773" s="836"/>
      <c r="AY773" s="836"/>
      <c r="AZ773" s="836"/>
      <c r="BA773" s="836"/>
      <c r="BB773" s="836"/>
      <c r="BC773" s="836"/>
      <c r="BD773" s="836"/>
      <c r="BE773" s="836"/>
      <c r="BF773" s="836"/>
      <c r="BG773" s="836"/>
      <c r="BH773" s="836"/>
      <c r="BI773" s="836"/>
      <c r="BJ773" s="836"/>
      <c r="BK773" s="836"/>
      <c r="BL773" s="836"/>
      <c r="BM773" s="836"/>
      <c r="BN773" s="836"/>
      <c r="BO773" s="836"/>
      <c r="BP773" s="836"/>
      <c r="BR773" s="838"/>
      <c r="BS773" s="838"/>
      <c r="BT773" s="838"/>
      <c r="BU773" s="838"/>
      <c r="BV773" s="838"/>
      <c r="BW773" s="838"/>
      <c r="BX773" s="838"/>
      <c r="BY773" s="838"/>
      <c r="BZ773" s="838"/>
      <c r="CA773" s="838"/>
      <c r="CB773" s="838"/>
      <c r="CC773" s="838"/>
      <c r="CD773" s="838"/>
      <c r="CE773" s="838"/>
      <c r="CF773" s="838"/>
      <c r="CG773" s="838"/>
      <c r="CH773" s="838"/>
      <c r="CI773" s="838"/>
      <c r="CJ773" s="838"/>
      <c r="CK773" s="838"/>
      <c r="CL773" s="838"/>
      <c r="CM773" s="838"/>
      <c r="CN773" s="838"/>
      <c r="CO773" s="838"/>
      <c r="CP773" s="838"/>
      <c r="CQ773" s="838"/>
      <c r="CR773" s="838"/>
      <c r="CS773" s="838"/>
      <c r="CT773" s="838"/>
      <c r="CU773" s="838"/>
    </row>
    <row r="774">
      <c r="A774" s="860"/>
      <c r="B774" s="860"/>
      <c r="C774" s="860"/>
      <c r="D774" s="860"/>
      <c r="E774" s="860"/>
      <c r="F774" s="860"/>
      <c r="G774" s="860"/>
      <c r="H774" s="860"/>
      <c r="I774" s="860"/>
      <c r="J774" s="860"/>
      <c r="K774" s="860"/>
      <c r="L774" s="860"/>
      <c r="M774" s="860"/>
      <c r="N774" s="860"/>
      <c r="O774" s="860"/>
      <c r="P774" s="860"/>
      <c r="Q774" s="860"/>
      <c r="R774" s="860"/>
      <c r="S774" s="860"/>
      <c r="T774" s="860"/>
      <c r="U774" s="860"/>
      <c r="V774" s="860"/>
      <c r="W774" s="860"/>
      <c r="X774" s="860"/>
      <c r="Y774" s="860"/>
      <c r="Z774" s="860"/>
      <c r="AA774" s="860"/>
      <c r="AB774" s="860"/>
      <c r="AC774" s="860"/>
      <c r="AD774" s="860"/>
      <c r="AE774" s="860"/>
      <c r="AF774" s="860"/>
      <c r="AG774" s="860"/>
      <c r="AH774" s="860"/>
      <c r="AJ774" s="836"/>
      <c r="AK774" s="836"/>
      <c r="AL774" s="836"/>
      <c r="AM774" s="836"/>
      <c r="AN774" s="836"/>
      <c r="AO774" s="836"/>
      <c r="AP774" s="836"/>
      <c r="AQ774" s="836"/>
      <c r="AR774" s="836"/>
      <c r="AS774" s="836"/>
      <c r="AT774" s="836"/>
      <c r="AU774" s="836"/>
      <c r="AV774" s="836"/>
      <c r="AW774" s="836"/>
      <c r="AX774" s="836"/>
      <c r="AY774" s="836"/>
      <c r="AZ774" s="836"/>
      <c r="BA774" s="836"/>
      <c r="BB774" s="836"/>
      <c r="BC774" s="836"/>
      <c r="BD774" s="836"/>
      <c r="BE774" s="836"/>
      <c r="BF774" s="836"/>
      <c r="BG774" s="836"/>
      <c r="BH774" s="836"/>
      <c r="BI774" s="836"/>
      <c r="BJ774" s="836"/>
      <c r="BK774" s="836"/>
      <c r="BL774" s="836"/>
      <c r="BM774" s="836"/>
      <c r="BN774" s="836"/>
      <c r="BO774" s="836"/>
      <c r="BP774" s="836"/>
      <c r="BR774" s="838"/>
      <c r="BS774" s="838"/>
      <c r="BT774" s="838"/>
      <c r="BU774" s="838"/>
      <c r="BV774" s="838"/>
      <c r="BW774" s="838"/>
      <c r="BX774" s="838"/>
      <c r="BY774" s="838"/>
      <c r="BZ774" s="838"/>
      <c r="CA774" s="838"/>
      <c r="CB774" s="838"/>
      <c r="CC774" s="838"/>
      <c r="CD774" s="838"/>
      <c r="CE774" s="838"/>
      <c r="CF774" s="838"/>
      <c r="CG774" s="838"/>
      <c r="CH774" s="838"/>
      <c r="CI774" s="838"/>
      <c r="CJ774" s="838"/>
      <c r="CK774" s="838"/>
      <c r="CL774" s="838"/>
      <c r="CM774" s="838"/>
      <c r="CN774" s="838"/>
      <c r="CO774" s="838"/>
      <c r="CP774" s="838"/>
      <c r="CQ774" s="838"/>
      <c r="CR774" s="838"/>
      <c r="CS774" s="838"/>
      <c r="CT774" s="838"/>
      <c r="CU774" s="838"/>
    </row>
    <row r="775">
      <c r="A775" s="860"/>
      <c r="B775" s="860"/>
      <c r="C775" s="860"/>
      <c r="D775" s="860"/>
      <c r="E775" s="860"/>
      <c r="F775" s="860"/>
      <c r="G775" s="860"/>
      <c r="H775" s="860"/>
      <c r="I775" s="860"/>
      <c r="J775" s="860"/>
      <c r="K775" s="860"/>
      <c r="L775" s="860"/>
      <c r="M775" s="860"/>
      <c r="N775" s="860"/>
      <c r="O775" s="860"/>
      <c r="P775" s="860"/>
      <c r="Q775" s="860"/>
      <c r="R775" s="860"/>
      <c r="S775" s="860"/>
      <c r="T775" s="860"/>
      <c r="U775" s="860"/>
      <c r="V775" s="860"/>
      <c r="W775" s="860"/>
      <c r="X775" s="860"/>
      <c r="Y775" s="860"/>
      <c r="Z775" s="860"/>
      <c r="AA775" s="860"/>
      <c r="AB775" s="860"/>
      <c r="AC775" s="860"/>
      <c r="AD775" s="860"/>
      <c r="AE775" s="860"/>
      <c r="AF775" s="860"/>
      <c r="AG775" s="860"/>
      <c r="AH775" s="860"/>
      <c r="AJ775" s="836"/>
      <c r="AK775" s="836"/>
      <c r="AL775" s="836"/>
      <c r="AM775" s="836"/>
      <c r="AN775" s="836"/>
      <c r="AO775" s="836"/>
      <c r="AP775" s="836"/>
      <c r="AQ775" s="836"/>
      <c r="AR775" s="836"/>
      <c r="AS775" s="836"/>
      <c r="AT775" s="836"/>
      <c r="AU775" s="836"/>
      <c r="AV775" s="836"/>
      <c r="AW775" s="836"/>
      <c r="AX775" s="836"/>
      <c r="AY775" s="836"/>
      <c r="AZ775" s="836"/>
      <c r="BA775" s="836"/>
      <c r="BB775" s="836"/>
      <c r="BC775" s="836"/>
      <c r="BD775" s="836"/>
      <c r="BE775" s="836"/>
      <c r="BF775" s="836"/>
      <c r="BG775" s="836"/>
      <c r="BH775" s="836"/>
      <c r="BI775" s="836"/>
      <c r="BJ775" s="836"/>
      <c r="BK775" s="836"/>
      <c r="BL775" s="836"/>
      <c r="BM775" s="836"/>
      <c r="BN775" s="836"/>
      <c r="BO775" s="836"/>
      <c r="BP775" s="836"/>
      <c r="BR775" s="838"/>
      <c r="BS775" s="838"/>
      <c r="BT775" s="838"/>
      <c r="BU775" s="838"/>
      <c r="BV775" s="838"/>
      <c r="BW775" s="838"/>
      <c r="BX775" s="838"/>
      <c r="BY775" s="838"/>
      <c r="BZ775" s="838"/>
      <c r="CA775" s="838"/>
      <c r="CB775" s="838"/>
      <c r="CC775" s="838"/>
      <c r="CD775" s="838"/>
      <c r="CE775" s="838"/>
      <c r="CF775" s="838"/>
      <c r="CG775" s="838"/>
      <c r="CH775" s="838"/>
      <c r="CI775" s="838"/>
      <c r="CJ775" s="838"/>
      <c r="CK775" s="838"/>
      <c r="CL775" s="838"/>
      <c r="CM775" s="838"/>
      <c r="CN775" s="838"/>
      <c r="CO775" s="838"/>
      <c r="CP775" s="838"/>
      <c r="CQ775" s="838"/>
      <c r="CR775" s="838"/>
      <c r="CS775" s="838"/>
      <c r="CT775" s="838"/>
      <c r="CU775" s="838"/>
    </row>
    <row r="776">
      <c r="A776" s="860"/>
      <c r="B776" s="860"/>
      <c r="C776" s="860"/>
      <c r="D776" s="860"/>
      <c r="E776" s="860"/>
      <c r="F776" s="860"/>
      <c r="G776" s="860"/>
      <c r="H776" s="860"/>
      <c r="I776" s="860"/>
      <c r="J776" s="860"/>
      <c r="K776" s="860"/>
      <c r="L776" s="860"/>
      <c r="M776" s="860"/>
      <c r="N776" s="860"/>
      <c r="O776" s="860"/>
      <c r="P776" s="860"/>
      <c r="Q776" s="860"/>
      <c r="R776" s="860"/>
      <c r="S776" s="860"/>
      <c r="T776" s="860"/>
      <c r="U776" s="860"/>
      <c r="V776" s="860"/>
      <c r="W776" s="860"/>
      <c r="X776" s="860"/>
      <c r="Y776" s="860"/>
      <c r="Z776" s="860"/>
      <c r="AA776" s="860"/>
      <c r="AB776" s="860"/>
      <c r="AC776" s="860"/>
      <c r="AD776" s="860"/>
      <c r="AE776" s="860"/>
      <c r="AF776" s="860"/>
      <c r="AG776" s="860"/>
      <c r="AH776" s="860"/>
      <c r="AJ776" s="836"/>
      <c r="AK776" s="836"/>
      <c r="AL776" s="836"/>
      <c r="AM776" s="836"/>
      <c r="AN776" s="836"/>
      <c r="AO776" s="836"/>
      <c r="AP776" s="836"/>
      <c r="AQ776" s="836"/>
      <c r="AR776" s="836"/>
      <c r="AS776" s="836"/>
      <c r="AT776" s="836"/>
      <c r="AU776" s="836"/>
      <c r="AV776" s="836"/>
      <c r="AW776" s="836"/>
      <c r="AX776" s="836"/>
      <c r="AY776" s="836"/>
      <c r="AZ776" s="836"/>
      <c r="BA776" s="836"/>
      <c r="BB776" s="836"/>
      <c r="BC776" s="836"/>
      <c r="BD776" s="836"/>
      <c r="BE776" s="836"/>
      <c r="BF776" s="836"/>
      <c r="BG776" s="836"/>
      <c r="BH776" s="836"/>
      <c r="BI776" s="836"/>
      <c r="BJ776" s="836"/>
      <c r="BK776" s="836"/>
      <c r="BL776" s="836"/>
      <c r="BM776" s="836"/>
      <c r="BN776" s="836"/>
      <c r="BO776" s="836"/>
      <c r="BP776" s="836"/>
      <c r="BR776" s="838"/>
      <c r="BS776" s="838"/>
      <c r="BT776" s="838"/>
      <c r="BU776" s="838"/>
      <c r="BV776" s="838"/>
      <c r="BW776" s="838"/>
      <c r="BX776" s="838"/>
      <c r="BY776" s="838"/>
      <c r="BZ776" s="838"/>
      <c r="CA776" s="838"/>
      <c r="CB776" s="838"/>
      <c r="CC776" s="838"/>
      <c r="CD776" s="838"/>
      <c r="CE776" s="838"/>
      <c r="CF776" s="838"/>
      <c r="CG776" s="838"/>
      <c r="CH776" s="838"/>
      <c r="CI776" s="838"/>
      <c r="CJ776" s="838"/>
      <c r="CK776" s="838"/>
      <c r="CL776" s="838"/>
      <c r="CM776" s="838"/>
      <c r="CN776" s="838"/>
      <c r="CO776" s="838"/>
      <c r="CP776" s="838"/>
      <c r="CQ776" s="838"/>
      <c r="CR776" s="838"/>
      <c r="CS776" s="838"/>
      <c r="CT776" s="838"/>
      <c r="CU776" s="838"/>
    </row>
    <row r="777">
      <c r="A777" s="860"/>
      <c r="B777" s="860"/>
      <c r="C777" s="860"/>
      <c r="D777" s="860"/>
      <c r="E777" s="860"/>
      <c r="F777" s="860"/>
      <c r="G777" s="860"/>
      <c r="H777" s="860"/>
      <c r="I777" s="860"/>
      <c r="J777" s="860"/>
      <c r="K777" s="860"/>
      <c r="L777" s="860"/>
      <c r="M777" s="860"/>
      <c r="N777" s="860"/>
      <c r="O777" s="860"/>
      <c r="P777" s="860"/>
      <c r="Q777" s="860"/>
      <c r="R777" s="860"/>
      <c r="S777" s="860"/>
      <c r="T777" s="860"/>
      <c r="U777" s="860"/>
      <c r="V777" s="860"/>
      <c r="W777" s="860"/>
      <c r="X777" s="860"/>
      <c r="Y777" s="860"/>
      <c r="Z777" s="860"/>
      <c r="AA777" s="860"/>
      <c r="AB777" s="860"/>
      <c r="AC777" s="860"/>
      <c r="AD777" s="860"/>
      <c r="AE777" s="860"/>
      <c r="AF777" s="860"/>
      <c r="AG777" s="860"/>
      <c r="AH777" s="860"/>
      <c r="AJ777" s="836"/>
      <c r="AK777" s="836"/>
      <c r="AL777" s="836"/>
      <c r="AM777" s="836"/>
      <c r="AN777" s="836"/>
      <c r="AO777" s="836"/>
      <c r="AP777" s="836"/>
      <c r="AQ777" s="836"/>
      <c r="AR777" s="836"/>
      <c r="AS777" s="836"/>
      <c r="AT777" s="836"/>
      <c r="AU777" s="836"/>
      <c r="AV777" s="836"/>
      <c r="AW777" s="836"/>
      <c r="AX777" s="836"/>
      <c r="AY777" s="836"/>
      <c r="AZ777" s="836"/>
      <c r="BA777" s="836"/>
      <c r="BB777" s="836"/>
      <c r="BC777" s="836"/>
      <c r="BD777" s="836"/>
      <c r="BE777" s="836"/>
      <c r="BF777" s="836"/>
      <c r="BG777" s="836"/>
      <c r="BH777" s="836"/>
      <c r="BI777" s="836"/>
      <c r="BJ777" s="836"/>
      <c r="BK777" s="836"/>
      <c r="BL777" s="836"/>
      <c r="BM777" s="836"/>
      <c r="BN777" s="836"/>
      <c r="BO777" s="836"/>
      <c r="BP777" s="836"/>
      <c r="BR777" s="838"/>
      <c r="BS777" s="838"/>
      <c r="BT777" s="838"/>
      <c r="BU777" s="838"/>
      <c r="BV777" s="838"/>
      <c r="BW777" s="838"/>
      <c r="BX777" s="838"/>
      <c r="BY777" s="838"/>
      <c r="BZ777" s="838"/>
      <c r="CA777" s="838"/>
      <c r="CB777" s="838"/>
      <c r="CC777" s="838"/>
      <c r="CD777" s="838"/>
      <c r="CE777" s="838"/>
      <c r="CF777" s="838"/>
      <c r="CG777" s="838"/>
      <c r="CH777" s="838"/>
      <c r="CI777" s="838"/>
      <c r="CJ777" s="838"/>
      <c r="CK777" s="838"/>
      <c r="CL777" s="838"/>
      <c r="CM777" s="838"/>
      <c r="CN777" s="838"/>
      <c r="CO777" s="838"/>
      <c r="CP777" s="838"/>
      <c r="CQ777" s="838"/>
      <c r="CR777" s="838"/>
      <c r="CS777" s="838"/>
      <c r="CT777" s="838"/>
      <c r="CU777" s="838"/>
    </row>
    <row r="778">
      <c r="A778" s="860"/>
      <c r="B778" s="860"/>
      <c r="C778" s="860"/>
      <c r="D778" s="860"/>
      <c r="E778" s="860"/>
      <c r="F778" s="860"/>
      <c r="G778" s="860"/>
      <c r="H778" s="860"/>
      <c r="I778" s="860"/>
      <c r="J778" s="860"/>
      <c r="K778" s="860"/>
      <c r="L778" s="860"/>
      <c r="M778" s="860"/>
      <c r="N778" s="860"/>
      <c r="O778" s="860"/>
      <c r="P778" s="860"/>
      <c r="Q778" s="860"/>
      <c r="R778" s="860"/>
      <c r="S778" s="860"/>
      <c r="T778" s="860"/>
      <c r="U778" s="860"/>
      <c r="V778" s="860"/>
      <c r="W778" s="860"/>
      <c r="X778" s="860"/>
      <c r="Y778" s="860"/>
      <c r="Z778" s="860"/>
      <c r="AA778" s="860"/>
      <c r="AB778" s="860"/>
      <c r="AC778" s="860"/>
      <c r="AD778" s="860"/>
      <c r="AE778" s="860"/>
      <c r="AF778" s="860"/>
      <c r="AG778" s="860"/>
      <c r="AH778" s="860"/>
      <c r="AJ778" s="836"/>
      <c r="AK778" s="836"/>
      <c r="AL778" s="836"/>
      <c r="AM778" s="836"/>
      <c r="AN778" s="836"/>
      <c r="AO778" s="836"/>
      <c r="AP778" s="836"/>
      <c r="AQ778" s="836"/>
      <c r="AR778" s="836"/>
      <c r="AS778" s="836"/>
      <c r="AT778" s="836"/>
      <c r="AU778" s="836"/>
      <c r="AV778" s="836"/>
      <c r="AW778" s="836"/>
      <c r="AX778" s="836"/>
      <c r="AY778" s="836"/>
      <c r="AZ778" s="836"/>
      <c r="BA778" s="836"/>
      <c r="BB778" s="836"/>
      <c r="BC778" s="836"/>
      <c r="BD778" s="836"/>
      <c r="BE778" s="836"/>
      <c r="BF778" s="836"/>
      <c r="BG778" s="836"/>
      <c r="BH778" s="836"/>
      <c r="BI778" s="836"/>
      <c r="BJ778" s="836"/>
      <c r="BK778" s="836"/>
      <c r="BL778" s="836"/>
      <c r="BM778" s="836"/>
      <c r="BN778" s="836"/>
      <c r="BO778" s="836"/>
      <c r="BP778" s="836"/>
      <c r="BR778" s="838"/>
      <c r="BS778" s="838"/>
      <c r="BT778" s="838"/>
      <c r="BU778" s="838"/>
      <c r="BV778" s="838"/>
      <c r="BW778" s="838"/>
      <c r="BX778" s="838"/>
      <c r="BY778" s="838"/>
      <c r="BZ778" s="838"/>
      <c r="CA778" s="838"/>
      <c r="CB778" s="838"/>
      <c r="CC778" s="838"/>
      <c r="CD778" s="838"/>
      <c r="CE778" s="838"/>
      <c r="CF778" s="838"/>
      <c r="CG778" s="838"/>
      <c r="CH778" s="838"/>
      <c r="CI778" s="838"/>
      <c r="CJ778" s="838"/>
      <c r="CK778" s="838"/>
      <c r="CL778" s="838"/>
      <c r="CM778" s="838"/>
      <c r="CN778" s="838"/>
      <c r="CO778" s="838"/>
      <c r="CP778" s="838"/>
      <c r="CQ778" s="838"/>
      <c r="CR778" s="838"/>
      <c r="CS778" s="838"/>
      <c r="CT778" s="838"/>
      <c r="CU778" s="838"/>
    </row>
    <row r="779">
      <c r="A779" s="860"/>
      <c r="B779" s="860"/>
      <c r="C779" s="860"/>
      <c r="D779" s="860"/>
      <c r="E779" s="860"/>
      <c r="F779" s="860"/>
      <c r="G779" s="860"/>
      <c r="H779" s="860"/>
      <c r="I779" s="860"/>
      <c r="J779" s="860"/>
      <c r="K779" s="860"/>
      <c r="L779" s="860"/>
      <c r="M779" s="860"/>
      <c r="N779" s="860"/>
      <c r="O779" s="860"/>
      <c r="P779" s="860"/>
      <c r="Q779" s="860"/>
      <c r="R779" s="860"/>
      <c r="S779" s="860"/>
      <c r="T779" s="860"/>
      <c r="U779" s="860"/>
      <c r="V779" s="860"/>
      <c r="W779" s="860"/>
      <c r="X779" s="860"/>
      <c r="Y779" s="860"/>
      <c r="Z779" s="860"/>
      <c r="AA779" s="860"/>
      <c r="AB779" s="860"/>
      <c r="AC779" s="860"/>
      <c r="AD779" s="860"/>
      <c r="AE779" s="860"/>
      <c r="AF779" s="860"/>
      <c r="AG779" s="860"/>
      <c r="AH779" s="860"/>
      <c r="AJ779" s="836"/>
      <c r="AK779" s="836"/>
      <c r="AL779" s="836"/>
      <c r="AM779" s="836"/>
      <c r="AN779" s="836"/>
      <c r="AO779" s="836"/>
      <c r="AP779" s="836"/>
      <c r="AQ779" s="836"/>
      <c r="AR779" s="836"/>
      <c r="AS779" s="836"/>
      <c r="AT779" s="836"/>
      <c r="AU779" s="836"/>
      <c r="AV779" s="836"/>
      <c r="AW779" s="836"/>
      <c r="AX779" s="836"/>
      <c r="AY779" s="836"/>
      <c r="AZ779" s="836"/>
      <c r="BA779" s="836"/>
      <c r="BB779" s="836"/>
      <c r="BC779" s="836"/>
      <c r="BD779" s="836"/>
      <c r="BE779" s="836"/>
      <c r="BF779" s="836"/>
      <c r="BG779" s="836"/>
      <c r="BH779" s="836"/>
      <c r="BI779" s="836"/>
      <c r="BJ779" s="836"/>
      <c r="BK779" s="836"/>
      <c r="BL779" s="836"/>
      <c r="BM779" s="836"/>
      <c r="BN779" s="836"/>
      <c r="BO779" s="836"/>
      <c r="BP779" s="836"/>
      <c r="BR779" s="838"/>
      <c r="BS779" s="838"/>
      <c r="BT779" s="838"/>
      <c r="BU779" s="838"/>
      <c r="BV779" s="838"/>
      <c r="BW779" s="838"/>
      <c r="BX779" s="838"/>
      <c r="BY779" s="838"/>
      <c r="BZ779" s="838"/>
      <c r="CA779" s="838"/>
      <c r="CB779" s="838"/>
      <c r="CC779" s="838"/>
      <c r="CD779" s="838"/>
      <c r="CE779" s="838"/>
      <c r="CF779" s="838"/>
      <c r="CG779" s="838"/>
      <c r="CH779" s="838"/>
      <c r="CI779" s="838"/>
      <c r="CJ779" s="838"/>
      <c r="CK779" s="838"/>
      <c r="CL779" s="838"/>
      <c r="CM779" s="838"/>
      <c r="CN779" s="838"/>
      <c r="CO779" s="838"/>
      <c r="CP779" s="838"/>
      <c r="CQ779" s="838"/>
      <c r="CR779" s="838"/>
      <c r="CS779" s="838"/>
      <c r="CT779" s="838"/>
      <c r="CU779" s="838"/>
    </row>
    <row r="780">
      <c r="A780" s="860"/>
      <c r="B780" s="860"/>
      <c r="C780" s="860"/>
      <c r="D780" s="860"/>
      <c r="E780" s="860"/>
      <c r="F780" s="860"/>
      <c r="G780" s="860"/>
      <c r="H780" s="860"/>
      <c r="I780" s="860"/>
      <c r="J780" s="860"/>
      <c r="K780" s="860"/>
      <c r="L780" s="860"/>
      <c r="M780" s="860"/>
      <c r="N780" s="860"/>
      <c r="O780" s="860"/>
      <c r="P780" s="860"/>
      <c r="Q780" s="860"/>
      <c r="R780" s="860"/>
      <c r="S780" s="860"/>
      <c r="T780" s="860"/>
      <c r="U780" s="860"/>
      <c r="V780" s="860"/>
      <c r="W780" s="860"/>
      <c r="X780" s="860"/>
      <c r="Y780" s="860"/>
      <c r="Z780" s="860"/>
      <c r="AA780" s="860"/>
      <c r="AB780" s="860"/>
      <c r="AC780" s="860"/>
      <c r="AD780" s="860"/>
      <c r="AE780" s="860"/>
      <c r="AF780" s="860"/>
      <c r="AG780" s="860"/>
      <c r="AH780" s="860"/>
      <c r="AJ780" s="836"/>
      <c r="AK780" s="836"/>
      <c r="AL780" s="836"/>
      <c r="AM780" s="836"/>
      <c r="AN780" s="836"/>
      <c r="AO780" s="836"/>
      <c r="AP780" s="836"/>
      <c r="AQ780" s="836"/>
      <c r="AR780" s="836"/>
      <c r="AS780" s="836"/>
      <c r="AT780" s="836"/>
      <c r="AU780" s="836"/>
      <c r="AV780" s="836"/>
      <c r="AW780" s="836"/>
      <c r="AX780" s="836"/>
      <c r="AY780" s="836"/>
      <c r="AZ780" s="836"/>
      <c r="BA780" s="836"/>
      <c r="BB780" s="836"/>
      <c r="BC780" s="836"/>
      <c r="BD780" s="836"/>
      <c r="BE780" s="836"/>
      <c r="BF780" s="836"/>
      <c r="BG780" s="836"/>
      <c r="BH780" s="836"/>
      <c r="BI780" s="836"/>
      <c r="BJ780" s="836"/>
      <c r="BK780" s="836"/>
      <c r="BL780" s="836"/>
      <c r="BM780" s="836"/>
      <c r="BN780" s="836"/>
      <c r="BO780" s="836"/>
      <c r="BP780" s="836"/>
      <c r="BR780" s="838"/>
      <c r="BS780" s="838"/>
      <c r="BT780" s="838"/>
      <c r="BU780" s="838"/>
      <c r="BV780" s="838"/>
      <c r="BW780" s="838"/>
      <c r="BX780" s="838"/>
      <c r="BY780" s="838"/>
      <c r="BZ780" s="838"/>
      <c r="CA780" s="838"/>
      <c r="CB780" s="838"/>
      <c r="CC780" s="838"/>
      <c r="CD780" s="838"/>
      <c r="CE780" s="838"/>
      <c r="CF780" s="838"/>
      <c r="CG780" s="838"/>
      <c r="CH780" s="838"/>
      <c r="CI780" s="838"/>
      <c r="CJ780" s="838"/>
      <c r="CK780" s="838"/>
      <c r="CL780" s="838"/>
      <c r="CM780" s="838"/>
      <c r="CN780" s="838"/>
      <c r="CO780" s="838"/>
      <c r="CP780" s="838"/>
      <c r="CQ780" s="838"/>
      <c r="CR780" s="838"/>
      <c r="CS780" s="838"/>
      <c r="CT780" s="838"/>
      <c r="CU780" s="838"/>
    </row>
    <row r="781">
      <c r="A781" s="860"/>
      <c r="B781" s="860"/>
      <c r="C781" s="860"/>
      <c r="D781" s="860"/>
      <c r="E781" s="860"/>
      <c r="F781" s="860"/>
      <c r="G781" s="860"/>
      <c r="H781" s="860"/>
      <c r="I781" s="860"/>
      <c r="J781" s="860"/>
      <c r="K781" s="860"/>
      <c r="L781" s="860"/>
      <c r="M781" s="860"/>
      <c r="N781" s="860"/>
      <c r="O781" s="860"/>
      <c r="P781" s="860"/>
      <c r="Q781" s="860"/>
      <c r="R781" s="860"/>
      <c r="S781" s="860"/>
      <c r="T781" s="860"/>
      <c r="U781" s="860"/>
      <c r="V781" s="860"/>
      <c r="W781" s="860"/>
      <c r="X781" s="860"/>
      <c r="Y781" s="860"/>
      <c r="Z781" s="860"/>
      <c r="AA781" s="860"/>
      <c r="AB781" s="860"/>
      <c r="AC781" s="860"/>
      <c r="AD781" s="860"/>
      <c r="AE781" s="860"/>
      <c r="AF781" s="860"/>
      <c r="AG781" s="860"/>
      <c r="AH781" s="860"/>
      <c r="AJ781" s="836"/>
      <c r="AK781" s="836"/>
      <c r="AL781" s="836"/>
      <c r="AM781" s="836"/>
      <c r="AN781" s="836"/>
      <c r="AO781" s="836"/>
      <c r="AP781" s="836"/>
      <c r="AQ781" s="836"/>
      <c r="AR781" s="836"/>
      <c r="AS781" s="836"/>
      <c r="AT781" s="836"/>
      <c r="AU781" s="836"/>
      <c r="AV781" s="836"/>
      <c r="AW781" s="836"/>
      <c r="AX781" s="836"/>
      <c r="AY781" s="836"/>
      <c r="AZ781" s="836"/>
      <c r="BA781" s="836"/>
      <c r="BB781" s="836"/>
      <c r="BC781" s="836"/>
      <c r="BD781" s="836"/>
      <c r="BE781" s="836"/>
      <c r="BF781" s="836"/>
      <c r="BG781" s="836"/>
      <c r="BH781" s="836"/>
      <c r="BI781" s="836"/>
      <c r="BJ781" s="836"/>
      <c r="BK781" s="836"/>
      <c r="BL781" s="836"/>
      <c r="BM781" s="836"/>
      <c r="BN781" s="836"/>
      <c r="BO781" s="836"/>
      <c r="BP781" s="836"/>
      <c r="BR781" s="838"/>
      <c r="BS781" s="838"/>
      <c r="BT781" s="838"/>
      <c r="BU781" s="838"/>
      <c r="BV781" s="838"/>
      <c r="BW781" s="838"/>
      <c r="BX781" s="838"/>
      <c r="BY781" s="838"/>
      <c r="BZ781" s="838"/>
      <c r="CA781" s="838"/>
      <c r="CB781" s="838"/>
      <c r="CC781" s="838"/>
      <c r="CD781" s="838"/>
      <c r="CE781" s="838"/>
      <c r="CF781" s="838"/>
      <c r="CG781" s="838"/>
      <c r="CH781" s="838"/>
      <c r="CI781" s="838"/>
      <c r="CJ781" s="838"/>
      <c r="CK781" s="838"/>
      <c r="CL781" s="838"/>
      <c r="CM781" s="838"/>
      <c r="CN781" s="838"/>
      <c r="CO781" s="838"/>
      <c r="CP781" s="838"/>
      <c r="CQ781" s="838"/>
      <c r="CR781" s="838"/>
      <c r="CS781" s="838"/>
      <c r="CT781" s="838"/>
      <c r="CU781" s="838"/>
    </row>
    <row r="782">
      <c r="A782" s="860"/>
      <c r="B782" s="860"/>
      <c r="C782" s="860"/>
      <c r="D782" s="860"/>
      <c r="E782" s="860"/>
      <c r="F782" s="860"/>
      <c r="G782" s="860"/>
      <c r="H782" s="860"/>
      <c r="I782" s="860"/>
      <c r="J782" s="860"/>
      <c r="K782" s="860"/>
      <c r="L782" s="860"/>
      <c r="M782" s="860"/>
      <c r="N782" s="860"/>
      <c r="O782" s="860"/>
      <c r="P782" s="860"/>
      <c r="Q782" s="860"/>
      <c r="R782" s="860"/>
      <c r="S782" s="860"/>
      <c r="T782" s="860"/>
      <c r="U782" s="860"/>
      <c r="V782" s="860"/>
      <c r="W782" s="860"/>
      <c r="X782" s="860"/>
      <c r="Y782" s="860"/>
      <c r="Z782" s="860"/>
      <c r="AA782" s="860"/>
      <c r="AB782" s="860"/>
      <c r="AC782" s="860"/>
      <c r="AD782" s="860"/>
      <c r="AE782" s="860"/>
      <c r="AF782" s="860"/>
      <c r="AG782" s="860"/>
      <c r="AH782" s="860"/>
      <c r="AJ782" s="836"/>
      <c r="AK782" s="836"/>
      <c r="AL782" s="836"/>
      <c r="AM782" s="836"/>
      <c r="AN782" s="836"/>
      <c r="AO782" s="836"/>
      <c r="AP782" s="836"/>
      <c r="AQ782" s="836"/>
      <c r="AR782" s="836"/>
      <c r="AS782" s="836"/>
      <c r="AT782" s="836"/>
      <c r="AU782" s="836"/>
      <c r="AV782" s="836"/>
      <c r="AW782" s="836"/>
      <c r="AX782" s="836"/>
      <c r="AY782" s="836"/>
      <c r="AZ782" s="836"/>
      <c r="BA782" s="836"/>
      <c r="BB782" s="836"/>
      <c r="BC782" s="836"/>
      <c r="BD782" s="836"/>
      <c r="BE782" s="836"/>
      <c r="BF782" s="836"/>
      <c r="BG782" s="836"/>
      <c r="BH782" s="836"/>
      <c r="BI782" s="836"/>
      <c r="BJ782" s="836"/>
      <c r="BK782" s="836"/>
      <c r="BL782" s="836"/>
      <c r="BM782" s="836"/>
      <c r="BN782" s="836"/>
      <c r="BO782" s="836"/>
      <c r="BP782" s="836"/>
      <c r="BR782" s="838"/>
      <c r="BS782" s="838"/>
      <c r="BT782" s="838"/>
      <c r="BU782" s="838"/>
      <c r="BV782" s="838"/>
      <c r="BW782" s="838"/>
      <c r="BX782" s="838"/>
      <c r="BY782" s="838"/>
      <c r="BZ782" s="838"/>
      <c r="CA782" s="838"/>
      <c r="CB782" s="838"/>
      <c r="CC782" s="838"/>
      <c r="CD782" s="838"/>
      <c r="CE782" s="838"/>
      <c r="CF782" s="838"/>
      <c r="CG782" s="838"/>
      <c r="CH782" s="838"/>
      <c r="CI782" s="838"/>
      <c r="CJ782" s="838"/>
      <c r="CK782" s="838"/>
      <c r="CL782" s="838"/>
      <c r="CM782" s="838"/>
      <c r="CN782" s="838"/>
      <c r="CO782" s="838"/>
      <c r="CP782" s="838"/>
      <c r="CQ782" s="838"/>
      <c r="CR782" s="838"/>
      <c r="CS782" s="838"/>
      <c r="CT782" s="838"/>
      <c r="CU782" s="838"/>
    </row>
    <row r="783">
      <c r="A783" s="860"/>
      <c r="B783" s="860"/>
      <c r="C783" s="860"/>
      <c r="D783" s="860"/>
      <c r="E783" s="860"/>
      <c r="F783" s="860"/>
      <c r="G783" s="860"/>
      <c r="H783" s="860"/>
      <c r="I783" s="860"/>
      <c r="J783" s="860"/>
      <c r="K783" s="860"/>
      <c r="L783" s="860"/>
      <c r="M783" s="860"/>
      <c r="N783" s="860"/>
      <c r="O783" s="860"/>
      <c r="P783" s="860"/>
      <c r="Q783" s="860"/>
      <c r="R783" s="860"/>
      <c r="S783" s="860"/>
      <c r="T783" s="860"/>
      <c r="U783" s="860"/>
      <c r="V783" s="860"/>
      <c r="W783" s="860"/>
      <c r="X783" s="860"/>
      <c r="Y783" s="860"/>
      <c r="Z783" s="860"/>
      <c r="AA783" s="860"/>
      <c r="AB783" s="860"/>
      <c r="AC783" s="860"/>
      <c r="AD783" s="860"/>
      <c r="AE783" s="860"/>
      <c r="AF783" s="860"/>
      <c r="AG783" s="860"/>
      <c r="AH783" s="860"/>
      <c r="AJ783" s="836"/>
      <c r="AK783" s="836"/>
      <c r="AL783" s="836"/>
      <c r="AM783" s="836"/>
      <c r="AN783" s="836"/>
      <c r="AO783" s="836"/>
      <c r="AP783" s="836"/>
      <c r="AQ783" s="836"/>
      <c r="AR783" s="836"/>
      <c r="AS783" s="836"/>
      <c r="AT783" s="836"/>
      <c r="AU783" s="836"/>
      <c r="AV783" s="836"/>
      <c r="AW783" s="836"/>
      <c r="AX783" s="836"/>
      <c r="AY783" s="836"/>
      <c r="AZ783" s="836"/>
      <c r="BA783" s="836"/>
      <c r="BB783" s="836"/>
      <c r="BC783" s="836"/>
      <c r="BD783" s="836"/>
      <c r="BE783" s="836"/>
      <c r="BF783" s="836"/>
      <c r="BG783" s="836"/>
      <c r="BH783" s="836"/>
      <c r="BI783" s="836"/>
      <c r="BJ783" s="836"/>
      <c r="BK783" s="836"/>
      <c r="BL783" s="836"/>
      <c r="BM783" s="836"/>
      <c r="BN783" s="836"/>
      <c r="BO783" s="836"/>
      <c r="BP783" s="836"/>
      <c r="BR783" s="838"/>
      <c r="BS783" s="838"/>
      <c r="BT783" s="838"/>
      <c r="BU783" s="838"/>
      <c r="BV783" s="838"/>
      <c r="BW783" s="838"/>
      <c r="BX783" s="838"/>
      <c r="BY783" s="838"/>
      <c r="BZ783" s="838"/>
      <c r="CA783" s="838"/>
      <c r="CB783" s="838"/>
      <c r="CC783" s="838"/>
      <c r="CD783" s="838"/>
      <c r="CE783" s="838"/>
      <c r="CF783" s="838"/>
      <c r="CG783" s="838"/>
      <c r="CH783" s="838"/>
      <c r="CI783" s="838"/>
      <c r="CJ783" s="838"/>
      <c r="CK783" s="838"/>
      <c r="CL783" s="838"/>
      <c r="CM783" s="838"/>
      <c r="CN783" s="838"/>
      <c r="CO783" s="838"/>
      <c r="CP783" s="838"/>
      <c r="CQ783" s="838"/>
      <c r="CR783" s="838"/>
      <c r="CS783" s="838"/>
      <c r="CT783" s="838"/>
      <c r="CU783" s="838"/>
    </row>
    <row r="784">
      <c r="A784" s="860"/>
      <c r="B784" s="860"/>
      <c r="C784" s="860"/>
      <c r="D784" s="860"/>
      <c r="E784" s="860"/>
      <c r="F784" s="860"/>
      <c r="G784" s="860"/>
      <c r="H784" s="860"/>
      <c r="I784" s="860"/>
      <c r="J784" s="860"/>
      <c r="K784" s="860"/>
      <c r="L784" s="860"/>
      <c r="M784" s="860"/>
      <c r="N784" s="860"/>
      <c r="O784" s="860"/>
      <c r="P784" s="860"/>
      <c r="Q784" s="860"/>
      <c r="R784" s="860"/>
      <c r="S784" s="860"/>
      <c r="T784" s="860"/>
      <c r="U784" s="860"/>
      <c r="V784" s="860"/>
      <c r="W784" s="860"/>
      <c r="X784" s="860"/>
      <c r="Y784" s="860"/>
      <c r="Z784" s="860"/>
      <c r="AA784" s="860"/>
      <c r="AB784" s="860"/>
      <c r="AC784" s="860"/>
      <c r="AD784" s="860"/>
      <c r="AE784" s="860"/>
      <c r="AF784" s="860"/>
      <c r="AG784" s="860"/>
      <c r="AH784" s="860"/>
      <c r="AJ784" s="836"/>
      <c r="AK784" s="836"/>
      <c r="AL784" s="836"/>
      <c r="AM784" s="836"/>
      <c r="AN784" s="836"/>
      <c r="AO784" s="836"/>
      <c r="AP784" s="836"/>
      <c r="AQ784" s="836"/>
      <c r="AR784" s="836"/>
      <c r="AS784" s="836"/>
      <c r="AT784" s="836"/>
      <c r="AU784" s="836"/>
      <c r="AV784" s="836"/>
      <c r="AW784" s="836"/>
      <c r="AX784" s="836"/>
      <c r="AY784" s="836"/>
      <c r="AZ784" s="836"/>
      <c r="BA784" s="836"/>
      <c r="BB784" s="836"/>
      <c r="BC784" s="836"/>
      <c r="BD784" s="836"/>
      <c r="BE784" s="836"/>
      <c r="BF784" s="836"/>
      <c r="BG784" s="836"/>
      <c r="BH784" s="836"/>
      <c r="BI784" s="836"/>
      <c r="BJ784" s="836"/>
      <c r="BK784" s="836"/>
      <c r="BL784" s="836"/>
      <c r="BM784" s="836"/>
      <c r="BN784" s="836"/>
      <c r="BO784" s="836"/>
      <c r="BP784" s="836"/>
      <c r="BR784" s="838"/>
      <c r="BS784" s="838"/>
      <c r="BT784" s="838"/>
      <c r="BU784" s="838"/>
      <c r="BV784" s="838"/>
      <c r="BW784" s="838"/>
      <c r="BX784" s="838"/>
      <c r="BY784" s="838"/>
      <c r="BZ784" s="838"/>
      <c r="CA784" s="838"/>
      <c r="CB784" s="838"/>
      <c r="CC784" s="838"/>
      <c r="CD784" s="838"/>
      <c r="CE784" s="838"/>
      <c r="CF784" s="838"/>
      <c r="CG784" s="838"/>
      <c r="CH784" s="838"/>
      <c r="CI784" s="838"/>
      <c r="CJ784" s="838"/>
      <c r="CK784" s="838"/>
      <c r="CL784" s="838"/>
      <c r="CM784" s="838"/>
      <c r="CN784" s="838"/>
      <c r="CO784" s="838"/>
      <c r="CP784" s="838"/>
      <c r="CQ784" s="838"/>
      <c r="CR784" s="838"/>
      <c r="CS784" s="838"/>
      <c r="CT784" s="838"/>
      <c r="CU784" s="838"/>
    </row>
    <row r="785">
      <c r="A785" s="860"/>
      <c r="B785" s="860"/>
      <c r="C785" s="860"/>
      <c r="D785" s="860"/>
      <c r="E785" s="860"/>
      <c r="F785" s="860"/>
      <c r="G785" s="860"/>
      <c r="H785" s="860"/>
      <c r="I785" s="860"/>
      <c r="J785" s="860"/>
      <c r="K785" s="860"/>
      <c r="L785" s="860"/>
      <c r="M785" s="860"/>
      <c r="N785" s="860"/>
      <c r="O785" s="860"/>
      <c r="P785" s="860"/>
      <c r="Q785" s="860"/>
      <c r="R785" s="860"/>
      <c r="S785" s="860"/>
      <c r="T785" s="860"/>
      <c r="U785" s="860"/>
      <c r="V785" s="860"/>
      <c r="W785" s="860"/>
      <c r="X785" s="860"/>
      <c r="Y785" s="860"/>
      <c r="Z785" s="860"/>
      <c r="AA785" s="860"/>
      <c r="AB785" s="860"/>
      <c r="AC785" s="860"/>
      <c r="AD785" s="860"/>
      <c r="AE785" s="860"/>
      <c r="AF785" s="860"/>
      <c r="AG785" s="860"/>
      <c r="AH785" s="860"/>
      <c r="AJ785" s="836"/>
      <c r="AK785" s="836"/>
      <c r="AL785" s="836"/>
      <c r="AM785" s="836"/>
      <c r="AN785" s="836"/>
      <c r="AO785" s="836"/>
      <c r="AP785" s="836"/>
      <c r="AQ785" s="836"/>
      <c r="AR785" s="836"/>
      <c r="AS785" s="836"/>
      <c r="AT785" s="836"/>
      <c r="AU785" s="836"/>
      <c r="AV785" s="836"/>
      <c r="AW785" s="836"/>
      <c r="AX785" s="836"/>
      <c r="AY785" s="836"/>
      <c r="AZ785" s="836"/>
      <c r="BA785" s="836"/>
      <c r="BB785" s="836"/>
      <c r="BC785" s="836"/>
      <c r="BD785" s="836"/>
      <c r="BE785" s="836"/>
      <c r="BF785" s="836"/>
      <c r="BG785" s="836"/>
      <c r="BH785" s="836"/>
      <c r="BI785" s="836"/>
      <c r="BJ785" s="836"/>
      <c r="BK785" s="836"/>
      <c r="BL785" s="836"/>
      <c r="BM785" s="836"/>
      <c r="BN785" s="836"/>
      <c r="BO785" s="836"/>
      <c r="BP785" s="836"/>
      <c r="BR785" s="838"/>
      <c r="BS785" s="838"/>
      <c r="BT785" s="838"/>
      <c r="BU785" s="838"/>
      <c r="BV785" s="838"/>
      <c r="BW785" s="838"/>
      <c r="BX785" s="838"/>
      <c r="BY785" s="838"/>
      <c r="BZ785" s="838"/>
      <c r="CA785" s="838"/>
      <c r="CB785" s="838"/>
      <c r="CC785" s="838"/>
      <c r="CD785" s="838"/>
      <c r="CE785" s="838"/>
      <c r="CF785" s="838"/>
      <c r="CG785" s="838"/>
      <c r="CH785" s="838"/>
      <c r="CI785" s="838"/>
      <c r="CJ785" s="838"/>
      <c r="CK785" s="838"/>
      <c r="CL785" s="838"/>
      <c r="CM785" s="838"/>
      <c r="CN785" s="838"/>
      <c r="CO785" s="838"/>
      <c r="CP785" s="838"/>
      <c r="CQ785" s="838"/>
      <c r="CR785" s="838"/>
      <c r="CS785" s="838"/>
      <c r="CT785" s="838"/>
      <c r="CU785" s="838"/>
    </row>
    <row r="786">
      <c r="A786" s="860"/>
      <c r="B786" s="860"/>
      <c r="C786" s="860"/>
      <c r="D786" s="860"/>
      <c r="E786" s="860"/>
      <c r="F786" s="860"/>
      <c r="G786" s="860"/>
      <c r="H786" s="860"/>
      <c r="I786" s="860"/>
      <c r="J786" s="860"/>
      <c r="K786" s="860"/>
      <c r="L786" s="860"/>
      <c r="M786" s="860"/>
      <c r="N786" s="860"/>
      <c r="O786" s="860"/>
      <c r="P786" s="860"/>
      <c r="Q786" s="860"/>
      <c r="R786" s="860"/>
      <c r="S786" s="860"/>
      <c r="T786" s="860"/>
      <c r="U786" s="860"/>
      <c r="V786" s="860"/>
      <c r="W786" s="860"/>
      <c r="X786" s="860"/>
      <c r="Y786" s="860"/>
      <c r="Z786" s="860"/>
      <c r="AA786" s="860"/>
      <c r="AB786" s="860"/>
      <c r="AC786" s="860"/>
      <c r="AD786" s="860"/>
      <c r="AE786" s="860"/>
      <c r="AF786" s="860"/>
      <c r="AG786" s="860"/>
      <c r="AH786" s="860"/>
      <c r="AJ786" s="836"/>
      <c r="AK786" s="836"/>
      <c r="AL786" s="836"/>
      <c r="AM786" s="836"/>
      <c r="AN786" s="836"/>
      <c r="AO786" s="836"/>
      <c r="AP786" s="836"/>
      <c r="AQ786" s="836"/>
      <c r="AR786" s="836"/>
      <c r="AS786" s="836"/>
      <c r="AT786" s="836"/>
      <c r="AU786" s="836"/>
      <c r="AV786" s="836"/>
      <c r="AW786" s="836"/>
      <c r="AX786" s="836"/>
      <c r="AY786" s="836"/>
      <c r="AZ786" s="836"/>
      <c r="BA786" s="836"/>
      <c r="BB786" s="836"/>
      <c r="BC786" s="836"/>
      <c r="BD786" s="836"/>
      <c r="BE786" s="836"/>
      <c r="BF786" s="836"/>
      <c r="BG786" s="836"/>
      <c r="BH786" s="836"/>
      <c r="BI786" s="836"/>
      <c r="BJ786" s="836"/>
      <c r="BK786" s="836"/>
      <c r="BL786" s="836"/>
      <c r="BM786" s="836"/>
      <c r="BN786" s="836"/>
      <c r="BO786" s="836"/>
      <c r="BP786" s="836"/>
      <c r="BR786" s="838"/>
      <c r="BS786" s="838"/>
      <c r="BT786" s="838"/>
      <c r="BU786" s="838"/>
      <c r="BV786" s="838"/>
      <c r="BW786" s="838"/>
      <c r="BX786" s="838"/>
      <c r="BY786" s="838"/>
      <c r="BZ786" s="838"/>
      <c r="CA786" s="838"/>
      <c r="CB786" s="838"/>
      <c r="CC786" s="838"/>
      <c r="CD786" s="838"/>
      <c r="CE786" s="838"/>
      <c r="CF786" s="838"/>
      <c r="CG786" s="838"/>
      <c r="CH786" s="838"/>
      <c r="CI786" s="838"/>
      <c r="CJ786" s="838"/>
      <c r="CK786" s="838"/>
      <c r="CL786" s="838"/>
      <c r="CM786" s="838"/>
      <c r="CN786" s="838"/>
      <c r="CO786" s="838"/>
      <c r="CP786" s="838"/>
      <c r="CQ786" s="838"/>
      <c r="CR786" s="838"/>
      <c r="CS786" s="838"/>
      <c r="CT786" s="838"/>
      <c r="CU786" s="838"/>
    </row>
    <row r="787">
      <c r="A787" s="860"/>
      <c r="B787" s="860"/>
      <c r="C787" s="860"/>
      <c r="D787" s="860"/>
      <c r="E787" s="860"/>
      <c r="F787" s="860"/>
      <c r="G787" s="860"/>
      <c r="H787" s="860"/>
      <c r="I787" s="860"/>
      <c r="J787" s="860"/>
      <c r="K787" s="860"/>
      <c r="L787" s="860"/>
      <c r="M787" s="860"/>
      <c r="N787" s="860"/>
      <c r="O787" s="860"/>
      <c r="P787" s="860"/>
      <c r="Q787" s="860"/>
      <c r="R787" s="860"/>
      <c r="S787" s="860"/>
      <c r="T787" s="860"/>
      <c r="U787" s="860"/>
      <c r="V787" s="860"/>
      <c r="W787" s="860"/>
      <c r="X787" s="860"/>
      <c r="Y787" s="860"/>
      <c r="Z787" s="860"/>
      <c r="AA787" s="860"/>
      <c r="AB787" s="860"/>
      <c r="AC787" s="860"/>
      <c r="AD787" s="860"/>
      <c r="AE787" s="860"/>
      <c r="AF787" s="860"/>
      <c r="AG787" s="860"/>
      <c r="AH787" s="860"/>
      <c r="AJ787" s="836"/>
      <c r="AK787" s="836"/>
      <c r="AL787" s="836"/>
      <c r="AM787" s="836"/>
      <c r="AN787" s="836"/>
      <c r="AO787" s="836"/>
      <c r="AP787" s="836"/>
      <c r="AQ787" s="836"/>
      <c r="AR787" s="836"/>
      <c r="AS787" s="836"/>
      <c r="AT787" s="836"/>
      <c r="AU787" s="836"/>
      <c r="AV787" s="836"/>
      <c r="AW787" s="836"/>
      <c r="AX787" s="836"/>
      <c r="AY787" s="836"/>
      <c r="AZ787" s="836"/>
      <c r="BA787" s="836"/>
      <c r="BB787" s="836"/>
      <c r="BC787" s="836"/>
      <c r="BD787" s="836"/>
      <c r="BE787" s="836"/>
      <c r="BF787" s="836"/>
      <c r="BG787" s="836"/>
      <c r="BH787" s="836"/>
      <c r="BI787" s="836"/>
      <c r="BJ787" s="836"/>
      <c r="BK787" s="836"/>
      <c r="BL787" s="836"/>
      <c r="BM787" s="836"/>
      <c r="BN787" s="836"/>
      <c r="BO787" s="836"/>
      <c r="BP787" s="836"/>
      <c r="BR787" s="838"/>
      <c r="BS787" s="838"/>
      <c r="BT787" s="838"/>
      <c r="BU787" s="838"/>
      <c r="BV787" s="838"/>
      <c r="BW787" s="838"/>
      <c r="BX787" s="838"/>
      <c r="BY787" s="838"/>
      <c r="BZ787" s="838"/>
      <c r="CA787" s="838"/>
      <c r="CB787" s="838"/>
      <c r="CC787" s="838"/>
      <c r="CD787" s="838"/>
      <c r="CE787" s="838"/>
      <c r="CF787" s="838"/>
      <c r="CG787" s="838"/>
      <c r="CH787" s="838"/>
      <c r="CI787" s="838"/>
      <c r="CJ787" s="838"/>
      <c r="CK787" s="838"/>
      <c r="CL787" s="838"/>
      <c r="CM787" s="838"/>
      <c r="CN787" s="838"/>
      <c r="CO787" s="838"/>
      <c r="CP787" s="838"/>
      <c r="CQ787" s="838"/>
      <c r="CR787" s="838"/>
      <c r="CS787" s="838"/>
      <c r="CT787" s="838"/>
      <c r="CU787" s="838"/>
    </row>
    <row r="788">
      <c r="A788" s="860"/>
      <c r="B788" s="860"/>
      <c r="C788" s="860"/>
      <c r="D788" s="860"/>
      <c r="E788" s="860"/>
      <c r="F788" s="860"/>
      <c r="G788" s="860"/>
      <c r="H788" s="860"/>
      <c r="I788" s="860"/>
      <c r="J788" s="860"/>
      <c r="K788" s="860"/>
      <c r="L788" s="860"/>
      <c r="M788" s="860"/>
      <c r="N788" s="860"/>
      <c r="O788" s="860"/>
      <c r="P788" s="860"/>
      <c r="Q788" s="860"/>
      <c r="R788" s="860"/>
      <c r="S788" s="860"/>
      <c r="T788" s="860"/>
      <c r="U788" s="860"/>
      <c r="V788" s="860"/>
      <c r="W788" s="860"/>
      <c r="X788" s="860"/>
      <c r="Y788" s="860"/>
      <c r="Z788" s="860"/>
      <c r="AA788" s="860"/>
      <c r="AB788" s="860"/>
      <c r="AC788" s="860"/>
      <c r="AD788" s="860"/>
      <c r="AE788" s="860"/>
      <c r="AF788" s="860"/>
      <c r="AG788" s="860"/>
      <c r="AH788" s="860"/>
      <c r="AJ788" s="836"/>
      <c r="AK788" s="836"/>
      <c r="AL788" s="836"/>
      <c r="AM788" s="836"/>
      <c r="AN788" s="836"/>
      <c r="AO788" s="836"/>
      <c r="AP788" s="836"/>
      <c r="AQ788" s="836"/>
      <c r="AR788" s="836"/>
      <c r="AS788" s="836"/>
      <c r="AT788" s="836"/>
      <c r="AU788" s="836"/>
      <c r="AV788" s="836"/>
      <c r="AW788" s="836"/>
      <c r="AX788" s="836"/>
      <c r="AY788" s="836"/>
      <c r="AZ788" s="836"/>
      <c r="BA788" s="836"/>
      <c r="BB788" s="836"/>
      <c r="BC788" s="836"/>
      <c r="BD788" s="836"/>
      <c r="BE788" s="836"/>
      <c r="BF788" s="836"/>
      <c r="BG788" s="836"/>
      <c r="BH788" s="836"/>
      <c r="BI788" s="836"/>
      <c r="BJ788" s="836"/>
      <c r="BK788" s="836"/>
      <c r="BL788" s="836"/>
      <c r="BM788" s="836"/>
      <c r="BN788" s="836"/>
      <c r="BO788" s="836"/>
      <c r="BP788" s="836"/>
      <c r="BR788" s="838"/>
      <c r="BS788" s="838"/>
      <c r="BT788" s="838"/>
      <c r="BU788" s="838"/>
      <c r="BV788" s="838"/>
      <c r="BW788" s="838"/>
      <c r="BX788" s="838"/>
      <c r="BY788" s="838"/>
      <c r="BZ788" s="838"/>
      <c r="CA788" s="838"/>
      <c r="CB788" s="838"/>
      <c r="CC788" s="838"/>
      <c r="CD788" s="838"/>
      <c r="CE788" s="838"/>
      <c r="CF788" s="838"/>
      <c r="CG788" s="838"/>
      <c r="CH788" s="838"/>
      <c r="CI788" s="838"/>
      <c r="CJ788" s="838"/>
      <c r="CK788" s="838"/>
      <c r="CL788" s="838"/>
      <c r="CM788" s="838"/>
      <c r="CN788" s="838"/>
      <c r="CO788" s="838"/>
      <c r="CP788" s="838"/>
      <c r="CQ788" s="838"/>
      <c r="CR788" s="838"/>
      <c r="CS788" s="838"/>
      <c r="CT788" s="838"/>
      <c r="CU788" s="838"/>
    </row>
    <row r="789">
      <c r="A789" s="860"/>
      <c r="B789" s="860"/>
      <c r="C789" s="860"/>
      <c r="D789" s="860"/>
      <c r="E789" s="860"/>
      <c r="F789" s="860"/>
      <c r="G789" s="860"/>
      <c r="H789" s="860"/>
      <c r="I789" s="860"/>
      <c r="J789" s="860"/>
      <c r="K789" s="860"/>
      <c r="L789" s="860"/>
      <c r="M789" s="860"/>
      <c r="N789" s="860"/>
      <c r="O789" s="860"/>
      <c r="P789" s="860"/>
      <c r="Q789" s="860"/>
      <c r="R789" s="860"/>
      <c r="S789" s="860"/>
      <c r="T789" s="860"/>
      <c r="U789" s="860"/>
      <c r="V789" s="860"/>
      <c r="W789" s="860"/>
      <c r="X789" s="860"/>
      <c r="Y789" s="860"/>
      <c r="Z789" s="860"/>
      <c r="AA789" s="860"/>
      <c r="AB789" s="860"/>
      <c r="AC789" s="860"/>
      <c r="AD789" s="860"/>
      <c r="AE789" s="860"/>
      <c r="AF789" s="860"/>
      <c r="AG789" s="860"/>
      <c r="AH789" s="860"/>
      <c r="AJ789" s="836"/>
      <c r="AK789" s="836"/>
      <c r="AL789" s="836"/>
      <c r="AM789" s="836"/>
      <c r="AN789" s="836"/>
      <c r="AO789" s="836"/>
      <c r="AP789" s="836"/>
      <c r="AQ789" s="836"/>
      <c r="AR789" s="836"/>
      <c r="AS789" s="836"/>
      <c r="AT789" s="836"/>
      <c r="AU789" s="836"/>
      <c r="AV789" s="836"/>
      <c r="AW789" s="836"/>
      <c r="AX789" s="836"/>
      <c r="AY789" s="836"/>
      <c r="AZ789" s="836"/>
      <c r="BA789" s="836"/>
      <c r="BB789" s="836"/>
      <c r="BC789" s="836"/>
      <c r="BD789" s="836"/>
      <c r="BE789" s="836"/>
      <c r="BF789" s="836"/>
      <c r="BG789" s="836"/>
      <c r="BH789" s="836"/>
      <c r="BI789" s="836"/>
      <c r="BJ789" s="836"/>
      <c r="BK789" s="836"/>
      <c r="BL789" s="836"/>
      <c r="BM789" s="836"/>
      <c r="BN789" s="836"/>
      <c r="BO789" s="836"/>
      <c r="BP789" s="836"/>
      <c r="BR789" s="838"/>
      <c r="BS789" s="838"/>
      <c r="BT789" s="838"/>
      <c r="BU789" s="838"/>
      <c r="BV789" s="838"/>
      <c r="BW789" s="838"/>
      <c r="BX789" s="838"/>
      <c r="BY789" s="838"/>
      <c r="BZ789" s="838"/>
      <c r="CA789" s="838"/>
      <c r="CB789" s="838"/>
      <c r="CC789" s="838"/>
      <c r="CD789" s="838"/>
      <c r="CE789" s="838"/>
      <c r="CF789" s="838"/>
      <c r="CG789" s="838"/>
      <c r="CH789" s="838"/>
      <c r="CI789" s="838"/>
      <c r="CJ789" s="838"/>
      <c r="CK789" s="838"/>
      <c r="CL789" s="838"/>
      <c r="CM789" s="838"/>
      <c r="CN789" s="838"/>
      <c r="CO789" s="838"/>
      <c r="CP789" s="838"/>
      <c r="CQ789" s="838"/>
      <c r="CR789" s="838"/>
      <c r="CS789" s="838"/>
      <c r="CT789" s="838"/>
      <c r="CU789" s="838"/>
    </row>
    <row r="790">
      <c r="A790" s="860"/>
      <c r="B790" s="860"/>
      <c r="C790" s="860"/>
      <c r="D790" s="860"/>
      <c r="E790" s="860"/>
      <c r="F790" s="860"/>
      <c r="G790" s="860"/>
      <c r="H790" s="860"/>
      <c r="I790" s="860"/>
      <c r="J790" s="860"/>
      <c r="K790" s="860"/>
      <c r="L790" s="860"/>
      <c r="M790" s="860"/>
      <c r="N790" s="860"/>
      <c r="O790" s="860"/>
      <c r="P790" s="860"/>
      <c r="Q790" s="860"/>
      <c r="R790" s="860"/>
      <c r="S790" s="860"/>
      <c r="T790" s="860"/>
      <c r="U790" s="860"/>
      <c r="V790" s="860"/>
      <c r="W790" s="860"/>
      <c r="X790" s="860"/>
      <c r="Y790" s="860"/>
      <c r="Z790" s="860"/>
      <c r="AA790" s="860"/>
      <c r="AB790" s="860"/>
      <c r="AC790" s="860"/>
      <c r="AD790" s="860"/>
      <c r="AE790" s="860"/>
      <c r="AF790" s="860"/>
      <c r="AG790" s="860"/>
      <c r="AH790" s="860"/>
      <c r="AJ790" s="836"/>
      <c r="AK790" s="836"/>
      <c r="AL790" s="836"/>
      <c r="AM790" s="836"/>
      <c r="AN790" s="836"/>
      <c r="AO790" s="836"/>
      <c r="AP790" s="836"/>
      <c r="AQ790" s="836"/>
      <c r="AR790" s="836"/>
      <c r="AS790" s="836"/>
      <c r="AT790" s="836"/>
      <c r="AU790" s="836"/>
      <c r="AV790" s="836"/>
      <c r="AW790" s="836"/>
      <c r="AX790" s="836"/>
      <c r="AY790" s="836"/>
      <c r="AZ790" s="836"/>
      <c r="BA790" s="836"/>
      <c r="BB790" s="836"/>
      <c r="BC790" s="836"/>
      <c r="BD790" s="836"/>
      <c r="BE790" s="836"/>
      <c r="BF790" s="836"/>
      <c r="BG790" s="836"/>
      <c r="BH790" s="836"/>
      <c r="BI790" s="836"/>
      <c r="BJ790" s="836"/>
      <c r="BK790" s="836"/>
      <c r="BL790" s="836"/>
      <c r="BM790" s="836"/>
      <c r="BN790" s="836"/>
      <c r="BO790" s="836"/>
      <c r="BP790" s="836"/>
      <c r="BR790" s="838"/>
      <c r="BS790" s="838"/>
      <c r="BT790" s="838"/>
      <c r="BU790" s="838"/>
      <c r="BV790" s="838"/>
      <c r="BW790" s="838"/>
      <c r="BX790" s="838"/>
      <c r="BY790" s="838"/>
      <c r="BZ790" s="838"/>
      <c r="CA790" s="838"/>
      <c r="CB790" s="838"/>
      <c r="CC790" s="838"/>
      <c r="CD790" s="838"/>
      <c r="CE790" s="838"/>
      <c r="CF790" s="838"/>
      <c r="CG790" s="838"/>
      <c r="CH790" s="838"/>
      <c r="CI790" s="838"/>
      <c r="CJ790" s="838"/>
      <c r="CK790" s="838"/>
      <c r="CL790" s="838"/>
      <c r="CM790" s="838"/>
      <c r="CN790" s="838"/>
      <c r="CO790" s="838"/>
      <c r="CP790" s="838"/>
      <c r="CQ790" s="838"/>
      <c r="CR790" s="838"/>
      <c r="CS790" s="838"/>
      <c r="CT790" s="838"/>
      <c r="CU790" s="838"/>
    </row>
    <row r="791">
      <c r="A791" s="860"/>
      <c r="B791" s="860"/>
      <c r="C791" s="860"/>
      <c r="D791" s="860"/>
      <c r="E791" s="860"/>
      <c r="F791" s="860"/>
      <c r="G791" s="860"/>
      <c r="H791" s="860"/>
      <c r="I791" s="860"/>
      <c r="J791" s="860"/>
      <c r="K791" s="860"/>
      <c r="L791" s="860"/>
      <c r="M791" s="860"/>
      <c r="N791" s="860"/>
      <c r="O791" s="860"/>
      <c r="P791" s="860"/>
      <c r="Q791" s="860"/>
      <c r="R791" s="860"/>
      <c r="S791" s="860"/>
      <c r="T791" s="860"/>
      <c r="U791" s="860"/>
      <c r="V791" s="860"/>
      <c r="W791" s="860"/>
      <c r="X791" s="860"/>
      <c r="Y791" s="860"/>
      <c r="Z791" s="860"/>
      <c r="AA791" s="860"/>
      <c r="AB791" s="860"/>
      <c r="AC791" s="860"/>
      <c r="AD791" s="860"/>
      <c r="AE791" s="860"/>
      <c r="AF791" s="860"/>
      <c r="AG791" s="860"/>
      <c r="AH791" s="860"/>
      <c r="AJ791" s="836"/>
      <c r="AK791" s="836"/>
      <c r="AL791" s="836"/>
      <c r="AM791" s="836"/>
      <c r="AN791" s="836"/>
      <c r="AO791" s="836"/>
      <c r="AP791" s="836"/>
      <c r="AQ791" s="836"/>
      <c r="AR791" s="836"/>
      <c r="AS791" s="836"/>
      <c r="AT791" s="836"/>
      <c r="AU791" s="836"/>
      <c r="AV791" s="836"/>
      <c r="AW791" s="836"/>
      <c r="AX791" s="836"/>
      <c r="AY791" s="836"/>
      <c r="AZ791" s="836"/>
      <c r="BA791" s="836"/>
      <c r="BB791" s="836"/>
      <c r="BC791" s="836"/>
      <c r="BD791" s="836"/>
      <c r="BE791" s="836"/>
      <c r="BF791" s="836"/>
      <c r="BG791" s="836"/>
      <c r="BH791" s="836"/>
      <c r="BI791" s="836"/>
      <c r="BJ791" s="836"/>
      <c r="BK791" s="836"/>
      <c r="BL791" s="836"/>
      <c r="BM791" s="836"/>
      <c r="BN791" s="836"/>
      <c r="BO791" s="836"/>
      <c r="BP791" s="836"/>
      <c r="BR791" s="838"/>
      <c r="BS791" s="838"/>
      <c r="BT791" s="838"/>
      <c r="BU791" s="838"/>
      <c r="BV791" s="838"/>
      <c r="BW791" s="838"/>
      <c r="BX791" s="838"/>
      <c r="BY791" s="838"/>
      <c r="BZ791" s="838"/>
      <c r="CA791" s="838"/>
      <c r="CB791" s="838"/>
      <c r="CC791" s="838"/>
      <c r="CD791" s="838"/>
      <c r="CE791" s="838"/>
      <c r="CF791" s="838"/>
      <c r="CG791" s="838"/>
      <c r="CH791" s="838"/>
      <c r="CI791" s="838"/>
      <c r="CJ791" s="838"/>
      <c r="CK791" s="838"/>
      <c r="CL791" s="838"/>
      <c r="CM791" s="838"/>
      <c r="CN791" s="838"/>
      <c r="CO791" s="838"/>
      <c r="CP791" s="838"/>
      <c r="CQ791" s="838"/>
      <c r="CR791" s="838"/>
      <c r="CS791" s="838"/>
      <c r="CT791" s="838"/>
      <c r="CU791" s="838"/>
    </row>
    <row r="792">
      <c r="A792" s="860"/>
      <c r="B792" s="860"/>
      <c r="C792" s="860"/>
      <c r="D792" s="860"/>
      <c r="E792" s="860"/>
      <c r="F792" s="860"/>
      <c r="G792" s="860"/>
      <c r="H792" s="860"/>
      <c r="I792" s="860"/>
      <c r="J792" s="860"/>
      <c r="K792" s="860"/>
      <c r="L792" s="860"/>
      <c r="M792" s="860"/>
      <c r="N792" s="860"/>
      <c r="O792" s="860"/>
      <c r="P792" s="860"/>
      <c r="Q792" s="860"/>
      <c r="R792" s="860"/>
      <c r="S792" s="860"/>
      <c r="T792" s="860"/>
      <c r="U792" s="860"/>
      <c r="V792" s="860"/>
      <c r="W792" s="860"/>
      <c r="X792" s="860"/>
      <c r="Y792" s="860"/>
      <c r="Z792" s="860"/>
      <c r="AA792" s="860"/>
      <c r="AB792" s="860"/>
      <c r="AC792" s="860"/>
      <c r="AD792" s="860"/>
      <c r="AE792" s="860"/>
      <c r="AF792" s="860"/>
      <c r="AG792" s="860"/>
      <c r="AH792" s="860"/>
      <c r="AJ792" s="836"/>
      <c r="AK792" s="836"/>
      <c r="AL792" s="836"/>
      <c r="AM792" s="836"/>
      <c r="AN792" s="836"/>
      <c r="AO792" s="836"/>
      <c r="AP792" s="836"/>
      <c r="AQ792" s="836"/>
      <c r="AR792" s="836"/>
      <c r="AS792" s="836"/>
      <c r="AT792" s="836"/>
      <c r="AU792" s="836"/>
      <c r="AV792" s="836"/>
      <c r="AW792" s="836"/>
      <c r="AX792" s="836"/>
      <c r="AY792" s="836"/>
      <c r="AZ792" s="836"/>
      <c r="BA792" s="836"/>
      <c r="BB792" s="836"/>
      <c r="BC792" s="836"/>
      <c r="BD792" s="836"/>
      <c r="BE792" s="836"/>
      <c r="BF792" s="836"/>
      <c r="BG792" s="836"/>
      <c r="BH792" s="836"/>
      <c r="BI792" s="836"/>
      <c r="BJ792" s="836"/>
      <c r="BK792" s="836"/>
      <c r="BL792" s="836"/>
      <c r="BM792" s="836"/>
      <c r="BN792" s="836"/>
      <c r="BO792" s="836"/>
      <c r="BP792" s="836"/>
      <c r="BR792" s="838"/>
      <c r="BS792" s="838"/>
      <c r="BT792" s="838"/>
      <c r="BU792" s="838"/>
      <c r="BV792" s="838"/>
      <c r="BW792" s="838"/>
      <c r="BX792" s="838"/>
      <c r="BY792" s="838"/>
      <c r="BZ792" s="838"/>
      <c r="CA792" s="838"/>
      <c r="CB792" s="838"/>
      <c r="CC792" s="838"/>
      <c r="CD792" s="838"/>
      <c r="CE792" s="838"/>
      <c r="CF792" s="838"/>
      <c r="CG792" s="838"/>
      <c r="CH792" s="838"/>
      <c r="CI792" s="838"/>
      <c r="CJ792" s="838"/>
      <c r="CK792" s="838"/>
      <c r="CL792" s="838"/>
      <c r="CM792" s="838"/>
      <c r="CN792" s="838"/>
      <c r="CO792" s="838"/>
      <c r="CP792" s="838"/>
      <c r="CQ792" s="838"/>
      <c r="CR792" s="838"/>
      <c r="CS792" s="838"/>
      <c r="CT792" s="838"/>
      <c r="CU792" s="838"/>
    </row>
    <row r="793">
      <c r="A793" s="860"/>
      <c r="B793" s="860"/>
      <c r="C793" s="860"/>
      <c r="D793" s="860"/>
      <c r="E793" s="860"/>
      <c r="F793" s="860"/>
      <c r="G793" s="860"/>
      <c r="H793" s="860"/>
      <c r="I793" s="860"/>
      <c r="J793" s="860"/>
      <c r="K793" s="860"/>
      <c r="L793" s="860"/>
      <c r="M793" s="860"/>
      <c r="N793" s="860"/>
      <c r="O793" s="860"/>
      <c r="P793" s="860"/>
      <c r="Q793" s="860"/>
      <c r="R793" s="860"/>
      <c r="S793" s="860"/>
      <c r="T793" s="860"/>
      <c r="U793" s="860"/>
      <c r="V793" s="860"/>
      <c r="W793" s="860"/>
      <c r="X793" s="860"/>
      <c r="Y793" s="860"/>
      <c r="Z793" s="860"/>
      <c r="AA793" s="860"/>
      <c r="AB793" s="860"/>
      <c r="AC793" s="860"/>
      <c r="AD793" s="860"/>
      <c r="AE793" s="860"/>
      <c r="AF793" s="860"/>
      <c r="AG793" s="860"/>
      <c r="AH793" s="860"/>
      <c r="AJ793" s="836"/>
      <c r="AK793" s="836"/>
      <c r="AL793" s="836"/>
      <c r="AM793" s="836"/>
      <c r="AN793" s="836"/>
      <c r="AO793" s="836"/>
      <c r="AP793" s="836"/>
      <c r="AQ793" s="836"/>
      <c r="AR793" s="836"/>
      <c r="AS793" s="836"/>
      <c r="AT793" s="836"/>
      <c r="AU793" s="836"/>
      <c r="AV793" s="836"/>
      <c r="AW793" s="836"/>
      <c r="AX793" s="836"/>
      <c r="AY793" s="836"/>
      <c r="AZ793" s="836"/>
      <c r="BA793" s="836"/>
      <c r="BB793" s="836"/>
      <c r="BC793" s="836"/>
      <c r="BD793" s="836"/>
      <c r="BE793" s="836"/>
      <c r="BF793" s="836"/>
      <c r="BG793" s="836"/>
      <c r="BH793" s="836"/>
      <c r="BI793" s="836"/>
      <c r="BJ793" s="836"/>
      <c r="BK793" s="836"/>
      <c r="BL793" s="836"/>
      <c r="BM793" s="836"/>
      <c r="BN793" s="836"/>
      <c r="BO793" s="836"/>
      <c r="BP793" s="836"/>
      <c r="BR793" s="838"/>
      <c r="BS793" s="838"/>
      <c r="BT793" s="838"/>
      <c r="BU793" s="838"/>
      <c r="BV793" s="838"/>
      <c r="BW793" s="838"/>
      <c r="BX793" s="838"/>
      <c r="BY793" s="838"/>
      <c r="BZ793" s="838"/>
      <c r="CA793" s="838"/>
      <c r="CB793" s="838"/>
      <c r="CC793" s="838"/>
      <c r="CD793" s="838"/>
      <c r="CE793" s="838"/>
      <c r="CF793" s="838"/>
      <c r="CG793" s="838"/>
      <c r="CH793" s="838"/>
      <c r="CI793" s="838"/>
      <c r="CJ793" s="838"/>
      <c r="CK793" s="838"/>
      <c r="CL793" s="838"/>
      <c r="CM793" s="838"/>
      <c r="CN793" s="838"/>
      <c r="CO793" s="838"/>
      <c r="CP793" s="838"/>
      <c r="CQ793" s="838"/>
      <c r="CR793" s="838"/>
      <c r="CS793" s="838"/>
      <c r="CT793" s="838"/>
      <c r="CU793" s="838"/>
    </row>
    <row r="794">
      <c r="A794" s="860"/>
      <c r="B794" s="860"/>
      <c r="C794" s="860"/>
      <c r="D794" s="860"/>
      <c r="E794" s="860"/>
      <c r="F794" s="860"/>
      <c r="G794" s="860"/>
      <c r="H794" s="860"/>
      <c r="I794" s="860"/>
      <c r="J794" s="860"/>
      <c r="K794" s="860"/>
      <c r="L794" s="860"/>
      <c r="M794" s="860"/>
      <c r="N794" s="860"/>
      <c r="O794" s="860"/>
      <c r="P794" s="860"/>
      <c r="Q794" s="860"/>
      <c r="R794" s="860"/>
      <c r="S794" s="860"/>
      <c r="T794" s="860"/>
      <c r="U794" s="860"/>
      <c r="V794" s="860"/>
      <c r="W794" s="860"/>
      <c r="X794" s="860"/>
      <c r="Y794" s="860"/>
      <c r="Z794" s="860"/>
      <c r="AA794" s="860"/>
      <c r="AB794" s="860"/>
      <c r="AC794" s="860"/>
      <c r="AD794" s="860"/>
      <c r="AE794" s="860"/>
      <c r="AF794" s="860"/>
      <c r="AG794" s="860"/>
      <c r="AH794" s="860"/>
      <c r="AJ794" s="836"/>
      <c r="AK794" s="836"/>
      <c r="AL794" s="836"/>
      <c r="AM794" s="836"/>
      <c r="AN794" s="836"/>
      <c r="AO794" s="836"/>
      <c r="AP794" s="836"/>
      <c r="AQ794" s="836"/>
      <c r="AR794" s="836"/>
      <c r="AS794" s="836"/>
      <c r="AT794" s="836"/>
      <c r="AU794" s="836"/>
      <c r="AV794" s="836"/>
      <c r="AW794" s="836"/>
      <c r="AX794" s="836"/>
      <c r="AY794" s="836"/>
      <c r="AZ794" s="836"/>
      <c r="BA794" s="836"/>
      <c r="BB794" s="836"/>
      <c r="BC794" s="836"/>
      <c r="BD794" s="836"/>
      <c r="BE794" s="836"/>
      <c r="BF794" s="836"/>
      <c r="BG794" s="836"/>
      <c r="BH794" s="836"/>
      <c r="BI794" s="836"/>
      <c r="BJ794" s="836"/>
      <c r="BK794" s="836"/>
      <c r="BL794" s="836"/>
      <c r="BM794" s="836"/>
      <c r="BN794" s="836"/>
      <c r="BO794" s="836"/>
      <c r="BP794" s="836"/>
      <c r="BR794" s="838"/>
      <c r="BS794" s="838"/>
      <c r="BT794" s="838"/>
      <c r="BU794" s="838"/>
      <c r="BV794" s="838"/>
      <c r="BW794" s="838"/>
      <c r="BX794" s="838"/>
      <c r="BY794" s="838"/>
      <c r="BZ794" s="838"/>
      <c r="CA794" s="838"/>
      <c r="CB794" s="838"/>
      <c r="CC794" s="838"/>
      <c r="CD794" s="838"/>
      <c r="CE794" s="838"/>
      <c r="CF794" s="838"/>
      <c r="CG794" s="838"/>
      <c r="CH794" s="838"/>
      <c r="CI794" s="838"/>
      <c r="CJ794" s="838"/>
      <c r="CK794" s="838"/>
      <c r="CL794" s="838"/>
      <c r="CM794" s="838"/>
      <c r="CN794" s="838"/>
      <c r="CO794" s="838"/>
      <c r="CP794" s="838"/>
      <c r="CQ794" s="838"/>
      <c r="CR794" s="838"/>
      <c r="CS794" s="838"/>
      <c r="CT794" s="838"/>
      <c r="CU794" s="838"/>
    </row>
    <row r="795">
      <c r="A795" s="860"/>
      <c r="B795" s="860"/>
      <c r="C795" s="860"/>
      <c r="D795" s="860"/>
      <c r="E795" s="860"/>
      <c r="F795" s="860"/>
      <c r="G795" s="860"/>
      <c r="H795" s="860"/>
      <c r="I795" s="860"/>
      <c r="J795" s="860"/>
      <c r="K795" s="860"/>
      <c r="L795" s="860"/>
      <c r="M795" s="860"/>
      <c r="N795" s="860"/>
      <c r="O795" s="860"/>
      <c r="P795" s="860"/>
      <c r="Q795" s="860"/>
      <c r="R795" s="860"/>
      <c r="S795" s="860"/>
      <c r="T795" s="860"/>
      <c r="U795" s="860"/>
      <c r="V795" s="860"/>
      <c r="W795" s="860"/>
      <c r="X795" s="860"/>
      <c r="Y795" s="860"/>
      <c r="Z795" s="860"/>
      <c r="AA795" s="860"/>
      <c r="AB795" s="860"/>
      <c r="AC795" s="860"/>
      <c r="AD795" s="860"/>
      <c r="AE795" s="860"/>
      <c r="AF795" s="860"/>
      <c r="AG795" s="860"/>
      <c r="AH795" s="860"/>
      <c r="AJ795" s="836"/>
      <c r="AK795" s="836"/>
      <c r="AL795" s="836"/>
      <c r="AM795" s="836"/>
      <c r="AN795" s="836"/>
      <c r="AO795" s="836"/>
      <c r="AP795" s="836"/>
      <c r="AQ795" s="836"/>
      <c r="AR795" s="836"/>
      <c r="AS795" s="836"/>
      <c r="AT795" s="836"/>
      <c r="AU795" s="836"/>
      <c r="AV795" s="836"/>
      <c r="AW795" s="836"/>
      <c r="AX795" s="836"/>
      <c r="AY795" s="836"/>
      <c r="AZ795" s="836"/>
      <c r="BA795" s="836"/>
      <c r="BB795" s="836"/>
      <c r="BC795" s="836"/>
      <c r="BD795" s="836"/>
      <c r="BE795" s="836"/>
      <c r="BF795" s="836"/>
      <c r="BG795" s="836"/>
      <c r="BH795" s="836"/>
      <c r="BI795" s="836"/>
      <c r="BJ795" s="836"/>
      <c r="BK795" s="836"/>
      <c r="BL795" s="836"/>
      <c r="BM795" s="836"/>
      <c r="BN795" s="836"/>
      <c r="BO795" s="836"/>
      <c r="BP795" s="836"/>
      <c r="BR795" s="838"/>
      <c r="BS795" s="838"/>
      <c r="BT795" s="838"/>
      <c r="BU795" s="838"/>
      <c r="BV795" s="838"/>
      <c r="BW795" s="838"/>
      <c r="BX795" s="838"/>
      <c r="BY795" s="838"/>
      <c r="BZ795" s="838"/>
      <c r="CA795" s="838"/>
      <c r="CB795" s="838"/>
      <c r="CC795" s="838"/>
      <c r="CD795" s="838"/>
      <c r="CE795" s="838"/>
      <c r="CF795" s="838"/>
      <c r="CG795" s="838"/>
      <c r="CH795" s="838"/>
      <c r="CI795" s="838"/>
      <c r="CJ795" s="838"/>
      <c r="CK795" s="838"/>
      <c r="CL795" s="838"/>
      <c r="CM795" s="838"/>
      <c r="CN795" s="838"/>
      <c r="CO795" s="838"/>
      <c r="CP795" s="838"/>
      <c r="CQ795" s="838"/>
      <c r="CR795" s="838"/>
      <c r="CS795" s="838"/>
      <c r="CT795" s="838"/>
      <c r="CU795" s="838"/>
    </row>
    <row r="796">
      <c r="A796" s="860"/>
      <c r="B796" s="860"/>
      <c r="C796" s="860"/>
      <c r="D796" s="860"/>
      <c r="E796" s="860"/>
      <c r="F796" s="860"/>
      <c r="G796" s="860"/>
      <c r="H796" s="860"/>
      <c r="I796" s="860"/>
      <c r="J796" s="860"/>
      <c r="K796" s="860"/>
      <c r="L796" s="860"/>
      <c r="M796" s="860"/>
      <c r="N796" s="860"/>
      <c r="O796" s="860"/>
      <c r="P796" s="860"/>
      <c r="Q796" s="860"/>
      <c r="R796" s="860"/>
      <c r="S796" s="860"/>
      <c r="T796" s="860"/>
      <c r="U796" s="860"/>
      <c r="V796" s="860"/>
      <c r="W796" s="860"/>
      <c r="X796" s="860"/>
      <c r="Y796" s="860"/>
      <c r="Z796" s="860"/>
      <c r="AA796" s="860"/>
      <c r="AB796" s="860"/>
      <c r="AC796" s="860"/>
      <c r="AD796" s="860"/>
      <c r="AE796" s="860"/>
      <c r="AF796" s="860"/>
      <c r="AG796" s="860"/>
      <c r="AH796" s="860"/>
      <c r="AJ796" s="836"/>
      <c r="AK796" s="836"/>
      <c r="AL796" s="836"/>
      <c r="AM796" s="836"/>
      <c r="AN796" s="836"/>
      <c r="AO796" s="836"/>
      <c r="AP796" s="836"/>
      <c r="AQ796" s="836"/>
      <c r="AR796" s="836"/>
      <c r="AS796" s="836"/>
      <c r="AT796" s="836"/>
      <c r="AU796" s="836"/>
      <c r="AV796" s="836"/>
      <c r="AW796" s="836"/>
      <c r="AX796" s="836"/>
      <c r="AY796" s="836"/>
      <c r="AZ796" s="836"/>
      <c r="BA796" s="836"/>
      <c r="BB796" s="836"/>
      <c r="BC796" s="836"/>
      <c r="BD796" s="836"/>
      <c r="BE796" s="836"/>
      <c r="BF796" s="836"/>
      <c r="BG796" s="836"/>
      <c r="BH796" s="836"/>
      <c r="BI796" s="836"/>
      <c r="BJ796" s="836"/>
      <c r="BK796" s="836"/>
      <c r="BL796" s="836"/>
      <c r="BM796" s="836"/>
      <c r="BN796" s="836"/>
      <c r="BO796" s="836"/>
      <c r="BP796" s="836"/>
      <c r="BR796" s="838"/>
      <c r="BS796" s="838"/>
      <c r="BT796" s="838"/>
      <c r="BU796" s="838"/>
      <c r="BV796" s="838"/>
      <c r="BW796" s="838"/>
      <c r="BX796" s="838"/>
      <c r="BY796" s="838"/>
      <c r="BZ796" s="838"/>
      <c r="CA796" s="838"/>
      <c r="CB796" s="838"/>
      <c r="CC796" s="838"/>
      <c r="CD796" s="838"/>
      <c r="CE796" s="838"/>
      <c r="CF796" s="838"/>
      <c r="CG796" s="838"/>
      <c r="CH796" s="838"/>
      <c r="CI796" s="838"/>
      <c r="CJ796" s="838"/>
      <c r="CK796" s="838"/>
      <c r="CL796" s="838"/>
      <c r="CM796" s="838"/>
      <c r="CN796" s="838"/>
      <c r="CO796" s="838"/>
      <c r="CP796" s="838"/>
      <c r="CQ796" s="838"/>
      <c r="CR796" s="838"/>
      <c r="CS796" s="838"/>
      <c r="CT796" s="838"/>
      <c r="CU796" s="838"/>
    </row>
    <row r="797">
      <c r="A797" s="860"/>
      <c r="B797" s="860"/>
      <c r="C797" s="860"/>
      <c r="D797" s="860"/>
      <c r="E797" s="860"/>
      <c r="F797" s="860"/>
      <c r="G797" s="860"/>
      <c r="H797" s="860"/>
      <c r="I797" s="860"/>
      <c r="J797" s="860"/>
      <c r="K797" s="860"/>
      <c r="L797" s="860"/>
      <c r="M797" s="860"/>
      <c r="N797" s="860"/>
      <c r="O797" s="860"/>
      <c r="P797" s="860"/>
      <c r="Q797" s="860"/>
      <c r="R797" s="860"/>
      <c r="S797" s="860"/>
      <c r="T797" s="860"/>
      <c r="U797" s="860"/>
      <c r="V797" s="860"/>
      <c r="W797" s="860"/>
      <c r="X797" s="860"/>
      <c r="Y797" s="860"/>
      <c r="Z797" s="860"/>
      <c r="AA797" s="860"/>
      <c r="AB797" s="860"/>
      <c r="AC797" s="860"/>
      <c r="AD797" s="860"/>
      <c r="AE797" s="860"/>
      <c r="AF797" s="860"/>
      <c r="AG797" s="860"/>
      <c r="AH797" s="860"/>
      <c r="AJ797" s="836"/>
      <c r="AK797" s="836"/>
      <c r="AL797" s="836"/>
      <c r="AM797" s="836"/>
      <c r="AN797" s="836"/>
      <c r="AO797" s="836"/>
      <c r="AP797" s="836"/>
      <c r="AQ797" s="836"/>
      <c r="AR797" s="836"/>
      <c r="AS797" s="836"/>
      <c r="AT797" s="836"/>
      <c r="AU797" s="836"/>
      <c r="AV797" s="836"/>
      <c r="AW797" s="836"/>
      <c r="AX797" s="836"/>
      <c r="AY797" s="836"/>
      <c r="AZ797" s="836"/>
      <c r="BA797" s="836"/>
      <c r="BB797" s="836"/>
      <c r="BC797" s="836"/>
      <c r="BD797" s="836"/>
      <c r="BE797" s="836"/>
      <c r="BF797" s="836"/>
      <c r="BG797" s="836"/>
      <c r="BH797" s="836"/>
      <c r="BI797" s="836"/>
      <c r="BJ797" s="836"/>
      <c r="BK797" s="836"/>
      <c r="BL797" s="836"/>
      <c r="BM797" s="836"/>
      <c r="BN797" s="836"/>
      <c r="BO797" s="836"/>
      <c r="BP797" s="836"/>
      <c r="BR797" s="838"/>
      <c r="BS797" s="838"/>
      <c r="BT797" s="838"/>
      <c r="BU797" s="838"/>
      <c r="BV797" s="838"/>
      <c r="BW797" s="838"/>
      <c r="BX797" s="838"/>
      <c r="BY797" s="838"/>
      <c r="BZ797" s="838"/>
      <c r="CA797" s="838"/>
      <c r="CB797" s="838"/>
      <c r="CC797" s="838"/>
      <c r="CD797" s="838"/>
      <c r="CE797" s="838"/>
      <c r="CF797" s="838"/>
      <c r="CG797" s="838"/>
      <c r="CH797" s="838"/>
      <c r="CI797" s="838"/>
      <c r="CJ797" s="838"/>
      <c r="CK797" s="838"/>
      <c r="CL797" s="838"/>
      <c r="CM797" s="838"/>
      <c r="CN797" s="838"/>
      <c r="CO797" s="838"/>
      <c r="CP797" s="838"/>
      <c r="CQ797" s="838"/>
      <c r="CR797" s="838"/>
      <c r="CS797" s="838"/>
      <c r="CT797" s="838"/>
      <c r="CU797" s="838"/>
    </row>
    <row r="798">
      <c r="A798" s="860"/>
      <c r="B798" s="860"/>
      <c r="C798" s="860"/>
      <c r="D798" s="860"/>
      <c r="E798" s="860"/>
      <c r="F798" s="860"/>
      <c r="G798" s="860"/>
      <c r="H798" s="860"/>
      <c r="I798" s="860"/>
      <c r="J798" s="860"/>
      <c r="K798" s="860"/>
      <c r="L798" s="860"/>
      <c r="M798" s="860"/>
      <c r="N798" s="860"/>
      <c r="O798" s="860"/>
      <c r="P798" s="860"/>
      <c r="Q798" s="860"/>
      <c r="R798" s="860"/>
      <c r="S798" s="860"/>
      <c r="T798" s="860"/>
      <c r="U798" s="860"/>
      <c r="V798" s="860"/>
      <c r="W798" s="860"/>
      <c r="X798" s="860"/>
      <c r="Y798" s="860"/>
      <c r="Z798" s="860"/>
      <c r="AA798" s="860"/>
      <c r="AB798" s="860"/>
      <c r="AC798" s="860"/>
      <c r="AD798" s="860"/>
      <c r="AE798" s="860"/>
      <c r="AF798" s="860"/>
      <c r="AG798" s="860"/>
      <c r="AH798" s="860"/>
      <c r="AJ798" s="836"/>
      <c r="AK798" s="836"/>
      <c r="AL798" s="836"/>
      <c r="AM798" s="836"/>
      <c r="AN798" s="836"/>
      <c r="AO798" s="836"/>
      <c r="AP798" s="836"/>
      <c r="AQ798" s="836"/>
      <c r="AR798" s="836"/>
      <c r="AS798" s="836"/>
      <c r="AT798" s="836"/>
      <c r="AU798" s="836"/>
      <c r="AV798" s="836"/>
      <c r="AW798" s="836"/>
      <c r="AX798" s="836"/>
      <c r="AY798" s="836"/>
      <c r="AZ798" s="836"/>
      <c r="BA798" s="836"/>
      <c r="BB798" s="836"/>
      <c r="BC798" s="836"/>
      <c r="BD798" s="836"/>
      <c r="BE798" s="836"/>
      <c r="BF798" s="836"/>
      <c r="BG798" s="836"/>
      <c r="BH798" s="836"/>
      <c r="BI798" s="836"/>
      <c r="BJ798" s="836"/>
      <c r="BK798" s="836"/>
      <c r="BL798" s="836"/>
      <c r="BM798" s="836"/>
      <c r="BN798" s="836"/>
      <c r="BO798" s="836"/>
      <c r="BP798" s="836"/>
      <c r="BR798" s="838"/>
      <c r="BS798" s="838"/>
      <c r="BT798" s="838"/>
      <c r="BU798" s="838"/>
      <c r="BV798" s="838"/>
      <c r="BW798" s="838"/>
      <c r="BX798" s="838"/>
      <c r="BY798" s="838"/>
      <c r="BZ798" s="838"/>
      <c r="CA798" s="838"/>
      <c r="CB798" s="838"/>
      <c r="CC798" s="838"/>
      <c r="CD798" s="838"/>
      <c r="CE798" s="838"/>
      <c r="CF798" s="838"/>
      <c r="CG798" s="838"/>
      <c r="CH798" s="838"/>
      <c r="CI798" s="838"/>
      <c r="CJ798" s="838"/>
      <c r="CK798" s="838"/>
      <c r="CL798" s="838"/>
      <c r="CM798" s="838"/>
      <c r="CN798" s="838"/>
      <c r="CO798" s="838"/>
      <c r="CP798" s="838"/>
      <c r="CQ798" s="838"/>
      <c r="CR798" s="838"/>
      <c r="CS798" s="838"/>
      <c r="CT798" s="838"/>
      <c r="CU798" s="838"/>
    </row>
    <row r="799">
      <c r="A799" s="860"/>
      <c r="B799" s="860"/>
      <c r="C799" s="860"/>
      <c r="D799" s="860"/>
      <c r="E799" s="860"/>
      <c r="F799" s="860"/>
      <c r="G799" s="860"/>
      <c r="H799" s="860"/>
      <c r="I799" s="860"/>
      <c r="J799" s="860"/>
      <c r="K799" s="860"/>
      <c r="L799" s="860"/>
      <c r="M799" s="860"/>
      <c r="N799" s="860"/>
      <c r="O799" s="860"/>
      <c r="P799" s="860"/>
      <c r="Q799" s="860"/>
      <c r="R799" s="860"/>
      <c r="S799" s="860"/>
      <c r="T799" s="860"/>
      <c r="U799" s="860"/>
      <c r="V799" s="860"/>
      <c r="W799" s="860"/>
      <c r="X799" s="860"/>
      <c r="Y799" s="860"/>
      <c r="Z799" s="860"/>
      <c r="AA799" s="860"/>
      <c r="AB799" s="860"/>
      <c r="AC799" s="860"/>
      <c r="AD799" s="860"/>
      <c r="AE799" s="860"/>
      <c r="AF799" s="860"/>
      <c r="AG799" s="860"/>
      <c r="AH799" s="860"/>
      <c r="AJ799" s="836"/>
      <c r="AK799" s="836"/>
      <c r="AL799" s="836"/>
      <c r="AM799" s="836"/>
      <c r="AN799" s="836"/>
      <c r="AO799" s="836"/>
      <c r="AP799" s="836"/>
      <c r="AQ799" s="836"/>
      <c r="AR799" s="836"/>
      <c r="AS799" s="836"/>
      <c r="AT799" s="836"/>
      <c r="AU799" s="836"/>
      <c r="AV799" s="836"/>
      <c r="AW799" s="836"/>
      <c r="AX799" s="836"/>
      <c r="AY799" s="836"/>
      <c r="AZ799" s="836"/>
      <c r="BA799" s="836"/>
      <c r="BB799" s="836"/>
      <c r="BC799" s="836"/>
      <c r="BD799" s="836"/>
      <c r="BE799" s="836"/>
      <c r="BF799" s="836"/>
      <c r="BG799" s="836"/>
      <c r="BH799" s="836"/>
      <c r="BI799" s="836"/>
      <c r="BJ799" s="836"/>
      <c r="BK799" s="836"/>
      <c r="BL799" s="836"/>
      <c r="BM799" s="836"/>
      <c r="BN799" s="836"/>
      <c r="BO799" s="836"/>
      <c r="BP799" s="836"/>
      <c r="BR799" s="838"/>
      <c r="BS799" s="838"/>
      <c r="BT799" s="838"/>
      <c r="BU799" s="838"/>
      <c r="BV799" s="838"/>
      <c r="BW799" s="838"/>
      <c r="BX799" s="838"/>
      <c r="BY799" s="838"/>
      <c r="BZ799" s="838"/>
      <c r="CA799" s="838"/>
      <c r="CB799" s="838"/>
      <c r="CC799" s="838"/>
      <c r="CD799" s="838"/>
      <c r="CE799" s="838"/>
      <c r="CF799" s="838"/>
      <c r="CG799" s="838"/>
      <c r="CH799" s="838"/>
      <c r="CI799" s="838"/>
      <c r="CJ799" s="838"/>
      <c r="CK799" s="838"/>
      <c r="CL799" s="838"/>
      <c r="CM799" s="838"/>
      <c r="CN799" s="838"/>
      <c r="CO799" s="838"/>
      <c r="CP799" s="838"/>
      <c r="CQ799" s="838"/>
      <c r="CR799" s="838"/>
      <c r="CS799" s="838"/>
      <c r="CT799" s="838"/>
      <c r="CU799" s="838"/>
    </row>
    <row r="800">
      <c r="A800" s="860"/>
      <c r="B800" s="860"/>
      <c r="C800" s="860"/>
      <c r="D800" s="860"/>
      <c r="E800" s="860"/>
      <c r="F800" s="860"/>
      <c r="G800" s="860"/>
      <c r="H800" s="860"/>
      <c r="I800" s="860"/>
      <c r="J800" s="860"/>
      <c r="K800" s="860"/>
      <c r="L800" s="860"/>
      <c r="M800" s="860"/>
      <c r="N800" s="860"/>
      <c r="O800" s="860"/>
      <c r="P800" s="860"/>
      <c r="Q800" s="860"/>
      <c r="R800" s="860"/>
      <c r="S800" s="860"/>
      <c r="T800" s="860"/>
      <c r="U800" s="860"/>
      <c r="V800" s="860"/>
      <c r="W800" s="860"/>
      <c r="X800" s="860"/>
      <c r="Y800" s="860"/>
      <c r="Z800" s="860"/>
      <c r="AA800" s="860"/>
      <c r="AB800" s="860"/>
      <c r="AC800" s="860"/>
      <c r="AD800" s="860"/>
      <c r="AE800" s="860"/>
      <c r="AF800" s="860"/>
      <c r="AG800" s="860"/>
      <c r="AH800" s="860"/>
      <c r="AJ800" s="836"/>
      <c r="AK800" s="836"/>
      <c r="AL800" s="836"/>
      <c r="AM800" s="836"/>
      <c r="AN800" s="836"/>
      <c r="AO800" s="836"/>
      <c r="AP800" s="836"/>
      <c r="AQ800" s="836"/>
      <c r="AR800" s="836"/>
      <c r="AS800" s="836"/>
      <c r="AT800" s="836"/>
      <c r="AU800" s="836"/>
      <c r="AV800" s="836"/>
      <c r="AW800" s="836"/>
      <c r="AX800" s="836"/>
      <c r="AY800" s="836"/>
      <c r="AZ800" s="836"/>
      <c r="BA800" s="836"/>
      <c r="BB800" s="836"/>
      <c r="BC800" s="836"/>
      <c r="BD800" s="836"/>
      <c r="BE800" s="836"/>
      <c r="BF800" s="836"/>
      <c r="BG800" s="836"/>
      <c r="BH800" s="836"/>
      <c r="BI800" s="836"/>
      <c r="BJ800" s="836"/>
      <c r="BK800" s="836"/>
      <c r="BL800" s="836"/>
      <c r="BM800" s="836"/>
      <c r="BN800" s="836"/>
      <c r="BO800" s="836"/>
      <c r="BP800" s="836"/>
      <c r="BR800" s="838"/>
      <c r="BS800" s="838"/>
      <c r="BT800" s="838"/>
      <c r="BU800" s="838"/>
      <c r="BV800" s="838"/>
      <c r="BW800" s="838"/>
      <c r="BX800" s="838"/>
      <c r="BY800" s="838"/>
      <c r="BZ800" s="838"/>
      <c r="CA800" s="838"/>
      <c r="CB800" s="838"/>
      <c r="CC800" s="838"/>
      <c r="CD800" s="838"/>
      <c r="CE800" s="838"/>
      <c r="CF800" s="838"/>
      <c r="CG800" s="838"/>
      <c r="CH800" s="838"/>
      <c r="CI800" s="838"/>
      <c r="CJ800" s="838"/>
      <c r="CK800" s="838"/>
      <c r="CL800" s="838"/>
      <c r="CM800" s="838"/>
      <c r="CN800" s="838"/>
      <c r="CO800" s="838"/>
      <c r="CP800" s="838"/>
      <c r="CQ800" s="838"/>
      <c r="CR800" s="838"/>
      <c r="CS800" s="838"/>
      <c r="CT800" s="838"/>
      <c r="CU800" s="838"/>
    </row>
    <row r="801">
      <c r="A801" s="860"/>
      <c r="B801" s="860"/>
      <c r="C801" s="860"/>
      <c r="D801" s="860"/>
      <c r="E801" s="860"/>
      <c r="F801" s="860"/>
      <c r="G801" s="860"/>
      <c r="H801" s="860"/>
      <c r="I801" s="860"/>
      <c r="J801" s="860"/>
      <c r="K801" s="860"/>
      <c r="L801" s="860"/>
      <c r="M801" s="860"/>
      <c r="N801" s="860"/>
      <c r="O801" s="860"/>
      <c r="P801" s="860"/>
      <c r="Q801" s="860"/>
      <c r="R801" s="860"/>
      <c r="S801" s="860"/>
      <c r="T801" s="860"/>
      <c r="U801" s="860"/>
      <c r="V801" s="860"/>
      <c r="W801" s="860"/>
      <c r="X801" s="860"/>
      <c r="Y801" s="860"/>
      <c r="Z801" s="860"/>
      <c r="AA801" s="860"/>
      <c r="AB801" s="860"/>
      <c r="AC801" s="860"/>
      <c r="AD801" s="860"/>
      <c r="AE801" s="860"/>
      <c r="AF801" s="860"/>
      <c r="AG801" s="860"/>
      <c r="AH801" s="860"/>
      <c r="AJ801" s="836"/>
      <c r="AK801" s="836"/>
      <c r="AL801" s="836"/>
      <c r="AM801" s="836"/>
      <c r="AN801" s="836"/>
      <c r="AO801" s="836"/>
      <c r="AP801" s="836"/>
      <c r="AQ801" s="836"/>
      <c r="AR801" s="836"/>
      <c r="AS801" s="836"/>
      <c r="AT801" s="836"/>
      <c r="AU801" s="836"/>
      <c r="AV801" s="836"/>
      <c r="AW801" s="836"/>
      <c r="AX801" s="836"/>
      <c r="AY801" s="836"/>
      <c r="AZ801" s="836"/>
      <c r="BA801" s="836"/>
      <c r="BB801" s="836"/>
      <c r="BC801" s="836"/>
      <c r="BD801" s="836"/>
      <c r="BE801" s="836"/>
      <c r="BF801" s="836"/>
      <c r="BG801" s="836"/>
      <c r="BH801" s="836"/>
      <c r="BI801" s="836"/>
      <c r="BJ801" s="836"/>
      <c r="BK801" s="836"/>
      <c r="BL801" s="836"/>
      <c r="BM801" s="836"/>
      <c r="BN801" s="836"/>
      <c r="BO801" s="836"/>
      <c r="BP801" s="836"/>
      <c r="BR801" s="838"/>
      <c r="BS801" s="838"/>
      <c r="BT801" s="838"/>
      <c r="BU801" s="838"/>
      <c r="BV801" s="838"/>
      <c r="BW801" s="838"/>
      <c r="BX801" s="838"/>
      <c r="BY801" s="838"/>
      <c r="BZ801" s="838"/>
      <c r="CA801" s="838"/>
      <c r="CB801" s="838"/>
      <c r="CC801" s="838"/>
      <c r="CD801" s="838"/>
      <c r="CE801" s="838"/>
      <c r="CF801" s="838"/>
      <c r="CG801" s="838"/>
      <c r="CH801" s="838"/>
      <c r="CI801" s="838"/>
      <c r="CJ801" s="838"/>
      <c r="CK801" s="838"/>
      <c r="CL801" s="838"/>
      <c r="CM801" s="838"/>
      <c r="CN801" s="838"/>
      <c r="CO801" s="838"/>
      <c r="CP801" s="838"/>
      <c r="CQ801" s="838"/>
      <c r="CR801" s="838"/>
      <c r="CS801" s="838"/>
      <c r="CT801" s="838"/>
      <c r="CU801" s="838"/>
    </row>
    <row r="802">
      <c r="A802" s="860"/>
      <c r="B802" s="860"/>
      <c r="C802" s="860"/>
      <c r="D802" s="860"/>
      <c r="E802" s="860"/>
      <c r="F802" s="860"/>
      <c r="G802" s="860"/>
      <c r="H802" s="860"/>
      <c r="I802" s="860"/>
      <c r="J802" s="860"/>
      <c r="K802" s="860"/>
      <c r="L802" s="860"/>
      <c r="M802" s="860"/>
      <c r="N802" s="860"/>
      <c r="O802" s="860"/>
      <c r="P802" s="860"/>
      <c r="Q802" s="860"/>
      <c r="R802" s="860"/>
      <c r="S802" s="860"/>
      <c r="T802" s="860"/>
      <c r="U802" s="860"/>
      <c r="V802" s="860"/>
      <c r="W802" s="860"/>
      <c r="X802" s="860"/>
      <c r="Y802" s="860"/>
      <c r="Z802" s="860"/>
      <c r="AA802" s="860"/>
      <c r="AB802" s="860"/>
      <c r="AC802" s="860"/>
      <c r="AD802" s="860"/>
      <c r="AE802" s="860"/>
      <c r="AF802" s="860"/>
      <c r="AG802" s="860"/>
      <c r="AH802" s="860"/>
      <c r="AJ802" s="836"/>
      <c r="AK802" s="836"/>
      <c r="AL802" s="836"/>
      <c r="AM802" s="836"/>
      <c r="AN802" s="836"/>
      <c r="AO802" s="836"/>
      <c r="AP802" s="836"/>
      <c r="AQ802" s="836"/>
      <c r="AR802" s="836"/>
      <c r="AS802" s="836"/>
      <c r="AT802" s="836"/>
      <c r="AU802" s="836"/>
      <c r="AV802" s="836"/>
      <c r="AW802" s="836"/>
      <c r="AX802" s="836"/>
      <c r="AY802" s="836"/>
      <c r="AZ802" s="836"/>
      <c r="BA802" s="836"/>
      <c r="BB802" s="836"/>
      <c r="BC802" s="836"/>
      <c r="BD802" s="836"/>
      <c r="BE802" s="836"/>
      <c r="BF802" s="836"/>
      <c r="BG802" s="836"/>
      <c r="BH802" s="836"/>
      <c r="BI802" s="836"/>
      <c r="BJ802" s="836"/>
      <c r="BK802" s="836"/>
      <c r="BL802" s="836"/>
      <c r="BM802" s="836"/>
      <c r="BN802" s="836"/>
      <c r="BO802" s="836"/>
      <c r="BP802" s="836"/>
      <c r="BR802" s="838"/>
      <c r="BS802" s="838"/>
      <c r="BT802" s="838"/>
      <c r="BU802" s="838"/>
      <c r="BV802" s="838"/>
      <c r="BW802" s="838"/>
      <c r="BX802" s="838"/>
      <c r="BY802" s="838"/>
      <c r="BZ802" s="838"/>
      <c r="CA802" s="838"/>
      <c r="CB802" s="838"/>
      <c r="CC802" s="838"/>
      <c r="CD802" s="838"/>
      <c r="CE802" s="838"/>
      <c r="CF802" s="838"/>
      <c r="CG802" s="838"/>
      <c r="CH802" s="838"/>
      <c r="CI802" s="838"/>
      <c r="CJ802" s="838"/>
      <c r="CK802" s="838"/>
      <c r="CL802" s="838"/>
      <c r="CM802" s="838"/>
      <c r="CN802" s="838"/>
      <c r="CO802" s="838"/>
      <c r="CP802" s="838"/>
      <c r="CQ802" s="838"/>
      <c r="CR802" s="838"/>
      <c r="CS802" s="838"/>
      <c r="CT802" s="838"/>
      <c r="CU802" s="838"/>
    </row>
    <row r="803">
      <c r="A803" s="860"/>
      <c r="B803" s="860"/>
      <c r="C803" s="860"/>
      <c r="D803" s="860"/>
      <c r="E803" s="860"/>
      <c r="F803" s="860"/>
      <c r="G803" s="860"/>
      <c r="H803" s="860"/>
      <c r="I803" s="860"/>
      <c r="J803" s="860"/>
      <c r="K803" s="860"/>
      <c r="L803" s="860"/>
      <c r="M803" s="860"/>
      <c r="N803" s="860"/>
      <c r="O803" s="860"/>
      <c r="P803" s="860"/>
      <c r="Q803" s="860"/>
      <c r="R803" s="860"/>
      <c r="S803" s="860"/>
      <c r="T803" s="860"/>
      <c r="U803" s="860"/>
      <c r="V803" s="860"/>
      <c r="W803" s="860"/>
      <c r="X803" s="860"/>
      <c r="Y803" s="860"/>
      <c r="Z803" s="860"/>
      <c r="AA803" s="860"/>
      <c r="AB803" s="860"/>
      <c r="AC803" s="860"/>
      <c r="AD803" s="860"/>
      <c r="AE803" s="860"/>
      <c r="AF803" s="860"/>
      <c r="AG803" s="860"/>
      <c r="AH803" s="860"/>
      <c r="AJ803" s="836"/>
      <c r="AK803" s="836"/>
      <c r="AL803" s="836"/>
      <c r="AM803" s="836"/>
      <c r="AN803" s="836"/>
      <c r="AO803" s="836"/>
      <c r="AP803" s="836"/>
      <c r="AQ803" s="836"/>
      <c r="AR803" s="836"/>
      <c r="AS803" s="836"/>
      <c r="AT803" s="836"/>
      <c r="AU803" s="836"/>
      <c r="AV803" s="836"/>
      <c r="AW803" s="836"/>
      <c r="AX803" s="836"/>
      <c r="AY803" s="836"/>
      <c r="AZ803" s="836"/>
      <c r="BA803" s="836"/>
      <c r="BB803" s="836"/>
      <c r="BC803" s="836"/>
      <c r="BD803" s="836"/>
      <c r="BE803" s="836"/>
      <c r="BF803" s="836"/>
      <c r="BG803" s="836"/>
      <c r="BH803" s="836"/>
      <c r="BI803" s="836"/>
      <c r="BJ803" s="836"/>
      <c r="BK803" s="836"/>
      <c r="BL803" s="836"/>
      <c r="BM803" s="836"/>
      <c r="BN803" s="836"/>
      <c r="BO803" s="836"/>
      <c r="BP803" s="836"/>
      <c r="BR803" s="838"/>
      <c r="BS803" s="838"/>
      <c r="BT803" s="838"/>
      <c r="BU803" s="838"/>
      <c r="BV803" s="838"/>
      <c r="BW803" s="838"/>
      <c r="BX803" s="838"/>
      <c r="BY803" s="838"/>
      <c r="BZ803" s="838"/>
      <c r="CA803" s="838"/>
      <c r="CB803" s="838"/>
      <c r="CC803" s="838"/>
      <c r="CD803" s="838"/>
      <c r="CE803" s="838"/>
      <c r="CF803" s="838"/>
      <c r="CG803" s="838"/>
      <c r="CH803" s="838"/>
      <c r="CI803" s="838"/>
      <c r="CJ803" s="838"/>
      <c r="CK803" s="838"/>
      <c r="CL803" s="838"/>
      <c r="CM803" s="838"/>
      <c r="CN803" s="838"/>
      <c r="CO803" s="838"/>
      <c r="CP803" s="838"/>
      <c r="CQ803" s="838"/>
      <c r="CR803" s="838"/>
      <c r="CS803" s="838"/>
      <c r="CT803" s="838"/>
      <c r="CU803" s="838"/>
    </row>
    <row r="804">
      <c r="A804" s="860"/>
      <c r="B804" s="860"/>
      <c r="C804" s="860"/>
      <c r="D804" s="860"/>
      <c r="E804" s="860"/>
      <c r="F804" s="860"/>
      <c r="G804" s="860"/>
      <c r="H804" s="860"/>
      <c r="I804" s="860"/>
      <c r="J804" s="860"/>
      <c r="K804" s="860"/>
      <c r="L804" s="860"/>
      <c r="M804" s="860"/>
      <c r="N804" s="860"/>
      <c r="O804" s="860"/>
      <c r="P804" s="860"/>
      <c r="Q804" s="860"/>
      <c r="R804" s="860"/>
      <c r="S804" s="860"/>
      <c r="T804" s="860"/>
      <c r="U804" s="860"/>
      <c r="V804" s="860"/>
      <c r="W804" s="860"/>
      <c r="X804" s="860"/>
      <c r="Y804" s="860"/>
      <c r="Z804" s="860"/>
      <c r="AA804" s="860"/>
      <c r="AB804" s="860"/>
      <c r="AC804" s="860"/>
      <c r="AD804" s="860"/>
      <c r="AE804" s="860"/>
      <c r="AF804" s="860"/>
      <c r="AG804" s="860"/>
      <c r="AH804" s="860"/>
      <c r="AJ804" s="836"/>
      <c r="AK804" s="836"/>
      <c r="AL804" s="836"/>
      <c r="AM804" s="836"/>
      <c r="AN804" s="836"/>
      <c r="AO804" s="836"/>
      <c r="AP804" s="836"/>
      <c r="AQ804" s="836"/>
      <c r="AR804" s="836"/>
      <c r="AS804" s="836"/>
      <c r="AT804" s="836"/>
      <c r="AU804" s="836"/>
      <c r="AV804" s="836"/>
      <c r="AW804" s="836"/>
      <c r="AX804" s="836"/>
      <c r="AY804" s="836"/>
      <c r="AZ804" s="836"/>
      <c r="BA804" s="836"/>
      <c r="BB804" s="836"/>
      <c r="BC804" s="836"/>
      <c r="BD804" s="836"/>
      <c r="BE804" s="836"/>
      <c r="BF804" s="836"/>
      <c r="BG804" s="836"/>
      <c r="BH804" s="836"/>
      <c r="BI804" s="836"/>
      <c r="BJ804" s="836"/>
      <c r="BK804" s="836"/>
      <c r="BL804" s="836"/>
      <c r="BM804" s="836"/>
      <c r="BN804" s="836"/>
      <c r="BO804" s="836"/>
      <c r="BP804" s="836"/>
      <c r="BR804" s="838"/>
      <c r="BS804" s="838"/>
      <c r="BT804" s="838"/>
      <c r="BU804" s="838"/>
      <c r="BV804" s="838"/>
      <c r="BW804" s="838"/>
      <c r="BX804" s="838"/>
      <c r="BY804" s="838"/>
      <c r="BZ804" s="838"/>
      <c r="CA804" s="838"/>
      <c r="CB804" s="838"/>
      <c r="CC804" s="838"/>
      <c r="CD804" s="838"/>
      <c r="CE804" s="838"/>
      <c r="CF804" s="838"/>
      <c r="CG804" s="838"/>
      <c r="CH804" s="838"/>
      <c r="CI804" s="838"/>
      <c r="CJ804" s="838"/>
      <c r="CK804" s="838"/>
      <c r="CL804" s="838"/>
      <c r="CM804" s="838"/>
      <c r="CN804" s="838"/>
      <c r="CO804" s="838"/>
      <c r="CP804" s="838"/>
      <c r="CQ804" s="838"/>
      <c r="CR804" s="838"/>
      <c r="CS804" s="838"/>
      <c r="CT804" s="838"/>
      <c r="CU804" s="838"/>
    </row>
    <row r="805">
      <c r="A805" s="860"/>
      <c r="B805" s="860"/>
      <c r="C805" s="860"/>
      <c r="D805" s="860"/>
      <c r="E805" s="860"/>
      <c r="F805" s="860"/>
      <c r="G805" s="860"/>
      <c r="H805" s="860"/>
      <c r="I805" s="860"/>
      <c r="J805" s="860"/>
      <c r="K805" s="860"/>
      <c r="L805" s="860"/>
      <c r="M805" s="860"/>
      <c r="N805" s="860"/>
      <c r="O805" s="860"/>
      <c r="P805" s="860"/>
      <c r="Q805" s="860"/>
      <c r="R805" s="860"/>
      <c r="S805" s="860"/>
      <c r="T805" s="860"/>
      <c r="U805" s="860"/>
      <c r="V805" s="860"/>
      <c r="W805" s="860"/>
      <c r="X805" s="860"/>
      <c r="Y805" s="860"/>
      <c r="Z805" s="860"/>
      <c r="AA805" s="860"/>
      <c r="AB805" s="860"/>
      <c r="AC805" s="860"/>
      <c r="AD805" s="860"/>
      <c r="AE805" s="860"/>
      <c r="AF805" s="860"/>
      <c r="AG805" s="860"/>
      <c r="AH805" s="860"/>
      <c r="AJ805" s="836"/>
      <c r="AK805" s="836"/>
      <c r="AL805" s="836"/>
      <c r="AM805" s="836"/>
      <c r="AN805" s="836"/>
      <c r="AO805" s="836"/>
      <c r="AP805" s="836"/>
      <c r="AQ805" s="836"/>
      <c r="AR805" s="836"/>
      <c r="AS805" s="836"/>
      <c r="AT805" s="836"/>
      <c r="AU805" s="836"/>
      <c r="AV805" s="836"/>
      <c r="AW805" s="836"/>
      <c r="AX805" s="836"/>
      <c r="AY805" s="836"/>
      <c r="AZ805" s="836"/>
      <c r="BA805" s="836"/>
      <c r="BB805" s="836"/>
      <c r="BC805" s="836"/>
      <c r="BD805" s="836"/>
      <c r="BE805" s="836"/>
      <c r="BF805" s="836"/>
      <c r="BG805" s="836"/>
      <c r="BH805" s="836"/>
      <c r="BI805" s="836"/>
      <c r="BJ805" s="836"/>
      <c r="BK805" s="836"/>
      <c r="BL805" s="836"/>
      <c r="BM805" s="836"/>
      <c r="BN805" s="836"/>
      <c r="BO805" s="836"/>
      <c r="BP805" s="836"/>
      <c r="BR805" s="838"/>
      <c r="BS805" s="838"/>
      <c r="BT805" s="838"/>
      <c r="BU805" s="838"/>
      <c r="BV805" s="838"/>
      <c r="BW805" s="838"/>
      <c r="BX805" s="838"/>
      <c r="BY805" s="838"/>
      <c r="BZ805" s="838"/>
      <c r="CA805" s="838"/>
      <c r="CB805" s="838"/>
      <c r="CC805" s="838"/>
      <c r="CD805" s="838"/>
      <c r="CE805" s="838"/>
      <c r="CF805" s="838"/>
      <c r="CG805" s="838"/>
      <c r="CH805" s="838"/>
      <c r="CI805" s="838"/>
      <c r="CJ805" s="838"/>
      <c r="CK805" s="838"/>
      <c r="CL805" s="838"/>
      <c r="CM805" s="838"/>
      <c r="CN805" s="838"/>
      <c r="CO805" s="838"/>
      <c r="CP805" s="838"/>
      <c r="CQ805" s="838"/>
      <c r="CR805" s="838"/>
      <c r="CS805" s="838"/>
      <c r="CT805" s="838"/>
      <c r="CU805" s="838"/>
    </row>
    <row r="806">
      <c r="A806" s="860"/>
      <c r="B806" s="860"/>
      <c r="C806" s="860"/>
      <c r="D806" s="860"/>
      <c r="E806" s="860"/>
      <c r="F806" s="860"/>
      <c r="G806" s="860"/>
      <c r="H806" s="860"/>
      <c r="I806" s="860"/>
      <c r="J806" s="860"/>
      <c r="K806" s="860"/>
      <c r="L806" s="860"/>
      <c r="M806" s="860"/>
      <c r="N806" s="860"/>
      <c r="O806" s="860"/>
      <c r="P806" s="860"/>
      <c r="Q806" s="860"/>
      <c r="R806" s="860"/>
      <c r="S806" s="860"/>
      <c r="T806" s="860"/>
      <c r="U806" s="860"/>
      <c r="V806" s="860"/>
      <c r="W806" s="860"/>
      <c r="X806" s="860"/>
      <c r="Y806" s="860"/>
      <c r="Z806" s="860"/>
      <c r="AA806" s="860"/>
      <c r="AB806" s="860"/>
      <c r="AC806" s="860"/>
      <c r="AD806" s="860"/>
      <c r="AE806" s="860"/>
      <c r="AF806" s="860"/>
      <c r="AG806" s="860"/>
      <c r="AH806" s="860"/>
      <c r="AJ806" s="836"/>
      <c r="AK806" s="836"/>
      <c r="AL806" s="836"/>
      <c r="AM806" s="836"/>
      <c r="AN806" s="836"/>
      <c r="AO806" s="836"/>
      <c r="AP806" s="836"/>
      <c r="AQ806" s="836"/>
      <c r="AR806" s="836"/>
      <c r="AS806" s="836"/>
      <c r="AT806" s="836"/>
      <c r="AU806" s="836"/>
      <c r="AV806" s="836"/>
      <c r="AW806" s="836"/>
      <c r="AX806" s="836"/>
      <c r="AY806" s="836"/>
      <c r="AZ806" s="836"/>
      <c r="BA806" s="836"/>
      <c r="BB806" s="836"/>
      <c r="BC806" s="836"/>
      <c r="BD806" s="836"/>
      <c r="BE806" s="836"/>
      <c r="BF806" s="836"/>
      <c r="BG806" s="836"/>
      <c r="BH806" s="836"/>
      <c r="BI806" s="836"/>
      <c r="BJ806" s="836"/>
      <c r="BK806" s="836"/>
      <c r="BL806" s="836"/>
      <c r="BM806" s="836"/>
      <c r="BN806" s="836"/>
      <c r="BO806" s="836"/>
      <c r="BP806" s="836"/>
      <c r="BR806" s="838"/>
      <c r="BS806" s="838"/>
      <c r="BT806" s="838"/>
      <c r="BU806" s="838"/>
      <c r="BV806" s="838"/>
      <c r="BW806" s="838"/>
      <c r="BX806" s="838"/>
      <c r="BY806" s="838"/>
      <c r="BZ806" s="838"/>
      <c r="CA806" s="838"/>
      <c r="CB806" s="838"/>
      <c r="CC806" s="838"/>
      <c r="CD806" s="838"/>
      <c r="CE806" s="838"/>
      <c r="CF806" s="838"/>
      <c r="CG806" s="838"/>
      <c r="CH806" s="838"/>
      <c r="CI806" s="838"/>
      <c r="CJ806" s="838"/>
      <c r="CK806" s="838"/>
      <c r="CL806" s="838"/>
      <c r="CM806" s="838"/>
      <c r="CN806" s="838"/>
      <c r="CO806" s="838"/>
      <c r="CP806" s="838"/>
      <c r="CQ806" s="838"/>
      <c r="CR806" s="838"/>
      <c r="CS806" s="838"/>
      <c r="CT806" s="838"/>
      <c r="CU806" s="838"/>
    </row>
    <row r="807">
      <c r="A807" s="860"/>
      <c r="B807" s="860"/>
      <c r="C807" s="860"/>
      <c r="D807" s="860"/>
      <c r="E807" s="860"/>
      <c r="F807" s="860"/>
      <c r="G807" s="860"/>
      <c r="H807" s="860"/>
      <c r="I807" s="860"/>
      <c r="J807" s="860"/>
      <c r="K807" s="860"/>
      <c r="L807" s="860"/>
      <c r="M807" s="860"/>
      <c r="N807" s="860"/>
      <c r="O807" s="860"/>
      <c r="P807" s="860"/>
      <c r="Q807" s="860"/>
      <c r="R807" s="860"/>
      <c r="S807" s="860"/>
      <c r="T807" s="860"/>
      <c r="U807" s="860"/>
      <c r="V807" s="860"/>
      <c r="W807" s="860"/>
      <c r="X807" s="860"/>
      <c r="Y807" s="860"/>
      <c r="Z807" s="860"/>
      <c r="AA807" s="860"/>
      <c r="AB807" s="860"/>
      <c r="AC807" s="860"/>
      <c r="AD807" s="860"/>
      <c r="AE807" s="860"/>
      <c r="AF807" s="860"/>
      <c r="AG807" s="860"/>
      <c r="AH807" s="860"/>
      <c r="AJ807" s="836"/>
      <c r="AK807" s="836"/>
      <c r="AL807" s="836"/>
      <c r="AM807" s="836"/>
      <c r="AN807" s="836"/>
      <c r="AO807" s="836"/>
      <c r="AP807" s="836"/>
      <c r="AQ807" s="836"/>
      <c r="AR807" s="836"/>
      <c r="AS807" s="836"/>
      <c r="AT807" s="836"/>
      <c r="AU807" s="836"/>
      <c r="AV807" s="836"/>
      <c r="AW807" s="836"/>
      <c r="AX807" s="836"/>
      <c r="AY807" s="836"/>
      <c r="AZ807" s="836"/>
      <c r="BA807" s="836"/>
      <c r="BB807" s="836"/>
      <c r="BC807" s="836"/>
      <c r="BD807" s="836"/>
      <c r="BE807" s="836"/>
      <c r="BF807" s="836"/>
      <c r="BG807" s="836"/>
      <c r="BH807" s="836"/>
      <c r="BI807" s="836"/>
      <c r="BJ807" s="836"/>
      <c r="BK807" s="836"/>
      <c r="BL807" s="836"/>
      <c r="BM807" s="836"/>
      <c r="BN807" s="836"/>
      <c r="BO807" s="836"/>
      <c r="BP807" s="836"/>
      <c r="BR807" s="838"/>
      <c r="BS807" s="838"/>
      <c r="BT807" s="838"/>
      <c r="BU807" s="838"/>
      <c r="BV807" s="838"/>
      <c r="BW807" s="838"/>
      <c r="BX807" s="838"/>
      <c r="BY807" s="838"/>
      <c r="BZ807" s="838"/>
      <c r="CA807" s="838"/>
      <c r="CB807" s="838"/>
      <c r="CC807" s="838"/>
      <c r="CD807" s="838"/>
      <c r="CE807" s="838"/>
      <c r="CF807" s="838"/>
      <c r="CG807" s="838"/>
      <c r="CH807" s="838"/>
      <c r="CI807" s="838"/>
      <c r="CJ807" s="838"/>
      <c r="CK807" s="838"/>
      <c r="CL807" s="838"/>
      <c r="CM807" s="838"/>
      <c r="CN807" s="838"/>
      <c r="CO807" s="838"/>
      <c r="CP807" s="838"/>
      <c r="CQ807" s="838"/>
      <c r="CR807" s="838"/>
      <c r="CS807" s="838"/>
      <c r="CT807" s="838"/>
      <c r="CU807" s="838"/>
    </row>
    <row r="808">
      <c r="A808" s="860"/>
      <c r="B808" s="860"/>
      <c r="C808" s="860"/>
      <c r="D808" s="860"/>
      <c r="E808" s="860"/>
      <c r="F808" s="860"/>
      <c r="G808" s="860"/>
      <c r="H808" s="860"/>
      <c r="I808" s="860"/>
      <c r="J808" s="860"/>
      <c r="K808" s="860"/>
      <c r="L808" s="860"/>
      <c r="M808" s="860"/>
      <c r="N808" s="860"/>
      <c r="O808" s="860"/>
      <c r="P808" s="860"/>
      <c r="Q808" s="860"/>
      <c r="R808" s="860"/>
      <c r="S808" s="860"/>
      <c r="T808" s="860"/>
      <c r="U808" s="860"/>
      <c r="V808" s="860"/>
      <c r="W808" s="860"/>
      <c r="X808" s="860"/>
      <c r="Y808" s="860"/>
      <c r="Z808" s="860"/>
      <c r="AA808" s="860"/>
      <c r="AB808" s="860"/>
      <c r="AC808" s="860"/>
      <c r="AD808" s="860"/>
      <c r="AE808" s="860"/>
      <c r="AF808" s="860"/>
      <c r="AG808" s="860"/>
      <c r="AH808" s="860"/>
      <c r="AJ808" s="836"/>
      <c r="AK808" s="836"/>
      <c r="AL808" s="836"/>
      <c r="AM808" s="836"/>
      <c r="AN808" s="836"/>
      <c r="AO808" s="836"/>
      <c r="AP808" s="836"/>
      <c r="AQ808" s="836"/>
      <c r="AR808" s="836"/>
      <c r="AS808" s="836"/>
      <c r="AT808" s="836"/>
      <c r="AU808" s="836"/>
      <c r="AV808" s="836"/>
      <c r="AW808" s="836"/>
      <c r="AX808" s="836"/>
      <c r="AY808" s="836"/>
      <c r="AZ808" s="836"/>
      <c r="BA808" s="836"/>
      <c r="BB808" s="836"/>
      <c r="BC808" s="836"/>
      <c r="BD808" s="836"/>
      <c r="BE808" s="836"/>
      <c r="BF808" s="836"/>
      <c r="BG808" s="836"/>
      <c r="BH808" s="836"/>
      <c r="BI808" s="836"/>
      <c r="BJ808" s="836"/>
      <c r="BK808" s="836"/>
      <c r="BL808" s="836"/>
      <c r="BM808" s="836"/>
      <c r="BN808" s="836"/>
      <c r="BO808" s="836"/>
      <c r="BP808" s="836"/>
      <c r="BR808" s="838"/>
      <c r="BS808" s="838"/>
      <c r="BT808" s="838"/>
      <c r="BU808" s="838"/>
      <c r="BV808" s="838"/>
      <c r="BW808" s="838"/>
      <c r="BX808" s="838"/>
      <c r="BY808" s="838"/>
      <c r="BZ808" s="838"/>
      <c r="CA808" s="838"/>
      <c r="CB808" s="838"/>
      <c r="CC808" s="838"/>
      <c r="CD808" s="838"/>
      <c r="CE808" s="838"/>
      <c r="CF808" s="838"/>
      <c r="CG808" s="838"/>
      <c r="CH808" s="838"/>
      <c r="CI808" s="838"/>
      <c r="CJ808" s="838"/>
      <c r="CK808" s="838"/>
      <c r="CL808" s="838"/>
      <c r="CM808" s="838"/>
      <c r="CN808" s="838"/>
      <c r="CO808" s="838"/>
      <c r="CP808" s="838"/>
      <c r="CQ808" s="838"/>
      <c r="CR808" s="838"/>
      <c r="CS808" s="838"/>
      <c r="CT808" s="838"/>
      <c r="CU808" s="838"/>
    </row>
    <row r="809">
      <c r="A809" s="860"/>
      <c r="B809" s="860"/>
      <c r="C809" s="860"/>
      <c r="D809" s="860"/>
      <c r="E809" s="860"/>
      <c r="F809" s="860"/>
      <c r="G809" s="860"/>
      <c r="H809" s="860"/>
      <c r="I809" s="860"/>
      <c r="J809" s="860"/>
      <c r="K809" s="860"/>
      <c r="L809" s="860"/>
      <c r="M809" s="860"/>
      <c r="N809" s="860"/>
      <c r="O809" s="860"/>
      <c r="P809" s="860"/>
      <c r="Q809" s="860"/>
      <c r="R809" s="860"/>
      <c r="S809" s="860"/>
      <c r="T809" s="860"/>
      <c r="U809" s="860"/>
      <c r="V809" s="860"/>
      <c r="W809" s="860"/>
      <c r="X809" s="860"/>
      <c r="Y809" s="860"/>
      <c r="Z809" s="860"/>
      <c r="AA809" s="860"/>
      <c r="AB809" s="860"/>
      <c r="AC809" s="860"/>
      <c r="AD809" s="860"/>
      <c r="AE809" s="860"/>
      <c r="AF809" s="860"/>
      <c r="AG809" s="860"/>
      <c r="AH809" s="860"/>
      <c r="AJ809" s="836"/>
      <c r="AK809" s="836"/>
      <c r="AL809" s="836"/>
      <c r="AM809" s="836"/>
      <c r="AN809" s="836"/>
      <c r="AO809" s="836"/>
      <c r="AP809" s="836"/>
      <c r="AQ809" s="836"/>
      <c r="AR809" s="836"/>
      <c r="AS809" s="836"/>
      <c r="AT809" s="836"/>
      <c r="AU809" s="836"/>
      <c r="AV809" s="836"/>
      <c r="AW809" s="836"/>
      <c r="AX809" s="836"/>
      <c r="AY809" s="836"/>
      <c r="AZ809" s="836"/>
      <c r="BA809" s="836"/>
      <c r="BB809" s="836"/>
      <c r="BC809" s="836"/>
      <c r="BD809" s="836"/>
      <c r="BE809" s="836"/>
      <c r="BF809" s="836"/>
      <c r="BG809" s="836"/>
      <c r="BH809" s="836"/>
      <c r="BI809" s="836"/>
      <c r="BJ809" s="836"/>
      <c r="BK809" s="836"/>
      <c r="BL809" s="836"/>
      <c r="BM809" s="836"/>
      <c r="BN809" s="836"/>
      <c r="BO809" s="836"/>
      <c r="BP809" s="836"/>
      <c r="BR809" s="838"/>
      <c r="BS809" s="838"/>
      <c r="BT809" s="838"/>
      <c r="BU809" s="838"/>
      <c r="BV809" s="838"/>
      <c r="BW809" s="838"/>
      <c r="BX809" s="838"/>
      <c r="BY809" s="838"/>
      <c r="BZ809" s="838"/>
      <c r="CA809" s="838"/>
      <c r="CB809" s="838"/>
      <c r="CC809" s="838"/>
      <c r="CD809" s="838"/>
      <c r="CE809" s="838"/>
      <c r="CF809" s="838"/>
      <c r="CG809" s="838"/>
      <c r="CH809" s="838"/>
      <c r="CI809" s="838"/>
      <c r="CJ809" s="838"/>
      <c r="CK809" s="838"/>
      <c r="CL809" s="838"/>
      <c r="CM809" s="838"/>
      <c r="CN809" s="838"/>
      <c r="CO809" s="838"/>
      <c r="CP809" s="838"/>
      <c r="CQ809" s="838"/>
      <c r="CR809" s="838"/>
      <c r="CS809" s="838"/>
      <c r="CT809" s="838"/>
      <c r="CU809" s="838"/>
    </row>
    <row r="810">
      <c r="A810" s="860"/>
      <c r="B810" s="860"/>
      <c r="C810" s="860"/>
      <c r="D810" s="860"/>
      <c r="E810" s="860"/>
      <c r="F810" s="860"/>
      <c r="G810" s="860"/>
      <c r="H810" s="860"/>
      <c r="I810" s="860"/>
      <c r="J810" s="860"/>
      <c r="K810" s="860"/>
      <c r="L810" s="860"/>
      <c r="M810" s="860"/>
      <c r="N810" s="860"/>
      <c r="O810" s="860"/>
      <c r="P810" s="860"/>
      <c r="Q810" s="860"/>
      <c r="R810" s="860"/>
      <c r="S810" s="860"/>
      <c r="T810" s="860"/>
      <c r="U810" s="860"/>
      <c r="V810" s="860"/>
      <c r="W810" s="860"/>
      <c r="X810" s="860"/>
      <c r="Y810" s="860"/>
      <c r="Z810" s="860"/>
      <c r="AA810" s="860"/>
      <c r="AB810" s="860"/>
      <c r="AC810" s="860"/>
      <c r="AD810" s="860"/>
      <c r="AE810" s="860"/>
      <c r="AF810" s="860"/>
      <c r="AG810" s="860"/>
      <c r="AH810" s="860"/>
      <c r="AJ810" s="836"/>
      <c r="AK810" s="836"/>
      <c r="AL810" s="836"/>
      <c r="AM810" s="836"/>
      <c r="AN810" s="836"/>
      <c r="AO810" s="836"/>
      <c r="AP810" s="836"/>
      <c r="AQ810" s="836"/>
      <c r="AR810" s="836"/>
      <c r="AS810" s="836"/>
      <c r="AT810" s="836"/>
      <c r="AU810" s="836"/>
      <c r="AV810" s="836"/>
      <c r="AW810" s="836"/>
      <c r="AX810" s="836"/>
      <c r="AY810" s="836"/>
      <c r="AZ810" s="836"/>
      <c r="BA810" s="836"/>
      <c r="BB810" s="836"/>
      <c r="BC810" s="836"/>
      <c r="BD810" s="836"/>
      <c r="BE810" s="836"/>
      <c r="BF810" s="836"/>
      <c r="BG810" s="836"/>
      <c r="BH810" s="836"/>
      <c r="BI810" s="836"/>
      <c r="BJ810" s="836"/>
      <c r="BK810" s="836"/>
      <c r="BL810" s="836"/>
      <c r="BM810" s="836"/>
      <c r="BN810" s="836"/>
      <c r="BO810" s="836"/>
      <c r="BP810" s="836"/>
      <c r="BR810" s="838"/>
      <c r="BS810" s="838"/>
      <c r="BT810" s="838"/>
      <c r="BU810" s="838"/>
      <c r="BV810" s="838"/>
      <c r="BW810" s="838"/>
      <c r="BX810" s="838"/>
      <c r="BY810" s="838"/>
      <c r="BZ810" s="838"/>
      <c r="CA810" s="838"/>
      <c r="CB810" s="838"/>
      <c r="CC810" s="838"/>
      <c r="CD810" s="838"/>
      <c r="CE810" s="838"/>
      <c r="CF810" s="838"/>
      <c r="CG810" s="838"/>
      <c r="CH810" s="838"/>
      <c r="CI810" s="838"/>
      <c r="CJ810" s="838"/>
      <c r="CK810" s="838"/>
      <c r="CL810" s="838"/>
      <c r="CM810" s="838"/>
      <c r="CN810" s="838"/>
      <c r="CO810" s="838"/>
      <c r="CP810" s="838"/>
      <c r="CQ810" s="838"/>
      <c r="CR810" s="838"/>
      <c r="CS810" s="838"/>
      <c r="CT810" s="838"/>
      <c r="CU810" s="838"/>
    </row>
    <row r="811">
      <c r="A811" s="860"/>
      <c r="B811" s="860"/>
      <c r="C811" s="860"/>
      <c r="D811" s="860"/>
      <c r="E811" s="860"/>
      <c r="F811" s="860"/>
      <c r="G811" s="860"/>
      <c r="H811" s="860"/>
      <c r="I811" s="860"/>
      <c r="J811" s="860"/>
      <c r="K811" s="860"/>
      <c r="L811" s="860"/>
      <c r="M811" s="860"/>
      <c r="N811" s="860"/>
      <c r="O811" s="860"/>
      <c r="P811" s="860"/>
      <c r="Q811" s="860"/>
      <c r="R811" s="860"/>
      <c r="S811" s="860"/>
      <c r="T811" s="860"/>
      <c r="U811" s="860"/>
      <c r="V811" s="860"/>
      <c r="W811" s="860"/>
      <c r="X811" s="860"/>
      <c r="Y811" s="860"/>
      <c r="Z811" s="860"/>
      <c r="AA811" s="860"/>
      <c r="AB811" s="860"/>
      <c r="AC811" s="860"/>
      <c r="AD811" s="860"/>
      <c r="AE811" s="860"/>
      <c r="AF811" s="860"/>
      <c r="AG811" s="860"/>
      <c r="AH811" s="860"/>
      <c r="AJ811" s="836"/>
      <c r="AK811" s="836"/>
      <c r="AL811" s="836"/>
      <c r="AM811" s="836"/>
      <c r="AN811" s="836"/>
      <c r="AO811" s="836"/>
      <c r="AP811" s="836"/>
      <c r="AQ811" s="836"/>
      <c r="AR811" s="836"/>
      <c r="AS811" s="836"/>
      <c r="AT811" s="836"/>
      <c r="AU811" s="836"/>
      <c r="AV811" s="836"/>
      <c r="AW811" s="836"/>
      <c r="AX811" s="836"/>
      <c r="AY811" s="836"/>
      <c r="AZ811" s="836"/>
      <c r="BA811" s="836"/>
      <c r="BB811" s="836"/>
      <c r="BC811" s="836"/>
      <c r="BD811" s="836"/>
      <c r="BE811" s="836"/>
      <c r="BF811" s="836"/>
      <c r="BG811" s="836"/>
      <c r="BH811" s="836"/>
      <c r="BI811" s="836"/>
      <c r="BJ811" s="836"/>
      <c r="BK811" s="836"/>
      <c r="BL811" s="836"/>
      <c r="BM811" s="836"/>
      <c r="BN811" s="836"/>
      <c r="BO811" s="836"/>
      <c r="BP811" s="836"/>
      <c r="BR811" s="838"/>
      <c r="BS811" s="838"/>
      <c r="BT811" s="838"/>
      <c r="BU811" s="838"/>
      <c r="BV811" s="838"/>
      <c r="BW811" s="838"/>
      <c r="BX811" s="838"/>
      <c r="BY811" s="838"/>
      <c r="BZ811" s="838"/>
      <c r="CA811" s="838"/>
      <c r="CB811" s="838"/>
      <c r="CC811" s="838"/>
      <c r="CD811" s="838"/>
      <c r="CE811" s="838"/>
      <c r="CF811" s="838"/>
      <c r="CG811" s="838"/>
      <c r="CH811" s="838"/>
      <c r="CI811" s="838"/>
      <c r="CJ811" s="838"/>
      <c r="CK811" s="838"/>
      <c r="CL811" s="838"/>
      <c r="CM811" s="838"/>
      <c r="CN811" s="838"/>
      <c r="CO811" s="838"/>
      <c r="CP811" s="838"/>
      <c r="CQ811" s="838"/>
      <c r="CR811" s="838"/>
      <c r="CS811" s="838"/>
      <c r="CT811" s="838"/>
      <c r="CU811" s="838"/>
    </row>
    <row r="812">
      <c r="A812" s="860"/>
      <c r="B812" s="860"/>
      <c r="C812" s="860"/>
      <c r="D812" s="860"/>
      <c r="E812" s="860"/>
      <c r="F812" s="860"/>
      <c r="G812" s="860"/>
      <c r="H812" s="860"/>
      <c r="I812" s="860"/>
      <c r="J812" s="860"/>
      <c r="K812" s="860"/>
      <c r="L812" s="860"/>
      <c r="M812" s="860"/>
      <c r="N812" s="860"/>
      <c r="O812" s="860"/>
      <c r="P812" s="860"/>
      <c r="Q812" s="860"/>
      <c r="R812" s="860"/>
      <c r="S812" s="860"/>
      <c r="T812" s="860"/>
      <c r="U812" s="860"/>
      <c r="V812" s="860"/>
      <c r="W812" s="860"/>
      <c r="X812" s="860"/>
      <c r="Y812" s="860"/>
      <c r="Z812" s="860"/>
      <c r="AA812" s="860"/>
      <c r="AB812" s="860"/>
      <c r="AC812" s="860"/>
      <c r="AD812" s="860"/>
      <c r="AE812" s="860"/>
      <c r="AF812" s="860"/>
      <c r="AG812" s="860"/>
      <c r="AH812" s="860"/>
      <c r="AJ812" s="836"/>
      <c r="AK812" s="836"/>
      <c r="AL812" s="836"/>
      <c r="AM812" s="836"/>
      <c r="AN812" s="836"/>
      <c r="AO812" s="836"/>
      <c r="AP812" s="836"/>
      <c r="AQ812" s="836"/>
      <c r="AR812" s="836"/>
      <c r="AS812" s="836"/>
      <c r="AT812" s="836"/>
      <c r="AU812" s="836"/>
      <c r="AV812" s="836"/>
      <c r="AW812" s="836"/>
      <c r="AX812" s="836"/>
      <c r="AY812" s="836"/>
      <c r="AZ812" s="836"/>
      <c r="BA812" s="836"/>
      <c r="BB812" s="836"/>
      <c r="BC812" s="836"/>
      <c r="BD812" s="836"/>
      <c r="BE812" s="836"/>
      <c r="BF812" s="836"/>
      <c r="BG812" s="836"/>
      <c r="BH812" s="836"/>
      <c r="BI812" s="836"/>
      <c r="BJ812" s="836"/>
      <c r="BK812" s="836"/>
      <c r="BL812" s="836"/>
      <c r="BM812" s="836"/>
      <c r="BN812" s="836"/>
      <c r="BO812" s="836"/>
      <c r="BP812" s="836"/>
      <c r="BR812" s="838"/>
      <c r="BS812" s="838"/>
      <c r="BT812" s="838"/>
      <c r="BU812" s="838"/>
      <c r="BV812" s="838"/>
      <c r="BW812" s="838"/>
      <c r="BX812" s="838"/>
      <c r="BY812" s="838"/>
      <c r="BZ812" s="838"/>
      <c r="CA812" s="838"/>
      <c r="CB812" s="838"/>
      <c r="CC812" s="838"/>
      <c r="CD812" s="838"/>
      <c r="CE812" s="838"/>
      <c r="CF812" s="838"/>
      <c r="CG812" s="838"/>
      <c r="CH812" s="838"/>
      <c r="CI812" s="838"/>
      <c r="CJ812" s="838"/>
      <c r="CK812" s="838"/>
      <c r="CL812" s="838"/>
      <c r="CM812" s="838"/>
      <c r="CN812" s="838"/>
      <c r="CO812" s="838"/>
      <c r="CP812" s="838"/>
      <c r="CQ812" s="838"/>
      <c r="CR812" s="838"/>
      <c r="CS812" s="838"/>
      <c r="CT812" s="838"/>
      <c r="CU812" s="838"/>
    </row>
    <row r="813">
      <c r="A813" s="860"/>
      <c r="B813" s="860"/>
      <c r="C813" s="860"/>
      <c r="D813" s="860"/>
      <c r="E813" s="860"/>
      <c r="F813" s="860"/>
      <c r="G813" s="860"/>
      <c r="H813" s="860"/>
      <c r="I813" s="860"/>
      <c r="J813" s="860"/>
      <c r="K813" s="860"/>
      <c r="L813" s="860"/>
      <c r="M813" s="860"/>
      <c r="N813" s="860"/>
      <c r="O813" s="860"/>
      <c r="P813" s="860"/>
      <c r="Q813" s="860"/>
      <c r="R813" s="860"/>
      <c r="S813" s="860"/>
      <c r="T813" s="860"/>
      <c r="U813" s="860"/>
      <c r="V813" s="860"/>
      <c r="W813" s="860"/>
      <c r="X813" s="860"/>
      <c r="Y813" s="860"/>
      <c r="Z813" s="860"/>
      <c r="AA813" s="860"/>
      <c r="AB813" s="860"/>
      <c r="AC813" s="860"/>
      <c r="AD813" s="860"/>
      <c r="AE813" s="860"/>
      <c r="AF813" s="860"/>
      <c r="AG813" s="860"/>
      <c r="AH813" s="860"/>
      <c r="AJ813" s="836"/>
      <c r="AK813" s="836"/>
      <c r="AL813" s="836"/>
      <c r="AM813" s="836"/>
      <c r="AN813" s="836"/>
      <c r="AO813" s="836"/>
      <c r="AP813" s="836"/>
      <c r="AQ813" s="836"/>
      <c r="AR813" s="836"/>
      <c r="AS813" s="836"/>
      <c r="AT813" s="836"/>
      <c r="AU813" s="836"/>
      <c r="AV813" s="836"/>
      <c r="AW813" s="836"/>
      <c r="AX813" s="836"/>
      <c r="AY813" s="836"/>
      <c r="AZ813" s="836"/>
      <c r="BA813" s="836"/>
      <c r="BB813" s="836"/>
      <c r="BC813" s="836"/>
      <c r="BD813" s="836"/>
      <c r="BE813" s="836"/>
      <c r="BF813" s="836"/>
      <c r="BG813" s="836"/>
      <c r="BH813" s="836"/>
      <c r="BI813" s="836"/>
      <c r="BJ813" s="836"/>
      <c r="BK813" s="836"/>
      <c r="BL813" s="836"/>
      <c r="BM813" s="836"/>
      <c r="BN813" s="836"/>
      <c r="BO813" s="836"/>
      <c r="BP813" s="836"/>
      <c r="BR813" s="838"/>
      <c r="BS813" s="838"/>
      <c r="BT813" s="838"/>
      <c r="BU813" s="838"/>
      <c r="BV813" s="838"/>
      <c r="BW813" s="838"/>
      <c r="BX813" s="838"/>
      <c r="BY813" s="838"/>
      <c r="BZ813" s="838"/>
      <c r="CA813" s="838"/>
      <c r="CB813" s="838"/>
      <c r="CC813" s="838"/>
      <c r="CD813" s="838"/>
      <c r="CE813" s="838"/>
      <c r="CF813" s="838"/>
      <c r="CG813" s="838"/>
      <c r="CH813" s="838"/>
      <c r="CI813" s="838"/>
      <c r="CJ813" s="838"/>
      <c r="CK813" s="838"/>
      <c r="CL813" s="838"/>
      <c r="CM813" s="838"/>
      <c r="CN813" s="838"/>
      <c r="CO813" s="838"/>
      <c r="CP813" s="838"/>
      <c r="CQ813" s="838"/>
      <c r="CR813" s="838"/>
      <c r="CS813" s="838"/>
      <c r="CT813" s="838"/>
      <c r="CU813" s="838"/>
    </row>
    <row r="814">
      <c r="A814" s="860"/>
      <c r="B814" s="860"/>
      <c r="C814" s="860"/>
      <c r="D814" s="860"/>
      <c r="E814" s="860"/>
      <c r="F814" s="860"/>
      <c r="G814" s="860"/>
      <c r="H814" s="860"/>
      <c r="I814" s="860"/>
      <c r="J814" s="860"/>
      <c r="K814" s="860"/>
      <c r="L814" s="860"/>
      <c r="M814" s="860"/>
      <c r="N814" s="860"/>
      <c r="O814" s="860"/>
      <c r="P814" s="860"/>
      <c r="Q814" s="860"/>
      <c r="R814" s="860"/>
      <c r="S814" s="860"/>
      <c r="T814" s="860"/>
      <c r="U814" s="860"/>
      <c r="V814" s="860"/>
      <c r="W814" s="860"/>
      <c r="X814" s="860"/>
      <c r="Y814" s="860"/>
      <c r="Z814" s="860"/>
      <c r="AA814" s="860"/>
      <c r="AB814" s="860"/>
      <c r="AC814" s="860"/>
      <c r="AD814" s="860"/>
      <c r="AE814" s="860"/>
      <c r="AF814" s="860"/>
      <c r="AG814" s="860"/>
      <c r="AH814" s="860"/>
      <c r="AJ814" s="836"/>
      <c r="AK814" s="836"/>
      <c r="AL814" s="836"/>
      <c r="AM814" s="836"/>
      <c r="AN814" s="836"/>
      <c r="AO814" s="836"/>
      <c r="AP814" s="836"/>
      <c r="AQ814" s="836"/>
      <c r="AR814" s="836"/>
      <c r="AS814" s="836"/>
      <c r="AT814" s="836"/>
      <c r="AU814" s="836"/>
      <c r="AV814" s="836"/>
      <c r="AW814" s="836"/>
      <c r="AX814" s="836"/>
      <c r="AY814" s="836"/>
      <c r="AZ814" s="836"/>
      <c r="BA814" s="836"/>
      <c r="BB814" s="836"/>
      <c r="BC814" s="836"/>
      <c r="BD814" s="836"/>
      <c r="BE814" s="836"/>
      <c r="BF814" s="836"/>
      <c r="BG814" s="836"/>
      <c r="BH814" s="836"/>
      <c r="BI814" s="836"/>
      <c r="BJ814" s="836"/>
      <c r="BK814" s="836"/>
      <c r="BL814" s="836"/>
      <c r="BM814" s="836"/>
      <c r="BN814" s="836"/>
      <c r="BO814" s="836"/>
      <c r="BP814" s="836"/>
      <c r="BR814" s="838"/>
      <c r="BS814" s="838"/>
      <c r="BT814" s="838"/>
      <c r="BU814" s="838"/>
      <c r="BV814" s="838"/>
      <c r="BW814" s="838"/>
      <c r="BX814" s="838"/>
      <c r="BY814" s="838"/>
      <c r="BZ814" s="838"/>
      <c r="CA814" s="838"/>
      <c r="CB814" s="838"/>
      <c r="CC814" s="838"/>
      <c r="CD814" s="838"/>
      <c r="CE814" s="838"/>
      <c r="CF814" s="838"/>
      <c r="CG814" s="838"/>
      <c r="CH814" s="838"/>
      <c r="CI814" s="838"/>
      <c r="CJ814" s="838"/>
      <c r="CK814" s="838"/>
      <c r="CL814" s="838"/>
      <c r="CM814" s="838"/>
      <c r="CN814" s="838"/>
      <c r="CO814" s="838"/>
      <c r="CP814" s="838"/>
      <c r="CQ814" s="838"/>
      <c r="CR814" s="838"/>
      <c r="CS814" s="838"/>
      <c r="CT814" s="838"/>
      <c r="CU814" s="838"/>
    </row>
    <row r="815">
      <c r="A815" s="860"/>
      <c r="B815" s="860"/>
      <c r="C815" s="860"/>
      <c r="D815" s="860"/>
      <c r="E815" s="860"/>
      <c r="F815" s="860"/>
      <c r="G815" s="860"/>
      <c r="H815" s="860"/>
      <c r="I815" s="860"/>
      <c r="J815" s="860"/>
      <c r="K815" s="860"/>
      <c r="L815" s="860"/>
      <c r="M815" s="860"/>
      <c r="N815" s="860"/>
      <c r="O815" s="860"/>
      <c r="P815" s="860"/>
      <c r="Q815" s="860"/>
      <c r="R815" s="860"/>
      <c r="S815" s="860"/>
      <c r="T815" s="860"/>
      <c r="U815" s="860"/>
      <c r="V815" s="860"/>
      <c r="W815" s="860"/>
      <c r="X815" s="860"/>
      <c r="Y815" s="860"/>
      <c r="Z815" s="860"/>
      <c r="AA815" s="860"/>
      <c r="AB815" s="860"/>
      <c r="AC815" s="860"/>
      <c r="AD815" s="860"/>
      <c r="AE815" s="860"/>
      <c r="AF815" s="860"/>
      <c r="AG815" s="860"/>
      <c r="AH815" s="860"/>
      <c r="AJ815" s="836"/>
      <c r="AK815" s="836"/>
      <c r="AL815" s="836"/>
      <c r="AM815" s="836"/>
      <c r="AN815" s="836"/>
      <c r="AO815" s="836"/>
      <c r="AP815" s="836"/>
      <c r="AQ815" s="836"/>
      <c r="AR815" s="836"/>
      <c r="AS815" s="836"/>
      <c r="AT815" s="836"/>
      <c r="AU815" s="836"/>
      <c r="AV815" s="836"/>
      <c r="AW815" s="836"/>
      <c r="AX815" s="836"/>
      <c r="AY815" s="836"/>
      <c r="AZ815" s="836"/>
      <c r="BA815" s="836"/>
      <c r="BB815" s="836"/>
      <c r="BC815" s="836"/>
      <c r="BD815" s="836"/>
      <c r="BE815" s="836"/>
      <c r="BF815" s="836"/>
      <c r="BG815" s="836"/>
      <c r="BH815" s="836"/>
      <c r="BI815" s="836"/>
      <c r="BJ815" s="836"/>
      <c r="BK815" s="836"/>
      <c r="BL815" s="836"/>
      <c r="BM815" s="836"/>
      <c r="BN815" s="836"/>
      <c r="BO815" s="836"/>
      <c r="BP815" s="836"/>
      <c r="BR815" s="838"/>
      <c r="BS815" s="838"/>
      <c r="BT815" s="838"/>
      <c r="BU815" s="838"/>
      <c r="BV815" s="838"/>
      <c r="BW815" s="838"/>
      <c r="BX815" s="838"/>
      <c r="BY815" s="838"/>
      <c r="BZ815" s="838"/>
      <c r="CA815" s="838"/>
      <c r="CB815" s="838"/>
      <c r="CC815" s="838"/>
      <c r="CD815" s="838"/>
      <c r="CE815" s="838"/>
      <c r="CF815" s="838"/>
      <c r="CG815" s="838"/>
      <c r="CH815" s="838"/>
      <c r="CI815" s="838"/>
      <c r="CJ815" s="838"/>
      <c r="CK815" s="838"/>
      <c r="CL815" s="838"/>
      <c r="CM815" s="838"/>
      <c r="CN815" s="838"/>
      <c r="CO815" s="838"/>
      <c r="CP815" s="838"/>
      <c r="CQ815" s="838"/>
      <c r="CR815" s="838"/>
      <c r="CS815" s="838"/>
      <c r="CT815" s="838"/>
      <c r="CU815" s="838"/>
    </row>
    <row r="816">
      <c r="A816" s="860"/>
      <c r="B816" s="860"/>
      <c r="C816" s="860"/>
      <c r="D816" s="860"/>
      <c r="E816" s="860"/>
      <c r="F816" s="860"/>
      <c r="G816" s="860"/>
      <c r="H816" s="860"/>
      <c r="I816" s="860"/>
      <c r="J816" s="860"/>
      <c r="K816" s="860"/>
      <c r="L816" s="860"/>
      <c r="M816" s="860"/>
      <c r="N816" s="860"/>
      <c r="O816" s="860"/>
      <c r="P816" s="860"/>
      <c r="Q816" s="860"/>
      <c r="R816" s="860"/>
      <c r="S816" s="860"/>
      <c r="T816" s="860"/>
      <c r="U816" s="860"/>
      <c r="V816" s="860"/>
      <c r="W816" s="860"/>
      <c r="X816" s="860"/>
      <c r="Y816" s="860"/>
      <c r="Z816" s="860"/>
      <c r="AA816" s="860"/>
      <c r="AB816" s="860"/>
      <c r="AC816" s="860"/>
      <c r="AD816" s="860"/>
      <c r="AE816" s="860"/>
      <c r="AF816" s="860"/>
      <c r="AG816" s="860"/>
      <c r="AH816" s="860"/>
      <c r="AJ816" s="836"/>
      <c r="AK816" s="836"/>
      <c r="AL816" s="836"/>
      <c r="AM816" s="836"/>
      <c r="AN816" s="836"/>
      <c r="AO816" s="836"/>
      <c r="AP816" s="836"/>
      <c r="AQ816" s="836"/>
      <c r="AR816" s="836"/>
      <c r="AS816" s="836"/>
      <c r="AT816" s="836"/>
      <c r="AU816" s="836"/>
      <c r="AV816" s="836"/>
      <c r="AW816" s="836"/>
      <c r="AX816" s="836"/>
      <c r="AY816" s="836"/>
      <c r="AZ816" s="836"/>
      <c r="BA816" s="836"/>
      <c r="BB816" s="836"/>
      <c r="BC816" s="836"/>
      <c r="BD816" s="836"/>
      <c r="BE816" s="836"/>
      <c r="BF816" s="836"/>
      <c r="BG816" s="836"/>
      <c r="BH816" s="836"/>
      <c r="BI816" s="836"/>
      <c r="BJ816" s="836"/>
      <c r="BK816" s="836"/>
      <c r="BL816" s="836"/>
      <c r="BM816" s="836"/>
      <c r="BN816" s="836"/>
      <c r="BO816" s="836"/>
      <c r="BP816" s="836"/>
      <c r="BR816" s="838"/>
      <c r="BS816" s="838"/>
      <c r="BT816" s="838"/>
      <c r="BU816" s="838"/>
      <c r="BV816" s="838"/>
      <c r="BW816" s="838"/>
      <c r="BX816" s="838"/>
      <c r="BY816" s="838"/>
      <c r="BZ816" s="838"/>
      <c r="CA816" s="838"/>
      <c r="CB816" s="838"/>
      <c r="CC816" s="838"/>
      <c r="CD816" s="838"/>
      <c r="CE816" s="838"/>
      <c r="CF816" s="838"/>
      <c r="CG816" s="838"/>
      <c r="CH816" s="838"/>
      <c r="CI816" s="838"/>
      <c r="CJ816" s="838"/>
      <c r="CK816" s="838"/>
      <c r="CL816" s="838"/>
      <c r="CM816" s="838"/>
      <c r="CN816" s="838"/>
      <c r="CO816" s="838"/>
      <c r="CP816" s="838"/>
      <c r="CQ816" s="838"/>
      <c r="CR816" s="838"/>
      <c r="CS816" s="838"/>
      <c r="CT816" s="838"/>
      <c r="CU816" s="838"/>
    </row>
    <row r="817">
      <c r="A817" s="860"/>
      <c r="B817" s="860"/>
      <c r="C817" s="860"/>
      <c r="D817" s="860"/>
      <c r="E817" s="860"/>
      <c r="F817" s="860"/>
      <c r="G817" s="860"/>
      <c r="H817" s="860"/>
      <c r="I817" s="860"/>
      <c r="J817" s="860"/>
      <c r="K817" s="860"/>
      <c r="L817" s="860"/>
      <c r="M817" s="860"/>
      <c r="N817" s="860"/>
      <c r="O817" s="860"/>
      <c r="P817" s="860"/>
      <c r="Q817" s="860"/>
      <c r="R817" s="860"/>
      <c r="S817" s="860"/>
      <c r="T817" s="860"/>
      <c r="U817" s="860"/>
      <c r="V817" s="860"/>
      <c r="W817" s="860"/>
      <c r="X817" s="860"/>
      <c r="Y817" s="860"/>
      <c r="Z817" s="860"/>
      <c r="AA817" s="860"/>
      <c r="AB817" s="860"/>
      <c r="AC817" s="860"/>
      <c r="AD817" s="860"/>
      <c r="AE817" s="860"/>
      <c r="AF817" s="860"/>
      <c r="AG817" s="860"/>
      <c r="AH817" s="860"/>
      <c r="AJ817" s="836"/>
      <c r="AK817" s="836"/>
      <c r="AL817" s="836"/>
      <c r="AM817" s="836"/>
      <c r="AN817" s="836"/>
      <c r="AO817" s="836"/>
      <c r="AP817" s="836"/>
      <c r="AQ817" s="836"/>
      <c r="AR817" s="836"/>
      <c r="AS817" s="836"/>
      <c r="AT817" s="836"/>
      <c r="AU817" s="836"/>
      <c r="AV817" s="836"/>
      <c r="AW817" s="836"/>
      <c r="AX817" s="836"/>
      <c r="AY817" s="836"/>
      <c r="AZ817" s="836"/>
      <c r="BA817" s="836"/>
      <c r="BB817" s="836"/>
      <c r="BC817" s="836"/>
      <c r="BD817" s="836"/>
      <c r="BE817" s="836"/>
      <c r="BF817" s="836"/>
      <c r="BG817" s="836"/>
      <c r="BH817" s="836"/>
      <c r="BI817" s="836"/>
      <c r="BJ817" s="836"/>
      <c r="BK817" s="836"/>
      <c r="BL817" s="836"/>
      <c r="BM817" s="836"/>
      <c r="BN817" s="836"/>
      <c r="BO817" s="836"/>
      <c r="BP817" s="836"/>
      <c r="BR817" s="838"/>
      <c r="BS817" s="838"/>
      <c r="BT817" s="838"/>
      <c r="BU817" s="838"/>
      <c r="BV817" s="838"/>
      <c r="BW817" s="838"/>
      <c r="BX817" s="838"/>
      <c r="BY817" s="838"/>
      <c r="BZ817" s="838"/>
      <c r="CA817" s="838"/>
      <c r="CB817" s="838"/>
      <c r="CC817" s="838"/>
      <c r="CD817" s="838"/>
      <c r="CE817" s="838"/>
      <c r="CF817" s="838"/>
      <c r="CG817" s="838"/>
      <c r="CH817" s="838"/>
      <c r="CI817" s="838"/>
      <c r="CJ817" s="838"/>
      <c r="CK817" s="838"/>
      <c r="CL817" s="838"/>
      <c r="CM817" s="838"/>
      <c r="CN817" s="838"/>
      <c r="CO817" s="838"/>
      <c r="CP817" s="838"/>
      <c r="CQ817" s="838"/>
      <c r="CR817" s="838"/>
      <c r="CS817" s="838"/>
      <c r="CT817" s="838"/>
      <c r="CU817" s="838"/>
    </row>
    <row r="818">
      <c r="A818" s="860"/>
      <c r="B818" s="860"/>
      <c r="C818" s="860"/>
      <c r="D818" s="860"/>
      <c r="E818" s="860"/>
      <c r="F818" s="860"/>
      <c r="G818" s="860"/>
      <c r="H818" s="860"/>
      <c r="I818" s="860"/>
      <c r="J818" s="860"/>
      <c r="K818" s="860"/>
      <c r="L818" s="860"/>
      <c r="M818" s="860"/>
      <c r="N818" s="860"/>
      <c r="O818" s="860"/>
      <c r="P818" s="860"/>
      <c r="Q818" s="860"/>
      <c r="R818" s="860"/>
      <c r="S818" s="860"/>
      <c r="T818" s="860"/>
      <c r="U818" s="860"/>
      <c r="V818" s="860"/>
      <c r="W818" s="860"/>
      <c r="X818" s="860"/>
      <c r="Y818" s="860"/>
      <c r="Z818" s="860"/>
      <c r="AA818" s="860"/>
      <c r="AB818" s="860"/>
      <c r="AC818" s="860"/>
      <c r="AD818" s="860"/>
      <c r="AE818" s="860"/>
      <c r="AF818" s="860"/>
      <c r="AG818" s="860"/>
      <c r="AH818" s="860"/>
      <c r="AJ818" s="836"/>
      <c r="AK818" s="836"/>
      <c r="AL818" s="836"/>
      <c r="AM818" s="836"/>
      <c r="AN818" s="836"/>
      <c r="AO818" s="836"/>
      <c r="AP818" s="836"/>
      <c r="AQ818" s="836"/>
      <c r="AR818" s="836"/>
      <c r="AS818" s="836"/>
      <c r="AT818" s="836"/>
      <c r="AU818" s="836"/>
      <c r="AV818" s="836"/>
      <c r="AW818" s="836"/>
      <c r="AX818" s="836"/>
      <c r="AY818" s="836"/>
      <c r="AZ818" s="836"/>
      <c r="BA818" s="836"/>
      <c r="BB818" s="836"/>
      <c r="BC818" s="836"/>
      <c r="BD818" s="836"/>
      <c r="BE818" s="836"/>
      <c r="BF818" s="836"/>
      <c r="BG818" s="836"/>
      <c r="BH818" s="836"/>
      <c r="BI818" s="836"/>
      <c r="BJ818" s="836"/>
      <c r="BK818" s="836"/>
      <c r="BL818" s="836"/>
      <c r="BM818" s="836"/>
      <c r="BN818" s="836"/>
      <c r="BO818" s="836"/>
      <c r="BP818" s="836"/>
      <c r="BR818" s="838"/>
      <c r="BS818" s="838"/>
      <c r="BT818" s="838"/>
      <c r="BU818" s="838"/>
      <c r="BV818" s="838"/>
      <c r="BW818" s="838"/>
      <c r="BX818" s="838"/>
      <c r="BY818" s="838"/>
      <c r="BZ818" s="838"/>
      <c r="CA818" s="838"/>
      <c r="CB818" s="838"/>
      <c r="CC818" s="838"/>
      <c r="CD818" s="838"/>
      <c r="CE818" s="838"/>
      <c r="CF818" s="838"/>
      <c r="CG818" s="838"/>
      <c r="CH818" s="838"/>
      <c r="CI818" s="838"/>
      <c r="CJ818" s="838"/>
      <c r="CK818" s="838"/>
      <c r="CL818" s="838"/>
      <c r="CM818" s="838"/>
      <c r="CN818" s="838"/>
      <c r="CO818" s="838"/>
      <c r="CP818" s="838"/>
      <c r="CQ818" s="838"/>
      <c r="CR818" s="838"/>
      <c r="CS818" s="838"/>
      <c r="CT818" s="838"/>
      <c r="CU818" s="838"/>
    </row>
    <row r="819">
      <c r="A819" s="860"/>
      <c r="B819" s="860"/>
      <c r="C819" s="860"/>
      <c r="D819" s="860"/>
      <c r="E819" s="860"/>
      <c r="F819" s="860"/>
      <c r="G819" s="860"/>
      <c r="H819" s="860"/>
      <c r="I819" s="860"/>
      <c r="J819" s="860"/>
      <c r="K819" s="860"/>
      <c r="L819" s="860"/>
      <c r="M819" s="860"/>
      <c r="N819" s="860"/>
      <c r="O819" s="860"/>
      <c r="P819" s="860"/>
      <c r="Q819" s="860"/>
      <c r="R819" s="860"/>
      <c r="S819" s="860"/>
      <c r="T819" s="860"/>
      <c r="U819" s="860"/>
      <c r="V819" s="860"/>
      <c r="W819" s="860"/>
      <c r="X819" s="860"/>
      <c r="Y819" s="860"/>
      <c r="Z819" s="860"/>
      <c r="AA819" s="860"/>
      <c r="AB819" s="860"/>
      <c r="AC819" s="860"/>
      <c r="AD819" s="860"/>
      <c r="AE819" s="860"/>
      <c r="AF819" s="860"/>
      <c r="AG819" s="860"/>
      <c r="AH819" s="860"/>
      <c r="AJ819" s="836"/>
      <c r="AK819" s="836"/>
      <c r="AL819" s="836"/>
      <c r="AM819" s="836"/>
      <c r="AN819" s="836"/>
      <c r="AO819" s="836"/>
      <c r="AP819" s="836"/>
      <c r="AQ819" s="836"/>
      <c r="AR819" s="836"/>
      <c r="AS819" s="836"/>
      <c r="AT819" s="836"/>
      <c r="AU819" s="836"/>
      <c r="AV819" s="836"/>
      <c r="AW819" s="836"/>
      <c r="AX819" s="836"/>
      <c r="AY819" s="836"/>
      <c r="AZ819" s="836"/>
      <c r="BA819" s="836"/>
      <c r="BB819" s="836"/>
      <c r="BC819" s="836"/>
      <c r="BD819" s="836"/>
      <c r="BE819" s="836"/>
      <c r="BF819" s="836"/>
      <c r="BG819" s="836"/>
      <c r="BH819" s="836"/>
      <c r="BI819" s="836"/>
      <c r="BJ819" s="836"/>
      <c r="BK819" s="836"/>
      <c r="BL819" s="836"/>
      <c r="BM819" s="836"/>
      <c r="BN819" s="836"/>
      <c r="BO819" s="836"/>
      <c r="BP819" s="836"/>
      <c r="BR819" s="838"/>
      <c r="BS819" s="838"/>
      <c r="BT819" s="838"/>
      <c r="BU819" s="838"/>
      <c r="BV819" s="838"/>
      <c r="BW819" s="838"/>
      <c r="BX819" s="838"/>
      <c r="BY819" s="838"/>
      <c r="BZ819" s="838"/>
      <c r="CA819" s="838"/>
      <c r="CB819" s="838"/>
      <c r="CC819" s="838"/>
      <c r="CD819" s="838"/>
      <c r="CE819" s="838"/>
      <c r="CF819" s="838"/>
      <c r="CG819" s="838"/>
      <c r="CH819" s="838"/>
      <c r="CI819" s="838"/>
      <c r="CJ819" s="838"/>
      <c r="CK819" s="838"/>
      <c r="CL819" s="838"/>
      <c r="CM819" s="838"/>
      <c r="CN819" s="838"/>
      <c r="CO819" s="838"/>
      <c r="CP819" s="838"/>
      <c r="CQ819" s="838"/>
      <c r="CR819" s="838"/>
      <c r="CS819" s="838"/>
      <c r="CT819" s="838"/>
      <c r="CU819" s="838"/>
    </row>
    <row r="820">
      <c r="A820" s="860"/>
      <c r="B820" s="860"/>
      <c r="C820" s="860"/>
      <c r="D820" s="860"/>
      <c r="E820" s="860"/>
      <c r="F820" s="860"/>
      <c r="G820" s="860"/>
      <c r="H820" s="860"/>
      <c r="I820" s="860"/>
      <c r="J820" s="860"/>
      <c r="K820" s="860"/>
      <c r="L820" s="860"/>
      <c r="M820" s="860"/>
      <c r="N820" s="860"/>
      <c r="O820" s="860"/>
      <c r="P820" s="860"/>
      <c r="Q820" s="860"/>
      <c r="R820" s="860"/>
      <c r="S820" s="860"/>
      <c r="T820" s="860"/>
      <c r="U820" s="860"/>
      <c r="V820" s="860"/>
      <c r="W820" s="860"/>
      <c r="X820" s="860"/>
      <c r="Y820" s="860"/>
      <c r="Z820" s="860"/>
      <c r="AA820" s="860"/>
      <c r="AB820" s="860"/>
      <c r="AC820" s="860"/>
      <c r="AD820" s="860"/>
      <c r="AE820" s="860"/>
      <c r="AF820" s="860"/>
      <c r="AG820" s="860"/>
      <c r="AH820" s="860"/>
      <c r="AJ820" s="836"/>
      <c r="AK820" s="836"/>
      <c r="AL820" s="836"/>
      <c r="AM820" s="836"/>
      <c r="AN820" s="836"/>
      <c r="AO820" s="836"/>
      <c r="AP820" s="836"/>
      <c r="AQ820" s="836"/>
      <c r="AR820" s="836"/>
      <c r="AS820" s="836"/>
      <c r="AT820" s="836"/>
      <c r="AU820" s="836"/>
      <c r="AV820" s="836"/>
      <c r="AW820" s="836"/>
      <c r="AX820" s="836"/>
      <c r="AY820" s="836"/>
      <c r="AZ820" s="836"/>
      <c r="BA820" s="836"/>
      <c r="BB820" s="836"/>
      <c r="BC820" s="836"/>
      <c r="BD820" s="836"/>
      <c r="BE820" s="836"/>
      <c r="BF820" s="836"/>
      <c r="BG820" s="836"/>
      <c r="BH820" s="836"/>
      <c r="BI820" s="836"/>
      <c r="BJ820" s="836"/>
      <c r="BK820" s="836"/>
      <c r="BL820" s="836"/>
      <c r="BM820" s="836"/>
      <c r="BN820" s="836"/>
      <c r="BO820" s="836"/>
      <c r="BP820" s="836"/>
      <c r="BR820" s="838"/>
      <c r="BS820" s="838"/>
      <c r="BT820" s="838"/>
      <c r="BU820" s="838"/>
      <c r="BV820" s="838"/>
      <c r="BW820" s="838"/>
      <c r="BX820" s="838"/>
      <c r="BY820" s="838"/>
      <c r="BZ820" s="838"/>
      <c r="CA820" s="838"/>
      <c r="CB820" s="838"/>
      <c r="CC820" s="838"/>
      <c r="CD820" s="838"/>
      <c r="CE820" s="838"/>
      <c r="CF820" s="838"/>
      <c r="CG820" s="838"/>
      <c r="CH820" s="838"/>
      <c r="CI820" s="838"/>
      <c r="CJ820" s="838"/>
      <c r="CK820" s="838"/>
      <c r="CL820" s="838"/>
      <c r="CM820" s="838"/>
      <c r="CN820" s="838"/>
      <c r="CO820" s="838"/>
      <c r="CP820" s="838"/>
      <c r="CQ820" s="838"/>
      <c r="CR820" s="838"/>
      <c r="CS820" s="838"/>
      <c r="CT820" s="838"/>
      <c r="CU820" s="838"/>
    </row>
    <row r="821">
      <c r="A821" s="860"/>
      <c r="B821" s="860"/>
      <c r="C821" s="860"/>
      <c r="D821" s="860"/>
      <c r="E821" s="860"/>
      <c r="F821" s="860"/>
      <c r="G821" s="860"/>
      <c r="H821" s="860"/>
      <c r="I821" s="860"/>
      <c r="J821" s="860"/>
      <c r="K821" s="860"/>
      <c r="L821" s="860"/>
      <c r="M821" s="860"/>
      <c r="N821" s="860"/>
      <c r="O821" s="860"/>
      <c r="P821" s="860"/>
      <c r="Q821" s="860"/>
      <c r="R821" s="860"/>
      <c r="S821" s="860"/>
      <c r="T821" s="860"/>
      <c r="U821" s="860"/>
      <c r="V821" s="860"/>
      <c r="W821" s="860"/>
      <c r="X821" s="860"/>
      <c r="Y821" s="860"/>
      <c r="Z821" s="860"/>
      <c r="AA821" s="860"/>
      <c r="AB821" s="860"/>
      <c r="AC821" s="860"/>
      <c r="AD821" s="860"/>
      <c r="AE821" s="860"/>
      <c r="AF821" s="860"/>
      <c r="AG821" s="860"/>
      <c r="AH821" s="860"/>
      <c r="AJ821" s="836"/>
      <c r="AK821" s="836"/>
      <c r="AL821" s="836"/>
      <c r="AM821" s="836"/>
      <c r="AN821" s="836"/>
      <c r="AO821" s="836"/>
      <c r="AP821" s="836"/>
      <c r="AQ821" s="836"/>
      <c r="AR821" s="836"/>
      <c r="AS821" s="836"/>
      <c r="AT821" s="836"/>
      <c r="AU821" s="836"/>
      <c r="AV821" s="836"/>
      <c r="AW821" s="836"/>
      <c r="AX821" s="836"/>
      <c r="AY821" s="836"/>
      <c r="AZ821" s="836"/>
      <c r="BA821" s="836"/>
      <c r="BB821" s="836"/>
      <c r="BC821" s="836"/>
      <c r="BD821" s="836"/>
      <c r="BE821" s="836"/>
      <c r="BF821" s="836"/>
      <c r="BG821" s="836"/>
      <c r="BH821" s="836"/>
      <c r="BI821" s="836"/>
      <c r="BJ821" s="836"/>
      <c r="BK821" s="836"/>
      <c r="BL821" s="836"/>
      <c r="BM821" s="836"/>
      <c r="BN821" s="836"/>
      <c r="BO821" s="836"/>
      <c r="BP821" s="836"/>
      <c r="BR821" s="838"/>
      <c r="BS821" s="838"/>
      <c r="BT821" s="838"/>
      <c r="BU821" s="838"/>
      <c r="BV821" s="838"/>
      <c r="BW821" s="838"/>
      <c r="BX821" s="838"/>
      <c r="BY821" s="838"/>
      <c r="BZ821" s="838"/>
      <c r="CA821" s="838"/>
      <c r="CB821" s="838"/>
      <c r="CC821" s="838"/>
      <c r="CD821" s="838"/>
      <c r="CE821" s="838"/>
      <c r="CF821" s="838"/>
      <c r="CG821" s="838"/>
      <c r="CH821" s="838"/>
      <c r="CI821" s="838"/>
      <c r="CJ821" s="838"/>
      <c r="CK821" s="838"/>
      <c r="CL821" s="838"/>
      <c r="CM821" s="838"/>
      <c r="CN821" s="838"/>
      <c r="CO821" s="838"/>
      <c r="CP821" s="838"/>
      <c r="CQ821" s="838"/>
      <c r="CR821" s="838"/>
      <c r="CS821" s="838"/>
      <c r="CT821" s="838"/>
      <c r="CU821" s="838"/>
    </row>
    <row r="822">
      <c r="A822" s="860"/>
      <c r="B822" s="860"/>
      <c r="C822" s="860"/>
      <c r="D822" s="860"/>
      <c r="E822" s="860"/>
      <c r="F822" s="860"/>
      <c r="G822" s="860"/>
      <c r="H822" s="860"/>
      <c r="I822" s="860"/>
      <c r="J822" s="860"/>
      <c r="K822" s="860"/>
      <c r="L822" s="860"/>
      <c r="M822" s="860"/>
      <c r="N822" s="860"/>
      <c r="O822" s="860"/>
      <c r="P822" s="860"/>
      <c r="Q822" s="860"/>
      <c r="R822" s="860"/>
      <c r="S822" s="860"/>
      <c r="T822" s="860"/>
      <c r="U822" s="860"/>
      <c r="V822" s="860"/>
      <c r="W822" s="860"/>
      <c r="X822" s="860"/>
      <c r="Y822" s="860"/>
      <c r="Z822" s="860"/>
      <c r="AA822" s="860"/>
      <c r="AB822" s="860"/>
      <c r="AC822" s="860"/>
      <c r="AD822" s="860"/>
      <c r="AE822" s="860"/>
      <c r="AF822" s="860"/>
      <c r="AG822" s="860"/>
      <c r="AH822" s="860"/>
      <c r="AJ822" s="836"/>
      <c r="AK822" s="836"/>
      <c r="AL822" s="836"/>
      <c r="AM822" s="836"/>
      <c r="AN822" s="836"/>
      <c r="AO822" s="836"/>
      <c r="AP822" s="836"/>
      <c r="AQ822" s="836"/>
      <c r="AR822" s="836"/>
      <c r="AS822" s="836"/>
      <c r="AT822" s="836"/>
      <c r="AU822" s="836"/>
      <c r="AV822" s="836"/>
      <c r="AW822" s="836"/>
      <c r="AX822" s="836"/>
      <c r="AY822" s="836"/>
      <c r="AZ822" s="836"/>
      <c r="BA822" s="836"/>
      <c r="BB822" s="836"/>
      <c r="BC822" s="836"/>
      <c r="BD822" s="836"/>
      <c r="BE822" s="836"/>
      <c r="BF822" s="836"/>
      <c r="BG822" s="836"/>
      <c r="BH822" s="836"/>
      <c r="BI822" s="836"/>
      <c r="BJ822" s="836"/>
      <c r="BK822" s="836"/>
      <c r="BL822" s="836"/>
      <c r="BM822" s="836"/>
      <c r="BN822" s="836"/>
      <c r="BO822" s="836"/>
      <c r="BP822" s="836"/>
      <c r="BR822" s="838"/>
      <c r="BS822" s="838"/>
      <c r="BT822" s="838"/>
      <c r="BU822" s="838"/>
      <c r="BV822" s="838"/>
      <c r="BW822" s="838"/>
      <c r="BX822" s="838"/>
      <c r="BY822" s="838"/>
      <c r="BZ822" s="838"/>
      <c r="CA822" s="838"/>
      <c r="CB822" s="838"/>
      <c r="CC822" s="838"/>
      <c r="CD822" s="838"/>
      <c r="CE822" s="838"/>
      <c r="CF822" s="838"/>
      <c r="CG822" s="838"/>
      <c r="CH822" s="838"/>
      <c r="CI822" s="838"/>
      <c r="CJ822" s="838"/>
      <c r="CK822" s="838"/>
      <c r="CL822" s="838"/>
      <c r="CM822" s="838"/>
      <c r="CN822" s="838"/>
      <c r="CO822" s="838"/>
      <c r="CP822" s="838"/>
      <c r="CQ822" s="838"/>
      <c r="CR822" s="838"/>
      <c r="CS822" s="838"/>
      <c r="CT822" s="838"/>
      <c r="CU822" s="838"/>
    </row>
    <row r="823">
      <c r="A823" s="860"/>
      <c r="B823" s="860"/>
      <c r="C823" s="860"/>
      <c r="D823" s="860"/>
      <c r="E823" s="860"/>
      <c r="F823" s="860"/>
      <c r="G823" s="860"/>
      <c r="H823" s="860"/>
      <c r="I823" s="860"/>
      <c r="J823" s="860"/>
      <c r="K823" s="860"/>
      <c r="L823" s="860"/>
      <c r="M823" s="860"/>
      <c r="N823" s="860"/>
      <c r="O823" s="860"/>
      <c r="P823" s="860"/>
      <c r="Q823" s="860"/>
      <c r="R823" s="860"/>
      <c r="S823" s="860"/>
      <c r="T823" s="860"/>
      <c r="U823" s="860"/>
      <c r="V823" s="860"/>
      <c r="W823" s="860"/>
      <c r="X823" s="860"/>
      <c r="Y823" s="860"/>
      <c r="Z823" s="860"/>
      <c r="AA823" s="860"/>
      <c r="AB823" s="860"/>
      <c r="AC823" s="860"/>
      <c r="AD823" s="860"/>
      <c r="AE823" s="860"/>
      <c r="AF823" s="860"/>
      <c r="AG823" s="860"/>
      <c r="AH823" s="860"/>
      <c r="AJ823" s="836"/>
      <c r="AK823" s="836"/>
      <c r="AL823" s="836"/>
      <c r="AM823" s="836"/>
      <c r="AN823" s="836"/>
      <c r="AO823" s="836"/>
      <c r="AP823" s="836"/>
      <c r="AQ823" s="836"/>
      <c r="AR823" s="836"/>
      <c r="AS823" s="836"/>
      <c r="AT823" s="836"/>
      <c r="AU823" s="836"/>
      <c r="AV823" s="836"/>
      <c r="AW823" s="836"/>
      <c r="AX823" s="836"/>
      <c r="AY823" s="836"/>
      <c r="AZ823" s="836"/>
      <c r="BA823" s="836"/>
      <c r="BB823" s="836"/>
      <c r="BC823" s="836"/>
      <c r="BD823" s="836"/>
      <c r="BE823" s="836"/>
      <c r="BF823" s="836"/>
      <c r="BG823" s="836"/>
      <c r="BH823" s="836"/>
      <c r="BI823" s="836"/>
      <c r="BJ823" s="836"/>
      <c r="BK823" s="836"/>
      <c r="BL823" s="836"/>
      <c r="BM823" s="836"/>
      <c r="BN823" s="836"/>
      <c r="BO823" s="836"/>
      <c r="BP823" s="836"/>
      <c r="BR823" s="838"/>
      <c r="BS823" s="838"/>
      <c r="BT823" s="838"/>
      <c r="BU823" s="838"/>
      <c r="BV823" s="838"/>
      <c r="BW823" s="838"/>
      <c r="BX823" s="838"/>
      <c r="BY823" s="838"/>
      <c r="BZ823" s="838"/>
      <c r="CA823" s="838"/>
      <c r="CB823" s="838"/>
      <c r="CC823" s="838"/>
      <c r="CD823" s="838"/>
      <c r="CE823" s="838"/>
      <c r="CF823" s="838"/>
      <c r="CG823" s="838"/>
      <c r="CH823" s="838"/>
      <c r="CI823" s="838"/>
      <c r="CJ823" s="838"/>
      <c r="CK823" s="838"/>
      <c r="CL823" s="838"/>
      <c r="CM823" s="838"/>
      <c r="CN823" s="838"/>
      <c r="CO823" s="838"/>
      <c r="CP823" s="838"/>
      <c r="CQ823" s="838"/>
      <c r="CR823" s="838"/>
      <c r="CS823" s="838"/>
      <c r="CT823" s="838"/>
      <c r="CU823" s="838"/>
    </row>
    <row r="824">
      <c r="A824" s="860"/>
      <c r="B824" s="860"/>
      <c r="C824" s="860"/>
      <c r="D824" s="860"/>
      <c r="E824" s="860"/>
      <c r="F824" s="860"/>
      <c r="G824" s="860"/>
      <c r="H824" s="860"/>
      <c r="I824" s="860"/>
      <c r="J824" s="860"/>
      <c r="K824" s="860"/>
      <c r="L824" s="860"/>
      <c r="M824" s="860"/>
      <c r="N824" s="860"/>
      <c r="O824" s="860"/>
      <c r="P824" s="860"/>
      <c r="Q824" s="860"/>
      <c r="R824" s="860"/>
      <c r="S824" s="860"/>
      <c r="T824" s="860"/>
      <c r="U824" s="860"/>
      <c r="V824" s="860"/>
      <c r="W824" s="860"/>
      <c r="X824" s="860"/>
      <c r="Y824" s="860"/>
      <c r="Z824" s="860"/>
      <c r="AA824" s="860"/>
      <c r="AB824" s="860"/>
      <c r="AC824" s="860"/>
      <c r="AD824" s="860"/>
      <c r="AE824" s="860"/>
      <c r="AF824" s="860"/>
      <c r="AG824" s="860"/>
      <c r="AH824" s="860"/>
      <c r="AJ824" s="836"/>
      <c r="AK824" s="836"/>
      <c r="AL824" s="836"/>
      <c r="AM824" s="836"/>
      <c r="AN824" s="836"/>
      <c r="AO824" s="836"/>
      <c r="AP824" s="836"/>
      <c r="AQ824" s="836"/>
      <c r="AR824" s="836"/>
      <c r="AS824" s="836"/>
      <c r="AT824" s="836"/>
      <c r="AU824" s="836"/>
      <c r="AV824" s="836"/>
      <c r="AW824" s="836"/>
      <c r="AX824" s="836"/>
      <c r="AY824" s="836"/>
      <c r="AZ824" s="836"/>
      <c r="BA824" s="836"/>
      <c r="BB824" s="836"/>
      <c r="BC824" s="836"/>
      <c r="BD824" s="836"/>
      <c r="BE824" s="836"/>
      <c r="BF824" s="836"/>
      <c r="BG824" s="836"/>
      <c r="BH824" s="836"/>
      <c r="BI824" s="836"/>
      <c r="BJ824" s="836"/>
      <c r="BK824" s="836"/>
      <c r="BL824" s="836"/>
      <c r="BM824" s="836"/>
      <c r="BN824" s="836"/>
      <c r="BO824" s="836"/>
      <c r="BP824" s="836"/>
      <c r="BR824" s="838"/>
      <c r="BS824" s="838"/>
      <c r="BT824" s="838"/>
      <c r="BU824" s="838"/>
      <c r="BV824" s="838"/>
      <c r="BW824" s="838"/>
      <c r="BX824" s="838"/>
      <c r="BY824" s="838"/>
      <c r="BZ824" s="838"/>
      <c r="CA824" s="838"/>
      <c r="CB824" s="838"/>
      <c r="CC824" s="838"/>
      <c r="CD824" s="838"/>
      <c r="CE824" s="838"/>
      <c r="CF824" s="838"/>
      <c r="CG824" s="838"/>
      <c r="CH824" s="838"/>
      <c r="CI824" s="838"/>
      <c r="CJ824" s="838"/>
      <c r="CK824" s="838"/>
      <c r="CL824" s="838"/>
      <c r="CM824" s="838"/>
      <c r="CN824" s="838"/>
      <c r="CO824" s="838"/>
      <c r="CP824" s="838"/>
      <c r="CQ824" s="838"/>
      <c r="CR824" s="838"/>
      <c r="CS824" s="838"/>
      <c r="CT824" s="838"/>
      <c r="CU824" s="838"/>
    </row>
    <row r="825">
      <c r="A825" s="860"/>
      <c r="B825" s="860"/>
      <c r="C825" s="860"/>
      <c r="D825" s="860"/>
      <c r="E825" s="860"/>
      <c r="F825" s="860"/>
      <c r="G825" s="860"/>
      <c r="H825" s="860"/>
      <c r="I825" s="860"/>
      <c r="J825" s="860"/>
      <c r="K825" s="860"/>
      <c r="L825" s="860"/>
      <c r="M825" s="860"/>
      <c r="N825" s="860"/>
      <c r="O825" s="860"/>
      <c r="P825" s="860"/>
      <c r="Q825" s="860"/>
      <c r="R825" s="860"/>
      <c r="S825" s="860"/>
      <c r="T825" s="860"/>
      <c r="U825" s="860"/>
      <c r="V825" s="860"/>
      <c r="W825" s="860"/>
      <c r="X825" s="860"/>
      <c r="Y825" s="860"/>
      <c r="Z825" s="860"/>
      <c r="AA825" s="860"/>
      <c r="AB825" s="860"/>
      <c r="AC825" s="860"/>
      <c r="AD825" s="860"/>
      <c r="AE825" s="860"/>
      <c r="AF825" s="860"/>
      <c r="AG825" s="860"/>
      <c r="AH825" s="860"/>
      <c r="AJ825" s="836"/>
      <c r="AK825" s="836"/>
      <c r="AL825" s="836"/>
      <c r="AM825" s="836"/>
      <c r="AN825" s="836"/>
      <c r="AO825" s="836"/>
      <c r="AP825" s="836"/>
      <c r="AQ825" s="836"/>
      <c r="AR825" s="836"/>
      <c r="AS825" s="836"/>
      <c r="AT825" s="836"/>
      <c r="AU825" s="836"/>
      <c r="AV825" s="836"/>
      <c r="AW825" s="836"/>
      <c r="AX825" s="836"/>
      <c r="AY825" s="836"/>
      <c r="AZ825" s="836"/>
      <c r="BA825" s="836"/>
      <c r="BB825" s="836"/>
      <c r="BC825" s="836"/>
      <c r="BD825" s="836"/>
      <c r="BE825" s="836"/>
      <c r="BF825" s="836"/>
      <c r="BG825" s="836"/>
      <c r="BH825" s="836"/>
      <c r="BI825" s="836"/>
      <c r="BJ825" s="836"/>
      <c r="BK825" s="836"/>
      <c r="BL825" s="836"/>
      <c r="BM825" s="836"/>
      <c r="BN825" s="836"/>
      <c r="BO825" s="836"/>
      <c r="BP825" s="836"/>
      <c r="BR825" s="838"/>
      <c r="BS825" s="838"/>
      <c r="BT825" s="838"/>
      <c r="BU825" s="838"/>
      <c r="BV825" s="838"/>
      <c r="BW825" s="838"/>
      <c r="BX825" s="838"/>
      <c r="BY825" s="838"/>
      <c r="BZ825" s="838"/>
      <c r="CA825" s="838"/>
      <c r="CB825" s="838"/>
      <c r="CC825" s="838"/>
      <c r="CD825" s="838"/>
      <c r="CE825" s="838"/>
      <c r="CF825" s="838"/>
      <c r="CG825" s="838"/>
      <c r="CH825" s="838"/>
      <c r="CI825" s="838"/>
      <c r="CJ825" s="838"/>
      <c r="CK825" s="838"/>
      <c r="CL825" s="838"/>
      <c r="CM825" s="838"/>
      <c r="CN825" s="838"/>
      <c r="CO825" s="838"/>
      <c r="CP825" s="838"/>
      <c r="CQ825" s="838"/>
      <c r="CR825" s="838"/>
      <c r="CS825" s="838"/>
      <c r="CT825" s="838"/>
      <c r="CU825" s="838"/>
    </row>
    <row r="826">
      <c r="A826" s="860"/>
      <c r="B826" s="860"/>
      <c r="C826" s="860"/>
      <c r="D826" s="860"/>
      <c r="E826" s="860"/>
      <c r="F826" s="860"/>
      <c r="G826" s="860"/>
      <c r="H826" s="860"/>
      <c r="I826" s="860"/>
      <c r="J826" s="860"/>
      <c r="K826" s="860"/>
      <c r="L826" s="860"/>
      <c r="M826" s="860"/>
      <c r="N826" s="860"/>
      <c r="O826" s="860"/>
      <c r="P826" s="860"/>
      <c r="Q826" s="860"/>
      <c r="R826" s="860"/>
      <c r="S826" s="860"/>
      <c r="T826" s="860"/>
      <c r="U826" s="860"/>
      <c r="V826" s="860"/>
      <c r="W826" s="860"/>
      <c r="X826" s="860"/>
      <c r="Y826" s="860"/>
      <c r="Z826" s="860"/>
      <c r="AA826" s="860"/>
      <c r="AB826" s="860"/>
      <c r="AC826" s="860"/>
      <c r="AD826" s="860"/>
      <c r="AE826" s="860"/>
      <c r="AF826" s="860"/>
      <c r="AG826" s="860"/>
      <c r="AH826" s="860"/>
      <c r="AJ826" s="836"/>
      <c r="AK826" s="836"/>
      <c r="AL826" s="836"/>
      <c r="AM826" s="836"/>
      <c r="AN826" s="836"/>
      <c r="AO826" s="836"/>
      <c r="AP826" s="836"/>
      <c r="AQ826" s="836"/>
      <c r="AR826" s="836"/>
      <c r="AS826" s="836"/>
      <c r="AT826" s="836"/>
      <c r="AU826" s="836"/>
      <c r="AV826" s="836"/>
      <c r="AW826" s="836"/>
      <c r="AX826" s="836"/>
      <c r="AY826" s="836"/>
      <c r="AZ826" s="836"/>
      <c r="BA826" s="836"/>
      <c r="BB826" s="836"/>
      <c r="BC826" s="836"/>
      <c r="BD826" s="836"/>
      <c r="BE826" s="836"/>
      <c r="BF826" s="836"/>
      <c r="BG826" s="836"/>
      <c r="BH826" s="836"/>
      <c r="BI826" s="836"/>
      <c r="BJ826" s="836"/>
      <c r="BK826" s="836"/>
      <c r="BL826" s="836"/>
      <c r="BM826" s="836"/>
      <c r="BN826" s="836"/>
      <c r="BO826" s="836"/>
      <c r="BP826" s="836"/>
      <c r="BR826" s="838"/>
      <c r="BS826" s="838"/>
      <c r="BT826" s="838"/>
      <c r="BU826" s="838"/>
      <c r="BV826" s="838"/>
      <c r="BW826" s="838"/>
      <c r="BX826" s="838"/>
      <c r="BY826" s="838"/>
      <c r="BZ826" s="838"/>
      <c r="CA826" s="838"/>
      <c r="CB826" s="838"/>
      <c r="CC826" s="838"/>
      <c r="CD826" s="838"/>
      <c r="CE826" s="838"/>
      <c r="CF826" s="838"/>
      <c r="CG826" s="838"/>
      <c r="CH826" s="838"/>
      <c r="CI826" s="838"/>
      <c r="CJ826" s="838"/>
      <c r="CK826" s="838"/>
      <c r="CL826" s="838"/>
      <c r="CM826" s="838"/>
      <c r="CN826" s="838"/>
      <c r="CO826" s="838"/>
      <c r="CP826" s="838"/>
      <c r="CQ826" s="838"/>
      <c r="CR826" s="838"/>
      <c r="CS826" s="838"/>
      <c r="CT826" s="838"/>
      <c r="CU826" s="838"/>
    </row>
    <row r="827">
      <c r="A827" s="834"/>
      <c r="B827" s="834"/>
      <c r="C827" s="834"/>
      <c r="D827" s="834"/>
      <c r="E827" s="834"/>
      <c r="F827" s="834"/>
      <c r="G827" s="834"/>
      <c r="H827" s="834"/>
      <c r="I827" s="834"/>
      <c r="J827" s="834"/>
      <c r="K827" s="834"/>
      <c r="L827" s="834"/>
      <c r="M827" s="834"/>
      <c r="N827" s="834"/>
      <c r="O827" s="834"/>
      <c r="P827" s="834"/>
      <c r="Q827" s="834"/>
      <c r="R827" s="834"/>
      <c r="S827" s="834"/>
      <c r="T827" s="834"/>
      <c r="U827" s="834"/>
      <c r="V827" s="834"/>
      <c r="W827" s="834"/>
      <c r="X827" s="834"/>
      <c r="Y827" s="834"/>
      <c r="Z827" s="834"/>
      <c r="AA827" s="834"/>
      <c r="AB827" s="834"/>
      <c r="AC827" s="834"/>
      <c r="AD827" s="834"/>
      <c r="AE827" s="834"/>
      <c r="AF827" s="834"/>
      <c r="AG827" s="834"/>
      <c r="AH827" s="834"/>
      <c r="AJ827" s="836"/>
      <c r="AK827" s="836"/>
      <c r="AL827" s="836"/>
      <c r="AM827" s="836"/>
      <c r="AN827" s="836"/>
      <c r="AO827" s="836"/>
      <c r="AP827" s="836"/>
      <c r="AQ827" s="836"/>
      <c r="AR827" s="836"/>
      <c r="AS827" s="836"/>
      <c r="AT827" s="836"/>
      <c r="AU827" s="836"/>
      <c r="AV827" s="836"/>
      <c r="AW827" s="836"/>
      <c r="AX827" s="836"/>
      <c r="AY827" s="836"/>
      <c r="AZ827" s="836"/>
      <c r="BA827" s="836"/>
      <c r="BB827" s="836"/>
      <c r="BC827" s="836"/>
      <c r="BD827" s="836"/>
      <c r="BE827" s="836"/>
      <c r="BF827" s="836"/>
      <c r="BG827" s="836"/>
      <c r="BH827" s="836"/>
      <c r="BI827" s="836"/>
      <c r="BJ827" s="836"/>
      <c r="BK827" s="836"/>
      <c r="BL827" s="836"/>
      <c r="BM827" s="836"/>
      <c r="BN827" s="836"/>
      <c r="BO827" s="836"/>
      <c r="BP827" s="836"/>
      <c r="BR827" s="838"/>
      <c r="BS827" s="838"/>
      <c r="BT827" s="838"/>
      <c r="BU827" s="838"/>
      <c r="BV827" s="838"/>
      <c r="BW827" s="838"/>
      <c r="BX827" s="838"/>
      <c r="BY827" s="838"/>
      <c r="BZ827" s="838"/>
      <c r="CA827" s="838"/>
      <c r="CB827" s="838"/>
      <c r="CC827" s="838"/>
      <c r="CD827" s="838"/>
      <c r="CE827" s="838"/>
      <c r="CF827" s="838"/>
      <c r="CG827" s="838"/>
      <c r="CH827" s="838"/>
      <c r="CI827" s="838"/>
      <c r="CJ827" s="838"/>
      <c r="CK827" s="838"/>
      <c r="CL827" s="838"/>
      <c r="CM827" s="838"/>
      <c r="CN827" s="838"/>
      <c r="CO827" s="838"/>
      <c r="CP827" s="838"/>
      <c r="CQ827" s="838"/>
      <c r="CR827" s="838"/>
      <c r="CS827" s="838"/>
      <c r="CT827" s="838"/>
      <c r="CU827" s="838"/>
    </row>
    <row r="828">
      <c r="A828" s="834"/>
      <c r="B828" s="834"/>
      <c r="C828" s="834"/>
      <c r="D828" s="834"/>
      <c r="E828" s="834"/>
      <c r="F828" s="834"/>
      <c r="G828" s="834"/>
      <c r="H828" s="834"/>
      <c r="I828" s="834"/>
      <c r="J828" s="834"/>
      <c r="K828" s="834"/>
      <c r="L828" s="834"/>
      <c r="M828" s="834"/>
      <c r="N828" s="834"/>
      <c r="O828" s="834"/>
      <c r="P828" s="834"/>
      <c r="Q828" s="834"/>
      <c r="R828" s="834"/>
      <c r="S828" s="834"/>
      <c r="T828" s="834"/>
      <c r="U828" s="834"/>
      <c r="V828" s="834"/>
      <c r="W828" s="834"/>
      <c r="X828" s="834"/>
      <c r="Y828" s="834"/>
      <c r="Z828" s="834"/>
      <c r="AA828" s="834"/>
      <c r="AB828" s="834"/>
      <c r="AC828" s="834"/>
      <c r="AD828" s="834"/>
      <c r="AE828" s="834"/>
      <c r="AF828" s="834"/>
      <c r="AG828" s="834"/>
      <c r="AH828" s="834"/>
      <c r="AJ828" s="836"/>
      <c r="AK828" s="836"/>
      <c r="AL828" s="836"/>
      <c r="AM828" s="836"/>
      <c r="AN828" s="836"/>
      <c r="AO828" s="836"/>
      <c r="AP828" s="836"/>
      <c r="AQ828" s="836"/>
      <c r="AR828" s="836"/>
      <c r="AS828" s="836"/>
      <c r="AT828" s="836"/>
      <c r="AU828" s="836"/>
      <c r="AV828" s="836"/>
      <c r="AW828" s="836"/>
      <c r="AX828" s="836"/>
      <c r="AY828" s="836"/>
      <c r="AZ828" s="836"/>
      <c r="BA828" s="836"/>
      <c r="BB828" s="836"/>
      <c r="BC828" s="836"/>
      <c r="BD828" s="836"/>
      <c r="BE828" s="836"/>
      <c r="BF828" s="836"/>
      <c r="BG828" s="836"/>
      <c r="BH828" s="836"/>
      <c r="BI828" s="836"/>
      <c r="BJ828" s="836"/>
      <c r="BK828" s="836"/>
      <c r="BL828" s="836"/>
      <c r="BM828" s="836"/>
      <c r="BN828" s="836"/>
      <c r="BO828" s="836"/>
      <c r="BP828" s="836"/>
      <c r="BR828" s="838"/>
      <c r="BS828" s="838"/>
      <c r="BT828" s="838"/>
      <c r="BU828" s="838"/>
      <c r="BV828" s="838"/>
      <c r="BW828" s="838"/>
      <c r="BX828" s="838"/>
      <c r="BY828" s="838"/>
      <c r="BZ828" s="838"/>
      <c r="CA828" s="838"/>
      <c r="CB828" s="838"/>
      <c r="CC828" s="838"/>
      <c r="CD828" s="838"/>
      <c r="CE828" s="838"/>
      <c r="CF828" s="838"/>
      <c r="CG828" s="838"/>
      <c r="CH828" s="838"/>
      <c r="CI828" s="838"/>
      <c r="CJ828" s="838"/>
      <c r="CK828" s="838"/>
      <c r="CL828" s="838"/>
      <c r="CM828" s="838"/>
      <c r="CN828" s="838"/>
      <c r="CO828" s="838"/>
      <c r="CP828" s="838"/>
      <c r="CQ828" s="838"/>
      <c r="CR828" s="838"/>
      <c r="CS828" s="838"/>
      <c r="CT828" s="838"/>
      <c r="CU828" s="838"/>
    </row>
    <row r="829">
      <c r="A829" s="834"/>
      <c r="B829" s="834"/>
      <c r="C829" s="834"/>
      <c r="D829" s="834"/>
      <c r="E829" s="834"/>
      <c r="F829" s="834"/>
      <c r="G829" s="834"/>
      <c r="H829" s="834"/>
      <c r="I829" s="834"/>
      <c r="J829" s="834"/>
      <c r="K829" s="834"/>
      <c r="L829" s="834"/>
      <c r="M829" s="834"/>
      <c r="N829" s="834"/>
      <c r="O829" s="834"/>
      <c r="P829" s="834"/>
      <c r="Q829" s="834"/>
      <c r="R829" s="834"/>
      <c r="S829" s="834"/>
      <c r="T829" s="834"/>
      <c r="U829" s="834"/>
      <c r="V829" s="834"/>
      <c r="W829" s="834"/>
      <c r="X829" s="834"/>
      <c r="Y829" s="834"/>
      <c r="Z829" s="834"/>
      <c r="AA829" s="834"/>
      <c r="AB829" s="834"/>
      <c r="AC829" s="834"/>
      <c r="AD829" s="834"/>
      <c r="AE829" s="834"/>
      <c r="AF829" s="834"/>
      <c r="AG829" s="834"/>
      <c r="AH829" s="834"/>
      <c r="AJ829" s="836"/>
      <c r="AK829" s="836"/>
      <c r="AL829" s="836"/>
      <c r="AM829" s="836"/>
      <c r="AN829" s="836"/>
      <c r="AO829" s="836"/>
      <c r="AP829" s="836"/>
      <c r="AQ829" s="836"/>
      <c r="AR829" s="836"/>
      <c r="AS829" s="836"/>
      <c r="AT829" s="836"/>
      <c r="AU829" s="836"/>
      <c r="AV829" s="836"/>
      <c r="AW829" s="836"/>
      <c r="AX829" s="836"/>
      <c r="AY829" s="836"/>
      <c r="AZ829" s="836"/>
      <c r="BA829" s="836"/>
      <c r="BB829" s="836"/>
      <c r="BC829" s="836"/>
      <c r="BD829" s="836"/>
      <c r="BE829" s="836"/>
      <c r="BF829" s="836"/>
      <c r="BG829" s="836"/>
      <c r="BH829" s="836"/>
      <c r="BI829" s="836"/>
      <c r="BJ829" s="836"/>
      <c r="BK829" s="836"/>
      <c r="BL829" s="836"/>
      <c r="BM829" s="836"/>
      <c r="BN829" s="836"/>
      <c r="BO829" s="836"/>
      <c r="BP829" s="836"/>
      <c r="BR829" s="838"/>
      <c r="BS829" s="838"/>
      <c r="BT829" s="838"/>
      <c r="BU829" s="838"/>
      <c r="BV829" s="838"/>
      <c r="BW829" s="838"/>
      <c r="BX829" s="838"/>
      <c r="BY829" s="838"/>
      <c r="BZ829" s="838"/>
      <c r="CA829" s="838"/>
      <c r="CB829" s="838"/>
      <c r="CC829" s="838"/>
      <c r="CD829" s="838"/>
      <c r="CE829" s="838"/>
      <c r="CF829" s="838"/>
      <c r="CG829" s="838"/>
      <c r="CH829" s="838"/>
      <c r="CI829" s="838"/>
      <c r="CJ829" s="838"/>
      <c r="CK829" s="838"/>
      <c r="CL829" s="838"/>
      <c r="CM829" s="838"/>
      <c r="CN829" s="838"/>
      <c r="CO829" s="838"/>
      <c r="CP829" s="838"/>
      <c r="CQ829" s="838"/>
      <c r="CR829" s="838"/>
      <c r="CS829" s="838"/>
      <c r="CT829" s="838"/>
      <c r="CU829" s="838"/>
    </row>
    <row r="830">
      <c r="A830" s="834"/>
      <c r="B830" s="834"/>
      <c r="C830" s="834"/>
      <c r="D830" s="834"/>
      <c r="E830" s="834"/>
      <c r="F830" s="834"/>
      <c r="G830" s="834"/>
      <c r="H830" s="834"/>
      <c r="I830" s="834"/>
      <c r="J830" s="834"/>
      <c r="K830" s="834"/>
      <c r="L830" s="834"/>
      <c r="M830" s="834"/>
      <c r="N830" s="834"/>
      <c r="O830" s="834"/>
      <c r="P830" s="834"/>
      <c r="Q830" s="834"/>
      <c r="R830" s="834"/>
      <c r="S830" s="834"/>
      <c r="T830" s="834"/>
      <c r="U830" s="834"/>
      <c r="V830" s="834"/>
      <c r="W830" s="834"/>
      <c r="X830" s="834"/>
      <c r="Y830" s="834"/>
      <c r="Z830" s="834"/>
      <c r="AA830" s="834"/>
      <c r="AB830" s="834"/>
      <c r="AC830" s="834"/>
      <c r="AD830" s="834"/>
      <c r="AE830" s="834"/>
      <c r="AF830" s="834"/>
      <c r="AG830" s="834"/>
      <c r="AH830" s="834"/>
      <c r="AJ830" s="836"/>
      <c r="AK830" s="836"/>
      <c r="AL830" s="836"/>
      <c r="AM830" s="836"/>
      <c r="AN830" s="836"/>
      <c r="AO830" s="836"/>
      <c r="AP830" s="836"/>
      <c r="AQ830" s="836"/>
      <c r="AR830" s="836"/>
      <c r="AS830" s="836"/>
      <c r="AT830" s="836"/>
      <c r="AU830" s="836"/>
      <c r="AV830" s="836"/>
      <c r="AW830" s="836"/>
      <c r="AX830" s="836"/>
      <c r="AY830" s="836"/>
      <c r="AZ830" s="836"/>
      <c r="BA830" s="836"/>
      <c r="BB830" s="836"/>
      <c r="BC830" s="836"/>
      <c r="BD830" s="836"/>
      <c r="BE830" s="836"/>
      <c r="BF830" s="836"/>
      <c r="BG830" s="836"/>
      <c r="BH830" s="836"/>
      <c r="BI830" s="836"/>
      <c r="BJ830" s="836"/>
      <c r="BK830" s="836"/>
      <c r="BL830" s="836"/>
      <c r="BM830" s="836"/>
      <c r="BN830" s="836"/>
      <c r="BO830" s="836"/>
      <c r="BP830" s="836"/>
      <c r="BR830" s="838"/>
      <c r="BS830" s="838"/>
      <c r="BT830" s="838"/>
      <c r="BU830" s="838"/>
      <c r="BV830" s="838"/>
      <c r="BW830" s="838"/>
      <c r="BX830" s="838"/>
      <c r="BY830" s="838"/>
      <c r="BZ830" s="838"/>
      <c r="CA830" s="838"/>
      <c r="CB830" s="838"/>
      <c r="CC830" s="838"/>
      <c r="CD830" s="838"/>
      <c r="CE830" s="838"/>
      <c r="CF830" s="838"/>
      <c r="CG830" s="838"/>
      <c r="CH830" s="838"/>
      <c r="CI830" s="838"/>
      <c r="CJ830" s="838"/>
      <c r="CK830" s="838"/>
      <c r="CL830" s="838"/>
      <c r="CM830" s="838"/>
      <c r="CN830" s="838"/>
      <c r="CO830" s="838"/>
      <c r="CP830" s="838"/>
      <c r="CQ830" s="838"/>
      <c r="CR830" s="838"/>
      <c r="CS830" s="838"/>
      <c r="CT830" s="838"/>
      <c r="CU830" s="838"/>
    </row>
    <row r="831">
      <c r="A831" s="834"/>
      <c r="B831" s="834"/>
      <c r="C831" s="834"/>
      <c r="D831" s="834"/>
      <c r="E831" s="834"/>
      <c r="F831" s="834"/>
      <c r="G831" s="834"/>
      <c r="H831" s="834"/>
      <c r="I831" s="834"/>
      <c r="J831" s="834"/>
      <c r="K831" s="834"/>
      <c r="L831" s="834"/>
      <c r="M831" s="834"/>
      <c r="N831" s="834"/>
      <c r="O831" s="834"/>
      <c r="P831" s="834"/>
      <c r="Q831" s="834"/>
      <c r="R831" s="834"/>
      <c r="S831" s="834"/>
      <c r="T831" s="834"/>
      <c r="U831" s="834"/>
      <c r="V831" s="834"/>
      <c r="W831" s="834"/>
      <c r="X831" s="834"/>
      <c r="Y831" s="834"/>
      <c r="Z831" s="834"/>
      <c r="AA831" s="834"/>
      <c r="AB831" s="834"/>
      <c r="AC831" s="834"/>
      <c r="AD831" s="834"/>
      <c r="AE831" s="834"/>
      <c r="AF831" s="834"/>
      <c r="AG831" s="834"/>
      <c r="AH831" s="834"/>
      <c r="AJ831" s="836"/>
      <c r="AK831" s="836"/>
      <c r="AL831" s="836"/>
      <c r="AM831" s="836"/>
      <c r="AN831" s="836"/>
      <c r="AO831" s="836"/>
      <c r="AP831" s="836"/>
      <c r="AQ831" s="836"/>
      <c r="AR831" s="836"/>
      <c r="AS831" s="836"/>
      <c r="AT831" s="836"/>
      <c r="AU831" s="836"/>
      <c r="AV831" s="836"/>
      <c r="AW831" s="836"/>
      <c r="AX831" s="836"/>
      <c r="AY831" s="836"/>
      <c r="AZ831" s="836"/>
      <c r="BA831" s="836"/>
      <c r="BB831" s="836"/>
      <c r="BC831" s="836"/>
      <c r="BD831" s="836"/>
      <c r="BE831" s="836"/>
      <c r="BF831" s="836"/>
      <c r="BG831" s="836"/>
      <c r="BH831" s="836"/>
      <c r="BI831" s="836"/>
      <c r="BJ831" s="836"/>
      <c r="BK831" s="836"/>
      <c r="BL831" s="836"/>
      <c r="BM831" s="836"/>
      <c r="BN831" s="836"/>
      <c r="BO831" s="836"/>
      <c r="BP831" s="836"/>
      <c r="BR831" s="838"/>
      <c r="BS831" s="838"/>
      <c r="BT831" s="838"/>
      <c r="BU831" s="838"/>
      <c r="BV831" s="838"/>
      <c r="BW831" s="838"/>
      <c r="BX831" s="838"/>
      <c r="BY831" s="838"/>
      <c r="BZ831" s="838"/>
      <c r="CA831" s="838"/>
      <c r="CB831" s="838"/>
      <c r="CC831" s="838"/>
      <c r="CD831" s="838"/>
      <c r="CE831" s="838"/>
      <c r="CF831" s="838"/>
      <c r="CG831" s="838"/>
      <c r="CH831" s="838"/>
      <c r="CI831" s="838"/>
      <c r="CJ831" s="838"/>
      <c r="CK831" s="838"/>
      <c r="CL831" s="838"/>
      <c r="CM831" s="838"/>
      <c r="CN831" s="838"/>
      <c r="CO831" s="838"/>
      <c r="CP831" s="838"/>
      <c r="CQ831" s="838"/>
      <c r="CR831" s="838"/>
      <c r="CS831" s="838"/>
      <c r="CT831" s="838"/>
      <c r="CU831" s="838"/>
    </row>
    <row r="832">
      <c r="A832" s="834"/>
      <c r="B832" s="834"/>
      <c r="C832" s="834"/>
      <c r="D832" s="834"/>
      <c r="E832" s="834"/>
      <c r="F832" s="834"/>
      <c r="G832" s="834"/>
      <c r="H832" s="834"/>
      <c r="I832" s="834"/>
      <c r="J832" s="834"/>
      <c r="K832" s="834"/>
      <c r="L832" s="834"/>
      <c r="M832" s="834"/>
      <c r="N832" s="834"/>
      <c r="O832" s="834"/>
      <c r="P832" s="834"/>
      <c r="Q832" s="834"/>
      <c r="R832" s="834"/>
      <c r="S832" s="834"/>
      <c r="T832" s="834"/>
      <c r="U832" s="834"/>
      <c r="V832" s="834"/>
      <c r="W832" s="834"/>
      <c r="X832" s="834"/>
      <c r="Y832" s="834"/>
      <c r="Z832" s="834"/>
      <c r="AA832" s="834"/>
      <c r="AB832" s="834"/>
      <c r="AC832" s="834"/>
      <c r="AD832" s="834"/>
      <c r="AE832" s="834"/>
      <c r="AF832" s="834"/>
      <c r="AG832" s="834"/>
      <c r="AH832" s="834"/>
      <c r="AJ832" s="836"/>
      <c r="AK832" s="836"/>
      <c r="AL832" s="836"/>
      <c r="AM832" s="836"/>
      <c r="AN832" s="836"/>
      <c r="AO832" s="836"/>
      <c r="AP832" s="836"/>
      <c r="AQ832" s="836"/>
      <c r="AR832" s="836"/>
      <c r="AS832" s="836"/>
      <c r="AT832" s="836"/>
      <c r="AU832" s="836"/>
      <c r="AV832" s="836"/>
      <c r="AW832" s="836"/>
      <c r="AX832" s="836"/>
      <c r="AY832" s="836"/>
      <c r="AZ832" s="836"/>
      <c r="BA832" s="836"/>
      <c r="BB832" s="836"/>
      <c r="BC832" s="836"/>
      <c r="BD832" s="836"/>
      <c r="BE832" s="836"/>
      <c r="BF832" s="836"/>
      <c r="BG832" s="836"/>
      <c r="BH832" s="836"/>
      <c r="BI832" s="836"/>
      <c r="BJ832" s="836"/>
      <c r="BK832" s="836"/>
      <c r="BL832" s="836"/>
      <c r="BM832" s="836"/>
      <c r="BN832" s="836"/>
      <c r="BO832" s="836"/>
      <c r="BP832" s="836"/>
      <c r="BR832" s="838"/>
      <c r="BS832" s="838"/>
      <c r="BT832" s="838"/>
      <c r="BU832" s="838"/>
      <c r="BV832" s="838"/>
      <c r="BW832" s="838"/>
      <c r="BX832" s="838"/>
      <c r="BY832" s="838"/>
      <c r="BZ832" s="838"/>
      <c r="CA832" s="838"/>
      <c r="CB832" s="838"/>
      <c r="CC832" s="838"/>
      <c r="CD832" s="838"/>
      <c r="CE832" s="838"/>
      <c r="CF832" s="838"/>
      <c r="CG832" s="838"/>
      <c r="CH832" s="838"/>
      <c r="CI832" s="838"/>
      <c r="CJ832" s="838"/>
      <c r="CK832" s="838"/>
      <c r="CL832" s="838"/>
      <c r="CM832" s="838"/>
      <c r="CN832" s="838"/>
      <c r="CO832" s="838"/>
      <c r="CP832" s="838"/>
      <c r="CQ832" s="838"/>
      <c r="CR832" s="838"/>
      <c r="CS832" s="838"/>
      <c r="CT832" s="838"/>
      <c r="CU832" s="838"/>
    </row>
    <row r="833">
      <c r="A833" s="834"/>
      <c r="B833" s="834"/>
      <c r="C833" s="834"/>
      <c r="D833" s="834"/>
      <c r="E833" s="834"/>
      <c r="F833" s="834"/>
      <c r="G833" s="834"/>
      <c r="H833" s="834"/>
      <c r="I833" s="834"/>
      <c r="J833" s="834"/>
      <c r="K833" s="834"/>
      <c r="L833" s="834"/>
      <c r="M833" s="834"/>
      <c r="N833" s="834"/>
      <c r="O833" s="834"/>
      <c r="P833" s="834"/>
      <c r="Q833" s="834"/>
      <c r="R833" s="834"/>
      <c r="S833" s="834"/>
      <c r="T833" s="834"/>
      <c r="U833" s="834"/>
      <c r="V833" s="834"/>
      <c r="W833" s="834"/>
      <c r="X833" s="834"/>
      <c r="Y833" s="834"/>
      <c r="Z833" s="834"/>
      <c r="AA833" s="834"/>
      <c r="AB833" s="834"/>
      <c r="AC833" s="834"/>
      <c r="AD833" s="834"/>
      <c r="AE833" s="834"/>
      <c r="AF833" s="834"/>
      <c r="AG833" s="834"/>
      <c r="AH833" s="834"/>
      <c r="AJ833" s="836"/>
      <c r="AK833" s="836"/>
      <c r="AL833" s="836"/>
      <c r="AM833" s="836"/>
      <c r="AN833" s="836"/>
      <c r="AO833" s="836"/>
      <c r="AP833" s="836"/>
      <c r="AQ833" s="836"/>
      <c r="AR833" s="836"/>
      <c r="AS833" s="836"/>
      <c r="AT833" s="836"/>
      <c r="AU833" s="836"/>
      <c r="AV833" s="836"/>
      <c r="AW833" s="836"/>
      <c r="AX833" s="836"/>
      <c r="AY833" s="836"/>
      <c r="AZ833" s="836"/>
      <c r="BA833" s="836"/>
      <c r="BB833" s="836"/>
      <c r="BC833" s="836"/>
      <c r="BD833" s="836"/>
      <c r="BE833" s="836"/>
      <c r="BF833" s="836"/>
      <c r="BG833" s="836"/>
      <c r="BH833" s="836"/>
      <c r="BI833" s="836"/>
      <c r="BJ833" s="836"/>
      <c r="BK833" s="836"/>
      <c r="BL833" s="836"/>
      <c r="BM833" s="836"/>
      <c r="BN833" s="836"/>
      <c r="BO833" s="836"/>
      <c r="BP833" s="836"/>
      <c r="BR833" s="838"/>
      <c r="BS833" s="838"/>
      <c r="BT833" s="838"/>
      <c r="BU833" s="838"/>
      <c r="BV833" s="838"/>
      <c r="BW833" s="838"/>
      <c r="BX833" s="838"/>
      <c r="BY833" s="838"/>
      <c r="BZ833" s="838"/>
      <c r="CA833" s="838"/>
      <c r="CB833" s="838"/>
      <c r="CC833" s="838"/>
      <c r="CD833" s="838"/>
      <c r="CE833" s="838"/>
      <c r="CF833" s="838"/>
      <c r="CG833" s="838"/>
      <c r="CH833" s="838"/>
      <c r="CI833" s="838"/>
      <c r="CJ833" s="838"/>
      <c r="CK833" s="838"/>
      <c r="CL833" s="838"/>
      <c r="CM833" s="838"/>
      <c r="CN833" s="838"/>
      <c r="CO833" s="838"/>
      <c r="CP833" s="838"/>
      <c r="CQ833" s="838"/>
      <c r="CR833" s="838"/>
      <c r="CS833" s="838"/>
      <c r="CT833" s="838"/>
      <c r="CU833" s="838"/>
    </row>
    <row r="834">
      <c r="A834" s="834"/>
      <c r="B834" s="834"/>
      <c r="C834" s="834"/>
      <c r="D834" s="834"/>
      <c r="E834" s="834"/>
      <c r="F834" s="834"/>
      <c r="G834" s="834"/>
      <c r="H834" s="834"/>
      <c r="I834" s="834"/>
      <c r="J834" s="834"/>
      <c r="K834" s="834"/>
      <c r="L834" s="834"/>
      <c r="M834" s="834"/>
      <c r="N834" s="834"/>
      <c r="O834" s="834"/>
      <c r="P834" s="834"/>
      <c r="Q834" s="834"/>
      <c r="R834" s="834"/>
      <c r="S834" s="834"/>
      <c r="T834" s="834"/>
      <c r="U834" s="834"/>
      <c r="V834" s="834"/>
      <c r="W834" s="834"/>
      <c r="X834" s="834"/>
      <c r="Y834" s="834"/>
      <c r="Z834" s="834"/>
      <c r="AA834" s="834"/>
      <c r="AB834" s="834"/>
      <c r="AC834" s="834"/>
      <c r="AD834" s="834"/>
      <c r="AE834" s="834"/>
      <c r="AF834" s="834"/>
      <c r="AG834" s="834"/>
      <c r="AH834" s="834"/>
      <c r="AJ834" s="836"/>
      <c r="AK834" s="836"/>
      <c r="AL834" s="836"/>
      <c r="AM834" s="836"/>
      <c r="AN834" s="836"/>
      <c r="AO834" s="836"/>
      <c r="AP834" s="836"/>
      <c r="AQ834" s="836"/>
      <c r="AR834" s="836"/>
      <c r="AS834" s="836"/>
      <c r="AT834" s="836"/>
      <c r="AU834" s="836"/>
      <c r="AV834" s="836"/>
      <c r="AW834" s="836"/>
      <c r="AX834" s="836"/>
      <c r="AY834" s="836"/>
      <c r="AZ834" s="836"/>
      <c r="BA834" s="836"/>
      <c r="BB834" s="836"/>
      <c r="BC834" s="836"/>
      <c r="BD834" s="836"/>
      <c r="BE834" s="836"/>
      <c r="BF834" s="836"/>
      <c r="BG834" s="836"/>
      <c r="BH834" s="836"/>
      <c r="BI834" s="836"/>
      <c r="BJ834" s="836"/>
      <c r="BK834" s="836"/>
      <c r="BL834" s="836"/>
      <c r="BM834" s="836"/>
      <c r="BN834" s="836"/>
      <c r="BO834" s="836"/>
      <c r="BP834" s="836"/>
      <c r="BR834" s="838"/>
      <c r="BS834" s="838"/>
      <c r="BT834" s="838"/>
      <c r="BU834" s="838"/>
      <c r="BV834" s="838"/>
      <c r="BW834" s="838"/>
      <c r="BX834" s="838"/>
      <c r="BY834" s="838"/>
      <c r="BZ834" s="838"/>
      <c r="CA834" s="838"/>
      <c r="CB834" s="838"/>
      <c r="CC834" s="838"/>
      <c r="CD834" s="838"/>
      <c r="CE834" s="838"/>
      <c r="CF834" s="838"/>
      <c r="CG834" s="838"/>
      <c r="CH834" s="838"/>
      <c r="CI834" s="838"/>
      <c r="CJ834" s="838"/>
      <c r="CK834" s="838"/>
      <c r="CL834" s="838"/>
      <c r="CM834" s="838"/>
      <c r="CN834" s="838"/>
      <c r="CO834" s="838"/>
      <c r="CP834" s="838"/>
      <c r="CQ834" s="838"/>
      <c r="CR834" s="838"/>
      <c r="CS834" s="838"/>
      <c r="CT834" s="838"/>
      <c r="CU834" s="838"/>
    </row>
    <row r="835">
      <c r="A835" s="834"/>
      <c r="B835" s="834"/>
      <c r="C835" s="834"/>
      <c r="D835" s="834"/>
      <c r="E835" s="834"/>
      <c r="F835" s="834"/>
      <c r="G835" s="834"/>
      <c r="H835" s="834"/>
      <c r="I835" s="834"/>
      <c r="J835" s="834"/>
      <c r="K835" s="834"/>
      <c r="L835" s="834"/>
      <c r="M835" s="834"/>
      <c r="N835" s="834"/>
      <c r="O835" s="834"/>
      <c r="P835" s="834"/>
      <c r="Q835" s="834"/>
      <c r="R835" s="834"/>
      <c r="S835" s="834"/>
      <c r="T835" s="834"/>
      <c r="U835" s="834"/>
      <c r="V835" s="834"/>
      <c r="W835" s="834"/>
      <c r="X835" s="834"/>
      <c r="Y835" s="834"/>
      <c r="Z835" s="834"/>
      <c r="AA835" s="834"/>
      <c r="AB835" s="834"/>
      <c r="AC835" s="834"/>
      <c r="AD835" s="834"/>
      <c r="AE835" s="834"/>
      <c r="AF835" s="834"/>
      <c r="AG835" s="834"/>
      <c r="AH835" s="834"/>
      <c r="AJ835" s="836"/>
      <c r="AK835" s="836"/>
      <c r="AL835" s="836"/>
      <c r="AM835" s="836"/>
      <c r="AN835" s="836"/>
      <c r="AO835" s="836"/>
      <c r="AP835" s="836"/>
      <c r="AQ835" s="836"/>
      <c r="AR835" s="836"/>
      <c r="AS835" s="836"/>
      <c r="AT835" s="836"/>
      <c r="AU835" s="836"/>
      <c r="AV835" s="836"/>
      <c r="AW835" s="836"/>
      <c r="AX835" s="836"/>
      <c r="AY835" s="836"/>
      <c r="AZ835" s="836"/>
      <c r="BA835" s="836"/>
      <c r="BB835" s="836"/>
      <c r="BC835" s="836"/>
      <c r="BD835" s="836"/>
      <c r="BE835" s="836"/>
      <c r="BF835" s="836"/>
      <c r="BG835" s="836"/>
      <c r="BH835" s="836"/>
      <c r="BI835" s="836"/>
      <c r="BJ835" s="836"/>
      <c r="BK835" s="836"/>
      <c r="BL835" s="836"/>
      <c r="BM835" s="836"/>
      <c r="BN835" s="836"/>
      <c r="BO835" s="836"/>
      <c r="BP835" s="836"/>
      <c r="BR835" s="838"/>
      <c r="BS835" s="838"/>
      <c r="BT835" s="838"/>
      <c r="BU835" s="838"/>
      <c r="BV835" s="838"/>
      <c r="BW835" s="838"/>
      <c r="BX835" s="838"/>
      <c r="BY835" s="838"/>
      <c r="BZ835" s="838"/>
      <c r="CA835" s="838"/>
      <c r="CB835" s="838"/>
      <c r="CC835" s="838"/>
      <c r="CD835" s="838"/>
      <c r="CE835" s="838"/>
      <c r="CF835" s="838"/>
      <c r="CG835" s="838"/>
      <c r="CH835" s="838"/>
      <c r="CI835" s="838"/>
      <c r="CJ835" s="838"/>
      <c r="CK835" s="838"/>
      <c r="CL835" s="838"/>
      <c r="CM835" s="838"/>
      <c r="CN835" s="838"/>
      <c r="CO835" s="838"/>
      <c r="CP835" s="838"/>
      <c r="CQ835" s="838"/>
      <c r="CR835" s="838"/>
      <c r="CS835" s="838"/>
      <c r="CT835" s="838"/>
      <c r="CU835" s="838"/>
    </row>
    <row r="836">
      <c r="A836" s="834"/>
      <c r="B836" s="834"/>
      <c r="C836" s="834"/>
      <c r="D836" s="834"/>
      <c r="E836" s="834"/>
      <c r="F836" s="834"/>
      <c r="G836" s="834"/>
      <c r="H836" s="834"/>
      <c r="I836" s="834"/>
      <c r="J836" s="834"/>
      <c r="K836" s="834"/>
      <c r="L836" s="834"/>
      <c r="M836" s="834"/>
      <c r="N836" s="834"/>
      <c r="O836" s="834"/>
      <c r="P836" s="834"/>
      <c r="Q836" s="834"/>
      <c r="R836" s="834"/>
      <c r="S836" s="834"/>
      <c r="T836" s="834"/>
      <c r="U836" s="834"/>
      <c r="V836" s="834"/>
      <c r="W836" s="834"/>
      <c r="X836" s="834"/>
      <c r="Y836" s="834"/>
      <c r="Z836" s="834"/>
      <c r="AA836" s="834"/>
      <c r="AB836" s="834"/>
      <c r="AC836" s="834"/>
      <c r="AD836" s="834"/>
      <c r="AE836" s="834"/>
      <c r="AF836" s="834"/>
      <c r="AG836" s="834"/>
      <c r="AH836" s="834"/>
      <c r="AJ836" s="836"/>
      <c r="AK836" s="836"/>
      <c r="AL836" s="836"/>
      <c r="AM836" s="836"/>
      <c r="AN836" s="836"/>
      <c r="AO836" s="836"/>
      <c r="AP836" s="836"/>
      <c r="AQ836" s="836"/>
      <c r="AR836" s="836"/>
      <c r="AS836" s="836"/>
      <c r="AT836" s="836"/>
      <c r="AU836" s="836"/>
      <c r="AV836" s="836"/>
      <c r="AW836" s="836"/>
      <c r="AX836" s="836"/>
      <c r="AY836" s="836"/>
      <c r="AZ836" s="836"/>
      <c r="BA836" s="836"/>
      <c r="BB836" s="836"/>
      <c r="BC836" s="836"/>
      <c r="BD836" s="836"/>
      <c r="BE836" s="836"/>
      <c r="BF836" s="836"/>
      <c r="BG836" s="836"/>
      <c r="BH836" s="836"/>
      <c r="BI836" s="836"/>
      <c r="BJ836" s="836"/>
      <c r="BK836" s="836"/>
      <c r="BL836" s="836"/>
      <c r="BM836" s="836"/>
      <c r="BN836" s="836"/>
      <c r="BO836" s="836"/>
      <c r="BP836" s="836"/>
      <c r="BR836" s="838"/>
      <c r="BS836" s="838"/>
      <c r="BT836" s="838"/>
      <c r="BU836" s="838"/>
      <c r="BV836" s="838"/>
      <c r="BW836" s="838"/>
      <c r="BX836" s="838"/>
      <c r="BY836" s="838"/>
      <c r="BZ836" s="838"/>
      <c r="CA836" s="838"/>
      <c r="CB836" s="838"/>
      <c r="CC836" s="838"/>
      <c r="CD836" s="838"/>
      <c r="CE836" s="838"/>
      <c r="CF836" s="838"/>
      <c r="CG836" s="838"/>
      <c r="CH836" s="838"/>
      <c r="CI836" s="838"/>
      <c r="CJ836" s="838"/>
      <c r="CK836" s="838"/>
      <c r="CL836" s="838"/>
      <c r="CM836" s="838"/>
      <c r="CN836" s="838"/>
      <c r="CO836" s="838"/>
      <c r="CP836" s="838"/>
      <c r="CQ836" s="838"/>
      <c r="CR836" s="838"/>
      <c r="CS836" s="838"/>
      <c r="CT836" s="838"/>
      <c r="CU836" s="838"/>
    </row>
    <row r="837">
      <c r="A837" s="834"/>
      <c r="B837" s="834"/>
      <c r="C837" s="834"/>
      <c r="D837" s="834"/>
      <c r="E837" s="834"/>
      <c r="F837" s="834"/>
      <c r="G837" s="834"/>
      <c r="H837" s="834"/>
      <c r="I837" s="834"/>
      <c r="J837" s="834"/>
      <c r="K837" s="834"/>
      <c r="L837" s="834"/>
      <c r="M837" s="834"/>
      <c r="N837" s="834"/>
      <c r="O837" s="834"/>
      <c r="P837" s="834"/>
      <c r="Q837" s="834"/>
      <c r="R837" s="834"/>
      <c r="S837" s="834"/>
      <c r="T837" s="834"/>
      <c r="U837" s="834"/>
      <c r="V837" s="834"/>
      <c r="W837" s="834"/>
      <c r="X837" s="834"/>
      <c r="Y837" s="834"/>
      <c r="Z837" s="834"/>
      <c r="AA837" s="834"/>
      <c r="AB837" s="834"/>
      <c r="AC837" s="834"/>
      <c r="AD837" s="834"/>
      <c r="AE837" s="834"/>
      <c r="AF837" s="834"/>
      <c r="AG837" s="834"/>
      <c r="AH837" s="834"/>
      <c r="AJ837" s="836"/>
      <c r="AK837" s="836"/>
      <c r="AL837" s="836"/>
      <c r="AM837" s="836"/>
      <c r="AN837" s="836"/>
      <c r="AO837" s="836"/>
      <c r="AP837" s="836"/>
      <c r="AQ837" s="836"/>
      <c r="AR837" s="836"/>
      <c r="AS837" s="836"/>
      <c r="AT837" s="836"/>
      <c r="AU837" s="836"/>
      <c r="AV837" s="836"/>
      <c r="AW837" s="836"/>
      <c r="AX837" s="836"/>
      <c r="AY837" s="836"/>
      <c r="AZ837" s="836"/>
      <c r="BA837" s="836"/>
      <c r="BB837" s="836"/>
      <c r="BC837" s="836"/>
      <c r="BD837" s="836"/>
      <c r="BE837" s="836"/>
      <c r="BF837" s="836"/>
      <c r="BG837" s="836"/>
      <c r="BH837" s="836"/>
      <c r="BI837" s="836"/>
      <c r="BJ837" s="836"/>
      <c r="BK837" s="836"/>
      <c r="BL837" s="836"/>
      <c r="BM837" s="836"/>
      <c r="BN837" s="836"/>
      <c r="BO837" s="836"/>
      <c r="BP837" s="836"/>
      <c r="BR837" s="838"/>
      <c r="BS837" s="838"/>
      <c r="BT837" s="838"/>
      <c r="BU837" s="838"/>
      <c r="BV837" s="838"/>
      <c r="BW837" s="838"/>
      <c r="BX837" s="838"/>
      <c r="BY837" s="838"/>
      <c r="BZ837" s="838"/>
      <c r="CA837" s="838"/>
      <c r="CB837" s="838"/>
      <c r="CC837" s="838"/>
      <c r="CD837" s="838"/>
      <c r="CE837" s="838"/>
      <c r="CF837" s="838"/>
      <c r="CG837" s="838"/>
      <c r="CH837" s="838"/>
      <c r="CI837" s="838"/>
      <c r="CJ837" s="838"/>
      <c r="CK837" s="838"/>
      <c r="CL837" s="838"/>
      <c r="CM837" s="838"/>
      <c r="CN837" s="838"/>
      <c r="CO837" s="838"/>
      <c r="CP837" s="838"/>
      <c r="CQ837" s="838"/>
      <c r="CR837" s="838"/>
      <c r="CS837" s="838"/>
      <c r="CT837" s="838"/>
      <c r="CU837" s="838"/>
    </row>
    <row r="838">
      <c r="A838" s="834"/>
      <c r="B838" s="834"/>
      <c r="C838" s="834"/>
      <c r="D838" s="834"/>
      <c r="E838" s="834"/>
      <c r="F838" s="834"/>
      <c r="G838" s="834"/>
      <c r="H838" s="834"/>
      <c r="I838" s="834"/>
      <c r="J838" s="834"/>
      <c r="K838" s="834"/>
      <c r="L838" s="834"/>
      <c r="M838" s="834"/>
      <c r="N838" s="834"/>
      <c r="O838" s="834"/>
      <c r="P838" s="834"/>
      <c r="Q838" s="834"/>
      <c r="R838" s="834"/>
      <c r="S838" s="834"/>
      <c r="T838" s="834"/>
      <c r="U838" s="834"/>
      <c r="V838" s="834"/>
      <c r="W838" s="834"/>
      <c r="X838" s="834"/>
      <c r="Y838" s="834"/>
      <c r="Z838" s="834"/>
      <c r="AA838" s="834"/>
      <c r="AB838" s="834"/>
      <c r="AC838" s="834"/>
      <c r="AD838" s="834"/>
      <c r="AE838" s="834"/>
      <c r="AF838" s="834"/>
      <c r="AG838" s="834"/>
      <c r="AH838" s="834"/>
      <c r="AJ838" s="836"/>
      <c r="AK838" s="836"/>
      <c r="AL838" s="836"/>
      <c r="AM838" s="836"/>
      <c r="AN838" s="836"/>
      <c r="AO838" s="836"/>
      <c r="AP838" s="836"/>
      <c r="AQ838" s="836"/>
      <c r="AR838" s="836"/>
      <c r="AS838" s="836"/>
      <c r="AT838" s="836"/>
      <c r="AU838" s="836"/>
      <c r="AV838" s="836"/>
      <c r="AW838" s="836"/>
      <c r="AX838" s="836"/>
      <c r="AY838" s="836"/>
      <c r="AZ838" s="836"/>
      <c r="BA838" s="836"/>
      <c r="BB838" s="836"/>
      <c r="BC838" s="836"/>
      <c r="BD838" s="836"/>
      <c r="BE838" s="836"/>
      <c r="BF838" s="836"/>
      <c r="BG838" s="836"/>
      <c r="BH838" s="836"/>
      <c r="BI838" s="836"/>
      <c r="BJ838" s="836"/>
      <c r="BK838" s="836"/>
      <c r="BL838" s="836"/>
      <c r="BM838" s="836"/>
      <c r="BN838" s="836"/>
      <c r="BO838" s="836"/>
      <c r="BP838" s="836"/>
      <c r="BR838" s="838"/>
      <c r="BS838" s="838"/>
      <c r="BT838" s="838"/>
      <c r="BU838" s="838"/>
      <c r="BV838" s="838"/>
      <c r="BW838" s="838"/>
      <c r="BX838" s="838"/>
      <c r="BY838" s="838"/>
      <c r="BZ838" s="838"/>
      <c r="CA838" s="838"/>
      <c r="CB838" s="838"/>
      <c r="CC838" s="838"/>
      <c r="CD838" s="838"/>
      <c r="CE838" s="838"/>
      <c r="CF838" s="838"/>
      <c r="CG838" s="838"/>
      <c r="CH838" s="838"/>
      <c r="CI838" s="838"/>
      <c r="CJ838" s="838"/>
      <c r="CK838" s="838"/>
      <c r="CL838" s="838"/>
      <c r="CM838" s="838"/>
      <c r="CN838" s="838"/>
      <c r="CO838" s="838"/>
      <c r="CP838" s="838"/>
      <c r="CQ838" s="838"/>
      <c r="CR838" s="838"/>
      <c r="CS838" s="838"/>
      <c r="CT838" s="838"/>
      <c r="CU838" s="838"/>
    </row>
    <row r="839">
      <c r="A839" s="834"/>
      <c r="B839" s="834"/>
      <c r="C839" s="834"/>
      <c r="D839" s="834"/>
      <c r="E839" s="834"/>
      <c r="F839" s="834"/>
      <c r="G839" s="834"/>
      <c r="H839" s="834"/>
      <c r="I839" s="834"/>
      <c r="J839" s="834"/>
      <c r="K839" s="834"/>
      <c r="L839" s="834"/>
      <c r="M839" s="834"/>
      <c r="N839" s="834"/>
      <c r="O839" s="834"/>
      <c r="P839" s="834"/>
      <c r="Q839" s="834"/>
      <c r="R839" s="834"/>
      <c r="S839" s="834"/>
      <c r="T839" s="834"/>
      <c r="U839" s="834"/>
      <c r="V839" s="834"/>
      <c r="W839" s="834"/>
      <c r="X839" s="834"/>
      <c r="Y839" s="834"/>
      <c r="Z839" s="834"/>
      <c r="AA839" s="834"/>
      <c r="AB839" s="834"/>
      <c r="AC839" s="834"/>
      <c r="AD839" s="834"/>
      <c r="AE839" s="834"/>
      <c r="AF839" s="834"/>
      <c r="AG839" s="834"/>
      <c r="AH839" s="834"/>
      <c r="AJ839" s="836"/>
      <c r="AK839" s="836"/>
      <c r="AL839" s="836"/>
      <c r="AM839" s="836"/>
      <c r="AN839" s="836"/>
      <c r="AO839" s="836"/>
      <c r="AP839" s="836"/>
      <c r="AQ839" s="836"/>
      <c r="AR839" s="836"/>
      <c r="AS839" s="836"/>
      <c r="AT839" s="836"/>
      <c r="AU839" s="836"/>
      <c r="AV839" s="836"/>
      <c r="AW839" s="836"/>
      <c r="AX839" s="836"/>
      <c r="AY839" s="836"/>
      <c r="AZ839" s="836"/>
      <c r="BA839" s="836"/>
      <c r="BB839" s="836"/>
      <c r="BC839" s="836"/>
      <c r="BD839" s="836"/>
      <c r="BE839" s="836"/>
      <c r="BF839" s="836"/>
      <c r="BG839" s="836"/>
      <c r="BH839" s="836"/>
      <c r="BI839" s="836"/>
      <c r="BJ839" s="836"/>
      <c r="BK839" s="836"/>
      <c r="BL839" s="836"/>
      <c r="BM839" s="836"/>
      <c r="BN839" s="836"/>
      <c r="BO839" s="836"/>
      <c r="BP839" s="836"/>
      <c r="BR839" s="838"/>
      <c r="BS839" s="838"/>
      <c r="BT839" s="838"/>
      <c r="BU839" s="838"/>
      <c r="BV839" s="838"/>
      <c r="BW839" s="838"/>
      <c r="BX839" s="838"/>
      <c r="BY839" s="838"/>
      <c r="BZ839" s="838"/>
      <c r="CA839" s="838"/>
      <c r="CB839" s="838"/>
      <c r="CC839" s="838"/>
      <c r="CD839" s="838"/>
      <c r="CE839" s="838"/>
      <c r="CF839" s="838"/>
      <c r="CG839" s="838"/>
      <c r="CH839" s="838"/>
      <c r="CI839" s="838"/>
      <c r="CJ839" s="838"/>
      <c r="CK839" s="838"/>
      <c r="CL839" s="838"/>
      <c r="CM839" s="838"/>
      <c r="CN839" s="838"/>
      <c r="CO839" s="838"/>
      <c r="CP839" s="838"/>
      <c r="CQ839" s="838"/>
      <c r="CR839" s="838"/>
      <c r="CS839" s="838"/>
      <c r="CT839" s="838"/>
      <c r="CU839" s="838"/>
    </row>
    <row r="840">
      <c r="A840" s="834"/>
      <c r="B840" s="834"/>
      <c r="C840" s="834"/>
      <c r="D840" s="834"/>
      <c r="E840" s="834"/>
      <c r="F840" s="834"/>
      <c r="G840" s="834"/>
      <c r="H840" s="834"/>
      <c r="I840" s="834"/>
      <c r="J840" s="834"/>
      <c r="K840" s="834"/>
      <c r="L840" s="834"/>
      <c r="M840" s="834"/>
      <c r="N840" s="834"/>
      <c r="O840" s="834"/>
      <c r="P840" s="834"/>
      <c r="Q840" s="834"/>
      <c r="R840" s="834"/>
      <c r="S840" s="834"/>
      <c r="T840" s="834"/>
      <c r="U840" s="834"/>
      <c r="V840" s="834"/>
      <c r="W840" s="834"/>
      <c r="X840" s="834"/>
      <c r="Y840" s="834"/>
      <c r="Z840" s="834"/>
      <c r="AA840" s="834"/>
      <c r="AB840" s="834"/>
      <c r="AC840" s="834"/>
      <c r="AD840" s="834"/>
      <c r="AE840" s="834"/>
      <c r="AF840" s="834"/>
      <c r="AG840" s="834"/>
      <c r="AH840" s="834"/>
      <c r="AJ840" s="836"/>
      <c r="AK840" s="836"/>
      <c r="AL840" s="836"/>
      <c r="AM840" s="836"/>
      <c r="AN840" s="836"/>
      <c r="AO840" s="836"/>
      <c r="AP840" s="836"/>
      <c r="AQ840" s="836"/>
      <c r="AR840" s="836"/>
      <c r="AS840" s="836"/>
      <c r="AT840" s="836"/>
      <c r="AU840" s="836"/>
      <c r="AV840" s="836"/>
      <c r="AW840" s="836"/>
      <c r="AX840" s="836"/>
      <c r="AY840" s="836"/>
      <c r="AZ840" s="836"/>
      <c r="BA840" s="836"/>
      <c r="BB840" s="836"/>
      <c r="BC840" s="836"/>
      <c r="BD840" s="836"/>
      <c r="BE840" s="836"/>
      <c r="BF840" s="836"/>
      <c r="BG840" s="836"/>
      <c r="BH840" s="836"/>
      <c r="BI840" s="836"/>
      <c r="BJ840" s="836"/>
      <c r="BK840" s="836"/>
      <c r="BL840" s="836"/>
      <c r="BM840" s="836"/>
      <c r="BN840" s="836"/>
      <c r="BO840" s="836"/>
      <c r="BP840" s="836"/>
      <c r="BR840" s="838"/>
      <c r="BS840" s="838"/>
      <c r="BT840" s="838"/>
      <c r="BU840" s="838"/>
      <c r="BV840" s="838"/>
      <c r="BW840" s="838"/>
      <c r="BX840" s="838"/>
      <c r="BY840" s="838"/>
      <c r="BZ840" s="838"/>
      <c r="CA840" s="838"/>
      <c r="CB840" s="838"/>
      <c r="CC840" s="838"/>
      <c r="CD840" s="838"/>
      <c r="CE840" s="838"/>
      <c r="CF840" s="838"/>
      <c r="CG840" s="838"/>
      <c r="CH840" s="838"/>
      <c r="CI840" s="838"/>
      <c r="CJ840" s="838"/>
      <c r="CK840" s="838"/>
      <c r="CL840" s="838"/>
      <c r="CM840" s="838"/>
      <c r="CN840" s="838"/>
      <c r="CO840" s="838"/>
      <c r="CP840" s="838"/>
      <c r="CQ840" s="838"/>
      <c r="CR840" s="838"/>
      <c r="CS840" s="838"/>
      <c r="CT840" s="838"/>
      <c r="CU840" s="838"/>
    </row>
    <row r="841">
      <c r="A841" s="834"/>
      <c r="B841" s="834"/>
      <c r="C841" s="834"/>
      <c r="D841" s="834"/>
      <c r="E841" s="834"/>
      <c r="F841" s="834"/>
      <c r="G841" s="834"/>
      <c r="H841" s="834"/>
      <c r="I841" s="834"/>
      <c r="J841" s="834"/>
      <c r="K841" s="834"/>
      <c r="L841" s="834"/>
      <c r="M841" s="834"/>
      <c r="N841" s="834"/>
      <c r="O841" s="834"/>
      <c r="P841" s="834"/>
      <c r="Q841" s="834"/>
      <c r="R841" s="834"/>
      <c r="S841" s="834"/>
      <c r="T841" s="834"/>
      <c r="U841" s="834"/>
      <c r="V841" s="834"/>
      <c r="W841" s="834"/>
      <c r="X841" s="834"/>
      <c r="Y841" s="834"/>
      <c r="Z841" s="834"/>
      <c r="AA841" s="834"/>
      <c r="AB841" s="834"/>
      <c r="AC841" s="834"/>
      <c r="AD841" s="834"/>
      <c r="AE841" s="834"/>
      <c r="AF841" s="834"/>
      <c r="AG841" s="834"/>
      <c r="AH841" s="834"/>
      <c r="AJ841" s="836"/>
      <c r="AK841" s="836"/>
      <c r="AL841" s="836"/>
      <c r="AM841" s="836"/>
      <c r="AN841" s="836"/>
      <c r="AO841" s="836"/>
      <c r="AP841" s="836"/>
      <c r="AQ841" s="836"/>
      <c r="AR841" s="836"/>
      <c r="AS841" s="836"/>
      <c r="AT841" s="836"/>
      <c r="AU841" s="836"/>
      <c r="AV841" s="836"/>
      <c r="AW841" s="836"/>
      <c r="AX841" s="836"/>
      <c r="AY841" s="836"/>
      <c r="AZ841" s="836"/>
      <c r="BA841" s="836"/>
      <c r="BB841" s="836"/>
      <c r="BC841" s="836"/>
      <c r="BD841" s="836"/>
      <c r="BE841" s="836"/>
      <c r="BF841" s="836"/>
      <c r="BG841" s="836"/>
      <c r="BH841" s="836"/>
      <c r="BI841" s="836"/>
      <c r="BJ841" s="836"/>
      <c r="BK841" s="836"/>
      <c r="BL841" s="836"/>
      <c r="BM841" s="836"/>
      <c r="BN841" s="836"/>
      <c r="BO841" s="836"/>
      <c r="BP841" s="836"/>
      <c r="BR841" s="838"/>
      <c r="BS841" s="838"/>
      <c r="BT841" s="838"/>
      <c r="BU841" s="838"/>
      <c r="BV841" s="838"/>
      <c r="BW841" s="838"/>
      <c r="BX841" s="838"/>
      <c r="BY841" s="838"/>
      <c r="BZ841" s="838"/>
      <c r="CA841" s="838"/>
      <c r="CB841" s="838"/>
      <c r="CC841" s="838"/>
      <c r="CD841" s="838"/>
      <c r="CE841" s="838"/>
      <c r="CF841" s="838"/>
      <c r="CG841" s="838"/>
      <c r="CH841" s="838"/>
      <c r="CI841" s="838"/>
      <c r="CJ841" s="838"/>
      <c r="CK841" s="838"/>
      <c r="CL841" s="838"/>
      <c r="CM841" s="838"/>
      <c r="CN841" s="838"/>
      <c r="CO841" s="838"/>
      <c r="CP841" s="838"/>
      <c r="CQ841" s="838"/>
      <c r="CR841" s="838"/>
      <c r="CS841" s="838"/>
      <c r="CT841" s="838"/>
      <c r="CU841" s="838"/>
    </row>
    <row r="842">
      <c r="A842" s="834"/>
      <c r="B842" s="834"/>
      <c r="C842" s="834"/>
      <c r="D842" s="834"/>
      <c r="E842" s="834"/>
      <c r="F842" s="834"/>
      <c r="G842" s="834"/>
      <c r="H842" s="834"/>
      <c r="I842" s="834"/>
      <c r="J842" s="834"/>
      <c r="K842" s="834"/>
      <c r="L842" s="834"/>
      <c r="M842" s="834"/>
      <c r="N842" s="834"/>
      <c r="O842" s="834"/>
      <c r="P842" s="834"/>
      <c r="Q842" s="834"/>
      <c r="R842" s="834"/>
      <c r="S842" s="834"/>
      <c r="T842" s="834"/>
      <c r="U842" s="834"/>
      <c r="V842" s="834"/>
      <c r="W842" s="834"/>
      <c r="X842" s="834"/>
      <c r="Y842" s="834"/>
      <c r="Z842" s="834"/>
      <c r="AA842" s="834"/>
      <c r="AB842" s="834"/>
      <c r="AC842" s="834"/>
      <c r="AD842" s="834"/>
      <c r="AE842" s="834"/>
      <c r="AF842" s="834"/>
      <c r="AG842" s="834"/>
      <c r="AH842" s="834"/>
      <c r="AJ842" s="836"/>
      <c r="AK842" s="836"/>
      <c r="AL842" s="836"/>
      <c r="AM842" s="836"/>
      <c r="AN842" s="836"/>
      <c r="AO842" s="836"/>
      <c r="AP842" s="836"/>
      <c r="AQ842" s="836"/>
      <c r="AR842" s="836"/>
      <c r="AS842" s="836"/>
      <c r="AT842" s="836"/>
      <c r="AU842" s="836"/>
      <c r="AV842" s="836"/>
      <c r="AW842" s="836"/>
      <c r="AX842" s="836"/>
      <c r="AY842" s="836"/>
      <c r="AZ842" s="836"/>
      <c r="BA842" s="836"/>
      <c r="BB842" s="836"/>
      <c r="BC842" s="836"/>
      <c r="BD842" s="836"/>
      <c r="BE842" s="836"/>
      <c r="BF842" s="836"/>
      <c r="BG842" s="836"/>
      <c r="BH842" s="836"/>
      <c r="BI842" s="836"/>
      <c r="BJ842" s="836"/>
      <c r="BK842" s="836"/>
      <c r="BL842" s="836"/>
      <c r="BM842" s="836"/>
      <c r="BN842" s="836"/>
      <c r="BO842" s="836"/>
      <c r="BP842" s="836"/>
      <c r="BR842" s="838"/>
      <c r="BS842" s="838"/>
      <c r="BT842" s="838"/>
      <c r="BU842" s="838"/>
      <c r="BV842" s="838"/>
      <c r="BW842" s="838"/>
      <c r="BX842" s="838"/>
      <c r="BY842" s="838"/>
      <c r="BZ842" s="838"/>
      <c r="CA842" s="838"/>
      <c r="CB842" s="838"/>
      <c r="CC842" s="838"/>
      <c r="CD842" s="838"/>
      <c r="CE842" s="838"/>
      <c r="CF842" s="838"/>
      <c r="CG842" s="838"/>
      <c r="CH842" s="838"/>
      <c r="CI842" s="838"/>
      <c r="CJ842" s="838"/>
      <c r="CK842" s="838"/>
      <c r="CL842" s="838"/>
      <c r="CM842" s="838"/>
      <c r="CN842" s="838"/>
      <c r="CO842" s="838"/>
      <c r="CP842" s="838"/>
      <c r="CQ842" s="838"/>
      <c r="CR842" s="838"/>
      <c r="CS842" s="838"/>
      <c r="CT842" s="838"/>
      <c r="CU842" s="838"/>
    </row>
    <row r="843">
      <c r="A843" s="834"/>
      <c r="B843" s="834"/>
      <c r="C843" s="834"/>
      <c r="D843" s="834"/>
      <c r="E843" s="834"/>
      <c r="F843" s="834"/>
      <c r="G843" s="834"/>
      <c r="H843" s="834"/>
      <c r="I843" s="834"/>
      <c r="J843" s="834"/>
      <c r="K843" s="834"/>
      <c r="L843" s="834"/>
      <c r="M843" s="834"/>
      <c r="N843" s="834"/>
      <c r="O843" s="834"/>
      <c r="P843" s="834"/>
      <c r="Q843" s="834"/>
      <c r="R843" s="834"/>
      <c r="S843" s="834"/>
      <c r="T843" s="834"/>
      <c r="U843" s="834"/>
      <c r="V843" s="834"/>
      <c r="W843" s="834"/>
      <c r="X843" s="834"/>
      <c r="Y843" s="834"/>
      <c r="Z843" s="834"/>
      <c r="AA843" s="834"/>
      <c r="AB843" s="834"/>
      <c r="AC843" s="834"/>
      <c r="AD843" s="834"/>
      <c r="AE843" s="834"/>
      <c r="AF843" s="834"/>
      <c r="AG843" s="834"/>
      <c r="AH843" s="834"/>
      <c r="AJ843" s="836"/>
      <c r="AK843" s="836"/>
      <c r="AL843" s="836"/>
      <c r="AM843" s="836"/>
      <c r="AN843" s="836"/>
      <c r="AO843" s="836"/>
      <c r="AP843" s="836"/>
      <c r="AQ843" s="836"/>
      <c r="AR843" s="836"/>
      <c r="AS843" s="836"/>
      <c r="AT843" s="836"/>
      <c r="AU843" s="836"/>
      <c r="AV843" s="836"/>
      <c r="AW843" s="836"/>
      <c r="AX843" s="836"/>
      <c r="AY843" s="836"/>
      <c r="AZ843" s="836"/>
      <c r="BA843" s="836"/>
      <c r="BB843" s="836"/>
      <c r="BC843" s="836"/>
      <c r="BD843" s="836"/>
      <c r="BE843" s="836"/>
      <c r="BF843" s="836"/>
      <c r="BG843" s="836"/>
      <c r="BH843" s="836"/>
      <c r="BI843" s="836"/>
      <c r="BJ843" s="836"/>
      <c r="BK843" s="836"/>
      <c r="BL843" s="836"/>
      <c r="BM843" s="836"/>
      <c r="BN843" s="836"/>
      <c r="BO843" s="836"/>
      <c r="BP843" s="836"/>
      <c r="BR843" s="838"/>
      <c r="BS843" s="838"/>
      <c r="BT843" s="838"/>
      <c r="BU843" s="838"/>
      <c r="BV843" s="838"/>
      <c r="BW843" s="838"/>
      <c r="BX843" s="838"/>
      <c r="BY843" s="838"/>
      <c r="BZ843" s="838"/>
      <c r="CA843" s="838"/>
      <c r="CB843" s="838"/>
      <c r="CC843" s="838"/>
      <c r="CD843" s="838"/>
      <c r="CE843" s="838"/>
      <c r="CF843" s="838"/>
      <c r="CG843" s="838"/>
      <c r="CH843" s="838"/>
      <c r="CI843" s="838"/>
      <c r="CJ843" s="838"/>
      <c r="CK843" s="838"/>
      <c r="CL843" s="838"/>
      <c r="CM843" s="838"/>
      <c r="CN843" s="838"/>
      <c r="CO843" s="838"/>
      <c r="CP843" s="838"/>
      <c r="CQ843" s="838"/>
      <c r="CR843" s="838"/>
      <c r="CS843" s="838"/>
      <c r="CT843" s="838"/>
      <c r="CU843" s="838"/>
    </row>
    <row r="844">
      <c r="A844" s="834"/>
      <c r="B844" s="834"/>
      <c r="C844" s="834"/>
      <c r="D844" s="834"/>
      <c r="E844" s="834"/>
      <c r="F844" s="834"/>
      <c r="G844" s="834"/>
      <c r="H844" s="834"/>
      <c r="I844" s="834"/>
      <c r="J844" s="834"/>
      <c r="K844" s="834"/>
      <c r="L844" s="834"/>
      <c r="M844" s="834"/>
      <c r="N844" s="834"/>
      <c r="O844" s="834"/>
      <c r="P844" s="834"/>
      <c r="Q844" s="834"/>
      <c r="R844" s="834"/>
      <c r="S844" s="834"/>
      <c r="T844" s="834"/>
      <c r="U844" s="834"/>
      <c r="V844" s="834"/>
      <c r="W844" s="834"/>
      <c r="X844" s="834"/>
      <c r="Y844" s="834"/>
      <c r="Z844" s="834"/>
      <c r="AA844" s="834"/>
      <c r="AB844" s="834"/>
      <c r="AC844" s="834"/>
      <c r="AD844" s="834"/>
      <c r="AE844" s="834"/>
      <c r="AF844" s="834"/>
      <c r="AG844" s="834"/>
      <c r="AH844" s="834"/>
      <c r="AJ844" s="836"/>
      <c r="AK844" s="836"/>
      <c r="AL844" s="836"/>
      <c r="AM844" s="836"/>
      <c r="AN844" s="836"/>
      <c r="AO844" s="836"/>
      <c r="AP844" s="836"/>
      <c r="AQ844" s="836"/>
      <c r="AR844" s="836"/>
      <c r="AS844" s="836"/>
      <c r="AT844" s="836"/>
      <c r="AU844" s="836"/>
      <c r="AV844" s="836"/>
      <c r="AW844" s="836"/>
      <c r="AX844" s="836"/>
      <c r="AY844" s="836"/>
      <c r="AZ844" s="836"/>
      <c r="BA844" s="836"/>
      <c r="BB844" s="836"/>
      <c r="BC844" s="836"/>
      <c r="BD844" s="836"/>
      <c r="BE844" s="836"/>
      <c r="BF844" s="836"/>
      <c r="BG844" s="836"/>
      <c r="BH844" s="836"/>
      <c r="BI844" s="836"/>
      <c r="BJ844" s="836"/>
      <c r="BK844" s="836"/>
      <c r="BL844" s="836"/>
      <c r="BM844" s="836"/>
      <c r="BN844" s="836"/>
      <c r="BO844" s="836"/>
      <c r="BP844" s="836"/>
      <c r="BR844" s="838"/>
      <c r="BS844" s="838"/>
      <c r="BT844" s="838"/>
      <c r="BU844" s="838"/>
      <c r="BV844" s="838"/>
      <c r="BW844" s="838"/>
      <c r="BX844" s="838"/>
      <c r="BY844" s="838"/>
      <c r="BZ844" s="838"/>
      <c r="CA844" s="838"/>
      <c r="CB844" s="838"/>
      <c r="CC844" s="838"/>
      <c r="CD844" s="838"/>
      <c r="CE844" s="838"/>
      <c r="CF844" s="838"/>
      <c r="CG844" s="838"/>
      <c r="CH844" s="838"/>
      <c r="CI844" s="838"/>
      <c r="CJ844" s="838"/>
      <c r="CK844" s="838"/>
      <c r="CL844" s="838"/>
      <c r="CM844" s="838"/>
      <c r="CN844" s="838"/>
      <c r="CO844" s="838"/>
      <c r="CP844" s="838"/>
      <c r="CQ844" s="838"/>
      <c r="CR844" s="838"/>
      <c r="CS844" s="838"/>
      <c r="CT844" s="838"/>
      <c r="CU844" s="838"/>
    </row>
    <row r="845">
      <c r="A845" s="834"/>
      <c r="B845" s="834"/>
      <c r="C845" s="834"/>
      <c r="D845" s="834"/>
      <c r="E845" s="834"/>
      <c r="F845" s="834"/>
      <c r="G845" s="834"/>
      <c r="H845" s="834"/>
      <c r="I845" s="834"/>
      <c r="J845" s="834"/>
      <c r="K845" s="834"/>
      <c r="L845" s="834"/>
      <c r="M845" s="834"/>
      <c r="N845" s="834"/>
      <c r="O845" s="834"/>
      <c r="P845" s="834"/>
      <c r="Q845" s="834"/>
      <c r="R845" s="834"/>
      <c r="S845" s="834"/>
      <c r="T845" s="834"/>
      <c r="U845" s="834"/>
      <c r="V845" s="834"/>
      <c r="W845" s="834"/>
      <c r="X845" s="834"/>
      <c r="Y845" s="834"/>
      <c r="Z845" s="834"/>
      <c r="AA845" s="834"/>
      <c r="AB845" s="834"/>
      <c r="AC845" s="834"/>
      <c r="AD845" s="834"/>
      <c r="AE845" s="834"/>
      <c r="AF845" s="834"/>
      <c r="AG845" s="834"/>
      <c r="AH845" s="834"/>
      <c r="AJ845" s="836"/>
      <c r="AK845" s="836"/>
      <c r="AL845" s="836"/>
      <c r="AM845" s="836"/>
      <c r="AN845" s="836"/>
      <c r="AO845" s="836"/>
      <c r="AP845" s="836"/>
      <c r="AQ845" s="836"/>
      <c r="AR845" s="836"/>
      <c r="AS845" s="836"/>
      <c r="AT845" s="836"/>
      <c r="AU845" s="836"/>
      <c r="AV845" s="836"/>
      <c r="AW845" s="836"/>
      <c r="AX845" s="836"/>
      <c r="AY845" s="836"/>
      <c r="AZ845" s="836"/>
      <c r="BA845" s="836"/>
      <c r="BB845" s="836"/>
      <c r="BC845" s="836"/>
      <c r="BD845" s="836"/>
      <c r="BE845" s="836"/>
      <c r="BF845" s="836"/>
      <c r="BG845" s="836"/>
      <c r="BH845" s="836"/>
      <c r="BI845" s="836"/>
      <c r="BJ845" s="836"/>
      <c r="BK845" s="836"/>
      <c r="BL845" s="836"/>
      <c r="BM845" s="836"/>
      <c r="BN845" s="836"/>
      <c r="BO845" s="836"/>
      <c r="BP845" s="836"/>
      <c r="BR845" s="838"/>
      <c r="BS845" s="838"/>
      <c r="BT845" s="838"/>
      <c r="BU845" s="838"/>
      <c r="BV845" s="838"/>
      <c r="BW845" s="838"/>
      <c r="BX845" s="838"/>
      <c r="BY845" s="838"/>
      <c r="BZ845" s="838"/>
      <c r="CA845" s="838"/>
      <c r="CB845" s="838"/>
      <c r="CC845" s="838"/>
      <c r="CD845" s="838"/>
      <c r="CE845" s="838"/>
      <c r="CF845" s="838"/>
      <c r="CG845" s="838"/>
      <c r="CH845" s="838"/>
      <c r="CI845" s="838"/>
      <c r="CJ845" s="838"/>
      <c r="CK845" s="838"/>
      <c r="CL845" s="838"/>
      <c r="CM845" s="838"/>
      <c r="CN845" s="838"/>
      <c r="CO845" s="838"/>
      <c r="CP845" s="838"/>
      <c r="CQ845" s="838"/>
      <c r="CR845" s="838"/>
      <c r="CS845" s="838"/>
      <c r="CT845" s="838"/>
      <c r="CU845" s="838"/>
    </row>
    <row r="846">
      <c r="A846" s="834"/>
      <c r="B846" s="834"/>
      <c r="C846" s="834"/>
      <c r="D846" s="834"/>
      <c r="E846" s="834"/>
      <c r="F846" s="834"/>
      <c r="G846" s="834"/>
      <c r="H846" s="834"/>
      <c r="I846" s="834"/>
      <c r="J846" s="834"/>
      <c r="K846" s="834"/>
      <c r="L846" s="834"/>
      <c r="M846" s="834"/>
      <c r="N846" s="834"/>
      <c r="O846" s="834"/>
      <c r="P846" s="834"/>
      <c r="Q846" s="834"/>
      <c r="R846" s="834"/>
      <c r="S846" s="834"/>
      <c r="T846" s="834"/>
      <c r="U846" s="834"/>
      <c r="V846" s="834"/>
      <c r="W846" s="834"/>
      <c r="X846" s="834"/>
      <c r="Y846" s="834"/>
      <c r="Z846" s="834"/>
      <c r="AA846" s="834"/>
      <c r="AB846" s="834"/>
      <c r="AC846" s="834"/>
      <c r="AD846" s="834"/>
      <c r="AE846" s="834"/>
      <c r="AF846" s="834"/>
      <c r="AG846" s="834"/>
      <c r="AH846" s="834"/>
      <c r="AJ846" s="836"/>
      <c r="AK846" s="836"/>
      <c r="AL846" s="836"/>
      <c r="AM846" s="836"/>
      <c r="AN846" s="836"/>
      <c r="AO846" s="836"/>
      <c r="AP846" s="836"/>
      <c r="AQ846" s="836"/>
      <c r="AR846" s="836"/>
      <c r="AS846" s="836"/>
      <c r="AT846" s="836"/>
      <c r="AU846" s="836"/>
      <c r="AV846" s="836"/>
      <c r="AW846" s="836"/>
      <c r="AX846" s="836"/>
      <c r="AY846" s="836"/>
      <c r="AZ846" s="836"/>
      <c r="BA846" s="836"/>
      <c r="BB846" s="836"/>
      <c r="BC846" s="836"/>
      <c r="BD846" s="836"/>
      <c r="BE846" s="836"/>
      <c r="BF846" s="836"/>
      <c r="BG846" s="836"/>
      <c r="BH846" s="836"/>
      <c r="BI846" s="836"/>
      <c r="BJ846" s="836"/>
      <c r="BK846" s="836"/>
      <c r="BL846" s="836"/>
      <c r="BM846" s="836"/>
      <c r="BN846" s="836"/>
      <c r="BO846" s="836"/>
      <c r="BP846" s="836"/>
      <c r="BR846" s="838"/>
      <c r="BS846" s="838"/>
      <c r="BT846" s="838"/>
      <c r="BU846" s="838"/>
      <c r="BV846" s="838"/>
      <c r="BW846" s="838"/>
      <c r="BX846" s="838"/>
      <c r="BY846" s="838"/>
      <c r="BZ846" s="838"/>
      <c r="CA846" s="838"/>
      <c r="CB846" s="838"/>
      <c r="CC846" s="838"/>
      <c r="CD846" s="838"/>
      <c r="CE846" s="838"/>
      <c r="CF846" s="838"/>
      <c r="CG846" s="838"/>
      <c r="CH846" s="838"/>
      <c r="CI846" s="838"/>
      <c r="CJ846" s="838"/>
      <c r="CK846" s="838"/>
      <c r="CL846" s="838"/>
      <c r="CM846" s="838"/>
      <c r="CN846" s="838"/>
      <c r="CO846" s="838"/>
      <c r="CP846" s="838"/>
      <c r="CQ846" s="838"/>
      <c r="CR846" s="838"/>
      <c r="CS846" s="838"/>
      <c r="CT846" s="838"/>
      <c r="CU846" s="838"/>
    </row>
    <row r="847">
      <c r="A847" s="834"/>
      <c r="B847" s="834"/>
      <c r="C847" s="834"/>
      <c r="D847" s="834"/>
      <c r="E847" s="834"/>
      <c r="F847" s="834"/>
      <c r="G847" s="834"/>
      <c r="H847" s="834"/>
      <c r="I847" s="834"/>
      <c r="J847" s="834"/>
      <c r="K847" s="834"/>
      <c r="L847" s="834"/>
      <c r="M847" s="834"/>
      <c r="N847" s="834"/>
      <c r="O847" s="834"/>
      <c r="P847" s="834"/>
      <c r="Q847" s="834"/>
      <c r="R847" s="834"/>
      <c r="S847" s="834"/>
      <c r="T847" s="834"/>
      <c r="U847" s="834"/>
      <c r="V847" s="834"/>
      <c r="W847" s="834"/>
      <c r="X847" s="834"/>
      <c r="Y847" s="834"/>
      <c r="Z847" s="834"/>
      <c r="AA847" s="834"/>
      <c r="AB847" s="834"/>
      <c r="AC847" s="834"/>
      <c r="AD847" s="834"/>
      <c r="AE847" s="834"/>
      <c r="AF847" s="834"/>
      <c r="AG847" s="834"/>
      <c r="AH847" s="834"/>
      <c r="AJ847" s="836"/>
      <c r="AK847" s="836"/>
      <c r="AL847" s="836"/>
      <c r="AM847" s="836"/>
      <c r="AN847" s="836"/>
      <c r="AO847" s="836"/>
      <c r="AP847" s="836"/>
      <c r="AQ847" s="836"/>
      <c r="AR847" s="836"/>
      <c r="AS847" s="836"/>
      <c r="AT847" s="836"/>
      <c r="AU847" s="836"/>
      <c r="AV847" s="836"/>
      <c r="AW847" s="836"/>
      <c r="AX847" s="836"/>
      <c r="AY847" s="836"/>
      <c r="AZ847" s="836"/>
      <c r="BA847" s="836"/>
      <c r="BB847" s="836"/>
      <c r="BC847" s="836"/>
      <c r="BD847" s="836"/>
      <c r="BE847" s="836"/>
      <c r="BF847" s="836"/>
      <c r="BG847" s="836"/>
      <c r="BH847" s="836"/>
      <c r="BI847" s="836"/>
      <c r="BJ847" s="836"/>
      <c r="BK847" s="836"/>
      <c r="BL847" s="836"/>
      <c r="BM847" s="836"/>
      <c r="BN847" s="836"/>
      <c r="BO847" s="836"/>
      <c r="BP847" s="836"/>
      <c r="BR847" s="838"/>
      <c r="BS847" s="838"/>
      <c r="BT847" s="838"/>
      <c r="BU847" s="838"/>
      <c r="BV847" s="838"/>
      <c r="BW847" s="838"/>
      <c r="BX847" s="838"/>
      <c r="BY847" s="838"/>
      <c r="BZ847" s="838"/>
      <c r="CA847" s="838"/>
      <c r="CB847" s="838"/>
      <c r="CC847" s="838"/>
      <c r="CD847" s="838"/>
      <c r="CE847" s="838"/>
      <c r="CF847" s="838"/>
      <c r="CG847" s="838"/>
      <c r="CH847" s="838"/>
      <c r="CI847" s="838"/>
      <c r="CJ847" s="838"/>
      <c r="CK847" s="838"/>
      <c r="CL847" s="838"/>
      <c r="CM847" s="838"/>
      <c r="CN847" s="838"/>
      <c r="CO847" s="838"/>
      <c r="CP847" s="838"/>
      <c r="CQ847" s="838"/>
      <c r="CR847" s="838"/>
      <c r="CS847" s="838"/>
      <c r="CT847" s="838"/>
      <c r="CU847" s="838"/>
    </row>
    <row r="848">
      <c r="A848" s="834"/>
      <c r="B848" s="834"/>
      <c r="C848" s="834"/>
      <c r="D848" s="834"/>
      <c r="E848" s="834"/>
      <c r="F848" s="834"/>
      <c r="G848" s="834"/>
      <c r="H848" s="834"/>
      <c r="I848" s="834"/>
      <c r="J848" s="834"/>
      <c r="K848" s="834"/>
      <c r="L848" s="834"/>
      <c r="M848" s="834"/>
      <c r="N848" s="834"/>
      <c r="O848" s="834"/>
      <c r="P848" s="834"/>
      <c r="Q848" s="834"/>
      <c r="R848" s="834"/>
      <c r="S848" s="834"/>
      <c r="T848" s="834"/>
      <c r="U848" s="834"/>
      <c r="V848" s="834"/>
      <c r="W848" s="834"/>
      <c r="X848" s="834"/>
      <c r="Y848" s="834"/>
      <c r="Z848" s="834"/>
      <c r="AA848" s="834"/>
      <c r="AB848" s="834"/>
      <c r="AC848" s="834"/>
      <c r="AD848" s="834"/>
      <c r="AE848" s="834"/>
      <c r="AF848" s="834"/>
      <c r="AG848" s="834"/>
      <c r="AH848" s="834"/>
      <c r="AJ848" s="836"/>
      <c r="AK848" s="836"/>
      <c r="AL848" s="836"/>
      <c r="AM848" s="836"/>
      <c r="AN848" s="836"/>
      <c r="AO848" s="836"/>
      <c r="AP848" s="836"/>
      <c r="AQ848" s="836"/>
      <c r="AR848" s="836"/>
      <c r="AS848" s="836"/>
      <c r="AT848" s="836"/>
      <c r="AU848" s="836"/>
      <c r="AV848" s="836"/>
      <c r="AW848" s="836"/>
      <c r="AX848" s="836"/>
      <c r="AY848" s="836"/>
      <c r="AZ848" s="836"/>
      <c r="BA848" s="836"/>
      <c r="BB848" s="836"/>
      <c r="BC848" s="836"/>
      <c r="BD848" s="836"/>
      <c r="BE848" s="836"/>
      <c r="BF848" s="836"/>
      <c r="BG848" s="836"/>
      <c r="BH848" s="836"/>
      <c r="BI848" s="836"/>
      <c r="BJ848" s="836"/>
      <c r="BK848" s="836"/>
      <c r="BL848" s="836"/>
      <c r="BM848" s="836"/>
      <c r="BN848" s="836"/>
      <c r="BO848" s="836"/>
      <c r="BP848" s="836"/>
      <c r="BR848" s="838"/>
      <c r="BS848" s="838"/>
      <c r="BT848" s="838"/>
      <c r="BU848" s="838"/>
      <c r="BV848" s="838"/>
      <c r="BW848" s="838"/>
      <c r="BX848" s="838"/>
      <c r="BY848" s="838"/>
      <c r="BZ848" s="838"/>
      <c r="CA848" s="838"/>
      <c r="CB848" s="838"/>
      <c r="CC848" s="838"/>
      <c r="CD848" s="838"/>
      <c r="CE848" s="838"/>
      <c r="CF848" s="838"/>
      <c r="CG848" s="838"/>
      <c r="CH848" s="838"/>
      <c r="CI848" s="838"/>
      <c r="CJ848" s="838"/>
      <c r="CK848" s="838"/>
      <c r="CL848" s="838"/>
      <c r="CM848" s="838"/>
      <c r="CN848" s="838"/>
      <c r="CO848" s="838"/>
      <c r="CP848" s="838"/>
      <c r="CQ848" s="838"/>
      <c r="CR848" s="838"/>
      <c r="CS848" s="838"/>
      <c r="CT848" s="838"/>
      <c r="CU848" s="838"/>
    </row>
    <row r="849">
      <c r="A849" s="834"/>
      <c r="B849" s="834"/>
      <c r="C849" s="834"/>
      <c r="D849" s="834"/>
      <c r="E849" s="834"/>
      <c r="F849" s="834"/>
      <c r="G849" s="834"/>
      <c r="H849" s="834"/>
      <c r="I849" s="834"/>
      <c r="J849" s="834"/>
      <c r="K849" s="834"/>
      <c r="L849" s="834"/>
      <c r="M849" s="834"/>
      <c r="N849" s="834"/>
      <c r="O849" s="834"/>
      <c r="P849" s="834"/>
      <c r="Q849" s="834"/>
      <c r="R849" s="834"/>
      <c r="S849" s="834"/>
      <c r="T849" s="834"/>
      <c r="U849" s="834"/>
      <c r="V849" s="834"/>
      <c r="W849" s="834"/>
      <c r="X849" s="834"/>
      <c r="Y849" s="834"/>
      <c r="Z849" s="834"/>
      <c r="AA849" s="834"/>
      <c r="AB849" s="834"/>
      <c r="AC849" s="834"/>
      <c r="AD849" s="834"/>
      <c r="AE849" s="834"/>
      <c r="AF849" s="834"/>
      <c r="AG849" s="834"/>
      <c r="AH849" s="834"/>
      <c r="AJ849" s="836"/>
      <c r="AK849" s="836"/>
      <c r="AL849" s="836"/>
      <c r="AM849" s="836"/>
      <c r="AN849" s="836"/>
      <c r="AO849" s="836"/>
      <c r="AP849" s="836"/>
      <c r="AQ849" s="836"/>
      <c r="AR849" s="836"/>
      <c r="AS849" s="836"/>
      <c r="AT849" s="836"/>
      <c r="AU849" s="836"/>
      <c r="AV849" s="836"/>
      <c r="AW849" s="836"/>
      <c r="AX849" s="836"/>
      <c r="AY849" s="836"/>
      <c r="AZ849" s="836"/>
      <c r="BA849" s="836"/>
      <c r="BB849" s="836"/>
      <c r="BC849" s="836"/>
      <c r="BD849" s="836"/>
      <c r="BE849" s="836"/>
      <c r="BF849" s="836"/>
      <c r="BG849" s="836"/>
      <c r="BH849" s="836"/>
      <c r="BI849" s="836"/>
      <c r="BJ849" s="836"/>
      <c r="BK849" s="836"/>
      <c r="BL849" s="836"/>
      <c r="BM849" s="836"/>
      <c r="BN849" s="836"/>
      <c r="BO849" s="836"/>
      <c r="BP849" s="836"/>
      <c r="BR849" s="838"/>
      <c r="BS849" s="838"/>
      <c r="BT849" s="838"/>
      <c r="BU849" s="838"/>
      <c r="BV849" s="838"/>
      <c r="BW849" s="838"/>
      <c r="BX849" s="838"/>
      <c r="BY849" s="838"/>
      <c r="BZ849" s="838"/>
      <c r="CA849" s="838"/>
      <c r="CB849" s="838"/>
      <c r="CC849" s="838"/>
      <c r="CD849" s="838"/>
      <c r="CE849" s="838"/>
      <c r="CF849" s="838"/>
      <c r="CG849" s="838"/>
      <c r="CH849" s="838"/>
      <c r="CI849" s="838"/>
      <c r="CJ849" s="838"/>
      <c r="CK849" s="838"/>
      <c r="CL849" s="838"/>
      <c r="CM849" s="838"/>
      <c r="CN849" s="838"/>
      <c r="CO849" s="838"/>
      <c r="CP849" s="838"/>
      <c r="CQ849" s="838"/>
      <c r="CR849" s="838"/>
      <c r="CS849" s="838"/>
      <c r="CT849" s="838"/>
      <c r="CU849" s="838"/>
    </row>
    <row r="850">
      <c r="A850" s="834"/>
      <c r="B850" s="834"/>
      <c r="C850" s="834"/>
      <c r="D850" s="834"/>
      <c r="E850" s="834"/>
      <c r="F850" s="834"/>
      <c r="G850" s="834"/>
      <c r="H850" s="834"/>
      <c r="I850" s="834"/>
      <c r="J850" s="834"/>
      <c r="K850" s="834"/>
      <c r="L850" s="834"/>
      <c r="M850" s="834"/>
      <c r="N850" s="834"/>
      <c r="O850" s="834"/>
      <c r="P850" s="834"/>
      <c r="Q850" s="834"/>
      <c r="R850" s="834"/>
      <c r="S850" s="834"/>
      <c r="T850" s="834"/>
      <c r="U850" s="834"/>
      <c r="V850" s="834"/>
      <c r="W850" s="834"/>
      <c r="X850" s="834"/>
      <c r="Y850" s="834"/>
      <c r="Z850" s="834"/>
      <c r="AA850" s="834"/>
      <c r="AB850" s="834"/>
      <c r="AC850" s="834"/>
      <c r="AD850" s="834"/>
      <c r="AE850" s="834"/>
      <c r="AF850" s="834"/>
      <c r="AG850" s="834"/>
      <c r="AH850" s="834"/>
      <c r="AJ850" s="836"/>
      <c r="AK850" s="836"/>
      <c r="AL850" s="836"/>
      <c r="AM850" s="836"/>
      <c r="AN850" s="836"/>
      <c r="AO850" s="836"/>
      <c r="AP850" s="836"/>
      <c r="AQ850" s="836"/>
      <c r="AR850" s="836"/>
      <c r="AS850" s="836"/>
      <c r="AT850" s="836"/>
      <c r="AU850" s="836"/>
      <c r="AV850" s="836"/>
      <c r="AW850" s="836"/>
      <c r="AX850" s="836"/>
      <c r="AY850" s="836"/>
      <c r="AZ850" s="836"/>
      <c r="BA850" s="836"/>
      <c r="BB850" s="836"/>
      <c r="BC850" s="836"/>
      <c r="BD850" s="836"/>
      <c r="BE850" s="836"/>
      <c r="BF850" s="836"/>
      <c r="BG850" s="836"/>
      <c r="BH850" s="836"/>
      <c r="BI850" s="836"/>
      <c r="BJ850" s="836"/>
      <c r="BK850" s="836"/>
      <c r="BL850" s="836"/>
      <c r="BM850" s="836"/>
      <c r="BN850" s="836"/>
      <c r="BO850" s="836"/>
      <c r="BP850" s="836"/>
      <c r="BR850" s="838"/>
      <c r="BS850" s="838"/>
      <c r="BT850" s="838"/>
      <c r="BU850" s="838"/>
      <c r="BV850" s="838"/>
      <c r="BW850" s="838"/>
      <c r="BX850" s="838"/>
      <c r="BY850" s="838"/>
      <c r="BZ850" s="838"/>
      <c r="CA850" s="838"/>
      <c r="CB850" s="838"/>
      <c r="CC850" s="838"/>
      <c r="CD850" s="838"/>
      <c r="CE850" s="838"/>
      <c r="CF850" s="838"/>
      <c r="CG850" s="838"/>
      <c r="CH850" s="838"/>
      <c r="CI850" s="838"/>
      <c r="CJ850" s="838"/>
      <c r="CK850" s="838"/>
      <c r="CL850" s="838"/>
      <c r="CM850" s="838"/>
      <c r="CN850" s="838"/>
      <c r="CO850" s="838"/>
      <c r="CP850" s="838"/>
      <c r="CQ850" s="838"/>
      <c r="CR850" s="838"/>
      <c r="CS850" s="838"/>
      <c r="CT850" s="838"/>
      <c r="CU850" s="838"/>
    </row>
    <row r="851">
      <c r="A851" s="834"/>
      <c r="B851" s="834"/>
      <c r="C851" s="834"/>
      <c r="D851" s="834"/>
      <c r="E851" s="834"/>
      <c r="F851" s="834"/>
      <c r="G851" s="834"/>
      <c r="H851" s="834"/>
      <c r="I851" s="834"/>
      <c r="J851" s="834"/>
      <c r="K851" s="834"/>
      <c r="L851" s="834"/>
      <c r="M851" s="834"/>
      <c r="N851" s="834"/>
      <c r="O851" s="834"/>
      <c r="P851" s="834"/>
      <c r="Q851" s="834"/>
      <c r="R851" s="834"/>
      <c r="S851" s="834"/>
      <c r="T851" s="834"/>
      <c r="U851" s="834"/>
      <c r="V851" s="834"/>
      <c r="W851" s="834"/>
      <c r="X851" s="834"/>
      <c r="Y851" s="834"/>
      <c r="Z851" s="834"/>
      <c r="AA851" s="834"/>
      <c r="AB851" s="834"/>
      <c r="AC851" s="834"/>
      <c r="AD851" s="834"/>
      <c r="AE851" s="834"/>
      <c r="AF851" s="834"/>
      <c r="AG851" s="834"/>
      <c r="AH851" s="834"/>
      <c r="AJ851" s="836"/>
      <c r="AK851" s="836"/>
      <c r="AL851" s="836"/>
      <c r="AM851" s="836"/>
      <c r="AN851" s="836"/>
      <c r="AO851" s="836"/>
      <c r="AP851" s="836"/>
      <c r="AQ851" s="836"/>
      <c r="AR851" s="836"/>
      <c r="AS851" s="836"/>
      <c r="AT851" s="836"/>
      <c r="AU851" s="836"/>
      <c r="AV851" s="836"/>
      <c r="AW851" s="836"/>
      <c r="AX851" s="836"/>
      <c r="AY851" s="836"/>
      <c r="AZ851" s="836"/>
      <c r="BA851" s="836"/>
      <c r="BB851" s="836"/>
      <c r="BC851" s="836"/>
      <c r="BD851" s="836"/>
      <c r="BE851" s="836"/>
      <c r="BF851" s="836"/>
      <c r="BG851" s="836"/>
      <c r="BH851" s="836"/>
      <c r="BI851" s="836"/>
      <c r="BJ851" s="836"/>
      <c r="BK851" s="836"/>
      <c r="BL851" s="836"/>
      <c r="BM851" s="836"/>
      <c r="BN851" s="836"/>
      <c r="BO851" s="836"/>
      <c r="BP851" s="836"/>
      <c r="BR851" s="838"/>
      <c r="BS851" s="838"/>
      <c r="BT851" s="838"/>
      <c r="BU851" s="838"/>
      <c r="BV851" s="838"/>
      <c r="BW851" s="838"/>
      <c r="BX851" s="838"/>
      <c r="BY851" s="838"/>
      <c r="BZ851" s="838"/>
      <c r="CA851" s="838"/>
      <c r="CB851" s="838"/>
      <c r="CC851" s="838"/>
      <c r="CD851" s="838"/>
      <c r="CE851" s="838"/>
      <c r="CF851" s="838"/>
      <c r="CG851" s="838"/>
      <c r="CH851" s="838"/>
      <c r="CI851" s="838"/>
      <c r="CJ851" s="838"/>
      <c r="CK851" s="838"/>
      <c r="CL851" s="838"/>
      <c r="CM851" s="838"/>
      <c r="CN851" s="838"/>
      <c r="CO851" s="838"/>
      <c r="CP851" s="838"/>
      <c r="CQ851" s="838"/>
      <c r="CR851" s="838"/>
      <c r="CS851" s="838"/>
      <c r="CT851" s="838"/>
      <c r="CU851" s="838"/>
    </row>
    <row r="852">
      <c r="A852" s="834"/>
      <c r="B852" s="834"/>
      <c r="C852" s="834"/>
      <c r="D852" s="834"/>
      <c r="E852" s="834"/>
      <c r="F852" s="834"/>
      <c r="G852" s="834"/>
      <c r="H852" s="834"/>
      <c r="I852" s="834"/>
      <c r="J852" s="834"/>
      <c r="K852" s="834"/>
      <c r="L852" s="834"/>
      <c r="M852" s="834"/>
      <c r="N852" s="834"/>
      <c r="O852" s="834"/>
      <c r="P852" s="834"/>
      <c r="Q852" s="834"/>
      <c r="R852" s="834"/>
      <c r="S852" s="834"/>
      <c r="T852" s="834"/>
      <c r="U852" s="834"/>
      <c r="V852" s="834"/>
      <c r="W852" s="834"/>
      <c r="X852" s="834"/>
      <c r="Y852" s="834"/>
      <c r="Z852" s="834"/>
      <c r="AA852" s="834"/>
      <c r="AB852" s="834"/>
      <c r="AC852" s="834"/>
      <c r="AD852" s="834"/>
      <c r="AE852" s="834"/>
      <c r="AF852" s="834"/>
      <c r="AG852" s="834"/>
      <c r="AH852" s="834"/>
      <c r="AJ852" s="836"/>
      <c r="AK852" s="836"/>
      <c r="AL852" s="836"/>
      <c r="AM852" s="836"/>
      <c r="AN852" s="836"/>
      <c r="AO852" s="836"/>
      <c r="AP852" s="836"/>
      <c r="AQ852" s="836"/>
      <c r="AR852" s="836"/>
      <c r="AS852" s="836"/>
      <c r="AT852" s="836"/>
      <c r="AU852" s="836"/>
      <c r="AV852" s="836"/>
      <c r="AW852" s="836"/>
      <c r="AX852" s="836"/>
      <c r="AY852" s="836"/>
      <c r="AZ852" s="836"/>
      <c r="BA852" s="836"/>
      <c r="BB852" s="836"/>
      <c r="BC852" s="836"/>
      <c r="BD852" s="836"/>
      <c r="BE852" s="836"/>
      <c r="BF852" s="836"/>
      <c r="BG852" s="836"/>
      <c r="BH852" s="836"/>
      <c r="BI852" s="836"/>
      <c r="BJ852" s="836"/>
      <c r="BK852" s="836"/>
      <c r="BL852" s="836"/>
      <c r="BM852" s="836"/>
      <c r="BN852" s="836"/>
      <c r="BO852" s="836"/>
      <c r="BP852" s="836"/>
      <c r="BR852" s="838"/>
      <c r="BS852" s="838"/>
      <c r="BT852" s="838"/>
      <c r="BU852" s="838"/>
      <c r="BV852" s="838"/>
      <c r="BW852" s="838"/>
      <c r="BX852" s="838"/>
      <c r="BY852" s="838"/>
      <c r="BZ852" s="838"/>
      <c r="CA852" s="838"/>
      <c r="CB852" s="838"/>
      <c r="CC852" s="838"/>
      <c r="CD852" s="838"/>
      <c r="CE852" s="838"/>
      <c r="CF852" s="838"/>
      <c r="CG852" s="838"/>
      <c r="CH852" s="838"/>
      <c r="CI852" s="838"/>
      <c r="CJ852" s="838"/>
      <c r="CK852" s="838"/>
      <c r="CL852" s="838"/>
      <c r="CM852" s="838"/>
      <c r="CN852" s="838"/>
      <c r="CO852" s="838"/>
      <c r="CP852" s="838"/>
      <c r="CQ852" s="838"/>
      <c r="CR852" s="838"/>
      <c r="CS852" s="838"/>
      <c r="CT852" s="838"/>
      <c r="CU852" s="838"/>
    </row>
    <row r="853">
      <c r="A853" s="834"/>
      <c r="B853" s="834"/>
      <c r="C853" s="834"/>
      <c r="D853" s="834"/>
      <c r="E853" s="834"/>
      <c r="F853" s="834"/>
      <c r="G853" s="834"/>
      <c r="H853" s="834"/>
      <c r="I853" s="834"/>
      <c r="J853" s="834"/>
      <c r="K853" s="834"/>
      <c r="L853" s="834"/>
      <c r="M853" s="834"/>
      <c r="N853" s="834"/>
      <c r="O853" s="834"/>
      <c r="P853" s="834"/>
      <c r="Q853" s="834"/>
      <c r="R853" s="834"/>
      <c r="S853" s="834"/>
      <c r="T853" s="834"/>
      <c r="U853" s="834"/>
      <c r="V853" s="834"/>
      <c r="W853" s="834"/>
      <c r="X853" s="834"/>
      <c r="Y853" s="834"/>
      <c r="Z853" s="834"/>
      <c r="AA853" s="834"/>
      <c r="AB853" s="834"/>
      <c r="AC853" s="834"/>
      <c r="AD853" s="834"/>
      <c r="AE853" s="834"/>
      <c r="AF853" s="834"/>
      <c r="AG853" s="834"/>
      <c r="AH853" s="834"/>
      <c r="AJ853" s="836"/>
      <c r="AK853" s="836"/>
      <c r="AL853" s="836"/>
      <c r="AM853" s="836"/>
      <c r="AN853" s="836"/>
      <c r="AO853" s="836"/>
      <c r="AP853" s="836"/>
      <c r="AQ853" s="836"/>
      <c r="AR853" s="836"/>
      <c r="AS853" s="836"/>
      <c r="AT853" s="836"/>
      <c r="AU853" s="836"/>
      <c r="AV853" s="836"/>
      <c r="AW853" s="836"/>
      <c r="AX853" s="836"/>
      <c r="AY853" s="836"/>
      <c r="AZ853" s="836"/>
      <c r="BA853" s="836"/>
      <c r="BB853" s="836"/>
      <c r="BC853" s="836"/>
      <c r="BD853" s="836"/>
      <c r="BE853" s="836"/>
      <c r="BF853" s="836"/>
      <c r="BG853" s="836"/>
      <c r="BH853" s="836"/>
      <c r="BI853" s="836"/>
      <c r="BJ853" s="836"/>
      <c r="BK853" s="836"/>
      <c r="BL853" s="836"/>
      <c r="BM853" s="836"/>
      <c r="BN853" s="836"/>
      <c r="BO853" s="836"/>
      <c r="BP853" s="836"/>
      <c r="BR853" s="838"/>
      <c r="BS853" s="838"/>
      <c r="BT853" s="838"/>
      <c r="BU853" s="838"/>
      <c r="BV853" s="838"/>
      <c r="BW853" s="838"/>
      <c r="BX853" s="838"/>
      <c r="BY853" s="838"/>
      <c r="BZ853" s="838"/>
      <c r="CA853" s="838"/>
      <c r="CB853" s="838"/>
      <c r="CC853" s="838"/>
      <c r="CD853" s="838"/>
      <c r="CE853" s="838"/>
      <c r="CF853" s="838"/>
      <c r="CG853" s="838"/>
      <c r="CH853" s="838"/>
      <c r="CI853" s="838"/>
      <c r="CJ853" s="838"/>
      <c r="CK853" s="838"/>
      <c r="CL853" s="838"/>
      <c r="CM853" s="838"/>
      <c r="CN853" s="838"/>
      <c r="CO853" s="838"/>
      <c r="CP853" s="838"/>
      <c r="CQ853" s="838"/>
      <c r="CR853" s="838"/>
      <c r="CS853" s="838"/>
      <c r="CT853" s="838"/>
      <c r="CU853" s="838"/>
    </row>
    <row r="854">
      <c r="A854" s="834"/>
      <c r="B854" s="834"/>
      <c r="C854" s="834"/>
      <c r="D854" s="834"/>
      <c r="E854" s="834"/>
      <c r="F854" s="834"/>
      <c r="G854" s="834"/>
      <c r="H854" s="834"/>
      <c r="I854" s="834"/>
      <c r="J854" s="834"/>
      <c r="K854" s="834"/>
      <c r="L854" s="834"/>
      <c r="M854" s="834"/>
      <c r="N854" s="834"/>
      <c r="O854" s="834"/>
      <c r="P854" s="834"/>
      <c r="Q854" s="834"/>
      <c r="R854" s="834"/>
      <c r="S854" s="834"/>
      <c r="T854" s="834"/>
      <c r="U854" s="834"/>
      <c r="V854" s="834"/>
      <c r="W854" s="834"/>
      <c r="X854" s="834"/>
      <c r="Y854" s="834"/>
      <c r="Z854" s="834"/>
      <c r="AA854" s="834"/>
      <c r="AB854" s="834"/>
      <c r="AC854" s="834"/>
      <c r="AD854" s="834"/>
      <c r="AE854" s="834"/>
      <c r="AF854" s="834"/>
      <c r="AG854" s="834"/>
      <c r="AH854" s="834"/>
      <c r="AJ854" s="836"/>
      <c r="AK854" s="836"/>
      <c r="AL854" s="836"/>
      <c r="AM854" s="836"/>
      <c r="AN854" s="836"/>
      <c r="AO854" s="836"/>
      <c r="AP854" s="836"/>
      <c r="AQ854" s="836"/>
      <c r="AR854" s="836"/>
      <c r="AS854" s="836"/>
      <c r="AT854" s="836"/>
      <c r="AU854" s="836"/>
      <c r="AV854" s="836"/>
      <c r="AW854" s="836"/>
      <c r="AX854" s="836"/>
      <c r="AY854" s="836"/>
      <c r="AZ854" s="836"/>
      <c r="BA854" s="836"/>
      <c r="BB854" s="836"/>
      <c r="BC854" s="836"/>
      <c r="BD854" s="836"/>
      <c r="BE854" s="836"/>
      <c r="BF854" s="836"/>
      <c r="BG854" s="836"/>
      <c r="BH854" s="836"/>
      <c r="BI854" s="836"/>
      <c r="BJ854" s="836"/>
      <c r="BK854" s="836"/>
      <c r="BL854" s="836"/>
      <c r="BM854" s="836"/>
      <c r="BN854" s="836"/>
      <c r="BO854" s="836"/>
      <c r="BP854" s="836"/>
      <c r="BR854" s="838"/>
      <c r="BS854" s="838"/>
      <c r="BT854" s="838"/>
      <c r="BU854" s="838"/>
      <c r="BV854" s="838"/>
      <c r="BW854" s="838"/>
      <c r="BX854" s="838"/>
      <c r="BY854" s="838"/>
      <c r="BZ854" s="838"/>
      <c r="CA854" s="838"/>
      <c r="CB854" s="838"/>
      <c r="CC854" s="838"/>
      <c r="CD854" s="838"/>
      <c r="CE854" s="838"/>
      <c r="CF854" s="838"/>
      <c r="CG854" s="838"/>
      <c r="CH854" s="838"/>
      <c r="CI854" s="838"/>
      <c r="CJ854" s="838"/>
      <c r="CK854" s="838"/>
      <c r="CL854" s="838"/>
      <c r="CM854" s="838"/>
      <c r="CN854" s="838"/>
      <c r="CO854" s="838"/>
      <c r="CP854" s="838"/>
      <c r="CQ854" s="838"/>
      <c r="CR854" s="838"/>
      <c r="CS854" s="838"/>
      <c r="CT854" s="838"/>
      <c r="CU854" s="838"/>
    </row>
    <row r="855">
      <c r="A855" s="834"/>
      <c r="B855" s="834"/>
      <c r="C855" s="834"/>
      <c r="D855" s="834"/>
      <c r="E855" s="834"/>
      <c r="F855" s="834"/>
      <c r="G855" s="834"/>
      <c r="H855" s="834"/>
      <c r="I855" s="834"/>
      <c r="J855" s="834"/>
      <c r="K855" s="834"/>
      <c r="L855" s="834"/>
      <c r="M855" s="834"/>
      <c r="N855" s="834"/>
      <c r="O855" s="834"/>
      <c r="P855" s="834"/>
      <c r="Q855" s="834"/>
      <c r="R855" s="834"/>
      <c r="S855" s="834"/>
      <c r="T855" s="834"/>
      <c r="U855" s="834"/>
      <c r="V855" s="834"/>
      <c r="W855" s="834"/>
      <c r="X855" s="834"/>
      <c r="Y855" s="834"/>
      <c r="Z855" s="834"/>
      <c r="AA855" s="834"/>
      <c r="AB855" s="834"/>
      <c r="AC855" s="834"/>
      <c r="AD855" s="834"/>
      <c r="AE855" s="834"/>
      <c r="AF855" s="834"/>
      <c r="AG855" s="834"/>
      <c r="AH855" s="834"/>
      <c r="AJ855" s="836"/>
      <c r="AK855" s="836"/>
      <c r="AL855" s="836"/>
      <c r="AM855" s="836"/>
      <c r="AN855" s="836"/>
      <c r="AO855" s="836"/>
      <c r="AP855" s="836"/>
      <c r="AQ855" s="836"/>
      <c r="AR855" s="836"/>
      <c r="AS855" s="836"/>
      <c r="AT855" s="836"/>
      <c r="AU855" s="836"/>
      <c r="AV855" s="836"/>
      <c r="AW855" s="836"/>
      <c r="AX855" s="836"/>
      <c r="AY855" s="836"/>
      <c r="AZ855" s="836"/>
      <c r="BA855" s="836"/>
      <c r="BB855" s="836"/>
      <c r="BC855" s="836"/>
      <c r="BD855" s="836"/>
      <c r="BE855" s="836"/>
      <c r="BF855" s="836"/>
      <c r="BG855" s="836"/>
      <c r="BH855" s="836"/>
      <c r="BI855" s="836"/>
      <c r="BJ855" s="836"/>
      <c r="BK855" s="836"/>
      <c r="BL855" s="836"/>
      <c r="BM855" s="836"/>
      <c r="BN855" s="836"/>
      <c r="BO855" s="836"/>
      <c r="BP855" s="836"/>
      <c r="BR855" s="838"/>
      <c r="BS855" s="838"/>
      <c r="BT855" s="838"/>
      <c r="BU855" s="838"/>
      <c r="BV855" s="838"/>
      <c r="BW855" s="838"/>
      <c r="BX855" s="838"/>
      <c r="BY855" s="838"/>
      <c r="BZ855" s="838"/>
      <c r="CA855" s="838"/>
      <c r="CB855" s="838"/>
      <c r="CC855" s="838"/>
      <c r="CD855" s="838"/>
      <c r="CE855" s="838"/>
      <c r="CF855" s="838"/>
      <c r="CG855" s="838"/>
      <c r="CH855" s="838"/>
      <c r="CI855" s="838"/>
      <c r="CJ855" s="838"/>
      <c r="CK855" s="838"/>
      <c r="CL855" s="838"/>
      <c r="CM855" s="838"/>
      <c r="CN855" s="838"/>
      <c r="CO855" s="838"/>
      <c r="CP855" s="838"/>
      <c r="CQ855" s="838"/>
      <c r="CR855" s="838"/>
      <c r="CS855" s="838"/>
      <c r="CT855" s="838"/>
      <c r="CU855" s="838"/>
    </row>
    <row r="856">
      <c r="A856" s="834"/>
      <c r="B856" s="834"/>
      <c r="C856" s="834"/>
      <c r="D856" s="834"/>
      <c r="E856" s="834"/>
      <c r="F856" s="834"/>
      <c r="G856" s="834"/>
      <c r="H856" s="834"/>
      <c r="I856" s="834"/>
      <c r="J856" s="834"/>
      <c r="K856" s="834"/>
      <c r="L856" s="834"/>
      <c r="M856" s="834"/>
      <c r="N856" s="834"/>
      <c r="O856" s="834"/>
      <c r="P856" s="834"/>
      <c r="Q856" s="834"/>
      <c r="R856" s="834"/>
      <c r="S856" s="834"/>
      <c r="T856" s="834"/>
      <c r="U856" s="834"/>
      <c r="V856" s="834"/>
      <c r="W856" s="834"/>
      <c r="X856" s="834"/>
      <c r="Y856" s="834"/>
      <c r="Z856" s="834"/>
      <c r="AA856" s="834"/>
      <c r="AB856" s="834"/>
      <c r="AC856" s="834"/>
      <c r="AD856" s="834"/>
      <c r="AE856" s="834"/>
      <c r="AF856" s="834"/>
      <c r="AG856" s="834"/>
      <c r="AH856" s="834"/>
      <c r="AJ856" s="836"/>
      <c r="AK856" s="836"/>
      <c r="AL856" s="836"/>
      <c r="AM856" s="836"/>
      <c r="AN856" s="836"/>
      <c r="AO856" s="836"/>
      <c r="AP856" s="836"/>
      <c r="AQ856" s="836"/>
      <c r="AR856" s="836"/>
      <c r="AS856" s="836"/>
      <c r="AT856" s="836"/>
      <c r="AU856" s="836"/>
      <c r="AV856" s="836"/>
      <c r="AW856" s="836"/>
      <c r="AX856" s="836"/>
      <c r="AY856" s="836"/>
      <c r="AZ856" s="836"/>
      <c r="BA856" s="836"/>
      <c r="BB856" s="836"/>
      <c r="BC856" s="836"/>
      <c r="BD856" s="836"/>
      <c r="BE856" s="836"/>
      <c r="BF856" s="836"/>
      <c r="BG856" s="836"/>
      <c r="BH856" s="836"/>
      <c r="BI856" s="836"/>
      <c r="BJ856" s="836"/>
      <c r="BK856" s="836"/>
      <c r="BL856" s="836"/>
      <c r="BM856" s="836"/>
      <c r="BN856" s="836"/>
      <c r="BO856" s="836"/>
      <c r="BP856" s="836"/>
      <c r="BR856" s="838"/>
      <c r="BS856" s="838"/>
      <c r="BT856" s="838"/>
      <c r="BU856" s="838"/>
      <c r="BV856" s="838"/>
      <c r="BW856" s="838"/>
      <c r="BX856" s="838"/>
      <c r="BY856" s="838"/>
      <c r="BZ856" s="838"/>
      <c r="CA856" s="838"/>
      <c r="CB856" s="838"/>
      <c r="CC856" s="838"/>
      <c r="CD856" s="838"/>
      <c r="CE856" s="838"/>
      <c r="CF856" s="838"/>
      <c r="CG856" s="838"/>
      <c r="CH856" s="838"/>
      <c r="CI856" s="838"/>
      <c r="CJ856" s="838"/>
      <c r="CK856" s="838"/>
      <c r="CL856" s="838"/>
      <c r="CM856" s="838"/>
      <c r="CN856" s="838"/>
      <c r="CO856" s="838"/>
      <c r="CP856" s="838"/>
      <c r="CQ856" s="838"/>
      <c r="CR856" s="838"/>
      <c r="CS856" s="838"/>
      <c r="CT856" s="838"/>
      <c r="CU856" s="838"/>
    </row>
    <row r="857">
      <c r="A857" s="834"/>
      <c r="B857" s="834"/>
      <c r="C857" s="834"/>
      <c r="D857" s="834"/>
      <c r="E857" s="834"/>
      <c r="F857" s="834"/>
      <c r="G857" s="834"/>
      <c r="H857" s="834"/>
      <c r="I857" s="834"/>
      <c r="J857" s="834"/>
      <c r="K857" s="834"/>
      <c r="L857" s="834"/>
      <c r="M857" s="834"/>
      <c r="N857" s="834"/>
      <c r="O857" s="834"/>
      <c r="P857" s="834"/>
      <c r="Q857" s="834"/>
      <c r="R857" s="834"/>
      <c r="S857" s="834"/>
      <c r="T857" s="834"/>
      <c r="U857" s="834"/>
      <c r="V857" s="834"/>
      <c r="W857" s="834"/>
      <c r="X857" s="834"/>
      <c r="Y857" s="834"/>
      <c r="Z857" s="834"/>
      <c r="AA857" s="834"/>
      <c r="AB857" s="834"/>
      <c r="AC857" s="834"/>
      <c r="AD857" s="834"/>
      <c r="AE857" s="834"/>
      <c r="AF857" s="834"/>
      <c r="AG857" s="834"/>
      <c r="AH857" s="834"/>
      <c r="AJ857" s="836"/>
      <c r="AK857" s="836"/>
      <c r="AL857" s="836"/>
      <c r="AM857" s="836"/>
      <c r="AN857" s="836"/>
      <c r="AO857" s="836"/>
      <c r="AP857" s="836"/>
      <c r="AQ857" s="836"/>
      <c r="AR857" s="836"/>
      <c r="AS857" s="836"/>
      <c r="AT857" s="836"/>
      <c r="AU857" s="836"/>
      <c r="AV857" s="836"/>
      <c r="AW857" s="836"/>
      <c r="AX857" s="836"/>
      <c r="AY857" s="836"/>
      <c r="AZ857" s="836"/>
      <c r="BA857" s="836"/>
      <c r="BB857" s="836"/>
      <c r="BC857" s="836"/>
      <c r="BD857" s="836"/>
      <c r="BE857" s="836"/>
      <c r="BF857" s="836"/>
      <c r="BG857" s="836"/>
      <c r="BH857" s="836"/>
      <c r="BI857" s="836"/>
      <c r="BJ857" s="836"/>
      <c r="BK857" s="836"/>
      <c r="BL857" s="836"/>
      <c r="BM857" s="836"/>
      <c r="BN857" s="836"/>
      <c r="BO857" s="836"/>
      <c r="BP857" s="836"/>
      <c r="BR857" s="838"/>
      <c r="BS857" s="838"/>
      <c r="BT857" s="838"/>
      <c r="BU857" s="838"/>
      <c r="BV857" s="838"/>
      <c r="BW857" s="838"/>
      <c r="BX857" s="838"/>
      <c r="BY857" s="838"/>
      <c r="BZ857" s="838"/>
      <c r="CA857" s="838"/>
      <c r="CB857" s="838"/>
      <c r="CC857" s="838"/>
      <c r="CD857" s="838"/>
      <c r="CE857" s="838"/>
      <c r="CF857" s="838"/>
      <c r="CG857" s="838"/>
      <c r="CH857" s="838"/>
      <c r="CI857" s="838"/>
      <c r="CJ857" s="838"/>
      <c r="CK857" s="838"/>
      <c r="CL857" s="838"/>
      <c r="CM857" s="838"/>
      <c r="CN857" s="838"/>
      <c r="CO857" s="838"/>
      <c r="CP857" s="838"/>
      <c r="CQ857" s="838"/>
      <c r="CR857" s="838"/>
      <c r="CS857" s="838"/>
      <c r="CT857" s="838"/>
      <c r="CU857" s="838"/>
    </row>
    <row r="858">
      <c r="A858" s="834"/>
      <c r="B858" s="834"/>
      <c r="C858" s="834"/>
      <c r="D858" s="834"/>
      <c r="E858" s="834"/>
      <c r="F858" s="834"/>
      <c r="G858" s="834"/>
      <c r="H858" s="834"/>
      <c r="I858" s="834"/>
      <c r="J858" s="834"/>
      <c r="K858" s="834"/>
      <c r="L858" s="834"/>
      <c r="M858" s="834"/>
      <c r="N858" s="834"/>
      <c r="O858" s="834"/>
      <c r="P858" s="834"/>
      <c r="Q858" s="834"/>
      <c r="R858" s="834"/>
      <c r="S858" s="834"/>
      <c r="T858" s="834"/>
      <c r="U858" s="834"/>
      <c r="V858" s="834"/>
      <c r="W858" s="834"/>
      <c r="X858" s="834"/>
      <c r="Y858" s="834"/>
      <c r="Z858" s="834"/>
      <c r="AA858" s="834"/>
      <c r="AB858" s="834"/>
      <c r="AC858" s="834"/>
      <c r="AD858" s="834"/>
      <c r="AE858" s="834"/>
      <c r="AF858" s="834"/>
      <c r="AG858" s="834"/>
      <c r="AH858" s="834"/>
      <c r="AJ858" s="836"/>
      <c r="AK858" s="836"/>
      <c r="AL858" s="836"/>
      <c r="AM858" s="836"/>
      <c r="AN858" s="836"/>
      <c r="AO858" s="836"/>
      <c r="AP858" s="836"/>
      <c r="AQ858" s="836"/>
      <c r="AR858" s="836"/>
      <c r="AS858" s="836"/>
      <c r="AT858" s="836"/>
      <c r="AU858" s="836"/>
      <c r="AV858" s="836"/>
      <c r="AW858" s="836"/>
      <c r="AX858" s="836"/>
      <c r="AY858" s="836"/>
      <c r="AZ858" s="836"/>
      <c r="BA858" s="836"/>
      <c r="BB858" s="836"/>
      <c r="BC858" s="836"/>
      <c r="BD858" s="836"/>
      <c r="BE858" s="836"/>
      <c r="BF858" s="836"/>
      <c r="BG858" s="836"/>
      <c r="BH858" s="836"/>
      <c r="BI858" s="836"/>
      <c r="BJ858" s="836"/>
      <c r="BK858" s="836"/>
      <c r="BL858" s="836"/>
      <c r="BM858" s="836"/>
      <c r="BN858" s="836"/>
      <c r="BO858" s="836"/>
      <c r="BP858" s="836"/>
      <c r="BR858" s="838"/>
      <c r="BS858" s="838"/>
      <c r="BT858" s="838"/>
      <c r="BU858" s="838"/>
      <c r="BV858" s="838"/>
      <c r="BW858" s="838"/>
      <c r="BX858" s="838"/>
      <c r="BY858" s="838"/>
      <c r="BZ858" s="838"/>
      <c r="CA858" s="838"/>
      <c r="CB858" s="838"/>
      <c r="CC858" s="838"/>
      <c r="CD858" s="838"/>
      <c r="CE858" s="838"/>
      <c r="CF858" s="838"/>
      <c r="CG858" s="838"/>
      <c r="CH858" s="838"/>
      <c r="CI858" s="838"/>
      <c r="CJ858" s="838"/>
      <c r="CK858" s="838"/>
      <c r="CL858" s="838"/>
      <c r="CM858" s="838"/>
      <c r="CN858" s="838"/>
      <c r="CO858" s="838"/>
      <c r="CP858" s="838"/>
      <c r="CQ858" s="838"/>
      <c r="CR858" s="838"/>
      <c r="CS858" s="838"/>
      <c r="CT858" s="838"/>
      <c r="CU858" s="838"/>
    </row>
    <row r="859">
      <c r="A859" s="834"/>
      <c r="B859" s="834"/>
      <c r="C859" s="834"/>
      <c r="D859" s="834"/>
      <c r="E859" s="834"/>
      <c r="F859" s="834"/>
      <c r="G859" s="834"/>
      <c r="H859" s="834"/>
      <c r="I859" s="834"/>
      <c r="J859" s="834"/>
      <c r="K859" s="834"/>
      <c r="L859" s="834"/>
      <c r="M859" s="834"/>
      <c r="N859" s="834"/>
      <c r="O859" s="834"/>
      <c r="P859" s="834"/>
      <c r="Q859" s="834"/>
      <c r="R859" s="834"/>
      <c r="S859" s="834"/>
      <c r="T859" s="834"/>
      <c r="U859" s="834"/>
      <c r="V859" s="834"/>
      <c r="W859" s="834"/>
      <c r="X859" s="834"/>
      <c r="Y859" s="834"/>
      <c r="Z859" s="834"/>
      <c r="AA859" s="834"/>
      <c r="AB859" s="834"/>
      <c r="AC859" s="834"/>
      <c r="AD859" s="834"/>
      <c r="AE859" s="834"/>
      <c r="AF859" s="834"/>
      <c r="AG859" s="834"/>
      <c r="AH859" s="834"/>
      <c r="AJ859" s="836"/>
      <c r="AK859" s="836"/>
      <c r="AL859" s="836"/>
      <c r="AM859" s="836"/>
      <c r="AN859" s="836"/>
      <c r="AO859" s="836"/>
      <c r="AP859" s="836"/>
      <c r="AQ859" s="836"/>
      <c r="AR859" s="836"/>
      <c r="AS859" s="836"/>
      <c r="AT859" s="836"/>
      <c r="AU859" s="836"/>
      <c r="AV859" s="836"/>
      <c r="AW859" s="836"/>
      <c r="AX859" s="836"/>
      <c r="AY859" s="836"/>
      <c r="AZ859" s="836"/>
      <c r="BA859" s="836"/>
      <c r="BB859" s="836"/>
      <c r="BC859" s="836"/>
      <c r="BD859" s="836"/>
      <c r="BE859" s="836"/>
      <c r="BF859" s="836"/>
      <c r="BG859" s="836"/>
      <c r="BH859" s="836"/>
      <c r="BI859" s="836"/>
      <c r="BJ859" s="836"/>
      <c r="BK859" s="836"/>
      <c r="BL859" s="836"/>
      <c r="BM859" s="836"/>
      <c r="BN859" s="836"/>
      <c r="BO859" s="836"/>
      <c r="BP859" s="836"/>
      <c r="BR859" s="838"/>
      <c r="BS859" s="838"/>
      <c r="BT859" s="838"/>
      <c r="BU859" s="838"/>
      <c r="BV859" s="838"/>
      <c r="BW859" s="838"/>
      <c r="BX859" s="838"/>
      <c r="BY859" s="838"/>
      <c r="BZ859" s="838"/>
      <c r="CA859" s="838"/>
      <c r="CB859" s="838"/>
      <c r="CC859" s="838"/>
      <c r="CD859" s="838"/>
      <c r="CE859" s="838"/>
      <c r="CF859" s="838"/>
      <c r="CG859" s="838"/>
      <c r="CH859" s="838"/>
      <c r="CI859" s="838"/>
      <c r="CJ859" s="838"/>
      <c r="CK859" s="838"/>
      <c r="CL859" s="838"/>
      <c r="CM859" s="838"/>
      <c r="CN859" s="838"/>
      <c r="CO859" s="838"/>
      <c r="CP859" s="838"/>
      <c r="CQ859" s="838"/>
      <c r="CR859" s="838"/>
      <c r="CS859" s="838"/>
      <c r="CT859" s="838"/>
      <c r="CU859" s="838"/>
    </row>
    <row r="860">
      <c r="A860" s="834"/>
      <c r="B860" s="834"/>
      <c r="C860" s="834"/>
      <c r="D860" s="834"/>
      <c r="E860" s="834"/>
      <c r="F860" s="834"/>
      <c r="G860" s="834"/>
      <c r="H860" s="834"/>
      <c r="I860" s="834"/>
      <c r="J860" s="834"/>
      <c r="K860" s="834"/>
      <c r="L860" s="834"/>
      <c r="M860" s="834"/>
      <c r="N860" s="834"/>
      <c r="O860" s="834"/>
      <c r="P860" s="834"/>
      <c r="Q860" s="834"/>
      <c r="R860" s="834"/>
      <c r="S860" s="834"/>
      <c r="T860" s="834"/>
      <c r="U860" s="834"/>
      <c r="V860" s="834"/>
      <c r="W860" s="834"/>
      <c r="X860" s="834"/>
      <c r="Y860" s="834"/>
      <c r="Z860" s="834"/>
      <c r="AA860" s="834"/>
      <c r="AB860" s="834"/>
      <c r="AC860" s="834"/>
      <c r="AD860" s="834"/>
      <c r="AE860" s="834"/>
      <c r="AF860" s="834"/>
      <c r="AG860" s="834"/>
      <c r="AH860" s="834"/>
      <c r="AJ860" s="836"/>
      <c r="AK860" s="836"/>
      <c r="AL860" s="836"/>
      <c r="AM860" s="836"/>
      <c r="AN860" s="836"/>
      <c r="AO860" s="836"/>
      <c r="AP860" s="836"/>
      <c r="AQ860" s="836"/>
      <c r="AR860" s="836"/>
      <c r="AS860" s="836"/>
      <c r="AT860" s="836"/>
      <c r="AU860" s="836"/>
      <c r="AV860" s="836"/>
      <c r="AW860" s="836"/>
      <c r="AX860" s="836"/>
      <c r="AY860" s="836"/>
      <c r="AZ860" s="836"/>
      <c r="BA860" s="836"/>
      <c r="BB860" s="836"/>
      <c r="BC860" s="836"/>
      <c r="BD860" s="836"/>
      <c r="BE860" s="836"/>
      <c r="BF860" s="836"/>
      <c r="BG860" s="836"/>
      <c r="BH860" s="836"/>
      <c r="BI860" s="836"/>
      <c r="BJ860" s="836"/>
      <c r="BK860" s="836"/>
      <c r="BL860" s="836"/>
      <c r="BM860" s="836"/>
      <c r="BN860" s="836"/>
      <c r="BO860" s="836"/>
      <c r="BP860" s="836"/>
      <c r="BR860" s="838"/>
      <c r="BS860" s="838"/>
      <c r="BT860" s="838"/>
      <c r="BU860" s="838"/>
      <c r="BV860" s="838"/>
      <c r="BW860" s="838"/>
      <c r="BX860" s="838"/>
      <c r="BY860" s="838"/>
      <c r="BZ860" s="838"/>
      <c r="CA860" s="838"/>
      <c r="CB860" s="838"/>
      <c r="CC860" s="838"/>
      <c r="CD860" s="838"/>
      <c r="CE860" s="838"/>
      <c r="CF860" s="838"/>
      <c r="CG860" s="838"/>
      <c r="CH860" s="838"/>
      <c r="CI860" s="838"/>
      <c r="CJ860" s="838"/>
      <c r="CK860" s="838"/>
      <c r="CL860" s="838"/>
      <c r="CM860" s="838"/>
      <c r="CN860" s="838"/>
      <c r="CO860" s="838"/>
      <c r="CP860" s="838"/>
      <c r="CQ860" s="838"/>
      <c r="CR860" s="838"/>
      <c r="CS860" s="838"/>
      <c r="CT860" s="838"/>
      <c r="CU860" s="838"/>
    </row>
    <row r="861">
      <c r="A861" s="834"/>
      <c r="B861" s="834"/>
      <c r="C861" s="834"/>
      <c r="D861" s="834"/>
      <c r="E861" s="834"/>
      <c r="F861" s="834"/>
      <c r="G861" s="834"/>
      <c r="H861" s="834"/>
      <c r="I861" s="834"/>
      <c r="J861" s="834"/>
      <c r="K861" s="834"/>
      <c r="L861" s="834"/>
      <c r="M861" s="834"/>
      <c r="N861" s="834"/>
      <c r="O861" s="834"/>
      <c r="P861" s="834"/>
      <c r="Q861" s="834"/>
      <c r="R861" s="834"/>
      <c r="S861" s="834"/>
      <c r="T861" s="834"/>
      <c r="U861" s="834"/>
      <c r="V861" s="834"/>
      <c r="W861" s="834"/>
      <c r="X861" s="834"/>
      <c r="Y861" s="834"/>
      <c r="Z861" s="834"/>
      <c r="AA861" s="834"/>
      <c r="AB861" s="834"/>
      <c r="AC861" s="834"/>
      <c r="AD861" s="834"/>
      <c r="AE861" s="834"/>
      <c r="AF861" s="834"/>
      <c r="AG861" s="834"/>
      <c r="AH861" s="834"/>
      <c r="AJ861" s="836"/>
      <c r="AK861" s="836"/>
      <c r="AL861" s="836"/>
      <c r="AM861" s="836"/>
      <c r="AN861" s="836"/>
      <c r="AO861" s="836"/>
      <c r="AP861" s="836"/>
      <c r="AQ861" s="836"/>
      <c r="AR861" s="836"/>
      <c r="AS861" s="836"/>
      <c r="AT861" s="836"/>
      <c r="AU861" s="836"/>
      <c r="AV861" s="836"/>
      <c r="AW861" s="836"/>
      <c r="AX861" s="836"/>
      <c r="AY861" s="836"/>
      <c r="AZ861" s="836"/>
      <c r="BA861" s="836"/>
      <c r="BB861" s="836"/>
      <c r="BC861" s="836"/>
      <c r="BD861" s="836"/>
      <c r="BE861" s="836"/>
      <c r="BF861" s="836"/>
      <c r="BG861" s="836"/>
      <c r="BH861" s="836"/>
      <c r="BI861" s="836"/>
      <c r="BJ861" s="836"/>
      <c r="BK861" s="836"/>
      <c r="BL861" s="836"/>
      <c r="BM861" s="836"/>
      <c r="BN861" s="836"/>
      <c r="BO861" s="836"/>
      <c r="BP861" s="836"/>
      <c r="BR861" s="838"/>
      <c r="BS861" s="838"/>
      <c r="BT861" s="838"/>
      <c r="BU861" s="838"/>
      <c r="BV861" s="838"/>
      <c r="BW861" s="838"/>
      <c r="BX861" s="838"/>
      <c r="BY861" s="838"/>
      <c r="BZ861" s="838"/>
      <c r="CA861" s="838"/>
      <c r="CB861" s="838"/>
      <c r="CC861" s="838"/>
      <c r="CD861" s="838"/>
      <c r="CE861" s="838"/>
      <c r="CF861" s="838"/>
      <c r="CG861" s="838"/>
      <c r="CH861" s="838"/>
      <c r="CI861" s="838"/>
      <c r="CJ861" s="838"/>
      <c r="CK861" s="838"/>
      <c r="CL861" s="838"/>
      <c r="CM861" s="838"/>
      <c r="CN861" s="838"/>
      <c r="CO861" s="838"/>
      <c r="CP861" s="838"/>
      <c r="CQ861" s="838"/>
      <c r="CR861" s="838"/>
      <c r="CS861" s="838"/>
      <c r="CT861" s="838"/>
      <c r="CU861" s="838"/>
    </row>
    <row r="862">
      <c r="A862" s="834"/>
      <c r="B862" s="834"/>
      <c r="C862" s="834"/>
      <c r="D862" s="834"/>
      <c r="E862" s="834"/>
      <c r="F862" s="834"/>
      <c r="G862" s="834"/>
      <c r="H862" s="834"/>
      <c r="I862" s="834"/>
      <c r="J862" s="834"/>
      <c r="K862" s="834"/>
      <c r="L862" s="834"/>
      <c r="M862" s="834"/>
      <c r="N862" s="834"/>
      <c r="O862" s="834"/>
      <c r="P862" s="834"/>
      <c r="Q862" s="834"/>
      <c r="R862" s="834"/>
      <c r="S862" s="834"/>
      <c r="T862" s="834"/>
      <c r="U862" s="834"/>
      <c r="V862" s="834"/>
      <c r="W862" s="834"/>
      <c r="X862" s="834"/>
      <c r="Y862" s="834"/>
      <c r="Z862" s="834"/>
      <c r="AA862" s="834"/>
      <c r="AB862" s="834"/>
      <c r="AC862" s="834"/>
      <c r="AD862" s="834"/>
      <c r="AE862" s="834"/>
      <c r="AF862" s="834"/>
      <c r="AG862" s="834"/>
      <c r="AH862" s="834"/>
      <c r="AJ862" s="836"/>
      <c r="AK862" s="836"/>
      <c r="AL862" s="836"/>
      <c r="AM862" s="836"/>
      <c r="AN862" s="836"/>
      <c r="AO862" s="836"/>
      <c r="AP862" s="836"/>
      <c r="AQ862" s="836"/>
      <c r="AR862" s="836"/>
      <c r="AS862" s="836"/>
      <c r="AT862" s="836"/>
      <c r="AU862" s="836"/>
      <c r="AV862" s="836"/>
      <c r="AW862" s="836"/>
      <c r="AX862" s="836"/>
      <c r="AY862" s="836"/>
      <c r="AZ862" s="836"/>
      <c r="BA862" s="836"/>
      <c r="BB862" s="836"/>
      <c r="BC862" s="836"/>
      <c r="BD862" s="836"/>
      <c r="BE862" s="836"/>
      <c r="BF862" s="836"/>
      <c r="BG862" s="836"/>
      <c r="BH862" s="836"/>
      <c r="BI862" s="836"/>
      <c r="BJ862" s="836"/>
      <c r="BK862" s="836"/>
      <c r="BL862" s="836"/>
      <c r="BM862" s="836"/>
      <c r="BN862" s="836"/>
      <c r="BO862" s="836"/>
      <c r="BP862" s="836"/>
      <c r="BR862" s="838"/>
      <c r="BS862" s="838"/>
      <c r="BT862" s="838"/>
      <c r="BU862" s="838"/>
      <c r="BV862" s="838"/>
      <c r="BW862" s="838"/>
      <c r="BX862" s="838"/>
      <c r="BY862" s="838"/>
      <c r="BZ862" s="838"/>
      <c r="CA862" s="838"/>
      <c r="CB862" s="838"/>
      <c r="CC862" s="838"/>
      <c r="CD862" s="838"/>
      <c r="CE862" s="838"/>
      <c r="CF862" s="838"/>
      <c r="CG862" s="838"/>
      <c r="CH862" s="838"/>
      <c r="CI862" s="838"/>
      <c r="CJ862" s="838"/>
      <c r="CK862" s="838"/>
      <c r="CL862" s="838"/>
      <c r="CM862" s="838"/>
      <c r="CN862" s="838"/>
      <c r="CO862" s="838"/>
      <c r="CP862" s="838"/>
      <c r="CQ862" s="838"/>
      <c r="CR862" s="838"/>
      <c r="CS862" s="838"/>
      <c r="CT862" s="838"/>
      <c r="CU862" s="838"/>
    </row>
    <row r="863">
      <c r="A863" s="834"/>
      <c r="B863" s="834"/>
      <c r="C863" s="834"/>
      <c r="D863" s="834"/>
      <c r="E863" s="834"/>
      <c r="F863" s="834"/>
      <c r="G863" s="834"/>
      <c r="H863" s="834"/>
      <c r="I863" s="834"/>
      <c r="J863" s="834"/>
      <c r="K863" s="834"/>
      <c r="L863" s="834"/>
      <c r="M863" s="834"/>
      <c r="N863" s="834"/>
      <c r="O863" s="834"/>
      <c r="P863" s="834"/>
      <c r="Q863" s="834"/>
      <c r="R863" s="834"/>
      <c r="S863" s="834"/>
      <c r="T863" s="834"/>
      <c r="U863" s="834"/>
      <c r="V863" s="834"/>
      <c r="W863" s="834"/>
      <c r="X863" s="834"/>
      <c r="Y863" s="834"/>
      <c r="Z863" s="834"/>
      <c r="AA863" s="834"/>
      <c r="AB863" s="834"/>
      <c r="AC863" s="834"/>
      <c r="AD863" s="834"/>
      <c r="AE863" s="834"/>
      <c r="AF863" s="834"/>
      <c r="AG863" s="834"/>
      <c r="AH863" s="834"/>
      <c r="AJ863" s="836"/>
      <c r="AK863" s="836"/>
      <c r="AL863" s="836"/>
      <c r="AM863" s="836"/>
      <c r="AN863" s="836"/>
      <c r="AO863" s="836"/>
      <c r="AP863" s="836"/>
      <c r="AQ863" s="836"/>
      <c r="AR863" s="836"/>
      <c r="AS863" s="836"/>
      <c r="AT863" s="836"/>
      <c r="AU863" s="836"/>
      <c r="AV863" s="836"/>
      <c r="AW863" s="836"/>
      <c r="AX863" s="836"/>
      <c r="AY863" s="836"/>
      <c r="AZ863" s="836"/>
      <c r="BA863" s="836"/>
      <c r="BB863" s="836"/>
      <c r="BC863" s="836"/>
      <c r="BD863" s="836"/>
      <c r="BE863" s="836"/>
      <c r="BF863" s="836"/>
      <c r="BG863" s="836"/>
      <c r="BH863" s="836"/>
      <c r="BI863" s="836"/>
      <c r="BJ863" s="836"/>
      <c r="BK863" s="836"/>
      <c r="BL863" s="836"/>
      <c r="BM863" s="836"/>
      <c r="BN863" s="836"/>
      <c r="BO863" s="836"/>
      <c r="BP863" s="836"/>
      <c r="BR863" s="838"/>
      <c r="BS863" s="838"/>
      <c r="BT863" s="838"/>
      <c r="BU863" s="838"/>
      <c r="BV863" s="838"/>
      <c r="BW863" s="838"/>
      <c r="BX863" s="838"/>
      <c r="BY863" s="838"/>
      <c r="BZ863" s="838"/>
      <c r="CA863" s="838"/>
      <c r="CB863" s="838"/>
      <c r="CC863" s="838"/>
      <c r="CD863" s="838"/>
      <c r="CE863" s="838"/>
      <c r="CF863" s="838"/>
      <c r="CG863" s="838"/>
      <c r="CH863" s="838"/>
      <c r="CI863" s="838"/>
      <c r="CJ863" s="838"/>
      <c r="CK863" s="838"/>
      <c r="CL863" s="838"/>
      <c r="CM863" s="838"/>
      <c r="CN863" s="838"/>
      <c r="CO863" s="838"/>
      <c r="CP863" s="838"/>
      <c r="CQ863" s="838"/>
      <c r="CR863" s="838"/>
      <c r="CS863" s="838"/>
      <c r="CT863" s="838"/>
      <c r="CU863" s="838"/>
    </row>
    <row r="864">
      <c r="A864" s="834"/>
      <c r="B864" s="834"/>
      <c r="C864" s="834"/>
      <c r="D864" s="834"/>
      <c r="E864" s="834"/>
      <c r="F864" s="834"/>
      <c r="G864" s="834"/>
      <c r="H864" s="834"/>
      <c r="I864" s="834"/>
      <c r="J864" s="834"/>
      <c r="K864" s="834"/>
      <c r="L864" s="834"/>
      <c r="M864" s="834"/>
      <c r="N864" s="834"/>
      <c r="O864" s="834"/>
      <c r="P864" s="834"/>
      <c r="Q864" s="834"/>
      <c r="R864" s="834"/>
      <c r="S864" s="834"/>
      <c r="T864" s="834"/>
      <c r="U864" s="834"/>
      <c r="V864" s="834"/>
      <c r="W864" s="834"/>
      <c r="X864" s="834"/>
      <c r="Y864" s="834"/>
      <c r="Z864" s="834"/>
      <c r="AA864" s="834"/>
      <c r="AB864" s="834"/>
      <c r="AC864" s="834"/>
      <c r="AD864" s="834"/>
      <c r="AE864" s="834"/>
      <c r="AF864" s="834"/>
      <c r="AG864" s="834"/>
      <c r="AH864" s="834"/>
      <c r="AJ864" s="836"/>
      <c r="AK864" s="836"/>
      <c r="AL864" s="836"/>
      <c r="AM864" s="836"/>
      <c r="AN864" s="836"/>
      <c r="AO864" s="836"/>
      <c r="AP864" s="836"/>
      <c r="AQ864" s="836"/>
      <c r="AR864" s="836"/>
      <c r="AS864" s="836"/>
      <c r="AT864" s="836"/>
      <c r="AU864" s="836"/>
      <c r="AV864" s="836"/>
      <c r="AW864" s="836"/>
      <c r="AX864" s="836"/>
      <c r="AY864" s="836"/>
      <c r="AZ864" s="836"/>
      <c r="BA864" s="836"/>
      <c r="BB864" s="836"/>
      <c r="BC864" s="836"/>
      <c r="BD864" s="836"/>
      <c r="BE864" s="836"/>
      <c r="BF864" s="836"/>
      <c r="BG864" s="836"/>
      <c r="BH864" s="836"/>
      <c r="BI864" s="836"/>
      <c r="BJ864" s="836"/>
      <c r="BK864" s="836"/>
      <c r="BL864" s="836"/>
      <c r="BM864" s="836"/>
      <c r="BN864" s="836"/>
      <c r="BO864" s="836"/>
      <c r="BP864" s="836"/>
      <c r="BR864" s="838"/>
      <c r="BS864" s="838"/>
      <c r="BT864" s="838"/>
      <c r="BU864" s="838"/>
      <c r="BV864" s="838"/>
      <c r="BW864" s="838"/>
      <c r="BX864" s="838"/>
      <c r="BY864" s="838"/>
      <c r="BZ864" s="838"/>
      <c r="CA864" s="838"/>
      <c r="CB864" s="838"/>
      <c r="CC864" s="838"/>
      <c r="CD864" s="838"/>
      <c r="CE864" s="838"/>
      <c r="CF864" s="838"/>
      <c r="CG864" s="838"/>
      <c r="CH864" s="838"/>
      <c r="CI864" s="838"/>
      <c r="CJ864" s="838"/>
      <c r="CK864" s="838"/>
      <c r="CL864" s="838"/>
      <c r="CM864" s="838"/>
      <c r="CN864" s="838"/>
      <c r="CO864" s="838"/>
      <c r="CP864" s="838"/>
      <c r="CQ864" s="838"/>
      <c r="CR864" s="838"/>
      <c r="CS864" s="838"/>
      <c r="CT864" s="838"/>
      <c r="CU864" s="838"/>
    </row>
    <row r="865">
      <c r="A865" s="834"/>
      <c r="B865" s="834"/>
      <c r="C865" s="834"/>
      <c r="D865" s="834"/>
      <c r="E865" s="834"/>
      <c r="F865" s="834"/>
      <c r="G865" s="834"/>
      <c r="H865" s="834"/>
      <c r="I865" s="834"/>
      <c r="J865" s="834"/>
      <c r="K865" s="834"/>
      <c r="L865" s="834"/>
      <c r="M865" s="834"/>
      <c r="N865" s="834"/>
      <c r="O865" s="834"/>
      <c r="P865" s="834"/>
      <c r="Q865" s="834"/>
      <c r="R865" s="834"/>
      <c r="S865" s="834"/>
      <c r="T865" s="834"/>
      <c r="U865" s="834"/>
      <c r="V865" s="834"/>
      <c r="W865" s="834"/>
      <c r="X865" s="834"/>
      <c r="Y865" s="834"/>
      <c r="Z865" s="834"/>
      <c r="AA865" s="834"/>
      <c r="AB865" s="834"/>
      <c r="AC865" s="834"/>
      <c r="AD865" s="834"/>
      <c r="AE865" s="834"/>
      <c r="AF865" s="834"/>
      <c r="AG865" s="834"/>
      <c r="AH865" s="834"/>
      <c r="AJ865" s="836"/>
      <c r="AK865" s="836"/>
      <c r="AL865" s="836"/>
      <c r="AM865" s="836"/>
      <c r="AN865" s="836"/>
      <c r="AO865" s="836"/>
      <c r="AP865" s="836"/>
      <c r="AQ865" s="836"/>
      <c r="AR865" s="836"/>
      <c r="AS865" s="836"/>
      <c r="AT865" s="836"/>
      <c r="AU865" s="836"/>
      <c r="AV865" s="836"/>
      <c r="AW865" s="836"/>
      <c r="AX865" s="836"/>
      <c r="AY865" s="836"/>
      <c r="AZ865" s="836"/>
      <c r="BA865" s="836"/>
      <c r="BB865" s="836"/>
      <c r="BC865" s="836"/>
      <c r="BD865" s="836"/>
      <c r="BE865" s="836"/>
      <c r="BF865" s="836"/>
      <c r="BG865" s="836"/>
      <c r="BH865" s="836"/>
      <c r="BI865" s="836"/>
      <c r="BJ865" s="836"/>
      <c r="BK865" s="836"/>
      <c r="BL865" s="836"/>
      <c r="BM865" s="836"/>
      <c r="BN865" s="836"/>
      <c r="BO865" s="836"/>
      <c r="BP865" s="836"/>
      <c r="BR865" s="838"/>
      <c r="BS865" s="838"/>
      <c r="BT865" s="838"/>
      <c r="BU865" s="838"/>
      <c r="BV865" s="838"/>
      <c r="BW865" s="838"/>
      <c r="BX865" s="838"/>
      <c r="BY865" s="838"/>
      <c r="BZ865" s="838"/>
      <c r="CA865" s="838"/>
      <c r="CB865" s="838"/>
      <c r="CC865" s="838"/>
      <c r="CD865" s="838"/>
      <c r="CE865" s="838"/>
      <c r="CF865" s="838"/>
      <c r="CG865" s="838"/>
      <c r="CH865" s="838"/>
      <c r="CI865" s="838"/>
      <c r="CJ865" s="838"/>
      <c r="CK865" s="838"/>
      <c r="CL865" s="838"/>
      <c r="CM865" s="838"/>
      <c r="CN865" s="838"/>
      <c r="CO865" s="838"/>
      <c r="CP865" s="838"/>
      <c r="CQ865" s="838"/>
      <c r="CR865" s="838"/>
      <c r="CS865" s="838"/>
      <c r="CT865" s="838"/>
      <c r="CU865" s="838"/>
    </row>
    <row r="866">
      <c r="A866" s="834"/>
      <c r="B866" s="834"/>
      <c r="C866" s="834"/>
      <c r="D866" s="834"/>
      <c r="E866" s="834"/>
      <c r="F866" s="834"/>
      <c r="G866" s="834"/>
      <c r="H866" s="834"/>
      <c r="I866" s="834"/>
      <c r="J866" s="834"/>
      <c r="K866" s="834"/>
      <c r="L866" s="834"/>
      <c r="M866" s="834"/>
      <c r="N866" s="834"/>
      <c r="O866" s="834"/>
      <c r="P866" s="834"/>
      <c r="Q866" s="834"/>
      <c r="R866" s="834"/>
      <c r="S866" s="834"/>
      <c r="T866" s="834"/>
      <c r="U866" s="834"/>
      <c r="V866" s="834"/>
      <c r="W866" s="834"/>
      <c r="X866" s="834"/>
      <c r="Y866" s="834"/>
      <c r="Z866" s="834"/>
      <c r="AA866" s="834"/>
      <c r="AB866" s="834"/>
      <c r="AC866" s="834"/>
      <c r="AD866" s="834"/>
      <c r="AE866" s="834"/>
      <c r="AF866" s="834"/>
      <c r="AG866" s="834"/>
      <c r="AH866" s="834"/>
      <c r="AJ866" s="836"/>
      <c r="AK866" s="836"/>
      <c r="AL866" s="836"/>
      <c r="AM866" s="836"/>
      <c r="AN866" s="836"/>
      <c r="AO866" s="836"/>
      <c r="AP866" s="836"/>
      <c r="AQ866" s="836"/>
      <c r="AR866" s="836"/>
      <c r="AS866" s="836"/>
      <c r="AT866" s="836"/>
      <c r="AU866" s="836"/>
      <c r="AV866" s="836"/>
      <c r="AW866" s="836"/>
      <c r="AX866" s="836"/>
      <c r="AY866" s="836"/>
      <c r="AZ866" s="836"/>
      <c r="BA866" s="836"/>
      <c r="BB866" s="836"/>
      <c r="BC866" s="836"/>
      <c r="BD866" s="836"/>
      <c r="BE866" s="836"/>
      <c r="BF866" s="836"/>
      <c r="BG866" s="836"/>
      <c r="BH866" s="836"/>
      <c r="BI866" s="836"/>
      <c r="BJ866" s="836"/>
      <c r="BK866" s="836"/>
      <c r="BL866" s="836"/>
      <c r="BM866" s="836"/>
      <c r="BN866" s="836"/>
      <c r="BO866" s="836"/>
      <c r="BP866" s="836"/>
      <c r="BR866" s="838"/>
      <c r="BS866" s="838"/>
      <c r="BT866" s="838"/>
      <c r="BU866" s="838"/>
      <c r="BV866" s="838"/>
      <c r="BW866" s="838"/>
      <c r="BX866" s="838"/>
      <c r="BY866" s="838"/>
      <c r="BZ866" s="838"/>
      <c r="CA866" s="838"/>
      <c r="CB866" s="838"/>
      <c r="CC866" s="838"/>
      <c r="CD866" s="838"/>
      <c r="CE866" s="838"/>
      <c r="CF866" s="838"/>
      <c r="CG866" s="838"/>
      <c r="CH866" s="838"/>
      <c r="CI866" s="838"/>
      <c r="CJ866" s="838"/>
      <c r="CK866" s="838"/>
      <c r="CL866" s="838"/>
      <c r="CM866" s="838"/>
      <c r="CN866" s="838"/>
      <c r="CO866" s="838"/>
      <c r="CP866" s="838"/>
      <c r="CQ866" s="838"/>
      <c r="CR866" s="838"/>
      <c r="CS866" s="838"/>
      <c r="CT866" s="838"/>
      <c r="CU866" s="838"/>
    </row>
    <row r="867">
      <c r="A867" s="834"/>
      <c r="B867" s="834"/>
      <c r="C867" s="834"/>
      <c r="D867" s="834"/>
      <c r="E867" s="834"/>
      <c r="F867" s="834"/>
      <c r="G867" s="834"/>
      <c r="H867" s="834"/>
      <c r="I867" s="834"/>
      <c r="J867" s="834"/>
      <c r="K867" s="834"/>
      <c r="L867" s="834"/>
      <c r="M867" s="834"/>
      <c r="N867" s="834"/>
      <c r="O867" s="834"/>
      <c r="P867" s="834"/>
      <c r="Q867" s="834"/>
      <c r="R867" s="834"/>
      <c r="S867" s="834"/>
      <c r="T867" s="834"/>
      <c r="U867" s="834"/>
      <c r="V867" s="834"/>
      <c r="W867" s="834"/>
      <c r="X867" s="834"/>
      <c r="Y867" s="834"/>
      <c r="Z867" s="834"/>
      <c r="AA867" s="834"/>
      <c r="AB867" s="834"/>
      <c r="AC867" s="834"/>
      <c r="AD867" s="834"/>
      <c r="AE867" s="834"/>
      <c r="AF867" s="834"/>
      <c r="AG867" s="834"/>
      <c r="AH867" s="834"/>
      <c r="AJ867" s="836"/>
      <c r="AK867" s="836"/>
      <c r="AL867" s="836"/>
      <c r="AM867" s="836"/>
      <c r="AN867" s="836"/>
      <c r="AO867" s="836"/>
      <c r="AP867" s="836"/>
      <c r="AQ867" s="836"/>
      <c r="AR867" s="836"/>
      <c r="AS867" s="836"/>
      <c r="AT867" s="836"/>
      <c r="AU867" s="836"/>
      <c r="AV867" s="836"/>
      <c r="AW867" s="836"/>
      <c r="AX867" s="836"/>
      <c r="AY867" s="836"/>
      <c r="AZ867" s="836"/>
      <c r="BA867" s="836"/>
      <c r="BB867" s="836"/>
      <c r="BC867" s="836"/>
      <c r="BD867" s="836"/>
      <c r="BE867" s="836"/>
      <c r="BF867" s="836"/>
      <c r="BG867" s="836"/>
      <c r="BH867" s="836"/>
      <c r="BI867" s="836"/>
      <c r="BJ867" s="836"/>
      <c r="BK867" s="836"/>
      <c r="BL867" s="836"/>
      <c r="BM867" s="836"/>
      <c r="BN867" s="836"/>
      <c r="BO867" s="836"/>
      <c r="BP867" s="836"/>
      <c r="BR867" s="838"/>
      <c r="BS867" s="838"/>
      <c r="BT867" s="838"/>
      <c r="BU867" s="838"/>
      <c r="BV867" s="838"/>
      <c r="BW867" s="838"/>
      <c r="BX867" s="838"/>
      <c r="BY867" s="838"/>
      <c r="BZ867" s="838"/>
      <c r="CA867" s="838"/>
      <c r="CB867" s="838"/>
      <c r="CC867" s="838"/>
      <c r="CD867" s="838"/>
      <c r="CE867" s="838"/>
      <c r="CF867" s="838"/>
      <c r="CG867" s="838"/>
      <c r="CH867" s="838"/>
      <c r="CI867" s="838"/>
      <c r="CJ867" s="838"/>
      <c r="CK867" s="838"/>
      <c r="CL867" s="838"/>
      <c r="CM867" s="838"/>
      <c r="CN867" s="838"/>
      <c r="CO867" s="838"/>
      <c r="CP867" s="838"/>
      <c r="CQ867" s="838"/>
      <c r="CR867" s="838"/>
      <c r="CS867" s="838"/>
      <c r="CT867" s="838"/>
      <c r="CU867" s="838"/>
    </row>
    <row r="868">
      <c r="A868" s="834"/>
      <c r="B868" s="834"/>
      <c r="C868" s="834"/>
      <c r="D868" s="834"/>
      <c r="E868" s="834"/>
      <c r="F868" s="834"/>
      <c r="G868" s="834"/>
      <c r="H868" s="834"/>
      <c r="I868" s="834"/>
      <c r="J868" s="834"/>
      <c r="K868" s="834"/>
      <c r="L868" s="834"/>
      <c r="M868" s="834"/>
      <c r="N868" s="834"/>
      <c r="O868" s="834"/>
      <c r="P868" s="834"/>
      <c r="Q868" s="834"/>
      <c r="R868" s="834"/>
      <c r="S868" s="834"/>
      <c r="T868" s="834"/>
      <c r="U868" s="834"/>
      <c r="V868" s="834"/>
      <c r="W868" s="834"/>
      <c r="X868" s="834"/>
      <c r="Y868" s="834"/>
      <c r="Z868" s="834"/>
      <c r="AA868" s="834"/>
      <c r="AB868" s="834"/>
      <c r="AC868" s="834"/>
      <c r="AD868" s="834"/>
      <c r="AE868" s="834"/>
      <c r="AF868" s="834"/>
      <c r="AG868" s="834"/>
      <c r="AH868" s="834"/>
      <c r="AJ868" s="836"/>
      <c r="AK868" s="836"/>
      <c r="AL868" s="836"/>
      <c r="AM868" s="836"/>
      <c r="AN868" s="836"/>
      <c r="AO868" s="836"/>
      <c r="AP868" s="836"/>
      <c r="AQ868" s="836"/>
      <c r="AR868" s="836"/>
      <c r="AS868" s="836"/>
      <c r="AT868" s="836"/>
      <c r="AU868" s="836"/>
      <c r="AV868" s="836"/>
      <c r="AW868" s="836"/>
      <c r="AX868" s="836"/>
      <c r="AY868" s="836"/>
      <c r="AZ868" s="836"/>
      <c r="BA868" s="836"/>
      <c r="BB868" s="836"/>
      <c r="BC868" s="836"/>
      <c r="BD868" s="836"/>
      <c r="BE868" s="836"/>
      <c r="BF868" s="836"/>
      <c r="BG868" s="836"/>
      <c r="BH868" s="836"/>
      <c r="BI868" s="836"/>
      <c r="BJ868" s="836"/>
      <c r="BK868" s="836"/>
      <c r="BL868" s="836"/>
      <c r="BM868" s="836"/>
      <c r="BN868" s="836"/>
      <c r="BO868" s="836"/>
      <c r="BP868" s="836"/>
      <c r="BR868" s="838"/>
      <c r="BS868" s="838"/>
      <c r="BT868" s="838"/>
      <c r="BU868" s="838"/>
      <c r="BV868" s="838"/>
      <c r="BW868" s="838"/>
      <c r="BX868" s="838"/>
      <c r="BY868" s="838"/>
      <c r="BZ868" s="838"/>
      <c r="CA868" s="838"/>
      <c r="CB868" s="838"/>
      <c r="CC868" s="838"/>
      <c r="CD868" s="838"/>
      <c r="CE868" s="838"/>
      <c r="CF868" s="838"/>
      <c r="CG868" s="838"/>
      <c r="CH868" s="838"/>
      <c r="CI868" s="838"/>
      <c r="CJ868" s="838"/>
      <c r="CK868" s="838"/>
      <c r="CL868" s="838"/>
      <c r="CM868" s="838"/>
      <c r="CN868" s="838"/>
      <c r="CO868" s="838"/>
      <c r="CP868" s="838"/>
      <c r="CQ868" s="838"/>
      <c r="CR868" s="838"/>
      <c r="CS868" s="838"/>
      <c r="CT868" s="838"/>
      <c r="CU868" s="838"/>
    </row>
    <row r="869">
      <c r="A869" s="834"/>
      <c r="B869" s="834"/>
      <c r="C869" s="834"/>
      <c r="D869" s="834"/>
      <c r="E869" s="834"/>
      <c r="F869" s="834"/>
      <c r="G869" s="834"/>
      <c r="H869" s="834"/>
      <c r="I869" s="834"/>
      <c r="J869" s="834"/>
      <c r="K869" s="834"/>
      <c r="L869" s="834"/>
      <c r="M869" s="834"/>
      <c r="N869" s="834"/>
      <c r="O869" s="834"/>
      <c r="P869" s="834"/>
      <c r="Q869" s="834"/>
      <c r="R869" s="834"/>
      <c r="S869" s="834"/>
      <c r="T869" s="834"/>
      <c r="U869" s="834"/>
      <c r="V869" s="834"/>
      <c r="W869" s="834"/>
      <c r="X869" s="834"/>
      <c r="Y869" s="834"/>
      <c r="Z869" s="834"/>
      <c r="AA869" s="834"/>
      <c r="AB869" s="834"/>
      <c r="AC869" s="834"/>
      <c r="AD869" s="834"/>
      <c r="AE869" s="834"/>
      <c r="AF869" s="834"/>
      <c r="AG869" s="834"/>
      <c r="AH869" s="834"/>
      <c r="AJ869" s="836"/>
      <c r="AK869" s="836"/>
      <c r="AL869" s="836"/>
      <c r="AM869" s="836"/>
      <c r="AN869" s="836"/>
      <c r="AO869" s="836"/>
      <c r="AP869" s="836"/>
      <c r="AQ869" s="836"/>
      <c r="AR869" s="836"/>
      <c r="AS869" s="836"/>
      <c r="AT869" s="836"/>
      <c r="AU869" s="836"/>
      <c r="AV869" s="836"/>
      <c r="AW869" s="836"/>
      <c r="AX869" s="836"/>
      <c r="AY869" s="836"/>
      <c r="AZ869" s="836"/>
      <c r="BA869" s="836"/>
      <c r="BB869" s="836"/>
      <c r="BC869" s="836"/>
      <c r="BD869" s="836"/>
      <c r="BE869" s="836"/>
      <c r="BF869" s="836"/>
      <c r="BG869" s="836"/>
      <c r="BH869" s="836"/>
      <c r="BI869" s="836"/>
      <c r="BJ869" s="836"/>
      <c r="BK869" s="836"/>
      <c r="BL869" s="836"/>
      <c r="BM869" s="836"/>
      <c r="BN869" s="836"/>
      <c r="BO869" s="836"/>
      <c r="BP869" s="836"/>
      <c r="BR869" s="838"/>
      <c r="BS869" s="838"/>
      <c r="BT869" s="838"/>
      <c r="BU869" s="838"/>
      <c r="BV869" s="838"/>
      <c r="BW869" s="838"/>
      <c r="BX869" s="838"/>
      <c r="BY869" s="838"/>
      <c r="BZ869" s="838"/>
      <c r="CA869" s="838"/>
      <c r="CB869" s="838"/>
      <c r="CC869" s="838"/>
      <c r="CD869" s="838"/>
      <c r="CE869" s="838"/>
      <c r="CF869" s="838"/>
      <c r="CG869" s="838"/>
      <c r="CH869" s="838"/>
      <c r="CI869" s="838"/>
      <c r="CJ869" s="838"/>
      <c r="CK869" s="838"/>
      <c r="CL869" s="838"/>
      <c r="CM869" s="838"/>
      <c r="CN869" s="838"/>
      <c r="CO869" s="838"/>
      <c r="CP869" s="838"/>
      <c r="CQ869" s="838"/>
      <c r="CR869" s="838"/>
      <c r="CS869" s="838"/>
      <c r="CT869" s="838"/>
      <c r="CU869" s="838"/>
    </row>
    <row r="870">
      <c r="A870" s="834"/>
      <c r="B870" s="834"/>
      <c r="C870" s="834"/>
      <c r="D870" s="834"/>
      <c r="E870" s="834"/>
      <c r="F870" s="834"/>
      <c r="G870" s="834"/>
      <c r="H870" s="834"/>
      <c r="I870" s="834"/>
      <c r="J870" s="834"/>
      <c r="K870" s="834"/>
      <c r="L870" s="834"/>
      <c r="M870" s="834"/>
      <c r="N870" s="834"/>
      <c r="O870" s="834"/>
      <c r="P870" s="834"/>
      <c r="Q870" s="834"/>
      <c r="R870" s="834"/>
      <c r="S870" s="834"/>
      <c r="T870" s="834"/>
      <c r="U870" s="834"/>
      <c r="V870" s="834"/>
      <c r="W870" s="834"/>
      <c r="X870" s="834"/>
      <c r="Y870" s="834"/>
      <c r="Z870" s="834"/>
      <c r="AA870" s="834"/>
      <c r="AB870" s="834"/>
      <c r="AC870" s="834"/>
      <c r="AD870" s="834"/>
      <c r="AE870" s="834"/>
      <c r="AF870" s="834"/>
      <c r="AG870" s="834"/>
      <c r="AH870" s="834"/>
      <c r="AJ870" s="836"/>
      <c r="AK870" s="836"/>
      <c r="AL870" s="836"/>
      <c r="AM870" s="836"/>
      <c r="AN870" s="836"/>
      <c r="AO870" s="836"/>
      <c r="AP870" s="836"/>
      <c r="AQ870" s="836"/>
      <c r="AR870" s="836"/>
      <c r="AS870" s="836"/>
      <c r="AT870" s="836"/>
      <c r="AU870" s="836"/>
      <c r="AV870" s="836"/>
      <c r="AW870" s="836"/>
      <c r="AX870" s="836"/>
      <c r="AY870" s="836"/>
      <c r="AZ870" s="836"/>
      <c r="BA870" s="836"/>
      <c r="BB870" s="836"/>
      <c r="BC870" s="836"/>
      <c r="BD870" s="836"/>
      <c r="BE870" s="836"/>
      <c r="BF870" s="836"/>
      <c r="BG870" s="836"/>
      <c r="BH870" s="836"/>
      <c r="BI870" s="836"/>
      <c r="BJ870" s="836"/>
      <c r="BK870" s="836"/>
      <c r="BL870" s="836"/>
      <c r="BM870" s="836"/>
      <c r="BN870" s="836"/>
      <c r="BO870" s="836"/>
      <c r="BP870" s="836"/>
      <c r="BR870" s="838"/>
      <c r="BS870" s="838"/>
      <c r="BT870" s="838"/>
      <c r="BU870" s="838"/>
      <c r="BV870" s="838"/>
      <c r="BW870" s="838"/>
      <c r="BX870" s="838"/>
      <c r="BY870" s="838"/>
      <c r="BZ870" s="838"/>
      <c r="CA870" s="838"/>
      <c r="CB870" s="838"/>
      <c r="CC870" s="838"/>
      <c r="CD870" s="838"/>
      <c r="CE870" s="838"/>
      <c r="CF870" s="838"/>
      <c r="CG870" s="838"/>
      <c r="CH870" s="838"/>
      <c r="CI870" s="838"/>
      <c r="CJ870" s="838"/>
      <c r="CK870" s="838"/>
      <c r="CL870" s="838"/>
      <c r="CM870" s="838"/>
      <c r="CN870" s="838"/>
      <c r="CO870" s="838"/>
      <c r="CP870" s="838"/>
      <c r="CQ870" s="838"/>
      <c r="CR870" s="838"/>
      <c r="CS870" s="838"/>
      <c r="CT870" s="838"/>
      <c r="CU870" s="838"/>
    </row>
    <row r="871">
      <c r="A871" s="834"/>
      <c r="B871" s="834"/>
      <c r="C871" s="834"/>
      <c r="D871" s="834"/>
      <c r="E871" s="834"/>
      <c r="F871" s="834"/>
      <c r="G871" s="834"/>
      <c r="H871" s="834"/>
      <c r="I871" s="834"/>
      <c r="J871" s="834"/>
      <c r="K871" s="834"/>
      <c r="L871" s="834"/>
      <c r="M871" s="834"/>
      <c r="N871" s="834"/>
      <c r="O871" s="834"/>
      <c r="P871" s="834"/>
      <c r="Q871" s="834"/>
      <c r="R871" s="834"/>
      <c r="S871" s="834"/>
      <c r="T871" s="834"/>
      <c r="U871" s="834"/>
      <c r="V871" s="834"/>
      <c r="W871" s="834"/>
      <c r="X871" s="834"/>
      <c r="Y871" s="834"/>
      <c r="Z871" s="834"/>
      <c r="AA871" s="834"/>
      <c r="AB871" s="834"/>
      <c r="AC871" s="834"/>
      <c r="AD871" s="834"/>
      <c r="AE871" s="834"/>
      <c r="AF871" s="834"/>
      <c r="AG871" s="834"/>
      <c r="AH871" s="834"/>
      <c r="AJ871" s="836"/>
      <c r="AK871" s="836"/>
      <c r="AL871" s="836"/>
      <c r="AM871" s="836"/>
      <c r="AN871" s="836"/>
      <c r="AO871" s="836"/>
      <c r="AP871" s="836"/>
      <c r="AQ871" s="836"/>
      <c r="AR871" s="836"/>
      <c r="AS871" s="836"/>
      <c r="AT871" s="836"/>
      <c r="AU871" s="836"/>
      <c r="AV871" s="836"/>
      <c r="AW871" s="836"/>
      <c r="AX871" s="836"/>
      <c r="AY871" s="836"/>
      <c r="AZ871" s="836"/>
      <c r="BA871" s="836"/>
      <c r="BB871" s="836"/>
      <c r="BC871" s="836"/>
      <c r="BD871" s="836"/>
      <c r="BE871" s="836"/>
      <c r="BF871" s="836"/>
      <c r="BG871" s="836"/>
      <c r="BH871" s="836"/>
      <c r="BI871" s="836"/>
      <c r="BJ871" s="836"/>
      <c r="BK871" s="836"/>
      <c r="BL871" s="836"/>
      <c r="BM871" s="836"/>
      <c r="BN871" s="836"/>
      <c r="BO871" s="836"/>
      <c r="BP871" s="836"/>
      <c r="BR871" s="838"/>
      <c r="BS871" s="838"/>
      <c r="BT871" s="838"/>
      <c r="BU871" s="838"/>
      <c r="BV871" s="838"/>
      <c r="BW871" s="838"/>
      <c r="BX871" s="838"/>
      <c r="BY871" s="838"/>
      <c r="BZ871" s="838"/>
      <c r="CA871" s="838"/>
      <c r="CB871" s="838"/>
      <c r="CC871" s="838"/>
      <c r="CD871" s="838"/>
      <c r="CE871" s="838"/>
      <c r="CF871" s="838"/>
      <c r="CG871" s="838"/>
      <c r="CH871" s="838"/>
      <c r="CI871" s="838"/>
      <c r="CJ871" s="838"/>
      <c r="CK871" s="838"/>
      <c r="CL871" s="838"/>
      <c r="CM871" s="838"/>
      <c r="CN871" s="838"/>
      <c r="CO871" s="838"/>
      <c r="CP871" s="838"/>
      <c r="CQ871" s="838"/>
      <c r="CR871" s="838"/>
      <c r="CS871" s="838"/>
      <c r="CT871" s="838"/>
      <c r="CU871" s="838"/>
    </row>
    <row r="872">
      <c r="A872" s="834"/>
      <c r="B872" s="834"/>
      <c r="C872" s="834"/>
      <c r="D872" s="834"/>
      <c r="E872" s="834"/>
      <c r="F872" s="834"/>
      <c r="G872" s="834"/>
      <c r="H872" s="834"/>
      <c r="I872" s="834"/>
      <c r="J872" s="834"/>
      <c r="K872" s="834"/>
      <c r="L872" s="834"/>
      <c r="M872" s="834"/>
      <c r="N872" s="834"/>
      <c r="O872" s="834"/>
      <c r="P872" s="834"/>
      <c r="Q872" s="834"/>
      <c r="R872" s="834"/>
      <c r="S872" s="834"/>
      <c r="T872" s="834"/>
      <c r="U872" s="834"/>
      <c r="V872" s="834"/>
      <c r="W872" s="834"/>
      <c r="X872" s="834"/>
      <c r="Y872" s="834"/>
      <c r="Z872" s="834"/>
      <c r="AA872" s="834"/>
      <c r="AB872" s="834"/>
      <c r="AC872" s="834"/>
      <c r="AD872" s="834"/>
      <c r="AE872" s="834"/>
      <c r="AF872" s="834"/>
      <c r="AG872" s="834"/>
      <c r="AH872" s="834"/>
      <c r="AJ872" s="836"/>
      <c r="AK872" s="836"/>
      <c r="AL872" s="836"/>
      <c r="AM872" s="836"/>
      <c r="AN872" s="836"/>
      <c r="AO872" s="836"/>
      <c r="AP872" s="836"/>
      <c r="AQ872" s="836"/>
      <c r="AR872" s="836"/>
      <c r="AS872" s="836"/>
      <c r="AT872" s="836"/>
      <c r="AU872" s="836"/>
      <c r="AV872" s="836"/>
      <c r="AW872" s="836"/>
      <c r="AX872" s="836"/>
      <c r="AY872" s="836"/>
      <c r="AZ872" s="836"/>
      <c r="BA872" s="836"/>
      <c r="BB872" s="836"/>
      <c r="BC872" s="836"/>
      <c r="BD872" s="836"/>
      <c r="BE872" s="836"/>
      <c r="BF872" s="836"/>
      <c r="BG872" s="836"/>
      <c r="BH872" s="836"/>
      <c r="BI872" s="836"/>
      <c r="BJ872" s="836"/>
      <c r="BK872" s="836"/>
      <c r="BL872" s="836"/>
      <c r="BM872" s="836"/>
      <c r="BN872" s="836"/>
      <c r="BO872" s="836"/>
      <c r="BP872" s="836"/>
      <c r="BR872" s="838"/>
      <c r="BS872" s="838"/>
      <c r="BT872" s="838"/>
      <c r="BU872" s="838"/>
      <c r="BV872" s="838"/>
      <c r="BW872" s="838"/>
      <c r="BX872" s="838"/>
      <c r="BY872" s="838"/>
      <c r="BZ872" s="838"/>
      <c r="CA872" s="838"/>
      <c r="CB872" s="838"/>
      <c r="CC872" s="838"/>
      <c r="CD872" s="838"/>
      <c r="CE872" s="838"/>
      <c r="CF872" s="838"/>
      <c r="CG872" s="838"/>
      <c r="CH872" s="838"/>
      <c r="CI872" s="838"/>
      <c r="CJ872" s="838"/>
      <c r="CK872" s="838"/>
      <c r="CL872" s="838"/>
      <c r="CM872" s="838"/>
      <c r="CN872" s="838"/>
      <c r="CO872" s="838"/>
      <c r="CP872" s="838"/>
      <c r="CQ872" s="838"/>
      <c r="CR872" s="838"/>
      <c r="CS872" s="838"/>
      <c r="CT872" s="838"/>
      <c r="CU872" s="838"/>
    </row>
    <row r="873">
      <c r="A873" s="834"/>
      <c r="B873" s="834"/>
      <c r="C873" s="834"/>
      <c r="D873" s="834"/>
      <c r="E873" s="834"/>
      <c r="F873" s="834"/>
      <c r="G873" s="834"/>
      <c r="H873" s="834"/>
      <c r="I873" s="834"/>
      <c r="J873" s="834"/>
      <c r="K873" s="834"/>
      <c r="L873" s="834"/>
      <c r="M873" s="834"/>
      <c r="N873" s="834"/>
      <c r="O873" s="834"/>
      <c r="P873" s="834"/>
      <c r="Q873" s="834"/>
      <c r="R873" s="834"/>
      <c r="S873" s="834"/>
      <c r="T873" s="834"/>
      <c r="U873" s="834"/>
      <c r="V873" s="834"/>
      <c r="W873" s="834"/>
      <c r="X873" s="834"/>
      <c r="Y873" s="834"/>
      <c r="Z873" s="834"/>
      <c r="AA873" s="834"/>
      <c r="AB873" s="834"/>
      <c r="AC873" s="834"/>
      <c r="AD873" s="834"/>
      <c r="AE873" s="834"/>
      <c r="AF873" s="834"/>
      <c r="AG873" s="834"/>
      <c r="AH873" s="834"/>
      <c r="AJ873" s="836"/>
      <c r="AK873" s="836"/>
      <c r="AL873" s="836"/>
      <c r="AM873" s="836"/>
      <c r="AN873" s="836"/>
      <c r="AO873" s="836"/>
      <c r="AP873" s="836"/>
      <c r="AQ873" s="836"/>
      <c r="AR873" s="836"/>
      <c r="AS873" s="836"/>
      <c r="AT873" s="836"/>
      <c r="AU873" s="836"/>
      <c r="AV873" s="836"/>
      <c r="AW873" s="836"/>
      <c r="AX873" s="836"/>
      <c r="AY873" s="836"/>
      <c r="AZ873" s="836"/>
      <c r="BA873" s="836"/>
      <c r="BB873" s="836"/>
      <c r="BC873" s="836"/>
      <c r="BD873" s="836"/>
      <c r="BE873" s="836"/>
      <c r="BF873" s="836"/>
      <c r="BG873" s="836"/>
      <c r="BH873" s="836"/>
      <c r="BI873" s="836"/>
      <c r="BJ873" s="836"/>
      <c r="BK873" s="836"/>
      <c r="BL873" s="836"/>
      <c r="BM873" s="836"/>
      <c r="BN873" s="836"/>
      <c r="BO873" s="836"/>
      <c r="BP873" s="836"/>
      <c r="BR873" s="838"/>
      <c r="BS873" s="838"/>
      <c r="BT873" s="838"/>
      <c r="BU873" s="838"/>
      <c r="BV873" s="838"/>
      <c r="BW873" s="838"/>
      <c r="BX873" s="838"/>
      <c r="BY873" s="838"/>
      <c r="BZ873" s="838"/>
      <c r="CA873" s="838"/>
      <c r="CB873" s="838"/>
      <c r="CC873" s="838"/>
      <c r="CD873" s="838"/>
      <c r="CE873" s="838"/>
      <c r="CF873" s="838"/>
      <c r="CG873" s="838"/>
      <c r="CH873" s="838"/>
      <c r="CI873" s="838"/>
      <c r="CJ873" s="838"/>
      <c r="CK873" s="838"/>
      <c r="CL873" s="838"/>
      <c r="CM873" s="838"/>
      <c r="CN873" s="838"/>
      <c r="CO873" s="838"/>
      <c r="CP873" s="838"/>
      <c r="CQ873" s="838"/>
      <c r="CR873" s="838"/>
      <c r="CS873" s="838"/>
      <c r="CT873" s="838"/>
      <c r="CU873" s="838"/>
    </row>
    <row r="874">
      <c r="A874" s="834"/>
      <c r="B874" s="834"/>
      <c r="C874" s="834"/>
      <c r="D874" s="834"/>
      <c r="E874" s="834"/>
      <c r="F874" s="834"/>
      <c r="G874" s="834"/>
      <c r="H874" s="834"/>
      <c r="I874" s="834"/>
      <c r="J874" s="834"/>
      <c r="K874" s="834"/>
      <c r="L874" s="834"/>
      <c r="M874" s="834"/>
      <c r="N874" s="834"/>
      <c r="O874" s="834"/>
      <c r="P874" s="834"/>
      <c r="Q874" s="834"/>
      <c r="R874" s="834"/>
      <c r="S874" s="834"/>
      <c r="T874" s="834"/>
      <c r="U874" s="834"/>
      <c r="V874" s="834"/>
      <c r="W874" s="834"/>
      <c r="X874" s="834"/>
      <c r="Y874" s="834"/>
      <c r="Z874" s="834"/>
      <c r="AA874" s="834"/>
      <c r="AB874" s="834"/>
      <c r="AC874" s="834"/>
      <c r="AD874" s="834"/>
      <c r="AE874" s="834"/>
      <c r="AF874" s="834"/>
      <c r="AG874" s="834"/>
      <c r="AH874" s="834"/>
      <c r="AJ874" s="836"/>
      <c r="AK874" s="836"/>
      <c r="AL874" s="836"/>
      <c r="AM874" s="836"/>
      <c r="AN874" s="836"/>
      <c r="AO874" s="836"/>
      <c r="AP874" s="836"/>
      <c r="AQ874" s="836"/>
      <c r="AR874" s="836"/>
      <c r="AS874" s="836"/>
      <c r="AT874" s="836"/>
      <c r="AU874" s="836"/>
      <c r="AV874" s="836"/>
      <c r="AW874" s="836"/>
      <c r="AX874" s="836"/>
      <c r="AY874" s="836"/>
      <c r="AZ874" s="836"/>
      <c r="BA874" s="836"/>
      <c r="BB874" s="836"/>
      <c r="BC874" s="836"/>
      <c r="BD874" s="836"/>
      <c r="BE874" s="836"/>
      <c r="BF874" s="836"/>
      <c r="BG874" s="836"/>
      <c r="BH874" s="836"/>
      <c r="BI874" s="836"/>
      <c r="BJ874" s="836"/>
      <c r="BK874" s="836"/>
      <c r="BL874" s="836"/>
      <c r="BM874" s="836"/>
      <c r="BN874" s="836"/>
      <c r="BO874" s="836"/>
      <c r="BP874" s="836"/>
      <c r="BR874" s="838"/>
      <c r="BS874" s="838"/>
      <c r="BT874" s="838"/>
      <c r="BU874" s="838"/>
      <c r="BV874" s="838"/>
      <c r="BW874" s="838"/>
      <c r="BX874" s="838"/>
      <c r="BY874" s="838"/>
      <c r="BZ874" s="838"/>
      <c r="CA874" s="838"/>
      <c r="CB874" s="838"/>
      <c r="CC874" s="838"/>
      <c r="CD874" s="838"/>
      <c r="CE874" s="838"/>
      <c r="CF874" s="838"/>
      <c r="CG874" s="838"/>
      <c r="CH874" s="838"/>
      <c r="CI874" s="838"/>
      <c r="CJ874" s="838"/>
      <c r="CK874" s="838"/>
      <c r="CL874" s="838"/>
      <c r="CM874" s="838"/>
      <c r="CN874" s="838"/>
      <c r="CO874" s="838"/>
      <c r="CP874" s="838"/>
      <c r="CQ874" s="838"/>
      <c r="CR874" s="838"/>
      <c r="CS874" s="838"/>
      <c r="CT874" s="838"/>
      <c r="CU874" s="838"/>
    </row>
    <row r="875">
      <c r="A875" s="834"/>
      <c r="B875" s="834"/>
      <c r="C875" s="834"/>
      <c r="D875" s="834"/>
      <c r="E875" s="834"/>
      <c r="F875" s="834"/>
      <c r="G875" s="834"/>
      <c r="H875" s="834"/>
      <c r="I875" s="834"/>
      <c r="J875" s="834"/>
      <c r="K875" s="834"/>
      <c r="L875" s="834"/>
      <c r="M875" s="834"/>
      <c r="N875" s="834"/>
      <c r="O875" s="834"/>
      <c r="P875" s="834"/>
      <c r="Q875" s="834"/>
      <c r="R875" s="834"/>
      <c r="S875" s="834"/>
      <c r="T875" s="834"/>
      <c r="U875" s="834"/>
      <c r="V875" s="834"/>
      <c r="W875" s="834"/>
      <c r="X875" s="834"/>
      <c r="Y875" s="834"/>
      <c r="Z875" s="834"/>
      <c r="AA875" s="834"/>
      <c r="AB875" s="834"/>
      <c r="AC875" s="834"/>
      <c r="AD875" s="834"/>
      <c r="AE875" s="834"/>
      <c r="AF875" s="834"/>
      <c r="AG875" s="834"/>
      <c r="AH875" s="834"/>
      <c r="AJ875" s="836"/>
      <c r="AK875" s="836"/>
      <c r="AL875" s="836"/>
      <c r="AM875" s="836"/>
      <c r="AN875" s="836"/>
      <c r="AO875" s="836"/>
      <c r="AP875" s="836"/>
      <c r="AQ875" s="836"/>
      <c r="AR875" s="836"/>
      <c r="AS875" s="836"/>
      <c r="AT875" s="836"/>
      <c r="AU875" s="836"/>
      <c r="AV875" s="836"/>
      <c r="AW875" s="836"/>
      <c r="AX875" s="836"/>
      <c r="AY875" s="836"/>
      <c r="AZ875" s="836"/>
      <c r="BA875" s="836"/>
      <c r="BB875" s="836"/>
      <c r="BC875" s="836"/>
      <c r="BD875" s="836"/>
      <c r="BE875" s="836"/>
      <c r="BF875" s="836"/>
      <c r="BG875" s="836"/>
      <c r="BH875" s="836"/>
      <c r="BI875" s="836"/>
      <c r="BJ875" s="836"/>
      <c r="BK875" s="836"/>
      <c r="BL875" s="836"/>
      <c r="BM875" s="836"/>
      <c r="BN875" s="836"/>
      <c r="BO875" s="836"/>
      <c r="BP875" s="836"/>
      <c r="BR875" s="838"/>
      <c r="BS875" s="838"/>
      <c r="BT875" s="838"/>
      <c r="BU875" s="838"/>
      <c r="BV875" s="838"/>
      <c r="BW875" s="838"/>
      <c r="BX875" s="838"/>
      <c r="BY875" s="838"/>
      <c r="BZ875" s="838"/>
      <c r="CA875" s="838"/>
      <c r="CB875" s="838"/>
      <c r="CC875" s="838"/>
      <c r="CD875" s="838"/>
      <c r="CE875" s="838"/>
      <c r="CF875" s="838"/>
      <c r="CG875" s="838"/>
      <c r="CH875" s="838"/>
      <c r="CI875" s="838"/>
      <c r="CJ875" s="838"/>
      <c r="CK875" s="838"/>
      <c r="CL875" s="838"/>
      <c r="CM875" s="838"/>
      <c r="CN875" s="838"/>
      <c r="CO875" s="838"/>
      <c r="CP875" s="838"/>
      <c r="CQ875" s="838"/>
      <c r="CR875" s="838"/>
      <c r="CS875" s="838"/>
      <c r="CT875" s="838"/>
      <c r="CU875" s="838"/>
    </row>
    <row r="876">
      <c r="A876" s="834"/>
      <c r="B876" s="834"/>
      <c r="C876" s="834"/>
      <c r="D876" s="834"/>
      <c r="E876" s="834"/>
      <c r="F876" s="834"/>
      <c r="G876" s="834"/>
      <c r="H876" s="834"/>
      <c r="I876" s="834"/>
      <c r="J876" s="834"/>
      <c r="K876" s="834"/>
      <c r="L876" s="834"/>
      <c r="M876" s="834"/>
      <c r="N876" s="834"/>
      <c r="O876" s="834"/>
      <c r="P876" s="834"/>
      <c r="Q876" s="834"/>
      <c r="R876" s="834"/>
      <c r="S876" s="834"/>
      <c r="T876" s="834"/>
      <c r="U876" s="834"/>
      <c r="V876" s="834"/>
      <c r="W876" s="834"/>
      <c r="X876" s="834"/>
      <c r="Y876" s="834"/>
      <c r="Z876" s="834"/>
      <c r="AA876" s="834"/>
      <c r="AB876" s="834"/>
      <c r="AC876" s="834"/>
      <c r="AD876" s="834"/>
      <c r="AE876" s="834"/>
      <c r="AF876" s="834"/>
      <c r="AG876" s="834"/>
      <c r="AH876" s="834"/>
      <c r="AJ876" s="836"/>
      <c r="AK876" s="836"/>
      <c r="AL876" s="836"/>
      <c r="AM876" s="836"/>
      <c r="AN876" s="836"/>
      <c r="AO876" s="836"/>
      <c r="AP876" s="836"/>
      <c r="AQ876" s="836"/>
      <c r="AR876" s="836"/>
      <c r="AS876" s="836"/>
      <c r="AT876" s="836"/>
      <c r="AU876" s="836"/>
      <c r="AV876" s="836"/>
      <c r="AW876" s="836"/>
      <c r="AX876" s="836"/>
      <c r="AY876" s="836"/>
      <c r="AZ876" s="836"/>
      <c r="BA876" s="836"/>
      <c r="BB876" s="836"/>
      <c r="BC876" s="836"/>
      <c r="BD876" s="836"/>
      <c r="BE876" s="836"/>
      <c r="BF876" s="836"/>
      <c r="BG876" s="836"/>
      <c r="BH876" s="836"/>
      <c r="BI876" s="836"/>
      <c r="BJ876" s="836"/>
      <c r="BK876" s="836"/>
      <c r="BL876" s="836"/>
      <c r="BM876" s="836"/>
      <c r="BN876" s="836"/>
      <c r="BO876" s="836"/>
      <c r="BP876" s="836"/>
      <c r="BR876" s="838"/>
      <c r="BS876" s="838"/>
      <c r="BT876" s="838"/>
      <c r="BU876" s="838"/>
      <c r="BV876" s="838"/>
      <c r="BW876" s="838"/>
      <c r="BX876" s="838"/>
      <c r="BY876" s="838"/>
      <c r="BZ876" s="838"/>
      <c r="CA876" s="838"/>
      <c r="CB876" s="838"/>
      <c r="CC876" s="838"/>
      <c r="CD876" s="838"/>
      <c r="CE876" s="838"/>
      <c r="CF876" s="838"/>
      <c r="CG876" s="838"/>
      <c r="CH876" s="838"/>
      <c r="CI876" s="838"/>
      <c r="CJ876" s="838"/>
      <c r="CK876" s="838"/>
      <c r="CL876" s="838"/>
      <c r="CM876" s="838"/>
      <c r="CN876" s="838"/>
      <c r="CO876" s="838"/>
      <c r="CP876" s="838"/>
      <c r="CQ876" s="838"/>
      <c r="CR876" s="838"/>
      <c r="CS876" s="838"/>
      <c r="CT876" s="838"/>
      <c r="CU876" s="838"/>
    </row>
    <row r="877">
      <c r="A877" s="834"/>
      <c r="B877" s="834"/>
      <c r="C877" s="834"/>
      <c r="D877" s="834"/>
      <c r="E877" s="834"/>
      <c r="F877" s="834"/>
      <c r="G877" s="834"/>
      <c r="H877" s="834"/>
      <c r="I877" s="834"/>
      <c r="J877" s="834"/>
      <c r="K877" s="834"/>
      <c r="L877" s="834"/>
      <c r="M877" s="834"/>
      <c r="N877" s="834"/>
      <c r="O877" s="834"/>
      <c r="P877" s="834"/>
      <c r="Q877" s="834"/>
      <c r="R877" s="834"/>
      <c r="S877" s="834"/>
      <c r="T877" s="834"/>
      <c r="U877" s="834"/>
      <c r="V877" s="834"/>
      <c r="W877" s="834"/>
      <c r="X877" s="834"/>
      <c r="Y877" s="834"/>
      <c r="Z877" s="834"/>
      <c r="AA877" s="834"/>
      <c r="AB877" s="834"/>
      <c r="AC877" s="834"/>
      <c r="AD877" s="834"/>
      <c r="AE877" s="834"/>
      <c r="AF877" s="834"/>
      <c r="AG877" s="834"/>
      <c r="AH877" s="834"/>
      <c r="AJ877" s="836"/>
      <c r="AK877" s="836"/>
      <c r="AL877" s="836"/>
      <c r="AM877" s="836"/>
      <c r="AN877" s="836"/>
      <c r="AO877" s="836"/>
      <c r="AP877" s="836"/>
      <c r="AQ877" s="836"/>
      <c r="AR877" s="836"/>
      <c r="AS877" s="836"/>
      <c r="AT877" s="836"/>
      <c r="AU877" s="836"/>
      <c r="AV877" s="836"/>
      <c r="AW877" s="836"/>
      <c r="AX877" s="836"/>
      <c r="AY877" s="836"/>
      <c r="AZ877" s="836"/>
      <c r="BA877" s="836"/>
      <c r="BB877" s="836"/>
      <c r="BC877" s="836"/>
      <c r="BD877" s="836"/>
      <c r="BE877" s="836"/>
      <c r="BF877" s="836"/>
      <c r="BG877" s="836"/>
      <c r="BH877" s="836"/>
      <c r="BI877" s="836"/>
      <c r="BJ877" s="836"/>
      <c r="BK877" s="836"/>
      <c r="BL877" s="836"/>
      <c r="BM877" s="836"/>
      <c r="BN877" s="836"/>
      <c r="BO877" s="836"/>
      <c r="BP877" s="836"/>
      <c r="BR877" s="838"/>
      <c r="BS877" s="838"/>
      <c r="BT877" s="838"/>
      <c r="BU877" s="838"/>
      <c r="BV877" s="838"/>
      <c r="BW877" s="838"/>
      <c r="BX877" s="838"/>
      <c r="BY877" s="838"/>
      <c r="BZ877" s="838"/>
      <c r="CA877" s="838"/>
      <c r="CB877" s="838"/>
      <c r="CC877" s="838"/>
      <c r="CD877" s="838"/>
      <c r="CE877" s="838"/>
      <c r="CF877" s="838"/>
      <c r="CG877" s="838"/>
      <c r="CH877" s="838"/>
      <c r="CI877" s="838"/>
      <c r="CJ877" s="838"/>
      <c r="CK877" s="838"/>
      <c r="CL877" s="838"/>
      <c r="CM877" s="838"/>
      <c r="CN877" s="838"/>
      <c r="CO877" s="838"/>
      <c r="CP877" s="838"/>
      <c r="CQ877" s="838"/>
      <c r="CR877" s="838"/>
      <c r="CS877" s="838"/>
      <c r="CT877" s="838"/>
      <c r="CU877" s="838"/>
    </row>
    <row r="878">
      <c r="A878" s="834"/>
      <c r="B878" s="834"/>
      <c r="C878" s="834"/>
      <c r="D878" s="834"/>
      <c r="E878" s="834"/>
      <c r="F878" s="834"/>
      <c r="G878" s="834"/>
      <c r="H878" s="834"/>
      <c r="I878" s="834"/>
      <c r="J878" s="834"/>
      <c r="K878" s="834"/>
      <c r="L878" s="834"/>
      <c r="M878" s="834"/>
      <c r="N878" s="834"/>
      <c r="O878" s="834"/>
      <c r="P878" s="834"/>
      <c r="Q878" s="834"/>
      <c r="R878" s="834"/>
      <c r="S878" s="834"/>
      <c r="T878" s="834"/>
      <c r="U878" s="834"/>
      <c r="V878" s="834"/>
      <c r="W878" s="834"/>
      <c r="X878" s="834"/>
      <c r="Y878" s="834"/>
      <c r="Z878" s="834"/>
      <c r="AA878" s="834"/>
      <c r="AB878" s="834"/>
      <c r="AC878" s="834"/>
      <c r="AD878" s="834"/>
      <c r="AE878" s="834"/>
      <c r="AF878" s="834"/>
      <c r="AG878" s="834"/>
      <c r="AH878" s="834"/>
      <c r="AJ878" s="836"/>
      <c r="AK878" s="836"/>
      <c r="AL878" s="836"/>
      <c r="AM878" s="836"/>
      <c r="AN878" s="836"/>
      <c r="AO878" s="836"/>
      <c r="AP878" s="836"/>
      <c r="AQ878" s="836"/>
      <c r="AR878" s="836"/>
      <c r="AS878" s="836"/>
      <c r="AT878" s="836"/>
      <c r="AU878" s="836"/>
      <c r="AV878" s="836"/>
      <c r="AW878" s="836"/>
      <c r="AX878" s="836"/>
      <c r="AY878" s="836"/>
      <c r="AZ878" s="836"/>
      <c r="BA878" s="836"/>
      <c r="BB878" s="836"/>
      <c r="BC878" s="836"/>
      <c r="BD878" s="836"/>
      <c r="BE878" s="836"/>
      <c r="BF878" s="836"/>
      <c r="BG878" s="836"/>
      <c r="BH878" s="836"/>
      <c r="BI878" s="836"/>
      <c r="BJ878" s="836"/>
      <c r="BK878" s="836"/>
      <c r="BL878" s="836"/>
      <c r="BM878" s="836"/>
      <c r="BN878" s="836"/>
      <c r="BO878" s="836"/>
      <c r="BP878" s="836"/>
      <c r="BR878" s="838"/>
      <c r="BS878" s="838"/>
      <c r="BT878" s="838"/>
      <c r="BU878" s="838"/>
      <c r="BV878" s="838"/>
      <c r="BW878" s="838"/>
      <c r="BX878" s="838"/>
      <c r="BY878" s="838"/>
      <c r="BZ878" s="838"/>
      <c r="CA878" s="838"/>
      <c r="CB878" s="838"/>
      <c r="CC878" s="838"/>
      <c r="CD878" s="838"/>
      <c r="CE878" s="838"/>
      <c r="CF878" s="838"/>
      <c r="CG878" s="838"/>
      <c r="CH878" s="838"/>
      <c r="CI878" s="838"/>
      <c r="CJ878" s="838"/>
      <c r="CK878" s="838"/>
      <c r="CL878" s="838"/>
      <c r="CM878" s="838"/>
      <c r="CN878" s="838"/>
      <c r="CO878" s="838"/>
      <c r="CP878" s="838"/>
      <c r="CQ878" s="838"/>
      <c r="CR878" s="838"/>
      <c r="CS878" s="838"/>
      <c r="CT878" s="838"/>
      <c r="CU878" s="838"/>
    </row>
    <row r="879">
      <c r="A879" s="834"/>
      <c r="B879" s="834"/>
      <c r="C879" s="834"/>
      <c r="D879" s="834"/>
      <c r="E879" s="834"/>
      <c r="F879" s="834"/>
      <c r="G879" s="834"/>
      <c r="H879" s="834"/>
      <c r="I879" s="834"/>
      <c r="J879" s="834"/>
      <c r="K879" s="834"/>
      <c r="L879" s="834"/>
      <c r="M879" s="834"/>
      <c r="N879" s="834"/>
      <c r="O879" s="834"/>
      <c r="P879" s="834"/>
      <c r="Q879" s="834"/>
      <c r="R879" s="834"/>
      <c r="S879" s="834"/>
      <c r="T879" s="834"/>
      <c r="U879" s="834"/>
      <c r="V879" s="834"/>
      <c r="W879" s="834"/>
      <c r="X879" s="834"/>
      <c r="Y879" s="834"/>
      <c r="Z879" s="834"/>
      <c r="AA879" s="834"/>
      <c r="AB879" s="834"/>
      <c r="AC879" s="834"/>
      <c r="AD879" s="834"/>
      <c r="AE879" s="834"/>
      <c r="AF879" s="834"/>
      <c r="AG879" s="834"/>
      <c r="AH879" s="834"/>
      <c r="AJ879" s="836"/>
      <c r="AK879" s="836"/>
      <c r="AL879" s="836"/>
      <c r="AM879" s="836"/>
      <c r="AN879" s="836"/>
      <c r="AO879" s="836"/>
      <c r="AP879" s="836"/>
      <c r="AQ879" s="836"/>
      <c r="AR879" s="836"/>
      <c r="AS879" s="836"/>
      <c r="AT879" s="836"/>
      <c r="AU879" s="836"/>
      <c r="AV879" s="836"/>
      <c r="AW879" s="836"/>
      <c r="AX879" s="836"/>
      <c r="AY879" s="836"/>
      <c r="AZ879" s="836"/>
      <c r="BA879" s="836"/>
      <c r="BB879" s="836"/>
      <c r="BC879" s="836"/>
      <c r="BD879" s="836"/>
      <c r="BE879" s="836"/>
      <c r="BF879" s="836"/>
      <c r="BG879" s="836"/>
      <c r="BH879" s="836"/>
      <c r="BI879" s="836"/>
      <c r="BJ879" s="836"/>
      <c r="BK879" s="836"/>
      <c r="BL879" s="836"/>
      <c r="BM879" s="836"/>
      <c r="BN879" s="836"/>
      <c r="BO879" s="836"/>
      <c r="BP879" s="836"/>
      <c r="BR879" s="838"/>
      <c r="BS879" s="838"/>
      <c r="BT879" s="838"/>
      <c r="BU879" s="838"/>
      <c r="BV879" s="838"/>
      <c r="BW879" s="838"/>
      <c r="BX879" s="838"/>
      <c r="BY879" s="838"/>
      <c r="BZ879" s="838"/>
      <c r="CA879" s="838"/>
      <c r="CB879" s="838"/>
      <c r="CC879" s="838"/>
      <c r="CD879" s="838"/>
      <c r="CE879" s="838"/>
      <c r="CF879" s="838"/>
      <c r="CG879" s="838"/>
      <c r="CH879" s="838"/>
      <c r="CI879" s="838"/>
      <c r="CJ879" s="838"/>
      <c r="CK879" s="838"/>
      <c r="CL879" s="838"/>
      <c r="CM879" s="838"/>
      <c r="CN879" s="838"/>
      <c r="CO879" s="838"/>
      <c r="CP879" s="838"/>
      <c r="CQ879" s="838"/>
      <c r="CR879" s="838"/>
      <c r="CS879" s="838"/>
      <c r="CT879" s="838"/>
      <c r="CU879" s="838"/>
    </row>
    <row r="880">
      <c r="A880" s="834"/>
      <c r="B880" s="834"/>
      <c r="C880" s="834"/>
      <c r="D880" s="834"/>
      <c r="E880" s="834"/>
      <c r="F880" s="834"/>
      <c r="G880" s="834"/>
      <c r="H880" s="834"/>
      <c r="I880" s="834"/>
      <c r="J880" s="834"/>
      <c r="K880" s="834"/>
      <c r="L880" s="834"/>
      <c r="M880" s="834"/>
      <c r="N880" s="834"/>
      <c r="O880" s="834"/>
      <c r="P880" s="834"/>
      <c r="Q880" s="834"/>
      <c r="R880" s="834"/>
      <c r="S880" s="834"/>
      <c r="T880" s="834"/>
      <c r="U880" s="834"/>
      <c r="V880" s="834"/>
      <c r="W880" s="834"/>
      <c r="X880" s="834"/>
      <c r="Y880" s="834"/>
      <c r="Z880" s="834"/>
      <c r="AA880" s="834"/>
      <c r="AB880" s="834"/>
      <c r="AC880" s="834"/>
      <c r="AD880" s="834"/>
      <c r="AE880" s="834"/>
      <c r="AF880" s="834"/>
      <c r="AG880" s="834"/>
      <c r="AH880" s="834"/>
      <c r="AJ880" s="836"/>
      <c r="AK880" s="836"/>
      <c r="AL880" s="836"/>
      <c r="AM880" s="836"/>
      <c r="AN880" s="836"/>
      <c r="AO880" s="836"/>
      <c r="AP880" s="836"/>
      <c r="AQ880" s="836"/>
      <c r="AR880" s="836"/>
      <c r="AS880" s="836"/>
      <c r="AT880" s="836"/>
      <c r="AU880" s="836"/>
      <c r="AV880" s="836"/>
      <c r="AW880" s="836"/>
      <c r="AX880" s="836"/>
      <c r="AY880" s="836"/>
      <c r="AZ880" s="836"/>
      <c r="BA880" s="836"/>
      <c r="BB880" s="836"/>
      <c r="BC880" s="836"/>
      <c r="BD880" s="836"/>
      <c r="BE880" s="836"/>
      <c r="BF880" s="836"/>
      <c r="BG880" s="836"/>
      <c r="BH880" s="836"/>
      <c r="BI880" s="836"/>
      <c r="BJ880" s="836"/>
      <c r="BK880" s="836"/>
      <c r="BL880" s="836"/>
      <c r="BM880" s="836"/>
      <c r="BN880" s="836"/>
      <c r="BO880" s="836"/>
      <c r="BP880" s="836"/>
      <c r="BR880" s="838"/>
      <c r="BS880" s="838"/>
      <c r="BT880" s="838"/>
      <c r="BU880" s="838"/>
      <c r="BV880" s="838"/>
      <c r="BW880" s="838"/>
      <c r="BX880" s="838"/>
      <c r="BY880" s="838"/>
      <c r="BZ880" s="838"/>
      <c r="CA880" s="838"/>
      <c r="CB880" s="838"/>
      <c r="CC880" s="838"/>
      <c r="CD880" s="838"/>
      <c r="CE880" s="838"/>
      <c r="CF880" s="838"/>
      <c r="CG880" s="838"/>
      <c r="CH880" s="838"/>
      <c r="CI880" s="838"/>
      <c r="CJ880" s="838"/>
      <c r="CK880" s="838"/>
      <c r="CL880" s="838"/>
      <c r="CM880" s="838"/>
      <c r="CN880" s="838"/>
      <c r="CO880" s="838"/>
      <c r="CP880" s="838"/>
      <c r="CQ880" s="838"/>
      <c r="CR880" s="838"/>
      <c r="CS880" s="838"/>
      <c r="CT880" s="838"/>
      <c r="CU880" s="838"/>
    </row>
    <row r="881">
      <c r="A881" s="834"/>
      <c r="B881" s="834"/>
      <c r="C881" s="834"/>
      <c r="D881" s="834"/>
      <c r="E881" s="834"/>
      <c r="F881" s="834"/>
      <c r="G881" s="834"/>
      <c r="H881" s="834"/>
      <c r="I881" s="834"/>
      <c r="J881" s="834"/>
      <c r="K881" s="834"/>
      <c r="L881" s="834"/>
      <c r="M881" s="834"/>
      <c r="N881" s="834"/>
      <c r="O881" s="834"/>
      <c r="P881" s="834"/>
      <c r="Q881" s="834"/>
      <c r="R881" s="834"/>
      <c r="S881" s="834"/>
      <c r="T881" s="834"/>
      <c r="U881" s="834"/>
      <c r="V881" s="834"/>
      <c r="W881" s="834"/>
      <c r="X881" s="834"/>
      <c r="Y881" s="834"/>
      <c r="Z881" s="834"/>
      <c r="AA881" s="834"/>
      <c r="AB881" s="834"/>
      <c r="AC881" s="834"/>
      <c r="AD881" s="834"/>
      <c r="AE881" s="834"/>
      <c r="AF881" s="834"/>
      <c r="AG881" s="834"/>
      <c r="AH881" s="834"/>
      <c r="AJ881" s="836"/>
      <c r="AK881" s="836"/>
      <c r="AL881" s="836"/>
      <c r="AM881" s="836"/>
      <c r="AN881" s="836"/>
      <c r="AO881" s="836"/>
      <c r="AP881" s="836"/>
      <c r="AQ881" s="836"/>
      <c r="AR881" s="836"/>
      <c r="AS881" s="836"/>
      <c r="AT881" s="836"/>
      <c r="AU881" s="836"/>
      <c r="AV881" s="836"/>
      <c r="AW881" s="836"/>
      <c r="AX881" s="836"/>
      <c r="AY881" s="836"/>
      <c r="AZ881" s="836"/>
      <c r="BA881" s="836"/>
      <c r="BB881" s="836"/>
      <c r="BC881" s="836"/>
      <c r="BD881" s="836"/>
      <c r="BE881" s="836"/>
      <c r="BF881" s="836"/>
      <c r="BG881" s="836"/>
      <c r="BH881" s="836"/>
      <c r="BI881" s="836"/>
      <c r="BJ881" s="836"/>
      <c r="BK881" s="836"/>
      <c r="BL881" s="836"/>
      <c r="BM881" s="836"/>
      <c r="BN881" s="836"/>
      <c r="BO881" s="836"/>
      <c r="BP881" s="836"/>
      <c r="BR881" s="838"/>
      <c r="BS881" s="838"/>
      <c r="BT881" s="838"/>
      <c r="BU881" s="838"/>
      <c r="BV881" s="838"/>
      <c r="BW881" s="838"/>
      <c r="BX881" s="838"/>
      <c r="BY881" s="838"/>
      <c r="BZ881" s="838"/>
      <c r="CA881" s="838"/>
      <c r="CB881" s="838"/>
      <c r="CC881" s="838"/>
      <c r="CD881" s="838"/>
      <c r="CE881" s="838"/>
      <c r="CF881" s="838"/>
      <c r="CG881" s="838"/>
      <c r="CH881" s="838"/>
      <c r="CI881" s="838"/>
      <c r="CJ881" s="838"/>
      <c r="CK881" s="838"/>
      <c r="CL881" s="838"/>
      <c r="CM881" s="838"/>
      <c r="CN881" s="838"/>
      <c r="CO881" s="838"/>
      <c r="CP881" s="838"/>
      <c r="CQ881" s="838"/>
      <c r="CR881" s="838"/>
      <c r="CS881" s="838"/>
      <c r="CT881" s="838"/>
      <c r="CU881" s="838"/>
    </row>
    <row r="882">
      <c r="A882" s="834"/>
      <c r="B882" s="834"/>
      <c r="C882" s="834"/>
      <c r="D882" s="834"/>
      <c r="E882" s="834"/>
      <c r="F882" s="834"/>
      <c r="G882" s="834"/>
      <c r="H882" s="834"/>
      <c r="I882" s="834"/>
      <c r="J882" s="834"/>
      <c r="K882" s="834"/>
      <c r="L882" s="834"/>
      <c r="M882" s="834"/>
      <c r="N882" s="834"/>
      <c r="O882" s="834"/>
      <c r="P882" s="834"/>
      <c r="Q882" s="834"/>
      <c r="R882" s="834"/>
      <c r="S882" s="834"/>
      <c r="T882" s="834"/>
      <c r="U882" s="834"/>
      <c r="V882" s="834"/>
      <c r="W882" s="834"/>
      <c r="X882" s="834"/>
      <c r="Y882" s="834"/>
      <c r="Z882" s="834"/>
      <c r="AA882" s="834"/>
      <c r="AB882" s="834"/>
      <c r="AC882" s="834"/>
      <c r="AD882" s="834"/>
      <c r="AE882" s="834"/>
      <c r="AF882" s="834"/>
      <c r="AG882" s="834"/>
      <c r="AH882" s="834"/>
      <c r="AJ882" s="836"/>
      <c r="AK882" s="836"/>
      <c r="AL882" s="836"/>
      <c r="AM882" s="836"/>
      <c r="AN882" s="836"/>
      <c r="AO882" s="836"/>
      <c r="AP882" s="836"/>
      <c r="AQ882" s="836"/>
      <c r="AR882" s="836"/>
      <c r="AS882" s="836"/>
      <c r="AT882" s="836"/>
      <c r="AU882" s="836"/>
      <c r="AV882" s="836"/>
      <c r="AW882" s="836"/>
      <c r="AX882" s="836"/>
      <c r="AY882" s="836"/>
      <c r="AZ882" s="836"/>
      <c r="BA882" s="836"/>
      <c r="BB882" s="836"/>
      <c r="BC882" s="836"/>
      <c r="BD882" s="836"/>
      <c r="BE882" s="836"/>
      <c r="BF882" s="836"/>
      <c r="BG882" s="836"/>
      <c r="BH882" s="836"/>
      <c r="BI882" s="836"/>
      <c r="BJ882" s="836"/>
      <c r="BK882" s="836"/>
      <c r="BL882" s="836"/>
      <c r="BM882" s="836"/>
      <c r="BN882" s="836"/>
      <c r="BO882" s="836"/>
      <c r="BP882" s="836"/>
      <c r="BR882" s="838"/>
      <c r="BS882" s="838"/>
      <c r="BT882" s="838"/>
      <c r="BU882" s="838"/>
      <c r="BV882" s="838"/>
      <c r="BW882" s="838"/>
      <c r="BX882" s="838"/>
      <c r="BY882" s="838"/>
      <c r="BZ882" s="838"/>
      <c r="CA882" s="838"/>
      <c r="CB882" s="838"/>
      <c r="CC882" s="838"/>
      <c r="CD882" s="838"/>
      <c r="CE882" s="838"/>
      <c r="CF882" s="838"/>
      <c r="CG882" s="838"/>
      <c r="CH882" s="838"/>
      <c r="CI882" s="838"/>
      <c r="CJ882" s="838"/>
      <c r="CK882" s="838"/>
      <c r="CL882" s="838"/>
      <c r="CM882" s="838"/>
      <c r="CN882" s="838"/>
      <c r="CO882" s="838"/>
      <c r="CP882" s="838"/>
      <c r="CQ882" s="838"/>
      <c r="CR882" s="838"/>
      <c r="CS882" s="838"/>
      <c r="CT882" s="838"/>
      <c r="CU882" s="838"/>
    </row>
    <row r="883">
      <c r="A883" s="834"/>
      <c r="B883" s="834"/>
      <c r="C883" s="834"/>
      <c r="D883" s="834"/>
      <c r="E883" s="834"/>
      <c r="F883" s="834"/>
      <c r="G883" s="834"/>
      <c r="H883" s="834"/>
      <c r="I883" s="834"/>
      <c r="J883" s="834"/>
      <c r="K883" s="834"/>
      <c r="L883" s="834"/>
      <c r="M883" s="834"/>
      <c r="N883" s="834"/>
      <c r="O883" s="834"/>
      <c r="P883" s="834"/>
      <c r="Q883" s="834"/>
      <c r="R883" s="834"/>
      <c r="S883" s="834"/>
      <c r="T883" s="834"/>
      <c r="U883" s="834"/>
      <c r="V883" s="834"/>
      <c r="W883" s="834"/>
      <c r="X883" s="834"/>
      <c r="Y883" s="834"/>
      <c r="Z883" s="834"/>
      <c r="AA883" s="834"/>
      <c r="AB883" s="834"/>
      <c r="AC883" s="834"/>
      <c r="AD883" s="834"/>
      <c r="AE883" s="834"/>
      <c r="AF883" s="834"/>
      <c r="AG883" s="834"/>
      <c r="AH883" s="834"/>
      <c r="AJ883" s="836"/>
      <c r="AK883" s="836"/>
      <c r="AL883" s="836"/>
      <c r="AM883" s="836"/>
      <c r="AN883" s="836"/>
      <c r="AO883" s="836"/>
      <c r="AP883" s="836"/>
      <c r="AQ883" s="836"/>
      <c r="AR883" s="836"/>
      <c r="AS883" s="836"/>
      <c r="AT883" s="836"/>
      <c r="AU883" s="836"/>
      <c r="AV883" s="836"/>
      <c r="AW883" s="836"/>
      <c r="AX883" s="836"/>
      <c r="AY883" s="836"/>
      <c r="AZ883" s="836"/>
      <c r="BA883" s="836"/>
      <c r="BB883" s="836"/>
      <c r="BC883" s="836"/>
      <c r="BD883" s="836"/>
      <c r="BE883" s="836"/>
      <c r="BF883" s="836"/>
      <c r="BG883" s="836"/>
      <c r="BH883" s="836"/>
      <c r="BI883" s="836"/>
      <c r="BJ883" s="836"/>
      <c r="BK883" s="836"/>
      <c r="BL883" s="836"/>
      <c r="BM883" s="836"/>
      <c r="BN883" s="836"/>
      <c r="BO883" s="836"/>
      <c r="BP883" s="836"/>
      <c r="BR883" s="838"/>
      <c r="BS883" s="838"/>
      <c r="BT883" s="838"/>
      <c r="BU883" s="838"/>
      <c r="BV883" s="838"/>
      <c r="BW883" s="838"/>
      <c r="BX883" s="838"/>
      <c r="BY883" s="838"/>
      <c r="BZ883" s="838"/>
      <c r="CA883" s="838"/>
      <c r="CB883" s="838"/>
      <c r="CC883" s="838"/>
      <c r="CD883" s="838"/>
      <c r="CE883" s="838"/>
      <c r="CF883" s="838"/>
      <c r="CG883" s="838"/>
      <c r="CH883" s="838"/>
      <c r="CI883" s="838"/>
      <c r="CJ883" s="838"/>
      <c r="CK883" s="838"/>
      <c r="CL883" s="838"/>
      <c r="CM883" s="838"/>
      <c r="CN883" s="838"/>
      <c r="CO883" s="838"/>
      <c r="CP883" s="838"/>
      <c r="CQ883" s="838"/>
      <c r="CR883" s="838"/>
      <c r="CS883" s="838"/>
      <c r="CT883" s="838"/>
      <c r="CU883" s="838"/>
    </row>
    <row r="884">
      <c r="A884" s="834"/>
      <c r="B884" s="834"/>
      <c r="C884" s="834"/>
      <c r="D884" s="834"/>
      <c r="E884" s="834"/>
      <c r="F884" s="834"/>
      <c r="G884" s="834"/>
      <c r="H884" s="834"/>
      <c r="I884" s="834"/>
      <c r="J884" s="834"/>
      <c r="K884" s="834"/>
      <c r="L884" s="834"/>
      <c r="M884" s="834"/>
      <c r="N884" s="834"/>
      <c r="O884" s="834"/>
      <c r="P884" s="834"/>
      <c r="Q884" s="834"/>
      <c r="R884" s="834"/>
      <c r="S884" s="834"/>
      <c r="T884" s="834"/>
      <c r="U884" s="834"/>
      <c r="V884" s="834"/>
      <c r="W884" s="834"/>
      <c r="X884" s="834"/>
      <c r="Y884" s="834"/>
      <c r="Z884" s="834"/>
      <c r="AA884" s="834"/>
      <c r="AB884" s="834"/>
      <c r="AC884" s="834"/>
      <c r="AD884" s="834"/>
      <c r="AE884" s="834"/>
      <c r="AF884" s="834"/>
      <c r="AG884" s="834"/>
      <c r="AH884" s="834"/>
      <c r="AJ884" s="836"/>
      <c r="AK884" s="836"/>
      <c r="AL884" s="836"/>
      <c r="AM884" s="836"/>
      <c r="AN884" s="836"/>
      <c r="AO884" s="836"/>
      <c r="AP884" s="836"/>
      <c r="AQ884" s="836"/>
      <c r="AR884" s="836"/>
      <c r="AS884" s="836"/>
      <c r="AT884" s="836"/>
      <c r="AU884" s="836"/>
      <c r="AV884" s="836"/>
      <c r="AW884" s="836"/>
      <c r="AX884" s="836"/>
      <c r="AY884" s="836"/>
      <c r="AZ884" s="836"/>
      <c r="BA884" s="836"/>
      <c r="BB884" s="836"/>
      <c r="BC884" s="836"/>
      <c r="BD884" s="836"/>
      <c r="BE884" s="836"/>
      <c r="BF884" s="836"/>
      <c r="BG884" s="836"/>
      <c r="BH884" s="836"/>
      <c r="BI884" s="836"/>
      <c r="BJ884" s="836"/>
      <c r="BK884" s="836"/>
      <c r="BL884" s="836"/>
      <c r="BM884" s="836"/>
      <c r="BN884" s="836"/>
      <c r="BO884" s="836"/>
      <c r="BP884" s="836"/>
      <c r="BR884" s="838"/>
      <c r="BS884" s="838"/>
      <c r="BT884" s="838"/>
      <c r="BU884" s="838"/>
      <c r="BV884" s="838"/>
      <c r="BW884" s="838"/>
      <c r="BX884" s="838"/>
      <c r="BY884" s="838"/>
      <c r="BZ884" s="838"/>
      <c r="CA884" s="838"/>
      <c r="CB884" s="838"/>
      <c r="CC884" s="838"/>
      <c r="CD884" s="838"/>
      <c r="CE884" s="838"/>
      <c r="CF884" s="838"/>
      <c r="CG884" s="838"/>
      <c r="CH884" s="838"/>
      <c r="CI884" s="838"/>
      <c r="CJ884" s="838"/>
      <c r="CK884" s="838"/>
      <c r="CL884" s="838"/>
      <c r="CM884" s="838"/>
      <c r="CN884" s="838"/>
      <c r="CO884" s="838"/>
      <c r="CP884" s="838"/>
      <c r="CQ884" s="838"/>
      <c r="CR884" s="838"/>
      <c r="CS884" s="838"/>
      <c r="CT884" s="838"/>
      <c r="CU884" s="838"/>
    </row>
    <row r="885">
      <c r="A885" s="834"/>
      <c r="B885" s="834"/>
      <c r="C885" s="834"/>
      <c r="D885" s="834"/>
      <c r="E885" s="834"/>
      <c r="F885" s="834"/>
      <c r="G885" s="834"/>
      <c r="H885" s="834"/>
      <c r="I885" s="834"/>
      <c r="J885" s="834"/>
      <c r="K885" s="834"/>
      <c r="L885" s="834"/>
      <c r="M885" s="834"/>
      <c r="N885" s="834"/>
      <c r="O885" s="834"/>
      <c r="P885" s="834"/>
      <c r="Q885" s="834"/>
      <c r="R885" s="834"/>
      <c r="S885" s="834"/>
      <c r="T885" s="834"/>
      <c r="U885" s="834"/>
      <c r="V885" s="834"/>
      <c r="W885" s="834"/>
      <c r="X885" s="834"/>
      <c r="Y885" s="834"/>
      <c r="Z885" s="834"/>
      <c r="AA885" s="834"/>
      <c r="AB885" s="834"/>
      <c r="AC885" s="834"/>
      <c r="AD885" s="834"/>
      <c r="AE885" s="834"/>
      <c r="AF885" s="834"/>
      <c r="AG885" s="834"/>
      <c r="AH885" s="834"/>
      <c r="AJ885" s="836"/>
      <c r="AK885" s="836"/>
      <c r="AL885" s="836"/>
      <c r="AM885" s="836"/>
      <c r="AN885" s="836"/>
      <c r="AO885" s="836"/>
      <c r="AP885" s="836"/>
      <c r="AQ885" s="836"/>
      <c r="AR885" s="836"/>
      <c r="AS885" s="836"/>
      <c r="AT885" s="836"/>
      <c r="AU885" s="836"/>
      <c r="AV885" s="836"/>
      <c r="AW885" s="836"/>
      <c r="AX885" s="836"/>
      <c r="AY885" s="836"/>
      <c r="AZ885" s="836"/>
      <c r="BA885" s="836"/>
      <c r="BB885" s="836"/>
      <c r="BC885" s="836"/>
      <c r="BD885" s="836"/>
      <c r="BE885" s="836"/>
      <c r="BF885" s="836"/>
      <c r="BG885" s="836"/>
      <c r="BH885" s="836"/>
      <c r="BI885" s="836"/>
      <c r="BJ885" s="836"/>
      <c r="BK885" s="836"/>
      <c r="BL885" s="836"/>
      <c r="BM885" s="836"/>
      <c r="BN885" s="836"/>
      <c r="BO885" s="836"/>
      <c r="BP885" s="836"/>
      <c r="BR885" s="838"/>
      <c r="BS885" s="838"/>
      <c r="BT885" s="838"/>
      <c r="BU885" s="838"/>
      <c r="BV885" s="838"/>
      <c r="BW885" s="838"/>
      <c r="BX885" s="838"/>
      <c r="BY885" s="838"/>
      <c r="BZ885" s="838"/>
      <c r="CA885" s="838"/>
      <c r="CB885" s="838"/>
      <c r="CC885" s="838"/>
      <c r="CD885" s="838"/>
      <c r="CE885" s="838"/>
      <c r="CF885" s="838"/>
      <c r="CG885" s="838"/>
      <c r="CH885" s="838"/>
      <c r="CI885" s="838"/>
      <c r="CJ885" s="838"/>
      <c r="CK885" s="838"/>
      <c r="CL885" s="838"/>
      <c r="CM885" s="838"/>
      <c r="CN885" s="838"/>
      <c r="CO885" s="838"/>
      <c r="CP885" s="838"/>
      <c r="CQ885" s="838"/>
      <c r="CR885" s="838"/>
      <c r="CS885" s="838"/>
      <c r="CT885" s="838"/>
      <c r="CU885" s="838"/>
    </row>
    <row r="886">
      <c r="A886" s="834"/>
      <c r="B886" s="834"/>
      <c r="C886" s="834"/>
      <c r="D886" s="834"/>
      <c r="E886" s="834"/>
      <c r="F886" s="834"/>
      <c r="G886" s="834"/>
      <c r="H886" s="834"/>
      <c r="I886" s="834"/>
      <c r="J886" s="834"/>
      <c r="K886" s="834"/>
      <c r="L886" s="834"/>
      <c r="M886" s="834"/>
      <c r="N886" s="834"/>
      <c r="O886" s="834"/>
      <c r="P886" s="834"/>
      <c r="Q886" s="834"/>
      <c r="R886" s="834"/>
      <c r="S886" s="834"/>
      <c r="T886" s="834"/>
      <c r="U886" s="834"/>
      <c r="V886" s="834"/>
      <c r="W886" s="834"/>
      <c r="X886" s="834"/>
      <c r="Y886" s="834"/>
      <c r="Z886" s="834"/>
      <c r="AA886" s="834"/>
      <c r="AB886" s="834"/>
      <c r="AC886" s="834"/>
      <c r="AD886" s="834"/>
      <c r="AE886" s="834"/>
      <c r="AF886" s="834"/>
      <c r="AG886" s="834"/>
      <c r="AH886" s="834"/>
      <c r="AJ886" s="836"/>
      <c r="AK886" s="836"/>
      <c r="AL886" s="836"/>
      <c r="AM886" s="836"/>
      <c r="AN886" s="836"/>
      <c r="AO886" s="836"/>
      <c r="AP886" s="836"/>
      <c r="AQ886" s="836"/>
      <c r="AR886" s="836"/>
      <c r="AS886" s="836"/>
      <c r="AT886" s="836"/>
      <c r="AU886" s="836"/>
      <c r="AV886" s="836"/>
      <c r="AW886" s="836"/>
      <c r="AX886" s="836"/>
      <c r="AY886" s="836"/>
      <c r="AZ886" s="836"/>
      <c r="BA886" s="836"/>
      <c r="BB886" s="836"/>
      <c r="BC886" s="836"/>
      <c r="BD886" s="836"/>
      <c r="BE886" s="836"/>
      <c r="BF886" s="836"/>
      <c r="BG886" s="836"/>
      <c r="BH886" s="836"/>
      <c r="BI886" s="836"/>
      <c r="BJ886" s="836"/>
      <c r="BK886" s="836"/>
      <c r="BL886" s="836"/>
      <c r="BM886" s="836"/>
      <c r="BN886" s="836"/>
      <c r="BO886" s="836"/>
      <c r="BP886" s="836"/>
      <c r="BR886" s="838"/>
      <c r="BS886" s="838"/>
      <c r="BT886" s="838"/>
      <c r="BU886" s="838"/>
      <c r="BV886" s="838"/>
      <c r="BW886" s="838"/>
      <c r="BX886" s="838"/>
      <c r="BY886" s="838"/>
      <c r="BZ886" s="838"/>
      <c r="CA886" s="838"/>
      <c r="CB886" s="838"/>
      <c r="CC886" s="838"/>
      <c r="CD886" s="838"/>
      <c r="CE886" s="838"/>
      <c r="CF886" s="838"/>
      <c r="CG886" s="838"/>
      <c r="CH886" s="838"/>
      <c r="CI886" s="838"/>
      <c r="CJ886" s="838"/>
      <c r="CK886" s="838"/>
      <c r="CL886" s="838"/>
      <c r="CM886" s="838"/>
      <c r="CN886" s="838"/>
      <c r="CO886" s="838"/>
      <c r="CP886" s="838"/>
      <c r="CQ886" s="838"/>
      <c r="CR886" s="838"/>
      <c r="CS886" s="838"/>
      <c r="CT886" s="838"/>
      <c r="CU886" s="838"/>
    </row>
    <row r="887">
      <c r="A887" s="834"/>
      <c r="B887" s="834"/>
      <c r="C887" s="834"/>
      <c r="D887" s="834"/>
      <c r="E887" s="834"/>
      <c r="F887" s="834"/>
      <c r="G887" s="834"/>
      <c r="H887" s="834"/>
      <c r="I887" s="834"/>
      <c r="J887" s="834"/>
      <c r="K887" s="834"/>
      <c r="L887" s="834"/>
      <c r="M887" s="834"/>
      <c r="N887" s="834"/>
      <c r="O887" s="834"/>
      <c r="P887" s="834"/>
      <c r="Q887" s="834"/>
      <c r="R887" s="834"/>
      <c r="S887" s="834"/>
      <c r="T887" s="834"/>
      <c r="U887" s="834"/>
      <c r="V887" s="834"/>
      <c r="W887" s="834"/>
      <c r="X887" s="834"/>
      <c r="Y887" s="834"/>
      <c r="Z887" s="834"/>
      <c r="AA887" s="834"/>
      <c r="AB887" s="834"/>
      <c r="AC887" s="834"/>
      <c r="AD887" s="834"/>
      <c r="AE887" s="834"/>
      <c r="AF887" s="834"/>
      <c r="AG887" s="834"/>
      <c r="AH887" s="834"/>
      <c r="AJ887" s="836"/>
      <c r="AK887" s="836"/>
      <c r="AL887" s="836"/>
      <c r="AM887" s="836"/>
      <c r="AN887" s="836"/>
      <c r="AO887" s="836"/>
      <c r="AP887" s="836"/>
      <c r="AQ887" s="836"/>
      <c r="AR887" s="836"/>
      <c r="AS887" s="836"/>
      <c r="AT887" s="836"/>
      <c r="AU887" s="836"/>
      <c r="AV887" s="836"/>
      <c r="AW887" s="836"/>
      <c r="AX887" s="836"/>
      <c r="AY887" s="836"/>
      <c r="AZ887" s="836"/>
      <c r="BA887" s="836"/>
      <c r="BB887" s="836"/>
      <c r="BC887" s="836"/>
      <c r="BD887" s="836"/>
      <c r="BE887" s="836"/>
      <c r="BF887" s="836"/>
      <c r="BG887" s="836"/>
      <c r="BH887" s="836"/>
      <c r="BI887" s="836"/>
      <c r="BJ887" s="836"/>
      <c r="BK887" s="836"/>
      <c r="BL887" s="836"/>
      <c r="BM887" s="836"/>
      <c r="BN887" s="836"/>
      <c r="BO887" s="836"/>
      <c r="BP887" s="836"/>
      <c r="BR887" s="838"/>
      <c r="BS887" s="838"/>
      <c r="BT887" s="838"/>
      <c r="BU887" s="838"/>
      <c r="BV887" s="838"/>
      <c r="BW887" s="838"/>
      <c r="BX887" s="838"/>
      <c r="BY887" s="838"/>
      <c r="BZ887" s="838"/>
      <c r="CA887" s="838"/>
      <c r="CB887" s="838"/>
      <c r="CC887" s="838"/>
      <c r="CD887" s="838"/>
      <c r="CE887" s="838"/>
      <c r="CF887" s="838"/>
      <c r="CG887" s="838"/>
      <c r="CH887" s="838"/>
      <c r="CI887" s="838"/>
      <c r="CJ887" s="838"/>
      <c r="CK887" s="838"/>
      <c r="CL887" s="838"/>
      <c r="CM887" s="838"/>
      <c r="CN887" s="838"/>
      <c r="CO887" s="838"/>
      <c r="CP887" s="838"/>
      <c r="CQ887" s="838"/>
      <c r="CR887" s="838"/>
      <c r="CS887" s="838"/>
      <c r="CT887" s="838"/>
      <c r="CU887" s="838"/>
    </row>
    <row r="888">
      <c r="A888" s="834"/>
      <c r="B888" s="834"/>
      <c r="C888" s="834"/>
      <c r="D888" s="834"/>
      <c r="E888" s="834"/>
      <c r="F888" s="834"/>
      <c r="G888" s="834"/>
      <c r="H888" s="834"/>
      <c r="I888" s="834"/>
      <c r="J888" s="834"/>
      <c r="K888" s="834"/>
      <c r="L888" s="834"/>
      <c r="M888" s="834"/>
      <c r="N888" s="834"/>
      <c r="O888" s="834"/>
      <c r="P888" s="834"/>
      <c r="Q888" s="834"/>
      <c r="R888" s="834"/>
      <c r="S888" s="834"/>
      <c r="T888" s="834"/>
      <c r="U888" s="834"/>
      <c r="V888" s="834"/>
      <c r="W888" s="834"/>
      <c r="X888" s="834"/>
      <c r="Y888" s="834"/>
      <c r="Z888" s="834"/>
      <c r="AA888" s="834"/>
      <c r="AB888" s="834"/>
      <c r="AC888" s="834"/>
      <c r="AD888" s="834"/>
      <c r="AE888" s="834"/>
      <c r="AF888" s="834"/>
      <c r="AG888" s="834"/>
      <c r="AH888" s="834"/>
      <c r="AJ888" s="836"/>
      <c r="AK888" s="836"/>
      <c r="AL888" s="836"/>
      <c r="AM888" s="836"/>
      <c r="AN888" s="836"/>
      <c r="AO888" s="836"/>
      <c r="AP888" s="836"/>
      <c r="AQ888" s="836"/>
      <c r="AR888" s="836"/>
      <c r="AS888" s="836"/>
      <c r="AT888" s="836"/>
      <c r="AU888" s="836"/>
      <c r="AV888" s="836"/>
      <c r="AW888" s="836"/>
      <c r="AX888" s="836"/>
      <c r="AY888" s="836"/>
      <c r="AZ888" s="836"/>
      <c r="BA888" s="836"/>
      <c r="BB888" s="836"/>
      <c r="BC888" s="836"/>
      <c r="BD888" s="836"/>
      <c r="BE888" s="836"/>
      <c r="BF888" s="836"/>
      <c r="BG888" s="836"/>
      <c r="BH888" s="836"/>
      <c r="BI888" s="836"/>
      <c r="BJ888" s="836"/>
      <c r="BK888" s="836"/>
      <c r="BL888" s="836"/>
      <c r="BM888" s="836"/>
      <c r="BN888" s="836"/>
      <c r="BO888" s="836"/>
      <c r="BP888" s="836"/>
      <c r="BR888" s="838"/>
      <c r="BS888" s="838"/>
      <c r="BT888" s="838"/>
      <c r="BU888" s="838"/>
      <c r="BV888" s="838"/>
      <c r="BW888" s="838"/>
      <c r="BX888" s="838"/>
      <c r="BY888" s="838"/>
      <c r="BZ888" s="838"/>
      <c r="CA888" s="838"/>
      <c r="CB888" s="838"/>
      <c r="CC888" s="838"/>
      <c r="CD888" s="838"/>
      <c r="CE888" s="838"/>
      <c r="CF888" s="838"/>
      <c r="CG888" s="838"/>
      <c r="CH888" s="838"/>
      <c r="CI888" s="838"/>
      <c r="CJ888" s="838"/>
      <c r="CK888" s="838"/>
      <c r="CL888" s="838"/>
      <c r="CM888" s="838"/>
      <c r="CN888" s="838"/>
      <c r="CO888" s="838"/>
      <c r="CP888" s="838"/>
      <c r="CQ888" s="838"/>
      <c r="CR888" s="838"/>
      <c r="CS888" s="838"/>
      <c r="CT888" s="838"/>
      <c r="CU888" s="838"/>
    </row>
    <row r="889">
      <c r="A889" s="834"/>
      <c r="B889" s="834"/>
      <c r="C889" s="834"/>
      <c r="D889" s="834"/>
      <c r="E889" s="834"/>
      <c r="F889" s="834"/>
      <c r="G889" s="834"/>
      <c r="H889" s="834"/>
      <c r="I889" s="834"/>
      <c r="J889" s="834"/>
      <c r="K889" s="834"/>
      <c r="L889" s="834"/>
      <c r="M889" s="834"/>
      <c r="N889" s="834"/>
      <c r="O889" s="834"/>
      <c r="P889" s="834"/>
      <c r="Q889" s="834"/>
      <c r="R889" s="834"/>
      <c r="S889" s="834"/>
      <c r="T889" s="834"/>
      <c r="U889" s="834"/>
      <c r="V889" s="834"/>
      <c r="W889" s="834"/>
      <c r="X889" s="834"/>
      <c r="Y889" s="834"/>
      <c r="Z889" s="834"/>
      <c r="AA889" s="834"/>
      <c r="AB889" s="834"/>
      <c r="AC889" s="834"/>
      <c r="AD889" s="834"/>
      <c r="AE889" s="834"/>
      <c r="AF889" s="834"/>
      <c r="AG889" s="834"/>
      <c r="AH889" s="834"/>
      <c r="AJ889" s="836"/>
      <c r="AK889" s="836"/>
      <c r="AL889" s="836"/>
      <c r="AM889" s="836"/>
      <c r="AN889" s="836"/>
      <c r="AO889" s="836"/>
      <c r="AP889" s="836"/>
      <c r="AQ889" s="836"/>
      <c r="AR889" s="836"/>
      <c r="AS889" s="836"/>
      <c r="AT889" s="836"/>
      <c r="AU889" s="836"/>
      <c r="AV889" s="836"/>
      <c r="AW889" s="836"/>
      <c r="AX889" s="836"/>
      <c r="AY889" s="836"/>
      <c r="AZ889" s="836"/>
      <c r="BA889" s="836"/>
      <c r="BB889" s="836"/>
      <c r="BC889" s="836"/>
      <c r="BD889" s="836"/>
      <c r="BE889" s="836"/>
      <c r="BF889" s="836"/>
      <c r="BG889" s="836"/>
      <c r="BH889" s="836"/>
      <c r="BI889" s="836"/>
      <c r="BJ889" s="836"/>
      <c r="BK889" s="836"/>
      <c r="BL889" s="836"/>
      <c r="BM889" s="836"/>
      <c r="BN889" s="836"/>
      <c r="BO889" s="836"/>
      <c r="BP889" s="836"/>
      <c r="BR889" s="838"/>
      <c r="BS889" s="838"/>
      <c r="BT889" s="838"/>
      <c r="BU889" s="838"/>
      <c r="BV889" s="838"/>
      <c r="BW889" s="838"/>
      <c r="BX889" s="838"/>
      <c r="BY889" s="838"/>
      <c r="BZ889" s="838"/>
      <c r="CA889" s="838"/>
      <c r="CB889" s="838"/>
      <c r="CC889" s="838"/>
      <c r="CD889" s="838"/>
      <c r="CE889" s="838"/>
      <c r="CF889" s="838"/>
      <c r="CG889" s="838"/>
      <c r="CH889" s="838"/>
      <c r="CI889" s="838"/>
      <c r="CJ889" s="838"/>
      <c r="CK889" s="838"/>
      <c r="CL889" s="838"/>
      <c r="CM889" s="838"/>
      <c r="CN889" s="838"/>
      <c r="CO889" s="838"/>
      <c r="CP889" s="838"/>
      <c r="CQ889" s="838"/>
      <c r="CR889" s="838"/>
      <c r="CS889" s="838"/>
      <c r="CT889" s="838"/>
      <c r="CU889" s="838"/>
    </row>
    <row r="890">
      <c r="A890" s="834"/>
      <c r="B890" s="834"/>
      <c r="C890" s="834"/>
      <c r="D890" s="834"/>
      <c r="E890" s="834"/>
      <c r="F890" s="834"/>
      <c r="G890" s="834"/>
      <c r="H890" s="834"/>
      <c r="I890" s="834"/>
      <c r="J890" s="834"/>
      <c r="K890" s="834"/>
      <c r="L890" s="834"/>
      <c r="M890" s="834"/>
      <c r="N890" s="834"/>
      <c r="O890" s="834"/>
      <c r="P890" s="834"/>
      <c r="Q890" s="834"/>
      <c r="R890" s="834"/>
      <c r="S890" s="834"/>
      <c r="T890" s="834"/>
      <c r="U890" s="834"/>
      <c r="V890" s="834"/>
      <c r="W890" s="834"/>
      <c r="X890" s="834"/>
      <c r="Y890" s="834"/>
      <c r="Z890" s="834"/>
      <c r="AA890" s="834"/>
      <c r="AB890" s="834"/>
      <c r="AC890" s="834"/>
      <c r="AD890" s="834"/>
      <c r="AE890" s="834"/>
      <c r="AF890" s="834"/>
      <c r="AG890" s="834"/>
      <c r="AH890" s="834"/>
      <c r="AJ890" s="836"/>
      <c r="AK890" s="836"/>
      <c r="AL890" s="836"/>
      <c r="AM890" s="836"/>
      <c r="AN890" s="836"/>
      <c r="AO890" s="836"/>
      <c r="AP890" s="836"/>
      <c r="AQ890" s="836"/>
      <c r="AR890" s="836"/>
      <c r="AS890" s="836"/>
      <c r="AT890" s="836"/>
      <c r="AU890" s="836"/>
      <c r="AV890" s="836"/>
      <c r="AW890" s="836"/>
      <c r="AX890" s="836"/>
      <c r="AY890" s="836"/>
      <c r="AZ890" s="836"/>
      <c r="BA890" s="836"/>
      <c r="BB890" s="836"/>
      <c r="BC890" s="836"/>
      <c r="BD890" s="836"/>
      <c r="BE890" s="836"/>
      <c r="BF890" s="836"/>
      <c r="BG890" s="836"/>
      <c r="BH890" s="836"/>
      <c r="BI890" s="836"/>
      <c r="BJ890" s="836"/>
      <c r="BK890" s="836"/>
      <c r="BL890" s="836"/>
      <c r="BM890" s="836"/>
      <c r="BN890" s="836"/>
      <c r="BO890" s="836"/>
      <c r="BP890" s="836"/>
      <c r="BR890" s="838"/>
      <c r="BS890" s="838"/>
      <c r="BT890" s="838"/>
      <c r="BU890" s="838"/>
      <c r="BV890" s="838"/>
      <c r="BW890" s="838"/>
      <c r="BX890" s="838"/>
      <c r="BY890" s="838"/>
      <c r="BZ890" s="838"/>
      <c r="CA890" s="838"/>
      <c r="CB890" s="838"/>
      <c r="CC890" s="838"/>
      <c r="CD890" s="838"/>
      <c r="CE890" s="838"/>
      <c r="CF890" s="838"/>
      <c r="CG890" s="838"/>
      <c r="CH890" s="838"/>
      <c r="CI890" s="838"/>
      <c r="CJ890" s="838"/>
      <c r="CK890" s="838"/>
      <c r="CL890" s="838"/>
      <c r="CM890" s="838"/>
      <c r="CN890" s="838"/>
      <c r="CO890" s="838"/>
      <c r="CP890" s="838"/>
      <c r="CQ890" s="838"/>
      <c r="CR890" s="838"/>
      <c r="CS890" s="838"/>
      <c r="CT890" s="838"/>
      <c r="CU890" s="838"/>
    </row>
    <row r="891">
      <c r="A891" s="834"/>
      <c r="B891" s="834"/>
      <c r="C891" s="834"/>
      <c r="D891" s="834"/>
      <c r="E891" s="834"/>
      <c r="F891" s="834"/>
      <c r="G891" s="834"/>
      <c r="H891" s="834"/>
      <c r="I891" s="834"/>
      <c r="J891" s="834"/>
      <c r="K891" s="834"/>
      <c r="L891" s="834"/>
      <c r="M891" s="834"/>
      <c r="N891" s="834"/>
      <c r="O891" s="834"/>
      <c r="P891" s="834"/>
      <c r="Q891" s="834"/>
      <c r="R891" s="834"/>
      <c r="S891" s="834"/>
      <c r="T891" s="834"/>
      <c r="U891" s="834"/>
      <c r="V891" s="834"/>
      <c r="W891" s="834"/>
      <c r="X891" s="834"/>
      <c r="Y891" s="834"/>
      <c r="Z891" s="834"/>
      <c r="AA891" s="834"/>
      <c r="AB891" s="834"/>
      <c r="AC891" s="834"/>
      <c r="AD891" s="834"/>
      <c r="AE891" s="834"/>
      <c r="AF891" s="834"/>
      <c r="AG891" s="834"/>
      <c r="AH891" s="834"/>
      <c r="AJ891" s="836"/>
      <c r="AK891" s="836"/>
      <c r="AL891" s="836"/>
      <c r="AM891" s="836"/>
      <c r="AN891" s="836"/>
      <c r="AO891" s="836"/>
      <c r="AP891" s="836"/>
      <c r="AQ891" s="836"/>
      <c r="AR891" s="836"/>
      <c r="AS891" s="836"/>
      <c r="AT891" s="836"/>
      <c r="AU891" s="836"/>
      <c r="AV891" s="836"/>
      <c r="AW891" s="836"/>
      <c r="AX891" s="836"/>
      <c r="AY891" s="836"/>
      <c r="AZ891" s="836"/>
      <c r="BA891" s="836"/>
      <c r="BB891" s="836"/>
      <c r="BC891" s="836"/>
      <c r="BD891" s="836"/>
      <c r="BE891" s="836"/>
      <c r="BF891" s="836"/>
      <c r="BG891" s="836"/>
      <c r="BH891" s="836"/>
      <c r="BI891" s="836"/>
      <c r="BJ891" s="836"/>
      <c r="BK891" s="836"/>
      <c r="BL891" s="836"/>
      <c r="BM891" s="836"/>
      <c r="BN891" s="836"/>
      <c r="BO891" s="836"/>
      <c r="BP891" s="836"/>
      <c r="BR891" s="838"/>
      <c r="BS891" s="838"/>
      <c r="BT891" s="838"/>
      <c r="BU891" s="838"/>
      <c r="BV891" s="838"/>
      <c r="BW891" s="838"/>
      <c r="BX891" s="838"/>
      <c r="BY891" s="838"/>
      <c r="BZ891" s="838"/>
      <c r="CA891" s="838"/>
      <c r="CB891" s="838"/>
      <c r="CC891" s="838"/>
      <c r="CD891" s="838"/>
      <c r="CE891" s="838"/>
      <c r="CF891" s="838"/>
      <c r="CG891" s="838"/>
      <c r="CH891" s="838"/>
      <c r="CI891" s="838"/>
      <c r="CJ891" s="838"/>
      <c r="CK891" s="838"/>
      <c r="CL891" s="838"/>
      <c r="CM891" s="838"/>
      <c r="CN891" s="838"/>
      <c r="CO891" s="838"/>
      <c r="CP891" s="838"/>
      <c r="CQ891" s="838"/>
      <c r="CR891" s="838"/>
      <c r="CS891" s="838"/>
      <c r="CT891" s="838"/>
      <c r="CU891" s="838"/>
    </row>
    <row r="892">
      <c r="A892" s="834"/>
      <c r="B892" s="834"/>
      <c r="C892" s="834"/>
      <c r="D892" s="834"/>
      <c r="E892" s="834"/>
      <c r="F892" s="834"/>
      <c r="G892" s="834"/>
      <c r="H892" s="834"/>
      <c r="I892" s="834"/>
      <c r="J892" s="834"/>
      <c r="K892" s="834"/>
      <c r="L892" s="834"/>
      <c r="M892" s="834"/>
      <c r="N892" s="834"/>
      <c r="O892" s="834"/>
      <c r="P892" s="834"/>
      <c r="Q892" s="834"/>
      <c r="R892" s="834"/>
      <c r="S892" s="834"/>
      <c r="T892" s="834"/>
      <c r="U892" s="834"/>
      <c r="V892" s="834"/>
      <c r="W892" s="834"/>
      <c r="X892" s="834"/>
      <c r="Y892" s="834"/>
      <c r="Z892" s="834"/>
      <c r="AA892" s="834"/>
      <c r="AB892" s="834"/>
      <c r="AC892" s="834"/>
      <c r="AD892" s="834"/>
      <c r="AE892" s="834"/>
      <c r="AF892" s="834"/>
      <c r="AG892" s="834"/>
      <c r="AH892" s="834"/>
      <c r="AJ892" s="836"/>
      <c r="AK892" s="836"/>
      <c r="AL892" s="836"/>
      <c r="AM892" s="836"/>
      <c r="AN892" s="836"/>
      <c r="AO892" s="836"/>
      <c r="AP892" s="836"/>
      <c r="AQ892" s="836"/>
      <c r="AR892" s="836"/>
      <c r="AS892" s="836"/>
      <c r="AT892" s="836"/>
      <c r="AU892" s="836"/>
      <c r="AV892" s="836"/>
      <c r="AW892" s="836"/>
      <c r="AX892" s="836"/>
      <c r="AY892" s="836"/>
      <c r="AZ892" s="836"/>
      <c r="BA892" s="836"/>
      <c r="BB892" s="836"/>
      <c r="BC892" s="836"/>
      <c r="BD892" s="836"/>
      <c r="BE892" s="836"/>
      <c r="BF892" s="836"/>
      <c r="BG892" s="836"/>
      <c r="BH892" s="836"/>
      <c r="BI892" s="836"/>
      <c r="BJ892" s="836"/>
      <c r="BK892" s="836"/>
      <c r="BL892" s="836"/>
      <c r="BM892" s="836"/>
      <c r="BN892" s="836"/>
      <c r="BO892" s="836"/>
      <c r="BP892" s="836"/>
      <c r="BR892" s="838"/>
      <c r="BS892" s="838"/>
      <c r="BT892" s="838"/>
      <c r="BU892" s="838"/>
      <c r="BV892" s="838"/>
      <c r="BW892" s="838"/>
      <c r="BX892" s="838"/>
      <c r="BY892" s="838"/>
      <c r="BZ892" s="838"/>
      <c r="CA892" s="838"/>
      <c r="CB892" s="838"/>
      <c r="CC892" s="838"/>
      <c r="CD892" s="838"/>
      <c r="CE892" s="838"/>
      <c r="CF892" s="838"/>
      <c r="CG892" s="838"/>
      <c r="CH892" s="838"/>
      <c r="CI892" s="838"/>
      <c r="CJ892" s="838"/>
      <c r="CK892" s="838"/>
      <c r="CL892" s="838"/>
      <c r="CM892" s="838"/>
      <c r="CN892" s="838"/>
      <c r="CO892" s="838"/>
      <c r="CP892" s="838"/>
      <c r="CQ892" s="838"/>
      <c r="CR892" s="838"/>
      <c r="CS892" s="838"/>
      <c r="CT892" s="838"/>
      <c r="CU892" s="838"/>
    </row>
    <row r="893">
      <c r="A893" s="834"/>
      <c r="B893" s="834"/>
      <c r="C893" s="834"/>
      <c r="D893" s="834"/>
      <c r="E893" s="834"/>
      <c r="F893" s="834"/>
      <c r="G893" s="834"/>
      <c r="H893" s="834"/>
      <c r="I893" s="834"/>
      <c r="J893" s="834"/>
      <c r="K893" s="834"/>
      <c r="L893" s="834"/>
      <c r="M893" s="834"/>
      <c r="N893" s="834"/>
      <c r="O893" s="834"/>
      <c r="P893" s="834"/>
      <c r="Q893" s="834"/>
      <c r="R893" s="834"/>
      <c r="S893" s="834"/>
      <c r="T893" s="834"/>
      <c r="U893" s="834"/>
      <c r="V893" s="834"/>
      <c r="W893" s="834"/>
      <c r="X893" s="834"/>
      <c r="Y893" s="834"/>
      <c r="Z893" s="834"/>
      <c r="AA893" s="834"/>
      <c r="AB893" s="834"/>
      <c r="AC893" s="834"/>
      <c r="AD893" s="834"/>
      <c r="AE893" s="834"/>
      <c r="AF893" s="834"/>
      <c r="AG893" s="834"/>
      <c r="AH893" s="834"/>
      <c r="AJ893" s="836"/>
      <c r="AK893" s="836"/>
      <c r="AL893" s="836"/>
      <c r="AM893" s="836"/>
      <c r="AN893" s="836"/>
      <c r="AO893" s="836"/>
      <c r="AP893" s="836"/>
      <c r="AQ893" s="836"/>
      <c r="AR893" s="836"/>
      <c r="AS893" s="836"/>
      <c r="AT893" s="836"/>
      <c r="AU893" s="836"/>
      <c r="AV893" s="836"/>
      <c r="AW893" s="836"/>
      <c r="AX893" s="836"/>
      <c r="AY893" s="836"/>
      <c r="AZ893" s="836"/>
      <c r="BA893" s="836"/>
      <c r="BB893" s="836"/>
      <c r="BC893" s="836"/>
      <c r="BD893" s="836"/>
      <c r="BE893" s="836"/>
      <c r="BF893" s="836"/>
      <c r="BG893" s="836"/>
      <c r="BH893" s="836"/>
      <c r="BI893" s="836"/>
      <c r="BJ893" s="836"/>
      <c r="BK893" s="836"/>
      <c r="BL893" s="836"/>
      <c r="BM893" s="836"/>
      <c r="BN893" s="836"/>
      <c r="BO893" s="836"/>
      <c r="BP893" s="836"/>
      <c r="BR893" s="838"/>
      <c r="BS893" s="838"/>
      <c r="BT893" s="838"/>
      <c r="BU893" s="838"/>
      <c r="BV893" s="838"/>
      <c r="BW893" s="838"/>
      <c r="BX893" s="838"/>
      <c r="BY893" s="838"/>
      <c r="BZ893" s="838"/>
      <c r="CA893" s="838"/>
      <c r="CB893" s="838"/>
      <c r="CC893" s="838"/>
      <c r="CD893" s="838"/>
      <c r="CE893" s="838"/>
      <c r="CF893" s="838"/>
      <c r="CG893" s="838"/>
      <c r="CH893" s="838"/>
      <c r="CI893" s="838"/>
      <c r="CJ893" s="838"/>
      <c r="CK893" s="838"/>
      <c r="CL893" s="838"/>
      <c r="CM893" s="838"/>
      <c r="CN893" s="838"/>
      <c r="CO893" s="838"/>
      <c r="CP893" s="838"/>
      <c r="CQ893" s="838"/>
      <c r="CR893" s="838"/>
      <c r="CS893" s="838"/>
      <c r="CT893" s="838"/>
      <c r="CU893" s="838"/>
    </row>
    <row r="894">
      <c r="A894" s="834"/>
      <c r="B894" s="834"/>
      <c r="C894" s="834"/>
      <c r="D894" s="834"/>
      <c r="E894" s="834"/>
      <c r="F894" s="834"/>
      <c r="G894" s="834"/>
      <c r="H894" s="834"/>
      <c r="I894" s="834"/>
      <c r="J894" s="834"/>
      <c r="K894" s="834"/>
      <c r="L894" s="834"/>
      <c r="M894" s="834"/>
      <c r="N894" s="834"/>
      <c r="O894" s="834"/>
      <c r="P894" s="834"/>
      <c r="Q894" s="834"/>
      <c r="R894" s="834"/>
      <c r="S894" s="834"/>
      <c r="T894" s="834"/>
      <c r="U894" s="834"/>
      <c r="V894" s="834"/>
      <c r="W894" s="834"/>
      <c r="X894" s="834"/>
      <c r="Y894" s="834"/>
      <c r="Z894" s="834"/>
      <c r="AA894" s="834"/>
      <c r="AB894" s="834"/>
      <c r="AC894" s="834"/>
      <c r="AD894" s="834"/>
      <c r="AE894" s="834"/>
      <c r="AF894" s="834"/>
      <c r="AG894" s="834"/>
      <c r="AH894" s="834"/>
      <c r="AJ894" s="836"/>
      <c r="AK894" s="836"/>
      <c r="AL894" s="836"/>
      <c r="AM894" s="836"/>
      <c r="AN894" s="836"/>
      <c r="AO894" s="836"/>
      <c r="AP894" s="836"/>
      <c r="AQ894" s="836"/>
      <c r="AR894" s="836"/>
      <c r="AS894" s="836"/>
      <c r="AT894" s="836"/>
      <c r="AU894" s="836"/>
      <c r="AV894" s="836"/>
      <c r="AW894" s="836"/>
      <c r="AX894" s="836"/>
      <c r="AY894" s="836"/>
      <c r="AZ894" s="836"/>
      <c r="BA894" s="836"/>
      <c r="BB894" s="836"/>
      <c r="BC894" s="836"/>
      <c r="BD894" s="836"/>
      <c r="BE894" s="836"/>
      <c r="BF894" s="836"/>
      <c r="BG894" s="836"/>
      <c r="BH894" s="836"/>
      <c r="BI894" s="836"/>
      <c r="BJ894" s="836"/>
      <c r="BK894" s="836"/>
      <c r="BL894" s="836"/>
      <c r="BM894" s="836"/>
      <c r="BN894" s="836"/>
      <c r="BO894" s="836"/>
      <c r="BP894" s="836"/>
      <c r="BR894" s="838"/>
      <c r="BS894" s="838"/>
      <c r="BT894" s="838"/>
      <c r="BU894" s="838"/>
      <c r="BV894" s="838"/>
      <c r="BW894" s="838"/>
      <c r="BX894" s="838"/>
      <c r="BY894" s="838"/>
      <c r="BZ894" s="838"/>
      <c r="CA894" s="838"/>
      <c r="CB894" s="838"/>
      <c r="CC894" s="838"/>
      <c r="CD894" s="838"/>
      <c r="CE894" s="838"/>
      <c r="CF894" s="838"/>
      <c r="CG894" s="838"/>
      <c r="CH894" s="838"/>
      <c r="CI894" s="838"/>
      <c r="CJ894" s="838"/>
      <c r="CK894" s="838"/>
      <c r="CL894" s="838"/>
      <c r="CM894" s="838"/>
      <c r="CN894" s="838"/>
      <c r="CO894" s="838"/>
      <c r="CP894" s="838"/>
      <c r="CQ894" s="838"/>
      <c r="CR894" s="838"/>
      <c r="CS894" s="838"/>
      <c r="CT894" s="838"/>
      <c r="CU894" s="838"/>
    </row>
    <row r="895">
      <c r="A895" s="834"/>
      <c r="B895" s="834"/>
      <c r="C895" s="834"/>
      <c r="D895" s="834"/>
      <c r="E895" s="834"/>
      <c r="F895" s="834"/>
      <c r="G895" s="834"/>
      <c r="H895" s="834"/>
      <c r="I895" s="834"/>
      <c r="J895" s="834"/>
      <c r="K895" s="834"/>
      <c r="L895" s="834"/>
      <c r="M895" s="834"/>
      <c r="N895" s="834"/>
      <c r="O895" s="834"/>
      <c r="P895" s="834"/>
      <c r="Q895" s="834"/>
      <c r="R895" s="834"/>
      <c r="S895" s="834"/>
      <c r="T895" s="834"/>
      <c r="U895" s="834"/>
      <c r="V895" s="834"/>
      <c r="W895" s="834"/>
      <c r="X895" s="834"/>
      <c r="Y895" s="834"/>
      <c r="Z895" s="834"/>
      <c r="AA895" s="834"/>
      <c r="AB895" s="834"/>
      <c r="AC895" s="834"/>
      <c r="AD895" s="834"/>
      <c r="AE895" s="834"/>
      <c r="AF895" s="834"/>
      <c r="AG895" s="834"/>
      <c r="AH895" s="834"/>
      <c r="AJ895" s="836"/>
      <c r="AK895" s="836"/>
      <c r="AL895" s="836"/>
      <c r="AM895" s="836"/>
      <c r="AN895" s="836"/>
      <c r="AO895" s="836"/>
      <c r="AP895" s="836"/>
      <c r="AQ895" s="836"/>
      <c r="AR895" s="836"/>
      <c r="AS895" s="836"/>
      <c r="AT895" s="836"/>
      <c r="AU895" s="836"/>
      <c r="AV895" s="836"/>
      <c r="AW895" s="836"/>
      <c r="AX895" s="836"/>
      <c r="AY895" s="836"/>
      <c r="AZ895" s="836"/>
      <c r="BA895" s="836"/>
      <c r="BB895" s="836"/>
      <c r="BC895" s="836"/>
      <c r="BD895" s="836"/>
      <c r="BE895" s="836"/>
      <c r="BF895" s="836"/>
      <c r="BG895" s="836"/>
      <c r="BH895" s="836"/>
      <c r="BI895" s="836"/>
      <c r="BJ895" s="836"/>
      <c r="BK895" s="836"/>
      <c r="BL895" s="836"/>
      <c r="BM895" s="836"/>
      <c r="BN895" s="836"/>
      <c r="BO895" s="836"/>
      <c r="BP895" s="836"/>
      <c r="BR895" s="838"/>
      <c r="BS895" s="838"/>
      <c r="BT895" s="838"/>
      <c r="BU895" s="838"/>
      <c r="BV895" s="838"/>
      <c r="BW895" s="838"/>
      <c r="BX895" s="838"/>
      <c r="BY895" s="838"/>
      <c r="BZ895" s="838"/>
      <c r="CA895" s="838"/>
      <c r="CB895" s="838"/>
      <c r="CC895" s="838"/>
      <c r="CD895" s="838"/>
      <c r="CE895" s="838"/>
      <c r="CF895" s="838"/>
      <c r="CG895" s="838"/>
      <c r="CH895" s="838"/>
      <c r="CI895" s="838"/>
      <c r="CJ895" s="838"/>
      <c r="CK895" s="838"/>
      <c r="CL895" s="838"/>
      <c r="CM895" s="838"/>
      <c r="CN895" s="838"/>
      <c r="CO895" s="838"/>
      <c r="CP895" s="838"/>
      <c r="CQ895" s="838"/>
      <c r="CR895" s="838"/>
      <c r="CS895" s="838"/>
      <c r="CT895" s="838"/>
      <c r="CU895" s="838"/>
    </row>
    <row r="896">
      <c r="A896" s="834"/>
      <c r="B896" s="834"/>
      <c r="C896" s="834"/>
      <c r="D896" s="834"/>
      <c r="E896" s="834"/>
      <c r="F896" s="834"/>
      <c r="G896" s="834"/>
      <c r="H896" s="834"/>
      <c r="I896" s="834"/>
      <c r="J896" s="834"/>
      <c r="K896" s="834"/>
      <c r="L896" s="834"/>
      <c r="M896" s="834"/>
      <c r="N896" s="834"/>
      <c r="O896" s="834"/>
      <c r="P896" s="834"/>
      <c r="Q896" s="834"/>
      <c r="R896" s="834"/>
      <c r="S896" s="834"/>
      <c r="T896" s="834"/>
      <c r="U896" s="834"/>
      <c r="V896" s="834"/>
      <c r="W896" s="834"/>
      <c r="X896" s="834"/>
      <c r="Y896" s="834"/>
      <c r="Z896" s="834"/>
      <c r="AA896" s="834"/>
      <c r="AB896" s="834"/>
      <c r="AC896" s="834"/>
      <c r="AD896" s="834"/>
      <c r="AE896" s="834"/>
      <c r="AF896" s="834"/>
      <c r="AG896" s="834"/>
      <c r="AH896" s="834"/>
      <c r="AJ896" s="836"/>
      <c r="AK896" s="836"/>
      <c r="AL896" s="836"/>
      <c r="AM896" s="836"/>
      <c r="AN896" s="836"/>
      <c r="AO896" s="836"/>
      <c r="AP896" s="836"/>
      <c r="AQ896" s="836"/>
      <c r="AR896" s="836"/>
      <c r="AS896" s="836"/>
      <c r="AT896" s="836"/>
      <c r="AU896" s="836"/>
      <c r="AV896" s="836"/>
      <c r="AW896" s="836"/>
      <c r="AX896" s="836"/>
      <c r="AY896" s="836"/>
      <c r="AZ896" s="836"/>
      <c r="BA896" s="836"/>
      <c r="BB896" s="836"/>
      <c r="BC896" s="836"/>
      <c r="BD896" s="836"/>
      <c r="BE896" s="836"/>
      <c r="BF896" s="836"/>
      <c r="BG896" s="836"/>
      <c r="BH896" s="836"/>
      <c r="BI896" s="836"/>
      <c r="BJ896" s="836"/>
      <c r="BK896" s="836"/>
      <c r="BL896" s="836"/>
      <c r="BM896" s="836"/>
      <c r="BN896" s="836"/>
      <c r="BO896" s="836"/>
      <c r="BP896" s="836"/>
      <c r="BR896" s="838"/>
      <c r="BS896" s="838"/>
      <c r="BT896" s="838"/>
      <c r="BU896" s="838"/>
      <c r="BV896" s="838"/>
      <c r="BW896" s="838"/>
      <c r="BX896" s="838"/>
      <c r="BY896" s="838"/>
      <c r="BZ896" s="838"/>
      <c r="CA896" s="838"/>
      <c r="CB896" s="838"/>
      <c r="CC896" s="838"/>
      <c r="CD896" s="838"/>
      <c r="CE896" s="838"/>
      <c r="CF896" s="838"/>
      <c r="CG896" s="838"/>
      <c r="CH896" s="838"/>
      <c r="CI896" s="838"/>
      <c r="CJ896" s="838"/>
      <c r="CK896" s="838"/>
      <c r="CL896" s="838"/>
      <c r="CM896" s="838"/>
      <c r="CN896" s="838"/>
      <c r="CO896" s="838"/>
      <c r="CP896" s="838"/>
      <c r="CQ896" s="838"/>
      <c r="CR896" s="838"/>
      <c r="CS896" s="838"/>
      <c r="CT896" s="838"/>
      <c r="CU896" s="838"/>
    </row>
    <row r="897">
      <c r="A897" s="834"/>
      <c r="B897" s="834"/>
      <c r="C897" s="834"/>
      <c r="D897" s="834"/>
      <c r="E897" s="834"/>
      <c r="F897" s="834"/>
      <c r="G897" s="834"/>
      <c r="H897" s="834"/>
      <c r="I897" s="834"/>
      <c r="J897" s="834"/>
      <c r="K897" s="834"/>
      <c r="L897" s="834"/>
      <c r="M897" s="834"/>
      <c r="N897" s="834"/>
      <c r="O897" s="834"/>
      <c r="P897" s="834"/>
      <c r="Q897" s="834"/>
      <c r="R897" s="834"/>
      <c r="S897" s="834"/>
      <c r="T897" s="834"/>
      <c r="U897" s="834"/>
      <c r="V897" s="834"/>
      <c r="W897" s="834"/>
      <c r="X897" s="834"/>
      <c r="Y897" s="834"/>
      <c r="Z897" s="834"/>
      <c r="AA897" s="834"/>
      <c r="AB897" s="834"/>
      <c r="AC897" s="834"/>
      <c r="AD897" s="834"/>
      <c r="AE897" s="834"/>
      <c r="AF897" s="834"/>
      <c r="AG897" s="834"/>
      <c r="AH897" s="834"/>
      <c r="AJ897" s="836"/>
      <c r="AK897" s="836"/>
      <c r="AL897" s="836"/>
      <c r="AM897" s="836"/>
      <c r="AN897" s="836"/>
      <c r="AO897" s="836"/>
      <c r="AP897" s="836"/>
      <c r="AQ897" s="836"/>
      <c r="AR897" s="836"/>
      <c r="AS897" s="836"/>
      <c r="AT897" s="836"/>
      <c r="AU897" s="836"/>
      <c r="AV897" s="836"/>
      <c r="AW897" s="836"/>
      <c r="AX897" s="836"/>
      <c r="AY897" s="836"/>
      <c r="AZ897" s="836"/>
      <c r="BA897" s="836"/>
      <c r="BB897" s="836"/>
      <c r="BC897" s="836"/>
      <c r="BD897" s="836"/>
      <c r="BE897" s="836"/>
      <c r="BF897" s="836"/>
      <c r="BG897" s="836"/>
      <c r="BH897" s="836"/>
      <c r="BI897" s="836"/>
      <c r="BJ897" s="836"/>
      <c r="BK897" s="836"/>
      <c r="BL897" s="836"/>
      <c r="BM897" s="836"/>
      <c r="BN897" s="836"/>
      <c r="BO897" s="836"/>
      <c r="BP897" s="836"/>
      <c r="BR897" s="838"/>
      <c r="BS897" s="838"/>
      <c r="BT897" s="838"/>
      <c r="BU897" s="838"/>
      <c r="BV897" s="838"/>
      <c r="BW897" s="838"/>
      <c r="BX897" s="838"/>
      <c r="BY897" s="838"/>
      <c r="BZ897" s="838"/>
      <c r="CA897" s="838"/>
      <c r="CB897" s="838"/>
      <c r="CC897" s="838"/>
      <c r="CD897" s="838"/>
      <c r="CE897" s="838"/>
      <c r="CF897" s="838"/>
      <c r="CG897" s="838"/>
      <c r="CH897" s="838"/>
      <c r="CI897" s="838"/>
      <c r="CJ897" s="838"/>
      <c r="CK897" s="838"/>
      <c r="CL897" s="838"/>
      <c r="CM897" s="838"/>
      <c r="CN897" s="838"/>
      <c r="CO897" s="838"/>
      <c r="CP897" s="838"/>
      <c r="CQ897" s="838"/>
      <c r="CR897" s="838"/>
      <c r="CS897" s="838"/>
      <c r="CT897" s="838"/>
      <c r="CU897" s="838"/>
    </row>
    <row r="898">
      <c r="A898" s="834"/>
      <c r="B898" s="834"/>
      <c r="C898" s="834"/>
      <c r="D898" s="834"/>
      <c r="E898" s="834"/>
      <c r="F898" s="834"/>
      <c r="G898" s="834"/>
      <c r="H898" s="834"/>
      <c r="I898" s="834"/>
      <c r="J898" s="834"/>
      <c r="K898" s="834"/>
      <c r="L898" s="834"/>
      <c r="M898" s="834"/>
      <c r="N898" s="834"/>
      <c r="O898" s="834"/>
      <c r="P898" s="834"/>
      <c r="Q898" s="834"/>
      <c r="R898" s="834"/>
      <c r="S898" s="834"/>
      <c r="T898" s="834"/>
      <c r="U898" s="834"/>
      <c r="V898" s="834"/>
      <c r="W898" s="834"/>
      <c r="X898" s="834"/>
      <c r="Y898" s="834"/>
      <c r="Z898" s="834"/>
      <c r="AA898" s="834"/>
      <c r="AB898" s="834"/>
      <c r="AC898" s="834"/>
      <c r="AD898" s="834"/>
      <c r="AE898" s="834"/>
      <c r="AF898" s="834"/>
      <c r="AG898" s="834"/>
      <c r="AH898" s="834"/>
      <c r="AJ898" s="836"/>
      <c r="AK898" s="836"/>
      <c r="AL898" s="836"/>
      <c r="AM898" s="836"/>
      <c r="AN898" s="836"/>
      <c r="AO898" s="836"/>
      <c r="AP898" s="836"/>
      <c r="AQ898" s="836"/>
      <c r="AR898" s="836"/>
      <c r="AS898" s="836"/>
      <c r="AT898" s="836"/>
      <c r="AU898" s="836"/>
      <c r="AV898" s="836"/>
      <c r="AW898" s="836"/>
      <c r="AX898" s="836"/>
      <c r="AY898" s="836"/>
      <c r="AZ898" s="836"/>
      <c r="BA898" s="836"/>
      <c r="BB898" s="836"/>
      <c r="BC898" s="836"/>
      <c r="BD898" s="836"/>
      <c r="BE898" s="836"/>
      <c r="BF898" s="836"/>
      <c r="BG898" s="836"/>
      <c r="BH898" s="836"/>
      <c r="BI898" s="836"/>
      <c r="BJ898" s="836"/>
      <c r="BK898" s="836"/>
      <c r="BL898" s="836"/>
      <c r="BM898" s="836"/>
      <c r="BN898" s="836"/>
      <c r="BO898" s="836"/>
      <c r="BP898" s="836"/>
      <c r="BR898" s="838"/>
      <c r="BS898" s="838"/>
      <c r="BT898" s="838"/>
      <c r="BU898" s="838"/>
      <c r="BV898" s="838"/>
      <c r="BW898" s="838"/>
      <c r="BX898" s="838"/>
      <c r="BY898" s="838"/>
      <c r="BZ898" s="838"/>
      <c r="CA898" s="838"/>
      <c r="CB898" s="838"/>
      <c r="CC898" s="838"/>
      <c r="CD898" s="838"/>
      <c r="CE898" s="838"/>
      <c r="CF898" s="838"/>
      <c r="CG898" s="838"/>
      <c r="CH898" s="838"/>
      <c r="CI898" s="838"/>
      <c r="CJ898" s="838"/>
      <c r="CK898" s="838"/>
      <c r="CL898" s="838"/>
      <c r="CM898" s="838"/>
      <c r="CN898" s="838"/>
      <c r="CO898" s="838"/>
      <c r="CP898" s="838"/>
      <c r="CQ898" s="838"/>
      <c r="CR898" s="838"/>
      <c r="CS898" s="838"/>
      <c r="CT898" s="838"/>
      <c r="CU898" s="838"/>
    </row>
    <row r="899">
      <c r="A899" s="834"/>
      <c r="B899" s="834"/>
      <c r="C899" s="834"/>
      <c r="D899" s="834"/>
      <c r="E899" s="834"/>
      <c r="F899" s="834"/>
      <c r="G899" s="834"/>
      <c r="H899" s="834"/>
      <c r="I899" s="834"/>
      <c r="J899" s="834"/>
      <c r="K899" s="834"/>
      <c r="L899" s="834"/>
      <c r="M899" s="834"/>
      <c r="N899" s="834"/>
      <c r="O899" s="834"/>
      <c r="P899" s="834"/>
      <c r="Q899" s="834"/>
      <c r="R899" s="834"/>
      <c r="S899" s="834"/>
      <c r="T899" s="834"/>
      <c r="U899" s="834"/>
      <c r="V899" s="834"/>
      <c r="W899" s="834"/>
      <c r="X899" s="834"/>
      <c r="Y899" s="834"/>
      <c r="Z899" s="834"/>
      <c r="AA899" s="834"/>
      <c r="AB899" s="834"/>
      <c r="AC899" s="834"/>
      <c r="AD899" s="834"/>
      <c r="AE899" s="834"/>
      <c r="AF899" s="834"/>
      <c r="AG899" s="834"/>
      <c r="AH899" s="834"/>
      <c r="AJ899" s="836"/>
      <c r="AK899" s="836"/>
      <c r="AL899" s="836"/>
      <c r="AM899" s="836"/>
      <c r="AN899" s="836"/>
      <c r="AO899" s="836"/>
      <c r="AP899" s="836"/>
      <c r="AQ899" s="836"/>
      <c r="AR899" s="836"/>
      <c r="AS899" s="836"/>
      <c r="AT899" s="836"/>
      <c r="AU899" s="836"/>
      <c r="AV899" s="836"/>
      <c r="AW899" s="836"/>
      <c r="AX899" s="836"/>
      <c r="AY899" s="836"/>
      <c r="AZ899" s="836"/>
      <c r="BA899" s="836"/>
      <c r="BB899" s="836"/>
      <c r="BC899" s="836"/>
      <c r="BD899" s="836"/>
      <c r="BE899" s="836"/>
      <c r="BF899" s="836"/>
      <c r="BG899" s="836"/>
      <c r="BH899" s="836"/>
      <c r="BI899" s="836"/>
      <c r="BJ899" s="836"/>
      <c r="BK899" s="836"/>
      <c r="BL899" s="836"/>
      <c r="BM899" s="836"/>
      <c r="BN899" s="836"/>
      <c r="BO899" s="836"/>
      <c r="BP899" s="836"/>
      <c r="BR899" s="838"/>
      <c r="BS899" s="838"/>
      <c r="BT899" s="838"/>
      <c r="BU899" s="838"/>
      <c r="BV899" s="838"/>
      <c r="BW899" s="838"/>
      <c r="BX899" s="838"/>
      <c r="BY899" s="838"/>
      <c r="BZ899" s="838"/>
      <c r="CA899" s="838"/>
      <c r="CB899" s="838"/>
      <c r="CC899" s="838"/>
      <c r="CD899" s="838"/>
      <c r="CE899" s="838"/>
      <c r="CF899" s="838"/>
      <c r="CG899" s="838"/>
      <c r="CH899" s="838"/>
      <c r="CI899" s="838"/>
      <c r="CJ899" s="838"/>
      <c r="CK899" s="838"/>
      <c r="CL899" s="838"/>
      <c r="CM899" s="838"/>
      <c r="CN899" s="838"/>
      <c r="CO899" s="838"/>
      <c r="CP899" s="838"/>
      <c r="CQ899" s="838"/>
      <c r="CR899" s="838"/>
      <c r="CS899" s="838"/>
      <c r="CT899" s="838"/>
      <c r="CU899" s="838"/>
    </row>
    <row r="900">
      <c r="A900" s="834"/>
      <c r="B900" s="834"/>
      <c r="C900" s="834"/>
      <c r="D900" s="834"/>
      <c r="E900" s="834"/>
      <c r="F900" s="834"/>
      <c r="G900" s="834"/>
      <c r="H900" s="834"/>
      <c r="I900" s="834"/>
      <c r="J900" s="834"/>
      <c r="K900" s="834"/>
      <c r="L900" s="834"/>
      <c r="M900" s="834"/>
      <c r="N900" s="834"/>
      <c r="O900" s="834"/>
      <c r="P900" s="834"/>
      <c r="Q900" s="834"/>
      <c r="R900" s="834"/>
      <c r="S900" s="834"/>
      <c r="T900" s="834"/>
      <c r="U900" s="834"/>
      <c r="V900" s="834"/>
      <c r="W900" s="834"/>
      <c r="X900" s="834"/>
      <c r="Y900" s="834"/>
      <c r="Z900" s="834"/>
      <c r="AA900" s="834"/>
      <c r="AB900" s="834"/>
      <c r="AC900" s="834"/>
      <c r="AD900" s="834"/>
      <c r="AE900" s="834"/>
      <c r="AF900" s="834"/>
      <c r="AG900" s="834"/>
      <c r="AH900" s="834"/>
      <c r="AJ900" s="836"/>
      <c r="AK900" s="836"/>
      <c r="AL900" s="836"/>
      <c r="AM900" s="836"/>
      <c r="AN900" s="836"/>
      <c r="AO900" s="836"/>
      <c r="AP900" s="836"/>
      <c r="AQ900" s="836"/>
      <c r="AR900" s="836"/>
      <c r="AS900" s="836"/>
      <c r="AT900" s="836"/>
      <c r="AU900" s="836"/>
      <c r="AV900" s="836"/>
      <c r="AW900" s="836"/>
      <c r="AX900" s="836"/>
      <c r="AY900" s="836"/>
      <c r="AZ900" s="836"/>
      <c r="BA900" s="836"/>
      <c r="BB900" s="836"/>
      <c r="BC900" s="836"/>
      <c r="BD900" s="836"/>
      <c r="BE900" s="836"/>
      <c r="BF900" s="836"/>
      <c r="BG900" s="836"/>
      <c r="BH900" s="836"/>
      <c r="BI900" s="836"/>
      <c r="BJ900" s="836"/>
      <c r="BK900" s="836"/>
      <c r="BL900" s="836"/>
      <c r="BM900" s="836"/>
      <c r="BN900" s="836"/>
      <c r="BO900" s="836"/>
      <c r="BP900" s="836"/>
      <c r="BR900" s="838"/>
      <c r="BS900" s="838"/>
      <c r="BT900" s="838"/>
      <c r="BU900" s="838"/>
      <c r="BV900" s="838"/>
      <c r="BW900" s="838"/>
      <c r="BX900" s="838"/>
      <c r="BY900" s="838"/>
      <c r="BZ900" s="838"/>
      <c r="CA900" s="838"/>
      <c r="CB900" s="838"/>
      <c r="CC900" s="838"/>
      <c r="CD900" s="838"/>
      <c r="CE900" s="838"/>
      <c r="CF900" s="838"/>
      <c r="CG900" s="838"/>
      <c r="CH900" s="838"/>
      <c r="CI900" s="838"/>
      <c r="CJ900" s="838"/>
      <c r="CK900" s="838"/>
      <c r="CL900" s="838"/>
      <c r="CM900" s="838"/>
      <c r="CN900" s="838"/>
      <c r="CO900" s="838"/>
      <c r="CP900" s="838"/>
      <c r="CQ900" s="838"/>
      <c r="CR900" s="838"/>
      <c r="CS900" s="838"/>
      <c r="CT900" s="838"/>
      <c r="CU900" s="838"/>
    </row>
    <row r="901">
      <c r="A901" s="834"/>
      <c r="B901" s="834"/>
      <c r="C901" s="834"/>
      <c r="D901" s="834"/>
      <c r="E901" s="834"/>
      <c r="F901" s="834"/>
      <c r="G901" s="834"/>
      <c r="H901" s="834"/>
      <c r="I901" s="834"/>
      <c r="J901" s="834"/>
      <c r="K901" s="834"/>
      <c r="L901" s="834"/>
      <c r="M901" s="834"/>
      <c r="N901" s="834"/>
      <c r="O901" s="834"/>
      <c r="P901" s="834"/>
      <c r="Q901" s="834"/>
      <c r="R901" s="834"/>
      <c r="S901" s="834"/>
      <c r="T901" s="834"/>
      <c r="U901" s="834"/>
      <c r="V901" s="834"/>
      <c r="W901" s="834"/>
      <c r="X901" s="834"/>
      <c r="Y901" s="834"/>
      <c r="Z901" s="834"/>
      <c r="AA901" s="834"/>
      <c r="AB901" s="834"/>
      <c r="AC901" s="834"/>
      <c r="AD901" s="834"/>
      <c r="AE901" s="834"/>
      <c r="AF901" s="834"/>
      <c r="AG901" s="834"/>
      <c r="AH901" s="834"/>
      <c r="AJ901" s="836"/>
      <c r="AK901" s="836"/>
      <c r="AL901" s="836"/>
      <c r="AM901" s="836"/>
      <c r="AN901" s="836"/>
      <c r="AO901" s="836"/>
      <c r="AP901" s="836"/>
      <c r="AQ901" s="836"/>
      <c r="AR901" s="836"/>
      <c r="AS901" s="836"/>
      <c r="AT901" s="836"/>
      <c r="AU901" s="836"/>
      <c r="AV901" s="836"/>
      <c r="AW901" s="836"/>
      <c r="AX901" s="836"/>
      <c r="AY901" s="836"/>
      <c r="AZ901" s="836"/>
      <c r="BA901" s="836"/>
      <c r="BB901" s="836"/>
      <c r="BC901" s="836"/>
      <c r="BD901" s="836"/>
      <c r="BE901" s="836"/>
      <c r="BF901" s="836"/>
      <c r="BG901" s="836"/>
      <c r="BH901" s="836"/>
      <c r="BI901" s="836"/>
      <c r="BJ901" s="836"/>
      <c r="BK901" s="836"/>
      <c r="BL901" s="836"/>
      <c r="BM901" s="836"/>
      <c r="BN901" s="836"/>
      <c r="BO901" s="836"/>
      <c r="BP901" s="836"/>
      <c r="BR901" s="838"/>
      <c r="BS901" s="838"/>
      <c r="BT901" s="838"/>
      <c r="BU901" s="838"/>
      <c r="BV901" s="838"/>
      <c r="BW901" s="838"/>
      <c r="BX901" s="838"/>
      <c r="BY901" s="838"/>
      <c r="BZ901" s="838"/>
      <c r="CA901" s="838"/>
      <c r="CB901" s="838"/>
      <c r="CC901" s="838"/>
      <c r="CD901" s="838"/>
      <c r="CE901" s="838"/>
      <c r="CF901" s="838"/>
      <c r="CG901" s="838"/>
      <c r="CH901" s="838"/>
      <c r="CI901" s="838"/>
      <c r="CJ901" s="838"/>
      <c r="CK901" s="838"/>
      <c r="CL901" s="838"/>
      <c r="CM901" s="838"/>
      <c r="CN901" s="838"/>
      <c r="CO901" s="838"/>
      <c r="CP901" s="838"/>
      <c r="CQ901" s="838"/>
      <c r="CR901" s="838"/>
      <c r="CS901" s="838"/>
      <c r="CT901" s="838"/>
      <c r="CU901" s="838"/>
    </row>
    <row r="902">
      <c r="A902" s="834"/>
      <c r="B902" s="834"/>
      <c r="C902" s="834"/>
      <c r="D902" s="834"/>
      <c r="E902" s="834"/>
      <c r="F902" s="834"/>
      <c r="G902" s="834"/>
      <c r="H902" s="834"/>
      <c r="I902" s="834"/>
      <c r="J902" s="834"/>
      <c r="K902" s="834"/>
      <c r="L902" s="834"/>
      <c r="M902" s="834"/>
      <c r="N902" s="834"/>
      <c r="O902" s="834"/>
      <c r="P902" s="834"/>
      <c r="Q902" s="834"/>
      <c r="R902" s="834"/>
      <c r="S902" s="834"/>
      <c r="T902" s="834"/>
      <c r="U902" s="834"/>
      <c r="V902" s="834"/>
      <c r="W902" s="834"/>
      <c r="X902" s="834"/>
      <c r="Y902" s="834"/>
      <c r="Z902" s="834"/>
      <c r="AA902" s="834"/>
      <c r="AB902" s="834"/>
      <c r="AC902" s="834"/>
      <c r="AD902" s="834"/>
      <c r="AE902" s="834"/>
      <c r="AF902" s="834"/>
      <c r="AG902" s="834"/>
      <c r="AH902" s="834"/>
      <c r="AJ902" s="836"/>
      <c r="AK902" s="836"/>
      <c r="AL902" s="836"/>
      <c r="AM902" s="836"/>
      <c r="AN902" s="836"/>
      <c r="AO902" s="836"/>
      <c r="AP902" s="836"/>
      <c r="AQ902" s="836"/>
      <c r="AR902" s="836"/>
      <c r="AS902" s="836"/>
      <c r="AT902" s="836"/>
      <c r="AU902" s="836"/>
      <c r="AV902" s="836"/>
      <c r="AW902" s="836"/>
      <c r="AX902" s="836"/>
      <c r="AY902" s="836"/>
      <c r="AZ902" s="836"/>
      <c r="BA902" s="836"/>
      <c r="BB902" s="836"/>
      <c r="BC902" s="836"/>
      <c r="BD902" s="836"/>
      <c r="BE902" s="836"/>
      <c r="BF902" s="836"/>
      <c r="BG902" s="836"/>
      <c r="BH902" s="836"/>
      <c r="BI902" s="836"/>
      <c r="BJ902" s="836"/>
      <c r="BK902" s="836"/>
      <c r="BL902" s="836"/>
      <c r="BM902" s="836"/>
      <c r="BN902" s="836"/>
      <c r="BO902" s="836"/>
      <c r="BP902" s="836"/>
      <c r="BR902" s="838"/>
      <c r="BS902" s="838"/>
      <c r="BT902" s="838"/>
      <c r="BU902" s="838"/>
      <c r="BV902" s="838"/>
      <c r="BW902" s="838"/>
      <c r="BX902" s="838"/>
      <c r="BY902" s="838"/>
      <c r="BZ902" s="838"/>
      <c r="CA902" s="838"/>
      <c r="CB902" s="838"/>
      <c r="CC902" s="838"/>
      <c r="CD902" s="838"/>
      <c r="CE902" s="838"/>
      <c r="CF902" s="838"/>
      <c r="CG902" s="838"/>
      <c r="CH902" s="838"/>
      <c r="CI902" s="838"/>
      <c r="CJ902" s="838"/>
      <c r="CK902" s="838"/>
      <c r="CL902" s="838"/>
      <c r="CM902" s="838"/>
      <c r="CN902" s="838"/>
      <c r="CO902" s="838"/>
      <c r="CP902" s="838"/>
      <c r="CQ902" s="838"/>
      <c r="CR902" s="838"/>
      <c r="CS902" s="838"/>
      <c r="CT902" s="838"/>
      <c r="CU902" s="838"/>
    </row>
    <row r="903">
      <c r="A903" s="834"/>
      <c r="B903" s="834"/>
      <c r="C903" s="834"/>
      <c r="D903" s="834"/>
      <c r="E903" s="834"/>
      <c r="F903" s="834"/>
      <c r="G903" s="834"/>
      <c r="H903" s="834"/>
      <c r="I903" s="834"/>
      <c r="J903" s="834"/>
      <c r="K903" s="834"/>
      <c r="L903" s="834"/>
      <c r="M903" s="834"/>
      <c r="N903" s="834"/>
      <c r="O903" s="834"/>
      <c r="P903" s="834"/>
      <c r="Q903" s="834"/>
      <c r="R903" s="834"/>
      <c r="S903" s="834"/>
      <c r="T903" s="834"/>
      <c r="U903" s="834"/>
      <c r="V903" s="834"/>
      <c r="W903" s="834"/>
      <c r="X903" s="834"/>
      <c r="Y903" s="834"/>
      <c r="Z903" s="834"/>
      <c r="AA903" s="834"/>
      <c r="AB903" s="834"/>
      <c r="AC903" s="834"/>
      <c r="AD903" s="834"/>
      <c r="AE903" s="834"/>
      <c r="AF903" s="834"/>
      <c r="AG903" s="834"/>
      <c r="AH903" s="834"/>
      <c r="AJ903" s="836"/>
      <c r="AK903" s="836"/>
      <c r="AL903" s="836"/>
      <c r="AM903" s="836"/>
      <c r="AN903" s="836"/>
      <c r="AO903" s="836"/>
      <c r="AP903" s="836"/>
      <c r="AQ903" s="836"/>
      <c r="AR903" s="836"/>
      <c r="AS903" s="836"/>
      <c r="AT903" s="836"/>
      <c r="AU903" s="836"/>
      <c r="AV903" s="836"/>
      <c r="AW903" s="836"/>
      <c r="AX903" s="836"/>
      <c r="AY903" s="836"/>
      <c r="AZ903" s="836"/>
      <c r="BA903" s="836"/>
      <c r="BB903" s="836"/>
      <c r="BC903" s="836"/>
      <c r="BD903" s="836"/>
      <c r="BE903" s="836"/>
      <c r="BF903" s="836"/>
      <c r="BG903" s="836"/>
      <c r="BH903" s="836"/>
      <c r="BI903" s="836"/>
      <c r="BJ903" s="836"/>
      <c r="BK903" s="836"/>
      <c r="BL903" s="836"/>
      <c r="BM903" s="836"/>
      <c r="BN903" s="836"/>
      <c r="BO903" s="836"/>
      <c r="BP903" s="836"/>
      <c r="BR903" s="838"/>
      <c r="BS903" s="838"/>
      <c r="BT903" s="838"/>
      <c r="BU903" s="838"/>
      <c r="BV903" s="838"/>
      <c r="BW903" s="838"/>
      <c r="BX903" s="838"/>
      <c r="BY903" s="838"/>
      <c r="BZ903" s="838"/>
      <c r="CA903" s="838"/>
      <c r="CB903" s="838"/>
      <c r="CC903" s="838"/>
      <c r="CD903" s="838"/>
      <c r="CE903" s="838"/>
      <c r="CF903" s="838"/>
      <c r="CG903" s="838"/>
      <c r="CH903" s="838"/>
      <c r="CI903" s="838"/>
      <c r="CJ903" s="838"/>
      <c r="CK903" s="838"/>
      <c r="CL903" s="838"/>
      <c r="CM903" s="838"/>
      <c r="CN903" s="838"/>
      <c r="CO903" s="838"/>
      <c r="CP903" s="838"/>
      <c r="CQ903" s="838"/>
      <c r="CR903" s="838"/>
      <c r="CS903" s="838"/>
      <c r="CT903" s="838"/>
      <c r="CU903" s="838"/>
    </row>
    <row r="904">
      <c r="A904" s="834"/>
      <c r="B904" s="834"/>
      <c r="C904" s="834"/>
      <c r="D904" s="834"/>
      <c r="E904" s="834"/>
      <c r="F904" s="834"/>
      <c r="G904" s="834"/>
      <c r="H904" s="834"/>
      <c r="I904" s="834"/>
      <c r="J904" s="834"/>
      <c r="K904" s="834"/>
      <c r="L904" s="834"/>
      <c r="M904" s="834"/>
      <c r="N904" s="834"/>
      <c r="O904" s="834"/>
      <c r="P904" s="834"/>
      <c r="Q904" s="834"/>
      <c r="R904" s="834"/>
      <c r="S904" s="834"/>
      <c r="T904" s="834"/>
      <c r="U904" s="834"/>
      <c r="V904" s="834"/>
      <c r="W904" s="834"/>
      <c r="X904" s="834"/>
      <c r="Y904" s="834"/>
      <c r="Z904" s="834"/>
      <c r="AA904" s="834"/>
      <c r="AB904" s="834"/>
      <c r="AC904" s="834"/>
      <c r="AD904" s="834"/>
      <c r="AE904" s="834"/>
      <c r="AF904" s="834"/>
      <c r="AG904" s="834"/>
      <c r="AH904" s="834"/>
      <c r="AJ904" s="836"/>
      <c r="AK904" s="836"/>
      <c r="AL904" s="836"/>
      <c r="AM904" s="836"/>
      <c r="AN904" s="836"/>
      <c r="AO904" s="836"/>
      <c r="AP904" s="836"/>
      <c r="AQ904" s="836"/>
      <c r="AR904" s="836"/>
      <c r="AS904" s="836"/>
      <c r="AT904" s="836"/>
      <c r="AU904" s="836"/>
      <c r="AV904" s="836"/>
      <c r="AW904" s="836"/>
      <c r="AX904" s="836"/>
      <c r="AY904" s="836"/>
      <c r="AZ904" s="836"/>
      <c r="BA904" s="836"/>
      <c r="BB904" s="836"/>
      <c r="BC904" s="836"/>
      <c r="BD904" s="836"/>
      <c r="BE904" s="836"/>
      <c r="BF904" s="836"/>
      <c r="BG904" s="836"/>
      <c r="BH904" s="836"/>
      <c r="BI904" s="836"/>
      <c r="BJ904" s="836"/>
      <c r="BK904" s="836"/>
      <c r="BL904" s="836"/>
      <c r="BM904" s="836"/>
      <c r="BN904" s="836"/>
      <c r="BO904" s="836"/>
      <c r="BP904" s="836"/>
      <c r="BR904" s="838"/>
      <c r="BS904" s="838"/>
      <c r="BT904" s="838"/>
      <c r="BU904" s="838"/>
      <c r="BV904" s="838"/>
      <c r="BW904" s="838"/>
      <c r="BX904" s="838"/>
      <c r="BY904" s="838"/>
      <c r="BZ904" s="838"/>
      <c r="CA904" s="838"/>
      <c r="CB904" s="838"/>
      <c r="CC904" s="838"/>
      <c r="CD904" s="838"/>
      <c r="CE904" s="838"/>
      <c r="CF904" s="838"/>
      <c r="CG904" s="838"/>
      <c r="CH904" s="838"/>
      <c r="CI904" s="838"/>
      <c r="CJ904" s="838"/>
      <c r="CK904" s="838"/>
      <c r="CL904" s="838"/>
      <c r="CM904" s="838"/>
      <c r="CN904" s="838"/>
      <c r="CO904" s="838"/>
      <c r="CP904" s="838"/>
      <c r="CQ904" s="838"/>
      <c r="CR904" s="838"/>
      <c r="CS904" s="838"/>
      <c r="CT904" s="838"/>
      <c r="CU904" s="838"/>
    </row>
    <row r="905">
      <c r="A905" s="834"/>
      <c r="B905" s="834"/>
      <c r="C905" s="834"/>
      <c r="D905" s="834"/>
      <c r="E905" s="834"/>
      <c r="F905" s="834"/>
      <c r="G905" s="834"/>
      <c r="H905" s="834"/>
      <c r="I905" s="834"/>
      <c r="J905" s="834"/>
      <c r="K905" s="834"/>
      <c r="L905" s="834"/>
      <c r="M905" s="834"/>
      <c r="N905" s="834"/>
      <c r="O905" s="834"/>
      <c r="P905" s="834"/>
      <c r="Q905" s="834"/>
      <c r="R905" s="834"/>
      <c r="S905" s="834"/>
      <c r="T905" s="834"/>
      <c r="U905" s="834"/>
      <c r="V905" s="834"/>
      <c r="W905" s="834"/>
      <c r="X905" s="834"/>
      <c r="Y905" s="834"/>
      <c r="Z905" s="834"/>
      <c r="AA905" s="834"/>
      <c r="AB905" s="834"/>
      <c r="AC905" s="834"/>
      <c r="AD905" s="834"/>
      <c r="AE905" s="834"/>
      <c r="AF905" s="834"/>
      <c r="AG905" s="834"/>
      <c r="AH905" s="834"/>
      <c r="AJ905" s="836"/>
      <c r="AK905" s="836"/>
      <c r="AL905" s="836"/>
      <c r="AM905" s="836"/>
      <c r="AN905" s="836"/>
      <c r="AO905" s="836"/>
      <c r="AP905" s="836"/>
      <c r="AQ905" s="836"/>
      <c r="AR905" s="836"/>
      <c r="AS905" s="836"/>
      <c r="AT905" s="836"/>
      <c r="AU905" s="836"/>
      <c r="AV905" s="836"/>
      <c r="AW905" s="836"/>
      <c r="AX905" s="836"/>
      <c r="AY905" s="836"/>
      <c r="AZ905" s="836"/>
      <c r="BA905" s="836"/>
      <c r="BB905" s="836"/>
      <c r="BC905" s="836"/>
      <c r="BD905" s="836"/>
      <c r="BE905" s="836"/>
      <c r="BF905" s="836"/>
      <c r="BG905" s="836"/>
      <c r="BH905" s="836"/>
      <c r="BI905" s="836"/>
      <c r="BJ905" s="836"/>
      <c r="BK905" s="836"/>
      <c r="BL905" s="836"/>
      <c r="BM905" s="836"/>
      <c r="BN905" s="836"/>
      <c r="BO905" s="836"/>
      <c r="BP905" s="836"/>
      <c r="BR905" s="838"/>
      <c r="BS905" s="838"/>
      <c r="BT905" s="838"/>
      <c r="BU905" s="838"/>
      <c r="BV905" s="838"/>
      <c r="BW905" s="838"/>
      <c r="BX905" s="838"/>
      <c r="BY905" s="838"/>
      <c r="BZ905" s="838"/>
      <c r="CA905" s="838"/>
      <c r="CB905" s="838"/>
      <c r="CC905" s="838"/>
      <c r="CD905" s="838"/>
      <c r="CE905" s="838"/>
      <c r="CF905" s="838"/>
      <c r="CG905" s="838"/>
      <c r="CH905" s="838"/>
      <c r="CI905" s="838"/>
      <c r="CJ905" s="838"/>
      <c r="CK905" s="838"/>
      <c r="CL905" s="838"/>
      <c r="CM905" s="838"/>
      <c r="CN905" s="838"/>
      <c r="CO905" s="838"/>
      <c r="CP905" s="838"/>
      <c r="CQ905" s="838"/>
      <c r="CR905" s="838"/>
      <c r="CS905" s="838"/>
      <c r="CT905" s="838"/>
      <c r="CU905" s="838"/>
    </row>
    <row r="906">
      <c r="A906" s="834"/>
      <c r="B906" s="834"/>
      <c r="C906" s="834"/>
      <c r="D906" s="834"/>
      <c r="E906" s="834"/>
      <c r="F906" s="834"/>
      <c r="G906" s="834"/>
      <c r="H906" s="834"/>
      <c r="I906" s="834"/>
      <c r="J906" s="834"/>
      <c r="K906" s="834"/>
      <c r="L906" s="834"/>
      <c r="M906" s="834"/>
      <c r="N906" s="834"/>
      <c r="O906" s="834"/>
      <c r="P906" s="834"/>
      <c r="Q906" s="834"/>
      <c r="R906" s="834"/>
      <c r="S906" s="834"/>
      <c r="T906" s="834"/>
      <c r="U906" s="834"/>
      <c r="V906" s="834"/>
      <c r="W906" s="834"/>
      <c r="X906" s="834"/>
      <c r="Y906" s="834"/>
      <c r="Z906" s="834"/>
      <c r="AA906" s="834"/>
      <c r="AB906" s="834"/>
      <c r="AC906" s="834"/>
      <c r="AD906" s="834"/>
      <c r="AE906" s="834"/>
      <c r="AF906" s="834"/>
      <c r="AG906" s="834"/>
      <c r="AH906" s="834"/>
      <c r="AJ906" s="836"/>
      <c r="AK906" s="836"/>
      <c r="AL906" s="836"/>
      <c r="AM906" s="836"/>
      <c r="AN906" s="836"/>
      <c r="AO906" s="836"/>
      <c r="AP906" s="836"/>
      <c r="AQ906" s="836"/>
      <c r="AR906" s="836"/>
      <c r="AS906" s="836"/>
      <c r="AT906" s="836"/>
      <c r="AU906" s="836"/>
      <c r="AV906" s="836"/>
      <c r="AW906" s="836"/>
      <c r="AX906" s="836"/>
      <c r="AY906" s="836"/>
      <c r="AZ906" s="836"/>
      <c r="BA906" s="836"/>
      <c r="BB906" s="836"/>
      <c r="BC906" s="836"/>
      <c r="BD906" s="836"/>
      <c r="BE906" s="836"/>
      <c r="BF906" s="836"/>
      <c r="BG906" s="836"/>
      <c r="BH906" s="836"/>
      <c r="BI906" s="836"/>
      <c r="BJ906" s="836"/>
      <c r="BK906" s="836"/>
      <c r="BL906" s="836"/>
      <c r="BM906" s="836"/>
      <c r="BN906" s="836"/>
      <c r="BO906" s="836"/>
      <c r="BP906" s="836"/>
      <c r="BR906" s="838"/>
      <c r="BS906" s="838"/>
      <c r="BT906" s="838"/>
      <c r="BU906" s="838"/>
      <c r="BV906" s="838"/>
      <c r="BW906" s="838"/>
      <c r="BX906" s="838"/>
      <c r="BY906" s="838"/>
      <c r="BZ906" s="838"/>
      <c r="CA906" s="838"/>
      <c r="CB906" s="838"/>
      <c r="CC906" s="838"/>
      <c r="CD906" s="838"/>
      <c r="CE906" s="838"/>
      <c r="CF906" s="838"/>
      <c r="CG906" s="838"/>
      <c r="CH906" s="838"/>
      <c r="CI906" s="838"/>
      <c r="CJ906" s="838"/>
      <c r="CK906" s="838"/>
      <c r="CL906" s="838"/>
      <c r="CM906" s="838"/>
      <c r="CN906" s="838"/>
      <c r="CO906" s="838"/>
      <c r="CP906" s="838"/>
      <c r="CQ906" s="838"/>
      <c r="CR906" s="838"/>
      <c r="CS906" s="838"/>
      <c r="CT906" s="838"/>
      <c r="CU906" s="838"/>
    </row>
    <row r="907">
      <c r="A907" s="834"/>
      <c r="B907" s="834"/>
      <c r="C907" s="834"/>
      <c r="D907" s="834"/>
      <c r="E907" s="834"/>
      <c r="F907" s="834"/>
      <c r="G907" s="834"/>
      <c r="H907" s="834"/>
      <c r="I907" s="834"/>
      <c r="J907" s="834"/>
      <c r="K907" s="834"/>
      <c r="L907" s="834"/>
      <c r="M907" s="834"/>
      <c r="N907" s="834"/>
      <c r="O907" s="834"/>
      <c r="P907" s="834"/>
      <c r="Q907" s="834"/>
      <c r="R907" s="834"/>
      <c r="S907" s="834"/>
      <c r="T907" s="834"/>
      <c r="U907" s="834"/>
      <c r="V907" s="834"/>
      <c r="W907" s="834"/>
      <c r="X907" s="834"/>
      <c r="Y907" s="834"/>
      <c r="Z907" s="834"/>
      <c r="AA907" s="834"/>
      <c r="AB907" s="834"/>
      <c r="AC907" s="834"/>
      <c r="AD907" s="834"/>
      <c r="AE907" s="834"/>
      <c r="AF907" s="834"/>
      <c r="AG907" s="834"/>
      <c r="AH907" s="834"/>
      <c r="AJ907" s="836"/>
      <c r="AK907" s="836"/>
      <c r="AL907" s="836"/>
      <c r="AM907" s="836"/>
      <c r="AN907" s="836"/>
      <c r="AO907" s="836"/>
      <c r="AP907" s="836"/>
      <c r="AQ907" s="836"/>
      <c r="AR907" s="836"/>
      <c r="AS907" s="836"/>
      <c r="AT907" s="836"/>
      <c r="AU907" s="836"/>
      <c r="AV907" s="836"/>
      <c r="AW907" s="836"/>
      <c r="AX907" s="836"/>
      <c r="AY907" s="836"/>
      <c r="AZ907" s="836"/>
      <c r="BA907" s="836"/>
      <c r="BB907" s="836"/>
      <c r="BC907" s="836"/>
      <c r="BD907" s="836"/>
      <c r="BE907" s="836"/>
      <c r="BF907" s="836"/>
      <c r="BG907" s="836"/>
      <c r="BH907" s="836"/>
      <c r="BI907" s="836"/>
      <c r="BJ907" s="836"/>
      <c r="BK907" s="836"/>
      <c r="BL907" s="836"/>
      <c r="BM907" s="836"/>
      <c r="BN907" s="836"/>
      <c r="BO907" s="836"/>
      <c r="BP907" s="836"/>
      <c r="BR907" s="838"/>
      <c r="BS907" s="838"/>
      <c r="BT907" s="838"/>
      <c r="BU907" s="838"/>
      <c r="BV907" s="838"/>
      <c r="BW907" s="838"/>
      <c r="BX907" s="838"/>
      <c r="BY907" s="838"/>
      <c r="BZ907" s="838"/>
      <c r="CA907" s="838"/>
      <c r="CB907" s="838"/>
      <c r="CC907" s="838"/>
      <c r="CD907" s="838"/>
      <c r="CE907" s="838"/>
      <c r="CF907" s="838"/>
      <c r="CG907" s="838"/>
      <c r="CH907" s="838"/>
      <c r="CI907" s="838"/>
      <c r="CJ907" s="838"/>
      <c r="CK907" s="838"/>
      <c r="CL907" s="838"/>
      <c r="CM907" s="838"/>
      <c r="CN907" s="838"/>
      <c r="CO907" s="838"/>
      <c r="CP907" s="838"/>
      <c r="CQ907" s="838"/>
      <c r="CR907" s="838"/>
      <c r="CS907" s="838"/>
      <c r="CT907" s="838"/>
      <c r="CU907" s="838"/>
    </row>
    <row r="908">
      <c r="A908" s="834"/>
      <c r="B908" s="834"/>
      <c r="C908" s="834"/>
      <c r="D908" s="834"/>
      <c r="E908" s="834"/>
      <c r="F908" s="834"/>
      <c r="G908" s="834"/>
      <c r="H908" s="834"/>
      <c r="I908" s="834"/>
      <c r="J908" s="834"/>
      <c r="K908" s="834"/>
      <c r="L908" s="834"/>
      <c r="M908" s="834"/>
      <c r="N908" s="834"/>
      <c r="O908" s="834"/>
      <c r="P908" s="834"/>
      <c r="Q908" s="834"/>
      <c r="R908" s="834"/>
      <c r="S908" s="834"/>
      <c r="T908" s="834"/>
      <c r="U908" s="834"/>
      <c r="V908" s="834"/>
      <c r="W908" s="834"/>
      <c r="X908" s="834"/>
      <c r="Y908" s="834"/>
      <c r="Z908" s="834"/>
      <c r="AA908" s="834"/>
      <c r="AB908" s="834"/>
      <c r="AC908" s="834"/>
      <c r="AD908" s="834"/>
      <c r="AE908" s="834"/>
      <c r="AF908" s="834"/>
      <c r="AG908" s="834"/>
      <c r="AH908" s="834"/>
      <c r="AJ908" s="836"/>
      <c r="AK908" s="836"/>
      <c r="AL908" s="836"/>
      <c r="AM908" s="836"/>
      <c r="AN908" s="836"/>
      <c r="AO908" s="836"/>
      <c r="AP908" s="836"/>
      <c r="AQ908" s="836"/>
      <c r="AR908" s="836"/>
      <c r="AS908" s="836"/>
      <c r="AT908" s="836"/>
      <c r="AU908" s="836"/>
      <c r="AV908" s="836"/>
      <c r="AW908" s="836"/>
      <c r="AX908" s="836"/>
      <c r="AY908" s="836"/>
      <c r="AZ908" s="836"/>
      <c r="BA908" s="836"/>
      <c r="BB908" s="836"/>
      <c r="BC908" s="836"/>
      <c r="BD908" s="836"/>
      <c r="BE908" s="836"/>
      <c r="BF908" s="836"/>
      <c r="BG908" s="836"/>
      <c r="BH908" s="836"/>
      <c r="BI908" s="836"/>
      <c r="BJ908" s="836"/>
      <c r="BK908" s="836"/>
      <c r="BL908" s="836"/>
      <c r="BM908" s="836"/>
      <c r="BN908" s="836"/>
      <c r="BO908" s="836"/>
      <c r="BP908" s="836"/>
      <c r="BR908" s="838"/>
      <c r="BS908" s="838"/>
      <c r="BT908" s="838"/>
      <c r="BU908" s="838"/>
      <c r="BV908" s="838"/>
      <c r="BW908" s="838"/>
      <c r="BX908" s="838"/>
      <c r="BY908" s="838"/>
      <c r="BZ908" s="838"/>
      <c r="CA908" s="838"/>
      <c r="CB908" s="838"/>
      <c r="CC908" s="838"/>
      <c r="CD908" s="838"/>
      <c r="CE908" s="838"/>
      <c r="CF908" s="838"/>
      <c r="CG908" s="838"/>
      <c r="CH908" s="838"/>
      <c r="CI908" s="838"/>
      <c r="CJ908" s="838"/>
      <c r="CK908" s="838"/>
      <c r="CL908" s="838"/>
      <c r="CM908" s="838"/>
      <c r="CN908" s="838"/>
      <c r="CO908" s="838"/>
      <c r="CP908" s="838"/>
      <c r="CQ908" s="838"/>
      <c r="CR908" s="838"/>
      <c r="CS908" s="838"/>
      <c r="CT908" s="838"/>
      <c r="CU908" s="838"/>
    </row>
    <row r="909">
      <c r="A909" s="834"/>
      <c r="B909" s="834"/>
      <c r="C909" s="834"/>
      <c r="D909" s="834"/>
      <c r="E909" s="834"/>
      <c r="F909" s="834"/>
      <c r="G909" s="834"/>
      <c r="H909" s="834"/>
      <c r="I909" s="834"/>
      <c r="J909" s="834"/>
      <c r="K909" s="834"/>
      <c r="L909" s="834"/>
      <c r="M909" s="834"/>
      <c r="N909" s="834"/>
      <c r="O909" s="834"/>
      <c r="P909" s="834"/>
      <c r="Q909" s="834"/>
      <c r="R909" s="834"/>
      <c r="S909" s="834"/>
      <c r="T909" s="834"/>
      <c r="U909" s="834"/>
      <c r="V909" s="834"/>
      <c r="W909" s="834"/>
      <c r="X909" s="834"/>
      <c r="Y909" s="834"/>
      <c r="Z909" s="834"/>
      <c r="AA909" s="834"/>
      <c r="AB909" s="834"/>
      <c r="AC909" s="834"/>
      <c r="AD909" s="834"/>
      <c r="AE909" s="834"/>
      <c r="AF909" s="834"/>
      <c r="AG909" s="834"/>
      <c r="AH909" s="834"/>
      <c r="AJ909" s="836"/>
      <c r="AK909" s="836"/>
      <c r="AL909" s="836"/>
      <c r="AM909" s="836"/>
      <c r="AN909" s="836"/>
      <c r="AO909" s="836"/>
      <c r="AP909" s="836"/>
      <c r="AQ909" s="836"/>
      <c r="AR909" s="836"/>
      <c r="AS909" s="836"/>
      <c r="AT909" s="836"/>
      <c r="AU909" s="836"/>
      <c r="AV909" s="836"/>
      <c r="AW909" s="836"/>
      <c r="AX909" s="836"/>
      <c r="AY909" s="836"/>
      <c r="AZ909" s="836"/>
      <c r="BA909" s="836"/>
      <c r="BB909" s="836"/>
      <c r="BC909" s="836"/>
      <c r="BD909" s="836"/>
      <c r="BE909" s="836"/>
      <c r="BF909" s="836"/>
      <c r="BG909" s="836"/>
      <c r="BH909" s="836"/>
      <c r="BI909" s="836"/>
      <c r="BJ909" s="836"/>
      <c r="BK909" s="836"/>
      <c r="BL909" s="836"/>
      <c r="BM909" s="836"/>
      <c r="BN909" s="836"/>
      <c r="BO909" s="836"/>
      <c r="BP909" s="836"/>
      <c r="BR909" s="838"/>
      <c r="BS909" s="838"/>
      <c r="BT909" s="838"/>
      <c r="BU909" s="838"/>
      <c r="BV909" s="838"/>
      <c r="BW909" s="838"/>
      <c r="BX909" s="838"/>
      <c r="BY909" s="838"/>
      <c r="BZ909" s="838"/>
      <c r="CA909" s="838"/>
      <c r="CB909" s="838"/>
      <c r="CC909" s="838"/>
      <c r="CD909" s="838"/>
      <c r="CE909" s="838"/>
      <c r="CF909" s="838"/>
      <c r="CG909" s="838"/>
      <c r="CH909" s="838"/>
      <c r="CI909" s="838"/>
      <c r="CJ909" s="838"/>
      <c r="CK909" s="838"/>
      <c r="CL909" s="838"/>
      <c r="CM909" s="838"/>
      <c r="CN909" s="838"/>
      <c r="CO909" s="838"/>
      <c r="CP909" s="838"/>
      <c r="CQ909" s="838"/>
      <c r="CR909" s="838"/>
      <c r="CS909" s="838"/>
      <c r="CT909" s="838"/>
      <c r="CU909" s="838"/>
    </row>
    <row r="910">
      <c r="A910" s="834"/>
      <c r="B910" s="834"/>
      <c r="C910" s="834"/>
      <c r="D910" s="834"/>
      <c r="E910" s="834"/>
      <c r="F910" s="834"/>
      <c r="G910" s="834"/>
      <c r="H910" s="834"/>
      <c r="I910" s="834"/>
      <c r="J910" s="834"/>
      <c r="K910" s="834"/>
      <c r="L910" s="834"/>
      <c r="M910" s="834"/>
      <c r="N910" s="834"/>
      <c r="O910" s="834"/>
      <c r="P910" s="834"/>
      <c r="Q910" s="834"/>
      <c r="R910" s="834"/>
      <c r="S910" s="834"/>
      <c r="T910" s="834"/>
      <c r="U910" s="834"/>
      <c r="V910" s="834"/>
      <c r="W910" s="834"/>
      <c r="X910" s="834"/>
      <c r="Y910" s="834"/>
      <c r="Z910" s="834"/>
      <c r="AA910" s="834"/>
      <c r="AB910" s="834"/>
      <c r="AC910" s="834"/>
      <c r="AD910" s="834"/>
      <c r="AE910" s="834"/>
      <c r="AF910" s="834"/>
      <c r="AG910" s="834"/>
      <c r="AH910" s="834"/>
      <c r="AJ910" s="836"/>
      <c r="AK910" s="836"/>
      <c r="AL910" s="836"/>
      <c r="AM910" s="836"/>
      <c r="AN910" s="836"/>
      <c r="AO910" s="836"/>
      <c r="AP910" s="836"/>
      <c r="AQ910" s="836"/>
      <c r="AR910" s="836"/>
      <c r="AS910" s="836"/>
      <c r="AT910" s="836"/>
      <c r="AU910" s="836"/>
      <c r="AV910" s="836"/>
      <c r="AW910" s="836"/>
      <c r="AX910" s="836"/>
      <c r="AY910" s="836"/>
      <c r="AZ910" s="836"/>
      <c r="BA910" s="836"/>
      <c r="BB910" s="836"/>
      <c r="BC910" s="836"/>
      <c r="BD910" s="836"/>
      <c r="BE910" s="836"/>
      <c r="BF910" s="836"/>
      <c r="BG910" s="836"/>
      <c r="BH910" s="836"/>
      <c r="BI910" s="836"/>
      <c r="BJ910" s="836"/>
      <c r="BK910" s="836"/>
      <c r="BL910" s="836"/>
      <c r="BM910" s="836"/>
      <c r="BN910" s="836"/>
      <c r="BO910" s="836"/>
      <c r="BP910" s="836"/>
      <c r="BR910" s="838"/>
      <c r="BS910" s="838"/>
      <c r="BT910" s="838"/>
      <c r="BU910" s="838"/>
      <c r="BV910" s="838"/>
      <c r="BW910" s="838"/>
      <c r="BX910" s="838"/>
      <c r="BY910" s="838"/>
      <c r="BZ910" s="838"/>
      <c r="CA910" s="838"/>
      <c r="CB910" s="838"/>
      <c r="CC910" s="838"/>
      <c r="CD910" s="838"/>
      <c r="CE910" s="838"/>
      <c r="CF910" s="838"/>
      <c r="CG910" s="838"/>
      <c r="CH910" s="838"/>
      <c r="CI910" s="838"/>
      <c r="CJ910" s="838"/>
      <c r="CK910" s="838"/>
      <c r="CL910" s="838"/>
      <c r="CM910" s="838"/>
      <c r="CN910" s="838"/>
      <c r="CO910" s="838"/>
      <c r="CP910" s="838"/>
      <c r="CQ910" s="838"/>
      <c r="CR910" s="838"/>
      <c r="CS910" s="838"/>
      <c r="CT910" s="838"/>
      <c r="CU910" s="838"/>
    </row>
    <row r="911">
      <c r="A911" s="834"/>
      <c r="B911" s="834"/>
      <c r="C911" s="834"/>
      <c r="D911" s="834"/>
      <c r="E911" s="834"/>
      <c r="F911" s="834"/>
      <c r="G911" s="834"/>
      <c r="H911" s="834"/>
      <c r="I911" s="834"/>
      <c r="J911" s="834"/>
      <c r="K911" s="834"/>
      <c r="L911" s="834"/>
      <c r="M911" s="834"/>
      <c r="N911" s="834"/>
      <c r="O911" s="834"/>
      <c r="P911" s="834"/>
      <c r="Q911" s="834"/>
      <c r="R911" s="834"/>
      <c r="S911" s="834"/>
      <c r="T911" s="834"/>
      <c r="U911" s="834"/>
      <c r="V911" s="834"/>
      <c r="W911" s="834"/>
      <c r="X911" s="834"/>
      <c r="Y911" s="834"/>
      <c r="Z911" s="834"/>
      <c r="AA911" s="834"/>
      <c r="AB911" s="834"/>
      <c r="AC911" s="834"/>
      <c r="AD911" s="834"/>
      <c r="AE911" s="834"/>
      <c r="AF911" s="834"/>
      <c r="AG911" s="834"/>
      <c r="AH911" s="834"/>
      <c r="AJ911" s="836"/>
      <c r="AK911" s="836"/>
      <c r="AL911" s="836"/>
      <c r="AM911" s="836"/>
      <c r="AN911" s="836"/>
      <c r="AO911" s="836"/>
      <c r="AP911" s="836"/>
      <c r="AQ911" s="836"/>
      <c r="AR911" s="836"/>
      <c r="AS911" s="836"/>
      <c r="AT911" s="836"/>
      <c r="AU911" s="836"/>
      <c r="AV911" s="836"/>
      <c r="AW911" s="836"/>
      <c r="AX911" s="836"/>
      <c r="AY911" s="836"/>
      <c r="AZ911" s="836"/>
      <c r="BA911" s="836"/>
      <c r="BB911" s="836"/>
      <c r="BC911" s="836"/>
      <c r="BD911" s="836"/>
      <c r="BE911" s="836"/>
      <c r="BF911" s="836"/>
      <c r="BG911" s="836"/>
      <c r="BH911" s="836"/>
      <c r="BI911" s="836"/>
      <c r="BJ911" s="836"/>
      <c r="BK911" s="836"/>
      <c r="BL911" s="836"/>
      <c r="BM911" s="836"/>
      <c r="BN911" s="836"/>
      <c r="BO911" s="836"/>
      <c r="BP911" s="836"/>
      <c r="BR911" s="838"/>
      <c r="BS911" s="838"/>
      <c r="BT911" s="838"/>
      <c r="BU911" s="838"/>
      <c r="BV911" s="838"/>
      <c r="BW911" s="838"/>
      <c r="BX911" s="838"/>
      <c r="BY911" s="838"/>
      <c r="BZ911" s="838"/>
      <c r="CA911" s="838"/>
      <c r="CB911" s="838"/>
      <c r="CC911" s="838"/>
      <c r="CD911" s="838"/>
      <c r="CE911" s="838"/>
      <c r="CF911" s="838"/>
      <c r="CG911" s="838"/>
      <c r="CH911" s="838"/>
      <c r="CI911" s="838"/>
      <c r="CJ911" s="838"/>
      <c r="CK911" s="838"/>
      <c r="CL911" s="838"/>
      <c r="CM911" s="838"/>
      <c r="CN911" s="838"/>
      <c r="CO911" s="838"/>
      <c r="CP911" s="838"/>
      <c r="CQ911" s="838"/>
      <c r="CR911" s="838"/>
      <c r="CS911" s="838"/>
      <c r="CT911" s="838"/>
      <c r="CU911" s="838"/>
    </row>
    <row r="912">
      <c r="A912" s="834"/>
      <c r="B912" s="834"/>
      <c r="C912" s="834"/>
      <c r="D912" s="834"/>
      <c r="E912" s="834"/>
      <c r="F912" s="834"/>
      <c r="G912" s="834"/>
      <c r="H912" s="834"/>
      <c r="I912" s="834"/>
      <c r="J912" s="834"/>
      <c r="K912" s="834"/>
      <c r="L912" s="834"/>
      <c r="M912" s="834"/>
      <c r="N912" s="834"/>
      <c r="O912" s="834"/>
      <c r="P912" s="834"/>
      <c r="Q912" s="834"/>
      <c r="R912" s="834"/>
      <c r="S912" s="834"/>
      <c r="T912" s="834"/>
      <c r="U912" s="834"/>
      <c r="V912" s="834"/>
      <c r="W912" s="834"/>
      <c r="X912" s="834"/>
      <c r="Y912" s="834"/>
      <c r="Z912" s="834"/>
      <c r="AA912" s="834"/>
      <c r="AB912" s="834"/>
      <c r="AC912" s="834"/>
      <c r="AD912" s="834"/>
      <c r="AE912" s="834"/>
      <c r="AF912" s="834"/>
      <c r="AG912" s="834"/>
      <c r="AH912" s="834"/>
      <c r="AJ912" s="836"/>
      <c r="AK912" s="836"/>
      <c r="AL912" s="836"/>
      <c r="AM912" s="836"/>
      <c r="AN912" s="836"/>
      <c r="AO912" s="836"/>
      <c r="AP912" s="836"/>
      <c r="AQ912" s="836"/>
      <c r="AR912" s="836"/>
      <c r="AS912" s="836"/>
      <c r="AT912" s="836"/>
      <c r="AU912" s="836"/>
      <c r="AV912" s="836"/>
      <c r="AW912" s="836"/>
      <c r="AX912" s="836"/>
      <c r="AY912" s="836"/>
      <c r="AZ912" s="836"/>
      <c r="BA912" s="836"/>
      <c r="BB912" s="836"/>
      <c r="BC912" s="836"/>
      <c r="BD912" s="836"/>
      <c r="BE912" s="836"/>
      <c r="BF912" s="836"/>
      <c r="BG912" s="836"/>
      <c r="BH912" s="836"/>
      <c r="BI912" s="836"/>
      <c r="BJ912" s="836"/>
      <c r="BK912" s="836"/>
      <c r="BL912" s="836"/>
      <c r="BM912" s="836"/>
      <c r="BN912" s="836"/>
      <c r="BO912" s="836"/>
      <c r="BP912" s="836"/>
      <c r="BR912" s="838"/>
      <c r="BS912" s="838"/>
      <c r="BT912" s="838"/>
      <c r="BU912" s="838"/>
      <c r="BV912" s="838"/>
      <c r="BW912" s="838"/>
      <c r="BX912" s="838"/>
      <c r="BY912" s="838"/>
      <c r="BZ912" s="838"/>
      <c r="CA912" s="838"/>
      <c r="CB912" s="838"/>
      <c r="CC912" s="838"/>
      <c r="CD912" s="838"/>
      <c r="CE912" s="838"/>
      <c r="CF912" s="838"/>
      <c r="CG912" s="838"/>
      <c r="CH912" s="838"/>
      <c r="CI912" s="838"/>
      <c r="CJ912" s="838"/>
      <c r="CK912" s="838"/>
      <c r="CL912" s="838"/>
      <c r="CM912" s="838"/>
      <c r="CN912" s="838"/>
      <c r="CO912" s="838"/>
      <c r="CP912" s="838"/>
      <c r="CQ912" s="838"/>
      <c r="CR912" s="838"/>
      <c r="CS912" s="838"/>
      <c r="CT912" s="838"/>
      <c r="CU912" s="838"/>
    </row>
    <row r="913">
      <c r="A913" s="834"/>
      <c r="B913" s="834"/>
      <c r="C913" s="834"/>
      <c r="D913" s="834"/>
      <c r="E913" s="834"/>
      <c r="F913" s="834"/>
      <c r="G913" s="834"/>
      <c r="H913" s="834"/>
      <c r="I913" s="834"/>
      <c r="J913" s="834"/>
      <c r="K913" s="834"/>
      <c r="L913" s="834"/>
      <c r="M913" s="834"/>
      <c r="N913" s="834"/>
      <c r="O913" s="834"/>
      <c r="P913" s="834"/>
      <c r="Q913" s="834"/>
      <c r="R913" s="834"/>
      <c r="S913" s="834"/>
      <c r="T913" s="834"/>
      <c r="U913" s="834"/>
      <c r="V913" s="834"/>
      <c r="W913" s="834"/>
      <c r="X913" s="834"/>
      <c r="Y913" s="834"/>
      <c r="Z913" s="834"/>
      <c r="AA913" s="834"/>
      <c r="AB913" s="834"/>
      <c r="AC913" s="834"/>
      <c r="AD913" s="834"/>
      <c r="AE913" s="834"/>
      <c r="AF913" s="834"/>
      <c r="AG913" s="834"/>
      <c r="AH913" s="834"/>
      <c r="AJ913" s="836"/>
      <c r="AK913" s="836"/>
      <c r="AL913" s="836"/>
      <c r="AM913" s="836"/>
      <c r="AN913" s="836"/>
      <c r="AO913" s="836"/>
      <c r="AP913" s="836"/>
      <c r="AQ913" s="836"/>
      <c r="AR913" s="836"/>
      <c r="AS913" s="836"/>
      <c r="AT913" s="836"/>
      <c r="AU913" s="836"/>
      <c r="AV913" s="836"/>
      <c r="AW913" s="836"/>
      <c r="AX913" s="836"/>
      <c r="AY913" s="836"/>
      <c r="AZ913" s="836"/>
      <c r="BA913" s="836"/>
      <c r="BB913" s="836"/>
      <c r="BC913" s="836"/>
      <c r="BD913" s="836"/>
      <c r="BE913" s="836"/>
      <c r="BF913" s="836"/>
      <c r="BG913" s="836"/>
      <c r="BH913" s="836"/>
      <c r="BI913" s="836"/>
      <c r="BJ913" s="836"/>
      <c r="BK913" s="836"/>
      <c r="BL913" s="836"/>
      <c r="BM913" s="836"/>
      <c r="BN913" s="836"/>
      <c r="BO913" s="836"/>
      <c r="BP913" s="836"/>
      <c r="BR913" s="838"/>
      <c r="BS913" s="838"/>
      <c r="BT913" s="838"/>
      <c r="BU913" s="838"/>
      <c r="BV913" s="838"/>
      <c r="BW913" s="838"/>
      <c r="BX913" s="838"/>
      <c r="BY913" s="838"/>
      <c r="BZ913" s="838"/>
      <c r="CA913" s="838"/>
      <c r="CB913" s="838"/>
      <c r="CC913" s="838"/>
      <c r="CD913" s="838"/>
      <c r="CE913" s="838"/>
      <c r="CF913" s="838"/>
      <c r="CG913" s="838"/>
      <c r="CH913" s="838"/>
      <c r="CI913" s="838"/>
      <c r="CJ913" s="838"/>
      <c r="CK913" s="838"/>
      <c r="CL913" s="838"/>
      <c r="CM913" s="838"/>
      <c r="CN913" s="838"/>
      <c r="CO913" s="838"/>
      <c r="CP913" s="838"/>
      <c r="CQ913" s="838"/>
      <c r="CR913" s="838"/>
      <c r="CS913" s="838"/>
      <c r="CT913" s="838"/>
      <c r="CU913" s="838"/>
    </row>
    <row r="914">
      <c r="A914" s="834"/>
      <c r="B914" s="834"/>
      <c r="C914" s="834"/>
      <c r="D914" s="834"/>
      <c r="E914" s="834"/>
      <c r="F914" s="834"/>
      <c r="G914" s="834"/>
      <c r="H914" s="834"/>
      <c r="I914" s="834"/>
      <c r="J914" s="834"/>
      <c r="K914" s="834"/>
      <c r="L914" s="834"/>
      <c r="M914" s="834"/>
      <c r="N914" s="834"/>
      <c r="O914" s="834"/>
      <c r="P914" s="834"/>
      <c r="Q914" s="834"/>
      <c r="R914" s="834"/>
      <c r="S914" s="834"/>
      <c r="T914" s="834"/>
      <c r="U914" s="834"/>
      <c r="V914" s="834"/>
      <c r="W914" s="834"/>
      <c r="X914" s="834"/>
      <c r="Y914" s="834"/>
      <c r="Z914" s="834"/>
      <c r="AA914" s="834"/>
      <c r="AB914" s="834"/>
      <c r="AC914" s="834"/>
      <c r="AD914" s="834"/>
      <c r="AE914" s="834"/>
      <c r="AF914" s="834"/>
      <c r="AG914" s="834"/>
      <c r="AH914" s="834"/>
      <c r="AJ914" s="836"/>
      <c r="AK914" s="836"/>
      <c r="AL914" s="836"/>
      <c r="AM914" s="836"/>
      <c r="AN914" s="836"/>
      <c r="AO914" s="836"/>
      <c r="AP914" s="836"/>
      <c r="AQ914" s="836"/>
      <c r="AR914" s="836"/>
      <c r="AS914" s="836"/>
      <c r="AT914" s="836"/>
      <c r="AU914" s="836"/>
      <c r="AV914" s="836"/>
      <c r="AW914" s="836"/>
      <c r="AX914" s="836"/>
      <c r="AY914" s="836"/>
      <c r="AZ914" s="836"/>
      <c r="BA914" s="836"/>
      <c r="BB914" s="836"/>
      <c r="BC914" s="836"/>
      <c r="BD914" s="836"/>
      <c r="BE914" s="836"/>
      <c r="BF914" s="836"/>
      <c r="BG914" s="836"/>
      <c r="BH914" s="836"/>
      <c r="BI914" s="836"/>
      <c r="BJ914" s="836"/>
      <c r="BK914" s="836"/>
      <c r="BL914" s="836"/>
      <c r="BM914" s="836"/>
      <c r="BN914" s="836"/>
      <c r="BO914" s="836"/>
      <c r="BP914" s="836"/>
      <c r="BR914" s="838"/>
      <c r="BS914" s="838"/>
      <c r="BT914" s="838"/>
      <c r="BU914" s="838"/>
      <c r="BV914" s="838"/>
      <c r="BW914" s="838"/>
      <c r="BX914" s="838"/>
      <c r="BY914" s="838"/>
      <c r="BZ914" s="838"/>
      <c r="CA914" s="838"/>
      <c r="CB914" s="838"/>
      <c r="CC914" s="838"/>
      <c r="CD914" s="838"/>
      <c r="CE914" s="838"/>
      <c r="CF914" s="838"/>
      <c r="CG914" s="838"/>
      <c r="CH914" s="838"/>
      <c r="CI914" s="838"/>
      <c r="CJ914" s="838"/>
      <c r="CK914" s="838"/>
      <c r="CL914" s="838"/>
      <c r="CM914" s="838"/>
      <c r="CN914" s="838"/>
      <c r="CO914" s="838"/>
      <c r="CP914" s="838"/>
      <c r="CQ914" s="838"/>
      <c r="CR914" s="838"/>
      <c r="CS914" s="838"/>
      <c r="CT914" s="838"/>
      <c r="CU914" s="838"/>
    </row>
    <row r="915">
      <c r="A915" s="834"/>
      <c r="B915" s="834"/>
      <c r="C915" s="834"/>
      <c r="D915" s="834"/>
      <c r="E915" s="834"/>
      <c r="F915" s="834"/>
      <c r="G915" s="834"/>
      <c r="H915" s="834"/>
      <c r="I915" s="834"/>
      <c r="J915" s="834"/>
      <c r="K915" s="834"/>
      <c r="L915" s="834"/>
      <c r="M915" s="834"/>
      <c r="N915" s="834"/>
      <c r="O915" s="834"/>
      <c r="P915" s="834"/>
      <c r="Q915" s="834"/>
      <c r="R915" s="834"/>
      <c r="S915" s="834"/>
      <c r="T915" s="834"/>
      <c r="U915" s="834"/>
      <c r="V915" s="834"/>
      <c r="W915" s="834"/>
      <c r="X915" s="834"/>
      <c r="Y915" s="834"/>
      <c r="Z915" s="834"/>
      <c r="AA915" s="834"/>
      <c r="AB915" s="834"/>
      <c r="AC915" s="834"/>
      <c r="AD915" s="834"/>
      <c r="AE915" s="834"/>
      <c r="AF915" s="834"/>
      <c r="AG915" s="834"/>
      <c r="AH915" s="834"/>
      <c r="AJ915" s="836"/>
      <c r="AK915" s="836"/>
      <c r="AL915" s="836"/>
      <c r="AM915" s="836"/>
      <c r="AN915" s="836"/>
      <c r="AO915" s="836"/>
      <c r="AP915" s="836"/>
      <c r="AQ915" s="836"/>
      <c r="AR915" s="836"/>
      <c r="AS915" s="836"/>
      <c r="AT915" s="836"/>
      <c r="AU915" s="836"/>
      <c r="AV915" s="836"/>
      <c r="AW915" s="836"/>
      <c r="AX915" s="836"/>
      <c r="AY915" s="836"/>
      <c r="AZ915" s="836"/>
      <c r="BA915" s="836"/>
      <c r="BB915" s="836"/>
      <c r="BC915" s="836"/>
      <c r="BD915" s="836"/>
      <c r="BE915" s="836"/>
      <c r="BF915" s="836"/>
      <c r="BG915" s="836"/>
      <c r="BH915" s="836"/>
      <c r="BI915" s="836"/>
      <c r="BJ915" s="836"/>
      <c r="BK915" s="836"/>
      <c r="BL915" s="836"/>
      <c r="BM915" s="836"/>
      <c r="BN915" s="836"/>
      <c r="BO915" s="836"/>
      <c r="BP915" s="836"/>
      <c r="BR915" s="838"/>
      <c r="BS915" s="838"/>
      <c r="BT915" s="838"/>
      <c r="BU915" s="838"/>
      <c r="BV915" s="838"/>
      <c r="BW915" s="838"/>
      <c r="BX915" s="838"/>
      <c r="BY915" s="838"/>
      <c r="BZ915" s="838"/>
      <c r="CA915" s="838"/>
      <c r="CB915" s="838"/>
      <c r="CC915" s="838"/>
      <c r="CD915" s="838"/>
      <c r="CE915" s="838"/>
      <c r="CF915" s="838"/>
      <c r="CG915" s="838"/>
      <c r="CH915" s="838"/>
      <c r="CI915" s="838"/>
      <c r="CJ915" s="838"/>
      <c r="CK915" s="838"/>
      <c r="CL915" s="838"/>
      <c r="CM915" s="838"/>
      <c r="CN915" s="838"/>
      <c r="CO915" s="838"/>
      <c r="CP915" s="838"/>
      <c r="CQ915" s="838"/>
      <c r="CR915" s="838"/>
      <c r="CS915" s="838"/>
      <c r="CT915" s="838"/>
      <c r="CU915" s="838"/>
    </row>
    <row r="916">
      <c r="A916" s="834"/>
      <c r="B916" s="834"/>
      <c r="C916" s="834"/>
      <c r="D916" s="834"/>
      <c r="E916" s="834"/>
      <c r="F916" s="834"/>
      <c r="G916" s="834"/>
      <c r="H916" s="834"/>
      <c r="I916" s="834"/>
      <c r="J916" s="834"/>
      <c r="K916" s="834"/>
      <c r="L916" s="834"/>
      <c r="M916" s="834"/>
      <c r="N916" s="834"/>
      <c r="O916" s="834"/>
      <c r="P916" s="834"/>
      <c r="Q916" s="834"/>
      <c r="R916" s="834"/>
      <c r="S916" s="834"/>
      <c r="T916" s="834"/>
      <c r="U916" s="834"/>
      <c r="V916" s="834"/>
      <c r="W916" s="834"/>
      <c r="X916" s="834"/>
      <c r="Y916" s="834"/>
      <c r="Z916" s="834"/>
      <c r="AA916" s="834"/>
      <c r="AB916" s="834"/>
      <c r="AC916" s="834"/>
      <c r="AD916" s="834"/>
      <c r="AE916" s="834"/>
      <c r="AF916" s="834"/>
      <c r="AG916" s="834"/>
      <c r="AH916" s="834"/>
      <c r="AJ916" s="836"/>
      <c r="AK916" s="836"/>
      <c r="AL916" s="836"/>
      <c r="AM916" s="836"/>
      <c r="AN916" s="836"/>
      <c r="AO916" s="836"/>
      <c r="AP916" s="836"/>
      <c r="AQ916" s="836"/>
      <c r="AR916" s="836"/>
      <c r="AS916" s="836"/>
      <c r="AT916" s="836"/>
      <c r="AU916" s="836"/>
      <c r="AV916" s="836"/>
      <c r="AW916" s="836"/>
      <c r="AX916" s="836"/>
      <c r="AY916" s="836"/>
      <c r="AZ916" s="836"/>
      <c r="BA916" s="836"/>
      <c r="BB916" s="836"/>
      <c r="BC916" s="836"/>
      <c r="BD916" s="836"/>
      <c r="BE916" s="836"/>
      <c r="BF916" s="836"/>
      <c r="BG916" s="836"/>
      <c r="BH916" s="836"/>
      <c r="BI916" s="836"/>
      <c r="BJ916" s="836"/>
      <c r="BK916" s="836"/>
      <c r="BL916" s="836"/>
      <c r="BM916" s="836"/>
      <c r="BN916" s="836"/>
      <c r="BO916" s="836"/>
      <c r="BP916" s="836"/>
      <c r="BR916" s="838"/>
      <c r="BS916" s="838"/>
      <c r="BT916" s="838"/>
      <c r="BU916" s="838"/>
      <c r="BV916" s="838"/>
      <c r="BW916" s="838"/>
      <c r="BX916" s="838"/>
      <c r="BY916" s="838"/>
      <c r="BZ916" s="838"/>
      <c r="CA916" s="838"/>
      <c r="CB916" s="838"/>
      <c r="CC916" s="838"/>
      <c r="CD916" s="838"/>
      <c r="CE916" s="838"/>
      <c r="CF916" s="838"/>
      <c r="CG916" s="838"/>
      <c r="CH916" s="838"/>
      <c r="CI916" s="838"/>
      <c r="CJ916" s="838"/>
      <c r="CK916" s="838"/>
      <c r="CL916" s="838"/>
      <c r="CM916" s="838"/>
      <c r="CN916" s="838"/>
      <c r="CO916" s="838"/>
      <c r="CP916" s="838"/>
      <c r="CQ916" s="838"/>
      <c r="CR916" s="838"/>
      <c r="CS916" s="838"/>
      <c r="CT916" s="838"/>
      <c r="CU916" s="838"/>
    </row>
    <row r="917">
      <c r="A917" s="834"/>
      <c r="B917" s="834"/>
      <c r="C917" s="834"/>
      <c r="D917" s="834"/>
      <c r="E917" s="834"/>
      <c r="F917" s="834"/>
      <c r="G917" s="834"/>
      <c r="H917" s="834"/>
      <c r="I917" s="834"/>
      <c r="J917" s="834"/>
      <c r="K917" s="834"/>
      <c r="L917" s="834"/>
      <c r="M917" s="834"/>
      <c r="N917" s="834"/>
      <c r="O917" s="834"/>
      <c r="P917" s="834"/>
      <c r="Q917" s="834"/>
      <c r="R917" s="834"/>
      <c r="S917" s="834"/>
      <c r="T917" s="834"/>
      <c r="U917" s="834"/>
      <c r="V917" s="834"/>
      <c r="W917" s="834"/>
      <c r="X917" s="834"/>
      <c r="Y917" s="834"/>
      <c r="Z917" s="834"/>
      <c r="AA917" s="834"/>
      <c r="AB917" s="834"/>
      <c r="AC917" s="834"/>
      <c r="AD917" s="834"/>
      <c r="AE917" s="834"/>
      <c r="AF917" s="834"/>
      <c r="AG917" s="834"/>
      <c r="AH917" s="834"/>
      <c r="AJ917" s="836"/>
      <c r="AK917" s="836"/>
      <c r="AL917" s="836"/>
      <c r="AM917" s="836"/>
      <c r="AN917" s="836"/>
      <c r="AO917" s="836"/>
      <c r="AP917" s="836"/>
      <c r="AQ917" s="836"/>
      <c r="AR917" s="836"/>
      <c r="AS917" s="836"/>
      <c r="AT917" s="836"/>
      <c r="AU917" s="836"/>
      <c r="AV917" s="836"/>
      <c r="AW917" s="836"/>
      <c r="AX917" s="836"/>
      <c r="AY917" s="836"/>
      <c r="AZ917" s="836"/>
      <c r="BA917" s="836"/>
      <c r="BB917" s="836"/>
      <c r="BC917" s="836"/>
      <c r="BD917" s="836"/>
      <c r="BE917" s="836"/>
      <c r="BF917" s="836"/>
      <c r="BG917" s="836"/>
      <c r="BH917" s="836"/>
      <c r="BI917" s="836"/>
      <c r="BJ917" s="836"/>
      <c r="BK917" s="836"/>
      <c r="BL917" s="836"/>
      <c r="BM917" s="836"/>
      <c r="BN917" s="836"/>
      <c r="BO917" s="836"/>
      <c r="BP917" s="836"/>
      <c r="BR917" s="838"/>
      <c r="BS917" s="838"/>
      <c r="BT917" s="838"/>
      <c r="BU917" s="838"/>
      <c r="BV917" s="838"/>
      <c r="BW917" s="838"/>
      <c r="BX917" s="838"/>
      <c r="BY917" s="838"/>
      <c r="BZ917" s="838"/>
      <c r="CA917" s="838"/>
      <c r="CB917" s="838"/>
      <c r="CC917" s="838"/>
      <c r="CD917" s="838"/>
      <c r="CE917" s="838"/>
      <c r="CF917" s="838"/>
      <c r="CG917" s="838"/>
      <c r="CH917" s="838"/>
      <c r="CI917" s="838"/>
      <c r="CJ917" s="838"/>
      <c r="CK917" s="838"/>
      <c r="CL917" s="838"/>
      <c r="CM917" s="838"/>
      <c r="CN917" s="838"/>
      <c r="CO917" s="838"/>
      <c r="CP917" s="838"/>
      <c r="CQ917" s="838"/>
      <c r="CR917" s="838"/>
      <c r="CS917" s="838"/>
      <c r="CT917" s="838"/>
      <c r="CU917" s="838"/>
    </row>
    <row r="918">
      <c r="A918" s="834"/>
      <c r="B918" s="834"/>
      <c r="C918" s="834"/>
      <c r="D918" s="834"/>
      <c r="E918" s="834"/>
      <c r="F918" s="834"/>
      <c r="G918" s="834"/>
      <c r="H918" s="834"/>
      <c r="I918" s="834"/>
      <c r="J918" s="834"/>
      <c r="K918" s="834"/>
      <c r="L918" s="834"/>
      <c r="M918" s="834"/>
      <c r="N918" s="834"/>
      <c r="O918" s="834"/>
      <c r="P918" s="834"/>
      <c r="Q918" s="834"/>
      <c r="R918" s="834"/>
      <c r="S918" s="834"/>
      <c r="T918" s="834"/>
      <c r="U918" s="834"/>
      <c r="V918" s="834"/>
      <c r="W918" s="834"/>
      <c r="X918" s="834"/>
      <c r="Y918" s="834"/>
      <c r="Z918" s="834"/>
      <c r="AA918" s="834"/>
      <c r="AB918" s="834"/>
      <c r="AC918" s="834"/>
      <c r="AD918" s="834"/>
      <c r="AE918" s="834"/>
      <c r="AF918" s="834"/>
      <c r="AG918" s="834"/>
      <c r="AH918" s="834"/>
      <c r="AJ918" s="836"/>
      <c r="AK918" s="836"/>
      <c r="AL918" s="836"/>
      <c r="AM918" s="836"/>
      <c r="AN918" s="836"/>
      <c r="AO918" s="836"/>
      <c r="AP918" s="836"/>
      <c r="AQ918" s="836"/>
      <c r="AR918" s="836"/>
      <c r="AS918" s="836"/>
      <c r="AT918" s="836"/>
      <c r="AU918" s="836"/>
      <c r="AV918" s="836"/>
      <c r="AW918" s="836"/>
      <c r="AX918" s="836"/>
      <c r="AY918" s="836"/>
      <c r="AZ918" s="836"/>
      <c r="BA918" s="836"/>
      <c r="BB918" s="836"/>
      <c r="BC918" s="836"/>
      <c r="BD918" s="836"/>
      <c r="BE918" s="836"/>
      <c r="BF918" s="836"/>
      <c r="BG918" s="836"/>
      <c r="BH918" s="836"/>
      <c r="BI918" s="836"/>
      <c r="BJ918" s="836"/>
      <c r="BK918" s="836"/>
      <c r="BL918" s="836"/>
      <c r="BM918" s="836"/>
      <c r="BN918" s="836"/>
      <c r="BO918" s="836"/>
      <c r="BP918" s="836"/>
      <c r="BR918" s="838"/>
      <c r="BS918" s="838"/>
      <c r="BT918" s="838"/>
      <c r="BU918" s="838"/>
      <c r="BV918" s="838"/>
      <c r="BW918" s="838"/>
      <c r="BX918" s="838"/>
      <c r="BY918" s="838"/>
      <c r="BZ918" s="838"/>
      <c r="CA918" s="838"/>
      <c r="CB918" s="838"/>
      <c r="CC918" s="838"/>
      <c r="CD918" s="838"/>
      <c r="CE918" s="838"/>
      <c r="CF918" s="838"/>
      <c r="CG918" s="838"/>
      <c r="CH918" s="838"/>
      <c r="CI918" s="838"/>
      <c r="CJ918" s="838"/>
      <c r="CK918" s="838"/>
      <c r="CL918" s="838"/>
      <c r="CM918" s="838"/>
      <c r="CN918" s="838"/>
      <c r="CO918" s="838"/>
      <c r="CP918" s="838"/>
      <c r="CQ918" s="838"/>
      <c r="CR918" s="838"/>
      <c r="CS918" s="838"/>
      <c r="CT918" s="838"/>
      <c r="CU918" s="838"/>
    </row>
    <row r="919">
      <c r="A919" s="834"/>
      <c r="B919" s="834"/>
      <c r="C919" s="834"/>
      <c r="D919" s="834"/>
      <c r="E919" s="834"/>
      <c r="F919" s="834"/>
      <c r="G919" s="834"/>
      <c r="H919" s="834"/>
      <c r="I919" s="834"/>
      <c r="J919" s="834"/>
      <c r="K919" s="834"/>
      <c r="L919" s="834"/>
      <c r="M919" s="834"/>
      <c r="N919" s="834"/>
      <c r="O919" s="834"/>
      <c r="P919" s="834"/>
      <c r="Q919" s="834"/>
      <c r="R919" s="834"/>
      <c r="S919" s="834"/>
      <c r="T919" s="834"/>
      <c r="U919" s="834"/>
      <c r="V919" s="834"/>
      <c r="W919" s="834"/>
      <c r="X919" s="834"/>
      <c r="Y919" s="834"/>
      <c r="Z919" s="834"/>
      <c r="AA919" s="834"/>
      <c r="AB919" s="834"/>
      <c r="AC919" s="834"/>
      <c r="AD919" s="834"/>
      <c r="AE919" s="834"/>
      <c r="AF919" s="834"/>
      <c r="AG919" s="834"/>
      <c r="AH919" s="834"/>
      <c r="AJ919" s="836"/>
      <c r="AK919" s="836"/>
      <c r="AL919" s="836"/>
      <c r="AM919" s="836"/>
      <c r="AN919" s="836"/>
      <c r="AO919" s="836"/>
      <c r="AP919" s="836"/>
      <c r="AQ919" s="836"/>
      <c r="AR919" s="836"/>
      <c r="AS919" s="836"/>
      <c r="AT919" s="836"/>
      <c r="AU919" s="836"/>
      <c r="AV919" s="836"/>
      <c r="AW919" s="836"/>
      <c r="AX919" s="836"/>
      <c r="AY919" s="836"/>
      <c r="AZ919" s="836"/>
      <c r="BA919" s="836"/>
      <c r="BB919" s="836"/>
      <c r="BC919" s="836"/>
      <c r="BD919" s="836"/>
      <c r="BE919" s="836"/>
      <c r="BF919" s="836"/>
      <c r="BG919" s="836"/>
      <c r="BH919" s="836"/>
      <c r="BI919" s="836"/>
      <c r="BJ919" s="836"/>
      <c r="BK919" s="836"/>
      <c r="BL919" s="836"/>
      <c r="BM919" s="836"/>
      <c r="BN919" s="836"/>
      <c r="BO919" s="836"/>
      <c r="BP919" s="836"/>
      <c r="BR919" s="838"/>
      <c r="BS919" s="838"/>
      <c r="BT919" s="838"/>
      <c r="BU919" s="838"/>
      <c r="BV919" s="838"/>
      <c r="BW919" s="838"/>
      <c r="BX919" s="838"/>
      <c r="BY919" s="838"/>
      <c r="BZ919" s="838"/>
      <c r="CA919" s="838"/>
      <c r="CB919" s="838"/>
      <c r="CC919" s="838"/>
      <c r="CD919" s="838"/>
      <c r="CE919" s="838"/>
      <c r="CF919" s="838"/>
      <c r="CG919" s="838"/>
      <c r="CH919" s="838"/>
      <c r="CI919" s="838"/>
      <c r="CJ919" s="838"/>
      <c r="CK919" s="838"/>
      <c r="CL919" s="838"/>
      <c r="CM919" s="838"/>
      <c r="CN919" s="838"/>
      <c r="CO919" s="838"/>
      <c r="CP919" s="838"/>
      <c r="CQ919" s="838"/>
      <c r="CR919" s="838"/>
      <c r="CS919" s="838"/>
      <c r="CT919" s="838"/>
      <c r="CU919" s="838"/>
    </row>
    <row r="920">
      <c r="A920" s="834"/>
      <c r="B920" s="834"/>
      <c r="C920" s="834"/>
      <c r="D920" s="834"/>
      <c r="E920" s="834"/>
      <c r="F920" s="834"/>
      <c r="G920" s="834"/>
      <c r="H920" s="834"/>
      <c r="I920" s="834"/>
      <c r="J920" s="834"/>
      <c r="K920" s="834"/>
      <c r="L920" s="834"/>
      <c r="M920" s="834"/>
      <c r="N920" s="834"/>
      <c r="O920" s="834"/>
      <c r="P920" s="834"/>
      <c r="Q920" s="834"/>
      <c r="R920" s="834"/>
      <c r="S920" s="834"/>
      <c r="T920" s="834"/>
      <c r="U920" s="834"/>
      <c r="V920" s="834"/>
      <c r="W920" s="834"/>
      <c r="X920" s="834"/>
      <c r="Y920" s="834"/>
      <c r="Z920" s="834"/>
      <c r="AA920" s="834"/>
      <c r="AB920" s="834"/>
      <c r="AC920" s="834"/>
      <c r="AD920" s="834"/>
      <c r="AE920" s="834"/>
      <c r="AF920" s="834"/>
      <c r="AG920" s="834"/>
      <c r="AH920" s="834"/>
      <c r="AJ920" s="836"/>
      <c r="AK920" s="836"/>
      <c r="AL920" s="836"/>
      <c r="AM920" s="836"/>
      <c r="AN920" s="836"/>
      <c r="AO920" s="836"/>
      <c r="AP920" s="836"/>
      <c r="AQ920" s="836"/>
      <c r="AR920" s="836"/>
      <c r="AS920" s="836"/>
      <c r="AT920" s="836"/>
      <c r="AU920" s="836"/>
      <c r="AV920" s="836"/>
      <c r="AW920" s="836"/>
      <c r="AX920" s="836"/>
      <c r="AY920" s="836"/>
      <c r="AZ920" s="836"/>
      <c r="BA920" s="836"/>
      <c r="BB920" s="836"/>
      <c r="BC920" s="836"/>
      <c r="BD920" s="836"/>
      <c r="BE920" s="836"/>
      <c r="BF920" s="836"/>
      <c r="BG920" s="836"/>
      <c r="BH920" s="836"/>
      <c r="BI920" s="836"/>
      <c r="BJ920" s="836"/>
      <c r="BK920" s="836"/>
      <c r="BL920" s="836"/>
      <c r="BM920" s="836"/>
      <c r="BN920" s="836"/>
      <c r="BO920" s="836"/>
      <c r="BP920" s="836"/>
      <c r="BR920" s="838"/>
      <c r="BS920" s="838"/>
      <c r="BT920" s="838"/>
      <c r="BU920" s="838"/>
      <c r="BV920" s="838"/>
      <c r="BW920" s="838"/>
      <c r="BX920" s="838"/>
      <c r="BY920" s="838"/>
      <c r="BZ920" s="838"/>
      <c r="CA920" s="838"/>
      <c r="CB920" s="838"/>
      <c r="CC920" s="838"/>
      <c r="CD920" s="838"/>
      <c r="CE920" s="838"/>
      <c r="CF920" s="838"/>
      <c r="CG920" s="838"/>
      <c r="CH920" s="838"/>
      <c r="CI920" s="838"/>
      <c r="CJ920" s="838"/>
      <c r="CK920" s="838"/>
      <c r="CL920" s="838"/>
      <c r="CM920" s="838"/>
      <c r="CN920" s="838"/>
      <c r="CO920" s="838"/>
      <c r="CP920" s="838"/>
      <c r="CQ920" s="838"/>
      <c r="CR920" s="838"/>
      <c r="CS920" s="838"/>
      <c r="CT920" s="838"/>
      <c r="CU920" s="838"/>
    </row>
    <row r="921">
      <c r="A921" s="834"/>
      <c r="B921" s="834"/>
      <c r="C921" s="834"/>
      <c r="D921" s="834"/>
      <c r="E921" s="834"/>
      <c r="F921" s="834"/>
      <c r="G921" s="834"/>
      <c r="H921" s="834"/>
      <c r="I921" s="834"/>
      <c r="J921" s="834"/>
      <c r="K921" s="834"/>
      <c r="L921" s="834"/>
      <c r="M921" s="834"/>
      <c r="N921" s="834"/>
      <c r="O921" s="834"/>
      <c r="P921" s="834"/>
      <c r="Q921" s="834"/>
      <c r="R921" s="834"/>
      <c r="S921" s="834"/>
      <c r="T921" s="834"/>
      <c r="U921" s="834"/>
      <c r="V921" s="834"/>
      <c r="W921" s="834"/>
      <c r="X921" s="834"/>
      <c r="Y921" s="834"/>
      <c r="Z921" s="834"/>
      <c r="AA921" s="834"/>
      <c r="AB921" s="834"/>
      <c r="AC921" s="834"/>
      <c r="AD921" s="834"/>
      <c r="AE921" s="834"/>
      <c r="AF921" s="834"/>
      <c r="AG921" s="834"/>
      <c r="AH921" s="834"/>
      <c r="AJ921" s="836"/>
      <c r="AK921" s="836"/>
      <c r="AL921" s="836"/>
      <c r="AM921" s="836"/>
      <c r="AN921" s="836"/>
      <c r="AO921" s="836"/>
      <c r="AP921" s="836"/>
      <c r="AQ921" s="836"/>
      <c r="AR921" s="836"/>
      <c r="AS921" s="836"/>
      <c r="AT921" s="836"/>
      <c r="AU921" s="836"/>
      <c r="AV921" s="836"/>
      <c r="AW921" s="836"/>
      <c r="AX921" s="836"/>
      <c r="AY921" s="836"/>
      <c r="AZ921" s="836"/>
      <c r="BA921" s="836"/>
      <c r="BB921" s="836"/>
      <c r="BC921" s="836"/>
      <c r="BD921" s="836"/>
      <c r="BE921" s="836"/>
      <c r="BF921" s="836"/>
      <c r="BG921" s="836"/>
      <c r="BH921" s="836"/>
      <c r="BI921" s="836"/>
      <c r="BJ921" s="836"/>
      <c r="BK921" s="836"/>
      <c r="BL921" s="836"/>
      <c r="BM921" s="836"/>
      <c r="BN921" s="836"/>
      <c r="BO921" s="836"/>
      <c r="BP921" s="836"/>
      <c r="BR921" s="838"/>
      <c r="BS921" s="838"/>
      <c r="BT921" s="838"/>
      <c r="BU921" s="838"/>
      <c r="BV921" s="838"/>
      <c r="BW921" s="838"/>
      <c r="BX921" s="838"/>
      <c r="BY921" s="838"/>
      <c r="BZ921" s="838"/>
      <c r="CA921" s="838"/>
      <c r="CB921" s="838"/>
      <c r="CC921" s="838"/>
      <c r="CD921" s="838"/>
      <c r="CE921" s="838"/>
      <c r="CF921" s="838"/>
      <c r="CG921" s="838"/>
      <c r="CH921" s="838"/>
      <c r="CI921" s="838"/>
      <c r="CJ921" s="838"/>
      <c r="CK921" s="838"/>
      <c r="CL921" s="838"/>
      <c r="CM921" s="838"/>
      <c r="CN921" s="838"/>
      <c r="CO921" s="838"/>
      <c r="CP921" s="838"/>
      <c r="CQ921" s="838"/>
      <c r="CR921" s="838"/>
      <c r="CS921" s="838"/>
      <c r="CT921" s="838"/>
      <c r="CU921" s="838"/>
    </row>
    <row r="922">
      <c r="A922" s="834"/>
      <c r="B922" s="834"/>
      <c r="C922" s="834"/>
      <c r="D922" s="834"/>
      <c r="E922" s="834"/>
      <c r="F922" s="834"/>
      <c r="G922" s="834"/>
      <c r="H922" s="834"/>
      <c r="I922" s="834"/>
      <c r="J922" s="834"/>
      <c r="K922" s="834"/>
      <c r="L922" s="834"/>
      <c r="M922" s="834"/>
      <c r="N922" s="834"/>
      <c r="O922" s="834"/>
      <c r="P922" s="834"/>
      <c r="Q922" s="834"/>
      <c r="R922" s="834"/>
      <c r="S922" s="834"/>
      <c r="T922" s="834"/>
      <c r="U922" s="834"/>
      <c r="V922" s="834"/>
      <c r="W922" s="834"/>
      <c r="X922" s="834"/>
      <c r="Y922" s="834"/>
      <c r="Z922" s="834"/>
      <c r="AA922" s="834"/>
      <c r="AB922" s="834"/>
      <c r="AC922" s="834"/>
      <c r="AD922" s="834"/>
      <c r="AE922" s="834"/>
      <c r="AF922" s="834"/>
      <c r="AG922" s="834"/>
      <c r="AH922" s="834"/>
      <c r="AJ922" s="836"/>
      <c r="AK922" s="836"/>
      <c r="AL922" s="836"/>
      <c r="AM922" s="836"/>
      <c r="AN922" s="836"/>
      <c r="AO922" s="836"/>
      <c r="AP922" s="836"/>
      <c r="AQ922" s="836"/>
      <c r="AR922" s="836"/>
      <c r="AS922" s="836"/>
      <c r="AT922" s="836"/>
      <c r="AU922" s="836"/>
      <c r="AV922" s="836"/>
      <c r="AW922" s="836"/>
      <c r="AX922" s="836"/>
      <c r="AY922" s="836"/>
      <c r="AZ922" s="836"/>
      <c r="BA922" s="836"/>
      <c r="BB922" s="836"/>
      <c r="BC922" s="836"/>
      <c r="BD922" s="836"/>
      <c r="BE922" s="836"/>
      <c r="BF922" s="836"/>
      <c r="BG922" s="836"/>
      <c r="BH922" s="836"/>
      <c r="BI922" s="836"/>
      <c r="BJ922" s="836"/>
      <c r="BK922" s="836"/>
      <c r="BL922" s="836"/>
      <c r="BM922" s="836"/>
      <c r="BN922" s="836"/>
      <c r="BO922" s="836"/>
      <c r="BP922" s="836"/>
      <c r="BR922" s="838"/>
      <c r="BS922" s="838"/>
      <c r="BT922" s="838"/>
      <c r="BU922" s="838"/>
      <c r="BV922" s="838"/>
      <c r="BW922" s="838"/>
      <c r="BX922" s="838"/>
      <c r="BY922" s="838"/>
      <c r="BZ922" s="838"/>
      <c r="CA922" s="838"/>
      <c r="CB922" s="838"/>
      <c r="CC922" s="838"/>
      <c r="CD922" s="838"/>
      <c r="CE922" s="838"/>
      <c r="CF922" s="838"/>
      <c r="CG922" s="838"/>
      <c r="CH922" s="838"/>
      <c r="CI922" s="838"/>
      <c r="CJ922" s="838"/>
      <c r="CK922" s="838"/>
      <c r="CL922" s="838"/>
      <c r="CM922" s="838"/>
      <c r="CN922" s="838"/>
      <c r="CO922" s="838"/>
      <c r="CP922" s="838"/>
      <c r="CQ922" s="838"/>
      <c r="CR922" s="838"/>
      <c r="CS922" s="838"/>
      <c r="CT922" s="838"/>
      <c r="CU922" s="838"/>
    </row>
    <row r="923">
      <c r="A923" s="834"/>
      <c r="B923" s="834"/>
      <c r="C923" s="834"/>
      <c r="D923" s="834"/>
      <c r="E923" s="834"/>
      <c r="F923" s="834"/>
      <c r="G923" s="834"/>
      <c r="H923" s="834"/>
      <c r="I923" s="834"/>
      <c r="J923" s="834"/>
      <c r="K923" s="834"/>
      <c r="L923" s="834"/>
      <c r="M923" s="834"/>
      <c r="N923" s="834"/>
      <c r="O923" s="834"/>
      <c r="P923" s="834"/>
      <c r="Q923" s="834"/>
      <c r="R923" s="834"/>
      <c r="S923" s="834"/>
      <c r="T923" s="834"/>
      <c r="U923" s="834"/>
      <c r="V923" s="834"/>
      <c r="W923" s="834"/>
      <c r="X923" s="834"/>
      <c r="Y923" s="834"/>
      <c r="Z923" s="834"/>
      <c r="AA923" s="834"/>
      <c r="AB923" s="834"/>
      <c r="AC923" s="834"/>
      <c r="AD923" s="834"/>
      <c r="AE923" s="834"/>
      <c r="AF923" s="834"/>
      <c r="AG923" s="834"/>
      <c r="AH923" s="834"/>
      <c r="AJ923" s="836"/>
      <c r="AK923" s="836"/>
      <c r="AL923" s="836"/>
      <c r="AM923" s="836"/>
      <c r="AN923" s="836"/>
      <c r="AO923" s="836"/>
      <c r="AP923" s="836"/>
      <c r="AQ923" s="836"/>
      <c r="AR923" s="836"/>
      <c r="AS923" s="836"/>
      <c r="AT923" s="836"/>
      <c r="AU923" s="836"/>
      <c r="AV923" s="836"/>
      <c r="AW923" s="836"/>
      <c r="AX923" s="836"/>
      <c r="AY923" s="836"/>
      <c r="AZ923" s="836"/>
      <c r="BA923" s="836"/>
      <c r="BB923" s="836"/>
      <c r="BC923" s="836"/>
      <c r="BD923" s="836"/>
      <c r="BE923" s="836"/>
      <c r="BF923" s="836"/>
      <c r="BG923" s="836"/>
      <c r="BH923" s="836"/>
      <c r="BI923" s="836"/>
      <c r="BJ923" s="836"/>
      <c r="BK923" s="836"/>
      <c r="BL923" s="836"/>
      <c r="BM923" s="836"/>
      <c r="BN923" s="836"/>
      <c r="BO923" s="836"/>
      <c r="BP923" s="836"/>
      <c r="BR923" s="838"/>
      <c r="BS923" s="838"/>
      <c r="BT923" s="838"/>
      <c r="BU923" s="838"/>
      <c r="BV923" s="838"/>
      <c r="BW923" s="838"/>
      <c r="BX923" s="838"/>
      <c r="BY923" s="838"/>
      <c r="BZ923" s="838"/>
      <c r="CA923" s="838"/>
      <c r="CB923" s="838"/>
      <c r="CC923" s="838"/>
      <c r="CD923" s="838"/>
      <c r="CE923" s="838"/>
      <c r="CF923" s="838"/>
      <c r="CG923" s="838"/>
      <c r="CH923" s="838"/>
      <c r="CI923" s="838"/>
      <c r="CJ923" s="838"/>
      <c r="CK923" s="838"/>
      <c r="CL923" s="838"/>
      <c r="CM923" s="838"/>
      <c r="CN923" s="838"/>
      <c r="CO923" s="838"/>
      <c r="CP923" s="838"/>
      <c r="CQ923" s="838"/>
      <c r="CR923" s="838"/>
      <c r="CS923" s="838"/>
      <c r="CT923" s="838"/>
      <c r="CU923" s="838"/>
    </row>
    <row r="924">
      <c r="A924" s="834"/>
      <c r="B924" s="834"/>
      <c r="C924" s="834"/>
      <c r="D924" s="834"/>
      <c r="E924" s="834"/>
      <c r="F924" s="834"/>
      <c r="G924" s="834"/>
      <c r="H924" s="834"/>
      <c r="I924" s="834"/>
      <c r="J924" s="834"/>
      <c r="K924" s="834"/>
      <c r="L924" s="834"/>
      <c r="M924" s="834"/>
      <c r="N924" s="834"/>
      <c r="O924" s="834"/>
      <c r="P924" s="834"/>
      <c r="Q924" s="834"/>
      <c r="R924" s="834"/>
      <c r="S924" s="834"/>
      <c r="T924" s="834"/>
      <c r="U924" s="834"/>
      <c r="V924" s="834"/>
      <c r="W924" s="834"/>
      <c r="X924" s="834"/>
      <c r="Y924" s="834"/>
      <c r="Z924" s="834"/>
      <c r="AA924" s="834"/>
      <c r="AB924" s="834"/>
      <c r="AC924" s="834"/>
      <c r="AD924" s="834"/>
      <c r="AE924" s="834"/>
      <c r="AF924" s="834"/>
      <c r="AG924" s="834"/>
      <c r="AH924" s="834"/>
      <c r="AJ924" s="836"/>
      <c r="AK924" s="836"/>
      <c r="AL924" s="836"/>
      <c r="AM924" s="836"/>
      <c r="AN924" s="836"/>
      <c r="AO924" s="836"/>
      <c r="AP924" s="836"/>
      <c r="AQ924" s="836"/>
      <c r="AR924" s="836"/>
      <c r="AS924" s="836"/>
      <c r="AT924" s="836"/>
      <c r="AU924" s="836"/>
      <c r="AV924" s="836"/>
      <c r="AW924" s="836"/>
      <c r="AX924" s="836"/>
      <c r="AY924" s="836"/>
      <c r="AZ924" s="836"/>
      <c r="BA924" s="836"/>
      <c r="BB924" s="836"/>
      <c r="BC924" s="836"/>
      <c r="BD924" s="836"/>
      <c r="BE924" s="836"/>
      <c r="BF924" s="836"/>
      <c r="BG924" s="836"/>
      <c r="BH924" s="836"/>
      <c r="BI924" s="836"/>
      <c r="BJ924" s="836"/>
      <c r="BK924" s="836"/>
      <c r="BL924" s="836"/>
      <c r="BM924" s="836"/>
      <c r="BN924" s="836"/>
      <c r="BO924" s="836"/>
      <c r="BP924" s="836"/>
      <c r="BR924" s="838"/>
      <c r="BS924" s="838"/>
      <c r="BT924" s="838"/>
      <c r="BU924" s="838"/>
      <c r="BV924" s="838"/>
      <c r="BW924" s="838"/>
      <c r="BX924" s="838"/>
      <c r="BY924" s="838"/>
      <c r="BZ924" s="838"/>
      <c r="CA924" s="838"/>
      <c r="CB924" s="838"/>
      <c r="CC924" s="838"/>
      <c r="CD924" s="838"/>
      <c r="CE924" s="838"/>
      <c r="CF924" s="838"/>
      <c r="CG924" s="838"/>
      <c r="CH924" s="838"/>
      <c r="CI924" s="838"/>
      <c r="CJ924" s="838"/>
      <c r="CK924" s="838"/>
      <c r="CL924" s="838"/>
      <c r="CM924" s="838"/>
      <c r="CN924" s="838"/>
      <c r="CO924" s="838"/>
      <c r="CP924" s="838"/>
      <c r="CQ924" s="838"/>
      <c r="CR924" s="838"/>
      <c r="CS924" s="838"/>
      <c r="CT924" s="838"/>
      <c r="CU924" s="838"/>
    </row>
    <row r="925">
      <c r="A925" s="834"/>
      <c r="B925" s="834"/>
      <c r="C925" s="834"/>
      <c r="D925" s="834"/>
      <c r="E925" s="834"/>
      <c r="F925" s="834"/>
      <c r="G925" s="834"/>
      <c r="H925" s="834"/>
      <c r="I925" s="834"/>
      <c r="J925" s="834"/>
      <c r="K925" s="834"/>
      <c r="L925" s="834"/>
      <c r="M925" s="834"/>
      <c r="N925" s="834"/>
      <c r="O925" s="834"/>
      <c r="P925" s="834"/>
      <c r="Q925" s="834"/>
      <c r="R925" s="834"/>
      <c r="S925" s="834"/>
      <c r="T925" s="834"/>
      <c r="U925" s="834"/>
      <c r="V925" s="834"/>
      <c r="W925" s="834"/>
      <c r="X925" s="834"/>
      <c r="Y925" s="834"/>
      <c r="Z925" s="834"/>
      <c r="AA925" s="834"/>
      <c r="AB925" s="834"/>
      <c r="AC925" s="834"/>
      <c r="AD925" s="834"/>
      <c r="AE925" s="834"/>
      <c r="AF925" s="834"/>
      <c r="AG925" s="834"/>
      <c r="AH925" s="834"/>
      <c r="AJ925" s="836"/>
      <c r="AK925" s="836"/>
      <c r="AL925" s="836"/>
      <c r="AM925" s="836"/>
      <c r="AN925" s="836"/>
      <c r="AO925" s="836"/>
      <c r="AP925" s="836"/>
      <c r="AQ925" s="836"/>
      <c r="AR925" s="836"/>
      <c r="AS925" s="836"/>
      <c r="AT925" s="836"/>
      <c r="AU925" s="836"/>
      <c r="AV925" s="836"/>
      <c r="AW925" s="836"/>
      <c r="AX925" s="836"/>
      <c r="AY925" s="836"/>
      <c r="AZ925" s="836"/>
      <c r="BA925" s="836"/>
      <c r="BB925" s="836"/>
      <c r="BC925" s="836"/>
      <c r="BD925" s="836"/>
      <c r="BE925" s="836"/>
      <c r="BF925" s="836"/>
      <c r="BG925" s="836"/>
      <c r="BH925" s="836"/>
      <c r="BI925" s="836"/>
      <c r="BJ925" s="836"/>
      <c r="BK925" s="836"/>
      <c r="BL925" s="836"/>
      <c r="BM925" s="836"/>
      <c r="BN925" s="836"/>
      <c r="BO925" s="836"/>
      <c r="BP925" s="836"/>
      <c r="BR925" s="838"/>
      <c r="BS925" s="838"/>
      <c r="BT925" s="838"/>
      <c r="BU925" s="838"/>
      <c r="BV925" s="838"/>
      <c r="BW925" s="838"/>
      <c r="BX925" s="838"/>
      <c r="BY925" s="838"/>
      <c r="BZ925" s="838"/>
      <c r="CA925" s="838"/>
      <c r="CB925" s="838"/>
      <c r="CC925" s="838"/>
      <c r="CD925" s="838"/>
      <c r="CE925" s="838"/>
      <c r="CF925" s="838"/>
      <c r="CG925" s="838"/>
      <c r="CH925" s="838"/>
      <c r="CI925" s="838"/>
      <c r="CJ925" s="838"/>
      <c r="CK925" s="838"/>
      <c r="CL925" s="838"/>
      <c r="CM925" s="838"/>
      <c r="CN925" s="838"/>
      <c r="CO925" s="838"/>
      <c r="CP925" s="838"/>
      <c r="CQ925" s="838"/>
      <c r="CR925" s="838"/>
      <c r="CS925" s="838"/>
      <c r="CT925" s="838"/>
      <c r="CU925" s="838"/>
    </row>
    <row r="926">
      <c r="A926" s="834"/>
      <c r="B926" s="834"/>
      <c r="C926" s="834"/>
      <c r="D926" s="834"/>
      <c r="E926" s="834"/>
      <c r="F926" s="834"/>
      <c r="G926" s="834"/>
      <c r="H926" s="834"/>
      <c r="I926" s="834"/>
      <c r="J926" s="834"/>
      <c r="K926" s="834"/>
      <c r="L926" s="834"/>
      <c r="M926" s="834"/>
      <c r="N926" s="834"/>
      <c r="O926" s="834"/>
      <c r="P926" s="834"/>
      <c r="Q926" s="834"/>
      <c r="R926" s="834"/>
      <c r="S926" s="834"/>
      <c r="T926" s="834"/>
      <c r="U926" s="834"/>
      <c r="V926" s="834"/>
      <c r="W926" s="834"/>
      <c r="X926" s="834"/>
      <c r="Y926" s="834"/>
      <c r="Z926" s="834"/>
      <c r="AA926" s="834"/>
      <c r="AB926" s="834"/>
      <c r="AC926" s="834"/>
      <c r="AD926" s="834"/>
      <c r="AE926" s="834"/>
      <c r="AF926" s="834"/>
      <c r="AG926" s="834"/>
      <c r="AH926" s="834"/>
      <c r="AJ926" s="836"/>
      <c r="AK926" s="836"/>
      <c r="AL926" s="836"/>
      <c r="AM926" s="836"/>
      <c r="AN926" s="836"/>
      <c r="AO926" s="836"/>
      <c r="AP926" s="836"/>
      <c r="AQ926" s="836"/>
      <c r="AR926" s="836"/>
      <c r="AS926" s="836"/>
      <c r="AT926" s="836"/>
      <c r="AU926" s="836"/>
      <c r="AV926" s="836"/>
      <c r="AW926" s="836"/>
      <c r="AX926" s="836"/>
      <c r="AY926" s="836"/>
      <c r="AZ926" s="836"/>
      <c r="BA926" s="836"/>
      <c r="BB926" s="836"/>
      <c r="BC926" s="836"/>
      <c r="BD926" s="836"/>
      <c r="BE926" s="836"/>
      <c r="BF926" s="836"/>
      <c r="BG926" s="836"/>
      <c r="BH926" s="836"/>
      <c r="BI926" s="836"/>
      <c r="BJ926" s="836"/>
      <c r="BK926" s="836"/>
      <c r="BL926" s="836"/>
      <c r="BM926" s="836"/>
      <c r="BN926" s="836"/>
      <c r="BO926" s="836"/>
      <c r="BP926" s="836"/>
      <c r="BR926" s="838"/>
      <c r="BS926" s="838"/>
      <c r="BT926" s="838"/>
      <c r="BU926" s="838"/>
      <c r="BV926" s="838"/>
      <c r="BW926" s="838"/>
      <c r="BX926" s="838"/>
      <c r="BY926" s="838"/>
      <c r="BZ926" s="838"/>
      <c r="CA926" s="838"/>
      <c r="CB926" s="838"/>
      <c r="CC926" s="838"/>
      <c r="CD926" s="838"/>
      <c r="CE926" s="838"/>
      <c r="CF926" s="838"/>
      <c r="CG926" s="838"/>
      <c r="CH926" s="838"/>
      <c r="CI926" s="838"/>
      <c r="CJ926" s="838"/>
      <c r="CK926" s="838"/>
      <c r="CL926" s="838"/>
      <c r="CM926" s="838"/>
      <c r="CN926" s="838"/>
      <c r="CO926" s="838"/>
      <c r="CP926" s="838"/>
      <c r="CQ926" s="838"/>
      <c r="CR926" s="838"/>
      <c r="CS926" s="838"/>
      <c r="CT926" s="838"/>
      <c r="CU926" s="838"/>
    </row>
    <row r="927">
      <c r="A927" s="834"/>
      <c r="B927" s="834"/>
      <c r="C927" s="834"/>
      <c r="D927" s="834"/>
      <c r="E927" s="834"/>
      <c r="F927" s="834"/>
      <c r="G927" s="834"/>
      <c r="H927" s="834"/>
      <c r="I927" s="834"/>
      <c r="J927" s="834"/>
      <c r="K927" s="834"/>
      <c r="L927" s="834"/>
      <c r="M927" s="834"/>
      <c r="N927" s="834"/>
      <c r="O927" s="834"/>
      <c r="P927" s="834"/>
      <c r="Q927" s="834"/>
      <c r="R927" s="834"/>
      <c r="S927" s="834"/>
      <c r="T927" s="834"/>
      <c r="U927" s="834"/>
      <c r="V927" s="834"/>
      <c r="W927" s="834"/>
      <c r="X927" s="834"/>
      <c r="Y927" s="834"/>
      <c r="Z927" s="834"/>
      <c r="AA927" s="834"/>
      <c r="AB927" s="834"/>
      <c r="AC927" s="834"/>
      <c r="AD927" s="834"/>
      <c r="AE927" s="834"/>
      <c r="AF927" s="834"/>
      <c r="AG927" s="834"/>
      <c r="AH927" s="834"/>
      <c r="AJ927" s="836"/>
      <c r="AK927" s="836"/>
      <c r="AL927" s="836"/>
      <c r="AM927" s="836"/>
      <c r="AN927" s="836"/>
      <c r="AO927" s="836"/>
      <c r="AP927" s="836"/>
      <c r="AQ927" s="836"/>
      <c r="AR927" s="836"/>
      <c r="AS927" s="836"/>
      <c r="AT927" s="836"/>
      <c r="AU927" s="836"/>
      <c r="AV927" s="836"/>
      <c r="AW927" s="836"/>
      <c r="AX927" s="836"/>
      <c r="AY927" s="836"/>
      <c r="AZ927" s="836"/>
      <c r="BA927" s="836"/>
      <c r="BB927" s="836"/>
      <c r="BC927" s="836"/>
      <c r="BD927" s="836"/>
      <c r="BE927" s="836"/>
      <c r="BF927" s="836"/>
      <c r="BG927" s="836"/>
      <c r="BH927" s="836"/>
      <c r="BI927" s="836"/>
      <c r="BJ927" s="836"/>
      <c r="BK927" s="836"/>
      <c r="BL927" s="836"/>
      <c r="BM927" s="836"/>
      <c r="BN927" s="836"/>
      <c r="BO927" s="836"/>
      <c r="BP927" s="836"/>
      <c r="BR927" s="838"/>
      <c r="BS927" s="838"/>
      <c r="BT927" s="838"/>
      <c r="BU927" s="838"/>
      <c r="BV927" s="838"/>
      <c r="BW927" s="838"/>
      <c r="BX927" s="838"/>
      <c r="BY927" s="838"/>
      <c r="BZ927" s="838"/>
      <c r="CA927" s="838"/>
      <c r="CB927" s="838"/>
      <c r="CC927" s="838"/>
      <c r="CD927" s="838"/>
      <c r="CE927" s="838"/>
      <c r="CF927" s="838"/>
      <c r="CG927" s="838"/>
      <c r="CH927" s="838"/>
      <c r="CI927" s="838"/>
      <c r="CJ927" s="838"/>
      <c r="CK927" s="838"/>
      <c r="CL927" s="838"/>
      <c r="CM927" s="838"/>
      <c r="CN927" s="838"/>
      <c r="CO927" s="838"/>
      <c r="CP927" s="838"/>
      <c r="CQ927" s="838"/>
      <c r="CR927" s="838"/>
      <c r="CS927" s="838"/>
      <c r="CT927" s="838"/>
      <c r="CU927" s="838"/>
    </row>
    <row r="928">
      <c r="A928" s="834"/>
      <c r="B928" s="834"/>
      <c r="C928" s="834"/>
      <c r="D928" s="834"/>
      <c r="E928" s="834"/>
      <c r="F928" s="834"/>
      <c r="G928" s="834"/>
      <c r="H928" s="834"/>
      <c r="I928" s="834"/>
      <c r="J928" s="834"/>
      <c r="K928" s="834"/>
      <c r="L928" s="834"/>
      <c r="M928" s="834"/>
      <c r="N928" s="834"/>
      <c r="O928" s="834"/>
      <c r="P928" s="834"/>
      <c r="Q928" s="834"/>
      <c r="R928" s="834"/>
      <c r="S928" s="834"/>
      <c r="T928" s="834"/>
      <c r="U928" s="834"/>
      <c r="V928" s="834"/>
      <c r="W928" s="834"/>
      <c r="X928" s="834"/>
      <c r="Y928" s="834"/>
      <c r="Z928" s="834"/>
      <c r="AA928" s="834"/>
      <c r="AB928" s="834"/>
      <c r="AC928" s="834"/>
      <c r="AD928" s="834"/>
      <c r="AE928" s="834"/>
      <c r="AF928" s="834"/>
      <c r="AG928" s="834"/>
      <c r="AH928" s="834"/>
      <c r="AJ928" s="836"/>
      <c r="AK928" s="836"/>
      <c r="AL928" s="836"/>
      <c r="AM928" s="836"/>
      <c r="AN928" s="836"/>
      <c r="AO928" s="836"/>
      <c r="AP928" s="836"/>
      <c r="AQ928" s="836"/>
      <c r="AR928" s="836"/>
      <c r="AS928" s="836"/>
      <c r="AT928" s="836"/>
      <c r="AU928" s="836"/>
      <c r="AV928" s="836"/>
      <c r="AW928" s="836"/>
      <c r="AX928" s="836"/>
      <c r="AY928" s="836"/>
      <c r="AZ928" s="836"/>
      <c r="BA928" s="836"/>
      <c r="BB928" s="836"/>
      <c r="BC928" s="836"/>
      <c r="BD928" s="836"/>
      <c r="BE928" s="836"/>
      <c r="BF928" s="836"/>
      <c r="BG928" s="836"/>
      <c r="BH928" s="836"/>
      <c r="BI928" s="836"/>
      <c r="BJ928" s="836"/>
      <c r="BK928" s="836"/>
      <c r="BL928" s="836"/>
      <c r="BM928" s="836"/>
      <c r="BN928" s="836"/>
      <c r="BO928" s="836"/>
      <c r="BP928" s="836"/>
      <c r="BR928" s="838"/>
      <c r="BS928" s="838"/>
      <c r="BT928" s="838"/>
      <c r="BU928" s="838"/>
      <c r="BV928" s="838"/>
      <c r="BW928" s="838"/>
      <c r="BX928" s="838"/>
      <c r="BY928" s="838"/>
      <c r="BZ928" s="838"/>
      <c r="CA928" s="838"/>
      <c r="CB928" s="838"/>
      <c r="CC928" s="838"/>
      <c r="CD928" s="838"/>
      <c r="CE928" s="838"/>
      <c r="CF928" s="838"/>
      <c r="CG928" s="838"/>
      <c r="CH928" s="838"/>
      <c r="CI928" s="838"/>
      <c r="CJ928" s="838"/>
      <c r="CK928" s="838"/>
      <c r="CL928" s="838"/>
      <c r="CM928" s="838"/>
      <c r="CN928" s="838"/>
      <c r="CO928" s="838"/>
      <c r="CP928" s="838"/>
      <c r="CQ928" s="838"/>
      <c r="CR928" s="838"/>
      <c r="CS928" s="838"/>
      <c r="CT928" s="838"/>
      <c r="CU928" s="838"/>
    </row>
    <row r="929">
      <c r="A929" s="834"/>
      <c r="B929" s="834"/>
      <c r="C929" s="834"/>
      <c r="D929" s="834"/>
      <c r="E929" s="834"/>
      <c r="F929" s="834"/>
      <c r="G929" s="834"/>
      <c r="H929" s="834"/>
      <c r="I929" s="834"/>
      <c r="J929" s="834"/>
      <c r="K929" s="834"/>
      <c r="L929" s="834"/>
      <c r="M929" s="834"/>
      <c r="N929" s="834"/>
      <c r="O929" s="834"/>
      <c r="P929" s="834"/>
      <c r="Q929" s="834"/>
      <c r="R929" s="834"/>
      <c r="S929" s="834"/>
      <c r="T929" s="834"/>
      <c r="U929" s="834"/>
      <c r="V929" s="834"/>
      <c r="W929" s="834"/>
      <c r="X929" s="834"/>
      <c r="Y929" s="834"/>
      <c r="Z929" s="834"/>
      <c r="AA929" s="834"/>
      <c r="AB929" s="834"/>
      <c r="AC929" s="834"/>
      <c r="AD929" s="834"/>
      <c r="AE929" s="834"/>
      <c r="AF929" s="834"/>
      <c r="AG929" s="834"/>
      <c r="AH929" s="834"/>
      <c r="AJ929" s="836"/>
      <c r="AK929" s="836"/>
      <c r="AL929" s="836"/>
      <c r="AM929" s="836"/>
      <c r="AN929" s="836"/>
      <c r="AO929" s="836"/>
      <c r="AP929" s="836"/>
      <c r="AQ929" s="836"/>
      <c r="AR929" s="836"/>
      <c r="AS929" s="836"/>
      <c r="AT929" s="836"/>
      <c r="AU929" s="836"/>
      <c r="AV929" s="836"/>
      <c r="AW929" s="836"/>
      <c r="AX929" s="836"/>
      <c r="AY929" s="836"/>
      <c r="AZ929" s="836"/>
      <c r="BA929" s="836"/>
      <c r="BB929" s="836"/>
      <c r="BC929" s="836"/>
      <c r="BD929" s="836"/>
      <c r="BE929" s="836"/>
      <c r="BF929" s="836"/>
      <c r="BG929" s="836"/>
      <c r="BH929" s="836"/>
      <c r="BI929" s="836"/>
      <c r="BJ929" s="836"/>
      <c r="BK929" s="836"/>
      <c r="BL929" s="836"/>
      <c r="BM929" s="836"/>
      <c r="BN929" s="836"/>
      <c r="BO929" s="836"/>
      <c r="BP929" s="836"/>
      <c r="BR929" s="838"/>
      <c r="BS929" s="838"/>
      <c r="BT929" s="838"/>
      <c r="BU929" s="838"/>
      <c r="BV929" s="838"/>
      <c r="BW929" s="838"/>
      <c r="BX929" s="838"/>
      <c r="BY929" s="838"/>
      <c r="BZ929" s="838"/>
      <c r="CA929" s="838"/>
      <c r="CB929" s="838"/>
      <c r="CC929" s="838"/>
      <c r="CD929" s="838"/>
      <c r="CE929" s="838"/>
      <c r="CF929" s="838"/>
      <c r="CG929" s="838"/>
      <c r="CH929" s="838"/>
      <c r="CI929" s="838"/>
      <c r="CJ929" s="838"/>
      <c r="CK929" s="838"/>
      <c r="CL929" s="838"/>
      <c r="CM929" s="838"/>
      <c r="CN929" s="838"/>
      <c r="CO929" s="838"/>
      <c r="CP929" s="838"/>
      <c r="CQ929" s="838"/>
      <c r="CR929" s="838"/>
      <c r="CS929" s="838"/>
      <c r="CT929" s="838"/>
      <c r="CU929" s="838"/>
    </row>
    <row r="930">
      <c r="A930" s="834"/>
      <c r="B930" s="834"/>
      <c r="C930" s="834"/>
      <c r="D930" s="834"/>
      <c r="E930" s="834"/>
      <c r="F930" s="834"/>
      <c r="G930" s="834"/>
      <c r="H930" s="834"/>
      <c r="I930" s="834"/>
      <c r="J930" s="834"/>
      <c r="K930" s="834"/>
      <c r="L930" s="834"/>
      <c r="M930" s="834"/>
      <c r="N930" s="834"/>
      <c r="O930" s="834"/>
      <c r="P930" s="834"/>
      <c r="Q930" s="834"/>
      <c r="R930" s="834"/>
      <c r="S930" s="834"/>
      <c r="T930" s="834"/>
      <c r="U930" s="834"/>
      <c r="V930" s="834"/>
      <c r="W930" s="834"/>
      <c r="X930" s="834"/>
      <c r="Y930" s="834"/>
      <c r="Z930" s="834"/>
      <c r="AA930" s="834"/>
      <c r="AB930" s="834"/>
      <c r="AC930" s="834"/>
      <c r="AD930" s="834"/>
      <c r="AE930" s="834"/>
      <c r="AF930" s="834"/>
      <c r="AG930" s="834"/>
      <c r="AH930" s="834"/>
      <c r="AJ930" s="836"/>
      <c r="AK930" s="836"/>
      <c r="AL930" s="836"/>
      <c r="AM930" s="836"/>
      <c r="AN930" s="836"/>
      <c r="AO930" s="836"/>
      <c r="AP930" s="836"/>
      <c r="AQ930" s="836"/>
      <c r="AR930" s="836"/>
      <c r="AS930" s="836"/>
      <c r="AT930" s="836"/>
      <c r="AU930" s="836"/>
      <c r="AV930" s="836"/>
      <c r="AW930" s="836"/>
      <c r="AX930" s="836"/>
      <c r="AY930" s="836"/>
      <c r="AZ930" s="836"/>
      <c r="BA930" s="836"/>
      <c r="BB930" s="836"/>
      <c r="BC930" s="836"/>
      <c r="BD930" s="836"/>
      <c r="BE930" s="836"/>
      <c r="BF930" s="836"/>
      <c r="BG930" s="836"/>
      <c r="BH930" s="836"/>
      <c r="BI930" s="836"/>
      <c r="BJ930" s="836"/>
      <c r="BK930" s="836"/>
      <c r="BL930" s="836"/>
      <c r="BM930" s="836"/>
      <c r="BN930" s="836"/>
      <c r="BO930" s="836"/>
      <c r="BP930" s="836"/>
      <c r="BR930" s="838"/>
      <c r="BS930" s="838"/>
      <c r="BT930" s="838"/>
      <c r="BU930" s="838"/>
      <c r="BV930" s="838"/>
      <c r="BW930" s="838"/>
      <c r="BX930" s="838"/>
      <c r="BY930" s="838"/>
      <c r="BZ930" s="838"/>
      <c r="CA930" s="838"/>
      <c r="CB930" s="838"/>
      <c r="CC930" s="838"/>
      <c r="CD930" s="838"/>
      <c r="CE930" s="838"/>
      <c r="CF930" s="838"/>
      <c r="CG930" s="838"/>
      <c r="CH930" s="838"/>
      <c r="CI930" s="838"/>
      <c r="CJ930" s="838"/>
      <c r="CK930" s="838"/>
      <c r="CL930" s="838"/>
      <c r="CM930" s="838"/>
      <c r="CN930" s="838"/>
      <c r="CO930" s="838"/>
      <c r="CP930" s="838"/>
      <c r="CQ930" s="838"/>
      <c r="CR930" s="838"/>
      <c r="CS930" s="838"/>
      <c r="CT930" s="838"/>
      <c r="CU930" s="838"/>
    </row>
    <row r="931">
      <c r="A931" s="834"/>
      <c r="B931" s="834"/>
      <c r="C931" s="834"/>
      <c r="D931" s="834"/>
      <c r="E931" s="834"/>
      <c r="F931" s="834"/>
      <c r="G931" s="834"/>
      <c r="H931" s="834"/>
      <c r="I931" s="834"/>
      <c r="J931" s="834"/>
      <c r="K931" s="834"/>
      <c r="L931" s="834"/>
      <c r="M931" s="834"/>
      <c r="N931" s="834"/>
      <c r="O931" s="834"/>
      <c r="P931" s="834"/>
      <c r="Q931" s="834"/>
      <c r="R931" s="834"/>
      <c r="S931" s="834"/>
      <c r="T931" s="834"/>
      <c r="U931" s="834"/>
      <c r="V931" s="834"/>
      <c r="W931" s="834"/>
      <c r="X931" s="834"/>
      <c r="Y931" s="834"/>
      <c r="Z931" s="834"/>
      <c r="AA931" s="834"/>
      <c r="AB931" s="834"/>
      <c r="AC931" s="834"/>
      <c r="AD931" s="834"/>
      <c r="AE931" s="834"/>
      <c r="AF931" s="834"/>
      <c r="AG931" s="834"/>
      <c r="AH931" s="834"/>
      <c r="AJ931" s="836"/>
      <c r="AK931" s="836"/>
      <c r="AL931" s="836"/>
      <c r="AM931" s="836"/>
      <c r="AN931" s="836"/>
      <c r="AO931" s="836"/>
      <c r="AP931" s="836"/>
      <c r="AQ931" s="836"/>
      <c r="AR931" s="836"/>
      <c r="AS931" s="836"/>
      <c r="AT931" s="836"/>
      <c r="AU931" s="836"/>
      <c r="AV931" s="836"/>
      <c r="AW931" s="836"/>
      <c r="AX931" s="836"/>
      <c r="AY931" s="836"/>
      <c r="AZ931" s="836"/>
      <c r="BA931" s="836"/>
      <c r="BB931" s="836"/>
      <c r="BC931" s="836"/>
      <c r="BD931" s="836"/>
      <c r="BE931" s="836"/>
      <c r="BF931" s="836"/>
      <c r="BG931" s="836"/>
      <c r="BH931" s="836"/>
      <c r="BI931" s="836"/>
      <c r="BJ931" s="836"/>
      <c r="BK931" s="836"/>
      <c r="BL931" s="836"/>
      <c r="BM931" s="836"/>
      <c r="BN931" s="836"/>
      <c r="BO931" s="836"/>
      <c r="BP931" s="836"/>
      <c r="BR931" s="838"/>
      <c r="BS931" s="838"/>
      <c r="BT931" s="838"/>
      <c r="BU931" s="838"/>
      <c r="BV931" s="838"/>
      <c r="BW931" s="838"/>
      <c r="BX931" s="838"/>
      <c r="BY931" s="838"/>
      <c r="BZ931" s="838"/>
      <c r="CA931" s="838"/>
      <c r="CB931" s="838"/>
      <c r="CC931" s="838"/>
      <c r="CD931" s="838"/>
      <c r="CE931" s="838"/>
      <c r="CF931" s="838"/>
      <c r="CG931" s="838"/>
      <c r="CH931" s="838"/>
      <c r="CI931" s="838"/>
      <c r="CJ931" s="838"/>
      <c r="CK931" s="838"/>
      <c r="CL931" s="838"/>
      <c r="CM931" s="838"/>
      <c r="CN931" s="838"/>
      <c r="CO931" s="838"/>
      <c r="CP931" s="838"/>
      <c r="CQ931" s="838"/>
      <c r="CR931" s="838"/>
      <c r="CS931" s="838"/>
      <c r="CT931" s="838"/>
      <c r="CU931" s="838"/>
    </row>
    <row r="932">
      <c r="A932" s="834"/>
      <c r="B932" s="834"/>
      <c r="C932" s="834"/>
      <c r="D932" s="834"/>
      <c r="E932" s="834"/>
      <c r="F932" s="834"/>
      <c r="G932" s="834"/>
      <c r="H932" s="834"/>
      <c r="I932" s="834"/>
      <c r="J932" s="834"/>
      <c r="K932" s="834"/>
      <c r="L932" s="834"/>
      <c r="M932" s="834"/>
      <c r="N932" s="834"/>
      <c r="O932" s="834"/>
      <c r="P932" s="834"/>
      <c r="Q932" s="834"/>
      <c r="R932" s="834"/>
      <c r="S932" s="834"/>
      <c r="T932" s="834"/>
      <c r="U932" s="834"/>
      <c r="V932" s="834"/>
      <c r="W932" s="834"/>
      <c r="X932" s="834"/>
      <c r="Y932" s="834"/>
      <c r="Z932" s="834"/>
      <c r="AA932" s="834"/>
      <c r="AB932" s="834"/>
      <c r="AC932" s="834"/>
      <c r="AD932" s="834"/>
      <c r="AE932" s="834"/>
      <c r="AF932" s="834"/>
      <c r="AG932" s="834"/>
      <c r="AH932" s="834"/>
      <c r="AJ932" s="836"/>
      <c r="AK932" s="836"/>
      <c r="AL932" s="836"/>
      <c r="AM932" s="836"/>
      <c r="AN932" s="836"/>
      <c r="AO932" s="836"/>
      <c r="AP932" s="836"/>
      <c r="AQ932" s="836"/>
      <c r="AR932" s="836"/>
      <c r="AS932" s="836"/>
      <c r="AT932" s="836"/>
      <c r="AU932" s="836"/>
      <c r="AV932" s="836"/>
      <c r="AW932" s="836"/>
      <c r="AX932" s="836"/>
      <c r="AY932" s="836"/>
      <c r="AZ932" s="836"/>
      <c r="BA932" s="836"/>
      <c r="BB932" s="836"/>
      <c r="BC932" s="836"/>
      <c r="BD932" s="836"/>
      <c r="BE932" s="836"/>
      <c r="BF932" s="836"/>
      <c r="BG932" s="836"/>
      <c r="BH932" s="836"/>
      <c r="BI932" s="836"/>
      <c r="BJ932" s="836"/>
      <c r="BK932" s="836"/>
      <c r="BL932" s="836"/>
      <c r="BM932" s="836"/>
      <c r="BN932" s="836"/>
      <c r="BO932" s="836"/>
      <c r="BP932" s="836"/>
      <c r="BR932" s="838"/>
      <c r="BS932" s="838"/>
      <c r="BT932" s="838"/>
      <c r="BU932" s="838"/>
      <c r="BV932" s="838"/>
      <c r="BW932" s="838"/>
      <c r="BX932" s="838"/>
      <c r="BY932" s="838"/>
      <c r="BZ932" s="838"/>
      <c r="CA932" s="838"/>
      <c r="CB932" s="838"/>
      <c r="CC932" s="838"/>
      <c r="CD932" s="838"/>
      <c r="CE932" s="838"/>
      <c r="CF932" s="838"/>
      <c r="CG932" s="838"/>
      <c r="CH932" s="838"/>
      <c r="CI932" s="838"/>
      <c r="CJ932" s="838"/>
      <c r="CK932" s="838"/>
      <c r="CL932" s="838"/>
      <c r="CM932" s="838"/>
      <c r="CN932" s="838"/>
      <c r="CO932" s="838"/>
      <c r="CP932" s="838"/>
      <c r="CQ932" s="838"/>
      <c r="CR932" s="838"/>
      <c r="CS932" s="838"/>
      <c r="CT932" s="838"/>
      <c r="CU932" s="838"/>
    </row>
    <row r="933">
      <c r="A933" s="834"/>
      <c r="B933" s="834"/>
      <c r="C933" s="834"/>
      <c r="D933" s="834"/>
      <c r="E933" s="834"/>
      <c r="F933" s="834"/>
      <c r="G933" s="834"/>
      <c r="H933" s="834"/>
      <c r="I933" s="834"/>
      <c r="J933" s="834"/>
      <c r="K933" s="834"/>
      <c r="L933" s="834"/>
      <c r="M933" s="834"/>
      <c r="N933" s="834"/>
      <c r="O933" s="834"/>
      <c r="P933" s="834"/>
      <c r="Q933" s="834"/>
      <c r="R933" s="834"/>
      <c r="S933" s="834"/>
      <c r="T933" s="834"/>
      <c r="U933" s="834"/>
      <c r="V933" s="834"/>
      <c r="W933" s="834"/>
      <c r="X933" s="834"/>
      <c r="Y933" s="834"/>
      <c r="Z933" s="834"/>
      <c r="AA933" s="834"/>
      <c r="AB933" s="834"/>
      <c r="AC933" s="834"/>
      <c r="AD933" s="834"/>
      <c r="AE933" s="834"/>
      <c r="AF933" s="834"/>
      <c r="AG933" s="834"/>
      <c r="AH933" s="834"/>
      <c r="AJ933" s="836"/>
      <c r="AK933" s="836"/>
      <c r="AL933" s="836"/>
      <c r="AM933" s="836"/>
      <c r="AN933" s="836"/>
      <c r="AO933" s="836"/>
      <c r="AP933" s="836"/>
      <c r="AQ933" s="836"/>
      <c r="AR933" s="836"/>
      <c r="AS933" s="836"/>
      <c r="AT933" s="836"/>
      <c r="AU933" s="836"/>
      <c r="AV933" s="836"/>
      <c r="AW933" s="836"/>
      <c r="AX933" s="836"/>
      <c r="AY933" s="836"/>
      <c r="AZ933" s="836"/>
      <c r="BA933" s="836"/>
      <c r="BB933" s="836"/>
      <c r="BC933" s="836"/>
      <c r="BD933" s="836"/>
      <c r="BE933" s="836"/>
      <c r="BF933" s="836"/>
      <c r="BG933" s="836"/>
      <c r="BH933" s="836"/>
      <c r="BI933" s="836"/>
      <c r="BJ933" s="836"/>
      <c r="BK933" s="836"/>
      <c r="BL933" s="836"/>
      <c r="BM933" s="836"/>
      <c r="BN933" s="836"/>
      <c r="BO933" s="836"/>
      <c r="BP933" s="836"/>
      <c r="BR933" s="838"/>
      <c r="BS933" s="838"/>
      <c r="BT933" s="838"/>
      <c r="BU933" s="838"/>
      <c r="BV933" s="838"/>
      <c r="BW933" s="838"/>
      <c r="BX933" s="838"/>
      <c r="BY933" s="838"/>
      <c r="BZ933" s="838"/>
      <c r="CA933" s="838"/>
      <c r="CB933" s="838"/>
      <c r="CC933" s="838"/>
      <c r="CD933" s="838"/>
      <c r="CE933" s="838"/>
      <c r="CF933" s="838"/>
      <c r="CG933" s="838"/>
      <c r="CH933" s="838"/>
      <c r="CI933" s="838"/>
      <c r="CJ933" s="838"/>
      <c r="CK933" s="838"/>
      <c r="CL933" s="838"/>
      <c r="CM933" s="838"/>
      <c r="CN933" s="838"/>
      <c r="CO933" s="838"/>
      <c r="CP933" s="838"/>
      <c r="CQ933" s="838"/>
      <c r="CR933" s="838"/>
      <c r="CS933" s="838"/>
      <c r="CT933" s="838"/>
      <c r="CU933" s="838"/>
    </row>
    <row r="934">
      <c r="A934" s="834"/>
      <c r="B934" s="834"/>
      <c r="C934" s="834"/>
      <c r="D934" s="834"/>
      <c r="E934" s="834"/>
      <c r="F934" s="834"/>
      <c r="G934" s="834"/>
      <c r="H934" s="834"/>
      <c r="I934" s="834"/>
      <c r="J934" s="834"/>
      <c r="K934" s="834"/>
      <c r="L934" s="834"/>
      <c r="M934" s="834"/>
      <c r="N934" s="834"/>
      <c r="O934" s="834"/>
      <c r="P934" s="834"/>
      <c r="Q934" s="834"/>
      <c r="R934" s="834"/>
      <c r="S934" s="834"/>
      <c r="T934" s="834"/>
      <c r="U934" s="834"/>
      <c r="V934" s="834"/>
      <c r="W934" s="834"/>
      <c r="X934" s="834"/>
      <c r="Y934" s="834"/>
      <c r="Z934" s="834"/>
      <c r="AA934" s="834"/>
      <c r="AB934" s="834"/>
      <c r="AC934" s="834"/>
      <c r="AD934" s="834"/>
      <c r="AE934" s="834"/>
      <c r="AF934" s="834"/>
      <c r="AG934" s="834"/>
      <c r="AH934" s="834"/>
      <c r="AJ934" s="836"/>
      <c r="AK934" s="836"/>
      <c r="AL934" s="836"/>
      <c r="AM934" s="836"/>
      <c r="AN934" s="836"/>
      <c r="AO934" s="836"/>
      <c r="AP934" s="836"/>
      <c r="AQ934" s="836"/>
      <c r="AR934" s="836"/>
      <c r="AS934" s="836"/>
      <c r="AT934" s="836"/>
      <c r="AU934" s="836"/>
      <c r="AV934" s="836"/>
      <c r="AW934" s="836"/>
      <c r="AX934" s="836"/>
      <c r="AY934" s="836"/>
      <c r="AZ934" s="836"/>
      <c r="BA934" s="836"/>
      <c r="BB934" s="836"/>
      <c r="BC934" s="836"/>
      <c r="BD934" s="836"/>
      <c r="BE934" s="836"/>
      <c r="BF934" s="836"/>
      <c r="BG934" s="836"/>
      <c r="BH934" s="836"/>
      <c r="BI934" s="836"/>
      <c r="BJ934" s="836"/>
      <c r="BK934" s="836"/>
      <c r="BL934" s="836"/>
      <c r="BM934" s="836"/>
      <c r="BN934" s="836"/>
      <c r="BO934" s="836"/>
      <c r="BP934" s="836"/>
      <c r="BR934" s="838"/>
      <c r="BS934" s="838"/>
      <c r="BT934" s="838"/>
      <c r="BU934" s="838"/>
      <c r="BV934" s="838"/>
      <c r="BW934" s="838"/>
      <c r="BX934" s="838"/>
      <c r="BY934" s="838"/>
      <c r="BZ934" s="838"/>
      <c r="CA934" s="838"/>
      <c r="CB934" s="838"/>
      <c r="CC934" s="838"/>
      <c r="CD934" s="838"/>
      <c r="CE934" s="838"/>
      <c r="CF934" s="838"/>
      <c r="CG934" s="838"/>
      <c r="CH934" s="838"/>
      <c r="CI934" s="838"/>
      <c r="CJ934" s="838"/>
      <c r="CK934" s="838"/>
      <c r="CL934" s="838"/>
      <c r="CM934" s="838"/>
      <c r="CN934" s="838"/>
      <c r="CO934" s="838"/>
      <c r="CP934" s="838"/>
      <c r="CQ934" s="838"/>
      <c r="CR934" s="838"/>
      <c r="CS934" s="838"/>
      <c r="CT934" s="838"/>
      <c r="CU934" s="838"/>
    </row>
    <row r="935">
      <c r="A935" s="834"/>
      <c r="B935" s="834"/>
      <c r="C935" s="834"/>
      <c r="D935" s="834"/>
      <c r="E935" s="834"/>
      <c r="F935" s="834"/>
      <c r="G935" s="834"/>
      <c r="H935" s="834"/>
      <c r="I935" s="834"/>
      <c r="J935" s="834"/>
      <c r="K935" s="834"/>
      <c r="L935" s="834"/>
      <c r="M935" s="834"/>
      <c r="N935" s="834"/>
      <c r="O935" s="834"/>
      <c r="P935" s="834"/>
      <c r="Q935" s="834"/>
      <c r="R935" s="834"/>
      <c r="S935" s="834"/>
      <c r="T935" s="834"/>
      <c r="U935" s="834"/>
      <c r="V935" s="834"/>
      <c r="W935" s="834"/>
      <c r="X935" s="834"/>
      <c r="Y935" s="834"/>
      <c r="Z935" s="834"/>
      <c r="AA935" s="834"/>
      <c r="AB935" s="834"/>
      <c r="AC935" s="834"/>
      <c r="AD935" s="834"/>
      <c r="AE935" s="834"/>
      <c r="AF935" s="834"/>
      <c r="AG935" s="834"/>
      <c r="AH935" s="834"/>
      <c r="AJ935" s="836"/>
      <c r="AK935" s="836"/>
      <c r="AL935" s="836"/>
      <c r="AM935" s="836"/>
      <c r="AN935" s="836"/>
      <c r="AO935" s="836"/>
      <c r="AP935" s="836"/>
      <c r="AQ935" s="836"/>
      <c r="AR935" s="836"/>
      <c r="AS935" s="836"/>
      <c r="AT935" s="836"/>
      <c r="AU935" s="836"/>
      <c r="AV935" s="836"/>
      <c r="AW935" s="836"/>
      <c r="AX935" s="836"/>
      <c r="AY935" s="836"/>
      <c r="AZ935" s="836"/>
      <c r="BA935" s="836"/>
      <c r="BB935" s="836"/>
      <c r="BC935" s="836"/>
      <c r="BD935" s="836"/>
      <c r="BE935" s="836"/>
      <c r="BF935" s="836"/>
      <c r="BG935" s="836"/>
      <c r="BH935" s="836"/>
      <c r="BI935" s="836"/>
      <c r="BJ935" s="836"/>
      <c r="BK935" s="836"/>
      <c r="BL935" s="836"/>
      <c r="BM935" s="836"/>
      <c r="BN935" s="836"/>
      <c r="BO935" s="836"/>
      <c r="BP935" s="836"/>
      <c r="BR935" s="838"/>
      <c r="BS935" s="838"/>
      <c r="BT935" s="838"/>
      <c r="BU935" s="838"/>
      <c r="BV935" s="838"/>
      <c r="BW935" s="838"/>
      <c r="BX935" s="838"/>
      <c r="BY935" s="838"/>
      <c r="BZ935" s="838"/>
      <c r="CA935" s="838"/>
      <c r="CB935" s="838"/>
      <c r="CC935" s="838"/>
      <c r="CD935" s="838"/>
      <c r="CE935" s="838"/>
      <c r="CF935" s="838"/>
      <c r="CG935" s="838"/>
      <c r="CH935" s="838"/>
      <c r="CI935" s="838"/>
      <c r="CJ935" s="838"/>
      <c r="CK935" s="838"/>
      <c r="CL935" s="838"/>
      <c r="CM935" s="838"/>
      <c r="CN935" s="838"/>
      <c r="CO935" s="838"/>
      <c r="CP935" s="838"/>
      <c r="CQ935" s="838"/>
      <c r="CR935" s="838"/>
      <c r="CS935" s="838"/>
      <c r="CT935" s="838"/>
      <c r="CU935" s="838"/>
    </row>
    <row r="936">
      <c r="A936" s="834"/>
      <c r="B936" s="834"/>
      <c r="C936" s="834"/>
      <c r="D936" s="834"/>
      <c r="E936" s="834"/>
      <c r="F936" s="834"/>
      <c r="G936" s="834"/>
      <c r="H936" s="834"/>
      <c r="I936" s="834"/>
      <c r="J936" s="834"/>
      <c r="K936" s="834"/>
      <c r="L936" s="834"/>
      <c r="M936" s="834"/>
      <c r="N936" s="834"/>
      <c r="O936" s="834"/>
      <c r="P936" s="834"/>
      <c r="Q936" s="834"/>
      <c r="R936" s="834"/>
      <c r="S936" s="834"/>
      <c r="T936" s="834"/>
      <c r="U936" s="834"/>
      <c r="V936" s="834"/>
      <c r="W936" s="834"/>
      <c r="X936" s="834"/>
      <c r="Y936" s="834"/>
      <c r="Z936" s="834"/>
      <c r="AA936" s="834"/>
      <c r="AB936" s="834"/>
      <c r="AC936" s="834"/>
      <c r="AD936" s="834"/>
      <c r="AE936" s="834"/>
      <c r="AF936" s="834"/>
      <c r="AG936" s="834"/>
      <c r="AH936" s="834"/>
      <c r="AJ936" s="836"/>
      <c r="AK936" s="836"/>
      <c r="AL936" s="836"/>
      <c r="AM936" s="836"/>
      <c r="AN936" s="836"/>
      <c r="AO936" s="836"/>
      <c r="AP936" s="836"/>
      <c r="AQ936" s="836"/>
      <c r="AR936" s="836"/>
      <c r="AS936" s="836"/>
      <c r="AT936" s="836"/>
      <c r="AU936" s="836"/>
      <c r="AV936" s="836"/>
      <c r="AW936" s="836"/>
      <c r="AX936" s="836"/>
      <c r="AY936" s="836"/>
      <c r="AZ936" s="836"/>
      <c r="BA936" s="836"/>
      <c r="BB936" s="836"/>
      <c r="BC936" s="836"/>
      <c r="BD936" s="836"/>
      <c r="BE936" s="836"/>
      <c r="BF936" s="836"/>
      <c r="BG936" s="836"/>
      <c r="BH936" s="836"/>
      <c r="BI936" s="836"/>
      <c r="BJ936" s="836"/>
      <c r="BK936" s="836"/>
      <c r="BL936" s="836"/>
      <c r="BM936" s="836"/>
      <c r="BN936" s="836"/>
      <c r="BO936" s="836"/>
      <c r="BP936" s="836"/>
      <c r="BR936" s="838"/>
      <c r="BS936" s="838"/>
      <c r="BT936" s="838"/>
      <c r="BU936" s="838"/>
      <c r="BV936" s="838"/>
      <c r="BW936" s="838"/>
      <c r="BX936" s="838"/>
      <c r="BY936" s="838"/>
      <c r="BZ936" s="838"/>
      <c r="CA936" s="838"/>
      <c r="CB936" s="838"/>
      <c r="CC936" s="838"/>
      <c r="CD936" s="838"/>
      <c r="CE936" s="838"/>
      <c r="CF936" s="838"/>
      <c r="CG936" s="838"/>
      <c r="CH936" s="838"/>
      <c r="CI936" s="838"/>
      <c r="CJ936" s="838"/>
      <c r="CK936" s="838"/>
      <c r="CL936" s="838"/>
      <c r="CM936" s="838"/>
      <c r="CN936" s="838"/>
      <c r="CO936" s="838"/>
      <c r="CP936" s="838"/>
      <c r="CQ936" s="838"/>
      <c r="CR936" s="838"/>
      <c r="CS936" s="838"/>
      <c r="CT936" s="838"/>
      <c r="CU936" s="838"/>
    </row>
    <row r="937">
      <c r="A937" s="834"/>
      <c r="B937" s="834"/>
      <c r="C937" s="834"/>
      <c r="D937" s="834"/>
      <c r="E937" s="834"/>
      <c r="F937" s="834"/>
      <c r="G937" s="834"/>
      <c r="H937" s="834"/>
      <c r="I937" s="834"/>
      <c r="J937" s="834"/>
      <c r="K937" s="834"/>
      <c r="L937" s="834"/>
      <c r="M937" s="834"/>
      <c r="N937" s="834"/>
      <c r="O937" s="834"/>
      <c r="P937" s="834"/>
      <c r="Q937" s="834"/>
      <c r="R937" s="834"/>
      <c r="S937" s="834"/>
      <c r="T937" s="834"/>
      <c r="U937" s="834"/>
      <c r="V937" s="834"/>
      <c r="W937" s="834"/>
      <c r="X937" s="834"/>
      <c r="Y937" s="834"/>
      <c r="Z937" s="834"/>
      <c r="AA937" s="834"/>
      <c r="AB937" s="834"/>
      <c r="AC937" s="834"/>
      <c r="AD937" s="834"/>
      <c r="AE937" s="834"/>
      <c r="AF937" s="834"/>
      <c r="AG937" s="834"/>
      <c r="AH937" s="834"/>
      <c r="AJ937" s="836"/>
      <c r="AK937" s="836"/>
      <c r="AL937" s="836"/>
      <c r="AM937" s="836"/>
      <c r="AN937" s="836"/>
      <c r="AO937" s="836"/>
      <c r="AP937" s="836"/>
      <c r="AQ937" s="836"/>
      <c r="AR937" s="836"/>
      <c r="AS937" s="836"/>
      <c r="AT937" s="836"/>
      <c r="AU937" s="836"/>
      <c r="AV937" s="836"/>
      <c r="AW937" s="836"/>
      <c r="AX937" s="836"/>
      <c r="AY937" s="836"/>
      <c r="AZ937" s="836"/>
      <c r="BA937" s="836"/>
      <c r="BB937" s="836"/>
      <c r="BC937" s="836"/>
      <c r="BD937" s="836"/>
      <c r="BE937" s="836"/>
      <c r="BF937" s="836"/>
      <c r="BG937" s="836"/>
      <c r="BH937" s="836"/>
      <c r="BI937" s="836"/>
      <c r="BJ937" s="836"/>
      <c r="BK937" s="836"/>
      <c r="BL937" s="836"/>
      <c r="BM937" s="836"/>
      <c r="BN937" s="836"/>
      <c r="BO937" s="836"/>
      <c r="BP937" s="836"/>
      <c r="BR937" s="838"/>
      <c r="BS937" s="838"/>
      <c r="BT937" s="838"/>
      <c r="BU937" s="838"/>
      <c r="BV937" s="838"/>
      <c r="BW937" s="838"/>
      <c r="BX937" s="838"/>
      <c r="BY937" s="838"/>
      <c r="BZ937" s="838"/>
      <c r="CA937" s="838"/>
      <c r="CB937" s="838"/>
      <c r="CC937" s="838"/>
      <c r="CD937" s="838"/>
      <c r="CE937" s="838"/>
      <c r="CF937" s="838"/>
      <c r="CG937" s="838"/>
      <c r="CH937" s="838"/>
      <c r="CI937" s="838"/>
      <c r="CJ937" s="838"/>
      <c r="CK937" s="838"/>
      <c r="CL937" s="838"/>
      <c r="CM937" s="838"/>
      <c r="CN937" s="838"/>
      <c r="CO937" s="838"/>
      <c r="CP937" s="838"/>
      <c r="CQ937" s="838"/>
      <c r="CR937" s="838"/>
      <c r="CS937" s="838"/>
      <c r="CT937" s="838"/>
      <c r="CU937" s="838"/>
    </row>
    <row r="938">
      <c r="A938" s="834"/>
      <c r="B938" s="834"/>
      <c r="C938" s="834"/>
      <c r="D938" s="834"/>
      <c r="E938" s="834"/>
      <c r="F938" s="834"/>
      <c r="G938" s="834"/>
      <c r="H938" s="834"/>
      <c r="I938" s="834"/>
      <c r="J938" s="834"/>
      <c r="K938" s="834"/>
      <c r="L938" s="834"/>
      <c r="M938" s="834"/>
      <c r="N938" s="834"/>
      <c r="O938" s="834"/>
      <c r="P938" s="834"/>
      <c r="Q938" s="834"/>
      <c r="R938" s="834"/>
      <c r="S938" s="834"/>
      <c r="T938" s="834"/>
      <c r="U938" s="834"/>
      <c r="V938" s="834"/>
      <c r="W938" s="834"/>
      <c r="X938" s="834"/>
      <c r="Y938" s="834"/>
      <c r="Z938" s="834"/>
      <c r="AA938" s="834"/>
      <c r="AB938" s="834"/>
      <c r="AC938" s="834"/>
      <c r="AD938" s="834"/>
      <c r="AE938" s="834"/>
      <c r="AF938" s="834"/>
      <c r="AG938" s="834"/>
      <c r="AH938" s="834"/>
      <c r="AJ938" s="836"/>
      <c r="AK938" s="836"/>
      <c r="AL938" s="836"/>
      <c r="AM938" s="836"/>
      <c r="AN938" s="836"/>
      <c r="AO938" s="836"/>
      <c r="AP938" s="836"/>
      <c r="AQ938" s="836"/>
      <c r="AR938" s="836"/>
      <c r="AS938" s="836"/>
      <c r="AT938" s="836"/>
      <c r="AU938" s="836"/>
      <c r="AV938" s="836"/>
      <c r="AW938" s="836"/>
      <c r="AX938" s="836"/>
      <c r="AY938" s="836"/>
      <c r="AZ938" s="836"/>
      <c r="BA938" s="836"/>
      <c r="BB938" s="836"/>
      <c r="BC938" s="836"/>
      <c r="BD938" s="836"/>
      <c r="BE938" s="836"/>
      <c r="BF938" s="836"/>
      <c r="BG938" s="836"/>
      <c r="BH938" s="836"/>
      <c r="BI938" s="836"/>
      <c r="BJ938" s="836"/>
      <c r="BK938" s="836"/>
      <c r="BL938" s="836"/>
      <c r="BM938" s="836"/>
      <c r="BN938" s="836"/>
      <c r="BO938" s="836"/>
      <c r="BP938" s="836"/>
      <c r="BR938" s="838"/>
      <c r="BS938" s="838"/>
      <c r="BT938" s="838"/>
      <c r="BU938" s="838"/>
      <c r="BV938" s="838"/>
      <c r="BW938" s="838"/>
      <c r="BX938" s="838"/>
      <c r="BY938" s="838"/>
      <c r="BZ938" s="838"/>
      <c r="CA938" s="838"/>
      <c r="CB938" s="838"/>
      <c r="CC938" s="838"/>
      <c r="CD938" s="838"/>
      <c r="CE938" s="838"/>
      <c r="CF938" s="838"/>
      <c r="CG938" s="838"/>
      <c r="CH938" s="838"/>
      <c r="CI938" s="838"/>
      <c r="CJ938" s="838"/>
      <c r="CK938" s="838"/>
      <c r="CL938" s="838"/>
      <c r="CM938" s="838"/>
      <c r="CN938" s="838"/>
      <c r="CO938" s="838"/>
      <c r="CP938" s="838"/>
      <c r="CQ938" s="838"/>
      <c r="CR938" s="838"/>
      <c r="CS938" s="838"/>
      <c r="CT938" s="838"/>
      <c r="CU938" s="838"/>
    </row>
    <row r="939">
      <c r="A939" s="834"/>
      <c r="B939" s="834"/>
      <c r="C939" s="834"/>
      <c r="D939" s="834"/>
      <c r="E939" s="834"/>
      <c r="F939" s="834"/>
      <c r="G939" s="834"/>
      <c r="H939" s="834"/>
      <c r="I939" s="834"/>
      <c r="J939" s="834"/>
      <c r="K939" s="834"/>
      <c r="L939" s="834"/>
      <c r="M939" s="834"/>
      <c r="N939" s="834"/>
      <c r="O939" s="834"/>
      <c r="P939" s="834"/>
      <c r="Q939" s="834"/>
      <c r="R939" s="834"/>
      <c r="S939" s="834"/>
      <c r="T939" s="834"/>
      <c r="U939" s="834"/>
      <c r="V939" s="834"/>
      <c r="W939" s="834"/>
      <c r="X939" s="834"/>
      <c r="Y939" s="834"/>
      <c r="Z939" s="834"/>
      <c r="AA939" s="834"/>
      <c r="AB939" s="834"/>
      <c r="AC939" s="834"/>
      <c r="AD939" s="834"/>
      <c r="AE939" s="834"/>
      <c r="AF939" s="834"/>
      <c r="AG939" s="834"/>
      <c r="AH939" s="834"/>
      <c r="AJ939" s="836"/>
      <c r="AK939" s="836"/>
      <c r="AL939" s="836"/>
      <c r="AM939" s="836"/>
      <c r="AN939" s="836"/>
      <c r="AO939" s="836"/>
      <c r="AP939" s="836"/>
      <c r="AQ939" s="836"/>
      <c r="AR939" s="836"/>
      <c r="AS939" s="836"/>
      <c r="AT939" s="836"/>
      <c r="AU939" s="836"/>
      <c r="AV939" s="836"/>
      <c r="AW939" s="836"/>
      <c r="AX939" s="836"/>
      <c r="AY939" s="836"/>
      <c r="AZ939" s="836"/>
      <c r="BA939" s="836"/>
      <c r="BB939" s="836"/>
      <c r="BC939" s="836"/>
      <c r="BD939" s="836"/>
      <c r="BE939" s="836"/>
      <c r="BF939" s="836"/>
      <c r="BG939" s="836"/>
      <c r="BH939" s="836"/>
      <c r="BI939" s="836"/>
      <c r="BJ939" s="836"/>
      <c r="BK939" s="836"/>
      <c r="BL939" s="836"/>
      <c r="BM939" s="836"/>
      <c r="BN939" s="836"/>
      <c r="BO939" s="836"/>
      <c r="BP939" s="836"/>
      <c r="BR939" s="838"/>
      <c r="BS939" s="838"/>
      <c r="BT939" s="838"/>
      <c r="BU939" s="838"/>
      <c r="BV939" s="838"/>
      <c r="BW939" s="838"/>
      <c r="BX939" s="838"/>
      <c r="BY939" s="838"/>
      <c r="BZ939" s="838"/>
      <c r="CA939" s="838"/>
      <c r="CB939" s="838"/>
      <c r="CC939" s="838"/>
      <c r="CD939" s="838"/>
      <c r="CE939" s="838"/>
      <c r="CF939" s="838"/>
      <c r="CG939" s="838"/>
      <c r="CH939" s="838"/>
      <c r="CI939" s="838"/>
      <c r="CJ939" s="838"/>
      <c r="CK939" s="838"/>
      <c r="CL939" s="838"/>
      <c r="CM939" s="838"/>
      <c r="CN939" s="838"/>
      <c r="CO939" s="838"/>
      <c r="CP939" s="838"/>
      <c r="CQ939" s="838"/>
      <c r="CR939" s="838"/>
      <c r="CS939" s="838"/>
      <c r="CT939" s="838"/>
      <c r="CU939" s="838"/>
    </row>
    <row r="940">
      <c r="A940" s="834"/>
      <c r="B940" s="834"/>
      <c r="C940" s="834"/>
      <c r="D940" s="834"/>
      <c r="E940" s="834"/>
      <c r="F940" s="834"/>
      <c r="G940" s="834"/>
      <c r="H940" s="834"/>
      <c r="I940" s="834"/>
      <c r="J940" s="834"/>
      <c r="K940" s="834"/>
      <c r="L940" s="834"/>
      <c r="M940" s="834"/>
      <c r="N940" s="834"/>
      <c r="O940" s="834"/>
      <c r="P940" s="834"/>
      <c r="Q940" s="834"/>
      <c r="R940" s="834"/>
      <c r="S940" s="834"/>
      <c r="T940" s="834"/>
      <c r="U940" s="834"/>
      <c r="V940" s="834"/>
      <c r="W940" s="834"/>
      <c r="X940" s="834"/>
      <c r="Y940" s="834"/>
      <c r="Z940" s="834"/>
      <c r="AA940" s="834"/>
      <c r="AB940" s="834"/>
      <c r="AC940" s="834"/>
      <c r="AD940" s="834"/>
      <c r="AE940" s="834"/>
      <c r="AF940" s="834"/>
      <c r="AG940" s="834"/>
      <c r="AH940" s="834"/>
      <c r="AJ940" s="836"/>
      <c r="AK940" s="836"/>
      <c r="AL940" s="836"/>
      <c r="AM940" s="836"/>
      <c r="AN940" s="836"/>
      <c r="AO940" s="836"/>
      <c r="AP940" s="836"/>
      <c r="AQ940" s="836"/>
      <c r="AR940" s="836"/>
      <c r="AS940" s="836"/>
      <c r="AT940" s="836"/>
      <c r="AU940" s="836"/>
      <c r="AV940" s="836"/>
      <c r="AW940" s="836"/>
      <c r="AX940" s="836"/>
      <c r="AY940" s="836"/>
      <c r="AZ940" s="836"/>
      <c r="BA940" s="836"/>
      <c r="BB940" s="836"/>
      <c r="BC940" s="836"/>
      <c r="BD940" s="836"/>
      <c r="BE940" s="836"/>
      <c r="BF940" s="836"/>
      <c r="BG940" s="836"/>
      <c r="BH940" s="836"/>
      <c r="BI940" s="836"/>
      <c r="BJ940" s="836"/>
      <c r="BK940" s="836"/>
      <c r="BL940" s="836"/>
      <c r="BM940" s="836"/>
      <c r="BN940" s="836"/>
      <c r="BO940" s="836"/>
      <c r="BP940" s="836"/>
      <c r="BR940" s="838"/>
      <c r="BS940" s="838"/>
      <c r="BT940" s="838"/>
      <c r="BU940" s="838"/>
      <c r="BV940" s="838"/>
      <c r="BW940" s="838"/>
      <c r="BX940" s="838"/>
      <c r="BY940" s="838"/>
      <c r="BZ940" s="838"/>
      <c r="CA940" s="838"/>
      <c r="CB940" s="838"/>
      <c r="CC940" s="838"/>
      <c r="CD940" s="838"/>
      <c r="CE940" s="838"/>
      <c r="CF940" s="838"/>
      <c r="CG940" s="838"/>
      <c r="CH940" s="838"/>
      <c r="CI940" s="838"/>
      <c r="CJ940" s="838"/>
      <c r="CK940" s="838"/>
      <c r="CL940" s="838"/>
      <c r="CM940" s="838"/>
      <c r="CN940" s="838"/>
      <c r="CO940" s="838"/>
      <c r="CP940" s="838"/>
      <c r="CQ940" s="838"/>
      <c r="CR940" s="838"/>
      <c r="CS940" s="838"/>
      <c r="CT940" s="838"/>
      <c r="CU940" s="838"/>
    </row>
    <row r="941">
      <c r="A941" s="834"/>
      <c r="B941" s="834"/>
      <c r="C941" s="834"/>
      <c r="D941" s="834"/>
      <c r="E941" s="834"/>
      <c r="F941" s="834"/>
      <c r="G941" s="834"/>
      <c r="H941" s="834"/>
      <c r="I941" s="834"/>
      <c r="J941" s="834"/>
      <c r="K941" s="834"/>
      <c r="L941" s="834"/>
      <c r="M941" s="834"/>
      <c r="N941" s="834"/>
      <c r="O941" s="834"/>
      <c r="P941" s="834"/>
      <c r="Q941" s="834"/>
      <c r="R941" s="834"/>
      <c r="S941" s="834"/>
      <c r="T941" s="834"/>
      <c r="U941" s="834"/>
      <c r="V941" s="834"/>
      <c r="W941" s="834"/>
      <c r="X941" s="834"/>
      <c r="Y941" s="834"/>
      <c r="Z941" s="834"/>
      <c r="AA941" s="834"/>
      <c r="AB941" s="834"/>
      <c r="AC941" s="834"/>
      <c r="AD941" s="834"/>
      <c r="AE941" s="834"/>
      <c r="AF941" s="834"/>
      <c r="AG941" s="834"/>
      <c r="AH941" s="834"/>
      <c r="AJ941" s="836"/>
      <c r="AK941" s="836"/>
      <c r="AL941" s="836"/>
      <c r="AM941" s="836"/>
      <c r="AN941" s="836"/>
      <c r="AO941" s="836"/>
      <c r="AP941" s="836"/>
      <c r="AQ941" s="836"/>
      <c r="AR941" s="836"/>
      <c r="AS941" s="836"/>
      <c r="AT941" s="836"/>
      <c r="AU941" s="836"/>
      <c r="AV941" s="836"/>
      <c r="AW941" s="836"/>
      <c r="AX941" s="836"/>
      <c r="AY941" s="836"/>
      <c r="AZ941" s="836"/>
      <c r="BA941" s="836"/>
      <c r="BB941" s="836"/>
      <c r="BC941" s="836"/>
      <c r="BD941" s="836"/>
      <c r="BE941" s="836"/>
      <c r="BF941" s="836"/>
      <c r="BG941" s="836"/>
      <c r="BH941" s="836"/>
      <c r="BI941" s="836"/>
      <c r="BJ941" s="836"/>
      <c r="BK941" s="836"/>
      <c r="BL941" s="836"/>
      <c r="BM941" s="836"/>
      <c r="BN941" s="836"/>
      <c r="BO941" s="836"/>
      <c r="BP941" s="836"/>
      <c r="BR941" s="838"/>
      <c r="BS941" s="838"/>
      <c r="BT941" s="838"/>
      <c r="BU941" s="838"/>
      <c r="BV941" s="838"/>
      <c r="BW941" s="838"/>
      <c r="BX941" s="838"/>
      <c r="BY941" s="838"/>
      <c r="BZ941" s="838"/>
      <c r="CA941" s="838"/>
      <c r="CB941" s="838"/>
      <c r="CC941" s="838"/>
      <c r="CD941" s="838"/>
      <c r="CE941" s="838"/>
      <c r="CF941" s="838"/>
      <c r="CG941" s="838"/>
      <c r="CH941" s="838"/>
      <c r="CI941" s="838"/>
      <c r="CJ941" s="838"/>
      <c r="CK941" s="838"/>
      <c r="CL941" s="838"/>
      <c r="CM941" s="838"/>
      <c r="CN941" s="838"/>
      <c r="CO941" s="838"/>
      <c r="CP941" s="838"/>
      <c r="CQ941" s="838"/>
      <c r="CR941" s="838"/>
      <c r="CS941" s="838"/>
      <c r="CT941" s="838"/>
      <c r="CU941" s="838"/>
    </row>
    <row r="942">
      <c r="A942" s="834"/>
      <c r="B942" s="834"/>
      <c r="C942" s="834"/>
      <c r="D942" s="834"/>
      <c r="E942" s="834"/>
      <c r="F942" s="834"/>
      <c r="G942" s="834"/>
      <c r="H942" s="834"/>
      <c r="I942" s="834"/>
      <c r="J942" s="834"/>
      <c r="K942" s="834"/>
      <c r="L942" s="834"/>
      <c r="M942" s="834"/>
      <c r="N942" s="834"/>
      <c r="O942" s="834"/>
      <c r="P942" s="834"/>
      <c r="Q942" s="834"/>
      <c r="R942" s="834"/>
      <c r="S942" s="834"/>
      <c r="T942" s="834"/>
      <c r="U942" s="834"/>
      <c r="V942" s="834"/>
      <c r="W942" s="834"/>
      <c r="X942" s="834"/>
      <c r="Y942" s="834"/>
      <c r="Z942" s="834"/>
      <c r="AA942" s="834"/>
      <c r="AB942" s="834"/>
      <c r="AC942" s="834"/>
      <c r="AD942" s="834"/>
      <c r="AE942" s="834"/>
      <c r="AF942" s="834"/>
      <c r="AG942" s="834"/>
      <c r="AH942" s="834"/>
      <c r="AJ942" s="836"/>
      <c r="AK942" s="836"/>
      <c r="AL942" s="836"/>
      <c r="AM942" s="836"/>
      <c r="AN942" s="836"/>
      <c r="AO942" s="836"/>
      <c r="AP942" s="836"/>
      <c r="AQ942" s="836"/>
      <c r="AR942" s="836"/>
      <c r="AS942" s="836"/>
      <c r="AT942" s="836"/>
      <c r="AU942" s="836"/>
      <c r="AV942" s="836"/>
      <c r="AW942" s="836"/>
      <c r="AX942" s="836"/>
      <c r="AY942" s="836"/>
      <c r="AZ942" s="836"/>
      <c r="BA942" s="836"/>
      <c r="BB942" s="836"/>
      <c r="BC942" s="836"/>
      <c r="BD942" s="836"/>
      <c r="BE942" s="836"/>
      <c r="BF942" s="836"/>
      <c r="BG942" s="836"/>
      <c r="BH942" s="836"/>
      <c r="BI942" s="836"/>
      <c r="BJ942" s="836"/>
      <c r="BK942" s="836"/>
      <c r="BL942" s="836"/>
      <c r="BM942" s="836"/>
      <c r="BN942" s="836"/>
      <c r="BO942" s="836"/>
      <c r="BP942" s="836"/>
      <c r="BR942" s="838"/>
      <c r="BS942" s="838"/>
      <c r="BT942" s="838"/>
      <c r="BU942" s="838"/>
      <c r="BV942" s="838"/>
      <c r="BW942" s="838"/>
      <c r="BX942" s="838"/>
      <c r="BY942" s="838"/>
      <c r="BZ942" s="838"/>
      <c r="CA942" s="838"/>
      <c r="CB942" s="838"/>
      <c r="CC942" s="838"/>
      <c r="CD942" s="838"/>
      <c r="CE942" s="838"/>
      <c r="CF942" s="838"/>
      <c r="CG942" s="838"/>
      <c r="CH942" s="838"/>
      <c r="CI942" s="838"/>
      <c r="CJ942" s="838"/>
      <c r="CK942" s="838"/>
      <c r="CL942" s="838"/>
      <c r="CM942" s="838"/>
      <c r="CN942" s="838"/>
      <c r="CO942" s="838"/>
      <c r="CP942" s="838"/>
      <c r="CQ942" s="838"/>
      <c r="CR942" s="838"/>
      <c r="CS942" s="838"/>
      <c r="CT942" s="838"/>
      <c r="CU942" s="838"/>
    </row>
    <row r="943">
      <c r="A943" s="834"/>
      <c r="B943" s="834"/>
      <c r="C943" s="834"/>
      <c r="D943" s="834"/>
      <c r="E943" s="834"/>
      <c r="F943" s="834"/>
      <c r="G943" s="834"/>
      <c r="H943" s="834"/>
      <c r="I943" s="834"/>
      <c r="J943" s="834"/>
      <c r="K943" s="834"/>
      <c r="L943" s="834"/>
      <c r="M943" s="834"/>
      <c r="N943" s="834"/>
      <c r="O943" s="834"/>
      <c r="P943" s="834"/>
      <c r="Q943" s="834"/>
      <c r="R943" s="834"/>
      <c r="S943" s="834"/>
      <c r="T943" s="834"/>
      <c r="U943" s="834"/>
      <c r="V943" s="834"/>
      <c r="W943" s="834"/>
      <c r="X943" s="834"/>
      <c r="Y943" s="834"/>
      <c r="Z943" s="834"/>
      <c r="AA943" s="834"/>
      <c r="AB943" s="834"/>
      <c r="AC943" s="834"/>
      <c r="AD943" s="834"/>
      <c r="AE943" s="834"/>
      <c r="AF943" s="834"/>
      <c r="AG943" s="834"/>
      <c r="AH943" s="834"/>
      <c r="AJ943" s="836"/>
      <c r="AK943" s="836"/>
      <c r="AL943" s="836"/>
      <c r="AM943" s="836"/>
      <c r="AN943" s="836"/>
      <c r="AO943" s="836"/>
      <c r="AP943" s="836"/>
      <c r="AQ943" s="836"/>
      <c r="AR943" s="836"/>
      <c r="AS943" s="836"/>
      <c r="AT943" s="836"/>
      <c r="AU943" s="836"/>
      <c r="AV943" s="836"/>
      <c r="AW943" s="836"/>
      <c r="AX943" s="836"/>
      <c r="AY943" s="836"/>
      <c r="AZ943" s="836"/>
      <c r="BA943" s="836"/>
      <c r="BB943" s="836"/>
      <c r="BC943" s="836"/>
      <c r="BD943" s="836"/>
      <c r="BE943" s="836"/>
      <c r="BF943" s="836"/>
      <c r="BG943" s="836"/>
      <c r="BH943" s="836"/>
      <c r="BI943" s="836"/>
      <c r="BJ943" s="836"/>
      <c r="BK943" s="836"/>
      <c r="BL943" s="836"/>
      <c r="BM943" s="836"/>
      <c r="BN943" s="836"/>
      <c r="BO943" s="836"/>
      <c r="BP943" s="836"/>
      <c r="BR943" s="838"/>
      <c r="BS943" s="838"/>
      <c r="BT943" s="838"/>
      <c r="BU943" s="838"/>
      <c r="BV943" s="838"/>
      <c r="BW943" s="838"/>
      <c r="BX943" s="838"/>
      <c r="BY943" s="838"/>
      <c r="BZ943" s="838"/>
      <c r="CA943" s="838"/>
      <c r="CB943" s="838"/>
      <c r="CC943" s="838"/>
      <c r="CD943" s="838"/>
      <c r="CE943" s="838"/>
      <c r="CF943" s="838"/>
      <c r="CG943" s="838"/>
      <c r="CH943" s="838"/>
      <c r="CI943" s="838"/>
      <c r="CJ943" s="838"/>
      <c r="CK943" s="838"/>
      <c r="CL943" s="838"/>
      <c r="CM943" s="838"/>
      <c r="CN943" s="838"/>
      <c r="CO943" s="838"/>
      <c r="CP943" s="838"/>
      <c r="CQ943" s="838"/>
      <c r="CR943" s="838"/>
      <c r="CS943" s="838"/>
      <c r="CT943" s="838"/>
      <c r="CU943" s="838"/>
    </row>
    <row r="944">
      <c r="A944" s="834"/>
      <c r="B944" s="834"/>
      <c r="C944" s="834"/>
      <c r="D944" s="834"/>
      <c r="E944" s="834"/>
      <c r="F944" s="834"/>
      <c r="G944" s="834"/>
      <c r="H944" s="834"/>
      <c r="I944" s="834"/>
      <c r="J944" s="834"/>
      <c r="K944" s="834"/>
      <c r="L944" s="834"/>
      <c r="M944" s="834"/>
      <c r="N944" s="834"/>
      <c r="O944" s="834"/>
      <c r="P944" s="834"/>
      <c r="Q944" s="834"/>
      <c r="R944" s="834"/>
      <c r="S944" s="834"/>
      <c r="T944" s="834"/>
      <c r="U944" s="834"/>
      <c r="V944" s="834"/>
      <c r="W944" s="834"/>
      <c r="X944" s="834"/>
      <c r="Y944" s="834"/>
      <c r="Z944" s="834"/>
      <c r="AA944" s="834"/>
      <c r="AB944" s="834"/>
      <c r="AC944" s="834"/>
      <c r="AD944" s="834"/>
      <c r="AE944" s="834"/>
      <c r="AF944" s="834"/>
      <c r="AG944" s="834"/>
      <c r="AH944" s="834"/>
      <c r="AJ944" s="836"/>
      <c r="AK944" s="836"/>
      <c r="AL944" s="836"/>
      <c r="AM944" s="836"/>
      <c r="AN944" s="836"/>
      <c r="AO944" s="836"/>
      <c r="AP944" s="836"/>
      <c r="AQ944" s="836"/>
      <c r="AR944" s="836"/>
      <c r="AS944" s="836"/>
      <c r="AT944" s="836"/>
      <c r="AU944" s="836"/>
      <c r="AV944" s="836"/>
      <c r="AW944" s="836"/>
      <c r="AX944" s="836"/>
      <c r="AY944" s="836"/>
      <c r="AZ944" s="836"/>
      <c r="BA944" s="836"/>
      <c r="BB944" s="836"/>
      <c r="BC944" s="836"/>
      <c r="BD944" s="836"/>
      <c r="BE944" s="836"/>
      <c r="BF944" s="836"/>
      <c r="BG944" s="836"/>
      <c r="BH944" s="836"/>
      <c r="BI944" s="836"/>
      <c r="BJ944" s="836"/>
      <c r="BK944" s="836"/>
      <c r="BL944" s="836"/>
      <c r="BM944" s="836"/>
      <c r="BN944" s="836"/>
      <c r="BO944" s="836"/>
      <c r="BP944" s="836"/>
      <c r="BR944" s="838"/>
      <c r="BS944" s="838"/>
      <c r="BT944" s="838"/>
      <c r="BU944" s="838"/>
      <c r="BV944" s="838"/>
      <c r="BW944" s="838"/>
      <c r="BX944" s="838"/>
      <c r="BY944" s="838"/>
      <c r="BZ944" s="838"/>
      <c r="CA944" s="838"/>
      <c r="CB944" s="838"/>
      <c r="CC944" s="838"/>
      <c r="CD944" s="838"/>
      <c r="CE944" s="838"/>
      <c r="CF944" s="838"/>
      <c r="CG944" s="838"/>
      <c r="CH944" s="838"/>
      <c r="CI944" s="838"/>
      <c r="CJ944" s="838"/>
      <c r="CK944" s="838"/>
      <c r="CL944" s="838"/>
      <c r="CM944" s="838"/>
      <c r="CN944" s="838"/>
      <c r="CO944" s="838"/>
      <c r="CP944" s="838"/>
      <c r="CQ944" s="838"/>
      <c r="CR944" s="838"/>
      <c r="CS944" s="838"/>
      <c r="CT944" s="838"/>
      <c r="CU944" s="838"/>
    </row>
    <row r="945">
      <c r="A945" s="834"/>
      <c r="B945" s="834"/>
      <c r="C945" s="834"/>
      <c r="D945" s="834"/>
      <c r="E945" s="834"/>
      <c r="F945" s="834"/>
      <c r="G945" s="834"/>
      <c r="H945" s="834"/>
      <c r="I945" s="834"/>
      <c r="J945" s="834"/>
      <c r="K945" s="834"/>
      <c r="L945" s="834"/>
      <c r="M945" s="834"/>
      <c r="N945" s="834"/>
      <c r="O945" s="834"/>
      <c r="P945" s="834"/>
      <c r="Q945" s="834"/>
      <c r="R945" s="834"/>
      <c r="S945" s="834"/>
      <c r="T945" s="834"/>
      <c r="U945" s="834"/>
      <c r="V945" s="834"/>
      <c r="W945" s="834"/>
      <c r="X945" s="834"/>
      <c r="Y945" s="834"/>
      <c r="Z945" s="834"/>
      <c r="AA945" s="834"/>
      <c r="AB945" s="834"/>
      <c r="AC945" s="834"/>
      <c r="AD945" s="834"/>
      <c r="AE945" s="834"/>
      <c r="AF945" s="834"/>
      <c r="AG945" s="834"/>
      <c r="AH945" s="834"/>
      <c r="AJ945" s="836"/>
      <c r="AK945" s="836"/>
      <c r="AL945" s="836"/>
      <c r="AM945" s="836"/>
      <c r="AN945" s="836"/>
      <c r="AO945" s="836"/>
      <c r="AP945" s="836"/>
      <c r="AQ945" s="836"/>
      <c r="AR945" s="836"/>
      <c r="AS945" s="836"/>
      <c r="AT945" s="836"/>
      <c r="AU945" s="836"/>
      <c r="AV945" s="836"/>
      <c r="AW945" s="836"/>
      <c r="AX945" s="836"/>
      <c r="AY945" s="836"/>
      <c r="AZ945" s="836"/>
      <c r="BA945" s="836"/>
      <c r="BB945" s="836"/>
      <c r="BC945" s="836"/>
      <c r="BD945" s="836"/>
      <c r="BE945" s="836"/>
      <c r="BF945" s="836"/>
      <c r="BG945" s="836"/>
      <c r="BH945" s="836"/>
      <c r="BI945" s="836"/>
      <c r="BJ945" s="836"/>
      <c r="BK945" s="836"/>
      <c r="BL945" s="836"/>
      <c r="BM945" s="836"/>
      <c r="BN945" s="836"/>
      <c r="BO945" s="836"/>
      <c r="BP945" s="836"/>
      <c r="BR945" s="838"/>
      <c r="BS945" s="838"/>
      <c r="BT945" s="838"/>
      <c r="BU945" s="838"/>
      <c r="BV945" s="838"/>
      <c r="BW945" s="838"/>
      <c r="BX945" s="838"/>
      <c r="BY945" s="838"/>
      <c r="BZ945" s="838"/>
      <c r="CA945" s="838"/>
      <c r="CB945" s="838"/>
      <c r="CC945" s="838"/>
      <c r="CD945" s="838"/>
      <c r="CE945" s="838"/>
      <c r="CF945" s="838"/>
      <c r="CG945" s="838"/>
      <c r="CH945" s="838"/>
      <c r="CI945" s="838"/>
      <c r="CJ945" s="838"/>
      <c r="CK945" s="838"/>
      <c r="CL945" s="838"/>
      <c r="CM945" s="838"/>
      <c r="CN945" s="838"/>
      <c r="CO945" s="838"/>
      <c r="CP945" s="838"/>
      <c r="CQ945" s="838"/>
      <c r="CR945" s="838"/>
      <c r="CS945" s="838"/>
      <c r="CT945" s="838"/>
      <c r="CU945" s="838"/>
    </row>
    <row r="946">
      <c r="A946" s="834"/>
      <c r="B946" s="834"/>
      <c r="C946" s="834"/>
      <c r="D946" s="834"/>
      <c r="E946" s="834"/>
      <c r="F946" s="834"/>
      <c r="G946" s="834"/>
      <c r="H946" s="834"/>
      <c r="I946" s="834"/>
      <c r="J946" s="834"/>
      <c r="K946" s="834"/>
      <c r="L946" s="834"/>
      <c r="M946" s="834"/>
      <c r="N946" s="834"/>
      <c r="O946" s="834"/>
      <c r="P946" s="834"/>
      <c r="Q946" s="834"/>
      <c r="R946" s="834"/>
      <c r="S946" s="834"/>
      <c r="T946" s="834"/>
      <c r="U946" s="834"/>
      <c r="V946" s="834"/>
      <c r="W946" s="834"/>
      <c r="X946" s="834"/>
      <c r="Y946" s="834"/>
      <c r="Z946" s="834"/>
      <c r="AA946" s="834"/>
      <c r="AB946" s="834"/>
      <c r="AC946" s="834"/>
      <c r="AD946" s="834"/>
      <c r="AE946" s="834"/>
      <c r="AF946" s="834"/>
      <c r="AG946" s="834"/>
      <c r="AH946" s="834"/>
      <c r="AJ946" s="836"/>
      <c r="AK946" s="836"/>
      <c r="AL946" s="836"/>
      <c r="AM946" s="836"/>
      <c r="AN946" s="836"/>
      <c r="AO946" s="836"/>
      <c r="AP946" s="836"/>
      <c r="AQ946" s="836"/>
      <c r="AR946" s="836"/>
      <c r="AS946" s="836"/>
      <c r="AT946" s="836"/>
      <c r="AU946" s="836"/>
      <c r="AV946" s="836"/>
      <c r="AW946" s="836"/>
      <c r="AX946" s="836"/>
      <c r="AY946" s="836"/>
      <c r="AZ946" s="836"/>
      <c r="BA946" s="836"/>
      <c r="BB946" s="836"/>
      <c r="BC946" s="836"/>
      <c r="BD946" s="836"/>
      <c r="BE946" s="836"/>
      <c r="BF946" s="836"/>
      <c r="BG946" s="836"/>
      <c r="BH946" s="836"/>
      <c r="BI946" s="836"/>
      <c r="BJ946" s="836"/>
      <c r="BK946" s="836"/>
      <c r="BL946" s="836"/>
      <c r="BM946" s="836"/>
      <c r="BN946" s="836"/>
      <c r="BO946" s="836"/>
      <c r="BP946" s="836"/>
      <c r="BR946" s="838"/>
      <c r="BS946" s="838"/>
      <c r="BT946" s="838"/>
      <c r="BU946" s="838"/>
      <c r="BV946" s="838"/>
      <c r="BW946" s="838"/>
      <c r="BX946" s="838"/>
      <c r="BY946" s="838"/>
      <c r="BZ946" s="838"/>
      <c r="CA946" s="838"/>
      <c r="CB946" s="838"/>
      <c r="CC946" s="838"/>
      <c r="CD946" s="838"/>
      <c r="CE946" s="838"/>
      <c r="CF946" s="838"/>
      <c r="CG946" s="838"/>
      <c r="CH946" s="838"/>
      <c r="CI946" s="838"/>
      <c r="CJ946" s="838"/>
      <c r="CK946" s="838"/>
      <c r="CL946" s="838"/>
      <c r="CM946" s="838"/>
      <c r="CN946" s="838"/>
      <c r="CO946" s="838"/>
      <c r="CP946" s="838"/>
      <c r="CQ946" s="838"/>
      <c r="CR946" s="838"/>
      <c r="CS946" s="838"/>
      <c r="CT946" s="838"/>
      <c r="CU946" s="838"/>
    </row>
    <row r="947">
      <c r="A947" s="834"/>
      <c r="B947" s="834"/>
      <c r="C947" s="834"/>
      <c r="D947" s="834"/>
      <c r="E947" s="834"/>
      <c r="F947" s="834"/>
      <c r="G947" s="834"/>
      <c r="H947" s="834"/>
      <c r="I947" s="834"/>
      <c r="J947" s="834"/>
      <c r="K947" s="834"/>
      <c r="L947" s="834"/>
      <c r="M947" s="834"/>
      <c r="N947" s="834"/>
      <c r="O947" s="834"/>
      <c r="P947" s="834"/>
      <c r="Q947" s="834"/>
      <c r="R947" s="834"/>
      <c r="S947" s="834"/>
      <c r="T947" s="834"/>
      <c r="U947" s="834"/>
      <c r="V947" s="834"/>
      <c r="W947" s="834"/>
      <c r="X947" s="834"/>
      <c r="Y947" s="834"/>
      <c r="Z947" s="834"/>
      <c r="AA947" s="834"/>
      <c r="AB947" s="834"/>
      <c r="AC947" s="834"/>
      <c r="AD947" s="834"/>
      <c r="AE947" s="834"/>
      <c r="AF947" s="834"/>
      <c r="AG947" s="834"/>
      <c r="AH947" s="834"/>
      <c r="AJ947" s="836"/>
      <c r="AK947" s="836"/>
      <c r="AL947" s="836"/>
      <c r="AM947" s="836"/>
      <c r="AN947" s="836"/>
      <c r="AO947" s="836"/>
      <c r="AP947" s="836"/>
      <c r="AQ947" s="836"/>
      <c r="AR947" s="836"/>
      <c r="AS947" s="836"/>
      <c r="AT947" s="836"/>
      <c r="AU947" s="836"/>
      <c r="AV947" s="836"/>
      <c r="AW947" s="836"/>
      <c r="AX947" s="836"/>
      <c r="AY947" s="836"/>
      <c r="AZ947" s="836"/>
      <c r="BA947" s="836"/>
      <c r="BB947" s="836"/>
      <c r="BC947" s="836"/>
      <c r="BD947" s="836"/>
      <c r="BE947" s="836"/>
      <c r="BF947" s="836"/>
      <c r="BG947" s="836"/>
      <c r="BH947" s="836"/>
      <c r="BI947" s="836"/>
      <c r="BJ947" s="836"/>
      <c r="BK947" s="836"/>
      <c r="BL947" s="836"/>
      <c r="BM947" s="836"/>
      <c r="BN947" s="836"/>
      <c r="BO947" s="836"/>
      <c r="BP947" s="836"/>
      <c r="BR947" s="838"/>
      <c r="BS947" s="838"/>
      <c r="BT947" s="838"/>
      <c r="BU947" s="838"/>
      <c r="BV947" s="838"/>
      <c r="BW947" s="838"/>
      <c r="BX947" s="838"/>
      <c r="BY947" s="838"/>
      <c r="BZ947" s="838"/>
      <c r="CA947" s="838"/>
      <c r="CB947" s="838"/>
      <c r="CC947" s="838"/>
      <c r="CD947" s="838"/>
      <c r="CE947" s="838"/>
      <c r="CF947" s="838"/>
      <c r="CG947" s="838"/>
      <c r="CH947" s="838"/>
      <c r="CI947" s="838"/>
      <c r="CJ947" s="838"/>
      <c r="CK947" s="838"/>
      <c r="CL947" s="838"/>
      <c r="CM947" s="838"/>
      <c r="CN947" s="838"/>
      <c r="CO947" s="838"/>
      <c r="CP947" s="838"/>
      <c r="CQ947" s="838"/>
      <c r="CR947" s="838"/>
      <c r="CS947" s="838"/>
      <c r="CT947" s="838"/>
      <c r="CU947" s="838"/>
    </row>
    <row r="948">
      <c r="A948" s="834"/>
      <c r="B948" s="834"/>
      <c r="C948" s="834"/>
      <c r="D948" s="834"/>
      <c r="E948" s="834"/>
      <c r="F948" s="834"/>
      <c r="G948" s="834"/>
      <c r="H948" s="834"/>
      <c r="I948" s="834"/>
      <c r="J948" s="834"/>
      <c r="K948" s="834"/>
      <c r="L948" s="834"/>
      <c r="M948" s="834"/>
      <c r="N948" s="834"/>
      <c r="O948" s="834"/>
      <c r="P948" s="834"/>
      <c r="Q948" s="834"/>
      <c r="R948" s="834"/>
      <c r="S948" s="834"/>
      <c r="T948" s="834"/>
      <c r="U948" s="834"/>
      <c r="V948" s="834"/>
      <c r="W948" s="834"/>
      <c r="X948" s="834"/>
      <c r="Y948" s="834"/>
      <c r="Z948" s="834"/>
      <c r="AA948" s="834"/>
      <c r="AB948" s="834"/>
      <c r="AC948" s="834"/>
      <c r="AD948" s="834"/>
      <c r="AE948" s="834"/>
      <c r="AF948" s="834"/>
      <c r="AG948" s="834"/>
      <c r="AH948" s="834"/>
      <c r="AJ948" s="836"/>
      <c r="AK948" s="836"/>
      <c r="AL948" s="836"/>
      <c r="AM948" s="836"/>
      <c r="AN948" s="836"/>
      <c r="AO948" s="836"/>
      <c r="AP948" s="836"/>
      <c r="AQ948" s="836"/>
      <c r="AR948" s="836"/>
      <c r="AS948" s="836"/>
      <c r="AT948" s="836"/>
      <c r="AU948" s="836"/>
      <c r="AV948" s="836"/>
      <c r="AW948" s="836"/>
      <c r="AX948" s="836"/>
      <c r="AY948" s="836"/>
      <c r="AZ948" s="836"/>
      <c r="BA948" s="836"/>
      <c r="BB948" s="836"/>
      <c r="BC948" s="836"/>
      <c r="BD948" s="836"/>
      <c r="BE948" s="836"/>
      <c r="BF948" s="836"/>
      <c r="BG948" s="836"/>
      <c r="BH948" s="836"/>
      <c r="BI948" s="836"/>
      <c r="BJ948" s="836"/>
      <c r="BK948" s="836"/>
      <c r="BL948" s="836"/>
      <c r="BM948" s="836"/>
      <c r="BN948" s="836"/>
      <c r="BO948" s="836"/>
      <c r="BP948" s="836"/>
      <c r="BR948" s="838"/>
      <c r="BS948" s="838"/>
      <c r="BT948" s="838"/>
      <c r="BU948" s="838"/>
      <c r="BV948" s="838"/>
      <c r="BW948" s="838"/>
      <c r="BX948" s="838"/>
      <c r="BY948" s="838"/>
      <c r="BZ948" s="838"/>
      <c r="CA948" s="838"/>
      <c r="CB948" s="838"/>
      <c r="CC948" s="838"/>
      <c r="CD948" s="838"/>
      <c r="CE948" s="838"/>
      <c r="CF948" s="838"/>
      <c r="CG948" s="838"/>
      <c r="CH948" s="838"/>
      <c r="CI948" s="838"/>
      <c r="CJ948" s="838"/>
      <c r="CK948" s="838"/>
      <c r="CL948" s="838"/>
      <c r="CM948" s="838"/>
      <c r="CN948" s="838"/>
      <c r="CO948" s="838"/>
      <c r="CP948" s="838"/>
      <c r="CQ948" s="838"/>
      <c r="CR948" s="838"/>
      <c r="CS948" s="838"/>
      <c r="CT948" s="838"/>
      <c r="CU948" s="838"/>
    </row>
    <row r="949">
      <c r="A949" s="834"/>
      <c r="B949" s="834"/>
      <c r="C949" s="834"/>
      <c r="D949" s="834"/>
      <c r="E949" s="834"/>
      <c r="F949" s="834"/>
      <c r="G949" s="834"/>
      <c r="H949" s="834"/>
      <c r="I949" s="834"/>
      <c r="J949" s="834"/>
      <c r="K949" s="834"/>
      <c r="L949" s="834"/>
      <c r="M949" s="834"/>
      <c r="N949" s="834"/>
      <c r="O949" s="834"/>
      <c r="P949" s="834"/>
      <c r="Q949" s="834"/>
      <c r="R949" s="834"/>
      <c r="S949" s="834"/>
      <c r="T949" s="834"/>
      <c r="U949" s="834"/>
      <c r="V949" s="834"/>
      <c r="W949" s="834"/>
      <c r="X949" s="834"/>
      <c r="Y949" s="834"/>
      <c r="Z949" s="834"/>
      <c r="AA949" s="834"/>
      <c r="AB949" s="834"/>
      <c r="AC949" s="834"/>
      <c r="AD949" s="834"/>
      <c r="AE949" s="834"/>
      <c r="AF949" s="834"/>
      <c r="AG949" s="834"/>
      <c r="AH949" s="834"/>
      <c r="AJ949" s="836"/>
      <c r="AK949" s="836"/>
      <c r="AL949" s="836"/>
      <c r="AM949" s="836"/>
      <c r="AN949" s="836"/>
      <c r="AO949" s="836"/>
      <c r="AP949" s="836"/>
      <c r="AQ949" s="836"/>
      <c r="AR949" s="836"/>
      <c r="AS949" s="836"/>
      <c r="AT949" s="836"/>
      <c r="AU949" s="836"/>
      <c r="AV949" s="836"/>
      <c r="AW949" s="836"/>
      <c r="AX949" s="836"/>
      <c r="AY949" s="836"/>
      <c r="AZ949" s="836"/>
      <c r="BA949" s="836"/>
      <c r="BB949" s="836"/>
      <c r="BC949" s="836"/>
      <c r="BD949" s="836"/>
      <c r="BE949" s="836"/>
      <c r="BF949" s="836"/>
      <c r="BG949" s="836"/>
      <c r="BH949" s="836"/>
      <c r="BI949" s="836"/>
      <c r="BJ949" s="836"/>
      <c r="BK949" s="836"/>
      <c r="BL949" s="836"/>
      <c r="BM949" s="836"/>
      <c r="BN949" s="836"/>
      <c r="BO949" s="836"/>
      <c r="BP949" s="836"/>
      <c r="BR949" s="838"/>
      <c r="BS949" s="838"/>
      <c r="BT949" s="838"/>
      <c r="BU949" s="838"/>
      <c r="BV949" s="838"/>
      <c r="BW949" s="838"/>
      <c r="BX949" s="838"/>
      <c r="BY949" s="838"/>
      <c r="BZ949" s="838"/>
      <c r="CA949" s="838"/>
      <c r="CB949" s="838"/>
      <c r="CC949" s="838"/>
      <c r="CD949" s="838"/>
      <c r="CE949" s="838"/>
      <c r="CF949" s="838"/>
      <c r="CG949" s="838"/>
      <c r="CH949" s="838"/>
      <c r="CI949" s="838"/>
      <c r="CJ949" s="838"/>
      <c r="CK949" s="838"/>
      <c r="CL949" s="838"/>
      <c r="CM949" s="838"/>
      <c r="CN949" s="838"/>
      <c r="CO949" s="838"/>
      <c r="CP949" s="838"/>
      <c r="CQ949" s="838"/>
      <c r="CR949" s="838"/>
      <c r="CS949" s="838"/>
      <c r="CT949" s="838"/>
      <c r="CU949" s="838"/>
    </row>
    <row r="950">
      <c r="A950" s="834"/>
      <c r="B950" s="834"/>
      <c r="C950" s="834"/>
      <c r="D950" s="834"/>
      <c r="E950" s="834"/>
      <c r="F950" s="834"/>
      <c r="G950" s="834"/>
      <c r="H950" s="834"/>
      <c r="I950" s="834"/>
      <c r="J950" s="834"/>
      <c r="K950" s="834"/>
      <c r="L950" s="834"/>
      <c r="M950" s="834"/>
      <c r="N950" s="834"/>
      <c r="O950" s="834"/>
      <c r="P950" s="834"/>
      <c r="Q950" s="834"/>
      <c r="R950" s="834"/>
      <c r="S950" s="834"/>
      <c r="T950" s="834"/>
      <c r="U950" s="834"/>
      <c r="V950" s="834"/>
      <c r="W950" s="834"/>
      <c r="X950" s="834"/>
      <c r="Y950" s="834"/>
      <c r="Z950" s="834"/>
      <c r="AA950" s="834"/>
      <c r="AB950" s="834"/>
      <c r="AC950" s="834"/>
      <c r="AD950" s="834"/>
      <c r="AE950" s="834"/>
      <c r="AF950" s="834"/>
      <c r="AG950" s="834"/>
      <c r="AH950" s="834"/>
      <c r="AJ950" s="836"/>
      <c r="AK950" s="836"/>
      <c r="AL950" s="836"/>
      <c r="AM950" s="836"/>
      <c r="AN950" s="836"/>
      <c r="AO950" s="836"/>
      <c r="AP950" s="836"/>
      <c r="AQ950" s="836"/>
      <c r="AR950" s="836"/>
      <c r="AS950" s="836"/>
      <c r="AT950" s="836"/>
      <c r="AU950" s="836"/>
      <c r="AV950" s="836"/>
      <c r="AW950" s="836"/>
      <c r="AX950" s="836"/>
      <c r="AY950" s="836"/>
      <c r="AZ950" s="836"/>
      <c r="BA950" s="836"/>
      <c r="BB950" s="836"/>
      <c r="BC950" s="836"/>
      <c r="BD950" s="836"/>
      <c r="BE950" s="836"/>
      <c r="BF950" s="836"/>
      <c r="BG950" s="836"/>
      <c r="BH950" s="836"/>
      <c r="BI950" s="836"/>
      <c r="BJ950" s="836"/>
      <c r="BK950" s="836"/>
      <c r="BL950" s="836"/>
      <c r="BM950" s="836"/>
      <c r="BN950" s="836"/>
      <c r="BO950" s="836"/>
      <c r="BP950" s="836"/>
      <c r="BR950" s="838"/>
      <c r="BS950" s="838"/>
      <c r="BT950" s="838"/>
      <c r="BU950" s="838"/>
      <c r="BV950" s="838"/>
      <c r="BW950" s="838"/>
      <c r="BX950" s="838"/>
      <c r="BY950" s="838"/>
      <c r="BZ950" s="838"/>
      <c r="CA950" s="838"/>
      <c r="CB950" s="838"/>
      <c r="CC950" s="838"/>
      <c r="CD950" s="838"/>
      <c r="CE950" s="838"/>
      <c r="CF950" s="838"/>
      <c r="CG950" s="838"/>
      <c r="CH950" s="838"/>
      <c r="CI950" s="838"/>
      <c r="CJ950" s="838"/>
      <c r="CK950" s="838"/>
      <c r="CL950" s="838"/>
      <c r="CM950" s="838"/>
      <c r="CN950" s="838"/>
      <c r="CO950" s="838"/>
      <c r="CP950" s="838"/>
      <c r="CQ950" s="838"/>
      <c r="CR950" s="838"/>
      <c r="CS950" s="838"/>
      <c r="CT950" s="838"/>
      <c r="CU950" s="838"/>
    </row>
    <row r="951">
      <c r="A951" s="834"/>
      <c r="B951" s="834"/>
      <c r="C951" s="834"/>
      <c r="D951" s="834"/>
      <c r="E951" s="834"/>
      <c r="F951" s="834"/>
      <c r="G951" s="834"/>
      <c r="H951" s="834"/>
      <c r="I951" s="834"/>
      <c r="J951" s="834"/>
      <c r="K951" s="834"/>
      <c r="L951" s="834"/>
      <c r="M951" s="834"/>
      <c r="N951" s="834"/>
      <c r="O951" s="834"/>
      <c r="P951" s="834"/>
      <c r="Q951" s="834"/>
      <c r="R951" s="834"/>
      <c r="S951" s="834"/>
      <c r="T951" s="834"/>
      <c r="U951" s="834"/>
      <c r="V951" s="834"/>
      <c r="W951" s="834"/>
      <c r="X951" s="834"/>
      <c r="Y951" s="834"/>
      <c r="Z951" s="834"/>
      <c r="AA951" s="834"/>
      <c r="AB951" s="834"/>
      <c r="AC951" s="834"/>
      <c r="AD951" s="834"/>
      <c r="AE951" s="834"/>
      <c r="AF951" s="834"/>
      <c r="AG951" s="834"/>
      <c r="AH951" s="834"/>
      <c r="AJ951" s="836"/>
      <c r="AK951" s="836"/>
      <c r="AL951" s="836"/>
      <c r="AM951" s="836"/>
      <c r="AN951" s="836"/>
      <c r="AO951" s="836"/>
      <c r="AP951" s="836"/>
      <c r="AQ951" s="836"/>
      <c r="AR951" s="836"/>
      <c r="AS951" s="836"/>
      <c r="AT951" s="836"/>
      <c r="AU951" s="836"/>
      <c r="AV951" s="836"/>
      <c r="AW951" s="836"/>
      <c r="AX951" s="836"/>
      <c r="AY951" s="836"/>
      <c r="AZ951" s="836"/>
      <c r="BA951" s="836"/>
      <c r="BB951" s="836"/>
      <c r="BC951" s="836"/>
      <c r="BD951" s="836"/>
      <c r="BE951" s="836"/>
      <c r="BF951" s="836"/>
      <c r="BG951" s="836"/>
      <c r="BH951" s="836"/>
      <c r="BI951" s="836"/>
      <c r="BJ951" s="836"/>
      <c r="BK951" s="836"/>
      <c r="BL951" s="836"/>
      <c r="BM951" s="836"/>
      <c r="BN951" s="836"/>
      <c r="BO951" s="836"/>
      <c r="BP951" s="836"/>
      <c r="BR951" s="838"/>
      <c r="BS951" s="838"/>
      <c r="BT951" s="838"/>
      <c r="BU951" s="838"/>
      <c r="BV951" s="838"/>
      <c r="BW951" s="838"/>
      <c r="BX951" s="838"/>
      <c r="BY951" s="838"/>
      <c r="BZ951" s="838"/>
      <c r="CA951" s="838"/>
      <c r="CB951" s="838"/>
      <c r="CC951" s="838"/>
      <c r="CD951" s="838"/>
      <c r="CE951" s="838"/>
      <c r="CF951" s="838"/>
      <c r="CG951" s="838"/>
      <c r="CH951" s="838"/>
      <c r="CI951" s="838"/>
      <c r="CJ951" s="838"/>
      <c r="CK951" s="838"/>
      <c r="CL951" s="838"/>
      <c r="CM951" s="838"/>
      <c r="CN951" s="838"/>
      <c r="CO951" s="838"/>
      <c r="CP951" s="838"/>
      <c r="CQ951" s="838"/>
      <c r="CR951" s="838"/>
      <c r="CS951" s="838"/>
      <c r="CT951" s="838"/>
      <c r="CU951" s="838"/>
    </row>
    <row r="952">
      <c r="A952" s="834"/>
      <c r="B952" s="834"/>
      <c r="C952" s="834"/>
      <c r="D952" s="834"/>
      <c r="E952" s="834"/>
      <c r="F952" s="834"/>
      <c r="G952" s="834"/>
      <c r="H952" s="834"/>
      <c r="I952" s="834"/>
      <c r="J952" s="834"/>
      <c r="K952" s="834"/>
      <c r="L952" s="834"/>
      <c r="M952" s="834"/>
      <c r="N952" s="834"/>
      <c r="O952" s="834"/>
      <c r="P952" s="834"/>
      <c r="Q952" s="834"/>
      <c r="R952" s="834"/>
      <c r="S952" s="834"/>
      <c r="T952" s="834"/>
      <c r="U952" s="834"/>
      <c r="V952" s="834"/>
      <c r="W952" s="834"/>
      <c r="X952" s="834"/>
      <c r="Y952" s="834"/>
      <c r="Z952" s="834"/>
      <c r="AA952" s="834"/>
      <c r="AB952" s="834"/>
      <c r="AC952" s="834"/>
      <c r="AD952" s="834"/>
      <c r="AE952" s="834"/>
      <c r="AF952" s="834"/>
      <c r="AG952" s="834"/>
      <c r="AH952" s="834"/>
      <c r="AJ952" s="836"/>
      <c r="AK952" s="836"/>
      <c r="AL952" s="836"/>
      <c r="AM952" s="836"/>
      <c r="AN952" s="836"/>
      <c r="AO952" s="836"/>
      <c r="AP952" s="836"/>
      <c r="AQ952" s="836"/>
      <c r="AR952" s="836"/>
      <c r="AS952" s="836"/>
      <c r="AT952" s="836"/>
      <c r="AU952" s="836"/>
      <c r="AV952" s="836"/>
      <c r="AW952" s="836"/>
      <c r="AX952" s="836"/>
      <c r="AY952" s="836"/>
      <c r="AZ952" s="836"/>
      <c r="BA952" s="836"/>
      <c r="BB952" s="836"/>
      <c r="BC952" s="836"/>
      <c r="BD952" s="836"/>
      <c r="BE952" s="836"/>
      <c r="BF952" s="836"/>
      <c r="BG952" s="836"/>
      <c r="BH952" s="836"/>
      <c r="BI952" s="836"/>
      <c r="BJ952" s="836"/>
      <c r="BK952" s="836"/>
      <c r="BL952" s="836"/>
      <c r="BM952" s="836"/>
      <c r="BN952" s="836"/>
      <c r="BO952" s="836"/>
      <c r="BP952" s="836"/>
      <c r="BR952" s="838"/>
      <c r="BS952" s="838"/>
      <c r="BT952" s="838"/>
      <c r="BU952" s="838"/>
      <c r="BV952" s="838"/>
      <c r="BW952" s="838"/>
      <c r="BX952" s="838"/>
      <c r="BY952" s="838"/>
      <c r="BZ952" s="838"/>
      <c r="CA952" s="838"/>
      <c r="CB952" s="838"/>
      <c r="CC952" s="838"/>
      <c r="CD952" s="838"/>
      <c r="CE952" s="838"/>
      <c r="CF952" s="838"/>
      <c r="CG952" s="838"/>
      <c r="CH952" s="838"/>
      <c r="CI952" s="838"/>
      <c r="CJ952" s="838"/>
      <c r="CK952" s="838"/>
      <c r="CL952" s="838"/>
      <c r="CM952" s="838"/>
      <c r="CN952" s="838"/>
      <c r="CO952" s="838"/>
      <c r="CP952" s="838"/>
      <c r="CQ952" s="838"/>
      <c r="CR952" s="838"/>
      <c r="CS952" s="838"/>
      <c r="CT952" s="838"/>
      <c r="CU952" s="838"/>
    </row>
    <row r="953">
      <c r="A953" s="834"/>
      <c r="B953" s="834"/>
      <c r="C953" s="834"/>
      <c r="D953" s="834"/>
      <c r="E953" s="834"/>
      <c r="F953" s="834"/>
      <c r="G953" s="834"/>
      <c r="H953" s="834"/>
      <c r="I953" s="834"/>
      <c r="J953" s="834"/>
      <c r="K953" s="834"/>
      <c r="L953" s="834"/>
      <c r="M953" s="834"/>
      <c r="N953" s="834"/>
      <c r="O953" s="834"/>
      <c r="P953" s="834"/>
      <c r="Q953" s="834"/>
      <c r="R953" s="834"/>
      <c r="S953" s="834"/>
      <c r="T953" s="834"/>
      <c r="U953" s="834"/>
      <c r="V953" s="834"/>
      <c r="W953" s="834"/>
      <c r="X953" s="834"/>
      <c r="Y953" s="834"/>
      <c r="Z953" s="834"/>
      <c r="AA953" s="834"/>
      <c r="AB953" s="834"/>
      <c r="AC953" s="834"/>
      <c r="AD953" s="834"/>
      <c r="AE953" s="834"/>
      <c r="AF953" s="834"/>
      <c r="AG953" s="834"/>
      <c r="AH953" s="834"/>
      <c r="AJ953" s="836"/>
      <c r="AK953" s="836"/>
      <c r="AL953" s="836"/>
      <c r="AM953" s="836"/>
      <c r="AN953" s="836"/>
      <c r="AO953" s="836"/>
      <c r="AP953" s="836"/>
      <c r="AQ953" s="836"/>
      <c r="AR953" s="836"/>
      <c r="AS953" s="836"/>
      <c r="AT953" s="836"/>
      <c r="AU953" s="836"/>
      <c r="AV953" s="836"/>
      <c r="AW953" s="836"/>
      <c r="AX953" s="836"/>
      <c r="AY953" s="836"/>
      <c r="AZ953" s="836"/>
      <c r="BA953" s="836"/>
      <c r="BB953" s="836"/>
      <c r="BC953" s="836"/>
      <c r="BD953" s="836"/>
      <c r="BE953" s="836"/>
      <c r="BF953" s="836"/>
      <c r="BG953" s="836"/>
      <c r="BH953" s="836"/>
      <c r="BI953" s="836"/>
      <c r="BJ953" s="836"/>
      <c r="BK953" s="836"/>
      <c r="BL953" s="836"/>
      <c r="BM953" s="836"/>
      <c r="BN953" s="836"/>
      <c r="BO953" s="836"/>
      <c r="BP953" s="836"/>
      <c r="BR953" s="838"/>
      <c r="BS953" s="838"/>
      <c r="BT953" s="838"/>
      <c r="BU953" s="838"/>
      <c r="BV953" s="838"/>
      <c r="BW953" s="838"/>
      <c r="BX953" s="838"/>
      <c r="BY953" s="838"/>
      <c r="BZ953" s="838"/>
      <c r="CA953" s="838"/>
      <c r="CB953" s="838"/>
      <c r="CC953" s="838"/>
      <c r="CD953" s="838"/>
      <c r="CE953" s="838"/>
      <c r="CF953" s="838"/>
      <c r="CG953" s="838"/>
      <c r="CH953" s="838"/>
      <c r="CI953" s="838"/>
      <c r="CJ953" s="838"/>
      <c r="CK953" s="838"/>
      <c r="CL953" s="838"/>
      <c r="CM953" s="838"/>
      <c r="CN953" s="838"/>
      <c r="CO953" s="838"/>
      <c r="CP953" s="838"/>
      <c r="CQ953" s="838"/>
      <c r="CR953" s="838"/>
      <c r="CS953" s="838"/>
      <c r="CT953" s="838"/>
      <c r="CU953" s="838"/>
    </row>
    <row r="954">
      <c r="A954" s="834"/>
      <c r="B954" s="834"/>
      <c r="C954" s="834"/>
      <c r="D954" s="834"/>
      <c r="E954" s="834"/>
      <c r="F954" s="834"/>
      <c r="G954" s="834"/>
      <c r="H954" s="834"/>
      <c r="I954" s="834"/>
      <c r="J954" s="834"/>
      <c r="K954" s="834"/>
      <c r="L954" s="834"/>
      <c r="M954" s="834"/>
      <c r="N954" s="834"/>
      <c r="O954" s="834"/>
      <c r="P954" s="834"/>
      <c r="Q954" s="834"/>
      <c r="R954" s="834"/>
      <c r="S954" s="834"/>
      <c r="T954" s="834"/>
      <c r="U954" s="834"/>
      <c r="V954" s="834"/>
      <c r="W954" s="834"/>
      <c r="X954" s="834"/>
      <c r="Y954" s="834"/>
      <c r="Z954" s="834"/>
      <c r="AA954" s="834"/>
      <c r="AB954" s="834"/>
      <c r="AC954" s="834"/>
      <c r="AD954" s="834"/>
      <c r="AE954" s="834"/>
      <c r="AF954" s="834"/>
      <c r="AG954" s="834"/>
      <c r="AH954" s="834"/>
      <c r="AJ954" s="836"/>
      <c r="AK954" s="836"/>
      <c r="AL954" s="836"/>
      <c r="AM954" s="836"/>
      <c r="AN954" s="836"/>
      <c r="AO954" s="836"/>
      <c r="AP954" s="836"/>
      <c r="AQ954" s="836"/>
      <c r="AR954" s="836"/>
      <c r="AS954" s="836"/>
      <c r="AT954" s="836"/>
      <c r="AU954" s="836"/>
      <c r="AV954" s="836"/>
      <c r="AW954" s="836"/>
      <c r="AX954" s="836"/>
      <c r="AY954" s="836"/>
      <c r="AZ954" s="836"/>
      <c r="BA954" s="836"/>
      <c r="BB954" s="836"/>
      <c r="BC954" s="836"/>
      <c r="BD954" s="836"/>
      <c r="BE954" s="836"/>
      <c r="BF954" s="836"/>
      <c r="BG954" s="836"/>
      <c r="BH954" s="836"/>
      <c r="BI954" s="836"/>
      <c r="BJ954" s="836"/>
      <c r="BK954" s="836"/>
      <c r="BL954" s="836"/>
      <c r="BM954" s="836"/>
      <c r="BN954" s="836"/>
      <c r="BO954" s="836"/>
      <c r="BP954" s="836"/>
      <c r="BR954" s="838"/>
      <c r="BS954" s="838"/>
      <c r="BT954" s="838"/>
      <c r="BU954" s="838"/>
      <c r="BV954" s="838"/>
      <c r="BW954" s="838"/>
      <c r="BX954" s="838"/>
      <c r="BY954" s="838"/>
      <c r="BZ954" s="838"/>
      <c r="CA954" s="838"/>
      <c r="CB954" s="838"/>
      <c r="CC954" s="838"/>
      <c r="CD954" s="838"/>
      <c r="CE954" s="838"/>
      <c r="CF954" s="838"/>
      <c r="CG954" s="838"/>
      <c r="CH954" s="838"/>
      <c r="CI954" s="838"/>
      <c r="CJ954" s="838"/>
      <c r="CK954" s="838"/>
      <c r="CL954" s="838"/>
      <c r="CM954" s="838"/>
      <c r="CN954" s="838"/>
      <c r="CO954" s="838"/>
      <c r="CP954" s="838"/>
      <c r="CQ954" s="838"/>
      <c r="CR954" s="838"/>
      <c r="CS954" s="838"/>
      <c r="CT954" s="838"/>
      <c r="CU954" s="838"/>
    </row>
    <row r="955">
      <c r="A955" s="834"/>
      <c r="B955" s="834"/>
      <c r="C955" s="834"/>
      <c r="D955" s="834"/>
      <c r="E955" s="834"/>
      <c r="F955" s="834"/>
      <c r="G955" s="834"/>
      <c r="H955" s="834"/>
      <c r="I955" s="834"/>
      <c r="J955" s="834"/>
      <c r="K955" s="834"/>
      <c r="L955" s="834"/>
      <c r="M955" s="834"/>
      <c r="N955" s="834"/>
      <c r="O955" s="834"/>
      <c r="P955" s="834"/>
      <c r="Q955" s="834"/>
      <c r="R955" s="834"/>
      <c r="S955" s="834"/>
      <c r="T955" s="834"/>
      <c r="U955" s="834"/>
      <c r="V955" s="834"/>
      <c r="W955" s="834"/>
      <c r="X955" s="834"/>
      <c r="Y955" s="834"/>
      <c r="Z955" s="834"/>
      <c r="AA955" s="834"/>
      <c r="AB955" s="834"/>
      <c r="AC955" s="834"/>
      <c r="AD955" s="834"/>
      <c r="AE955" s="834"/>
      <c r="AF955" s="834"/>
      <c r="AG955" s="834"/>
      <c r="AH955" s="834"/>
      <c r="AJ955" s="836"/>
      <c r="AK955" s="836"/>
      <c r="AL955" s="836"/>
      <c r="AM955" s="836"/>
      <c r="AN955" s="836"/>
      <c r="AO955" s="836"/>
      <c r="AP955" s="836"/>
      <c r="AQ955" s="836"/>
      <c r="AR955" s="836"/>
      <c r="AS955" s="836"/>
      <c r="AT955" s="836"/>
      <c r="AU955" s="836"/>
      <c r="AV955" s="836"/>
      <c r="AW955" s="836"/>
      <c r="AX955" s="836"/>
      <c r="AY955" s="836"/>
      <c r="AZ955" s="836"/>
      <c r="BA955" s="836"/>
      <c r="BB955" s="836"/>
      <c r="BC955" s="836"/>
      <c r="BD955" s="836"/>
      <c r="BE955" s="836"/>
      <c r="BF955" s="836"/>
      <c r="BG955" s="836"/>
      <c r="BH955" s="836"/>
      <c r="BI955" s="836"/>
      <c r="BJ955" s="836"/>
      <c r="BK955" s="836"/>
      <c r="BL955" s="836"/>
      <c r="BM955" s="836"/>
      <c r="BN955" s="836"/>
      <c r="BO955" s="836"/>
      <c r="BP955" s="836"/>
      <c r="BR955" s="838"/>
      <c r="BS955" s="838"/>
      <c r="BT955" s="838"/>
      <c r="BU955" s="838"/>
      <c r="BV955" s="838"/>
      <c r="BW955" s="838"/>
      <c r="BX955" s="838"/>
      <c r="BY955" s="838"/>
      <c r="BZ955" s="838"/>
      <c r="CA955" s="838"/>
      <c r="CB955" s="838"/>
      <c r="CC955" s="838"/>
      <c r="CD955" s="838"/>
      <c r="CE955" s="838"/>
      <c r="CF955" s="838"/>
      <c r="CG955" s="838"/>
      <c r="CH955" s="838"/>
      <c r="CI955" s="838"/>
      <c r="CJ955" s="838"/>
      <c r="CK955" s="838"/>
      <c r="CL955" s="838"/>
      <c r="CM955" s="838"/>
      <c r="CN955" s="838"/>
      <c r="CO955" s="838"/>
      <c r="CP955" s="838"/>
      <c r="CQ955" s="838"/>
      <c r="CR955" s="838"/>
      <c r="CS955" s="838"/>
      <c r="CT955" s="838"/>
      <c r="CU955" s="838"/>
    </row>
    <row r="956">
      <c r="A956" s="834"/>
      <c r="B956" s="834"/>
      <c r="C956" s="834"/>
      <c r="D956" s="834"/>
      <c r="E956" s="834"/>
      <c r="F956" s="834"/>
      <c r="G956" s="834"/>
      <c r="H956" s="834"/>
      <c r="I956" s="834"/>
      <c r="J956" s="834"/>
      <c r="K956" s="834"/>
      <c r="L956" s="834"/>
      <c r="M956" s="834"/>
      <c r="N956" s="834"/>
      <c r="O956" s="834"/>
      <c r="P956" s="834"/>
      <c r="Q956" s="834"/>
      <c r="R956" s="834"/>
      <c r="S956" s="834"/>
      <c r="T956" s="834"/>
      <c r="U956" s="834"/>
      <c r="V956" s="834"/>
      <c r="W956" s="834"/>
      <c r="X956" s="834"/>
      <c r="Y956" s="834"/>
      <c r="Z956" s="834"/>
      <c r="AA956" s="834"/>
      <c r="AB956" s="834"/>
      <c r="AC956" s="834"/>
      <c r="AD956" s="834"/>
      <c r="AE956" s="834"/>
      <c r="AF956" s="834"/>
      <c r="AG956" s="834"/>
      <c r="AH956" s="834"/>
      <c r="AJ956" s="836"/>
      <c r="AK956" s="836"/>
      <c r="AL956" s="836"/>
      <c r="AM956" s="836"/>
      <c r="AN956" s="836"/>
      <c r="AO956" s="836"/>
      <c r="AP956" s="836"/>
      <c r="AQ956" s="836"/>
      <c r="AR956" s="836"/>
      <c r="AS956" s="836"/>
      <c r="AT956" s="836"/>
      <c r="AU956" s="836"/>
      <c r="AV956" s="836"/>
      <c r="AW956" s="836"/>
      <c r="AX956" s="836"/>
      <c r="AY956" s="836"/>
      <c r="AZ956" s="836"/>
      <c r="BA956" s="836"/>
      <c r="BB956" s="836"/>
      <c r="BC956" s="836"/>
      <c r="BD956" s="836"/>
      <c r="BE956" s="836"/>
      <c r="BF956" s="836"/>
      <c r="BG956" s="836"/>
      <c r="BH956" s="836"/>
      <c r="BI956" s="836"/>
      <c r="BJ956" s="836"/>
      <c r="BK956" s="836"/>
      <c r="BL956" s="836"/>
      <c r="BM956" s="836"/>
      <c r="BN956" s="836"/>
      <c r="BO956" s="836"/>
      <c r="BP956" s="836"/>
      <c r="BR956" s="838"/>
      <c r="BS956" s="838"/>
      <c r="BT956" s="838"/>
      <c r="BU956" s="838"/>
      <c r="BV956" s="838"/>
      <c r="BW956" s="838"/>
      <c r="BX956" s="838"/>
      <c r="BY956" s="838"/>
      <c r="BZ956" s="838"/>
      <c r="CA956" s="838"/>
      <c r="CB956" s="838"/>
      <c r="CC956" s="838"/>
      <c r="CD956" s="838"/>
      <c r="CE956" s="838"/>
      <c r="CF956" s="838"/>
      <c r="CG956" s="838"/>
      <c r="CH956" s="838"/>
      <c r="CI956" s="838"/>
      <c r="CJ956" s="838"/>
      <c r="CK956" s="838"/>
      <c r="CL956" s="838"/>
      <c r="CM956" s="838"/>
      <c r="CN956" s="838"/>
      <c r="CO956" s="838"/>
      <c r="CP956" s="838"/>
      <c r="CQ956" s="838"/>
      <c r="CR956" s="838"/>
      <c r="CS956" s="838"/>
      <c r="CT956" s="838"/>
      <c r="CU956" s="838"/>
    </row>
    <row r="957">
      <c r="A957" s="834"/>
      <c r="B957" s="834"/>
      <c r="C957" s="834"/>
      <c r="D957" s="834"/>
      <c r="E957" s="834"/>
      <c r="F957" s="834"/>
      <c r="G957" s="834"/>
      <c r="H957" s="834"/>
      <c r="I957" s="834"/>
      <c r="J957" s="834"/>
      <c r="K957" s="834"/>
      <c r="L957" s="834"/>
      <c r="M957" s="834"/>
      <c r="N957" s="834"/>
      <c r="O957" s="834"/>
      <c r="P957" s="834"/>
      <c r="Q957" s="834"/>
      <c r="R957" s="834"/>
      <c r="S957" s="834"/>
      <c r="T957" s="834"/>
      <c r="U957" s="834"/>
      <c r="V957" s="834"/>
      <c r="W957" s="834"/>
      <c r="X957" s="834"/>
      <c r="Y957" s="834"/>
      <c r="Z957" s="834"/>
      <c r="AA957" s="834"/>
      <c r="AB957" s="834"/>
      <c r="AC957" s="834"/>
      <c r="AD957" s="834"/>
      <c r="AE957" s="834"/>
      <c r="AF957" s="834"/>
      <c r="AG957" s="834"/>
      <c r="AH957" s="834"/>
      <c r="AJ957" s="836"/>
      <c r="AK957" s="836"/>
      <c r="AL957" s="836"/>
      <c r="AM957" s="836"/>
      <c r="AN957" s="836"/>
      <c r="AO957" s="836"/>
      <c r="AP957" s="836"/>
      <c r="AQ957" s="836"/>
      <c r="AR957" s="836"/>
      <c r="AS957" s="836"/>
      <c r="AT957" s="836"/>
      <c r="AU957" s="836"/>
      <c r="AV957" s="836"/>
      <c r="AW957" s="836"/>
      <c r="AX957" s="836"/>
      <c r="AY957" s="836"/>
      <c r="AZ957" s="836"/>
      <c r="BA957" s="836"/>
      <c r="BB957" s="836"/>
      <c r="BC957" s="836"/>
      <c r="BD957" s="836"/>
      <c r="BE957" s="836"/>
      <c r="BF957" s="836"/>
      <c r="BG957" s="836"/>
      <c r="BH957" s="836"/>
      <c r="BI957" s="836"/>
      <c r="BJ957" s="836"/>
      <c r="BK957" s="836"/>
      <c r="BL957" s="836"/>
      <c r="BM957" s="836"/>
      <c r="BN957" s="836"/>
      <c r="BO957" s="836"/>
      <c r="BP957" s="836"/>
      <c r="BR957" s="838"/>
      <c r="BS957" s="838"/>
      <c r="BT957" s="838"/>
      <c r="BU957" s="838"/>
      <c r="BV957" s="838"/>
      <c r="BW957" s="838"/>
      <c r="BX957" s="838"/>
      <c r="BY957" s="838"/>
      <c r="BZ957" s="838"/>
      <c r="CA957" s="838"/>
      <c r="CB957" s="838"/>
      <c r="CC957" s="838"/>
      <c r="CD957" s="838"/>
      <c r="CE957" s="838"/>
      <c r="CF957" s="838"/>
      <c r="CG957" s="838"/>
      <c r="CH957" s="838"/>
      <c r="CI957" s="838"/>
      <c r="CJ957" s="838"/>
      <c r="CK957" s="838"/>
      <c r="CL957" s="838"/>
      <c r="CM957" s="838"/>
      <c r="CN957" s="838"/>
      <c r="CO957" s="838"/>
      <c r="CP957" s="838"/>
      <c r="CQ957" s="838"/>
      <c r="CR957" s="838"/>
      <c r="CS957" s="838"/>
      <c r="CT957" s="838"/>
      <c r="CU957" s="838"/>
    </row>
    <row r="958">
      <c r="A958" s="834"/>
      <c r="B958" s="834"/>
      <c r="C958" s="834"/>
      <c r="D958" s="834"/>
      <c r="E958" s="834"/>
      <c r="F958" s="834"/>
      <c r="G958" s="834"/>
      <c r="H958" s="834"/>
      <c r="I958" s="834"/>
      <c r="J958" s="834"/>
      <c r="K958" s="834"/>
      <c r="L958" s="834"/>
      <c r="M958" s="834"/>
      <c r="N958" s="834"/>
      <c r="O958" s="834"/>
      <c r="P958" s="834"/>
      <c r="Q958" s="834"/>
      <c r="R958" s="834"/>
      <c r="S958" s="834"/>
      <c r="T958" s="834"/>
      <c r="U958" s="834"/>
      <c r="V958" s="834"/>
      <c r="W958" s="834"/>
      <c r="X958" s="834"/>
      <c r="Y958" s="834"/>
      <c r="Z958" s="834"/>
      <c r="AA958" s="834"/>
      <c r="AB958" s="834"/>
      <c r="AC958" s="834"/>
      <c r="AD958" s="834"/>
      <c r="AE958" s="834"/>
      <c r="AF958" s="834"/>
      <c r="AG958" s="834"/>
      <c r="AH958" s="834"/>
      <c r="AJ958" s="836"/>
      <c r="AK958" s="836"/>
      <c r="AL958" s="836"/>
      <c r="AM958" s="836"/>
      <c r="AN958" s="836"/>
      <c r="AO958" s="836"/>
      <c r="AP958" s="836"/>
      <c r="AQ958" s="836"/>
      <c r="AR958" s="836"/>
      <c r="AS958" s="836"/>
      <c r="AT958" s="836"/>
      <c r="AU958" s="836"/>
      <c r="AV958" s="836"/>
      <c r="AW958" s="836"/>
      <c r="AX958" s="836"/>
      <c r="AY958" s="836"/>
      <c r="AZ958" s="836"/>
      <c r="BA958" s="836"/>
      <c r="BB958" s="836"/>
      <c r="BC958" s="836"/>
      <c r="BD958" s="836"/>
      <c r="BE958" s="836"/>
      <c r="BF958" s="836"/>
      <c r="BG958" s="836"/>
      <c r="BH958" s="836"/>
      <c r="BI958" s="836"/>
      <c r="BJ958" s="836"/>
      <c r="BK958" s="836"/>
      <c r="BL958" s="836"/>
      <c r="BM958" s="836"/>
      <c r="BN958" s="836"/>
      <c r="BO958" s="836"/>
      <c r="BP958" s="836"/>
      <c r="BR958" s="838"/>
      <c r="BS958" s="838"/>
      <c r="BT958" s="838"/>
      <c r="BU958" s="838"/>
      <c r="BV958" s="838"/>
      <c r="BW958" s="838"/>
      <c r="BX958" s="838"/>
      <c r="BY958" s="838"/>
      <c r="BZ958" s="838"/>
      <c r="CA958" s="838"/>
      <c r="CB958" s="838"/>
      <c r="CC958" s="838"/>
      <c r="CD958" s="838"/>
      <c r="CE958" s="838"/>
      <c r="CF958" s="838"/>
      <c r="CG958" s="838"/>
      <c r="CH958" s="838"/>
      <c r="CI958" s="838"/>
      <c r="CJ958" s="838"/>
      <c r="CK958" s="838"/>
      <c r="CL958" s="838"/>
      <c r="CM958" s="838"/>
      <c r="CN958" s="838"/>
      <c r="CO958" s="838"/>
      <c r="CP958" s="838"/>
      <c r="CQ958" s="838"/>
      <c r="CR958" s="838"/>
      <c r="CS958" s="838"/>
      <c r="CT958" s="838"/>
      <c r="CU958" s="838"/>
    </row>
    <row r="959">
      <c r="A959" s="834"/>
      <c r="B959" s="834"/>
      <c r="C959" s="834"/>
      <c r="D959" s="834"/>
      <c r="E959" s="834"/>
      <c r="F959" s="834"/>
      <c r="G959" s="834"/>
      <c r="H959" s="834"/>
      <c r="I959" s="834"/>
      <c r="J959" s="834"/>
      <c r="K959" s="834"/>
      <c r="L959" s="834"/>
      <c r="M959" s="834"/>
      <c r="N959" s="834"/>
      <c r="O959" s="834"/>
      <c r="P959" s="834"/>
      <c r="Q959" s="834"/>
      <c r="R959" s="834"/>
      <c r="S959" s="834"/>
      <c r="T959" s="834"/>
      <c r="U959" s="834"/>
      <c r="V959" s="834"/>
      <c r="W959" s="834"/>
      <c r="X959" s="834"/>
      <c r="Y959" s="834"/>
      <c r="Z959" s="834"/>
      <c r="AA959" s="834"/>
      <c r="AB959" s="834"/>
      <c r="AC959" s="834"/>
      <c r="AD959" s="834"/>
      <c r="AE959" s="834"/>
      <c r="AF959" s="834"/>
      <c r="AG959" s="834"/>
      <c r="AH959" s="834"/>
      <c r="AJ959" s="836"/>
      <c r="AK959" s="836"/>
      <c r="AL959" s="836"/>
      <c r="AM959" s="836"/>
      <c r="AN959" s="836"/>
      <c r="AO959" s="836"/>
      <c r="AP959" s="836"/>
      <c r="AQ959" s="836"/>
      <c r="AR959" s="836"/>
      <c r="AS959" s="836"/>
      <c r="AT959" s="836"/>
      <c r="AU959" s="836"/>
      <c r="AV959" s="836"/>
      <c r="AW959" s="836"/>
      <c r="AX959" s="836"/>
      <c r="AY959" s="836"/>
      <c r="AZ959" s="836"/>
      <c r="BA959" s="836"/>
      <c r="BB959" s="836"/>
      <c r="BC959" s="836"/>
      <c r="BD959" s="836"/>
      <c r="BE959" s="836"/>
      <c r="BF959" s="836"/>
      <c r="BG959" s="836"/>
      <c r="BH959" s="836"/>
      <c r="BI959" s="836"/>
      <c r="BJ959" s="836"/>
      <c r="BK959" s="836"/>
      <c r="BL959" s="836"/>
      <c r="BM959" s="836"/>
      <c r="BN959" s="836"/>
      <c r="BO959" s="836"/>
      <c r="BP959" s="836"/>
      <c r="BR959" s="838"/>
      <c r="BS959" s="838"/>
      <c r="BT959" s="838"/>
      <c r="BU959" s="838"/>
      <c r="BV959" s="838"/>
      <c r="BW959" s="838"/>
      <c r="BX959" s="838"/>
      <c r="BY959" s="838"/>
      <c r="BZ959" s="838"/>
      <c r="CA959" s="838"/>
      <c r="CB959" s="838"/>
      <c r="CC959" s="838"/>
      <c r="CD959" s="838"/>
      <c r="CE959" s="838"/>
      <c r="CF959" s="838"/>
      <c r="CG959" s="838"/>
      <c r="CH959" s="838"/>
      <c r="CI959" s="838"/>
      <c r="CJ959" s="838"/>
      <c r="CK959" s="838"/>
      <c r="CL959" s="838"/>
      <c r="CM959" s="838"/>
      <c r="CN959" s="838"/>
      <c r="CO959" s="838"/>
      <c r="CP959" s="838"/>
      <c r="CQ959" s="838"/>
      <c r="CR959" s="838"/>
      <c r="CS959" s="838"/>
      <c r="CT959" s="838"/>
      <c r="CU959" s="838"/>
    </row>
    <row r="960">
      <c r="A960" s="834"/>
      <c r="B960" s="834"/>
      <c r="C960" s="834"/>
      <c r="D960" s="834"/>
      <c r="E960" s="834"/>
      <c r="F960" s="834"/>
      <c r="G960" s="834"/>
      <c r="H960" s="834"/>
      <c r="I960" s="834"/>
      <c r="J960" s="834"/>
      <c r="K960" s="834"/>
      <c r="L960" s="834"/>
      <c r="M960" s="834"/>
      <c r="N960" s="834"/>
      <c r="O960" s="834"/>
      <c r="P960" s="834"/>
      <c r="Q960" s="834"/>
      <c r="R960" s="834"/>
      <c r="S960" s="834"/>
      <c r="T960" s="834"/>
      <c r="U960" s="834"/>
      <c r="V960" s="834"/>
      <c r="W960" s="834"/>
      <c r="X960" s="834"/>
      <c r="Y960" s="834"/>
      <c r="Z960" s="834"/>
      <c r="AA960" s="834"/>
      <c r="AB960" s="834"/>
      <c r="AC960" s="834"/>
      <c r="AD960" s="834"/>
      <c r="AE960" s="834"/>
      <c r="AF960" s="834"/>
      <c r="AG960" s="834"/>
      <c r="AH960" s="834"/>
      <c r="AJ960" s="836"/>
      <c r="AK960" s="836"/>
      <c r="AL960" s="836"/>
      <c r="AM960" s="836"/>
      <c r="AN960" s="836"/>
      <c r="AO960" s="836"/>
      <c r="AP960" s="836"/>
      <c r="AQ960" s="836"/>
      <c r="AR960" s="836"/>
      <c r="AS960" s="836"/>
      <c r="AT960" s="836"/>
      <c r="AU960" s="836"/>
      <c r="AV960" s="836"/>
      <c r="AW960" s="836"/>
      <c r="AX960" s="836"/>
      <c r="AY960" s="836"/>
      <c r="AZ960" s="836"/>
      <c r="BA960" s="836"/>
      <c r="BB960" s="836"/>
      <c r="BC960" s="836"/>
      <c r="BD960" s="836"/>
      <c r="BE960" s="836"/>
      <c r="BF960" s="836"/>
      <c r="BG960" s="836"/>
      <c r="BH960" s="836"/>
      <c r="BI960" s="836"/>
      <c r="BJ960" s="836"/>
      <c r="BK960" s="836"/>
      <c r="BL960" s="836"/>
      <c r="BM960" s="836"/>
      <c r="BN960" s="836"/>
      <c r="BO960" s="836"/>
      <c r="BP960" s="836"/>
      <c r="BR960" s="838"/>
      <c r="BS960" s="838"/>
      <c r="BT960" s="838"/>
      <c r="BU960" s="838"/>
      <c r="BV960" s="838"/>
      <c r="BW960" s="838"/>
      <c r="BX960" s="838"/>
      <c r="BY960" s="838"/>
      <c r="BZ960" s="838"/>
      <c r="CA960" s="838"/>
      <c r="CB960" s="838"/>
      <c r="CC960" s="838"/>
      <c r="CD960" s="838"/>
      <c r="CE960" s="838"/>
      <c r="CF960" s="838"/>
      <c r="CG960" s="838"/>
      <c r="CH960" s="838"/>
      <c r="CI960" s="838"/>
      <c r="CJ960" s="838"/>
      <c r="CK960" s="838"/>
      <c r="CL960" s="838"/>
      <c r="CM960" s="838"/>
      <c r="CN960" s="838"/>
      <c r="CO960" s="838"/>
      <c r="CP960" s="838"/>
      <c r="CQ960" s="838"/>
      <c r="CR960" s="838"/>
      <c r="CS960" s="838"/>
      <c r="CT960" s="838"/>
      <c r="CU960" s="838"/>
    </row>
    <row r="961">
      <c r="A961" s="834"/>
      <c r="B961" s="834"/>
      <c r="C961" s="834"/>
      <c r="D961" s="834"/>
      <c r="E961" s="834"/>
      <c r="F961" s="834"/>
      <c r="G961" s="834"/>
      <c r="H961" s="834"/>
      <c r="I961" s="834"/>
      <c r="J961" s="834"/>
      <c r="K961" s="834"/>
      <c r="L961" s="834"/>
      <c r="M961" s="834"/>
      <c r="N961" s="834"/>
      <c r="O961" s="834"/>
      <c r="P961" s="834"/>
      <c r="Q961" s="834"/>
      <c r="R961" s="834"/>
      <c r="S961" s="834"/>
      <c r="T961" s="834"/>
      <c r="U961" s="834"/>
      <c r="V961" s="834"/>
      <c r="W961" s="834"/>
      <c r="X961" s="834"/>
      <c r="Y961" s="834"/>
      <c r="Z961" s="834"/>
      <c r="AA961" s="834"/>
      <c r="AB961" s="834"/>
      <c r="AC961" s="834"/>
      <c r="AD961" s="834"/>
      <c r="AE961" s="834"/>
      <c r="AF961" s="834"/>
      <c r="AG961" s="834"/>
      <c r="AH961" s="834"/>
      <c r="AJ961" s="836"/>
      <c r="AK961" s="836"/>
      <c r="AL961" s="836"/>
      <c r="AM961" s="836"/>
      <c r="AN961" s="836"/>
      <c r="AO961" s="836"/>
      <c r="AP961" s="836"/>
      <c r="AQ961" s="836"/>
      <c r="AR961" s="836"/>
      <c r="AS961" s="836"/>
      <c r="AT961" s="836"/>
      <c r="AU961" s="836"/>
      <c r="AV961" s="836"/>
      <c r="AW961" s="836"/>
      <c r="AX961" s="836"/>
      <c r="AY961" s="836"/>
      <c r="AZ961" s="836"/>
      <c r="BA961" s="836"/>
      <c r="BB961" s="836"/>
      <c r="BC961" s="836"/>
      <c r="BD961" s="836"/>
      <c r="BE961" s="836"/>
      <c r="BF961" s="836"/>
      <c r="BG961" s="836"/>
      <c r="BH961" s="836"/>
      <c r="BI961" s="836"/>
      <c r="BJ961" s="836"/>
      <c r="BK961" s="836"/>
      <c r="BL961" s="836"/>
      <c r="BM961" s="836"/>
      <c r="BN961" s="836"/>
      <c r="BO961" s="836"/>
      <c r="BP961" s="836"/>
      <c r="BR961" s="838"/>
      <c r="BS961" s="838"/>
      <c r="BT961" s="838"/>
      <c r="BU961" s="838"/>
      <c r="BV961" s="838"/>
      <c r="BW961" s="838"/>
      <c r="BX961" s="838"/>
      <c r="BY961" s="838"/>
      <c r="BZ961" s="838"/>
      <c r="CA961" s="838"/>
      <c r="CB961" s="838"/>
      <c r="CC961" s="838"/>
      <c r="CD961" s="838"/>
      <c r="CE961" s="838"/>
      <c r="CF961" s="838"/>
      <c r="CG961" s="838"/>
      <c r="CH961" s="838"/>
      <c r="CI961" s="838"/>
      <c r="CJ961" s="838"/>
      <c r="CK961" s="838"/>
      <c r="CL961" s="838"/>
      <c r="CM961" s="838"/>
      <c r="CN961" s="838"/>
      <c r="CO961" s="838"/>
      <c r="CP961" s="838"/>
      <c r="CQ961" s="838"/>
      <c r="CR961" s="838"/>
      <c r="CS961" s="838"/>
      <c r="CT961" s="838"/>
      <c r="CU961" s="838"/>
    </row>
    <row r="962">
      <c r="A962" s="834"/>
      <c r="B962" s="834"/>
      <c r="C962" s="834"/>
      <c r="D962" s="834"/>
      <c r="E962" s="834"/>
      <c r="F962" s="834"/>
      <c r="G962" s="834"/>
      <c r="H962" s="834"/>
      <c r="I962" s="834"/>
      <c r="J962" s="834"/>
      <c r="K962" s="834"/>
      <c r="L962" s="834"/>
      <c r="M962" s="834"/>
      <c r="N962" s="834"/>
      <c r="O962" s="834"/>
      <c r="P962" s="834"/>
      <c r="Q962" s="834"/>
      <c r="R962" s="834"/>
      <c r="S962" s="834"/>
      <c r="T962" s="834"/>
      <c r="U962" s="834"/>
      <c r="V962" s="834"/>
      <c r="W962" s="834"/>
      <c r="X962" s="834"/>
      <c r="Y962" s="834"/>
      <c r="Z962" s="834"/>
      <c r="AA962" s="834"/>
      <c r="AB962" s="834"/>
      <c r="AC962" s="834"/>
      <c r="AD962" s="834"/>
      <c r="AE962" s="834"/>
      <c r="AF962" s="834"/>
      <c r="AG962" s="834"/>
      <c r="AH962" s="834"/>
      <c r="AJ962" s="836"/>
      <c r="AK962" s="836"/>
      <c r="AL962" s="836"/>
      <c r="AM962" s="836"/>
      <c r="AN962" s="836"/>
      <c r="AO962" s="836"/>
      <c r="AP962" s="836"/>
      <c r="AQ962" s="836"/>
      <c r="AR962" s="836"/>
      <c r="AS962" s="836"/>
      <c r="AT962" s="836"/>
      <c r="AU962" s="836"/>
      <c r="AV962" s="836"/>
      <c r="AW962" s="836"/>
      <c r="AX962" s="836"/>
      <c r="AY962" s="836"/>
      <c r="AZ962" s="836"/>
      <c r="BA962" s="836"/>
      <c r="BB962" s="836"/>
      <c r="BC962" s="836"/>
      <c r="BD962" s="836"/>
      <c r="BE962" s="836"/>
      <c r="BF962" s="836"/>
      <c r="BG962" s="836"/>
      <c r="BH962" s="836"/>
      <c r="BI962" s="836"/>
      <c r="BJ962" s="836"/>
      <c r="BK962" s="836"/>
      <c r="BL962" s="836"/>
      <c r="BM962" s="836"/>
      <c r="BN962" s="836"/>
      <c r="BO962" s="836"/>
      <c r="BP962" s="836"/>
      <c r="BR962" s="838"/>
      <c r="BS962" s="838"/>
      <c r="BT962" s="838"/>
      <c r="BU962" s="838"/>
      <c r="BV962" s="838"/>
      <c r="BW962" s="838"/>
      <c r="BX962" s="838"/>
      <c r="BY962" s="838"/>
      <c r="BZ962" s="838"/>
      <c r="CA962" s="838"/>
      <c r="CB962" s="838"/>
      <c r="CC962" s="838"/>
      <c r="CD962" s="838"/>
      <c r="CE962" s="838"/>
      <c r="CF962" s="838"/>
      <c r="CG962" s="838"/>
      <c r="CH962" s="838"/>
      <c r="CI962" s="838"/>
      <c r="CJ962" s="838"/>
      <c r="CK962" s="838"/>
      <c r="CL962" s="838"/>
      <c r="CM962" s="838"/>
      <c r="CN962" s="838"/>
      <c r="CO962" s="838"/>
      <c r="CP962" s="838"/>
      <c r="CQ962" s="838"/>
      <c r="CR962" s="838"/>
      <c r="CS962" s="838"/>
      <c r="CT962" s="838"/>
      <c r="CU962" s="838"/>
    </row>
    <row r="963">
      <c r="A963" s="834"/>
      <c r="B963" s="834"/>
      <c r="C963" s="834"/>
      <c r="D963" s="834"/>
      <c r="E963" s="834"/>
      <c r="F963" s="834"/>
      <c r="G963" s="834"/>
      <c r="H963" s="834"/>
      <c r="I963" s="834"/>
      <c r="J963" s="834"/>
      <c r="K963" s="834"/>
      <c r="L963" s="834"/>
      <c r="M963" s="834"/>
      <c r="N963" s="834"/>
      <c r="O963" s="834"/>
      <c r="P963" s="834"/>
      <c r="Q963" s="834"/>
      <c r="R963" s="834"/>
      <c r="S963" s="834"/>
      <c r="T963" s="834"/>
      <c r="U963" s="834"/>
      <c r="V963" s="834"/>
      <c r="W963" s="834"/>
      <c r="X963" s="834"/>
      <c r="Y963" s="834"/>
      <c r="Z963" s="834"/>
      <c r="AA963" s="834"/>
      <c r="AB963" s="834"/>
      <c r="AC963" s="834"/>
      <c r="AD963" s="834"/>
      <c r="AE963" s="834"/>
      <c r="AF963" s="834"/>
      <c r="AG963" s="834"/>
      <c r="AH963" s="834"/>
      <c r="AJ963" s="836"/>
      <c r="AK963" s="836"/>
      <c r="AL963" s="836"/>
      <c r="AM963" s="836"/>
      <c r="AN963" s="836"/>
      <c r="AO963" s="836"/>
      <c r="AP963" s="836"/>
      <c r="AQ963" s="836"/>
      <c r="AR963" s="836"/>
      <c r="AS963" s="836"/>
      <c r="AT963" s="836"/>
      <c r="AU963" s="836"/>
      <c r="AV963" s="836"/>
      <c r="AW963" s="836"/>
      <c r="AX963" s="836"/>
      <c r="AY963" s="836"/>
      <c r="AZ963" s="836"/>
      <c r="BA963" s="836"/>
      <c r="BB963" s="836"/>
      <c r="BC963" s="836"/>
      <c r="BD963" s="836"/>
      <c r="BE963" s="836"/>
      <c r="BF963" s="836"/>
      <c r="BG963" s="836"/>
      <c r="BH963" s="836"/>
      <c r="BI963" s="836"/>
      <c r="BJ963" s="836"/>
      <c r="BK963" s="836"/>
      <c r="BL963" s="836"/>
      <c r="BM963" s="836"/>
      <c r="BN963" s="836"/>
      <c r="BO963" s="836"/>
      <c r="BP963" s="836"/>
      <c r="BR963" s="838"/>
      <c r="BS963" s="838"/>
      <c r="BT963" s="838"/>
      <c r="BU963" s="838"/>
      <c r="BV963" s="838"/>
      <c r="BW963" s="838"/>
      <c r="BX963" s="838"/>
      <c r="BY963" s="838"/>
      <c r="BZ963" s="838"/>
      <c r="CA963" s="838"/>
      <c r="CB963" s="838"/>
      <c r="CC963" s="838"/>
      <c r="CD963" s="838"/>
      <c r="CE963" s="838"/>
      <c r="CF963" s="838"/>
      <c r="CG963" s="838"/>
      <c r="CH963" s="838"/>
      <c r="CI963" s="838"/>
      <c r="CJ963" s="838"/>
      <c r="CK963" s="838"/>
      <c r="CL963" s="838"/>
      <c r="CM963" s="838"/>
      <c r="CN963" s="838"/>
      <c r="CO963" s="838"/>
      <c r="CP963" s="838"/>
      <c r="CQ963" s="838"/>
      <c r="CR963" s="838"/>
      <c r="CS963" s="838"/>
      <c r="CT963" s="838"/>
      <c r="CU963" s="838"/>
    </row>
    <row r="964">
      <c r="A964" s="834"/>
      <c r="B964" s="834"/>
      <c r="C964" s="834"/>
      <c r="D964" s="834"/>
      <c r="E964" s="834"/>
      <c r="F964" s="834"/>
      <c r="G964" s="834"/>
      <c r="H964" s="834"/>
      <c r="I964" s="834"/>
      <c r="J964" s="834"/>
      <c r="K964" s="834"/>
      <c r="L964" s="834"/>
      <c r="M964" s="834"/>
      <c r="N964" s="834"/>
      <c r="O964" s="834"/>
      <c r="P964" s="834"/>
      <c r="Q964" s="834"/>
      <c r="R964" s="834"/>
      <c r="S964" s="834"/>
      <c r="T964" s="834"/>
      <c r="U964" s="834"/>
      <c r="V964" s="834"/>
      <c r="W964" s="834"/>
      <c r="X964" s="834"/>
      <c r="Y964" s="834"/>
      <c r="Z964" s="834"/>
      <c r="AA964" s="834"/>
      <c r="AB964" s="834"/>
      <c r="AC964" s="834"/>
      <c r="AD964" s="834"/>
      <c r="AE964" s="834"/>
      <c r="AF964" s="834"/>
      <c r="AG964" s="834"/>
      <c r="AH964" s="834"/>
      <c r="AJ964" s="836"/>
      <c r="AK964" s="836"/>
      <c r="AL964" s="836"/>
      <c r="AM964" s="836"/>
      <c r="AN964" s="836"/>
      <c r="AO964" s="836"/>
      <c r="AP964" s="836"/>
      <c r="AQ964" s="836"/>
      <c r="AR964" s="836"/>
      <c r="AS964" s="836"/>
      <c r="AT964" s="836"/>
      <c r="AU964" s="836"/>
      <c r="AV964" s="836"/>
      <c r="AW964" s="836"/>
      <c r="AX964" s="836"/>
      <c r="AY964" s="836"/>
      <c r="AZ964" s="836"/>
      <c r="BA964" s="836"/>
      <c r="BB964" s="836"/>
      <c r="BC964" s="836"/>
      <c r="BD964" s="836"/>
      <c r="BE964" s="836"/>
      <c r="BF964" s="836"/>
      <c r="BG964" s="836"/>
      <c r="BH964" s="836"/>
      <c r="BI964" s="836"/>
      <c r="BJ964" s="836"/>
      <c r="BK964" s="836"/>
      <c r="BL964" s="836"/>
      <c r="BM964" s="836"/>
      <c r="BN964" s="836"/>
      <c r="BO964" s="836"/>
      <c r="BP964" s="836"/>
      <c r="BR964" s="838"/>
      <c r="BS964" s="838"/>
      <c r="BT964" s="838"/>
      <c r="BU964" s="838"/>
      <c r="BV964" s="838"/>
      <c r="BW964" s="838"/>
      <c r="BX964" s="838"/>
      <c r="BY964" s="838"/>
      <c r="BZ964" s="838"/>
      <c r="CA964" s="838"/>
      <c r="CB964" s="838"/>
      <c r="CC964" s="838"/>
      <c r="CD964" s="838"/>
      <c r="CE964" s="838"/>
      <c r="CF964" s="838"/>
      <c r="CG964" s="838"/>
      <c r="CH964" s="838"/>
      <c r="CI964" s="838"/>
      <c r="CJ964" s="838"/>
      <c r="CK964" s="838"/>
      <c r="CL964" s="838"/>
      <c r="CM964" s="838"/>
      <c r="CN964" s="838"/>
      <c r="CO964" s="838"/>
      <c r="CP964" s="838"/>
      <c r="CQ964" s="838"/>
      <c r="CR964" s="838"/>
      <c r="CS964" s="838"/>
      <c r="CT964" s="838"/>
      <c r="CU964" s="838"/>
    </row>
    <row r="965">
      <c r="A965" s="834"/>
      <c r="B965" s="834"/>
      <c r="C965" s="834"/>
      <c r="D965" s="834"/>
      <c r="E965" s="834"/>
      <c r="F965" s="834"/>
      <c r="G965" s="834"/>
      <c r="H965" s="834"/>
      <c r="I965" s="834"/>
      <c r="J965" s="834"/>
      <c r="K965" s="834"/>
      <c r="L965" s="834"/>
      <c r="M965" s="834"/>
      <c r="N965" s="834"/>
      <c r="O965" s="834"/>
      <c r="P965" s="834"/>
      <c r="Q965" s="834"/>
      <c r="R965" s="834"/>
      <c r="S965" s="834"/>
      <c r="T965" s="834"/>
      <c r="U965" s="834"/>
      <c r="V965" s="834"/>
      <c r="W965" s="834"/>
      <c r="X965" s="834"/>
      <c r="Y965" s="834"/>
      <c r="Z965" s="834"/>
      <c r="AA965" s="834"/>
      <c r="AB965" s="834"/>
      <c r="AC965" s="834"/>
      <c r="AD965" s="834"/>
      <c r="AE965" s="834"/>
      <c r="AF965" s="834"/>
      <c r="AG965" s="834"/>
      <c r="AH965" s="834"/>
      <c r="AJ965" s="836"/>
      <c r="AK965" s="836"/>
      <c r="AL965" s="836"/>
      <c r="AM965" s="836"/>
      <c r="AN965" s="836"/>
      <c r="AO965" s="836"/>
      <c r="AP965" s="836"/>
      <c r="AQ965" s="836"/>
      <c r="AR965" s="836"/>
      <c r="AS965" s="836"/>
      <c r="AT965" s="836"/>
      <c r="AU965" s="836"/>
      <c r="AV965" s="836"/>
      <c r="AW965" s="836"/>
      <c r="AX965" s="836"/>
      <c r="AY965" s="836"/>
      <c r="AZ965" s="836"/>
      <c r="BA965" s="836"/>
      <c r="BB965" s="836"/>
      <c r="BC965" s="836"/>
      <c r="BD965" s="836"/>
      <c r="BE965" s="836"/>
      <c r="BF965" s="836"/>
      <c r="BG965" s="836"/>
      <c r="BH965" s="836"/>
      <c r="BI965" s="836"/>
      <c r="BJ965" s="836"/>
      <c r="BK965" s="836"/>
      <c r="BL965" s="836"/>
      <c r="BM965" s="836"/>
      <c r="BN965" s="836"/>
      <c r="BO965" s="836"/>
      <c r="BP965" s="836"/>
      <c r="BR965" s="838"/>
      <c r="BS965" s="838"/>
      <c r="BT965" s="838"/>
      <c r="BU965" s="838"/>
      <c r="BV965" s="838"/>
      <c r="BW965" s="838"/>
      <c r="BX965" s="838"/>
      <c r="BY965" s="838"/>
      <c r="BZ965" s="838"/>
      <c r="CA965" s="838"/>
      <c r="CB965" s="838"/>
      <c r="CC965" s="838"/>
      <c r="CD965" s="838"/>
      <c r="CE965" s="838"/>
      <c r="CF965" s="838"/>
      <c r="CG965" s="838"/>
      <c r="CH965" s="838"/>
      <c r="CI965" s="838"/>
      <c r="CJ965" s="838"/>
      <c r="CK965" s="838"/>
      <c r="CL965" s="838"/>
      <c r="CM965" s="838"/>
      <c r="CN965" s="838"/>
      <c r="CO965" s="838"/>
      <c r="CP965" s="838"/>
      <c r="CQ965" s="838"/>
      <c r="CR965" s="838"/>
      <c r="CS965" s="838"/>
      <c r="CT965" s="838"/>
      <c r="CU965" s="838"/>
    </row>
    <row r="966">
      <c r="A966" s="834"/>
      <c r="B966" s="834"/>
      <c r="C966" s="834"/>
      <c r="D966" s="834"/>
      <c r="E966" s="834"/>
      <c r="F966" s="834"/>
      <c r="G966" s="834"/>
      <c r="H966" s="834"/>
      <c r="I966" s="834"/>
      <c r="J966" s="834"/>
      <c r="K966" s="834"/>
      <c r="L966" s="834"/>
      <c r="M966" s="834"/>
      <c r="N966" s="834"/>
      <c r="O966" s="834"/>
      <c r="P966" s="834"/>
      <c r="Q966" s="834"/>
      <c r="R966" s="834"/>
      <c r="S966" s="834"/>
      <c r="T966" s="834"/>
      <c r="U966" s="834"/>
      <c r="V966" s="834"/>
      <c r="W966" s="834"/>
      <c r="X966" s="834"/>
      <c r="Y966" s="834"/>
      <c r="Z966" s="834"/>
      <c r="AA966" s="834"/>
      <c r="AB966" s="834"/>
      <c r="AC966" s="834"/>
      <c r="AD966" s="834"/>
      <c r="AE966" s="834"/>
      <c r="AF966" s="834"/>
      <c r="AG966" s="834"/>
      <c r="AH966" s="834"/>
      <c r="AJ966" s="836"/>
      <c r="AK966" s="836"/>
      <c r="AL966" s="836"/>
      <c r="AM966" s="836"/>
      <c r="AN966" s="836"/>
      <c r="AO966" s="836"/>
      <c r="AP966" s="836"/>
      <c r="AQ966" s="836"/>
      <c r="AR966" s="836"/>
      <c r="AS966" s="836"/>
      <c r="AT966" s="836"/>
      <c r="AU966" s="836"/>
      <c r="AV966" s="836"/>
      <c r="AW966" s="836"/>
      <c r="AX966" s="836"/>
      <c r="AY966" s="836"/>
      <c r="AZ966" s="836"/>
      <c r="BA966" s="836"/>
      <c r="BB966" s="836"/>
      <c r="BC966" s="836"/>
      <c r="BD966" s="836"/>
      <c r="BE966" s="836"/>
      <c r="BF966" s="836"/>
      <c r="BG966" s="836"/>
      <c r="BH966" s="836"/>
      <c r="BI966" s="836"/>
      <c r="BJ966" s="836"/>
      <c r="BK966" s="836"/>
      <c r="BL966" s="836"/>
      <c r="BM966" s="836"/>
      <c r="BN966" s="836"/>
      <c r="BO966" s="836"/>
      <c r="BP966" s="836"/>
      <c r="BR966" s="838"/>
      <c r="BS966" s="838"/>
      <c r="BT966" s="838"/>
      <c r="BU966" s="838"/>
      <c r="BV966" s="838"/>
      <c r="BW966" s="838"/>
      <c r="BX966" s="838"/>
      <c r="BY966" s="838"/>
      <c r="BZ966" s="838"/>
      <c r="CA966" s="838"/>
      <c r="CB966" s="838"/>
      <c r="CC966" s="838"/>
      <c r="CD966" s="838"/>
      <c r="CE966" s="838"/>
      <c r="CF966" s="838"/>
      <c r="CG966" s="838"/>
      <c r="CH966" s="838"/>
      <c r="CI966" s="838"/>
      <c r="CJ966" s="838"/>
      <c r="CK966" s="838"/>
      <c r="CL966" s="838"/>
      <c r="CM966" s="838"/>
      <c r="CN966" s="838"/>
      <c r="CO966" s="838"/>
      <c r="CP966" s="838"/>
      <c r="CQ966" s="838"/>
      <c r="CR966" s="838"/>
      <c r="CS966" s="838"/>
      <c r="CT966" s="838"/>
      <c r="CU966" s="838"/>
    </row>
    <row r="967">
      <c r="A967" s="834"/>
      <c r="B967" s="834"/>
      <c r="C967" s="834"/>
      <c r="D967" s="834"/>
      <c r="E967" s="834"/>
      <c r="F967" s="834"/>
      <c r="G967" s="834"/>
      <c r="H967" s="834"/>
      <c r="I967" s="834"/>
      <c r="J967" s="834"/>
      <c r="K967" s="834"/>
      <c r="L967" s="834"/>
      <c r="M967" s="834"/>
      <c r="N967" s="834"/>
      <c r="O967" s="834"/>
      <c r="P967" s="834"/>
      <c r="Q967" s="834"/>
      <c r="R967" s="834"/>
      <c r="S967" s="834"/>
      <c r="T967" s="834"/>
      <c r="U967" s="834"/>
      <c r="V967" s="834"/>
      <c r="W967" s="834"/>
      <c r="X967" s="834"/>
      <c r="Y967" s="834"/>
      <c r="Z967" s="834"/>
      <c r="AA967" s="834"/>
      <c r="AB967" s="834"/>
      <c r="AC967" s="834"/>
      <c r="AD967" s="834"/>
      <c r="AE967" s="834"/>
      <c r="AF967" s="834"/>
      <c r="AG967" s="834"/>
      <c r="AH967" s="834"/>
      <c r="AJ967" s="836"/>
      <c r="AK967" s="836"/>
      <c r="AL967" s="836"/>
      <c r="AM967" s="836"/>
      <c r="AN967" s="836"/>
      <c r="AO967" s="836"/>
      <c r="AP967" s="836"/>
      <c r="AQ967" s="836"/>
      <c r="AR967" s="836"/>
      <c r="AS967" s="836"/>
      <c r="AT967" s="836"/>
      <c r="AU967" s="836"/>
      <c r="AV967" s="836"/>
      <c r="AW967" s="836"/>
      <c r="AX967" s="836"/>
      <c r="AY967" s="836"/>
      <c r="AZ967" s="836"/>
      <c r="BA967" s="836"/>
      <c r="BB967" s="836"/>
      <c r="BC967" s="836"/>
      <c r="BD967" s="836"/>
      <c r="BE967" s="836"/>
      <c r="BF967" s="836"/>
      <c r="BG967" s="836"/>
      <c r="BH967" s="836"/>
      <c r="BI967" s="836"/>
      <c r="BJ967" s="836"/>
      <c r="BK967" s="836"/>
      <c r="BL967" s="836"/>
      <c r="BM967" s="836"/>
      <c r="BN967" s="836"/>
      <c r="BO967" s="836"/>
      <c r="BP967" s="836"/>
      <c r="BR967" s="838"/>
      <c r="BS967" s="838"/>
      <c r="BT967" s="838"/>
      <c r="BU967" s="838"/>
      <c r="BV967" s="838"/>
      <c r="BW967" s="838"/>
      <c r="BX967" s="838"/>
      <c r="BY967" s="838"/>
      <c r="BZ967" s="838"/>
      <c r="CA967" s="838"/>
      <c r="CB967" s="838"/>
      <c r="CC967" s="838"/>
      <c r="CD967" s="838"/>
      <c r="CE967" s="838"/>
      <c r="CF967" s="838"/>
      <c r="CG967" s="838"/>
      <c r="CH967" s="838"/>
      <c r="CI967" s="838"/>
      <c r="CJ967" s="838"/>
      <c r="CK967" s="838"/>
      <c r="CL967" s="838"/>
      <c r="CM967" s="838"/>
      <c r="CN967" s="838"/>
      <c r="CO967" s="838"/>
      <c r="CP967" s="838"/>
      <c r="CQ967" s="838"/>
      <c r="CR967" s="838"/>
      <c r="CS967" s="838"/>
      <c r="CT967" s="838"/>
      <c r="CU967" s="838"/>
    </row>
    <row r="968">
      <c r="A968" s="834"/>
      <c r="B968" s="834"/>
      <c r="C968" s="834"/>
      <c r="D968" s="834"/>
      <c r="E968" s="834"/>
      <c r="F968" s="834"/>
      <c r="G968" s="834"/>
      <c r="H968" s="834"/>
      <c r="I968" s="834"/>
      <c r="J968" s="834"/>
      <c r="K968" s="834"/>
      <c r="L968" s="834"/>
      <c r="M968" s="834"/>
      <c r="N968" s="834"/>
      <c r="O968" s="834"/>
      <c r="P968" s="834"/>
      <c r="Q968" s="834"/>
      <c r="R968" s="834"/>
      <c r="S968" s="834"/>
      <c r="T968" s="834"/>
      <c r="U968" s="834"/>
      <c r="V968" s="834"/>
      <c r="W968" s="834"/>
      <c r="X968" s="834"/>
      <c r="Y968" s="834"/>
      <c r="Z968" s="834"/>
      <c r="AA968" s="834"/>
      <c r="AB968" s="834"/>
      <c r="AC968" s="834"/>
      <c r="AD968" s="834"/>
      <c r="AE968" s="834"/>
      <c r="AF968" s="834"/>
      <c r="AG968" s="834"/>
      <c r="AH968" s="834"/>
      <c r="AJ968" s="836"/>
      <c r="AK968" s="836"/>
      <c r="AL968" s="836"/>
      <c r="AM968" s="836"/>
      <c r="AN968" s="836"/>
      <c r="AO968" s="836"/>
      <c r="AP968" s="836"/>
      <c r="AQ968" s="836"/>
      <c r="AR968" s="836"/>
      <c r="AS968" s="836"/>
      <c r="AT968" s="836"/>
      <c r="AU968" s="836"/>
      <c r="AV968" s="836"/>
      <c r="AW968" s="836"/>
      <c r="AX968" s="836"/>
      <c r="AY968" s="836"/>
      <c r="AZ968" s="836"/>
      <c r="BA968" s="836"/>
      <c r="BB968" s="836"/>
      <c r="BC968" s="836"/>
      <c r="BD968" s="836"/>
      <c r="BE968" s="836"/>
      <c r="BF968" s="836"/>
      <c r="BG968" s="836"/>
      <c r="BH968" s="836"/>
      <c r="BI968" s="836"/>
      <c r="BJ968" s="836"/>
      <c r="BK968" s="836"/>
      <c r="BL968" s="836"/>
      <c r="BM968" s="836"/>
      <c r="BN968" s="836"/>
      <c r="BO968" s="836"/>
      <c r="BP968" s="836"/>
      <c r="BR968" s="838"/>
      <c r="BS968" s="838"/>
      <c r="BT968" s="838"/>
      <c r="BU968" s="838"/>
      <c r="BV968" s="838"/>
      <c r="BW968" s="838"/>
      <c r="BX968" s="838"/>
      <c r="BY968" s="838"/>
      <c r="BZ968" s="838"/>
      <c r="CA968" s="838"/>
      <c r="CB968" s="838"/>
      <c r="CC968" s="838"/>
      <c r="CD968" s="838"/>
      <c r="CE968" s="838"/>
      <c r="CF968" s="838"/>
      <c r="CG968" s="838"/>
      <c r="CH968" s="838"/>
      <c r="CI968" s="838"/>
      <c r="CJ968" s="838"/>
      <c r="CK968" s="838"/>
      <c r="CL968" s="838"/>
      <c r="CM968" s="838"/>
      <c r="CN968" s="838"/>
      <c r="CO968" s="838"/>
      <c r="CP968" s="838"/>
      <c r="CQ968" s="838"/>
      <c r="CR968" s="838"/>
      <c r="CS968" s="838"/>
      <c r="CT968" s="838"/>
      <c r="CU968" s="838"/>
    </row>
    <row r="969">
      <c r="A969" s="834"/>
      <c r="B969" s="834"/>
      <c r="C969" s="834"/>
      <c r="D969" s="834"/>
      <c r="E969" s="834"/>
      <c r="F969" s="834"/>
      <c r="G969" s="834"/>
      <c r="H969" s="834"/>
      <c r="I969" s="834"/>
      <c r="J969" s="834"/>
      <c r="K969" s="834"/>
      <c r="L969" s="834"/>
      <c r="M969" s="834"/>
      <c r="N969" s="834"/>
      <c r="O969" s="834"/>
      <c r="P969" s="834"/>
      <c r="Q969" s="834"/>
      <c r="R969" s="834"/>
      <c r="S969" s="834"/>
      <c r="T969" s="834"/>
      <c r="U969" s="834"/>
      <c r="V969" s="834"/>
      <c r="W969" s="834"/>
      <c r="X969" s="834"/>
      <c r="Y969" s="834"/>
      <c r="Z969" s="834"/>
      <c r="AA969" s="834"/>
      <c r="AB969" s="834"/>
      <c r="AC969" s="834"/>
      <c r="AD969" s="834"/>
      <c r="AE969" s="834"/>
      <c r="AF969" s="834"/>
      <c r="AG969" s="834"/>
      <c r="AH969" s="834"/>
      <c r="AJ969" s="836"/>
      <c r="AK969" s="836"/>
      <c r="AL969" s="836"/>
      <c r="AM969" s="836"/>
      <c r="AN969" s="836"/>
      <c r="AO969" s="836"/>
      <c r="AP969" s="836"/>
      <c r="AQ969" s="836"/>
      <c r="AR969" s="836"/>
      <c r="AS969" s="836"/>
      <c r="AT969" s="836"/>
      <c r="AU969" s="836"/>
      <c r="AV969" s="836"/>
      <c r="AW969" s="836"/>
      <c r="AX969" s="836"/>
      <c r="AY969" s="836"/>
      <c r="AZ969" s="836"/>
      <c r="BA969" s="836"/>
      <c r="BB969" s="836"/>
      <c r="BC969" s="836"/>
      <c r="BD969" s="836"/>
      <c r="BE969" s="836"/>
      <c r="BF969" s="836"/>
      <c r="BG969" s="836"/>
      <c r="BH969" s="836"/>
      <c r="BI969" s="836"/>
      <c r="BJ969" s="836"/>
      <c r="BK969" s="836"/>
      <c r="BL969" s="836"/>
      <c r="BM969" s="836"/>
      <c r="BN969" s="836"/>
      <c r="BO969" s="836"/>
      <c r="BP969" s="836"/>
      <c r="BR969" s="838"/>
      <c r="BS969" s="838"/>
      <c r="BT969" s="838"/>
      <c r="BU969" s="838"/>
      <c r="BV969" s="838"/>
      <c r="BW969" s="838"/>
      <c r="BX969" s="838"/>
      <c r="BY969" s="838"/>
      <c r="BZ969" s="838"/>
      <c r="CA969" s="838"/>
      <c r="CB969" s="838"/>
      <c r="CC969" s="838"/>
      <c r="CD969" s="838"/>
      <c r="CE969" s="838"/>
      <c r="CF969" s="838"/>
      <c r="CG969" s="838"/>
      <c r="CH969" s="838"/>
      <c r="CI969" s="838"/>
      <c r="CJ969" s="838"/>
      <c r="CK969" s="838"/>
      <c r="CL969" s="838"/>
      <c r="CM969" s="838"/>
      <c r="CN969" s="838"/>
      <c r="CO969" s="838"/>
      <c r="CP969" s="838"/>
      <c r="CQ969" s="838"/>
      <c r="CR969" s="838"/>
      <c r="CS969" s="838"/>
      <c r="CT969" s="838"/>
      <c r="CU969" s="838"/>
    </row>
    <row r="970">
      <c r="A970" s="834"/>
      <c r="B970" s="834"/>
      <c r="C970" s="834"/>
      <c r="D970" s="834"/>
      <c r="E970" s="834"/>
      <c r="F970" s="834"/>
      <c r="G970" s="834"/>
      <c r="H970" s="834"/>
      <c r="I970" s="834"/>
      <c r="J970" s="834"/>
      <c r="K970" s="834"/>
      <c r="L970" s="834"/>
      <c r="M970" s="834"/>
      <c r="N970" s="834"/>
      <c r="O970" s="834"/>
      <c r="P970" s="834"/>
      <c r="Q970" s="834"/>
      <c r="R970" s="834"/>
      <c r="S970" s="834"/>
      <c r="T970" s="834"/>
      <c r="U970" s="834"/>
      <c r="V970" s="834"/>
      <c r="W970" s="834"/>
      <c r="X970" s="834"/>
      <c r="Y970" s="834"/>
      <c r="Z970" s="834"/>
      <c r="AA970" s="834"/>
      <c r="AB970" s="834"/>
      <c r="AC970" s="834"/>
      <c r="AD970" s="834"/>
      <c r="AE970" s="834"/>
      <c r="AF970" s="834"/>
      <c r="AG970" s="834"/>
      <c r="AH970" s="834"/>
      <c r="AJ970" s="836"/>
      <c r="AK970" s="836"/>
      <c r="AL970" s="836"/>
      <c r="AM970" s="836"/>
      <c r="AN970" s="836"/>
      <c r="AO970" s="836"/>
      <c r="AP970" s="836"/>
      <c r="AQ970" s="836"/>
      <c r="AR970" s="836"/>
      <c r="AS970" s="836"/>
      <c r="AT970" s="836"/>
      <c r="AU970" s="836"/>
      <c r="AV970" s="836"/>
      <c r="AW970" s="836"/>
      <c r="AX970" s="836"/>
      <c r="AY970" s="836"/>
      <c r="AZ970" s="836"/>
      <c r="BA970" s="836"/>
      <c r="BB970" s="836"/>
      <c r="BC970" s="836"/>
      <c r="BD970" s="836"/>
      <c r="BE970" s="836"/>
      <c r="BF970" s="836"/>
      <c r="BG970" s="836"/>
      <c r="BH970" s="836"/>
      <c r="BI970" s="836"/>
      <c r="BJ970" s="836"/>
      <c r="BK970" s="836"/>
      <c r="BL970" s="836"/>
      <c r="BM970" s="836"/>
      <c r="BN970" s="836"/>
      <c r="BO970" s="836"/>
      <c r="BP970" s="836"/>
      <c r="BR970" s="838"/>
      <c r="BS970" s="838"/>
      <c r="BT970" s="838"/>
      <c r="BU970" s="838"/>
      <c r="BV970" s="838"/>
      <c r="BW970" s="838"/>
      <c r="BX970" s="838"/>
      <c r="BY970" s="838"/>
      <c r="BZ970" s="838"/>
      <c r="CA970" s="838"/>
      <c r="CB970" s="838"/>
      <c r="CC970" s="838"/>
      <c r="CD970" s="838"/>
      <c r="CE970" s="838"/>
      <c r="CF970" s="838"/>
      <c r="CG970" s="838"/>
      <c r="CH970" s="838"/>
      <c r="CI970" s="838"/>
      <c r="CJ970" s="838"/>
      <c r="CK970" s="838"/>
      <c r="CL970" s="838"/>
      <c r="CM970" s="838"/>
      <c r="CN970" s="838"/>
      <c r="CO970" s="838"/>
      <c r="CP970" s="838"/>
      <c r="CQ970" s="838"/>
      <c r="CR970" s="838"/>
      <c r="CS970" s="838"/>
      <c r="CT970" s="838"/>
      <c r="CU970" s="838"/>
    </row>
    <row r="971">
      <c r="A971" s="834"/>
      <c r="B971" s="834"/>
      <c r="C971" s="834"/>
      <c r="D971" s="834"/>
      <c r="E971" s="834"/>
      <c r="F971" s="834"/>
      <c r="G971" s="834"/>
      <c r="H971" s="834"/>
      <c r="I971" s="834"/>
      <c r="J971" s="834"/>
      <c r="K971" s="834"/>
      <c r="L971" s="834"/>
      <c r="M971" s="834"/>
      <c r="N971" s="834"/>
      <c r="O971" s="834"/>
      <c r="P971" s="834"/>
      <c r="Q971" s="834"/>
      <c r="R971" s="834"/>
      <c r="S971" s="834"/>
      <c r="T971" s="834"/>
      <c r="U971" s="834"/>
      <c r="V971" s="834"/>
      <c r="W971" s="834"/>
      <c r="X971" s="834"/>
      <c r="Y971" s="834"/>
      <c r="Z971" s="834"/>
      <c r="AA971" s="834"/>
      <c r="AB971" s="834"/>
      <c r="AC971" s="834"/>
      <c r="AD971" s="834"/>
      <c r="AE971" s="834"/>
      <c r="AF971" s="834"/>
      <c r="AG971" s="834"/>
      <c r="AH971" s="834"/>
      <c r="AJ971" s="836"/>
      <c r="AK971" s="836"/>
      <c r="AL971" s="836"/>
      <c r="AM971" s="836"/>
      <c r="AN971" s="836"/>
      <c r="AO971" s="836"/>
      <c r="AP971" s="836"/>
      <c r="AQ971" s="836"/>
      <c r="AR971" s="836"/>
      <c r="AS971" s="836"/>
      <c r="AT971" s="836"/>
      <c r="AU971" s="836"/>
      <c r="AV971" s="836"/>
      <c r="AW971" s="836"/>
      <c r="AX971" s="836"/>
      <c r="AY971" s="836"/>
      <c r="AZ971" s="836"/>
      <c r="BA971" s="836"/>
      <c r="BB971" s="836"/>
      <c r="BC971" s="836"/>
      <c r="BD971" s="836"/>
      <c r="BE971" s="836"/>
      <c r="BF971" s="836"/>
      <c r="BG971" s="836"/>
      <c r="BH971" s="836"/>
      <c r="BI971" s="836"/>
      <c r="BJ971" s="836"/>
      <c r="BK971" s="836"/>
      <c r="BL971" s="836"/>
      <c r="BM971" s="836"/>
      <c r="BN971" s="836"/>
      <c r="BO971" s="836"/>
      <c r="BP971" s="836"/>
      <c r="BR971" s="838"/>
      <c r="BS971" s="838"/>
      <c r="BT971" s="838"/>
      <c r="BU971" s="838"/>
      <c r="BV971" s="838"/>
      <c r="BW971" s="838"/>
      <c r="BX971" s="838"/>
      <c r="BY971" s="838"/>
      <c r="BZ971" s="838"/>
      <c r="CA971" s="838"/>
      <c r="CB971" s="838"/>
      <c r="CC971" s="838"/>
      <c r="CD971" s="838"/>
      <c r="CE971" s="838"/>
      <c r="CF971" s="838"/>
      <c r="CG971" s="838"/>
      <c r="CH971" s="838"/>
      <c r="CI971" s="838"/>
      <c r="CJ971" s="838"/>
      <c r="CK971" s="838"/>
      <c r="CL971" s="838"/>
      <c r="CM971" s="838"/>
      <c r="CN971" s="838"/>
      <c r="CO971" s="838"/>
      <c r="CP971" s="838"/>
      <c r="CQ971" s="838"/>
      <c r="CR971" s="838"/>
      <c r="CS971" s="838"/>
      <c r="CT971" s="838"/>
      <c r="CU971" s="838"/>
    </row>
    <row r="972">
      <c r="A972" s="834"/>
      <c r="B972" s="834"/>
      <c r="C972" s="834"/>
      <c r="D972" s="834"/>
      <c r="E972" s="834"/>
      <c r="F972" s="834"/>
      <c r="G972" s="834"/>
      <c r="H972" s="834"/>
      <c r="I972" s="834"/>
      <c r="J972" s="834"/>
      <c r="K972" s="834"/>
      <c r="L972" s="834"/>
      <c r="M972" s="834"/>
      <c r="N972" s="834"/>
      <c r="O972" s="834"/>
      <c r="P972" s="834"/>
      <c r="Q972" s="834"/>
      <c r="R972" s="834"/>
      <c r="S972" s="834"/>
      <c r="T972" s="834"/>
      <c r="U972" s="834"/>
      <c r="V972" s="834"/>
      <c r="W972" s="834"/>
      <c r="X972" s="834"/>
      <c r="Y972" s="834"/>
      <c r="Z972" s="834"/>
      <c r="AA972" s="834"/>
      <c r="AB972" s="834"/>
      <c r="AC972" s="834"/>
      <c r="AD972" s="834"/>
      <c r="AE972" s="834"/>
      <c r="AF972" s="834"/>
      <c r="AG972" s="834"/>
      <c r="AH972" s="834"/>
      <c r="AJ972" s="836"/>
      <c r="AK972" s="836"/>
      <c r="AL972" s="836"/>
      <c r="AM972" s="836"/>
      <c r="AN972" s="836"/>
      <c r="AO972" s="836"/>
      <c r="AP972" s="836"/>
      <c r="AQ972" s="836"/>
      <c r="AR972" s="836"/>
      <c r="AS972" s="836"/>
      <c r="AT972" s="836"/>
      <c r="AU972" s="836"/>
      <c r="AV972" s="836"/>
      <c r="AW972" s="836"/>
      <c r="AX972" s="836"/>
      <c r="AY972" s="836"/>
      <c r="AZ972" s="836"/>
      <c r="BA972" s="836"/>
      <c r="BB972" s="836"/>
      <c r="BC972" s="836"/>
      <c r="BD972" s="836"/>
      <c r="BE972" s="836"/>
      <c r="BF972" s="836"/>
      <c r="BG972" s="836"/>
      <c r="BH972" s="836"/>
      <c r="BI972" s="836"/>
      <c r="BJ972" s="836"/>
      <c r="BK972" s="836"/>
      <c r="BL972" s="836"/>
      <c r="BM972" s="836"/>
      <c r="BN972" s="836"/>
      <c r="BO972" s="836"/>
      <c r="BP972" s="836"/>
      <c r="BR972" s="838"/>
      <c r="BS972" s="838"/>
      <c r="BT972" s="838"/>
      <c r="BU972" s="838"/>
      <c r="BV972" s="838"/>
      <c r="BW972" s="838"/>
      <c r="BX972" s="838"/>
      <c r="BY972" s="838"/>
      <c r="BZ972" s="838"/>
      <c r="CA972" s="838"/>
      <c r="CB972" s="838"/>
      <c r="CC972" s="838"/>
      <c r="CD972" s="838"/>
      <c r="CE972" s="838"/>
      <c r="CF972" s="838"/>
      <c r="CG972" s="838"/>
      <c r="CH972" s="838"/>
      <c r="CI972" s="838"/>
      <c r="CJ972" s="838"/>
      <c r="CK972" s="838"/>
      <c r="CL972" s="838"/>
      <c r="CM972" s="838"/>
      <c r="CN972" s="838"/>
      <c r="CO972" s="838"/>
      <c r="CP972" s="838"/>
      <c r="CQ972" s="838"/>
      <c r="CR972" s="838"/>
      <c r="CS972" s="838"/>
      <c r="CT972" s="838"/>
      <c r="CU972" s="838"/>
    </row>
    <row r="973">
      <c r="A973" s="834"/>
      <c r="B973" s="834"/>
      <c r="C973" s="834"/>
      <c r="D973" s="834"/>
      <c r="E973" s="834"/>
      <c r="F973" s="834"/>
      <c r="G973" s="834"/>
      <c r="H973" s="834"/>
      <c r="I973" s="834"/>
      <c r="J973" s="834"/>
      <c r="K973" s="834"/>
      <c r="L973" s="834"/>
      <c r="M973" s="834"/>
      <c r="N973" s="834"/>
      <c r="O973" s="834"/>
      <c r="P973" s="834"/>
      <c r="Q973" s="834"/>
      <c r="R973" s="834"/>
      <c r="S973" s="834"/>
      <c r="T973" s="834"/>
      <c r="U973" s="834"/>
      <c r="V973" s="834"/>
      <c r="W973" s="834"/>
      <c r="X973" s="834"/>
      <c r="Y973" s="834"/>
      <c r="Z973" s="834"/>
      <c r="AA973" s="834"/>
      <c r="AB973" s="834"/>
      <c r="AC973" s="834"/>
      <c r="AD973" s="834"/>
      <c r="AE973" s="834"/>
      <c r="AF973" s="834"/>
      <c r="AG973" s="834"/>
      <c r="AH973" s="834"/>
      <c r="AJ973" s="836"/>
      <c r="AK973" s="836"/>
      <c r="AL973" s="836"/>
      <c r="AM973" s="836"/>
      <c r="AN973" s="836"/>
      <c r="AO973" s="836"/>
      <c r="AP973" s="836"/>
      <c r="AQ973" s="836"/>
      <c r="AR973" s="836"/>
      <c r="AS973" s="836"/>
      <c r="AT973" s="836"/>
      <c r="AU973" s="836"/>
      <c r="AV973" s="836"/>
      <c r="AW973" s="836"/>
      <c r="AX973" s="836"/>
      <c r="AY973" s="836"/>
      <c r="AZ973" s="836"/>
      <c r="BA973" s="836"/>
      <c r="BB973" s="836"/>
      <c r="BC973" s="836"/>
      <c r="BD973" s="836"/>
      <c r="BE973" s="836"/>
      <c r="BF973" s="836"/>
      <c r="BG973" s="836"/>
      <c r="BH973" s="836"/>
      <c r="BI973" s="836"/>
      <c r="BJ973" s="836"/>
      <c r="BK973" s="836"/>
      <c r="BL973" s="836"/>
      <c r="BM973" s="836"/>
      <c r="BN973" s="836"/>
      <c r="BO973" s="836"/>
      <c r="BP973" s="836"/>
      <c r="BR973" s="838"/>
      <c r="BS973" s="838"/>
      <c r="BT973" s="838"/>
      <c r="BU973" s="838"/>
      <c r="BV973" s="838"/>
      <c r="BW973" s="838"/>
      <c r="BX973" s="838"/>
      <c r="BY973" s="838"/>
      <c r="BZ973" s="838"/>
      <c r="CA973" s="838"/>
      <c r="CB973" s="838"/>
      <c r="CC973" s="838"/>
      <c r="CD973" s="838"/>
      <c r="CE973" s="838"/>
      <c r="CF973" s="838"/>
      <c r="CG973" s="838"/>
      <c r="CH973" s="838"/>
      <c r="CI973" s="838"/>
      <c r="CJ973" s="838"/>
      <c r="CK973" s="838"/>
      <c r="CL973" s="838"/>
      <c r="CM973" s="838"/>
      <c r="CN973" s="838"/>
      <c r="CO973" s="838"/>
      <c r="CP973" s="838"/>
      <c r="CQ973" s="838"/>
      <c r="CR973" s="838"/>
      <c r="CS973" s="838"/>
      <c r="CT973" s="838"/>
      <c r="CU973" s="838"/>
    </row>
    <row r="974">
      <c r="A974" s="834"/>
      <c r="B974" s="834"/>
      <c r="C974" s="834"/>
      <c r="D974" s="834"/>
      <c r="E974" s="834"/>
      <c r="F974" s="834"/>
      <c r="G974" s="834"/>
      <c r="H974" s="834"/>
      <c r="I974" s="834"/>
      <c r="J974" s="834"/>
      <c r="K974" s="834"/>
      <c r="L974" s="834"/>
      <c r="M974" s="834"/>
      <c r="N974" s="834"/>
      <c r="O974" s="834"/>
      <c r="P974" s="834"/>
      <c r="Q974" s="834"/>
      <c r="R974" s="834"/>
      <c r="S974" s="834"/>
      <c r="T974" s="834"/>
      <c r="U974" s="834"/>
      <c r="V974" s="834"/>
      <c r="W974" s="834"/>
      <c r="X974" s="834"/>
      <c r="Y974" s="834"/>
      <c r="Z974" s="834"/>
      <c r="AA974" s="834"/>
      <c r="AB974" s="834"/>
      <c r="AC974" s="834"/>
      <c r="AD974" s="834"/>
      <c r="AE974" s="834"/>
      <c r="AF974" s="834"/>
      <c r="AG974" s="834"/>
      <c r="AH974" s="834"/>
      <c r="AJ974" s="836"/>
      <c r="AK974" s="836"/>
      <c r="AL974" s="836"/>
      <c r="AM974" s="836"/>
      <c r="AN974" s="836"/>
      <c r="AO974" s="836"/>
      <c r="AP974" s="836"/>
      <c r="AQ974" s="836"/>
      <c r="AR974" s="836"/>
      <c r="AS974" s="836"/>
      <c r="AT974" s="836"/>
      <c r="AU974" s="836"/>
      <c r="AV974" s="836"/>
      <c r="AW974" s="836"/>
      <c r="AX974" s="836"/>
      <c r="AY974" s="836"/>
      <c r="AZ974" s="836"/>
      <c r="BA974" s="836"/>
      <c r="BB974" s="836"/>
      <c r="BC974" s="836"/>
      <c r="BD974" s="836"/>
      <c r="BE974" s="836"/>
      <c r="BF974" s="836"/>
      <c r="BG974" s="836"/>
      <c r="BH974" s="836"/>
      <c r="BI974" s="836"/>
      <c r="BJ974" s="836"/>
      <c r="BK974" s="836"/>
      <c r="BL974" s="836"/>
      <c r="BM974" s="836"/>
      <c r="BN974" s="836"/>
      <c r="BO974" s="836"/>
      <c r="BP974" s="836"/>
      <c r="BR974" s="838"/>
      <c r="BS974" s="838"/>
      <c r="BT974" s="838"/>
      <c r="BU974" s="838"/>
      <c r="BV974" s="838"/>
      <c r="BW974" s="838"/>
      <c r="BX974" s="838"/>
      <c r="BY974" s="838"/>
      <c r="BZ974" s="838"/>
      <c r="CA974" s="838"/>
      <c r="CB974" s="838"/>
      <c r="CC974" s="838"/>
      <c r="CD974" s="838"/>
      <c r="CE974" s="838"/>
      <c r="CF974" s="838"/>
      <c r="CG974" s="838"/>
      <c r="CH974" s="838"/>
      <c r="CI974" s="838"/>
      <c r="CJ974" s="838"/>
      <c r="CK974" s="838"/>
      <c r="CL974" s="838"/>
      <c r="CM974" s="838"/>
      <c r="CN974" s="838"/>
      <c r="CO974" s="838"/>
      <c r="CP974" s="838"/>
      <c r="CQ974" s="838"/>
      <c r="CR974" s="838"/>
      <c r="CS974" s="838"/>
      <c r="CT974" s="838"/>
      <c r="CU974" s="838"/>
    </row>
    <row r="975">
      <c r="A975" s="834"/>
      <c r="B975" s="834"/>
      <c r="C975" s="834"/>
      <c r="D975" s="834"/>
      <c r="E975" s="834"/>
      <c r="F975" s="834"/>
      <c r="G975" s="834"/>
      <c r="H975" s="834"/>
      <c r="I975" s="834"/>
      <c r="J975" s="834"/>
      <c r="K975" s="834"/>
      <c r="L975" s="834"/>
      <c r="M975" s="834"/>
      <c r="N975" s="834"/>
      <c r="O975" s="834"/>
      <c r="P975" s="834"/>
      <c r="Q975" s="834"/>
      <c r="R975" s="834"/>
      <c r="S975" s="834"/>
      <c r="T975" s="834"/>
      <c r="U975" s="834"/>
      <c r="V975" s="834"/>
      <c r="W975" s="834"/>
      <c r="X975" s="834"/>
      <c r="Y975" s="834"/>
      <c r="Z975" s="834"/>
      <c r="AA975" s="834"/>
      <c r="AB975" s="834"/>
      <c r="AC975" s="834"/>
      <c r="AD975" s="834"/>
      <c r="AE975" s="834"/>
      <c r="AF975" s="834"/>
      <c r="AG975" s="834"/>
      <c r="AH975" s="834"/>
      <c r="AJ975" s="836"/>
      <c r="AK975" s="836"/>
      <c r="AL975" s="836"/>
      <c r="AM975" s="836"/>
      <c r="AN975" s="836"/>
      <c r="AO975" s="836"/>
      <c r="AP975" s="836"/>
      <c r="AQ975" s="836"/>
      <c r="AR975" s="836"/>
      <c r="AS975" s="836"/>
      <c r="AT975" s="836"/>
      <c r="AU975" s="836"/>
      <c r="AV975" s="836"/>
      <c r="AW975" s="836"/>
      <c r="AX975" s="836"/>
      <c r="AY975" s="836"/>
      <c r="AZ975" s="836"/>
      <c r="BA975" s="836"/>
      <c r="BB975" s="836"/>
      <c r="BC975" s="836"/>
      <c r="BD975" s="836"/>
      <c r="BE975" s="836"/>
      <c r="BF975" s="836"/>
      <c r="BG975" s="836"/>
      <c r="BH975" s="836"/>
      <c r="BI975" s="836"/>
      <c r="BJ975" s="836"/>
      <c r="BK975" s="836"/>
      <c r="BL975" s="836"/>
      <c r="BM975" s="836"/>
      <c r="BN975" s="836"/>
      <c r="BO975" s="836"/>
      <c r="BP975" s="836"/>
      <c r="BR975" s="838"/>
      <c r="BS975" s="838"/>
      <c r="BT975" s="838"/>
      <c r="BU975" s="838"/>
      <c r="BV975" s="838"/>
      <c r="BW975" s="838"/>
      <c r="BX975" s="838"/>
      <c r="BY975" s="838"/>
      <c r="BZ975" s="838"/>
      <c r="CA975" s="838"/>
      <c r="CB975" s="838"/>
      <c r="CC975" s="838"/>
      <c r="CD975" s="838"/>
      <c r="CE975" s="838"/>
      <c r="CF975" s="838"/>
      <c r="CG975" s="838"/>
      <c r="CH975" s="838"/>
      <c r="CI975" s="838"/>
      <c r="CJ975" s="838"/>
      <c r="CK975" s="838"/>
      <c r="CL975" s="838"/>
      <c r="CM975" s="838"/>
      <c r="CN975" s="838"/>
      <c r="CO975" s="838"/>
      <c r="CP975" s="838"/>
      <c r="CQ975" s="838"/>
      <c r="CR975" s="838"/>
      <c r="CS975" s="838"/>
      <c r="CT975" s="838"/>
      <c r="CU975" s="838"/>
    </row>
    <row r="976">
      <c r="A976" s="834"/>
      <c r="B976" s="834"/>
      <c r="C976" s="834"/>
      <c r="D976" s="834"/>
      <c r="E976" s="834"/>
      <c r="F976" s="834"/>
      <c r="G976" s="834"/>
      <c r="H976" s="834"/>
      <c r="I976" s="834"/>
      <c r="J976" s="834"/>
      <c r="K976" s="834"/>
      <c r="L976" s="834"/>
      <c r="M976" s="834"/>
      <c r="N976" s="834"/>
      <c r="O976" s="834"/>
      <c r="P976" s="834"/>
      <c r="Q976" s="834"/>
      <c r="R976" s="834"/>
      <c r="S976" s="834"/>
      <c r="T976" s="834"/>
      <c r="U976" s="834"/>
      <c r="V976" s="834"/>
      <c r="W976" s="834"/>
      <c r="X976" s="834"/>
      <c r="Y976" s="834"/>
      <c r="Z976" s="834"/>
      <c r="AA976" s="834"/>
      <c r="AB976" s="834"/>
      <c r="AC976" s="834"/>
      <c r="AD976" s="834"/>
      <c r="AE976" s="834"/>
      <c r="AF976" s="834"/>
      <c r="AG976" s="834"/>
      <c r="AH976" s="834"/>
      <c r="AJ976" s="836"/>
      <c r="AK976" s="836"/>
      <c r="AL976" s="836"/>
      <c r="AM976" s="836"/>
      <c r="AN976" s="836"/>
      <c r="AO976" s="836"/>
      <c r="AP976" s="836"/>
      <c r="AQ976" s="836"/>
      <c r="AR976" s="836"/>
      <c r="AS976" s="836"/>
      <c r="AT976" s="836"/>
      <c r="AU976" s="836"/>
      <c r="AV976" s="836"/>
      <c r="AW976" s="836"/>
      <c r="AX976" s="836"/>
      <c r="AY976" s="836"/>
      <c r="AZ976" s="836"/>
      <c r="BA976" s="836"/>
      <c r="BB976" s="836"/>
      <c r="BC976" s="836"/>
      <c r="BD976" s="836"/>
      <c r="BE976" s="836"/>
      <c r="BF976" s="836"/>
      <c r="BG976" s="836"/>
      <c r="BH976" s="836"/>
      <c r="BI976" s="836"/>
      <c r="BJ976" s="836"/>
      <c r="BK976" s="836"/>
      <c r="BL976" s="836"/>
      <c r="BM976" s="836"/>
      <c r="BN976" s="836"/>
      <c r="BO976" s="836"/>
      <c r="BP976" s="836"/>
      <c r="BR976" s="838"/>
      <c r="BS976" s="838"/>
      <c r="BT976" s="838"/>
      <c r="BU976" s="838"/>
      <c r="BV976" s="838"/>
      <c r="BW976" s="838"/>
      <c r="BX976" s="838"/>
      <c r="BY976" s="838"/>
      <c r="BZ976" s="838"/>
      <c r="CA976" s="838"/>
      <c r="CB976" s="838"/>
      <c r="CC976" s="838"/>
      <c r="CD976" s="838"/>
      <c r="CE976" s="838"/>
      <c r="CF976" s="838"/>
      <c r="CG976" s="838"/>
      <c r="CH976" s="838"/>
      <c r="CI976" s="838"/>
      <c r="CJ976" s="838"/>
      <c r="CK976" s="838"/>
      <c r="CL976" s="838"/>
      <c r="CM976" s="838"/>
      <c r="CN976" s="838"/>
      <c r="CO976" s="838"/>
      <c r="CP976" s="838"/>
      <c r="CQ976" s="838"/>
      <c r="CR976" s="838"/>
      <c r="CS976" s="838"/>
      <c r="CT976" s="838"/>
      <c r="CU976" s="838"/>
    </row>
    <row r="977">
      <c r="A977" s="834"/>
      <c r="B977" s="834"/>
      <c r="C977" s="834"/>
      <c r="D977" s="834"/>
      <c r="E977" s="834"/>
      <c r="F977" s="834"/>
      <c r="G977" s="834"/>
      <c r="H977" s="834"/>
      <c r="I977" s="834"/>
      <c r="J977" s="834"/>
      <c r="K977" s="834"/>
      <c r="L977" s="834"/>
      <c r="M977" s="834"/>
      <c r="N977" s="834"/>
      <c r="O977" s="834"/>
      <c r="P977" s="834"/>
      <c r="Q977" s="834"/>
      <c r="R977" s="834"/>
      <c r="S977" s="834"/>
      <c r="T977" s="834"/>
      <c r="U977" s="834"/>
      <c r="V977" s="834"/>
      <c r="W977" s="834"/>
      <c r="X977" s="834"/>
      <c r="Y977" s="834"/>
      <c r="Z977" s="834"/>
      <c r="AA977" s="834"/>
      <c r="AB977" s="834"/>
      <c r="AC977" s="834"/>
      <c r="AD977" s="834"/>
      <c r="AE977" s="834"/>
      <c r="AF977" s="834"/>
      <c r="AG977" s="834"/>
      <c r="AH977" s="834"/>
      <c r="AJ977" s="836"/>
      <c r="AK977" s="836"/>
      <c r="AL977" s="836"/>
      <c r="AM977" s="836"/>
      <c r="AN977" s="836"/>
      <c r="AO977" s="836"/>
      <c r="AP977" s="836"/>
      <c r="AQ977" s="836"/>
      <c r="AR977" s="836"/>
      <c r="AS977" s="836"/>
      <c r="AT977" s="836"/>
      <c r="AU977" s="836"/>
      <c r="AV977" s="836"/>
      <c r="AW977" s="836"/>
      <c r="AX977" s="836"/>
      <c r="AY977" s="836"/>
      <c r="AZ977" s="836"/>
      <c r="BA977" s="836"/>
      <c r="BB977" s="836"/>
      <c r="BC977" s="836"/>
      <c r="BD977" s="836"/>
      <c r="BE977" s="836"/>
      <c r="BF977" s="836"/>
      <c r="BG977" s="836"/>
      <c r="BH977" s="836"/>
      <c r="BI977" s="836"/>
      <c r="BJ977" s="836"/>
      <c r="BK977" s="836"/>
      <c r="BL977" s="836"/>
      <c r="BM977" s="836"/>
      <c r="BN977" s="836"/>
      <c r="BO977" s="836"/>
      <c r="BP977" s="836"/>
      <c r="BR977" s="838"/>
      <c r="BS977" s="838"/>
      <c r="BT977" s="838"/>
      <c r="BU977" s="838"/>
      <c r="BV977" s="838"/>
      <c r="BW977" s="838"/>
      <c r="BX977" s="838"/>
      <c r="BY977" s="838"/>
      <c r="BZ977" s="838"/>
      <c r="CA977" s="838"/>
      <c r="CB977" s="838"/>
      <c r="CC977" s="838"/>
      <c r="CD977" s="838"/>
      <c r="CE977" s="838"/>
      <c r="CF977" s="838"/>
      <c r="CG977" s="838"/>
      <c r="CH977" s="838"/>
      <c r="CI977" s="838"/>
      <c r="CJ977" s="838"/>
      <c r="CK977" s="838"/>
      <c r="CL977" s="838"/>
      <c r="CM977" s="838"/>
      <c r="CN977" s="838"/>
      <c r="CO977" s="838"/>
      <c r="CP977" s="838"/>
      <c r="CQ977" s="838"/>
      <c r="CR977" s="838"/>
      <c r="CS977" s="838"/>
      <c r="CT977" s="838"/>
      <c r="CU977" s="838"/>
    </row>
    <row r="978">
      <c r="A978" s="834"/>
      <c r="B978" s="834"/>
      <c r="C978" s="834"/>
      <c r="D978" s="834"/>
      <c r="E978" s="834"/>
      <c r="F978" s="834"/>
      <c r="G978" s="834"/>
      <c r="H978" s="834"/>
      <c r="I978" s="834"/>
      <c r="J978" s="834"/>
      <c r="K978" s="834"/>
      <c r="L978" s="834"/>
      <c r="M978" s="834"/>
      <c r="N978" s="834"/>
      <c r="O978" s="834"/>
      <c r="P978" s="834"/>
      <c r="Q978" s="834"/>
      <c r="R978" s="834"/>
      <c r="S978" s="834"/>
      <c r="T978" s="834"/>
      <c r="U978" s="834"/>
      <c r="V978" s="834"/>
      <c r="W978" s="834"/>
      <c r="X978" s="834"/>
      <c r="Y978" s="834"/>
      <c r="Z978" s="834"/>
      <c r="AA978" s="834"/>
      <c r="AB978" s="834"/>
      <c r="AC978" s="834"/>
      <c r="AD978" s="834"/>
      <c r="AE978" s="834"/>
      <c r="AF978" s="834"/>
      <c r="AG978" s="834"/>
      <c r="AH978" s="834"/>
      <c r="AJ978" s="836"/>
      <c r="AK978" s="836"/>
      <c r="AL978" s="836"/>
      <c r="AM978" s="836"/>
      <c r="AN978" s="836"/>
      <c r="AO978" s="836"/>
      <c r="AP978" s="836"/>
      <c r="AQ978" s="836"/>
      <c r="AR978" s="836"/>
      <c r="AS978" s="836"/>
      <c r="AT978" s="836"/>
      <c r="AU978" s="836"/>
      <c r="AV978" s="836"/>
      <c r="AW978" s="836"/>
      <c r="AX978" s="836"/>
      <c r="AY978" s="836"/>
      <c r="AZ978" s="836"/>
      <c r="BA978" s="836"/>
      <c r="BB978" s="836"/>
      <c r="BC978" s="836"/>
      <c r="BD978" s="836"/>
      <c r="BE978" s="836"/>
      <c r="BF978" s="836"/>
      <c r="BG978" s="836"/>
      <c r="BH978" s="836"/>
      <c r="BI978" s="836"/>
      <c r="BJ978" s="836"/>
      <c r="BK978" s="836"/>
      <c r="BL978" s="836"/>
      <c r="BM978" s="836"/>
      <c r="BN978" s="836"/>
      <c r="BO978" s="836"/>
      <c r="BP978" s="836"/>
      <c r="BR978" s="838"/>
      <c r="BS978" s="838"/>
      <c r="BT978" s="838"/>
      <c r="BU978" s="838"/>
      <c r="BV978" s="838"/>
      <c r="BW978" s="838"/>
      <c r="BX978" s="838"/>
      <c r="BY978" s="838"/>
      <c r="BZ978" s="838"/>
      <c r="CA978" s="838"/>
      <c r="CB978" s="838"/>
      <c r="CC978" s="838"/>
      <c r="CD978" s="838"/>
      <c r="CE978" s="838"/>
      <c r="CF978" s="838"/>
      <c r="CG978" s="838"/>
      <c r="CH978" s="838"/>
      <c r="CI978" s="838"/>
      <c r="CJ978" s="838"/>
      <c r="CK978" s="838"/>
      <c r="CL978" s="838"/>
      <c r="CM978" s="838"/>
      <c r="CN978" s="838"/>
      <c r="CO978" s="838"/>
      <c r="CP978" s="838"/>
      <c r="CQ978" s="838"/>
      <c r="CR978" s="838"/>
      <c r="CS978" s="838"/>
      <c r="CT978" s="838"/>
      <c r="CU978" s="838"/>
    </row>
    <row r="979">
      <c r="A979" s="834"/>
      <c r="B979" s="834"/>
      <c r="C979" s="834"/>
      <c r="D979" s="834"/>
      <c r="E979" s="834"/>
      <c r="F979" s="834"/>
      <c r="G979" s="834"/>
      <c r="H979" s="834"/>
      <c r="I979" s="834"/>
      <c r="J979" s="834"/>
      <c r="K979" s="834"/>
      <c r="L979" s="834"/>
      <c r="M979" s="834"/>
      <c r="N979" s="834"/>
      <c r="O979" s="834"/>
      <c r="P979" s="834"/>
      <c r="Q979" s="834"/>
      <c r="R979" s="834"/>
      <c r="S979" s="834"/>
      <c r="T979" s="834"/>
      <c r="U979" s="834"/>
      <c r="V979" s="834"/>
      <c r="W979" s="834"/>
      <c r="X979" s="834"/>
      <c r="Y979" s="834"/>
      <c r="Z979" s="834"/>
      <c r="AA979" s="834"/>
      <c r="AB979" s="834"/>
      <c r="AC979" s="834"/>
      <c r="AD979" s="834"/>
      <c r="AE979" s="834"/>
      <c r="AF979" s="834"/>
      <c r="AG979" s="834"/>
      <c r="AH979" s="834"/>
      <c r="AJ979" s="836"/>
      <c r="AK979" s="836"/>
      <c r="AL979" s="836"/>
      <c r="AM979" s="836"/>
      <c r="AN979" s="836"/>
      <c r="AO979" s="836"/>
      <c r="AP979" s="836"/>
      <c r="AQ979" s="836"/>
      <c r="AR979" s="836"/>
      <c r="AS979" s="836"/>
      <c r="AT979" s="836"/>
      <c r="AU979" s="836"/>
      <c r="AV979" s="836"/>
      <c r="AW979" s="836"/>
      <c r="AX979" s="836"/>
      <c r="AY979" s="836"/>
      <c r="AZ979" s="836"/>
      <c r="BA979" s="836"/>
      <c r="BB979" s="836"/>
      <c r="BC979" s="836"/>
      <c r="BD979" s="836"/>
      <c r="BE979" s="836"/>
      <c r="BF979" s="836"/>
      <c r="BG979" s="836"/>
      <c r="BH979" s="836"/>
      <c r="BI979" s="836"/>
      <c r="BJ979" s="836"/>
      <c r="BK979" s="836"/>
      <c r="BL979" s="836"/>
      <c r="BM979" s="836"/>
      <c r="BN979" s="836"/>
      <c r="BO979" s="836"/>
      <c r="BP979" s="836"/>
      <c r="BR979" s="838"/>
      <c r="BS979" s="838"/>
      <c r="BT979" s="838"/>
      <c r="BU979" s="838"/>
      <c r="BV979" s="838"/>
      <c r="BW979" s="838"/>
      <c r="BX979" s="838"/>
      <c r="BY979" s="838"/>
      <c r="BZ979" s="838"/>
      <c r="CA979" s="838"/>
      <c r="CB979" s="838"/>
      <c r="CC979" s="838"/>
      <c r="CD979" s="838"/>
      <c r="CE979" s="838"/>
      <c r="CF979" s="838"/>
      <c r="CG979" s="838"/>
      <c r="CH979" s="838"/>
      <c r="CI979" s="838"/>
      <c r="CJ979" s="838"/>
      <c r="CK979" s="838"/>
      <c r="CL979" s="838"/>
      <c r="CM979" s="838"/>
      <c r="CN979" s="838"/>
      <c r="CO979" s="838"/>
      <c r="CP979" s="838"/>
      <c r="CQ979" s="838"/>
      <c r="CR979" s="838"/>
      <c r="CS979" s="838"/>
      <c r="CT979" s="838"/>
      <c r="CU979" s="838"/>
    </row>
    <row r="980">
      <c r="A980" s="834"/>
      <c r="B980" s="834"/>
      <c r="C980" s="834"/>
      <c r="D980" s="834"/>
      <c r="E980" s="834"/>
      <c r="F980" s="834"/>
      <c r="G980" s="834"/>
      <c r="H980" s="834"/>
      <c r="I980" s="834"/>
      <c r="J980" s="834"/>
      <c r="K980" s="834"/>
      <c r="L980" s="834"/>
      <c r="M980" s="834"/>
      <c r="N980" s="834"/>
      <c r="O980" s="834"/>
      <c r="P980" s="834"/>
      <c r="Q980" s="834"/>
      <c r="R980" s="834"/>
      <c r="S980" s="834"/>
      <c r="T980" s="834"/>
      <c r="U980" s="834"/>
      <c r="V980" s="834"/>
      <c r="W980" s="834"/>
      <c r="X980" s="834"/>
      <c r="Y980" s="834"/>
      <c r="Z980" s="834"/>
      <c r="AA980" s="834"/>
      <c r="AB980" s="834"/>
      <c r="AC980" s="834"/>
      <c r="AD980" s="834"/>
      <c r="AE980" s="834"/>
      <c r="AF980" s="834"/>
      <c r="AG980" s="834"/>
      <c r="AH980" s="834"/>
      <c r="AJ980" s="836"/>
      <c r="AK980" s="836"/>
      <c r="AL980" s="836"/>
      <c r="AM980" s="836"/>
      <c r="AN980" s="836"/>
      <c r="AO980" s="836"/>
      <c r="AP980" s="836"/>
      <c r="AQ980" s="836"/>
      <c r="AR980" s="836"/>
      <c r="AS980" s="836"/>
      <c r="AT980" s="836"/>
      <c r="AU980" s="836"/>
      <c r="AV980" s="836"/>
      <c r="AW980" s="836"/>
      <c r="AX980" s="836"/>
      <c r="AY980" s="836"/>
      <c r="AZ980" s="836"/>
      <c r="BA980" s="836"/>
      <c r="BB980" s="836"/>
      <c r="BC980" s="836"/>
      <c r="BD980" s="836"/>
      <c r="BE980" s="836"/>
      <c r="BF980" s="836"/>
      <c r="BG980" s="836"/>
      <c r="BH980" s="836"/>
      <c r="BI980" s="836"/>
      <c r="BJ980" s="836"/>
      <c r="BK980" s="836"/>
      <c r="BL980" s="836"/>
      <c r="BM980" s="836"/>
      <c r="BN980" s="836"/>
      <c r="BO980" s="836"/>
      <c r="BP980" s="836"/>
      <c r="BR980" s="838"/>
      <c r="BS980" s="838"/>
      <c r="BT980" s="838"/>
      <c r="BU980" s="838"/>
      <c r="BV980" s="838"/>
      <c r="BW980" s="838"/>
      <c r="BX980" s="838"/>
      <c r="BY980" s="838"/>
      <c r="BZ980" s="838"/>
      <c r="CA980" s="838"/>
      <c r="CB980" s="838"/>
      <c r="CC980" s="838"/>
      <c r="CD980" s="838"/>
      <c r="CE980" s="838"/>
      <c r="CF980" s="838"/>
      <c r="CG980" s="838"/>
      <c r="CH980" s="838"/>
      <c r="CI980" s="838"/>
      <c r="CJ980" s="838"/>
      <c r="CK980" s="838"/>
      <c r="CL980" s="838"/>
      <c r="CM980" s="838"/>
      <c r="CN980" s="838"/>
      <c r="CO980" s="838"/>
      <c r="CP980" s="838"/>
      <c r="CQ980" s="838"/>
      <c r="CR980" s="838"/>
      <c r="CS980" s="838"/>
      <c r="CT980" s="838"/>
      <c r="CU980" s="838"/>
    </row>
    <row r="981">
      <c r="A981" s="834"/>
      <c r="B981" s="834"/>
      <c r="C981" s="834"/>
      <c r="D981" s="834"/>
      <c r="E981" s="834"/>
      <c r="F981" s="834"/>
      <c r="G981" s="834"/>
      <c r="H981" s="834"/>
      <c r="I981" s="834"/>
      <c r="J981" s="834"/>
      <c r="K981" s="834"/>
      <c r="L981" s="834"/>
      <c r="M981" s="834"/>
      <c r="N981" s="834"/>
      <c r="O981" s="834"/>
      <c r="P981" s="834"/>
      <c r="Q981" s="834"/>
      <c r="R981" s="834"/>
      <c r="S981" s="834"/>
      <c r="T981" s="834"/>
      <c r="U981" s="834"/>
      <c r="V981" s="834"/>
      <c r="W981" s="834"/>
      <c r="X981" s="834"/>
      <c r="Y981" s="834"/>
      <c r="Z981" s="834"/>
      <c r="AA981" s="834"/>
      <c r="AB981" s="834"/>
      <c r="AC981" s="834"/>
      <c r="AD981" s="834"/>
      <c r="AE981" s="834"/>
      <c r="AF981" s="834"/>
      <c r="AG981" s="834"/>
      <c r="AH981" s="834"/>
      <c r="AJ981" s="836"/>
      <c r="AK981" s="836"/>
      <c r="AL981" s="836"/>
      <c r="AM981" s="836"/>
      <c r="AN981" s="836"/>
      <c r="AO981" s="836"/>
      <c r="AP981" s="836"/>
      <c r="AQ981" s="836"/>
      <c r="AR981" s="836"/>
      <c r="AS981" s="836"/>
      <c r="AT981" s="836"/>
      <c r="AU981" s="836"/>
      <c r="AV981" s="836"/>
      <c r="AW981" s="836"/>
      <c r="AX981" s="836"/>
      <c r="AY981" s="836"/>
      <c r="AZ981" s="836"/>
      <c r="BA981" s="836"/>
      <c r="BB981" s="836"/>
      <c r="BC981" s="836"/>
      <c r="BD981" s="836"/>
      <c r="BE981" s="836"/>
      <c r="BF981" s="836"/>
      <c r="BG981" s="836"/>
      <c r="BH981" s="836"/>
      <c r="BI981" s="836"/>
      <c r="BJ981" s="836"/>
      <c r="BK981" s="836"/>
      <c r="BL981" s="836"/>
      <c r="BM981" s="836"/>
      <c r="BN981" s="836"/>
      <c r="BO981" s="836"/>
      <c r="BP981" s="836"/>
      <c r="BR981" s="838"/>
      <c r="BS981" s="838"/>
      <c r="BT981" s="838"/>
      <c r="BU981" s="838"/>
      <c r="BV981" s="838"/>
      <c r="BW981" s="838"/>
      <c r="BX981" s="838"/>
      <c r="BY981" s="838"/>
      <c r="BZ981" s="838"/>
      <c r="CA981" s="838"/>
      <c r="CB981" s="838"/>
      <c r="CC981" s="838"/>
      <c r="CD981" s="838"/>
      <c r="CE981" s="838"/>
      <c r="CF981" s="838"/>
      <c r="CG981" s="838"/>
      <c r="CH981" s="838"/>
      <c r="CI981" s="838"/>
      <c r="CJ981" s="838"/>
      <c r="CK981" s="838"/>
      <c r="CL981" s="838"/>
      <c r="CM981" s="838"/>
      <c r="CN981" s="838"/>
      <c r="CO981" s="838"/>
      <c r="CP981" s="838"/>
      <c r="CQ981" s="838"/>
      <c r="CR981" s="838"/>
      <c r="CS981" s="838"/>
      <c r="CT981" s="838"/>
      <c r="CU981" s="838"/>
    </row>
    <row r="982">
      <c r="A982" s="834"/>
      <c r="B982" s="834"/>
      <c r="C982" s="834"/>
      <c r="D982" s="834"/>
      <c r="E982" s="834"/>
      <c r="F982" s="834"/>
      <c r="G982" s="834"/>
      <c r="H982" s="834"/>
      <c r="I982" s="834"/>
      <c r="J982" s="834"/>
      <c r="K982" s="834"/>
      <c r="L982" s="834"/>
      <c r="M982" s="834"/>
      <c r="N982" s="834"/>
      <c r="O982" s="834"/>
      <c r="P982" s="834"/>
      <c r="Q982" s="834"/>
      <c r="R982" s="834"/>
      <c r="S982" s="834"/>
      <c r="T982" s="834"/>
      <c r="U982" s="834"/>
      <c r="V982" s="834"/>
      <c r="W982" s="834"/>
      <c r="X982" s="834"/>
      <c r="Y982" s="834"/>
      <c r="Z982" s="834"/>
      <c r="AA982" s="834"/>
      <c r="AB982" s="834"/>
      <c r="AC982" s="834"/>
      <c r="AD982" s="834"/>
      <c r="AE982" s="834"/>
      <c r="AF982" s="834"/>
      <c r="AG982" s="834"/>
      <c r="AH982" s="834"/>
      <c r="AJ982" s="836"/>
      <c r="AK982" s="836"/>
      <c r="AL982" s="836"/>
      <c r="AM982" s="836"/>
      <c r="AN982" s="836"/>
      <c r="AO982" s="836"/>
      <c r="AP982" s="836"/>
      <c r="AQ982" s="836"/>
      <c r="AR982" s="836"/>
      <c r="AS982" s="836"/>
      <c r="AT982" s="836"/>
      <c r="AU982" s="836"/>
      <c r="AV982" s="836"/>
      <c r="AW982" s="836"/>
      <c r="AX982" s="836"/>
      <c r="AY982" s="836"/>
      <c r="AZ982" s="836"/>
      <c r="BA982" s="836"/>
      <c r="BB982" s="836"/>
      <c r="BC982" s="836"/>
      <c r="BD982" s="836"/>
      <c r="BE982" s="836"/>
      <c r="BF982" s="836"/>
      <c r="BG982" s="836"/>
      <c r="BH982" s="836"/>
      <c r="BI982" s="836"/>
      <c r="BJ982" s="836"/>
      <c r="BK982" s="836"/>
      <c r="BL982" s="836"/>
      <c r="BM982" s="836"/>
      <c r="BN982" s="836"/>
      <c r="BO982" s="836"/>
      <c r="BP982" s="836"/>
      <c r="BR982" s="838"/>
      <c r="BS982" s="838"/>
      <c r="BT982" s="838"/>
      <c r="BU982" s="838"/>
      <c r="BV982" s="838"/>
      <c r="BW982" s="838"/>
      <c r="BX982" s="838"/>
      <c r="BY982" s="838"/>
      <c r="BZ982" s="838"/>
      <c r="CA982" s="838"/>
      <c r="CB982" s="838"/>
      <c r="CC982" s="838"/>
      <c r="CD982" s="838"/>
      <c r="CE982" s="838"/>
      <c r="CF982" s="838"/>
      <c r="CG982" s="838"/>
      <c r="CH982" s="838"/>
      <c r="CI982" s="838"/>
      <c r="CJ982" s="838"/>
      <c r="CK982" s="838"/>
      <c r="CL982" s="838"/>
      <c r="CM982" s="838"/>
      <c r="CN982" s="838"/>
      <c r="CO982" s="838"/>
      <c r="CP982" s="838"/>
      <c r="CQ982" s="838"/>
      <c r="CR982" s="838"/>
      <c r="CS982" s="838"/>
      <c r="CT982" s="838"/>
      <c r="CU982" s="838"/>
    </row>
    <row r="983">
      <c r="A983" s="834"/>
      <c r="B983" s="834"/>
      <c r="C983" s="834"/>
      <c r="D983" s="834"/>
      <c r="E983" s="834"/>
      <c r="F983" s="834"/>
      <c r="G983" s="834"/>
      <c r="H983" s="834"/>
      <c r="I983" s="834"/>
      <c r="J983" s="834"/>
      <c r="K983" s="834"/>
      <c r="L983" s="834"/>
      <c r="M983" s="834"/>
      <c r="N983" s="834"/>
      <c r="O983" s="834"/>
      <c r="P983" s="834"/>
      <c r="Q983" s="834"/>
      <c r="R983" s="834"/>
      <c r="S983" s="834"/>
      <c r="T983" s="834"/>
      <c r="U983" s="834"/>
      <c r="V983" s="834"/>
      <c r="W983" s="834"/>
      <c r="X983" s="834"/>
      <c r="Y983" s="834"/>
      <c r="Z983" s="834"/>
      <c r="AA983" s="834"/>
      <c r="AB983" s="834"/>
      <c r="AC983" s="834"/>
      <c r="AD983" s="834"/>
      <c r="AE983" s="834"/>
      <c r="AF983" s="834"/>
      <c r="AG983" s="834"/>
      <c r="AH983" s="834"/>
      <c r="AJ983" s="836"/>
      <c r="AK983" s="836"/>
      <c r="AL983" s="836"/>
      <c r="AM983" s="836"/>
      <c r="AN983" s="836"/>
      <c r="AO983" s="836"/>
      <c r="AP983" s="836"/>
      <c r="AQ983" s="836"/>
      <c r="AR983" s="836"/>
      <c r="AS983" s="836"/>
      <c r="AT983" s="836"/>
      <c r="AU983" s="836"/>
      <c r="AV983" s="836"/>
      <c r="AW983" s="836"/>
      <c r="AX983" s="836"/>
      <c r="AY983" s="836"/>
      <c r="AZ983" s="836"/>
      <c r="BA983" s="836"/>
      <c r="BB983" s="836"/>
      <c r="BC983" s="836"/>
      <c r="BD983" s="836"/>
      <c r="BE983" s="836"/>
      <c r="BF983" s="836"/>
      <c r="BG983" s="836"/>
      <c r="BH983" s="836"/>
      <c r="BI983" s="836"/>
      <c r="BJ983" s="836"/>
      <c r="BK983" s="836"/>
      <c r="BL983" s="836"/>
      <c r="BM983" s="836"/>
      <c r="BN983" s="836"/>
      <c r="BO983" s="836"/>
      <c r="BP983" s="836"/>
      <c r="BR983" s="838"/>
      <c r="BS983" s="838"/>
      <c r="BT983" s="838"/>
      <c r="BU983" s="838"/>
      <c r="BV983" s="838"/>
      <c r="BW983" s="838"/>
      <c r="BX983" s="838"/>
      <c r="BY983" s="838"/>
      <c r="BZ983" s="838"/>
      <c r="CA983" s="838"/>
      <c r="CB983" s="838"/>
      <c r="CC983" s="838"/>
      <c r="CD983" s="838"/>
      <c r="CE983" s="838"/>
      <c r="CF983" s="838"/>
      <c r="CG983" s="838"/>
      <c r="CH983" s="838"/>
      <c r="CI983" s="838"/>
      <c r="CJ983" s="838"/>
      <c r="CK983" s="838"/>
      <c r="CL983" s="838"/>
      <c r="CM983" s="838"/>
      <c r="CN983" s="838"/>
      <c r="CO983" s="838"/>
      <c r="CP983" s="838"/>
      <c r="CQ983" s="838"/>
      <c r="CR983" s="838"/>
      <c r="CS983" s="838"/>
      <c r="CT983" s="838"/>
      <c r="CU983" s="838"/>
    </row>
    <row r="984">
      <c r="A984" s="834"/>
      <c r="B984" s="834"/>
      <c r="C984" s="834"/>
      <c r="D984" s="834"/>
      <c r="E984" s="834"/>
      <c r="F984" s="834"/>
      <c r="G984" s="834"/>
      <c r="H984" s="834"/>
      <c r="I984" s="834"/>
      <c r="J984" s="834"/>
      <c r="K984" s="834"/>
      <c r="L984" s="834"/>
      <c r="M984" s="834"/>
      <c r="N984" s="834"/>
      <c r="O984" s="834"/>
      <c r="P984" s="834"/>
      <c r="Q984" s="834"/>
      <c r="R984" s="834"/>
      <c r="S984" s="834"/>
      <c r="T984" s="834"/>
      <c r="U984" s="834"/>
      <c r="V984" s="834"/>
      <c r="W984" s="834"/>
      <c r="X984" s="834"/>
      <c r="Y984" s="834"/>
      <c r="Z984" s="834"/>
      <c r="AA984" s="834"/>
      <c r="AB984" s="834"/>
      <c r="AC984" s="834"/>
      <c r="AD984" s="834"/>
      <c r="AE984" s="834"/>
      <c r="AF984" s="834"/>
      <c r="AG984" s="834"/>
      <c r="AH984" s="834"/>
      <c r="AJ984" s="836"/>
      <c r="AK984" s="836"/>
      <c r="AL984" s="836"/>
      <c r="AM984" s="836"/>
      <c r="AN984" s="836"/>
      <c r="AO984" s="836"/>
      <c r="AP984" s="836"/>
      <c r="AQ984" s="836"/>
      <c r="AR984" s="836"/>
      <c r="AS984" s="836"/>
      <c r="AT984" s="836"/>
      <c r="AU984" s="836"/>
      <c r="AV984" s="836"/>
      <c r="AW984" s="836"/>
      <c r="AX984" s="836"/>
      <c r="AY984" s="836"/>
      <c r="AZ984" s="836"/>
      <c r="BA984" s="836"/>
      <c r="BB984" s="836"/>
      <c r="BC984" s="836"/>
      <c r="BD984" s="836"/>
      <c r="BE984" s="836"/>
      <c r="BF984" s="836"/>
      <c r="BG984" s="836"/>
      <c r="BH984" s="836"/>
      <c r="BI984" s="836"/>
      <c r="BJ984" s="836"/>
      <c r="BK984" s="836"/>
      <c r="BL984" s="836"/>
      <c r="BM984" s="836"/>
      <c r="BN984" s="836"/>
      <c r="BO984" s="836"/>
      <c r="BP984" s="836"/>
      <c r="BR984" s="838"/>
      <c r="BS984" s="838"/>
      <c r="BT984" s="838"/>
      <c r="BU984" s="838"/>
      <c r="BV984" s="838"/>
      <c r="BW984" s="838"/>
      <c r="BX984" s="838"/>
      <c r="BY984" s="838"/>
      <c r="BZ984" s="838"/>
      <c r="CA984" s="838"/>
      <c r="CB984" s="838"/>
      <c r="CC984" s="838"/>
      <c r="CD984" s="838"/>
      <c r="CE984" s="838"/>
      <c r="CF984" s="838"/>
      <c r="CG984" s="838"/>
      <c r="CH984" s="838"/>
      <c r="CI984" s="838"/>
      <c r="CJ984" s="838"/>
      <c r="CK984" s="838"/>
      <c r="CL984" s="838"/>
      <c r="CM984" s="838"/>
      <c r="CN984" s="838"/>
      <c r="CO984" s="838"/>
      <c r="CP984" s="838"/>
      <c r="CQ984" s="838"/>
      <c r="CR984" s="838"/>
      <c r="CS984" s="838"/>
      <c r="CT984" s="838"/>
      <c r="CU984" s="838"/>
    </row>
    <row r="985">
      <c r="A985" s="834"/>
      <c r="B985" s="834"/>
      <c r="C985" s="834"/>
      <c r="D985" s="834"/>
      <c r="E985" s="834"/>
      <c r="F985" s="834"/>
      <c r="G985" s="834"/>
      <c r="H985" s="834"/>
      <c r="I985" s="834"/>
      <c r="J985" s="834"/>
      <c r="K985" s="834"/>
      <c r="L985" s="834"/>
      <c r="M985" s="834"/>
      <c r="N985" s="834"/>
      <c r="O985" s="834"/>
      <c r="P985" s="834"/>
      <c r="Q985" s="834"/>
      <c r="R985" s="834"/>
      <c r="S985" s="834"/>
      <c r="T985" s="834"/>
      <c r="U985" s="834"/>
      <c r="V985" s="834"/>
      <c r="W985" s="834"/>
      <c r="X985" s="834"/>
      <c r="Y985" s="834"/>
      <c r="Z985" s="834"/>
      <c r="AA985" s="834"/>
      <c r="AB985" s="834"/>
      <c r="AC985" s="834"/>
      <c r="AD985" s="834"/>
      <c r="AE985" s="834"/>
      <c r="AF985" s="834"/>
      <c r="AG985" s="834"/>
      <c r="AH985" s="834"/>
      <c r="AJ985" s="836"/>
      <c r="AK985" s="836"/>
      <c r="AL985" s="836"/>
      <c r="AM985" s="836"/>
      <c r="AN985" s="836"/>
      <c r="AO985" s="836"/>
      <c r="AP985" s="836"/>
      <c r="AQ985" s="836"/>
      <c r="AR985" s="836"/>
      <c r="AS985" s="836"/>
      <c r="AT985" s="836"/>
      <c r="AU985" s="836"/>
      <c r="AV985" s="836"/>
      <c r="AW985" s="836"/>
      <c r="AX985" s="836"/>
      <c r="AY985" s="836"/>
      <c r="AZ985" s="836"/>
      <c r="BA985" s="836"/>
      <c r="BB985" s="836"/>
      <c r="BC985" s="836"/>
      <c r="BD985" s="836"/>
      <c r="BE985" s="836"/>
      <c r="BF985" s="836"/>
      <c r="BG985" s="836"/>
      <c r="BH985" s="836"/>
      <c r="BI985" s="836"/>
      <c r="BJ985" s="836"/>
      <c r="BK985" s="836"/>
      <c r="BL985" s="836"/>
      <c r="BM985" s="836"/>
      <c r="BN985" s="836"/>
      <c r="BO985" s="836"/>
      <c r="BP985" s="836"/>
      <c r="BR985" s="838"/>
      <c r="BS985" s="838"/>
      <c r="BT985" s="838"/>
      <c r="BU985" s="838"/>
      <c r="BV985" s="838"/>
      <c r="BW985" s="838"/>
      <c r="BX985" s="838"/>
      <c r="BY985" s="838"/>
      <c r="BZ985" s="838"/>
      <c r="CA985" s="838"/>
      <c r="CB985" s="838"/>
      <c r="CC985" s="838"/>
      <c r="CD985" s="838"/>
      <c r="CE985" s="838"/>
      <c r="CF985" s="838"/>
      <c r="CG985" s="838"/>
      <c r="CH985" s="838"/>
      <c r="CI985" s="838"/>
      <c r="CJ985" s="838"/>
      <c r="CK985" s="838"/>
      <c r="CL985" s="838"/>
      <c r="CM985" s="838"/>
      <c r="CN985" s="838"/>
      <c r="CO985" s="838"/>
      <c r="CP985" s="838"/>
      <c r="CQ985" s="838"/>
      <c r="CR985" s="838"/>
      <c r="CS985" s="838"/>
      <c r="CT985" s="838"/>
      <c r="CU985" s="838"/>
    </row>
    <row r="986">
      <c r="A986" s="834"/>
      <c r="B986" s="834"/>
      <c r="C986" s="834"/>
      <c r="D986" s="834"/>
      <c r="E986" s="834"/>
      <c r="F986" s="834"/>
      <c r="G986" s="834"/>
      <c r="H986" s="834"/>
      <c r="I986" s="834"/>
      <c r="J986" s="834"/>
      <c r="K986" s="834"/>
      <c r="L986" s="834"/>
      <c r="M986" s="834"/>
      <c r="N986" s="834"/>
      <c r="O986" s="834"/>
      <c r="P986" s="834"/>
      <c r="Q986" s="834"/>
      <c r="R986" s="834"/>
      <c r="S986" s="834"/>
      <c r="T986" s="834"/>
      <c r="U986" s="834"/>
      <c r="V986" s="834"/>
      <c r="W986" s="834"/>
      <c r="X986" s="834"/>
      <c r="Y986" s="834"/>
      <c r="Z986" s="834"/>
      <c r="AA986" s="834"/>
      <c r="AB986" s="834"/>
      <c r="AC986" s="834"/>
      <c r="AD986" s="834"/>
      <c r="AE986" s="834"/>
      <c r="AF986" s="834"/>
      <c r="AG986" s="834"/>
      <c r="AH986" s="834"/>
      <c r="AJ986" s="836"/>
      <c r="AK986" s="836"/>
      <c r="AL986" s="836"/>
      <c r="AM986" s="836"/>
      <c r="AN986" s="836"/>
      <c r="AO986" s="836"/>
      <c r="AP986" s="836"/>
      <c r="AQ986" s="836"/>
      <c r="AR986" s="836"/>
      <c r="AS986" s="836"/>
      <c r="AT986" s="836"/>
      <c r="AU986" s="836"/>
      <c r="AV986" s="836"/>
      <c r="AW986" s="836"/>
      <c r="AX986" s="836"/>
      <c r="AY986" s="836"/>
      <c r="AZ986" s="836"/>
      <c r="BA986" s="836"/>
      <c r="BB986" s="836"/>
      <c r="BC986" s="836"/>
      <c r="BD986" s="836"/>
      <c r="BE986" s="836"/>
      <c r="BF986" s="836"/>
      <c r="BG986" s="836"/>
      <c r="BH986" s="836"/>
      <c r="BI986" s="836"/>
      <c r="BJ986" s="836"/>
      <c r="BK986" s="836"/>
      <c r="BL986" s="836"/>
      <c r="BM986" s="836"/>
      <c r="BN986" s="836"/>
      <c r="BO986" s="836"/>
      <c r="BP986" s="836"/>
      <c r="BR986" s="838"/>
      <c r="BS986" s="838"/>
      <c r="BT986" s="838"/>
      <c r="BU986" s="838"/>
      <c r="BV986" s="838"/>
      <c r="BW986" s="838"/>
      <c r="BX986" s="838"/>
      <c r="BY986" s="838"/>
      <c r="BZ986" s="838"/>
      <c r="CA986" s="838"/>
      <c r="CB986" s="838"/>
      <c r="CC986" s="838"/>
      <c r="CD986" s="838"/>
      <c r="CE986" s="838"/>
      <c r="CF986" s="838"/>
      <c r="CG986" s="838"/>
      <c r="CH986" s="838"/>
      <c r="CI986" s="838"/>
      <c r="CJ986" s="838"/>
      <c r="CK986" s="838"/>
      <c r="CL986" s="838"/>
      <c r="CM986" s="838"/>
      <c r="CN986" s="838"/>
      <c r="CO986" s="838"/>
      <c r="CP986" s="838"/>
      <c r="CQ986" s="838"/>
      <c r="CR986" s="838"/>
      <c r="CS986" s="838"/>
      <c r="CT986" s="838"/>
      <c r="CU986" s="838"/>
    </row>
    <row r="987">
      <c r="A987" s="834"/>
      <c r="B987" s="834"/>
      <c r="C987" s="834"/>
      <c r="D987" s="834"/>
      <c r="E987" s="834"/>
      <c r="F987" s="834"/>
      <c r="G987" s="834"/>
      <c r="H987" s="834"/>
      <c r="I987" s="834"/>
      <c r="J987" s="834"/>
      <c r="K987" s="834"/>
      <c r="L987" s="834"/>
      <c r="M987" s="834"/>
      <c r="N987" s="834"/>
      <c r="O987" s="834"/>
      <c r="P987" s="834"/>
      <c r="Q987" s="834"/>
      <c r="R987" s="834"/>
      <c r="S987" s="834"/>
      <c r="T987" s="834"/>
      <c r="U987" s="834"/>
      <c r="V987" s="834"/>
      <c r="W987" s="834"/>
      <c r="X987" s="834"/>
      <c r="Y987" s="834"/>
      <c r="Z987" s="834"/>
      <c r="AA987" s="834"/>
      <c r="AB987" s="834"/>
      <c r="AC987" s="834"/>
      <c r="AD987" s="834"/>
      <c r="AE987" s="834"/>
      <c r="AF987" s="834"/>
      <c r="AG987" s="834"/>
      <c r="AH987" s="834"/>
      <c r="AJ987" s="836"/>
      <c r="AK987" s="836"/>
      <c r="AL987" s="836"/>
      <c r="AM987" s="836"/>
      <c r="AN987" s="836"/>
      <c r="AO987" s="836"/>
      <c r="AP987" s="836"/>
      <c r="AQ987" s="836"/>
      <c r="AR987" s="836"/>
      <c r="AS987" s="836"/>
      <c r="AT987" s="836"/>
      <c r="AU987" s="836"/>
      <c r="AV987" s="836"/>
      <c r="AW987" s="836"/>
      <c r="AX987" s="836"/>
      <c r="AY987" s="836"/>
      <c r="AZ987" s="836"/>
      <c r="BA987" s="836"/>
      <c r="BB987" s="836"/>
      <c r="BC987" s="836"/>
      <c r="BD987" s="836"/>
      <c r="BE987" s="836"/>
      <c r="BF987" s="836"/>
      <c r="BG987" s="836"/>
      <c r="BH987" s="836"/>
      <c r="BI987" s="836"/>
      <c r="BJ987" s="836"/>
      <c r="BK987" s="836"/>
      <c r="BL987" s="836"/>
      <c r="BM987" s="836"/>
      <c r="BN987" s="836"/>
      <c r="BO987" s="836"/>
      <c r="BP987" s="836"/>
      <c r="BR987" s="838"/>
      <c r="BS987" s="838"/>
      <c r="BT987" s="838"/>
      <c r="BU987" s="838"/>
      <c r="BV987" s="838"/>
      <c r="BW987" s="838"/>
      <c r="BX987" s="838"/>
      <c r="BY987" s="838"/>
      <c r="BZ987" s="838"/>
      <c r="CA987" s="838"/>
      <c r="CB987" s="838"/>
      <c r="CC987" s="838"/>
      <c r="CD987" s="838"/>
      <c r="CE987" s="838"/>
      <c r="CF987" s="838"/>
      <c r="CG987" s="838"/>
      <c r="CH987" s="838"/>
      <c r="CI987" s="838"/>
      <c r="CJ987" s="838"/>
      <c r="CK987" s="838"/>
      <c r="CL987" s="838"/>
      <c r="CM987" s="838"/>
      <c r="CN987" s="838"/>
      <c r="CO987" s="838"/>
      <c r="CP987" s="838"/>
      <c r="CQ987" s="838"/>
      <c r="CR987" s="838"/>
      <c r="CS987" s="838"/>
      <c r="CT987" s="838"/>
      <c r="CU987" s="838"/>
    </row>
    <row r="988">
      <c r="A988" s="834"/>
      <c r="B988" s="834"/>
      <c r="C988" s="834"/>
      <c r="D988" s="834"/>
      <c r="E988" s="834"/>
      <c r="F988" s="834"/>
      <c r="G988" s="834"/>
      <c r="H988" s="834"/>
      <c r="I988" s="834"/>
      <c r="J988" s="834"/>
      <c r="K988" s="834"/>
      <c r="L988" s="834"/>
      <c r="M988" s="834"/>
      <c r="N988" s="834"/>
      <c r="O988" s="834"/>
      <c r="P988" s="834"/>
      <c r="Q988" s="834"/>
      <c r="R988" s="834"/>
      <c r="S988" s="834"/>
      <c r="T988" s="834"/>
      <c r="U988" s="834"/>
      <c r="V988" s="834"/>
      <c r="W988" s="834"/>
      <c r="X988" s="834"/>
      <c r="Y988" s="834"/>
      <c r="Z988" s="834"/>
      <c r="AA988" s="834"/>
      <c r="AB988" s="834"/>
      <c r="AC988" s="834"/>
      <c r="AD988" s="834"/>
      <c r="AE988" s="834"/>
      <c r="AF988" s="834"/>
      <c r="AG988" s="834"/>
      <c r="AH988" s="834"/>
      <c r="AJ988" s="836"/>
      <c r="AK988" s="836"/>
      <c r="AL988" s="836"/>
      <c r="AM988" s="836"/>
      <c r="AN988" s="836"/>
      <c r="AO988" s="836"/>
      <c r="AP988" s="836"/>
      <c r="AQ988" s="836"/>
      <c r="AR988" s="836"/>
      <c r="AS988" s="836"/>
      <c r="AT988" s="836"/>
      <c r="AU988" s="836"/>
      <c r="AV988" s="836"/>
      <c r="AW988" s="836"/>
      <c r="AX988" s="836"/>
      <c r="AY988" s="836"/>
      <c r="AZ988" s="836"/>
      <c r="BA988" s="836"/>
      <c r="BB988" s="836"/>
      <c r="BC988" s="836"/>
      <c r="BD988" s="836"/>
      <c r="BE988" s="836"/>
      <c r="BF988" s="836"/>
      <c r="BG988" s="836"/>
      <c r="BH988" s="836"/>
      <c r="BI988" s="836"/>
      <c r="BJ988" s="836"/>
      <c r="BK988" s="836"/>
      <c r="BL988" s="836"/>
      <c r="BM988" s="836"/>
      <c r="BN988" s="836"/>
      <c r="BO988" s="836"/>
      <c r="BP988" s="836"/>
      <c r="BR988" s="838"/>
      <c r="BS988" s="838"/>
      <c r="BT988" s="838"/>
      <c r="BU988" s="838"/>
      <c r="BV988" s="838"/>
      <c r="BW988" s="838"/>
      <c r="BX988" s="838"/>
      <c r="BY988" s="838"/>
      <c r="BZ988" s="838"/>
      <c r="CA988" s="838"/>
      <c r="CB988" s="838"/>
      <c r="CC988" s="838"/>
      <c r="CD988" s="838"/>
      <c r="CE988" s="838"/>
      <c r="CF988" s="838"/>
      <c r="CG988" s="838"/>
      <c r="CH988" s="838"/>
      <c r="CI988" s="838"/>
      <c r="CJ988" s="838"/>
      <c r="CK988" s="838"/>
      <c r="CL988" s="838"/>
      <c r="CM988" s="838"/>
      <c r="CN988" s="838"/>
      <c r="CO988" s="838"/>
      <c r="CP988" s="838"/>
      <c r="CQ988" s="838"/>
      <c r="CR988" s="838"/>
      <c r="CS988" s="838"/>
      <c r="CT988" s="838"/>
      <c r="CU988" s="838"/>
    </row>
    <row r="989">
      <c r="A989" s="834"/>
      <c r="B989" s="834"/>
      <c r="C989" s="834"/>
      <c r="D989" s="834"/>
      <c r="E989" s="834"/>
      <c r="F989" s="834"/>
      <c r="G989" s="834"/>
      <c r="H989" s="834"/>
      <c r="I989" s="834"/>
      <c r="J989" s="834"/>
      <c r="K989" s="834"/>
      <c r="L989" s="834"/>
      <c r="M989" s="834"/>
      <c r="N989" s="834"/>
      <c r="O989" s="834"/>
      <c r="P989" s="834"/>
      <c r="Q989" s="834"/>
      <c r="R989" s="834"/>
      <c r="S989" s="834"/>
      <c r="T989" s="834"/>
      <c r="U989" s="834"/>
      <c r="V989" s="834"/>
      <c r="W989" s="834"/>
      <c r="X989" s="834"/>
      <c r="Y989" s="834"/>
      <c r="Z989" s="834"/>
      <c r="AA989" s="834"/>
      <c r="AB989" s="834"/>
      <c r="AC989" s="834"/>
      <c r="AD989" s="834"/>
      <c r="AE989" s="834"/>
      <c r="AF989" s="834"/>
      <c r="AG989" s="834"/>
      <c r="AH989" s="834"/>
      <c r="AJ989" s="836"/>
      <c r="AK989" s="836"/>
      <c r="AL989" s="836"/>
      <c r="AM989" s="836"/>
      <c r="AN989" s="836"/>
      <c r="AO989" s="836"/>
      <c r="AP989" s="836"/>
      <c r="AQ989" s="836"/>
      <c r="AR989" s="836"/>
      <c r="AS989" s="836"/>
      <c r="AT989" s="836"/>
      <c r="AU989" s="836"/>
      <c r="AV989" s="836"/>
      <c r="AW989" s="836"/>
      <c r="AX989" s="836"/>
      <c r="AY989" s="836"/>
      <c r="AZ989" s="836"/>
      <c r="BA989" s="836"/>
      <c r="BB989" s="836"/>
      <c r="BC989" s="836"/>
      <c r="BD989" s="836"/>
      <c r="BE989" s="836"/>
      <c r="BF989" s="836"/>
      <c r="BG989" s="836"/>
      <c r="BH989" s="836"/>
      <c r="BI989" s="836"/>
      <c r="BJ989" s="836"/>
      <c r="BK989" s="836"/>
      <c r="BL989" s="836"/>
      <c r="BM989" s="836"/>
      <c r="BN989" s="836"/>
      <c r="BO989" s="836"/>
      <c r="BP989" s="836"/>
      <c r="BR989" s="838"/>
      <c r="BS989" s="838"/>
      <c r="BT989" s="838"/>
      <c r="BU989" s="838"/>
      <c r="BV989" s="838"/>
      <c r="BW989" s="838"/>
      <c r="BX989" s="838"/>
      <c r="BY989" s="838"/>
      <c r="BZ989" s="838"/>
      <c r="CA989" s="838"/>
      <c r="CB989" s="838"/>
      <c r="CC989" s="838"/>
      <c r="CD989" s="838"/>
      <c r="CE989" s="838"/>
      <c r="CF989" s="838"/>
      <c r="CG989" s="838"/>
      <c r="CH989" s="838"/>
      <c r="CI989" s="838"/>
      <c r="CJ989" s="838"/>
      <c r="CK989" s="838"/>
      <c r="CL989" s="838"/>
      <c r="CM989" s="838"/>
      <c r="CN989" s="838"/>
      <c r="CO989" s="838"/>
      <c r="CP989" s="838"/>
      <c r="CQ989" s="838"/>
      <c r="CR989" s="838"/>
      <c r="CS989" s="838"/>
      <c r="CT989" s="838"/>
      <c r="CU989" s="838"/>
    </row>
    <row r="990">
      <c r="A990" s="834"/>
      <c r="B990" s="834"/>
      <c r="C990" s="834"/>
      <c r="D990" s="834"/>
      <c r="E990" s="834"/>
      <c r="F990" s="834"/>
      <c r="G990" s="834"/>
      <c r="H990" s="834"/>
      <c r="I990" s="834"/>
      <c r="J990" s="834"/>
      <c r="K990" s="834"/>
      <c r="L990" s="834"/>
      <c r="M990" s="834"/>
      <c r="N990" s="834"/>
      <c r="O990" s="834"/>
      <c r="P990" s="834"/>
      <c r="Q990" s="834"/>
      <c r="R990" s="834"/>
      <c r="S990" s="834"/>
      <c r="T990" s="834"/>
      <c r="U990" s="834"/>
      <c r="V990" s="834"/>
      <c r="W990" s="834"/>
      <c r="X990" s="834"/>
      <c r="Y990" s="834"/>
      <c r="Z990" s="834"/>
      <c r="AA990" s="834"/>
      <c r="AB990" s="834"/>
      <c r="AC990" s="834"/>
      <c r="AD990" s="834"/>
      <c r="AE990" s="834"/>
      <c r="AF990" s="834"/>
      <c r="AG990" s="834"/>
      <c r="AH990" s="834"/>
      <c r="AJ990" s="836"/>
      <c r="AK990" s="836"/>
      <c r="AL990" s="836"/>
      <c r="AM990" s="836"/>
      <c r="AN990" s="836"/>
      <c r="AO990" s="836"/>
      <c r="AP990" s="836"/>
      <c r="AQ990" s="836"/>
      <c r="AR990" s="836"/>
      <c r="AS990" s="836"/>
      <c r="AT990" s="836"/>
      <c r="AU990" s="836"/>
      <c r="AV990" s="836"/>
      <c r="AW990" s="836"/>
      <c r="AX990" s="836"/>
      <c r="AY990" s="836"/>
      <c r="AZ990" s="836"/>
      <c r="BA990" s="836"/>
      <c r="BB990" s="836"/>
      <c r="BC990" s="836"/>
      <c r="BD990" s="836"/>
      <c r="BE990" s="836"/>
      <c r="BF990" s="836"/>
      <c r="BG990" s="836"/>
      <c r="BH990" s="836"/>
      <c r="BI990" s="836"/>
      <c r="BJ990" s="836"/>
      <c r="BK990" s="836"/>
      <c r="BL990" s="836"/>
      <c r="BM990" s="836"/>
      <c r="BN990" s="836"/>
      <c r="BO990" s="836"/>
      <c r="BP990" s="836"/>
      <c r="BR990" s="838"/>
      <c r="BS990" s="838"/>
      <c r="BT990" s="838"/>
      <c r="BU990" s="838"/>
      <c r="BV990" s="838"/>
      <c r="BW990" s="838"/>
      <c r="BX990" s="838"/>
      <c r="BY990" s="838"/>
      <c r="BZ990" s="838"/>
      <c r="CA990" s="838"/>
      <c r="CB990" s="838"/>
      <c r="CC990" s="838"/>
      <c r="CD990" s="838"/>
      <c r="CE990" s="838"/>
      <c r="CF990" s="838"/>
      <c r="CG990" s="838"/>
      <c r="CH990" s="838"/>
      <c r="CI990" s="838"/>
      <c r="CJ990" s="838"/>
      <c r="CK990" s="838"/>
      <c r="CL990" s="838"/>
      <c r="CM990" s="838"/>
      <c r="CN990" s="838"/>
      <c r="CO990" s="838"/>
      <c r="CP990" s="838"/>
      <c r="CQ990" s="838"/>
      <c r="CR990" s="838"/>
      <c r="CS990" s="838"/>
      <c r="CT990" s="838"/>
      <c r="CU990" s="838"/>
    </row>
    <row r="991">
      <c r="A991" s="834"/>
      <c r="B991" s="834"/>
      <c r="C991" s="834"/>
      <c r="D991" s="834"/>
      <c r="E991" s="834"/>
      <c r="F991" s="834"/>
      <c r="G991" s="834"/>
      <c r="H991" s="834"/>
      <c r="I991" s="834"/>
      <c r="J991" s="834"/>
      <c r="K991" s="834"/>
      <c r="L991" s="834"/>
      <c r="M991" s="834"/>
      <c r="N991" s="834"/>
      <c r="O991" s="834"/>
      <c r="P991" s="834"/>
      <c r="Q991" s="834"/>
      <c r="R991" s="834"/>
      <c r="S991" s="834"/>
      <c r="T991" s="834"/>
      <c r="U991" s="834"/>
      <c r="V991" s="834"/>
      <c r="W991" s="834"/>
      <c r="X991" s="834"/>
      <c r="Y991" s="834"/>
      <c r="Z991" s="834"/>
      <c r="AA991" s="834"/>
      <c r="AB991" s="834"/>
      <c r="AC991" s="834"/>
      <c r="AD991" s="834"/>
      <c r="AE991" s="834"/>
      <c r="AF991" s="834"/>
      <c r="AG991" s="834"/>
      <c r="AH991" s="834"/>
      <c r="AJ991" s="836"/>
      <c r="AK991" s="836"/>
      <c r="AL991" s="836"/>
      <c r="AM991" s="836"/>
      <c r="AN991" s="836"/>
      <c r="AO991" s="836"/>
      <c r="AP991" s="836"/>
      <c r="AQ991" s="836"/>
      <c r="AR991" s="836"/>
      <c r="AS991" s="836"/>
      <c r="AT991" s="836"/>
      <c r="AU991" s="836"/>
      <c r="AV991" s="836"/>
      <c r="AW991" s="836"/>
      <c r="AX991" s="836"/>
      <c r="AY991" s="836"/>
      <c r="AZ991" s="836"/>
      <c r="BA991" s="836"/>
      <c r="BB991" s="836"/>
      <c r="BC991" s="836"/>
      <c r="BD991" s="836"/>
      <c r="BE991" s="836"/>
      <c r="BF991" s="836"/>
      <c r="BG991" s="836"/>
      <c r="BH991" s="836"/>
      <c r="BI991" s="836"/>
      <c r="BJ991" s="836"/>
      <c r="BK991" s="836"/>
      <c r="BL991" s="836"/>
      <c r="BM991" s="836"/>
      <c r="BN991" s="836"/>
      <c r="BO991" s="836"/>
      <c r="BP991" s="836"/>
      <c r="BR991" s="838"/>
      <c r="BS991" s="838"/>
      <c r="BT991" s="838"/>
      <c r="BU991" s="838"/>
      <c r="BV991" s="838"/>
      <c r="BW991" s="838"/>
      <c r="BX991" s="838"/>
      <c r="BY991" s="838"/>
      <c r="BZ991" s="838"/>
      <c r="CA991" s="838"/>
      <c r="CB991" s="838"/>
      <c r="CC991" s="838"/>
      <c r="CD991" s="838"/>
      <c r="CE991" s="838"/>
      <c r="CF991" s="838"/>
      <c r="CG991" s="838"/>
      <c r="CH991" s="838"/>
      <c r="CI991" s="838"/>
      <c r="CJ991" s="838"/>
      <c r="CK991" s="838"/>
      <c r="CL991" s="838"/>
      <c r="CM991" s="838"/>
      <c r="CN991" s="838"/>
      <c r="CO991" s="838"/>
      <c r="CP991" s="838"/>
      <c r="CQ991" s="838"/>
      <c r="CR991" s="838"/>
      <c r="CS991" s="838"/>
      <c r="CT991" s="838"/>
      <c r="CU991" s="838"/>
    </row>
    <row r="992">
      <c r="A992" s="834"/>
      <c r="B992" s="834"/>
      <c r="C992" s="834"/>
      <c r="D992" s="834"/>
      <c r="E992" s="834"/>
      <c r="F992" s="834"/>
      <c r="G992" s="834"/>
      <c r="H992" s="834"/>
      <c r="I992" s="834"/>
      <c r="J992" s="834"/>
      <c r="K992" s="834"/>
      <c r="L992" s="834"/>
      <c r="M992" s="834"/>
      <c r="N992" s="834"/>
      <c r="O992" s="834"/>
      <c r="P992" s="834"/>
      <c r="Q992" s="834"/>
      <c r="R992" s="834"/>
      <c r="S992" s="834"/>
      <c r="T992" s="834"/>
      <c r="U992" s="834"/>
      <c r="V992" s="834"/>
      <c r="W992" s="834"/>
      <c r="X992" s="834"/>
      <c r="Y992" s="834"/>
      <c r="Z992" s="834"/>
      <c r="AA992" s="834"/>
      <c r="AB992" s="834"/>
      <c r="AC992" s="834"/>
      <c r="AD992" s="834"/>
      <c r="AE992" s="834"/>
      <c r="AF992" s="834"/>
      <c r="AG992" s="834"/>
      <c r="AH992" s="834"/>
      <c r="AJ992" s="836"/>
      <c r="AK992" s="836"/>
      <c r="AL992" s="836"/>
      <c r="AM992" s="836"/>
      <c r="AN992" s="836"/>
      <c r="AO992" s="836"/>
      <c r="AP992" s="836"/>
      <c r="AQ992" s="836"/>
      <c r="AR992" s="836"/>
      <c r="AS992" s="836"/>
      <c r="AT992" s="836"/>
      <c r="AU992" s="836"/>
      <c r="AV992" s="836"/>
      <c r="AW992" s="836"/>
      <c r="AX992" s="836"/>
      <c r="AY992" s="836"/>
      <c r="AZ992" s="836"/>
      <c r="BA992" s="836"/>
      <c r="BB992" s="836"/>
      <c r="BC992" s="836"/>
      <c r="BD992" s="836"/>
      <c r="BE992" s="836"/>
      <c r="BF992" s="836"/>
      <c r="BG992" s="836"/>
      <c r="BH992" s="836"/>
      <c r="BI992" s="836"/>
      <c r="BJ992" s="836"/>
      <c r="BK992" s="836"/>
      <c r="BL992" s="836"/>
      <c r="BM992" s="836"/>
      <c r="BN992" s="836"/>
      <c r="BO992" s="836"/>
      <c r="BP992" s="836"/>
      <c r="BR992" s="838"/>
      <c r="BS992" s="838"/>
      <c r="BT992" s="838"/>
      <c r="BU992" s="838"/>
      <c r="BV992" s="838"/>
      <c r="BW992" s="838"/>
      <c r="BX992" s="838"/>
      <c r="BY992" s="838"/>
      <c r="BZ992" s="838"/>
      <c r="CA992" s="838"/>
      <c r="CB992" s="838"/>
      <c r="CC992" s="838"/>
      <c r="CD992" s="838"/>
      <c r="CE992" s="838"/>
      <c r="CF992" s="838"/>
      <c r="CG992" s="838"/>
      <c r="CH992" s="838"/>
      <c r="CI992" s="838"/>
      <c r="CJ992" s="838"/>
      <c r="CK992" s="838"/>
      <c r="CL992" s="838"/>
      <c r="CM992" s="838"/>
      <c r="CN992" s="838"/>
      <c r="CO992" s="838"/>
      <c r="CP992" s="838"/>
      <c r="CQ992" s="838"/>
      <c r="CR992" s="838"/>
      <c r="CS992" s="838"/>
      <c r="CT992" s="838"/>
      <c r="CU992" s="838"/>
    </row>
    <row r="993">
      <c r="A993" s="834"/>
      <c r="B993" s="834"/>
      <c r="C993" s="834"/>
      <c r="D993" s="834"/>
      <c r="E993" s="834"/>
      <c r="F993" s="834"/>
      <c r="G993" s="834"/>
      <c r="H993" s="834"/>
      <c r="I993" s="834"/>
      <c r="J993" s="834"/>
      <c r="K993" s="834"/>
      <c r="L993" s="834"/>
      <c r="M993" s="834"/>
      <c r="N993" s="834"/>
      <c r="O993" s="834"/>
      <c r="P993" s="834"/>
      <c r="Q993" s="834"/>
      <c r="R993" s="834"/>
      <c r="S993" s="834"/>
      <c r="T993" s="834"/>
      <c r="U993" s="834"/>
      <c r="V993" s="834"/>
      <c r="W993" s="834"/>
      <c r="X993" s="834"/>
      <c r="Y993" s="834"/>
      <c r="Z993" s="834"/>
      <c r="AA993" s="834"/>
      <c r="AB993" s="834"/>
      <c r="AC993" s="834"/>
      <c r="AD993" s="834"/>
      <c r="AE993" s="834"/>
      <c r="AF993" s="834"/>
      <c r="AG993" s="834"/>
      <c r="AH993" s="834"/>
      <c r="AJ993" s="836"/>
      <c r="AK993" s="836"/>
      <c r="AL993" s="836"/>
      <c r="AM993" s="836"/>
      <c r="AN993" s="836"/>
      <c r="AO993" s="836"/>
      <c r="AP993" s="836"/>
      <c r="AQ993" s="836"/>
      <c r="AR993" s="836"/>
      <c r="AS993" s="836"/>
      <c r="AT993" s="836"/>
      <c r="AU993" s="836"/>
      <c r="AV993" s="836"/>
      <c r="AW993" s="836"/>
      <c r="AX993" s="836"/>
      <c r="AY993" s="836"/>
      <c r="AZ993" s="836"/>
      <c r="BA993" s="836"/>
      <c r="BB993" s="836"/>
      <c r="BC993" s="836"/>
      <c r="BD993" s="836"/>
      <c r="BE993" s="836"/>
      <c r="BF993" s="836"/>
      <c r="BG993" s="836"/>
      <c r="BH993" s="836"/>
      <c r="BI993" s="836"/>
      <c r="BJ993" s="836"/>
      <c r="BK993" s="836"/>
      <c r="BL993" s="836"/>
      <c r="BM993" s="836"/>
      <c r="BN993" s="836"/>
      <c r="BO993" s="836"/>
      <c r="BP993" s="836"/>
      <c r="BR993" s="838"/>
      <c r="BS993" s="838"/>
      <c r="BT993" s="838"/>
      <c r="BU993" s="838"/>
      <c r="BV993" s="838"/>
      <c r="BW993" s="838"/>
      <c r="BX993" s="838"/>
      <c r="BY993" s="838"/>
      <c r="BZ993" s="838"/>
      <c r="CA993" s="838"/>
      <c r="CB993" s="838"/>
      <c r="CC993" s="838"/>
      <c r="CD993" s="838"/>
      <c r="CE993" s="838"/>
      <c r="CF993" s="838"/>
      <c r="CG993" s="838"/>
      <c r="CH993" s="838"/>
      <c r="CI993" s="838"/>
      <c r="CJ993" s="838"/>
      <c r="CK993" s="838"/>
      <c r="CL993" s="838"/>
      <c r="CM993" s="838"/>
      <c r="CN993" s="838"/>
      <c r="CO993" s="838"/>
      <c r="CP993" s="838"/>
      <c r="CQ993" s="838"/>
      <c r="CR993" s="838"/>
      <c r="CS993" s="838"/>
      <c r="CT993" s="838"/>
      <c r="CU993" s="838"/>
    </row>
    <row r="994">
      <c r="A994" s="834"/>
      <c r="B994" s="834"/>
      <c r="C994" s="834"/>
      <c r="D994" s="834"/>
      <c r="E994" s="834"/>
      <c r="F994" s="834"/>
      <c r="G994" s="834"/>
      <c r="H994" s="834"/>
      <c r="I994" s="834"/>
      <c r="J994" s="834"/>
      <c r="K994" s="834"/>
      <c r="L994" s="834"/>
      <c r="M994" s="834"/>
      <c r="N994" s="834"/>
      <c r="O994" s="834"/>
      <c r="P994" s="834"/>
      <c r="Q994" s="834"/>
      <c r="R994" s="834"/>
      <c r="S994" s="834"/>
      <c r="T994" s="834"/>
      <c r="U994" s="834"/>
      <c r="V994" s="834"/>
      <c r="W994" s="834"/>
      <c r="X994" s="834"/>
      <c r="Y994" s="834"/>
      <c r="Z994" s="834"/>
      <c r="AA994" s="834"/>
      <c r="AB994" s="834"/>
      <c r="AC994" s="834"/>
      <c r="AD994" s="834"/>
      <c r="AE994" s="834"/>
      <c r="AF994" s="834"/>
      <c r="AG994" s="834"/>
      <c r="AH994" s="834"/>
      <c r="AJ994" s="836"/>
      <c r="AK994" s="836"/>
      <c r="AL994" s="836"/>
      <c r="AM994" s="836"/>
      <c r="AN994" s="836"/>
      <c r="AO994" s="836"/>
      <c r="AP994" s="836"/>
      <c r="AQ994" s="836"/>
      <c r="AR994" s="836"/>
      <c r="AS994" s="836"/>
      <c r="AT994" s="836"/>
      <c r="AU994" s="836"/>
      <c r="AV994" s="836"/>
      <c r="AW994" s="836"/>
      <c r="AX994" s="836"/>
      <c r="AY994" s="836"/>
      <c r="AZ994" s="836"/>
      <c r="BA994" s="836"/>
      <c r="BB994" s="836"/>
      <c r="BC994" s="836"/>
      <c r="BD994" s="836"/>
      <c r="BE994" s="836"/>
      <c r="BF994" s="836"/>
      <c r="BG994" s="836"/>
      <c r="BH994" s="836"/>
      <c r="BI994" s="836"/>
      <c r="BJ994" s="836"/>
      <c r="BK994" s="836"/>
      <c r="BL994" s="836"/>
      <c r="BM994" s="836"/>
      <c r="BN994" s="836"/>
      <c r="BO994" s="836"/>
      <c r="BP994" s="836"/>
      <c r="BR994" s="838"/>
      <c r="BS994" s="838"/>
      <c r="BT994" s="838"/>
      <c r="BU994" s="838"/>
      <c r="BV994" s="838"/>
      <c r="BW994" s="838"/>
      <c r="BX994" s="838"/>
      <c r="BY994" s="838"/>
      <c r="BZ994" s="838"/>
      <c r="CA994" s="838"/>
      <c r="CB994" s="838"/>
      <c r="CC994" s="838"/>
      <c r="CD994" s="838"/>
      <c r="CE994" s="838"/>
      <c r="CF994" s="838"/>
      <c r="CG994" s="838"/>
      <c r="CH994" s="838"/>
      <c r="CI994" s="838"/>
      <c r="CJ994" s="838"/>
      <c r="CK994" s="838"/>
      <c r="CL994" s="838"/>
      <c r="CM994" s="838"/>
      <c r="CN994" s="838"/>
      <c r="CO994" s="838"/>
      <c r="CP994" s="838"/>
      <c r="CQ994" s="838"/>
      <c r="CR994" s="838"/>
      <c r="CS994" s="838"/>
      <c r="CT994" s="838"/>
      <c r="CU994" s="838"/>
    </row>
    <row r="995">
      <c r="A995" s="834"/>
      <c r="B995" s="834"/>
      <c r="C995" s="834"/>
      <c r="D995" s="834"/>
      <c r="E995" s="834"/>
      <c r="F995" s="834"/>
      <c r="G995" s="834"/>
      <c r="H995" s="834"/>
      <c r="I995" s="834"/>
      <c r="J995" s="834"/>
      <c r="K995" s="834"/>
      <c r="L995" s="834"/>
      <c r="M995" s="834"/>
      <c r="N995" s="834"/>
      <c r="O995" s="834"/>
      <c r="P995" s="834"/>
      <c r="Q995" s="834"/>
      <c r="R995" s="834"/>
      <c r="S995" s="834"/>
      <c r="T995" s="834"/>
      <c r="U995" s="834"/>
      <c r="V995" s="834"/>
      <c r="W995" s="834"/>
      <c r="X995" s="834"/>
      <c r="Y995" s="834"/>
      <c r="Z995" s="834"/>
      <c r="AA995" s="834"/>
      <c r="AB995" s="834"/>
      <c r="AC995" s="834"/>
      <c r="AD995" s="834"/>
      <c r="AE995" s="834"/>
      <c r="AF995" s="834"/>
      <c r="AG995" s="834"/>
      <c r="AH995" s="834"/>
      <c r="AJ995" s="836"/>
      <c r="AK995" s="836"/>
      <c r="AL995" s="836"/>
      <c r="AM995" s="836"/>
      <c r="AN995" s="836"/>
      <c r="AO995" s="836"/>
      <c r="AP995" s="836"/>
      <c r="AQ995" s="836"/>
      <c r="AR995" s="836"/>
      <c r="AS995" s="836"/>
      <c r="AT995" s="836"/>
      <c r="AU995" s="836"/>
      <c r="AV995" s="836"/>
      <c r="AW995" s="836"/>
      <c r="AX995" s="836"/>
      <c r="AY995" s="836"/>
      <c r="AZ995" s="836"/>
      <c r="BA995" s="836"/>
      <c r="BB995" s="836"/>
      <c r="BC995" s="836"/>
      <c r="BD995" s="836"/>
      <c r="BE995" s="836"/>
      <c r="BF995" s="836"/>
      <c r="BG995" s="836"/>
      <c r="BH995" s="836"/>
      <c r="BI995" s="836"/>
      <c r="BJ995" s="836"/>
      <c r="BK995" s="836"/>
      <c r="BL995" s="836"/>
      <c r="BM995" s="836"/>
      <c r="BN995" s="836"/>
      <c r="BO995" s="836"/>
      <c r="BP995" s="836"/>
      <c r="BR995" s="838"/>
      <c r="BS995" s="838"/>
      <c r="BT995" s="838"/>
      <c r="BU995" s="838"/>
      <c r="BV995" s="838"/>
      <c r="BW995" s="838"/>
      <c r="BX995" s="838"/>
      <c r="BY995" s="838"/>
      <c r="BZ995" s="838"/>
      <c r="CA995" s="838"/>
      <c r="CB995" s="838"/>
      <c r="CC995" s="838"/>
      <c r="CD995" s="838"/>
      <c r="CE995" s="838"/>
      <c r="CF995" s="838"/>
      <c r="CG995" s="838"/>
      <c r="CH995" s="838"/>
      <c r="CI995" s="838"/>
      <c r="CJ995" s="838"/>
      <c r="CK995" s="838"/>
      <c r="CL995" s="838"/>
      <c r="CM995" s="838"/>
      <c r="CN995" s="838"/>
      <c r="CO995" s="838"/>
      <c r="CP995" s="838"/>
      <c r="CQ995" s="838"/>
      <c r="CR995" s="838"/>
      <c r="CS995" s="838"/>
      <c r="CT995" s="838"/>
      <c r="CU995" s="838"/>
    </row>
    <row r="996">
      <c r="A996" s="834"/>
      <c r="B996" s="834"/>
      <c r="C996" s="834"/>
      <c r="D996" s="834"/>
      <c r="E996" s="834"/>
      <c r="F996" s="834"/>
      <c r="G996" s="834"/>
      <c r="H996" s="834"/>
      <c r="I996" s="834"/>
      <c r="J996" s="834"/>
      <c r="K996" s="834"/>
      <c r="L996" s="834"/>
      <c r="M996" s="834"/>
      <c r="N996" s="834"/>
      <c r="O996" s="834"/>
      <c r="P996" s="834"/>
      <c r="Q996" s="834"/>
      <c r="R996" s="834"/>
      <c r="S996" s="834"/>
      <c r="T996" s="834"/>
      <c r="U996" s="834"/>
      <c r="V996" s="834"/>
      <c r="W996" s="834"/>
      <c r="X996" s="834"/>
      <c r="Y996" s="834"/>
      <c r="Z996" s="834"/>
      <c r="AA996" s="834"/>
      <c r="AB996" s="834"/>
      <c r="AC996" s="834"/>
      <c r="AD996" s="834"/>
      <c r="AE996" s="834"/>
      <c r="AF996" s="834"/>
      <c r="AG996" s="834"/>
      <c r="AH996" s="834"/>
      <c r="AJ996" s="836"/>
      <c r="AK996" s="836"/>
      <c r="AL996" s="836"/>
      <c r="AM996" s="836"/>
      <c r="AN996" s="836"/>
      <c r="AO996" s="836"/>
      <c r="AP996" s="836"/>
      <c r="AQ996" s="836"/>
      <c r="AR996" s="836"/>
      <c r="AS996" s="836"/>
      <c r="AT996" s="836"/>
      <c r="AU996" s="836"/>
      <c r="AV996" s="836"/>
      <c r="AW996" s="836"/>
      <c r="AX996" s="836"/>
      <c r="AY996" s="836"/>
      <c r="AZ996" s="836"/>
      <c r="BA996" s="836"/>
      <c r="BB996" s="836"/>
      <c r="BC996" s="836"/>
      <c r="BD996" s="836"/>
      <c r="BE996" s="836"/>
      <c r="BF996" s="836"/>
      <c r="BG996" s="836"/>
      <c r="BH996" s="836"/>
      <c r="BI996" s="836"/>
      <c r="BJ996" s="836"/>
      <c r="BK996" s="836"/>
      <c r="BL996" s="836"/>
      <c r="BM996" s="836"/>
      <c r="BN996" s="836"/>
      <c r="BO996" s="836"/>
      <c r="BP996" s="836"/>
      <c r="BR996" s="838"/>
      <c r="BS996" s="838"/>
      <c r="BT996" s="838"/>
      <c r="BU996" s="838"/>
      <c r="BV996" s="838"/>
      <c r="BW996" s="838"/>
      <c r="BX996" s="838"/>
      <c r="BY996" s="838"/>
      <c r="BZ996" s="838"/>
      <c r="CA996" s="838"/>
      <c r="CB996" s="838"/>
      <c r="CC996" s="838"/>
      <c r="CD996" s="838"/>
      <c r="CE996" s="838"/>
      <c r="CF996" s="838"/>
      <c r="CG996" s="838"/>
      <c r="CH996" s="838"/>
      <c r="CI996" s="838"/>
      <c r="CJ996" s="838"/>
      <c r="CK996" s="838"/>
      <c r="CL996" s="838"/>
      <c r="CM996" s="838"/>
      <c r="CN996" s="838"/>
      <c r="CO996" s="838"/>
      <c r="CP996" s="838"/>
      <c r="CQ996" s="838"/>
      <c r="CR996" s="838"/>
      <c r="CS996" s="838"/>
      <c r="CT996" s="838"/>
      <c r="CU996" s="838"/>
    </row>
    <row r="997">
      <c r="A997" s="834"/>
      <c r="B997" s="834"/>
      <c r="C997" s="834"/>
      <c r="D997" s="834"/>
      <c r="E997" s="834"/>
      <c r="F997" s="834"/>
      <c r="G997" s="834"/>
      <c r="H997" s="834"/>
      <c r="I997" s="834"/>
      <c r="J997" s="834"/>
      <c r="K997" s="834"/>
      <c r="L997" s="834"/>
      <c r="M997" s="834"/>
      <c r="N997" s="834"/>
      <c r="O997" s="834"/>
      <c r="P997" s="834"/>
      <c r="Q997" s="834"/>
      <c r="R997" s="834"/>
      <c r="S997" s="834"/>
      <c r="T997" s="834"/>
      <c r="U997" s="834"/>
      <c r="V997" s="834"/>
      <c r="W997" s="834"/>
      <c r="X997" s="834"/>
      <c r="Y997" s="834"/>
      <c r="Z997" s="834"/>
      <c r="AA997" s="834"/>
      <c r="AB997" s="834"/>
      <c r="AC997" s="834"/>
      <c r="AD997" s="834"/>
      <c r="AE997" s="834"/>
      <c r="AF997" s="834"/>
      <c r="AG997" s="834"/>
      <c r="AH997" s="834"/>
      <c r="AJ997" s="836"/>
      <c r="AK997" s="836"/>
      <c r="AL997" s="836"/>
      <c r="AM997" s="836"/>
      <c r="AN997" s="836"/>
      <c r="AO997" s="836"/>
      <c r="AP997" s="836"/>
      <c r="AQ997" s="836"/>
      <c r="AR997" s="836"/>
      <c r="AS997" s="836"/>
      <c r="AT997" s="836"/>
      <c r="AU997" s="836"/>
      <c r="AV997" s="836"/>
      <c r="AW997" s="836"/>
      <c r="AX997" s="836"/>
      <c r="AY997" s="836"/>
      <c r="AZ997" s="836"/>
      <c r="BA997" s="836"/>
      <c r="BB997" s="836"/>
      <c r="BC997" s="836"/>
      <c r="BD997" s="836"/>
      <c r="BE997" s="836"/>
      <c r="BF997" s="836"/>
      <c r="BG997" s="836"/>
      <c r="BH997" s="836"/>
      <c r="BI997" s="836"/>
      <c r="BJ997" s="836"/>
      <c r="BK997" s="836"/>
      <c r="BL997" s="836"/>
      <c r="BM997" s="836"/>
      <c r="BN997" s="836"/>
      <c r="BO997" s="836"/>
      <c r="BP997" s="836"/>
      <c r="BR997" s="838"/>
      <c r="BS997" s="838"/>
      <c r="BT997" s="838"/>
      <c r="BU997" s="838"/>
      <c r="BV997" s="838"/>
      <c r="BW997" s="838"/>
      <c r="BX997" s="838"/>
      <c r="BY997" s="838"/>
      <c r="BZ997" s="838"/>
      <c r="CA997" s="838"/>
      <c r="CB997" s="838"/>
      <c r="CC997" s="838"/>
      <c r="CD997" s="838"/>
      <c r="CE997" s="838"/>
      <c r="CF997" s="838"/>
      <c r="CG997" s="838"/>
      <c r="CH997" s="838"/>
      <c r="CI997" s="838"/>
      <c r="CJ997" s="838"/>
      <c r="CK997" s="838"/>
      <c r="CL997" s="838"/>
      <c r="CM997" s="838"/>
      <c r="CN997" s="838"/>
      <c r="CO997" s="838"/>
      <c r="CP997" s="838"/>
      <c r="CQ997" s="838"/>
      <c r="CR997" s="838"/>
      <c r="CS997" s="838"/>
      <c r="CT997" s="838"/>
      <c r="CU997" s="838"/>
    </row>
    <row r="998">
      <c r="A998" s="834"/>
      <c r="B998" s="834"/>
      <c r="C998" s="834"/>
      <c r="D998" s="834"/>
      <c r="E998" s="834"/>
      <c r="F998" s="834"/>
      <c r="G998" s="834"/>
      <c r="H998" s="834"/>
      <c r="I998" s="834"/>
      <c r="J998" s="834"/>
      <c r="K998" s="834"/>
      <c r="L998" s="834"/>
      <c r="M998" s="834"/>
      <c r="N998" s="834"/>
      <c r="O998" s="834"/>
      <c r="P998" s="834"/>
      <c r="Q998" s="834"/>
      <c r="R998" s="834"/>
      <c r="S998" s="834"/>
      <c r="T998" s="834"/>
      <c r="U998" s="834"/>
      <c r="V998" s="834"/>
      <c r="W998" s="834"/>
      <c r="X998" s="834"/>
      <c r="Y998" s="834"/>
      <c r="Z998" s="834"/>
      <c r="AA998" s="834"/>
      <c r="AB998" s="834"/>
      <c r="AC998" s="834"/>
      <c r="AD998" s="834"/>
      <c r="AE998" s="834"/>
      <c r="AF998" s="834"/>
      <c r="AG998" s="834"/>
      <c r="AH998" s="834"/>
      <c r="AJ998" s="836"/>
      <c r="AK998" s="836"/>
      <c r="AL998" s="836"/>
      <c r="AM998" s="836"/>
      <c r="AN998" s="836"/>
      <c r="AO998" s="836"/>
      <c r="AP998" s="836"/>
      <c r="AQ998" s="836"/>
      <c r="AR998" s="836"/>
      <c r="AS998" s="836"/>
      <c r="AT998" s="836"/>
      <c r="AU998" s="836"/>
      <c r="AV998" s="836"/>
      <c r="AW998" s="836"/>
      <c r="AX998" s="836"/>
      <c r="AY998" s="836"/>
      <c r="AZ998" s="836"/>
      <c r="BA998" s="836"/>
      <c r="BB998" s="836"/>
      <c r="BC998" s="836"/>
      <c r="BD998" s="836"/>
      <c r="BE998" s="836"/>
      <c r="BF998" s="836"/>
      <c r="BG998" s="836"/>
      <c r="BH998" s="836"/>
      <c r="BI998" s="836"/>
      <c r="BJ998" s="836"/>
      <c r="BK998" s="836"/>
      <c r="BL998" s="836"/>
      <c r="BM998" s="836"/>
      <c r="BN998" s="836"/>
      <c r="BO998" s="836"/>
      <c r="BP998" s="836"/>
      <c r="BR998" s="838"/>
      <c r="BS998" s="838"/>
      <c r="BT998" s="838"/>
      <c r="BU998" s="838"/>
      <c r="BV998" s="838"/>
      <c r="BW998" s="838"/>
      <c r="BX998" s="838"/>
      <c r="BY998" s="838"/>
      <c r="BZ998" s="838"/>
      <c r="CA998" s="838"/>
      <c r="CB998" s="838"/>
      <c r="CC998" s="838"/>
      <c r="CD998" s="838"/>
      <c r="CE998" s="838"/>
      <c r="CF998" s="838"/>
      <c r="CG998" s="838"/>
      <c r="CH998" s="838"/>
      <c r="CI998" s="838"/>
      <c r="CJ998" s="838"/>
      <c r="CK998" s="838"/>
      <c r="CL998" s="838"/>
      <c r="CM998" s="838"/>
      <c r="CN998" s="838"/>
      <c r="CO998" s="838"/>
      <c r="CP998" s="838"/>
      <c r="CQ998" s="838"/>
      <c r="CR998" s="838"/>
      <c r="CS998" s="838"/>
      <c r="CT998" s="838"/>
      <c r="CU998" s="838"/>
    </row>
    <row r="999">
      <c r="A999" s="834"/>
      <c r="B999" s="834"/>
      <c r="C999" s="834"/>
      <c r="D999" s="834"/>
      <c r="E999" s="834"/>
      <c r="F999" s="834"/>
      <c r="G999" s="834"/>
      <c r="H999" s="834"/>
      <c r="I999" s="834"/>
      <c r="J999" s="834"/>
      <c r="K999" s="834"/>
      <c r="L999" s="834"/>
      <c r="M999" s="834"/>
      <c r="N999" s="834"/>
      <c r="O999" s="834"/>
      <c r="P999" s="834"/>
      <c r="Q999" s="834"/>
      <c r="R999" s="834"/>
      <c r="S999" s="834"/>
      <c r="T999" s="834"/>
      <c r="U999" s="834"/>
      <c r="V999" s="834"/>
      <c r="W999" s="834"/>
      <c r="X999" s="834"/>
      <c r="Y999" s="834"/>
      <c r="Z999" s="834"/>
      <c r="AA999" s="834"/>
      <c r="AB999" s="834"/>
      <c r="AC999" s="834"/>
      <c r="AD999" s="834"/>
      <c r="AE999" s="834"/>
      <c r="AF999" s="834"/>
      <c r="AG999" s="834"/>
      <c r="AH999" s="834"/>
      <c r="AJ999" s="836"/>
      <c r="AK999" s="836"/>
      <c r="AL999" s="836"/>
      <c r="AM999" s="836"/>
      <c r="AN999" s="836"/>
      <c r="AO999" s="836"/>
      <c r="AP999" s="836"/>
      <c r="AQ999" s="836"/>
      <c r="AR999" s="836"/>
      <c r="AS999" s="836"/>
      <c r="AT999" s="836"/>
      <c r="AU999" s="836"/>
      <c r="AV999" s="836"/>
      <c r="AW999" s="836"/>
      <c r="AX999" s="836"/>
      <c r="AY999" s="836"/>
      <c r="AZ999" s="836"/>
      <c r="BA999" s="836"/>
      <c r="BB999" s="836"/>
      <c r="BC999" s="836"/>
      <c r="BD999" s="836"/>
      <c r="BE999" s="836"/>
      <c r="BF999" s="836"/>
      <c r="BG999" s="836"/>
      <c r="BH999" s="836"/>
      <c r="BI999" s="836"/>
      <c r="BJ999" s="836"/>
      <c r="BK999" s="836"/>
      <c r="BL999" s="836"/>
      <c r="BM999" s="836"/>
      <c r="BN999" s="836"/>
      <c r="BO999" s="836"/>
      <c r="BP999" s="836"/>
      <c r="BR999" s="838"/>
      <c r="BS999" s="838"/>
      <c r="BT999" s="838"/>
      <c r="BU999" s="838"/>
      <c r="BV999" s="838"/>
      <c r="BW999" s="838"/>
      <c r="BX999" s="838"/>
      <c r="BY999" s="838"/>
      <c r="BZ999" s="838"/>
      <c r="CA999" s="838"/>
      <c r="CB999" s="838"/>
      <c r="CC999" s="838"/>
      <c r="CD999" s="838"/>
      <c r="CE999" s="838"/>
      <c r="CF999" s="838"/>
      <c r="CG999" s="838"/>
      <c r="CH999" s="838"/>
      <c r="CI999" s="838"/>
      <c r="CJ999" s="838"/>
      <c r="CK999" s="838"/>
      <c r="CL999" s="838"/>
      <c r="CM999" s="838"/>
      <c r="CN999" s="838"/>
      <c r="CO999" s="838"/>
      <c r="CP999" s="838"/>
      <c r="CQ999" s="838"/>
      <c r="CR999" s="838"/>
      <c r="CS999" s="838"/>
      <c r="CT999" s="838"/>
      <c r="CU999" s="838"/>
    </row>
    <row r="1000">
      <c r="A1000" s="834"/>
      <c r="B1000" s="834"/>
      <c r="C1000" s="834"/>
      <c r="D1000" s="834"/>
      <c r="E1000" s="834"/>
      <c r="F1000" s="834"/>
      <c r="G1000" s="834"/>
      <c r="H1000" s="834"/>
      <c r="I1000" s="834"/>
      <c r="J1000" s="834"/>
      <c r="K1000" s="834"/>
      <c r="L1000" s="834"/>
      <c r="M1000" s="834"/>
      <c r="N1000" s="834"/>
      <c r="O1000" s="834"/>
      <c r="P1000" s="834"/>
      <c r="Q1000" s="834"/>
      <c r="R1000" s="834"/>
      <c r="S1000" s="834"/>
      <c r="T1000" s="834"/>
      <c r="U1000" s="834"/>
      <c r="V1000" s="834"/>
      <c r="W1000" s="834"/>
      <c r="X1000" s="834"/>
      <c r="Y1000" s="834"/>
      <c r="Z1000" s="834"/>
      <c r="AA1000" s="834"/>
      <c r="AB1000" s="834"/>
      <c r="AC1000" s="834"/>
      <c r="AD1000" s="834"/>
      <c r="AE1000" s="834"/>
      <c r="AF1000" s="834"/>
      <c r="AG1000" s="834"/>
      <c r="AH1000" s="834"/>
      <c r="AJ1000" s="836"/>
      <c r="AK1000" s="836"/>
      <c r="AL1000" s="836"/>
      <c r="AM1000" s="836"/>
      <c r="AN1000" s="836"/>
      <c r="AO1000" s="836"/>
      <c r="AP1000" s="836"/>
      <c r="AQ1000" s="836"/>
      <c r="AR1000" s="836"/>
      <c r="AS1000" s="836"/>
      <c r="AT1000" s="836"/>
      <c r="AU1000" s="836"/>
      <c r="AV1000" s="836"/>
      <c r="AW1000" s="836"/>
      <c r="AX1000" s="836"/>
      <c r="AY1000" s="836"/>
      <c r="AZ1000" s="836"/>
      <c r="BA1000" s="836"/>
      <c r="BB1000" s="836"/>
      <c r="BC1000" s="836"/>
      <c r="BD1000" s="836"/>
      <c r="BE1000" s="836"/>
      <c r="BF1000" s="836"/>
      <c r="BG1000" s="836"/>
      <c r="BH1000" s="836"/>
      <c r="BI1000" s="836"/>
      <c r="BJ1000" s="836"/>
      <c r="BK1000" s="836"/>
      <c r="BL1000" s="836"/>
      <c r="BM1000" s="836"/>
      <c r="BN1000" s="836"/>
      <c r="BO1000" s="836"/>
      <c r="BP1000" s="836"/>
      <c r="BR1000" s="838"/>
      <c r="BS1000" s="838"/>
      <c r="BT1000" s="838"/>
      <c r="BU1000" s="838"/>
      <c r="BV1000" s="838"/>
      <c r="BW1000" s="838"/>
      <c r="BX1000" s="838"/>
      <c r="BY1000" s="838"/>
      <c r="BZ1000" s="838"/>
      <c r="CA1000" s="838"/>
      <c r="CB1000" s="838"/>
      <c r="CC1000" s="838"/>
      <c r="CD1000" s="838"/>
      <c r="CE1000" s="838"/>
      <c r="CF1000" s="838"/>
      <c r="CG1000" s="838"/>
      <c r="CH1000" s="838"/>
      <c r="CI1000" s="838"/>
      <c r="CJ1000" s="838"/>
      <c r="CK1000" s="838"/>
      <c r="CL1000" s="838"/>
      <c r="CM1000" s="838"/>
      <c r="CN1000" s="838"/>
      <c r="CO1000" s="838"/>
      <c r="CP1000" s="838"/>
      <c r="CQ1000" s="838"/>
      <c r="CR1000" s="838"/>
      <c r="CS1000" s="838"/>
      <c r="CT1000" s="838"/>
      <c r="CU1000" s="838"/>
    </row>
    <row r="1001">
      <c r="A1001" s="834"/>
      <c r="B1001" s="834"/>
      <c r="C1001" s="834"/>
      <c r="D1001" s="834"/>
      <c r="E1001" s="834"/>
      <c r="F1001" s="834"/>
      <c r="G1001" s="834"/>
      <c r="H1001" s="834"/>
      <c r="I1001" s="834"/>
      <c r="J1001" s="834"/>
      <c r="K1001" s="834"/>
      <c r="L1001" s="834"/>
      <c r="M1001" s="834"/>
      <c r="N1001" s="834"/>
      <c r="O1001" s="834"/>
      <c r="P1001" s="834"/>
      <c r="Q1001" s="834"/>
      <c r="R1001" s="834"/>
      <c r="S1001" s="834"/>
      <c r="T1001" s="834"/>
      <c r="U1001" s="834"/>
      <c r="V1001" s="834"/>
      <c r="W1001" s="834"/>
      <c r="X1001" s="834"/>
      <c r="Y1001" s="834"/>
      <c r="Z1001" s="834"/>
      <c r="AA1001" s="834"/>
      <c r="AB1001" s="834"/>
      <c r="AC1001" s="834"/>
      <c r="AD1001" s="834"/>
      <c r="AE1001" s="834"/>
      <c r="AF1001" s="834"/>
      <c r="AG1001" s="834"/>
      <c r="AH1001" s="834"/>
      <c r="AJ1001" s="836"/>
      <c r="AK1001" s="836"/>
      <c r="AL1001" s="836"/>
      <c r="AM1001" s="836"/>
      <c r="AN1001" s="836"/>
      <c r="AO1001" s="836"/>
      <c r="AP1001" s="836"/>
      <c r="AQ1001" s="836"/>
      <c r="AR1001" s="836"/>
      <c r="AS1001" s="836"/>
      <c r="AT1001" s="836"/>
      <c r="AU1001" s="836"/>
      <c r="AV1001" s="836"/>
      <c r="AW1001" s="836"/>
      <c r="AX1001" s="836"/>
      <c r="AY1001" s="836"/>
      <c r="AZ1001" s="836"/>
      <c r="BA1001" s="836"/>
      <c r="BB1001" s="836"/>
      <c r="BC1001" s="836"/>
      <c r="BD1001" s="836"/>
      <c r="BE1001" s="836"/>
      <c r="BF1001" s="836"/>
      <c r="BG1001" s="836"/>
      <c r="BH1001" s="836"/>
      <c r="BI1001" s="836"/>
      <c r="BJ1001" s="836"/>
      <c r="BK1001" s="836"/>
      <c r="BL1001" s="836"/>
      <c r="BM1001" s="836"/>
      <c r="BN1001" s="836"/>
      <c r="BO1001" s="836"/>
      <c r="BP1001" s="836"/>
      <c r="BR1001" s="838"/>
      <c r="BS1001" s="838"/>
      <c r="BT1001" s="838"/>
      <c r="BU1001" s="838"/>
      <c r="BV1001" s="838"/>
      <c r="BW1001" s="838"/>
      <c r="BX1001" s="838"/>
      <c r="BY1001" s="838"/>
      <c r="BZ1001" s="838"/>
      <c r="CA1001" s="838"/>
      <c r="CB1001" s="838"/>
      <c r="CC1001" s="838"/>
      <c r="CD1001" s="838"/>
      <c r="CE1001" s="838"/>
      <c r="CF1001" s="838"/>
      <c r="CG1001" s="838"/>
      <c r="CH1001" s="838"/>
      <c r="CI1001" s="838"/>
      <c r="CJ1001" s="838"/>
      <c r="CK1001" s="838"/>
      <c r="CL1001" s="838"/>
      <c r="CM1001" s="838"/>
      <c r="CN1001" s="838"/>
      <c r="CO1001" s="838"/>
      <c r="CP1001" s="838"/>
      <c r="CQ1001" s="838"/>
      <c r="CR1001" s="838"/>
      <c r="CS1001" s="838"/>
      <c r="CT1001" s="838"/>
      <c r="CU1001" s="838"/>
    </row>
  </sheetData>
  <autoFilter ref="$A$1:$AH$141"/>
  <hyperlinks>
    <hyperlink r:id="rId1" ref="A3"/>
    <hyperlink r:id="rId2" ref="AJ3"/>
    <hyperlink r:id="rId3" ref="BR3"/>
    <hyperlink r:id="rId4" ref="A4"/>
    <hyperlink r:id="rId5" ref="AJ4"/>
    <hyperlink r:id="rId6" ref="BR4"/>
    <hyperlink r:id="rId7" ref="A5"/>
    <hyperlink r:id="rId8" ref="AJ5"/>
    <hyperlink r:id="rId9" ref="BR5"/>
    <hyperlink r:id="rId10" ref="A6"/>
    <hyperlink r:id="rId11" ref="AJ6"/>
    <hyperlink r:id="rId12" ref="BR6"/>
    <hyperlink r:id="rId13" ref="A7"/>
    <hyperlink r:id="rId14" ref="AJ7"/>
    <hyperlink r:id="rId15" ref="BR7"/>
    <hyperlink r:id="rId16" ref="A8"/>
    <hyperlink r:id="rId17" ref="AJ8"/>
    <hyperlink r:id="rId18" ref="BR8"/>
    <hyperlink r:id="rId19" ref="A9"/>
    <hyperlink r:id="rId20" ref="AJ9"/>
    <hyperlink r:id="rId21" ref="BR9"/>
    <hyperlink r:id="rId22" ref="A10"/>
    <hyperlink r:id="rId23" ref="AJ10"/>
    <hyperlink r:id="rId24" ref="BR10"/>
    <hyperlink r:id="rId25" ref="A11"/>
    <hyperlink r:id="rId26" ref="AJ11"/>
    <hyperlink r:id="rId27" ref="BR11"/>
    <hyperlink r:id="rId28" ref="A12"/>
    <hyperlink r:id="rId29" ref="AJ12"/>
    <hyperlink r:id="rId30" ref="BR12"/>
    <hyperlink r:id="rId31" ref="A13"/>
    <hyperlink r:id="rId32" ref="AJ13"/>
    <hyperlink r:id="rId33" ref="BR13"/>
    <hyperlink r:id="rId34" ref="A14"/>
    <hyperlink r:id="rId35" ref="AJ14"/>
    <hyperlink r:id="rId36" ref="BR14"/>
    <hyperlink r:id="rId37" ref="A15"/>
    <hyperlink r:id="rId38" ref="AJ15"/>
    <hyperlink r:id="rId39" ref="BR15"/>
    <hyperlink r:id="rId40" ref="A16"/>
    <hyperlink r:id="rId41" ref="AJ16"/>
    <hyperlink r:id="rId42" ref="BR16"/>
    <hyperlink r:id="rId43" ref="A17"/>
    <hyperlink r:id="rId44" ref="AJ17"/>
    <hyperlink r:id="rId45" ref="BR17"/>
    <hyperlink r:id="rId46" ref="A18"/>
    <hyperlink r:id="rId47" ref="AJ18"/>
    <hyperlink r:id="rId48" ref="BR18"/>
    <hyperlink r:id="rId49" ref="A19"/>
    <hyperlink r:id="rId50" ref="AJ19"/>
    <hyperlink r:id="rId51" ref="BR19"/>
    <hyperlink r:id="rId52" ref="A20"/>
    <hyperlink r:id="rId53" ref="AJ20"/>
    <hyperlink r:id="rId54" ref="BR20"/>
    <hyperlink r:id="rId55" ref="AJ21"/>
    <hyperlink r:id="rId56" ref="BR21"/>
    <hyperlink r:id="rId57" ref="A22"/>
    <hyperlink r:id="rId58" ref="AJ22"/>
    <hyperlink r:id="rId59" ref="BR22"/>
    <hyperlink r:id="rId60" ref="A23"/>
    <hyperlink r:id="rId61" ref="AJ23"/>
    <hyperlink r:id="rId62" ref="BR23"/>
    <hyperlink r:id="rId63" ref="A24"/>
    <hyperlink r:id="rId64" ref="AJ24"/>
    <hyperlink r:id="rId65" ref="BR24"/>
    <hyperlink r:id="rId66" ref="A25"/>
    <hyperlink r:id="rId67" ref="AJ25"/>
    <hyperlink r:id="rId68" ref="BR25"/>
    <hyperlink r:id="rId69" ref="A26"/>
    <hyperlink r:id="rId70" ref="AJ26"/>
    <hyperlink r:id="rId71" ref="BR26"/>
    <hyperlink r:id="rId72" ref="A27"/>
    <hyperlink r:id="rId73" ref="AJ27"/>
    <hyperlink r:id="rId74" ref="BR27"/>
    <hyperlink r:id="rId75" ref="A28"/>
    <hyperlink r:id="rId76" ref="AJ28"/>
    <hyperlink r:id="rId77" ref="BR28"/>
    <hyperlink r:id="rId78" ref="A29"/>
    <hyperlink r:id="rId79" ref="AJ29"/>
    <hyperlink r:id="rId80" ref="BR29"/>
    <hyperlink r:id="rId81" ref="A30"/>
    <hyperlink r:id="rId82" ref="AJ30"/>
    <hyperlink r:id="rId83" ref="BR30"/>
    <hyperlink r:id="rId84" ref="A31"/>
    <hyperlink r:id="rId85" ref="AJ31"/>
    <hyperlink r:id="rId86" ref="BR31"/>
    <hyperlink r:id="rId87" ref="A32"/>
    <hyperlink r:id="rId88" ref="AJ32"/>
    <hyperlink r:id="rId89" ref="BR32"/>
    <hyperlink r:id="rId90" ref="A33"/>
    <hyperlink r:id="rId91" ref="AJ33"/>
    <hyperlink r:id="rId92" ref="BR33"/>
    <hyperlink r:id="rId93" ref="A34"/>
    <hyperlink r:id="rId94" ref="AJ34"/>
    <hyperlink r:id="rId95" ref="BR34"/>
    <hyperlink r:id="rId96" ref="A35"/>
    <hyperlink r:id="rId97" ref="AJ35"/>
    <hyperlink r:id="rId98" ref="BR35"/>
    <hyperlink r:id="rId99" ref="A36"/>
    <hyperlink r:id="rId100" ref="AJ36"/>
    <hyperlink r:id="rId101" ref="BR36"/>
    <hyperlink r:id="rId102" ref="A37"/>
    <hyperlink r:id="rId103" ref="AJ37"/>
    <hyperlink r:id="rId104" ref="BR37"/>
    <hyperlink r:id="rId105" ref="A38"/>
    <hyperlink r:id="rId106" ref="AJ38"/>
    <hyperlink r:id="rId107" ref="BR38"/>
    <hyperlink r:id="rId108" ref="A39"/>
    <hyperlink r:id="rId109" ref="AJ39"/>
    <hyperlink r:id="rId110" ref="BR39"/>
    <hyperlink r:id="rId111" ref="A40"/>
    <hyperlink r:id="rId112" ref="AJ40"/>
    <hyperlink r:id="rId113" ref="BR40"/>
    <hyperlink r:id="rId114" ref="A41"/>
    <hyperlink r:id="rId115" ref="AJ41"/>
    <hyperlink r:id="rId116" ref="BR41"/>
    <hyperlink r:id="rId117" ref="A42"/>
    <hyperlink r:id="rId118" ref="AJ42"/>
    <hyperlink r:id="rId119" ref="BR42"/>
    <hyperlink r:id="rId120" ref="A43"/>
    <hyperlink r:id="rId121" ref="AJ43"/>
    <hyperlink r:id="rId122" ref="BR43"/>
    <hyperlink r:id="rId123" ref="A44"/>
    <hyperlink r:id="rId124" ref="AJ44"/>
    <hyperlink r:id="rId125" ref="BR44"/>
    <hyperlink r:id="rId126" ref="A45"/>
    <hyperlink r:id="rId127" ref="AJ45"/>
    <hyperlink r:id="rId128" ref="BR45"/>
    <hyperlink r:id="rId129" ref="A46"/>
    <hyperlink r:id="rId130" ref="AJ46"/>
    <hyperlink r:id="rId131" ref="BR46"/>
    <hyperlink r:id="rId132" ref="A47"/>
    <hyperlink r:id="rId133" ref="AJ47"/>
    <hyperlink r:id="rId134" ref="BR47"/>
    <hyperlink r:id="rId135" ref="A48"/>
    <hyperlink r:id="rId136" ref="AJ48"/>
    <hyperlink r:id="rId137" ref="BR48"/>
    <hyperlink r:id="rId138" ref="A49"/>
    <hyperlink r:id="rId139" ref="AJ49"/>
    <hyperlink r:id="rId140" ref="BR49"/>
    <hyperlink r:id="rId141" ref="A50"/>
    <hyperlink r:id="rId142" ref="AJ50"/>
    <hyperlink r:id="rId143" ref="BR50"/>
    <hyperlink r:id="rId144" ref="A51"/>
    <hyperlink r:id="rId145" ref="AJ51"/>
    <hyperlink r:id="rId146" ref="BR51"/>
    <hyperlink r:id="rId147" ref="A52"/>
    <hyperlink r:id="rId148" ref="AJ52"/>
    <hyperlink r:id="rId149" ref="BR52"/>
    <hyperlink r:id="rId150" ref="A53"/>
    <hyperlink r:id="rId151" ref="AJ53"/>
    <hyperlink r:id="rId152" ref="BR53"/>
    <hyperlink r:id="rId153" ref="A54"/>
    <hyperlink r:id="rId154" ref="AJ54"/>
    <hyperlink r:id="rId155" ref="BR54"/>
    <hyperlink r:id="rId156" ref="A55"/>
    <hyperlink r:id="rId157" ref="AJ55"/>
    <hyperlink r:id="rId158" ref="BR55"/>
    <hyperlink r:id="rId159" ref="A56"/>
    <hyperlink r:id="rId160" ref="AJ56"/>
    <hyperlink r:id="rId161" ref="BR56"/>
    <hyperlink r:id="rId162" ref="A57"/>
    <hyperlink r:id="rId163" ref="AJ57"/>
    <hyperlink r:id="rId164" ref="BR57"/>
    <hyperlink r:id="rId165" ref="A58"/>
    <hyperlink r:id="rId166" ref="AJ58"/>
    <hyperlink r:id="rId167" ref="BR58"/>
    <hyperlink r:id="rId168" ref="A59"/>
    <hyperlink r:id="rId169" ref="AJ59"/>
    <hyperlink r:id="rId170" ref="BR59"/>
    <hyperlink r:id="rId171" ref="A60"/>
    <hyperlink r:id="rId172" ref="AJ60"/>
    <hyperlink r:id="rId173" ref="BR60"/>
    <hyperlink r:id="rId174" ref="A61"/>
    <hyperlink r:id="rId175" ref="AJ61"/>
    <hyperlink r:id="rId176" ref="BR61"/>
    <hyperlink r:id="rId177" ref="A62"/>
    <hyperlink r:id="rId178" ref="AJ62"/>
    <hyperlink r:id="rId179" ref="BR62"/>
    <hyperlink r:id="rId180" ref="A63"/>
    <hyperlink r:id="rId181" ref="AJ63"/>
    <hyperlink r:id="rId182" ref="BR63"/>
    <hyperlink r:id="rId183" ref="A64"/>
    <hyperlink r:id="rId184" ref="AJ64"/>
    <hyperlink r:id="rId185" ref="BR64"/>
    <hyperlink r:id="rId186" ref="A65"/>
    <hyperlink r:id="rId187" ref="AJ65"/>
    <hyperlink r:id="rId188" ref="BR65"/>
    <hyperlink r:id="rId189" ref="A66"/>
    <hyperlink r:id="rId190" ref="AJ66"/>
    <hyperlink r:id="rId191" ref="BR66"/>
    <hyperlink r:id="rId192" ref="A67"/>
    <hyperlink r:id="rId193" ref="AJ67"/>
    <hyperlink r:id="rId194" ref="BR67"/>
    <hyperlink r:id="rId195" ref="A68"/>
    <hyperlink r:id="rId196" ref="AJ68"/>
    <hyperlink r:id="rId197" ref="BR68"/>
    <hyperlink r:id="rId198" ref="A69"/>
    <hyperlink r:id="rId199" ref="AJ69"/>
    <hyperlink r:id="rId200" ref="BR69"/>
    <hyperlink r:id="rId201" ref="A70"/>
    <hyperlink r:id="rId202" ref="AJ70"/>
    <hyperlink r:id="rId203" ref="BR70"/>
    <hyperlink r:id="rId204" ref="A71"/>
    <hyperlink r:id="rId205" ref="AJ71"/>
    <hyperlink r:id="rId206" ref="BR71"/>
    <hyperlink r:id="rId207" ref="A72"/>
    <hyperlink r:id="rId208" ref="AJ72"/>
    <hyperlink r:id="rId209" ref="BR72"/>
    <hyperlink r:id="rId210" ref="A73"/>
    <hyperlink r:id="rId211" ref="AJ73"/>
    <hyperlink r:id="rId212" ref="BR73"/>
    <hyperlink r:id="rId213" ref="A74"/>
    <hyperlink r:id="rId214" ref="AJ74"/>
    <hyperlink r:id="rId215" ref="BR74"/>
    <hyperlink r:id="rId216" ref="A75"/>
    <hyperlink r:id="rId217" ref="AJ75"/>
    <hyperlink r:id="rId218" ref="BR75"/>
    <hyperlink r:id="rId219" ref="A76"/>
    <hyperlink r:id="rId220" ref="AJ76"/>
    <hyperlink r:id="rId221" ref="BR76"/>
    <hyperlink r:id="rId222" ref="A77"/>
    <hyperlink r:id="rId223" ref="AJ77"/>
    <hyperlink r:id="rId224" ref="BR77"/>
    <hyperlink r:id="rId225" ref="A78"/>
    <hyperlink r:id="rId226" ref="AJ78"/>
    <hyperlink r:id="rId227" ref="BR78"/>
    <hyperlink r:id="rId228" ref="A79"/>
    <hyperlink r:id="rId229" ref="AJ79"/>
    <hyperlink r:id="rId230" ref="BR79"/>
    <hyperlink r:id="rId231" ref="A80"/>
    <hyperlink r:id="rId232" ref="AJ80"/>
    <hyperlink r:id="rId233" ref="BR80"/>
    <hyperlink r:id="rId234" ref="A81"/>
    <hyperlink r:id="rId235" ref="AJ81"/>
    <hyperlink r:id="rId236" ref="BR81"/>
    <hyperlink r:id="rId237" ref="A82"/>
    <hyperlink r:id="rId238" ref="AJ82"/>
    <hyperlink r:id="rId239" ref="BR82"/>
    <hyperlink r:id="rId240" ref="A83"/>
    <hyperlink r:id="rId241" ref="AJ83"/>
    <hyperlink r:id="rId242" ref="BR83"/>
    <hyperlink r:id="rId243" ref="A84"/>
    <hyperlink r:id="rId244" ref="AJ84"/>
    <hyperlink r:id="rId245" ref="BR84"/>
    <hyperlink r:id="rId246" ref="A85"/>
    <hyperlink r:id="rId247" ref="AJ85"/>
    <hyperlink r:id="rId248" ref="BR85"/>
    <hyperlink r:id="rId249" ref="A86"/>
    <hyperlink r:id="rId250" ref="AJ86"/>
    <hyperlink r:id="rId251" ref="BR86"/>
    <hyperlink r:id="rId252" ref="A87"/>
    <hyperlink r:id="rId253" ref="AJ87"/>
    <hyperlink r:id="rId254" ref="BR87"/>
    <hyperlink r:id="rId255" ref="A88"/>
    <hyperlink r:id="rId256" ref="AJ88"/>
    <hyperlink r:id="rId257" ref="BR88"/>
    <hyperlink r:id="rId258" ref="A89"/>
    <hyperlink r:id="rId259" ref="AJ89"/>
    <hyperlink r:id="rId260" ref="BR89"/>
    <hyperlink r:id="rId261" ref="A90"/>
    <hyperlink r:id="rId262" ref="AJ90"/>
    <hyperlink r:id="rId263" ref="BR90"/>
    <hyperlink r:id="rId264" ref="A91"/>
    <hyperlink r:id="rId265" ref="AJ91"/>
    <hyperlink r:id="rId266" ref="BR91"/>
    <hyperlink r:id="rId267" ref="A92"/>
    <hyperlink r:id="rId268" ref="AJ92"/>
    <hyperlink r:id="rId269" ref="BR92"/>
    <hyperlink r:id="rId270" ref="A93"/>
    <hyperlink r:id="rId271" ref="AJ93"/>
    <hyperlink r:id="rId272" ref="BR93"/>
    <hyperlink r:id="rId273" ref="A94"/>
    <hyperlink r:id="rId274" ref="AJ94"/>
    <hyperlink r:id="rId275" ref="BR94"/>
    <hyperlink r:id="rId276" ref="A95"/>
    <hyperlink r:id="rId277" ref="AJ95"/>
    <hyperlink r:id="rId278" ref="BR95"/>
    <hyperlink r:id="rId279" ref="A96"/>
    <hyperlink r:id="rId280" ref="BR96"/>
    <hyperlink r:id="rId281" ref="A97"/>
    <hyperlink r:id="rId282" ref="AJ97"/>
    <hyperlink r:id="rId283" ref="BR97"/>
    <hyperlink r:id="rId284" ref="A98"/>
    <hyperlink r:id="rId285" ref="AJ98"/>
    <hyperlink r:id="rId286" ref="BR98"/>
    <hyperlink r:id="rId287" ref="A99"/>
    <hyperlink r:id="rId288" ref="AJ99"/>
    <hyperlink r:id="rId289" ref="BR99"/>
    <hyperlink r:id="rId290" ref="A100"/>
    <hyperlink r:id="rId291" ref="AJ100"/>
    <hyperlink r:id="rId292" ref="BR100"/>
    <hyperlink r:id="rId293" ref="A101"/>
    <hyperlink r:id="rId294" ref="AJ101"/>
    <hyperlink r:id="rId295" ref="BR101"/>
    <hyperlink r:id="rId296" ref="A102"/>
    <hyperlink r:id="rId297" ref="AJ102"/>
    <hyperlink r:id="rId298" ref="BR102"/>
    <hyperlink r:id="rId299" ref="A103"/>
    <hyperlink r:id="rId300" ref="BR103"/>
    <hyperlink r:id="rId301" ref="A104"/>
    <hyperlink r:id="rId302" ref="AJ104"/>
    <hyperlink r:id="rId303" ref="BR104"/>
    <hyperlink r:id="rId304" ref="A105"/>
    <hyperlink r:id="rId305" ref="AJ105"/>
    <hyperlink r:id="rId306" ref="BR105"/>
    <hyperlink r:id="rId307" ref="A106"/>
    <hyperlink r:id="rId308" ref="AJ106"/>
    <hyperlink r:id="rId309" ref="BR106"/>
    <hyperlink r:id="rId310" ref="A107"/>
    <hyperlink r:id="rId311" ref="AJ107"/>
    <hyperlink r:id="rId312" ref="BR107"/>
    <hyperlink r:id="rId313" ref="A108"/>
    <hyperlink r:id="rId314" ref="AJ108"/>
    <hyperlink r:id="rId315" ref="BR108"/>
    <hyperlink r:id="rId316" ref="A109"/>
    <hyperlink r:id="rId317" ref="AJ109"/>
    <hyperlink r:id="rId318" ref="BR109"/>
    <hyperlink r:id="rId319" ref="A110"/>
    <hyperlink r:id="rId320" ref="AJ110"/>
    <hyperlink r:id="rId321" ref="BR110"/>
    <hyperlink r:id="rId322" ref="A111"/>
    <hyperlink r:id="rId323" ref="AJ111"/>
    <hyperlink r:id="rId324" ref="BR111"/>
    <hyperlink r:id="rId325" ref="A112"/>
    <hyperlink r:id="rId326" ref="AJ112"/>
    <hyperlink r:id="rId327" ref="BR112"/>
    <hyperlink r:id="rId328" ref="A113"/>
    <hyperlink r:id="rId329" ref="AJ113"/>
    <hyperlink r:id="rId330" ref="BR113"/>
    <hyperlink r:id="rId331" ref="A114"/>
    <hyperlink r:id="rId332" ref="BR114"/>
    <hyperlink r:id="rId333" ref="A115"/>
    <hyperlink r:id="rId334" ref="AJ115"/>
    <hyperlink r:id="rId335" ref="BR115"/>
    <hyperlink r:id="rId336" ref="A116"/>
    <hyperlink r:id="rId337" ref="AJ116"/>
    <hyperlink r:id="rId338" ref="BR116"/>
    <hyperlink r:id="rId339" ref="A117"/>
    <hyperlink r:id="rId340" ref="AJ117"/>
    <hyperlink r:id="rId341" ref="BR117"/>
    <hyperlink r:id="rId342" ref="A118"/>
    <hyperlink r:id="rId343" ref="AJ118"/>
    <hyperlink r:id="rId344" ref="BR118"/>
    <hyperlink r:id="rId345" ref="A119"/>
    <hyperlink r:id="rId346" ref="AJ119"/>
    <hyperlink r:id="rId347" ref="BR119"/>
    <hyperlink r:id="rId348" ref="A120"/>
    <hyperlink r:id="rId349" ref="BR120"/>
    <hyperlink r:id="rId350" ref="A121"/>
    <hyperlink r:id="rId351" ref="BR121"/>
    <hyperlink r:id="rId352" ref="A122"/>
    <hyperlink r:id="rId353" ref="BR122"/>
    <hyperlink r:id="rId354" ref="A123"/>
    <hyperlink r:id="rId355" ref="BR123"/>
    <hyperlink r:id="rId356" ref="A124"/>
    <hyperlink r:id="rId357" ref="BR124"/>
    <hyperlink r:id="rId358" ref="A125"/>
    <hyperlink r:id="rId359" ref="AJ125"/>
    <hyperlink r:id="rId360" ref="BR125"/>
    <hyperlink r:id="rId361" ref="A126"/>
    <hyperlink r:id="rId362" ref="AJ126"/>
    <hyperlink r:id="rId363" ref="BR126"/>
    <hyperlink r:id="rId364" ref="A127"/>
    <hyperlink r:id="rId365" ref="AJ127"/>
    <hyperlink r:id="rId366" ref="BR127"/>
    <hyperlink r:id="rId367" ref="A128"/>
    <hyperlink r:id="rId368" ref="AJ128"/>
    <hyperlink r:id="rId369" ref="BR128"/>
    <hyperlink r:id="rId370" ref="A129"/>
    <hyperlink r:id="rId371" ref="AJ129"/>
    <hyperlink r:id="rId372" ref="BR129"/>
    <hyperlink r:id="rId373" ref="A130"/>
    <hyperlink r:id="rId374" ref="AJ130"/>
    <hyperlink r:id="rId375" ref="BR130"/>
    <hyperlink r:id="rId376" ref="A131"/>
    <hyperlink r:id="rId377" ref="AJ131"/>
    <hyperlink r:id="rId378" ref="BR131"/>
    <hyperlink r:id="rId379" ref="A132"/>
    <hyperlink r:id="rId380" ref="AJ132"/>
    <hyperlink r:id="rId381" ref="BR132"/>
    <hyperlink r:id="rId382" ref="A133"/>
    <hyperlink r:id="rId383" ref="AJ133"/>
    <hyperlink r:id="rId384" ref="BR133"/>
    <hyperlink r:id="rId385" ref="A134"/>
    <hyperlink r:id="rId386" ref="AJ134"/>
    <hyperlink r:id="rId387" ref="BR134"/>
    <hyperlink r:id="rId388" ref="A135"/>
    <hyperlink r:id="rId389" ref="AJ135"/>
    <hyperlink r:id="rId390" ref="BR135"/>
    <hyperlink r:id="rId391" ref="A136"/>
    <hyperlink r:id="rId392" ref="AJ136"/>
    <hyperlink r:id="rId393" ref="BR136"/>
    <hyperlink r:id="rId394" ref="A137"/>
    <hyperlink r:id="rId395" ref="AJ137"/>
    <hyperlink r:id="rId396" ref="BR137"/>
    <hyperlink r:id="rId397" ref="A138"/>
    <hyperlink r:id="rId398" ref="AJ138"/>
    <hyperlink r:id="rId399" ref="BR138"/>
    <hyperlink r:id="rId400" ref="A139"/>
    <hyperlink r:id="rId401" ref="AJ139"/>
    <hyperlink r:id="rId402" ref="BR139"/>
    <hyperlink r:id="rId403" ref="A140"/>
    <hyperlink r:id="rId404" ref="AJ140"/>
    <hyperlink r:id="rId405" ref="BR140"/>
    <hyperlink r:id="rId406" ref="A141"/>
    <hyperlink r:id="rId407" ref="AJ141"/>
    <hyperlink r:id="rId408" ref="BR141"/>
    <hyperlink r:id="rId409" ref="AJ142"/>
    <hyperlink r:id="rId410" ref="BR142"/>
    <hyperlink r:id="rId411" ref="AJ143"/>
    <hyperlink r:id="rId412" ref="BR143"/>
    <hyperlink r:id="rId413" ref="AJ144"/>
    <hyperlink r:id="rId414" ref="BR144"/>
    <hyperlink r:id="rId415" ref="AJ145"/>
    <hyperlink r:id="rId416" ref="BR145"/>
    <hyperlink r:id="rId417" ref="AJ146"/>
    <hyperlink r:id="rId418" ref="BR146"/>
    <hyperlink r:id="rId419" ref="AJ147"/>
    <hyperlink r:id="rId420" ref="BR147"/>
    <hyperlink r:id="rId421" ref="AJ148"/>
    <hyperlink r:id="rId422" ref="BR148"/>
    <hyperlink r:id="rId423" ref="AJ149"/>
    <hyperlink r:id="rId424" ref="BR149"/>
    <hyperlink r:id="rId425" ref="AJ150"/>
    <hyperlink r:id="rId426" ref="BR150"/>
    <hyperlink r:id="rId427" ref="AJ151"/>
    <hyperlink r:id="rId428" ref="BR151"/>
    <hyperlink r:id="rId429" ref="AJ152"/>
    <hyperlink r:id="rId430" ref="BR152"/>
    <hyperlink r:id="rId431" ref="AJ153"/>
    <hyperlink r:id="rId432" ref="BR153"/>
    <hyperlink r:id="rId433" ref="AJ154"/>
    <hyperlink r:id="rId434" ref="BR154"/>
    <hyperlink r:id="rId435" ref="AJ155"/>
    <hyperlink r:id="rId436" ref="BR155"/>
    <hyperlink r:id="rId437" ref="AJ156"/>
    <hyperlink r:id="rId438" ref="BR156"/>
    <hyperlink r:id="rId439" ref="AJ157"/>
    <hyperlink r:id="rId440" ref="BR157"/>
    <hyperlink r:id="rId441" ref="AJ158"/>
    <hyperlink r:id="rId442" ref="BR158"/>
    <hyperlink r:id="rId443" ref="AJ159"/>
    <hyperlink r:id="rId444" ref="BR159"/>
    <hyperlink r:id="rId445" ref="AJ160"/>
    <hyperlink r:id="rId446" ref="BR160"/>
    <hyperlink r:id="rId447" ref="AJ161"/>
    <hyperlink r:id="rId448" ref="BR161"/>
    <hyperlink r:id="rId449" ref="AJ162"/>
    <hyperlink r:id="rId450" ref="BR162"/>
    <hyperlink r:id="rId451" ref="AJ163"/>
    <hyperlink r:id="rId452" ref="BR163"/>
    <hyperlink r:id="rId453" ref="AJ164"/>
    <hyperlink r:id="rId454" ref="BR164"/>
    <hyperlink r:id="rId455" ref="AJ165"/>
    <hyperlink r:id="rId456" ref="BR165"/>
    <hyperlink r:id="rId457" ref="AJ166"/>
    <hyperlink r:id="rId458" ref="BR166"/>
    <hyperlink r:id="rId459" ref="AJ167"/>
    <hyperlink r:id="rId460" ref="BR167"/>
    <hyperlink r:id="rId461" ref="AJ168"/>
    <hyperlink r:id="rId462" ref="BR168"/>
    <hyperlink r:id="rId463" ref="AJ169"/>
    <hyperlink r:id="rId464" ref="BR169"/>
    <hyperlink r:id="rId465" ref="AJ170"/>
    <hyperlink r:id="rId466" ref="BR170"/>
    <hyperlink r:id="rId467" ref="AJ171"/>
    <hyperlink r:id="rId468" ref="BR171"/>
    <hyperlink r:id="rId469" ref="AJ172"/>
    <hyperlink r:id="rId470" ref="BR172"/>
    <hyperlink r:id="rId471" ref="AJ173"/>
    <hyperlink r:id="rId472" ref="BR173"/>
    <hyperlink r:id="rId473" ref="AJ174"/>
    <hyperlink r:id="rId474" ref="BR174"/>
    <hyperlink r:id="rId475" ref="AJ175"/>
    <hyperlink r:id="rId476" ref="BR175"/>
    <hyperlink r:id="rId477" ref="AJ176"/>
    <hyperlink r:id="rId478" ref="BR176"/>
    <hyperlink r:id="rId479" ref="AJ177"/>
    <hyperlink r:id="rId480" ref="BR177"/>
    <hyperlink r:id="rId481" ref="AJ178"/>
    <hyperlink r:id="rId482" ref="BR178"/>
    <hyperlink r:id="rId483" ref="AJ179"/>
    <hyperlink r:id="rId484" ref="BR179"/>
    <hyperlink r:id="rId485" ref="AJ180"/>
    <hyperlink r:id="rId486" ref="BR180"/>
    <hyperlink r:id="rId487" ref="AJ181"/>
    <hyperlink r:id="rId488" ref="BR181"/>
    <hyperlink r:id="rId489" ref="AJ182"/>
    <hyperlink r:id="rId490" ref="BR182"/>
    <hyperlink r:id="rId491" ref="AJ183"/>
    <hyperlink r:id="rId492" ref="BR183"/>
    <hyperlink r:id="rId493" ref="AJ184"/>
    <hyperlink r:id="rId494" ref="BR184"/>
    <hyperlink r:id="rId495" ref="AJ185"/>
    <hyperlink r:id="rId496" ref="BR185"/>
    <hyperlink r:id="rId497" ref="AJ186"/>
    <hyperlink r:id="rId498" ref="BR186"/>
    <hyperlink r:id="rId499" ref="AJ187"/>
    <hyperlink r:id="rId500" ref="BR187"/>
    <hyperlink r:id="rId501" ref="AJ188"/>
    <hyperlink r:id="rId502" ref="BR188"/>
    <hyperlink r:id="rId503" ref="AJ189"/>
    <hyperlink r:id="rId504" ref="BR189"/>
    <hyperlink r:id="rId505" ref="AJ190"/>
    <hyperlink r:id="rId506" ref="BR190"/>
    <hyperlink r:id="rId507" ref="AJ191"/>
    <hyperlink r:id="rId508" ref="BR191"/>
    <hyperlink r:id="rId509" ref="AJ192"/>
    <hyperlink r:id="rId510" ref="BR192"/>
    <hyperlink r:id="rId511" ref="AJ193"/>
    <hyperlink r:id="rId512" ref="BR193"/>
    <hyperlink r:id="rId513" ref="AJ194"/>
    <hyperlink r:id="rId514" ref="BR194"/>
    <hyperlink r:id="rId515" ref="AJ195"/>
    <hyperlink r:id="rId516" ref="BR195"/>
    <hyperlink r:id="rId517" ref="AJ196"/>
    <hyperlink r:id="rId518" ref="BR196"/>
    <hyperlink r:id="rId519" ref="AJ197"/>
    <hyperlink r:id="rId520" ref="BR197"/>
    <hyperlink r:id="rId521" ref="AJ198"/>
    <hyperlink r:id="rId522" ref="BR198"/>
    <hyperlink r:id="rId523" ref="AJ199"/>
    <hyperlink r:id="rId524" ref="BR199"/>
    <hyperlink r:id="rId525" ref="AJ200"/>
    <hyperlink r:id="rId526" ref="BR200"/>
    <hyperlink r:id="rId527" ref="BR201"/>
    <hyperlink r:id="rId528" ref="BR202"/>
    <hyperlink r:id="rId529" ref="BR203"/>
    <hyperlink r:id="rId530" ref="BR204"/>
    <hyperlink r:id="rId531" ref="BR205"/>
    <hyperlink r:id="rId532" ref="BR206"/>
    <hyperlink r:id="rId533" ref="BR207"/>
    <hyperlink r:id="rId534" ref="BR208"/>
    <hyperlink r:id="rId535" ref="BR240"/>
    <hyperlink r:id="rId536" ref="BR241"/>
    <hyperlink r:id="rId537" ref="BR242"/>
    <hyperlink r:id="rId538" ref="BR243"/>
    <hyperlink r:id="rId539" ref="BR244"/>
    <hyperlink r:id="rId540" ref="BR245"/>
    <hyperlink r:id="rId541" ref="BR246"/>
    <hyperlink r:id="rId542" ref="BR247"/>
    <hyperlink r:id="rId543" ref="BR248"/>
    <hyperlink r:id="rId544" ref="BR249"/>
    <hyperlink r:id="rId545" ref="BR250"/>
    <hyperlink r:id="rId546" ref="BR251"/>
    <hyperlink r:id="rId547" ref="BR252"/>
    <hyperlink r:id="rId548" ref="BR253"/>
    <hyperlink r:id="rId549" ref="BR254"/>
    <hyperlink r:id="rId550" ref="BR255"/>
    <hyperlink r:id="rId551" ref="BR256"/>
    <hyperlink r:id="rId552" ref="BR257"/>
    <hyperlink r:id="rId553" ref="BR258"/>
    <hyperlink r:id="rId554" ref="BR259"/>
    <hyperlink r:id="rId555" ref="BR260"/>
    <hyperlink r:id="rId556" ref="BR261"/>
    <hyperlink r:id="rId557" ref="BR262"/>
    <hyperlink r:id="rId558" ref="BR263"/>
    <hyperlink r:id="rId559" ref="BR264"/>
    <hyperlink r:id="rId560" ref="BR265"/>
    <hyperlink r:id="rId561" ref="BR266"/>
    <hyperlink r:id="rId562" ref="BR267"/>
    <hyperlink r:id="rId563" ref="BR268"/>
    <hyperlink r:id="rId564" ref="BR269"/>
    <hyperlink r:id="rId565" ref="BR270"/>
    <hyperlink r:id="rId566" ref="BR271"/>
    <hyperlink r:id="rId567" ref="BR272"/>
    <hyperlink r:id="rId568" ref="BR273"/>
    <hyperlink r:id="rId569" ref="BR274"/>
    <hyperlink r:id="rId570" ref="BR275"/>
    <hyperlink r:id="rId571" ref="BR276"/>
    <hyperlink r:id="rId572" ref="BR277"/>
    <hyperlink r:id="rId573" ref="BR278"/>
    <hyperlink r:id="rId574" ref="BR279"/>
    <hyperlink r:id="rId575" ref="BR280"/>
    <hyperlink r:id="rId576" ref="BR281"/>
    <hyperlink r:id="rId577" ref="BR282"/>
    <hyperlink r:id="rId578" ref="BR283"/>
    <hyperlink r:id="rId579" ref="BR284"/>
    <hyperlink r:id="rId580" ref="BR285"/>
    <hyperlink r:id="rId581" ref="BR286"/>
    <hyperlink r:id="rId582" ref="BR287"/>
    <hyperlink r:id="rId583" ref="BR288"/>
    <hyperlink r:id="rId584" ref="BR289"/>
    <hyperlink r:id="rId585" ref="BR290"/>
    <hyperlink r:id="rId586" ref="BR291"/>
    <hyperlink r:id="rId587" ref="BR292"/>
    <hyperlink r:id="rId588" ref="BR293"/>
    <hyperlink r:id="rId589" ref="BR294"/>
    <hyperlink r:id="rId590" ref="BR295"/>
    <hyperlink r:id="rId591" ref="BR296"/>
    <hyperlink r:id="rId592" ref="BR297"/>
    <hyperlink r:id="rId593" ref="BR298"/>
    <hyperlink r:id="rId594" ref="BR299"/>
    <hyperlink r:id="rId595" ref="BR300"/>
    <hyperlink r:id="rId596" ref="BR301"/>
    <hyperlink r:id="rId597" ref="BR302"/>
    <hyperlink r:id="rId598" ref="BR303"/>
    <hyperlink r:id="rId599" ref="BR304"/>
    <hyperlink r:id="rId600" ref="BR305"/>
    <hyperlink r:id="rId601" ref="BR306"/>
    <hyperlink r:id="rId602" ref="BR307"/>
    <hyperlink r:id="rId603" ref="BR308"/>
    <hyperlink r:id="rId604" ref="BR309"/>
    <hyperlink r:id="rId605" ref="BR310"/>
    <hyperlink r:id="rId606" ref="BR311"/>
    <hyperlink r:id="rId607" ref="BR312"/>
    <hyperlink r:id="rId608" ref="BR313"/>
    <hyperlink r:id="rId609" ref="BR314"/>
    <hyperlink r:id="rId610" ref="BR320"/>
    <hyperlink r:id="rId611" ref="BR321"/>
    <hyperlink r:id="rId612" ref="BR322"/>
    <hyperlink r:id="rId613" ref="BR323"/>
    <hyperlink r:id="rId614" ref="BR324"/>
    <hyperlink r:id="rId615" ref="BR325"/>
    <hyperlink r:id="rId616" ref="BR327"/>
    <hyperlink r:id="rId617" ref="BR329"/>
    <hyperlink r:id="rId618" ref="BR332"/>
    <hyperlink r:id="rId619" ref="BR333"/>
    <hyperlink r:id="rId620" ref="BR334"/>
    <hyperlink r:id="rId621" ref="BR335"/>
    <hyperlink r:id="rId622" ref="BR336"/>
    <hyperlink r:id="rId623" ref="BR337"/>
    <hyperlink r:id="rId624" ref="BR338"/>
    <hyperlink r:id="rId625" ref="BR357"/>
    <hyperlink r:id="rId626" ref="BR359"/>
    <hyperlink r:id="rId627" ref="BR360"/>
    <hyperlink r:id="rId628" ref="BR361"/>
    <hyperlink r:id="rId629" ref="BR362"/>
    <hyperlink r:id="rId630" ref="BR363"/>
    <hyperlink r:id="rId631" ref="BR364"/>
    <hyperlink r:id="rId632" ref="BR365"/>
    <hyperlink r:id="rId633" ref="BR366"/>
    <hyperlink r:id="rId634" ref="BR367"/>
    <hyperlink r:id="rId635" ref="BR368"/>
    <hyperlink r:id="rId636" ref="BR369"/>
    <hyperlink r:id="rId637" ref="BR370"/>
    <hyperlink r:id="rId638" ref="BR371"/>
    <hyperlink r:id="rId639" ref="BR374"/>
    <hyperlink r:id="rId640" ref="BR375"/>
    <hyperlink r:id="rId641" ref="BR376"/>
    <hyperlink r:id="rId642" ref="BR377"/>
    <hyperlink r:id="rId643" ref="BR378"/>
    <hyperlink r:id="rId644" ref="BR379"/>
    <hyperlink r:id="rId645" ref="BR380"/>
    <hyperlink r:id="rId646" ref="BR381"/>
    <hyperlink r:id="rId647" ref="BR382"/>
    <hyperlink r:id="rId648" ref="BR383"/>
    <hyperlink r:id="rId649" ref="BR384"/>
    <hyperlink r:id="rId650" ref="BR385"/>
    <hyperlink r:id="rId651" ref="BR386"/>
    <hyperlink r:id="rId652" ref="BR387"/>
    <hyperlink r:id="rId653" ref="BR388"/>
    <hyperlink r:id="rId654" ref="BR389"/>
    <hyperlink r:id="rId655" ref="BR390"/>
    <hyperlink r:id="rId656" ref="BR391"/>
    <hyperlink r:id="rId657" ref="BR392"/>
    <hyperlink r:id="rId658" ref="BR393"/>
    <hyperlink r:id="rId659" ref="BR394"/>
    <hyperlink r:id="rId660" ref="BR395"/>
    <hyperlink r:id="rId661" ref="BR396"/>
    <hyperlink r:id="rId662" ref="BR397"/>
    <hyperlink r:id="rId663" ref="BR398"/>
    <hyperlink r:id="rId664" ref="BR399"/>
  </hyperlinks>
  <drawing r:id="rId665"/>
</worksheet>
</file>